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aw Data" sheetId="1" r:id="rId5"/>
    <sheet state="visible" name="Summary" sheetId="2" r:id="rId6"/>
    <sheet state="visible" name="Slack Automation" sheetId="3" r:id="rId7"/>
    <sheet state="visible" name="Mode Export" sheetId="4" r:id="rId8"/>
    <sheet state="visible" name="Staffing Timeline Export" sheetId="5" r:id="rId9"/>
    <sheet state="visible" name="Staffing Timeline Summary" sheetId="6" r:id="rId10"/>
    <sheet state="visible" name="IMPORT VHC Report" sheetId="7" r:id="rId11"/>
  </sheets>
  <definedNames>
    <definedName hidden="1" localSheetId="3" name="_xlnm._FilterDatabase">'Mode Export'!$A$1:$S$35</definedName>
  </definedNames>
  <calcPr/>
</workbook>
</file>

<file path=xl/sharedStrings.xml><?xml version="1.0" encoding="utf-8"?>
<sst xmlns="http://schemas.openxmlformats.org/spreadsheetml/2006/main" count="105231" uniqueCount="14266">
  <si>
    <t>Current Week</t>
  </si>
  <si>
    <t>Current Month</t>
  </si>
  <si>
    <t>Subgroup</t>
  </si>
  <si>
    <t>Training Blocks</t>
  </si>
  <si>
    <t>Training</t>
  </si>
  <si>
    <t>Total Training Blocks</t>
  </si>
  <si>
    <t>% Utilized</t>
  </si>
  <si>
    <t>Overall - CHT only
excl China</t>
  </si>
  <si>
    <t>Back of House Operations</t>
  </si>
  <si>
    <t>High Sensitivity Support</t>
  </si>
  <si>
    <t>Admin Support</t>
  </si>
  <si>
    <t>Print Support</t>
  </si>
  <si>
    <t>Segment-specific Support</t>
  </si>
  <si>
    <t>Core Product Support</t>
  </si>
  <si>
    <t>Multilingual Support</t>
  </si>
  <si>
    <t>% Util Per Team</t>
  </si>
  <si>
    <t>Below 50% Utilization</t>
  </si>
  <si>
    <t>0% Utilization</t>
  </si>
  <si>
    <t>Admin Support PH</t>
  </si>
  <si>
    <t>Admin Support APJ</t>
  </si>
  <si>
    <t>Admin Support PH CEDD</t>
  </si>
  <si>
    <t>Admin Support EMEA</t>
  </si>
  <si>
    <t>Admin Support NA</t>
  </si>
  <si>
    <t>Admin Support PH SSO</t>
  </si>
  <si>
    <t>Back of House Operations PH</t>
  </si>
  <si>
    <t>Advanced Billing &amp; Subscriptions</t>
  </si>
  <si>
    <t>Advanced Product Support</t>
  </si>
  <si>
    <t>Core Product Support Escalation Team</t>
  </si>
  <si>
    <t>High Sensitivity Support PH</t>
  </si>
  <si>
    <t>PHL, Multilingual Support</t>
  </si>
  <si>
    <t>Print Support PH</t>
  </si>
  <si>
    <t>Print Design Support</t>
  </si>
  <si>
    <t>Affinity Support</t>
  </si>
  <si>
    <t>Creators Support</t>
  </si>
  <si>
    <t>Flourish Support</t>
  </si>
  <si>
    <t>Report for WS</t>
  </si>
  <si>
    <t>Week Utilization</t>
  </si>
  <si>
    <t>Month Utilization</t>
  </si>
  <si>
    <t>ACTIVITY_NAME</t>
  </si>
  <si>
    <t>ACTIVITY_INSTANCE_DESCRIPTION</t>
  </si>
  <si>
    <t>START_TIME</t>
  </si>
  <si>
    <t>END_TIME</t>
  </si>
  <si>
    <t>ACTIVITY_DURATION_HOURS</t>
  </si>
  <si>
    <t>ACTIVITY_CATEGORY</t>
  </si>
  <si>
    <t>FULL_NAME</t>
  </si>
  <si>
    <t>EMAIL</t>
  </si>
  <si>
    <t>COACH_NAME</t>
  </si>
  <si>
    <t>SUBGROUP</t>
  </si>
  <si>
    <t>TEAM</t>
  </si>
  <si>
    <t>SPECIALIST_ROLE</t>
  </si>
  <si>
    <t>Referring Phone Support Cases</t>
  </si>
  <si>
    <t>Unproductive</t>
  </si>
  <si>
    <t>Nikki Cruz</t>
  </si>
  <si>
    <t>ncruz@canva.com</t>
  </si>
  <si>
    <t>Issi Afable</t>
  </si>
  <si>
    <t>Specialist</t>
  </si>
  <si>
    <t>Danrev Bactad</t>
  </si>
  <si>
    <t>danrev@canva.com</t>
  </si>
  <si>
    <t>Xandy Azarcon</t>
  </si>
  <si>
    <t>AI Legal Privacy and Phone Support traiing</t>
  </si>
  <si>
    <t>Lean Reyes</t>
  </si>
  <si>
    <t>leanp@canva.com</t>
  </si>
  <si>
    <t>Placeholder: Training Block</t>
  </si>
  <si>
    <t>Productive</t>
  </si>
  <si>
    <t>Sheira Baldonado</t>
  </si>
  <si>
    <t>sbaldonado@canva.com</t>
  </si>
  <si>
    <t>Rex Villamor</t>
  </si>
  <si>
    <t>Phil Ronquillo</t>
  </si>
  <si>
    <t>phillipronquillo@canva.com</t>
  </si>
  <si>
    <t>Rossheen Pura</t>
  </si>
  <si>
    <t>Jerica Tan</t>
  </si>
  <si>
    <t>jerica@canva.com</t>
  </si>
  <si>
    <t>Paul Domingo</t>
  </si>
  <si>
    <t>paulwilbert@canva.com</t>
  </si>
  <si>
    <t>Arriane Rodes</t>
  </si>
  <si>
    <t>arodes@canva.com</t>
  </si>
  <si>
    <t>AI Legal - 2025</t>
  </si>
  <si>
    <t>Trina Salcedo</t>
  </si>
  <si>
    <t>trina@canva.com</t>
  </si>
  <si>
    <t>Project Infinity</t>
  </si>
  <si>
    <t>Cal + BoHo</t>
  </si>
  <si>
    <t>Reya Joson</t>
  </si>
  <si>
    <t>reya@canva.com</t>
  </si>
  <si>
    <t>Phone Support + BoHo</t>
  </si>
  <si>
    <t>Jam Bacani</t>
  </si>
  <si>
    <t>jammyb@canva.com</t>
  </si>
  <si>
    <t>May Ann Caguioa</t>
  </si>
  <si>
    <t>mayann@canva.com</t>
  </si>
  <si>
    <t>Macie del Mundo</t>
  </si>
  <si>
    <t>macie@canva.com</t>
  </si>
  <si>
    <t>Nathaniel Aquiatan</t>
  </si>
  <si>
    <t>naquiatan@canva.com</t>
  </si>
  <si>
    <t>JP Basco</t>
  </si>
  <si>
    <t>jpbasco@canva.com</t>
  </si>
  <si>
    <t>KC Cruz</t>
  </si>
  <si>
    <t>kathlene@canva.com</t>
  </si>
  <si>
    <t>Melanie Labio</t>
  </si>
  <si>
    <t>mlabio@canva.com</t>
  </si>
  <si>
    <t>Maria Vergara</t>
  </si>
  <si>
    <t>mariav@canva.com</t>
  </si>
  <si>
    <t>Week Start</t>
  </si>
  <si>
    <t>Team</t>
  </si>
  <si>
    <t>Coach</t>
  </si>
  <si>
    <t>Event ID</t>
  </si>
  <si>
    <t>Agent ID</t>
  </si>
  <si>
    <t>Agent Imported ID</t>
  </si>
  <si>
    <t>Agent Name</t>
  </si>
  <si>
    <t>Agent Email</t>
  </si>
  <si>
    <t>Name</t>
  </si>
  <si>
    <t>Type</t>
  </si>
  <si>
    <t>Start Time</t>
  </si>
  <si>
    <t>Start Time Timezone</t>
  </si>
  <si>
    <t>End Time</t>
  </si>
  <si>
    <t>End Time Timezone</t>
  </si>
  <si>
    <t>Duration (seconds)</t>
  </si>
  <si>
    <t>Time Off Duration (seconds)</t>
  </si>
  <si>
    <t>Time Off Description</t>
  </si>
  <si>
    <t>Event Description</t>
  </si>
  <si>
    <t>5706d8ab-052a-4525-bd09-02dac3592899</t>
  </si>
  <si>
    <t>298f0d76-bd7a-4274-ba39-7bf5fff1a6f0</t>
  </si>
  <si>
    <t>Noel Imboy</t>
  </si>
  <si>
    <t>nonoimboy@canva.com</t>
  </si>
  <si>
    <t>Work: Print Design</t>
  </si>
  <si>
    <t>(GMT+08:00) PST</t>
  </si>
  <si>
    <t>690bf18f-f65e-4b72-8e4c-21ef3927f2c7</t>
  </si>
  <si>
    <t>Miscellaneous</t>
  </si>
  <si>
    <t>Default</t>
  </si>
  <si>
    <t>jump off time</t>
  </si>
  <si>
    <t>ec8932e1-0407-48ba-bab6-6b902950d02b</t>
  </si>
  <si>
    <t>3ac37665-cb72-4eee-b688-ae58d1413f15</t>
  </si>
  <si>
    <t>Policy Abuse Process Revamp: Aligning with Notes Security and Privacy Guidelines</t>
  </si>
  <si>
    <t>02f72d4b-ddba-4d10-a84b-82cb2302143f</t>
  </si>
  <si>
    <t>Meal</t>
  </si>
  <si>
    <t>8db50318-7190-440e-ae90-3a0cabc203ed</t>
  </si>
  <si>
    <t>Break</t>
  </si>
  <si>
    <t>1e2fb9ae-99af-4c3b-a059-4ef520f57361</t>
  </si>
  <si>
    <t>Meeting</t>
  </si>
  <si>
    <t>Team Huddle</t>
  </si>
  <si>
    <t>472fa30f-962f-4973-bd7c-d5aed2032ebf</t>
  </si>
  <si>
    <t>8d2017dc-0656-4867-baf9-f0514a8ad05f</t>
  </si>
  <si>
    <t>780db518-9c23-47d1-a52b-2b48bdab997d</t>
  </si>
  <si>
    <t>962f0c51-2f94-430c-9f93-fc45d208ea0f</t>
  </si>
  <si>
    <t>0fdb3efc-373b-41f4-bbc0-c30e88fae2c7</t>
  </si>
  <si>
    <t>4c0083ce-02d8-4598-b61c-dd51222741bb</t>
  </si>
  <si>
    <t>ef1a733f-a765-427c-badf-33acfdd02492</t>
  </si>
  <si>
    <t>bebc34e7-5dd8-42cd-b0f8-b334c100dbcc</t>
  </si>
  <si>
    <t>0dc2b211-f330-4420-8625-2152896df5b7</t>
  </si>
  <si>
    <t>2329150e-b7ca-41f2-b8d4-322983aa71e1</t>
  </si>
  <si>
    <t>b83a13ba-1634-4ce7-b412-2665d78120e3</t>
  </si>
  <si>
    <t>76ed8a1d-573e-4e20-92ae-df39b5831a22</t>
  </si>
  <si>
    <t>8d25332a-0e7f-40d5-ad90-b257d34bd2e3</t>
  </si>
  <si>
    <t>09b50a97-0a32-460f-b2b2-6f1d2a1ed8ef</t>
  </si>
  <si>
    <t>Sick Leave</t>
  </si>
  <si>
    <t>Time off</t>
  </si>
  <si>
    <t>ca480f8c-a6d8-4f2f-8bd5-0d0ee3b26010</t>
  </si>
  <si>
    <t>765a26a9-4f52-4e2b-9054-af1d0ec48ea5</t>
  </si>
  <si>
    <t>fca269bc-bbb9-4704-94f5-8a2785be25e2</t>
  </si>
  <si>
    <t>d7e7993a-208a-4ac4-830c-21c99ede9244</t>
  </si>
  <si>
    <t>df9ba7dd-188f-4978-8344-eb262fcbed64</t>
  </si>
  <si>
    <t>James Marrion Gamboa</t>
  </si>
  <si>
    <t>jgamboa@canva.com</t>
  </si>
  <si>
    <t>Work: SSS Affinity</t>
  </si>
  <si>
    <t>7b88661e-4082-4b25-9d54-4dfe0a68b114</t>
  </si>
  <si>
    <t>d1e2dd59-433e-4074-a2ce-a19a98977d26</t>
  </si>
  <si>
    <t>2db46499-0b5f-4f5a-9484-3cc6cd1ebeb3</t>
  </si>
  <si>
    <t>0c38fa39-df47-41ad-bb19-8222a330bccf</t>
  </si>
  <si>
    <t>a3818272-0d59-451d-910f-26cbb5b5e55f</t>
  </si>
  <si>
    <t>2c2ca0af-9174-43d8-9952-d299f59c7c6a</t>
  </si>
  <si>
    <t>168675b3-9745-47af-88ad-cdd69d03d94d</t>
  </si>
  <si>
    <t>2bc367e9-b852-40f7-90ee-aab473df5a79</t>
  </si>
  <si>
    <t>Bi-Annual Security and Privacy Refresher via Workramp</t>
  </si>
  <si>
    <t>d6bca137-fcd1-4f98-86e0-f823d2b76d2b</t>
  </si>
  <si>
    <t>a347164e-e530-4e58-9580-fa4b53faf67a</t>
  </si>
  <si>
    <t>60010fc7-29e1-4aad-a481-0b0fed279654</t>
  </si>
  <si>
    <t>c46504d2-2eef-450b-aa55-fba7cfab9410</t>
  </si>
  <si>
    <t>Affinity PH x UK Office Hours</t>
  </si>
  <si>
    <t>0a88b090-b88c-4d82-9061-649638c06f54</t>
  </si>
  <si>
    <t>2b439721-de97-43f7-84a8-e183d271094d</t>
  </si>
  <si>
    <t>Time Off</t>
  </si>
  <si>
    <t>a6a2511c-ec7e-4490-9e95-e12559ca326e</t>
  </si>
  <si>
    <t>c1c37bbe-6726-4cd1-b627-291744c8c52b</t>
  </si>
  <si>
    <t>b285f74c-0872-4d36-8f94-8604d3ca2234</t>
  </si>
  <si>
    <t>c9aba663-5a13-4b8b-9a97-1581e18ce3a4</t>
  </si>
  <si>
    <t>9fd7c28a-935c-4004-af5f-f9af6146e183</t>
  </si>
  <si>
    <t>0fb89e9b-bbb1-4c18-a787-2843b63dfb66</t>
  </si>
  <si>
    <t>f091707b-dcb2-4aa5-82de-87746861cac3</t>
  </si>
  <si>
    <t>190348ae-d2a7-4c99-9a29-e53fe23f290a</t>
  </si>
  <si>
    <t>382cfb7a-675a-4a90-8617-4fd93dbdd165</t>
  </si>
  <si>
    <t>ea5e3b47-b26b-44bc-a93c-eeb09a0b0c83</t>
  </si>
  <si>
    <t>0b21f9ed-9a7b-4a81-b31e-ceaf8a5c5869</t>
  </si>
  <si>
    <t>fc825ffe-3f91-4c3b-a5d3-d7ec6bf18da9</t>
  </si>
  <si>
    <t>587f01d5-a113-4a1c-9a55-be4bceeb8e9c</t>
  </si>
  <si>
    <t>ec2c53f2-66fa-462e-9ac9-b9e626e485b4</t>
  </si>
  <si>
    <t>McCoy Cacanindin</t>
  </si>
  <si>
    <t>mccoyc@canva.com</t>
  </si>
  <si>
    <t>8ef07a13-5dd1-4de0-bac6-44c4293d6947</t>
  </si>
  <si>
    <t>Work: CPS APS</t>
  </si>
  <si>
    <t>d45ee3cc-80a6-45a1-9268-c3f3750ff9c2</t>
  </si>
  <si>
    <t>dee9bb6b-1882-417a-a45b-8f7c53c239a7</t>
  </si>
  <si>
    <t>Ticket Scrubbing/Operation insights</t>
  </si>
  <si>
    <t>f6444c5b-a777-4c82-9f3f-2c2faf823468</t>
  </si>
  <si>
    <t>e8810af3-3af6-4f02-a89a-97fa2843169a</t>
  </si>
  <si>
    <t>2ce6e5b2-25fe-4a3f-8cf2-1b2c75a31d35</t>
  </si>
  <si>
    <t>a452a7f3-7e7c-4771-bf9c-e5c52df58707</t>
  </si>
  <si>
    <t>129893fe-6f2a-41da-8ad3-053dfcc5d00a</t>
  </si>
  <si>
    <t>3393dbb3-5f6c-47ff-a94d-b3488b61f4a0</t>
  </si>
  <si>
    <t>83f9a8ab-c6c3-4346-b855-2ef1927287aa</t>
  </si>
  <si>
    <t>16e1a123-36c1-4819-8b26-25889840b75e</t>
  </si>
  <si>
    <t>be0b7f65-3f89-4e94-a7fa-497af7379fff</t>
  </si>
  <si>
    <t>7b6d3d20-0fa5-4579-86e4-92e3ea2b8381</t>
  </si>
  <si>
    <t>bb101c00-f849-4dec-9e4b-0f45b8962f04</t>
  </si>
  <si>
    <t>5bf17a9c-b8c9-4162-ad3f-7cb38a448556</t>
  </si>
  <si>
    <t>cf089e78-bfc3-46cb-bdc4-a3a3d3b5a6af</t>
  </si>
  <si>
    <t>be834ec4-0eda-4122-b145-0cfa17d810e7</t>
  </si>
  <si>
    <t>d588d1f8-7fb7-4978-82b0-4b693c76e442</t>
  </si>
  <si>
    <t>bd55c915-6617-4efa-bec3-6f24faa112ff</t>
  </si>
  <si>
    <t>2ddb4398-2655-4e47-aa22-17746b1df7ad</t>
  </si>
  <si>
    <t>abe19040-48b8-452f-bacb-da27c4019637</t>
  </si>
  <si>
    <t>a888d4df-86cc-483d-8d42-090915052ea7</t>
  </si>
  <si>
    <t>ddce920d-ac7f-4589-aba8-53639eb4ddc4</t>
  </si>
  <si>
    <t>f0fe6464-e33d-4efe-ae62-ddd00cc81478</t>
  </si>
  <si>
    <t>5f0096f6-f7a7-4fe8-ac45-0435aaacdfb4</t>
  </si>
  <si>
    <t>Jopphet Villafuerte</t>
  </si>
  <si>
    <t>cjopphet@canva.com</t>
  </si>
  <si>
    <t>Work: CPS ABS</t>
  </si>
  <si>
    <t>d40ace2a-12a4-4968-8d8d-82d0e1607b67</t>
  </si>
  <si>
    <t>76d141c2-1209-4bf1-823f-8edecba5d8e6</t>
  </si>
  <si>
    <t>db7c8fd0-33d9-42d4-a95f-3165ccc8c996</t>
  </si>
  <si>
    <t>56babd15-549a-4600-8cfd-e753367dd36c</t>
  </si>
  <si>
    <t>6e4ac17f-14a5-462b-9d04-8567f7eef1f0</t>
  </si>
  <si>
    <t>49d32684-442c-49b9-a0b1-1bff22a58ea4</t>
  </si>
  <si>
    <t>1fa027a9-ca31-4cb4-9094-dc049c23584d</t>
  </si>
  <si>
    <t>7d7fddf5-0487-43a0-a0aa-f1c7a8ec5377</t>
  </si>
  <si>
    <t>b15627fe-86ed-48ea-860a-8b4f023e86d3</t>
  </si>
  <si>
    <t>d43a8e40-c972-4bae-9fff-1378b1763ce2</t>
  </si>
  <si>
    <t>6a90f5e1-22d8-4b7f-8c80-27f6122b2005</t>
  </si>
  <si>
    <t>91307850-3d5f-4ac5-be13-bbb6915a3c69</t>
  </si>
  <si>
    <t>17aa7a05-4dac-4640-82d2-4108d6c2d857</t>
  </si>
  <si>
    <t>9073125c-64f2-4048-a427-a4595b2e53c0</t>
  </si>
  <si>
    <t>b3fd830e-39fc-439c-b69e-40485d4fe8f5</t>
  </si>
  <si>
    <t>04c5c2d4-0096-481e-8c38-8862dc1656c3</t>
  </si>
  <si>
    <t>ff34b9d1-23c7-46db-a1ba-e20ac9f9a54e</t>
  </si>
  <si>
    <t>e7402e48-d871-4de1-8ff1-1737a427b883</t>
  </si>
  <si>
    <t>730572d8-fdaf-432b-b079-82bcebccb360</t>
  </si>
  <si>
    <t>172d4538-83ba-49f9-93f7-6be391e7227a</t>
  </si>
  <si>
    <t>1a2b8556-e8f6-432b-8db7-d0422c6f451f</t>
  </si>
  <si>
    <t>00ea7ac2-b634-4109-9f80-f79e3f7e9835</t>
  </si>
  <si>
    <t>system issue</t>
  </si>
  <si>
    <t>bc44bc3b-b465-4fe5-a7cb-03ab7c16008c</t>
  </si>
  <si>
    <t>777b288f-dc81-4cc8-8c42-18666b9de8aa</t>
  </si>
  <si>
    <t>e50bfb80-eca6-45bc-acfd-4f4f99a97ece</t>
  </si>
  <si>
    <t>FL, no access</t>
  </si>
  <si>
    <t>d6e21b29-de10-43f4-80a5-b0b58b32013d</t>
  </si>
  <si>
    <t>e3a1f63c-08dc-42f8-9f8a-57f04c1fbbc5</t>
  </si>
  <si>
    <t>d49eab07-9985-4cd9-8650-cedec4768396</t>
  </si>
  <si>
    <t>496c24a9-ccd8-4a0d-b1a1-7241f3ec2901</t>
  </si>
  <si>
    <t>Tagging Misc to read update since on SL for a week.</t>
  </si>
  <si>
    <t>8f559468-1caf-4b6f-aefb-817c4d7c8e15</t>
  </si>
  <si>
    <t>bc8c1fc3-7840-46ba-86bc-8b6a87b1c9ac</t>
  </si>
  <si>
    <t>02732c42-2fd6-4f5f-9f3c-580f64930ceb</t>
  </si>
  <si>
    <t>3e7907b6-7d85-49db-aeb9-0c966d642ffa</t>
  </si>
  <si>
    <t>f8a69476-5333-4953-9810-35bdc9651277</t>
  </si>
  <si>
    <t>bb305c24-8699-4a9a-bf17-1a1af46563cd</t>
  </si>
  <si>
    <t>4dbfa916-5ac6-473d-aa13-5812e02f0be2</t>
  </si>
  <si>
    <t>Xyren Bulan</t>
  </si>
  <si>
    <t>xy@canva.com</t>
  </si>
  <si>
    <t>74dc69b1-9687-43fc-bdd5-552a86ecbf85</t>
  </si>
  <si>
    <t>3cc28520-e3cf-418e-8686-12bb6a8f3af1</t>
  </si>
  <si>
    <t>9a1abf4e-30d5-4772-8bc4-be5bec1fecf4</t>
  </si>
  <si>
    <t>181ea89c-b179-4674-b80d-2433691b9ed0</t>
  </si>
  <si>
    <t>be618144-09c9-4af8-a3ee-5b363a74d989</t>
  </si>
  <si>
    <t>bf74976f-5cd1-4b3c-bda2-00cc72041de1</t>
  </si>
  <si>
    <t>18c14906-55f1-4789-94e7-f9afc99510fa</t>
  </si>
  <si>
    <t>a67684ad-a38c-418a-b43a-0ab7936517bd</t>
  </si>
  <si>
    <t>b5a4c26e-0d59-4d04-aa06-08ca83e10ce4</t>
  </si>
  <si>
    <t>Team Meeting</t>
  </si>
  <si>
    <t>e75706b8-f78b-4c77-af1a-a6b7bcab211d</t>
  </si>
  <si>
    <t>Queue management task</t>
  </si>
  <si>
    <t>efc442d9-eab6-4278-86ea-6f65b43ddbe5</t>
  </si>
  <si>
    <t>adjusted meal due to meeting and QM task</t>
  </si>
  <si>
    <t>0ab587d5-3cf1-495b-9e10-7aed2c47a41c</t>
  </si>
  <si>
    <t>b3ec9e1e-1c45-4f4f-9895-ec93094619b4</t>
  </si>
  <si>
    <t>c89cb1f5-43db-4c8d-82ff-cf8381990ae0</t>
  </si>
  <si>
    <t>aed69a7f-e395-4096-9ad2-c5574955de8c</t>
  </si>
  <si>
    <t>d202f7aa-2958-417a-abc1-9b36923af3c7</t>
  </si>
  <si>
    <t>1777ced2-3036-43fa-9342-15ca3abff68d</t>
  </si>
  <si>
    <t>HDSL</t>
  </si>
  <si>
    <t>ea909f9d-2e5e-4d21-a839-2f8907b0adc6</t>
  </si>
  <si>
    <t>8ca1aff2-cbf3-4715-8698-37bf5bf5acb1</t>
  </si>
  <si>
    <t>39bf392e-53f1-4732-b170-1986a5299abf</t>
  </si>
  <si>
    <t>fe6cce12-96a9-422e-97d4-b4081a9df340</t>
  </si>
  <si>
    <t>47ab1dfe-f1d2-480b-9ad3-55c1657b3cea</t>
  </si>
  <si>
    <t>ea06c57a-1afb-4f5b-bc19-b49490a65634</t>
  </si>
  <si>
    <t>e633ca02-4be2-4ca4-b455-23a2ee222464</t>
  </si>
  <si>
    <t>89fab720-4eee-49e1-b5ca-af69452d2507</t>
  </si>
  <si>
    <t>e6ec9afc-4c4b-4ecc-ade1-e44b30a7aa5d</t>
  </si>
  <si>
    <t>c776050b-4fc3-4d5a-8305-7c3d46a80679</t>
  </si>
  <si>
    <t>8941a42e-630f-4e32-ac1a-aa9495a2b319</t>
  </si>
  <si>
    <t>Alex Batusin</t>
  </si>
  <si>
    <t>andria@canva.com</t>
  </si>
  <si>
    <t>Work: SSS Creators</t>
  </si>
  <si>
    <t>c6879a17-9fcd-4192-9125-1bf8b055ad66</t>
  </si>
  <si>
    <t>09346eeb-f7f2-4a37-b0c2-b1f4365065e1</t>
  </si>
  <si>
    <t>76843711-0ee3-496f-9a45-30181dee69ba</t>
  </si>
  <si>
    <t>43475a9c-0e59-4198-90d8-725fbe32ad65</t>
  </si>
  <si>
    <t>Bi-Annual Security and Privacy Refresher (2025) via Workramp</t>
  </si>
  <si>
    <t>7f5ec58d-d0e6-42d8-b152-0e3caea9de81</t>
  </si>
  <si>
    <t>a69030af-2bbb-4789-940d-2c037aef4f78</t>
  </si>
  <si>
    <t>413f4c5a-85c1-45ff-820c-17bb04ccce45</t>
  </si>
  <si>
    <t>bf75b003-a699-4490-88b4-5829c442d929</t>
  </si>
  <si>
    <t>9ce8533a-cc0d-46a7-bbd8-153e564531f2</t>
  </si>
  <si>
    <t>3397aee8-795e-4ad0-af6b-969ba74092dc</t>
  </si>
  <si>
    <t>1ee8ac5c-b183-416b-b806-03ded6ffd5e6</t>
  </si>
  <si>
    <t>0863c27c-45ef-40c4-b02c-5bb7a075b975</t>
  </si>
  <si>
    <t>0b4664a3-3b63-49b9-9b84-f2d61bd3eb20</t>
  </si>
  <si>
    <t>416df3bc-9b67-4cc4-9222-d7fe760cd005</t>
  </si>
  <si>
    <t>9af706e5-46ab-4604-892e-e541a0bec134</t>
  </si>
  <si>
    <t>51e5438c-7ecf-4948-8e4d-c377959362e4</t>
  </si>
  <si>
    <t>4e3b5884-cffc-487d-b4ce-55303299382b</t>
  </si>
  <si>
    <t>934c5648-e779-4172-97c3-46bb20640933</t>
  </si>
  <si>
    <t>5d56c706-6a6b-4c62-8dec-a2cdf74f8d52</t>
  </si>
  <si>
    <t>b8142feb-f725-4db3-917c-5031c5f52359</t>
  </si>
  <si>
    <t>83874117-ffb6-4e47-ba34-229a6281d915</t>
  </si>
  <si>
    <t>29424496-9e54-4f8f-bb84-5cb7934bff92</t>
  </si>
  <si>
    <t>2ffdab50-ba8e-4ff1-a8d9-e609f47d6cbd</t>
  </si>
  <si>
    <t>Cheche Ramirez</t>
  </si>
  <si>
    <t>catherine@canva.com</t>
  </si>
  <si>
    <t>vertigo</t>
  </si>
  <si>
    <t>54766818-0a6b-41a6-835a-05e05e879f2d</t>
  </si>
  <si>
    <t>40b57508-35cb-414c-9990-9f0dfc9585db</t>
  </si>
  <si>
    <t>Coaching</t>
  </si>
  <si>
    <t>3b295089-5280-49ac-bc87-553fdb00119d</t>
  </si>
  <si>
    <t>Work: Print</t>
  </si>
  <si>
    <t>cac4ac57-d2ea-453e-bfd7-46ffdae6da27</t>
  </si>
  <si>
    <t>8c6b1136-87a3-4c78-8e7b-ff1429d13f9c</t>
  </si>
  <si>
    <t>e89edc3a-ab47-4149-9457-578dca1e2c1d</t>
  </si>
  <si>
    <t>Bi-Annual Security and Privacy Refresher</t>
  </si>
  <si>
    <t>a5749ba0-4648-4c1f-adf9-88a48ce41df1</t>
  </si>
  <si>
    <t>2f00a2fc-20a2-40c9-b8ea-43422623e422</t>
  </si>
  <si>
    <t>d3183e3c-f488-48b4-83cd-b977900f0a43</t>
  </si>
  <si>
    <t>cde583ea-c857-46f7-be12-4e38b34ff00d</t>
  </si>
  <si>
    <t>Policy Abuse Process Revamp: Aligning with Notes Security and Privacy Guidelines” Training</t>
  </si>
  <si>
    <t>a8a538e8-0a05-4c93-8381-948a0cc3cf69</t>
  </si>
  <si>
    <t>e5af02f6-3635-4075-82b5-70de4b50c7bd</t>
  </si>
  <si>
    <t>1ce63d32-f3d7-487f-b36d-af18f302d424</t>
  </si>
  <si>
    <t>af982906-8ea1-418b-a0e4-094a126f909d</t>
  </si>
  <si>
    <t>Change plotted meeting</t>
  </si>
  <si>
    <t>7e866da9-6688-43fd-b203-62f82c7999bf</t>
  </si>
  <si>
    <t>d60553d9-428d-43d0-9af9-bc16894e62f2</t>
  </si>
  <si>
    <t>03e5a8db-d03e-44ae-8fca-2fe71ed283d9</t>
  </si>
  <si>
    <t>a3d171b3-8ad9-4ae8-84c3-f4bee023ea34</t>
  </si>
  <si>
    <t>SL</t>
  </si>
  <si>
    <t>7ecfbf80-589e-4c14-86b1-a20aa2adc4d1</t>
  </si>
  <si>
    <t>1b503e04-581d-4aad-9c30-a7e1bb46ba3d</t>
  </si>
  <si>
    <t>98fc8f19-3df2-4733-892e-69ca8c5149de</t>
  </si>
  <si>
    <t>6d022527-c820-41bd-b97b-b97275c15562</t>
  </si>
  <si>
    <t>13f66a7a-f509-4a64-9cec-52027997f43f</t>
  </si>
  <si>
    <t>56ac2ce5-dcc6-4b20-ae74-89c61e812075</t>
  </si>
  <si>
    <t>021b74ea-5511-4b56-9f2a-6ea9d6443caa</t>
  </si>
  <si>
    <t>Red Dela Rosa</t>
  </si>
  <si>
    <t>red@canva.com</t>
  </si>
  <si>
    <t>Extended SL</t>
  </si>
  <si>
    <t>5ffa8ed8-4011-4320-bb35-fe03c6a58219</t>
  </si>
  <si>
    <t>Work: Admin SSO</t>
  </si>
  <si>
    <t>8392ef74-20c6-4341-a3e0-87ccaa987405</t>
  </si>
  <si>
    <t>73060000-990d-4a54-95c8-2d21de0b304d</t>
  </si>
  <si>
    <t>59412dbd-2027-47b9-98d0-75a61061d4ac</t>
  </si>
  <si>
    <t>eb87393a-cfb5-4cab-b6a3-5ff142c70de2</t>
  </si>
  <si>
    <t>Work: Admin Omni</t>
  </si>
  <si>
    <t>151f1634-71a4-414b-acfa-9ae001fd7ddd</t>
  </si>
  <si>
    <t>ec88646c-f3bc-4cbb-bb8f-0061cbc8e69e</t>
  </si>
  <si>
    <t>803c5375-f6c6-416c-8efb-a37af7838c6b</t>
  </si>
  <si>
    <t>f8120479-c644-41e7-902c-491a7bfc08cf</t>
  </si>
  <si>
    <t>9940a179-c34a-496f-a249-b02b90bed613</t>
  </si>
  <si>
    <t>63630388-b847-40a6-bce3-5bf8b916768f</t>
  </si>
  <si>
    <t>c7e380bc-f38a-4cf6-8333-d7f1547d478d</t>
  </si>
  <si>
    <t>82325606-ee4f-4c40-84ac-49b838160aaa</t>
  </si>
  <si>
    <t>e823bb85-e92d-4891-94dd-022ee32c49de</t>
  </si>
  <si>
    <t>ae25934e-8249-4a82-be6e-8dad3b240615</t>
  </si>
  <si>
    <t>LWOP</t>
  </si>
  <si>
    <t>e91786f9-c443-4d74-ae98-31e9025c53a1</t>
  </si>
  <si>
    <t>0f5d7a3e-77a4-4151-9a34-dbec92de0a9c</t>
  </si>
  <si>
    <t>ae6dc30a-6611-495b-9b78-575670b6a673</t>
  </si>
  <si>
    <t>79cb7af7-0737-41da-a1aa-85f3bd036260</t>
  </si>
  <si>
    <t>2e94c043-ad5c-45d0-b0ff-1901e5a11ac3</t>
  </si>
  <si>
    <t>0aa4de2d-180a-46ad-ad9b-9ef56594c9c9</t>
  </si>
  <si>
    <t>9721fddb-68a3-4642-ad70-9c123debd6c5</t>
  </si>
  <si>
    <t>Andrea Lugtu</t>
  </si>
  <si>
    <t>xandwea@canva.com</t>
  </si>
  <si>
    <t>affac222-41b3-4ecb-91cd-a6cc4e746fdb</t>
  </si>
  <si>
    <t>e97b37c8-f18b-42b9-9173-ef6b741786e6</t>
  </si>
  <si>
    <t>5a26d6de-a0a1-476f-b65a-9981d15bcc89</t>
  </si>
  <si>
    <t>5a44945c-f664-407c-805a-f46e03673f16</t>
  </si>
  <si>
    <t>2c57fe3d-9ef9-4caf-aff1-7edb70d00f30</t>
  </si>
  <si>
    <t>SEE Support</t>
  </si>
  <si>
    <t>a18fd8dc-2766-46c4-9eff-8da37a007340</t>
  </si>
  <si>
    <t>c08a546d-4d56-4325-b880-08b78e4d4427</t>
  </si>
  <si>
    <t>5b2418b1-4ee6-4127-aaae-bfb0a969ba4e</t>
  </si>
  <si>
    <t>0ba96639-c711-4742-bee2-fae592dfd81c</t>
  </si>
  <si>
    <t>d8f65e1f-0f65-4b69-86df-1740a66902ed</t>
  </si>
  <si>
    <t>b61a247f-563e-4794-b5a9-70e0dc9fcd68</t>
  </si>
  <si>
    <t>3653c7a8-727b-4721-a8ee-69082422643b</t>
  </si>
  <si>
    <t>320d846d-d46a-41bb-b32b-dbb124ce0434</t>
  </si>
  <si>
    <t>a33b8931-ec0b-492d-a066-c38818607933</t>
  </si>
  <si>
    <t>1c69f32b-fa1c-49a0-b52f-4db95567a02d</t>
  </si>
  <si>
    <t>5793fc7b-f762-437d-9bc5-377f6da599bf</t>
  </si>
  <si>
    <t>4ffb5136-47ee-49f4-b152-fe4cea0b8a4d</t>
  </si>
  <si>
    <t>8ef403ea-dd69-4ef8-b3df-b48b117a6908</t>
  </si>
  <si>
    <t>a5631de5-6c60-4c99-847d-beeb59e39626</t>
  </si>
  <si>
    <t>e131728f-fd1c-4b0e-a2a0-6f1d693ee88b</t>
  </si>
  <si>
    <t>cf374ae7-bb1c-4e0b-b3ee-059b160537e6</t>
  </si>
  <si>
    <t>e86aaa50-8e65-4486-bd50-4799f548ad82</t>
  </si>
  <si>
    <t>8193b43c-e16c-4bbe-b5ff-f980fd1e7ce5</t>
  </si>
  <si>
    <t>1ca945dd-e341-4a5f-8e76-2fb3b9d2013e</t>
  </si>
  <si>
    <t>4b0fe486-9afd-468a-8430-94b7c0777d40</t>
  </si>
  <si>
    <t>0dc9d893-d74c-49eb-8272-16deb6790c3a</t>
  </si>
  <si>
    <t>50db3f46-8280-4734-869a-540ded9d1cf1</t>
  </si>
  <si>
    <t>c2a09599-12d5-48aa-bc24-c2e9f9db7473</t>
  </si>
  <si>
    <t>03a2ac9e-65a5-409e-851b-a4c93a003187</t>
  </si>
  <si>
    <t>Bembie Llanza</t>
  </si>
  <si>
    <t>bembiellanza@canva.com</t>
  </si>
  <si>
    <t>CL</t>
  </si>
  <si>
    <t>78de7198-b5c9-4672-8e9d-fd964543c52e</t>
  </si>
  <si>
    <t>81cfba03-282f-4a5d-8f00-71f108589e9b</t>
  </si>
  <si>
    <t>3cd334d0-77fe-4927-bab2-db08a509a97c</t>
  </si>
  <si>
    <t>aefd98c2-4e08-4e7f-8b63-1d202539ab98</t>
  </si>
  <si>
    <t>2b1759b9-19f0-47c2-8f2b-d9facbb61c5f</t>
  </si>
  <si>
    <t>e3c7a6c6-a915-452f-9018-e903e5d4fbe3</t>
  </si>
  <si>
    <t>388342e6-8bcf-4b36-a0bd-d3b7ba460d5f</t>
  </si>
  <si>
    <t>d25f2926-0bb4-4412-b7da-23979589ac80</t>
  </si>
  <si>
    <t>32956c15-1ad8-4e60-aa9e-67de65837d8c</t>
  </si>
  <si>
    <t>02e18c90-cf9d-40f7-b8e5-199ecadca7cb</t>
  </si>
  <si>
    <t>108475b4-9e74-4d22-a200-e25976a8e57b</t>
  </si>
  <si>
    <t>685facd9-1fe7-449f-b201-a458ff7d7ac3</t>
  </si>
  <si>
    <t>f9e6ffe8-58fc-435f-a9ce-04a97bc78356</t>
  </si>
  <si>
    <t>Coaching extended</t>
  </si>
  <si>
    <t>c9834661-5dcc-4547-8397-e2414d58781f</t>
  </si>
  <si>
    <t>769d36bc-8276-4d1c-9b7e-7c0122f4017e</t>
  </si>
  <si>
    <t>Didn't notice my tagging didn't go through (probably cuz of internet issue), so I'm adjusting my break instead.</t>
  </si>
  <si>
    <t>987b65d2-9fa5-49b3-af7a-9250362b539f</t>
  </si>
  <si>
    <t>e24d09d8-63c1-4f5b-a7ca-35fea44ed2fe</t>
  </si>
  <si>
    <t>cc39f581-5cc5-4e5e-84fa-b7d01a6a38d4</t>
  </si>
  <si>
    <t>c1523c52-c886-4993-98ce-1561d7d958fa</t>
  </si>
  <si>
    <t>8c054bcb-b356-4aa7-92ee-56645eaf2ad4</t>
  </si>
  <si>
    <t>c664914d-b40a-4512-9698-497c905de312</t>
  </si>
  <si>
    <t>dec4f291-5077-430b-964c-bc7f7c5bb421</t>
  </si>
  <si>
    <t>ce8bbd81-c204-4633-8ac2-74d2c880c460</t>
  </si>
  <si>
    <t>dca9bb3b-730c-4f56-9348-a6c57b525439</t>
  </si>
  <si>
    <t>c7dd845d-4621-4bea-affd-b79e038f7157</t>
  </si>
  <si>
    <t>Camille Neypes</t>
  </si>
  <si>
    <t>camille.n@canva.com</t>
  </si>
  <si>
    <t>Work: Admin PH</t>
  </si>
  <si>
    <t>9c925fbb-78d9-443d-bd07-a4282e5b4457</t>
  </si>
  <si>
    <t>fb3de0bc-a011-468f-9242-1968134778ef</t>
  </si>
  <si>
    <t>3fea106a-16bd-49c8-ab8b-f070c32bf532</t>
  </si>
  <si>
    <t>ea87557b-649e-4370-9b14-498ef2b3fc84</t>
  </si>
  <si>
    <t>0cce2106-0e5c-40e6-af50-ca21d2b6143a</t>
  </si>
  <si>
    <t>9cfc6df8-f007-4527-9a52-cc3078d49a0e</t>
  </si>
  <si>
    <t>District Support Part 1: Module 3, Lesson 3, and Module 4, Lessons 1-3</t>
  </si>
  <si>
    <t>8507bd50-4bda-443b-818b-b737fe1227bc</t>
  </si>
  <si>
    <t>250ae535-e1a3-4ed9-b76f-4d25aa6c7f81</t>
  </si>
  <si>
    <t>3a48ba1d-b073-4c21-ae0d-8a906bf4d355</t>
  </si>
  <si>
    <t>ac5b10d2-176b-494a-9cdb-b27daa60b3da</t>
  </si>
  <si>
    <t>7457852b-0f87-485f-a0fc-2806ea9c9698</t>
  </si>
  <si>
    <t>719d23d3-1ef4-4642-aa86-b9f22bd888f5</t>
  </si>
  <si>
    <t>c49f393b-03ad-4b90-bb74-3edcae30dde3</t>
  </si>
  <si>
    <t>42ad6d35-040e-4b90-b26a-6ecf5c391fff</t>
  </si>
  <si>
    <t>0676894e-161b-4521-828e-d67928d319a7</t>
  </si>
  <si>
    <t>397968fc-16f9-4561-913d-9cc93cd4b4ec</t>
  </si>
  <si>
    <t>d067938f-3edb-4b09-9691-985fb4504d0f</t>
  </si>
  <si>
    <t>1e897354-0ada-4bc5-aafd-95e40d5f5477</t>
  </si>
  <si>
    <t>702a1682-65ec-47f2-b736-d60aecc92e68</t>
  </si>
  <si>
    <t>Jas Esperat</t>
  </si>
  <si>
    <t>jas@canva.com</t>
  </si>
  <si>
    <t>7f4df617-11d2-464f-ab8b-7b6211ef9793</t>
  </si>
  <si>
    <t>af14bb07-0f88-4d4c-92f0-080618887470</t>
  </si>
  <si>
    <t>6c419a74-a1a4-40a6-b575-11936a20a537</t>
  </si>
  <si>
    <t>3aa4c639-ca59-4725-9544-4602549bbde9</t>
  </si>
  <si>
    <t>fa9473df-89c2-4bf9-b6ba-05f1d31bf087</t>
  </si>
  <si>
    <t>24a57939-8e2a-4827-9924-0bcc7dd5115b</t>
  </si>
  <si>
    <t>bab76370-bcfb-4a02-93f8-018a36dc0315</t>
  </si>
  <si>
    <t>49d8a7f5-d245-4248-be2f-1ebe2982aaa4</t>
  </si>
  <si>
    <t>56f60ef6-3b83-47ff-8605-a79dc4128777</t>
  </si>
  <si>
    <t>c2b9f2c0-7574-4fa4-ad31-a1547b5929b9</t>
  </si>
  <si>
    <t>43e83b77-7777-4145-b093-e7b9c5cb81ea</t>
  </si>
  <si>
    <t>801e1cdc-9f38-42d1-be1c-3872a585e00a</t>
  </si>
  <si>
    <t>17d0f589-c4c3-4c27-ab3d-3007205d6578</t>
  </si>
  <si>
    <t>6f26cc3a-426a-487b-8c22-185908c7456d</t>
  </si>
  <si>
    <t>d97b123f-aa5d-47f0-9233-b90e93467fa1</t>
  </si>
  <si>
    <t>49acf7cd-1e5e-49e7-8fce-337c1f852ea7</t>
  </si>
  <si>
    <t>b69303c3-a393-4bf7-b56c-ec6f1fc0f527</t>
  </si>
  <si>
    <t>6615a3d9-a446-43ce-be8f-e650f2245073</t>
  </si>
  <si>
    <t>6e2aa6dc-8c0f-459b-8313-7e23a8986bcf</t>
  </si>
  <si>
    <t>Sick</t>
  </si>
  <si>
    <t>bf40375d-732a-44a1-8ba0-022028db726a</t>
  </si>
  <si>
    <t>2c8dc2b1-fc4f-4c56-87cd-320bc95c78be</t>
  </si>
  <si>
    <t>b7c556b6-e7a9-4d8f-8fd2-12b509a06a1f</t>
  </si>
  <si>
    <t>a5b6f808-7e87-4668-a7a6-2faa138923c8</t>
  </si>
  <si>
    <t>Jorell Bollozos</t>
  </si>
  <si>
    <t>jorell@canva.com</t>
  </si>
  <si>
    <t>c239221e-79ed-4d39-b004-341c6cd1c2f7</t>
  </si>
  <si>
    <t>cc1d45f1-c0d3-4cc7-82d5-3678d0223b81</t>
  </si>
  <si>
    <t>b192e4d5-cbc4-483b-a66b-053815a9b5a9</t>
  </si>
  <si>
    <t>2f634f60-b07a-4264-b958-cec0462e7780</t>
  </si>
  <si>
    <t>e137ece9-5e1b-4829-8f41-d1204bbc0f53</t>
  </si>
  <si>
    <t>9bdc86ca-619b-4845-9721-302170ed05fc</t>
  </si>
  <si>
    <t>a050d62b-a16d-4b0b-a15c-96fd01b722b1</t>
  </si>
  <si>
    <t>ca1946e7-ab24-4973-8d74-bd4ce9a309f4</t>
  </si>
  <si>
    <t>18300aba-008d-4efd-9054-f6d0d337515e</t>
  </si>
  <si>
    <t>2dae417c-3dd2-4f71-bc06-990dd64a3b92</t>
  </si>
  <si>
    <t>4dca0431-2562-4cb9-8a02-b79ac1f31d31</t>
  </si>
  <si>
    <t>532d1018-97ae-4de4-a3f4-528fd928a6b8</t>
  </si>
  <si>
    <t>562d4da1-d103-4473-a46f-8c8474fe3f92</t>
  </si>
  <si>
    <t>b0e119fa-0c4c-4241-94d6-9146a6d824be</t>
  </si>
  <si>
    <t>18bedade-8b73-4936-9102-e91174207091</t>
  </si>
  <si>
    <t>21a49f01-659c-43cd-b855-91bf36108139</t>
  </si>
  <si>
    <t>46f47aeb-4bed-43b0-8c46-2414976593d9</t>
  </si>
  <si>
    <t>10c083f2-a669-4318-aca6-716f93df258a</t>
  </si>
  <si>
    <t>22f73b27-1b5d-4070-a1f5-56cc3da534b8</t>
  </si>
  <si>
    <t>24035150-7345-4018-ac16-1b8dca05958b</t>
  </si>
  <si>
    <t>79bd899c-40dc-4886-bbe8-fbfa13194045</t>
  </si>
  <si>
    <t>d8ba7039-ad9e-4353-a1a4-1c801e512eec</t>
  </si>
  <si>
    <t>a5a8af70-3ff8-4bd0-ab18-d8d59ccc4dfa</t>
  </si>
  <si>
    <t>6e1c2022-4de4-4a40-8f87-d723c4bcc5df</t>
  </si>
  <si>
    <t>ab9fe17b-c313-4ea9-a204-4372109fc4d6</t>
  </si>
  <si>
    <t>1bd432de-0a25-4952-a1cc-3177359bbe49</t>
  </si>
  <si>
    <t>fdaf4a94-e4b7-4be1-9eb8-549d9310e19b</t>
  </si>
  <si>
    <t>e930b948-a2f3-4c3f-8b54-7ddcb5c13c7b</t>
  </si>
  <si>
    <t>Josa Bernardino</t>
  </si>
  <si>
    <t>josab@canva.com</t>
  </si>
  <si>
    <t>Work: CPS CPSET</t>
  </si>
  <si>
    <t>efcdcaac-772e-42ee-be58-1464416ed95b</t>
  </si>
  <si>
    <t>82d91d39-3661-4ebb-b65e-dc1360c7bcb1</t>
  </si>
  <si>
    <t>d17605c7-312b-4d5e-9827-83c6901d3f9a</t>
  </si>
  <si>
    <t>410f1acc-bec1-4d1f-a66e-daedd63fb01a</t>
  </si>
  <si>
    <t>de7c5fa2-f103-4357-baf3-2bef4722b5b1</t>
  </si>
  <si>
    <t>a2396af0-5298-4be3-bc48-e4bc4e98cc29</t>
  </si>
  <si>
    <t>62fbf182-47ae-4305-ac0f-82748e1b1754</t>
  </si>
  <si>
    <t>4bee320b-deca-48fd-94b3-36e316fa1167</t>
  </si>
  <si>
    <t>137d58c8-248f-4a18-bda4-1942642cad57</t>
  </si>
  <si>
    <t>e10f10ca-5284-48b0-8df8-c98470655054</t>
  </si>
  <si>
    <t>3e5dc1fa-7e67-4024-960d-edb9fd622fb2</t>
  </si>
  <si>
    <t>068bd4a1-8df1-4e21-97c5-dacfa9497d9f</t>
  </si>
  <si>
    <t>e72b9e2e-d4f4-4f27-a856-deedb8cd1d0d</t>
  </si>
  <si>
    <t>883dd78d-639e-4e5e-93db-208e259bed4f</t>
  </si>
  <si>
    <t>f13d938c-e3f1-4397-b2b3-c8be429e1575</t>
  </si>
  <si>
    <t>cf3ce71d-9cfe-470e-9ca9-e64a07e27558</t>
  </si>
  <si>
    <t>f9c8a9e0-15af-4215-8078-a385297bc380</t>
  </si>
  <si>
    <t>d29a1d61-1e3a-461a-ab50-11ae34e4262f</t>
  </si>
  <si>
    <t>b1ab241d-fdab-4d41-bf1f-c810700c67cf</t>
  </si>
  <si>
    <t>VL</t>
  </si>
  <si>
    <t>2842c4a8-bcda-4a56-b052-c5678b26c565</t>
  </si>
  <si>
    <t>6784dc41-895b-4b24-8094-297c918baf5c</t>
  </si>
  <si>
    <t>38117df5-5429-4325-8378-19d850b49f14</t>
  </si>
  <si>
    <t>6a3934f4-7368-480d-81fb-3e37cde18f3f</t>
  </si>
  <si>
    <t>a42e64d3-7ac5-433c-b3c6-2de67cfeee2f</t>
  </si>
  <si>
    <t>dd8d87dc-0318-4809-9edc-efc52694654e</t>
  </si>
  <si>
    <t>a61c59da-b157-4c7b-97bc-ab13bc6e891c</t>
  </si>
  <si>
    <t>20f1dcca-68c7-4f09-b7c4-6dfe07f56fe6</t>
  </si>
  <si>
    <t>a25bacc6-dfb5-4ef3-bbd1-42e020f99039</t>
  </si>
  <si>
    <t>d34aba25-1e55-4f8e-b85b-ef3d3928a2d3</t>
  </si>
  <si>
    <t>Kamille Batuyong</t>
  </si>
  <si>
    <t>kamilleb@canva.com</t>
  </si>
  <si>
    <t>1e050691-8bbd-4302-b79c-054cd23390d0</t>
  </si>
  <si>
    <t>d59e0418-3e83-47cf-b794-464165f5ab50</t>
  </si>
  <si>
    <t>12ae9c49-fec2-44e7-8d90-32e942d1a4ae</t>
  </si>
  <si>
    <t>e2bfcbf7-ea85-4c0a-a08a-1e83bbd5a496</t>
  </si>
  <si>
    <t>e2a7a552-af3c-48b0-9153-3a8c877b4a36</t>
  </si>
  <si>
    <t>c2ebd3b4-33f9-49fc-98bc-4be4af4eb18f</t>
  </si>
  <si>
    <t>7c6471ee-f1c0-469e-881d-5edbcdb1e590</t>
  </si>
  <si>
    <t>73307916-4bbd-4429-9b26-afcc1edf4719</t>
  </si>
  <si>
    <t>cf0bd169-e5d0-490b-85ac-400bb0724ae0</t>
  </si>
  <si>
    <t>91e1b721-2282-41a1-9b8b-bbc4299c576f</t>
  </si>
  <si>
    <t>bc16cc4a-7083-425b-b33f-003b854dc9d4</t>
  </si>
  <si>
    <t>f6f25be3-2a8c-48c7-a3dd-8a029c8afa4a</t>
  </si>
  <si>
    <t>4bb6df22-fda8-4f0c-b0d6-621512e7bd63</t>
  </si>
  <si>
    <t>91b38f14-ddf7-4cd2-94e3-aafb9bef919b</t>
  </si>
  <si>
    <t>2e3141cd-e6f6-47e1-802f-1b926d247292</t>
  </si>
  <si>
    <t>98c801b9-36bb-45c3-8253-7ad4ecdc47eb</t>
  </si>
  <si>
    <t>efe167b8-3723-4c2b-929a-26a7b0024fd6</t>
  </si>
  <si>
    <t>56d12056-cd5c-4767-b61c-ab29a0362d38</t>
  </si>
  <si>
    <t>912cdf94-3e2a-4302-a290-c0ac56a98b34</t>
  </si>
  <si>
    <t>afb9f5b1-a0ec-442e-8757-b4fc2b9d38ea</t>
  </si>
  <si>
    <t>a04480cb-b75d-4116-b851-dc69c3475328</t>
  </si>
  <si>
    <t>a21d55f1-d0f4-4f02-8c0f-f4ba2a06b09a</t>
  </si>
  <si>
    <t>8f97af18-f4cb-426b-b52b-bd3c5097ce7f</t>
  </si>
  <si>
    <t>ad23371f-dc2b-45b1-86bc-f83709b2a9b3</t>
  </si>
  <si>
    <t>7c9c865f-df0e-40fc-b427-6100521981b7</t>
  </si>
  <si>
    <t>57a3fc05-ec44-4cca-b1dc-d63cbb1d0818</t>
  </si>
  <si>
    <t>df796492-c3b6-4754-97d7-bdb7ffe076e7</t>
  </si>
  <si>
    <t>aa66671e-d4e5-495e-8538-1c9ef4bc0848</t>
  </si>
  <si>
    <t>e5eebde5-1bdf-4fc4-a4e5-e5f13689363d</t>
  </si>
  <si>
    <t>Kim Mescallado</t>
  </si>
  <si>
    <t>kimmescallado@canva.com</t>
  </si>
  <si>
    <t>Mental health break</t>
  </si>
  <si>
    <t>6fd90ed8-8b7b-4b83-98f9-9c59efaf7429</t>
  </si>
  <si>
    <t>6b419baf-1a66-4e5c-b42b-0398a3ebebf3</t>
  </si>
  <si>
    <t>9945a747-3045-42ea-97f2-edbbca51b6ac</t>
  </si>
  <si>
    <t>89d48b60-2810-41a7-9f93-875649c690cf</t>
  </si>
  <si>
    <t>d8b7922d-5547-4406-8121-f6c3b2eddfa9</t>
  </si>
  <si>
    <t>61cd37af-3b0b-40a0-83f6-7cb08d7d48cd</t>
  </si>
  <si>
    <t>48d44ae4-7022-4c16-a442-c9f2ce129e71</t>
  </si>
  <si>
    <t>b2f9b6c1-03b2-4899-8800-8039ea010921</t>
  </si>
  <si>
    <t>067f3f0e-4bd1-4cb6-a718-5d3ddb5cfb1f</t>
  </si>
  <si>
    <t>f6f6ca99-d3fc-4ac0-86a4-a536f7e4b7e7</t>
  </si>
  <si>
    <t>635185f0-754a-4b03-9968-c155fe08462c</t>
  </si>
  <si>
    <t>a052e0a1-35ce-4fd0-ad1d-81dddfc68801</t>
  </si>
  <si>
    <t>6bb52f45-5461-49f8-b56d-d9bc9d5b8907</t>
  </si>
  <si>
    <t>a3bf0e0e-91b4-47b1-beba-f92676326d88</t>
  </si>
  <si>
    <t>aa0f82f3-08e2-4ff8-a814-a68975746b7d</t>
  </si>
  <si>
    <t>27e20f4f-fdb1-4fa3-95ea-4f62ace17764</t>
  </si>
  <si>
    <t>c3bb9a47-0724-474a-8d4c-eb819d1dc34a</t>
  </si>
  <si>
    <t>0d86d917-4544-4576-bcd9-01afaea64577</t>
  </si>
  <si>
    <t>8b477a60-774d-4ddd-b974-e80d6e54d52d</t>
  </si>
  <si>
    <t>cb053c3e-dee8-43db-a285-599ff63fafda</t>
  </si>
  <si>
    <t>789b059f-b087-4fca-87c4-94ae4a637732</t>
  </si>
  <si>
    <t>4f63eabe-d7eb-46f6-9829-139abd406624</t>
  </si>
  <si>
    <t>29b21b71-c3b8-4a79-8f39-a7e12f982802</t>
  </si>
  <si>
    <t>7d24c73f-79de-49b9-9a7c-a426e01cd9f4</t>
  </si>
  <si>
    <t>08a3f30a-fc98-452c-bb27-f981d0996275</t>
  </si>
  <si>
    <t>b6b23d77-9162-45f0-911c-69ca0b3ec6ef</t>
  </si>
  <si>
    <t>d68a3b09-c70f-481e-a479-2a4f5a1a4163</t>
  </si>
  <si>
    <t>b9494aa1-03ca-4afe-9a5b-5fb65443b997</t>
  </si>
  <si>
    <t>6ac40464-89bd-49d1-a927-e5a7f50da1cf</t>
  </si>
  <si>
    <t>3c5cbdf8-69d4-4412-a5e3-9ca7767ed569</t>
  </si>
  <si>
    <t>9ac4e33f-4ada-45b2-9766-5218f573c87d</t>
  </si>
  <si>
    <t>eb5973a4-4d59-4dfa-a42f-c0d7a4070382</t>
  </si>
  <si>
    <t>bb9992e4-86b4-4be4-9177-e09f03299559</t>
  </si>
  <si>
    <t>Kiro Mondala</t>
  </si>
  <si>
    <t>kiro@canva.com</t>
  </si>
  <si>
    <t>5a359ecf-7544-45a8-872f-d02d2f2601ac</t>
  </si>
  <si>
    <t>4b890a3f-8f2d-4dd6-98a0-0e70546fc405</t>
  </si>
  <si>
    <t>back reading</t>
  </si>
  <si>
    <t>1c2c62c0-dcf3-4446-a544-f044f19d387b</t>
  </si>
  <si>
    <t>bfe33794-b30c-44cd-8378-41d73a70285c</t>
  </si>
  <si>
    <t>Quick QM Huddle</t>
  </si>
  <si>
    <t>2485ad8d-6d25-4957-b120-3895f0199c67</t>
  </si>
  <si>
    <t>e43c9dd4-9b48-433e-8dd6-5283cb59bb04</t>
  </si>
  <si>
    <t>0e04d40e-8e3b-4c2e-bfc3-c6fbfbb5c141</t>
  </si>
  <si>
    <t>5842529b-7b10-4044-869a-817691e4de50</t>
  </si>
  <si>
    <t>1:1</t>
  </si>
  <si>
    <t>279738a6-10e6-403f-a699-e200e1e428bb</t>
  </si>
  <si>
    <t>f125523c-1ac5-435a-949c-44215fec64cb</t>
  </si>
  <si>
    <t>8ceb69a6-5a27-4df5-9d6f-faae1e55f2fd</t>
  </si>
  <si>
    <t>bd438475-9bc6-424c-9c61-38d230cf4b09</t>
  </si>
  <si>
    <t>District Support Part 2: Lessons 1-3</t>
  </si>
  <si>
    <t>eefb871d-b48b-407e-83e2-d239b3625961</t>
  </si>
  <si>
    <t>c14c81e7-dbd5-40c6-80a2-f100318a7229</t>
  </si>
  <si>
    <t>fe750cf0-114e-41fd-8bb8-76e8f7d66c8c</t>
  </si>
  <si>
    <t>District Support Part 2: Lessons 1-4</t>
  </si>
  <si>
    <t>c38acc4b-13b9-467f-9964-7d6c53499d78</t>
  </si>
  <si>
    <t>28f58be1-3401-48ea-a7f3-f18a187fae24</t>
  </si>
  <si>
    <t>bb6e7388-6efd-4543-b22d-77b74ebbc6a3</t>
  </si>
  <si>
    <t>c4e34399-985a-4354-8bf8-f13e9cebaaee</t>
  </si>
  <si>
    <t>f99f6a3b-33ed-4d81-8da1-45b942d38e5c</t>
  </si>
  <si>
    <t>2e498bf5-aa43-4384-89f8-e1d465e7b24e</t>
  </si>
  <si>
    <t>cd72efb4-434e-4384-b238-9bda9a42b664</t>
  </si>
  <si>
    <t>266b151c-bc9d-410c-ba2a-8edb42bd129f</t>
  </si>
  <si>
    <t>f8ee2a8f-315a-4dbd-9e83-fadf81dc65ef</t>
  </si>
  <si>
    <t>efa005a9-fbda-4bf5-ae82-658a6ec67bb9</t>
  </si>
  <si>
    <t>9ec42277-802e-4dea-b288-c3f190cff1eb</t>
  </si>
  <si>
    <t>Ruzel Raqueno</t>
  </si>
  <si>
    <t>ruzel@canva.com</t>
  </si>
  <si>
    <t>33058a23-7fe8-4d60-a5b0-f870eff593b1</t>
  </si>
  <si>
    <t>551d18d3-251e-4134-9ce4-2f0260b718c4</t>
  </si>
  <si>
    <t>1270b789-087b-4e75-be50-431a42098a7a</t>
  </si>
  <si>
    <t>0c375b6e-7505-4f62-8ac3-bda99008b7be</t>
  </si>
  <si>
    <t>f0e2591d-e4fd-41ba-8113-a9edc5a79e51</t>
  </si>
  <si>
    <t>6555dd7f-13cc-45db-96cc-fab9eff2a5aa</t>
  </si>
  <si>
    <t>8fdec3f5-e34c-4656-b0e9-0a83f956d370</t>
  </si>
  <si>
    <t>a89e383e-21c7-442f-8a02-9dd953afbca7</t>
  </si>
  <si>
    <t>68f1f694-ac81-40a5-97fb-d35c4b847934</t>
  </si>
  <si>
    <t>1b8ad655-695c-4703-82bc-04b16928f8af</t>
  </si>
  <si>
    <t>61bc06e5-fa0d-436b-af51-3a5069440b4a</t>
  </si>
  <si>
    <t>WFM deferred to Coach Ellaine for approval &gt;&gt;&gt;https://canva.enterprise.slack.com/archives/C05A76H5FUM/p1764557295946329</t>
  </si>
  <si>
    <t>43304e55-b82d-444e-a932-19e6a5e5d4bb</t>
  </si>
  <si>
    <t>d1efed54-ab42-459d-b928-effc5a94da9c</t>
  </si>
  <si>
    <t>d5a9c7a8-e6a0-43c6-9b42-51834e3e3898</t>
  </si>
  <si>
    <t>cb2a3c72-bc5d-4576-8823-d6b15ed6bac8</t>
  </si>
  <si>
    <t>2da5187a-ef22-4110-a231-a66a5de53753</t>
  </si>
  <si>
    <t>005746fa-2e49-4b11-8793-6f976236373d</t>
  </si>
  <si>
    <t>Epic
WFM deferred to Coach Ellaine for approval &gt;&gt;&gt;https://canva.enterprise.slack.com/archives/C05A76H5FUM/p1764557295946329</t>
  </si>
  <si>
    <t>b9f15bb9-fb3a-4df7-bccf-99da31d00f77</t>
  </si>
  <si>
    <t>15f75cfc-425c-476b-858a-e6bc16e03ed2</t>
  </si>
  <si>
    <t>81a1faab-3ea9-4724-bbd5-ffc9c041ee9f</t>
  </si>
  <si>
    <t>f9fa2171-9fc6-4331-8471-0a5e69be03cf</t>
  </si>
  <si>
    <t>3bffd0f3-0042-445f-be85-55ce3de46dc8</t>
  </si>
  <si>
    <t>Wedding
WFM deferred to Coach Ellaine for approval &gt;&gt;&gt;https://canva.enterprise.slack.com/archives/C05A76H5FUM/p1763961438191079</t>
  </si>
  <si>
    <t>145f68e9-c112-4020-bfa3-f0efb6094d32</t>
  </si>
  <si>
    <t>6dd5275c-02d0-4ff2-9948-13fab83603eb</t>
  </si>
  <si>
    <t>d2bbc4c4-38ef-486b-9eb5-628d01675d7a</t>
  </si>
  <si>
    <t>4069572e-04a3-4503-be5e-c23e89e67de7</t>
  </si>
  <si>
    <t>0dfba88f-3dd9-40bf-a3e7-ebb29beae50d</t>
  </si>
  <si>
    <t>e6ff3552-06ae-4c19-9963-7f2261999bef</t>
  </si>
  <si>
    <t>1 VPS Training  (watch recording)</t>
  </si>
  <si>
    <t>295e67cf-a9fd-4dee-b27f-16e6b847c9d9</t>
  </si>
  <si>
    <t>9e3b5d29-0e29-4565-a70a-6e7ee3c7be84</t>
  </si>
  <si>
    <t>Ryan Dominick Razon</t>
  </si>
  <si>
    <t>rdominick@canva.com</t>
  </si>
  <si>
    <t>Wedding preparation and Wedding ceremony</t>
  </si>
  <si>
    <t>6206ac67-57ab-42a5-b1e5-9f5ceb31683e</t>
  </si>
  <si>
    <t>157671b8-c64c-4264-b2d6-21df4cd249d8</t>
  </si>
  <si>
    <t>88684495-4945-42fa-90ae-c474c1ff92f3</t>
  </si>
  <si>
    <t>212098e2-e8e2-4bd8-b6e7-307108c81f6e</t>
  </si>
  <si>
    <t>e7228f47-0fdb-4d28-8710-77e4da53b092</t>
  </si>
  <si>
    <t>b6b7b16a-1c00-4ab4-a8fb-be31cc751b57</t>
  </si>
  <si>
    <t>10f4c9b5-22f9-44bb-b2fd-3818a97e20be</t>
  </si>
  <si>
    <t>545e0a68-bc88-46a4-b8f5-05de201ac6ed</t>
  </si>
  <si>
    <t>fb9d7f4d-1579-4666-a8e3-f36a51ac6be2</t>
  </si>
  <si>
    <t>86e6b639-4732-4a9d-9e10-a3ee3a943c8a</t>
  </si>
  <si>
    <t>7ebc09b8-826c-4817-a446-614e08826115</t>
  </si>
  <si>
    <t>333c23e7-55a2-4c0c-b1dc-f6c033268cb5</t>
  </si>
  <si>
    <t>5354eb62-9ab5-4007-8381-a42d7b8e71f4</t>
  </si>
  <si>
    <t>3e46462c-fed5-49c4-be28-ee0ddf10d7e6</t>
  </si>
  <si>
    <t>aca86902-5e40-4931-82ce-0f458d4b22c5</t>
  </si>
  <si>
    <t>646a28a7-ae51-49f0-9785-544909527b56</t>
  </si>
  <si>
    <t>a711c341-1cb5-4fc7-a9e5-c3cd52114cb0</t>
  </si>
  <si>
    <t>f6f2ec99-9808-42d5-b966-c3d3ba9c5429</t>
  </si>
  <si>
    <t>c5da1248-8a8c-4123-81e8-d2bdab3d8910</t>
  </si>
  <si>
    <t>4bf04db9-144b-48e4-bd81-a8b9a3cabc6c</t>
  </si>
  <si>
    <t>7996db60-ce3f-4b24-b973-60592fb245e7</t>
  </si>
  <si>
    <t>70fc3c5d-b9e0-4300-bc9e-00d2d4dd97af</t>
  </si>
  <si>
    <t>f8c1231d-693a-4206-87c6-9ea8c7fdedac</t>
  </si>
  <si>
    <t>3cc4fc93-df8e-4cf8-bea2-92da39144b62</t>
  </si>
  <si>
    <t>56c158c1-cfd4-4f3f-92f3-b80e6988a98b</t>
  </si>
  <si>
    <t>88d75151-c489-4f6a-920a-c62500e11bf7</t>
  </si>
  <si>
    <t>e7cc080e-7b3f-4be7-aa5c-36f2f211b2d5</t>
  </si>
  <si>
    <t>a0210ffa-1ea2-47a9-bcbf-c02264b7cc43</t>
  </si>
  <si>
    <t>63913765-f42c-45e4-8f9a-eb96d52c2d61</t>
  </si>
  <si>
    <t>Andrei Galutan</t>
  </si>
  <si>
    <t>andreimg@canva.com</t>
  </si>
  <si>
    <t>1d7b288a-a676-45ea-b5be-2f829d17366f</t>
  </si>
  <si>
    <t>c19db84f-485b-41b9-a8af-5e4d53fc5220</t>
  </si>
  <si>
    <t>c002e3c1-c6e6-4ada-8e8f-c9987f7a94b8</t>
  </si>
  <si>
    <t>4a4cf159-92ae-45ec-9d20-0488b231c490</t>
  </si>
  <si>
    <t>0f871eb3-9e79-4d0e-8bb9-62abc48c68e2</t>
  </si>
  <si>
    <t>141ccf7d-8313-4689-91f9-c22049825b78</t>
  </si>
  <si>
    <t>942f8b5d-a138-4f04-8442-a6c4db720790</t>
  </si>
  <si>
    <t>d6c28ad6-045e-4e7b-b2fd-81ec52a99565</t>
  </si>
  <si>
    <t>b477ca86-9c1a-4deb-b1fc-27ea9258e83f</t>
  </si>
  <si>
    <t>4e379603-2ab9-418d-85f6-a71f440630b8</t>
  </si>
  <si>
    <t>a18bc439-737c-49f5-a689-fd0681e70c5b</t>
  </si>
  <si>
    <t>b832ab3b-d03c-44ea-afa9-6151cf7d06ab</t>
  </si>
  <si>
    <t>df1eff0e-54ff-4159-897f-036ad5314151</t>
  </si>
  <si>
    <t>70293e6b-e32d-431e-9f5d-1a2cce1b9252</t>
  </si>
  <si>
    <t>8c8fd968-c26a-406b-ba80-65c23f08b8a8</t>
  </si>
  <si>
    <t>fb628d88-4c49-4714-b144-8ef282923893</t>
  </si>
  <si>
    <t>43289115-381b-4299-84c0-a5c2d829ce91</t>
  </si>
  <si>
    <t>56d85a5e-594c-499d-bbbe-f78fe8fb5661</t>
  </si>
  <si>
    <t>1486c373-5c24-49ad-b056-9e0de9bead23</t>
  </si>
  <si>
    <t>86a91d9e-08b4-4555-a369-7a0671ad4d4b</t>
  </si>
  <si>
    <t>8c2123a5-a067-4c26-b751-a9a4b48d2846</t>
  </si>
  <si>
    <t>bdf4d8eb-96b5-4422-b9ba-a86602c53cc4</t>
  </si>
  <si>
    <t>626e971a-a1f2-466b-b3f0-fd32790eb440</t>
  </si>
  <si>
    <t>Denise Adoremos</t>
  </si>
  <si>
    <t>deniseadrms@canva.com</t>
  </si>
  <si>
    <t>4379e444-697a-423a-8075-64315ed85f42</t>
  </si>
  <si>
    <t>f47f54c8-7672-4460-8b48-729bc6274901</t>
  </si>
  <si>
    <t>0c9530df-55d9-481d-8ba8-d80b41091747</t>
  </si>
  <si>
    <t>f2252b33-41a6-4848-8078-d2706d0a21f4</t>
  </si>
  <si>
    <t>051136a2-d16f-4051-8b12-3012f793b81b</t>
  </si>
  <si>
    <t>9c84511e-023f-4e58-ae57-3f6a20f20b4a</t>
  </si>
  <si>
    <t>f3439067-b074-4b68-b4b7-3f7982000fe0</t>
  </si>
  <si>
    <t>c709131b-005d-4a7c-87cb-10f1b18da2c1</t>
  </si>
  <si>
    <t>b00de10e-3b39-4c5e-83fa-57814d91fa15</t>
  </si>
  <si>
    <t>bfbc5309-d5f7-49de-8d31-c9bc2e09767f</t>
  </si>
  <si>
    <t>9558c606-0f32-4a02-a406-921112e364d6</t>
  </si>
  <si>
    <t>52b5f054-9d04-49e6-a7c7-59486c68da64</t>
  </si>
  <si>
    <t>d42715d7-e691-42b4-ade1-ae9518b967d0</t>
  </si>
  <si>
    <t>6196c093-79d6-49f9-bd9e-fba33bc03b5e</t>
  </si>
  <si>
    <t>5b2badf7-8976-4399-92d7-d0f924e998b0</t>
  </si>
  <si>
    <t>f7c68b87-be9d-400f-beb5-95c1c4d1411d</t>
  </si>
  <si>
    <t>cefab4ce-8b1d-4b76-b464-76d512f9f838</t>
  </si>
  <si>
    <t>736664c8-61b6-4edc-b145-01b3a3e9cb35</t>
  </si>
  <si>
    <t>514d8d6e-ea0e-431a-aa2f-a8dbd8862b2b</t>
  </si>
  <si>
    <t>75fee123-2996-4bf4-a9c0-702beaa10d8c</t>
  </si>
  <si>
    <t>102e10d8-cac6-4a78-89e5-ea7f4147af06</t>
  </si>
  <si>
    <t>d28cb573-a9b1-4064-bd06-d7744a117839</t>
  </si>
  <si>
    <t>Bid</t>
  </si>
  <si>
    <t>7584467f-deb0-4df0-b170-a480326578e9</t>
  </si>
  <si>
    <t>e079a1bf-2f2b-4c05-bd96-4ac89cf0f957</t>
  </si>
  <si>
    <t>e4e961f8-aa2b-4c82-82c7-80d4db83df0b</t>
  </si>
  <si>
    <t>a3bfead7-41ec-4277-bf9d-dcda360efc01</t>
  </si>
  <si>
    <t>6a2ae4fb-b977-43bf-bf5d-64b3912188a8</t>
  </si>
  <si>
    <t>VL For December 17 shift</t>
  </si>
  <si>
    <t>6d452fc8-5ed4-4098-a488-583e3b5e6c63</t>
  </si>
  <si>
    <t>591c25a5-dffa-4637-8bbe-5faa1c88631f</t>
  </si>
  <si>
    <t>c79dfe14-0f9b-4576-ab32-4b4d749a41d9</t>
  </si>
  <si>
    <t>e3517b10-861d-445f-b0be-cf9eb70e3194</t>
  </si>
  <si>
    <t>9d3bcb7c-db60-4242-97aa-d33beb625d2c</t>
  </si>
  <si>
    <t>50f4f34a-5f46-4ee9-a2ab-686901231801</t>
  </si>
  <si>
    <t>Work: HSS</t>
  </si>
  <si>
    <t>8715164d-32e7-4ee7-9754-91c33809360c</t>
  </si>
  <si>
    <t>e06148a4-913d-4c1b-86ea-b523127018b7</t>
  </si>
  <si>
    <t>b5e973fc-b011-4e1d-adc4-9f8078c86d6e</t>
  </si>
  <si>
    <t>visa interview</t>
  </si>
  <si>
    <t>61757222-0f81-4961-9b84-0464d9344202</t>
  </si>
  <si>
    <t>118071f1-35bc-4f35-b896-ff057683e068</t>
  </si>
  <si>
    <t>01fd9967-5761-4a1b-9135-034cb2404cd8</t>
  </si>
  <si>
    <t>1734a0a9-1812-48e7-9e47-1d00c906f447</t>
  </si>
  <si>
    <t>2d73dd51-31de-48b4-941f-72d359fe32a5</t>
  </si>
  <si>
    <t>async 1:1</t>
  </si>
  <si>
    <t>a935c0c2-d773-4cc7-96a8-00b10654745f</t>
  </si>
  <si>
    <t>6ff2269e-eb0b-4e31-9b01-8ff46ee89c24</t>
  </si>
  <si>
    <t>2bb74e57-c623-4523-b35a-85a32ed54c3c</t>
  </si>
  <si>
    <t>1a4bb589-882e-444e-9e20-c222d1496388</t>
  </si>
  <si>
    <t>a574eecc-a5bf-4592-be4c-e4141583bc5d</t>
  </si>
  <si>
    <t>5167f06e-3488-46cb-8986-1cc8e6e1f221</t>
  </si>
  <si>
    <t>e3ae5a68-03e2-4dd8-ba2c-eae87450880e</t>
  </si>
  <si>
    <t>20b0cc6c-47fc-4062-ae85-3622a70d6b51</t>
  </si>
  <si>
    <t>e436bd51-c7bc-4e99-90ed-988c89e0629d</t>
  </si>
  <si>
    <t>7134e7bb-688a-4d3e-8ecc-98fa8722aad4</t>
  </si>
  <si>
    <t>3b1e8c7d-f83c-47a9-9d27-6fd4ca48f73d</t>
  </si>
  <si>
    <t>8c5b47a5-83fc-4621-94c0-88e8818f7174</t>
  </si>
  <si>
    <t>b7fd1097-c419-4ccc-9d67-4b66f71021a1</t>
  </si>
  <si>
    <t>5859cb16-2663-4da6-8b0f-0cc2b0b4c6a8</t>
  </si>
  <si>
    <t>ef0196e2-8872-4140-946e-31673af806ef</t>
  </si>
  <si>
    <t>b004d4e1-4b94-4760-b9ab-de5a27a19fdc</t>
  </si>
  <si>
    <t>71b19594-643d-4cd9-b746-528938e88543</t>
  </si>
  <si>
    <t>3a3f4608-ed02-4043-8986-803c7b9f6973</t>
  </si>
  <si>
    <t>04460fd0-a04b-4899-9069-2bc4c7b0a204</t>
  </si>
  <si>
    <t>c985f1af-e462-47de-ada7-4743ec22fa05</t>
  </si>
  <si>
    <t>68c74da7-95b0-492b-ac4d-50e6ee142a01</t>
  </si>
  <si>
    <t>cdb9f356-6086-492f-97df-086245574328</t>
  </si>
  <si>
    <t>1eee3552-3b24-4cd3-9bce-35c83ab9ffa5</t>
  </si>
  <si>
    <t>67b88686-7c91-492d-b8f8-36398f5b597d</t>
  </si>
  <si>
    <t>1cd232a8-fd66-43c7-b5c9-c1c093810cc7</t>
  </si>
  <si>
    <t>499b751c-fa65-491c-a5e7-b48b394eedaf</t>
  </si>
  <si>
    <t>23872a37-8e56-450e-a591-18f125e533e6</t>
  </si>
  <si>
    <t>e2604604-1682-44cc-bab7-b8134b40c901</t>
  </si>
  <si>
    <t>c4f066b1-b2a9-44f9-b6b6-a43f990a7b68</t>
  </si>
  <si>
    <t>Carer's leave</t>
  </si>
  <si>
    <t>c4c0635d-95b9-4f20-8fcb-afff8db46857</t>
  </si>
  <si>
    <t>d1724387-894a-48f6-a8f4-0b9c57cb4374</t>
  </si>
  <si>
    <t>73204ed2-9b17-408d-aea4-73d880279025</t>
  </si>
  <si>
    <t>e2273894-6092-49d8-b798-7ab2472325ac</t>
  </si>
  <si>
    <t>15123a3b-5562-49d5-80d4-92b5ec236d04</t>
  </si>
  <si>
    <t>426201d1-0b5d-4900-95cc-7a8b0c35e471</t>
  </si>
  <si>
    <t>Mariz Gain</t>
  </si>
  <si>
    <t>mariz@canva.com</t>
  </si>
  <si>
    <t>dacdd92d-958f-401a-b540-ed3f79ef0979</t>
  </si>
  <si>
    <t>cf1314e3-cc14-4f04-bd8f-19235eb20b7e</t>
  </si>
  <si>
    <t>c7cec269-6223-464b-bf3e-f28ffbf5c079</t>
  </si>
  <si>
    <t>e7996ba3-e9ba-4b8d-b4e2-17b32a40e3a7</t>
  </si>
  <si>
    <t>23c11164-4446-4524-bb86-6f00d80e4b96</t>
  </si>
  <si>
    <t>3f82d85f-bb54-414e-9bc2-ed45b7bbd6ab</t>
  </si>
  <si>
    <t>47461d62-fcf9-458a-855d-3aa4ebecb38d</t>
  </si>
  <si>
    <t>f2f4645c-6370-4f43-a399-b76c5885ad9d</t>
  </si>
  <si>
    <t>f647d352-3921-412c-b933-1c2182978f89</t>
  </si>
  <si>
    <t>27da515c-497c-48ac-af3f-97ec2f485566</t>
  </si>
  <si>
    <t>45ae7b10-f0a5-4bd0-86e1-8e007ed25075</t>
  </si>
  <si>
    <t>c145c689-dc24-42c5-ab30-64be2cfb2779</t>
  </si>
  <si>
    <t>33de8d4b-e1e5-4b8c-a1a2-848340bf29da</t>
  </si>
  <si>
    <t>51029ae0-c048-41cf-ac73-6072a27a0daf</t>
  </si>
  <si>
    <t>de58dbf7-b4a1-4348-9395-eafed16983b2</t>
  </si>
  <si>
    <t>dd2c2443-4915-40cd-9494-1737d59254ed</t>
  </si>
  <si>
    <t>6386d1c4-f6d7-4578-bcd9-db8a9d46371b</t>
  </si>
  <si>
    <t>8690a3d3-7d13-4522-8c1a-c0f6e24601a6</t>
  </si>
  <si>
    <t>Bi-Annual Security &amp; Privacy Refresher H2 2025 (Workramp)</t>
  </si>
  <si>
    <t>a11b02e4-7a41-4e27-a570-e444bffe7809</t>
  </si>
  <si>
    <t>e99b5de9-56aa-4a2b-847e-391e3ccd5521</t>
  </si>
  <si>
    <t>8309d0dc-30b1-4394-a3c0-69cfc1906b79</t>
  </si>
  <si>
    <t>c95adef1-0389-48f1-a037-ff3e5b8763f2</t>
  </si>
  <si>
    <t>ead3829b-0e15-4a32-9db2-19699acbee8f</t>
  </si>
  <si>
    <t>a57ba362-cf15-4786-b461-a7ccb7d66e02</t>
  </si>
  <si>
    <t>70b9ab7f-59c4-4731-ab35-cb5305c06287</t>
  </si>
  <si>
    <t>4aa53e2d-5b61-434d-b939-1480c59e1353</t>
  </si>
  <si>
    <t>09468fb8-e9de-47e3-875d-c959627c9bd1</t>
  </si>
  <si>
    <t>ac999d16-365c-419e-a7af-846adf5b7f8e</t>
  </si>
  <si>
    <t>0f453e65-95c1-4c47-b03a-32c7f77e973a</t>
  </si>
  <si>
    <t>d1067e92-57f3-438b-8b2d-738de3088a5c</t>
  </si>
  <si>
    <t>7b795122-086a-4339-8638-36b3d19b875c</t>
  </si>
  <si>
    <t>8838abe1-d29a-4f10-ad32-5168a2f9471b</t>
  </si>
  <si>
    <t>c4aa5d85-553a-4039-8adc-48b7bda28207</t>
  </si>
  <si>
    <t>a81c31d9-0189-4b28-a804-15540847878a</t>
  </si>
  <si>
    <t>a89ca83c-4976-4d16-9231-32bfae2a4701</t>
  </si>
  <si>
    <t>d02c4f9f-f1c4-4ee4-a087-49e751953953</t>
  </si>
  <si>
    <t>a817fc94-aa8e-4176-8baf-be0dbf91c28b</t>
  </si>
  <si>
    <t>58589e7a-600a-46fd-9c1e-88940ac837d8</t>
  </si>
  <si>
    <t>53b963f1-fd2c-4dd8-b152-fbb44904c075</t>
  </si>
  <si>
    <t>42147b58-e8e5-4766-a41a-8d98cf8a5872</t>
  </si>
  <si>
    <t>cd9b94d5-bd9f-4194-80e3-35bb22961cc9</t>
  </si>
  <si>
    <t>ef0f048e-dcd6-4225-b0c5-f9e7ba7f05e6</t>
  </si>
  <si>
    <t>1d3674b1-8a7e-4e9c-a6fa-71dc1187fb73</t>
  </si>
  <si>
    <t>6aa01612-3b71-4532-acdc-309a76d9dd2d</t>
  </si>
  <si>
    <t>9aa86a61-f8d2-4b60-b9d2-f9166e376753</t>
  </si>
  <si>
    <t>58ea880e-cfa5-4b0e-9f0a-104184f5693e</t>
  </si>
  <si>
    <t>Same-day SL request</t>
  </si>
  <si>
    <t>1bd5648b-bb3f-4308-aebd-849c8cc3319c</t>
  </si>
  <si>
    <t>5331b35c-15d8-429e-a349-5886b433db5b</t>
  </si>
  <si>
    <t>9ea6e0b0-cc41-473f-8fa8-7324ea2e82ab</t>
  </si>
  <si>
    <t>1b540daf-257d-4ec4-b8bf-02ab26d5d516</t>
  </si>
  <si>
    <t>b73139b7-39ed-4f5f-b6c5-25d7d749d2da</t>
  </si>
  <si>
    <t>1c1c28ad-a10d-4abb-b6fa-88c37f4eed95</t>
  </si>
  <si>
    <t>bb140711-60a4-4129-9aa2-36e8c5ecc8d1</t>
  </si>
  <si>
    <t>f6e5b315-0fe6-4ada-8720-fbc12f98e933</t>
  </si>
  <si>
    <t>52187482-482d-4894-b0b9-d8b4f48144c1</t>
  </si>
  <si>
    <t>a3780563-c527-4270-90a5-52c834cc64e5</t>
  </si>
  <si>
    <t>39dadd7b-8071-4342-b96d-3eecf149ad0d</t>
  </si>
  <si>
    <t>1f735c0b-bb3c-41f7-a7af-2a11a7f80f63</t>
  </si>
  <si>
    <t>dce4cbce-e43d-4f13-8c6b-9e591fe307c4</t>
  </si>
  <si>
    <t>e9348ef0-6be7-4d18-8f01-bbb3181a2030</t>
  </si>
  <si>
    <t>Yumi Tominaga</t>
  </si>
  <si>
    <t>yumi@canva.com</t>
  </si>
  <si>
    <t>b5671649-8c95-4a3b-b8d2-4f8d6aecdcdd</t>
  </si>
  <si>
    <t>2f12ba97-14a8-427b-aa46-303cb907721f</t>
  </si>
  <si>
    <t>8238eee8-3ea4-4d36-9fc4-9c0e6977252d</t>
  </si>
  <si>
    <t>27e4ca5e-6bfa-4f9d-a803-10ae2ab452a7</t>
  </si>
  <si>
    <t>cef5f534-731c-4306-8736-119ad80eb283</t>
  </si>
  <si>
    <t>9476ccc1-7344-4ba5-917f-f0c2da653377</t>
  </si>
  <si>
    <t>7dfc133c-0f8f-44a3-8b9f-94bf07e07b2b</t>
  </si>
  <si>
    <t>64b1b4e8-2742-485e-a5a7-8d2d0bd0908e</t>
  </si>
  <si>
    <t>071bd741-b3a6-4293-97d8-0af8588ee4f9</t>
  </si>
  <si>
    <t>db11f909-3a03-4a1a-ac71-dd8f4c611e31</t>
  </si>
  <si>
    <t>e049dba7-b8e7-4fd1-b573-df13bf790d75</t>
  </si>
  <si>
    <t>76f0acca-4f71-4c1d-9329-e1e211828e44</t>
  </si>
  <si>
    <t>206b1ac8-ea99-49f9-b6d6-e723b7674672</t>
  </si>
  <si>
    <t>124ba2b2-e7bf-4a85-901e-ecb2667f8908</t>
  </si>
  <si>
    <t>6879c004-e627-4694-9a44-9e79f8cb9088</t>
  </si>
  <si>
    <t>8086e8f8-8f4b-4ede-9f20-09b2d61b7bc7</t>
  </si>
  <si>
    <t>60ca1251-f203-40ce-b934-3aef9b7b1bd9</t>
  </si>
  <si>
    <t>77a0af3d-0fa3-4afe-b68f-d6195209f2a3</t>
  </si>
  <si>
    <t>5b0e1290-fa18-4180-9381-a20f7e895ca5</t>
  </si>
  <si>
    <t>ef6de384-6a11-423e-a8c2-4b2d9e687acd</t>
  </si>
  <si>
    <t>885a5fef-85f6-4c39-aef3-b20a55664016</t>
  </si>
  <si>
    <t>52f12e21-b781-48af-b53a-ea3c5b53c084</t>
  </si>
  <si>
    <t>b00f760c-5e34-4f8f-bb82-28a5b42271a4</t>
  </si>
  <si>
    <t>ec244380-9821-4597-be59-c1cf5bdf61b8</t>
  </si>
  <si>
    <t>43d09c08-c406-4cc4-ad68-bab948be4757</t>
  </si>
  <si>
    <t>b16e4682-7349-41a4-8b6c-880bd3644d4c</t>
  </si>
  <si>
    <t>845b1c3d-ea2a-4673-b736-eda9288528a1</t>
  </si>
  <si>
    <t>8e157c0b-8d01-4a15-93bc-e4935ec08888</t>
  </si>
  <si>
    <t>1e533ea2-6ff5-447a-ab42-860897593845</t>
  </si>
  <si>
    <t>b606be2e-b758-4cd9-8bf4-57cb900c451e</t>
  </si>
  <si>
    <t>e0539a0b-439b-4700-9469-5a6f49f70d89</t>
  </si>
  <si>
    <t>7c7916fe-e7cc-4fd7-ae6b-65c143f508b2</t>
  </si>
  <si>
    <t>bedbbd34-b499-4c2a-8590-412049e12ef4</t>
  </si>
  <si>
    <t>f9f61fde-cd80-4c68-aa01-8fcfa6b40ea0</t>
  </si>
  <si>
    <t>3138770d-2386-4789-b3df-4e969e5f5c08</t>
  </si>
  <si>
    <t>42cc7409-e252-4788-8820-67dd97ab810a</t>
  </si>
  <si>
    <t>0b010198-a134-44e7-833b-0ee5d47d43e1</t>
  </si>
  <si>
    <t>cb0675f3-638e-48ff-8b49-baa7da6bebfc</t>
  </si>
  <si>
    <t>ff8af8a1-f0a8-435b-a5e9-9ae320331b2c</t>
  </si>
  <si>
    <t>b088cfaf-4a25-4609-a2fd-028dd5f70c4a</t>
  </si>
  <si>
    <t>13ca0514-62ad-45f9-b5eb-fd0de88b5ed5</t>
  </si>
  <si>
    <t>6228883d-e666-4b01-a611-2c5c88af92ae</t>
  </si>
  <si>
    <t>7cb988c3-c68a-4a7d-ad70-62332ae86301</t>
  </si>
  <si>
    <t>10b96ef4-077e-4868-9c27-17d96d8b4f68</t>
  </si>
  <si>
    <t>Joan Myle Dapog</t>
  </si>
  <si>
    <t>joanmyle@canva.com</t>
  </si>
  <si>
    <t>93cb8128-baf8-460b-a6a2-0c829da89a2d</t>
  </si>
  <si>
    <t>0d217f1f-1c8f-4b53-b1e4-bbc0a956e955</t>
  </si>
  <si>
    <t>0594e835-d01f-4621-9fba-3890022aca93</t>
  </si>
  <si>
    <t>621b27e7-e44e-4e77-87f5-5d8975624914</t>
  </si>
  <si>
    <t>093f8068-a89e-488c-8c25-3e1a731541c5</t>
  </si>
  <si>
    <t>e71890c5-d3b7-43ca-bb62-7a8888faeb74</t>
  </si>
  <si>
    <t>68e17a3e-74ef-425d-a818-a831a50fb119</t>
  </si>
  <si>
    <t>71752667-3d39-46a6-a15d-f716df6947e9</t>
  </si>
  <si>
    <t>93d141ee-47e0-44f8-a18e-b47a07fb543b</t>
  </si>
  <si>
    <t>4eb14f3e-5f96-4dc0-b140-a601701bf7a0</t>
  </si>
  <si>
    <t>e7e90a31-6687-4461-9783-97faddcfdf81</t>
  </si>
  <si>
    <t>f4c107b4-8163-456e-85cc-002fa1369570</t>
  </si>
  <si>
    <t>ac50a52d-3653-4c9d-be5e-06f7d6732cea</t>
  </si>
  <si>
    <t>2ad11c85-b051-41c9-9e30-f503a79d5ac4</t>
  </si>
  <si>
    <t>a6fe09dc-d8d3-4d86-92b1-dd943d711004</t>
  </si>
  <si>
    <t>278b3758-395d-4da2-a092-63ae3661e72a</t>
  </si>
  <si>
    <t>37233348-14a0-4101-90da-c25a85fb8ac2</t>
  </si>
  <si>
    <t>a3ea747c-899d-4de3-aa1f-3639edce363c</t>
  </si>
  <si>
    <t>7397981c-8ae5-4fb4-900e-bd457284aa54</t>
  </si>
  <si>
    <t>1db33dde-87ec-4f41-8c42-785e0fc3d376</t>
  </si>
  <si>
    <t>151b8344-d95e-4649-852e-43cc3eb25180</t>
  </si>
  <si>
    <t>a9cb590a-4d60-46e4-880d-aa8b5d14f90c</t>
  </si>
  <si>
    <t>6fd5d157-b733-4376-9f49-4391e012e6bc</t>
  </si>
  <si>
    <t>17c764b8-fe7a-4066-8953-dbcd1ee48756</t>
  </si>
  <si>
    <t>32e7409c-3c0c-475a-9466-238fb7f597fd</t>
  </si>
  <si>
    <t>aa164b3a-d149-4786-a041-e7bb350be6db</t>
  </si>
  <si>
    <t>42e28ee2-68b1-490a-8d1a-e73b8613a5b8</t>
  </si>
  <si>
    <t>7e0fa9b4-285a-4153-a609-93af558db6a5</t>
  </si>
  <si>
    <t>4dda87a9-7293-47fd-bec2-93766250b354</t>
  </si>
  <si>
    <t>2b4f4a26-598f-4129-a894-73c0a3e43bc1</t>
  </si>
  <si>
    <t>7640355f-3239-41ad-93a1-dd9d2362ebbf</t>
  </si>
  <si>
    <t>0e4ea28c-37db-4c5d-87b7-934db5430a4c</t>
  </si>
  <si>
    <t>8d05170b-44c2-4973-963a-14bb293f18ab</t>
  </si>
  <si>
    <t>Rovie Hawang</t>
  </si>
  <si>
    <t>rovie@canva.com</t>
  </si>
  <si>
    <t>Extra Hours</t>
  </si>
  <si>
    <t>970d62a5-df16-4261-b612-5b8784eba877</t>
  </si>
  <si>
    <t>82e5fe39-8f4c-4643-bc33-d655643c840a</t>
  </si>
  <si>
    <t>830e7bb0-9185-4c23-8e0d-d51cdfa322de</t>
  </si>
  <si>
    <t>4d8e9221-6ce4-4495-8050-6864e38cdf66</t>
  </si>
  <si>
    <t>78e14215-1cb3-46fb-bcc7-144a3c69b1fd</t>
  </si>
  <si>
    <t>c31d4db6-d258-4bcf-a17b-6f33b9089003</t>
  </si>
  <si>
    <t>4bf6abac-8ccd-4260-82b0-2a55023ad296</t>
  </si>
  <si>
    <t>f8e6767a-0316-447e-b69f-e7d9583bd6b9</t>
  </si>
  <si>
    <t>3eb54dae-5787-40ec-922f-20e89432a6d3</t>
  </si>
  <si>
    <t>2f2a8030-3a72-42ad-80e3-01d096aaa8d6</t>
  </si>
  <si>
    <t>442d1d72-e1ae-4bb1-9e85-1788a6a3446b</t>
  </si>
  <si>
    <t>5d94bef6-a735-4c66-9c6b-099c35d59a88</t>
  </si>
  <si>
    <t>be6276cb-c40b-4e26-91d3-1f78d200dc82</t>
  </si>
  <si>
    <t>3d956c3d-3960-47e7-8210-79e33034a8dc</t>
  </si>
  <si>
    <t>6deefc28-dc86-407e-9f91-86129d3506a2</t>
  </si>
  <si>
    <t>141631a7-442c-4ae9-a1cd-a50a175bcbea</t>
  </si>
  <si>
    <t>65e32268-4502-4112-984b-05dc4041fd35</t>
  </si>
  <si>
    <t>69badb1d-2cf8-472e-8812-6efa36437169</t>
  </si>
  <si>
    <t>20896810-88a7-4c20-a9c6-739811b9ccb0</t>
  </si>
  <si>
    <t>233133e3-a3d0-492d-bb55-8a7c4ffc4966</t>
  </si>
  <si>
    <t>Alyssa Sunga</t>
  </si>
  <si>
    <t>alyssas@canva.com</t>
  </si>
  <si>
    <t>a1f8b977-215a-4161-b085-6003a807c3d8</t>
  </si>
  <si>
    <t>Deferred due to urgent email</t>
  </si>
  <si>
    <t>df2da9b0-badb-48fc-96bc-63c2e747051b</t>
  </si>
  <si>
    <t>d394eba3-f387-4be6-bbb7-191c4d3208bf</t>
  </si>
  <si>
    <t>45c737e7-e606-4f49-868f-fe9f6a3c619e</t>
  </si>
  <si>
    <t>fc7fe96d-b34c-4046-bc81-3f3ae7494f13</t>
  </si>
  <si>
    <t>Cop task (CJ is on leave)</t>
  </si>
  <si>
    <t>5f3b7b80-4184-4b58-a7e3-e1b030a8f041</t>
  </si>
  <si>
    <t>7ca1e0b0-f967-424f-9ee4-e3f57188596a</t>
  </si>
  <si>
    <t>Deferred due to email</t>
  </si>
  <si>
    <t>0bbd5cad-afad-43d6-b542-5cb82a7beaf4</t>
  </si>
  <si>
    <t>Cop tasks</t>
  </si>
  <si>
    <t>7879ea2e-7466-42e8-8219-37873946bb1e</t>
  </si>
  <si>
    <t>6e8445c8-b9fd-4f4e-b4ba-ef9dc2d932aa</t>
  </si>
  <si>
    <t>184c6f1c-8c29-4da1-ac91-2f9a1cb36fd4</t>
  </si>
  <si>
    <t>Cop task (processing Goof orders)</t>
  </si>
  <si>
    <t>2dd43f98-40d5-488f-ad4f-a2b320ee6fec</t>
  </si>
  <si>
    <t>1b580f6d-faff-44a6-b7be-dd36e8aeb480</t>
  </si>
  <si>
    <t>769c2685-5a14-41b4-950b-466b4821ef97</t>
  </si>
  <si>
    <t>4cee3b54-27a6-48d0-b7c4-086846cbdace</t>
  </si>
  <si>
    <t>eefda343-3c8e-4b67-b96a-5e96f808f407</t>
  </si>
  <si>
    <t>f8fdcd16-9f4b-4119-ba88-9b702698af07</t>
  </si>
  <si>
    <t>98787c95-9ba9-4671-bd40-3cd2a313b87d</t>
  </si>
  <si>
    <t>9dfd5bfa-c1cd-4ead-a66b-92fbed5ed784</t>
  </si>
  <si>
    <t>3128708e-12bd-441f-a525-ea88257ca2dd</t>
  </si>
  <si>
    <t>3223ca89-f671-4b9f-8cbd-3d1bc54a5b3d</t>
  </si>
  <si>
    <t>55491fad-88bd-4794-ac2c-06d0f62f8dd1</t>
  </si>
  <si>
    <t>e765a709-652a-4b7d-929d-10869f65c60c</t>
  </si>
  <si>
    <t>d68cf1db-9c7f-427c-b6b9-3881c0225a15</t>
  </si>
  <si>
    <t>2323c666-c5cc-4345-8960-5426caa44a22</t>
  </si>
  <si>
    <t>Policy Abuse Process Revamp</t>
  </si>
  <si>
    <t>3a3818a1-108c-4dc9-8586-2ad0a0347059</t>
  </si>
  <si>
    <t>9b3184f7-bef0-4062-afc0-9f6d4b591af7</t>
  </si>
  <si>
    <t>14fd3e8e-7122-45c0-b9c9-036d695d926d</t>
  </si>
  <si>
    <t>52c8d495-6fa9-4afe-b615-8acf8962d5a9</t>
  </si>
  <si>
    <t>86505343-9659-4a62-b6f0-f633e8d34461</t>
  </si>
  <si>
    <t>3623161b-ff5b-4aee-8826-3d6522587a06</t>
  </si>
  <si>
    <t>Eunice Hachero</t>
  </si>
  <si>
    <t>euni@canva.com</t>
  </si>
  <si>
    <t>Slide shift request approved by Coach Marie.</t>
  </si>
  <si>
    <t>cdc362a8-453f-4181-bf57-5649f9abb250</t>
  </si>
  <si>
    <t>3c4211ba-5730-4ed9-9c1e-9d73e70affc6</t>
  </si>
  <si>
    <t>ae49ef6b-8456-454d-9e2b-50a756d31fb9</t>
  </si>
  <si>
    <t>0837e8bd-2c9b-45a6-908e-067fce0079d5</t>
  </si>
  <si>
    <t>cc895ae2-5b3d-41a2-bcbe-cffacc6753e1</t>
  </si>
  <si>
    <t>a2796ffb-6f3c-4efb-8977-bc082f26c05a</t>
  </si>
  <si>
    <t>ad0d1eed-a749-4ec2-9227-d0c236ba48ee</t>
  </si>
  <si>
    <t>dd511ab2-3ed7-4092-9168-18625a2ab491</t>
  </si>
  <si>
    <t>82a9fac5-a8b1-4581-9b5a-21d020082910</t>
  </si>
  <si>
    <t>3548d1b0-b93d-484d-aff8-6b8e673d834c</t>
  </si>
  <si>
    <t>a986cb96-768b-4227-a9b6-8f8b61d1950a</t>
  </si>
  <si>
    <t>b3474d7f-e7a4-4876-b961-74c0aa493c09</t>
  </si>
  <si>
    <t>a8b0f275-a328-4ac3-ad50-b8d740c1e84a</t>
  </si>
  <si>
    <t>634d09ad-5a9e-4896-b600-d1541e301360</t>
  </si>
  <si>
    <t>365a4d14-bdba-48b5-9d4f-29235b64ef51</t>
  </si>
  <si>
    <t>9b5b31ad-0372-44fa-94db-70a9d880c9f3</t>
  </si>
  <si>
    <t>3f0730a8-68fa-4e23-9833-0864aeca787c</t>
  </si>
  <si>
    <t>d5041fc2-9092-44fb-b78a-808ccf8ee06a</t>
  </si>
  <si>
    <t>61ecdb4f-f6c1-4b0a-8abb-e782edab3590</t>
  </si>
  <si>
    <t>66df9a10-cdf3-42ea-a408-9b7a6a6e64d3</t>
  </si>
  <si>
    <t>c3ea63db-e938-43dc-b9ed-d4a619692510</t>
  </si>
  <si>
    <t>7f755b5b-0c1b-45fd-854b-4e41660218b6</t>
  </si>
  <si>
    <t>f74bec11-066f-4932-a213-b500035246d9</t>
  </si>
  <si>
    <t>9618a254-4980-4337-8b9a-5dac6f32d342</t>
  </si>
  <si>
    <t>late 1st break punch</t>
  </si>
  <si>
    <t>1ff451cb-3ece-4eec-aecb-123de739c90e</t>
  </si>
  <si>
    <t>Late punch</t>
  </si>
  <si>
    <t>1d3580b3-756c-4ef0-a77a-ea910e5ec9cd</t>
  </si>
  <si>
    <t>57b14cd2-b783-45cd-ad64-ab86aec6fe3a</t>
  </si>
  <si>
    <t>d6980e9e-f268-446d-bdde-34a5730af4e1</t>
  </si>
  <si>
    <t>9b90bef4-5350-40e5-8324-be5e8334aa7c</t>
  </si>
  <si>
    <t>c369314e-6819-4293-8721-76d83543f945</t>
  </si>
  <si>
    <t>assisted in ticket - c/o Coach Belle</t>
  </si>
  <si>
    <t>0329552f-8967-4ae6-a474-a5a019c8b318</t>
  </si>
  <si>
    <t>65985537-ffd8-4937-9d9a-046a71802be9</t>
  </si>
  <si>
    <t>96960398-b413-404a-acdf-c9c07c7a947d</t>
  </si>
  <si>
    <t>Arcie San Pedro</t>
  </si>
  <si>
    <t>arcelie@canva.com</t>
  </si>
  <si>
    <t>01704ef8-163a-41d3-a987-2036a37c2c26</t>
  </si>
  <si>
    <t>40d1ef14-f763-4506-b0bd-6b7cdfbf9b6b</t>
  </si>
  <si>
    <t>3062bed1-fdb9-4534-9e24-d2699475d05d</t>
  </si>
  <si>
    <t>b25c2b47-bc31-491f-9598-ac92e80b0f1d</t>
  </si>
  <si>
    <t>c4e46d3a-ac3c-46e4-bd8a-39269377d96e</t>
  </si>
  <si>
    <t>08c424b4-5ce9-4ec0-898b-aab67331e379</t>
  </si>
  <si>
    <t>1947e32e-b93c-49f8-9934-de3f62d0597f</t>
  </si>
  <si>
    <t>a4391f9b-1b02-4ab4-ae63-0d6299fe3dcd</t>
  </si>
  <si>
    <t>596b7467-5988-4dbc-bf39-7b0aa4bca10f</t>
  </si>
  <si>
    <t>a2c490a0-1887-4789-93f1-c820b72bc840</t>
  </si>
  <si>
    <t>dc5c5d8e-bbfa-4ba8-9107-cb3dc4d32015</t>
  </si>
  <si>
    <t>b650a06b-e219-4895-9a4d-c4a7b7b5ad57</t>
  </si>
  <si>
    <t>Print Weekly Sync</t>
  </si>
  <si>
    <t>ffbf7214-524a-4de0-87a4-1661223b86b9</t>
  </si>
  <si>
    <t>c66947c0-b96a-42ec-a80e-3c12330688b7</t>
  </si>
  <si>
    <t>928a10c7-739f-45e3-9206-23ab51718b02</t>
  </si>
  <si>
    <t>663e2c84-1098-4de2-b564-ad0827ead3ac</t>
  </si>
  <si>
    <t>73645009-b272-4210-9303-40d57f935908</t>
  </si>
  <si>
    <t>a47bd3f3-427c-42ae-8be8-4eafae88e4d0</t>
  </si>
  <si>
    <t>6f3ca9f5-3ad9-4db3-90bb-1a0e7eeff898</t>
  </si>
  <si>
    <t>742bbef8-f421-4355-9bc5-030b3406b880</t>
  </si>
  <si>
    <t>b85e88a5-e05e-4b99-8314-1a4152e7f993</t>
  </si>
  <si>
    <t>Arjane Oliva</t>
  </si>
  <si>
    <t>arjane@canva.com</t>
  </si>
  <si>
    <t>35ad43e0-6b63-4023-a6f3-e26d325388eb</t>
  </si>
  <si>
    <t>51640034-e14f-4965-bc7a-dae9f09003bd</t>
  </si>
  <si>
    <t>6f9169bf-a84d-420e-a516-5e6fabd5f258</t>
  </si>
  <si>
    <t>1ec92b31-ef8e-4ca9-a4e0-1bc6d972172f</t>
  </si>
  <si>
    <t>7840ef00-5552-4bb8-bed6-0b0ed582f3c9</t>
  </si>
  <si>
    <t>c428210f-c59f-4597-b501-9822de33c752</t>
  </si>
  <si>
    <t>3c61c366-4278-4792-b55a-118545ecdd24</t>
  </si>
  <si>
    <t>f00da60d-6323-4cf8-93e1-3ddb3a858d8f</t>
  </si>
  <si>
    <t>06b79be4-8ab8-4497-b1dc-baa2f54838d1</t>
  </si>
  <si>
    <t>5eadbaba-75ce-4f36-96c6-4e772c11158e</t>
  </si>
  <si>
    <t>facb2060-bfea-4ec9-870c-21674dd9c692</t>
  </si>
  <si>
    <t>90fce261-e22a-4f10-89b9-141ec75d38db</t>
  </si>
  <si>
    <t>97b47a97-a993-40d2-9756-779d0f826980</t>
  </si>
  <si>
    <t>cf2dc8c7-4201-4616-abdc-3aceefd05c6f</t>
  </si>
  <si>
    <t>710cd84f-475e-45b1-8eca-252d9035bc97</t>
  </si>
  <si>
    <t>d1753b39-79b9-4665-b9e5-98ed546f160d</t>
  </si>
  <si>
    <t>13be40c0-ab02-4158-a888-0e0627608ca0</t>
  </si>
  <si>
    <t>72f29a47-b5ef-4569-8659-29574115203d</t>
  </si>
  <si>
    <t>45d48bbc-c244-4e50-9e8a-17872a14632b</t>
  </si>
  <si>
    <t>94764327-a9a8-4336-a4f6-6057cdb5b2d8</t>
  </si>
  <si>
    <t>df60a076-ec50-4ee2-a7ef-628c774e3bb8</t>
  </si>
  <si>
    <t>3059c4f3-6971-45aa-9de3-92e7011d57bf</t>
  </si>
  <si>
    <t>1309ddc0-c081-4df4-b17d-ed2c31b14169</t>
  </si>
  <si>
    <t>Bev Dacanay</t>
  </si>
  <si>
    <t>beverlymarie@canva.com</t>
  </si>
  <si>
    <t>1251709a-45fe-4e43-9201-2a10936a4045</t>
  </si>
  <si>
    <t>bd8042ad-d8ff-4a3d-9e7e-29152e388edc</t>
  </si>
  <si>
    <t>9d40434a-982e-47fd-b68c-2a6b5ede7b6d</t>
  </si>
  <si>
    <t>03f78b75-8bca-490a-af0d-975b83230824</t>
  </si>
  <si>
    <t>044fca4c-08ed-4a20-b2c6-a98583496432</t>
  </si>
  <si>
    <t>79021807-cb2a-4397-8737-38995afbd115</t>
  </si>
  <si>
    <t>84bb90e6-7b70-41b9-b86c-e9d039ed54a7</t>
  </si>
  <si>
    <t>01a42d52-1da8-4e09-a335-02dd57cc1136</t>
  </si>
  <si>
    <t>15113afc-0126-4dbe-9c56-2eac54d1bc00</t>
  </si>
  <si>
    <t>798d2611-ccd1-4dbd-b07c-f2cadb1d10e2</t>
  </si>
  <si>
    <t>c2ce4e31-f5a0-422d-a6c7-ddbc2c19d9a1</t>
  </si>
  <si>
    <t>c4542a75-5710-4ac2-9ae2-0b40c62381b5</t>
  </si>
  <si>
    <t>d1e51ce7-e33f-4005-b157-f7d6f2b00060</t>
  </si>
  <si>
    <t>4ff712d9-8b31-4889-aa58-4408192fcab5</t>
  </si>
  <si>
    <t>60483848-c02b-4b81-ba91-355881435c03</t>
  </si>
  <si>
    <t>ba99fc94-c3bd-4cf0-a064-aecdbf35a41c</t>
  </si>
  <si>
    <t>fd2981be-3c53-4112-b463-a6af6939c401</t>
  </si>
  <si>
    <t>e2adc686-eac8-468e-b5b0-8fe15aff4939</t>
  </si>
  <si>
    <t>a6d6aaf8-64d9-4f2f-9a90-8cde3de5c7f9</t>
  </si>
  <si>
    <t>8772e99b-8ced-43e8-85d6-f56d04ae5957</t>
  </si>
  <si>
    <t>5afe8f5c-b710-4afc-a6a3-ed3187927efb</t>
  </si>
  <si>
    <t>ab755a0d-e8f4-480a-8175-5b7589e12ab1</t>
  </si>
  <si>
    <t>7a5ad12e-1e51-48e7-9f1a-bdb80e7c14d2</t>
  </si>
  <si>
    <t>a9355131-7a3c-4049-8e09-cfb3c8e00f72</t>
  </si>
  <si>
    <t>392dc4b7-3e7e-4423-8ddd-af4ce75d3fe5</t>
  </si>
  <si>
    <t>d14b8b89-25b4-4d69-8212-787c50598141</t>
  </si>
  <si>
    <t>aa1be3f4-75cd-40c1-a6c3-11017d37f8ea</t>
  </si>
  <si>
    <t>7c03e54e-5e60-4063-9270-0e3ba0dcf692</t>
  </si>
  <si>
    <t>de078136-ae30-48a0-9f22-c054a83039ef</t>
  </si>
  <si>
    <t>3c3ce3b2-2205-4b19-a015-7291757e3ef4</t>
  </si>
  <si>
    <t>e6f30a0e-c104-47d1-a05c-44af80f9c630</t>
  </si>
  <si>
    <t>a86c56b7-a251-432c-aa96-cab9f0c41558</t>
  </si>
  <si>
    <t>2ddfbec3-7184-42a7-80c4-6161e73cd2c8</t>
  </si>
  <si>
    <t>517af7ff-8ad5-42fe-987a-b60263c0eee5</t>
  </si>
  <si>
    <t>5d06bc7e-9876-46b8-bd9b-a8dd7d301bb0</t>
  </si>
  <si>
    <t>b0c28c74-70c1-487d-9a1d-028055299fc4</t>
  </si>
  <si>
    <t>0ee02804-5a98-424e-a258-20e73f326c2c</t>
  </si>
  <si>
    <t>487ef5fd-0a2c-4e09-9a76-733bc6e48833</t>
  </si>
  <si>
    <t>1dda4b4c-7f95-4b1f-87fb-78d6508171c6</t>
  </si>
  <si>
    <t>82b8bc34-df9e-49a8-9157-50f02278611a</t>
  </si>
  <si>
    <t>946421fe-fb1a-4bb0-b0f5-a55c918bbcfa</t>
  </si>
  <si>
    <t>997558d5-659d-4f09-8f8a-6ec64302b150</t>
  </si>
  <si>
    <t>6b8a1f3d-af4e-4624-bea8-af938988243f</t>
  </si>
  <si>
    <t>1a9f120b-7a94-4e97-b072-550ea73a3e17</t>
  </si>
  <si>
    <t>90eff265-44b8-461f-b81d-3aeabdb2d08d</t>
  </si>
  <si>
    <t>957c53f6-ad6e-444a-a8fb-96c000ca75d6</t>
  </si>
  <si>
    <t>ef4a4972-5458-42ea-9115-d825a277225c</t>
  </si>
  <si>
    <t>bb176e1e-a025-4afa-905b-399d3e1a0da4</t>
  </si>
  <si>
    <t>42191597-710c-40d2-b32e-af5c1233ef59</t>
  </si>
  <si>
    <t>def6d8c1-2191-4f64-92af-23e84f20cb56</t>
  </si>
  <si>
    <t>rest</t>
  </si>
  <si>
    <t>3bc202f7-dd3d-465d-9da8-f0128829c01f</t>
  </si>
  <si>
    <t>ce39b385-83c3-4bdb-ada9-794f4c43fa2b</t>
  </si>
  <si>
    <t>fadfcd92-3a00-4a27-90c8-a7036e7f8b84</t>
  </si>
  <si>
    <t>b9ca0f28-cc29-4aca-b88d-d49168bc1428</t>
  </si>
  <si>
    <t>3ef934e6-6bf7-4acf-b560-7a8b5ccef198</t>
  </si>
  <si>
    <t>3d997536-cb7f-49c5-af3e-e19fdf30bffc</t>
  </si>
  <si>
    <t>Camille Bucks</t>
  </si>
  <si>
    <t>camilleb@canva.com</t>
  </si>
  <si>
    <t>c99703d9-8a79-4fcb-8fa1-aebb12eea593</t>
  </si>
  <si>
    <t>d6f540c6-9ec5-45e2-87a9-8a05a27c922b</t>
  </si>
  <si>
    <t>e9717bb7-6f8d-408b-92ef-22b3520039cb</t>
  </si>
  <si>
    <t>e2df2710-8768-450c-b1d5-bb22b43a813e</t>
  </si>
  <si>
    <t>029ffa20-37d0-44ae-abad-3178a97d3af3</t>
  </si>
  <si>
    <t>bc5e33ad-145c-4620-9301-fcdd605ac899</t>
  </si>
  <si>
    <t>d2958bab-f55f-404a-8f7d-dbcd6a506372</t>
  </si>
  <si>
    <t>88d6c200-f68e-45f3-91ba-5b29d74a9f8e</t>
  </si>
  <si>
    <t>2de8bb28-ed13-4055-9549-ddc3a2cf9f1e</t>
  </si>
  <si>
    <t>edbert</t>
  </si>
  <si>
    <t>6d4c947b-f523-44a0-84ae-2413e5848feb</t>
  </si>
  <si>
    <t>bff33e10-9070-4d93-bf65-c267d191b83e</t>
  </si>
  <si>
    <t>dba6db31-d692-4082-a8d2-190a2a63703c</t>
  </si>
  <si>
    <t>3fec9a4d-fa5a-4d34-a7b3-d9076946fe22</t>
  </si>
  <si>
    <t>5ea54732-7396-4822-9a1d-1ad4f59f5b57</t>
  </si>
  <si>
    <t>1 VPS Training (faci-led)</t>
  </si>
  <si>
    <t>e2797e9b-bc7f-41a2-81ec-17fef677d3fe</t>
  </si>
  <si>
    <t>59ce46e7-5d04-4634-ad00-cadd8ec6639e</t>
  </si>
  <si>
    <t>7056d142-78c7-442c-8f06-f47e1ea74ab4</t>
  </si>
  <si>
    <t>aae5e3bd-018b-4076-8a17-c679db8a3b51</t>
  </si>
  <si>
    <t>940500ca-c08d-43ca-a2af-9df5a8b481d6</t>
  </si>
  <si>
    <t>b99430c2-2abb-41b8-9faa-3d4b803522ea</t>
  </si>
  <si>
    <t>541da920-3111-4974-8fa3-dbe7276040bb</t>
  </si>
  <si>
    <t>a5eb1227-621f-4569-89a0-dfe45fb4ecb5</t>
  </si>
  <si>
    <t>2f9e70fa-0ac0-4942-9a51-f4015015e61b</t>
  </si>
  <si>
    <t>d2e1d417-f41c-4a56-b210-27394690320c</t>
  </si>
  <si>
    <t>aa822e8e-63e1-4dcb-b6bf-3e2c3660b431</t>
  </si>
  <si>
    <t>1ee13beb-f5ac-4c80-bcfb-9f0dc190fe68</t>
  </si>
  <si>
    <t>Chace Ablaza</t>
  </si>
  <si>
    <t>chace@canva.com</t>
  </si>
  <si>
    <t>a47eb4be-7f89-4fef-aace-d269d16cb47c</t>
  </si>
  <si>
    <t>6ba079af-0a9f-4be8-84e0-f36f0457891c</t>
  </si>
  <si>
    <t>5f90d787-d123-4a75-8055-91a0af178720</t>
  </si>
  <si>
    <t>cae27a31-0c73-44de-9dc5-6832dfafca63</t>
  </si>
  <si>
    <t>780429d4-4f34-453c-9152-f168e8aeef8a</t>
  </si>
  <si>
    <t>aa37ba9b-9997-4076-b937-f459b0388fb3</t>
  </si>
  <si>
    <t>d6e38ea2-f7d1-4a98-a574-4f64cca18508</t>
  </si>
  <si>
    <t>1ce57454-a365-44ab-94dd-6bad0dad0ca5</t>
  </si>
  <si>
    <t>770cf4d7-9117-4635-be25-1dd70a07e302</t>
  </si>
  <si>
    <t>1a5bf111-5190-4af0-961d-8757d8a48d01</t>
  </si>
  <si>
    <t>cb1a7514-7058-4941-93ed-78e2dac0508e</t>
  </si>
  <si>
    <t>2647fe79-45d6-4a52-96ad-68982feefa85</t>
  </si>
  <si>
    <t>6b3b6065-1bcb-4b8f-b4e5-a87bb11b88ba</t>
  </si>
  <si>
    <t>7d17c103-3375-44af-9249-580dff823ce9</t>
  </si>
  <si>
    <t>25aa613f-7b58-41e8-b1b1-328c6153585a</t>
  </si>
  <si>
    <t>fce572c1-dd24-4a97-9f39-4bdefd8c332f</t>
  </si>
  <si>
    <t>ae4909f7-8928-4ea7-ae6d-42b1b4cd8386</t>
  </si>
  <si>
    <t>17bad32e-7e23-4b90-b7ff-0a54044046d3</t>
  </si>
  <si>
    <t>b05fac29-446f-4150-83cf-2b094e290ea4</t>
  </si>
  <si>
    <t>e9328add-e609-4ac6-81b1-6731b3d55c97</t>
  </si>
  <si>
    <t>e1546866-a9b7-4cdc-8130-b97e87c1bcfe</t>
  </si>
  <si>
    <t>09098334-9e95-4760-af59-9bfad669b6fe</t>
  </si>
  <si>
    <t>6741568a-fea5-4155-bb24-a733fea71bc8</t>
  </si>
  <si>
    <t>a8e62322-b2dc-4c8a-842a-2a259dac6528</t>
  </si>
  <si>
    <t>CJ Lining</t>
  </si>
  <si>
    <t>cjlining@canva.com</t>
  </si>
  <si>
    <t>758c0264-ad68-4c4b-a52e-3ed64134a18a</t>
  </si>
  <si>
    <t>9b6be7f5-2364-4fbd-815e-4156d1228bad</t>
  </si>
  <si>
    <t>d6731f3b-2597-402c-9b5a-a597e4cf17a0</t>
  </si>
  <si>
    <t>fbd72140-68d0-4c0f-9f87-e08037c54bbb</t>
  </si>
  <si>
    <t>c3dacef8-9682-4ef6-8296-0b943f6318f4</t>
  </si>
  <si>
    <t>a2788d7e-e1eb-42b8-9220-d4613d185a46</t>
  </si>
  <si>
    <t>25846bf7-a4b7-4861-9d66-9c2a9697686a</t>
  </si>
  <si>
    <t>53423ba4-9345-4024-b346-fa27c5f7e1f1</t>
  </si>
  <si>
    <t>abbd82eb-819b-4be5-bc89-7627eb3654e2</t>
  </si>
  <si>
    <t>a29b31cd-89f9-40ce-9f09-824aac21096b</t>
  </si>
  <si>
    <t>d27549af-3a63-4b9f-9fd1-197a0d963834</t>
  </si>
  <si>
    <t>d5ef030c-cbe1-47d7-b24d-bba403de93c6</t>
  </si>
  <si>
    <t>fab3c3ac-3049-4682-a44f-2f95e1a985b1</t>
  </si>
  <si>
    <t>Solo parent leave. Son's Christmas Party</t>
  </si>
  <si>
    <t>07ed7a3a-2611-490e-b532-a798b0bcb916</t>
  </si>
  <si>
    <t>cbed4893-6afe-40e2-a148-5a8a43d12c4c</t>
  </si>
  <si>
    <t>7ebaf760-34e7-4d42-ab39-4fcd4762cce8</t>
  </si>
  <si>
    <t>c58a2380-89ce-4597-ad9e-128b34f43c3f</t>
  </si>
  <si>
    <t>ad127e75-1562-4e8d-ac93-7c34017df4a5</t>
  </si>
  <si>
    <t>84ef8f9c-4338-47da-98ba-7c070d43c621</t>
  </si>
  <si>
    <t>b63a9038-3a54-4dff-9421-8645b0998444</t>
  </si>
  <si>
    <t>1e570a7a-e76d-4911-b625-496bc3bc9ebc</t>
  </si>
  <si>
    <t>37befdb8-6990-44c4-8385-734d33ae6bcf</t>
  </si>
  <si>
    <t>feef9bae-e3bb-4be3-ba63-e9a47661400f</t>
  </si>
  <si>
    <t>90bd152e-25ff-4581-b1f8-8c4f209dc4bc</t>
  </si>
  <si>
    <t>c1f1899a-3f6c-4197-9ec0-a279dccc1fe2</t>
  </si>
  <si>
    <t>e612249c-8f64-415b-befe-bb7e6027b43c</t>
  </si>
  <si>
    <t>Erielle Singular</t>
  </si>
  <si>
    <t>erielle@canva.com</t>
  </si>
  <si>
    <t>fb0d82aa-8de0-4e3a-8ed2-a8846ff8c547</t>
  </si>
  <si>
    <t>c4299d26-bee4-4c2c-886a-3eaa05fd4238</t>
  </si>
  <si>
    <t>553a6dbf-c83c-4b8f-9906-7e20882980ad</t>
  </si>
  <si>
    <t>e443833a-d0b7-49e9-9007-f5cd28d0accb</t>
  </si>
  <si>
    <t>858b6dd7-ef6f-4a0d-93da-a833b8193a55</t>
  </si>
  <si>
    <t>c131960d-d260-4f07-8259-4eaceb00a405</t>
  </si>
  <si>
    <t>e7d19868-9885-4f3f-933f-6bc921e4fdf3</t>
  </si>
  <si>
    <t>0579a89d-a8ef-4d56-b65f-f5b42ff60792</t>
  </si>
  <si>
    <t>57b90a3d-9ef9-4529-9cb1-c3adf9a15723</t>
  </si>
  <si>
    <t>fc177d70-ea5a-4242-bae6-544ea5bd83ae</t>
  </si>
  <si>
    <t>3d3c53b1-e63a-492e-9331-961152076f31</t>
  </si>
  <si>
    <t>d4218985-b832-4e0f-bbae-6cc481b88f82</t>
  </si>
  <si>
    <t>bb60ac4a-72c0-4f7b-a90b-32f57eab25c1</t>
  </si>
  <si>
    <t>d4649981-d07f-414b-b668-f0ff9558f426</t>
  </si>
  <si>
    <t>6f091d5b-9245-4c29-a47d-18d0a68b710d</t>
  </si>
  <si>
    <t>ed8b3430-f8e7-48c0-8a93-52b15f5e0b0b</t>
  </si>
  <si>
    <t>2fced723-4682-47df-8ae2-d0804913a45b</t>
  </si>
  <si>
    <t>188b4c8f-e909-4823-b080-c3977e1489b4</t>
  </si>
  <si>
    <t>0ea93eff-0fda-48bc-b139-c947593e4a43</t>
  </si>
  <si>
    <t>3b566210-6cea-4647-969a-778d050cd91d</t>
  </si>
  <si>
    <t>f7751c19-7ef3-452f-91f4-6378901f522e</t>
  </si>
  <si>
    <t>38d75b53-ebd6-419d-ab4c-b7e57df86b19</t>
  </si>
  <si>
    <t>65af71db-e4bb-40ab-8f04-30a30b61d598</t>
  </si>
  <si>
    <t>71d48917-d813-46e5-a9c2-a36152bd7bb4</t>
  </si>
  <si>
    <t>099dd243-b724-478e-9692-79686402a18c</t>
  </si>
  <si>
    <t>Faith Ytang</t>
  </si>
  <si>
    <t>faith@canva.com</t>
  </si>
  <si>
    <t>e6bcfcd8-32e5-4ae0-b6d6-2ae163e2926d</t>
  </si>
  <si>
    <t>f7954c18-e0a3-41a0-92da-07245b9b4baf</t>
  </si>
  <si>
    <t>fa97b3ec-27dc-494b-ac89-525dffbe70e3</t>
  </si>
  <si>
    <t>52f2577b-677c-45c6-9500-35974ac9361a</t>
  </si>
  <si>
    <t>7be12e55-44d3-4f40-a09c-57a7dc3580fa</t>
  </si>
  <si>
    <t>b434e7c6-cb8e-4ad4-ae93-4ff1d34674e4</t>
  </si>
  <si>
    <t>12c9d2c7-a780-4c3a-96e0-3e649838b596</t>
  </si>
  <si>
    <t>c8927c2d-a1c2-4da5-95aa-7c61233f6077</t>
  </si>
  <si>
    <t>84a5ef08-3f38-4e4c-b0c0-0630c3004b5c</t>
  </si>
  <si>
    <t>b892453b-dbb5-44c8-a4ff-d501f98d1aa6</t>
  </si>
  <si>
    <t>8bf73b7b-0099-4572-81d4-a7a53bb9cb66</t>
  </si>
  <si>
    <t>f3998376-8e43-4eb8-9ee2-ca10e7d4b287</t>
  </si>
  <si>
    <t>08ca6441-15ea-47a8-a0c9-e2a7cefc6606</t>
  </si>
  <si>
    <t>1fd84a3c-cecf-46b3-8cd9-3d83521ea15b</t>
  </si>
  <si>
    <t>ba7c8dc1-230c-4d5d-827d-f19b5baca3cb</t>
  </si>
  <si>
    <t>59cf725d-fcf4-4aaa-b2fd-89ce55dfe511</t>
  </si>
  <si>
    <t>51d31212-5c66-4f1c-a3bd-c5131a5a3eb4</t>
  </si>
  <si>
    <t>e9672abb-8aa8-421a-a805-2d249e2d895f</t>
  </si>
  <si>
    <t>13a5a571-0b31-42c0-b3aa-a1789d670397</t>
  </si>
  <si>
    <t>7a258c1b-ee01-4fa1-95a8-49ce623097df</t>
  </si>
  <si>
    <t>2d2c307d-03f2-48b4-8c16-8848f391363b</t>
  </si>
  <si>
    <t>1a6492df-fa9a-416f-b1d1-da6edc22036f</t>
  </si>
  <si>
    <t>Hannah Decena</t>
  </si>
  <si>
    <t>hdecena@canva.com</t>
  </si>
  <si>
    <t>a5433b62-7e41-4622-b742-70e41f88fff5</t>
  </si>
  <si>
    <t>dba885df-d633-4da4-8157-a4512f4f7828</t>
  </si>
  <si>
    <t>6f089a4e-61f7-4400-9b94-bea1934a7450</t>
  </si>
  <si>
    <t>00aeb4f6-1e2f-422c-89e6-531c4da5fd0d</t>
  </si>
  <si>
    <t>63f97d98-70dd-4967-bb48-f64494ed718f</t>
  </si>
  <si>
    <t>492203e4-789c-428f-bdab-a4efe5c403ff</t>
  </si>
  <si>
    <t>4ff16294-59a5-4150-93f6-05e109903555</t>
  </si>
  <si>
    <t>655e614c-9132-4bc2-a764-b3a36c67213c</t>
  </si>
  <si>
    <t>42aafc7d-0634-42ef-a938-d50adf3f8a75</t>
  </si>
  <si>
    <t>1c03159e-56b3-4953-9e35-40a24c1e2d78</t>
  </si>
  <si>
    <t>86dcbd94-8d7d-498d-8cd4-71fd8e39c956</t>
  </si>
  <si>
    <t>305460ce-da59-4102-987c-61c78cc97a17</t>
  </si>
  <si>
    <t>fab34321-a89f-4ad9-bb12-73b8a6d9fed4</t>
  </si>
  <si>
    <t>8e0926ce-7895-4a27-91e1-3e5c8ae9eedc</t>
  </si>
  <si>
    <t>e71c247a-ab89-498d-9444-0ca5cf4fc385</t>
  </si>
  <si>
    <t>c7a314d5-0c37-4405-9ec1-c012f8c1aa05</t>
  </si>
  <si>
    <t>92a6bb90-2272-4d17-8fb1-fcb3f7fc80db</t>
  </si>
  <si>
    <t>9688561a-e07c-4d50-bcdd-7b1bac97e7fa</t>
  </si>
  <si>
    <t>508dbad7-7c4e-472b-ab31-41f28063d466</t>
  </si>
  <si>
    <t>090bc994-bcd7-407a-aafd-23a809a7680d</t>
  </si>
  <si>
    <t>8183916f-a0f5-47ca-a74f-f40d20fb8d3e</t>
  </si>
  <si>
    <t>af4aea49-7f4c-4529-8cd9-b61649644a65</t>
  </si>
  <si>
    <t>f07f481c-f8eb-435e-b92d-43fdd88a7d66</t>
  </si>
  <si>
    <t>aa266a8b-fb84-4088-b840-1d4abaab88b9</t>
  </si>
  <si>
    <t>3f785298-f511-4fe4-b868-42597a7b767c</t>
  </si>
  <si>
    <t>f12f932c-4f09-4d76-9470-0d4be57fa17a</t>
  </si>
  <si>
    <t>be5a8a3a-04aa-4dc6-baf4-bd7d18656626</t>
  </si>
  <si>
    <t>8bbeb493-7292-43af-8886-bab05870a4b3</t>
  </si>
  <si>
    <t>366b6cb1-e733-471a-912f-45658de157a7</t>
  </si>
  <si>
    <t>4b39b55c-6b01-44cb-a407-5d47057e38d0</t>
  </si>
  <si>
    <t>1ba3172b-4af8-46f8-b4fe-6856bebfddaf</t>
  </si>
  <si>
    <t>431e7f69-6dec-4c3f-ae48-7d00bf9a7b24</t>
  </si>
  <si>
    <t>3d72aef9-158b-4f8d-be6f-786d0d8f3fc4</t>
  </si>
  <si>
    <t>1bcb207c-8608-46a1-aee6-3da54154d6ee</t>
  </si>
  <si>
    <t>df2f0afb-fb91-4702-8223-c228f1a28c0f</t>
  </si>
  <si>
    <t>7f0ec95d-8375-41f1-98d2-9728d5d1a6d7</t>
  </si>
  <si>
    <t>58d28c1a-3467-456f-b3f1-130fb12b7cd9</t>
  </si>
  <si>
    <t>9ec0da09-e6b0-4fe2-907e-69ca57830342</t>
  </si>
  <si>
    <t>cf3ec139-3b01-4963-b0d9-38c59aeca76f</t>
  </si>
  <si>
    <t>0e8acad9-62e3-4410-9f65-d93731e75410</t>
  </si>
  <si>
    <t>c6cec3c3-9fe7-48ea-b63e-7658cdee4747</t>
  </si>
  <si>
    <t>Ja Gumasing</t>
  </si>
  <si>
    <t>jagumasing@canva.com</t>
  </si>
  <si>
    <t>4117fde2-1e44-46fd-a340-ef6ebb834521</t>
  </si>
  <si>
    <t>24714768-b5fd-4912-8eee-6e8f4ff1e1b2</t>
  </si>
  <si>
    <t>0cbc3dd6-b8ca-4cc4-a76f-ab9a23fed4bf</t>
  </si>
  <si>
    <t>lactation break</t>
  </si>
  <si>
    <t>bcd01468-b2ab-45c6-8099-7c2025051f2c</t>
  </si>
  <si>
    <t>31809f1a-e11d-41e4-b527-5dd58e51b1f9</t>
  </si>
  <si>
    <t>804fafbb-796d-4a36-aebd-9bab59392c20</t>
  </si>
  <si>
    <t>5b603708-b6d2-4ca8-a007-a4c0213a1462</t>
  </si>
  <si>
    <t>71b77a9c-246e-4b1a-888c-179f3775e8e3</t>
  </si>
  <si>
    <t>Lactation break</t>
  </si>
  <si>
    <t>abdeac6a-c3b7-4ead-85fa-41467fb0f5ac</t>
  </si>
  <si>
    <t>eafbbdc1-b22f-4fed-a57a-9661930fcbec</t>
  </si>
  <si>
    <t>0de11dfb-b6a3-4248-b97f-676eaadded9d</t>
  </si>
  <si>
    <t>01127dbf-8a11-4e30-9a77-bad265e29040</t>
  </si>
  <si>
    <t>41b8f867-cda8-401c-8622-e9057fc2c3ce</t>
  </si>
  <si>
    <t>2acecd5c-166e-4355-811f-b3d4b14f5789</t>
  </si>
  <si>
    <t>09b4f446-5f75-4432-9b07-00415f4e7ba2</t>
  </si>
  <si>
    <t>413fa835-6676-4ad5-a816-ec4142a538b4</t>
  </si>
  <si>
    <t>be3d1ed0-3cf9-4ec3-a4c1-af9205b596b2</t>
  </si>
  <si>
    <t>1d134357-8f7d-4c19-b2bd-d761fa5887e9</t>
  </si>
  <si>
    <t>dd0ef9fd-5065-4ab1-8420-73ebb7482f4f</t>
  </si>
  <si>
    <t>e5cbb296-b868-49c6-8d27-d485a5447016</t>
  </si>
  <si>
    <t>ce5eb719-5ba2-4403-9868-0e8f2e9960f5</t>
  </si>
  <si>
    <t>f983b1c3-d70d-4be5-a0c8-c39c2e5995dd</t>
  </si>
  <si>
    <t>6874ef50-d526-426f-ab98-29301e83a67b</t>
  </si>
  <si>
    <t>3983d304-361f-463b-8664-a16009fa5425</t>
  </si>
  <si>
    <t>4b74f4d7-d842-4ba5-b324-b672b68b8ff1</t>
  </si>
  <si>
    <t>7dbcfb18-a0a4-4ae3-a887-77b6331f7bf9</t>
  </si>
  <si>
    <t>ed28aa1c-230f-414c-b415-191d703a8bac</t>
  </si>
  <si>
    <t>ef79987a-3fc3-4cbf-82b5-59f6224f7e68</t>
  </si>
  <si>
    <t>92bd8c1b-5110-4512-8779-004cf8963146</t>
  </si>
  <si>
    <t>349d466e-4a6b-43f7-9c9a-af174f105f28</t>
  </si>
  <si>
    <t>3ab415ff-92dc-4cc5-b6d2-1bc2d6ad1844</t>
  </si>
  <si>
    <t>0a8c40fe-5334-4c44-9d8b-8db92a10d425</t>
  </si>
  <si>
    <t>476cb16f-e74f-46f5-b4f8-adb38c6a1ab9</t>
  </si>
  <si>
    <t>6df4cf81-dfe4-4780-927c-0cfcbaa49539</t>
  </si>
  <si>
    <t>1:1 (async)</t>
  </si>
  <si>
    <t>6db0127b-a915-4bc3-8385-20d6333d1632</t>
  </si>
  <si>
    <t>f392d720-32c8-41b4-90c8-9b0be896f30f</t>
  </si>
  <si>
    <t>b9f86dec-eb31-4913-ab13-44c5c5dacc85</t>
  </si>
  <si>
    <t>ba60969e-b65d-4e85-8f3c-3c8a3502f2d9</t>
  </si>
  <si>
    <t>18ad35f8-0f25-44fa-b379-3070b1710437</t>
  </si>
  <si>
    <t>a5674430-4a83-4d8b-be79-a5a80003f28f</t>
  </si>
  <si>
    <t>5b2297b0-27fa-4fa5-9fcc-4b981532a361</t>
  </si>
  <si>
    <t>9437ab35-6853-4cc2-bc01-2ee71a96a953</t>
  </si>
  <si>
    <t>ff756a4c-1c2e-4bec-9425-e4e60873af01</t>
  </si>
  <si>
    <t>bdaca744-0fea-4d61-b43b-eb0c628a8fa6</t>
  </si>
  <si>
    <t>f2080ab8-cb00-45b0-99d2-e4388cd7cd78</t>
  </si>
  <si>
    <t>51bb6287-afee-482d-80e9-f1d0f92dc0b0</t>
  </si>
  <si>
    <t>0ae24c9b-6172-4326-bb51-99cd5756da29</t>
  </si>
  <si>
    <t>Jared Carlin</t>
  </si>
  <si>
    <t>jaredc@canva.com</t>
  </si>
  <si>
    <t>db9966bc-c75d-4958-adcc-b082fd41068b</t>
  </si>
  <si>
    <t>5feb3c6a-92d3-4308-bbca-97419187a52b</t>
  </si>
  <si>
    <t>83b3a72c-2852-446a-bf67-43be74aff460</t>
  </si>
  <si>
    <t>5deb461e-e36c-4d53-a9c7-539064021c30</t>
  </si>
  <si>
    <t>d851a049-710f-4de0-b7c0-646fa91b606d</t>
  </si>
  <si>
    <t>3e79bce8-55d5-406b-99ca-2c68d9563ce9</t>
  </si>
  <si>
    <t>cbb86ec6-9aa2-489a-bf66-68832ea500cf</t>
  </si>
  <si>
    <t>2d6c68c7-20e4-4a5b-be85-bd7f5f8742a2</t>
  </si>
  <si>
    <t>3d84bf28-3e12-44a6-95a7-31255851520a</t>
  </si>
  <si>
    <t>a6643b1e-4fa9-4b80-87e3-26ffe4cb8392</t>
  </si>
  <si>
    <t>cc3f746b-20e6-4263-a440-d87ee9079baa</t>
  </si>
  <si>
    <t>d7c2780a-a3dd-4fba-8842-b6ddfe693c02</t>
  </si>
  <si>
    <t>fab16b6a-1008-46da-aef5-a37ef5ce64ea</t>
  </si>
  <si>
    <t>09f52512-2de4-4347-ae09-bbe341439f4a</t>
  </si>
  <si>
    <t>53cad470-ae12-4e95-a6fa-c657d88b442d</t>
  </si>
  <si>
    <t>58a2d10f-57d6-4828-b533-51f1f605bf1e</t>
  </si>
  <si>
    <t>fd29d314-4e78-40fe-8824-1e43b426e17e</t>
  </si>
  <si>
    <t>184a104b-bd99-4420-944b-56c4c3a19568</t>
  </si>
  <si>
    <t>0d8ffcdf-f6cb-4296-a361-5f4caf0aff8d</t>
  </si>
  <si>
    <t>c36e4b19-7d88-42cc-9ae9-ace3a1332687</t>
  </si>
  <si>
    <t>ea100a8f-88ef-436c-bdde-2602491a30e3</t>
  </si>
  <si>
    <t>3fd9fe55-766b-4a2b-82fc-1b07190da716</t>
  </si>
  <si>
    <t>210b9cb5-8443-41d7-a3c6-4cb5ac2e16dc</t>
  </si>
  <si>
    <t>dcd48774-78b9-40fc-839d-7b9b774fdf25</t>
  </si>
  <si>
    <t>bfc88d76-5c3f-4a1e-9541-5acdf38ec8d5</t>
  </si>
  <si>
    <t>6663b919-c861-4482-b809-c437b9ac3d4a</t>
  </si>
  <si>
    <t>af00ba55-af2e-4a9f-a4f6-e9975c90a773</t>
  </si>
  <si>
    <t>f2779cac-0d35-495b-b76e-27cdfb6876b4</t>
  </si>
  <si>
    <t>66ac5629-fdbf-4451-84fc-947e0028497d</t>
  </si>
  <si>
    <t>7604e908-cfc1-4f22-8cf3-f53c83390eb5</t>
  </si>
  <si>
    <t>d5518c49-960a-450c-b7b2-5775c86320fc</t>
  </si>
  <si>
    <t>db0123ec-2cb9-4117-8c49-884884736403</t>
  </si>
  <si>
    <t>a362c3ac-59ee-4683-8f1d-98e0c4542409</t>
  </si>
  <si>
    <t>929f91e2-4d51-4609-a198-1e0caf4bec3a</t>
  </si>
  <si>
    <t>4a4326d3-5dd4-4648-aef3-aea986f64248</t>
  </si>
  <si>
    <t>8dfb65f1-3a4a-4a2c-8282-d3e7af9e5d70</t>
  </si>
  <si>
    <t>2a30f2bc-52bd-47e1-bb24-5b4ef07eb4bd</t>
  </si>
  <si>
    <t>ee73e36a-ff3e-4ba6-b139-2efd95c24908</t>
  </si>
  <si>
    <t>84c6fa44-25fc-43c3-ae50-15e414009208</t>
  </si>
  <si>
    <t>74d14a23-6265-4ade-bd04-b3809e68652d</t>
  </si>
  <si>
    <t>b84da597-5711-4536-ac12-6ace9e638166</t>
  </si>
  <si>
    <t>0f7a11cd-1264-4c82-92c5-4270bd7bef46</t>
  </si>
  <si>
    <t>4b906fe3-66c8-454a-a7d0-1f50f4b6cdf4</t>
  </si>
  <si>
    <t>Jesica Laureola</t>
  </si>
  <si>
    <t>jesicamari@canva.com</t>
  </si>
  <si>
    <t>Half day VL</t>
  </si>
  <si>
    <t>429205c3-0a7d-4627-a936-1ad4d043d7f8</t>
  </si>
  <si>
    <t>e65c338f-81f7-4ba5-ba53-cc52e9295540</t>
  </si>
  <si>
    <t>58b12182-bccf-424f-b51c-81bb4690c45c</t>
  </si>
  <si>
    <t>4d88c36f-6ebf-44d1-8809-df2f24072e1f</t>
  </si>
  <si>
    <t>Dec 15 shift VL</t>
  </si>
  <si>
    <t>b00d7627-5c51-4f15-9e3b-725bc11616e0</t>
  </si>
  <si>
    <t>42bbd208-baf2-48d8-aec0-54dcefb2038d</t>
  </si>
  <si>
    <t>b99f22df-735a-4cdc-86f3-4acbf2a34b22</t>
  </si>
  <si>
    <t>7b0c1ebc-1e04-4b12-85ad-28385ecb5494</t>
  </si>
  <si>
    <t>7be3dfd2-5fd2-4690-b927-71125fbe7fbe</t>
  </si>
  <si>
    <t>de4a2c5b-6889-471d-ae17-24d80a8c9990</t>
  </si>
  <si>
    <t>ea6981c9-d116-4138-b519-ed5e5d1762fd</t>
  </si>
  <si>
    <t>ef155bf3-ee3c-4924-85dc-e4fecac80d77</t>
  </si>
  <si>
    <t>9717a1ed-be72-414d-a7d2-3c6c9ebc233b</t>
  </si>
  <si>
    <t>365d27d9-b139-4df5-9971-02fbeb6e06e5</t>
  </si>
  <si>
    <t>3489a735-4bfb-4c9d-b25a-f46047b82c7e</t>
  </si>
  <si>
    <t>893d86f4-7eba-4dd2-b805-d2426be28a7c</t>
  </si>
  <si>
    <t>d7094b6f-aba7-4e00-8477-c50e0c75e2e1</t>
  </si>
  <si>
    <t>3103bc93-73fd-47ff-adcb-1ef397c85c10</t>
  </si>
  <si>
    <t>21dc78b5-d66f-474d-9396-70868b524611</t>
  </si>
  <si>
    <t>e9c0af1b-f3b4-4449-861e-d87f3c9bd716</t>
  </si>
  <si>
    <t>a1313e18-7195-4195-83a7-c161e00247cb</t>
  </si>
  <si>
    <t>7fcb3639-6dec-4ac6-a218-85f6bcea9222</t>
  </si>
  <si>
    <t>b10da76c-3384-45c2-b13b-b782691d5fc8</t>
  </si>
  <si>
    <t>7f8884c1-dbe9-46e7-b240-d8129af6bab3</t>
  </si>
  <si>
    <t>776e76fc-52b9-4a0b-9bbb-073d94d4ad9a</t>
  </si>
  <si>
    <t>bda16778-34eb-4584-8ba9-2943ec861069</t>
  </si>
  <si>
    <t>7f0e0daa-5f2f-459b-9247-00a05e6ec054</t>
  </si>
  <si>
    <t>5f74028d-0dd4-42fa-9152-3f910f35cecb</t>
  </si>
  <si>
    <t>c7d7e66b-4dfe-47b9-a47f-66af76d8fb19</t>
  </si>
  <si>
    <t>JM Pascual</t>
  </si>
  <si>
    <t>jmpascual@canva.com</t>
  </si>
  <si>
    <t>520d043c-3dd1-4d47-a6ce-128c85f40160</t>
  </si>
  <si>
    <t>85014647-5668-4162-9e89-250b936ed821</t>
  </si>
  <si>
    <t>59e183a0-9e91-4fdd-8c7b-cb8eba601fff</t>
  </si>
  <si>
    <t>ca212055-ee39-4297-9e05-eec9156b821f</t>
  </si>
  <si>
    <t>66703b85-003a-4ae1-a138-91b5994eac6f</t>
  </si>
  <si>
    <t>2f4cbed3-a0bc-47bb-91fc-fb44320b9626</t>
  </si>
  <si>
    <t>e5c8948c-d0b9-4c13-be28-05edbf2ca7b7</t>
  </si>
  <si>
    <t>9823c08d-5434-402f-b6b0-66aa4d93ffcb</t>
  </si>
  <si>
    <t>fbe9fc87-a70d-4dd7-a713-36cb6b0e1ec3</t>
  </si>
  <si>
    <t>c8c23fc4-dc84-4ddf-86fb-176bfccd4755</t>
  </si>
  <si>
    <t>15945262-dc03-4835-854a-2707b685e1ac</t>
  </si>
  <si>
    <t>77ebad36-1073-4b48-8808-d7a8dd76dbb3</t>
  </si>
  <si>
    <t>8628769a-09f3-414f-a96c-2d18bb3615d1</t>
  </si>
  <si>
    <t>e2c3960c-46e1-445e-8cb3-87531941a5c2</t>
  </si>
  <si>
    <t>adb7c757-19dc-4cd9-b82d-42a254d9eb3a</t>
  </si>
  <si>
    <t>7ad7bb59-7aad-4f10-a5c0-d7decd401b32</t>
  </si>
  <si>
    <t>e17dc2bc-0f97-4e18-8725-419fa595523a</t>
  </si>
  <si>
    <t>67bf1981-19fd-4b2f-b695-517ddc1dae0d</t>
  </si>
  <si>
    <t>27a6c8ac-2863-4f17-a790-27a90a364ee0</t>
  </si>
  <si>
    <t>3fd5b85f-da59-42c2-b008-688768a34d9b</t>
  </si>
  <si>
    <t>1b0537c8-1d0c-453b-821e-669d4f4e5d29</t>
  </si>
  <si>
    <t>9237af92-e168-474a-86d8-3742d2ba3584</t>
  </si>
  <si>
    <t>fb7b02b7-cf94-4c77-be68-fdaddfc6e228</t>
  </si>
  <si>
    <t>8c8ef7b3-7fab-4879-bfd1-954d1e58f709</t>
  </si>
  <si>
    <t>e280dcb2-ff82-461f-9ef6-edce62b74a37</t>
  </si>
  <si>
    <t>f154e992-ffb0-484a-b731-9da1092e886a</t>
  </si>
  <si>
    <t>Katrina Joya</t>
  </si>
  <si>
    <t>katejoya@canva.com</t>
  </si>
  <si>
    <t>887600de-2c26-4616-97e6-611d7961f805</t>
  </si>
  <si>
    <t>adbff579-ce72-4c4b-998b-0836961e9b9d</t>
  </si>
  <si>
    <t>3b785640-1b76-4dd0-8c5b-795fae15776a</t>
  </si>
  <si>
    <t>0740f62f-8810-4837-81cc-2c5d72225815</t>
  </si>
  <si>
    <t>3c1991b1-42bc-4370-8a8f-4833a1dacf37</t>
  </si>
  <si>
    <t>abd40bf6-b7ea-4268-bc99-f47a9474f6a5</t>
  </si>
  <si>
    <t>7468ede2-73c6-4f04-aba6-a4fcd040800e</t>
  </si>
  <si>
    <t>33e7535d-a0ea-4907-ad0e-8e80a8eb5a5d</t>
  </si>
  <si>
    <t>27eb939a-f6d9-440a-ac48-95f435b40aa5</t>
  </si>
  <si>
    <t>a91ba7df-6d80-41f6-bcfb-aebf91affaf0</t>
  </si>
  <si>
    <t>37defa64-5c37-4a0a-91ed-54cc379c3e3d</t>
  </si>
  <si>
    <t>389e5995-914c-46f8-9310-0136a081fe95</t>
  </si>
  <si>
    <t>f94977aa-3da1-4ec4-bf7e-e41dfc9b505e</t>
  </si>
  <si>
    <t>a50fee59-3715-4314-8ab0-db119f8dbac5</t>
  </si>
  <si>
    <t>Quick Call</t>
  </si>
  <si>
    <t>144a695c-8ac0-42ad-b12b-c32df03aa26f</t>
  </si>
  <si>
    <t>f8bb3bb9-e151-43b2-bf09-169694541bfb</t>
  </si>
  <si>
    <t>713263f3-b76c-4b45-8323-1e93715949c1</t>
  </si>
  <si>
    <t>Requested for SL tomorrow due to cough and colds today</t>
  </si>
  <si>
    <t>03829749-86eb-42c0-919c-c2572dc6a86c</t>
  </si>
  <si>
    <t>2893b695-11ac-48e8-bafe-df6cccb027a0</t>
  </si>
  <si>
    <t>0dfb7f8c-7a8d-4421-b851-90b4a748e5db</t>
  </si>
  <si>
    <t>5b7021b4-4464-4703-9125-f084a595da3c</t>
  </si>
  <si>
    <t>0be55b95-70c9-4153-beeb-1c9941bdb5a5</t>
  </si>
  <si>
    <t>b54d4cd5-287d-4348-b325-554534dff5c6</t>
  </si>
  <si>
    <t>90ae8c92-a55f-46c3-bfc7-b08f5b7ec227</t>
  </si>
  <si>
    <t>75169e9a-969f-480f-aae4-eff49591cf56</t>
  </si>
  <si>
    <t>Kevin Go</t>
  </si>
  <si>
    <t>kevingo@canva.com</t>
  </si>
  <si>
    <t>ecc40231-82f5-4079-bb1c-37a52b29a34c</t>
  </si>
  <si>
    <t>e1ed2b23-03e6-4781-a303-10ca6f83fa30</t>
  </si>
  <si>
    <t>e87382ce-c725-4622-9c0c-c47664ee19e2</t>
  </si>
  <si>
    <t>12ab7f05-adaa-428d-8e15-56e151b029f2</t>
  </si>
  <si>
    <t>97af7e43-24b6-4dd4-8211-52b82791182e</t>
  </si>
  <si>
    <t>b86de224-3c0a-4709-a4f6-dc9ad5832755</t>
  </si>
  <si>
    <t>83e1b04c-2c27-44e9-88c0-744c621b78f2</t>
  </si>
  <si>
    <t>f50a135d-3e13-44b8-9f28-556b68796e12</t>
  </si>
  <si>
    <t>6f1539f6-37b5-4495-9656-5c1a7a1acd40</t>
  </si>
  <si>
    <t>1e2d7bcd-54ac-4c11-8b59-cb244bad5572</t>
  </si>
  <si>
    <t>100cd659-691f-44a7-b60a-11ebd59d7f8c</t>
  </si>
  <si>
    <t>c7ca3c5a-51a1-445c-a70b-e251c8e52cb9</t>
  </si>
  <si>
    <t>e31d6630-aa31-40da-8dd9-582c2b85fec2</t>
  </si>
  <si>
    <t>565c56c3-c180-45f9-8429-0cdebcf8d8d0</t>
  </si>
  <si>
    <t>e7a4efc0-e660-462d-8447-c394d43d53be</t>
  </si>
  <si>
    <t>95e5067e-8418-403b-9fd1-b19c8a32d165</t>
  </si>
  <si>
    <t>3bc4358e-151c-49e8-a6a8-a4f5f073c9d1</t>
  </si>
  <si>
    <t>e4128495-3e8c-4223-a89a-93b9d0d726ad</t>
  </si>
  <si>
    <t>74f265a3-1051-4438-bdad-56f3bfe1ff8b</t>
  </si>
  <si>
    <t>e406ceda-5559-470b-b810-ec9d88a50b4d</t>
  </si>
  <si>
    <t>6117745d-09ce-4ca7-8734-bfcfd5a8aa2d</t>
  </si>
  <si>
    <t>cca5564f-3ac8-4e8d-a215-73d987ae9e38</t>
  </si>
  <si>
    <t>f49619b0-d053-442f-946d-b652dbfb2703</t>
  </si>
  <si>
    <t>Loise Dela Cruz</t>
  </si>
  <si>
    <t>loise@canva.com</t>
  </si>
  <si>
    <t>c8c24546-1db3-44e8-87d9-52d23b2901cd</t>
  </si>
  <si>
    <t>d3e664c0-4d0d-4e17-a3cf-cc6a6a2ca8ed</t>
  </si>
  <si>
    <t>ace4e56b-92c2-45d5-8719-1250d5e32d6e</t>
  </si>
  <si>
    <t>d50c3a30-e131-49c8-b459-4a593a6ac0d5</t>
  </si>
  <si>
    <t>7eee088f-d91d-4d5e-a456-fdca90069479</t>
  </si>
  <si>
    <t>4a16ef99-8db7-4dc6-8443-0afab159e772</t>
  </si>
  <si>
    <t>f6b600ed-5751-4b14-84e1-b29e9c01ee57</t>
  </si>
  <si>
    <t>0caa83cd-814f-43b2-9670-22009df55265</t>
  </si>
  <si>
    <t>71a1c460-0ace-4c55-98a4-43e909b318dd</t>
  </si>
  <si>
    <t>78d1535e-cd01-411e-83a0-d8fe5642c6aa</t>
  </si>
  <si>
    <t>60dd00ae-d7a0-4167-a414-6c6ba5314848</t>
  </si>
  <si>
    <t>8eb50f06-ac15-4cee-8fb4-afbcfbc1aa10</t>
  </si>
  <si>
    <t>76f88c60-23ef-480f-8509-bd448613afc2</t>
  </si>
  <si>
    <t>Carer's Leave</t>
  </si>
  <si>
    <t>0733ddc6-e2cb-429a-82a1-544bbb186ed2</t>
  </si>
  <si>
    <t>a0586194-89c6-4537-b5e4-805c3fb6e1fe</t>
  </si>
  <si>
    <t>4a8009f4-89b1-4672-a412-e9ef0f79617c</t>
  </si>
  <si>
    <t>d8563874-45e2-4a6f-ad9d-7a998b7e120a</t>
  </si>
  <si>
    <t>ece7b37d-da5a-4e96-866a-57e4b640e70d</t>
  </si>
  <si>
    <t>0856dca7-957a-449f-a46a-f2cb565448c3</t>
  </si>
  <si>
    <t>061452a3-33a5-411f-a08a-363ef1f51752</t>
  </si>
  <si>
    <t>2b226159-050b-4c25-ac98-e016f39c8b46</t>
  </si>
  <si>
    <t>c50a1585-b471-4c9a-9451-27aed1f9c107</t>
  </si>
  <si>
    <t>53df1d2c-a6c1-4ad7-a4ca-c910fae82a8d</t>
  </si>
  <si>
    <t>7c17508d-ffd5-4840-99be-6a65911f79ab</t>
  </si>
  <si>
    <t>79d4c90a-77dc-4a31-9949-c3ddcc100a47</t>
  </si>
  <si>
    <t>20080360-d6b6-487a-ad2b-4d92f14a3e3a</t>
  </si>
  <si>
    <t>Mackie Vitacion</t>
  </si>
  <si>
    <t>mackievitacion@canva.com</t>
  </si>
  <si>
    <t>237dd1f1-0b92-485c-b4c6-c3812d4978c2</t>
  </si>
  <si>
    <t>966bd4f7-49ba-4f28-94ba-b27fd7ae2a76</t>
  </si>
  <si>
    <t>5133bb89-a99b-4b3c-a95c-774fd0829bfa</t>
  </si>
  <si>
    <t>Planned SL</t>
  </si>
  <si>
    <t>04cc8485-cfa7-464b-bd7d-bc85cf1ce38f</t>
  </si>
  <si>
    <t>39e77cf9-0750-4e36-ad81-39778bdcf22c</t>
  </si>
  <si>
    <t>b1771264-98c6-4da4-84a0-66d2bb6fb429</t>
  </si>
  <si>
    <t>1487918e-42ef-4275-bab2-a2f09bcd253d</t>
  </si>
  <si>
    <t>c5501eda-18e5-4b5b-a900-a82ca716c1f4</t>
  </si>
  <si>
    <t>04b33314-d723-4e53-85f0-c3a50450ca16</t>
  </si>
  <si>
    <t>cbc1eab3-2390-45db-a798-b2deaebeb73a</t>
  </si>
  <si>
    <t>686c6d2c-b9ed-47ed-aa40-2963068051f4</t>
  </si>
  <si>
    <t>661be2ee-1d46-4fd7-98a7-0e47b903f5ad</t>
  </si>
  <si>
    <t>4a12c2d4-c771-43c1-bd8f-5415e07df609</t>
  </si>
  <si>
    <t>8e8673f0-3186-44d4-9bc3-4f29ac9de765</t>
  </si>
  <si>
    <t>4b423405-20d5-4ee9-ae86-e7997aeb0482</t>
  </si>
  <si>
    <t>e8ee0def-eb43-4b18-a046-73a4ca267639</t>
  </si>
  <si>
    <t>cd944ae0-2ef8-41ee-9576-5cbddf1703b2</t>
  </si>
  <si>
    <t>bdf07b69-9a82-468c-8ec1-43521e9ac7e7</t>
  </si>
  <si>
    <t>4ac3656f-1189-448a-8ab1-2b9320ed904a</t>
  </si>
  <si>
    <t>99d72355-86f4-477d-af7b-0de520f64467</t>
  </si>
  <si>
    <t>c4178947-5ef9-4b34-aac6-709ade639a72</t>
  </si>
  <si>
    <t>8b89eb5b-a17d-4da2-b5e0-c09bcc331e97</t>
  </si>
  <si>
    <t>0deae71a-4957-4d7a-9476-cd4427557861</t>
  </si>
  <si>
    <t>42bc0b2e-a370-4f4e-ba7a-c235cdf9ba4f</t>
  </si>
  <si>
    <t>6472d23f-e427-46f0-a9cb-1e9b17ddfd44</t>
  </si>
  <si>
    <t>Rainne Candace Llagas</t>
  </si>
  <si>
    <t>candace@canva.com</t>
  </si>
  <si>
    <t>97266ef6-dce6-483b-a04d-6229169ed48d</t>
  </si>
  <si>
    <t>3212c893-a5a8-4ea7-8fef-a2deeb33bb00</t>
  </si>
  <si>
    <t>248bd3f0-b1e2-42b3-8e16-0ebb83ac1405</t>
  </si>
  <si>
    <t>41d511d9-e416-4d4c-aa60-2a1beeb6d80f</t>
  </si>
  <si>
    <t>b5697470-9b72-4915-9e11-d01fe54b3970</t>
  </si>
  <si>
    <t>426fd338-b346-4639-80d3-80a88b6b0055</t>
  </si>
  <si>
    <t>66cc8836-ffe2-4c3c-9a61-5bbb39f04f26</t>
  </si>
  <si>
    <t>554bd003-3f1f-44d9-a4b0-70337b83b84e</t>
  </si>
  <si>
    <t>42bbe1fc-aec0-4bba-8dc6-6638423ab4ac</t>
  </si>
  <si>
    <t>bf47be7b-2523-481f-82f1-872b39e63fe4</t>
  </si>
  <si>
    <t>f308ee0c-589e-4ac8-8cef-697f5424db2e</t>
  </si>
  <si>
    <t>55121b13-96d4-4a82-b110-e03d22d2d8e0</t>
  </si>
  <si>
    <t>6a71dc09-3fa9-419f-afd0-dd8154d103c7</t>
  </si>
  <si>
    <t>9878cc5d-7886-4ed2-a384-ad425083574c</t>
  </si>
  <si>
    <t>ee44f98e-24a9-4c1d-ad18-0efab1b24215</t>
  </si>
  <si>
    <t>f3aab48f-7b93-48ce-9e5b-d2a1a30eef8b</t>
  </si>
  <si>
    <t>fd600a04-34a7-4017-ace0-ec995257f5c7</t>
  </si>
  <si>
    <t>67cb7d32-47d7-4952-bcc2-bbb7e496debb</t>
  </si>
  <si>
    <t>fb80b76d-78cd-4dfe-aa96-c48b65dad004</t>
  </si>
  <si>
    <t>1532c4e8-078d-43f5-8884-8a4a2b3c49b9</t>
  </si>
  <si>
    <t>9a1a6760-822a-4066-b7a0-ab271f384668</t>
  </si>
  <si>
    <t>When to edit CAL Responses : https://bpos.canva.site/when-to-edit-cal-responses</t>
  </si>
  <si>
    <t>a24efd80-ba0d-42c6-af45-2d18306c1b95</t>
  </si>
  <si>
    <t>317c57e1-679a-4673-8c10-097cd5ab2a84</t>
  </si>
  <si>
    <t>e8392620-82cf-456e-b76b-7701165c980b</t>
  </si>
  <si>
    <t>9ade6020-1c9b-4fab-b5d6-fa3b2ae1a212</t>
  </si>
  <si>
    <t>Trish Lee</t>
  </si>
  <si>
    <t>trishlee@canva.com</t>
  </si>
  <si>
    <t>Work: Outside Zendesk</t>
  </si>
  <si>
    <t>09f81f48-c6bf-4f8e-9d9a-19e3ba612bcc</t>
  </si>
  <si>
    <t>5edddef6-632e-4cf7-b33b-578127be3a3c</t>
  </si>
  <si>
    <t>3157c0b0-5e9b-4b88-b9ac-f816f3cb4151</t>
  </si>
  <si>
    <t>591201e5-6294-4371-9e39-54cb96fbaacb</t>
  </si>
  <si>
    <t>6c763228-f253-4c60-8d6b-354e47e269e6</t>
  </si>
  <si>
    <t>858951b6-2918-4b06-941f-80da62dbb739</t>
  </si>
  <si>
    <t>8e8c3321-f44b-4b87-9c95-94c3ba31cc03</t>
  </si>
  <si>
    <t>b8e88e03-23c8-4db9-ac1a-5a9fbea760ec</t>
  </si>
  <si>
    <t>d4c2ce98-0b9c-4e27-8ee6-3724b1955e8d</t>
  </si>
  <si>
    <t>Huddle</t>
  </si>
  <si>
    <t>bf622e6f-3a76-4c9f-87ec-7679b49794bf</t>
  </si>
  <si>
    <t>1496f977-b824-4ea3-92ac-d6db056238d2</t>
  </si>
  <si>
    <t>Specs Sync</t>
  </si>
  <si>
    <t>583ad788-be0d-4f9b-bac4-8867b5326cb1</t>
  </si>
  <si>
    <t>acfbf1f3-b006-40b6-84c7-7392b05e1f47</t>
  </si>
  <si>
    <t>ef1196b8-897e-4f89-bf60-91b5602139a1</t>
  </si>
  <si>
    <t>Family function</t>
  </si>
  <si>
    <t>647e5b4f-4cbb-4857-a6aa-e6bb420a6f5f</t>
  </si>
  <si>
    <t>8302c3ec-43fb-4aee-b954-c661401d01ba</t>
  </si>
  <si>
    <t>05312167-b334-4ea9-809d-c553816501c2</t>
  </si>
  <si>
    <t>bbfce171-cefc-41dd-ad60-21d51494ad98</t>
  </si>
  <si>
    <t>d5ef80a8-9680-406b-9747-091291a298bd</t>
  </si>
  <si>
    <t>714ef7bb-f2f2-4b48-aec6-24b6d0e58cd3</t>
  </si>
  <si>
    <t>9c6c901c-ce92-460f-9d6d-5ee12b03a1ec</t>
  </si>
  <si>
    <t>Ysabel Locsin</t>
  </si>
  <si>
    <t>ysabel@canva.com</t>
  </si>
  <si>
    <t>be4c8a86-761d-47a5-b3b7-b6a6a0c91cb5</t>
  </si>
  <si>
    <t>e821525e-a394-4462-8aeb-59dd65794c7f</t>
  </si>
  <si>
    <t>af9f3089-988e-4c75-9529-a8c69deb8b89</t>
  </si>
  <si>
    <t>c51dcc05-9cf5-43bf-8cd5-e3553d93a480</t>
  </si>
  <si>
    <t>9d5c1123-b553-4ebd-bd7f-ee160d1a4161</t>
  </si>
  <si>
    <t>f804252c-0f46-46b3-8e1a-2bc886becaa0</t>
  </si>
  <si>
    <t>718f5283-3528-4402-8fda-42369a02ff78</t>
  </si>
  <si>
    <t>72ad4ddf-46ef-4998-aed3-0764bc42f13d</t>
  </si>
  <si>
    <t>575d08b9-db02-466e-81ea-540e9b923426</t>
  </si>
  <si>
    <t>7208f0ee-df2a-4b44-a6f2-5f26310fe583</t>
  </si>
  <si>
    <t>7ee1377c-7293-4621-99ec-4acb32df7e2e</t>
  </si>
  <si>
    <t>a0e161a6-4597-4995-b1a1-6423c0cb34e9</t>
  </si>
  <si>
    <t>ab5645b6-9d48-4aec-b575-18bc4d2935d0</t>
  </si>
  <si>
    <t>2efd1024-24db-41ac-a619-6b6fe7bcb521</t>
  </si>
  <si>
    <t>19e279d5-24b0-44f0-880f-bd1980553218</t>
  </si>
  <si>
    <t>8b7abcb0-fddd-4a95-b024-6d999ba0fff0</t>
  </si>
  <si>
    <t>cf3ed6dd-2872-43cb-91b8-184659a119e1</t>
  </si>
  <si>
    <t>ce207217-510b-4221-9436-d7fb8b54c805</t>
  </si>
  <si>
    <t>79003e0d-351c-48a0-89a3-459688285e5a</t>
  </si>
  <si>
    <t>769fbb8c-d873-4450-8191-2d5bb11786a4</t>
  </si>
  <si>
    <t>a31326f9-53f4-424b-935f-0b507030ba0d</t>
  </si>
  <si>
    <t>c10de64a-8345-4bea-b9ca-4700998551f9</t>
  </si>
  <si>
    <t>9ecbc641-51e7-4b04-b9d9-0c5ea129ce08</t>
  </si>
  <si>
    <t>cb7f900d-e2ff-4ff8-b74f-c2db90bdfb62</t>
  </si>
  <si>
    <t>Zipporah Duque</t>
  </si>
  <si>
    <t>zippy@canva.com</t>
  </si>
  <si>
    <t>c0ab80ea-e63c-462e-8c97-06e68a6fad40</t>
  </si>
  <si>
    <t>d1ad20ae-b020-4fd6-871f-b11f23e8c844</t>
  </si>
  <si>
    <t>87c134e3-6b73-4f6c-b056-4c74fdf1c8c8</t>
  </si>
  <si>
    <t>2d1b4d6a-adf5-4d21-a89f-a28aec2d6672</t>
  </si>
  <si>
    <t>a84238c7-1854-4294-8623-bb6b6a824b9f</t>
  </si>
  <si>
    <t>58dbdb65-c570-4c40-b1ce-1db22993a300</t>
  </si>
  <si>
    <t>17a2f44c-ea74-4b09-ad70-c3b0ac061345</t>
  </si>
  <si>
    <t>d5e53729-79f0-4306-b38f-46f996a893e7</t>
  </si>
  <si>
    <t>de82d8a0-eb99-49f7-8945-7e9c8a7e11c4</t>
  </si>
  <si>
    <t>cef2c186-1ed3-4d86-9e8a-80cf57628dc4</t>
  </si>
  <si>
    <t>4615336b-ada5-45fa-b81a-15602f39fd8b</t>
  </si>
  <si>
    <t>f603693f-9555-46fa-9de6-4034d7d910c4</t>
  </si>
  <si>
    <t>7ee4d84d-959c-440e-be97-877646c4bc2c</t>
  </si>
  <si>
    <t>a3fa3865-f4c7-472d-a076-951dccc36820</t>
  </si>
  <si>
    <t>ef7f3b52-482c-4344-ae14-68e4b3467a52</t>
  </si>
  <si>
    <t>54168df7-97cd-447d-a74d-81f9f2f0117e</t>
  </si>
  <si>
    <t>c26b82f0-915b-4561-a2ac-96627ab79558</t>
  </si>
  <si>
    <t>8d84189d-8b1f-456f-97a3-5f2da0f20393</t>
  </si>
  <si>
    <t>a4ddb485-5b8c-41de-a107-c786c0b6e547</t>
  </si>
  <si>
    <t>8abd0d02-0b15-4b42-a272-6e172b28efdd</t>
  </si>
  <si>
    <t>2436b15f-d23f-4ea2-bd46-0852b5df957c</t>
  </si>
  <si>
    <t>Marty Lozada</t>
  </si>
  <si>
    <t>martyl@canva.com</t>
  </si>
  <si>
    <t>01425584-2dfa-406a-8981-9c4a32eb48b0</t>
  </si>
  <si>
    <t>f756e2d3-908e-4ca6-af2d-3bd7ff3d010a</t>
  </si>
  <si>
    <t>Snowball Review 14771556</t>
  </si>
  <si>
    <t>c2b249ec-fc8a-4696-a2e9-070a3608ec6b</t>
  </si>
  <si>
    <t>Snowball Review 14882586</t>
  </si>
  <si>
    <t>f14852e1-e758-4330-9e8c-fb288986bb66</t>
  </si>
  <si>
    <t>34bcbe6b-ddcb-4b2e-995d-ad73d8916bd9</t>
  </si>
  <si>
    <t>Snowball Review 14851415</t>
  </si>
  <si>
    <t>01d91b11-64a6-49c6-b3a3-bff41755a53c</t>
  </si>
  <si>
    <t>85812882-6179-4a0d-ae42-bfc7a47fcbcf</t>
  </si>
  <si>
    <t>Snowball Review 14844000</t>
  </si>
  <si>
    <t>44434437-0e94-41ac-90dd-f3b720af6503</t>
  </si>
  <si>
    <t>5d37c0b5-6507-48aa-a516-a55f79c38d62</t>
  </si>
  <si>
    <t>63234e15-4c4e-44e6-8e19-24a6ce79b4b1</t>
  </si>
  <si>
    <t>06248cf2-fcad-4962-b3f6-c3851e0d3c7d</t>
  </si>
  <si>
    <t>64f7e758-9560-4672-bce2-f51251ef204b</t>
  </si>
  <si>
    <t>d4c41676-36c3-408b-a320-e909d1bf3699</t>
  </si>
  <si>
    <t>Snowball Ticket 14860410</t>
  </si>
  <si>
    <t>d4178527-d582-4551-ab4d-fb3192ae0518</t>
  </si>
  <si>
    <t>e143278c-20cc-4f6c-a52e-197566424565</t>
  </si>
  <si>
    <t>386bd97d-437b-4ed3-a1eb-90ab4533946d</t>
  </si>
  <si>
    <t>2ee03b9d-dc45-4496-874f-79ad5589d7d7</t>
  </si>
  <si>
    <t>75c7b616-d927-40ad-b5fa-9cf8af35298b</t>
  </si>
  <si>
    <t>e1a1a1bc-24a0-4c05-a3f2-df2713de4d14</t>
  </si>
  <si>
    <t>83a937d2-274d-4ec0-96da-8c3ebc5faafc</t>
  </si>
  <si>
    <t>d05e6ade-943f-4078-ab09-525602d426c8</t>
  </si>
  <si>
    <t>fe17c1ba-d02c-49d9-b390-2395719b9d2c</t>
  </si>
  <si>
    <t>0108f6a0-00a5-4982-8050-8d850ce4869b</t>
  </si>
  <si>
    <t>b13e80bb-8647-4a0e-afad-e570c4eff3e8</t>
  </si>
  <si>
    <t>95116c45-eae4-4563-acec-45c3e3d388e4</t>
  </si>
  <si>
    <t>0f8ed06f-abde-4aa8-93fc-f25bd6c19037</t>
  </si>
  <si>
    <t>f477fa89-60a9-4ed2-8308-53bef500deee</t>
  </si>
  <si>
    <t>f05426fa-d3ef-48ef-9506-1b0d003468b9</t>
  </si>
  <si>
    <t>Rael Millares</t>
  </si>
  <si>
    <t>alfredomillares@canva.com</t>
  </si>
  <si>
    <t>cab09360-bf68-4879-b3f0-1a23a5ae6ecd</t>
  </si>
  <si>
    <t>fc09eea7-8394-4318-821d-9a242ec014b9</t>
  </si>
  <si>
    <t>b2cc6178-8c85-4384-aaad-709d808d3ff1</t>
  </si>
  <si>
    <t>f4f19f85-b4e1-4675-bad9-daa1410640d8</t>
  </si>
  <si>
    <t>e7efc99d-cb6f-45ae-bb2e-3962acfe975e</t>
  </si>
  <si>
    <t>1dfef63f-a22a-43a6-8ba6-aa3f72df9ff6</t>
  </si>
  <si>
    <t>ae63b00d-3a4f-470f-ad1f-4adfffe62eec</t>
  </si>
  <si>
    <t>e45ee05a-7268-468f-8e57-5e67f79950a9</t>
  </si>
  <si>
    <t>4442e0f4-5fe8-47cf-a7a8-b519be7b9c5d</t>
  </si>
  <si>
    <t>1332b534-e584-47fb-a6c2-dfcbc412323e</t>
  </si>
  <si>
    <t>386954f7-c5b8-4cb3-94ed-80a9e085754f</t>
  </si>
  <si>
    <t>ad31d568-55c2-4ab3-98b7-1a2282102bdd</t>
  </si>
  <si>
    <t>internet connection issue</t>
  </si>
  <si>
    <t>09ef46f6-b2f3-4e19-842f-f5c74b7d2d63</t>
  </si>
  <si>
    <t>41e6068a-edff-4802-b7ba-2bfe2f5bda81</t>
  </si>
  <si>
    <t>67985582-6d6e-4b77-b025-e2d5d1062182</t>
  </si>
  <si>
    <t>b4ab9d5f-153d-464a-9c45-de39cd145e39</t>
  </si>
  <si>
    <t>1e89a461-8a4b-486c-a19a-edb6f7897de0</t>
  </si>
  <si>
    <t>ba64ef6b-872a-46b0-915c-a5a20be8c418</t>
  </si>
  <si>
    <t>0514538d-cd3f-44fb-9e2d-93b52a0bc97b</t>
  </si>
  <si>
    <t>95d7ba1b-9d4a-4d8c-936a-6ad7af6657e0</t>
  </si>
  <si>
    <t>b6750000-cd98-4184-9206-c77b83a757e5</t>
  </si>
  <si>
    <t>58aa58ae-2332-45b7-9115-b6f2847aa604</t>
  </si>
  <si>
    <t>11a702e3-40c6-41a0-b7f6-d9c5d796ffd8</t>
  </si>
  <si>
    <t>7c81f81e-b4ec-436d-a2db-cb6b1fa9b71d</t>
  </si>
  <si>
    <t>bb581064-1c92-45d3-a8c1-49cb5e58c601</t>
  </si>
  <si>
    <t>fc2be5b3-124c-45f1-82ad-814787bb37ac</t>
  </si>
  <si>
    <t>f123a0e0-a7f9-421c-92de-5908b085e615</t>
  </si>
  <si>
    <t>ab989d3a-15d9-4b74-b98d-e7d975f1aeca</t>
  </si>
  <si>
    <t>005cace5-506f-4dc5-833f-95c946772b32</t>
  </si>
  <si>
    <t>49438863-b115-4f53-bdf2-a43303e495f8</t>
  </si>
  <si>
    <t>67d52614-d532-4774-a45a-dcccd447dfb7</t>
  </si>
  <si>
    <t>c3188fb3-23e5-43d8-86c2-072029c768d3</t>
  </si>
  <si>
    <t>Patrick Dela Cruz</t>
  </si>
  <si>
    <t>padelacruz@canva.com</t>
  </si>
  <si>
    <t>49dcf0c9-552b-483c-b7b6-e2c1d47a0b68</t>
  </si>
  <si>
    <t>5ce22be9-99b8-4175-abdb-0c5c5ca3703b</t>
  </si>
  <si>
    <t>a5912d40-1442-4de2-9811-253edaa6df94</t>
  </si>
  <si>
    <t>94336886-d9c9-41b7-9290-9fd372ad3323</t>
  </si>
  <si>
    <t>edc09a3c-695d-4dbd-8eff-17d543856509</t>
  </si>
  <si>
    <t>993cea01-09bf-4e0f-b6d6-662072626fe9</t>
  </si>
  <si>
    <t>0f07d08b-4dea-44e8-ba4e-f69f0ad48af2</t>
  </si>
  <si>
    <t>7739d8aa-8f18-47bf-9b91-72422bced399</t>
  </si>
  <si>
    <t>5ffffaca-bf6b-4df9-bb89-0e3216c60431</t>
  </si>
  <si>
    <t>a8a101ef-d8f3-4c26-b353-f132085a63d9</t>
  </si>
  <si>
    <t>b289607a-30cf-452e-b1bb-4160629814ef</t>
  </si>
  <si>
    <t>68a1f052-8247-4952-a318-953c7f1e12d2</t>
  </si>
  <si>
    <t>9a34ca72-e9cf-4067-94d0-6d0c65080d55</t>
  </si>
  <si>
    <t>c6b82bb3-026e-4669-b52b-47c4a83d931b</t>
  </si>
  <si>
    <t>119e8410-a4c7-4723-ae2c-3e5a408cc559</t>
  </si>
  <si>
    <t>d84e40ec-9f7f-4d05-9a45-0e445577cbe3</t>
  </si>
  <si>
    <t>af6fa5f5-15d9-441c-adb6-768792912320</t>
  </si>
  <si>
    <t>ee478bc3-e7c8-465d-a19c-ede4cd4ee3db</t>
  </si>
  <si>
    <t>354317c6-5b1f-45a2-b825-72bc55587985</t>
  </si>
  <si>
    <t>caef4a35-08a9-4951-8572-5d03636fa882</t>
  </si>
  <si>
    <t>e4eca308-3ba0-4575-962b-344b10fb11e1</t>
  </si>
  <si>
    <t>ed8e075f-7119-4833-8af3-4c353a3fdda1</t>
  </si>
  <si>
    <t>Adriel Vicencio</t>
  </si>
  <si>
    <t>adrielcarlosv@canva.com</t>
  </si>
  <si>
    <t>ca4d0dac-e74f-49ad-b92e-601a35fa4865</t>
  </si>
  <si>
    <t>a82479dd-023e-48ce-a5f9-5730442a48d7</t>
  </si>
  <si>
    <t>fc8bb71b-9c52-4415-9652-7261acaf00ac</t>
  </si>
  <si>
    <t>d7ed2c5a-98f4-492c-86e7-5ffe76035960</t>
  </si>
  <si>
    <t>e33dd48b-cd2f-4c6a-90bb-74b21327c5e3</t>
  </si>
  <si>
    <t>8a852ce5-4f80-488b-b18e-585fa0050525</t>
  </si>
  <si>
    <t>Team Huddle (15 mins)</t>
  </si>
  <si>
    <t>de664eb1-baeb-4203-b351-ccb9c2f14107</t>
  </si>
  <si>
    <t>1108d2e3-4dd8-45aa-b720-3b66b8e37674</t>
  </si>
  <si>
    <t>ae84156d-fa1c-4ece-9686-1a6453a590c9</t>
  </si>
  <si>
    <t>1f5f07b3-f2e1-4cd7-8dd0-65f74b849c2d</t>
  </si>
  <si>
    <t>d5b9ba37-59c0-4d76-b83a-d1a952645e97</t>
  </si>
  <si>
    <t>3395ea5b-7c6b-4306-b3e7-a55e640335b5</t>
  </si>
  <si>
    <t>fc3323dc-05b0-4e46-b8d1-d7a8af4612ab</t>
  </si>
  <si>
    <t>1fec517a-89dd-443f-b2ef-a55a9dbea591</t>
  </si>
  <si>
    <t>f9ab3bd0-6f64-4ff9-bc9e-d4e55073232b</t>
  </si>
  <si>
    <t>2b269289-e31b-49aa-a1f4-276e290f135a</t>
  </si>
  <si>
    <t>c07d0999-0c3c-44ee-b9ee-8fc1794782b8</t>
  </si>
  <si>
    <t>7dbec907-edbd-4684-b8b9-d0ccf7f36236</t>
  </si>
  <si>
    <t>1ed137a4-8c66-4736-abd9-55075681f431</t>
  </si>
  <si>
    <t>7e24a3c8-d385-4922-9836-592cdfd4a842</t>
  </si>
  <si>
    <t>20bb4cc0-dbbf-4997-9d6d-7964d209634a</t>
  </si>
  <si>
    <t>66e34ca2-e88f-4eca-b9a2-0ff72469e295</t>
  </si>
  <si>
    <t>4e1d8486-643b-4a17-827d-7281510350e1</t>
  </si>
  <si>
    <t>da870be2-6f1d-4e23-88be-cce4454fdf86</t>
  </si>
  <si>
    <t>1356dc9e-dcbb-44e6-a271-c0016c9d7847</t>
  </si>
  <si>
    <t>823f96b9-c350-459f-89dd-d7e6cb1ae1d9</t>
  </si>
  <si>
    <t>b42f6d93-6102-4505-95b0-b1eaf025db36</t>
  </si>
  <si>
    <t>3ecf7244-d59e-4e0e-9310-547bb49ee504</t>
  </si>
  <si>
    <t>ccfc1e34-a13f-404f-96b9-462a145f8943</t>
  </si>
  <si>
    <t>000279e3-fb19-4b90-a95c-080adc98c9aa</t>
  </si>
  <si>
    <t>Agatha Torres</t>
  </si>
  <si>
    <t>agathartt@canva.com</t>
  </si>
  <si>
    <t>45e53c86-ee27-4022-9445-5424f74923eb</t>
  </si>
  <si>
    <t>36dbb86e-5116-46a4-8263-901066c2b1eb</t>
  </si>
  <si>
    <t>5b1f19e2-cc83-4985-924b-6c909f3e549f</t>
  </si>
  <si>
    <t>92e4f218-722f-48a3-b782-f13a2f02691e</t>
  </si>
  <si>
    <t>857af6f3-6fde-49f1-ad68-a1b52d0d5ca5</t>
  </si>
  <si>
    <t>d1c39fff-4caa-49d7-9a99-e5831132d583</t>
  </si>
  <si>
    <t>b4edd482-c5ff-480f-b27e-04995c2bb2af</t>
  </si>
  <si>
    <t>6a7923fd-8789-484d-aa11-cb8c2100c3a0</t>
  </si>
  <si>
    <t>a6cad728-abfb-4d5c-803a-db6167b21e09</t>
  </si>
  <si>
    <t>659a893b-be0d-4015-8acf-3ff36f75294d</t>
  </si>
  <si>
    <t>924d4452-2185-4b1e-bb94-e216779ab0ce</t>
  </si>
  <si>
    <t>b15e5ffd-9a5b-4354-9b6b-72522522eb8b</t>
  </si>
  <si>
    <t>697b375b-9a7c-4db8-8f9d-3fdcd89ba53b</t>
  </si>
  <si>
    <t>c2c87220-6315-4038-8702-4fda4274d7ae</t>
  </si>
  <si>
    <t>23a376d7-8dac-499b-b725-2935e02871d3</t>
  </si>
  <si>
    <t>28a51778-961c-4ccd-9796-1bb45eab2a46</t>
  </si>
  <si>
    <t>d8f1a3b2-c26d-45e4-8bc4-8502dafb6e32</t>
  </si>
  <si>
    <t>5c4a6d2e-e5ea-485d-906b-a7f3a90ee925</t>
  </si>
  <si>
    <t>b8e77683-1737-480a-8226-deb1d32f4093</t>
  </si>
  <si>
    <t>fdec6489-2214-4c23-99dd-208a85820ff7</t>
  </si>
  <si>
    <t>a49c1226-ca40-48a0-bfa2-de8ac49047e8</t>
  </si>
  <si>
    <t>d449b334-8060-4794-b8f1-5327868da2fa</t>
  </si>
  <si>
    <t>7f7b2c69-a640-4128-9b24-e7bf15b244b4</t>
  </si>
  <si>
    <t>6d4cddc9-29b2-4e06-8272-d967f3266f7c</t>
  </si>
  <si>
    <t>9cff6ab8-4ab3-461d-bab8-4c73f0e2e41f</t>
  </si>
  <si>
    <t>745adc44-2fda-43ea-bdcd-39c28e369ddc</t>
  </si>
  <si>
    <t>Alyanna Ramos</t>
  </si>
  <si>
    <t>alyanna@canva.com</t>
  </si>
  <si>
    <t>c0bd1cd8-234f-49dd-8ea8-d79e87e70474</t>
  </si>
  <si>
    <t>2b71a738-7289-4c7b-ae11-6172d260f3e2</t>
  </si>
  <si>
    <t>f07c3b1c-6a82-47a7-8ba1-84efe407e573</t>
  </si>
  <si>
    <t>02e85a00-9f24-4993-8e98-84449b750c19</t>
  </si>
  <si>
    <t>5ed119e4-f9d2-4f77-9e72-350d1da7e4ee</t>
  </si>
  <si>
    <t>2dce82a1-81e7-4db9-98e0-90c45e8e05ff</t>
  </si>
  <si>
    <t>c674ccd1-4fc9-46ca-93ae-53f78473bbf7</t>
  </si>
  <si>
    <t>933f570a-dd59-4891-bb65-701af1b9d8a7</t>
  </si>
  <si>
    <t>9ac7c914-2792-45a4-b52c-09649e5a980d</t>
  </si>
  <si>
    <t>4758a341-221a-48b7-88bd-2c43a25746b7</t>
  </si>
  <si>
    <t>32c230ca-8ce0-4ca4-a275-44859de61eaa</t>
  </si>
  <si>
    <t>d1ac1224-06d6-4770-80ce-a73c8006ed68</t>
  </si>
  <si>
    <t>d457ca1c-c27e-4155-a162-f9ff6dbce5a9</t>
  </si>
  <si>
    <t>e64c35ed-38ca-49b4-a3ca-bfda6d1ec920</t>
  </si>
  <si>
    <t>77357927-1142-4c9e-a3bb-b30783f04b79</t>
  </si>
  <si>
    <t>35cc421a-b201-4f0a-afb0-331731088bbb</t>
  </si>
  <si>
    <t>d96ac9f9-249d-41c0-b6ac-e1de29a68de2</t>
  </si>
  <si>
    <t>4e8b60de-bd5d-490a-a732-8fd2a9363188</t>
  </si>
  <si>
    <t>f362570e-57bc-4f7a-aa63-ee4229d00079</t>
  </si>
  <si>
    <t>4af3812b-9d96-446e-ace9-0ef1b0839420</t>
  </si>
  <si>
    <t>076dacd7-b94f-4b38-a014-637c4d6bb299</t>
  </si>
  <si>
    <t>f4b47855-413f-4ebd-a483-054e4406d6db</t>
  </si>
  <si>
    <t>66555bc8-8119-47cd-97c0-f0f4901005de</t>
  </si>
  <si>
    <t>03d2af2a-e0f1-44d3-8b6a-398218e1702a</t>
  </si>
  <si>
    <t>b80ae9d0-5920-40ea-8338-5b197b10c2ea</t>
  </si>
  <si>
    <t>Anna Alberto-Felipe</t>
  </si>
  <si>
    <t>annaalberto@canva.com</t>
  </si>
  <si>
    <t>37b84a4c-788a-4627-afb5-6ad432feb53c</t>
  </si>
  <si>
    <t>d5bf78f1-8777-470d-8bae-23b85f526eac</t>
  </si>
  <si>
    <t>4d1ecae2-a191-4746-9690-4c7320d62315</t>
  </si>
  <si>
    <t>b08196eb-e963-40a4-b739-d1b41ddc6825</t>
  </si>
  <si>
    <t>61b48a4f-3634-4686-8ab1-52893acc81b3</t>
  </si>
  <si>
    <t>823ed39e-1dea-4d04-a5a6-8b452c0bde02</t>
  </si>
  <si>
    <t>04e3053c-8270-4114-9884-117aa632d771</t>
  </si>
  <si>
    <t>7ceecbe6-643f-4fca-958e-6b92096e9136</t>
  </si>
  <si>
    <t>080d676b-e26d-40d0-9e9a-0312b13d1bdd</t>
  </si>
  <si>
    <t>6a4ee44f-398b-474a-ad87-3e21ed97270c</t>
  </si>
  <si>
    <t>cf7c102d-1b89-42fb-9cab-5792f0b7d8b9</t>
  </si>
  <si>
    <t>a5d22dd7-5739-456e-999b-057ab15e1716</t>
  </si>
  <si>
    <t>f447b294-cef5-494c-b65e-51d9836ed00e</t>
  </si>
  <si>
    <t>2c31ba7d-51da-45cb-9d00-c21863f72704</t>
  </si>
  <si>
    <t>e7096503-1e30-409c-b5f5-d796b6d03392</t>
  </si>
  <si>
    <t>63f3b319-3599-48a7-83c3-bf88c825373e</t>
  </si>
  <si>
    <t>7fbce451-3f96-4913-afe0-1657e93b0eb8</t>
  </si>
  <si>
    <t>4a9acb61-09cc-4657-8b5a-9a013015f527</t>
  </si>
  <si>
    <t>b5d596f0-a9a3-4c69-9b46-0596b4853c7b</t>
  </si>
  <si>
    <t>b3d6d123-652d-4709-a38e-0f43ef84f93b</t>
  </si>
  <si>
    <t>e4728507-45d0-45c0-9466-c8403c4da594</t>
  </si>
  <si>
    <t>507242b6-bec0-4668-a729-444c1c4ccaea</t>
  </si>
  <si>
    <t>0de0bd68-4a21-4fff-9aa8-09db4d57cd5d</t>
  </si>
  <si>
    <t>f9f28164-afa0-494d-989b-a0ae7b05be56</t>
  </si>
  <si>
    <t>42042299-93c9-4927-a842-50b319643c1c</t>
  </si>
  <si>
    <t>2a8302e7-46d0-4274-acca-2b74eb431bcd</t>
  </si>
  <si>
    <t>a76f6c90-e8f7-4775-b96b-f5accee5ba81</t>
  </si>
  <si>
    <t>cd14ab89-10bc-4b81-b202-e02286f669fd</t>
  </si>
  <si>
    <t>5084f096-447c-4414-9675-965c0f4b63cf</t>
  </si>
  <si>
    <t>9ebe54de-e5c1-4f61-909e-e88046beec09</t>
  </si>
  <si>
    <t>e694dcd0-19a7-4438-aee9-29b6e668a189</t>
  </si>
  <si>
    <t>f7d8f8dd-7764-471d-8254-300956d0e1c6</t>
  </si>
  <si>
    <t>Bernice Talosig</t>
  </si>
  <si>
    <t>bernice@canva.com</t>
  </si>
  <si>
    <t>109b69b7-baf1-4856-a179-276117ba2a1a</t>
  </si>
  <si>
    <t>86bee477-5851-48ed-8854-4e86d2a3ea6c</t>
  </si>
  <si>
    <t>dccd2f8a-bc2d-4265-9de4-9c9d2256bdf0</t>
  </si>
  <si>
    <t>3adeb409-df29-4206-88a1-1c159ac8fb18</t>
  </si>
  <si>
    <t>45164e1b-317c-4b32-b626-2fe62d10fc0d</t>
  </si>
  <si>
    <t>a70572ff-ace2-4a12-8d8c-4b750e78d4d2</t>
  </si>
  <si>
    <t>ba3aafa1-3a7a-4014-9719-7e993b950d74</t>
  </si>
  <si>
    <t>e8437acd-d3aa-4dd0-b569-37ef3ad87b5b</t>
  </si>
  <si>
    <t>099c3565-1661-4b33-97ea-9a08c00ece05</t>
  </si>
  <si>
    <t>Policy Abuse Revamp forgot to tag training.</t>
  </si>
  <si>
    <t>b1e6d104-f8a9-45bc-aaf0-44ad4ecd7a66</t>
  </si>
  <si>
    <t>55384a25-2706-421b-a6c7-821c50a33f2c</t>
  </si>
  <si>
    <t>34b07e73-6139-4e93-916c-9dbc79902276</t>
  </si>
  <si>
    <t>dc5b2d7f-abec-4208-8392-f36eeec4e657</t>
  </si>
  <si>
    <t>4fb0e6d7-4919-437e-b554-9bddc2f5022a</t>
  </si>
  <si>
    <t>a2b6841b-f09c-4821-a1c1-e6a949c8267a</t>
  </si>
  <si>
    <t>37bfa62c-d45a-433e-a9e8-2862389196af</t>
  </si>
  <si>
    <t>7c846c93-46c6-48ef-8b25-d11fb6a465bd</t>
  </si>
  <si>
    <t>cf1af71e-3d0c-4367-8093-e4d02315ef96</t>
  </si>
  <si>
    <t>adjusted time to compensate the exceeded time in Lunch. Sorry.</t>
  </si>
  <si>
    <t>b678fa78-22fd-45a2-846a-6abdf6c64f6d</t>
  </si>
  <si>
    <t>c50239fe-9b4f-470e-89f3-dcd127865701</t>
  </si>
  <si>
    <t>e39d7102-acfe-4fbc-8a91-f94a32a26c7d</t>
  </si>
  <si>
    <t>22cd87a4-a8a4-4fc1-8979-1c52cfc9e1ba</t>
  </si>
  <si>
    <t>72a11eb6-63e4-4988-8b0a-6d699108f3e7</t>
  </si>
  <si>
    <t>b1d3145b-107f-4923-966a-ec439e2d40cd</t>
  </si>
  <si>
    <t>2de049c0-175d-42e4-9dde-6607f326baea</t>
  </si>
  <si>
    <t>986a34a4-2624-4d56-acd1-ecd144f5058f</t>
  </si>
  <si>
    <t>16c29660-eb9a-4a20-90b1-50254844a2b2</t>
  </si>
  <si>
    <t>COP duties</t>
  </si>
  <si>
    <t>fb3cddb9-a588-4473-900a-a3b915f17d1c</t>
  </si>
  <si>
    <t>47aa76a2-2379-4f12-b9ea-8a0941fdcb77</t>
  </si>
  <si>
    <t>2d284794-b3d2-464e-a2fb-6029b664d763</t>
  </si>
  <si>
    <t>Bi Annual UV Privacy and Security Refresher Training H2 2025</t>
  </si>
  <si>
    <t>15736418-9d12-4c82-b793-9563416af11c</t>
  </si>
  <si>
    <t>d60b95bb-c68b-41d0-8f0f-05a097d20391</t>
  </si>
  <si>
    <t>25f9d868-44c1-4dc2-824e-de36e143e783</t>
  </si>
  <si>
    <t>2f47c76e-714d-4a76-a0f8-309c2f542347</t>
  </si>
  <si>
    <t>Camille Oriel</t>
  </si>
  <si>
    <t>cammy@canva.com</t>
  </si>
  <si>
    <t>a0af337e-8deb-4afa-99c2-63a179791dff</t>
  </si>
  <si>
    <t>3b9b5410-076d-47a8-9f77-d05804b51b78</t>
  </si>
  <si>
    <t>b97774e3-0c0c-4f96-8f7a-75c2a3c3acda</t>
  </si>
  <si>
    <t>deferred due to chat</t>
  </si>
  <si>
    <t>b40c33a4-167e-4b3b-a771-2a79de64edc8</t>
  </si>
  <si>
    <t>9fdeeadf-5e9e-44d5-bde1-59f753981b23</t>
  </si>
  <si>
    <t>55a130e9-8022-48ba-9e61-d5adc655790b</t>
  </si>
  <si>
    <t>8df19c3f-c5f6-41c1-9562-83b84ac10f2d</t>
  </si>
  <si>
    <t>b22bd527-2c4e-4a01-aa45-beca1d38bf56</t>
  </si>
  <si>
    <t>97ba6fe9-183e-40a4-a914-b88c3c94481c</t>
  </si>
  <si>
    <t>fae39df1-4e60-46d9-a414-d5ade7a9667a</t>
  </si>
  <si>
    <t>bca03f94-146f-41ec-b478-5f6f30da9c1d</t>
  </si>
  <si>
    <t>e2f7b09d-c078-4e13-a920-a87a55e065b2</t>
  </si>
  <si>
    <t>24b7206e-be03-46ca-a354-b192d231da03</t>
  </si>
  <si>
    <t>4bf03e44-57e8-4097-a939-5a669308dadd</t>
  </si>
  <si>
    <t>644024d5-c93b-4cb4-b3bd-5bbdaf31516b</t>
  </si>
  <si>
    <t>1475a031-22c5-44ac-8d12-9d3c086a6ee9</t>
  </si>
  <si>
    <t>half day SL</t>
  </si>
  <si>
    <t>cf0c91dc-b0e9-4f22-8534-d8449c2a02b2</t>
  </si>
  <si>
    <t>c42e5bca-4450-46e4-9507-600bbb9c4a15</t>
  </si>
  <si>
    <t>a93b1189-4169-4f00-9c2a-cf5549025c37</t>
  </si>
  <si>
    <t>f1d0e21a-7660-4a7e-924e-691198237808</t>
  </si>
  <si>
    <t>e3783cda-e7f7-48c6-b7d6-86b08caa8ceb</t>
  </si>
  <si>
    <t>30d969ae-61d0-4c31-bf08-4a3676645e02</t>
  </si>
  <si>
    <t>01787aad-61d1-44d0-b059-f3aab307ee46</t>
  </si>
  <si>
    <t>Cop task, goof</t>
  </si>
  <si>
    <t>027bc7c0-d9d0-4e6f-992b-e3602b13b48d</t>
  </si>
  <si>
    <t>COP Goof sheet</t>
  </si>
  <si>
    <t>25c0cb83-ce41-45dc-88a8-ef1c5eb86b84</t>
  </si>
  <si>
    <t>59753909-0f57-4c2d-97ce-3d82ca6dad92</t>
  </si>
  <si>
    <t>d5b38678-ef33-449e-a4d3-7a7a69f2f5cb</t>
  </si>
  <si>
    <t>Dave Costelo</t>
  </si>
  <si>
    <t>davecosteloii@canva.com</t>
  </si>
  <si>
    <t>a1530999-72b3-4398-8f45-bf1aee43da9d</t>
  </si>
  <si>
    <t>0a3d572c-6213-4ac4-a522-2405d0851e60</t>
  </si>
  <si>
    <t>1d20398b-564c-416c-b4a5-05e9b0434513</t>
  </si>
  <si>
    <t>3fd51998-f147-42ff-a21e-8d08316c6dff</t>
  </si>
  <si>
    <t>9cc0d33a-70fa-4080-89a7-6f7fc6f003b9</t>
  </si>
  <si>
    <t>11ee3684-a2ae-4bd3-bd98-65444b24e4bb</t>
  </si>
  <si>
    <t>90738a5d-ae2d-43af-a610-ff740c22fa88</t>
  </si>
  <si>
    <t>197318ef-ecf7-4483-834c-b9e7431cb84c</t>
  </si>
  <si>
    <t>0d1b5ff0-8894-4ed5-be27-13087f77d333</t>
  </si>
  <si>
    <t>0c906a47-ae56-476a-a5f0-d544bd6fab26</t>
  </si>
  <si>
    <t>5b8c573c-980d-41f0-a323-388a68d6b87a</t>
  </si>
  <si>
    <t>acab55b1-3e3b-4bd0-a41b-07144c1c63f3</t>
  </si>
  <si>
    <t>13a585d7-6da5-4ba8-996d-80bbcf0441de</t>
  </si>
  <si>
    <t>264b9139-d975-4c43-98d1-06edb1f58057</t>
  </si>
  <si>
    <t>621a3130-b376-4b66-981c-aaa2bfee526f</t>
  </si>
  <si>
    <t>b8ed062d-3438-40c6-8db8-24ce5e85abc8</t>
  </si>
  <si>
    <t>77371ebd-274c-4d1e-9ed0-3b5ac4e02544</t>
  </si>
  <si>
    <t>1324ced2-349b-4c90-b388-4bf514f3d0ec</t>
  </si>
  <si>
    <t>d9bdbd1f-fd32-4b4d-8d88-de81b94b737d</t>
  </si>
  <si>
    <t>a46a9348-0d5d-4d98-a012-466d26a0c67a</t>
  </si>
  <si>
    <t>a9d7ac35-76fb-4dd6-948a-935d5fff2636</t>
  </si>
  <si>
    <t>440ec28e-518b-45cd-8208-a7a6c289711d</t>
  </si>
  <si>
    <t>38a78a38-ae5a-487c-9392-5bcf5595947f</t>
  </si>
  <si>
    <t>1a7cde16-221d-41f0-addb-7d7d18b5664c</t>
  </si>
  <si>
    <t>a43434b3-f835-444d-bca7-4f2029848c0f</t>
  </si>
  <si>
    <t>8b45ba9a-68d7-4ce8-88b9-221d2c3e2d80</t>
  </si>
  <si>
    <t>12eca747-9244-47cb-894e-d3c873c08566</t>
  </si>
  <si>
    <t>Joane Beldua</t>
  </si>
  <si>
    <t>jmbeldua@canva.com</t>
  </si>
  <si>
    <t>67637ca4-ea36-454b-a0b8-00002ec5af7d</t>
  </si>
  <si>
    <t>3492b9c4-0c50-4669-b49a-f72b9912b85c</t>
  </si>
  <si>
    <t>abe18523-142b-4e27-b498-33c91aed78ea</t>
  </si>
  <si>
    <t>Half Day Sick Leave (latter half)</t>
  </si>
  <si>
    <t>4cd49302-3f0b-4e50-8f37-d7d113b4ca84</t>
  </si>
  <si>
    <t>a4727f3f-aae4-45df-944b-77d426225bc9</t>
  </si>
  <si>
    <t>1097f4b2-9c83-4418-a695-50dc263b6ff5</t>
  </si>
  <si>
    <t>4a11a6b3-4e6b-4168-ae9b-3bc7f7bacaca</t>
  </si>
  <si>
    <t>3977a3e5-717d-4082-bd28-b5d6a1096032</t>
  </si>
  <si>
    <t>3669c75a-3de0-4ded-b7e3-bfafd5fc9ede</t>
  </si>
  <si>
    <t>COP Duties, GOOF ROs</t>
  </si>
  <si>
    <t>b195b099-59a8-4054-acb4-fe2619effdb6</t>
  </si>
  <si>
    <t>830a8c91-ad57-462d-bb17-c32cca950bea</t>
  </si>
  <si>
    <t>970bea56-4e50-426b-9bc1-bcc7ec0c363e</t>
  </si>
  <si>
    <t>3728f04d-063e-4b0f-9a35-5a2d8c3653f2</t>
  </si>
  <si>
    <t>8ea3371c-349c-4567-bf00-2c8d4ef52b97</t>
  </si>
  <si>
    <t>5a5473cf-d9f2-44ae-9e24-78b9d541613b</t>
  </si>
  <si>
    <t>255d722e-beba-44fb-8a87-9207d303d32b</t>
  </si>
  <si>
    <t>36070e16-76f0-428d-a39d-99871d2d51ab</t>
  </si>
  <si>
    <t>c41cfe1b-a744-472f-af8c-57e72aa58aa6</t>
  </si>
  <si>
    <t>dc51b5d9-0bbc-4f9f-95b3-156cd494d92b</t>
  </si>
  <si>
    <t>37924d79-b1b1-4865-81b3-f924d86098f4</t>
  </si>
  <si>
    <t>c32e286f-f4a8-4cfd-ae2c-a327d9560b70</t>
  </si>
  <si>
    <t>379095fb-9e27-4ca4-bd5f-41b192475af2</t>
  </si>
  <si>
    <t>bf3af566-679f-45fc-a40e-2ad2d1af8a65</t>
  </si>
  <si>
    <t>2dbeae4e-f861-4744-b7a7-bc5c58f1f1ec</t>
  </si>
  <si>
    <t>b21ba8ee-ab1c-4b78-b092-786b7bb17969</t>
  </si>
  <si>
    <t>3d0b7b30-1664-421e-a2ed-836984d2b9e1</t>
  </si>
  <si>
    <t>596babc8-2020-4df4-906e-6bc9c3461324</t>
  </si>
  <si>
    <t>9668a067-4b6b-4077-809b-27ffca92d7c2</t>
  </si>
  <si>
    <t>9507db02-e8ad-4132-b611-049cef082f92</t>
  </si>
  <si>
    <t>a2645e65-2e78-452a-9efa-984e9a2830cd</t>
  </si>
  <si>
    <t>34b01611-0778-4238-845c-71a5fb4b19f1</t>
  </si>
  <si>
    <t>Louieline Dela Vega</t>
  </si>
  <si>
    <t>loudv@canva.com</t>
  </si>
  <si>
    <t>03b52dd1-56a2-43a3-ace6-d752a1a52b34</t>
  </si>
  <si>
    <t>ca2896f6-571d-4321-8fff-27125670e214</t>
  </si>
  <si>
    <t>0d67b62f-532e-4436-8d1e-996f42ea622b</t>
  </si>
  <si>
    <t>83d17f75-0ff1-49bd-9c41-ae65d179c728</t>
  </si>
  <si>
    <t>f39b7b9d-723f-46dd-8684-ded275798b45</t>
  </si>
  <si>
    <t>911b1a27-ba19-43e6-a5b0-3d5a0f1ca03f</t>
  </si>
  <si>
    <t>2adabcd6-ee61-4740-b32e-e579f2cf4f06</t>
  </si>
  <si>
    <t>5a2d1fd3-8879-4d73-b983-b4e9b7353068</t>
  </si>
  <si>
    <t>57eb533c-abae-43ba-b0c1-2486eac3e36e</t>
  </si>
  <si>
    <t>c63749a4-889f-4a20-81b4-2b13016682a1</t>
  </si>
  <si>
    <t>cf712f28-dffe-4698-a3ac-14a3d5721099</t>
  </si>
  <si>
    <t>71384d3b-9c97-4809-8f6f-cbd4cfaad271</t>
  </si>
  <si>
    <t>4eda97c4-e201-47e6-aeca-5c23a8d2fc61</t>
  </si>
  <si>
    <t>0d936254-f723-465f-8a1d-5888536bdd97</t>
  </si>
  <si>
    <t>6e090278-b03c-4b5d-972f-7fac8ddf75b3</t>
  </si>
  <si>
    <t>2dad81aa-c4d9-449f-9bd6-ffa645c9ea31</t>
  </si>
  <si>
    <t>b8fd8490-05df-474a-b0af-896be1e73e5f</t>
  </si>
  <si>
    <t>73068037-10a7-45fe-a1c8-a30f1c748c51</t>
  </si>
  <si>
    <t>a1b66eda-5fa0-4a65-8f1f-07865c7aa008</t>
  </si>
  <si>
    <t>d5017975-0a59-4dfe-953b-d95d4e978f36</t>
  </si>
  <si>
    <t>2ce1eb6e-a16b-4abc-bcab-8603f0c1a666</t>
  </si>
  <si>
    <t>afe253b8-d11f-422a-a699-629fb5e8a7bf</t>
  </si>
  <si>
    <t>872d84e7-03ed-4c79-a141-e56fa0ad35c1</t>
  </si>
  <si>
    <t>b6e4b879-ca09-482c-a1a6-ef3a87e7e108</t>
  </si>
  <si>
    <t>32aa0001-19c2-409d-97d2-7c95c26788cf</t>
  </si>
  <si>
    <t>3d73c9be-87ea-4f7f-beda-d2c40e8e2017</t>
  </si>
  <si>
    <t>1910134b-ece3-4994-96c6-052f4bcee349</t>
  </si>
  <si>
    <t>330b0438-7517-4771-8f73-521e4167e286</t>
  </si>
  <si>
    <t>f3828a36-fb16-4fb4-9379-33c78dc3ad1e</t>
  </si>
  <si>
    <t>2cdfb9eb-810a-4c68-b844-eee358168068</t>
  </si>
  <si>
    <t>ad393d27-23b5-4a85-a160-8db329d0bf8e</t>
  </si>
  <si>
    <t>6e96e448-0cd2-41bb-8921-2b23f7415317</t>
  </si>
  <si>
    <t>b3f83bbc-9959-4516-addd-e3866eff5c45</t>
  </si>
  <si>
    <t>390ace33-d7f9-4dda-8f95-3d06e72320ce</t>
  </si>
  <si>
    <t>Micah Geneviv Marcos</t>
  </si>
  <si>
    <t>mmicah@canva.com</t>
  </si>
  <si>
    <t>Work: Admin ASSET</t>
  </si>
  <si>
    <t>16f7cc5a-6670-4a75-8d36-6effcadd6940</t>
  </si>
  <si>
    <t>46378b0b-c1fa-4232-a768-3cea10a57630</t>
  </si>
  <si>
    <t>7ed30434-f8d0-4fe5-9db3-c7f541b258e2</t>
  </si>
  <si>
    <t>8a477652-8672-4c6b-a597-4e5b830d0df0</t>
  </si>
  <si>
    <t>8887bd41-3b8f-4327-8274-16aa8d153c23</t>
  </si>
  <si>
    <t>7ee84b5b-87f6-484e-85b2-b0509b385ddc</t>
  </si>
  <si>
    <t>222b89e6-9b93-4ce9-9366-c913cf93e59f</t>
  </si>
  <si>
    <t>ce141a84-650c-4c30-bf0a-f1b21facb080</t>
  </si>
  <si>
    <t>95574598-6950-4b03-ab7f-326c9029db1e</t>
  </si>
  <si>
    <t>56b4dd2b-b9a1-4716-83a8-f837e86d8b42</t>
  </si>
  <si>
    <t>79450d41-798c-480d-9263-9ec59d1e31b6</t>
  </si>
  <si>
    <t>bf7c77c0-202a-4b98-91a6-3606e268f73f</t>
  </si>
  <si>
    <t>ec19a80f-9edb-4c5f-a584-b890f3c6b1a0</t>
  </si>
  <si>
    <t>d62aecf9-0cf5-4411-a072-9a804942ffaa</t>
  </si>
  <si>
    <t>74792d53-2c5b-4b40-9cce-210b4a087f31</t>
  </si>
  <si>
    <t>3d49537c-dbf0-4f04-896b-1d3cc141a183</t>
  </si>
  <si>
    <t>Mika Magpantay</t>
  </si>
  <si>
    <t>mika@canva.com</t>
  </si>
  <si>
    <t>ac8ee06a-1ea3-4701-adda-eefac0df3349</t>
  </si>
  <si>
    <t>5685ac3a-d3fc-43d4-a3c3-695ac415c1b0</t>
  </si>
  <si>
    <t>08dcf0a7-0265-42c0-bb12-2c51334a5384</t>
  </si>
  <si>
    <t>49215b06-e11c-4f0c-803d-aac9bd2f5aca</t>
  </si>
  <si>
    <t>eeda5a98-485e-41a0-b326-a4079873e49f</t>
  </si>
  <si>
    <t>2f86225a-bf50-4ae6-9343-f8d7ba45c95e</t>
  </si>
  <si>
    <t>e822ff9d-0e96-406b-b8de-954793d99894</t>
  </si>
  <si>
    <t>46a7646e-cce7-42c2-a817-7184fbafcbf2</t>
  </si>
  <si>
    <t>9f77de52-ce05-471d-a81e-813c6ac580a8</t>
  </si>
  <si>
    <t>1b4b9a2d-87fd-4d0e-b9f6-6fced32b517c</t>
  </si>
  <si>
    <t>66310e9c-8cd8-4b55-9ed6-192d30eca094</t>
  </si>
  <si>
    <t>fd06dae4-34c6-47e0-97ee-e4a4be11e99e</t>
  </si>
  <si>
    <t>115f2f9c-56d0-414f-b843-19df6dd0a4f9</t>
  </si>
  <si>
    <t>179a33e3-1b84-4699-9f87-c3a2c77e639a</t>
  </si>
  <si>
    <t>46ea9fd1-6151-4a0b-b109-5dd0376eec44</t>
  </si>
  <si>
    <t>6bc4a0a6-3564-461f-83cf-4a529ca3e31f</t>
  </si>
  <si>
    <t>5651f84c-06b1-47ac-80a1-4d15d63b73a4</t>
  </si>
  <si>
    <t>8bd7c60e-bab8-4d58-801a-3ec1cc6bfe8d</t>
  </si>
  <si>
    <t>8bab7dc0-5033-47ae-a1a2-41699fa167b0</t>
  </si>
  <si>
    <t>61f2b179-ce83-4581-86ec-832c66a905cd</t>
  </si>
  <si>
    <t>292f7038-94c5-4755-9042-f9f66c4bd337</t>
  </si>
  <si>
    <t>f45bb9c5-49b3-482e-a9db-9ecd038419a3</t>
  </si>
  <si>
    <t>fbebd872-9247-4695-aeff-9d92786e3d72</t>
  </si>
  <si>
    <t>caa903ac-e10c-4053-8de7-20a235b07a20</t>
  </si>
  <si>
    <t>5718f272-6733-4c08-9152-48a7fa40a149</t>
  </si>
  <si>
    <t>3161c85b-60ab-4694-bab9-49cf801635df</t>
  </si>
  <si>
    <t>16176780-17cc-4fdc-af4a-4a4fd2736a46</t>
  </si>
  <si>
    <t>d481e56f-1de7-4007-ae2d-a7183e14cc46</t>
  </si>
  <si>
    <t>97b134f0-42d0-45ea-858c-150d4ed3e6cf</t>
  </si>
  <si>
    <t>3ea48634-b6a2-4b3f-b17e-bc63a77dd069</t>
  </si>
  <si>
    <t>Mond Catimbang</t>
  </si>
  <si>
    <t>raymondc@canva.com</t>
  </si>
  <si>
    <t>2f3da610-43a7-4351-b7e2-62e6304e68e1</t>
  </si>
  <si>
    <t>47a080de-e782-426c-b1a3-b3e644964530</t>
  </si>
  <si>
    <t>df1f0653-142a-4c94-9af3-ab052652d21d</t>
  </si>
  <si>
    <t>ecf69e69-3ff6-441e-b83e-35083fd0a9b5</t>
  </si>
  <si>
    <t>d82a8741-65e0-4edb-b880-aea1a26f711f</t>
  </si>
  <si>
    <t>a9ec095f-2a05-49a1-b206-c0cbe2d6e71e</t>
  </si>
  <si>
    <t>ca382d2b-17c6-420c-9106-c4852e4481af</t>
  </si>
  <si>
    <t>c29a81c5-7aee-49c7-95db-d66327986d0d</t>
  </si>
  <si>
    <t>46853a65-2a9d-4e90-9c77-5761e4595a5b</t>
  </si>
  <si>
    <t>abd6ecb7-5f95-4baf-8155-697eee90270c</t>
  </si>
  <si>
    <t>771f53f5-677d-4666-86f0-6c9f68ccdca0</t>
  </si>
  <si>
    <t>8744dd50-fc65-461d-b9ef-25c4637fce8a</t>
  </si>
  <si>
    <t>37f127e2-28b4-450b-9c4a-98b69de91f31</t>
  </si>
  <si>
    <t>3c194332-2189-4e97-a736-36ef0b4d2c35</t>
  </si>
  <si>
    <t>38df4293-b68e-4650-8806-1492dcb0a34c</t>
  </si>
  <si>
    <t>f3df1774-6ad5-4bae-bf73-030e002538f0</t>
  </si>
  <si>
    <t>56a77513-65b2-4fd5-ba5c-7df2009d1811</t>
  </si>
  <si>
    <t>0025a450-be02-4608-955f-c8ee3aaf223c</t>
  </si>
  <si>
    <t>25eb3335-9c26-4358-bce3-f41afddc4cd2</t>
  </si>
  <si>
    <t>416bf9c4-c915-4486-85dd-908eb8e40359</t>
  </si>
  <si>
    <t>4a7c1b97-cfb7-4032-81a1-d4c0e1462ea3</t>
  </si>
  <si>
    <t>3c5e2f6b-a077-4a65-900c-b0d41781a20c</t>
  </si>
  <si>
    <t>cd635d3a-0ca7-48ff-ac51-7740fb3ae614</t>
  </si>
  <si>
    <t>bc99adc5-756b-467e-aef9-335e210d93ed</t>
  </si>
  <si>
    <t>925ca3ab-2fb5-407e-8e17-61281426e2e8</t>
  </si>
  <si>
    <t>ab157f99-7ffd-4d9d-9c79-c3cf66911088</t>
  </si>
  <si>
    <t>Angel Alemania</t>
  </si>
  <si>
    <t>aalemania@canva.com</t>
  </si>
  <si>
    <t>backreading from long leave</t>
  </si>
  <si>
    <t>c5fad974-a6f6-4425-a16b-c388a9e99388</t>
  </si>
  <si>
    <t>63e27915-c6e9-48d5-b9fa-6e29bdf95920</t>
  </si>
  <si>
    <t>vendor support coupon sheet fulfilment</t>
  </si>
  <si>
    <t>cbee0417-ff73-4184-8a92-2999e06fe8a4</t>
  </si>
  <si>
    <t>7e318672-2dfa-4b2a-b97b-874cba139846</t>
  </si>
  <si>
    <t>ba8251e0-bd31-4bbb-b7b3-729826c0b59b</t>
  </si>
  <si>
    <t>#help-cht</t>
  </si>
  <si>
    <t>a9a2bc6b-3a83-46e6-b76e-1edf38b21de6</t>
  </si>
  <si>
    <t>9162c1dc-992b-46c6-8a6e-6a81bdce2769</t>
  </si>
  <si>
    <t>inci management: #incident-20251211-nameless-treasure sev 1 + #incident-20251215-enterprising-platypus</t>
  </si>
  <si>
    <t>deaed4b5-2188-4979-87fe-9b8e2fcf76c9</t>
  </si>
  <si>
    <t>#help-cht &amp; all-smes</t>
  </si>
  <si>
    <t>0c47ed51-f9b6-4b07-b37b-979068c52534</t>
  </si>
  <si>
    <t>#incident-20251215-purple-flamingo</t>
  </si>
  <si>
    <t>7612743d-c823-4710-9955-d8e8afdfd9b3</t>
  </si>
  <si>
    <t>58ec70bf-556b-48f1-b7bd-2fb88b779a85</t>
  </si>
  <si>
    <t>22fae0b4-10f7-4b8f-b0ad-510730bae813</t>
  </si>
  <si>
    <t>#incident-20251215-victorious-thrill</t>
  </si>
  <si>
    <t>67be5cad-c267-4836-93f6-809c0e1381ac</t>
  </si>
  <si>
    <t>Endorsement/EOS</t>
  </si>
  <si>
    <t>6bb288b1-982d-4042-b2c2-e58e120050f2</t>
  </si>
  <si>
    <t>5ad9482c-5186-449b-b741-bf374841d31f</t>
  </si>
  <si>
    <t>backreading</t>
  </si>
  <si>
    <t>6ae46af3-0ec3-4547-aa9b-c3c6176126ac</t>
  </si>
  <si>
    <t>e84cd122-87d7-4f6c-9742-9c4701d07814</t>
  </si>
  <si>
    <t>fdbc0471-9e07-450f-afd3-1dcdda2e0710</t>
  </si>
  <si>
    <t>41b3af97-7517-4e19-b31d-2a1ce2d52d1a</t>
  </si>
  <si>
    <t>d926a172-bd50-43b6-9d56-ea90a7cffa68</t>
  </si>
  <si>
    <t>85b71319-f34c-4f37-a0b8-95bfa13a8d60</t>
  </si>
  <si>
    <t>Sick leave - stomach flu</t>
  </si>
  <si>
    <t>24019258-d20b-4d26-89da-492450464c06</t>
  </si>
  <si>
    <t>75dfe714-4ef0-45ea-91ff-d6a48938f9cc</t>
  </si>
  <si>
    <t>5e019d45-e123-4844-ac30-8b933c21cc17</t>
  </si>
  <si>
    <t>b222225a-e754-48d5-8cda-0e447eab0ee5</t>
  </si>
  <si>
    <t>0a7ec6e5-50a3-42a9-b658-592cf452c459</t>
  </si>
  <si>
    <t>6cc27efe-b6c9-4c03-9a94-e103eeb4e1e0</t>
  </si>
  <si>
    <t>a514ee8a-40bd-43f7-8dc3-fa7f11f1934c</t>
  </si>
  <si>
    <t>Sev 0 - #incident-20251218-wild-desert &amp; Sev 1- #incident-20251218-dry-thunder &amp; Sev 2 - #incident-20251218-accomplished-unity Primary POC</t>
  </si>
  <si>
    <t>693af7ae-ec78-4b07-91ef-383097a91f22</t>
  </si>
  <si>
    <t>ec79aecb-48ef-471b-9737-ec2bbc5536a1</t>
  </si>
  <si>
    <t>ac81d42a-9b7f-4f17-ab4a-a2db93b96a20</t>
  </si>
  <si>
    <t>56722461-bfec-43f6-a970-17a4850c1387</t>
  </si>
  <si>
    <t>EOS endorsements</t>
  </si>
  <si>
    <t>b3e2108a-15cb-446c-ae95-e33ed764c9a3</t>
  </si>
  <si>
    <t>d85115b5-0c33-4afa-9ef8-960af3d51400</t>
  </si>
  <si>
    <t>02373fcd-ec7e-4216-95ba-03e32fb1e599</t>
  </si>
  <si>
    <t>Time off
WFM deferred to Coach Ziggy for approval &gt;&gt;&gt;https://canva.enterprise.slack.com/archives/C05A76H5FUM/p1765863792848449</t>
  </si>
  <si>
    <t>7e468cac-af78-4417-afea-a23abfdef716</t>
  </si>
  <si>
    <t>c9754a1f-6076-424c-881d-2765ff0db0dc</t>
  </si>
  <si>
    <t>7a13dfbb-c3b0-433b-aaf3-2927e74ca60a</t>
  </si>
  <si>
    <t>7b0ced0a-55fc-49e4-b47c-ffbf2567dce1</t>
  </si>
  <si>
    <t>Camille Basilio</t>
  </si>
  <si>
    <t>cbasilio@canva.com</t>
  </si>
  <si>
    <t>Work: Admin Direct</t>
  </si>
  <si>
    <t>93a7c76c-1f7e-49db-9941-28cba70f05f4</t>
  </si>
  <si>
    <t>team huddle</t>
  </si>
  <si>
    <t>50e7ec9a-91ce-4191-ae3e-ea2723b76be7</t>
  </si>
  <si>
    <t>89a8be0d-bbb1-452c-a2d0-1e8f6e7c0e29</t>
  </si>
  <si>
    <t>5c2bd330-c59f-4730-a6d2-49fafae28990</t>
  </si>
  <si>
    <t>Lactation Break</t>
  </si>
  <si>
    <t>4dc5e783-6078-46fb-802d-6f469311ae02</t>
  </si>
  <si>
    <t>5204f01b-60e3-43a8-83c5-cfb0254dbed8</t>
  </si>
  <si>
    <t>cd8bb84b-bcd0-42ae-8be1-c3a3eb1d4a17</t>
  </si>
  <si>
    <t>388c1e42-ec9f-4f5c-8286-b86f1a3f256f</t>
  </si>
  <si>
    <t>9e9e416c-f108-4b84-96af-ce01bdcfdfc9</t>
  </si>
  <si>
    <t>bed16587-612e-4632-904b-5277d1bdd9da</t>
  </si>
  <si>
    <t>716a1220-41cb-4a45-86a6-b230b99754bc</t>
  </si>
  <si>
    <t>bde0a3b4-c9eb-4f86-b961-d1a2874ac0d1</t>
  </si>
  <si>
    <t>District Applications: Module 1 Lesson 1</t>
  </si>
  <si>
    <t>6f9c779d-7ec0-4b2c-9321-d9a31c3791e6</t>
  </si>
  <si>
    <t>23bcf3ee-0963-4eaf-bb5d-325641aea5a7</t>
  </si>
  <si>
    <t>4203a61a-cadf-4b8c-bd19-053451158361</t>
  </si>
  <si>
    <t>08007a8f-f8d4-4b57-bc0c-5fc18a8cc8ab</t>
  </si>
  <si>
    <t>9900dd36-2354-47c0-a938-ca787b2dcdf5</t>
  </si>
  <si>
    <t>51fe0acd-ef92-4984-b724-b1ee4aa097d2</t>
  </si>
  <si>
    <t>bbb67b53-74fb-4b1a-ad93-a2f90cbf9f19</t>
  </si>
  <si>
    <t>d8a70f0e-992e-4b17-a274-8618a8da6be2</t>
  </si>
  <si>
    <t>b6bb690e-721a-4dac-b4d6-e2e87c79f2e8</t>
  </si>
  <si>
    <t>815f945d-5f0a-4c68-a9f8-52c36b1a27b7</t>
  </si>
  <si>
    <t>5a22b3ea-0755-416b-a006-f5a0d4b19aba</t>
  </si>
  <si>
    <t>Jara Alexandra Mae Pangan</t>
  </si>
  <si>
    <t>jampangan@canva.com</t>
  </si>
  <si>
    <t>d8fc7ea7-2361-4999-8d43-a19a72e74e54</t>
  </si>
  <si>
    <t>e5482984-ab8f-492f-b8b1-80e1103cd4cd</t>
  </si>
  <si>
    <t>inci management</t>
  </si>
  <si>
    <t>159fb02e-ba2a-4661-b7f4-09bbd1404573</t>
  </si>
  <si>
    <t>b1ff4248-72bf-4d27-8505-b061f528c8d4</t>
  </si>
  <si>
    <t>Inci management</t>
  </si>
  <si>
    <t>1a3fec54-2515-4b48-8fde-d6e681449a87</t>
  </si>
  <si>
    <t>5c2d9026-38c0-4851-b543-3a663d9d4e72</t>
  </si>
  <si>
    <t>e5c647fb-f194-421b-91ef-68a3f7bfc0b9</t>
  </si>
  <si>
    <t>66ab3e07-aea7-48ea-a388-c49171e2173b</t>
  </si>
  <si>
    <t>3b869487-e872-4127-8e56-f0635d8e1943</t>
  </si>
  <si>
    <t>6415029c-e61f-4ca8-83d1-ffaf793be2d1</t>
  </si>
  <si>
    <t>1bfc8548-c793-4936-be3f-6a0702bc9aee</t>
  </si>
  <si>
    <t>67f460eb-d943-455b-9945-3e19c51b5886</t>
  </si>
  <si>
    <t>4484c25d-d353-4407-b341-f9ebb9db066d</t>
  </si>
  <si>
    <t>18534b8c-d487-41b0-ad77-a148cfb9bb2f</t>
  </si>
  <si>
    <t>bdc563d8-5b24-4b81-9e86-19c65d7e1168</t>
  </si>
  <si>
    <t>d03480c5-b100-4afe-b264-2c8e29a107d3</t>
  </si>
  <si>
    <t>c75911a6-092d-49af-9259-c3f7dc2e319b</t>
  </si>
  <si>
    <t>exec escal + 2 helpcht</t>
  </si>
  <si>
    <t>abc8b134-5adb-442d-a20c-df87fad1d39e</t>
  </si>
  <si>
    <t>5a70111a-4e00-47e8-aad7-1c56e3c9dd6c</t>
  </si>
  <si>
    <t>Created birthday card for teammate + start checking updates for sync deck</t>
  </si>
  <si>
    <t>9c3f3ab4-e8bd-45dd-8530-c7b1d088fff4</t>
  </si>
  <si>
    <t>9be2612d-b08a-448b-a37c-05f244124733</t>
  </si>
  <si>
    <t>Triage incident</t>
  </si>
  <si>
    <t>403009e2-78d0-4a12-8ae3-d2ddad924ce9</t>
  </si>
  <si>
    <t>e157ddb5-a018-40ce-8734-1f40b7a278f1</t>
  </si>
  <si>
    <t>Worked on CPSET sync deck</t>
  </si>
  <si>
    <t>a7a87940-41e9-48e0-90c8-32c25b979696</t>
  </si>
  <si>
    <t>6d1a7c13-b442-4f15-a1b1-e3361789a289</t>
  </si>
  <si>
    <t>d8987fd3-d0b6-4967-b85d-89c89c7d14dd</t>
  </si>
  <si>
    <t>6075b2f7-aa03-4d79-b7e8-86ab49c77102</t>
  </si>
  <si>
    <t>1a0af8cc-9959-462f-84af-4941a1e45e87</t>
  </si>
  <si>
    <t>Incident primary for  sev 0  - Incident triage</t>
  </si>
  <si>
    <t>7b3abd0b-4223-42b1-919c-b840c9c451c6</t>
  </si>
  <si>
    <t>cf3d729a-a1d9-4106-906f-e507898be61b</t>
  </si>
  <si>
    <t>d0f10b7a-ac3d-4d19-9811-71c58ca0ca9e</t>
  </si>
  <si>
    <t>ddca2aad-c54c-43e2-9ea1-298e7759e57d</t>
  </si>
  <si>
    <t>cpset sync</t>
  </si>
  <si>
    <t>494e3582-c0f8-4fe2-9ac2-4d1c8d1c649e</t>
  </si>
  <si>
    <t>bb1608f5-81e3-412d-aa0f-3752cee8a55d</t>
  </si>
  <si>
    <t>9cee5236-97cc-4270-80c5-d40247b5a4a8</t>
  </si>
  <si>
    <t>Inci maintenance</t>
  </si>
  <si>
    <t>da502362-f41c-4e7b-8f22-bd4c7f093601</t>
  </si>
  <si>
    <t>e4798469-52ef-4f41-b255-46adc5e9c4c0</t>
  </si>
  <si>
    <t>check and discuss 1vps update - side convo</t>
  </si>
  <si>
    <t>9327022d-ee34-413d-a61a-110f00ba17d3</t>
  </si>
  <si>
    <t>278ad8c2-1a6e-4816-b6da-a0a845ed5131</t>
  </si>
  <si>
    <t>7fdd0072-c066-4653-bb51-f312608eb4e9</t>
  </si>
  <si>
    <t>5b9a60b0-b877-48e1-8013-eb7cdd15bd64</t>
  </si>
  <si>
    <t>Jayson Ferrer</t>
  </si>
  <si>
    <t>jayson@canva.com</t>
  </si>
  <si>
    <t>4c04ffd4-b97a-422f-ad91-8f1edf31e9ac</t>
  </si>
  <si>
    <t>0d54c1c0-4ae6-4b44-9a5c-87e8bbe623fb</t>
  </si>
  <si>
    <t>8da56aac-eac4-4864-b01a-5377783b125c</t>
  </si>
  <si>
    <t>b52c9dce-d8fe-44f0-8ce5-52502b790268</t>
  </si>
  <si>
    <t>cd1b2192-4d15-43d5-8079-5d0a3ad013cd</t>
  </si>
  <si>
    <t>46fda07f-3b4b-46c4-9ac2-31efec595766</t>
  </si>
  <si>
    <t>7e694fee-be69-44ea-988f-5298237c0931</t>
  </si>
  <si>
    <t>2447bbe1-9cb3-4a92-ae6f-029af605613c</t>
  </si>
  <si>
    <t>2207cf51-12a7-409d-8d6b-5022fc126153</t>
  </si>
  <si>
    <t>f58e24fc-974e-4e29-801d-a7e142b983d0</t>
  </si>
  <si>
    <t>55dca74b-d7d2-4392-936d-510abeacabfc</t>
  </si>
  <si>
    <t>de540492-ef0f-49ec-9231-64cbc05d7e62</t>
  </si>
  <si>
    <t>6638398c-0092-4e0e-8bc0-1006da88bf2e</t>
  </si>
  <si>
    <t>9e92d39b-a009-401d-bc71-af5c161fbd2c</t>
  </si>
  <si>
    <t>7f03b7b9-5444-42d9-8bf3-1dc416cf0a4d</t>
  </si>
  <si>
    <t>d8403f86-e26f-492e-a2a4-cda160d87e3b</t>
  </si>
  <si>
    <t>2ba23d3d-d496-4263-aee2-5abd8e906e3e</t>
  </si>
  <si>
    <t>90a901bc-5fc5-49d6-94e1-e69ab0bc1d0f</t>
  </si>
  <si>
    <t>4cfaf3a2-b5b4-4daa-9338-c5366e4e109d</t>
  </si>
  <si>
    <t>7c92b1ae-fd16-4823-8793-6012a8d2e811</t>
  </si>
  <si>
    <t>795408bb-8706-42be-9b02-c59a89793aa6</t>
  </si>
  <si>
    <t>8443974f-bce7-4284-9875-dc90b9c048b1</t>
  </si>
  <si>
    <t>26232d6b-32c9-40b9-a49a-752e9cef9a2c</t>
  </si>
  <si>
    <t>c6125b61-a71b-4602-b55f-3ced1b098321</t>
  </si>
  <si>
    <t>7d586eb5-1b74-4e56-b56f-6c2807700cb7</t>
  </si>
  <si>
    <t>JM Frial</t>
  </si>
  <si>
    <t>jmfrial@canva.com</t>
  </si>
  <si>
    <t>b4023ca7-210a-4aaa-b58c-c7c52f32e019</t>
  </si>
  <si>
    <t>df687a2c-c259-40ce-800d-5c2a056e87d5</t>
  </si>
  <si>
    <t>1ce38cdc-e218-4c83-a415-6648a87ddf81</t>
  </si>
  <si>
    <t>8d7388b1-db76-487c-956c-b9f8b5145e44</t>
  </si>
  <si>
    <t>aa724164-8dba-44e9-a156-303aab74ddad</t>
  </si>
  <si>
    <t>3e782248-8755-4630-8d69-4c55327aa460</t>
  </si>
  <si>
    <t>998d8977-a297-46c3-9a6e-dc6523b79d7e</t>
  </si>
  <si>
    <t>98182e0e-361d-4361-8a35-0e2eddf06699</t>
  </si>
  <si>
    <t>4b48460b-0e69-4a27-8432-ae2983692a71</t>
  </si>
  <si>
    <t>c76c6999-e648-4290-bf48-79bacb67c75a</t>
  </si>
  <si>
    <t>e0cae2b3-ae4e-4f0a-a83b-b3653dbcff99</t>
  </si>
  <si>
    <t>0159de4c-07c2-40ba-a78d-1e4b302622f7</t>
  </si>
  <si>
    <t>4743d7de-1e36-4c96-83fd-72d2fe1c6c5a</t>
  </si>
  <si>
    <t>02f33565-cedd-45d2-a10b-c4678495bee5</t>
  </si>
  <si>
    <t>5b5fee2d-3eab-4826-afcc-6dc1067978c7</t>
  </si>
  <si>
    <t>a9ac7876-8876-499c-af13-62369baec1c7</t>
  </si>
  <si>
    <t>cc83c9a0-cd32-488d-b758-7216b530fb6b</t>
  </si>
  <si>
    <t>e6e5b2f5-9736-40c8-8176-a9e873ec5e98</t>
  </si>
  <si>
    <t>6f899823-7b4b-4527-ba51-e1421bbdb80f</t>
  </si>
  <si>
    <t>e3270a4e-9de6-40c8-b1cc-5de9df0386e0</t>
  </si>
  <si>
    <t>bc488062-d0d0-4018-8032-366d6bbc619b</t>
  </si>
  <si>
    <t>160cea0a-3d2d-4db9-a139-47cfcab7c207</t>
  </si>
  <si>
    <t>93ecbab8-2d15-4139-8fb8-cca1240ef4e9</t>
  </si>
  <si>
    <t>5d13d8ec-7c63-4da9-bc0e-e9a2670b83a1</t>
  </si>
  <si>
    <t>1d455af8-a5f4-4956-981d-8ec52f4843fb</t>
  </si>
  <si>
    <t>357b82f2-6539-48c7-bd45-4228086fb8ec</t>
  </si>
  <si>
    <t>3d28b7c7-fddd-4675-98d2-9ed18b2eabf6</t>
  </si>
  <si>
    <t>e6a0c295-a4c5-4226-b89f-d04c2f506698</t>
  </si>
  <si>
    <t>f55cb744-e073-43da-9f51-a5a816647eef</t>
  </si>
  <si>
    <t>8ccd0faf-158b-4f02-a2a9-1b094fa6048e</t>
  </si>
  <si>
    <t>21b5ebe2-7467-45c9-9f52-0a63322e22a7</t>
  </si>
  <si>
    <t>6e15186b-2189-439d-a27b-01fc73a3e906</t>
  </si>
  <si>
    <t>5232e468-f0fb-481b-82fd-c9151c2dcf93</t>
  </si>
  <si>
    <t>283e3432-dfe6-4073-b746-d670ed850f27</t>
  </si>
  <si>
    <t>a6676a04-e4de-4177-9116-1cb989230dc8</t>
  </si>
  <si>
    <t>cab4a7c5-3486-4c00-8b3b-75825284c87a</t>
  </si>
  <si>
    <t>8181158c-a59a-4467-aede-cb188af2044b</t>
  </si>
  <si>
    <t>afc5153b-c6d6-4be0-b3c4-bb601d8e9e19</t>
  </si>
  <si>
    <t>449aed18-cabc-4f13-b7c4-78ce1b5c3e5c</t>
  </si>
  <si>
    <t>e5c0bea1-8a81-41d7-8e7a-cabb6852984e</t>
  </si>
  <si>
    <t>a011ffb9-d2bc-45e3-b348-3b6457bca99a</t>
  </si>
  <si>
    <t>1ae0b2cd-950c-45ec-889f-88839e11bbc6</t>
  </si>
  <si>
    <t>4d5a53cf-3d3d-4e82-a06f-7d84cd606450</t>
  </si>
  <si>
    <t>28a6a4a7-68a7-4e04-aa64-71c9103cc604</t>
  </si>
  <si>
    <t>49c52320-370a-4c28-a59f-e1e4925d78ef</t>
  </si>
  <si>
    <t>f253332c-2563-40aa-b578-f7d93bc39616</t>
  </si>
  <si>
    <t>dbfa565a-b877-4ef5-8698-715680121904</t>
  </si>
  <si>
    <t>2e3d7959-ca3a-4825-82be-0e3e609df0f8</t>
  </si>
  <si>
    <t>3aa168d4-2965-40c9-b531-56624661bcd8</t>
  </si>
  <si>
    <t>1838cf19-cf1e-4dc1-9bd9-118b976b17c6</t>
  </si>
  <si>
    <t>5d0b050b-d173-4adb-adbb-bd6b256ec77c</t>
  </si>
  <si>
    <t>a38ae554-2a42-4847-a7cf-6ec65f492a57</t>
  </si>
  <si>
    <t>13392e4b-59d6-440a-b92a-fde98afea6f6</t>
  </si>
  <si>
    <t>c8dc4fcb-0e37-4e13-9693-f7889df2aa67</t>
  </si>
  <si>
    <t>27292a8d-f1dc-4b6c-ad2a-400b5ca7ad5f</t>
  </si>
  <si>
    <t>ce850a28-a16b-41a5-a7f5-3d1ef79c2495</t>
  </si>
  <si>
    <t>349909b0-97ca-4d29-a97f-5fc4622d646e</t>
  </si>
  <si>
    <t>df830769-d284-4198-ac74-2a829627227b</t>
  </si>
  <si>
    <t>520792cd-e274-488a-9b81-de314cf6f171</t>
  </si>
  <si>
    <t>0d4b3b42-0bd3-4e4c-9830-aa429abf2525</t>
  </si>
  <si>
    <t>9fcdd13a-6c47-47db-b995-3fd679159c52</t>
  </si>
  <si>
    <t>c7ce62ad-4fd8-49b0-8e1e-1caf706e8ce5</t>
  </si>
  <si>
    <t>644c36fa-a589-4e3f-94b4-473729d4b566</t>
  </si>
  <si>
    <t>7757291b-93e5-4758-a9c5-e353ab38c112</t>
  </si>
  <si>
    <t>0d39f2cc-ceb3-46e7-9b87-b57dd3385758</t>
  </si>
  <si>
    <t>102e3f7b-2bec-4edb-8eb0-2ffa9229ced8</t>
  </si>
  <si>
    <t>1fa942bd-1815-4054-9636-810d3c7d937c</t>
  </si>
  <si>
    <t>Kris Alava</t>
  </si>
  <si>
    <t>krisalava@canva.com</t>
  </si>
  <si>
    <t>cfe1780b-7db3-49cf-b2e9-a899d0f55c63</t>
  </si>
  <si>
    <t>1132e999-842a-452d-96b2-f1dcc0924e65</t>
  </si>
  <si>
    <t>41b26d55-fa25-4327-9cc3-93869d8ada15</t>
  </si>
  <si>
    <t>4b95c776-cc45-47d8-98a6-864031270cc8</t>
  </si>
  <si>
    <t>8fd7db9e-b329-4095-a4ae-7248ae3a87e9</t>
  </si>
  <si>
    <t>ef355d72-cb22-476f-8c01-883472dffcd7</t>
  </si>
  <si>
    <t>3e028c88-69fb-436e-b990-80dc3cff0750</t>
  </si>
  <si>
    <t>b5b6a63d-1e1e-4437-9341-d13410df44a1</t>
  </si>
  <si>
    <t>4fc138f5-b9d4-4f93-9fd6-f0a9dbe80e23</t>
  </si>
  <si>
    <t>3d92ea12-16e2-4f42-8f0c-3752cfe5ff2b</t>
  </si>
  <si>
    <t>43053fd3-69a0-415a-b40b-768c88b72266</t>
  </si>
  <si>
    <t>b0f32820-557b-44f0-aa31-19eb734c4be3</t>
  </si>
  <si>
    <t>368ae9a4-92e8-4be1-b9e2-97b02cc297fc</t>
  </si>
  <si>
    <t>02dfdaf6-c238-4c49-b15c-a7d3d543dfae</t>
  </si>
  <si>
    <t>3182020a-27b2-484a-902d-a52456fa8a19</t>
  </si>
  <si>
    <t>5ebf571c-3892-4394-b78c-235745065895</t>
  </si>
  <si>
    <t>1468cace-9eb6-4470-bae7-95f2c48dcdc0</t>
  </si>
  <si>
    <t>65344dea-a732-45a7-889b-5ea818569869</t>
  </si>
  <si>
    <t>55d0caaa-e35f-4e2d-b016-88541ce833eb</t>
  </si>
  <si>
    <t>47f7b3e7-97da-441d-879e-0980ebbae8b3</t>
  </si>
  <si>
    <t>20bd8276-124a-4572-bb9a-361afe568696</t>
  </si>
  <si>
    <t>9a56d8a2-d68f-44e8-9271-856512e0f07a</t>
  </si>
  <si>
    <t>34e5d4f0-9aeb-4290-b751-abb3ebf16942</t>
  </si>
  <si>
    <t>ac612821-c478-4ed1-8b21-3e20fb1b17d4</t>
  </si>
  <si>
    <t>Toff Nuyda</t>
  </si>
  <si>
    <t>cnuyda@canva.com</t>
  </si>
  <si>
    <t>54567186-000b-457a-bbfd-2047890c1467</t>
  </si>
  <si>
    <t>03de7c89-10fb-41f9-83c4-5301720a3cea</t>
  </si>
  <si>
    <t>de5ed0fb-533b-4610-b45b-0de2490be382</t>
  </si>
  <si>
    <t>73dd19ca-02ac-4db5-9831-ff5af79fd611</t>
  </si>
  <si>
    <t>065a76f9-98d7-4cdc-9b72-99649c0da533</t>
  </si>
  <si>
    <t>3c17fd83-cabd-4706-832f-49a4c2f7a989</t>
  </si>
  <si>
    <t>Websites: Module 5 (Self-led)</t>
  </si>
  <si>
    <t>10e8cd47-58dd-48c1-b9e2-db4ea3e4ce67</t>
  </si>
  <si>
    <t>2cfaefdc-8248-4af4-abad-ce181da423d8</t>
  </si>
  <si>
    <t>f7e2bee9-f4e3-4eaa-ad54-d84cf26a19ec</t>
  </si>
  <si>
    <t>35c864c3-c918-49df-b2e1-90bff905e8ee</t>
  </si>
  <si>
    <t>b663991a-a0dd-4de6-b2b2-4704f8e6c253</t>
  </si>
  <si>
    <t>c9bc116a-6aa4-49f5-b41b-189a205356cb</t>
  </si>
  <si>
    <t>136ede59-587d-43f8-b2d5-73af14f0af28</t>
  </si>
  <si>
    <t>RDOT</t>
  </si>
  <si>
    <t>8c418ea0-9951-4752-86ff-4f62266b3fe3</t>
  </si>
  <si>
    <t>46edcce4-dedf-489a-a96e-3ffb9d4f6dd5</t>
  </si>
  <si>
    <t>Scheduled Vaccination for animal bite</t>
  </si>
  <si>
    <t>7fc8fcbf-81eb-4905-bf23-88d031af7d61</t>
  </si>
  <si>
    <t>f7beac10-aadf-40cb-95ff-3fff7435b827</t>
  </si>
  <si>
    <t>6d37379e-9307-4e9f-af68-c29ecd7a0f04</t>
  </si>
  <si>
    <t>05869263-0d01-4309-8f73-ab6deb080e16</t>
  </si>
  <si>
    <t>Trissa Miguel</t>
  </si>
  <si>
    <t>trissamiguel@canva.com</t>
  </si>
  <si>
    <t>74bd2fd6-4e10-4675-88c7-425dd2408813</t>
  </si>
  <si>
    <t>79fc1b8b-7e10-4c88-9621-63a77c784997</t>
  </si>
  <si>
    <t>2120ea9a-1ff7-4ebc-8afd-06d470e860d7</t>
  </si>
  <si>
    <t>ec0aad10-3aa8-414e-8fd9-3ae411bf4f72</t>
  </si>
  <si>
    <t>cc6b7c67-5569-45b7-99e3-3226071dd788</t>
  </si>
  <si>
    <t>ce6ec16d-9efb-420f-852e-f35a37f30112</t>
  </si>
  <si>
    <t>4c5e47e0-8a80-44ed-9826-d972caa1b29e</t>
  </si>
  <si>
    <t>daae9a48-66c9-47f2-90cc-9b0727575889</t>
  </si>
  <si>
    <t>08ba3968-a1f3-4d74-b94a-0f8f6c99d18e</t>
  </si>
  <si>
    <t>361ef180-182e-4fb9-98c5-d88c46151985</t>
  </si>
  <si>
    <t>98f4dd7b-f0f7-493a-9638-0ca6cd0246bb</t>
  </si>
  <si>
    <t>029e50d5-a371-4725-adbc-32788ae68507</t>
  </si>
  <si>
    <t>2173f818-de23-46b9-bd3e-64420f49f4b6</t>
  </si>
  <si>
    <t>0ad11cd0-95ab-40e6-a161-31cd442325db</t>
  </si>
  <si>
    <t>bce72b64-8914-4f58-a183-29b9e7c49320</t>
  </si>
  <si>
    <t>662b5007-8b6a-455f-b5ba-b1eacfff2bc9</t>
  </si>
  <si>
    <t>15554573-4977-4bd3-ae6e-17d0f1f61b05</t>
  </si>
  <si>
    <t>bc60c95d-e78e-48e2-97d8-a1a4b20edeff</t>
  </si>
  <si>
    <t>04299915-c3ca-446e-9ee1-2f5231199984</t>
  </si>
  <si>
    <t>35725c70-674e-4f1e-b354-0f59623f181f</t>
  </si>
  <si>
    <t>f830c710-68a5-45c4-8b80-a2b62ac2bd69</t>
  </si>
  <si>
    <t>d1fcf9bd-4fe2-4692-93d2-1fc65d530753</t>
  </si>
  <si>
    <t>e6873146-a3f6-47d7-8445-affd78eb50c1</t>
  </si>
  <si>
    <t>0dc0eea0-be83-425b-9b40-b42bc444972b</t>
  </si>
  <si>
    <t>Andrea Gutierrez</t>
  </si>
  <si>
    <t>andrea.g@canva.com</t>
  </si>
  <si>
    <t>7e7ff8f5-986a-4301-90d3-1f1f7df23cde</t>
  </si>
  <si>
    <t>c79f1001-9c7d-456f-9cc6-4df36a193483</t>
  </si>
  <si>
    <t>6435c63c-2154-4175-a20a-e2bf3d0a669d</t>
  </si>
  <si>
    <t>8fc870ae-f8c6-4e5f-8577-84deace45348</t>
  </si>
  <si>
    <t>dd0f647c-d0be-4d91-87dc-9dbae5b8bb0f</t>
  </si>
  <si>
    <t>ff14385d-3706-4b77-810f-d73052b34cde</t>
  </si>
  <si>
    <t>f58f8fc0-f830-4b53-9555-98e7ca6717b7</t>
  </si>
  <si>
    <t>da60f17c-529d-4287-bf85-173627d2e85b</t>
  </si>
  <si>
    <t>a171a12a-6611-4436-ba87-26da9be46d2a</t>
  </si>
  <si>
    <t>8d6c7cb7-843b-4dbd-a744-d3ed305bb3c2</t>
  </si>
  <si>
    <t>cd83fcb8-09fe-409f-8a90-a2eb273f86c7</t>
  </si>
  <si>
    <t>8d972595-295f-465b-89d3-c98d06e312d4</t>
  </si>
  <si>
    <t>bddfb71c-4940-4190-9734-d7bf48c879be</t>
  </si>
  <si>
    <t>ad4a9dfe-8e80-4f01-b217-44a32b602655</t>
  </si>
  <si>
    <t>c328c61b-6762-4902-9b05-27565e7715c4</t>
  </si>
  <si>
    <t>5909e23a-f55c-4abd-a81a-bee1b41839ed</t>
  </si>
  <si>
    <t>cedb9e3c-f66c-4cc3-abae-6b34198da3cc</t>
  </si>
  <si>
    <t>8c84274a-4368-4376-ad03-b4ad5cd75df7</t>
  </si>
  <si>
    <t>ef8b289f-a714-474b-9b45-109bab821a8a</t>
  </si>
  <si>
    <t>fc0ba067-f3d2-4b52-9d5b-864aa8654ec9</t>
  </si>
  <si>
    <t>69a28acd-7df2-4030-8c1b-32df15571b67</t>
  </si>
  <si>
    <t>f0ad1e12-2f12-4ee4-b7ba-8a8ed87466bd</t>
  </si>
  <si>
    <t>eb8376ed-4cf6-4826-b5fb-2b6844150189</t>
  </si>
  <si>
    <t>Angel Cabrera</t>
  </si>
  <si>
    <t>angelc@canva.com</t>
  </si>
  <si>
    <t>960437d5-8423-417c-8027-828181667d2f</t>
  </si>
  <si>
    <t>35c3531b-8b2d-4c5e-a1ad-7503743d9d0a</t>
  </si>
  <si>
    <t>d28e62ef-8274-4596-8fe5-d9cc2456296a</t>
  </si>
  <si>
    <t>d27cb5e6-5989-456a-b659-e919254af352</t>
  </si>
  <si>
    <t>1de61be4-9a1b-4163-9ec3-6fc9f03a328e</t>
  </si>
  <si>
    <t>cbd1efa6-5015-4260-9578-3644abf0f489</t>
  </si>
  <si>
    <t>3a52d084-ece2-4ea8-9d63-a5b95a61c461</t>
  </si>
  <si>
    <t>75e6674f-02c3-44ed-a8ca-b4e9c50474b5</t>
  </si>
  <si>
    <t>Ticket Clinic For Direct Email (Enrique and Cee)</t>
  </si>
  <si>
    <t>69aea94d-ebf1-44b0-9c73-17bc20384777</t>
  </si>
  <si>
    <t>4d721abf-d1ef-4674-94df-e8144a9d7464</t>
  </si>
  <si>
    <t>419b3c4c-1fe3-441f-a03f-b443615382ff</t>
  </si>
  <si>
    <t>f181732a-61fa-499b-b861-f316a03f30e6</t>
  </si>
  <si>
    <t>cf0c7dc4-de57-4157-8329-6f1cba8ff5d7</t>
  </si>
  <si>
    <t>9d5d4b54-759b-4ecd-a7ef-961cc1f35877</t>
  </si>
  <si>
    <t>dc2646bc-c4cd-4edb-8aaa-9ed7294893ce</t>
  </si>
  <si>
    <t>e59fdc4d-2c4c-4476-ab50-c268009b21cd</t>
  </si>
  <si>
    <t>f85d4fb8-9799-4b72-9001-b9bf681d4fe6</t>
  </si>
  <si>
    <t>412dce1f-f59c-45bc-841c-d7a1f9a8decc</t>
  </si>
  <si>
    <t>29db601f-9296-47ae-b610-4ce186da523d</t>
  </si>
  <si>
    <t>530dc48c-6dbb-4103-bd53-1da2912a99b9</t>
  </si>
  <si>
    <t>b0cfa115-7fc4-409b-b507-66a61ffba09f</t>
  </si>
  <si>
    <t>ec584731-6590-47b6-bf09-e6d19f659b4c</t>
  </si>
  <si>
    <t>eed6962a-6389-4963-a21c-bbdaed5e3c11</t>
  </si>
  <si>
    <t>52d78728-d2f2-4780-b902-61ef261f5694</t>
  </si>
  <si>
    <t>CEDD Apps</t>
  </si>
  <si>
    <t>1743d414-66d9-4260-9ffc-9713124e0bbf</t>
  </si>
  <si>
    <t>7f7a76b4-3fc2-4b3c-a985-1ec59f24ddf5</t>
  </si>
  <si>
    <t>e49eb420-7bd7-4503-a1d0-35028e015e43</t>
  </si>
  <si>
    <t>Beany Rodriguez</t>
  </si>
  <si>
    <t>beanyvince@canva.com</t>
  </si>
  <si>
    <t>f22d4870-c300-4449-bbf3-40db6556e953</t>
  </si>
  <si>
    <t>20c22854-39eb-47f6-8af4-46faad129002</t>
  </si>
  <si>
    <t>c355fa6a-962c-42cd-9b5a-4860ed764b7c</t>
  </si>
  <si>
    <t>moved break with lunch</t>
  </si>
  <si>
    <t>c0fdf3b7-1f07-486c-9438-5aa0c34c5b67</t>
  </si>
  <si>
    <t>b324b18a-69a0-4212-a3f1-6fcf3e64b337</t>
  </si>
  <si>
    <t>50276ce4-193b-45e9-b502-0da387467ef3</t>
  </si>
  <si>
    <t>0c696238-b27c-4bf7-8ae5-8acc99258b00</t>
  </si>
  <si>
    <t>4de98f56-b3ba-40b7-986e-acded2b3c65e</t>
  </si>
  <si>
    <t>8f96023a-a773-4bcd-be54-b90761a9efd1</t>
  </si>
  <si>
    <t>af13318f-12b6-4384-b506-984f3c5bd584</t>
  </si>
  <si>
    <t>c9ad27f2-567e-48d0-9dc5-5902b1246c09</t>
  </si>
  <si>
    <t>e8447134-34da-4ce6-8d80-e039c8e098f8</t>
  </si>
  <si>
    <t>e6d0ac4c-88c6-4c3e-a3e6-41ce13853754</t>
  </si>
  <si>
    <t>27c81608-7799-4768-acae-a03bfb7267a1</t>
  </si>
  <si>
    <t>8f83ad0c-cd1e-475b-9150-acde024cc821</t>
  </si>
  <si>
    <t>3850789f-ad7e-491a-b3ac-e0f1890de4e7</t>
  </si>
  <si>
    <t>huddle</t>
  </si>
  <si>
    <t>6a4d2def-ed81-4bf3-8052-419920ebb83e</t>
  </si>
  <si>
    <t>Handling Missing Designs Update training</t>
  </si>
  <si>
    <t>5ee1530a-36b2-4adc-b686-c9174056f25b</t>
  </si>
  <si>
    <t>moved break due to training</t>
  </si>
  <si>
    <t>542f50ed-1038-4372-90d1-f3c03def0e96</t>
  </si>
  <si>
    <t>0ccc240a-2a3d-44e0-ab0b-e00573f7a32a</t>
  </si>
  <si>
    <t>511606f5-a900-4dc4-8ed5-36b63376afb5</t>
  </si>
  <si>
    <t>cfeaa9e7-f3df-4842-858b-1749532dd0f9</t>
  </si>
  <si>
    <t>moved break beside lunch</t>
  </si>
  <si>
    <t>35ac1336-d819-48bd-bef5-1352722440c2</t>
  </si>
  <si>
    <t>TRP post mortem workshop</t>
  </si>
  <si>
    <t>43205c7b-3cde-4473-94e1-0c9c1ca3bd0e</t>
  </si>
  <si>
    <t>4829712e-df33-4828-83e5-b005d53d0ece</t>
  </si>
  <si>
    <t>Bryan Lemuel Britanico</t>
  </si>
  <si>
    <t>bryanb@canva.com</t>
  </si>
  <si>
    <t>a5698fa8-4e77-47d9-b25b-99c0f20e9cef</t>
  </si>
  <si>
    <t>abb607ab-d61b-468a-94b7-75a8b4765be0</t>
  </si>
  <si>
    <t>699259c0-3871-47a8-832c-31c0a202672f</t>
  </si>
  <si>
    <t>a69cb9a4-2d91-4499-8188-928c48582950</t>
  </si>
  <si>
    <t>09441f48-e9ec-484c-9a39-9c5438c098b5</t>
  </si>
  <si>
    <t>abf741ba-0dc2-43f5-88cb-68df5d79694d</t>
  </si>
  <si>
    <t>ef183955-b2fc-4e0a-bba0-b6d1cb2ef6fb</t>
  </si>
  <si>
    <t>438a208a-9d4c-407d-9a02-8b1218f431d3</t>
  </si>
  <si>
    <t>0c7ebfab-abf9-4412-a216-5b493375ec54</t>
  </si>
  <si>
    <t>962d0313-0b32-4aab-973c-7ad614b5a658</t>
  </si>
  <si>
    <t>9ca1b976-93dd-4f44-b8d2-1f3c8af8f984</t>
  </si>
  <si>
    <t>a7cdab08-bc23-48ec-856b-ee801a5fbe91</t>
  </si>
  <si>
    <t>333fe043-6d76-4cd0-8692-0ebb4a290334</t>
  </si>
  <si>
    <t>798628c1-1c27-45bb-a112-837a9ac54758</t>
  </si>
  <si>
    <t>83def971-7bc1-46b1-9b6c-0387f35549af</t>
  </si>
  <si>
    <t>My new sched is Wed - Thur off Starting October.</t>
  </si>
  <si>
    <t>67ff5ca9-49ac-4ad1-99ac-2ba0c1ed18ef</t>
  </si>
  <si>
    <t>18cb6943-8bec-4440-a130-9ad24397e822</t>
  </si>
  <si>
    <t>6fb25164-259f-4322-9482-b3865f6ca7be</t>
  </si>
  <si>
    <t>4bb09346-5fba-40f0-ac06-0b644e9a6f20</t>
  </si>
  <si>
    <t>Caesar Bitudio</t>
  </si>
  <si>
    <t>caesar@canva.com</t>
  </si>
  <si>
    <t>859a9ab1-6666-4102-9a1d-573e563da23e</t>
  </si>
  <si>
    <t>8460aa25-329d-4cf8-8b3d-96ca7114a803</t>
  </si>
  <si>
    <t>406c6e14-a6b5-4e6a-a22d-e2d0d49a31d8</t>
  </si>
  <si>
    <t>5d656249-f0bc-4dc5-9a3e-a5b87f80e2c3</t>
  </si>
  <si>
    <t>be591773-9721-4f8e-883e-e4ef85fd283f</t>
  </si>
  <si>
    <t>bfde42e2-7eea-4597-96a1-4cf2b406de2d</t>
  </si>
  <si>
    <t>97699f1a-49ce-4be8-ae7d-e3b9f4c9753c</t>
  </si>
  <si>
    <t>3556209a-7124-4ea4-961c-bbeebda5d033</t>
  </si>
  <si>
    <t>b4145f41-1495-4c8c-b3a3-35eb8c542f34</t>
  </si>
  <si>
    <t>417c7460-73d2-4d4a-b499-332c4c8675a4</t>
  </si>
  <si>
    <t>0fd26efc-2b91-43b8-9130-cf94875f9f13</t>
  </si>
  <si>
    <t>6ac15346-7b5a-4055-9562-c389245477a2</t>
  </si>
  <si>
    <t>8e9d9301-c6ac-455b-932d-34898027c7a0</t>
  </si>
  <si>
    <t>b4356124-b27f-4c97-914e-02709f1bbb50</t>
  </si>
  <si>
    <t>c18d2b6c-17a3-4caf-bf4e-acdac073f258</t>
  </si>
  <si>
    <t>477b3d4c-5ea4-4e54-994b-92cbe3756d13</t>
  </si>
  <si>
    <t>7b3ad659-a383-4c02-8c87-85b3d52f859c</t>
  </si>
  <si>
    <t>ea768039-2289-4b30-87a7-dcc4e0abddca</t>
  </si>
  <si>
    <t>e1f6f31d-1d97-4045-9392-be0e42dd3ef0</t>
  </si>
  <si>
    <t>9fcd5b35-f770-4fa0-9aaf-b56c9b734380</t>
  </si>
  <si>
    <t>c8ea2b1c-7292-4251-8d28-f274c513421d</t>
  </si>
  <si>
    <t>7e09e164-9198-4707-9738-44a04cc51b7c</t>
  </si>
  <si>
    <t>Carlo Valentin</t>
  </si>
  <si>
    <t>carloav@canva.com</t>
  </si>
  <si>
    <t>f487f52f-155f-42be-8a5c-fbddc643e8af</t>
  </si>
  <si>
    <t>4ad3e36f-5f83-4d23-8e5e-234abb6de6ab</t>
  </si>
  <si>
    <t>Quick Huddle</t>
  </si>
  <si>
    <t>9fffb524-bf3c-46a7-af9a-d1f62af79b5d</t>
  </si>
  <si>
    <t>d7073aaa-1c45-4788-8d00-90b2b21d4992</t>
  </si>
  <si>
    <t>577f74e8-10d1-407f-9e8a-f0daa496fa9c</t>
  </si>
  <si>
    <t>6dcc8f11-936c-4e42-83b3-184efd945512</t>
  </si>
  <si>
    <t>fee68d35-4e2f-431b-ad95-dbff990457cd</t>
  </si>
  <si>
    <t>5083a7c6-4f2b-4e10-95c9-53c97608fe71</t>
  </si>
  <si>
    <t>c4cb477f-e702-4031-b0d9-f2a3b4520cd0</t>
  </si>
  <si>
    <t>b3a19f64-ac48-4455-b59d-a2606c896d5f</t>
  </si>
  <si>
    <t>e9c2c9ae-3204-49a1-a286-c608c04b9a34</t>
  </si>
  <si>
    <t>cdae7a12-1908-42fa-8c5b-bfad94227216</t>
  </si>
  <si>
    <t>d7eed748-2c9b-479f-8248-9210d3b8471d</t>
  </si>
  <si>
    <t>e23e58ab-2e51-4c11-ae0d-d0e4788564df</t>
  </si>
  <si>
    <t>844696f7-ee29-4e16-a93b-cc436d25f3cc</t>
  </si>
  <si>
    <t>2a051aaf-2254-46ca-86ab-7870a3939ace</t>
  </si>
  <si>
    <t>728164e8-50dd-4854-9bb0-d90a433ca158</t>
  </si>
  <si>
    <t>Check in with Carlo</t>
  </si>
  <si>
    <t>7fc176c3-9dbc-4cda-91f9-619562410b4b</t>
  </si>
  <si>
    <t>08e80e21-5eab-4b4f-bd2a-c3d833caa4fc</t>
  </si>
  <si>
    <t>Cholo Ligtas</t>
  </si>
  <si>
    <t>chlgts@canva.com</t>
  </si>
  <si>
    <t>7c3f898c-04ea-4200-8492-6f9d1f57369b</t>
  </si>
  <si>
    <t>691d17a9-cbe2-48e3-8849-99253cae766b</t>
  </si>
  <si>
    <t>171a37ea-f65b-41e7-8172-a55b01fef519</t>
  </si>
  <si>
    <t>829618c9-c14b-4fc3-89c0-4009ad2b3f39</t>
  </si>
  <si>
    <t>dbd7abb9-9923-436d-abd0-51db70758b65</t>
  </si>
  <si>
    <t>91fce2a2-574a-43fa-b718-bd8f45119be4</t>
  </si>
  <si>
    <t>57f5f83f-4f10-4334-a2b3-55e44567fded</t>
  </si>
  <si>
    <t>d31916ee-d445-4c00-b4df-a9374f914ab8</t>
  </si>
  <si>
    <t>1613561c-f0fd-4cd3-8664-ac44b9792c78</t>
  </si>
  <si>
    <t>599af566-4ed2-4fd2-ad27-1c8fbbd6f4d4</t>
  </si>
  <si>
    <t>b482180b-4846-4ed5-9bda-fdb630d55328</t>
  </si>
  <si>
    <t>2f117b14-9362-4cee-9638-505336fb7609</t>
  </si>
  <si>
    <t>5cc111f5-08c4-4e8b-bfaa-56f8a1041922</t>
  </si>
  <si>
    <t>2df33d46-c292-4504-9fd8-26fe216bc543</t>
  </si>
  <si>
    <t>86dc1488-2902-4e31-9007-50358b6fdec1</t>
  </si>
  <si>
    <t>74974b16-b685-4d0f-a45f-0449643561cc</t>
  </si>
  <si>
    <t>1ed88874-75c4-41ea-81f1-f148020a480c</t>
  </si>
  <si>
    <t>cef95f42-0c4e-40fc-b9b1-1c5b4bbd46a3</t>
  </si>
  <si>
    <t>cdf20d10-38f7-43d2-806c-7eaef0bc14df</t>
  </si>
  <si>
    <t>d78447b4-23e1-4954-b017-14923156fc5c</t>
  </si>
  <si>
    <t>89ce81da-307b-48bf-8044-8df2f73c7731</t>
  </si>
  <si>
    <t>712db321-712f-48cc-8553-d9e3c2785ae3</t>
  </si>
  <si>
    <t>4ec49b91-b5dd-426c-9ff1-e8f4bc4e571b</t>
  </si>
  <si>
    <t>054cdf95-e55c-46ce-8104-68165ac13b44</t>
  </si>
  <si>
    <t>acec0ac6-260a-4e5a-945a-82469743397e</t>
  </si>
  <si>
    <t>b11bac1d-23a5-4ceb-ad60-b07b66bc8425</t>
  </si>
  <si>
    <t>a0466a0a-abdd-4919-8615-2e79ce1fac03</t>
  </si>
  <si>
    <t>a34013f7-d2dd-420b-a0dc-03d5a0562395</t>
  </si>
  <si>
    <t>2a53bf27-8a05-4eab-a7f2-3bbabee57f99</t>
  </si>
  <si>
    <t>cb5282a4-3c16-4752-9308-bb12fdb2e9a6</t>
  </si>
  <si>
    <t>6a603d05-9fbf-4562-9ea4-7b1896507d32</t>
  </si>
  <si>
    <t>fa137762-c1a8-44ab-bc89-e12b6baa143c</t>
  </si>
  <si>
    <t>53a320e3-3c47-465c-8db8-6deaac07e69f</t>
  </si>
  <si>
    <t>4968182d-b262-439d-bc0d-d71ec320f1a2</t>
  </si>
  <si>
    <t>24084c49-d7bd-4f9d-a0a7-98d8a83d040b</t>
  </si>
  <si>
    <t>725213c8-63bc-41f4-927e-adac2805ced0</t>
  </si>
  <si>
    <t>20978756-e26d-49bb-958c-d6db2e90963c</t>
  </si>
  <si>
    <t>be326a30-478d-419b-8b2a-3e99e706fef5</t>
  </si>
  <si>
    <t>39486b8b-5809-4bd1-b960-7b991ea19667</t>
  </si>
  <si>
    <t>bba664e4-6342-4b42-bb6f-a978a36337be</t>
  </si>
  <si>
    <t>790e554d-acca-4e63-9dd0-ec7e5ab98c70</t>
  </si>
  <si>
    <t>9119b2ca-64ba-47fd-a743-c34e852ecfc2</t>
  </si>
  <si>
    <t>89ea9165-e887-4fa4-8d0d-0502a53fb45f</t>
  </si>
  <si>
    <t>a0b01012-81d7-4666-aec2-1c48b7604257</t>
  </si>
  <si>
    <t>Async</t>
  </si>
  <si>
    <t>00425a72-1e7e-48b6-972e-5b41ac4c7855</t>
  </si>
  <si>
    <t>d906eee7-5d19-4c23-bf37-ea3ef3e2b046</t>
  </si>
  <si>
    <t>5e0aad6d-c30b-4c44-a22d-9467ae9aec96</t>
  </si>
  <si>
    <t>c7738dee-cee8-46ad-93d0-4234c8992be6</t>
  </si>
  <si>
    <t>6c791fb9-2da2-434d-aa3b-20e83447ee42</t>
  </si>
  <si>
    <t>fef4eb08-26c6-4338-b0cf-e85aa74ed1c8</t>
  </si>
  <si>
    <t>374c7898-6448-4ac8-8064-66a13117ac27</t>
  </si>
  <si>
    <t>SEE Sync</t>
  </si>
  <si>
    <t>5f105665-b126-488a-a584-1075c4e73478</t>
  </si>
  <si>
    <t>6f835b71-5680-4791-8bd3-fcbf08f5fb48</t>
  </si>
  <si>
    <t>5c292c3f-3b7d-4c30-bf29-e89cbc9e0143</t>
  </si>
  <si>
    <t>ac09af1b-6ec6-429f-ac68-fd29ddafe4b7</t>
  </si>
  <si>
    <t>37efa85c-1fe0-4dc9-86fb-3fb208294bd9</t>
  </si>
  <si>
    <t>5ee05b7d-1e4a-495b-b690-6b847c7046dd</t>
  </si>
  <si>
    <t>1348e1b4-da11-46e1-9c84-5a7095538743</t>
  </si>
  <si>
    <t>adc14770-23af-4d9e-965d-0e955af819e0</t>
  </si>
  <si>
    <t>Daphne Arboleda</t>
  </si>
  <si>
    <t>daphne@canva.com</t>
  </si>
  <si>
    <t>f251e2d8-c1dc-4c4b-8340-ed51ecc53974</t>
  </si>
  <si>
    <t>af28a5e2-c936-4254-b8c4-0f81d7202b78</t>
  </si>
  <si>
    <t>1cde2699-4a80-4b47-9880-6c58c822a5f0</t>
  </si>
  <si>
    <t>4b73961b-a193-4b81-beb6-c6601e3cca64</t>
  </si>
  <si>
    <t>b36f50b4-81d8-42a9-9504-ae070900275f</t>
  </si>
  <si>
    <t>258ed5af-249a-4e88-8208-4f2a0bc37723</t>
  </si>
  <si>
    <t>7b99c17c-aea7-444d-b528-53d6018a8f80</t>
  </si>
  <si>
    <t>991785cd-2ca0-4ff1-a003-f363f8774e9d</t>
  </si>
  <si>
    <t>e2219bac-2aa4-4515-9053-1d0edc2b89c6</t>
  </si>
  <si>
    <t>31a9ae8d-f0b9-4dec-b6fd-d521edeb0d29</t>
  </si>
  <si>
    <t>0e6da818-cf7a-4e33-ab75-60ef90a19389</t>
  </si>
  <si>
    <t>c34957c5-c783-468b-b8b0-b7abda5ada7b</t>
  </si>
  <si>
    <t>bf934f4e-3188-4206-8639-13d16ffd7d75</t>
  </si>
  <si>
    <t>9919d038-bc12-4cab-bdf8-778baa1d1899</t>
  </si>
  <si>
    <t>7d3214c6-13fb-4f28-b049-99ad398431c0</t>
  </si>
  <si>
    <t>a96fa404-7806-448c-80bd-fd314d48a3ff</t>
  </si>
  <si>
    <t>d5b063cd-e39c-40c3-be38-bda5157e7eba</t>
  </si>
  <si>
    <t>d15efec5-82ab-4a49-82a5-b8e301c6da40</t>
  </si>
  <si>
    <t>070701d0-c5b6-4277-81f2-ee9444fe9ae8</t>
  </si>
  <si>
    <t>ae4ace4e-6cd8-4a8d-bb18-10768406ce5b</t>
  </si>
  <si>
    <t>Ezekiel Marlin Lacson</t>
  </si>
  <si>
    <t>eziecl@canva.com</t>
  </si>
  <si>
    <t>b6a1aa5b-f682-4eb4-8571-a912e4832df2</t>
  </si>
  <si>
    <t>baa9dea7-3a1f-4181-aed1-7dd9693c14ec</t>
  </si>
  <si>
    <t>7e3bd2fd-401c-490f-8cb6-cd78a5375896</t>
  </si>
  <si>
    <t>6bd53a3b-5a5d-4013-9e68-f636e541deb1</t>
  </si>
  <si>
    <t>15965028-1299-4d2e-a88f-99d09f29b4ae</t>
  </si>
  <si>
    <t>99248ce7-6e3d-405f-82a8-63f9c140c300</t>
  </si>
  <si>
    <t>1668b538-2729-4884-8c79-7c53fe40f575</t>
  </si>
  <si>
    <t>a0adc1a9-167f-4a13-be49-4d74f28171d7</t>
  </si>
  <si>
    <t>187bba47-5766-40e7-a40c-d75cfd70dc9e</t>
  </si>
  <si>
    <t>fdbe70b2-ac81-43a0-aae1-d6abee3770fd</t>
  </si>
  <si>
    <t>430b0b69-1d6d-4a92-b0fa-1389c4e96da9</t>
  </si>
  <si>
    <t>e65c6c56-f449-4571-9569-61c555d36778</t>
  </si>
  <si>
    <t>44fe87e3-ee7b-4928-8264-db6d58221bd1</t>
  </si>
  <si>
    <t>3503791b-7f20-48f2-9e89-2da85530ca6b</t>
  </si>
  <si>
    <t>d435a5f7-8b49-4863-9dbb-7483008014a3</t>
  </si>
  <si>
    <t>39c315d0-05da-4e9b-98e0-b2cbb2ebdbe2</t>
  </si>
  <si>
    <t>50af8ffb-22ea-40dd-9f20-bfe20166e23d</t>
  </si>
  <si>
    <t>e8fd3378-84e5-46e9-9dec-e55e11b8a94d</t>
  </si>
  <si>
    <t>10c46fa3-c076-41b6-9aad-4ec7c4a07294</t>
  </si>
  <si>
    <t>Galvin San Andres</t>
  </si>
  <si>
    <t>gsanandres@canva.com</t>
  </si>
  <si>
    <t>c4309057-fff6-46c8-8f70-7fbea18ec8a5</t>
  </si>
  <si>
    <t>d36f7729-7bde-4d18-a206-a3305afb117e</t>
  </si>
  <si>
    <t>92b5b51b-fd40-40e0-ba61-1587b3b98cf7</t>
  </si>
  <si>
    <t>ff0bdccf-c60f-4bc8-b886-b8abd542670c</t>
  </si>
  <si>
    <t>1df8a539-28e5-4123-bfbc-9cc148f82628</t>
  </si>
  <si>
    <t>f93a49fd-54ce-43e0-a6fc-0869a0475a25</t>
  </si>
  <si>
    <t>653ed851-7f9e-47e7-9ba3-8a7c2263dc5e</t>
  </si>
  <si>
    <t>9ca6f521-4a5f-4949-8bd3-5b9506462957</t>
  </si>
  <si>
    <t>622f9f36-e2d3-4a83-995e-4d315fd0872b</t>
  </si>
  <si>
    <t>dc6a7074-66ae-4edb-953e-75558aef7269</t>
  </si>
  <si>
    <t>cde5f9a3-9ff8-481c-b589-fe88a6296640</t>
  </si>
  <si>
    <t>1aaae6ee-5282-4c9c-a5ae-a5eb97aeb274</t>
  </si>
  <si>
    <t>75c7fffc-f436-45e4-aca9-9d80a22c3dc4</t>
  </si>
  <si>
    <t>d72958ea-de2b-4156-84e6-96733c01faae</t>
  </si>
  <si>
    <t>47487aeb-f543-4a75-b3ac-1167d93e3045</t>
  </si>
  <si>
    <t>66ad7da6-24d2-4a26-b63d-42dff1be4fc1</t>
  </si>
  <si>
    <t>d4e00f90-60e0-4b64-9b64-16aa8220df66</t>
  </si>
  <si>
    <t>384f1967-9fd5-427d-b622-b3ff71e5f1e3</t>
  </si>
  <si>
    <t>c7f3aca9-61db-42ee-adfe-2f8561b097a0</t>
  </si>
  <si>
    <t>cf24c93e-99fd-485a-b5a8-0edc04749488</t>
  </si>
  <si>
    <t>d8f982e2-651a-4958-a7f2-4a714dd9403a</t>
  </si>
  <si>
    <t>d8cafb49-0513-4066-8298-8198c1c303c8</t>
  </si>
  <si>
    <t>Laila Villamor</t>
  </si>
  <si>
    <t>lailav@canva.com</t>
  </si>
  <si>
    <t>03fb05aa-a672-4f80-9c35-b20aca7065f1</t>
  </si>
  <si>
    <t>bc6a6022-a0e3-433f-90a1-aa562c295b3f</t>
  </si>
  <si>
    <t>0872fa4d-3768-4f14-904b-c3f6daffce59</t>
  </si>
  <si>
    <t>e084ae28-488a-44ac-a774-eed77a5bb678</t>
  </si>
  <si>
    <t>7bc18cf2-1cd1-4ab7-b068-0c1ea1450957</t>
  </si>
  <si>
    <t>9d9df4a3-bc14-48f0-bdcc-067fac21c326</t>
  </si>
  <si>
    <t>8716beb5-29b3-4ece-b5fa-12265ebb97b4</t>
  </si>
  <si>
    <t>b6e6b85a-b35c-4798-9bc7-c08650ac2b5c</t>
  </si>
  <si>
    <t>9c0a3aed-1f82-4183-b8bf-a9d76e24ae20</t>
  </si>
  <si>
    <t>ac587350-a33a-4b45-970f-4c410dba9df3</t>
  </si>
  <si>
    <t>419a1c76-81cb-4cb3-a1d8-197ec367a056</t>
  </si>
  <si>
    <t>b7121676-3c35-4d47-8555-6f8cccffb87b</t>
  </si>
  <si>
    <t>1eb4e6e6-3b10-4bc4-9817-ade730375969</t>
  </si>
  <si>
    <t>82240833-c319-4554-ba67-41526fbdd24c</t>
  </si>
  <si>
    <t>8aca18f3-61aa-42c1-912c-c75c401eb10a</t>
  </si>
  <si>
    <t>4cbd84e6-a352-4c3c-9078-31e5afff9dab</t>
  </si>
  <si>
    <t>aeb21967-ff70-4ce1-8dde-a842393c3964</t>
  </si>
  <si>
    <t>953e41da-e942-424f-8ec8-7ee713bcc665</t>
  </si>
  <si>
    <t>33d4926b-b9e3-464d-a617-b42c679a1682</t>
  </si>
  <si>
    <t>10ca1dfd-ca3c-48ee-a701-e9bf2ad7d4d1</t>
  </si>
  <si>
    <t>81fdfe01-ac30-45ee-87bb-f41a3092262b</t>
  </si>
  <si>
    <t>fb420fa9-fd98-4486-aea9-b6a95f5e882e</t>
  </si>
  <si>
    <t>dab3c5b6-fd70-44a0-87ac-e40966040dec</t>
  </si>
  <si>
    <t>c2819860-617a-4f89-882e-df3f63793120</t>
  </si>
  <si>
    <t>7f014b59-56e9-4fe5-aa5d-5839f3ef57fe</t>
  </si>
  <si>
    <t>4e88c0e5-5e75-486a-b92f-25ad12869585</t>
  </si>
  <si>
    <t>2440a395-2ee9-49c8-95dd-ec980955ac7b</t>
  </si>
  <si>
    <t>Lean Cruda</t>
  </si>
  <si>
    <t>le@canva.com</t>
  </si>
  <si>
    <t>18213c0d-34da-4194-9559-f79090af8402</t>
  </si>
  <si>
    <t>69541daa-800c-4d0e-8fcf-b3156ef2d7f3</t>
  </si>
  <si>
    <t>6b8367db-acdf-48b1-a9a3-99607293008d</t>
  </si>
  <si>
    <t>413a81b1-8c48-4600-a2b8-f1b2a53bc01f</t>
  </si>
  <si>
    <t>87f704c1-cdb4-4181-bf62-b5f26240b9f9</t>
  </si>
  <si>
    <t>116dd6fd-238e-445b-86f8-dfd899c86271</t>
  </si>
  <si>
    <t>c48a8d37-200f-48b4-b3fa-ace921dbdf09</t>
  </si>
  <si>
    <t>a258a233-1772-40ca-8b12-b454bca78689</t>
  </si>
  <si>
    <t>8dae8823-1f45-470b-a3fc-0cb92326d055</t>
  </si>
  <si>
    <t>9c8a5842-56b7-46ab-9c0b-529d3e0f00e9</t>
  </si>
  <si>
    <t>7a6d8931-ff0f-497e-823f-61f25df4a8af</t>
  </si>
  <si>
    <t>b55e5ae9-041a-4288-8530-0a3c8d0d0af9</t>
  </si>
  <si>
    <t>60d1722e-10e0-4dbc-a364-2667d3e0afc4</t>
  </si>
  <si>
    <t>9cdbedd2-a1ee-401a-a7e6-31a1c0bb3b20</t>
  </si>
  <si>
    <t>393fff57-d5e4-4fe1-9004-4ff4634bc757</t>
  </si>
  <si>
    <t>e61ac110-7508-44d8-968f-df8d4214d8c1</t>
  </si>
  <si>
    <t>08d8ede6-2bbb-4566-acde-80a13426b680</t>
  </si>
  <si>
    <t>bf2746c9-a43e-43d6-9b96-40f1e23f32ea</t>
  </si>
  <si>
    <t>0cc177f4-0a7f-4ad1-b119-1f498b615968</t>
  </si>
  <si>
    <t>273451ea-97c8-407a-b363-67a767d294b8</t>
  </si>
  <si>
    <t>27bbaf2c-6971-4b55-91a0-193260eb00dd</t>
  </si>
  <si>
    <t>5cab9e1e-ba2e-492b-812f-e3e97cb7c359</t>
  </si>
  <si>
    <t>9c22cc65-0aff-41b8-89da-9691ead97a5b</t>
  </si>
  <si>
    <t>92b21c87-a3e3-4141-8d8b-270a2ea76ced</t>
  </si>
  <si>
    <t>b370b790-071f-4ead-95ed-378bd8bda746</t>
  </si>
  <si>
    <t>0f8afb3b-3e52-4afe-a6e9-51b367b1ea78</t>
  </si>
  <si>
    <t>61229d15-aefa-4d5d-b217-9dc02b5dbfd5</t>
  </si>
  <si>
    <t>f6c768a0-1d41-47c2-9790-1b6d6a37fc96</t>
  </si>
  <si>
    <t>e04a9b10-f15c-4d57-96db-3e6366f76864</t>
  </si>
  <si>
    <t>044ba7bd-0732-4b6d-91b1-f1b5fb9bbd4a</t>
  </si>
  <si>
    <t>993f9b93-5991-4256-a7cf-1668fe7d33df</t>
  </si>
  <si>
    <t>426cc1e7-812b-4fa0-951e-ddb045b0bab3</t>
  </si>
  <si>
    <t>99fb1bb8-f77f-4e1b-a6b0-6c10be1afbd3</t>
  </si>
  <si>
    <t>25b6559c-8c74-402c-a5ae-268a52f6f6b4</t>
  </si>
  <si>
    <t>5f39b8ef-8195-4b1d-b794-6317a6e09bde</t>
  </si>
  <si>
    <t>38755f59-82dd-437e-ab71-7dd5ada57b9f</t>
  </si>
  <si>
    <t>72af0875-6422-4072-8d18-d187d41c5018</t>
  </si>
  <si>
    <t>d39f5cb1-1690-4c7b-8ef8-93455de38570</t>
  </si>
  <si>
    <t>0e2e155f-300f-441e-bdc8-cf7fbc4d0f5a</t>
  </si>
  <si>
    <t>c94434c0-a12a-4ce9-8d53-412818d97958</t>
  </si>
  <si>
    <t>38fa6235-7b61-43b3-afa3-9b9968669c2a</t>
  </si>
  <si>
    <t>9a20dad7-c6f0-4bd6-953f-4019b88d274b</t>
  </si>
  <si>
    <t>5acb6614-06e8-4f80-8382-faa04f9b80ed</t>
  </si>
  <si>
    <t>ac409d1d-146f-4f2e-97cf-ac668184be31</t>
  </si>
  <si>
    <t>bd7a1993-3df9-4c1f-80c0-2ca33eadc922</t>
  </si>
  <si>
    <t>dc289b17-502b-473a-8715-4122de09760a</t>
  </si>
  <si>
    <t>ab248929-5725-4dbd-8a28-270e8ae0501d</t>
  </si>
  <si>
    <t>d200db49-f68f-468c-8a3e-5fca0c27ff23</t>
  </si>
  <si>
    <t>e886f7e0-21b1-4209-82d9-489da10006b6</t>
  </si>
  <si>
    <t>5b68e5e2-c7a7-45ee-a042-0e7371e735ba</t>
  </si>
  <si>
    <t>144b192f-cdc5-41c2-8d0f-858399867477</t>
  </si>
  <si>
    <t>29c708bb-ebc1-45e6-ae54-5dec71b05b83</t>
  </si>
  <si>
    <t>a93e28cc-c3c8-4c64-ae2c-3a2677b0ad4c</t>
  </si>
  <si>
    <t>95a7fc01-b808-4bb7-9ffc-9bd8cc6880a4</t>
  </si>
  <si>
    <t>988c3ac4-89d6-4858-8026-6c406b2cfa45</t>
  </si>
  <si>
    <t>1005a258-b342-4281-9f77-65b939cdd630</t>
  </si>
  <si>
    <t>82410876-63f2-446b-9941-ac4b4f5d3df8</t>
  </si>
  <si>
    <t>d7537d97-f513-4ddd-9b94-86a3d3a3cb70</t>
  </si>
  <si>
    <t>4408c693-85de-4716-ba67-dfbeccff869e</t>
  </si>
  <si>
    <t>a23b0696-428f-4f71-a27f-d3dca79b6171</t>
  </si>
  <si>
    <t>4552c128-9d9c-4a7c-a829-0783771692bb</t>
  </si>
  <si>
    <t>9e0280c1-5b61-482d-b792-f55b9ca713d7</t>
  </si>
  <si>
    <t>373cf0fa-9cc0-4f50-9762-46e6c1065812</t>
  </si>
  <si>
    <t>e33e46e4-d59d-4c5b-9834-288e99d79b63</t>
  </si>
  <si>
    <t>Ronyl Masilang</t>
  </si>
  <si>
    <t>ronyl@canva.com</t>
  </si>
  <si>
    <t>5203a551-8e20-47b9-a799-49dc7cab8e1d</t>
  </si>
  <si>
    <t>ee1fec7f-b456-4ee8-9c4e-aab3a5984f84</t>
  </si>
  <si>
    <t>48084031-1eae-4cac-a5e2-2f73036f6cb7</t>
  </si>
  <si>
    <t>05232aa9-8459-408f-9f78-547cfa15582f</t>
  </si>
  <si>
    <t>ce2f03ea-7cc4-4b43-afc4-acc173f4e0a7</t>
  </si>
  <si>
    <t>830a5b70-0aee-4ee4-9b6a-8329fe1cadb9</t>
  </si>
  <si>
    <t>88354d62-4aaa-4e89-b715-5c582f9ba574</t>
  </si>
  <si>
    <t>de1f5ac6-4b31-409f-9a1a-dee78a451b5f</t>
  </si>
  <si>
    <t>5119b0f3-24e7-44ef-ad28-33490ae321da</t>
  </si>
  <si>
    <t>04e8a730-ee7e-407a-9129-f7dafc045fc5</t>
  </si>
  <si>
    <t>25352d12-18db-4d21-be25-afb9c15fda28</t>
  </si>
  <si>
    <t>d7c76198-4d9e-4f3d-96b4-2fba9d9d454b</t>
  </si>
  <si>
    <t>9174320a-02fa-43c1-aa1f-fff19b2bd768</t>
  </si>
  <si>
    <t>a1d607e0-b995-4381-a05f-bccdf52ca76a</t>
  </si>
  <si>
    <t>3608f4c6-714a-4b27-9b3c-0218e28081ba</t>
  </si>
  <si>
    <t>13c786af-97ff-4b56-a16c-1afc50a7a2a2</t>
  </si>
  <si>
    <t>f0df48b9-9263-4ba4-b7dd-6693dc4b3d59</t>
  </si>
  <si>
    <t>ccfaa218-d681-41d1-90a1-4e2fe846bf4f</t>
  </si>
  <si>
    <t>d179e963-4ad5-4895-a7b4-ad09418a7ffd</t>
  </si>
  <si>
    <t>3a2cfec7-de51-40de-927b-10b3767f534c</t>
  </si>
  <si>
    <t>2ed11f21-6d43-4d86-82b5-4c594c2b7286</t>
  </si>
  <si>
    <t>273af0e8-ae9e-4171-b68c-6f2448bbd29f</t>
  </si>
  <si>
    <t>Danielle Marasigan</t>
  </si>
  <si>
    <t>daniellegrace@canva.com</t>
  </si>
  <si>
    <t>27d8469e-0a94-4946-aa05-903aaaca2b38</t>
  </si>
  <si>
    <t>1174c4ea-7b92-4e33-a72c-46e3918f64ba</t>
  </si>
  <si>
    <t>aaaf2744-d70e-431a-8b23-c163129c15a6</t>
  </si>
  <si>
    <t>e41e73dc-a336-451c-85bd-b7e407b89f55</t>
  </si>
  <si>
    <t>ba593b3a-7f0e-4894-8b1c-2d0219e116f8</t>
  </si>
  <si>
    <t>5d5b76aa-9914-4d86-8048-382430d7402b</t>
  </si>
  <si>
    <t>b3c933f6-0978-4d5c-af52-e1b59c9e5566</t>
  </si>
  <si>
    <t>18d463cb-6adf-433c-bf3e-98ad593b2a7f</t>
  </si>
  <si>
    <t>c837c68d-2fbf-4f80-9a3d-0df245bcab33</t>
  </si>
  <si>
    <t>fbfcdc97-b4e4-4650-aeab-15f8084dcc4b</t>
  </si>
  <si>
    <t>f3f60a8a-57a4-417c-934e-ade9a2b7bdc3</t>
  </si>
  <si>
    <t>398c3d36-fb12-49cd-8e31-228085183629</t>
  </si>
  <si>
    <t>57796e74-9b6f-4f7f-8cbf-73a4c7081392</t>
  </si>
  <si>
    <t>Anniversary celebration</t>
  </si>
  <si>
    <t>56c34a77-5ca5-40e6-8a14-74fe99c12413</t>
  </si>
  <si>
    <t>d5c22011-fc36-41d6-a1b3-f93c6b1185fd</t>
  </si>
  <si>
    <t>1ed3e17c-aeeb-451e-a5c8-3863e6889530</t>
  </si>
  <si>
    <t>cdb8bcf8-c3bb-415c-b8fb-9aae83b17218</t>
  </si>
  <si>
    <t>cc60a687-0ecc-4674-9e49-5af8f020aadb</t>
  </si>
  <si>
    <t>12adfd2c-2900-4dff-822b-cfe04bab52c7</t>
  </si>
  <si>
    <t>5e12de0c-16c8-4df3-82a9-8422c7b9934e</t>
  </si>
  <si>
    <t>f4d37a68-8b8f-439d-b038-a22f8f0a8161</t>
  </si>
  <si>
    <t>e25ae433-dcd5-48c2-822d-bf18dfe81bfb</t>
  </si>
  <si>
    <t>d497a055-f2f2-4063-8890-6c9684355e4c</t>
  </si>
  <si>
    <t>Dannah Kate Dizon</t>
  </si>
  <si>
    <t>dannah@canva.com</t>
  </si>
  <si>
    <t>c8d0ff79-5fbd-4a7d-8218-0045fe343ca3</t>
  </si>
  <si>
    <t>200a500b-005c-46db-8ebf-73b29b7c5ef0</t>
  </si>
  <si>
    <t>443eb3ee-7657-4b9c-aa4c-6582bb104ea8</t>
  </si>
  <si>
    <t>3b8fe752-d7db-4676-9133-9174635a9c47</t>
  </si>
  <si>
    <t>debf42ae-63f7-4cb6-91bc-cfda5d309c0f</t>
  </si>
  <si>
    <t>5f3b4844-6cd2-4cb0-80c5-b620729a9d9a</t>
  </si>
  <si>
    <t>c4640139-9267-4f8c-981a-25dd472dcb90</t>
  </si>
  <si>
    <t>b8e6d46e-8787-4650-ba8c-ffda79bb5a59</t>
  </si>
  <si>
    <t>7ba33a71-e958-450c-82c9-5a2993dc544e</t>
  </si>
  <si>
    <t>40b8e5b2-a4f3-4e81-b4ba-9283b6ec6a32</t>
  </si>
  <si>
    <t>37552c09-27a5-4dac-b001-c686d6db06be</t>
  </si>
  <si>
    <t>ac7337cf-590d-4e35-82c0-7d3a56ef1e02</t>
  </si>
  <si>
    <t>ca98787c-6256-43f1-a413-da330c94d604</t>
  </si>
  <si>
    <t>9f11452a-c18e-413d-a64c-9df2f77d3b7c</t>
  </si>
  <si>
    <t>79310d67-1e0c-427c-8516-e61060d06a7e</t>
  </si>
  <si>
    <t>79ccdfb7-17dd-40ab-a37c-8e33a0919020</t>
  </si>
  <si>
    <t>d77a0ae9-a2a7-4adc-94ee-1ba98a22396e</t>
  </si>
  <si>
    <t>c474ce4b-5c0a-4f1e-bf8c-c1eb34db2f65</t>
  </si>
  <si>
    <t>c4296942-0752-4ab1-a016-50f83ec4677d</t>
  </si>
  <si>
    <t>Enrique Paolo Catuncan</t>
  </si>
  <si>
    <t>enrique@canva.com</t>
  </si>
  <si>
    <t>1e260bf8-ccc9-413c-bc95-98f581c1e6e0</t>
  </si>
  <si>
    <t>80e33bec-7c44-4028-b449-ca500346588c</t>
  </si>
  <si>
    <t>cd5e71e3-2ff8-4f9e-84e3-008248f85843</t>
  </si>
  <si>
    <t>ed0eb78d-1d20-4625-b04b-d80a226b97b1</t>
  </si>
  <si>
    <t>1238f90a-2cb3-4fa6-8fad-50524f205696</t>
  </si>
  <si>
    <t>303572ea-52b1-41a9-bdc7-3aafe67be218</t>
  </si>
  <si>
    <t>5c5783b4-0519-4ee9-aaec-e6573c397849</t>
  </si>
  <si>
    <t>0e870e56-6390-405e-b49c-0f6df02d65ae</t>
  </si>
  <si>
    <t>a25f4247-970d-4a8b-a53f-bd2d2d3aea04</t>
  </si>
  <si>
    <t>77be34a8-0501-4920-9a82-8740ca52fc8a</t>
  </si>
  <si>
    <t>c010c334-ce9a-4ce2-b45a-3a123ce58378</t>
  </si>
  <si>
    <t>fe235b5f-79dd-411f-ab83-585503013f4a</t>
  </si>
  <si>
    <t>61c9ce0c-c8db-453b-9e7e-6023e920e089</t>
  </si>
  <si>
    <t>b32bceb2-5e3d-47f0-8d82-98ce2458ba40</t>
  </si>
  <si>
    <t>b439657b-7b8d-4edd-96f4-2886f08ffeb7</t>
  </si>
  <si>
    <t>39048613-db45-454e-9cce-f60401197e95</t>
  </si>
  <si>
    <t>1ce9832c-01ee-4a8e-a7e5-cf4827bfe0f3</t>
  </si>
  <si>
    <t>071916c2-434a-4c94-be74-8a0732449f0d</t>
  </si>
  <si>
    <t>b9737663-79f8-4cad-a8f9-6db9a37d36bf</t>
  </si>
  <si>
    <t>Glenn Gutierrez</t>
  </si>
  <si>
    <t>glennford@canva.com</t>
  </si>
  <si>
    <t>037c64ef-b04e-4ba9-abfa-69482445c6b5</t>
  </si>
  <si>
    <t>284e6ac8-633a-4247-a2bd-08b8cfb975f5</t>
  </si>
  <si>
    <t>cedf6ed0-7531-4857-ae0c-db9844bdbd2d</t>
  </si>
  <si>
    <t>efb78ac7-9b5a-41ef-91f8-b92dfde3d195</t>
  </si>
  <si>
    <t>36bd72bc-20b3-445c-b583-1b5f091b2f37</t>
  </si>
  <si>
    <t>57aaab6d-83b4-4913-b498-4f6243966ecc</t>
  </si>
  <si>
    <t>ff89afd0-dcfb-468c-8709-e91974697805</t>
  </si>
  <si>
    <t>2a781e32-c5ce-4293-a819-f64a7bfc8fcf</t>
  </si>
  <si>
    <t>b45d9152-03e0-4607-88b5-089358df36d4</t>
  </si>
  <si>
    <t>923b0a08-5a3c-49bb-bc35-58a068695fd2</t>
  </si>
  <si>
    <t>7afbecd3-8870-4282-9524-ea71fac0f844</t>
  </si>
  <si>
    <t>ba40e8b8-defd-47a5-a255-11e120ecd63c</t>
  </si>
  <si>
    <t>ea00dcc8-1be3-4bb3-84b2-c4a02cdf55ce</t>
  </si>
  <si>
    <t>d39d6142-aff8-4a53-a3d5-f4ed0a1c6bce</t>
  </si>
  <si>
    <t>6f93eea3-7752-422a-b6f0-d71a6c3fa21f</t>
  </si>
  <si>
    <t>4cae5e1d-2159-4afc-b9cd-a826e7f3982e</t>
  </si>
  <si>
    <t>Ivy Sabado</t>
  </si>
  <si>
    <t>ivy@canva.com</t>
  </si>
  <si>
    <t>d4499e06-00f0-4fa2-a250-c5b54bf0c558</t>
  </si>
  <si>
    <t>5d472bb6-32e1-4971-936a-aa14713d13a4</t>
  </si>
  <si>
    <t>06c6b100-ca00-4de0-9790-56896b0abda3</t>
  </si>
  <si>
    <t>59906896-f1bd-4021-9d78-7edb5c1aa6b5</t>
  </si>
  <si>
    <t>5f669cfe-9eca-4116-8110-8849102c629c</t>
  </si>
  <si>
    <t>38f90983-c861-4845-aa1a-8ffc2b394acb</t>
  </si>
  <si>
    <t>63a2de0d-e0c4-408d-8222-0096e414bf45</t>
  </si>
  <si>
    <t>afc56c3a-edae-4bb4-9e6d-0dafec4d1c1f</t>
  </si>
  <si>
    <t>7d9ba256-e4ae-4b19-8734-a65369f7a145</t>
  </si>
  <si>
    <t>eba90290-6ae7-4d6b-823e-0581afa3f095</t>
  </si>
  <si>
    <t>6cad6278-dbc2-4c7e-86e4-f46a1a79d58b</t>
  </si>
  <si>
    <t>f30984f1-8e96-4e85-afd5-316e114733a3</t>
  </si>
  <si>
    <t>23cc5eeb-83fa-481a-9746-713426406029</t>
  </si>
  <si>
    <t>08f1e25b-677f-49a4-ba59-cbb29d74d344</t>
  </si>
  <si>
    <t>6210bbe8-325a-4765-bfeb-89e378337cb0</t>
  </si>
  <si>
    <t>ee38ea90-dc34-45fb-b216-b2823a17b3d2</t>
  </si>
  <si>
    <t>9a40effa-7928-4170-96a7-643b7d60779c</t>
  </si>
  <si>
    <t>db16e292-91ec-4094-bbfb-f08c6048498b</t>
  </si>
  <si>
    <t>192e1bfe-2e0c-4cd1-9a8e-e3cd7b6cd86d</t>
  </si>
  <si>
    <t>1d90723c-26fd-47db-94b1-f5ef4f30f700</t>
  </si>
  <si>
    <t>e20cccde-20a2-46dc-97b0-9f376cb71c1f</t>
  </si>
  <si>
    <t>a2ab485e-0f1d-45be-a935-dc42ba5f0abd</t>
  </si>
  <si>
    <t>f5ca3dc5-4d9c-41f3-aa7d-a25c80fc9bd6</t>
  </si>
  <si>
    <t>42ba193b-b96e-46c9-adea-e742b8f1e7dd</t>
  </si>
  <si>
    <t>0eaae867-314d-4f54-adcb-971d0d8fc54f</t>
  </si>
  <si>
    <t>d7fa60f7-5345-4940-b70f-a9ee1e24882e</t>
  </si>
  <si>
    <t>Janis Esmas</t>
  </si>
  <si>
    <t>janis@canva.com</t>
  </si>
  <si>
    <t>b480623e-365f-4fe5-ba6d-775fb7de7b95</t>
  </si>
  <si>
    <t>f07deadb-47b7-4d93-86b6-cc903422ee60</t>
  </si>
  <si>
    <t>d8e6feec-5d98-4a70-8fa7-ad5e6d26f325</t>
  </si>
  <si>
    <t>8075877e-9d95-4824-9620-43cf6cf0a0ae</t>
  </si>
  <si>
    <t>80246575-e533-4b1b-9799-3fcf1e4ce4c3</t>
  </si>
  <si>
    <t>3cbb0e3d-fee7-4468-9698-d14eb87d5dd2</t>
  </si>
  <si>
    <t>fafd739e-1174-4ce9-bdc1-c55692ed1b47</t>
  </si>
  <si>
    <t>ebbef09d-c0e5-45c0-98bd-89efe1890c0d</t>
  </si>
  <si>
    <t>87fe0b58-b65f-4f44-9b47-186d36f3d5a8</t>
  </si>
  <si>
    <t>c6bca532-e2cd-4119-a619-c8f7c1bd7ad4</t>
  </si>
  <si>
    <t>7943577a-03c7-406a-ae58-18f2a8f2d7e9</t>
  </si>
  <si>
    <t>0554f7dd-4a39-483f-97b2-e9b2540afd8e</t>
  </si>
  <si>
    <t>0f59a620-128d-4f6f-bf47-38da63e996ba</t>
  </si>
  <si>
    <t>6978d5b3-9169-4dd5-a4a1-063ecf6a8fbe</t>
  </si>
  <si>
    <t>d191562d-f2ce-4150-bc03-c5583dbc949c</t>
  </si>
  <si>
    <t>d50b210b-01b8-4681-be11-0604b6046af3</t>
  </si>
  <si>
    <t>Joshua Dacanay</t>
  </si>
  <si>
    <t>joshid@canva.com</t>
  </si>
  <si>
    <t>029bc77a-1089-4677-8905-bd71ddb8eb30</t>
  </si>
  <si>
    <t>a3a977be-1278-4a22-9417-95199f53b7ea</t>
  </si>
  <si>
    <t>29a34bc3-f585-40b0-9f73-96981d5b152f</t>
  </si>
  <si>
    <t>abbb188a-0faf-4991-8249-7992116024dc</t>
  </si>
  <si>
    <t>0b6c33fd-d512-4845-995b-3bf73da8f6af</t>
  </si>
  <si>
    <t>1cacfa3f-6c0f-4d60-a5cc-40efc6cebc74</t>
  </si>
  <si>
    <t>94495e9b-8b57-462d-bd3f-40b5cb593be3</t>
  </si>
  <si>
    <t>8a89faca-4ddb-42cd-92a4-93aa79fd59f0</t>
  </si>
  <si>
    <t>a7943350-c2e9-40de-bcd6-fa5edffe247e</t>
  </si>
  <si>
    <t>488f8f01-2cf9-4b4c-9d5c-ee6c55fce976</t>
  </si>
  <si>
    <t>4b191d3e-2f85-4f93-8369-949b3d384436</t>
  </si>
  <si>
    <t>790917c8-a89a-4710-aa32-8bca640806a7</t>
  </si>
  <si>
    <t>bbfb3837-f0c1-4910-a79a-0efeed652f89</t>
  </si>
  <si>
    <t>e4fb232e-35cd-4af9-a854-4a67cd9e6b1f</t>
  </si>
  <si>
    <t>0e1e7fb2-b81f-4a0d-ab62-e70785d3c563</t>
  </si>
  <si>
    <t>2e8679c9-4ef3-4e72-8c84-90e4517a41cb</t>
  </si>
  <si>
    <t>f22d4d43-87c0-4916-9b90-72994c3e97dd</t>
  </si>
  <si>
    <t>3a3c4fa7-e0a6-44e0-a781-3f51434aeead</t>
  </si>
  <si>
    <t>3dfae373-d70b-4e87-8225-713ed4d65847</t>
  </si>
  <si>
    <t>b16f5af1-9235-4ff0-8aa5-a6f416c71b6c</t>
  </si>
  <si>
    <t>1135d838-4518-48e7-a5b8-f1738f44245c</t>
  </si>
  <si>
    <t>Sean Imber</t>
  </si>
  <si>
    <t>simber@canva.com</t>
  </si>
  <si>
    <t>Work: Admin APJ</t>
  </si>
  <si>
    <t>60086bfe-5903-45db-8dbc-9828921099c1</t>
  </si>
  <si>
    <t>b46d1432-8477-418e-a3fc-268047347bda</t>
  </si>
  <si>
    <t>40f66d61-4db7-4a12-b317-ec0c158754ed</t>
  </si>
  <si>
    <t>ceff4143-9279-48cb-b3ad-4014b35d016b</t>
  </si>
  <si>
    <t>099e4165-4993-4a8a-9284-9ddd2f81562b</t>
  </si>
  <si>
    <t>Bi-Annual Security and Privacy Refresher via WorkRamp</t>
  </si>
  <si>
    <t>59b46dac-a87b-4352-ad7e-035f077c9986</t>
  </si>
  <si>
    <t>0dbefd5b-652a-4af8-83eb-c4ee39e79872</t>
  </si>
  <si>
    <t>5b235829-ac2b-43ec-9777-6530a170e721</t>
  </si>
  <si>
    <t>c709c79e-6d0a-49be-9c9f-faf99259885c</t>
  </si>
  <si>
    <t>180024d8-1e0c-4b45-a721-9eb85dd7d9ef</t>
  </si>
  <si>
    <t>9668cf99-07f8-47ba-be83-568667ca08c1</t>
  </si>
  <si>
    <t>5fe68c01-0359-40ab-9a6d-78a5cd050024</t>
  </si>
  <si>
    <t>Vladimir Besana</t>
  </si>
  <si>
    <t>vlad.b@canva.com</t>
  </si>
  <si>
    <t>82bcac1e-94dc-4608-918b-6ffb866b93de</t>
  </si>
  <si>
    <t>960907a7-b6f7-4d47-b9cf-ece80f9c2c39</t>
  </si>
  <si>
    <t>99cc6a5e-99d5-4b6a-b7e7-1bbebdee01eb</t>
  </si>
  <si>
    <t>f5ea1dd2-ea21-488c-9b79-e1db20b3e68b</t>
  </si>
  <si>
    <t>55f9879d-d079-41da-ab86-a596f84dea24</t>
  </si>
  <si>
    <t>4165d2ae-653b-4282-96bb-055abe2a59f9</t>
  </si>
  <si>
    <t>ae31d8fd-c6f5-41ea-af33-a08bad260219</t>
  </si>
  <si>
    <t>841c9a16-91c3-4c8a-9a3b-bda78df5649f</t>
  </si>
  <si>
    <t>00d4148c-f85e-4097-a161-5ca401cc6138</t>
  </si>
  <si>
    <t>92897bfb-8fe1-4f84-a814-9b8b4a21ef4f</t>
  </si>
  <si>
    <t>c2f3f069-7112-43f1-95a9-1a55c8e16a26</t>
  </si>
  <si>
    <t>b0f2f32a-a5f3-4d24-a4dd-6da7c98bf780</t>
  </si>
  <si>
    <t>f2a00a79-a1b2-4bc4-8979-2c8f03630c65</t>
  </si>
  <si>
    <t>4f2870f4-44cd-442e-a50c-58b4bc18f293</t>
  </si>
  <si>
    <t>0a8c7d78-5584-4c6f-b4e5-e39fa8370cda</t>
  </si>
  <si>
    <t>1c531c1f-4f0f-4496-8c55-fa5afe3bbd31</t>
  </si>
  <si>
    <t>5268a928-5f09-4728-8874-045ba7a45273</t>
  </si>
  <si>
    <t>22a03744-0f84-493c-ac1b-3ea95581ac19</t>
  </si>
  <si>
    <t>2fe5ed84-e224-4942-9fb4-cdcbab9bd86c</t>
  </si>
  <si>
    <t>62d026e0-ec52-4cc4-8e99-ce10212c694c</t>
  </si>
  <si>
    <t>3d7b6b7f-ac9e-4978-ae56-ee55f2d52caa</t>
  </si>
  <si>
    <t>31e68e3d-e94f-497d-9195-2b3f730bbc7c</t>
  </si>
  <si>
    <t>c27ebb6d-6d27-4356-b02c-e8bb79cd47fc</t>
  </si>
  <si>
    <t>12e9bb71-1a25-4812-8fe4-253e3368f809</t>
  </si>
  <si>
    <t>869426c4-df7f-4a39-b2f3-8e70e583ed69</t>
  </si>
  <si>
    <t>Yvonne Romasanta</t>
  </si>
  <si>
    <t>yvonne@canva.com</t>
  </si>
  <si>
    <t>3c3ab525-eb0f-49f4-801d-48b80f214adb</t>
  </si>
  <si>
    <t>054de97f-6151-4719-ac10-fe4290999bf9</t>
  </si>
  <si>
    <t>0e8217fe-3874-4372-bf4d-48092cabeda0</t>
  </si>
  <si>
    <t>5b3bbb70-804d-486d-8df1-23dcadc4678a</t>
  </si>
  <si>
    <t>56977a5b-f162-4863-a31c-0b99abc828c3</t>
  </si>
  <si>
    <t>5c7700b7-a380-478c-b76c-a1714f1abf81</t>
  </si>
  <si>
    <t>7499f9b5-b729-4a6d-b7e7-53d02e4efcfd</t>
  </si>
  <si>
    <t>6a9fef7c-10bf-443d-af01-78bb8adf8a4c</t>
  </si>
  <si>
    <t>62e0fea1-4a4a-48ed-abe7-318053ba5eb0</t>
  </si>
  <si>
    <t>77eeb5b5-53c9-4494-b8c5-0bcf9abc0c72</t>
  </si>
  <si>
    <t>e918e049-a6c7-4093-84c8-8b76e574c997</t>
  </si>
  <si>
    <t>6d3c4ef8-5e1b-464d-ad9e-6ca0562d4a06</t>
  </si>
  <si>
    <t>c960933f-fc6c-40ea-9492-898c64607513</t>
  </si>
  <si>
    <t>ec2c791c-f5e4-47d7-a417-00d6d22db704</t>
  </si>
  <si>
    <t>b90178cf-1b3a-40bf-a59d-f8207a52ea63</t>
  </si>
  <si>
    <t>db55ff37-7f3f-4b9c-9c46-1f8ab9c2fc62</t>
  </si>
  <si>
    <t>e516b09b-554e-42fd-9f05-11f461dc6b22</t>
  </si>
  <si>
    <t>7d8802b4-db1e-44e9-b3df-5406d0b5ad2e</t>
  </si>
  <si>
    <t>964d2344-1201-42ac-a392-0c09e52e1a90</t>
  </si>
  <si>
    <t>600dc2d3-6901-4706-bac0-9a49657f7c14</t>
  </si>
  <si>
    <t>4db42108-eeef-48bb-8083-427c8d5a658c</t>
  </si>
  <si>
    <t>Omni Email</t>
  </si>
  <si>
    <t>69d64df0-cb2d-433c-94f1-66b7fb908301</t>
  </si>
  <si>
    <t>3930e901-5913-4230-9427-a2857f95c276</t>
  </si>
  <si>
    <t>805b8800-391e-4f99-a49d-e1319e6a01f8</t>
  </si>
  <si>
    <t>92c47680-e0a3-488b-90ba-acd2d4742477</t>
  </si>
  <si>
    <t>dc81adec-135f-4fa6-b773-503b33879f3c</t>
  </si>
  <si>
    <t>5bb87d87-b1ed-4416-bf16-139d7989b603</t>
  </si>
  <si>
    <t>a08e6c23-8f56-4eb2-a86d-ff398e709601</t>
  </si>
  <si>
    <t>JC Evangelista</t>
  </si>
  <si>
    <t>jc@canva.com</t>
  </si>
  <si>
    <t>967f5054-d858-4d5a-a22e-9bcb99990b71</t>
  </si>
  <si>
    <t>Work: ML Spanish</t>
  </si>
  <si>
    <t>a6cac792-c6ad-445e-9c6e-639d0260bdf5</t>
  </si>
  <si>
    <t>8120028b-7eb7-4a9f-b6d5-2295e04a726d</t>
  </si>
  <si>
    <t>a35b5b0a-6b99-4070-af2d-0af5c1830d79</t>
  </si>
  <si>
    <t>a29642af-eadb-416e-b6a1-db6a842a4dbd</t>
  </si>
  <si>
    <t>509f8b76-c2a5-49ff-b844-8cfa2cc70e5e</t>
  </si>
  <si>
    <t>31d8989f-7764-4cc2-bb24-0f91b3a8a475</t>
  </si>
  <si>
    <t>319179e6-d647-4d66-8cee-eb40f935b8aa</t>
  </si>
  <si>
    <t>560f06a3-44de-4239-a8df-d2bb5f51819b</t>
  </si>
  <si>
    <t>8dd81d92-9864-4ccf-84af-5582ea35fa8f</t>
  </si>
  <si>
    <t>3caa2372-6952-4d3d-8d26-41eec3b07439</t>
  </si>
  <si>
    <t>87755485-a6ac-447d-ac02-ecc359a717e9</t>
  </si>
  <si>
    <t>c573e564-710c-47bb-ac3e-1c5d5a1d616b</t>
  </si>
  <si>
    <t>ee48a8b1-b410-4ba8-9544-6fb41918f32a</t>
  </si>
  <si>
    <t>a8eee7c0-3b4e-4aa7-be72-b43a33689d97</t>
  </si>
  <si>
    <t>36d43fcc-5837-43b6-8621-131a05ddd1b1</t>
  </si>
  <si>
    <t>103210b6-944b-4760-8156-68682bd7a2d5</t>
  </si>
  <si>
    <t>991097d9-7d7f-426e-a5c1-92742993a28f</t>
  </si>
  <si>
    <t>6d06ac8b-8f8e-403b-980e-c4b215f8e7c0</t>
  </si>
  <si>
    <t>34be86f7-cb10-4a2c-872f-34b53e6c219f</t>
  </si>
  <si>
    <t>abc8a16b-a16f-4896-80f5-cab6c30303c1</t>
  </si>
  <si>
    <t>9666a417-96ff-4678-9390-65f85db34cb4</t>
  </si>
  <si>
    <t>757d9757-27bf-49d1-a07c-15a426289b02</t>
  </si>
  <si>
    <t>Joaquin Divino</t>
  </si>
  <si>
    <t>joaqdivino@canva.com</t>
  </si>
  <si>
    <t>0cbd49d2-5ee1-4eec-9199-1d98b6b4bb15</t>
  </si>
  <si>
    <t>0a379807-4e30-4bfe-b9f5-594942deab48</t>
  </si>
  <si>
    <t>58dce30b-75c7-40b4-bc7f-24ca134674e3</t>
  </si>
  <si>
    <t>9625294c-7c9c-4dbb-bb3b-188a4e714c1b</t>
  </si>
  <si>
    <t>eae993ee-0518-47a9-865e-741771d3bbcb</t>
  </si>
  <si>
    <t>7bb1af7c-f1ea-491a-9258-9c46c878e435</t>
  </si>
  <si>
    <t>54b4c0e9-d8bc-470c-8711-86ac4c44200e</t>
  </si>
  <si>
    <t>b021ba9b-3a41-499b-a8cf-bf1ff0d8a21d</t>
  </si>
  <si>
    <t>45344d66-486f-48a4-8022-bee9026a1a97</t>
  </si>
  <si>
    <t>3e720ae9-f6d3-44ad-9e8f-28f957e760b3</t>
  </si>
  <si>
    <t>f6bce915-6522-4b6c-a25e-5277d62317f3</t>
  </si>
  <si>
    <t>1a2634f4-1d57-4b4a-82e7-bf20773c4fdb</t>
  </si>
  <si>
    <t>b73d08e7-aa22-4644-ae31-8f9f8337be04</t>
  </si>
  <si>
    <t>0e2dc933-3c0e-4dec-87c3-c427a86b3b80</t>
  </si>
  <si>
    <t>71889f5c-acfe-4e17-814c-60fd49fb431f</t>
  </si>
  <si>
    <t>d5d62258-73ea-46f0-a999-46fd65495947</t>
  </si>
  <si>
    <t>86c1e9c2-460c-4b23-b406-89e8bee19360</t>
  </si>
  <si>
    <t>9bc3bd4c-1da3-4c4c-8ca7-155d929787c9</t>
  </si>
  <si>
    <t>4baf0387-b49c-4669-9387-ea0bd695272e</t>
  </si>
  <si>
    <t>f331fd03-654a-409a-a6fd-584334c6e0ae</t>
  </si>
  <si>
    <t>c51116f5-04d9-48df-a12a-dbf63eaf9c18</t>
  </si>
  <si>
    <t>Roxanne Joy Capunayan</t>
  </si>
  <si>
    <t>roxanne@canva.com</t>
  </si>
  <si>
    <t>e6ed3f5f-a039-4ad2-97f2-679bd390d2f9</t>
  </si>
  <si>
    <t>67eb6f4e-1b3e-4835-a3a9-b859f8931dcc</t>
  </si>
  <si>
    <t>305fa00a-4818-415b-ba91-82b287ebfda9</t>
  </si>
  <si>
    <t>4c81e631-f83b-4cb6-bdd7-f2c0a929e740</t>
  </si>
  <si>
    <t>95f24664-6685-446f-8f77-aac411e5f35f</t>
  </si>
  <si>
    <t>10718ada-f264-40d9-a854-ebca7a0a4dff</t>
  </si>
  <si>
    <t>5666ef16-0363-4728-9c13-d646d718ea6f</t>
  </si>
  <si>
    <t>e5f18a29-881e-4dd9-9578-6460eb654d5a</t>
  </si>
  <si>
    <t>526f2e92-c285-4d86-9bcc-1ed89fa8d0b5</t>
  </si>
  <si>
    <t>8801520c-3150-4e20-a4f0-6a47ab6f6498</t>
  </si>
  <si>
    <t>ac3732be-1324-4e1d-93f0-8c8fb3ec8693</t>
  </si>
  <si>
    <t>3f5dff85-1b62-4d65-966c-694a7d6c96e9</t>
  </si>
  <si>
    <t>Websites: Modules 1-2 (recording)</t>
  </si>
  <si>
    <t>41fddf5a-2c92-4293-a04f-307499b9cc17</t>
  </si>
  <si>
    <t>83db3d15-2536-4c79-9b55-ba5be2725e6e</t>
  </si>
  <si>
    <t>4fc87879-6cd0-472c-bba2-ade7c21f43bb</t>
  </si>
  <si>
    <t>Websites: Modules 3-4 (recording)</t>
  </si>
  <si>
    <t>8e4241f6-a3da-4277-9cf8-a4aa5366868f</t>
  </si>
  <si>
    <t>cf5568c3-8b34-4127-8b19-64c5f317f7ac</t>
  </si>
  <si>
    <t>OT lunch. Answered tickets instead of taking lunch break</t>
  </si>
  <si>
    <t>d3524a85-fc97-4bc4-8481-de0326732cb5</t>
  </si>
  <si>
    <t>4790af32-fa25-48b3-bdc4-76770b6ef929</t>
  </si>
  <si>
    <t>Ed Lico</t>
  </si>
  <si>
    <t>edlico@canva.com</t>
  </si>
  <si>
    <t>b4cc284d-799b-48a8-9dd8-c5e1a1c9deef</t>
  </si>
  <si>
    <t>f747ef40-fc39-411b-8b46-55018c7ed614</t>
  </si>
  <si>
    <t>5ce0f964-3f0e-40d4-92ee-a8d783b779a8</t>
  </si>
  <si>
    <t>OMNI Tickets</t>
  </si>
  <si>
    <t>8bf84f33-92f2-45a8-a926-67e4c9c95157</t>
  </si>
  <si>
    <t>2157f418-a4e8-4186-b4fa-98cefb96e31c</t>
  </si>
  <si>
    <t>56fbb31f-5c75-467c-b580-1e5516aa7e5c</t>
  </si>
  <si>
    <t>c65a5016-0229-4d0c-8fb9-83256b59a315</t>
  </si>
  <si>
    <t>dee97445-f0eb-4200-97d9-bcf57defd60b</t>
  </si>
  <si>
    <t>Debrief</t>
  </si>
  <si>
    <t>7d88d131-f8e1-4c80-af1d-b139c853c932</t>
  </si>
  <si>
    <t>9b8b1573-9192-4009-9625-3ef83155c082</t>
  </si>
  <si>
    <t>8af50e6a-5c30-4b85-9b73-b58a2b4bcf38</t>
  </si>
  <si>
    <t>7f522f4c-2635-4a8b-9047-c3ff0442c947</t>
  </si>
  <si>
    <t>9348a9e2-6eac-4fde-831f-45f859e31f51</t>
  </si>
  <si>
    <t>f4c56d75-ec5a-4587-af06-bc278d9d5d18</t>
  </si>
  <si>
    <t>33ef9d9e-3aa0-41eb-a09f-88939d1cc4e0</t>
  </si>
  <si>
    <t>fd5d5e06-1e81-4473-9713-376dcfa034cf</t>
  </si>
  <si>
    <t>8d021448-78a6-48f8-840a-a98e6fb0c32e</t>
  </si>
  <si>
    <t>ad2b480a-6ad8-4de7-9ad4-2a84d2339805</t>
  </si>
  <si>
    <t>f0cb948d-631d-41f6-a598-8a21b9e45b47</t>
  </si>
  <si>
    <t>daea8b34-475c-4a70-997f-b422cbd66a63</t>
  </si>
  <si>
    <t>711e43d6-f378-4fc5-a538-95f492cc1a22</t>
  </si>
  <si>
    <t>a8f4221a-4b07-417b-a04c-f1c993e26df7</t>
  </si>
  <si>
    <t>aaba4f04-1bab-453c-8927-0b801485b227</t>
  </si>
  <si>
    <t>cc09f51c-30fb-4383-8324-bd43f32ab011</t>
  </si>
  <si>
    <t>c0851c37-7aae-451b-a86f-ea609f709a4a</t>
  </si>
  <si>
    <t>23aea33e-90b4-4c6c-b269-bd23d9d2e21e</t>
  </si>
  <si>
    <t>c4abd336-8a5c-43a4-942f-2d3f5b2e85fd</t>
  </si>
  <si>
    <t>Elmer Matarlo</t>
  </si>
  <si>
    <t>elmata@canva.com</t>
  </si>
  <si>
    <t>Work: ML Japanese</t>
  </si>
  <si>
    <t>d9dad651-0d3a-4ba7-8ef6-2aea4c0af9f7</t>
  </si>
  <si>
    <t>2a97fb9e-3596-4e34-92e3-e07877f23967</t>
  </si>
  <si>
    <t>5206371a-63eb-4d4b-b028-dc8ab0d23640</t>
  </si>
  <si>
    <t>998f90ea-4e00-4329-8a81-77127aaadccd</t>
  </si>
  <si>
    <t>1b6da0e0-c7a4-4347-ae63-f0b4b53462cd</t>
  </si>
  <si>
    <t>bc77f88e-d7c9-407f-9cd5-d039e2fa1877</t>
  </si>
  <si>
    <t>c8631ce9-f744-48f0-8933-fa95ff2cff50</t>
  </si>
  <si>
    <t>54186f8e-41fc-4bd1-860e-b736d3981230</t>
  </si>
  <si>
    <t>2ae9e2c1-5e95-4a4e-9d88-f149f83df3ab</t>
  </si>
  <si>
    <t>bbddc92c-7fb9-4830-a532-d60ccbc1b94c</t>
  </si>
  <si>
    <t>9a8c35a8-f676-4bd9-8b7d-fe76751c1304</t>
  </si>
  <si>
    <t>9d871846-2481-4f4f-acf5-71d244c05da3</t>
  </si>
  <si>
    <t>c84c4141-e548-449c-88bb-9f9227a11c79</t>
  </si>
  <si>
    <t>d1f97b43-7c06-4cbb-9f2a-f0ad1f41a11e</t>
  </si>
  <si>
    <t>76b4213a-e1db-4e7c-aa61-ab22fbc71b6d</t>
  </si>
  <si>
    <t>52a6aa76-b25f-471d-bbfd-4906cc7ea4cf</t>
  </si>
  <si>
    <t>c06ff7bd-2d31-4634-8d80-110b876b0a04</t>
  </si>
  <si>
    <t>fbff2df4-dba2-49cd-bf3a-818f66718057</t>
  </si>
  <si>
    <t>ef8ccf4c-7d95-4676-aef0-885e1228ada6</t>
  </si>
  <si>
    <t>4caaae9d-e73c-4e38-806f-387a82eda230</t>
  </si>
  <si>
    <t>3960812e-748b-47a3-8dea-3a0c6b21aee1</t>
  </si>
  <si>
    <t>MJ Billon</t>
  </si>
  <si>
    <t>mjb@canva.com</t>
  </si>
  <si>
    <t>2e044c3c-bfef-4242-bb8e-4d5c27582a48</t>
  </si>
  <si>
    <t>f4e0a368-960d-41b8-9722-558290a699a1</t>
  </si>
  <si>
    <t>bc7f2d37-5df6-4efc-9fa0-a450eb819914</t>
  </si>
  <si>
    <t>4542582a-2fac-43e0-a16c-2550e2529a38</t>
  </si>
  <si>
    <t>85a6eb35-7113-4ae4-9ffe-2ecd1414da19</t>
  </si>
  <si>
    <t>eefdfcda-632e-4d6b-a2ee-74b6989adf6e</t>
  </si>
  <si>
    <t>88ff5552-cbf9-4ee3-af49-8ed2020ba722</t>
  </si>
  <si>
    <t>2252e068-56cc-473d-a32e-c41f3f80bf79</t>
  </si>
  <si>
    <t>83013a6b-c1fa-441a-9b9d-46dde5464a39</t>
  </si>
  <si>
    <t>b94832d9-e72d-4c2b-ae3d-0be7287e2100</t>
  </si>
  <si>
    <t>a907c790-030c-4b1a-868c-e0f57abc779a</t>
  </si>
  <si>
    <t>31fd6e4a-0b64-4ca4-96e4-c7495de44985</t>
  </si>
  <si>
    <t>5de63ed8-519f-404c-ad70-be7c6a7f77dc</t>
  </si>
  <si>
    <t>99c77a53-06ee-446b-92ae-47188be46a86</t>
  </si>
  <si>
    <t>6b160c05-0b56-4522-bc21-deffc3272ccf</t>
  </si>
  <si>
    <t>912d9939-8c45-403d-a542-e04d5dda6b73</t>
  </si>
  <si>
    <t>b8dbf83a-b953-4e03-ac34-f650f6630fb0</t>
  </si>
  <si>
    <t>b3ab9c8f-0d50-4f02-98f0-c86247eded45</t>
  </si>
  <si>
    <t>55e003f8-9236-47a0-8ae8-abe17d7194cb</t>
  </si>
  <si>
    <t>5945c9a7-c742-4c80-9dc1-41df1d4170ab</t>
  </si>
  <si>
    <t>06ea84e1-9ff1-46f7-a6b2-efe0d0efde43</t>
  </si>
  <si>
    <t>34984f30-acdd-4102-9476-3e914757d47a</t>
  </si>
  <si>
    <t>1ffe6738-ac94-4ae3-b505-47f70dba4e35</t>
  </si>
  <si>
    <t>aba82594-cc12-46a1-8f17-2acd5a0e5734</t>
  </si>
  <si>
    <t>f8ad0e79-12df-4f89-824e-143220d79c44</t>
  </si>
  <si>
    <t>912f550f-2c23-4703-b2d9-004d3ab4af42</t>
  </si>
  <si>
    <t>e14d521e-0945-47a5-a783-97ba3c7053e7</t>
  </si>
  <si>
    <t>b104da05-773c-4e97-b6c4-02ff58eab339</t>
  </si>
  <si>
    <t>e16ca7c5-ffd4-4eda-bc29-c89361ffa894</t>
  </si>
  <si>
    <t>f56a1f10-27ad-435d-9c50-8e847d04dbcf</t>
  </si>
  <si>
    <t>6885811a-52c0-4554-81bd-e61efe968a39</t>
  </si>
  <si>
    <t>cd300a90-e727-4fe6-b0cc-2e513885c0c7</t>
  </si>
  <si>
    <t>8eefb7ad-ea81-4248-b0e9-482fc42fe272</t>
  </si>
  <si>
    <t>a2012450-650c-47f5-b226-54b1c76f5655</t>
  </si>
  <si>
    <t>f5dbd331-68d2-4480-add8-0a34fdc82996</t>
  </si>
  <si>
    <t>c75c3aba-3bfa-40b6-9ea2-bce78935eb22</t>
  </si>
  <si>
    <t>b28b8fc1-bf15-4ade-b755-0be890349fcc</t>
  </si>
  <si>
    <t>c5811c94-7c82-4ab6-a603-705026a9dc06</t>
  </si>
  <si>
    <t>a837adc6-f364-4062-913a-c8fc6a88c71f</t>
  </si>
  <si>
    <t>5651fda5-3361-4d59-84d7-019b6792e39a</t>
  </si>
  <si>
    <t>62473b98-7997-4b0b-b7dc-54cdf878ae87</t>
  </si>
  <si>
    <t>3a7a6b13-c58e-4e39-84b4-9de528bbfabb</t>
  </si>
  <si>
    <t>5f41cceb-c72a-413b-b5cb-ca19cc659972</t>
  </si>
  <si>
    <t>e97ff876-25b2-4054-bb01-17be127ad7fb</t>
  </si>
  <si>
    <t>227c7d65-c909-4d3b-b8ff-fefdf10a43de</t>
  </si>
  <si>
    <t>be94f377-ba5b-4cfd-9ec8-003f55dd6e74</t>
  </si>
  <si>
    <t>When to Edit Cal Responses</t>
  </si>
  <si>
    <t>3e62b1d1-2026-475a-ab5c-760beaa6f419</t>
  </si>
  <si>
    <t>26f5dc2f-7ae0-49d7-b79c-5382057b59f3</t>
  </si>
  <si>
    <t>90e84b1d-7cc8-4133-8fa7-9cf36497688f</t>
  </si>
  <si>
    <t>50370a17-1382-4a9f-8e42-5d34af042f22</t>
  </si>
  <si>
    <t>Rafa Ticzon</t>
  </si>
  <si>
    <t>rafaticzon@canva.com</t>
  </si>
  <si>
    <t>cfbf4c0a-aadc-4651-a8ac-403004b3ee03</t>
  </si>
  <si>
    <t>044d01f8-54b4-444e-901e-8721c9d049de</t>
  </si>
  <si>
    <t>Kaizo Task Briefing with Shane</t>
  </si>
  <si>
    <t>df04dff5-cd08-46b3-94ca-ccd3d58ce0f4</t>
  </si>
  <si>
    <t>690f14e5-1315-4ba3-a382-b5e66b1abdf7</t>
  </si>
  <si>
    <t>Kaizo Recording Tasks</t>
  </si>
  <si>
    <t>2ceddd64-8ff4-40d5-bcf6-367ae788d90d</t>
  </si>
  <si>
    <t>c111154b-7d26-4e3a-92db-f42a57326d3b</t>
  </si>
  <si>
    <t>5ecca87d-186d-4ef6-95e3-fac6fe47ebd2</t>
  </si>
  <si>
    <t>c46b8f2d-2b64-47a8-af0a-89fbebd18885</t>
  </si>
  <si>
    <t>5e5f23c1-b6aa-48c7-b739-ab5169bff0ad</t>
  </si>
  <si>
    <t>4b647820-1b00-49bd-bfb1-59eeaf725226</t>
  </si>
  <si>
    <t>8080ca70-9c92-4050-a5f1-79029f3399d0</t>
  </si>
  <si>
    <t xml:space="preserve"> New updates on the Missing Designs workflow for APS</t>
  </si>
  <si>
    <t>fa848795-abdc-4384-adf0-e419802461ca</t>
  </si>
  <si>
    <t>544a0ba9-07ed-41ba-a555-9c2e5fd4db33</t>
  </si>
  <si>
    <t>6d61fde2-77c5-4525-82fb-e54599b3c46e</t>
  </si>
  <si>
    <t>planned SL: check-up with my OBGYN for my PCOS</t>
  </si>
  <si>
    <t>3555ede4-f867-4422-ac51-32b5146503dc</t>
  </si>
  <si>
    <t>cd0ab0ab-9ede-4fd5-b9e2-9191273cebbb</t>
  </si>
  <si>
    <t>23feeb45-9f3a-43b0-9cf9-3d85bea6ea06</t>
  </si>
  <si>
    <t>b236de2d-50b2-4a9c-a9f0-dde1c02f9a27</t>
  </si>
  <si>
    <t>32f88aad-a306-41bc-9702-901be255a193</t>
  </si>
  <si>
    <t>family vacation</t>
  </si>
  <si>
    <t>8454ae26-605f-4572-bbf0-9e1587ed5ff8</t>
  </si>
  <si>
    <t>018b1570-9356-4d59-afcb-f0a07b27c156</t>
  </si>
  <si>
    <t>cb1c467d-7d75-4009-b16e-0759dcb9a2a7</t>
  </si>
  <si>
    <t>c6f7748c-98cb-468a-8a54-339b13709d34</t>
  </si>
  <si>
    <t>9603d774-cd54-4a32-9459-e95b2bdc8dd0</t>
  </si>
  <si>
    <t>64204542-20d7-4c1a-b730-a04930387b0c</t>
  </si>
  <si>
    <t>d9cbd8f0-31be-470a-838d-613e2880e572</t>
  </si>
  <si>
    <t>2af8c557-de7c-446d-b05c-515c04f163bb</t>
  </si>
  <si>
    <t>042e5ee4-7da0-42f9-92d0-d66496630cb9</t>
  </si>
  <si>
    <t>Gen Gingoyon</t>
  </si>
  <si>
    <t>evee@canva.com</t>
  </si>
  <si>
    <t>6cbc27a8-2293-430e-96ca-3880b7bab0c8</t>
  </si>
  <si>
    <t>e4ee6a9e-23cb-4157-bb03-219528f63b22</t>
  </si>
  <si>
    <t>5b4a272f-ab31-4dfb-a4ce-7ed6685842da</t>
  </si>
  <si>
    <t>f1e90186-84a1-4130-a117-64fae45b004a</t>
  </si>
  <si>
    <t>a4bdc9ae-de79-477b-beb7-f44d3786cffd</t>
  </si>
  <si>
    <t>bcad64e1-c7d9-4018-a0be-e70e71358278</t>
  </si>
  <si>
    <t>b9cf7be8-a7f2-43f6-8551-4a7384a1a639</t>
  </si>
  <si>
    <t>69cd3a51-8eef-46f2-a8fd-0a63b68879d6</t>
  </si>
  <si>
    <t>25519d2d-ae03-44a5-a283-5a36a1832fe3</t>
  </si>
  <si>
    <t>When to Edit CAL's Responses</t>
  </si>
  <si>
    <t>0d7547bf-79bf-4eb2-872b-cdd92a725a2e</t>
  </si>
  <si>
    <t>7d08950a-c847-43b7-8976-b9eede916550</t>
  </si>
  <si>
    <t>90410dc4-18f0-4ecf-9fad-8fb118a2f281</t>
  </si>
  <si>
    <t>14ee4c09-5289-421f-9603-7a5352f33cff</t>
  </si>
  <si>
    <t>cd2a9839-c68f-4770-bb91-428038c62dd5</t>
  </si>
  <si>
    <t>a575d696-3125-409c-bb60-2b51395a0e04</t>
  </si>
  <si>
    <t>67c6234f-80d1-424a-8a93-8e18c6eb45f1</t>
  </si>
  <si>
    <t>7f85215a-8284-4254-9a1c-fb5319aeeff8</t>
  </si>
  <si>
    <t>558fade0-bdeb-45c9-8ee6-4b33e9f4df44</t>
  </si>
  <si>
    <t>17fc3b44-98d4-4d3b-9702-9ba9e12babf8</t>
  </si>
  <si>
    <t>d1c2138e-8469-42db-bac6-e22b92ced1ce</t>
  </si>
  <si>
    <t>236be031-36a0-44a6-98ab-57e08e9268a4</t>
  </si>
  <si>
    <t>3a709a60-ff20-46a8-9e79-b152b385cddc</t>
  </si>
  <si>
    <t>3c2ff061-fbae-42fa-a558-0a66296963a7</t>
  </si>
  <si>
    <t>827ff057-da93-4cbb-ab1c-dc83cb2f773d</t>
  </si>
  <si>
    <t>ebe696d7-3c5b-415e-94ad-602a4caa3644</t>
  </si>
  <si>
    <t>d653cb97-42f8-4234-855a-5aebfb434efe</t>
  </si>
  <si>
    <t>7a43e3d4-4ffe-4890-9bc6-2bdc979b75e4</t>
  </si>
  <si>
    <t>ff69800d-0c47-47b3-9d08-853fb5fe06f7</t>
  </si>
  <si>
    <t>1eb6d900-9254-4ad7-b5e2-1f27f00e2077</t>
  </si>
  <si>
    <t>Gia Dacillo</t>
  </si>
  <si>
    <t>giadacillo@canva.com</t>
  </si>
  <si>
    <t>ed0a66fb-ede4-40c4-9f3b-0202171fbc0c</t>
  </si>
  <si>
    <t>bc89c8f0-7c33-4e23-9267-50c504af73e8</t>
  </si>
  <si>
    <t>c1871ea3-de27-4863-8fa9-3cd129e8225c</t>
  </si>
  <si>
    <t>0886323d-7f0a-4e72-90bf-72ccb33c4573</t>
  </si>
  <si>
    <t>59940b8d-c7df-4359-8ab0-994d8011e7eb</t>
  </si>
  <si>
    <t>de0b8fc9-83cb-49db-807f-e4dc9ef52c31</t>
  </si>
  <si>
    <t>00cd03b9-d3fe-421f-8041-3a713808b0d8</t>
  </si>
  <si>
    <t>57188b4d-ccc1-42c1-aa5b-235bb49d7736</t>
  </si>
  <si>
    <t>b43e83fe-c84d-4325-9396-8ebc8dcc9240</t>
  </si>
  <si>
    <t>8833d737-76d2-4c80-838f-b531d8d7ecb8</t>
  </si>
  <si>
    <t>c09ce99c-5b23-4fb7-9245-dabb6ce4ee90</t>
  </si>
  <si>
    <t>ab0563b4-9e21-48d8-93c8-16d9b6369ac4</t>
  </si>
  <si>
    <t>80537238-8dc0-4e6d-a8c4-4d84a64f7875</t>
  </si>
  <si>
    <t>bc67c78b-e328-4e53-aa93-9eabd05b1048</t>
  </si>
  <si>
    <t>19041509-93b2-48e5-8c92-611f09890da0</t>
  </si>
  <si>
    <t>873d7a26-6f98-4e06-b02d-2b0d0286524f</t>
  </si>
  <si>
    <t>b00f0b68-e74e-428e-9e55-a00acb71dc4b</t>
  </si>
  <si>
    <t>866e8ef1-2ced-468b-b5cc-b5f1666f3a02</t>
  </si>
  <si>
    <t>cbfae5b8-0e5c-475c-b01a-5240915c3f14</t>
  </si>
  <si>
    <t>Make up for network issue</t>
  </si>
  <si>
    <t>a68c7844-db24-48d0-b4eb-9f1fc2af1926</t>
  </si>
  <si>
    <t>Network Issue</t>
  </si>
  <si>
    <t>53ac4bfe-33dc-4f20-bdd5-a8234fb4c4d6</t>
  </si>
  <si>
    <t>Connection Issue</t>
  </si>
  <si>
    <t>cd60f676-65de-48ac-b400-a7fee462ebc7</t>
  </si>
  <si>
    <t>0b8b8c0e-0b71-4385-a842-1d40934d1132</t>
  </si>
  <si>
    <t>e08a1612-a10f-47d1-9ccb-2d207a2827c6</t>
  </si>
  <si>
    <t>580d21fc-436d-45eb-b99a-315ceee4fb95</t>
  </si>
  <si>
    <t>ecc3a54c-2b13-4ea5-ad1e-96b8b278e7da</t>
  </si>
  <si>
    <t>Iya Acuyong</t>
  </si>
  <si>
    <t>iyaacuyong@canva.com</t>
  </si>
  <si>
    <t>fc3a19eb-4506-4207-905f-0e13e0befbdc</t>
  </si>
  <si>
    <t>79a1627b-3da7-4557-8307-a60c7998e301</t>
  </si>
  <si>
    <t>df9194d0-69ef-4f76-8bc9-e6bcd7c18ce7</t>
  </si>
  <si>
    <t>1de68047-9cc1-4d1b-a815-175efd65672f</t>
  </si>
  <si>
    <t>442e8266-b652-4793-a4da-fcaaa2d2e691</t>
  </si>
  <si>
    <t>b13b2ce6-bd66-4b1e-b41a-bccbeef47968</t>
  </si>
  <si>
    <t>15e238fc-06ad-41dd-a27c-c016a6d94894</t>
  </si>
  <si>
    <t>c4a349ef-1268-4a35-a28c-e50cdfed6b9a</t>
  </si>
  <si>
    <t>01d4aefe-bcb4-474f-8f9c-ce782f489387</t>
  </si>
  <si>
    <t>6f28cc42-1d32-403a-b7a1-98ea1efaa76e</t>
  </si>
  <si>
    <t>3584dd8b-bec6-4034-b64c-990b30b6c727</t>
  </si>
  <si>
    <t>43984b1a-6b1d-4b18-bacb-26b7ffcc4941</t>
  </si>
  <si>
    <t>3b18791b-135a-479b-8d05-f9edbf1b7cf5</t>
  </si>
  <si>
    <t>28a3711b-b1d6-48e0-a4ea-bdbf1cb989af</t>
  </si>
  <si>
    <t>6cd87736-7218-4e7c-9b5b-574a9a53d59d</t>
  </si>
  <si>
    <t>d12150b1-ab51-4ae1-aa61-91bf7bf71bae</t>
  </si>
  <si>
    <t>949c03be-0d47-4d5a-9872-7423de83f327</t>
  </si>
  <si>
    <t>6abd5180-72cd-4f62-b633-375ca6443bcd</t>
  </si>
  <si>
    <t>6553a11d-e504-4309-b3c9-8e60c4ff3bf1</t>
  </si>
  <si>
    <t>d384c966-2454-4c01-b0ca-f2f2db9be844</t>
  </si>
  <si>
    <t>94b6ceda-2e40-4d0a-8c58-a7219b798132</t>
  </si>
  <si>
    <t>0691c660-ae7b-43cf-8ff6-9455af72d719</t>
  </si>
  <si>
    <t>7f8ea57d-3bc6-435c-ac89-36216f416d2b</t>
  </si>
  <si>
    <t>Jessa Brizuela</t>
  </si>
  <si>
    <t>jbrizuela@canva.com</t>
  </si>
  <si>
    <t>59fb7313-a02f-4868-a2a6-30f2a56d6254</t>
  </si>
  <si>
    <t>ded69b4c-4706-4f9c-97f8-24f72691fedb</t>
  </si>
  <si>
    <t>f2e19f3d-b3b8-4e50-9c9d-50aa43b6015f</t>
  </si>
  <si>
    <t>04366941-f7dd-41d0-8b32-78618b5c1c08</t>
  </si>
  <si>
    <t>097dcd68-c75c-4dca-94e5-eaa9b2010a34</t>
  </si>
  <si>
    <t>d0b34343-292d-42b3-b33b-bf215ce4ee83</t>
  </si>
  <si>
    <t>b49f8500-fa41-41cd-af6f-ffde26b680d4</t>
  </si>
  <si>
    <t>eb7d840e-89e4-4225-b8e3-d97705ec38bc</t>
  </si>
  <si>
    <t>16620874-3967-4d3e-91ef-2a29a433e663</t>
  </si>
  <si>
    <t>d7bd3144-b098-4700-94bc-485ac6130ca1</t>
  </si>
  <si>
    <t>5aed36c6-a279-4bbb-b7a5-5a7f3becad20</t>
  </si>
  <si>
    <t>58bf762c-a75e-4e1b-88ce-0f74b96dddcb</t>
  </si>
  <si>
    <t>cb744fa5-a5b8-4339-9878-54e0923cafee</t>
  </si>
  <si>
    <t>75c28d8a-e70c-413c-bf30-c498ea0ad9e5</t>
  </si>
  <si>
    <t>30c439ac-d1e3-466a-a35c-279cf298d994</t>
  </si>
  <si>
    <t>emergency</t>
  </si>
  <si>
    <t>9f077435-ab90-4b17-ac08-30edcc96084e</t>
  </si>
  <si>
    <t>24d8aaba-c51e-4364-9752-2a3f558e7923</t>
  </si>
  <si>
    <t>94615689-f5d5-4717-9cda-d5233e26d491</t>
  </si>
  <si>
    <t>6646cd91-b475-4853-b3b2-0eb03e120608</t>
  </si>
  <si>
    <t>5304c8ff-aa59-44ca-87b0-6444be624307</t>
  </si>
  <si>
    <t>13620985-dc8f-425e-870e-4a3cfca29690</t>
  </si>
  <si>
    <t>compensation for MISC</t>
  </si>
  <si>
    <t>cbc9dc94-c55d-4b16-ae65-e779ccd310bd</t>
  </si>
  <si>
    <t>6e176809-8e81-4d11-a172-1a7b02e74e0b</t>
  </si>
  <si>
    <t>02764439-47ad-44fe-9bb7-24bd072beb20</t>
  </si>
  <si>
    <t>1746504d-1d92-4156-9c22-2c6b6b61771c</t>
  </si>
  <si>
    <t>ab979617-a6f0-4e0f-97c7-fb8b74c35a37</t>
  </si>
  <si>
    <t>972eac9d-36af-4b9c-ac70-9a7f649d4470</t>
  </si>
  <si>
    <t>f89b67fc-84ef-4640-9da8-9702499b73be</t>
  </si>
  <si>
    <t>74a444d5-ca1f-4237-a956-b388c391e72d</t>
  </si>
  <si>
    <t>61707138-2396-4c46-932f-b348eb94b744</t>
  </si>
  <si>
    <t>5d4d6021-09a9-48af-a8dd-accd4d0a7004</t>
  </si>
  <si>
    <t>1fc78a43-8e36-4ded-986d-01f4d9e8a420</t>
  </si>
  <si>
    <t>https://canva.slack.com/archives/C04LEHR7K46/p1766463968892769</t>
  </si>
  <si>
    <t>3b0cee09-ef88-4fac-b770-3a90c9e45d49</t>
  </si>
  <si>
    <t>103f0dce-bb64-4b50-8641-ca83e60ba97e</t>
  </si>
  <si>
    <t>07c49079-bae3-47f6-ab32-09b2c82ab5a3</t>
  </si>
  <si>
    <t>cd1d165b-93f4-4875-b322-3f3795341b8a</t>
  </si>
  <si>
    <t>7fc5e781-a84e-4a10-9a0d-b8961db9c066</t>
  </si>
  <si>
    <t>5ad2986a-481f-4bc9-abbb-f5e8375efdd9</t>
  </si>
  <si>
    <t>d0cdd0f2-b8e3-4398-8f57-26eae4d4288f</t>
  </si>
  <si>
    <t>09d87fc9-bd97-4b66-b6e5-fc2d50b135a4</t>
  </si>
  <si>
    <t>John Carlo Gonzales</t>
  </si>
  <si>
    <t>cee@canva.com</t>
  </si>
  <si>
    <t>3a6894b9-1d3d-4333-9916-344704fa2340</t>
  </si>
  <si>
    <t>d79b57b0-3dcd-4930-87f8-7cff288242be</t>
  </si>
  <si>
    <t>1308cac8-d37c-406e-aee5-cac4fd2f4cc9</t>
  </si>
  <si>
    <t>ecc679d1-faea-4bf1-a78e-ab21be955dea</t>
  </si>
  <si>
    <t>1a741d36-5520-408e-8a01-c3186417b0a4</t>
  </si>
  <si>
    <t>750e9d5f-4efe-4d03-950a-12af711f853f</t>
  </si>
  <si>
    <t>d932cf3d-6058-4bf8-8118-0531683e118b</t>
  </si>
  <si>
    <t>641fa6b3-a56d-46fa-96bc-9f6a3f08ae53</t>
  </si>
  <si>
    <t>a0bd294a-0976-407a-95bc-513d778f1bf3</t>
  </si>
  <si>
    <t>12d4511a-320a-4e25-9adc-f44b569eab75</t>
  </si>
  <si>
    <t>5c39c0f7-25e3-40c1-8c38-17c18fa3733c</t>
  </si>
  <si>
    <t>661a82ed-b3f0-4771-924c-3984afeb85fd</t>
  </si>
  <si>
    <t>832c1596-c5d2-46a1-bb47-44d1434e40fa</t>
  </si>
  <si>
    <t>73278677-67f1-4bf9-9fa7-316181bbd4de</t>
  </si>
  <si>
    <t>06c54647-1219-41a2-89e3-4f833048e84d</t>
  </si>
  <si>
    <t>de8b4789-0953-4db5-8fdc-67baf98e7b0b</t>
  </si>
  <si>
    <t>e745fd11-e65e-4477-8cf4-a2dfed451db6</t>
  </si>
  <si>
    <t>9649a4ea-3cde-4b94-b24f-28fd2bf87f3b</t>
  </si>
  <si>
    <t>1f5a4168-ecb9-42df-a403-8c86095beba7</t>
  </si>
  <si>
    <t>Juhrella Gonzalgo</t>
  </si>
  <si>
    <t>mgonzalgo@canva.com</t>
  </si>
  <si>
    <t>f24a32b9-0dee-45bb-af78-9865240b1f33</t>
  </si>
  <si>
    <t>a421a8bb-ace0-4faf-ac30-6b0c19c665ed</t>
  </si>
  <si>
    <t>8fc5b5d2-7200-40d6-998f-dbd78f11c849</t>
  </si>
  <si>
    <t>61b524e9-63be-4972-9c65-3603371281b7</t>
  </si>
  <si>
    <t>68a59ab1-2fab-4a9c-8a7b-68d5a29c6d20</t>
  </si>
  <si>
    <t>94948843-59be-4fc1-9c79-d4fe6faeca16</t>
  </si>
  <si>
    <t>a291f447-0cc0-4198-930e-8abbb2fceeba</t>
  </si>
  <si>
    <t>72b77013-7be6-456a-b807-fbc4df4cf7d5</t>
  </si>
  <si>
    <t>8591bdcc-e996-4c54-8f21-de94a7ee1e55</t>
  </si>
  <si>
    <t>555b5a74-ee04-43ab-8efe-4e76690d98a8</t>
  </si>
  <si>
    <t>e41b0e7e-2f31-4679-b304-246b23b3d92d</t>
  </si>
  <si>
    <t>1e0aa0c7-53ca-4887-a8c4-49ae915b5d66</t>
  </si>
  <si>
    <t>2fe46a7d-7f68-4b0e-9de7-12ce5e36c513</t>
  </si>
  <si>
    <t>cf623781-84e9-4551-9182-1429a51ad71e</t>
  </si>
  <si>
    <t>b8ec381f-d698-4d22-932e-ae8900791c3c</t>
  </si>
  <si>
    <t>c9c6d31e-6f8e-43f5-bcaf-2b12561763d1</t>
  </si>
  <si>
    <t>38749093-6dd4-425e-9c59-183312db82bf</t>
  </si>
  <si>
    <t>ed4ba012-333e-4e90-9b0b-3731ab1918c6</t>
  </si>
  <si>
    <t>b46236d8-2f58-425f-b236-5867a4b5554f</t>
  </si>
  <si>
    <t>8a40d082-16f8-4040-8cd7-78fe8096c94c</t>
  </si>
  <si>
    <t>61f0ddac-4535-405e-b9e8-c508ec812600</t>
  </si>
  <si>
    <t>sick</t>
  </si>
  <si>
    <t>650d2f22-d2bc-4f0b-bedb-afc442bd52ee</t>
  </si>
  <si>
    <t>fb64b910-fbd8-4519-8a35-29b37db19509</t>
  </si>
  <si>
    <t>40ee8515-109b-401c-a81f-cd90cdd64e78</t>
  </si>
  <si>
    <t>96c19adc-b5a3-4a75-b6a7-b059ffb4a6b6</t>
  </si>
  <si>
    <t>73b91882-25ef-4c9c-8b6f-9152a825d832</t>
  </si>
  <si>
    <t>Kenneth Go</t>
  </si>
  <si>
    <t>kennethgo@canva.com</t>
  </si>
  <si>
    <t>79d47172-9082-4a73-9189-9c8130ad23fb</t>
  </si>
  <si>
    <t>f495c931-6c4c-4c8d-8168-f4e8e2695212</t>
  </si>
  <si>
    <t>3b31ec66-5f60-4d57-88c5-b6ec0ec69109</t>
  </si>
  <si>
    <t>6a632b36-a18d-4cd2-9f81-9abcf1483543</t>
  </si>
  <si>
    <t>d94b6471-442b-498f-9084-3cf40c5cdc46</t>
  </si>
  <si>
    <t>74a4973a-fe82-4f70-9cac-6038bd71f92a</t>
  </si>
  <si>
    <t>614d9050-022c-44d3-88f8-7c81bb2f0bd2</t>
  </si>
  <si>
    <t>ba9c6ffd-9f4b-404d-ad0e-b7f515f343a5</t>
  </si>
  <si>
    <t>Jump off time</t>
  </si>
  <si>
    <t>7c65aeb7-fd12-4cdc-83c6-33b84d8a0d2e</t>
  </si>
  <si>
    <t>90896887-d29a-486a-8e1a-9140f61dbfe6</t>
  </si>
  <si>
    <t>8b0b6b99-c69b-460e-85b6-86cef47d650d</t>
  </si>
  <si>
    <t>PDS Insights</t>
  </si>
  <si>
    <t>5f143ccc-38e2-4fcd-b046-3629fbeed655</t>
  </si>
  <si>
    <t>f8b5dfa4-3e93-45ca-92b0-7cc1d8447918</t>
  </si>
  <si>
    <t>b52e31e7-6f9b-4be6-85d6-99645c8e0b78</t>
  </si>
  <si>
    <t>595eb908-da5f-4a1f-b57d-0126f0eb02b6</t>
  </si>
  <si>
    <t>Device Setup</t>
  </si>
  <si>
    <t>6608dc42-9802-4104-9619-270f1a69ee2a</t>
  </si>
  <si>
    <t>507c96ae-2f8d-45c2-b913-a1a0d676c104</t>
  </si>
  <si>
    <t>3700fa0e-70d9-4b50-9e92-9b0ddab0d203</t>
  </si>
  <si>
    <t>501f4448-0351-4087-bebd-0f8c322f4d6f</t>
  </si>
  <si>
    <t>3b02a63a-9bd7-4038-afc1-797d69b5f3bb</t>
  </si>
  <si>
    <t>909b6933-889a-4ce5-99e5-36c26737b535</t>
  </si>
  <si>
    <t>66ed71c7-af84-4548-837e-1ffdc8f0ccde</t>
  </si>
  <si>
    <t>f61fcf40-6672-494d-8fd0-846b587ac4b8</t>
  </si>
  <si>
    <t>c407d23e-2b3a-4897-993d-e8442c82bd80</t>
  </si>
  <si>
    <t>1710494d-540e-4ffe-b3fe-10c9a8b5f16f</t>
  </si>
  <si>
    <t>bfe2dff3-0f31-4af5-9212-8280a5126000</t>
  </si>
  <si>
    <t>c771ba05-3c70-40d0-afa5-186bade746f2</t>
  </si>
  <si>
    <t>Lyzza Del Rosario</t>
  </si>
  <si>
    <t>lyzdr@canva.com</t>
  </si>
  <si>
    <t>9b7d6f0d-f8a1-442a-bf84-99ea83a9d3b6</t>
  </si>
  <si>
    <t>b353cf21-6084-4410-8259-ce53fd99e81d</t>
  </si>
  <si>
    <t>5543d4df-c9ec-4939-8d1f-a067e3239517</t>
  </si>
  <si>
    <t>14766e6f-c0aa-4364-bb1b-97a84ca3277f</t>
  </si>
  <si>
    <t>6d523b7c-3517-43f6-b17c-06397bef759c</t>
  </si>
  <si>
    <t>f97573fd-deab-449c-84f9-d05c523210d7</t>
  </si>
  <si>
    <t>cc68fc2e-a48f-4c95-8a3d-27b2aec95eeb</t>
  </si>
  <si>
    <t>fd0f3f94-4a28-4973-b88b-02f5960bc5f7</t>
  </si>
  <si>
    <t>67957d2c-5f71-4ce0-b5fa-13af1b540505</t>
  </si>
  <si>
    <t>3391d709-8de8-4f77-93d7-8357566b2bb3</t>
  </si>
  <si>
    <t>7082b94f-e706-4801-80b4-4238044fdbe7</t>
  </si>
  <si>
    <t>bcfe320f-5597-4086-a8b7-0fb2cecd2e1b</t>
  </si>
  <si>
    <t>8f5f1eb9-bb7c-4c86-817c-451326e620d6</t>
  </si>
  <si>
    <t>98e65dcb-6cd6-4307-b9e4-e8949fb0d926</t>
  </si>
  <si>
    <t>1b6cfeb7-a693-4cb1-9282-e8b00e601ae9</t>
  </si>
  <si>
    <t>afa6aeca-4561-4085-ac07-4a78647b7f12</t>
  </si>
  <si>
    <t>ba5a81e9-f099-4ec0-b210-238649eec7fc</t>
  </si>
  <si>
    <t>c769cb83-d5bf-4885-8776-133f0ac1a96c</t>
  </si>
  <si>
    <t>484a67d0-5e69-4c98-848a-5ffa0b23046e</t>
  </si>
  <si>
    <t>Patrick Mariano</t>
  </si>
  <si>
    <t>patrickm@canva.com</t>
  </si>
  <si>
    <t>fa332885-49e9-4ea2-810b-5dd8e5da9d03</t>
  </si>
  <si>
    <t>0c5234a0-171d-4306-9977-f2b3e2640c12</t>
  </si>
  <si>
    <t>41717d3a-f3df-4d00-898d-788b2660a5f6</t>
  </si>
  <si>
    <t>535e6170-54e0-4d30-8370-1d3256e8aceb</t>
  </si>
  <si>
    <t>e92a4b31-a1d9-44a3-84c7-0ef67fa2954f</t>
  </si>
  <si>
    <t>83741dab-0f2f-4a06-9ef8-4406c913c8db</t>
  </si>
  <si>
    <t>0451f3cc-3656-4148-a838-d4a14ce97a48</t>
  </si>
  <si>
    <t>4004e747-b1eb-4d4d-b457-255609179af2</t>
  </si>
  <si>
    <t>2726090c-7456-4fb8-baf0-d01f27ff39c8</t>
  </si>
  <si>
    <t>71697f48-0f34-4924-9540-08e4fdd37288</t>
  </si>
  <si>
    <t>e0c3f6d1-6dcf-4195-95d0-13f161ec3742</t>
  </si>
  <si>
    <t>82e39453-77d7-4108-b1a9-e1e3afbda926</t>
  </si>
  <si>
    <t>40534966-274b-45b7-b813-896c5abafe59</t>
  </si>
  <si>
    <t>a9a4efad-41b8-4146-893c-5c42c92b1a03</t>
  </si>
  <si>
    <t>37c11241-ef15-46e3-8d4a-e721db60939d</t>
  </si>
  <si>
    <t>51664354-c947-4e9c-9057-53f3fd53f646</t>
  </si>
  <si>
    <t>fbe9d860-cf38-4cf1-b0f3-d0294bb78d5c</t>
  </si>
  <si>
    <t>d262d942-fde2-4116-a976-3c518494adf9</t>
  </si>
  <si>
    <t>ae05ed42-b091-4ad5-9f7a-7763ea7ec9e4</t>
  </si>
  <si>
    <t>88290f07-9689-407f-b616-a84f86912046</t>
  </si>
  <si>
    <t>fb725d88-a361-4d1e-9701-bc3950722257</t>
  </si>
  <si>
    <t>08ba2ead-c2e9-4e3d-ade0-18d7808c1325</t>
  </si>
  <si>
    <t>2b5bad0a-6231-457f-92a6-1b99362b2eb8</t>
  </si>
  <si>
    <t>19f1d3fe-cbc2-4265-a8c5-b0b70108931c</t>
  </si>
  <si>
    <t>7cc2dcaa-4738-40e9-8778-ab14876d3e4d</t>
  </si>
  <si>
    <t>a1ca0a70-e8b9-4a48-85f5-69c955dbaf27</t>
  </si>
  <si>
    <t>e43a9dea-dff9-457b-bdff-2f20ff86e7a1</t>
  </si>
  <si>
    <t>4ce5314e-3b8b-40eb-9c9c-fb389c9fe174</t>
  </si>
  <si>
    <t>473d796b-57d8-4915-9828-31821ce64e5a</t>
  </si>
  <si>
    <t>fa8008aa-95de-401a-9d46-d054f06f98c7</t>
  </si>
  <si>
    <t>b792ebba-c071-44a9-8e99-74b8a2aeb263</t>
  </si>
  <si>
    <t>6ab077e5-fda2-4999-9d2d-7883daaf2792</t>
  </si>
  <si>
    <t>a1adcc5b-6cdf-4ba5-a835-b5459b1b7574</t>
  </si>
  <si>
    <t>3f58d026-d7af-4464-8ba2-17fb4976b8ac</t>
  </si>
  <si>
    <t>Rea Alexis Dolores</t>
  </si>
  <si>
    <t>rdolores@canva.com</t>
  </si>
  <si>
    <t>6c25b825-43cf-4dad-a96f-3ba790cb3d80</t>
  </si>
  <si>
    <t>c1f29330-d5ab-4d84-a035-4f03b26ade78</t>
  </si>
  <si>
    <t>ff0ea350-9b9f-4c4e-a812-4c61d4c01dff</t>
  </si>
  <si>
    <t>a8ef1474-f09b-4e15-9bd2-89a39fce4ee5</t>
  </si>
  <si>
    <t>34d4e330-ece4-4d41-b6a8-4870e994f6a2</t>
  </si>
  <si>
    <t>de23022d-e50a-44a6-bad5-eea41a977e4c</t>
  </si>
  <si>
    <t>082a1200-985b-4096-b7aa-d7b2d2f64bb2</t>
  </si>
  <si>
    <t>23a72b24-b5f3-4459-a02a-185c33d0470b</t>
  </si>
  <si>
    <t>84de2439-a60b-437a-9358-c7895dc598c8</t>
  </si>
  <si>
    <t>fa0b66c8-9025-4c14-9d5f-74745c37ea79</t>
  </si>
  <si>
    <t>f57fe5cd-ca3d-4104-baa2-6f65e74161b0</t>
  </si>
  <si>
    <t>ac1603b9-a614-4500-a8ae-c0c82bb98968</t>
  </si>
  <si>
    <t>e2204e81-17c9-4d71-a928-e17383c2f551</t>
  </si>
  <si>
    <t>f2ac868c-e45c-43d6-a1a7-c0247ccd9290</t>
  </si>
  <si>
    <t>603c93f6-3009-4096-867c-6201db577d81</t>
  </si>
  <si>
    <t>60fc92c5-4433-4b2e-8c89-fc9017be5667</t>
  </si>
  <si>
    <t>7938e720-2f23-4ae8-a8bc-a1aeb68883d0</t>
  </si>
  <si>
    <t>Tia Tilanduca</t>
  </si>
  <si>
    <t>tia@canva.com</t>
  </si>
  <si>
    <t>1f6adbe4-d3ee-4713-8762-6261d8cf74b6</t>
  </si>
  <si>
    <t>397bc0d2-af26-4c0e-b568-7e3626b848e9</t>
  </si>
  <si>
    <t>Cop duties – NPS Reachouts</t>
  </si>
  <si>
    <t>8f0556cd-836e-42de-92e1-71cadc0b2bd9</t>
  </si>
  <si>
    <t>4b877fde-0619-4484-9e39-eb181dcc3d10</t>
  </si>
  <si>
    <t>d666ec98-3f86-4172-99c8-ce09372e9c14</t>
  </si>
  <si>
    <t>75e4d011-a54e-4195-bf1e-54753a449999</t>
  </si>
  <si>
    <t>7098ca1d-adec-4028-8be8-8a6473cf328a</t>
  </si>
  <si>
    <t>47ce1bb0-4412-47c3-b1c8-1dfddf23d8f0</t>
  </si>
  <si>
    <t>3fe4a4be-cd93-42fd-b34e-bd0c28e1fb03</t>
  </si>
  <si>
    <t>c7c4062f-78e6-4174-8d16-4d66fc970da9</t>
  </si>
  <si>
    <t>83e99c7e-1f80-487d-8b87-7fda0664343a</t>
  </si>
  <si>
    <t>f1db7175-6ec0-4a1b-b5ae-51cd9217cc9e</t>
  </si>
  <si>
    <t>ec9b83a0-c378-4bf9-af91-331ffc664f73</t>
  </si>
  <si>
    <t>65949bdb-9437-4972-8824-b7efe3d27ccb</t>
  </si>
  <si>
    <t>92b5a7a8-47cb-43ad-b0ce-036eb3dd33eb</t>
  </si>
  <si>
    <t>0b42f8bb-2b90-46b0-bb70-79298b02745b</t>
  </si>
  <si>
    <t>New Process for Threats of Harm</t>
  </si>
  <si>
    <t>a54de733-18ce-40d5-a00c-3b21900c669a</t>
  </si>
  <si>
    <t>aeef24c4-cde2-4648-97e0-c4d3d5a54c6d</t>
  </si>
  <si>
    <t>8c56ba71-cd40-4686-9e02-75f4e0617066</t>
  </si>
  <si>
    <t>fe8063b7-63d8-4ffe-a789-b5b2016e4dab</t>
  </si>
  <si>
    <t>9db4cb60-7674-415f-8737-82f1bef3bac3</t>
  </si>
  <si>
    <t>427f3432-1e30-4de3-929c-116a3a558a89</t>
  </si>
  <si>
    <t>866b1e65-50c1-4417-9e58-83ecdba1beb1</t>
  </si>
  <si>
    <t>62c80298-1597-4b57-bb2f-4a7dce43119f</t>
  </si>
  <si>
    <t>aa96f7f5-bf9b-4b51-9410-1f4ad1811e15</t>
  </si>
  <si>
    <t>64b00870-9992-4795-b4f5-a7b43cd5930a</t>
  </si>
  <si>
    <t>When to Edit Cal's responses</t>
  </si>
  <si>
    <t>a539e499-f5d6-48f0-865d-7b37ef11e02f</t>
  </si>
  <si>
    <t>cfc904ed-295f-4279-87fb-7bc178f1c574</t>
  </si>
  <si>
    <t>Bi-Annual User Voice Privacy and Security Refresher Training H2 2025</t>
  </si>
  <si>
    <t>7bfde7bb-0bcc-49eb-a730-e20e78a04677</t>
  </si>
  <si>
    <t>cc817a63-c749-4aa1-ad3c-e3d33f5e04ff</t>
  </si>
  <si>
    <t>Ysabel Magno</t>
  </si>
  <si>
    <t>ymagno@canva.com</t>
  </si>
  <si>
    <t>7cef986d-6432-4121-946d-3dbd7c2e4c06</t>
  </si>
  <si>
    <t>5cd7a4d7-7ded-46f8-a6b4-c8e3eba63867</t>
  </si>
  <si>
    <t>72bf47f2-3445-407a-89f0-50b974e68080</t>
  </si>
  <si>
    <t>303add2a-1449-4415-a03e-1251393e1b0c</t>
  </si>
  <si>
    <t>39c9627d-c3d7-4fff-a67c-33502eb2bdaf</t>
  </si>
  <si>
    <t>POC task</t>
  </si>
  <si>
    <t>c7882a78-0a8e-4633-8141-0c49739e8872</t>
  </si>
  <si>
    <t>91990e0e-ad81-41f7-8930-c9e554551e5b</t>
  </si>
  <si>
    <t>a3faf3b9-c238-40f2-b00f-b45f9de42d55</t>
  </si>
  <si>
    <t>7bbcc51a-4a0d-4ecd-b0a6-889ee9bbec8d</t>
  </si>
  <si>
    <t>3c9b021d-517b-4ed9-bdb7-495aac89c0ae</t>
  </si>
  <si>
    <t>0cd9ed32-32f4-4f20-9778-20509ab1b351</t>
  </si>
  <si>
    <t>5ce00b1d-3e7c-4a5d-8d52-c5d468f97c60</t>
  </si>
  <si>
    <t>94b5622f-4cdf-4768-9ec1-d05ca2e582c6</t>
  </si>
  <si>
    <t>0d0ca339-f9fa-4beb-b9e3-ef5c2edd5a3b</t>
  </si>
  <si>
    <t>3fad8398-00cc-42d9-b0c5-5de221586d1a</t>
  </si>
  <si>
    <t>a072a376-447c-41f7-8dbc-039bfe9f9800</t>
  </si>
  <si>
    <t>e0bd7591-dbbd-4d9e-8375-3ff8aab97107</t>
  </si>
  <si>
    <t>8112a26e-d21d-4340-9929-5dc956afb1dd</t>
  </si>
  <si>
    <t>POC Task</t>
  </si>
  <si>
    <t>d03080e0-6e1d-416c-9d34-b1af190810ed</t>
  </si>
  <si>
    <t>eef65459-d106-4a70-abaf-3d393ff139a2</t>
  </si>
  <si>
    <t>d9ee207c-b4ff-49b6-9d4e-204b57bf6bf7</t>
  </si>
  <si>
    <t>e25633e8-2f05-415d-83b4-da40521ccfeb</t>
  </si>
  <si>
    <t>2438514c-c0e7-4948-b1f1-6297d2e464b1</t>
  </si>
  <si>
    <t>f8008054-7e69-4558-97e7-c44946117086</t>
  </si>
  <si>
    <t>be7c3e41-cb34-42b7-9157-271191592f9d</t>
  </si>
  <si>
    <t>4383b392-ce25-429a-bb2b-fad9aee23653</t>
  </si>
  <si>
    <t>4cdf2d18-1cfc-48d1-955f-574887cf5403</t>
  </si>
  <si>
    <t>0ab8f525-c8ea-48f3-825f-90fa00ccf415</t>
  </si>
  <si>
    <t>7a0160b2-6c2a-4021-ac21-1fe2b4da4163</t>
  </si>
  <si>
    <t>4372f3aa-26d9-474d-8ab1-1c57dfcc1167</t>
  </si>
  <si>
    <t>28111f5b-bdbe-475a-a2e4-dfb4830447d8</t>
  </si>
  <si>
    <t>3173f25a-ed4d-4ceb-9634-27caf3a6c659</t>
  </si>
  <si>
    <t>dacb1a8a-2814-4310-8a69-1cc8134a6289</t>
  </si>
  <si>
    <t>e23fe623-f9b3-4800-bd11-4f3c15ddd7d6</t>
  </si>
  <si>
    <t>f728f374-3dc8-45aa-896a-a33d1974c664</t>
  </si>
  <si>
    <t>fc4e1c11-131e-4796-9203-5ad6a42e25a8</t>
  </si>
  <si>
    <t>298c65cd-21c0-4ac1-8667-8220f0c69812</t>
  </si>
  <si>
    <t>50527ef9-0f06-4356-bf79-55d2e3befdeb</t>
  </si>
  <si>
    <t>71cc12d6-81ad-4480-9557-ff6a318e3277</t>
  </si>
  <si>
    <t>AA Abong</t>
  </si>
  <si>
    <t>triplea@canva.com</t>
  </si>
  <si>
    <t>1af92990-9057-41c2-a732-a7877105598b</t>
  </si>
  <si>
    <t>Work: SSS Flourish</t>
  </si>
  <si>
    <t>d0276010-30e3-4f01-8fc2-163799bbbc01</t>
  </si>
  <si>
    <t>6f3ad5f9-6f76-491d-acf2-e016f783c439</t>
  </si>
  <si>
    <t>5c6a0c74-ad9b-418f-b4a2-c68fadde9183</t>
  </si>
  <si>
    <t>387b358b-662d-4a6a-83af-fb2ae7cdcc62</t>
  </si>
  <si>
    <t>5ad313f3-5943-4d08-93cc-106726b156d5</t>
  </si>
  <si>
    <t>bf29bcd2-73c2-4823-91e0-04cf3c41c955</t>
  </si>
  <si>
    <t>e318439d-292f-401e-8c92-49f6429059cb</t>
  </si>
  <si>
    <t>ae191996-b4e4-4330-93fd-91c7b0df43a5</t>
  </si>
  <si>
    <t>e1947a93-2b70-46c0-b6b7-95aadb65f9c6</t>
  </si>
  <si>
    <t>0040769f-93c8-423b-b97a-e482be72c362</t>
  </si>
  <si>
    <t>de686c5e-e657-4fc3-95e7-9a478a5fcd2b</t>
  </si>
  <si>
    <t>7f37c42d-dda7-4f1e-8b12-e1f94f73d9b0</t>
  </si>
  <si>
    <t>241a1caf-2601-4b2a-b193-3cf78d29da40</t>
  </si>
  <si>
    <t>1d8100bc-c18f-4907-bb4c-21d9f3685cc9</t>
  </si>
  <si>
    <t>fe5107f7-2632-4b75-a5b8-540fae4d93cd</t>
  </si>
  <si>
    <t>70d237c5-0640-4c79-bc5d-8be9d63bcdc1</t>
  </si>
  <si>
    <t>0e4d74ed-6e9c-44a7-b057-8c4affb49772</t>
  </si>
  <si>
    <t>371b4619-1eeb-42b5-86e0-046909b30fb8</t>
  </si>
  <si>
    <t>94370476-97f5-4010-9e71-dc989e1ca553</t>
  </si>
  <si>
    <t>0b5c209b-c9fe-4460-9fab-ad0fecec5929</t>
  </si>
  <si>
    <t>59de49a0-dbb6-47ab-92a0-306195984f2b</t>
  </si>
  <si>
    <t>f3889529-2b68-41d2-8f69-7a55447f1374</t>
  </si>
  <si>
    <t>4e7cffb1-3470-4a52-951b-795393f2470c</t>
  </si>
  <si>
    <t>f98ba751-40db-4f35-9779-ef404e3cd505</t>
  </si>
  <si>
    <t>14ab0e6b-ba36-4083-a4df-79ae04c36179</t>
  </si>
  <si>
    <t>Alfred Devon Tolentino</t>
  </si>
  <si>
    <t>adtolentino@canva.com</t>
  </si>
  <si>
    <t>78f6a108-4210-4ce1-87f0-82820aaad56a</t>
  </si>
  <si>
    <t>8992ae9c-1a9d-4bdf-b4fe-164e8effd50a</t>
  </si>
  <si>
    <t>5eb9ba40-cfe9-4ea5-8975-4105eebabea4</t>
  </si>
  <si>
    <t>86308d9a-3e52-4fc7-9ebe-6f2e71eb0194</t>
  </si>
  <si>
    <t>8e2aeb0c-fcbd-475e-939d-141d9dacff59</t>
  </si>
  <si>
    <t>2661edc8-cc3b-4771-b62e-4c6e38fbee1c</t>
  </si>
  <si>
    <t>a55ec02b-0ee2-45b0-b969-e8981c21a5eb</t>
  </si>
  <si>
    <t>20bea24b-6f40-4f17-8e9f-cb4fc83a5fa4</t>
  </si>
  <si>
    <t>a83c8cfc-1c2a-4447-91cd-7bc3bb22e304</t>
  </si>
  <si>
    <t>5d2c3b60-af65-485c-913b-14554b50a8f8</t>
  </si>
  <si>
    <t>66967673-88d7-46d5-b555-a10fd0cafcce</t>
  </si>
  <si>
    <t>eeb554e6-cad2-4cfb-9b08-4d685f2a15ce</t>
  </si>
  <si>
    <t>f90eea0d-a971-41e5-9e61-5c83b1677b59</t>
  </si>
  <si>
    <t>385da333-5706-479d-9f0c-53285dff109f</t>
  </si>
  <si>
    <t>1d7a879d-6cc9-4481-9c46-baabc0f7d06d</t>
  </si>
  <si>
    <t>4b375a5b-5f4b-4710-a529-59977df3da47</t>
  </si>
  <si>
    <t>18d99f98-c5f1-4b64-9372-50f36fd6ea9c</t>
  </si>
  <si>
    <t>a6082014-0d2b-4323-be77-e4b2f9ec4063</t>
  </si>
  <si>
    <t>c9f91eec-6e97-4abe-baf0-692096d056a2</t>
  </si>
  <si>
    <t>562dd166-f209-408c-a0c5-cb560bf75e83</t>
  </si>
  <si>
    <t>da6787c3-0db8-407e-8173-6c9f3653f383</t>
  </si>
  <si>
    <t>1e8da949-35aa-4ee5-aebf-41a723cf6752</t>
  </si>
  <si>
    <t>c0ee624e-64fe-49ae-b8da-eed53d6380ac</t>
  </si>
  <si>
    <t>5f0cce5a-c29c-416c-a9e9-e7e3fa282c8a</t>
  </si>
  <si>
    <t>Angel Heart Santos</t>
  </si>
  <si>
    <t>angelheart@canva.com</t>
  </si>
  <si>
    <t>a3a0c396-a22a-48b4-83c9-33797a327fbc</t>
  </si>
  <si>
    <t>d3d915f5-0792-43bb-84dd-f0065865f6af</t>
  </si>
  <si>
    <t>64913c92-8541-4853-8a16-413450c14d7e</t>
  </si>
  <si>
    <t>cac6335a-4920-41af-8ad2-7eacbb907d45</t>
  </si>
  <si>
    <t>94dbc629-421c-4b77-930b-ca664378bfc1</t>
  </si>
  <si>
    <t>e5f68ac8-d643-4fef-821a-a3e49a347299</t>
  </si>
  <si>
    <t>d44f8882-81fb-42e7-8c11-7815814a8ca5</t>
  </si>
  <si>
    <t>46fafece-75e0-47ff-ae24-9931e7ab2641</t>
  </si>
  <si>
    <t>c1aa7a84-f0ae-4bde-9100-18d092bd7689</t>
  </si>
  <si>
    <t>fe6e151e-49c8-41fd-8970-aa96f3ff273d</t>
  </si>
  <si>
    <t>6b79afcc-950c-4f0e-ae1d-8d43b22d2143</t>
  </si>
  <si>
    <t>2dc6a9c6-c81d-4bb9-8de8-43e0c7214839</t>
  </si>
  <si>
    <t>5cfa4253-1476-427e-847d-4b24c727174e</t>
  </si>
  <si>
    <t>6137c708-5577-4f93-ae2c-5230750f2443</t>
  </si>
  <si>
    <t>798112a9-a575-40d4-bb8a-7bb5b2138696</t>
  </si>
  <si>
    <t>f06e3cf1-34dc-41d4-8451-a94e2bfd6657</t>
  </si>
  <si>
    <t>66b88562-3d22-40bb-bfca-92063c35bfb0</t>
  </si>
  <si>
    <t>225003ed-920f-4186-a0c1-49bf0fcd4686</t>
  </si>
  <si>
    <t>dd0564a7-0955-4de5-b828-3991adfce61b</t>
  </si>
  <si>
    <t>be14f848-2ea5-4491-9a72-c431b3980a35</t>
  </si>
  <si>
    <t>1e9471ae-858e-4c14-9804-4bd483e2e63a</t>
  </si>
  <si>
    <t>3c8f0c7d-7ba4-469a-9be3-0229936f3fcd</t>
  </si>
  <si>
    <t>b3a312bb-80a6-4404-a83b-85b5d7be9789</t>
  </si>
  <si>
    <t>CK Lobaton</t>
  </si>
  <si>
    <t>magnumck@canva.com</t>
  </si>
  <si>
    <t>d7cc5e94-bbb0-4acc-8856-a396f47f26ba</t>
  </si>
  <si>
    <t>84cef2d5-78b3-4094-abd2-0b60af1c54c7</t>
  </si>
  <si>
    <t>5331f232-75f4-453f-8c03-7a04cfa28f61</t>
  </si>
  <si>
    <t>9344b229-adda-4f0a-a84f-37fab4648b6b</t>
  </si>
  <si>
    <t>4c70aeda-d272-4086-aa6b-439fb867d6f0</t>
  </si>
  <si>
    <t>be0cf2e5-8e14-4f4d-b639-62e084dec0e7</t>
  </si>
  <si>
    <t>bec317b4-ee2d-47bc-b0d8-e0dba7f46989</t>
  </si>
  <si>
    <t>f290ed0d-886b-42a4-9bcd-679ade15d7f3</t>
  </si>
  <si>
    <t>b54ef4a4-26ed-4f70-97c7-968d9348e4a7</t>
  </si>
  <si>
    <t>46390b63-4c1b-485c-af4a-dd4a6d4239d8</t>
  </si>
  <si>
    <t>5fd33fa4-047d-46ce-94c6-660b750ed356</t>
  </si>
  <si>
    <t>3a060f69-cb03-4f4f-adf1-ce3299525eef</t>
  </si>
  <si>
    <t>6bf55564-8831-40ae-9da4-416185a3a306</t>
  </si>
  <si>
    <t>45a99588-f81e-4c0f-9fea-1bc4b2561de2</t>
  </si>
  <si>
    <t>327ea32e-a54c-43df-83c7-7114fc11a9b5</t>
  </si>
  <si>
    <t>06dbe3d0-1550-4942-b39a-90810852f601</t>
  </si>
  <si>
    <t>d0a1faff-e297-4113-947b-16fca9c083a3</t>
  </si>
  <si>
    <t>3cee0e4f-0645-49b0-8782-9a55bf6f8aef</t>
  </si>
  <si>
    <t>bd0aadc1-c1b6-4d0a-909f-304b8cf8a7f7</t>
  </si>
  <si>
    <t>4991cc28-2ec1-4260-a250-aab9138f567b</t>
  </si>
  <si>
    <t>93c4cbab-44b8-45a4-9c7a-faa89279f605</t>
  </si>
  <si>
    <t>49dbb86e-fd48-4e75-b2e2-63105d3c3652</t>
  </si>
  <si>
    <t>bd016238-4de3-403c-9c79-00d36528693f</t>
  </si>
  <si>
    <t>d235389b-3321-47e0-9816-c2275d682304</t>
  </si>
  <si>
    <t>Kevin John Romuga</t>
  </si>
  <si>
    <t>kevromuga@canva.com</t>
  </si>
  <si>
    <t>bf839749-327a-4c2b-ba14-c36f93018c1d</t>
  </si>
  <si>
    <t>415013bb-bb92-43a0-86fa-f77342f4c3d3</t>
  </si>
  <si>
    <t>fbd303be-1b13-4660-8818-7f583b894163</t>
  </si>
  <si>
    <t>50a4c563-5753-44f3-972d-b1130691bc33</t>
  </si>
  <si>
    <t>6160faab-802f-4e6a-8c0a-232c4ebbaa74</t>
  </si>
  <si>
    <t>5654c87f-44bd-4bd2-b0ab-475b08759958</t>
  </si>
  <si>
    <t>92ce8bdd-d7be-40ff-a171-95434eb9702f</t>
  </si>
  <si>
    <t>366dbb08-3d90-43aa-8330-ff9c2a2c4c27</t>
  </si>
  <si>
    <t>4422fd04-aaea-4c3c-8289-8df4a13eb1a8</t>
  </si>
  <si>
    <t>08271ae9-ec33-405f-b0c6-3587e5402c30</t>
  </si>
  <si>
    <t>65b1ebe2-e709-4f28-9a30-1f033f950cd7</t>
  </si>
  <si>
    <t>bd011d04-c975-46f9-a2d9-40c037024620</t>
  </si>
  <si>
    <t>82de1473-b8ba-48aa-8edb-188d470563bb</t>
  </si>
  <si>
    <t>7331b85e-e8ee-4448-a7b4-1d6189aa5ffa</t>
  </si>
  <si>
    <t>2fc7ad01-f28d-453f-80ab-30d0f46cf89f</t>
  </si>
  <si>
    <t>1f3d59f2-98e7-4db2-935f-90a6e0afa7c6</t>
  </si>
  <si>
    <t>9805d9a3-bf62-4c1c-926d-2f01a3bc7dac</t>
  </si>
  <si>
    <t>d352215f-d61a-48fe-9b74-e1873ad04060</t>
  </si>
  <si>
    <t>2db984c7-99fa-4e19-b1c8-64035739136c</t>
  </si>
  <si>
    <t>5379280d-4a6f-4225-87ae-b3fca3ef1623</t>
  </si>
  <si>
    <t>03858a4c-38ef-4be0-ac3e-7300da432686</t>
  </si>
  <si>
    <t>a6770b1a-a2b9-4e9a-8524-151dd8dc1de3</t>
  </si>
  <si>
    <t>b7f10b06-e1a0-465a-b04e-fec34aef13e4</t>
  </si>
  <si>
    <t>187b1c17-dddf-4e06-b3eb-e048dac0eba5</t>
  </si>
  <si>
    <t>02375a05-aa03-4638-9341-a1adf6ebf65c</t>
  </si>
  <si>
    <t>25842f0d-94b0-4d59-8eeb-a29d071e0fbe</t>
  </si>
  <si>
    <t>c4e36f8e-ed13-422d-b59f-eec0b4d370b9</t>
  </si>
  <si>
    <t>f3e3b708-1f56-4b25-9376-ac8ffbc66ff3</t>
  </si>
  <si>
    <t>ae8e4ddf-3cba-41ba-86fd-7666b33ebdc6</t>
  </si>
  <si>
    <t>3e85b9bc-728a-4519-928f-9024704f2ea4</t>
  </si>
  <si>
    <t>70d85fc5-4000-4987-8567-30e88e364829</t>
  </si>
  <si>
    <t>2fe93369-a75f-4010-9619-21db09ab6a26</t>
  </si>
  <si>
    <t>298d5f55-b7f6-4164-b84e-face9b3cbecb</t>
  </si>
  <si>
    <t>Kim Mondala</t>
  </si>
  <si>
    <t>kimmi@canva.com</t>
  </si>
  <si>
    <t>d606d813-586a-464d-ab9e-c4b51b42e4e4</t>
  </si>
  <si>
    <t>edb95932-239e-4d8e-ae60-cefaead7b042</t>
  </si>
  <si>
    <t>35be60ac-4437-4463-96bf-d741bb133952</t>
  </si>
  <si>
    <t>9f524393-b5d6-4262-8da0-900a17a0a6f3</t>
  </si>
  <si>
    <t>852f99f1-6e05-4db3-a9a5-2ca71cd75087</t>
  </si>
  <si>
    <t>71add7b2-0304-4aa7-a5ae-de6183b9e356</t>
  </si>
  <si>
    <t>0a251be4-0359-44c4-83c1-a172e02a606a</t>
  </si>
  <si>
    <t>408d5395-d0e5-4657-9054-1dee9d92730f</t>
  </si>
  <si>
    <t>d640e9d7-4203-4b61-b46f-22b495169bf0</t>
  </si>
  <si>
    <t>f9cf1f4e-59f1-4c73-950a-b350b53479fb</t>
  </si>
  <si>
    <t>dece5467-4111-4eb6-987e-11218a9f75e4</t>
  </si>
  <si>
    <t>57d5c1ca-9440-4419-b587-310da2652040</t>
  </si>
  <si>
    <t>12b8678e-53da-413e-b3d6-c34fb8977c22</t>
  </si>
  <si>
    <t>ac29a5fa-7642-4d99-bf70-f056c7c77685</t>
  </si>
  <si>
    <t>5cd316f8-5ac0-4ad4-8755-531192d0ff5d</t>
  </si>
  <si>
    <t>b56c0487-f395-48c5-ab25-d99e066217a5</t>
  </si>
  <si>
    <t>c0fc8b21-8594-4912-86e9-f22b7814dd1a</t>
  </si>
  <si>
    <t>043e3546-00bd-4572-803b-d84bff52299c</t>
  </si>
  <si>
    <t>cd62e9c6-80cc-4240-82e7-7b520dc8a9bc</t>
  </si>
  <si>
    <t>1d202fb8-73ae-4439-bfb4-205dbd502732</t>
  </si>
  <si>
    <t>462e664c-bcff-4c20-a2ad-01814b717e70</t>
  </si>
  <si>
    <t>7ca493e9-f17d-4d61-83f5-85679e82a30e</t>
  </si>
  <si>
    <t>93a6d4f7-b554-418b-b54e-0f3ff18cb2ea</t>
  </si>
  <si>
    <t>d0bf168c-4c21-43be-abef-2d821133980c</t>
  </si>
  <si>
    <t>Nichole Braceliño</t>
  </si>
  <si>
    <t>nicholeb@canva.com</t>
  </si>
  <si>
    <t>82c69ad0-4303-40ca-8854-d4cdfe42cb75</t>
  </si>
  <si>
    <t>d2d993f0-286e-4303-bdb1-80fe7becbcdc</t>
  </si>
  <si>
    <t>5d1bec90-ef0b-4f2e-ac86-c0869e7b407d</t>
  </si>
  <si>
    <t>c86bab8d-fa31-4203-95ff-53d482414b4d</t>
  </si>
  <si>
    <t>1cd73683-eded-4dd7-8c60-8bff73db5fa1</t>
  </si>
  <si>
    <t>1f1ba093-90d0-40e8-9c9b-854b8f7df725</t>
  </si>
  <si>
    <t>11d7aaa7-d3f5-4e02-b17a-09163723601e</t>
  </si>
  <si>
    <t>59938ab6-12ee-46ce-af4d-5717d05b91a7</t>
  </si>
  <si>
    <t>4bda8657-6e56-473e-a97b-5c9b164b2ce4</t>
  </si>
  <si>
    <t>43e6ea06-f47f-4f08-b45b-9a22221ead36</t>
  </si>
  <si>
    <t>a4540e7c-4d35-4550-946d-f56313ea0539</t>
  </si>
  <si>
    <t>4320ae1c-1df0-404e-a929-75edfc22bee5</t>
  </si>
  <si>
    <t>7ee30df3-b782-4e99-af88-b1d25415c7e3</t>
  </si>
  <si>
    <t>68cc7cf6-717b-4b06-8c50-59c7784166aa</t>
  </si>
  <si>
    <t>224382f8-13d5-4bfe-a449-6996cb509487</t>
  </si>
  <si>
    <t>ce0557db-cef1-43ee-b036-316ccd07df7e</t>
  </si>
  <si>
    <t>0bd6f37f-d938-418e-8ec7-8b6ccaf3a0e3</t>
  </si>
  <si>
    <t>45923e7d-e97a-470a-aa6f-48d9e8796e2b</t>
  </si>
  <si>
    <t>c7515ae0-8bce-49e9-a12c-a9254fe3333c</t>
  </si>
  <si>
    <t>c1cff4ac-982d-441b-aa2a-04d3fe817be7</t>
  </si>
  <si>
    <t>e71c610a-60ef-4816-8b96-778258edc8c3</t>
  </si>
  <si>
    <t>21a2e0c6-89f8-4ab1-a08d-4deb4306d48f</t>
  </si>
  <si>
    <t>ec3f2abd-3039-43f3-b3ac-156727937645</t>
  </si>
  <si>
    <t>d3603c41-d7a4-470b-bc08-546001165a1c</t>
  </si>
  <si>
    <t>9705a237-f7f4-44bf-8f57-9dfeb5f4c326</t>
  </si>
  <si>
    <t>8fab8cd2-d868-4238-941c-1e7ec435c06b</t>
  </si>
  <si>
    <t>755b648e-c237-4f10-86e9-15d12d8eaaec</t>
  </si>
  <si>
    <t>9dcbb71c-da64-4041-9f43-186aeb735745</t>
  </si>
  <si>
    <t>e49dc5c8-b7fe-4ab7-821d-d1902fadbe72</t>
  </si>
  <si>
    <t>ab14ac10-6fdd-4acd-92a0-afc53948f957</t>
  </si>
  <si>
    <t>CK Geronimo</t>
  </si>
  <si>
    <t>ckmg@canva.com</t>
  </si>
  <si>
    <t>caac77e5-e051-4de0-9a07-165cb51e51e9</t>
  </si>
  <si>
    <t>4195b5c7-ed02-4f60-97d7-b7c880fb03e7</t>
  </si>
  <si>
    <t>a3859c72-4df8-4df8-b888-61882f32d6d7</t>
  </si>
  <si>
    <t>a225b226-cac1-48e7-bc6a-d2805346a31c</t>
  </si>
  <si>
    <t>66e6f344-5388-495c-a184-3d7900f366c0</t>
  </si>
  <si>
    <t>aa7a489f-77db-4b91-8c16-4aec6df0251d</t>
  </si>
  <si>
    <t>b00137d4-a02b-4f93-911b-9b2817f5943f</t>
  </si>
  <si>
    <t>517b48c6-91be-49eb-bf8a-050b9884982f</t>
  </si>
  <si>
    <t>324f7f17-ee23-4e6a-b8f3-9d45b9e9daeb</t>
  </si>
  <si>
    <t>f29854aa-11a1-404d-baef-2a9683a6e777</t>
  </si>
  <si>
    <t>94ad78ea-d9a7-4f96-9adc-c02fa87561e8</t>
  </si>
  <si>
    <t>5431ad8f-3c42-43c2-8ae4-16c6af60f74e</t>
  </si>
  <si>
    <t>215c8a70-3cc2-4637-a9ce-98a3a5b588b8</t>
  </si>
  <si>
    <t>cf8cc19b-fc1b-498e-933e-5e8f14152567</t>
  </si>
  <si>
    <t>05eb1bf1-3c8b-470b-b689-c8bdbb188006</t>
  </si>
  <si>
    <t>d3f19d72-50c4-40d6-acfb-b6809ca77ff7</t>
  </si>
  <si>
    <t>3925d919-bf33-415b-a297-2c57b9e835bf</t>
  </si>
  <si>
    <t>9f0ecfb2-3c8b-4e72-9722-271a0f554278</t>
  </si>
  <si>
    <t>44ab6586-7b9f-40f2-9c05-fa7048ea4b71</t>
  </si>
  <si>
    <t>3eea6a70-1d1f-4def-93fa-d9de190c7fd7</t>
  </si>
  <si>
    <t>Gabriel Reyes</t>
  </si>
  <si>
    <t>gvr@canva.com</t>
  </si>
  <si>
    <t>bf4ba5bb-b286-4821-aa52-dd937951a486</t>
  </si>
  <si>
    <t>5c95587e-7fd0-4543-b4b0-be1300f1bb9b</t>
  </si>
  <si>
    <t>2cff5c55-e689-405d-ba0a-77368312eed5</t>
  </si>
  <si>
    <t>1d0cdf9a-50d3-4f66-b966-62403b175327</t>
  </si>
  <si>
    <t>1cb00015-8b02-438a-a9b9-e7493fe41b09</t>
  </si>
  <si>
    <t>f10ff82f-d9e8-47f2-bf44-3721b986c9bc</t>
  </si>
  <si>
    <t>65cd48b8-898d-4aef-ae2e-d7cb64484411</t>
  </si>
  <si>
    <t>aa754fc5-0067-496f-a99f-97126480a3a4</t>
  </si>
  <si>
    <t>659aa4c8-db95-4ade-8b56-bffc087be4e0</t>
  </si>
  <si>
    <t>cb957ff0-8a80-4b52-8e51-d4909d34f72e</t>
  </si>
  <si>
    <t>4f95b318-3c27-4df0-8f7e-79fb1967f9be</t>
  </si>
  <si>
    <t>5f698970-d83d-44ea-b638-bb309d72ac9b</t>
  </si>
  <si>
    <t>67056495-4e98-4294-bf6d-1929fa09788f</t>
  </si>
  <si>
    <t>fad66078-ef0f-4142-8042-e8c95265232f</t>
  </si>
  <si>
    <t>4d71bf16-6926-4af3-90a4-6736e2318290</t>
  </si>
  <si>
    <t>71e84d67-763d-4811-8228-66198116fa79</t>
  </si>
  <si>
    <t>7c3e0ab7-a9a8-40c6-8c6d-322417c3ff2d</t>
  </si>
  <si>
    <t>8731637f-dc2e-44a1-b293-b8d0fbf36045</t>
  </si>
  <si>
    <t>c2760ca1-9bc5-4a04-90ea-22657d385c20</t>
  </si>
  <si>
    <t>71b8d1b4-0a23-4bc2-8084-d859186a458c</t>
  </si>
  <si>
    <t>c0f3492c-b6e0-4663-88e9-07ef49890f6a</t>
  </si>
  <si>
    <t>Lei Gratuito</t>
  </si>
  <si>
    <t>leilanie@canva.com</t>
  </si>
  <si>
    <t>28ec8f03-caa7-4897-ab69-cd6b0f640e20</t>
  </si>
  <si>
    <t>be2cb5d4-550a-4bb9-8bed-113105a83ae9</t>
  </si>
  <si>
    <t>c40f8cd5-86c4-4394-b3ce-34b35820cac7</t>
  </si>
  <si>
    <t>cd325bd3-017d-4620-b979-d1d06b53f454</t>
  </si>
  <si>
    <t>83782bfe-442d-40a3-a904-2c9de8892f7a</t>
  </si>
  <si>
    <t>94b5023a-ef1e-4e0b-9552-7725fd04c8e9</t>
  </si>
  <si>
    <t>3e5e9cd4-9dd0-43ba-a978-e2752b2fa830</t>
  </si>
  <si>
    <t>7f14e95a-6bc5-4e8d-8311-f90adba3bdee</t>
  </si>
  <si>
    <t>0792f598-62af-47f1-9dce-ca041723da69</t>
  </si>
  <si>
    <t>b7574e70-c2e3-4623-b3eb-39e94f236559</t>
  </si>
  <si>
    <t>b8303281-243e-435d-8b8c-a90862171c1d</t>
  </si>
  <si>
    <t>ffa2f4ad-b856-4d43-bfa7-1a4c05d5fca3</t>
  </si>
  <si>
    <t>3112cee3-e0e6-44da-a8aa-fef247bb3bbe</t>
  </si>
  <si>
    <t>68c771cb-ff36-4e5a-8e56-2e8a3cde1e6a</t>
  </si>
  <si>
    <t>126602de-98d5-41e0-b567-4db46a8c6a13</t>
  </si>
  <si>
    <t>44274ed6-f43a-4dc2-8d7f-c4710ae8d5f1</t>
  </si>
  <si>
    <t>f00c1c3c-35f8-475a-9548-4c46ba502e0d</t>
  </si>
  <si>
    <t>328e304b-8a58-42c8-bf27-9d78b5906af4</t>
  </si>
  <si>
    <t>8608e735-ddc4-4905-9414-9e9af5e11fa8</t>
  </si>
  <si>
    <t>5c36fd6e-8bd1-48fa-9078-720367fd883e</t>
  </si>
  <si>
    <t>3c43a467-7ec6-468f-9faa-b590edb4ba39</t>
  </si>
  <si>
    <t>683fe137-6215-453f-bdac-36032b430cd0</t>
  </si>
  <si>
    <t>dbcce6e6-3b73-46e8-a3db-5466152bcf1e</t>
  </si>
  <si>
    <t>dc71214f-0369-48be-8de3-5f4e1b77e59e</t>
  </si>
  <si>
    <t>1ac38f7d-c3ac-4e8f-a53d-57a3c8db5e3d</t>
  </si>
  <si>
    <t>96355be2-24ab-4c2b-9c0c-4ae3b9c5110c</t>
  </si>
  <si>
    <t>ab1f7d9b-e74b-4659-ae0f-3c6afbdc1a67</t>
  </si>
  <si>
    <t>40db78e4-5983-49cf-a548-67060d723e41</t>
  </si>
  <si>
    <t>fb96db8a-17c4-4f97-8836-ff875be881b5</t>
  </si>
  <si>
    <t>2e981db7-61ee-4b53-aef6-4c4cc65464d7</t>
  </si>
  <si>
    <t>Lewis Ramirez</t>
  </si>
  <si>
    <t>lewisjarvin@canva.com</t>
  </si>
  <si>
    <t>fc6dff8f-c426-49d0-90e9-37c6ebe482b1</t>
  </si>
  <si>
    <t>9bc2ed62-39ec-4e0d-b0d7-c93d17073246</t>
  </si>
  <si>
    <t>167965c7-8478-4acc-b7ea-3c721add05fd</t>
  </si>
  <si>
    <t>b407b66e-cd26-4682-947a-9ae0a50a9836</t>
  </si>
  <si>
    <t>40ac86b8-abed-412f-975f-b95f203a337d</t>
  </si>
  <si>
    <t>160352cb-10ba-419a-a14b-06d9925dd568</t>
  </si>
  <si>
    <t>swap break and lunch as used time to travel to another loc</t>
  </si>
  <si>
    <t>42dd9e7b-7e8b-482a-9c91-837b2842c24f</t>
  </si>
  <si>
    <t>swapped with break as used break to travel</t>
  </si>
  <si>
    <t>bf2da3b4-6667-48af-9a69-da2f2958162f</t>
  </si>
  <si>
    <t>4d393eed-207a-43de-a9f3-34fd5feb358e</t>
  </si>
  <si>
    <t>35fad003-f190-49a8-b4f2-be4f05bacc6c</t>
  </si>
  <si>
    <t>6997646b-94f7-4d78-aea9-fd8008b0f617</t>
  </si>
  <si>
    <t>dbc05d51-db21-4300-be12-76e8ca1fe687</t>
  </si>
  <si>
    <t>55a17b0f-16ff-4739-919d-618bffe91196</t>
  </si>
  <si>
    <t>55ccc835-284e-4200-993d-9bf42793bca4</t>
  </si>
  <si>
    <t>2db742b3-4a1e-489f-b3bb-3489703e455c</t>
  </si>
  <si>
    <t>8a870c90-2083-4120-8390-dfdbe3d23832</t>
  </si>
  <si>
    <t>QFS &amp; QA CX Feedback</t>
  </si>
  <si>
    <t>0d6ace1b-90ed-4f76-a9f1-b83c3012cbd7</t>
  </si>
  <si>
    <t>c992b262-a5f2-49db-9313-dbf28b5cc2e6</t>
  </si>
  <si>
    <t>QFS &amp; CORB filing</t>
  </si>
  <si>
    <t>84f26cea-6ed6-447c-b6c3-fa1717131677</t>
  </si>
  <si>
    <t>bb613570-affb-4f87-b294-782e06adc7c0</t>
  </si>
  <si>
    <t>56577eb6-a616-4175-aa26-cbff1d21a234</t>
  </si>
  <si>
    <t>fdfdcc55-4be2-448a-85ae-7043212c4088</t>
  </si>
  <si>
    <t>210fd895-e651-42be-b061-92ab80363534</t>
  </si>
  <si>
    <t>c099fecd-f2e4-4b33-8ba3-1c6779033d42</t>
  </si>
  <si>
    <t>Liberty Casala</t>
  </si>
  <si>
    <t>liberty@canva.com</t>
  </si>
  <si>
    <t>c846ed9a-4d62-4124-bd1e-9267f401c0c1</t>
  </si>
  <si>
    <t>1b295134-4828-4057-bdcc-9e52bddf3203</t>
  </si>
  <si>
    <t>7a46d93a-3933-4ec9-8927-817e19b6185a</t>
  </si>
  <si>
    <t>9182407c-b51b-432d-8394-7e1b191db9ff</t>
  </si>
  <si>
    <t>743f1917-e782-41b3-b74d-520dee1c46b3</t>
  </si>
  <si>
    <t>b6ed7d97-d76c-49a7-8168-63317364a2ff</t>
  </si>
  <si>
    <t>1db6f22b-dccf-44ab-a0ba-ef9b7e5b0e70</t>
  </si>
  <si>
    <t>68c312e1-9351-4fe5-8544-d97c9112b745</t>
  </si>
  <si>
    <t>b1761e10-1acb-44c2-9c90-fae41109b94b</t>
  </si>
  <si>
    <t>9d57a130-1961-4c7d-a1d1-ad2c8eea664d</t>
  </si>
  <si>
    <t>78ea68c6-7633-4f6a-b07d-701c87349705</t>
  </si>
  <si>
    <t>9d718599-69f4-4b26-9841-24f23bb1f597</t>
  </si>
  <si>
    <t>Internet connection error</t>
  </si>
  <si>
    <t>3671232e-240e-468a-a36d-e19667ba07bc</t>
  </si>
  <si>
    <t>9e8450c6-f4de-4fc7-8410-83d1da44667c</t>
  </si>
  <si>
    <t>19bc132e-dc3f-4770-9c46-c82cfad120bc</t>
  </si>
  <si>
    <t>15164f5f-e7c5-430c-860e-e1f2913daa2c</t>
  </si>
  <si>
    <t>2c97382b-1ee2-4561-9876-7c33456345fc</t>
  </si>
  <si>
    <t>48e88b01-920c-4b75-b368-6e28559c8eb9</t>
  </si>
  <si>
    <t>304bd484-9616-4403-8a17-3bb42b4d102d</t>
  </si>
  <si>
    <t>2d0f38d6-98f2-49a3-b11f-1a8b9d4564b3</t>
  </si>
  <si>
    <t>c291e7e8-c6b3-4b98-a594-30212c77cdce</t>
  </si>
  <si>
    <t>e2a64b00-1aa2-46c5-b59b-4b07d0f12273</t>
  </si>
  <si>
    <t>0126d2ba-a2d8-47aa-9721-f83452657b94</t>
  </si>
  <si>
    <t>4304d602-9866-4ff7-87bf-fce627a47a13</t>
  </si>
  <si>
    <t>7eccba5c-104b-4009-8555-863d0ce77693</t>
  </si>
  <si>
    <t>88b69334-e8d9-4b13-a7e4-fbaee71f5fe1</t>
  </si>
  <si>
    <t>9bb4ff24-0ec6-41a1-925f-48453c404a56</t>
  </si>
  <si>
    <t>d3115fa2-1842-45c9-b331-17b958a7b38f</t>
  </si>
  <si>
    <t>f0682e45-7104-4f9d-b046-4dca3176da11</t>
  </si>
  <si>
    <t>0f8d8927-aad1-40c2-82ac-95b7b823eec0</t>
  </si>
  <si>
    <t>Rony Valderrama</t>
  </si>
  <si>
    <t>rvalderrama@canva.com</t>
  </si>
  <si>
    <t>eca29821-b7f7-4133-8c2b-9d404cacb193</t>
  </si>
  <si>
    <t>Checked queues</t>
  </si>
  <si>
    <t>0ce37f76-8c89-4a4f-903b-ff78319a089f</t>
  </si>
  <si>
    <t>1914fc85-6594-4554-b190-76fe0324b224</t>
  </si>
  <si>
    <t>10d9c6bc-70ed-444c-87d6-8cd9dfdacf98</t>
  </si>
  <si>
    <t>2c427276-babe-44a5-b956-c90f7c809cbe</t>
  </si>
  <si>
    <t>e2caf907-ed55-462b-87fd-31bdc99eee9f</t>
  </si>
  <si>
    <t>19a373ce-9f34-4c9d-b1ef-f113833a4689</t>
  </si>
  <si>
    <t>9111de61-fb21-4898-a2a8-949bba640199</t>
  </si>
  <si>
    <t>195107bd-8402-4e04-8140-a94eb1150210</t>
  </si>
  <si>
    <t>3d2ab5e7-ec42-4762-b66a-f168f60a5891</t>
  </si>
  <si>
    <t>82943491-cf5d-499a-895f-62c5b2e8b071</t>
  </si>
  <si>
    <t>9c66f6fe-c5fd-4f3b-89f1-3e5d342d4158</t>
  </si>
  <si>
    <t>1ef0e615-69d9-4549-a2b9-a757405b236b</t>
  </si>
  <si>
    <t>373f7486-9202-43ec-997e-0fd7cb9f2e91</t>
  </si>
  <si>
    <t>d196e0ae-a942-4811-8fa8-d87fb5e7d158</t>
  </si>
  <si>
    <t>a78b26fa-c3d6-4788-8e01-38085679b639</t>
  </si>
  <si>
    <t>6a702e56-d6ed-4da0-9c23-f284f36cbf3e</t>
  </si>
  <si>
    <t>180d470c-ba03-4e2f-b6f9-17e7e30c63c2</t>
  </si>
  <si>
    <t>9a895cf0-c7f3-4349-9728-78a18980b39e</t>
  </si>
  <si>
    <t>67951884-581f-4d08-bf58-21c74db53211</t>
  </si>
  <si>
    <t>449ce16e-bee3-4790-bc65-af0e93563d53</t>
  </si>
  <si>
    <t>bc5e5370-fae2-4cf0-a9ed-450e802f2b0e</t>
  </si>
  <si>
    <t>30def640-5e2a-4c1b-88b1-18df2652302f</t>
  </si>
  <si>
    <t>e25bf157-83d5-486c-ac3f-f2e84bc3e9b1</t>
  </si>
  <si>
    <t>3fd56362-e3ff-4e06-a76d-d448bf0cc62b</t>
  </si>
  <si>
    <t>c05fccb8-d4c4-4c75-ba47-e8c2697de748</t>
  </si>
  <si>
    <t>fee71034-618b-4c92-83fd-8da844a8d6ca</t>
  </si>
  <si>
    <t>bf50c9e3-1e1c-4bc5-a85a-524e4073fcc7</t>
  </si>
  <si>
    <t>ef2b8b55-f7b4-4d04-9c0f-1478ebaf3f06</t>
  </si>
  <si>
    <t>f1efabb5-7dbf-4d9a-acb7-e57704a96f5b</t>
  </si>
  <si>
    <t>b453a838-e79f-4070-a4a4-dca6faeba884</t>
  </si>
  <si>
    <t>0cb20ca9-3fbe-4f11-85df-dbdad35a4300</t>
  </si>
  <si>
    <t>ef93f241-9685-4653-85ba-c0bfa6480088</t>
  </si>
  <si>
    <t>7521083f-683f-41da-b274-aae2d1e1a167</t>
  </si>
  <si>
    <t>5c1ef0ac-6df9-4ebb-97fe-6350aaf61ba9</t>
  </si>
  <si>
    <t>fa8c2bd2-99db-496e-8a51-bb2629a24e78</t>
  </si>
  <si>
    <t>a568ec36-1687-4f12-a985-522b2714f6d0</t>
  </si>
  <si>
    <t>6f52f807-9641-4f21-b34f-312ae3e9b3c9</t>
  </si>
  <si>
    <t>Yulya Shevkunova</t>
  </si>
  <si>
    <t>iuliia@canva.com</t>
  </si>
  <si>
    <t>7d9b10b4-90db-47ed-83fb-ca5a9d997b59</t>
  </si>
  <si>
    <t>Work: ML Russian</t>
  </si>
  <si>
    <t>1147d99f-44dc-41d8-beef-44379ccbf07b</t>
  </si>
  <si>
    <t>fb1716c4-09a3-4c38-bb44-a75869d2c361</t>
  </si>
  <si>
    <t>d7413b38-f504-4651-b5c4-9c389cec627b</t>
  </si>
  <si>
    <t>52000b07-735b-456b-9bda-ba7b4a46c03a</t>
  </si>
  <si>
    <t>c2dc3677-29ce-4194-889b-c19b87c598e7</t>
  </si>
  <si>
    <t>f933788f-e70d-4f16-926f-2f061c7f7df2</t>
  </si>
  <si>
    <t>ff7d2acd-5040-4907-a80f-f922b2353daa</t>
  </si>
  <si>
    <t>724f6b0e-ab87-4d48-aba7-0de0c48da395</t>
  </si>
  <si>
    <t>3f1cefce-2c85-4f43-8aed-d6830ce75945</t>
  </si>
  <si>
    <t>ac6974ff-085c-4faa-a7eb-4665fd3ba0d6</t>
  </si>
  <si>
    <t>396c16c2-18ad-4cd4-9ccf-a0440a8d87a0</t>
  </si>
  <si>
    <t>24742861-9e93-4ad2-9154-18191a1a09ee</t>
  </si>
  <si>
    <t>ea876bc4-42e6-4127-834f-74d9e48f9abb</t>
  </si>
  <si>
    <t>599fd826-ce79-4b86-a098-3ef446a3d540</t>
  </si>
  <si>
    <t>524275bd-6970-49c4-987a-da2dc8509558</t>
  </si>
  <si>
    <t>baf4ae48-9a42-4458-a2de-f143ebd79007</t>
  </si>
  <si>
    <t>0897402d-ae83-4413-af93-09bc1ce7bfac</t>
  </si>
  <si>
    <t>f57a264a-15b9-48e3-a101-1b667efa082a</t>
  </si>
  <si>
    <t>be4644c4-51cf-4739-9564-542a9f9c0c0d</t>
  </si>
  <si>
    <t>25ff78da-c51f-4720-a05e-59cf1abcebeb</t>
  </si>
  <si>
    <t>b6a9780b-3716-4885-a38c-4fc12ee0cae0</t>
  </si>
  <si>
    <t>41e73ce2-bda5-4412-b2d5-381b4a0a0fdd</t>
  </si>
  <si>
    <t>Christine Araga</t>
  </si>
  <si>
    <t>tintinmaxilom@canva.com</t>
  </si>
  <si>
    <t>12d7c656-b710-4c21-858e-c8f417bf504c</t>
  </si>
  <si>
    <t>54f7eb35-d31f-4197-bda5-58de073c39f7</t>
  </si>
  <si>
    <t>28d12b5d-1c0c-4799-b993-0338d49dfe04</t>
  </si>
  <si>
    <t>05977ef1-6092-4e8c-a45d-eb2f4ba966a1</t>
  </si>
  <si>
    <t>178951fa-8402-4e92-a5ae-254620a923e1</t>
  </si>
  <si>
    <t>5e39bf9d-002c-49c7-ba77-18ff6601c92c</t>
  </si>
  <si>
    <t>Unified Escalation Process check-in</t>
  </si>
  <si>
    <t>599eba65-986a-4782-b70b-93dd1a697709</t>
  </si>
  <si>
    <t>21b8ee0d-81bd-44ab-b52e-ab57671a1ae1</t>
  </si>
  <si>
    <t>a15cf502-2ef2-41f8-8105-d7903ca98717</t>
  </si>
  <si>
    <t>913b109e-7e1b-4bd2-9994-36df5a535a95</t>
  </si>
  <si>
    <t>72ffc15e-efd0-4945-8e6b-8438c597008d</t>
  </si>
  <si>
    <t>06f9f416-f5d7-4816-a679-745ad08e5cf5</t>
  </si>
  <si>
    <t>0e4db0a3-6dcc-4ba8-8c3c-7aa21c339f4b</t>
  </si>
  <si>
    <t>7159f92f-5d67-4f50-b277-800b59de0bd1</t>
  </si>
  <si>
    <t>73ff020f-fdb0-4f3a-ab19-52cdaf881894</t>
  </si>
  <si>
    <t>CPSET Connect</t>
  </si>
  <si>
    <t>3f18f915-2886-4cb8-876b-5daee3e3ea61</t>
  </si>
  <si>
    <t>e01ffe43-cecb-4740-9eeb-152bc26b2c5d</t>
  </si>
  <si>
    <t>backread</t>
  </si>
  <si>
    <t>a1181db8-d6bf-49f3-9a0d-9442807c03e1</t>
  </si>
  <si>
    <t>Team huddle</t>
  </si>
  <si>
    <t>0811bd70-4eb4-4977-b7fd-1530c2cad2db</t>
  </si>
  <si>
    <t>moved meal</t>
  </si>
  <si>
    <t>becb5d6e-32a6-4699-a047-4efde7d99424</t>
  </si>
  <si>
    <t>moved bb</t>
  </si>
  <si>
    <t>76b8e9da-fef7-4196-8d62-6344ed80bb5b</t>
  </si>
  <si>
    <t>dfacc51f-356e-44d2-b162-df2ec5480e33</t>
  </si>
  <si>
    <t>aa98d34b-0534-4569-b575-d2221bc30c2a</t>
  </si>
  <si>
    <t>2ac05cce-1a7d-41d7-9c61-4aaed8087e47</t>
  </si>
  <si>
    <t>a4ce13d4-9226-4189-a6f8-0225b23764b1</t>
  </si>
  <si>
    <t>c820bf34-a16a-4ab5-afca-78d6c71226e3</t>
  </si>
  <si>
    <t>Claddys Ann Bernaldez</t>
  </si>
  <si>
    <t>cladd@canva.com</t>
  </si>
  <si>
    <t>af0c3673-6cdf-40c2-89cd-6f100aa32b81</t>
  </si>
  <si>
    <t>b5a0d232-fbf0-4e26-a41b-57f304bd05b5</t>
  </si>
  <si>
    <t>1d211afb-b1a7-4e02-9d0c-325cc8fda16f</t>
  </si>
  <si>
    <t>21250915-9ad7-45a3-b787-6d47099879f1</t>
  </si>
  <si>
    <t>2e7ad5a1-7d65-43ad-ad73-1a9ab68a4fc6</t>
  </si>
  <si>
    <t>5e4ee082-5b2e-4481-89c0-25f0346c2f4e</t>
  </si>
  <si>
    <t>Unfied Escalation Process check in</t>
  </si>
  <si>
    <t>78f3e26e-31a7-42f5-b601-a49514298025</t>
  </si>
  <si>
    <t>78df97a5-707c-44c4-8fe7-e63289b0de25</t>
  </si>
  <si>
    <t>c03c2fb2-bf80-41f0-a76f-04f80e79e652</t>
  </si>
  <si>
    <t>b0ee493a-7a6e-46fa-84c2-e83253760e82</t>
  </si>
  <si>
    <t>be56f7a8-e6e9-48a2-a4bb-d0ce99ec2ce1</t>
  </si>
  <si>
    <t>049a94f7-dc0b-4855-8337-ccf2aef1b30a</t>
  </si>
  <si>
    <t>cf1449b6-9737-447d-a544-d56ad1542b2f</t>
  </si>
  <si>
    <t>f0e4304f-a8df-4460-9993-cca7af7b3d79</t>
  </si>
  <si>
    <t>d4b839c4-19dd-4b35-904c-26edc03457a4</t>
  </si>
  <si>
    <t>88984f1c-2221-4e2b-aa4b-b19d672403d1</t>
  </si>
  <si>
    <t>6afdabf7-482e-4f87-90be-fc4534805cb6</t>
  </si>
  <si>
    <t>14fa06a5-69d3-4a7d-99c1-f8371a176be0</t>
  </si>
  <si>
    <t>48a3e1ec-3c82-4c13-86eb-5a96712049a7</t>
  </si>
  <si>
    <t>1321ccbd-bfa8-4cbd-8650-d2748ffffd74</t>
  </si>
  <si>
    <t>b7ad9a2b-4bd0-418b-95ad-b98f721c08ca</t>
  </si>
  <si>
    <t>85ef9ac9-ddc7-4928-aa74-c8b7afe55344</t>
  </si>
  <si>
    <t>Birthday Leave</t>
  </si>
  <si>
    <t>70337385-93d7-493a-8745-7a05f3e504d8</t>
  </si>
  <si>
    <t>f0c31d78-32b1-4430-8884-fdba63249555</t>
  </si>
  <si>
    <t>033884f7-69fa-49d2-8563-b61d5aae3f42</t>
  </si>
  <si>
    <t>f84fc09a-f9af-46e0-8b93-a80aa767def8</t>
  </si>
  <si>
    <t>03428ca1-a361-4015-9a9f-9609cb3ad0fe</t>
  </si>
  <si>
    <t>Ram Mercado</t>
  </si>
  <si>
    <t>rmercado@canva.com</t>
  </si>
  <si>
    <t>2ab62eba-98e7-44c7-b66d-7c88904308fb</t>
  </si>
  <si>
    <t>3662d662-e5ee-4bea-a8b7-cf3159c9d9b0</t>
  </si>
  <si>
    <t>132e0a4c-b789-43a4-aa66-d7045bb0f6f9</t>
  </si>
  <si>
    <t>fefe47df-d9f7-4785-8a58-cebdd0cc826e</t>
  </si>
  <si>
    <t>745d4bf5-7bc8-4c5f-ad29-46f2e8c847e1</t>
  </si>
  <si>
    <t>e5e24691-3ad3-4eca-8cd2-15621c66d825</t>
  </si>
  <si>
    <t>1caec793-4212-42e3-aeb5-a1cf28d820fc</t>
  </si>
  <si>
    <t>ec078c73-f1af-476f-a4fd-42f61419779c</t>
  </si>
  <si>
    <t>611e5f48-cfd9-4561-b470-0b5ce6416859</t>
  </si>
  <si>
    <t>b02d18e3-80d2-4e79-b533-4e9ea098f850</t>
  </si>
  <si>
    <t>08428b58-b44e-4e78-8338-e8ece052a8da</t>
  </si>
  <si>
    <t>216dfeb0-ae4c-451d-962d-311995d5e0bb</t>
  </si>
  <si>
    <t>b2e80980-c71b-4aec-8f0e-333dc464e32c</t>
  </si>
  <si>
    <t>8ae4d0c5-ab7a-4ac8-97cb-741924d03166</t>
  </si>
  <si>
    <t>756efdb5-3f34-4910-8bb1-da110bdc421b</t>
  </si>
  <si>
    <t>384485f4-9eaa-4912-907a-c740c949f817</t>
  </si>
  <si>
    <t>Backreading</t>
  </si>
  <si>
    <t>ca3e1ffc-3f8f-4fa0-80a2-efd0ba3e78ea</t>
  </si>
  <si>
    <t>4bc3d4e2-d9ec-4a1f-b37a-bfd68a8bbc1d</t>
  </si>
  <si>
    <t>b9021dec-2520-48d5-a975-5db619b5c5b2</t>
  </si>
  <si>
    <t>9872302f-5fa5-4b5d-817f-f9e532e0b85e</t>
  </si>
  <si>
    <t>577d59e3-3c40-4d60-8fff-b000a7775c95</t>
  </si>
  <si>
    <t>a4accfd5-0e1d-4cbf-a740-954f17749389</t>
  </si>
  <si>
    <t>2568a964-0d5e-4530-a336-898a55851355</t>
  </si>
  <si>
    <t>25673f09-fb24-4b0f-a263-0825df804a97</t>
  </si>
  <si>
    <t>9f2b3750-482b-4498-a201-4e32c8fad021</t>
  </si>
  <si>
    <t>Revi Suarez</t>
  </si>
  <si>
    <t>revisuarez@canva.com</t>
  </si>
  <si>
    <t>6bf18166-8d02-437a-8deb-1692feb35ace</t>
  </si>
  <si>
    <t>e6718cae-5a11-47ef-ac05-d6fbfdb3861d</t>
  </si>
  <si>
    <t>a656e248-7074-4be3-9baa-336141eebea8</t>
  </si>
  <si>
    <t>cf648797-63e2-4395-882f-330c5fc49d3f</t>
  </si>
  <si>
    <t>e4623836-26f5-4eab-9f10-59851f9778fd</t>
  </si>
  <si>
    <t>ef21a04a-f60b-454a-b4f0-83c5e94371f9</t>
  </si>
  <si>
    <t>ffc7fdd2-0ca7-4af3-a0c6-bf5eff4775a1</t>
  </si>
  <si>
    <t>896162da-334f-4624-863b-777e5f037a4b</t>
  </si>
  <si>
    <t>e053f7c0-2826-4d76-8257-eaeeaa5ff0be</t>
  </si>
  <si>
    <t>528afb67-1a58-4a96-9cb3-ef5a6246c97c</t>
  </si>
  <si>
    <t>f46f1466-a4f7-44a2-97ab-240f84d3e59a</t>
  </si>
  <si>
    <t>cb836991-288d-49be-823d-5b2dff5e37a1</t>
  </si>
  <si>
    <t>a34a3bfa-f9b1-493e-bddc-fee4eee17f40</t>
  </si>
  <si>
    <t>CPSET Sync</t>
  </si>
  <si>
    <t>ca241871-16da-427e-a83f-73d2a18bafcc</t>
  </si>
  <si>
    <t>5cbde94d-5893-4ff2-8e13-2fed7f36cd51</t>
  </si>
  <si>
    <t>77023e1e-14f3-4bc7-8c75-c03ef23249da</t>
  </si>
  <si>
    <t>AI Legal - 2025, Phone Support Referral Process and When to Edit Cal Responses | Upskilling | CHT &amp; BPO</t>
  </si>
  <si>
    <t>6ec98971-49ac-4c1f-ae70-2723be406e72</t>
  </si>
  <si>
    <t>ceb511a4-3174-4b9b-983d-4d88dbd8916b</t>
  </si>
  <si>
    <t>0e3df4af-5c71-4831-b8a7-3f339244a90a</t>
  </si>
  <si>
    <t>b5180ea1-8e6f-4cca-a0c2-8e42424242d6</t>
  </si>
  <si>
    <t>04f183a2-259c-44cf-afd0-ac398d1f3cf5</t>
  </si>
  <si>
    <t>ce55b1cb-4831-48c0-b2e1-19d711cbd980</t>
  </si>
  <si>
    <t>7a24c102-96b2-40f3-907f-d996bec25148</t>
  </si>
  <si>
    <t>04532fce-b0f3-4a02-bbf2-705b9b12de9a</t>
  </si>
  <si>
    <t>8735595f-0019-4dae-b11a-1d2c74ed4c17</t>
  </si>
  <si>
    <t>61035b18-fc2e-492c-ae7d-227048511bcf</t>
  </si>
  <si>
    <t>Aileen Alipio</t>
  </si>
  <si>
    <t>aileen.a@canva.com</t>
  </si>
  <si>
    <t>003e6c2d-8280-4324-8616-c627a107eeae</t>
  </si>
  <si>
    <t>07a1eb56-8383-4765-a7fb-df5cc3e6dec1</t>
  </si>
  <si>
    <t>9067b06e-3aaf-4d45-a6dd-3c66990e0bf5</t>
  </si>
  <si>
    <t>ed699d2e-6e66-4380-b519-2cbfd55171aa</t>
  </si>
  <si>
    <t>a3e82527-c44f-4c35-83aa-994a0fc4d67e</t>
  </si>
  <si>
    <t>4a74cb29-550c-4d07-ac19-4bd99e71188a</t>
  </si>
  <si>
    <t>4de373bc-1323-4b2b-a554-58621770628f</t>
  </si>
  <si>
    <t>a21cef2e-2728-4117-afe0-c921a7168e69</t>
  </si>
  <si>
    <t>f611cb5c-742e-46bc-838f-b9476def4aeb</t>
  </si>
  <si>
    <t>5ec3ba9f-c851-4ccc-9322-c148471f04c6</t>
  </si>
  <si>
    <t>771db2af-1e0e-4378-bc47-9de2b9ab4d9a</t>
  </si>
  <si>
    <t>72d7445d-3475-474a-92ef-c968b236dad7</t>
  </si>
  <si>
    <t>0bf802ae-e834-41da-a2cf-6f1ed16557f6</t>
  </si>
  <si>
    <t>bd819612-dd05-4bc5-b254-a56e65ffbf58</t>
  </si>
  <si>
    <t>3a6c2c7a-d741-4581-9e11-cbaa1ab38cf0</t>
  </si>
  <si>
    <t>9da0643e-f87f-47ce-8739-2a04f128f481</t>
  </si>
  <si>
    <t>f4bda0ea-b1f3-4cf8-a634-3fc3da8d85cf</t>
  </si>
  <si>
    <t>86424913-f3c6-4125-9449-3b5a2ec28323</t>
  </si>
  <si>
    <t>f044b7b9-d09c-48bc-9e2e-a9ad6e9ce0bf</t>
  </si>
  <si>
    <t>6448f5b4-a5f6-4b3a-8906-ed1e3c0ea3b6</t>
  </si>
  <si>
    <t>b3deeb11-75ec-4757-8420-021f8adfdd59</t>
  </si>
  <si>
    <t>9cb6aec2-bd13-419c-94ba-efb8286b86cd</t>
  </si>
  <si>
    <t>9e452879-93e7-461c-b1a1-1bd079930eb2</t>
  </si>
  <si>
    <t>Angel Merilleno</t>
  </si>
  <si>
    <t>angelf@canva.com</t>
  </si>
  <si>
    <t>793fa8bb-6ee5-44e9-be4b-e30e6b59e759</t>
  </si>
  <si>
    <t>448144c9-ced5-44b7-b2f6-32ad954e535b</t>
  </si>
  <si>
    <t>Cop duty: https://canva.slack.com/archives/CR3GQBF1T/p1765781452758789?thread_ts=1765728006.066519&amp;cid=CR3GQBF1T</t>
  </si>
  <si>
    <t>c6ddd757-cd5e-440c-b15d-f494178aa12a</t>
  </si>
  <si>
    <t>5aa443e6-c521-43f5-9de1-d3b2f5a02420</t>
  </si>
  <si>
    <t>Cop duty: https://canva.slack.com/archives/CR3GQBF1T/p1765787345652369?thread_ts=1765728006.066519&amp;cid=CR3GQBF1T</t>
  </si>
  <si>
    <t>ec6b8869-32a7-4434-9576-3054cb043bc9</t>
  </si>
  <si>
    <t>c605e1da-6c1a-4ab9-9419-d93101559566</t>
  </si>
  <si>
    <t>942fad41-ee57-4505-a0b5-20c4eac52bf3</t>
  </si>
  <si>
    <t>8ee6a4a0-b615-4a1e-a06e-5a5dc3bd376c</t>
  </si>
  <si>
    <t>231ef4ec-1783-4c18-8e1f-74c5ed7a588f</t>
  </si>
  <si>
    <t>64524245-1ac3-4c06-95c1-9cb14addedd1</t>
  </si>
  <si>
    <t>f28bdfa9-eaff-49b9-975d-f17c9ebd45e3</t>
  </si>
  <si>
    <t>1ff5e86d-0bb3-43f2-b1c9-7de9c52e272f</t>
  </si>
  <si>
    <t>cf2fdb7e-b5d8-4aee-bb37-d3be63ffe025</t>
  </si>
  <si>
    <t>0e2c111c-76b5-4771-9685-b63474ee7ae4</t>
  </si>
  <si>
    <t>44f1d19b-d51b-4108-9fad-7a097dcae962</t>
  </si>
  <si>
    <t>Deferred meal due to investigations and answering ticket 14949395.</t>
  </si>
  <si>
    <t>2d2514f7-2d12-47d6-a5ac-00a531537b50</t>
  </si>
  <si>
    <t>a1197fb9-a41e-4bf0-a8b2-3f2979da6115</t>
  </si>
  <si>
    <t>aa7ceb69-6def-4bf4-b84d-2ff5bb1a825a</t>
  </si>
  <si>
    <t>18f8ab04-7240-4b8b-b615-595717483108</t>
  </si>
  <si>
    <t>7f965b06-4a09-4307-96b1-4d11f0281862</t>
  </si>
  <si>
    <t>34e6c5a9-724a-4a62-a97a-8d1303a5be2a</t>
  </si>
  <si>
    <t>406fc622-91be-49d7-9f8e-10af7c672c72</t>
  </si>
  <si>
    <t>bd563bcb-8ab5-4618-8117-17b852463260</t>
  </si>
  <si>
    <t>7911f1db-1567-4270-8b01-0427ecf523da</t>
  </si>
  <si>
    <t>c7e9040e-cf81-4aec-b951-a0807988566b</t>
  </si>
  <si>
    <t>7dd9c188-914d-4590-ba4a-2319c050741f</t>
  </si>
  <si>
    <t>Print SEE Survey</t>
  </si>
  <si>
    <t>c21f903e-dcba-4c02-b23f-3d79d62b2ea6</t>
  </si>
  <si>
    <t>37fe303e-77b4-4313-9cfd-88f1eeded258</t>
  </si>
  <si>
    <t>e2741bed-5bee-4b7e-96a3-f5922faa2088</t>
  </si>
  <si>
    <t>19c32062-e149-4a3e-82ea-708be4d86c06</t>
  </si>
  <si>
    <t>Cassie Eugenio</t>
  </si>
  <si>
    <t>cassie@canva.com</t>
  </si>
  <si>
    <t>b5eed792-ed41-430a-8d6f-8f41abc8a78a</t>
  </si>
  <si>
    <t>13c78b04-7d5a-41f3-9dac-93170fce69d6</t>
  </si>
  <si>
    <t>0f5bb8e7-3e68-41cc-8435-2b9be229a7d1</t>
  </si>
  <si>
    <t>ccf64bd6-8087-4cd8-afd9-1e42bca9a6b5</t>
  </si>
  <si>
    <t>3c42718e-c08d-4317-a4fe-a467d9be16f4</t>
  </si>
  <si>
    <t>354496a8-8c77-4422-9f3b-52df3d3b7da9</t>
  </si>
  <si>
    <t>17344b50-b7c8-4085-b3ef-837de24e6faf</t>
  </si>
  <si>
    <t>4bfb0ef7-4e8f-4381-b9cc-6dd7e1313794</t>
  </si>
  <si>
    <t>ca2ef724-cce0-4384-b11d-b72ecd5b68f9</t>
  </si>
  <si>
    <t>3d109446-63be-4c9a-abb7-99e9f0281244</t>
  </si>
  <si>
    <t>9c915a76-96ff-485e-a19b-353019ef4022</t>
  </si>
  <si>
    <t>2aa18862-7ebe-4db3-a5d0-0a5f5005e6aa</t>
  </si>
  <si>
    <t>e942e6a8-a8ce-44f8-a717-af9490847308</t>
  </si>
  <si>
    <t>52760138-7c55-4feb-82a4-027bb96c742c</t>
  </si>
  <si>
    <t>604363e0-5800-4317-af47-ddc16b0bfcda</t>
  </si>
  <si>
    <t>a9178b4b-03bb-4917-9f02-14237a90eeda</t>
  </si>
  <si>
    <t>94baeeb9-8d61-41ac-bf73-f0fbfb4ea17c</t>
  </si>
  <si>
    <t>6fb04010-a00e-4a24-bbff-95df498d62ea</t>
  </si>
  <si>
    <t>935fc3bb-d909-47d2-90a5-a9483d917dde</t>
  </si>
  <si>
    <t>048558b9-641e-4619-9f84-a676ca2bbcfd</t>
  </si>
  <si>
    <t>8b075f45-27b1-469e-bbc3-e97261e6934d</t>
  </si>
  <si>
    <t>Hannah Dimayuga</t>
  </si>
  <si>
    <t>hannahd@canva.com</t>
  </si>
  <si>
    <t>dab9038a-8dc8-4724-bddc-b747c11ef8b9</t>
  </si>
  <si>
    <t>adb10e0a-4e63-4e41-977c-c70f29b98bce</t>
  </si>
  <si>
    <t>627f2edd-8e2c-4985-a21f-a971fc2de803</t>
  </si>
  <si>
    <t>df966e77-c7f1-4a8a-9f64-42b35c64e3b7</t>
  </si>
  <si>
    <t>b87cba54-240b-48a5-b9bf-a9a365b3cc41</t>
  </si>
  <si>
    <t>05a924dd-1f0e-4c13-857e-1112002f3e0b</t>
  </si>
  <si>
    <t>1aee0064-02e1-4170-b72b-62cf70800724</t>
  </si>
  <si>
    <t>c663441f-d014-4d38-b09a-350d9197864b</t>
  </si>
  <si>
    <t>f026637f-e9ee-4fe7-9444-b02016525ae9</t>
  </si>
  <si>
    <t>a48b5a06-28d6-4ae8-a355-c16a1bd3266a</t>
  </si>
  <si>
    <t>35e25600-dd21-4aab-834f-3bd57612637f</t>
  </si>
  <si>
    <t>ed38c8e9-8abb-42ba-a8e9-be525375db17</t>
  </si>
  <si>
    <t>70131f55-a01e-45ae-b40e-51080b22a6bd</t>
  </si>
  <si>
    <t>a29b7ea7-1261-427a-9be1-c3c6dfc57b0e</t>
  </si>
  <si>
    <t>383f7fa1-9404-42b2-b46d-66da9a383db8</t>
  </si>
  <si>
    <t>4fb61d7c-c602-4351-b739-f4359ba525e0</t>
  </si>
  <si>
    <t>2cf861f1-cabe-4883-8e52-da2e34d77f76</t>
  </si>
  <si>
    <t>ad6f63f4-b1b6-4686-8534-3d73d19a8183</t>
  </si>
  <si>
    <t>aae9a859-092d-48cc-a115-be604a64edaa</t>
  </si>
  <si>
    <t>992ec970-6c09-4d11-a6d6-e7a1f8fe5219</t>
  </si>
  <si>
    <t>9d5ff627-ae43-4f5c-87f6-9cbd2726339c</t>
  </si>
  <si>
    <t>7977be39-dd75-4cf4-bb14-9e63fce86108</t>
  </si>
  <si>
    <t>5562ef0e-29c0-43d2-8807-e8fafce3853b</t>
  </si>
  <si>
    <t>29ed47ab-dedd-4314-a05e-7e9cea80010e</t>
  </si>
  <si>
    <t>30527ca4-aa21-4ba1-bf53-3e00c15dfada</t>
  </si>
  <si>
    <t>Jade Curitana</t>
  </si>
  <si>
    <t>jadec@canva.com</t>
  </si>
  <si>
    <t>f73c287d-af1e-45a7-9491-2629c2b42f4a</t>
  </si>
  <si>
    <t>3b2f51c3-a102-4577-8e86-8eee4e3ab74a</t>
  </si>
  <si>
    <t>371415ab-e8e3-4263-9148-2e124161724d</t>
  </si>
  <si>
    <t>fa8df6a7-7dbc-4a8c-9eed-5ad1b617ddc4</t>
  </si>
  <si>
    <t>c2fae281-9fb0-4d6f-ae5c-180e67f551a1</t>
  </si>
  <si>
    <t>a0699111-899e-4408-a898-7b94fa12fcb4</t>
  </si>
  <si>
    <t>Deferred to finish breached and near breach tickets</t>
  </si>
  <si>
    <t>aef25cdd-769e-4f87-a048-21345f6f4adb</t>
  </si>
  <si>
    <t>616234a9-cbec-479e-a73e-b248c99483e1</t>
  </si>
  <si>
    <t>c9f08dd0-de10-4b72-9cf7-9f4f0444de11</t>
  </si>
  <si>
    <t>955cb3dc-3fdf-4364-b915-768c822b8095</t>
  </si>
  <si>
    <t>bd50627e-4d72-43ad-b930-ff11a870d0bb</t>
  </si>
  <si>
    <t>43ae6f9e-d080-4a6b-99f0-1d63cb041267</t>
  </si>
  <si>
    <t>deferred due to email queue.</t>
  </si>
  <si>
    <t>25dcd1f1-deab-432b-adb6-fb1f74944228</t>
  </si>
  <si>
    <t>730e4076-c17f-4d2a-a093-df703f40ee6f</t>
  </si>
  <si>
    <t>946d5e7c-69a7-4869-a3f9-b3997a48011b</t>
  </si>
  <si>
    <t>Cop duty - worked on (JP Free Shirt_Undeliverable Orders Sheet</t>
  </si>
  <si>
    <t>e2542aeb-d6d0-467a-ba2a-34f041be1a12</t>
  </si>
  <si>
    <t>4e40caef-7b56-49dc-8880-c8aa43c6dd37</t>
  </si>
  <si>
    <t>d857189c-56fe-435b-bc82-2d50f182afdc</t>
  </si>
  <si>
    <t>05432595-9d1e-4975-9f19-e5ffe314634b</t>
  </si>
  <si>
    <t>909d248c-812d-4103-827f-623de21ac611</t>
  </si>
  <si>
    <t>5a63f816-a3be-48df-858d-ea427fe20bce</t>
  </si>
  <si>
    <t>58783415-4f5a-4fc8-8a6c-4caea1e9f1a7</t>
  </si>
  <si>
    <t>efc2f7c0-3c9e-42ad-8a33-69230ae5f31e</t>
  </si>
  <si>
    <t>6096d89c-2bf7-43f6-a8d1-21ee7d39f87a</t>
  </si>
  <si>
    <t>f72c50c7-cffc-4d00-b0f9-8540d1218b9d</t>
  </si>
  <si>
    <t>bdf574f0-069d-4493-a93e-73eb74edd906</t>
  </si>
  <si>
    <t>a660e947-a8aa-47b5-a75e-3e9c23f66c19</t>
  </si>
  <si>
    <t>eb4d1150-9e80-4f97-9bbb-14e9e7d36e9b</t>
  </si>
  <si>
    <t>Huddle with Coach</t>
  </si>
  <si>
    <t>434b75b9-992c-48f6-885c-16234fccf8be</t>
  </si>
  <si>
    <t>d61ba6ca-12af-4d3b-8705-05034b405d34</t>
  </si>
  <si>
    <t>9624287f-9d59-4705-a601-58d706ea630c</t>
  </si>
  <si>
    <t>46414ad5-b8fb-447c-96f6-a26b0768435f</t>
  </si>
  <si>
    <t>aa30e457-7960-4363-ba64-1674f2e2400d</t>
  </si>
  <si>
    <t>3931720c-1289-4782-aeba-17130cb442c1</t>
  </si>
  <si>
    <t>6014f862-c832-4c2f-bf01-1145106e219e</t>
  </si>
  <si>
    <t>4f79edb6-d90a-4094-b8e4-1204874eccf7</t>
  </si>
  <si>
    <t>06e8ce89-75fe-4b2f-97d4-71f5e2f4c51d</t>
  </si>
  <si>
    <t>59a9bf7a-21e4-4a5c-9868-8cb23b5cb2f0</t>
  </si>
  <si>
    <t>64442e60-784a-477a-a905-ff06287b941e</t>
  </si>
  <si>
    <t>Important Occasion</t>
  </si>
  <si>
    <t>e68ddbc0-2c35-43ad-9763-f94cb29227a0</t>
  </si>
  <si>
    <t>25caeeaf-3d47-40ea-aa78-5c4ebd772f7d</t>
  </si>
  <si>
    <t>87daa51e-5f48-4d43-9a9d-034dfa80a8cd</t>
  </si>
  <si>
    <t>56fa376e-012c-4568-8a31-9bcc80487c85</t>
  </si>
  <si>
    <t>88f3d295-86ff-4261-a027-31164595f786</t>
  </si>
  <si>
    <t>50231f6f-1a3e-46f3-9394-5c9309f03e05</t>
  </si>
  <si>
    <t>2d0050ee-2589-42cd-a848-3449c1fe6648</t>
  </si>
  <si>
    <t>81f19830-f845-4879-96ee-0654dc8f6f68</t>
  </si>
  <si>
    <t>Leslie Anne Gilua</t>
  </si>
  <si>
    <t>anneharriet@canva.com</t>
  </si>
  <si>
    <t>6212e789-f970-449e-95c3-8eddaafb74ff</t>
  </si>
  <si>
    <t>3a2e9791-8e83-4d12-8c81-c657463cd126</t>
  </si>
  <si>
    <t>49d38375-1ad3-440b-940a-331a16cabcd5</t>
  </si>
  <si>
    <t>3a1c9efa-c69a-452a-9f34-b99b2439e0e0</t>
  </si>
  <si>
    <t>9379602a-cfcf-4c2a-ad79-a26adbd49ec2</t>
  </si>
  <si>
    <t>805fbf4b-1662-4485-b58b-ed69129f3c40</t>
  </si>
  <si>
    <t>4674886d-d1e5-4deb-b5f5-5fe8bcc10b0b</t>
  </si>
  <si>
    <t>f3f423f1-1520-4b5c-a774-b52286a093af</t>
  </si>
  <si>
    <t>c5491715-4129-4a95-b7bc-580032501943</t>
  </si>
  <si>
    <t>f542cb16-d395-4589-b560-1859e343a12b</t>
  </si>
  <si>
    <t>f5481dcd-3eb1-4880-bdf2-f501a4c198ad</t>
  </si>
  <si>
    <t>Cop Duties.</t>
  </si>
  <si>
    <t>d297d369-ab3f-4009-a9a0-b993b8fdb7fa</t>
  </si>
  <si>
    <t>deferred break and changed to 15 mins - halfday today</t>
  </si>
  <si>
    <t>020e9370-aa20-448e-adef-0418c7875b0e</t>
  </si>
  <si>
    <t>97bab7d9-95d5-45f9-8783-3d137315d5a9</t>
  </si>
  <si>
    <t>27d1feae-c408-445e-88f5-a18cc30d6a99</t>
  </si>
  <si>
    <t>Youngest Daughter's Christmas Presentation</t>
  </si>
  <si>
    <t>cc799628-ee4c-439a-9fc0-58079d3fb5b5</t>
  </si>
  <si>
    <t>bfaa7ec5-39f2-4161-88c5-61d63aee5bad</t>
  </si>
  <si>
    <t>091f6a60-602d-4366-a5fd-3cc90e90a9e8</t>
  </si>
  <si>
    <t>d2de8499-0034-49c8-877c-e4665eb2f80a</t>
  </si>
  <si>
    <t>e1d7ae67-3eb1-4b18-b0b2-fc15e1370845</t>
  </si>
  <si>
    <t>8b59fec0-60fc-4b90-9cbe-c2bddd4423e0</t>
  </si>
  <si>
    <t>a823036e-ed3a-40aa-bb75-80aafb88df5f</t>
  </si>
  <si>
    <t>82e5c720-6512-40a7-aa48-169670031077</t>
  </si>
  <si>
    <t>c40beb8f-c3d0-440c-b5af-aec30b8bdf69</t>
  </si>
  <si>
    <t>d3c95392-e7f1-41bf-8c7e-7b010853ca78</t>
  </si>
  <si>
    <t>4935ed1f-7f78-41e7-a4c0-f0b856c9882a</t>
  </si>
  <si>
    <t>1b0e8a89-47b2-4607-8a32-61610d221409</t>
  </si>
  <si>
    <t>4fe7e55e-3cbc-4b8b-a8a6-380cf2701be1</t>
  </si>
  <si>
    <t>d6a3b589-3830-4ca7-b5a4-d6b8e9f1deeb</t>
  </si>
  <si>
    <t>445b8be7-a2bc-4fc9-a203-ad7345372481</t>
  </si>
  <si>
    <t>5a4f4073-6204-4c4c-b426-e162b5a674de</t>
  </si>
  <si>
    <t>8d2fe03e-1489-4967-beb7-70a437c15ecd</t>
  </si>
  <si>
    <t>dddfed64-889c-49d2-967f-bd5c43cd9496</t>
  </si>
  <si>
    <t>2e2a55e3-5ae1-4e12-8651-19ecb5ef54db</t>
  </si>
  <si>
    <t>41cd26e3-c193-4f94-bfda-0d921322abc2</t>
  </si>
  <si>
    <t>2840beee-11e1-4c40-a7c6-d4c0cbb352c7</t>
  </si>
  <si>
    <t>66af5e33-a8be-461a-89ee-3c459e58d3bc</t>
  </si>
  <si>
    <t>02a800fe-f87d-49f4-b577-41291e6d4aa2</t>
  </si>
  <si>
    <t>664b798f-838a-4e0b-9eb1-71d7665c5548</t>
  </si>
  <si>
    <t>a73d9ee4-89cf-48cd-89a3-4d2c494ede41</t>
  </si>
  <si>
    <t>b162c0c7-c36b-42f3-9bd5-1b250350e9be</t>
  </si>
  <si>
    <t>6d084909-a92b-4a0f-acc0-6092db9bbf4b</t>
  </si>
  <si>
    <t>932b7681-6b85-4fb6-9b6d-e1e099d6131f</t>
  </si>
  <si>
    <t>3be25305-5fd9-4bd5-b320-0066a90ff8e0</t>
  </si>
  <si>
    <t>7f6e3175-f6cd-4a70-93aa-118856f83921</t>
  </si>
  <si>
    <t>Ailyn Grana</t>
  </si>
  <si>
    <t>ailyn@canva.com</t>
  </si>
  <si>
    <t>75b156b9-97ee-4036-b260-7d3b42117dc3</t>
  </si>
  <si>
    <t>9b7a5b2a-0d87-46ea-ab37-b93c53958ad3</t>
  </si>
  <si>
    <t>828aaa34-6a91-4262-a9f8-80b61962b82b</t>
  </si>
  <si>
    <t>68042362-992f-4e39-b77d-0a0902929c41</t>
  </si>
  <si>
    <t>2ff12cd0-c4a6-4cea-a3b0-eeb7718566a9</t>
  </si>
  <si>
    <t>94fc3a2e-8616-49a4-8749-19f8825c5244</t>
  </si>
  <si>
    <t>cb5acef2-3a70-4c05-869b-014d2dd35f6f</t>
  </si>
  <si>
    <t>0beb191e-c9f4-4337-b0d0-ca12d4006f2f</t>
  </si>
  <si>
    <t>73809382-7549-4f3a-a7eb-db0fa21caab5</t>
  </si>
  <si>
    <t>5a13a478-0d5a-4ba4-8836-7b4130373a66</t>
  </si>
  <si>
    <t>beecc14e-565a-43b3-8e8d-526e1970d624</t>
  </si>
  <si>
    <t>5c965f03-7593-45cd-bea4-a9963a7b6cef</t>
  </si>
  <si>
    <t>689ed970-7173-4cdd-99ba-0d67328a4773</t>
  </si>
  <si>
    <t>87c8b23b-2555-4b6d-b31a-ebb1a753d7f6</t>
  </si>
  <si>
    <t>Need to attend wedding</t>
  </si>
  <si>
    <t>6bd836a1-b3f5-4ab4-b684-2105ac5ca83c</t>
  </si>
  <si>
    <t>8c9cccb3-90a4-434c-9177-867ba6fe55e4</t>
  </si>
  <si>
    <t>cb89904a-af3f-40af-a47c-9f89eba76898</t>
  </si>
  <si>
    <t>618a078f-4b0d-427b-aac8-565eb92c5f06</t>
  </si>
  <si>
    <t>cddaff27-e470-4658-a692-c950300177e4</t>
  </si>
  <si>
    <t>4e116812-c759-4fae-9035-335578bff2e4</t>
  </si>
  <si>
    <t>240b7821-2b07-4705-af8b-61afa72803e6</t>
  </si>
  <si>
    <t>50ac47f3-6313-4057-b5b9-4bc4a8202600</t>
  </si>
  <si>
    <t>3e08d46b-c6f9-4281-aeeb-36e29c489fe9</t>
  </si>
  <si>
    <t>When to Edit CAL Responses: https://bpos.canva.site/when-to-edit-cal-responses</t>
  </si>
  <si>
    <t>872cc481-0607-483a-925b-a2fd73ecf8c2</t>
  </si>
  <si>
    <t>2a3cbb81-c61e-4e7d-8a9e-ed241403cd4d</t>
  </si>
  <si>
    <t>Angel Ramas</t>
  </si>
  <si>
    <t>angelic@canva.com</t>
  </si>
  <si>
    <t>9a0a204e-e5d8-4f54-b4f1-da2bdbc7ffcb</t>
  </si>
  <si>
    <t>5813c98f-8ded-4d36-9f5d-271aeb023319</t>
  </si>
  <si>
    <t>2cd0d508-ff47-4919-852d-b4370f0ce6f5</t>
  </si>
  <si>
    <t>4f5ef258-ea48-4e18-bd52-eb3c109625d1</t>
  </si>
  <si>
    <t>2496edb0-cdf4-4895-b76d-a9a87be585e7</t>
  </si>
  <si>
    <t>37e4d9a0-248c-4f8d-8d39-129255f503a7</t>
  </si>
  <si>
    <t>12f53e35-c2c9-4146-a255-4cc9cc00d7ee</t>
  </si>
  <si>
    <t>fd446e66-e504-42e8-b8bd-86abd0f02b78</t>
  </si>
  <si>
    <t>1a0e0de8-6f38-420f-b0e6-7235edd09339</t>
  </si>
  <si>
    <t>f4545f31-5948-4f05-b9aa-536a230530ed</t>
  </si>
  <si>
    <t>5a9ba3cf-762c-4891-ac86-8d5ae657502c</t>
  </si>
  <si>
    <t>c1031de4-5281-4b38-8c3c-f4f6cdd1119f</t>
  </si>
  <si>
    <t>02907690-a1d8-4014-844f-f82c431c4811</t>
  </si>
  <si>
    <t>0f2ad0d9-5446-46f3-9ee9-122faf2fa998</t>
  </si>
  <si>
    <t>adjusted due to breaching tickets</t>
  </si>
  <si>
    <t>bf46e4d2-b582-44c7-860b-650f7d5ce0c2</t>
  </si>
  <si>
    <t>11b2cae8-a99f-44a2-b987-540da5970a08</t>
  </si>
  <si>
    <t>1ecf24f7-3560-47ba-8bed-8cac06853f13</t>
  </si>
  <si>
    <t>baf28c60-9220-4b9e-8ea6-47629041f9d5</t>
  </si>
  <si>
    <t>a7e346b3-8fc6-47f5-a4b4-bccf29d679d0</t>
  </si>
  <si>
    <t>4e5e0f76-3dda-402b-a0d7-37b9be230c04</t>
  </si>
  <si>
    <t>f081a6b5-9186-496b-939b-de633cb04a78</t>
  </si>
  <si>
    <t>06037836-fa2e-42d7-93ea-1cea8ba0b023</t>
  </si>
  <si>
    <t>ac278f9c-989f-497b-ab80-e98234259275</t>
  </si>
  <si>
    <t>f96a1198-c0e3-48dd-935f-69d719733c51</t>
  </si>
  <si>
    <t>7d2edf57-af08-4832-9d3e-866ea52304c8</t>
  </si>
  <si>
    <t>421ae276-c429-49b2-938d-635abfa25d91</t>
  </si>
  <si>
    <t>d46233c4-c06f-4200-a44f-7c8005a43305</t>
  </si>
  <si>
    <t>3f68bf0d-da33-4a88-908c-06fb758aa4a9</t>
  </si>
  <si>
    <t>3c758a6c-1f28-4117-aee7-6159e6bd8333</t>
  </si>
  <si>
    <t>162932a5-eb31-48d6-b167-fa4906469a19</t>
  </si>
  <si>
    <t>40fa985e-7918-477e-8734-b45c41a8226f</t>
  </si>
  <si>
    <t>238df195-1311-420b-9bfc-80204048a0d0</t>
  </si>
  <si>
    <t>Dymple Macaraeg</t>
  </si>
  <si>
    <t>dymplem@canva.com</t>
  </si>
  <si>
    <t>c131d0dc-2868-4ee4-809e-c6ad355f8b95</t>
  </si>
  <si>
    <t>2e0db9ff-1995-4347-9e9a-b4fc8f259b22</t>
  </si>
  <si>
    <t>9da5863e-3962-447e-b55e-13fec03bab21</t>
  </si>
  <si>
    <t>f59a1580-1048-4131-b05e-4a27e9ea83e3</t>
  </si>
  <si>
    <t>2842ae21-473d-4ebc-ab9a-d7f2b99c41e4</t>
  </si>
  <si>
    <t>b76ecfa2-e1b3-4c23-a1d6-6a1498108015</t>
  </si>
  <si>
    <t>vl - out of country
WFM deferred to Coach Belle for approval &gt;&gt;&gt;https://canva.enterprise.slack.com/archives/C05A76H5FUM/p1760663063952969</t>
  </si>
  <si>
    <t>f5285850-42f2-44d2-b27f-e0677af91891</t>
  </si>
  <si>
    <t>405762fc-a5f9-4c48-af22-c84f72a27f97</t>
  </si>
  <si>
    <t>65c4de80-d8cb-430e-bb83-ed2361d58d20</t>
  </si>
  <si>
    <t>c51bacdb-be22-4eea-add7-71e2c0364c82</t>
  </si>
  <si>
    <t>99714151-5c9a-4136-bd38-3961a21c6b21</t>
  </si>
  <si>
    <t>23ed0602-11d7-4ca1-9602-ae7f39e8f1a6</t>
  </si>
  <si>
    <t>9b6e60f6-80b3-4ea9-9db0-99d16953158d</t>
  </si>
  <si>
    <t>1e1d3480-da79-4067-9a3a-ab453a49209c</t>
  </si>
  <si>
    <t>1d0691e0-786b-43a9-b7e2-5ce3dd7baa43</t>
  </si>
  <si>
    <t>5b5a0976-3775-4418-8b78-53f3b1855307</t>
  </si>
  <si>
    <t>497e878a-029e-4a03-9117-68c26a343cca</t>
  </si>
  <si>
    <t>33bf328f-2830-4142-b6d9-cc254eb68fd1</t>
  </si>
  <si>
    <t>7ee8ad57-9b25-47df-bd00-bc05798eaee5</t>
  </si>
  <si>
    <t>c17fc078-bbeb-4a94-ae1a-8ae2a5bfb56c</t>
  </si>
  <si>
    <t>c7bb3b93-8db9-4c99-9f6f-fd36cfc1d61a</t>
  </si>
  <si>
    <t>efbeaecd-62ee-4da7-83ed-2401bed145a3</t>
  </si>
  <si>
    <t>e57fc392-2807-4126-a87e-d78192c73110</t>
  </si>
  <si>
    <t>1a781835-fb4d-4eb0-8100-87f316982843</t>
  </si>
  <si>
    <t>d05d8840-595e-434e-86a4-3d47b8434030</t>
  </si>
  <si>
    <t>e1daac82-8a10-41a7-88b0-422753600eb9</t>
  </si>
  <si>
    <t>9160bc84-9174-4736-bd46-926c52c66223</t>
  </si>
  <si>
    <t>Jea Silvestre</t>
  </si>
  <si>
    <t>jea@canva.com</t>
  </si>
  <si>
    <t>c1b7dd45-736b-44f8-ad12-f6ca0465b97a</t>
  </si>
  <si>
    <t>36c925c1-1153-417a-895a-f3ed3f0f197c</t>
  </si>
  <si>
    <t>133fc34a-f42a-48c1-a1e0-c8896b7feab4</t>
  </si>
  <si>
    <t>5bc9004c-ec45-49a5-9298-fea1a4cbc7a2</t>
  </si>
  <si>
    <t>5192087d-6851-475f-92a3-6b75eba3df05</t>
  </si>
  <si>
    <t>Lactation. break</t>
  </si>
  <si>
    <t>aeb155c8-71f6-48d2-a7ea-c6868d8b4341</t>
  </si>
  <si>
    <t>bcef17f7-beb7-4115-a4b1-8002749a796f</t>
  </si>
  <si>
    <t>4fcebd6d-6d09-4c4a-8122-57da18db6498</t>
  </si>
  <si>
    <t>963957b6-c3c0-4fe7-aa6c-14d2acb5f3f8</t>
  </si>
  <si>
    <t>b41e8ead-d90b-43f8-88a6-ad2441ed539a</t>
  </si>
  <si>
    <t>fc6ddbfa-04f3-43ca-bd30-1bdaeb80faac</t>
  </si>
  <si>
    <t>55021ffb-dc4a-4cd0-8a53-e5de206de108</t>
  </si>
  <si>
    <t>7b43971e-084a-481a-8e2f-4b876294b583</t>
  </si>
  <si>
    <t>HDCL</t>
  </si>
  <si>
    <t>0072e388-305a-46e2-8760-cf9a8444efdb</t>
  </si>
  <si>
    <t>5c3ea7aa-a099-4e17-a9d1-2d03b00f0614</t>
  </si>
  <si>
    <t>056ad16b-a4eb-4695-8fb3-e95353720660</t>
  </si>
  <si>
    <t>3fe663d7-128b-488f-a2e4-9d855979036b</t>
  </si>
  <si>
    <t>55293dfc-d216-4ef9-af43-639d002a13d9</t>
  </si>
  <si>
    <t>7c47326c-09a1-4819-948d-94f67b153030</t>
  </si>
  <si>
    <t>a32a15a7-c8be-4b13-b050-49a599df4160</t>
  </si>
  <si>
    <t>355783dc-9906-4617-9d3a-e6d66d9a65fc</t>
  </si>
  <si>
    <t>92f2a659-c672-4b18-a4d7-240804a6ec3e</t>
  </si>
  <si>
    <t>5b44ac79-f56a-46fc-9ffd-5e499e65347e</t>
  </si>
  <si>
    <t>1f8f0d52-9108-4aa8-a726-80125a9265ee</t>
  </si>
  <si>
    <t>Moved break due to a breaching ticket</t>
  </si>
  <si>
    <t>fa0a2d95-0490-4ed2-b513-94b39347c13f</t>
  </si>
  <si>
    <t>9c882d85-2f1f-41a9-a3d0-912c4c5e44e8</t>
  </si>
  <si>
    <t>90d98d99-7c6c-41b8-96e4-3826ae15f28a</t>
  </si>
  <si>
    <t>5d659e0c-ba3a-4584-b221-4c7ca38d98e5</t>
  </si>
  <si>
    <t>698640ad-1646-484a-8316-30752e0f4f80</t>
  </si>
  <si>
    <t>4170980d-b464-4bfe-be9f-01a0cd4aaeda</t>
  </si>
  <si>
    <t>Misc- assisted a colleague with a TS ticket</t>
  </si>
  <si>
    <t>e0aecf7a-ee49-4ca0-a058-a941252ca8d8</t>
  </si>
  <si>
    <t>b0bbe147-49ee-4ac8-9ae9-98ea09e7ee9f</t>
  </si>
  <si>
    <t>a3d4f799-ff78-471c-8d67-0ee9eaf5d786</t>
  </si>
  <si>
    <t>aa746705-5b44-487d-82c8-0c4332aedec4</t>
  </si>
  <si>
    <t>1512afdb-f2f0-4181-933f-45959927f722</t>
  </si>
  <si>
    <t>f6956dc3-7f99-4de6-bdc9-66462eaabdbb</t>
  </si>
  <si>
    <t>196a6833-d869-44c1-bf34-fe6baa3cf599</t>
  </si>
  <si>
    <t>72dab2d4-ae01-4365-84d2-ce09a372cf16</t>
  </si>
  <si>
    <t>b366931c-0597-40c7-babb-0a89ffc75e01</t>
  </si>
  <si>
    <t>Kyle Pajarillo</t>
  </si>
  <si>
    <t>kylep@canva.com</t>
  </si>
  <si>
    <t>46d1c465-5eae-4a2d-9a09-c7d8ccafdb91</t>
  </si>
  <si>
    <t>c14b70b4-cecf-46e0-8686-72c61f47b5fc</t>
  </si>
  <si>
    <t>1ffb10db-97d7-44d2-8491-d8a46bfa57b8</t>
  </si>
  <si>
    <t>346a9949-3097-4d2b-993a-b7d9b301c5a4</t>
  </si>
  <si>
    <t>422904fc-42b5-4e91-af29-65b8515b7699</t>
  </si>
  <si>
    <t>22dc0ef6-de02-466f-a8f3-628d2496ec63</t>
  </si>
  <si>
    <t>d94f51e4-7df0-4c6f-8f22-93491f4a5737</t>
  </si>
  <si>
    <t>aaadccf9-9e55-4200-a0bf-3e8c1c164b12</t>
  </si>
  <si>
    <t>Keeping Canva Safe and Canvanaut Privacy Training 2025</t>
  </si>
  <si>
    <t>21f0af1f-8b5a-4009-a7fe-a3ee9312964a</t>
  </si>
  <si>
    <t>bc8f8a8a-e691-4cfa-8c55-ea46e61e86c1</t>
  </si>
  <si>
    <t>b14d3dd8-9184-4c89-862e-704ca634d701</t>
  </si>
  <si>
    <t>8bc51c19-940c-447a-be46-4229d06fe437</t>
  </si>
  <si>
    <t>moved due to breached</t>
  </si>
  <si>
    <t>6d714c9d-5e2c-469a-8ab1-4f24948a43db</t>
  </si>
  <si>
    <t>1f792c3c-959b-426c-8356-29c3d7105de0</t>
  </si>
  <si>
    <t>specialist notes</t>
  </si>
  <si>
    <t>4c2891ca-ed20-4deb-bef9-f9b006481a6d</t>
  </si>
  <si>
    <t>57985fca-be76-431b-b230-ef6992acaf54</t>
  </si>
  <si>
    <t>7cd5600c-1153-46b5-89aa-f6c5bf87bb80</t>
  </si>
  <si>
    <t>d029fa5a-e0f6-415c-bf58-8746f98b6033</t>
  </si>
  <si>
    <t>862cf652-59d2-4f8f-bb49-d06fb0fdc099</t>
  </si>
  <si>
    <t>feb4ac7d-44a2-4ff7-b57d-3e6a92c36c7f</t>
  </si>
  <si>
    <t>54d4c106-05f6-4f8c-b33d-595c7a5ec0b5</t>
  </si>
  <si>
    <t>a446ea21-06e0-4cea-9fe9-e153865459a2</t>
  </si>
  <si>
    <t>b4717067-f2b5-49c5-9f2a-6e00a28eac3f</t>
  </si>
  <si>
    <t>8ee16520-38a5-4775-bb08-2ca35b21956c</t>
  </si>
  <si>
    <t>a2696909-f255-44f2-a537-f8a29009a6b6</t>
  </si>
  <si>
    <t>8b21d577-0fe3-4c08-893a-689c1684f9ea</t>
  </si>
  <si>
    <t>a3bc014d-25b7-4ed0-b28c-fefc90cc865d</t>
  </si>
  <si>
    <t>bdb559a3-5ca7-422f-bef3-02b0c044d52b</t>
  </si>
  <si>
    <t>4c81e517-e0d6-463a-a035-350dd8876b17</t>
  </si>
  <si>
    <t>76534eb3-b81f-4a04-b2ee-76a47610f471</t>
  </si>
  <si>
    <t>78d3efd2-2d00-4986-b5cc-7ca6a1d3542d</t>
  </si>
  <si>
    <t>Rizzah Hope Anjao</t>
  </si>
  <si>
    <t>rizzah@canva.com</t>
  </si>
  <si>
    <t>83279cfa-c7a2-4713-8724-1493cfebbc7a</t>
  </si>
  <si>
    <t>cc112f9d-f8e5-49f6-ba78-b5554c2600a8</t>
  </si>
  <si>
    <t>d18f25f9-b734-43a7-aa64-145e2478e8d4</t>
  </si>
  <si>
    <t>abea513f-d68f-4242-bc2c-0a56f6f2c80c</t>
  </si>
  <si>
    <t>77d26975-adc9-4f4d-8ace-b1e7f2e10870</t>
  </si>
  <si>
    <t>3188980d-f7d7-49f4-aace-8885ec86d19b</t>
  </si>
  <si>
    <t>620d860b-4b34-41f3-8db7-e8e12f7a823f</t>
  </si>
  <si>
    <t>e3562b62-99c6-4514-b708-a7a6422a7d04</t>
  </si>
  <si>
    <t>c40d5db1-f552-4ffb-976e-a70235e12fb7</t>
  </si>
  <si>
    <t>2a36b4d9-6303-4b1c-bfd7-07f0fc961d6e</t>
  </si>
  <si>
    <t>d7a4b3d2-af61-4503-94a4-45610e46aa7a</t>
  </si>
  <si>
    <t>402d446d-d81d-467d-8613-8180e100c120</t>
  </si>
  <si>
    <t>789c9a10-3009-4500-bb07-a917a8d76f98</t>
  </si>
  <si>
    <t>12a4c1ee-2eb8-4dc9-8ce7-c8928b41c6d6</t>
  </si>
  <si>
    <t>88426eb3-d56a-4a4c-a63b-075a08e612f6</t>
  </si>
  <si>
    <t>691db437-0a3d-43a8-9993-19339f1ced0e</t>
  </si>
  <si>
    <t>64a9a24d-3d3b-4b39-8e5a-719c72734290</t>
  </si>
  <si>
    <t>e3d77e6c-43a1-4328-b338-c9eb1862869b</t>
  </si>
  <si>
    <t>b7d4a169-9b9b-46f6-8ece-3a3df2ad3fae</t>
  </si>
  <si>
    <t>8fda6d0c-6c6f-46c1-9e0d-3da230f6ec7f</t>
  </si>
  <si>
    <t>0bdca402-2e0e-4804-a85f-c6f3a520fa5b</t>
  </si>
  <si>
    <t>bfbb6515-ba2c-4f69-b0b5-b74150af8bc8</t>
  </si>
  <si>
    <t>ee26274a-f5bb-4f8f-aa29-94921d6e67a9</t>
  </si>
  <si>
    <t>Rozel Punsalan</t>
  </si>
  <si>
    <t>rozelp@canva.com</t>
  </si>
  <si>
    <t>dc9df886-9cc3-4792-aedd-879475b3f96a</t>
  </si>
  <si>
    <t>f795a953-5947-4418-aa7e-2c2fbaff8a86</t>
  </si>
  <si>
    <t>40ed3e62-cba5-4d9f-8f8e-4be604413027</t>
  </si>
  <si>
    <t>588cd187-134f-4563-81d9-7e21ea1256e2</t>
  </si>
  <si>
    <t>5b54b7af-8e1a-41ae-a21d-3d09fb7e18f9</t>
  </si>
  <si>
    <t>e54af6b2-fead-42fc-9077-f202aea03a9c</t>
  </si>
  <si>
    <t>715808f4-a010-4d25-bb81-93520011c4b8</t>
  </si>
  <si>
    <t>55d76b40-63b1-475c-b5b1-54e8e0258923</t>
  </si>
  <si>
    <t>a13dd713-f470-4a27-9692-0c78cad5b127</t>
  </si>
  <si>
    <t>f3ac7f17-e5a6-4076-b187-0e137d409917</t>
  </si>
  <si>
    <t>47bb63f4-0218-457e-9798-7808b74a2112</t>
  </si>
  <si>
    <t>78ba34f4-b564-451f-91a6-b66b733cc26e</t>
  </si>
  <si>
    <t>d2f92980-46e1-4a50-bac2-21400eade1a7</t>
  </si>
  <si>
    <t>8e628b97-c80d-44e8-b288-00761b87cb4b</t>
  </si>
  <si>
    <t>167262ef-bcfb-4269-91e7-31abb6f186f2</t>
  </si>
  <si>
    <t>36eb1af7-ece9-4ba3-ae94-b0a5cd8edb92</t>
  </si>
  <si>
    <t>8688e5d4-06e2-4d22-8533-3c0d58f4ffcf</t>
  </si>
  <si>
    <t>c941be5b-1f41-4875-ad05-3b3f96b05747</t>
  </si>
  <si>
    <t>135c0639-7d7c-448f-9332-aabfed832d88</t>
  </si>
  <si>
    <t>2fb19e44-8099-457a-8c47-61c69586bc05</t>
  </si>
  <si>
    <t>942dc210-44c3-4ced-b5ba-4b31285a7a94</t>
  </si>
  <si>
    <t>83452889-b947-4bd9-b783-c169da8f40df</t>
  </si>
  <si>
    <t>80c35be0-2e24-432a-b860-d5e4b4f3032f</t>
  </si>
  <si>
    <t>d27faba2-7a46-430e-ac84-9df9c8798473</t>
  </si>
  <si>
    <t>2735e43b-b532-4ea6-9972-ee919c867581</t>
  </si>
  <si>
    <t>d1dbd8fb-d8db-4e2a-9a39-7846f9421cec</t>
  </si>
  <si>
    <t>d484b984-ef02-4548-980e-5ce411673b5d</t>
  </si>
  <si>
    <t>8cfabda9-f5cd-414f-b5a8-069a9d4931d7</t>
  </si>
  <si>
    <t>3338e745-a425-465d-b7af-5077de624db1</t>
  </si>
  <si>
    <t>ea5d3075-1c56-458e-abc7-f25ded5a9d76</t>
  </si>
  <si>
    <t>Tim De Leon</t>
  </si>
  <si>
    <t>timdl@canva.com</t>
  </si>
  <si>
    <t>52a0a746-17a5-424f-ac1b-8e6f42f9df13</t>
  </si>
  <si>
    <t>51930f70-a846-46bc-80bf-a9b000e6b772</t>
  </si>
  <si>
    <t>64270f37-dda0-407d-be61-beb4de635f61</t>
  </si>
  <si>
    <t>14a9e9d6-d392-40ca-ae6b-cc60bd3a2349</t>
  </si>
  <si>
    <t>a6141c0c-9287-4a03-85a3-6f33f95eb03a</t>
  </si>
  <si>
    <t>e351d6d3-d968-4c82-85e6-88f61660e611</t>
  </si>
  <si>
    <t>8edc0eea-b54b-45ce-9dc0-f322fb844d31</t>
  </si>
  <si>
    <t>dafc96db-6463-4f9c-82b7-b5f6b8d58ed4</t>
  </si>
  <si>
    <t>9ae52f55-f7c1-43fa-a326-5963720a1691</t>
  </si>
  <si>
    <t>92f2a12e-5275-4f7f-9bb4-1ce427c1dfc8</t>
  </si>
  <si>
    <t>Team celebration</t>
  </si>
  <si>
    <t>5765b592-6231-413b-a6dc-a8f70d1a3649</t>
  </si>
  <si>
    <t>8715457e-5134-490d-ba98-da3e15c70e00</t>
  </si>
  <si>
    <t>8446ac9f-90e0-447a-b4fd-24ba4a978392</t>
  </si>
  <si>
    <t>5f0c59ee-b098-47d9-a485-e07f820f21b2</t>
  </si>
  <si>
    <t>04fc93d1-ed2d-45f7-b0ee-89f4a19e14ec</t>
  </si>
  <si>
    <t>5172f4b7-0a1a-432d-af30-c7dc79101f9b</t>
  </si>
  <si>
    <t>b7ffba93-82c2-4bb2-a7c9-b94c8dca1b8c</t>
  </si>
  <si>
    <t>Sick leave for recovery, experiencing high fever.</t>
  </si>
  <si>
    <t>6130cdf8-a598-4384-aaa2-7e6c66b59ff3</t>
  </si>
  <si>
    <t>03aa9036-2e52-4f80-ab3c-280389901453</t>
  </si>
  <si>
    <t>749a56f2-b9ca-427c-8cfc-497182782824</t>
  </si>
  <si>
    <t>df9cf9c9-ab9d-4961-89e5-7569c736d023</t>
  </si>
  <si>
    <t>279470ac-79ef-4461-bcfc-d2a4f8a774bd</t>
  </si>
  <si>
    <t>5edc36fa-9df2-47e0-bbda-2c0b5a323efc</t>
  </si>
  <si>
    <t>Carms Merilles</t>
  </si>
  <si>
    <t>carms@canva.com</t>
  </si>
  <si>
    <t>2c76ffe0-a2d5-46d5-aab6-34e24a799b43</t>
  </si>
  <si>
    <t>599332b5-fb56-42c4-9b28-f06ff980c1d2</t>
  </si>
  <si>
    <t>27defe3b-892e-4c10-8ecc-f68a539e6a6f</t>
  </si>
  <si>
    <t>b6b6b813-6c0e-4edf-b977-567f0cebbbdb</t>
  </si>
  <si>
    <t>d0a4d8d2-bf59-4b3a-b60b-427e0571945a</t>
  </si>
  <si>
    <t>39608cf0-baf3-478e-85f9-fbb8588c1f53</t>
  </si>
  <si>
    <t>33c5fafe-9735-4463-8a3b-35f53690a2a7</t>
  </si>
  <si>
    <t>c408adf4-b878-4e7f-9a5d-358b518362b8</t>
  </si>
  <si>
    <t>7dfc3272-7543-44a4-a4a5-3c3d1976f385</t>
  </si>
  <si>
    <t>19dabb61-0055-453f-9efd-1eaffbfc9a24</t>
  </si>
  <si>
    <t>6005b273-9474-46be-af3b-78eb28a83111</t>
  </si>
  <si>
    <t>6b24e269-0f1b-4e3c-b95a-192d12f04775</t>
  </si>
  <si>
    <t>81b06d57-a978-461b-b64d-947520f068a1</t>
  </si>
  <si>
    <t>578a56f6-c2bf-422f-9b86-51aa40bcc9cd</t>
  </si>
  <si>
    <t>d0faf429-87d3-4063-b9d2-cad51cdbe2fe</t>
  </si>
  <si>
    <t>fc491b0d-b093-4856-87d2-4e36861e5262</t>
  </si>
  <si>
    <t>a9e056da-f4e3-4824-a368-7ecaf8fe1ae8</t>
  </si>
  <si>
    <t>6a74830f-e4fe-475c-a325-e2d4697c06c3</t>
  </si>
  <si>
    <t>8f66187b-22f3-4e9e-9b0d-4f3d70d1ccf3</t>
  </si>
  <si>
    <t>7a301c2e-f063-47e2-b30d-0acd8379ad3d</t>
  </si>
  <si>
    <t>18ba3105-1ba9-4a5f-b4f7-7357614e893a</t>
  </si>
  <si>
    <t>a6f03617-37b8-44d0-83ff-238a9f063f9b</t>
  </si>
  <si>
    <t>a404c935-ed2c-453c-a3d5-0af18b23cb55</t>
  </si>
  <si>
    <t>Justine Valerie Meneses</t>
  </si>
  <si>
    <t>justinem@canva.com</t>
  </si>
  <si>
    <t>d6ec6d8e-4f33-4403-9423-a12048d8a845</t>
  </si>
  <si>
    <t>7db9ca98-b928-4c6e-8a85-7922d683d2c2</t>
  </si>
  <si>
    <t>a4cc975b-93df-48e8-90bf-626bd95edb31</t>
  </si>
  <si>
    <t>926cad9f-4455-4ce9-a2c7-a74c5492dcee</t>
  </si>
  <si>
    <t>afa2beb3-c6a5-4cf5-a41a-139bdb4001b7</t>
  </si>
  <si>
    <t>63e6a8af-278b-409f-b593-e041d0d03b47</t>
  </si>
  <si>
    <t>4387a5a8-f06e-45f4-8510-2a1af58677d6</t>
  </si>
  <si>
    <t>964d94e6-0711-44de-9773-89709cfa5cdb</t>
  </si>
  <si>
    <t>c47a0be9-da2a-4a73-b41d-86f84b700a32</t>
  </si>
  <si>
    <t>71379cc0-9a14-4bdd-af91-ee6029a652e1</t>
  </si>
  <si>
    <t>27c74740-ea36-44ab-a1c8-3b62d4e6d674</t>
  </si>
  <si>
    <t>District Applications: Module 1 Lesson 2 and Module 2</t>
  </si>
  <si>
    <t>c14ea749-b579-414f-b4ee-f8a10d307f37</t>
  </si>
  <si>
    <t>94230165-2208-4b02-8cf5-be870ba4caad</t>
  </si>
  <si>
    <t>ba18d5ee-a0f0-4583-be8a-8c21ee3d7973</t>
  </si>
  <si>
    <t>00108801-067a-4c85-8000-ae38f1b0072a</t>
  </si>
  <si>
    <t>72359618-dfff-4bf1-95a2-193432a65ea7</t>
  </si>
  <si>
    <t>3c05c528-5515-484f-a51f-c3fa93599648</t>
  </si>
  <si>
    <t>9cbc2fda-9bd1-4e4f-a4f4-340db11540f0</t>
  </si>
  <si>
    <t>5e2fb4d5-3b43-410d-b6f9-7e9b6bf10c70</t>
  </si>
  <si>
    <t>a3dea48d-85a3-4918-931e-19690c7dcd34</t>
  </si>
  <si>
    <t>84c96281-c7cf-4ef3-9c01-804af5b85f8b</t>
  </si>
  <si>
    <t>4213e169-349c-47c9-b613-f4356c986a3d</t>
  </si>
  <si>
    <t>Miggy De Vibar</t>
  </si>
  <si>
    <t>nas@canva.com</t>
  </si>
  <si>
    <t>994fea12-d1f5-44c8-877a-9342d16a6218</t>
  </si>
  <si>
    <t>cc7815be-fd02-4cc9-9d30-b859d0f8534d</t>
  </si>
  <si>
    <t>723dd704-3ce3-4012-bdc8-0b1a3ff0d3d9</t>
  </si>
  <si>
    <t>Request for scheduled break to be adjusted conencted to Meal time</t>
  </si>
  <si>
    <t>88abd52c-44ab-4313-a35f-fc210020dfe6</t>
  </si>
  <si>
    <t>3c787fcb-605e-4f66-bae5-4b457083f09d</t>
  </si>
  <si>
    <t>9f604a8c-4f7e-48b6-a698-172c3fee6500</t>
  </si>
  <si>
    <t>18b2eb98-5bc8-4a05-9f72-90d7cc70f5d1</t>
  </si>
  <si>
    <t>Request for scheduled meal to be adjusted, forgot to take it earlier</t>
  </si>
  <si>
    <t>5fad3b28-5b96-4495-88a7-2dabe1209253</t>
  </si>
  <si>
    <t>71a28646-94b3-4cf9-ada7-df03ce693e3e</t>
  </si>
  <si>
    <t>a8a7f585-a00b-4c82-8be3-c4965ac34153</t>
  </si>
  <si>
    <t>Quick Huddle with Team Belle</t>
  </si>
  <si>
    <t>0754c8af-cd1f-4f0f-a187-fe6b83b80f59</t>
  </si>
  <si>
    <t>Request for scheduled Meal to be adjusted due to Masterchef Competition</t>
  </si>
  <si>
    <t>f0c672e3-e870-480a-ac17-4318f18d0428</t>
  </si>
  <si>
    <t>Request for scheduled break to be adjuste due to CPS Christmas Party</t>
  </si>
  <si>
    <t>9fac6e97-777c-4927-a2aa-f967ebb534a8</t>
  </si>
  <si>
    <t>99b070f2-06d1-4297-8080-f3f958b0a45d</t>
  </si>
  <si>
    <t>84de70e6-154c-4211-b603-1c5285aaf327</t>
  </si>
  <si>
    <t>2abcddc2-0f00-4ef4-adcf-ba07ab61e402</t>
  </si>
  <si>
    <t>df31580d-d162-47f0-b30a-79186b10b7bf</t>
  </si>
  <si>
    <t>7eaee7d9-e3d9-42c8-8cce-fbdb14539008</t>
  </si>
  <si>
    <t>b612ae81-d3ed-4b23-ac3a-ff86a263d784</t>
  </si>
  <si>
    <t>951a8d58-4e78-41fe-8892-4dbddc6ce6fa</t>
  </si>
  <si>
    <t>Request for scheduled break to be adjusted connected to Meal</t>
  </si>
  <si>
    <t>eae59ee7-797e-4114-af81-ce3091410f76</t>
  </si>
  <si>
    <t>0519f8dd-38e2-4c44-b925-77b43587196d</t>
  </si>
  <si>
    <t>MJ Sol</t>
  </si>
  <si>
    <t>molli@canva.com</t>
  </si>
  <si>
    <t>3cedb962-23f0-4187-b274-083b513ac9f6</t>
  </si>
  <si>
    <t>d05ca885-52bb-499a-9516-fed4c896f09e</t>
  </si>
  <si>
    <t>c60521cd-7722-4447-a5b3-f271ba9e7a47</t>
  </si>
  <si>
    <t>0bacc7c1-68fb-4258-84cf-178488b7eff9</t>
  </si>
  <si>
    <t>5c7c2369-7d21-4f01-9fb3-0626b89c5b60</t>
  </si>
  <si>
    <t>ee9895a9-fea9-4cf0-afba-10595e83e538</t>
  </si>
  <si>
    <t>5d4b8385-482b-4ffc-8c32-4f743eed0761</t>
  </si>
  <si>
    <t>22a5e9eb-710a-430c-836e-fd6cc62c35d8</t>
  </si>
  <si>
    <t>81fbb093-89bb-46fc-a7b9-a32f4ca837bf</t>
  </si>
  <si>
    <t>1afdf180-e12a-46c5-a9db-649833014cd0</t>
  </si>
  <si>
    <t>e1e44f2a-77c9-409e-95c8-a6f5f7fd4cb6</t>
  </si>
  <si>
    <t>0c542295-b906-4a83-a11d-84522254787d</t>
  </si>
  <si>
    <t>a87a3de8-26a0-4c49-b8b8-753f8d63f389</t>
  </si>
  <si>
    <t>07e1e3a8-b3fd-4bd9-bae0-0c1bb17f2dda</t>
  </si>
  <si>
    <t>4a351a12-4310-4b14-adef-851e1d8a23e8</t>
  </si>
  <si>
    <t>6380626d-5e5e-467f-9bd0-461e1da79b74</t>
  </si>
  <si>
    <t>ff88806a-02a4-40bc-9d1a-1b62208d418a</t>
  </si>
  <si>
    <t>4ccb4360-1126-4469-ae25-e012034b938f</t>
  </si>
  <si>
    <t>dcc81e10-a0e5-4087-b493-9802a31fc745</t>
  </si>
  <si>
    <t>13c21005-24b7-4c3e-a9da-10620516c820</t>
  </si>
  <si>
    <t>ab6bc7e3-8227-4c09-a279-48ec71ae09e0</t>
  </si>
  <si>
    <t>ba1d3f0e-eb5b-4d43-ad8d-c06c587482c7</t>
  </si>
  <si>
    <t>5f53a6eb-7f6a-4004-ae8a-16b8fd0f7417</t>
  </si>
  <si>
    <t>fab51010-58b6-46a3-9ef0-b140767c9de6</t>
  </si>
  <si>
    <t>596c36cb-5349-4f8c-be17-c3e32bc09c1c</t>
  </si>
  <si>
    <t>266aaa62-0a26-4f9d-a96b-f9d6c0df905d</t>
  </si>
  <si>
    <t>898eb1b8-6b4b-4543-b989-06ea841c399f</t>
  </si>
  <si>
    <t>3272d93d-1af8-4be8-8246-cf1279651fe8</t>
  </si>
  <si>
    <t>94119974-d561-4e92-8070-eb352551ce1e</t>
  </si>
  <si>
    <t>37c57b4f-487c-4c75-8926-0d22cc125dcf</t>
  </si>
  <si>
    <t>Alice Creiser</t>
  </si>
  <si>
    <t>alicec@canva.com</t>
  </si>
  <si>
    <t>Work: Admin EMEA</t>
  </si>
  <si>
    <t>3042c2d8-0daf-433b-beac-139edb2d5ab8</t>
  </si>
  <si>
    <t>7868fd81-2bf9-4bae-8af1-539ff4777903</t>
  </si>
  <si>
    <t>11c800dc-6e98-4761-bb12-273e9051cf37</t>
  </si>
  <si>
    <t>2001a9b5-937f-49a9-b3e2-9c32bc0325f1</t>
  </si>
  <si>
    <t>45135e0f-f110-493e-9b2c-2a4f19575e07</t>
  </si>
  <si>
    <t>705b84ff-c60a-4dd1-9ce0-c6ad48b6fd04</t>
  </si>
  <si>
    <t>0f051a5c-9bc5-44ed-a340-962e0a878c9c</t>
  </si>
  <si>
    <t>12aadd36-080c-4771-90e8-64113c4224a4</t>
  </si>
  <si>
    <t>2b2a7385-e70d-49c6-a7aa-6dde9ca0c393</t>
  </si>
  <si>
    <t>5be886e3-1faf-42d2-a621-b9098e78aafc</t>
  </si>
  <si>
    <t>9c0aa25e-b5d8-465c-ab5a-fcdf2f5d9035</t>
  </si>
  <si>
    <t>d0a7914f-1251-4a75-b30d-45f0e270efee</t>
  </si>
  <si>
    <t>bebd65fe-77e0-451e-9346-61f4c90545e4</t>
  </si>
  <si>
    <t>772e423d-9a39-48f5-877a-cadaa2bbca24</t>
  </si>
  <si>
    <t>Admin Support Weekly Meeting</t>
  </si>
  <si>
    <t>e13aba41-3af1-44b0-8a92-217b1b4ff826</t>
  </si>
  <si>
    <t>c5ee767a-ea9f-4f66-a2ea-b04c19ffcefe</t>
  </si>
  <si>
    <t>EOY team bonding</t>
  </si>
  <si>
    <t>1c14cc15-41d1-47c1-b0be-e51483c7a2fb</t>
  </si>
  <si>
    <t>58ae829e-e76e-42e6-befd-534973be2681</t>
  </si>
  <si>
    <t>Admin Support Weekly Sync</t>
  </si>
  <si>
    <t>48683732-f85b-46bf-8318-d5e596764f2d</t>
  </si>
  <si>
    <t>467c24b3-be6d-450f-859d-10e2f9837cd5</t>
  </si>
  <si>
    <t>d0f77cd7-fc00-456d-bc5f-bff89089084b</t>
  </si>
  <si>
    <t>Growth Learning</t>
  </si>
  <si>
    <t>38d810e0-a3d8-44c3-8f7a-3d0bbf765b85</t>
  </si>
  <si>
    <t>c0f63bb5-1d4f-4b67-8a85-2fd91ec368f4</t>
  </si>
  <si>
    <t>a382265e-5876-4c6e-874c-75a2ef943f67</t>
  </si>
  <si>
    <t>65e111e9-ab12-453f-afa3-155200027cc6</t>
  </si>
  <si>
    <t>Francesca Mat</t>
  </si>
  <si>
    <t>francescamat@canva.com</t>
  </si>
  <si>
    <t>Work: ML Portuguese</t>
  </si>
  <si>
    <t>423e2d42-6f7a-497b-afd2-615f6800a4d3</t>
  </si>
  <si>
    <t>9f2d1403-d582-42f8-8882-8cb308873609</t>
  </si>
  <si>
    <t>a7cc1d06-47aa-4476-bcd1-3a8a89ebdf1e</t>
  </si>
  <si>
    <t>8e8afb19-500e-4deb-8535-3108a2e5a7c0</t>
  </si>
  <si>
    <t>89508a8b-081f-4528-89f0-dd0826059c13</t>
  </si>
  <si>
    <t>4856f99c-f365-4e43-b8f9-72b065f70736</t>
  </si>
  <si>
    <t>a8ffaa6b-4af2-4403-87b6-835a35b95522</t>
  </si>
  <si>
    <t>3b379b61-1a6e-443a-aabb-c0e706d4a314</t>
  </si>
  <si>
    <t>67141204-133f-4c9d-a0fc-43f21acf3618</t>
  </si>
  <si>
    <t>002d564b-5808-4f3e-8c06-f3a46ae04396</t>
  </si>
  <si>
    <t>6c302382-10a2-4aed-95f4-299595dd414d</t>
  </si>
  <si>
    <t>8b819efc-90c3-491e-be4f-d09053c0bdba</t>
  </si>
  <si>
    <t>abcb8ab2-b41e-44d2-8e8e-e15ca1caddb0</t>
  </si>
  <si>
    <t>3e3543a0-1ff5-4ea3-9486-1232751e6499</t>
  </si>
  <si>
    <t>0f1fc487-b733-495a-a48a-d3b9782fa32f</t>
  </si>
  <si>
    <t>Team Huddle/Activity</t>
  </si>
  <si>
    <t>7c459810-fdd9-4b0d-96ed-edb69a3521ac</t>
  </si>
  <si>
    <t>50a91b83-41d9-4556-a176-9750e4566132</t>
  </si>
  <si>
    <t>241a98fa-201b-4346-adf4-da1f9e614380</t>
  </si>
  <si>
    <t>3eb786e6-cc26-4376-be93-45c79d7f3996</t>
  </si>
  <si>
    <t>aa45df1b-af86-4ec5-8b7f-6cf8518c3d1d</t>
  </si>
  <si>
    <t>5cc46a1e-c49d-4562-acbb-742a43deb5f7</t>
  </si>
  <si>
    <t>Frank Weill</t>
  </si>
  <si>
    <t>fweill@canva.com</t>
  </si>
  <si>
    <t>9b3d60cc-6cd1-4e4d-a8f0-4e834eb21552</t>
  </si>
  <si>
    <t>4e0795a8-705b-41fd-912f-8dd7ef2df841</t>
  </si>
  <si>
    <t>71c1a738-79e0-4d0c-88a3-54827e287073</t>
  </si>
  <si>
    <t>75c79f47-9744-42ec-b705-4e05c5197302</t>
  </si>
  <si>
    <t>11ef5618-4e36-41ea-9cb4-f2229a08c400</t>
  </si>
  <si>
    <t>72f0b2eb-4a0d-44cd-ba49-9f9034415d91</t>
  </si>
  <si>
    <t>8eefbb6c-ee01-47d6-ae6b-07cf60fff66c</t>
  </si>
  <si>
    <t>1919c4be-7835-431c-9e0d-e76750f23f53</t>
  </si>
  <si>
    <t>2f396232-2bdc-43dd-9ccf-0c01bef0eee5</t>
  </si>
  <si>
    <t>Team Huddle - Shift Bid</t>
  </si>
  <si>
    <t>6e3237f7-d879-42ee-ae0a-2f0065cad49d</t>
  </si>
  <si>
    <t>32fc4eb9-7a48-444b-9b41-4f10a4498ed3</t>
  </si>
  <si>
    <t>55f8dcaf-1890-49e4-ba8d-5f3f444436cf</t>
  </si>
  <si>
    <t>c0104c75-902e-4fc2-ae7a-a0c3b064092b</t>
  </si>
  <si>
    <t>d8b7d659-aff6-4d2f-b9bc-093cce1e135e</t>
  </si>
  <si>
    <t>a4491429-24ae-4f4d-95c8-eb11b357170e</t>
  </si>
  <si>
    <t>3a0dced6-6c30-4d24-8e8e-2f5e83f6d125</t>
  </si>
  <si>
    <t>46a094c4-3c54-424d-96df-201e11e7d96d</t>
  </si>
  <si>
    <t>46d296b9-e07a-4723-8bf7-441888bf8563</t>
  </si>
  <si>
    <t>ec77e76b-73ab-4176-8ed0-40480686578e</t>
  </si>
  <si>
    <t>1f7e078e-29ef-477f-a6d3-d1a9f5231efe</t>
  </si>
  <si>
    <t>1ff74047-7c15-453d-a47d-ba1d952df8da</t>
  </si>
  <si>
    <t>3df7b8d6-730d-488f-8bda-0206bfb60819</t>
  </si>
  <si>
    <t>a7f7122a-0738-46fe-82bb-a5524dc903d9</t>
  </si>
  <si>
    <t>0e5c641a-0151-415e-8988-cea94753b229</t>
  </si>
  <si>
    <t>6528ec29-11ac-49b9-b785-85e7b875ca60</t>
  </si>
  <si>
    <t>7c5c82d1-ebd2-4dd5-a32f-f99ee1e70b56</t>
  </si>
  <si>
    <t>159949b6-0488-448d-a0db-5211cf87239b</t>
  </si>
  <si>
    <t>585fb774-46b3-4609-ad57-eb6fa5dba668</t>
  </si>
  <si>
    <t>d5b763a2-1000-460c-890a-00662bf9cea2</t>
  </si>
  <si>
    <t>53ac578a-5db8-46b3-98e7-06a4bbca0564</t>
  </si>
  <si>
    <t>8e4c3f62-29ea-4b98-8aae-98eda46a7613</t>
  </si>
  <si>
    <t>13356fd4-d0c7-4e93-97b1-6da80b3a0369</t>
  </si>
  <si>
    <t>c41cedce-97a7-483d-bf6d-845c121e2d62</t>
  </si>
  <si>
    <t>3e6e2a6e-11fc-4f5c-95c2-bd96ddb95c19</t>
  </si>
  <si>
    <t>8ba9ec68-f373-4e40-bf1b-d507e63f2782</t>
  </si>
  <si>
    <t>b0045a15-4fdf-4221-8f33-6acb039c87a0</t>
  </si>
  <si>
    <t>a04fb9bb-9f76-424f-bf8a-974f33a79e18</t>
  </si>
  <si>
    <t>594e8489-eba6-4a5f-8cc7-2c601dc0a1db</t>
  </si>
  <si>
    <t>c4325d98-74d4-4606-b5d0-3327224ea9ae</t>
  </si>
  <si>
    <t>253d67a9-d468-454b-b17c-b16b05cc6794</t>
  </si>
  <si>
    <t>Grace Garcia</t>
  </si>
  <si>
    <t>gracegarcia@canva.com</t>
  </si>
  <si>
    <t>2113c53d-f36e-4e73-ad7e-0d234306d8a1</t>
  </si>
  <si>
    <t>9d0d2e1c-56f7-4d2c-8558-5e0efc8b395a</t>
  </si>
  <si>
    <t>e49c1b2a-7613-42f8-b5f3-ae1b08c3536c</t>
  </si>
  <si>
    <t>de472347-28f9-4a0b-89c7-6445b422962b</t>
  </si>
  <si>
    <t>5b123efc-0c1a-432b-8096-93237c7b0b8b</t>
  </si>
  <si>
    <t>651e04d2-597f-4da1-818f-f42b02e1da80</t>
  </si>
  <si>
    <t>2a63c97d-dc02-46f8-b33a-71b06046d128</t>
  </si>
  <si>
    <t>a1c6c1a2-e565-4d67-97df-ea86916ed3ff</t>
  </si>
  <si>
    <t>ddadfb4e-9ac6-467c-a33b-8f8fdebcf680</t>
  </si>
  <si>
    <t>84887d0e-dada-48c5-85d2-4de66fe721cc</t>
  </si>
  <si>
    <t>d33f6742-c7e1-416b-b013-125f55174d5b</t>
  </si>
  <si>
    <t>2dee7d72-e4cf-483b-8173-08401a504cf5</t>
  </si>
  <si>
    <t>f56b7b2e-cf1d-4d68-aded-02bf2248025e</t>
  </si>
  <si>
    <t>08640a71-aac5-405b-9c48-b21f00a3834c</t>
  </si>
  <si>
    <t>aadcc1d4-b4cf-473b-abca-7be10a5cd3b2</t>
  </si>
  <si>
    <t>6fb244ff-b0a6-44de-a59d-b75b2e91ddeb</t>
  </si>
  <si>
    <t>dae3e1d2-64f9-4e42-bcff-9c35dd235d83</t>
  </si>
  <si>
    <t>2b1afc21-c528-405c-9cbb-846cf7155e35</t>
  </si>
  <si>
    <t>4beaf214-8ca2-4679-b210-c4196292cde0</t>
  </si>
  <si>
    <t>5d23f50a-264c-48f5-90c4-aba17fae72d9</t>
  </si>
  <si>
    <t>c97f3981-e6d0-4683-8938-22d767fab360</t>
  </si>
  <si>
    <t>ae8e97f2-6fb0-4cbc-8d10-5ca8e3ec2b5d</t>
  </si>
  <si>
    <t>e00f8d7f-2f62-47e9-a0ea-d03668ac4d4c</t>
  </si>
  <si>
    <t>cbf20c0e-0256-438c-8792-d8d14cb9d1ea</t>
  </si>
  <si>
    <t>29ffee34-7c65-4da6-9fe4-8fa97feaa352</t>
  </si>
  <si>
    <t>e13bae21-fe8a-48f7-a0d1-2f9067a30163</t>
  </si>
  <si>
    <t>c85ea1c8-f9f7-44b5-95ec-ec8078c30dd8</t>
  </si>
  <si>
    <t>27e60950-5e60-4eb1-bf12-a1f5c9254833</t>
  </si>
  <si>
    <t>a3db57ed-41c2-4b91-9631-2029d48e5835</t>
  </si>
  <si>
    <t>b45ff801-d571-4fa7-9580-962e30f1406e</t>
  </si>
  <si>
    <t>8a33a65d-4da5-41ca-858d-f81cf9b586af</t>
  </si>
  <si>
    <t>0ddca04b-c4d4-4cc5-89fc-35b9b4c33671</t>
  </si>
  <si>
    <t>4b6866d9-4ca0-4451-a3dd-ad9252b5ae7c</t>
  </si>
  <si>
    <t>792c67c4-bfc8-4638-8e61-e8b020d27812</t>
  </si>
  <si>
    <t>1bd250a4-84b7-45b1-8569-9eb7f99d1b7b</t>
  </si>
  <si>
    <t>123e8c80-f84d-46ba-8ddf-e514a808d270</t>
  </si>
  <si>
    <t>Kayl Albonia</t>
  </si>
  <si>
    <t>kayl@canva.com</t>
  </si>
  <si>
    <t>ea740c40-b691-47fb-9095-f240755f840c</t>
  </si>
  <si>
    <t>c1bceae3-0557-4a10-b53a-5ee026257e25</t>
  </si>
  <si>
    <t>Queue POC</t>
  </si>
  <si>
    <t>d27f972b-71a9-407d-acc9-077c617f62e0</t>
  </si>
  <si>
    <t>290db9ac-86b3-402d-88f5-2a9490b3ac91</t>
  </si>
  <si>
    <t>dd7a002e-20c5-4c3c-837e-36cb09399161</t>
  </si>
  <si>
    <t>d60330dd-ba53-4244-89b8-2384f916d179</t>
  </si>
  <si>
    <t>9db574e9-62cf-4f56-9214-fb993efdea43</t>
  </si>
  <si>
    <t>3b74d6bb-de43-4fc5-86bc-32f4d1de7754</t>
  </si>
  <si>
    <t>0b3b4237-f0d3-42c7-9077-8d24c15eccf8</t>
  </si>
  <si>
    <t>9ac4f04c-a17c-470a-89cb-f8be65158389</t>
  </si>
  <si>
    <t>6cf5ae05-ae38-4b2f-8ab3-f01b5e44e16b</t>
  </si>
  <si>
    <t>f36664c9-0e9c-47bf-9836-5d10af0e0548</t>
  </si>
  <si>
    <t>a6486116-3a20-4b4d-97dd-9c7752433363</t>
  </si>
  <si>
    <t>b7a60d2b-741d-4019-8341-3e40d8449dcb</t>
  </si>
  <si>
    <t>b17ce04d-1d37-4d8a-ac68-946324a64651</t>
  </si>
  <si>
    <t>67cc59e3-f49d-4d5c-976d-f312c2323cd8</t>
  </si>
  <si>
    <t>0d853fbc-bdd5-46af-927b-eb7b5a7adb19</t>
  </si>
  <si>
    <t>11141f39-2a7c-41ca-a7cf-ff0196d739d5</t>
  </si>
  <si>
    <t>3b971ee6-0611-4745-9c0b-959019ebd282</t>
  </si>
  <si>
    <t>5614a07a-1b78-4856-825a-49f1dc3923c1</t>
  </si>
  <si>
    <t>f21ec40a-1cf8-4bba-ab88-28c18ae9850e</t>
  </si>
  <si>
    <t>a79550bb-e123-4f59-bdd8-e5aa60343d82</t>
  </si>
  <si>
    <t>59530321-7de6-4ada-b1aa-739e809d615f</t>
  </si>
  <si>
    <t>ea0de84d-a983-465f-a37b-1a1665e93d87</t>
  </si>
  <si>
    <t>8f88c9d8-4504-49ac-986e-e08f54a55ff7</t>
  </si>
  <si>
    <t>58487ad4-9d2a-4996-bd8b-5bf2948d3abf</t>
  </si>
  <si>
    <t>e8cb7481-18ea-4597-888c-7b527247f247</t>
  </si>
  <si>
    <t>02da4545-b391-4b54-a5ca-9b7c6b819235</t>
  </si>
  <si>
    <t>46ad366b-60dc-4f85-b7ae-de999b224da7</t>
  </si>
  <si>
    <t>357f45b2-120e-454f-a8c6-1aa11a44e67a</t>
  </si>
  <si>
    <t>b63ba14c-0061-4d81-9449-a02fb6f87c0f</t>
  </si>
  <si>
    <t>a9194f1a-e89b-452d-8ff2-8f6851d12494</t>
  </si>
  <si>
    <t>61a0072a-8dcf-40fc-8b4d-843c8f01a0ff</t>
  </si>
  <si>
    <t>0d4aa0cf-2a98-415c-abb8-cca99d5d3fa7</t>
  </si>
  <si>
    <t>94be10e1-85cb-477d-8771-6d04b91bf431</t>
  </si>
  <si>
    <t>d58ba09b-740a-4dc9-a19e-de104de22213</t>
  </si>
  <si>
    <t>b71afa00-fd56-45c5-8ddb-398bdf387075</t>
  </si>
  <si>
    <t>057488d7-c626-44bb-854f-b9f09c5f3a33</t>
  </si>
  <si>
    <t>ddff770a-8bbb-4a78-9bec-f5c563c6b901</t>
  </si>
  <si>
    <t>Rafa Freitas</t>
  </si>
  <si>
    <t>ranufre@canva.com</t>
  </si>
  <si>
    <t>Half leave - Shift stars 10pm till 2am</t>
  </si>
  <si>
    <t>ea16edb5-4c21-496e-86bb-b8cda61ad059</t>
  </si>
  <si>
    <t>c307d574-85c8-4b21-a51f-f07a680a68cb</t>
  </si>
  <si>
    <t>ca051594-dc6c-40d7-a848-a36da4bcdaf2</t>
  </si>
  <si>
    <t>fce9b1c4-faf4-4be1-89e9-cdbbb67a9b9e</t>
  </si>
  <si>
    <t>a4a1cc05-e15e-4336-b213-45d219fc5049</t>
  </si>
  <si>
    <t>a7933bc2-604b-4532-a83b-beb2e5ae7714</t>
  </si>
  <si>
    <t>Half leave</t>
  </si>
  <si>
    <t>774d7cd1-fb7c-410a-8184-8eaab23a6fae</t>
  </si>
  <si>
    <t>36f13231-b3c2-4aa7-a3aa-5f68b7ea177f</t>
  </si>
  <si>
    <t>51c94587-1db8-4f18-80d1-64d0d938921a</t>
  </si>
  <si>
    <t>dc910206-aa08-47a8-b5a4-298cd3155837</t>
  </si>
  <si>
    <t>103e50e3-026b-4858-a396-a73f81ba6945</t>
  </si>
  <si>
    <t>f43b5609-417f-4c27-a9a5-60e67c42475a</t>
  </si>
  <si>
    <t>c1023ac3-dece-4e4d-bfdf-49fd2badc7d6</t>
  </si>
  <si>
    <t>fd0a8c64-b2c9-44f4-9bb0-f6163ee59c21</t>
  </si>
  <si>
    <t>3b066aa0-b3dd-4349-a723-e7898cfbc9ad</t>
  </si>
  <si>
    <t>58ee5661-e349-40f2-9669-f19c30b5021b</t>
  </si>
  <si>
    <t>b6294195-3806-40ed-9dbb-4b5ab2b30d13</t>
  </si>
  <si>
    <t>da25305e-1e3c-4359-ac21-bd2def4cc62c</t>
  </si>
  <si>
    <t>4fcde76a-968e-467c-b9a5-c86e265b00e4</t>
  </si>
  <si>
    <t>767741a7-1be7-4d23-b0d5-490ad0733f16</t>
  </si>
  <si>
    <t>97756389-1733-4bfe-bf0b-b3fe225fe510</t>
  </si>
  <si>
    <t>Susann Dierich</t>
  </si>
  <si>
    <t>susann@canva.com</t>
  </si>
  <si>
    <t>94693d17-f8f3-4dff-8a8c-ad43d5eb1e9a</t>
  </si>
  <si>
    <t>6d0f1a7d-6c4d-4d5e-bcde-abc5d3a10a6a</t>
  </si>
  <si>
    <t>information meeting (intro to new local medical plan/medical benefits)</t>
  </si>
  <si>
    <t>cbf480a8-77c0-4ec5-aa55-4bd8c500eb93</t>
  </si>
  <si>
    <t>6a42696f-69f0-44ef-be78-1f8fc4854ad7</t>
  </si>
  <si>
    <t>HSS Sys Partial Secondment</t>
  </si>
  <si>
    <t>2db24f01-2a22-4c8f-bcf2-9f7c623e03e7</t>
  </si>
  <si>
    <t>4299c3e9-50dd-40e6-b6de-e51cf2535df8</t>
  </si>
  <si>
    <t>fd4ff101-e584-482c-88c3-5fa217498fe9</t>
  </si>
  <si>
    <t>Bi-weekly 1:1 with coach (https://canva.slack.com/archives/C04LEHR7K46/p1765905873324079)</t>
  </si>
  <si>
    <t>e77ab955-04f7-433f-af66-5c820dad67d7</t>
  </si>
  <si>
    <t>5eaa3cf4-c6d2-4030-bfd8-c0a68c26d665</t>
  </si>
  <si>
    <t>32e618ae-f413-4643-a909-b85643ad4cc0</t>
  </si>
  <si>
    <t>0cbe5ec1-971a-41a9-86f0-e6769e340892</t>
  </si>
  <si>
    <t>ad3565cb-4d60-4be3-8256-6ee994bc7110</t>
  </si>
  <si>
    <t>9aae85c9-75f3-453d-bc38-7dea49d80f6d</t>
  </si>
  <si>
    <t>41a3f277-c887-42cc-a15e-9552221f019a</t>
  </si>
  <si>
    <t>6a5f8806-8589-476f-87b9-05bc985d812a</t>
  </si>
  <si>
    <t>b750226c-b54c-4f40-88e1-06c931b902f0</t>
  </si>
  <si>
    <t>a74c778a-6ce6-44b6-9169-c6959dd2f059</t>
  </si>
  <si>
    <t>4f8a373b-a419-4fd1-8475-c8a3ebb49592</t>
  </si>
  <si>
    <t>393956e4-aa14-4cb4-88b4-0adf4ee18bf2</t>
  </si>
  <si>
    <t>d7673ac8-059f-4d6a-a3be-e845a48ea869</t>
  </si>
  <si>
    <t>e5b01575-c00c-4c39-add2-0a077270527d</t>
  </si>
  <si>
    <t>ba66eed4-b6d1-4f2e-bb25-7bcbe2e970b1</t>
  </si>
  <si>
    <t>1b7157b7-11ba-4e15-9e04-86fdc5dd7a5b</t>
  </si>
  <si>
    <t>5b3c91ea-f40e-4412-a7ad-c50dfb57801b</t>
  </si>
  <si>
    <t>ad655398-5db7-499d-8d2c-0faaa92cac7e</t>
  </si>
  <si>
    <t>2f438236-549c-42fb-af20-032e2e014718</t>
  </si>
  <si>
    <t>ba5ba257-61f4-49ef-8ebb-55c5a097823d</t>
  </si>
  <si>
    <t>2aefff3d-4292-47bb-be1b-aa3d7504e5e0</t>
  </si>
  <si>
    <t>b5f49a72-6ea0-44a0-8325-970c0e83dea7</t>
  </si>
  <si>
    <t>Mirielle Frances de Lara</t>
  </si>
  <si>
    <t>mirielle@canva.com</t>
  </si>
  <si>
    <t>dab4a9c4-4d57-4d70-b6d8-6d619940a6a7</t>
  </si>
  <si>
    <t>f2830136-2e3c-499d-943b-f91250fd6480</t>
  </si>
  <si>
    <t>QS scrubbing</t>
  </si>
  <si>
    <t>b443d026-e613-4c3e-9e88-d715661d1bc5</t>
  </si>
  <si>
    <t>9f1a84b3-9379-4d0b-bae1-85ff11592952</t>
  </si>
  <si>
    <t>b49b9af0-38a4-4879-80e9-9acc40df97bb</t>
  </si>
  <si>
    <t>69bd1c1b-4561-416f-8764-c0ee7cf81680</t>
  </si>
  <si>
    <t>576727d8-83e9-49da-940a-3a297f6e2335</t>
  </si>
  <si>
    <t>6b74b268-08f3-4716-ab8a-cb72fd8fe549</t>
  </si>
  <si>
    <t>2693d8de-162b-4efa-98d0-02b1d41e63f6</t>
  </si>
  <si>
    <t>5bac7dd0-35ba-4ec8-b054-9914217fdd03</t>
  </si>
  <si>
    <t>e91d6ed0-1ea0-45d8-baf8-52e07bdd38b6</t>
  </si>
  <si>
    <t>f94a87b0-e355-4309-bc44-515be9af272e</t>
  </si>
  <si>
    <t>f4c70640-9894-496d-80c5-44baf7f36ff3</t>
  </si>
  <si>
    <t>5ce4eddb-749b-4ad4-b918-5e0f31144405</t>
  </si>
  <si>
    <t>76a3a44d-fb56-4615-a9cb-c8781a017e00</t>
  </si>
  <si>
    <t>Adjusted due to team huddle</t>
  </si>
  <si>
    <t>b35a6848-5d37-4c55-a718-3daf902e8eb5</t>
  </si>
  <si>
    <t>e328c0a8-bb08-48be-89b7-86312ae7c4df</t>
  </si>
  <si>
    <t>0aad40c8-dad0-46dd-b71f-8b7e00b00cfd</t>
  </si>
  <si>
    <t>4b1885d0-d0f0-46ef-a49a-28ec0c51e085</t>
  </si>
  <si>
    <t>99ed3134-c89d-4bb7-9345-80a2d4f65fe0</t>
  </si>
  <si>
    <t>872d7939-bc54-451b-bfba-884f13e7011b</t>
  </si>
  <si>
    <t>c103e354-bc18-4494-baa6-fafbf16f04c9</t>
  </si>
  <si>
    <t>5a8f2156-473f-473a-9a9e-3ab03b6b4489</t>
  </si>
  <si>
    <t>QS Srubbing</t>
  </si>
  <si>
    <t>fbd6bf06-4ad5-402c-a713-023bb562eb47</t>
  </si>
  <si>
    <t>QS Scrubbing</t>
  </si>
  <si>
    <t>7d3f70f4-c7d6-4068-8684-c0d2f5411001</t>
  </si>
  <si>
    <t>c964136a-2c41-49e9-a444-ffde72581a3c</t>
  </si>
  <si>
    <t>08311765-3c42-4488-bd92-fd53275c1902</t>
  </si>
  <si>
    <t>53c72618-3bf9-4bcf-adf4-39677fd20e1f</t>
  </si>
  <si>
    <t>Chesca Martos</t>
  </si>
  <si>
    <t>chesca@canva.com</t>
  </si>
  <si>
    <t>b74120b8-e4bf-4758-a6c4-03f959e3c8a2</t>
  </si>
  <si>
    <t>44339e35-954e-47bf-b07e-c57d21d0c436</t>
  </si>
  <si>
    <t>7eaa6251-1b9e-40eb-9a35-113f41b96f98</t>
  </si>
  <si>
    <t>a990693d-1a71-451f-99cf-2fe6e8787736</t>
  </si>
  <si>
    <t>98879804-ad9e-4578-8720-4c6e9ca70d5b</t>
  </si>
  <si>
    <t>e6ac5688-3adf-4cd4-980b-bc1f61b65bc5</t>
  </si>
  <si>
    <t>a509668b-2778-418d-babe-aaf3598ffe53</t>
  </si>
  <si>
    <t>9559a808-aeba-463a-b052-c6d42b92212f</t>
  </si>
  <si>
    <t>949dcf05-ebf3-4967-827a-b915d309abe6</t>
  </si>
  <si>
    <t>546b3879-b71e-4815-a467-356dfed31f0c</t>
  </si>
  <si>
    <t>df261199-e4da-47c2-84d5-e92651e892c0</t>
  </si>
  <si>
    <t>88f0902a-1fb4-4688-8c20-86c298114f27</t>
  </si>
  <si>
    <t>7c306bb3-f4c9-4477-98c7-3d12cf556442</t>
  </si>
  <si>
    <t>6a340343-a38a-4fe1-ba12-7e12c2604980</t>
  </si>
  <si>
    <t>f3e3e84b-97e9-43e1-947d-fc6601ef40bb</t>
  </si>
  <si>
    <t>b92fd8aa-e884-468e-b04f-9c34249f595e</t>
  </si>
  <si>
    <t>8f5c1588-f6e5-478d-aef3-f34ca8a1b73d</t>
  </si>
  <si>
    <t>b07c90a3-c42d-4bb8-ad7c-4326da465bbc</t>
  </si>
  <si>
    <t>57bfc912-fa60-4ae3-99aa-25ba05250ae2</t>
  </si>
  <si>
    <t>8a8518b3-b2c0-40d2-9d4f-179f640e6fe8</t>
  </si>
  <si>
    <t>adc031d4-c78c-459d-abbe-499105cc26e4</t>
  </si>
  <si>
    <t>7619122c-949b-4eee-9245-d93e5e01c126</t>
  </si>
  <si>
    <t>406ac357-4a4f-4c58-8c2a-2dc3000eeb5d</t>
  </si>
  <si>
    <t>ca9b1951-81de-4eb8-a45e-fe897ebc9c01</t>
  </si>
  <si>
    <t>76775b96-5676-404d-a794-66de0ee3385f</t>
  </si>
  <si>
    <t>86c98e41-6b49-4083-894d-c81bcd9461b5</t>
  </si>
  <si>
    <t>ff15910d-7e0a-4af5-bf75-c14c26139dfa</t>
  </si>
  <si>
    <t>27d02884-beb6-4247-a593-c2b9f5743fee</t>
  </si>
  <si>
    <t>43826ca1-4339-4d7a-8d0a-259e6aff5bcc</t>
  </si>
  <si>
    <t>9ae4620e-738b-4b3c-931d-4a3cece260bb</t>
  </si>
  <si>
    <t>8537c4b8-9cef-457a-adcd-20a1c4e97253</t>
  </si>
  <si>
    <t>6a1f75ec-a33f-421c-ae6c-e679174f857c</t>
  </si>
  <si>
    <t>f3dfc617-f80e-4d53-8b69-68300e36c3c1</t>
  </si>
  <si>
    <t>e0c07b02-92bd-4d1d-a3a8-660d8ed21c92</t>
  </si>
  <si>
    <t>2481623d-68f9-4961-8969-9f8b57ed8b3c</t>
  </si>
  <si>
    <t>dad6d402-c9a8-4f84-89ed-ba0ca8597d8d</t>
  </si>
  <si>
    <t>d66d0ae3-dcea-4e8b-a661-62f71ff75678</t>
  </si>
  <si>
    <t>1c3a404a-a75d-48da-8c47-7d62dd5245e5</t>
  </si>
  <si>
    <t>4f768ee9-d7b1-42d0-9eb0-265a2b806f51</t>
  </si>
  <si>
    <t>c5ba42b5-b56e-4880-adbe-57292f722509</t>
  </si>
  <si>
    <t>Katrin Cebedo</t>
  </si>
  <si>
    <t>katcee@canva.com</t>
  </si>
  <si>
    <t>c5d4493a-f3a5-432b-ba65-414837fcb149</t>
  </si>
  <si>
    <t>953d1088-b77c-4860-aa9b-0fd44bab0e32</t>
  </si>
  <si>
    <t>b4521d98-c7bf-4a20-9112-2e892bad2c71</t>
  </si>
  <si>
    <t>3304d144-8f8c-44bc-a4c5-d76df774c81e</t>
  </si>
  <si>
    <t>9cb1ac66-d9ba-4143-b149-fc93d1fffcb2</t>
  </si>
  <si>
    <t>d66e80c1-fdcd-407f-a5d1-75c75153d2c5</t>
  </si>
  <si>
    <t>c9cd86ad-02fc-4654-8e55-ea030ea06335</t>
  </si>
  <si>
    <t>23559dba-f4e7-4bb0-b6f2-9a950fc75925</t>
  </si>
  <si>
    <t>df3b1f96-4b92-40f2-88d6-94a88883616c</t>
  </si>
  <si>
    <t>765820e5-7b66-470c-9398-8a12d26c0566</t>
  </si>
  <si>
    <t>aa55ffce-6286-41ef-a437-854766f2f1ab</t>
  </si>
  <si>
    <t>queue management</t>
  </si>
  <si>
    <t>ce1214ea-1a44-40f7-842f-4fd745b24bc5</t>
  </si>
  <si>
    <t>bfac3979-b187-44c1-b340-7c287e3721c5</t>
  </si>
  <si>
    <t>67d347cc-586e-403f-a089-ecb3d4f274f6</t>
  </si>
  <si>
    <t>c32b6d96-0835-42e3-b591-3ad5f035704e</t>
  </si>
  <si>
    <t>7377b527-fb12-4cfd-8e02-564fe22d57f3</t>
  </si>
  <si>
    <t>3d93b9e7-48cc-4054-a27c-a0f57b348e3a</t>
  </si>
  <si>
    <t>b7d02ddc-7e1c-484c-a8c0-5be9db97dd30</t>
  </si>
  <si>
    <t>e81db6d8-abfd-4504-97ef-76b41fbe65df</t>
  </si>
  <si>
    <t>e3eb5a44-7470-4ea2-82a6-3222d417bd4d</t>
  </si>
  <si>
    <t>bd8ff2ed-5dbb-4329-afea-f5b811eed2d9</t>
  </si>
  <si>
    <t>0a070fd5-d6cd-43ea-811f-4662cc08fcbc</t>
  </si>
  <si>
    <t>596696e6-398b-4f37-b07f-6783e43a54da</t>
  </si>
  <si>
    <t>cd0ae8ef-a375-4aa5-be66-13a5b034d949</t>
  </si>
  <si>
    <t>3574f1eb-41f7-45b9-9d7f-6c5bb9dd1a1f</t>
  </si>
  <si>
    <t>36058d59-74fa-451e-8e35-d2de61116920</t>
  </si>
  <si>
    <t>cf3a7113-15a1-4ce6-ac5d-db7b5cca10be</t>
  </si>
  <si>
    <t>3ae629b7-2dba-4466-985a-3dce9e348d89</t>
  </si>
  <si>
    <t>2f40b0fb-8b25-4a7a-9832-680e78e6a75f</t>
  </si>
  <si>
    <t>ef2acec7-e049-4464-ace8-d13de4337db6</t>
  </si>
  <si>
    <t>7d7d0d76-4b21-4023-af5e-7e0715e1eb9a</t>
  </si>
  <si>
    <t>eb34f3e8-6042-434e-b0a0-5e9b013e5748</t>
  </si>
  <si>
    <t>f3902e23-dc3a-4662-bd90-864635ea90d5</t>
  </si>
  <si>
    <t>d2723515-1522-443e-b58e-f6588b775915</t>
  </si>
  <si>
    <t>67a52898-42eb-4f78-ab74-76a69847cc8f</t>
  </si>
  <si>
    <t>a3212086-6fc2-4f2f-aa7e-bf5d537320cb</t>
  </si>
  <si>
    <t>819a4eb3-a103-4db7-a6ac-8e3f4065c04c</t>
  </si>
  <si>
    <t>7e4c966b-866d-435a-a1da-311713a49abe</t>
  </si>
  <si>
    <t>a8eb70e6-ac41-471f-b494-f211707ead75</t>
  </si>
  <si>
    <t>b70eebc6-c7c9-48bc-a876-82736f994fb9</t>
  </si>
  <si>
    <t>Precious Pescador</t>
  </si>
  <si>
    <t>pnicolepescador@canva.com</t>
  </si>
  <si>
    <t>e1ce30cb-2031-44f4-ab9e-e7ec86e3a2d7</t>
  </si>
  <si>
    <t>6e177630-72ce-41bf-83a8-10bab29403a7</t>
  </si>
  <si>
    <t>f50c673d-52f5-4177-9eff-1747451244a8</t>
  </si>
  <si>
    <t>fb82aca4-dcb7-417a-9230-494068843d6b</t>
  </si>
  <si>
    <t>39ac490c-fb79-4bd3-968a-0899080fdd0b</t>
  </si>
  <si>
    <t>ee5245e2-62a0-4257-ac49-50cab3f551d0</t>
  </si>
  <si>
    <t>d347ed22-204b-4958-bed9-2dc5df134a78</t>
  </si>
  <si>
    <t>54e4170d-5bc8-4a1c-bb7a-cd084db06591</t>
  </si>
  <si>
    <t>2112060c-2154-4071-9fb3-2dfd504973d7</t>
  </si>
  <si>
    <t>c9f247e2-6acf-4e0c-8c9d-23c50ea9aced</t>
  </si>
  <si>
    <t>5c0408fb-1a1c-499c-b89a-ffa4f0734281</t>
  </si>
  <si>
    <t>b71b6be9-b51a-4855-bc80-a90ca1f57712</t>
  </si>
  <si>
    <t>cf575a35-d592-47ae-8dc0-5ecdc8013f31</t>
  </si>
  <si>
    <t>139d55d9-d591-43a9-ab72-62e4debc9115</t>
  </si>
  <si>
    <t>94b13c85-838f-4e62-9eb5-480aadcee6c4</t>
  </si>
  <si>
    <t>81acb8d1-4e9a-4439-9156-34f4998fe5cd</t>
  </si>
  <si>
    <t>023a9e95-d6c5-4735-b937-2446ccada49e</t>
  </si>
  <si>
    <t>c6799c89-f6da-4b99-8d14-2025589ae2ea</t>
  </si>
  <si>
    <t>d6099908-78b3-495f-aff0-7b51bc5e03bf</t>
  </si>
  <si>
    <t>dcf6c3dc-6be5-4bed-8987-aed9bb5a1cf3</t>
  </si>
  <si>
    <t>4bbac5af-54c6-44bd-9fcd-1b39c5a52724</t>
  </si>
  <si>
    <t>952cbd43-4d68-4ae2-802f-27744d395c92</t>
  </si>
  <si>
    <t>a6fff13e-715e-441e-88b4-912037fa9f93</t>
  </si>
  <si>
    <t>5e0b4945-8c06-466b-a78e-e23045c1fc7c</t>
  </si>
  <si>
    <t>6b26255b-3370-412b-9d8b-6291ac6d392f</t>
  </si>
  <si>
    <t>b4bdf570-1bf6-46d9-aa50-51860533819d</t>
  </si>
  <si>
    <t>47c81152-ba43-46cc-a7d0-0932f6b560e3</t>
  </si>
  <si>
    <t>db75e90c-07ac-4804-9628-e0a29dd55205</t>
  </si>
  <si>
    <t>aa0c5ba3-1a87-4478-8112-fd9199193de3</t>
  </si>
  <si>
    <t>b9801b0c-cf99-473f-b1b7-2190a69fc629</t>
  </si>
  <si>
    <t>0d19ef58-6f2b-401d-a693-42705e018597</t>
  </si>
  <si>
    <t>8d6af725-21e2-45d9-8817-4a828cc57e15</t>
  </si>
  <si>
    <t>4d36e9c8-3692-443d-a65a-4ad3766420aa</t>
  </si>
  <si>
    <t>379cf4e6-8765-43e6-b06e-8a6559d5faa0</t>
  </si>
  <si>
    <t>20544f57-bcd2-4dd2-895b-45868efcdfdf</t>
  </si>
  <si>
    <t>51779248-3a58-4f8b-a6b2-199adab38b74</t>
  </si>
  <si>
    <t>328935f7-c639-4b8f-8512-a9641b2cf808</t>
  </si>
  <si>
    <t>Regie Yambot</t>
  </si>
  <si>
    <t>regie@canva.com</t>
  </si>
  <si>
    <t>6d45577e-cf43-44b1-8290-e3faeb88d487</t>
  </si>
  <si>
    <t>6ceb1c2c-709f-4373-a9b1-25c00def9b2c</t>
  </si>
  <si>
    <t>c054b865-1c99-414c-800f-25d087cb6b5d</t>
  </si>
  <si>
    <t>e4a1394e-8359-4c83-b1dc-40d5c3246240</t>
  </si>
  <si>
    <t>14c6129f-bdec-43ae-97cd-9630c2aa1e9d</t>
  </si>
  <si>
    <t>ecb40008-e23b-4054-bdfc-32cdeb6d13a9</t>
  </si>
  <si>
    <t>ea631e9b-070f-4e00-89ee-a8608619ee90</t>
  </si>
  <si>
    <t>3f0b9d98-0dfb-416c-a168-55d27d353d6c</t>
  </si>
  <si>
    <t>194c853d-e12f-47d5-921a-20c2f1547455</t>
  </si>
  <si>
    <t>Our whole family experience cold and cough</t>
  </si>
  <si>
    <t>74e86f58-3fb1-4f9b-90c3-0798d9d3009c</t>
  </si>
  <si>
    <t>ee99d8ce-f15e-47c0-87ee-941a0aec8353</t>
  </si>
  <si>
    <t>91f86831-993f-4069-9c42-89156e5cbd98</t>
  </si>
  <si>
    <t>42f25ebf-7a44-4f54-9508-ec37566e94e8</t>
  </si>
  <si>
    <t>Check-in with Reg</t>
  </si>
  <si>
    <t>f82ccaf0-6eb3-4199-abcd-91adb91fae18</t>
  </si>
  <si>
    <t>cbf2bc0b-464d-4e23-a4a6-02cffc6739dc</t>
  </si>
  <si>
    <t>No 30 mins break schedule today.</t>
  </si>
  <si>
    <t>54ace91e-5ee2-4624-957f-f3d1da200be2</t>
  </si>
  <si>
    <t>74214cb4-2a6b-49d4-83be-294c7a3e760e</t>
  </si>
  <si>
    <t>ef1901bb-e95e-4de5-9d8d-483d19a24c99</t>
  </si>
  <si>
    <t>86a240f9-58e4-43c8-af83-49fc934961ac</t>
  </si>
  <si>
    <t>388e2e03-fecd-4309-816d-640c6aa4cbcc</t>
  </si>
  <si>
    <t>679a5559-df33-43cd-bbd1-52daf3773dff</t>
  </si>
  <si>
    <t>d1b0b5e7-c491-4408-920e-59b58d32f68c</t>
  </si>
  <si>
    <t>2f04c577-165b-4b56-8189-431e08a3eeb9</t>
  </si>
  <si>
    <t>e2ffb663-8d10-4463-8bb8-3bd130fdce1c</t>
  </si>
  <si>
    <t>Hannah Bejo</t>
  </si>
  <si>
    <t>hanni@canva.com</t>
  </si>
  <si>
    <t>e6269218-b89f-48e7-9fae-9420d82b6417</t>
  </si>
  <si>
    <t>Rest after week long work together</t>
  </si>
  <si>
    <t>b6689210-1f3a-4cbb-90be-5d31a6e41f1d</t>
  </si>
  <si>
    <t>dd1f4b2d-f1c3-43e8-a922-df1a5545e326</t>
  </si>
  <si>
    <t>cdb7de32-3345-40b0-b25e-62635f340070</t>
  </si>
  <si>
    <t>67892b88-30ea-41d4-a9a0-c10fed9a5329</t>
  </si>
  <si>
    <t>f92cac25-317b-4035-a3d7-bb4abe4871a6</t>
  </si>
  <si>
    <t>c5acdd5e-0048-4d46-b35f-e4c3d2590727</t>
  </si>
  <si>
    <t>a3209367-858a-4845-8aad-c70b7db6d28b</t>
  </si>
  <si>
    <t>613b9d8a-6edc-455f-86b4-ed5bafacdac2</t>
  </si>
  <si>
    <t>66abbbf9-34e9-4202-bb0c-7f0d53dceea5</t>
  </si>
  <si>
    <t>11b8680e-571e-42e9-b7d5-c96a08f18070</t>
  </si>
  <si>
    <t>bb3f8ae8-d676-46dc-bd46-e16848935b68</t>
  </si>
  <si>
    <t>83efd625-b7bb-4ddb-896d-9cad9cf831fb</t>
  </si>
  <si>
    <t>f50e89d6-a2b6-4fc1-b023-0340f3455b7d</t>
  </si>
  <si>
    <t>answering breaching tickets newly assigned 15 mins before original lunch time</t>
  </si>
  <si>
    <t>d8c65231-9136-4d99-9b33-ef141e5a0d29</t>
  </si>
  <si>
    <t>0ca605d9-7a05-4ee3-8c02-2bc43646c89f</t>
  </si>
  <si>
    <t>6b614b8c-5a85-417d-b189-7a98c18b2ecd</t>
  </si>
  <si>
    <t>8da7abce-0218-46e4-b608-c0fe46db53a8</t>
  </si>
  <si>
    <t>Answering breaching tickets assigned by 1vps</t>
  </si>
  <si>
    <t>10b1ee5a-f9ab-46d9-947a-75e1c76d5d9b</t>
  </si>
  <si>
    <t>7a17b650-1fbf-4b59-b29e-f3bbdbffaa6e</t>
  </si>
  <si>
    <t>d06b1780-4079-4721-a18c-60847fbeb47b</t>
  </si>
  <si>
    <t>52b4d615-4977-40aa-9423-9e86ec37708e</t>
  </si>
  <si>
    <t>Answering breaching</t>
  </si>
  <si>
    <t>2b64c2ac-263e-40eb-b828-de2a8c6bd685</t>
  </si>
  <si>
    <t>33729aeb-c446-4a98-ae75-081773b5fa6c</t>
  </si>
  <si>
    <t>16c5f5b9-85a0-4409-afbc-54b62edea3ae</t>
  </si>
  <si>
    <t>85fbe03d-5fff-440f-bb91-2d811cf14410</t>
  </si>
  <si>
    <t>93b73ba0-0f81-4dfa-a8f5-894989ffa86d</t>
  </si>
  <si>
    <t>f469b360-bdd0-4185-9133-51e87fc00965</t>
  </si>
  <si>
    <t>dd9031cd-5d80-4ed0-87af-818c8b40c8e9</t>
  </si>
  <si>
    <t>f1c15acd-16f0-4e18-b880-00a59a665838</t>
  </si>
  <si>
    <t>34d2bf23-104c-4cd4-93af-6ac676e38e23</t>
  </si>
  <si>
    <t>6302cdb1-f26a-4817-b96a-4e214e45c61f</t>
  </si>
  <si>
    <t>a04b79d2-b602-49a0-91b4-b9518f41f621</t>
  </si>
  <si>
    <t>answered 3 breaching tickets assigned before my original break</t>
  </si>
  <si>
    <t>465e6a66-05ac-4161-819d-d3a8c3f45747</t>
  </si>
  <si>
    <t>4c63f580-be0b-4f5b-8c45-baccc88428ad</t>
  </si>
  <si>
    <t>e260dad1-fce3-406b-af0f-4073e0e74581</t>
  </si>
  <si>
    <t>Answered breaching assigned by 1 vps before original lunch</t>
  </si>
  <si>
    <t>70d8b2d8-5d40-40a9-b509-462d56949c20</t>
  </si>
  <si>
    <t>59198622-56ac-4fb0-b4d2-d8e9eeb67c93</t>
  </si>
  <si>
    <t>5e57a2c8-fe7b-40fb-b179-0090e8e3060b</t>
  </si>
  <si>
    <t>Mac Mendoza</t>
  </si>
  <si>
    <t>mac@canva.com</t>
  </si>
  <si>
    <t>b5fc40e6-48d3-4c70-bfd3-671678a8e748</t>
  </si>
  <si>
    <t>65471668-a603-4a1e-b3fb-11daf87292e1</t>
  </si>
  <si>
    <t>a8eef7cc-4f7e-4a1e-a6a0-6586f873cd65</t>
  </si>
  <si>
    <t>210a1692-c58a-4a97-a282-98bdb89d5513</t>
  </si>
  <si>
    <t>3ac3466b-1c1e-4e40-a540-7ba67d581f25</t>
  </si>
  <si>
    <t>b819578a-245b-4396-a335-31567623c0cd</t>
  </si>
  <si>
    <t>e038eab2-036d-4157-82c6-27fb1e2d2800</t>
  </si>
  <si>
    <t>464e0874-1a15-4783-a728-5afa6f3543e1</t>
  </si>
  <si>
    <t>84f4fa25-c0a3-4d23-8a1f-70c2319696c8</t>
  </si>
  <si>
    <t>c02e890a-6618-4651-bc02-55ca4a3c4b42</t>
  </si>
  <si>
    <t>1fe028f9-d1d3-48ec-ac1e-f81eeb70d8f0</t>
  </si>
  <si>
    <t>da5cbbad-1a3e-498f-88d8-a382481993a0</t>
  </si>
  <si>
    <t>9edc130e-e688-4d1d-b3b0-a3fef391bb90</t>
  </si>
  <si>
    <t>221d92c6-4f17-4a04-8bf6-3b1513e6a9b7</t>
  </si>
  <si>
    <t>705069d3-b3c1-4f3f-bca8-c3534feb7394</t>
  </si>
  <si>
    <t>9950c5bd-c62e-4a8d-9677-fc21fb7f91d4</t>
  </si>
  <si>
    <t>Keeping Canva Safe 2025 + Canvanaut Privacy Training 2025</t>
  </si>
  <si>
    <t>cab269a0-a537-460f-8cbc-7f3651c32a3b</t>
  </si>
  <si>
    <t>08f64630-b624-4834-8c05-e2f938333a17</t>
  </si>
  <si>
    <t>f497ab82-3ee8-4169-8738-3ec23540226a</t>
  </si>
  <si>
    <t>135f18ff-c3ff-494c-bbd8-dcc9e0e0756d</t>
  </si>
  <si>
    <t>6a7b954c-b6c3-49ee-b531-c1516331ca46</t>
  </si>
  <si>
    <t>Pao Domanais</t>
  </si>
  <si>
    <t>pao@canva.com</t>
  </si>
  <si>
    <t>2cddcfa9-e279-4674-838a-603b4796c2f8</t>
  </si>
  <si>
    <t>c98a0f46-ccb7-45a5-9120-e7691cc24802</t>
  </si>
  <si>
    <t>22978134-4b68-48fd-8c41-09b1522705b8</t>
  </si>
  <si>
    <t>d9212908-0a25-48ec-ad9f-aaf727722822</t>
  </si>
  <si>
    <t>de865456-a8fd-4468-a133-9906a73db250</t>
  </si>
  <si>
    <t>da4a3441-8a73-4432-b30b-e7581ae804fe</t>
  </si>
  <si>
    <t xml:space="preserve">VL - Hi team! Sending a new VL request for Dec. 16-17.
We received an updated wedding date set by the judge to be on Dec. 17. 
If these new dates can be approved, I can cancel my VL request that was originally on Dec. 5 and 8. 
If not possible, maybe the Dec. 17 can be approved? 
We really need to get the wedding done this year as next year will be my brother's wedding and it will take us another year to set my own again.
Please let me know your update on my request. Thank you so much for your kind consideration. </t>
  </si>
  <si>
    <t>c73c4ea0-0368-42b1-9e38-20575c18ffb4</t>
  </si>
  <si>
    <t>94e1ba95-361f-4ed8-8862-3812d9d2bac8</t>
  </si>
  <si>
    <t>38932a62-1555-406e-8ae3-634ec6c421af</t>
  </si>
  <si>
    <t>21e864a3-2cdd-4ac3-ba59-a7e2becb15da</t>
  </si>
  <si>
    <t>7c4c4b4a-5a88-43df-8610-99032e5e3626</t>
  </si>
  <si>
    <t>7bde74d7-6fbd-435c-a343-599e08072090</t>
  </si>
  <si>
    <t>a7a63ff0-def0-4f3e-8b4f-2b76875b3818</t>
  </si>
  <si>
    <t>5e6eefa1-e8c3-42bd-909d-f5eaacf27d09</t>
  </si>
  <si>
    <t>d93d1c04-79b0-4a1d-b8de-e6767a4b4be7</t>
  </si>
  <si>
    <t>d0bac21d-757e-43ad-a718-4252a37517eb</t>
  </si>
  <si>
    <t>0eccc1c9-ba55-474f-a2dc-8940926ff5a2</t>
  </si>
  <si>
    <t>fb978ea2-887c-44c1-bdbc-ae3d2e093389</t>
  </si>
  <si>
    <t>Goof Order sheet</t>
  </si>
  <si>
    <t>6e178fba-38af-48ee-bf82-2e4e132eea4f</t>
  </si>
  <si>
    <t>b201f124-2f90-47f0-9408-e41ac81f4740</t>
  </si>
  <si>
    <t>Goof order sheet continuation</t>
  </si>
  <si>
    <t>63b12cdb-10fa-4b5b-aa63-2955397719bb</t>
  </si>
  <si>
    <t>Inquiry from Cat - https://canvateam.zendesk.com/agent/tickets/14933050</t>
  </si>
  <si>
    <t>88c74e4b-d04e-4d6c-a6c9-11ee872de26e</t>
  </si>
  <si>
    <t>Inquiry from Cat - https://business.poste.it/professionisti-imprese/cerca/index.html#!/risultati-spedizioni/LY885267162DE</t>
  </si>
  <si>
    <t>41f101e0-9a51-4448-9979-1dae57facc02</t>
  </si>
  <si>
    <t>481c2d0a-eba6-4581-b482-d1b2c1824998</t>
  </si>
  <si>
    <t>1e2f6be2-8440-4ff9-8e34-7eafbfe8977d</t>
  </si>
  <si>
    <t>Extended coaching.</t>
  </si>
  <si>
    <t>53819fea-9609-455d-b216-6ef995f3322b</t>
  </si>
  <si>
    <t>68d2374a-9ab2-46fb-b11d-500787d356d2</t>
  </si>
  <si>
    <t>cdb4f5e9-16d2-4d09-bc9c-2a2f8c282185</t>
  </si>
  <si>
    <t>795981ce-4d10-4d82-8c86-abfaee5aa819</t>
  </si>
  <si>
    <t>Paolo Natividad</t>
  </si>
  <si>
    <t>paolonati@canva.com</t>
  </si>
  <si>
    <t>d5dda549-5ec1-4eac-972f-7e5c4500d840</t>
  </si>
  <si>
    <t>fb598d47-66c7-4b01-a27f-0cfdac547db4</t>
  </si>
  <si>
    <t>bbddb378-4751-4345-8b69-dbe867def812</t>
  </si>
  <si>
    <t>3bad7aa5-e246-4a5c-b4a1-77b1d85acbb5</t>
  </si>
  <si>
    <t>ea49803a-8541-48c8-b329-4c6f526b9a2c</t>
  </si>
  <si>
    <t>fbd92fb8-5fad-4bc5-8167-24c1f74181dd</t>
  </si>
  <si>
    <t>998d9ac0-8a8e-4303-ba8a-112bcb332785</t>
  </si>
  <si>
    <t>1c4cc5f5-ef7b-46b6-bd7c-d995492a417c</t>
  </si>
  <si>
    <t>7e7a2b19-3b5d-4a86-ba9d-cbe78c6a6c6a</t>
  </si>
  <si>
    <t>ce495682-fd64-418f-8ef2-275fbd7f9978</t>
  </si>
  <si>
    <t>650ccc63-a0c3-456a-afb0-47e684deed00</t>
  </si>
  <si>
    <t>dcadae7c-1f3c-4afb-bf64-e9bd32fa344c</t>
  </si>
  <si>
    <t>d097dcbb-b50c-4b24-919a-d84cbf56a31c</t>
  </si>
  <si>
    <t>40616a39-4a84-46bb-95d9-ace1ba1ab8be</t>
  </si>
  <si>
    <t>024580bc-9616-4dab-b95b-1439a3494d74</t>
  </si>
  <si>
    <t>269f5602-dfaa-4a7c-8176-53e6e9e63b73</t>
  </si>
  <si>
    <t>acbfed14-23c0-4c66-9b29-96c431cc9c1c</t>
  </si>
  <si>
    <t>460ba276-aa7f-473d-9f72-f3495656a340</t>
  </si>
  <si>
    <t>2f5cc279-f10a-41d1-9502-45f43ada506f</t>
  </si>
  <si>
    <t>b206716d-9930-46db-8538-280acd56bc5b</t>
  </si>
  <si>
    <t>d798de47-5e22-4cf5-8a91-52ff26444472</t>
  </si>
  <si>
    <t>2e41ddac-e7fd-4017-a901-6031f336bf2b</t>
  </si>
  <si>
    <t>899320fc-7e61-4808-9928-2c0b18d516e3</t>
  </si>
  <si>
    <t>b7924d91-3498-4489-8cce-870bcd8be85e</t>
  </si>
  <si>
    <t>85193ab6-dccf-4a4d-8030-ebe79a103fb6</t>
  </si>
  <si>
    <t>f3e01c36-ae47-4587-bb42-c4f8b42102e5</t>
  </si>
  <si>
    <t>Stephen Kahanap</t>
  </si>
  <si>
    <t>stephen.k@canva.com</t>
  </si>
  <si>
    <t>b2819004-59ff-4367-b01b-f05b91827f96</t>
  </si>
  <si>
    <t>9a93a5c0-9eac-4928-9151-b17ecfde6128</t>
  </si>
  <si>
    <t>cdeb3967-a6a9-45c8-91fa-2e99aa6792ec</t>
  </si>
  <si>
    <t>4c869272-1e6d-410a-974e-349d05d8672b</t>
  </si>
  <si>
    <t>015d49f4-81f2-4db1-b89c-40493d16c802</t>
  </si>
  <si>
    <t>30e45aab-a413-47e2-adb8-2ba2dd8f7a52</t>
  </si>
  <si>
    <t>0eeb2132-5194-4188-89ab-c44c95b4926f</t>
  </si>
  <si>
    <t>d83c5b91-ce30-4730-ab6a-dbb74dacdb8d</t>
  </si>
  <si>
    <t>06ac0db4-b7d4-401f-9efe-c6f21ef94777</t>
  </si>
  <si>
    <t>35038c6e-60fd-4b2f-bef1-7444e33fa662</t>
  </si>
  <si>
    <t>0cc35278-df8f-4cd1-ac5f-9aaf1bf9a61a</t>
  </si>
  <si>
    <t>7b42f78d-b460-4ff3-9b4b-43995ad17dcc</t>
  </si>
  <si>
    <t>f16747b1-21be-441c-bb36-6788eb90532a</t>
  </si>
  <si>
    <t>cd1a87bf-ae48-479b-9272-46b9059ba2bf</t>
  </si>
  <si>
    <t>6812f32f-66e5-46b6-bbf6-8bbb4b546920</t>
  </si>
  <si>
    <t>7cd398b9-1f79-4993-8901-6ea45fbb3d12</t>
  </si>
  <si>
    <t>42c0fa04-4013-4c17-a626-8a0217418b33</t>
  </si>
  <si>
    <t>1447d2a7-9e74-4758-902a-a094d32470c5</t>
  </si>
  <si>
    <t>0cd88532-4973-46ff-a855-478c75f44090</t>
  </si>
  <si>
    <t>111b0f9b-3cad-428b-8a72-ead6591ddb58</t>
  </si>
  <si>
    <t>d625e596-8198-45f9-94ea-d04d6f6a8b27</t>
  </si>
  <si>
    <t>Charissa Goyena</t>
  </si>
  <si>
    <t>charissa@canva.com</t>
  </si>
  <si>
    <t>1f469681-edfe-49af-b94a-ee999340d8d2</t>
  </si>
  <si>
    <t>b339299a-5811-48d8-99e7-5a293a39607c</t>
  </si>
  <si>
    <t>1650d8a8-9667-48b7-9a91-0c73a0ac7d67</t>
  </si>
  <si>
    <t>923c78fe-80a1-4c27-937f-dcd1e01489cd</t>
  </si>
  <si>
    <t>e16e1822-fe14-436d-b445-9316f6eb4745</t>
  </si>
  <si>
    <t>9ecef066-9b89-4a4e-a526-820231b31f11</t>
  </si>
  <si>
    <t>859914bd-4a67-459e-ad5a-2c5a52584232</t>
  </si>
  <si>
    <t>7757ed01-ffb7-43e9-9b09-d4668e7db604</t>
  </si>
  <si>
    <t>42904881-90a1-4208-9b65-c8410061623e</t>
  </si>
  <si>
    <t>39fde447-1306-4107-b6f9-907e13d76997</t>
  </si>
  <si>
    <t>Need to attend and help with my Child's Christmas party</t>
  </si>
  <si>
    <t>2545df64-ef9e-4b02-ac30-48dabb5e2c39</t>
  </si>
  <si>
    <t>522e7356-42ee-48bf-8c91-b2b7563a8a34</t>
  </si>
  <si>
    <t>cd40e180-e562-4dd1-9f19-5154b8172ecf</t>
  </si>
  <si>
    <t>6885b431-e31f-4395-8472-af33e0036d6c</t>
  </si>
  <si>
    <t>5ccd18a5-7690-4ed5-8ab4-d23ea139de65</t>
  </si>
  <si>
    <t>3d9e9098-34c3-4526-8384-52c4b99dd578</t>
  </si>
  <si>
    <t>3ee2ffc1-b47b-4957-85a7-df8857285241</t>
  </si>
  <si>
    <t>7e46d0ba-b735-4bdb-9ca5-a2c6663bae7d</t>
  </si>
  <si>
    <t>8a4bf5ac-5f22-4149-9848-82ac60df82fb</t>
  </si>
  <si>
    <t>ae1cd989-ab8c-45b2-b0b2-4b99ad9bc3f5</t>
  </si>
  <si>
    <t>389e5607-1fe8-4129-9dec-d84193ef7bfc</t>
  </si>
  <si>
    <t>f2fcb892-86ae-4d1a-b248-c81317ed94a7</t>
  </si>
  <si>
    <t>759bff0c-8571-44a6-ac6a-7e74510a6a62</t>
  </si>
  <si>
    <t>Cye Gonzales</t>
  </si>
  <si>
    <t>cyreengee@canva.com</t>
  </si>
  <si>
    <t>4c4f53f6-03b9-4e57-a8df-8a59d3e8633c</t>
  </si>
  <si>
    <t>209b76ef-6920-4900-878c-06c8075ebaa8</t>
  </si>
  <si>
    <t>66f514b1-daa5-4c12-9557-4f89689b6395</t>
  </si>
  <si>
    <t>a37e8194-9b2d-421a-8fbb-3deaf6d8a225</t>
  </si>
  <si>
    <t>d8116710-924c-4c59-ae0a-973da18fbb47</t>
  </si>
  <si>
    <t>f20647b9-f861-4130-93fa-ce28d5a3dfe4</t>
  </si>
  <si>
    <t>ecbf2d11-70e9-4f3d-82ba-d99ebb3767b7</t>
  </si>
  <si>
    <t>Software Update</t>
  </si>
  <si>
    <t>b4a8b73b-d40d-41e1-8df6-ab9a356d5a95</t>
  </si>
  <si>
    <t>b6b8500d-8862-4d2c-a958-a54f456ba7b6</t>
  </si>
  <si>
    <t>54c99619-43cb-4a3c-9ce8-3b7435752260</t>
  </si>
  <si>
    <t>86837a0c-6acb-45ca-8663-1270ced30a6d</t>
  </si>
  <si>
    <t>b0f99b3f-5a8e-4d19-a411-3c57a9f916e7</t>
  </si>
  <si>
    <t>f15801a0-68b3-4969-93bc-0eba061ddc2c</t>
  </si>
  <si>
    <t>c3462a6c-6e4b-4c87-bd57-78e2d03a7377</t>
  </si>
  <si>
    <t>e3c430a8-e79f-46ac-8272-79ca05b21f70</t>
  </si>
  <si>
    <t>a18865ad-6381-4994-88fe-ee22da5cefd5</t>
  </si>
  <si>
    <t>f42ffa61-4c0f-43e6-8ef1-d1a9034b2657</t>
  </si>
  <si>
    <t>558ab54b-c89d-47ef-8c98-44bd8881b45f</t>
  </si>
  <si>
    <t>58677dcc-b320-4e23-9b63-69029d582ef0</t>
  </si>
  <si>
    <t>faa32652-715e-4fa2-9e16-a04c1cd2fd53</t>
  </si>
  <si>
    <t>d4fbfd9f-0930-4234-a207-27d64137c1e2</t>
  </si>
  <si>
    <t>5e7b5369-ad2a-42cd-b14c-0eb4b67280bb</t>
  </si>
  <si>
    <t>6265da80-012b-43d9-8ede-fa03ec6fe32c</t>
  </si>
  <si>
    <t>541ad9ed-86a3-4ea8-9f2c-c214cc258138</t>
  </si>
  <si>
    <t>Cop Task</t>
  </si>
  <si>
    <t>f1fa877b-31a5-427b-b8e2-01ace5ab6dff</t>
  </si>
  <si>
    <t>2417322d-d75a-4184-9e3c-95ae48393a05</t>
  </si>
  <si>
    <t>Ino Wong</t>
  </si>
  <si>
    <t>mrwong@canva.com</t>
  </si>
  <si>
    <t>d3e853f5-2851-4fdb-b07e-bf918eded692</t>
  </si>
  <si>
    <t>27c135fe-5719-4379-bcff-991fc6efaedb</t>
  </si>
  <si>
    <t>7c992973-cc81-435e-9a4c-b5838c05dbe5</t>
  </si>
  <si>
    <t>263dc60b-83d3-48e8-b016-720f8f5dae92</t>
  </si>
  <si>
    <t>66d9fcdd-ffcf-4f59-a564-4484182c799c</t>
  </si>
  <si>
    <t>1e4cfd11-a3aa-4c1b-a3e5-b89fb13f7cc5</t>
  </si>
  <si>
    <t>d816164b-c90e-44c0-9c90-3daf61cfd1ad</t>
  </si>
  <si>
    <t>5ee63721-324d-48e4-a5d3-0b62597756bf</t>
  </si>
  <si>
    <t>Huddle + Assign task with Rachel</t>
  </si>
  <si>
    <t>28a74b82-1199-4f61-b9dd-8f7d55711e3b</t>
  </si>
  <si>
    <t>a4175953-7c51-4833-89b1-81ae13972887</t>
  </si>
  <si>
    <t>4b59c2de-fc60-48ac-b076-78b84781d1aa</t>
  </si>
  <si>
    <t>ed87076e-9b66-4b69-a7a3-e6fadfe9cb46</t>
  </si>
  <si>
    <t>Ticket assigning</t>
  </si>
  <si>
    <t>1b9404a4-1f0c-4838-b225-d6e1fb15287e</t>
  </si>
  <si>
    <t>bcb7b18a-ee18-4e3b-86ea-aec60e4cdb56</t>
  </si>
  <si>
    <t>e62cec91-41b7-4225-a03e-6d5811bec19f</t>
  </si>
  <si>
    <t>eb4b2038-407b-4507-ac97-ca64cb05d5c4</t>
  </si>
  <si>
    <t>f977d29b-9e41-4905-925b-3d9d93a3bae8</t>
  </si>
  <si>
    <t>c0b8ccb3-ee88-493c-86da-da925ea1c440</t>
  </si>
  <si>
    <t>3adb035e-2d0f-4fba-96e8-e1f14ae50ea4</t>
  </si>
  <si>
    <t>d6dde054-ed74-433d-bb9b-83cf6be01215</t>
  </si>
  <si>
    <t>1daf9be6-6711-4887-bf02-807b00afa1fd</t>
  </si>
  <si>
    <t>Assigned tickets</t>
  </si>
  <si>
    <t>f55d1cc2-7826-4a12-9358-9f11846a4c66</t>
  </si>
  <si>
    <t>14617aa3-b814-4206-b7da-95a7f67512e2</t>
  </si>
  <si>
    <t>7b4656a6-320e-4419-85bf-77c2c500ee4c</t>
  </si>
  <si>
    <t>9365ee6e-09c3-49fe-828c-e47c4afd1cab</t>
  </si>
  <si>
    <t>df10ce05-bdaf-4db2-8599-a8e3c0ced785</t>
  </si>
  <si>
    <t>Read Updates</t>
  </si>
  <si>
    <t>77c92929-fb1d-4aab-9137-39e7c00f972f</t>
  </si>
  <si>
    <t>2cce67b9-adf8-4a33-a064-b66c142ebcd3</t>
  </si>
  <si>
    <t>8aac54f4-d125-4d50-9938-b266b353d603</t>
  </si>
  <si>
    <t>e60b48a5-0b28-4d49-a590-de155fe5145a</t>
  </si>
  <si>
    <t>defcedb6-c556-4a15-a5a9-a5f3b5f73a93</t>
  </si>
  <si>
    <t>7b327452-ef99-4be0-a277-3ecfb0e7fe71</t>
  </si>
  <si>
    <t>ef7629d4-d9c9-49af-9753-7afad083ed7d</t>
  </si>
  <si>
    <t>1092d362-420a-4454-9d94-72e46909d10f</t>
  </si>
  <si>
    <t>93af10ed-9a2e-4944-afe0-fd54b6bfcf43</t>
  </si>
  <si>
    <t>7ce76633-103c-41d1-832a-b4be12ec4e3f</t>
  </si>
  <si>
    <t>e333ebae-f844-4d40-b1f2-a4dc8115cb1f</t>
  </si>
  <si>
    <t>3146744a-956c-4560-bc5a-70bcebe20785</t>
  </si>
  <si>
    <t>Jacqueline Gay</t>
  </si>
  <si>
    <t>jacque@canva.com</t>
  </si>
  <si>
    <t>38565621-8482-4ccd-aebf-5b93b2d57dde</t>
  </si>
  <si>
    <t>40722888-558e-4dfa-a157-43dbea441853</t>
  </si>
  <si>
    <t>ad1976e6-9a44-4caa-b6c3-2b11f63b00d4</t>
  </si>
  <si>
    <t>ef3d106d-9045-46a4-9357-6749bde1ca89</t>
  </si>
  <si>
    <t>56a6776c-7974-4e8e-9935-8585cafb3a69</t>
  </si>
  <si>
    <t>7a75f429-a4e8-4890-8d06-a8ba4b6d4ec4</t>
  </si>
  <si>
    <t>e59fc47a-b70f-4b17-8f37-630b4aec0592</t>
  </si>
  <si>
    <t>744d4321-a0ae-4a18-880c-abad865db9ac</t>
  </si>
  <si>
    <t>1d3d5cef-f65d-45af-bd7d-3c0958ba8388</t>
  </si>
  <si>
    <t>a69bfa6c-1d1e-4a76-9eea-e770754dafcf</t>
  </si>
  <si>
    <t>b627c48a-8b0c-41de-afc7-13ae4c1bb492</t>
  </si>
  <si>
    <t>c1e260e9-2a32-4b30-9ee7-602ca2d9f6af</t>
  </si>
  <si>
    <t>a5cac9ae-06f0-41fe-b308-21136ba93ae3</t>
  </si>
  <si>
    <t>292715cc-3c05-4f5b-81be-946eccb523b9</t>
  </si>
  <si>
    <t>39c9ff92-58cb-4de4-9b8a-8a02d569dcc7</t>
  </si>
  <si>
    <t>59367072-98a9-4fa8-8d3e-b1624a4f5075</t>
  </si>
  <si>
    <t>85debf3d-6981-4615-b545-d4f0a3411985</t>
  </si>
  <si>
    <t>1e77eaf4-fc58-4de2-b324-dd148ed0af44</t>
  </si>
  <si>
    <t>87295e5a-a27c-4d4c-8bc1-7e97a0e0ff56</t>
  </si>
  <si>
    <t>16f96d3f-56b5-4616-ba25-89ebf1ff8080</t>
  </si>
  <si>
    <t>4a944cef-3131-40ec-b365-7eeb7b0fe9c9</t>
  </si>
  <si>
    <t>11c50c14-778e-4a3a-be5d-d45c00d0e782</t>
  </si>
  <si>
    <t>79a1f75b-e146-464f-a13c-1827ce880bda</t>
  </si>
  <si>
    <t>512cf8bd-5420-480a-8b19-65f072f11f14</t>
  </si>
  <si>
    <t>b00615c3-4afa-49c7-bc75-b740379f8a89</t>
  </si>
  <si>
    <t>22062d23-22cf-48e8-a187-8f7fb30ca368</t>
  </si>
  <si>
    <t>3409cef7-9fde-4971-8e0b-4194bfb29d28</t>
  </si>
  <si>
    <t>5c0157ab-24c0-41d4-8a13-1aac0b165ba4</t>
  </si>
  <si>
    <t>7b71b557-8545-429c-add3-3886ebd85d19</t>
  </si>
  <si>
    <t>1c0e82b4-e7ba-4123-9f24-e30dbca833f7</t>
  </si>
  <si>
    <t>1613ecd2-f426-442d-87c9-2d4bb2068890</t>
  </si>
  <si>
    <t>961e0a53-62a6-4087-8811-6449381daa52</t>
  </si>
  <si>
    <t>Jenber Teves</t>
  </si>
  <si>
    <t>jen@canva.com</t>
  </si>
  <si>
    <t>a5446960-a2ec-4be7-8626-a15ffa877ab1</t>
  </si>
  <si>
    <t>8c9544ae-5f71-4e4c-a44a-c675e7f4a74c</t>
  </si>
  <si>
    <t>02423a25-61f7-455e-94c5-b4d748b225b7</t>
  </si>
  <si>
    <t>ef0e509a-2057-4541-8f5a-5b6c3ba59cc6</t>
  </si>
  <si>
    <t>80032db3-32d9-4900-b212-0b3a971999db</t>
  </si>
  <si>
    <t>ef85db61-b848-405e-90ae-597c5a6ea6c4</t>
  </si>
  <si>
    <t>d202db5e-64d6-4bd2-bd5b-c07f5a327126</t>
  </si>
  <si>
    <t>Unfied Escalation Process check in with Sr SEE Edd</t>
  </si>
  <si>
    <t>0e8f3480-83b1-4bad-b588-6343d0d5ade0</t>
  </si>
  <si>
    <t>da16db1f-f5c4-473b-be33-1fb6d703a4cb</t>
  </si>
  <si>
    <t>53684e31-8386-42d8-9168-7d86b512d999</t>
  </si>
  <si>
    <t>b1d7a5ff-81d7-413c-bcf7-8f7641f81acd</t>
  </si>
  <si>
    <t>d5cb4919-5fc7-4bca-919a-a323d9e1a0fc</t>
  </si>
  <si>
    <t>5b8ee1a4-feef-4816-a4f7-24500ae85841</t>
  </si>
  <si>
    <t>f4d906e5-a8e6-4799-a499-5fd61b173e12</t>
  </si>
  <si>
    <t>2d36db1b-3f4c-4eb9-beb6-c428d9ccd738</t>
  </si>
  <si>
    <t>34036965-944a-4ee4-93f3-b90ffbb747ba</t>
  </si>
  <si>
    <t>ef51594c-c69c-4efa-8f9f-340198c24f20</t>
  </si>
  <si>
    <t>bef57ce7-468a-4f92-9996-1c798b162a14</t>
  </si>
  <si>
    <t>a068aefd-256a-4b30-9515-487d87ea8e9f</t>
  </si>
  <si>
    <t>1f98d648-0fd6-4897-9476-4c56a7ff74a6</t>
  </si>
  <si>
    <t>7400192a-d29c-4cdf-9638-c7c4b1f09475</t>
  </si>
  <si>
    <t>VL request</t>
  </si>
  <si>
    <t>f0141e25-d03c-4532-9700-e1d07b9ac319</t>
  </si>
  <si>
    <t>98f36067-d801-431b-ba9a-fcb9a6ae433a</t>
  </si>
  <si>
    <t>Jill-Ann Reducindo</t>
  </si>
  <si>
    <t>jillann@canva.com</t>
  </si>
  <si>
    <t>2c59c379-5c87-4c51-a8e2-a6722c4d2d4a</t>
  </si>
  <si>
    <t>Work: CPS ACS</t>
  </si>
  <si>
    <t>85609a55-2ef8-4899-bef4-54943a5157b9</t>
  </si>
  <si>
    <t>74f1f212-9400-410a-8f40-11b717120c14</t>
  </si>
  <si>
    <t>e61deb4b-fce6-44bb-8ee3-defc178cdedb</t>
  </si>
  <si>
    <t>64bb14d5-80c8-4b77-86fd-8bf94a7441b1</t>
  </si>
  <si>
    <t>66ffe637-69d7-43f9-912e-c1903567cbd6</t>
  </si>
  <si>
    <t>6748a726-a3ac-4925-8d1b-8070e7350a2c</t>
  </si>
  <si>
    <t>4ab45a4c-a376-4058-a184-5b3f466a5947</t>
  </si>
  <si>
    <t>Kei Salazar</t>
  </si>
  <si>
    <t>keisalazar@canva.com</t>
  </si>
  <si>
    <t>b17c338a-8b56-4f24-a7f7-5602ce3606f7</t>
  </si>
  <si>
    <t>Placeholder: No Shift</t>
  </si>
  <si>
    <t>LOA</t>
  </si>
  <si>
    <t>e0cbc934-77db-4cf2-8cf9-afa74e039f11</t>
  </si>
  <si>
    <t>6295f76c-45ac-4267-8d7a-e5a027402254</t>
  </si>
  <si>
    <t>945e4377-1fbf-41b1-b4d4-7fda8e5abf4c</t>
  </si>
  <si>
    <t>0c2f0005-7246-42e5-8cde-feecfe0d8465</t>
  </si>
  <si>
    <t>1dbb9bc9-6888-4034-a561-6fc315758c93</t>
  </si>
  <si>
    <t>e8d48bb6-17c8-437d-9339-2ee1bacd997a</t>
  </si>
  <si>
    <t>0da33f1c-a000-4fe0-b482-bb8abf7c7594</t>
  </si>
  <si>
    <t>fb828ae5-852c-4f3d-a9cb-5e8596f8f563</t>
  </si>
  <si>
    <t>566422f9-7c1f-4816-ab49-771f71c07df5</t>
  </si>
  <si>
    <t>f489b78e-9bff-49e0-85a2-90722bab1f89</t>
  </si>
  <si>
    <t>9104bacd-7af4-4239-95eb-9ec0fc52380a</t>
  </si>
  <si>
    <t>014e259a-e800-46b4-b87d-ff9125195369</t>
  </si>
  <si>
    <t>77189d68-930d-4fd4-9207-daac031146c4</t>
  </si>
  <si>
    <t>fdcc2de1-ac30-4ea7-9c92-0b62705bd07b</t>
  </si>
  <si>
    <t>75ddea14-224f-4b09-adab-4f02926510e1</t>
  </si>
  <si>
    <t>c4105435-7f70-487b-8464-81bb173dd04a</t>
  </si>
  <si>
    <t>2ef05fc8-ddd4-4f10-8891-57b95254d335</t>
  </si>
  <si>
    <t>147c73f7-b672-4350-9dc7-c58a45c7a13e</t>
  </si>
  <si>
    <t>53c8681c-910b-46c2-a35a-db61e51c03a0</t>
  </si>
  <si>
    <t>ace76e43-e3e0-4f06-aeff-90a2983da224</t>
  </si>
  <si>
    <t>c7e76761-829e-4d10-bde2-01b29d60f7de</t>
  </si>
  <si>
    <t>2ece0a14-0347-4d40-87ba-5c86daf273c8</t>
  </si>
  <si>
    <t>b38dd32d-e840-4454-9bff-9270032e26ec</t>
  </si>
  <si>
    <t>Lance Guevarra</t>
  </si>
  <si>
    <t>lancer@canva.com</t>
  </si>
  <si>
    <t>c8ba192c-e357-4599-8527-8bf5945819ee</t>
  </si>
  <si>
    <t>13c7d673-87e9-444f-9c67-2185b2d942a8</t>
  </si>
  <si>
    <t>e18b875b-7138-40e1-affd-0d11375d34ea</t>
  </si>
  <si>
    <t>2a1f8df9-49cc-407e-8d9b-17a1df0f137f</t>
  </si>
  <si>
    <t>298d7e16-4676-44a3-97f7-a86fb775fdf5</t>
  </si>
  <si>
    <t>0c1790d3-3942-4346-8b08-4ba07912b4d9</t>
  </si>
  <si>
    <t>4619f453-777b-4cc3-a398-852e3fd066d8</t>
  </si>
  <si>
    <t>86e2af85-5552-44dd-bed8-1e1098819e13</t>
  </si>
  <si>
    <t>5cae8b09-70cc-4b9c-b98b-adf3f1fc2258</t>
  </si>
  <si>
    <t>26ae7a15-ee92-4423-a2ee-98d254b1af64</t>
  </si>
  <si>
    <t>d21441f6-3f77-45e7-9b23-ef0032797287</t>
  </si>
  <si>
    <t>fd70821d-6340-434b-bf9e-7681d01d4b7f</t>
  </si>
  <si>
    <t>785309a4-728c-48a4-bcaa-1acb428d7fad</t>
  </si>
  <si>
    <t>97d9c3ac-8117-4c25-95c3-b117b9aae55e</t>
  </si>
  <si>
    <t>78bec66e-b84a-4349-abc6-d7518a412793</t>
  </si>
  <si>
    <t>ba13a032-bcbf-4832-8864-8368f7fcd360</t>
  </si>
  <si>
    <t>f2b5ef89-0ff8-4380-846d-96014acb0e40</t>
  </si>
  <si>
    <t>65651192-8686-415f-b7e2-e782b88b94b3</t>
  </si>
  <si>
    <t>c7c5f57a-674b-4852-b6b7-10ca2a4c6ef4</t>
  </si>
  <si>
    <t>d0cde3c5-b7fa-4843-b3eb-01d2387401f6</t>
  </si>
  <si>
    <t>8a7cc5ab-123b-4012-9cfe-dcce1e8cc9bf</t>
  </si>
  <si>
    <t>4b5d088f-5b4b-496f-b73b-8aaac0c0fee3</t>
  </si>
  <si>
    <t>6f474559-54b4-4988-9936-fabdc8fdc7cc</t>
  </si>
  <si>
    <t>4a950fc5-aafa-4781-9f80-edd8e6a653bc</t>
  </si>
  <si>
    <t>2c7ed5b6-9a41-4dcc-943c-e9b132c5cd5b</t>
  </si>
  <si>
    <t>bfafe2d2-bab4-4d76-87e0-5b42d5285805</t>
  </si>
  <si>
    <t>Lee Arce</t>
  </si>
  <si>
    <t>larce@canva.com</t>
  </si>
  <si>
    <t>2945a37d-0177-4f5c-bdcb-baa6e2b6c0bf</t>
  </si>
  <si>
    <t>1449bf19-06f8-426a-a155-768199222b7f</t>
  </si>
  <si>
    <t>Vacation Leave</t>
  </si>
  <si>
    <t>a2b605f7-dcf1-4bb0-9aa1-be086ceb3248</t>
  </si>
  <si>
    <t>3638975f-c458-4187-9ecc-bb2336d4f654</t>
  </si>
  <si>
    <t>c13c97ee-e229-4827-859a-35039cffde3c</t>
  </si>
  <si>
    <t>43706afa-44dc-4732-b60e-6746a4fadf4e</t>
  </si>
  <si>
    <t>6ed794f9-9aab-463e-a07c-f8d606c30bfd</t>
  </si>
  <si>
    <t>952d66bc-b83e-493b-ba1b-fa02811962e9</t>
  </si>
  <si>
    <t>71bd9289-2389-4d05-911a-764f50d2b5f2</t>
  </si>
  <si>
    <t>668b635e-d5fa-4d3b-b60b-de2d3bc7d7d6</t>
  </si>
  <si>
    <t>b730d2fe-a1f4-4e12-92be-cbfbc07655ef</t>
  </si>
  <si>
    <t>f2412267-895c-4ca0-8306-e176661091c1</t>
  </si>
  <si>
    <t>11fddf69-6dbe-45cc-9427-a5f5b4a77290</t>
  </si>
  <si>
    <t>5aef4967-7d7d-4a91-a360-f7613fa8ff41</t>
  </si>
  <si>
    <t>c689ad16-459c-436f-af07-f7d0c23000a2</t>
  </si>
  <si>
    <t>88bf0734-2744-4a60-a060-a7d7806343cd</t>
  </si>
  <si>
    <t>604e87e4-eab3-4d27-9d94-566ae6c1bf03</t>
  </si>
  <si>
    <t>99f3eb3b-472a-4247-8654-b692eece4ded</t>
  </si>
  <si>
    <t>1596e9d9-2368-4c16-9aa4-45d109fe317e</t>
  </si>
  <si>
    <t>b6e522af-b09d-417a-9a36-3c27959a6a25</t>
  </si>
  <si>
    <t>3dfc0f80-37bb-40af-8c9a-056ff73e19c8</t>
  </si>
  <si>
    <t>685dd4f0-d997-4597-a978-bd9ae5d3cfef</t>
  </si>
  <si>
    <t>6bd6d681-79b2-4f17-aa43-4634be3d0eeb</t>
  </si>
  <si>
    <t>Cop Tasks</t>
  </si>
  <si>
    <t>14b30c4c-be57-489d-acae-12512ccd7a91</t>
  </si>
  <si>
    <t>470c48e2-3836-4d40-9913-4f0499eea56e</t>
  </si>
  <si>
    <t>f93d1139-a42d-496a-9b5d-0452eb248433</t>
  </si>
  <si>
    <t>67c61079-34bd-4fcb-88be-723338da5fc9</t>
  </si>
  <si>
    <t>Policy Abuse Process Revamp training</t>
  </si>
  <si>
    <t>813912e0-9a19-4268-91ac-2be385c05799</t>
  </si>
  <si>
    <t>9d825d2e-3519-4559-9782-f32e81d2d824</t>
  </si>
  <si>
    <t>Rachellyn Medina</t>
  </si>
  <si>
    <t>rachellynanne@canva.com</t>
  </si>
  <si>
    <t>c1e060bc-81c6-49d1-869e-4c6b40365c13</t>
  </si>
  <si>
    <t>meeting with coach about ticket assignment</t>
  </si>
  <si>
    <t>d8c943fd-3d2b-42b7-bae9-28ae400741ec</t>
  </si>
  <si>
    <t>assigning tickets</t>
  </si>
  <si>
    <t>0cd9de8e-9cca-44dd-9609-138fab79beb1</t>
  </si>
  <si>
    <t>c338b494-db35-4d41-af69-b4f289bb188e</t>
  </si>
  <si>
    <t>473e1ef9-8fb8-4c17-a58c-044b367ddea9</t>
  </si>
  <si>
    <t>a438a08b-0a69-46d1-95d1-e8e39a56d3b6</t>
  </si>
  <si>
    <t>d4478cf9-601d-43a6-ad40-64971728680e</t>
  </si>
  <si>
    <t>0a14c44a-98ae-4998-b19e-54f98d913e7b</t>
  </si>
  <si>
    <t>6bc67153-4f97-4312-aadd-bf24e1753582</t>
  </si>
  <si>
    <t>dfaf8645-12c1-49ee-8c26-4b0648f1865b</t>
  </si>
  <si>
    <t>sched bidding then taught Ino how to assign tix</t>
  </si>
  <si>
    <t>fcbc9a1c-2109-4fd5-8746-857551fa504c</t>
  </si>
  <si>
    <t>c1d6da48-664b-4141-8215-a14ce410de1a</t>
  </si>
  <si>
    <t>assigning ticket</t>
  </si>
  <si>
    <t>f127b277-ca6f-4e68-9188-ff1343268b4b</t>
  </si>
  <si>
    <t>c9c5b728-c7f5-43da-877c-993bc783e6b9</t>
  </si>
  <si>
    <t>90d6786b-e18f-4aea-aacb-e81b849c2edd</t>
  </si>
  <si>
    <t>34a70b83-c3e2-4020-832c-e3da23a96dcb</t>
  </si>
  <si>
    <t>b0843de3-5835-4456-9add-b16fb220b34b</t>
  </si>
  <si>
    <t>7bcb7b73-11d7-4e09-a506-25030123e2a1</t>
  </si>
  <si>
    <t>2b510aea-c588-4901-b9da-b3f02d31ee52</t>
  </si>
  <si>
    <t>3576b769-0ba0-46aa-89c1-e743d35df4e3</t>
  </si>
  <si>
    <t>614fd9db-aa29-4428-9219-aa4efc85ffc5</t>
  </si>
  <si>
    <t>95983391-8fd9-4a19-8207-95930e475e6f</t>
  </si>
  <si>
    <t>e59ad53c-8479-4791-81c6-6b80ff78bfa2</t>
  </si>
  <si>
    <t>69a8cce2-ac4b-46aa-ba47-4f497825b3fc</t>
  </si>
  <si>
    <t>8ca067d9-f46b-4c72-b024-3390fdb0dc1a</t>
  </si>
  <si>
    <t>4b80ce11-30bb-4115-a116-b56d486c9ebe</t>
  </si>
  <si>
    <t>e5009167-ed05-4cde-be56-bb7713ffb69a</t>
  </si>
  <si>
    <t>3cc1a032-9f10-49cb-ac6f-3fcbd6263e4f</t>
  </si>
  <si>
    <t>ced62f82-6622-48a6-9268-18a7ae4ab7b5</t>
  </si>
  <si>
    <t>ef7dc20e-fecc-44ee-8906-62ecc046809b</t>
  </si>
  <si>
    <t>991b0842-bb75-4b24-ad39-b33f2b12bb15</t>
  </si>
  <si>
    <t>RDOT - HD</t>
  </si>
  <si>
    <t>a3334bff-ff7d-43bb-b48a-6b866b8a56f6</t>
  </si>
  <si>
    <t>325d8c4b-104e-45b5-8c24-46aee9a25b01</t>
  </si>
  <si>
    <t>Ashli Hanson</t>
  </si>
  <si>
    <t>ashli@canva.com</t>
  </si>
  <si>
    <t>Work: Admin NA</t>
  </si>
  <si>
    <t>8e7b9bd5-58b0-4bf4-905e-5f4aa6af2f3a</t>
  </si>
  <si>
    <t>6ca6792d-1631-48d8-aa2c-f1a900543337</t>
  </si>
  <si>
    <t>bd399db9-a7bd-4bb5-9594-1afc82a10b0b</t>
  </si>
  <si>
    <t>Secondment</t>
  </si>
  <si>
    <t>8994e841-7f9f-47c1-8ad8-d4a8a5146a25</t>
  </si>
  <si>
    <t>1a746e09-c2ac-4a26-8b93-3b74bc4e8462</t>
  </si>
  <si>
    <t>8b0ce186-bb89-4fac-bff3-5cc8c726b502</t>
  </si>
  <si>
    <t>4698bc84-9edc-45ee-94c5-f85c2f1df6a4</t>
  </si>
  <si>
    <t>bc33449b-7249-4593-aa84-0dd5d10c8fa3</t>
  </si>
  <si>
    <t>0fa8a727-913b-4ebb-8c97-2aabb8dc2198</t>
  </si>
  <si>
    <t>f037d41d-987b-4028-8a9c-08cd1c3d341e</t>
  </si>
  <si>
    <t>3de4eba6-1398-4ca8-abe1-8f79327448bc</t>
  </si>
  <si>
    <t>fcdeefa5-f00a-4b8f-b8e9-12f37f247d83</t>
  </si>
  <si>
    <t>30179996-573f-4b06-af1d-867dbe8d53ac</t>
  </si>
  <si>
    <t>6b354094-3c43-4bbe-9c2e-4fd80f5f46f7</t>
  </si>
  <si>
    <t>9cc0bb2b-3fab-418a-874a-6a5a918f5c8f</t>
  </si>
  <si>
    <t>909b2ef6-66ae-4299-9a61-ad30f34e5072</t>
  </si>
  <si>
    <t>88ab3489-a197-4a60-b147-19ec7c9ac529</t>
  </si>
  <si>
    <t>df14e6e1-5eb4-4c12-ad4f-ddb32b38531e</t>
  </si>
  <si>
    <t>da6d555f-e70f-4f4d-a733-1980089841ad</t>
  </si>
  <si>
    <t>eb80ce10-4f8f-4956-a28b-aa8095d2c4ac</t>
  </si>
  <si>
    <t>8c2d2a75-5039-4def-bc00-a4adacb4d88e</t>
  </si>
  <si>
    <t>020045a0-860b-4ec4-81f4-07d6e3f2200c</t>
  </si>
  <si>
    <t>b0701057-db2b-4208-bb14-e0c4e8b8f1ee</t>
  </si>
  <si>
    <t>Bea Mendoza</t>
  </si>
  <si>
    <t>bea@canva.com</t>
  </si>
  <si>
    <t>e309a5e6-9364-419a-826f-74f48cc95153</t>
  </si>
  <si>
    <t>1dd6c584-b032-4544-b686-42e7e05e941d</t>
  </si>
  <si>
    <t>e7e6b8dd-e30e-456b-9155-27161bc2e1de</t>
  </si>
  <si>
    <t>454a27b1-6c97-4427-8518-80223f8a5ec3</t>
  </si>
  <si>
    <t>b7b01cfb-e6dc-4acc-af5b-b3a7989c4fed</t>
  </si>
  <si>
    <t>9fc13c8c-4218-48f6-a35b-b83a79837ea8</t>
  </si>
  <si>
    <t>55f5e410-09a2-40c0-9460-d4556f78763f</t>
  </si>
  <si>
    <t>7033ca66-18f5-430d-adc4-c65a8605e843</t>
  </si>
  <si>
    <t>e04ee984-f109-46b8-a024-0e402149f5ce</t>
  </si>
  <si>
    <t>a76f963b-aab7-432d-b4b7-d81a2be6fb06</t>
  </si>
  <si>
    <t>77139cfd-8443-47b1-9289-e66854f7aabd</t>
  </si>
  <si>
    <t>dab06e80-0507-4d91-8ce3-1133b22bcb4a</t>
  </si>
  <si>
    <t>43167929-b2f4-49e2-bbef-b094f2d5a4e6</t>
  </si>
  <si>
    <t>fc70e205-7add-450e-a769-d08101d1131d</t>
  </si>
  <si>
    <t>93fa860d-6e23-45bb-b1a2-3ff60e554ee8</t>
  </si>
  <si>
    <t>ab495a61-4b84-4378-8f74-2b8c5b9900ea</t>
  </si>
  <si>
    <t>37e9d892-491b-4ce6-b30f-69586fdf39f8</t>
  </si>
  <si>
    <t>1a948b87-3dc1-44a3-b7c1-52583e53b1dc</t>
  </si>
  <si>
    <t>f568576e-d08b-4ffe-930a-e22e48c79157</t>
  </si>
  <si>
    <t>da398114-5e87-4334-bb1e-5aa79aa71974</t>
  </si>
  <si>
    <t>b8732dfa-4087-4d03-b0ef-1ad4aee73222</t>
  </si>
  <si>
    <t>2cbe4c3e-2d6c-42a9-b0d7-2e0e3b844214</t>
  </si>
  <si>
    <t>99085273-2cc4-4932-aad9-eac22f3b9709</t>
  </si>
  <si>
    <t>Ena Reyes</t>
  </si>
  <si>
    <t>ena@canva.com</t>
  </si>
  <si>
    <t>20a24a35-bf92-4442-9b1e-1a7d7bd4c3c2</t>
  </si>
  <si>
    <t>d07f1f7c-fdd8-41b6-86a6-b5f4acb13531</t>
  </si>
  <si>
    <t>0f95a1de-5890-45b5-a315-65bed8834b91</t>
  </si>
  <si>
    <t>dc8cd2de-406b-4f23-a229-c36f92538023</t>
  </si>
  <si>
    <t>f131ba34-8d18-4ada-8980-7425bc75745d</t>
  </si>
  <si>
    <t>86da141b-ada5-4072-af53-9821442b2316</t>
  </si>
  <si>
    <t>f12b7442-d1f6-4279-ad93-e8d508929551</t>
  </si>
  <si>
    <t>9c215e28-4dcf-4752-abc4-a6dae5c275e3</t>
  </si>
  <si>
    <t>3f53f340-ccff-4755-abaa-7e28d668accf</t>
  </si>
  <si>
    <t>871a061b-7e6c-4e42-9136-7d9dfd49fae5</t>
  </si>
  <si>
    <t>82936b0d-f270-4220-beb8-3b0f6ae9c2c8</t>
  </si>
  <si>
    <t>0fbfc92e-4f23-43cf-b0ed-870676bd2106</t>
  </si>
  <si>
    <t>4a7322e7-1e87-42f5-957e-c867bc5ab497</t>
  </si>
  <si>
    <t>073eb938-a30b-4db6-aca1-2701496d6b32</t>
  </si>
  <si>
    <t>fa12ec3c-076e-4cc7-b24f-8dc4aed9eec7</t>
  </si>
  <si>
    <t>e7936c31-638d-49a2-b8cd-86f52503e05c</t>
  </si>
  <si>
    <t>c8e324c1-31e0-4743-a37e-22cb88a26e98</t>
  </si>
  <si>
    <t>05713e9b-bbf5-4b5d-aef9-cfb434a554e9</t>
  </si>
  <si>
    <t>66f99926-c688-4810-b633-3efa7b906fcf</t>
  </si>
  <si>
    <t>6a3611be-44ea-48de-82da-9ca94f79cc80</t>
  </si>
  <si>
    <t>e538497a-be93-42ad-b3e0-49cc38bd514e</t>
  </si>
  <si>
    <t>fd3a0b19-ef12-4207-8c9d-5696dc1b492b</t>
  </si>
  <si>
    <t>b8100f5f-38a5-4daa-a851-3934ed96a545</t>
  </si>
  <si>
    <t>72f93620-29f1-43e1-b60a-f4702244d3af</t>
  </si>
  <si>
    <t>ad0dd907-01cf-4e8e-8d6f-671de93b28d7</t>
  </si>
  <si>
    <t>d3988dc6-c70e-4430-8207-199a6fd8377e</t>
  </si>
  <si>
    <t>41f9971e-6927-4cee-9c31-5a2596e022ff</t>
  </si>
  <si>
    <t>7db32b00-1c81-4045-a82f-4b8745fc89aa</t>
  </si>
  <si>
    <t>5da044ca-3722-4568-89a3-c6ca68850720</t>
  </si>
  <si>
    <t>df62a7ff-5c23-40c8-a0a3-fa734edd623d</t>
  </si>
  <si>
    <t>96b144dc-7499-4e74-847f-4f755d9e5777</t>
  </si>
  <si>
    <t>0987fbc0-8723-4c2d-853d-4bff2b628da4</t>
  </si>
  <si>
    <t>49534dcf-f753-478f-b44b-23a0bf172fe5</t>
  </si>
  <si>
    <t>f1bbdd3e-ea42-496f-87a0-14d656a67a92</t>
  </si>
  <si>
    <t>Jacob Garza</t>
  </si>
  <si>
    <t>jacobgarza@canva.com</t>
  </si>
  <si>
    <t>39b81a39-43cb-4429-ab47-2972d7038c2d</t>
  </si>
  <si>
    <t>b08c0a73-a12c-40fb-9ca6-6b3d9a32c90b</t>
  </si>
  <si>
    <t>00a6ba60-449a-4900-b4a9-77914750cda6</t>
  </si>
  <si>
    <t>70a9dad8-e569-47a9-90c9-a7e585f18013</t>
  </si>
  <si>
    <t>7f2a5f0f-9419-4d49-927f-084601882507</t>
  </si>
  <si>
    <t>02ab9be3-3bbe-4d1f-8c00-77c4e7783774</t>
  </si>
  <si>
    <t>7301cba4-6779-4873-8b05-091c9efc9b71</t>
  </si>
  <si>
    <t>442bbecd-005b-4dc3-8772-968e72c7d7e2</t>
  </si>
  <si>
    <t>fa014b3b-dd72-4352-9244-6156fc65185d</t>
  </si>
  <si>
    <t>RE: POD Support Retro Prep</t>
  </si>
  <si>
    <t>21b7fe45-8722-44a4-83e6-5e69af62f7c0</t>
  </si>
  <si>
    <t>8bca2e2a-5cbf-4ae1-9866-676abb1f90e6</t>
  </si>
  <si>
    <t>2a0acd93-271f-42f8-9c5a-88a2e2fe6e05</t>
  </si>
  <si>
    <t>d6ddf689-87ed-4ff5-9ea7-4b2f77418645</t>
  </si>
  <si>
    <t>09f8963b-98cb-4f8c-9f2a-8a53293ad2ff</t>
  </si>
  <si>
    <t>4dea3efb-88e2-4a54-b771-cbec26275f63</t>
  </si>
  <si>
    <t>1fa45562-2287-44af-b027-4f4693d774d1</t>
  </si>
  <si>
    <t>aba1b506-4ed6-4f4a-abad-f264703b1937</t>
  </si>
  <si>
    <t>Nathalie Sahagun</t>
  </si>
  <si>
    <t>nsahagun@canva.com</t>
  </si>
  <si>
    <t>f9cc546e-7ecd-4f69-90b1-7f0719ff938b</t>
  </si>
  <si>
    <t>57806cbc-c646-432e-a970-51036e3fec43</t>
  </si>
  <si>
    <t>fbf68dec-196e-4df6-b78a-66ea52a569a0</t>
  </si>
  <si>
    <t>3f309a38-5696-4bce-8710-47f2499e342e</t>
  </si>
  <si>
    <t>ffc8df65-c14d-47bc-95a2-2ac85692474a</t>
  </si>
  <si>
    <t>a036b1b0-f5af-4ebe-b27c-e59a425869d7</t>
  </si>
  <si>
    <t>750f3628-3097-4b90-981d-778da914aac3</t>
  </si>
  <si>
    <t>8e696183-069a-48fb-a4c6-86fed6b2266e</t>
  </si>
  <si>
    <t>96333621-e4d8-4ded-b558-3ba24608420a</t>
  </si>
  <si>
    <t>aea61f57-d4a5-47cb-b3f8-d670d1a62da5</t>
  </si>
  <si>
    <t>4d30f73d-d37f-42da-80b0-c1a2e99e6c3e</t>
  </si>
  <si>
    <t>4e313987-baab-4c67-a18f-75a254c4dbd8</t>
  </si>
  <si>
    <t>5fd1db4e-2ca2-485a-818b-b41386ecb22c</t>
  </si>
  <si>
    <t>be7261c5-0c86-4f78-a1c7-9930580add34</t>
  </si>
  <si>
    <t>70b43cc7-5196-49d4-b326-2cc9d4d0307e</t>
  </si>
  <si>
    <t>6ccfa10a-1944-43da-b54c-d404ac2a680a</t>
  </si>
  <si>
    <t>79d1b695-1849-4953-ac56-cb66dfe9c14f</t>
  </si>
  <si>
    <t>1b08e244-a5e3-48ac-9d85-880d42b6e733</t>
  </si>
  <si>
    <t>Paul Verdad</t>
  </si>
  <si>
    <t>paulv@canva.com</t>
  </si>
  <si>
    <t>e2470226-ba7d-4cd7-98db-f2a60b56d03e</t>
  </si>
  <si>
    <t>I’ll be accompanying my wife and kids to my wife’s Christmas party.</t>
  </si>
  <si>
    <t>b4b84a1c-545a-4529-99da-ce9d0302b22b</t>
  </si>
  <si>
    <t>c12b103b-2457-4b48-a24c-e2e52fe152f2</t>
  </si>
  <si>
    <t>5f9547cc-7ac2-43de-aecd-701e12507ae2</t>
  </si>
  <si>
    <t>d35dd539-306a-453a-a9c3-348dfe414177</t>
  </si>
  <si>
    <t>5cd4be7f-a029-48e5-8895-509df539a736</t>
  </si>
  <si>
    <t>bec496cf-59e2-4cb6-a2c1-545a17be38c1</t>
  </si>
  <si>
    <t>3329a7cd-d4e3-4e2f-abd2-1a1b08dad337</t>
  </si>
  <si>
    <t>f43754ab-b54a-4ed1-9786-ed3ec6c4c5ac</t>
  </si>
  <si>
    <t>dbfbae8b-54f0-468f-b440-2ab6fa226202</t>
  </si>
  <si>
    <t>788ec813-0d28-4957-bc18-b23b034bfab2</t>
  </si>
  <si>
    <t>701db465-505a-4351-88fd-d6adaae67bab</t>
  </si>
  <si>
    <t>5ab246fa-7eb7-47a2-823c-63d13fe74a26</t>
  </si>
  <si>
    <t>75c3f831-ecfa-4d94-829a-28a660db9a86</t>
  </si>
  <si>
    <t>856f274e-049f-4704-9105-a57a096a40e3</t>
  </si>
  <si>
    <t>1f5ec3c6-85e1-4e4a-a118-c998c2799d91</t>
  </si>
  <si>
    <t>5878bfb2-eeaa-42e2-8b7d-083eb391b433</t>
  </si>
  <si>
    <t>53945a55-95d0-43fb-b5fd-57ccddec81d9</t>
  </si>
  <si>
    <t>9ebc4275-8be2-4963-b3c1-7e0b46935518</t>
  </si>
  <si>
    <t>5ac97d48-4eac-44a4-a8b9-b57acaec487c</t>
  </si>
  <si>
    <t>29facd1c-2c45-4c1a-852a-193d849f6554</t>
  </si>
  <si>
    <t>b4e62774-4ee6-4cba-bb6a-798754907343</t>
  </si>
  <si>
    <t>eb75942b-e616-42a5-bbc5-1d6cc92843bb</t>
  </si>
  <si>
    <t>Razelle Roe Garaza</t>
  </si>
  <si>
    <t>razelleroe@canva.com</t>
  </si>
  <si>
    <t>dd6e2c9f-1883-4249-95b8-2a2232dd5d26</t>
  </si>
  <si>
    <t>b3aa79f4-4d71-434c-9b42-0b90e9aaf114</t>
  </si>
  <si>
    <t>fe3a6666-04db-400a-86dc-4707dc481f81</t>
  </si>
  <si>
    <t>2a6e1b12-3ee8-4eb3-ab8e-9d311e667774</t>
  </si>
  <si>
    <t>6d83e5a1-1cc7-4571-babe-5ffee07a8743</t>
  </si>
  <si>
    <t>6fa1c364-3d07-42b4-b465-6f3a3f723f3b</t>
  </si>
  <si>
    <t>940c6cfd-d4dc-4517-b35a-320532a0ff80</t>
  </si>
  <si>
    <t>706ae11b-2639-4ca0-a4bd-7abcfad656d1</t>
  </si>
  <si>
    <t>a849cb58-d904-44ac-ad25-22a5dbdaa61d</t>
  </si>
  <si>
    <t>20ddd698-abd0-4643-9370-9dd5ae71ef99</t>
  </si>
  <si>
    <t>4d61f597-5bea-4500-8a16-9a8bf259899e</t>
  </si>
  <si>
    <t>6c5b486e-7255-4449-a43f-078c4d172d57</t>
  </si>
  <si>
    <t>2b2289e4-2a08-41b5-9a19-55ce6e7d58bd</t>
  </si>
  <si>
    <t>2250e8e1-8fde-4881-82f5-79cd9883df3b</t>
  </si>
  <si>
    <t>c8056620-8df3-4cde-9853-515826a55239</t>
  </si>
  <si>
    <t>54970d57-8b6d-47a3-b71a-9978249d8f91</t>
  </si>
  <si>
    <t>caa67ebc-1d32-441b-9037-a63b5d338be1</t>
  </si>
  <si>
    <t>0b37631f-96ff-4fbe-8bf8-d442508ea6a1</t>
  </si>
  <si>
    <t>7d119025-7341-4738-a87e-cec4753b99ec</t>
  </si>
  <si>
    <t>74324413-a57a-49fc-b182-b6bec1b94b2c</t>
  </si>
  <si>
    <t>eb69a5cd-1ec7-4dcf-9cee-12b05110acac</t>
  </si>
  <si>
    <t>786189d1-5496-4576-9b04-1fe9bccb79d6</t>
  </si>
  <si>
    <t>160a7eff-8d0a-4cc5-8768-c074bb9ffe7c</t>
  </si>
  <si>
    <t>ac240cb9-fe2b-47f1-ab6a-e5b31c4259f1</t>
  </si>
  <si>
    <t>75cd65be-d33c-4852-adf0-94bc7d429aa0</t>
  </si>
  <si>
    <t>55f742c7-4342-436a-a34d-cf82e791de40</t>
  </si>
  <si>
    <t>c19c6219-8db0-4fc5-98af-1e1d71f39806</t>
  </si>
  <si>
    <t>c5278f00-9ec5-416e-9895-0c385908d787</t>
  </si>
  <si>
    <t>b01bd9fc-a180-4f03-ad9d-706d5270f86f</t>
  </si>
  <si>
    <t>86b37277-7a12-4e8a-8134-ca48b271d774</t>
  </si>
  <si>
    <t>019d5099-1da3-4e53-a43d-e538df234150</t>
  </si>
  <si>
    <t>31c9c71b-6b31-4d0e-a51e-8f51a6475e75</t>
  </si>
  <si>
    <t>0cc83139-97e9-46c7-b0fa-c0fefc257481</t>
  </si>
  <si>
    <t>ab6af9c3-0611-46ec-ae78-9dc3a64fe571</t>
  </si>
  <si>
    <t>ad9a183e-7f1e-47d1-bbaa-158036140ee0</t>
  </si>
  <si>
    <t>7135292a-9755-4983-b7a9-f8774f3acbb4</t>
  </si>
  <si>
    <t>bff05785-5a18-48d6-968f-8421a0e60f2c</t>
  </si>
  <si>
    <t>984164e6-c78d-4bb6-bb05-3fd4efc1982e</t>
  </si>
  <si>
    <t>8a633f75-1c6c-42ee-a8b3-95b51b053a77</t>
  </si>
  <si>
    <t>b8e64047-ce95-4bd1-ba70-97209dbdd968</t>
  </si>
  <si>
    <t>Sylvia Kyles</t>
  </si>
  <si>
    <t>skyles@canva.com</t>
  </si>
  <si>
    <t>2648fbbb-1527-4446-862b-262c9b21d09f</t>
  </si>
  <si>
    <t>aaa746c4-b750-43fe-ab62-5aacdc37d3de</t>
  </si>
  <si>
    <t>5a164a4a-c537-44b5-94af-38df93c6dcd0</t>
  </si>
  <si>
    <t>b0f07107-09d4-48d8-a80d-5f1ff4d8ef64</t>
  </si>
  <si>
    <t>f985a765-0020-4d6c-98f1-92617501c489</t>
  </si>
  <si>
    <t>284b9d3f-de97-4c0c-80dd-cf9d4a266e25</t>
  </si>
  <si>
    <t>ccd562a3-210c-4038-ae53-cbc833eaeeaf</t>
  </si>
  <si>
    <t>f2cf3d6b-6a6a-4a45-aa33-9d3cf14bd113</t>
  </si>
  <si>
    <t>b7e81bcd-f8b2-4246-b3a5-650fd3f7e488</t>
  </si>
  <si>
    <t>4c8bf071-630f-4456-8980-67d1ebe719bd</t>
  </si>
  <si>
    <t>389d2e7c-b2bf-4347-b6b0-892d8add0a71</t>
  </si>
  <si>
    <t>436883c3-a556-4256-86f3-6f6ff6584616</t>
  </si>
  <si>
    <t>05259d51-f44b-4b9b-8f22-e27d9770f7c1</t>
  </si>
  <si>
    <t>bfe46227-b706-452c-a2cd-16c446bf7ac7</t>
  </si>
  <si>
    <t>2a51b765-8936-444d-adf5-92af49301c36</t>
  </si>
  <si>
    <t>5f55dc3f-e180-4352-bd7c-59b44c115296</t>
  </si>
  <si>
    <t>5efa61d3-4fd2-4d01-a492-e08cab6832f9</t>
  </si>
  <si>
    <t>Catherine Ledesma</t>
  </si>
  <si>
    <t>catherinenicole@canva.com</t>
  </si>
  <si>
    <t>4ab56244-0dbe-43ae-b487-d53c3784a297</t>
  </si>
  <si>
    <t>a4d5d3b4-b585-4b6c-9488-2b8604231925</t>
  </si>
  <si>
    <t>c285e920-0ecd-40e5-a50f-3e2cb70110c6</t>
  </si>
  <si>
    <t>7833d1b7-7ce8-49de-bfbc-bf82cd8f123e</t>
  </si>
  <si>
    <t>3ff2924d-cb06-44f9-aa2c-a19e53ab5b16</t>
  </si>
  <si>
    <t>0e180e1d-f4ed-486c-b7d3-ceddbfbed112</t>
  </si>
  <si>
    <t>d9c99cb0-220d-4f3c-87a0-5998b6ec5b92</t>
  </si>
  <si>
    <t>09afb4ed-b842-47a6-b886-0dbbc0a54a4d</t>
  </si>
  <si>
    <t>a942bbe9-a71a-4941-b9d5-fd8ad24a1c37</t>
  </si>
  <si>
    <t>CFE 14920761</t>
  </si>
  <si>
    <t>132b4bbe-3657-4a97-a30e-04b79150c381</t>
  </si>
  <si>
    <t>Cop duty: SEE RO requests + cop duty checks + Goof RO's</t>
  </si>
  <si>
    <t>e6d71a60-d703-40d8-84da-c6f6870dad41</t>
  </si>
  <si>
    <t>549e45c3-b2d9-438b-9baf-de1ae39fcfd0</t>
  </si>
  <si>
    <t>30c880e7-ffe5-49a8-8ef3-762230dca7fa</t>
  </si>
  <si>
    <t>6fae9aae-499d-4197-8d21-3d6d0684b94c</t>
  </si>
  <si>
    <t>45e704a2-fcf5-4aaf-8145-3ba702b3fd79</t>
  </si>
  <si>
    <t>35422ac8-d9c7-483b-975e-62d2fd5b1e78</t>
  </si>
  <si>
    <t>ed5a7685-2f47-41d5-b640-6794856adece</t>
  </si>
  <si>
    <t>16ed03b2-d8bd-433e-83c0-b9035e5b57d0</t>
  </si>
  <si>
    <t>e1c7ea62-32a8-49fc-887c-b46529141f6f</t>
  </si>
  <si>
    <t>2eb2db23-c3d6-4423-92bf-25f82ed84231</t>
  </si>
  <si>
    <t>86b9f288-a7fb-4175-b675-24206ed580d8</t>
  </si>
  <si>
    <t>CFE 14946299</t>
  </si>
  <si>
    <t>7fa85159-8d64-4ada-aa3c-28f0eb53668b</t>
  </si>
  <si>
    <t>c571d333-d110-41e1-b628-4daa35a99a95</t>
  </si>
  <si>
    <t>10374172-d824-4f29-a242-b403f9c478ae</t>
  </si>
  <si>
    <t>0bc61c5e-f33f-4b0d-b781-482ba53ea9d1</t>
  </si>
  <si>
    <t>8430f85c-ee43-4f54-a9b4-11187d811f49</t>
  </si>
  <si>
    <t>fa74d7c1-2d81-440a-9344-e478ab19a4d4</t>
  </si>
  <si>
    <t>283e2e77-f88a-4efa-b94d-fff3a66e663f</t>
  </si>
  <si>
    <t>Claire Gado</t>
  </si>
  <si>
    <t>claire.g@canva.com</t>
  </si>
  <si>
    <t>Flex Leave</t>
  </si>
  <si>
    <t>865d35d4-4b60-4c36-972c-ca24eb49e543</t>
  </si>
  <si>
    <t>Work: ML French</t>
  </si>
  <si>
    <t>44dbb815-e9d3-41f7-aff4-4200e08b6497</t>
  </si>
  <si>
    <t>a6031bcb-409d-4225-acec-5c2670bd0325</t>
  </si>
  <si>
    <t>d83c9510-1f71-4b49-a560-e91f0c797c97</t>
  </si>
  <si>
    <t>98f9ca63-bfff-49f6-8c58-96bbe2344a13</t>
  </si>
  <si>
    <t>6734a935-6b33-4021-8e32-a7379c9f5546</t>
  </si>
  <si>
    <t>2ae1f219-4255-485a-9699-2a247e9b724a</t>
  </si>
  <si>
    <t>8d62330a-04ac-40cb-af51-07a6405e88de</t>
  </si>
  <si>
    <t>a2f04aed-dbf0-4673-a974-f8dde0a9a1c5</t>
  </si>
  <si>
    <t>427be2a4-987e-4fe4-b805-2623489c4c84</t>
  </si>
  <si>
    <t>b6d9697f-b423-440c-90cd-540d319189b8</t>
  </si>
  <si>
    <t>17dab617-07e6-4d97-bfaa-7d68fbc37557</t>
  </si>
  <si>
    <t>ec5e5912-0221-4901-937e-a72ade786d8e</t>
  </si>
  <si>
    <t>3ba91cae-7315-4b20-9958-7eeff7adc1bf</t>
  </si>
  <si>
    <t>c2fe1e17-7907-4b37-91a1-3a4ce5be77e6</t>
  </si>
  <si>
    <t>18747b73-1590-4ac9-a459-1fe52ca96b9e</t>
  </si>
  <si>
    <t>81d83e68-d743-47be-8a45-b7054d0b6b51</t>
  </si>
  <si>
    <t>3160ea91-bbe8-47f3-b356-db1889bfb947</t>
  </si>
  <si>
    <t>Sophia Ermac</t>
  </si>
  <si>
    <t>sophiae@canva.com</t>
  </si>
  <si>
    <t>f0c29146-5129-4180-b9c6-444617c741d2</t>
  </si>
  <si>
    <t>3c0fbb6f-2893-4d7a-808d-7ec3f1f4ee06</t>
  </si>
  <si>
    <t>9324bc8e-6f10-4efd-abb3-9e14d7dea675</t>
  </si>
  <si>
    <t>fdfabcd9-0675-43cc-a550-c73783686a1c</t>
  </si>
  <si>
    <t>e9622685-d28a-4c9b-84b1-a7132c543834</t>
  </si>
  <si>
    <t>f0f0033f-2a6c-4343-b5e1-bcfbb484671c</t>
  </si>
  <si>
    <t>453109e5-e685-4fdd-ace5-0236b44ffb8c</t>
  </si>
  <si>
    <t>24e0ff39-5a3f-4626-9ccc-4e5b63a3aef1</t>
  </si>
  <si>
    <t>7d62d585-1f3a-4fa7-ada8-cbeb2bf4fdef</t>
  </si>
  <si>
    <t>bc907938-17a5-4e1b-854a-4be009e303dc</t>
  </si>
  <si>
    <t>4e06ff0b-8446-47c0-b45a-37d37ff024c9</t>
  </si>
  <si>
    <t>f7e8c495-0520-4366-aec6-83cad5e58be7</t>
  </si>
  <si>
    <t>dc724295-1102-4a20-b6d3-218b967d46bf</t>
  </si>
  <si>
    <t>d3962bdc-5678-4490-a645-6217c5b2c279</t>
  </si>
  <si>
    <t>9a3a7ae9-105b-4de9-8dc1-5e297769a6f6</t>
  </si>
  <si>
    <t>aff89cad-c85b-4ddc-9a32-37363ae809b7</t>
  </si>
  <si>
    <t>58861862-8e9e-489b-a6c8-19d9e7093856</t>
  </si>
  <si>
    <t>98c6d323-0b2e-4c4a-a78e-2cd39987cec5</t>
  </si>
  <si>
    <t>f9648571-6942-43fd-ab77-e0c8d5a8798e</t>
  </si>
  <si>
    <t>d0933e99-6625-4ed6-a99d-74714f9ba9bb</t>
  </si>
  <si>
    <t>4c55c604-83a0-4008-b6d2-7ffaaae4cc42</t>
  </si>
  <si>
    <t>bfc229eb-cd3e-461e-bf6e-2bf09d252ff6</t>
  </si>
  <si>
    <t>48bdb8b9-b4c1-4148-98c4-d54809798449</t>
  </si>
  <si>
    <t>51819a3a-e720-4d88-a397-b46fc1470281</t>
  </si>
  <si>
    <t>1b491515-3ccb-4fb4-ae6b-e28f241f66c0</t>
  </si>
  <si>
    <t>86e4f02b-cb81-468b-9bca-37314c1138d6</t>
  </si>
  <si>
    <t>2fd2b10a-ff56-4e73-816a-b2d621a3cf02</t>
  </si>
  <si>
    <t>60b51ca2-760f-4f50-8991-dccd979ed71e</t>
  </si>
  <si>
    <t>2acba9cf-4a91-4fb1-b66f-d14d7985c8fe</t>
  </si>
  <si>
    <t>a6bd7b72-0489-4eb2-8b2f-c83163ccf125</t>
  </si>
  <si>
    <t>394c824d-6e53-4025-8c3a-8728c35c259f</t>
  </si>
  <si>
    <t>d9e0482e-2799-4d3d-80f3-9deef123dadc</t>
  </si>
  <si>
    <t>48bbcb7d-183b-45eb-b465-20c11bbc82f7</t>
  </si>
  <si>
    <t>e30f8987-fe98-4f0f-b91b-a4b408df4933</t>
  </si>
  <si>
    <t>d333ad0a-e297-4bee-976d-099a6577213e</t>
  </si>
  <si>
    <t>d0ea6560-d8d6-4fa9-8cd5-c89fddd45513</t>
  </si>
  <si>
    <t>31bc6b21-2efe-4b7d-b01f-99e2eb602aab</t>
  </si>
  <si>
    <t>a29c5ce3-178c-4df8-b3af-b96aa7cd22bb</t>
  </si>
  <si>
    <t>5af2ef16-8e6b-4ded-90f3-e9cb2dd40c32</t>
  </si>
  <si>
    <t>3a70ce34-7b0a-48b5-bf69-5554c581501d</t>
  </si>
  <si>
    <t>4a251f55-162c-4a85-a700-30325821f1a7</t>
  </si>
  <si>
    <t>cc8b6f6b-c40f-4a00-94fe-f55fe89d7d53</t>
  </si>
  <si>
    <t>2fe06da0-271d-48b0-a1c7-098409ae1711</t>
  </si>
  <si>
    <t>1e03c2e2-48b1-4666-8789-b1b8a9c68e8d</t>
  </si>
  <si>
    <t>29cdbde9-1831-4cba-b974-3e8ec88997bc</t>
  </si>
  <si>
    <t>3163a676-f269-43e6-a061-5b67582da452</t>
  </si>
  <si>
    <t>97eb842b-a2ba-4e77-8ac9-8095f154f3ea</t>
  </si>
  <si>
    <t>1d59ca6e-6219-4532-99a2-f499de8a1287</t>
  </si>
  <si>
    <t>Frencie Guzman</t>
  </si>
  <si>
    <t>frencie@canva.com</t>
  </si>
  <si>
    <t>b4b2b9f4-93f4-433a-8612-e4673ab03efd</t>
  </si>
  <si>
    <t>56d76d23-8ed9-42d8-83a0-c30c2368c93f</t>
  </si>
  <si>
    <t>52745e66-0316-4e69-91d2-6a8aec665cfc</t>
  </si>
  <si>
    <t>a018bf45-34ae-45ff-bc76-fa8b0fd30d42</t>
  </si>
  <si>
    <t>39a0ddf0-9d32-47a8-8536-366870dccf92</t>
  </si>
  <si>
    <t>61205239-c3d4-4037-a54e-1a93ee62b08b</t>
  </si>
  <si>
    <t>609cb0c0-2915-4e35-a913-fccb2cf401e0</t>
  </si>
  <si>
    <t>4e66e7c0-ab18-49e6-bf99-dbcde52c3282</t>
  </si>
  <si>
    <t>34e46cec-4039-45af-86df-eb61b5e3d2cd</t>
  </si>
  <si>
    <t>1af21305-1abf-493d-b0aa-d1137bd6c90f</t>
  </si>
  <si>
    <t>b7ddb47c-cfcb-4302-a946-a343b4f0fceb</t>
  </si>
  <si>
    <t>a44e49f0-4014-480c-b658-aeb98c96f59c</t>
  </si>
  <si>
    <t>6c9a3454-971a-40a3-943f-80bc6f9255da</t>
  </si>
  <si>
    <t>9a8764a3-3287-44a4-86f5-20df44fdd490</t>
  </si>
  <si>
    <t>54e0f53c-9b81-4d2a-8ebf-58c9dfdccdac</t>
  </si>
  <si>
    <t>7d11f661-adaa-4c88-b133-d12e31215e66</t>
  </si>
  <si>
    <t>e7929960-ee85-4be3-87bf-c097545c65d9</t>
  </si>
  <si>
    <t>c4a35987-f39e-4e7c-b942-2232bbd554d8</t>
  </si>
  <si>
    <t>268840ea-350b-45fa-bbb8-e11676405185</t>
  </si>
  <si>
    <t>645361cb-2210-4145-b0d2-121bc80c7ad4</t>
  </si>
  <si>
    <t>a68b750c-610a-45a0-b034-40f3c41622aa</t>
  </si>
  <si>
    <t>1990c5cb-0154-48ce-9bac-f303f8b99ef1</t>
  </si>
  <si>
    <t>Cha Laranang</t>
  </si>
  <si>
    <t>laranang@canva.com</t>
  </si>
  <si>
    <t>2a3c690d-67f5-4e84-8979-6784744cab8d</t>
  </si>
  <si>
    <t>d155f50d-080c-4594-98c4-6e1a045f37d4</t>
  </si>
  <si>
    <t>749e2d16-1e66-4d10-95ea-7379ad66f210</t>
  </si>
  <si>
    <t>8c4ca946-86e3-47d0-a468-048da02f7fe1</t>
  </si>
  <si>
    <t>245801ad-dc52-4f3e-bf7d-a8af54c498a9</t>
  </si>
  <si>
    <t>ecc3c966-5095-47ab-8fa3-9918a662c33b</t>
  </si>
  <si>
    <t>22a2cf24-e268-42f6-9ee2-b2d202a0e153</t>
  </si>
  <si>
    <t>30828d39-1896-4b32-9ce6-d197ee15c225</t>
  </si>
  <si>
    <t>85815224-0dcf-44f5-b1e4-ec321bcf93b4</t>
  </si>
  <si>
    <t>c77c98e7-9ec9-4b24-bb1e-f0c73fd1f5a0</t>
  </si>
  <si>
    <t>747afb05-fa2b-4b6a-8793-bf5ded84f73f</t>
  </si>
  <si>
    <t>48e55894-0e2f-4706-9cca-cd5b72756505</t>
  </si>
  <si>
    <t>28eea2bf-a194-4e46-8460-e1d9c3407330</t>
  </si>
  <si>
    <t>fd99ca26-1606-4a89-95fe-5d99376bc8e4</t>
  </si>
  <si>
    <t>16ed6235-2539-40b5-a35e-595a96d7d281</t>
  </si>
  <si>
    <t>e521e3e1-3c7d-4d6f-9322-571c1d8d40e9</t>
  </si>
  <si>
    <t>5efc44f5-c8e4-4f5f-9545-3724c9a99735</t>
  </si>
  <si>
    <t>f9ec09fc-84f4-4526-bac4-a5092ad8f1e7</t>
  </si>
  <si>
    <t>b96aabea-ab10-43fe-b6af-2596b82c9643</t>
  </si>
  <si>
    <t>53cb4785-9e25-40fb-957f-9142d385c10d</t>
  </si>
  <si>
    <t>d49e1c15-2cd1-4e35-9b3a-8acda7c42425</t>
  </si>
  <si>
    <t>Daniella Ortiz</t>
  </si>
  <si>
    <t>danortiz@canva.com</t>
  </si>
  <si>
    <t>1b40dbfa-d3b3-4a75-8919-b0e26c8449b6</t>
  </si>
  <si>
    <t>b39ece51-e626-41a8-a7aa-8d8b12109eb7</t>
  </si>
  <si>
    <t>f1238874-dc23-4416-957c-f88afb826d90</t>
  </si>
  <si>
    <t>0d064b0b-ece1-40d9-baf9-fa171c912a27</t>
  </si>
  <si>
    <t>0502347c-5fa2-47ad-84d8-1406535885cd</t>
  </si>
  <si>
    <t>4ec8451a-8b7a-4510-b270-f6d63a37dffe</t>
  </si>
  <si>
    <t>a873e467-0e1e-4e70-8265-4d0f5e3134d5</t>
  </si>
  <si>
    <t>3454bbff-a2ee-4f11-a00c-8449ba644bc3</t>
  </si>
  <si>
    <t>a04c990e-3d08-4be2-942a-b33e6ed4f7c8</t>
  </si>
  <si>
    <t>ef6ae27a-0f1f-4e3d-a3b2-0263172798ea</t>
  </si>
  <si>
    <t>f695f56d-43dc-4308-a9aa-674a4a95f010</t>
  </si>
  <si>
    <t>e2c91ade-d771-41f9-906e-fd4bc8177e9d</t>
  </si>
  <si>
    <t>8be6abc0-7c05-4280-8c63-deb780baa192</t>
  </si>
  <si>
    <t>b7bbb1ff-edbe-4040-99f0-ede5029e323f</t>
  </si>
  <si>
    <t>3715f2c0-2324-4099-9dc6-b197c5ec302a</t>
  </si>
  <si>
    <t>64f04264-3b35-4fe2-8bad-895770dcbb34</t>
  </si>
  <si>
    <t>a7843399-41a8-401f-807f-fa8bca8099b2</t>
  </si>
  <si>
    <t>52c057a5-f7d3-482b-b4c0-f74f07dc7536</t>
  </si>
  <si>
    <t>9d348376-bd81-492c-bf43-d13a25a6620c</t>
  </si>
  <si>
    <t>09d3a6d7-291c-4279-b731-a48c13854128</t>
  </si>
  <si>
    <t>350f6cfe-dc23-4545-b240-63a6aaf3a6db</t>
  </si>
  <si>
    <t>85ebd254-801d-4ccb-b28e-9e264776d1d4</t>
  </si>
  <si>
    <t>2507a60e-aa4f-45bf-8b41-cf839b5f9c2a</t>
  </si>
  <si>
    <t>9c934de8-6199-4bb2-bcc9-bd8b70ec7a9c</t>
  </si>
  <si>
    <t>Ronally Romero</t>
  </si>
  <si>
    <t>ronally@canva.com</t>
  </si>
  <si>
    <t>ce57dc52-8b7c-416a-9fed-e03b2c47c49f</t>
  </si>
  <si>
    <t>ca4f40d4-7b9e-4797-80e8-27c05017c4e0</t>
  </si>
  <si>
    <t>fcd4d259-4f67-414f-b811-924278512a5d</t>
  </si>
  <si>
    <t>067ee15c-7b5c-49d3-afd6-d8212a3afbdf</t>
  </si>
  <si>
    <t>97929801-bf80-4cb1-b3e4-7381e2910bc1</t>
  </si>
  <si>
    <t>FL</t>
  </si>
  <si>
    <t>67e52b62-793c-4e70-a064-ed5931f1f2bd</t>
  </si>
  <si>
    <t>fac78638-72f9-43d8-bf11-608cd11fb3ea</t>
  </si>
  <si>
    <t>75168b5c-cbfc-4acb-9165-5871651176f9</t>
  </si>
  <si>
    <t>0d3e7129-3d02-49fc-ac9a-8ca99b0b7e1e</t>
  </si>
  <si>
    <t>3c73c160-584b-447c-8fe9-2f485b2eaede</t>
  </si>
  <si>
    <t>11195f96-adf1-4e1a-a205-ecbf2a69ad68</t>
  </si>
  <si>
    <t>d4704e96-15ea-4738-85d7-c6a4aca0adef</t>
  </si>
  <si>
    <t>6b474867-9a39-4de9-a06c-d57ab64c29f9</t>
  </si>
  <si>
    <t>af3d5288-75a1-4e97-a813-a0b75abf892d</t>
  </si>
  <si>
    <t>2af2b508-1652-41a2-83b0-909c92139240</t>
  </si>
  <si>
    <t>8ae11e4b-bfe1-43a8-9d38-724b0536cad0</t>
  </si>
  <si>
    <t>23d1fb15-2fb7-49d3-92bf-98d7f2cf9941</t>
  </si>
  <si>
    <t>ad26b65c-582f-4c03-83d9-f301420efdea</t>
  </si>
  <si>
    <t>b46469f2-bad6-4d47-a922-e74274d117f0</t>
  </si>
  <si>
    <t>8aab8e26-67e0-4db2-aac1-17bc6486b771</t>
  </si>
  <si>
    <t>1c7f48fd-ac91-4695-bfd0-d9e2ecf2dad9</t>
  </si>
  <si>
    <t>b9ec9518-1035-4039-9e89-56312867ff3e</t>
  </si>
  <si>
    <t>Angela Flora</t>
  </si>
  <si>
    <t>adflora@canva.com</t>
  </si>
  <si>
    <t>94f2a125-fb17-4959-b6f0-9a2e6d52d36e</t>
  </si>
  <si>
    <t>b7c5ccbe-fd50-4699-a233-ca613932ec15</t>
  </si>
  <si>
    <t>3a109e1b-0b00-4929-b232-6740b10471cf</t>
  </si>
  <si>
    <t>9b563fea-cca2-4972-bc71-1a986e74b3a0</t>
  </si>
  <si>
    <t>6fb5d4b3-1df5-4596-bd4f-e55ba2cd9e80</t>
  </si>
  <si>
    <t>97fdfc13-a1cc-459f-b8c7-003459c45044</t>
  </si>
  <si>
    <t>b154dab2-e997-467a-91c5-fc782101eedb</t>
  </si>
  <si>
    <t>1cbbf202-9c9b-4201-8c24-befd74b5b36a</t>
  </si>
  <si>
    <t>8eaaf0bc-d9e9-49e0-a439-6a47ee079b72</t>
  </si>
  <si>
    <t>f1465c65-9868-4556-9424-9b6b71498d6f</t>
  </si>
  <si>
    <t>e82b788d-3f09-4d4f-81f2-03072c223441</t>
  </si>
  <si>
    <t>19b9637d-7c06-4603-a5c0-295d4cf24606</t>
  </si>
  <si>
    <t>a629cea4-8b7a-4eec-bb54-c7599f8e58ab</t>
  </si>
  <si>
    <t>8310255d-28d9-4f48-bc18-b884f2f2668b</t>
  </si>
  <si>
    <t>f2b9e3ec-7f8e-4b2a-9897-6d59bce80057</t>
  </si>
  <si>
    <t>ec3d6635-6854-4ecf-a53f-95577ac63460</t>
  </si>
  <si>
    <t>bcdbe2ae-2dcf-4f5e-b427-2c8523c17fc7</t>
  </si>
  <si>
    <t>d035bf79-359e-4bb5-8f7b-965fbab48f35</t>
  </si>
  <si>
    <t>Cop Duties</t>
  </si>
  <si>
    <t>5b492355-8a33-4aa1-8161-4c8f67427434</t>
  </si>
  <si>
    <t>6259d65a-6c1d-4521-baad-ed757a555bae</t>
  </si>
  <si>
    <t>Print Peak OT</t>
  </si>
  <si>
    <t>fd0ff9ed-eb63-432c-b038-852ed58d5e7d</t>
  </si>
  <si>
    <t>f53aaf83-ea83-4465-ad53-ab1e76c43427</t>
  </si>
  <si>
    <t>a60a4721-eb0a-4973-ab82-90566f36ac0a</t>
  </si>
  <si>
    <t>926d423e-5ce3-4e5a-b1ee-13cfc332e9f4</t>
  </si>
  <si>
    <t>7549245b-5fe7-4633-b2cb-81e43845eef1</t>
  </si>
  <si>
    <t>1eb2b14b-89e0-4d0c-8dba-b1677f4e689a</t>
  </si>
  <si>
    <t>Caevee Dizon</t>
  </si>
  <si>
    <t>cae@canva.com</t>
  </si>
  <si>
    <t>d41c689b-b3e3-44e5-865e-b05c8b67a392</t>
  </si>
  <si>
    <t>8d57870c-7b30-4add-88de-ed1b32083665</t>
  </si>
  <si>
    <t>4e2f4ee1-894f-4a86-8ae2-a9b5ae8535d3</t>
  </si>
  <si>
    <t>1ce6412c-26ac-474a-949e-20ae3f09e4f2</t>
  </si>
  <si>
    <t>97a43921-cdfa-41ec-a96f-7ec663c54b93</t>
  </si>
  <si>
    <t>f590a935-6463-47fa-b094-89a32c7401e3</t>
  </si>
  <si>
    <t>14504140-fbb4-4101-9fb9-eccc1e314537</t>
  </si>
  <si>
    <t>3f0e1823-e1b5-4735-8432-8679eb3591dc</t>
  </si>
  <si>
    <t>8f68cc05-b908-47b8-962a-c879c99dda99</t>
  </si>
  <si>
    <t>f2a44de5-0a0c-43ce-b6e5-7039c15bfc2a</t>
  </si>
  <si>
    <t>4e6dafd3-6efa-41d1-aa2d-b75a5b65c946</t>
  </si>
  <si>
    <t>2484695f-1353-427d-b86f-7d1e89645fd3</t>
  </si>
  <si>
    <t>3a69221c-8b54-444d-be64-3a78a9391295</t>
  </si>
  <si>
    <t>c181f538-d191-4819-90fc-d8b6a5d97aab</t>
  </si>
  <si>
    <t>5256ba50-b925-436d-962c-b8a46de71774</t>
  </si>
  <si>
    <t>80ed0b23-305a-42ea-968a-edaf6c86a765</t>
  </si>
  <si>
    <t>3c5c2ef3-ccc5-4177-a1a9-b980365c0760</t>
  </si>
  <si>
    <t>e942d3d2-b333-464e-8946-116b60337b6b</t>
  </si>
  <si>
    <t>418dbcb6-8752-46a4-a1dc-81255f83df40</t>
  </si>
  <si>
    <t>Will be attending a music fest. Thank you!</t>
  </si>
  <si>
    <t>95fca0bf-80ce-4c87-a9a7-e9f214523f53</t>
  </si>
  <si>
    <t>994f4296-fe34-4471-aa00-b56fb8abcb6f</t>
  </si>
  <si>
    <t>36ae5796-5bde-42fe-87ff-b7bbc853cf7a</t>
  </si>
  <si>
    <t>1e5767d9-83b3-4f71-8131-b9c8181446b9</t>
  </si>
  <si>
    <t>7646a87c-08a8-4552-bb18-c5244e1857ed</t>
  </si>
  <si>
    <t>409450f6-3014-4f2f-8b18-1a433e7cfe8e</t>
  </si>
  <si>
    <t>7479b8c4-12ea-495c-8087-171c13b8b99f</t>
  </si>
  <si>
    <t>3db72d73-755e-4860-86f5-904f59e59f42</t>
  </si>
  <si>
    <t>a4a1a3c1-24c5-43aa-9dcd-f374b2e4ffa7</t>
  </si>
  <si>
    <t>701616a6-710d-43f8-8a29-958703ea235b</t>
  </si>
  <si>
    <t>1a303461-cb2e-4fa4-9d73-9ed85e2929e3</t>
  </si>
  <si>
    <t>773540ee-4d76-4746-a2b1-3f694cb4a5ce</t>
  </si>
  <si>
    <t>dd62b51d-94d8-4b39-b1fa-e9679fe82cd8</t>
  </si>
  <si>
    <t>4f31d836-3014-4e29-a6dc-f2b8cfdbea01</t>
  </si>
  <si>
    <t>b3ba2cde-00c1-43cc-9ee4-94c8cdf2fb23</t>
  </si>
  <si>
    <t>a460fd1a-1ef6-4034-a4ca-14a4c4765f42</t>
  </si>
  <si>
    <t>Charm Bansil</t>
  </si>
  <si>
    <t>charmb@canva.com</t>
  </si>
  <si>
    <t>86c99c85-1095-43cb-8f65-eb23e33b63d8</t>
  </si>
  <si>
    <t>6d4da7c4-10bf-476e-8254-3a7b8e28aefe</t>
  </si>
  <si>
    <t>c848603b-9270-4a07-9a9c-3bda5f49fc90</t>
  </si>
  <si>
    <t>d6dabe2f-91f2-40a1-8fed-3832a37f671d</t>
  </si>
  <si>
    <t>5100b1b0-7e46-4e8a-8b7d-445a4622003b</t>
  </si>
  <si>
    <t>9e41a3e7-b8aa-4c9f-9c79-73f4a79168c3</t>
  </si>
  <si>
    <t>3533d7f7-44d2-4b09-a314-cfe7eb330494</t>
  </si>
  <si>
    <t>db466e71-a0ae-4001-b7e6-dccc468f821a</t>
  </si>
  <si>
    <t>8a43653f-e5a4-42d3-b719-60df1faf80ba</t>
  </si>
  <si>
    <t>2ed82743-c521-4b3b-8f72-b8520314f8c9</t>
  </si>
  <si>
    <t>49f9baf7-3e39-41a3-858b-c6de80fd2e57</t>
  </si>
  <si>
    <t>d9aafc47-3aad-44c5-bbd3-b7bfead1cabb</t>
  </si>
  <si>
    <t>5e330fe2-0dde-4d37-9658-962aa3388159</t>
  </si>
  <si>
    <t>8beee574-8da2-445c-b454-e6517d4730de</t>
  </si>
  <si>
    <t>9de0af96-803c-4fcb-a592-8e8adf5c620e</t>
  </si>
  <si>
    <t>44080a43-03e8-40ee-8855-08c4eabd1429</t>
  </si>
  <si>
    <t>f203bb28-3ff3-495e-a712-a1bee801b3cc</t>
  </si>
  <si>
    <t>0a1cab53-d2b1-45f3-ad4b-b3fa305f074e</t>
  </si>
  <si>
    <t>332e8b3f-8bc7-4ef9-987f-10ac8a0917f4</t>
  </si>
  <si>
    <t>b7713764-22cb-415e-8ea2-689197ad92a0</t>
  </si>
  <si>
    <t>5b7bfa50-24b6-4807-b659-6abf9b001056</t>
  </si>
  <si>
    <t>7b50eefc-304c-4471-b2e8-603b974078c7</t>
  </si>
  <si>
    <t>bc920ed2-7647-42fd-b0fd-a093edb81f38</t>
  </si>
  <si>
    <t>687d21ad-139d-48d8-97f1-3bee853d0247</t>
  </si>
  <si>
    <t>d72f696c-2089-41e9-8047-7dc4a4e3ec38</t>
  </si>
  <si>
    <t>bb1784ce-7d37-4458-903b-6eb61389073d</t>
  </si>
  <si>
    <t>443c54a3-7bd4-49bf-8e62-bd5aaf7a819d</t>
  </si>
  <si>
    <t>faecadeb-bce9-4083-a2b8-8d242980bc09</t>
  </si>
  <si>
    <t>1cff350c-72af-4124-b543-cabaf1879326</t>
  </si>
  <si>
    <t>22e4ca31-4b4d-4660-a484-ff537f0180d8</t>
  </si>
  <si>
    <t>22a9978d-88de-4507-8716-008ce30899c2</t>
  </si>
  <si>
    <t>8470eee1-2b8a-4aa6-ad08-9d6d23ed5e42</t>
  </si>
  <si>
    <t>96ce10ce-c869-4d74-99b9-e469fc0ca416</t>
  </si>
  <si>
    <t>67fa086a-1a7c-42aa-9d66-205ca2ff778c</t>
  </si>
  <si>
    <t>375b68ad-545f-4165-bb59-d33027d9b817</t>
  </si>
  <si>
    <t>b62251b8-6193-46dc-bc64-dd8654d3c79a</t>
  </si>
  <si>
    <t>f8a9d5c4-c55c-4dd6-b30d-98773254a2dc</t>
  </si>
  <si>
    <t>4840cac8-9b49-435a-96c0-486360d7a144</t>
  </si>
  <si>
    <t>cff74f3b-6c11-471b-9af8-5fb471eea113</t>
  </si>
  <si>
    <t>501ee750-9127-42a4-8729-794b9878db24</t>
  </si>
  <si>
    <t>b0e1557c-d0d9-4265-a67b-f94aae240d24</t>
  </si>
  <si>
    <t>Gemma Gaddi</t>
  </si>
  <si>
    <t>gemmalyn@canva.com</t>
  </si>
  <si>
    <t>f9d3491f-0c9c-46c4-9184-6f7d864a2039</t>
  </si>
  <si>
    <t>6b136fb1-782a-4d4e-836d-9b597f7fc60b</t>
  </si>
  <si>
    <t>1a4bb482-06cf-42ac-ba61-709b19a0d57c</t>
  </si>
  <si>
    <t>293978d3-6ab2-44ac-b675-ed4ca60b7316</t>
  </si>
  <si>
    <t>6436c478-a5af-48d3-b5a5-e24a2fb763e3</t>
  </si>
  <si>
    <t>4fad1c85-7fff-4ec3-a6b9-654b73494bd2</t>
  </si>
  <si>
    <t>fae2e57c-dc4d-493f-ae6a-e331fb662972</t>
  </si>
  <si>
    <t>3996d74d-27e4-4635-a0cc-2c2404fbc39e</t>
  </si>
  <si>
    <t>6b76ae4a-f61a-4375-9920-67d1c7d124e8</t>
  </si>
  <si>
    <t>65ca45f1-f2fb-4de6-82f4-166bfa21886d</t>
  </si>
  <si>
    <t>0c8811e4-0369-440d-b782-54f8ad8b87e9</t>
  </si>
  <si>
    <t>30a3088e-e167-4a94-b1bc-cfd1e02e7349</t>
  </si>
  <si>
    <t>08ed0a93-5667-4426-a548-9e6f405f3b82</t>
  </si>
  <si>
    <t>abed616c-8469-4f01-bc9e-99c8cc6bf72f</t>
  </si>
  <si>
    <t>9e24e286-26f7-4899-9426-9ec46e3bad0c</t>
  </si>
  <si>
    <t>9569e1f7-f059-481d-91b1-22f964763065</t>
  </si>
  <si>
    <t>33067d25-5b2c-4144-b244-c81c9641f3e0</t>
  </si>
  <si>
    <t>20dd029a-5536-4fd9-9853-c00cb44f7680</t>
  </si>
  <si>
    <t>7cdffd49-1693-4fd0-a6fe-aef40ba8938b</t>
  </si>
  <si>
    <t>cab66c9a-fa52-471d-a6cf-7082efa36f0f</t>
  </si>
  <si>
    <t>1477a0c5-5d9d-4474-8bb2-5686629443af</t>
  </si>
  <si>
    <t>bcc878f6-f5e5-4eb0-8bb6-4c4ea82aa686</t>
  </si>
  <si>
    <t>57d49a1e-cd42-425b-99b5-a60eda392d35</t>
  </si>
  <si>
    <t>c48cde67-19e2-4e68-908e-c9f53ceb7143</t>
  </si>
  <si>
    <t>964d7341-f44f-44f4-ae3d-8cc539ff6917</t>
  </si>
  <si>
    <t>5f72d105-6aed-4bbb-a9ac-f25dc4285428</t>
  </si>
  <si>
    <t>f5c2290f-fd48-4ea2-9f97-b212ee9bb95d</t>
  </si>
  <si>
    <t>6ce329d9-0b2d-4c1f-8182-fce2feb3490f</t>
  </si>
  <si>
    <t>a08001eb-aa04-4354-b787-371f6eae4d7f</t>
  </si>
  <si>
    <t>9cc68deb-1af7-4b1b-a6e6-512c7f061471</t>
  </si>
  <si>
    <t>84f7c722-1bf4-4691-addb-0236a1788397</t>
  </si>
  <si>
    <t>d092f9b2-b776-473b-8599-b29767cb2c6a</t>
  </si>
  <si>
    <t>7bf5cef1-9473-43c3-9aff-115283ed0e7a</t>
  </si>
  <si>
    <t>Tiara Samonte</t>
  </si>
  <si>
    <t>tiara@canva.com</t>
  </si>
  <si>
    <t>6da43918-bcfa-41f2-9e51-474e889da88f</t>
  </si>
  <si>
    <t>bbd11f36-224f-4e65-9c8b-786c186b4386</t>
  </si>
  <si>
    <t>166a80f9-acf0-4506-865c-a126ae17569a</t>
  </si>
  <si>
    <t>b0653882-8bc7-4091-8028-05104b70c0f8</t>
  </si>
  <si>
    <t>ca3e4800-3c54-4b28-bc4d-9b47b801e123</t>
  </si>
  <si>
    <t>dbf2d2e8-9ef8-45dc-9395-da2be27809cb</t>
  </si>
  <si>
    <t>0457d312-8650-4951-aa61-c41669a43f3e</t>
  </si>
  <si>
    <t>0894eb1c-a863-4f7a-83c9-6b64e835710e</t>
  </si>
  <si>
    <t>47992d5d-f7d1-410f-8b5c-349b9d4c9d99</t>
  </si>
  <si>
    <t>e110da2a-5e11-4923-bff0-c67d98bbd1a5</t>
  </si>
  <si>
    <t>a117cce6-3991-4482-bc38-86ed230f0f34</t>
  </si>
  <si>
    <t>7810a2fa-8104-4024-bd4b-81cedd201d11</t>
  </si>
  <si>
    <t>80347697-2493-461a-9970-0c8ab23d2398</t>
  </si>
  <si>
    <t>a829d6bd-57db-4fc3-bf1f-5b62661469c2</t>
  </si>
  <si>
    <t>f2a8f80e-42e0-4d90-a141-1493e800c977</t>
  </si>
  <si>
    <t>9f99d23d-da96-4198-8845-8cd567f9cdca</t>
  </si>
  <si>
    <t>9dcadd2d-ca7f-4925-87bf-2dee3f5e7fd5</t>
  </si>
  <si>
    <t>884a4e3e-70ca-4620-9c27-224083fd3b26</t>
  </si>
  <si>
    <t>08115a48-bc08-48c8-bb16-9aca4826579d</t>
  </si>
  <si>
    <t>c45aa5f3-f4db-47ab-987c-7884d27f516c</t>
  </si>
  <si>
    <t>c834f691-e86d-4fea-9f9a-b1833599dbcb</t>
  </si>
  <si>
    <t>internet outage</t>
  </si>
  <si>
    <t>58501efb-be26-4076-bfd7-13decb318dc6</t>
  </si>
  <si>
    <t>3659c987-783b-4337-9a27-35a4cbcb46df</t>
  </si>
  <si>
    <t>84676425-89d0-48c9-b426-74450002fff7</t>
  </si>
  <si>
    <t>76d37525-c3a7-4d34-b55c-0caaf5038ff4</t>
  </si>
  <si>
    <t>2cfa3d57-03e5-46c8-b5d9-b0ecbb4f661b</t>
  </si>
  <si>
    <t>9afa7105-fe3e-4090-af6f-436e66d90056</t>
  </si>
  <si>
    <t>e14f9b32-37c7-4ccc-a3e6-a0b7f164d9d3</t>
  </si>
  <si>
    <t>b0238683-7331-492f-ac0e-415b605802be</t>
  </si>
  <si>
    <t>0a48421a-0523-48f0-ad36-73ffbef79a05</t>
  </si>
  <si>
    <t>0c94f286-cbdb-4c24-980c-f895b358d33f</t>
  </si>
  <si>
    <t>a367f00d-fcdd-4dce-995b-6deecaaeeaec</t>
  </si>
  <si>
    <t>fcb6c47d-9241-43fa-b48a-67014ff0841e</t>
  </si>
  <si>
    <t>e72537fa-22be-43ed-a65f-2247b46c6649</t>
  </si>
  <si>
    <t>0a5a8f36-7865-4df1-a7d1-fdbafdddd3eb</t>
  </si>
  <si>
    <t>Den Gutierrez</t>
  </si>
  <si>
    <t>denden@canva.com</t>
  </si>
  <si>
    <t>8120c67c-9e56-4412-9ef2-e5fb6b9410d0</t>
  </si>
  <si>
    <t>d119bcbd-4ea6-45cd-90ce-706e87f630ea</t>
  </si>
  <si>
    <t>2aefcf86-ea61-4567-a8db-972e5bbf4dcb</t>
  </si>
  <si>
    <t>78ee8d64-3ef6-42d8-b4d7-1fe95bb3595d</t>
  </si>
  <si>
    <t>f5c851dd-f474-4a4c-b6ad-6aa4c9bc8d29</t>
  </si>
  <si>
    <t>bbb05055-3ccb-4c92-92a7-8880b9de566a</t>
  </si>
  <si>
    <t>ebb455ae-1c4f-4df2-b62a-ce860f6fea83</t>
  </si>
  <si>
    <t>c3081704-55c7-4665-9996-36737f55382d</t>
  </si>
  <si>
    <t>3400c94f-0bdc-4d68-b749-1d50f843b5c5</t>
  </si>
  <si>
    <t>796b2477-6b75-485b-8e2f-585ad12084ef</t>
  </si>
  <si>
    <t>d41e2963-b3f3-4d57-87c5-ac25329d1742</t>
  </si>
  <si>
    <t>e3bfb987-70e2-4099-ad7e-4eaf21587c65</t>
  </si>
  <si>
    <t>371d428b-52bf-4f20-8ef0-9952fc1bcd10</t>
  </si>
  <si>
    <t>09a146dd-456b-4e73-98d1-81f39b91a676</t>
  </si>
  <si>
    <t>bcf1326c-6ab1-4e43-8c3f-4cea084f662c</t>
  </si>
  <si>
    <t>ffb8cc2d-2166-4da6-8ee0-5bdccb5363ed</t>
  </si>
  <si>
    <t>eb8cd7a9-0be8-4163-9e9d-0705da8a9e43</t>
  </si>
  <si>
    <t>800507e1-86aa-45c2-a6cc-53f8d80aee35</t>
  </si>
  <si>
    <t>68a574ef-a577-49a7-89ac-0fb58a217a96</t>
  </si>
  <si>
    <t>3a5e4cfb-08f7-4772-8f38-84ed8d95facc</t>
  </si>
  <si>
    <t>2f3ffee0-892a-4269-8ccd-d14218d78d09</t>
  </si>
  <si>
    <t>7e4e0bd5-12e8-4b5a-a107-359201753fac</t>
  </si>
  <si>
    <t>fb4299a4-0e59-4c64-8fbb-5fd3f6a3cb3e</t>
  </si>
  <si>
    <t>Gieann Salantes</t>
  </si>
  <si>
    <t>gieslnts@canva.com</t>
  </si>
  <si>
    <t>9cff658c-a329-450e-8655-99f13b961987</t>
  </si>
  <si>
    <t>48926976-ab0b-4f10-a993-c9e350acd18b</t>
  </si>
  <si>
    <t>76d06b02-ed57-43d2-8a7a-bb15857ee7ad</t>
  </si>
  <si>
    <t>551ace44-9b00-4a46-a8b6-23a000f82eab</t>
  </si>
  <si>
    <t>44ab7664-010a-425e-b2e3-abfe232da333</t>
  </si>
  <si>
    <t>277adea1-8691-4cf8-8203-200404d30b94</t>
  </si>
  <si>
    <t>dd87931c-860d-40d5-bc87-42aeae94577a</t>
  </si>
  <si>
    <t>5e24b3e9-1402-478f-a57c-50f62da17252</t>
  </si>
  <si>
    <t>54a06d9d-186e-47e7-9590-de5bf862a85d</t>
  </si>
  <si>
    <t>d9832a78-c18b-48da-9a2b-fb8635bfa2cb</t>
  </si>
  <si>
    <t>4ed191b9-36fc-4fe3-9149-236735f302eb</t>
  </si>
  <si>
    <t>7b7b3638-9097-4bac-bf10-cc238f761d62</t>
  </si>
  <si>
    <t>7b6a051f-5181-4dc7-9a84-575af10bd9f7</t>
  </si>
  <si>
    <t>019d152b-1675-4fe8-9ff8-5afd87e335f4</t>
  </si>
  <si>
    <t>bc036113-eb36-4a2a-9f32-7aff022aa27e</t>
  </si>
  <si>
    <t>f0ff21ac-cd29-4485-b23e-be02bf8aee11</t>
  </si>
  <si>
    <t>4fb33d41-5246-42bf-a9f3-bb8192deeba4</t>
  </si>
  <si>
    <t>a8bc9c4a-c011-468a-b96d-701801f0f698</t>
  </si>
  <si>
    <t>3b39eecb-c8d9-4734-bd75-d5b85148f9c6</t>
  </si>
  <si>
    <t>31bad042-4c65-4d9c-8a12-a4529eeb58a7</t>
  </si>
  <si>
    <t>e0baf188-ec21-4e52-bc24-16a10f4d3d98</t>
  </si>
  <si>
    <t>e0319c57-f42a-4841-ba17-ca7bd51b62e8</t>
  </si>
  <si>
    <t>b2a69f7a-7a6a-4c0e-853c-2e532a26c3c2</t>
  </si>
  <si>
    <t>3d5dbea3-34eb-4dfb-b897-2c21d5f63388</t>
  </si>
  <si>
    <t>2d7426d3-9bde-402a-aece-a35f6173d681</t>
  </si>
  <si>
    <t>e8e8ded2-3062-49f4-a7fb-3b43ee12781b</t>
  </si>
  <si>
    <t>163dc87a-f4ed-4867-ba2f-f0bcdcbaadb3</t>
  </si>
  <si>
    <t>9775e216-e961-41f6-ae54-a3d526c183c0</t>
  </si>
  <si>
    <t>9fffda90-10d1-4ad7-a427-d99f293e7941</t>
  </si>
  <si>
    <t>67e09b53-270f-4703-bd1e-bb6adfdefeab</t>
  </si>
  <si>
    <t>0db05a25-4c66-4347-8bea-76cf8dc799a1</t>
  </si>
  <si>
    <t>9815127d-7fbf-4366-a5ec-dbe871b183e7</t>
  </si>
  <si>
    <t>b5fd707e-71b4-4bc2-86c0-f9958f16e556</t>
  </si>
  <si>
    <t>31674fdc-b651-47a2-bd0d-6b969f1ec075</t>
  </si>
  <si>
    <t>8be3c1e7-c90c-4f90-bfaf-419e365f29b4</t>
  </si>
  <si>
    <t>01205b8b-6e62-4332-b31e-9995ba89f9a1</t>
  </si>
  <si>
    <t>40ca596d-f756-490c-953f-7b0d02a3d5e6</t>
  </si>
  <si>
    <t>f5045f3f-0716-44cd-973c-8ebbd4cde68b</t>
  </si>
  <si>
    <t>1e433d72-d125-4b74-8254-81dd077824c2</t>
  </si>
  <si>
    <t>b80e9000-7563-4485-8a0b-d5ea4409be18</t>
  </si>
  <si>
    <t>c902745f-3ae1-4a6a-8950-5f6ec47511a8</t>
  </si>
  <si>
    <t>4027fec5-23e7-4f18-8574-658842a965da</t>
  </si>
  <si>
    <t>1d8c9bd4-22e9-4558-8392-7e7136eab4ee</t>
  </si>
  <si>
    <t>5289110a-1b36-4d64-bcba-3b2eec0e9fd4</t>
  </si>
  <si>
    <t>b9652c07-2e4d-4d96-9ee8-7558fc9bcf2f</t>
  </si>
  <si>
    <t>c1e27761-4ce8-4b7e-af3e-4a152a77669c</t>
  </si>
  <si>
    <t>582c23f3-af21-4402-83b6-920f8fd6fe88</t>
  </si>
  <si>
    <t>Jazmine San Pedro</t>
  </si>
  <si>
    <t>jaz@canva.com</t>
  </si>
  <si>
    <t>43a50ea6-84f6-46ee-933e-154c649d3136</t>
  </si>
  <si>
    <t>c3508503-3ed3-484c-bbf2-e5681067dd28</t>
  </si>
  <si>
    <t>9cedf72a-e0e6-430f-8fe1-21bc2f101c82</t>
  </si>
  <si>
    <t>https://canvateam.zendesk.com/agent/tickets/14876357 https://canvateam.zendesk.com/agent/tickets/14908355https://canvateam.zendesk.com/agent/tickets/14910900</t>
  </si>
  <si>
    <t>b26f9011-4f73-4246-bc51-c001e96a80e9</t>
  </si>
  <si>
    <t>9aa6a71b-e336-4ba6-8ab5-f9f2dc593618</t>
  </si>
  <si>
    <t>94f5c5c8-cbfc-4d19-bed6-0ecd2ad5ade6</t>
  </si>
  <si>
    <t>7f601181-492a-43cc-b553-c9148a2dedfb</t>
  </si>
  <si>
    <t>846d808a-2bbb-421e-b6c1-709df60acbb9</t>
  </si>
  <si>
    <t>869a5c47-bb79-4538-9fca-ad84b4062118</t>
  </si>
  <si>
    <t>https://canvateam.zendesk.com/agent/tickets/14912790</t>
  </si>
  <si>
    <t>893365bc-a6db-41d1-afbd-2ffc31d28166</t>
  </si>
  <si>
    <t>6f27d1c1-4dfd-4f22-889b-aa8ab50168bc</t>
  </si>
  <si>
    <t>c7c5a2be-d85a-4215-90f1-73b41e2c849f</t>
  </si>
  <si>
    <t>984f292b-b5ba-40ca-8f3f-bdc1f11e3ad3</t>
  </si>
  <si>
    <t>https://canvateam.zendesk.com/agent/tickets/14931637</t>
  </si>
  <si>
    <t>aad10034-5acd-48de-9413-0bd45d48275f</t>
  </si>
  <si>
    <t>912cd7d8-a538-4d56-be68-aa3683afdb8a</t>
  </si>
  <si>
    <t>1ee7b2f7-6958-4976-942f-7f7ea045f7b6</t>
  </si>
  <si>
    <t>bcbef1a0-f5f7-4188-948e-aa09670a270d</t>
  </si>
  <si>
    <t>3c9b779c-1ccf-4625-809d-f397ee511028</t>
  </si>
  <si>
    <t>58c6d804-5635-4aa8-a7c8-068c3629470f</t>
  </si>
  <si>
    <t>125fc7d9-e151-482a-a739-56b2e2119a15</t>
  </si>
  <si>
    <t>68a9c865-8230-4fc7-9bbf-d779340c2a76</t>
  </si>
  <si>
    <t>3d139392-87b3-4430-a72a-970ca0330f1f</t>
  </si>
  <si>
    <t>0c94412f-3af7-437f-b551-9e49b29c8d04</t>
  </si>
  <si>
    <t>a3fade96-9131-4bb4-90c2-f54d385ec4bf</t>
  </si>
  <si>
    <t>Jocelyn Ng</t>
  </si>
  <si>
    <t>jocelynng@canva.com</t>
  </si>
  <si>
    <t>a84d3a2b-3329-46a4-b06c-afd534a4908c</t>
  </si>
  <si>
    <t>fc98fcc4-7012-4f6a-a847-32f3f2b0e136</t>
  </si>
  <si>
    <t>bug ticket CHT-2316</t>
  </si>
  <si>
    <t>163c034b-4497-48f9-aded-2ed27eb2f0d1</t>
  </si>
  <si>
    <t>18385b18-26c4-424f-b1dc-1f9c9504ff7b</t>
  </si>
  <si>
    <t>30a869d2-8891-46d9-836b-ae7037ace69d</t>
  </si>
  <si>
    <t>bug ticket / jed qq</t>
  </si>
  <si>
    <t>44e9e68a-2a64-4828-acf0-4f02ed981198</t>
  </si>
  <si>
    <t>b47f2376-1828-4bde-8a76-6e5a407c3708</t>
  </si>
  <si>
    <t>d90310c4-39f7-429b-94bf-2f046ed60d00</t>
  </si>
  <si>
    <t>6e3ae9c7-0daf-4f06-8674-2129d86e6d9d</t>
  </si>
  <si>
    <t>08c61bef-41d2-40f0-a354-e41a76c30b8b</t>
  </si>
  <si>
    <t>japan trip</t>
  </si>
  <si>
    <t>f0e0d427-204a-4896-8855-7e4363ee2f82</t>
  </si>
  <si>
    <t>49120f06-14a7-49f1-9102-c8b6223de4ca</t>
  </si>
  <si>
    <t>06118aa3-2e24-4aeb-ba9c-533dc4bf8530</t>
  </si>
  <si>
    <t>011ba961-b1da-4725-98e2-29700ef06d3c</t>
  </si>
  <si>
    <t>9bfbb6ff-3168-4104-895a-ba32d6dc0cd2</t>
  </si>
  <si>
    <t>a79f86f1-8c6c-40d2-818c-1b05791cf3fb</t>
  </si>
  <si>
    <t>ae360a23-af47-40a8-ab11-a801c30f5ab5</t>
  </si>
  <si>
    <t>646e62af-0ddc-4ca0-8441-c3f25b398627</t>
  </si>
  <si>
    <t>6ac0ae60-73b5-4281-9105-d7e2cb3e38f8</t>
  </si>
  <si>
    <t>94b2238e-2ef9-45f1-8c12-d4d804a51232</t>
  </si>
  <si>
    <t>d0c2a221-fbc9-48e2-b5f2-2d417ac8d135</t>
  </si>
  <si>
    <t>0eec4635-d010-432f-a6db-307dd145e2da</t>
  </si>
  <si>
    <t>938981d3-78aa-4331-9393-f016f85a5c91</t>
  </si>
  <si>
    <t>3767a231-3637-4111-896f-742688774b47</t>
  </si>
  <si>
    <t>a0101ba5-84f8-4ba1-88b7-e7e166d3630a</t>
  </si>
  <si>
    <t>e35e2be4-2bd2-4df2-b4c4-d5863c84f82e</t>
  </si>
  <si>
    <t>dba45d44-b162-42f9-a10c-45e95fe400fb</t>
  </si>
  <si>
    <t>bfb50113-93be-4934-8cda-3bc38891e9f2</t>
  </si>
  <si>
    <t>5ec57aa2-0644-4505-a905-ff378ebce060</t>
  </si>
  <si>
    <t>64aee857-09bd-4a17-90d8-7b6e2d71c216</t>
  </si>
  <si>
    <t>Patriz Hugo</t>
  </si>
  <si>
    <t>pathugo@canva.com</t>
  </si>
  <si>
    <t>0553aa22-ebc6-4b2e-a342-929028ea5bfb</t>
  </si>
  <si>
    <t>ce4d69dd-4947-4da4-9552-ed591050a414</t>
  </si>
  <si>
    <t>d5da8898-0c81-4afc-ae18-430ac214f268</t>
  </si>
  <si>
    <t>f861ee24-ab4d-4522-945e-d57c0e0ef9a6</t>
  </si>
  <si>
    <t>87b9e184-65f4-476e-b2e9-251e885f5e12</t>
  </si>
  <si>
    <t>3037373a-39ba-4a04-90b1-f480adcfd48c</t>
  </si>
  <si>
    <t>cf9f85ac-cd7e-464f-87a2-627e4a725c53</t>
  </si>
  <si>
    <t>d885cc4f-4003-4ca0-ba6b-e4b37e3188ea</t>
  </si>
  <si>
    <t>14e853d9-c1d2-4494-9420-f6c7101adffa</t>
  </si>
  <si>
    <t>f5e09564-e2e1-4cf3-a3f5-827ff38b852a</t>
  </si>
  <si>
    <t>7e4e0373-d815-4c09-8856-4273eab69693</t>
  </si>
  <si>
    <t>d5f09b06-3bc8-4375-8e3b-bdc292820250</t>
  </si>
  <si>
    <t>db8b3f49-f644-4167-b773-ec7892917615</t>
  </si>
  <si>
    <t>86e89933-968c-4d46-91bd-195a7a3bfc17</t>
  </si>
  <si>
    <t>25e8ac29-86f6-4ab5-a949-17f032e1b761</t>
  </si>
  <si>
    <t>bfcf54de-c35a-45e4-bb46-bd2c82c7fa1f</t>
  </si>
  <si>
    <t>970f4a26-a206-4887-9b0f-98decec0752a</t>
  </si>
  <si>
    <t>2046be1f-dc16-4daf-9a72-221f41fcf3da</t>
  </si>
  <si>
    <t>adfcf55e-5521-420a-9651-d0fdb5baa58f</t>
  </si>
  <si>
    <t>0f9a475e-08d1-4eb0-be90-6bd3fea69a4f</t>
  </si>
  <si>
    <t>5bcdf9aa-6c2a-4510-8f4f-21922f232684</t>
  </si>
  <si>
    <t>e8087acc-a2ff-4fb4-9b26-370213320c1c</t>
  </si>
  <si>
    <t>9773e22a-3f74-4ccf-8b2b-f13aa748d098</t>
  </si>
  <si>
    <t>31d3796a-0c36-44e5-9155-8e6efcb50e33</t>
  </si>
  <si>
    <t>98b327af-7e90-4602-bbd1-c75aedff714d</t>
  </si>
  <si>
    <t>7240ffc4-8b79-4823-b5f2-21c4e71da629</t>
  </si>
  <si>
    <t>WFM deferred to Coach Ziggy for approval &gt;&gt;&gt;https://canva.enterprise.slack.com/archives/C05A76H5FUM/p1766047424395369</t>
  </si>
  <si>
    <t>7feb216a-0bd6-44e2-910c-0b2104265321</t>
  </si>
  <si>
    <t>50551296-1c12-4ee1-842f-b3c74e1d0706</t>
  </si>
  <si>
    <t>Wes Paira</t>
  </si>
  <si>
    <t>wesleyp@canva.com</t>
  </si>
  <si>
    <t>dc5ba213-38a1-4393-b32a-5a3b3a0b3d06</t>
  </si>
  <si>
    <t>783e6d21-e71a-411f-a474-87029dbfebfa</t>
  </si>
  <si>
    <t>b29118da-1a69-439b-b07e-108dbd283edd</t>
  </si>
  <si>
    <t>01984c1b-a133-4b38-ab8a-d9de02fe513a</t>
  </si>
  <si>
    <t>098e1051-f06b-4d33-8fe4-d2a79a7bb21e</t>
  </si>
  <si>
    <t>c4e6014a-88c9-461c-a697-49989049d912</t>
  </si>
  <si>
    <t>06c7661b-12eb-4898-a5de-66062aeb881c</t>
  </si>
  <si>
    <t>39561476-cd0c-4985-a61e-8a6b396e88b1</t>
  </si>
  <si>
    <t>519dbcde-dba0-425e-9e17-29b5da2e43f3</t>
  </si>
  <si>
    <t>f79db7c7-00e6-4e53-896a-f10fe267ba86</t>
  </si>
  <si>
    <t>2379b4d7-85e2-45cf-a0f1-fc1575ce6296</t>
  </si>
  <si>
    <t>c0f08ea2-eaa0-4a78-82cd-983c52b779be</t>
  </si>
  <si>
    <t>dc84f431-0e74-4fd8-99cd-4cd8bfa1a1de</t>
  </si>
  <si>
    <t>4994252e-9260-4a7f-b361-235b0a664d97</t>
  </si>
  <si>
    <t>df6abf40-bd53-4421-b595-77fbc94b1283</t>
  </si>
  <si>
    <t>e1a27414-8a57-42be-add8-16282842d897</t>
  </si>
  <si>
    <t>6bc0114c-1fa8-4413-8326-93ad47cd5dd6</t>
  </si>
  <si>
    <t>a3787596-0665-4790-b77d-62cdf10b1d21</t>
  </si>
  <si>
    <t>0fdf7b34-88fe-4997-a334-1c50cb436ad5</t>
  </si>
  <si>
    <t>4db6d8c1-797e-4f39-9494-3babf0366bc0</t>
  </si>
  <si>
    <t>Jed Wenceslao</t>
  </si>
  <si>
    <t>jed@canva.com</t>
  </si>
  <si>
    <t>14782423-b44f-4d8f-86cc-4f1b0efaa607</t>
  </si>
  <si>
    <t>edd581b2-a4d9-4ae4-946b-1c1b1b7042b5</t>
  </si>
  <si>
    <t>a86e629c-ed4a-401a-bba4-ade9ad77b224</t>
  </si>
  <si>
    <t>ccb4193b-3370-4501-8d75-b7916191caf5</t>
  </si>
  <si>
    <t>a90333c5-85ef-4a1f-b39f-7f73d31fd215</t>
  </si>
  <si>
    <t>2a195eee-4311-40d9-8c27-d585efe9521e</t>
  </si>
  <si>
    <t>2858293e-4cfd-468e-96f1-d51e004c3f97</t>
  </si>
  <si>
    <t>07782a09-72f4-4435-8291-77c244c805ad</t>
  </si>
  <si>
    <t>7aa7d170-6fc1-43a2-aca2-e841d1374dab</t>
  </si>
  <si>
    <t>ee530a7f-dd1a-4242-8505-8e2628939a6f</t>
  </si>
  <si>
    <t>f5c20a90-8220-430c-83f2-be00b95bf424</t>
  </si>
  <si>
    <t>27f78719-9d0b-471e-84a3-246288bce6a6</t>
  </si>
  <si>
    <t>Multiple training catch up</t>
  </si>
  <si>
    <t>88d0a914-8771-4ced-a5d6-e00cea652bdf</t>
  </si>
  <si>
    <t>23a8cb3d-d9cf-4f70-8349-eabac76440ff</t>
  </si>
  <si>
    <t>1fe9f776-f4c3-4f05-a94e-edef4a0923be</t>
  </si>
  <si>
    <t>7a28f731-76b4-40c6-a11c-33606ad9165e</t>
  </si>
  <si>
    <t>1f7b0c43-9331-4148-8cfb-367b36f71f1e</t>
  </si>
  <si>
    <t>3adbbb73-f9b1-48ac-946e-7f83fdca5dae</t>
  </si>
  <si>
    <t>512930ae-7997-4082-ba41-de203936516d</t>
  </si>
  <si>
    <t>f4a2e0ee-f9fb-464e-9aa4-e107a15ea96a</t>
  </si>
  <si>
    <t>ee8d2c8c-b1fe-4467-afb6-4dd1774a7b3f</t>
  </si>
  <si>
    <t>9dc7f836-8fc4-4567-a622-04c7dd61c057</t>
  </si>
  <si>
    <t>6242f6d6-25de-4290-abb3-680bbf263b8c</t>
  </si>
  <si>
    <t>19ee5d63-e093-47e8-97ff-5070726504c5</t>
  </si>
  <si>
    <t>4a777fd2-3f02-49d4-9618-504d2598b927</t>
  </si>
  <si>
    <t>7c36cd1c-9565-4f6f-af9b-98e4cdcea349</t>
  </si>
  <si>
    <t>c772f9b5-7dc7-457e-948e-4863c7b7d98e</t>
  </si>
  <si>
    <t>ac29a67c-0ee9-4875-b946-f0678b5a07c8</t>
  </si>
  <si>
    <t>063e9321-5195-4e7b-8399-4ab3c5ec88cd</t>
  </si>
  <si>
    <t>2779eb52-1f35-455a-bc78-38be543b0f77</t>
  </si>
  <si>
    <t>10dbec0e-383c-4734-a157-8191b7bf7a06</t>
  </si>
  <si>
    <t>37a871ab-a71b-4a2b-afe9-b901be2e6cc5</t>
  </si>
  <si>
    <t>6f6c8667-b997-4a57-87a6-d82fdf0fb3dc</t>
  </si>
  <si>
    <t>54bcf313-8315-44c5-9ac2-dc99726bc4a3</t>
  </si>
  <si>
    <t>1e6a2ef5-29a6-4b86-be34-7f9c7e5c379c</t>
  </si>
  <si>
    <t>Zendesk case Work</t>
  </si>
  <si>
    <t>6c1b9ec0-8b71-4901-9e62-149c4aa076dd</t>
  </si>
  <si>
    <t>f83d5a84-ee5b-4d71-8d4b-54c3c01be0dd</t>
  </si>
  <si>
    <t>WFM deferred to Coach Ziggy for approval &gt;&gt;&gt;https://canva.enterprise.slack.com/archives/C05A76H5FUM/p1766047707341589</t>
  </si>
  <si>
    <t>7f00ff3c-9b8b-4219-b23d-2b9f810c84b4</t>
  </si>
  <si>
    <t>a7692de5-4bc2-433d-9877-ca981a35469b</t>
  </si>
  <si>
    <t>f734e8ae-d81c-444b-8238-0989a571ddfc</t>
  </si>
  <si>
    <t>a58dd400-8b71-4254-8ef3-674537e13eac</t>
  </si>
  <si>
    <t>dcc05b68-0e3e-4c49-a862-e029babff11a</t>
  </si>
  <si>
    <t>44c1d929-fde6-4c19-810a-1acf16c785c4</t>
  </si>
  <si>
    <t>b1be3a20-0c48-45e7-950c-cae584d4f07e</t>
  </si>
  <si>
    <t>6f90998a-90bd-4101-9799-20834e1b1cfe</t>
  </si>
  <si>
    <t>7baef3f6-0e1d-47fc-8d85-ddafd6eb79de</t>
  </si>
  <si>
    <t>29fc19dd-0630-4ecc-b1d6-3e1bbc8d3fcf</t>
  </si>
  <si>
    <t>dfdfd8fb-1b94-4621-b2ba-e0036ec84ab4</t>
  </si>
  <si>
    <t>03377d25-c152-4832-9212-b358800bfa01</t>
  </si>
  <si>
    <t>27a8581d-5c06-427a-a364-e7434003a834</t>
  </si>
  <si>
    <t>Team Xandy sync</t>
  </si>
  <si>
    <t>66af6602-0bbe-4886-9fd4-cc33c61015ea</t>
  </si>
  <si>
    <t>4d21ec05-a286-4471-ac81-96c838604fdb</t>
  </si>
  <si>
    <t>1e27d7bd-e3c9-4e07-b269-85056c8e80d6</t>
  </si>
  <si>
    <t>5a92632d-ebbe-4b6f-91eb-909b7ba1a959</t>
  </si>
  <si>
    <t>5930bb65-d713-45ff-a5ff-3f66c9f9bb77</t>
  </si>
  <si>
    <t>a33dae2a-6bc9-4dd4-980b-dc1274aa79cc</t>
  </si>
  <si>
    <t>8095f18c-a605-45fc-b27c-ebe7a3328a20</t>
  </si>
  <si>
    <t>91d792a9-7809-4470-96ed-fc9347fe3c3d</t>
  </si>
  <si>
    <t>144679d2-58d9-41bf-9047-2d8e59038dfa</t>
  </si>
  <si>
    <t>077e0692-b99f-4642-a979-71672ef05604</t>
  </si>
  <si>
    <t>b4f23ad0-fd0a-4356-b5d4-73af1779907a</t>
  </si>
  <si>
    <t>7cdd4051-dd81-4e04-a905-67a7a6826826</t>
  </si>
  <si>
    <t>Bianca Santiago</t>
  </si>
  <si>
    <t>bia@canva.com</t>
  </si>
  <si>
    <t>e6f3d21d-8a0e-48a4-abc3-54c68b47ad3c</t>
  </si>
  <si>
    <t>223077ce-4aec-4ee9-bdb9-67f1c886630b</t>
  </si>
  <si>
    <t>253c6ae0-7a5d-4ee7-9cab-ca622a939276</t>
  </si>
  <si>
    <t>add8ffdc-eae8-4e85-875a-dbd967d69fdb</t>
  </si>
  <si>
    <t>b8bc87f2-727e-4049-a9f4-c8524779e464</t>
  </si>
  <si>
    <t>e4348ef9-91d9-4902-b575-fe8c557747b8</t>
  </si>
  <si>
    <t>ae97b0cb-1909-4f2b-9ea3-9b6e5391964b</t>
  </si>
  <si>
    <t>55e5b4bb-d8c0-40c7-b36d-95dfb51f7745</t>
  </si>
  <si>
    <t>3e23c300-46a9-4b7f-9445-a1565eed2be2</t>
  </si>
  <si>
    <t>5346182b-620a-4d13-b2b6-543795f1b0d6</t>
  </si>
  <si>
    <t>4678446b-1d43-4627-a6a0-a3e368a2e177</t>
  </si>
  <si>
    <t>bc9b8fa5-d885-42e1-8275-6bd41b15b086</t>
  </si>
  <si>
    <t>fff6d633-a9c7-4e7b-be0a-6f5e6c852a71</t>
  </si>
  <si>
    <t>cdb53a0d-7359-4c06-a832-4fba25eb67fe</t>
  </si>
  <si>
    <t>e0b1b5ff-8075-421c-8128-3d82ab7289f4</t>
  </si>
  <si>
    <t>65280774-7b68-4e6a-9312-4389148cbc01</t>
  </si>
  <si>
    <t>David Francis Dimatulac</t>
  </si>
  <si>
    <t>davidfrancis@canva.com</t>
  </si>
  <si>
    <t>99ccf236-1889-409f-b51c-63b8d892ba5d</t>
  </si>
  <si>
    <t>6f8ca649-4071-457e-861f-3f713c2c9141</t>
  </si>
  <si>
    <t>c11aa036-fc19-4663-9a58-f783684e1112</t>
  </si>
  <si>
    <t>e7f329a4-8975-45bb-b19d-35fd3223708d</t>
  </si>
  <si>
    <t>0777740f-6afd-43bf-9a7b-094bd232f674</t>
  </si>
  <si>
    <t>31c11ff1-d8b5-47d4-8b91-a6d06eb27e80</t>
  </si>
  <si>
    <t>97b00d3c-d137-4c64-a5fd-f86ec97da956</t>
  </si>
  <si>
    <t>fee0be36-0a4b-4c96-a611-0d78a17e51f7</t>
  </si>
  <si>
    <t>454bba86-6176-4138-b3d8-d38b15c08fa2</t>
  </si>
  <si>
    <t>51f201ed-2b81-4125-96ff-91d70ea02b2e</t>
  </si>
  <si>
    <t>CEDD Huddle</t>
  </si>
  <si>
    <t>b6b1cff2-10dd-41bf-afda-2e282da659bc</t>
  </si>
  <si>
    <t>64172b5a-c65e-4ef6-b00e-dd5284705661</t>
  </si>
  <si>
    <t>b1583aed-5a5f-4840-9b4a-e860852ba303</t>
  </si>
  <si>
    <t>4e348848-2976-4613-bda8-ad474e6a0a39</t>
  </si>
  <si>
    <t>6868faf5-e307-47fb-87ef-fffb5ca5aaab</t>
  </si>
  <si>
    <t>c04c2373-3004-464f-8793-bfaf7a9a1ed9</t>
  </si>
  <si>
    <t>a65e6db7-50d6-4fa2-a9e7-11e2a0ffc3f1</t>
  </si>
  <si>
    <t>follow up: specialist check up</t>
  </si>
  <si>
    <t>8fbbcd6a-9de8-4aba-a5e2-b9569d202570</t>
  </si>
  <si>
    <t>431996fb-eb56-4a0a-9f82-8b89a09121a0</t>
  </si>
  <si>
    <t>12813a5b-5274-49dd-9f6b-59da40c97ee7</t>
  </si>
  <si>
    <t>92c65a03-dc6b-4b04-9fb7-c637e1ff69c8</t>
  </si>
  <si>
    <t>async</t>
  </si>
  <si>
    <t>a590af4a-16e7-4464-b74b-8b405bd3ad29</t>
  </si>
  <si>
    <t>db1ec295-99f7-4560-b527-4ef46d9067f5</t>
  </si>
  <si>
    <t>3d787808-9a64-44d1-b929-782d99bd4d75</t>
  </si>
  <si>
    <t>9fbf6b58-ffa6-44b1-ba05-2a17cfca38eb</t>
  </si>
  <si>
    <t>011080e2-67ae-4a19-b249-8712181e290e</t>
  </si>
  <si>
    <t>0115b72a-6907-40bc-ac28-64d594685d3b</t>
  </si>
  <si>
    <t>3b7fb058-15e8-4f06-8f53-0bdd96a2d183</t>
  </si>
  <si>
    <t>1d97656b-4450-4f62-8d88-5167cb81e137</t>
  </si>
  <si>
    <t>team meeting</t>
  </si>
  <si>
    <t>9ec1cf51-d5df-47a8-a921-24b8c5b8f625</t>
  </si>
  <si>
    <t>d7652d75-c901-4e07-baee-7b17239d0fe2</t>
  </si>
  <si>
    <t>b96b7cb0-6441-4c27-a2cf-fd1620afe58c</t>
  </si>
  <si>
    <t>3f528655-1bbf-4c3e-bf47-40fb26c67e47</t>
  </si>
  <si>
    <t>dd53e078-6d34-4d4d-8b62-bfd4344983aa</t>
  </si>
  <si>
    <t>bf677ecf-fd50-4b94-abcd-4e5741a9b314</t>
  </si>
  <si>
    <t>3a537a51-00b5-4928-a4ae-56b86d91bd9d</t>
  </si>
  <si>
    <t>2f8c60f3-a57b-4476-8383-b0cb273180ac</t>
  </si>
  <si>
    <t>d33fe540-d1ec-48f9-94bb-8ef64aa20d25</t>
  </si>
  <si>
    <t>ad496ee0-903d-49fe-aec5-56a84cceb176</t>
  </si>
  <si>
    <t>ba14e4fa-731e-446c-bb86-1b39c00b8e51</t>
  </si>
  <si>
    <t>c7c30477-846d-4f22-bc04-2aab19385d44</t>
  </si>
  <si>
    <t>a74cfaac-ce89-405a-83a3-95654f1981b9</t>
  </si>
  <si>
    <t>9eb78de7-76ff-4beb-8a1d-f6f630ff6d05</t>
  </si>
  <si>
    <t>e6cde34c-51d6-443b-a200-231f4beca027</t>
  </si>
  <si>
    <t>215ffe1d-6e57-4e52-b2e5-1116c7b66088</t>
  </si>
  <si>
    <t>e1518f2b-0a5d-4140-b28d-c55e2191bbc3</t>
  </si>
  <si>
    <t>155b3177-7dc1-46f4-9669-ca3b9ecfb5f1</t>
  </si>
  <si>
    <t>90aa032c-7fbd-4978-87be-ef218ceff685</t>
  </si>
  <si>
    <t>89c81e1c-446f-4a55-b19d-984b08b984a2</t>
  </si>
  <si>
    <t>fc9d0a7b-06f4-4aef-a1aa-9f1b3890a490</t>
  </si>
  <si>
    <t>Bereavement leave</t>
  </si>
  <si>
    <t>0630b584-8075-49cf-a3e7-232f34021939</t>
  </si>
  <si>
    <t>53c9cd61-f7b4-4249-b04b-b681840ac69e</t>
  </si>
  <si>
    <t>76abb29f-a18f-442e-a631-95038dd7d46d</t>
  </si>
  <si>
    <t>1069cafb-3878-4d6b-904f-e19e5503d75b</t>
  </si>
  <si>
    <t>9704507f-e46c-42bc-adb2-6c0ac18579c4</t>
  </si>
  <si>
    <t>6a339959-6ad2-47ee-bd14-9377af7d146c</t>
  </si>
  <si>
    <t>498f4579-8b59-48e1-9d4e-51c34d81eb7c</t>
  </si>
  <si>
    <t>38eb9fe5-ccf4-4149-86a5-a554fb56ab50</t>
  </si>
  <si>
    <t>c873de46-d263-428b-afdc-59143749aff6</t>
  </si>
  <si>
    <t>c2190a93-e006-4484-b547-1b115ffd9090</t>
  </si>
  <si>
    <t>a6fcd924-32ef-4004-89d1-327afaca61cf</t>
  </si>
  <si>
    <t>572f7cc4-e4a6-4132-92cf-6f6ba75ee4d7</t>
  </si>
  <si>
    <t>989d5c98-1ae1-4cc5-992f-e5fb59a82ee5</t>
  </si>
  <si>
    <t>987855ed-140b-420e-a9b5-c65d51f3e6bb</t>
  </si>
  <si>
    <t>58f2148a-24e1-4dca-b322-c0788949aee6</t>
  </si>
  <si>
    <t>29b39bc5-7bec-40ed-9cc4-b7509e02810b</t>
  </si>
  <si>
    <t>2bb15212-6c20-42a2-b3b3-15aa0d75c400</t>
  </si>
  <si>
    <t>dd571ffb-0a39-435f-9827-ede46027f8fe</t>
  </si>
  <si>
    <t>c33bbaeb-9194-4caf-bcfb-03a3c264f42f</t>
  </si>
  <si>
    <t>27850e3b-ae51-4485-b334-d4669d64dc04</t>
  </si>
  <si>
    <t>caf3517d-f015-4bba-9e27-929f1d0f952a</t>
  </si>
  <si>
    <t>f5d3e67e-d269-44b5-b5a4-e3b08301591a</t>
  </si>
  <si>
    <t>eaf5cb87-cc46-4dfd-9370-3b303735402b</t>
  </si>
  <si>
    <t>4de2b3e7-da53-4de7-ac15-52d936d55fe3</t>
  </si>
  <si>
    <t>656087dc-59e7-47b4-9889-968ed265133d</t>
  </si>
  <si>
    <t>7e15764b-0736-4d45-8d48-d47aee8c3a8b</t>
  </si>
  <si>
    <t>27f06205-4347-4800-b615-b31971283222</t>
  </si>
  <si>
    <t>b9f97934-378c-4e50-ac4e-d92cfe964a5d</t>
  </si>
  <si>
    <t>d94ef345-b7c9-42f9-8a2d-425658a3175e</t>
  </si>
  <si>
    <t>fa96f548-10e2-49b1-bb34-d00b433b91eb</t>
  </si>
  <si>
    <t>32e2a48b-6c92-458c-83bf-f0e44fbbafbb</t>
  </si>
  <si>
    <t>7aaf65bb-891d-4450-86e1-105bc32b9945</t>
  </si>
  <si>
    <t>f9cd8c44-f776-45f9-907f-246d7ba2910e</t>
  </si>
  <si>
    <t>ab371341-a07e-4d13-8b2f-f8609ebf1232</t>
  </si>
  <si>
    <t>a97bbfad-ac22-412e-a502-f0e887fb7b80</t>
  </si>
  <si>
    <t>a4653665-f461-4dc4-b11d-966becfa03da</t>
  </si>
  <si>
    <t>a72698ee-ab82-4c8e-84f5-3d1022f2c52b</t>
  </si>
  <si>
    <t>8c451490-d528-477f-97ae-eec29f40157f</t>
  </si>
  <si>
    <t>61dee9d3-ebe7-426c-8b41-5d5060b72cda</t>
  </si>
  <si>
    <t>d143def3-b59f-4496-871d-7a3ad6ffb521</t>
  </si>
  <si>
    <t>caca2e06-6e02-4649-9419-6610009e340d</t>
  </si>
  <si>
    <t>351107b2-c611-4b72-a560-feebc6b9ce5d</t>
  </si>
  <si>
    <t>cb079ded-aedb-413b-a610-ab31e312294c</t>
  </si>
  <si>
    <t>89525b4d-4fed-4504-b743-f149058ebaa3</t>
  </si>
  <si>
    <t>603cb4ad-c7b5-4180-9cee-9bfd6c3717eb</t>
  </si>
  <si>
    <t>3412794e-013b-49ff-ba14-2f539fa45755</t>
  </si>
  <si>
    <t>56411d0e-9d8d-4374-ba23-a174caef7d84</t>
  </si>
  <si>
    <t>ab3fe2f9-795a-47e4-b19b-4bdaa4597a20</t>
  </si>
  <si>
    <t>a1e77301-7ae5-46bb-9bee-00c86dbe5fe1</t>
  </si>
  <si>
    <t>5f78872b-3134-42c5-ace8-029d84e159cf</t>
  </si>
  <si>
    <t>19ca9753-f76b-4593-ad5b-20f0e6bda57d</t>
  </si>
  <si>
    <t>bf7a8f2d-8290-4d10-8154-1e1f390538c1</t>
  </si>
  <si>
    <t>bceeeece-bf7f-49d2-a3fd-69c59f58023c</t>
  </si>
  <si>
    <t>70f77b8c-932d-4971-9f2b-dcd89e0a1c40</t>
  </si>
  <si>
    <t>c60cf761-fd9d-4935-a05d-948a81a3af8d</t>
  </si>
  <si>
    <t>fcfc7770-5017-4df1-870d-4b712f7ea2c4</t>
  </si>
  <si>
    <t>58bf7475-fa20-471c-93d2-d0656f0e2571</t>
  </si>
  <si>
    <t>25a13808-0fd3-43f1-b034-e1af1e7d2211</t>
  </si>
  <si>
    <t>b474222c-6b55-4619-91d3-de03efa58826</t>
  </si>
  <si>
    <t>489bc0ae-6924-40b0-9fab-8c6c89510314</t>
  </si>
  <si>
    <t>877fa377-da27-470b-b6a3-c4554eabdd94</t>
  </si>
  <si>
    <t>8b0e6a8c-f6c3-4ad0-9258-0d0085f338fb</t>
  </si>
  <si>
    <t>1df7ecb4-c3df-4c7e-ad4f-089473c43255</t>
  </si>
  <si>
    <t>8af936a2-cbda-473a-a953-9c4cc983be1b</t>
  </si>
  <si>
    <t>81a8f016-1581-4828-9609-9890af5d43d3</t>
  </si>
  <si>
    <t>98e78153-6fc2-45d4-bd7b-e9560eec78e8</t>
  </si>
  <si>
    <t>d59a948c-c7bc-4ced-bd0b-9a023e6fd672</t>
  </si>
  <si>
    <t>60d16715-f8bf-4dbf-8d39-e1d62882b1c4</t>
  </si>
  <si>
    <t>fe5bbc6a-5cd8-4d6e-bbd4-ff633b0311f6</t>
  </si>
  <si>
    <t>ad821dfb-5c88-4201-94b5-f39f0d721006</t>
  </si>
  <si>
    <t>4dbcaa01-c801-40dc-a7f9-7b8cd1fed5f2</t>
  </si>
  <si>
    <t>774f865c-66a3-467b-8501-3b08b9df5f8b</t>
  </si>
  <si>
    <t>02cee4cb-14b3-4217-8b7d-887c2209a7df</t>
  </si>
  <si>
    <t>Cali Bermudo</t>
  </si>
  <si>
    <t>cali@canva.com</t>
  </si>
  <si>
    <t>e1482714-d6a6-4999-a47d-6f73d65ba08f</t>
  </si>
  <si>
    <t>9c31c10c-8e70-4aae-89b7-1b4ccc47a03c</t>
  </si>
  <si>
    <t>ca486fd9-308a-40eb-b7a9-ea53e90aeb40</t>
  </si>
  <si>
    <t>fff50ff0-b414-40bb-aa38-b48feaeff861</t>
  </si>
  <si>
    <t>cf76772d-7cf0-411c-a82b-746a1148c361</t>
  </si>
  <si>
    <t>8f929a8e-b04b-4285-95b9-cb510ac8c851</t>
  </si>
  <si>
    <t>4f829c28-a557-4f2e-9d88-b7ec749a4d19</t>
  </si>
  <si>
    <t>eedc021c-5bd3-401a-b4af-2acaa0e1a3e3</t>
  </si>
  <si>
    <t>4935392c-fb36-4f47-bd69-f065ba5d4084</t>
  </si>
  <si>
    <t>292d00be-5bca-4923-99aa-520f6570713f</t>
  </si>
  <si>
    <t>9b011112-1d22-4756-b47d-eee79a2dae2e</t>
  </si>
  <si>
    <t>12facac2-ff6d-41e5-bbca-499dc73ab06c</t>
  </si>
  <si>
    <t>b0cd2808-6f60-49de-9d9f-0da70b636185</t>
  </si>
  <si>
    <t>04503c71-cb76-4c07-8cec-995aca25d40d</t>
  </si>
  <si>
    <t>c0388cdb-263d-40e1-82a4-98c0f64f6596</t>
  </si>
  <si>
    <t>fe71b991-f84a-46de-a5e9-aa3040d0530b</t>
  </si>
  <si>
    <t>011aafe3-2886-4a44-9ead-056e056b124b</t>
  </si>
  <si>
    <t>f4dbd8f7-ab1f-468e-bc8a-bb4b21910c61</t>
  </si>
  <si>
    <t>f545bf4b-53c5-45f7-a3aa-624d383bd5c6</t>
  </si>
  <si>
    <t>aca392fb-5dda-4f9c-a0ff-326d23708892</t>
  </si>
  <si>
    <t>4f5383e9-4b41-4ad0-8d44-4435a39aa58d</t>
  </si>
  <si>
    <t>11e4b224-77f6-427f-9b81-7c572ebd9f6c</t>
  </si>
  <si>
    <t>357fbc98-5831-4d78-bf32-a73bcddc4eb0</t>
  </si>
  <si>
    <t>3a47626d-5d83-4eb3-99f0-da594375a7a4</t>
  </si>
  <si>
    <t>KC Sacramento</t>
  </si>
  <si>
    <t>kc@canva.com</t>
  </si>
  <si>
    <t>845a9094-4b2a-4454-8f27-13c54b66a726</t>
  </si>
  <si>
    <t>OB follow-up appointment</t>
  </si>
  <si>
    <t>bfdb88f2-a02f-4fe5-aae7-fc0b8304f451</t>
  </si>
  <si>
    <t>4df9d397-a8ec-4b7d-a7ed-d0f1e7618610</t>
  </si>
  <si>
    <t>Ticket Clinic for Direct Email (Enrique and CEE)</t>
  </si>
  <si>
    <t>ac913235-1c79-4d62-a68a-67235fb1ddad</t>
  </si>
  <si>
    <t>7027ef28-4c49-4727-9308-6d7335a6d109</t>
  </si>
  <si>
    <t>b264e3ab-9cc6-46f5-ba8a-9ca849f887a4</t>
  </si>
  <si>
    <t>b5598b28-03f8-46d7-baa3-7a0efb4a487a</t>
  </si>
  <si>
    <t>b6d035a6-3da2-4122-bcdd-89d840a507c4</t>
  </si>
  <si>
    <t>dca97881-1b49-4d67-8046-d86b516d6a4e</t>
  </si>
  <si>
    <t>698836dc-e9b3-4d15-8f94-0fd60f5efed0</t>
  </si>
  <si>
    <t>297c3d74-58c0-4835-8fce-50aa19781972</t>
  </si>
  <si>
    <t>0e7f0c83-8c92-4d97-9cf0-9c11bc7442ec</t>
  </si>
  <si>
    <t>ce3c1f1f-1e12-4b95-921c-692fcf0cb9fa</t>
  </si>
  <si>
    <t>SLW</t>
  </si>
  <si>
    <t>53b0d1a0-018d-41e6-a0be-5e26600b5264</t>
  </si>
  <si>
    <t>29d41dba-1e41-4538-9441-a7c671146a3e</t>
  </si>
  <si>
    <t>106d23b3-078b-410e-a1b1-00f8cbd933cd</t>
  </si>
  <si>
    <t>30949bd6-6e03-4ab0-a582-a5aa9c5f91d8</t>
  </si>
  <si>
    <t>915904ff-3e3a-408d-be24-f15daada677a</t>
  </si>
  <si>
    <t>b2d7a906-493f-4e55-9d06-fa4272157f94</t>
  </si>
  <si>
    <t>e1c11413-6f07-4c66-afed-a02b11ef2770</t>
  </si>
  <si>
    <t>d6df4550-a02e-4015-ab35-a022e9ed7a50</t>
  </si>
  <si>
    <t>edd0be76-51e7-4770-8bcb-2c96cb356aa5</t>
  </si>
  <si>
    <t>d8622885-7f02-4737-9f7f-abeefd29d839</t>
  </si>
  <si>
    <t>c8771027-35bc-46f7-a411-ef6cbe07ed8d</t>
  </si>
  <si>
    <t>afe991ce-72f0-4a1b-ae15-865b9a416d53</t>
  </si>
  <si>
    <t>Bea Borreros</t>
  </si>
  <si>
    <t>jborreros@canva.com</t>
  </si>
  <si>
    <t>38af54f8-0916-440d-945d-1c3b44a936a7</t>
  </si>
  <si>
    <t>33f5e0fa-7a91-4d7c-ac30-a87da0af6920</t>
  </si>
  <si>
    <t>7a01779e-4c5a-4b96-8c81-e309b8b2894b</t>
  </si>
  <si>
    <t>799dcbb5-22c3-43b6-9cde-050aaa0dd282</t>
  </si>
  <si>
    <t>87de8e82-2912-42f6-b347-84f62022db33</t>
  </si>
  <si>
    <t>73ccea66-4f3f-45c4-969f-5e1821172223</t>
  </si>
  <si>
    <t>be61e722-7922-47d7-bd3d-ba20dcb13570</t>
  </si>
  <si>
    <t>fde4517f-c081-40ef-8af9-6756bfd56f95</t>
  </si>
  <si>
    <t>97e72df6-162d-496a-aed1-b0cdf47b16a1</t>
  </si>
  <si>
    <t>c003236d-ca5a-4ee0-8276-788feed1664a</t>
  </si>
  <si>
    <t>18ab403c-e3aa-4ba5-9b24-7505a32d431f</t>
  </si>
  <si>
    <t>96330162-81e7-446b-8951-d96fb451bef9</t>
  </si>
  <si>
    <t>787f7155-0841-43ae-a95f-54182dc0476d</t>
  </si>
  <si>
    <t>a3ae096e-c6bb-49ce-9b7c-7c281b5195e0</t>
  </si>
  <si>
    <t>5ed49302-0f47-47fe-8190-1a4970113524</t>
  </si>
  <si>
    <t>d9a053f6-5926-4bbd-9c20-328bc9147f77</t>
  </si>
  <si>
    <t>51be281c-b37e-4996-ad53-0952abcf9bea</t>
  </si>
  <si>
    <t>f632cf34-c50d-4084-ba8e-0d8fd240532d</t>
  </si>
  <si>
    <t>2f3a33b9-504f-40c4-8406-c68f74e3b5c8</t>
  </si>
  <si>
    <t>cf4102e5-f522-43ac-bf51-15cc96666fde</t>
  </si>
  <si>
    <t>Gem Sauler</t>
  </si>
  <si>
    <t>gsauler@canva.com</t>
  </si>
  <si>
    <t>a4e549ec-24a8-499f-97a6-df748a3211e5</t>
  </si>
  <si>
    <t>4085018b-8a91-4b6d-8bc1-7c1733378f85</t>
  </si>
  <si>
    <t>SOD routine</t>
  </si>
  <si>
    <t>9f43c218-587f-4447-84ff-0edfb4d9b33c</t>
  </si>
  <si>
    <t>e3536e20-776c-492f-9d0f-0703921872e5</t>
  </si>
  <si>
    <t>f2e708dc-4123-452d-a1f8-e3998e334e04</t>
  </si>
  <si>
    <t>Mid shift QMT report</t>
  </si>
  <si>
    <t>72221587-568a-4c53-84a2-9d31122e3371</t>
  </si>
  <si>
    <t>f5dae347-9d79-419f-9616-0834deab14e1</t>
  </si>
  <si>
    <t>New updates on the Missing Designs workflow for APS</t>
  </si>
  <si>
    <t>526721bf-ebf7-45ed-bf8c-769b5a797780</t>
  </si>
  <si>
    <t>b353ab77-eb7e-4b5c-808f-aa5c365201ce</t>
  </si>
  <si>
    <t>e695b7a7-e3bd-4aa3-878b-335066d4fd9a</t>
  </si>
  <si>
    <t>0514e440-a104-497f-a777-73d4ff8064a2</t>
  </si>
  <si>
    <t>317b4e36-a904-4e8f-8f3c-40c71585235c</t>
  </si>
  <si>
    <t>513cd31e-9cd1-4da1-85c7-a2313fc492da</t>
  </si>
  <si>
    <t>42412124-9552-460b-9c92-db68657daa7e</t>
  </si>
  <si>
    <t>97a085aa-0108-4deb-ad34-d774a188426e</t>
  </si>
  <si>
    <t>3578e898-e594-4410-8a10-9907652f266c</t>
  </si>
  <si>
    <t>48c7a50e-34ac-40fb-b0f8-46f34c89f574</t>
  </si>
  <si>
    <t>fed011ef-d7af-49a5-8bc7-4895ad564f5e</t>
  </si>
  <si>
    <t>afd4c371-7717-4099-88a8-2c1e96fcfd15</t>
  </si>
  <si>
    <t>a38109fb-2562-4547-a10f-79361f9067f2</t>
  </si>
  <si>
    <t>f1ce4b47-b963-42af-ba37-a04e6cc3b575</t>
  </si>
  <si>
    <t>d046a45a-eb6d-4a98-8ee3-e862f8e123c0</t>
  </si>
  <si>
    <t>62dc4630-95e7-490c-bd03-e486608375e4</t>
  </si>
  <si>
    <t>2dbbe830-c693-4ec0-82ee-483e3c4acf18</t>
  </si>
  <si>
    <t>7a065d48-cbe3-4c1e-9f20-a68fe8b27743</t>
  </si>
  <si>
    <t>22444420-b1fd-4325-b013-a7800e92b224</t>
  </si>
  <si>
    <t>7491e952-0352-48be-be4e-93d278b1d01f</t>
  </si>
  <si>
    <t>fd2ab4ea-b1f3-48b6-a9ab-4d8c16d13bcb</t>
  </si>
  <si>
    <t>d58f5cec-cea0-4e06-b3f1-93fa98509626</t>
  </si>
  <si>
    <t>QFS Tickets &amp; QA CX Feedback</t>
  </si>
  <si>
    <t>0714af28-7557-4b64-b00f-bdef29c8b921</t>
  </si>
  <si>
    <t>26c3ba19-2122-4f73-a562-a0200c1c7431</t>
  </si>
  <si>
    <t>50f6ee84-cef1-4ed8-84ed-42a64211811d</t>
  </si>
  <si>
    <t>Haze Rafon</t>
  </si>
  <si>
    <t>hazzel@canva.com</t>
  </si>
  <si>
    <t>Escalation Tooling Training (faci-led)</t>
  </si>
  <si>
    <t>72cd9efd-8602-4853-9324-35cfad17df1a</t>
  </si>
  <si>
    <t>a8d2db8b-5d3c-4454-b4f4-a69bb2f992e9</t>
  </si>
  <si>
    <t>566629ee-e22b-497e-9284-a07913f67e7b</t>
  </si>
  <si>
    <t>bbe64343-1c24-47fe-9acf-2d94977bca45</t>
  </si>
  <si>
    <t>08ba4119-8bc4-4c82-985c-62dcc9c2866b</t>
  </si>
  <si>
    <t>8a862fbb-c26b-482d-bd17-9bc9303af66a</t>
  </si>
  <si>
    <t>dff5db3d-e69e-4af9-9402-2ae8d4ae3b00</t>
  </si>
  <si>
    <t>a5fc079a-0c20-4755-8e76-b1393eae38b6</t>
  </si>
  <si>
    <t>c269e122-16c6-4dcd-bf7f-109e34f6eb62</t>
  </si>
  <si>
    <t>a53a5d1f-0079-412b-8daa-8d7c95a0bbce</t>
  </si>
  <si>
    <t>df641bd2-e891-4f9d-892f-405bba4d5377</t>
  </si>
  <si>
    <t>19130deb-eb0b-464f-881f-257ed1bcce65</t>
  </si>
  <si>
    <t>63cfefa8-73ca-442b-bf83-250c280b6242</t>
  </si>
  <si>
    <t>a45e6fb7-793c-4021-9301-23c35a108b1b</t>
  </si>
  <si>
    <t>a669039c-5b63-4e68-a999-1eaccb925f5c</t>
  </si>
  <si>
    <t>27d433d0-1384-4635-a840-35cedeba4f01</t>
  </si>
  <si>
    <t>a92c3400-d67b-4241-8182-5aca6060ecff</t>
  </si>
  <si>
    <t>650aa7ab-f43c-4216-942f-9403670a6ad4</t>
  </si>
  <si>
    <t>7d172470-9ec6-4127-88a6-0dc9886ad152</t>
  </si>
  <si>
    <t>0ac6f458-bcf5-4d52-b80b-d4ae35c633dd</t>
  </si>
  <si>
    <t>c4875776-976a-4146-a4be-d0b45e5f6e0c</t>
  </si>
  <si>
    <t>4667b0fd-40c3-4571-ba8c-edc79202f7f5</t>
  </si>
  <si>
    <t>157b66db-b9f4-4a3d-a00a-5cf3eefe9b58</t>
  </si>
  <si>
    <t>Rej Benipayo</t>
  </si>
  <si>
    <t>rej@canva.com</t>
  </si>
  <si>
    <t>cdc5f6f6-3c9a-4924-837e-f5b9d9b61a38</t>
  </si>
  <si>
    <t>b2ec1d78-4d87-44b3-a66f-1031e044f670</t>
  </si>
  <si>
    <t>24675786-15db-4282-8559-94df5801a326</t>
  </si>
  <si>
    <t>0c1e5eda-247e-443a-8676-c7a9290f0abc</t>
  </si>
  <si>
    <t>d146e3f3-c74c-4f08-8bf8-7e87d88ea204</t>
  </si>
  <si>
    <t>3b839ae0-5df1-426e-b65e-2e72ced34926</t>
  </si>
  <si>
    <t>72d09f75-b68e-4942-80eb-789f7b1234b6</t>
  </si>
  <si>
    <t>3f58f143-b844-4e0f-aa45-fce02ee21ab1</t>
  </si>
  <si>
    <t>379a4811-dac0-4921-a73c-7cfd2b801081</t>
  </si>
  <si>
    <t>3e541bcf-9456-4b6d-87cc-1b70c0eae9c9</t>
  </si>
  <si>
    <t>a6c10c98-df4c-486e-8480-54b752fcb20d</t>
  </si>
  <si>
    <t>f7da9bbe-48bf-49b8-8969-147d557985ba</t>
  </si>
  <si>
    <t>84796e79-34ac-4547-a93c-d1bc34788ea0</t>
  </si>
  <si>
    <t>fababfe2-54de-4f2e-8180-a82bbf94f62b</t>
  </si>
  <si>
    <t>983b731d-5ed0-4fcd-a509-7cef57cd16d4</t>
  </si>
  <si>
    <t>dd00b4f0-8ce9-48e4-be76-668e76c5cc39</t>
  </si>
  <si>
    <t>d09472f5-f2ed-4d88-b829-3e0cd86e3a40</t>
  </si>
  <si>
    <t>54337ff7-edc3-483e-87ce-e21d8b49f935</t>
  </si>
  <si>
    <t>12e9b756-17d8-482b-8c88-50f59b89a2ce</t>
  </si>
  <si>
    <t>2ceb227a-f352-4c8b-aad8-ea0ad0c2991b</t>
  </si>
  <si>
    <t>fbad4c74-fe48-4349-bc29-7cc05ebe4ad6</t>
  </si>
  <si>
    <t>d3e1c5ea-dd69-4ec2-9955-62c1e3c5dfa1</t>
  </si>
  <si>
    <t>32ab4fe4-90a6-461e-b388-9e6afbe4e8f6</t>
  </si>
  <si>
    <t>58702832-fa30-4667-876f-9730eb211432</t>
  </si>
  <si>
    <t>71c593b1-abfd-4381-8842-087d09168c02</t>
  </si>
  <si>
    <t>5c6d8f95-ae64-4595-941a-b4f2352efec7</t>
  </si>
  <si>
    <t>f278c92c-7746-4015-95bf-0aa13b366acc</t>
  </si>
  <si>
    <t>cf709bc2-a580-4706-883b-8a024f95a184</t>
  </si>
  <si>
    <t>e4b9f50e-9a49-4210-9a6e-094a384617bd</t>
  </si>
  <si>
    <t>ea0e7a47-5c3b-4076-bacd-b08da46636e9</t>
  </si>
  <si>
    <t>77484af2-f412-4e0e-a938-b9e8c9624966</t>
  </si>
  <si>
    <t>d04a8924-4f27-4c56-b95e-953aad875918</t>
  </si>
  <si>
    <t>e244eb0c-fa1f-4cdb-b260-5c3ed7e0f4e2</t>
  </si>
  <si>
    <t>da8aa76e-377d-482a-bd5e-e616d8913b2d</t>
  </si>
  <si>
    <t>AI Legal</t>
  </si>
  <si>
    <t>4523980c-e691-46a8-b46e-a93c3f1a6b30</t>
  </si>
  <si>
    <t>7c812f2a-1a99-45d8-b4f0-d1ea42162718</t>
  </si>
  <si>
    <t>eda8dc46-d638-4955-b85e-554ac98c41d8</t>
  </si>
  <si>
    <t>Sam Espelimbergo</t>
  </si>
  <si>
    <t>sammiee@canva.com</t>
  </si>
  <si>
    <t>90fdff05-b8a1-443a-a43b-95270cf34e3e</t>
  </si>
  <si>
    <t>2941b423-bfa6-4c50-b543-9c45de3149f9</t>
  </si>
  <si>
    <t>af12010a-193a-48b0-986f-58bb5f09109f</t>
  </si>
  <si>
    <t>738e44af-4d7b-4f0e-bb66-a4726d148e22</t>
  </si>
  <si>
    <t>c3b70d1a-ef6c-41fb-88a7-b806359cde72</t>
  </si>
  <si>
    <t>13924acd-96d7-476a-a20d-0c807d56e827</t>
  </si>
  <si>
    <t>a8ed4411-6a69-4c32-bb6a-8c16ec994133</t>
  </si>
  <si>
    <t>0c8f1f6b-2336-4753-9d5f-dc7838d37b59</t>
  </si>
  <si>
    <t>0588620b-4f69-40a3-a955-72d8cd51a873</t>
  </si>
  <si>
    <t>229a2640-7d21-4032-8d0a-75b90bf6e5ac</t>
  </si>
  <si>
    <t>c2699994-b9b9-4993-93f6-0b9b70f56ba7</t>
  </si>
  <si>
    <t>b9cd107c-2147-4e48-ba3c-06665fd2bab0</t>
  </si>
  <si>
    <t>33855712-1fc7-4d81-8e98-7593baa99686</t>
  </si>
  <si>
    <t>3c06220f-b993-46bb-8928-39bf81b4cda0</t>
  </si>
  <si>
    <t>dd0053c4-4d43-4711-9b61-af5f2447c8e6</t>
  </si>
  <si>
    <t>5e9c738b-f19c-42f4-83c3-a9fed8ecc045</t>
  </si>
  <si>
    <t>1b71f621-b78b-48e1-81cf-64f7692a6ea9</t>
  </si>
  <si>
    <t>22ffa0d5-da0c-4bc8-8e99-500e3e6eac8b</t>
  </si>
  <si>
    <t>2065e5a0-1d71-4ada-a456-e022e026fc44</t>
  </si>
  <si>
    <t>82d67f42-c7e3-4b0a-a7e4-1d4d1359ff8b</t>
  </si>
  <si>
    <t>0178ad6d-1d52-40cc-8c00-1c0b4783f7ca</t>
  </si>
  <si>
    <t>98892b85-e069-497f-80ff-9aeabf04a4ec</t>
  </si>
  <si>
    <t>438e36b3-4d38-44fd-b78d-2f3e27dfd609</t>
  </si>
  <si>
    <t>Jan Peña</t>
  </si>
  <si>
    <t>janpaolopena@canva.com</t>
  </si>
  <si>
    <t>5c02f4ce-4bb0-4d4b-b150-54a2167487a1</t>
  </si>
  <si>
    <t>7dce6db2-bb12-4e45-998d-8e775302e019</t>
  </si>
  <si>
    <t>deec54d6-724d-46e0-a9b4-25757087c9c9</t>
  </si>
  <si>
    <t>5c8fde06-6b82-4a50-b0e9-82b5b74d7ee1</t>
  </si>
  <si>
    <t>Cop: https://canva.slack.com/archives/CR3GQBF1T/p1765867052632999?thread_ts=1765814413.101339&amp;cid=CR3GQBF1T</t>
  </si>
  <si>
    <t>73a2eaff-58ac-4792-aed2-8f4460068978</t>
  </si>
  <si>
    <t>f8875154-2bc9-4d3e-9c52-c4c0d8198ff5</t>
  </si>
  <si>
    <t>5a65b227-d558-4c96-9846-b4fc96c31607</t>
  </si>
  <si>
    <t>ed6658d1-f3b0-43dc-a0c5-d5232388887e</t>
  </si>
  <si>
    <t>1fa8bfa5-9551-47ea-b87e-8d4dd6d70128</t>
  </si>
  <si>
    <t>1ac903ec-49dc-438f-a427-eae14cd409ea</t>
  </si>
  <si>
    <t>6dcebee4-8df1-4c77-843d-1f62e03d2f43</t>
  </si>
  <si>
    <t>9c948844-85a2-4005-a9ae-993891ff3d92</t>
  </si>
  <si>
    <t>854973e6-36f1-4372-b489-ebfeb203d089</t>
  </si>
  <si>
    <t>8af552c0-e62d-4e20-afa9-c31ce10853a6</t>
  </si>
  <si>
    <t>5b144a82-aa91-496f-822b-8440debaa6ce</t>
  </si>
  <si>
    <t>a6b30641-4e47-4641-85f9-bad03cf2849e</t>
  </si>
  <si>
    <t>558fecb8-14a6-4ea7-a1d5-84d13806c7cb</t>
  </si>
  <si>
    <t>Print SEE Support</t>
  </si>
  <si>
    <t>36cecc86-252a-47f3-97b7-f5a7768fa1c1</t>
  </si>
  <si>
    <t>5c57d097-0a02-4796-a5a8-729d8edf5832</t>
  </si>
  <si>
    <t>d2041dec-6f5b-466a-b072-5352422a083e</t>
  </si>
  <si>
    <t>f4fda6d3-8d9e-4083-8570-705ec7d9dbbb</t>
  </si>
  <si>
    <t>be6a75f3-32b4-45ae-8e74-0a28ac106e71</t>
  </si>
  <si>
    <t>7aa51742-3f2e-4ac6-8935-5ff2a6ae2020</t>
  </si>
  <si>
    <t>01ae0696-9f41-455b-b924-dd339f895fe1</t>
  </si>
  <si>
    <t>94471d08-7cad-485b-ad38-e12d80dabb1d</t>
  </si>
  <si>
    <t>f5ba466d-3070-4265-b28a-19dbee895203</t>
  </si>
  <si>
    <t>ef35efbb-2cc2-4689-bc77-802c798cb71a</t>
  </si>
  <si>
    <t>455b829c-b653-4184-b913-b5393fafdc89</t>
  </si>
  <si>
    <t>6ca26f9f-17a5-4f13-8df0-341501487809</t>
  </si>
  <si>
    <t>fa6a3728-154c-43e5-bca0-0c1177ee0d41</t>
  </si>
  <si>
    <t>5bd0d385-b8e9-4a06-a9c8-656365f6d39a</t>
  </si>
  <si>
    <t>748f7375-5497-4286-b6df-38229b609d09</t>
  </si>
  <si>
    <t>Rounette Natividad</t>
  </si>
  <si>
    <t>rounette@canva.com</t>
  </si>
  <si>
    <t>2922c485-9427-4732-bb2d-b1c21594cd99</t>
  </si>
  <si>
    <t>71a2ff57-9d52-499d-acc2-1deef92ecf2e</t>
  </si>
  <si>
    <t>864a0899-ee35-400e-8c6a-0ec10e663953</t>
  </si>
  <si>
    <t>c1823270-6c2d-4f0a-8232-d9d6c495c424</t>
  </si>
  <si>
    <t>MD Training</t>
  </si>
  <si>
    <t>346fe2ec-9170-45e0-806e-81586b8d6410</t>
  </si>
  <si>
    <t>0193287d-0d8e-493f-94da-84bdbfb17630</t>
  </si>
  <si>
    <t>4c6fd2f5-6e64-4cd0-885d-e605113859bd</t>
  </si>
  <si>
    <t>c0a643d4-71b5-43b4-b73b-4a4dd469e8f3</t>
  </si>
  <si>
    <t>bc0b21fe-720d-45ee-91f7-6c1273a3de64</t>
  </si>
  <si>
    <t>d494880d-67c4-4938-8701-de28af6ed4da</t>
  </si>
  <si>
    <t>11dff787-c6dd-4c86-9fc8-4e6023b674a4</t>
  </si>
  <si>
    <t>Ticket Scrubbing/Operation insights - extended due to a large number of incident/bugs update</t>
  </si>
  <si>
    <t>0188ad8a-6104-4538-a406-23b67670bd33</t>
  </si>
  <si>
    <t>ecd3f6df-b126-4564-a4c3-197ca060e437</t>
  </si>
  <si>
    <t>2230954c-8c30-4434-8b2e-be7ae3bd1d78</t>
  </si>
  <si>
    <t>5526143b-99c7-43d9-b69f-70852f449297</t>
  </si>
  <si>
    <t>Bi-Annual Security &amp; Privacy Refresher H2 2025 (Workramp) - adjusted due to spec  was on SL during the orig schedule.</t>
  </si>
  <si>
    <t>96b4e09b-8303-4fe2-a493-0508ee0986e8</t>
  </si>
  <si>
    <t>76a748db-1821-4a31-a46c-57147f5cf765</t>
  </si>
  <si>
    <t>a9bbc109-f86d-4a49-8211-d1fdb98ed0c3</t>
  </si>
  <si>
    <t>83aaf3ce-b106-4bb2-ae4b-a3052274607e</t>
  </si>
  <si>
    <t>df7dd94d-8b91-41fb-9cf0-a094dde92f25</t>
  </si>
  <si>
    <t>c8c9e7c7-2bda-44e6-95b1-33cf491d9c18</t>
  </si>
  <si>
    <t>524efb95-bbe7-48d5-94cb-ece88d235fab</t>
  </si>
  <si>
    <t>87f3898c-d3e1-49e0-b42a-4aef28bd7af8</t>
  </si>
  <si>
    <t>RCA Tracker and QA CX Feedback</t>
  </si>
  <si>
    <t>6a5c17e5-a2b8-4a48-9bc1-a862de9f92ee</t>
  </si>
  <si>
    <t>f9fe548d-4f7b-4d63-bb06-836632b5c465</t>
  </si>
  <si>
    <t>Team Mix Canvazine</t>
  </si>
  <si>
    <t>284eb4d0-e3a6-48d4-94d5-0570312ea6cf</t>
  </si>
  <si>
    <t>c643f4d3-31ef-4155-ba4e-a552baeb6f23</t>
  </si>
  <si>
    <t>Tricia Pasagui</t>
  </si>
  <si>
    <t>tricia.p@canva.com</t>
  </si>
  <si>
    <t>7c5bb1c1-ac7a-480e-a760-665feb27397f</t>
  </si>
  <si>
    <t>517c5cd4-706c-428f-9cc0-d4cd43a7a5ad</t>
  </si>
  <si>
    <t>633bd10f-ac97-4833-b37e-3a19c3224243</t>
  </si>
  <si>
    <t>8e157dde-9c02-4f05-bba4-ea5fc611e062</t>
  </si>
  <si>
    <t>95effdc0-108d-4778-9a00-d7e8ff1c5e08</t>
  </si>
  <si>
    <t>d7c358fc-9b2f-4ba7-ade1-601c7a906993</t>
  </si>
  <si>
    <t>2801168c-bb71-4e03-b004-5990a45c07af</t>
  </si>
  <si>
    <t>cad48f3b-63af-415f-9786-cb445e0e3c33</t>
  </si>
  <si>
    <t>d2d446ba-56e1-466a-ad38-fdf5aea7fb40</t>
  </si>
  <si>
    <t>a5c417ef-5484-4b95-b916-00978f3a99ac</t>
  </si>
  <si>
    <t>155f7eb1-7bc2-4001-9a22-22e89fa72a78</t>
  </si>
  <si>
    <t>28c395cb-2632-40d9-9a75-08557af2326c</t>
  </si>
  <si>
    <t>32d001ab-adff-47d0-af19-383152dfef13</t>
  </si>
  <si>
    <t>29aafdf4-07f3-4b0c-8b77-9d79ed416a30</t>
  </si>
  <si>
    <t>51d79e23-d926-4242-a0a3-247d44f05310</t>
  </si>
  <si>
    <t>83715d51-4dd8-4f15-a4f1-44006c797f45</t>
  </si>
  <si>
    <t>e9e3930b-8457-41d7-adf1-06718b042a15</t>
  </si>
  <si>
    <t>480d362a-1970-4f8a-80d7-8e187c38699f</t>
  </si>
  <si>
    <t>9fdd4d4e-a74d-4922-8be5-6477876adadf</t>
  </si>
  <si>
    <t>c8616a00-6e5b-404d-8753-2eee8e4f23a0</t>
  </si>
  <si>
    <t>3335501a-b303-4b1b-b874-e502875b9c00</t>
  </si>
  <si>
    <t>Leonard Baguio</t>
  </si>
  <si>
    <t>leonard@canva.com</t>
  </si>
  <si>
    <t>46bf81a5-e9f5-4f03-84fa-4ae4236c1f28</t>
  </si>
  <si>
    <t>79bb6b23-2301-4154-b5c1-a705fb70b50f</t>
  </si>
  <si>
    <t>7f2bef71-209a-4e24-9464-e468123b0e46</t>
  </si>
  <si>
    <t>908e782b-c25e-41f8-9aa2-a81a4be20ba7</t>
  </si>
  <si>
    <t>cb3d7d23-45ee-4ee6-95b2-205533c0d784</t>
  </si>
  <si>
    <t>cec2c46f-535d-4006-9c38-0b71930df687</t>
  </si>
  <si>
    <t>aa61dbe2-d492-409b-8a3a-0dbaf9adbcc0</t>
  </si>
  <si>
    <t>5e78d9cc-c04c-4434-bfcc-e438fef6fe62</t>
  </si>
  <si>
    <t>6d41ed07-c874-48c6-b7ef-6a2f8c22a076</t>
  </si>
  <si>
    <t>bcf38def-dc1e-48c6-b1c4-be3cbd071304</t>
  </si>
  <si>
    <t>9ff35e2e-5f78-4ed3-8c89-e2e9e9d3fc8e</t>
  </si>
  <si>
    <t>122115e8-4ba7-40e1-ace1-2a87ec6823ea</t>
  </si>
  <si>
    <t>045567d7-2cbf-454a-b93f-a4c395629053</t>
  </si>
  <si>
    <t>f27d3d47-131e-4a89-81ca-b3b284448504</t>
  </si>
  <si>
    <t>20e9faa7-5296-4f01-b4ed-cd3ab22e72c2</t>
  </si>
  <si>
    <t>6e1306e0-1f5a-4bbc-82e8-ca34e8c42b0b</t>
  </si>
  <si>
    <t>b09f5c4f-f045-4f58-963e-3992d9955071</t>
  </si>
  <si>
    <t>084fd267-503e-4f4a-8226-bd47ba1f2bb6</t>
  </si>
  <si>
    <t>9c0da437-c0c6-4813-bd14-89ab6b689bf3</t>
  </si>
  <si>
    <t>60d983ef-e3f1-4695-bbab-329156543ecf</t>
  </si>
  <si>
    <t>960367ef-0114-4edd-82e1-57bcf81c8555</t>
  </si>
  <si>
    <t>1a792ad5-6040-44cf-9dc5-e113997b73d5</t>
  </si>
  <si>
    <t>3d19cf77-d0ac-4f1a-9920-7d93fe59b66c</t>
  </si>
  <si>
    <t>94cf4bf7-905b-4de8-9b42-b9b6d386ae5a</t>
  </si>
  <si>
    <t>29f1cfbb-326c-4f39-b32d-9350f380b21a</t>
  </si>
  <si>
    <t>Love Joyce Pasagui</t>
  </si>
  <si>
    <t>lovejoyce@canva.com</t>
  </si>
  <si>
    <t>af3006f9-91cb-4ff4-9fb4-30e3d982ba8a</t>
  </si>
  <si>
    <t>Family event - Sister's wedding</t>
  </si>
  <si>
    <t>8c11f874-f4c7-45ac-8db7-a002f656bfe7</t>
  </si>
  <si>
    <t>710127a3-740c-4341-8a3c-90330c082811</t>
  </si>
  <si>
    <t>4c21bfd2-4814-4b48-b050-3e32b0b16869</t>
  </si>
  <si>
    <t>22ea2273-a5e7-4930-b9ed-a5070f463058</t>
  </si>
  <si>
    <t>c937c13f-37d0-4817-903a-012e58f0d718</t>
  </si>
  <si>
    <t>Personal family matters</t>
  </si>
  <si>
    <t>66e4ce5a-e015-4432-97bf-ab6563b84a9e</t>
  </si>
  <si>
    <t>72d16f4a-b664-40ad-b11d-2946621e7adb</t>
  </si>
  <si>
    <t>df25bee5-f215-4ef9-aad6-38e5f02a9d0e</t>
  </si>
  <si>
    <t>ed6fc964-37bc-46d2-9eb7-5259fb78ed70</t>
  </si>
  <si>
    <t>ab5e06df-19cf-4a21-8d17-fd5b656c1733</t>
  </si>
  <si>
    <t>a3dd2e8b-b12d-4771-af1c-23b5de0bc206</t>
  </si>
  <si>
    <t>c43886d3-df42-443f-a735-6a59252c63d8</t>
  </si>
  <si>
    <t>b487eddd-5e50-4f8a-8e7c-62bc86f1fad0</t>
  </si>
  <si>
    <t>51807da7-bab3-4002-ad8f-adc35ac1270f</t>
  </si>
  <si>
    <t>fddd1543-7d69-4971-a473-87dd92610cb5</t>
  </si>
  <si>
    <t>b8e2f499-5ba0-47a6-9254-f2537888f027</t>
  </si>
  <si>
    <t>Personal family matter</t>
  </si>
  <si>
    <t>e4bdacdc-0d80-4d60-92df-5ec792998033</t>
  </si>
  <si>
    <t>91812039-adc8-49e1-bcda-bf21b189a31c</t>
  </si>
  <si>
    <t>17eec884-4e31-4055-910d-95c93b9c29cc</t>
  </si>
  <si>
    <t>5d944cf9-cc4e-4811-bd91-3d8147618d4c</t>
  </si>
  <si>
    <t>59902c1b-3cb0-4cce-af46-021b20bd445c</t>
  </si>
  <si>
    <t>fb7eaf27-12c7-42a3-b568-3898188ea87d</t>
  </si>
  <si>
    <t>de64f829-110c-482b-a3b0-ed34704296a9</t>
  </si>
  <si>
    <t>1 VPS Training (watch recording)</t>
  </si>
  <si>
    <t>90f7f79e-a30b-4ae5-bdd1-bc9e851ecb2b</t>
  </si>
  <si>
    <t>bf090244-5425-4e6d-8c62-b82d1bdb71d3</t>
  </si>
  <si>
    <t>[CL] Phone Support Referral Process | Product Rollout | CHT (20 mins)
[CL] When to Edit Cal Responses | Upskilling | CHT &amp; BPO (15 mins)</t>
  </si>
  <si>
    <t>12d4c09b-cfa9-47ef-9299-abbd76bfdb8e</t>
  </si>
  <si>
    <t>6b1fe3fa-f088-4c6a-b9c6-17c5e8fdfc12</t>
  </si>
  <si>
    <t>34f2d71e-2948-4046-b11a-6ec3d91fb2f7</t>
  </si>
  <si>
    <t>Neeki Asido</t>
  </si>
  <si>
    <t>neeki@canva.com</t>
  </si>
  <si>
    <t>2d0ec755-440a-4520-8c16-148b8b7ee3d0</t>
  </si>
  <si>
    <t>af3f6126-71d4-4549-a738-652d6452ab2b</t>
  </si>
  <si>
    <t>Unified Escalation Process check in</t>
  </si>
  <si>
    <t>5cbd6f7f-a0f9-45b0-b95f-79c598865f0d</t>
  </si>
  <si>
    <t>068998be-9d1a-4d49-a1db-2c8061e0c264</t>
  </si>
  <si>
    <t>402c50da-c5ce-479b-b1db-1ccb230b77a7</t>
  </si>
  <si>
    <t>96597432-8d06-4c49-b61f-9e3eebc7abfc</t>
  </si>
  <si>
    <t>00092f3c-e366-46da-bfca-cfe6c1d4b6af</t>
  </si>
  <si>
    <t>13ede0ed-46ff-4f73-8657-4f044a520e4f</t>
  </si>
  <si>
    <t>c0bc2b9a-fef3-4f35-ba46-172793a49794</t>
  </si>
  <si>
    <t>3bdf0ce8-5fe1-45d5-b4ab-728c31623de8</t>
  </si>
  <si>
    <t>7e534a98-5300-413c-bbca-05fe581c2e23</t>
  </si>
  <si>
    <t>240c8672-86fc-4990-85e4-23bc38bd13d3</t>
  </si>
  <si>
    <t>e611d3af-25e8-4dea-a86e-8f77a68ad502</t>
  </si>
  <si>
    <t>54dba37e-69ac-48eb-8384-2975ad3cc1c4</t>
  </si>
  <si>
    <t>4f560aa2-bbe6-470b-8070-03e985e8ec2b</t>
  </si>
  <si>
    <t>7eb88096-8c59-484b-9648-332744019589</t>
  </si>
  <si>
    <t>1386653e-8a7c-4c3b-91c5-03dd235c64eb</t>
  </si>
  <si>
    <t>35014335-5a88-4bbe-b347-174d2357ce27</t>
  </si>
  <si>
    <t>a383ddee-e483-49b9-b005-def4fda0baff</t>
  </si>
  <si>
    <t>CPSET Connect and backreading</t>
  </si>
  <si>
    <t>019b78b2-16a0-45ae-a9c0-5c65027f96ae</t>
  </si>
  <si>
    <t>75251900-93e8-49f0-8422-65ead0d5cf96</t>
  </si>
  <si>
    <t>7319f397-afac-4129-b26b-701d702a855a</t>
  </si>
  <si>
    <t>fd6e94c0-3688-4a68-bc94-3f8ee1793a1b</t>
  </si>
  <si>
    <t>072ada16-23c2-4a02-a131-9dec1430dc34</t>
  </si>
  <si>
    <t>26681dd2-3220-44dd-8091-9828f87e40e0</t>
  </si>
  <si>
    <t>956e8f0a-6992-4d37-a1ed-c14c905a38a1</t>
  </si>
  <si>
    <t>a3f11bb8-ab45-4287-9e55-e79fa5998e4e</t>
  </si>
  <si>
    <t>0b45dad3-7703-4275-8c7a-0cb9c77adad0</t>
  </si>
  <si>
    <t>0c95c439-aac6-4b88-8f1f-e099254ee58f</t>
  </si>
  <si>
    <t>77ee31f1-84ca-4056-8266-cedc36d68580</t>
  </si>
  <si>
    <t>483ba74d-7b77-4705-b4ae-9ec4371d3af9</t>
  </si>
  <si>
    <t>aab2115b-472c-414c-b15e-eddaf781f6d0</t>
  </si>
  <si>
    <t>2a121198-c92b-4a44-a01d-1a6dd0451009</t>
  </si>
  <si>
    <t>d8a0ee75-b668-4216-9344-1581ac8cc4bd</t>
  </si>
  <si>
    <t>4b95dc07-06cf-40a1-98cc-ce694e574cd1</t>
  </si>
  <si>
    <t>5917755d-94e1-4bcf-b3d5-736f4efd635f</t>
  </si>
  <si>
    <t>Yvette Nogoy</t>
  </si>
  <si>
    <t>yvette@canva.com</t>
  </si>
  <si>
    <t>dda5358c-a08b-409c-a051-1675a6828c33</t>
  </si>
  <si>
    <t>29a598b9-6f28-4bab-b12c-caec10331206</t>
  </si>
  <si>
    <t>5d42ac4d-3c4a-4eee-9ea7-e24123e7fc92</t>
  </si>
  <si>
    <t>92492126-169b-4964-807c-3082f6a79f71</t>
  </si>
  <si>
    <t>2a33e8cd-b25d-413d-b85d-dbaa465d14ce</t>
  </si>
  <si>
    <t>cd251e66-5a58-4ac9-97d0-bfd5d2b33728</t>
  </si>
  <si>
    <t>8bd30852-2993-4e10-945a-e467056c18eb</t>
  </si>
  <si>
    <t>9dab7f2c-122b-44a2-b1bf-684a0c80e5aa</t>
  </si>
  <si>
    <t>49c354a8-f0a7-4291-990e-16baf837b6e1</t>
  </si>
  <si>
    <t>773715e1-50c1-4f1a-b954-121f35fdba68</t>
  </si>
  <si>
    <t>1d8d83b0-58b9-4aac-b30e-103cd010a55d</t>
  </si>
  <si>
    <t>4ca2b1bd-797e-48bb-99dc-79dd852319f9</t>
  </si>
  <si>
    <t>e32cd3a4-9e87-4c7e-b60a-53f46db4ffa9</t>
  </si>
  <si>
    <t>67d256c3-aadc-4d00-af4a-2b8cbc8b27ae</t>
  </si>
  <si>
    <t>fe3267b2-4015-4977-a8c7-9904bc341d5a</t>
  </si>
  <si>
    <t>48f3a3f6-4bc3-46c9-ae43-f4ecfe575d06</t>
  </si>
  <si>
    <t>6631abfd-2718-4019-b70d-8567db2bc1b4</t>
  </si>
  <si>
    <t>9ad2aa55-09ec-49b4-bbab-f205311a9de1</t>
  </si>
  <si>
    <t>4f2200ac-81b4-44b0-b6a1-9297f34a9306</t>
  </si>
  <si>
    <t>a4fc605a-1c23-4dd4-9439-56fdbc24a690</t>
  </si>
  <si>
    <t>2ba5a5fd-9ef6-4d28-8a81-d44dc76d06e3</t>
  </si>
  <si>
    <t>548eb785-7332-41fd-a204-6a601a619bbb</t>
  </si>
  <si>
    <t>36f880b5-80fb-47b2-8a97-4bf9e06c65de</t>
  </si>
  <si>
    <t>a5bea31e-ece2-42a8-8d7c-72b852af8612</t>
  </si>
  <si>
    <t>fb99a0f5-9812-4401-a668-2a1e7f339b55</t>
  </si>
  <si>
    <t>Aubrey Jasme</t>
  </si>
  <si>
    <t>aubrey@canva.com</t>
  </si>
  <si>
    <t>1623f21b-a6d7-4dc6-9358-3aab93667ce9</t>
  </si>
  <si>
    <t>ec755a85-4edc-4021-9e68-a5ac4e39a155</t>
  </si>
  <si>
    <t>cc0e528f-39b3-427d-8b1c-e7e1fd47e119</t>
  </si>
  <si>
    <t>29d63d7c-17e8-491d-889e-dd50021d4581</t>
  </si>
  <si>
    <t>a0db2579-95ee-4422-aec1-42e73c5fe19b</t>
  </si>
  <si>
    <t>15e13b9d-4073-4e83-890d-e09d439d3710</t>
  </si>
  <si>
    <t>492eae70-9086-4334-9fef-384efaec40f9</t>
  </si>
  <si>
    <t>307a7471-825d-4f59-8ee4-0bbb86501c3a</t>
  </si>
  <si>
    <t>a9ae0e66-aef2-43ba-91f2-fa399960fd4b</t>
  </si>
  <si>
    <t>888deb85-39a1-416f-86c8-bd17b994d075</t>
  </si>
  <si>
    <t>37fa2c1a-d900-4d1c-b6fd-856f6193873a</t>
  </si>
  <si>
    <t>22fdf087-816b-4159-8a1f-6bb6c204881f</t>
  </si>
  <si>
    <t>b1ec5237-6fb4-4513-9aed-807958a929b1</t>
  </si>
  <si>
    <t>07f36e37-6cd6-4fb8-bf70-2988b9576f5b</t>
  </si>
  <si>
    <t>d42f6323-57f9-4292-9465-91582a7ded7c</t>
  </si>
  <si>
    <t>507fa5e6-f46f-46de-bdfd-477a60e904cb</t>
  </si>
  <si>
    <t>f5018c82-666c-471f-8414-cea6400ea583</t>
  </si>
  <si>
    <t>0bb396c0-8b48-4382-addc-66818b7167ec</t>
  </si>
  <si>
    <t>247f356b-db11-4916-995d-eeada532cde4</t>
  </si>
  <si>
    <t>b781e39a-2799-4b07-8cd4-15bebdd61dcf</t>
  </si>
  <si>
    <t>69b51907-5b63-457e-a896-8a29cf160749</t>
  </si>
  <si>
    <t>43aec9f2-80ba-4f73-81bb-c77f0919672f</t>
  </si>
  <si>
    <t>c9f9c7df-345c-4d0a-9d51-88c8c156fee9</t>
  </si>
  <si>
    <t>Meeting with Debbie and Emma</t>
  </si>
  <si>
    <t>8323bef9-1397-4411-b09c-b3f1f26bdcc4</t>
  </si>
  <si>
    <t>d32f1655-f93c-45cd-8f25-e560193a003b</t>
  </si>
  <si>
    <t>8edc3d17-0cf2-4938-983c-2dc8e85484da</t>
  </si>
  <si>
    <t>a5ea97e2-0dbb-41a6-8a76-5bba89bd7394</t>
  </si>
  <si>
    <t>538d4390-4691-495a-94e3-03f4a543c622</t>
  </si>
  <si>
    <t>8d50e889-a320-4791-8419-9b21bd5b92e5</t>
  </si>
  <si>
    <t>455640ed-1d7c-42d4-93c5-225e17ed8f7f</t>
  </si>
  <si>
    <t>40fca93c-89ed-437f-9ade-592ab927740f</t>
  </si>
  <si>
    <t>e6b756c9-c811-48dc-920e-144286826681</t>
  </si>
  <si>
    <t>1653ed20-0937-4424-b142-ef1d56129cad</t>
  </si>
  <si>
    <t>28038382-2cdd-4313-a741-7bc897443cd0</t>
  </si>
  <si>
    <t>460fa6ad-fe39-4200-b94c-559a511172f5</t>
  </si>
  <si>
    <t>3abd7f90-593b-4f03-926d-0eaf4871cdd5</t>
  </si>
  <si>
    <t>06e27ed4-1dd5-4376-85fc-3e7adbb8e9f6</t>
  </si>
  <si>
    <t>56e8707d-f44a-450f-9a3d-72f738711629</t>
  </si>
  <si>
    <t>3dd8206b-55ec-44f2-8e13-92d3c5069a3f</t>
  </si>
  <si>
    <t>3c45149a-2211-4bee-9fb3-310ab981baf9</t>
  </si>
  <si>
    <t>c9731d9c-7c6f-480b-8276-dc889e4c27c7</t>
  </si>
  <si>
    <t>5957e659-d004-4b50-a833-96d89b506744</t>
  </si>
  <si>
    <t>Nate De la Cruz</t>
  </si>
  <si>
    <t>natedc@canva.com</t>
  </si>
  <si>
    <t>165db460-d5db-4040-813a-2b958983d1b5</t>
  </si>
  <si>
    <t>66f33c5f-d713-41b5-88f9-6d4ef902cd86</t>
  </si>
  <si>
    <t>eac7175e-da49-4728-a9fd-2e7287d383e7</t>
  </si>
  <si>
    <t>ff5a7454-01e7-4414-a5c5-e2f7e123c28a</t>
  </si>
  <si>
    <t>384945e8-a7e9-45bc-a581-e8ef5f650178</t>
  </si>
  <si>
    <t>da11b068-70e5-4466-91d4-232104bf7f4a</t>
  </si>
  <si>
    <t>3bdea07c-e20f-4f6f-81b5-e8c0f80c1c84</t>
  </si>
  <si>
    <t>dd009784-2fdd-4266-add9-4b07477f7907</t>
  </si>
  <si>
    <t>c81a9965-eb51-4a2e-ab51-a09a42478d77</t>
  </si>
  <si>
    <t>fbae8b4a-e63a-431f-84e2-0ecd43222a29</t>
  </si>
  <si>
    <t>48fca519-f8dc-4ca6-8aa5-85d06be6a8dd</t>
  </si>
  <si>
    <t>07f9dc14-9004-41cf-a676-cc14c63c01de</t>
  </si>
  <si>
    <t>70ebae52-893c-497b-81e8-69d0c643c05e</t>
  </si>
  <si>
    <t>46d8ec73-f1b5-498e-88c4-64622c505cf3</t>
  </si>
  <si>
    <t>64f1e86b-385d-46e0-bbce-9bbcd53dbac5</t>
  </si>
  <si>
    <t>0a3f4748-ba7c-4d60-85b7-160c57ddeaf6</t>
  </si>
  <si>
    <t>1b8f2ece-489d-4d61-a721-46c6e4922cae</t>
  </si>
  <si>
    <t>de45bcd8-ae09-4752-92d6-9c0977dc405f</t>
  </si>
  <si>
    <t>7448d212-c59c-4498-890a-f14ec3fcf277</t>
  </si>
  <si>
    <t>2c45c3bf-4df2-44d1-8008-1b84cedb57f3</t>
  </si>
  <si>
    <t>d4a08b12-cee9-4099-bda1-156e3fd2a9b1</t>
  </si>
  <si>
    <t>486bc67f-56f1-4873-96c9-bc59ea20ffb5</t>
  </si>
  <si>
    <t>a3bbe934-01ae-4e93-9369-021e3581998d</t>
  </si>
  <si>
    <t>Sheira Nicole Baldonado</t>
  </si>
  <si>
    <t>a4afb85a-3c53-446c-88d6-9fc0a2ab53aa</t>
  </si>
  <si>
    <t>cd53535a-33f3-4a26-9dc2-9aea5729ca86</t>
  </si>
  <si>
    <t>33c8edc4-bac5-4e7f-974e-d7f49d6c19ed</t>
  </si>
  <si>
    <t>4bfe0f01-8791-4087-b79d-73e7fdcdf191</t>
  </si>
  <si>
    <t>e2e4e287-8810-4570-9b8d-7497700ddbea</t>
  </si>
  <si>
    <t>bc367476-82dc-4d41-8bde-8e60da9e6ebf</t>
  </si>
  <si>
    <t>a3d8b053-af56-4b95-b6b5-3447cb7307d6</t>
  </si>
  <si>
    <t>3fce9e07-9cc9-4e84-88e1-3e25538b4608</t>
  </si>
  <si>
    <t>be607c25-b847-4c43-a1bd-c89e0d7bd21a</t>
  </si>
  <si>
    <t>16149798-dadc-443d-b2c4-7898f774942b</t>
  </si>
  <si>
    <t>12b3fc5b-f9fc-4088-98ad-fd1864cfa8ec</t>
  </si>
  <si>
    <t>03995ab3-5cae-4c7b-9466-3864373fb4d2</t>
  </si>
  <si>
    <t>f29bb484-b88f-46e5-aa43-e63bb6f93792</t>
  </si>
  <si>
    <t>8e9d8c9e-575a-4399-8008-15371e8ef6f1</t>
  </si>
  <si>
    <t>c03fd0e3-3b97-4ca1-832c-dac775160fa5</t>
  </si>
  <si>
    <t>f7ce759c-cdf9-4255-a14f-92d2a2815052</t>
  </si>
  <si>
    <t>54619718-206b-43a6-b10d-d6b40cd7eb80</t>
  </si>
  <si>
    <t>a75c3ed6-de83-40cb-ad3d-ac0eaa323ceb</t>
  </si>
  <si>
    <t>Carmela Dela Cruz</t>
  </si>
  <si>
    <t>carmeladc@canva.com</t>
  </si>
  <si>
    <t>549b3c36-9c59-4c24-90f1-da125b69f3b0</t>
  </si>
  <si>
    <t>1d80023a-4297-43ab-b7f7-74da24678a8e</t>
  </si>
  <si>
    <t>3098a54f-64d1-4ac2-8427-4823c9b598fe</t>
  </si>
  <si>
    <t>7de26de7-6129-43b0-bb9e-a2cc94788ff8</t>
  </si>
  <si>
    <t>7af379a9-6bd7-430c-98a9-ebf4f8c2a42c</t>
  </si>
  <si>
    <t>6270dc18-7ec6-496c-a76c-a0ae7e46e387</t>
  </si>
  <si>
    <t>2feb3029-8c0b-4470-8580-85826163c1fd</t>
  </si>
  <si>
    <t>9294cdb6-60b7-4ea8-85ee-3de3e33393d3</t>
  </si>
  <si>
    <t>56d5f8c8-5b23-4b52-a5bb-13bfdd3e3ad3</t>
  </si>
  <si>
    <t>6b5a6f3a-643d-405c-9c67-f19325cdb2fb</t>
  </si>
  <si>
    <t>bf81f354-ff72-4ec8-acbf-0fd7848c5b44</t>
  </si>
  <si>
    <t>fa753e9b-ad0f-4fdf-8a4e-28b3ce727219</t>
  </si>
  <si>
    <t>1d8eb750-3204-45a3-acfb-67873190aa15</t>
  </si>
  <si>
    <t>c22af03c-86ac-4608-9eda-d84b2cde4ee6</t>
  </si>
  <si>
    <t>cf04f40e-84cd-4a1c-8c90-f866c6c9e3fe</t>
  </si>
  <si>
    <t>1b9e3d8e-37f6-413d-ad3a-8de8af298dd4</t>
  </si>
  <si>
    <t>9c905653-0282-452f-9d5c-71f889512cc9</t>
  </si>
  <si>
    <t>b73b4791-99c4-4946-95a2-b25eb181c472</t>
  </si>
  <si>
    <t>316ba8cf-1013-4787-af70-7902ad540ee9</t>
  </si>
  <si>
    <t>089654a8-d62a-454d-9766-5c380df3567b</t>
  </si>
  <si>
    <t>0d3a0563-91c2-4ff2-ab16-277b6779666f</t>
  </si>
  <si>
    <t>844e5018-500f-44a8-925e-54cf709183ef</t>
  </si>
  <si>
    <t>eaf079e6-37f7-43be-8f74-2cb9b707e286</t>
  </si>
  <si>
    <t>64721458-7b35-44ba-9e10-3e1ac507b8d5</t>
  </si>
  <si>
    <t>931fbba5-c978-4139-a811-e765fc3c5bb5</t>
  </si>
  <si>
    <t>b2d6faa7-fa2f-4d08-bf13-2231b0b5ccc1</t>
  </si>
  <si>
    <t>f0934472-42af-45df-ae87-3e771d457df5</t>
  </si>
  <si>
    <t>eee7cb27-b654-49a6-a1b9-f88d3c7b9812</t>
  </si>
  <si>
    <t>aac6e1de-a874-41c3-b896-5f758845c646</t>
  </si>
  <si>
    <t>2e7d0501-47a1-4ad0-8de7-19089fdfc1d4</t>
  </si>
  <si>
    <t>45980d20-6084-442e-92ce-91a60d115b9c</t>
  </si>
  <si>
    <t>65f490c3-0157-4c90-98d2-d4c8cd610e33</t>
  </si>
  <si>
    <t>435dbe60-cec1-4cb2-b1d3-b030b9d41646</t>
  </si>
  <si>
    <t>Daisy Tercenio</t>
  </si>
  <si>
    <t>dyter@canva.com</t>
  </si>
  <si>
    <t>09ead4e1-b27f-4405-b0b7-fa31a2405fa5</t>
  </si>
  <si>
    <t>b15b9f49-94cf-4cf9-8b55-af3fba9f692f</t>
  </si>
  <si>
    <t>bd4a7ecb-8911-4811-bf43-5f6ced05bbcc</t>
  </si>
  <si>
    <t>df39291d-46de-48ed-96e2-8d53932d9e68</t>
  </si>
  <si>
    <t>22b1627e-70a5-41ef-baf7-11a6f280deb1</t>
  </si>
  <si>
    <t>c3c87db2-4b27-4375-b0b4-b8147f9f8a2d</t>
  </si>
  <si>
    <t>5e55877f-26a0-4c51-a1b4-37c1f2d643b2</t>
  </si>
  <si>
    <t>b44262ec-a0e4-4865-a9da-c2c5edf752ee</t>
  </si>
  <si>
    <t>d88e16ba-7ce2-4b73-b302-776f6162b542</t>
  </si>
  <si>
    <t>c95b0e15-7b6a-402c-b13b-db3c1d2811d4</t>
  </si>
  <si>
    <t>211e8e3e-4e75-46a0-818f-e61ab32da81c</t>
  </si>
  <si>
    <t>c5eaedfe-e394-4697-9a0e-ca721a7fe001</t>
  </si>
  <si>
    <t>01985525-ab6f-4b24-baaf-ff5487d95cf4</t>
  </si>
  <si>
    <t>60a0b8f4-3259-4724-9a46-fd70fda5eea2</t>
  </si>
  <si>
    <t>59bf98d6-afdc-4a13-923b-cc31ede6d06e</t>
  </si>
  <si>
    <t>79917b2f-9802-4018-8418-dd05a9b1f665</t>
  </si>
  <si>
    <t>2b62246b-006a-4057-9233-b8447be242b2</t>
  </si>
  <si>
    <t>94745b8b-ca54-4a85-8b71-85ecf220bda3</t>
  </si>
  <si>
    <t>66c3510a-a727-4b12-ac94-471a7b8380c5</t>
  </si>
  <si>
    <t>0c4907ba-7b85-4f42-8afb-a62cdeb8fbd3</t>
  </si>
  <si>
    <t>Stephanie Lyn Tan</t>
  </si>
  <si>
    <t>stephanie.t@canva.com</t>
  </si>
  <si>
    <t>8bfcff1c-9d7b-49c7-8534-c3485cefbe4c</t>
  </si>
  <si>
    <t>075cf7d8-3e34-4287-9ada-7b4d4e2ae563</t>
  </si>
  <si>
    <t>8090d7f4-d9f4-4713-8b0b-75f32dc491b6</t>
  </si>
  <si>
    <t>f59d0ee8-edc0-4ae4-89cd-0d6b9bf731c6</t>
  </si>
  <si>
    <t>55d64be7-0f2e-47a7-bf9f-a21076bdcad4</t>
  </si>
  <si>
    <t>39292596-7f22-40f5-bc8c-6dd50b8d3d23</t>
  </si>
  <si>
    <t>145f4b73-c8d3-4d07-9ede-283d6a0ea5bc</t>
  </si>
  <si>
    <t>Websites: Modules 1-2</t>
  </si>
  <si>
    <t>974e4062-e3f9-4f37-8f1c-7debdfb31125</t>
  </si>
  <si>
    <t>777da1fc-4372-44bb-9995-5f620683dfcf</t>
  </si>
  <si>
    <t>bfb8ec3a-8567-4f92-8b00-fc7686ba245c</t>
  </si>
  <si>
    <t>5ef45810-5ee3-4b58-b9a9-41b39da33cc9</t>
  </si>
  <si>
    <t>Websites: Modules 3-4</t>
  </si>
  <si>
    <t>0dd8c08e-54db-4f64-8b9d-4cbe55ff838b</t>
  </si>
  <si>
    <t>e3209b45-0b2a-4c9c-a3cc-c6094fc28189</t>
  </si>
  <si>
    <t>a9c97450-7772-48a7-9a90-f2523e256839</t>
  </si>
  <si>
    <t>7629c96a-96f5-494c-82a3-5165f467e390</t>
  </si>
  <si>
    <t>997eb906-6a47-41e2-bfae-648bf37908b4</t>
  </si>
  <si>
    <t>f4fbade0-d7a0-4078-8e85-129721f466cb</t>
  </si>
  <si>
    <t>78c7c4e9-45b2-4237-8863-d9bbe9876ad5</t>
  </si>
  <si>
    <t>75e3aa7b-03d7-4193-88df-7bfc98ad2217</t>
  </si>
  <si>
    <t>68027150-37ee-48bc-8dee-e459591aca37</t>
  </si>
  <si>
    <t>Ice Montecillo-Tamayo</t>
  </si>
  <si>
    <t>icetamayo@canva.com</t>
  </si>
  <si>
    <t>7fea0485-c25c-4a15-a986-ce4e3cbae7a6</t>
  </si>
  <si>
    <t>52a73840-b10b-4885-b628-e1dd07f5b520</t>
  </si>
  <si>
    <t>402dd33e-c3b1-406a-8ed2-ce77a8e16356</t>
  </si>
  <si>
    <t>3a1d7b46-e5ff-4afd-a176-911237008de0</t>
  </si>
  <si>
    <t>b548cf9c-790d-4723-b5ca-8d82a8d644a4</t>
  </si>
  <si>
    <t>8d7ac11e-799a-4717-9d21-c0d22dcaa5c4</t>
  </si>
  <si>
    <t>f66665bd-ae50-44c6-9fe6-f28c28f2431e</t>
  </si>
  <si>
    <t>e301ae2c-7c55-4675-b1d6-7d4171e21057</t>
  </si>
  <si>
    <t>45f6927c-6b67-4dad-bc2a-74d75cf4d71b</t>
  </si>
  <si>
    <t>d20e7155-ad62-4d3f-8aad-6d6e97c44c0d</t>
  </si>
  <si>
    <t>26cf8d7c-4b93-4e4a-a24b-e3b1121b7269</t>
  </si>
  <si>
    <t>fe47965f-2191-4266-bc0c-36243ba14a96</t>
  </si>
  <si>
    <t>02467a7c-041d-45ec-98c5-322c9e0005a0</t>
  </si>
  <si>
    <t>a5452e4e-0001-4f0e-b9fe-39f4d9edbedd</t>
  </si>
  <si>
    <t>54e5155e-1540-4f7f-b455-2e070e149aa8</t>
  </si>
  <si>
    <t>a2001b93-226d-4a96-8a70-ec851e690f8d</t>
  </si>
  <si>
    <t>74a0fb2d-e220-458a-9447-990ceaac5b98</t>
  </si>
  <si>
    <t>a90dc9d4-4c5a-4113-b141-357dcb6c62f8</t>
  </si>
  <si>
    <t>d40708b9-fc6e-4db7-82e9-bdf630658760</t>
  </si>
  <si>
    <t>2e02c19e-90ca-444c-b95c-44b78337fdf7</t>
  </si>
  <si>
    <t>88f53bf2-28c8-4885-8d0d-51b449c7ee2e</t>
  </si>
  <si>
    <t>95c31749-4ca7-44a8-ad0e-1b740c01ce9c</t>
  </si>
  <si>
    <t>0a760e6d-f69c-4cfc-a59a-917274456550</t>
  </si>
  <si>
    <t>Sunshine Remo</t>
  </si>
  <si>
    <t>sremo@canva.com</t>
  </si>
  <si>
    <t>5c6c37df-c037-4bd4-bb95-6c8ffce290ad</t>
  </si>
  <si>
    <t>1f98c1f6-dc96-434d-9d8d-0a1612323d79</t>
  </si>
  <si>
    <t>71b7906f-370c-4424-adb1-94b7fbf01eac</t>
  </si>
  <si>
    <t>f5eba002-52e6-4fd9-bb41-a1685d656d6a</t>
  </si>
  <si>
    <t>a546c7da-506d-4489-8634-3d800ac00777</t>
  </si>
  <si>
    <t>1bdb414d-4a22-423d-9705-77c043f4c428</t>
  </si>
  <si>
    <t>c9be44db-e1c2-4d23-9e92-3457f493621e</t>
  </si>
  <si>
    <t>2a03b71b-9bf6-4f74-b0e5-4bea5a8aac76</t>
  </si>
  <si>
    <t>e45b7d3d-2d5c-4660-8c4b-0cfe176daf8e</t>
  </si>
  <si>
    <t>2eb01c34-c0e8-485a-b406-449b93f15d35</t>
  </si>
  <si>
    <t>f75160b9-7ce0-46f3-aead-751b89c5050b</t>
  </si>
  <si>
    <t>c9f2f679-7cd3-4a77-837d-322acfdc7ad7</t>
  </si>
  <si>
    <t>d3057e0a-4acb-4190-aade-edfe1d2d3a17</t>
  </si>
  <si>
    <t>ef0d73e3-05b4-41c8-bba2-06883119c736</t>
  </si>
  <si>
    <t>bc332522-e418-4a47-938e-f33fd51c4e6b</t>
  </si>
  <si>
    <t>15a64504-f6d5-43af-b0d2-08ac8942bbef</t>
  </si>
  <si>
    <t>f2c64b46-5201-4862-b463-0124222239b5</t>
  </si>
  <si>
    <t>183d1b54-54e6-4e85-8c28-017f7bdc62db</t>
  </si>
  <si>
    <t>47a8f03b-6474-4898-acf2-5c75c6c1d018</t>
  </si>
  <si>
    <t>1762c577-1166-4686-9b72-b1ec21cb1536</t>
  </si>
  <si>
    <t>ac53cf92-13d7-432c-93b1-11074b6bfac8</t>
  </si>
  <si>
    <t>ff2e72a8-37a0-4e4b-b975-986122969441</t>
  </si>
  <si>
    <t>136c4a09-22dc-4633-bdf6-74e4223bb920</t>
  </si>
  <si>
    <t>2e02f757-04e8-4fd1-802a-532e562d600e</t>
  </si>
  <si>
    <t>57ff0e9c-1ff2-453c-ba51-bd95a9f7b2f3</t>
  </si>
  <si>
    <t>c8e55408-25ee-4a44-8ce9-51811fa8026a</t>
  </si>
  <si>
    <t>0a8eade5-f55e-4b55-9dca-c83c736a8818</t>
  </si>
  <si>
    <t>Thea Gelua</t>
  </si>
  <si>
    <t>theag@canva.com</t>
  </si>
  <si>
    <t>345c9c0b-d0dd-4ab2-9c95-2f3f80a2f3ad</t>
  </si>
  <si>
    <t>382a44ff-a2fe-4747-8aba-211afe1709d9</t>
  </si>
  <si>
    <t>6f10f434-db81-468d-9511-9e58b9750e2b</t>
  </si>
  <si>
    <t>638229c9-1f6c-4880-a349-202bac05173b</t>
  </si>
  <si>
    <t>2464b74e-87b5-49ba-9305-9c079a35fe96</t>
  </si>
  <si>
    <t>1997f10f-7281-4eee-bb7e-df033d352c3b</t>
  </si>
  <si>
    <t>02b73403-6370-4e59-ad5f-690d0fbfda56</t>
  </si>
  <si>
    <t>62d6e4ca-850f-4fa6-a4ac-ee30be0a7c79</t>
  </si>
  <si>
    <t>f16dfb59-6a5d-4130-91de-d5fde07690d6</t>
  </si>
  <si>
    <t>fba036f3-0052-4087-9ffe-3f4fb83d0403</t>
  </si>
  <si>
    <t>b937e8b8-f566-4c82-9c78-575f87a5a5b6</t>
  </si>
  <si>
    <t>a8a186c1-934e-434a-97ed-ce087b9700c7</t>
  </si>
  <si>
    <t>f2fb9f6e-4e6f-483f-a851-35bfec2c2a51</t>
  </si>
  <si>
    <t>3cedd48e-97c6-4f43-849d-684784798b41</t>
  </si>
  <si>
    <t>1dcb8f0c-be98-4f35-aac9-456867ac7d99</t>
  </si>
  <si>
    <t>303ac96d-589b-4eb9-afc0-f1c70ccf5ddc</t>
  </si>
  <si>
    <t>3083f77a-6f13-4f0e-ba67-5bc09b5d7e1b</t>
  </si>
  <si>
    <t>c97d0fa5-a60e-49e6-82bd-d84bca946fd0</t>
  </si>
  <si>
    <t>8c2da7db-6922-4a5b-bb47-27e9b3662f41</t>
  </si>
  <si>
    <t>5aed746e-cb5c-469a-8821-9e6506c7b9e6</t>
  </si>
  <si>
    <t>Jian Paula Inocencio</t>
  </si>
  <si>
    <t>jian@canva.com</t>
  </si>
  <si>
    <t>a4f8e539-d330-49a5-b636-675a571b59b5</t>
  </si>
  <si>
    <t>91d3cc36-9c56-472f-b8d3-449ff1170c16</t>
  </si>
  <si>
    <t>0aae3fbc-9b5f-448f-ac3f-ab65bfc086bc</t>
  </si>
  <si>
    <t>Adjustment</t>
  </si>
  <si>
    <t>33258ec3-b74a-4edb-b451-8c8baf2bee2c</t>
  </si>
  <si>
    <t>b93aac43-0576-4369-acb4-49ef9e2e66a8</t>
  </si>
  <si>
    <t>6e2a087a-fff8-4b06-a83d-70b565ece14d</t>
  </si>
  <si>
    <t>a1159d86-f0b6-4ba6-a312-bc390b22deed</t>
  </si>
  <si>
    <t>3f332666-31b9-4f78-bfce-5f39bfa306ff</t>
  </si>
  <si>
    <t>5b56ad03-7af8-4462-9386-ff85dab1dfbd</t>
  </si>
  <si>
    <t>54dcd2b5-590a-4345-8bbf-61787e9adab6</t>
  </si>
  <si>
    <t>5a1cd463-aadb-4c15-8e1c-084fdd467bd7</t>
  </si>
  <si>
    <t>c3aa89a0-5390-4ed2-8d51-f91f2e6df866</t>
  </si>
  <si>
    <t>45a8e450-200e-4a0c-aa74-badb9774b4fe</t>
  </si>
  <si>
    <t>b4404059-6ab6-4d54-877a-62fdd91edacb</t>
  </si>
  <si>
    <t>524616e9-3ff1-4946-988f-37886a84c4aa</t>
  </si>
  <si>
    <t>1d2e3142-a050-4fbb-a410-9ffb0651dc78</t>
  </si>
  <si>
    <t>4bedc62c-89c9-4257-8744-b7b68d030216</t>
  </si>
  <si>
    <t>10a23a71-13c4-401c-acd3-4094dd9daa50</t>
  </si>
  <si>
    <t>68074a60-5069-48e6-814a-ea97b97473f6</t>
  </si>
  <si>
    <t>1adc957b-1980-4034-a40f-bc0f5e4d4fb6</t>
  </si>
  <si>
    <t>a1fb25e4-c824-4689-b301-dc94f6ef16b8</t>
  </si>
  <si>
    <t>98326c76-87c9-4e59-a377-8cc144d863d0</t>
  </si>
  <si>
    <t>Alyssa Martin-Silao</t>
  </si>
  <si>
    <t>alyssam@canva.com</t>
  </si>
  <si>
    <t>740357e0-315b-4de2-a273-32be6d4b44d5</t>
  </si>
  <si>
    <t>3188ac0f-0e9d-4647-bba0-c12104f8b57f</t>
  </si>
  <si>
    <t>7612ac13-761c-4347-ad41-c6d9c5e9e74a</t>
  </si>
  <si>
    <t>be480f50-6da4-40b7-a8a4-276f13c97b93</t>
  </si>
  <si>
    <t>5798ed7e-dc57-49da-80d9-7c08692919e7</t>
  </si>
  <si>
    <t>6b6d5c80-c8ad-44fe-a512-a7c039d45691</t>
  </si>
  <si>
    <t>f5b9fba5-b2ed-4d41-a14c-8e2714ed4e52</t>
  </si>
  <si>
    <t>c48097aa-c79b-43c0-baa8-165dc3868157</t>
  </si>
  <si>
    <t>62fd2cf6-5f37-44b2-9ceb-3e0da18f7e97</t>
  </si>
  <si>
    <t>9451a07c-3dda-4e2c-b850-84e523c838a5</t>
  </si>
  <si>
    <t>0dfbe42d-3e76-40d9-abe8-0db638bac5f4</t>
  </si>
  <si>
    <t>3a150d98-7fe7-492e-a61f-7efe040ed39e</t>
  </si>
  <si>
    <t>50cb04b5-a1d3-47fc-b082-a74784467139</t>
  </si>
  <si>
    <t>7cb29b4e-d729-4d59-822e-98f129d434f4</t>
  </si>
  <si>
    <t>26c5f757-e47e-4ccb-b03f-5e08843aa6ea</t>
  </si>
  <si>
    <t>f65569af-c2ca-4b76-977c-e3368461ab7d</t>
  </si>
  <si>
    <t>9533d7a4-8541-47c6-acfb-486cddbd56ea</t>
  </si>
  <si>
    <t>f75dca18-5433-4f6b-9b08-67e583e4e9d2</t>
  </si>
  <si>
    <t>618f1bf8-5458-45df-85f7-93c4f29332f8</t>
  </si>
  <si>
    <t>Angel Medina</t>
  </si>
  <si>
    <t>angelm@canva.com</t>
  </si>
  <si>
    <t>6c292fa5-a9e7-456a-9b2c-9837c5fc6487</t>
  </si>
  <si>
    <t>99a61295-0dfb-492c-a830-bd873ef389d1</t>
  </si>
  <si>
    <t>Meeting with Ed</t>
  </si>
  <si>
    <t>cc2ae50e-c7fa-4f66-87b6-636688d31ca0</t>
  </si>
  <si>
    <t>60178e23-36d5-4b83-8f8e-e9fcbe7cec4d</t>
  </si>
  <si>
    <t>20e98d01-f1e1-498f-b493-6f4214c71350</t>
  </si>
  <si>
    <t>f02e788f-d285-4fb9-922d-267005a4b3b8</t>
  </si>
  <si>
    <t>ffd14821-c8be-4acb-b43d-30f2f2d702f0</t>
  </si>
  <si>
    <t>dc3bafdb-8339-4400-af73-39ff3b6bd228</t>
  </si>
  <si>
    <t>9d4f0c65-fb53-4463-a1af-1ac303941cf7</t>
  </si>
  <si>
    <t>d93634ca-8212-42eb-9783-46de5611e685</t>
  </si>
  <si>
    <t>421fdc61-4dba-4a81-8283-fb5d5c961816</t>
  </si>
  <si>
    <t>431bcac5-1e9b-4445-bda3-c43a2bcbc904</t>
  </si>
  <si>
    <t>c145040b-3562-4d8c-a863-30386a7856e2</t>
  </si>
  <si>
    <t>CPSET sync</t>
  </si>
  <si>
    <t>a6aa6586-0968-4200-aa05-98844fda08e0</t>
  </si>
  <si>
    <t>c94d95b8-edda-4e6d-a49f-8f0a8d7eb229</t>
  </si>
  <si>
    <t>38d6702f-a4c2-4aa6-b9e7-1d2ec8f629ba</t>
  </si>
  <si>
    <t>d53c2a12-ef6f-4991-a6a7-4e0f5884ed11</t>
  </si>
  <si>
    <t>28327ed8-a595-4c9e-a120-29d047bb9046</t>
  </si>
  <si>
    <t>9fa75292-6908-4698-b782-5e39b763aac8</t>
  </si>
  <si>
    <t>1e6c088f-7fca-4696-9736-1b21fb64f67d</t>
  </si>
  <si>
    <t>882728e7-e3d5-4a8e-870e-7c10a1b19455</t>
  </si>
  <si>
    <t>e8d682b8-2082-4b7e-a143-4db447d4c876</t>
  </si>
  <si>
    <t>12836219-3843-4d4a-8096-9c54f9394619</t>
  </si>
  <si>
    <t>1fa745a7-9656-4fbe-b958-ad607f376bdb</t>
  </si>
  <si>
    <t>0cc61976-099e-4704-9248-c0d612333122</t>
  </si>
  <si>
    <t>Gernie Pascua</t>
  </si>
  <si>
    <t>gpascua@canva.com</t>
  </si>
  <si>
    <t>be9d614b-e90b-439d-a027-523b080a0a51</t>
  </si>
  <si>
    <t>d83196e8-a41c-4d5e-b171-5e569b2efc87</t>
  </si>
  <si>
    <t>Unified Escalation Process</t>
  </si>
  <si>
    <t>b30537ea-1e33-4323-a593-2bc3a2d6a2f9</t>
  </si>
  <si>
    <t>a2dcc3c5-ccf4-4d5a-a715-39df00c4aa98</t>
  </si>
  <si>
    <t>6384ee1a-b67d-4b01-8c72-2d630ab9a6d3</t>
  </si>
  <si>
    <t>Half day SL</t>
  </si>
  <si>
    <t>918845c6-394b-4d7b-9610-4c7c88c84784</t>
  </si>
  <si>
    <t>c2629c06-b509-4baf-ad3a-aca0a5b09c7e</t>
  </si>
  <si>
    <t>6851f7a2-660b-48fe-926b-f68c7c7304bb</t>
  </si>
  <si>
    <t>dfe540f3-1c04-4d7a-a985-5cb6cd9cd998</t>
  </si>
  <si>
    <t>62669704-351e-4e9e-a496-ee1fa7c86dcb</t>
  </si>
  <si>
    <t>d817a8e7-5a16-4980-9f3c-557f75da28b3</t>
  </si>
  <si>
    <t>f70e4eb0-2ebb-48af-a10a-08a011fbda58</t>
  </si>
  <si>
    <t>73f15822-a0c8-4262-b014-ece3a8db43ff</t>
  </si>
  <si>
    <t>c9544914-078f-4af1-bcea-1b00707c572d</t>
  </si>
  <si>
    <t>a6de9908-72be-4af5-9f1b-e1a25529b4ac</t>
  </si>
  <si>
    <t xml:space="preserve">Internal Refunds Process update
Design Access Consent and Handling UCM Escalations Training </t>
  </si>
  <si>
    <t>2614b679-58ed-4990-9302-74a4d230fd41</t>
  </si>
  <si>
    <t>897759ab-3a89-4671-ada0-f2559c94bb5d</t>
  </si>
  <si>
    <t>e7b3db02-5b3d-4cf4-bda2-beda79c43929</t>
  </si>
  <si>
    <t>7f82b0a7-a3a6-498f-8947-3b0f5e37eb96</t>
  </si>
  <si>
    <t>2b797942-8a99-4c09-9071-1dc7cfbb3cc9</t>
  </si>
  <si>
    <t>069a7bbe-48ba-4076-a9e0-12350bff3914</t>
  </si>
  <si>
    <t>73125020-63ce-4659-b461-9fb77501bcf0</t>
  </si>
  <si>
    <t>b812482b-965c-4caf-8b99-0589e19ebaf2</t>
  </si>
  <si>
    <t>f50fbbc2-dd69-4ce6-ae42-b6c9600c1da2</t>
  </si>
  <si>
    <t>1b575119-0676-43ae-91be-9649aedd3754</t>
  </si>
  <si>
    <t>a5566f0b-0c7b-4dd5-a5bf-cc571ed45f36</t>
  </si>
  <si>
    <t>Jill Linco</t>
  </si>
  <si>
    <t>jilll@canva.com</t>
  </si>
  <si>
    <t>5fa67647-f502-41a3-8e6a-3a849dfb8466</t>
  </si>
  <si>
    <t>06bf515f-455a-4dbc-83a6-4eba29a9d285</t>
  </si>
  <si>
    <t>8c9b7121-5165-4f39-9ae6-b0116d08f6c1</t>
  </si>
  <si>
    <t>020ec52c-4319-477d-bb39-4e2f93f5aaf2</t>
  </si>
  <si>
    <t>b6b728ef-c9f5-4067-9095-1d60b8c42a2c</t>
  </si>
  <si>
    <t>8f3253be-100e-4053-9c59-2b98838f47d4</t>
  </si>
  <si>
    <t>06f86482-2ed9-4c3f-9b81-9a154e71cd09</t>
  </si>
  <si>
    <t>4c21f074-2f7c-4a06-8307-1cee4ed91f05</t>
  </si>
  <si>
    <t>13481291-7e71-4a6a-8d99-51210223604c</t>
  </si>
  <si>
    <t>57c3eaad-34ad-47ee-84a4-614726de807d</t>
  </si>
  <si>
    <t>a02c3575-3b50-4391-84f4-fa64a6021c78</t>
  </si>
  <si>
    <t>172bbc09-c0a8-485b-9316-b8cb664aa237</t>
  </si>
  <si>
    <t>45e979c6-7704-4af7-94aa-fac4a8e9374f</t>
  </si>
  <si>
    <t>f6fa3595-eaa1-4c54-be8d-918c3e5be0b3</t>
  </si>
  <si>
    <t>9be10f2b-565c-4b11-b290-e6b7fce6305c</t>
  </si>
  <si>
    <t>65847429-4c21-40ed-880a-b7a540b28bd7</t>
  </si>
  <si>
    <t>971a23d3-e489-4ec1-a3fe-2430bc7fb52e</t>
  </si>
  <si>
    <t>8edf16dd-656c-4dbc-8c39-f3d7ec882d7b</t>
  </si>
  <si>
    <t>9dea0f97-8617-409c-be7a-ebe729fd58d2</t>
  </si>
  <si>
    <t>89a7f86b-e338-424b-9ae2-6a896bf20eeb</t>
  </si>
  <si>
    <t>ec858a88-ded8-4955-95e3-53f6e2e49129</t>
  </si>
  <si>
    <t>f955e205-68df-47fa-8f47-3ee8758dc76e</t>
  </si>
  <si>
    <t>John Pieda</t>
  </si>
  <si>
    <t>khael@canva.com</t>
  </si>
  <si>
    <t>585949e3-ccf9-4b3c-bb3b-fa6cb56f9c7c</t>
  </si>
  <si>
    <t>8e8021d4-5f37-4891-9fb0-14449a7d7ff3</t>
  </si>
  <si>
    <t>66f7ae4f-03f1-40ca-b048-825029c25e35</t>
  </si>
  <si>
    <t>9d2e343b-a6c0-4d2f-9ebb-ab1fe8ae79b2</t>
  </si>
  <si>
    <t>ee73219b-c348-496f-954b-6f460b2ddad4</t>
  </si>
  <si>
    <t>8eaa2c41-57f9-4354-87bd-eca8e91e7659</t>
  </si>
  <si>
    <t>2bb35c54-7d4b-4182-a483-9127880397f1</t>
  </si>
  <si>
    <t>800db9aa-0ad4-4e6e-a19c-60914ae07833</t>
  </si>
  <si>
    <t>1421e75c-a174-448a-bfa8-fc2f888ef145</t>
  </si>
  <si>
    <t>281de52c-db1d-452c-931d-6d2749b739ce</t>
  </si>
  <si>
    <t>2c43642b-634f-483f-a9fa-223df40c04ac</t>
  </si>
  <si>
    <t>de15a999-b9b5-40b4-9b0e-593ebc339f70</t>
  </si>
  <si>
    <t>a002a533-57a5-4b1d-a9ff-0e4963735b3e</t>
  </si>
  <si>
    <t>3a5a6ab5-8abf-422b-9670-8975c03a0818</t>
  </si>
  <si>
    <t>5a10dcb3-04e3-4fab-a60f-28b22ad13e3c</t>
  </si>
  <si>
    <t>b0a31ce3-30cd-454e-b76b-f8601478bc59</t>
  </si>
  <si>
    <t>548a8da3-4055-43ab-88fe-06225b4baa20</t>
  </si>
  <si>
    <t>c3b7bda1-9e24-4582-b5f3-aa3e618d829f</t>
  </si>
  <si>
    <t>260e6d3c-1424-4e58-acd0-86c550742aa3</t>
  </si>
  <si>
    <t>92bfdf9d-3788-475c-8850-2bef3cf88e62</t>
  </si>
  <si>
    <t>642a3c87-bd5f-4f25-abc7-38617776c120</t>
  </si>
  <si>
    <t>b957b658-a811-4e29-8f50-18ff3b231fa3</t>
  </si>
  <si>
    <t>a004c35d-c072-4eed-b0d1-000132edb099</t>
  </si>
  <si>
    <t>405c3a9a-c356-420d-8941-12c39e6a224b</t>
  </si>
  <si>
    <t>e671064b-f7c1-43b7-8006-fb5fc18fe059</t>
  </si>
  <si>
    <t>7e349a5c-dab6-4744-817b-097d3391499c</t>
  </si>
  <si>
    <t>216267fa-9b5c-48fe-8fd3-3de3ff2c12bf</t>
  </si>
  <si>
    <t>a4a7e042-4cbb-4949-b48a-3e7cebaa50f9</t>
  </si>
  <si>
    <t>604c54d4-8d19-496e-8669-bfaadab82ef0</t>
  </si>
  <si>
    <t>51a1e553-f84a-4731-b5fd-7b2329946979</t>
  </si>
  <si>
    <t>dcaab49f-1710-4e58-8649-a5de38de97f8</t>
  </si>
  <si>
    <t>03738c45-2c9f-44bf-bb4b-58a2fe9fdf5d</t>
  </si>
  <si>
    <t>Robin Suico</t>
  </si>
  <si>
    <t>robsuico@canva.com</t>
  </si>
  <si>
    <t>8b903375-3984-4f33-b797-6691452ac2ac</t>
  </si>
  <si>
    <t>6169fe99-a3b2-427e-a43a-0415694455c8</t>
  </si>
  <si>
    <t>10612a32-0ceb-4a93-b2e3-e0aab6c7d522</t>
  </si>
  <si>
    <t>cdcfd59a-a985-4963-8e60-13f822f3c423</t>
  </si>
  <si>
    <t>00411f83-ae76-41ad-82f2-e9ba5d991b84</t>
  </si>
  <si>
    <t>057f8fb3-5fde-43c9-986c-80926f7af521</t>
  </si>
  <si>
    <t>e959de61-33db-42fb-9dc8-0d50db682c25</t>
  </si>
  <si>
    <t>b2af3f20-c980-46db-b4f4-2d3d4e6277c2</t>
  </si>
  <si>
    <t>88bed150-c3b4-4e6b-852a-dec6ccba6af2</t>
  </si>
  <si>
    <t>932acbd3-585e-403c-b58c-5543c244ffa6</t>
  </si>
  <si>
    <t>97dc6e44-4153-4320-94b9-2c4122c13040</t>
  </si>
  <si>
    <t>eb2d1d36-2b88-435b-9fd5-41cbb0f000df</t>
  </si>
  <si>
    <t>a415be22-959e-4124-8907-ed3b9e4e78d7</t>
  </si>
  <si>
    <t>825ab501-e25d-4f03-bdbd-c8df4a91886d</t>
  </si>
  <si>
    <t>2b3518e5-fdda-4173-a164-d84af5ac6ec6</t>
  </si>
  <si>
    <t>223f3a84-f42c-4a65-9dec-d1da9ce00aa8</t>
  </si>
  <si>
    <t>9e95c70c-c855-4f99-af0b-f6c152d39759</t>
  </si>
  <si>
    <t>1bd6f963-5f34-47a1-aa3f-edba34693e0c</t>
  </si>
  <si>
    <t>2ef81df5-9b28-4a55-afa7-ac85798fd8e1</t>
  </si>
  <si>
    <t>79e02a7b-9bef-46ba-bb36-5724eaa97b1f</t>
  </si>
  <si>
    <t>48061317-e9a1-4248-ae04-de1b3c489516</t>
  </si>
  <si>
    <t>401decdb-f75b-4a14-b011-09531fe185a3</t>
  </si>
  <si>
    <t>d9cfc12e-6b04-430c-bb3b-22b9d67ee77c</t>
  </si>
  <si>
    <t>Darrel Marcelino</t>
  </si>
  <si>
    <t>darrelm@canva.com</t>
  </si>
  <si>
    <t>1c0d151f-79d6-4200-9393-86740cfb02d3</t>
  </si>
  <si>
    <t>fa297a36-fc83-4793-b161-6459225651e1</t>
  </si>
  <si>
    <t>1814d563-c72a-4dc7-8eae-d47b3700ef73</t>
  </si>
  <si>
    <t>2ee59efb-9c62-46a5-809d-bb4042978f36</t>
  </si>
  <si>
    <t>0b5fcf6b-13c8-4533-878b-c620a7566533</t>
  </si>
  <si>
    <t>e16b5b7d-9ed3-41a3-8913-10b3daced575</t>
  </si>
  <si>
    <t>efe577f2-1e22-4461-98f8-29a010661421</t>
  </si>
  <si>
    <t>6671dd7a-1e8b-426b-bfdd-94e1df4eb7b0</t>
  </si>
  <si>
    <t>ce24c1b8-a33e-4d35-a09f-24d0fb79a8a9</t>
  </si>
  <si>
    <t>64dc810f-e4c3-4c92-88d6-a9d2bd532d18</t>
  </si>
  <si>
    <t>2f04b2aa-0578-4ff5-89b2-a9d5a62f0bc0</t>
  </si>
  <si>
    <t>bf83fcd1-9be2-40b9-bac0-7f3b35738983</t>
  </si>
  <si>
    <t>f023dd3e-5968-457c-ac68-8a17e7e1fd45</t>
  </si>
  <si>
    <t>027b5c92-491d-4b4a-9bad-d775ca57c79e</t>
  </si>
  <si>
    <t>b0054d2b-287e-412c-b07f-e63dfb0611b3</t>
  </si>
  <si>
    <t>d40bf018-1c5c-46f6-806f-474b3331da20</t>
  </si>
  <si>
    <t>0abe63d0-e04b-4d2e-becb-5f989eacc6f1</t>
  </si>
  <si>
    <t>86261378-d48b-4686-b8c4-a1f108154390</t>
  </si>
  <si>
    <t>96dba4a7-5bdc-4a5d-96f3-bc7fe645a058</t>
  </si>
  <si>
    <t>65f2fdc2-d34c-42da-9862-3d1ffd0f1719</t>
  </si>
  <si>
    <t>4419d1e9-410a-4c8d-9eac-090f51ab8a0e</t>
  </si>
  <si>
    <t>b8aa8c57-f7e8-4269-987f-4403fc799ebe</t>
  </si>
  <si>
    <t>380a79ea-ec34-4f1e-8e0d-956fd779310f</t>
  </si>
  <si>
    <t>57734d61-c56f-4a2a-acf1-8871f1ab97e5</t>
  </si>
  <si>
    <t>5b68392a-d57e-4832-836e-5ad49f0ccfc0</t>
  </si>
  <si>
    <t>8be19d56-b51f-4611-bbf5-157d595a1fe5</t>
  </si>
  <si>
    <t>1c5185a3-9c34-47ea-b16e-d574b79913b3</t>
  </si>
  <si>
    <t>34444ae6-ef1e-42dc-a993-d46afc9600ee</t>
  </si>
  <si>
    <t>fe779cef-2c7e-4da2-9690-0bcd1a9dcd06</t>
  </si>
  <si>
    <t>1b648f06-6052-43c7-8e9a-a9caf0d59420</t>
  </si>
  <si>
    <t>93c34efb-d8cf-47df-9ed5-5ebb3c04db78</t>
  </si>
  <si>
    <t>3fbbcf39-0051-4232-8c80-be2246c939ed</t>
  </si>
  <si>
    <t>26617851-4194-4cce-b886-ff2792a87304</t>
  </si>
  <si>
    <t>a08015cc-c609-4b83-ae5b-347394dbc97b</t>
  </si>
  <si>
    <t>7165c42f-4bcc-4f38-99be-14461c3b7089</t>
  </si>
  <si>
    <t>7011bcb8-7b6f-4517-bb2c-b11859d624c8</t>
  </si>
  <si>
    <t>0c7684aa-ad05-4875-bde3-5639a1254520</t>
  </si>
  <si>
    <t>16a69858-0559-41fb-abe2-6f4a6e63b451</t>
  </si>
  <si>
    <t>e87c0178-204a-45d3-859c-cce345e6ea33</t>
  </si>
  <si>
    <t>709dd56f-085e-40c8-90b2-6a842fd48b92</t>
  </si>
  <si>
    <t>69750ec7-02b3-4aa0-bfef-30bc8404388f</t>
  </si>
  <si>
    <t>79b2dd37-2e3f-426c-b68d-19fd7c4afcc9</t>
  </si>
  <si>
    <t>ae1d67e5-6619-4d1c-81f9-1a1f5132d013</t>
  </si>
  <si>
    <t>cdec3d00-0733-48cc-9fe2-f939aebadab3</t>
  </si>
  <si>
    <t>11f11d92-5e22-4e77-bab8-5accc10b41f1</t>
  </si>
  <si>
    <t>10e91a0d-a2d3-42e3-b3e0-74197e2da6c9</t>
  </si>
  <si>
    <t>b0b67569-b1ae-46d9-909e-c76d9952e288</t>
  </si>
  <si>
    <t>8d77af1a-d47d-4a48-ac46-507e351d1656</t>
  </si>
  <si>
    <t>aa52ee2d-7113-46cc-b4f7-9559b9f32715</t>
  </si>
  <si>
    <t>d0202a1b-82fc-49a2-bcf2-5aa48bb1f6d0</t>
  </si>
  <si>
    <t>a5bbd1df-a898-4783-9559-71b2fe0305ba</t>
  </si>
  <si>
    <t>71b3129f-b5a6-4455-bcf4-3e2b8ac4f5c9</t>
  </si>
  <si>
    <t>673f81ee-cdb0-4bc6-a2ee-1bbaef7f0343</t>
  </si>
  <si>
    <t>964aab1e-8b74-4e43-bbcf-d0f804baee85</t>
  </si>
  <si>
    <t>cb1032b2-a573-43a3-be47-b0f9bea722fc</t>
  </si>
  <si>
    <t>fd1b5b2e-1efe-4dab-bb42-cfe0d7adbc02</t>
  </si>
  <si>
    <t>c820e1fc-beb6-4717-9c90-4230885ee262</t>
  </si>
  <si>
    <t>3feb6f48-492d-4834-add8-9bd350919630</t>
  </si>
  <si>
    <t>00be8036-de23-4dcc-a683-b039df965fa3</t>
  </si>
  <si>
    <t>Jonah Ezra Vergara</t>
  </si>
  <si>
    <t>jonahezra@canva.com</t>
  </si>
  <si>
    <t>9320a071-1b10-439a-afa5-8d94600a5461</t>
  </si>
  <si>
    <t>412cb100-7dc8-40cc-bffa-cc58b8f1e014</t>
  </si>
  <si>
    <t>4ae3ae03-fccf-40bc-8bf1-8e4e6081081f</t>
  </si>
  <si>
    <t>7e1fa443-fc75-4a31-b177-62d74879a004</t>
  </si>
  <si>
    <t>ddbf97aa-1760-4d64-aa81-a68273564d70</t>
  </si>
  <si>
    <t>a66f9e18-44d1-4a11-978d-1a0b0e8403cf</t>
  </si>
  <si>
    <t>865ad50a-4db5-4e42-a097-0c9ff13a771b</t>
  </si>
  <si>
    <t>755ab848-a0e3-4ab4-97ca-ca2332b38621</t>
  </si>
  <si>
    <t>f7c67b57-e0ee-4c25-854c-cbd3b133f84e</t>
  </si>
  <si>
    <t>b44accae-172c-48d0-aa1f-61d3a7824c91</t>
  </si>
  <si>
    <t>0c2cf53d-dbff-42b3-8a17-98b4d338b54f</t>
  </si>
  <si>
    <t>ab571fce-bcbe-41b0-ae91-73cdf0d99370</t>
  </si>
  <si>
    <t>ced4ffad-692e-418e-92d7-d14dc46a5ac0</t>
  </si>
  <si>
    <t>c491fb7f-f109-4537-9e81-8148f84d693a</t>
  </si>
  <si>
    <t>2540d479-3649-4bdc-8bd0-ad9de1eae6cc</t>
  </si>
  <si>
    <t>e2213c80-cb78-4fea-ad96-1d662bf0ff54</t>
  </si>
  <si>
    <t>8dd5b933-0ddf-4b1e-b1ad-1dce5d5ba26c</t>
  </si>
  <si>
    <t>24acd4da-ad5a-4e49-8115-4750d9e273f8</t>
  </si>
  <si>
    <t>2f01d0bb-19b6-4b03-8a29-13dc4ae4d3ff</t>
  </si>
  <si>
    <t>61f0dc3d-e072-44f1-9322-d51b98e1d00b</t>
  </si>
  <si>
    <t>e7e38e22-8121-4f1b-bcd7-b6020d737a09</t>
  </si>
  <si>
    <t>c63451a7-e8a8-4d1f-a6dd-42cf92718ef2</t>
  </si>
  <si>
    <t>b5bf3764-4c76-47b7-b10d-b1f8e9a0087e</t>
  </si>
  <si>
    <t>Jose Antiquin</t>
  </si>
  <si>
    <t>quin@canva.com</t>
  </si>
  <si>
    <t>3245d91e-34c4-40bd-ab30-eb5da68a2480</t>
  </si>
  <si>
    <t>aef4ac7b-6846-4a19-a57b-beb475becbcc</t>
  </si>
  <si>
    <t>2a7572e9-ba28-4f2c-945c-aeb3552e2e8e</t>
  </si>
  <si>
    <t>468bdc76-ab52-4436-82d6-de026be44535</t>
  </si>
  <si>
    <t>e01f84dc-b976-49bf-8f0b-34410b6187fb</t>
  </si>
  <si>
    <t>003d3d90-6c97-4e60-8d25-12231f05c142</t>
  </si>
  <si>
    <t>ab757574-ea45-421e-8b11-bb923e10d8ec</t>
  </si>
  <si>
    <t>0ac96187-b133-4c85-9639-729c7347c85b</t>
  </si>
  <si>
    <t>5fefcb6a-0963-4d45-b9f1-8efff713481c</t>
  </si>
  <si>
    <t>c9d887b7-fcd1-4e8e-846d-3e4e0cda3ec7</t>
  </si>
  <si>
    <t>fd626035-00c1-4e50-9ccb-4b7af6770590</t>
  </si>
  <si>
    <t>4dd8277a-99e2-4c96-815c-94b1b6d32608</t>
  </si>
  <si>
    <t>a7e7ec0b-8ee3-492f-8880-6edc5819bade</t>
  </si>
  <si>
    <t>29194ed8-981e-48e8-a638-a87df26743a2</t>
  </si>
  <si>
    <t>0c9eb2ab-4149-4f9a-ad3d-1d01cd7fcc38</t>
  </si>
  <si>
    <t>e7eff113-4e4e-45b4-a9ed-d05c33223f2c</t>
  </si>
  <si>
    <t>2f00be86-5ce0-4e56-9f4c-c25a649427f8</t>
  </si>
  <si>
    <t>8198b1f3-9d6b-44f5-8ec1-32770d3d82d2</t>
  </si>
  <si>
    <t>efb8a64b-89d8-4923-9b03-30f3280e73d0</t>
  </si>
  <si>
    <t>40ccad4c-4c4e-4e6d-8c1e-6a7b8cf1fe38</t>
  </si>
  <si>
    <t>e133c631-5a27-463a-a7d9-a8e135a88e0a</t>
  </si>
  <si>
    <t>6be5a1d0-3669-4f45-a8fd-7b351a27ed43</t>
  </si>
  <si>
    <t>ae33c457-9730-4b61-af51-a03edb80253a</t>
  </si>
  <si>
    <t>Marjorie Tsao</t>
  </si>
  <si>
    <t>mpalermo@canva.com</t>
  </si>
  <si>
    <t>562570d5-2fd3-4bf7-8d89-869651ce657c</t>
  </si>
  <si>
    <t>773702c1-3357-4e58-830c-34dfaf5e5d9d</t>
  </si>
  <si>
    <t>04a80b4e-dcd4-4427-a670-4721a18c40ec</t>
  </si>
  <si>
    <t>493780be-bbfb-41b5-91b1-0044a62a027f</t>
  </si>
  <si>
    <t>28f36ef3-8a8b-4545-a985-fbfcaeb6988b</t>
  </si>
  <si>
    <t>ce70f0f5-8931-4d92-b519-0a4235cd45d9</t>
  </si>
  <si>
    <t>6a2e5bbc-72c6-4b86-b959-70e223d35527</t>
  </si>
  <si>
    <t>562ec74d-bf81-486c-8da3-474e7bcdda9a</t>
  </si>
  <si>
    <t>a8db9462-5979-45f1-b8b0-1f864013d924</t>
  </si>
  <si>
    <t>c1cf4649-5a1a-4b0b-9bca-ebf06f012d95</t>
  </si>
  <si>
    <t>dca579f3-b4f9-48d1-91cd-ad3b9f1e18f9</t>
  </si>
  <si>
    <t>80c88b53-7c45-49ed-a752-db6b47ea7b57</t>
  </si>
  <si>
    <t>dd6238de-981d-4604-99d2-457f15ccefcc</t>
  </si>
  <si>
    <t>c8d39525-7ea7-4442-b290-326d03b50bfb</t>
  </si>
  <si>
    <t>40a635b9-f771-4533-b0fb-3fc6998970e2</t>
  </si>
  <si>
    <t>f5396c1e-8251-4c4c-afe6-57e121709d6c</t>
  </si>
  <si>
    <t>4117dfc0-9a81-46a3-b01a-84a1a6e85257</t>
  </si>
  <si>
    <t>6f6c4cce-dea6-48e2-bd50-d2afedbbc97c</t>
  </si>
  <si>
    <t>a7e4ce9a-9e0f-4f38-8ccf-14d1363c1312</t>
  </si>
  <si>
    <t>06f49cd4-7a82-4d0e-ab34-48da50a3bd2e</t>
  </si>
  <si>
    <t>712fd99c-4910-41b0-a8d7-88f1cfd545ac</t>
  </si>
  <si>
    <t>518fde36-2e72-4011-aeea-69c6edaa664e</t>
  </si>
  <si>
    <t>Policy Abuse Process Revamp: Aligning with Notes Security and Privacy
Guidelines</t>
  </si>
  <si>
    <t>53c7d69a-3633-4005-9b69-c0ac43835a87</t>
  </si>
  <si>
    <t>f6ab909a-8fae-4139-af23-d06c28a32b8c</t>
  </si>
  <si>
    <t>Lance Reyes</t>
  </si>
  <si>
    <t>lance@canva.com</t>
  </si>
  <si>
    <t>b7cce838-0380-421a-a4df-f5f3cc46da3d</t>
  </si>
  <si>
    <t>87ae7b41-a30d-4dce-9dee-351e2abdd86a</t>
  </si>
  <si>
    <t>bb6b1474-5ebe-452d-ae5c-01e520e2b3ab</t>
  </si>
  <si>
    <t>15710088-f455-43aa-b5aa-0782a43653d2</t>
  </si>
  <si>
    <t>18fc67c3-ccfe-47e5-9f1e-e9ad137d2348</t>
  </si>
  <si>
    <t>3f44528e-0e2b-480a-afc3-347b3138c763</t>
  </si>
  <si>
    <t>e1c9b4a7-8e50-42ef-8d8a-a461e8275e37</t>
  </si>
  <si>
    <t>31d51c64-948b-4ede-892f-ec2e2e536a87</t>
  </si>
  <si>
    <t>e407ea2e-1adc-4679-9f23-a75c2b6b4bd8</t>
  </si>
  <si>
    <t>6130e356-da61-4b9c-a6a0-b48106be26d4</t>
  </si>
  <si>
    <t>182e62c3-61ab-4aaa-8926-bf50561ccaa0</t>
  </si>
  <si>
    <t>23fcfb1c-d126-4f1c-b300-026ce81bc605</t>
  </si>
  <si>
    <t>7aaad6eb-efba-4fa0-b362-0a8132f0324c</t>
  </si>
  <si>
    <t>98f1a883-ada9-4ccc-b44a-8d9ef1c37593</t>
  </si>
  <si>
    <t>219ad712-e519-472b-add5-45fa9b9e4bcd</t>
  </si>
  <si>
    <t>57b4d7b3-97e5-4301-830a-6944c24c31f9</t>
  </si>
  <si>
    <t>f961ebbb-e5c5-4124-a5a5-0351b3e3f082</t>
  </si>
  <si>
    <t>418e1494-7899-4743-8481-252170f4cc30</t>
  </si>
  <si>
    <t>3838ba32-3ac5-45cb-92eb-e467a441c61c</t>
  </si>
  <si>
    <t>7cf9b206-a53f-40ec-a28c-0ee7d5517e2a</t>
  </si>
  <si>
    <t>4f8c508f-a5c9-403b-8ad0-167b6b88d007</t>
  </si>
  <si>
    <t>6695b35c-7a53-4eb2-bcfc-9808f8e07dd8</t>
  </si>
  <si>
    <t>Charles Andrew Tan</t>
  </si>
  <si>
    <t>charlest@canva.com</t>
  </si>
  <si>
    <t>d7732470-3cfe-4f7d-b668-a5f5ba1a4622</t>
  </si>
  <si>
    <t>97162c7b-7d09-4cf9-87fc-894807034733</t>
  </si>
  <si>
    <t>00dff512-77ac-489b-98f7-b7bb7ac1ef62</t>
  </si>
  <si>
    <t>e9568c74-6eac-4340-9a2b-eba1b06ce3eb</t>
  </si>
  <si>
    <t>17ac4d5b-931d-4af2-ac19-59e90b892bff</t>
  </si>
  <si>
    <t>e4b4728e-b84d-44bc-beeb-f91396a1c671</t>
  </si>
  <si>
    <t>dd57c670-2bde-482c-b052-fd6c92e4ec8c</t>
  </si>
  <si>
    <t>7a964182-c8b0-40af-be52-02398b7c51de</t>
  </si>
  <si>
    <t>ceeb8d14-d85b-4382-baab-4acee51f3066</t>
  </si>
  <si>
    <t>7dd11869-ce51-4239-8aa5-0c7a9351ac94</t>
  </si>
  <si>
    <t>c4d54630-db30-407e-8a44-c39846df1ed5</t>
  </si>
  <si>
    <t>96c3aaea-cf32-485f-95a4-b92c1cf71596</t>
  </si>
  <si>
    <t>f3d1ae69-68c5-43de-a0fb-fcbfd665e398</t>
  </si>
  <si>
    <t>428f5386-0233-4475-b618-0c0cb2b45717</t>
  </si>
  <si>
    <t>c4b628a8-3dfb-446f-838c-d6877e698956</t>
  </si>
  <si>
    <t>ee745245-f0c0-44a6-8f07-4b3c9b8033a4</t>
  </si>
  <si>
    <t>b71e2c0c-1f47-45e5-8350-ef68a9ccbace</t>
  </si>
  <si>
    <t>43645215-6d77-4d70-9555-09afb43ecd18</t>
  </si>
  <si>
    <t>e7288a86-def8-455e-9571-0e09ee52eb10</t>
  </si>
  <si>
    <t>Luis Salomia</t>
  </si>
  <si>
    <t>rlsalomia@canva.com</t>
  </si>
  <si>
    <t>ae470c77-2648-40e9-b819-b4586b32a9ec</t>
  </si>
  <si>
    <t>06fd5b24-c7a2-49eb-9b3e-e56d3a41d8cf</t>
  </si>
  <si>
    <t>8884a2b8-d40a-43f0-9774-9fcead6dc3f1</t>
  </si>
  <si>
    <t>4ba4e464-d685-40ff-9a06-9d95b09d3959</t>
  </si>
  <si>
    <t>cop task, reach out</t>
  </si>
  <si>
    <t>1126c2cb-355d-4ea8-a449-0a114122b424</t>
  </si>
  <si>
    <t>ee94225a-6c62-4f58-977f-8031a2b077c9</t>
  </si>
  <si>
    <t>e6b7b469-8662-414a-91fb-d342d53c0648</t>
  </si>
  <si>
    <t>6584a16f-0624-4c87-bc00-7e448d6195c7</t>
  </si>
  <si>
    <t>d0a05731-9325-42e4-b99b-b99909cc890f</t>
  </si>
  <si>
    <t>8b0e4821-d8b3-4ce8-8766-2fbba59b4d03</t>
  </si>
  <si>
    <t>5fe1233e-272f-4344-a4b6-a42ae915475d</t>
  </si>
  <si>
    <t>a8d09557-34c6-4e34-abe2-64aa32b30cd2</t>
  </si>
  <si>
    <t>70465f32-b12a-4a41-92f7-c63330b2da4b</t>
  </si>
  <si>
    <t>d03e38a2-8113-4fa1-b073-6fde13b11c83</t>
  </si>
  <si>
    <t>e66b2815-4a17-463f-bbc3-9d061904fba5</t>
  </si>
  <si>
    <t>8720f952-1ab1-4986-8577-214bb206f4b1</t>
  </si>
  <si>
    <t>07c1a8a3-c4f2-4f62-ae75-51ac4b548be9</t>
  </si>
  <si>
    <t>b12d19dc-1064-4dad-8fca-17098f136036</t>
  </si>
  <si>
    <t>55be29e5-4610-49e5-bc0a-c97c8d68de7f</t>
  </si>
  <si>
    <t>b11599d8-4e91-4295-aca6-db4b51aff3f7</t>
  </si>
  <si>
    <t>df956875-9bd8-4320-9dd7-27f57c697457</t>
  </si>
  <si>
    <t>64091bc3-9050-41e1-82c7-7bf456a8b75e</t>
  </si>
  <si>
    <t>b40783d0-0920-4852-84e4-e4ca9312761c</t>
  </si>
  <si>
    <t>bcd81a06-fc1c-4917-8c3e-cf3f53e1f073</t>
  </si>
  <si>
    <t>678e5bba-02c9-4769-bd07-64d891e9ea0c</t>
  </si>
  <si>
    <t>cc9b7bd9-32d6-4ae8-8b81-e36280f723f8</t>
  </si>
  <si>
    <t>c9fa58e5-ccb3-4c72-a2e7-5a6fc2210b69</t>
  </si>
  <si>
    <t>Chariza Vargas</t>
  </si>
  <si>
    <t>charizavargas@canva.com</t>
  </si>
  <si>
    <t>I will be attending my daughter’s Christmas school program.</t>
  </si>
  <si>
    <t>ab25a5c3-6e10-4005-a7ad-7bffe2407d75</t>
  </si>
  <si>
    <t>4ab98518-5a2d-43bb-be30-04030afc5b6e</t>
  </si>
  <si>
    <t>72b4da96-4d1c-45bd-b57f-527af115b4eb</t>
  </si>
  <si>
    <t>71d47de2-1957-4fbe-b3c5-db061e95995b</t>
  </si>
  <si>
    <t>f606debc-b4d6-4bc2-b8ef-9c185fd7d9d4</t>
  </si>
  <si>
    <t>db16c5b6-ed04-439e-a86d-8fdca3ec6b11</t>
  </si>
  <si>
    <t>c47bde95-ac06-4e2b-8c79-b7f82fcdce1a</t>
  </si>
  <si>
    <t>c9effaa3-68c5-4f8a-83c2-5d8f3d6b0e85</t>
  </si>
  <si>
    <t>0d162eea-937f-47f6-be4a-1db277a51f2b</t>
  </si>
  <si>
    <t>4bf5475c-5373-4397-8ddc-a34da1a2c402</t>
  </si>
  <si>
    <t>9cb08ad7-a881-4498-bd8e-e5321d3f40cb</t>
  </si>
  <si>
    <t>7a4b65a5-85fe-470a-b598-6fafb770308c</t>
  </si>
  <si>
    <t>9917a63f-0f6e-4669-a1f9-7b21da79fe8f</t>
  </si>
  <si>
    <t>2c7abb40-9aae-4303-92e0-42c6e3793670</t>
  </si>
  <si>
    <t>af958312-5bfa-4e8e-89e7-3c70781b8c8f</t>
  </si>
  <si>
    <t>dddfb7a8-503e-46f6-83b2-1aa1f3d7fc0e</t>
  </si>
  <si>
    <t>1dd494d0-7fc7-4692-add4-9d1a1dc985ea</t>
  </si>
  <si>
    <t>51d003fe-78d2-48b9-a264-646922915b2b</t>
  </si>
  <si>
    <t>714f074c-e975-49ff-a14a-7c9bbf5e62a4</t>
  </si>
  <si>
    <t>12d55ca4-bc33-4bc0-9584-b2c6a9cc395a</t>
  </si>
  <si>
    <t>602a2abe-0967-4306-85d7-3363ea55004a</t>
  </si>
  <si>
    <t>d3681594-174f-44c6-a19a-054bd5e7653b</t>
  </si>
  <si>
    <t>a9175f4e-c2a3-4f80-bd6c-76adc2cfcef8</t>
  </si>
  <si>
    <t>Lia Baclay</t>
  </si>
  <si>
    <t>liabaclay@canva.com</t>
  </si>
  <si>
    <t>e1a72b91-992c-431c-898d-c0e4ce72d1b3</t>
  </si>
  <si>
    <t>330c0079-3954-4542-98a9-d8e581a47ce4</t>
  </si>
  <si>
    <t>0863b5a2-726a-4592-a3c2-481b587b437f</t>
  </si>
  <si>
    <t>3f2f92c7-f36a-4c34-b7e9-c5aebcd637fb</t>
  </si>
  <si>
    <t>527d60a3-6b10-4f2f-abaa-903b94e79755</t>
  </si>
  <si>
    <t>44f30e28-8b6d-4fbc-a2b8-2d8d3fdadb7f</t>
  </si>
  <si>
    <t>038ba658-e578-46dd-9e93-c91b468a752a</t>
  </si>
  <si>
    <t>e7025a47-24e0-4086-b416-c15a75bffe1f</t>
  </si>
  <si>
    <t>346ecf04-eab1-4870-a586-af76575ef902</t>
  </si>
  <si>
    <t>e07977ea-ca08-4fc6-bd1a-29b3e1eb529c</t>
  </si>
  <si>
    <t>9fd2ca01-34d3-4b56-8ec0-85c9af8225cb</t>
  </si>
  <si>
    <t>c758bde8-1563-4bfe-98c3-b25a542ed30b</t>
  </si>
  <si>
    <t>8909f1b0-9b08-4d56-9d5f-9bc5180d3b4b</t>
  </si>
  <si>
    <t>c95db4a0-8651-42b0-8ee1-08f33b8f67a8</t>
  </si>
  <si>
    <t>a8b49a7b-5dc6-47ef-93e4-8e513579715c</t>
  </si>
  <si>
    <t>424cfced-bea6-4070-b2a8-f3a04babf887</t>
  </si>
  <si>
    <t>d78a458e-3dff-4781-92e7-f44724e57da6</t>
  </si>
  <si>
    <t>0434124a-1fd4-44b7-8ca6-811e4e7d5c21</t>
  </si>
  <si>
    <t>3631b0e6-8d8d-485d-b2ff-c93e8892e529</t>
  </si>
  <si>
    <t>4a858c86-d7e2-463b-a804-d921114aac6a</t>
  </si>
  <si>
    <t>sick leave due to flu</t>
  </si>
  <si>
    <t>b583153e-96f8-4871-be79-d5ee36c8ac96</t>
  </si>
  <si>
    <t>61062e94-0ea1-477a-8285-385f60d64b88</t>
  </si>
  <si>
    <t>48a208ed-15f9-4a21-b287-fc8ffc417f44</t>
  </si>
  <si>
    <t>6d9c1524-a0cc-4f2b-aba3-6fdc76be26ec</t>
  </si>
  <si>
    <t>f0409670-eec6-48d1-bc03-49b41f508eb2</t>
  </si>
  <si>
    <t>d0989abb-c0d9-43cc-855e-28fac921989a</t>
  </si>
  <si>
    <t>79091022-d501-48c4-abe8-a03ee7b2d4b9</t>
  </si>
  <si>
    <t>HOLIDAY: Christmas Day</t>
  </si>
  <si>
    <t>df2bde1d-20ea-41b9-84d4-70afda663562</t>
  </si>
  <si>
    <t>HOLIDAY: Boxing Day</t>
  </si>
  <si>
    <t>011f0bcb-b00c-42d7-8c5e-0055a144fb97</t>
  </si>
  <si>
    <t>04640f83-7a23-477f-83d1-92d2f28922fc</t>
  </si>
  <si>
    <t>a3dfa5a7-eef7-4540-9d8d-3a5c2d093683</t>
  </si>
  <si>
    <t>806a9111-5ce6-4cef-affe-54103abe4f48</t>
  </si>
  <si>
    <t>80a49172-0e9d-4daf-b361-1866cadd139c</t>
  </si>
  <si>
    <t>0bdb7570-418d-4c75-87d3-642449df7e92</t>
  </si>
  <si>
    <t>c34c5a23-1d1e-42a2-ba05-08d8ca9562ec</t>
  </si>
  <si>
    <t>6a17d093-f4e2-4a0d-89d1-821ab1e8b4c8</t>
  </si>
  <si>
    <t>ee6d21a7-14a9-4f87-b963-0c24f9a907a6</t>
  </si>
  <si>
    <t>af9aec7f-791d-4362-b307-c461fbc84e92</t>
  </si>
  <si>
    <t>34f4b438-646a-4a4b-99da-c5c5b25fc33b</t>
  </si>
  <si>
    <t>4163e573-f491-4aac-bb3f-1366fc696641</t>
  </si>
  <si>
    <t>d997ad47-3621-441d-910d-f0cc62ab08e7</t>
  </si>
  <si>
    <t>2e855d5d-5670-4a46-adb5-d8e2ca1c0000</t>
  </si>
  <si>
    <t>4221215b-32e8-4dda-9fa2-79c88cb78765</t>
  </si>
  <si>
    <t>f49a7c52-5bef-43c2-a7fd-f3a0dc44dcd4</t>
  </si>
  <si>
    <t>fabbfe1a-2496-4b7d-a9d5-028c0d1c1209</t>
  </si>
  <si>
    <t>054a16cb-fcc2-4cb4-ac3a-ca6bd53bb48e</t>
  </si>
  <si>
    <t>caecb26e-b789-49f3-9db8-cfe0341e69e5</t>
  </si>
  <si>
    <t>b4d2dd40-57db-4896-a0b5-2cce987fb8f7</t>
  </si>
  <si>
    <t>277d839d-ea5e-4598-939f-33ef5bcf3c72</t>
  </si>
  <si>
    <t>687c7a6e-db98-4f8a-b14a-e5118ba0481f</t>
  </si>
  <si>
    <t>8adfbbfd-fe23-403d-b9e2-0bc50389f177</t>
  </si>
  <si>
    <t>dfc01413-9c19-4ade-b47b-0b9d7476e1e1</t>
  </si>
  <si>
    <t>9c44845b-e01f-4d54-9fd6-467efe49662c</t>
  </si>
  <si>
    <t>48dab97d-d1ee-4e50-8a7b-819af334405e</t>
  </si>
  <si>
    <t>43309383-82c3-465a-8c0f-9393108d7c41</t>
  </si>
  <si>
    <t>045b8ed8-9800-4d0d-8f19-52ffd2da1287</t>
  </si>
  <si>
    <t>6062362e-f337-4a9f-96eb-18f24dce2a73</t>
  </si>
  <si>
    <t>6b4646e6-a726-42e8-a16c-b4a62ecfa249</t>
  </si>
  <si>
    <t>114c82a7-7ce7-4673-b286-232f810b4573</t>
  </si>
  <si>
    <t>2c38a88d-5130-48f7-8a57-e84d4c06b1d4</t>
  </si>
  <si>
    <t>0b22ba5f-2383-47b3-b86b-ab5d2f3f1d2e</t>
  </si>
  <si>
    <t>71f9b8b4-bd5c-4fd5-bed1-1b9633009970</t>
  </si>
  <si>
    <t>1075205f-2368-44a8-917e-fc17c2d081c0</t>
  </si>
  <si>
    <t>fb6e94d3-65ac-4847-bcfa-46cbdf5c87f5</t>
  </si>
  <si>
    <t>1df26fc0-272a-4434-a98b-8d3525485678</t>
  </si>
  <si>
    <t>269db99f-abe8-413d-9fb8-c8d94cf7f9d8</t>
  </si>
  <si>
    <t>350eda67-fab0-4eff-9064-323df2087c64</t>
  </si>
  <si>
    <t>4267891f-18a5-4e1f-8bcd-ab2150797efc</t>
  </si>
  <si>
    <t>f9651dfb-a771-4b81-97e2-d2dd638dfeef</t>
  </si>
  <si>
    <t>67dd51ca-13ae-4334-9f4b-d7eb7b0a635f</t>
  </si>
  <si>
    <t>7ec1217e-44bb-4d34-a870-a6b35baad57d</t>
  </si>
  <si>
    <t>45ae341b-aeee-46a4-9bb8-ed1eb6fc76db</t>
  </si>
  <si>
    <t>f8725b50-15ee-4ab6-bc16-00afb833fc9e</t>
  </si>
  <si>
    <t>c7aaa0f5-25db-43b1-873b-948fdc36bd16</t>
  </si>
  <si>
    <t>1074e01f-0f7b-452b-9050-48f5dc95bfe4</t>
  </si>
  <si>
    <t>d6c41da0-11be-4888-81a6-919e25020110</t>
  </si>
  <si>
    <t>0bf162d2-3428-41ad-b161-787ff7afd494</t>
  </si>
  <si>
    <t>6656e5cb-59d5-422b-973d-81778278a58c</t>
  </si>
  <si>
    <t>114a31c6-0bb0-4d8a-a267-9824145efd08</t>
  </si>
  <si>
    <t>7f3c3aa7-12f7-46f4-8abc-b940d271b256</t>
  </si>
  <si>
    <t>de546d2d-1d77-439e-bcaf-f499e1af1dd2</t>
  </si>
  <si>
    <t>7de790a3-9c86-4eea-89fe-2c77d2bfd3bb</t>
  </si>
  <si>
    <t>8be254de-f89e-4e24-8b74-2385e3573e37</t>
  </si>
  <si>
    <t>8a031d54-c986-4a18-bccc-bb787d8e2fc6</t>
  </si>
  <si>
    <t>7606e72c-5964-44db-a4fc-6020c62ce987</t>
  </si>
  <si>
    <t>24f99291-4045-4dd9-a05f-c759e1d41a4c</t>
  </si>
  <si>
    <t>5ab42d11-56d1-4c0c-8745-72fcb43aee3d</t>
  </si>
  <si>
    <t>a367d5b8-9443-4676-ada4-16dc9fc2d954</t>
  </si>
  <si>
    <t>9729711a-a73e-4766-941e-f816b723d08d</t>
  </si>
  <si>
    <t>d4c12078-e147-49d2-803b-b1e13a3d7ee5</t>
  </si>
  <si>
    <t>a0861ffa-99d1-48d3-8415-ad63190f24ff</t>
  </si>
  <si>
    <t>141aa0c7-8f39-4d1a-8c4d-ebd3c0a02113</t>
  </si>
  <si>
    <t>4d97e18e-5019-4d09-82af-f355efa2fd6a</t>
  </si>
  <si>
    <t>016603f1-9d11-4344-b2a8-881a04dc36dc</t>
  </si>
  <si>
    <t>3613fd98-af69-409f-b4e0-fac74c63fc47</t>
  </si>
  <si>
    <t>339ce99e-3e2a-44bc-8150-b9d6abfa27c6</t>
  </si>
  <si>
    <t>c9b85b82-c8f6-486f-bfa4-e1a8c7bd3638</t>
  </si>
  <si>
    <t>b9458c98-0937-41ba-86eb-cb994f2c98dc</t>
  </si>
  <si>
    <t>aa4c0c2d-20e5-45cf-b43e-6fc592f4a000</t>
  </si>
  <si>
    <t>3a850cf0-fb60-458f-91e7-068ddf166f0b</t>
  </si>
  <si>
    <t>f1e4e7b8-754e-40ff-a911-2a99eff1dd77</t>
  </si>
  <si>
    <t>0fb774bb-cf6f-4904-b43f-4e1394d11ca6</t>
  </si>
  <si>
    <t>623b8519-c440-450b-b6a0-3bbeb1a61407</t>
  </si>
  <si>
    <t>5d43defa-9579-40a6-bc08-ec146e0550ec</t>
  </si>
  <si>
    <t>2da7e484-90eb-4df6-aa44-7666a7bba419</t>
  </si>
  <si>
    <t>8f9cdffa-14c9-42c9-b019-ac09d2c2eb8f</t>
  </si>
  <si>
    <t>b80b4fbc-11de-4f80-a03a-9a660e2f4bb5</t>
  </si>
  <si>
    <t>aa13d683-0ce6-4b8e-9b8a-979cc73c9496</t>
  </si>
  <si>
    <t>9fd62cbe-f38d-4930-9d5c-d4166c8d6b76</t>
  </si>
  <si>
    <t>2da3d0ab-39fa-4c4b-8280-620d82f0f28a</t>
  </si>
  <si>
    <t>db8cf622-8eff-4ca0-9e8c-db4dc3aec864</t>
  </si>
  <si>
    <t>be0c4876-280b-46a7-9593-a4970c545dec</t>
  </si>
  <si>
    <t>b685247b-0f28-404b-b12a-3f715d77f7dd</t>
  </si>
  <si>
    <t>bffa508f-884c-44ae-bfc1-fbbc442d19d9</t>
  </si>
  <si>
    <t>b0ff2c87-590e-4f95-a73d-b7d395c87efd</t>
  </si>
  <si>
    <t>360ffad1-23e6-4092-96f9-039db7a4ddb4</t>
  </si>
  <si>
    <t>8d80f0ec-14f4-4d66-ad12-caeaa031812c</t>
  </si>
  <si>
    <t>f7c9c136-beec-47c2-9694-43bacf5105fa</t>
  </si>
  <si>
    <t>89bb6a9b-352d-4c48-94cd-a3681cfb07fe</t>
  </si>
  <si>
    <t>10b0b810-6bea-4322-bd29-8ff601e4d09c</t>
  </si>
  <si>
    <t>27fb32de-92b9-433c-a2d7-f531e3bea029</t>
  </si>
  <si>
    <t>8701d8c8-03ff-46a1-b593-a9727adc8d9b</t>
  </si>
  <si>
    <t>f339c31f-7484-469f-84fd-834b19b558b4</t>
  </si>
  <si>
    <t>b29d5628-b6e9-4c9d-a6e7-ff6132b2ce47</t>
  </si>
  <si>
    <t>ed14bcce-5525-4300-9d11-75b3fe5fa740</t>
  </si>
  <si>
    <t>45060147-1dae-4361-943b-f484a7c0e3fe</t>
  </si>
  <si>
    <t>f31fb239-a41f-4bf5-8e9e-f2b8c63a639c</t>
  </si>
  <si>
    <t>51d81ccd-519b-444c-b0dc-5567bf9b32bf</t>
  </si>
  <si>
    <t>1d2305c5-02b2-4444-b981-3791defa6124</t>
  </si>
  <si>
    <t>a9ec74c9-d072-4d22-8fe4-6e4072e5f657</t>
  </si>
  <si>
    <t>c09f5837-aada-4b3c-a0f8-675fdcad168f</t>
  </si>
  <si>
    <t>d7371d04-163f-474d-973d-fedef4bc768c</t>
  </si>
  <si>
    <t>b74d2265-f42b-45e0-ba41-39772c9573ad</t>
  </si>
  <si>
    <t>822c0702-cd0d-4fe7-ab36-0041f9d91d88</t>
  </si>
  <si>
    <t>1f0d89ba-f807-4bc6-8d2f-f587ec2cf6dc</t>
  </si>
  <si>
    <t>a1357b39-f070-439b-b0e2-f9eb688f2972</t>
  </si>
  <si>
    <t>a64ec9a4-dcb0-4bb6-a3a5-e0597d8fa858</t>
  </si>
  <si>
    <t>101c1a78-1971-4e00-8a8f-275be4452796</t>
  </si>
  <si>
    <t>2f613e3b-a297-45de-9c2e-8dbd45b0560b</t>
  </si>
  <si>
    <t>ce451941-5189-41b0-badc-9f37368db5e9</t>
  </si>
  <si>
    <t>4b901533-d43b-4bdc-8e1e-33a4e491a305</t>
  </si>
  <si>
    <t>250264e6-4c8f-44da-9707-ac9335a874b1</t>
  </si>
  <si>
    <t>93053211-5858-4c37-a5a7-b2df1a4d5f3e</t>
  </si>
  <si>
    <t>4b05a31e-d515-41e1-83de-3aee4d0c8200</t>
  </si>
  <si>
    <t>60a4f45f-a826-42c0-b44c-d567f4236851</t>
  </si>
  <si>
    <t>f47d1c49-60fa-401f-aa1f-463d35a777a3</t>
  </si>
  <si>
    <t>32a72cb3-5ee3-4747-944c-ebb6d70082b7</t>
  </si>
  <si>
    <t>3f15bea3-2a83-4589-909f-29d1b4581b6b</t>
  </si>
  <si>
    <t>f82936f9-69f8-42ba-97b7-6a2926395381</t>
  </si>
  <si>
    <t>85f52ea6-1014-41d1-84a2-0456db8f9521</t>
  </si>
  <si>
    <t>e80a55dd-30b4-4514-aff4-bceb5f1381bf</t>
  </si>
  <si>
    <t>b866fff4-c8a2-4cff-8e4c-0616500114fe</t>
  </si>
  <si>
    <t>16641f1d-986e-4fdf-9181-50736f0889c4</t>
  </si>
  <si>
    <t>d88439f9-d093-4162-8de0-ec240a59e957</t>
  </si>
  <si>
    <t>4b38d033-fa30-4bb9-b10f-5a39976a60f4</t>
  </si>
  <si>
    <t>8fe4b84c-24cf-4d48-8aba-d565a3fa48d0</t>
  </si>
  <si>
    <t>d3da0535-829a-4874-a1d7-8fd1ddfb106a</t>
  </si>
  <si>
    <t>0b14dd93-4d40-4270-aa4b-a15841fdb5ef</t>
  </si>
  <si>
    <t>5f361698-feea-4b6d-96f7-404f892dd534</t>
  </si>
  <si>
    <t>be40df34-91ad-4890-ac9a-a8404697d321</t>
  </si>
  <si>
    <t>Meeting with Edu Sales</t>
  </si>
  <si>
    <t>d28688f5-28e3-468a-845a-4dc8edbc1a3d</t>
  </si>
  <si>
    <t>14612c45-be59-44ea-8a04-7e130088327a</t>
  </si>
  <si>
    <t>Quick process update meeting</t>
  </si>
  <si>
    <t>74975bf1-5ac5-4bd6-84b4-14c3c1f41069</t>
  </si>
  <si>
    <t>008b2801-97a0-4d3b-bb4b-cefc2b4ed03e</t>
  </si>
  <si>
    <t>7d59f068-fedd-4948-8bad-e8d0aea0c942</t>
  </si>
  <si>
    <t>24fbe251-9aa3-4067-aee5-6af4865ad75c</t>
  </si>
  <si>
    <t>7e6340aa-35a3-48fb-bd90-a9b0cb5f8652</t>
  </si>
  <si>
    <t>dfeb7bd6-7742-457d-a53c-cecdc658e1ab</t>
  </si>
  <si>
    <t>5cf2061e-ba21-45ec-9d7f-ddf102639bb0</t>
  </si>
  <si>
    <t>ad9d6f52-b750-4e75-8241-8136d7184931</t>
  </si>
  <si>
    <t>aa546d10-44f4-43ad-9376-c354f7a46e4c</t>
  </si>
  <si>
    <t>9bfc3f3d-c6ce-4bba-8e2f-a06546f2a01d</t>
  </si>
  <si>
    <t>31fd976a-99e6-4180-9443-d933d2b01698</t>
  </si>
  <si>
    <t>c234ac6f-71f5-47d9-bd01-606a1ceb861d</t>
  </si>
  <si>
    <t>c5b7480c-665e-4845-9898-b18c79a858ce</t>
  </si>
  <si>
    <t>ea2c6168-fe34-4532-ac9c-a7b5ebc758ff</t>
  </si>
  <si>
    <t>9e6538c7-9256-47cd-85ce-0793763dac79</t>
  </si>
  <si>
    <t>2d3c9e04-4c3f-47e3-b613-60bc7fa22d20</t>
  </si>
  <si>
    <t>ba989ab8-2d66-47a8-82f2-56411fc8c5ba</t>
  </si>
  <si>
    <t>ff1251da-5227-4bcc-af2d-dac087b5a33d</t>
  </si>
  <si>
    <t>quick process update meeting</t>
  </si>
  <si>
    <t>1cdd9d0b-37b3-4275-81f5-931bcbc792d3</t>
  </si>
  <si>
    <t>District Support Part 1: Module 3, Lessons 1-2 (Self-led)</t>
  </si>
  <si>
    <t>21cd7f17-ae66-4a31-815b-2af31edb691e</t>
  </si>
  <si>
    <t>b355fbf4-8f65-4a36-ba81-11f62a54d737</t>
  </si>
  <si>
    <t>2620ae07-d955-4035-8a39-53245cd13dbe</t>
  </si>
  <si>
    <t>28162a13-8c22-4b22-897c-ab087e2a802f</t>
  </si>
  <si>
    <t>c73739f5-af72-4493-ac7d-a4875bf40f3e</t>
  </si>
  <si>
    <t>5dc4ab59-5610-4940-9c55-b373c4aa4a84</t>
  </si>
  <si>
    <t>c5ebce42-e2d6-491c-86bc-734f47479de6</t>
  </si>
  <si>
    <t>7cde7a86-bc63-476f-8767-0b69d5d4d716</t>
  </si>
  <si>
    <t>99c50ae6-e347-417e-8407-76e50ab9e0b7</t>
  </si>
  <si>
    <t>5e2ea1b3-b3ac-45c3-a858-9996a6461131</t>
  </si>
  <si>
    <t>5458d9af-cb64-46c1-a711-73c089781c07</t>
  </si>
  <si>
    <t>16968065-b0ef-4598-83d4-3a7372524653</t>
  </si>
  <si>
    <t>a72fdf08-843c-4e94-99a9-792832c67179</t>
  </si>
  <si>
    <t>f5b6e7e8-799a-4c7a-90c8-12ebc60d49fd</t>
  </si>
  <si>
    <t>meeting with Edu Sales</t>
  </si>
  <si>
    <t>2ce02a52-97e3-40ab-804c-c257f17f25c9</t>
  </si>
  <si>
    <t>51a267ae-75e9-4d3d-948c-94cce87bbd1c</t>
  </si>
  <si>
    <t>quick process update</t>
  </si>
  <si>
    <t>b8d67e7d-daea-4610-baf5-9c9cbdab0684</t>
  </si>
  <si>
    <t>4e12d69a-ac4e-4a93-ac51-11922ba68ce6</t>
  </si>
  <si>
    <t>a30f9cf0-eb65-45ab-9f11-aea5528ded23</t>
  </si>
  <si>
    <t>d6a807bb-8397-4079-824c-590168371326</t>
  </si>
  <si>
    <t>aa2486e0-2b3c-449e-a166-3933ef476be5</t>
  </si>
  <si>
    <t>a94026fa-f6bb-4518-9132-c111193f49f9</t>
  </si>
  <si>
    <t>30cf48c7-380d-4629-91f0-4b628d9f15f0</t>
  </si>
  <si>
    <t>6ccfcd2c-3e55-4754-a849-d06eb90919df</t>
  </si>
  <si>
    <t>5c2a8179-8582-4b3e-b3b7-5d6b03dde23b</t>
  </si>
  <si>
    <t>86f0d9b9-bb80-46aa-8d39-a0fbcfed85b4</t>
  </si>
  <si>
    <t>b7a94478-6188-4c6c-9576-968349e27798</t>
  </si>
  <si>
    <t>3de47b17-c5be-4f8f-8f17-9f94ab4c4bd8</t>
  </si>
  <si>
    <t>8eaaf778-66a9-4e8f-b7b0-d2528f58059d</t>
  </si>
  <si>
    <t>135bc02c-269c-40dd-b20c-ee983ae667b2</t>
  </si>
  <si>
    <t>9d44d513-c837-4fef-98ad-f00a3b7cd5fd</t>
  </si>
  <si>
    <t>2ea7d666-6a59-43b1-9a96-bfc7933a93b6</t>
  </si>
  <si>
    <t>1305a9f6-5c97-499b-a2c1-d31abf275671</t>
  </si>
  <si>
    <t>bd3082ce-03e9-412c-9c4d-0cb47d0bb103</t>
  </si>
  <si>
    <t>b8705471-235a-484e-bd8e-99e0357a5341</t>
  </si>
  <si>
    <t>697e1386-a409-4da3-a441-6132072d88bd</t>
  </si>
  <si>
    <t>6b390179-0640-4e29-a4a9-a8758ec74147</t>
  </si>
  <si>
    <t>840aac03-2219-4cc2-9265-ec24591cb6f5</t>
  </si>
  <si>
    <t>c95f1889-0aba-4d36-885d-ce68f3c1cca7</t>
  </si>
  <si>
    <t>3e4914df-ca17-49ec-bd44-d49ec2149f23</t>
  </si>
  <si>
    <t>8e347b96-1bad-4518-b955-1aa7a78ad2cb</t>
  </si>
  <si>
    <t>5c8ec0da-a0f8-453b-ab4f-5b11c0db1880</t>
  </si>
  <si>
    <t>88725b5e-5143-4d99-93fc-8b21cbabf442</t>
  </si>
  <si>
    <t>9e343ad4-09f1-43e7-9f5b-2870368a3e53</t>
  </si>
  <si>
    <t>ebc75232-b117-400d-9baf-dbdcc88e742b</t>
  </si>
  <si>
    <t>20dc60a0-fdd6-4e41-8029-57c31528db57</t>
  </si>
  <si>
    <t>c3f5331c-50b6-46e3-a87e-102465a61f8b</t>
  </si>
  <si>
    <t>d5b04011-8704-4b65-8971-a431c169ff38</t>
  </si>
  <si>
    <t>f6eca7d8-a33d-4d0d-ac93-614fb36266ef</t>
  </si>
  <si>
    <t>3c71ac5a-7f3d-4bcd-a1a5-d67dc35f4f48</t>
  </si>
  <si>
    <t>cc2bfc7d-42ec-4934-85b2-4477e050d382</t>
  </si>
  <si>
    <t>90603c83-c67f-4e2f-84c1-0a6aee5fc438</t>
  </si>
  <si>
    <t>65845d63-e1d1-4b10-a318-dfffbdc39f2e</t>
  </si>
  <si>
    <t>4f501e4d-cdb8-4c78-9449-0f567a771e9b</t>
  </si>
  <si>
    <t>a74ff998-f5d1-4f2d-89bf-b362434dc6ac</t>
  </si>
  <si>
    <t>455ac707-0079-4faf-ae1b-d4dfe4e02305</t>
  </si>
  <si>
    <t>dc5c10e8-a225-4303-a0df-68697f967837</t>
  </si>
  <si>
    <t>773df828-9796-4228-9411-1bbd7ad2e6b8</t>
  </si>
  <si>
    <t>b22574d9-366d-4620-a69e-0b1b91ce3a66</t>
  </si>
  <si>
    <t>7da25e51-b673-4d5e-a7b5-2c9d1e39e24f</t>
  </si>
  <si>
    <t>043296c4-c53a-463f-b2b9-3510e213ea9e</t>
  </si>
  <si>
    <t>b9868706-8acc-4403-933d-a5ae08bb6aa7</t>
  </si>
  <si>
    <t>e8bfa9c8-3fc7-424a-9fc1-b6a87df6cdaf</t>
  </si>
  <si>
    <t>9eff8681-f3cd-4727-be26-265aab7253bd</t>
  </si>
  <si>
    <t>393b21ff-368f-4d8e-bea1-bdb95eca6b73</t>
  </si>
  <si>
    <t>7a4a0776-9a11-4df9-b8e3-69e3dcc3d3e6</t>
  </si>
  <si>
    <t>0e3a1924-db34-4f7e-bb1d-005a30469186</t>
  </si>
  <si>
    <t>4f9ba623-39a4-45e9-8be7-e04e9a9ac79a</t>
  </si>
  <si>
    <t>a31ced90-4e5b-4468-93b2-165e46b7c47c</t>
  </si>
  <si>
    <t>f859199e-ecef-47d5-90fd-10ba64fda95c</t>
  </si>
  <si>
    <t>1d5bec6c-54c2-407e-a38e-23f462707fbc</t>
  </si>
  <si>
    <t>ec4f4016-11b5-44e4-8b88-cc60beec0e33</t>
  </si>
  <si>
    <t>71024dcb-54df-4d4c-9c78-3fe6389b654e</t>
  </si>
  <si>
    <t>d5cf6acb-3f67-4a4d-903c-887657900814</t>
  </si>
  <si>
    <t>7a5a2e25-5e92-4eb9-8bf8-3e48927fac50</t>
  </si>
  <si>
    <t>HOLIDAY: Christmas Eve</t>
  </si>
  <si>
    <t>4b552440-0019-4293-8662-38b5374d8fdf</t>
  </si>
  <si>
    <t>2149078e-8a9c-4815-acae-fd05f05cb20b</t>
  </si>
  <si>
    <t>HOLIDAY: Day After Christmas</t>
  </si>
  <si>
    <t>a208ebe3-38f5-4c02-9b1b-6ef424936ea8</t>
  </si>
  <si>
    <t>87b982d6-a698-4818-bd1d-9a7f7c63d125</t>
  </si>
  <si>
    <t>4edde16b-5dde-45fb-a7fc-b8d59f2990ff</t>
  </si>
  <si>
    <t>9b90622f-0dd5-401e-8fb8-0594819c80e7</t>
  </si>
  <si>
    <t>100162c2-f312-465b-8029-d72d9e7547d7</t>
  </si>
  <si>
    <t>4d3a5e9e-e306-41b7-ada9-25949de966e5</t>
  </si>
  <si>
    <t>dc348d24-ec49-48d0-90cc-66a1cdb71229</t>
  </si>
  <si>
    <t>34a3ff39-bc8d-445f-91c2-3ea2889e8f81</t>
  </si>
  <si>
    <t>194d8c3d-f110-43c0-89fb-47576ae4762e</t>
  </si>
  <si>
    <t>1fe6ddde-f220-4233-9642-46be7c33cb8f</t>
  </si>
  <si>
    <t>2e36fb5e-ebe8-4037-b698-87ad6f7f3fa8</t>
  </si>
  <si>
    <t>ce4c66dc-26ae-4fee-9f69-430e4595232a</t>
  </si>
  <si>
    <t>45792d81-9fb4-4bf6-a878-597990f9fe51</t>
  </si>
  <si>
    <t>9b6f9485-28ac-4f5e-b5c3-6fd93f1bbd54</t>
  </si>
  <si>
    <t>bdb1148d-c910-4654-b6a3-57436e9166bb</t>
  </si>
  <si>
    <t>53062296-5716-4b29-a50c-9706ec85f97a</t>
  </si>
  <si>
    <t>a62ca78a-b62c-4a77-8fd5-ace1bfa892ec</t>
  </si>
  <si>
    <t>8ac181b9-daa5-42ea-865f-639a6527fb20</t>
  </si>
  <si>
    <t>af0fa0d4-c201-40b9-b277-0a3a6a592efb</t>
  </si>
  <si>
    <t>90ffc0f0-e5f1-4d1d-830b-d75beb73afcb</t>
  </si>
  <si>
    <t>12fe4231-f7ed-4a9c-afc2-5cd5f55df15c</t>
  </si>
  <si>
    <t>25cf9072-cf73-41f8-b69f-2983f1adf9d1</t>
  </si>
  <si>
    <t>943679fb-0d74-4942-bad0-cc00c09aec93</t>
  </si>
  <si>
    <t>921130b1-7547-4c69-920c-53440fe0eaba</t>
  </si>
  <si>
    <t>bb17de3c-0b8a-460f-a1dd-9416d2814a35</t>
  </si>
  <si>
    <t>aa4d787c-7a6b-4c53-bb50-8fa5c1eb2253</t>
  </si>
  <si>
    <t>56d76199-8cf9-449b-972c-3e0b43a79da7</t>
  </si>
  <si>
    <t>24ac4808-5fdf-4d45-97ab-b5c41788570b</t>
  </si>
  <si>
    <t>dc403b8f-2bcb-41c2-a52b-32b7c9fe9ef1</t>
  </si>
  <si>
    <t>00c3eab4-8b8a-4f12-8d3f-05e544667d1b</t>
  </si>
  <si>
    <t>e312657e-d8a8-44c4-b083-ab1b68673744</t>
  </si>
  <si>
    <t>7bd28772-ce82-4b01-98e4-9ed0db1ae017</t>
  </si>
  <si>
    <t>1cb7afae-373d-419d-8d21-0f22d9fba055</t>
  </si>
  <si>
    <t>d1e1d824-c511-4260-85ba-411f4923ee61</t>
  </si>
  <si>
    <t>2294867c-69c0-40d6-8d56-aed19608465f</t>
  </si>
  <si>
    <t>9918aa04-51fb-401a-bf31-063924a3a787</t>
  </si>
  <si>
    <t>5ffb0504-5178-4e3f-b24c-850577a213d3</t>
  </si>
  <si>
    <t>d2b45b51-b0a0-4f83-80be-a2383400500f</t>
  </si>
  <si>
    <t>11fe4914-96cd-4b00-bfb7-e11ee462ccb6</t>
  </si>
  <si>
    <t>e73cc460-ef96-4251-bd51-494c29538670</t>
  </si>
  <si>
    <t>cee74fc5-0eb5-40dd-ba1d-e3b3cdd57e05</t>
  </si>
  <si>
    <t>0f1abba0-0825-4a9c-ad1c-379028efad05</t>
  </si>
  <si>
    <t>77d8bfd2-449e-435e-bcc0-3e91b7960c6e</t>
  </si>
  <si>
    <t>8f0b1d49-2a76-42fa-bfd7-128d0da9a76d</t>
  </si>
  <si>
    <t>c8a9160a-673c-428f-93e8-3ba940c23de2</t>
  </si>
  <si>
    <t>af37d813-da89-43ca-aec8-02c403b81482</t>
  </si>
  <si>
    <t>e47fb7ca-b7a0-4d80-acc5-e446ac4efb34</t>
  </si>
  <si>
    <t>b043a9d5-7bc1-4f26-8208-2adfacd7c6f7</t>
  </si>
  <si>
    <t>6822550c-c4cd-4781-8132-98cc2058fa49</t>
  </si>
  <si>
    <t>2d672cc7-eb52-4466-802a-3e5595bd4af1</t>
  </si>
  <si>
    <t>37e3838c-761f-47f0-856e-4a949d6ff536</t>
  </si>
  <si>
    <t>8f89426c-0acc-40ab-ba38-f920cf2d533b</t>
  </si>
  <si>
    <t>99410e7c-cdde-4292-afec-fc4a9194c81b</t>
  </si>
  <si>
    <t>72ce91e8-665c-40b8-b711-7cad634b3527</t>
  </si>
  <si>
    <t>02796ed6-4608-4793-bbe6-6970a33dff66</t>
  </si>
  <si>
    <t>dee04fc7-f0d3-442a-a28c-5830ecc87288</t>
  </si>
  <si>
    <t>ae08c30a-488b-44eb-95b7-9db67ac87b7e</t>
  </si>
  <si>
    <t>932c7f6d-1a08-4d3c-91f4-b9e0443ab7be</t>
  </si>
  <si>
    <t>018410ec-0fad-456c-b7d8-fea2e720177a</t>
  </si>
  <si>
    <t>dbb6b317-f957-42a8-a56d-0c26cf530160</t>
  </si>
  <si>
    <t>3094f8fa-f28e-45cb-bf41-5acac717ff53</t>
  </si>
  <si>
    <t>50e03a97-b360-433f-9ce3-78e140faa6ff</t>
  </si>
  <si>
    <t>12296778-3960-4021-99d2-f5c3acb343d2</t>
  </si>
  <si>
    <t>e0fd3543-08df-4a31-8876-f18e55cb7ae9</t>
  </si>
  <si>
    <t>0c4913b4-a7a2-4557-a213-835306c95665</t>
  </si>
  <si>
    <t>59aa49b5-6175-4a9c-96de-5e7818d51d12</t>
  </si>
  <si>
    <t>f72881bb-6964-4d9e-a463-d3b2b70bfd3b</t>
  </si>
  <si>
    <t>dc362fbd-d2e3-4729-b9f4-58e1677422ed</t>
  </si>
  <si>
    <t>bef7cbe5-0670-43cd-ab51-70b5b72d378c</t>
  </si>
  <si>
    <t>70952902-eb35-4985-aefc-edfb885b8b42</t>
  </si>
  <si>
    <t>14a7f375-19e9-465a-9604-7de3f620351c</t>
  </si>
  <si>
    <t>7da794e5-c524-465d-a885-81ddeef4e335</t>
  </si>
  <si>
    <t>40b02a95-b2bb-43a8-9376-52f0fa10ea88</t>
  </si>
  <si>
    <t>fce0867f-fa24-496c-9f27-729c9efbf486</t>
  </si>
  <si>
    <t>2651d06d-4600-4b8e-8c6b-a387d735c220</t>
  </si>
  <si>
    <t>2d1fd822-a720-4720-9ffc-6cb43ed94321</t>
  </si>
  <si>
    <t>4ecec907-9267-4328-bb23-9b4014f97e86</t>
  </si>
  <si>
    <t>5b07e376-6a63-4193-b849-9183ef438bbd</t>
  </si>
  <si>
    <t>49db5d89-2cb7-43de-b947-38099299fc83</t>
  </si>
  <si>
    <t>d8419894-9d90-4bc1-892f-171e8d88d96a</t>
  </si>
  <si>
    <t>3810f722-e02c-4ba2-a654-03fb48d5629f</t>
  </si>
  <si>
    <t>50e24cfd-c82c-4c6a-aae4-3a0e6ef46876</t>
  </si>
  <si>
    <t>923d2f01-f0cb-4a90-992f-37429210fa10</t>
  </si>
  <si>
    <t>27287260-5ade-4c59-a8f3-4999dadffd6f</t>
  </si>
  <si>
    <t>58ef7814-70c0-46d5-b6e0-85e40d17772e</t>
  </si>
  <si>
    <t>ac03e467-c000-497b-8056-a26540879bc9</t>
  </si>
  <si>
    <t>57fcff95-899a-44e9-af75-d089b84788cc</t>
  </si>
  <si>
    <t>ab65ec8e-d086-408b-ad42-8f2874cc2e04</t>
  </si>
  <si>
    <t>071ee179-d658-418b-8d2f-61db537d004a</t>
  </si>
  <si>
    <t>18135b5a-5cb3-4dba-8e49-0dfb142f2a5e</t>
  </si>
  <si>
    <t>f33c78a4-3b03-4096-90d8-f6b87b7c997f</t>
  </si>
  <si>
    <t>a1526133-251f-4eac-9b59-601e6c5a1837</t>
  </si>
  <si>
    <t>8df1f092-b61b-4222-9a3a-9e2b72a0d331</t>
  </si>
  <si>
    <t>CEDD Apps only</t>
  </si>
  <si>
    <t>0b6dfa8c-01db-44a9-8cb2-a7a1fd36821c</t>
  </si>
  <si>
    <t>f8bf554d-68f7-45c3-a2b4-afe08b661928</t>
  </si>
  <si>
    <t>066832ff-a137-4611-a872-d54d3fb066e5</t>
  </si>
  <si>
    <t>932e55d9-bd5f-4910-9557-125751ff4f3d</t>
  </si>
  <si>
    <t>518a331b-19d4-4284-b37a-e33550540d7b</t>
  </si>
  <si>
    <t>87efaef7-73f7-40a5-ba5e-f984a0daa706</t>
  </si>
  <si>
    <t>1949535c-6f24-4fbe-8a06-c27d2d0a61c0</t>
  </si>
  <si>
    <t>b0cf5b75-daba-443f-bd12-545709381fe8</t>
  </si>
  <si>
    <t>f93f3106-60ea-4ab0-8576-3ec721c50068</t>
  </si>
  <si>
    <t>1baf489e-b70c-4f28-8e52-034bd07f9c2e</t>
  </si>
  <si>
    <t>40eca036-96ab-495b-9526-03e3208b21bf</t>
  </si>
  <si>
    <t>f83f8cf5-f6ba-4985-bf33-44d98b3e51e0</t>
  </si>
  <si>
    <t>4a2e22bb-39e8-4793-9806-b71544464802</t>
  </si>
  <si>
    <t>c64bc29f-08dd-4304-b618-a08b62e2bdb1</t>
  </si>
  <si>
    <t>fcc9037e-a25c-48b6-9299-ca8b45aae5a4</t>
  </si>
  <si>
    <t>5a2dc43f-a1ef-4e75-afb8-1d18e27ccc53</t>
  </si>
  <si>
    <t>ef819c28-a970-4007-9926-7836cabb86d7</t>
  </si>
  <si>
    <t>bcd8361b-2666-4153-9acb-e63d2f889297</t>
  </si>
  <si>
    <t>a45bf7c6-17be-4176-ad9c-6cf4baddc0a8</t>
  </si>
  <si>
    <t>5db0b6f1-f9d9-451e-b171-cc7c84b1d7c2</t>
  </si>
  <si>
    <t>5442d082-ac7e-4ba5-b1a6-23906e87c5c7</t>
  </si>
  <si>
    <t>e012b304-4e3f-4ec9-bab1-9208532fdcfc</t>
  </si>
  <si>
    <t>8a43af36-a17f-432b-88f5-d3c5b0c23e71</t>
  </si>
  <si>
    <t>4558237a-133c-4038-be98-88c74f7c8acf</t>
  </si>
  <si>
    <t>3b4e344d-093a-4665-9fd6-e6d47470aef1</t>
  </si>
  <si>
    <t>87986e10-05e0-4611-b815-b2993e830d15</t>
  </si>
  <si>
    <t>e8602283-5f7e-42c2-ad1b-2593216fc781</t>
  </si>
  <si>
    <t>2bbd923e-1252-4f11-bb23-2ac1c5b0c280</t>
  </si>
  <si>
    <t>21e4339b-387d-4bb2-ac3e-cac5e82d9b6f</t>
  </si>
  <si>
    <t>9ee5a632-e15a-48bb-b250-2ada7496f340</t>
  </si>
  <si>
    <t>bb535795-cf4d-408a-9cc6-723f1daa86d2</t>
  </si>
  <si>
    <t>e6493be1-50ce-4d01-9193-1a31d76e88a1</t>
  </si>
  <si>
    <t>70fe9a37-e810-4480-8674-a7ba1dd9f6f0</t>
  </si>
  <si>
    <t>ba72ab35-1971-4f3a-ab1b-a5905d4c3aac</t>
  </si>
  <si>
    <t>3e348f49-b623-4196-be82-ff9b52ce2669</t>
  </si>
  <si>
    <t>0a9b50f3-18bb-45a3-98e7-f22ef9c8c8f7</t>
  </si>
  <si>
    <t>75448ac5-2ce4-4027-869f-a670ec50701c</t>
  </si>
  <si>
    <t>8bd6db0f-43cc-4520-96dd-0d5f115f0548</t>
  </si>
  <si>
    <t>4009ffd5-7e21-4ee9-93d3-92f61693d807</t>
  </si>
  <si>
    <t>406f861c-ecce-44b0-bfb0-8c462451c6b5</t>
  </si>
  <si>
    <t>54948a5f-bd6e-47d6-a334-b7b1408b59b7</t>
  </si>
  <si>
    <t>a2feb7b5-7629-4faa-9d01-3a27aee1fce7</t>
  </si>
  <si>
    <t>592d47be-177a-4b55-96bb-1e91a42be6ed</t>
  </si>
  <si>
    <t>9432ed88-4a9a-42c6-9e66-37fe43b61256</t>
  </si>
  <si>
    <t>945e1b69-1ffd-4f2f-861c-078b86f4d14f</t>
  </si>
  <si>
    <t>b7257625-750a-43b8-ad6b-0325c3063da5</t>
  </si>
  <si>
    <t>eb25c528-6aa7-4ad1-a0f1-2ad44dcb5eeb</t>
  </si>
  <si>
    <t>faf31523-6cb2-4774-a76c-06b417347a98</t>
  </si>
  <si>
    <t>fa5e089e-85f8-4aff-a61e-c2ef57329326</t>
  </si>
  <si>
    <t>abae0494-54b8-434c-95ae-55bbef2a7672</t>
  </si>
  <si>
    <t>ea5f11e1-3176-4709-b0ef-00f3854e9641</t>
  </si>
  <si>
    <t>4dd51bc9-4c9b-4ce8-a4ce-753e5de0de54</t>
  </si>
  <si>
    <t>b81e46db-b3ad-40dc-aef8-076cd724c31a</t>
  </si>
  <si>
    <t>540816af-0404-4be1-b3f1-c62823e59e11</t>
  </si>
  <si>
    <t>dd03e2fe-ccc7-410f-a83d-75c66b3b347e</t>
  </si>
  <si>
    <t>45b59ba2-cc1a-48aa-9729-2e9c5c76f494</t>
  </si>
  <si>
    <t>22f3f4df-306f-4b59-b5ec-3d931ab8c783</t>
  </si>
  <si>
    <t>1783c4f4-93f9-4f48-bff9-30dbaf6eb59e</t>
  </si>
  <si>
    <t>44ebcf4a-c060-4c52-8333-f6f617e3dcb2</t>
  </si>
  <si>
    <t>bb83482e-a752-42ad-93aa-b827e36ce96a</t>
  </si>
  <si>
    <t>57b73847-40d3-4041-bf5b-c6892c9f4f75</t>
  </si>
  <si>
    <t>4091eb90-178a-431d-998b-f76d7b36ad11</t>
  </si>
  <si>
    <t>54040b88-b720-4f24-b518-40b44786ee14</t>
  </si>
  <si>
    <t>1cf41ffb-a20c-40dd-b5cb-86cce3d278ef</t>
  </si>
  <si>
    <t>1ad8dc95-bd00-44d2-ad63-cdf72870fe1c</t>
  </si>
  <si>
    <t>01e36071-fccc-492b-a8a0-b534eccc65e5</t>
  </si>
  <si>
    <t>cc39bb66-d4e8-417c-ba92-40ed386664b1</t>
  </si>
  <si>
    <t>173813a3-a271-4edd-887d-2ceb2dd242ab</t>
  </si>
  <si>
    <t>be682426-6ee3-40ae-9227-d41ebae897c9</t>
  </si>
  <si>
    <t>8b3a352e-65d7-43bf-bee9-c93335fd2daa</t>
  </si>
  <si>
    <t>c9458789-3305-4bc8-997c-0b1a064b9dc5</t>
  </si>
  <si>
    <t>f23d4ad7-2179-4c51-9a43-045dfcdb878f</t>
  </si>
  <si>
    <t>2a71b0ba-3891-4e80-803a-3f38fc4abd0a</t>
  </si>
  <si>
    <t>e9b07ac9-143c-4fd3-8a0e-d42850b49df3</t>
  </si>
  <si>
    <t>181eab9c-3105-4ba9-8d73-db9ac2f02993</t>
  </si>
  <si>
    <t>74b34bfc-6e97-438d-a13c-f4634753a131</t>
  </si>
  <si>
    <t>1602b8be-9833-4821-bcb7-6a7fb1387f8f</t>
  </si>
  <si>
    <t>15b7e061-b535-4075-ae65-73559477e79d</t>
  </si>
  <si>
    <t>d4c38076-53c8-49a2-9e42-dc4fd849c1ae</t>
  </si>
  <si>
    <t>f922656d-495c-4ff0-aab9-ecf56fffc1cc</t>
  </si>
  <si>
    <t>b18d81fd-ba59-4a1e-8973-11ad45bd0a49</t>
  </si>
  <si>
    <t>92709955-6a5e-4ab4-bd1a-7efdd7a308c2</t>
  </si>
  <si>
    <t>ab28072d-7824-4c4e-8672-ccb6f448e0c9</t>
  </si>
  <si>
    <t>81c7f4f5-faff-4463-b9bc-bf35ea0520c1</t>
  </si>
  <si>
    <t>72835644-97db-4dab-a1a9-bd89e98f724d</t>
  </si>
  <si>
    <t>41161c8a-8440-4b5b-ba64-1bc485ab38bf</t>
  </si>
  <si>
    <t>f70d9dd7-51e9-43f8-a8d2-8b83c816fb3e</t>
  </si>
  <si>
    <t>57efece1-8f8e-45e5-be18-aadb79cd2fe5</t>
  </si>
  <si>
    <t>c7f15ba8-ca98-4351-b9d0-f927cc1e229e</t>
  </si>
  <si>
    <t>657c2c5e-219f-456c-97a7-76fe33acd12a</t>
  </si>
  <si>
    <t>8dfeff18-2aa7-4416-8754-072bf59e89d0</t>
  </si>
  <si>
    <t>e6fdfb53-584d-467d-acaf-aa3541e8d714</t>
  </si>
  <si>
    <t>b1e5b9a7-820f-4789-84a0-bfe8bd6aedc2</t>
  </si>
  <si>
    <t>27626ac7-308c-41c5-b8eb-894e5f857247</t>
  </si>
  <si>
    <t>f681c1d5-5595-4cf1-9028-3c424fc78e70</t>
  </si>
  <si>
    <t>43cc6504-cc9c-4f0f-a8df-70975bf4baf5</t>
  </si>
  <si>
    <t>a9dcec46-01db-49d6-9801-5f77e6918e04</t>
  </si>
  <si>
    <t>d1c6c539-30dc-480a-a997-a2c0b62d370f</t>
  </si>
  <si>
    <t>5e4cd5cb-dae6-469c-ace4-9585abdc0931</t>
  </si>
  <si>
    <t>2829e6e3-5e9e-40e3-88fa-7832f2b4dd5d</t>
  </si>
  <si>
    <t>951cda58-d01b-40de-86bc-433a061ae92f</t>
  </si>
  <si>
    <t>07db1faf-9ab1-420c-aaf4-c59904bff62b</t>
  </si>
  <si>
    <t>6162f89b-c0f4-4524-965d-b29955b0f4aa</t>
  </si>
  <si>
    <t>70e08bed-8c9b-451a-8449-77032350debb</t>
  </si>
  <si>
    <t>89d3cd59-577a-4398-9116-5c13ea5f1a1a</t>
  </si>
  <si>
    <t>d61e12f8-b1e0-4b14-9386-3cd2a292cc1c</t>
  </si>
  <si>
    <t>c7b9a894-c860-44a1-8aff-f2c7d5ede421</t>
  </si>
  <si>
    <t>6a194cf9-b770-4fbb-9f6e-21e9aa17a9b6</t>
  </si>
  <si>
    <t>c061bf99-5e2f-4cd5-a35b-f3e5fe4f2c7c</t>
  </si>
  <si>
    <t>bc656baa-3c98-4b6c-9135-9fa24c131aee</t>
  </si>
  <si>
    <t>64a3e8e8-eab1-45b7-b312-dd703f00729e</t>
  </si>
  <si>
    <t>df979b57-a547-44cd-8cf7-fb88b0408b27</t>
  </si>
  <si>
    <t>3bc406fc-7610-41cb-9e6b-5d9dd9a56058</t>
  </si>
  <si>
    <t>3ef5c95d-6d9d-4139-8a25-34e8b6d3179a</t>
  </si>
  <si>
    <t>f8290933-781a-4a7e-89cd-ee89d0170edd</t>
  </si>
  <si>
    <t>10402274-bbdf-430c-a613-2a6c2cad7e27</t>
  </si>
  <si>
    <t>efefaca8-10aa-4c3a-863e-0070d412ca9a</t>
  </si>
  <si>
    <t>4432e5de-af91-4632-93df-73aff6dbc31c</t>
  </si>
  <si>
    <t>83aa9c11-b040-4397-837e-1168b05470f2</t>
  </si>
  <si>
    <t>d91605f5-e84f-4fa5-a95f-6e402a51e1b0</t>
  </si>
  <si>
    <t>51137b1d-e209-49d4-bc4c-0cb2721c61c5</t>
  </si>
  <si>
    <t>7fb1f6b2-8dc8-4077-a788-30428b8a6a00</t>
  </si>
  <si>
    <t>CEDD Apps, Boho CEDD and CQ</t>
  </si>
  <si>
    <t>bfcbe664-8003-465b-bc0f-250aeaed24eb</t>
  </si>
  <si>
    <t>5fc9af06-ec9d-47c6-9482-ad4418e5bb3a</t>
  </si>
  <si>
    <t>caf4ba41-e7aa-48e3-a586-4ce00eed05b2</t>
  </si>
  <si>
    <t>d074e7aa-005c-4ed9-aed4-52f8bac6d990</t>
  </si>
  <si>
    <t>fce36eca-c806-4c6d-9005-1c7e27bd7236</t>
  </si>
  <si>
    <t>103d9a4c-9625-46df-b2bf-62fae2eb9cd5</t>
  </si>
  <si>
    <t>eb491528-df97-49ab-83f6-f2dcd58809e8</t>
  </si>
  <si>
    <t>9d1f77f1-d59a-4ab3-b3e7-745b3d3baf4a</t>
  </si>
  <si>
    <t>aedb70fd-1d27-4ec0-927f-ffc860d1e5ff</t>
  </si>
  <si>
    <t>2ddbea3c-177f-4a7a-9d81-f41201917879</t>
  </si>
  <si>
    <t>826bfc39-56ae-4e51-98cc-df6cfe452cd2</t>
  </si>
  <si>
    <t>ca83ffe8-9a43-43c6-8f9f-b3eb63408f93</t>
  </si>
  <si>
    <t>82f4338c-a4f8-4ed6-bb98-d6d828e4a105</t>
  </si>
  <si>
    <t>b68dec43-bb59-4a7a-a996-c79e1e99b778</t>
  </si>
  <si>
    <t>c7915011-d454-4bdc-b19e-9033c1e92c81</t>
  </si>
  <si>
    <t>086aa8c8-56ed-46fb-b593-2cac2ec53e51</t>
  </si>
  <si>
    <t>8de3404e-3edb-4e59-b352-42fb1b9831cb</t>
  </si>
  <si>
    <t>e2c03e33-e763-4b22-91a6-e520f2c6aa48</t>
  </si>
  <si>
    <t>89a37834-d6e7-428d-8486-53407fbafdbf</t>
  </si>
  <si>
    <t>25d6f064-4867-4659-98e9-f81b96b8a030</t>
  </si>
  <si>
    <t>25d737b4-5b42-4766-ac99-d629908e462e</t>
  </si>
  <si>
    <t>f56f6789-b178-4f37-ac90-46054721573b</t>
  </si>
  <si>
    <t>bbb38995-881f-4948-9015-174d26b6c3fc</t>
  </si>
  <si>
    <t>aae330d1-e150-4ec6-b7d7-bd79022ca19f</t>
  </si>
  <si>
    <t>4f11a24f-301e-425b-9964-3cd56116b4a0</t>
  </si>
  <si>
    <t>5cdf4b5d-4679-49bf-9736-916d86a50918</t>
  </si>
  <si>
    <t>b08b3565-034f-42b3-b3a2-8a5d83b59a0f</t>
  </si>
  <si>
    <t>646603ed-952f-492a-9700-6f63eb9cefd4</t>
  </si>
  <si>
    <t>951cfa08-1fa2-49ca-806e-c9364215006a</t>
  </si>
  <si>
    <t>11b18de5-9b08-49c5-aa76-eddf5751ee48</t>
  </si>
  <si>
    <t>564c527d-8de4-4a1f-8544-3f36d824f524</t>
  </si>
  <si>
    <t>08e4713f-f743-4537-9ed6-61e667d729f3</t>
  </si>
  <si>
    <t>5daae572-8d69-422c-b775-bdf0ab4389aa</t>
  </si>
  <si>
    <t>85149022-33a4-47bb-97c8-b1dfabcfc69c</t>
  </si>
  <si>
    <t>3a0fd441-f56b-43f8-a9ee-db578902fccb</t>
  </si>
  <si>
    <t>f52aa989-9f4c-4b12-8d78-c323c5b34f0d</t>
  </si>
  <si>
    <t>a8812d39-3b6c-47e4-8754-881ba0062b54</t>
  </si>
  <si>
    <t>7afca201-2609-4ba7-aefb-f748b8896a5a</t>
  </si>
  <si>
    <t>82396ca8-e00f-47ef-894f-5bb558ff0c03</t>
  </si>
  <si>
    <t>c71d9300-51d6-466c-a8ed-29fdbcfd7367</t>
  </si>
  <si>
    <t>e7173d1b-1be2-464b-9352-8f2293b31790</t>
  </si>
  <si>
    <t>0e9c1e7c-e408-470f-87bf-8f804bffc34b</t>
  </si>
  <si>
    <t>bb9e0eff-5304-42c6-85cf-ebdcb35a7013</t>
  </si>
  <si>
    <t>8af4e108-6b75-476a-a3bd-df9102483de6</t>
  </si>
  <si>
    <t>776eb37f-e059-478f-b6f3-159ee98e37e0</t>
  </si>
  <si>
    <t>0d1ceef5-6c52-4c24-8df6-a783af516b66</t>
  </si>
  <si>
    <t>bb1082f1-5dc2-464d-b772-33c10bb4f777</t>
  </si>
  <si>
    <t>182b824e-92af-4da7-8e6a-2e6d4ae02d78</t>
  </si>
  <si>
    <t>5da3f843-58d5-4bf1-98d2-dd543e06644d</t>
  </si>
  <si>
    <t>7ca9e12b-d675-4907-8271-ad34a807c7d2</t>
  </si>
  <si>
    <t>8f81db0e-2008-4db0-9c6f-deed939d13af</t>
  </si>
  <si>
    <t>37ee9ff9-e5ae-449c-9a4c-5530e4397b12</t>
  </si>
  <si>
    <t>b96de39a-bec9-40d0-9337-6a3adaa997dd</t>
  </si>
  <si>
    <t>fe4da97e-2853-4d6f-bf2e-f10cd7c3a021</t>
  </si>
  <si>
    <t>ce970300-403d-4247-bd83-c7ed6c1e27bb</t>
  </si>
  <si>
    <t>e283ac87-918e-41be-bc38-50ac5ecd4f6d</t>
  </si>
  <si>
    <t>cee7ceeb-c14a-465b-9277-29523500abbf</t>
  </si>
  <si>
    <t>5473a634-23de-46ec-aa12-674f6a67c4fa</t>
  </si>
  <si>
    <t>7f5d7dfa-99f8-42c8-ab47-16c8a97d0ce9</t>
  </si>
  <si>
    <t>d503d2e0-edb7-412a-9d75-7324acef7a37</t>
  </si>
  <si>
    <t>317b2c4f-e6f4-4430-8c5d-96832cfb7e58</t>
  </si>
  <si>
    <t>7be83ef8-77c0-4c2d-bddf-756d8a5a1e18</t>
  </si>
  <si>
    <t>85adc189-494d-4b23-b376-8bc7845526bc</t>
  </si>
  <si>
    <t>64529cba-3ed6-4cb0-88b5-cb79ec537908</t>
  </si>
  <si>
    <t>0036f14b-97a4-4285-999b-28b53a79f7ac</t>
  </si>
  <si>
    <t>0c97969a-2273-432b-8961-dbc7012a0428</t>
  </si>
  <si>
    <t>1676ee30-4a74-4ab3-865b-48a3b662f9b2</t>
  </si>
  <si>
    <t>6a8c9168-3f2f-43af-98df-4bd5781fe7c3</t>
  </si>
  <si>
    <t>c2c31d53-5afc-438b-903f-980bd7daaf5d</t>
  </si>
  <si>
    <t>afae8480-f4d5-4b09-b9ce-982c9220f5e3</t>
  </si>
  <si>
    <t>b5dae2f2-fea2-4b7c-b505-eedebc968b50</t>
  </si>
  <si>
    <t>320ab517-2d7e-4661-9f5e-168511fe0605</t>
  </si>
  <si>
    <t>f7cbc3cd-4d0c-4cc4-ad03-ec7cf887c313</t>
  </si>
  <si>
    <t>fae7af32-1257-4921-8a28-134a96132314</t>
  </si>
  <si>
    <t>81bfd747-ca78-4f05-a6a6-ca52f50edb07</t>
  </si>
  <si>
    <t>c63e00ff-263b-49b8-aea4-d0357ce7ddda</t>
  </si>
  <si>
    <t>c08b1d3a-f706-49cd-a7c8-f667c5f91e06</t>
  </si>
  <si>
    <t>1ef3d50c-c1db-4961-90a3-b6623bda1217</t>
  </si>
  <si>
    <t>aa9a2523-c1f2-4aac-913e-0a2ba60a111d</t>
  </si>
  <si>
    <t>5ac048ab-9cf3-44d4-8dc8-ad00b144e5cc</t>
  </si>
  <si>
    <t>022147fc-0872-4b5f-b3fc-4117b71a8715</t>
  </si>
  <si>
    <t>2fd8b72c-eeda-42dc-926d-47cef69bffd1</t>
  </si>
  <si>
    <t>c58b03ce-5810-45c9-84ae-313db3e60350</t>
  </si>
  <si>
    <t>af72c555-b149-43aa-98b9-93e56b37b985</t>
  </si>
  <si>
    <t>80aa4e56-560f-4dbc-a730-016453da9325</t>
  </si>
  <si>
    <t>3d40803f-3034-475e-800f-68fba39eafe2</t>
  </si>
  <si>
    <t>283162f0-e24c-4950-8c53-93f9a1cf2629</t>
  </si>
  <si>
    <t>7919cdeb-2f0d-4a62-a8eb-699127d570de</t>
  </si>
  <si>
    <t>59673205-d062-4c6d-bbd8-b7241f9ba68d</t>
  </si>
  <si>
    <t>e53836fc-3ce7-43c8-ba71-5b840149c849</t>
  </si>
  <si>
    <t>7682493c-9443-450a-bbd0-168b954b14cd</t>
  </si>
  <si>
    <t>1ba776ac-9d3d-4c52-a2c7-6d2215402c61</t>
  </si>
  <si>
    <t>0fcf1b23-12fc-41f6-a72e-1f97245f8311</t>
  </si>
  <si>
    <t>952cc322-cc9a-4abe-98e9-9da3f340030d</t>
  </si>
  <si>
    <t>90054ee0-f06b-4597-bd5b-420900248243</t>
  </si>
  <si>
    <t>409aef14-2175-4508-9885-191774d016ff</t>
  </si>
  <si>
    <t>78e70403-a88f-4553-9875-b697f6c08161</t>
  </si>
  <si>
    <t>63b0d04e-0b58-4d72-8174-67cd52c0f568</t>
  </si>
  <si>
    <t>5c95fb57-71af-4685-9393-dd8e7f77257b</t>
  </si>
  <si>
    <t>ea439453-ee0d-40fa-95b5-8462ee0d4dba</t>
  </si>
  <si>
    <t>907e1207-287c-44f0-91d9-239b028e0576</t>
  </si>
  <si>
    <t>35779189-edc5-43ec-8791-787fbbbd1c06</t>
  </si>
  <si>
    <t>2a7ea8d5-7bab-41b8-abc2-f5c346f966ed</t>
  </si>
  <si>
    <t>da6eca01-729a-48a2-ad3f-ace94b57103b</t>
  </si>
  <si>
    <t>05bda32b-1c12-4961-a7c6-796acb8c985f</t>
  </si>
  <si>
    <t>3ae5ecf9-584c-4ca5-a311-6d71ed1edbdc</t>
  </si>
  <si>
    <t>4d7b49b2-9db6-493d-959f-0b71a4d0dbfb</t>
  </si>
  <si>
    <t>ee0bed5d-7856-41c1-910a-557d10aec675</t>
  </si>
  <si>
    <t>fba94074-3e15-47ec-bf0d-a36c2c4b811a</t>
  </si>
  <si>
    <t>69f0b9b1-8089-4f51-aeec-9bde58acbd79</t>
  </si>
  <si>
    <t>9c12d3ad-164f-4ece-8f2e-df7d5260c706</t>
  </si>
  <si>
    <t>00d5cc88-b8c3-4370-9325-8e7035043db1</t>
  </si>
  <si>
    <t>96346086-f260-4622-a903-7aee58da18e6</t>
  </si>
  <si>
    <t>a1aa08e0-dc91-4bb2-8670-228a6debc609</t>
  </si>
  <si>
    <t>6c47f80b-be16-472f-b3db-312315b330f4</t>
  </si>
  <si>
    <t>a8ef91f2-0f4b-4c4e-81ba-ee7cfd8ad763</t>
  </si>
  <si>
    <t>3c32e85f-458e-430e-bc64-11a528417071</t>
  </si>
  <si>
    <t>6f0566ac-0071-4ade-b595-97c9a3b81deb</t>
  </si>
  <si>
    <t>28834f73-6eb3-474a-b102-e4f17d0ec418</t>
  </si>
  <si>
    <t>21cbb9dc-1aa4-45d4-b869-658e3646bc20</t>
  </si>
  <si>
    <t>4c5049de-6d4c-40d2-a6e0-751a11b54c05</t>
  </si>
  <si>
    <t>c5e618c6-e2d3-44c4-b797-4163e0cf1de9</t>
  </si>
  <si>
    <t>5bd401f6-0faa-457a-bc8c-e2c44ee2feac</t>
  </si>
  <si>
    <t>9fd8bb18-fdae-41d4-a620-417ec523dd8a</t>
  </si>
  <si>
    <t>50ee491e-a5c3-43c7-9e22-9c1904708e48</t>
  </si>
  <si>
    <t>ce1f5b20-92c8-4ea9-a058-de7593b52272</t>
  </si>
  <si>
    <t>01374fc5-2209-43f7-8c5e-a3178343912a</t>
  </si>
  <si>
    <t>bc8b30b3-9aa3-4674-9436-d3b90446f7b8</t>
  </si>
  <si>
    <t>c85d9be0-dd4d-4bc7-87c7-756abedb1d26</t>
  </si>
  <si>
    <t>3e2532fb-07cb-4cff-b834-6ae521e8dc13</t>
  </si>
  <si>
    <t>ae2920ef-08b5-4ce7-876f-8b41723a29c2</t>
  </si>
  <si>
    <t>818b55e0-1354-4ecf-9352-92bb4bfb02af</t>
  </si>
  <si>
    <t>7ec87095-f38d-43c7-9750-0ff344bb20ea</t>
  </si>
  <si>
    <t>3fb12ddd-79d5-46ec-8d24-1d4f95db8d46</t>
  </si>
  <si>
    <t>95daa844-bafc-4a42-ae58-86f6a2c35598</t>
  </si>
  <si>
    <t>05d3bbbd-bffc-41e9-9be4-4817067ca679</t>
  </si>
  <si>
    <t>278b252b-f6aa-4269-b699-b59369dd3dac</t>
  </si>
  <si>
    <t>665dcb73-6761-4fb7-b90e-d3a48e09a2e2</t>
  </si>
  <si>
    <t>71cf5fd3-a102-422c-a95e-a94a14598803</t>
  </si>
  <si>
    <t>cb3f0015-ab43-4ea3-a900-8fe4688ed1ca</t>
  </si>
  <si>
    <t>3c94ec19-7c50-48ab-ac2e-e970f98c1274</t>
  </si>
  <si>
    <t>0a454d0c-f5e3-4a1e-848b-6453d730847e</t>
  </si>
  <si>
    <t>894ccaba-5dc2-419c-a845-8dce334b56d7</t>
  </si>
  <si>
    <t>70d984ca-e5c3-4585-83ee-a00f7562372e</t>
  </si>
  <si>
    <t>1becb177-3ad5-41e9-ae5f-191cee5c9221</t>
  </si>
  <si>
    <t>bdb3913a-6e59-48e9-b526-68e1e47ccdf6</t>
  </si>
  <si>
    <t>9ee3d4d5-2cc5-4add-bfba-19028292e896</t>
  </si>
  <si>
    <t>9e6e443f-c8a5-4682-ab1c-089ce1fc29a1</t>
  </si>
  <si>
    <t>3f0e30f7-90ca-4188-90eb-0881a60443c6</t>
  </si>
  <si>
    <t>b4097d70-69d9-4ddf-a0a2-8cf7c1a7969c</t>
  </si>
  <si>
    <t>81081dcb-53c3-4071-93f6-cc3696d31039</t>
  </si>
  <si>
    <t>cecc9cee-7016-4793-a37b-01de4c001b74</t>
  </si>
  <si>
    <t>6a30cae7-8286-4e16-93de-a4d552baae09</t>
  </si>
  <si>
    <t>e24fd479-9329-48b6-b2cd-838e1b0e8e67</t>
  </si>
  <si>
    <t>Holiday leave
Deferred: https://canva.slack.com/archives/C05A76H5FUM/p1764743379671789</t>
  </si>
  <si>
    <t>da852ecc-b70d-4df5-9b4d-2fca0499d621</t>
  </si>
  <si>
    <t>097e791b-e0bd-48f7-9865-848081164644</t>
  </si>
  <si>
    <t>ac40df69-d568-4975-ae58-6fb19259b3aa</t>
  </si>
  <si>
    <t>723d6d76-bec8-4cf6-b5c2-966df85cfac6</t>
  </si>
  <si>
    <t>6260518f-19bf-41fc-bc83-fc58309b945b</t>
  </si>
  <si>
    <t>05295cdb-9769-4099-94d4-92492c472a8c</t>
  </si>
  <si>
    <t>61f65296-eff0-401b-ae10-dca3a750221d</t>
  </si>
  <si>
    <t>27e8655a-0b1b-4923-b00c-a792b3437733</t>
  </si>
  <si>
    <t>fd531037-6934-457f-862e-0a282968b348</t>
  </si>
  <si>
    <t>e914f06f-bde6-4e01-bafc-3ca2c07cc0c3</t>
  </si>
  <si>
    <t>36d471a1-a432-4143-851e-9f6783fc8521</t>
  </si>
  <si>
    <t>ticket clinic for CEDD apps</t>
  </si>
  <si>
    <t>6e79e17f-b08a-4750-afd0-239d47bee769</t>
  </si>
  <si>
    <t>5173398b-049b-4c84-9f1b-b0313bd48355</t>
  </si>
  <si>
    <t>physical therapy session</t>
  </si>
  <si>
    <t>7c28ae46-3b15-4428-889f-0286712163ac</t>
  </si>
  <si>
    <t>eb22ecd3-be89-4d77-9dac-5fa503d009a2</t>
  </si>
  <si>
    <t>0f9c3d3a-aea5-44a4-97ae-9bf89befa50d</t>
  </si>
  <si>
    <t>e45277d9-f94a-4cbe-b813-82933334b75d</t>
  </si>
  <si>
    <t>1b468c4c-fdc4-4f51-98b5-66401ea1eac6</t>
  </si>
  <si>
    <t>7b9c64f9-f62a-4cfa-a9ed-dd075a7f8785</t>
  </si>
  <si>
    <t>003a7c47-6fa2-46db-98bc-722fef83236e</t>
  </si>
  <si>
    <t>e9931a77-1417-44a9-8f25-1e7394d903b0</t>
  </si>
  <si>
    <t>5bf3da8f-c04d-447c-9a8d-7d5b4bc7eaf3</t>
  </si>
  <si>
    <t>c7674f20-9e62-415a-a753-50de6aed137d</t>
  </si>
  <si>
    <t>84e0ff8b-4dae-4ced-9665-1014edb46863</t>
  </si>
  <si>
    <t>b41338d9-bb47-4382-a646-b37b3f97f1a9</t>
  </si>
  <si>
    <t>bd5a0fce-258f-4bf8-8444-ec0872fc0c02</t>
  </si>
  <si>
    <t>5fd44a0e-9c5f-48c6-b734-98981b83b55c</t>
  </si>
  <si>
    <t>410414e7-8a09-47aa-9417-9f500c1ff70e</t>
  </si>
  <si>
    <t>9e2dd6f9-d191-474a-a6fe-41e33a92d859</t>
  </si>
  <si>
    <t>23d9b93f-56f3-406c-b15e-fefce541041a</t>
  </si>
  <si>
    <t>26dea33b-56c5-4c43-afb0-7c0547e1778e</t>
  </si>
  <si>
    <t>b0145370-6e91-45c6-ba4e-a88f78241ff1</t>
  </si>
  <si>
    <t>ed739945-06cf-4a8e-b3de-376ed4806fbe</t>
  </si>
  <si>
    <t>00a0f0a9-791b-4bbd-b4d2-3819a608b17b</t>
  </si>
  <si>
    <t>holiday leave - already notified coach pau about this during prev. coaching</t>
  </si>
  <si>
    <t>3296ec64-b574-4a6c-96fe-c0e3a74b96ff</t>
  </si>
  <si>
    <t>57644a7a-f10a-4bad-8c68-352452c387e0</t>
  </si>
  <si>
    <t>fa1a5eb1-5228-4226-a856-6be63cbac365</t>
  </si>
  <si>
    <t>bf193128-2b1d-4cec-a463-c7a788692708</t>
  </si>
  <si>
    <t>ac2867b9-9600-474e-a789-625ba4796353</t>
  </si>
  <si>
    <t>8edb4436-2718-4536-b6ef-567836af1af7</t>
  </si>
  <si>
    <t>fcc65244-4398-4bd1-b8c5-2a12d153353e</t>
  </si>
  <si>
    <t>ab3ad90f-502d-45f6-887e-c2f20c1f9d47</t>
  </si>
  <si>
    <t>5a218e0b-1844-4c0f-8ce8-8288c495efcc</t>
  </si>
  <si>
    <t>1809886a-e19f-4782-891b-1c67a6654a93</t>
  </si>
  <si>
    <t>572d8b2b-1ba4-4b9e-bb5e-d2057d072dd1</t>
  </si>
  <si>
    <t>ae3edda1-9442-42d4-96cb-d1826dd57aba</t>
  </si>
  <si>
    <t>3ecaf8a0-45f3-4f94-a0df-77635aba94e1</t>
  </si>
  <si>
    <t>5c95637a-0f62-409b-a047-d26523f3753e</t>
  </si>
  <si>
    <t>701ff72f-ee2c-439b-b7d5-436878fb4f05</t>
  </si>
  <si>
    <t>febb51ab-a920-49c9-aef1-4542599e94aa</t>
  </si>
  <si>
    <t>83d48f8b-e6c0-4a02-b29e-a363fc3a0110</t>
  </si>
  <si>
    <t>9c3f23f2-54a7-46f4-8334-534271c7c944</t>
  </si>
  <si>
    <t>c9c9687a-b2e2-47c7-a7b5-f35b71fcdf3e</t>
  </si>
  <si>
    <t>ba4b7522-fd47-4134-9959-e8b094b78a2e</t>
  </si>
  <si>
    <t>774da98f-6648-472a-8f44-729991ff190c</t>
  </si>
  <si>
    <t>7653b726-00da-49a7-9b92-aa202830ba0c</t>
  </si>
  <si>
    <t>c1a67af3-82f1-44e0-8e62-f944be143bf0</t>
  </si>
  <si>
    <t>0fab793e-a768-4c85-8bf2-cc3796341c95</t>
  </si>
  <si>
    <t>167864ab-7c5e-41f9-b8cc-dce75e982dd2</t>
  </si>
  <si>
    <t>9e26e4ae-e843-4e6f-b871-74fe8cc23df7</t>
  </si>
  <si>
    <t>86264f99-fd86-465a-aca7-4179c647d95e</t>
  </si>
  <si>
    <t>9168a3f1-a50e-435b-9f42-7b3580730710</t>
  </si>
  <si>
    <t>3c60b3c2-65fa-40ef-a74b-23051d7233a4</t>
  </si>
  <si>
    <t>48662735-9dc7-4c09-9c70-a0b6abda6dea</t>
  </si>
  <si>
    <t>aac81a4a-e7ee-4211-b8e0-68dce6a0b1ff</t>
  </si>
  <si>
    <t>ef7e4850-f5c4-4824-919b-851ec848b003</t>
  </si>
  <si>
    <t>e33b7ed5-b115-4099-96d9-afb28d429fa1</t>
  </si>
  <si>
    <t>1c2443ff-7a9c-4609-bf62-2a650a589607</t>
  </si>
  <si>
    <t>9d9f1cb4-9db0-4f18-9341-dc53e6f14233</t>
  </si>
  <si>
    <t>41fe2704-1db7-410d-8a14-ecab6a5ac0e3</t>
  </si>
  <si>
    <t>d03bf577-00c7-46bb-ac6d-bebb16c8a390</t>
  </si>
  <si>
    <t>c6f48bff-4a7d-4dce-a477-cd677be5f3be</t>
  </si>
  <si>
    <t>90e33f03-1096-47f5-8905-82952af62ce6</t>
  </si>
  <si>
    <t>8f1be04d-83a6-4cac-8aa9-c52efdc75805</t>
  </si>
  <si>
    <t>190730e4-fb93-434d-a1c3-fcf2b70816a6</t>
  </si>
  <si>
    <t>6d0c3b75-919d-4599-82d0-dd27d3d1fd3b</t>
  </si>
  <si>
    <t>12e36151-7b4b-4e2e-aef1-96c071af76d4</t>
  </si>
  <si>
    <t>eceee082-55ea-4acc-9afe-ec66796447fd</t>
  </si>
  <si>
    <t>86f9ec12-7440-4d93-88b2-6b6201df835a</t>
  </si>
  <si>
    <t>7428ab9c-96e7-4408-a60f-670d50d9e3de</t>
  </si>
  <si>
    <t>0efa7bbc-a153-40b8-910d-13cd81547f5e</t>
  </si>
  <si>
    <t>08c87133-a9d3-49f1-9ec4-cf2772d3714b</t>
  </si>
  <si>
    <t>5443e5be-5c6b-402d-aadf-7c9ceb451fe1</t>
  </si>
  <si>
    <t>5adac423-df01-421a-9f69-282b830781cb</t>
  </si>
  <si>
    <t>9c276062-0aac-4630-af34-32d3a5f7b0db</t>
  </si>
  <si>
    <t>7346ffc5-f948-4dd4-b094-089c00b547c0</t>
  </si>
  <si>
    <t>d1ca00aa-e4b3-4187-8171-276e802e2228</t>
  </si>
  <si>
    <t>aeffb17f-f846-4aac-be98-02d4d95af863</t>
  </si>
  <si>
    <t>e23c202a-5b1b-41d4-9547-c18047392ecb</t>
  </si>
  <si>
    <t>7abbc25c-09ea-4cbe-abd7-271ddd905668</t>
  </si>
  <si>
    <t>affe7427-67be-4c06-b1c3-e61ab73626ef</t>
  </si>
  <si>
    <t>5dab0236-e35a-4303-aebb-19555a6df92c</t>
  </si>
  <si>
    <t>0eadef29-7460-4174-9ccd-935996c24e14</t>
  </si>
  <si>
    <t>b31bf161-5970-40d7-8cb3-6ae8fb51c042</t>
  </si>
  <si>
    <t>0f689f82-9853-4bce-b7cb-fe0a0d4c45a8</t>
  </si>
  <si>
    <t>7c775e0e-d663-4cf4-ad36-9e049922bb74</t>
  </si>
  <si>
    <t>e73ff0b4-0aea-4232-9ecc-cfefccb60855</t>
  </si>
  <si>
    <t>56d63581-3f46-4007-94bc-f953816585b9</t>
  </si>
  <si>
    <t>29b2c1ea-421b-4ead-8599-0a3402983c26</t>
  </si>
  <si>
    <t>5fab89ea-103f-4379-b914-fcf596ee7b1a</t>
  </si>
  <si>
    <t>e0da266e-e363-4a95-8016-d8232080fdcc</t>
  </si>
  <si>
    <t>1d154d01-0b12-4cd4-b01d-f256db0132e1</t>
  </si>
  <si>
    <t>8b1c882f-f39d-40a8-8d36-ad3d63687f9d</t>
  </si>
  <si>
    <t>752a6770-b31a-4142-a4df-06a88b377d08</t>
  </si>
  <si>
    <t>go over the updates and When to Edit Cal Responses training</t>
  </si>
  <si>
    <t>17915c43-cfe9-407d-a7b7-d5f29b7502b6</t>
  </si>
  <si>
    <t>b2f212c1-d590-4231-8105-44886b7b84e9</t>
  </si>
  <si>
    <t>9e2876e8-58f1-4c72-aacb-3adb176180ed</t>
  </si>
  <si>
    <t>c1aaef26-b93b-481e-8503-c979658c28d5</t>
  </si>
  <si>
    <t>4f77e759-1f7a-4ed3-85c5-42e2875a77c7</t>
  </si>
  <si>
    <t>5a87aaf5-f579-4560-9b89-9b850b9e5920</t>
  </si>
  <si>
    <t>c62f16a0-fd8d-46e9-96b9-427655957d68</t>
  </si>
  <si>
    <t>e25d4493-d15e-41a4-bb94-e27a7fbd72d9</t>
  </si>
  <si>
    <t>6125aa9d-cb4f-4ff0-b90a-5ffa7b5f0844</t>
  </si>
  <si>
    <t>63f25b44-03f7-480e-8131-8431b8edba7f</t>
  </si>
  <si>
    <t>8ce0a9f4-064b-4a1a-8c22-448760e9f585</t>
  </si>
  <si>
    <t>628837a4-6c22-4800-9ab4-117caa71205d</t>
  </si>
  <si>
    <t>d975e08b-2fbe-475c-ad1a-4547cb0e806c</t>
  </si>
  <si>
    <t>826b95f4-8728-4007-a2df-f3d8c7cf5872</t>
  </si>
  <si>
    <t>42865d1e-3f17-4780-b3bc-3be660a75d2e</t>
  </si>
  <si>
    <t>16415f8b-46df-423e-af5c-e4bd18793bc5</t>
  </si>
  <si>
    <t>becf6e7e-5860-4267-acba-2e9f97205f07</t>
  </si>
  <si>
    <t>66800eec-66ff-495d-b4f7-1bf6bbc99bf3</t>
  </si>
  <si>
    <t>ff0c129d-b1c3-4ca7-bcb2-e7b0c58305d7</t>
  </si>
  <si>
    <t>2d47a356-8013-4844-ac59-8c22514a5cf6</t>
  </si>
  <si>
    <t>beb78efe-bd12-40dd-9282-42980a1dac26</t>
  </si>
  <si>
    <t>761536e3-feeb-41e3-a027-07b39c79539f</t>
  </si>
  <si>
    <t>6515bbc9-7a6f-4cfa-a9e7-aa4f13d0b38e</t>
  </si>
  <si>
    <t>277e19a4-a930-44b3-b404-56b352754aae</t>
  </si>
  <si>
    <t>360e9150-876e-47c5-82b1-6b09ce187182</t>
  </si>
  <si>
    <t>94b495da-a8d4-4e47-a68c-97e9bbbf3d52</t>
  </si>
  <si>
    <t>85516649-7f9b-4f6c-a9be-3b5e83645789</t>
  </si>
  <si>
    <t>4f27d416-12f6-45f1-ad21-7e0817e4c8ce</t>
  </si>
  <si>
    <t>f5789102-fcf6-43fd-8e4d-aa171f887e18</t>
  </si>
  <si>
    <t>4c166c51-3feb-4db6-b2a6-55670166cae3</t>
  </si>
  <si>
    <t>811837ab-d6d1-4fb9-9700-38470549800e</t>
  </si>
  <si>
    <t>f3ebf43c-3f21-456d-91bb-c2e445302584</t>
  </si>
  <si>
    <t>8fe87cba-7cf4-4d70-849d-fb6cf95671a0</t>
  </si>
  <si>
    <t>d056d326-c64b-4d74-a7aa-6cbb8c1cbc00</t>
  </si>
  <si>
    <t>41f48aae-b82c-4d57-84a3-d127f0b6dc67</t>
  </si>
  <si>
    <t>e4542d1f-9fd7-4930-b253-ae0c0431d9fc</t>
  </si>
  <si>
    <t>04f6489d-3dca-486a-80a0-c9219ab9061e</t>
  </si>
  <si>
    <t>b72a9f87-4ba2-4074-89de-aec9422db25e</t>
  </si>
  <si>
    <t>1897bbb7-f207-4c24-84f6-d309067d318f</t>
  </si>
  <si>
    <t>78426959-d4f9-47d6-871b-e1705f970b13</t>
  </si>
  <si>
    <t>c1f1ce21-d5d9-4832-86d0-261432a0a590</t>
  </si>
  <si>
    <t>e819d07d-bee1-4ecd-b2fb-b358c91fe878</t>
  </si>
  <si>
    <t>bacedb6e-2081-4a52-8de0-cf8f502be67e</t>
  </si>
  <si>
    <t>af270279-efaa-4b23-897b-9df57faeb562</t>
  </si>
  <si>
    <t>82d846f7-5f01-4eae-ab45-dd49639b0956</t>
  </si>
  <si>
    <t>c751689b-cfdf-44d3-beb4-0fe14e799d53</t>
  </si>
  <si>
    <t>cd3c85b1-9acc-445d-b257-e83d4d92ff0a</t>
  </si>
  <si>
    <t>a82f2696-4f5c-4988-bcea-04bba3758620</t>
  </si>
  <si>
    <t>f02ffc0e-3739-4954-87fa-7f549f09d2f6</t>
  </si>
  <si>
    <t>779ac26e-4355-40a9-90ea-e875505a674f</t>
  </si>
  <si>
    <t>bb6b2fee-cd96-4e17-b735-2429622db8f0</t>
  </si>
  <si>
    <t>e7466972-7c62-4765-8a84-be83ace3863e</t>
  </si>
  <si>
    <t>6e2442b0-ed55-43db-a1ec-0a4e0a1c631f</t>
  </si>
  <si>
    <t>dd382f6a-e650-4c07-8168-6ec36226be22</t>
  </si>
  <si>
    <t>63a4bc42-21db-4843-beff-4c8ebcd426fa</t>
  </si>
  <si>
    <t>088fefc3-b30f-4ab4-abbc-412fd0e5dfa1</t>
  </si>
  <si>
    <t>AI Legal - 2025 (Workramp)</t>
  </si>
  <si>
    <t>3e1f83e3-764d-4429-a2d8-cf9a63c8aecf</t>
  </si>
  <si>
    <t>Learn when to edit CAL's responses --- https://canva.slack.com/archives/C0E104JRF/p1765851917336429</t>
  </si>
  <si>
    <t>9383d85a-1368-4aeb-a97b-af6773bf5006</t>
  </si>
  <si>
    <t>New Process for Threats of Harm - https://canva.slack.com/archives/C0E104JRF/p1765837399081279</t>
  </si>
  <si>
    <t>891fbd62-f256-4196-a59f-cfd1cd0743bb</t>
  </si>
  <si>
    <t>11d87799-fb16-4b2e-b631-1bea9d5b6a0e</t>
  </si>
  <si>
    <t>47cedb0d-567e-4579-8d44-52d84164a2ad</t>
  </si>
  <si>
    <t>5467799f-efbe-48e1-bff9-6b00ddf870bc</t>
  </si>
  <si>
    <t>3e7ec012-e6bd-4f24-9d07-77944b57f57e</t>
  </si>
  <si>
    <t>24f65cd4-a34a-47f6-a5ab-ef3b43ac0765</t>
  </si>
  <si>
    <t>131fa979-813e-43b0-8345-3d68b938ca7d</t>
  </si>
  <si>
    <t>58c3688a-592d-4869-8d01-633672a14e07</t>
  </si>
  <si>
    <t>2033525e-0644-4751-9642-020c2965727f</t>
  </si>
  <si>
    <t>1ee0fdaa-3c58-4ca7-b079-dabd3bbad48c</t>
  </si>
  <si>
    <t>b76cc154-94cf-4dc4-b7d0-e16d4acac914</t>
  </si>
  <si>
    <t>dff5d920-3550-4d3f-88ff-1d3a877701b6</t>
  </si>
  <si>
    <t>7b6fcb77-e088-415b-a7fd-fdb30aceb397</t>
  </si>
  <si>
    <t>105db21e-f2f7-4497-9000-e13bb3b2407d</t>
  </si>
  <si>
    <t>077fe114-5af8-4fb6-8bb4-20d4193336a5</t>
  </si>
  <si>
    <t>7a15eeaf-d976-4084-9aa5-708c2231343f</t>
  </si>
  <si>
    <t>08f87190-a22e-4479-959f-aba549250e5e</t>
  </si>
  <si>
    <t>6f609c52-87c8-4f78-9ebc-d398ba17fcbe</t>
  </si>
  <si>
    <t>127d466b-11bf-4411-8946-21b1f5d4d792</t>
  </si>
  <si>
    <t>2552ed67-09e9-4cd0-9b23-5baf76b8fcaa</t>
  </si>
  <si>
    <t>b80c36b7-b690-4988-98cc-c49c61449315</t>
  </si>
  <si>
    <t>9b934f2b-d396-4fd4-bfa9-1a0476ce20d7</t>
  </si>
  <si>
    <t>1e97f488-9ad2-4b04-ab67-43b4b2baef55</t>
  </si>
  <si>
    <t>b5df109a-162b-437d-9371-92209ee7dd11</t>
  </si>
  <si>
    <t>18b590d5-6cbb-467f-a93d-1ca81be550a5</t>
  </si>
  <si>
    <t>3e12d2f1-9841-4514-bf8c-f236535058c5</t>
  </si>
  <si>
    <t>b6d0f36b-e641-4856-8527-0f9334fad5d6</t>
  </si>
  <si>
    <t>e18d3e14-265e-4da4-9bc9-b124c259b528</t>
  </si>
  <si>
    <t>63904152-cf84-4be5-943d-bc193ba361ee</t>
  </si>
  <si>
    <t>UV ALl Hands</t>
  </si>
  <si>
    <t>3c2bc196-9b13-4e71-bf67-0dea56d91c04</t>
  </si>
  <si>
    <t>36ee724c-6ee1-47e3-920c-f43a73cd2d43</t>
  </si>
  <si>
    <t>4fef6451-209e-4cbf-9540-b7ddc2cf59c7</t>
  </si>
  <si>
    <t>ba1d54a2-76af-42e9-91e9-c01e3c1397a5</t>
  </si>
  <si>
    <t>22b57ea0-d242-49ad-a6c9-76423d5abdfb</t>
  </si>
  <si>
    <t>de99582a-33b9-46bf-9292-d4f9433f5924</t>
  </si>
  <si>
    <t>7913a9da-f0fc-4ea2-97c8-40dc2fbe4ab3</t>
  </si>
  <si>
    <t>Read updates</t>
  </si>
  <si>
    <t>76e41384-3c0c-41a7-bf54-560618422003</t>
  </si>
  <si>
    <t xml:space="preserve">Learn when to edit Cal's responses
</t>
  </si>
  <si>
    <t>5e5dd1cd-4753-49f1-9c79-cf06ebba4b01</t>
  </si>
  <si>
    <t>4045c019-0866-4bd7-9077-4dbf62a417df</t>
  </si>
  <si>
    <t>5e111b43-0264-4975-a8c5-9239d5761859</t>
  </si>
  <si>
    <t>b85268dd-8481-42b2-8a9f-c918f6a36a30</t>
  </si>
  <si>
    <t>4e9a0aa0-768a-41c2-9ea8-a5212c24795d</t>
  </si>
  <si>
    <t>81a0fb53-0006-4c6e-ad56-5362e19c096e</t>
  </si>
  <si>
    <t>8f23493f-9b0a-42c0-a821-409ffab93628</t>
  </si>
  <si>
    <t>Last team meeting for 2025</t>
  </si>
  <si>
    <t>d9eb37aa-d850-4d32-9877-22c2a7950982</t>
  </si>
  <si>
    <t>d4f2f667-dc45-42fa-a74f-d1c34284f050</t>
  </si>
  <si>
    <t>f1fb6315-40cd-4901-92cc-6c8bacb7a6bb</t>
  </si>
  <si>
    <t>a9a15fc6-ddc3-4aae-bdb8-37c78895eed7</t>
  </si>
  <si>
    <t>46a54744-98f4-45d9-89e5-d3497e2d77c0</t>
  </si>
  <si>
    <t>29c9219b-a139-4ae1-86ad-0045f2812404</t>
  </si>
  <si>
    <t>b711a74b-806c-4ff1-ab04-8ce387c8cf6d</t>
  </si>
  <si>
    <t>39bcca54-9822-41ae-a243-8e73ddca08cd</t>
  </si>
  <si>
    <t>92b466d6-ab18-4610-8bbd-b0f951fb5f72</t>
  </si>
  <si>
    <t>AI Legal 2025</t>
  </si>
  <si>
    <t>c31f2cd7-0664-4146-b171-668151428728</t>
  </si>
  <si>
    <t>UV All Hands</t>
  </si>
  <si>
    <t>1cc1d4df-8ffc-4ef1-8ebc-593328eac2d4</t>
  </si>
  <si>
    <t>73a06f6d-566f-4984-95c8-870f7f5028ea</t>
  </si>
  <si>
    <t>84b27be1-e6b6-4a30-8833-85d5d0701ef7</t>
  </si>
  <si>
    <t>6674f762-315e-4c7a-95af-5ab099a77382</t>
  </si>
  <si>
    <t>0691ae02-a318-49d9-8ed8-a8133a7e5065</t>
  </si>
  <si>
    <t>Team Activity</t>
  </si>
  <si>
    <t>0ea3f7b7-49ed-472a-a29e-7a53dae9e57d</t>
  </si>
  <si>
    <t>d9ba7721-21c1-45d2-b181-781861972ce7</t>
  </si>
  <si>
    <t>15d4d45b-38f0-4888-80a3-3c7a2931f4f0</t>
  </si>
  <si>
    <t>55cbf3fc-69fa-440a-92af-5ce6b46c67e1</t>
  </si>
  <si>
    <t>9f527bdd-fed0-4e65-a5bd-51273c0e990e</t>
  </si>
  <si>
    <t>05ed8890-ca3b-4adb-969a-bb5a5c83efd1</t>
  </si>
  <si>
    <t>49d3df60-eaa1-4462-923e-b2bca2b2e4d8</t>
  </si>
  <si>
    <t>8ec82bff-5e28-4ec2-a41c-5cc4cc2c750a</t>
  </si>
  <si>
    <t>0fbaf1c7-ebd6-46cb-8ebd-3e70c4e0380b</t>
  </si>
  <si>
    <t>0e27ff5f-957d-4c3d-b850-9cebf18ec902</t>
  </si>
  <si>
    <t>go over updates and AI Legal 2025 Workramp</t>
  </si>
  <si>
    <t>36fc1dde-583d-413f-823a-1f5d8be6382e</t>
  </si>
  <si>
    <t>ca5317a5-c78c-4f81-a34d-6d74efca49b6</t>
  </si>
  <si>
    <t>997fd44c-a25f-4f07-a8ab-fb00e5785188</t>
  </si>
  <si>
    <t>28ecc4d7-4006-40fe-8b0a-ab277145c5ab</t>
  </si>
  <si>
    <t>e967f942-8194-4962-9b2a-a888d6363e87</t>
  </si>
  <si>
    <t>0f34b5a6-6336-48b2-baa5-c5ec4c5fa2f5</t>
  </si>
  <si>
    <t>b7110380-849d-4f76-b70b-14a69e2e0e26</t>
  </si>
  <si>
    <t>e0caeb59-ddd0-43f0-9842-536c5f542885</t>
  </si>
  <si>
    <t>f0a08a10-3399-455d-a87d-ca8afeece576</t>
  </si>
  <si>
    <t>f7e43216-02e3-4d2d-b102-92a2bcef0a7e</t>
  </si>
  <si>
    <t>b93dad37-87d2-4a93-b9ef-04d9470ceb34</t>
  </si>
  <si>
    <t>162b47d1-4c24-44e2-a4b1-45a0ea2b27ec</t>
  </si>
  <si>
    <t>06945b0d-320f-405f-9918-27140a03aaec</t>
  </si>
  <si>
    <t>4085cdd1-2348-4207-9dab-bc2f97efc902</t>
  </si>
  <si>
    <t>724a1aba-842e-4579-92ab-e84662e25a24</t>
  </si>
  <si>
    <t>dfc503b2-5460-494a-b3fe-710a19a7dac0</t>
  </si>
  <si>
    <t>7d503722-6a40-41fa-b693-b4f2fc7281bb</t>
  </si>
  <si>
    <t>e180026c-a2bc-464b-8bc0-2d60693552cb</t>
  </si>
  <si>
    <t>c916ef83-f03f-4368-861b-2dbbaa11cf5c</t>
  </si>
  <si>
    <t>8edfeca9-51c0-4bff-9075-59008d97ad62</t>
  </si>
  <si>
    <t>413e4de0-fc7f-4f4a-991f-749774bf9d94</t>
  </si>
  <si>
    <t>220f3fc2-33e1-48ed-9d99-a0784f7ac7d5</t>
  </si>
  <si>
    <t>c3a57e31-6e87-43cc-9450-841ed79f084a</t>
  </si>
  <si>
    <t>92236586-1a5e-4612-bd66-84aafec1ccf1</t>
  </si>
  <si>
    <t>76017b0c-09b1-41b6-be3f-df5cd214d3b7</t>
  </si>
  <si>
    <t>e4adbfd6-ad6e-45f7-afa9-1e12b0be5370</t>
  </si>
  <si>
    <t>367c1a0d-3537-429f-afd1-a287aa2d7103</t>
  </si>
  <si>
    <t>e6fc744b-a5e8-4a75-a8e2-c3e99b8d5075</t>
  </si>
  <si>
    <t>4b649c8a-0804-497e-b5c1-882e38d65b3d</t>
  </si>
  <si>
    <t>422297f4-21f0-4f27-aa35-35d8e9ef42e5</t>
  </si>
  <si>
    <t>77b5f17f-e333-48a2-9137-c14eb6362f38</t>
  </si>
  <si>
    <t>97dcc8cf-712d-44d4-ae79-f89d333d4fca</t>
  </si>
  <si>
    <t>86d4fb39-17fb-4507-8823-c32fdd32aa39</t>
  </si>
  <si>
    <t>dcf2b304-07f4-41f6-85be-383ddc60f285</t>
  </si>
  <si>
    <t>4db1d358-cf4e-45bf-b243-3dd657f486d1</t>
  </si>
  <si>
    <t>ea7911d9-ad41-4445-8dfd-103f4f1b5052</t>
  </si>
  <si>
    <t>5ab8e85d-5ee9-4420-9557-db611c6ae108</t>
  </si>
  <si>
    <t>e3b8b453-066b-4aec-b6d3-437226690d1b</t>
  </si>
  <si>
    <t>e293a158-2b62-4adc-8cd8-d68e0db09224</t>
  </si>
  <si>
    <t>aae570b4-1302-4800-9600-d5c0ed626cec</t>
  </si>
  <si>
    <t>be04b5d7-02f5-42db-8a4a-acedda66786e</t>
  </si>
  <si>
    <t>d4dbfa44-cc8a-48b7-933a-3acd33462f76</t>
  </si>
  <si>
    <t>81bece1e-05ef-4064-83cc-1e1156449ed4</t>
  </si>
  <si>
    <t>890782e6-daee-4570-847a-15e0bb422410</t>
  </si>
  <si>
    <t>9f3f19fc-4ae8-4486-8e99-fdfc5ef107d4</t>
  </si>
  <si>
    <t>26bd05aa-15b9-49e4-a15b-a7c4fe2628b0</t>
  </si>
  <si>
    <t>28b9ec13-2b81-4743-a937-48ec4040968a</t>
  </si>
  <si>
    <t>f2028932-628e-4b45-9462-138f64c2a535</t>
  </si>
  <si>
    <t>f00ed0b9-ac4b-4d6e-b0ff-7af83e94a72c</t>
  </si>
  <si>
    <t>f2dd47dc-151b-4e0f-939b-822770c28717</t>
  </si>
  <si>
    <t>d8f28003-36e9-4743-94f4-a99a60aa4bc9</t>
  </si>
  <si>
    <t>514d9ee2-3cc4-4a1d-97c4-f5097250a7ff</t>
  </si>
  <si>
    <t>311435fc-bc18-4ddf-9e7b-93214613092e</t>
  </si>
  <si>
    <t>57463ea1-b25b-4622-8116-dc0a2a22b288</t>
  </si>
  <si>
    <t>ffdf4ae9-c76d-4057-a38b-c7e4c4d524e1</t>
  </si>
  <si>
    <t>35d5fcb1-b4f2-416e-afe7-6c044b964e97</t>
  </si>
  <si>
    <t>9bd29ddc-05ed-4851-be8c-e44722163573</t>
  </si>
  <si>
    <t>b9e34a50-e7d5-4a8c-bd56-11ed74d9f514</t>
  </si>
  <si>
    <t>slide break</t>
  </si>
  <si>
    <t>9a55b6a6-3c0d-40a5-a5c1-a2a8e77b2c6d</t>
  </si>
  <si>
    <t>86f4500d-d4cd-4dff-bae1-af41575d749a</t>
  </si>
  <si>
    <t>slide last break</t>
  </si>
  <si>
    <t>ddcaceee-8743-44e5-9bc6-f79be8349984</t>
  </si>
  <si>
    <t>Slide lunch</t>
  </si>
  <si>
    <t>86444847-9b9e-4b55-b00b-61f78e8ffe92</t>
  </si>
  <si>
    <t>b9963293-8f21-4b84-80e1-5429efac25d9</t>
  </si>
  <si>
    <t>f7cca38d-357d-4e53-a748-0562f92150dd</t>
  </si>
  <si>
    <t>1707eaab-416d-4bf2-a4c7-332c02a90fb1</t>
  </si>
  <si>
    <t>39987518-be43-4ab7-892d-eae719eb1db8</t>
  </si>
  <si>
    <t>8b11c4de-ecfa-4609-a833-7ab891648f40</t>
  </si>
  <si>
    <t>13ccc576-3f80-48bf-9436-3f6c6ad873e0</t>
  </si>
  <si>
    <t>8884c72a-a532-4fe8-b93a-76fef10b7203</t>
  </si>
  <si>
    <t>bad40daa-de5b-4c88-8b00-16f4178fe853</t>
  </si>
  <si>
    <t>800d32d9-32e3-4db0-878b-32182a74cb80</t>
  </si>
  <si>
    <t>Ticket handling</t>
  </si>
  <si>
    <t>62433133-c0f9-4144-84b3-fed363ccb325</t>
  </si>
  <si>
    <t>f3ba3f3d-5a9f-4439-8c9e-c29635be6704</t>
  </si>
  <si>
    <t>e6bf4c20-97ff-4cb3-aaf4-5f5743e0a4de</t>
  </si>
  <si>
    <t>25b3cf87-fdd7-4c8d-af48-ce7eade2531f</t>
  </si>
  <si>
    <t>8e0b70fc-4de6-4b78-a7df-281b87cad58f</t>
  </si>
  <si>
    <t>b6c016b4-c67d-4fff-a710-bf706cdf9734</t>
  </si>
  <si>
    <t>eb1fac8c-a17c-4a15-b861-027c0113e962</t>
  </si>
  <si>
    <t>433a1622-7cbc-47fa-a87b-5f7ccc9cbd02</t>
  </si>
  <si>
    <t>f5985d56-f444-4ad0-b21e-a276355d2934</t>
  </si>
  <si>
    <t>ee27f409-c4e3-4652-aa44-ba017fe3455b</t>
  </si>
  <si>
    <t>6d8bc0d7-5c0e-4aa4-b7eb-becba6bebdc3</t>
  </si>
  <si>
    <t>3d436a97-1fd7-415a-b9f3-3cc511df8377</t>
  </si>
  <si>
    <t>e8130510-730c-4f3e-90e1-315613948b6c</t>
  </si>
  <si>
    <t>cd72d5cc-4da3-4e4d-8063-342f67f9e3bd</t>
  </si>
  <si>
    <t>2841f7d2-adf4-4463-b1ce-651bf86b18cc</t>
  </si>
  <si>
    <t>bce04144-3eed-434a-8f26-4fe9911003c9</t>
  </si>
  <si>
    <t>564d213c-1fc0-401e-b5b7-a92cd2e0ce2d</t>
  </si>
  <si>
    <t>0f1859cb-7394-498d-b657-067e2c6a6113</t>
  </si>
  <si>
    <t>98d7a787-e07b-4df6-880f-2e54fd27bc63</t>
  </si>
  <si>
    <t>499991db-1e23-4b0b-a001-250662a4ce75</t>
  </si>
  <si>
    <t>477928ab-3990-47a2-865f-caba40d4bb17</t>
  </si>
  <si>
    <t>ddddef37-ca12-4299-be9f-6a0f553490b2</t>
  </si>
  <si>
    <t>eb4ea751-f245-4578-b49a-1f513e8fdaa1</t>
  </si>
  <si>
    <t>5938c667-36f6-41a7-8b31-40d8facd0dee</t>
  </si>
  <si>
    <t>fcd0402a-76c1-4fb2-a6ec-102000e2ffa4</t>
  </si>
  <si>
    <t>31e46e1f-f897-4659-8222-769366704f1c</t>
  </si>
  <si>
    <t>afc11c88-889f-4f5e-af8d-87b195123227</t>
  </si>
  <si>
    <t>3473530c-fb3e-485c-ba34-cd31506da49e</t>
  </si>
  <si>
    <t>4d8a090d-8201-40ef-be4f-33d39f6be707</t>
  </si>
  <si>
    <t>fe8ac942-358a-4782-8e72-3b71bd677208</t>
  </si>
  <si>
    <t>4c4b0159-0234-49cd-9682-3e532b363eb9</t>
  </si>
  <si>
    <t>1c112b3e-9139-4356-a08a-159eacdf2103</t>
  </si>
  <si>
    <t>500a3e8f-db1b-4b1e-b47f-53a74340a6e1</t>
  </si>
  <si>
    <t>27cd3e92-1cf5-4fa2-bf27-8c87ae749e2c</t>
  </si>
  <si>
    <t>a2e2b68e-9f75-4841-9e78-84a9ccf31ce8</t>
  </si>
  <si>
    <t>56c3389c-040f-4151-957e-96292e5d9916</t>
  </si>
  <si>
    <t>9358a8df-ab46-425e-9d05-33bec0238677</t>
  </si>
  <si>
    <t>8522e0ff-a8c4-4e20-ab31-ff6b35b501a8</t>
  </si>
  <si>
    <t>ceba877a-6d86-463c-8671-1a584e14083f</t>
  </si>
  <si>
    <t>f8d50b52-7728-435c-8b9a-b6372ec75560</t>
  </si>
  <si>
    <t>ae06914d-e123-4acf-bf7f-0d0532198714</t>
  </si>
  <si>
    <t>fcf8eeed-6ca4-4ae1-83a9-f9fbed056601</t>
  </si>
  <si>
    <t>cc0b23de-6755-46c7-8b89-3d453840bf49</t>
  </si>
  <si>
    <t>f80c7842-801c-4f77-9586-090c1e6ee929</t>
  </si>
  <si>
    <t>e6015bb8-b934-41c0-b1b5-5b6092acc8e5</t>
  </si>
  <si>
    <t>956e0198-07e9-4749-9e19-b4d98cc8be35</t>
  </si>
  <si>
    <t>35ecd79b-a9f6-4280-aaa6-f7cf5c4e24d3</t>
  </si>
  <si>
    <t>8eac48dc-5f8e-413e-b1fc-59562889f332</t>
  </si>
  <si>
    <t>a2ec1d9b-bf02-4489-8fa7-8d4ff3797e9e</t>
  </si>
  <si>
    <t>f897f3ec-1ed6-43a6-8b34-421bd4a417d9</t>
  </si>
  <si>
    <t>5e5c97b0-7825-40e8-a63a-a54d0e376225</t>
  </si>
  <si>
    <t>103ef35f-8a7d-44de-a8bc-b2e9de136b8b</t>
  </si>
  <si>
    <t>390ecd70-afdf-4e22-a422-210cbaf19d09</t>
  </si>
  <si>
    <t>4a503452-fb98-4a90-a843-22d2b58fd92d</t>
  </si>
  <si>
    <t>13f8a93c-390f-47aa-b919-74bbeab1ffd9</t>
  </si>
  <si>
    <t>ea2b675f-9d5c-4f93-820a-a03fba73506b</t>
  </si>
  <si>
    <t>2f27c204-1212-41b5-8fcf-f9f4cee64002</t>
  </si>
  <si>
    <t>5bd338fe-4446-4165-82a3-7bf92186d1ca</t>
  </si>
  <si>
    <t>fbc84aa6-f3a2-420a-afd6-bc92ebde685e</t>
  </si>
  <si>
    <t>98a1b258-12a6-4e37-8998-57d2191275dd</t>
  </si>
  <si>
    <t>52d71c09-5540-4572-a04c-d5d3a73748ba</t>
  </si>
  <si>
    <t>2a5c988b-d587-4976-b44c-ed3d54261066</t>
  </si>
  <si>
    <t>9779c40b-11ca-46c8-aeca-72ad1f6b425b</t>
  </si>
  <si>
    <t>9f1c4920-1d69-4f6b-90cb-14805df13b28</t>
  </si>
  <si>
    <t>e117ee09-7e7a-413f-8cef-ae1654656799</t>
  </si>
  <si>
    <t>99ffdf11-d5b7-4817-bf6a-d229a4ba7239</t>
  </si>
  <si>
    <t>bf700cce-63df-4ac2-a216-a84f2044ae34</t>
  </si>
  <si>
    <t>13402606-67c2-43bf-b524-22b5defd56f9</t>
  </si>
  <si>
    <t>ed9cb29a-4cb4-4724-b49d-8c754ffb1bf7</t>
  </si>
  <si>
    <t>c041a74d-14da-4160-8de5-c58035179f10</t>
  </si>
  <si>
    <t>cb550544-7036-4911-bb01-84a99749ede0</t>
  </si>
  <si>
    <t>543f1894-4a1f-4ee5-adc9-6146d8934f11</t>
  </si>
  <si>
    <t>df3a0299-0723-4104-b0e9-1029b7ec4a5b</t>
  </si>
  <si>
    <t>fa0561bb-91a6-4281-8561-eb2c50e4cbd5</t>
  </si>
  <si>
    <t>Learn when to edit Cal's responses</t>
  </si>
  <si>
    <t>79fca3bb-5d4b-442e-8b14-38306e0d61ee</t>
  </si>
  <si>
    <t>aba9a08c-fb0d-4475-9ff4-2ab138321092</t>
  </si>
  <si>
    <t>bc32abf6-72f4-4eb9-a47a-670d0bb5635c</t>
  </si>
  <si>
    <t>87af72fa-18cd-4402-95b9-2022e8ee078d</t>
  </si>
  <si>
    <t>ecd5654d-2a24-4059-bf55-bece26399eb4</t>
  </si>
  <si>
    <t>46b51e14-5bf1-40fa-954a-d3a27e99e7b2</t>
  </si>
  <si>
    <t>ae424feb-545a-4eb8-9409-67c3ed5e9d1c</t>
  </si>
  <si>
    <t>a3014959-aeb6-4376-85fc-69efb29643bd</t>
  </si>
  <si>
    <t>47772260-590e-4a74-9d25-29480cac8d71</t>
  </si>
  <si>
    <t>10cb86e2-11ce-4b92-80e3-234469c40236</t>
  </si>
  <si>
    <t>f6cbb7b1-4620-498c-814c-65ea4eb451de</t>
  </si>
  <si>
    <t>d502aa4b-b1fe-428f-9e3c-64d33ae10f4c</t>
  </si>
  <si>
    <t>8e43daed-0c1a-4341-a7fc-3ba0e46279bd</t>
  </si>
  <si>
    <t>9b7d8501-6bc4-4316-9ed0-d75212416dad</t>
  </si>
  <si>
    <t>Canva Voice 2025</t>
  </si>
  <si>
    <t>6b2902f9-3583-49ee-a84d-b7e7eb855e60</t>
  </si>
  <si>
    <t>18c7ce06-f4c5-4890-9b4f-22f0f4b477b2</t>
  </si>
  <si>
    <t>ea8df9aa-15ca-41cd-ab0b-cc79aa795216</t>
  </si>
  <si>
    <t>7c383378-0604-49e9-83bd-4868cf193a10</t>
  </si>
  <si>
    <t>99d9b819-7cdb-498e-b9e8-40c006f8cd08</t>
  </si>
  <si>
    <t>4196e882-db7c-4d7a-88cb-76793482aef8</t>
  </si>
  <si>
    <t>52e76a5e-1742-48bd-88f5-2c31743442ce</t>
  </si>
  <si>
    <t>https://canva.zoom.us/rec/share/aYOspehCiJjnZrtw83xNZBaFt6H27tTBnwCq8LfoJaJ9xR1nmkRRg_KX20Mw_4C0.SAcGVevwMOCMjmlx?startTime=1707428592000  Passcode: ta*6cCp*</t>
  </si>
  <si>
    <t>20f2f940-7771-4601-8a0e-48bd0cee8eeb</t>
  </si>
  <si>
    <t>bfb70d62-db1e-4044-8dd4-293022236eae</t>
  </si>
  <si>
    <t>birthday leave
WFM deferred to Coach Jahmie for approval &gt;&gt;&gt;https://canva.enterprise.slack.com/archives/C05A76H5FUM/p1763366741360239</t>
  </si>
  <si>
    <t>484251f2-dea8-43ff-96a8-24fe8ede844b</t>
  </si>
  <si>
    <t>812c632d-772e-45c7-8b10-ccc469ffb1d3</t>
  </si>
  <si>
    <t>db728aed-3046-46ee-8443-e53a74e3099e</t>
  </si>
  <si>
    <t>92b8894a-7e4f-4272-8f34-3b4e8615bfe0</t>
  </si>
  <si>
    <t>ef82082a-239b-44bc-9a31-7bfe51df150d</t>
  </si>
  <si>
    <t>25714271-d7c4-4e25-afcf-bbe2ec44ef7e</t>
  </si>
  <si>
    <t>2eafe284-77a9-416e-bfc7-30869032f729</t>
  </si>
  <si>
    <t>04382a7f-2366-4ae8-97ff-8e97ef5292c1</t>
  </si>
  <si>
    <t>7f299096-0166-4b6c-9706-b5009b6f650c</t>
  </si>
  <si>
    <t>9d68c3f6-4855-46ab-9983-f3b663d0cc6a</t>
  </si>
  <si>
    <t>105136e3-a04a-453d-baef-7d25ddaea6c8</t>
  </si>
  <si>
    <t>2dca28aa-1ec4-45f4-9481-4049d64bd6ef</t>
  </si>
  <si>
    <t>7748f04d-a46b-4634-95be-83268d04d5fe</t>
  </si>
  <si>
    <t>1fb1466a-d20c-4d4a-b7e7-d466f65d2d05</t>
  </si>
  <si>
    <t>10bff5ec-bbe4-4137-bbda-839517109018</t>
  </si>
  <si>
    <t>When to Edit Cal's responses | AI Legal</t>
  </si>
  <si>
    <t>6ecd7b6a-5a0d-4f92-a2b2-d106c05a4e8c</t>
  </si>
  <si>
    <t>1a425c80-3d91-4027-88a5-9165646ddfb3</t>
  </si>
  <si>
    <t>5c99bd99-fa1c-46e1-a275-02d2df9b2707</t>
  </si>
  <si>
    <t>Updates</t>
  </si>
  <si>
    <t>aacb6b9c-134c-4831-b08d-45d0566d3de5</t>
  </si>
  <si>
    <t>97759d2f-075a-41ce-b4d0-af5d67b439e7</t>
  </si>
  <si>
    <t>5529b47b-c5c1-4a3e-90f3-6e583e974d16</t>
  </si>
  <si>
    <t>3352280f-2265-4342-9d66-61b733879e5c</t>
  </si>
  <si>
    <t>3abc9191-82f8-4c65-bc47-0d5d5231a9a7</t>
  </si>
  <si>
    <t>Canva Voice</t>
  </si>
  <si>
    <t>25789a8c-b773-47de-adc1-20737fc4e4f9</t>
  </si>
  <si>
    <t>0a436281-3ca3-43a8-ad05-31f4b4898e82</t>
  </si>
  <si>
    <t>42f957b4-713c-4ffd-b78b-64ef95621867</t>
  </si>
  <si>
    <t>d4eb37c8-6837-40fe-a681-7f2c124db0b6</t>
  </si>
  <si>
    <t>f5c836d0-3a26-45e5-bf06-a47f5a9b3d7d</t>
  </si>
  <si>
    <t>05bf4c6a-bccc-44cc-ae87-6fe6a137fada</t>
  </si>
  <si>
    <t>b72076b3-e171-47a5-9ab4-d4e5814ea1f0</t>
  </si>
  <si>
    <t>fe92bdc1-5713-4a63-a166-280b4618033b</t>
  </si>
  <si>
    <t>5c797f51-9e1f-4b68-ae40-95c504045f7f</t>
  </si>
  <si>
    <t>4494d606-1749-45b7-a4df-0c4c20f4458a</t>
  </si>
  <si>
    <t>7c04bdce-90f7-43e2-b182-674d1cc2f6f7</t>
  </si>
  <si>
    <t>fe7dcb7c-4c0c-41c6-8d0a-bbb272f28516</t>
  </si>
  <si>
    <t>5681ef4e-fc21-49eb-8c7e-9dfa3d3b7342</t>
  </si>
  <si>
    <t>aef68d66-9453-4952-a868-7ffc2fcd9eb5</t>
  </si>
  <si>
    <t>AI Legal 2025 &amp; When to Edit Cal’s Responses</t>
  </si>
  <si>
    <t>035af0fe-0910-44dc-abf3-50d585f38648</t>
  </si>
  <si>
    <t xml:space="preserve">Canva AI Legal &amp; When to Edit Cal’s Responses
</t>
  </si>
  <si>
    <t>16c725d3-1da3-4c0b-9071-8987ddbede9d</t>
  </si>
  <si>
    <t>26ffe8f6-3fd7-44e9-879f-e23f8b6bf24e</t>
  </si>
  <si>
    <t>67fd529c-284f-4f10-a4c6-f03d749b9882</t>
  </si>
  <si>
    <t>518bc21d-b0cc-476c-ab2c-96269309df35</t>
  </si>
  <si>
    <t>2e703dff-4d49-4e53-9a87-5a79578fcca0</t>
  </si>
  <si>
    <t>a676ed2b-b774-4d1e-a0ad-b5ffdb9461c4</t>
  </si>
  <si>
    <t>a736c4e3-b174-4678-9d5d-715e2d08b2b4</t>
  </si>
  <si>
    <t>4f5d2cdd-9798-4bcb-8670-71e82f3490ff</t>
  </si>
  <si>
    <t>2923f11c-f80f-4af9-ba61-bf07dbfd99a2</t>
  </si>
  <si>
    <t>1038de1f-6d52-4e8e-84d4-43956186927b</t>
  </si>
  <si>
    <t>bfc4ff48-9e70-4c7a-bd42-278ae0057cf7</t>
  </si>
  <si>
    <t>80edcbc7-cc53-4aa9-b1d2-2c9e07924f6a</t>
  </si>
  <si>
    <t>e8d1f382-3ccb-4f36-9372-1f8d23806601</t>
  </si>
  <si>
    <t>Communicating with Impact - APAC</t>
  </si>
  <si>
    <t>d0b38bd8-cf26-4473-931b-f54735941d18</t>
  </si>
  <si>
    <t>Zoom Call + Resume watching Communicating with Impact - APAC</t>
  </si>
  <si>
    <t>c8a79a0a-c1df-47c4-8b4e-02879cfe3020</t>
  </si>
  <si>
    <t>Problem Solving and Empathy</t>
  </si>
  <si>
    <t>48db8664-d37f-428d-8ab6-15c4cdfe5527</t>
  </si>
  <si>
    <t>Embrace Change- 10 mins
Harness a Growth Mindset- 10 mins</t>
  </si>
  <si>
    <t>8ad3e9d7-0340-4df8-93a5-0d71759d7a8f</t>
  </si>
  <si>
    <t>Customer Service Mindset- 75 mins
Identifying my strengths - 60 mins
Active Listening - 15 mins</t>
  </si>
  <si>
    <t>6c9f2508-2473-4b33-b23f-b2f0bdfa1a4e</t>
  </si>
  <si>
    <t>63118f5e-15e2-46a9-975d-1eaaa989836f</t>
  </si>
  <si>
    <t>f8813c5d-86a5-4a5c-b5e4-b900ccfd70e4</t>
  </si>
  <si>
    <t>d1ac2e8e-7438-425f-b2f9-d1aec9eae2af</t>
  </si>
  <si>
    <t>06666df3-bfe8-4243-bb8e-1d0eccdf3e0e</t>
  </si>
  <si>
    <t>b0da291c-a00b-478d-b090-e66784161028</t>
  </si>
  <si>
    <t>bbf17ade-e73b-47c9-a775-0d4d320961e2</t>
  </si>
  <si>
    <t>9262410f-0b17-45bb-a02b-81f518511c34</t>
  </si>
  <si>
    <t>6ad67873-0987-4c70-bac9-7c8ae86da13a</t>
  </si>
  <si>
    <t>5f92da36-6acf-4507-9070-5bd9f36e3746</t>
  </si>
  <si>
    <t>3f22a6e1-3800-44e7-8fcf-8027681d9734</t>
  </si>
  <si>
    <t>71a95d4e-586f-4d7b-b0ad-5ab8e1ea4bf8</t>
  </si>
  <si>
    <t>eee52456-df35-4c40-a265-4ad80178cb05</t>
  </si>
  <si>
    <t>b0f11990-e7f1-4ebb-9eb5-faccfc92dd2d</t>
  </si>
  <si>
    <t>cadcc567-370f-4a10-a084-96157a4d9882</t>
  </si>
  <si>
    <t>53adec15-7095-4f14-b188-a68393591d84</t>
  </si>
  <si>
    <t xml:space="preserve"> [CL] When to Edit Cal Responses | Upskilling | CHT &amp; BPO</t>
  </si>
  <si>
    <t>3be31c24-22dc-4e54-ae09-dbd66e653f1c</t>
  </si>
  <si>
    <t>5c45ea0f-2870-4e52-b6f8-bdb85a8feb67</t>
  </si>
  <si>
    <t>3ad6a7fa-726e-4ff2-9b3b-deaf0a46236f</t>
  </si>
  <si>
    <t>7c394e7f-1b6b-401d-b791-3c0cdf4a6a03</t>
  </si>
  <si>
    <t>22dd6325-7cde-407f-9df6-f16f21b22b39</t>
  </si>
  <si>
    <t>5d80efcc-6077-477d-8bfa-f64424239de2</t>
  </si>
  <si>
    <t>Ai Legal</t>
  </si>
  <si>
    <t>0d38a33b-aa05-438e-8e61-62fab7709983</t>
  </si>
  <si>
    <t>Slack playbook</t>
  </si>
  <si>
    <t>b90a89cd-6370-459a-86ba-de44414398f1</t>
  </si>
  <si>
    <t>Asking Curious Questions</t>
  </si>
  <si>
    <t>ca380c21-82e8-45ae-9741-ba392eedd3ac</t>
  </si>
  <si>
    <t>dac95a11-3726-4305-8c61-b7687d24bad8</t>
  </si>
  <si>
    <t>Communicating with Impact - APAC - 
Problem Solving and Empathy 
Embrace Change
Harness a Growth Mindset</t>
  </si>
  <si>
    <t>fade711c-6e89-4c8c-8066-11173d3715d8</t>
  </si>
  <si>
    <t>bbe1ff42-cd98-4184-a403-d6c3d6ed4e1a</t>
  </si>
  <si>
    <t>fb8ce9d3-e393-4eb3-9c7d-b947bd827c62</t>
  </si>
  <si>
    <t>Customer Service Mindset
Identifying my strengths
Active Listening</t>
  </si>
  <si>
    <t>2f742c84-caf9-40cd-bf17-0f35688deea6</t>
  </si>
  <si>
    <t>854443b9-48f6-42f0-bd55-9b16f71c72f7</t>
  </si>
  <si>
    <t>cd1024cb-549a-48a1-b29c-52014b745de1</t>
  </si>
  <si>
    <t>Ticket Clinic Support</t>
  </si>
  <si>
    <t>abe794b9-fddf-4f10-8f1b-3258857a2851</t>
  </si>
  <si>
    <t>85f4839f-cbc0-441e-8c29-d92610fc83d2</t>
  </si>
  <si>
    <t>a782acb3-67ce-4bed-89dc-b728bfbd4165</t>
  </si>
  <si>
    <t>e6bb7f11-6471-448a-90d9-358e68b3b76e</t>
  </si>
  <si>
    <t>3387e963-c2c5-4416-84e7-7f39d21fd7c6</t>
  </si>
  <si>
    <t>4c9e16ae-96f8-41de-ab4b-30db88010737</t>
  </si>
  <si>
    <t>b667f619-80e6-4c2c-ab74-850b143ea529</t>
  </si>
  <si>
    <t>88fec3fe-f7a7-4014-a644-f95c308df3d4</t>
  </si>
  <si>
    <t>5214600b-bc97-4648-9910-d181cf196805</t>
  </si>
  <si>
    <t>d94b113d-b490-4fe5-ae04-5062af3a907f</t>
  </si>
  <si>
    <t>9e7ab198-c8c4-4976-a90c-736d50d17fea</t>
  </si>
  <si>
    <t>fb5c9e96-c030-48e5-b8e6-48c770763246</t>
  </si>
  <si>
    <t xml:space="preserve">- When to Edit Cal’s Responses
- AI Legal
</t>
  </si>
  <si>
    <t>17db9170-1291-4ee7-82af-f7f9bf99d230</t>
  </si>
  <si>
    <t>578d21e9-690f-4cd6-a196-a7a4ec313930</t>
  </si>
  <si>
    <t>3e25dd13-aa29-459d-9ad6-dcb1f230ad67</t>
  </si>
  <si>
    <t>588d534f-3f41-40e5-aabe-ba34dfeadefd</t>
  </si>
  <si>
    <t>898f1d69-15d1-4b9b-a31c-4210d0c56fbf</t>
  </si>
  <si>
    <t>cc699b07-46e3-4c76-a7b1-78184c6b8d0b</t>
  </si>
  <si>
    <t>15045be4-b852-4c11-baad-c36c336c6a3b</t>
  </si>
  <si>
    <t>1200b358-2711-43ba-bb86-e9d85c34da91</t>
  </si>
  <si>
    <t>bfe82de4-0ccd-43f8-ac39-2abaf4d91ef6</t>
  </si>
  <si>
    <t>7a425445-d680-49b6-9b30-6ec8da551c3d</t>
  </si>
  <si>
    <t>985ab171-fc49-4ca5-a479-f3ccd3689520</t>
  </si>
  <si>
    <t>Cultivating a Product Mindset (https://staff.canva.site/cht-upskilling/training-resources)</t>
  </si>
  <si>
    <t>567f40d9-7527-4fc2-ab02-8b661e9f12ab</t>
  </si>
  <si>
    <t>Communicating with Impact</t>
  </si>
  <si>
    <t>b3384327-96ca-4432-8a1c-0b2689e67731</t>
  </si>
  <si>
    <t>f3abc4ba-06c4-4fb2-b140-2bc918a3dde4</t>
  </si>
  <si>
    <t>d767e565-6800-4459-887c-383256bd209c</t>
  </si>
  <si>
    <t>29f8fbfe-e819-4b8b-88c2-5f15cff7e336</t>
  </si>
  <si>
    <t>bd605d92-439b-4919-bd9d-441102287a20</t>
  </si>
  <si>
    <t>d4f8cc29-cb23-4716-9e4e-82e94867d050</t>
  </si>
  <si>
    <t>da65d2c2-dd9f-4677-bbda-edd3c73fe775</t>
  </si>
  <si>
    <t>6f8a1c2f-918b-402e-a1ae-e6ca61d79a4d</t>
  </si>
  <si>
    <t>7dbf9b19-e374-4b57-b42a-2782ccd4612e</t>
  </si>
  <si>
    <t>8a1d7e9f-88c7-47ff-87be-706d4cc49ea9</t>
  </si>
  <si>
    <t>a113d5a7-3205-4755-b9be-98e9a90d3f8c</t>
  </si>
  <si>
    <t>54eea7ce-9bc9-48af-9bfc-a45c24ea2515</t>
  </si>
  <si>
    <t>1b0bfd79-220e-49ff-910a-4f1e69803c7d</t>
  </si>
  <si>
    <t>625931bd-3aba-410d-9288-475bc0fe8948</t>
  </si>
  <si>
    <t>37324a90-e81f-461e-ad28-54b5e2118d03</t>
  </si>
  <si>
    <t>a3ae33da-1bcc-4568-9561-5c67466e8a1d</t>
  </si>
  <si>
    <t>9f2c6d21-2f24-4b16-b4a7-15b3da76cc52</t>
  </si>
  <si>
    <t>6de9768a-df65-4a11-bd82-545bfec6dc97</t>
  </si>
  <si>
    <t>2cc6a63a-0135-4a9b-86be-bcfa66e58a2a</t>
  </si>
  <si>
    <t>553782fb-96dd-40c5-8e47-d9af7e13b134</t>
  </si>
  <si>
    <t>68a73c11-a297-4ea6-a71d-75e911eced50</t>
  </si>
  <si>
    <t>bcaf1451-1035-4b74-8dfb-bbd2b96ab536</t>
  </si>
  <si>
    <t>61ee84be-ff06-4d85-84b9-c367cd5364c8</t>
  </si>
  <si>
    <t>62b7627c-6b19-414d-9bb3-763fbdee7224</t>
  </si>
  <si>
    <t>8ff4c025-f26d-41dc-9679-5e3c7addd486</t>
  </si>
  <si>
    <t>08348c24-0564-4e21-b3dc-e225e90bb1b4</t>
  </si>
  <si>
    <t>Internet issue</t>
  </si>
  <si>
    <t>903b6a85-9418-49b9-ac8b-12656fd38db2</t>
  </si>
  <si>
    <t>2ae2d30c-064f-4e96-970b-360c96e30bfe</t>
  </si>
  <si>
    <t>2c5f7672-c99b-4c2b-8e15-fa1a321eeaff</t>
  </si>
  <si>
    <t>ed118619-f7a4-4ea5-b26e-068fdb8770e1</t>
  </si>
  <si>
    <t>6726b0c6-05fe-42ea-9d7d-273672fdcb3b</t>
  </si>
  <si>
    <t>a04af2ad-c2f8-4836-a8f0-aa7038ec0503</t>
  </si>
  <si>
    <t>b948ecf7-6cd7-4b12-90c9-1dea34b16883</t>
  </si>
  <si>
    <t>b6fbdea0-ca48-4299-82e2-56dc08e4554c</t>
  </si>
  <si>
    <t>f07680e5-7a64-48cd-9a0b-b8d2690b60a8</t>
  </si>
  <si>
    <t>9d342313-00e5-404b-be1b-dba61c52c303</t>
  </si>
  <si>
    <t>db0c2f73-d0bd-492f-876d-f580faa91635</t>
  </si>
  <si>
    <t>5e35c4d0-f9d3-43c1-87fa-08912cc382f7</t>
  </si>
  <si>
    <t>8ae488bc-e62f-43c4-b946-bd523aa72081</t>
  </si>
  <si>
    <t>b33337b9-4548-42d9-9de4-d0ff43785dbe</t>
  </si>
  <si>
    <t>e766476c-49a4-4440-930b-3ff0c7d13dcb</t>
  </si>
  <si>
    <t>24e68770-701c-4b5a-9368-e68332873af8</t>
  </si>
  <si>
    <t>6c7537ea-8ded-45f6-985c-34f45153b3e4</t>
  </si>
  <si>
    <t>f47c1ace-1884-4ad2-b6eb-c2ebaae224ef</t>
  </si>
  <si>
    <t>fe81b364-dd0a-4ece-bde1-285e4ee0f95e</t>
  </si>
  <si>
    <t>5d6bdd97-cb17-4fbc-b3d9-428681ec8d2f</t>
  </si>
  <si>
    <t>18319509-0ae1-4234-98c8-23e8f4a69ddb</t>
  </si>
  <si>
    <t>0bbd121b-5823-4b8c-a9ed-d345356c81d1</t>
  </si>
  <si>
    <t>290ef19b-2b86-4bc7-98d8-7f15c7968974</t>
  </si>
  <si>
    <t>2f74bdd8-c68a-425e-9e93-9a02b5adf94b</t>
  </si>
  <si>
    <t>c043e4a4-0a4e-46bc-8800-3caaaf8d90df</t>
  </si>
  <si>
    <t>fcee4390-8bed-41d1-9cc3-2c8afe9d3387</t>
  </si>
  <si>
    <t>77bf4e8a-387b-4599-a186-fa03c260f315</t>
  </si>
  <si>
    <t>My new sched is Wed-Thur Off</t>
  </si>
  <si>
    <t>f3e26cba-cee2-4fc4-a8a9-14502f8ddf28</t>
  </si>
  <si>
    <t>59e03ac9-b7ef-4492-b6aa-bf064fe7101f</t>
  </si>
  <si>
    <t>9e9677f0-d415-4546-a390-96a8aa1d67f2</t>
  </si>
  <si>
    <t>132a8344-ade3-481d-b85e-ffb32b114747</t>
  </si>
  <si>
    <t>70e1ad1d-8ca5-4674-bd5e-f222c277ec87</t>
  </si>
  <si>
    <t>62186f05-4ccd-40dc-b631-3ced5a142a95</t>
  </si>
  <si>
    <t>cbebdf54-69a1-4ffa-a850-941cc779b9fd</t>
  </si>
  <si>
    <t>a587c2c3-9daa-4652-a251-faa60e063093</t>
  </si>
  <si>
    <t>6a06f533-4e69-42e4-a8c5-a53ca86e7fa9</t>
  </si>
  <si>
    <t>73371eca-1d39-4dc7-aba9-736a55450fc5</t>
  </si>
  <si>
    <t>78acb5f0-4715-4c5e-a776-5d226c26f903</t>
  </si>
  <si>
    <t>caf5d8e4-5b13-405e-a00d-c8247c23890c</t>
  </si>
  <si>
    <t>e3d869a1-861a-49b6-bf35-57b8d11aae22</t>
  </si>
  <si>
    <t>be4b44c9-a2ac-4f86-bd25-86f3823e773f</t>
  </si>
  <si>
    <t>8708257f-e19f-4b8c-b99f-2a704de120b7</t>
  </si>
  <si>
    <t>cc5b4af8-5571-4d3c-8be1-8547d323301b</t>
  </si>
  <si>
    <t>a5873984-22a4-47b8-9a00-239991dd62b9</t>
  </si>
  <si>
    <t>416f1ade-1023-4cb8-b4a2-59d16a8835c1</t>
  </si>
  <si>
    <t>5ed2e88b-50f7-43b9-9376-5efe974cb57b</t>
  </si>
  <si>
    <t>97178a84-4698-4eb6-b36c-033c9eaa96dc</t>
  </si>
  <si>
    <t>0df02df8-3775-4497-9eba-fb384a504fa8</t>
  </si>
  <si>
    <t>high avail - read updates</t>
  </si>
  <si>
    <t>4d58fb41-ef62-4d2b-a7a5-ad7ad841833e</t>
  </si>
  <si>
    <t>cea04fa3-c8a0-467f-bdff-7c3436068336</t>
  </si>
  <si>
    <t>f1f723bf-7630-4ffe-a8ba-3b5706348d15</t>
  </si>
  <si>
    <t>Slack Playbook</t>
  </si>
  <si>
    <t>0715bf3f-21d4-4c99-a08e-8b08861e2cfb</t>
  </si>
  <si>
    <t>b5ecc942-8d91-47cf-8017-81cd3d70ae89</t>
  </si>
  <si>
    <t>f1ed10f0-7f30-49b7-aac0-a41b103769ae</t>
  </si>
  <si>
    <t>f0157706-e6db-43e7-95a4-39057c97c248</t>
  </si>
  <si>
    <t>925fcf0c-5f3f-4d2f-978d-2a936aa3020c</t>
  </si>
  <si>
    <t>UV All Hands
Link to recording: Here
Passcode: f=eyg2u1</t>
  </si>
  <si>
    <t>71dc5b30-51de-407c-890d-236e6c2d1d8d</t>
  </si>
  <si>
    <t>b56e57f8-3158-48b5-aa0c-e5018440a2e6</t>
  </si>
  <si>
    <t>6dba8fcf-d1cd-4040-8f1a-aa9718c46371</t>
  </si>
  <si>
    <t>9e073ff6-f309-4776-9950-36245c645990</t>
  </si>
  <si>
    <t>0c702541-959e-4e29-a5b6-4346ba18aae0</t>
  </si>
  <si>
    <t>dc47ef96-1812-4084-8f1e-5d0e4c0ee543</t>
  </si>
  <si>
    <t>1c6128c6-3b23-4f7b-9ace-e708664a637e</t>
  </si>
  <si>
    <t>22841f40-c19b-4acc-8802-9392b8573f20</t>
  </si>
  <si>
    <t>422668dc-ab1c-4799-b9f1-0dc96fb18683</t>
  </si>
  <si>
    <t>37a96484-a737-461d-ad18-888b12d44d2b</t>
  </si>
  <si>
    <t>ab099a21-c558-49f5-a076-090fe68722f6</t>
  </si>
  <si>
    <t>71f822f0-c2d0-4c77-b7a1-7985e37e62f6</t>
  </si>
  <si>
    <t>fe49c4ef-7800-4b16-8329-6290e098f067</t>
  </si>
  <si>
    <t>928f59f5-02b1-4ffc-98ac-6f66004a724f</t>
  </si>
  <si>
    <t>3f065b06-e696-4b16-a780-06522da7705d</t>
  </si>
  <si>
    <t>ce065376-afff-4276-802a-23b7e73b15df</t>
  </si>
  <si>
    <t>WFM deferred to Coach Jahmie for approval &gt;&gt;&gt;https://canva.enterprise.slack.com/archives/C05A76H5FUM/p1764507497322879</t>
  </si>
  <si>
    <t>8f210722-9a23-4cca-932b-416b3dea7602</t>
  </si>
  <si>
    <t>2e55bb3c-fa8d-4d7b-a1a0-c2e997f73bf8</t>
  </si>
  <si>
    <t>8a447073-a27c-48ec-a9b5-cd6b62d772cf</t>
  </si>
  <si>
    <t>260ee3ef-8531-42f5-b549-f18dac013ae3</t>
  </si>
  <si>
    <t>12087219-64a0-418b-9427-b90aa8a4eed5</t>
  </si>
  <si>
    <t>bcd88c71-1edd-4f0d-81d1-951200684418</t>
  </si>
  <si>
    <t>8e20bf38-6af9-4515-ba8a-76bba1fed0e0</t>
  </si>
  <si>
    <t>cf2141df-ac41-40a4-9794-dd070789215b</t>
  </si>
  <si>
    <t>55e7f6b4-fc50-4b38-8549-468f7d5f8e2d</t>
  </si>
  <si>
    <t>070042e0-6c76-422c-9c19-939ddf782ff7</t>
  </si>
  <si>
    <t>b6788494-cacc-4a0a-af5b-e163302701ab</t>
  </si>
  <si>
    <t>666caf33-ff05-44bc-8421-10259ace5359</t>
  </si>
  <si>
    <t>fa1d478a-b7df-4c51-b8f6-3e1f6333494b</t>
  </si>
  <si>
    <t>f0f46f35-191e-4210-b8f5-03efcf8488fa</t>
  </si>
  <si>
    <t>e4b06c8a-e563-409a-a214-4d0b83490fb9</t>
  </si>
  <si>
    <t>8fe47447-2bc8-41e8-b1d8-71dee5f22605</t>
  </si>
  <si>
    <t xml:space="preserve">When to Edit CAL's Responses  11:50 - 12:10
AI Legal  12:10 - 12:30
Bi-Annual UV Privacy &amp; Security H2 2025  12:30 - 1:30 </t>
  </si>
  <si>
    <t>9a51bc9b-f326-4018-8fcd-be1f6ca77b31</t>
  </si>
  <si>
    <t>60fb6925-4842-477c-809a-709470aa3320</t>
  </si>
  <si>
    <t>DAC Update</t>
  </si>
  <si>
    <t>eb5a874f-27ae-41c2-bf9a-a45b97ea99b0</t>
  </si>
  <si>
    <t>5db7f66c-57ef-4be1-8d75-f2d424a88e82</t>
  </si>
  <si>
    <t>5e166ec3-4b85-4819-9e8f-84ec3aafe372</t>
  </si>
  <si>
    <t>10f136f9-c8da-417f-85bc-992cec90191e</t>
  </si>
  <si>
    <t>fb810b6b-1cb4-4b5c-82f2-6686d107871d</t>
  </si>
  <si>
    <t>7a68cf60-4d18-4929-8991-5fe3534f5162</t>
  </si>
  <si>
    <t>6ba41d41-a936-4438-bd8a-618198ed2289</t>
  </si>
  <si>
    <t>c0f18dc8-b9e8-4130-b86b-08ef5115d213</t>
  </si>
  <si>
    <t>6ecfb117-7b31-4a81-9e24-92657fb5aa07</t>
  </si>
  <si>
    <t>85e550cc-f0eb-4a45-abd3-7d9b88c4b3f4</t>
  </si>
  <si>
    <t>50878905-e671-4704-90b1-d2abe3de5b06</t>
  </si>
  <si>
    <t>002bd909-4e4a-4fa8-a34a-ddc698fed385</t>
  </si>
  <si>
    <t>CTV - oct</t>
  </si>
  <si>
    <t>8a16e174-f0e2-4f52-8d03-bd6b4b4bb57b</t>
  </si>
  <si>
    <t>e6fd3300-1cc4-4da0-87eb-314f838bee69</t>
  </si>
  <si>
    <t>7465e767-2c53-4f4e-9225-71b228f4fded</t>
  </si>
  <si>
    <t>39ec70d1-e284-4d4e-ae2f-d592e673c30f</t>
  </si>
  <si>
    <t>7f1d6aca-d273-4d14-82a7-299ab680ae0c</t>
  </si>
  <si>
    <t>d7bfb45c-41e4-41c9-9468-68e2e6c4e9ae</t>
  </si>
  <si>
    <t>678887d5-e45e-4f79-8cd8-987915363fd8</t>
  </si>
  <si>
    <t>fd016d79-13f1-4378-9d06-247d12deb95c</t>
  </si>
  <si>
    <t>e853ef2e-e61d-41ac-b691-4a8be2a0c4a1</t>
  </si>
  <si>
    <t>277e963d-f6be-4006-b814-18dbd5514a9c</t>
  </si>
  <si>
    <t>adeac524-64a3-4c3f-a09a-438caa825f41</t>
  </si>
  <si>
    <t>571a444d-7fac-4d54-aa0e-968ce0c90f56</t>
  </si>
  <si>
    <t>a3fb6d94-2290-4b95-a631-59cfc78c2328</t>
  </si>
  <si>
    <t>97bfb8ce-43f5-46b6-87e0-921adc9f124b</t>
  </si>
  <si>
    <t>d4d4f19a-924f-4f88-af8e-c5cc6c6bde26</t>
  </si>
  <si>
    <t>9ee9dd18-4d28-4d0e-a87c-ddc30c9d7bf8</t>
  </si>
  <si>
    <t>d335e85b-4648-4624-85b9-df30a27a5227</t>
  </si>
  <si>
    <t>56c24fdf-a6a4-4919-9b2f-0f8455e5aca6</t>
  </si>
  <si>
    <t>78fd70b7-f174-4291-9a41-00b1a7336d02</t>
  </si>
  <si>
    <t>2c85c3f9-e49b-4acc-97aa-cfd06b6d9812</t>
  </si>
  <si>
    <t>7f487ab9-f2ed-4247-96d8-f5aa7e3b5734</t>
  </si>
  <si>
    <t>Queue monitoring</t>
  </si>
  <si>
    <t>4d5d4784-89a7-41fb-8261-c2356e6e3566</t>
  </si>
  <si>
    <t>4e8ac936-2502-47fe-aa4a-8aebbf7af841</t>
  </si>
  <si>
    <t>353134fa-b9da-43e3-916f-6bd44b7d6f58</t>
  </si>
  <si>
    <t>ea3dc1b4-f820-4d9d-9a79-c64d34994cba</t>
  </si>
  <si>
    <t>118c638a-f4ee-4800-a631-dfd93bca81b5</t>
  </si>
  <si>
    <t>ef028d0d-7384-4e0d-873d-54a903ead7d5</t>
  </si>
  <si>
    <t>2e3cb3ef-40ee-4148-8b3d-96372d5919d6</t>
  </si>
  <si>
    <t>d26ace73-6cb2-49f0-b31d-f9516212fe51</t>
  </si>
  <si>
    <t>9d6c3892-b01c-4d44-a218-dbadc7a52a10</t>
  </si>
  <si>
    <t>bac72165-1115-4fdb-853a-6a1474aec865</t>
  </si>
  <si>
    <t>39cb43dd-3dcf-4c13-bbb0-81adaec18c17</t>
  </si>
  <si>
    <t>49d8c987-f4fb-4604-a282-1301c1341afc</t>
  </si>
  <si>
    <t>ffc63083-8095-48da-8d95-f79fbc534ac2</t>
  </si>
  <si>
    <t>f0f58e6d-ea3d-43bf-8965-772c631f0624</t>
  </si>
  <si>
    <t>ticket discussion</t>
  </si>
  <si>
    <t>849c098f-7635-4bf8-9faf-391602a1df16</t>
  </si>
  <si>
    <t>e8f49d52-afd7-45dc-82c4-4de398c16694</t>
  </si>
  <si>
    <t>Communicates Effectively Workshop</t>
  </si>
  <si>
    <t>a8fac42e-a597-4402-9429-5014439f9e09</t>
  </si>
  <si>
    <t>AI Foundations Workshop</t>
  </si>
  <si>
    <t>09820f2b-07cb-4308-ac9b-74139940eb87</t>
  </si>
  <si>
    <t>798834fe-1b06-4a87-97da-29374e36fe8f</t>
  </si>
  <si>
    <t>bf7bf590-109a-431a-aca7-7346472ca5ac</t>
  </si>
  <si>
    <t>52f7bd14-b984-4f9d-8540-61efc1c3d3e6</t>
  </si>
  <si>
    <t>29f0cef1-f510-42e0-afd8-80558ccd8279</t>
  </si>
  <si>
    <t>4e0240e1-1287-4aeb-a978-8e082b637e2b</t>
  </si>
  <si>
    <t>ff936e2f-09ee-417a-aa80-ac56ce6fb056</t>
  </si>
  <si>
    <t>5a74f60e-02a9-497e-87a3-e5b5f9dcae4f</t>
  </si>
  <si>
    <t>a40887f2-b535-4f6d-9737-ce7270548e0c</t>
  </si>
  <si>
    <t>8dd3829f-4f5e-4779-96a9-1ab682134c16</t>
  </si>
  <si>
    <t>fb53f61c-69df-4831-ac4f-e211d8035b94</t>
  </si>
  <si>
    <t>cd9c6143-190d-4450-bcc0-e7b09d339ff2</t>
  </si>
  <si>
    <t>cfb5f1ee-2d29-4479-8b96-de4b6439f196</t>
  </si>
  <si>
    <t>91445e43-6088-4f1a-b9f1-58e5910bf69c</t>
  </si>
  <si>
    <t>4204082c-c054-4016-addd-c1d2947d0c2b</t>
  </si>
  <si>
    <t>bd2a013b-1800-43f3-9238-b98d781a6385</t>
  </si>
  <si>
    <t>9842a7ad-09b1-4ef3-a0cd-fc75078e6644</t>
  </si>
  <si>
    <t>a9c96ae7-c77f-4e27-9612-26c2c0e622a6</t>
  </si>
  <si>
    <t>738f346c-5f53-47a4-9f02-d42c4a679837</t>
  </si>
  <si>
    <t>05d42ba5-9434-413f-bd1f-23b4a1cd96b7</t>
  </si>
  <si>
    <t>62f5c275-4032-402f-b418-2dde46b1910a</t>
  </si>
  <si>
    <t>7939aed2-172b-4a2a-975c-43896eeab3f3</t>
  </si>
  <si>
    <t>7f5e67df-5fbe-4506-acce-240b346b3e28</t>
  </si>
  <si>
    <t>1e260697-6a56-4d64-a2cd-c7e31c0a752c</t>
  </si>
  <si>
    <t>e4a5e063-d134-41f8-8bc9-ac2681a2fa85</t>
  </si>
  <si>
    <t>534137e8-4f9e-4d55-8713-748ee44a4b5c</t>
  </si>
  <si>
    <t>cfa9e930-f3a0-4962-a4c9-658061701b32</t>
  </si>
  <si>
    <t>8747a338-2495-43b4-82f2-a9ce291a2855</t>
  </si>
  <si>
    <t>a8428ed8-229d-47c8-b1de-73bf8a0f762f</t>
  </si>
  <si>
    <t>93510e9b-b181-4c79-b5cd-2aaad36b4191</t>
  </si>
  <si>
    <t>53dd3720-919f-495c-b9b2-280cc58c5c77</t>
  </si>
  <si>
    <t>4f1b57ea-f1de-4eb9-a0ac-e8d9cfab4ed8</t>
  </si>
  <si>
    <t>3bbf8ec9-78ef-4ea0-85f1-ceb521ce96c7</t>
  </si>
  <si>
    <t xml:space="preserve"> Introduction to FIND</t>
  </si>
  <si>
    <t>9cbe340e-bb73-4ce8-bf4a-28fd175aff12</t>
  </si>
  <si>
    <t>af62e29c-1938-44e3-b8e8-9ba2e53a21aa</t>
  </si>
  <si>
    <t>7da4171a-03ab-44c6-a786-f6f263ae768c</t>
  </si>
  <si>
    <t>48d277a9-8b2d-4938-8333-dfd1bac19bc1</t>
  </si>
  <si>
    <t>13f76f2c-c7d2-49c4-a6b1-02ec83eff9a2</t>
  </si>
  <si>
    <t>ee8a379b-b66c-4565-9d83-9350a9b3c62c</t>
  </si>
  <si>
    <t>63e69cbd-1230-4087-870e-5afbc2cc8298</t>
  </si>
  <si>
    <t>e9078e39-1c6a-470f-add8-a9d09c8cdd28</t>
  </si>
  <si>
    <t>be350b33-843e-4ad3-b755-fe5cca35bf8a</t>
  </si>
  <si>
    <t>3f1bef60-bde9-4ae5-952a-f5b7621efd82</t>
  </si>
  <si>
    <t>f430f41e-0825-4eb4-acde-cef0c5892d95</t>
  </si>
  <si>
    <t>SpecOps CatchOps Oct</t>
  </si>
  <si>
    <t>06e830e3-8424-40b6-9982-14e1f6732218</t>
  </si>
  <si>
    <t>0a345fd5-b81b-4a2e-bfdd-9435eb392e03</t>
  </si>
  <si>
    <t>1e64b6b9-6ed7-4213-b55b-1b4f4a30602a</t>
  </si>
  <si>
    <t>dcb1af6b-5e19-4cd7-9eb2-0d221a83e75c</t>
  </si>
  <si>
    <t>da570d93-3dfc-4ce7-a791-bc21f70c97c2</t>
  </si>
  <si>
    <t>baafe615-8326-40d4-b340-96dd7e0e6caa</t>
  </si>
  <si>
    <t>543a39d2-9329-4f13-858b-5c6cfe784176</t>
  </si>
  <si>
    <t>6150ae36-d17e-444c-995c-8679f855126f</t>
  </si>
  <si>
    <t>on hold tickets</t>
  </si>
  <si>
    <t>5399a9fd-7e9c-4c43-9683-86c985e9b379</t>
  </si>
  <si>
    <t>e7ecd1b3-1d1b-4043-ba09-26fdcb2bda30</t>
  </si>
  <si>
    <t>c81af970-ad69-474d-b2a2-30464fafe8db</t>
  </si>
  <si>
    <t>1420c0ba-8abc-41cd-ae23-8483d3f50aee</t>
  </si>
  <si>
    <t>Trainings: When to Edit CAL's Responses and AI Legal</t>
  </si>
  <si>
    <t>fe483d58-c792-4ada-988f-452de4091731</t>
  </si>
  <si>
    <t>232cb2c9-75f2-4031-8036-d7339eecf387</t>
  </si>
  <si>
    <t>62a768b2-d5b3-4016-94e0-1847af142575</t>
  </si>
  <si>
    <t>70e48888-ac11-4f5d-ae75-d5400fa0e4cc</t>
  </si>
  <si>
    <t>850ced6b-8357-4531-b1ea-1e52f5d6c7a6</t>
  </si>
  <si>
    <t>c0bf52fa-e050-47d0-8bbe-75efffe0ced1</t>
  </si>
  <si>
    <t>5b9c0e37-0a9e-4a04-b22a-8c24b8dda351</t>
  </si>
  <si>
    <t>94ca3c72-40aa-4deb-a4a7-57ef6b187094</t>
  </si>
  <si>
    <t>a14d2709-547d-457f-b9d0-0bb875dff1a3</t>
  </si>
  <si>
    <t>c42ec9af-d8b0-4561-a118-62b356ee8a96</t>
  </si>
  <si>
    <t>38c55112-3b54-4cc2-88b5-f60e5cce1129</t>
  </si>
  <si>
    <t>561672a6-9574-460b-8512-3ef26234c56b</t>
  </si>
  <si>
    <t>238b81da-f97a-4fa6-9298-8e2f1edcca55</t>
  </si>
  <si>
    <t>99ae0124-083b-4e80-82b2-ad445f249f85</t>
  </si>
  <si>
    <t>e3bab743-1b06-4eec-93ab-45e20da119ac</t>
  </si>
  <si>
    <t>935cfbe4-8154-4853-8d29-521fa747e13f</t>
  </si>
  <si>
    <t>9819351c-aaa6-424c-9946-6748be3ac850</t>
  </si>
  <si>
    <t>d36fde6f-15b7-45b8-8566-c3629a50bc9e</t>
  </si>
  <si>
    <t>f766297c-19c0-4235-a0ed-dc2afef4c4b2</t>
  </si>
  <si>
    <t>77fb5a90-441d-4d5c-a416-29094bd84aa6</t>
  </si>
  <si>
    <t>211867f9-485d-4e48-824c-2a5acab0c8a0</t>
  </si>
  <si>
    <t>85a2e5c4-a9f2-4a59-80f5-9617dcffea2b</t>
  </si>
  <si>
    <t>0d2df652-6936-4b4b-9c2a-42fa4aae333d</t>
  </si>
  <si>
    <t>c06d7ec5-e33c-4719-8e0b-13826917f421</t>
  </si>
  <si>
    <t>7d1aa71a-0d59-4c25-b09d-c0e6fb07febe</t>
  </si>
  <si>
    <t>4b62289b-3cbb-4011-bb2a-6dd07ad8188b</t>
  </si>
  <si>
    <t>1c665d10-1e86-4793-a5f0-3f118af82801</t>
  </si>
  <si>
    <t>57c16c08-f016-4742-9390-58fe8792ae7d</t>
  </si>
  <si>
    <t>4967a5b3-7303-4214-9e8b-545eadccfebe</t>
  </si>
  <si>
    <t>8049ecdc-35d3-44be-9fe5-df1c03c9b50c</t>
  </si>
  <si>
    <t>f4909f86-5b1f-4b3b-876e-70c0b8830662</t>
  </si>
  <si>
    <t>1c7b9815-888c-4e41-a75d-52c9f311a464</t>
  </si>
  <si>
    <t>fb693d84-7dbb-4336-9139-8e8e5f9e0fe1</t>
  </si>
  <si>
    <t>2ae5fbaa-8e6a-4774-b7d3-7b243bf25c4a</t>
  </si>
  <si>
    <t>68a2ebb2-0c46-4776-a0a1-b6d5d73e2436</t>
  </si>
  <si>
    <t>7a28e42c-a972-4e7a-9de8-f1915b00b7de</t>
  </si>
  <si>
    <t>Identifying My Strengths</t>
  </si>
  <si>
    <t>869ad4ee-61ff-48d0-bb0d-2762971e9493</t>
  </si>
  <si>
    <t>83be6709-d34b-475a-af8a-a43115ff6d77</t>
  </si>
  <si>
    <t>a358432c-1807-40cc-8dec-50262b3230f9</t>
  </si>
  <si>
    <t>aebeecd3-13d9-4501-aeb3-d5e458c13fb8</t>
  </si>
  <si>
    <t>965cff5a-8c88-48a7-8683-b363ac06f675</t>
  </si>
  <si>
    <t>0b8e77b0-6161-46f7-b401-2886dccd4027</t>
  </si>
  <si>
    <t>d80d779f-4572-4497-8fc7-9a5859acf0f0</t>
  </si>
  <si>
    <t>Four Domains of Emotional Intelligence</t>
  </si>
  <si>
    <t>16f114da-239b-4085-aac0-ff44807069f3</t>
  </si>
  <si>
    <t>e9a7b747-a7e1-4cdd-b58e-4653bd94b280</t>
  </si>
  <si>
    <t>400d7a21-ca5b-4f8c-a46b-8dfec413b770</t>
  </si>
  <si>
    <t>73234ef6-a0cc-4222-b6b8-a74e932cf2a8</t>
  </si>
  <si>
    <t>f955908a-e58a-47be-8678-5492a9f7010f</t>
  </si>
  <si>
    <t>748285f1-dea0-46b4-a876-594468f5deca</t>
  </si>
  <si>
    <t>ba36580f-5b49-4c1a-b89b-69f8a7200c31</t>
  </si>
  <si>
    <t>ea1c2a19-65ae-4273-b472-1790c9e30639</t>
  </si>
  <si>
    <t>72e55588-c09c-4da9-b540-c363672fe9ad</t>
  </si>
  <si>
    <t>f4a73dfb-1c62-4388-9dc4-6f7f0c3959bb</t>
  </si>
  <si>
    <t>7384ff75-504e-4137-ae4b-bb4484db25f3</t>
  </si>
  <si>
    <t>942e19c1-a148-48fd-814d-86fa19e24ee0</t>
  </si>
  <si>
    <t>Training: AI Legal</t>
  </si>
  <si>
    <t>befc83ff-011f-468d-82d4-d49db4a28e53</t>
  </si>
  <si>
    <t>Training: When to Edit Cal’s Responses</t>
  </si>
  <si>
    <t>4cbc58e3-0724-48ac-9e16-49e87f383e7a</t>
  </si>
  <si>
    <t>Training: Protecting Canva</t>
  </si>
  <si>
    <t>94b68eee-a023-4505-9fbb-78dd8b7b0cf3</t>
  </si>
  <si>
    <t>Training: Communicates Effectively Workshop</t>
  </si>
  <si>
    <t>bb66ceb9-877a-4265-865d-fd6946a5e2ec</t>
  </si>
  <si>
    <t>ae9966a9-5a35-4835-92c6-da20924d1b8b</t>
  </si>
  <si>
    <t>c0a65386-3055-4b07-86a7-a36746e38250</t>
  </si>
  <si>
    <t>d84d3c9c-cc10-45e9-80e4-113025842c29</t>
  </si>
  <si>
    <t>2dd0ad40-7693-4dd9-9ffe-0b4f3a505556</t>
  </si>
  <si>
    <t>24487364-aeaa-4f81-bde7-1d67a07d098d</t>
  </si>
  <si>
    <t>08162d2d-4633-48e9-8f50-58f837b2dd9a</t>
  </si>
  <si>
    <t>05634334-3284-4603-9dcf-3502b5a4f76a</t>
  </si>
  <si>
    <t>f42cea72-f44e-459b-b4b2-e7b2713b8105</t>
  </si>
  <si>
    <t>CTV October 2025</t>
  </si>
  <si>
    <t>a58a16fb-453f-48fe-bc8c-040999d02b18</t>
  </si>
  <si>
    <t>Personal Leadership Journey (75mins)</t>
  </si>
  <si>
    <t>ab42c3f5-119d-4673-9d3a-4fd30216e4a2</t>
  </si>
  <si>
    <t>344087d2-6c32-4cfa-8a32-f709a715888c</t>
  </si>
  <si>
    <t>4a15a0c0-ad29-4110-9230-a9f7d608a257</t>
  </si>
  <si>
    <t>0cab0be6-2582-4a9a-9285-b571281cb367</t>
  </si>
  <si>
    <t>b9d68762-2cf0-4beb-8bdd-911044bda439</t>
  </si>
  <si>
    <t>15de27da-71cf-4699-a068-25ccc0e569c3</t>
  </si>
  <si>
    <t>d4e9a305-6108-4cff-ab3e-3d6bff97bbbe</t>
  </si>
  <si>
    <t>b52ae056-268c-4eb2-aa8c-fc718136d105</t>
  </si>
  <si>
    <t>4b4cc9b2-925e-43ae-aea0-d93eac137c20</t>
  </si>
  <si>
    <t>24971e82-8579-43a5-8e3d-cc7954bd85ba</t>
  </si>
  <si>
    <t>9ac9c749-c88c-4a49-88ed-725de72088e8</t>
  </si>
  <si>
    <t>827486c0-ec21-426f-8f41-157fbdf8e319</t>
  </si>
  <si>
    <t>4b8eaf7e-50fa-4d0c-8ddb-aa3154f5512c</t>
  </si>
  <si>
    <t>65504835-0e98-401d-b715-2e174224dcb4</t>
  </si>
  <si>
    <t>d5c7cc3e-c16e-4845-835d-2e9416c32c4e</t>
  </si>
  <si>
    <t>b490f7c7-3e9f-4e60-8a6c-f9dcf3612fd0</t>
  </si>
  <si>
    <t>9ea88688-ea99-4855-8352-8aafcdea9839</t>
  </si>
  <si>
    <t>f6f7e5a7-6e7b-4abd-86f9-fe5a02da08e5</t>
  </si>
  <si>
    <t>42736c77-bc24-4608-8bd6-0df3580aec82</t>
  </si>
  <si>
    <t>1192dad7-3656-4af3-894e-ed09302345b9</t>
  </si>
  <si>
    <t>08224cbd-3e27-4889-8949-5cc348de8fe6</t>
  </si>
  <si>
    <t>99168d88-9d81-4cf2-a8ee-f75aeacc6d32</t>
  </si>
  <si>
    <t>758e1599-54a7-4abe-b19d-3d83fcc6aea8</t>
  </si>
  <si>
    <t>908bbc25-b239-4dc7-8da7-091849bf4ecb</t>
  </si>
  <si>
    <t>4be6eb00-6a85-44c3-a026-260fa731283d</t>
  </si>
  <si>
    <t>fc72ecae-06f0-43e9-a5d1-c1e7f8b235e4</t>
  </si>
  <si>
    <t>baf91173-8e87-4815-be68-87e07e7cf7ea</t>
  </si>
  <si>
    <t>96a0c8f7-837f-4daf-abc3-e27f6d76dac7</t>
  </si>
  <si>
    <t>745f1681-6114-47a8-a1be-0fff03bc312c</t>
  </si>
  <si>
    <t>e53fe465-0562-4114-9534-707f3b7c07fe</t>
  </si>
  <si>
    <t>f002cf7e-f413-4d1c-badd-46761b40fe1b</t>
  </si>
  <si>
    <t>b8835236-5e51-40f8-8fc0-7525f9c133a0</t>
  </si>
  <si>
    <t>11f707eb-67f8-4f0b-8e41-7383c5c8544b</t>
  </si>
  <si>
    <t>read updates/articles</t>
  </si>
  <si>
    <t>696da838-af06-4ed0-959f-0fd99cfb480b</t>
  </si>
  <si>
    <t>Protecting Canva</t>
  </si>
  <si>
    <t>11fb795c-96c3-4512-918b-94e5c21c98c3</t>
  </si>
  <si>
    <t>0236e3b9-c90b-4d35-b0ec-6e21f60dee27</t>
  </si>
  <si>
    <t xml:space="preserve">CTV November
</t>
  </si>
  <si>
    <t>1d845c72-0ced-48ec-862f-d3445bd80c93</t>
  </si>
  <si>
    <t>66a4a4b3-94e4-4b47-a9f1-5fc7c77b74d0</t>
  </si>
  <si>
    <t>084956a7-99b1-4316-b61b-b41ec8d5bbc8</t>
  </si>
  <si>
    <t>c267ecc5-22fc-4d92-8aa1-d9af705c6b1c</t>
  </si>
  <si>
    <t>9285d47a-8015-4fa1-aa7b-2d31bba4d75e</t>
  </si>
  <si>
    <t>bb103ca6-56a1-42e8-bdbf-eca7572f3ec8</t>
  </si>
  <si>
    <t>18366b67-98f3-4748-a731-846644c1182a</t>
  </si>
  <si>
    <t>Missed to take my break on time</t>
  </si>
  <si>
    <t>e1ec079d-dd52-4074-91dd-0b2306af930e</t>
  </si>
  <si>
    <t>5503bd3a-4d5c-47d7-a4b6-5570bcacddab</t>
  </si>
  <si>
    <t>539afe89-43bb-4a28-b918-fa7d30f30ae4</t>
  </si>
  <si>
    <t>e6e18435-07c1-4cb9-ab78-9e5e8455f3ec</t>
  </si>
  <si>
    <t>9ba43c04-0503-47f8-9521-4b8baf45e14c</t>
  </si>
  <si>
    <t>2012fe74-b1a3-4974-a02e-a4a7cc2f9227</t>
  </si>
  <si>
    <t>002b50c1-e890-4e8a-beea-5f59dcab5ca9</t>
  </si>
  <si>
    <t>e00ab85d-a29e-4b3b-8f99-e067e1a2f0a2</t>
  </si>
  <si>
    <t>f16f83c6-8c23-48f7-86ae-233b2eb45228</t>
  </si>
  <si>
    <t>0e56a3b9-857f-457d-a24a-e167fa2cae6c</t>
  </si>
  <si>
    <t>98502987-3985-439f-9e5f-07c90a518425</t>
  </si>
  <si>
    <t>0fd6f391-a619-443d-9560-cb198ce367ca</t>
  </si>
  <si>
    <t>b136158f-8bd6-4c88-9b07-fd8f4470bed0</t>
  </si>
  <si>
    <t>DAC Update, When to Edit Cal’s Responses, AI Legal, Bi-Annual UV Privacy &amp; Security H2 2025</t>
  </si>
  <si>
    <t>958ecfc6-efc9-4c2e-a140-c9d434db5044</t>
  </si>
  <si>
    <t>a3661cee-6c6b-4dc9-a8a9-7717c7c485c5</t>
  </si>
  <si>
    <t>d67c1e50-61f9-4689-a2ac-5d1f55afb7cb</t>
  </si>
  <si>
    <t>0ccc48bb-a3b9-4b65-9cf1-75d1a8d47cc3</t>
  </si>
  <si>
    <t>187d961e-6f7d-471a-9f36-82b5dd622003</t>
  </si>
  <si>
    <t>3792bf4e-c4c8-4acb-ba47-1a1c3f514a09</t>
  </si>
  <si>
    <t>2728cd8f-46a9-413e-b42b-ea5dc6d445cc</t>
  </si>
  <si>
    <t>281c6e0a-e9e1-4818-aca6-5b20aef6b09f</t>
  </si>
  <si>
    <t>578c9ead-1d96-49c4-954f-3f5cc4bb2a39</t>
  </si>
  <si>
    <t>6c3a603b-0b48-4d9f-b2ca-aa247e6fba86</t>
  </si>
  <si>
    <t>f8e22a05-e071-49a5-b2e5-ad311f305154</t>
  </si>
  <si>
    <t>ec8e54f6-efe7-46af-8686-ce9377e99965</t>
  </si>
  <si>
    <t>f13a880c-f096-4fa6-9cdd-1a4d15da9d91</t>
  </si>
  <si>
    <t>e75d9b32-9149-4d5d-875f-58ae6a7208db</t>
  </si>
  <si>
    <t>843d2970-e457-4c00-9ed1-dc5557f43c5a</t>
  </si>
  <si>
    <t>acce3721-8b4b-4a9b-8ed1-d232f60ce51a</t>
  </si>
  <si>
    <t>c2431189-b09a-442f-bbb3-08624b6ab29b</t>
  </si>
  <si>
    <t>2e044d11-7157-479f-aeb1-3c5925232268</t>
  </si>
  <si>
    <t>CTV November 2025</t>
  </si>
  <si>
    <t>6a06a6af-4872-4190-b351-ea88a3b27a6c</t>
  </si>
  <si>
    <t>UV All Hands: 2025 Wrap Up</t>
  </si>
  <si>
    <t>ab07061a-5498-4732-91f4-e7ea1c3d01b8</t>
  </si>
  <si>
    <t>Personal Leadership Journey</t>
  </si>
  <si>
    <t>62782d83-41cf-4ca6-a96e-d480e4b0948c</t>
  </si>
  <si>
    <t>6a013615-08d0-48ba-8bab-af9fece2e2db</t>
  </si>
  <si>
    <t>78e4ca10-212f-48fc-b358-77544921c743</t>
  </si>
  <si>
    <t>945fe857-b769-4abb-b95e-320bee37f449</t>
  </si>
  <si>
    <t>578142b1-73f5-47bb-b190-bb1d1689f37b</t>
  </si>
  <si>
    <t>05388412-8226-4e0d-a5d5-eff2496fb479</t>
  </si>
  <si>
    <t>d32e1bf9-c0f7-4d58-92d5-af4f88b0f27f</t>
  </si>
  <si>
    <t>58eaeef6-a4e8-4d60-a72d-d14e1f782cbb</t>
  </si>
  <si>
    <t>8c154d8d-5d12-4681-b9aa-68ca64fe0417</t>
  </si>
  <si>
    <t>5baba28d-75da-4029-a2f5-d67198575976</t>
  </si>
  <si>
    <t>400a3a4c-20da-4442-8300-9f52cc661146</t>
  </si>
  <si>
    <t>5dffde8f-6f1e-4962-b5c0-9dcce1d6b850</t>
  </si>
  <si>
    <t>4a8fd523-0a13-4974-9cd7-ad54c3382f5a</t>
  </si>
  <si>
    <t>1760519b-05f0-4858-90b6-f9f5c90756e9</t>
  </si>
  <si>
    <t>3b238e9d-95c4-4720-aa92-abb89fea2f1f</t>
  </si>
  <si>
    <t>7e481688-9516-42be-92c1-5177efc5cee6</t>
  </si>
  <si>
    <t>edda753d-f133-4b3a-a7d0-1170da173e51</t>
  </si>
  <si>
    <t>350a593b-392a-43e1-aa2c-549c86a05185</t>
  </si>
  <si>
    <t>61ee3b85-d40b-45f9-b208-0906e0ea9b8f</t>
  </si>
  <si>
    <t>bffeaa6d-d6a3-4c14-8734-1162f2c3b457</t>
  </si>
  <si>
    <t>c50cc49f-9e7c-4616-a1ad-1f9a459b030f</t>
  </si>
  <si>
    <t>https://bpos.canva.site/when-to-edit-cal-responses</t>
  </si>
  <si>
    <t>43f2214c-84ab-4607-b3c5-90f488ce6cde</t>
  </si>
  <si>
    <t>47347c93-0e38-4d75-9bc2-3e67b4e37e7f</t>
  </si>
  <si>
    <t>f079ebed-03bd-4bd2-89d7-8d86f7fd7123</t>
  </si>
  <si>
    <t>bfb4d190-99a2-4dab-93d2-e270696fc484</t>
  </si>
  <si>
    <t>ec1e42fc-954b-49aa-9c26-8eb6a89659a5</t>
  </si>
  <si>
    <t>996362c2-5320-4ce6-8826-83285ad284a0</t>
  </si>
  <si>
    <t>da72b355-7ccf-46d8-ba3e-5131f880b3be</t>
  </si>
  <si>
    <t>8cec7a51-02c5-4fa0-af53-e8c971c34447</t>
  </si>
  <si>
    <t>6ef49022-00ee-445c-bbf3-c14ccdf68090</t>
  </si>
  <si>
    <t>e934212b-bfbe-43de-86d8-e436694f3bec</t>
  </si>
  <si>
    <t>db233ce3-4a18-40fc-a262-33d9a5034a56</t>
  </si>
  <si>
    <t>UV All hands</t>
  </si>
  <si>
    <t>f43a9b8b-6208-41af-b133-3fcefc6d4610</t>
  </si>
  <si>
    <t>0a61989a-7331-48cd-8cfc-feb13757ea14</t>
  </si>
  <si>
    <t>2c9ab5d2-57db-4320-96ce-c2ab64ea9a2e</t>
  </si>
  <si>
    <t>d53284a5-c6e5-43fc-9c99-78d68ab75f4c</t>
  </si>
  <si>
    <t>a2b2a90f-0b5b-4a4d-a91f-fc11a8da9919</t>
  </si>
  <si>
    <t>8609f06c-d9a3-4729-99e2-cd3a9e013351</t>
  </si>
  <si>
    <t>6a13d15a-cff9-4edd-8061-46446396f56c</t>
  </si>
  <si>
    <t>1aff1d62-3ee5-4755-9e79-e74c8e86d40b</t>
  </si>
  <si>
    <t>1676ad02-276f-4e1f-bca1-771824f8488d</t>
  </si>
  <si>
    <t>Lunch - adjusted</t>
  </si>
  <si>
    <t>c81bc8b4-0358-455d-9cb2-05961536cf4b</t>
  </si>
  <si>
    <t>423e6e5c-97c9-4809-91e9-be80db59fabc</t>
  </si>
  <si>
    <t>95184225-ec9a-4a7d-b2b2-c1975361e653</t>
  </si>
  <si>
    <t>577548c1-694b-4c73-95c1-c8240a19a679</t>
  </si>
  <si>
    <t>091556d5-e08a-4d82-b3aa-50f8d0a1fc81</t>
  </si>
  <si>
    <t>77bc5809-9430-4ff7-92a7-9487d8adc82a</t>
  </si>
  <si>
    <t>c75325cb-14b0-4947-a6f6-73553d4be1c5</t>
  </si>
  <si>
    <t>920d478e-ee31-4473-b661-f477f835964f</t>
  </si>
  <si>
    <t>Adjusted meal</t>
  </si>
  <si>
    <t>a8a4ff7f-93ba-4783-bdb0-472beaf1c2d6</t>
  </si>
  <si>
    <t>34786805-7fb8-426a-bf53-435aee78753d</t>
  </si>
  <si>
    <t>ba78dba5-0bf8-4433-b37a-6a316466f6bb</t>
  </si>
  <si>
    <t>e8ab4320-1793-402c-8dcc-77c3ede7fc75</t>
  </si>
  <si>
    <t>61fbb2e7-14d7-4c3b-b290-4594a09a225a</t>
  </si>
  <si>
    <t>9122a7ad-add1-4514-8a03-eeeb5beabe50</t>
  </si>
  <si>
    <t>623ca807-7ffd-4983-afe7-a23e7398bbaa</t>
  </si>
  <si>
    <t>d58fb80f-f363-4120-9b87-35104203af86</t>
  </si>
  <si>
    <t>ebcb0754-1b59-449b-b8fa-6b7ae6bc7648</t>
  </si>
  <si>
    <t>8d90f135-d832-44ac-9f38-5380d6cd214a</t>
  </si>
  <si>
    <t>9ac651df-8892-43b6-a4e7-ead8bd140aa0</t>
  </si>
  <si>
    <t>323904b0-4205-46e0-9a77-87e5886b011b</t>
  </si>
  <si>
    <t>cb391e28-9a44-4160-a22c-28330689cbe1</t>
  </si>
  <si>
    <t>402ccfbd-304a-417b-8449-7e706e3be30a</t>
  </si>
  <si>
    <t>f30e1b00-3fec-47aa-b766-800a9142a60d</t>
  </si>
  <si>
    <t>3db96bbb-5e48-45be-b3db-464ade0ebc3d</t>
  </si>
  <si>
    <t>7f562b63-61e0-462e-bc1a-d8a6138f47cf</t>
  </si>
  <si>
    <t>db3daa68-b803-4f70-8cf0-e02fc20fb5a6</t>
  </si>
  <si>
    <t>4bd591d3-43d7-4fd9-bf50-580d25e4559c</t>
  </si>
  <si>
    <t>d9abe20a-901e-4833-8fd3-d3c9c99e75ef</t>
  </si>
  <si>
    <t>e67757e3-33a0-4d86-ae98-2670b08624d2</t>
  </si>
  <si>
    <t>b6a1717b-cfd4-48ec-a23a-87a687d91666</t>
  </si>
  <si>
    <t>88a3fce9-2c0d-41de-8801-a43e51172d99</t>
  </si>
  <si>
    <t>40df9176-3b45-415f-9dc6-e17ba03415e7</t>
  </si>
  <si>
    <t>0d2a6dcd-211d-43bf-b2f4-aac8455330f2</t>
  </si>
  <si>
    <t>1fdf1f8e-9db2-482d-b54f-d42819602bba</t>
  </si>
  <si>
    <t>93c44931-800a-4b61-b66c-3b744a270010</t>
  </si>
  <si>
    <t>877da4a8-7333-4650-9aed-31311d852091</t>
  </si>
  <si>
    <t>adc03e89-953e-447d-b6af-44a1067f819a</t>
  </si>
  <si>
    <t>680aa414-d4a0-4e3d-9989-55454389add2</t>
  </si>
  <si>
    <t>4b401de0-ff39-4b0a-adcf-079529a69836</t>
  </si>
  <si>
    <t>bbf2be3f-0cde-46dc-8422-455f49e9b101</t>
  </si>
  <si>
    <t>aef5cd92-6d2d-4041-ac2e-f6b3a2c19746</t>
  </si>
  <si>
    <t>0eefdd4c-87b7-4558-bcaf-e6038bb5867b</t>
  </si>
  <si>
    <t>3639b45e-4aba-494f-a2bb-832d9c33095a</t>
  </si>
  <si>
    <t>caf049f3-b3e8-44cc-bfa9-d51f7253a836</t>
  </si>
  <si>
    <t>c6767b9c-6160-4d3a-b996-8b2edd2b1c6e</t>
  </si>
  <si>
    <t>b9ecb36e-8a61-4da3-86e4-0f9f76f69e6c</t>
  </si>
  <si>
    <t>f5122f26-47ff-41b2-9d99-c5009d1f3085</t>
  </si>
  <si>
    <t>60d79b32-cdd0-4742-aed3-7b8e1ada1193</t>
  </si>
  <si>
    <t>7ccc003c-f57b-4632-b0ca-28a7959ca41d</t>
  </si>
  <si>
    <t>dfe305a8-72a6-48b3-b86d-021a171cc18f</t>
  </si>
  <si>
    <t>8c626bdc-1cff-4f40-a98a-485c4ab22210</t>
  </si>
  <si>
    <t>a49b767f-7fa4-4025-858a-0fb5dcc25529</t>
  </si>
  <si>
    <t>15cbfad6-fd33-4724-955a-5fe564f6f931</t>
  </si>
  <si>
    <t>ca04cbbd-e01a-403e-bed1-67ca527453ef</t>
  </si>
  <si>
    <t>d3df51d7-7862-4cd8-8a73-b44f0f7fd6cc</t>
  </si>
  <si>
    <t>ad441992-2082-4311-b47d-395e842523c2</t>
  </si>
  <si>
    <t>8e76a3e7-5aa1-45fc-b5ec-88e4eff670b4</t>
  </si>
  <si>
    <t>eab190b3-a3d1-40a9-a421-7dc83db6809e</t>
  </si>
  <si>
    <t>cf1b2a10-27ef-4d48-9e17-05bff2136fde</t>
  </si>
  <si>
    <t>4a4a4bf6-580a-47e9-8f26-76734bc621fa</t>
  </si>
  <si>
    <t>c122cb8b-9d7c-4cf3-a74e-222157f2d445</t>
  </si>
  <si>
    <t>a47d7a73-7f2e-4694-b74d-ee52748ebcf8</t>
  </si>
  <si>
    <t>96b406da-7c7f-4185-9616-b02d50a9f413</t>
  </si>
  <si>
    <t>096acb5b-f3d2-4561-8216-0980859899f3</t>
  </si>
  <si>
    <t>1907fbbd-ecb6-4455-a5a5-1d2bf91143a3</t>
  </si>
  <si>
    <t>328b8b52-c5f2-437f-ad1e-d52799200c46</t>
  </si>
  <si>
    <t>4f800db0-ea1f-48ab-a71c-231234ae33a6</t>
  </si>
  <si>
    <t>cd6caf6b-1d90-43df-bcf7-682479eda443</t>
  </si>
  <si>
    <t>245c3ebe-c58e-4c14-bb5e-b6dae6f27abd</t>
  </si>
  <si>
    <t>c9e63ed0-9fc3-4f63-a9fd-5f9ad838441d</t>
  </si>
  <si>
    <t>6563ef48-6231-414b-b06f-434f864113ea</t>
  </si>
  <si>
    <t>ba8d0d60-807b-4ac0-a14b-b949938795f0</t>
  </si>
  <si>
    <t>e86ce3e5-ecb9-4caa-b64c-c0139c98dab1</t>
  </si>
  <si>
    <t>6fe12344-44ab-4419-8c3c-02cd7e2a1d2d</t>
  </si>
  <si>
    <t>be1c2e4f-3567-4118-a537-08458c3edbc3</t>
  </si>
  <si>
    <t>2a40b618-d4f9-4adb-8c56-0f04d9503d32</t>
  </si>
  <si>
    <t>effc66d3-162e-418d-920e-c6faa679e9f7</t>
  </si>
  <si>
    <t>da6e3d39-7727-482e-96cf-1ae683b5c13a</t>
  </si>
  <si>
    <t>20dc4639-e505-4e59-a371-2375e2e87426</t>
  </si>
  <si>
    <t>bb168a9b-624b-40c9-85d1-780473f774ad</t>
  </si>
  <si>
    <t>3f201ec3-67de-4078-bcec-ff810b12a289</t>
  </si>
  <si>
    <t>dfa123f0-e10d-44ae-83b6-8f34786e21a2</t>
  </si>
  <si>
    <t>6066f3d4-f3f5-439e-be05-1a5750dc140f</t>
  </si>
  <si>
    <t>1c4afe11-86ba-4d6b-828e-2a34a4b2c595</t>
  </si>
  <si>
    <t>d8e94abd-cf0f-468c-80b0-5d1e0c6f5788</t>
  </si>
  <si>
    <t>9aa912a6-bf80-4211-bfc9-02d80328b8ad</t>
  </si>
  <si>
    <t>762714e0-0e5e-49b8-8946-a4a7e25e7e2a</t>
  </si>
  <si>
    <t>68eac0e3-a64c-4d28-879a-e84460ea823c</t>
  </si>
  <si>
    <t>5b06c72a-ac71-47f5-a25e-1ebe5bae3bee</t>
  </si>
  <si>
    <t>9fd8f2f8-2329-4dd2-8a8f-f169c218c939</t>
  </si>
  <si>
    <t>Read update</t>
  </si>
  <si>
    <t>c6acf4c0-cdd9-42fe-96f3-e0473cf14609</t>
  </si>
  <si>
    <t>b6fdb6a8-02e2-4505-926a-f109899c78a2</t>
  </si>
  <si>
    <t>42d3323a-a153-4715-8211-53d7e7a371bc</t>
  </si>
  <si>
    <t>Watch CTV recroding</t>
  </si>
  <si>
    <t>43080701-cbdf-4440-b7cb-b33fc1292c40</t>
  </si>
  <si>
    <t>Watched CTV recording</t>
  </si>
  <si>
    <t>8ca458d9-5c76-497a-bc57-52856b3f0d6e</t>
  </si>
  <si>
    <t>a7bf801d-201f-4b34-8831-c5fce213980a</t>
  </si>
  <si>
    <t>648df382-cb81-443f-b8d1-7b0d8bf4f539</t>
  </si>
  <si>
    <t>092c21de-2bd4-454f-a060-66ae7113d4f2</t>
  </si>
  <si>
    <t>f3b48fc4-1181-48a0-9808-4bf8deb3bcd9</t>
  </si>
  <si>
    <t>ee4965f6-919f-4aa0-b4ad-19ef7e3ea57a</t>
  </si>
  <si>
    <t>2aa180bf-fece-4e83-a171-df5b04831263</t>
  </si>
  <si>
    <t>a14fbe29-c4e4-43a4-a436-901175b3bc6f</t>
  </si>
  <si>
    <t>939c96d5-a8e7-4f1f-9e23-33c6ebe013f3</t>
  </si>
  <si>
    <t>68afa9e9-3697-4f1e-8aeb-f7d874f4d5a2</t>
  </si>
  <si>
    <t>2e5b2418-cef4-49f1-bcf3-41c5896c98d0</t>
  </si>
  <si>
    <t>189f0450-42c9-4425-8859-19d470ebe4b7</t>
  </si>
  <si>
    <t>e40638f4-6cc8-4c19-9c8b-76392fe05c46</t>
  </si>
  <si>
    <t>ac7c10d3-5be8-48a4-ad62-0eb8da0f3322</t>
  </si>
  <si>
    <t>8de80b05-93dd-4008-b0d2-725f3aab04b4</t>
  </si>
  <si>
    <t>2ed4d096-3ccb-472e-a9e6-2659704c04fc</t>
  </si>
  <si>
    <t>c20f8499-ced4-4b7f-a6eb-75691d96e325</t>
  </si>
  <si>
    <t>652c18e5-39b0-4ffe-902c-7999dea79e55</t>
  </si>
  <si>
    <t>2db68797-faad-4ac3-9c58-82e4b9a37451</t>
  </si>
  <si>
    <t>5f34bdac-ad12-4400-a870-5dc61c688b6e</t>
  </si>
  <si>
    <t>ba164140-1683-4f00-8aba-0bb1152ad2fc</t>
  </si>
  <si>
    <t>eb2ef402-d072-4ef3-91c2-c3f7df251c88</t>
  </si>
  <si>
    <t>637f1aec-8c04-44ff-989a-52eb7ff3eca3</t>
  </si>
  <si>
    <t>6df5fc7d-8175-46f7-ba71-dfaa324b6f6c</t>
  </si>
  <si>
    <t>5a4d38a0-cf53-4539-acd7-6ca567a7d05d</t>
  </si>
  <si>
    <t>c8fd1a6d-983d-483b-bec3-0840459142a1</t>
  </si>
  <si>
    <t>99610e21-97bf-47d1-a10b-548b3ccd5371</t>
  </si>
  <si>
    <t>11c7485f-3c77-4ce6-89ee-d375c4076300</t>
  </si>
  <si>
    <t>0be57686-132b-42bb-8dd3-08b0755bae1e</t>
  </si>
  <si>
    <t>2251549c-7735-4d2b-9191-2125a9a1aa4c</t>
  </si>
  <si>
    <t>2a29b360-1247-4199-aff5-680be1f0f6a8</t>
  </si>
  <si>
    <t>cc1502d0-5065-4953-b82a-7115e5074f77</t>
  </si>
  <si>
    <t>1c786508-6a83-4098-8fde-49796a1a5b50</t>
  </si>
  <si>
    <t>c950ea15-ee35-4834-9c2a-64d3b9d04d24</t>
  </si>
  <si>
    <t>a27eff47-7c8c-4495-9240-5e86ca6f448e</t>
  </si>
  <si>
    <t>e61072ab-4ff5-4638-9b83-998e08a1d6db</t>
  </si>
  <si>
    <t>89e7bed5-ce42-4355-a0db-b9f416f6e094</t>
  </si>
  <si>
    <t>c752f517-1109-4aff-9cf8-362ef96534f3</t>
  </si>
  <si>
    <t>a8c392e2-11ed-446f-8af6-b38c8530db3d</t>
  </si>
  <si>
    <t>62baba3e-ba13-4cd6-b41a-95cafa83ed0e</t>
  </si>
  <si>
    <t>24fc2039-35c0-451e-82a1-ad60ac5d1356</t>
  </si>
  <si>
    <t>0d135b7a-daed-4910-85f4-136d72294b4a</t>
  </si>
  <si>
    <t>96b676c2-e044-4037-a757-5de104eb3683</t>
  </si>
  <si>
    <t>4970f6c6-72b3-42f6-a3e7-72ebb3243563</t>
  </si>
  <si>
    <t>6cde65ee-d448-4849-b682-2c397d35d57c</t>
  </si>
  <si>
    <t>0716da94-1fc1-4168-9e33-bdff890043fb</t>
  </si>
  <si>
    <t>72681b29-ba7b-47b4-b008-faaa834866f1</t>
  </si>
  <si>
    <t>e97f4bec-160f-45e4-a856-887c1bde8016</t>
  </si>
  <si>
    <t>89377ba4-4bb0-4e51-a2a1-bf304fb848c8</t>
  </si>
  <si>
    <t>4d5e5344-1a35-4f3d-a992-f1769cf5d5a0</t>
  </si>
  <si>
    <t>659452a7-5516-4b13-a39c-2274d3db2069</t>
  </si>
  <si>
    <t>131de7be-a605-4d2d-8886-54bb730a0143</t>
  </si>
  <si>
    <t>6642acde-49ac-4ad7-bc25-6d168fc877ed</t>
  </si>
  <si>
    <t>60cd11da-5124-4117-afb9-24828b74111c</t>
  </si>
  <si>
    <t>b7ccd3fc-eca8-4066-9914-5fdf63f540ff</t>
  </si>
  <si>
    <t>0f8b7dd4-b0c9-456c-a72c-e3ef6f36b691</t>
  </si>
  <si>
    <t>b409a971-d70e-4336-9d3d-d5c89c817cae</t>
  </si>
  <si>
    <t>Privacy and Security Training - 45 mins</t>
  </si>
  <si>
    <t>612a4ca6-68af-4824-a516-74f11eab2e40</t>
  </si>
  <si>
    <t>AI Legal 2025 - 15 mins training</t>
  </si>
  <si>
    <t>7f51d5d7-7a97-4704-b8fd-aae1af644bcf</t>
  </si>
  <si>
    <t>b5d4ad9a-5de7-4549-ba52-057f27471ffd</t>
  </si>
  <si>
    <t>ca106171-71ed-4522-b451-33f8956a0102</t>
  </si>
  <si>
    <t>529c9e8f-7a19-481b-9783-8e5e4e3798e1</t>
  </si>
  <si>
    <t>b3de4a5e-eac6-499a-9796-a409a6873590</t>
  </si>
  <si>
    <t>af0eb1ba-ac10-489a-a714-c48468da9127</t>
  </si>
  <si>
    <t>f5673bfd-d33f-4db1-89c3-c52038b87dac</t>
  </si>
  <si>
    <t>c5ce1c04-f62f-400c-b08e-6b927d5f22e2</t>
  </si>
  <si>
    <t>c06205d3-29cf-49ad-a287-bdae89c5b442</t>
  </si>
  <si>
    <t>edf83166-0221-4e6d-ae7c-bcb4b9ee9c5a</t>
  </si>
  <si>
    <t>c9fff22a-1bee-4223-ad30-f318845c87b9</t>
  </si>
  <si>
    <t>596d3214-3cf8-4b30-b31c-99dd151aecea</t>
  </si>
  <si>
    <t>0386c1f8-41e0-4dc9-a0b7-a4c4cb2931f9</t>
  </si>
  <si>
    <t>157adaa4-b747-4e8a-8a81-d02121a6e007</t>
  </si>
  <si>
    <t>7f0fdc78-82f3-44c8-a0be-19d1546f1adc</t>
  </si>
  <si>
    <t>62f2c5b9-0115-4d5f-867a-e21656ec32d3</t>
  </si>
  <si>
    <t>b79b022f-3668-4b8e-a33f-1eaf19b12b5f</t>
  </si>
  <si>
    <t>4b7ebdae-559e-4aa4-a082-2901dc457645</t>
  </si>
  <si>
    <t>12b454b2-2b73-45c5-a803-c10f250f0dfc</t>
  </si>
  <si>
    <t>cdf5a220-8c78-444e-a7f9-74ec4f76345e</t>
  </si>
  <si>
    <t>08e587fe-6609-4a09-bf1f-d2eaa61bf506</t>
  </si>
  <si>
    <t>fd62b85e-27c4-48a4-8e1e-e578a436ac75</t>
  </si>
  <si>
    <t>290aa488-3b32-479d-81a7-d676749ea1d0</t>
  </si>
  <si>
    <t>6347b642-cd18-46e4-ad95-d4ba80f201e6</t>
  </si>
  <si>
    <t>9f1b3877-669b-41e4-a9b1-74fd92785918</t>
  </si>
  <si>
    <t>e92c5a11-1073-4297-b3b0-c0035e18cb56</t>
  </si>
  <si>
    <t>e2fe9027-6981-4f50-af39-ecfa42315b72</t>
  </si>
  <si>
    <t>a1a2f2ea-42af-408a-baa2-9d8937ac7ba6</t>
  </si>
  <si>
    <t>f01a0308-157e-409c-8639-f3cc5044b629</t>
  </si>
  <si>
    <t>e1a2ef74-4bc7-4a21-92f2-182c4444d6f3</t>
  </si>
  <si>
    <t>f315afa2-4d48-4f4a-b4e6-f266c26be2ab</t>
  </si>
  <si>
    <t>eb02b55c-9001-4c77-8a4f-5e7e872f6b8f</t>
  </si>
  <si>
    <t>9598c703-39eb-4887-bb0c-c81f26b12dbd</t>
  </si>
  <si>
    <t>ae3ed679-12f8-4b4f-a457-d11b52901412</t>
  </si>
  <si>
    <t>aceada99-6687-4725-b155-e97aa4211272</t>
  </si>
  <si>
    <t>185c6a8c-78a3-4ee4-9e5c-577cc56e07a4</t>
  </si>
  <si>
    <t>02b662d8-d0c9-405e-a4fa-3cf7450bc376</t>
  </si>
  <si>
    <t>be7a94a5-d1f4-421d-9dcf-308c478d6b8d</t>
  </si>
  <si>
    <t>active listening tools training</t>
  </si>
  <si>
    <t>7b4100e5-bf47-40cf-98dd-b89f9ceabe33</t>
  </si>
  <si>
    <t>4249fa9d-28b5-4a4f-968c-ac64732d29af</t>
  </si>
  <si>
    <t>active listening tool training</t>
  </si>
  <si>
    <t>3204b49c-1fdf-41ee-972d-cf1b39067d1a</t>
  </si>
  <si>
    <t>039bb3ee-268c-4c70-a6e9-6839c7830fa8</t>
  </si>
  <si>
    <t>mom and grandma will come home so will accommodate them</t>
  </si>
  <si>
    <t>242e19fa-6828-4eb8-888d-f83c11b217dd</t>
  </si>
  <si>
    <t>89271a35-b42c-4721-9df3-931885867a4d</t>
  </si>
  <si>
    <t>0bec4b5a-fa72-4cbf-9c25-5ba3abd33d5d</t>
  </si>
  <si>
    <t>7de23de4-d084-4703-a835-fec76cbcb3b8</t>
  </si>
  <si>
    <t>9760507f-fbcd-46da-bccf-829ea44802a8</t>
  </si>
  <si>
    <t>aee69646-f28e-44eb-b589-96ba0acfc2be</t>
  </si>
  <si>
    <t>88c8779e-18fb-4b73-b7a6-e1c42035fa21</t>
  </si>
  <si>
    <t>98eea22e-694d-4988-b9b8-1453eef41e7b</t>
  </si>
  <si>
    <t>92d7ad86-446a-4cc4-98f0-50ab2aa7a625</t>
  </si>
  <si>
    <t>b7787a3d-bd6b-40e1-91cc-199a49233e1f</t>
  </si>
  <si>
    <t>8ac422f8-cdbf-4643-bfdc-44e1d8b71a7f</t>
  </si>
  <si>
    <t>c776dd9c-746d-4cfc-a1d1-68e902008bc1</t>
  </si>
  <si>
    <t>92cf49d7-9c92-43d3-b48b-cf8713affc94</t>
  </si>
  <si>
    <t>cf4f869f-9cfc-49e0-85e8-496287854704</t>
  </si>
  <si>
    <t>a3350d20-5e18-4733-b9bb-a8702e7fec65</t>
  </si>
  <si>
    <t>f8134123-f206-4a7c-af29-d8f9dbfc807a</t>
  </si>
  <si>
    <t>73591808-74ee-4885-9bba-0c764e3ce37c</t>
  </si>
  <si>
    <t>c1e4a32f-15d9-4b6d-b482-563f1d5a5de2</t>
  </si>
  <si>
    <t>d83f5bbd-513b-477b-ac09-e5b03aa40d7e</t>
  </si>
  <si>
    <t>5bfc6c71-d702-428c-9a41-54ab026f582a</t>
  </si>
  <si>
    <t>d8603c00-c589-4533-a819-937d906e4dd9</t>
  </si>
  <si>
    <t>3eca873b-fa55-4389-8cc8-17fa3dc24bd4</t>
  </si>
  <si>
    <t>afef9a5e-7075-4af9-8988-e23b9bf4a06a</t>
  </si>
  <si>
    <t>efc9ece4-571c-4818-ae29-87996fc7e89d</t>
  </si>
  <si>
    <t>b4020523-783a-406f-a05e-0bb26c93c36f</t>
  </si>
  <si>
    <t>4434af94-c618-401d-8f45-62f8eb317df0</t>
  </si>
  <si>
    <t>68dff033-87b6-4af9-9a0e-895863998fa0</t>
  </si>
  <si>
    <t>debcd708-6787-4924-bf15-9501a572eeec</t>
  </si>
  <si>
    <t>e0379830-a216-42d6-9c5a-a97e4f01e9c6</t>
  </si>
  <si>
    <t>edf51b4b-6d08-4e5b-a125-48385296d725</t>
  </si>
  <si>
    <t>5baa975f-a174-4cc8-a826-635b84eb21ca</t>
  </si>
  <si>
    <t>56911eb3-d2c6-4970-95b3-7b69742872be</t>
  </si>
  <si>
    <t>fd4b6a35-1735-4de0-a558-25d8b089dceb</t>
  </si>
  <si>
    <t>807df070-9da0-4f93-b8f5-d59a5057f550</t>
  </si>
  <si>
    <t>56046986-ab9e-43ba-ace4-d311ce843bc9</t>
  </si>
  <si>
    <t>bc568bcc-1e26-4814-9123-3f6aaa4d46b1</t>
  </si>
  <si>
    <t>ae86e5e4-3c2b-4d13-a22e-d6b095f9faab</t>
  </si>
  <si>
    <t>d4b45f32-ff0e-47fe-83d5-1981f5dd6287</t>
  </si>
  <si>
    <t>9d7552d1-b2f0-4008-b85d-a8f468ea188d</t>
  </si>
  <si>
    <t>e3a3bbad-2890-48cd-91d2-0974997d5e54</t>
  </si>
  <si>
    <t>go over the updates, AI Legal 2025 in  Workramp &amp; When to Edit Cal Responses training</t>
  </si>
  <si>
    <t>c6b52785-ecfb-4601-b44b-548027b18e4c</t>
  </si>
  <si>
    <t>8fe0d5c6-aa89-4cd4-84a7-b930d30c22eb</t>
  </si>
  <si>
    <t>07a4b38b-5053-400d-8ac4-c432e5031e53</t>
  </si>
  <si>
    <t>c5809baa-2823-46b4-84ad-86001bea1554</t>
  </si>
  <si>
    <t>3539c2ff-5491-4fe0-8dae-c23af5fc34b5</t>
  </si>
  <si>
    <t>388e73cf-4690-4a9c-84ad-9ab29ca5496e</t>
  </si>
  <si>
    <t>f98f635d-9d05-4b89-931f-515f1d0f217e</t>
  </si>
  <si>
    <t>a758f649-091f-417d-9a45-6340e98423c4</t>
  </si>
  <si>
    <t>e4cb101c-725d-4e8c-90bc-596cbe691ed1</t>
  </si>
  <si>
    <t>3cc8f653-c0c9-4601-965e-83d073d70cb5</t>
  </si>
  <si>
    <t>90522686-d677-4bb5-8703-01602821931a</t>
  </si>
  <si>
    <t>ecb6eac2-154d-4b9c-b1a2-5547e5c7e812</t>
  </si>
  <si>
    <t>d1b4cd9c-c57a-4401-ac03-fe6df28b7e40</t>
  </si>
  <si>
    <t>93210315-2149-4080-a526-d2ce9e57e855</t>
  </si>
  <si>
    <t>af681b5b-2a4c-4756-aacf-fffe7d83a302</t>
  </si>
  <si>
    <t>4d8126fd-b694-4641-ab4b-b467a0ad5c20</t>
  </si>
  <si>
    <t>4dbaf0ef-79b2-4171-8066-6554207ec7ad</t>
  </si>
  <si>
    <t>a9ad1098-efbb-4217-8dbe-489b93f97e05</t>
  </si>
  <si>
    <t>e22a8556-62ba-4f1d-a8f4-22c9a3969be3</t>
  </si>
  <si>
    <t>7ccfcce5-689c-44a2-927e-b07528bfb0f3</t>
  </si>
  <si>
    <t>sore eyes</t>
  </si>
  <si>
    <t>1fb0b4da-0824-4717-b6b4-472ba70f0ef2</t>
  </si>
  <si>
    <t>49aec4f7-f729-4147-b098-200c1290fdba</t>
  </si>
  <si>
    <t>2857fece-4af7-4478-a46e-a71fd5efd1d0</t>
  </si>
  <si>
    <t>e0ccf38b-19ac-403a-aa69-a4bb89c7a58c</t>
  </si>
  <si>
    <t>f4d69014-aba9-41bb-a392-3b2f3e67c954</t>
  </si>
  <si>
    <t>dbeb855e-f384-47c1-b457-27cb9adf1892</t>
  </si>
  <si>
    <t>a220ba79-7115-410e-9895-a0df5ba7a57d</t>
  </si>
  <si>
    <t>52e73a2f-b401-4339-a26c-510e3e1cd68a</t>
  </si>
  <si>
    <t>a23d1f14-2969-43d1-937e-f862d5f3905d</t>
  </si>
  <si>
    <t>afc608ff-01ec-49d4-88e0-bd80f1b4d68a</t>
  </si>
  <si>
    <t>235596e5-8b00-4ac8-a609-5c65110c07c5</t>
  </si>
  <si>
    <t>54d35ec9-72c9-4edb-8dc8-04fd0c0df603</t>
  </si>
  <si>
    <t>a93df57c-7f18-4ec5-b9f2-468ec9049a8e</t>
  </si>
  <si>
    <t>642db9fa-a79d-421c-9d54-acc108890a40</t>
  </si>
  <si>
    <t>LBB adjustment. approved by coach marie.</t>
  </si>
  <si>
    <t>ac1ee85a-77f4-492d-8b82-9e24d33b955b</t>
  </si>
  <si>
    <t>LBB. Reached out to Coach marie for Approval.</t>
  </si>
  <si>
    <t>936c65ba-27a3-4349-901a-3ef47ab2f0be</t>
  </si>
  <si>
    <t>48e3eccd-2e1f-46e8-a9ca-fdd324a79f76</t>
  </si>
  <si>
    <t>58eae666-2df0-42fa-811a-b5e170220f9c</t>
  </si>
  <si>
    <t>a08c123d-58b9-4192-b9de-e615492f6585</t>
  </si>
  <si>
    <t>334dabd5-5971-4fcf-af3e-a1b4b427e33b</t>
  </si>
  <si>
    <t>0930290d-a84e-406a-97e2-fc3e17dccb7b</t>
  </si>
  <si>
    <t>22a87263-32f7-4fd6-bde2-0a539f5b3d09</t>
  </si>
  <si>
    <t>8af4e992-5203-4839-8c7b-473e8a34ef05</t>
  </si>
  <si>
    <t>ac29ce00-d361-4e1c-a4e0-dfe2eda719c9</t>
  </si>
  <si>
    <t>fff00a62-b9ed-4358-98c5-456a9b5d7039</t>
  </si>
  <si>
    <t>30894f19-a308-4435-b504-42d23d4d3312</t>
  </si>
  <si>
    <t>2db4dcf9-4479-460d-954c-f5f6bbd91b9e</t>
  </si>
  <si>
    <t>149d4b13-e84a-4dce-a542-edeacbecfd84</t>
  </si>
  <si>
    <t>130acbb4-4447-47c1-be93-6ed2d4c8a1e8</t>
  </si>
  <si>
    <t>6e7007dc-654b-4ccc-bbc7-5ac9768d512b</t>
  </si>
  <si>
    <t>96dd1e3d-cf91-4982-a07c-d3c0c423cbfc</t>
  </si>
  <si>
    <t>b7a11979-8eb3-48d8-b401-3d34059c4eaf</t>
  </si>
  <si>
    <t>b6002a3b-cf6f-4cbd-800a-837d42b699d6</t>
  </si>
  <si>
    <t>9582a2f8-18d7-483c-93da-1163df21283e</t>
  </si>
  <si>
    <t>f5fb7495-4e0a-4a15-addf-2e26b8cb9883</t>
  </si>
  <si>
    <t>7034ac37-7af1-4f2a-8ebb-d341e6c946db</t>
  </si>
  <si>
    <t>f7133d8e-fe2f-4d8a-bbe2-ac9ff46d56f7</t>
  </si>
  <si>
    <t>5ffe3c70-505b-4377-ad0d-01fab2c29cb9</t>
  </si>
  <si>
    <t>1dbb79b3-8d09-41e0-947c-eff7e2d05a8d</t>
  </si>
  <si>
    <t>8d652ec1-908d-4841-a084-7a1c99fb51f1</t>
  </si>
  <si>
    <t>68fec802-6055-46bb-b918-9a9cc2d70022</t>
  </si>
  <si>
    <t>fb849d25-41e0-4093-a00c-9b6dda6f0fc6</t>
  </si>
  <si>
    <t>fe9fdead-448a-4ff7-818a-3fe9c8f8621b</t>
  </si>
  <si>
    <t>dfff748c-3232-4367-87ea-37442fe01e23</t>
  </si>
  <si>
    <t>aa9b3d23-b8f9-4e38-9a7c-d78d0e4b9c72</t>
  </si>
  <si>
    <t>ac6b5508-ec43-43d6-83a3-b24dc99c98cf</t>
  </si>
  <si>
    <t>b65f80ec-3c31-4f29-955f-72ec7f937773</t>
  </si>
  <si>
    <t>bad3b537-e141-4dbb-b6ac-1b4784f886ed</t>
  </si>
  <si>
    <t>a777f169-e132-4f4f-9241-718b85a2d845</t>
  </si>
  <si>
    <t>d6e86a9b-4d80-4971-8e18-b92af1643f76</t>
  </si>
  <si>
    <t>77167f53-3e3e-4600-b0e5-5250e1e813b8</t>
  </si>
  <si>
    <t>f64b50d1-4487-4896-b08c-026a9e9dd177</t>
  </si>
  <si>
    <t>8e00b02a-0b10-48df-8bb9-eaea5eb9cb75</t>
  </si>
  <si>
    <t>1b3d9891-340f-45da-9a0a-03ecd7f81de5</t>
  </si>
  <si>
    <t>a9530731-2279-4fd4-8f74-dc7ef2771988</t>
  </si>
  <si>
    <t>4e465b59-1748-4b96-bdbe-05c0ef3e9d9f</t>
  </si>
  <si>
    <t>1ce3253a-2aed-484d-8bc9-18089ab01f49</t>
  </si>
  <si>
    <t>f5be6ffa-f866-4fa6-a22a-ce51cdf6a24e</t>
  </si>
  <si>
    <t>10463f39-f70b-4502-b5aa-e86b6942daff</t>
  </si>
  <si>
    <t>5568f288-a048-4ec3-9413-84f89dce640b</t>
  </si>
  <si>
    <t>e87656f4-aa3a-435a-9fac-8a7476f3cde1</t>
  </si>
  <si>
    <t>0c5ab714-2c82-4b0f-ae25-0c5c405db20c</t>
  </si>
  <si>
    <t>cee9b4ee-8907-4660-89d4-ac1833c08639</t>
  </si>
  <si>
    <t>02d84214-8931-4383-b650-c6e6492a96a5</t>
  </si>
  <si>
    <t>67a38c9e-680a-40e1-81c7-427a6c2f7515</t>
  </si>
  <si>
    <t>ae67bc35-a182-4bdc-a5e0-d83f1ff4192e</t>
  </si>
  <si>
    <t>b8ec0913-50f8-418a-a419-5485d17959c7</t>
  </si>
  <si>
    <t>c396a738-cc78-40db-ac22-ec71e68f575e</t>
  </si>
  <si>
    <t>a12906c1-476c-408a-bfc3-047bd1e133f2</t>
  </si>
  <si>
    <t>e5a0fe76-9936-4f6c-a055-e3e1a55c88ea</t>
  </si>
  <si>
    <t>6a79b7ed-291a-4e0d-bb21-d8791ab73d69</t>
  </si>
  <si>
    <t>d2ef26e0-1240-496a-b44c-511ff2782467</t>
  </si>
  <si>
    <t>2ee73f77-b568-4c3c-9a12-991f0196fe8a</t>
  </si>
  <si>
    <t>64209cfb-f6b7-42e2-ab2f-6417cabfb8d6</t>
  </si>
  <si>
    <t>1db1a992-ef7c-42fc-8545-ad5dc78358d1</t>
  </si>
  <si>
    <t>225daf83-432e-4061-8b33-bd33311d6c3b</t>
  </si>
  <si>
    <t>16703d75-6c23-486a-aab9-1cb004426c39</t>
  </si>
  <si>
    <t>fb383e4d-85cc-42dd-8ba2-aa9a1deae411</t>
  </si>
  <si>
    <t>d48d8e36-f6ca-4c1b-8ed0-d518e056af03</t>
  </si>
  <si>
    <t>d36d3695-c922-4e46-9ba0-ce917307351e</t>
  </si>
  <si>
    <t>36905c4e-e772-49fe-a349-859b7f35525a</t>
  </si>
  <si>
    <t>e5ab8754-1d62-44df-a5af-f4050e71ae70</t>
  </si>
  <si>
    <t>2d7b1280-c452-4dba-9721-6e04c651b5fe</t>
  </si>
  <si>
    <t>fc10ad04-f1f2-4e1d-923f-785863f6097d</t>
  </si>
  <si>
    <t>05c112ca-f0f7-4a4f-ac89-7ed315cfa229</t>
  </si>
  <si>
    <t>0c696b0d-a3cc-4fe3-bb0a-dcc1f68588b8</t>
  </si>
  <si>
    <t>d5e54c8d-3132-4f12-a898-653485a4857f</t>
  </si>
  <si>
    <t>16e445f6-12ec-42c4-94de-6876d51df45c</t>
  </si>
  <si>
    <t>ab8e720f-7f81-4c09-85dc-6dc0b082ed5f</t>
  </si>
  <si>
    <t>31b97869-b781-4912-9568-c4e895e08a41</t>
  </si>
  <si>
    <t>db8e88c7-c809-40e0-8ec7-4d25ef731950</t>
  </si>
  <si>
    <t>d666499b-91b0-4c02-b6fd-e5b86b52df23</t>
  </si>
  <si>
    <t>1f5a285e-07ff-4bca-8604-4f9ff62724f8</t>
  </si>
  <si>
    <t>94ef741a-f197-4ff8-beb2-dfaf636d70b1</t>
  </si>
  <si>
    <t>1b5bfcdf-745f-46b2-829a-74342d534e35</t>
  </si>
  <si>
    <t>3ab20e3b-5c0d-455b-8542-9b511e6139d3</t>
  </si>
  <si>
    <t>01602ab3-fd46-45e3-9685-a596f3c8d27e</t>
  </si>
  <si>
    <t>494d10da-26a4-49d9-929f-3ee875bf157a</t>
  </si>
  <si>
    <t>7afcdd3e-1ff0-480e-be93-272284a04be8</t>
  </si>
  <si>
    <t>fee85d52-8cdf-4dc4-87b4-1b294aa21bc8</t>
  </si>
  <si>
    <t>80cd9841-f03e-4af3-afce-80202f477166</t>
  </si>
  <si>
    <t>5e35d2a4-eb02-4494-9c06-7c4a871fe6fa</t>
  </si>
  <si>
    <t>c78e97bb-9bb5-47db-859b-a6b962cc9642</t>
  </si>
  <si>
    <t>0e9d7eb8-6f43-4592-824f-e7a33eb911bc</t>
  </si>
  <si>
    <t>33a1916a-eff3-41c6-ae09-583b8ec299f1</t>
  </si>
  <si>
    <t>updates</t>
  </si>
  <si>
    <t>ba8289db-2c6a-4f24-b918-be7bfeec9a92</t>
  </si>
  <si>
    <t>b1bcb47b-0ec7-47c5-b8d4-2506d59964fb</t>
  </si>
  <si>
    <t>Bi-Annual User Voice Privacy and Security Refresher Training H2 2025 and Learn when to edit Cal's responses</t>
  </si>
  <si>
    <t>c9d096b9-73fd-487f-8e68-21f5161c35df</t>
  </si>
  <si>
    <t>384d51cd-e821-418d-89d0-3714293eee39</t>
  </si>
  <si>
    <t>705ab52b-73bc-4c11-abe8-c7a5dc52a278</t>
  </si>
  <si>
    <t>c73afad5-e5b8-4f9d-8fd0-dc6c6d44dc6d</t>
  </si>
  <si>
    <t>4698db18-076c-487c-9f18-a29ea8ce2603</t>
  </si>
  <si>
    <t>318421a4-63c8-4587-a7d0-1f1850b5cb2f</t>
  </si>
  <si>
    <t>a819155f-4fae-4063-a100-a1cf325f1594</t>
  </si>
  <si>
    <t>0ea59c66-e9c3-465e-8048-0d1e985ad5d0</t>
  </si>
  <si>
    <t>52a139fa-919d-4ef1-bab1-42e49dc2f672</t>
  </si>
  <si>
    <t>8e13fe0c-65c7-43b8-88de-99cc9058a1cd</t>
  </si>
  <si>
    <t>694c1c4c-96f8-4967-8538-c0d1cc570e3b</t>
  </si>
  <si>
    <t>7da5c45a-71a8-487e-aaba-84a7f3f6e33a</t>
  </si>
  <si>
    <t>1570b67f-122e-49c0-a927-692a342698c4</t>
  </si>
  <si>
    <t>read updates</t>
  </si>
  <si>
    <t>2d79e770-4583-442b-8121-d7b4a7c7c828</t>
  </si>
  <si>
    <t>1cf52dfc-dc46-4225-bd74-6a840c7b5abc</t>
  </si>
  <si>
    <t>4d3dda97-84b9-40be-a58d-2b3568a0d968</t>
  </si>
  <si>
    <t>b194cbf6-2908-4850-a749-61009098e974</t>
  </si>
  <si>
    <t>46c1cf30-cbfb-453d-b9bb-2993db776b90</t>
  </si>
  <si>
    <t>a0eccf4f-ef4b-4b3a-9627-d422be94a8ae</t>
  </si>
  <si>
    <t>6cbb92a7-9832-4f3d-97f5-002675c59129</t>
  </si>
  <si>
    <t>cec038a1-5fb6-44ba-bfe5-945fcf91b4f6</t>
  </si>
  <si>
    <t>37b0bb29-c3f8-40be-99fe-6b885c0478c8</t>
  </si>
  <si>
    <t>3cae807a-a215-479c-84b1-99ccdf13fae7</t>
  </si>
  <si>
    <t>8061d633-a23d-442b-8e76-05b0fadf5b6d</t>
  </si>
  <si>
    <t>34447829-2611-48bf-91d9-a7b2b2f59942</t>
  </si>
  <si>
    <t>6dab57b9-0fe1-4ccc-b92d-bf5a4c19f355</t>
  </si>
  <si>
    <t>1e28df67-66ff-473d-b435-4def38445cc6</t>
  </si>
  <si>
    <t>2ea64085-9f23-471a-a4a6-ae8c4ef21fea</t>
  </si>
  <si>
    <t>30e920bb-5fa2-45cd-b649-9cd30e0283f8</t>
  </si>
  <si>
    <t>56d94999-2ec3-4b33-9725-ffc6a1e6f5ed</t>
  </si>
  <si>
    <t>d3020f89-ab40-4d5c-baba-74384099bbfd</t>
  </si>
  <si>
    <t>521ceba9-fcee-49ed-bb7d-9086c814088e</t>
  </si>
  <si>
    <t>e476c89c-a610-4c6f-9498-4a7963bf41ae</t>
  </si>
  <si>
    <t>959eece1-4617-43c0-9104-f11748604ea9</t>
  </si>
  <si>
    <t>b9fcb0ec-ad2d-45f8-960f-af53b1434f91</t>
  </si>
  <si>
    <t>4f81f216-61bb-48ed-a794-5fe79d25ec0a</t>
  </si>
  <si>
    <t>9205ec46-1406-442b-94a8-e01f8601d870</t>
  </si>
  <si>
    <t>344f1254-1cb9-4f3c-9fbf-d32808315933</t>
  </si>
  <si>
    <t>762c41f1-df5a-497c-bf68-d74d9c6dcde0</t>
  </si>
  <si>
    <t>8c3378f6-8579-46c2-bb67-7db7a6e49e0c</t>
  </si>
  <si>
    <t>ffde399a-4f38-4f9a-8a8e-33eba3241fea</t>
  </si>
  <si>
    <t>09bf6058-73ed-4dd6-a07e-f3b88b107315</t>
  </si>
  <si>
    <t>Uv All Hands</t>
  </si>
  <si>
    <t>e297e7e6-91a5-49f2-9c74-50724d45f673</t>
  </si>
  <si>
    <t>4610dcc1-7b09-45f5-ad02-a39d6606dbc6</t>
  </si>
  <si>
    <t>746a05fc-3f5d-433b-b5f7-c47bdd30d686</t>
  </si>
  <si>
    <t>679210f1-bede-484b-a0e8-b765f586670f</t>
  </si>
  <si>
    <t>41cb108f-1f0b-494a-8a0c-e56c5e61f0dd</t>
  </si>
  <si>
    <t>5ba14dfc-a744-47b1-bf24-837e58a33192</t>
  </si>
  <si>
    <t>d8075347-4f30-4ee9-9410-c69ff1c23319</t>
  </si>
  <si>
    <t>7f92e5e6-d17b-4af1-b5a2-8472f7ba9330</t>
  </si>
  <si>
    <t>fb55d88b-a077-42b8-9b1f-9a88bd70abc9</t>
  </si>
  <si>
    <t>00739025-6e1c-44fe-8483-d53bb77c6098</t>
  </si>
  <si>
    <t>6f11c662-26c2-4f7b-9cf5-6f9b4ede8c7f</t>
  </si>
  <si>
    <t>857e18f1-363c-425a-810e-bb3f57019931</t>
  </si>
  <si>
    <t>137a4e19-ad54-40a4-9058-f0dc0061edbb</t>
  </si>
  <si>
    <t>a1b96183-fdf6-445b-8b22-79041a83d9a2</t>
  </si>
  <si>
    <t>c78022bb-1557-4cc1-bf14-f9b3f093dbfb</t>
  </si>
  <si>
    <t>flu</t>
  </si>
  <si>
    <t>7bd5a085-7a2c-428a-8c92-188e923589c4</t>
  </si>
  <si>
    <t>97c9f13b-4474-47c6-b27d-8fc1022f9a50</t>
  </si>
  <si>
    <t>cb1657a2-070d-44b6-a0b0-d9f0f9e056f8</t>
  </si>
  <si>
    <t>cbaf609b-da0b-497f-bdbd-89af82ec641c</t>
  </si>
  <si>
    <t>2f7919cf-a60a-4493-b59a-779db9af660f</t>
  </si>
  <si>
    <t>9956b556-9fc9-4bc8-adb9-80e9aef4896a</t>
  </si>
  <si>
    <t>526bbc4b-1658-4a29-9dc8-48dc208adaa1</t>
  </si>
  <si>
    <t>6a449056-99a6-4ac6-9b1c-ce02b95b18e1</t>
  </si>
  <si>
    <t>ce5d9b66-2854-40b5-b73f-6d978830cc74</t>
  </si>
  <si>
    <t>fbb40868-7cf7-484f-8217-6c267b995de3</t>
  </si>
  <si>
    <t>5818f2be-aa1f-4ab7-a032-af489924ea6b</t>
  </si>
  <si>
    <t>3fe2bede-5b30-4c05-8b00-b3b685d287cc</t>
  </si>
  <si>
    <t>714bfaf9-b11b-4bc5-9e10-1482cd37df04</t>
  </si>
  <si>
    <t>aa9f2d97-7061-48ae-a958-066d92ae34b0</t>
  </si>
  <si>
    <t>04f5ecd1-0b05-4fcd-8691-0933670c9eef</t>
  </si>
  <si>
    <t>2f95597d-e72d-4500-8bca-ded31bf4cae5</t>
  </si>
  <si>
    <t>63643540-cccc-4370-83fa-d7d9e474cc0d</t>
  </si>
  <si>
    <t>de4c0f98-5e3a-4b58-967f-e4a6bc9e5daf</t>
  </si>
  <si>
    <t>aa5f6d8a-4cf8-45cc-8428-e30f4425dd81</t>
  </si>
  <si>
    <t>cffafbe8-625e-480f-a09e-800f42c94a03</t>
  </si>
  <si>
    <t>ccd100b7-1cb0-4017-a1ec-ccf2e73a88d6</t>
  </si>
  <si>
    <t>dca79b95-6ac3-47f0-b904-2c931ef6a975</t>
  </si>
  <si>
    <t>f5fa060b-5c34-41e6-b575-4c511bebdc83</t>
  </si>
  <si>
    <t>1cc87dc8-7b0d-4889-90a3-2e12ee3e09a2</t>
  </si>
  <si>
    <t>9e9087f9-9122-4832-8fb3-c7a9f4f7a7a4</t>
  </si>
  <si>
    <t>5d5a1b48-7dd5-4263-9978-0c6a36d359a1</t>
  </si>
  <si>
    <t>06c966e4-3ddb-4dcf-bf40-3e9648fd4228</t>
  </si>
  <si>
    <t>d062fa71-f8e2-4a4b-9c8f-37072aca3785</t>
  </si>
  <si>
    <t>9bb3e1b1-40cb-469d-a0de-e1ec2f0a6a84</t>
  </si>
  <si>
    <t>cc94160f-7bb0-473b-9032-59f7e4aafe73</t>
  </si>
  <si>
    <t>346e9a1d-e79a-4b89-a01c-ec19f974996d</t>
  </si>
  <si>
    <t>1111123d-67cd-4ce6-82cf-d852e77114ff</t>
  </si>
  <si>
    <t>a394bad2-3fff-4563-89f3-28389d3b3a21</t>
  </si>
  <si>
    <t>51c29fb9-2d68-4dd4-ba5e-dc912bd47250</t>
  </si>
  <si>
    <t>157e1f67-4563-4397-8ef4-e82f99f64076</t>
  </si>
  <si>
    <t>4002bb7a-f8a0-415c-b64a-58a5c433d25e</t>
  </si>
  <si>
    <t>8f2d9478-0ca2-4739-8f21-fbd0e3516a70</t>
  </si>
  <si>
    <t>121b86bc-50ac-4940-801f-f8b0e16a94e0</t>
  </si>
  <si>
    <t>f8143c73-dd52-4397-8dae-b9396d027ce2</t>
  </si>
  <si>
    <t>ebb4abe5-46de-4f6c-b88f-e14f1c37d47f</t>
  </si>
  <si>
    <t>[CL] When to Edit Cal Responses | Upskilling</t>
  </si>
  <si>
    <t>2c632b6a-6312-4a5d-b772-17c7bd355b6f</t>
  </si>
  <si>
    <t>fd98bb73-eede-4128-a7f0-92064169a254</t>
  </si>
  <si>
    <t>1dc10d0a-69bd-4813-ad2d-1b2d3046fb0b</t>
  </si>
  <si>
    <t>62f98917-6152-4766-9c2b-e9e108a88de7</t>
  </si>
  <si>
    <t>c1d2ab97-973d-45ca-966c-bcb178927eff</t>
  </si>
  <si>
    <t>Canva Voice training</t>
  </si>
  <si>
    <t>c64d1c52-32be-4844-a433-14b0afd59aaf</t>
  </si>
  <si>
    <t>63627d63-64de-47b4-b146-6cb13f430529</t>
  </si>
  <si>
    <t>7a438360-1678-4999-93fb-267c99f11df2</t>
  </si>
  <si>
    <t>3eb71847-8986-4a8c-8381-0626154b00cf</t>
  </si>
  <si>
    <t>aa92e402-0125-460f-8122-eca40d562f8d</t>
  </si>
  <si>
    <t>84e873a2-b968-4dfd-ae02-a1dea1c32c61</t>
  </si>
  <si>
    <t>d6a9b70a-7bf1-4184-9d08-b44ab3250067</t>
  </si>
  <si>
    <t>b209f10f-9d48-4275-8ffb-27af926c2698</t>
  </si>
  <si>
    <t>9c7d2ddc-273e-4c1c-b0c4-6dcdffd02bb7</t>
  </si>
  <si>
    <t>53f09e8d-4a0b-4121-bcd2-81f476b01437</t>
  </si>
  <si>
    <t>17aac074-612c-4592-8018-ccf70e2a246c</t>
  </si>
  <si>
    <t>698d9568-176d-42ce-97be-f3cbec50b304</t>
  </si>
  <si>
    <t>5a7ad4a2-43ba-4b05-825f-77563441471e</t>
  </si>
  <si>
    <t>490615b5-d7b6-4fef-9856-b75146b67da6</t>
  </si>
  <si>
    <t>5b00b60e-07b4-4182-b8a2-e14ae1759ff1</t>
  </si>
  <si>
    <t>f8e596d6-2a98-4664-b11a-fd14bd5266e3</t>
  </si>
  <si>
    <t>b9d64b36-273e-4f90-8474-b8c5de7bd5f2</t>
  </si>
  <si>
    <t>594e78a8-1f21-43a8-ba47-82258cb81d87</t>
  </si>
  <si>
    <t>f6145371-0ca7-4b18-9546-be70236611b5</t>
  </si>
  <si>
    <t>cbb5e627-96d9-4399-aa2f-979b94bcd5fa</t>
  </si>
  <si>
    <t>15efcd9d-7363-4867-af7c-45b28efef630</t>
  </si>
  <si>
    <t>0ac9ff24-86ed-4ab5-991a-98139cc989df</t>
  </si>
  <si>
    <t>fda8f0eb-ba8c-4f36-9c7d-04c0bbf13c2a</t>
  </si>
  <si>
    <t>f3730ab6-f882-4aa8-8611-28147512939f</t>
  </si>
  <si>
    <t>8c14ec38-fecd-4fa5-82f5-81e26b9e5c70</t>
  </si>
  <si>
    <t>3e60ed9a-2d21-4f2f-ada6-714ec88d3686</t>
  </si>
  <si>
    <t>76b90615-3ee5-4b4d-ab9a-e92b080ef358</t>
  </si>
  <si>
    <t>5ff90172-b457-4dbc-87e6-b59d71b24990</t>
  </si>
  <si>
    <t>636eda9a-520a-49c1-b57c-953c7a7be130</t>
  </si>
  <si>
    <t>d6d8ae20-df89-4e1e-9ec9-7c7c57637549</t>
  </si>
  <si>
    <t>eaf4ee59-2233-4fdc-88ff-cf3f06aa6fd8</t>
  </si>
  <si>
    <t>f5bcccd7-0354-47f8-ab5c-b52909a0d99a</t>
  </si>
  <si>
    <t>9000cf02-756c-4eef-89d6-6c89cb65c9ac</t>
  </si>
  <si>
    <t>CTV https://canva.zoom.us/rec/share/zRCL-RCtsK1Mq9NnSgzYhHvaDopNHOEyGEHHrZB8-_qQ81U9bQ217j7OwgpQjEpq.R0zkSRXMI2Dh114g
Password: pJdj#ib2</t>
  </si>
  <si>
    <t>ff49e455-9418-4bd7-b160-82c9c4802e21</t>
  </si>
  <si>
    <t>33bca0b1-4af5-4c81-9243-ec589d218829</t>
  </si>
  <si>
    <t>fb3f6f13-6038-45f5-b2eb-e4b4d7821cb4</t>
  </si>
  <si>
    <t>22865217-0ddf-4f60-b0c0-5e19f2ae1b13</t>
  </si>
  <si>
    <t>53bb845c-47e6-4f73-9152-f485420e6301</t>
  </si>
  <si>
    <t>350f3c17-747f-41cf-8dcc-531b4ed04a5b</t>
  </si>
  <si>
    <t>c78fdafb-6176-40ff-9445-1a3a79f3ec59</t>
  </si>
  <si>
    <t>9fa5054b-48ce-4e91-a54d-093a89cf28f0</t>
  </si>
  <si>
    <t>898f4061-f214-4276-90e8-c3301818c943</t>
  </si>
  <si>
    <t>3c804fbc-934a-4606-ba5c-32134b3fcaaa</t>
  </si>
  <si>
    <t>121f2e1a-0c66-4ee9-b996-fce05e880a51</t>
  </si>
  <si>
    <t>8feb85cf-2792-4df6-ad5c-10fe9aaeca79</t>
  </si>
  <si>
    <t>033e02ea-87fd-456e-9158-07940b5671b2</t>
  </si>
  <si>
    <t>7f2e5984-2cc9-49a8-85c7-80c4b28f53f0</t>
  </si>
  <si>
    <t>ce016477-9adc-46c5-a5c8-700a27bd77a8</t>
  </si>
  <si>
    <t>e25484a3-821e-4576-9be6-d6c57f898db1</t>
  </si>
  <si>
    <t>11615ba5-0bf1-4cae-a6b9-250fe25a1448</t>
  </si>
  <si>
    <t>271be632-e8f0-4bbd-a96d-0ce064221f6a</t>
  </si>
  <si>
    <t>7957a30d-a25d-414e-aa42-37a7aa42a2a0</t>
  </si>
  <si>
    <t>e0e93a7b-df29-4b21-a42e-e4e90ec9c844</t>
  </si>
  <si>
    <t>a636d60a-21d2-488f-8058-f035d7b59e00</t>
  </si>
  <si>
    <t>d2340d29-3083-4adb-81f6-85e1ad9d76aa</t>
  </si>
  <si>
    <t>ccf68240-c759-49a0-9df8-5409f88a866f</t>
  </si>
  <si>
    <t>9b25af52-c898-4869-90ac-7afd6eb5885e</t>
  </si>
  <si>
    <t>21338c01-c392-4c0a-bca5-f4212a93142c</t>
  </si>
  <si>
    <t>b445c22d-c773-4b9a-bd6d-89439495817c</t>
  </si>
  <si>
    <t>55e01877-ff4c-4cf3-8eea-aee9e9965aa6</t>
  </si>
  <si>
    <t>d5ed556f-3cab-46d4-a0e4-bd4c3d7098a4</t>
  </si>
  <si>
    <t>4fea957f-c998-482c-a0ea-13bb1d3784ef</t>
  </si>
  <si>
    <t>Communicating with Impact - APAC  https://canva.zoom.us/rec/share/aYOspehCiJjnZrtw83xNZBaFt6H27tTBnwCq8LfoJaJ9xR1nmkRRg_KX20Mw_4C0.SAcGVevwMOCMjmlx?startTime=1707428592000  Passcode: ta*6cCp*</t>
  </si>
  <si>
    <t>adb0585b-d605-48a5-bbc0-6a062ccc58e8</t>
  </si>
  <si>
    <t>4f58157c-c204-4ebd-82b1-7cd68052e3ce</t>
  </si>
  <si>
    <t>271f38fb-141a-43b2-9eb2-5d0cd5bce05d</t>
  </si>
  <si>
    <t>b148052b-f6f8-446d-8a8b-050622bf3c76</t>
  </si>
  <si>
    <t>ee6aa836-387e-459c-8345-b1c20e3eae39</t>
  </si>
  <si>
    <t>dea11f98-0015-43f1-ae85-60acc196368e</t>
  </si>
  <si>
    <t>e2364524-ec7c-479c-a0f7-dd10368054d6</t>
  </si>
  <si>
    <t>59944189-f123-42df-b501-cc55ac5b3247</t>
  </si>
  <si>
    <t>f761eed2-40de-4fa8-bd94-437bb696a95f</t>
  </si>
  <si>
    <t>55fc6f54-a1f8-42e7-a180-76132119e75e</t>
  </si>
  <si>
    <t>9a3fb55b-f68a-4eae-98c5-03e49e5d08af</t>
  </si>
  <si>
    <t>c04fef29-8bf5-4465-b45c-e56de4f91375</t>
  </si>
  <si>
    <t>4bea31da-ec6e-4a94-b35e-3f7d8176dd5b</t>
  </si>
  <si>
    <t>c8d36967-9e88-49e7-9f15-3456c391f984</t>
  </si>
  <si>
    <t>f0e567d0-da69-4229-89b0-a1bc02b1423a</t>
  </si>
  <si>
    <t>ce2882a9-c7f6-4dc4-aa8a-83ae47fadfcd</t>
  </si>
  <si>
    <t>f91da476-d28e-4382-9f79-7a8449d5ec33</t>
  </si>
  <si>
    <t>When to edit CAL Responses</t>
  </si>
  <si>
    <t>fe4f50c4-3259-4b54-adb9-bef54f48d1c9</t>
  </si>
  <si>
    <t>4f3336e1-bd2b-4924-9fa9-951d5d8e859b</t>
  </si>
  <si>
    <t>b295a810-e4ec-4286-9450-d26a68bb8137</t>
  </si>
  <si>
    <t>b7fdc43a-59b6-4af8-9afe-4a201e9447fa</t>
  </si>
  <si>
    <t>cdf89918-88f6-495b-90bd-5478b0d97114</t>
  </si>
  <si>
    <t>69296fe6-d99e-4001-9493-1e89230a4e6e</t>
  </si>
  <si>
    <t>6c2f5ec6-e598-4719-aaa8-a958f6a3765c</t>
  </si>
  <si>
    <t>ffb954e0-87f8-4a5c-9388-67df00f7356e</t>
  </si>
  <si>
    <t>Curiosity Tool</t>
  </si>
  <si>
    <t>e1c48888-ad15-4e3f-be83-f9673b8e4204</t>
  </si>
  <si>
    <t>9e4489a6-62ad-435a-86bf-761499791b62</t>
  </si>
  <si>
    <t>3ea4ffd1-ce73-4396-b49c-038dadf48d74</t>
  </si>
  <si>
    <t>58f04035-2c0d-4f3c-856b-4c539fe20c55</t>
  </si>
  <si>
    <t>f0440e20-b2a3-4054-8fbf-1c2932bcbfb6</t>
  </si>
  <si>
    <t>908ef249-eac6-4c32-9ecb-ca5bd65d26f5</t>
  </si>
  <si>
    <t>0b2b1ee5-525a-45ee-80ed-40d466e475af</t>
  </si>
  <si>
    <t>39e88abb-b35b-45cd-9357-fe0c7f39c2e8</t>
  </si>
  <si>
    <t>fca70545-07bd-4bfa-9df3-1ce0adfe2aee</t>
  </si>
  <si>
    <t>3ddd6c03-407c-4615-b91e-de5c097498c5</t>
  </si>
  <si>
    <t>cd1d143a-dbb7-445d-8528-675ddd3f5c8a</t>
  </si>
  <si>
    <t>d91aa107-9928-47ba-bda0-4831916d9604</t>
  </si>
  <si>
    <t>8b3290d9-cd12-4d03-8e57-3636d5a5dc9a</t>
  </si>
  <si>
    <t>61008e4b-d2d0-4c4f-a48b-8427cd095d95</t>
  </si>
  <si>
    <t>aa7f20ad-6518-437b-b75b-d877cc838973</t>
  </si>
  <si>
    <t>82143cd8-ecb4-4121-9fbe-f32319f66113</t>
  </si>
  <si>
    <t>68d42184-8f0a-47aa-a4ec-b37aa81a2e21</t>
  </si>
  <si>
    <t>8ab4046a-868b-439b-b997-75448ad1ad1a</t>
  </si>
  <si>
    <t>avail - review recent updates/articles</t>
  </si>
  <si>
    <t>8c2d4840-48e3-40ef-8145-8628c53d4f4d</t>
  </si>
  <si>
    <t>dbcaf408-aa09-4cf3-b5ab-a9f07754c8cb</t>
  </si>
  <si>
    <t>82fcf1c7-5de0-4e41-a87b-981798f81b27</t>
  </si>
  <si>
    <t>831943c9-c995-402b-aa9e-3ca32bcf157a</t>
  </si>
  <si>
    <t>438f3b64-f8c6-4b1c-a343-8a1e66bcccc5</t>
  </si>
  <si>
    <t>442d6e89-c778-480c-949e-c2a7d379df01</t>
  </si>
  <si>
    <t>2942be4a-b37d-4e34-9e83-c824a09b9ce5</t>
  </si>
  <si>
    <t>17222344-2b7c-4d5e-87bc-1f72840dacae</t>
  </si>
  <si>
    <t>0d446ba9-5be3-49cd-8657-c5039d41522d</t>
  </si>
  <si>
    <t>8952cff0-98b4-422f-b1b0-d4a4afa7ac83</t>
  </si>
  <si>
    <t>29a9dbb8-9bae-4151-a3f9-82014a30e59c</t>
  </si>
  <si>
    <t>d9c9ddd0-f7ac-4ce5-b0cc-df0eb5ac6795</t>
  </si>
  <si>
    <t>268eb4d3-3bd6-4623-ade4-60c34a1cbd95</t>
  </si>
  <si>
    <t>3c18977c-58c5-4558-bdbb-7ab08a9690b8</t>
  </si>
  <si>
    <t>46da4e3d-b286-42d1-9aac-74ebb2d2458b</t>
  </si>
  <si>
    <t>6eeb94c9-639f-40ae-9760-a88b42cfc37c</t>
  </si>
  <si>
    <t>b0e5ff64-9637-465b-98ec-fed9d4bf7acf</t>
  </si>
  <si>
    <t>UV All Hands watch session</t>
  </si>
  <si>
    <t>bbaf0d5d-1be7-4f11-84e6-ce1c74918062</t>
  </si>
  <si>
    <t>e3675e69-1c92-495c-86b4-020deab3aa54</t>
  </si>
  <si>
    <t>7de88bde-64eb-4e71-9e76-ffd0fb443b79</t>
  </si>
  <si>
    <t>7077b0f1-d81c-4380-a2f8-28e6ab9fd5ee</t>
  </si>
  <si>
    <t>58535889-ca55-425a-872a-8e1986db6c02</t>
  </si>
  <si>
    <t>df7c50ec-c420-4e88-98ba-35104ae1d375</t>
  </si>
  <si>
    <t>ad966985-2274-4205-8735-3a6704498ada</t>
  </si>
  <si>
    <t>23268127-63cc-4ca1-8ed1-de3f27283023</t>
  </si>
  <si>
    <t>7d363152-00c1-4e22-a277-bd32ae33111d</t>
  </si>
  <si>
    <t>7943744b-7d0d-46ec-a3e2-c260956d939b</t>
  </si>
  <si>
    <t>a21d2790-e123-417f-b148-6968504a48d1</t>
  </si>
  <si>
    <t>d9b36734-68df-4f40-b732-6ed9aab67e61</t>
  </si>
  <si>
    <t>e8862cc0-2f1d-4d15-ad20-a0b89c121c0e</t>
  </si>
  <si>
    <t>f5c54343-acff-4341-a6b9-fe1813c5f7b8</t>
  </si>
  <si>
    <t>5290e037-5995-495a-b363-c5b7cb1e4872</t>
  </si>
  <si>
    <t>74f51d34-808c-4bdf-b60e-797945093c4c</t>
  </si>
  <si>
    <t>a800bf34-1151-4788-97d8-5e3a92858e39</t>
  </si>
  <si>
    <t>5d08449f-3340-49bb-a7a1-7f01f84cafae</t>
  </si>
  <si>
    <t>schedule adjustment request</t>
  </si>
  <si>
    <t>7589d122-efb2-434c-a664-f9d27e76d058</t>
  </si>
  <si>
    <t>meeting</t>
  </si>
  <si>
    <t>e08a0bd8-846e-4152-89bf-6323a4db26ae</t>
  </si>
  <si>
    <t>2b5b6d7d-42b8-4979-8a66-4689fec38f22</t>
  </si>
  <si>
    <t>3d85dbcf-4673-4203-a0a2-793ee827376b</t>
  </si>
  <si>
    <t>c5014a3a-aa44-4ac2-b909-b0be650ae522</t>
  </si>
  <si>
    <t>a3afa82d-f16c-43b3-bd0f-2d6775d1fa08</t>
  </si>
  <si>
    <t>077d66eb-2ec6-4f9c-8d0f-10086a817480</t>
  </si>
  <si>
    <t>a53f1e73-d90c-4be4-80eb-f35a4d0a8891</t>
  </si>
  <si>
    <t>1d0e9aeb-b0a8-40df-b13a-7efdd5e02ed9</t>
  </si>
  <si>
    <t>1fc066e4-0c1b-4400-bfdf-6173c1f6aaef</t>
  </si>
  <si>
    <t>76ca54dc-b046-4729-af42-38990ec1c361</t>
  </si>
  <si>
    <t>211b0075-1e2c-410e-b127-197b60541c04</t>
  </si>
  <si>
    <t>3842a1ba-532e-49c4-a46a-add41dfc5aff</t>
  </si>
  <si>
    <t>internet issue</t>
  </si>
  <si>
    <t>793228a0-c43e-4131-a1ea-ddd706d74ea1</t>
  </si>
  <si>
    <t>c83e1fb7-26fe-4a5c-93c4-762e072fe4d3</t>
  </si>
  <si>
    <t>3e716827-6900-4cb6-a5a9-1707092c47ac</t>
  </si>
  <si>
    <t>65931881-e10f-4611-9829-748992b814a5</t>
  </si>
  <si>
    <t>User Voice Privacy &amp; Security Refresher Training H2 2025 | AI Legal - 2025</t>
  </si>
  <si>
    <t>f7d31c2d-8e55-473e-9bee-66aed47aa9db</t>
  </si>
  <si>
    <t>affe260a-0a29-4ec6-9e3a-69bcc5b2355e</t>
  </si>
  <si>
    <t>440d1c00-1075-4c73-992e-d199c446f505</t>
  </si>
  <si>
    <t>94444fba-85b8-411d-920d-88597e321fba</t>
  </si>
  <si>
    <t>bd05145f-b8c5-426b-b21e-aab563ffc0ea</t>
  </si>
  <si>
    <t>6ec1282c-fc25-4476-ad12-c7e51cb55429</t>
  </si>
  <si>
    <t>6a10f743-fda0-4427-9cda-36a3ba2a4443</t>
  </si>
  <si>
    <t>e0c6e444-7f3a-432d-9d45-dde504ddd373</t>
  </si>
  <si>
    <t>6e22147a-625e-46f4-8156-695315d3326b</t>
  </si>
  <si>
    <t>cd243a85-51a0-4475-b192-8b1885794184</t>
  </si>
  <si>
    <t>d5e6d0d2-fabd-4b8e-9125-2ea41a34dc1b</t>
  </si>
  <si>
    <t>6b0901c3-5e53-4b23-a1db-5e00f73836bc</t>
  </si>
  <si>
    <t>f023f0ac-fb65-41ae-9325-72fc1dcafea2</t>
  </si>
  <si>
    <t>a2928e19-9c4c-4fb8-bc8e-bb10d710cc2e</t>
  </si>
  <si>
    <t>2d472dc2-632b-4142-80e4-1454d0885ff1</t>
  </si>
  <si>
    <t>899d1bdf-8c5c-4895-8f9b-bb69820413f4</t>
  </si>
  <si>
    <t>bcea20c6-6d33-4ea7-bda9-09ecc03327bf</t>
  </si>
  <si>
    <t>53f1a17c-382a-4b30-b3cd-68cd94864f16</t>
  </si>
  <si>
    <t>Active Listening training</t>
  </si>
  <si>
    <t>74fc8395-f1fc-46de-b9f2-235a769bd08b</t>
  </si>
  <si>
    <t>Curious Questions Tools</t>
  </si>
  <si>
    <t>5d997290-7bef-4fc8-970d-351bc301b43d</t>
  </si>
  <si>
    <t>2c9a55e9-c353-403f-a401-0fe8e7352128</t>
  </si>
  <si>
    <t>6be6995f-6d5c-4ae9-b41d-29aa495e031c</t>
  </si>
  <si>
    <t>dc5f530d-7b5e-4c4c-9900-9514165e5ac2</t>
  </si>
  <si>
    <t>d8a8c5c0-0599-46bd-9808-f89fb0a1e2f2</t>
  </si>
  <si>
    <t>5d327fc8-8d6b-40be-bf54-d32870654a1d</t>
  </si>
  <si>
    <t>69f4bed2-cf8d-4932-9b44-702817753545</t>
  </si>
  <si>
    <t>267a758f-4e3f-4fe2-9700-18055cc9cb50</t>
  </si>
  <si>
    <t>176438ca-e5bc-44eb-9a73-4823603482c1</t>
  </si>
  <si>
    <t>4cf7b27e-da50-4f9d-bb94-443aeb6de90f</t>
  </si>
  <si>
    <t>2e8242f5-7253-4373-ac81-a964a972cccb</t>
  </si>
  <si>
    <t>8535d66a-8bbf-4c73-a8fa-9d56f0ea37f9</t>
  </si>
  <si>
    <t>62d2d0a1-000e-468b-8ec2-f25fe2e89fe9</t>
  </si>
  <si>
    <t>7c7f4a25-f47b-4de1-a177-f3aeb241ab73</t>
  </si>
  <si>
    <t>3e2fce97-a250-4693-aaa6-eae31ac713b0</t>
  </si>
  <si>
    <t>a4455b21-2a56-489e-8aa1-141bdcc42d97</t>
  </si>
  <si>
    <t>3baa6bc3-79ad-4339-9c54-904fbc154907</t>
  </si>
  <si>
    <t>1676c5e1-5c8f-4a88-b791-7f13fa83771d</t>
  </si>
  <si>
    <t>587f9042-9a56-4316-bd2b-28295e626c64</t>
  </si>
  <si>
    <t>71be3cf7-66a5-47c2-b11b-51fbbd66353c</t>
  </si>
  <si>
    <t>6f1cbd74-97cd-499c-a946-7cc6cbaa6639</t>
  </si>
  <si>
    <t>c4745316-ae8e-49e9-8454-19002ee2ba03</t>
  </si>
  <si>
    <t>953f87ec-4534-421e-a6c1-dc2684806146</t>
  </si>
  <si>
    <t>5e24ad4b-e53a-4046-90b7-ed5117b61690</t>
  </si>
  <si>
    <t>a4b7855e-3a61-4bc4-bdaa-6eb2f9d983ce</t>
  </si>
  <si>
    <t>07c64549-490d-43a2-bbd6-78a869cb5895</t>
  </si>
  <si>
    <t>eff08f14-6419-4f6d-993c-726c6813c505</t>
  </si>
  <si>
    <t>e009c1f1-7bea-45f8-ba66-46e4308233f1</t>
  </si>
  <si>
    <t>57fcb755-b2bd-4c9c-ba48-49d118f0d637</t>
  </si>
  <si>
    <t>c02d5b7f-edcb-4f27-b1f0-0028d295011f</t>
  </si>
  <si>
    <t>b457c79a-5415-4904-b8b4-63d714ef94a1</t>
  </si>
  <si>
    <t>256522d5-da3c-47a5-a5bc-65e7016131b1</t>
  </si>
  <si>
    <t>25a86326-a4b6-4160-a716-12bb21f79c43</t>
  </si>
  <si>
    <t>f209ad9f-a6af-49ad-9972-eacb9a36ba5b</t>
  </si>
  <si>
    <t>0afce3e1-9921-401f-a583-3639140aad2c</t>
  </si>
  <si>
    <t>8c14b84b-32b6-4ec7-b10f-2d9c7ebc4813</t>
  </si>
  <si>
    <t>a9846b07-153b-41ce-b56c-5694900c7e72</t>
  </si>
  <si>
    <t>3bb49516-a4a0-4de6-b143-6e0dda1c0f58</t>
  </si>
  <si>
    <t>a6451aac-aa81-4d3f-974c-0354cb5ba1c1</t>
  </si>
  <si>
    <t>a83569ee-7388-49fc-9b96-7e242fc0a6c6</t>
  </si>
  <si>
    <t>82fc9051-f4dd-4405-a795-6dff460db4bb</t>
  </si>
  <si>
    <t>70499ae0-11f9-4cc3-ac71-d8142af427f5</t>
  </si>
  <si>
    <t>37e5ce1c-8859-41e5-8330-fbea1f3c3441</t>
  </si>
  <si>
    <t>VL - Coach advised to file again</t>
  </si>
  <si>
    <t>90363c3d-1090-41af-88e4-b7b4b0a23b64</t>
  </si>
  <si>
    <t>87fcca0f-0c92-4d0b-9421-07fb4692372d</t>
  </si>
  <si>
    <t>8e2c81d5-8fb2-490e-874a-7a4495a652ea</t>
  </si>
  <si>
    <t>62f2e81e-8100-42e2-be61-946a212d5329</t>
  </si>
  <si>
    <t>b8baf66e-01fa-49f6-b558-d8fb9982cbdc</t>
  </si>
  <si>
    <t>52100b16-e49b-4513-beaa-7d0861532458</t>
  </si>
  <si>
    <t>VL - Out of town (return)
WFM deferred to Coach Vinz for approval &gt;&gt;&gt;https://canva.enterprise.slack.com/archives/C05A76H5FUM/p1766040752156669</t>
  </si>
  <si>
    <t>f2604a18-f75f-4771-8f59-c3c633825bce</t>
  </si>
  <si>
    <t>90fec275-ee3d-4645-950f-6c831b224704</t>
  </si>
  <si>
    <t>500c555f-55e8-46e4-a954-3b7c3d77c524</t>
  </si>
  <si>
    <t>8673afaf-0762-48c3-b9fd-2f414539bdb3</t>
  </si>
  <si>
    <t>b947d6fa-f5ee-4a72-8f11-1728ea637eba</t>
  </si>
  <si>
    <t>664b0d2b-58d7-44b4-8c5f-86189b268689</t>
  </si>
  <si>
    <t>374bf2c2-3966-4ab4-a5a5-5aecd182375f</t>
  </si>
  <si>
    <t>59f1746a-4f79-4bed-ae58-6f56094acbce</t>
  </si>
  <si>
    <t>f0607088-d669-4247-9442-539db6e2f672</t>
  </si>
  <si>
    <t>d95fe2f7-5b19-475e-b87b-6030e2938923</t>
  </si>
  <si>
    <t>2196962f-729e-4e8d-bd27-5d2785ba5ba6</t>
  </si>
  <si>
    <t>83258564-2a83-4a23-aba5-684e7f335db9</t>
  </si>
  <si>
    <t>06177bba-8802-4bac-98b8-3f8be70376c7</t>
  </si>
  <si>
    <t>5faa3668-7356-4679-9194-0c65389a951a</t>
  </si>
  <si>
    <t>2ebf7b34-36dc-45da-aa72-428009c4c1d1</t>
  </si>
  <si>
    <t>1d10b918-18ce-470c-8ba1-3c73115208dd</t>
  </si>
  <si>
    <t>01540287-8933-46c9-81b6-9dcec5365ef6</t>
  </si>
  <si>
    <t>8103b834-64b4-4b08-b5ff-678b9ec6838b</t>
  </si>
  <si>
    <t>d97b79e7-509d-4f06-999a-0a37b008ff5c</t>
  </si>
  <si>
    <t>7976650b-e4fd-4347-a12f-1942127124a7</t>
  </si>
  <si>
    <t>38dd1b14-d0fd-4ab9-94c1-149850eafe72</t>
  </si>
  <si>
    <t>16be6540-3533-4084-9eaa-1dae1000acf7</t>
  </si>
  <si>
    <t>ef3fab40-0217-4cd6-ab5e-e8a6a6158c6b</t>
  </si>
  <si>
    <t>1e972aaf-7c38-481b-ac9d-ad09c371b393</t>
  </si>
  <si>
    <t>Holiday Leave</t>
  </si>
  <si>
    <t>d4dad281-a8ed-4613-b603-324056a7ed65</t>
  </si>
  <si>
    <t>05c650fc-8d81-4b2f-904f-0c86562c7c42</t>
  </si>
  <si>
    <t>682acd1c-c586-43e0-b23c-7d58ed2a9bc6</t>
  </si>
  <si>
    <t>ac585842-de66-4683-95dc-b5c806899560</t>
  </si>
  <si>
    <t>cdf1db97-db63-45d8-806f-273b1d62e85c</t>
  </si>
  <si>
    <t>d61ce4e9-7608-4c36-b15e-8a48325ad38e</t>
  </si>
  <si>
    <t>d81cc462-efe9-41ba-95d2-6751577faf47</t>
  </si>
  <si>
    <t>7e9bd432-fd21-4284-9c0e-aa822b943ab9</t>
  </si>
  <si>
    <t>d107b55f-16f5-4f85-bff8-310f5299f8b5</t>
  </si>
  <si>
    <t>97c7953d-7d79-46d8-89c8-4880fa796c2f</t>
  </si>
  <si>
    <t>f52d3287-ef1f-45c6-8a49-9f5917731997</t>
  </si>
  <si>
    <t>a7b7ba24-1d20-4cba-b024-c5af6e4ced14</t>
  </si>
  <si>
    <t>e8601d0c-94c0-4a99-897a-bf63fbf62cac</t>
  </si>
  <si>
    <t>I will be attending my nephew's christening.</t>
  </si>
  <si>
    <t>1e5dda68-21ae-4658-af47-457586674849</t>
  </si>
  <si>
    <t>099a1290-cb9f-4c53-a635-d9f6239cb0db</t>
  </si>
  <si>
    <t>12431a27-6ec0-488f-8b77-0daa76fdd469</t>
  </si>
  <si>
    <t>5ac79bee-6fee-4f23-ba8e-e5073e81988c</t>
  </si>
  <si>
    <t>c86fb9c4-bb4a-406a-9556-531baedf569a</t>
  </si>
  <si>
    <t>8c49292b-5be8-48aa-b53a-6af763933f43</t>
  </si>
  <si>
    <t>ce993d9c-4ef6-4c0e-a549-398c3f99bc40</t>
  </si>
  <si>
    <t>0d5b4235-3817-4137-8947-91e3d50321f1</t>
  </si>
  <si>
    <t>240c8ee3-8ffd-460f-ba49-aec6ae39a0b0</t>
  </si>
  <si>
    <t>22ead80a-5f3b-459a-811e-fa52ec77e57a</t>
  </si>
  <si>
    <t>189a58fd-3a69-4335-893d-666023a22ad1</t>
  </si>
  <si>
    <t>c8effae1-74f4-4d00-b193-7b48a7e2b457</t>
  </si>
  <si>
    <t>Missing Design Training</t>
  </si>
  <si>
    <t>8b50962e-6aa3-45e6-b1e7-66fa9d577839</t>
  </si>
  <si>
    <t>d8cf008c-5668-4eb4-bda1-76c714b8e780</t>
  </si>
  <si>
    <t>9df7b3ca-59cf-42df-b010-d9cde3145865</t>
  </si>
  <si>
    <t>67a4d8b0-6288-465b-acba-7ba7c90a7c60</t>
  </si>
  <si>
    <t>Adjusted lunch</t>
  </si>
  <si>
    <t>89f25dfa-31f3-4512-8f39-3ec3270d9d88</t>
  </si>
  <si>
    <t>9d545fb9-2b80-4101-9958-4d67f536dabe</t>
  </si>
  <si>
    <t>2b342e18-3a6b-415b-b8e1-347d83fb97a4</t>
  </si>
  <si>
    <t>bc936d4e-7331-4548-8cb3-aa702080fc7d</t>
  </si>
  <si>
    <t>b0750da5-c5b1-4c2a-993d-efc0015d8ab4</t>
  </si>
  <si>
    <t>c1963f74-490d-4131-88b9-ee912012eaf9</t>
  </si>
  <si>
    <t>335f2b4f-3804-466f-b3a4-2812c01bc57e</t>
  </si>
  <si>
    <t>43179e89-0abf-4c29-a444-c51a360936a0</t>
  </si>
  <si>
    <t>93c76a72-7f17-4e55-aa51-296435aafb2b</t>
  </si>
  <si>
    <t>3238c365-d926-4b9f-9008-2c82f1c7659b</t>
  </si>
  <si>
    <t>469d8621-f8c0-4a0d-8a2e-241964a8db32</t>
  </si>
  <si>
    <t>3d4d23ef-e03a-4a03-a992-ea5a72bfdca0</t>
  </si>
  <si>
    <t>350ef31c-876a-4de2-9625-7bc45bf51313</t>
  </si>
  <si>
    <t>33e1dd6a-16d5-4bb3-a8bb-e5ed761a487c</t>
  </si>
  <si>
    <t>fb9a6168-8621-4183-a9b4-e5d42f404ce4</t>
  </si>
  <si>
    <t>ca417b8c-02d0-4a0f-a90a-dd18ccdea249</t>
  </si>
  <si>
    <t>fbfc9a45-7f85-4054-a585-002da91f23d1</t>
  </si>
  <si>
    <t>a2097380-600c-4469-a1f0-63dde08521de</t>
  </si>
  <si>
    <t>bbdde0d7-fa60-43c4-bc0b-e3ca8c7164f3</t>
  </si>
  <si>
    <t>471e93e6-904a-46cb-a3e3-410f3b9fdc94</t>
  </si>
  <si>
    <t>9c2a1b6e-2237-485d-a773-d5f0fe6fd45b</t>
  </si>
  <si>
    <t>92ed4d4e-28db-4f9b-874f-bf8f9773d991</t>
  </si>
  <si>
    <t>23e3ffbe-52bb-47de-9da9-b18b44ad47cb</t>
  </si>
  <si>
    <t>78dbf19d-ca54-40d8-b76f-cfaf5be70bfd</t>
  </si>
  <si>
    <t>d60069cb-ef30-4512-a77d-cd7c8ac37bb6</t>
  </si>
  <si>
    <t>65a08150-31db-46e0-8978-a39fef310f8f</t>
  </si>
  <si>
    <t>0790d72e-de28-4326-b86a-330cd8ce33c0</t>
  </si>
  <si>
    <t>10381396-2d85-4c7c-9000-794b7f7befa4</t>
  </si>
  <si>
    <t>2cfc41a4-14ce-4dd4-8636-57daee46e318</t>
  </si>
  <si>
    <t>903cc50c-84ac-4e08-9ff7-c8cab841099e</t>
  </si>
  <si>
    <t>75f523e9-a700-4e00-b261-3b0867f184a2</t>
  </si>
  <si>
    <t>c9e5a4d4-4c2d-4a50-9b4f-eca6500501da</t>
  </si>
  <si>
    <t>62d922a4-2142-418c-93c8-27b9efcdea58</t>
  </si>
  <si>
    <t>47532a4a-7986-42af-99d4-bd476134fd3c</t>
  </si>
  <si>
    <t>1f03e352-fbfe-49f9-ab4b-745a7cd899c0</t>
  </si>
  <si>
    <t>bdc5bfaf-ad1c-4590-af44-0e20d09129e3</t>
  </si>
  <si>
    <t>2f7ce664-be74-4e9c-a822-cb2cf371559c</t>
  </si>
  <si>
    <t>4f8f527b-97fc-4293-9adc-efd3e229df31</t>
  </si>
  <si>
    <t>205c64f1-efc6-454e-9851-d56c2d7766e7</t>
  </si>
  <si>
    <t>7dbe3550-bcf7-4bcd-bb03-09e62c9651d1</t>
  </si>
  <si>
    <t>e8e29078-349a-4d33-b82e-f544e25aa2ec</t>
  </si>
  <si>
    <t>34701b04-b3ad-452f-a56d-74d995cdc22f</t>
  </si>
  <si>
    <t>c6ff7db1-06be-42f2-83c3-d8c6fea4e28c</t>
  </si>
  <si>
    <t>4de38c72-c52a-46e0-9944-f374644b49f4</t>
  </si>
  <si>
    <t>1364d874-1054-4046-9bea-a8ac73f6e8aa</t>
  </si>
  <si>
    <t>ce10d04a-ded5-49cd-a3f5-26d22ece10c6</t>
  </si>
  <si>
    <t>eb75b8c8-c372-4642-aca4-af8fdfe2a36a</t>
  </si>
  <si>
    <t>2f65d69b-1b10-465b-ab5c-dba9ac563d39</t>
  </si>
  <si>
    <t>23613182-5739-451c-8ffe-3800e02546a4</t>
  </si>
  <si>
    <t>bd670e8b-9c47-48d8-a169-f867709b24d5</t>
  </si>
  <si>
    <t>a1848fd3-e79f-4b61-a957-bd245eae4169</t>
  </si>
  <si>
    <t>a788025f-b10e-4f20-9869-1a43710947e4</t>
  </si>
  <si>
    <t>73c46af7-a475-4514-a317-18fc3c4451f0</t>
  </si>
  <si>
    <t>e9b757e1-47c9-4a39-b8eb-ffe7f9c13266</t>
  </si>
  <si>
    <t>98d1151b-908a-4aec-9a5c-ab999f0423ec</t>
  </si>
  <si>
    <t>e6b657d3-4903-40bd-b062-a10c15e6a761</t>
  </si>
  <si>
    <t>422a6034-05ac-4145-9d2b-665e52d8549f</t>
  </si>
  <si>
    <t>17e2f778-fb2b-42d8-8960-4880d581ec93</t>
  </si>
  <si>
    <t>172a830f-48b9-482f-8eb4-f05a963cbeab</t>
  </si>
  <si>
    <t>8aba4bff-b1a0-447b-b196-1cb60ec7b53e</t>
  </si>
  <si>
    <t>a78e5749-9deb-487c-8ecf-d37f4c6d02d7</t>
  </si>
  <si>
    <t>2b4de402-e4b8-4e40-a385-cb0e6e3f98b7</t>
  </si>
  <si>
    <t>36c1314a-6233-4f68-b991-a6146a27d044</t>
  </si>
  <si>
    <t>c6161807-0bb6-4f51-841f-bc199ab9af47</t>
  </si>
  <si>
    <t>5be4985b-0e58-4164-bc12-4e6271cdb6e1</t>
  </si>
  <si>
    <t>b5921e4f-598b-4fd1-ad62-4ab7cd216c67</t>
  </si>
  <si>
    <t>2b5a5eb1-f700-4d4b-be7d-a768242e185c</t>
  </si>
  <si>
    <t>1f774cfc-c02d-4a50-ad9c-1d697f3e6fe0</t>
  </si>
  <si>
    <t>a4fd9a04-43e2-4697-b5b9-4dab81952926</t>
  </si>
  <si>
    <t>303aab7b-f7e4-4c4c-a04b-1ca952148cc0</t>
  </si>
  <si>
    <t>27fd7d1c-bc32-4f85-8a05-91d520df16f1</t>
  </si>
  <si>
    <t>2ee3a080-302a-4585-96de-0ac100d53ecf</t>
  </si>
  <si>
    <t>aa740f7a-a2e3-45bf-98c8-60682d3a4646</t>
  </si>
  <si>
    <t>98b97193-c222-4fde-ad31-d0e47674248b</t>
  </si>
  <si>
    <t>1be4e382-d732-40a0-bf2c-97b980e9519c</t>
  </si>
  <si>
    <t>ef21f3c2-031f-4cca-b098-862c2e6f7e58</t>
  </si>
  <si>
    <t>2ca4f095-665d-4f48-ba8f-b83fc638bfdc</t>
  </si>
  <si>
    <t>d3cc3e55-2c8f-4146-adb5-cfb935036056</t>
  </si>
  <si>
    <t>287ab326-57a9-437e-aacb-74ed29af05ed</t>
  </si>
  <si>
    <t>e17ef607-a4a1-4fdf-91a9-d6f26419d178</t>
  </si>
  <si>
    <t>31bfca17-1271-4dd2-81d9-52c70b0cd2a1</t>
  </si>
  <si>
    <t>cf313e4d-adb3-4003-bb54-7627eb88dd60</t>
  </si>
  <si>
    <t>f164fbe1-a18a-469f-b118-1e05831a888a</t>
  </si>
  <si>
    <t>bfdcb754-fbca-464e-b9f1-cd0e3f466e48</t>
  </si>
  <si>
    <t>a9c190f7-a5d6-4345-9abe-3205760309d8</t>
  </si>
  <si>
    <t>ca7c6562-0a29-437b-b840-aee62e64a455</t>
  </si>
  <si>
    <t>2b656974-3091-474f-a12f-14240db63d07</t>
  </si>
  <si>
    <t>555b4532-a167-4647-a678-f66c172b15d1</t>
  </si>
  <si>
    <t>ccae7641-fae6-4b20-b760-73c28e8767af</t>
  </si>
  <si>
    <t>c395b014-f508-4385-8d7c-577d44e5d153</t>
  </si>
  <si>
    <t>5ff67672-4745-4d1e-8b28-aab856f28bd4</t>
  </si>
  <si>
    <t>05c84e03-d1bd-46eb-ad47-b1f6026e250d</t>
  </si>
  <si>
    <t>33b41c5e-42f5-4cd5-83e2-28ba4385fe74</t>
  </si>
  <si>
    <t>29424504-4f09-432e-885e-560040e8548c</t>
  </si>
  <si>
    <t>40abd56e-2e56-4254-87ae-5ca9caa985c3</t>
  </si>
  <si>
    <t>6c379825-82bd-4d2b-b4ca-5cde4e8ea314</t>
  </si>
  <si>
    <t>e6956cf9-6cff-47fe-96d1-67e5c1ea46ae</t>
  </si>
  <si>
    <t>aac61b50-28d5-41a3-9ec0-044d9cb647c4</t>
  </si>
  <si>
    <t>da5e565a-4ff2-41ad-9587-7573584b81f6</t>
  </si>
  <si>
    <t>1e642826-23ab-4901-89a1-d8840ed5d3e6</t>
  </si>
  <si>
    <t>66fd2a14-5ec5-460b-9ad2-ee3242838400</t>
  </si>
  <si>
    <t>ea314d75-5ca2-4d69-856e-a93dc5c887ef</t>
  </si>
  <si>
    <t>8e7c3f24-e97f-4551-81b6-e607aa129395</t>
  </si>
  <si>
    <t>664a9e65-8b20-4d77-9ada-431ae00756a0</t>
  </si>
  <si>
    <t>037e6d76-19f2-42d7-82be-27802e50024f</t>
  </si>
  <si>
    <t>1dc45a98-4471-4d0a-ac0b-196380ef665e</t>
  </si>
  <si>
    <t>cd71a35a-811c-4d80-9ae7-89babdc1bd62</t>
  </si>
  <si>
    <t>24c340dd-655a-4ec4-993f-35129c8534ec</t>
  </si>
  <si>
    <t>0899d05d-58bc-4182-8984-44b80cd4f8b9</t>
  </si>
  <si>
    <t>081ef016-6cb2-428f-abde-334d0622c26e</t>
  </si>
  <si>
    <t>43535cdb-17d8-4506-83c5-330474e03cc4</t>
  </si>
  <si>
    <t>73bab76e-3adf-4709-938c-3a6a5b145c15</t>
  </si>
  <si>
    <t>3b99d439-749a-4f52-af65-7caefad9cd99</t>
  </si>
  <si>
    <t>810d1746-23e5-4829-b812-18333cabb0ce</t>
  </si>
  <si>
    <t>01f79688-6a26-4193-b7f9-2ce8e5e9e976</t>
  </si>
  <si>
    <t>3ecc7d08-b359-42f8-939f-cde7d72cf725</t>
  </si>
  <si>
    <t>b9d31e9b-a620-42c0-94c5-5f439bb53eab</t>
  </si>
  <si>
    <t>f269bb1f-c915-4cf3-9f8a-c50d7dcc25ad</t>
  </si>
  <si>
    <t>eaf8ca71-f16c-452f-924d-f6ee4d8f6cdd</t>
  </si>
  <si>
    <t>a1b2a151-4067-402a-8b20-799ec25189bc</t>
  </si>
  <si>
    <t>ca4e8e22-62d2-49f5-a094-8e495d269469</t>
  </si>
  <si>
    <t>28a9518f-e7ca-4496-b854-e6d3684ba433</t>
  </si>
  <si>
    <t>1c888672-7a19-4f57-b514-b5bfce719060</t>
  </si>
  <si>
    <t>f68897ff-a374-4cb8-979a-8da8d4bf48ee</t>
  </si>
  <si>
    <t>f8a3572c-05da-462f-8eee-79baafade093</t>
  </si>
  <si>
    <t>ab8b37e1-eaf9-4a7d-bdd1-0fbcab466834</t>
  </si>
  <si>
    <t>dfda8e4b-e5db-4fc7-8207-83bc5763f1bf</t>
  </si>
  <si>
    <t>366c9cea-35c9-420f-a4c4-b1210445a382</t>
  </si>
  <si>
    <t>2744368d-fc74-4aec-824c-d3925f100306</t>
  </si>
  <si>
    <t>0e25e566-90c9-476a-bde3-547ec02410fd</t>
  </si>
  <si>
    <t>85e7887b-edf8-44a9-920c-1a5825fbbb84</t>
  </si>
  <si>
    <t>89dadaa3-e1bc-4622-8427-72f8ff92200c</t>
  </si>
  <si>
    <t>d7715b38-de40-49de-b290-1ca06dd412c9</t>
  </si>
  <si>
    <t>c9df470f-5e34-4f35-a35e-7ed87c2c6349</t>
  </si>
  <si>
    <t>ed2eda34-5433-4c40-84db-ef373a11a0b1</t>
  </si>
  <si>
    <t>993b4166-f615-4acc-8d0a-223cbe278e57</t>
  </si>
  <si>
    <t>0f11e25b-9d1d-4e10-a31f-d1098c2aab22</t>
  </si>
  <si>
    <t>5860f8e0-e49e-40db-bba0-c2ef974d70d1</t>
  </si>
  <si>
    <t>e0bf220f-77cb-4ccc-9e32-ed504115cf99</t>
  </si>
  <si>
    <t>ac5fe93f-1ee9-4b40-b8e4-f25c7a5b8514</t>
  </si>
  <si>
    <t>451be692-561b-41b3-bc11-32094772c1df</t>
  </si>
  <si>
    <t>d7e11ee1-a8aa-4e34-a14b-fcce7a08c206</t>
  </si>
  <si>
    <t>Snowball Review 14963640</t>
  </si>
  <si>
    <t>dae69a0b-6cfa-403b-a259-644ec435b8e1</t>
  </si>
  <si>
    <t>418d4349-0fcf-454a-ac0c-55192bd3cd42</t>
  </si>
  <si>
    <t>Snowball Review 14906439</t>
  </si>
  <si>
    <t>cb595927-fdf5-478a-8f79-de6b5bea45f1</t>
  </si>
  <si>
    <t>e8918db7-f152-4a83-b6db-12210b69cea5</t>
  </si>
  <si>
    <t>9b7c6178-4d88-4625-aa36-8cad6a9c6831</t>
  </si>
  <si>
    <t>794c15a7-c081-4a34-bf0a-0c4614be09f9</t>
  </si>
  <si>
    <t>Snowball Review 14963181</t>
  </si>
  <si>
    <t>e21e6f00-9f1f-483c-9caf-17959f98ed6c</t>
  </si>
  <si>
    <t>e4a5e3a6-4ef7-4090-9064-95d95a67edda</t>
  </si>
  <si>
    <t>06271239-35d1-4628-a207-2c811a9251e0</t>
  </si>
  <si>
    <t>e9ce1b4f-4326-4a22-a95b-6e0eda9456b7</t>
  </si>
  <si>
    <t>28f5093f-d655-4dd0-b76f-274508a0c956</t>
  </si>
  <si>
    <t>ea1fad48-0d81-4bf8-936a-8bfd9dd6f9fe</t>
  </si>
  <si>
    <t>5bae2755-1bb2-4a80-aa6a-db724ed076b4</t>
  </si>
  <si>
    <t>9297ea2d-a4f3-42ee-888f-dbe534384fd8</t>
  </si>
  <si>
    <t>c0e3e8d4-87d3-4631-b464-e78e0aaff278</t>
  </si>
  <si>
    <t>e4be79d8-d8cb-47be-9a27-2d3d880d0bb5</t>
  </si>
  <si>
    <t>0a253011-9193-47bb-a140-ee2d86802c29</t>
  </si>
  <si>
    <t>85838951-3f20-483d-b110-df57a8da1e7e</t>
  </si>
  <si>
    <t>6bffe83c-8f67-409e-8530-2b5e381d54e5</t>
  </si>
  <si>
    <t>f4a80974-d6b4-4345-8ea2-33f73de93fae</t>
  </si>
  <si>
    <t>2891b0ae-c0b3-4857-a0a1-d4f448f49081</t>
  </si>
  <si>
    <t>e8eb0b2d-fb98-40c6-bcfe-b7b5ec02d41d</t>
  </si>
  <si>
    <t>b5fcba55-8579-4ce6-a52c-8e36ee6bd14c</t>
  </si>
  <si>
    <t>7ef3a5e8-061c-4724-a099-260f77c71304</t>
  </si>
  <si>
    <t>54fa518a-f54b-49f0-a01c-28af1e0fb465</t>
  </si>
  <si>
    <t>221337a9-f0db-4266-ad6c-a98c02b48e6c</t>
  </si>
  <si>
    <t>6e724341-edce-4cfc-a33b-7edda7f7edd6</t>
  </si>
  <si>
    <t>13773431-0050-4156-9b36-9be44a2f031b</t>
  </si>
  <si>
    <t>18e17de3-512e-4d2a-ae27-3d9ea56ef9a7</t>
  </si>
  <si>
    <t>ec79abd1-022b-4736-83df-1607fce3df39</t>
  </si>
  <si>
    <t>Missing Designs: https://canva.slack.com/archives/C07076N57A8/p1765512707844119</t>
  </si>
  <si>
    <t>50691aec-9369-45ab-bed6-085dad3b4056</t>
  </si>
  <si>
    <t>9e19ded4-a0ee-42cc-a26f-274f55c15084</t>
  </si>
  <si>
    <t>b5582240-43e1-460e-b51c-366747134e5c</t>
  </si>
  <si>
    <t>319fddbc-3d03-4e7b-b4c9-20eadc7aff46</t>
  </si>
  <si>
    <t>13865371-3c65-4e7f-87c8-5a76f2e4d621</t>
  </si>
  <si>
    <t>41f43863-0f13-4027-af18-9bb05d5eef7b</t>
  </si>
  <si>
    <t>88b8207a-1ccd-4cbe-b5b3-98de6f39c7dd</t>
  </si>
  <si>
    <t>081e5700-71d6-4bb6-a17d-3802ebaf5de4</t>
  </si>
  <si>
    <t>2f32c5ff-7c1b-468f-bb49-29ab5d726304</t>
  </si>
  <si>
    <t>00292def-7551-44ab-b8e6-9e26f1831ba3</t>
  </si>
  <si>
    <t>65a6ba94-a708-484a-a126-cff83e4ec7b3</t>
  </si>
  <si>
    <t>4fa24309-29e3-4857-ac3b-b74b58eb633f</t>
  </si>
  <si>
    <t>827fbbd8-fa24-4df5-8833-19d72c3774cd</t>
  </si>
  <si>
    <t>fbc11b4c-bba4-4a72-9490-5472d5f56e07</t>
  </si>
  <si>
    <t>halfday sl</t>
  </si>
  <si>
    <t>409dd834-2a21-4d1c-97ad-5efae0aab76e</t>
  </si>
  <si>
    <t>dd7d4705-d2f3-427b-af66-dfc076f6ac95</t>
  </si>
  <si>
    <t>77a84520-07f2-4687-9126-ceccc61cc42e</t>
  </si>
  <si>
    <t>c24fd735-54a8-4d24-a911-ab21f9de45d0</t>
  </si>
  <si>
    <t>moved break due to 15 mins misc</t>
  </si>
  <si>
    <t>d022aa27-7ec0-4e71-8f82-3a74c16768c5</t>
  </si>
  <si>
    <t>267fa65c-f016-4726-9038-fc73c508ed5d</t>
  </si>
  <si>
    <t>1e2347bf-73ab-49e4-97eb-1bda7e4f5f8f</t>
  </si>
  <si>
    <t>10553da5-bc4c-4076-9195-4a8e9a6066e1</t>
  </si>
  <si>
    <t>cc892f66-fa05-420e-a182-380a1107fd92</t>
  </si>
  <si>
    <t>7f3b2d65-917a-4d76-9709-d5b0c94163c5</t>
  </si>
  <si>
    <t>14dfeac9-e092-4aba-b6cc-fbbc5cf4258e</t>
  </si>
  <si>
    <t>de281d4e-a1d5-40d3-905f-94f0f9604f0d</t>
  </si>
  <si>
    <t>f8a5f838-d8da-4aeb-80c6-085e132e8ba4</t>
  </si>
  <si>
    <t>0a9292bc-498a-4ab5-93b5-256560ba2026</t>
  </si>
  <si>
    <t>c4998471-7d6d-4d33-8c86-1d67085e156c</t>
  </si>
  <si>
    <t>163ed3de-dbe9-40b4-a6ef-332e75197cb3</t>
  </si>
  <si>
    <t>791f8c7d-f0fc-4374-a5d8-b36e48c0f106</t>
  </si>
  <si>
    <t>2ec29e6c-3879-4bdc-8152-f42e2ae11d02</t>
  </si>
  <si>
    <t>91d3b2e0-fd9f-426c-b54f-45a359dfe7d8</t>
  </si>
  <si>
    <t>e4dcfb7a-57d4-4c6e-bc1c-55f5fa904d03</t>
  </si>
  <si>
    <t>a0dad39a-e59e-435c-bbf2-d19335f2c7a7</t>
  </si>
  <si>
    <t>a0d693ad-72bc-4536-9391-fbe845798ac8</t>
  </si>
  <si>
    <t>495892b1-2a3e-4aa7-bfd4-918283165100</t>
  </si>
  <si>
    <t>7b3854e1-cf50-4238-a0ce-a95e068c10de</t>
  </si>
  <si>
    <t>34379a4c-b234-4fbc-adc7-42fc0e9ae53e</t>
  </si>
  <si>
    <t>1880807d-2d7b-42ba-95a1-49f8cd1b2a69</t>
  </si>
  <si>
    <t>84e92b09-f490-49b0-bc79-d848620a84e0</t>
  </si>
  <si>
    <t>73c56fdf-a7c9-4ffd-8dbc-1657956e5fc4</t>
  </si>
  <si>
    <t>515d8d5c-c972-483e-8e95-454662f58c07</t>
  </si>
  <si>
    <t>57ae5e62-3394-4be9-a8e8-f0d6aeade44d</t>
  </si>
  <si>
    <t>c0055cc6-ee9b-4b47-8adc-260dd2fd2518</t>
  </si>
  <si>
    <t>129f4e93-82c0-40de-9755-041c7b0225b2</t>
  </si>
  <si>
    <t>8c93bcf9-25d6-45d9-b1e2-e1be2f3b2b83</t>
  </si>
  <si>
    <t>538fc573-a178-4b9a-88cd-15bfba5c7231</t>
  </si>
  <si>
    <t>b04c08ee-0146-47cc-a6e0-dd69e1b855ce</t>
  </si>
  <si>
    <t>cca58ae1-fc63-49d9-85c7-a3415db1ea50</t>
  </si>
  <si>
    <t>1e34ea65-eafc-40a3-9e5d-ed41afc3415a</t>
  </si>
  <si>
    <t>468377f3-ae3d-4e0f-8bcc-7c7cefccdd99</t>
  </si>
  <si>
    <t>498973c5-ee82-4078-98aa-62ad1ddcfd17</t>
  </si>
  <si>
    <t>e43b0ed4-b404-4bc4-9350-bfac11ca4b20</t>
  </si>
  <si>
    <t>9c14de27-d99d-4123-b2b0-9d0573b46732</t>
  </si>
  <si>
    <t>09d2314c-32e8-4369-9df2-cb22f25cfea2</t>
  </si>
  <si>
    <t>290a5c17-e1e3-476d-aaa9-3e82a8e1f541</t>
  </si>
  <si>
    <t>0133283e-cc88-47f2-a788-3fbc0805fb89</t>
  </si>
  <si>
    <t>2db447a8-3f5f-40e2-9885-4ccebf2d8f9e</t>
  </si>
  <si>
    <t>4f5bbe9c-9268-4a69-9c2b-68bf901acf57</t>
  </si>
  <si>
    <t>a3764a56-d8b3-40ed-9664-b070c6c066b0</t>
  </si>
  <si>
    <t>28252fed-8554-4778-977e-d00e33f61fdc</t>
  </si>
  <si>
    <t>eea53334-11a0-4ca4-bd1d-924f09f7c524</t>
  </si>
  <si>
    <t>ec73ecff-d409-4eb4-89fe-3f91d6b35679</t>
  </si>
  <si>
    <t>b27450b4-852f-4914-bfbf-5fbc9d71ebc0</t>
  </si>
  <si>
    <t>f383e0d3-68d0-4b3e-8f2d-01bb59065824</t>
  </si>
  <si>
    <t>a820b656-c316-4dee-8935-07bd96ba5e1a</t>
  </si>
  <si>
    <t>cb28dabe-22df-4570-9746-de4009073012</t>
  </si>
  <si>
    <t>1ffefacf-bb08-4a06-a7d5-31c5c6e3ee50</t>
  </si>
  <si>
    <t>d2c94baf-3d80-4638-b922-6f68d360725d</t>
  </si>
  <si>
    <t>648c5f19-76a7-4b31-93d3-52f84fa765d7</t>
  </si>
  <si>
    <t>family plans</t>
  </si>
  <si>
    <t>477decf4-0c6b-4050-b306-e8d5b6cb2f1a</t>
  </si>
  <si>
    <t>1cd2f134-3b45-40d9-9c2e-99658cec1aee</t>
  </si>
  <si>
    <t>7aa8e9f0-d99d-4362-8ba2-8df3c6b117fd</t>
  </si>
  <si>
    <t>bb8a2a06-760e-4d44-9b1c-98c702efb93c</t>
  </si>
  <si>
    <t>4916abc8-0875-45a0-ac2c-62808ae7bfe5</t>
  </si>
  <si>
    <t>4fb13ca7-77be-48b9-a858-b48f2ba9e870</t>
  </si>
  <si>
    <t>family vacation (christmas celeb and brother's birthday)</t>
  </si>
  <si>
    <t>c384e21e-bdb1-4caa-972a-0ba3d906b070</t>
  </si>
  <si>
    <t>e1dd2cde-58b9-44a2-8b4a-11b0556c8636</t>
  </si>
  <si>
    <t>4a77950e-4529-4172-8a25-dc9e2f23ec62</t>
  </si>
  <si>
    <t>d266ff16-c9e2-4f79-a46d-83e93726a3e5</t>
  </si>
  <si>
    <t>64057086-0fdf-4a93-a5df-10c503c57397</t>
  </si>
  <si>
    <t>be1aa2a2-d303-45ef-9241-7b892cc0deca</t>
  </si>
  <si>
    <t>84d37c53-85a5-40dd-9fa0-cb5901251f03</t>
  </si>
  <si>
    <t>c2e36859-2bb3-4c2a-8a31-4822731db4e2</t>
  </si>
  <si>
    <t>9ed0d6f4-0e6e-4348-ac33-dc33ebe24324</t>
  </si>
  <si>
    <t>561b2a4d-6f4a-4e3a-abe5-86a7c534d0c4</t>
  </si>
  <si>
    <t>Out of town VL</t>
  </si>
  <si>
    <t>85ae6dac-33b9-4e9e-aae7-c214c89ec794</t>
  </si>
  <si>
    <t>5cfd0e2b-ed7a-4f64-9bea-f3164e7bd2e4</t>
  </si>
  <si>
    <t>a9030cac-80f4-415e-8386-f3c2d582e8f9</t>
  </si>
  <si>
    <t>bd1810eb-1574-4833-a4bb-d85b035a3af7</t>
  </si>
  <si>
    <t>8352bb10-9049-4866-90af-f1faece5921a</t>
  </si>
  <si>
    <t>9a9ba874-bbfb-44b5-8d92-4139fc4a6b14</t>
  </si>
  <si>
    <t>RCA Tracker &amp; QA CE</t>
  </si>
  <si>
    <t>4434eb6e-5f83-4a67-b481-b2bb9bd94c73</t>
  </si>
  <si>
    <t>fa00c6d7-7441-4ad5-9a0c-ed1d0fa861ce</t>
  </si>
  <si>
    <t>523f42d9-c0ed-4b7d-8eb1-13f5938d9599</t>
  </si>
  <si>
    <t>dabe507d-7ca3-471f-9e39-dc9b690539da</t>
  </si>
  <si>
    <t>6d24ef5d-1eee-42fa-8493-a5784c50177a</t>
  </si>
  <si>
    <t>c2ebd626-1f2d-41d5-9db8-38b4b0cce3d9</t>
  </si>
  <si>
    <t>30d8ee35-893d-4c47-af3d-243aceb2fb61</t>
  </si>
  <si>
    <t>f5adf2a0-7861-4cbf-ae66-ec846782ac49</t>
  </si>
  <si>
    <t>7ae46de0-ff24-4455-be5e-6624149be71b</t>
  </si>
  <si>
    <t>Team Huddle (TB used)</t>
  </si>
  <si>
    <t>faf58e76-72c2-4aae-a854-0b0d675a5319</t>
  </si>
  <si>
    <t>ec58cd6d-514d-4e54-8b28-599699e67266</t>
  </si>
  <si>
    <t>2e9acb70-1db2-45cf-892f-76bd3fe6470c</t>
  </si>
  <si>
    <t>a4d1df4c-bbf1-4d76-bb57-baf20b948fe1</t>
  </si>
  <si>
    <t>Christmas Day VL</t>
  </si>
  <si>
    <t>0736f962-f8a5-47ab-b334-f79a9dd860c6</t>
  </si>
  <si>
    <t>5c4daca0-1119-4b3a-ad9b-e256c944632d</t>
  </si>
  <si>
    <t>1e033f29-0332-494a-9c7f-d5da2b6b23f6</t>
  </si>
  <si>
    <t>8c1ac839-4e3b-4539-bb5a-871ef7d9031a</t>
  </si>
  <si>
    <t>3ec4f12e-1ac6-4a19-bd8f-eff589bfdd1d</t>
  </si>
  <si>
    <t>241e1b0e-0922-4b44-9e89-447d0d3ff56d</t>
  </si>
  <si>
    <t>1d377e30-a7fb-41ac-a923-5cbb02bc653c</t>
  </si>
  <si>
    <t>35d6a067-188e-4ab5-a9a7-706dd171b843</t>
  </si>
  <si>
    <t>3d225a38-0d2e-41fb-9ba5-9e91818caec6</t>
  </si>
  <si>
    <t>d5f344d2-c421-4edf-a961-8befb5c44062</t>
  </si>
  <si>
    <t>20f84f54-cb40-4177-b388-7d301eb84341</t>
  </si>
  <si>
    <t>4e76a148-4c4f-46d4-8311-37c626983bf8</t>
  </si>
  <si>
    <t>fd497516-832a-468d-b4cf-e531703e7792</t>
  </si>
  <si>
    <t>cace9ef2-1bbc-4b9f-85fc-fe4a17f58666</t>
  </si>
  <si>
    <t>9ea96ae6-e010-4efc-bc0d-28f065cae12d</t>
  </si>
  <si>
    <t>e31f8f6d-78e3-425b-b0b5-53e8a533e509</t>
  </si>
  <si>
    <t>9ad4a6de-da50-4448-aa98-7af1792f6fba</t>
  </si>
  <si>
    <t>87eb6037-aefc-4c38-a446-396410aebcde</t>
  </si>
  <si>
    <t>80e26f2a-4759-4142-8797-ec9e22888160</t>
  </si>
  <si>
    <t>42bfbdca-6ef8-4aff-84e8-44d58f001730</t>
  </si>
  <si>
    <t>53139981-a322-42ae-8949-591b8edf9429</t>
  </si>
  <si>
    <t>aea0a9a7-365e-4c5c-b3d8-91c59d855430</t>
  </si>
  <si>
    <t>6c3b81a8-bb5d-40a9-aadd-753c9a310097</t>
  </si>
  <si>
    <t>3dac6473-b380-4891-866d-f6e2ffe8cba7</t>
  </si>
  <si>
    <t>75aaf675-bc5b-46a3-9eae-e76e27a9f234</t>
  </si>
  <si>
    <t>2d2848d5-abc4-4210-9082-974eca66cab1</t>
  </si>
  <si>
    <t>68ad3ebf-c816-420f-9571-a5357227f7d4</t>
  </si>
  <si>
    <t>dc65c435-8b54-4fe6-b7ba-87049f79b017</t>
  </si>
  <si>
    <t>9eef73ac-a292-4b6a-a18e-6348ab4d1259</t>
  </si>
  <si>
    <t>4a6bf377-fe56-4f4d-affe-4bf5a1143340</t>
  </si>
  <si>
    <t>d9c2f461-f764-49b5-b53f-45fabb2e97fc</t>
  </si>
  <si>
    <t>9718ac2f-72e2-4ffa-9068-88a61455ca12</t>
  </si>
  <si>
    <t>eee3359b-e3de-4b0a-bbed-ef6066fa5f31</t>
  </si>
  <si>
    <t>4f3a8130-d758-4d6e-812c-84546fb69546</t>
  </si>
  <si>
    <t>2bf08673-6391-4058-b544-916d4647af67</t>
  </si>
  <si>
    <t>67e85a8f-19c5-4980-8634-21f7361d9a41</t>
  </si>
  <si>
    <t>991e6852-fe72-4895-a0fa-6f381afee2f6</t>
  </si>
  <si>
    <t>c7f4346c-a51a-4095-9716-f6f9c346402a</t>
  </si>
  <si>
    <t>497c1773-b30e-43c3-941c-6c005d23ca2d</t>
  </si>
  <si>
    <t>512318ca-897e-4cf5-95af-e7174985f893</t>
  </si>
  <si>
    <t>Sister's aiant'l visit</t>
  </si>
  <si>
    <t>eceffc37-1432-476f-8ba6-554a802533e6</t>
  </si>
  <si>
    <t>60b12dcb-d21e-4474-bf07-233fff175cdf</t>
  </si>
  <si>
    <t>9c775284-6150-4f2a-a753-7f96bfc33b3f</t>
  </si>
  <si>
    <t>ddef8a51-15b6-4bb2-bac6-edd164ae000c</t>
  </si>
  <si>
    <t>34c174c6-dc34-4839-a84c-d0dde5bf2787</t>
  </si>
  <si>
    <t>approved pre-plotted leave https://canva.slack.com/archives/C070U60MJL8/p1765960190514509?thread_ts=1758153551.828079&amp;cid=C070U60MJL8</t>
  </si>
  <si>
    <t>9aa355a6-9ba4-47e6-9140-214f88ac5dde</t>
  </si>
  <si>
    <t>54084e2d-ab6d-4a4b-994e-d182a9b52951</t>
  </si>
  <si>
    <t>b0101f98-4110-41a4-a4ac-a0a74dbed188</t>
  </si>
  <si>
    <t>5a32e876-54cd-4764-b9cf-705834d6fd0d</t>
  </si>
  <si>
    <t>9627df47-a40e-46a7-9ffb-e58903fd9d7e</t>
  </si>
  <si>
    <t>e3a30d4c-9f1e-429a-a184-bca85144e2e0</t>
  </si>
  <si>
    <t>43a975f6-9721-463d-9499-2531b792a329</t>
  </si>
  <si>
    <t>8d355b60-0d28-487f-8690-4f9885b02271</t>
  </si>
  <si>
    <t>e91bede6-1140-472c-b3d8-51b239506264</t>
  </si>
  <si>
    <t>cc3fec7f-5223-4a54-9437-1fbfa121942c</t>
  </si>
  <si>
    <t>35d7f36c-74f0-413f-a013-d49c22dc1e63</t>
  </si>
  <si>
    <t>25860a2c-15a5-4a43-b797-1e7c44699861</t>
  </si>
  <si>
    <t>b4f017f7-060d-44b7-ba5a-de469e35416b</t>
  </si>
  <si>
    <t>1912356c-2667-419a-b2d7-773f27364ac0</t>
  </si>
  <si>
    <t>79d2cd2a-8206-4407-bb6c-50f9d720cb0c</t>
  </si>
  <si>
    <t>2f21d102-d157-4e6d-a89f-944ec13c1b73</t>
  </si>
  <si>
    <t>08193e52-74ed-4efe-b481-04df35bbc7a1</t>
  </si>
  <si>
    <t>d085a823-03c2-4519-8b2f-5807ce9aa05a</t>
  </si>
  <si>
    <t>43f9c34e-90d3-44c6-b377-bd9ec5dd1473</t>
  </si>
  <si>
    <t>a398a1b8-8346-422a-a5fa-db8c1f47f5e3</t>
  </si>
  <si>
    <t>Coaching - DSAT reviews</t>
  </si>
  <si>
    <t>22e96e48-1585-40ed-8a63-a65ac56280b4</t>
  </si>
  <si>
    <t>00acccc4-ace7-4b1a-9657-fe75e681e2a5</t>
  </si>
  <si>
    <t>71eb534b-1493-4d4b-ab26-23eebefb85dc</t>
  </si>
  <si>
    <t>7283a8d4-80b4-4a56-aee7-de0b42f02ea8</t>
  </si>
  <si>
    <t>7ae9c2b1-757a-49ac-bfd7-a86823918c9a</t>
  </si>
  <si>
    <t>HOLIDAY LEAVE</t>
  </si>
  <si>
    <t>7e5ee95c-b99c-4f76-beb3-382c408fa970</t>
  </si>
  <si>
    <t>210e05a3-601d-4358-b981-9686c1705904</t>
  </si>
  <si>
    <t>c49fe71b-7676-460c-918e-8b12e25de856</t>
  </si>
  <si>
    <t>34f4ac76-29ad-447d-b5af-1304378ba0c0</t>
  </si>
  <si>
    <t>2d37cd94-a096-404a-8105-3964891c7336</t>
  </si>
  <si>
    <t>1d766607-78c7-40bf-a330-696f24f8e1c2</t>
  </si>
  <si>
    <t>d868d5b9-0c3d-48a0-ada3-406304ca98d0</t>
  </si>
  <si>
    <t>20d9c1ed-b789-48f7-a4b3-425505d1d8eb</t>
  </si>
  <si>
    <t>03008280-d5e3-44a8-b993-54dae0bd65bb</t>
  </si>
  <si>
    <t>d57be012-3689-44d7-b8cf-709aacd9f1bb</t>
  </si>
  <si>
    <t>c1bffc4a-4450-4e18-9ee6-a72d06b63847</t>
  </si>
  <si>
    <t>a602f393-a4e0-43e4-b7ad-a8cc7f4ca4f5</t>
  </si>
  <si>
    <t>d8cce363-aaf1-48d0-8447-9f76ff3727c7</t>
  </si>
  <si>
    <t>9360015f-9d53-4c43-9a65-96d3015dc0e5</t>
  </si>
  <si>
    <t>c4b5038f-37c9-49b8-9d01-9aadb99c04e8</t>
  </si>
  <si>
    <t>3603c76d-f790-4690-9c87-16904f6f39b8</t>
  </si>
  <si>
    <t>f4f3cb9a-18c7-44bb-a4ae-275740105493</t>
  </si>
  <si>
    <t>4690cae4-31d2-448b-8ee4-541444f6f5e9</t>
  </si>
  <si>
    <t>d696106e-de08-4c7f-acee-013fec045caf</t>
  </si>
  <si>
    <t>5e11db6c-9c87-4f2d-9dfe-7fa2e5af590a</t>
  </si>
  <si>
    <t>d734bdd5-eccd-4f1a-8bb1-f7c1686c658a</t>
  </si>
  <si>
    <t>ec55ad15-1b06-41d8-9443-0eaca7a2f8db</t>
  </si>
  <si>
    <t>9b101fb2-176f-4a07-9921-6ae278731efe</t>
  </si>
  <si>
    <t>2ddc0bab-d713-4186-a412-292900fd7803</t>
  </si>
  <si>
    <t>a21ed99c-ed47-43f1-bd36-7acd8237e611</t>
  </si>
  <si>
    <t>37e4cc1f-ce3a-4e1e-ad45-35ca54a14980</t>
  </si>
  <si>
    <t>vacation leave</t>
  </si>
  <si>
    <t>4f4fa66c-a065-497a-a143-e4a8189aefa5</t>
  </si>
  <si>
    <t>a1a1bd9b-1df6-4584-9471-d7d462a45335</t>
  </si>
  <si>
    <t>c0fa8c22-9add-4021-8764-97d08e2d2e00</t>
  </si>
  <si>
    <t>f00eb5f9-f266-4105-a9b2-8b4b4e576dcd</t>
  </si>
  <si>
    <t>9e37edd3-a146-4503-b8f3-f2a8d609ad3e</t>
  </si>
  <si>
    <t>2acd0e36-f1e0-4065-b92c-96757efc5ed0</t>
  </si>
  <si>
    <t>f54b41b3-5a70-4012-8c3b-61dc77bf974d</t>
  </si>
  <si>
    <t>c69be491-871f-46ab-845d-c027fd78d522</t>
  </si>
  <si>
    <t>cdbaf1d3-cbba-4631-a607-c42f44adfed9</t>
  </si>
  <si>
    <t>cd3e6995-e96b-4e24-867b-ab6ff9ad1d2a</t>
  </si>
  <si>
    <t>e3586034-8005-415d-b7d7-8a6837f1ba91</t>
  </si>
  <si>
    <t>annual leave
WFM deferred to Coach Belle for approval &gt;&gt;&gt;https://canva.enterprise.slack.com/archives/C05A76H5FUM/p1766043157179369</t>
  </si>
  <si>
    <t>0af4b2b0-e5fa-45ac-b525-d5f8a5cabeb3</t>
  </si>
  <si>
    <t>2e25953d-98fd-4f80-85ea-72914937f430</t>
  </si>
  <si>
    <t>b4418d87-c84a-4b9c-86d5-b4f630e0d2c5</t>
  </si>
  <si>
    <t>21ab0451-ba87-4586-badf-e8c3459fe5c9</t>
  </si>
  <si>
    <t>7ebc88b7-6edb-4065-9f5f-befcf0973227</t>
  </si>
  <si>
    <t>54934544-998d-48f4-b9a3-cc5bc87dfb07</t>
  </si>
  <si>
    <t>b4196b6e-2a68-459e-8932-d6dca0d84f68</t>
  </si>
  <si>
    <t>8a46e7b0-47c4-4bb9-ac90-2e0fa7f9cdd4</t>
  </si>
  <si>
    <t>f1d32561-1c69-4810-a3c3-dbe204fc5d74</t>
  </si>
  <si>
    <t>cb608ffd-8d3c-42ee-bc27-c518546d76e8</t>
  </si>
  <si>
    <t>when to edit cal responses : https://bpos.canva.site/when-to-edit-cal-responses</t>
  </si>
  <si>
    <t>862579c6-707d-4dca-8219-0571e11e14d8</t>
  </si>
  <si>
    <t>aafb6b8e-e3f4-4a06-9e23-0e336d1e9139</t>
  </si>
  <si>
    <t>c03dd17a-8c36-46f5-94a5-5a167c2014b3</t>
  </si>
  <si>
    <t>Request for scheduled Meal time to be adjusted and be taken after my scheduled break</t>
  </si>
  <si>
    <t>8c6d6325-0d3b-4d01-9c44-3bdd8865d982</t>
  </si>
  <si>
    <t>3053337a-6193-4247-8f06-eb20d40c7605</t>
  </si>
  <si>
    <t>b773053c-7d7e-4304-94fe-404354418f38</t>
  </si>
  <si>
    <t>Request for scheduled break to be moved and adjusted connected to adjustment of meal time</t>
  </si>
  <si>
    <t>dfe9d2d4-2663-42a1-a7da-14afa4379ec4</t>
  </si>
  <si>
    <t>af52acb5-005c-447e-a668-0a5f4b71d71a</t>
  </si>
  <si>
    <t>04ce68a8-4bb5-4994-8d7e-459050253cd1</t>
  </si>
  <si>
    <t>ac359d9c-d264-47d9-917c-3b8e391ebddb</t>
  </si>
  <si>
    <t>e2ea08fa-e8da-447d-9105-b223e1c30ba1</t>
  </si>
  <si>
    <t>dc78be87-d7f8-43b0-b589-f903b9929350</t>
  </si>
  <si>
    <t>ad8ad282-567e-45aa-a2bd-9810a7056b6f</t>
  </si>
  <si>
    <t>f787bbb2-77d6-43c5-8583-b449f2865b49</t>
  </si>
  <si>
    <t>60f6c53b-db9c-4bd3-aae2-41f83964ecfe</t>
  </si>
  <si>
    <t>d3e3d5c1-f921-4bf4-8f90-d034daca0179</t>
  </si>
  <si>
    <t>e853433f-c140-4463-9cef-ca4a6b14421c</t>
  </si>
  <si>
    <t>96d0560c-0bfc-4934-8c08-794ec51a60c0</t>
  </si>
  <si>
    <t>c9dcb718-17d4-48ce-ba1c-7413aa169d5b</t>
  </si>
  <si>
    <t>ee9cbe30-f735-44b5-b225-35eb535e331f</t>
  </si>
  <si>
    <t>When to edit CAL responses</t>
  </si>
  <si>
    <t>18852e33-365d-4575-a82f-369a9169ba07</t>
  </si>
  <si>
    <t>3156b829-5a09-421f-a349-1ac311bde746</t>
  </si>
  <si>
    <t>995cba4e-2439-4129-b4ad-8a535116068e</t>
  </si>
  <si>
    <t>fb541bad-97d5-4814-9f0d-f6459d017144</t>
  </si>
  <si>
    <t>c1a22b7e-b5b2-47c0-9ff6-826918881172</t>
  </si>
  <si>
    <t>e2255004-a5e5-4661-b0de-47dee27bbe8c</t>
  </si>
  <si>
    <t>a14d7cbd-49c8-4aa6-8427-3e45e066208d</t>
  </si>
  <si>
    <t>06629f7f-2519-41f8-9651-7be8335542a1</t>
  </si>
  <si>
    <t>b6e1c0de-f7d5-4a06-ba4f-a50c97122462</t>
  </si>
  <si>
    <t>5ee30868-0b49-43fb-8a74-da1fbb96f850</t>
  </si>
  <si>
    <t>30883900-5d32-4bc9-943d-f51bb38b68ed</t>
  </si>
  <si>
    <t>f8846800-dbe0-450d-8d35-2a20fd77cf4c</t>
  </si>
  <si>
    <t>99ae88e4-3095-454c-b22e-a10fec84d3f5</t>
  </si>
  <si>
    <t>32b71b06-0d6c-4dc1-b1e6-72a1e39d2a5b</t>
  </si>
  <si>
    <t>d70d983a-40a6-4a13-8c04-7eafa94a6bb4</t>
  </si>
  <si>
    <t>7962677d-29d9-448d-9542-f44f8a234ffc</t>
  </si>
  <si>
    <t>d3ad56d7-7dcc-433e-980b-44eb7f8881be</t>
  </si>
  <si>
    <t>28ec593c-2629-4879-a576-fd33a7e1208b</t>
  </si>
  <si>
    <t>6d0cabbf-c4af-4c13-bfee-12691e57c12b</t>
  </si>
  <si>
    <t>c380ec61-c283-4b75-beb4-ee43be940874</t>
  </si>
  <si>
    <t>1a4d446e-2d95-44a8-bdcc-22b6c9ebabfc</t>
  </si>
  <si>
    <t>e00c6306-c421-41ed-8cec-2b231b6f9d9b</t>
  </si>
  <si>
    <t>d30400dc-dbcf-498c-9ac3-9f0763a2abd1</t>
  </si>
  <si>
    <t>08d1f859-dc34-4d72-b79e-a562f56f2ec0</t>
  </si>
  <si>
    <t>13bbdd9f-194a-4d9f-9e70-ade60d171443</t>
  </si>
  <si>
    <t>6a9d655c-dc73-450f-8cf2-c3d2b0e302b6</t>
  </si>
  <si>
    <t>f19254d0-86a2-4f2e-a4b6-5618e42a8c42</t>
  </si>
  <si>
    <t>2a161d7b-b79f-46f9-ac5f-3d9a3cab54aa</t>
  </si>
  <si>
    <t>68fbbf6f-215c-4f00-bd18-0ba80c1592c2</t>
  </si>
  <si>
    <t>7a211edb-d760-4de8-8789-e07f69f71395</t>
  </si>
  <si>
    <t>7e0ae6b9-3b7c-45b8-bc5a-d8f2a7a5bd28</t>
  </si>
  <si>
    <t>652ce655-42a6-4745-9593-9a6d658a2bd9</t>
  </si>
  <si>
    <t>2ad73754-8987-4231-aa22-9f506d044421</t>
  </si>
  <si>
    <t>e11169c3-e62a-4ced-a25c-acf8a56906ea</t>
  </si>
  <si>
    <t>3d5ffce8-a9f7-4766-ab6f-b8e9bfbae39b</t>
  </si>
  <si>
    <t>6b3e5558-d70d-4fec-8a60-c3e0add9586b</t>
  </si>
  <si>
    <t>f1d96d41-2c48-43f9-a75d-1a90bd8341c2</t>
  </si>
  <si>
    <t>fac09512-edec-4250-a4df-f06a96816e5f</t>
  </si>
  <si>
    <t>adcc562a-5936-4236-b037-84a0006e2ff6</t>
  </si>
  <si>
    <t>5e178622-18ae-40d7-81a5-2fb107ea426d</t>
  </si>
  <si>
    <t>698ddfc2-91b3-4148-a356-0401b34ff062</t>
  </si>
  <si>
    <t>7099face-d381-44ed-8378-6198fc67891e</t>
  </si>
  <si>
    <t>a32b6cf8-36ea-438e-a66a-a6d02c51fde3</t>
  </si>
  <si>
    <t>25463000-9daf-4431-88e6-c96ce54b2efb</t>
  </si>
  <si>
    <t>dbe04afd-65a5-4520-8cf4-a35c78039356</t>
  </si>
  <si>
    <t>d6a12b8e-25f4-4826-afe4-cee5130912cb</t>
  </si>
  <si>
    <t>c0523fbb-f372-44be-87c4-654332dc9a17</t>
  </si>
  <si>
    <t>2109c58c-66cb-4337-be0a-584df9a125b7</t>
  </si>
  <si>
    <t>9a892a2c-67bb-4cfc-a534-e40ce181f701</t>
  </si>
  <si>
    <t>40c77354-61a6-4ffd-b8ff-5c1bb713e193</t>
  </si>
  <si>
    <t>04b61838-d828-45a7-b018-e3fa22c61a7a</t>
  </si>
  <si>
    <t>f97773f0-dc91-47fe-a2dc-896d4d943159</t>
  </si>
  <si>
    <t>1b1d7945-c94e-4e8c-9a8c-49946d058cc1</t>
  </si>
  <si>
    <t>7b187e98-912a-4cc4-b546-6b9fff7b4b2c</t>
  </si>
  <si>
    <t>44df6034-7014-4574-bd45-58c20b3853c7</t>
  </si>
  <si>
    <t>c143ade6-18dc-4444-83fc-6f749d164252</t>
  </si>
  <si>
    <t>e45b202b-93d0-4b02-993b-7ae2c44d9b67</t>
  </si>
  <si>
    <t>c40ca16a-f846-495a-bfd2-b1fd686fc6a6</t>
  </si>
  <si>
    <t>f4b373fb-3bd0-4500-981d-04141b9644d7</t>
  </si>
  <si>
    <t>New Missing Design Workflow for APS</t>
  </si>
  <si>
    <t>213d3660-5026-4dfe-b28f-65a39588cd66</t>
  </si>
  <si>
    <t>93acef3a-f87f-40e9-83ce-fc16772f7551</t>
  </si>
  <si>
    <t>6a110120-ac7a-4a1c-b3c1-24d71b72f1d0</t>
  </si>
  <si>
    <t>084d1d1c-0f02-48c6-a7f4-04575d552df6</t>
  </si>
  <si>
    <t>Overlapping break with another team member.</t>
  </si>
  <si>
    <t>936d0c3f-e9b5-455b-9671-a2f5493dab8d</t>
  </si>
  <si>
    <t>4eb4e0d7-09d4-424c-bae2-1d4f1617aca4</t>
  </si>
  <si>
    <t>a88d5cdd-79fe-4a8e-8a2b-32a57682030c</t>
  </si>
  <si>
    <t>Family gathering on Christmas day</t>
  </si>
  <si>
    <t>f342da88-cc80-4ad5-b1f3-2d572ac96fb1</t>
  </si>
  <si>
    <t>6c4ef54e-c3cc-4c1e-be06-b08acf3da59d</t>
  </si>
  <si>
    <t>7c8f6778-bee0-4d91-9bf6-60152e5315d1</t>
  </si>
  <si>
    <t>1de98b5f-3e59-4334-b2d5-7d67d3b91484</t>
  </si>
  <si>
    <t>bfb1167b-7d7a-4de8-9574-25576f4fca8e</t>
  </si>
  <si>
    <t>baabbe95-a411-4da0-822a-7907f2daf110</t>
  </si>
  <si>
    <t>bd47d110-9359-47ab-b014-d1aff21b935c</t>
  </si>
  <si>
    <t>eaeb20ab-e0df-4a3d-9cd6-7bc8699b0136</t>
  </si>
  <si>
    <t>725e93f5-27a6-45c4-89b6-9d25b81f6057</t>
  </si>
  <si>
    <t>98c6f3d0-9527-413c-9692-8ea1ead09323</t>
  </si>
  <si>
    <t>db628619-3d90-4b0b-8e2c-2b203f951952</t>
  </si>
  <si>
    <t>1bcf5a37-5530-44b7-8273-4ae3c7ea10b3</t>
  </si>
  <si>
    <t>95f66746-a159-4d68-8288-c6c5aef9da80</t>
  </si>
  <si>
    <t>b57b0069-1640-4d5c-8c1b-46538f4f4025</t>
  </si>
  <si>
    <t>421f2007-43b7-4718-b11f-af17242dbb3d</t>
  </si>
  <si>
    <t>3d470675-1754-4feb-a91f-dabb03bf82ca</t>
  </si>
  <si>
    <t>0408cc9f-db49-4776-98a2-8ec57bece19b</t>
  </si>
  <si>
    <t>33ed97f0-575f-492a-a0e0-099c78835612</t>
  </si>
  <si>
    <t>c2f577da-5dbc-4464-b1ec-7beaa3a5f4c4</t>
  </si>
  <si>
    <t>7738a7ec-825e-4b4f-893e-c84af60eff7a</t>
  </si>
  <si>
    <t>36abfd17-5d01-48da-9853-965648d58f20</t>
  </si>
  <si>
    <t>e98fafbe-bb5d-45db-ab9c-02ddd684efe5</t>
  </si>
  <si>
    <t>04e3308b-d7af-4262-83a8-a67a25e851d2</t>
  </si>
  <si>
    <t>79190580-7259-4e82-b73f-0bc15b49e3ad</t>
  </si>
  <si>
    <t>e5c50954-4495-4799-bd95-29d1ea893fa6</t>
  </si>
  <si>
    <t>e35efba1-1e44-4336-86cf-4591c6fc8580</t>
  </si>
  <si>
    <t>189f8c45-4674-4cc9-a791-ea1847800391</t>
  </si>
  <si>
    <t>7a138c3c-f509-42b8-bc73-785d4bd1642a</t>
  </si>
  <si>
    <t>a3eeab46-2379-4a69-ad8a-befe660a9f5c</t>
  </si>
  <si>
    <t>4286dec7-c8e9-43c0-8c57-c6427c82970b</t>
  </si>
  <si>
    <t>60ebcef3-e71b-4885-88de-d5463c36d47c</t>
  </si>
  <si>
    <t>bbd8c2bb-98fd-42d4-b614-4c9df93f38ee</t>
  </si>
  <si>
    <t>9f3030a0-8c48-46b6-8027-2465bfc95dc8</t>
  </si>
  <si>
    <t>44aa9912-1c0a-4fd0-a964-22fe22e35fb1</t>
  </si>
  <si>
    <t>868893cf-1d4b-4902-97f2-b255f281ef39</t>
  </si>
  <si>
    <t>39657af5-a464-4583-9062-4f283f034560</t>
  </si>
  <si>
    <t>4f7544b4-6a02-4c8b-ae95-e51446a58e88</t>
  </si>
  <si>
    <t>4603e2d8-bbc2-497b-8f0c-320c54930570</t>
  </si>
  <si>
    <t>c3003aa8-8e7c-4df3-9833-8e5914bf944b</t>
  </si>
  <si>
    <t>92978f24-7fe9-4d82-a5a3-6fc994671d28</t>
  </si>
  <si>
    <t>bb48f4b4-4dce-4683-a95e-41f8b51a20b6</t>
  </si>
  <si>
    <t>f84aa6c2-a022-41a4-a61e-d208a1b284d0</t>
  </si>
  <si>
    <t>00e45fe9-2f00-48cf-b826-b05845549d9f</t>
  </si>
  <si>
    <t>4d2b42be-4299-4e85-a84d-622dd1d69eff</t>
  </si>
  <si>
    <t>a531e6a0-79d6-4294-baea-2d5b2a4ce3ff</t>
  </si>
  <si>
    <t>50516400-8b26-4133-b7f7-dc853d62b18a</t>
  </si>
  <si>
    <t>2fff7462-d8c3-43d5-9d44-83a996cc01f7</t>
  </si>
  <si>
    <t>8585c95e-bf8a-4907-90fc-d3e675080861</t>
  </si>
  <si>
    <t>f3f2a081-d7f0-4771-ba64-b70da9c183b1</t>
  </si>
  <si>
    <t>294c2808-81ee-46b0-92b9-6def0913d068</t>
  </si>
  <si>
    <t>3cb9656f-88c5-43d2-8d71-2f27446a4eb6</t>
  </si>
  <si>
    <t>01bf96a7-1769-4529-9fbe-64ac65b6831d</t>
  </si>
  <si>
    <t>a312bf9c-71f8-4995-afb5-c034331008ce</t>
  </si>
  <si>
    <t>d2b9cdd9-d7ee-4921-92c9-7b9213347463</t>
  </si>
  <si>
    <t>121c9f80-7b2f-4db8-a574-7ccf68cb0bbb</t>
  </si>
  <si>
    <t>9df5c3ec-69bb-48cd-bdff-55d176d47d7c</t>
  </si>
  <si>
    <t>ded3ed0b-0c95-40dc-af36-23cc4fdf11eb</t>
  </si>
  <si>
    <t>5c1ab70d-a020-43a7-a06c-ab75ed95bb6f</t>
  </si>
  <si>
    <t>27ffa5a4-dd50-4032-a303-2de8a5415c6a</t>
  </si>
  <si>
    <t>0c359ac1-bce8-4a34-b024-3efc1c5144ad</t>
  </si>
  <si>
    <t>590313a2-c734-44b9-bda8-ab79bdb65927</t>
  </si>
  <si>
    <t>fab387e3-daa6-42b5-abdd-972fa1580c5a</t>
  </si>
  <si>
    <t>f7966a28-87a3-44d6-8fea-06253f81efa7</t>
  </si>
  <si>
    <t>45714de9-c8bc-4ee7-bd99-b048b2d75518</t>
  </si>
  <si>
    <t>b8d790b7-b956-41f0-8431-28c295757214</t>
  </si>
  <si>
    <t>14239922-3e8b-4523-9684-1d74ea6aff5b</t>
  </si>
  <si>
    <t>58a01f1c-b9b6-4e4c-bf30-b764dd21df93</t>
  </si>
  <si>
    <t>2e4023a7-7bec-4217-a841-42b15b82142d</t>
  </si>
  <si>
    <t>74e9062e-8f37-4ee4-87c0-2dde375d3bb3</t>
  </si>
  <si>
    <t>930fa691-56d6-4c8d-8ffb-b40fa43ff83d</t>
  </si>
  <si>
    <t>0b74675d-6650-45a9-bcdd-f96c084e9db1</t>
  </si>
  <si>
    <t>0960cd4d-26a1-4fcd-a926-f06de7f01707</t>
  </si>
  <si>
    <t>27ca3794-12b6-4bfc-9e5e-e7d84c272423</t>
  </si>
  <si>
    <t>fb48832c-44e5-47d7-89a9-dc903ff5b9bd</t>
  </si>
  <si>
    <t>941c5778-c8dd-4d46-9264-b20f4158c109</t>
  </si>
  <si>
    <t>58a42540-95e0-48da-b360-f70463609def</t>
  </si>
  <si>
    <t>f26f26b1-bc9d-4fb0-a87f-6af93071e65c</t>
  </si>
  <si>
    <t>140b50d3-49e9-4c6e-afed-e1b3240b9598</t>
  </si>
  <si>
    <t>4678ea46-20eb-4bc8-bf7b-dccb4a605ef3</t>
  </si>
  <si>
    <t>5a9b6752-f350-4802-aea2-3f7ba59a87ac</t>
  </si>
  <si>
    <t>a7f99051-39a6-4ef1-81a4-b71e65b1ccd8</t>
  </si>
  <si>
    <t>f24ff951-6b14-4f12-aaaa-43ad6c6aa815</t>
  </si>
  <si>
    <t>4d191035-4280-480e-b913-7d8fa03be4ed</t>
  </si>
  <si>
    <t>074dd51a-e505-4828-893d-4ebaa374d9fe</t>
  </si>
  <si>
    <t>1f3c68bd-7276-4db6-a546-ccc0b7a986fe</t>
  </si>
  <si>
    <t>405c63a4-b705-40e8-a65f-3293099d154c</t>
  </si>
  <si>
    <t>6bee084b-4fd5-4e7f-b78d-e9dae656f5de</t>
  </si>
  <si>
    <t>e69c475e-11c9-4ace-8c60-5ab906e0d651</t>
  </si>
  <si>
    <t>17ffd0f3-dd46-48bd-ab9e-3a99cb9701d8</t>
  </si>
  <si>
    <t>b0e3225d-1cbe-4329-aa5b-3e54120495c2</t>
  </si>
  <si>
    <t>e346c26d-a79c-43e7-ba86-c69ab9b9e2ff</t>
  </si>
  <si>
    <t>New Process for Threats of Harm &amp; When to Edit Cal's Responses</t>
  </si>
  <si>
    <t>913f0d7d-a5ba-4bc3-9d8c-a040565d9941</t>
  </si>
  <si>
    <t>a6872dcb-e6ad-46c9-9625-941ef336ce43</t>
  </si>
  <si>
    <t>7f3e5c7f-bee6-4233-8c29-27d727a05e5c</t>
  </si>
  <si>
    <t>fb0c8816-fdb5-423c-a17d-33aea2f35b3f</t>
  </si>
  <si>
    <t>1275374e-2fa9-4d9a-8ded-9387e9ba9b7c</t>
  </si>
  <si>
    <t>Kaizo Customer Experience Review</t>
  </si>
  <si>
    <t>a0d53f91-9691-428e-80a9-520e4bb0e71f</t>
  </si>
  <si>
    <t>6e0b103c-e861-4b5d-a5eb-f7926ffaf367</t>
  </si>
  <si>
    <t>c5bf6177-dbf4-491b-bb56-91d8582b3d5e</t>
  </si>
  <si>
    <t>07a95e37-45d3-466f-8f7e-e9d9d1424303</t>
  </si>
  <si>
    <t>434edea6-f7c0-4311-a0ee-bb5ae549cb1f</t>
  </si>
  <si>
    <t>0a7f6a9b-efdc-43cd-bb4d-54c52858273d</t>
  </si>
  <si>
    <t>ac09a7ec-1a58-4a67-be28-6831fbd5d7ac</t>
  </si>
  <si>
    <t>1e06a2c6-d8ff-4c31-8f1f-7617a3f4a3e8</t>
  </si>
  <si>
    <t>91a5cfac-6a23-4ca8-8842-4e774d735d6c</t>
  </si>
  <si>
    <t>edaf53ad-cdf4-49c3-b6a5-27afaa2106ad</t>
  </si>
  <si>
    <t>a48b76e1-cafa-4d08-9231-10f55b4a1bb6</t>
  </si>
  <si>
    <t>e39756b1-e195-4e27-9958-6ba022916010</t>
  </si>
  <si>
    <t>56564b9e-f851-4741-82be-6b6351bd601f</t>
  </si>
  <si>
    <t>40d3a226-78d7-4849-81e6-447e0f498b2a</t>
  </si>
  <si>
    <t>d4723ea7-e6b2-4d3e-9cb3-d709f87dcf8c</t>
  </si>
  <si>
    <t>d747c29a-db70-4685-b489-e86f49a77f80</t>
  </si>
  <si>
    <t>4d6045c8-15e8-44db-a07c-37eeb06a67b8</t>
  </si>
  <si>
    <t>f1d7ad0d-7bcd-4330-8868-6ae4fadff191</t>
  </si>
  <si>
    <t>2d88bfa2-e86b-4470-bc1e-d9c8bb2b2409</t>
  </si>
  <si>
    <t>dfd6a111-7c09-4bf5-bee7-89d16caa4dcf</t>
  </si>
  <si>
    <t>1446f616-eed2-4c28-a798-dc2c8bc12b7b</t>
  </si>
  <si>
    <t>deb8cdd6-06fa-4be9-93d5-a5736f8f6f20</t>
  </si>
  <si>
    <t>fb8b3b21-c74d-4c33-a0aa-b9d083dbc200</t>
  </si>
  <si>
    <t>13ebc42a-03fd-46d1-aa16-54f5922518da</t>
  </si>
  <si>
    <t>b7919294-ad72-438d-93e0-fa9fde534c48</t>
  </si>
  <si>
    <t>Holiday Leave approved by Coach Mix</t>
  </si>
  <si>
    <t>HL</t>
  </si>
  <si>
    <t>97f097f8-ea10-46df-87c2-e488f06d6986</t>
  </si>
  <si>
    <t>c77cc032-55e1-4d43-ac3e-3b71641fc3b6</t>
  </si>
  <si>
    <t>eb1ba3a3-e159-44bf-a74c-17fd25c3534a</t>
  </si>
  <si>
    <t>a466dad1-ddfb-4b27-8ef8-5aa1e77ae469</t>
  </si>
  <si>
    <t>6833d65f-d438-400a-bfa6-7ca849efd761</t>
  </si>
  <si>
    <t>85232928-96b2-4d87-8e91-6b3151e74466</t>
  </si>
  <si>
    <t>1cd49174-4098-41bc-a215-9e16c70c149c</t>
  </si>
  <si>
    <t>7283b573-d78b-4e72-8a4d-9affb72e709d</t>
  </si>
  <si>
    <t>6769f338-bb94-4021-8b96-71a5d5b64a58</t>
  </si>
  <si>
    <t>cfc51b82-13e5-481c-81c2-3e4edc2c4484</t>
  </si>
  <si>
    <t>bde9b1dc-ae0e-458e-95ab-8c95f2f7f28b</t>
  </si>
  <si>
    <t>6275579c-f110-47a9-ae08-0b9e57055897</t>
  </si>
  <si>
    <t>59889e26-2ed3-4834-854b-3bd744eed7c8</t>
  </si>
  <si>
    <t>b07959c1-7d97-4670-b7f5-075e7785d0e1</t>
  </si>
  <si>
    <t xml:space="preserve">Training | Handling Missing Designs Update
</t>
  </si>
  <si>
    <t>150dfe29-afe0-4f1c-9de3-2d8765a8b29d</t>
  </si>
  <si>
    <t>5fc5d113-66b3-4cb6-baf8-35f42766681a</t>
  </si>
  <si>
    <t>3ebe988a-ad92-47c7-90e2-9f8fa28ad28b</t>
  </si>
  <si>
    <t>dc06c2fc-0277-4a93-8ca0-7e3139f176a9</t>
  </si>
  <si>
    <t>ffe0d34c-893c-4dc4-b06b-af023ffe1695</t>
  </si>
  <si>
    <t>e57d2d0b-b01c-42a6-87e6-fb0b7f9ed4ad</t>
  </si>
  <si>
    <t>51517d74-fc47-4084-9cba-d8b7c2930d79</t>
  </si>
  <si>
    <t>bb5ac8bb-aba3-43d1-952c-59c5ec342c35</t>
  </si>
  <si>
    <t>98875c24-6fb9-4b9b-81bf-f5f99e79df21</t>
  </si>
  <si>
    <t>266b53f2-1115-442d-a36c-420ec8eb39b7</t>
  </si>
  <si>
    <t>56e45c95-351d-45bb-9df6-85fa75e920a7</t>
  </si>
  <si>
    <t>84e5f1fa-6705-4bcc-87b9-0b7c1a225282</t>
  </si>
  <si>
    <t>3ee4c087-33e1-49a3-93e6-efa77fe0c158</t>
  </si>
  <si>
    <t>beb762ea-c0ac-462e-81a2-5e97d575439e</t>
  </si>
  <si>
    <t>58ae1004-6021-45b9-880f-d3360796583a</t>
  </si>
  <si>
    <t>33e26409-1873-488a-8742-d466e858d4bc</t>
  </si>
  <si>
    <t>c1660514-d1d3-4002-b6c4-3e9e8586fb1c</t>
  </si>
  <si>
    <t>7d87d176-4d99-422d-94cd-166624ec2f7d</t>
  </si>
  <si>
    <t>af061bf3-8f16-44e0-925b-bc4c7fc0edc2</t>
  </si>
  <si>
    <t>49e9f536-3bf6-45f4-9ff0-7b5a200320c1</t>
  </si>
  <si>
    <t>80ad0f18-ac11-4f44-85b6-f80b96ef691f</t>
  </si>
  <si>
    <t>0f688232-0c76-4872-889b-f6dafb2b0f39</t>
  </si>
  <si>
    <t>335797e6-a7be-4f0b-a829-9c7a4302447e</t>
  </si>
  <si>
    <t>9fa99e97-346b-4815-839d-840714f9b98f</t>
  </si>
  <si>
    <t>097b81b6-d068-427c-a31e-8fa2773b696d</t>
  </si>
  <si>
    <t>120f99c4-7723-408f-87cd-deac0e74c000</t>
  </si>
  <si>
    <t>1cbad56e-04c0-4f35-9aad-033a42d0df4e</t>
  </si>
  <si>
    <t>6a5abce4-11e9-4aa7-98d8-52dab9975f8e</t>
  </si>
  <si>
    <t>b78f9559-d155-4b64-8e9e-81bfce3d9d3a</t>
  </si>
  <si>
    <t>8bf7b879-3407-4476-bdf0-d55d19fd430b</t>
  </si>
  <si>
    <t>66d30cf3-4ac7-4f86-a8ab-96cd4a56c8fe</t>
  </si>
  <si>
    <t>274474b0-fd61-44b0-9e2d-19323c74434d</t>
  </si>
  <si>
    <t>22dd6979-0341-4f4f-ae68-970d9a7f9591</t>
  </si>
  <si>
    <t>16803f45-aa88-43b7-a069-2c80cfc9b176</t>
  </si>
  <si>
    <t>e1401e8d-7717-421c-b074-3c1ae3b9c337</t>
  </si>
  <si>
    <t>61d0a1a4-d9a6-45d1-acee-6ccf2c27ff86</t>
  </si>
  <si>
    <t>fe71126a-ea6a-4e89-9de7-e42e53282214</t>
  </si>
  <si>
    <t>4319efb8-dc2e-4405-9ac4-f16c829e620a</t>
  </si>
  <si>
    <t>7ffe1695-4af0-464c-af7b-ad5bcd564981</t>
  </si>
  <si>
    <t>Traveling for family vacation</t>
  </si>
  <si>
    <t>eaac2adc-3b79-47d2-926b-2d9968a43edc</t>
  </si>
  <si>
    <t>33d2c9f2-15d2-42d9-8dc7-996b18b19a30</t>
  </si>
  <si>
    <t>50d80874-d467-4b3a-b104-bc64011845e0</t>
  </si>
  <si>
    <t>52fbe6fa-3477-4287-b27d-b5a073d1b008</t>
  </si>
  <si>
    <t>ac0dbf9b-aa98-4194-b82d-7af17d9fc1ff</t>
  </si>
  <si>
    <t>0a168313-1489-41a2-8e7d-a0d04d43b8ec</t>
  </si>
  <si>
    <t>9002b000-721d-4fcc-a553-2595b0248aa8</t>
  </si>
  <si>
    <t>815ffec3-3d9e-4bfc-b6a7-f498fbf88858</t>
  </si>
  <si>
    <t>680d6f35-1626-4815-a5a9-0133c99c151c</t>
  </si>
  <si>
    <t>d55c9d84-3f64-4571-b9f5-3a4c0780c4f0</t>
  </si>
  <si>
    <t>4e1f2b4f-2ede-41d9-b996-56d5750ec1f2</t>
  </si>
  <si>
    <t>24c7065c-13a2-41cd-be1d-0aa6f0b62ad6</t>
  </si>
  <si>
    <t>173aedae-289a-40f0-8feb-9b0f9ff3df47</t>
  </si>
  <si>
    <t>ed559b2a-e297-4d90-88bf-84660bb75ef0</t>
  </si>
  <si>
    <t>8b1eebd9-30af-4ae9-a183-cbc313563ebd</t>
  </si>
  <si>
    <t>6299dc74-976e-4b37-adbb-2c519e360e5d</t>
  </si>
  <si>
    <t>94e2b498-7e2f-454e-8170-d0a043ed3b62</t>
  </si>
  <si>
    <t>73e24889-557d-4081-bbcf-760fc540d69a</t>
  </si>
  <si>
    <t>52be7f1d-0919-4d69-9037-1266743129bf</t>
  </si>
  <si>
    <t>e71ff08b-1bec-417a-8474-df00e88e11e3</t>
  </si>
  <si>
    <t>6195f28e-37a1-49db-a63e-0258955d963d</t>
  </si>
  <si>
    <t>65a25ec3-48e2-4da0-a628-6f83f984a8d5</t>
  </si>
  <si>
    <t>2c34033b-f8ff-4578-bda4-31915db0fe85</t>
  </si>
  <si>
    <t>Holiday leave</t>
  </si>
  <si>
    <t>1b84cafc-9536-4cec-93fb-c6289286c8a7</t>
  </si>
  <si>
    <t>d7ab5db4-ea3b-47b6-9d82-e54cf4542fe0</t>
  </si>
  <si>
    <t>88c72a7d-9925-4a23-ad8f-e2087118bb06</t>
  </si>
  <si>
    <t>16b1587d-74d4-4896-828c-13c237e4418f</t>
  </si>
  <si>
    <t>0ebf3083-b3ed-42b2-b9b7-c542f37933e5</t>
  </si>
  <si>
    <t>1a519639-154e-4f4b-9efc-2a18e8067808</t>
  </si>
  <si>
    <t>cd5956da-c401-4057-b6d4-65930afb225c</t>
  </si>
  <si>
    <t>1274e0e4-3621-4480-a9cf-6123f6690ba5</t>
  </si>
  <si>
    <t>6984d288-c5b4-4c04-99e9-927f2645673e</t>
  </si>
  <si>
    <t>2afc00bd-a919-4243-a857-ca6cc60a0191</t>
  </si>
  <si>
    <t>8d47a955-88e4-4cb5-b338-6af7791582d6</t>
  </si>
  <si>
    <t>b924bb8c-8c59-43d5-8907-a0aa36f136d5</t>
  </si>
  <si>
    <t>991c560d-82f8-4b37-83dc-cf1d9e00d247</t>
  </si>
  <si>
    <t>f406cfac-b00e-4907-acc1-255464f38008</t>
  </si>
  <si>
    <t>38f0dcb3-d09d-40ea-98f3-512138f673da</t>
  </si>
  <si>
    <t>72511939-2018-41ff-b8d0-c83ab87c9ca9</t>
  </si>
  <si>
    <t>73368d6d-1460-4cc0-87ab-0b1184ce0153</t>
  </si>
  <si>
    <t>65e72065-a56a-4982-bb02-e8ae056f3676</t>
  </si>
  <si>
    <t>300cc01f-bd74-4460-9235-46da217efd30</t>
  </si>
  <si>
    <t>HVL</t>
  </si>
  <si>
    <t>40632958-97c3-45b8-8a6b-c49e6693bbf1</t>
  </si>
  <si>
    <t>18d41930-d7ef-4ace-a5d5-9e733c1568ed</t>
  </si>
  <si>
    <t>138a72bb-6ceb-4604-b3cb-25b22625688e</t>
  </si>
  <si>
    <t>ea684f35-3e76-4dea-960a-d3966d4e9bcb</t>
  </si>
  <si>
    <t>878bdab7-4b69-4945-8feb-964ba2a517fd</t>
  </si>
  <si>
    <t>f40f641e-cb48-4ec5-acb5-266be986b040</t>
  </si>
  <si>
    <t>8ff74aa9-8561-4593-bf04-6d1b0840d965</t>
  </si>
  <si>
    <t>408f3c60-5a8d-48e8-97a7-ccbdbd40c3ac</t>
  </si>
  <si>
    <t>ac40ea2e-0f53-4a9c-a366-7e65332d5104</t>
  </si>
  <si>
    <t>eab1632b-ede6-49c2-8144-b5a92667cbdd</t>
  </si>
  <si>
    <t>0232112c-f4d5-4b77-bb78-4162f0ee61c5</t>
  </si>
  <si>
    <t>64f83543-9627-44c3-a6cd-2d5333dfc489</t>
  </si>
  <si>
    <t>78199a4a-f736-4664-9949-0799ae8ce308</t>
  </si>
  <si>
    <t>470f5752-956b-45c4-947a-eb003e0757e8</t>
  </si>
  <si>
    <t>7a71ad08-aff1-401c-a46c-eff671a47b15</t>
  </si>
  <si>
    <t>d13832f6-518d-4ec3-b4b1-243e10d62449</t>
  </si>
  <si>
    <t>03cdde87-3fcf-47f0-8d91-0e6b1919fbce</t>
  </si>
  <si>
    <t>8f74a020-172b-4ba4-95e9-780cf032b720</t>
  </si>
  <si>
    <t>1f24cd95-a503-4d37-874f-a0d8e95042d6</t>
  </si>
  <si>
    <t>63bedd24-2ee1-4ced-9224-97bb8ced8f3f</t>
  </si>
  <si>
    <t>03f7a23a-e38d-4593-a694-cea56e6e274c</t>
  </si>
  <si>
    <t>c8b297af-ab49-4889-b8a3-ebf8a76b1a4f</t>
  </si>
  <si>
    <t>6e644fdc-dd6a-4192-bc0a-93d9cb894f18</t>
  </si>
  <si>
    <t>fe6789a1-8d8b-49bc-b7f3-ca3faef133e9</t>
  </si>
  <si>
    <t>6cbe43f1-9458-4517-8216-4916c2e9362d</t>
  </si>
  <si>
    <t>80d8a30a-535b-4b40-952a-ce8437290940</t>
  </si>
  <si>
    <t>ae3bf08a-b138-497e-a99d-197aced1839c</t>
  </si>
  <si>
    <t>1dc19e4e-a450-42d7-8c97-0ee574c03dca</t>
  </si>
  <si>
    <t>cf1278ec-bd1c-4405-a2c5-fec810634edf</t>
  </si>
  <si>
    <t>cd894049-444e-4413-8c75-0a7a21bc94ff</t>
  </si>
  <si>
    <t>4c2e937e-4f96-43a7-96fc-967c736381a1</t>
  </si>
  <si>
    <t>83560b9e-47b9-4240-b91d-409b11a3fe7f</t>
  </si>
  <si>
    <t>b80690b6-8006-4c61-8c3c-93b770638e68</t>
  </si>
  <si>
    <t>660e14fe-575a-4db9-9107-4cc704d07b4a</t>
  </si>
  <si>
    <t>Team Sync</t>
  </si>
  <si>
    <t>8f7d4061-2daf-41c8-8583-65802a2ba3a0</t>
  </si>
  <si>
    <t>9c5f9889-37d4-4a93-9c95-97d2144c8855</t>
  </si>
  <si>
    <t>f44498e8-81be-4832-ae87-99b8d1b140fa</t>
  </si>
  <si>
    <t>71def7ea-16c1-4430-95e9-0bf947078d3f</t>
  </si>
  <si>
    <t>ebbcc4a1-d1d9-4867-80a6-1ade745e5d73</t>
  </si>
  <si>
    <t>3fdf91e7-7157-4f3d-85c9-4dcaa72410a3</t>
  </si>
  <si>
    <t>839fb5ad-cca5-4185-8e9d-f9fde7bb5414</t>
  </si>
  <si>
    <t>9daed2b7-deac-4660-ae00-621c0f135703</t>
  </si>
  <si>
    <t>efe650cd-1760-4c25-9f18-3e2b0f344617</t>
  </si>
  <si>
    <t>ecc9988f-792d-4e78-9f48-19b66e547d50</t>
  </si>
  <si>
    <t>5ab3af43-0939-4781-b743-a34be943da93</t>
  </si>
  <si>
    <t>47a09d99-3458-4c1d-8bbf-f2de3974bd3c</t>
  </si>
  <si>
    <t>7a8f91a6-21b4-449c-b974-efa645323cb5</t>
  </si>
  <si>
    <t>a89a845f-1d0d-4306-9c1c-dfcc5daeb2aa</t>
  </si>
  <si>
    <t>Power outage</t>
  </si>
  <si>
    <t>16460cb1-0cce-4167-a77b-689b5422bd66</t>
  </si>
  <si>
    <t>782dea48-8c06-48e7-aa8c-878d5d840473</t>
  </si>
  <si>
    <t>53cd35a7-767c-4eef-b08d-5ac74292d26f</t>
  </si>
  <si>
    <t>7f3267b7-687d-497a-9cd2-a033ea59ef20</t>
  </si>
  <si>
    <t>9acb46eb-f672-4bf4-8ff6-579c5aecf566</t>
  </si>
  <si>
    <t>230b0b31-c54d-4f42-b9bd-9825b0d79c50</t>
  </si>
  <si>
    <t>82eb3cc6-81ba-434e-82d3-5cd0c0160d2b</t>
  </si>
  <si>
    <t>0ab05989-0a74-401f-99cc-6c320496bac2</t>
  </si>
  <si>
    <t>6ff1f404-4e83-4438-9c9c-09d635e48326</t>
  </si>
  <si>
    <t>78e2be05-aade-4343-9cc7-47629f74ee30</t>
  </si>
  <si>
    <t>3ef385b4-15e8-4201-83dc-9cc17aa2ac5b</t>
  </si>
  <si>
    <t>1f8660db-858e-45c7-b073-3f3f02bbab9c</t>
  </si>
  <si>
    <t>a63352b3-ca85-49dd-8476-3076cc406c0c</t>
  </si>
  <si>
    <t>26083de7-e889-4f2a-9265-7913efb6946d</t>
  </si>
  <si>
    <t>8311c3e3-b791-4355-8e3e-f1f21a30dccb</t>
  </si>
  <si>
    <t>216312a0-d157-4d18-878f-3271e8ab9d62</t>
  </si>
  <si>
    <t>f7236816-a812-4a71-adcf-d3dd773467f9</t>
  </si>
  <si>
    <t>02d3bd4a-deda-413a-b7f7-d4202b29f95e</t>
  </si>
  <si>
    <t>25c1b714-bd2e-44b2-81d6-7507a6fd88a9</t>
  </si>
  <si>
    <t>09f3ec2c-9319-407f-94b4-933dac4744ac</t>
  </si>
  <si>
    <t>37a493a7-e445-4d14-8ae3-108fe14875d8</t>
  </si>
  <si>
    <t>c7e2edf0-e345-412e-9bbb-37d1a7108447</t>
  </si>
  <si>
    <t>e6d2bc65-802b-4949-8b38-0f359183c93a</t>
  </si>
  <si>
    <t>acd5fb28-fe30-42a0-acc6-d0e8fe928d84</t>
  </si>
  <si>
    <t>6b60e213-5444-487d-99a5-c223f2078211</t>
  </si>
  <si>
    <t>When to edit Cal responses training</t>
  </si>
  <si>
    <t>c51da587-a724-49cb-a158-356c5ce75d21</t>
  </si>
  <si>
    <t>9f5a053f-79ad-46d6-bf8b-618c7472b552</t>
  </si>
  <si>
    <t>17595f52-c7f7-423d-adcb-efc22ccc7b25</t>
  </si>
  <si>
    <t>b7cddb0a-73ec-4325-b7f4-db45a06bfd7b</t>
  </si>
  <si>
    <t>e2b548ee-860f-48b4-b2be-e9e2ac63a6dc</t>
  </si>
  <si>
    <t>aa63334d-1d83-4b83-b4c4-f1ef79d3a1c1</t>
  </si>
  <si>
    <t>3175996d-5496-4927-98f3-a2d22542d497</t>
  </si>
  <si>
    <t>209aec36-f52c-43c9-8421-8f7cb50fcfc2</t>
  </si>
  <si>
    <t>6dc52e6d-5adb-466a-aae9-8c9189946ea0</t>
  </si>
  <si>
    <t>40b1b9ba-bc7c-44da-b594-39cc23c138b2</t>
  </si>
  <si>
    <t>cd9ce035-6a01-4d05-86b5-445a72b6ac87</t>
  </si>
  <si>
    <t>db300107-1aa9-4ae7-b03b-21e75a7c889c</t>
  </si>
  <si>
    <t>13c67188-a0b1-40c0-9dca-74c8005aa211</t>
  </si>
  <si>
    <t>xa</t>
  </si>
  <si>
    <t>6eb927a3-bd03-49bd-9557-9bb3b58fff51</t>
  </si>
  <si>
    <t>dd768eec-9042-481d-816b-e96f5949496a</t>
  </si>
  <si>
    <t>5ca44903-fbef-42ef-93be-96b39ba53794</t>
  </si>
  <si>
    <t>412d1a76-c4e8-44ef-9314-49f5978d6ab1</t>
  </si>
  <si>
    <t>5ac25586-713f-4479-af92-d2212a10f5cb</t>
  </si>
  <si>
    <t>8ee93404-e20a-4261-87ec-c49f5b3182cd</t>
  </si>
  <si>
    <t>b99f2445-bf85-41a4-a8d9-ce93cab50dde</t>
  </si>
  <si>
    <t>b2f9494c-fdd9-4987-ba42-684f256c9fbd</t>
  </si>
  <si>
    <t>74d9f143-dc71-4645-91b8-7ad06af86aae</t>
  </si>
  <si>
    <t>dentist appointment</t>
  </si>
  <si>
    <t>84432305-29b7-4b33-8c79-e1ecb5f9511c</t>
  </si>
  <si>
    <t>a36e1acf-5280-4e88-ac6b-63a805472b3a</t>
  </si>
  <si>
    <t>39c1aa94-8aae-4dc4-9f2d-b76b42837e82</t>
  </si>
  <si>
    <t>4f48d9d2-4462-42e7-b642-bb48b909aaeb</t>
  </si>
  <si>
    <t>d3ffa934-b525-4439-bacb-bebb6743d9c5</t>
  </si>
  <si>
    <t>c8be48eb-66da-4742-9c08-b4c1445faa69</t>
  </si>
  <si>
    <t>499448f7-bad4-4094-87c3-81509a33278f</t>
  </si>
  <si>
    <t>0b19c9fc-250c-4d99-9019-f3dcfc076bd0</t>
  </si>
  <si>
    <t>a1b29110-4fb4-4ebf-9736-a65507330d52</t>
  </si>
  <si>
    <t>96c13776-5134-4714-8cc0-929d8e6a70dc</t>
  </si>
  <si>
    <t>ee3f8481-b29b-46b0-9fa9-d3d48eeeabed</t>
  </si>
  <si>
    <t>b91caee2-599b-4513-a0fa-a859835b1094</t>
  </si>
  <si>
    <t>d2e2b35a-251d-45a4-bfd4-5c8a203e45ba</t>
  </si>
  <si>
    <t>81df9b8e-2056-413a-a1be-cad5d78356eb</t>
  </si>
  <si>
    <t>38d1547a-37fb-434f-a8bd-7d962d430d64</t>
  </si>
  <si>
    <t>7bd6edb8-abba-4a6c-9ee5-72a303f44832</t>
  </si>
  <si>
    <t>b04c6d09-23f3-4e7d-a13d-e2b0ddccc407</t>
  </si>
  <si>
    <t>ee769071-6ad9-43b2-9749-166e85d85c6d</t>
  </si>
  <si>
    <t>db93c530-d320-47f3-bbff-a0490101d6a6</t>
  </si>
  <si>
    <t>28e8ee9d-83ec-4c6d-a3b9-dd132417b97c</t>
  </si>
  <si>
    <t>20f33877-ae07-4511-9112-3a6367c43d5f</t>
  </si>
  <si>
    <t>0ee09041-e0b2-49c0-aaa1-7ace0117ace7</t>
  </si>
  <si>
    <t>6fe682cf-2a67-4058-b130-b60c99bf05d6</t>
  </si>
  <si>
    <t>f25d15de-878a-4c07-ad5c-7d25585b75a5</t>
  </si>
  <si>
    <t>a150d51b-4f71-4a9f-9de2-0616b9cfaf38</t>
  </si>
  <si>
    <t>6a805d0a-2e93-459b-af49-8322beb7ba0f</t>
  </si>
  <si>
    <t>f09d1059-f298-459c-bf45-3e43c8d6fcf1</t>
  </si>
  <si>
    <t>193e1f6f-4ed5-474a-88a3-f43520a8f88d</t>
  </si>
  <si>
    <t>fefd3569-e641-43f1-bde6-2c87eda3d8ae</t>
  </si>
  <si>
    <t>ce2576f2-6ec7-4890-9873-13bf2b9d8c7e</t>
  </si>
  <si>
    <t>4ad18b58-75bc-416a-a870-376ad79f28cf</t>
  </si>
  <si>
    <t>b3b6ca6f-139d-4853-8e5e-b14a589086b5</t>
  </si>
  <si>
    <t>295de9fa-2366-4925-b01a-766b8b131bf4</t>
  </si>
  <si>
    <t>0aff86db-0ba5-49ae-8e89-1dbff88e60bf</t>
  </si>
  <si>
    <t>e3a77882-9846-4f28-b4f5-c9537dbed83b</t>
  </si>
  <si>
    <t>73838648-5913-4a7c-ac88-85b2bbc0f896</t>
  </si>
  <si>
    <t>979e9002-aedb-40da-8ddc-86d50e1bff1b</t>
  </si>
  <si>
    <t>54a05a7b-f61c-49f2-8dd2-6e1c5594f5e2</t>
  </si>
  <si>
    <t>fdd6b087-e221-4f56-89bf-d62954f357af</t>
  </si>
  <si>
    <t>cdc82fe7-1192-4baa-8b70-213f824611a5</t>
  </si>
  <si>
    <t>ee405107-b25f-43a9-a866-04e39943891f</t>
  </si>
  <si>
    <t>a192c36f-815d-4ebe-a363-a3b8060de357</t>
  </si>
  <si>
    <t>36a33161-e2ee-4ec4-b259-31ffcd504fb1</t>
  </si>
  <si>
    <t>6420b9f4-f985-48ad-a82d-c21295d37918</t>
  </si>
  <si>
    <t>c774d2b4-a875-403d-ad11-459d89938ecf</t>
  </si>
  <si>
    <t>8e46e5c8-0514-45d7-89fd-edff3262f2bd</t>
  </si>
  <si>
    <t>ee48da7b-b88d-4133-b3e3-3b39eeb1c601</t>
  </si>
  <si>
    <t>96cf59f3-fe8c-4f22-9e1d-fb7ac3c18465</t>
  </si>
  <si>
    <t>f1b848d2-700b-492c-a9dc-9f3b768a272f</t>
  </si>
  <si>
    <t>4a7f49a4-1da0-427a-9470-26679bd94370</t>
  </si>
  <si>
    <t>b3481ab1-89bd-421e-bba0-3d12bfb91633</t>
  </si>
  <si>
    <t>f1e2dda8-a1bc-49e6-b243-329cbd0d9272</t>
  </si>
  <si>
    <t>12fb82a4-f105-412b-97c9-c9bdcceed04b</t>
  </si>
  <si>
    <t>788390a7-809b-4c02-8207-30e583bad10f</t>
  </si>
  <si>
    <t>0f6cd158-8f17-4d0d-86aa-73d8a0fbc2c2</t>
  </si>
  <si>
    <t>0b501e7c-adee-41ec-9e24-f411d2d03f0a</t>
  </si>
  <si>
    <t>29f32516-79f6-4094-810b-d0fc904f1fe1</t>
  </si>
  <si>
    <t>cb84a24e-0e84-4eae-8fa5-b0fe5ba0307c</t>
  </si>
  <si>
    <t>1d11b646-d5a3-40f6-a5ee-e1039ef91f05</t>
  </si>
  <si>
    <t>a73ec899-ccdd-4341-8a60-77456eec3e62</t>
  </si>
  <si>
    <t>585290b9-7eea-4d34-b9b7-c826aaf593ce</t>
  </si>
  <si>
    <t>5dc63172-eae3-47b6-aa1c-6503c6859aec</t>
  </si>
  <si>
    <t>645bb7a5-769d-4cf0-8b55-56fe79f13a41</t>
  </si>
  <si>
    <t>18a4c696-2992-444c-a1ef-67c3700cafcd</t>
  </si>
  <si>
    <t>4473212f-0ebc-4b3f-8486-47a67c08474b</t>
  </si>
  <si>
    <t>70234627-b228-40fc-b236-5d91dd3d07c9</t>
  </si>
  <si>
    <t>785f61b5-1572-4f8f-b650-611fdb3d8a8b</t>
  </si>
  <si>
    <t>4c043226-3ced-48e1-89ec-ee86b8bd7d0f</t>
  </si>
  <si>
    <t>ea8e14a9-081d-4de3-b8e2-c28bcd1d74b4</t>
  </si>
  <si>
    <t>When to edit CAL's responses training</t>
  </si>
  <si>
    <t>b66e29c0-64a2-40ba-9488-19575371927f</t>
  </si>
  <si>
    <t>91ab7f3b-aa9f-4bcc-8fe2-a1c7a827df2a</t>
  </si>
  <si>
    <t>d63ed532-1eaf-4026-a808-067e78a449b7</t>
  </si>
  <si>
    <t>675e6093-33ae-4969-bf10-ea7f4f2085f3</t>
  </si>
  <si>
    <t>1acfce6a-c60d-48c5-83fa-6bc7bebdfa64</t>
  </si>
  <si>
    <t>07038d1e-a58d-4dcd-8ee5-83524346517e</t>
  </si>
  <si>
    <t>971b49b1-7a35-4f76-9f69-4b818f654c12</t>
  </si>
  <si>
    <t>d8ad7c49-aa71-46c4-bc6b-7d0a322ca82c</t>
  </si>
  <si>
    <t>b642cb79-daa1-45b0-bf3d-b412a10f3bb9</t>
  </si>
  <si>
    <t>87b813f2-6674-4df8-b759-e064d260e082</t>
  </si>
  <si>
    <t>c1a15873-e596-4770-a411-7a7e25b1143b</t>
  </si>
  <si>
    <t>8f8fb0e0-1532-452a-8730-487a14d7f5db</t>
  </si>
  <si>
    <t>9b068564-20d4-44df-889f-359b09745739</t>
  </si>
  <si>
    <t>a26016a6-2ceb-4793-a0c1-f2d2c40cb84a</t>
  </si>
  <si>
    <t>f02dc699-b040-4c0b-aced-de93b8677e04</t>
  </si>
  <si>
    <t>92ddcf2e-66ba-4c7a-83d4-847b99fef3ff</t>
  </si>
  <si>
    <t>0e5edaae-be47-4bae-b9c6-4305b4f9513c</t>
  </si>
  <si>
    <t>29c7aec1-aedd-4c1f-b91b-03de48f10d88</t>
  </si>
  <si>
    <t>b6059535-44a4-4567-a962-8ecb25513bd7</t>
  </si>
  <si>
    <t>6edfa812-0d11-4c5d-bb5e-92faa9b13287</t>
  </si>
  <si>
    <t>d34b0bd1-8cf6-43b0-b558-07eaf2ac6e02</t>
  </si>
  <si>
    <t>599fa8e7-3df0-48f6-9bbe-6465ebada7ac</t>
  </si>
  <si>
    <t>cee9affe-0acf-469f-9e8a-6f27a35376c2</t>
  </si>
  <si>
    <t>e3b926f4-7f14-42c5-bb8b-dd0228f00b27</t>
  </si>
  <si>
    <t>29790289-71ce-4e58-a139-010a1a400e57</t>
  </si>
  <si>
    <t>2dc46420-5437-46e2-a627-529c3525d5c7</t>
  </si>
  <si>
    <t>91a23d26-e380-4a29-b4e0-a826db3d0e31</t>
  </si>
  <si>
    <t>628dd06a-fc59-4aeb-89ee-3f455e845539</t>
  </si>
  <si>
    <t>25ea7952-b32e-4008-85e3-53205c25ef74</t>
  </si>
  <si>
    <t>9173e5f4-a2f1-4524-8190-0c46624f91a5</t>
  </si>
  <si>
    <t>9f717cd9-a3ae-498a-a927-2bc8c3d0fce9</t>
  </si>
  <si>
    <t>98fb5baf-a359-4c70-bf0e-04ccffa5e7f4</t>
  </si>
  <si>
    <t>dfb5ba12-79e9-44d9-8e8f-baed56b2a593</t>
  </si>
  <si>
    <t>0004d3cd-ebf8-4e09-a6a2-169d02f29d54</t>
  </si>
  <si>
    <t>4c2adf71-14cc-4db6-a4a5-1b21ceabc69e</t>
  </si>
  <si>
    <t>a42b02f6-8907-421f-9631-0a8781db6f74</t>
  </si>
  <si>
    <t>7e3a7540-a41e-403f-8643-ac38b21be7c4</t>
  </si>
  <si>
    <t>fed7f4c6-c023-4eef-8b7a-4b463e38e2d9</t>
  </si>
  <si>
    <t>4188b7ec-3bc1-4f46-8fa8-66ecb6f8a46e</t>
  </si>
  <si>
    <t>5505e212-155d-4800-9ee9-df4accf77b81</t>
  </si>
  <si>
    <t>b2e9adc2-1084-46db-aea2-6b61fb3cce0a</t>
  </si>
  <si>
    <t>afbed587-8a2f-4cad-abff-d98e32b1730e</t>
  </si>
  <si>
    <t>9fa401ba-0ee8-4f00-b9f9-e9c81e1f9ee7</t>
  </si>
  <si>
    <t>02d80236-bdc4-4ba7-b762-cc31f6b25311</t>
  </si>
  <si>
    <t>1f1a6663-b91a-4eb3-bc3b-6da915c17c6d</t>
  </si>
  <si>
    <t>12e826d2-0f5e-40cf-9294-8fa0fb89c232</t>
  </si>
  <si>
    <t>d2148a05-aeb7-4d0f-bf22-82756f4e45ee</t>
  </si>
  <si>
    <t>7774cc5b-9b69-4ca3-8944-43632b152538</t>
  </si>
  <si>
    <t>ed9b8462-fc9f-4904-aa32-b47204476e1f</t>
  </si>
  <si>
    <t>876198bf-d273-4217-b242-8a3bd389d8b8</t>
  </si>
  <si>
    <t>673d9b06-4637-423b-b42f-e051ee6761ef</t>
  </si>
  <si>
    <t>a37842f5-b6d0-4b9b-9bff-53f13dbd00c0</t>
  </si>
  <si>
    <t>25842154-d3d2-43ca-9875-f04dfdb6af36</t>
  </si>
  <si>
    <t>5044a630-9805-4021-8e91-35f99ccb8481</t>
  </si>
  <si>
    <t>0faabb71-b0bd-4892-a3b7-1ceda8e10af7</t>
  </si>
  <si>
    <t>ce8a0e1e-d37a-40cb-979d-ec415bde17c7</t>
  </si>
  <si>
    <t>df30448f-e1c1-4561-b8db-2907fb153f2e</t>
  </si>
  <si>
    <t>bc67c026-57ee-4216-8afc-aeda850975ed</t>
  </si>
  <si>
    <t>02a13433-d4e7-45b0-8d0f-cdec347243d4</t>
  </si>
  <si>
    <t>8b1c0bf8-87ff-44fa-aaae-dfad747b666c</t>
  </si>
  <si>
    <t>0a88c83e-dcae-4cd0-bcef-6a193efa4a0c</t>
  </si>
  <si>
    <t>489c7849-4b8c-4fa4-b99d-c16b1eefe0b3</t>
  </si>
  <si>
    <t>bfba7d33-a43f-44d8-95a2-580082d3b352</t>
  </si>
  <si>
    <t>031de6f2-192e-425d-9556-3342a3d14bb5</t>
  </si>
  <si>
    <t>e105b937-f3e1-4213-9207-4033e54d3616</t>
  </si>
  <si>
    <t>Family time</t>
  </si>
  <si>
    <t>cb3eb7e0-4fa9-4153-bef9-1ff5891013f0</t>
  </si>
  <si>
    <t>85eacd1c-4517-422a-8b63-d61275b14cee</t>
  </si>
  <si>
    <t>5b4410eb-1770-472e-ba5d-c2184b954e4c</t>
  </si>
  <si>
    <t>ee26a35e-2dd5-4fff-ba66-31cc721062f2</t>
  </si>
  <si>
    <t>325e3335-5482-4e97-8856-61a67a6de438</t>
  </si>
  <si>
    <t>08dce196-f0bc-4127-986c-c12deef8e929</t>
  </si>
  <si>
    <t>e38a4a20-caf2-4347-aedb-5e493f8ad1b9</t>
  </si>
  <si>
    <t>f0e95410-e9ae-4617-b5d6-d07b851b28ae</t>
  </si>
  <si>
    <t>13acdbc9-5cdc-41cd-ba9b-57e55b93fe66</t>
  </si>
  <si>
    <t>d3fd654c-f778-44d1-bcc4-02ad9b38d3b2</t>
  </si>
  <si>
    <t>f765666d-5f70-4882-ab87-54ac8e145f1d</t>
  </si>
  <si>
    <t>f8296261-50d4-4eab-beb8-c336945fb9a8</t>
  </si>
  <si>
    <t>787e446e-582a-42f0-93e2-1f8c888248dc</t>
  </si>
  <si>
    <t>90802e4f-8a35-4b92-8639-a38f3e4a6670</t>
  </si>
  <si>
    <t>bcba3972-bf1b-44d5-a839-f8ee934ff900</t>
  </si>
  <si>
    <t>13af5606-9b12-4b9d-a032-39136c7040dc</t>
  </si>
  <si>
    <t>f9d3c8d0-0941-4eab-bbc2-772913be4bd6</t>
  </si>
  <si>
    <t>2d3fe5c1-d445-4e1e-8f4f-c68ca1df4d90</t>
  </si>
  <si>
    <t>bc4b0d05-33f7-411b-92a9-676934f49fba</t>
  </si>
  <si>
    <t>83bc6455-2dd9-4e79-b75b-413df0d78205</t>
  </si>
  <si>
    <t>12461f84-f8a0-4be6-8612-30013760092d</t>
  </si>
  <si>
    <t>ff898021-eac7-45e1-9001-b713c2c75972</t>
  </si>
  <si>
    <t>15f150e1-5988-4264-9214-b33c16288857</t>
  </si>
  <si>
    <t>22c43a53-e38f-4862-8986-124c91841605</t>
  </si>
  <si>
    <t>4ebfc252-864f-4c6a-8b17-2a2df0fe0ef4</t>
  </si>
  <si>
    <t>ce1772e7-29db-4805-aba5-39731d83a5ee</t>
  </si>
  <si>
    <t>a9040f7b-45be-4a68-850a-3d74232917e0</t>
  </si>
  <si>
    <t>00088164-8613-4529-ab25-46c7586d15d1</t>
  </si>
  <si>
    <t>266f1119-fc69-4bb6-beac-63d819671d2e</t>
  </si>
  <si>
    <t>58fa0274-3092-46e9-90ab-4211a2322096</t>
  </si>
  <si>
    <t>f15def31-3f95-4dd2-b100-a0d8b466667b</t>
  </si>
  <si>
    <t>3011fff2-c351-4839-9bfc-c663963b200b</t>
  </si>
  <si>
    <t>75c38b90-2000-47cc-91a1-1bb539d27ed5</t>
  </si>
  <si>
    <t>b6e34add-17ce-444a-bb1b-cc96791fb3ff</t>
  </si>
  <si>
    <t>5d17d200-e3fa-4e02-b983-ac4f5f53607a</t>
  </si>
  <si>
    <t>c81a4d14-2309-4cc8-bb8b-ed4ab98b8322</t>
  </si>
  <si>
    <t>6a8f0418-ba68-440b-bf7f-69cb32e8ebff</t>
  </si>
  <si>
    <t>677f1808-b7cd-4d08-bcb9-e6dd26e2bb43</t>
  </si>
  <si>
    <t>025f58aa-4a00-49be-beb5-d116d2e19bdd</t>
  </si>
  <si>
    <t>f35394e3-eac3-401c-854f-7964a61720b8</t>
  </si>
  <si>
    <t>09dfb23c-ecdc-4af0-87bc-08b4fa2fbd04</t>
  </si>
  <si>
    <t>ae512baf-aef5-4573-85ab-fb39802b047a</t>
  </si>
  <si>
    <t>541b6f4d-f75c-4db4-9942-f41ce6cea713</t>
  </si>
  <si>
    <t>1f87b610-651a-48b2-861e-e516de7d52c7</t>
  </si>
  <si>
    <t>Team Hudd;e</t>
  </si>
  <si>
    <t>873e93a4-7fd0-4c7e-b020-81a4097d0279</t>
  </si>
  <si>
    <t>167ca0ff-eb18-47ed-9560-de6c93f802f8</t>
  </si>
  <si>
    <t>ef31f590-d8d3-4f22-ab8e-9bafeb9980e3</t>
  </si>
  <si>
    <t>0e983638-517f-4672-923a-f0c6cd0f6ecb</t>
  </si>
  <si>
    <t>5f9141aa-8c6c-46f1-aaba-a07146c78350</t>
  </si>
  <si>
    <t>584f141c-759c-4240-a623-6ec5c575f1e3</t>
  </si>
  <si>
    <t>f463aeeb-abeb-4544-9998-38f812084ce0</t>
  </si>
  <si>
    <t>7b5e5e3c-7d7d-4b96-8056-d811b1301050</t>
  </si>
  <si>
    <t>1e2fad4a-86ac-4134-84f3-199cf6229be2</t>
  </si>
  <si>
    <t>1be14a0f-4f8b-4a84-9269-89eeacde2595</t>
  </si>
  <si>
    <t>8b7c4da0-bb0b-4292-9dc4-0aff943113cd</t>
  </si>
  <si>
    <t>2ac57f54-1555-461b-959d-512031d7f2ac</t>
  </si>
  <si>
    <t>aed59885-5e33-4da3-8dc1-a73ea10a1767</t>
  </si>
  <si>
    <t>4d3bab18-a544-492d-8cc9-cd2aa85a3a93</t>
  </si>
  <si>
    <t>a1dc9723-04c0-4824-8d65-bcbfaf97699f</t>
  </si>
  <si>
    <t>9f77b464-7414-4a76-a3a7-958c74e4b9a9</t>
  </si>
  <si>
    <t>5c4135d9-f7f9-4344-9b00-716589f97049</t>
  </si>
  <si>
    <t>e96eb1c4-8ed4-461a-bae4-397cabbfa395</t>
  </si>
  <si>
    <t>f998395f-96d1-419b-a212-7eceeb6066aa</t>
  </si>
  <si>
    <t>4d8e92e9-b998-400b-b2d1-d010d1692218</t>
  </si>
  <si>
    <t>e385e512-8270-49a2-bf64-5f18a9891253</t>
  </si>
  <si>
    <t>190d525a-f015-4df9-9ced-81375692aef6</t>
  </si>
  <si>
    <t>cfc146f0-0fdd-4d55-9801-93903267ba16</t>
  </si>
  <si>
    <t>18d48d70-3367-4c36-a30a-a25e8f449f9f</t>
  </si>
  <si>
    <t>8e9b7e94-30d6-4505-a8e4-8d92c78eb2c1</t>
  </si>
  <si>
    <t>c1ade5c5-fa7a-4779-a6e6-c15dbdef16fa</t>
  </si>
  <si>
    <t>a8c335b1-c1ae-495a-b168-809ea7f80488</t>
  </si>
  <si>
    <t>e7c3e7ae-d271-46bb-885c-bd21d7c1ff3c</t>
  </si>
  <si>
    <t>bfad477b-a332-49a2-9c97-e498387db1b3</t>
  </si>
  <si>
    <t>d9fc6b3a-a28f-4538-8cf4-5f613611a5dc</t>
  </si>
  <si>
    <t>60494ede-45cb-419d-a0ce-324882b1e9e8</t>
  </si>
  <si>
    <t>e42875c5-009c-4f79-8979-8473bec49e1e</t>
  </si>
  <si>
    <t>f1691edc-bee2-4714-bb59-58aca67aee96</t>
  </si>
  <si>
    <t>e42f36b2-b75c-4755-9253-5d8fde484b00</t>
  </si>
  <si>
    <t>3c5d7902-8024-4f71-acfb-bf9caec14775</t>
  </si>
  <si>
    <t>f232665e-64fa-4a6a-9d21-69096031d53a</t>
  </si>
  <si>
    <t>0fbb45d5-72af-4045-a59e-8ec0b1ebfef6</t>
  </si>
  <si>
    <t>7271354a-efc1-4e40-bc88-b01a3a908e16</t>
  </si>
  <si>
    <t>6fae83fd-106a-4ea6-8d5f-b3518dcc4171</t>
  </si>
  <si>
    <t>c202ae05-64b3-4d49-8b71-18617dafe109</t>
  </si>
  <si>
    <t>91315a5c-47c4-46ea-9956-83ec17396b4a</t>
  </si>
  <si>
    <t>c6c9a00c-9711-42a1-b80b-282089449e68</t>
  </si>
  <si>
    <t>e01e6514-1a3a-42e1-9ca4-c8e08ebad741</t>
  </si>
  <si>
    <t>3b983601-8f34-41cd-95ad-b229dc493296</t>
  </si>
  <si>
    <t>545cb20e-5314-46e6-983b-d6f92254e737</t>
  </si>
  <si>
    <t>a446c0bf-96d0-4eb1-8f50-23d8661b7db7</t>
  </si>
  <si>
    <t>f6b74e61-f300-44b4-82f2-2ecaa8a42d34</t>
  </si>
  <si>
    <t>894eb927-041f-48e6-8812-90de14aa04d7</t>
  </si>
  <si>
    <t>437e40e4-51b6-444e-bb23-b92e26aec8ab</t>
  </si>
  <si>
    <t>2ff9f98f-6df1-4d11-99f0-df421da5dee5</t>
  </si>
  <si>
    <t>7d09d97d-bade-4511-ade1-3e88935a0311</t>
  </si>
  <si>
    <t>b9c58ce2-f517-44cb-8706-478b7eb301fc</t>
  </si>
  <si>
    <t>fa85fc27-86da-420e-abeb-59b464cafcfe</t>
  </si>
  <si>
    <t>c046f277-9793-4c78-941d-cdccbbfc8950</t>
  </si>
  <si>
    <t>196c6647-5aeb-4752-88fe-0c8670bc3c24</t>
  </si>
  <si>
    <t>061c0ba0-8f81-4285-b9fa-dd975958e8ac</t>
  </si>
  <si>
    <t>fe5ccc8e-cba2-4641-a5e4-bfffe4823a33</t>
  </si>
  <si>
    <t>5eb4c751-c47e-4e9e-8933-de259af5bd19</t>
  </si>
  <si>
    <t>541d60dc-d082-4f95-8855-94b19ee012f0</t>
  </si>
  <si>
    <t>e73e420d-3f17-43b0-b5d4-4fb30ea91311</t>
  </si>
  <si>
    <t>2626cc69-3308-4fab-8355-5252fc64adcf</t>
  </si>
  <si>
    <t>37823f92-0225-4f60-a20f-9fd444675227</t>
  </si>
  <si>
    <t>bb58ca05-1beb-4fca-acdf-5d40efed663e</t>
  </si>
  <si>
    <t>7b9a459d-d507-4d7f-85f2-eba81c9a12b1</t>
  </si>
  <si>
    <t>3e2e3b04-b030-41de-a587-77eab7a71fe5</t>
  </si>
  <si>
    <t>cd7b8a98-35b9-4d75-a019-49aee8a9f044</t>
  </si>
  <si>
    <t>f071f8f5-4cfc-4b71-b98f-077b7d8bd952</t>
  </si>
  <si>
    <t>6e1ff5c3-9531-4e73-8fc7-e2b524acb42f</t>
  </si>
  <si>
    <t>1fa9d1e6-1563-460d-b704-b921b7550cd5</t>
  </si>
  <si>
    <t>0b612016-b642-43c0-8338-374d566be703</t>
  </si>
  <si>
    <t>464a38af-fadd-4400-8030-99b875178f9d</t>
  </si>
  <si>
    <t>Threats of Harm Holiday Process Sync</t>
  </si>
  <si>
    <t>49e9841d-d8b8-48fe-83df-7f231a3170ff</t>
  </si>
  <si>
    <t>ade18e88-25bc-4b7d-998f-a18f8b86640d</t>
  </si>
  <si>
    <t>5aa37ef7-9882-4ce9-8f6c-1302d5b8c8b3</t>
  </si>
  <si>
    <t>18b40b87-35e3-4644-97d6-9c139c6b4ec2</t>
  </si>
  <si>
    <t>CHT BCP Playbooks</t>
  </si>
  <si>
    <t>2eda8c3d-1abd-4d2d-874e-4e9e94ad381b</t>
  </si>
  <si>
    <t>68a77567-1ed2-43f5-b452-e1752e19aea7</t>
  </si>
  <si>
    <t>55e39006-d836-46be-ba93-afd0c1a27234</t>
  </si>
  <si>
    <t>04b3a226-da8a-4d06-8aa4-aba848dc5015</t>
  </si>
  <si>
    <t>a5397ba4-3895-4cc6-85c4-c7856452640e</t>
  </si>
  <si>
    <t>d71c4421-4c90-4eaa-9390-e6292537f583</t>
  </si>
  <si>
    <t>88db10d9-8efe-4823-8e28-c11368feef6a</t>
  </si>
  <si>
    <t>a6de23b8-b90c-496a-a8f0-6e9c7a728384</t>
  </si>
  <si>
    <t>79ac1ced-c665-4c21-8a36-b313238e5fd4</t>
  </si>
  <si>
    <t>0e6b6e43-ecfd-42cd-80c4-7a4d8dc507f8</t>
  </si>
  <si>
    <t>466bf0c7-bd6a-4895-8ef9-618f22d54071</t>
  </si>
  <si>
    <t>9f18fccb-ed5d-44d6-a1df-99f095c8de20</t>
  </si>
  <si>
    <t>442c18f3-a119-47b7-978a-0c98d4ebc0e8</t>
  </si>
  <si>
    <t>09c95f29-e549-401e-a61a-16947cb926a2</t>
  </si>
  <si>
    <t>64f99d50-28ff-4e3e-ac32-c777c1faa8e8</t>
  </si>
  <si>
    <t>cbc81617-2ade-4f1a-ab34-0ee2f79ffe08</t>
  </si>
  <si>
    <t>f6d49d46-fc04-4a4a-89f6-1314fa733961</t>
  </si>
  <si>
    <t>0572c492-f026-4ac3-9a2d-fb2bdb2b532a</t>
  </si>
  <si>
    <t>5650b290-451b-4194-bfbe-2f30cb89cb72</t>
  </si>
  <si>
    <t>9672aa9d-2ec7-4940-9607-1b4d3e35fb91</t>
  </si>
  <si>
    <t>2af14c31-10b5-4f92-9bb0-aee2f5906773</t>
  </si>
  <si>
    <t>e1ed5e31-a718-4160-ab28-c2abdf61eed5</t>
  </si>
  <si>
    <t>7244a929-57a2-4ccb-b26c-74de6f3b0524</t>
  </si>
  <si>
    <t>5fd111f9-476a-4556-91af-1a5a282aa3b3</t>
  </si>
  <si>
    <t>a58384d5-2b82-4a07-99f6-d3e0abd7c69c</t>
  </si>
  <si>
    <t>9463cb72-2b74-4561-bc1f-9b0e027238d1</t>
  </si>
  <si>
    <t>9f7652e3-5d93-40e3-b1af-dff151e3869c</t>
  </si>
  <si>
    <t>389a8943-fd16-4ec5-9524-44021ab65423</t>
  </si>
  <si>
    <t>4b2f1046-9e8d-43ef-a63b-3276fadc74e2</t>
  </si>
  <si>
    <t>35095dea-7564-45a5-beb9-ac9f22c07c73</t>
  </si>
  <si>
    <t>883654d9-ee6c-42c1-bc54-f315bd29f8aa</t>
  </si>
  <si>
    <t>5145e2dd-29ee-4930-af1e-fe7cc6228969</t>
  </si>
  <si>
    <t>a085d3b6-14f8-4f9d-9602-4a0e15639d21</t>
  </si>
  <si>
    <t>472c3b05-809a-4f70-8d2f-405c0f3b7282</t>
  </si>
  <si>
    <t>e8cbb96e-4ddb-4c26-b698-51ba37b9530c</t>
  </si>
  <si>
    <t>bf90da0c-a6b9-477d-80bb-caecfe762e10</t>
  </si>
  <si>
    <t>858d04e4-e3fc-4385-bf11-ab383f629108</t>
  </si>
  <si>
    <t>75bdf8db-b2c8-42ed-8f7a-6dc6c7efae71</t>
  </si>
  <si>
    <t>e5e3ae35-f67d-4cd0-be7a-466a35ae6e1b</t>
  </si>
  <si>
    <t>4155a6f6-4eb6-4e79-8bd9-98a3003d0f46</t>
  </si>
  <si>
    <t>d424ee63-3ac1-49a4-bd38-67c38a10a04f</t>
  </si>
  <si>
    <t>08487933-78d9-4eb8-a145-cb35101e0d67</t>
  </si>
  <si>
    <t>fcdb2052-f0c6-4ef0-9c26-3fb4c3d6da1c</t>
  </si>
  <si>
    <t>369dbfad-f435-4bb6-ab79-96ee3caedbfc</t>
  </si>
  <si>
    <t>707e3feb-72a3-40a2-b875-7dedf011e2c2</t>
  </si>
  <si>
    <t>1982b293-d575-4a94-9027-550386301803</t>
  </si>
  <si>
    <t>05a75eb9-96da-4f77-98ed-4310a6bd3f31</t>
  </si>
  <si>
    <t>5e15c663-99e9-451f-a613-45a9e86f0626</t>
  </si>
  <si>
    <t>08286186-62c8-4153-844c-61dec148a090</t>
  </si>
  <si>
    <t>23fbe099-5e92-4fd9-9da5-ed71833bd450</t>
  </si>
  <si>
    <t>19a89b6a-a248-49ab-aef5-bf5c800421cb</t>
  </si>
  <si>
    <t>283d396f-dee9-4534-9f3c-d92859a553f2</t>
  </si>
  <si>
    <t>0979a899-18b1-4333-a693-d1cd6aab54d5</t>
  </si>
  <si>
    <t>c0fa3603-15b9-45e8-84a6-72a1cfe20ccf</t>
  </si>
  <si>
    <t>abbfd5f7-ce25-46d2-bea7-2e544e3394c9</t>
  </si>
  <si>
    <t>adb6e319-4bb3-4d8b-bfd1-6f103cf9b8fe</t>
  </si>
  <si>
    <t>7b228b88-3fbb-48cc-b349-91dee845b045</t>
  </si>
  <si>
    <t>Coaching 1:1</t>
  </si>
  <si>
    <t>fc09f81a-82c1-4561-9c6e-f98993da338b</t>
  </si>
  <si>
    <t>346409ea-a191-4357-a17e-ebca3cadf949</t>
  </si>
  <si>
    <t>c005b2ad-f5cf-40d2-8897-100cb5de6dd8</t>
  </si>
  <si>
    <t>9b60fb6b-93d4-4baf-9ce6-4ce8348e6802</t>
  </si>
  <si>
    <t>86dd11ee-214d-4c90-a439-cb25c0128c73</t>
  </si>
  <si>
    <t>1f979d00-46fc-4b66-932b-d20b6fcc0eb7</t>
  </si>
  <si>
    <t>e0a4b7b8-fcb0-486d-9527-61301492d8b0</t>
  </si>
  <si>
    <t>06719fb0-99b5-464e-9d00-3354409842d9</t>
  </si>
  <si>
    <t>2f98d195-aa99-4194-842e-7d6819fc476c</t>
  </si>
  <si>
    <t>726764cd-513c-4438-8923-ff688020a7cd</t>
  </si>
  <si>
    <t>a4a1172c-c301-4f6c-9f21-9b82c4cc92b3</t>
  </si>
  <si>
    <t>fba56944-f59e-402a-8c8d-305fa5c2d2c4</t>
  </si>
  <si>
    <t>44d7c5e9-775d-4ca4-9c90-9738f35a768f</t>
  </si>
  <si>
    <t>26530576-2f19-4fe7-8cc4-e7e568c5c41e</t>
  </si>
  <si>
    <t>18576e83-890b-4721-9a3d-29ac50100e2c</t>
  </si>
  <si>
    <t>23da8ad0-028e-45b3-8b10-ab97389e0e43</t>
  </si>
  <si>
    <t>a9d7d2ef-4861-48cf-8c68-b71046747d75</t>
  </si>
  <si>
    <t>fdaa17cc-d6cb-4bfc-adac-f516f761763d</t>
  </si>
  <si>
    <t>f4dcbda1-3f69-48bd-9716-95f648b65f29</t>
  </si>
  <si>
    <t>671f7669-b5b4-425f-a102-5c490bdd9317</t>
  </si>
  <si>
    <t>3fa6a22f-dccb-4e6a-b149-d2b59e99d1c8</t>
  </si>
  <si>
    <t>8fa86dc8-3efa-4e40-919f-8e0da57c1742</t>
  </si>
  <si>
    <t>598c016a-9b20-425a-ad59-6c63569d4f70</t>
  </si>
  <si>
    <t>2b608668-1d7b-4426-9a52-de3c19550619</t>
  </si>
  <si>
    <t>84e7651e-1756-4268-b1aa-61d9e6b2aa49</t>
  </si>
  <si>
    <t>818ac6bd-efcd-4757-9578-8647ab779a10</t>
  </si>
  <si>
    <t>27e96576-a6cc-4589-8012-a541940fb3a2</t>
  </si>
  <si>
    <t>e3911838-88e1-4c11-9106-506834fdc48d</t>
  </si>
  <si>
    <t>f33043c8-5087-4163-9594-e4ed88a507b1</t>
  </si>
  <si>
    <t>924d9906-c8a6-425b-b115-a88a3e6dd57d</t>
  </si>
  <si>
    <t>49abfef4-6ce6-4103-9ab5-dd17ca21d149</t>
  </si>
  <si>
    <t>81deb9e1-1428-4899-9df0-34bd5a6991fb</t>
  </si>
  <si>
    <t>db486480-5853-4631-bd57-43c271ad4539</t>
  </si>
  <si>
    <t>f41789bb-67ee-48d1-bdf1-b0dee198a19f</t>
  </si>
  <si>
    <t>6c759f07-ac82-454e-a638-bd4a83197274</t>
  </si>
  <si>
    <t>436040f9-05b3-4ee8-9cdc-c4f6b935de63</t>
  </si>
  <si>
    <t>9debd331-bddc-42d3-91fd-81125ceca216</t>
  </si>
  <si>
    <t>006032dd-bec8-407d-b886-906a5f010175</t>
  </si>
  <si>
    <t>8b0d0afd-f804-4882-ac86-eae83fc17208</t>
  </si>
  <si>
    <t>5b5da7fe-dbb8-4881-b874-59c0150648be</t>
  </si>
  <si>
    <t>59c088c8-e11d-4921-9630-bcb817786ecf</t>
  </si>
  <si>
    <t>e32cec54-023e-4b83-b795-50a316ff2a6d</t>
  </si>
  <si>
    <t>f016ed8f-38ce-4ef1-a66d-c83744debd36</t>
  </si>
  <si>
    <t>21c9b044-5f4c-4a22-aad6-ad86a0706f2b</t>
  </si>
  <si>
    <t>d073912b-a813-4d95-9683-74e708b0b90d</t>
  </si>
  <si>
    <t>8c4e1cc5-b35c-4c9d-9156-95daa45259e5</t>
  </si>
  <si>
    <t>0ac0e1d5-65eb-4694-b10f-7c6bebb39f14</t>
  </si>
  <si>
    <t>74e137e6-64e7-4350-aa8f-1b80de9323c7</t>
  </si>
  <si>
    <t>a65d981e-0dbe-4271-84d8-5795f2ea47d5</t>
  </si>
  <si>
    <t>d3b1cfe5-7f3f-4c62-985f-fb661a7b8bd8</t>
  </si>
  <si>
    <t>d3e10392-fae2-4b35-b7da-a627252e776b</t>
  </si>
  <si>
    <t>d9a59d28-1936-4fe8-80ce-adaf8bfc3f82</t>
  </si>
  <si>
    <t>f87090cc-c2f2-4326-98de-482eef5142dc</t>
  </si>
  <si>
    <t>b46f77f6-7153-4561-b07f-ff1256383d68</t>
  </si>
  <si>
    <t>ce923eed-a9b7-43af-b32a-50cb8836ee49</t>
  </si>
  <si>
    <t>877c0f7a-e94a-43ff-92b2-82756659fc19</t>
  </si>
  <si>
    <t>32439b30-3f82-4ebb-bc93-9e0da125a474</t>
  </si>
  <si>
    <t>1ce19655-fafe-48f3-82fa-e0fa4224b4b0</t>
  </si>
  <si>
    <t>9b0b4803-98e0-49b3-aae5-7b58d8e73a4a</t>
  </si>
  <si>
    <t>5369fa4c-f553-4e1f-b044-8773aaaf6c5c</t>
  </si>
  <si>
    <t>a7e7f826-90fb-4e17-aa83-1eabe2362184</t>
  </si>
  <si>
    <t>04c52a02-4fd7-4e89-a115-07231c340b9e</t>
  </si>
  <si>
    <t>c18a851d-bf98-420f-8292-6c7f8ebcffe7</t>
  </si>
  <si>
    <t>956857ad-3a96-41a9-ba2b-521e7a2c46ec</t>
  </si>
  <si>
    <t>505ca1e0-15bb-4599-914b-ec46811f0ad3</t>
  </si>
  <si>
    <t>e9ecf62d-0774-4e5a-ade2-d413fd9ac2b0</t>
  </si>
  <si>
    <t>99d3201c-d0a8-49bf-b046-7300ef3298f0</t>
  </si>
  <si>
    <t>178f0dcf-656d-423a-ac32-7b855a13a47a</t>
  </si>
  <si>
    <t>99fa40db-93fc-4f83-9016-7173d1b60986</t>
  </si>
  <si>
    <t>edb1009a-e36f-45e1-943e-33ff8f94633c</t>
  </si>
  <si>
    <t>ab52ae15-21af-4566-835f-1f7b5e666aa7</t>
  </si>
  <si>
    <t>b90224c6-c66c-4d61-adfb-653641e66118</t>
  </si>
  <si>
    <t>03d12a26-7b96-416b-b149-df35fcbc511b</t>
  </si>
  <si>
    <t>f063bcd5-ee78-4c97-8716-1b7e67f9720e</t>
  </si>
  <si>
    <t>8f4a02e9-d48d-45b7-96c5-e8ea5b20eb4a</t>
  </si>
  <si>
    <t>4cb0499d-8136-4483-9ec9-2d811a396363</t>
  </si>
  <si>
    <t>d25fcf0b-7a99-4ebc-9440-6de43f747b3c</t>
  </si>
  <si>
    <t>58789bda-dc5d-496f-ac3e-d0ccd2ccf83c</t>
  </si>
  <si>
    <t>ee965688-a101-48ba-9c8f-181f8df0e731</t>
  </si>
  <si>
    <t>feae2c20-0f0c-41c4-98fc-c5a484da3aa0</t>
  </si>
  <si>
    <t>75ab119e-9010-4d7b-8db1-986882750e17</t>
  </si>
  <si>
    <t>7c3e4814-d7e1-4205-ad91-5de625ced338</t>
  </si>
  <si>
    <t>c1d5406a-2124-495c-bfd5-bdfdf8873c8c</t>
  </si>
  <si>
    <t>a926551c-4a95-44b3-a8e4-597d7fc387d1</t>
  </si>
  <si>
    <t>5f1771b7-9ed0-4991-8a2c-ae034f67db1d</t>
  </si>
  <si>
    <t>9175d0c9-faa3-4466-ae6b-88eba28065e7</t>
  </si>
  <si>
    <t>7c1614f8-2715-44ee-8021-573628d1a4fc</t>
  </si>
  <si>
    <t>02a97e4f-c4dd-4223-9932-03bc2a4cbf46</t>
  </si>
  <si>
    <t>6fea8745-d00a-46b3-8236-180e3e663fae</t>
  </si>
  <si>
    <t>4846551a-b899-4c62-9947-b59fea85cfb9</t>
  </si>
  <si>
    <t>09c99ddc-e534-4fbe-a252-8ef416bb9c8f</t>
  </si>
  <si>
    <t>afbe03e2-92ce-4289-a2b8-5704c0ded471</t>
  </si>
  <si>
    <t>1f227582-de6a-4f85-bc3c-955ccec816dc</t>
  </si>
  <si>
    <t>1a8dbbb6-6973-4c18-87cb-30a52365f309</t>
  </si>
  <si>
    <t>8c312730-127d-4559-b177-a319625556db</t>
  </si>
  <si>
    <t>2828408e-43c6-4bd1-8415-aa8c2b7bd104</t>
  </si>
  <si>
    <t>f3a8240c-013a-4e4e-8cef-39cb1a376551</t>
  </si>
  <si>
    <t>aaeed6ed-5cb5-4b8e-b3fc-c86180d2c7af</t>
  </si>
  <si>
    <t>e4079a10-e946-4884-9bf7-8696541463fd</t>
  </si>
  <si>
    <t>38c2ac47-59bf-4a63-9c5b-20a33f0cb90a</t>
  </si>
  <si>
    <t>54787ead-eb47-4fde-9c75-3246dbefb23c</t>
  </si>
  <si>
    <t>f8c1c0d7-2d20-4983-9178-75e4f3291730</t>
  </si>
  <si>
    <t>6a032fa0-c5fd-4201-8131-8a4fdbec1e80</t>
  </si>
  <si>
    <t>48965ec8-be0f-4e14-9bf2-c16779d4d996</t>
  </si>
  <si>
    <t>3123d1a6-943d-4217-84cc-07b2d317617b</t>
  </si>
  <si>
    <t>349f4c2d-dbee-444d-9e59-3ed65ba24d2c</t>
  </si>
  <si>
    <t>af3ee7a3-e975-4e11-82b8-1232285624c3</t>
  </si>
  <si>
    <t>4286f010-09ed-460c-9568-819fc72a2c3e</t>
  </si>
  <si>
    <t>a60d1b7d-20f6-49d8-9df1-1db9e2dec279</t>
  </si>
  <si>
    <t>add6d12a-0732-45a0-bf5e-56e1c625e1be</t>
  </si>
  <si>
    <t>e4781fa2-cc47-4c53-b0b2-d548a815308c</t>
  </si>
  <si>
    <t>93a844b4-c9c0-4dc2-acee-116ba60b618f</t>
  </si>
  <si>
    <t>e3009605-9aae-45fd-be1c-ab32026f34e7</t>
  </si>
  <si>
    <t>2d93e5a5-4161-4c3d-a705-b347954453e9</t>
  </si>
  <si>
    <t>8191b2f7-3da3-4a2a-9bec-f96174045157</t>
  </si>
  <si>
    <t>9d6a45fb-89e8-417e-b21a-4375de8e4f60</t>
  </si>
  <si>
    <t>661b9103-9ac3-430e-b69c-98249b821366</t>
  </si>
  <si>
    <t>ca5e7e14-5eb9-49f6-ac98-f2d7a6764ddb</t>
  </si>
  <si>
    <t>7851972d-d64a-4cc1-9311-035001e11442</t>
  </si>
  <si>
    <t>9b0f6e23-cdb4-409f-8681-d28e1d59d047</t>
  </si>
  <si>
    <t>5b8ebe8b-888e-4bfe-8970-3b24ce58b7ae</t>
  </si>
  <si>
    <t>9e125fa3-946f-466e-ba9c-38e2fa0fedd4</t>
  </si>
  <si>
    <t>1c109272-6551-4230-942e-d0a7138c01c3</t>
  </si>
  <si>
    <t>99ceff51-e8b4-4188-a66d-b8bbfc42d08f</t>
  </si>
  <si>
    <t>ca699049-72d9-4dad-a8b6-f5e567fa39ad</t>
  </si>
  <si>
    <t>5d9489ed-65ae-4160-9560-3b93f870b854</t>
  </si>
  <si>
    <t>dcb857c8-1009-4519-bc8f-ba18fc5b6eed</t>
  </si>
  <si>
    <t>38374f75-3ce1-4ea0-bd0b-3f98389ba52a</t>
  </si>
  <si>
    <t>b553a199-6bcd-4deb-a5ac-19cf607274ef</t>
  </si>
  <si>
    <t>cb08f669-d8df-426b-88ab-2100f0cffa5c</t>
  </si>
  <si>
    <t>2eedfdf4-d10a-4ed8-aa04-4fd45548d454</t>
  </si>
  <si>
    <t>609e6c31-aba8-4a84-9c3c-7676445b42c5</t>
  </si>
  <si>
    <t>a0cc541a-1384-4fe1-937c-38a30a9d8597</t>
  </si>
  <si>
    <t>26088cbe-4f8d-458d-82fc-914fe7c31c04</t>
  </si>
  <si>
    <t>692615ce-7498-42f6-9e66-938fa6a6983f</t>
  </si>
  <si>
    <t>99ce62fb-a03e-4b38-a4a0-863f8882275f</t>
  </si>
  <si>
    <t>c629e821-300b-45df-8f7b-cf01063b8f83</t>
  </si>
  <si>
    <t>3c8b2b11-57c5-4a7a-b8a7-76872e672a53</t>
  </si>
  <si>
    <t>6b199e26-41c3-46ac-b706-c960795f32cc</t>
  </si>
  <si>
    <t>d00ac24f-1c5a-4ab9-8c71-807fb96ee85c</t>
  </si>
  <si>
    <t>16f1d8fd-f05e-4906-9885-90f2ef4dd4a5</t>
  </si>
  <si>
    <t>2aa03598-7ab3-470c-b482-66081549b8c5</t>
  </si>
  <si>
    <t>67bf69fc-88e6-4f6b-a6ef-cb257a1461c1</t>
  </si>
  <si>
    <t>2a1a25ef-6a1b-49d3-bfbb-a3258a680955</t>
  </si>
  <si>
    <t>8e9b95ec-f883-4020-944a-80e67e698408</t>
  </si>
  <si>
    <t>9e26d4c1-ca0c-4baf-b599-14a4bc1a5fd5</t>
  </si>
  <si>
    <t>e47ec39e-2b58-4ef9-82c6-0d3b20f7e18b</t>
  </si>
  <si>
    <t>589c5cd9-a7d6-4ba2-8b47-662182994049</t>
  </si>
  <si>
    <t>a92de986-d655-4c2b-bc01-da3a754a8c00</t>
  </si>
  <si>
    <t>ce3bb267-248a-4a75-a935-eced4845ea97</t>
  </si>
  <si>
    <t>5d399438-e183-4a55-8cd1-c8a3ace22457</t>
  </si>
  <si>
    <t>f73190d2-f75f-455d-b975-4b4ee2389043</t>
  </si>
  <si>
    <t>1119ae64-3891-4c98-9dd6-5296f2ae229e</t>
  </si>
  <si>
    <t>b0052018-ece9-43da-8be1-879adebbcea5</t>
  </si>
  <si>
    <t>ae35df18-fc9f-4651-962b-ab690f22e201</t>
  </si>
  <si>
    <t>09407aa8-345c-4274-8297-abd9e972cf14</t>
  </si>
  <si>
    <t>af385642-448f-4bd9-937f-ad10fdbe8960</t>
  </si>
  <si>
    <t>afe6373c-aa10-4ee8-a160-3a546f17171e</t>
  </si>
  <si>
    <t>8123fb56-c869-4814-9739-31971b2d3938</t>
  </si>
  <si>
    <t>cd40ff1f-86ec-4f54-b920-18bd819037c0</t>
  </si>
  <si>
    <t>CL: Hi Team,
I’d like to kindly request time off for my approved carer's leave.
Thank you for your understanding and support!</t>
  </si>
  <si>
    <t>481f8547-1115-474b-9b0e-2af59858fe4a</t>
  </si>
  <si>
    <t>ffbc1912-4c6b-4931-bc2e-290cd03e65e3</t>
  </si>
  <si>
    <t>035f5e51-70a6-4eee-91d8-338ff430f187</t>
  </si>
  <si>
    <t>53876d9b-7d37-4d5b-9f43-04e253b3c57a</t>
  </si>
  <si>
    <t>f456f797-750e-4c2d-8429-47590552f593</t>
  </si>
  <si>
    <t>6cbf93b0-7299-4b02-9c8f-bb820bed5a9f</t>
  </si>
  <si>
    <t>072e8943-9fb8-412e-b272-ea4f95c7133c</t>
  </si>
  <si>
    <t>812d81a4-be71-4e20-9dba-eebb7f9dcbb9</t>
  </si>
  <si>
    <t>27553c9a-f3e4-4f89-ae12-3e4ffb1e3ad3</t>
  </si>
  <si>
    <t>87c28a4b-4896-46b8-85d9-3793059e29bf</t>
  </si>
  <si>
    <t>e9b98c2e-c9aa-4094-805d-2243d66000cb</t>
  </si>
  <si>
    <t>9706ad18-31b1-481c-ab6c-76165977d40f</t>
  </si>
  <si>
    <t>bda3b40e-b196-44ad-b704-737ac632185b</t>
  </si>
  <si>
    <t>57b28b8d-6478-441e-bdc5-0a2e91a4c878</t>
  </si>
  <si>
    <t>543e38c5-1e71-48d4-bbdd-626308fbe903</t>
  </si>
  <si>
    <t>579bccce-4a39-40eb-911a-c8eeae43dc42</t>
  </si>
  <si>
    <t>c9878f1b-6b74-43ed-9af8-730edbce0053</t>
  </si>
  <si>
    <t>b4c80b74-8089-455a-8a0e-28f61b0eb72d</t>
  </si>
  <si>
    <t>4d956451-a99f-4ce7-904f-04ce8aa5255c</t>
  </si>
  <si>
    <t>fd3fa3c3-c028-4348-8956-5001e8133c87</t>
  </si>
  <si>
    <t>7f07762b-f165-45c0-b58f-493e5d0b6e6d</t>
  </si>
  <si>
    <t>7c2dbf57-dcc9-422e-b6c5-fff69599d0d1</t>
  </si>
  <si>
    <t>d3e5a9a8-1144-4de0-a87c-aaf5961a3869</t>
  </si>
  <si>
    <t>f16cb327-fa03-43bf-aa83-ebbab403baa5</t>
  </si>
  <si>
    <t>a9524f6b-b99b-42c9-b926-a1b4564ee235</t>
  </si>
  <si>
    <t>4cd6ea59-0d6e-4f1e-8ffe-e09151414ed8</t>
  </si>
  <si>
    <t>f67ca62c-e159-45f9-9414-e4c88b64d505</t>
  </si>
  <si>
    <t>5daf64e8-64bb-41a1-9c0d-a87ba33fef20</t>
  </si>
  <si>
    <t>ef25f837-38c4-4375-bab1-0a1610e36f7b</t>
  </si>
  <si>
    <t>7071cd83-dc61-434c-8ce2-98559a2b2ed7</t>
  </si>
  <si>
    <t>8f1b963d-4b5b-495f-a822-f6bbba846c49</t>
  </si>
  <si>
    <t>874e0e01-e7f7-4601-86f4-d1138f090c95</t>
  </si>
  <si>
    <t>ec71123c-eb1d-4160-b7ce-32841ef0779e</t>
  </si>
  <si>
    <t>99836994-aded-4d6c-aba9-cb9818d8f25c</t>
  </si>
  <si>
    <t>36f3e2c7-e634-484d-803e-37bcf3337029</t>
  </si>
  <si>
    <t>146ed20b-5baf-41e3-b99c-5e13d011e300</t>
  </si>
  <si>
    <t>cf6369a8-0307-4184-9844-d40378a222aa</t>
  </si>
  <si>
    <t>7bf59080-8b78-4719-a334-d18a8af8bc72</t>
  </si>
  <si>
    <t>f140e832-afa2-44ba-bd75-cf50240beced</t>
  </si>
  <si>
    <t>34397c75-a7b5-443f-8ecf-88ceb30aba44</t>
  </si>
  <si>
    <t>e44bd535-bbc8-477b-8558-dfa101a5a16d</t>
  </si>
  <si>
    <t>112a0cd1-b68b-42a6-a56a-e9c86100fcf9</t>
  </si>
  <si>
    <t>97f962af-5489-4d9e-b647-9406dfdc6406</t>
  </si>
  <si>
    <t>801ab898-a77c-4983-b5ed-eb138abf7f48</t>
  </si>
  <si>
    <t>961d021c-15fe-4ae9-a5f9-2b510512bb7e</t>
  </si>
  <si>
    <t>3adab7e3-f158-4aef-b238-fa29fd32db26</t>
  </si>
  <si>
    <t>411705f6-a158-45c5-a9e1-fcacd3ea2ea6</t>
  </si>
  <si>
    <t>1df5f883-d101-4026-bc04-fcc9d36e17a3</t>
  </si>
  <si>
    <t>e4cbc0ae-ad9a-418f-bf6d-be4ba92169e0</t>
  </si>
  <si>
    <t>d54ad233-08e3-4513-b16a-dbcb7905e57a</t>
  </si>
  <si>
    <t>4fd0c8d1-d82e-45b5-8280-6dfd1ca99b2c</t>
  </si>
  <si>
    <t>5632186b-bfb3-49ea-b6d8-507ac4ca2df0</t>
  </si>
  <si>
    <t>When to edit CAL responses training</t>
  </si>
  <si>
    <t>58597211-5e03-4d97-a3c2-7bb2b4e7a0e6</t>
  </si>
  <si>
    <t>SEE Survey</t>
  </si>
  <si>
    <t>9e699163-2101-4ff2-bdb9-a70593b572a0</t>
  </si>
  <si>
    <t>e4bbc948-3b32-4898-a216-ec1596693bde</t>
  </si>
  <si>
    <t>c05865b7-b2f5-4105-ab17-b6eac054738f</t>
  </si>
  <si>
    <t>f0a28201-d043-4a1b-ace9-cb9fe713d6b0</t>
  </si>
  <si>
    <t>a06ee69f-e256-48bb-b6a9-e4bbe19c31cb</t>
  </si>
  <si>
    <t>316d1277-98d7-4636-83b2-d10104205c37</t>
  </si>
  <si>
    <t>e1cfe93b-bf45-4619-aca9-27f28492f490</t>
  </si>
  <si>
    <t>884ef00b-666c-4bc2-8b0e-a9aed65f43c6</t>
  </si>
  <si>
    <t>d6894e92-da6c-464a-ac5b-9d002a1216af</t>
  </si>
  <si>
    <t>60e5ef79-4291-43f1-9e51-6990a7d7797f</t>
  </si>
  <si>
    <t>144181fe-28d4-43c5-b751-d4e8a40c5e95</t>
  </si>
  <si>
    <t>cd26f450-4e89-443e-980f-c9521e5cd0f3</t>
  </si>
  <si>
    <t>ca5532aa-4a3b-4c97-8cc0-5e96c4ad51f9</t>
  </si>
  <si>
    <t>37764de3-053a-4852-962e-27cf4db01450</t>
  </si>
  <si>
    <t>e7da9cdf-fa3b-450c-b9b9-756db17fbb49</t>
  </si>
  <si>
    <t>a57f5bb8-720c-480d-8822-2e01b242b9d9</t>
  </si>
  <si>
    <t>d91314ee-bd88-4c8e-bd6d-be3f75534881</t>
  </si>
  <si>
    <t>0314b422-9384-4fd1-ad02-4567598e136c</t>
  </si>
  <si>
    <t>993349f0-f24a-4906-9894-9c6418537427</t>
  </si>
  <si>
    <t>9b39bc6c-1fe4-46ff-bcc5-8d9225bf3ed4</t>
  </si>
  <si>
    <t>9849075a-f59e-468d-83c9-eb9e709b7e09</t>
  </si>
  <si>
    <t>aa432afa-0ded-4497-b2f8-f9be68f82115</t>
  </si>
  <si>
    <t>e4623373-28ba-4eee-9c9b-7ea07275e2fe</t>
  </si>
  <si>
    <t>02136365-87dd-4048-82e0-62309bcd2629</t>
  </si>
  <si>
    <t>8cd142bc-fc2b-4585-9e32-c0dad93f9491</t>
  </si>
  <si>
    <t>ffd40aa4-edcc-4dcd-94ca-9bd27dc7d679</t>
  </si>
  <si>
    <t>caa02d5b-6033-4467-8a53-15723baf3c65</t>
  </si>
  <si>
    <t>edd3e292-7b8c-4c02-8da2-7cbc7cc11bb6</t>
  </si>
  <si>
    <t>c6cb9d9e-32fd-4391-b4a6-4d29eb8ab98a</t>
  </si>
  <si>
    <t>cb7c255d-a3b6-48b3-82c4-ef674b9b3a27</t>
  </si>
  <si>
    <t>a1993c96-994b-4ae5-99c5-296c04a07012</t>
  </si>
  <si>
    <t>787ef3af-32a4-46e9-a0da-ef8e8eb4749f</t>
  </si>
  <si>
    <t>acd89d62-cd93-4109-8072-420d684d2b2f</t>
  </si>
  <si>
    <t>66713fc3-df90-40c3-8bc9-3219bf62f803</t>
  </si>
  <si>
    <t>c021a513-bcca-4194-8308-1ff6a95b5650</t>
  </si>
  <si>
    <t>61572767-e9d0-4ac3-855d-1feb5087003d</t>
  </si>
  <si>
    <t>857f018e-fe7a-490d-8d40-5f250eb899da</t>
  </si>
  <si>
    <t>9586c4de-1c0e-4144-a6e8-e44a96c478a8</t>
  </si>
  <si>
    <t>2444be03-0ad4-414e-9327-06bf3c75d9fb</t>
  </si>
  <si>
    <t>cfcadad0-7f9a-4cd9-89b5-43400df87cf2</t>
  </si>
  <si>
    <t>8447c08d-7f89-4fc1-a5ab-6fa43a6c77c7</t>
  </si>
  <si>
    <t>Bi-Annual Security and Privacy Refresher Quiz</t>
  </si>
  <si>
    <t>16b26024-e81f-400a-9a32-3b341f8d5d12</t>
  </si>
  <si>
    <t>d07358a5-74cc-4f94-bce8-befb1c74eb7a</t>
  </si>
  <si>
    <t>c5b6044e-3f3f-4d97-83f6-40b412a0270b</t>
  </si>
  <si>
    <t>e921970b-ef56-4569-a4a5-ca436f185031</t>
  </si>
  <si>
    <t>b0e1dd88-3ba1-416a-8ed0-b8d4eb8307d4</t>
  </si>
  <si>
    <t>4b8bbc15-0a1c-4323-9279-2a3d7356a0ea</t>
  </si>
  <si>
    <t>cbcd23bd-1cf7-4941-840b-0e34ce9b3fa3</t>
  </si>
  <si>
    <t>a5d1b6b0-fac7-48f9-9681-03aa42951807</t>
  </si>
  <si>
    <t>43473bb1-4a1e-4086-b95a-11da4d11a676</t>
  </si>
  <si>
    <t>56a7b254-1a15-4af5-ac5c-8a0560634bc3</t>
  </si>
  <si>
    <t>adaf7920-5aaf-46c4-a760-6b7c8e2ef167</t>
  </si>
  <si>
    <t>75836d0b-3e64-4228-88fc-ba711f279c9a</t>
  </si>
  <si>
    <t>63e13a04-0997-4f0e-9139-c8a2ccf39f8a</t>
  </si>
  <si>
    <t>708d07dd-decb-4935-aafb-96813535f1c5</t>
  </si>
  <si>
    <t>c6a3fc29-f3a5-4945-b1c8-b59da3326aa8</t>
  </si>
  <si>
    <t>7ab3a69c-4c8f-4011-8651-c8160e72076b</t>
  </si>
  <si>
    <t>e9360117-b6d5-4fb5-b9ae-614a8b42690a</t>
  </si>
  <si>
    <t>92a9d6c2-9e21-47c4-8967-1dcf7139e743</t>
  </si>
  <si>
    <t>f58e4283-16d4-4e46-9e8d-b3016e8cc3c1</t>
  </si>
  <si>
    <t>f4a59a65-eda5-4855-8da1-8830f05cb0d1</t>
  </si>
  <si>
    <t>dde635fb-44af-4c25-9602-46383b035c6f</t>
  </si>
  <si>
    <t>efdf8040-af22-4926-85af-05bfd76a6ebd</t>
  </si>
  <si>
    <t>e7e8e387-a0ec-4660-b16c-5e824bd7cbec</t>
  </si>
  <si>
    <t>f07c357d-ceaa-4d38-b901-fa4cd95775cb</t>
  </si>
  <si>
    <t>aba5f569-af6e-482e-bd3c-5ab1c870b9d4</t>
  </si>
  <si>
    <t>d96369fa-563e-47d5-a094-eeff4e9ee461</t>
  </si>
  <si>
    <t>40647d6e-9d28-4e09-8926-36d22b96d2ec</t>
  </si>
  <si>
    <t>81c2cdaf-bb24-4b67-ab8f-3f8b910a7d41</t>
  </si>
  <si>
    <t>4a0ad544-69f8-4212-bedb-f81500f7c2c4</t>
  </si>
  <si>
    <t>025742bc-482d-4129-85f4-ece339312112</t>
  </si>
  <si>
    <t>f0418d48-fffe-4f76-9c45-a5943697d0b4</t>
  </si>
  <si>
    <t>efe81524-bce7-4016-a277-d677746137e1</t>
  </si>
  <si>
    <t>248d5edd-ab38-43d6-b31a-98f962fdc241</t>
  </si>
  <si>
    <t>68fc11b0-653c-4315-bd00-585ea0546e55</t>
  </si>
  <si>
    <t>e2ab87d8-50da-4b9e-844a-55adda761749</t>
  </si>
  <si>
    <t>19398bd4-b114-4d20-bf69-11398fbb937c</t>
  </si>
  <si>
    <t>83720d5e-70fc-4dfe-9716-5df615128c18</t>
  </si>
  <si>
    <t>c7e9bb5d-7ceb-4fc6-a4f7-421ea16b1a78</t>
  </si>
  <si>
    <t>bf7ca7ca-36fb-4549-ad4b-8934b3d45268</t>
  </si>
  <si>
    <t>6caad9c9-fe7f-4554-a66e-dc1ef54ce766</t>
  </si>
  <si>
    <t>99a0b8c7-0d34-42e6-95e5-4122e7e0f2e5</t>
  </si>
  <si>
    <t>9d10f642-8747-496d-b978-5fdf2a677888</t>
  </si>
  <si>
    <t>50110783-68f5-4788-9c2e-c881c1345cef</t>
  </si>
  <si>
    <t>d6f2b9be-8dc5-44c7-aa6e-bad1069a85a2</t>
  </si>
  <si>
    <t>bfd5b523-e6ac-4e19-8366-dfc260b3c12b</t>
  </si>
  <si>
    <t>fd46eab9-6f69-4472-8d87-acd0cd6fa942</t>
  </si>
  <si>
    <t>d36e6811-d9a9-4d4b-a839-31cbceeae92a</t>
  </si>
  <si>
    <t>7f000024-4624-4bd2-950b-8c4d4c10f5ac</t>
  </si>
  <si>
    <t>317b9a96-7211-4448-bd70-bc95e1d3d0a0</t>
  </si>
  <si>
    <t>989f4180-02e2-4c47-90f2-664042954b38</t>
  </si>
  <si>
    <t>bb13d758-d9ac-45c3-8a8f-0ea7d120d79b</t>
  </si>
  <si>
    <t>430474bb-10ed-4f93-aaaa-638e796b2495</t>
  </si>
  <si>
    <t>0c176935-fadd-4649-9fd7-ad573bf1e19d</t>
  </si>
  <si>
    <t>Cal</t>
  </si>
  <si>
    <t>9074d49f-89d5-4c28-a10e-827d6a38c61e</t>
  </si>
  <si>
    <t>SEE survey</t>
  </si>
  <si>
    <t>b647caeb-252d-485c-bb74-9d756092ac2d</t>
  </si>
  <si>
    <t>b5f5baaa-cba7-444d-96fc-0c9eba7a56a0</t>
  </si>
  <si>
    <t>a7b01383-9ca5-4e39-a1d3-fc7810ca3424</t>
  </si>
  <si>
    <t>70e15edf-b215-4b5b-b2a7-e37e3675d6b0</t>
  </si>
  <si>
    <t>d2962caa-1a53-43f5-97b8-4f3dbfaeb017</t>
  </si>
  <si>
    <t>7def360e-31cd-424a-b45a-cf738fb68473</t>
  </si>
  <si>
    <t>f984f319-cd1d-4830-a4f0-e1689184bb9d</t>
  </si>
  <si>
    <t>b4c025c4-b6e5-4a5c-a242-b7a6ae4afbfb</t>
  </si>
  <si>
    <t>21266800-75e5-4db6-aef6-efcce6fca123</t>
  </si>
  <si>
    <t>8baf5643-94ce-45aa-8280-27d529f36708</t>
  </si>
  <si>
    <t>4a3c5a6e-f0fa-410d-b9ff-ff4bf93577fb</t>
  </si>
  <si>
    <t>75cc56a6-7567-4530-b033-7badc1d160a6</t>
  </si>
  <si>
    <t>7f3fb867-280f-414f-bb90-10ef430f21fe</t>
  </si>
  <si>
    <t>9b26fd7f-0ec2-4b29-98de-8528c3299454</t>
  </si>
  <si>
    <t>1820847e-08cc-4505-98d0-3c2607ee86f0</t>
  </si>
  <si>
    <t>a3d8b7bd-9330-4d94-a8fe-e881475d7ddd</t>
  </si>
  <si>
    <t>1159a975-d186-4f21-ae0f-2b780c914e93</t>
  </si>
  <si>
    <t>b0caadc9-fe3d-4aca-bb7d-b1f81acd4ea3</t>
  </si>
  <si>
    <t>235536a3-7ea8-4af5-8d5a-b3ffddfc8855</t>
  </si>
  <si>
    <t>e9743f4c-d8ee-477e-9f1f-3a23f592a99e</t>
  </si>
  <si>
    <t>b4df4edd-626a-49c3-b867-e6c9602816c7</t>
  </si>
  <si>
    <t>Cop task</t>
  </si>
  <si>
    <t>8d8beb34-c21d-4e52-82fb-0f35e2112fb2</t>
  </si>
  <si>
    <t>cd484162-dbc6-4983-bcc3-27b0257f2bad</t>
  </si>
  <si>
    <t>175bfee5-d721-4243-aae3-6bb15919feb8</t>
  </si>
  <si>
    <t>67b363d8-3a98-4da0-bf22-6c2034d4502d</t>
  </si>
  <si>
    <t>f0453c98-2ae6-4f57-9ba9-07239449d08c</t>
  </si>
  <si>
    <t>3818ba45-f3e0-4259-b556-57ddba6e6ba1</t>
  </si>
  <si>
    <t>9477dde5-43f6-409b-80cc-48c587d24206</t>
  </si>
  <si>
    <t>9e050f97-586c-4951-bc7b-0d5813e831f8</t>
  </si>
  <si>
    <t>Deferred due to long chat</t>
  </si>
  <si>
    <t>efb3c10d-2df6-41cd-a92e-7099510fa51e</t>
  </si>
  <si>
    <t>54811e1e-3801-4cc0-bf52-9f618a3aa75e</t>
  </si>
  <si>
    <t>1a36ff0a-2360-4fb6-bb37-194878db2a50</t>
  </si>
  <si>
    <t>433f4f0a-c685-4959-87c5-73b3e5bea57d</t>
  </si>
  <si>
    <t>609ad074-1dd5-4a5d-a98b-6222b51c5213</t>
  </si>
  <si>
    <t>dbb11672-1e9a-4531-9dc7-7b72febdff3e</t>
  </si>
  <si>
    <t>34f9848e-137e-494f-a31e-fed091125b8f</t>
  </si>
  <si>
    <t>197db046-8cc6-4a7d-8584-2f5af3affd28</t>
  </si>
  <si>
    <t>06e81909-5f2d-464d-a04f-ad88cdf3ff76</t>
  </si>
  <si>
    <t>632eafa2-e334-47a3-b434-64b926c6c19c</t>
  </si>
  <si>
    <t>43f4c17c-56a0-4031-a507-7ff382120f94</t>
  </si>
  <si>
    <t>088ff9f2-8d81-4b95-a1a7-89200b477fba</t>
  </si>
  <si>
    <t>4e79f075-df89-4dc9-8b82-c31b59a4dc8c</t>
  </si>
  <si>
    <t>1c985622-0761-40c8-86d0-33d1a81c8445</t>
  </si>
  <si>
    <t>ac61a652-06a6-4bf2-83ae-15e37543b02b</t>
  </si>
  <si>
    <t>7000b1b3-4eab-4211-b44f-e1b1864fb3a7</t>
  </si>
  <si>
    <t>7a8ba139-1e6d-4e29-a795-a5b776ee5784</t>
  </si>
  <si>
    <t>80666605-274d-4c23-8e83-a6805b83e2bb</t>
  </si>
  <si>
    <t>4d5b1db9-9e65-474a-ba05-4209c8f8d26f</t>
  </si>
  <si>
    <t>af8fd2cc-683b-4843-a437-87e9544668fe</t>
  </si>
  <si>
    <t>c7b4dc63-28d7-42bf-ab45-6484e5654b29</t>
  </si>
  <si>
    <t>f01d1777-0db9-4646-adc9-d29a68ef3a2e</t>
  </si>
  <si>
    <t>729d0d4c-4579-406d-9b0f-6e2be743b9a3</t>
  </si>
  <si>
    <t>a148c475-268d-4f4a-8ae3-838d225b4bd2</t>
  </si>
  <si>
    <t>ab360745-b273-4b16-8da2-179bddead4f4</t>
  </si>
  <si>
    <t>78311ef9-162f-435b-9ba0-5ddb5d6e49a2</t>
  </si>
  <si>
    <t>3bae2789-ff14-4bde-983a-9bbc81a5d7ad</t>
  </si>
  <si>
    <t>28731edc-d843-4bb4-a0f9-c34d6587202e</t>
  </si>
  <si>
    <t>2794198e-e7aa-4fb1-aab2-82bc6d493c54</t>
  </si>
  <si>
    <t>0cb261b0-a441-4416-93db-0ac54d52ed7e</t>
  </si>
  <si>
    <t>c9ce4cb7-55f5-41ed-9de3-9241be8d9210</t>
  </si>
  <si>
    <t>916fa9bf-37b1-48d8-b084-3ec226afe1b1</t>
  </si>
  <si>
    <t>9c178002-69ab-453b-a7d5-879eecca6b08</t>
  </si>
  <si>
    <t>56c1a307-311d-4c43-afec-6684d01dbe0e</t>
  </si>
  <si>
    <t>7120762e-2956-43b9-8a86-03539218d7e2</t>
  </si>
  <si>
    <t>2c6c3b4a-4ab4-40db-be8b-5b416b05d0c0</t>
  </si>
  <si>
    <t>34779c92-9bce-4400-8820-fbe1131873fd</t>
  </si>
  <si>
    <t>180ee054-8c72-4187-a9b4-c2c5e726c00f</t>
  </si>
  <si>
    <t>144cdaef-e1ae-478f-9ebb-c6d822aaac72</t>
  </si>
  <si>
    <t>f584512c-c206-46aa-a847-2ecc1b653d50</t>
  </si>
  <si>
    <t>d5c17da7-f596-4ba2-b5c5-c651879c29d4</t>
  </si>
  <si>
    <t>03a543fa-6647-4c70-8d89-8d0e1affbded</t>
  </si>
  <si>
    <t>0a08795f-baff-40d3-a674-7ab7ce61ee1e</t>
  </si>
  <si>
    <t>733de735-6257-41b7-a630-b5f2941567a7</t>
  </si>
  <si>
    <t>306ab9d6-f910-43fc-bcb1-44a9fb4a33fd</t>
  </si>
  <si>
    <t>8dd7504d-0fe9-4d24-bdf4-509cc4355235</t>
  </si>
  <si>
    <t>e1dd2e95-f6b9-45c9-8883-dba7253f1142</t>
  </si>
  <si>
    <t>c42ed9f5-a277-4ee3-8b43-2bf9f1206b00</t>
  </si>
  <si>
    <t>b1e9aac1-4831-4939-a96c-f45a74ff69ad</t>
  </si>
  <si>
    <t>20916c8b-01dd-4ff6-ad51-f0a588457b65</t>
  </si>
  <si>
    <t>11ee8154-cdda-440f-af13-c0df487f159a</t>
  </si>
  <si>
    <t>3968ab3b-9d78-4e87-a54c-8e315108a16a</t>
  </si>
  <si>
    <t>Late lunch. Long chat</t>
  </si>
  <si>
    <t>883f0900-d9e9-4ee8-bcfc-884087f92eec</t>
  </si>
  <si>
    <t>2b1f5467-0ce4-48e2-a080-53ab148dffb3</t>
  </si>
  <si>
    <t>c8978f82-9faf-4c17-88bd-8c1de41dd703</t>
  </si>
  <si>
    <t>0c551c67-b188-4429-8f05-06a9e45fe9a2</t>
  </si>
  <si>
    <t>36a2516a-7469-4d7b-838a-1c23ceaaeaa7</t>
  </si>
  <si>
    <t>487a9832-672b-4202-a985-5fa43b71cf0f</t>
  </si>
  <si>
    <t>4843991c-0ed2-47b6-b05c-c42edf5d102c</t>
  </si>
  <si>
    <t>3f0c5af1-038f-4fba-a095-b064960d73ec</t>
  </si>
  <si>
    <t>e72126b2-8b60-418f-bc5a-7d6cacca255e</t>
  </si>
  <si>
    <t>da3b1acd-1556-48f8-8823-7c465a49a704</t>
  </si>
  <si>
    <t>f4c20354-f454-4c0d-94af-5c98c903fa2f</t>
  </si>
  <si>
    <t>d54b5f50-cc1f-4d9a-8b35-694217576729</t>
  </si>
  <si>
    <t>2c3f1a02-12af-452d-879d-ec9d234e295d</t>
  </si>
  <si>
    <t>3e07dab1-72c3-497a-99e0-48a5e62a1b37</t>
  </si>
  <si>
    <t>c3d13acc-c407-46a4-a2ad-300fa42a3525</t>
  </si>
  <si>
    <t>546d06e8-5536-4d82-8274-2d13cd8155d9</t>
  </si>
  <si>
    <t>edit cal's response</t>
  </si>
  <si>
    <t>92426e1d-b0e5-4835-8207-39d40ee47942</t>
  </si>
  <si>
    <t>4512a05f-fb15-47ad-9a8f-7cb33bdc222d</t>
  </si>
  <si>
    <t>14445b38-a0e5-4e74-9250-32fd85532354</t>
  </si>
  <si>
    <t>140f3d64-8d22-42bc-88fe-c7fc132b6fdd</t>
  </si>
  <si>
    <t>be0394f8-a83e-48d6-82d8-e57e83634413</t>
  </si>
  <si>
    <t>8274bab9-614d-4622-a704-db4034d8d814</t>
  </si>
  <si>
    <t>43d7dd29-5322-4280-b025-039ce54e3cdb</t>
  </si>
  <si>
    <t>1df9aa78-07b4-4218-825c-29bc1c8cb1a1</t>
  </si>
  <si>
    <t>7403fbc6-932b-4ad8-bb34-127d7b292426</t>
  </si>
  <si>
    <t>f9c907bb-67ca-41a1-be20-0d1b9d70791e</t>
  </si>
  <si>
    <t>5611989c-9c51-4361-b8bd-f1f152016b36</t>
  </si>
  <si>
    <t>0863acb4-aa79-4e81-8f72-a58831385362</t>
  </si>
  <si>
    <t>0edf145a-a612-4ab7-9cf4-023991c7c662</t>
  </si>
  <si>
    <t>3c16745d-3d3b-4f3c-9705-99c15f95eeb6</t>
  </si>
  <si>
    <t>ea9ef0c3-ca23-443a-92b8-9621ee07d4f4</t>
  </si>
  <si>
    <t>lactation break and 30 min break</t>
  </si>
  <si>
    <t>68b65747-32e2-404a-aad3-76e744c1e554</t>
  </si>
  <si>
    <t>dbfa7692-c5bd-4f8c-b694-8a1cfae24eef</t>
  </si>
  <si>
    <t>1cf86d2c-0afe-421d-973a-06bbb5d4ddac</t>
  </si>
  <si>
    <t>4cfd9db6-2487-4f20-ae13-a556a0136cf9</t>
  </si>
  <si>
    <t>cae27652-7d57-4373-abba-e286f60a6803</t>
  </si>
  <si>
    <t>a9d5063c-ecc8-44ae-ae23-9c0ca54e905f</t>
  </si>
  <si>
    <t>dea0f64b-d52f-41bd-8854-e65c9e4f2e5f</t>
  </si>
  <si>
    <t>8d477a09-8a85-48f8-8242-c97a9e91a042</t>
  </si>
  <si>
    <t>bf1ab7d0-03e5-4457-80ca-645a2d6015d3</t>
  </si>
  <si>
    <t>9923a048-305e-4a3f-ab4d-5a268716c02c</t>
  </si>
  <si>
    <t>2cbef45d-7078-43cd-a3c8-63b6cbef9587</t>
  </si>
  <si>
    <t>a57365cc-98d0-4964-b7df-18d32d3bcda5</t>
  </si>
  <si>
    <t>493d40e2-230d-4730-bdeb-857680efe61a</t>
  </si>
  <si>
    <t>cd089170-2d90-4df1-b325-390df76cce08</t>
  </si>
  <si>
    <t>3c680038-4970-496d-a704-4054075f3142</t>
  </si>
  <si>
    <t>3a83b32a-4276-4a24-80bb-b9d60e1b2f5a</t>
  </si>
  <si>
    <t>67bc6ea0-be81-4390-9ba8-8672e1a362a9</t>
  </si>
  <si>
    <t>f9b9fa3d-6404-4ab9-ba14-6941e2f1ed49</t>
  </si>
  <si>
    <t>f1cb34d2-fa63-41f1-95e6-18b736bfac6a</t>
  </si>
  <si>
    <t>e10987a1-bdc6-4e2c-9dbc-94165de22e92</t>
  </si>
  <si>
    <t>c3750a09-ddae-4bdd-9b47-1410a285e996</t>
  </si>
  <si>
    <t>1824cd5b-0f90-4800-b7b2-9a4bc59696a4</t>
  </si>
  <si>
    <t>Vacation leave because my brother is here please allow me please please</t>
  </si>
  <si>
    <t>0172e1be-e3a9-4b1a-9517-99e8f9d6c0f9</t>
  </si>
  <si>
    <t>ea9040d3-d563-421d-87ab-8e0675909254</t>
  </si>
  <si>
    <t>2ac0ebfb-1fb5-4d70-a570-fb4ce3ccc8aa</t>
  </si>
  <si>
    <t>08e60db5-9bae-496a-ae56-def41d94456d</t>
  </si>
  <si>
    <t>b482f8bf-a7c2-4eb1-acee-6d9a292fa836</t>
  </si>
  <si>
    <t>e8265841-3cd3-480d-a902-4324355f78a5</t>
  </si>
  <si>
    <t>6715eead-5483-4b0e-8a76-f4b4503eb1e3</t>
  </si>
  <si>
    <t>dc497d4c-17c9-4fae-bec6-84525af7bf4f</t>
  </si>
  <si>
    <t>956fc9fd-1691-47a8-8214-bfc0dcca1827</t>
  </si>
  <si>
    <t>d740b3d9-d709-482f-8fb9-336223fc71a3</t>
  </si>
  <si>
    <t>e49feee6-1155-42e5-bb92-dfd87aefd72a</t>
  </si>
  <si>
    <t>db384f11-0a7f-42d9-af96-52638b903584</t>
  </si>
  <si>
    <t>47c0dae2-1744-45a8-bb64-c85d3efd9fba</t>
  </si>
  <si>
    <t>328f8f9c-51b7-44d5-aad3-75e4a1de170a</t>
  </si>
  <si>
    <t>fb9e7379-fc75-470f-ab25-10c924a40936</t>
  </si>
  <si>
    <t>c08ec7e7-1143-4cd0-9657-a395cbba0c70</t>
  </si>
  <si>
    <t>c3ae9326-f365-4a19-a3d7-819b83e98bce</t>
  </si>
  <si>
    <t>7303e15d-512f-4872-aae7-38e584913d7d</t>
  </si>
  <si>
    <t>my brother came home who i havent seen for 5 years please allow me please!</t>
  </si>
  <si>
    <t>9a9eaace-96e9-4035-ba85-9ed5c5a5449e</t>
  </si>
  <si>
    <t>1a0f0242-1b3b-4b11-aad2-6f6c7e6444c6</t>
  </si>
  <si>
    <t>f925c429-64c0-4e66-b304-4da53c584707</t>
  </si>
  <si>
    <t>4610b616-045b-48e2-999f-c6a7d354013c</t>
  </si>
  <si>
    <t>92dff49d-373f-47a8-8043-9db53faef7f7</t>
  </si>
  <si>
    <t>00d25f32-ad8b-4516-918f-bcb8c6b080ea</t>
  </si>
  <si>
    <t>da12df25-f60c-44d6-9112-c119dca491d5</t>
  </si>
  <si>
    <t>206c6156-08ce-4942-b91d-f9bd629f39c0</t>
  </si>
  <si>
    <t>Did not take break to offset over break during lunch</t>
  </si>
  <si>
    <t>8d150213-3b5c-4db0-83db-76e1f7a0992e</t>
  </si>
  <si>
    <t>bc79d112-c871-4f1e-bc93-ba43ef5ac57d</t>
  </si>
  <si>
    <t>Off set over break during lunch</t>
  </si>
  <si>
    <t>e4f7aa64-9dc0-4fbf-ace6-a6d5d5f20236</t>
  </si>
  <si>
    <t>e9db7d5b-3227-47b9-a9bf-64c3bb0bddcd</t>
  </si>
  <si>
    <t>5c114590-bc95-44fa-adf0-0e522ff14a5c</t>
  </si>
  <si>
    <t>0ae023e2-3262-46c4-bd0c-978c6117b55c</t>
  </si>
  <si>
    <t>767c1e48-797b-4bfe-a591-7a69655981cb</t>
  </si>
  <si>
    <t>92ae862f-1b2e-4d10-bea7-a64fd3b75914</t>
  </si>
  <si>
    <t>842a3854-a21f-4624-beb8-f4105b922769</t>
  </si>
  <si>
    <t>8798e643-fd98-450c-9fcf-99634143323c</t>
  </si>
  <si>
    <t>f66f379c-f4b4-484d-947c-460d371e46b5</t>
  </si>
  <si>
    <t>3baa534a-1a6c-4224-9228-b659116fd35d</t>
  </si>
  <si>
    <t>5565dd75-fb9c-401a-8179-2d6867f3da9a</t>
  </si>
  <si>
    <t>9341cd59-e6f4-4f36-912e-02e0f6876480</t>
  </si>
  <si>
    <t>90c77d3c-7dea-4011-a61d-87e874adc7c2</t>
  </si>
  <si>
    <t>When to edit Cal responses</t>
  </si>
  <si>
    <t>7ee6d0e5-f9f8-403a-8823-c9fe529b7bc1</t>
  </si>
  <si>
    <t>4a6a7f79-ddf1-48e3-a72d-1af73c382d1b</t>
  </si>
  <si>
    <t>Celebration with family</t>
  </si>
  <si>
    <t>470f2282-918c-449e-a6d2-6c2e268fad3b</t>
  </si>
  <si>
    <t>1c2e9876-bfc9-4009-b7e2-c5a13a1e4cbc</t>
  </si>
  <si>
    <t>47c33e0d-44cd-445c-bc1d-e3cd7520c9ab</t>
  </si>
  <si>
    <t>303f1c1d-7070-4a7b-b71b-0a92a63033e8</t>
  </si>
  <si>
    <t>c49f84db-38a2-4fe6-9b8b-b94716cbb830</t>
  </si>
  <si>
    <t>27b91aa8-a282-4604-aae5-8fe5bebdb263</t>
  </si>
  <si>
    <t>c3271a02-6c58-4e6b-bac6-5f63ba5a26b7</t>
  </si>
  <si>
    <t>8663671d-a427-4307-8f0c-f5b38b10ed4a</t>
  </si>
  <si>
    <t>8441b932-6535-4aea-954b-15e73412841d</t>
  </si>
  <si>
    <t>3d3ca836-2dae-4476-9973-bbe6d4bd827d</t>
  </si>
  <si>
    <t>b005a169-4028-47be-b73d-6244b733b74f</t>
  </si>
  <si>
    <t>326d4aa2-6711-4fea-bdbc-9e12ad8b8ce3</t>
  </si>
  <si>
    <t>0a990d40-3656-4a42-af0c-d5271c3a33aa</t>
  </si>
  <si>
    <t>74b354f3-0b5a-4090-a140-be9a804f2efd</t>
  </si>
  <si>
    <t>3ab70596-3f8a-4b22-a0af-45e3a894f34c</t>
  </si>
  <si>
    <t>d9eaa5db-5181-4a4e-b4e3-2eb97d08a900</t>
  </si>
  <si>
    <t>d2f141e1-2cb1-48cd-9040-3d61efdef1fd</t>
  </si>
  <si>
    <t>dbdfdced-c40b-46b3-9c27-370e26c90374</t>
  </si>
  <si>
    <t>2d009051-87a1-4793-8f8f-82e1feea1bbf</t>
  </si>
  <si>
    <t>a35fbd06-7205-4a14-ae21-4098dc6f2740</t>
  </si>
  <si>
    <t>62917d10-58cc-4a09-a5ac-b8adf7142a76</t>
  </si>
  <si>
    <t>How to edit CAL responses training</t>
  </si>
  <si>
    <t>c19029b0-d017-44c2-8a7f-91eaa6d2ff5d</t>
  </si>
  <si>
    <t>302fc649-6445-4363-b532-b85e36f03dee</t>
  </si>
  <si>
    <t>9ed21bd0-6c4d-4c9b-acf1-63d2f6953121</t>
  </si>
  <si>
    <t>f693707c-de6c-48c3-af84-70175ed899a4</t>
  </si>
  <si>
    <t>a9d25e38-0473-40cf-89be-d02ef368b1f8</t>
  </si>
  <si>
    <t>d399230b-a858-4256-ac9c-36898c3f6f89</t>
  </si>
  <si>
    <t>9d791032-5874-4eda-a2a8-87b2f8291815</t>
  </si>
  <si>
    <t>3fb1cea0-7edc-4fb2-874c-60b11d755db8</t>
  </si>
  <si>
    <t>d1122152-260a-4370-8ce6-af2657f05e1a</t>
  </si>
  <si>
    <t>403d3ef1-43e9-498b-a068-6bbd1c23d6e1</t>
  </si>
  <si>
    <t>95c5fe8f-7896-4378-ba37-69d42f9aebbb</t>
  </si>
  <si>
    <t>0ae97eed-b2a4-4337-825f-4e4768faf910</t>
  </si>
  <si>
    <t>51fd578b-c6c9-46dc-ac69-b02bbd957d98</t>
  </si>
  <si>
    <t>80641ee9-55e6-4e4e-b51d-9d443503a3af</t>
  </si>
  <si>
    <t>cd015934-1958-4806-bb7b-dc73dfa5ce34</t>
  </si>
  <si>
    <t>19a1a88c-b880-476e-8d0c-8816a1c963a8</t>
  </si>
  <si>
    <t>327283d1-1bf1-43ee-b113-12eaf33ea3af</t>
  </si>
  <si>
    <t>f0220feb-a3f4-4d2b-b0a9-293c03a62cc8</t>
  </si>
  <si>
    <t>ca57c46b-15f5-4693-827e-80b1b8dc366a</t>
  </si>
  <si>
    <t>Half day sick leave</t>
  </si>
  <si>
    <t>987ed69e-518f-4e88-b362-5979e4a80e22</t>
  </si>
  <si>
    <t>d994f889-7b2d-48e1-87f5-558a4c244ef1</t>
  </si>
  <si>
    <t>931fe9b7-c270-4b26-a641-8fdd28985d9c</t>
  </si>
  <si>
    <t>bbcda8e2-eab0-47fb-87f5-210e92dfe993</t>
  </si>
  <si>
    <t>b8716f62-6c91-47a8-9306-86b958d6440e</t>
  </si>
  <si>
    <t>9ed8f1e3-50eb-43a2-88f8-657641bae35e</t>
  </si>
  <si>
    <t>4bbb3e8c-fd91-4862-af14-586c6c3432e7</t>
  </si>
  <si>
    <t>6eb474a6-6b9a-4588-bcca-816f8ab2a44f</t>
  </si>
  <si>
    <t>Cal Edits Training</t>
  </si>
  <si>
    <t>6e906474-dbbc-4852-a0e8-eeb8dd84f43c</t>
  </si>
  <si>
    <t>4d8e5a0e-36c4-4cf5-a314-6649adf2a2ee</t>
  </si>
  <si>
    <t>564cd93f-7283-460f-9467-67fbe7ab2bec</t>
  </si>
  <si>
    <t>979507d3-ed77-42a1-80ce-0321e8289b82</t>
  </si>
  <si>
    <t>4216ec48-1f8e-4ce9-a7d1-89fe7d30a77f</t>
  </si>
  <si>
    <t>f6fc7052-9199-467f-b875-62b37776e4d8</t>
  </si>
  <si>
    <t>518a2b1b-ba69-41b1-a499-db0f1829a46e</t>
  </si>
  <si>
    <t>dd5d1ca8-3ca7-4abc-9f63-384e2237d5d5</t>
  </si>
  <si>
    <t>e054a8bb-3801-448a-8ac5-78cae0cc4cac</t>
  </si>
  <si>
    <t>dcd3e872-e227-4d5b-b3ab-8a9f061212e5</t>
  </si>
  <si>
    <t>132599d9-6187-47ff-b412-2315c5797841</t>
  </si>
  <si>
    <t>0316f4b9-b051-4f56-be7f-856e184c00de</t>
  </si>
  <si>
    <t>dc8e88b2-302a-4070-a35e-5c0d318ecdb6</t>
  </si>
  <si>
    <t>Important family event</t>
  </si>
  <si>
    <t>725f2faa-96c5-485b-9920-b0e21ea5c1c6</t>
  </si>
  <si>
    <t>8877c9cd-89d2-4de5-92f7-3d38c74427b0</t>
  </si>
  <si>
    <t>b492d5bd-1b1e-4327-8121-61b513dfa5ca</t>
  </si>
  <si>
    <t>a5485ea3-4229-4310-ac41-0de6266f700d</t>
  </si>
  <si>
    <t>692c17ed-b378-4de8-9b0f-eca468545ffa</t>
  </si>
  <si>
    <t>c0d0625e-dc84-474a-a7dd-62ff6fae6736</t>
  </si>
  <si>
    <t>5c0ded7c-da2a-48f8-998c-8f8e8f09760d</t>
  </si>
  <si>
    <t>ffb9e3e7-e4ac-41fe-bcc0-49810578081d</t>
  </si>
  <si>
    <t>Holiday with family</t>
  </si>
  <si>
    <t>8fdaeb7a-3d71-4727-ac57-65bb6321ee2a</t>
  </si>
  <si>
    <t>1bdec5e6-5f9f-4fc3-92f4-325680ce99ab</t>
  </si>
  <si>
    <t>4978c018-1b04-44d5-bdc5-2a6cba2ea5d9</t>
  </si>
  <si>
    <t>b6e41657-9262-4f22-b7e0-e2107d434c1f</t>
  </si>
  <si>
    <t>267d5ae8-63d0-4973-b516-8d6369a0381d</t>
  </si>
  <si>
    <t>234ea4a6-0698-4d6f-9ebf-e13ba902b368</t>
  </si>
  <si>
    <t>d38b1c9b-f253-4295-903c-51beef2bef5c</t>
  </si>
  <si>
    <t>2676afb5-045b-407d-81e3-0ade572eb24e</t>
  </si>
  <si>
    <t>Print SEE Survey (November 2025)</t>
  </si>
  <si>
    <t>d95e1515-b9a8-4023-b6d1-4995aa321d78</t>
  </si>
  <si>
    <t>Improved Design Access Consent Experience</t>
  </si>
  <si>
    <t>b6fb8531-f001-463b-888c-3665ebc98329</t>
  </si>
  <si>
    <t>cd4c9084-2e8c-4f20-ae43-fd58643b0d9a</t>
  </si>
  <si>
    <t>a9d67e4a-54e3-4d8e-a427-3f8063307834</t>
  </si>
  <si>
    <t>Accompany family and health check-up</t>
  </si>
  <si>
    <t>e6e860a6-c3d3-4c86-849f-b68c6d7df406</t>
  </si>
  <si>
    <t>ff1c439a-391a-490f-8164-0be8b46ad838</t>
  </si>
  <si>
    <t>77087378-aa6c-4c68-9366-0fa63a921a20</t>
  </si>
  <si>
    <t>339e18f0-4e79-4014-a4d9-d6ca75597bb8</t>
  </si>
  <si>
    <t>bb358604-04e8-41c8-810b-e68b0e6abc31</t>
  </si>
  <si>
    <t>3c55996d-30bf-4dde-8b7d-aea9512d8e72</t>
  </si>
  <si>
    <t>ae6f4f1b-fb41-43a7-b596-1ff808381675</t>
  </si>
  <si>
    <t>a6c00467-3c68-418e-82e5-4fe4b6d141bb</t>
  </si>
  <si>
    <t>61a34f12-2cbd-4a86-b0ad-0de2a4925449</t>
  </si>
  <si>
    <t>e9869595-0e1d-460c-9855-3fa6206fad6f</t>
  </si>
  <si>
    <t>65af5155-82b4-46e3-9d1d-c0c64c3d3a2f</t>
  </si>
  <si>
    <t>0ff03531-8f5b-4979-add4-c54dc587b25c</t>
  </si>
  <si>
    <t>Power Outage</t>
  </si>
  <si>
    <t>c35efd84-10be-41da-9f43-c1c9e215638e</t>
  </si>
  <si>
    <t>79585da9-07ee-41d6-9e8c-261d9280acbd</t>
  </si>
  <si>
    <t>0b801d41-96e3-46ba-9c20-24f795612f8e</t>
  </si>
  <si>
    <t>39e6c59c-bd9d-4eab-80c4-ea9e5f1e4bfb</t>
  </si>
  <si>
    <t>8fa1e9f7-3295-4250-85d6-f7b623286090</t>
  </si>
  <si>
    <t>83130a6b-2157-4636-90e5-0bd9472f428a</t>
  </si>
  <si>
    <t>8f68f457-7ab1-49fb-b5f5-c45fe8c559ab</t>
  </si>
  <si>
    <t>9d53fa9a-1f46-474e-bf5e-524a600ce443</t>
  </si>
  <si>
    <t>b7f8115f-3f7f-4c46-8ea2-4ff54e4fb7c9</t>
  </si>
  <si>
    <t>30cbffa8-fcaf-4499-82c8-4c931d69b70b</t>
  </si>
  <si>
    <t>038487c3-d805-4c87-8df9-bab90bb202b2</t>
  </si>
  <si>
    <t>2f1271ac-c756-404a-9462-0f67be1614e2</t>
  </si>
  <si>
    <t>dce9605e-758c-4823-bc9f-029227ea16e2</t>
  </si>
  <si>
    <t>7067c95e-676c-432f-b733-9801622c94af</t>
  </si>
  <si>
    <t>0e83fe42-6a1e-4d86-b529-88b3927eba34</t>
  </si>
  <si>
    <t>9c400d25-7d94-4a22-81ab-f157d1463318</t>
  </si>
  <si>
    <t>45931eec-4fa1-491f-b58c-7718aefc8201</t>
  </si>
  <si>
    <t>38c08f17-3d4e-4af6-9246-5cd34fd24996</t>
  </si>
  <si>
    <t>c8170322-5520-48ca-9cb0-e6d53b12299a</t>
  </si>
  <si>
    <t>545809f5-e99c-47e5-901c-e54ee9870ae8</t>
  </si>
  <si>
    <t>1bd56a50-9372-4913-bacd-a7a983b05dcc</t>
  </si>
  <si>
    <t>7366514e-a86e-4e38-89d7-c5acedfbb7e9</t>
  </si>
  <si>
    <t>2bd17fd5-7ff3-4d75-973c-6f0a207b5a27</t>
  </si>
  <si>
    <t>6d1d3b65-98cf-4e53-919f-d653916058be</t>
  </si>
  <si>
    <t>ac250ee2-bc01-4627-acf6-c8857c6d4f32</t>
  </si>
  <si>
    <t>5e2f3a80-192a-4787-81b8-e5b915c6b1aa</t>
  </si>
  <si>
    <t>1613ff0b-5f34-475d-81cf-2a731fdd5d85</t>
  </si>
  <si>
    <t>53245e5e-b530-466b-b603-d0518c346f42</t>
  </si>
  <si>
    <t>4b28cef9-3ac8-4684-9c9f-623311c3edf9</t>
  </si>
  <si>
    <t>efc84a83-732b-4779-bf53-55743878ed2e</t>
  </si>
  <si>
    <t>0e173a2f-30a0-4c2c-8790-9baccb6c281d</t>
  </si>
  <si>
    <t>216836ec-fe99-4698-be03-0146a0997808</t>
  </si>
  <si>
    <t>ddd6255e-d0d6-44c6-882c-167bd2d4f41c</t>
  </si>
  <si>
    <t>e80f2ae2-2d05-4fde-b8d2-389cb14f4851</t>
  </si>
  <si>
    <t>31e8151c-fb3a-4944-8e37-7330abfc8ac6</t>
  </si>
  <si>
    <t>5e983c90-94e3-41e6-a007-5d983075a904</t>
  </si>
  <si>
    <t>830275b9-f423-4ad6-b636-e0eb72088f8e</t>
  </si>
  <si>
    <t>9a2c33b2-23e6-462f-a9b0-50317b1a583c</t>
  </si>
  <si>
    <t>3da80138-d7d4-41ae-8377-3b90695511cb</t>
  </si>
  <si>
    <t>fb29db8c-6388-4e8d-8910-e3c558b8f608</t>
  </si>
  <si>
    <t>af15f288-eef8-4c2a-9198-debd3dce9130</t>
  </si>
  <si>
    <t>7b76c060-6f35-4c0d-bc45-f656a80086e1</t>
  </si>
  <si>
    <t>ab5285cc-e4e3-4625-9d01-bd3c397f97c0</t>
  </si>
  <si>
    <t>d7d2161d-54b2-44ab-b5bd-6d3beb494ff1</t>
  </si>
  <si>
    <t>1ddc194d-fbfa-40f4-b76d-1efef1e17180</t>
  </si>
  <si>
    <t>18c4a6b0-b0a0-4d60-af0d-0533b7cb8466</t>
  </si>
  <si>
    <t>deferred due to a deferred training</t>
  </si>
  <si>
    <t>85f290b5-2123-42e6-bc7d-aad23258ad9c</t>
  </si>
  <si>
    <t>4e939a9c-c771-41f0-868b-935b5da07e85</t>
  </si>
  <si>
    <t>f60334ff-5055-43a4-9914-947c11a4ba5d</t>
  </si>
  <si>
    <t>735c03bf-d38c-49f9-82f1-7787931bbcdf</t>
  </si>
  <si>
    <t>831caf48-4e0d-47cf-aa09-8ae35dd666cb</t>
  </si>
  <si>
    <t>Cop Duty- worked on reach out sheet.</t>
  </si>
  <si>
    <t>0620d5e0-5a21-4d31-853c-5a6bc1f24c13</t>
  </si>
  <si>
    <t>6ceec8d3-7ca4-4bc9-b765-f5055836328a</t>
  </si>
  <si>
    <t>1d01b399-5805-4a7f-888d-84d65d7bc7a8</t>
  </si>
  <si>
    <t>6daf424a-715b-4f61-a391-d772ab142b78</t>
  </si>
  <si>
    <t>4a7e1a93-b14e-4105-8905-12013a6c606d</t>
  </si>
  <si>
    <t>27e24ec0-232b-4315-9e42-9b4d3308487b</t>
  </si>
  <si>
    <t>d8a5ed8b-cab5-4234-84fe-53a7243db7b3</t>
  </si>
  <si>
    <t>ef31f4a7-e1db-4012-8a89-48567a64216a</t>
  </si>
  <si>
    <t>b00cb457-97bf-4aec-a807-620cb950e3bf</t>
  </si>
  <si>
    <t>c3a2a1c8-87e8-46d6-90f3-f2210ae10cec</t>
  </si>
  <si>
    <t>4a89c0b3-a6ae-474c-aa72-13cb1c9f6018</t>
  </si>
  <si>
    <t>b96fa4f5-ead8-4e0b-aef3-2b7c0a1ef153</t>
  </si>
  <si>
    <t>d216d463-2bcd-4ab4-85c0-c4d560aa0f11</t>
  </si>
  <si>
    <t>did not notice the time. forgot to take break on time.</t>
  </si>
  <si>
    <t>8eb4d4bb-9e96-4b90-b8e9-4c5013b350ff</t>
  </si>
  <si>
    <t>fd9800bf-528a-4a6f-b228-a14b8ff7e299</t>
  </si>
  <si>
    <t>ef76336b-0d94-4e16-8371-aa25738a3cc9</t>
  </si>
  <si>
    <t>06fde358-8a5c-4d4f-813e-ac055f6e12ef</t>
  </si>
  <si>
    <t>a2c513f1-06d6-4a23-a52e-67ae8694825c</t>
  </si>
  <si>
    <t>0e3b5298-94b3-4524-bdc3-27144e7b277e</t>
  </si>
  <si>
    <t>e8a47de3-8476-47f8-9412-268f39ac675b</t>
  </si>
  <si>
    <t>342ce1ed-cae2-4309-ad3f-f8ec7f42446f</t>
  </si>
  <si>
    <t>d8ebd2ab-876e-45a2-bd23-d1dbf87c01aa</t>
  </si>
  <si>
    <t>976e159f-d1fb-42db-b458-493fc6d0bb69</t>
  </si>
  <si>
    <t>COP DUTIES</t>
  </si>
  <si>
    <t>284b3351-86be-4b29-a19f-635083845721</t>
  </si>
  <si>
    <t>3c2d1d08-fc35-4d79-bf8c-63b808b249c5</t>
  </si>
  <si>
    <t>064fb8c2-ebe2-4725-a23e-6f179ae3b294</t>
  </si>
  <si>
    <t>1b814c7d-6bde-455d-aab5-96a019fcb3a8</t>
  </si>
  <si>
    <t>d63373ed-c9e1-4385-ada7-75db766d5876</t>
  </si>
  <si>
    <t>5cfc29b4-2812-401e-8750-7cfe603d33d9</t>
  </si>
  <si>
    <t>3926694d-c221-4f85-8ae1-3abdf563a7db</t>
  </si>
  <si>
    <t>33983eca-7e8b-4aa6-b3ee-31da9c3fdb73</t>
  </si>
  <si>
    <t>f6a8296c-176f-4fd9-b375-d2e33e9a3fe5</t>
  </si>
  <si>
    <t>592dd03c-26c8-4b87-ad14-2f277d612994</t>
  </si>
  <si>
    <t>7e7e3a79-911f-44cb-917e-0713b670a7e4</t>
  </si>
  <si>
    <t>db01283f-518a-4670-b99e-e84269d3f730</t>
  </si>
  <si>
    <t>6730ebe8-e621-43a2-ae0e-24688c31bd32</t>
  </si>
  <si>
    <t>2b5fc05c-c7aa-4b62-99ed-ba0cb1a7dac4</t>
  </si>
  <si>
    <t>5b5c0cb1-a5bc-4430-afee-92828cb57ec8</t>
  </si>
  <si>
    <t>9336cd0f-914c-4060-b576-3aad6d63daef</t>
  </si>
  <si>
    <t>1dfe6421-bcd5-4058-b800-bd84efb7a071</t>
  </si>
  <si>
    <t>f5ef628c-96a7-4531-8551-dd849ca81f37</t>
  </si>
  <si>
    <t>deferred break - mac's volume was on low. did not hear the alarm.</t>
  </si>
  <si>
    <t>2cf64ecd-843b-4c2c-9a7e-417560066399</t>
  </si>
  <si>
    <t>6808e17f-7e9e-494f-9105-bb75736da156</t>
  </si>
  <si>
    <t>d1935a4b-8a97-42d2-a7ce-04ac546359bd</t>
  </si>
  <si>
    <t>a3e084f0-b41d-4779-b2c2-625778290c96</t>
  </si>
  <si>
    <t>ca1a669d-8979-427b-adf5-06090ec0b824</t>
  </si>
  <si>
    <t>46869db9-73d0-4333-8168-10694c04f15e</t>
  </si>
  <si>
    <t>bceb495c-aef6-4827-b201-c6b848174699</t>
  </si>
  <si>
    <t>15a34158-f22e-45b7-80b6-8b3bdeda8bb6</t>
  </si>
  <si>
    <t>4dfc473c-bb01-4691-8dae-1262eb54dbd6</t>
  </si>
  <si>
    <t>Goof Order sheet + Wrong Item received inquiry.</t>
  </si>
  <si>
    <t>8baf21de-77b6-4174-a31b-f1f7d1dab9cc</t>
  </si>
  <si>
    <t>0bb41ad5-1ab4-4818-ac85-ab961713de7f</t>
  </si>
  <si>
    <t>a1413fd1-eae9-47d7-9566-e5d5dc1d5dd1</t>
  </si>
  <si>
    <t>f7db6e8c-b90a-4eb7-a3ca-d9c087ec357e</t>
  </si>
  <si>
    <t>ff2c80c0-33e0-4297-9567-8d4cee2a257a</t>
  </si>
  <si>
    <t>be8b5aee-047f-498d-b2a1-a589373e7951</t>
  </si>
  <si>
    <t>1cc75f84-046e-4244-a5dc-ee1519cae19e</t>
  </si>
  <si>
    <t>bb4f232d-ae5e-4098-9e16-e3bb86f04517</t>
  </si>
  <si>
    <t>dc5c1f20-2c97-4770-b4a6-2d9bca2dd184</t>
  </si>
  <si>
    <t>52eddeff-8baa-44ce-b90b-0498344be105</t>
  </si>
  <si>
    <t>00908cd7-e102-4f68-b948-d9ffb4cc711f</t>
  </si>
  <si>
    <t>d59235ce-6f8a-4b81-93ce-8dfe339d85a7</t>
  </si>
  <si>
    <t>69e383b6-c277-482d-9074-65f1b6ea6090</t>
  </si>
  <si>
    <t>0225e329-6250-4958-9320-c04b9c560f8f</t>
  </si>
  <si>
    <t>7923102a-c121-4927-877c-7201c68b9b5a</t>
  </si>
  <si>
    <t>a4d4639d-7181-419f-86a3-44e7ef82d9df</t>
  </si>
  <si>
    <t>f3ee42c7-6ea8-4864-ad7a-c1e4519fb779</t>
  </si>
  <si>
    <t>60f7b3fb-f896-496f-8ee2-48636d20d10b</t>
  </si>
  <si>
    <t>0c10b871-9dfd-4f66-b52e-d0834d2a448e</t>
  </si>
  <si>
    <t>f339fa89-1b9c-4f2d-873c-3a72b65edac5</t>
  </si>
  <si>
    <t>61076100-2a15-4adb-a873-c28758777405</t>
  </si>
  <si>
    <t>a0d5c238-f999-45a4-b690-d3f46eff21d2</t>
  </si>
  <si>
    <t>b8bcaaf8-1ece-444e-869d-84dfa145e127</t>
  </si>
  <si>
    <t>6dffaa6d-4c9c-447d-b07b-1165960e7cd9</t>
  </si>
  <si>
    <t>ac78a5a8-09b3-4784-8657-626bb65f929c</t>
  </si>
  <si>
    <t>8527d102-6c1f-44b6-b85a-4f9703c588aa</t>
  </si>
  <si>
    <t>8c8a06d8-cee6-465c-a78b-dd78dfd09c8f</t>
  </si>
  <si>
    <t>147d565c-fdaa-4b15-8cb6-8a4db63db1e7</t>
  </si>
  <si>
    <t>Scheduled Travel</t>
  </si>
  <si>
    <t>6511d5bd-5900-4f88-aa7d-10f8efcc196a</t>
  </si>
  <si>
    <t>56a13537-020f-49c9-baa8-c998678abbaf</t>
  </si>
  <si>
    <t>2c30a7d0-b410-4e87-9218-3b4785d02bfa</t>
  </si>
  <si>
    <t>a8357b06-5a6c-4226-93ed-ab4506eba541</t>
  </si>
  <si>
    <t>3f372da2-87d5-4aff-b6f2-097233cc1a4d</t>
  </si>
  <si>
    <t>0fcaa84b-2de0-4e31-abcd-7056b58111c7</t>
  </si>
  <si>
    <t>25f75fa4-a00c-4fdc-adb0-94b0b694f990</t>
  </si>
  <si>
    <t>2510df4a-ea3d-4c01-b6e4-40fc967f2b1a</t>
  </si>
  <si>
    <t>699834c2-ed52-425a-b745-f69a0e586bf5</t>
  </si>
  <si>
    <t>1668a739-32fb-4373-b8c9-689a45f1e662</t>
  </si>
  <si>
    <t>484e42e6-6fd5-48c2-bef5-ef6452cd706e</t>
  </si>
  <si>
    <t>da4d2f03-e9f8-4b16-9a15-40c9cc557224</t>
  </si>
  <si>
    <t>560a86cb-acd5-4182-a502-072c5794eed1</t>
  </si>
  <si>
    <t>8688ba35-a4a2-45e1-845e-d8bf272efba3</t>
  </si>
  <si>
    <t>349af0de-fd72-4e46-8648-17bc7fa1cb0f</t>
  </si>
  <si>
    <t>4b82f27b-4ee4-4f74-811a-9a154dae3412</t>
  </si>
  <si>
    <t>d84ac81f-e4a7-43ff-9d54-df68bafbf886</t>
  </si>
  <si>
    <t>cfca745d-f6c3-4ebe-8206-e8e6a808ced6</t>
  </si>
  <si>
    <t>b614a668-e413-4ee4-a274-4161d646861e</t>
  </si>
  <si>
    <t>57c179cf-bd5b-4daa-9fb6-612876b2a63e</t>
  </si>
  <si>
    <t>6362336b-08e5-414b-b2f0-dc689b3b90c4</t>
  </si>
  <si>
    <t>dc583de4-f8ee-4d9f-83ba-ecaa4e82e3d7</t>
  </si>
  <si>
    <t>4185af46-373d-49f7-9da0-b138588027f8</t>
  </si>
  <si>
    <t>13dd6902-1a72-4da3-8f76-a5567570709d</t>
  </si>
  <si>
    <t>b5da48f9-d6b5-4dc7-8063-949cf9be0f87</t>
  </si>
  <si>
    <t>25c07c0e-e341-4131-91f7-aadebf7a6cac</t>
  </si>
  <si>
    <t>99458dd5-2026-488d-ba5d-44b53cd4501c</t>
  </si>
  <si>
    <t>cb7bd26d-cab2-4076-89a6-13c21cae6000</t>
  </si>
  <si>
    <t>72d775d9-5350-4c74-b6b5-1e1bbb6f5869</t>
  </si>
  <si>
    <t>1a5a6e57-9f5f-4b44-8aa3-7db3fbeea90c</t>
  </si>
  <si>
    <t>ea935ccf-5497-4f87-8252-fffddefd1ec8</t>
  </si>
  <si>
    <t>Bi-Annual Security and Privacy Refresher for H2 2025 Remediation Exam</t>
  </si>
  <si>
    <t>40dbe65e-8b40-4161-8e12-cc5d5784b649</t>
  </si>
  <si>
    <t>0120cf0a-c6e3-4b72-ad90-6d40e0ce1647</t>
  </si>
  <si>
    <t>0af7eceb-8f79-464f-8f2b-1fc3baa3abf7</t>
  </si>
  <si>
    <t>b78352ae-f709-4363-a14e-10925aad347a</t>
  </si>
  <si>
    <t>e89c859a-e2a5-447e-8d71-78d2144f6ba5</t>
  </si>
  <si>
    <t>64143ea0-6e3d-4b0c-8f42-91621422836b</t>
  </si>
  <si>
    <t>8e6b50ea-15d6-42fe-9e16-4fe42fe8eedd</t>
  </si>
  <si>
    <t>VL request due to a holiday celebration with family</t>
  </si>
  <si>
    <t>c45777d3-dc7f-47fa-a337-d899ad74228d</t>
  </si>
  <si>
    <t>02cbf924-be36-4abe-89de-f2bfd9ece06b</t>
  </si>
  <si>
    <t>ceed02d3-b056-415c-a041-31ea28c5114a</t>
  </si>
  <si>
    <t>40ef0f2c-3bc2-499e-ae62-313ceaf61053</t>
  </si>
  <si>
    <t>978fe146-a3f1-465a-8259-5fe6d6c0ada1</t>
  </si>
  <si>
    <t>f2041131-187e-4d8e-a77b-8a41ae678cf8</t>
  </si>
  <si>
    <t>6f1231d7-d87d-46c4-ad20-ce815ce80ca8</t>
  </si>
  <si>
    <t>ccc6e53a-5480-45b4-9ff5-d89dcdded1b1</t>
  </si>
  <si>
    <t>9428c483-9bae-417b-8976-ab1f7590e7f3</t>
  </si>
  <si>
    <t>26312e03-da8a-4a7a-8281-f46c8a7d5f59</t>
  </si>
  <si>
    <t>54a284b1-e601-431c-8caa-86e15ac24346</t>
  </si>
  <si>
    <t>1f761e32-0ef4-40a9-a2c6-c105904efe7d</t>
  </si>
  <si>
    <t>dd690588-de43-4376-a7c9-5e73aec143e2</t>
  </si>
  <si>
    <t>2d712822-2911-49f1-af8c-d8fbec2d33c6</t>
  </si>
  <si>
    <t>8d9ffc6c-211f-451f-a7bc-92c7aef8855d</t>
  </si>
  <si>
    <t>8b6e61ea-e791-49ab-a431-1e15e6fbb3bc</t>
  </si>
  <si>
    <t>4c1bbfe7-ccde-45f1-9164-4d197b9142ba</t>
  </si>
  <si>
    <t>7810d2e5-f421-4502-94ae-1d6d6749587f</t>
  </si>
  <si>
    <t>bc124ed0-a14b-4133-ade5-0a2fae49120c</t>
  </si>
  <si>
    <t>5aca55dc-26fb-41ca-8660-778caade43f6</t>
  </si>
  <si>
    <t>68525cb6-c837-49ae-86c6-cec18914b310</t>
  </si>
  <si>
    <t>61f82956-c5b1-40cd-aa3e-d38e16cd5282</t>
  </si>
  <si>
    <t>435e036a-c1a7-403f-83c7-5d479cb18268</t>
  </si>
  <si>
    <t>76537054-c6e7-4dff-b281-8f28c5c18eea</t>
  </si>
  <si>
    <t>7f1a8575-68c5-45cd-96c0-926b6e67da05</t>
  </si>
  <si>
    <t>53da1255-7182-4c18-92f1-9af64ed48e64</t>
  </si>
  <si>
    <t>40629947-daf2-451a-9c12-666d59ae967f</t>
  </si>
  <si>
    <t>5e4a11b2-40ee-433e-b551-0eabba44deb5</t>
  </si>
  <si>
    <t>1e5d31bc-0e4c-4b58-b790-a97f3cc545fe</t>
  </si>
  <si>
    <t>8419f75b-beeb-4d1f-ad0f-56d22ed70c75</t>
  </si>
  <si>
    <t>6fd5f425-3207-4da2-9a64-7c58d9bc98c9</t>
  </si>
  <si>
    <t>03ccd00a-f480-4537-92db-39e7e30c82fd</t>
  </si>
  <si>
    <t>5e4ddb3d-3e16-4223-9a70-f1a6fa96ba4e</t>
  </si>
  <si>
    <t>80ee180e-37e3-4abd-b85f-5e68a9b26368</t>
  </si>
  <si>
    <t>45e85dab-a284-4523-ad2a-861403eb98f5</t>
  </si>
  <si>
    <t>When to edit cal responses</t>
  </si>
  <si>
    <t>50e342ad-1f45-421f-8965-f82b399fdffe</t>
  </si>
  <si>
    <t>94e695d2-5154-4b5a-8d5c-4c2d51589653</t>
  </si>
  <si>
    <t>1613b2a3-2780-4bba-bdd3-0b9c72626cb1</t>
  </si>
  <si>
    <t>45ffbeb4-070d-4398-9526-26b14291a53d</t>
  </si>
  <si>
    <t>6ff1cc9b-f4f7-4400-901e-b51334dd6ec3</t>
  </si>
  <si>
    <t>b8fb019f-1587-4e2d-9c16-3f9484428b3a</t>
  </si>
  <si>
    <t>cop duty checks + goof RO's</t>
  </si>
  <si>
    <t>ed120dfa-5514-4ad6-b0df-d44f4c89bf45</t>
  </si>
  <si>
    <t>f441a696-b0a9-43e6-bf5e-a74a9b2921c3</t>
  </si>
  <si>
    <t>dcc69231-ebd0-419c-924f-34f4786ca0c1</t>
  </si>
  <si>
    <t>bb2dc7cc-07c5-4266-ad82-aea6bb4b690b</t>
  </si>
  <si>
    <t>e0222d14-ba67-4d6e-a1ad-205ad5b200ad</t>
  </si>
  <si>
    <t>9b682fae-1c88-40da-9544-45d70548fed4</t>
  </si>
  <si>
    <t>c8719d18-1eb0-4df1-85fb-bd1665a34b45</t>
  </si>
  <si>
    <t>a26ebf5f-48bf-49a5-98d7-2a57be11b123</t>
  </si>
  <si>
    <t>fa9c37c4-dbcc-419c-be95-134dfafcf098</t>
  </si>
  <si>
    <t>5a6c3e1b-99d3-4e86-9a58-12dba7797d20</t>
  </si>
  <si>
    <t>b3dd9240-84ac-423a-af49-cf0f3d8629de</t>
  </si>
  <si>
    <t>732cc3bc-dce7-4cfb-9655-a5b94e7cbbd3</t>
  </si>
  <si>
    <t>eb0161e3-c2e5-4a46-b60d-9585c0c5a771</t>
  </si>
  <si>
    <t>2c9b8f01-f922-4f18-95fc-7cb7e4cbd8c1</t>
  </si>
  <si>
    <t>927b5da0-41b1-4e9b-b63f-bedf3b89775b</t>
  </si>
  <si>
    <t>ab43bf3f-c487-41f4-9ac9-4a6d0938e349</t>
  </si>
  <si>
    <t>1b8764bd-9adc-4cea-82b9-aa2a0e8c077a</t>
  </si>
  <si>
    <t>747ac0a6-383d-47db-b998-5e27effe95e1</t>
  </si>
  <si>
    <t>605fabe5-754d-4402-a962-165d66b409a5</t>
  </si>
  <si>
    <t>7f149038-0600-4a37-bcca-157a091eb809</t>
  </si>
  <si>
    <t>9b66960b-4784-4056-89ac-b062bd61d8ac</t>
  </si>
  <si>
    <t>cd8c4859-25b9-4260-9055-b0e4f80b99c1</t>
  </si>
  <si>
    <t>f70d15e8-1721-400c-9102-20a4a86a2c29</t>
  </si>
  <si>
    <t>86431156-2ef7-426e-863c-6b3cf5f2fcc7</t>
  </si>
  <si>
    <t>02d8ca3d-ebd5-4ab9-b7b4-9a3d38071371</t>
  </si>
  <si>
    <t>Bi-Annual Security Training</t>
  </si>
  <si>
    <t>52cb2e1c-e520-4cf1-b491-db90c83748b6</t>
  </si>
  <si>
    <t>64845fc6-2202-4935-8fc3-c320eb43ddd4</t>
  </si>
  <si>
    <t>22f0db86-92ee-4972-aa87-b1e5205a2eb1</t>
  </si>
  <si>
    <t>d5eb410e-e5e5-4c4f-b6dd-03f6c87c8a88</t>
  </si>
  <si>
    <t>3a4167ec-4e96-4e9d-8087-b8151a26e1f9</t>
  </si>
  <si>
    <t>7d768bf2-7882-4acd-92f1-05b649a5fe5b</t>
  </si>
  <si>
    <t>9976bbb9-4a75-4298-a50d-9aaf33200603</t>
  </si>
  <si>
    <t>eb3937c1-9f02-4f7d-8071-990de4d4746d</t>
  </si>
  <si>
    <t>8e6611fa-d1e5-492a-b1f0-587d82614de1</t>
  </si>
  <si>
    <t>a06b4eb3-147e-4e9f-9cd7-6ce55a1ee1a1</t>
  </si>
  <si>
    <t>9c5e041f-c5b9-4056-9eb8-76a08e444f08</t>
  </si>
  <si>
    <t>64b42c2e-57f2-49a3-86fc-f92d864d655b</t>
  </si>
  <si>
    <t>8d58f455-601d-4e07-8add-9a8b19932af9</t>
  </si>
  <si>
    <t>eb6861a1-bad2-4a15-8ef7-21c19d83aa68</t>
  </si>
  <si>
    <t>25df0512-a117-4a84-8a86-4136884d5cb1</t>
  </si>
  <si>
    <t>6fd485f8-5643-4a47-b3eb-019a4a402c0f</t>
  </si>
  <si>
    <t>4370992d-b0eb-4673-a51c-7110957cfd75</t>
  </si>
  <si>
    <t>2a4e91c3-6413-4810-9d61-8813218d52c5</t>
  </si>
  <si>
    <t>e8dc80e9-e412-4b0e-9c0e-3b015073c761</t>
  </si>
  <si>
    <t>945f3df1-3086-4801-b0bd-e97973863d95</t>
  </si>
  <si>
    <t>3e489675-84e7-42ca-b8bc-bc0e61f518ee</t>
  </si>
  <si>
    <t>ba9621b9-b53c-4d73-bbbe-2456627fbacc</t>
  </si>
  <si>
    <t>33739d50-97be-4c5c-baa8-f21cb65506d3</t>
  </si>
  <si>
    <t>34d714ff-2497-4b99-be36-840d714b8066</t>
  </si>
  <si>
    <t>7daffab3-10d7-4ca5-8fd8-1555057f7953</t>
  </si>
  <si>
    <t>3235c588-a656-4562-b2a0-5725fadc9364</t>
  </si>
  <si>
    <t>1819548a-4170-429c-b84a-159bba0f40a5</t>
  </si>
  <si>
    <t>bc398ead-8a26-4c61-af31-b0735c922ee8</t>
  </si>
  <si>
    <t>940179ba-333c-4ac5-8576-f6338e8c39d4</t>
  </si>
  <si>
    <t>e905b3dc-8fbd-4d46-82d6-bbb3fdda6725</t>
  </si>
  <si>
    <t>dc79fec3-5839-4bba-9bdf-699d075aaee3</t>
  </si>
  <si>
    <t>b0bf59e9-b2e3-4d01-a072-04ac4819b395</t>
  </si>
  <si>
    <t>6b314f9c-a0ec-46fa-9161-1ce6a35c49bc</t>
  </si>
  <si>
    <t>973c8a38-a7bd-4c2a-8202-86c2c501b8e4</t>
  </si>
  <si>
    <t>288b0d05-bdbd-4811-a0ee-485f4401ad72</t>
  </si>
  <si>
    <t>e7550784-3387-4a98-b9f3-2b1116f10fcb</t>
  </si>
  <si>
    <t>6fc6117d-ead7-4766-aef8-153b12672323</t>
  </si>
  <si>
    <t>dd962228-1a87-450c-89f9-7e8c45471f9a</t>
  </si>
  <si>
    <t>7133b003-e1fc-49d4-a9ff-3b35f7db3ceb</t>
  </si>
  <si>
    <t>32592c61-4af6-4111-a52d-f1b2a614189c</t>
  </si>
  <si>
    <t>379e3222-dd71-4ba2-a65a-bfa258e1ba4c</t>
  </si>
  <si>
    <t>786e17b8-5137-47be-8890-e39da5d02583</t>
  </si>
  <si>
    <t>97a1d0f7-23c0-42d7-8499-064c5742eea2</t>
  </si>
  <si>
    <t>06159e86-70aa-4a50-b0f5-0edb70e6f7e4</t>
  </si>
  <si>
    <t>48b305cc-d31a-4e71-861e-894eab100c61</t>
  </si>
  <si>
    <t>34b089cb-aa0d-4f1b-b0a6-32a81aecc05d</t>
  </si>
  <si>
    <t>1f6665c2-953a-45c1-982e-83d2ca4a1573</t>
  </si>
  <si>
    <t>e4e7b4c9-0654-4d07-824b-455b6b880aef</t>
  </si>
  <si>
    <t>340f7bb0-ade8-40fe-8614-19996476ec40</t>
  </si>
  <si>
    <t>bd001bb8-fb16-400d-b6ab-64141e7ae7d8</t>
  </si>
  <si>
    <t>003c3933-6f64-4a76-8cc4-93010316254c</t>
  </si>
  <si>
    <t>eb4a2846-bfa2-4159-8cbd-a493b2648f21</t>
  </si>
  <si>
    <t>12fed61d-9673-46ef-852b-7256ea5e5d5e</t>
  </si>
  <si>
    <t>e438780a-6f49-437c-a25b-819d02a617b9</t>
  </si>
  <si>
    <t>f8b901ed-55d4-4c73-9e59-3689f6b63bbb</t>
  </si>
  <si>
    <t>390a4284-9b4e-49a3-ba78-e31179102338</t>
  </si>
  <si>
    <t>806238b2-203d-4602-a4df-086b5891c355</t>
  </si>
  <si>
    <t>087bb9e7-76c4-4607-9094-3a6aa3f9a7e1</t>
  </si>
  <si>
    <t>b714d973-69fa-446c-9670-c9b5c9efa0c1</t>
  </si>
  <si>
    <t>c07e243c-5c32-43b4-96fb-465e59abacbf</t>
  </si>
  <si>
    <t>fd87e3d0-8418-43a4-a5f2-f0abefce27f7</t>
  </si>
  <si>
    <t>2391574c-d364-4784-a7b2-18e8c7b484d8</t>
  </si>
  <si>
    <t>2fef3810-40cc-4130-95f4-1f84aeb903b1</t>
  </si>
  <si>
    <t>bd04905c-8675-45ec-af5c-dfb742426cd4</t>
  </si>
  <si>
    <t>0d0f51bf-4d5c-400f-8adb-7f415876958d</t>
  </si>
  <si>
    <t>5d0243c9-2d60-4df3-983a-34319d2e4f89</t>
  </si>
  <si>
    <t>cc0c6992-62c2-4c09-bd68-78cee6cd5330</t>
  </si>
  <si>
    <t>8f98b138-8f37-4103-acf3-642830e8634b</t>
  </si>
  <si>
    <t>3f178a9c-30e5-482e-b8a9-9c53145a8fac</t>
  </si>
  <si>
    <t>43e3ca11-e502-4247-afb1-96eb3732c287</t>
  </si>
  <si>
    <t>719c7645-d6b3-46be-aafb-460b15c65ab1</t>
  </si>
  <si>
    <t>1e201c08-b249-44db-af47-48b23f77689a</t>
  </si>
  <si>
    <t>1371e3a2-5923-4ab1-a2a1-3fe76bd1f90f</t>
  </si>
  <si>
    <t>4828e2f3-a1a5-40bc-838b-ef260b51d43b</t>
  </si>
  <si>
    <t>e0136d99-372d-49ef-b579-b218f2516804</t>
  </si>
  <si>
    <t>a7968e1f-d03b-4196-b068-dc2935c3ba3d</t>
  </si>
  <si>
    <t>99db7397-5954-478f-95e3-a31fd5d3c17c</t>
  </si>
  <si>
    <t>cbec5000-6dc4-4b86-b4a7-71ea1dfa72bf</t>
  </si>
  <si>
    <t>73f6012f-45b6-4e5b-aad3-65466ba5e47d</t>
  </si>
  <si>
    <t>e85a3ba7-2cb8-4c05-b2f0-f5269ca13385</t>
  </si>
  <si>
    <t>3db7b6e4-3b7f-44be-8312-3096deb6cd39</t>
  </si>
  <si>
    <t>65d85cb0-dc17-4160-8dd8-1c791fcb1fe7</t>
  </si>
  <si>
    <t>640450b8-c914-4ecd-89c7-ac3634bb2b81</t>
  </si>
  <si>
    <t>a2d8600c-0415-4ea0-bd83-d9be7b2bb769</t>
  </si>
  <si>
    <t>fd0dec1c-86de-407b-a983-6cf7e5900f78</t>
  </si>
  <si>
    <t>d37d1d1f-bd7e-4252-865c-cd257d85c459</t>
  </si>
  <si>
    <t>7b4f8106-62b8-4fb4-9dbb-09c73f869df8</t>
  </si>
  <si>
    <t>9483067f-6253-47b3-9819-7f49e2a7177e</t>
  </si>
  <si>
    <t>6d1ffa9b-3c5e-4512-8dfe-10c60bcdf002</t>
  </si>
  <si>
    <t>d49a394a-bb86-483e-be2e-5ba9ed0381bb</t>
  </si>
  <si>
    <t>0bf25adb-ed88-4fc1-9867-948f41492293</t>
  </si>
  <si>
    <t>4bdb53a5-d345-4d56-a597-9819e1f130dd</t>
  </si>
  <si>
    <t>f69799b1-1df4-408f-a395-e88948179fa7</t>
  </si>
  <si>
    <t>d21e0689-9849-4710-8c66-2de3a0b28178</t>
  </si>
  <si>
    <t>f2d8f298-4065-4093-a19f-2ecc44349683</t>
  </si>
  <si>
    <t>0b5d5f8b-f27b-47e9-9cc7-271ddd5f76f2</t>
  </si>
  <si>
    <t>dd78d2ce-a08d-40df-b864-8cfa6266dab7</t>
  </si>
  <si>
    <t>Japan trip</t>
  </si>
  <si>
    <t>140276ef-1e09-46a2-b38f-31d2e87c8c36</t>
  </si>
  <si>
    <t>fa7fabff-ddc3-4f98-a78d-7a43bfde8ee0</t>
  </si>
  <si>
    <t>d10d8407-207a-47e1-9de6-c7e0798751d8</t>
  </si>
  <si>
    <t>0fe3702c-231f-40f0-bc80-cf37008e5c69</t>
  </si>
  <si>
    <t>51867194-31a9-42c1-8746-2306474432dc</t>
  </si>
  <si>
    <t>Unable to report on time due to network issue</t>
  </si>
  <si>
    <t>c958d745-0686-4b6d-a9f9-1062a9e5e9d8</t>
  </si>
  <si>
    <t>3166473f-885b-4eea-9936-260c45813887</t>
  </si>
  <si>
    <t>8cf69a60-e201-420c-9f40-f4a3d6f55f26</t>
  </si>
  <si>
    <t>30853d20-299c-4227-9a67-3a7bce0ccd36</t>
  </si>
  <si>
    <t>3fab1711-1777-4f91-a845-bd87ae2a3c7d</t>
  </si>
  <si>
    <t>146dc9b3-96a5-44c6-a7a7-baa5e366280c</t>
  </si>
  <si>
    <t>73a2b248-1f3e-47a0-b0ac-37a8867a0d25</t>
  </si>
  <si>
    <t>5f15f61c-12a0-4d60-b964-142bc5ff361d</t>
  </si>
  <si>
    <t>ee1840b8-70b6-42a7-90b6-8ec52713e853</t>
  </si>
  <si>
    <t>07266db5-2d46-4339-8c90-005caaa55f1a</t>
  </si>
  <si>
    <t>dbfc3a08-b0cc-42e5-bc5c-de91f6cac2f0</t>
  </si>
  <si>
    <t>728897c2-e98e-4df8-8929-107ce53b276c</t>
  </si>
  <si>
    <t>717dc65a-cc79-4f92-ac5b-808bb97656d7</t>
  </si>
  <si>
    <t>e6c141db-4f95-43da-97e9-a264d74f4c53</t>
  </si>
  <si>
    <t>ca21ccef-0d4f-465a-94b4-3b34328a5f45</t>
  </si>
  <si>
    <t>1d7dff08-8b58-4b1e-8191-e1aae47ed08e</t>
  </si>
  <si>
    <t>cce666f4-8755-4e7e-ba58-c05d8307cb63</t>
  </si>
  <si>
    <t>5442840e-65d4-41ff-8e42-b794891e331a</t>
  </si>
  <si>
    <t>8f021fdf-e393-4a87-8b4e-8cb5a9837371</t>
  </si>
  <si>
    <t>88a71bd7-cbea-4e59-8fa4-005f7887842b</t>
  </si>
  <si>
    <t>b8f76ace-52b9-4903-a045-5b2f237677e3</t>
  </si>
  <si>
    <t>a10b804d-1324-40f5-a61b-9b10a2507f9b</t>
  </si>
  <si>
    <t>32854be9-d13a-41e1-97d7-db0e8e4c45fa</t>
  </si>
  <si>
    <t>94999bee-80a7-4be0-a691-56ee5897254e</t>
  </si>
  <si>
    <t>adb7f311-7974-425a-b25f-8156671ed826</t>
  </si>
  <si>
    <t>8be9515f-6654-4519-9db3-23b40fc9b524</t>
  </si>
  <si>
    <t>2e07f7a6-bd52-4560-b986-8dbe2bae80dd</t>
  </si>
  <si>
    <t>69b6e40c-3cdb-40f3-afa0-b6e64b0dcbfa</t>
  </si>
  <si>
    <t>d7731c5f-3ea0-45f0-b098-cf99b7460aa1</t>
  </si>
  <si>
    <t>6e8c4090-d16c-4829-bcfc-a76804b40d5f</t>
  </si>
  <si>
    <t>a3426010-5a22-4138-bf9e-efd09b47b373</t>
  </si>
  <si>
    <t>d7ab61f9-a8d1-4df5-b27c-1fa431e7e2fa</t>
  </si>
  <si>
    <t>fab4c155-5455-4b5b-b2ca-429a2f34d5bc</t>
  </si>
  <si>
    <t>014cfd1a-4642-49c7-9ea2-18ce8297aa28</t>
  </si>
  <si>
    <t>11a37b99-2e0d-4db7-8252-fcc2d8ac3b7c</t>
  </si>
  <si>
    <t>cf910b88-9aa5-4e2b-9408-b0c3498ee329</t>
  </si>
  <si>
    <t>8d8b18c0-bd20-40ea-9bec-91c48d635f12</t>
  </si>
  <si>
    <t>2e30cc44-4e78-453e-bb00-a76bb373ed19</t>
  </si>
  <si>
    <t>16e38080-4971-42ad-9dc0-28847d3d6311</t>
  </si>
  <si>
    <t>92c11d65-5e6e-4ca9-95ca-b136543631ee</t>
  </si>
  <si>
    <t>bd24554b-c33e-4e20-b527-c0887026d9c9</t>
  </si>
  <si>
    <t>50d3afcd-5b37-45ae-9443-e3e293948c62</t>
  </si>
  <si>
    <t>7a29286b-d5d5-4654-93bc-ff569dc28b1b</t>
  </si>
  <si>
    <t>1f6502e2-cf47-4623-bfed-139793e80304</t>
  </si>
  <si>
    <t>f63125af-b56b-4d63-b3fc-92e742c6579c</t>
  </si>
  <si>
    <t>a69f5d19-1e6e-4dab-aa66-235cb2a59a54</t>
  </si>
  <si>
    <t>BI-Annual and AI</t>
  </si>
  <si>
    <t>25d96866-708c-4063-aedf-d43af801b977</t>
  </si>
  <si>
    <t>35eb8b0c-0624-4ff9-9f9c-b139f1646938</t>
  </si>
  <si>
    <t>c8b29443-c968-415c-ba6d-0506b752a8dd</t>
  </si>
  <si>
    <t>3b220c53-6496-46cd-90c9-08b4678fe5b8</t>
  </si>
  <si>
    <t>6dc8d72f-1e68-4fc9-8499-f51ac0a9f08e</t>
  </si>
  <si>
    <t>98bcc113-788a-4e24-8827-68cf05ea524a</t>
  </si>
  <si>
    <t>57fd4261-a4ac-4cb9-a227-f43284fa3247</t>
  </si>
  <si>
    <t>bf9a2c31-42f8-4015-85d6-5a2931678fb9</t>
  </si>
  <si>
    <t>5b92c758-e7c8-435f-967b-f251928cdf9e</t>
  </si>
  <si>
    <t>a83cdebe-50d5-45d5-b869-9c4b5ab56c8a</t>
  </si>
  <si>
    <t>2ef929cb-1723-45f4-b336-677d7ee8c593</t>
  </si>
  <si>
    <t>85492fc0-b7c0-4e05-952a-c0544f9f1c10</t>
  </si>
  <si>
    <t>697686c3-6e15-4925-881c-4e141a68344d</t>
  </si>
  <si>
    <t>be049740-17eb-49d8-8650-e46de93ea962</t>
  </si>
  <si>
    <t>35cd2507-2068-4457-9a72-0a02029ef6c7</t>
  </si>
  <si>
    <t>3227baef-24dc-4c1d-afc3-5e32738e04c3</t>
  </si>
  <si>
    <t>010ece4b-9109-4d30-98b1-1f14ec0390ff</t>
  </si>
  <si>
    <t>f6e6937a-1ee4-4864-884a-f26d6fcff523</t>
  </si>
  <si>
    <t>e05a4840-5675-4a26-a95b-a697ba8be5c4</t>
  </si>
  <si>
    <t>6c1078d0-ce04-44f4-aeb0-af3cac687006</t>
  </si>
  <si>
    <t>da42fa01-c79d-4815-93da-a57204c0d965</t>
  </si>
  <si>
    <t>afa63ccb-34d5-4387-bbea-f8afa81d3bda</t>
  </si>
  <si>
    <t>c02dff5f-bbcb-4986-9431-80ef345b71da</t>
  </si>
  <si>
    <t>9effbafb-b127-454f-9fcf-6b99b4244e21</t>
  </si>
  <si>
    <t>c1e0980a-b581-4150-8646-7e3c723e580a</t>
  </si>
  <si>
    <t>aedbb5f2-5dd9-49bc-9e87-2f8f368fd039</t>
  </si>
  <si>
    <t>9f825e41-2bc1-47b6-968e-8791ccf8d2e6</t>
  </si>
  <si>
    <t>64caf3ca-afc8-43a5-9b76-6249c7dbd3f8</t>
  </si>
  <si>
    <t>6c264ccd-292c-49a8-a779-54ec8980ebcf</t>
  </si>
  <si>
    <t>02533587-b410-4481-a13b-cc5442d641c2</t>
  </si>
  <si>
    <t>08e63d30-2fc4-492a-af3e-5cb7aa0bcf5e</t>
  </si>
  <si>
    <t>a25903c1-2a99-4d99-8a20-f2eaba681900</t>
  </si>
  <si>
    <t>6e0fc140-3a1a-4cd8-8541-500b558a2091</t>
  </si>
  <si>
    <t>ecc38490-2ced-4823-acb6-3eacc57a86b0</t>
  </si>
  <si>
    <t>8d2831d8-8043-4fb4-b529-c8dd41e6372a</t>
  </si>
  <si>
    <t>161fce09-bcaa-4ac2-b4f7-cc64120bd2eb</t>
  </si>
  <si>
    <t>b03067b9-d770-4eea-be03-9e50fb8fb93d</t>
  </si>
  <si>
    <t>ad2b382b-065d-4be9-83cf-f484d8f977da</t>
  </si>
  <si>
    <t>7235acd9-1eeb-4c36-8420-74e9f9257d62</t>
  </si>
  <si>
    <t>145178ee-6b8c-4441-8ca6-0324f003b279</t>
  </si>
  <si>
    <t>3e4dceea-d8ea-475e-afe8-e0117f8bb478</t>
  </si>
  <si>
    <t>f92d6353-2067-494b-b8bc-27f1c468b644</t>
  </si>
  <si>
    <t>ec14d5c1-8b79-4bb7-94cb-d17b1243f0f8</t>
  </si>
  <si>
    <t>9f4356bc-9dbd-40c3-92eb-c2d08b1485cf</t>
  </si>
  <si>
    <t>ebcfee56-2e2d-4361-972b-3cfacd46a4ed</t>
  </si>
  <si>
    <t>1726f5a1-cabf-4bb4-8141-2a8e0ef52913</t>
  </si>
  <si>
    <t>10d56d08-69b2-44d0-b8eb-d4c097885045</t>
  </si>
  <si>
    <t>5916dd6b-52b9-4498-a056-90e877b8a8d3</t>
  </si>
  <si>
    <t>793ebc48-5d23-425b-be42-6b095fc05977</t>
  </si>
  <si>
    <t>ab400618-0175-4f77-b0f5-5763503422df</t>
  </si>
  <si>
    <t>4d515c2b-59b8-457b-a281-0eac117bc755</t>
  </si>
  <si>
    <t>2e63ab1e-acaa-436e-bc0d-52e4cefe05bb</t>
  </si>
  <si>
    <t>00298a77-032c-4f88-9349-9cd8d0618cc9</t>
  </si>
  <si>
    <t>731ad99a-4e20-4091-bf1e-25d46703f07a</t>
  </si>
  <si>
    <t>25a326fe-720b-4712-aed3-c8f2953b03a9</t>
  </si>
  <si>
    <t>66338960-76cd-4741-9cdd-1a1a854fb8b4</t>
  </si>
  <si>
    <t>8d657f61-086f-408c-9d09-fa04ce928350</t>
  </si>
  <si>
    <t>5527ae96-712f-476b-974b-96e263a0ac8b</t>
  </si>
  <si>
    <t>d2f593f0-67d5-4295-9964-ed4b08a1109a</t>
  </si>
  <si>
    <t>c147dc46-1e17-4eee-b0a6-8f97c4e412d4</t>
  </si>
  <si>
    <t>9392eb4e-0daf-4d32-8fdd-58d02bf94617</t>
  </si>
  <si>
    <t>d07b9439-b341-4fa7-bd42-2af683414a61</t>
  </si>
  <si>
    <t>7d638265-54e6-4340-8d1f-6afb10a2957f</t>
  </si>
  <si>
    <t>c39ccbb6-e35d-4671-a218-8a5941819f9d</t>
  </si>
  <si>
    <t>dbaa6940-01f0-4e2b-8593-732905981576</t>
  </si>
  <si>
    <t>a5621ea7-4dbc-4a7f-910c-047ffb13091c</t>
  </si>
  <si>
    <t>6b020e15-3eec-4bee-9a2c-e567d94670e6</t>
  </si>
  <si>
    <t>7671b8ff-19c8-4c03-9f13-5a9f0c29dbaf</t>
  </si>
  <si>
    <t>d37f1d4a-593a-4c13-a80d-f67df25a8755</t>
  </si>
  <si>
    <t>7301f52a-297a-4e8d-85d3-f17fa75b78ff</t>
  </si>
  <si>
    <t>38a14bc1-d97f-47f0-ad2f-5f7678f56ef6</t>
  </si>
  <si>
    <t>c77f3066-ec9a-4e12-93b6-d3aa2c054a3a</t>
  </si>
  <si>
    <t>64d5594b-eb98-497a-b310-42773ed56515</t>
  </si>
  <si>
    <t>be14178b-c098-4d6d-8085-53db9b2eab11</t>
  </si>
  <si>
    <t>85a43718-d6b0-4c12-8f14-7e95392f4d43</t>
  </si>
  <si>
    <t>b54f09e1-2a98-41f4-84c9-4f26b12e6d3f</t>
  </si>
  <si>
    <t>26acd74a-4c61-435c-9f08-26250acda65a</t>
  </si>
  <si>
    <t>6d19b35e-9d6a-4192-bd0b-a81745f6f3a1</t>
  </si>
  <si>
    <t>3099bfdf-c27a-4ab6-b300-e8d73b1a5684</t>
  </si>
  <si>
    <t>cef7d95c-ec2a-406a-8789-6fe45b5c602e</t>
  </si>
  <si>
    <t>d3305084-9bed-48d7-925c-df8b30d2d6d4</t>
  </si>
  <si>
    <t>bcfe32f4-3e28-4d7e-ac1f-86e1f1a2be65</t>
  </si>
  <si>
    <t>ea532308-444e-4f38-b044-04568ce00fd2</t>
  </si>
  <si>
    <t>bd76b8d9-17c0-44a4-af68-bb93fb7cfe68</t>
  </si>
  <si>
    <t>f43f9a5f-e2a4-4b19-81d1-5bfdcd1bf798</t>
  </si>
  <si>
    <t>82d4f6be-99c5-4953-9ef5-b7c251af2db6</t>
  </si>
  <si>
    <t>c6fd07f9-bc16-419e-9261-03a76b217e44</t>
  </si>
  <si>
    <t>c9feff53-ab6f-4720-a306-215273837c85</t>
  </si>
  <si>
    <t>bb59e121-1a44-47da-84bf-bb191e1a61f4</t>
  </si>
  <si>
    <t>edeef65f-4f3a-4d92-98ae-8c6c3054f44d</t>
  </si>
  <si>
    <t>0040100b-5398-440e-b1d3-a17b9c79a026</t>
  </si>
  <si>
    <t>b62fa2d1-b5d5-4c61-bec5-ae97ac11e7f8</t>
  </si>
  <si>
    <t>975aed9a-ae1f-49f2-beb0-3414670b02f6</t>
  </si>
  <si>
    <t>ed8f941c-10c2-480d-951f-6ed6afd653ea</t>
  </si>
  <si>
    <t>80bf8285-3310-4872-b326-c5b1d164780f</t>
  </si>
  <si>
    <t>a4adccf7-da5c-40a9-b054-1ceab7806471</t>
  </si>
  <si>
    <t>8b5b1b5f-9e7a-4c76-b2e9-a1a538138b30</t>
  </si>
  <si>
    <t>723c3101-3943-48e8-a1d5-f0101265a19a</t>
  </si>
  <si>
    <t>357541da-4010-4330-b826-9fd06cd18664</t>
  </si>
  <si>
    <t>d71540e4-9651-4e61-b2b5-9547d5ae7512</t>
  </si>
  <si>
    <t>9a58b17e-4824-4c20-86c4-eb59f521add3</t>
  </si>
  <si>
    <t>f8b766c6-7fc6-4ca3-85c4-6b1af62b1cfb</t>
  </si>
  <si>
    <t>16114c97-8241-4700-af2d-d5f8f13989ef</t>
  </si>
  <si>
    <t>9c751127-9104-4147-a609-b9cb8856487d</t>
  </si>
  <si>
    <t>a831055d-7c09-4dff-83b3-029e453b2931</t>
  </si>
  <si>
    <t>1c11c40d-cdfa-43cc-b3fa-d54d0f1282c9</t>
  </si>
  <si>
    <t>8f545ef4-666f-4aa1-92cc-67a2265db154</t>
  </si>
  <si>
    <t>e1f5fb53-bcde-460b-b207-95e625a7ae95</t>
  </si>
  <si>
    <t>435a2b28-6e02-408c-9dc2-45c1a337382d</t>
  </si>
  <si>
    <t>067334fb-886a-43fa-a415-cc1bc02e8d6c</t>
  </si>
  <si>
    <t>dceed644-17bf-422b-a665-87bbc683d390</t>
  </si>
  <si>
    <t>437acfe3-504a-4663-b11b-c73dab252245</t>
  </si>
  <si>
    <t>3dbb5e2e-9d86-4f56-bb82-d6da747ca87a</t>
  </si>
  <si>
    <t>bf3029c5-fcbe-430e-a432-7861ec51db8a</t>
  </si>
  <si>
    <t>cdacb720-7b4d-4432-a6d3-1674329b2af4</t>
  </si>
  <si>
    <t>35d56751-1d9d-44b1-823f-22f2ca922fc0</t>
  </si>
  <si>
    <t>9482fbe5-f61b-484f-ad01-dcac6418af1c</t>
  </si>
  <si>
    <t>f540f40e-bfa6-4599-8aa1-c05b4e04fc9b</t>
  </si>
  <si>
    <t>52ab289b-faeb-452c-867b-4bb6b346a0a8</t>
  </si>
  <si>
    <t>c73460af-4bee-40cc-9146-7bc86f9ce64a</t>
  </si>
  <si>
    <t>8f3b89e2-013d-4b58-8769-37e46392d9a0</t>
  </si>
  <si>
    <t>c0db458e-43a6-4de4-b236-dda9cf74ced9</t>
  </si>
  <si>
    <t>2312e433-b785-41ec-8229-4b2d555dbdd0</t>
  </si>
  <si>
    <t>6905e21f-3a67-4188-8625-6378c138e04c</t>
  </si>
  <si>
    <t>07edfa44-5692-436b-8045-7af3ac3f3097</t>
  </si>
  <si>
    <t>664dded7-4d9c-41cc-838e-a878a1e4902e</t>
  </si>
  <si>
    <t>a69698d2-0ac8-4c64-9d79-23f070f5d51f</t>
  </si>
  <si>
    <t>a0c98607-8680-4dc3-aa34-fd7312eaa4c6</t>
  </si>
  <si>
    <t>2ed0400c-e668-404d-8422-9ca24e5ea092</t>
  </si>
  <si>
    <t>777d4f02-d948-4eea-93e8-45f23d3298ec</t>
  </si>
  <si>
    <t>eafd9848-1ef4-4b83-9904-55b01fdb6b85</t>
  </si>
  <si>
    <t>406bf70e-f58c-466c-a160-67fb2b644437</t>
  </si>
  <si>
    <t>2ee1b7df-9e6a-4f74-a57a-6e9c2b3db44c</t>
  </si>
  <si>
    <t>7121cb8c-a917-4b1f-b3a4-20c60190552a</t>
  </si>
  <si>
    <t>2cd54bc1-9ae1-4d4c-aae4-00583259fc11</t>
  </si>
  <si>
    <t>9dbe7b1f-92fb-4865-af68-b5845cacc03d</t>
  </si>
  <si>
    <t>aab03fff-c62c-478f-b58a-7b6d90f78610</t>
  </si>
  <si>
    <t>950a132d-421b-430d-bfef-fcc4714d0a48</t>
  </si>
  <si>
    <t>6ddfe591-d78b-45b8-a514-b75d3ba250a9</t>
  </si>
  <si>
    <t>f9c12b20-80e5-40e5-b3f3-e9dd06290a33</t>
  </si>
  <si>
    <t>d7c7ac79-8acb-4e8e-a71d-5f48a6fa0271</t>
  </si>
  <si>
    <t>632ef7f9-3b0a-4416-9059-9ec84e9a2284</t>
  </si>
  <si>
    <t>b40002e7-f18b-4e7a-95b7-d5c2491c9362</t>
  </si>
  <si>
    <t>2eb85989-e94f-48a9-ae52-8a0ba0b060e8</t>
  </si>
  <si>
    <t>a4a8f4f8-b9db-4768-86f7-6608d548e448</t>
  </si>
  <si>
    <t>72621d5c-1fc5-407d-afe5-1a6ef719c6ce</t>
  </si>
  <si>
    <t>d027561f-5676-44f0-89d8-17f69a5b64ec</t>
  </si>
  <si>
    <t>7617d357-fa39-42d2-9c78-aeb2c8dba64d</t>
  </si>
  <si>
    <t>aafaa06d-4ae1-4ec1-87e9-e25a44379ad5</t>
  </si>
  <si>
    <t>6eb5bf85-44bd-43aa-a022-5b512b7096d3</t>
  </si>
  <si>
    <t>451b335f-910c-4741-9a33-79d1094e77d6</t>
  </si>
  <si>
    <t>eb83b136-8109-4122-b45f-cf33c4ce0624</t>
  </si>
  <si>
    <t>238a301b-6d56-4449-be15-7289dd86a7d6</t>
  </si>
  <si>
    <t>a83ab965-f440-408d-bad9-bf01ce4ba228</t>
  </si>
  <si>
    <t>52133d76-bc13-4b8d-9b54-326c481cc0cc</t>
  </si>
  <si>
    <t>7812ccf8-e0a1-4030-bb3e-df187571c091</t>
  </si>
  <si>
    <t>555cfc7b-836e-420b-aaa8-b2ebca3dd8f1</t>
  </si>
  <si>
    <t>fd546556-3d46-4cc1-8ec1-df41a5221087</t>
  </si>
  <si>
    <t>4bf715d8-65ed-41d2-ace4-88c705e50702</t>
  </si>
  <si>
    <t>0df03960-a9a4-46fe-b536-3ec22f6df52c</t>
  </si>
  <si>
    <t>2110c563-a790-438d-9670-f35502594175</t>
  </si>
  <si>
    <t>d88cc582-eda3-4eca-9f95-3b95d2cf1714</t>
  </si>
  <si>
    <t>427b6f3d-a19f-4936-a3b5-35bf80e5fa13</t>
  </si>
  <si>
    <t>c2de5850-08a9-4317-a1b0-a7226bcda1da</t>
  </si>
  <si>
    <t>cec80ad6-58f3-4d9d-af19-10ccea087914</t>
  </si>
  <si>
    <t>cc341731-bcbe-4b0e-9987-77356f9f5e3e</t>
  </si>
  <si>
    <t>05960114-310e-452b-8f00-dd7a08ddffbf</t>
  </si>
  <si>
    <t>8832ab42-7d23-4729-b619-6f23efa3ba05</t>
  </si>
  <si>
    <t>345cb265-d840-41ad-85ce-c53ca435faca</t>
  </si>
  <si>
    <t>90fefdc7-9679-4977-a131-3f882fdcdf40</t>
  </si>
  <si>
    <t>0f9a0881-cc52-4311-8c3b-a62bd66bc1bf</t>
  </si>
  <si>
    <t>1f87f06a-4802-4ead-aa70-322255c8117a</t>
  </si>
  <si>
    <t>62efa6dd-8df0-4c36-ad75-3aced16c096c</t>
  </si>
  <si>
    <t>bceb648a-5eb4-4f82-b4be-84987c04ecfb</t>
  </si>
  <si>
    <t>17e9b849-6927-4f88-9b6a-54837ddc2b20</t>
  </si>
  <si>
    <t>9789f0d5-aa50-411f-9c5f-29607e0d17a2</t>
  </si>
  <si>
    <t>417162b2-d328-47f2-9450-8ba50111c91f</t>
  </si>
  <si>
    <t>33ca9260-eb16-4736-942c-68e096093e57</t>
  </si>
  <si>
    <t>5994fe8a-02bb-4a79-9b45-fcf5857ffeaf</t>
  </si>
  <si>
    <t>ea37e1b5-cd1e-4e82-b561-1d7356db526b</t>
  </si>
  <si>
    <t>df97e293-5d0a-4454-b7e7-4590129a0159</t>
  </si>
  <si>
    <t>a47024eb-86cb-4450-9771-7e0421c9e115</t>
  </si>
  <si>
    <t>73c67d58-3fec-4a8d-86d7-52f429a93258</t>
  </si>
  <si>
    <t>142335ce-e37c-478f-bd13-97ea04673547</t>
  </si>
  <si>
    <t>0bb73046-949e-4243-a3fa-ab8fb93e85be</t>
  </si>
  <si>
    <t>0f819b83-ea3b-4d5a-b400-77e856ddc531</t>
  </si>
  <si>
    <t>90b353c0-32d8-4208-a540-7f55a28c06bb</t>
  </si>
  <si>
    <t>3dc16c35-3eb4-4a2e-a7da-a64ae2fae718</t>
  </si>
  <si>
    <t>6bfccf3d-d8e2-4078-8b7f-f563ad30c466</t>
  </si>
  <si>
    <t>dcede2d0-0e49-46fa-80c4-2f17a0321480</t>
  </si>
  <si>
    <t>142bba61-c33d-4964-ae92-5d4f0325eb1d</t>
  </si>
  <si>
    <t>dbf65643-2ce3-4df7-9735-ffd70470e1a9</t>
  </si>
  <si>
    <t>059e85b3-4777-46a1-8c04-dc8321595050</t>
  </si>
  <si>
    <t>Annual Leave</t>
  </si>
  <si>
    <t>9b3c4d64-8df1-4552-af98-9b064207ab70</t>
  </si>
  <si>
    <t>5cdf8ca3-b510-4c82-9197-0157f8ccf811</t>
  </si>
  <si>
    <t>186832ab-0ada-4892-86f2-61b228c74d46</t>
  </si>
  <si>
    <t>ffc6109d-aec4-47c8-a949-cd2de6c2af05</t>
  </si>
  <si>
    <t>a4984b5e-1fb8-44b8-b63e-11c660dac778</t>
  </si>
  <si>
    <t>07e62019-3a2d-4d58-82ab-f324670f70bd</t>
  </si>
  <si>
    <t>74cf69d6-6c65-4d41-97ce-2d6eabc6cf53</t>
  </si>
  <si>
    <t>588ef5af-4cb3-409f-a4eb-4cb32623dc6a</t>
  </si>
  <si>
    <t>b9c34c09-399c-4d37-b4f2-1395b09fda34</t>
  </si>
  <si>
    <t>Half Day Annual Leave</t>
  </si>
  <si>
    <t>ec09815f-334e-42d8-b792-a7f5cca80aa8</t>
  </si>
  <si>
    <t>e4f7165e-228f-4b70-9f35-c10dc710d0f1</t>
  </si>
  <si>
    <t>2bd552e1-73ff-45d7-957e-12328ff63933</t>
  </si>
  <si>
    <t>09ebf0c0-9d07-441c-aeb3-91aa2e68e64e</t>
  </si>
  <si>
    <t>c89973b2-8a05-4c9e-80af-a2ff84807a7d</t>
  </si>
  <si>
    <t>f124e93a-6de6-46c3-8275-e245c474b808</t>
  </si>
  <si>
    <t>42c0393c-139a-4d8d-bf59-de3017bd224d</t>
  </si>
  <si>
    <t>9505386b-dd17-4c87-a629-75f8954778c3</t>
  </si>
  <si>
    <t>ad37140c-70a2-4245-b3fd-e606ee316003</t>
  </si>
  <si>
    <t>18f562c9-f62a-4b86-be00-97736731fbcc</t>
  </si>
  <si>
    <t>2fb73fe4-d611-4451-a721-48de1fa2b454</t>
  </si>
  <si>
    <t>ee201618-ad73-4d7f-bbb7-a0e07a46044c</t>
  </si>
  <si>
    <t>c2c170b1-b49c-40dd-b53b-3c6b93179f13</t>
  </si>
  <si>
    <t>09967158-14a7-490b-8118-35948eb15dd5</t>
  </si>
  <si>
    <t>c852a50c-7f8d-4a29-843b-bdcb1e831652</t>
  </si>
  <si>
    <t>4ec97e6e-9a75-4cd7-ad99-41c0c0b88369</t>
  </si>
  <si>
    <t>07fdb8d3-accb-4dfa-87e8-f3cbc6d1b942</t>
  </si>
  <si>
    <t>3de095fb-399e-4b5a-a05c-eb03d82898d5</t>
  </si>
  <si>
    <t>d68a4a73-bfe8-476b-ba64-9955574124f3</t>
  </si>
  <si>
    <t>When to edit Cal's responses</t>
  </si>
  <si>
    <t>67afb02d-7b43-4789-bddf-77a761765478</t>
  </si>
  <si>
    <t>91ba1b0b-7e09-447e-adeb-18be7af70a47</t>
  </si>
  <si>
    <t>0d97e2bb-8ea1-4411-b6d1-94e0a664fac9</t>
  </si>
  <si>
    <t>26f5e67d-566f-492a-8c8b-78d588ccec3a</t>
  </si>
  <si>
    <t>cab0d0ba-36c4-45ab-87bb-6b267dcf215a</t>
  </si>
  <si>
    <t>7c496162-6180-48f7-b4a6-f49c630f1ec7</t>
  </si>
  <si>
    <t>b93ce791-244a-4df0-b1c9-9e81d79ddf51</t>
  </si>
  <si>
    <t>9ea19828-0006-4a7c-a2ac-0e4ecc8eba25</t>
  </si>
  <si>
    <t>9db8292a-d147-4f07-838f-f988f1876c7b</t>
  </si>
  <si>
    <t>d5ca0530-e38a-44a9-9be1-530b8eb5a91b</t>
  </si>
  <si>
    <t>d0713592-bc59-4b88-9645-e9bbfa11e9ed</t>
  </si>
  <si>
    <t>94d408bf-a2f9-4441-9bb5-f2d7c9e0075d</t>
  </si>
  <si>
    <t>f8f3b151-dceb-49b3-820e-1b8b070fdb8a</t>
  </si>
  <si>
    <t>72370453-df67-4402-b78c-f28f773ac526</t>
  </si>
  <si>
    <t>f4049401-0b72-4225-8e99-1d2ae424549d</t>
  </si>
  <si>
    <t>ac87149b-b2fe-4b4e-93e2-156d893b1497</t>
  </si>
  <si>
    <t>e856ed7e-b27b-42a5-8960-64eeefdd7048</t>
  </si>
  <si>
    <t>1cb45567-2e94-4f6f-9c9c-7ed89f984607</t>
  </si>
  <si>
    <t>f60304eb-4989-4d5f-8509-27af8433b8af</t>
  </si>
  <si>
    <t>51e3b7f7-6a7a-4e4e-af70-bc5a477b5d8d</t>
  </si>
  <si>
    <t>723422d7-7f5b-4da7-bf97-3c9d8603f28e</t>
  </si>
  <si>
    <t>2a8b26aa-620f-493a-8c87-2155e2dec020</t>
  </si>
  <si>
    <t>Recharge</t>
  </si>
  <si>
    <t>007904b5-2b55-42cf-9404-39606dc182f0</t>
  </si>
  <si>
    <t>d961b66f-61f3-473d-be18-c5146d3c699f</t>
  </si>
  <si>
    <t>41ea373d-7a83-4601-92e0-1bd341bad550</t>
  </si>
  <si>
    <t>9d69a8c7-c596-461f-9c65-e302a04afcc0</t>
  </si>
  <si>
    <t>205b1c6c-61c5-457f-98d7-b1db2492b4bc</t>
  </si>
  <si>
    <t>0cbcb891-93c4-4ecd-b817-a66b69d1016e</t>
  </si>
  <si>
    <t>507d4e32-3454-4a83-ad26-f0673e5aa48c</t>
  </si>
  <si>
    <t>9c5e7621-003a-4b03-aa49-fa2bfb66c6b6</t>
  </si>
  <si>
    <t>28b2fb7a-36ac-4d20-93a3-668a0bd698c0</t>
  </si>
  <si>
    <t>8964402d-77b6-477c-88df-16304d00653e</t>
  </si>
  <si>
    <t>Half Day VL</t>
  </si>
  <si>
    <t>a1a4a4b6-1405-4f46-a52c-f3a292d0c03b</t>
  </si>
  <si>
    <t>38e9276e-a846-4ce9-b827-78915b9fc68a</t>
  </si>
  <si>
    <t>2bf5be12-2b32-439d-b2c9-489881cde97a</t>
  </si>
  <si>
    <t>ab4111fd-dc85-472c-8c45-da94b22ae76d</t>
  </si>
  <si>
    <t>cc4286da-56dc-4abf-bc7e-7033cc64a062</t>
  </si>
  <si>
    <t>b94847ed-3e09-4d7a-953e-0608f689a3fa</t>
  </si>
  <si>
    <t>c39fee6a-1e0c-449a-aee0-8cdd50c02b5e</t>
  </si>
  <si>
    <t>0ed7d6e7-dcfb-4db0-8ee0-e651fda413f0</t>
  </si>
  <si>
    <t>41f1d17c-0294-41e3-bb0c-b7ca7d62330f</t>
  </si>
  <si>
    <t>87064527-12c5-474f-b6c5-92d5af074e54</t>
  </si>
  <si>
    <t>0223a435-1b00-40cf-8e34-ccfe94f506a0</t>
  </si>
  <si>
    <t>66eee592-9d34-4ab4-ada6-8679ac7611f9</t>
  </si>
  <si>
    <t>db5ed080-9bbf-4b79-9233-b4f08d313df6</t>
  </si>
  <si>
    <t>02c7fc2a-9420-4220-b354-8d2a46e3173c</t>
  </si>
  <si>
    <t>8328d1df-a1aa-4134-8bf8-ba527f713ba0</t>
  </si>
  <si>
    <t>e0724b2b-b3bd-448c-a4fc-cc2bd2941b27</t>
  </si>
  <si>
    <t>1c1139a5-bf6d-4dec-9003-7c08447dbaf8</t>
  </si>
  <si>
    <t>75d0b3aa-e40c-4dc5-9235-38f297df2c1d</t>
  </si>
  <si>
    <t>c6ccfb07-ac53-4b72-b431-c793d72e9a5c</t>
  </si>
  <si>
    <t>224f3f5c-45c1-490d-af2e-b418345936b8</t>
  </si>
  <si>
    <t>7d1ca059-b63d-4798-ab01-e718bbd0060d</t>
  </si>
  <si>
    <t>ecac849e-4a74-4a74-84e4-9bf2c410f7f5</t>
  </si>
  <si>
    <t>b2907652-2cca-4333-b509-4741e957d1a9</t>
  </si>
  <si>
    <t>5a7f69b4-8adb-4989-88c8-c6a8ac130283</t>
  </si>
  <si>
    <t>fc2eeb27-3fe3-438b-b641-54dc40b2d27d</t>
  </si>
  <si>
    <t>773e41b6-a50a-473c-afdc-761e18197df1</t>
  </si>
  <si>
    <t>fb4eb6a0-b5e0-495e-b13e-b343f9fff6cc</t>
  </si>
  <si>
    <t>fa7b5889-721d-494d-a56c-b3e5b6d40855</t>
  </si>
  <si>
    <t>5f4bc5a8-0957-4fa1-84f7-659d20059315</t>
  </si>
  <si>
    <t>27da05b0-4069-4bad-8bcc-5cd1f7d5a1e8</t>
  </si>
  <si>
    <t>0f338367-d890-4d21-aa7d-862ef6864881</t>
  </si>
  <si>
    <t>6c4a0b75-212c-487e-b5a1-bd774eb7693d</t>
  </si>
  <si>
    <t>ab3f4a38-fa55-449c-9333-03e8878e2823</t>
  </si>
  <si>
    <t>102b59c8-ab72-46c3-8585-cfacff607175</t>
  </si>
  <si>
    <t>367b6031-a70c-4ac9-9ea3-2baeaa8d9bca</t>
  </si>
  <si>
    <t>b5c8980c-d99e-4d06-b5ea-001b6d315327</t>
  </si>
  <si>
    <t>b84ed03e-7bd5-4fdf-867c-8da879842206</t>
  </si>
  <si>
    <t>on leave for the holiday celebrations</t>
  </si>
  <si>
    <t>f1b145a0-5c27-4695-98b5-bf12375f6926</t>
  </si>
  <si>
    <t>6995b6f8-3a4e-4725-b67f-1bdce491a53d</t>
  </si>
  <si>
    <t>972d45c3-2145-4f31-bdd5-e7e8554b93e5</t>
  </si>
  <si>
    <t>c0b67811-3913-4ff9-9be2-2d9acff904bd</t>
  </si>
  <si>
    <t>da395f9b-9964-4563-8622-6f79ab56f49c</t>
  </si>
  <si>
    <t>1b93d316-afef-4878-9694-fa59c81d33c8</t>
  </si>
  <si>
    <t>8286acb7-fc32-471b-9756-b5c03d24a94f</t>
  </si>
  <si>
    <t>2d5547c3-d2ea-43e6-bd71-a55f369d70cf</t>
  </si>
  <si>
    <t>17c9f982-aac2-47e4-8986-0fdd5d4a9044</t>
  </si>
  <si>
    <t>d55ff285-be14-44c0-8153-c974adf46faa</t>
  </si>
  <si>
    <t>cd7246d7-6d3f-4406-a792-fe9f229f6390</t>
  </si>
  <si>
    <t>1d4d62c5-cc0b-4119-97b3-b4bc918cf1e8</t>
  </si>
  <si>
    <t>8b92bf18-b46d-44bd-adea-809230a99334</t>
  </si>
  <si>
    <t>71a3f4ce-2f9c-46cc-b927-0c7f0432a558</t>
  </si>
  <si>
    <t>ec3234fb-676b-4370-bf24-a8945423be30</t>
  </si>
  <si>
    <t>704d65ca-4847-41a2-a7cf-4e707a0f8ab0</t>
  </si>
  <si>
    <t>4e24170d-f2e3-45f9-b09b-f7c054255e06</t>
  </si>
  <si>
    <t>97361cab-3d9a-4542-8f0f-3176c5e83e3b</t>
  </si>
  <si>
    <t>12324eb5-d0a5-4924-ba9f-93c6c2cd0a76</t>
  </si>
  <si>
    <t>7fa703c9-4f63-4af3-b3ff-ede5d493b781</t>
  </si>
  <si>
    <t>a3c29941-cf06-4225-925c-73d835dcd3ce</t>
  </si>
  <si>
    <t>82b4ac41-c9fb-493c-8d57-234f0f2900ab</t>
  </si>
  <si>
    <t>730cc4c4-8fca-4a98-8c08-fe9669430dcd</t>
  </si>
  <si>
    <t>47876e37-692f-470f-9685-7b77f9030ea8</t>
  </si>
  <si>
    <t>8c54f549-60d7-4a14-8370-2b6a263ebc07</t>
  </si>
  <si>
    <t>cd925482-d5bc-4366-97ee-152386322fbd</t>
  </si>
  <si>
    <t>c4356832-eb28-42b1-8717-bca581a562d5</t>
  </si>
  <si>
    <t>9756d0fa-05c3-4390-bc1e-fca5c5bc988b</t>
  </si>
  <si>
    <t>c94b05cf-dc69-4b29-97d2-a46adf4430ae</t>
  </si>
  <si>
    <t>0cf852c7-5e52-4332-b652-edb346d260df</t>
  </si>
  <si>
    <t>f34c923b-523a-4e7c-ac7a-3ab8c4f4bb51</t>
  </si>
  <si>
    <t>757729d3-01d1-48ce-8999-62cf33dc8c87</t>
  </si>
  <si>
    <t>153d4795-9a45-486b-92e8-c59550e65a04</t>
  </si>
  <si>
    <t>884d3c27-ed18-4929-a396-ae1621d5c38e</t>
  </si>
  <si>
    <t>524188e6-b146-4b7b-9018-63a169ec2f51</t>
  </si>
  <si>
    <t>af9566b1-7058-4057-9ca1-ec9bc1bf5b8c</t>
  </si>
  <si>
    <t>2af04c0c-010f-41b6-8386-e8f88f856c88</t>
  </si>
  <si>
    <t>0edddf6e-ae48-4009-9d84-1602b391e713</t>
  </si>
  <si>
    <t>a8ce62f6-55e6-43d4-99a8-ec70e6b7c7ee</t>
  </si>
  <si>
    <t>e05d5ef1-e53f-420d-8869-8242734399eb</t>
  </si>
  <si>
    <t>5aa166df-5593-4f5e-af74-41520eb38a63</t>
  </si>
  <si>
    <t>b9945c14-0064-42a5-aa2f-a0cfa6d0c5f0</t>
  </si>
  <si>
    <t>5e380649-bbaa-4aac-adce-cae205917a4f</t>
  </si>
  <si>
    <t>149beed5-4387-4407-9717-0b6d2108d22d</t>
  </si>
  <si>
    <t>87ffaf21-e1a3-4de7-b989-48c13c09e467</t>
  </si>
  <si>
    <t>7c611a18-5b7e-4c72-9fae-4a6507327f47</t>
  </si>
  <si>
    <t>6b620fce-1c15-4841-b82f-a65f1dfec379</t>
  </si>
  <si>
    <t>8790b542-ebe0-40dd-b62b-782241007a2f</t>
  </si>
  <si>
    <t>ffb11456-8888-448d-aee4-e22bec4500b3</t>
  </si>
  <si>
    <t>fd782cdf-9b61-4657-806a-8a229b6ce6b0</t>
  </si>
  <si>
    <t>6f711bd6-16e2-4f1d-9d13-d7e1088948b9</t>
  </si>
  <si>
    <t>ea7dbbfe-1b9b-4d30-b5b9-a02f5c6e4de5</t>
  </si>
  <si>
    <t>17d2f7bc-09e8-45fc-8d39-648c63a543c3</t>
  </si>
  <si>
    <t>1f691f0d-61ad-4a5a-8f9f-bcbc62ea1218</t>
  </si>
  <si>
    <t>0d679412-4af1-40f6-8c72-b3df92eacef4</t>
  </si>
  <si>
    <t>695452f4-822d-44de-9d61-a0305b2ff511</t>
  </si>
  <si>
    <t>3192feb3-4b48-4de6-af85-5e3733c8c688</t>
  </si>
  <si>
    <t>243669e7-c13a-4cf7-9d0a-4b69d3556543</t>
  </si>
  <si>
    <t>VL for Christmas Eve to spend time with family.</t>
  </si>
  <si>
    <t>d7d0fe68-4418-460b-99dc-e5cb8df89b56</t>
  </si>
  <si>
    <t>5f9f0550-659b-4e5a-8cc5-023f6309bfc0</t>
  </si>
  <si>
    <t>4c921844-3759-4304-946d-00ddc0529acc</t>
  </si>
  <si>
    <t>100bd43f-3862-4e45-9cf5-ba94cf5d20ec</t>
  </si>
  <si>
    <t>d2383f2e-2fc0-46b7-9ab1-949ecbaeaaaa</t>
  </si>
  <si>
    <t>01ec0d88-7c83-4200-b189-c1a0b9db5acb</t>
  </si>
  <si>
    <t>fc6c090f-8106-4fef-b9a9-298fb5eb4f3e</t>
  </si>
  <si>
    <t>d80ee58c-cf80-4a60-9f17-f2ff63d2ed19</t>
  </si>
  <si>
    <t>c672adc2-5eb8-47de-8c66-ba6e9422ed84</t>
  </si>
  <si>
    <t>6e8e5c53-021c-4772-bb35-527946d668d9</t>
  </si>
  <si>
    <t>c785c054-6f19-44ae-b062-1636f360d4ab</t>
  </si>
  <si>
    <t>47d24990-62d7-4e8e-88cc-b0b39e699146</t>
  </si>
  <si>
    <t>05313f17-5af0-417a-93b9-e2a90504614e</t>
  </si>
  <si>
    <t>25875f3b-59c0-4058-ae44-251539c73faf</t>
  </si>
  <si>
    <t>2e7b3433-e46f-44d0-9180-330fe11fd086</t>
  </si>
  <si>
    <t>bab9276e-5413-4cc3-9791-84ecef5a1908</t>
  </si>
  <si>
    <t>a2d758c5-a153-4e9d-ba5c-2ca59b7b32d4</t>
  </si>
  <si>
    <t>2204370b-2368-49b3-8273-07e235e6f044</t>
  </si>
  <si>
    <t>e05b8887-4d65-46ab-a0b8-39b578abc66e</t>
  </si>
  <si>
    <t>f16abf83-c271-49e5-9b43-0e61404271b5</t>
  </si>
  <si>
    <t>047ffdc0-a380-4391-bb50-64f558c21faa</t>
  </si>
  <si>
    <t>cb52f77e-3865-4711-a963-cec2010b865a</t>
  </si>
  <si>
    <t>f361e21c-8481-4a73-b6b1-db12b5c1bbaf</t>
  </si>
  <si>
    <t>b6f45f3d-e01a-45d2-9fd4-675c07839dbc</t>
  </si>
  <si>
    <t>2b1c355a-921d-4da0-8eb5-63d96db12cd3</t>
  </si>
  <si>
    <t>0b5e811d-dcfe-4ab3-a449-bc19d5ecc67c</t>
  </si>
  <si>
    <t>c5198cb5-19f9-40ae-855c-0528fc76037a</t>
  </si>
  <si>
    <t>09d30a22-b2ad-4183-a29f-99a5f484276d</t>
  </si>
  <si>
    <t>0efddf0a-9e9b-4c2f-a8e5-a44a1cb9bdbd</t>
  </si>
  <si>
    <t>db224ba0-ae2f-4dc0-9570-d59efedbaf3d</t>
  </si>
  <si>
    <t>833d0f7f-8f1b-47eb-a98f-139937eda158</t>
  </si>
  <si>
    <t>f7917862-f3d8-4804-9953-7371446e6b67</t>
  </si>
  <si>
    <t>a94e7918-8940-4708-a1cd-d948b164892d</t>
  </si>
  <si>
    <t>2adb2ee3-7b2b-4f2e-94fe-dbd8e4c44bbd</t>
  </si>
  <si>
    <t>0b7e12b0-79d1-45b0-bc38-ab5a46a60c76</t>
  </si>
  <si>
    <t>d6c63721-df16-4cd4-a278-271a35707be3</t>
  </si>
  <si>
    <t>8226c089-6029-4b6d-8efb-52ef8e48ca79</t>
  </si>
  <si>
    <t>bb7c97c5-68f7-4a5d-8938-6d0338658143</t>
  </si>
  <si>
    <t>572c25f2-b644-4426-9da3-fbe845400fe8</t>
  </si>
  <si>
    <t>2b454f7b-d440-4558-b5fb-0b03a2e65003</t>
  </si>
  <si>
    <t>ce13ba6f-f8ca-4cb2-88d9-8bf4e5e0fe96</t>
  </si>
  <si>
    <t>007aded2-60bd-45c8-b5db-8fa279434416</t>
  </si>
  <si>
    <t>1ad619b9-3a96-4398-a323-88be25837f0e</t>
  </si>
  <si>
    <t>c4e2bb39-6b6d-4f97-bd2c-35fe12fefa40</t>
  </si>
  <si>
    <t>b0583569-ebe7-486d-839f-c5a04ab66ea9</t>
  </si>
  <si>
    <t>16e4fb11-94c2-4908-a20d-d93cb3454aa6</t>
  </si>
  <si>
    <t>eaee07c8-c5be-40dd-9303-0d9bbac96473</t>
  </si>
  <si>
    <t>c2a8b7a1-ce47-4bf2-b09c-bced8cfae7e7</t>
  </si>
  <si>
    <t>b4eaf03f-d1d2-4926-9787-3de78fba1623</t>
  </si>
  <si>
    <t>0f932d4b-9fbe-47ca-a7d6-76efd3ae5afb</t>
  </si>
  <si>
    <t>07695263-37c1-4a5d-8308-77ec9dcca738</t>
  </si>
  <si>
    <t>74925017-a712-4725-aac3-d47d13162d76</t>
  </si>
  <si>
    <t>36fe324e-f941-4e0f-8904-3e44cdb3556d</t>
  </si>
  <si>
    <t>976c8372-4b56-496e-87e4-a712d57c7071</t>
  </si>
  <si>
    <t>40b50026-900a-47d4-8abe-5eae0bc53aa5</t>
  </si>
  <si>
    <t>2ed83cdf-2d00-4248-a126-f431f35acba2</t>
  </si>
  <si>
    <t>56cf1b71-0013-4ad8-bf5b-c0746ac1f548</t>
  </si>
  <si>
    <t>949e50d1-158f-4ad1-9676-6e43b307b266</t>
  </si>
  <si>
    <t>e6d7e00e-8512-4959-9273-3dd7309ee8a7</t>
  </si>
  <si>
    <t>4e80e071-8a6b-47b6-9820-dd034c87c880</t>
  </si>
  <si>
    <t>680ecb89-f307-4f3e-a09a-f66b65ac4750</t>
  </si>
  <si>
    <t>6e3f03fe-9fab-437b-bbb6-353778f8c4d6</t>
  </si>
  <si>
    <t>8aef1aca-451e-432d-a70d-255a87658e61</t>
  </si>
  <si>
    <t>1189f0e7-68c3-4345-8f6d-13b46e938bf2</t>
  </si>
  <si>
    <t>3eac7e15-824c-4c68-8a52-7dca5e92a6c9</t>
  </si>
  <si>
    <t>35411c3f-7a24-4abb-9455-963114f4079e</t>
  </si>
  <si>
    <t>323e0689-22a8-4af0-8aec-41312fa97bb3</t>
  </si>
  <si>
    <t>8fd57f9a-ab79-4552-83c5-a326a4358705</t>
  </si>
  <si>
    <t>e4406d27-2892-437b-b334-e12148e70422</t>
  </si>
  <si>
    <t>76efcc34-5565-4e70-aef1-30c398b148e0</t>
  </si>
  <si>
    <t>5e3e9569-81e9-4ea9-8335-25e35128ba3c</t>
  </si>
  <si>
    <t>af488859-75e2-4ec7-828d-207f8c023175</t>
  </si>
  <si>
    <t>33984743-8c99-43af-9173-9061c8fd32d9</t>
  </si>
  <si>
    <t>bcb30420-f787-40f7-9e00-018f6944276f</t>
  </si>
  <si>
    <t>9bd6c9b0-3b01-460e-9dc0-824366097d14</t>
  </si>
  <si>
    <t>2f179b83-9dc2-4c2b-a1a7-2ab519ffa5e2</t>
  </si>
  <si>
    <t>358f96ec-e44b-42a8-89c8-5f700efa7983</t>
  </si>
  <si>
    <t>d27523b7-b046-49f8-bdda-15b22f108ad7</t>
  </si>
  <si>
    <t>12e79431-3c85-4544-8e91-0ba06c27567e</t>
  </si>
  <si>
    <t>28ec2749-d89f-4609-b8c1-2b998a98b99d</t>
  </si>
  <si>
    <t>57dc1c35-1d31-4f5d-adc0-345583a5c0c9</t>
  </si>
  <si>
    <t>fdef9c57-b44a-4773-855e-108a9e01b800</t>
  </si>
  <si>
    <t>6d4b5e12-54ed-4434-99df-4533009fa20d</t>
  </si>
  <si>
    <t>ac68b4aa-e2b0-41c7-80db-f97edbe964b3</t>
  </si>
  <si>
    <t>ef9de975-e229-496a-b3ad-f8a90e1e977c</t>
  </si>
  <si>
    <t>86e8043f-1ff1-4fa8-9dc5-6284dd757408</t>
  </si>
  <si>
    <t>633883b5-6819-4b9b-bf9b-5eefdeadbf84</t>
  </si>
  <si>
    <t>b493bd34-1bd1-433f-9c6f-f8e5fce8a064</t>
  </si>
  <si>
    <t>1a6fd21f-9677-45c0-a16d-e75333baf247</t>
  </si>
  <si>
    <t>Holiday leave to spend time with family</t>
  </si>
  <si>
    <t>ae029444-7e64-4fdc-847f-4a84ef18e4c4</t>
  </si>
  <si>
    <t>22868a7d-2073-44f9-8319-f1a1fdb21821</t>
  </si>
  <si>
    <t>0c98f35c-952e-401c-b021-2be0a65edd70</t>
  </si>
  <si>
    <t>78f1df1d-ccdd-47d7-b26b-18c02f2b70f9</t>
  </si>
  <si>
    <t>033c6abf-a6ab-435f-8101-fe83135995e9</t>
  </si>
  <si>
    <t>d672963c-f89d-4726-a9d8-891e9621d6b1</t>
  </si>
  <si>
    <t>9a8f83c6-cf94-4bfa-8293-cc2b8be8dd75</t>
  </si>
  <si>
    <t>5449b9a3-fee2-4a5e-9c1e-6a9bac7949db</t>
  </si>
  <si>
    <t>1ffb5403-3212-43f8-ab19-0fb84547d60c</t>
  </si>
  <si>
    <t>42ea4978-bb04-4d08-9f0c-e5271aa6443a</t>
  </si>
  <si>
    <t>6e101669-7e9e-4497-bef0-20507fbc07ea</t>
  </si>
  <si>
    <t>32c4156a-ff2e-4e2a-953f-a516dacd467f</t>
  </si>
  <si>
    <t>c7e8b5da-e917-4891-aee7-fa4b1b621100</t>
  </si>
  <si>
    <t>2c983029-015e-42c5-b07d-b0fe91bbbddb</t>
  </si>
  <si>
    <t>6f0c3a21-ed72-4778-81e5-1a8f1fabd17c</t>
  </si>
  <si>
    <t>Print SEEs November Survey</t>
  </si>
  <si>
    <t>28bdbeed-0caa-4734-86b2-a5e78a38b9d1</t>
  </si>
  <si>
    <t>Catch up</t>
  </si>
  <si>
    <t>ac64c1e3-e07c-4caf-b1d7-eecc67d2bd8c</t>
  </si>
  <si>
    <t>10c349a2-aab5-485c-ab2d-a1f29a089c2a</t>
  </si>
  <si>
    <t>395f5b25-daf1-482b-90c4-f18aae491010</t>
  </si>
  <si>
    <t>b408da43-a84d-4765-93b3-7a642ed378f0</t>
  </si>
  <si>
    <t>968b5088-82c3-405f-a814-3ddc46ae927e</t>
  </si>
  <si>
    <t>4e92de35-8c9b-4258-b99c-84465bfed875</t>
  </si>
  <si>
    <t>c0f7bf77-7419-44e5-b2b0-c5381d1a625c</t>
  </si>
  <si>
    <t>18900ea7-4f4f-4b06-8c29-3af1f10ba5b4</t>
  </si>
  <si>
    <t>585cbea5-53b2-42e7-a313-83cc1eb5db5f</t>
  </si>
  <si>
    <t>40e32090-8735-42ed-97c0-09d480aa6b99</t>
  </si>
  <si>
    <t>f51d2c7b-d263-450b-9d69-cccd7b445277</t>
  </si>
  <si>
    <t>117d3d0e-4d2c-4452-9602-3e51ae1d071b</t>
  </si>
  <si>
    <t>36f21662-7272-4371-906c-bd2d6eeb3eac</t>
  </si>
  <si>
    <t>a20994e4-96f1-4248-be7c-2ca8ec779283</t>
  </si>
  <si>
    <t>9a517a4a-9831-41c5-bc28-1335d7bec196</t>
  </si>
  <si>
    <t>0d11aac6-0fdc-4fa5-9087-f7d6a094df95</t>
  </si>
  <si>
    <t>622bc2ed-8fa7-4478-91e0-c2b7692a1258</t>
  </si>
  <si>
    <t>a839b89c-2b2c-49c7-b9f9-29772b25578d</t>
  </si>
  <si>
    <t>c66de793-a272-49f3-95f4-f2ed35ebd790</t>
  </si>
  <si>
    <t>cef87635-c063-4edf-886c-859bbe40f766</t>
  </si>
  <si>
    <t>764f3cdd-9020-4323-8f9b-84d8be76e0ae</t>
  </si>
  <si>
    <t>478d4dbd-5a2d-4cf3-9829-f88d387989b1</t>
  </si>
  <si>
    <t>9dbd6260-9d11-42c2-ac8f-2b554be30954</t>
  </si>
  <si>
    <t>0a26226f-56cb-4b1c-be7a-14a3222105fb</t>
  </si>
  <si>
    <t>60ea0b15-22ce-4a09-80d2-0168d8da6264</t>
  </si>
  <si>
    <t>0e9f1ea6-956a-46e4-ae72-e5db48b57b16</t>
  </si>
  <si>
    <t>dfdddc06-5f5e-4044-baa8-921f56cee340</t>
  </si>
  <si>
    <t>b4bede1d-8bfe-4406-9b82-932663af0367</t>
  </si>
  <si>
    <t>68033347-1c33-4482-8b51-215dc8657f71</t>
  </si>
  <si>
    <t>51cba4b6-d2bd-489c-beb7-539f0f8820f4</t>
  </si>
  <si>
    <t>b155f1cc-aafb-4cd5-b9a8-6e2e6395f6bd</t>
  </si>
  <si>
    <t>d4aacd7e-a1cc-4cb9-b6d3-85ad89df9e6d</t>
  </si>
  <si>
    <t>2afeb5a1-8f5a-4047-94c2-23f76c797932</t>
  </si>
  <si>
    <t>32f89d01-c2ea-4f5c-8a55-3d9f33939647</t>
  </si>
  <si>
    <t>1da46d56-5437-4e81-b615-d19c219bad08</t>
  </si>
  <si>
    <t>9e2399b7-3a9c-4768-9bf3-d8e42815a9bd</t>
  </si>
  <si>
    <t>30be7fdb-3265-4c7a-ade5-c5489c06542a</t>
  </si>
  <si>
    <t>212d44fd-e53b-4cda-841c-56517a082471</t>
  </si>
  <si>
    <t>39da32e6-fc48-4b7a-8ad0-595205f784d4</t>
  </si>
  <si>
    <t>06017345-91eb-445c-88a9-b24273e8ddd7</t>
  </si>
  <si>
    <t>dac0e4c0-a3f0-4430-810d-bc8104586e0d</t>
  </si>
  <si>
    <t>1aa27a62-4cfd-4f74-8818-156f82ab5361</t>
  </si>
  <si>
    <t>b5482867-a174-4231-8216-292312afd08a</t>
  </si>
  <si>
    <t>328631f5-020f-40ae-bf43-d6b0b1c1f018</t>
  </si>
  <si>
    <t>c8020de5-b3f7-46da-af2f-f911150ceba9</t>
  </si>
  <si>
    <t>c9d22573-f6f8-42a9-8aba-eb6d48e4a951</t>
  </si>
  <si>
    <t>04ca4b4f-bd8b-4966-bf75-89397dd5ceaa</t>
  </si>
  <si>
    <t>8d9b2a64-6201-4a45-97ca-7678fa14ade8</t>
  </si>
  <si>
    <t>11308831-c67a-44d0-b2f9-bf4307474763</t>
  </si>
  <si>
    <t>8f44b366-36c3-4db3-ae42-67b8fb2af528</t>
  </si>
  <si>
    <t>2011a51e-da99-4187-a56d-f16452611bb2</t>
  </si>
  <si>
    <t>a2d142a6-c05c-44e0-9242-71a25e131d8f</t>
  </si>
  <si>
    <t>c6ec98f0-f314-45af-8e38-5e9a30db7992</t>
  </si>
  <si>
    <t>e09ae42a-0b29-4a73-a0a6-66f047012665</t>
  </si>
  <si>
    <t>74e16e06-f958-4fda-ac41-6488f3ecabb0</t>
  </si>
  <si>
    <t>ea6b946a-f099-4104-b176-9611704300bb</t>
  </si>
  <si>
    <t>7bfefbdb-204b-47c4-a70d-e72b22553660</t>
  </si>
  <si>
    <t>cf53f646-b9dd-42ef-945d-6306c129c223</t>
  </si>
  <si>
    <t>0a372bca-d5a2-4f40-bff5-11edfc96c53d</t>
  </si>
  <si>
    <t>df65c7e5-34e0-4c12-9545-733d80069a65</t>
  </si>
  <si>
    <t>c59665fc-4b19-464b-891c-d209c77e1035</t>
  </si>
  <si>
    <t>5ec55585-c7ab-46fa-ae5a-6445e3250754</t>
  </si>
  <si>
    <t>a7ded672-d05b-4c39-9221-9852620288cb</t>
  </si>
  <si>
    <t>9a544404-a3da-490d-869b-d52bb7ed8060</t>
  </si>
  <si>
    <t>afa4d4ce-8474-4d48-8472-ab28de4975dd</t>
  </si>
  <si>
    <t>94870fca-4a93-4b04-bbcf-d13c82462ae4</t>
  </si>
  <si>
    <t>ce9f366d-067a-4412-99f9-e5c445ac4f5f</t>
  </si>
  <si>
    <t>e169d8a3-466c-42d5-9765-86163e73bac2</t>
  </si>
  <si>
    <t>fb187cf1-09ac-4bb9-9e89-e02ec7cfb396</t>
  </si>
  <si>
    <t>not feeling well</t>
  </si>
  <si>
    <t>2ae2822d-dfed-48c6-a77c-9f30058888a4</t>
  </si>
  <si>
    <t>311effd3-fb97-4f77-881d-b8a3d4c552f5</t>
  </si>
  <si>
    <t>0aefdb3c-195a-4aec-9a53-448dcc15546b</t>
  </si>
  <si>
    <t>54d867e3-bb13-49c5-8491-944fbb5f9d8f</t>
  </si>
  <si>
    <t>51d9cd0c-4d28-4fdf-9f3a-655b1bd80624</t>
  </si>
  <si>
    <t>59a0fac9-f039-420f-8ecc-68880b236972</t>
  </si>
  <si>
    <t>40c60462-23fb-4c29-b8fa-15195bd5b11a</t>
  </si>
  <si>
    <t>58698ef7-1ef1-46e6-915b-586a7d9e5d27</t>
  </si>
  <si>
    <t>877c1941-f00b-4d8d-aa20-6a8ecaced3bc</t>
  </si>
  <si>
    <t>580d0c5b-083b-4250-b1c6-1a1406fd209b</t>
  </si>
  <si>
    <t>a32562ab-8cc1-4945-b2f4-0b2a35c3fe4c</t>
  </si>
  <si>
    <t>a5a35f70-8c24-43ce-90d3-0c6de4f3359a</t>
  </si>
  <si>
    <t>5ae3d2de-6867-4665-a7d1-b97390d07cf2</t>
  </si>
  <si>
    <t>74b54dd6-06ee-4973-b344-0afaa46966a3</t>
  </si>
  <si>
    <t>32fe3bd7-4bde-4ee0-9af7-3e0706c3ce68</t>
  </si>
  <si>
    <t>9cd6eb96-99f9-485b-9c2e-a2214697103b</t>
  </si>
  <si>
    <t>24035022-245d-4269-a957-90361e50d83d</t>
  </si>
  <si>
    <t>celebrate our wedding anniversary and father's birtday</t>
  </si>
  <si>
    <t>b35e9501-bd00-407e-a5f8-4d4e0f4d844e</t>
  </si>
  <si>
    <t>b15b9d4e-c7ca-42e7-87ae-6fc235ad62ff</t>
  </si>
  <si>
    <t>41deb6b2-2389-4cf9-bbbb-afd494058096</t>
  </si>
  <si>
    <t>00efea2f-c4a5-449f-b489-2f81587f6a58</t>
  </si>
  <si>
    <t>56464191-2e53-46af-bdfa-0296fd1bbb3f</t>
  </si>
  <si>
    <t>24af7485-abb8-4b99-bcfc-5c5970f3b742</t>
  </si>
  <si>
    <t>dbbd84cc-c148-40a7-8548-ae956f17eecf</t>
  </si>
  <si>
    <t>49ec4f55-a7a5-4f86-a231-53852c787ded</t>
  </si>
  <si>
    <t>571ae98e-fe7a-40d3-91b6-5be3fbc734ce</t>
  </si>
  <si>
    <t>b7c346c9-7657-4b43-9486-0fbfb1093fb8</t>
  </si>
  <si>
    <t>6ebc8720-8f5f-472f-af73-fe960b9564a8</t>
  </si>
  <si>
    <t>83a5f305-115f-4a90-b833-eb13ef560692</t>
  </si>
  <si>
    <t>b326df32-95c2-4740-8c0c-f74fa26d9eee</t>
  </si>
  <si>
    <t>413d9074-c836-4124-a8d1-7b12d14fee06</t>
  </si>
  <si>
    <t>aa704508-6237-4b95-b9d3-6eee454f6409</t>
  </si>
  <si>
    <t>d1564b6d-d16f-4274-835a-6498adacaee3</t>
  </si>
  <si>
    <t>8fd035f2-daac-43a5-82fc-91f6f54ca024</t>
  </si>
  <si>
    <t>cee9b108-0231-443a-9af4-b36b849d38a5</t>
  </si>
  <si>
    <t>9daf8a1c-2ec3-4351-aed2-113c5ddd14a3</t>
  </si>
  <si>
    <t>033e8aad-5f53-432f-8dce-350ff0b5a837</t>
  </si>
  <si>
    <t>4ccc4038-3212-406f-9d4c-34bd3056685a</t>
  </si>
  <si>
    <t>42df598d-9268-44aa-8892-8c7c30ff5c77</t>
  </si>
  <si>
    <t>cf5940b5-3985-4d94-8083-3312788a7425</t>
  </si>
  <si>
    <t>3acff6b0-a242-4f3e-827e-21feae4ec873</t>
  </si>
  <si>
    <t>Half day VL (On shift: 4pm-8pm)</t>
  </si>
  <si>
    <t>a80e5ecd-b087-44cc-8340-46babe2c2e55</t>
  </si>
  <si>
    <t>8b4b0ab8-5d29-4d76-8190-08e9073949a0</t>
  </si>
  <si>
    <t>62840755-0674-46c5-9ded-451485c9454f</t>
  </si>
  <si>
    <t>ec7a1980-c9a7-4d80-a7c1-21fb24779a88</t>
  </si>
  <si>
    <t>4db76e90-a8ca-4124-846e-b7c2cea3f56d</t>
  </si>
  <si>
    <t>1d353ce3-81ae-4a05-bd1b-1fc8b82da430</t>
  </si>
  <si>
    <t>b5663a7f-18fa-4e9c-bacb-630053ff41ad</t>
  </si>
  <si>
    <t>a309e89f-7d17-4bec-a653-7a7cf36930ba</t>
  </si>
  <si>
    <t>8bdfb045-36b1-4a96-910e-c1d5cc7d84a9</t>
  </si>
  <si>
    <t>8deb4012-9fc7-48e3-8929-39432bf77271</t>
  </si>
  <si>
    <t>46a27d8c-d353-4d73-b252-1b710c2463b5</t>
  </si>
  <si>
    <t>03e79c7d-7bd6-49dc-bd8f-5b8b25a2b661</t>
  </si>
  <si>
    <t>When to Edit CAL's Response Training</t>
  </si>
  <si>
    <t>dec4dae0-ad15-4e8f-9f65-2dd3d39f4d8c</t>
  </si>
  <si>
    <t>cfa2c056-6880-4d3c-aff6-f02ff0cde9e8</t>
  </si>
  <si>
    <t>7d2cf69c-b31e-4d79-9305-4e9e18d2cf67</t>
  </si>
  <si>
    <t>3f9ae4ff-127b-4fdd-8a92-f502a91cdfd1</t>
  </si>
  <si>
    <t>4ec8fef6-5472-4e35-a418-30fd2e559e5f</t>
  </si>
  <si>
    <t>32682806-a7cb-4923-bb37-af389ec2fe3d</t>
  </si>
  <si>
    <t>ce426266-23c9-4fda-adb7-08c82143f5a1</t>
  </si>
  <si>
    <t>95a8e9e5-34b8-40bd-82a2-0d0df6308203</t>
  </si>
  <si>
    <t>97b254b7-572a-424e-ac22-a9cd9e1eea55</t>
  </si>
  <si>
    <t>688a0290-1f3d-41f6-948b-b6af104edb29</t>
  </si>
  <si>
    <t>36e43baa-3e32-4688-8161-6e80ba5cac99</t>
  </si>
  <si>
    <t>28bc05cc-39b7-44f6-9dde-855161a94767</t>
  </si>
  <si>
    <t>f16360fe-6f50-4209-82ad-231e511ce649</t>
  </si>
  <si>
    <t>2704ff03-4eda-45f1-8132-c9ece17dac97</t>
  </si>
  <si>
    <t>3ca78920-f006-4a82-817e-9a21cdd914cb</t>
  </si>
  <si>
    <t>e6b221ff-0801-4e5b-b632-d297f9efffd7</t>
  </si>
  <si>
    <t>c3a200e2-2843-4a49-bbc4-f7d3fe31d5de</t>
  </si>
  <si>
    <t>6f5cbfd9-2c4d-49c7-860c-2662d10e5a31</t>
  </si>
  <si>
    <t>a23acaff-1e5d-4100-8d39-28a8e6b67bf4</t>
  </si>
  <si>
    <t>5e041112-217c-4b11-be52-0187737b32fc</t>
  </si>
  <si>
    <t>0933f71e-b655-4b6c-ae32-9c50ac08dab4</t>
  </si>
  <si>
    <t>b512074c-672c-4e7b-8cc6-7e3ceed6b264</t>
  </si>
  <si>
    <t>3a797531-3b22-404b-a09c-3602a44f256c</t>
  </si>
  <si>
    <t>de829e64-5e34-4b0f-929b-666b2578679c</t>
  </si>
  <si>
    <t>e216d8d9-1ee7-4959-80f7-aea19bb47fdd</t>
  </si>
  <si>
    <t>9c3c4b30-4668-425e-b64f-3761860ae690</t>
  </si>
  <si>
    <t>aeecda7d-3180-4901-8fa3-b7fdc164b67c</t>
  </si>
  <si>
    <t>bc3566a2-18f0-46ca-94fa-836d3fe7475d</t>
  </si>
  <si>
    <t>157d0a02-3754-4e76-b657-3cf83cd2b738</t>
  </si>
  <si>
    <t>46f84e7c-dd06-46a6-b132-9bf53e771f8b</t>
  </si>
  <si>
    <t>f2cf035c-8b2b-492f-85e0-2468beda16e6</t>
  </si>
  <si>
    <t>99b9a115-25cc-49e0-935d-e1a2690e422a</t>
  </si>
  <si>
    <t>1/2 VL</t>
  </si>
  <si>
    <t>4340210d-c1ad-47be-a041-f12f4798a56f</t>
  </si>
  <si>
    <t>5dc17dfc-bc56-4647-a710-91314f2f01a1</t>
  </si>
  <si>
    <t>Approved by coach</t>
  </si>
  <si>
    <t>9e335d5e-96e1-48fc-8d78-b8117f25c197</t>
  </si>
  <si>
    <t>fecf2220-a9b8-4bdc-94d4-2490ba7a14c0</t>
  </si>
  <si>
    <t>14e160ee-cb02-4675-8731-55c77cf0e494</t>
  </si>
  <si>
    <t>12301b7c-bbc2-4550-8753-cd782f90ce84</t>
  </si>
  <si>
    <t>367142e9-a8b5-4130-a93a-c5184b58885e</t>
  </si>
  <si>
    <t>ebeec1b1-945d-425c-9dda-140bb2d96dcf</t>
  </si>
  <si>
    <t>fd21430d-5815-4526-869a-27fdce7bafa1</t>
  </si>
  <si>
    <t>d247262c-7a6e-49f8-bc24-e7ade61089c3</t>
  </si>
  <si>
    <t>1:1 Coaching</t>
  </si>
  <si>
    <t>f93d6b0b-f17f-4371-ae55-a942f49eb9da</t>
  </si>
  <si>
    <t>2ff873a9-2963-4cd2-801d-63de8a0ca3fb</t>
  </si>
  <si>
    <t>ca2f6d8f-353e-4925-b8d1-61bf5c5c3902</t>
  </si>
  <si>
    <t>0a906ae1-dda5-4307-afeb-e577111c21db</t>
  </si>
  <si>
    <t>aea9c245-da68-41de-b603-013b8a62aec6</t>
  </si>
  <si>
    <t>061372ae-0946-431d-b036-dfebaa981afb</t>
  </si>
  <si>
    <t>9d74d22c-2aa2-44e7-994f-faf6248abe5f</t>
  </si>
  <si>
    <t>856763ea-1370-4d14-a416-e84561cfe2ba</t>
  </si>
  <si>
    <t>643b1df6-0ca8-48fa-a94b-a8426f84929f</t>
  </si>
  <si>
    <t>ed6d3ada-2584-476d-bc59-75b259486d24</t>
  </si>
  <si>
    <t>61ac6f29-77da-4150-aeba-d2b4eebcbbd2</t>
  </si>
  <si>
    <t>c2c75961-5e4b-4c0f-8505-36e7203b88ff</t>
  </si>
  <si>
    <t>acbaed1f-3bb1-4671-89dd-045a21aaeeab</t>
  </si>
  <si>
    <t>be580e74-e6d9-46fb-8353-80beb2062710</t>
  </si>
  <si>
    <t>6c03122d-8ba2-4cb9-9c46-4e19f8e48b63</t>
  </si>
  <si>
    <t>1ba61276-a33a-499f-95e2-104bd0cc3efa</t>
  </si>
  <si>
    <t>9bfbb7cb-4861-4a43-af92-fcd99a16da61</t>
  </si>
  <si>
    <t>362820e0-87da-4c5b-8db2-16b9d84c7f58</t>
  </si>
  <si>
    <t>113dccf3-f714-4c5f-a94d-636824867e25</t>
  </si>
  <si>
    <t>1e7f0691-90f3-44f8-a1af-9f4371745979</t>
  </si>
  <si>
    <t>6b1740a9-64de-4046-8574-0ec5c9f51004</t>
  </si>
  <si>
    <t>7d7a8ace-f60f-41b0-9f1f-f1ab389627fe</t>
  </si>
  <si>
    <t>31374c74-08c8-4c9a-9853-1908751d1ec6</t>
  </si>
  <si>
    <t>267839ad-5be5-4dea-8ee7-a77e2f2e5fce</t>
  </si>
  <si>
    <t>14ac731d-24af-40f6-9ea1-62aad043e8b8</t>
  </si>
  <si>
    <t>d6d8567e-f55d-42b2-b1ee-1b3d723e4389</t>
  </si>
  <si>
    <t>a0d9efde-a3cc-45fd-86ce-4e47883af3be</t>
  </si>
  <si>
    <t>d1b531fa-319c-4b9b-a636-4e016e18ffd2</t>
  </si>
  <si>
    <t>e8c4a18c-6361-4cfe-9c73-9ce43facf608</t>
  </si>
  <si>
    <t>3cb541b4-db8f-4799-887b-e16094beb931</t>
  </si>
  <si>
    <t>00e753fe-3f33-45f2-be88-167847e89534</t>
  </si>
  <si>
    <t>bf679057-88b9-46bf-be3d-bcb335c1736c</t>
  </si>
  <si>
    <t>cc3a6f7c-153a-4481-a2b0-25c8edc7693d</t>
  </si>
  <si>
    <t>bde4abee-1187-4ba3-a09a-e7f9698866ad</t>
  </si>
  <si>
    <t>c43abad5-5b7b-40c4-948d-5e665a57fa9c</t>
  </si>
  <si>
    <t>af6dbcfd-9081-4269-9dd8-3077579ed38e</t>
  </si>
  <si>
    <t>34a69af2-e371-4518-84ef-c204a4892f49</t>
  </si>
  <si>
    <t>ffddf3f1-f0ff-464e-a350-52dabf18c31b</t>
  </si>
  <si>
    <t>f1190197-15eb-4f25-8502-2fee3907d810</t>
  </si>
  <si>
    <t>8608ba4e-bf3c-4a7f-a947-872af8574781</t>
  </si>
  <si>
    <t>0b951c42-e101-4bf8-b788-1d06edba362e</t>
  </si>
  <si>
    <t>c3adce6f-bfc0-4c7e-b949-c3fa6c70ab98</t>
  </si>
  <si>
    <t>1fa715b1-fa6c-4b1b-b931-73836dc1ae92</t>
  </si>
  <si>
    <t>0efb6723-1f9c-4b7e-895f-5e8bead13ab8</t>
  </si>
  <si>
    <t>3ca52a9e-8ec4-4d4c-8e3e-3288a18e9a6b</t>
  </si>
  <si>
    <t>e11f921e-7469-46c3-bea9-d98ebc4205e2</t>
  </si>
  <si>
    <t>1cb9ff38-a990-4e3e-b5ac-ba6cdc50a5f7</t>
  </si>
  <si>
    <t>7e556e08-fa02-40f8-b0fe-784ab3c335b3</t>
  </si>
  <si>
    <t>b1483fbf-d23d-4a37-81ae-4bc459b01f45</t>
  </si>
  <si>
    <t>1ae6c2c2-110a-4cbd-b00f-d82208235b88</t>
  </si>
  <si>
    <t>978657d3-80f3-4e37-84b8-fab395b6cb8d</t>
  </si>
  <si>
    <t>d5e13fcf-eb27-4fbe-b0f1-3e4377fb9633</t>
  </si>
  <si>
    <t>93667df4-fd73-45e2-9f89-cb4dc64c0dc9</t>
  </si>
  <si>
    <t>a3780523-1bc3-4738-95ad-4d36c3d4c17c</t>
  </si>
  <si>
    <t>2dd5f531-cc1b-4897-b892-f4ce0f49efce</t>
  </si>
  <si>
    <t>bd208312-9dd6-4c66-accc-23b95d152ee6</t>
  </si>
  <si>
    <t>69d55fc2-b82b-4218-af30-e29cbe2a5ac5</t>
  </si>
  <si>
    <t>167f53ed-a3c4-44c0-89bd-d3be13734ece</t>
  </si>
  <si>
    <t>edb74b8f-eebe-4690-8ae4-054d6b02812e</t>
  </si>
  <si>
    <t>To celebrate the holidays with my family.</t>
  </si>
  <si>
    <t>bb0d2131-f781-4562-8911-75c8746b7cc2</t>
  </si>
  <si>
    <t>cc392ff5-70f8-4df6-b3ca-417b7306f991</t>
  </si>
  <si>
    <t>2d5b9459-5658-4d47-8b60-e7c8408bf563</t>
  </si>
  <si>
    <t>eb6b261f-944b-410c-a521-5f2bc8bed660</t>
  </si>
  <si>
    <t>3938d131-97bc-4069-9b12-8485c1184407</t>
  </si>
  <si>
    <t>39bced56-c5dc-4c78-b145-80a8269af60f</t>
  </si>
  <si>
    <t>89607a6f-17aa-4031-9cba-5d8860f21fd8</t>
  </si>
  <si>
    <t>d0b19644-62dc-409f-87f8-4843ef9a1991</t>
  </si>
  <si>
    <t>ef042de8-2047-4fc8-87b3-3d5c266e6e15</t>
  </si>
  <si>
    <t>7e845b59-9f48-4795-af32-bcf920a8baf1</t>
  </si>
  <si>
    <t>0fa14d56-9863-48a2-a48b-1b58070a70c2</t>
  </si>
  <si>
    <t>751af8be-ed21-4172-9ba8-db181e4dc006</t>
  </si>
  <si>
    <t>1c7e5cff-dd3c-40b9-b62b-870a29170370</t>
  </si>
  <si>
    <t>3581e179-5792-4443-84a9-d149cc810b8a</t>
  </si>
  <si>
    <t>e4ec17cd-ae04-4d29-9c1d-e7c6c73cf196</t>
  </si>
  <si>
    <t>c3b31307-e622-440b-9bb4-bbacfc3a2091</t>
  </si>
  <si>
    <t>b20b9310-5902-418d-8327-4bf872dfe3c2</t>
  </si>
  <si>
    <t>7536345c-d592-4910-ade5-8ba4d2e29bd0</t>
  </si>
  <si>
    <t>23ca81f1-cff5-4e57-8d7e-ab4c0fa33a60</t>
  </si>
  <si>
    <t>74748742-14e9-427a-8b70-ce2dab1e2339</t>
  </si>
  <si>
    <t>17ce04ca-3e22-42b9-b6be-b0f85c172e32</t>
  </si>
  <si>
    <t>aa44c5f8-4e35-401b-ac27-2ad6e8e6c6e8</t>
  </si>
  <si>
    <t>6bdd7304-cfe4-48fa-8c08-ac5183e1d568</t>
  </si>
  <si>
    <t>75f64b61-e5fb-4fa6-bbcc-ebb46e6dab79</t>
  </si>
  <si>
    <t>ac67af58-a5f2-4dcd-bf13-14f95fcef72c</t>
  </si>
  <si>
    <t>201a236a-1311-4c4b-b46a-82f82d5cc46b</t>
  </si>
  <si>
    <t>b0c865a1-ab5d-4534-a75f-840f78c1edf4</t>
  </si>
  <si>
    <t>ffcec553-a52f-4a21-9e14-5b18496c77d3</t>
  </si>
  <si>
    <t>bc163742-6ca8-417a-976f-61d6c335ad7f</t>
  </si>
  <si>
    <t>d016aeb5-1113-4936-a1a7-a49079efe95d</t>
  </si>
  <si>
    <t>22e70a7e-3e25-4916-a969-de73b8226738</t>
  </si>
  <si>
    <t>1346c995-e93e-4d61-a1e2-f887f4f3887d</t>
  </si>
  <si>
    <t>6d41fc13-2306-4489-8678-23ccf9d25596</t>
  </si>
  <si>
    <t>55e6ac72-e6c9-476b-8d1e-12bbab66a222</t>
  </si>
  <si>
    <t>df5d379b-fc5b-4bc4-bafe-d81acb1a3df4</t>
  </si>
  <si>
    <t>67b56431-16b4-4b8d-a210-534f3e0d3945</t>
  </si>
  <si>
    <t>37688cdd-6218-4280-a44a-85ccf322e25d</t>
  </si>
  <si>
    <t>f7f24d0d-3419-4df0-8658-9ff2b78902b9</t>
  </si>
  <si>
    <t>ba4fe1ee-ef48-4050-8f0c-1dc5e1cce2c1</t>
  </si>
  <si>
    <t>a8d51f64-9d28-4253-82a5-7bffc7626ba6</t>
  </si>
  <si>
    <t>5ea5fc8e-de08-4199-9e48-d9bddaf30c4b</t>
  </si>
  <si>
    <t>9d0fc49c-92e7-49b6-83b3-fa839be28cf0</t>
  </si>
  <si>
    <t>c754ed3a-d958-44c3-be83-e29038aa5e67</t>
  </si>
  <si>
    <t>81bcd250-fcf0-405f-9be9-843fae9233dd</t>
  </si>
  <si>
    <t>01c5a1f8-ac5e-40e0-b91a-fd46021035ae</t>
  </si>
  <si>
    <t>127d8df1-618d-41b6-9728-7fe3c8ed7709</t>
  </si>
  <si>
    <t>f543f70c-78ff-4e45-adba-b7b9b4faf406</t>
  </si>
  <si>
    <t>106bfa78-225d-496f-8c99-ed71c77f0a37</t>
  </si>
  <si>
    <t>6b229f55-6b22-4c50-8417-772e2ec817e6</t>
  </si>
  <si>
    <t>c49693d3-925b-4dcf-b944-2a5017885623</t>
  </si>
  <si>
    <t>090f025b-4efb-423e-8d7e-d6f88c9350a4</t>
  </si>
  <si>
    <t>44428aac-460f-4728-8746-caa0e2928363</t>
  </si>
  <si>
    <t>b9b10dec-d169-4572-ab1c-75888509aa69</t>
  </si>
  <si>
    <t>ebb3fc37-b21f-4669-909d-4aaf15c0954f</t>
  </si>
  <si>
    <t>1df6dcae-8c0c-4cf3-81be-3a8375a78d8e</t>
  </si>
  <si>
    <t>96ca5fdd-feda-4fb2-8a09-86a6100a9c48</t>
  </si>
  <si>
    <t>636a34f2-6f70-4528-b925-c758c0ddf275</t>
  </si>
  <si>
    <t>f7be20d7-8cde-4869-8e42-6780bef33c71</t>
  </si>
  <si>
    <t>00e987cb-9e3d-48ac-a4d2-13087718604d</t>
  </si>
  <si>
    <t>cece4eda-163a-4b9a-916f-bfd6b5e56be2</t>
  </si>
  <si>
    <t>7020ede5-82a7-49f2-8411-af22754c7de7</t>
  </si>
  <si>
    <t>86d55e4a-5e18-4273-a30f-b2b1c3867152</t>
  </si>
  <si>
    <t>27819962-b796-4ae2-bc31-f425247728a8</t>
  </si>
  <si>
    <t>4502b92a-367a-4ea8-a72e-479974cd0363</t>
  </si>
  <si>
    <t>2338980b-fcf3-4b61-8926-095a7451ff2d</t>
  </si>
  <si>
    <t>caaaaab6-6729-4a57-bb03-5961bdd52699</t>
  </si>
  <si>
    <t>f3af47d2-dcc4-48f2-9cf8-28d3299e22f3</t>
  </si>
  <si>
    <t>bc57d8b7-4a28-41af-9c1c-8f3c1dc6e6d6</t>
  </si>
  <si>
    <t>b7d35b10-0ad9-41e5-8e22-fb2b9893ec7b</t>
  </si>
  <si>
    <t>c155de22-ba17-48f0-8553-d0e064576b54</t>
  </si>
  <si>
    <t>a4eedfef-c973-4c68-9782-51e83a5d8a1c</t>
  </si>
  <si>
    <t>d8b8c553-840e-4393-ad1e-581888450c80</t>
  </si>
  <si>
    <t>332615cc-a530-4104-9e0a-8fc163d33296</t>
  </si>
  <si>
    <t>ef08dffb-7c63-454d-8c1c-c7437d49932c</t>
  </si>
  <si>
    <t>692c374b-44fc-49df-8896-2ebacc5e8404</t>
  </si>
  <si>
    <t>dc13f46a-23dd-4dc9-876b-4f86c9e4f50d</t>
  </si>
  <si>
    <t>2508ed82-1f0c-402f-8e42-7e380d3f8174</t>
  </si>
  <si>
    <t>be745aa0-2160-480d-8fee-85450f257a35</t>
  </si>
  <si>
    <t>918592ca-5349-41fb-8d5b-6ca3a321cb45</t>
  </si>
  <si>
    <t>aeee24fe-9291-44ae-ae7f-785eb23b6c2d</t>
  </si>
  <si>
    <t>81e9610b-7299-4bb7-8019-0a1c7188c727</t>
  </si>
  <si>
    <t>d4ba87cd-1360-45da-8d74-f119f8bd5cae</t>
  </si>
  <si>
    <t>9cbc8bac-678f-44c2-873d-60b7cb279f94</t>
  </si>
  <si>
    <t>94938d0f-78a5-436f-9135-6f9770b0a4a5</t>
  </si>
  <si>
    <t>c32f2c67-71b3-40a9-bb22-fd9b0c1f184a</t>
  </si>
  <si>
    <t>09ac293c-fdaf-4bc8-ae4c-fcde6e6553b8</t>
  </si>
  <si>
    <t>6e693875-c629-452f-8e68-780ef445619e</t>
  </si>
  <si>
    <t>c619aea4-04b1-45ef-826e-1360dfc41328</t>
  </si>
  <si>
    <t>1ec66f1f-a3fa-45a6-9afd-83f3469d4208</t>
  </si>
  <si>
    <t>bbff5a00-d083-47d9-a938-728349afb246</t>
  </si>
  <si>
    <t>aa245ae8-4c30-47db-a4ac-74ecbecceb32</t>
  </si>
  <si>
    <t>e0e7c263-b7b2-427f-8a04-dac71962392e</t>
  </si>
  <si>
    <t>9403db4a-38af-4663-bb12-5328df3a1b64</t>
  </si>
  <si>
    <t>02ef070e-2db9-489e-9cd0-11ee9f63e759</t>
  </si>
  <si>
    <t>a0dc6720-e9ce-4a74-a0ee-770b24474624</t>
  </si>
  <si>
    <t>88080d88-7aab-4853-902e-f9a2bc75d979</t>
  </si>
  <si>
    <t>19f35d1b-6a26-4ad0-9fe0-958d062f99e8</t>
  </si>
  <si>
    <t>bd896465-2e0a-4f06-91e3-6b497351690c</t>
  </si>
  <si>
    <t>0a024203-23dd-4680-b252-71f6e72e69d4</t>
  </si>
  <si>
    <t>4a51b9f7-4fae-40f0-9cdf-5aff89dad5a8</t>
  </si>
  <si>
    <t>019e1710-3caf-487a-ba23-0e3a1b9042c4</t>
  </si>
  <si>
    <t>e40ec50b-f0fc-41e3-9b03-bb84222ff931</t>
  </si>
  <si>
    <t>9e75909c-8fc5-4d78-bdad-52567c58e813</t>
  </si>
  <si>
    <t>d4eed75e-991c-47b3-a4a3-9d8455ccbf5c</t>
  </si>
  <si>
    <t>1e3693af-538d-4ca7-ad9e-3251a1c9208c</t>
  </si>
  <si>
    <t>398013bf-5b6f-46bb-b3da-086adb6243fc</t>
  </si>
  <si>
    <t>0cd0821b-fd75-490e-b74e-081aa6e535c7</t>
  </si>
  <si>
    <t>bac73ab8-05a6-44ef-b581-8a4ddf7785bc</t>
  </si>
  <si>
    <t>2488dc9c-2220-4966-867b-924dd43ab51c</t>
  </si>
  <si>
    <t>ca291abf-2873-4bbd-aab0-51d45b36999d</t>
  </si>
  <si>
    <t>09100cb8-735e-4485-bb83-1c02ef1df0ef</t>
  </si>
  <si>
    <t>ff3a04bc-5995-48ab-9bdd-f28541e73508</t>
  </si>
  <si>
    <t>2d845787-7284-4f27-ad34-6286e53e5821</t>
  </si>
  <si>
    <t>afca7190-459b-4784-abee-e28528975ef6</t>
  </si>
  <si>
    <t>Christmas Eve</t>
  </si>
  <si>
    <t>81bce947-7c75-4ac1-9136-0b9ad893197d</t>
  </si>
  <si>
    <t>7a2159a4-ec64-4796-a1c3-87cf9f2ac94c</t>
  </si>
  <si>
    <t>216748d3-ef85-49a2-8f4c-f175c854cf40</t>
  </si>
  <si>
    <t>21c22d00-07e9-41be-a61d-b11b1cff7294</t>
  </si>
  <si>
    <t>a0bbcdcf-6f0d-4fe2-af90-949baaea386d</t>
  </si>
  <si>
    <t>ea17f4db-73a7-4272-952f-f70bbac7a9bb</t>
  </si>
  <si>
    <t>70548825-d582-424d-9e72-142d9d1a2954</t>
  </si>
  <si>
    <t>3d6a1190-84a7-45f1-81ae-2924bfe229d6</t>
  </si>
  <si>
    <t>689542e3-7afb-4d31-9ab7-0c2a4c4b742f</t>
  </si>
  <si>
    <t>a9b7d0d1-bbf2-4a14-b72b-4e9d25a4d28f</t>
  </si>
  <si>
    <t>07dad5e2-2090-4b01-a8c3-ef85c7422cd1</t>
  </si>
  <si>
    <t>51936959-8a88-4280-a087-ad5e03bf2244</t>
  </si>
  <si>
    <t>524dc9fb-4187-4f6f-bf06-c732719de8f8</t>
  </si>
  <si>
    <t>cae44c99-4eb2-4e03-b796-0f9183920b17</t>
  </si>
  <si>
    <t>ce97e8f9-8632-4808-b594-beeb79e2085f</t>
  </si>
  <si>
    <t>79039e49-9d53-4ecd-8411-5e7b7b571f56</t>
  </si>
  <si>
    <t>515fda2d-e8fb-4a14-ab2a-fbbe4e7b640c</t>
  </si>
  <si>
    <t>f54a247b-0195-43e8-8371-b0ebc700922e</t>
  </si>
  <si>
    <t>1f7760d3-6f07-4326-acc6-56383be17a43</t>
  </si>
  <si>
    <t>a7688aa7-50a2-47b2-a2f1-088dd665ffde</t>
  </si>
  <si>
    <t>a3b6de48-df55-4f3b-8963-cb49185d0206</t>
  </si>
  <si>
    <t>8ed68c07-b6dc-4555-8999-2f4e00f94dd7</t>
  </si>
  <si>
    <t>2372a8df-ea8d-42e9-9851-cb7a7e09e10d</t>
  </si>
  <si>
    <t>e6155aa9-65c6-4073-a2d8-e7429ce1cebf</t>
  </si>
  <si>
    <t>aecd0eeb-c205-418b-bb00-c6fa8baafdf5</t>
  </si>
  <si>
    <t>e924ad54-70e3-4397-bace-7ab1973efdf0</t>
  </si>
  <si>
    <t>ac995ab9-985e-4336-aff4-2922e8c43346</t>
  </si>
  <si>
    <t>5180920a-d804-47e2-a507-ded9948585fd</t>
  </si>
  <si>
    <t>3365705c-0ac1-42df-b1f4-d5ef4831839f</t>
  </si>
  <si>
    <t>083f10b5-6dee-42a8-9282-c9dfcef18e88</t>
  </si>
  <si>
    <t>a92b5e05-5033-45b1-800d-1414f8c24d2f</t>
  </si>
  <si>
    <t>8657c6bd-6cf2-4d38-af89-70935e4baaa8</t>
  </si>
  <si>
    <t>95b47ee0-6a17-4b49-9e15-17d2feb74240</t>
  </si>
  <si>
    <t>cfd99305-4feb-4ad8-a3c0-ba64d17ddb85</t>
  </si>
  <si>
    <t>a02e0bd1-bbea-4be9-b7af-62ba70b88c1b</t>
  </si>
  <si>
    <t>1707880f-580c-497e-99ce-b9ef0e2688a3</t>
  </si>
  <si>
    <t>fb4739e7-8251-4a1e-bccb-dbc1a568bc0a</t>
  </si>
  <si>
    <t>1d7bf066-6179-4907-89d6-1f9b33523d63</t>
  </si>
  <si>
    <t>c1d04e69-7d05-491b-87b9-17b431dfea2e</t>
  </si>
  <si>
    <t>9682b3fa-fc24-47a3-badb-a3d8469ae70e</t>
  </si>
  <si>
    <t>Need to go to the ER for Anti Tetanus shot</t>
  </si>
  <si>
    <t>a1d0639b-6cf3-449f-9511-e22a7c31a5b8</t>
  </si>
  <si>
    <t>050d6bda-0f12-4692-abb7-cc618a81c7d2</t>
  </si>
  <si>
    <t>d5717c87-4378-4138-81fa-d6e220a8e818</t>
  </si>
  <si>
    <t>15c2680f-7605-4c02-a89a-960b7645bb24</t>
  </si>
  <si>
    <t>0ec9aaf2-7f49-49ea-925d-e00b96df7139</t>
  </si>
  <si>
    <t>832331c5-8b75-4b1a-a0d1-e754c5bc22fa</t>
  </si>
  <si>
    <t>d0de7453-5643-4ec0-b684-1f6cc5bdcda1</t>
  </si>
  <si>
    <t>1e569957-706a-4901-8cec-0e9251f29c29</t>
  </si>
  <si>
    <t>60cb06fd-d0ef-40bb-87de-d5bc321ed48b</t>
  </si>
  <si>
    <t>ba7cb66b-68e5-4848-ba54-4f5f11c32a3f</t>
  </si>
  <si>
    <t>3a12225b-0385-4c78-b041-b475dc343fba</t>
  </si>
  <si>
    <t>3a18a566-874a-4e81-933d-2cbcb8f400b1</t>
  </si>
  <si>
    <t>74208e2f-4a19-45a0-818e-b2afd672d4e6</t>
  </si>
  <si>
    <t>b04a42a8-28bd-4ade-acc1-3787b8ffaf63</t>
  </si>
  <si>
    <t>9f8e11df-0d74-43e8-bb1a-6378b6de04b4</t>
  </si>
  <si>
    <t>2bcaee90-f9f3-4acf-b15a-46bb702a3722</t>
  </si>
  <si>
    <t>ff291c95-96d7-4640-8252-988ce810351f</t>
  </si>
  <si>
    <t>1b8aea7d-17bc-4122-8c50-8afce52c5fdd</t>
  </si>
  <si>
    <t>d674468a-a1e5-4c00-a2a2-488692f7280b</t>
  </si>
  <si>
    <t>c4bf4813-cf0d-414f-8450-2a233b02ae93</t>
  </si>
  <si>
    <t>a3e73c74-601d-4421-ba0c-09db5d5a26c3</t>
  </si>
  <si>
    <t>ea4f9ad5-9986-4447-8c03-e3b6c00f0f69</t>
  </si>
  <si>
    <t>927f4db5-cadc-4f7a-a434-aa8a051ef762</t>
  </si>
  <si>
    <t>feb4f008-b489-49e5-a1b5-314a0a2ff518</t>
  </si>
  <si>
    <t>d9edd247-b90c-4443-9522-c0e0808b9601</t>
  </si>
  <si>
    <t>5f06cf23-aa2b-4611-982d-b4d722871d3a</t>
  </si>
  <si>
    <t>4b9be022-1522-4fa5-8a66-3fcf426463a7</t>
  </si>
  <si>
    <t>7038fe67-8ba3-4a17-9d8f-0237f179c9ce</t>
  </si>
  <si>
    <t>802423b2-0deb-4288-b939-bad1c986fe75</t>
  </si>
  <si>
    <t>d6a6028a-7280-472e-9042-b77ba2ec99f9</t>
  </si>
  <si>
    <t>71dee777-6fcf-481b-a73d-4b8209972f23</t>
  </si>
  <si>
    <t>9237d763-e058-4a24-a921-eebaa1a96f18</t>
  </si>
  <si>
    <t>98348fad-a075-414c-98a0-a04210471b01</t>
  </si>
  <si>
    <t>d5fd7646-9af9-4be5-ad63-f713b008f1f9</t>
  </si>
  <si>
    <t>043e2359-5a09-4f23-9c03-4a2fd4cb9dc8</t>
  </si>
  <si>
    <t>49e20c97-f6d3-41e3-af94-8c279f32fc8f</t>
  </si>
  <si>
    <t>a5418919-3f1b-4ff8-ba51-cbfeb2ee9b93</t>
  </si>
  <si>
    <t>68d2d210-853b-4de7-98e2-8b4c07ca630a</t>
  </si>
  <si>
    <t>4c730519-3394-4ae3-98d6-8bce3cf0ff04</t>
  </si>
  <si>
    <t>a4eb980b-5745-42cc-abfe-b7751a69a40e</t>
  </si>
  <si>
    <t>a5b8d2d9-b121-42a5-9a68-5bfb17d59bc4</t>
  </si>
  <si>
    <t>52a4ee33-e122-469d-a4cb-9d6dcc7ac247</t>
  </si>
  <si>
    <t>29903137-e93f-469e-bcb6-62eb7ac177ec</t>
  </si>
  <si>
    <t>7c69ecc7-c532-4c7d-b40a-326884aed0fa</t>
  </si>
  <si>
    <t>6bdc8288-d33f-4542-901d-db5e8e9832e5</t>
  </si>
  <si>
    <t>241f1953-c380-488b-8987-f2ff1db58804</t>
  </si>
  <si>
    <t>4a283317-ccb4-474d-b3fb-9f40a3b3fee3</t>
  </si>
  <si>
    <t>90342368-b367-4b87-98d5-431cefc9dc5e</t>
  </si>
  <si>
    <t>5987e928-b765-49ae-a600-9f79e620c7dd</t>
  </si>
  <si>
    <t>c2e8abf7-503e-4f5e-a2fe-9917740fe57e</t>
  </si>
  <si>
    <t>a9fa0eb5-8f08-4b96-97ea-6292ba58a179</t>
  </si>
  <si>
    <t>b96e2d64-9f70-48e1-b124-118eea345ebb</t>
  </si>
  <si>
    <t>69361855-718e-4e6d-b652-33471031fc56</t>
  </si>
  <si>
    <t>4783e00b-0b35-4975-a590-b8b6345ef98f</t>
  </si>
  <si>
    <t>Vacation</t>
  </si>
  <si>
    <t>f7fdba9e-8068-41ab-8679-fe6be1f33488</t>
  </si>
  <si>
    <t>d9973d17-a3d9-4a33-8f89-a0886ad7f14e</t>
  </si>
  <si>
    <t>08557ff1-019d-4551-9f58-a714a973cac9</t>
  </si>
  <si>
    <t>a6881ac0-5c22-409c-9e53-4ec24074ba42</t>
  </si>
  <si>
    <t>f7c3cb80-65ba-4ddd-8b5c-0cf74814155b</t>
  </si>
  <si>
    <t>116cc631-ef15-400e-bcbb-c03cce7f97c7</t>
  </si>
  <si>
    <t>2afa9586-3d69-4d4b-8da4-ff37cbdbee17</t>
  </si>
  <si>
    <t>e4845cf8-0b96-44c1-87e7-279e96577db3</t>
  </si>
  <si>
    <t>ca85a20a-9d7c-46c6-8856-e83bfeb868f4</t>
  </si>
  <si>
    <t>4d365325-2185-42ee-8233-0e647b7c081b</t>
  </si>
  <si>
    <t>8e8d4408-a578-4889-b7c0-22ece1497c96</t>
  </si>
  <si>
    <t>dd8cf9d8-b1e1-46c0-a283-7e72f51dffe8</t>
  </si>
  <si>
    <t>7da0ae05-a354-4c2a-a412-69cb7ddf34ab</t>
  </si>
  <si>
    <t>7e3e92b5-8e75-4e8f-b31a-905b3aef3f7a</t>
  </si>
  <si>
    <t>13350816-f359-4bda-8876-e91b0dcdd9da</t>
  </si>
  <si>
    <t>5475987d-c4ae-4f73-aab8-9afdd8fb8cad</t>
  </si>
  <si>
    <t>312162e6-5421-485c-8c21-4f58918252a4</t>
  </si>
  <si>
    <t>407760f3-a684-4cd0-98fe-4e25da81e902</t>
  </si>
  <si>
    <t>5f21494b-d8cb-4f7f-9f24-72b645430f99</t>
  </si>
  <si>
    <t>d386d109-8a3b-49dc-8526-742d2937635f</t>
  </si>
  <si>
    <t>ea0334f6-1f7d-443c-a934-74964d5e521a</t>
  </si>
  <si>
    <t>59bb5b65-7805-485d-a6b0-9f4389233309</t>
  </si>
  <si>
    <t>c179f744-abaa-481c-932f-3bb9b4421bc2</t>
  </si>
  <si>
    <t>87cfb2d5-b8c9-489d-acc1-dba7e8a4dcde</t>
  </si>
  <si>
    <t>075ad8f7-4a0f-4d2e-8271-61ea44634c66</t>
  </si>
  <si>
    <t>a96c3186-4f7b-40bf-a9a7-bab8335656f4</t>
  </si>
  <si>
    <t>8043151c-bdf2-4bc7-9191-531bbffff651</t>
  </si>
  <si>
    <t>34c87f74-6ef2-4c3c-902d-d631b323dc74</t>
  </si>
  <si>
    <t>d4c00741-32df-4f4b-acee-459c6fd17017</t>
  </si>
  <si>
    <t>e954a810-54c4-44ae-ba73-b4e776c2e8cb</t>
  </si>
  <si>
    <t>1b531461-a5b9-4dc7-977c-245ea8ec6556</t>
  </si>
  <si>
    <t>5dba67ac-e847-4b29-8cf5-b27f06b239f5</t>
  </si>
  <si>
    <t>65e96cba-9abd-4533-9b7d-f2e9c0150088</t>
  </si>
  <si>
    <t>cc1f9ea9-083b-4745-9241-1d063ac35e72</t>
  </si>
  <si>
    <t>055e36a4-b1b0-4283-8d05-7c78828665e7</t>
  </si>
  <si>
    <t>44935646-7985-4216-856e-a4bf9717d205</t>
  </si>
  <si>
    <t>ecbcf013-08d3-4f55-814f-6d4fbd187dbc</t>
  </si>
  <si>
    <t>b0cdc05d-caa8-400c-97cf-f7bf517e4df4</t>
  </si>
  <si>
    <t>27f83256-acbb-4a30-9252-71c57c5987de</t>
  </si>
  <si>
    <t>cf721f44-fc82-4914-b045-a9eabc2f5b9d</t>
  </si>
  <si>
    <t>e371f77f-06a1-4052-8ca6-837a25f251a4</t>
  </si>
  <si>
    <t>5042a5b3-7a34-4cb7-8961-5c149372c859</t>
  </si>
  <si>
    <t>bd7509c1-6bbd-4ef5-a9ce-8b567da5dc5b</t>
  </si>
  <si>
    <t>5b816d4f-4e00-46ed-9c76-5872d0671061</t>
  </si>
  <si>
    <t>228c8d7d-302b-47d2-87ab-d695c09f7830</t>
  </si>
  <si>
    <t>a796e1dc-6503-4aee-b2b0-5d342054a777</t>
  </si>
  <si>
    <t>719a8b96-81a6-43b4-8d25-75d237a2f2f3</t>
  </si>
  <si>
    <t>669f5178-c007-48df-b304-9055de00f0f1</t>
  </si>
  <si>
    <t>69e99738-ce3a-44ca-be4e-1b762d09b2d1</t>
  </si>
  <si>
    <t>828ea3da-efdf-411a-aea5-4432ff011233</t>
  </si>
  <si>
    <t>71d25592-940e-450f-ad5c-b3ede7e32db0</t>
  </si>
  <si>
    <t>613bf86e-6e55-4987-858e-8def954268d7</t>
  </si>
  <si>
    <t>9eca091f-9f61-476b-a946-77e6f6436e22</t>
  </si>
  <si>
    <t>e3267900-f4a5-4de6-8c34-f891997a622c</t>
  </si>
  <si>
    <t>5d06d30f-1884-40c6-ad9c-d10ff186ae94</t>
  </si>
  <si>
    <t>db62e23b-c1ad-415f-a98c-17f3e4135e73</t>
  </si>
  <si>
    <t>2b8274f5-be45-41e3-9ee8-1c6ae50c524c</t>
  </si>
  <si>
    <t>2139f94a-7830-4a66-88f5-7193ceb7dcb9</t>
  </si>
  <si>
    <t>2696a3e8-beae-47d7-8e66-386569905892</t>
  </si>
  <si>
    <t>53418902-cab3-4674-93b1-c9e22019e8b8</t>
  </si>
  <si>
    <t>1d5a573d-7d88-4ef8-b554-e0d8fec4225a</t>
  </si>
  <si>
    <t>3b4a889a-7840-4d77-a1fd-6e19215076f0</t>
  </si>
  <si>
    <t>f48e60b6-ca3a-4ae3-995b-4f198001d61d</t>
  </si>
  <si>
    <t>74fce98b-9bb2-4626-8442-d2bbfbdfd34b</t>
  </si>
  <si>
    <t>c31ddef8-1a7c-4035-a1e7-a4924c707e5c</t>
  </si>
  <si>
    <t>71feb927-f275-4c35-8bc9-96dbc02aa2c3</t>
  </si>
  <si>
    <t>358087fb-a5c9-4529-9233-ad3143b2a8e9</t>
  </si>
  <si>
    <t>d290ca99-0403-43cd-8a57-a0e667314e34</t>
  </si>
  <si>
    <t>8c9d2930-5858-4345-b9cf-893a31d3f6fc</t>
  </si>
  <si>
    <t>65e06540-d5ec-4d0e-b2ee-781135d26609</t>
  </si>
  <si>
    <t>75790360-c122-4aa5-a79f-97290436ce2a</t>
  </si>
  <si>
    <t>a371cd54-35a2-4ff6-8173-3b167734fa24</t>
  </si>
  <si>
    <t>297f454a-6e05-4272-ba1c-126d4fc1aba7</t>
  </si>
  <si>
    <t>d274fc14-5dcf-4067-8177-88750ef3dd38</t>
  </si>
  <si>
    <t>74d55c7f-262b-4511-ae64-b8b9639e9783</t>
  </si>
  <si>
    <t>0202976f-b6d1-4dba-b5b3-8df7fad76f4a</t>
  </si>
  <si>
    <t>a46dfa0e-9ecd-4eaf-beff-656fb7995716</t>
  </si>
  <si>
    <t>f07e0db6-599f-4ed8-a2f1-37855bda3558</t>
  </si>
  <si>
    <t>9e6dd2e8-d880-42f9-8714-83402846edbe</t>
  </si>
  <si>
    <t>b895228b-3913-4e8a-ae10-a092d5c33e1d</t>
  </si>
  <si>
    <t>9756b0e8-8aec-4291-ac71-6dfcc0de72ba</t>
  </si>
  <si>
    <t>68bf7068-e827-4bf5-85d8-6b8f2ad2baf1</t>
  </si>
  <si>
    <t>04545492-cd5e-426e-a393-23542d6e28d0</t>
  </si>
  <si>
    <t>c033fe7e-afde-4874-92da-c1380e737b65</t>
  </si>
  <si>
    <t>Holiday Off</t>
  </si>
  <si>
    <t>b6d7d07d-0cf5-4574-8a9a-11a77ef81dd3</t>
  </si>
  <si>
    <t>6d0c2973-11eb-4a4f-9893-6d36163de24f</t>
  </si>
  <si>
    <t>f668d716-d122-4741-8844-1a7eb532f581</t>
  </si>
  <si>
    <t>65aa9e20-83d5-40b0-b095-8e590a6ce984</t>
  </si>
  <si>
    <t>2d96ad64-4352-4616-a886-d7f4f665ab6c</t>
  </si>
  <si>
    <t>20db0712-ae8b-40c6-a63d-a766a06f8867</t>
  </si>
  <si>
    <t>f51b0320-329a-4cb7-996d-315806b54669</t>
  </si>
  <si>
    <t>854550e5-90b8-42ba-a7b2-0c7efb62c3ff</t>
  </si>
  <si>
    <t>ee812823-48d9-4739-8f5c-f5113421d6bd</t>
  </si>
  <si>
    <t>aa26844d-73d2-4b77-84da-1242a9c0eb04</t>
  </si>
  <si>
    <t>f06052ba-8e61-4067-93af-1753390000eb</t>
  </si>
  <si>
    <t>c609fc31-ea60-48c4-8257-64694bd9906c</t>
  </si>
  <si>
    <t>c92ee6a1-a768-4112-ac55-675d658326da</t>
  </si>
  <si>
    <t>4ab6e08f-ffd5-453e-bf00-9412461c23d6</t>
  </si>
  <si>
    <t>5f51c33b-e423-4a8c-9592-6fa25aad9bf3</t>
  </si>
  <si>
    <t>76f693d6-276c-470c-87eb-fa6570ad7279</t>
  </si>
  <si>
    <t>f27200f2-1b00-4b70-9f2b-118be4eda931</t>
  </si>
  <si>
    <t>718ee43b-9169-4ce5-9ede-295b63ff1e74</t>
  </si>
  <si>
    <t>f8480be8-0d77-4464-83e5-d722c1b8948b</t>
  </si>
  <si>
    <t>296f1439-1829-4660-b6ea-62a988ee708c</t>
  </si>
  <si>
    <t>af9a86d3-88f3-4127-98bf-5a14b1b44734</t>
  </si>
  <si>
    <t>3692bd4d-def6-49c8-b8b9-f37da0f2498c</t>
  </si>
  <si>
    <t>578fc888-c19e-48ca-85e0-e58b72b02791</t>
  </si>
  <si>
    <t>9b499877-2828-4b92-a76a-73f12cf70faa</t>
  </si>
  <si>
    <t>6a2ddf15-4b1b-4426-8096-849f0bcd0a22</t>
  </si>
  <si>
    <t>b9d3553f-d9c8-4bf3-b192-fc06e3502191</t>
  </si>
  <si>
    <t>afedb571-2b49-4fe3-a906-e56cf2528aaa</t>
  </si>
  <si>
    <t>94ff8121-f89b-4561-a617-cd08c0a224fe</t>
  </si>
  <si>
    <t>7bbc92b6-2951-45e4-af10-b1172896bab8</t>
  </si>
  <si>
    <t>03c79e87-1c2e-4913-bdf7-ab1de4ec20c6</t>
  </si>
  <si>
    <t>fed71375-98e5-4a1f-935d-a10cf2e5953b</t>
  </si>
  <si>
    <t>627a8405-5808-4e9b-b75f-295c06377de7</t>
  </si>
  <si>
    <t>42e1f80a-a543-4edd-ab50-69dc61c2b034</t>
  </si>
  <si>
    <t>98ff87c9-4ecc-4609-8276-8b0234fa2bb4</t>
  </si>
  <si>
    <t>5f8871ba-345a-4e0d-85b2-2ec05dbbbfd6</t>
  </si>
  <si>
    <t>5e1559ea-ddd6-4637-98e9-9ee2600e5b93</t>
  </si>
  <si>
    <t>701ccb3e-8df2-4d77-a25d-7449e7582e25</t>
  </si>
  <si>
    <t>8c3583f7-501b-4a96-9b9f-72d14dead186</t>
  </si>
  <si>
    <t>12bbac6c-a3b0-47aa-99fa-9a934f7b6629</t>
  </si>
  <si>
    <t>77126cf8-0664-4dbb-856c-f6fd609d87b5</t>
  </si>
  <si>
    <t>55647fe3-fe4b-49d6-8795-8d0a6e060aed</t>
  </si>
  <si>
    <t>9e0edd8d-2d56-4975-b28b-5d3cdccaae85</t>
  </si>
  <si>
    <t>7a3d3bfa-7e02-4d50-bafb-f6c2f09fe69f</t>
  </si>
  <si>
    <t>cee4653a-518d-4a8f-a0ef-2f10ab2a6014</t>
  </si>
  <si>
    <t>31ad110b-5997-4ac2-bb5f-1bc15cad3a1a</t>
  </si>
  <si>
    <t>a5fe829b-f0a3-4ffe-aa6a-192233eb9c8d</t>
  </si>
  <si>
    <t>b1c5a1a2-2218-4984-acdb-f125114e95f5</t>
  </si>
  <si>
    <t>ed673c36-5a19-4c18-9a17-509a3a30e3e5</t>
  </si>
  <si>
    <t>85dce989-f7f4-47ae-be75-3ce07a172ddf</t>
  </si>
  <si>
    <t>3b7dba3b-8052-484e-a780-4c3ff029e4d5</t>
  </si>
  <si>
    <t>93906c49-06dc-488b-ad0c-fc4c20c6ec08</t>
  </si>
  <si>
    <t>748af285-06f1-4e8d-8f89-fb1483d0bb25</t>
  </si>
  <si>
    <t>a5d320dd-6908-42f2-b103-b35e2187eede</t>
  </si>
  <si>
    <t>e5612fed-da9e-4aff-97af-d41dcab42f44</t>
  </si>
  <si>
    <t>99503f47-6116-4e8f-aea8-a021fb1f087b</t>
  </si>
  <si>
    <t>cf148180-aefd-40f1-810f-fea4bc697aa8</t>
  </si>
  <si>
    <t>edfdfa74-8d00-42cd-8482-039f64e4ee6b</t>
  </si>
  <si>
    <t>876c4330-53f5-45f9-8cb7-8d8021fc7ec0</t>
  </si>
  <si>
    <t>5d5a8e9c-34eb-47cf-b251-935cd53f3f6c</t>
  </si>
  <si>
    <t>f6f00238-4a08-40b8-81d9-7f415ae616aa</t>
  </si>
  <si>
    <t>d229059c-d015-45e6-be70-f145605e2997</t>
  </si>
  <si>
    <t>bbfb4c45-f4e3-4964-8ea3-0e7195455c21</t>
  </si>
  <si>
    <t>afa6c035-21e4-46d5-a1d6-c8a6a54e9c07</t>
  </si>
  <si>
    <t>b044b64c-f71b-436e-9873-65dc746f0bdd</t>
  </si>
  <si>
    <t>e98743bc-4319-4dbb-af89-25118e05cbb4</t>
  </si>
  <si>
    <t>f4d71c2f-3240-48dc-92de-ddd65c4480c6</t>
  </si>
  <si>
    <t>f6f81476-e157-43e2-b47e-72f05a49ea31</t>
  </si>
  <si>
    <t>af2d8af3-0a19-48be-b2d7-4724105d7b41</t>
  </si>
  <si>
    <t>e6c073d8-aa91-4449-b0f1-172cfb2d0902</t>
  </si>
  <si>
    <t>1e5f50b9-c30c-4237-84d6-f0d1121a255e</t>
  </si>
  <si>
    <t>c7d697e3-118b-4455-bdf3-55fadb85fcb4</t>
  </si>
  <si>
    <t>ccad0dbf-1155-4eb3-b238-874043d8fdf9</t>
  </si>
  <si>
    <t>0e7c383f-7d6c-4754-b99f-af88ec4e6cdd</t>
  </si>
  <si>
    <t>29725bb2-db5d-4812-b178-5d175abc4621</t>
  </si>
  <si>
    <t>48138284-e69e-4de7-863f-4ae0061db651</t>
  </si>
  <si>
    <t>0e62f317-85e2-4c2b-9a2f-1350e99c9035</t>
  </si>
  <si>
    <t>0f1c0e69-3fc1-4f9d-945a-dea2d1f25586</t>
  </si>
  <si>
    <t>20f45e6b-d134-4e6c-9caf-9b71cf7fe1ee</t>
  </si>
  <si>
    <t>2bb473b0-de70-4347-8efc-7a5d6197643c</t>
  </si>
  <si>
    <t>b422cea0-24ee-4c46-9d87-4a427af777a0</t>
  </si>
  <si>
    <t>c2145a8b-12ff-43aa-a7cc-3b2548fdff2e</t>
  </si>
  <si>
    <t>885e37b2-ab78-4522-abf4-328fc2fe6a58</t>
  </si>
  <si>
    <t>5940da05-7bd7-4113-80c7-aa2f530a410d</t>
  </si>
  <si>
    <t>23b95ab7-b9e7-4c9b-a809-33a2e22db695</t>
  </si>
  <si>
    <t>4c886401-877a-4806-8dcc-000f3e36450a</t>
  </si>
  <si>
    <t>9f635094-7499-4c27-86d0-9d0fbddde7e6</t>
  </si>
  <si>
    <t>f0929d0a-18f1-4258-97cb-f341672f2456</t>
  </si>
  <si>
    <t>6ffcae52-d364-40fd-a699-43b31b814cf3</t>
  </si>
  <si>
    <t>6e082431-85d8-4ff4-8c1d-bd9e75788757</t>
  </si>
  <si>
    <t>9f263177-0767-4287-954c-9a10221c66ac</t>
  </si>
  <si>
    <t>22dfd1b0-68da-4665-a89e-a986b6abf698</t>
  </si>
  <si>
    <t>8a601413-138d-42a6-aedb-f2c12a1acec4</t>
  </si>
  <si>
    <t>b2e38082-137f-44ce-ab83-7743d759c8ca</t>
  </si>
  <si>
    <t>65f6a636-ebd5-43aa-9b99-ed116591a0dc</t>
  </si>
  <si>
    <t>31974122-b507-4fa7-9df5-c20f5d8d9e4b</t>
  </si>
  <si>
    <t>bf080f65-1126-4131-b799-a9816bf40b63</t>
  </si>
  <si>
    <t>8f8fb842-79ef-42bf-9955-e13d6d8367d2</t>
  </si>
  <si>
    <t>2914d622-1e1b-4af9-a1e4-50d1f5285d1b</t>
  </si>
  <si>
    <t>fe36dfbb-8072-48f0-8945-aea253ce871d</t>
  </si>
  <si>
    <t>60025ba4-6a39-49cb-a9fb-804cd45b6e3c</t>
  </si>
  <si>
    <t>1bf82504-3eb1-4ad6-848c-b668998a9de3</t>
  </si>
  <si>
    <t>2c141459-f745-4462-9e37-b4e39e612f25</t>
  </si>
  <si>
    <t>915a44a2-c40b-49d6-bd44-a47f1f57a9c5</t>
  </si>
  <si>
    <t>a878a079-2590-4733-94fd-ced5c7d15a9d</t>
  </si>
  <si>
    <t>0100597b-d20f-4dd1-bfff-2264334382d4</t>
  </si>
  <si>
    <t>a7f511cd-0789-4e30-a256-001c7df3abb8</t>
  </si>
  <si>
    <t>bc9d3fd8-0a7a-4cba-9e98-2f3f33cbbfc5</t>
  </si>
  <si>
    <t>50500934-5bf9-4402-9ee5-dbe43b9011a7</t>
  </si>
  <si>
    <t>5cbc3cde-02c7-4492-b6a2-fa29d811123c</t>
  </si>
  <si>
    <t>Phone Support Referral Process training</t>
  </si>
  <si>
    <t>5de1b23c-266a-436a-bd86-9c98171d4a01</t>
  </si>
  <si>
    <t>2a651194-2c3f-4001-bbae-00bf61b63e49</t>
  </si>
  <si>
    <t>7422fe2e-445a-449f-b39d-414074ec2ce8</t>
  </si>
  <si>
    <t>165bd6cd-8625-445f-bc1d-3dbc50e7dd16</t>
  </si>
  <si>
    <t>e3fa94af-dc4b-4aab-a423-fda59cb70e85</t>
  </si>
  <si>
    <t>6b413995-ec77-4a22-a100-6cd134bf5ff4</t>
  </si>
  <si>
    <t>Specialist Notes in CHT Portal Training
Link: https://bpos.canva.site/specialist-notes-training/</t>
  </si>
  <si>
    <t>bef5c241-83e3-4a4c-be67-ea53f49fcfc5</t>
  </si>
  <si>
    <t>e0a9780f-9c33-4333-9f30-4d4d1a256cef</t>
  </si>
  <si>
    <t>Holiday</t>
  </si>
  <si>
    <t>eed64771-fb63-4910-8073-e15fd95c2258</t>
  </si>
  <si>
    <t>af088e36-73bc-480e-bffe-44296c4c9ad6</t>
  </si>
  <si>
    <t>3960b232-dc19-4f4a-a029-fd8656de4d46</t>
  </si>
  <si>
    <t>b50b920e-12bc-43e9-96b1-9e61a3e71dc5</t>
  </si>
  <si>
    <t>292f4b79-2b10-4ced-8406-cc2ad1d8f1d9</t>
  </si>
  <si>
    <t>4aa44a0c-428b-4999-b7a5-1f29233d5354</t>
  </si>
  <si>
    <t>dba32a7c-7200-456e-84b0-96d0e894e2d2</t>
  </si>
  <si>
    <t>a3283b54-f97e-4bc0-9fce-ec0449e1e9f5</t>
  </si>
  <si>
    <t>786dbaae-11da-48c0-ac2b-763385d4fa2e</t>
  </si>
  <si>
    <t>7467d746-8e28-4fda-8f73-5b044ca58f7d</t>
  </si>
  <si>
    <t>6e67c573-f496-47d9-b20b-83fde23b882d</t>
  </si>
  <si>
    <t>6a084c2e-8f42-4267-b733-5a661496527f</t>
  </si>
  <si>
    <t>17731f2b-eb0e-4d9e-b80f-541c98b52c43</t>
  </si>
  <si>
    <t>3294c4eb-49f2-4274-8853-1344c045446d</t>
  </si>
  <si>
    <t>3bb8796e-adf5-4697-bda8-2f5ff977a9eb</t>
  </si>
  <si>
    <t>3c505020-850d-4abe-9a5c-2b8cde39f127</t>
  </si>
  <si>
    <t>phone support training</t>
  </si>
  <si>
    <t>d598d79d-8b8d-4497-afef-ccc387b7f14c</t>
  </si>
  <si>
    <t>e8d0f8ef-a3b3-47b2-9961-60f0b1e35ca1</t>
  </si>
  <si>
    <t>7d861dc6-6ece-49b0-a848-b9837f6d8fb8</t>
  </si>
  <si>
    <t>72830be0-f8c6-4ca4-90bb-0eb6ef508d09</t>
  </si>
  <si>
    <t>407c56e8-579f-4c7d-8c11-e0a0aef374a0</t>
  </si>
  <si>
    <t>2c594d83-967d-4506-b36a-01c785f9e9fa</t>
  </si>
  <si>
    <t>8a3e3497-f63d-4036-86d6-73b38dfd8c30</t>
  </si>
  <si>
    <t>65271acc-bb34-4aa8-a5b3-97bab058b5b5</t>
  </si>
  <si>
    <t>62a574d0-a6ac-4e22-8e4b-3451269fd42f</t>
  </si>
  <si>
    <t>fb814c5f-90c9-42ea-a324-c445954098c4</t>
  </si>
  <si>
    <t>b5d9d4c1-3f5c-466e-a511-4c5cbe191ecc</t>
  </si>
  <si>
    <t>84508862-de66-4b0c-80da-dfd372057b49</t>
  </si>
  <si>
    <t>e2c14d46-e96b-451c-9d2f-6fa3bdb0132d</t>
  </si>
  <si>
    <t>484c6fce-6ba2-430d-bd89-95aae516a896</t>
  </si>
  <si>
    <t>e0766594-53be-4162-9c90-4530b1731291</t>
  </si>
  <si>
    <t>2e3f55e4-e297-41a8-b273-ff4e463c1e03</t>
  </si>
  <si>
    <t>8d0b3d0f-f9cf-432f-9f25-940d72b3aeac</t>
  </si>
  <si>
    <t>77d5b4b8-5535-44b9-93ab-2128f2d928e4</t>
  </si>
  <si>
    <t>73c564c2-063f-471c-a855-4c8b79dd5298</t>
  </si>
  <si>
    <t>8df4c7ea-2a88-4f90-a151-1d7c8848b972</t>
  </si>
  <si>
    <t>8e01ec19-42f4-48a4-a6a0-42f52742c59c</t>
  </si>
  <si>
    <t>b8adf948-9376-47cc-8f2c-d95f40d88b6f</t>
  </si>
  <si>
    <t>00448d48-d1ff-4253-946a-9aedd94f30f3</t>
  </si>
  <si>
    <t>95a59db9-18df-406e-ae50-bd9d45b0a5b8</t>
  </si>
  <si>
    <t>742e1ee1-e45d-4a69-b34f-c9ec2520fe4c</t>
  </si>
  <si>
    <t>ad5f286f-7a79-4b2e-99f2-d1224401c242</t>
  </si>
  <si>
    <t>15799d8b-3580-4111-80d8-326aed75faf7</t>
  </si>
  <si>
    <t>2ea9fc8e-162f-4392-ac53-ce84ebdf8b34</t>
  </si>
  <si>
    <t>04b5e877-579f-4c0d-8b8e-45c3e81f62d4</t>
  </si>
  <si>
    <t>Check-in date is earlier and I will need this day to prep for our hotel stay</t>
  </si>
  <si>
    <t>d2d87361-0393-44c3-8f8f-83764af49c84</t>
  </si>
  <si>
    <t>abb99b4d-810f-456c-ab8b-60822637d5d4</t>
  </si>
  <si>
    <t>4cf2233c-354e-4a37-a556-a0c6f117f545</t>
  </si>
  <si>
    <t>a6e0d5db-09c8-40c2-84d9-b56e1d209679</t>
  </si>
  <si>
    <t>check-in date for our hotel is december 24 so that I don't have a shift the night before i filed for december 23. Actual check-in date December 24 i filed for this shift as well because we will be unpacking and preparing for our stay.</t>
  </si>
  <si>
    <t>e7ff4480-c36a-4d3e-a53c-3425a0df5826</t>
  </si>
  <si>
    <t>2078e014-9d76-476d-a520-8649ed994431</t>
  </si>
  <si>
    <t>679da536-23e1-4ffc-8279-a6c28440696a</t>
  </si>
  <si>
    <t>b02b7e2e-571c-43e0-8653-78d6894ebed3</t>
  </si>
  <si>
    <t>b2fa1fa5-1917-49ea-8669-2d0ca9f2a3d1</t>
  </si>
  <si>
    <t>c352018a-f4de-40a6-b51b-6d66ee38e00c</t>
  </si>
  <si>
    <t>adfc30bc-b9ea-425a-974c-5d9fc531e2ba</t>
  </si>
  <si>
    <t>e6a50c90-a5bd-4a92-827e-9e55650d4df4</t>
  </si>
  <si>
    <t>52e2cfd6-81dd-44e6-a0d7-f2590181a355</t>
  </si>
  <si>
    <t>01cd88c7-d7cc-4255-be17-b04d88853a4f</t>
  </si>
  <si>
    <t>9277b6d2-caaa-4135-b778-0b1b5701d1b6</t>
  </si>
  <si>
    <t>211a83f4-bbd8-44d0-85bd-c27e1b72a5a1</t>
  </si>
  <si>
    <t>aa523d3f-5190-43a4-afbd-6a194354b449</t>
  </si>
  <si>
    <t>b37f9417-461b-408d-b27a-c7279fac82ec</t>
  </si>
  <si>
    <t>f7e873cd-b6b8-4b73-a720-290fb3de4035</t>
  </si>
  <si>
    <t>583a2835-f742-43ff-b8bd-97a64e466bb9</t>
  </si>
  <si>
    <t>0ba0a046-b711-441d-96cf-55ee2157b3ee</t>
  </si>
  <si>
    <t>fe8b3ae0-2a02-4f41-81be-49b07b3dcf6c</t>
  </si>
  <si>
    <t>3001e0dc-3e3c-4cdc-832d-3ea996112cfc</t>
  </si>
  <si>
    <t>fcdf43f6-2fa4-4523-853c-fc5670b06a63</t>
  </si>
  <si>
    <t>IRP Revamp Training
Link: https://bpos.canva.site/irp-revamp-training</t>
  </si>
  <si>
    <t>100493e7-ed96-4a37-942b-d7bf237f8d07</t>
  </si>
  <si>
    <t>ff6df226-ec0b-45ec-8219-af358ec745c8</t>
  </si>
  <si>
    <t>f3c7d81d-bf47-4fc0-a91d-645fff34a43e</t>
  </si>
  <si>
    <t>deac3a9b-dea8-4676-a56a-40324874343b</t>
  </si>
  <si>
    <t>e4e33917-6a3a-45a3-b8a9-731345728eec</t>
  </si>
  <si>
    <t>7630e094-a0b8-4aae-aa3f-5b1dcfa582bd</t>
  </si>
  <si>
    <t>2b59e0e4-72af-45da-a130-f7029954d1d8</t>
  </si>
  <si>
    <t>93aed023-7398-437c-b64a-0497e2f5a5fc</t>
  </si>
  <si>
    <t>32076205-0715-4a01-a9b7-164b8c7d657b</t>
  </si>
  <si>
    <t>b914836e-5b28-47e2-9a7c-252537fa8427</t>
  </si>
  <si>
    <t>97ab8e5e-b264-4fe5-b71d-2ddbada1388e</t>
  </si>
  <si>
    <t>57c6cc04-5fd8-481f-87ec-3ae8b214ea6d</t>
  </si>
  <si>
    <t>966262db-eb2f-42c7-9e35-7db007b63467</t>
  </si>
  <si>
    <t>dd215896-17cd-4ab8-9a68-7bdd19af686e</t>
  </si>
  <si>
    <t>85962140-37f1-49cb-bd37-5a1d793f7cbb</t>
  </si>
  <si>
    <t>31cd0cb4-bd43-4e8e-aa09-d08f9db9b9fc</t>
  </si>
  <si>
    <t>5f32724c-a15e-4a77-9534-435588d34d66</t>
  </si>
  <si>
    <t>c86aa561-8cb4-4393-b9a6-9e574c3710cd</t>
  </si>
  <si>
    <t>a702c6ab-4eed-49ba-8517-d52868ddaabe</t>
  </si>
  <si>
    <t>c150c8a0-264e-43dd-9760-5148fe2ae2f0</t>
  </si>
  <si>
    <t>27387659-ee2e-4793-b179-011e1d36db50</t>
  </si>
  <si>
    <t>3e90cb99-1c10-42ca-a268-185c2211d174</t>
  </si>
  <si>
    <t>e13417a4-329a-46ce-95d2-8a28234b0866</t>
  </si>
  <si>
    <t>Lolo's 80th Birthday</t>
  </si>
  <si>
    <t>85f917af-8a72-4961-958c-b37bfb97d74e</t>
  </si>
  <si>
    <t>2541701d-09fe-43cc-8c47-62de79fb5200</t>
  </si>
  <si>
    <t>360b7ab3-99c3-4fd7-8811-7b860bf22f91</t>
  </si>
  <si>
    <t>help-cht &amp; all-smes POC</t>
  </si>
  <si>
    <t>5890798e-fcff-42b4-82f5-640937a0fdc3</t>
  </si>
  <si>
    <t>#incident-20251222-sociable-perfection</t>
  </si>
  <si>
    <t>0cf3ead1-7d3f-4c1c-b7cc-6291dae54753</t>
  </si>
  <si>
    <t>9fb9afff-3e5e-4c41-8f21-6cf4e461303b</t>
  </si>
  <si>
    <t>cdf62af0-a15d-4460-800f-3814aafee2d9</t>
  </si>
  <si>
    <t>f438bf36-1078-4af9-9417-c4aea4307ec0</t>
  </si>
  <si>
    <t>Bi-Annual User Voice Privacy and Security Refresher Training</t>
  </si>
  <si>
    <t>16eece74-1582-490f-b2fb-ed9bb2414b6d</t>
  </si>
  <si>
    <t>EOS report</t>
  </si>
  <si>
    <t>45031350-6f0f-44b4-bca0-4bdaaaeb74ee</t>
  </si>
  <si>
    <t>efbc391a-65d0-4983-9858-e62eedb8c937</t>
  </si>
  <si>
    <t>60628b25-9442-487b-ae57-3e836917edd8</t>
  </si>
  <si>
    <t>cop duties</t>
  </si>
  <si>
    <t>f411c337-1f5e-4e03-9bcc-60949f4b6204</t>
  </si>
  <si>
    <t>73cdcb0a-1033-4397-a90e-8b45d7b5e387</t>
  </si>
  <si>
    <t>c258cef4-d345-4b3c-a7ba-5546d7b55071</t>
  </si>
  <si>
    <t>45b05e62-6883-438a-a377-b337690f45c1</t>
  </si>
  <si>
    <t>b907cb23-591d-46c9-b321-0ee8bcbe9f00</t>
  </si>
  <si>
    <t>Team meeting</t>
  </si>
  <si>
    <t>0a08708f-f709-4c39-b0e1-1ba9efdbc056</t>
  </si>
  <si>
    <t>0f0f616f-9758-42fc-a457-abee1b504270</t>
  </si>
  <si>
    <t>7d9c73a0-0379-41d9-b5c8-05ae9960af45</t>
  </si>
  <si>
    <t>d537355e-9360-4f2c-94f4-a846a771e32a</t>
  </si>
  <si>
    <t>b478a4ca-fb8e-4282-8ea1-75fabe6047e7</t>
  </si>
  <si>
    <t>e9b302e2-3386-4565-b00a-cbf2d7196128</t>
  </si>
  <si>
    <t>cddbe12e-d6a1-4591-8280-84584af48bf6</t>
  </si>
  <si>
    <t>ad0ffb6b-76a1-4909-8a91-1ddd953e4ac9</t>
  </si>
  <si>
    <t>38c893f7-8e4e-4eb6-8b00-bbf52be28fd4</t>
  </si>
  <si>
    <t xml:space="preserve"> backreading</t>
  </si>
  <si>
    <t>ce0338b0-2673-41d3-93f4-001d08b472f4</t>
  </si>
  <si>
    <t>491ac2a3-7dbe-4b47-9a4c-54c87a77dd29</t>
  </si>
  <si>
    <t>86707f90-5cdd-4002-84b5-82c6849548da</t>
  </si>
  <si>
    <t>d4b8e739-26bd-408d-b1fb-62527dbba4b6</t>
  </si>
  <si>
    <t>e4da1b46-5288-40be-9b40-0668b649acd0</t>
  </si>
  <si>
    <t>Async CPSET Weekly Sync</t>
  </si>
  <si>
    <t>96f758b1-e446-4170-8dc3-ff30f2d7bd5c</t>
  </si>
  <si>
    <t>39161fd0-a58c-4582-a78b-db34763b8df8</t>
  </si>
  <si>
    <t>0fdc86b1-c980-4625-91a6-637206a7a605</t>
  </si>
  <si>
    <t>95195110-ae70-40bb-9c8a-a8e243b0ec44</t>
  </si>
  <si>
    <t>Vacation Leave
WFM deferred to Coach Ziggy for approval &gt;&gt;&gt;https://canva.enterprise.slack.com/archives/C05A76H5FUM/p1764558194107519</t>
  </si>
  <si>
    <t>a2369a76-1140-4936-950c-bdc881fdbd94</t>
  </si>
  <si>
    <t>724ec77b-1ecf-4ec1-b99e-e055b2584954</t>
  </si>
  <si>
    <t>19dc78f0-504b-4127-ba15-9c2ad92fd6b4</t>
  </si>
  <si>
    <t>37f42c6a-8faa-40df-becb-7592be25a2bf</t>
  </si>
  <si>
    <t>1be1bbf1-11a6-4fce-ab7d-168019e79f4c</t>
  </si>
  <si>
    <t>167257b6-d3d0-4e2e-a997-18bb48a69416</t>
  </si>
  <si>
    <t>8d8a1c0e-0583-4318-adfa-0a235831d3ae</t>
  </si>
  <si>
    <t>incident checking</t>
  </si>
  <si>
    <t>51c93f41-7710-475f-b5e6-87312025b733</t>
  </si>
  <si>
    <t>edf81e71-f8e2-4385-bf2c-cb9d70d07b2c</t>
  </si>
  <si>
    <t>3a1dac88-de0f-4252-ac6b-6a5e307e1c61</t>
  </si>
  <si>
    <t>686effc0-199c-4848-b4e3-e7bd8424a3d0</t>
  </si>
  <si>
    <t xml:space="preserve">
Bi-Annual User Voice Privacy and Security Refresher Training</t>
  </si>
  <si>
    <t>645368d5-25e1-49a4-8422-4c59c3ce7c43</t>
  </si>
  <si>
    <t>cf0a030e-ed29-4979-96a8-31d9f86960cf</t>
  </si>
  <si>
    <t>34dff82f-88d1-415b-ad30-b2c8fd8355c9</t>
  </si>
  <si>
    <t>ZD case work- bug management</t>
  </si>
  <si>
    <t>e5d57cf1-9db7-4a88-98ca-084474cbc2db</t>
  </si>
  <si>
    <t>187784b7-35de-456a-ade3-29e8db7d5f1c</t>
  </si>
  <si>
    <t>phone call support</t>
  </si>
  <si>
    <t>ddfde2f7-8ba5-41ef-9acc-41778ccb52e4</t>
  </si>
  <si>
    <t>c3d0e17b-3c3c-405a-93a4-288675dd90d5</t>
  </si>
  <si>
    <t>309e8dce-2223-4bc7-a6b1-58449aea78ac</t>
  </si>
  <si>
    <t>0fa12ad4-44a8-4258-add3-bd73b855cf21</t>
  </si>
  <si>
    <t>a8bad661-413b-4192-9668-5b25b4acf09c</t>
  </si>
  <si>
    <t>1ad629d9-fc50-49e1-a3c8-c5e73734aeb2</t>
  </si>
  <si>
    <t>39565034-2409-4a68-8731-e62edd757050</t>
  </si>
  <si>
    <t>7f519d11-cc02-4ca6-adaa-decc77c9eb78</t>
  </si>
  <si>
    <t>4a7ce36d-6b9b-481b-bf8b-84d49dd026ae</t>
  </si>
  <si>
    <t>d169587a-2c71-4e75-b3dd-c969ba1a729d</t>
  </si>
  <si>
    <t>4ed42bef-6d39-480a-88f6-60ad3a17cf6d</t>
  </si>
  <si>
    <t>960625e8-87ac-49dd-bee7-78eaf60f80b6</t>
  </si>
  <si>
    <t>b573bb68-ac08-497e-b6c4-0cf9f5dbf88a</t>
  </si>
  <si>
    <t>3640c647-73bb-48e2-b287-2676a9d06041</t>
  </si>
  <si>
    <t>3d098d04-925f-430c-9285-41efe4a41ca3</t>
  </si>
  <si>
    <t>97a35ae8-d072-4c3b-aef8-57824a2a2fbe</t>
  </si>
  <si>
    <t>d23b02b7-5ef0-4854-88f8-6de0341d39f2</t>
  </si>
  <si>
    <t>inci maintenance</t>
  </si>
  <si>
    <t>9f32b6c7-fd75-42e2-b7f3-2e5a49741d0b</t>
  </si>
  <si>
    <t>ae6d35c1-dc25-4582-9ac6-bba5ee512ae3</t>
  </si>
  <si>
    <t>bug management</t>
  </si>
  <si>
    <t>0dbbbf79-9262-4a10-a850-fa06e47df1ba</t>
  </si>
  <si>
    <t>bae22210-6af5-485c-96d8-62180f6e2e41</t>
  </si>
  <si>
    <t>2c2cbf9c-c4f8-4ebb-97b1-4bad123e15f4</t>
  </si>
  <si>
    <t>2e4072d9-4610-4d41-849e-72a2dc8b0b28</t>
  </si>
  <si>
    <t>Cpset sync</t>
  </si>
  <si>
    <t>567c90b0-cdfd-405d-b573-aa2609437552</t>
  </si>
  <si>
    <t>69329a7e-bbe6-460f-9e8e-ed950be3e47e</t>
  </si>
  <si>
    <t>VL- will visit family residing outside our current residence town.</t>
  </si>
  <si>
    <t>58cf1e32-1337-4502-bb3b-fba2856a8912</t>
  </si>
  <si>
    <t>96b34bbd-e596-45d8-9913-3d6dadaf142c</t>
  </si>
  <si>
    <t>76752f54-82f9-4796-b539-b3d19d14e7e8</t>
  </si>
  <si>
    <t>e732ae20-1d8f-430d-b2eb-40a9196ac566</t>
  </si>
  <si>
    <t>4d8b9b05-4585-429c-a2ba-7bf1ea140140</t>
  </si>
  <si>
    <t>aad7a4c5-620b-439c-bc94-d950311dc0d9</t>
  </si>
  <si>
    <t>162d4b9e-4960-46df-b2bb-db70ee734ee3</t>
  </si>
  <si>
    <t>bcd50887-6a5f-4cba-8331-20028fcd871e</t>
  </si>
  <si>
    <t>b51352ee-8c55-42fc-96b1-7e6d20146d0d</t>
  </si>
  <si>
    <t>ca48e674-ced6-43bc-b50d-dbb70a0dd6d9</t>
  </si>
  <si>
    <t>eb6bf07d-8b80-414f-bf92-d54a292bd4cd</t>
  </si>
  <si>
    <t>e44bdba4-c6a3-4053-b567-17a26c7d83a7</t>
  </si>
  <si>
    <t>aa5b16c0-b2a8-4997-8ee6-cda898eae32e</t>
  </si>
  <si>
    <t>0c0b8469-3882-4c7a-a713-decb470390a4</t>
  </si>
  <si>
    <t>3f10d39f-1c78-4811-bee5-0324719617ad</t>
  </si>
  <si>
    <t>9619b963-cfa7-4d80-bed3-e31d47d38550</t>
  </si>
  <si>
    <t>7f3c3637-de51-4a03-b4d4-3f7108c1aa0a</t>
  </si>
  <si>
    <t>b77e0276-9d2f-48a0-a1db-e2ce067daef6</t>
  </si>
  <si>
    <t>b4f7757f-e625-471c-bb27-9285325a458c</t>
  </si>
  <si>
    <t>f998ba5e-9115-4473-960c-49cb5545dde4</t>
  </si>
  <si>
    <t>cdfa76fe-f5c8-455c-bea5-e7b3fdd5badd</t>
  </si>
  <si>
    <t>0a42c43e-27f8-4ba7-867b-76b839a2fcd0</t>
  </si>
  <si>
    <t>d2bf62d7-6600-4bd7-bfb3-0d6a83d9f9d6</t>
  </si>
  <si>
    <t>7ab38da8-a9a5-4609-aaf4-d9032deae18c</t>
  </si>
  <si>
    <t>f14d69d8-ea5f-40b7-a2bc-b4b979f6ce0e</t>
  </si>
  <si>
    <t>2f324356-99c2-47ea-8e65-d07e5150be2a</t>
  </si>
  <si>
    <t>bf23e96e-e490-4cb7-8de8-8ff4d7dc4bce</t>
  </si>
  <si>
    <t>ae3a03d2-d2bb-4d81-ad77-1e79e03224c6</t>
  </si>
  <si>
    <t>97d601e8-f0cb-4bae-9541-76c8a36184f2</t>
  </si>
  <si>
    <t>c39b80f1-ded8-4daf-b444-c89857011a18</t>
  </si>
  <si>
    <t>3c016a71-03ae-4e92-867a-1d7f06fe104d</t>
  </si>
  <si>
    <t>eb049fef-2614-4268-8f5e-a844c0d94109</t>
  </si>
  <si>
    <t>bcb34425-0921-478c-a7df-f8cde19f42a0</t>
  </si>
  <si>
    <t>fb4b2c37-0f49-4afa-9a20-7e3007faa881</t>
  </si>
  <si>
    <t>8c2629fe-7bbb-48e1-b22d-60a10ecd85a7</t>
  </si>
  <si>
    <t>dc5ba627-bfde-427d-9cfc-231e49dd601d</t>
  </si>
  <si>
    <t>0439e6fb-8840-4265-b40f-3c6aa6bdfda7</t>
  </si>
  <si>
    <t>bf301bf9-10d7-4072-9cae-6c2ac9f65f52</t>
  </si>
  <si>
    <t>94adbe91-68f3-4178-9c7c-425cd96a72bc</t>
  </si>
  <si>
    <t>56dfa0a8-54db-46cf-b604-8026f26e366b</t>
  </si>
  <si>
    <t>07f6239c-7113-43c6-b859-3bea9d3fa95f</t>
  </si>
  <si>
    <t>b96d03c7-d463-480a-8c9a-62fea7551ff6</t>
  </si>
  <si>
    <t>8587a826-f856-4f20-9f20-b7f020bde1c9</t>
  </si>
  <si>
    <t>533bf7a8-6f71-478a-9c0d-a6fb0aecf14b</t>
  </si>
  <si>
    <t>89bbf660-807f-43e6-822c-829a7eafe498</t>
  </si>
  <si>
    <t>964fb322-7991-40a3-a8f7-0227e34a7079</t>
  </si>
  <si>
    <t>b717972e-f5ac-4484-a25e-be46d3271d7b</t>
  </si>
  <si>
    <t>ac8af1df-3d85-4b8c-9de9-ed45f1894a3d</t>
  </si>
  <si>
    <t>c46d1a4a-d2c1-4a02-a662-f3895025538b</t>
  </si>
  <si>
    <t>4f2a945a-b5de-4d9c-ad4f-54d7d28957dc</t>
  </si>
  <si>
    <t>d03c4878-a280-413d-ab31-3e1d220ab0b7</t>
  </si>
  <si>
    <t>6ecfa243-4a34-4e86-a00e-314a31af3ca5</t>
  </si>
  <si>
    <t>938651df-7b0d-4cb3-8376-9f4639eff530</t>
  </si>
  <si>
    <t>4b44ef37-f163-4edb-9fee-6da85fae976d</t>
  </si>
  <si>
    <t>5ba03530-338e-4df7-98c3-dd43e74e4b37</t>
  </si>
  <si>
    <t>5bca3551-bf56-43cf-a507-66fc9bc54515</t>
  </si>
  <si>
    <t>4cc265f4-3b62-444b-b30b-9b2c11c226b0</t>
  </si>
  <si>
    <t>d526a07d-102f-462c-a4b1-e76ba38decac</t>
  </si>
  <si>
    <t>b256471c-5dc4-4f48-8962-83bbe9bb8de7</t>
  </si>
  <si>
    <t>1080481e-664f-492e-ab06-2720d0b22d62</t>
  </si>
  <si>
    <t>f63761ac-1bc9-4338-b4d4-003d44016e36</t>
  </si>
  <si>
    <t>18c6ea1f-9bbd-4168-96da-5ad18066dfc8</t>
  </si>
  <si>
    <t>1bd14d02-c94e-462d-8a2e-7d28140375bd</t>
  </si>
  <si>
    <t>b36eec67-38aa-4459-9e56-10a7468c2a5c</t>
  </si>
  <si>
    <t>d74307f6-91cd-4658-82a8-8d12e34303b5</t>
  </si>
  <si>
    <t>12fae426-601c-4f4a-9cc1-00381a0b065b</t>
  </si>
  <si>
    <t>437ef849-1375-457c-8998-6fa3b544097a</t>
  </si>
  <si>
    <t>8bd8af67-cdbd-4aea-ad0a-0f26295bc722</t>
  </si>
  <si>
    <t>moved lunch</t>
  </si>
  <si>
    <t>7117a53b-e4d0-48a0-8e76-e60abd508580</t>
  </si>
  <si>
    <t>1192b56e-cc07-4d5b-8031-901aa1b88efb</t>
  </si>
  <si>
    <t>d496177e-d4c8-41d4-b1ee-23b0ca5ba610</t>
  </si>
  <si>
    <t>3f669aa5-4092-4757-bf20-d0e8c88fd0a1</t>
  </si>
  <si>
    <t>854db3dd-8f66-4689-9b0f-3373ce91c5f1</t>
  </si>
  <si>
    <t>f14e1049-2639-444a-930a-440fd3437ffe</t>
  </si>
  <si>
    <t>a4322ff1-6468-485c-a35a-119a02366eef</t>
  </si>
  <si>
    <t>bb639822-bfe9-48aa-b6a6-a4b27615fbc4</t>
  </si>
  <si>
    <t>99e60b43-60a0-4bbc-8674-766803da0f16</t>
  </si>
  <si>
    <t>86198bc8-f4e1-428f-92cc-14678adfe0c0</t>
  </si>
  <si>
    <t>early lbb</t>
  </si>
  <si>
    <t>70ef1593-2cfe-4e7c-ae47-4f8398248944</t>
  </si>
  <si>
    <t>b774592e-aacf-40ce-99f3-a04c368b5544</t>
  </si>
  <si>
    <t>early bb</t>
  </si>
  <si>
    <t>92691e7c-1594-4379-b104-357683b6e219</t>
  </si>
  <si>
    <t>d0b32e4f-bf3f-412a-b2ba-decca3507003</t>
  </si>
  <si>
    <t>29fd7c69-ded6-46da-880f-7dd08b931322</t>
  </si>
  <si>
    <t>098607e1-8cf1-42fe-a2c5-61f7a8d383ff</t>
  </si>
  <si>
    <t>fc046536-17d6-47b4-a528-e5a159f3d7d2</t>
  </si>
  <si>
    <t>1a7dff5f-28b2-4d82-b9ac-2c8705b513ba</t>
  </si>
  <si>
    <t>fde6705c-6939-443a-92c5-5e073b97f3ed</t>
  </si>
  <si>
    <t>83960849-7522-4f35-9421-2bb6dcdac17a</t>
  </si>
  <si>
    <t>77c624cf-1dce-4236-873b-3d64a5e64b67</t>
  </si>
  <si>
    <t>203750fe-00da-4958-8fba-58b3d29eef90</t>
  </si>
  <si>
    <t>fa83b34d-ae0e-45af-8642-0d8c9e992184</t>
  </si>
  <si>
    <t>03cc1b73-cd01-4ca7-9577-f8239b2cc9b5</t>
  </si>
  <si>
    <t>483a099c-31ba-4b22-8241-1b543d3486f4</t>
  </si>
  <si>
    <t>8ce0bb63-7864-45a7-aa73-fe64a050dc62</t>
  </si>
  <si>
    <t>b0409376-2dc6-4853-adbf-1e3d33915502</t>
  </si>
  <si>
    <t>15d582a7-9e62-4f6f-bb4c-7b16db9368fa</t>
  </si>
  <si>
    <t>c1a82ed2-a6ae-4f2e-b843-2ca36d7a40ee</t>
  </si>
  <si>
    <t>3a2c3b9f-3fda-4280-94d6-c12f62e90002</t>
  </si>
  <si>
    <t>4e8270e7-61c0-48c3-a336-670946210fa7</t>
  </si>
  <si>
    <t>781e1fa9-825f-4c06-a0c5-05c9d4e24eaf</t>
  </si>
  <si>
    <t>209d2036-f3ec-4b37-bfcd-888f11212e51</t>
  </si>
  <si>
    <t>72480f39-6efa-4763-8d7b-bd80003a1322</t>
  </si>
  <si>
    <t>646f52e9-4282-485a-8e27-045df5328295</t>
  </si>
  <si>
    <t>7ec05567-42dd-48b0-91be-48204998edcc</t>
  </si>
  <si>
    <t>2151b9fa-fd12-4ef7-936c-ea22fc2e4374</t>
  </si>
  <si>
    <t>175cbe5e-eb50-4650-af82-609b23e6411c</t>
  </si>
  <si>
    <t>a8f41fda-96be-4d83-815c-bc9f4524ac18</t>
  </si>
  <si>
    <t>d225c457-4d07-4fc8-921f-e63bcc610fac</t>
  </si>
  <si>
    <t>0dfe0d27-323f-493e-9765-b6931254fe27</t>
  </si>
  <si>
    <t>32366337-67b9-4c14-8755-d8f369bdd998</t>
  </si>
  <si>
    <t>approved by coach Bem</t>
  </si>
  <si>
    <t>4e712822-a81d-46ba-a2d0-473a629413ee</t>
  </si>
  <si>
    <t>7b5a42a5-0639-4fee-adfd-126dd5ae5839</t>
  </si>
  <si>
    <t>1916aead-30da-482d-90c1-05e8bd7b5f61</t>
  </si>
  <si>
    <t>c4cb3c81-4cc0-410c-968a-f89a242aeec2</t>
  </si>
  <si>
    <t>a710ddcc-60df-428c-94fc-e1c1f88ab47e</t>
  </si>
  <si>
    <t>3a0a72db-bb4a-4710-8c03-e638bf630e63</t>
  </si>
  <si>
    <t>f3d871a3-5224-4e0f-900b-577acc83db47</t>
  </si>
  <si>
    <t>3259cf85-6041-4f70-94ff-b0216671641a</t>
  </si>
  <si>
    <t>a29e7a17-8745-4aa4-bc94-c396693f19a7</t>
  </si>
  <si>
    <t>576e9ff2-e11c-4b28-83f6-8c9e9a6613aa</t>
  </si>
  <si>
    <t>088afd7d-464a-45e1-9906-b72d760a8207</t>
  </si>
  <si>
    <t>b224c599-b424-4e3e-bc08-500e84f7858d</t>
  </si>
  <si>
    <t>884c19b1-2b21-41b6-9117-d81bd029f8e8</t>
  </si>
  <si>
    <t>2dd15bb3-fe12-42a8-8b8b-864d249164ea</t>
  </si>
  <si>
    <t>17d6d1fe-3044-4e6a-906a-011f62068de7</t>
  </si>
  <si>
    <t>f6133a62-dc40-4eb4-a177-930c985eccc4</t>
  </si>
  <si>
    <t>88f591bc-4a5f-4804-b282-b641ca042131</t>
  </si>
  <si>
    <t>e24e5e10-cbbc-4465-8187-38fb1e5cd7f0</t>
  </si>
  <si>
    <t>7abf40ab-7339-4db9-9edc-369f367065c4</t>
  </si>
  <si>
    <t>2f35cf90-2310-426e-9426-49b528d27d5f</t>
  </si>
  <si>
    <t>61934406-ade9-49e9-a73c-122349cf9300</t>
  </si>
  <si>
    <t>b39d0a18-2eec-48f7-8bb7-cdda08f88375</t>
  </si>
  <si>
    <t>cfcd8053-f315-47ae-b3c5-ebefc8ad4255</t>
  </si>
  <si>
    <t>fa010cd2-d872-43cf-ba1b-d4654b6dbc31</t>
  </si>
  <si>
    <t>2fc866d4-e897-4def-a8cb-4d60583b1d77</t>
  </si>
  <si>
    <t>724060c5-3efb-4082-ba25-aab6b5d8459e</t>
  </si>
  <si>
    <t>483a7c24-e8d5-4dbf-bb05-d7d789063e29</t>
  </si>
  <si>
    <t>f4a98aea-fe23-4a5d-b910-92e556db0021</t>
  </si>
  <si>
    <t>7bd69515-37bb-4537-822c-cbfad0d4398b</t>
  </si>
  <si>
    <t>8bdf8816-08f5-4ed6-af2d-2118317a4606</t>
  </si>
  <si>
    <t>ce0ea5f0-04af-48a8-bd07-10aa11c0ecd8</t>
  </si>
  <si>
    <t>f1bb3e25-d18d-4814-867b-5a137b4a40ff</t>
  </si>
  <si>
    <t>b6fbed09-db4c-4545-8cd8-ac28d376809d</t>
  </si>
  <si>
    <t>3f2dcf02-a8b2-4889-87bd-14e776d05db7</t>
  </si>
  <si>
    <t>7e4a8caa-4137-4698-acb1-3356aa4bf0c5</t>
  </si>
  <si>
    <t>173fda68-cae9-4260-b641-d601217e0535</t>
  </si>
  <si>
    <t>66f288c5-2b41-4545-898d-2d89cf529943</t>
  </si>
  <si>
    <t>51126671-b3c4-4b9e-bd0f-d2b20b1e1ecb</t>
  </si>
  <si>
    <t>5b3b0f52-4383-4bcf-a3e3-922b5f710f01</t>
  </si>
  <si>
    <t>87ea8cc2-4d8a-4fe4-91f4-01f32cccd622</t>
  </si>
  <si>
    <t>e5e5d688-2492-4cfd-88e2-fa0af924917f</t>
  </si>
  <si>
    <t>4bfb6556-c7a7-4107-aeeb-1c9aa2eee7e0</t>
  </si>
  <si>
    <t>d4362445-5fd0-44b9-bf0a-ec45088c915f</t>
  </si>
  <si>
    <t>1a1f5e4d-32b0-4f7e-b51f-106846a7ef8a</t>
  </si>
  <si>
    <t>2facd32c-1bdd-41b8-8a00-4e9f3ab3f486</t>
  </si>
  <si>
    <t>79c4a988-d80a-4016-b096-b721ff663fed</t>
  </si>
  <si>
    <t>1e7ab1b3-679c-45ed-8d86-f9c70bb94d3e</t>
  </si>
  <si>
    <t>7fdd820f-fb14-4bee-9915-88fb60d5c309</t>
  </si>
  <si>
    <t>52c60572-f1c2-4b44-9c5d-eb63283050f0</t>
  </si>
  <si>
    <t>f941e337-af6f-4be7-9031-7d2cc41f1747</t>
  </si>
  <si>
    <t>21c52fa3-c899-4b2e-9bc2-1562917a6876</t>
  </si>
  <si>
    <t>f746a949-9e43-40b6-a6be-4c917cabe985</t>
  </si>
  <si>
    <t>997e5652-9371-4543-9a64-b0fbb98dc403</t>
  </si>
  <si>
    <t>7cc16839-aa9a-4f0d-a231-d327a329b401</t>
  </si>
  <si>
    <t>ebb42803-173c-489c-a811-21d76bc3c368</t>
  </si>
  <si>
    <t>89040bbf-08d8-4a77-8da0-3be2a684ba69</t>
  </si>
  <si>
    <t>9652c154-0d8d-4918-9cec-e27636fc2e6c</t>
  </si>
  <si>
    <t>4b16921e-9149-436b-beed-4aa4afbe38a8</t>
  </si>
  <si>
    <t>707cc646-c852-41f3-bede-19c774d48491</t>
  </si>
  <si>
    <t>467f8287-aa7b-4378-a18a-34921e80637d</t>
  </si>
  <si>
    <t>c6eb9d4b-72dc-45cc-b704-9e8f0df6d98e</t>
  </si>
  <si>
    <t>eadc4950-4fa4-4fe6-b849-ab41ce393a86</t>
  </si>
  <si>
    <t>5bd93bb4-74cd-402f-92ed-2b9e08081b20</t>
  </si>
  <si>
    <t>14bfbbad-8e93-41e9-b112-215c088cfa2d</t>
  </si>
  <si>
    <t>51690cd7-c6e5-4bf1-b5f4-e5cd1629f1ed</t>
  </si>
  <si>
    <t>67ab6742-c977-4291-96f4-78fe3bb36fa7</t>
  </si>
  <si>
    <t>c6b1f0e2-c97f-4610-9cc5-16cdb75db044</t>
  </si>
  <si>
    <t>311d85d6-ec4d-4ad5-8796-377eadde04a6</t>
  </si>
  <si>
    <t>a23d4f43-dc17-4af8-9fdc-183c79d544db</t>
  </si>
  <si>
    <t>25272a20-cc6a-46c5-9e35-e9fd710cf8da</t>
  </si>
  <si>
    <t>dafddc90-8cd7-4b19-a120-e75ae6ab7bbf</t>
  </si>
  <si>
    <t>c2403d53-90e7-4a70-99a8-7b44eaa15501</t>
  </si>
  <si>
    <t>97fe30aa-92d3-4424-9751-7d76ce905c5e</t>
  </si>
  <si>
    <t>9adbda1b-ccb1-43ef-84b8-a5d850e77a2e</t>
  </si>
  <si>
    <t>b73230b8-be04-4b2b-a824-a309ca730bf7</t>
  </si>
  <si>
    <t>dfe2d7a8-ab73-4f6a-b263-cd2d1df550f3</t>
  </si>
  <si>
    <t>357b3821-d1b9-423c-af6b-fde3d6af935d</t>
  </si>
  <si>
    <t>3597afaa-5d03-4a7e-b9f1-4a727bd99d2d</t>
  </si>
  <si>
    <t>47aecca0-ca94-4c7f-a04e-f6c71416dd33</t>
  </si>
  <si>
    <t>d83b2072-e725-42bd-810f-7efaf81703dc</t>
  </si>
  <si>
    <t>f423aa7e-e4c1-4cdc-bbbd-ee96b4f48084</t>
  </si>
  <si>
    <t>a02193df-0848-4615-bc0a-1053ca0a6e6e</t>
  </si>
  <si>
    <t>6b0db0f8-f8c8-43d5-aa4b-8f98f324660a</t>
  </si>
  <si>
    <t>d38e38fa-798a-4548-b81c-bb326c2705f2</t>
  </si>
  <si>
    <t>ab73d0c4-f27b-41d8-8063-fe3188f738c2</t>
  </si>
  <si>
    <t>e49b8e33-e8d7-4304-a092-b57f0b220bfa</t>
  </si>
  <si>
    <t>2632d4cb-7147-4bc9-97df-501f0c75fa73</t>
  </si>
  <si>
    <t>87d6ce77-f330-4b45-a78b-0119dbdcafac</t>
  </si>
  <si>
    <t>532cbe83-7d4a-4603-8326-fa32aaed38de</t>
  </si>
  <si>
    <t>7fac4eef-dbb1-4379-912f-dd8bfd101b75</t>
  </si>
  <si>
    <t>5b18fef4-2dec-45bd-b9ff-a5badcd59d7b</t>
  </si>
  <si>
    <t>d9ff0cd4-15de-4382-8ca1-0c8e0c539b5e</t>
  </si>
  <si>
    <t>0714ebcf-9db6-423b-9c5f-319fc7b6b59a</t>
  </si>
  <si>
    <t>16f25f10-6a50-4f8c-a65b-db391b0067b0</t>
  </si>
  <si>
    <t>307f7d5a-4a92-4495-92df-0c6c7f1f7fc6</t>
  </si>
  <si>
    <t>10c0637a-246c-4c3f-92f9-adb64022f58f</t>
  </si>
  <si>
    <t>b4771fd7-00a0-4d35-b348-9c4fb3143d61</t>
  </si>
  <si>
    <t>56863253-b3fc-402e-a388-7bbf14021630</t>
  </si>
  <si>
    <t>d6eddec6-9b74-4a8e-b4bd-c61d18ced7be</t>
  </si>
  <si>
    <t>a54ea039-2087-49fd-b8ff-e62cdf19385a</t>
  </si>
  <si>
    <t>848a5adf-af53-4e47-8749-e6cec5f3eff7</t>
  </si>
  <si>
    <t>55128dd9-9ef3-41a2-91a0-d93b7bf5e17c</t>
  </si>
  <si>
    <t>5869231b-9048-41f0-87c1-143045d3f47a</t>
  </si>
  <si>
    <t>ae78894b-de74-4747-8207-362d8554936a</t>
  </si>
  <si>
    <t>6d978290-6150-441e-a6cc-a0d556df1fef</t>
  </si>
  <si>
    <t>171cae47-15db-40c0-bb27-abb583efea72</t>
  </si>
  <si>
    <t>aa092904-834d-4c02-8779-44a64d35f5b4</t>
  </si>
  <si>
    <t>dd9ef765-4bab-4fd1-88f2-9a36c68b3118</t>
  </si>
  <si>
    <t>b18f8078-4317-4c68-8810-4e0b5f297d45</t>
  </si>
  <si>
    <t>e24f86c4-9cac-49cd-811b-1ba28ca679a6</t>
  </si>
  <si>
    <t>91dbef93-3704-49ae-aa37-d9dee42d9778</t>
  </si>
  <si>
    <t>84d732e5-7c98-4081-aee4-0cefa5b9ac26</t>
  </si>
  <si>
    <t>7e84a380-a70b-4f7f-b8a2-affd3d498739</t>
  </si>
  <si>
    <t>640a13dc-de3f-4c4e-a90d-0b25e3da140b</t>
  </si>
  <si>
    <t>4b0d4538-daf6-4191-979d-7b7a8fa79736</t>
  </si>
  <si>
    <t>c0a0142f-dc3b-483d-82d8-77a62822c71a</t>
  </si>
  <si>
    <t>dd51d12f-0dbd-4ee9-9fa0-de4be32c92b6</t>
  </si>
  <si>
    <t>4038c342-9d4b-4e05-b4be-fcd21785b018</t>
  </si>
  <si>
    <t>4b322ef2-73e8-4286-b936-2eece78798f0</t>
  </si>
  <si>
    <t>baaaf19f-feb0-4031-95f2-2135ad41db13</t>
  </si>
  <si>
    <t>ce7afe05-f461-454e-b98e-47994fd02c25</t>
  </si>
  <si>
    <t>b4c76263-0ca4-443a-9405-3f2c8a6c4ed2</t>
  </si>
  <si>
    <t>54ca2e5d-9c84-4abb-9cb6-f615aba6652d</t>
  </si>
  <si>
    <t>0c971eba-ad33-402d-a4d3-3371e00a139a</t>
  </si>
  <si>
    <t>27ff6330-38dd-40e5-b5d8-6e1f70367586</t>
  </si>
  <si>
    <t>19f11bc9-51a3-44d9-a897-bb67fa7bbcb3</t>
  </si>
  <si>
    <t>6c502688-d2bd-4f16-9b1a-029450192fd4</t>
  </si>
  <si>
    <t>1fc3d097-6668-42b2-ac15-3bd50f48cddd</t>
  </si>
  <si>
    <t>d2dc80d9-8f62-42aa-a00a-6b30f37869e2</t>
  </si>
  <si>
    <t>39c8dfe8-9e04-462c-867d-d77babce8517</t>
  </si>
  <si>
    <t>f680d4c8-b008-4bc7-be1b-ab97f377063c</t>
  </si>
  <si>
    <t>89c23f72-3c05-40bc-8c82-013c5e88a6eb</t>
  </si>
  <si>
    <t>723a578b-0e0c-442a-8677-bfe320a3ac60</t>
  </si>
  <si>
    <t>167a48ab-41ba-4a72-9a93-2c34993cbb14</t>
  </si>
  <si>
    <t>8023aedf-0acf-48fa-84de-2e3539744dce</t>
  </si>
  <si>
    <t>6fdd0e96-7cae-4b1a-8b52-7a3c4802ebbc</t>
  </si>
  <si>
    <t>b93a9e28-c2e6-49be-b0f4-94dc68ec45ec</t>
  </si>
  <si>
    <t>5eac1a34-0300-4f95-814a-c5f1866fc72b</t>
  </si>
  <si>
    <t>d6175c57-afa9-4001-8aff-1c23e04e5ac3</t>
  </si>
  <si>
    <t>4c65fe21-0a4f-4c90-bd01-37698bed7b5e</t>
  </si>
  <si>
    <t>a7e20377-b3c8-4f96-9aed-c598f5d3448d</t>
  </si>
  <si>
    <t>c297ca8e-c87d-472c-ba51-d957a3f8569a</t>
  </si>
  <si>
    <t>d3382d4c-e0c2-4242-872e-e84b997ea25f</t>
  </si>
  <si>
    <t>c869dfbf-d6fe-4aa2-81c5-67c1db7270a7</t>
  </si>
  <si>
    <t>9b264c73-6422-4ae6-b951-ec09e0f406c4</t>
  </si>
  <si>
    <t>5632729a-214a-41b7-a1b5-db7b49854b8c</t>
  </si>
  <si>
    <t>1c256bfb-cc0f-49c5-b400-916e283c914a</t>
  </si>
  <si>
    <t>92fa7c1b-bcd9-4de5-bb6c-6b93f5433840</t>
  </si>
  <si>
    <t>a88f7c7f-bfce-4dfd-a821-52b303c42825</t>
  </si>
  <si>
    <t>2620cb97-d82b-4f18-8132-681ac1e7484c</t>
  </si>
  <si>
    <t>9d2249f8-4927-44bf-8b0d-c445a678b00b</t>
  </si>
  <si>
    <t>99d9f3da-a162-4362-96e2-4c37d8638918</t>
  </si>
  <si>
    <t>ccfffc2a-6cd9-47f7-b148-0ba9750952aa</t>
  </si>
  <si>
    <t>d3d84b5b-dc55-4de6-a8e7-2aeccf4bb8fb</t>
  </si>
  <si>
    <t>9f75e2f7-bca4-44a3-a564-0e7c9fed6b2e</t>
  </si>
  <si>
    <t>ecbc3b2c-c4bf-4d4d-b034-1876f41008dc</t>
  </si>
  <si>
    <t>718c6ac9-4cd5-4a43-aa71-fbffae9692d1</t>
  </si>
  <si>
    <t>a9dc8773-a781-4641-82b1-da0edc3a4def</t>
  </si>
  <si>
    <t>622ec754-34dc-48ed-a082-812530c115d7</t>
  </si>
  <si>
    <t>a62cac79-56d7-40d9-b227-889d2366e861</t>
  </si>
  <si>
    <t>f3bfa595-9193-4eb7-a14a-2045e69040a5</t>
  </si>
  <si>
    <t>6c6cbe54-f17e-4f2f-af6d-57b111d884f6</t>
  </si>
  <si>
    <t>23265051-521b-47f5-91b4-af105a8580ba</t>
  </si>
  <si>
    <t>e2fc8f21-2155-4485-bf2a-3c5db97b3ece</t>
  </si>
  <si>
    <t>22a01d71-8599-45cd-a371-183ae98e00aa</t>
  </si>
  <si>
    <t>371b6712-d61a-4dbf-8245-a77a606212dd</t>
  </si>
  <si>
    <t>b549af6c-8738-4967-b9da-506704400158</t>
  </si>
  <si>
    <t>b410c33d-04e6-423f-a2a7-2c1555f7b63e</t>
  </si>
  <si>
    <t>dbb61553-1cf6-4d57-afdb-6988c5ff1692</t>
  </si>
  <si>
    <t>a7b574dd-de75-402e-a3ed-06a333fe2cc4</t>
  </si>
  <si>
    <t>acbecd83-6b22-4de4-aaac-c474cb67ef60</t>
  </si>
  <si>
    <t>da623c36-9381-4a73-a73c-bea18691b4ed</t>
  </si>
  <si>
    <t>d6c7380e-9f75-492d-98ac-802f6452fa78</t>
  </si>
  <si>
    <t>eba08c69-3e14-417a-afa5-477f3341edcb</t>
  </si>
  <si>
    <t>9403f669-e475-439a-8bc8-920261c246be</t>
  </si>
  <si>
    <t>17e6f74d-df4e-4fb7-9830-c50e36df704a</t>
  </si>
  <si>
    <t>a3177e94-f8b4-4905-b2ff-302570d17272</t>
  </si>
  <si>
    <t>c5e67c3e-6b88-41d2-9e39-40faf4180cc0</t>
  </si>
  <si>
    <t>94019e3e-f9e2-4527-aaee-a937cb47dd42</t>
  </si>
  <si>
    <t>914edd43-de54-4c73-9be8-814b62add33d</t>
  </si>
  <si>
    <t>d1d9b648-6195-473c-9a70-440850f3b183</t>
  </si>
  <si>
    <t>4930d095-f8d9-4328-8cd1-521cc6551b08</t>
  </si>
  <si>
    <t>bf260b7f-84c0-40f7-8e61-215c4bceddc0</t>
  </si>
  <si>
    <t>19493640-e168-4803-82ce-21841ee4d556</t>
  </si>
  <si>
    <t>cb655986-8e98-417e-a2b3-3db3a13141d9</t>
  </si>
  <si>
    <t>fe60bb7b-3d13-440e-8885-3168c48ca616</t>
  </si>
  <si>
    <t>c54a9d36-55b0-4c21-a5b5-ae84577297f9</t>
  </si>
  <si>
    <t>cf495b70-a5fa-4114-97dd-6b475ff78b75</t>
  </si>
  <si>
    <t>1b42b14f-03a3-49b7-9f2a-a0516d80b77d</t>
  </si>
  <si>
    <t>07de6ebd-3609-473b-b0f4-062434fbd7d3</t>
  </si>
  <si>
    <t>ea895132-5afc-458a-8fbe-3d54b445ebec</t>
  </si>
  <si>
    <t>0aaa4cf3-1e30-4795-b8b9-b1cea820c4df</t>
  </si>
  <si>
    <t>5346fc1b-d909-4574-93f9-9109b7fd8d83</t>
  </si>
  <si>
    <t>62c6858e-62b3-42ed-8acd-786d724717c9</t>
  </si>
  <si>
    <t>3c458214-3dba-4f6c-9a29-8a93cbc3af56</t>
  </si>
  <si>
    <t>33c784e6-aea5-4091-805a-dd78ceea0ea8</t>
  </si>
  <si>
    <t>419b0a26-de64-49e1-a036-8bfb016121ab</t>
  </si>
  <si>
    <t>45beb70c-be50-4231-9e1e-b154de266670</t>
  </si>
  <si>
    <t>5be6c643-1e67-41c6-ad97-68c0288c4ef4</t>
  </si>
  <si>
    <t>f3ca4385-5e2f-44ad-9e11-24ab627b74f8</t>
  </si>
  <si>
    <t>be061f7c-1d44-4304-91ef-5c455fd488ef</t>
  </si>
  <si>
    <t>27a5df02-c602-462d-9d5d-b921ce493237</t>
  </si>
  <si>
    <t>f72ad34f-0d91-4dda-95f1-64f4fd705d82</t>
  </si>
  <si>
    <t>20353d70-436a-4f4c-89e3-873197bbff8d</t>
  </si>
  <si>
    <t>6bfa2d0a-3f14-4471-9ea2-473a1c417723</t>
  </si>
  <si>
    <t>0fa70934-db3c-4835-ad2e-f80645a243df</t>
  </si>
  <si>
    <t>03fe2d6e-3b09-4c10-a2e3-61c7cb14ff4e</t>
  </si>
  <si>
    <t>508cc913-9f36-409a-9631-0661b317225d</t>
  </si>
  <si>
    <t>d6f35f0b-9434-4089-8a83-825d9fe08d8d</t>
  </si>
  <si>
    <t>50242dfe-be40-4c53-bda1-67a190bbbf13</t>
  </si>
  <si>
    <t>6c1f49b0-c3ef-4bd3-9886-9c971df17d9d</t>
  </si>
  <si>
    <t>efcc4a8f-e856-4a36-8c8a-176b24d7416f</t>
  </si>
  <si>
    <t>1dc4a07c-dc97-4170-86b6-4efdd21c6cea</t>
  </si>
  <si>
    <t>4ffce38c-eaf8-4461-9114-30f9d54bb227</t>
  </si>
  <si>
    <t>3211d31e-9986-4f15-a210-19f58d17b647</t>
  </si>
  <si>
    <t>783889dc-f459-4f2e-a3d6-3b42a52a4767</t>
  </si>
  <si>
    <t>56c0c27e-b094-4941-b2a5-9efa4a3d4482</t>
  </si>
  <si>
    <t>10d125ab-d595-4481-8890-b56e158067d9</t>
  </si>
  <si>
    <t>b373891f-16a5-43b4-a9fb-d72579360f32</t>
  </si>
  <si>
    <t>f8c9d1ca-00d9-42a5-b396-7984bdeefad5</t>
  </si>
  <si>
    <t>3fddb8b8-335b-4df9-9f5b-69d3da0a127c</t>
  </si>
  <si>
    <t>07229fc8-be50-498d-a7f1-e2b78d3d471e</t>
  </si>
  <si>
    <t>bc443a4d-5649-4834-b769-7c0e71b62b2d</t>
  </si>
  <si>
    <t>e5a345b0-c664-4aea-bb5c-6fb7747e17d2</t>
  </si>
  <si>
    <t>dec68a79-cd71-4baf-ac9c-617095c52548</t>
  </si>
  <si>
    <t>6541cb55-d67f-4167-82d0-2e2d8aef163a</t>
  </si>
  <si>
    <t>f3550d18-1e1e-4242-a86b-3761ae14a73b</t>
  </si>
  <si>
    <t>60757964-ffa6-4abf-be57-e87ff54912ac</t>
  </si>
  <si>
    <t>72cb16d4-e80c-4235-9805-4b5b79b455e3</t>
  </si>
  <si>
    <t>d34e8d47-8dbc-4efd-b37d-733fbd6577ec</t>
  </si>
  <si>
    <t>f418054f-66d7-4e3a-b261-e39e64a2089d</t>
  </si>
  <si>
    <t>36ca157f-9880-49ca-8ef4-214ab371d7f4</t>
  </si>
  <si>
    <t>47a2e194-02f7-4a64-938d-789a46dbc715</t>
  </si>
  <si>
    <t>f6cad158-78fa-4992-af2b-5464664d506e</t>
  </si>
  <si>
    <t>e5bb583c-182d-42e1-a4b4-24f2e52f4a11</t>
  </si>
  <si>
    <t>95207596-bd3f-4967-87f6-2cfdba0835f7</t>
  </si>
  <si>
    <t>e52c4fd6-5118-4672-af7a-1292e9fa6585</t>
  </si>
  <si>
    <t>47f21bf6-9fd9-49f1-9807-cc13ef02c41a</t>
  </si>
  <si>
    <t>39fb1118-57a5-4cea-be19-24b7122ab52a</t>
  </si>
  <si>
    <t>Holiday Vacation
WFM deferred to Coach Bem for approval &gt;&gt;&gt;https://canva.enterprise.slack.com/archives/C05A76H5FUM/p1763961650974269</t>
  </si>
  <si>
    <t>003312ce-1c70-452e-850e-b3c064b1f21f</t>
  </si>
  <si>
    <t>490d12be-91e3-4158-9074-e8d307936f1f</t>
  </si>
  <si>
    <t>748f64a3-e616-4bf5-9705-8ee9f606734b</t>
  </si>
  <si>
    <t>983084f8-8ea3-437f-9b6f-203878fa1153</t>
  </si>
  <si>
    <t>e362478e-a3c0-4e92-9035-d7db9306b773</t>
  </si>
  <si>
    <t>79272d63-b2c5-44fe-b102-07ad42bcc57a</t>
  </si>
  <si>
    <t>07871887-6c62-4929-89b2-76ae6b3a43c0</t>
  </si>
  <si>
    <t>676de628-3589-4ccb-b165-65a7262bcf86</t>
  </si>
  <si>
    <t>d5c050dc-62d6-4a8d-b0f3-26bee8618040</t>
  </si>
  <si>
    <t>addbea53-905c-4c0a-aea4-1af35f620a3a</t>
  </si>
  <si>
    <t>acb55894-b80c-4fed-bcc6-c8dcd6495681</t>
  </si>
  <si>
    <t>7cccd04e-d7e7-406d-8d1a-47ba0047fbfc</t>
  </si>
  <si>
    <t>6d738e1b-0994-45a2-9b8b-f354756738f7</t>
  </si>
  <si>
    <t>61737f02-68d7-4186-8289-cf68dccfe595</t>
  </si>
  <si>
    <t>6d69d5c8-3e6a-4606-b9db-ff7d292e0de1</t>
  </si>
  <si>
    <t>1dfe0404-d12d-48f8-a7a4-aeb9e0eba209</t>
  </si>
  <si>
    <t>Holiday vacation leave
WFM deferred to Coach Bem for approval &gt;&gt;&gt;https://canva.enterprise.slack.com/archives/C05A76H5FUM/p1763961782849979</t>
  </si>
  <si>
    <t>93da030d-e958-4a8f-a8a7-39982416fef7</t>
  </si>
  <si>
    <t>9068ceef-38a5-41a0-9d9c-7f7292e65a44</t>
  </si>
  <si>
    <t>f78e5583-4bfd-420d-bd91-26a3135214ab</t>
  </si>
  <si>
    <t>e6f4057d-8689-4c83-ac64-f1cc695181f9</t>
  </si>
  <si>
    <t>67485a7a-24e3-473e-9b24-72212e0a170f</t>
  </si>
  <si>
    <t>cdc09466-bf9f-45cb-ae3f-965da50ecf1b</t>
  </si>
  <si>
    <t>ddc0f461-ae3c-4389-9f79-b0f54d59a554</t>
  </si>
  <si>
    <t>b8197f45-0734-46ce-98af-9d5ab80a8f0b</t>
  </si>
  <si>
    <t>Adjusting lunch due to medicine intake</t>
  </si>
  <si>
    <t>34d59e65-bdf4-4313-ae7c-e4b0e1499360</t>
  </si>
  <si>
    <t>f377507c-b11f-450c-8baa-592d63ea3db5</t>
  </si>
  <si>
    <t>Personal
WFM deferred to Coach Bem for approval &gt;&gt;&gt;https://canva.enterprise.slack.com/archives/C05A76H5FUM/p1764556746078579</t>
  </si>
  <si>
    <t>14b2d5ea-d93e-4888-84ea-ad09f6369629</t>
  </si>
  <si>
    <t>06db532f-a009-4f0c-aff9-32cba4c06281</t>
  </si>
  <si>
    <t>5396155e-34a9-447e-832c-1e74d094c39e</t>
  </si>
  <si>
    <t>cf19ba45-9bb7-4f40-bf5c-2ab2ed66edb2</t>
  </si>
  <si>
    <t>d5a0023d-a432-41c8-8c19-d115ffec4f22</t>
  </si>
  <si>
    <t>5abc4cd1-fa1f-4270-8772-d7221ca8e4c3</t>
  </si>
  <si>
    <t>3491d396-f64c-4633-b62d-0415326a3fec</t>
  </si>
  <si>
    <t>9ec66e1b-d202-4af3-adab-1b9abdbf7a2c</t>
  </si>
  <si>
    <t>795c67ff-c635-4b65-8572-8f59c349c276</t>
  </si>
  <si>
    <t>57a1135a-bb6a-4e73-9874-5c0e0e91f999</t>
  </si>
  <si>
    <t>8fd8001c-9bb5-4d46-a5f2-79d563bbecd9</t>
  </si>
  <si>
    <t>f579bdf1-f75b-413f-b2b8-9c8e91237403</t>
  </si>
  <si>
    <t>067f00ad-d334-4ba5-a797-64e0a8459fbf</t>
  </si>
  <si>
    <t>2527dad3-313a-4190-90e8-20c251d263db</t>
  </si>
  <si>
    <t>d027b998-f1f4-448d-8a7c-e0744d1c69fc</t>
  </si>
  <si>
    <t>68499e3c-141b-4463-bf5d-300ac52a48f5</t>
  </si>
  <si>
    <t>bb4f722a-2a93-4a4c-a08b-b21f56df6a29</t>
  </si>
  <si>
    <t>23c5af30-c200-495c-aebe-497ed6ead3ed</t>
  </si>
  <si>
    <t>49e92635-66aa-46c7-9fa9-eeb96d53b46e</t>
  </si>
  <si>
    <t>a8974c48-a97d-45ae-8d0e-5d0a014a792c</t>
  </si>
  <si>
    <t>30fbddfa-1b53-43b0-ba62-35e52f699f94</t>
  </si>
  <si>
    <t>d8ef1764-608e-4186-a751-eb0728e27136</t>
  </si>
  <si>
    <t>2943f39f-4633-4358-8220-28ff1f98aaee</t>
  </si>
  <si>
    <t>7dcceae4-bc2b-4e9c-9e2a-a198d4e7a589</t>
  </si>
  <si>
    <t>66593107-b778-4604-930a-65a66181c658</t>
  </si>
  <si>
    <t>6237e891-806b-4807-9a74-133d0875e05e</t>
  </si>
  <si>
    <t>e0edc245-8fa7-44ea-b6e9-87b9f2100eb1</t>
  </si>
  <si>
    <t>8da30778-5420-4228-b9a7-bbe594b3cd88</t>
  </si>
  <si>
    <t>e8f949ca-030b-4382-8eee-3d4b3f829673</t>
  </si>
  <si>
    <t>6aedea78-5a20-46f6-892b-dd7c25286afe</t>
  </si>
  <si>
    <t>6e1459fd-a79c-4e06-adda-aab0517337aa</t>
  </si>
  <si>
    <t>a72f6f4e-5dfe-43fb-b079-077ab0a7cd69</t>
  </si>
  <si>
    <t>ff9040c6-3003-457b-bb71-512db3df4eb2</t>
  </si>
  <si>
    <t>208c204e-f96d-4284-a493-a0c8584810e3</t>
  </si>
  <si>
    <t>5820e00a-ed92-4893-ae37-f769789d36ee</t>
  </si>
  <si>
    <t>dc6b4b6f-db26-4548-a2c8-cbec786bebed</t>
  </si>
  <si>
    <t>083e1048-b9ba-4173-b745-ffbb6694bd64</t>
  </si>
  <si>
    <t>58b0c0f7-ac0d-431c-82c7-2fd0a57cbe4f</t>
  </si>
  <si>
    <t>9922ab81-f5ca-4814-83c4-0558b090a5ea</t>
  </si>
  <si>
    <t>89413186-9958-4bbb-a73b-c8277c72273a</t>
  </si>
  <si>
    <t>ce0cb819-4a94-454a-888e-1f55f5d66ea5</t>
  </si>
  <si>
    <t>592e304c-5f7c-4331-b7cf-30c1b638d726</t>
  </si>
  <si>
    <t>2aa8c485-542a-4e8c-ad34-742f5740cd20</t>
  </si>
  <si>
    <t>16d2f650-228e-4915-a989-3cebd08c7a36</t>
  </si>
  <si>
    <t>34188ed3-2d38-4a71-a16e-2463e81599c1</t>
  </si>
  <si>
    <t>970b7943-62b7-414c-bd28-afce7f4ca702</t>
  </si>
  <si>
    <t>fac8869f-ae92-465c-82f6-a74fecc814af</t>
  </si>
  <si>
    <t>f5101de8-9f79-4891-9a56-4d727de8333f</t>
  </si>
  <si>
    <t>285693b1-642a-4c33-8062-4892fb8e1e48</t>
  </si>
  <si>
    <t>36bb3966-13f0-4c61-9418-91f09cfb20e2</t>
  </si>
  <si>
    <t>4a779514-fe07-4590-a954-b350f3b5b1af</t>
  </si>
  <si>
    <t>0735b602-8deb-4101-ba6a-5706ee433737</t>
  </si>
  <si>
    <t>e7844680-0e26-4e69-9221-2b060b11ea9a</t>
  </si>
  <si>
    <t>b6324063-d83a-4d70-872d-629ea3f321ee</t>
  </si>
  <si>
    <t>e333ee98-00e2-4294-8061-2cd0d2dcbcc0</t>
  </si>
  <si>
    <t>fbf47acb-010b-491d-ba0b-86bd92434be7</t>
  </si>
  <si>
    <t>3225b805-9629-47e8-a279-f94e12232334</t>
  </si>
  <si>
    <t>861518de-b549-492c-a3af-0b73c5eda06e</t>
  </si>
  <si>
    <t>815e7591-5bb8-4bf1-be71-ebb93afb8e55</t>
  </si>
  <si>
    <t>e475036c-cc2a-46b1-abf6-22ddaa5284af</t>
  </si>
  <si>
    <t>f9df44e7-b9dd-4df6-893d-4da61f30e07a</t>
  </si>
  <si>
    <t>027b058b-47b3-4f15-b429-79051b238ee6</t>
  </si>
  <si>
    <t>1857b275-3802-4633-a690-3febf2f5093a</t>
  </si>
  <si>
    <t>CPSET SYNC</t>
  </si>
  <si>
    <t>e844f384-a81f-4407-8b61-a2ad6ba03895</t>
  </si>
  <si>
    <t>6ecc4a06-64fb-45eb-9d5e-ddddcec9c1aa</t>
  </si>
  <si>
    <t>2d74e1cb-4252-40ad-8734-c1015fe503e9</t>
  </si>
  <si>
    <t>c48c7c80-9bd2-436e-9457-5b76efed5d29</t>
  </si>
  <si>
    <t>bb7e88a3-b95f-47b0-a2fe-5415ab9d06a7</t>
  </si>
  <si>
    <t>2273c7e0-42d4-47af-9efd-cc0b46a50336</t>
  </si>
  <si>
    <t>fbbd968b-6d77-4c3c-8f2f-b6f73fb389f2</t>
  </si>
  <si>
    <t>027081f2-61fd-4049-81c6-6a0a1cec41e8</t>
  </si>
  <si>
    <t>88550fe0-4b9d-43b6-9d3b-123c6143c12f</t>
  </si>
  <si>
    <t>64be8c9e-0b63-469c-8022-c6c2ead4b130</t>
  </si>
  <si>
    <t>cc514f8e-24e0-4df2-aca7-cc0d67724a11</t>
  </si>
  <si>
    <t>367d7d43-519d-4a67-86ab-ddf8025210e7</t>
  </si>
  <si>
    <t>a2ba9955-756b-45fe-9727-eded0eeab647</t>
  </si>
  <si>
    <t>de577118-599f-4b7b-ac13-a4359cb9d25c</t>
  </si>
  <si>
    <t>cece7e7f-407c-4ea8-b284-6fea8b004633</t>
  </si>
  <si>
    <t>5a41d81f-88c6-40f5-b73f-036dd00210ed</t>
  </si>
  <si>
    <t>3e818dc3-c7c1-4a79-a22d-e8f9f396fb28</t>
  </si>
  <si>
    <t>6909ff16-eb34-49a2-96dd-fd222a810697</t>
  </si>
  <si>
    <t>1bc79927-16d9-4bc5-9f3a-1b909d0faff7</t>
  </si>
  <si>
    <t>83326d60-3aed-4881-9bc9-e5b1d7a9d1f4</t>
  </si>
  <si>
    <t>a0f99275-5016-47a1-b4c6-50a5842932b4</t>
  </si>
  <si>
    <t>6a5f6745-dd83-43b8-8a77-80840f393e08</t>
  </si>
  <si>
    <t>ca65ab02-342d-429d-bfa9-b825b8eb4e46</t>
  </si>
  <si>
    <t>2cc0be13-34ab-4b38-b1b0-6347d85a2108</t>
  </si>
  <si>
    <t>13c6968a-1445-4ce6-a666-a7ad5fc16ae1</t>
  </si>
  <si>
    <t>dd3c0df1-dcec-4e00-8e01-82f7b0d66e39</t>
  </si>
  <si>
    <t>7390ca12-e5e9-4626-afec-e5ee8b4e6897</t>
  </si>
  <si>
    <t>5321cfa0-bc2a-4fb9-84c9-1c35fc00f740</t>
  </si>
  <si>
    <t>01575c27-0b6e-48c5-8423-fb51e0d873f6</t>
  </si>
  <si>
    <t>a8eb4a5f-92b8-4b3e-a24f-d3efe22c36df</t>
  </si>
  <si>
    <t>6f14d0f2-0f58-410c-acce-662714065a59</t>
  </si>
  <si>
    <t>7ddbe556-850d-4c7c-82c3-4b0895997e4b</t>
  </si>
  <si>
    <t>ba664bba-15df-473a-8b21-1ed3cf1df8f3</t>
  </si>
  <si>
    <t>56f9fac2-ff18-4d6f-9252-f04df0c7040c</t>
  </si>
  <si>
    <t>729e6706-62cc-409b-8cfc-7aad9b23842a</t>
  </si>
  <si>
    <t>4426eda2-d1aa-4d0f-933e-f78ff9a451b6</t>
  </si>
  <si>
    <t>52c4436e-d8c9-4b8b-b788-27bed2da31f9</t>
  </si>
  <si>
    <t>55acd707-d797-428c-a086-5827dd0d299d</t>
  </si>
  <si>
    <t>b0c13977-b207-4ad2-a9e4-141439368928</t>
  </si>
  <si>
    <t>a429e80f-6a35-499a-8262-27b85d45af3e</t>
  </si>
  <si>
    <t>f701b2e5-2131-49e1-ac35-2a1688c122eb</t>
  </si>
  <si>
    <t>bf37418d-d1c7-4c3b-8ec7-44728e446220</t>
  </si>
  <si>
    <t>51c11d8b-0db4-4a46-914d-b45571cc4238</t>
  </si>
  <si>
    <t>8b524357-1761-4a14-b49e-c35f2cfff77e</t>
  </si>
  <si>
    <t>ac8faeba-83ac-4d58-9106-ffa8b4263640</t>
  </si>
  <si>
    <t>ccbab195-47c4-441d-8889-25e06ceab628</t>
  </si>
  <si>
    <t>d2704f15-1067-432c-bfad-bdf0b626fae9</t>
  </si>
  <si>
    <t>a625ea4e-de96-4ea6-be63-52a169e0dfa7</t>
  </si>
  <si>
    <t>1b42c055-d6dc-4844-b5f9-184bddbae5a9</t>
  </si>
  <si>
    <t>ea286c49-67c2-414e-856b-7bff5a95a2ea</t>
  </si>
  <si>
    <t>ea3a46e6-d904-4f30-90f2-e538e61cca38</t>
  </si>
  <si>
    <t>42975049-2d44-4f81-8ece-caeb134a6592</t>
  </si>
  <si>
    <t>633060ca-9b69-4e5e-96a8-a9da1d9ab7b3</t>
  </si>
  <si>
    <t>608efff5-e224-4ed9-bc6d-0074ab2291a8</t>
  </si>
  <si>
    <t>ef33070a-2d00-4ceb-a595-e2714381030b</t>
  </si>
  <si>
    <t>273d272f-b55a-4e0f-9d5a-4d9f618a0863</t>
  </si>
  <si>
    <t>fd7b4be7-b057-4019-9d5a-805005d2192e</t>
  </si>
  <si>
    <t>de01f2bc-177a-4f53-837b-e242ba019db4</t>
  </si>
  <si>
    <t>d43ec9c1-3563-48b8-b316-49635d5f4d4d</t>
  </si>
  <si>
    <t>5fd531ac-91bd-4226-9ee8-89ad3b7021fd</t>
  </si>
  <si>
    <t>df1c5c66-4bee-4202-8f92-2479f5d6d57a</t>
  </si>
  <si>
    <t>31827995-5c19-4a0e-99bc-14c371ea934b</t>
  </si>
  <si>
    <t>7a89dd75-2ae0-42c2-808d-3501454d9b81</t>
  </si>
  <si>
    <t>227bfe29-d044-4074-b0df-c0612d35e270</t>
  </si>
  <si>
    <t>a40d70cc-65cb-4f32-b897-cb3ae0e79d2b</t>
  </si>
  <si>
    <t>19f94255-0bfd-48b4-bd61-77ea08a24c87</t>
  </si>
  <si>
    <t>57e39b9e-53c5-4fb1-923a-4f85526dafa3</t>
  </si>
  <si>
    <t>3aa97421-621e-482a-9de3-25466632eb8d</t>
  </si>
  <si>
    <t>423d551f-0f15-4dca-af6d-a6f9438382d2</t>
  </si>
  <si>
    <t>aa72c11b-ffe3-4900-bddd-3bba31f10f92</t>
  </si>
  <si>
    <t>ec2d91d1-5b4d-4e58-8f15-56af44825783</t>
  </si>
  <si>
    <t>cd063c02-45a3-4359-ab96-f979a1692a61</t>
  </si>
  <si>
    <t>2420500c-b506-4c3e-ac02-10fbe9a7b655</t>
  </si>
  <si>
    <t>d7ec22fc-8c0d-4f06-8e7b-60fd682b6e03</t>
  </si>
  <si>
    <t>ab3a219a-11f6-40fa-8406-ae276c9ac549</t>
  </si>
  <si>
    <t>dba243e5-7db1-44f2-bdc4-e34a22892801</t>
  </si>
  <si>
    <t>735ec436-0a62-4399-87ae-40f27a73ad90</t>
  </si>
  <si>
    <t>a0e52bd4-c338-42d6-b5b6-2c45179278db</t>
  </si>
  <si>
    <t>83c0a9a8-25fb-4196-86de-de65d55bb2ff</t>
  </si>
  <si>
    <t>2f543498-54bc-4cb3-91ce-b808d8e4754d</t>
  </si>
  <si>
    <t>c33407ec-494a-44ef-b9ab-acbc4de9e3c2</t>
  </si>
  <si>
    <t>98e8455a-513f-4176-b110-e28ca2e51553</t>
  </si>
  <si>
    <t>.5 SL</t>
  </si>
  <si>
    <t>0d099d4e-59a8-4fab-ab17-6f77ddfd2477</t>
  </si>
  <si>
    <t>828c91f6-272f-4f33-af50-2d8e3f611636</t>
  </si>
  <si>
    <t>ca30bb8b-319a-4931-ba63-75f7bdf80aca</t>
  </si>
  <si>
    <t>7cd86dbb-a27b-4729-80d2-1b0477034c7b</t>
  </si>
  <si>
    <t>1 VPS Training (Watch Recording)</t>
  </si>
  <si>
    <t>18c4cf18-aeb3-494c-897b-740e25f1f9d4</t>
  </si>
  <si>
    <t>f640e7ab-4254-4134-b49b-50761ab6f80c</t>
  </si>
  <si>
    <t>52901b81-cba6-4727-98c7-7aaec166512e</t>
  </si>
  <si>
    <t>a7bb39d5-e04f-4b2f-bfc5-d5887fb6dd34</t>
  </si>
  <si>
    <t>5b3cfd01-2a42-45ee-b459-7c1cdea2b45f</t>
  </si>
  <si>
    <t>73b48892-5a61-41e2-8c1c-f8350e14cf95</t>
  </si>
  <si>
    <t>SOURCE</t>
  </si>
  <si>
    <t>VHC Report Template_2024-2025</t>
  </si>
  <si>
    <t>RANGE</t>
  </si>
  <si>
    <t>Data as of</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</si>
</sst>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quot;-&quot;mmm&quot;-&quot;yyyy"/>
    <numFmt numFmtId="165" formatCode="yyyy&quot; &quot;mmm&quot; &quot;dd"/>
    <numFmt numFmtId="166" formatCode="m"/>
    <numFmt numFmtId="167" formatCode="yyyy-mm-dd h:mm:ss"/>
    <numFmt numFmtId="168" formatCode="dd&quot; &quot;mmm&quot; &quot;yyyy"/>
  </numFmts>
  <fonts count="13">
    <font>
      <sz val="10.0"/>
      <color rgb="FF000000"/>
      <name val="Arial"/>
      <scheme val="minor"/>
    </font>
    <font>
      <color theme="1"/>
      <name val="Arial"/>
      <scheme val="minor"/>
    </font>
    <font>
      <color theme="1"/>
      <name val="Arial"/>
    </font>
    <font>
      <b/>
      <color rgb="FFFFFFFF"/>
      <name val="Arial"/>
    </font>
    <font>
      <b/>
      <color theme="1"/>
      <name val="Arial"/>
    </font>
    <font>
      <b/>
      <color rgb="FFFFFFFF"/>
      <name val="Arial"/>
      <scheme val="minor"/>
    </font>
    <font>
      <b/>
      <color theme="1"/>
      <name val="Arial"/>
      <scheme val="minor"/>
    </font>
    <font>
      <sz val="9.0"/>
      <color theme="1"/>
      <name val="Arial"/>
      <scheme val="minor"/>
    </font>
    <font>
      <u/>
      <sz val="9.0"/>
      <color rgb="FF0000FF"/>
    </font>
    <font>
      <u/>
      <color rgb="FF0000FF"/>
    </font>
    <font>
      <b/>
      <sz val="9.0"/>
      <color theme="1"/>
      <name val="Arial"/>
    </font>
    <font>
      <u/>
      <sz val="9.0"/>
      <color theme="1"/>
      <name val="Arial"/>
    </font>
    <font>
      <sz val="9.0"/>
      <color theme="1"/>
      <name val="Arial"/>
    </font>
  </fonts>
  <fills count="7">
    <fill>
      <patternFill patternType="none"/>
    </fill>
    <fill>
      <patternFill patternType="lightGray"/>
    </fill>
    <fill>
      <patternFill patternType="solid">
        <fgColor rgb="FFFFFF00"/>
        <bgColor rgb="FFFFFF00"/>
      </patternFill>
    </fill>
    <fill>
      <patternFill patternType="solid">
        <fgColor rgb="FF4A86E8"/>
        <bgColor rgb="FF4A86E8"/>
      </patternFill>
    </fill>
    <fill>
      <patternFill patternType="solid">
        <fgColor rgb="FF6AA84F"/>
        <bgColor rgb="FF6AA84F"/>
      </patternFill>
    </fill>
    <fill>
      <patternFill patternType="solid">
        <fgColor rgb="FFEFEFEF"/>
        <bgColor rgb="FFEFEFEF"/>
      </patternFill>
    </fill>
    <fill>
      <patternFill patternType="solid">
        <fgColor rgb="FFD9D9D9"/>
        <bgColor rgb="FFD9D9D9"/>
      </patternFill>
    </fill>
  </fills>
  <borders count="1">
    <border/>
  </borders>
  <cellStyleXfs count="1">
    <xf borderId="0" fillId="0" fontId="0" numFmtId="0" applyAlignment="1" applyFont="1"/>
  </cellStyleXfs>
  <cellXfs count="59">
    <xf borderId="0" fillId="0" fontId="0" numFmtId="0" xfId="0" applyAlignment="1" applyFont="1">
      <alignment readingOrder="0" shrinkToFit="0" vertical="bottom" wrapText="0"/>
    </xf>
    <xf borderId="0" fillId="0" fontId="1" numFmtId="0" xfId="0" applyFont="1"/>
    <xf borderId="0" fillId="0" fontId="1" numFmtId="4" xfId="0" applyFont="1" applyNumberFormat="1"/>
    <xf borderId="0" fillId="2" fontId="1" numFmtId="0" xfId="0" applyFill="1" applyFont="1"/>
    <xf borderId="0" fillId="0" fontId="1" numFmtId="164" xfId="0" applyFont="1" applyNumberFormat="1"/>
    <xf borderId="0" fillId="0" fontId="1" numFmtId="10" xfId="0" applyFont="1" applyNumberFormat="1"/>
    <xf borderId="0" fillId="2" fontId="2" numFmtId="0" xfId="0" applyAlignment="1" applyFont="1">
      <alignment shrinkToFit="0" vertical="center" wrapText="1"/>
    </xf>
    <xf borderId="0" fillId="2" fontId="2" numFmtId="165" xfId="0" applyAlignment="1" applyFont="1" applyNumberFormat="1">
      <alignment horizontal="center" shrinkToFit="0" vertical="center" wrapText="1"/>
    </xf>
    <xf borderId="0" fillId="0" fontId="2" numFmtId="0" xfId="0" applyAlignment="1" applyFont="1">
      <alignment horizontal="center" shrinkToFit="0" vertical="center" wrapText="1"/>
    </xf>
    <xf borderId="0" fillId="0" fontId="1" numFmtId="0" xfId="0" applyAlignment="1" applyFont="1">
      <alignment shrinkToFit="0" vertical="center" wrapText="1"/>
    </xf>
    <xf borderId="0" fillId="2" fontId="2" numFmtId="0" xfId="0" applyAlignment="1" applyFont="1">
      <alignment readingOrder="0" shrinkToFit="0" vertical="center" wrapText="1"/>
    </xf>
    <xf borderId="0" fillId="2" fontId="2" numFmtId="166" xfId="0" applyAlignment="1" applyFont="1" applyNumberFormat="1">
      <alignment horizontal="center" shrinkToFit="0" vertical="center" wrapText="1"/>
    </xf>
    <xf borderId="0" fillId="0" fontId="2" numFmtId="0" xfId="0" applyAlignment="1" applyFont="1">
      <alignment shrinkToFit="0" vertical="center" wrapText="1"/>
    </xf>
    <xf borderId="0" fillId="3" fontId="3" numFmtId="0" xfId="0" applyAlignment="1" applyFill="1" applyFont="1">
      <alignment readingOrder="0" shrinkToFit="0" vertical="center" wrapText="1"/>
    </xf>
    <xf borderId="0" fillId="0" fontId="4" numFmtId="0" xfId="0" applyAlignment="1" applyFont="1">
      <alignment horizontal="center" shrinkToFit="0" vertical="center" wrapText="1"/>
    </xf>
    <xf borderId="0" fillId="0" fontId="4" numFmtId="10" xfId="0" applyAlignment="1" applyFont="1" applyNumberFormat="1">
      <alignment horizontal="center" shrinkToFit="0" vertical="center" wrapText="1"/>
    </xf>
    <xf borderId="0" fillId="0" fontId="4" numFmtId="0" xfId="0" applyAlignment="1" applyFont="1">
      <alignment shrinkToFit="0" vertical="center" wrapText="1"/>
    </xf>
    <xf borderId="0" fillId="0" fontId="4" numFmtId="2" xfId="0" applyAlignment="1" applyFont="1" applyNumberFormat="1">
      <alignment horizontal="center" shrinkToFit="0" vertical="center" wrapText="1"/>
    </xf>
    <xf borderId="0" fillId="0" fontId="4" numFmtId="9" xfId="0" applyAlignment="1" applyFont="1" applyNumberFormat="1">
      <alignment horizontal="center" shrinkToFit="0" vertical="center" wrapText="1"/>
    </xf>
    <xf borderId="0" fillId="0" fontId="2" numFmtId="2" xfId="0" applyAlignment="1" applyFont="1" applyNumberFormat="1">
      <alignment horizontal="center" shrinkToFit="0" vertical="center" wrapText="1"/>
    </xf>
    <xf borderId="0" fillId="0" fontId="2" numFmtId="10" xfId="0" applyAlignment="1" applyFont="1" applyNumberFormat="1">
      <alignment horizontal="center" shrinkToFit="0" vertical="center" wrapText="1"/>
    </xf>
    <xf borderId="0" fillId="0" fontId="1" numFmtId="0" xfId="0" applyAlignment="1" applyFont="1">
      <alignment horizontal="center" shrinkToFit="0" vertical="center" wrapText="1"/>
    </xf>
    <xf borderId="0" fillId="4" fontId="5" numFmtId="0" xfId="0" applyAlignment="1" applyFill="1" applyFont="1">
      <alignment readingOrder="0" shrinkToFit="0" vertical="center" wrapText="1"/>
    </xf>
    <xf borderId="0" fillId="0" fontId="6" numFmtId="0" xfId="0" applyAlignment="1" applyFont="1">
      <alignment readingOrder="0" shrinkToFit="0" vertical="center" wrapText="1"/>
    </xf>
    <xf borderId="0" fillId="0" fontId="1" numFmtId="0" xfId="0" applyAlignment="1" applyFont="1">
      <alignment readingOrder="0" shrinkToFit="0" vertical="center" wrapText="1"/>
    </xf>
    <xf borderId="0" fillId="5" fontId="1" numFmtId="0" xfId="0" applyAlignment="1" applyFill="1" applyFont="1">
      <alignment shrinkToFit="0" vertical="center" wrapText="1"/>
    </xf>
    <xf borderId="0" fillId="5" fontId="1" numFmtId="10" xfId="0" applyAlignment="1" applyFont="1" applyNumberFormat="1">
      <alignment shrinkToFit="0" vertical="center" wrapText="1"/>
    </xf>
    <xf borderId="0" fillId="5" fontId="1" numFmtId="0" xfId="0" applyAlignment="1" applyFont="1">
      <alignment readingOrder="0" shrinkToFit="0" vertical="center" wrapText="1"/>
    </xf>
    <xf borderId="0" fillId="6" fontId="7" numFmtId="0" xfId="0" applyAlignment="1" applyFill="1" applyFont="1">
      <alignment readingOrder="0" vertical="center"/>
    </xf>
    <xf borderId="0" fillId="6" fontId="7" numFmtId="165" xfId="0" applyAlignment="1" applyFont="1" applyNumberFormat="1">
      <alignment horizontal="left" shrinkToFit="0" vertical="center" wrapText="1"/>
    </xf>
    <xf borderId="0" fillId="0" fontId="7" numFmtId="0" xfId="0" applyAlignment="1" applyFont="1">
      <alignment vertical="center"/>
    </xf>
    <xf borderId="0" fillId="6" fontId="7" numFmtId="9" xfId="0" applyAlignment="1" applyFont="1" applyNumberFormat="1">
      <alignment horizontal="left" shrinkToFit="0" vertical="center" wrapText="1"/>
    </xf>
    <xf borderId="0" fillId="6" fontId="7" numFmtId="0" xfId="0" applyAlignment="1" applyFont="1">
      <alignment horizontal="left" shrinkToFit="0" vertical="center" wrapText="1"/>
    </xf>
    <xf borderId="0" fillId="6" fontId="7" numFmtId="0" xfId="0" applyAlignment="1" applyFont="1">
      <alignment vertical="center"/>
    </xf>
    <xf borderId="0" fillId="0" fontId="1" numFmtId="0" xfId="0" applyAlignment="1" applyFont="1">
      <alignment readingOrder="0" vertical="center"/>
    </xf>
    <xf borderId="0" fillId="0" fontId="1" numFmtId="167" xfId="0" applyAlignment="1" applyFont="1" applyNumberFormat="1">
      <alignment readingOrder="0" vertical="center"/>
    </xf>
    <xf borderId="0" fillId="0" fontId="1" numFmtId="0" xfId="0" applyAlignment="1" applyFont="1">
      <alignment vertical="center"/>
    </xf>
    <xf borderId="0" fillId="6" fontId="7" numFmtId="0" xfId="0" applyAlignment="1" applyFont="1">
      <alignment readingOrder="0"/>
    </xf>
    <xf borderId="0" fillId="0" fontId="7" numFmtId="0" xfId="0" applyAlignment="1" applyFont="1">
      <alignment readingOrder="0"/>
    </xf>
    <xf borderId="0" fillId="0" fontId="7" numFmtId="0" xfId="0" applyFont="1"/>
    <xf borderId="0" fillId="6" fontId="7" numFmtId="165" xfId="0" applyAlignment="1" applyFont="1" applyNumberFormat="1">
      <alignment readingOrder="0"/>
    </xf>
    <xf borderId="0" fillId="0" fontId="7" numFmtId="167" xfId="0" applyAlignment="1" applyFont="1" applyNumberFormat="1">
      <alignment readingOrder="0"/>
    </xf>
    <xf quotePrefix="1" borderId="0" fillId="0" fontId="7" numFmtId="0" xfId="0" applyAlignment="1" applyFont="1">
      <alignment readingOrder="0"/>
    </xf>
    <xf borderId="0" fillId="0" fontId="8" numFmtId="0" xfId="0" applyAlignment="1" applyFont="1">
      <alignment readingOrder="0"/>
    </xf>
    <xf borderId="0" fillId="6" fontId="7" numFmtId="0" xfId="0" applyFont="1"/>
    <xf borderId="0" fillId="0" fontId="1" numFmtId="167" xfId="0" applyAlignment="1" applyFont="1" applyNumberFormat="1">
      <alignment readingOrder="0"/>
    </xf>
    <xf borderId="0" fillId="0" fontId="1" numFmtId="0" xfId="0" applyAlignment="1" applyFont="1">
      <alignment readingOrder="0"/>
    </xf>
    <xf quotePrefix="1" borderId="0" fillId="0" fontId="1" numFmtId="0" xfId="0" applyAlignment="1" applyFont="1">
      <alignment readingOrder="0"/>
    </xf>
    <xf borderId="0" fillId="0" fontId="9" numFmtId="0" xfId="0" applyAlignment="1" applyFont="1">
      <alignment readingOrder="0"/>
    </xf>
    <xf borderId="0" fillId="0" fontId="1" numFmtId="9" xfId="0" applyAlignment="1" applyFont="1" applyNumberFormat="1">
      <alignment shrinkToFit="0" vertical="center" wrapText="1"/>
    </xf>
    <xf borderId="0" fillId="0" fontId="2" numFmtId="9" xfId="0" applyAlignment="1" applyFont="1" applyNumberFormat="1">
      <alignment horizontal="center" shrinkToFit="0" vertical="center" wrapText="1"/>
    </xf>
    <xf borderId="0" fillId="5" fontId="1" numFmtId="9" xfId="0" applyAlignment="1" applyFont="1" applyNumberFormat="1">
      <alignment shrinkToFit="0" vertical="center" wrapText="1"/>
    </xf>
    <xf borderId="0" fillId="6" fontId="10" numFmtId="0" xfId="0" applyAlignment="1" applyFont="1">
      <alignment vertical="bottom"/>
    </xf>
    <xf borderId="0" fillId="6" fontId="11" numFmtId="0" xfId="0" applyAlignment="1" applyFont="1">
      <alignment vertical="bottom"/>
    </xf>
    <xf borderId="0" fillId="6" fontId="12" numFmtId="0" xfId="0" applyAlignment="1" applyFont="1">
      <alignment vertical="bottom"/>
    </xf>
    <xf borderId="0" fillId="6" fontId="10" numFmtId="0" xfId="0" applyAlignment="1" applyFont="1">
      <alignment vertical="bottom"/>
    </xf>
    <xf borderId="0" fillId="6" fontId="12" numFmtId="168" xfId="0" applyAlignment="1" applyFont="1" applyNumberFormat="1">
      <alignment horizontal="left" vertical="bottom"/>
    </xf>
    <xf borderId="0" fillId="2" fontId="10" numFmtId="0" xfId="0" applyAlignment="1" applyFont="1">
      <alignment horizontal="left"/>
    </xf>
    <xf borderId="0" fillId="0" fontId="12" numFmtId="0" xfId="0" applyAlignment="1" applyFont="1">
      <alignment vertical="bottom"/>
    </xf>
  </cellXfs>
  <cellStyles count="1">
    <cellStyle xfId="0" name="Normal" builtinId="0"/>
  </cellStyles>
  <dxfs count="2">
    <dxf>
      <font/>
      <fill>
        <patternFill patternType="solid">
          <fgColor rgb="FFF4C7C3"/>
          <bgColor rgb="FFF4C7C3"/>
        </patternFill>
      </fill>
      <border/>
    </dxf>
    <dxf>
      <font/>
      <fill>
        <patternFill patternType="solid">
          <fgColor rgb="FFFCE8B2"/>
          <bgColor rgb="FFFCE8B2"/>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canva.slack.com/archives/C04LEHR7K46/p1766463968892769" TargetMode="External"/><Relationship Id="rId2" Type="http://schemas.openxmlformats.org/officeDocument/2006/relationships/hyperlink" Target="https://canva.slack.com/archives/C04LEHR7K46/p1766463968892769" TargetMode="External"/><Relationship Id="rId3" Type="http://schemas.openxmlformats.org/officeDocument/2006/relationships/hyperlink" Target="https://canvateam.zendesk.com/agent/tickets/14912790" TargetMode="External"/><Relationship Id="rId4" Type="http://schemas.openxmlformats.org/officeDocument/2006/relationships/hyperlink" Target="https://canvateam.zendesk.com/agent/tickets/14931637" TargetMode="External"/><Relationship Id="rId5" Type="http://schemas.openxmlformats.org/officeDocument/2006/relationships/hyperlink" Target="https://bpos.canva.site/when-to-edit-cal-responses" TargetMode="External"/><Relationship Id="rId6" Type="http://schemas.openxmlformats.org/officeDocument/2006/relationships/hyperlink" Target="https://bpos.canva.site/when-to-edit-cal-responses" TargetMode="External"/><Relationship Id="rId7"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YXXTiAoB63_O8zzZN0kzj47rTpzLteJWybUgyXRgTqg/edit?pli=1&amp;gid=1624983456" TargetMode="External"/><Relationship Id="rId2"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5"/>
    <col customWidth="1" min="2" max="2" width="10.63"/>
    <col customWidth="1" min="3" max="3" width="20.5"/>
    <col customWidth="1" min="4" max="4" width="32.88"/>
    <col customWidth="1" min="5" max="5" width="14.25"/>
    <col customWidth="1" min="6" max="6" width="30.13"/>
    <col customWidth="1" min="7" max="7" width="15.88"/>
    <col customWidth="1" min="8" max="8" width="20.38"/>
    <col customWidth="1" min="9" max="9" width="20.63"/>
    <col customWidth="1" min="10" max="10" width="19.0"/>
    <col customWidth="1" min="11" max="11" width="29.75"/>
    <col customWidth="1" min="12" max="12" width="46.13"/>
    <col customWidth="1" min="20" max="20" width="15.88"/>
    <col customWidth="1" min="21" max="21" width="20.38"/>
    <col customWidth="1" min="23" max="23" width="29.75"/>
  </cols>
  <sheetData>
    <row r="1">
      <c r="A1" s="1" t="str">
        <f>IFERROR(__xludf.DUMMYFUNCTION("QUERY(IMPORTRANGE(""https://docs.google.com/spreadsheets/d/1JGTi65YnTuv9teYH-Sh_1zJ2DQuYwrhI7IduKe-0B_Y/edit?gid=1043963021#gid=1043963021"", ""[Import] Training Blocks - Weekly!A1:S11359""),
 ""SELECT Col1, Col2, Col6, Col7, Col8, Col13, Col14, Col15, Co"&amp;"l16, Col17, Col18, Col19 
  WHERE Col1 IS NOT NULL"", 1)"),"Loading...")</f>
        <v>Loading...</v>
      </c>
      <c r="O1" s="1" t="str">
        <f>IFERROR(__xludf.DUMMYFUNCTION("QUERY(
  IMPORTRANGE(""https://docs.google.com/spreadsheets/d/1JGTi65YnTuv9teYH-Sh_1zJ2DQuYwrhI7IduKe-0B_Y/edit?gid=482445738#gid=482445738"", ""[Import] Training Blocks - Monthly!A:S""),
  ""SELECT Col1, Col6, Col9, Col10, Col13, Col14, Col15, Col17, Col"&amp;"18 WHERE Col1 IS NOT NULL"",
  1
)"),"Year - Month")</f>
        <v>Year - Month</v>
      </c>
      <c r="P1" s="1" t="str">
        <f>IFERROR(__xludf.DUMMYFUNCTION("""COMPUTED_VALUE"""),"Subgroup")</f>
        <v>Subgroup</v>
      </c>
      <c r="Q1" s="1" t="str">
        <f>IFERROR(__xludf.DUMMYFUNCTION("""COMPUTED_VALUE"""),"Agent Email")</f>
        <v>Agent Email</v>
      </c>
      <c r="R1" s="1" t="str">
        <f>IFERROR(__xludf.DUMMYFUNCTION("""COMPUTED_VALUE"""),"Agent Name")</f>
        <v>Agent Name</v>
      </c>
      <c r="S1" s="1" t="str">
        <f>IFERROR(__xludf.DUMMYFUNCTION("""COMPUTED_VALUE"""),"Placeholder: Training Block Total Hours")</f>
        <v>Placeholder: Training Block Total Hours</v>
      </c>
      <c r="T1" s="1" t="str">
        <f>IFERROR(__xludf.DUMMYFUNCTION("""COMPUTED_VALUE"""),"Training Total Hours")</f>
        <v>Training Total Hours</v>
      </c>
      <c r="U1" s="1" t="str">
        <f>IFERROR(__xludf.DUMMYFUNCTION("""COMPUTED_VALUE"""),"Total Training Block Hours")</f>
        <v>Total Training Block Hours</v>
      </c>
      <c r="V1" s="1" t="str">
        <f>IFERROR(__xludf.DUMMYFUNCTION("""COMPUTED_VALUE"""),"Coach")</f>
        <v>Coach</v>
      </c>
      <c r="W1" s="1" t="str">
        <f>IFERROR(__xludf.DUMMYFUNCTION("""COMPUTED_VALUE"""),"Team")</f>
        <v>Team</v>
      </c>
    </row>
    <row r="2">
      <c r="O2" s="1" t="str">
        <f>IFERROR(__xludf.DUMMYFUNCTION("""COMPUTED_VALUE"""),"2025 Jun")</f>
        <v>2025 Jun</v>
      </c>
      <c r="P2" s="1" t="str">
        <f>IFERROR(__xludf.DUMMYFUNCTION("""COMPUTED_VALUE"""),"Segment-specific Support")</f>
        <v>Segment-specific Support</v>
      </c>
      <c r="Q2" s="1" t="str">
        <f>IFERROR(__xludf.DUMMYFUNCTION("""COMPUTED_VALUE"""),"triplea@canva.com")</f>
        <v>triplea@canva.com</v>
      </c>
      <c r="R2" s="1" t="str">
        <f>IFERROR(__xludf.DUMMYFUNCTION("""COMPUTED_VALUE"""),"AA Abong")</f>
        <v>AA Abong</v>
      </c>
      <c r="S2" s="1">
        <f>IFERROR(__xludf.DUMMYFUNCTION("""COMPUTED_VALUE"""),12.0)</f>
        <v>12</v>
      </c>
      <c r="T2" s="1">
        <f>IFERROR(__xludf.DUMMYFUNCTION("""COMPUTED_VALUE"""),4.0)</f>
        <v>4</v>
      </c>
      <c r="U2" s="2">
        <f>IFERROR(__xludf.DUMMYFUNCTION("""COMPUTED_VALUE"""),16.0)</f>
        <v>16</v>
      </c>
      <c r="V2" s="1" t="str">
        <f>IFERROR(__xludf.DUMMYFUNCTION("""COMPUTED_VALUE"""),"Jonathan Dimaculangan")</f>
        <v>Jonathan Dimaculangan</v>
      </c>
      <c r="W2" s="1" t="str">
        <f>IFERROR(__xludf.DUMMYFUNCTION("""COMPUTED_VALUE"""),"Flourish Support")</f>
        <v>Flourish Support</v>
      </c>
    </row>
    <row r="3">
      <c r="O3" s="1" t="str">
        <f>IFERROR(__xludf.DUMMYFUNCTION("""COMPUTED_VALUE"""),"2025 Jun")</f>
        <v>2025 Jun</v>
      </c>
      <c r="P3" s="1" t="str">
        <f>IFERROR(__xludf.DUMMYFUNCTION("""COMPUTED_VALUE"""),"Core Product Support")</f>
        <v>Core Product Support</v>
      </c>
      <c r="Q3" s="1" t="str">
        <f>IFERROR(__xludf.DUMMYFUNCTION("""COMPUTED_VALUE"""),"adrielcarlosv@canva.com")</f>
        <v>adrielcarlosv@canva.com</v>
      </c>
      <c r="R3" s="1" t="str">
        <f>IFERROR(__xludf.DUMMYFUNCTION("""COMPUTED_VALUE"""),"Adriel Vicencio")</f>
        <v>Adriel Vicencio</v>
      </c>
      <c r="S3" s="1">
        <f>IFERROR(__xludf.DUMMYFUNCTION("""COMPUTED_VALUE"""),3.5)</f>
        <v>3.5</v>
      </c>
      <c r="T3" s="1">
        <f>IFERROR(__xludf.DUMMYFUNCTION("""COMPUTED_VALUE"""),4.0)</f>
        <v>4</v>
      </c>
      <c r="U3" s="2">
        <f>IFERROR(__xludf.DUMMYFUNCTION("""COMPUTED_VALUE"""),7.5)</f>
        <v>7.5</v>
      </c>
      <c r="V3" s="1" t="str">
        <f>IFERROR(__xludf.DUMMYFUNCTION("""COMPUTED_VALUE"""),"Jem Mondoñedo")</f>
        <v>Jem Mondoñedo</v>
      </c>
      <c r="W3" s="1" t="str">
        <f>IFERROR(__xludf.DUMMYFUNCTION("""COMPUTED_VALUE"""),"Advanced Billing &amp; Subscriptions")</f>
        <v>Advanced Billing &amp; Subscriptions</v>
      </c>
    </row>
    <row r="4">
      <c r="O4" s="1" t="str">
        <f>IFERROR(__xludf.DUMMYFUNCTION("""COMPUTED_VALUE"""),"2025 Jun")</f>
        <v>2025 Jun</v>
      </c>
      <c r="P4" s="1" t="str">
        <f>IFERROR(__xludf.DUMMYFUNCTION("""COMPUTED_VALUE"""),"Admin Support")</f>
        <v>Admin Support</v>
      </c>
      <c r="Q4" s="1" t="str">
        <f>IFERROR(__xludf.DUMMYFUNCTION("""COMPUTED_VALUE"""),"agathartt@canva.com")</f>
        <v>agathartt@canva.com</v>
      </c>
      <c r="R4" s="1" t="str">
        <f>IFERROR(__xludf.DUMMYFUNCTION("""COMPUTED_VALUE"""),"Agatha Torres")</f>
        <v>Agatha Torres</v>
      </c>
      <c r="S4" s="1"/>
      <c r="T4" s="1"/>
      <c r="U4" s="2">
        <f>IFERROR(__xludf.DUMMYFUNCTION("""COMPUTED_VALUE"""),0.0)</f>
        <v>0</v>
      </c>
      <c r="V4" s="1" t="str">
        <f>IFERROR(__xludf.DUMMYFUNCTION("""COMPUTED_VALUE"""),"AL Suarez")</f>
        <v>AL Suarez</v>
      </c>
      <c r="W4" s="1" t="str">
        <f>IFERROR(__xludf.DUMMYFUNCTION("""COMPUTED_VALUE"""),"Advanced Billing &amp; Subscriptions")</f>
        <v>Advanced Billing &amp; Subscriptions</v>
      </c>
    </row>
    <row r="5">
      <c r="O5" s="1" t="str">
        <f>IFERROR(__xludf.DUMMYFUNCTION("""COMPUTED_VALUE"""),"2025 Jun")</f>
        <v>2025 Jun</v>
      </c>
      <c r="P5" s="1" t="str">
        <f>IFERROR(__xludf.DUMMYFUNCTION("""COMPUTED_VALUE"""),"Print Support")</f>
        <v>Print Support</v>
      </c>
      <c r="Q5" s="1" t="str">
        <f>IFERROR(__xludf.DUMMYFUNCTION("""COMPUTED_VALUE"""),"aileen.a@canva.com")</f>
        <v>aileen.a@canva.com</v>
      </c>
      <c r="R5" s="1" t="str">
        <f>IFERROR(__xludf.DUMMYFUNCTION("""COMPUTED_VALUE"""),"Aileen Alipio")</f>
        <v>Aileen Alipio</v>
      </c>
      <c r="S5" s="1">
        <f>IFERROR(__xludf.DUMMYFUNCTION("""COMPUTED_VALUE"""),3.0)</f>
        <v>3</v>
      </c>
      <c r="T5" s="1">
        <f>IFERROR(__xludf.DUMMYFUNCTION("""COMPUTED_VALUE"""),2.0)</f>
        <v>2</v>
      </c>
      <c r="U5" s="2">
        <f>IFERROR(__xludf.DUMMYFUNCTION("""COMPUTED_VALUE"""),5.0)</f>
        <v>5</v>
      </c>
      <c r="V5" s="1" t="str">
        <f>IFERROR(__xludf.DUMMYFUNCTION("""COMPUTED_VALUE"""),"Gem Agoncillo")</f>
        <v>Gem Agoncillo</v>
      </c>
      <c r="W5" s="1" t="str">
        <f>IFERROR(__xludf.DUMMYFUNCTION("""COMPUTED_VALUE"""),"Print Design Support")</f>
        <v>Print Design Support</v>
      </c>
    </row>
    <row r="6">
      <c r="O6" s="1" t="str">
        <f>IFERROR(__xludf.DUMMYFUNCTION("""COMPUTED_VALUE"""),"2025 Jun")</f>
        <v>2025 Jun</v>
      </c>
      <c r="P6" s="1" t="str">
        <f>IFERROR(__xludf.DUMMYFUNCTION("""COMPUTED_VALUE"""),"Core Product Support")</f>
        <v>Core Product Support</v>
      </c>
      <c r="Q6" s="1" t="str">
        <f>IFERROR(__xludf.DUMMYFUNCTION("""COMPUTED_VALUE"""),"ailyn@canva.com")</f>
        <v>ailyn@canva.com</v>
      </c>
      <c r="R6" s="1" t="str">
        <f>IFERROR(__xludf.DUMMYFUNCTION("""COMPUTED_VALUE"""),"Ailyn Grana")</f>
        <v>Ailyn Grana</v>
      </c>
      <c r="S6" s="1">
        <f>IFERROR(__xludf.DUMMYFUNCTION("""COMPUTED_VALUE"""),9.58)</f>
        <v>9.58</v>
      </c>
      <c r="T6" s="1">
        <f>IFERROR(__xludf.DUMMYFUNCTION("""COMPUTED_VALUE"""),2.0)</f>
        <v>2</v>
      </c>
      <c r="U6" s="2">
        <f>IFERROR(__xludf.DUMMYFUNCTION("""COMPUTED_VALUE"""),11.58)</f>
        <v>11.58</v>
      </c>
      <c r="V6" s="1" t="str">
        <f>IFERROR(__xludf.DUMMYFUNCTION("""COMPUTED_VALUE"""),"Belle Bentazal")</f>
        <v>Belle Bentazal</v>
      </c>
      <c r="W6" s="1" t="str">
        <f>IFERROR(__xludf.DUMMYFUNCTION("""COMPUTED_VALUE"""),"Advanced Product Support")</f>
        <v>Advanced Product Support</v>
      </c>
    </row>
    <row r="7">
      <c r="O7" s="1" t="str">
        <f>IFERROR(__xludf.DUMMYFUNCTION("""COMPUTED_VALUE"""),"2025 Jun")</f>
        <v>2025 Jun</v>
      </c>
      <c r="P7" s="1" t="str">
        <f>IFERROR(__xludf.DUMMYFUNCTION("""COMPUTED_VALUE"""),"Print Support")</f>
        <v>Print Support</v>
      </c>
      <c r="Q7" s="1" t="str">
        <f>IFERROR(__xludf.DUMMYFUNCTION("""COMPUTED_VALUE"""),"alaizaong@canva.com")</f>
        <v>alaizaong@canva.com</v>
      </c>
      <c r="R7" s="1" t="str">
        <f>IFERROR(__xludf.DUMMYFUNCTION("""COMPUTED_VALUE"""),"Alaiza Ong")</f>
        <v>Alaiza Ong</v>
      </c>
      <c r="S7" s="1">
        <f>IFERROR(__xludf.DUMMYFUNCTION("""COMPUTED_VALUE"""),2.0)</f>
        <v>2</v>
      </c>
      <c r="T7" s="1">
        <f>IFERROR(__xludf.DUMMYFUNCTION("""COMPUTED_VALUE"""),3.25)</f>
        <v>3.25</v>
      </c>
      <c r="U7" s="2">
        <f>IFERROR(__xludf.DUMMYFUNCTION("""COMPUTED_VALUE"""),5.25)</f>
        <v>5.25</v>
      </c>
      <c r="V7" s="1" t="str">
        <f>IFERROR(__xludf.DUMMYFUNCTION("""COMPUTED_VALUE"""),"Rae Erlano")</f>
        <v>Rae Erlano</v>
      </c>
      <c r="W7" s="1" t="str">
        <f>IFERROR(__xludf.DUMMYFUNCTION("""COMPUTED_VALUE"""),"Print Support PH")</f>
        <v>Print Support PH</v>
      </c>
    </row>
    <row r="8">
      <c r="O8" s="1" t="str">
        <f>IFERROR(__xludf.DUMMYFUNCTION("""COMPUTED_VALUE"""),"2025 Jun")</f>
        <v>2025 Jun</v>
      </c>
      <c r="P8" s="1" t="str">
        <f>IFERROR(__xludf.DUMMYFUNCTION("""COMPUTED_VALUE"""),"Segment-specific Support")</f>
        <v>Segment-specific Support</v>
      </c>
      <c r="Q8" s="1" t="str">
        <f>IFERROR(__xludf.DUMMYFUNCTION("""COMPUTED_VALUE"""),"andria@canva.com")</f>
        <v>andria@canva.com</v>
      </c>
      <c r="R8" s="1" t="str">
        <f>IFERROR(__xludf.DUMMYFUNCTION("""COMPUTED_VALUE"""),"Alex Batusin")</f>
        <v>Alex Batusin</v>
      </c>
      <c r="S8" s="1">
        <f>IFERROR(__xludf.DUMMYFUNCTION("""COMPUTED_VALUE"""),3.0)</f>
        <v>3</v>
      </c>
      <c r="T8" s="1"/>
      <c r="U8" s="2">
        <f>IFERROR(__xludf.DUMMYFUNCTION("""COMPUTED_VALUE"""),3.0)</f>
        <v>3</v>
      </c>
      <c r="V8" s="1" t="str">
        <f>IFERROR(__xludf.DUMMYFUNCTION("""COMPUTED_VALUE"""),"Aileen Dayanghirang")</f>
        <v>Aileen Dayanghirang</v>
      </c>
      <c r="W8" s="1" t="str">
        <f>IFERROR(__xludf.DUMMYFUNCTION("""COMPUTED_VALUE"""),"Creators Support")</f>
        <v>Creators Support</v>
      </c>
    </row>
    <row r="9">
      <c r="O9" s="1" t="str">
        <f>IFERROR(__xludf.DUMMYFUNCTION("""COMPUTED_VALUE"""),"2025 Jun")</f>
        <v>2025 Jun</v>
      </c>
      <c r="P9" s="1" t="str">
        <f>IFERROR(__xludf.DUMMYFUNCTION("""COMPUTED_VALUE"""),"Segment-specific Support")</f>
        <v>Segment-specific Support</v>
      </c>
      <c r="Q9" s="1" t="str">
        <f>IFERROR(__xludf.DUMMYFUNCTION("""COMPUTED_VALUE"""),"alexl@canva.com")</f>
        <v>alexl@canva.com</v>
      </c>
      <c r="R9" s="1" t="str">
        <f>IFERROR(__xludf.DUMMYFUNCTION("""COMPUTED_VALUE"""),"Alex Lim")</f>
        <v>Alex Lim</v>
      </c>
      <c r="S9" s="1"/>
      <c r="T9" s="1"/>
      <c r="U9" s="2">
        <f>IFERROR(__xludf.DUMMYFUNCTION("""COMPUTED_VALUE"""),0.0)</f>
        <v>0</v>
      </c>
      <c r="V9" s="1" t="str">
        <f>IFERROR(__xludf.DUMMYFUNCTION("""COMPUTED_VALUE"""),"Gucci Nava")</f>
        <v>Gucci Nava</v>
      </c>
      <c r="W9" s="1" t="str">
        <f>IFERROR(__xludf.DUMMYFUNCTION("""COMPUTED_VALUE"""),"Affinity Support")</f>
        <v>Affinity Support</v>
      </c>
    </row>
    <row r="10">
      <c r="O10" s="1" t="str">
        <f>IFERROR(__xludf.DUMMYFUNCTION("""COMPUTED_VALUE"""),"2025 Jun")</f>
        <v>2025 Jun</v>
      </c>
      <c r="P10" s="1" t="str">
        <f>IFERROR(__xludf.DUMMYFUNCTION("""COMPUTED_VALUE"""),"Segment-specific Support")</f>
        <v>Segment-specific Support</v>
      </c>
      <c r="Q10" s="1" t="str">
        <f>IFERROR(__xludf.DUMMYFUNCTION("""COMPUTED_VALUE"""),"adtolentino@canva.com")</f>
        <v>adtolentino@canva.com</v>
      </c>
      <c r="R10" s="1" t="str">
        <f>IFERROR(__xludf.DUMMYFUNCTION("""COMPUTED_VALUE"""),"Alfred Devon Tolentino")</f>
        <v>Alfred Devon Tolentino</v>
      </c>
      <c r="S10" s="1"/>
      <c r="T10" s="1">
        <f>IFERROR(__xludf.DUMMYFUNCTION("""COMPUTED_VALUE"""),80.0)</f>
        <v>80</v>
      </c>
      <c r="U10" s="2">
        <f>IFERROR(__xludf.DUMMYFUNCTION("""COMPUTED_VALUE"""),80.0)</f>
        <v>80</v>
      </c>
      <c r="V10" s="1" t="str">
        <f>IFERROR(__xludf.DUMMYFUNCTION("""COMPUTED_VALUE"""),"Jonathan Dimaculangan")</f>
        <v>Jonathan Dimaculangan</v>
      </c>
      <c r="W10" s="1" t="str">
        <f>IFERROR(__xludf.DUMMYFUNCTION("""COMPUTED_VALUE"""),"Flourish Support")</f>
        <v>Flourish Support</v>
      </c>
    </row>
    <row r="11">
      <c r="O11" s="1" t="str">
        <f>IFERROR(__xludf.DUMMYFUNCTION("""COMPUTED_VALUE"""),"2025 Jun")</f>
        <v>2025 Jun</v>
      </c>
      <c r="P11" s="1" t="str">
        <f>IFERROR(__xludf.DUMMYFUNCTION("""COMPUTED_VALUE"""),"Admin Support")</f>
        <v>Admin Support</v>
      </c>
      <c r="Q11" s="1" t="str">
        <f>IFERROR(__xludf.DUMMYFUNCTION("""COMPUTED_VALUE"""),"alicec@canva.com")</f>
        <v>alicec@canva.com</v>
      </c>
      <c r="R11" s="1" t="str">
        <f>IFERROR(__xludf.DUMMYFUNCTION("""COMPUTED_VALUE"""),"Alice Creiser")</f>
        <v>Alice Creiser</v>
      </c>
      <c r="S11" s="1">
        <f>IFERROR(__xludf.DUMMYFUNCTION("""COMPUTED_VALUE"""),1.0)</f>
        <v>1</v>
      </c>
      <c r="T11" s="1">
        <f>IFERROR(__xludf.DUMMYFUNCTION("""COMPUTED_VALUE"""),1.0)</f>
        <v>1</v>
      </c>
      <c r="U11" s="2">
        <f>IFERROR(__xludf.DUMMYFUNCTION("""COMPUTED_VALUE"""),2.0)</f>
        <v>2</v>
      </c>
      <c r="V11" s="1" t="str">
        <f>IFERROR(__xludf.DUMMYFUNCTION("""COMPUTED_VALUE"""),"Tash Kelly")</f>
        <v>Tash Kelly</v>
      </c>
      <c r="W11" s="1" t="str">
        <f>IFERROR(__xludf.DUMMYFUNCTION("""COMPUTED_VALUE"""),"Admin Support EMEA")</f>
        <v>Admin Support EMEA</v>
      </c>
    </row>
    <row r="12">
      <c r="O12" s="1" t="str">
        <f>IFERROR(__xludf.DUMMYFUNCTION("""COMPUTED_VALUE"""),"2025 Jun")</f>
        <v>2025 Jun</v>
      </c>
      <c r="P12" s="1" t="str">
        <f>IFERROR(__xludf.DUMMYFUNCTION("""COMPUTED_VALUE"""),"Segment-specific Support")</f>
        <v>Segment-specific Support</v>
      </c>
      <c r="Q12" s="1" t="str">
        <f>IFERROR(__xludf.DUMMYFUNCTION("""COMPUTED_VALUE"""),"alyanna@canva.com")</f>
        <v>alyanna@canva.com</v>
      </c>
      <c r="R12" s="1" t="str">
        <f>IFERROR(__xludf.DUMMYFUNCTION("""COMPUTED_VALUE"""),"Alyanna Ramos")</f>
        <v>Alyanna Ramos</v>
      </c>
      <c r="S12" s="1"/>
      <c r="T12" s="1">
        <f>IFERROR(__xludf.DUMMYFUNCTION("""COMPUTED_VALUE"""),4.48)</f>
        <v>4.48</v>
      </c>
      <c r="U12" s="2">
        <f>IFERROR(__xludf.DUMMYFUNCTION("""COMPUTED_VALUE"""),4.48)</f>
        <v>4.48</v>
      </c>
      <c r="V12" s="1" t="str">
        <f>IFERROR(__xludf.DUMMYFUNCTION("""COMPUTED_VALUE"""),"Rose Gabilan")</f>
        <v>Rose Gabilan</v>
      </c>
      <c r="W12" s="1" t="str">
        <f>IFERROR(__xludf.DUMMYFUNCTION("""COMPUTED_VALUE"""),"Affinity Support")</f>
        <v>Affinity Support</v>
      </c>
    </row>
    <row r="13">
      <c r="O13" s="1" t="str">
        <f>IFERROR(__xludf.DUMMYFUNCTION("""COMPUTED_VALUE"""),"2025 Jun")</f>
        <v>2025 Jun</v>
      </c>
      <c r="P13" s="1" t="str">
        <f>IFERROR(__xludf.DUMMYFUNCTION("""COMPUTED_VALUE"""),"Core Product Support")</f>
        <v>Core Product Support</v>
      </c>
      <c r="Q13" s="1" t="str">
        <f>IFERROR(__xludf.DUMMYFUNCTION("""COMPUTED_VALUE"""),"alyssakae@canva.com")</f>
        <v>alyssakae@canva.com</v>
      </c>
      <c r="R13" s="1" t="str">
        <f>IFERROR(__xludf.DUMMYFUNCTION("""COMPUTED_VALUE"""),"Alyssa Kae Laranang")</f>
        <v>Alyssa Kae Laranang</v>
      </c>
      <c r="S13" s="1">
        <f>IFERROR(__xludf.DUMMYFUNCTION("""COMPUTED_VALUE"""),5.5)</f>
        <v>5.5</v>
      </c>
      <c r="T13" s="1">
        <f>IFERROR(__xludf.DUMMYFUNCTION("""COMPUTED_VALUE"""),3.0)</f>
        <v>3</v>
      </c>
      <c r="U13" s="2">
        <f>IFERROR(__xludf.DUMMYFUNCTION("""COMPUTED_VALUE"""),8.5)</f>
        <v>8.5</v>
      </c>
      <c r="V13" s="1" t="str">
        <f>IFERROR(__xludf.DUMMYFUNCTION("""COMPUTED_VALUE"""),"Ellaine Estayo")</f>
        <v>Ellaine Estayo</v>
      </c>
      <c r="W13" s="1" t="str">
        <f>IFERROR(__xludf.DUMMYFUNCTION("""COMPUTED_VALUE"""),"Core Product Support Escalation Team")</f>
        <v>Core Product Support Escalation Team</v>
      </c>
    </row>
    <row r="14">
      <c r="O14" s="1" t="str">
        <f>IFERROR(__xludf.DUMMYFUNCTION("""COMPUTED_VALUE"""),"2025 Jun")</f>
        <v>2025 Jun</v>
      </c>
      <c r="P14" s="1" t="str">
        <f>IFERROR(__xludf.DUMMYFUNCTION("""COMPUTED_VALUE"""),"Print Support")</f>
        <v>Print Support</v>
      </c>
      <c r="Q14" s="1" t="str">
        <f>IFERROR(__xludf.DUMMYFUNCTION("""COMPUTED_VALUE"""),"alyssam@canva.com")</f>
        <v>alyssam@canva.com</v>
      </c>
      <c r="R14" s="1" t="str">
        <f>IFERROR(__xludf.DUMMYFUNCTION("""COMPUTED_VALUE"""),"Alyssa Martin-Silao")</f>
        <v>Alyssa Martin-Silao</v>
      </c>
      <c r="S14" s="1"/>
      <c r="T14" s="1">
        <f>IFERROR(__xludf.DUMMYFUNCTION("""COMPUTED_VALUE"""),3.25)</f>
        <v>3.25</v>
      </c>
      <c r="U14" s="2">
        <f>IFERROR(__xludf.DUMMYFUNCTION("""COMPUTED_VALUE"""),3.25)</f>
        <v>3.25</v>
      </c>
      <c r="V14" s="1" t="str">
        <f>IFERROR(__xludf.DUMMYFUNCTION("""COMPUTED_VALUE"""),"Rae Erlano")</f>
        <v>Rae Erlano</v>
      </c>
      <c r="W14" s="1" t="str">
        <f>IFERROR(__xludf.DUMMYFUNCTION("""COMPUTED_VALUE"""),"Print Support PH")</f>
        <v>Print Support PH</v>
      </c>
    </row>
    <row r="15">
      <c r="O15" s="1" t="str">
        <f>IFERROR(__xludf.DUMMYFUNCTION("""COMPUTED_VALUE"""),"2025 Jun")</f>
        <v>2025 Jun</v>
      </c>
      <c r="P15" s="1" t="str">
        <f>IFERROR(__xludf.DUMMYFUNCTION("""COMPUTED_VALUE"""),"Print Support")</f>
        <v>Print Support</v>
      </c>
      <c r="Q15" s="1" t="str">
        <f>IFERROR(__xludf.DUMMYFUNCTION("""COMPUTED_VALUE"""),"alyssas@canva.com")</f>
        <v>alyssas@canva.com</v>
      </c>
      <c r="R15" s="1" t="str">
        <f>IFERROR(__xludf.DUMMYFUNCTION("""COMPUTED_VALUE"""),"Alyssa Sunga")</f>
        <v>Alyssa Sunga</v>
      </c>
      <c r="S15" s="1">
        <f>IFERROR(__xludf.DUMMYFUNCTION("""COMPUTED_VALUE"""),1.97)</f>
        <v>1.97</v>
      </c>
      <c r="T15" s="1">
        <f>IFERROR(__xludf.DUMMYFUNCTION("""COMPUTED_VALUE"""),1.75)</f>
        <v>1.75</v>
      </c>
      <c r="U15" s="2">
        <f>IFERROR(__xludf.DUMMYFUNCTION("""COMPUTED_VALUE"""),3.7199999999999998)</f>
        <v>3.72</v>
      </c>
      <c r="V15" s="1" t="str">
        <f>IFERROR(__xludf.DUMMYFUNCTION("""COMPUTED_VALUE"""),"Althea Mercado")</f>
        <v>Althea Mercado</v>
      </c>
      <c r="W15" s="1" t="str">
        <f>IFERROR(__xludf.DUMMYFUNCTION("""COMPUTED_VALUE"""),"Print Support PH")</f>
        <v>Print Support PH</v>
      </c>
    </row>
    <row r="16">
      <c r="O16" s="1" t="str">
        <f>IFERROR(__xludf.DUMMYFUNCTION("""COMPUTED_VALUE"""),"2025 Jun")</f>
        <v>2025 Jun</v>
      </c>
      <c r="P16" s="1" t="str">
        <f>IFERROR(__xludf.DUMMYFUNCTION("""COMPUTED_VALUE"""),"Print Support")</f>
        <v>Print Support</v>
      </c>
      <c r="Q16" s="1" t="str">
        <f>IFERROR(__xludf.DUMMYFUNCTION("""COMPUTED_VALUE"""),"andrea.g@canva.com")</f>
        <v>andrea.g@canva.com</v>
      </c>
      <c r="R16" s="1" t="str">
        <f>IFERROR(__xludf.DUMMYFUNCTION("""COMPUTED_VALUE"""),"Andrea Gutierrez")</f>
        <v>Andrea Gutierrez</v>
      </c>
      <c r="S16" s="1"/>
      <c r="T16" s="1"/>
      <c r="U16" s="2">
        <f>IFERROR(__xludf.DUMMYFUNCTION("""COMPUTED_VALUE"""),0.0)</f>
        <v>0</v>
      </c>
      <c r="V16" s="1" t="str">
        <f>IFERROR(__xludf.DUMMYFUNCTION("""COMPUTED_VALUE"""),"G-Anne Murillo")</f>
        <v>G-Anne Murillo</v>
      </c>
      <c r="W16" s="1" t="str">
        <f>IFERROR(__xludf.DUMMYFUNCTION("""COMPUTED_VALUE"""),"Print Design Support")</f>
        <v>Print Design Support</v>
      </c>
    </row>
    <row r="17">
      <c r="O17" s="1" t="str">
        <f>IFERROR(__xludf.DUMMYFUNCTION("""COMPUTED_VALUE"""),"2025 Jun")</f>
        <v>2025 Jun</v>
      </c>
      <c r="P17" s="1" t="str">
        <f>IFERROR(__xludf.DUMMYFUNCTION("""COMPUTED_VALUE"""),"Print Support")</f>
        <v>Print Support</v>
      </c>
      <c r="Q17" s="1" t="str">
        <f>IFERROR(__xludf.DUMMYFUNCTION("""COMPUTED_VALUE"""),"xandwea@canva.com")</f>
        <v>xandwea@canva.com</v>
      </c>
      <c r="R17" s="1" t="str">
        <f>IFERROR(__xludf.DUMMYFUNCTION("""COMPUTED_VALUE"""),"Andrea Lugtu")</f>
        <v>Andrea Lugtu</v>
      </c>
      <c r="S17" s="1">
        <f>IFERROR(__xludf.DUMMYFUNCTION("""COMPUTED_VALUE"""),1.5)</f>
        <v>1.5</v>
      </c>
      <c r="T17" s="1">
        <f>IFERROR(__xludf.DUMMYFUNCTION("""COMPUTED_VALUE"""),1.73)</f>
        <v>1.73</v>
      </c>
      <c r="U17" s="2">
        <f>IFERROR(__xludf.DUMMYFUNCTION("""COMPUTED_VALUE"""),3.23)</f>
        <v>3.23</v>
      </c>
      <c r="V17" s="1" t="str">
        <f>IFERROR(__xludf.DUMMYFUNCTION("""COMPUTED_VALUE"""),"Manee Barrasa")</f>
        <v>Manee Barrasa</v>
      </c>
      <c r="W17" s="1" t="str">
        <f>IFERROR(__xludf.DUMMYFUNCTION("""COMPUTED_VALUE"""),"Print Support PH")</f>
        <v>Print Support PH</v>
      </c>
    </row>
    <row r="18">
      <c r="O18" s="1" t="str">
        <f>IFERROR(__xludf.DUMMYFUNCTION("""COMPUTED_VALUE"""),"2025 Jun")</f>
        <v>2025 Jun</v>
      </c>
      <c r="P18" s="1" t="str">
        <f>IFERROR(__xludf.DUMMYFUNCTION("""COMPUTED_VALUE"""),"High Sensitivity Support")</f>
        <v>High Sensitivity Support</v>
      </c>
      <c r="Q18" s="1" t="str">
        <f>IFERROR(__xludf.DUMMYFUNCTION("""COMPUTED_VALUE"""),"andreimg@canva.com")</f>
        <v>andreimg@canva.com</v>
      </c>
      <c r="R18" s="1" t="str">
        <f>IFERROR(__xludf.DUMMYFUNCTION("""COMPUTED_VALUE"""),"Andrei Galutan")</f>
        <v>Andrei Galutan</v>
      </c>
      <c r="S18" s="1">
        <f>IFERROR(__xludf.DUMMYFUNCTION("""COMPUTED_VALUE"""),10.75)</f>
        <v>10.75</v>
      </c>
      <c r="T18" s="1">
        <f>IFERROR(__xludf.DUMMYFUNCTION("""COMPUTED_VALUE"""),1.5)</f>
        <v>1.5</v>
      </c>
      <c r="U18" s="2">
        <f>IFERROR(__xludf.DUMMYFUNCTION("""COMPUTED_VALUE"""),12.25)</f>
        <v>12.25</v>
      </c>
      <c r="V18" s="1" t="str">
        <f>IFERROR(__xludf.DUMMYFUNCTION("""COMPUTED_VALUE"""),"Rex Villamor")</f>
        <v>Rex Villamor</v>
      </c>
      <c r="W18" s="1" t="str">
        <f>IFERROR(__xludf.DUMMYFUNCTION("""COMPUTED_VALUE"""),"Advanced Product Support")</f>
        <v>Advanced Product Support</v>
      </c>
    </row>
    <row r="19">
      <c r="O19" s="1" t="str">
        <f>IFERROR(__xludf.DUMMYFUNCTION("""COMPUTED_VALUE"""),"2025 Jun")</f>
        <v>2025 Jun</v>
      </c>
      <c r="P19" s="1" t="str">
        <f>IFERROR(__xludf.DUMMYFUNCTION("""COMPUTED_VALUE"""),"Core Product Support")</f>
        <v>Core Product Support</v>
      </c>
      <c r="Q19" s="1" t="str">
        <f>IFERROR(__xludf.DUMMYFUNCTION("""COMPUTED_VALUE"""),"aalemania@canva.com")</f>
        <v>aalemania@canva.com</v>
      </c>
      <c r="R19" s="1" t="str">
        <f>IFERROR(__xludf.DUMMYFUNCTION("""COMPUTED_VALUE"""),"Angel Alemania")</f>
        <v>Angel Alemania</v>
      </c>
      <c r="S19" s="1">
        <f>IFERROR(__xludf.DUMMYFUNCTION("""COMPUTED_VALUE"""),6.25)</f>
        <v>6.25</v>
      </c>
      <c r="T19" s="1">
        <f>IFERROR(__xludf.DUMMYFUNCTION("""COMPUTED_VALUE"""),1.5)</f>
        <v>1.5</v>
      </c>
      <c r="U19" s="2">
        <f>IFERROR(__xludf.DUMMYFUNCTION("""COMPUTED_VALUE"""),7.75)</f>
        <v>7.75</v>
      </c>
      <c r="V19" s="1" t="str">
        <f>IFERROR(__xludf.DUMMYFUNCTION("""COMPUTED_VALUE"""),"Sieg Ballelos")</f>
        <v>Sieg Ballelos</v>
      </c>
      <c r="W19" s="1" t="str">
        <f>IFERROR(__xludf.DUMMYFUNCTION("""COMPUTED_VALUE"""),"Core Product Support Escalation Team")</f>
        <v>Core Product Support Escalation Team</v>
      </c>
    </row>
    <row r="20">
      <c r="O20" s="1" t="str">
        <f>IFERROR(__xludf.DUMMYFUNCTION("""COMPUTED_VALUE"""),"2025 Jun")</f>
        <v>2025 Jun</v>
      </c>
      <c r="P20" s="1" t="str">
        <f>IFERROR(__xludf.DUMMYFUNCTION("""COMPUTED_VALUE"""),"Admin Support")</f>
        <v>Admin Support</v>
      </c>
      <c r="Q20" s="1" t="str">
        <f>IFERROR(__xludf.DUMMYFUNCTION("""COMPUTED_VALUE"""),"angelc@canva.com")</f>
        <v>angelc@canva.com</v>
      </c>
      <c r="R20" s="1" t="str">
        <f>IFERROR(__xludf.DUMMYFUNCTION("""COMPUTED_VALUE"""),"Angel Cabrera")</f>
        <v>Angel Cabrera</v>
      </c>
      <c r="S20" s="1">
        <f>IFERROR(__xludf.DUMMYFUNCTION("""COMPUTED_VALUE"""),4.0)</f>
        <v>4</v>
      </c>
      <c r="T20" s="1">
        <f>IFERROR(__xludf.DUMMYFUNCTION("""COMPUTED_VALUE"""),3.5)</f>
        <v>3.5</v>
      </c>
      <c r="U20" s="2">
        <f>IFERROR(__xludf.DUMMYFUNCTION("""COMPUTED_VALUE"""),7.5)</f>
        <v>7.5</v>
      </c>
      <c r="V20" s="1" t="str">
        <f>IFERROR(__xludf.DUMMYFUNCTION("""COMPUTED_VALUE"""),"Ann Dumlao")</f>
        <v>Ann Dumlao</v>
      </c>
      <c r="W20" s="1" t="str">
        <f>IFERROR(__xludf.DUMMYFUNCTION("""COMPUTED_VALUE"""),"Admin Omni Support")</f>
        <v>Admin Omni Support</v>
      </c>
    </row>
    <row r="21">
      <c r="O21" s="1" t="str">
        <f>IFERROR(__xludf.DUMMYFUNCTION("""COMPUTED_VALUE"""),"2025 Jun")</f>
        <v>2025 Jun</v>
      </c>
      <c r="P21" s="1" t="str">
        <f>IFERROR(__xludf.DUMMYFUNCTION("""COMPUTED_VALUE"""),"Segment-specific Support")</f>
        <v>Segment-specific Support</v>
      </c>
      <c r="Q21" s="1" t="str">
        <f>IFERROR(__xludf.DUMMYFUNCTION("""COMPUTED_VALUE"""),"angelheart@canva.com")</f>
        <v>angelheart@canva.com</v>
      </c>
      <c r="R21" s="1" t="str">
        <f>IFERROR(__xludf.DUMMYFUNCTION("""COMPUTED_VALUE"""),"Angel Heart Santos")</f>
        <v>Angel Heart Santos</v>
      </c>
      <c r="S21" s="1"/>
      <c r="T21" s="1">
        <f>IFERROR(__xludf.DUMMYFUNCTION("""COMPUTED_VALUE"""),1.5)</f>
        <v>1.5</v>
      </c>
      <c r="U21" s="2">
        <f>IFERROR(__xludf.DUMMYFUNCTION("""COMPUTED_VALUE"""),1.5)</f>
        <v>1.5</v>
      </c>
      <c r="V21" s="1" t="str">
        <f>IFERROR(__xludf.DUMMYFUNCTION("""COMPUTED_VALUE"""),"Jonathan Dimaculangan")</f>
        <v>Jonathan Dimaculangan</v>
      </c>
      <c r="W21" s="1" t="str">
        <f>IFERROR(__xludf.DUMMYFUNCTION("""COMPUTED_VALUE"""),"Flourish Support")</f>
        <v>Flourish Support</v>
      </c>
    </row>
    <row r="22">
      <c r="O22" s="1" t="str">
        <f>IFERROR(__xludf.DUMMYFUNCTION("""COMPUTED_VALUE"""),"2025 Jun")</f>
        <v>2025 Jun</v>
      </c>
      <c r="P22" s="1" t="str">
        <f>IFERROR(__xludf.DUMMYFUNCTION("""COMPUTED_VALUE"""),"Core Product Support")</f>
        <v>Core Product Support</v>
      </c>
      <c r="Q22" s="1" t="str">
        <f>IFERROR(__xludf.DUMMYFUNCTION("""COMPUTED_VALUE"""),"angelm@canva.com")</f>
        <v>angelm@canva.com</v>
      </c>
      <c r="R22" s="1" t="str">
        <f>IFERROR(__xludf.DUMMYFUNCTION("""COMPUTED_VALUE"""),"Angel Medina")</f>
        <v>Angel Medina</v>
      </c>
      <c r="S22" s="1">
        <f>IFERROR(__xludf.DUMMYFUNCTION("""COMPUTED_VALUE"""),9.0)</f>
        <v>9</v>
      </c>
      <c r="T22" s="1">
        <f>IFERROR(__xludf.DUMMYFUNCTION("""COMPUTED_VALUE"""),9.0)</f>
        <v>9</v>
      </c>
      <c r="U22" s="2">
        <f>IFERROR(__xludf.DUMMYFUNCTION("""COMPUTED_VALUE"""),18.0)</f>
        <v>18</v>
      </c>
      <c r="V22" s="1" t="str">
        <f>IFERROR(__xludf.DUMMYFUNCTION("""COMPUTED_VALUE"""),"Ellaine Estayo")</f>
        <v>Ellaine Estayo</v>
      </c>
      <c r="W22" s="1" t="str">
        <f>IFERROR(__xludf.DUMMYFUNCTION("""COMPUTED_VALUE"""),"Core Product Support Escalation Team")</f>
        <v>Core Product Support Escalation Team</v>
      </c>
    </row>
    <row r="23">
      <c r="O23" s="1" t="str">
        <f>IFERROR(__xludf.DUMMYFUNCTION("""COMPUTED_VALUE"""),"2025 Jun")</f>
        <v>2025 Jun</v>
      </c>
      <c r="P23" s="1" t="str">
        <f>IFERROR(__xludf.DUMMYFUNCTION("""COMPUTED_VALUE"""),"Print Support")</f>
        <v>Print Support</v>
      </c>
      <c r="Q23" s="1" t="str">
        <f>IFERROR(__xludf.DUMMYFUNCTION("""COMPUTED_VALUE"""),"angelf@canva.com")</f>
        <v>angelf@canva.com</v>
      </c>
      <c r="R23" s="1" t="str">
        <f>IFERROR(__xludf.DUMMYFUNCTION("""COMPUTED_VALUE"""),"Angel Merilleno")</f>
        <v>Angel Merilleno</v>
      </c>
      <c r="S23" s="1">
        <f>IFERROR(__xludf.DUMMYFUNCTION("""COMPUTED_VALUE"""),1.0)</f>
        <v>1</v>
      </c>
      <c r="T23" s="1">
        <f>IFERROR(__xludf.DUMMYFUNCTION("""COMPUTED_VALUE"""),3.25)</f>
        <v>3.25</v>
      </c>
      <c r="U23" s="2">
        <f>IFERROR(__xludf.DUMMYFUNCTION("""COMPUTED_VALUE"""),4.25)</f>
        <v>4.25</v>
      </c>
      <c r="V23" s="1" t="str">
        <f>IFERROR(__xludf.DUMMYFUNCTION("""COMPUTED_VALUE"""),"Louise Dianne Estrella")</f>
        <v>Louise Dianne Estrella</v>
      </c>
      <c r="W23" s="1" t="str">
        <f>IFERROR(__xludf.DUMMYFUNCTION("""COMPUTED_VALUE"""),"Print Support PH")</f>
        <v>Print Support PH</v>
      </c>
    </row>
    <row r="24">
      <c r="O24" s="1" t="str">
        <f>IFERROR(__xludf.DUMMYFUNCTION("""COMPUTED_VALUE"""),"2025 Jun")</f>
        <v>2025 Jun</v>
      </c>
      <c r="P24" s="1" t="str">
        <f>IFERROR(__xludf.DUMMYFUNCTION("""COMPUTED_VALUE"""),"Core Product Support")</f>
        <v>Core Product Support</v>
      </c>
      <c r="Q24" s="1" t="str">
        <f>IFERROR(__xludf.DUMMYFUNCTION("""COMPUTED_VALUE"""),"angelic@canva.com")</f>
        <v>angelic@canva.com</v>
      </c>
      <c r="R24" s="1" t="str">
        <f>IFERROR(__xludf.DUMMYFUNCTION("""COMPUTED_VALUE"""),"Angel Ramas")</f>
        <v>Angel Ramas</v>
      </c>
      <c r="S24" s="1"/>
      <c r="T24" s="1">
        <f>IFERROR(__xludf.DUMMYFUNCTION("""COMPUTED_VALUE"""),12.33)</f>
        <v>12.33</v>
      </c>
      <c r="U24" s="2">
        <f>IFERROR(__xludf.DUMMYFUNCTION("""COMPUTED_VALUE"""),12.33)</f>
        <v>12.33</v>
      </c>
      <c r="V24" s="1" t="str">
        <f>IFERROR(__xludf.DUMMYFUNCTION("""COMPUTED_VALUE"""),"Marie Mordeno")</f>
        <v>Marie Mordeno</v>
      </c>
      <c r="W24" s="1" t="str">
        <f>IFERROR(__xludf.DUMMYFUNCTION("""COMPUTED_VALUE"""),"Advanced Billing &amp; Subscriptions")</f>
        <v>Advanced Billing &amp; Subscriptions</v>
      </c>
    </row>
    <row r="25">
      <c r="O25" s="1" t="str">
        <f>IFERROR(__xludf.DUMMYFUNCTION("""COMPUTED_VALUE"""),"2025 Jun")</f>
        <v>2025 Jun</v>
      </c>
      <c r="P25" s="1" t="str">
        <f>IFERROR(__xludf.DUMMYFUNCTION("""COMPUTED_VALUE"""),"Segment-specific Support")</f>
        <v>Segment-specific Support</v>
      </c>
      <c r="Q25" s="1" t="str">
        <f>IFERROR(__xludf.DUMMYFUNCTION("""COMPUTED_VALUE"""),"adflora@canva.com")</f>
        <v>adflora@canva.com</v>
      </c>
      <c r="R25" s="1" t="str">
        <f>IFERROR(__xludf.DUMMYFUNCTION("""COMPUTED_VALUE"""),"Angela Flora")</f>
        <v>Angela Flora</v>
      </c>
      <c r="S25" s="1">
        <f>IFERROR(__xludf.DUMMYFUNCTION("""COMPUTED_VALUE"""),0.75)</f>
        <v>0.75</v>
      </c>
      <c r="T25" s="1">
        <f>IFERROR(__xludf.DUMMYFUNCTION("""COMPUTED_VALUE"""),0.75)</f>
        <v>0.75</v>
      </c>
      <c r="U25" s="2">
        <f>IFERROR(__xludf.DUMMYFUNCTION("""COMPUTED_VALUE"""),1.5)</f>
        <v>1.5</v>
      </c>
      <c r="V25" s="1" t="str">
        <f>IFERROR(__xludf.DUMMYFUNCTION("""COMPUTED_VALUE"""),"Gucci Nava")</f>
        <v>Gucci Nava</v>
      </c>
      <c r="W25" s="1" t="str">
        <f>IFERROR(__xludf.DUMMYFUNCTION("""COMPUTED_VALUE"""),"Print Support PH")</f>
        <v>Print Support PH</v>
      </c>
    </row>
    <row r="26">
      <c r="O26" s="1" t="str">
        <f>IFERROR(__xludf.DUMMYFUNCTION("""COMPUTED_VALUE"""),"2025 Jun")</f>
        <v>2025 Jun</v>
      </c>
      <c r="P26" s="1" t="str">
        <f>IFERROR(__xludf.DUMMYFUNCTION("""COMPUTED_VALUE"""),"Core Product Support")</f>
        <v>Core Product Support</v>
      </c>
      <c r="Q26" s="1" t="str">
        <f>IFERROR(__xludf.DUMMYFUNCTION("""COMPUTED_VALUE"""),"annaalberto@canva.com")</f>
        <v>annaalberto@canva.com</v>
      </c>
      <c r="R26" s="1" t="str">
        <f>IFERROR(__xludf.DUMMYFUNCTION("""COMPUTED_VALUE"""),"Anna Alberto-Felipe")</f>
        <v>Anna Alberto-Felipe</v>
      </c>
      <c r="S26" s="1">
        <f>IFERROR(__xludf.DUMMYFUNCTION("""COMPUTED_VALUE"""),5.0)</f>
        <v>5</v>
      </c>
      <c r="T26" s="1">
        <f>IFERROR(__xludf.DUMMYFUNCTION("""COMPUTED_VALUE"""),1.5)</f>
        <v>1.5</v>
      </c>
      <c r="U26" s="2">
        <f>IFERROR(__xludf.DUMMYFUNCTION("""COMPUTED_VALUE"""),6.5)</f>
        <v>6.5</v>
      </c>
      <c r="V26" s="1" t="str">
        <f>IFERROR(__xludf.DUMMYFUNCTION("""COMPUTED_VALUE"""),"Jahmie Mae Barrameda")</f>
        <v>Jahmie Mae Barrameda</v>
      </c>
      <c r="W26" s="1" t="str">
        <f>IFERROR(__xludf.DUMMYFUNCTION("""COMPUTED_VALUE"""),"Advanced Billing &amp; Subscriptions")</f>
        <v>Advanced Billing &amp; Subscriptions</v>
      </c>
    </row>
    <row r="27">
      <c r="O27" s="1" t="str">
        <f>IFERROR(__xludf.DUMMYFUNCTION("""COMPUTED_VALUE"""),"2025 Jun")</f>
        <v>2025 Jun</v>
      </c>
      <c r="P27" s="1" t="str">
        <f>IFERROR(__xludf.DUMMYFUNCTION("""COMPUTED_VALUE"""),"Print Support")</f>
        <v>Print Support</v>
      </c>
      <c r="Q27" s="1" t="str">
        <f>IFERROR(__xludf.DUMMYFUNCTION("""COMPUTED_VALUE"""),"arcelie@canva.com")</f>
        <v>arcelie@canva.com</v>
      </c>
      <c r="R27" s="1" t="str">
        <f>IFERROR(__xludf.DUMMYFUNCTION("""COMPUTED_VALUE"""),"Arcie San Pedro")</f>
        <v>Arcie San Pedro</v>
      </c>
      <c r="S27" s="1">
        <f>IFERROR(__xludf.DUMMYFUNCTION("""COMPUTED_VALUE"""),1.0)</f>
        <v>1</v>
      </c>
      <c r="T27" s="1">
        <f>IFERROR(__xludf.DUMMYFUNCTION("""COMPUTED_VALUE"""),1.75)</f>
        <v>1.75</v>
      </c>
      <c r="U27" s="2">
        <f>IFERROR(__xludf.DUMMYFUNCTION("""COMPUTED_VALUE"""),2.75)</f>
        <v>2.75</v>
      </c>
      <c r="V27" s="1" t="str">
        <f>IFERROR(__xludf.DUMMYFUNCTION("""COMPUTED_VALUE"""),"Rae Erlano")</f>
        <v>Rae Erlano</v>
      </c>
      <c r="W27" s="1" t="str">
        <f>IFERROR(__xludf.DUMMYFUNCTION("""COMPUTED_VALUE"""),"Print Support PH")</f>
        <v>Print Support PH</v>
      </c>
    </row>
    <row r="28">
      <c r="O28" s="1" t="str">
        <f>IFERROR(__xludf.DUMMYFUNCTION("""COMPUTED_VALUE"""),"2025 Jun")</f>
        <v>2025 Jun</v>
      </c>
      <c r="P28" s="1" t="str">
        <f>IFERROR(__xludf.DUMMYFUNCTION("""COMPUTED_VALUE"""),"#N/A")</f>
        <v>#N/A</v>
      </c>
      <c r="Q28" s="1" t="str">
        <f>IFERROR(__xludf.DUMMYFUNCTION("""COMPUTED_VALUE"""),"ariellejoy@canva.com")</f>
        <v>ariellejoy@canva.com</v>
      </c>
      <c r="R28" s="1" t="str">
        <f>IFERROR(__xludf.DUMMYFUNCTION("""COMPUTED_VALUE"""),"Arielle Joy Goboleo")</f>
        <v>Arielle Joy Goboleo</v>
      </c>
      <c r="S28" s="1">
        <f>IFERROR(__xludf.DUMMYFUNCTION("""COMPUTED_VALUE"""),1.5)</f>
        <v>1.5</v>
      </c>
      <c r="T28" s="1">
        <f>IFERROR(__xludf.DUMMYFUNCTION("""COMPUTED_VALUE"""),1.75)</f>
        <v>1.75</v>
      </c>
      <c r="U28" s="2">
        <f>IFERROR(__xludf.DUMMYFUNCTION("""COMPUTED_VALUE"""),3.25)</f>
        <v>3.25</v>
      </c>
      <c r="V28" s="1" t="str">
        <f>IFERROR(__xludf.DUMMYFUNCTION("""COMPUTED_VALUE"""),"Rae Erlano")</f>
        <v>Rae Erlano</v>
      </c>
      <c r="W28" s="1" t="str">
        <f>IFERROR(__xludf.DUMMYFUNCTION("""COMPUTED_VALUE"""),"Print Support PH")</f>
        <v>Print Support PH</v>
      </c>
    </row>
    <row r="29">
      <c r="O29" s="1" t="str">
        <f>IFERROR(__xludf.DUMMYFUNCTION("""COMPUTED_VALUE"""),"2025 Jun")</f>
        <v>2025 Jun</v>
      </c>
      <c r="P29" s="1" t="str">
        <f>IFERROR(__xludf.DUMMYFUNCTION("""COMPUTED_VALUE"""),"Print Support")</f>
        <v>Print Support</v>
      </c>
      <c r="Q29" s="1" t="str">
        <f>IFERROR(__xludf.DUMMYFUNCTION("""COMPUTED_VALUE"""),"arjane@canva.com")</f>
        <v>arjane@canva.com</v>
      </c>
      <c r="R29" s="1" t="str">
        <f>IFERROR(__xludf.DUMMYFUNCTION("""COMPUTED_VALUE"""),"Arjane Oliva")</f>
        <v>Arjane Oliva</v>
      </c>
      <c r="S29" s="1">
        <f>IFERROR(__xludf.DUMMYFUNCTION("""COMPUTED_VALUE"""),3.67)</f>
        <v>3.67</v>
      </c>
      <c r="T29" s="1">
        <f>IFERROR(__xludf.DUMMYFUNCTION("""COMPUTED_VALUE"""),1.0)</f>
        <v>1</v>
      </c>
      <c r="U29" s="2">
        <f>IFERROR(__xludf.DUMMYFUNCTION("""COMPUTED_VALUE"""),4.67)</f>
        <v>4.67</v>
      </c>
      <c r="V29" s="1" t="str">
        <f>IFERROR(__xludf.DUMMYFUNCTION("""COMPUTED_VALUE"""),"Rei De Jesus")</f>
        <v>Rei De Jesus</v>
      </c>
      <c r="W29" s="1" t="str">
        <f>IFERROR(__xludf.DUMMYFUNCTION("""COMPUTED_VALUE"""),"Print Design Support")</f>
        <v>Print Design Support</v>
      </c>
    </row>
    <row r="30">
      <c r="O30" s="1" t="str">
        <f>IFERROR(__xludf.DUMMYFUNCTION("""COMPUTED_VALUE"""),"2025 Jun")</f>
        <v>2025 Jun</v>
      </c>
      <c r="P30" s="1" t="str">
        <f>IFERROR(__xludf.DUMMYFUNCTION("""COMPUTED_VALUE"""),"High Sensitivity Support")</f>
        <v>High Sensitivity Support</v>
      </c>
      <c r="Q30" s="1" t="str">
        <f>IFERROR(__xludf.DUMMYFUNCTION("""COMPUTED_VALUE"""),"arodes@canva.com")</f>
        <v>arodes@canva.com</v>
      </c>
      <c r="R30" s="1" t="str">
        <f>IFERROR(__xludf.DUMMYFUNCTION("""COMPUTED_VALUE"""),"Arriane Rodes")</f>
        <v>Arriane Rodes</v>
      </c>
      <c r="S30" s="1">
        <f>IFERROR(__xludf.DUMMYFUNCTION("""COMPUTED_VALUE"""),7.67)</f>
        <v>7.67</v>
      </c>
      <c r="T30" s="1">
        <f>IFERROR(__xludf.DUMMYFUNCTION("""COMPUTED_VALUE"""),3.22)</f>
        <v>3.22</v>
      </c>
      <c r="U30" s="2">
        <f>IFERROR(__xludf.DUMMYFUNCTION("""COMPUTED_VALUE"""),10.89)</f>
        <v>10.89</v>
      </c>
      <c r="V30" s="1" t="str">
        <f>IFERROR(__xludf.DUMMYFUNCTION("""COMPUTED_VALUE"""),"Xandy Azarcon")</f>
        <v>Xandy Azarcon</v>
      </c>
      <c r="W30" s="1" t="str">
        <f>IFERROR(__xludf.DUMMYFUNCTION("""COMPUTED_VALUE"""),"High Sensitivity Support PH")</f>
        <v>High Sensitivity Support PH</v>
      </c>
    </row>
    <row r="31">
      <c r="O31" s="1" t="str">
        <f>IFERROR(__xludf.DUMMYFUNCTION("""COMPUTED_VALUE"""),"2025 Jun")</f>
        <v>2025 Jun</v>
      </c>
      <c r="P31" s="1" t="str">
        <f>IFERROR(__xludf.DUMMYFUNCTION("""COMPUTED_VALUE"""),"Admin Support")</f>
        <v>Admin Support</v>
      </c>
      <c r="Q31" s="1" t="str">
        <f>IFERROR(__xludf.DUMMYFUNCTION("""COMPUTED_VALUE"""),"ashli@canva.com")</f>
        <v>ashli@canva.com</v>
      </c>
      <c r="R31" s="1" t="str">
        <f>IFERROR(__xludf.DUMMYFUNCTION("""COMPUTED_VALUE"""),"Ashli Hanson")</f>
        <v>Ashli Hanson</v>
      </c>
      <c r="S31" s="1">
        <f>IFERROR(__xludf.DUMMYFUNCTION("""COMPUTED_VALUE"""),1.0)</f>
        <v>1</v>
      </c>
      <c r="T31" s="1">
        <f>IFERROR(__xludf.DUMMYFUNCTION("""COMPUTED_VALUE"""),1.0)</f>
        <v>1</v>
      </c>
      <c r="U31" s="2">
        <f>IFERROR(__xludf.DUMMYFUNCTION("""COMPUTED_VALUE"""),2.0)</f>
        <v>2</v>
      </c>
      <c r="V31" s="1" t="str">
        <f>IFERROR(__xludf.DUMMYFUNCTION("""COMPUTED_VALUE"""),"Nate Vela")</f>
        <v>Nate Vela</v>
      </c>
      <c r="W31" s="1" t="str">
        <f>IFERROR(__xludf.DUMMYFUNCTION("""COMPUTED_VALUE"""),"Admin Support NA")</f>
        <v>Admin Support NA</v>
      </c>
    </row>
    <row r="32">
      <c r="O32" s="1" t="str">
        <f>IFERROR(__xludf.DUMMYFUNCTION("""COMPUTED_VALUE"""),"2025 Jun")</f>
        <v>2025 Jun</v>
      </c>
      <c r="P32" s="1" t="str">
        <f>IFERROR(__xludf.DUMMYFUNCTION("""COMPUTED_VALUE"""),"High Sensitivity Support")</f>
        <v>High Sensitivity Support</v>
      </c>
      <c r="Q32" s="1" t="str">
        <f>IFERROR(__xludf.DUMMYFUNCTION("""COMPUTED_VALUE"""),"aubrey@canva.com")</f>
        <v>aubrey@canva.com</v>
      </c>
      <c r="R32" s="1" t="str">
        <f>IFERROR(__xludf.DUMMYFUNCTION("""COMPUTED_VALUE"""),"Aubrey Jasme")</f>
        <v>Aubrey Jasme</v>
      </c>
      <c r="S32" s="1"/>
      <c r="T32" s="1">
        <f>IFERROR(__xludf.DUMMYFUNCTION("""COMPUTED_VALUE"""),6.07)</f>
        <v>6.07</v>
      </c>
      <c r="U32" s="2">
        <f>IFERROR(__xludf.DUMMYFUNCTION("""COMPUTED_VALUE"""),6.07)</f>
        <v>6.07</v>
      </c>
      <c r="V32" s="1" t="str">
        <f>IFERROR(__xludf.DUMMYFUNCTION("""COMPUTED_VALUE"""),"Rex Villamor")</f>
        <v>Rex Villamor</v>
      </c>
      <c r="W32" s="1" t="str">
        <f>IFERROR(__xludf.DUMMYFUNCTION("""COMPUTED_VALUE"""),"High Sensitivity Support PH")</f>
        <v>High Sensitivity Support PH</v>
      </c>
    </row>
    <row r="33">
      <c r="O33" s="1" t="str">
        <f>IFERROR(__xludf.DUMMYFUNCTION("""COMPUTED_VALUE"""),"2025 Jun")</f>
        <v>2025 Jun</v>
      </c>
      <c r="P33" s="1" t="str">
        <f>IFERROR(__xludf.DUMMYFUNCTION("""COMPUTED_VALUE"""),"#N/A")</f>
        <v>#N/A</v>
      </c>
      <c r="Q33" s="1" t="str">
        <f>IFERROR(__xludf.DUMMYFUNCTION("""COMPUTED_VALUE"""),"audrielles@canva.com")</f>
        <v>audrielles@canva.com</v>
      </c>
      <c r="R33" s="1" t="str">
        <f>IFERROR(__xludf.DUMMYFUNCTION("""COMPUTED_VALUE"""),"Audrielle Santos")</f>
        <v>Audrielle Santos</v>
      </c>
      <c r="S33" s="1">
        <f>IFERROR(__xludf.DUMMYFUNCTION("""COMPUTED_VALUE"""),1.17)</f>
        <v>1.17</v>
      </c>
      <c r="T33" s="1">
        <f>IFERROR(__xludf.DUMMYFUNCTION("""COMPUTED_VALUE"""),3.25)</f>
        <v>3.25</v>
      </c>
      <c r="U33" s="2">
        <f>IFERROR(__xludf.DUMMYFUNCTION("""COMPUTED_VALUE"""),4.42)</f>
        <v>4.42</v>
      </c>
      <c r="V33" s="1" t="str">
        <f>IFERROR(__xludf.DUMMYFUNCTION("""COMPUTED_VALUE"""),"Issi Afable")</f>
        <v>Issi Afable</v>
      </c>
      <c r="W33" s="1" t="str">
        <f>IFERROR(__xludf.DUMMYFUNCTION("""COMPUTED_VALUE"""),"High Sensitivity Support PH")</f>
        <v>High Sensitivity Support PH</v>
      </c>
    </row>
    <row r="34">
      <c r="O34" s="1" t="str">
        <f>IFERROR(__xludf.DUMMYFUNCTION("""COMPUTED_VALUE"""),"2025 Jun")</f>
        <v>2025 Jun</v>
      </c>
      <c r="P34" s="1" t="str">
        <f>IFERROR(__xludf.DUMMYFUNCTION("""COMPUTED_VALUE"""),"Core Product Support")</f>
        <v>Core Product Support</v>
      </c>
      <c r="Q34" s="1" t="str">
        <f>IFERROR(__xludf.DUMMYFUNCTION("""COMPUTED_VALUE"""),"ayen@canva.com")</f>
        <v>ayen@canva.com</v>
      </c>
      <c r="R34" s="1" t="str">
        <f>IFERROR(__xludf.DUMMYFUNCTION("""COMPUTED_VALUE"""),"Ayen Realeza")</f>
        <v>Ayen Realeza</v>
      </c>
      <c r="S34" s="1">
        <f>IFERROR(__xludf.DUMMYFUNCTION("""COMPUTED_VALUE"""),2.0)</f>
        <v>2</v>
      </c>
      <c r="T34" s="1">
        <f>IFERROR(__xludf.DUMMYFUNCTION("""COMPUTED_VALUE"""),1.5)</f>
        <v>1.5</v>
      </c>
      <c r="U34" s="2">
        <f>IFERROR(__xludf.DUMMYFUNCTION("""COMPUTED_VALUE"""),3.5)</f>
        <v>3.5</v>
      </c>
      <c r="V34" s="1" t="str">
        <f>IFERROR(__xludf.DUMMYFUNCTION("""COMPUTED_VALUE"""),"Jelyn Elmido")</f>
        <v>Jelyn Elmido</v>
      </c>
      <c r="W34" s="1" t="str">
        <f>IFERROR(__xludf.DUMMYFUNCTION("""COMPUTED_VALUE"""),"Core Product Support Escalation Team")</f>
        <v>Core Product Support Escalation Team</v>
      </c>
    </row>
    <row r="35">
      <c r="O35" s="1" t="str">
        <f>IFERROR(__xludf.DUMMYFUNCTION("""COMPUTED_VALUE"""),"2025 Jun")</f>
        <v>2025 Jun</v>
      </c>
      <c r="P35" s="1" t="str">
        <f>IFERROR(__xludf.DUMMYFUNCTION("""COMPUTED_VALUE"""),"#N/A")</f>
        <v>#N/A</v>
      </c>
      <c r="Q35" s="1" t="str">
        <f>IFERROR(__xludf.DUMMYFUNCTION("""COMPUTED_VALUE"""),"bamboo@canva.com")</f>
        <v>bamboo@canva.com</v>
      </c>
      <c r="R35" s="1" t="str">
        <f>IFERROR(__xludf.DUMMYFUNCTION("""COMPUTED_VALUE"""),"Bamboo Reymundo")</f>
        <v>Bamboo Reymundo</v>
      </c>
      <c r="S35" s="1"/>
      <c r="T35" s="1">
        <f>IFERROR(__xludf.DUMMYFUNCTION("""COMPUTED_VALUE"""),80.0)</f>
        <v>80</v>
      </c>
      <c r="U35" s="2">
        <f>IFERROR(__xludf.DUMMYFUNCTION("""COMPUTED_VALUE"""),80.0)</f>
        <v>80</v>
      </c>
      <c r="V35" s="1" t="str">
        <f>IFERROR(__xludf.DUMMYFUNCTION("""COMPUTED_VALUE"""),"Marie Mordeno")</f>
        <v>Marie Mordeno</v>
      </c>
      <c r="W35" s="1" t="str">
        <f>IFERROR(__xludf.DUMMYFUNCTION("""COMPUTED_VALUE"""),"Advanced Billing &amp; Subscriptions")</f>
        <v>Advanced Billing &amp; Subscriptions</v>
      </c>
    </row>
    <row r="36">
      <c r="O36" s="1" t="str">
        <f>IFERROR(__xludf.DUMMYFUNCTION("""COMPUTED_VALUE"""),"2025 Jun")</f>
        <v>2025 Jun</v>
      </c>
      <c r="P36" s="1" t="str">
        <f>IFERROR(__xludf.DUMMYFUNCTION("""COMPUTED_VALUE"""),"Print Support")</f>
        <v>Print Support</v>
      </c>
      <c r="Q36" s="1" t="str">
        <f>IFERROR(__xludf.DUMMYFUNCTION("""COMPUTED_VALUE"""),"jborreros@canva.com")</f>
        <v>jborreros@canva.com</v>
      </c>
      <c r="R36" s="1" t="str">
        <f>IFERROR(__xludf.DUMMYFUNCTION("""COMPUTED_VALUE"""),"Bea Borreros")</f>
        <v>Bea Borreros</v>
      </c>
      <c r="S36" s="1">
        <f>IFERROR(__xludf.DUMMYFUNCTION("""COMPUTED_VALUE"""),2.0)</f>
        <v>2</v>
      </c>
      <c r="T36" s="1">
        <f>IFERROR(__xludf.DUMMYFUNCTION("""COMPUTED_VALUE"""),1.75)</f>
        <v>1.75</v>
      </c>
      <c r="U36" s="2">
        <f>IFERROR(__xludf.DUMMYFUNCTION("""COMPUTED_VALUE"""),3.75)</f>
        <v>3.75</v>
      </c>
      <c r="V36" s="1" t="str">
        <f>IFERROR(__xludf.DUMMYFUNCTION("""COMPUTED_VALUE"""),"Memae Faustino")</f>
        <v>Memae Faustino</v>
      </c>
      <c r="W36" s="1" t="str">
        <f>IFERROR(__xludf.DUMMYFUNCTION("""COMPUTED_VALUE"""),"Print Support PH")</f>
        <v>Print Support PH</v>
      </c>
    </row>
    <row r="37">
      <c r="O37" s="1" t="str">
        <f>IFERROR(__xludf.DUMMYFUNCTION("""COMPUTED_VALUE"""),"2025 Jun")</f>
        <v>2025 Jun</v>
      </c>
      <c r="P37" s="1" t="str">
        <f>IFERROR(__xludf.DUMMYFUNCTION("""COMPUTED_VALUE"""),"Print Support")</f>
        <v>Print Support</v>
      </c>
      <c r="Q37" s="1" t="str">
        <f>IFERROR(__xludf.DUMMYFUNCTION("""COMPUTED_VALUE"""),"bea@canva.com")</f>
        <v>bea@canva.com</v>
      </c>
      <c r="R37" s="1" t="str">
        <f>IFERROR(__xludf.DUMMYFUNCTION("""COMPUTED_VALUE"""),"Bea Mendoza")</f>
        <v>Bea Mendoza</v>
      </c>
      <c r="S37" s="1">
        <f>IFERROR(__xludf.DUMMYFUNCTION("""COMPUTED_VALUE"""),5.0)</f>
        <v>5</v>
      </c>
      <c r="T37" s="1"/>
      <c r="U37" s="2">
        <f>IFERROR(__xludf.DUMMYFUNCTION("""COMPUTED_VALUE"""),5.0)</f>
        <v>5</v>
      </c>
      <c r="V37" s="1" t="str">
        <f>IFERROR(__xludf.DUMMYFUNCTION("""COMPUTED_VALUE"""),"Aliza Dote")</f>
        <v>Aliza Dote</v>
      </c>
      <c r="W37" s="1" t="str">
        <f>IFERROR(__xludf.DUMMYFUNCTION("""COMPUTED_VALUE"""),"Print Design Support")</f>
        <v>Print Design Support</v>
      </c>
    </row>
    <row r="38">
      <c r="O38" s="1" t="str">
        <f>IFERROR(__xludf.DUMMYFUNCTION("""COMPUTED_VALUE"""),"2025 Jun")</f>
        <v>2025 Jun</v>
      </c>
      <c r="P38" s="1" t="str">
        <f>IFERROR(__xludf.DUMMYFUNCTION("""COMPUTED_VALUE"""),"Print Support")</f>
        <v>Print Support</v>
      </c>
      <c r="Q38" s="1" t="str">
        <f>IFERROR(__xludf.DUMMYFUNCTION("""COMPUTED_VALUE"""),"bembiellanza@canva.com")</f>
        <v>bembiellanza@canva.com</v>
      </c>
      <c r="R38" s="1" t="str">
        <f>IFERROR(__xludf.DUMMYFUNCTION("""COMPUTED_VALUE"""),"Bembie Llanza")</f>
        <v>Bembie Llanza</v>
      </c>
      <c r="S38" s="1">
        <f>IFERROR(__xludf.DUMMYFUNCTION("""COMPUTED_VALUE"""),1.5)</f>
        <v>1.5</v>
      </c>
      <c r="T38" s="1">
        <f>IFERROR(__xludf.DUMMYFUNCTION("""COMPUTED_VALUE"""),1.75)</f>
        <v>1.75</v>
      </c>
      <c r="U38" s="2">
        <f>IFERROR(__xludf.DUMMYFUNCTION("""COMPUTED_VALUE"""),3.25)</f>
        <v>3.25</v>
      </c>
      <c r="V38" s="1" t="str">
        <f>IFERROR(__xludf.DUMMYFUNCTION("""COMPUTED_VALUE"""),"Althea Mercado")</f>
        <v>Althea Mercado</v>
      </c>
      <c r="W38" s="1" t="str">
        <f>IFERROR(__xludf.DUMMYFUNCTION("""COMPUTED_VALUE"""),"Print Support PH")</f>
        <v>Print Support PH</v>
      </c>
    </row>
    <row r="39">
      <c r="O39" s="1" t="str">
        <f>IFERROR(__xludf.DUMMYFUNCTION("""COMPUTED_VALUE"""),"2025 Jun")</f>
        <v>2025 Jun</v>
      </c>
      <c r="P39" s="1" t="str">
        <f>IFERROR(__xludf.DUMMYFUNCTION("""COMPUTED_VALUE"""),"Segment-specific Support")</f>
        <v>Segment-specific Support</v>
      </c>
      <c r="Q39" s="1" t="str">
        <f>IFERROR(__xludf.DUMMYFUNCTION("""COMPUTED_VALUE"""),"bernice@canva.com")</f>
        <v>bernice@canva.com</v>
      </c>
      <c r="R39" s="1" t="str">
        <f>IFERROR(__xludf.DUMMYFUNCTION("""COMPUTED_VALUE"""),"Bernice Talosig")</f>
        <v>Bernice Talosig</v>
      </c>
      <c r="S39" s="1">
        <f>IFERROR(__xludf.DUMMYFUNCTION("""COMPUTED_VALUE"""),1.5)</f>
        <v>1.5</v>
      </c>
      <c r="T39" s="1">
        <f>IFERROR(__xludf.DUMMYFUNCTION("""COMPUTED_VALUE"""),2.08)</f>
        <v>2.08</v>
      </c>
      <c r="U39" s="2">
        <f>IFERROR(__xludf.DUMMYFUNCTION("""COMPUTED_VALUE"""),3.58)</f>
        <v>3.58</v>
      </c>
      <c r="V39" s="1" t="str">
        <f>IFERROR(__xludf.DUMMYFUNCTION("""COMPUTED_VALUE"""),"Gucci Nava")</f>
        <v>Gucci Nava</v>
      </c>
      <c r="W39" s="1" t="str">
        <f>IFERROR(__xludf.DUMMYFUNCTION("""COMPUTED_VALUE"""),"Affinity Support")</f>
        <v>Affinity Support</v>
      </c>
    </row>
    <row r="40">
      <c r="O40" s="1" t="str">
        <f>IFERROR(__xludf.DUMMYFUNCTION("""COMPUTED_VALUE"""),"2025 Jun")</f>
        <v>2025 Jun</v>
      </c>
      <c r="P40" s="1" t="str">
        <f>IFERROR(__xludf.DUMMYFUNCTION("""COMPUTED_VALUE"""),"Core Product Support")</f>
        <v>Core Product Support</v>
      </c>
      <c r="Q40" s="1" t="str">
        <f>IFERROR(__xludf.DUMMYFUNCTION("""COMPUTED_VALUE"""),"beverlymarie@canva.com")</f>
        <v>beverlymarie@canva.com</v>
      </c>
      <c r="R40" s="1" t="str">
        <f>IFERROR(__xludf.DUMMYFUNCTION("""COMPUTED_VALUE"""),"Bev Dacanay")</f>
        <v>Bev Dacanay</v>
      </c>
      <c r="S40" s="1"/>
      <c r="T40" s="1"/>
      <c r="U40" s="2">
        <f>IFERROR(__xludf.DUMMYFUNCTION("""COMPUTED_VALUE"""),0.0)</f>
        <v>0</v>
      </c>
      <c r="V40" s="1" t="str">
        <f>IFERROR(__xludf.DUMMYFUNCTION("""COMPUTED_VALUE"""),"Ayza Marie Pascual")</f>
        <v>Ayza Marie Pascual</v>
      </c>
      <c r="W40" s="1" t="str">
        <f>IFERROR(__xludf.DUMMYFUNCTION("""COMPUTED_VALUE"""),"Advanced Billing &amp; Subscriptions")</f>
        <v>Advanced Billing &amp; Subscriptions</v>
      </c>
    </row>
    <row r="41">
      <c r="O41" s="1" t="str">
        <f>IFERROR(__xludf.DUMMYFUNCTION("""COMPUTED_VALUE"""),"2025 Jun")</f>
        <v>2025 Jun</v>
      </c>
      <c r="P41" s="1" t="str">
        <f>IFERROR(__xludf.DUMMYFUNCTION("""COMPUTED_VALUE"""),"Admin Support")</f>
        <v>Admin Support</v>
      </c>
      <c r="Q41" s="1" t="str">
        <f>IFERROR(__xludf.DUMMYFUNCTION("""COMPUTED_VALUE"""),"bia@canva.com")</f>
        <v>bia@canva.com</v>
      </c>
      <c r="R41" s="1" t="str">
        <f>IFERROR(__xludf.DUMMYFUNCTION("""COMPUTED_VALUE"""),"Bianca Santiago")</f>
        <v>Bianca Santiago</v>
      </c>
      <c r="S41" s="1"/>
      <c r="T41" s="1">
        <f>IFERROR(__xludf.DUMMYFUNCTION("""COMPUTED_VALUE"""),2.5)</f>
        <v>2.5</v>
      </c>
      <c r="U41" s="2">
        <f>IFERROR(__xludf.DUMMYFUNCTION("""COMPUTED_VALUE"""),2.5)</f>
        <v>2.5</v>
      </c>
      <c r="V41" s="1" t="str">
        <f>IFERROR(__xludf.DUMMYFUNCTION("""COMPUTED_VALUE"""),"Karla Mananghaya")</f>
        <v>Karla Mananghaya</v>
      </c>
      <c r="W41" s="1" t="str">
        <f>IFERROR(__xludf.DUMMYFUNCTION("""COMPUTED_VALUE"""),"Admin Support Service Escalation Team")</f>
        <v>Admin Support Service Escalation Team</v>
      </c>
    </row>
    <row r="42">
      <c r="O42" s="1" t="str">
        <f>IFERROR(__xludf.DUMMYFUNCTION("""COMPUTED_VALUE"""),"2025 Jun")</f>
        <v>2025 Jun</v>
      </c>
      <c r="P42" s="1" t="str">
        <f>IFERROR(__xludf.DUMMYFUNCTION("""COMPUTED_VALUE"""),"Core Product Support")</f>
        <v>Core Product Support</v>
      </c>
      <c r="Q42" s="1" t="str">
        <f>IFERROR(__xludf.DUMMYFUNCTION("""COMPUTED_VALUE"""),"bryanb@canva.com")</f>
        <v>bryanb@canva.com</v>
      </c>
      <c r="R42" s="1" t="str">
        <f>IFERROR(__xludf.DUMMYFUNCTION("""COMPUTED_VALUE"""),"Bryan Lemuel Britanico")</f>
        <v>Bryan Lemuel Britanico</v>
      </c>
      <c r="S42" s="1"/>
      <c r="T42" s="1">
        <f>IFERROR(__xludf.DUMMYFUNCTION("""COMPUTED_VALUE"""),2.0)</f>
        <v>2</v>
      </c>
      <c r="U42" s="2">
        <f>IFERROR(__xludf.DUMMYFUNCTION("""COMPUTED_VALUE"""),2.0)</f>
        <v>2</v>
      </c>
      <c r="V42" s="1" t="str">
        <f>IFERROR(__xludf.DUMMYFUNCTION("""COMPUTED_VALUE"""),"Jahmie Mae Barrameda")</f>
        <v>Jahmie Mae Barrameda</v>
      </c>
      <c r="W42" s="1" t="str">
        <f>IFERROR(__xludf.DUMMYFUNCTION("""COMPUTED_VALUE"""),"Advanced Billing &amp; Subscriptions")</f>
        <v>Advanced Billing &amp; Subscriptions</v>
      </c>
    </row>
    <row r="43">
      <c r="O43" s="1" t="str">
        <f>IFERROR(__xludf.DUMMYFUNCTION("""COMPUTED_VALUE"""),"2025 Jun")</f>
        <v>2025 Jun</v>
      </c>
      <c r="P43" s="1" t="str">
        <f>IFERROR(__xludf.DUMMYFUNCTION("""COMPUTED_VALUE"""),"Print Support")</f>
        <v>Print Support</v>
      </c>
      <c r="Q43" s="1" t="str">
        <f>IFERROR(__xludf.DUMMYFUNCTION("""COMPUTED_VALUE"""),"caesar@canva.com")</f>
        <v>caesar@canva.com</v>
      </c>
      <c r="R43" s="1" t="str">
        <f>IFERROR(__xludf.DUMMYFUNCTION("""COMPUTED_VALUE"""),"Caesar Bitudio")</f>
        <v>Caesar Bitudio</v>
      </c>
      <c r="S43" s="1">
        <f>IFERROR(__xludf.DUMMYFUNCTION("""COMPUTED_VALUE"""),2.0)</f>
        <v>2</v>
      </c>
      <c r="T43" s="1">
        <f>IFERROR(__xludf.DUMMYFUNCTION("""COMPUTED_VALUE"""),1.0)</f>
        <v>1</v>
      </c>
      <c r="U43" s="2">
        <f>IFERROR(__xludf.DUMMYFUNCTION("""COMPUTED_VALUE"""),3.0)</f>
        <v>3</v>
      </c>
      <c r="V43" s="1" t="str">
        <f>IFERROR(__xludf.DUMMYFUNCTION("""COMPUTED_VALUE"""),"G-Anne Murillo")</f>
        <v>G-Anne Murillo</v>
      </c>
      <c r="W43" s="1" t="str">
        <f>IFERROR(__xludf.DUMMYFUNCTION("""COMPUTED_VALUE"""),"Print Design Support")</f>
        <v>Print Design Support</v>
      </c>
    </row>
    <row r="44">
      <c r="O44" s="1" t="str">
        <f>IFERROR(__xludf.DUMMYFUNCTION("""COMPUTED_VALUE"""),"2025 Jun")</f>
        <v>2025 Jun</v>
      </c>
      <c r="P44" s="1" t="str">
        <f>IFERROR(__xludf.DUMMYFUNCTION("""COMPUTED_VALUE"""),"Core Product Support")</f>
        <v>Core Product Support</v>
      </c>
      <c r="Q44" s="1" t="str">
        <f>IFERROR(__xludf.DUMMYFUNCTION("""COMPUTED_VALUE"""),"cae@canva.com")</f>
        <v>cae@canva.com</v>
      </c>
      <c r="R44" s="1" t="str">
        <f>IFERROR(__xludf.DUMMYFUNCTION("""COMPUTED_VALUE"""),"Caevee Dizon")</f>
        <v>Caevee Dizon</v>
      </c>
      <c r="S44" s="1">
        <f>IFERROR(__xludf.DUMMYFUNCTION("""COMPUTED_VALUE"""),12.0)</f>
        <v>12</v>
      </c>
      <c r="T44" s="1">
        <f>IFERROR(__xludf.DUMMYFUNCTION("""COMPUTED_VALUE"""),12.0)</f>
        <v>12</v>
      </c>
      <c r="U44" s="2">
        <f>IFERROR(__xludf.DUMMYFUNCTION("""COMPUTED_VALUE"""),24.0)</f>
        <v>24</v>
      </c>
      <c r="V44" s="1" t="str">
        <f>IFERROR(__xludf.DUMMYFUNCTION("""COMPUTED_VALUE"""),"Jahmie Mae Barrameda")</f>
        <v>Jahmie Mae Barrameda</v>
      </c>
      <c r="W44" s="1" t="str">
        <f>IFERROR(__xludf.DUMMYFUNCTION("""COMPUTED_VALUE"""),"Advanced Billing &amp; Subscriptions")</f>
        <v>Advanced Billing &amp; Subscriptions</v>
      </c>
    </row>
    <row r="45">
      <c r="O45" s="1" t="str">
        <f>IFERROR(__xludf.DUMMYFUNCTION("""COMPUTED_VALUE"""),"2025 Jun")</f>
        <v>2025 Jun</v>
      </c>
      <c r="P45" s="1" t="str">
        <f>IFERROR(__xludf.DUMMYFUNCTION("""COMPUTED_VALUE"""),"#N/A")</f>
        <v>#N/A</v>
      </c>
      <c r="Q45" s="1" t="str">
        <f>IFERROR(__xludf.DUMMYFUNCTION("""COMPUTED_VALUE"""),"cali@canva.com")</f>
        <v>cali@canva.com</v>
      </c>
      <c r="R45" s="1" t="str">
        <f>IFERROR(__xludf.DUMMYFUNCTION("""COMPUTED_VALUE"""),"Cali Bermudo")</f>
        <v>Cali Bermudo</v>
      </c>
      <c r="S45" s="1">
        <f>IFERROR(__xludf.DUMMYFUNCTION("""COMPUTED_VALUE"""),2.58)</f>
        <v>2.58</v>
      </c>
      <c r="T45" s="1"/>
      <c r="U45" s="2">
        <f>IFERROR(__xludf.DUMMYFUNCTION("""COMPUTED_VALUE"""),2.58)</f>
        <v>2.58</v>
      </c>
      <c r="V45" s="1" t="str">
        <f>IFERROR(__xludf.DUMMYFUNCTION("""COMPUTED_VALUE"""),"#N/A")</f>
        <v>#N/A</v>
      </c>
      <c r="W45" s="1" t="str">
        <f>IFERROR(__xludf.DUMMYFUNCTION("""COMPUTED_VALUE"""),"Print Design Support")</f>
        <v>Print Design Support</v>
      </c>
    </row>
    <row r="46">
      <c r="O46" s="1" t="str">
        <f>IFERROR(__xludf.DUMMYFUNCTION("""COMPUTED_VALUE"""),"2025 Jun")</f>
        <v>2025 Jun</v>
      </c>
      <c r="P46" s="1" t="str">
        <f>IFERROR(__xludf.DUMMYFUNCTION("""COMPUTED_VALUE"""),"Admin Support")</f>
        <v>Admin Support</v>
      </c>
      <c r="Q46" s="1" t="str">
        <f>IFERROR(__xludf.DUMMYFUNCTION("""COMPUTED_VALUE"""),"cbasilio@canva.com")</f>
        <v>cbasilio@canva.com</v>
      </c>
      <c r="R46" s="1" t="str">
        <f>IFERROR(__xludf.DUMMYFUNCTION("""COMPUTED_VALUE"""),"Camille Basilio")</f>
        <v>Camille Basilio</v>
      </c>
      <c r="S46" s="1">
        <f>IFERROR(__xludf.DUMMYFUNCTION("""COMPUTED_VALUE"""),1.0)</f>
        <v>1</v>
      </c>
      <c r="T46" s="1">
        <f>IFERROR(__xludf.DUMMYFUNCTION("""COMPUTED_VALUE"""),2.5)</f>
        <v>2.5</v>
      </c>
      <c r="U46" s="2">
        <f>IFERROR(__xludf.DUMMYFUNCTION("""COMPUTED_VALUE"""),3.5)</f>
        <v>3.5</v>
      </c>
      <c r="V46" s="1" t="str">
        <f>IFERROR(__xludf.DUMMYFUNCTION("""COMPUTED_VALUE"""),"AL Suarez")</f>
        <v>AL Suarez</v>
      </c>
      <c r="W46" s="1" t="str">
        <f>IFERROR(__xludf.DUMMYFUNCTION("""COMPUTED_VALUE"""),"Admin Direct Support")</f>
        <v>Admin Direct Support</v>
      </c>
    </row>
    <row r="47">
      <c r="O47" s="1" t="str">
        <f>IFERROR(__xludf.DUMMYFUNCTION("""COMPUTED_VALUE"""),"2025 Jun")</f>
        <v>2025 Jun</v>
      </c>
      <c r="P47" s="1" t="str">
        <f>IFERROR(__xludf.DUMMYFUNCTION("""COMPUTED_VALUE"""),"Core Product Support")</f>
        <v>Core Product Support</v>
      </c>
      <c r="Q47" s="1" t="str">
        <f>IFERROR(__xludf.DUMMYFUNCTION("""COMPUTED_VALUE"""),"camilleb@canva.com")</f>
        <v>camilleb@canva.com</v>
      </c>
      <c r="R47" s="1" t="str">
        <f>IFERROR(__xludf.DUMMYFUNCTION("""COMPUTED_VALUE"""),"Camille Bucks")</f>
        <v>Camille Bucks</v>
      </c>
      <c r="S47" s="1"/>
      <c r="T47" s="1">
        <f>IFERROR(__xludf.DUMMYFUNCTION("""COMPUTED_VALUE"""),7.5)</f>
        <v>7.5</v>
      </c>
      <c r="U47" s="2">
        <f>IFERROR(__xludf.DUMMYFUNCTION("""COMPUTED_VALUE"""),7.5)</f>
        <v>7.5</v>
      </c>
      <c r="V47" s="1" t="str">
        <f>IFERROR(__xludf.DUMMYFUNCTION("""COMPUTED_VALUE"""),"Ellaine Estayo")</f>
        <v>Ellaine Estayo</v>
      </c>
      <c r="W47" s="1" t="str">
        <f>IFERROR(__xludf.DUMMYFUNCTION("""COMPUTED_VALUE"""),"Core Product Support Escalation Team")</f>
        <v>Core Product Support Escalation Team</v>
      </c>
    </row>
    <row r="48">
      <c r="O48" s="1" t="str">
        <f>IFERROR(__xludf.DUMMYFUNCTION("""COMPUTED_VALUE"""),"2025 Jun")</f>
        <v>2025 Jun</v>
      </c>
      <c r="P48" s="1" t="str">
        <f>IFERROR(__xludf.DUMMYFUNCTION("""COMPUTED_VALUE"""),"Admin Support")</f>
        <v>Admin Support</v>
      </c>
      <c r="Q48" s="1" t="str">
        <f>IFERROR(__xludf.DUMMYFUNCTION("""COMPUTED_VALUE"""),"camille.n@canva.com")</f>
        <v>camille.n@canva.com</v>
      </c>
      <c r="R48" s="1" t="str">
        <f>IFERROR(__xludf.DUMMYFUNCTION("""COMPUTED_VALUE"""),"Camille Neypes")</f>
        <v>Camille Neypes</v>
      </c>
      <c r="S48" s="1"/>
      <c r="T48" s="1">
        <f>IFERROR(__xludf.DUMMYFUNCTION("""COMPUTED_VALUE"""),1.0)</f>
        <v>1</v>
      </c>
      <c r="U48" s="2">
        <f>IFERROR(__xludf.DUMMYFUNCTION("""COMPUTED_VALUE"""),1.0)</f>
        <v>1</v>
      </c>
      <c r="V48" s="1" t="str">
        <f>IFERROR(__xludf.DUMMYFUNCTION("""COMPUTED_VALUE"""),"Kelden Laguting")</f>
        <v>Kelden Laguting</v>
      </c>
      <c r="W48" s="1" t="str">
        <f>IFERROR(__xludf.DUMMYFUNCTION("""COMPUTED_VALUE"""),"Admin Omni Support")</f>
        <v>Admin Omni Support</v>
      </c>
    </row>
    <row r="49">
      <c r="O49" s="1" t="str">
        <f>IFERROR(__xludf.DUMMYFUNCTION("""COMPUTED_VALUE"""),"2025 Jun")</f>
        <v>2025 Jun</v>
      </c>
      <c r="P49" s="1" t="str">
        <f>IFERROR(__xludf.DUMMYFUNCTION("""COMPUTED_VALUE"""),"Print Support")</f>
        <v>Print Support</v>
      </c>
      <c r="Q49" s="1" t="str">
        <f>IFERROR(__xludf.DUMMYFUNCTION("""COMPUTED_VALUE"""),"cammy@canva.com")</f>
        <v>cammy@canva.com</v>
      </c>
      <c r="R49" s="1" t="str">
        <f>IFERROR(__xludf.DUMMYFUNCTION("""COMPUTED_VALUE"""),"Camille Oriel")</f>
        <v>Camille Oriel</v>
      </c>
      <c r="S49" s="1">
        <f>IFERROR(__xludf.DUMMYFUNCTION("""COMPUTED_VALUE"""),2.25)</f>
        <v>2.25</v>
      </c>
      <c r="T49" s="1">
        <f>IFERROR(__xludf.DUMMYFUNCTION("""COMPUTED_VALUE"""),1.75)</f>
        <v>1.75</v>
      </c>
      <c r="U49" s="2">
        <f>IFERROR(__xludf.DUMMYFUNCTION("""COMPUTED_VALUE"""),4.0)</f>
        <v>4</v>
      </c>
      <c r="V49" s="1" t="str">
        <f>IFERROR(__xludf.DUMMYFUNCTION("""COMPUTED_VALUE"""),"Louise Dianne Estrella")</f>
        <v>Louise Dianne Estrella</v>
      </c>
      <c r="W49" s="1" t="str">
        <f>IFERROR(__xludf.DUMMYFUNCTION("""COMPUTED_VALUE"""),"Print Support PH")</f>
        <v>Print Support PH</v>
      </c>
    </row>
    <row r="50">
      <c r="O50" s="1" t="str">
        <f>IFERROR(__xludf.DUMMYFUNCTION("""COMPUTED_VALUE"""),"2025 Jun")</f>
        <v>2025 Jun</v>
      </c>
      <c r="P50" s="1" t="str">
        <f>IFERROR(__xludf.DUMMYFUNCTION("""COMPUTED_VALUE"""),"Admin Support")</f>
        <v>Admin Support</v>
      </c>
      <c r="Q50" s="1" t="str">
        <f>IFERROR(__xludf.DUMMYFUNCTION("""COMPUTED_VALUE"""),"carloav@canva.com")</f>
        <v>carloav@canva.com</v>
      </c>
      <c r="R50" s="1" t="str">
        <f>IFERROR(__xludf.DUMMYFUNCTION("""COMPUTED_VALUE"""),"Carlo Valentin")</f>
        <v>Carlo Valentin</v>
      </c>
      <c r="S50" s="1">
        <f>IFERROR(__xludf.DUMMYFUNCTION("""COMPUTED_VALUE"""),1.0)</f>
        <v>1</v>
      </c>
      <c r="T50" s="1">
        <f>IFERROR(__xludf.DUMMYFUNCTION("""COMPUTED_VALUE"""),2.25)</f>
        <v>2.25</v>
      </c>
      <c r="U50" s="2">
        <f>IFERROR(__xludf.DUMMYFUNCTION("""COMPUTED_VALUE"""),3.25)</f>
        <v>3.25</v>
      </c>
      <c r="V50" s="1" t="str">
        <f>IFERROR(__xludf.DUMMYFUNCTION("""COMPUTED_VALUE"""),"Kelden Laguting")</f>
        <v>Kelden Laguting</v>
      </c>
      <c r="W50" s="1" t="str">
        <f>IFERROR(__xludf.DUMMYFUNCTION("""COMPUTED_VALUE"""),"Admin Omni Support")</f>
        <v>Admin Omni Support</v>
      </c>
    </row>
    <row r="51">
      <c r="O51" s="1" t="str">
        <f>IFERROR(__xludf.DUMMYFUNCTION("""COMPUTED_VALUE"""),"2025 Jun")</f>
        <v>2025 Jun</v>
      </c>
      <c r="P51" s="1" t="str">
        <f>IFERROR(__xludf.DUMMYFUNCTION("""COMPUTED_VALUE"""),"Core Product Support")</f>
        <v>Core Product Support</v>
      </c>
      <c r="Q51" s="1" t="str">
        <f>IFERROR(__xludf.DUMMYFUNCTION("""COMPUTED_VALUE"""),"carmeladc@canva.com")</f>
        <v>carmeladc@canva.com</v>
      </c>
      <c r="R51" s="1" t="str">
        <f>IFERROR(__xludf.DUMMYFUNCTION("""COMPUTED_VALUE"""),"Carmela Dela Cruz")</f>
        <v>Carmela Dela Cruz</v>
      </c>
      <c r="S51" s="1"/>
      <c r="T51" s="1">
        <f>IFERROR(__xludf.DUMMYFUNCTION("""COMPUTED_VALUE"""),56.0)</f>
        <v>56</v>
      </c>
      <c r="U51" s="2">
        <f>IFERROR(__xludf.DUMMYFUNCTION("""COMPUTED_VALUE"""),56.0)</f>
        <v>56</v>
      </c>
      <c r="V51" s="1" t="str">
        <f>IFERROR(__xludf.DUMMYFUNCTION("""COMPUTED_VALUE"""),"Marie Mordeno")</f>
        <v>Marie Mordeno</v>
      </c>
      <c r="W51" s="1" t="str">
        <f>IFERROR(__xludf.DUMMYFUNCTION("""COMPUTED_VALUE"""),"Advanced Billing &amp; Subscriptions")</f>
        <v>Advanced Billing &amp; Subscriptions</v>
      </c>
    </row>
    <row r="52">
      <c r="O52" s="1" t="str">
        <f>IFERROR(__xludf.DUMMYFUNCTION("""COMPUTED_VALUE"""),"2025 Jun")</f>
        <v>2025 Jun</v>
      </c>
      <c r="P52" s="1" t="str">
        <f>IFERROR(__xludf.DUMMYFUNCTION("""COMPUTED_VALUE"""),"Print Support")</f>
        <v>Print Support</v>
      </c>
      <c r="Q52" s="1" t="str">
        <f>IFERROR(__xludf.DUMMYFUNCTION("""COMPUTED_VALUE"""),"carms@canva.com")</f>
        <v>carms@canva.com</v>
      </c>
      <c r="R52" s="1" t="str">
        <f>IFERROR(__xludf.DUMMYFUNCTION("""COMPUTED_VALUE"""),"Carms Merilles")</f>
        <v>Carms Merilles</v>
      </c>
      <c r="S52" s="1">
        <f>IFERROR(__xludf.DUMMYFUNCTION("""COMPUTED_VALUE"""),3.5)</f>
        <v>3.5</v>
      </c>
      <c r="T52" s="1">
        <f>IFERROR(__xludf.DUMMYFUNCTION("""COMPUTED_VALUE"""),1.5)</f>
        <v>1.5</v>
      </c>
      <c r="U52" s="2">
        <f>IFERROR(__xludf.DUMMYFUNCTION("""COMPUTED_VALUE"""),5.0)</f>
        <v>5</v>
      </c>
      <c r="V52" s="1" t="str">
        <f>IFERROR(__xludf.DUMMYFUNCTION("""COMPUTED_VALUE"""),"Gem Agoncillo")</f>
        <v>Gem Agoncillo</v>
      </c>
      <c r="W52" s="1" t="str">
        <f>IFERROR(__xludf.DUMMYFUNCTION("""COMPUTED_VALUE"""),"Print Design Support")</f>
        <v>Print Design Support</v>
      </c>
    </row>
    <row r="53">
      <c r="O53" s="1" t="str">
        <f>IFERROR(__xludf.DUMMYFUNCTION("""COMPUTED_VALUE"""),"2025 Jun")</f>
        <v>2025 Jun</v>
      </c>
      <c r="P53" s="1" t="str">
        <f>IFERROR(__xludf.DUMMYFUNCTION("""COMPUTED_VALUE"""),"High Sensitivity Support")</f>
        <v>High Sensitivity Support</v>
      </c>
      <c r="Q53" s="1" t="str">
        <f>IFERROR(__xludf.DUMMYFUNCTION("""COMPUTED_VALUE"""),"cassie@canva.com")</f>
        <v>cassie@canva.com</v>
      </c>
      <c r="R53" s="1" t="str">
        <f>IFERROR(__xludf.DUMMYFUNCTION("""COMPUTED_VALUE"""),"Cassie Eugenio")</f>
        <v>Cassie Eugenio</v>
      </c>
      <c r="S53" s="1">
        <f>IFERROR(__xludf.DUMMYFUNCTION("""COMPUTED_VALUE"""),4.67)</f>
        <v>4.67</v>
      </c>
      <c r="T53" s="1">
        <f>IFERROR(__xludf.DUMMYFUNCTION("""COMPUTED_VALUE"""),5.08)</f>
        <v>5.08</v>
      </c>
      <c r="U53" s="2">
        <f>IFERROR(__xludf.DUMMYFUNCTION("""COMPUTED_VALUE"""),9.75)</f>
        <v>9.75</v>
      </c>
      <c r="V53" s="1" t="str">
        <f>IFERROR(__xludf.DUMMYFUNCTION("""COMPUTED_VALUE"""),"Issi Afable")</f>
        <v>Issi Afable</v>
      </c>
      <c r="W53" s="1" t="str">
        <f>IFERROR(__xludf.DUMMYFUNCTION("""COMPUTED_VALUE"""),"High Sensitivity Support PH")</f>
        <v>High Sensitivity Support PH</v>
      </c>
    </row>
    <row r="54">
      <c r="O54" s="1" t="str">
        <f>IFERROR(__xludf.DUMMYFUNCTION("""COMPUTED_VALUE"""),"2025 Jun")</f>
        <v>2025 Jun</v>
      </c>
      <c r="P54" s="1" t="str">
        <f>IFERROR(__xludf.DUMMYFUNCTION("""COMPUTED_VALUE"""),"Print Support")</f>
        <v>Print Support</v>
      </c>
      <c r="Q54" s="1" t="str">
        <f>IFERROR(__xludf.DUMMYFUNCTION("""COMPUTED_VALUE"""),"catherinenicole@canva.com")</f>
        <v>catherinenicole@canva.com</v>
      </c>
      <c r="R54" s="1" t="str">
        <f>IFERROR(__xludf.DUMMYFUNCTION("""COMPUTED_VALUE"""),"Catherine Ledesma")</f>
        <v>Catherine Ledesma</v>
      </c>
      <c r="S54" s="1">
        <f>IFERROR(__xludf.DUMMYFUNCTION("""COMPUTED_VALUE"""),2.0)</f>
        <v>2</v>
      </c>
      <c r="T54" s="1">
        <f>IFERROR(__xludf.DUMMYFUNCTION("""COMPUTED_VALUE"""),1.75)</f>
        <v>1.75</v>
      </c>
      <c r="U54" s="2">
        <f>IFERROR(__xludf.DUMMYFUNCTION("""COMPUTED_VALUE"""),3.75)</f>
        <v>3.75</v>
      </c>
      <c r="V54" s="1" t="str">
        <f>IFERROR(__xludf.DUMMYFUNCTION("""COMPUTED_VALUE"""),"Jen Momo")</f>
        <v>Jen Momo</v>
      </c>
      <c r="W54" s="1" t="str">
        <f>IFERROR(__xludf.DUMMYFUNCTION("""COMPUTED_VALUE"""),"Print Support PH")</f>
        <v>Print Support PH</v>
      </c>
    </row>
    <row r="55">
      <c r="O55" s="1" t="str">
        <f>IFERROR(__xludf.DUMMYFUNCTION("""COMPUTED_VALUE"""),"2025 Jun")</f>
        <v>2025 Jun</v>
      </c>
      <c r="P55" s="1" t="str">
        <f>IFERROR(__xludf.DUMMYFUNCTION("""COMPUTED_VALUE"""),"Core Product Support")</f>
        <v>Core Product Support</v>
      </c>
      <c r="Q55" s="1" t="str">
        <f>IFERROR(__xludf.DUMMYFUNCTION("""COMPUTED_VALUE"""),"laranang@canva.com")</f>
        <v>laranang@canva.com</v>
      </c>
      <c r="R55" s="1" t="str">
        <f>IFERROR(__xludf.DUMMYFUNCTION("""COMPUTED_VALUE"""),"Cha Laranang")</f>
        <v>Cha Laranang</v>
      </c>
      <c r="S55" s="1">
        <f>IFERROR(__xludf.DUMMYFUNCTION("""COMPUTED_VALUE"""),12.0)</f>
        <v>12</v>
      </c>
      <c r="T55" s="1">
        <f>IFERROR(__xludf.DUMMYFUNCTION("""COMPUTED_VALUE"""),1.0)</f>
        <v>1</v>
      </c>
      <c r="U55" s="2">
        <f>IFERROR(__xludf.DUMMYFUNCTION("""COMPUTED_VALUE"""),13.0)</f>
        <v>13</v>
      </c>
      <c r="V55" s="1" t="str">
        <f>IFERROR(__xludf.DUMMYFUNCTION("""COMPUTED_VALUE"""),"Cate Velasco")</f>
        <v>Cate Velasco</v>
      </c>
      <c r="W55" s="1" t="str">
        <f>IFERROR(__xludf.DUMMYFUNCTION("""COMPUTED_VALUE"""),"Advanced Product Support")</f>
        <v>Advanced Product Support</v>
      </c>
    </row>
    <row r="56">
      <c r="O56" s="1" t="str">
        <f>IFERROR(__xludf.DUMMYFUNCTION("""COMPUTED_VALUE"""),"2025 Jun")</f>
        <v>2025 Jun</v>
      </c>
      <c r="P56" s="1" t="str">
        <f>IFERROR(__xludf.DUMMYFUNCTION("""COMPUTED_VALUE"""),"Core Product Support")</f>
        <v>Core Product Support</v>
      </c>
      <c r="Q56" s="1" t="str">
        <f>IFERROR(__xludf.DUMMYFUNCTION("""COMPUTED_VALUE"""),"chace@canva.com")</f>
        <v>chace@canva.com</v>
      </c>
      <c r="R56" s="1" t="str">
        <f>IFERROR(__xludf.DUMMYFUNCTION("""COMPUTED_VALUE"""),"Chace Ablaza")</f>
        <v>Chace Ablaza</v>
      </c>
      <c r="S56" s="1"/>
      <c r="T56" s="1"/>
      <c r="U56" s="2">
        <f>IFERROR(__xludf.DUMMYFUNCTION("""COMPUTED_VALUE"""),0.0)</f>
        <v>0</v>
      </c>
      <c r="V56" s="1" t="str">
        <f>IFERROR(__xludf.DUMMYFUNCTION("""COMPUTED_VALUE"""),"Ellaine Estayo")</f>
        <v>Ellaine Estayo</v>
      </c>
      <c r="W56" s="1" t="str">
        <f>IFERROR(__xludf.DUMMYFUNCTION("""COMPUTED_VALUE"""),"Core Product Support Escalation Team")</f>
        <v>Core Product Support Escalation Team</v>
      </c>
    </row>
    <row r="57">
      <c r="O57" s="1" t="str">
        <f>IFERROR(__xludf.DUMMYFUNCTION("""COMPUTED_VALUE"""),"2025 Jun")</f>
        <v>2025 Jun</v>
      </c>
      <c r="P57" s="1" t="str">
        <f>IFERROR(__xludf.DUMMYFUNCTION("""COMPUTED_VALUE"""),"Core Product Support")</f>
        <v>Core Product Support</v>
      </c>
      <c r="Q57" s="1" t="str">
        <f>IFERROR(__xludf.DUMMYFUNCTION("""COMPUTED_VALUE"""),"charissa@canva.com")</f>
        <v>charissa@canva.com</v>
      </c>
      <c r="R57" s="1" t="str">
        <f>IFERROR(__xludf.DUMMYFUNCTION("""COMPUTED_VALUE"""),"Charissa Goyena")</f>
        <v>Charissa Goyena</v>
      </c>
      <c r="S57" s="1">
        <f>IFERROR(__xludf.DUMMYFUNCTION("""COMPUTED_VALUE"""),9.0)</f>
        <v>9</v>
      </c>
      <c r="T57" s="1">
        <f>IFERROR(__xludf.DUMMYFUNCTION("""COMPUTED_VALUE"""),1.0)</f>
        <v>1</v>
      </c>
      <c r="U57" s="2">
        <f>IFERROR(__xludf.DUMMYFUNCTION("""COMPUTED_VALUE"""),10.0)</f>
        <v>10</v>
      </c>
      <c r="V57" s="1" t="str">
        <f>IFERROR(__xludf.DUMMYFUNCTION("""COMPUTED_VALUE"""),"Vinz Lazaro")</f>
        <v>Vinz Lazaro</v>
      </c>
      <c r="W57" s="1" t="str">
        <f>IFERROR(__xludf.DUMMYFUNCTION("""COMPUTED_VALUE"""),"Advanced Product Support")</f>
        <v>Advanced Product Support</v>
      </c>
    </row>
    <row r="58">
      <c r="O58" s="1" t="str">
        <f>IFERROR(__xludf.DUMMYFUNCTION("""COMPUTED_VALUE"""),"2025 Jun")</f>
        <v>2025 Jun</v>
      </c>
      <c r="P58" s="1" t="str">
        <f>IFERROR(__xludf.DUMMYFUNCTION("""COMPUTED_VALUE"""),"Segment-specific Support")</f>
        <v>Segment-specific Support</v>
      </c>
      <c r="Q58" s="1" t="str">
        <f>IFERROR(__xludf.DUMMYFUNCTION("""COMPUTED_VALUE"""),"charizavargas@canva.com")</f>
        <v>charizavargas@canva.com</v>
      </c>
      <c r="R58" s="1" t="str">
        <f>IFERROR(__xludf.DUMMYFUNCTION("""COMPUTED_VALUE"""),"Chariza Vargas")</f>
        <v>Chariza Vargas</v>
      </c>
      <c r="S58" s="1">
        <f>IFERROR(__xludf.DUMMYFUNCTION("""COMPUTED_VALUE"""),1.5)</f>
        <v>1.5</v>
      </c>
      <c r="T58" s="1"/>
      <c r="U58" s="2">
        <f>IFERROR(__xludf.DUMMYFUNCTION("""COMPUTED_VALUE"""),1.5)</f>
        <v>1.5</v>
      </c>
      <c r="V58" s="1" t="str">
        <f>IFERROR(__xludf.DUMMYFUNCTION("""COMPUTED_VALUE"""),"Aileen Dayanghirang")</f>
        <v>Aileen Dayanghirang</v>
      </c>
      <c r="W58" s="1" t="str">
        <f>IFERROR(__xludf.DUMMYFUNCTION("""COMPUTED_VALUE"""),"Creators Support")</f>
        <v>Creators Support</v>
      </c>
    </row>
    <row r="59">
      <c r="O59" s="1" t="str">
        <f>IFERROR(__xludf.DUMMYFUNCTION("""COMPUTED_VALUE"""),"2025 Jun")</f>
        <v>2025 Jun</v>
      </c>
      <c r="P59" s="1" t="str">
        <f>IFERROR(__xludf.DUMMYFUNCTION("""COMPUTED_VALUE"""),"Admin Support")</f>
        <v>Admin Support</v>
      </c>
      <c r="Q59" s="1" t="str">
        <f>IFERROR(__xludf.DUMMYFUNCTION("""COMPUTED_VALUE"""),"charlest@canva.com")</f>
        <v>charlest@canva.com</v>
      </c>
      <c r="R59" s="1" t="str">
        <f>IFERROR(__xludf.DUMMYFUNCTION("""COMPUTED_VALUE"""),"Charles Andrew Tan")</f>
        <v>Charles Andrew Tan</v>
      </c>
      <c r="S59" s="1"/>
      <c r="T59" s="1"/>
      <c r="U59" s="2">
        <f>IFERROR(__xludf.DUMMYFUNCTION("""COMPUTED_VALUE"""),0.0)</f>
        <v>0</v>
      </c>
      <c r="V59" s="1" t="str">
        <f>IFERROR(__xludf.DUMMYFUNCTION("""COMPUTED_VALUE"""),"Kelden Laguting")</f>
        <v>Kelden Laguting</v>
      </c>
      <c r="W59" s="1" t="str">
        <f>IFERROR(__xludf.DUMMYFUNCTION("""COMPUTED_VALUE"""),"Admin Omni Support")</f>
        <v>Admin Omni Support</v>
      </c>
    </row>
    <row r="60">
      <c r="O60" s="1" t="str">
        <f>IFERROR(__xludf.DUMMYFUNCTION("""COMPUTED_VALUE"""),"2025 Jun")</f>
        <v>2025 Jun</v>
      </c>
      <c r="P60" s="1" t="str">
        <f>IFERROR(__xludf.DUMMYFUNCTION("""COMPUTED_VALUE"""),"Core Product Support")</f>
        <v>Core Product Support</v>
      </c>
      <c r="Q60" s="1" t="str">
        <f>IFERROR(__xludf.DUMMYFUNCTION("""COMPUTED_VALUE"""),"charmb@canva.com")</f>
        <v>charmb@canva.com</v>
      </c>
      <c r="R60" s="1" t="str">
        <f>IFERROR(__xludf.DUMMYFUNCTION("""COMPUTED_VALUE"""),"Charm Bansil")</f>
        <v>Charm Bansil</v>
      </c>
      <c r="S60" s="1"/>
      <c r="T60" s="1">
        <f>IFERROR(__xludf.DUMMYFUNCTION("""COMPUTED_VALUE"""),16.0)</f>
        <v>16</v>
      </c>
      <c r="U60" s="2">
        <f>IFERROR(__xludf.DUMMYFUNCTION("""COMPUTED_VALUE"""),16.0)</f>
        <v>16</v>
      </c>
      <c r="V60" s="1" t="str">
        <f>IFERROR(__xludf.DUMMYFUNCTION("""COMPUTED_VALUE"""),"Ana Lazaro")</f>
        <v>Ana Lazaro</v>
      </c>
      <c r="W60" s="1" t="str">
        <f>IFERROR(__xludf.DUMMYFUNCTION("""COMPUTED_VALUE"""),"Advanced Billing &amp; Subscriptions")</f>
        <v>Advanced Billing &amp; Subscriptions</v>
      </c>
    </row>
    <row r="61">
      <c r="O61" s="1" t="str">
        <f>IFERROR(__xludf.DUMMYFUNCTION("""COMPUTED_VALUE"""),"2025 Jun")</f>
        <v>2025 Jun</v>
      </c>
      <c r="P61" s="1" t="str">
        <f>IFERROR(__xludf.DUMMYFUNCTION("""COMPUTED_VALUE"""),"Print Support")</f>
        <v>Print Support</v>
      </c>
      <c r="Q61" s="1" t="str">
        <f>IFERROR(__xludf.DUMMYFUNCTION("""COMPUTED_VALUE"""),"catherine@canva.com")</f>
        <v>catherine@canva.com</v>
      </c>
      <c r="R61" s="1" t="str">
        <f>IFERROR(__xludf.DUMMYFUNCTION("""COMPUTED_VALUE"""),"Cheche Ramirez")</f>
        <v>Cheche Ramirez</v>
      </c>
      <c r="S61" s="1">
        <f>IFERROR(__xludf.DUMMYFUNCTION("""COMPUTED_VALUE"""),0.5)</f>
        <v>0.5</v>
      </c>
      <c r="T61" s="1">
        <f>IFERROR(__xludf.DUMMYFUNCTION("""COMPUTED_VALUE"""),5.75)</f>
        <v>5.75</v>
      </c>
      <c r="U61" s="2">
        <f>IFERROR(__xludf.DUMMYFUNCTION("""COMPUTED_VALUE"""),6.25)</f>
        <v>6.25</v>
      </c>
      <c r="V61" s="1" t="str">
        <f>IFERROR(__xludf.DUMMYFUNCTION("""COMPUTED_VALUE"""),"Jen Momo")</f>
        <v>Jen Momo</v>
      </c>
      <c r="W61" s="1" t="str">
        <f>IFERROR(__xludf.DUMMYFUNCTION("""COMPUTED_VALUE"""),"Print Support PH")</f>
        <v>Print Support PH</v>
      </c>
    </row>
    <row r="62">
      <c r="O62" s="1" t="str">
        <f>IFERROR(__xludf.DUMMYFUNCTION("""COMPUTED_VALUE"""),"2025 Jun")</f>
        <v>2025 Jun</v>
      </c>
      <c r="P62" s="1" t="str">
        <f>IFERROR(__xludf.DUMMYFUNCTION("""COMPUTED_VALUE"""),"Core Product Support")</f>
        <v>Core Product Support</v>
      </c>
      <c r="Q62" s="1" t="str">
        <f>IFERROR(__xludf.DUMMYFUNCTION("""COMPUTED_VALUE"""),"chesca@canva.com")</f>
        <v>chesca@canva.com</v>
      </c>
      <c r="R62" s="1" t="str">
        <f>IFERROR(__xludf.DUMMYFUNCTION("""COMPUTED_VALUE"""),"Chesca Martos")</f>
        <v>Chesca Martos</v>
      </c>
      <c r="S62" s="1"/>
      <c r="T62" s="1">
        <f>IFERROR(__xludf.DUMMYFUNCTION("""COMPUTED_VALUE"""),0.5)</f>
        <v>0.5</v>
      </c>
      <c r="U62" s="2">
        <f>IFERROR(__xludf.DUMMYFUNCTION("""COMPUTED_VALUE"""),0.5)</f>
        <v>0.5</v>
      </c>
      <c r="V62" s="1" t="str">
        <f>IFERROR(__xludf.DUMMYFUNCTION("""COMPUTED_VALUE"""),"Ayza Marie Pascual")</f>
        <v>Ayza Marie Pascual</v>
      </c>
      <c r="W62" s="1" t="str">
        <f>IFERROR(__xludf.DUMMYFUNCTION("""COMPUTED_VALUE"""),"Advanced Billing &amp; Subscriptions")</f>
        <v>Advanced Billing &amp; Subscriptions</v>
      </c>
    </row>
    <row r="63">
      <c r="O63" s="1" t="str">
        <f>IFERROR(__xludf.DUMMYFUNCTION("""COMPUTED_VALUE"""),"2025 Jun")</f>
        <v>2025 Jun</v>
      </c>
      <c r="P63" s="1" t="str">
        <f>IFERROR(__xludf.DUMMYFUNCTION("""COMPUTED_VALUE"""),"Core Product Support")</f>
        <v>Core Product Support</v>
      </c>
      <c r="Q63" s="1" t="str">
        <f>IFERROR(__xludf.DUMMYFUNCTION("""COMPUTED_VALUE"""),"chlgts@canva.com")</f>
        <v>chlgts@canva.com</v>
      </c>
      <c r="R63" s="1" t="str">
        <f>IFERROR(__xludf.DUMMYFUNCTION("""COMPUTED_VALUE"""),"Cholo Ligtas")</f>
        <v>Cholo Ligtas</v>
      </c>
      <c r="S63" s="1"/>
      <c r="T63" s="1">
        <f>IFERROR(__xludf.DUMMYFUNCTION("""COMPUTED_VALUE"""),80.0)</f>
        <v>80</v>
      </c>
      <c r="U63" s="2">
        <f>IFERROR(__xludf.DUMMYFUNCTION("""COMPUTED_VALUE"""),80.0)</f>
        <v>80</v>
      </c>
      <c r="V63" s="1" t="str">
        <f>IFERROR(__xludf.DUMMYFUNCTION("""COMPUTED_VALUE"""),"Jahmie Mae Barrameda")</f>
        <v>Jahmie Mae Barrameda</v>
      </c>
      <c r="W63" s="1" t="str">
        <f>IFERROR(__xludf.DUMMYFUNCTION("""COMPUTED_VALUE"""),"Advanced Billing &amp; Subscriptions")</f>
        <v>Advanced Billing &amp; Subscriptions</v>
      </c>
    </row>
    <row r="64">
      <c r="O64" s="1" t="str">
        <f>IFERROR(__xludf.DUMMYFUNCTION("""COMPUTED_VALUE"""),"2025 Jun")</f>
        <v>2025 Jun</v>
      </c>
      <c r="P64" s="1" t="str">
        <f>IFERROR(__xludf.DUMMYFUNCTION("""COMPUTED_VALUE"""),"#N/A")</f>
        <v>#N/A</v>
      </c>
      <c r="Q64" s="1" t="str">
        <f>IFERROR(__xludf.DUMMYFUNCTION("""COMPUTED_VALUE"""),"chrisia@canva.com")</f>
        <v>chrisia@canva.com</v>
      </c>
      <c r="R64" s="1" t="str">
        <f>IFERROR(__xludf.DUMMYFUNCTION("""COMPUTED_VALUE"""),"Chrisia Atijon")</f>
        <v>Chrisia Atijon</v>
      </c>
      <c r="S64" s="1"/>
      <c r="T64" s="1">
        <f>IFERROR(__xludf.DUMMYFUNCTION("""COMPUTED_VALUE"""),0.5)</f>
        <v>0.5</v>
      </c>
      <c r="U64" s="2">
        <f>IFERROR(__xludf.DUMMYFUNCTION("""COMPUTED_VALUE"""),0.5)</f>
        <v>0.5</v>
      </c>
      <c r="V64" s="1" t="str">
        <f>IFERROR(__xludf.DUMMYFUNCTION("""COMPUTED_VALUE"""),"Ayza Marie Pascual")</f>
        <v>Ayza Marie Pascual</v>
      </c>
      <c r="W64" s="1" t="str">
        <f>IFERROR(__xludf.DUMMYFUNCTION("""COMPUTED_VALUE"""),"Advanced Billing &amp; Subscriptions")</f>
        <v>Advanced Billing &amp; Subscriptions</v>
      </c>
    </row>
    <row r="65">
      <c r="O65" s="1" t="str">
        <f>IFERROR(__xludf.DUMMYFUNCTION("""COMPUTED_VALUE"""),"2025 Jun")</f>
        <v>2025 Jun</v>
      </c>
      <c r="P65" s="1" t="str">
        <f>IFERROR(__xludf.DUMMYFUNCTION("""COMPUTED_VALUE"""),"Core Product Support")</f>
        <v>Core Product Support</v>
      </c>
      <c r="Q65" s="1" t="str">
        <f>IFERROR(__xludf.DUMMYFUNCTION("""COMPUTED_VALUE"""),"tintinmaxilom@canva.com")</f>
        <v>tintinmaxilom@canva.com</v>
      </c>
      <c r="R65" s="1" t="str">
        <f>IFERROR(__xludf.DUMMYFUNCTION("""COMPUTED_VALUE"""),"Christine Araga")</f>
        <v>Christine Araga</v>
      </c>
      <c r="S65" s="1">
        <f>IFERROR(__xludf.DUMMYFUNCTION("""COMPUTED_VALUE"""),3.0)</f>
        <v>3</v>
      </c>
      <c r="T65" s="1">
        <f>IFERROR(__xludf.DUMMYFUNCTION("""COMPUTED_VALUE"""),12.0)</f>
        <v>12</v>
      </c>
      <c r="U65" s="2">
        <f>IFERROR(__xludf.DUMMYFUNCTION("""COMPUTED_VALUE"""),15.0)</f>
        <v>15</v>
      </c>
      <c r="V65" s="1" t="str">
        <f>IFERROR(__xludf.DUMMYFUNCTION("""COMPUTED_VALUE"""),"Jelyn Elmido")</f>
        <v>Jelyn Elmido</v>
      </c>
      <c r="W65" s="1" t="str">
        <f>IFERROR(__xludf.DUMMYFUNCTION("""COMPUTED_VALUE"""),"Core Product Support Escalation Team")</f>
        <v>Core Product Support Escalation Team</v>
      </c>
    </row>
    <row r="66">
      <c r="O66" s="1" t="str">
        <f>IFERROR(__xludf.DUMMYFUNCTION("""COMPUTED_VALUE"""),"2025 Jun")</f>
        <v>2025 Jun</v>
      </c>
      <c r="P66" s="1" t="str">
        <f>IFERROR(__xludf.DUMMYFUNCTION("""COMPUTED_VALUE"""),"Print Support")</f>
        <v>Print Support</v>
      </c>
      <c r="Q66" s="1" t="str">
        <f>IFERROR(__xludf.DUMMYFUNCTION("""COMPUTED_VALUE"""),"cjlining@canva.com")</f>
        <v>cjlining@canva.com</v>
      </c>
      <c r="R66" s="1" t="str">
        <f>IFERROR(__xludf.DUMMYFUNCTION("""COMPUTED_VALUE"""),"CJ Lining")</f>
        <v>CJ Lining</v>
      </c>
      <c r="S66" s="1">
        <f>IFERROR(__xludf.DUMMYFUNCTION("""COMPUTED_VALUE"""),1.0)</f>
        <v>1</v>
      </c>
      <c r="T66" s="1">
        <f>IFERROR(__xludf.DUMMYFUNCTION("""COMPUTED_VALUE"""),2.25)</f>
        <v>2.25</v>
      </c>
      <c r="U66" s="2">
        <f>IFERROR(__xludf.DUMMYFUNCTION("""COMPUTED_VALUE"""),3.25)</f>
        <v>3.25</v>
      </c>
      <c r="V66" s="1" t="str">
        <f>IFERROR(__xludf.DUMMYFUNCTION("""COMPUTED_VALUE"""),"Althea Mercado")</f>
        <v>Althea Mercado</v>
      </c>
      <c r="W66" s="1" t="str">
        <f>IFERROR(__xludf.DUMMYFUNCTION("""COMPUTED_VALUE"""),"Print Support PH")</f>
        <v>Print Support PH</v>
      </c>
    </row>
    <row r="67">
      <c r="O67" s="1" t="str">
        <f>IFERROR(__xludf.DUMMYFUNCTION("""COMPUTED_VALUE"""),"2025 Jun")</f>
        <v>2025 Jun</v>
      </c>
      <c r="P67" s="1" t="str">
        <f>IFERROR(__xludf.DUMMYFUNCTION("""COMPUTED_VALUE"""),"Admin Support")</f>
        <v>Admin Support</v>
      </c>
      <c r="Q67" s="1" t="str">
        <f>IFERROR(__xludf.DUMMYFUNCTION("""COMPUTED_VALUE"""),"ckmg@canva.com")</f>
        <v>ckmg@canva.com</v>
      </c>
      <c r="R67" s="1" t="str">
        <f>IFERROR(__xludf.DUMMYFUNCTION("""COMPUTED_VALUE"""),"CK Geronimo")</f>
        <v>CK Geronimo</v>
      </c>
      <c r="S67" s="1">
        <f>IFERROR(__xludf.DUMMYFUNCTION("""COMPUTED_VALUE"""),4.0)</f>
        <v>4</v>
      </c>
      <c r="T67" s="1">
        <f>IFERROR(__xludf.DUMMYFUNCTION("""COMPUTED_VALUE"""),6.42)</f>
        <v>6.42</v>
      </c>
      <c r="U67" s="2">
        <f>IFERROR(__xludf.DUMMYFUNCTION("""COMPUTED_VALUE"""),10.42)</f>
        <v>10.42</v>
      </c>
      <c r="V67" s="1" t="str">
        <f>IFERROR(__xludf.DUMMYFUNCTION("""COMPUTED_VALUE"""),"Pau Palmero")</f>
        <v>Pau Palmero</v>
      </c>
      <c r="W67" s="1" t="str">
        <f>IFERROR(__xludf.DUMMYFUNCTION("""COMPUTED_VALUE"""),"Admin Omni Support")</f>
        <v>Admin Omni Support</v>
      </c>
    </row>
    <row r="68">
      <c r="O68" s="1" t="str">
        <f>IFERROR(__xludf.DUMMYFUNCTION("""COMPUTED_VALUE"""),"2025 Jun")</f>
        <v>2025 Jun</v>
      </c>
      <c r="P68" s="1" t="str">
        <f>IFERROR(__xludf.DUMMYFUNCTION("""COMPUTED_VALUE"""),"Segment-specific Support")</f>
        <v>Segment-specific Support</v>
      </c>
      <c r="Q68" s="1" t="str">
        <f>IFERROR(__xludf.DUMMYFUNCTION("""COMPUTED_VALUE"""),"magnumck@canva.com")</f>
        <v>magnumck@canva.com</v>
      </c>
      <c r="R68" s="1" t="str">
        <f>IFERROR(__xludf.DUMMYFUNCTION("""COMPUTED_VALUE"""),"CK Lobaton")</f>
        <v>CK Lobaton</v>
      </c>
      <c r="S68" s="1"/>
      <c r="T68" s="1">
        <f>IFERROR(__xludf.DUMMYFUNCTION("""COMPUTED_VALUE"""),1.0)</f>
        <v>1</v>
      </c>
      <c r="U68" s="2">
        <f>IFERROR(__xludf.DUMMYFUNCTION("""COMPUTED_VALUE"""),1.0)</f>
        <v>1</v>
      </c>
      <c r="V68" s="1" t="str">
        <f>IFERROR(__xludf.DUMMYFUNCTION("""COMPUTED_VALUE"""),"Jonathan Dimaculangan")</f>
        <v>Jonathan Dimaculangan</v>
      </c>
      <c r="W68" s="1" t="str">
        <f>IFERROR(__xludf.DUMMYFUNCTION("""COMPUTED_VALUE"""),"Flourish Support")</f>
        <v>Flourish Support</v>
      </c>
    </row>
    <row r="69">
      <c r="O69" s="1" t="str">
        <f>IFERROR(__xludf.DUMMYFUNCTION("""COMPUTED_VALUE"""),"2025 Jun")</f>
        <v>2025 Jun</v>
      </c>
      <c r="P69" s="1" t="str">
        <f>IFERROR(__xludf.DUMMYFUNCTION("""COMPUTED_VALUE"""),"Core Product Support")</f>
        <v>Core Product Support</v>
      </c>
      <c r="Q69" s="1" t="str">
        <f>IFERROR(__xludf.DUMMYFUNCTION("""COMPUTED_VALUE"""),"cladd@canva.com")</f>
        <v>cladd@canva.com</v>
      </c>
      <c r="R69" s="1" t="str">
        <f>IFERROR(__xludf.DUMMYFUNCTION("""COMPUTED_VALUE"""),"Claddys Ann Bernaldez")</f>
        <v>Claddys Ann Bernaldez</v>
      </c>
      <c r="S69" s="1">
        <f>IFERROR(__xludf.DUMMYFUNCTION("""COMPUTED_VALUE"""),7.0)</f>
        <v>7</v>
      </c>
      <c r="T69" s="1">
        <f>IFERROR(__xludf.DUMMYFUNCTION("""COMPUTED_VALUE"""),12.0)</f>
        <v>12</v>
      </c>
      <c r="U69" s="2">
        <f>IFERROR(__xludf.DUMMYFUNCTION("""COMPUTED_VALUE"""),19.0)</f>
        <v>19</v>
      </c>
      <c r="V69" s="1" t="str">
        <f>IFERROR(__xludf.DUMMYFUNCTION("""COMPUTED_VALUE"""),"Jelyn Elmido")</f>
        <v>Jelyn Elmido</v>
      </c>
      <c r="W69" s="1" t="str">
        <f>IFERROR(__xludf.DUMMYFUNCTION("""COMPUTED_VALUE"""),"Core Product Support Escalation Team")</f>
        <v>Core Product Support Escalation Team</v>
      </c>
    </row>
    <row r="70">
      <c r="O70" s="1" t="str">
        <f>IFERROR(__xludf.DUMMYFUNCTION("""COMPUTED_VALUE"""),"2025 Jun")</f>
        <v>2025 Jun</v>
      </c>
      <c r="P70" s="1" t="str">
        <f>IFERROR(__xludf.DUMMYFUNCTION("""COMPUTED_VALUE"""),"Multilingual Support")</f>
        <v>Multilingual Support</v>
      </c>
      <c r="Q70" s="1" t="str">
        <f>IFERROR(__xludf.DUMMYFUNCTION("""COMPUTED_VALUE"""),"claire.g@canva.com")</f>
        <v>claire.g@canva.com</v>
      </c>
      <c r="R70" s="1" t="str">
        <f>IFERROR(__xludf.DUMMYFUNCTION("""COMPUTED_VALUE"""),"Claire Gado")</f>
        <v>Claire Gado</v>
      </c>
      <c r="S70" s="1">
        <f>IFERROR(__xludf.DUMMYFUNCTION("""COMPUTED_VALUE"""),7.0)</f>
        <v>7</v>
      </c>
      <c r="T70" s="1"/>
      <c r="U70" s="2">
        <f>IFERROR(__xludf.DUMMYFUNCTION("""COMPUTED_VALUE"""),7.0)</f>
        <v>7</v>
      </c>
      <c r="V70" s="1" t="str">
        <f>IFERROR(__xludf.DUMMYFUNCTION("""COMPUTED_VALUE"""),"Arlene Maurillo")</f>
        <v>Arlene Maurillo</v>
      </c>
      <c r="W70" s="1" t="str">
        <f>IFERROR(__xludf.DUMMYFUNCTION("""COMPUTED_VALUE"""),"PHL, Multilingual Support")</f>
        <v>PHL, Multilingual Support</v>
      </c>
    </row>
    <row r="71">
      <c r="O71" s="1" t="str">
        <f>IFERROR(__xludf.DUMMYFUNCTION("""COMPUTED_VALUE"""),"2025 Jun")</f>
        <v>2025 Jun</v>
      </c>
      <c r="P71" s="1" t="str">
        <f>IFERROR(__xludf.DUMMYFUNCTION("""COMPUTED_VALUE"""),"Print Support")</f>
        <v>Print Support</v>
      </c>
      <c r="Q71" s="1" t="str">
        <f>IFERROR(__xludf.DUMMYFUNCTION("""COMPUTED_VALUE"""),"cyreengee@canva.com")</f>
        <v>cyreengee@canva.com</v>
      </c>
      <c r="R71" s="1" t="str">
        <f>IFERROR(__xludf.DUMMYFUNCTION("""COMPUTED_VALUE"""),"Cye Gonzales")</f>
        <v>Cye Gonzales</v>
      </c>
      <c r="S71" s="1">
        <f>IFERROR(__xludf.DUMMYFUNCTION("""COMPUTED_VALUE"""),1.5)</f>
        <v>1.5</v>
      </c>
      <c r="T71" s="1">
        <f>IFERROR(__xludf.DUMMYFUNCTION("""COMPUTED_VALUE"""),0.75)</f>
        <v>0.75</v>
      </c>
      <c r="U71" s="2">
        <f>IFERROR(__xludf.DUMMYFUNCTION("""COMPUTED_VALUE"""),2.25)</f>
        <v>2.25</v>
      </c>
      <c r="V71" s="1" t="str">
        <f>IFERROR(__xludf.DUMMYFUNCTION("""COMPUTED_VALUE"""),"Althea Mercado")</f>
        <v>Althea Mercado</v>
      </c>
      <c r="W71" s="1" t="str">
        <f>IFERROR(__xludf.DUMMYFUNCTION("""COMPUTED_VALUE"""),"Print Support PH")</f>
        <v>Print Support PH</v>
      </c>
    </row>
    <row r="72">
      <c r="O72" s="1" t="str">
        <f>IFERROR(__xludf.DUMMYFUNCTION("""COMPUTED_VALUE"""),"2025 Jun")</f>
        <v>2025 Jun</v>
      </c>
      <c r="P72" s="1" t="str">
        <f>IFERROR(__xludf.DUMMYFUNCTION("""COMPUTED_VALUE"""),"Print Support")</f>
        <v>Print Support</v>
      </c>
      <c r="Q72" s="1" t="str">
        <f>IFERROR(__xludf.DUMMYFUNCTION("""COMPUTED_VALUE"""),"dyter@canva.com")</f>
        <v>dyter@canva.com</v>
      </c>
      <c r="R72" s="1" t="str">
        <f>IFERROR(__xludf.DUMMYFUNCTION("""COMPUTED_VALUE"""),"Daisy Tercenio")</f>
        <v>Daisy Tercenio</v>
      </c>
      <c r="S72" s="1">
        <f>IFERROR(__xludf.DUMMYFUNCTION("""COMPUTED_VALUE"""),0.17)</f>
        <v>0.17</v>
      </c>
      <c r="T72" s="1">
        <f>IFERROR(__xludf.DUMMYFUNCTION("""COMPUTED_VALUE"""),3.5)</f>
        <v>3.5</v>
      </c>
      <c r="U72" s="2">
        <f>IFERROR(__xludf.DUMMYFUNCTION("""COMPUTED_VALUE"""),3.67)</f>
        <v>3.67</v>
      </c>
      <c r="V72" s="1" t="str">
        <f>IFERROR(__xludf.DUMMYFUNCTION("""COMPUTED_VALUE"""),"Rae Erlano")</f>
        <v>Rae Erlano</v>
      </c>
      <c r="W72" s="1" t="str">
        <f>IFERROR(__xludf.DUMMYFUNCTION("""COMPUTED_VALUE"""),"Print Support PH")</f>
        <v>Print Support PH</v>
      </c>
    </row>
    <row r="73">
      <c r="O73" s="1" t="str">
        <f>IFERROR(__xludf.DUMMYFUNCTION("""COMPUTED_VALUE"""),"2025 Jun")</f>
        <v>2025 Jun</v>
      </c>
      <c r="P73" s="1" t="str">
        <f>IFERROR(__xludf.DUMMYFUNCTION("""COMPUTED_VALUE"""),"Core Product Support")</f>
        <v>Core Product Support</v>
      </c>
      <c r="Q73" s="1" t="str">
        <f>IFERROR(__xludf.DUMMYFUNCTION("""COMPUTED_VALUE"""),"danortiz@canva.com")</f>
        <v>danortiz@canva.com</v>
      </c>
      <c r="R73" s="1" t="str">
        <f>IFERROR(__xludf.DUMMYFUNCTION("""COMPUTED_VALUE"""),"Daniella Ortiz")</f>
        <v>Daniella Ortiz</v>
      </c>
      <c r="S73" s="1">
        <f>IFERROR(__xludf.DUMMYFUNCTION("""COMPUTED_VALUE"""),9.5)</f>
        <v>9.5</v>
      </c>
      <c r="T73" s="1">
        <f>IFERROR(__xludf.DUMMYFUNCTION("""COMPUTED_VALUE"""),3.58)</f>
        <v>3.58</v>
      </c>
      <c r="U73" s="2">
        <f>IFERROR(__xludf.DUMMYFUNCTION("""COMPUTED_VALUE"""),13.08)</f>
        <v>13.08</v>
      </c>
      <c r="V73" s="1" t="str">
        <f>IFERROR(__xludf.DUMMYFUNCTION("""COMPUTED_VALUE"""),"Cate Velasco")</f>
        <v>Cate Velasco</v>
      </c>
      <c r="W73" s="1" t="str">
        <f>IFERROR(__xludf.DUMMYFUNCTION("""COMPUTED_VALUE"""),"Advanced Product Support")</f>
        <v>Advanced Product Support</v>
      </c>
    </row>
    <row r="74">
      <c r="O74" s="1" t="str">
        <f>IFERROR(__xludf.DUMMYFUNCTION("""COMPUTED_VALUE"""),"2025 Jun")</f>
        <v>2025 Jun</v>
      </c>
      <c r="P74" s="1" t="str">
        <f>IFERROR(__xludf.DUMMYFUNCTION("""COMPUTED_VALUE"""),"Segment-specific Support")</f>
        <v>Segment-specific Support</v>
      </c>
      <c r="Q74" s="1" t="str">
        <f>IFERROR(__xludf.DUMMYFUNCTION("""COMPUTED_VALUE"""),"daniellegrace@canva.com")</f>
        <v>daniellegrace@canva.com</v>
      </c>
      <c r="R74" s="1" t="str">
        <f>IFERROR(__xludf.DUMMYFUNCTION("""COMPUTED_VALUE"""),"Danielle Marasigan")</f>
        <v>Danielle Marasigan</v>
      </c>
      <c r="S74" s="1">
        <f>IFERROR(__xludf.DUMMYFUNCTION("""COMPUTED_VALUE"""),3.0)</f>
        <v>3</v>
      </c>
      <c r="T74" s="1">
        <f>IFERROR(__xludf.DUMMYFUNCTION("""COMPUTED_VALUE"""),1.0)</f>
        <v>1</v>
      </c>
      <c r="U74" s="2">
        <f>IFERROR(__xludf.DUMMYFUNCTION("""COMPUTED_VALUE"""),4.0)</f>
        <v>4</v>
      </c>
      <c r="V74" s="1" t="str">
        <f>IFERROR(__xludf.DUMMYFUNCTION("""COMPUTED_VALUE"""),"Aileen Dayanghirang")</f>
        <v>Aileen Dayanghirang</v>
      </c>
      <c r="W74" s="1" t="str">
        <f>IFERROR(__xludf.DUMMYFUNCTION("""COMPUTED_VALUE"""),"Creators Support")</f>
        <v>Creators Support</v>
      </c>
    </row>
    <row r="75">
      <c r="O75" s="1" t="str">
        <f>IFERROR(__xludf.DUMMYFUNCTION("""COMPUTED_VALUE"""),"2025 Jun")</f>
        <v>2025 Jun</v>
      </c>
      <c r="P75" s="1" t="str">
        <f>IFERROR(__xludf.DUMMYFUNCTION("""COMPUTED_VALUE"""),"Admin Support")</f>
        <v>Admin Support</v>
      </c>
      <c r="Q75" s="1" t="str">
        <f>IFERROR(__xludf.DUMMYFUNCTION("""COMPUTED_VALUE"""),"dannah@canva.com")</f>
        <v>dannah@canva.com</v>
      </c>
      <c r="R75" s="1" t="str">
        <f>IFERROR(__xludf.DUMMYFUNCTION("""COMPUTED_VALUE"""),"Dannah Kate Dizon")</f>
        <v>Dannah Kate Dizon</v>
      </c>
      <c r="S75" s="1">
        <f>IFERROR(__xludf.DUMMYFUNCTION("""COMPUTED_VALUE"""),1.17)</f>
        <v>1.17</v>
      </c>
      <c r="T75" s="1">
        <f>IFERROR(__xludf.DUMMYFUNCTION("""COMPUTED_VALUE"""),2.17)</f>
        <v>2.17</v>
      </c>
      <c r="U75" s="2">
        <f>IFERROR(__xludf.DUMMYFUNCTION("""COMPUTED_VALUE"""),3.34)</f>
        <v>3.34</v>
      </c>
      <c r="V75" s="1" t="str">
        <f>IFERROR(__xludf.DUMMYFUNCTION("""COMPUTED_VALUE"""),"Karla Mananghaya")</f>
        <v>Karla Mananghaya</v>
      </c>
      <c r="W75" s="1" t="str">
        <f>IFERROR(__xludf.DUMMYFUNCTION("""COMPUTED_VALUE"""),"Admin Support Service Escalation Team")</f>
        <v>Admin Support Service Escalation Team</v>
      </c>
    </row>
    <row r="76">
      <c r="O76" s="1" t="str">
        <f>IFERROR(__xludf.DUMMYFUNCTION("""COMPUTED_VALUE"""),"2025 Jun")</f>
        <v>2025 Jun</v>
      </c>
      <c r="P76" s="1" t="str">
        <f>IFERROR(__xludf.DUMMYFUNCTION("""COMPUTED_VALUE"""),"High Sensitivity Support")</f>
        <v>High Sensitivity Support</v>
      </c>
      <c r="Q76" s="1" t="str">
        <f>IFERROR(__xludf.DUMMYFUNCTION("""COMPUTED_VALUE"""),"danrev@canva.com")</f>
        <v>danrev@canva.com</v>
      </c>
      <c r="R76" s="1" t="str">
        <f>IFERROR(__xludf.DUMMYFUNCTION("""COMPUTED_VALUE"""),"Danrev Bactad")</f>
        <v>Danrev Bactad</v>
      </c>
      <c r="S76" s="1">
        <f>IFERROR(__xludf.DUMMYFUNCTION("""COMPUTED_VALUE"""),6.17)</f>
        <v>6.17</v>
      </c>
      <c r="T76" s="1">
        <f>IFERROR(__xludf.DUMMYFUNCTION("""COMPUTED_VALUE"""),1.75)</f>
        <v>1.75</v>
      </c>
      <c r="U76" s="2">
        <f>IFERROR(__xludf.DUMMYFUNCTION("""COMPUTED_VALUE"""),7.92)</f>
        <v>7.92</v>
      </c>
      <c r="V76" s="1" t="str">
        <f>IFERROR(__xludf.DUMMYFUNCTION("""COMPUTED_VALUE"""),"Xandy Azarcon")</f>
        <v>Xandy Azarcon</v>
      </c>
      <c r="W76" s="1" t="str">
        <f>IFERROR(__xludf.DUMMYFUNCTION("""COMPUTED_VALUE"""),"High Sensitivity Support PH")</f>
        <v>High Sensitivity Support PH</v>
      </c>
    </row>
    <row r="77">
      <c r="O77" s="1" t="str">
        <f>IFERROR(__xludf.DUMMYFUNCTION("""COMPUTED_VALUE"""),"2025 Jun")</f>
        <v>2025 Jun</v>
      </c>
      <c r="P77" s="1" t="str">
        <f>IFERROR(__xludf.DUMMYFUNCTION("""COMPUTED_VALUE"""),"Print Support")</f>
        <v>Print Support</v>
      </c>
      <c r="Q77" s="1" t="str">
        <f>IFERROR(__xludf.DUMMYFUNCTION("""COMPUTED_VALUE"""),"daphne@canva.com")</f>
        <v>daphne@canva.com</v>
      </c>
      <c r="R77" s="1" t="str">
        <f>IFERROR(__xludf.DUMMYFUNCTION("""COMPUTED_VALUE"""),"Daphne Arboleda")</f>
        <v>Daphne Arboleda</v>
      </c>
      <c r="S77" s="1">
        <f>IFERROR(__xludf.DUMMYFUNCTION("""COMPUTED_VALUE"""),2.0)</f>
        <v>2</v>
      </c>
      <c r="T77" s="1">
        <f>IFERROR(__xludf.DUMMYFUNCTION("""COMPUTED_VALUE"""),1.75)</f>
        <v>1.75</v>
      </c>
      <c r="U77" s="2">
        <f>IFERROR(__xludf.DUMMYFUNCTION("""COMPUTED_VALUE"""),3.75)</f>
        <v>3.75</v>
      </c>
      <c r="V77" s="1" t="str">
        <f>IFERROR(__xludf.DUMMYFUNCTION("""COMPUTED_VALUE"""),"Memae Faustino")</f>
        <v>Memae Faustino</v>
      </c>
      <c r="W77" s="1" t="str">
        <f>IFERROR(__xludf.DUMMYFUNCTION("""COMPUTED_VALUE"""),"Print Support PH")</f>
        <v>Print Support PH</v>
      </c>
    </row>
    <row r="78">
      <c r="O78" s="1" t="str">
        <f>IFERROR(__xludf.DUMMYFUNCTION("""COMPUTED_VALUE"""),"2025 Jun")</f>
        <v>2025 Jun</v>
      </c>
      <c r="P78" s="1" t="str">
        <f>IFERROR(__xludf.DUMMYFUNCTION("""COMPUTED_VALUE"""),"High Sensitivity Support")</f>
        <v>High Sensitivity Support</v>
      </c>
      <c r="Q78" s="1" t="str">
        <f>IFERROR(__xludf.DUMMYFUNCTION("""COMPUTED_VALUE"""),"darrelm@canva.com")</f>
        <v>darrelm@canva.com</v>
      </c>
      <c r="R78" s="1" t="str">
        <f>IFERROR(__xludf.DUMMYFUNCTION("""COMPUTED_VALUE"""),"Darrel Marcelino")</f>
        <v>Darrel Marcelino</v>
      </c>
      <c r="S78" s="1">
        <f>IFERROR(__xludf.DUMMYFUNCTION("""COMPUTED_VALUE"""),4.77)</f>
        <v>4.77</v>
      </c>
      <c r="T78" s="1">
        <f>IFERROR(__xludf.DUMMYFUNCTION("""COMPUTED_VALUE"""),3.75)</f>
        <v>3.75</v>
      </c>
      <c r="U78" s="2">
        <f>IFERROR(__xludf.DUMMYFUNCTION("""COMPUTED_VALUE"""),8.52)</f>
        <v>8.52</v>
      </c>
      <c r="V78" s="1" t="str">
        <f>IFERROR(__xludf.DUMMYFUNCTION("""COMPUTED_VALUE"""),"Issi Afable")</f>
        <v>Issi Afable</v>
      </c>
      <c r="W78" s="1" t="str">
        <f>IFERROR(__xludf.DUMMYFUNCTION("""COMPUTED_VALUE"""),"High Sensitivity Support PH")</f>
        <v>High Sensitivity Support PH</v>
      </c>
    </row>
    <row r="79">
      <c r="O79" s="1" t="str">
        <f>IFERROR(__xludf.DUMMYFUNCTION("""COMPUTED_VALUE"""),"2025 Jun")</f>
        <v>2025 Jun</v>
      </c>
      <c r="P79" s="1" t="str">
        <f>IFERROR(__xludf.DUMMYFUNCTION("""COMPUTED_VALUE"""),"Core Product Support")</f>
        <v>Core Product Support</v>
      </c>
      <c r="Q79" s="1" t="str">
        <f>IFERROR(__xludf.DUMMYFUNCTION("""COMPUTED_VALUE"""),"davecosteloii@canva.com")</f>
        <v>davecosteloii@canva.com</v>
      </c>
      <c r="R79" s="1" t="str">
        <f>IFERROR(__xludf.DUMMYFUNCTION("""COMPUTED_VALUE"""),"Dave Costelo")</f>
        <v>Dave Costelo</v>
      </c>
      <c r="S79" s="1">
        <f>IFERROR(__xludf.DUMMYFUNCTION("""COMPUTED_VALUE"""),6.0)</f>
        <v>6</v>
      </c>
      <c r="T79" s="1">
        <f>IFERROR(__xludf.DUMMYFUNCTION("""COMPUTED_VALUE"""),3.17)</f>
        <v>3.17</v>
      </c>
      <c r="U79" s="2">
        <f>IFERROR(__xludf.DUMMYFUNCTION("""COMPUTED_VALUE"""),9.17)</f>
        <v>9.17</v>
      </c>
      <c r="V79" s="1" t="str">
        <f>IFERROR(__xludf.DUMMYFUNCTION("""COMPUTED_VALUE"""),"Jahmie Mae Barrameda")</f>
        <v>Jahmie Mae Barrameda</v>
      </c>
      <c r="W79" s="1" t="str">
        <f>IFERROR(__xludf.DUMMYFUNCTION("""COMPUTED_VALUE"""),"Advanced Billing &amp; Subscriptions")</f>
        <v>Advanced Billing &amp; Subscriptions</v>
      </c>
    </row>
    <row r="80">
      <c r="O80" s="1" t="str">
        <f>IFERROR(__xludf.DUMMYFUNCTION("""COMPUTED_VALUE"""),"2025 Jun")</f>
        <v>2025 Jun</v>
      </c>
      <c r="P80" s="1" t="str">
        <f>IFERROR(__xludf.DUMMYFUNCTION("""COMPUTED_VALUE"""),"Admin Support")</f>
        <v>Admin Support</v>
      </c>
      <c r="Q80" s="1" t="str">
        <f>IFERROR(__xludf.DUMMYFUNCTION("""COMPUTED_VALUE"""),"davidfrancis@canva.com")</f>
        <v>davidfrancis@canva.com</v>
      </c>
      <c r="R80" s="1" t="str">
        <f>IFERROR(__xludf.DUMMYFUNCTION("""COMPUTED_VALUE"""),"David Francis Dimatulac")</f>
        <v>David Francis Dimatulac</v>
      </c>
      <c r="S80" s="1">
        <f>IFERROR(__xludf.DUMMYFUNCTION("""COMPUTED_VALUE"""),3.5)</f>
        <v>3.5</v>
      </c>
      <c r="T80" s="1">
        <f>IFERROR(__xludf.DUMMYFUNCTION("""COMPUTED_VALUE"""),2.5)</f>
        <v>2.5</v>
      </c>
      <c r="U80" s="2">
        <f>IFERROR(__xludf.DUMMYFUNCTION("""COMPUTED_VALUE"""),6.0)</f>
        <v>6</v>
      </c>
      <c r="V80" s="1" t="str">
        <f>IFERROR(__xludf.DUMMYFUNCTION("""COMPUTED_VALUE"""),"Karla Mananghaya")</f>
        <v>Karla Mananghaya</v>
      </c>
      <c r="W80" s="1" t="str">
        <f>IFERROR(__xludf.DUMMYFUNCTION("""COMPUTED_VALUE"""),"Admin Support Service Escalation Team")</f>
        <v>Admin Support Service Escalation Team</v>
      </c>
    </row>
    <row r="81">
      <c r="O81" s="1" t="str">
        <f>IFERROR(__xludf.DUMMYFUNCTION("""COMPUTED_VALUE"""),"2025 Jun")</f>
        <v>2025 Jun</v>
      </c>
      <c r="P81" s="1" t="str">
        <f>IFERROR(__xludf.DUMMYFUNCTION("""COMPUTED_VALUE"""),"Core Product Support")</f>
        <v>Core Product Support</v>
      </c>
      <c r="Q81" s="1" t="str">
        <f>IFERROR(__xludf.DUMMYFUNCTION("""COMPUTED_VALUE"""),"denden@canva.com")</f>
        <v>denden@canva.com</v>
      </c>
      <c r="R81" s="1" t="str">
        <f>IFERROR(__xludf.DUMMYFUNCTION("""COMPUTED_VALUE"""),"Den Gutierrez")</f>
        <v>Den Gutierrez</v>
      </c>
      <c r="S81" s="1">
        <f>IFERROR(__xludf.DUMMYFUNCTION("""COMPUTED_VALUE"""),9.5)</f>
        <v>9.5</v>
      </c>
      <c r="T81" s="1">
        <f>IFERROR(__xludf.DUMMYFUNCTION("""COMPUTED_VALUE"""),11.83)</f>
        <v>11.83</v>
      </c>
      <c r="U81" s="2">
        <f>IFERROR(__xludf.DUMMYFUNCTION("""COMPUTED_VALUE"""),21.33)</f>
        <v>21.33</v>
      </c>
      <c r="V81" s="1" t="str">
        <f>IFERROR(__xludf.DUMMYFUNCTION("""COMPUTED_VALUE"""),"Sieg Ballelos")</f>
        <v>Sieg Ballelos</v>
      </c>
      <c r="W81" s="1" t="str">
        <f>IFERROR(__xludf.DUMMYFUNCTION("""COMPUTED_VALUE"""),"Core Product Support Escalation Team")</f>
        <v>Core Product Support Escalation Team</v>
      </c>
    </row>
    <row r="82">
      <c r="O82" s="1" t="str">
        <f>IFERROR(__xludf.DUMMYFUNCTION("""COMPUTED_VALUE"""),"2025 Jun")</f>
        <v>2025 Jun</v>
      </c>
      <c r="P82" s="1" t="str">
        <f>IFERROR(__xludf.DUMMYFUNCTION("""COMPUTED_VALUE"""),"Core Product Support")</f>
        <v>Core Product Support</v>
      </c>
      <c r="Q82" s="1" t="str">
        <f>IFERROR(__xludf.DUMMYFUNCTION("""COMPUTED_VALUE"""),"deniseadrms@canva.com")</f>
        <v>deniseadrms@canva.com</v>
      </c>
      <c r="R82" s="1" t="str">
        <f>IFERROR(__xludf.DUMMYFUNCTION("""COMPUTED_VALUE"""),"Denise Adoremos")</f>
        <v>Denise Adoremos</v>
      </c>
      <c r="S82" s="1"/>
      <c r="T82" s="1">
        <f>IFERROR(__xludf.DUMMYFUNCTION("""COMPUTED_VALUE"""),11.83)</f>
        <v>11.83</v>
      </c>
      <c r="U82" s="2">
        <f>IFERROR(__xludf.DUMMYFUNCTION("""COMPUTED_VALUE"""),11.83)</f>
        <v>11.83</v>
      </c>
      <c r="V82" s="1" t="str">
        <f>IFERROR(__xludf.DUMMYFUNCTION("""COMPUTED_VALUE"""),"Ana Lazaro")</f>
        <v>Ana Lazaro</v>
      </c>
      <c r="W82" s="1" t="str">
        <f>IFERROR(__xludf.DUMMYFUNCTION("""COMPUTED_VALUE"""),"Advanced Billing &amp; Subscriptions")</f>
        <v>Advanced Billing &amp; Subscriptions</v>
      </c>
    </row>
    <row r="83">
      <c r="O83" s="1" t="str">
        <f>IFERROR(__xludf.DUMMYFUNCTION("""COMPUTED_VALUE"""),"2025 Jun")</f>
        <v>2025 Jun</v>
      </c>
      <c r="P83" s="1" t="str">
        <f>IFERROR(__xludf.DUMMYFUNCTION("""COMPUTED_VALUE"""),"Segment-specific Support")</f>
        <v>Segment-specific Support</v>
      </c>
      <c r="Q83" s="1" t="str">
        <f>IFERROR(__xludf.DUMMYFUNCTION("""COMPUTED_VALUE"""),"dymplem@canva.com")</f>
        <v>dymplem@canva.com</v>
      </c>
      <c r="R83" s="1" t="str">
        <f>IFERROR(__xludf.DUMMYFUNCTION("""COMPUTED_VALUE"""),"Dymple Macaraeg")</f>
        <v>Dymple Macaraeg</v>
      </c>
      <c r="S83" s="1">
        <f>IFERROR(__xludf.DUMMYFUNCTION("""COMPUTED_VALUE"""),13.5)</f>
        <v>13.5</v>
      </c>
      <c r="T83" s="1">
        <f>IFERROR(__xludf.DUMMYFUNCTION("""COMPUTED_VALUE"""),2.0)</f>
        <v>2</v>
      </c>
      <c r="U83" s="2">
        <f>IFERROR(__xludf.DUMMYFUNCTION("""COMPUTED_VALUE"""),15.5)</f>
        <v>15.5</v>
      </c>
      <c r="V83" s="1" t="str">
        <f>IFERROR(__xludf.DUMMYFUNCTION("""COMPUTED_VALUE"""),"Rose Gabilan")</f>
        <v>Rose Gabilan</v>
      </c>
      <c r="W83" s="1" t="str">
        <f>IFERROR(__xludf.DUMMYFUNCTION("""COMPUTED_VALUE"""),"Affinity Support")</f>
        <v>Affinity Support</v>
      </c>
    </row>
    <row r="84">
      <c r="O84" s="1" t="str">
        <f>IFERROR(__xludf.DUMMYFUNCTION("""COMPUTED_VALUE"""),"2025 Jun")</f>
        <v>2025 Jun</v>
      </c>
      <c r="P84" s="1" t="str">
        <f>IFERROR(__xludf.DUMMYFUNCTION("""COMPUTED_VALUE"""),"Admin Support")</f>
        <v>Admin Support</v>
      </c>
      <c r="Q84" s="1" t="str">
        <f>IFERROR(__xludf.DUMMYFUNCTION("""COMPUTED_VALUE"""),"edlico@canva.com")</f>
        <v>edlico@canva.com</v>
      </c>
      <c r="R84" s="1" t="str">
        <f>IFERROR(__xludf.DUMMYFUNCTION("""COMPUTED_VALUE"""),"Ed Lico")</f>
        <v>Ed Lico</v>
      </c>
      <c r="S84" s="1">
        <f>IFERROR(__xludf.DUMMYFUNCTION("""COMPUTED_VALUE"""),2.0)</f>
        <v>2</v>
      </c>
      <c r="T84" s="1">
        <f>IFERROR(__xludf.DUMMYFUNCTION("""COMPUTED_VALUE"""),1.0)</f>
        <v>1</v>
      </c>
      <c r="U84" s="2">
        <f>IFERROR(__xludf.DUMMYFUNCTION("""COMPUTED_VALUE"""),3.0)</f>
        <v>3</v>
      </c>
      <c r="V84" s="1" t="str">
        <f>IFERROR(__xludf.DUMMYFUNCTION("""COMPUTED_VALUE"""),"Pau Palmero")</f>
        <v>Pau Palmero</v>
      </c>
      <c r="W84" s="1" t="str">
        <f>IFERROR(__xludf.DUMMYFUNCTION("""COMPUTED_VALUE"""),"Admin Omni Support")</f>
        <v>Admin Omni Support</v>
      </c>
    </row>
    <row r="85">
      <c r="O85" s="1" t="str">
        <f>IFERROR(__xludf.DUMMYFUNCTION("""COMPUTED_VALUE"""),"2025 Jun")</f>
        <v>2025 Jun</v>
      </c>
      <c r="P85" s="1" t="str">
        <f>IFERROR(__xludf.DUMMYFUNCTION("""COMPUTED_VALUE"""),"Multilingual Support")</f>
        <v>Multilingual Support</v>
      </c>
      <c r="Q85" s="1" t="str">
        <f>IFERROR(__xludf.DUMMYFUNCTION("""COMPUTED_VALUE"""),"elmata@canva.com")</f>
        <v>elmata@canva.com</v>
      </c>
      <c r="R85" s="1" t="str">
        <f>IFERROR(__xludf.DUMMYFUNCTION("""COMPUTED_VALUE"""),"Elmer Matarlo")</f>
        <v>Elmer Matarlo</v>
      </c>
      <c r="S85" s="1">
        <f>IFERROR(__xludf.DUMMYFUNCTION("""COMPUTED_VALUE"""),8.0)</f>
        <v>8</v>
      </c>
      <c r="T85" s="1"/>
      <c r="U85" s="2">
        <f>IFERROR(__xludf.DUMMYFUNCTION("""COMPUTED_VALUE"""),8.0)</f>
        <v>8</v>
      </c>
      <c r="V85" s="1" t="str">
        <f>IFERROR(__xludf.DUMMYFUNCTION("""COMPUTED_VALUE"""),"Arlene Maurillo")</f>
        <v>Arlene Maurillo</v>
      </c>
      <c r="W85" s="1" t="str">
        <f>IFERROR(__xludf.DUMMYFUNCTION("""COMPUTED_VALUE"""),"PHL, Multilingual Support")</f>
        <v>PHL, Multilingual Support</v>
      </c>
    </row>
    <row r="86">
      <c r="O86" s="1" t="str">
        <f>IFERROR(__xludf.DUMMYFUNCTION("""COMPUTED_VALUE"""),"2025 Jun")</f>
        <v>2025 Jun</v>
      </c>
      <c r="P86" s="1" t="str">
        <f>IFERROR(__xludf.DUMMYFUNCTION("""COMPUTED_VALUE"""),"#N/A")</f>
        <v>#N/A</v>
      </c>
      <c r="Q86" s="1" t="str">
        <f>IFERROR(__xludf.DUMMYFUNCTION("""COMPUTED_VALUE"""),"emdavid@canva.com")</f>
        <v>emdavid@canva.com</v>
      </c>
      <c r="R86" s="1" t="str">
        <f>IFERROR(__xludf.DUMMYFUNCTION("""COMPUTED_VALUE"""),"Em David")</f>
        <v>Em David</v>
      </c>
      <c r="S86" s="1">
        <f>IFERROR(__xludf.DUMMYFUNCTION("""COMPUTED_VALUE"""),5.0)</f>
        <v>5</v>
      </c>
      <c r="T86" s="1">
        <f>IFERROR(__xludf.DUMMYFUNCTION("""COMPUTED_VALUE"""),3.0)</f>
        <v>3</v>
      </c>
      <c r="U86" s="2">
        <f>IFERROR(__xludf.DUMMYFUNCTION("""COMPUTED_VALUE"""),8.0)</f>
        <v>8</v>
      </c>
      <c r="V86" s="1" t="str">
        <f>IFERROR(__xludf.DUMMYFUNCTION("""COMPUTED_VALUE"""),"Vianca De Jesus")</f>
        <v>Vianca De Jesus</v>
      </c>
      <c r="W86" s="1" t="str">
        <f>IFERROR(__xludf.DUMMYFUNCTION("""COMPUTED_VALUE"""),"Advanced Chat Support")</f>
        <v>Advanced Chat Support</v>
      </c>
    </row>
    <row r="87">
      <c r="O87" s="1" t="str">
        <f>IFERROR(__xludf.DUMMYFUNCTION("""COMPUTED_VALUE"""),"2025 Jun")</f>
        <v>2025 Jun</v>
      </c>
      <c r="P87" s="1" t="str">
        <f>IFERROR(__xludf.DUMMYFUNCTION("""COMPUTED_VALUE"""),"Core Product Support")</f>
        <v>Core Product Support</v>
      </c>
      <c r="Q87" s="1" t="str">
        <f>IFERROR(__xludf.DUMMYFUNCTION("""COMPUTED_VALUE"""),"ena@canva.com")</f>
        <v>ena@canva.com</v>
      </c>
      <c r="R87" s="1" t="str">
        <f>IFERROR(__xludf.DUMMYFUNCTION("""COMPUTED_VALUE"""),"Ena Reyes")</f>
        <v>Ena Reyes</v>
      </c>
      <c r="S87" s="1">
        <f>IFERROR(__xludf.DUMMYFUNCTION("""COMPUTED_VALUE"""),7.0)</f>
        <v>7</v>
      </c>
      <c r="T87" s="1">
        <f>IFERROR(__xludf.DUMMYFUNCTION("""COMPUTED_VALUE"""),4.0)</f>
        <v>4</v>
      </c>
      <c r="U87" s="2">
        <f>IFERROR(__xludf.DUMMYFUNCTION("""COMPUTED_VALUE"""),11.0)</f>
        <v>11</v>
      </c>
      <c r="V87" s="1" t="str">
        <f>IFERROR(__xludf.DUMMYFUNCTION("""COMPUTED_VALUE"""),"Jem Mondoñedo")</f>
        <v>Jem Mondoñedo</v>
      </c>
      <c r="W87" s="1" t="str">
        <f>IFERROR(__xludf.DUMMYFUNCTION("""COMPUTED_VALUE"""),"Advanced Billing &amp; Subscriptions")</f>
        <v>Advanced Billing &amp; Subscriptions</v>
      </c>
    </row>
    <row r="88">
      <c r="O88" s="1" t="str">
        <f>IFERROR(__xludf.DUMMYFUNCTION("""COMPUTED_VALUE"""),"2025 Jun")</f>
        <v>2025 Jun</v>
      </c>
      <c r="P88" s="1" t="str">
        <f>IFERROR(__xludf.DUMMYFUNCTION("""COMPUTED_VALUE"""),"Admin Support")</f>
        <v>Admin Support</v>
      </c>
      <c r="Q88" s="1" t="str">
        <f>IFERROR(__xludf.DUMMYFUNCTION("""COMPUTED_VALUE"""),"enrique@canva.com")</f>
        <v>enrique@canva.com</v>
      </c>
      <c r="R88" s="1" t="str">
        <f>IFERROR(__xludf.DUMMYFUNCTION("""COMPUTED_VALUE"""),"Enrique Paolo Catuncan")</f>
        <v>Enrique Paolo Catuncan</v>
      </c>
      <c r="S88" s="1">
        <f>IFERROR(__xludf.DUMMYFUNCTION("""COMPUTED_VALUE"""),12.0)</f>
        <v>12</v>
      </c>
      <c r="T88" s="1">
        <f>IFERROR(__xludf.DUMMYFUNCTION("""COMPUTED_VALUE"""),9.0)</f>
        <v>9</v>
      </c>
      <c r="U88" s="2">
        <f>IFERROR(__xludf.DUMMYFUNCTION("""COMPUTED_VALUE"""),21.0)</f>
        <v>21</v>
      </c>
      <c r="V88" s="1" t="str">
        <f>IFERROR(__xludf.DUMMYFUNCTION("""COMPUTED_VALUE"""),"AL Suarez")</f>
        <v>AL Suarez</v>
      </c>
      <c r="W88" s="1" t="str">
        <f>IFERROR(__xludf.DUMMYFUNCTION("""COMPUTED_VALUE"""),"Admin Direct Support")</f>
        <v>Admin Direct Support</v>
      </c>
    </row>
    <row r="89">
      <c r="O89" s="1" t="str">
        <f>IFERROR(__xludf.DUMMYFUNCTION("""COMPUTED_VALUE"""),"2025 Jun")</f>
        <v>2025 Jun</v>
      </c>
      <c r="P89" s="1" t="str">
        <f>IFERROR(__xludf.DUMMYFUNCTION("""COMPUTED_VALUE"""),"#N/A")</f>
        <v>#N/A</v>
      </c>
      <c r="Q89" s="1" t="str">
        <f>IFERROR(__xludf.DUMMYFUNCTION("""COMPUTED_VALUE"""),"enicole@canva.com")</f>
        <v>enicole@canva.com</v>
      </c>
      <c r="R89" s="1" t="str">
        <f>IFERROR(__xludf.DUMMYFUNCTION("""COMPUTED_VALUE"""),"Ericka Nicole Andrade")</f>
        <v>Ericka Nicole Andrade</v>
      </c>
      <c r="S89" s="1">
        <f>IFERROR(__xludf.DUMMYFUNCTION("""COMPUTED_VALUE"""),9.0)</f>
        <v>9</v>
      </c>
      <c r="T89" s="1">
        <f>IFERROR(__xludf.DUMMYFUNCTION("""COMPUTED_VALUE"""),3.25)</f>
        <v>3.25</v>
      </c>
      <c r="U89" s="2">
        <f>IFERROR(__xludf.DUMMYFUNCTION("""COMPUTED_VALUE"""),12.25)</f>
        <v>12.25</v>
      </c>
      <c r="V89" s="1" t="str">
        <f>IFERROR(__xludf.DUMMYFUNCTION("""COMPUTED_VALUE"""),"Cate Velasco")</f>
        <v>Cate Velasco</v>
      </c>
      <c r="W89" s="1" t="str">
        <f>IFERROR(__xludf.DUMMYFUNCTION("""COMPUTED_VALUE"""),"Advanced Product Support")</f>
        <v>Advanced Product Support</v>
      </c>
    </row>
    <row r="90">
      <c r="O90" s="1" t="str">
        <f>IFERROR(__xludf.DUMMYFUNCTION("""COMPUTED_VALUE"""),"2025 Jun")</f>
        <v>2025 Jun</v>
      </c>
      <c r="P90" s="1" t="str">
        <f>IFERROR(__xludf.DUMMYFUNCTION("""COMPUTED_VALUE"""),"#N/A")</f>
        <v>#N/A</v>
      </c>
      <c r="Q90" s="1" t="str">
        <f>IFERROR(__xludf.DUMMYFUNCTION("""COMPUTED_VALUE"""),"venturaestelle@canva.com")</f>
        <v>venturaestelle@canva.com</v>
      </c>
      <c r="R90" s="1" t="str">
        <f>IFERROR(__xludf.DUMMYFUNCTION("""COMPUTED_VALUE"""),"Estelle Ventura")</f>
        <v>Estelle Ventura</v>
      </c>
      <c r="S90" s="1"/>
      <c r="T90" s="1">
        <f>IFERROR(__xludf.DUMMYFUNCTION("""COMPUTED_VALUE"""),1.5)</f>
        <v>1.5</v>
      </c>
      <c r="U90" s="2">
        <f>IFERROR(__xludf.DUMMYFUNCTION("""COMPUTED_VALUE"""),1.5)</f>
        <v>1.5</v>
      </c>
      <c r="V90" s="1" t="str">
        <f>IFERROR(__xludf.DUMMYFUNCTION("""COMPUTED_VALUE"""),"#N/A")</f>
        <v>#N/A</v>
      </c>
      <c r="W90" s="1" t="str">
        <f>IFERROR(__xludf.DUMMYFUNCTION("""COMPUTED_VALUE"""),"#N/A")</f>
        <v>#N/A</v>
      </c>
    </row>
    <row r="91">
      <c r="O91" s="1" t="str">
        <f>IFERROR(__xludf.DUMMYFUNCTION("""COMPUTED_VALUE"""),"2025 Jun")</f>
        <v>2025 Jun</v>
      </c>
      <c r="P91" s="1" t="str">
        <f>IFERROR(__xludf.DUMMYFUNCTION("""COMPUTED_VALUE"""),"Core Product Support")</f>
        <v>Core Product Support</v>
      </c>
      <c r="Q91" s="1" t="str">
        <f>IFERROR(__xludf.DUMMYFUNCTION("""COMPUTED_VALUE"""),"euni@canva.com")</f>
        <v>euni@canva.com</v>
      </c>
      <c r="R91" s="1" t="str">
        <f>IFERROR(__xludf.DUMMYFUNCTION("""COMPUTED_VALUE"""),"Eunice Hachero")</f>
        <v>Eunice Hachero</v>
      </c>
      <c r="S91" s="1"/>
      <c r="T91" s="1">
        <f>IFERROR(__xludf.DUMMYFUNCTION("""COMPUTED_VALUE"""),82.0)</f>
        <v>82</v>
      </c>
      <c r="U91" s="2">
        <f>IFERROR(__xludf.DUMMYFUNCTION("""COMPUTED_VALUE"""),82.0)</f>
        <v>82</v>
      </c>
      <c r="V91" s="1" t="str">
        <f>IFERROR(__xludf.DUMMYFUNCTION("""COMPUTED_VALUE"""),"Marie Mordeno")</f>
        <v>Marie Mordeno</v>
      </c>
      <c r="W91" s="1" t="str">
        <f>IFERROR(__xludf.DUMMYFUNCTION("""COMPUTED_VALUE"""),"Advanced Billing &amp; Subscriptions")</f>
        <v>Advanced Billing &amp; Subscriptions</v>
      </c>
    </row>
    <row r="92">
      <c r="O92" s="1" t="str">
        <f>IFERROR(__xludf.DUMMYFUNCTION("""COMPUTED_VALUE"""),"2025 Jun")</f>
        <v>2025 Jun</v>
      </c>
      <c r="P92" s="1" t="str">
        <f>IFERROR(__xludf.DUMMYFUNCTION("""COMPUTED_VALUE"""),"Admin Support")</f>
        <v>Admin Support</v>
      </c>
      <c r="Q92" s="1" t="str">
        <f>IFERROR(__xludf.DUMMYFUNCTION("""COMPUTED_VALUE"""),"eziecl@canva.com")</f>
        <v>eziecl@canva.com</v>
      </c>
      <c r="R92" s="1" t="str">
        <f>IFERROR(__xludf.DUMMYFUNCTION("""COMPUTED_VALUE"""),"Ezekiel Marlin Lacson")</f>
        <v>Ezekiel Marlin Lacson</v>
      </c>
      <c r="S92" s="1"/>
      <c r="T92" s="1"/>
      <c r="U92" s="2">
        <f>IFERROR(__xludf.DUMMYFUNCTION("""COMPUTED_VALUE"""),0.0)</f>
        <v>0</v>
      </c>
      <c r="V92" s="1" t="str">
        <f>IFERROR(__xludf.DUMMYFUNCTION("""COMPUTED_VALUE"""),"Pau Palmero")</f>
        <v>Pau Palmero</v>
      </c>
      <c r="W92" s="1" t="str">
        <f>IFERROR(__xludf.DUMMYFUNCTION("""COMPUTED_VALUE"""),"Admin Omni Support")</f>
        <v>Admin Omni Support</v>
      </c>
    </row>
    <row r="93">
      <c r="O93" s="1" t="str">
        <f>IFERROR(__xludf.DUMMYFUNCTION("""COMPUTED_VALUE"""),"2025 Jun")</f>
        <v>2025 Jun</v>
      </c>
      <c r="P93" s="1" t="str">
        <f>IFERROR(__xludf.DUMMYFUNCTION("""COMPUTED_VALUE"""),"Print Support")</f>
        <v>Print Support</v>
      </c>
      <c r="Q93" s="1" t="str">
        <f>IFERROR(__xludf.DUMMYFUNCTION("""COMPUTED_VALUE"""),"faith@canva.com")</f>
        <v>faith@canva.com</v>
      </c>
      <c r="R93" s="1" t="str">
        <f>IFERROR(__xludf.DUMMYFUNCTION("""COMPUTED_VALUE"""),"Faith Ytang")</f>
        <v>Faith Ytang</v>
      </c>
      <c r="S93" s="1">
        <f>IFERROR(__xludf.DUMMYFUNCTION("""COMPUTED_VALUE"""),2.0)</f>
        <v>2</v>
      </c>
      <c r="T93" s="1">
        <f>IFERROR(__xludf.DUMMYFUNCTION("""COMPUTED_VALUE"""),1.75)</f>
        <v>1.75</v>
      </c>
      <c r="U93" s="2">
        <f>IFERROR(__xludf.DUMMYFUNCTION("""COMPUTED_VALUE"""),3.75)</f>
        <v>3.75</v>
      </c>
      <c r="V93" s="1" t="str">
        <f>IFERROR(__xludf.DUMMYFUNCTION("""COMPUTED_VALUE"""),"Memae Faustino")</f>
        <v>Memae Faustino</v>
      </c>
      <c r="W93" s="1" t="str">
        <f>IFERROR(__xludf.DUMMYFUNCTION("""COMPUTED_VALUE"""),"Print Support PH")</f>
        <v>Print Support PH</v>
      </c>
    </row>
    <row r="94">
      <c r="O94" s="1" t="str">
        <f>IFERROR(__xludf.DUMMYFUNCTION("""COMPUTED_VALUE"""),"2025 Jun")</f>
        <v>2025 Jun</v>
      </c>
      <c r="P94" s="1" t="str">
        <f>IFERROR(__xludf.DUMMYFUNCTION("""COMPUTED_VALUE"""),"Multilingual Support")</f>
        <v>Multilingual Support</v>
      </c>
      <c r="Q94" s="1" t="str">
        <f>IFERROR(__xludf.DUMMYFUNCTION("""COMPUTED_VALUE"""),"francescamat@canva.com")</f>
        <v>francescamat@canva.com</v>
      </c>
      <c r="R94" s="1" t="str">
        <f>IFERROR(__xludf.DUMMYFUNCTION("""COMPUTED_VALUE"""),"Francesca Mat")</f>
        <v>Francesca Mat</v>
      </c>
      <c r="S94" s="1">
        <f>IFERROR(__xludf.DUMMYFUNCTION("""COMPUTED_VALUE"""),1.0)</f>
        <v>1</v>
      </c>
      <c r="T94" s="1">
        <f>IFERROR(__xludf.DUMMYFUNCTION("""COMPUTED_VALUE"""),1.5)</f>
        <v>1.5</v>
      </c>
      <c r="U94" s="2">
        <f>IFERROR(__xludf.DUMMYFUNCTION("""COMPUTED_VALUE"""),2.5)</f>
        <v>2.5</v>
      </c>
      <c r="V94" s="1" t="str">
        <f>IFERROR(__xludf.DUMMYFUNCTION("""COMPUTED_VALUE"""),"Arlene Maurillo")</f>
        <v>Arlene Maurillo</v>
      </c>
      <c r="W94" s="1" t="str">
        <f>IFERROR(__xludf.DUMMYFUNCTION("""COMPUTED_VALUE"""),"PHL, Multilingual Support")</f>
        <v>PHL, Multilingual Support</v>
      </c>
    </row>
    <row r="95">
      <c r="O95" s="1" t="str">
        <f>IFERROR(__xludf.DUMMYFUNCTION("""COMPUTED_VALUE"""),"2025 Jun")</f>
        <v>2025 Jun</v>
      </c>
      <c r="P95" s="1" t="str">
        <f>IFERROR(__xludf.DUMMYFUNCTION("""COMPUTED_VALUE"""),"Core Product Support")</f>
        <v>Core Product Support</v>
      </c>
      <c r="Q95" s="1" t="str">
        <f>IFERROR(__xludf.DUMMYFUNCTION("""COMPUTED_VALUE"""),"fweill@canva.com")</f>
        <v>fweill@canva.com</v>
      </c>
      <c r="R95" s="1" t="str">
        <f>IFERROR(__xludf.DUMMYFUNCTION("""COMPUTED_VALUE"""),"Frank Weill")</f>
        <v>Frank Weill</v>
      </c>
      <c r="S95" s="1"/>
      <c r="T95" s="1">
        <f>IFERROR(__xludf.DUMMYFUNCTION("""COMPUTED_VALUE"""),12.33)</f>
        <v>12.33</v>
      </c>
      <c r="U95" s="2">
        <f>IFERROR(__xludf.DUMMYFUNCTION("""COMPUTED_VALUE"""),12.33)</f>
        <v>12.33</v>
      </c>
      <c r="V95" s="1" t="str">
        <f>IFERROR(__xludf.DUMMYFUNCTION("""COMPUTED_VALUE"""),"Manee Barrasa")</f>
        <v>Manee Barrasa</v>
      </c>
      <c r="W95" s="1" t="str">
        <f>IFERROR(__xludf.DUMMYFUNCTION("""COMPUTED_VALUE"""),"Advanced Billing &amp; Subscriptions")</f>
        <v>Advanced Billing &amp; Subscriptions</v>
      </c>
    </row>
    <row r="96">
      <c r="O96" s="1" t="str">
        <f>IFERROR(__xludf.DUMMYFUNCTION("""COMPUTED_VALUE"""),"2025 Jun")</f>
        <v>2025 Jun</v>
      </c>
      <c r="P96" s="1" t="str">
        <f>IFERROR(__xludf.DUMMYFUNCTION("""COMPUTED_VALUE"""),"Print Support")</f>
        <v>Print Support</v>
      </c>
      <c r="Q96" s="1" t="str">
        <f>IFERROR(__xludf.DUMMYFUNCTION("""COMPUTED_VALUE"""),"frencie@canva.com")</f>
        <v>frencie@canva.com</v>
      </c>
      <c r="R96" s="1" t="str">
        <f>IFERROR(__xludf.DUMMYFUNCTION("""COMPUTED_VALUE"""),"Frencie Guzman")</f>
        <v>Frencie Guzman</v>
      </c>
      <c r="S96" s="1">
        <f>IFERROR(__xludf.DUMMYFUNCTION("""COMPUTED_VALUE"""),4.25)</f>
        <v>4.25</v>
      </c>
      <c r="T96" s="1"/>
      <c r="U96" s="2">
        <f>IFERROR(__xludf.DUMMYFUNCTION("""COMPUTED_VALUE"""),4.25)</f>
        <v>4.25</v>
      </c>
      <c r="V96" s="1" t="str">
        <f>IFERROR(__xludf.DUMMYFUNCTION("""COMPUTED_VALUE"""),"Aliza Dote")</f>
        <v>Aliza Dote</v>
      </c>
      <c r="W96" s="1" t="str">
        <f>IFERROR(__xludf.DUMMYFUNCTION("""COMPUTED_VALUE"""),"Print Design Support")</f>
        <v>Print Design Support</v>
      </c>
    </row>
    <row r="97">
      <c r="O97" s="1" t="str">
        <f>IFERROR(__xludf.DUMMYFUNCTION("""COMPUTED_VALUE"""),"2025 Jun")</f>
        <v>2025 Jun</v>
      </c>
      <c r="P97" s="1" t="str">
        <f>IFERROR(__xludf.DUMMYFUNCTION("""COMPUTED_VALUE"""),"Print Support")</f>
        <v>Print Support</v>
      </c>
      <c r="Q97" s="1" t="str">
        <f>IFERROR(__xludf.DUMMYFUNCTION("""COMPUTED_VALUE"""),"gvr@canva.com")</f>
        <v>gvr@canva.com</v>
      </c>
      <c r="R97" s="1" t="str">
        <f>IFERROR(__xludf.DUMMYFUNCTION("""COMPUTED_VALUE"""),"Gabriel Reyes")</f>
        <v>Gabriel Reyes</v>
      </c>
      <c r="S97" s="1">
        <f>IFERROR(__xludf.DUMMYFUNCTION("""COMPUTED_VALUE"""),1.5)</f>
        <v>1.5</v>
      </c>
      <c r="T97" s="1">
        <f>IFERROR(__xludf.DUMMYFUNCTION("""COMPUTED_VALUE"""),1.75)</f>
        <v>1.75</v>
      </c>
      <c r="U97" s="2">
        <f>IFERROR(__xludf.DUMMYFUNCTION("""COMPUTED_VALUE"""),3.25)</f>
        <v>3.25</v>
      </c>
      <c r="V97" s="1" t="str">
        <f>IFERROR(__xludf.DUMMYFUNCTION("""COMPUTED_VALUE"""),"Memae Faustino")</f>
        <v>Memae Faustino</v>
      </c>
      <c r="W97" s="1" t="str">
        <f>IFERROR(__xludf.DUMMYFUNCTION("""COMPUTED_VALUE"""),"Print Support PH")</f>
        <v>Print Support PH</v>
      </c>
    </row>
    <row r="98">
      <c r="O98" s="1" t="str">
        <f>IFERROR(__xludf.DUMMYFUNCTION("""COMPUTED_VALUE"""),"2025 Jun")</f>
        <v>2025 Jun</v>
      </c>
      <c r="P98" s="1" t="str">
        <f>IFERROR(__xludf.DUMMYFUNCTION("""COMPUTED_VALUE"""),"High Sensitivity Support")</f>
        <v>High Sensitivity Support</v>
      </c>
      <c r="Q98" s="1" t="str">
        <f>IFERROR(__xludf.DUMMYFUNCTION("""COMPUTED_VALUE"""),"gsanandres@canva.com")</f>
        <v>gsanandres@canva.com</v>
      </c>
      <c r="R98" s="1" t="str">
        <f>IFERROR(__xludf.DUMMYFUNCTION("""COMPUTED_VALUE"""),"Galvin San Andres")</f>
        <v>Galvin San Andres</v>
      </c>
      <c r="S98" s="1">
        <f>IFERROR(__xludf.DUMMYFUNCTION("""COMPUTED_VALUE"""),10.92)</f>
        <v>10.92</v>
      </c>
      <c r="T98" s="1">
        <f>IFERROR(__xludf.DUMMYFUNCTION("""COMPUTED_VALUE"""),3.25)</f>
        <v>3.25</v>
      </c>
      <c r="U98" s="2">
        <f>IFERROR(__xludf.DUMMYFUNCTION("""COMPUTED_VALUE"""),14.17)</f>
        <v>14.17</v>
      </c>
      <c r="V98" s="1" t="str">
        <f>IFERROR(__xludf.DUMMYFUNCTION("""COMPUTED_VALUE"""),"Xandy Azarcon")</f>
        <v>Xandy Azarcon</v>
      </c>
      <c r="W98" s="1" t="str">
        <f>IFERROR(__xludf.DUMMYFUNCTION("""COMPUTED_VALUE"""),"High Sensitivity Support PH")</f>
        <v>High Sensitivity Support PH</v>
      </c>
    </row>
    <row r="99">
      <c r="O99" s="1" t="str">
        <f>IFERROR(__xludf.DUMMYFUNCTION("""COMPUTED_VALUE"""),"2025 Jun")</f>
        <v>2025 Jun</v>
      </c>
      <c r="P99" s="1" t="str">
        <f>IFERROR(__xludf.DUMMYFUNCTION("""COMPUTED_VALUE"""),"#N/A")</f>
        <v>#N/A</v>
      </c>
      <c r="Q99" s="1" t="str">
        <f>IFERROR(__xludf.DUMMYFUNCTION("""COMPUTED_VALUE"""),"angeladc@canva.com")</f>
        <v>angeladc@canva.com</v>
      </c>
      <c r="R99" s="1" t="str">
        <f>IFERROR(__xludf.DUMMYFUNCTION("""COMPUTED_VALUE"""),"Gela Dela Cruz")</f>
        <v>Gela Dela Cruz</v>
      </c>
      <c r="S99" s="1">
        <f>IFERROR(__xludf.DUMMYFUNCTION("""COMPUTED_VALUE"""),11.5)</f>
        <v>11.5</v>
      </c>
      <c r="T99" s="1">
        <f>IFERROR(__xludf.DUMMYFUNCTION("""COMPUTED_VALUE"""),4.33)</f>
        <v>4.33</v>
      </c>
      <c r="U99" s="2">
        <f>IFERROR(__xludf.DUMMYFUNCTION("""COMPUTED_VALUE"""),15.83)</f>
        <v>15.83</v>
      </c>
      <c r="V99" s="1" t="str">
        <f>IFERROR(__xludf.DUMMYFUNCTION("""COMPUTED_VALUE"""),"#N/A")</f>
        <v>#N/A</v>
      </c>
      <c r="W99" s="1" t="str">
        <f>IFERROR(__xludf.DUMMYFUNCTION("""COMPUTED_VALUE"""),"#N/A")</f>
        <v>#N/A</v>
      </c>
    </row>
    <row r="100">
      <c r="O100" s="1" t="str">
        <f>IFERROR(__xludf.DUMMYFUNCTION("""COMPUTED_VALUE"""),"2025 Jun")</f>
        <v>2025 Jun</v>
      </c>
      <c r="P100" s="1" t="str">
        <f>IFERROR(__xludf.DUMMYFUNCTION("""COMPUTED_VALUE"""),"Core Product Support")</f>
        <v>Core Product Support</v>
      </c>
      <c r="Q100" s="1" t="str">
        <f>IFERROR(__xludf.DUMMYFUNCTION("""COMPUTED_VALUE"""),"gsauler@canva.com")</f>
        <v>gsauler@canva.com</v>
      </c>
      <c r="R100" s="1" t="str">
        <f>IFERROR(__xludf.DUMMYFUNCTION("""COMPUTED_VALUE"""),"Gem Sauler")</f>
        <v>Gem Sauler</v>
      </c>
      <c r="S100" s="1">
        <f>IFERROR(__xludf.DUMMYFUNCTION("""COMPUTED_VALUE"""),11.5)</f>
        <v>11.5</v>
      </c>
      <c r="T100" s="1">
        <f>IFERROR(__xludf.DUMMYFUNCTION("""COMPUTED_VALUE"""),3.5)</f>
        <v>3.5</v>
      </c>
      <c r="U100" s="2">
        <f>IFERROR(__xludf.DUMMYFUNCTION("""COMPUTED_VALUE"""),15.0)</f>
        <v>15</v>
      </c>
      <c r="V100" s="1" t="str">
        <f>IFERROR(__xludf.DUMMYFUNCTION("""COMPUTED_VALUE"""),"Mikhaela Decangchon")</f>
        <v>Mikhaela Decangchon</v>
      </c>
      <c r="W100" s="1" t="str">
        <f>IFERROR(__xludf.DUMMYFUNCTION("""COMPUTED_VALUE"""),"Advanced Product Support")</f>
        <v>Advanced Product Support</v>
      </c>
    </row>
    <row r="101">
      <c r="O101" s="1" t="str">
        <f>IFERROR(__xludf.DUMMYFUNCTION("""COMPUTED_VALUE"""),"2025 Jun")</f>
        <v>2025 Jun</v>
      </c>
      <c r="P101" s="1" t="str">
        <f>IFERROR(__xludf.DUMMYFUNCTION("""COMPUTED_VALUE"""),"Core Product Support")</f>
        <v>Core Product Support</v>
      </c>
      <c r="Q101" s="1" t="str">
        <f>IFERROR(__xludf.DUMMYFUNCTION("""COMPUTED_VALUE"""),"gemmalyn@canva.com")</f>
        <v>gemmalyn@canva.com</v>
      </c>
      <c r="R101" s="1" t="str">
        <f>IFERROR(__xludf.DUMMYFUNCTION("""COMPUTED_VALUE"""),"Gemma Gaddi")</f>
        <v>Gemma Gaddi</v>
      </c>
      <c r="S101" s="1"/>
      <c r="T101" s="1">
        <f>IFERROR(__xludf.DUMMYFUNCTION("""COMPUTED_VALUE"""),32.0)</f>
        <v>32</v>
      </c>
      <c r="U101" s="2">
        <f>IFERROR(__xludf.DUMMYFUNCTION("""COMPUTED_VALUE"""),32.0)</f>
        <v>32</v>
      </c>
      <c r="V101" s="1" t="str">
        <f>IFERROR(__xludf.DUMMYFUNCTION("""COMPUTED_VALUE"""),"Jahmie Mae Barrameda")</f>
        <v>Jahmie Mae Barrameda</v>
      </c>
      <c r="W101" s="1" t="str">
        <f>IFERROR(__xludf.DUMMYFUNCTION("""COMPUTED_VALUE"""),"Advanced Billing &amp; Subscriptions")</f>
        <v>Advanced Billing &amp; Subscriptions</v>
      </c>
    </row>
    <row r="102">
      <c r="O102" s="1" t="str">
        <f>IFERROR(__xludf.DUMMYFUNCTION("""COMPUTED_VALUE"""),"2025 Jun")</f>
        <v>2025 Jun</v>
      </c>
      <c r="P102" s="1" t="str">
        <f>IFERROR(__xludf.DUMMYFUNCTION("""COMPUTED_VALUE"""),"Core Product Support")</f>
        <v>Core Product Support</v>
      </c>
      <c r="Q102" s="1" t="str">
        <f>IFERROR(__xludf.DUMMYFUNCTION("""COMPUTED_VALUE"""),"evee@canva.com")</f>
        <v>evee@canva.com</v>
      </c>
      <c r="R102" s="1" t="str">
        <f>IFERROR(__xludf.DUMMYFUNCTION("""COMPUTED_VALUE"""),"Gen Gingoyon")</f>
        <v>Gen Gingoyon</v>
      </c>
      <c r="S102" s="1"/>
      <c r="T102" s="1">
        <f>IFERROR(__xludf.DUMMYFUNCTION("""COMPUTED_VALUE"""),0.5)</f>
        <v>0.5</v>
      </c>
      <c r="U102" s="2">
        <f>IFERROR(__xludf.DUMMYFUNCTION("""COMPUTED_VALUE"""),0.5)</f>
        <v>0.5</v>
      </c>
      <c r="V102" s="1" t="str">
        <f>IFERROR(__xludf.DUMMYFUNCTION("""COMPUTED_VALUE"""),"Renette Bok")</f>
        <v>Renette Bok</v>
      </c>
      <c r="W102" s="1" t="str">
        <f>IFERROR(__xludf.DUMMYFUNCTION("""COMPUTED_VALUE"""),"Advanced Billing &amp; Subscriptions")</f>
        <v>Advanced Billing &amp; Subscriptions</v>
      </c>
    </row>
    <row r="103">
      <c r="O103" s="1" t="str">
        <f>IFERROR(__xludf.DUMMYFUNCTION("""COMPUTED_VALUE"""),"2025 Jun")</f>
        <v>2025 Jun</v>
      </c>
      <c r="P103" s="1" t="str">
        <f>IFERROR(__xludf.DUMMYFUNCTION("""COMPUTED_VALUE"""),"Core Product Support")</f>
        <v>Core Product Support</v>
      </c>
      <c r="Q103" s="1" t="str">
        <f>IFERROR(__xludf.DUMMYFUNCTION("""COMPUTED_VALUE"""),"gpascua@canva.com")</f>
        <v>gpascua@canva.com</v>
      </c>
      <c r="R103" s="1" t="str">
        <f>IFERROR(__xludf.DUMMYFUNCTION("""COMPUTED_VALUE"""),"Gernie Pascua")</f>
        <v>Gernie Pascua</v>
      </c>
      <c r="S103" s="1">
        <f>IFERROR(__xludf.DUMMYFUNCTION("""COMPUTED_VALUE"""),3.75)</f>
        <v>3.75</v>
      </c>
      <c r="T103" s="1">
        <f>IFERROR(__xludf.DUMMYFUNCTION("""COMPUTED_VALUE"""),1.5)</f>
        <v>1.5</v>
      </c>
      <c r="U103" s="2">
        <f>IFERROR(__xludf.DUMMYFUNCTION("""COMPUTED_VALUE"""),5.25)</f>
        <v>5.25</v>
      </c>
      <c r="V103" s="1" t="str">
        <f>IFERROR(__xludf.DUMMYFUNCTION("""COMPUTED_VALUE"""),"Ellaine Estayo")</f>
        <v>Ellaine Estayo</v>
      </c>
      <c r="W103" s="1" t="str">
        <f>IFERROR(__xludf.DUMMYFUNCTION("""COMPUTED_VALUE"""),"Core Product Support Escalation Team")</f>
        <v>Core Product Support Escalation Team</v>
      </c>
    </row>
    <row r="104">
      <c r="O104" s="1" t="str">
        <f>IFERROR(__xludf.DUMMYFUNCTION("""COMPUTED_VALUE"""),"2025 Jun")</f>
        <v>2025 Jun</v>
      </c>
      <c r="P104" s="1" t="str">
        <f>IFERROR(__xludf.DUMMYFUNCTION("""COMPUTED_VALUE"""),"#N/A")</f>
        <v>#N/A</v>
      </c>
      <c r="Q104" s="1" t="str">
        <f>IFERROR(__xludf.DUMMYFUNCTION("""COMPUTED_VALUE"""),"gia@canva.com")</f>
        <v>gia@canva.com</v>
      </c>
      <c r="R104" s="1" t="str">
        <f>IFERROR(__xludf.DUMMYFUNCTION("""COMPUTED_VALUE"""),"Gia Obispo")</f>
        <v>Gia Obispo</v>
      </c>
      <c r="S104" s="1">
        <f>IFERROR(__xludf.DUMMYFUNCTION("""COMPUTED_VALUE"""),12.0)</f>
        <v>12</v>
      </c>
      <c r="T104" s="1">
        <f>IFERROR(__xludf.DUMMYFUNCTION("""COMPUTED_VALUE"""),1.0)</f>
        <v>1</v>
      </c>
      <c r="U104" s="2">
        <f>IFERROR(__xludf.DUMMYFUNCTION("""COMPUTED_VALUE"""),13.0)</f>
        <v>13</v>
      </c>
      <c r="V104" s="1" t="str">
        <f>IFERROR(__xludf.DUMMYFUNCTION("""COMPUTED_VALUE"""),"#N/A")</f>
        <v>#N/A</v>
      </c>
      <c r="W104" s="1" t="str">
        <f>IFERROR(__xludf.DUMMYFUNCTION("""COMPUTED_VALUE"""),"Advanced Product Support")</f>
        <v>Advanced Product Support</v>
      </c>
    </row>
    <row r="105">
      <c r="O105" s="1" t="str">
        <f>IFERROR(__xludf.DUMMYFUNCTION("""COMPUTED_VALUE"""),"2025 Jun")</f>
        <v>2025 Jun</v>
      </c>
      <c r="P105" s="1" t="str">
        <f>IFERROR(__xludf.DUMMYFUNCTION("""COMPUTED_VALUE"""),"Core Product Support")</f>
        <v>Core Product Support</v>
      </c>
      <c r="Q105" s="1" t="str">
        <f>IFERROR(__xludf.DUMMYFUNCTION("""COMPUTED_VALUE"""),"gieslnts@canva.com")</f>
        <v>gieslnts@canva.com</v>
      </c>
      <c r="R105" s="1" t="str">
        <f>IFERROR(__xludf.DUMMYFUNCTION("""COMPUTED_VALUE"""),"Gieann Salantes")</f>
        <v>Gieann Salantes</v>
      </c>
      <c r="S105" s="1"/>
      <c r="T105" s="1">
        <f>IFERROR(__xludf.DUMMYFUNCTION("""COMPUTED_VALUE"""),46.0)</f>
        <v>46</v>
      </c>
      <c r="U105" s="2">
        <f>IFERROR(__xludf.DUMMYFUNCTION("""COMPUTED_VALUE"""),46.0)</f>
        <v>46</v>
      </c>
      <c r="V105" s="1" t="str">
        <f>IFERROR(__xludf.DUMMYFUNCTION("""COMPUTED_VALUE"""),"Sieg Ballelos")</f>
        <v>Sieg Ballelos</v>
      </c>
      <c r="W105" s="1" t="str">
        <f>IFERROR(__xludf.DUMMYFUNCTION("""COMPUTED_VALUE"""),"Core Product Support Escalation Team")</f>
        <v>Core Product Support Escalation Team</v>
      </c>
    </row>
    <row r="106">
      <c r="O106" s="1" t="str">
        <f>IFERROR(__xludf.DUMMYFUNCTION("""COMPUTED_VALUE"""),"2025 Jun")</f>
        <v>2025 Jun</v>
      </c>
      <c r="P106" s="1" t="str">
        <f>IFERROR(__xludf.DUMMYFUNCTION("""COMPUTED_VALUE"""),"Admin Support")</f>
        <v>Admin Support</v>
      </c>
      <c r="Q106" s="1" t="str">
        <f>IFERROR(__xludf.DUMMYFUNCTION("""COMPUTED_VALUE"""),"glennford@canva.com")</f>
        <v>glennford@canva.com</v>
      </c>
      <c r="R106" s="1" t="str">
        <f>IFERROR(__xludf.DUMMYFUNCTION("""COMPUTED_VALUE"""),"Glenn Gutierrez")</f>
        <v>Glenn Gutierrez</v>
      </c>
      <c r="S106" s="1">
        <f>IFERROR(__xludf.DUMMYFUNCTION("""COMPUTED_VALUE"""),1.0)</f>
        <v>1</v>
      </c>
      <c r="T106" s="1">
        <f>IFERROR(__xludf.DUMMYFUNCTION("""COMPUTED_VALUE"""),5.17)</f>
        <v>5.17</v>
      </c>
      <c r="U106" s="2">
        <f>IFERROR(__xludf.DUMMYFUNCTION("""COMPUTED_VALUE"""),6.17)</f>
        <v>6.17</v>
      </c>
      <c r="V106" s="1" t="str">
        <f>IFERROR(__xludf.DUMMYFUNCTION("""COMPUTED_VALUE"""),"Karla Mananghaya")</f>
        <v>Karla Mananghaya</v>
      </c>
      <c r="W106" s="1" t="str">
        <f>IFERROR(__xludf.DUMMYFUNCTION("""COMPUTED_VALUE"""),"Admin Support Service Escalation Team")</f>
        <v>Admin Support Service Escalation Team</v>
      </c>
    </row>
    <row r="107">
      <c r="O107" s="1" t="str">
        <f>IFERROR(__xludf.DUMMYFUNCTION("""COMPUTED_VALUE"""),"2025 Jun")</f>
        <v>2025 Jun</v>
      </c>
      <c r="P107" s="1" t="str">
        <f>IFERROR(__xludf.DUMMYFUNCTION("""COMPUTED_VALUE"""),"Core Product Support")</f>
        <v>Core Product Support</v>
      </c>
      <c r="Q107" s="1" t="str">
        <f>IFERROR(__xludf.DUMMYFUNCTION("""COMPUTED_VALUE"""),"gracegarcia@canva.com")</f>
        <v>gracegarcia@canva.com</v>
      </c>
      <c r="R107" s="1" t="str">
        <f>IFERROR(__xludf.DUMMYFUNCTION("""COMPUTED_VALUE"""),"Grace Garcia")</f>
        <v>Grace Garcia</v>
      </c>
      <c r="S107" s="1"/>
      <c r="T107" s="1">
        <f>IFERROR(__xludf.DUMMYFUNCTION("""COMPUTED_VALUE"""),0.5)</f>
        <v>0.5</v>
      </c>
      <c r="U107" s="2">
        <f>IFERROR(__xludf.DUMMYFUNCTION("""COMPUTED_VALUE"""),0.5)</f>
        <v>0.5</v>
      </c>
      <c r="V107" s="1" t="str">
        <f>IFERROR(__xludf.DUMMYFUNCTION("""COMPUTED_VALUE"""),"Marie Mordeno")</f>
        <v>Marie Mordeno</v>
      </c>
      <c r="W107" s="1" t="str">
        <f>IFERROR(__xludf.DUMMYFUNCTION("""COMPUTED_VALUE"""),"Advanced Billing &amp; Subscriptions")</f>
        <v>Advanced Billing &amp; Subscriptions</v>
      </c>
    </row>
    <row r="108">
      <c r="O108" s="1" t="str">
        <f>IFERROR(__xludf.DUMMYFUNCTION("""COMPUTED_VALUE"""),"2025 Jun")</f>
        <v>2025 Jun</v>
      </c>
      <c r="P108" s="1" t="str">
        <f>IFERROR(__xludf.DUMMYFUNCTION("""COMPUTED_VALUE"""),"Core Product Support")</f>
        <v>Core Product Support</v>
      </c>
      <c r="Q108" s="1" t="str">
        <f>IFERROR(__xludf.DUMMYFUNCTION("""COMPUTED_VALUE"""),"hanni@canva.com")</f>
        <v>hanni@canva.com</v>
      </c>
      <c r="R108" s="1" t="str">
        <f>IFERROR(__xludf.DUMMYFUNCTION("""COMPUTED_VALUE"""),"Hannah Bejo")</f>
        <v>Hannah Bejo</v>
      </c>
      <c r="S108" s="1"/>
      <c r="T108" s="1">
        <f>IFERROR(__xludf.DUMMYFUNCTION("""COMPUTED_VALUE"""),14.82)</f>
        <v>14.82</v>
      </c>
      <c r="U108" s="2">
        <f>IFERROR(__xludf.DUMMYFUNCTION("""COMPUTED_VALUE"""),14.82)</f>
        <v>14.82</v>
      </c>
      <c r="V108" s="1" t="str">
        <f>IFERROR(__xludf.DUMMYFUNCTION("""COMPUTED_VALUE"""),"Ayza Marie Pascual")</f>
        <v>Ayza Marie Pascual</v>
      </c>
      <c r="W108" s="1" t="str">
        <f>IFERROR(__xludf.DUMMYFUNCTION("""COMPUTED_VALUE"""),"Advanced Billing &amp; Subscriptions")</f>
        <v>Advanced Billing &amp; Subscriptions</v>
      </c>
    </row>
    <row r="109">
      <c r="O109" s="1" t="str">
        <f>IFERROR(__xludf.DUMMYFUNCTION("""COMPUTED_VALUE"""),"2025 Jun")</f>
        <v>2025 Jun</v>
      </c>
      <c r="P109" s="1" t="str">
        <f>IFERROR(__xludf.DUMMYFUNCTION("""COMPUTED_VALUE"""),"Core Product Support")</f>
        <v>Core Product Support</v>
      </c>
      <c r="Q109" s="1" t="str">
        <f>IFERROR(__xludf.DUMMYFUNCTION("""COMPUTED_VALUE"""),"hdecena@canva.com")</f>
        <v>hdecena@canva.com</v>
      </c>
      <c r="R109" s="1" t="str">
        <f>IFERROR(__xludf.DUMMYFUNCTION("""COMPUTED_VALUE"""),"Hannah Decena")</f>
        <v>Hannah Decena</v>
      </c>
      <c r="S109" s="1"/>
      <c r="T109" s="1">
        <f>IFERROR(__xludf.DUMMYFUNCTION("""COMPUTED_VALUE"""),12.33)</f>
        <v>12.33</v>
      </c>
      <c r="U109" s="2">
        <f>IFERROR(__xludf.DUMMYFUNCTION("""COMPUTED_VALUE"""),12.33)</f>
        <v>12.33</v>
      </c>
      <c r="V109" s="1" t="str">
        <f>IFERROR(__xludf.DUMMYFUNCTION("""COMPUTED_VALUE"""),"Ana Lazaro")</f>
        <v>Ana Lazaro</v>
      </c>
      <c r="W109" s="1" t="str">
        <f>IFERROR(__xludf.DUMMYFUNCTION("""COMPUTED_VALUE"""),"Advanced Billing &amp; Subscriptions")</f>
        <v>Advanced Billing &amp; Subscriptions</v>
      </c>
    </row>
    <row r="110">
      <c r="O110" s="1" t="str">
        <f>IFERROR(__xludf.DUMMYFUNCTION("""COMPUTED_VALUE"""),"2025 Jun")</f>
        <v>2025 Jun</v>
      </c>
      <c r="P110" s="1" t="str">
        <f>IFERROR(__xludf.DUMMYFUNCTION("""COMPUTED_VALUE"""),"High Sensitivity Support")</f>
        <v>High Sensitivity Support</v>
      </c>
      <c r="Q110" s="1" t="str">
        <f>IFERROR(__xludf.DUMMYFUNCTION("""COMPUTED_VALUE"""),"hannahd@canva.com")</f>
        <v>hannahd@canva.com</v>
      </c>
      <c r="R110" s="1" t="str">
        <f>IFERROR(__xludf.DUMMYFUNCTION("""COMPUTED_VALUE"""),"Hannah Dimayuga")</f>
        <v>Hannah Dimayuga</v>
      </c>
      <c r="S110" s="1"/>
      <c r="T110" s="1">
        <f>IFERROR(__xludf.DUMMYFUNCTION("""COMPUTED_VALUE"""),3.75)</f>
        <v>3.75</v>
      </c>
      <c r="U110" s="2">
        <f>IFERROR(__xludf.DUMMYFUNCTION("""COMPUTED_VALUE"""),3.75)</f>
        <v>3.75</v>
      </c>
      <c r="V110" s="1" t="str">
        <f>IFERROR(__xludf.DUMMYFUNCTION("""COMPUTED_VALUE"""),"Rex Villamor")</f>
        <v>Rex Villamor</v>
      </c>
      <c r="W110" s="1" t="str">
        <f>IFERROR(__xludf.DUMMYFUNCTION("""COMPUTED_VALUE"""),"High Sensitivity Support PH")</f>
        <v>High Sensitivity Support PH</v>
      </c>
    </row>
    <row r="111">
      <c r="O111" s="1" t="str">
        <f>IFERROR(__xludf.DUMMYFUNCTION("""COMPUTED_VALUE"""),"2025 Jun")</f>
        <v>2025 Jun</v>
      </c>
      <c r="P111" s="1" t="str">
        <f>IFERROR(__xludf.DUMMYFUNCTION("""COMPUTED_VALUE"""),"Core Product Support")</f>
        <v>Core Product Support</v>
      </c>
      <c r="Q111" s="1" t="str">
        <f>IFERROR(__xludf.DUMMYFUNCTION("""COMPUTED_VALUE"""),"hazzel@canva.com")</f>
        <v>hazzel@canva.com</v>
      </c>
      <c r="R111" s="1" t="str">
        <f>IFERROR(__xludf.DUMMYFUNCTION("""COMPUTED_VALUE"""),"Haze Rafon")</f>
        <v>Haze Rafon</v>
      </c>
      <c r="S111" s="1">
        <f>IFERROR(__xludf.DUMMYFUNCTION("""COMPUTED_VALUE"""),4.0)</f>
        <v>4</v>
      </c>
      <c r="T111" s="1">
        <f>IFERROR(__xludf.DUMMYFUNCTION("""COMPUTED_VALUE"""),10.5)</f>
        <v>10.5</v>
      </c>
      <c r="U111" s="2">
        <f>IFERROR(__xludf.DUMMYFUNCTION("""COMPUTED_VALUE"""),14.5)</f>
        <v>14.5</v>
      </c>
      <c r="V111" s="1" t="str">
        <f>IFERROR(__xludf.DUMMYFUNCTION("""COMPUTED_VALUE"""),"Sieg Ballelos")</f>
        <v>Sieg Ballelos</v>
      </c>
      <c r="W111" s="1" t="str">
        <f>IFERROR(__xludf.DUMMYFUNCTION("""COMPUTED_VALUE"""),"Core Product Support Escalation Team")</f>
        <v>Core Product Support Escalation Team</v>
      </c>
    </row>
    <row r="112">
      <c r="O112" s="1" t="str">
        <f>IFERROR(__xludf.DUMMYFUNCTION("""COMPUTED_VALUE"""),"2025 Jun")</f>
        <v>2025 Jun</v>
      </c>
      <c r="P112" s="1" t="str">
        <f>IFERROR(__xludf.DUMMYFUNCTION("""COMPUTED_VALUE"""),"Segment-specific Support")</f>
        <v>Segment-specific Support</v>
      </c>
      <c r="Q112" s="1" t="str">
        <f>IFERROR(__xludf.DUMMYFUNCTION("""COMPUTED_VALUE"""),"icetamayo@canva.com")</f>
        <v>icetamayo@canva.com</v>
      </c>
      <c r="R112" s="1" t="str">
        <f>IFERROR(__xludf.DUMMYFUNCTION("""COMPUTED_VALUE"""),"Ice Montecillo-Tamayo")</f>
        <v>Ice Montecillo-Tamayo</v>
      </c>
      <c r="S112" s="1"/>
      <c r="T112" s="1">
        <f>IFERROR(__xludf.DUMMYFUNCTION("""COMPUTED_VALUE"""),2.5)</f>
        <v>2.5</v>
      </c>
      <c r="U112" s="2">
        <f>IFERROR(__xludf.DUMMYFUNCTION("""COMPUTED_VALUE"""),2.5)</f>
        <v>2.5</v>
      </c>
      <c r="V112" s="1" t="str">
        <f>IFERROR(__xludf.DUMMYFUNCTION("""COMPUTED_VALUE"""),"Rose Gabilan")</f>
        <v>Rose Gabilan</v>
      </c>
      <c r="W112" s="1" t="str">
        <f>IFERROR(__xludf.DUMMYFUNCTION("""COMPUTED_VALUE"""),"Affinity Support")</f>
        <v>Affinity Support</v>
      </c>
    </row>
    <row r="113">
      <c r="O113" s="1" t="str">
        <f>IFERROR(__xludf.DUMMYFUNCTION("""COMPUTED_VALUE"""),"2025 Jun")</f>
        <v>2025 Jun</v>
      </c>
      <c r="P113" s="1" t="str">
        <f>IFERROR(__xludf.DUMMYFUNCTION("""COMPUTED_VALUE"""),"Core Product Support")</f>
        <v>Core Product Support</v>
      </c>
      <c r="Q113" s="1" t="str">
        <f>IFERROR(__xludf.DUMMYFUNCTION("""COMPUTED_VALUE"""),"mrwong@canva.com")</f>
        <v>mrwong@canva.com</v>
      </c>
      <c r="R113" s="1" t="str">
        <f>IFERROR(__xludf.DUMMYFUNCTION("""COMPUTED_VALUE"""),"Ino Wong")</f>
        <v>Ino Wong</v>
      </c>
      <c r="S113" s="1">
        <f>IFERROR(__xludf.DUMMYFUNCTION("""COMPUTED_VALUE"""),5.5)</f>
        <v>5.5</v>
      </c>
      <c r="T113" s="1">
        <f>IFERROR(__xludf.DUMMYFUNCTION("""COMPUTED_VALUE"""),1.5)</f>
        <v>1.5</v>
      </c>
      <c r="U113" s="2">
        <f>IFERROR(__xludf.DUMMYFUNCTION("""COMPUTED_VALUE"""),7.0)</f>
        <v>7</v>
      </c>
      <c r="V113" s="1" t="str">
        <f>IFERROR(__xludf.DUMMYFUNCTION("""COMPUTED_VALUE"""),"Jem Mondoñedo")</f>
        <v>Jem Mondoñedo</v>
      </c>
      <c r="W113" s="1" t="str">
        <f>IFERROR(__xludf.DUMMYFUNCTION("""COMPUTED_VALUE"""),"Advanced Billing &amp; Subscriptions")</f>
        <v>Advanced Billing &amp; Subscriptions</v>
      </c>
    </row>
    <row r="114">
      <c r="O114" s="1" t="str">
        <f>IFERROR(__xludf.DUMMYFUNCTION("""COMPUTED_VALUE"""),"2025 Jun")</f>
        <v>2025 Jun</v>
      </c>
      <c r="P114" s="1" t="str">
        <f>IFERROR(__xludf.DUMMYFUNCTION("""COMPUTED_VALUE"""),"Segment-specific Support")</f>
        <v>Segment-specific Support</v>
      </c>
      <c r="Q114" s="1" t="str">
        <f>IFERROR(__xludf.DUMMYFUNCTION("""COMPUTED_VALUE"""),"ivy@canva.com")</f>
        <v>ivy@canva.com</v>
      </c>
      <c r="R114" s="1" t="str">
        <f>IFERROR(__xludf.DUMMYFUNCTION("""COMPUTED_VALUE"""),"Ivy Sabado")</f>
        <v>Ivy Sabado</v>
      </c>
      <c r="S114" s="1"/>
      <c r="T114" s="1">
        <f>IFERROR(__xludf.DUMMYFUNCTION("""COMPUTED_VALUE"""),1.0)</f>
        <v>1</v>
      </c>
      <c r="U114" s="2">
        <f>IFERROR(__xludf.DUMMYFUNCTION("""COMPUTED_VALUE"""),1.0)</f>
        <v>1</v>
      </c>
      <c r="V114" s="1" t="str">
        <f>IFERROR(__xludf.DUMMYFUNCTION("""COMPUTED_VALUE"""),"Aileen Dayanghirang")</f>
        <v>Aileen Dayanghirang</v>
      </c>
      <c r="W114" s="1" t="str">
        <f>IFERROR(__xludf.DUMMYFUNCTION("""COMPUTED_VALUE"""),"Creators Support")</f>
        <v>Creators Support</v>
      </c>
    </row>
    <row r="115">
      <c r="O115" s="1" t="str">
        <f>IFERROR(__xludf.DUMMYFUNCTION("""COMPUTED_VALUE"""),"2025 Jun")</f>
        <v>2025 Jun</v>
      </c>
      <c r="P115" s="1" t="str">
        <f>IFERROR(__xludf.DUMMYFUNCTION("""COMPUTED_VALUE"""),"Core Product Support")</f>
        <v>Core Product Support</v>
      </c>
      <c r="Q115" s="1" t="str">
        <f>IFERROR(__xludf.DUMMYFUNCTION("""COMPUTED_VALUE"""),"iyaacuyong@canva.com")</f>
        <v>iyaacuyong@canva.com</v>
      </c>
      <c r="R115" s="1" t="str">
        <f>IFERROR(__xludf.DUMMYFUNCTION("""COMPUTED_VALUE"""),"Iya Acuyong")</f>
        <v>Iya Acuyong</v>
      </c>
      <c r="S115" s="1">
        <f>IFERROR(__xludf.DUMMYFUNCTION("""COMPUTED_VALUE"""),11.33)</f>
        <v>11.33</v>
      </c>
      <c r="T115" s="1">
        <f>IFERROR(__xludf.DUMMYFUNCTION("""COMPUTED_VALUE"""),3.5)</f>
        <v>3.5</v>
      </c>
      <c r="U115" s="2">
        <f>IFERROR(__xludf.DUMMYFUNCTION("""COMPUTED_VALUE"""),14.83)</f>
        <v>14.83</v>
      </c>
      <c r="V115" s="1" t="str">
        <f>IFERROR(__xludf.DUMMYFUNCTION("""COMPUTED_VALUE"""),"Mikhaela Decangchon")</f>
        <v>Mikhaela Decangchon</v>
      </c>
      <c r="W115" s="1" t="str">
        <f>IFERROR(__xludf.DUMMYFUNCTION("""COMPUTED_VALUE"""),"Advanced Product Support")</f>
        <v>Advanced Product Support</v>
      </c>
    </row>
    <row r="116">
      <c r="O116" s="1" t="str">
        <f>IFERROR(__xludf.DUMMYFUNCTION("""COMPUTED_VALUE"""),"2025 Jun")</f>
        <v>2025 Jun</v>
      </c>
      <c r="P116" s="1" t="str">
        <f>IFERROR(__xludf.DUMMYFUNCTION("""COMPUTED_VALUE"""),"Print Support")</f>
        <v>Print Support</v>
      </c>
      <c r="Q116" s="1" t="str">
        <f>IFERROR(__xludf.DUMMYFUNCTION("""COMPUTED_VALUE"""),"jagumasing@canva.com")</f>
        <v>jagumasing@canva.com</v>
      </c>
      <c r="R116" s="1" t="str">
        <f>IFERROR(__xludf.DUMMYFUNCTION("""COMPUTED_VALUE"""),"Ja Gumasing")</f>
        <v>Ja Gumasing</v>
      </c>
      <c r="S116" s="1">
        <f>IFERROR(__xludf.DUMMYFUNCTION("""COMPUTED_VALUE"""),2.83)</f>
        <v>2.83</v>
      </c>
      <c r="T116" s="1">
        <f>IFERROR(__xludf.DUMMYFUNCTION("""COMPUTED_VALUE"""),0.75)</f>
        <v>0.75</v>
      </c>
      <c r="U116" s="2">
        <f>IFERROR(__xludf.DUMMYFUNCTION("""COMPUTED_VALUE"""),3.58)</f>
        <v>3.58</v>
      </c>
      <c r="V116" s="1" t="str">
        <f>IFERROR(__xludf.DUMMYFUNCTION("""COMPUTED_VALUE"""),"Althea Mercado")</f>
        <v>Althea Mercado</v>
      </c>
      <c r="W116" s="1" t="str">
        <f>IFERROR(__xludf.DUMMYFUNCTION("""COMPUTED_VALUE"""),"Print Support PH")</f>
        <v>Print Support PH</v>
      </c>
    </row>
    <row r="117">
      <c r="O117" s="1" t="str">
        <f>IFERROR(__xludf.DUMMYFUNCTION("""COMPUTED_VALUE"""),"2025 Jun")</f>
        <v>2025 Jun</v>
      </c>
      <c r="P117" s="1" t="str">
        <f>IFERROR(__xludf.DUMMYFUNCTION("""COMPUTED_VALUE"""),"Core Product Support")</f>
        <v>Core Product Support</v>
      </c>
      <c r="Q117" s="1" t="str">
        <f>IFERROR(__xludf.DUMMYFUNCTION("""COMPUTED_VALUE"""),"jacque@canva.com")</f>
        <v>jacque@canva.com</v>
      </c>
      <c r="R117" s="1" t="str">
        <f>IFERROR(__xludf.DUMMYFUNCTION("""COMPUTED_VALUE"""),"Jacqueline Gay")</f>
        <v>Jacqueline Gay</v>
      </c>
      <c r="S117" s="1">
        <f>IFERROR(__xludf.DUMMYFUNCTION("""COMPUTED_VALUE"""),7.0)</f>
        <v>7</v>
      </c>
      <c r="T117" s="1">
        <f>IFERROR(__xludf.DUMMYFUNCTION("""COMPUTED_VALUE"""),3.0)</f>
        <v>3</v>
      </c>
      <c r="U117" s="2">
        <f>IFERROR(__xludf.DUMMYFUNCTION("""COMPUTED_VALUE"""),10.0)</f>
        <v>10</v>
      </c>
      <c r="V117" s="1" t="str">
        <f>IFERROR(__xludf.DUMMYFUNCTION("""COMPUTED_VALUE"""),"Jem Mondoñedo")</f>
        <v>Jem Mondoñedo</v>
      </c>
      <c r="W117" s="1" t="str">
        <f>IFERROR(__xludf.DUMMYFUNCTION("""COMPUTED_VALUE"""),"Advanced Billing &amp; Subscriptions")</f>
        <v>Advanced Billing &amp; Subscriptions</v>
      </c>
    </row>
    <row r="118">
      <c r="O118" s="1" t="str">
        <f>IFERROR(__xludf.DUMMYFUNCTION("""COMPUTED_VALUE"""),"2025 Jun")</f>
        <v>2025 Jun</v>
      </c>
      <c r="P118" s="1" t="str">
        <f>IFERROR(__xludf.DUMMYFUNCTION("""COMPUTED_VALUE"""),"Print Support")</f>
        <v>Print Support</v>
      </c>
      <c r="Q118" s="1" t="str">
        <f>IFERROR(__xludf.DUMMYFUNCTION("""COMPUTED_VALUE"""),"jadec@canva.com")</f>
        <v>jadec@canva.com</v>
      </c>
      <c r="R118" s="1" t="str">
        <f>IFERROR(__xludf.DUMMYFUNCTION("""COMPUTED_VALUE"""),"Jade Curitana")</f>
        <v>Jade Curitana</v>
      </c>
      <c r="S118" s="1">
        <f>IFERROR(__xludf.DUMMYFUNCTION("""COMPUTED_VALUE"""),1.25)</f>
        <v>1.25</v>
      </c>
      <c r="T118" s="1">
        <f>IFERROR(__xludf.DUMMYFUNCTION("""COMPUTED_VALUE"""),1.75)</f>
        <v>1.75</v>
      </c>
      <c r="U118" s="2">
        <f>IFERROR(__xludf.DUMMYFUNCTION("""COMPUTED_VALUE"""),3.0)</f>
        <v>3</v>
      </c>
      <c r="V118" s="1" t="str">
        <f>IFERROR(__xludf.DUMMYFUNCTION("""COMPUTED_VALUE"""),"Louise Dianne Estrella")</f>
        <v>Louise Dianne Estrella</v>
      </c>
      <c r="W118" s="1" t="str">
        <f>IFERROR(__xludf.DUMMYFUNCTION("""COMPUTED_VALUE"""),"Print Support PH")</f>
        <v>Print Support PH</v>
      </c>
    </row>
    <row r="119">
      <c r="O119" s="1" t="str">
        <f>IFERROR(__xludf.DUMMYFUNCTION("""COMPUTED_VALUE"""),"2025 Jun")</f>
        <v>2025 Jun</v>
      </c>
      <c r="P119" s="1" t="str">
        <f>IFERROR(__xludf.DUMMYFUNCTION("""COMPUTED_VALUE"""),"High Sensitivity Support")</f>
        <v>High Sensitivity Support</v>
      </c>
      <c r="Q119" s="1" t="str">
        <f>IFERROR(__xludf.DUMMYFUNCTION("""COMPUTED_VALUE"""),"jammyb@canva.com")</f>
        <v>jammyb@canva.com</v>
      </c>
      <c r="R119" s="1" t="str">
        <f>IFERROR(__xludf.DUMMYFUNCTION("""COMPUTED_VALUE"""),"Jam Bacani")</f>
        <v>Jam Bacani</v>
      </c>
      <c r="S119" s="1">
        <f>IFERROR(__xludf.DUMMYFUNCTION("""COMPUTED_VALUE"""),11.88)</f>
        <v>11.88</v>
      </c>
      <c r="T119" s="1">
        <f>IFERROR(__xludf.DUMMYFUNCTION("""COMPUTED_VALUE"""),4.1)</f>
        <v>4.1</v>
      </c>
      <c r="U119" s="2">
        <f>IFERROR(__xludf.DUMMYFUNCTION("""COMPUTED_VALUE"""),15.98)</f>
        <v>15.98</v>
      </c>
      <c r="V119" s="1" t="str">
        <f>IFERROR(__xludf.DUMMYFUNCTION("""COMPUTED_VALUE"""),"Rossheen Pura")</f>
        <v>Rossheen Pura</v>
      </c>
      <c r="W119" s="1" t="str">
        <f>IFERROR(__xludf.DUMMYFUNCTION("""COMPUTED_VALUE"""),"High Sensitivity Support PH")</f>
        <v>High Sensitivity Support PH</v>
      </c>
    </row>
    <row r="120">
      <c r="O120" s="1" t="str">
        <f>IFERROR(__xludf.DUMMYFUNCTION("""COMPUTED_VALUE"""),"2025 Jun")</f>
        <v>2025 Jun</v>
      </c>
      <c r="P120" s="1" t="str">
        <f>IFERROR(__xludf.DUMMYFUNCTION("""COMPUTED_VALUE"""),"Segment-specific Support")</f>
        <v>Segment-specific Support</v>
      </c>
      <c r="Q120" s="1" t="str">
        <f>IFERROR(__xludf.DUMMYFUNCTION("""COMPUTED_VALUE"""),"jgamboa@canva.com")</f>
        <v>jgamboa@canva.com</v>
      </c>
      <c r="R120" s="1" t="str">
        <f>IFERROR(__xludf.DUMMYFUNCTION("""COMPUTED_VALUE"""),"James Marrion Gamboa")</f>
        <v>James Marrion Gamboa</v>
      </c>
      <c r="S120" s="1"/>
      <c r="T120" s="1">
        <f>IFERROR(__xludf.DUMMYFUNCTION("""COMPUTED_VALUE"""),1.0)</f>
        <v>1</v>
      </c>
      <c r="U120" s="2">
        <f>IFERROR(__xludf.DUMMYFUNCTION("""COMPUTED_VALUE"""),1.0)</f>
        <v>1</v>
      </c>
      <c r="V120" s="1" t="str">
        <f>IFERROR(__xludf.DUMMYFUNCTION("""COMPUTED_VALUE"""),"Rose Gabilan")</f>
        <v>Rose Gabilan</v>
      </c>
      <c r="W120" s="1" t="str">
        <f>IFERROR(__xludf.DUMMYFUNCTION("""COMPUTED_VALUE"""),"Affinity Support")</f>
        <v>Affinity Support</v>
      </c>
    </row>
    <row r="121">
      <c r="O121" s="1" t="str">
        <f>IFERROR(__xludf.DUMMYFUNCTION("""COMPUTED_VALUE"""),"2025 Jun")</f>
        <v>2025 Jun</v>
      </c>
      <c r="P121" s="1" t="str">
        <f>IFERROR(__xludf.DUMMYFUNCTION("""COMPUTED_VALUE"""),"Print Support")</f>
        <v>Print Support</v>
      </c>
      <c r="Q121" s="1" t="str">
        <f>IFERROR(__xludf.DUMMYFUNCTION("""COMPUTED_VALUE"""),"janpaolopena@canva.com")</f>
        <v>janpaolopena@canva.com</v>
      </c>
      <c r="R121" s="1" t="str">
        <f>IFERROR(__xludf.DUMMYFUNCTION("""COMPUTED_VALUE"""),"Jan Peña")</f>
        <v>Jan Peña</v>
      </c>
      <c r="S121" s="1">
        <f>IFERROR(__xludf.DUMMYFUNCTION("""COMPUTED_VALUE"""),1.58)</f>
        <v>1.58</v>
      </c>
      <c r="T121" s="1">
        <f>IFERROR(__xludf.DUMMYFUNCTION("""COMPUTED_VALUE"""),1.75)</f>
        <v>1.75</v>
      </c>
      <c r="U121" s="2">
        <f>IFERROR(__xludf.DUMMYFUNCTION("""COMPUTED_VALUE"""),3.33)</f>
        <v>3.33</v>
      </c>
      <c r="V121" s="1" t="str">
        <f>IFERROR(__xludf.DUMMYFUNCTION("""COMPUTED_VALUE"""),"Louise Dianne Estrella")</f>
        <v>Louise Dianne Estrella</v>
      </c>
      <c r="W121" s="1" t="str">
        <f>IFERROR(__xludf.DUMMYFUNCTION("""COMPUTED_VALUE"""),"Print Support PH")</f>
        <v>Print Support PH</v>
      </c>
    </row>
    <row r="122">
      <c r="O122" s="1" t="str">
        <f>IFERROR(__xludf.DUMMYFUNCTION("""COMPUTED_VALUE"""),"2025 Jun")</f>
        <v>2025 Jun</v>
      </c>
      <c r="P122" s="1" t="str">
        <f>IFERROR(__xludf.DUMMYFUNCTION("""COMPUTED_VALUE"""),"Admin Support")</f>
        <v>Admin Support</v>
      </c>
      <c r="Q122" s="1" t="str">
        <f>IFERROR(__xludf.DUMMYFUNCTION("""COMPUTED_VALUE"""),"janis@canva.com")</f>
        <v>janis@canva.com</v>
      </c>
      <c r="R122" s="1" t="str">
        <f>IFERROR(__xludf.DUMMYFUNCTION("""COMPUTED_VALUE"""),"Janis Esmas")</f>
        <v>Janis Esmas</v>
      </c>
      <c r="S122" s="1">
        <f>IFERROR(__xludf.DUMMYFUNCTION("""COMPUTED_VALUE"""),2.0)</f>
        <v>2</v>
      </c>
      <c r="T122" s="1">
        <f>IFERROR(__xludf.DUMMYFUNCTION("""COMPUTED_VALUE"""),1.0)</f>
        <v>1</v>
      </c>
      <c r="U122" s="2">
        <f>IFERROR(__xludf.DUMMYFUNCTION("""COMPUTED_VALUE"""),3.0)</f>
        <v>3</v>
      </c>
      <c r="V122" s="1" t="str">
        <f>IFERROR(__xludf.DUMMYFUNCTION("""COMPUTED_VALUE"""),"Karla Mananghaya")</f>
        <v>Karla Mananghaya</v>
      </c>
      <c r="W122" s="1" t="str">
        <f>IFERROR(__xludf.DUMMYFUNCTION("""COMPUTED_VALUE"""),"Admin Support Service Escalation Team")</f>
        <v>Admin Support Service Escalation Team</v>
      </c>
    </row>
    <row r="123">
      <c r="O123" s="1" t="str">
        <f>IFERROR(__xludf.DUMMYFUNCTION("""COMPUTED_VALUE"""),"2025 Jun")</f>
        <v>2025 Jun</v>
      </c>
      <c r="P123" s="1" t="str">
        <f>IFERROR(__xludf.DUMMYFUNCTION("""COMPUTED_VALUE"""),"Core Product Support")</f>
        <v>Core Product Support</v>
      </c>
      <c r="Q123" s="1" t="str">
        <f>IFERROR(__xludf.DUMMYFUNCTION("""COMPUTED_VALUE"""),"jampangan@canva.com")</f>
        <v>jampangan@canva.com</v>
      </c>
      <c r="R123" s="1" t="str">
        <f>IFERROR(__xludf.DUMMYFUNCTION("""COMPUTED_VALUE"""),"Jara Alexandra Mae Pangan")</f>
        <v>Jara Alexandra Mae Pangan</v>
      </c>
      <c r="S123" s="1">
        <f>IFERROR(__xludf.DUMMYFUNCTION("""COMPUTED_VALUE"""),5.38)</f>
        <v>5.38</v>
      </c>
      <c r="T123" s="1">
        <f>IFERROR(__xludf.DUMMYFUNCTION("""COMPUTED_VALUE"""),1.5)</f>
        <v>1.5</v>
      </c>
      <c r="U123" s="2">
        <f>IFERROR(__xludf.DUMMYFUNCTION("""COMPUTED_VALUE"""),6.88)</f>
        <v>6.88</v>
      </c>
      <c r="V123" s="1" t="str">
        <f>IFERROR(__xludf.DUMMYFUNCTION("""COMPUTED_VALUE"""),"Sieg Ballelos")</f>
        <v>Sieg Ballelos</v>
      </c>
      <c r="W123" s="1" t="str">
        <f>IFERROR(__xludf.DUMMYFUNCTION("""COMPUTED_VALUE"""),"Core Product Support Escalation Team")</f>
        <v>Core Product Support Escalation Team</v>
      </c>
    </row>
    <row r="124">
      <c r="O124" s="1" t="str">
        <f>IFERROR(__xludf.DUMMYFUNCTION("""COMPUTED_VALUE"""),"2025 Jun")</f>
        <v>2025 Jun</v>
      </c>
      <c r="P124" s="1" t="str">
        <f>IFERROR(__xludf.DUMMYFUNCTION("""COMPUTED_VALUE"""),"Core Product Support")</f>
        <v>Core Product Support</v>
      </c>
      <c r="Q124" s="1" t="str">
        <f>IFERROR(__xludf.DUMMYFUNCTION("""COMPUTED_VALUE"""),"jaredc@canva.com")</f>
        <v>jaredc@canva.com</v>
      </c>
      <c r="R124" s="1" t="str">
        <f>IFERROR(__xludf.DUMMYFUNCTION("""COMPUTED_VALUE"""),"Jared Carlin")</f>
        <v>Jared Carlin</v>
      </c>
      <c r="S124" s="1"/>
      <c r="T124" s="1">
        <f>IFERROR(__xludf.DUMMYFUNCTION("""COMPUTED_VALUE"""),80.0)</f>
        <v>80</v>
      </c>
      <c r="U124" s="2">
        <f>IFERROR(__xludf.DUMMYFUNCTION("""COMPUTED_VALUE"""),80.0)</f>
        <v>80</v>
      </c>
      <c r="V124" s="1" t="str">
        <f>IFERROR(__xludf.DUMMYFUNCTION("""COMPUTED_VALUE"""),"Ana Lazaro")</f>
        <v>Ana Lazaro</v>
      </c>
      <c r="W124" s="1" t="str">
        <f>IFERROR(__xludf.DUMMYFUNCTION("""COMPUTED_VALUE"""),"Advanced Billing &amp; Subscriptions")</f>
        <v>Advanced Billing &amp; Subscriptions</v>
      </c>
    </row>
    <row r="125">
      <c r="O125" s="1" t="str">
        <f>IFERROR(__xludf.DUMMYFUNCTION("""COMPUTED_VALUE"""),"2025 Jun")</f>
        <v>2025 Jun</v>
      </c>
      <c r="P125" s="1" t="str">
        <f>IFERROR(__xludf.DUMMYFUNCTION("""COMPUTED_VALUE"""),"Segment-specific Support")</f>
        <v>Segment-specific Support</v>
      </c>
      <c r="Q125" s="1" t="str">
        <f>IFERROR(__xludf.DUMMYFUNCTION("""COMPUTED_VALUE"""),"jas@canva.com")</f>
        <v>jas@canva.com</v>
      </c>
      <c r="R125" s="1" t="str">
        <f>IFERROR(__xludf.DUMMYFUNCTION("""COMPUTED_VALUE"""),"Jas Esperat")</f>
        <v>Jas Esperat</v>
      </c>
      <c r="S125" s="1"/>
      <c r="T125" s="1">
        <f>IFERROR(__xludf.DUMMYFUNCTION("""COMPUTED_VALUE"""),1.0)</f>
        <v>1</v>
      </c>
      <c r="U125" s="2">
        <f>IFERROR(__xludf.DUMMYFUNCTION("""COMPUTED_VALUE"""),1.0)</f>
        <v>1</v>
      </c>
      <c r="V125" s="1" t="str">
        <f>IFERROR(__xludf.DUMMYFUNCTION("""COMPUTED_VALUE"""),"Aileen Dayanghirang")</f>
        <v>Aileen Dayanghirang</v>
      </c>
      <c r="W125" s="1" t="str">
        <f>IFERROR(__xludf.DUMMYFUNCTION("""COMPUTED_VALUE"""),"Creators Support")</f>
        <v>Creators Support</v>
      </c>
    </row>
    <row r="126">
      <c r="O126" s="1" t="str">
        <f>IFERROR(__xludf.DUMMYFUNCTION("""COMPUTED_VALUE"""),"2025 Jun")</f>
        <v>2025 Jun</v>
      </c>
      <c r="P126" s="1" t="str">
        <f>IFERROR(__xludf.DUMMYFUNCTION("""COMPUTED_VALUE"""),"Print Support")</f>
        <v>Print Support</v>
      </c>
      <c r="Q126" s="1" t="str">
        <f>IFERROR(__xludf.DUMMYFUNCTION("""COMPUTED_VALUE"""),"jayson@canva.com")</f>
        <v>jayson@canva.com</v>
      </c>
      <c r="R126" s="1" t="str">
        <f>IFERROR(__xludf.DUMMYFUNCTION("""COMPUTED_VALUE"""),"Jayson Ferrer")</f>
        <v>Jayson Ferrer</v>
      </c>
      <c r="S126" s="1">
        <f>IFERROR(__xludf.DUMMYFUNCTION("""COMPUTED_VALUE"""),4.5)</f>
        <v>4.5</v>
      </c>
      <c r="T126" s="1">
        <f>IFERROR(__xludf.DUMMYFUNCTION("""COMPUTED_VALUE"""),1.0)</f>
        <v>1</v>
      </c>
      <c r="U126" s="2">
        <f>IFERROR(__xludf.DUMMYFUNCTION("""COMPUTED_VALUE"""),5.5)</f>
        <v>5.5</v>
      </c>
      <c r="V126" s="1" t="str">
        <f>IFERROR(__xludf.DUMMYFUNCTION("""COMPUTED_VALUE"""),"G-Anne Murillo")</f>
        <v>G-Anne Murillo</v>
      </c>
      <c r="W126" s="1" t="str">
        <f>IFERROR(__xludf.DUMMYFUNCTION("""COMPUTED_VALUE"""),"Print Design Support")</f>
        <v>Print Design Support</v>
      </c>
    </row>
    <row r="127">
      <c r="O127" s="1" t="str">
        <f>IFERROR(__xludf.DUMMYFUNCTION("""COMPUTED_VALUE"""),"2025 Jun")</f>
        <v>2025 Jun</v>
      </c>
      <c r="P127" s="1" t="str">
        <f>IFERROR(__xludf.DUMMYFUNCTION("""COMPUTED_VALUE"""),"Admin Support")</f>
        <v>Admin Support</v>
      </c>
      <c r="Q127" s="1" t="str">
        <f>IFERROR(__xludf.DUMMYFUNCTION("""COMPUTED_VALUE"""),"jaz@canva.com")</f>
        <v>jaz@canva.com</v>
      </c>
      <c r="R127" s="1" t="str">
        <f>IFERROR(__xludf.DUMMYFUNCTION("""COMPUTED_VALUE"""),"Jazmine San Pedro")</f>
        <v>Jazmine San Pedro</v>
      </c>
      <c r="S127" s="1">
        <f>IFERROR(__xludf.DUMMYFUNCTION("""COMPUTED_VALUE"""),1.5)</f>
        <v>1.5</v>
      </c>
      <c r="T127" s="1">
        <f>IFERROR(__xludf.DUMMYFUNCTION("""COMPUTED_VALUE"""),1.75)</f>
        <v>1.75</v>
      </c>
      <c r="U127" s="2">
        <f>IFERROR(__xludf.DUMMYFUNCTION("""COMPUTED_VALUE"""),3.25)</f>
        <v>3.25</v>
      </c>
      <c r="V127" s="1" t="str">
        <f>IFERROR(__xludf.DUMMYFUNCTION("""COMPUTED_VALUE"""),"AL Suarez")</f>
        <v>AL Suarez</v>
      </c>
      <c r="W127" s="1" t="str">
        <f>IFERROR(__xludf.DUMMYFUNCTION("""COMPUTED_VALUE"""),"Print Support PH")</f>
        <v>Print Support PH</v>
      </c>
    </row>
    <row r="128">
      <c r="O128" s="1" t="str">
        <f>IFERROR(__xludf.DUMMYFUNCTION("""COMPUTED_VALUE"""),"2025 Jun")</f>
        <v>2025 Jun</v>
      </c>
      <c r="P128" s="1" t="str">
        <f>IFERROR(__xludf.DUMMYFUNCTION("""COMPUTED_VALUE"""),"Core Product Support")</f>
        <v>Core Product Support</v>
      </c>
      <c r="Q128" s="1" t="str">
        <f>IFERROR(__xludf.DUMMYFUNCTION("""COMPUTED_VALUE"""),"jasminechristel@canva.com")</f>
        <v>jasminechristel@canva.com</v>
      </c>
      <c r="R128" s="1" t="str">
        <f>IFERROR(__xludf.DUMMYFUNCTION("""COMPUTED_VALUE"""),"Jazz Ragot")</f>
        <v>Jazz Ragot</v>
      </c>
      <c r="S128" s="1">
        <f>IFERROR(__xludf.DUMMYFUNCTION("""COMPUTED_VALUE"""),12.0)</f>
        <v>12</v>
      </c>
      <c r="T128" s="1">
        <f>IFERROR(__xludf.DUMMYFUNCTION("""COMPUTED_VALUE"""),9.0)</f>
        <v>9</v>
      </c>
      <c r="U128" s="2">
        <f>IFERROR(__xludf.DUMMYFUNCTION("""COMPUTED_VALUE"""),21.0)</f>
        <v>21</v>
      </c>
      <c r="V128" s="1" t="str">
        <f>IFERROR(__xludf.DUMMYFUNCTION("""COMPUTED_VALUE"""),"Jem Mondoñedo")</f>
        <v>Jem Mondoñedo</v>
      </c>
      <c r="W128" s="1" t="str">
        <f>IFERROR(__xludf.DUMMYFUNCTION("""COMPUTED_VALUE"""),"Advanced Billing &amp; Subscriptions")</f>
        <v>Advanced Billing &amp; Subscriptions</v>
      </c>
    </row>
    <row r="129">
      <c r="O129" s="1" t="str">
        <f>IFERROR(__xludf.DUMMYFUNCTION("""COMPUTED_VALUE"""),"2025 Jun")</f>
        <v>2025 Jun</v>
      </c>
      <c r="P129" s="1" t="str">
        <f>IFERROR(__xludf.DUMMYFUNCTION("""COMPUTED_VALUE"""),"Multilingual Support")</f>
        <v>Multilingual Support</v>
      </c>
      <c r="Q129" s="1" t="str">
        <f>IFERROR(__xludf.DUMMYFUNCTION("""COMPUTED_VALUE"""),"jc@canva.com")</f>
        <v>jc@canva.com</v>
      </c>
      <c r="R129" s="1" t="str">
        <f>IFERROR(__xludf.DUMMYFUNCTION("""COMPUTED_VALUE"""),"JC Evangelista")</f>
        <v>JC Evangelista</v>
      </c>
      <c r="S129" s="1">
        <f>IFERROR(__xludf.DUMMYFUNCTION("""COMPUTED_VALUE"""),1.0)</f>
        <v>1</v>
      </c>
      <c r="T129" s="1">
        <f>IFERROR(__xludf.DUMMYFUNCTION("""COMPUTED_VALUE"""),1.5)</f>
        <v>1.5</v>
      </c>
      <c r="U129" s="2">
        <f>IFERROR(__xludf.DUMMYFUNCTION("""COMPUTED_VALUE"""),2.5)</f>
        <v>2.5</v>
      </c>
      <c r="V129" s="1" t="str">
        <f>IFERROR(__xludf.DUMMYFUNCTION("""COMPUTED_VALUE"""),"Arlene Maurillo")</f>
        <v>Arlene Maurillo</v>
      </c>
      <c r="W129" s="1" t="str">
        <f>IFERROR(__xludf.DUMMYFUNCTION("""COMPUTED_VALUE"""),"PHL, Multilingual Support")</f>
        <v>PHL, Multilingual Support</v>
      </c>
    </row>
    <row r="130">
      <c r="O130" s="1" t="str">
        <f>IFERROR(__xludf.DUMMYFUNCTION("""COMPUTED_VALUE"""),"2025 Jun")</f>
        <v>2025 Jun</v>
      </c>
      <c r="P130" s="1" t="str">
        <f>IFERROR(__xludf.DUMMYFUNCTION("""COMPUTED_VALUE"""),"Core Product Support")</f>
        <v>Core Product Support</v>
      </c>
      <c r="Q130" s="1" t="str">
        <f>IFERROR(__xludf.DUMMYFUNCTION("""COMPUTED_VALUE"""),"jea@canva.com")</f>
        <v>jea@canva.com</v>
      </c>
      <c r="R130" s="1" t="str">
        <f>IFERROR(__xludf.DUMMYFUNCTION("""COMPUTED_VALUE"""),"Jea Silvestre")</f>
        <v>Jea Silvestre</v>
      </c>
      <c r="S130" s="1">
        <f>IFERROR(__xludf.DUMMYFUNCTION("""COMPUTED_VALUE"""),11.82)</f>
        <v>11.82</v>
      </c>
      <c r="T130" s="1">
        <f>IFERROR(__xludf.DUMMYFUNCTION("""COMPUTED_VALUE"""),10.0)</f>
        <v>10</v>
      </c>
      <c r="U130" s="2">
        <f>IFERROR(__xludf.DUMMYFUNCTION("""COMPUTED_VALUE"""),21.82)</f>
        <v>21.82</v>
      </c>
      <c r="V130" s="1" t="str">
        <f>IFERROR(__xludf.DUMMYFUNCTION("""COMPUTED_VALUE"""),"Marie Mordeno")</f>
        <v>Marie Mordeno</v>
      </c>
      <c r="W130" s="1" t="str">
        <f>IFERROR(__xludf.DUMMYFUNCTION("""COMPUTED_VALUE"""),"Advanced Billing &amp; Subscriptions")</f>
        <v>Advanced Billing &amp; Subscriptions</v>
      </c>
    </row>
    <row r="131">
      <c r="O131" s="1" t="str">
        <f>IFERROR(__xludf.DUMMYFUNCTION("""COMPUTED_VALUE"""),"2025 Jun")</f>
        <v>2025 Jun</v>
      </c>
      <c r="P131" s="1" t="str">
        <f>IFERROR(__xludf.DUMMYFUNCTION("""COMPUTED_VALUE"""),"Core Product Support")</f>
        <v>Core Product Support</v>
      </c>
      <c r="Q131" s="1" t="str">
        <f>IFERROR(__xludf.DUMMYFUNCTION("""COMPUTED_VALUE"""),"jed@canva.com")</f>
        <v>jed@canva.com</v>
      </c>
      <c r="R131" s="1" t="str">
        <f>IFERROR(__xludf.DUMMYFUNCTION("""COMPUTED_VALUE"""),"Jed Wenceslao")</f>
        <v>Jed Wenceslao</v>
      </c>
      <c r="S131" s="1"/>
      <c r="T131" s="1">
        <f>IFERROR(__xludf.DUMMYFUNCTION("""COMPUTED_VALUE"""),2.02)</f>
        <v>2.02</v>
      </c>
      <c r="U131" s="2">
        <f>IFERROR(__xludf.DUMMYFUNCTION("""COMPUTED_VALUE"""),2.02)</f>
        <v>2.02</v>
      </c>
      <c r="V131" s="1" t="str">
        <f>IFERROR(__xludf.DUMMYFUNCTION("""COMPUTED_VALUE"""),"Sieg Ballelos")</f>
        <v>Sieg Ballelos</v>
      </c>
      <c r="W131" s="1" t="str">
        <f>IFERROR(__xludf.DUMMYFUNCTION("""COMPUTED_VALUE"""),"Core Product Support Escalation Team")</f>
        <v>Core Product Support Escalation Team</v>
      </c>
    </row>
    <row r="132">
      <c r="O132" s="1" t="str">
        <f>IFERROR(__xludf.DUMMYFUNCTION("""COMPUTED_VALUE"""),"2025 Jun")</f>
        <v>2025 Jun</v>
      </c>
      <c r="P132" s="1" t="str">
        <f>IFERROR(__xludf.DUMMYFUNCTION("""COMPUTED_VALUE"""),"Core Product Support")</f>
        <v>Core Product Support</v>
      </c>
      <c r="Q132" s="1" t="str">
        <f>IFERROR(__xludf.DUMMYFUNCTION("""COMPUTED_VALUE"""),"jen@canva.com")</f>
        <v>jen@canva.com</v>
      </c>
      <c r="R132" s="1" t="str">
        <f>IFERROR(__xludf.DUMMYFUNCTION("""COMPUTED_VALUE"""),"Jenber Teves")</f>
        <v>Jenber Teves</v>
      </c>
      <c r="S132" s="1">
        <f>IFERROR(__xludf.DUMMYFUNCTION("""COMPUTED_VALUE"""),2.07)</f>
        <v>2.07</v>
      </c>
      <c r="T132" s="1">
        <f>IFERROR(__xludf.DUMMYFUNCTION("""COMPUTED_VALUE"""),5.97)</f>
        <v>5.97</v>
      </c>
      <c r="U132" s="2">
        <f>IFERROR(__xludf.DUMMYFUNCTION("""COMPUTED_VALUE"""),8.04)</f>
        <v>8.04</v>
      </c>
      <c r="V132" s="1" t="str">
        <f>IFERROR(__xludf.DUMMYFUNCTION("""COMPUTED_VALUE"""),"Ellaine Estayo")</f>
        <v>Ellaine Estayo</v>
      </c>
      <c r="W132" s="1" t="str">
        <f>IFERROR(__xludf.DUMMYFUNCTION("""COMPUTED_VALUE"""),"Core Product Support Escalation Team")</f>
        <v>Core Product Support Escalation Team</v>
      </c>
    </row>
    <row r="133">
      <c r="O133" s="1" t="str">
        <f>IFERROR(__xludf.DUMMYFUNCTION("""COMPUTED_VALUE"""),"2025 Jun")</f>
        <v>2025 Jun</v>
      </c>
      <c r="P133" s="1" t="str">
        <f>IFERROR(__xludf.DUMMYFUNCTION("""COMPUTED_VALUE"""),"#N/A")</f>
        <v>#N/A</v>
      </c>
      <c r="Q133" s="1" t="str">
        <f>IFERROR(__xludf.DUMMYFUNCTION("""COMPUTED_VALUE"""),"jerica@canva.com")</f>
        <v>jerica@canva.com</v>
      </c>
      <c r="R133" s="1" t="str">
        <f>IFERROR(__xludf.DUMMYFUNCTION("""COMPUTED_VALUE"""),"Jerica Tan")</f>
        <v>Jerica Tan</v>
      </c>
      <c r="S133" s="1">
        <f>IFERROR(__xludf.DUMMYFUNCTION("""COMPUTED_VALUE"""),8.92)</f>
        <v>8.92</v>
      </c>
      <c r="T133" s="1">
        <f>IFERROR(__xludf.DUMMYFUNCTION("""COMPUTED_VALUE"""),4.83)</f>
        <v>4.83</v>
      </c>
      <c r="U133" s="2">
        <f>IFERROR(__xludf.DUMMYFUNCTION("""COMPUTED_VALUE"""),13.75)</f>
        <v>13.75</v>
      </c>
      <c r="V133" s="1" t="str">
        <f>IFERROR(__xludf.DUMMYFUNCTION("""COMPUTED_VALUE"""),"#N/A")</f>
        <v>#N/A</v>
      </c>
      <c r="W133" s="1" t="str">
        <f>IFERROR(__xludf.DUMMYFUNCTION("""COMPUTED_VALUE"""),"High Sensitivity Support PH")</f>
        <v>High Sensitivity Support PH</v>
      </c>
    </row>
    <row r="134">
      <c r="O134" s="1" t="str">
        <f>IFERROR(__xludf.DUMMYFUNCTION("""COMPUTED_VALUE"""),"2025 Jun")</f>
        <v>2025 Jun</v>
      </c>
      <c r="P134" s="1" t="str">
        <f>IFERROR(__xludf.DUMMYFUNCTION("""COMPUTED_VALUE"""),"Print Support")</f>
        <v>Print Support</v>
      </c>
      <c r="Q134" s="1" t="str">
        <f>IFERROR(__xludf.DUMMYFUNCTION("""COMPUTED_VALUE"""),"jesicamari@canva.com")</f>
        <v>jesicamari@canva.com</v>
      </c>
      <c r="R134" s="1" t="str">
        <f>IFERROR(__xludf.DUMMYFUNCTION("""COMPUTED_VALUE"""),"Jesica Laureola")</f>
        <v>Jesica Laureola</v>
      </c>
      <c r="S134" s="1">
        <f>IFERROR(__xludf.DUMMYFUNCTION("""COMPUTED_VALUE"""),2.0)</f>
        <v>2</v>
      </c>
      <c r="T134" s="1">
        <f>IFERROR(__xludf.DUMMYFUNCTION("""COMPUTED_VALUE"""),1.0)</f>
        <v>1</v>
      </c>
      <c r="U134" s="2">
        <f>IFERROR(__xludf.DUMMYFUNCTION("""COMPUTED_VALUE"""),3.0)</f>
        <v>3</v>
      </c>
      <c r="V134" s="1" t="str">
        <f>IFERROR(__xludf.DUMMYFUNCTION("""COMPUTED_VALUE"""),"Rei De Jesus")</f>
        <v>Rei De Jesus</v>
      </c>
      <c r="W134" s="1" t="str">
        <f>IFERROR(__xludf.DUMMYFUNCTION("""COMPUTED_VALUE"""),"Print Design Support")</f>
        <v>Print Design Support</v>
      </c>
    </row>
    <row r="135">
      <c r="O135" s="1" t="str">
        <f>IFERROR(__xludf.DUMMYFUNCTION("""COMPUTED_VALUE"""),"2025 Jun")</f>
        <v>2025 Jun</v>
      </c>
      <c r="P135" s="1" t="str">
        <f>IFERROR(__xludf.DUMMYFUNCTION("""COMPUTED_VALUE"""),"Core Product Support")</f>
        <v>Core Product Support</v>
      </c>
      <c r="Q135" s="1" t="str">
        <f>IFERROR(__xludf.DUMMYFUNCTION("""COMPUTED_VALUE"""),"jbrizuela@canva.com")</f>
        <v>jbrizuela@canva.com</v>
      </c>
      <c r="R135" s="1" t="str">
        <f>IFERROR(__xludf.DUMMYFUNCTION("""COMPUTED_VALUE"""),"Jessa Brizuela")</f>
        <v>Jessa Brizuela</v>
      </c>
      <c r="S135" s="1"/>
      <c r="T135" s="1">
        <f>IFERROR(__xludf.DUMMYFUNCTION("""COMPUTED_VALUE"""),9.5)</f>
        <v>9.5</v>
      </c>
      <c r="U135" s="2">
        <f>IFERROR(__xludf.DUMMYFUNCTION("""COMPUTED_VALUE"""),9.5)</f>
        <v>9.5</v>
      </c>
      <c r="V135" s="1" t="str">
        <f>IFERROR(__xludf.DUMMYFUNCTION("""COMPUTED_VALUE"""),"Renette Bok")</f>
        <v>Renette Bok</v>
      </c>
      <c r="W135" s="1" t="str">
        <f>IFERROR(__xludf.DUMMYFUNCTION("""COMPUTED_VALUE"""),"Advanced Billing &amp; Subscriptions")</f>
        <v>Advanced Billing &amp; Subscriptions</v>
      </c>
    </row>
    <row r="136">
      <c r="O136" s="1" t="str">
        <f>IFERROR(__xludf.DUMMYFUNCTION("""COMPUTED_VALUE"""),"2025 Jun")</f>
        <v>2025 Jun</v>
      </c>
      <c r="P136" s="1" t="str">
        <f>IFERROR(__xludf.DUMMYFUNCTION("""COMPUTED_VALUE"""),"Core Product Support")</f>
        <v>Core Product Support</v>
      </c>
      <c r="Q136" s="1" t="str">
        <f>IFERROR(__xludf.DUMMYFUNCTION("""COMPUTED_VALUE"""),"jian@canva.com")</f>
        <v>jian@canva.com</v>
      </c>
      <c r="R136" s="1" t="str">
        <f>IFERROR(__xludf.DUMMYFUNCTION("""COMPUTED_VALUE"""),"Jian Paula Inocencio")</f>
        <v>Jian Paula Inocencio</v>
      </c>
      <c r="S136" s="1">
        <f>IFERROR(__xludf.DUMMYFUNCTION("""COMPUTED_VALUE"""),9.83)</f>
        <v>9.83</v>
      </c>
      <c r="T136" s="1">
        <f>IFERROR(__xludf.DUMMYFUNCTION("""COMPUTED_VALUE"""),3.5)</f>
        <v>3.5</v>
      </c>
      <c r="U136" s="2">
        <f>IFERROR(__xludf.DUMMYFUNCTION("""COMPUTED_VALUE"""),13.33)</f>
        <v>13.33</v>
      </c>
      <c r="V136" s="1" t="str">
        <f>IFERROR(__xludf.DUMMYFUNCTION("""COMPUTED_VALUE"""),"Vinz Lazaro")</f>
        <v>Vinz Lazaro</v>
      </c>
      <c r="W136" s="1" t="str">
        <f>IFERROR(__xludf.DUMMYFUNCTION("""COMPUTED_VALUE"""),"Advanced Product Support")</f>
        <v>Advanced Product Support</v>
      </c>
    </row>
    <row r="137">
      <c r="O137" s="1" t="str">
        <f>IFERROR(__xludf.DUMMYFUNCTION("""COMPUTED_VALUE"""),"2025 Jun")</f>
        <v>2025 Jun</v>
      </c>
      <c r="P137" s="1" t="str">
        <f>IFERROR(__xludf.DUMMYFUNCTION("""COMPUTED_VALUE"""),"Core Product Support")</f>
        <v>Core Product Support</v>
      </c>
      <c r="Q137" s="1" t="str">
        <f>IFERROR(__xludf.DUMMYFUNCTION("""COMPUTED_VALUE"""),"jilll@canva.com")</f>
        <v>jilll@canva.com</v>
      </c>
      <c r="R137" s="1" t="str">
        <f>IFERROR(__xludf.DUMMYFUNCTION("""COMPUTED_VALUE"""),"Jill Linco")</f>
        <v>Jill Linco</v>
      </c>
      <c r="S137" s="1">
        <f>IFERROR(__xludf.DUMMYFUNCTION("""COMPUTED_VALUE"""),14.0)</f>
        <v>14</v>
      </c>
      <c r="T137" s="1">
        <f>IFERROR(__xludf.DUMMYFUNCTION("""COMPUTED_VALUE"""),1.5)</f>
        <v>1.5</v>
      </c>
      <c r="U137" s="2">
        <f>IFERROR(__xludf.DUMMYFUNCTION("""COMPUTED_VALUE"""),15.5)</f>
        <v>15.5</v>
      </c>
      <c r="V137" s="1" t="str">
        <f>IFERROR(__xludf.DUMMYFUNCTION("""COMPUTED_VALUE"""),"Cate Velasco")</f>
        <v>Cate Velasco</v>
      </c>
      <c r="W137" s="1" t="str">
        <f>IFERROR(__xludf.DUMMYFUNCTION("""COMPUTED_VALUE"""),"Advanced Product Support")</f>
        <v>Advanced Product Support</v>
      </c>
    </row>
    <row r="138">
      <c r="O138" s="1" t="str">
        <f>IFERROR(__xludf.DUMMYFUNCTION("""COMPUTED_VALUE"""),"2025 Jun")</f>
        <v>2025 Jun</v>
      </c>
      <c r="P138" s="1" t="str">
        <f>IFERROR(__xludf.DUMMYFUNCTION("""COMPUTED_VALUE"""),"Segment-specific Support")</f>
        <v>Segment-specific Support</v>
      </c>
      <c r="Q138" s="1" t="str">
        <f>IFERROR(__xludf.DUMMYFUNCTION("""COMPUTED_VALUE"""),"jillann@canva.com")</f>
        <v>jillann@canva.com</v>
      </c>
      <c r="R138" s="1" t="str">
        <f>IFERROR(__xludf.DUMMYFUNCTION("""COMPUTED_VALUE"""),"Jill-Ann Reducindo")</f>
        <v>Jill-Ann Reducindo</v>
      </c>
      <c r="S138" s="1">
        <f>IFERROR(__xludf.DUMMYFUNCTION("""COMPUTED_VALUE"""),4.5)</f>
        <v>4.5</v>
      </c>
      <c r="T138" s="1">
        <f>IFERROR(__xludf.DUMMYFUNCTION("""COMPUTED_VALUE"""),3.0)</f>
        <v>3</v>
      </c>
      <c r="U138" s="2">
        <f>IFERROR(__xludf.DUMMYFUNCTION("""COMPUTED_VALUE"""),7.5)</f>
        <v>7.5</v>
      </c>
      <c r="V138" s="1" t="str">
        <f>IFERROR(__xludf.DUMMYFUNCTION("""COMPUTED_VALUE"""),"Rose Gabilan")</f>
        <v>Rose Gabilan</v>
      </c>
      <c r="W138" s="1" t="str">
        <f>IFERROR(__xludf.DUMMYFUNCTION("""COMPUTED_VALUE"""),"Affinity Support")</f>
        <v>Affinity Support</v>
      </c>
    </row>
    <row r="139">
      <c r="O139" s="1" t="str">
        <f>IFERROR(__xludf.DUMMYFUNCTION("""COMPUTED_VALUE"""),"2025 Jun")</f>
        <v>2025 Jun</v>
      </c>
      <c r="P139" s="1" t="str">
        <f>IFERROR(__xludf.DUMMYFUNCTION("""COMPUTED_VALUE"""),"Core Product Support")</f>
        <v>Core Product Support</v>
      </c>
      <c r="Q139" s="1" t="str">
        <f>IFERROR(__xludf.DUMMYFUNCTION("""COMPUTED_VALUE"""),"jmfrial@canva.com")</f>
        <v>jmfrial@canva.com</v>
      </c>
      <c r="R139" s="1" t="str">
        <f>IFERROR(__xludf.DUMMYFUNCTION("""COMPUTED_VALUE"""),"JM Frial")</f>
        <v>JM Frial</v>
      </c>
      <c r="S139" s="1"/>
      <c r="T139" s="1">
        <f>IFERROR(__xludf.DUMMYFUNCTION("""COMPUTED_VALUE"""),7.25)</f>
        <v>7.25</v>
      </c>
      <c r="U139" s="2">
        <f>IFERROR(__xludf.DUMMYFUNCTION("""COMPUTED_VALUE"""),7.25)</f>
        <v>7.25</v>
      </c>
      <c r="V139" s="1" t="str">
        <f>IFERROR(__xludf.DUMMYFUNCTION("""COMPUTED_VALUE"""),"Sieg Ballelos")</f>
        <v>Sieg Ballelos</v>
      </c>
      <c r="W139" s="1" t="str">
        <f>IFERROR(__xludf.DUMMYFUNCTION("""COMPUTED_VALUE"""),"Core Product Support Escalation Team")</f>
        <v>Core Product Support Escalation Team</v>
      </c>
    </row>
    <row r="140">
      <c r="O140" s="1" t="str">
        <f>IFERROR(__xludf.DUMMYFUNCTION("""COMPUTED_VALUE"""),"2025 Jun")</f>
        <v>2025 Jun</v>
      </c>
      <c r="P140" s="1" t="str">
        <f>IFERROR(__xludf.DUMMYFUNCTION("""COMPUTED_VALUE"""),"Core Product Support")</f>
        <v>Core Product Support</v>
      </c>
      <c r="Q140" s="1" t="str">
        <f>IFERROR(__xludf.DUMMYFUNCTION("""COMPUTED_VALUE"""),"jmpascual@canva.com")</f>
        <v>jmpascual@canva.com</v>
      </c>
      <c r="R140" s="1" t="str">
        <f>IFERROR(__xludf.DUMMYFUNCTION("""COMPUTED_VALUE"""),"JM Pascual")</f>
        <v>JM Pascual</v>
      </c>
      <c r="S140" s="1">
        <f>IFERROR(__xludf.DUMMYFUNCTION("""COMPUTED_VALUE"""),14.0)</f>
        <v>14</v>
      </c>
      <c r="T140" s="1">
        <f>IFERROR(__xludf.DUMMYFUNCTION("""COMPUTED_VALUE"""),2.5)</f>
        <v>2.5</v>
      </c>
      <c r="U140" s="2">
        <f>IFERROR(__xludf.DUMMYFUNCTION("""COMPUTED_VALUE"""),16.5)</f>
        <v>16.5</v>
      </c>
      <c r="V140" s="1" t="str">
        <f>IFERROR(__xludf.DUMMYFUNCTION("""COMPUTED_VALUE"""),"Belle Bentazal")</f>
        <v>Belle Bentazal</v>
      </c>
      <c r="W140" s="1" t="str">
        <f>IFERROR(__xludf.DUMMYFUNCTION("""COMPUTED_VALUE"""),"Advanced Product Support")</f>
        <v>Advanced Product Support</v>
      </c>
    </row>
    <row r="141">
      <c r="O141" s="1" t="str">
        <f>IFERROR(__xludf.DUMMYFUNCTION("""COMPUTED_VALUE"""),"2025 Jun")</f>
        <v>2025 Jun</v>
      </c>
      <c r="P141" s="1" t="str">
        <f>IFERROR(__xludf.DUMMYFUNCTION("""COMPUTED_VALUE"""),"Print Support")</f>
        <v>Print Support</v>
      </c>
      <c r="Q141" s="1" t="str">
        <f>IFERROR(__xludf.DUMMYFUNCTION("""COMPUTED_VALUE"""),"joanmyle@canva.com")</f>
        <v>joanmyle@canva.com</v>
      </c>
      <c r="R141" s="1" t="str">
        <f>IFERROR(__xludf.DUMMYFUNCTION("""COMPUTED_VALUE"""),"Joan Myle Dapog")</f>
        <v>Joan Myle Dapog</v>
      </c>
      <c r="S141" s="1">
        <f>IFERROR(__xludf.DUMMYFUNCTION("""COMPUTED_VALUE"""),1.0)</f>
        <v>1</v>
      </c>
      <c r="T141" s="1">
        <f>IFERROR(__xludf.DUMMYFUNCTION("""COMPUTED_VALUE"""),3.17)</f>
        <v>3.17</v>
      </c>
      <c r="U141" s="2">
        <f>IFERROR(__xludf.DUMMYFUNCTION("""COMPUTED_VALUE"""),4.17)</f>
        <v>4.17</v>
      </c>
      <c r="V141" s="1" t="str">
        <f>IFERROR(__xludf.DUMMYFUNCTION("""COMPUTED_VALUE"""),"Jen Momo")</f>
        <v>Jen Momo</v>
      </c>
      <c r="W141" s="1" t="str">
        <f>IFERROR(__xludf.DUMMYFUNCTION("""COMPUTED_VALUE"""),"Print Support PH")</f>
        <v>Print Support PH</v>
      </c>
    </row>
    <row r="142">
      <c r="O142" s="1" t="str">
        <f>IFERROR(__xludf.DUMMYFUNCTION("""COMPUTED_VALUE"""),"2025 Jun")</f>
        <v>2025 Jun</v>
      </c>
      <c r="P142" s="1" t="str">
        <f>IFERROR(__xludf.DUMMYFUNCTION("""COMPUTED_VALUE"""),"Print Support")</f>
        <v>Print Support</v>
      </c>
      <c r="Q142" s="1" t="str">
        <f>IFERROR(__xludf.DUMMYFUNCTION("""COMPUTED_VALUE"""),"jmbeldua@canva.com")</f>
        <v>jmbeldua@canva.com</v>
      </c>
      <c r="R142" s="1" t="str">
        <f>IFERROR(__xludf.DUMMYFUNCTION("""COMPUTED_VALUE"""),"Joane Beldua")</f>
        <v>Joane Beldua</v>
      </c>
      <c r="S142" s="1">
        <f>IFERROR(__xludf.DUMMYFUNCTION("""COMPUTED_VALUE"""),0.5)</f>
        <v>0.5</v>
      </c>
      <c r="T142" s="1">
        <f>IFERROR(__xludf.DUMMYFUNCTION("""COMPUTED_VALUE"""),0.75)</f>
        <v>0.75</v>
      </c>
      <c r="U142" s="2">
        <f>IFERROR(__xludf.DUMMYFUNCTION("""COMPUTED_VALUE"""),1.25)</f>
        <v>1.25</v>
      </c>
      <c r="V142" s="1" t="str">
        <f>IFERROR(__xludf.DUMMYFUNCTION("""COMPUTED_VALUE"""),"Louise Dianne Estrella")</f>
        <v>Louise Dianne Estrella</v>
      </c>
      <c r="W142" s="1" t="str">
        <f>IFERROR(__xludf.DUMMYFUNCTION("""COMPUTED_VALUE"""),"Print Support PH")</f>
        <v>Print Support PH</v>
      </c>
    </row>
    <row r="143">
      <c r="O143" s="1" t="str">
        <f>IFERROR(__xludf.DUMMYFUNCTION("""COMPUTED_VALUE"""),"2025 Jun")</f>
        <v>2025 Jun</v>
      </c>
      <c r="P143" s="1" t="str">
        <f>IFERROR(__xludf.DUMMYFUNCTION("""COMPUTED_VALUE"""),"Multilingual Support")</f>
        <v>Multilingual Support</v>
      </c>
      <c r="Q143" s="1" t="str">
        <f>IFERROR(__xludf.DUMMYFUNCTION("""COMPUTED_VALUE"""),"joaqdivino@canva.com")</f>
        <v>joaqdivino@canva.com</v>
      </c>
      <c r="R143" s="1" t="str">
        <f>IFERROR(__xludf.DUMMYFUNCTION("""COMPUTED_VALUE"""),"Joaquin Divino")</f>
        <v>Joaquin Divino</v>
      </c>
      <c r="S143" s="1">
        <f>IFERROR(__xludf.DUMMYFUNCTION("""COMPUTED_VALUE"""),2.0)</f>
        <v>2</v>
      </c>
      <c r="T143" s="1"/>
      <c r="U143" s="2">
        <f>IFERROR(__xludf.DUMMYFUNCTION("""COMPUTED_VALUE"""),2.0)</f>
        <v>2</v>
      </c>
      <c r="V143" s="1" t="str">
        <f>IFERROR(__xludf.DUMMYFUNCTION("""COMPUTED_VALUE"""),"Arlene Maurillo")</f>
        <v>Arlene Maurillo</v>
      </c>
      <c r="W143" s="1" t="str">
        <f>IFERROR(__xludf.DUMMYFUNCTION("""COMPUTED_VALUE"""),"PHL, Multilingual Support")</f>
        <v>PHL, Multilingual Support</v>
      </c>
    </row>
    <row r="144">
      <c r="O144" s="1" t="str">
        <f>IFERROR(__xludf.DUMMYFUNCTION("""COMPUTED_VALUE"""),"2025 Jun")</f>
        <v>2025 Jun</v>
      </c>
      <c r="P144" s="1" t="str">
        <f>IFERROR(__xludf.DUMMYFUNCTION("""COMPUTED_VALUE"""),"Core Product Support")</f>
        <v>Core Product Support</v>
      </c>
      <c r="Q144" s="1" t="str">
        <f>IFERROR(__xludf.DUMMYFUNCTION("""COMPUTED_VALUE"""),"jocelynng@canva.com")</f>
        <v>jocelynng@canva.com</v>
      </c>
      <c r="R144" s="1" t="str">
        <f>IFERROR(__xludf.DUMMYFUNCTION("""COMPUTED_VALUE"""),"Jocelyn Ng")</f>
        <v>Jocelyn Ng</v>
      </c>
      <c r="S144" s="1">
        <f>IFERROR(__xludf.DUMMYFUNCTION("""COMPUTED_VALUE"""),4.77)</f>
        <v>4.77</v>
      </c>
      <c r="T144" s="1">
        <f>IFERROR(__xludf.DUMMYFUNCTION("""COMPUTED_VALUE"""),5.25)</f>
        <v>5.25</v>
      </c>
      <c r="U144" s="2">
        <f>IFERROR(__xludf.DUMMYFUNCTION("""COMPUTED_VALUE"""),10.02)</f>
        <v>10.02</v>
      </c>
      <c r="V144" s="1" t="str">
        <f>IFERROR(__xludf.DUMMYFUNCTION("""COMPUTED_VALUE"""),"Sieg Ballelos")</f>
        <v>Sieg Ballelos</v>
      </c>
      <c r="W144" s="1" t="str">
        <f>IFERROR(__xludf.DUMMYFUNCTION("""COMPUTED_VALUE"""),"Core Product Support Escalation Team")</f>
        <v>Core Product Support Escalation Team</v>
      </c>
    </row>
    <row r="145">
      <c r="O145" s="1" t="str">
        <f>IFERROR(__xludf.DUMMYFUNCTION("""COMPUTED_VALUE"""),"2025 Jun")</f>
        <v>2025 Jun</v>
      </c>
      <c r="P145" s="1" t="str">
        <f>IFERROR(__xludf.DUMMYFUNCTION("""COMPUTED_VALUE"""),"Admin Support")</f>
        <v>Admin Support</v>
      </c>
      <c r="Q145" s="1" t="str">
        <f>IFERROR(__xludf.DUMMYFUNCTION("""COMPUTED_VALUE"""),"cee@canva.com")</f>
        <v>cee@canva.com</v>
      </c>
      <c r="R145" s="1" t="str">
        <f>IFERROR(__xludf.DUMMYFUNCTION("""COMPUTED_VALUE"""),"John Carlo Gonzales")</f>
        <v>John Carlo Gonzales</v>
      </c>
      <c r="S145" s="1">
        <f>IFERROR(__xludf.DUMMYFUNCTION("""COMPUTED_VALUE"""),12.0)</f>
        <v>12</v>
      </c>
      <c r="T145" s="1">
        <f>IFERROR(__xludf.DUMMYFUNCTION("""COMPUTED_VALUE"""),9.0)</f>
        <v>9</v>
      </c>
      <c r="U145" s="2">
        <f>IFERROR(__xludf.DUMMYFUNCTION("""COMPUTED_VALUE"""),21.0)</f>
        <v>21</v>
      </c>
      <c r="V145" s="1" t="str">
        <f>IFERROR(__xludf.DUMMYFUNCTION("""COMPUTED_VALUE"""),"AL Suarez")</f>
        <v>AL Suarez</v>
      </c>
      <c r="W145" s="1" t="str">
        <f>IFERROR(__xludf.DUMMYFUNCTION("""COMPUTED_VALUE"""),"Admin Direct Support")</f>
        <v>Admin Direct Support</v>
      </c>
    </row>
    <row r="146">
      <c r="O146" s="1" t="str">
        <f>IFERROR(__xludf.DUMMYFUNCTION("""COMPUTED_VALUE"""),"2025 Jun")</f>
        <v>2025 Jun</v>
      </c>
      <c r="P146" s="1" t="str">
        <f>IFERROR(__xludf.DUMMYFUNCTION("""COMPUTED_VALUE"""),"Core Product Support")</f>
        <v>Core Product Support</v>
      </c>
      <c r="Q146" s="1" t="str">
        <f>IFERROR(__xludf.DUMMYFUNCTION("""COMPUTED_VALUE"""),"khael@canva.com")</f>
        <v>khael@canva.com</v>
      </c>
      <c r="R146" s="1" t="str">
        <f>IFERROR(__xludf.DUMMYFUNCTION("""COMPUTED_VALUE"""),"John Pieda")</f>
        <v>John Pieda</v>
      </c>
      <c r="S146" s="1">
        <f>IFERROR(__xludf.DUMMYFUNCTION("""COMPUTED_VALUE"""),10.0)</f>
        <v>10</v>
      </c>
      <c r="T146" s="1">
        <f>IFERROR(__xludf.DUMMYFUNCTION("""COMPUTED_VALUE"""),12.0)</f>
        <v>12</v>
      </c>
      <c r="U146" s="2">
        <f>IFERROR(__xludf.DUMMYFUNCTION("""COMPUTED_VALUE"""),22.0)</f>
        <v>22</v>
      </c>
      <c r="V146" s="1" t="str">
        <f>IFERROR(__xludf.DUMMYFUNCTION("""COMPUTED_VALUE"""),"Ayza Marie Pascual")</f>
        <v>Ayza Marie Pascual</v>
      </c>
      <c r="W146" s="1" t="str">
        <f>IFERROR(__xludf.DUMMYFUNCTION("""COMPUTED_VALUE"""),"Advanced Billing &amp; Subscriptions")</f>
        <v>Advanced Billing &amp; Subscriptions</v>
      </c>
    </row>
    <row r="147">
      <c r="O147" s="1" t="str">
        <f>IFERROR(__xludf.DUMMYFUNCTION("""COMPUTED_VALUE"""),"2025 Jun")</f>
        <v>2025 Jun</v>
      </c>
      <c r="P147" s="1" t="str">
        <f>IFERROR(__xludf.DUMMYFUNCTION("""COMPUTED_VALUE"""),"Core Product Support")</f>
        <v>Core Product Support</v>
      </c>
      <c r="Q147" s="1" t="str">
        <f>IFERROR(__xludf.DUMMYFUNCTION("""COMPUTED_VALUE"""),"jonahezra@canva.com")</f>
        <v>jonahezra@canva.com</v>
      </c>
      <c r="R147" s="1" t="str">
        <f>IFERROR(__xludf.DUMMYFUNCTION("""COMPUTED_VALUE"""),"Jonah Ezra Vergara")</f>
        <v>Jonah Ezra Vergara</v>
      </c>
      <c r="S147" s="1">
        <f>IFERROR(__xludf.DUMMYFUNCTION("""COMPUTED_VALUE"""),5.5)</f>
        <v>5.5</v>
      </c>
      <c r="T147" s="1">
        <f>IFERROR(__xludf.DUMMYFUNCTION("""COMPUTED_VALUE"""),3.0)</f>
        <v>3</v>
      </c>
      <c r="U147" s="2">
        <f>IFERROR(__xludf.DUMMYFUNCTION("""COMPUTED_VALUE"""),8.5)</f>
        <v>8.5</v>
      </c>
      <c r="V147" s="1" t="str">
        <f>IFERROR(__xludf.DUMMYFUNCTION("""COMPUTED_VALUE"""),"Ellaine Estayo")</f>
        <v>Ellaine Estayo</v>
      </c>
      <c r="W147" s="1" t="str">
        <f>IFERROR(__xludf.DUMMYFUNCTION("""COMPUTED_VALUE"""),"Core Product Support Escalation Team")</f>
        <v>Core Product Support Escalation Team</v>
      </c>
    </row>
    <row r="148">
      <c r="O148" s="1" t="str">
        <f>IFERROR(__xludf.DUMMYFUNCTION("""COMPUTED_VALUE"""),"2025 Jun")</f>
        <v>2025 Jun</v>
      </c>
      <c r="P148" s="1" t="str">
        <f>IFERROR(__xludf.DUMMYFUNCTION("""COMPUTED_VALUE"""),"Core Product Support")</f>
        <v>Core Product Support</v>
      </c>
      <c r="Q148" s="1" t="str">
        <f>IFERROR(__xludf.DUMMYFUNCTION("""COMPUTED_VALUE"""),"cjopphet@canva.com")</f>
        <v>cjopphet@canva.com</v>
      </c>
      <c r="R148" s="1" t="str">
        <f>IFERROR(__xludf.DUMMYFUNCTION("""COMPUTED_VALUE"""),"Jopphet Villafuerte")</f>
        <v>Jopphet Villafuerte</v>
      </c>
      <c r="S148" s="1"/>
      <c r="T148" s="1">
        <f>IFERROR(__xludf.DUMMYFUNCTION("""COMPUTED_VALUE"""),80.0)</f>
        <v>80</v>
      </c>
      <c r="U148" s="2">
        <f>IFERROR(__xludf.DUMMYFUNCTION("""COMPUTED_VALUE"""),80.0)</f>
        <v>80</v>
      </c>
      <c r="V148" s="1" t="str">
        <f>IFERROR(__xludf.DUMMYFUNCTION("""COMPUTED_VALUE"""),"Ayza Marie Pascual")</f>
        <v>Ayza Marie Pascual</v>
      </c>
      <c r="W148" s="1" t="str">
        <f>IFERROR(__xludf.DUMMYFUNCTION("""COMPUTED_VALUE"""),"Advanced Billing &amp; Subscriptions")</f>
        <v>Advanced Billing &amp; Subscriptions</v>
      </c>
    </row>
    <row r="149">
      <c r="O149" s="1" t="str">
        <f>IFERROR(__xludf.DUMMYFUNCTION("""COMPUTED_VALUE"""),"2025 Jun")</f>
        <v>2025 Jun</v>
      </c>
      <c r="P149" s="1" t="str">
        <f>IFERROR(__xludf.DUMMYFUNCTION("""COMPUTED_VALUE"""),"Segment-specific Support")</f>
        <v>Segment-specific Support</v>
      </c>
      <c r="Q149" s="1" t="str">
        <f>IFERROR(__xludf.DUMMYFUNCTION("""COMPUTED_VALUE"""),"jorell@canva.com")</f>
        <v>jorell@canva.com</v>
      </c>
      <c r="R149" s="1" t="str">
        <f>IFERROR(__xludf.DUMMYFUNCTION("""COMPUTED_VALUE"""),"Jorell Bollozos")</f>
        <v>Jorell Bollozos</v>
      </c>
      <c r="S149" s="1">
        <f>IFERROR(__xludf.DUMMYFUNCTION("""COMPUTED_VALUE"""),1.5)</f>
        <v>1.5</v>
      </c>
      <c r="T149" s="1">
        <f>IFERROR(__xludf.DUMMYFUNCTION("""COMPUTED_VALUE"""),5.17)</f>
        <v>5.17</v>
      </c>
      <c r="U149" s="2">
        <f>IFERROR(__xludf.DUMMYFUNCTION("""COMPUTED_VALUE"""),6.67)</f>
        <v>6.67</v>
      </c>
      <c r="V149" s="1" t="str">
        <f>IFERROR(__xludf.DUMMYFUNCTION("""COMPUTED_VALUE"""),"Gucci Nava")</f>
        <v>Gucci Nava</v>
      </c>
      <c r="W149" s="1" t="str">
        <f>IFERROR(__xludf.DUMMYFUNCTION("""COMPUTED_VALUE"""),"Print Support PH")</f>
        <v>Print Support PH</v>
      </c>
    </row>
    <row r="150">
      <c r="O150" s="1" t="str">
        <f>IFERROR(__xludf.DUMMYFUNCTION("""COMPUTED_VALUE"""),"2025 Jun")</f>
        <v>2025 Jun</v>
      </c>
      <c r="P150" s="1" t="str">
        <f>IFERROR(__xludf.DUMMYFUNCTION("""COMPUTED_VALUE"""),"Core Product Support")</f>
        <v>Core Product Support</v>
      </c>
      <c r="Q150" s="1" t="str">
        <f>IFERROR(__xludf.DUMMYFUNCTION("""COMPUTED_VALUE"""),"josab@canva.com")</f>
        <v>josab@canva.com</v>
      </c>
      <c r="R150" s="1" t="str">
        <f>IFERROR(__xludf.DUMMYFUNCTION("""COMPUTED_VALUE"""),"Josa Bernardino")</f>
        <v>Josa Bernardino</v>
      </c>
      <c r="S150" s="1"/>
      <c r="T150" s="1"/>
      <c r="U150" s="2">
        <f>IFERROR(__xludf.DUMMYFUNCTION("""COMPUTED_VALUE"""),0.0)</f>
        <v>0</v>
      </c>
      <c r="V150" s="1" t="str">
        <f>IFERROR(__xludf.DUMMYFUNCTION("""COMPUTED_VALUE"""),"Ellaine Estayo")</f>
        <v>Ellaine Estayo</v>
      </c>
      <c r="W150" s="1" t="str">
        <f>IFERROR(__xludf.DUMMYFUNCTION("""COMPUTED_VALUE"""),"Core Product Support Escalation Team")</f>
        <v>Core Product Support Escalation Team</v>
      </c>
    </row>
    <row r="151">
      <c r="O151" s="1" t="str">
        <f>IFERROR(__xludf.DUMMYFUNCTION("""COMPUTED_VALUE"""),"2025 Jun")</f>
        <v>2025 Jun</v>
      </c>
      <c r="P151" s="1" t="str">
        <f>IFERROR(__xludf.DUMMYFUNCTION("""COMPUTED_VALUE"""),"Print Support")</f>
        <v>Print Support</v>
      </c>
      <c r="Q151" s="1" t="str">
        <f>IFERROR(__xludf.DUMMYFUNCTION("""COMPUTED_VALUE"""),"quin@canva.com")</f>
        <v>quin@canva.com</v>
      </c>
      <c r="R151" s="1" t="str">
        <f>IFERROR(__xludf.DUMMYFUNCTION("""COMPUTED_VALUE"""),"Jose Antiquin")</f>
        <v>Jose Antiquin</v>
      </c>
      <c r="S151" s="1"/>
      <c r="T151" s="1">
        <f>IFERROR(__xludf.DUMMYFUNCTION("""COMPUTED_VALUE"""),0.75)</f>
        <v>0.75</v>
      </c>
      <c r="U151" s="2">
        <f>IFERROR(__xludf.DUMMYFUNCTION("""COMPUTED_VALUE"""),0.75)</f>
        <v>0.75</v>
      </c>
      <c r="V151" s="1" t="str">
        <f>IFERROR(__xludf.DUMMYFUNCTION("""COMPUTED_VALUE"""),"Jen Momo")</f>
        <v>Jen Momo</v>
      </c>
      <c r="W151" s="1" t="str">
        <f>IFERROR(__xludf.DUMMYFUNCTION("""COMPUTED_VALUE"""),"Print Support PH")</f>
        <v>Print Support PH</v>
      </c>
    </row>
    <row r="152">
      <c r="O152" s="1" t="str">
        <f>IFERROR(__xludf.DUMMYFUNCTION("""COMPUTED_VALUE"""),"2025 Jun")</f>
        <v>2025 Jun</v>
      </c>
      <c r="P152" s="1" t="str">
        <f>IFERROR(__xludf.DUMMYFUNCTION("""COMPUTED_VALUE"""),"Admin Support")</f>
        <v>Admin Support</v>
      </c>
      <c r="Q152" s="1" t="str">
        <f>IFERROR(__xludf.DUMMYFUNCTION("""COMPUTED_VALUE"""),"joshid@canva.com")</f>
        <v>joshid@canva.com</v>
      </c>
      <c r="R152" s="1" t="str">
        <f>IFERROR(__xludf.DUMMYFUNCTION("""COMPUTED_VALUE"""),"Joshua Dacanay")</f>
        <v>Joshua Dacanay</v>
      </c>
      <c r="S152" s="1">
        <f>IFERROR(__xludf.DUMMYFUNCTION("""COMPUTED_VALUE"""),12.17)</f>
        <v>12.17</v>
      </c>
      <c r="T152" s="1">
        <f>IFERROR(__xludf.DUMMYFUNCTION("""COMPUTED_VALUE"""),2.0)</f>
        <v>2</v>
      </c>
      <c r="U152" s="2">
        <f>IFERROR(__xludf.DUMMYFUNCTION("""COMPUTED_VALUE"""),14.17)</f>
        <v>14.17</v>
      </c>
      <c r="V152" s="1" t="str">
        <f>IFERROR(__xludf.DUMMYFUNCTION("""COMPUTED_VALUE"""),"AL Suarez")</f>
        <v>AL Suarez</v>
      </c>
      <c r="W152" s="1" t="str">
        <f>IFERROR(__xludf.DUMMYFUNCTION("""COMPUTED_VALUE"""),"Admin Direct Support")</f>
        <v>Admin Direct Support</v>
      </c>
    </row>
    <row r="153">
      <c r="O153" s="1" t="str">
        <f>IFERROR(__xludf.DUMMYFUNCTION("""COMPUTED_VALUE"""),"2025 Jun")</f>
        <v>2025 Jun</v>
      </c>
      <c r="P153" s="1" t="str">
        <f>IFERROR(__xludf.DUMMYFUNCTION("""COMPUTED_VALUE"""),"High Sensitivity Support")</f>
        <v>High Sensitivity Support</v>
      </c>
      <c r="Q153" s="1" t="str">
        <f>IFERROR(__xludf.DUMMYFUNCTION("""COMPUTED_VALUE"""),"jpbasco@canva.com")</f>
        <v>jpbasco@canva.com</v>
      </c>
      <c r="R153" s="1" t="str">
        <f>IFERROR(__xludf.DUMMYFUNCTION("""COMPUTED_VALUE"""),"JP Basco")</f>
        <v>JP Basco</v>
      </c>
      <c r="S153" s="1">
        <f>IFERROR(__xludf.DUMMYFUNCTION("""COMPUTED_VALUE"""),3.25)</f>
        <v>3.25</v>
      </c>
      <c r="T153" s="1">
        <f>IFERROR(__xludf.DUMMYFUNCTION("""COMPUTED_VALUE"""),3.75)</f>
        <v>3.75</v>
      </c>
      <c r="U153" s="2">
        <f>IFERROR(__xludf.DUMMYFUNCTION("""COMPUTED_VALUE"""),7.0)</f>
        <v>7</v>
      </c>
      <c r="V153" s="1" t="str">
        <f>IFERROR(__xludf.DUMMYFUNCTION("""COMPUTED_VALUE"""),"Rex Villamor")</f>
        <v>Rex Villamor</v>
      </c>
      <c r="W153" s="1" t="str">
        <f>IFERROR(__xludf.DUMMYFUNCTION("""COMPUTED_VALUE"""),"High Sensitivity Support PH")</f>
        <v>High Sensitivity Support PH</v>
      </c>
    </row>
    <row r="154">
      <c r="O154" s="1" t="str">
        <f>IFERROR(__xludf.DUMMYFUNCTION("""COMPUTED_VALUE"""),"2025 Jun")</f>
        <v>2025 Jun</v>
      </c>
      <c r="P154" s="1" t="str">
        <f>IFERROR(__xludf.DUMMYFUNCTION("""COMPUTED_VALUE"""),"Core Product Support")</f>
        <v>Core Product Support</v>
      </c>
      <c r="Q154" s="1" t="str">
        <f>IFERROR(__xludf.DUMMYFUNCTION("""COMPUTED_VALUE"""),"mgonzalgo@canva.com")</f>
        <v>mgonzalgo@canva.com</v>
      </c>
      <c r="R154" s="1" t="str">
        <f>IFERROR(__xludf.DUMMYFUNCTION("""COMPUTED_VALUE"""),"Juhrella Gonzalgo")</f>
        <v>Juhrella Gonzalgo</v>
      </c>
      <c r="S154" s="1">
        <f>IFERROR(__xludf.DUMMYFUNCTION("""COMPUTED_VALUE"""),3.25)</f>
        <v>3.25</v>
      </c>
      <c r="T154" s="1">
        <f>IFERROR(__xludf.DUMMYFUNCTION("""COMPUTED_VALUE"""),2.0)</f>
        <v>2</v>
      </c>
      <c r="U154" s="2">
        <f>IFERROR(__xludf.DUMMYFUNCTION("""COMPUTED_VALUE"""),5.25)</f>
        <v>5.25</v>
      </c>
      <c r="V154" s="1" t="str">
        <f>IFERROR(__xludf.DUMMYFUNCTION("""COMPUTED_VALUE"""),"Mikhaela Decangchon")</f>
        <v>Mikhaela Decangchon</v>
      </c>
      <c r="W154" s="1" t="str">
        <f>IFERROR(__xludf.DUMMYFUNCTION("""COMPUTED_VALUE"""),"Advanced Product Support")</f>
        <v>Advanced Product Support</v>
      </c>
    </row>
    <row r="155">
      <c r="O155" s="1" t="str">
        <f>IFERROR(__xludf.DUMMYFUNCTION("""COMPUTED_VALUE"""),"2025 Jun")</f>
        <v>2025 Jun</v>
      </c>
      <c r="P155" s="1" t="str">
        <f>IFERROR(__xludf.DUMMYFUNCTION("""COMPUTED_VALUE"""),"Admin Support")</f>
        <v>Admin Support</v>
      </c>
      <c r="Q155" s="1" t="str">
        <f>IFERROR(__xludf.DUMMYFUNCTION("""COMPUTED_VALUE"""),"justinem@canva.com")</f>
        <v>justinem@canva.com</v>
      </c>
      <c r="R155" s="1" t="str">
        <f>IFERROR(__xludf.DUMMYFUNCTION("""COMPUTED_VALUE"""),"Justine Valerie Meneses")</f>
        <v>Justine Valerie Meneses</v>
      </c>
      <c r="S155" s="1">
        <f>IFERROR(__xludf.DUMMYFUNCTION("""COMPUTED_VALUE"""),6.5)</f>
        <v>6.5</v>
      </c>
      <c r="T155" s="1">
        <f>IFERROR(__xludf.DUMMYFUNCTION("""COMPUTED_VALUE"""),57.0)</f>
        <v>57</v>
      </c>
      <c r="U155" s="2">
        <f>IFERROR(__xludf.DUMMYFUNCTION("""COMPUTED_VALUE"""),63.5)</f>
        <v>63.5</v>
      </c>
      <c r="V155" s="1" t="str">
        <f>IFERROR(__xludf.DUMMYFUNCTION("""COMPUTED_VALUE"""),"Karla Mananghaya")</f>
        <v>Karla Mananghaya</v>
      </c>
      <c r="W155" s="1" t="str">
        <f>IFERROR(__xludf.DUMMYFUNCTION("""COMPUTED_VALUE"""),"Admin Support Service Escalation Team")</f>
        <v>Admin Support Service Escalation Team</v>
      </c>
    </row>
    <row r="156">
      <c r="O156" s="1" t="str">
        <f>IFERROR(__xludf.DUMMYFUNCTION("""COMPUTED_VALUE"""),"2025 Jun")</f>
        <v>2025 Jun</v>
      </c>
      <c r="P156" s="1" t="str">
        <f>IFERROR(__xludf.DUMMYFUNCTION("""COMPUTED_VALUE"""),"Admin Support")</f>
        <v>Admin Support</v>
      </c>
      <c r="Q156" s="1" t="str">
        <f>IFERROR(__xludf.DUMMYFUNCTION("""COMPUTED_VALUE"""),"kamilleb@canva.com")</f>
        <v>kamilleb@canva.com</v>
      </c>
      <c r="R156" s="1" t="str">
        <f>IFERROR(__xludf.DUMMYFUNCTION("""COMPUTED_VALUE"""),"Kamille Batuyong")</f>
        <v>Kamille Batuyong</v>
      </c>
      <c r="S156" s="1">
        <f>IFERROR(__xludf.DUMMYFUNCTION("""COMPUTED_VALUE"""),1.75)</f>
        <v>1.75</v>
      </c>
      <c r="T156" s="1">
        <f>IFERROR(__xludf.DUMMYFUNCTION("""COMPUTED_VALUE"""),0.75)</f>
        <v>0.75</v>
      </c>
      <c r="U156" s="2">
        <f>IFERROR(__xludf.DUMMYFUNCTION("""COMPUTED_VALUE"""),2.5)</f>
        <v>2.5</v>
      </c>
      <c r="V156" s="1" t="str">
        <f>IFERROR(__xludf.DUMMYFUNCTION("""COMPUTED_VALUE"""),"AL Suarez")</f>
        <v>AL Suarez</v>
      </c>
      <c r="W156" s="1" t="str">
        <f>IFERROR(__xludf.DUMMYFUNCTION("""COMPUTED_VALUE"""),"Print Support PH")</f>
        <v>Print Support PH</v>
      </c>
    </row>
    <row r="157">
      <c r="O157" s="1" t="str">
        <f>IFERROR(__xludf.DUMMYFUNCTION("""COMPUTED_VALUE"""),"2025 Jun")</f>
        <v>2025 Jun</v>
      </c>
      <c r="P157" s="1" t="str">
        <f>IFERROR(__xludf.DUMMYFUNCTION("""COMPUTED_VALUE"""),"Core Product Support")</f>
        <v>Core Product Support</v>
      </c>
      <c r="Q157" s="1" t="str">
        <f>IFERROR(__xludf.DUMMYFUNCTION("""COMPUTED_VALUE"""),"katcee@canva.com")</f>
        <v>katcee@canva.com</v>
      </c>
      <c r="R157" s="1" t="str">
        <f>IFERROR(__xludf.DUMMYFUNCTION("""COMPUTED_VALUE"""),"Katrin Cebedo")</f>
        <v>Katrin Cebedo</v>
      </c>
      <c r="S157" s="1"/>
      <c r="T157" s="1">
        <f>IFERROR(__xludf.DUMMYFUNCTION("""COMPUTED_VALUE"""),14.35)</f>
        <v>14.35</v>
      </c>
      <c r="U157" s="2">
        <f>IFERROR(__xludf.DUMMYFUNCTION("""COMPUTED_VALUE"""),14.35)</f>
        <v>14.35</v>
      </c>
      <c r="V157" s="1" t="str">
        <f>IFERROR(__xludf.DUMMYFUNCTION("""COMPUTED_VALUE"""),"Ayza Marie Pascual")</f>
        <v>Ayza Marie Pascual</v>
      </c>
      <c r="W157" s="1" t="str">
        <f>IFERROR(__xludf.DUMMYFUNCTION("""COMPUTED_VALUE"""),"Advanced Billing &amp; Subscriptions")</f>
        <v>Advanced Billing &amp; Subscriptions</v>
      </c>
    </row>
    <row r="158">
      <c r="O158" s="1" t="str">
        <f>IFERROR(__xludf.DUMMYFUNCTION("""COMPUTED_VALUE"""),"2025 Jun")</f>
        <v>2025 Jun</v>
      </c>
      <c r="P158" s="1" t="str">
        <f>IFERROR(__xludf.DUMMYFUNCTION("""COMPUTED_VALUE"""),"Print Support")</f>
        <v>Print Support</v>
      </c>
      <c r="Q158" s="1" t="str">
        <f>IFERROR(__xludf.DUMMYFUNCTION("""COMPUTED_VALUE"""),"katejoya@canva.com")</f>
        <v>katejoya@canva.com</v>
      </c>
      <c r="R158" s="1" t="str">
        <f>IFERROR(__xludf.DUMMYFUNCTION("""COMPUTED_VALUE"""),"Katrina Joya")</f>
        <v>Katrina Joya</v>
      </c>
      <c r="S158" s="1">
        <f>IFERROR(__xludf.DUMMYFUNCTION("""COMPUTED_VALUE"""),5.0)</f>
        <v>5</v>
      </c>
      <c r="T158" s="1">
        <f>IFERROR(__xludf.DUMMYFUNCTION("""COMPUTED_VALUE"""),1.5)</f>
        <v>1.5</v>
      </c>
      <c r="U158" s="2">
        <f>IFERROR(__xludf.DUMMYFUNCTION("""COMPUTED_VALUE"""),6.5)</f>
        <v>6.5</v>
      </c>
      <c r="V158" s="1" t="str">
        <f>IFERROR(__xludf.DUMMYFUNCTION("""COMPUTED_VALUE"""),"Gem Agoncillo")</f>
        <v>Gem Agoncillo</v>
      </c>
      <c r="W158" s="1" t="str">
        <f>IFERROR(__xludf.DUMMYFUNCTION("""COMPUTED_VALUE"""),"Print Design Support")</f>
        <v>Print Design Support</v>
      </c>
    </row>
    <row r="159">
      <c r="O159" s="1" t="str">
        <f>IFERROR(__xludf.DUMMYFUNCTION("""COMPUTED_VALUE"""),"2025 Jun")</f>
        <v>2025 Jun</v>
      </c>
      <c r="P159" s="1" t="str">
        <f>IFERROR(__xludf.DUMMYFUNCTION("""COMPUTED_VALUE"""),"Core Product Support")</f>
        <v>Core Product Support</v>
      </c>
      <c r="Q159" s="1" t="str">
        <f>IFERROR(__xludf.DUMMYFUNCTION("""COMPUTED_VALUE"""),"kayl@canva.com")</f>
        <v>kayl@canva.com</v>
      </c>
      <c r="R159" s="1" t="str">
        <f>IFERROR(__xludf.DUMMYFUNCTION("""COMPUTED_VALUE"""),"Kayl Albonia")</f>
        <v>Kayl Albonia</v>
      </c>
      <c r="S159" s="1"/>
      <c r="T159" s="1">
        <f>IFERROR(__xludf.DUMMYFUNCTION("""COMPUTED_VALUE"""),0.5)</f>
        <v>0.5</v>
      </c>
      <c r="U159" s="2">
        <f>IFERROR(__xludf.DUMMYFUNCTION("""COMPUTED_VALUE"""),0.5)</f>
        <v>0.5</v>
      </c>
      <c r="V159" s="1" t="str">
        <f>IFERROR(__xludf.DUMMYFUNCTION("""COMPUTED_VALUE"""),"Marie Mordeno")</f>
        <v>Marie Mordeno</v>
      </c>
      <c r="W159" s="1" t="str">
        <f>IFERROR(__xludf.DUMMYFUNCTION("""COMPUTED_VALUE"""),"Advanced Billing &amp; Subscriptions")</f>
        <v>Advanced Billing &amp; Subscriptions</v>
      </c>
    </row>
    <row r="160">
      <c r="O160" s="1" t="str">
        <f>IFERROR(__xludf.DUMMYFUNCTION("""COMPUTED_VALUE"""),"2025 Jun")</f>
        <v>2025 Jun</v>
      </c>
      <c r="P160" s="1" t="str">
        <f>IFERROR(__xludf.DUMMYFUNCTION("""COMPUTED_VALUE"""),"High Sensitivity Support")</f>
        <v>High Sensitivity Support</v>
      </c>
      <c r="Q160" s="1" t="str">
        <f>IFERROR(__xludf.DUMMYFUNCTION("""COMPUTED_VALUE"""),"kathlene@canva.com")</f>
        <v>kathlene@canva.com</v>
      </c>
      <c r="R160" s="1" t="str">
        <f>IFERROR(__xludf.DUMMYFUNCTION("""COMPUTED_VALUE"""),"KC Cruz")</f>
        <v>KC Cruz</v>
      </c>
      <c r="S160" s="1">
        <f>IFERROR(__xludf.DUMMYFUNCTION("""COMPUTED_VALUE"""),5.67)</f>
        <v>5.67</v>
      </c>
      <c r="T160" s="1">
        <f>IFERROR(__xludf.DUMMYFUNCTION("""COMPUTED_VALUE"""),3.25)</f>
        <v>3.25</v>
      </c>
      <c r="U160" s="2">
        <f>IFERROR(__xludf.DUMMYFUNCTION("""COMPUTED_VALUE"""),8.92)</f>
        <v>8.92</v>
      </c>
      <c r="V160" s="1" t="str">
        <f>IFERROR(__xludf.DUMMYFUNCTION("""COMPUTED_VALUE"""),"Xandy Azarcon")</f>
        <v>Xandy Azarcon</v>
      </c>
      <c r="W160" s="1" t="str">
        <f>IFERROR(__xludf.DUMMYFUNCTION("""COMPUTED_VALUE"""),"High Sensitivity Support PH")</f>
        <v>High Sensitivity Support PH</v>
      </c>
    </row>
    <row r="161">
      <c r="O161" s="1" t="str">
        <f>IFERROR(__xludf.DUMMYFUNCTION("""COMPUTED_VALUE"""),"2025 Jun")</f>
        <v>2025 Jun</v>
      </c>
      <c r="P161" s="1" t="str">
        <f>IFERROR(__xludf.DUMMYFUNCTION("""COMPUTED_VALUE"""),"Admin Support")</f>
        <v>Admin Support</v>
      </c>
      <c r="Q161" s="1" t="str">
        <f>IFERROR(__xludf.DUMMYFUNCTION("""COMPUTED_VALUE"""),"kc@canva.com")</f>
        <v>kc@canva.com</v>
      </c>
      <c r="R161" s="1" t="str">
        <f>IFERROR(__xludf.DUMMYFUNCTION("""COMPUTED_VALUE"""),"KC Sacramento")</f>
        <v>KC Sacramento</v>
      </c>
      <c r="S161" s="1">
        <f>IFERROR(__xludf.DUMMYFUNCTION("""COMPUTED_VALUE"""),2.93)</f>
        <v>2.93</v>
      </c>
      <c r="T161" s="1">
        <f>IFERROR(__xludf.DUMMYFUNCTION("""COMPUTED_VALUE"""),3.65)</f>
        <v>3.65</v>
      </c>
      <c r="U161" s="2">
        <f>IFERROR(__xludf.DUMMYFUNCTION("""COMPUTED_VALUE"""),6.58)</f>
        <v>6.58</v>
      </c>
      <c r="V161" s="1" t="str">
        <f>IFERROR(__xludf.DUMMYFUNCTION("""COMPUTED_VALUE"""),"Kelden Laguting")</f>
        <v>Kelden Laguting</v>
      </c>
      <c r="W161" s="1" t="str">
        <f>IFERROR(__xludf.DUMMYFUNCTION("""COMPUTED_VALUE"""),"Admin Omni Support")</f>
        <v>Admin Omni Support</v>
      </c>
    </row>
    <row r="162">
      <c r="O162" s="1" t="str">
        <f>IFERROR(__xludf.DUMMYFUNCTION("""COMPUTED_VALUE"""),"2025 Jun")</f>
        <v>2025 Jun</v>
      </c>
      <c r="P162" s="1" t="str">
        <f>IFERROR(__xludf.DUMMYFUNCTION("""COMPUTED_VALUE"""),"Core Product Support")</f>
        <v>Core Product Support</v>
      </c>
      <c r="Q162" s="1" t="str">
        <f>IFERROR(__xludf.DUMMYFUNCTION("""COMPUTED_VALUE"""),"keisalazar@canva.com")</f>
        <v>keisalazar@canva.com</v>
      </c>
      <c r="R162" s="1" t="str">
        <f>IFERROR(__xludf.DUMMYFUNCTION("""COMPUTED_VALUE"""),"Kei Salazar")</f>
        <v>Kei Salazar</v>
      </c>
      <c r="S162" s="1">
        <f>IFERROR(__xludf.DUMMYFUNCTION("""COMPUTED_VALUE"""),5.0)</f>
        <v>5</v>
      </c>
      <c r="T162" s="1">
        <f>IFERROR(__xludf.DUMMYFUNCTION("""COMPUTED_VALUE"""),3.0)</f>
        <v>3</v>
      </c>
      <c r="U162" s="2">
        <f>IFERROR(__xludf.DUMMYFUNCTION("""COMPUTED_VALUE"""),8.0)</f>
        <v>8</v>
      </c>
      <c r="V162" s="1" t="str">
        <f>IFERROR(__xludf.DUMMYFUNCTION("""COMPUTED_VALUE"""),"Ayza Marie Pascual")</f>
        <v>Ayza Marie Pascual</v>
      </c>
      <c r="W162" s="1" t="str">
        <f>IFERROR(__xludf.DUMMYFUNCTION("""COMPUTED_VALUE"""),"Advanced Billing &amp; Subscriptions")</f>
        <v>Advanced Billing &amp; Subscriptions</v>
      </c>
    </row>
    <row r="163">
      <c r="O163" s="1" t="str">
        <f>IFERROR(__xludf.DUMMYFUNCTION("""COMPUTED_VALUE"""),"2025 Jun")</f>
        <v>2025 Jun</v>
      </c>
      <c r="P163" s="1" t="str">
        <f>IFERROR(__xludf.DUMMYFUNCTION("""COMPUTED_VALUE"""),"Print Support")</f>
        <v>Print Support</v>
      </c>
      <c r="Q163" s="1" t="str">
        <f>IFERROR(__xludf.DUMMYFUNCTION("""COMPUTED_VALUE"""),"kennethgo@canva.com")</f>
        <v>kennethgo@canva.com</v>
      </c>
      <c r="R163" s="1" t="str">
        <f>IFERROR(__xludf.DUMMYFUNCTION("""COMPUTED_VALUE"""),"Kenneth Go")</f>
        <v>Kenneth Go</v>
      </c>
      <c r="S163" s="1">
        <f>IFERROR(__xludf.DUMMYFUNCTION("""COMPUTED_VALUE"""),2.62)</f>
        <v>2.62</v>
      </c>
      <c r="T163" s="1">
        <f>IFERROR(__xludf.DUMMYFUNCTION("""COMPUTED_VALUE"""),1.0)</f>
        <v>1</v>
      </c>
      <c r="U163" s="2">
        <f>IFERROR(__xludf.DUMMYFUNCTION("""COMPUTED_VALUE"""),3.62)</f>
        <v>3.62</v>
      </c>
      <c r="V163" s="1" t="str">
        <f>IFERROR(__xludf.DUMMYFUNCTION("""COMPUTED_VALUE"""),"Jan Domingo")</f>
        <v>Jan Domingo</v>
      </c>
      <c r="W163" s="1" t="str">
        <f>IFERROR(__xludf.DUMMYFUNCTION("""COMPUTED_VALUE"""),"Print Design Support")</f>
        <v>Print Design Support</v>
      </c>
    </row>
    <row r="164">
      <c r="O164" s="1" t="str">
        <f>IFERROR(__xludf.DUMMYFUNCTION("""COMPUTED_VALUE"""),"2025 Jun")</f>
        <v>2025 Jun</v>
      </c>
      <c r="P164" s="1" t="str">
        <f>IFERROR(__xludf.DUMMYFUNCTION("""COMPUTED_VALUE"""),"Core Product Support")</f>
        <v>Core Product Support</v>
      </c>
      <c r="Q164" s="1" t="str">
        <f>IFERROR(__xludf.DUMMYFUNCTION("""COMPUTED_VALUE"""),"kevingo@canva.com")</f>
        <v>kevingo@canva.com</v>
      </c>
      <c r="R164" s="1" t="str">
        <f>IFERROR(__xludf.DUMMYFUNCTION("""COMPUTED_VALUE"""),"Kevin Go")</f>
        <v>Kevin Go</v>
      </c>
      <c r="S164" s="1">
        <f>IFERROR(__xludf.DUMMYFUNCTION("""COMPUTED_VALUE"""),14.5)</f>
        <v>14.5</v>
      </c>
      <c r="T164" s="1">
        <f>IFERROR(__xludf.DUMMYFUNCTION("""COMPUTED_VALUE"""),1.0)</f>
        <v>1</v>
      </c>
      <c r="U164" s="2">
        <f>IFERROR(__xludf.DUMMYFUNCTION("""COMPUTED_VALUE"""),15.5)</f>
        <v>15.5</v>
      </c>
      <c r="V164" s="1" t="str">
        <f>IFERROR(__xludf.DUMMYFUNCTION("""COMPUTED_VALUE"""),"Belle Bentazal")</f>
        <v>Belle Bentazal</v>
      </c>
      <c r="W164" s="1" t="str">
        <f>IFERROR(__xludf.DUMMYFUNCTION("""COMPUTED_VALUE"""),"Advanced Product Support")</f>
        <v>Advanced Product Support</v>
      </c>
    </row>
    <row r="165">
      <c r="O165" s="1" t="str">
        <f>IFERROR(__xludf.DUMMYFUNCTION("""COMPUTED_VALUE"""),"2025 Jun")</f>
        <v>2025 Jun</v>
      </c>
      <c r="P165" s="1" t="str">
        <f>IFERROR(__xludf.DUMMYFUNCTION("""COMPUTED_VALUE"""),"Core Product Support")</f>
        <v>Core Product Support</v>
      </c>
      <c r="Q165" s="1" t="str">
        <f>IFERROR(__xludf.DUMMYFUNCTION("""COMPUTED_VALUE"""),"kevromuga@canva.com")</f>
        <v>kevromuga@canva.com</v>
      </c>
      <c r="R165" s="1" t="str">
        <f>IFERROR(__xludf.DUMMYFUNCTION("""COMPUTED_VALUE"""),"Kevin John Romuga")</f>
        <v>Kevin John Romuga</v>
      </c>
      <c r="S165" s="1"/>
      <c r="T165" s="1">
        <f>IFERROR(__xludf.DUMMYFUNCTION("""COMPUTED_VALUE"""),81.0)</f>
        <v>81</v>
      </c>
      <c r="U165" s="2">
        <f>IFERROR(__xludf.DUMMYFUNCTION("""COMPUTED_VALUE"""),81.0)</f>
        <v>81</v>
      </c>
      <c r="V165" s="1" t="str">
        <f>IFERROR(__xludf.DUMMYFUNCTION("""COMPUTED_VALUE"""),"Renette Bok")</f>
        <v>Renette Bok</v>
      </c>
      <c r="W165" s="1" t="str">
        <f>IFERROR(__xludf.DUMMYFUNCTION("""COMPUTED_VALUE"""),"Advanced Billing &amp; Subscriptions")</f>
        <v>Advanced Billing &amp; Subscriptions</v>
      </c>
    </row>
    <row r="166">
      <c r="O166" s="1" t="str">
        <f>IFERROR(__xludf.DUMMYFUNCTION("""COMPUTED_VALUE"""),"2025 Jun")</f>
        <v>2025 Jun</v>
      </c>
      <c r="P166" s="1" t="str">
        <f>IFERROR(__xludf.DUMMYFUNCTION("""COMPUTED_VALUE"""),"Core Product Support")</f>
        <v>Core Product Support</v>
      </c>
      <c r="Q166" s="1" t="str">
        <f>IFERROR(__xludf.DUMMYFUNCTION("""COMPUTED_VALUE"""),"kimmescallado@canva.com")</f>
        <v>kimmescallado@canva.com</v>
      </c>
      <c r="R166" s="1" t="str">
        <f>IFERROR(__xludf.DUMMYFUNCTION("""COMPUTED_VALUE"""),"Kim Mescallado")</f>
        <v>Kim Mescallado</v>
      </c>
      <c r="S166" s="1">
        <f>IFERROR(__xludf.DUMMYFUNCTION("""COMPUTED_VALUE"""),12.0)</f>
        <v>12</v>
      </c>
      <c r="T166" s="1">
        <f>IFERROR(__xludf.DUMMYFUNCTION("""COMPUTED_VALUE"""),2.5)</f>
        <v>2.5</v>
      </c>
      <c r="U166" s="2">
        <f>IFERROR(__xludf.DUMMYFUNCTION("""COMPUTED_VALUE"""),14.5)</f>
        <v>14.5</v>
      </c>
      <c r="V166" s="1" t="str">
        <f>IFERROR(__xludf.DUMMYFUNCTION("""COMPUTED_VALUE"""),"Belle Bentazal")</f>
        <v>Belle Bentazal</v>
      </c>
      <c r="W166" s="1" t="str">
        <f>IFERROR(__xludf.DUMMYFUNCTION("""COMPUTED_VALUE"""),"Advanced Product Support")</f>
        <v>Advanced Product Support</v>
      </c>
    </row>
    <row r="167">
      <c r="O167" s="1" t="str">
        <f>IFERROR(__xludf.DUMMYFUNCTION("""COMPUTED_VALUE"""),"2025 Jun")</f>
        <v>2025 Jun</v>
      </c>
      <c r="P167" s="1" t="str">
        <f>IFERROR(__xludf.DUMMYFUNCTION("""COMPUTED_VALUE"""),"Core Product Support")</f>
        <v>Core Product Support</v>
      </c>
      <c r="Q167" s="1" t="str">
        <f>IFERROR(__xludf.DUMMYFUNCTION("""COMPUTED_VALUE"""),"krisalava@canva.com")</f>
        <v>krisalava@canva.com</v>
      </c>
      <c r="R167" s="1" t="str">
        <f>IFERROR(__xludf.DUMMYFUNCTION("""COMPUTED_VALUE"""),"Kris Alava")</f>
        <v>Kris Alava</v>
      </c>
      <c r="S167" s="1"/>
      <c r="T167" s="1">
        <f>IFERROR(__xludf.DUMMYFUNCTION("""COMPUTED_VALUE"""),6.48)</f>
        <v>6.48</v>
      </c>
      <c r="U167" s="2">
        <f>IFERROR(__xludf.DUMMYFUNCTION("""COMPUTED_VALUE"""),6.48)</f>
        <v>6.48</v>
      </c>
      <c r="V167" s="1" t="str">
        <f>IFERROR(__xludf.DUMMYFUNCTION("""COMPUTED_VALUE"""),"Sieg Ballelos")</f>
        <v>Sieg Ballelos</v>
      </c>
      <c r="W167" s="1" t="str">
        <f>IFERROR(__xludf.DUMMYFUNCTION("""COMPUTED_VALUE"""),"Core Product Support Escalation Team")</f>
        <v>Core Product Support Escalation Team</v>
      </c>
    </row>
    <row r="168">
      <c r="O168" s="1" t="str">
        <f>IFERROR(__xludf.DUMMYFUNCTION("""COMPUTED_VALUE"""),"2025 Jun")</f>
        <v>2025 Jun</v>
      </c>
      <c r="P168" s="1" t="str">
        <f>IFERROR(__xludf.DUMMYFUNCTION("""COMPUTED_VALUE"""),"Core Product Support")</f>
        <v>Core Product Support</v>
      </c>
      <c r="Q168" s="1" t="str">
        <f>IFERROR(__xludf.DUMMYFUNCTION("""COMPUTED_VALUE"""),"kylep@canva.com")</f>
        <v>kylep@canva.com</v>
      </c>
      <c r="R168" s="1" t="str">
        <f>IFERROR(__xludf.DUMMYFUNCTION("""COMPUTED_VALUE"""),"Kyle Pajarillo")</f>
        <v>Kyle Pajarillo</v>
      </c>
      <c r="S168" s="1"/>
      <c r="T168" s="1">
        <f>IFERROR(__xludf.DUMMYFUNCTION("""COMPUTED_VALUE"""),9.0)</f>
        <v>9</v>
      </c>
      <c r="U168" s="2">
        <f>IFERROR(__xludf.DUMMYFUNCTION("""COMPUTED_VALUE"""),9.0)</f>
        <v>9</v>
      </c>
      <c r="V168" s="1" t="str">
        <f>IFERROR(__xludf.DUMMYFUNCTION("""COMPUTED_VALUE"""),"Marie Mordeno")</f>
        <v>Marie Mordeno</v>
      </c>
      <c r="W168" s="1" t="str">
        <f>IFERROR(__xludf.DUMMYFUNCTION("""COMPUTED_VALUE"""),"Advanced Billing &amp; Subscriptions")</f>
        <v>Advanced Billing &amp; Subscriptions</v>
      </c>
    </row>
    <row r="169">
      <c r="O169" s="1" t="str">
        <f>IFERROR(__xludf.DUMMYFUNCTION("""COMPUTED_VALUE"""),"2025 Jun")</f>
        <v>2025 Jun</v>
      </c>
      <c r="P169" s="1" t="str">
        <f>IFERROR(__xludf.DUMMYFUNCTION("""COMPUTED_VALUE"""),"Core Product Support")</f>
        <v>Core Product Support</v>
      </c>
      <c r="Q169" s="1" t="str">
        <f>IFERROR(__xludf.DUMMYFUNCTION("""COMPUTED_VALUE"""),"lailav@canva.com")</f>
        <v>lailav@canva.com</v>
      </c>
      <c r="R169" s="1" t="str">
        <f>IFERROR(__xludf.DUMMYFUNCTION("""COMPUTED_VALUE"""),"Laila Villamor")</f>
        <v>Laila Villamor</v>
      </c>
      <c r="S169" s="1"/>
      <c r="T169" s="1">
        <f>IFERROR(__xludf.DUMMYFUNCTION("""COMPUTED_VALUE"""),0.5)</f>
        <v>0.5</v>
      </c>
      <c r="U169" s="2">
        <f>IFERROR(__xludf.DUMMYFUNCTION("""COMPUTED_VALUE"""),0.5)</f>
        <v>0.5</v>
      </c>
      <c r="V169" s="1" t="str">
        <f>IFERROR(__xludf.DUMMYFUNCTION("""COMPUTED_VALUE"""),"Jahmie Mae Barrameda")</f>
        <v>Jahmie Mae Barrameda</v>
      </c>
      <c r="W169" s="1" t="str">
        <f>IFERROR(__xludf.DUMMYFUNCTION("""COMPUTED_VALUE"""),"Advanced Billing &amp; Subscriptions")</f>
        <v>Advanced Billing &amp; Subscriptions</v>
      </c>
    </row>
    <row r="170">
      <c r="O170" s="1" t="str">
        <f>IFERROR(__xludf.DUMMYFUNCTION("""COMPUTED_VALUE"""),"2025 Jun")</f>
        <v>2025 Jun</v>
      </c>
      <c r="P170" s="1" t="str">
        <f>IFERROR(__xludf.DUMMYFUNCTION("""COMPUTED_VALUE"""),"Print Support")</f>
        <v>Print Support</v>
      </c>
      <c r="Q170" s="1" t="str">
        <f>IFERROR(__xludf.DUMMYFUNCTION("""COMPUTED_VALUE"""),"lancer@canva.com")</f>
        <v>lancer@canva.com</v>
      </c>
      <c r="R170" s="1" t="str">
        <f>IFERROR(__xludf.DUMMYFUNCTION("""COMPUTED_VALUE"""),"Lance Guevarra")</f>
        <v>Lance Guevarra</v>
      </c>
      <c r="S170" s="1">
        <f>IFERROR(__xludf.DUMMYFUNCTION("""COMPUTED_VALUE"""),1.75)</f>
        <v>1.75</v>
      </c>
      <c r="T170" s="1">
        <f>IFERROR(__xludf.DUMMYFUNCTION("""COMPUTED_VALUE"""),3.75)</f>
        <v>3.75</v>
      </c>
      <c r="U170" s="2">
        <f>IFERROR(__xludf.DUMMYFUNCTION("""COMPUTED_VALUE"""),5.5)</f>
        <v>5.5</v>
      </c>
      <c r="V170" s="1" t="str">
        <f>IFERROR(__xludf.DUMMYFUNCTION("""COMPUTED_VALUE"""),"Jen Momo")</f>
        <v>Jen Momo</v>
      </c>
      <c r="W170" s="1" t="str">
        <f>IFERROR(__xludf.DUMMYFUNCTION("""COMPUTED_VALUE"""),"Print Support PH")</f>
        <v>Print Support PH</v>
      </c>
    </row>
    <row r="171">
      <c r="O171" s="1" t="str">
        <f>IFERROR(__xludf.DUMMYFUNCTION("""COMPUTED_VALUE"""),"2025 Jun")</f>
        <v>2025 Jun</v>
      </c>
      <c r="P171" s="1" t="str">
        <f>IFERROR(__xludf.DUMMYFUNCTION("""COMPUTED_VALUE"""),"Segment-specific Support")</f>
        <v>Segment-specific Support</v>
      </c>
      <c r="Q171" s="1" t="str">
        <f>IFERROR(__xludf.DUMMYFUNCTION("""COMPUTED_VALUE"""),"lance@canva.com")</f>
        <v>lance@canva.com</v>
      </c>
      <c r="R171" s="1" t="str">
        <f>IFERROR(__xludf.DUMMYFUNCTION("""COMPUTED_VALUE"""),"Lance Reyes")</f>
        <v>Lance Reyes</v>
      </c>
      <c r="S171" s="1">
        <f>IFERROR(__xludf.DUMMYFUNCTION("""COMPUTED_VALUE"""),1.0)</f>
        <v>1</v>
      </c>
      <c r="T171" s="1">
        <f>IFERROR(__xludf.DUMMYFUNCTION("""COMPUTED_VALUE"""),1.75)</f>
        <v>1.75</v>
      </c>
      <c r="U171" s="2">
        <f>IFERROR(__xludf.DUMMYFUNCTION("""COMPUTED_VALUE"""),2.75)</f>
        <v>2.75</v>
      </c>
      <c r="V171" s="1" t="str">
        <f>IFERROR(__xludf.DUMMYFUNCTION("""COMPUTED_VALUE"""),"Gucci Nava")</f>
        <v>Gucci Nava</v>
      </c>
      <c r="W171" s="1" t="str">
        <f>IFERROR(__xludf.DUMMYFUNCTION("""COMPUTED_VALUE"""),"Affinity Support")</f>
        <v>Affinity Support</v>
      </c>
    </row>
    <row r="172">
      <c r="O172" s="1" t="str">
        <f>IFERROR(__xludf.DUMMYFUNCTION("""COMPUTED_VALUE"""),"2025 Jun")</f>
        <v>2025 Jun</v>
      </c>
      <c r="P172" s="1" t="str">
        <f>IFERROR(__xludf.DUMMYFUNCTION("""COMPUTED_VALUE"""),"Admin Support")</f>
        <v>Admin Support</v>
      </c>
      <c r="Q172" s="1" t="str">
        <f>IFERROR(__xludf.DUMMYFUNCTION("""COMPUTED_VALUE"""),"le@canva.com")</f>
        <v>le@canva.com</v>
      </c>
      <c r="R172" s="1" t="str">
        <f>IFERROR(__xludf.DUMMYFUNCTION("""COMPUTED_VALUE"""),"Lean Cruda")</f>
        <v>Lean Cruda</v>
      </c>
      <c r="S172" s="1">
        <f>IFERROR(__xludf.DUMMYFUNCTION("""COMPUTED_VALUE"""),6.5)</f>
        <v>6.5</v>
      </c>
      <c r="T172" s="1">
        <f>IFERROR(__xludf.DUMMYFUNCTION("""COMPUTED_VALUE"""),1.0)</f>
        <v>1</v>
      </c>
      <c r="U172" s="2">
        <f>IFERROR(__xludf.DUMMYFUNCTION("""COMPUTED_VALUE"""),7.5)</f>
        <v>7.5</v>
      </c>
      <c r="V172" s="1" t="str">
        <f>IFERROR(__xludf.DUMMYFUNCTION("""COMPUTED_VALUE"""),"Karla Mananghaya")</f>
        <v>Karla Mananghaya</v>
      </c>
      <c r="W172" s="1" t="str">
        <f>IFERROR(__xludf.DUMMYFUNCTION("""COMPUTED_VALUE"""),"Admin Support Service Escalation Team")</f>
        <v>Admin Support Service Escalation Team</v>
      </c>
    </row>
    <row r="173">
      <c r="O173" s="1" t="str">
        <f>IFERROR(__xludf.DUMMYFUNCTION("""COMPUTED_VALUE"""),"2025 Jun")</f>
        <v>2025 Jun</v>
      </c>
      <c r="P173" s="1" t="str">
        <f>IFERROR(__xludf.DUMMYFUNCTION("""COMPUTED_VALUE"""),"High Sensitivity Support")</f>
        <v>High Sensitivity Support</v>
      </c>
      <c r="Q173" s="1" t="str">
        <f>IFERROR(__xludf.DUMMYFUNCTION("""COMPUTED_VALUE"""),"leanp@canva.com")</f>
        <v>leanp@canva.com</v>
      </c>
      <c r="R173" s="1" t="str">
        <f>IFERROR(__xludf.DUMMYFUNCTION("""COMPUTED_VALUE"""),"Lean Reyes")</f>
        <v>Lean Reyes</v>
      </c>
      <c r="S173" s="1"/>
      <c r="T173" s="1">
        <f>IFERROR(__xludf.DUMMYFUNCTION("""COMPUTED_VALUE"""),1.13)</f>
        <v>1.13</v>
      </c>
      <c r="U173" s="2">
        <f>IFERROR(__xludf.DUMMYFUNCTION("""COMPUTED_VALUE"""),1.13)</f>
        <v>1.13</v>
      </c>
      <c r="V173" s="1" t="str">
        <f>IFERROR(__xludf.DUMMYFUNCTION("""COMPUTED_VALUE"""),"Issi Afable")</f>
        <v>Issi Afable</v>
      </c>
      <c r="W173" s="1" t="str">
        <f>IFERROR(__xludf.DUMMYFUNCTION("""COMPUTED_VALUE"""),"High Sensitivity Support PH")</f>
        <v>High Sensitivity Support PH</v>
      </c>
    </row>
    <row r="174">
      <c r="O174" s="1" t="str">
        <f>IFERROR(__xludf.DUMMYFUNCTION("""COMPUTED_VALUE"""),"2025 Jun")</f>
        <v>2025 Jun</v>
      </c>
      <c r="P174" s="1" t="str">
        <f>IFERROR(__xludf.DUMMYFUNCTION("""COMPUTED_VALUE"""),"Print Support")</f>
        <v>Print Support</v>
      </c>
      <c r="Q174" s="1" t="str">
        <f>IFERROR(__xludf.DUMMYFUNCTION("""COMPUTED_VALUE"""),"larce@canva.com")</f>
        <v>larce@canva.com</v>
      </c>
      <c r="R174" s="1" t="str">
        <f>IFERROR(__xludf.DUMMYFUNCTION("""COMPUTED_VALUE"""),"Lee Arce")</f>
        <v>Lee Arce</v>
      </c>
      <c r="S174" s="1">
        <f>IFERROR(__xludf.DUMMYFUNCTION("""COMPUTED_VALUE"""),0.17)</f>
        <v>0.17</v>
      </c>
      <c r="T174" s="1">
        <f>IFERROR(__xludf.DUMMYFUNCTION("""COMPUTED_VALUE"""),1.75)</f>
        <v>1.75</v>
      </c>
      <c r="U174" s="2">
        <f>IFERROR(__xludf.DUMMYFUNCTION("""COMPUTED_VALUE"""),1.92)</f>
        <v>1.92</v>
      </c>
      <c r="V174" s="1" t="str">
        <f>IFERROR(__xludf.DUMMYFUNCTION("""COMPUTED_VALUE"""),"Althea Mercado")</f>
        <v>Althea Mercado</v>
      </c>
      <c r="W174" s="1" t="str">
        <f>IFERROR(__xludf.DUMMYFUNCTION("""COMPUTED_VALUE"""),"Print Support PH")</f>
        <v>Print Support PH</v>
      </c>
    </row>
    <row r="175">
      <c r="O175" s="1" t="str">
        <f>IFERROR(__xludf.DUMMYFUNCTION("""COMPUTED_VALUE"""),"2025 Jun")</f>
        <v>2025 Jun</v>
      </c>
      <c r="P175" s="1" t="str">
        <f>IFERROR(__xludf.DUMMYFUNCTION("""COMPUTED_VALUE"""),"Core Product Support")</f>
        <v>Core Product Support</v>
      </c>
      <c r="Q175" s="1" t="str">
        <f>IFERROR(__xludf.DUMMYFUNCTION("""COMPUTED_VALUE"""),"leilanie@canva.com")</f>
        <v>leilanie@canva.com</v>
      </c>
      <c r="R175" s="1" t="str">
        <f>IFERROR(__xludf.DUMMYFUNCTION("""COMPUTED_VALUE"""),"Lei Gratuito")</f>
        <v>Lei Gratuito</v>
      </c>
      <c r="S175" s="1"/>
      <c r="T175" s="1">
        <f>IFERROR(__xludf.DUMMYFUNCTION("""COMPUTED_VALUE"""),0.5)</f>
        <v>0.5</v>
      </c>
      <c r="U175" s="2">
        <f>IFERROR(__xludf.DUMMYFUNCTION("""COMPUTED_VALUE"""),0.5)</f>
        <v>0.5</v>
      </c>
      <c r="V175" s="1" t="str">
        <f>IFERROR(__xludf.DUMMYFUNCTION("""COMPUTED_VALUE"""),"Renette Bok")</f>
        <v>Renette Bok</v>
      </c>
      <c r="W175" s="1" t="str">
        <f>IFERROR(__xludf.DUMMYFUNCTION("""COMPUTED_VALUE"""),"Advanced Billing &amp; Subscriptions")</f>
        <v>Advanced Billing &amp; Subscriptions</v>
      </c>
    </row>
    <row r="176">
      <c r="O176" s="1" t="str">
        <f>IFERROR(__xludf.DUMMYFUNCTION("""COMPUTED_VALUE"""),"2025 Jun")</f>
        <v>2025 Jun</v>
      </c>
      <c r="P176" s="1" t="str">
        <f>IFERROR(__xludf.DUMMYFUNCTION("""COMPUTED_VALUE"""),"Core Product Support")</f>
        <v>Core Product Support</v>
      </c>
      <c r="Q176" s="1" t="str">
        <f>IFERROR(__xludf.DUMMYFUNCTION("""COMPUTED_VALUE"""),"leonard@canva.com")</f>
        <v>leonard@canva.com</v>
      </c>
      <c r="R176" s="1" t="str">
        <f>IFERROR(__xludf.DUMMYFUNCTION("""COMPUTED_VALUE"""),"Leonard Baguio")</f>
        <v>Leonard Baguio</v>
      </c>
      <c r="S176" s="1">
        <f>IFERROR(__xludf.DUMMYFUNCTION("""COMPUTED_VALUE"""),9.0)</f>
        <v>9</v>
      </c>
      <c r="T176" s="1">
        <f>IFERROR(__xludf.DUMMYFUNCTION("""COMPUTED_VALUE"""),9.0)</f>
        <v>9</v>
      </c>
      <c r="U176" s="2">
        <f>IFERROR(__xludf.DUMMYFUNCTION("""COMPUTED_VALUE"""),18.0)</f>
        <v>18</v>
      </c>
      <c r="V176" s="1" t="str">
        <f>IFERROR(__xludf.DUMMYFUNCTION("""COMPUTED_VALUE"""),"Jelyn Elmido")</f>
        <v>Jelyn Elmido</v>
      </c>
      <c r="W176" s="1" t="str">
        <f>IFERROR(__xludf.DUMMYFUNCTION("""COMPUTED_VALUE"""),"Core Product Support Escalation Team")</f>
        <v>Core Product Support Escalation Team</v>
      </c>
    </row>
    <row r="177">
      <c r="O177" s="1" t="str">
        <f>IFERROR(__xludf.DUMMYFUNCTION("""COMPUTED_VALUE"""),"2025 Jun")</f>
        <v>2025 Jun</v>
      </c>
      <c r="P177" s="1" t="str">
        <f>IFERROR(__xludf.DUMMYFUNCTION("""COMPUTED_VALUE"""),"Print Support")</f>
        <v>Print Support</v>
      </c>
      <c r="Q177" s="1" t="str">
        <f>IFERROR(__xludf.DUMMYFUNCTION("""COMPUTED_VALUE"""),"anneharriet@canva.com")</f>
        <v>anneharriet@canva.com</v>
      </c>
      <c r="R177" s="1" t="str">
        <f>IFERROR(__xludf.DUMMYFUNCTION("""COMPUTED_VALUE"""),"Leslie Anne Gilua")</f>
        <v>Leslie Anne Gilua</v>
      </c>
      <c r="S177" s="1">
        <f>IFERROR(__xludf.DUMMYFUNCTION("""COMPUTED_VALUE"""),1.0)</f>
        <v>1</v>
      </c>
      <c r="T177" s="1">
        <f>IFERROR(__xludf.DUMMYFUNCTION("""COMPUTED_VALUE"""),1.75)</f>
        <v>1.75</v>
      </c>
      <c r="U177" s="2">
        <f>IFERROR(__xludf.DUMMYFUNCTION("""COMPUTED_VALUE"""),2.75)</f>
        <v>2.75</v>
      </c>
      <c r="V177" s="1" t="str">
        <f>IFERROR(__xludf.DUMMYFUNCTION("""COMPUTED_VALUE"""),"Louise Dianne Estrella")</f>
        <v>Louise Dianne Estrella</v>
      </c>
      <c r="W177" s="1" t="str">
        <f>IFERROR(__xludf.DUMMYFUNCTION("""COMPUTED_VALUE"""),"Print Support PH")</f>
        <v>Print Support PH</v>
      </c>
    </row>
    <row r="178">
      <c r="O178" s="1" t="str">
        <f>IFERROR(__xludf.DUMMYFUNCTION("""COMPUTED_VALUE"""),"2025 Jun")</f>
        <v>2025 Jun</v>
      </c>
      <c r="P178" s="1" t="str">
        <f>IFERROR(__xludf.DUMMYFUNCTION("""COMPUTED_VALUE"""),"Core Product Support")</f>
        <v>Core Product Support</v>
      </c>
      <c r="Q178" s="1" t="str">
        <f>IFERROR(__xludf.DUMMYFUNCTION("""COMPUTED_VALUE"""),"lewisjarvin@canva.com")</f>
        <v>lewisjarvin@canva.com</v>
      </c>
      <c r="R178" s="1" t="str">
        <f>IFERROR(__xludf.DUMMYFUNCTION("""COMPUTED_VALUE"""),"Lewis Ramirez")</f>
        <v>Lewis Ramirez</v>
      </c>
      <c r="S178" s="1">
        <f>IFERROR(__xludf.DUMMYFUNCTION("""COMPUTED_VALUE"""),12.75)</f>
        <v>12.75</v>
      </c>
      <c r="T178" s="1">
        <f>IFERROR(__xludf.DUMMYFUNCTION("""COMPUTED_VALUE"""),2.0)</f>
        <v>2</v>
      </c>
      <c r="U178" s="2">
        <f>IFERROR(__xludf.DUMMYFUNCTION("""COMPUTED_VALUE"""),14.75)</f>
        <v>14.75</v>
      </c>
      <c r="V178" s="1" t="str">
        <f>IFERROR(__xludf.DUMMYFUNCTION("""COMPUTED_VALUE"""),"Mikhaela Decangchon")</f>
        <v>Mikhaela Decangchon</v>
      </c>
      <c r="W178" s="1" t="str">
        <f>IFERROR(__xludf.DUMMYFUNCTION("""COMPUTED_VALUE"""),"Advanced Product Support")</f>
        <v>Advanced Product Support</v>
      </c>
    </row>
    <row r="179">
      <c r="O179" s="1" t="str">
        <f>IFERROR(__xludf.DUMMYFUNCTION("""COMPUTED_VALUE"""),"2025 Jun")</f>
        <v>2025 Jun</v>
      </c>
      <c r="P179" s="1" t="str">
        <f>IFERROR(__xludf.DUMMYFUNCTION("""COMPUTED_VALUE"""),"Segment-specific Support")</f>
        <v>Segment-specific Support</v>
      </c>
      <c r="Q179" s="1" t="str">
        <f>IFERROR(__xludf.DUMMYFUNCTION("""COMPUTED_VALUE"""),"liabaclay@canva.com")</f>
        <v>liabaclay@canva.com</v>
      </c>
      <c r="R179" s="1" t="str">
        <f>IFERROR(__xludf.DUMMYFUNCTION("""COMPUTED_VALUE"""),"Lia Baclay")</f>
        <v>Lia Baclay</v>
      </c>
      <c r="S179" s="1"/>
      <c r="T179" s="1">
        <f>IFERROR(__xludf.DUMMYFUNCTION("""COMPUTED_VALUE"""),1.0)</f>
        <v>1</v>
      </c>
      <c r="U179" s="2">
        <f>IFERROR(__xludf.DUMMYFUNCTION("""COMPUTED_VALUE"""),1.0)</f>
        <v>1</v>
      </c>
      <c r="V179" s="1" t="str">
        <f>IFERROR(__xludf.DUMMYFUNCTION("""COMPUTED_VALUE"""),"Rose Gabilan")</f>
        <v>Rose Gabilan</v>
      </c>
      <c r="W179" s="1" t="str">
        <f>IFERROR(__xludf.DUMMYFUNCTION("""COMPUTED_VALUE"""),"Affinity Support")</f>
        <v>Affinity Support</v>
      </c>
    </row>
    <row r="180">
      <c r="O180" s="1" t="str">
        <f>IFERROR(__xludf.DUMMYFUNCTION("""COMPUTED_VALUE"""),"2025 Jun")</f>
        <v>2025 Jun</v>
      </c>
      <c r="P180" s="1" t="str">
        <f>IFERROR(__xludf.DUMMYFUNCTION("""COMPUTED_VALUE"""),"Segment-specific Support")</f>
        <v>Segment-specific Support</v>
      </c>
      <c r="Q180" s="1" t="str">
        <f>IFERROR(__xludf.DUMMYFUNCTION("""COMPUTED_VALUE"""),"liberty@canva.com")</f>
        <v>liberty@canva.com</v>
      </c>
      <c r="R180" s="1" t="str">
        <f>IFERROR(__xludf.DUMMYFUNCTION("""COMPUTED_VALUE"""),"Liberty Casala")</f>
        <v>Liberty Casala</v>
      </c>
      <c r="S180" s="1">
        <f>IFERROR(__xludf.DUMMYFUNCTION("""COMPUTED_VALUE"""),1.0)</f>
        <v>1</v>
      </c>
      <c r="T180" s="1">
        <f>IFERROR(__xludf.DUMMYFUNCTION("""COMPUTED_VALUE"""),1.75)</f>
        <v>1.75</v>
      </c>
      <c r="U180" s="2">
        <f>IFERROR(__xludf.DUMMYFUNCTION("""COMPUTED_VALUE"""),2.75)</f>
        <v>2.75</v>
      </c>
      <c r="V180" s="1" t="str">
        <f>IFERROR(__xludf.DUMMYFUNCTION("""COMPUTED_VALUE"""),"Gucci Nava")</f>
        <v>Gucci Nava</v>
      </c>
      <c r="W180" s="1" t="str">
        <f>IFERROR(__xludf.DUMMYFUNCTION("""COMPUTED_VALUE"""),"Print Support PH")</f>
        <v>Print Support PH</v>
      </c>
    </row>
    <row r="181">
      <c r="O181" s="1" t="str">
        <f>IFERROR(__xludf.DUMMYFUNCTION("""COMPUTED_VALUE"""),"2025 Jun")</f>
        <v>2025 Jun</v>
      </c>
      <c r="P181" s="1" t="str">
        <f>IFERROR(__xludf.DUMMYFUNCTION("""COMPUTED_VALUE"""),"Print Support")</f>
        <v>Print Support</v>
      </c>
      <c r="Q181" s="1" t="str">
        <f>IFERROR(__xludf.DUMMYFUNCTION("""COMPUTED_VALUE"""),"loise@canva.com")</f>
        <v>loise@canva.com</v>
      </c>
      <c r="R181" s="1" t="str">
        <f>IFERROR(__xludf.DUMMYFUNCTION("""COMPUTED_VALUE"""),"Loise Dela Cruz")</f>
        <v>Loise Dela Cruz</v>
      </c>
      <c r="S181" s="1"/>
      <c r="T181" s="1">
        <f>IFERROR(__xludf.DUMMYFUNCTION("""COMPUTED_VALUE"""),1.0)</f>
        <v>1</v>
      </c>
      <c r="U181" s="2">
        <f>IFERROR(__xludf.DUMMYFUNCTION("""COMPUTED_VALUE"""),1.0)</f>
        <v>1</v>
      </c>
      <c r="V181" s="1" t="str">
        <f>IFERROR(__xludf.DUMMYFUNCTION("""COMPUTED_VALUE"""),"Aliza Dote")</f>
        <v>Aliza Dote</v>
      </c>
      <c r="W181" s="1" t="str">
        <f>IFERROR(__xludf.DUMMYFUNCTION("""COMPUTED_VALUE"""),"Print Design Support")</f>
        <v>Print Design Support</v>
      </c>
    </row>
    <row r="182">
      <c r="O182" s="1" t="str">
        <f>IFERROR(__xludf.DUMMYFUNCTION("""COMPUTED_VALUE"""),"2025 Jun")</f>
        <v>2025 Jun</v>
      </c>
      <c r="P182" s="1" t="str">
        <f>IFERROR(__xludf.DUMMYFUNCTION("""COMPUTED_VALUE"""),"Core Product Support")</f>
        <v>Core Product Support</v>
      </c>
      <c r="Q182" s="1" t="str">
        <f>IFERROR(__xludf.DUMMYFUNCTION("""COMPUTED_VALUE"""),"loudv@canva.com")</f>
        <v>loudv@canva.com</v>
      </c>
      <c r="R182" s="1" t="str">
        <f>IFERROR(__xludf.DUMMYFUNCTION("""COMPUTED_VALUE"""),"Louieline Dela Vega")</f>
        <v>Louieline Dela Vega</v>
      </c>
      <c r="S182" s="1"/>
      <c r="T182" s="1">
        <f>IFERROR(__xludf.DUMMYFUNCTION("""COMPUTED_VALUE"""),0.5)</f>
        <v>0.5</v>
      </c>
      <c r="U182" s="2">
        <f>IFERROR(__xludf.DUMMYFUNCTION("""COMPUTED_VALUE"""),0.5)</f>
        <v>0.5</v>
      </c>
      <c r="V182" s="1" t="str">
        <f>IFERROR(__xludf.DUMMYFUNCTION("""COMPUTED_VALUE"""),"Jahmie Mae Barrameda")</f>
        <v>Jahmie Mae Barrameda</v>
      </c>
      <c r="W182" s="1" t="str">
        <f>IFERROR(__xludf.DUMMYFUNCTION("""COMPUTED_VALUE"""),"Advanced Billing &amp; Subscriptions")</f>
        <v>Advanced Billing &amp; Subscriptions</v>
      </c>
    </row>
    <row r="183">
      <c r="O183" s="1" t="str">
        <f>IFERROR(__xludf.DUMMYFUNCTION("""COMPUTED_VALUE"""),"2025 Jun")</f>
        <v>2025 Jun</v>
      </c>
      <c r="P183" s="1" t="str">
        <f>IFERROR(__xludf.DUMMYFUNCTION("""COMPUTED_VALUE"""),"Core Product Support")</f>
        <v>Core Product Support</v>
      </c>
      <c r="Q183" s="1" t="str">
        <f>IFERROR(__xludf.DUMMYFUNCTION("""COMPUTED_VALUE"""),"lovejoyce@canva.com")</f>
        <v>lovejoyce@canva.com</v>
      </c>
      <c r="R183" s="1" t="str">
        <f>IFERROR(__xludf.DUMMYFUNCTION("""COMPUTED_VALUE"""),"Love Joyce Pasagui")</f>
        <v>Love Joyce Pasagui</v>
      </c>
      <c r="S183" s="1">
        <f>IFERROR(__xludf.DUMMYFUNCTION("""COMPUTED_VALUE"""),7.0)</f>
        <v>7</v>
      </c>
      <c r="T183" s="1">
        <f>IFERROR(__xludf.DUMMYFUNCTION("""COMPUTED_VALUE"""),3.33)</f>
        <v>3.33</v>
      </c>
      <c r="U183" s="2">
        <f>IFERROR(__xludf.DUMMYFUNCTION("""COMPUTED_VALUE"""),10.33)</f>
        <v>10.33</v>
      </c>
      <c r="V183" s="1" t="str">
        <f>IFERROR(__xludf.DUMMYFUNCTION("""COMPUTED_VALUE"""),"Jelyn Elmido")</f>
        <v>Jelyn Elmido</v>
      </c>
      <c r="W183" s="1" t="str">
        <f>IFERROR(__xludf.DUMMYFUNCTION("""COMPUTED_VALUE"""),"Core Product Support Escalation Team")</f>
        <v>Core Product Support Escalation Team</v>
      </c>
    </row>
    <row r="184">
      <c r="O184" s="1" t="str">
        <f>IFERROR(__xludf.DUMMYFUNCTION("""COMPUTED_VALUE"""),"2025 Jun")</f>
        <v>2025 Jun</v>
      </c>
      <c r="P184" s="1" t="str">
        <f>IFERROR(__xludf.DUMMYFUNCTION("""COMPUTED_VALUE"""),"Print Support")</f>
        <v>Print Support</v>
      </c>
      <c r="Q184" s="1" t="str">
        <f>IFERROR(__xludf.DUMMYFUNCTION("""COMPUTED_VALUE"""),"rlsalomia@canva.com")</f>
        <v>rlsalomia@canva.com</v>
      </c>
      <c r="R184" s="1" t="str">
        <f>IFERROR(__xludf.DUMMYFUNCTION("""COMPUTED_VALUE"""),"Luis Salomia")</f>
        <v>Luis Salomia</v>
      </c>
      <c r="S184" s="1"/>
      <c r="T184" s="1">
        <f>IFERROR(__xludf.DUMMYFUNCTION("""COMPUTED_VALUE"""),3.25)</f>
        <v>3.25</v>
      </c>
      <c r="U184" s="2">
        <f>IFERROR(__xludf.DUMMYFUNCTION("""COMPUTED_VALUE"""),3.25)</f>
        <v>3.25</v>
      </c>
      <c r="V184" s="1" t="str">
        <f>IFERROR(__xludf.DUMMYFUNCTION("""COMPUTED_VALUE"""),"Louise Dianne Estrella")</f>
        <v>Louise Dianne Estrella</v>
      </c>
      <c r="W184" s="1" t="str">
        <f>IFERROR(__xludf.DUMMYFUNCTION("""COMPUTED_VALUE"""),"Print Support PH")</f>
        <v>Print Support PH</v>
      </c>
    </row>
    <row r="185">
      <c r="O185" s="1" t="str">
        <f>IFERROR(__xludf.DUMMYFUNCTION("""COMPUTED_VALUE"""),"2025 Jun")</f>
        <v>2025 Jun</v>
      </c>
      <c r="P185" s="1" t="str">
        <f>IFERROR(__xludf.DUMMYFUNCTION("""COMPUTED_VALUE"""),"#N/A")</f>
        <v>#N/A</v>
      </c>
      <c r="Q185" s="1" t="str">
        <f>IFERROR(__xludf.DUMMYFUNCTION("""COMPUTED_VALUE"""),"luiza@canva.com")</f>
        <v>luiza@canva.com</v>
      </c>
      <c r="R185" s="1" t="str">
        <f>IFERROR(__xludf.DUMMYFUNCTION("""COMPUTED_VALUE"""),"Luiza Abalos")</f>
        <v>Luiza Abalos</v>
      </c>
      <c r="S185" s="1"/>
      <c r="T185" s="1">
        <f>IFERROR(__xludf.DUMMYFUNCTION("""COMPUTED_VALUE"""),12.33)</f>
        <v>12.33</v>
      </c>
      <c r="U185" s="2">
        <f>IFERROR(__xludf.DUMMYFUNCTION("""COMPUTED_VALUE"""),12.33)</f>
        <v>12.33</v>
      </c>
      <c r="V185" s="1" t="str">
        <f>IFERROR(__xludf.DUMMYFUNCTION("""COMPUTED_VALUE"""),"#N/A")</f>
        <v>#N/A</v>
      </c>
      <c r="W185" s="1" t="str">
        <f>IFERROR(__xludf.DUMMYFUNCTION("""COMPUTED_VALUE"""),"#N/A")</f>
        <v>#N/A</v>
      </c>
    </row>
    <row r="186">
      <c r="O186" s="1" t="str">
        <f>IFERROR(__xludf.DUMMYFUNCTION("""COMPUTED_VALUE"""),"2025 Jun")</f>
        <v>2025 Jun</v>
      </c>
      <c r="P186" s="1" t="str">
        <f>IFERROR(__xludf.DUMMYFUNCTION("""COMPUTED_VALUE"""),"Admin Support")</f>
        <v>Admin Support</v>
      </c>
      <c r="Q186" s="1" t="str">
        <f>IFERROR(__xludf.DUMMYFUNCTION("""COMPUTED_VALUE"""),"lyzdr@canva.com")</f>
        <v>lyzdr@canva.com</v>
      </c>
      <c r="R186" s="1" t="str">
        <f>IFERROR(__xludf.DUMMYFUNCTION("""COMPUTED_VALUE"""),"Lyzza Del Rosario")</f>
        <v>Lyzza Del Rosario</v>
      </c>
      <c r="S186" s="1">
        <f>IFERROR(__xludf.DUMMYFUNCTION("""COMPUTED_VALUE"""),0.5)</f>
        <v>0.5</v>
      </c>
      <c r="T186" s="1">
        <f>IFERROR(__xludf.DUMMYFUNCTION("""COMPUTED_VALUE"""),3.0)</f>
        <v>3</v>
      </c>
      <c r="U186" s="2">
        <f>IFERROR(__xludf.DUMMYFUNCTION("""COMPUTED_VALUE"""),3.5)</f>
        <v>3.5</v>
      </c>
      <c r="V186" s="1" t="str">
        <f>IFERROR(__xludf.DUMMYFUNCTION("""COMPUTED_VALUE"""),"Ann Dumlao")</f>
        <v>Ann Dumlao</v>
      </c>
      <c r="W186" s="1" t="str">
        <f>IFERROR(__xludf.DUMMYFUNCTION("""COMPUTED_VALUE"""),"Admin Omni Support")</f>
        <v>Admin Omni Support</v>
      </c>
    </row>
    <row r="187">
      <c r="O187" s="1" t="str">
        <f>IFERROR(__xludf.DUMMYFUNCTION("""COMPUTED_VALUE"""),"2025 Jun")</f>
        <v>2025 Jun</v>
      </c>
      <c r="P187" s="1" t="str">
        <f>IFERROR(__xludf.DUMMYFUNCTION("""COMPUTED_VALUE"""),"Admin Support")</f>
        <v>Admin Support</v>
      </c>
      <c r="Q187" s="1" t="str">
        <f>IFERROR(__xludf.DUMMYFUNCTION("""COMPUTED_VALUE"""),"mac@canva.com")</f>
        <v>mac@canva.com</v>
      </c>
      <c r="R187" s="1" t="str">
        <f>IFERROR(__xludf.DUMMYFUNCTION("""COMPUTED_VALUE"""),"Mac Mendoza")</f>
        <v>Mac Mendoza</v>
      </c>
      <c r="S187" s="1"/>
      <c r="T187" s="1"/>
      <c r="U187" s="2">
        <f>IFERROR(__xludf.DUMMYFUNCTION("""COMPUTED_VALUE"""),0.0)</f>
        <v>0</v>
      </c>
      <c r="V187" s="1" t="str">
        <f>IFERROR(__xludf.DUMMYFUNCTION("""COMPUTED_VALUE"""),"Ann Dumlao")</f>
        <v>Ann Dumlao</v>
      </c>
      <c r="W187" s="1" t="str">
        <f>IFERROR(__xludf.DUMMYFUNCTION("""COMPUTED_VALUE"""),"Admin Omni Support")</f>
        <v>Admin Omni Support</v>
      </c>
    </row>
    <row r="188">
      <c r="O188" s="1" t="str">
        <f>IFERROR(__xludf.DUMMYFUNCTION("""COMPUTED_VALUE"""),"2025 Jun")</f>
        <v>2025 Jun</v>
      </c>
      <c r="P188" s="1" t="str">
        <f>IFERROR(__xludf.DUMMYFUNCTION("""COMPUTED_VALUE"""),"High Sensitivity Support")</f>
        <v>High Sensitivity Support</v>
      </c>
      <c r="Q188" s="1" t="str">
        <f>IFERROR(__xludf.DUMMYFUNCTION("""COMPUTED_VALUE"""),"macie@canva.com")</f>
        <v>macie@canva.com</v>
      </c>
      <c r="R188" s="1" t="str">
        <f>IFERROR(__xludf.DUMMYFUNCTION("""COMPUTED_VALUE"""),"Macie del Mundo")</f>
        <v>Macie del Mundo</v>
      </c>
      <c r="S188" s="1">
        <f>IFERROR(__xludf.DUMMYFUNCTION("""COMPUTED_VALUE"""),9.13)</f>
        <v>9.13</v>
      </c>
      <c r="T188" s="1">
        <f>IFERROR(__xludf.DUMMYFUNCTION("""COMPUTED_VALUE"""),1.0)</f>
        <v>1</v>
      </c>
      <c r="U188" s="2">
        <f>IFERROR(__xludf.DUMMYFUNCTION("""COMPUTED_VALUE"""),10.13)</f>
        <v>10.13</v>
      </c>
      <c r="V188" s="1" t="str">
        <f>IFERROR(__xludf.DUMMYFUNCTION("""COMPUTED_VALUE"""),"Rossheen Pura")</f>
        <v>Rossheen Pura</v>
      </c>
      <c r="W188" s="1" t="str">
        <f>IFERROR(__xludf.DUMMYFUNCTION("""COMPUTED_VALUE"""),"High Sensitivity Support PH")</f>
        <v>High Sensitivity Support PH</v>
      </c>
    </row>
    <row r="189">
      <c r="O189" s="1" t="str">
        <f>IFERROR(__xludf.DUMMYFUNCTION("""COMPUTED_VALUE"""),"2025 Jun")</f>
        <v>2025 Jun</v>
      </c>
      <c r="P189" s="1" t="str">
        <f>IFERROR(__xludf.DUMMYFUNCTION("""COMPUTED_VALUE"""),"Core Product Support")</f>
        <v>Core Product Support</v>
      </c>
      <c r="Q189" s="1" t="str">
        <f>IFERROR(__xludf.DUMMYFUNCTION("""COMPUTED_VALUE"""),"mackievitacion@canva.com")</f>
        <v>mackievitacion@canva.com</v>
      </c>
      <c r="R189" s="1" t="str">
        <f>IFERROR(__xludf.DUMMYFUNCTION("""COMPUTED_VALUE"""),"Mackie Vitacion")</f>
        <v>Mackie Vitacion</v>
      </c>
      <c r="S189" s="1">
        <f>IFERROR(__xludf.DUMMYFUNCTION("""COMPUTED_VALUE"""),8.0)</f>
        <v>8</v>
      </c>
      <c r="T189" s="1">
        <f>IFERROR(__xludf.DUMMYFUNCTION("""COMPUTED_VALUE"""),2.83)</f>
        <v>2.83</v>
      </c>
      <c r="U189" s="2">
        <f>IFERROR(__xludf.DUMMYFUNCTION("""COMPUTED_VALUE"""),10.83)</f>
        <v>10.83</v>
      </c>
      <c r="V189" s="1" t="str">
        <f>IFERROR(__xludf.DUMMYFUNCTION("""COMPUTED_VALUE"""),"Vinz Lazaro")</f>
        <v>Vinz Lazaro</v>
      </c>
      <c r="W189" s="1" t="str">
        <f>IFERROR(__xludf.DUMMYFUNCTION("""COMPUTED_VALUE"""),"Advanced Product Support")</f>
        <v>Advanced Product Support</v>
      </c>
    </row>
    <row r="190">
      <c r="O190" s="1" t="str">
        <f>IFERROR(__xludf.DUMMYFUNCTION("""COMPUTED_VALUE"""),"2025 Jun")</f>
        <v>2025 Jun</v>
      </c>
      <c r="P190" s="1" t="str">
        <f>IFERROR(__xludf.DUMMYFUNCTION("""COMPUTED_VALUE"""),"#N/A")</f>
        <v>#N/A</v>
      </c>
      <c r="Q190" s="1" t="str">
        <f>IFERROR(__xludf.DUMMYFUNCTION("""COMPUTED_VALUE"""),"manee+test@canva.com")</f>
        <v>manee+test@canva.com</v>
      </c>
      <c r="R190" s="1" t="str">
        <f>IFERROR(__xludf.DUMMYFUNCTION("""COMPUTED_VALUE"""),"Manee Test")</f>
        <v>Manee Test</v>
      </c>
      <c r="S190" s="1"/>
      <c r="T190" s="1"/>
      <c r="U190" s="2">
        <f>IFERROR(__xludf.DUMMYFUNCTION("""COMPUTED_VALUE"""),0.0)</f>
        <v>0</v>
      </c>
      <c r="V190" s="1" t="str">
        <f>IFERROR(__xludf.DUMMYFUNCTION("""COMPUTED_VALUE"""),"#N/A")</f>
        <v>#N/A</v>
      </c>
      <c r="W190" s="1" t="str">
        <f>IFERROR(__xludf.DUMMYFUNCTION("""COMPUTED_VALUE"""),"#N/A")</f>
        <v>#N/A</v>
      </c>
    </row>
    <row r="191">
      <c r="O191" s="1" t="str">
        <f>IFERROR(__xludf.DUMMYFUNCTION("""COMPUTED_VALUE"""),"2025 Jun")</f>
        <v>2025 Jun</v>
      </c>
      <c r="P191" s="1" t="str">
        <f>IFERROR(__xludf.DUMMYFUNCTION("""COMPUTED_VALUE"""),"High Sensitivity Support")</f>
        <v>High Sensitivity Support</v>
      </c>
      <c r="Q191" s="1" t="str">
        <f>IFERROR(__xludf.DUMMYFUNCTION("""COMPUTED_VALUE"""),"mariav@canva.com")</f>
        <v>mariav@canva.com</v>
      </c>
      <c r="R191" s="1" t="str">
        <f>IFERROR(__xludf.DUMMYFUNCTION("""COMPUTED_VALUE"""),"Maria Vergara")</f>
        <v>Maria Vergara</v>
      </c>
      <c r="S191" s="1">
        <f>IFERROR(__xludf.DUMMYFUNCTION("""COMPUTED_VALUE"""),3.75)</f>
        <v>3.75</v>
      </c>
      <c r="T191" s="1">
        <f>IFERROR(__xludf.DUMMYFUNCTION("""COMPUTED_VALUE"""),3.25)</f>
        <v>3.25</v>
      </c>
      <c r="U191" s="2">
        <f>IFERROR(__xludf.DUMMYFUNCTION("""COMPUTED_VALUE"""),7.0)</f>
        <v>7</v>
      </c>
      <c r="V191" s="1" t="str">
        <f>IFERROR(__xludf.DUMMYFUNCTION("""COMPUTED_VALUE"""),"Xandy Azarcon")</f>
        <v>Xandy Azarcon</v>
      </c>
      <c r="W191" s="1" t="str">
        <f>IFERROR(__xludf.DUMMYFUNCTION("""COMPUTED_VALUE"""),"High Sensitivity Support PH")</f>
        <v>High Sensitivity Support PH</v>
      </c>
    </row>
    <row r="192">
      <c r="O192" s="1" t="str">
        <f>IFERROR(__xludf.DUMMYFUNCTION("""COMPUTED_VALUE"""),"2025 Jun")</f>
        <v>2025 Jun</v>
      </c>
      <c r="P192" s="1" t="str">
        <f>IFERROR(__xludf.DUMMYFUNCTION("""COMPUTED_VALUE"""),"Print Support")</f>
        <v>Print Support</v>
      </c>
      <c r="Q192" s="1" t="str">
        <f>IFERROR(__xludf.DUMMYFUNCTION("""COMPUTED_VALUE"""),"marieson@canva.com")</f>
        <v>marieson@canva.com</v>
      </c>
      <c r="R192" s="1" t="str">
        <f>IFERROR(__xludf.DUMMYFUNCTION("""COMPUTED_VALUE"""),"Marieson Libunao")</f>
        <v>Marieson Libunao</v>
      </c>
      <c r="S192" s="1">
        <f>IFERROR(__xludf.DUMMYFUNCTION("""COMPUTED_VALUE"""),3.5)</f>
        <v>3.5</v>
      </c>
      <c r="T192" s="1">
        <f>IFERROR(__xludf.DUMMYFUNCTION("""COMPUTED_VALUE"""),0.75)</f>
        <v>0.75</v>
      </c>
      <c r="U192" s="2">
        <f>IFERROR(__xludf.DUMMYFUNCTION("""COMPUTED_VALUE"""),4.25)</f>
        <v>4.25</v>
      </c>
      <c r="V192" s="1" t="str">
        <f>IFERROR(__xludf.DUMMYFUNCTION("""COMPUTED_VALUE"""),"Althea Mercado")</f>
        <v>Althea Mercado</v>
      </c>
      <c r="W192" s="1" t="str">
        <f>IFERROR(__xludf.DUMMYFUNCTION("""COMPUTED_VALUE"""),"Print Support PH")</f>
        <v>Print Support PH</v>
      </c>
    </row>
    <row r="193">
      <c r="O193" s="1" t="str">
        <f>IFERROR(__xludf.DUMMYFUNCTION("""COMPUTED_VALUE"""),"2025 Jun")</f>
        <v>2025 Jun</v>
      </c>
      <c r="P193" s="1" t="str">
        <f>IFERROR(__xludf.DUMMYFUNCTION("""COMPUTED_VALUE"""),"Core Product Support")</f>
        <v>Core Product Support</v>
      </c>
      <c r="Q193" s="1" t="str">
        <f>IFERROR(__xludf.DUMMYFUNCTION("""COMPUTED_VALUE"""),"mariz@canva.com")</f>
        <v>mariz@canva.com</v>
      </c>
      <c r="R193" s="1" t="str">
        <f>IFERROR(__xludf.DUMMYFUNCTION("""COMPUTED_VALUE"""),"Mariz Gain")</f>
        <v>Mariz Gain</v>
      </c>
      <c r="S193" s="1"/>
      <c r="T193" s="1">
        <f>IFERROR(__xludf.DUMMYFUNCTION("""COMPUTED_VALUE"""),1.5)</f>
        <v>1.5</v>
      </c>
      <c r="U193" s="2">
        <f>IFERROR(__xludf.DUMMYFUNCTION("""COMPUTED_VALUE"""),1.5)</f>
        <v>1.5</v>
      </c>
      <c r="V193" s="1" t="str">
        <f>IFERROR(__xludf.DUMMYFUNCTION("""COMPUTED_VALUE"""),"Ana Lazaro")</f>
        <v>Ana Lazaro</v>
      </c>
      <c r="W193" s="1" t="str">
        <f>IFERROR(__xludf.DUMMYFUNCTION("""COMPUTED_VALUE"""),"Advanced Billing &amp; Subscriptions")</f>
        <v>Advanced Billing &amp; Subscriptions</v>
      </c>
    </row>
    <row r="194">
      <c r="O194" s="1" t="str">
        <f>IFERROR(__xludf.DUMMYFUNCTION("""COMPUTED_VALUE"""),"2025 Jun")</f>
        <v>2025 Jun</v>
      </c>
      <c r="P194" s="1" t="str">
        <f>IFERROR(__xludf.DUMMYFUNCTION("""COMPUTED_VALUE"""),"Print Support")</f>
        <v>Print Support</v>
      </c>
      <c r="Q194" s="1" t="str">
        <f>IFERROR(__xludf.DUMMYFUNCTION("""COMPUTED_VALUE"""),"mpalermo@canva.com")</f>
        <v>mpalermo@canva.com</v>
      </c>
      <c r="R194" s="1" t="str">
        <f>IFERROR(__xludf.DUMMYFUNCTION("""COMPUTED_VALUE"""),"Marjorie Tsao")</f>
        <v>Marjorie Tsao</v>
      </c>
      <c r="S194" s="1"/>
      <c r="T194" s="1">
        <f>IFERROR(__xludf.DUMMYFUNCTION("""COMPUTED_VALUE"""),5.08)</f>
        <v>5.08</v>
      </c>
      <c r="U194" s="2">
        <f>IFERROR(__xludf.DUMMYFUNCTION("""COMPUTED_VALUE"""),5.08)</f>
        <v>5.08</v>
      </c>
      <c r="V194" s="1" t="str">
        <f>IFERROR(__xludf.DUMMYFUNCTION("""COMPUTED_VALUE"""),"Louise Dianne Estrella")</f>
        <v>Louise Dianne Estrella</v>
      </c>
      <c r="W194" s="1" t="str">
        <f>IFERROR(__xludf.DUMMYFUNCTION("""COMPUTED_VALUE"""),"Print Support PH")</f>
        <v>Print Support PH</v>
      </c>
    </row>
    <row r="195">
      <c r="O195" s="1" t="str">
        <f>IFERROR(__xludf.DUMMYFUNCTION("""COMPUTED_VALUE"""),"2025 Jun")</f>
        <v>2025 Jun</v>
      </c>
      <c r="P195" s="1" t="str">
        <f>IFERROR(__xludf.DUMMYFUNCTION("""COMPUTED_VALUE"""),"Core Product Support")</f>
        <v>Core Product Support</v>
      </c>
      <c r="Q195" s="1" t="str">
        <f>IFERROR(__xludf.DUMMYFUNCTION("""COMPUTED_VALUE"""),"martyl@canva.com")</f>
        <v>martyl@canva.com</v>
      </c>
      <c r="R195" s="1" t="str">
        <f>IFERROR(__xludf.DUMMYFUNCTION("""COMPUTED_VALUE"""),"Marty Lozada")</f>
        <v>Marty Lozada</v>
      </c>
      <c r="S195" s="1">
        <f>IFERROR(__xludf.DUMMYFUNCTION("""COMPUTED_VALUE"""),9.5)</f>
        <v>9.5</v>
      </c>
      <c r="T195" s="1">
        <f>IFERROR(__xludf.DUMMYFUNCTION("""COMPUTED_VALUE"""),3.5)</f>
        <v>3.5</v>
      </c>
      <c r="U195" s="2">
        <f>IFERROR(__xludf.DUMMYFUNCTION("""COMPUTED_VALUE"""),13.0)</f>
        <v>13</v>
      </c>
      <c r="V195" s="1" t="str">
        <f>IFERROR(__xludf.DUMMYFUNCTION("""COMPUTED_VALUE"""),"Vinz Lazaro")</f>
        <v>Vinz Lazaro</v>
      </c>
      <c r="W195" s="1" t="str">
        <f>IFERROR(__xludf.DUMMYFUNCTION("""COMPUTED_VALUE"""),"Advanced Product Support")</f>
        <v>Advanced Product Support</v>
      </c>
    </row>
    <row r="196">
      <c r="O196" s="1" t="str">
        <f>IFERROR(__xludf.DUMMYFUNCTION("""COMPUTED_VALUE"""),"2025 Jun")</f>
        <v>2025 Jun</v>
      </c>
      <c r="P196" s="1" t="str">
        <f>IFERROR(__xludf.DUMMYFUNCTION("""COMPUTED_VALUE"""),"High Sensitivity Support")</f>
        <v>High Sensitivity Support</v>
      </c>
      <c r="Q196" s="1" t="str">
        <f>IFERROR(__xludf.DUMMYFUNCTION("""COMPUTED_VALUE"""),"mayann@canva.com")</f>
        <v>mayann@canva.com</v>
      </c>
      <c r="R196" s="1" t="str">
        <f>IFERROR(__xludf.DUMMYFUNCTION("""COMPUTED_VALUE"""),"May Ann Caguioa")</f>
        <v>May Ann Caguioa</v>
      </c>
      <c r="S196" s="1">
        <f>IFERROR(__xludf.DUMMYFUNCTION("""COMPUTED_VALUE"""),3.78)</f>
        <v>3.78</v>
      </c>
      <c r="T196" s="1">
        <f>IFERROR(__xludf.DUMMYFUNCTION("""COMPUTED_VALUE"""),6.07)</f>
        <v>6.07</v>
      </c>
      <c r="U196" s="2">
        <f>IFERROR(__xludf.DUMMYFUNCTION("""COMPUTED_VALUE"""),9.85)</f>
        <v>9.85</v>
      </c>
      <c r="V196" s="1" t="str">
        <f>IFERROR(__xludf.DUMMYFUNCTION("""COMPUTED_VALUE"""),"Rossheen Pura")</f>
        <v>Rossheen Pura</v>
      </c>
      <c r="W196" s="1" t="str">
        <f>IFERROR(__xludf.DUMMYFUNCTION("""COMPUTED_VALUE"""),"High Sensitivity Support PH")</f>
        <v>High Sensitivity Support PH</v>
      </c>
    </row>
    <row r="197">
      <c r="O197" s="1" t="str">
        <f>IFERROR(__xludf.DUMMYFUNCTION("""COMPUTED_VALUE"""),"2025 Jun")</f>
        <v>2025 Jun</v>
      </c>
      <c r="P197" s="1" t="str">
        <f>IFERROR(__xludf.DUMMYFUNCTION("""COMPUTED_VALUE"""),"Core Product Support")</f>
        <v>Core Product Support</v>
      </c>
      <c r="Q197" s="1" t="str">
        <f>IFERROR(__xludf.DUMMYFUNCTION("""COMPUTED_VALUE"""),"mccoyc@canva.com")</f>
        <v>mccoyc@canva.com</v>
      </c>
      <c r="R197" s="1" t="str">
        <f>IFERROR(__xludf.DUMMYFUNCTION("""COMPUTED_VALUE"""),"McCoy Cacanindin")</f>
        <v>McCoy Cacanindin</v>
      </c>
      <c r="S197" s="1">
        <f>IFERROR(__xludf.DUMMYFUNCTION("""COMPUTED_VALUE"""),10.25)</f>
        <v>10.25</v>
      </c>
      <c r="T197" s="1">
        <f>IFERROR(__xludf.DUMMYFUNCTION("""COMPUTED_VALUE"""),2.0)</f>
        <v>2</v>
      </c>
      <c r="U197" s="2">
        <f>IFERROR(__xludf.DUMMYFUNCTION("""COMPUTED_VALUE"""),12.25)</f>
        <v>12.25</v>
      </c>
      <c r="V197" s="1" t="str">
        <f>IFERROR(__xludf.DUMMYFUNCTION("""COMPUTED_VALUE"""),"Vinz Lazaro")</f>
        <v>Vinz Lazaro</v>
      </c>
      <c r="W197" s="1" t="str">
        <f>IFERROR(__xludf.DUMMYFUNCTION("""COMPUTED_VALUE"""),"Advanced Product Support")</f>
        <v>Advanced Product Support</v>
      </c>
    </row>
    <row r="198">
      <c r="O198" s="1" t="str">
        <f>IFERROR(__xludf.DUMMYFUNCTION("""COMPUTED_VALUE"""),"2025 Jun")</f>
        <v>2025 Jun</v>
      </c>
      <c r="P198" s="1" t="str">
        <f>IFERROR(__xludf.DUMMYFUNCTION("""COMPUTED_VALUE"""),"High Sensitivity Support")</f>
        <v>High Sensitivity Support</v>
      </c>
      <c r="Q198" s="1" t="str">
        <f>IFERROR(__xludf.DUMMYFUNCTION("""COMPUTED_VALUE"""),"mlabio@canva.com")</f>
        <v>mlabio@canva.com</v>
      </c>
      <c r="R198" s="1" t="str">
        <f>IFERROR(__xludf.DUMMYFUNCTION("""COMPUTED_VALUE"""),"Melanie Labio")</f>
        <v>Melanie Labio</v>
      </c>
      <c r="S198" s="1">
        <f>IFERROR(__xludf.DUMMYFUNCTION("""COMPUTED_VALUE"""),7.42)</f>
        <v>7.42</v>
      </c>
      <c r="T198" s="1">
        <f>IFERROR(__xludf.DUMMYFUNCTION("""COMPUTED_VALUE"""),3.25)</f>
        <v>3.25</v>
      </c>
      <c r="U198" s="2">
        <f>IFERROR(__xludf.DUMMYFUNCTION("""COMPUTED_VALUE"""),10.67)</f>
        <v>10.67</v>
      </c>
      <c r="V198" s="1" t="str">
        <f>IFERROR(__xludf.DUMMYFUNCTION("""COMPUTED_VALUE"""),"Xandy Azarcon")</f>
        <v>Xandy Azarcon</v>
      </c>
      <c r="W198" s="1" t="str">
        <f>IFERROR(__xludf.DUMMYFUNCTION("""COMPUTED_VALUE"""),"High Sensitivity Support PH")</f>
        <v>High Sensitivity Support PH</v>
      </c>
    </row>
    <row r="199">
      <c r="O199" s="1" t="str">
        <f>IFERROR(__xludf.DUMMYFUNCTION("""COMPUTED_VALUE"""),"2025 Jun")</f>
        <v>2025 Jun</v>
      </c>
      <c r="P199" s="1" t="str">
        <f>IFERROR(__xludf.DUMMYFUNCTION("""COMPUTED_VALUE"""),"Admin Support")</f>
        <v>Admin Support</v>
      </c>
      <c r="Q199" s="1" t="str">
        <f>IFERROR(__xludf.DUMMYFUNCTION("""COMPUTED_VALUE"""),"mmicah@canva.com")</f>
        <v>mmicah@canva.com</v>
      </c>
      <c r="R199" s="1" t="str">
        <f>IFERROR(__xludf.DUMMYFUNCTION("""COMPUTED_VALUE"""),"Micah Geneviv Marcos")</f>
        <v>Micah Geneviv Marcos</v>
      </c>
      <c r="S199" s="1">
        <f>IFERROR(__xludf.DUMMYFUNCTION("""COMPUTED_VALUE"""),1.0)</f>
        <v>1</v>
      </c>
      <c r="T199" s="1">
        <f>IFERROR(__xludf.DUMMYFUNCTION("""COMPUTED_VALUE"""),1.0)</f>
        <v>1</v>
      </c>
      <c r="U199" s="2">
        <f>IFERROR(__xludf.DUMMYFUNCTION("""COMPUTED_VALUE"""),2.0)</f>
        <v>2</v>
      </c>
      <c r="V199" s="1" t="str">
        <f>IFERROR(__xludf.DUMMYFUNCTION("""COMPUTED_VALUE"""),"Karla Mananghaya")</f>
        <v>Karla Mananghaya</v>
      </c>
      <c r="W199" s="1" t="str">
        <f>IFERROR(__xludf.DUMMYFUNCTION("""COMPUTED_VALUE"""),"Admin Support Service Escalation Team")</f>
        <v>Admin Support Service Escalation Team</v>
      </c>
    </row>
    <row r="200">
      <c r="O200" s="1" t="str">
        <f>IFERROR(__xludf.DUMMYFUNCTION("""COMPUTED_VALUE"""),"2025 Jun")</f>
        <v>2025 Jun</v>
      </c>
      <c r="P200" s="1" t="str">
        <f>IFERROR(__xludf.DUMMYFUNCTION("""COMPUTED_VALUE"""),"Core Product Support")</f>
        <v>Core Product Support</v>
      </c>
      <c r="Q200" s="1" t="str">
        <f>IFERROR(__xludf.DUMMYFUNCTION("""COMPUTED_VALUE"""),"nas@canva.com")</f>
        <v>nas@canva.com</v>
      </c>
      <c r="R200" s="1" t="str">
        <f>IFERROR(__xludf.DUMMYFUNCTION("""COMPUTED_VALUE"""),"Miggy De Vibar")</f>
        <v>Miggy De Vibar</v>
      </c>
      <c r="S200" s="1">
        <f>IFERROR(__xludf.DUMMYFUNCTION("""COMPUTED_VALUE"""),13.5)</f>
        <v>13.5</v>
      </c>
      <c r="T200" s="1">
        <f>IFERROR(__xludf.DUMMYFUNCTION("""COMPUTED_VALUE"""),1.0)</f>
        <v>1</v>
      </c>
      <c r="U200" s="2">
        <f>IFERROR(__xludf.DUMMYFUNCTION("""COMPUTED_VALUE"""),14.5)</f>
        <v>14.5</v>
      </c>
      <c r="V200" s="1" t="str">
        <f>IFERROR(__xludf.DUMMYFUNCTION("""COMPUTED_VALUE"""),"Belle Bentazal")</f>
        <v>Belle Bentazal</v>
      </c>
      <c r="W200" s="1" t="str">
        <f>IFERROR(__xludf.DUMMYFUNCTION("""COMPUTED_VALUE"""),"Advanced Product Support")</f>
        <v>Advanced Product Support</v>
      </c>
    </row>
    <row r="201">
      <c r="O201" s="1" t="str">
        <f>IFERROR(__xludf.DUMMYFUNCTION("""COMPUTED_VALUE"""),"2025 Jun")</f>
        <v>2025 Jun</v>
      </c>
      <c r="P201" s="1" t="str">
        <f>IFERROR(__xludf.DUMMYFUNCTION("""COMPUTED_VALUE"""),"Core Product Support")</f>
        <v>Core Product Support</v>
      </c>
      <c r="Q201" s="1" t="str">
        <f>IFERROR(__xludf.DUMMYFUNCTION("""COMPUTED_VALUE"""),"mika@canva.com")</f>
        <v>mika@canva.com</v>
      </c>
      <c r="R201" s="1" t="str">
        <f>IFERROR(__xludf.DUMMYFUNCTION("""COMPUTED_VALUE"""),"Mika Magpantay")</f>
        <v>Mika Magpantay</v>
      </c>
      <c r="S201" s="1">
        <f>IFERROR(__xludf.DUMMYFUNCTION("""COMPUTED_VALUE"""),5.2)</f>
        <v>5.2</v>
      </c>
      <c r="T201" s="1">
        <f>IFERROR(__xludf.DUMMYFUNCTION("""COMPUTED_VALUE"""),2.5)</f>
        <v>2.5</v>
      </c>
      <c r="U201" s="2">
        <f>IFERROR(__xludf.DUMMYFUNCTION("""COMPUTED_VALUE"""),7.7)</f>
        <v>7.7</v>
      </c>
      <c r="V201" s="1" t="str">
        <f>IFERROR(__xludf.DUMMYFUNCTION("""COMPUTED_VALUE"""),"Jem Mondoñedo")</f>
        <v>Jem Mondoñedo</v>
      </c>
      <c r="W201" s="1" t="str">
        <f>IFERROR(__xludf.DUMMYFUNCTION("""COMPUTED_VALUE"""),"Advanced Billing &amp; Subscriptions")</f>
        <v>Advanced Billing &amp; Subscriptions</v>
      </c>
    </row>
    <row r="202">
      <c r="O202" s="1" t="str">
        <f>IFERROR(__xludf.DUMMYFUNCTION("""COMPUTED_VALUE"""),"2025 Jun")</f>
        <v>2025 Jun</v>
      </c>
      <c r="P202" s="1" t="str">
        <f>IFERROR(__xludf.DUMMYFUNCTION("""COMPUTED_VALUE"""),"Core Product Support")</f>
        <v>Core Product Support</v>
      </c>
      <c r="Q202" s="1" t="str">
        <f>IFERROR(__xludf.DUMMYFUNCTION("""COMPUTED_VALUE"""),"mirielle@canva.com")</f>
        <v>mirielle@canva.com</v>
      </c>
      <c r="R202" s="1" t="str">
        <f>IFERROR(__xludf.DUMMYFUNCTION("""COMPUTED_VALUE"""),"Mirielle Frances de Lara")</f>
        <v>Mirielle Frances de Lara</v>
      </c>
      <c r="S202" s="1"/>
      <c r="T202" s="1">
        <f>IFERROR(__xludf.DUMMYFUNCTION("""COMPUTED_VALUE"""),6.0)</f>
        <v>6</v>
      </c>
      <c r="U202" s="2">
        <f>IFERROR(__xludf.DUMMYFUNCTION("""COMPUTED_VALUE"""),6.0)</f>
        <v>6</v>
      </c>
      <c r="V202" s="1" t="str">
        <f>IFERROR(__xludf.DUMMYFUNCTION("""COMPUTED_VALUE"""),"Belle Bentazal")</f>
        <v>Belle Bentazal</v>
      </c>
      <c r="W202" s="1" t="str">
        <f>IFERROR(__xludf.DUMMYFUNCTION("""COMPUTED_VALUE"""),"Advanced Product Support")</f>
        <v>Advanced Product Support</v>
      </c>
    </row>
    <row r="203">
      <c r="O203" s="1" t="str">
        <f>IFERROR(__xludf.DUMMYFUNCTION("""COMPUTED_VALUE"""),"2025 Jun")</f>
        <v>2025 Jun</v>
      </c>
      <c r="P203" s="1" t="str">
        <f>IFERROR(__xludf.DUMMYFUNCTION("""COMPUTED_VALUE"""),"Admin Support")</f>
        <v>Admin Support</v>
      </c>
      <c r="Q203" s="1" t="str">
        <f>IFERROR(__xludf.DUMMYFUNCTION("""COMPUTED_VALUE"""),"mjb@canva.com")</f>
        <v>mjb@canva.com</v>
      </c>
      <c r="R203" s="1" t="str">
        <f>IFERROR(__xludf.DUMMYFUNCTION("""COMPUTED_VALUE"""),"MJ Billon")</f>
        <v>MJ Billon</v>
      </c>
      <c r="S203" s="1">
        <f>IFERROR(__xludf.DUMMYFUNCTION("""COMPUTED_VALUE"""),4.0)</f>
        <v>4</v>
      </c>
      <c r="T203" s="1">
        <f>IFERROR(__xludf.DUMMYFUNCTION("""COMPUTED_VALUE"""),1.0)</f>
        <v>1</v>
      </c>
      <c r="U203" s="2">
        <f>IFERROR(__xludf.DUMMYFUNCTION("""COMPUTED_VALUE"""),5.0)</f>
        <v>5</v>
      </c>
      <c r="V203" s="1" t="str">
        <f>IFERROR(__xludf.DUMMYFUNCTION("""COMPUTED_VALUE"""),"Ann Dumlao")</f>
        <v>Ann Dumlao</v>
      </c>
      <c r="W203" s="1" t="str">
        <f>IFERROR(__xludf.DUMMYFUNCTION("""COMPUTED_VALUE"""),"Admin Omni Support")</f>
        <v>Admin Omni Support</v>
      </c>
    </row>
    <row r="204">
      <c r="O204" s="1" t="str">
        <f>IFERROR(__xludf.DUMMYFUNCTION("""COMPUTED_VALUE"""),"2025 Jun")</f>
        <v>2025 Jun</v>
      </c>
      <c r="P204" s="1" t="str">
        <f>IFERROR(__xludf.DUMMYFUNCTION("""COMPUTED_VALUE"""),"Segment-specific Support")</f>
        <v>Segment-specific Support</v>
      </c>
      <c r="Q204" s="1" t="str">
        <f>IFERROR(__xludf.DUMMYFUNCTION("""COMPUTED_VALUE"""),"molli@canva.com")</f>
        <v>molli@canva.com</v>
      </c>
      <c r="R204" s="1" t="str">
        <f>IFERROR(__xludf.DUMMYFUNCTION("""COMPUTED_VALUE"""),"MJ Sol")</f>
        <v>MJ Sol</v>
      </c>
      <c r="S204" s="1">
        <f>IFERROR(__xludf.DUMMYFUNCTION("""COMPUTED_VALUE"""),1.5)</f>
        <v>1.5</v>
      </c>
      <c r="T204" s="1">
        <f>IFERROR(__xludf.DUMMYFUNCTION("""COMPUTED_VALUE"""),1.0)</f>
        <v>1</v>
      </c>
      <c r="U204" s="2">
        <f>IFERROR(__xludf.DUMMYFUNCTION("""COMPUTED_VALUE"""),2.5)</f>
        <v>2.5</v>
      </c>
      <c r="V204" s="1" t="str">
        <f>IFERROR(__xludf.DUMMYFUNCTION("""COMPUTED_VALUE"""),"Aileen Dayanghirang")</f>
        <v>Aileen Dayanghirang</v>
      </c>
      <c r="W204" s="1" t="str">
        <f>IFERROR(__xludf.DUMMYFUNCTION("""COMPUTED_VALUE"""),"Creators Support")</f>
        <v>Creators Support</v>
      </c>
    </row>
    <row r="205">
      <c r="O205" s="1" t="str">
        <f>IFERROR(__xludf.DUMMYFUNCTION("""COMPUTED_VALUE"""),"2025 Jun")</f>
        <v>2025 Jun</v>
      </c>
      <c r="P205" s="1" t="str">
        <f>IFERROR(__xludf.DUMMYFUNCTION("""COMPUTED_VALUE"""),"Core Product Support")</f>
        <v>Core Product Support</v>
      </c>
      <c r="Q205" s="1" t="str">
        <f>IFERROR(__xludf.DUMMYFUNCTION("""COMPUTED_VALUE"""),"raymondc@canva.com")</f>
        <v>raymondc@canva.com</v>
      </c>
      <c r="R205" s="1" t="str">
        <f>IFERROR(__xludf.DUMMYFUNCTION("""COMPUTED_VALUE"""),"Mond Catimbang")</f>
        <v>Mond Catimbang</v>
      </c>
      <c r="S205" s="1">
        <f>IFERROR(__xludf.DUMMYFUNCTION("""COMPUTED_VALUE"""),6.0)</f>
        <v>6</v>
      </c>
      <c r="T205" s="1">
        <f>IFERROR(__xludf.DUMMYFUNCTION("""COMPUTED_VALUE"""),2.5)</f>
        <v>2.5</v>
      </c>
      <c r="U205" s="2">
        <f>IFERROR(__xludf.DUMMYFUNCTION("""COMPUTED_VALUE"""),8.5)</f>
        <v>8.5</v>
      </c>
      <c r="V205" s="1" t="str">
        <f>IFERROR(__xludf.DUMMYFUNCTION("""COMPUTED_VALUE"""),"Jem Mondoñedo")</f>
        <v>Jem Mondoñedo</v>
      </c>
      <c r="W205" s="1" t="str">
        <f>IFERROR(__xludf.DUMMYFUNCTION("""COMPUTED_VALUE"""),"Advanced Billing &amp; Subscriptions")</f>
        <v>Advanced Billing &amp; Subscriptions</v>
      </c>
    </row>
    <row r="206">
      <c r="O206" s="1" t="str">
        <f>IFERROR(__xludf.DUMMYFUNCTION("""COMPUTED_VALUE"""),"2025 Jun")</f>
        <v>2025 Jun</v>
      </c>
      <c r="P206" s="1" t="str">
        <f>IFERROR(__xludf.DUMMYFUNCTION("""COMPUTED_VALUE"""),"Core Product Support")</f>
        <v>Core Product Support</v>
      </c>
      <c r="Q206" s="1" t="str">
        <f>IFERROR(__xludf.DUMMYFUNCTION("""COMPUTED_VALUE"""),"moxyarima@canva.com")</f>
        <v>moxyarima@canva.com</v>
      </c>
      <c r="R206" s="1" t="str">
        <f>IFERROR(__xludf.DUMMYFUNCTION("""COMPUTED_VALUE"""),"Moxy Arima")</f>
        <v>Moxy Arima</v>
      </c>
      <c r="S206" s="1">
        <f>IFERROR(__xludf.DUMMYFUNCTION("""COMPUTED_VALUE"""),6.75)</f>
        <v>6.75</v>
      </c>
      <c r="T206" s="1">
        <f>IFERROR(__xludf.DUMMYFUNCTION("""COMPUTED_VALUE"""),4.0)</f>
        <v>4</v>
      </c>
      <c r="U206" s="2">
        <f>IFERROR(__xludf.DUMMYFUNCTION("""COMPUTED_VALUE"""),10.75)</f>
        <v>10.75</v>
      </c>
      <c r="V206" s="1" t="str">
        <f>IFERROR(__xludf.DUMMYFUNCTION("""COMPUTED_VALUE"""),"Jelyn Elmido")</f>
        <v>Jelyn Elmido</v>
      </c>
      <c r="W206" s="1" t="str">
        <f>IFERROR(__xludf.DUMMYFUNCTION("""COMPUTED_VALUE"""),"Core Product Support Escalation Team")</f>
        <v>Core Product Support Escalation Team</v>
      </c>
    </row>
    <row r="207">
      <c r="O207" s="1" t="str">
        <f>IFERROR(__xludf.DUMMYFUNCTION("""COMPUTED_VALUE"""),"2025 Jun")</f>
        <v>2025 Jun</v>
      </c>
      <c r="P207" s="1" t="str">
        <f>IFERROR(__xludf.DUMMYFUNCTION("""COMPUTED_VALUE"""),"Admin Support")</f>
        <v>Admin Support</v>
      </c>
      <c r="Q207" s="1" t="str">
        <f>IFERROR(__xludf.DUMMYFUNCTION("""COMPUTED_VALUE"""),"nsahagun@canva.com")</f>
        <v>nsahagun@canva.com</v>
      </c>
      <c r="R207" s="1" t="str">
        <f>IFERROR(__xludf.DUMMYFUNCTION("""COMPUTED_VALUE"""),"Nathalie Sahagun")</f>
        <v>Nathalie Sahagun</v>
      </c>
      <c r="S207" s="1">
        <f>IFERROR(__xludf.DUMMYFUNCTION("""COMPUTED_VALUE"""),1.0)</f>
        <v>1</v>
      </c>
      <c r="T207" s="1">
        <f>IFERROR(__xludf.DUMMYFUNCTION("""COMPUTED_VALUE"""),1.0)</f>
        <v>1</v>
      </c>
      <c r="U207" s="2">
        <f>IFERROR(__xludf.DUMMYFUNCTION("""COMPUTED_VALUE"""),2.0)</f>
        <v>2</v>
      </c>
      <c r="V207" s="1" t="str">
        <f>IFERROR(__xludf.DUMMYFUNCTION("""COMPUTED_VALUE"""),"Nate Vela")</f>
        <v>Nate Vela</v>
      </c>
      <c r="W207" s="1" t="str">
        <f>IFERROR(__xludf.DUMMYFUNCTION("""COMPUTED_VALUE"""),"Admin Support NA")</f>
        <v>Admin Support NA</v>
      </c>
    </row>
    <row r="208">
      <c r="O208" s="1" t="str">
        <f>IFERROR(__xludf.DUMMYFUNCTION("""COMPUTED_VALUE"""),"2025 Jun")</f>
        <v>2025 Jun</v>
      </c>
      <c r="P208" s="1" t="str">
        <f>IFERROR(__xludf.DUMMYFUNCTION("""COMPUTED_VALUE"""),"Core Product Support")</f>
        <v>Core Product Support</v>
      </c>
      <c r="Q208" s="1" t="str">
        <f>IFERROR(__xludf.DUMMYFUNCTION("""COMPUTED_VALUE"""),"neeki@canva.com")</f>
        <v>neeki@canva.com</v>
      </c>
      <c r="R208" s="1" t="str">
        <f>IFERROR(__xludf.DUMMYFUNCTION("""COMPUTED_VALUE"""),"Neeki Asido")</f>
        <v>Neeki Asido</v>
      </c>
      <c r="S208" s="1">
        <f>IFERROR(__xludf.DUMMYFUNCTION("""COMPUTED_VALUE"""),5.25)</f>
        <v>5.25</v>
      </c>
      <c r="T208" s="1">
        <f>IFERROR(__xludf.DUMMYFUNCTION("""COMPUTED_VALUE"""),11.83)</f>
        <v>11.83</v>
      </c>
      <c r="U208" s="2">
        <f>IFERROR(__xludf.DUMMYFUNCTION("""COMPUTED_VALUE"""),17.08)</f>
        <v>17.08</v>
      </c>
      <c r="V208" s="1" t="str">
        <f>IFERROR(__xludf.DUMMYFUNCTION("""COMPUTED_VALUE"""),"Jelyn Elmido")</f>
        <v>Jelyn Elmido</v>
      </c>
      <c r="W208" s="1" t="str">
        <f>IFERROR(__xludf.DUMMYFUNCTION("""COMPUTED_VALUE"""),"Core Product Support Escalation Team")</f>
        <v>Core Product Support Escalation Team</v>
      </c>
    </row>
    <row r="209">
      <c r="O209" s="1" t="str">
        <f>IFERROR(__xludf.DUMMYFUNCTION("""COMPUTED_VALUE"""),"2025 Jun")</f>
        <v>2025 Jun</v>
      </c>
      <c r="P209" s="1" t="str">
        <f>IFERROR(__xludf.DUMMYFUNCTION("""COMPUTED_VALUE"""),"Core Product Support")</f>
        <v>Core Product Support</v>
      </c>
      <c r="Q209" s="1" t="str">
        <f>IFERROR(__xludf.DUMMYFUNCTION("""COMPUTED_VALUE"""),"nicholeb@canva.com")</f>
        <v>nicholeb@canva.com</v>
      </c>
      <c r="R209" s="1" t="str">
        <f>IFERROR(__xludf.DUMMYFUNCTION("""COMPUTED_VALUE"""),"Nichole Braceliño")</f>
        <v>Nichole Braceliño</v>
      </c>
      <c r="S209" s="1"/>
      <c r="T209" s="1">
        <f>IFERROR(__xludf.DUMMYFUNCTION("""COMPUTED_VALUE"""),3.0)</f>
        <v>3</v>
      </c>
      <c r="U209" s="2">
        <f>IFERROR(__xludf.DUMMYFUNCTION("""COMPUTED_VALUE"""),3.0)</f>
        <v>3</v>
      </c>
      <c r="V209" s="1" t="str">
        <f>IFERROR(__xludf.DUMMYFUNCTION("""COMPUTED_VALUE"""),"Renette Bok")</f>
        <v>Renette Bok</v>
      </c>
      <c r="W209" s="1" t="str">
        <f>IFERROR(__xludf.DUMMYFUNCTION("""COMPUTED_VALUE"""),"Advanced Billing &amp; Subscriptions")</f>
        <v>Advanced Billing &amp; Subscriptions</v>
      </c>
    </row>
    <row r="210">
      <c r="O210" s="1" t="str">
        <f>IFERROR(__xludf.DUMMYFUNCTION("""COMPUTED_VALUE"""),"2025 Jun")</f>
        <v>2025 Jun</v>
      </c>
      <c r="P210" s="1" t="str">
        <f>IFERROR(__xludf.DUMMYFUNCTION("""COMPUTED_VALUE"""),"High Sensitivity Support")</f>
        <v>High Sensitivity Support</v>
      </c>
      <c r="Q210" s="1" t="str">
        <f>IFERROR(__xludf.DUMMYFUNCTION("""COMPUTED_VALUE"""),"ncruz@canva.com")</f>
        <v>ncruz@canva.com</v>
      </c>
      <c r="R210" s="1" t="str">
        <f>IFERROR(__xludf.DUMMYFUNCTION("""COMPUTED_VALUE"""),"Nikki Cruz")</f>
        <v>Nikki Cruz</v>
      </c>
      <c r="S210" s="1">
        <f>IFERROR(__xludf.DUMMYFUNCTION("""COMPUTED_VALUE"""),10.45)</f>
        <v>10.45</v>
      </c>
      <c r="T210" s="1">
        <f>IFERROR(__xludf.DUMMYFUNCTION("""COMPUTED_VALUE"""),3.25)</f>
        <v>3.25</v>
      </c>
      <c r="U210" s="2">
        <f>IFERROR(__xludf.DUMMYFUNCTION("""COMPUTED_VALUE"""),13.7)</f>
        <v>13.7</v>
      </c>
      <c r="V210" s="1" t="str">
        <f>IFERROR(__xludf.DUMMYFUNCTION("""COMPUTED_VALUE"""),"Issi Afable")</f>
        <v>Issi Afable</v>
      </c>
      <c r="W210" s="1" t="str">
        <f>IFERROR(__xludf.DUMMYFUNCTION("""COMPUTED_VALUE"""),"High Sensitivity Support PH")</f>
        <v>High Sensitivity Support PH</v>
      </c>
    </row>
    <row r="211">
      <c r="O211" s="1" t="str">
        <f>IFERROR(__xludf.DUMMYFUNCTION("""COMPUTED_VALUE"""),"2025 Jun")</f>
        <v>2025 Jun</v>
      </c>
      <c r="P211" s="1" t="str">
        <f>IFERROR(__xludf.DUMMYFUNCTION("""COMPUTED_VALUE"""),"Print Support")</f>
        <v>Print Support</v>
      </c>
      <c r="Q211" s="1" t="str">
        <f>IFERROR(__xludf.DUMMYFUNCTION("""COMPUTED_VALUE"""),"nonoimboy@canva.com")</f>
        <v>nonoimboy@canva.com</v>
      </c>
      <c r="R211" s="1" t="str">
        <f>IFERROR(__xludf.DUMMYFUNCTION("""COMPUTED_VALUE"""),"Noel Imboy")</f>
        <v>Noel Imboy</v>
      </c>
      <c r="S211" s="1">
        <f>IFERROR(__xludf.DUMMYFUNCTION("""COMPUTED_VALUE"""),4.0)</f>
        <v>4</v>
      </c>
      <c r="T211" s="1">
        <f>IFERROR(__xludf.DUMMYFUNCTION("""COMPUTED_VALUE"""),2.0)</f>
        <v>2</v>
      </c>
      <c r="U211" s="2">
        <f>IFERROR(__xludf.DUMMYFUNCTION("""COMPUTED_VALUE"""),6.0)</f>
        <v>6</v>
      </c>
      <c r="V211" s="1" t="str">
        <f>IFERROR(__xludf.DUMMYFUNCTION("""COMPUTED_VALUE"""),"Gem Agoncillo")</f>
        <v>Gem Agoncillo</v>
      </c>
      <c r="W211" s="1" t="str">
        <f>IFERROR(__xludf.DUMMYFUNCTION("""COMPUTED_VALUE"""),"Print Design Support")</f>
        <v>Print Design Support</v>
      </c>
    </row>
    <row r="212">
      <c r="O212" s="1" t="str">
        <f>IFERROR(__xludf.DUMMYFUNCTION("""COMPUTED_VALUE"""),"2025 Jun")</f>
        <v>2025 Jun</v>
      </c>
      <c r="P212" s="1" t="str">
        <f>IFERROR(__xludf.DUMMYFUNCTION("""COMPUTED_VALUE"""),"#N/A")</f>
        <v>#N/A</v>
      </c>
      <c r="Q212" s="1" t="str">
        <f>IFERROR(__xludf.DUMMYFUNCTION("""COMPUTED_VALUE"""),"noriegine@canva.com")</f>
        <v>noriegine@canva.com</v>
      </c>
      <c r="R212" s="1" t="str">
        <f>IFERROR(__xludf.DUMMYFUNCTION("""COMPUTED_VALUE"""),"Noriegine Esperida")</f>
        <v>Noriegine Esperida</v>
      </c>
      <c r="S212" s="1"/>
      <c r="T212" s="1">
        <f>IFERROR(__xludf.DUMMYFUNCTION("""COMPUTED_VALUE"""),4.0)</f>
        <v>4</v>
      </c>
      <c r="U212" s="2">
        <f>IFERROR(__xludf.DUMMYFUNCTION("""COMPUTED_VALUE"""),4.0)</f>
        <v>4</v>
      </c>
      <c r="V212" s="1" t="str">
        <f>IFERROR(__xludf.DUMMYFUNCTION("""COMPUTED_VALUE"""),"#N/A")</f>
        <v>#N/A</v>
      </c>
      <c r="W212" s="1" t="str">
        <f>IFERROR(__xludf.DUMMYFUNCTION("""COMPUTED_VALUE"""),"#N/A")</f>
        <v>#N/A</v>
      </c>
    </row>
    <row r="213">
      <c r="O213" s="1" t="str">
        <f>IFERROR(__xludf.DUMMYFUNCTION("""COMPUTED_VALUE"""),"2025 Jun")</f>
        <v>2025 Jun</v>
      </c>
      <c r="P213" s="1" t="str">
        <f>IFERROR(__xludf.DUMMYFUNCTION("""COMPUTED_VALUE"""),"Segment-specific Support")</f>
        <v>Segment-specific Support</v>
      </c>
      <c r="Q213" s="1" t="str">
        <f>IFERROR(__xludf.DUMMYFUNCTION("""COMPUTED_VALUE"""),"pao@canva.com")</f>
        <v>pao@canva.com</v>
      </c>
      <c r="R213" s="1" t="str">
        <f>IFERROR(__xludf.DUMMYFUNCTION("""COMPUTED_VALUE"""),"Pao Domanais")</f>
        <v>Pao Domanais</v>
      </c>
      <c r="S213" s="1">
        <f>IFERROR(__xludf.DUMMYFUNCTION("""COMPUTED_VALUE"""),1.5)</f>
        <v>1.5</v>
      </c>
      <c r="T213" s="1">
        <f>IFERROR(__xludf.DUMMYFUNCTION("""COMPUTED_VALUE"""),1.75)</f>
        <v>1.75</v>
      </c>
      <c r="U213" s="2">
        <f>IFERROR(__xludf.DUMMYFUNCTION("""COMPUTED_VALUE"""),3.25)</f>
        <v>3.25</v>
      </c>
      <c r="V213" s="1" t="str">
        <f>IFERROR(__xludf.DUMMYFUNCTION("""COMPUTED_VALUE"""),"Rose Gabilan")</f>
        <v>Rose Gabilan</v>
      </c>
      <c r="W213" s="1" t="str">
        <f>IFERROR(__xludf.DUMMYFUNCTION("""COMPUTED_VALUE"""),"Print Support PH")</f>
        <v>Print Support PH</v>
      </c>
    </row>
    <row r="214">
      <c r="O214" s="1" t="str">
        <f>IFERROR(__xludf.DUMMYFUNCTION("""COMPUTED_VALUE"""),"2025 Jun")</f>
        <v>2025 Jun</v>
      </c>
      <c r="P214" s="1" t="str">
        <f>IFERROR(__xludf.DUMMYFUNCTION("""COMPUTED_VALUE"""),"Print Support")</f>
        <v>Print Support</v>
      </c>
      <c r="Q214" s="1" t="str">
        <f>IFERROR(__xludf.DUMMYFUNCTION("""COMPUTED_VALUE"""),"paolonati@canva.com")</f>
        <v>paolonati@canva.com</v>
      </c>
      <c r="R214" s="1" t="str">
        <f>IFERROR(__xludf.DUMMYFUNCTION("""COMPUTED_VALUE"""),"Paolo Natividad")</f>
        <v>Paolo Natividad</v>
      </c>
      <c r="S214" s="1">
        <f>IFERROR(__xludf.DUMMYFUNCTION("""COMPUTED_VALUE"""),1.67)</f>
        <v>1.67</v>
      </c>
      <c r="T214" s="1">
        <f>IFERROR(__xludf.DUMMYFUNCTION("""COMPUTED_VALUE"""),1.0)</f>
        <v>1</v>
      </c>
      <c r="U214" s="2">
        <f>IFERROR(__xludf.DUMMYFUNCTION("""COMPUTED_VALUE"""),2.67)</f>
        <v>2.67</v>
      </c>
      <c r="V214" s="1" t="str">
        <f>IFERROR(__xludf.DUMMYFUNCTION("""COMPUTED_VALUE"""),"Rei De Jesus")</f>
        <v>Rei De Jesus</v>
      </c>
      <c r="W214" s="1" t="str">
        <f>IFERROR(__xludf.DUMMYFUNCTION("""COMPUTED_VALUE"""),"Print Design Support")</f>
        <v>Print Design Support</v>
      </c>
    </row>
    <row r="215">
      <c r="O215" s="1" t="str">
        <f>IFERROR(__xludf.DUMMYFUNCTION("""COMPUTED_VALUE"""),"2025 Jun")</f>
        <v>2025 Jun</v>
      </c>
      <c r="P215" s="1" t="str">
        <f>IFERROR(__xludf.DUMMYFUNCTION("""COMPUTED_VALUE"""),"Core Product Support")</f>
        <v>Core Product Support</v>
      </c>
      <c r="Q215" s="1" t="str">
        <f>IFERROR(__xludf.DUMMYFUNCTION("""COMPUTED_VALUE"""),"padelacruz@canva.com")</f>
        <v>padelacruz@canva.com</v>
      </c>
      <c r="R215" s="1" t="str">
        <f>IFERROR(__xludf.DUMMYFUNCTION("""COMPUTED_VALUE"""),"Patrick Dela Cruz")</f>
        <v>Patrick Dela Cruz</v>
      </c>
      <c r="S215" s="1">
        <f>IFERROR(__xludf.DUMMYFUNCTION("""COMPUTED_VALUE"""),12.5)</f>
        <v>12.5</v>
      </c>
      <c r="T215" s="1">
        <f>IFERROR(__xludf.DUMMYFUNCTION("""COMPUTED_VALUE"""),5.5)</f>
        <v>5.5</v>
      </c>
      <c r="U215" s="2">
        <f>IFERROR(__xludf.DUMMYFUNCTION("""COMPUTED_VALUE"""),18.0)</f>
        <v>18</v>
      </c>
      <c r="V215" s="1" t="str">
        <f>IFERROR(__xludf.DUMMYFUNCTION("""COMPUTED_VALUE"""),"Cate Velasco")</f>
        <v>Cate Velasco</v>
      </c>
      <c r="W215" s="1" t="str">
        <f>IFERROR(__xludf.DUMMYFUNCTION("""COMPUTED_VALUE"""),"Advanced Product Support")</f>
        <v>Advanced Product Support</v>
      </c>
    </row>
    <row r="216">
      <c r="O216" s="1" t="str">
        <f>IFERROR(__xludf.DUMMYFUNCTION("""COMPUTED_VALUE"""),"2025 Jun")</f>
        <v>2025 Jun</v>
      </c>
      <c r="P216" s="1" t="str">
        <f>IFERROR(__xludf.DUMMYFUNCTION("""COMPUTED_VALUE"""),"#N/A")</f>
        <v>#N/A</v>
      </c>
      <c r="Q216" s="1" t="str">
        <f>IFERROR(__xludf.DUMMYFUNCTION("""COMPUTED_VALUE"""),"patrickm@canva.com")</f>
        <v>patrickm@canva.com</v>
      </c>
      <c r="R216" s="1" t="str">
        <f>IFERROR(__xludf.DUMMYFUNCTION("""COMPUTED_VALUE"""),"Patrick Mariano")</f>
        <v>Patrick Mariano</v>
      </c>
      <c r="S216" s="1"/>
      <c r="T216" s="1">
        <f>IFERROR(__xludf.DUMMYFUNCTION("""COMPUTED_VALUE"""),80.0)</f>
        <v>80</v>
      </c>
      <c r="U216" s="2">
        <f>IFERROR(__xludf.DUMMYFUNCTION("""COMPUTED_VALUE"""),80.0)</f>
        <v>80</v>
      </c>
      <c r="V216" s="1" t="str">
        <f>IFERROR(__xludf.DUMMYFUNCTION("""COMPUTED_VALUE"""),"#N/A")</f>
        <v>#N/A</v>
      </c>
      <c r="W216" s="1" t="str">
        <f>IFERROR(__xludf.DUMMYFUNCTION("""COMPUTED_VALUE"""),"Advanced Billing &amp; Subscriptions")</f>
        <v>Advanced Billing &amp; Subscriptions</v>
      </c>
    </row>
    <row r="217">
      <c r="O217" s="1" t="str">
        <f>IFERROR(__xludf.DUMMYFUNCTION("""COMPUTED_VALUE"""),"2025 Jun")</f>
        <v>2025 Jun</v>
      </c>
      <c r="P217" s="1" t="str">
        <f>IFERROR(__xludf.DUMMYFUNCTION("""COMPUTED_VALUE"""),"Core Product Support")</f>
        <v>Core Product Support</v>
      </c>
      <c r="Q217" s="1" t="str">
        <f>IFERROR(__xludf.DUMMYFUNCTION("""COMPUTED_VALUE"""),"pathugo@canva.com")</f>
        <v>pathugo@canva.com</v>
      </c>
      <c r="R217" s="1" t="str">
        <f>IFERROR(__xludf.DUMMYFUNCTION("""COMPUTED_VALUE"""),"Patriz Hugo")</f>
        <v>Patriz Hugo</v>
      </c>
      <c r="S217" s="1">
        <f>IFERROR(__xludf.DUMMYFUNCTION("""COMPUTED_VALUE"""),8.0)</f>
        <v>8</v>
      </c>
      <c r="T217" s="1">
        <f>IFERROR(__xludf.DUMMYFUNCTION("""COMPUTED_VALUE"""),3.0)</f>
        <v>3</v>
      </c>
      <c r="U217" s="2">
        <f>IFERROR(__xludf.DUMMYFUNCTION("""COMPUTED_VALUE"""),11.0)</f>
        <v>11</v>
      </c>
      <c r="V217" s="1" t="str">
        <f>IFERROR(__xludf.DUMMYFUNCTION("""COMPUTED_VALUE"""),"Sieg Ballelos")</f>
        <v>Sieg Ballelos</v>
      </c>
      <c r="W217" s="1" t="str">
        <f>IFERROR(__xludf.DUMMYFUNCTION("""COMPUTED_VALUE"""),"Core Product Support Escalation Team")</f>
        <v>Core Product Support Escalation Team</v>
      </c>
    </row>
    <row r="218">
      <c r="O218" s="1" t="str">
        <f>IFERROR(__xludf.DUMMYFUNCTION("""COMPUTED_VALUE"""),"2025 Jun")</f>
        <v>2025 Jun</v>
      </c>
      <c r="P218" s="1" t="str">
        <f>IFERROR(__xludf.DUMMYFUNCTION("""COMPUTED_VALUE"""),"High Sensitivity Support")</f>
        <v>High Sensitivity Support</v>
      </c>
      <c r="Q218" s="1" t="str">
        <f>IFERROR(__xludf.DUMMYFUNCTION("""COMPUTED_VALUE"""),"paulwilbert@canva.com")</f>
        <v>paulwilbert@canva.com</v>
      </c>
      <c r="R218" s="1" t="str">
        <f>IFERROR(__xludf.DUMMYFUNCTION("""COMPUTED_VALUE"""),"Paul Domingo")</f>
        <v>Paul Domingo</v>
      </c>
      <c r="S218" s="1">
        <f>IFERROR(__xludf.DUMMYFUNCTION("""COMPUTED_VALUE"""),10.25)</f>
        <v>10.25</v>
      </c>
      <c r="T218" s="1">
        <f>IFERROR(__xludf.DUMMYFUNCTION("""COMPUTED_VALUE"""),3.75)</f>
        <v>3.75</v>
      </c>
      <c r="U218" s="2">
        <f>IFERROR(__xludf.DUMMYFUNCTION("""COMPUTED_VALUE"""),14.0)</f>
        <v>14</v>
      </c>
      <c r="V218" s="1" t="str">
        <f>IFERROR(__xludf.DUMMYFUNCTION("""COMPUTED_VALUE"""),"Xandy Azarcon")</f>
        <v>Xandy Azarcon</v>
      </c>
      <c r="W218" s="1" t="str">
        <f>IFERROR(__xludf.DUMMYFUNCTION("""COMPUTED_VALUE"""),"High Sensitivity Support PH")</f>
        <v>High Sensitivity Support PH</v>
      </c>
    </row>
    <row r="219">
      <c r="O219" s="1" t="str">
        <f>IFERROR(__xludf.DUMMYFUNCTION("""COMPUTED_VALUE"""),"2025 Jun")</f>
        <v>2025 Jun</v>
      </c>
      <c r="P219" s="1" t="str">
        <f>IFERROR(__xludf.DUMMYFUNCTION("""COMPUTED_VALUE"""),"Core Product Support")</f>
        <v>Core Product Support</v>
      </c>
      <c r="Q219" s="1" t="str">
        <f>IFERROR(__xludf.DUMMYFUNCTION("""COMPUTED_VALUE"""),"paulv@canva.com")</f>
        <v>paulv@canva.com</v>
      </c>
      <c r="R219" s="1" t="str">
        <f>IFERROR(__xludf.DUMMYFUNCTION("""COMPUTED_VALUE"""),"Paul Verdad")</f>
        <v>Paul Verdad</v>
      </c>
      <c r="S219" s="1">
        <f>IFERROR(__xludf.DUMMYFUNCTION("""COMPUTED_VALUE"""),12.0)</f>
        <v>12</v>
      </c>
      <c r="T219" s="1">
        <f>IFERROR(__xludf.DUMMYFUNCTION("""COMPUTED_VALUE"""),1.0)</f>
        <v>1</v>
      </c>
      <c r="U219" s="2">
        <f>IFERROR(__xludf.DUMMYFUNCTION("""COMPUTED_VALUE"""),13.0)</f>
        <v>13</v>
      </c>
      <c r="V219" s="1" t="str">
        <f>IFERROR(__xludf.DUMMYFUNCTION("""COMPUTED_VALUE"""),"Vinz Lazaro")</f>
        <v>Vinz Lazaro</v>
      </c>
      <c r="W219" s="1" t="str">
        <f>IFERROR(__xludf.DUMMYFUNCTION("""COMPUTED_VALUE"""),"Advanced Product Support")</f>
        <v>Advanced Product Support</v>
      </c>
    </row>
    <row r="220">
      <c r="O220" s="1" t="str">
        <f>IFERROR(__xludf.DUMMYFUNCTION("""COMPUTED_VALUE"""),"2025 Jun")</f>
        <v>2025 Jun</v>
      </c>
      <c r="P220" s="1" t="str">
        <f>IFERROR(__xludf.DUMMYFUNCTION("""COMPUTED_VALUE"""),"#N/A")</f>
        <v>#N/A</v>
      </c>
      <c r="Q220" s="1" t="str">
        <f>IFERROR(__xludf.DUMMYFUNCTION("""COMPUTED_VALUE"""),"paul.y@canva.com")</f>
        <v>paul.y@canva.com</v>
      </c>
      <c r="R220" s="1" t="str">
        <f>IFERROR(__xludf.DUMMYFUNCTION("""COMPUTED_VALUE"""),"Paul Yang")</f>
        <v>Paul Yang</v>
      </c>
      <c r="S220" s="1">
        <f>IFERROR(__xludf.DUMMYFUNCTION("""COMPUTED_VALUE"""),4.0)</f>
        <v>4</v>
      </c>
      <c r="T220" s="1">
        <f>IFERROR(__xludf.DUMMYFUNCTION("""COMPUTED_VALUE"""),3.0)</f>
        <v>3</v>
      </c>
      <c r="U220" s="2">
        <f>IFERROR(__xludf.DUMMYFUNCTION("""COMPUTED_VALUE"""),7.0)</f>
        <v>7</v>
      </c>
      <c r="V220" s="1" t="str">
        <f>IFERROR(__xludf.DUMMYFUNCTION("""COMPUTED_VALUE"""),"#N/A")</f>
        <v>#N/A</v>
      </c>
      <c r="W220" s="1" t="str">
        <f>IFERROR(__xludf.DUMMYFUNCTION("""COMPUTED_VALUE"""),"#N/A")</f>
        <v>#N/A</v>
      </c>
    </row>
    <row r="221">
      <c r="O221" s="1" t="str">
        <f>IFERROR(__xludf.DUMMYFUNCTION("""COMPUTED_VALUE"""),"2025 Jun")</f>
        <v>2025 Jun</v>
      </c>
      <c r="P221" s="1" t="str">
        <f>IFERROR(__xludf.DUMMYFUNCTION("""COMPUTED_VALUE"""),"High Sensitivity Support")</f>
        <v>High Sensitivity Support</v>
      </c>
      <c r="Q221" s="1" t="str">
        <f>IFERROR(__xludf.DUMMYFUNCTION("""COMPUTED_VALUE"""),"phillipronquillo@canva.com")</f>
        <v>phillipronquillo@canva.com</v>
      </c>
      <c r="R221" s="1" t="str">
        <f>IFERROR(__xludf.DUMMYFUNCTION("""COMPUTED_VALUE"""),"Phil Ronquillo")</f>
        <v>Phil Ronquillo</v>
      </c>
      <c r="S221" s="1">
        <f>IFERROR(__xludf.DUMMYFUNCTION("""COMPUTED_VALUE"""),8.75)</f>
        <v>8.75</v>
      </c>
      <c r="T221" s="1">
        <f>IFERROR(__xludf.DUMMYFUNCTION("""COMPUTED_VALUE"""),3.25)</f>
        <v>3.25</v>
      </c>
      <c r="U221" s="2">
        <f>IFERROR(__xludf.DUMMYFUNCTION("""COMPUTED_VALUE"""),12.0)</f>
        <v>12</v>
      </c>
      <c r="V221" s="1" t="str">
        <f>IFERROR(__xludf.DUMMYFUNCTION("""COMPUTED_VALUE"""),"Rossheen Pura")</f>
        <v>Rossheen Pura</v>
      </c>
      <c r="W221" s="1" t="str">
        <f>IFERROR(__xludf.DUMMYFUNCTION("""COMPUTED_VALUE"""),"High Sensitivity Support PH")</f>
        <v>High Sensitivity Support PH</v>
      </c>
    </row>
    <row r="222">
      <c r="O222" s="1" t="str">
        <f>IFERROR(__xludf.DUMMYFUNCTION("""COMPUTED_VALUE"""),"2025 Jun")</f>
        <v>2025 Jun</v>
      </c>
      <c r="P222" s="1" t="str">
        <f>IFERROR(__xludf.DUMMYFUNCTION("""COMPUTED_VALUE"""),"#N/A")</f>
        <v>#N/A</v>
      </c>
      <c r="Q222" s="1" t="str">
        <f>IFERROR(__xludf.DUMMYFUNCTION("""COMPUTED_VALUE"""),"pola@canva.com")</f>
        <v>pola@canva.com</v>
      </c>
      <c r="R222" s="1" t="str">
        <f>IFERROR(__xludf.DUMMYFUNCTION("""COMPUTED_VALUE"""),"Pola Villanueva")</f>
        <v>Pola Villanueva</v>
      </c>
      <c r="S222" s="1"/>
      <c r="T222" s="1"/>
      <c r="U222" s="2">
        <f>IFERROR(__xludf.DUMMYFUNCTION("""COMPUTED_VALUE"""),0.0)</f>
        <v>0</v>
      </c>
      <c r="V222" s="1" t="str">
        <f>IFERROR(__xludf.DUMMYFUNCTION("""COMPUTED_VALUE"""),"#N/A")</f>
        <v>#N/A</v>
      </c>
      <c r="W222" s="1" t="str">
        <f>IFERROR(__xludf.DUMMYFUNCTION("""COMPUTED_VALUE"""),"#N/A")</f>
        <v>#N/A</v>
      </c>
    </row>
    <row r="223">
      <c r="O223" s="1" t="str">
        <f>IFERROR(__xludf.DUMMYFUNCTION("""COMPUTED_VALUE"""),"2025 Jun")</f>
        <v>2025 Jun</v>
      </c>
      <c r="P223" s="1" t="str">
        <f>IFERROR(__xludf.DUMMYFUNCTION("""COMPUTED_VALUE"""),"Core Product Support")</f>
        <v>Core Product Support</v>
      </c>
      <c r="Q223" s="1" t="str">
        <f>IFERROR(__xludf.DUMMYFUNCTION("""COMPUTED_VALUE"""),"pnicolepescador@canva.com")</f>
        <v>pnicolepescador@canva.com</v>
      </c>
      <c r="R223" s="1" t="str">
        <f>IFERROR(__xludf.DUMMYFUNCTION("""COMPUTED_VALUE"""),"Precious Pescador")</f>
        <v>Precious Pescador</v>
      </c>
      <c r="S223" s="1"/>
      <c r="T223" s="1">
        <f>IFERROR(__xludf.DUMMYFUNCTION("""COMPUTED_VALUE"""),1.5)</f>
        <v>1.5</v>
      </c>
      <c r="U223" s="2">
        <f>IFERROR(__xludf.DUMMYFUNCTION("""COMPUTED_VALUE"""),1.5)</f>
        <v>1.5</v>
      </c>
      <c r="V223" s="1" t="str">
        <f>IFERROR(__xludf.DUMMYFUNCTION("""COMPUTED_VALUE"""),"Ayza Marie Pascual")</f>
        <v>Ayza Marie Pascual</v>
      </c>
      <c r="W223" s="1" t="str">
        <f>IFERROR(__xludf.DUMMYFUNCTION("""COMPUTED_VALUE"""),"Advanced Billing &amp; Subscriptions")</f>
        <v>Advanced Billing &amp; Subscriptions</v>
      </c>
    </row>
    <row r="224">
      <c r="O224" s="1" t="str">
        <f>IFERROR(__xludf.DUMMYFUNCTION("""COMPUTED_VALUE"""),"2025 Jun")</f>
        <v>2025 Jun</v>
      </c>
      <c r="P224" s="1" t="str">
        <f>IFERROR(__xludf.DUMMYFUNCTION("""COMPUTED_VALUE"""),"#N/A")</f>
        <v>#N/A</v>
      </c>
      <c r="Q224" s="1" t="str">
        <f>IFERROR(__xludf.DUMMYFUNCTION("""COMPUTED_VALUE"""),"princessr@canva.com")</f>
        <v>princessr@canva.com</v>
      </c>
      <c r="R224" s="1" t="str">
        <f>IFERROR(__xludf.DUMMYFUNCTION("""COMPUTED_VALUE"""),"Princess Rivera")</f>
        <v>Princess Rivera</v>
      </c>
      <c r="S224" s="1">
        <f>IFERROR(__xludf.DUMMYFUNCTION("""COMPUTED_VALUE"""),2.0)</f>
        <v>2</v>
      </c>
      <c r="T224" s="1">
        <f>IFERROR(__xludf.DUMMYFUNCTION("""COMPUTED_VALUE"""),72.0)</f>
        <v>72</v>
      </c>
      <c r="U224" s="2">
        <f>IFERROR(__xludf.DUMMYFUNCTION("""COMPUTED_VALUE"""),74.0)</f>
        <v>74</v>
      </c>
      <c r="V224" s="1" t="str">
        <f>IFERROR(__xludf.DUMMYFUNCTION("""COMPUTED_VALUE"""),"#N/A")</f>
        <v>#N/A</v>
      </c>
      <c r="W224" s="1" t="str">
        <f>IFERROR(__xludf.DUMMYFUNCTION("""COMPUTED_VALUE"""),"#N/A")</f>
        <v>#N/A</v>
      </c>
    </row>
    <row r="225">
      <c r="O225" s="1" t="str">
        <f>IFERROR(__xludf.DUMMYFUNCTION("""COMPUTED_VALUE"""),"2025 Jun")</f>
        <v>2025 Jun</v>
      </c>
      <c r="P225" s="1" t="str">
        <f>IFERROR(__xludf.DUMMYFUNCTION("""COMPUTED_VALUE"""),"High Sensitivity Support")</f>
        <v>High Sensitivity Support</v>
      </c>
      <c r="Q225" s="1" t="str">
        <f>IFERROR(__xludf.DUMMYFUNCTION("""COMPUTED_VALUE"""),"quennie@canva.com")</f>
        <v>quennie@canva.com</v>
      </c>
      <c r="R225" s="1" t="str">
        <f>IFERROR(__xludf.DUMMYFUNCTION("""COMPUTED_VALUE"""),"Quennie Quisel")</f>
        <v>Quennie Quisel</v>
      </c>
      <c r="S225" s="1">
        <f>IFERROR(__xludf.DUMMYFUNCTION("""COMPUTED_VALUE"""),0.18)</f>
        <v>0.18</v>
      </c>
      <c r="T225" s="1">
        <f>IFERROR(__xludf.DUMMYFUNCTION("""COMPUTED_VALUE"""),4.0)</f>
        <v>4</v>
      </c>
      <c r="U225" s="2">
        <f>IFERROR(__xludf.DUMMYFUNCTION("""COMPUTED_VALUE"""),4.18)</f>
        <v>4.18</v>
      </c>
      <c r="V225" s="1" t="str">
        <f>IFERROR(__xludf.DUMMYFUNCTION("""COMPUTED_VALUE"""),"Issi Afable")</f>
        <v>Issi Afable</v>
      </c>
      <c r="W225" s="1" t="str">
        <f>IFERROR(__xludf.DUMMYFUNCTION("""COMPUTED_VALUE"""),"High Sensitivity Support PH")</f>
        <v>High Sensitivity Support PH</v>
      </c>
    </row>
    <row r="226">
      <c r="O226" s="1" t="str">
        <f>IFERROR(__xludf.DUMMYFUNCTION("""COMPUTED_VALUE"""),"2025 Jun")</f>
        <v>2025 Jun</v>
      </c>
      <c r="P226" s="1" t="str">
        <f>IFERROR(__xludf.DUMMYFUNCTION("""COMPUTED_VALUE"""),"Core Product Support")</f>
        <v>Core Product Support</v>
      </c>
      <c r="Q226" s="1" t="str">
        <f>IFERROR(__xludf.DUMMYFUNCTION("""COMPUTED_VALUE"""),"rachellynanne@canva.com")</f>
        <v>rachellynanne@canva.com</v>
      </c>
      <c r="R226" s="1" t="str">
        <f>IFERROR(__xludf.DUMMYFUNCTION("""COMPUTED_VALUE"""),"Rachellyn Medina")</f>
        <v>Rachellyn Medina</v>
      </c>
      <c r="S226" s="1">
        <f>IFERROR(__xludf.DUMMYFUNCTION("""COMPUTED_VALUE"""),2.5)</f>
        <v>2.5</v>
      </c>
      <c r="T226" s="1">
        <f>IFERROR(__xludf.DUMMYFUNCTION("""COMPUTED_VALUE"""),2.0)</f>
        <v>2</v>
      </c>
      <c r="U226" s="2">
        <f>IFERROR(__xludf.DUMMYFUNCTION("""COMPUTED_VALUE"""),4.5)</f>
        <v>4.5</v>
      </c>
      <c r="V226" s="1" t="str">
        <f>IFERROR(__xludf.DUMMYFUNCTION("""COMPUTED_VALUE"""),"Jem Mondoñedo")</f>
        <v>Jem Mondoñedo</v>
      </c>
      <c r="W226" s="1" t="str">
        <f>IFERROR(__xludf.DUMMYFUNCTION("""COMPUTED_VALUE"""),"Advanced Billing &amp; Subscriptions")</f>
        <v>Advanced Billing &amp; Subscriptions</v>
      </c>
    </row>
    <row r="227">
      <c r="O227" s="1" t="str">
        <f>IFERROR(__xludf.DUMMYFUNCTION("""COMPUTED_VALUE"""),"2025 Jun")</f>
        <v>2025 Jun</v>
      </c>
      <c r="P227" s="1" t="str">
        <f>IFERROR(__xludf.DUMMYFUNCTION("""COMPUTED_VALUE"""),"Core Product Support")</f>
        <v>Core Product Support</v>
      </c>
      <c r="Q227" s="1" t="str">
        <f>IFERROR(__xludf.DUMMYFUNCTION("""COMPUTED_VALUE"""),"alfredomillares@canva.com")</f>
        <v>alfredomillares@canva.com</v>
      </c>
      <c r="R227" s="1" t="str">
        <f>IFERROR(__xludf.DUMMYFUNCTION("""COMPUTED_VALUE"""),"Rael Millares")</f>
        <v>Rael Millares</v>
      </c>
      <c r="S227" s="1"/>
      <c r="T227" s="1">
        <f>IFERROR(__xludf.DUMMYFUNCTION("""COMPUTED_VALUE"""),12.33)</f>
        <v>12.33</v>
      </c>
      <c r="U227" s="2">
        <f>IFERROR(__xludf.DUMMYFUNCTION("""COMPUTED_VALUE"""),12.33)</f>
        <v>12.33</v>
      </c>
      <c r="V227" s="1" t="str">
        <f>IFERROR(__xludf.DUMMYFUNCTION("""COMPUTED_VALUE"""),"Jahmie Mae Barrameda")</f>
        <v>Jahmie Mae Barrameda</v>
      </c>
      <c r="W227" s="1" t="str">
        <f>IFERROR(__xludf.DUMMYFUNCTION("""COMPUTED_VALUE"""),"Advanced Billing &amp; Subscriptions")</f>
        <v>Advanced Billing &amp; Subscriptions</v>
      </c>
    </row>
    <row r="228">
      <c r="O228" s="1" t="str">
        <f>IFERROR(__xludf.DUMMYFUNCTION("""COMPUTED_VALUE"""),"2025 Jun")</f>
        <v>2025 Jun</v>
      </c>
      <c r="P228" s="1" t="str">
        <f>IFERROR(__xludf.DUMMYFUNCTION("""COMPUTED_VALUE"""),"Multilingual Support")</f>
        <v>Multilingual Support</v>
      </c>
      <c r="Q228" s="1" t="str">
        <f>IFERROR(__xludf.DUMMYFUNCTION("""COMPUTED_VALUE"""),"ranufre@canva.com")</f>
        <v>ranufre@canva.com</v>
      </c>
      <c r="R228" s="1" t="str">
        <f>IFERROR(__xludf.DUMMYFUNCTION("""COMPUTED_VALUE"""),"Rafa Freitas")</f>
        <v>Rafa Freitas</v>
      </c>
      <c r="S228" s="1">
        <f>IFERROR(__xludf.DUMMYFUNCTION("""COMPUTED_VALUE"""),1.0)</f>
        <v>1</v>
      </c>
      <c r="T228" s="1">
        <f>IFERROR(__xludf.DUMMYFUNCTION("""COMPUTED_VALUE"""),1.5)</f>
        <v>1.5</v>
      </c>
      <c r="U228" s="2">
        <f>IFERROR(__xludf.DUMMYFUNCTION("""COMPUTED_VALUE"""),2.5)</f>
        <v>2.5</v>
      </c>
      <c r="V228" s="1" t="str">
        <f>IFERROR(__xludf.DUMMYFUNCTION("""COMPUTED_VALUE"""),"Arlene Maurillo")</f>
        <v>Arlene Maurillo</v>
      </c>
      <c r="W228" s="1" t="str">
        <f>IFERROR(__xludf.DUMMYFUNCTION("""COMPUTED_VALUE"""),"PHL, Multilingual Support")</f>
        <v>PHL, Multilingual Support</v>
      </c>
    </row>
    <row r="229">
      <c r="O229" s="1" t="str">
        <f>IFERROR(__xludf.DUMMYFUNCTION("""COMPUTED_VALUE"""),"2025 Jun")</f>
        <v>2025 Jun</v>
      </c>
      <c r="P229" s="1" t="str">
        <f>IFERROR(__xludf.DUMMYFUNCTION("""COMPUTED_VALUE"""),"Core Product Support")</f>
        <v>Core Product Support</v>
      </c>
      <c r="Q229" s="1" t="str">
        <f>IFERROR(__xludf.DUMMYFUNCTION("""COMPUTED_VALUE"""),"rafaticzon@canva.com")</f>
        <v>rafaticzon@canva.com</v>
      </c>
      <c r="R229" s="1" t="str">
        <f>IFERROR(__xludf.DUMMYFUNCTION("""COMPUTED_VALUE"""),"Rafa Ticzon")</f>
        <v>Rafa Ticzon</v>
      </c>
      <c r="S229" s="1">
        <f>IFERROR(__xludf.DUMMYFUNCTION("""COMPUTED_VALUE"""),11.75)</f>
        <v>11.75</v>
      </c>
      <c r="T229" s="1">
        <f>IFERROR(__xludf.DUMMYFUNCTION("""COMPUTED_VALUE"""),2.0)</f>
        <v>2</v>
      </c>
      <c r="U229" s="2">
        <f>IFERROR(__xludf.DUMMYFUNCTION("""COMPUTED_VALUE"""),13.75)</f>
        <v>13.75</v>
      </c>
      <c r="V229" s="1" t="str">
        <f>IFERROR(__xludf.DUMMYFUNCTION("""COMPUTED_VALUE"""),"Mikhaela Decangchon")</f>
        <v>Mikhaela Decangchon</v>
      </c>
      <c r="W229" s="1" t="str">
        <f>IFERROR(__xludf.DUMMYFUNCTION("""COMPUTED_VALUE"""),"Advanced Product Support")</f>
        <v>Advanced Product Support</v>
      </c>
    </row>
    <row r="230">
      <c r="O230" s="1" t="str">
        <f>IFERROR(__xludf.DUMMYFUNCTION("""COMPUTED_VALUE"""),"2025 Jun")</f>
        <v>2025 Jun</v>
      </c>
      <c r="P230" s="1" t="str">
        <f>IFERROR(__xludf.DUMMYFUNCTION("""COMPUTED_VALUE"""),"Core Product Support")</f>
        <v>Core Product Support</v>
      </c>
      <c r="Q230" s="1" t="str">
        <f>IFERROR(__xludf.DUMMYFUNCTION("""COMPUTED_VALUE"""),"candace@canva.com")</f>
        <v>candace@canva.com</v>
      </c>
      <c r="R230" s="1" t="str">
        <f>IFERROR(__xludf.DUMMYFUNCTION("""COMPUTED_VALUE"""),"Rainne Candace Llagas")</f>
        <v>Rainne Candace Llagas</v>
      </c>
      <c r="S230" s="1">
        <f>IFERROR(__xludf.DUMMYFUNCTION("""COMPUTED_VALUE"""),12.25)</f>
        <v>12.25</v>
      </c>
      <c r="T230" s="1">
        <f>IFERROR(__xludf.DUMMYFUNCTION("""COMPUTED_VALUE"""),2.0)</f>
        <v>2</v>
      </c>
      <c r="U230" s="2">
        <f>IFERROR(__xludf.DUMMYFUNCTION("""COMPUTED_VALUE"""),14.25)</f>
        <v>14.25</v>
      </c>
      <c r="V230" s="1" t="str">
        <f>IFERROR(__xludf.DUMMYFUNCTION("""COMPUTED_VALUE"""),"Belle Bentazal")</f>
        <v>Belle Bentazal</v>
      </c>
      <c r="W230" s="1" t="str">
        <f>IFERROR(__xludf.DUMMYFUNCTION("""COMPUTED_VALUE"""),"Advanced Product Support")</f>
        <v>Advanced Product Support</v>
      </c>
    </row>
    <row r="231">
      <c r="O231" s="1" t="str">
        <f>IFERROR(__xludf.DUMMYFUNCTION("""COMPUTED_VALUE"""),"2025 Jun")</f>
        <v>2025 Jun</v>
      </c>
      <c r="P231" s="1" t="str">
        <f>IFERROR(__xludf.DUMMYFUNCTION("""COMPUTED_VALUE"""),"Core Product Support")</f>
        <v>Core Product Support</v>
      </c>
      <c r="Q231" s="1" t="str">
        <f>IFERROR(__xludf.DUMMYFUNCTION("""COMPUTED_VALUE"""),"rmercado@canva.com")</f>
        <v>rmercado@canva.com</v>
      </c>
      <c r="R231" s="1" t="str">
        <f>IFERROR(__xludf.DUMMYFUNCTION("""COMPUTED_VALUE"""),"Ram Mercado")</f>
        <v>Ram Mercado</v>
      </c>
      <c r="S231" s="1">
        <f>IFERROR(__xludf.DUMMYFUNCTION("""COMPUTED_VALUE"""),4.25)</f>
        <v>4.25</v>
      </c>
      <c r="T231" s="1">
        <f>IFERROR(__xludf.DUMMYFUNCTION("""COMPUTED_VALUE"""),44.0)</f>
        <v>44</v>
      </c>
      <c r="U231" s="2">
        <f>IFERROR(__xludf.DUMMYFUNCTION("""COMPUTED_VALUE"""),48.25)</f>
        <v>48.25</v>
      </c>
      <c r="V231" s="1" t="str">
        <f>IFERROR(__xludf.DUMMYFUNCTION("""COMPUTED_VALUE"""),"Jelyn Elmido")</f>
        <v>Jelyn Elmido</v>
      </c>
      <c r="W231" s="1" t="str">
        <f>IFERROR(__xludf.DUMMYFUNCTION("""COMPUTED_VALUE"""),"Core Product Support Escalation Team")</f>
        <v>Core Product Support Escalation Team</v>
      </c>
    </row>
    <row r="232">
      <c r="O232" s="1" t="str">
        <f>IFERROR(__xludf.DUMMYFUNCTION("""COMPUTED_VALUE"""),"2025 Jun")</f>
        <v>2025 Jun</v>
      </c>
      <c r="P232" s="1" t="str">
        <f>IFERROR(__xludf.DUMMYFUNCTION("""COMPUTED_VALUE"""),"Core Product Support")</f>
        <v>Core Product Support</v>
      </c>
      <c r="Q232" s="1" t="str">
        <f>IFERROR(__xludf.DUMMYFUNCTION("""COMPUTED_VALUE"""),"razelleroe@canva.com")</f>
        <v>razelleroe@canva.com</v>
      </c>
      <c r="R232" s="1" t="str">
        <f>IFERROR(__xludf.DUMMYFUNCTION("""COMPUTED_VALUE"""),"Razelle Roe Garaza")</f>
        <v>Razelle Roe Garaza</v>
      </c>
      <c r="S232" s="1"/>
      <c r="T232" s="1">
        <f>IFERROR(__xludf.DUMMYFUNCTION("""COMPUTED_VALUE"""),0.5)</f>
        <v>0.5</v>
      </c>
      <c r="U232" s="2">
        <f>IFERROR(__xludf.DUMMYFUNCTION("""COMPUTED_VALUE"""),0.5)</f>
        <v>0.5</v>
      </c>
      <c r="V232" s="1" t="str">
        <f>IFERROR(__xludf.DUMMYFUNCTION("""COMPUTED_VALUE"""),"Ana Lazaro")</f>
        <v>Ana Lazaro</v>
      </c>
      <c r="W232" s="1" t="str">
        <f>IFERROR(__xludf.DUMMYFUNCTION("""COMPUTED_VALUE"""),"Advanced Billing &amp; Subscriptions")</f>
        <v>Advanced Billing &amp; Subscriptions</v>
      </c>
    </row>
    <row r="233">
      <c r="O233" s="1" t="str">
        <f>IFERROR(__xludf.DUMMYFUNCTION("""COMPUTED_VALUE"""),"2025 Jun")</f>
        <v>2025 Jun</v>
      </c>
      <c r="P233" s="1" t="str">
        <f>IFERROR(__xludf.DUMMYFUNCTION("""COMPUTED_VALUE"""),"Admin Support")</f>
        <v>Admin Support</v>
      </c>
      <c r="Q233" s="1" t="str">
        <f>IFERROR(__xludf.DUMMYFUNCTION("""COMPUTED_VALUE"""),"rdolores@canva.com")</f>
        <v>rdolores@canva.com</v>
      </c>
      <c r="R233" s="1" t="str">
        <f>IFERROR(__xludf.DUMMYFUNCTION("""COMPUTED_VALUE"""),"Rea Alexis Dolores")</f>
        <v>Rea Alexis Dolores</v>
      </c>
      <c r="S233" s="1">
        <f>IFERROR(__xludf.DUMMYFUNCTION("""COMPUTED_VALUE"""),1.0)</f>
        <v>1</v>
      </c>
      <c r="T233" s="1">
        <f>IFERROR(__xludf.DUMMYFUNCTION("""COMPUTED_VALUE"""),3.75)</f>
        <v>3.75</v>
      </c>
      <c r="U233" s="2">
        <f>IFERROR(__xludf.DUMMYFUNCTION("""COMPUTED_VALUE"""),4.75)</f>
        <v>4.75</v>
      </c>
      <c r="V233" s="1" t="str">
        <f>IFERROR(__xludf.DUMMYFUNCTION("""COMPUTED_VALUE"""),"Karla Mananghaya")</f>
        <v>Karla Mananghaya</v>
      </c>
      <c r="W233" s="1" t="str">
        <f>IFERROR(__xludf.DUMMYFUNCTION("""COMPUTED_VALUE"""),"Admin Support Service Escalation Team")</f>
        <v>Admin Support Service Escalation Team</v>
      </c>
    </row>
    <row r="234">
      <c r="O234" s="1" t="str">
        <f>IFERROR(__xludf.DUMMYFUNCTION("""COMPUTED_VALUE"""),"2025 Jun")</f>
        <v>2025 Jun</v>
      </c>
      <c r="P234" s="1" t="str">
        <f>IFERROR(__xludf.DUMMYFUNCTION("""COMPUTED_VALUE"""),"Admin Support")</f>
        <v>Admin Support</v>
      </c>
      <c r="Q234" s="1" t="str">
        <f>IFERROR(__xludf.DUMMYFUNCTION("""COMPUTED_VALUE"""),"red@canva.com")</f>
        <v>red@canva.com</v>
      </c>
      <c r="R234" s="1" t="str">
        <f>IFERROR(__xludf.DUMMYFUNCTION("""COMPUTED_VALUE"""),"Red Dela Rosa")</f>
        <v>Red Dela Rosa</v>
      </c>
      <c r="S234" s="1">
        <f>IFERROR(__xludf.DUMMYFUNCTION("""COMPUTED_VALUE"""),1.0)</f>
        <v>1</v>
      </c>
      <c r="T234" s="1">
        <f>IFERROR(__xludf.DUMMYFUNCTION("""COMPUTED_VALUE"""),5.37)</f>
        <v>5.37</v>
      </c>
      <c r="U234" s="2">
        <f>IFERROR(__xludf.DUMMYFUNCTION("""COMPUTED_VALUE"""),6.37)</f>
        <v>6.37</v>
      </c>
      <c r="V234" s="1" t="str">
        <f>IFERROR(__xludf.DUMMYFUNCTION("""COMPUTED_VALUE"""),"Pau Palmero")</f>
        <v>Pau Palmero</v>
      </c>
      <c r="W234" s="1" t="str">
        <f>IFERROR(__xludf.DUMMYFUNCTION("""COMPUTED_VALUE"""),"Admin Omni Support")</f>
        <v>Admin Omni Support</v>
      </c>
    </row>
    <row r="235">
      <c r="O235" s="1" t="str">
        <f>IFERROR(__xludf.DUMMYFUNCTION("""COMPUTED_VALUE"""),"2025 Jun")</f>
        <v>2025 Jun</v>
      </c>
      <c r="P235" s="1" t="str">
        <f>IFERROR(__xludf.DUMMYFUNCTION("""COMPUTED_VALUE"""),"Admin Support")</f>
        <v>Admin Support</v>
      </c>
      <c r="Q235" s="1" t="str">
        <f>IFERROR(__xludf.DUMMYFUNCTION("""COMPUTED_VALUE"""),"regie@canva.com")</f>
        <v>regie@canva.com</v>
      </c>
      <c r="R235" s="1" t="str">
        <f>IFERROR(__xludf.DUMMYFUNCTION("""COMPUTED_VALUE"""),"Regie Yambot")</f>
        <v>Regie Yambot</v>
      </c>
      <c r="S235" s="1">
        <f>IFERROR(__xludf.DUMMYFUNCTION("""COMPUTED_VALUE"""),1.0)</f>
        <v>1</v>
      </c>
      <c r="T235" s="1">
        <f>IFERROR(__xludf.DUMMYFUNCTION("""COMPUTED_VALUE"""),3.0)</f>
        <v>3</v>
      </c>
      <c r="U235" s="2">
        <f>IFERROR(__xludf.DUMMYFUNCTION("""COMPUTED_VALUE"""),4.0)</f>
        <v>4</v>
      </c>
      <c r="V235" s="1" t="str">
        <f>IFERROR(__xludf.DUMMYFUNCTION("""COMPUTED_VALUE"""),"Pau Palmero")</f>
        <v>Pau Palmero</v>
      </c>
      <c r="W235" s="1" t="str">
        <f>IFERROR(__xludf.DUMMYFUNCTION("""COMPUTED_VALUE"""),"Admin Omni Support")</f>
        <v>Admin Omni Support</v>
      </c>
    </row>
    <row r="236">
      <c r="O236" s="1" t="str">
        <f>IFERROR(__xludf.DUMMYFUNCTION("""COMPUTED_VALUE"""),"2025 Jun")</f>
        <v>2025 Jun</v>
      </c>
      <c r="P236" s="1" t="str">
        <f>IFERROR(__xludf.DUMMYFUNCTION("""COMPUTED_VALUE"""),"Core Product Support")</f>
        <v>Core Product Support</v>
      </c>
      <c r="Q236" s="1" t="str">
        <f>IFERROR(__xludf.DUMMYFUNCTION("""COMPUTED_VALUE"""),"rej@canva.com")</f>
        <v>rej@canva.com</v>
      </c>
      <c r="R236" s="1" t="str">
        <f>IFERROR(__xludf.DUMMYFUNCTION("""COMPUTED_VALUE"""),"Rej Benipayo")</f>
        <v>Rej Benipayo</v>
      </c>
      <c r="S236" s="1"/>
      <c r="T236" s="1">
        <f>IFERROR(__xludf.DUMMYFUNCTION("""COMPUTED_VALUE"""),80.0)</f>
        <v>80</v>
      </c>
      <c r="U236" s="2">
        <f>IFERROR(__xludf.DUMMYFUNCTION("""COMPUTED_VALUE"""),80.0)</f>
        <v>80</v>
      </c>
      <c r="V236" s="1" t="str">
        <f>IFERROR(__xludf.DUMMYFUNCTION("""COMPUTED_VALUE"""),"Renette Bok")</f>
        <v>Renette Bok</v>
      </c>
      <c r="W236" s="1" t="str">
        <f>IFERROR(__xludf.DUMMYFUNCTION("""COMPUTED_VALUE"""),"Advanced Billing &amp; Subscriptions")</f>
        <v>Advanced Billing &amp; Subscriptions</v>
      </c>
    </row>
    <row r="237">
      <c r="O237" s="1" t="str">
        <f>IFERROR(__xludf.DUMMYFUNCTION("""COMPUTED_VALUE"""),"2025 Jun")</f>
        <v>2025 Jun</v>
      </c>
      <c r="P237" s="1" t="str">
        <f>IFERROR(__xludf.DUMMYFUNCTION("""COMPUTED_VALUE"""),"Core Product Support")</f>
        <v>Core Product Support</v>
      </c>
      <c r="Q237" s="1" t="str">
        <f>IFERROR(__xludf.DUMMYFUNCTION("""COMPUTED_VALUE"""),"revisuarez@canva.com")</f>
        <v>revisuarez@canva.com</v>
      </c>
      <c r="R237" s="1" t="str">
        <f>IFERROR(__xludf.DUMMYFUNCTION("""COMPUTED_VALUE"""),"Revi Suarez")</f>
        <v>Revi Suarez</v>
      </c>
      <c r="S237" s="1">
        <f>IFERROR(__xludf.DUMMYFUNCTION("""COMPUTED_VALUE"""),3.5)</f>
        <v>3.5</v>
      </c>
      <c r="T237" s="1">
        <f>IFERROR(__xludf.DUMMYFUNCTION("""COMPUTED_VALUE"""),12.25)</f>
        <v>12.25</v>
      </c>
      <c r="U237" s="2">
        <f>IFERROR(__xludf.DUMMYFUNCTION("""COMPUTED_VALUE"""),15.75)</f>
        <v>15.75</v>
      </c>
      <c r="V237" s="1" t="str">
        <f>IFERROR(__xludf.DUMMYFUNCTION("""COMPUTED_VALUE"""),"Jelyn Elmido")</f>
        <v>Jelyn Elmido</v>
      </c>
      <c r="W237" s="1" t="str">
        <f>IFERROR(__xludf.DUMMYFUNCTION("""COMPUTED_VALUE"""),"Core Product Support Escalation Team")</f>
        <v>Core Product Support Escalation Team</v>
      </c>
    </row>
    <row r="238">
      <c r="O238" s="1" t="str">
        <f>IFERROR(__xludf.DUMMYFUNCTION("""COMPUTED_VALUE"""),"2025 Jun")</f>
        <v>2025 Jun</v>
      </c>
      <c r="P238" s="1" t="str">
        <f>IFERROR(__xludf.DUMMYFUNCTION("""COMPUTED_VALUE"""),"High Sensitivity Support")</f>
        <v>High Sensitivity Support</v>
      </c>
      <c r="Q238" s="1" t="str">
        <f>IFERROR(__xludf.DUMMYFUNCTION("""COMPUTED_VALUE"""),"reya@canva.com")</f>
        <v>reya@canva.com</v>
      </c>
      <c r="R238" s="1" t="str">
        <f>IFERROR(__xludf.DUMMYFUNCTION("""COMPUTED_VALUE"""),"Reya Joson")</f>
        <v>Reya Joson</v>
      </c>
      <c r="S238" s="1">
        <f>IFERROR(__xludf.DUMMYFUNCTION("""COMPUTED_VALUE"""),8.7)</f>
        <v>8.7</v>
      </c>
      <c r="T238" s="1">
        <f>IFERROR(__xludf.DUMMYFUNCTION("""COMPUTED_VALUE"""),4.58)</f>
        <v>4.58</v>
      </c>
      <c r="U238" s="2">
        <f>IFERROR(__xludf.DUMMYFUNCTION("""COMPUTED_VALUE"""),13.28)</f>
        <v>13.28</v>
      </c>
      <c r="V238" s="1" t="str">
        <f>IFERROR(__xludf.DUMMYFUNCTION("""COMPUTED_VALUE"""),"Issi Afable")</f>
        <v>Issi Afable</v>
      </c>
      <c r="W238" s="1" t="str">
        <f>IFERROR(__xludf.DUMMYFUNCTION("""COMPUTED_VALUE"""),"High Sensitivity Support PH")</f>
        <v>High Sensitivity Support PH</v>
      </c>
    </row>
    <row r="239">
      <c r="O239" s="1" t="str">
        <f>IFERROR(__xludf.DUMMYFUNCTION("""COMPUTED_VALUE"""),"2025 Jun")</f>
        <v>2025 Jun</v>
      </c>
      <c r="P239" s="1" t="str">
        <f>IFERROR(__xludf.DUMMYFUNCTION("""COMPUTED_VALUE"""),"Segment-specific Support")</f>
        <v>Segment-specific Support</v>
      </c>
      <c r="Q239" s="1" t="str">
        <f>IFERROR(__xludf.DUMMYFUNCTION("""COMPUTED_VALUE"""),"rizzah@canva.com")</f>
        <v>rizzah@canva.com</v>
      </c>
      <c r="R239" s="1" t="str">
        <f>IFERROR(__xludf.DUMMYFUNCTION("""COMPUTED_VALUE"""),"Rizzah Hope Anjao")</f>
        <v>Rizzah Hope Anjao</v>
      </c>
      <c r="S239" s="1"/>
      <c r="T239" s="1"/>
      <c r="U239" s="2">
        <f>IFERROR(__xludf.DUMMYFUNCTION("""COMPUTED_VALUE"""),0.0)</f>
        <v>0</v>
      </c>
      <c r="V239" s="1" t="str">
        <f>IFERROR(__xludf.DUMMYFUNCTION("""COMPUTED_VALUE"""),"Gucci Nava")</f>
        <v>Gucci Nava</v>
      </c>
      <c r="W239" s="1" t="str">
        <f>IFERROR(__xludf.DUMMYFUNCTION("""COMPUTED_VALUE"""),"Affinity Support")</f>
        <v>Affinity Support</v>
      </c>
    </row>
    <row r="240">
      <c r="O240" s="1" t="str">
        <f>IFERROR(__xludf.DUMMYFUNCTION("""COMPUTED_VALUE"""),"2025 Jun")</f>
        <v>2025 Jun</v>
      </c>
      <c r="P240" s="1" t="str">
        <f>IFERROR(__xludf.DUMMYFUNCTION("""COMPUTED_VALUE"""),"Print Support")</f>
        <v>Print Support</v>
      </c>
      <c r="Q240" s="1" t="str">
        <f>IFERROR(__xludf.DUMMYFUNCTION("""COMPUTED_VALUE"""),"robsuico@canva.com")</f>
        <v>robsuico@canva.com</v>
      </c>
      <c r="R240" s="1" t="str">
        <f>IFERROR(__xludf.DUMMYFUNCTION("""COMPUTED_VALUE"""),"Robin Suico")</f>
        <v>Robin Suico</v>
      </c>
      <c r="S240" s="1">
        <f>IFERROR(__xludf.DUMMYFUNCTION("""COMPUTED_VALUE"""),3.83)</f>
        <v>3.83</v>
      </c>
      <c r="T240" s="1"/>
      <c r="U240" s="2">
        <f>IFERROR(__xludf.DUMMYFUNCTION("""COMPUTED_VALUE"""),3.83)</f>
        <v>3.83</v>
      </c>
      <c r="V240" s="1" t="str">
        <f>IFERROR(__xludf.DUMMYFUNCTION("""COMPUTED_VALUE"""),"Aliza Dote")</f>
        <v>Aliza Dote</v>
      </c>
      <c r="W240" s="1" t="str">
        <f>IFERROR(__xludf.DUMMYFUNCTION("""COMPUTED_VALUE"""),"Print Design Support")</f>
        <v>Print Design Support</v>
      </c>
    </row>
    <row r="241">
      <c r="O241" s="1" t="str">
        <f>IFERROR(__xludf.DUMMYFUNCTION("""COMPUTED_VALUE"""),"2025 Jun")</f>
        <v>2025 Jun</v>
      </c>
      <c r="P241" s="1" t="str">
        <f>IFERROR(__xludf.DUMMYFUNCTION("""COMPUTED_VALUE"""),"Core Product Support")</f>
        <v>Core Product Support</v>
      </c>
      <c r="Q241" s="1" t="str">
        <f>IFERROR(__xludf.DUMMYFUNCTION("""COMPUTED_VALUE"""),"ronally@canva.com")</f>
        <v>ronally@canva.com</v>
      </c>
      <c r="R241" s="1" t="str">
        <f>IFERROR(__xludf.DUMMYFUNCTION("""COMPUTED_VALUE"""),"Ronally Romero")</f>
        <v>Ronally Romero</v>
      </c>
      <c r="S241" s="1">
        <f>IFERROR(__xludf.DUMMYFUNCTION("""COMPUTED_VALUE"""),9.83)</f>
        <v>9.83</v>
      </c>
      <c r="T241" s="1">
        <f>IFERROR(__xludf.DUMMYFUNCTION("""COMPUTED_VALUE"""),1.0)</f>
        <v>1</v>
      </c>
      <c r="U241" s="2">
        <f>IFERROR(__xludf.DUMMYFUNCTION("""COMPUTED_VALUE"""),10.83)</f>
        <v>10.83</v>
      </c>
      <c r="V241" s="1" t="str">
        <f>IFERROR(__xludf.DUMMYFUNCTION("""COMPUTED_VALUE"""),"Cate Velasco")</f>
        <v>Cate Velasco</v>
      </c>
      <c r="W241" s="1" t="str">
        <f>IFERROR(__xludf.DUMMYFUNCTION("""COMPUTED_VALUE"""),"Advanced Product Support")</f>
        <v>Advanced Product Support</v>
      </c>
    </row>
    <row r="242">
      <c r="O242" s="1" t="str">
        <f>IFERROR(__xludf.DUMMYFUNCTION("""COMPUTED_VALUE"""),"2025 Jun")</f>
        <v>2025 Jun</v>
      </c>
      <c r="P242" s="1" t="str">
        <f>IFERROR(__xludf.DUMMYFUNCTION("""COMPUTED_VALUE"""),"Core Product Support")</f>
        <v>Core Product Support</v>
      </c>
      <c r="Q242" s="1" t="str">
        <f>IFERROR(__xludf.DUMMYFUNCTION("""COMPUTED_VALUE"""),"rvalderrama@canva.com")</f>
        <v>rvalderrama@canva.com</v>
      </c>
      <c r="R242" s="1" t="str">
        <f>IFERROR(__xludf.DUMMYFUNCTION("""COMPUTED_VALUE"""),"Rony Valderrama")</f>
        <v>Rony Valderrama</v>
      </c>
      <c r="S242" s="1"/>
      <c r="T242" s="1">
        <f>IFERROR(__xludf.DUMMYFUNCTION("""COMPUTED_VALUE"""),0.5)</f>
        <v>0.5</v>
      </c>
      <c r="U242" s="2">
        <f>IFERROR(__xludf.DUMMYFUNCTION("""COMPUTED_VALUE"""),0.5)</f>
        <v>0.5</v>
      </c>
      <c r="V242" s="1" t="str">
        <f>IFERROR(__xludf.DUMMYFUNCTION("""COMPUTED_VALUE"""),"Renette Bok")</f>
        <v>Renette Bok</v>
      </c>
      <c r="W242" s="1" t="str">
        <f>IFERROR(__xludf.DUMMYFUNCTION("""COMPUTED_VALUE"""),"Advanced Billing &amp; Subscriptions")</f>
        <v>Advanced Billing &amp; Subscriptions</v>
      </c>
    </row>
    <row r="243">
      <c r="O243" s="1" t="str">
        <f>IFERROR(__xludf.DUMMYFUNCTION("""COMPUTED_VALUE"""),"2025 Jun")</f>
        <v>2025 Jun</v>
      </c>
      <c r="P243" s="1" t="str">
        <f>IFERROR(__xludf.DUMMYFUNCTION("""COMPUTED_VALUE"""),"Core Product Support")</f>
        <v>Core Product Support</v>
      </c>
      <c r="Q243" s="1" t="str">
        <f>IFERROR(__xludf.DUMMYFUNCTION("""COMPUTED_VALUE"""),"ronyl@canva.com")</f>
        <v>ronyl@canva.com</v>
      </c>
      <c r="R243" s="1" t="str">
        <f>IFERROR(__xludf.DUMMYFUNCTION("""COMPUTED_VALUE"""),"Ronyl Masilang")</f>
        <v>Ronyl Masilang</v>
      </c>
      <c r="S243" s="1">
        <f>IFERROR(__xludf.DUMMYFUNCTION("""COMPUTED_VALUE"""),9.0)</f>
        <v>9</v>
      </c>
      <c r="T243" s="1">
        <f>IFERROR(__xludf.DUMMYFUNCTION("""COMPUTED_VALUE"""),2.5)</f>
        <v>2.5</v>
      </c>
      <c r="U243" s="2">
        <f>IFERROR(__xludf.DUMMYFUNCTION("""COMPUTED_VALUE"""),11.5)</f>
        <v>11.5</v>
      </c>
      <c r="V243" s="1" t="str">
        <f>IFERROR(__xludf.DUMMYFUNCTION("""COMPUTED_VALUE"""),"Cate Velasco")</f>
        <v>Cate Velasco</v>
      </c>
      <c r="W243" s="1" t="str">
        <f>IFERROR(__xludf.DUMMYFUNCTION("""COMPUTED_VALUE"""),"Advanced Product Support")</f>
        <v>Advanced Product Support</v>
      </c>
    </row>
    <row r="244">
      <c r="O244" s="1" t="str">
        <f>IFERROR(__xludf.DUMMYFUNCTION("""COMPUTED_VALUE"""),"2025 Jun")</f>
        <v>2025 Jun</v>
      </c>
      <c r="P244" s="1" t="str">
        <f>IFERROR(__xludf.DUMMYFUNCTION("""COMPUTED_VALUE"""),"Core Product Support")</f>
        <v>Core Product Support</v>
      </c>
      <c r="Q244" s="1" t="str">
        <f>IFERROR(__xludf.DUMMYFUNCTION("""COMPUTED_VALUE"""),"rounette@canva.com")</f>
        <v>rounette@canva.com</v>
      </c>
      <c r="R244" s="1" t="str">
        <f>IFERROR(__xludf.DUMMYFUNCTION("""COMPUTED_VALUE"""),"Rounette Natividad")</f>
        <v>Rounette Natividad</v>
      </c>
      <c r="S244" s="1">
        <f>IFERROR(__xludf.DUMMYFUNCTION("""COMPUTED_VALUE"""),7.75)</f>
        <v>7.75</v>
      </c>
      <c r="T244" s="1">
        <f>IFERROR(__xludf.DUMMYFUNCTION("""COMPUTED_VALUE"""),2.0)</f>
        <v>2</v>
      </c>
      <c r="U244" s="2">
        <f>IFERROR(__xludf.DUMMYFUNCTION("""COMPUTED_VALUE"""),9.75)</f>
        <v>9.75</v>
      </c>
      <c r="V244" s="1" t="str">
        <f>IFERROR(__xludf.DUMMYFUNCTION("""COMPUTED_VALUE"""),"Mikhaela Decangchon")</f>
        <v>Mikhaela Decangchon</v>
      </c>
      <c r="W244" s="1" t="str">
        <f>IFERROR(__xludf.DUMMYFUNCTION("""COMPUTED_VALUE"""),"Advanced Product Support")</f>
        <v>Advanced Product Support</v>
      </c>
    </row>
    <row r="245">
      <c r="O245" s="1" t="str">
        <f>IFERROR(__xludf.DUMMYFUNCTION("""COMPUTED_VALUE"""),"2025 Jun")</f>
        <v>2025 Jun</v>
      </c>
      <c r="P245" s="1" t="str">
        <f>IFERROR(__xludf.DUMMYFUNCTION("""COMPUTED_VALUE"""),"Admin Support")</f>
        <v>Admin Support</v>
      </c>
      <c r="Q245" s="1" t="str">
        <f>IFERROR(__xludf.DUMMYFUNCTION("""COMPUTED_VALUE"""),"rovie@canva.com")</f>
        <v>rovie@canva.com</v>
      </c>
      <c r="R245" s="1" t="str">
        <f>IFERROR(__xludf.DUMMYFUNCTION("""COMPUTED_VALUE"""),"Rovie Hawang")</f>
        <v>Rovie Hawang</v>
      </c>
      <c r="S245" s="1"/>
      <c r="T245" s="1">
        <f>IFERROR(__xludf.DUMMYFUNCTION("""COMPUTED_VALUE"""),1.0)</f>
        <v>1</v>
      </c>
      <c r="U245" s="2">
        <f>IFERROR(__xludf.DUMMYFUNCTION("""COMPUTED_VALUE"""),1.0)</f>
        <v>1</v>
      </c>
      <c r="V245" s="1" t="str">
        <f>IFERROR(__xludf.DUMMYFUNCTION("""COMPUTED_VALUE"""),"Kelden Laguting")</f>
        <v>Kelden Laguting</v>
      </c>
      <c r="W245" s="1" t="str">
        <f>IFERROR(__xludf.DUMMYFUNCTION("""COMPUTED_VALUE"""),"Admin Omni Support")</f>
        <v>Admin Omni Support</v>
      </c>
    </row>
    <row r="246">
      <c r="O246" s="1" t="str">
        <f>IFERROR(__xludf.DUMMYFUNCTION("""COMPUTED_VALUE"""),"2025 Jun")</f>
        <v>2025 Jun</v>
      </c>
      <c r="P246" s="1" t="str">
        <f>IFERROR(__xludf.DUMMYFUNCTION("""COMPUTED_VALUE"""),"Admin Support")</f>
        <v>Admin Support</v>
      </c>
      <c r="Q246" s="1" t="str">
        <f>IFERROR(__xludf.DUMMYFUNCTION("""COMPUTED_VALUE"""),"roxanne@canva.com")</f>
        <v>roxanne@canva.com</v>
      </c>
      <c r="R246" s="1" t="str">
        <f>IFERROR(__xludf.DUMMYFUNCTION("""COMPUTED_VALUE"""),"Roxanne Joy Capunayan")</f>
        <v>Roxanne Joy Capunayan</v>
      </c>
      <c r="S246" s="1">
        <f>IFERROR(__xludf.DUMMYFUNCTION("""COMPUTED_VALUE"""),1.0)</f>
        <v>1</v>
      </c>
      <c r="T246" s="1">
        <f>IFERROR(__xludf.DUMMYFUNCTION("""COMPUTED_VALUE"""),1.25)</f>
        <v>1.25</v>
      </c>
      <c r="U246" s="2">
        <f>IFERROR(__xludf.DUMMYFUNCTION("""COMPUTED_VALUE"""),2.25)</f>
        <v>2.25</v>
      </c>
      <c r="V246" s="1" t="str">
        <f>IFERROR(__xludf.DUMMYFUNCTION("""COMPUTED_VALUE"""),"Ann Dumlao")</f>
        <v>Ann Dumlao</v>
      </c>
      <c r="W246" s="1" t="str">
        <f>IFERROR(__xludf.DUMMYFUNCTION("""COMPUTED_VALUE"""),"Admin Omni Support")</f>
        <v>Admin Omni Support</v>
      </c>
    </row>
    <row r="247">
      <c r="O247" s="1" t="str">
        <f>IFERROR(__xludf.DUMMYFUNCTION("""COMPUTED_VALUE"""),"2025 Jun")</f>
        <v>2025 Jun</v>
      </c>
      <c r="P247" s="1" t="str">
        <f>IFERROR(__xludf.DUMMYFUNCTION("""COMPUTED_VALUE"""),"Core Product Support")</f>
        <v>Core Product Support</v>
      </c>
      <c r="Q247" s="1" t="str">
        <f>IFERROR(__xludf.DUMMYFUNCTION("""COMPUTED_VALUE"""),"rozelp@canva.com")</f>
        <v>rozelp@canva.com</v>
      </c>
      <c r="R247" s="1" t="str">
        <f>IFERROR(__xludf.DUMMYFUNCTION("""COMPUTED_VALUE"""),"Rozel Punsalan")</f>
        <v>Rozel Punsalan</v>
      </c>
      <c r="S247" s="1"/>
      <c r="T247" s="1"/>
      <c r="U247" s="2">
        <f>IFERROR(__xludf.DUMMYFUNCTION("""COMPUTED_VALUE"""),0.0)</f>
        <v>0</v>
      </c>
      <c r="V247" s="1" t="str">
        <f>IFERROR(__xludf.DUMMYFUNCTION("""COMPUTED_VALUE"""),"Marie Mordeno")</f>
        <v>Marie Mordeno</v>
      </c>
      <c r="W247" s="1" t="str">
        <f>IFERROR(__xludf.DUMMYFUNCTION("""COMPUTED_VALUE"""),"Advanced Billing &amp; Subscriptions")</f>
        <v>Advanced Billing &amp; Subscriptions</v>
      </c>
    </row>
    <row r="248">
      <c r="O248" s="1" t="str">
        <f>IFERROR(__xludf.DUMMYFUNCTION("""COMPUTED_VALUE"""),"2025 Jun")</f>
        <v>2025 Jun</v>
      </c>
      <c r="P248" s="1" t="str">
        <f>IFERROR(__xludf.DUMMYFUNCTION("""COMPUTED_VALUE"""),"Core Product Support")</f>
        <v>Core Product Support</v>
      </c>
      <c r="Q248" s="1" t="str">
        <f>IFERROR(__xludf.DUMMYFUNCTION("""COMPUTED_VALUE"""),"rozie@canva.com")</f>
        <v>rozie@canva.com</v>
      </c>
      <c r="R248" s="1" t="str">
        <f>IFERROR(__xludf.DUMMYFUNCTION("""COMPUTED_VALUE"""),"Rozie Gumba")</f>
        <v>Rozie Gumba</v>
      </c>
      <c r="S248" s="1"/>
      <c r="T248" s="1">
        <f>IFERROR(__xludf.DUMMYFUNCTION("""COMPUTED_VALUE"""),0.77)</f>
        <v>0.77</v>
      </c>
      <c r="U248" s="2">
        <f>IFERROR(__xludf.DUMMYFUNCTION("""COMPUTED_VALUE"""),0.77)</f>
        <v>0.77</v>
      </c>
      <c r="V248" s="1" t="str">
        <f>IFERROR(__xludf.DUMMYFUNCTION("""COMPUTED_VALUE"""),"Ayza Marie Pascual")</f>
        <v>Ayza Marie Pascual</v>
      </c>
      <c r="W248" s="1" t="str">
        <f>IFERROR(__xludf.DUMMYFUNCTION("""COMPUTED_VALUE"""),"Advanced Billing &amp; Subscriptions")</f>
        <v>Advanced Billing &amp; Subscriptions</v>
      </c>
    </row>
    <row r="249">
      <c r="O249" s="1" t="str">
        <f>IFERROR(__xludf.DUMMYFUNCTION("""COMPUTED_VALUE"""),"2025 Jun")</f>
        <v>2025 Jun</v>
      </c>
      <c r="P249" s="1" t="str">
        <f>IFERROR(__xludf.DUMMYFUNCTION("""COMPUTED_VALUE"""),"Core Product Support")</f>
        <v>Core Product Support</v>
      </c>
      <c r="Q249" s="1" t="str">
        <f>IFERROR(__xludf.DUMMYFUNCTION("""COMPUTED_VALUE"""),"ruzel@canva.com")</f>
        <v>ruzel@canva.com</v>
      </c>
      <c r="R249" s="1" t="str">
        <f>IFERROR(__xludf.DUMMYFUNCTION("""COMPUTED_VALUE"""),"Ruzel Raqueno")</f>
        <v>Ruzel Raqueno</v>
      </c>
      <c r="S249" s="1">
        <f>IFERROR(__xludf.DUMMYFUNCTION("""COMPUTED_VALUE"""),4.25)</f>
        <v>4.25</v>
      </c>
      <c r="T249" s="1">
        <f>IFERROR(__xludf.DUMMYFUNCTION("""COMPUTED_VALUE"""),1.5)</f>
        <v>1.5</v>
      </c>
      <c r="U249" s="2">
        <f>IFERROR(__xludf.DUMMYFUNCTION("""COMPUTED_VALUE"""),5.75)</f>
        <v>5.75</v>
      </c>
      <c r="V249" s="1" t="str">
        <f>IFERROR(__xludf.DUMMYFUNCTION("""COMPUTED_VALUE"""),"Ellaine Estayo")</f>
        <v>Ellaine Estayo</v>
      </c>
      <c r="W249" s="1" t="str">
        <f>IFERROR(__xludf.DUMMYFUNCTION("""COMPUTED_VALUE"""),"Core Product Support Escalation Team")</f>
        <v>Core Product Support Escalation Team</v>
      </c>
    </row>
    <row r="250">
      <c r="O250" s="1" t="str">
        <f>IFERROR(__xludf.DUMMYFUNCTION("""COMPUTED_VALUE"""),"2025 Jun")</f>
        <v>2025 Jun</v>
      </c>
      <c r="P250" s="1" t="str">
        <f>IFERROR(__xludf.DUMMYFUNCTION("""COMPUTED_VALUE"""),"Print Support")</f>
        <v>Print Support</v>
      </c>
      <c r="Q250" s="1" t="str">
        <f>IFERROR(__xludf.DUMMYFUNCTION("""COMPUTED_VALUE"""),"rdominick@canva.com")</f>
        <v>rdominick@canva.com</v>
      </c>
      <c r="R250" s="1" t="str">
        <f>IFERROR(__xludf.DUMMYFUNCTION("""COMPUTED_VALUE"""),"Ryan Dominick Razon")</f>
        <v>Ryan Dominick Razon</v>
      </c>
      <c r="S250" s="1"/>
      <c r="T250" s="1">
        <f>IFERROR(__xludf.DUMMYFUNCTION("""COMPUTED_VALUE"""),1.75)</f>
        <v>1.75</v>
      </c>
      <c r="U250" s="2">
        <f>IFERROR(__xludf.DUMMYFUNCTION("""COMPUTED_VALUE"""),1.75)</f>
        <v>1.75</v>
      </c>
      <c r="V250" s="1" t="str">
        <f>IFERROR(__xludf.DUMMYFUNCTION("""COMPUTED_VALUE"""),"Jen Momo")</f>
        <v>Jen Momo</v>
      </c>
      <c r="W250" s="1" t="str">
        <f>IFERROR(__xludf.DUMMYFUNCTION("""COMPUTED_VALUE"""),"Print Support PH")</f>
        <v>Print Support PH</v>
      </c>
    </row>
    <row r="251">
      <c r="O251" s="1" t="str">
        <f>IFERROR(__xludf.DUMMYFUNCTION("""COMPUTED_VALUE"""),"2025 Jun")</f>
        <v>2025 Jun</v>
      </c>
      <c r="P251" s="1" t="str">
        <f>IFERROR(__xludf.DUMMYFUNCTION("""COMPUTED_VALUE"""),"Segment-specific Support")</f>
        <v>Segment-specific Support</v>
      </c>
      <c r="Q251" s="1" t="str">
        <f>IFERROR(__xludf.DUMMYFUNCTION("""COMPUTED_VALUE"""),"sammiee@canva.com")</f>
        <v>sammiee@canva.com</v>
      </c>
      <c r="R251" s="1" t="str">
        <f>IFERROR(__xludf.DUMMYFUNCTION("""COMPUTED_VALUE"""),"Sam Espelimbergo")</f>
        <v>Sam Espelimbergo</v>
      </c>
      <c r="S251" s="1">
        <f>IFERROR(__xludf.DUMMYFUNCTION("""COMPUTED_VALUE"""),1.5)</f>
        <v>1.5</v>
      </c>
      <c r="T251" s="1">
        <f>IFERROR(__xludf.DUMMYFUNCTION("""COMPUTED_VALUE"""),2.5)</f>
        <v>2.5</v>
      </c>
      <c r="U251" s="2">
        <f>IFERROR(__xludf.DUMMYFUNCTION("""COMPUTED_VALUE"""),4.0)</f>
        <v>4</v>
      </c>
      <c r="V251" s="1" t="str">
        <f>IFERROR(__xludf.DUMMYFUNCTION("""COMPUTED_VALUE"""),"Aileen Dayanghirang")</f>
        <v>Aileen Dayanghirang</v>
      </c>
      <c r="W251" s="1" t="str">
        <f>IFERROR(__xludf.DUMMYFUNCTION("""COMPUTED_VALUE"""),"Creators Support")</f>
        <v>Creators Support</v>
      </c>
    </row>
    <row r="252">
      <c r="O252" s="1" t="str">
        <f>IFERROR(__xludf.DUMMYFUNCTION("""COMPUTED_VALUE"""),"2025 Jun")</f>
        <v>2025 Jun</v>
      </c>
      <c r="P252" s="1" t="str">
        <f>IFERROR(__xludf.DUMMYFUNCTION("""COMPUTED_VALUE"""),"Admin Support")</f>
        <v>Admin Support</v>
      </c>
      <c r="Q252" s="1" t="str">
        <f>IFERROR(__xludf.DUMMYFUNCTION("""COMPUTED_VALUE"""),"simber@canva.com")</f>
        <v>simber@canva.com</v>
      </c>
      <c r="R252" s="1" t="str">
        <f>IFERROR(__xludf.DUMMYFUNCTION("""COMPUTED_VALUE"""),"Sean Imber")</f>
        <v>Sean Imber</v>
      </c>
      <c r="S252" s="1">
        <f>IFERROR(__xludf.DUMMYFUNCTION("""COMPUTED_VALUE"""),0.5)</f>
        <v>0.5</v>
      </c>
      <c r="T252" s="1">
        <f>IFERROR(__xludf.DUMMYFUNCTION("""COMPUTED_VALUE"""),1.0)</f>
        <v>1</v>
      </c>
      <c r="U252" s="2">
        <f>IFERROR(__xludf.DUMMYFUNCTION("""COMPUTED_VALUE"""),1.5)</f>
        <v>1.5</v>
      </c>
      <c r="V252" s="1" t="str">
        <f>IFERROR(__xludf.DUMMYFUNCTION("""COMPUTED_VALUE"""),"Elise Cesario Mendes")</f>
        <v>Elise Cesario Mendes</v>
      </c>
      <c r="W252" s="1" t="str">
        <f>IFERROR(__xludf.DUMMYFUNCTION("""COMPUTED_VALUE"""),"Admin Support APJ")</f>
        <v>Admin Support APJ</v>
      </c>
    </row>
    <row r="253">
      <c r="O253" s="1" t="str">
        <f>IFERROR(__xludf.DUMMYFUNCTION("""COMPUTED_VALUE"""),"2025 Jun")</f>
        <v>2025 Jun</v>
      </c>
      <c r="P253" s="1" t="str">
        <f>IFERROR(__xludf.DUMMYFUNCTION("""COMPUTED_VALUE"""),"#N/A")</f>
        <v>#N/A</v>
      </c>
      <c r="Q253" s="1" t="str">
        <f>IFERROR(__xludf.DUMMYFUNCTION("""COMPUTED_VALUE"""),"selle@canva.com")</f>
        <v>selle@canva.com</v>
      </c>
      <c r="R253" s="1" t="str">
        <f>IFERROR(__xludf.DUMMYFUNCTION("""COMPUTED_VALUE"""),"Selle Falculan")</f>
        <v>Selle Falculan</v>
      </c>
      <c r="S253" s="1">
        <f>IFERROR(__xludf.DUMMYFUNCTION("""COMPUTED_VALUE"""),11.75)</f>
        <v>11.75</v>
      </c>
      <c r="T253" s="1">
        <f>IFERROR(__xludf.DUMMYFUNCTION("""COMPUTED_VALUE"""),2.83)</f>
        <v>2.83</v>
      </c>
      <c r="U253" s="2">
        <f>IFERROR(__xludf.DUMMYFUNCTION("""COMPUTED_VALUE"""),14.58)</f>
        <v>14.58</v>
      </c>
      <c r="V253" s="1" t="str">
        <f>IFERROR(__xludf.DUMMYFUNCTION("""COMPUTED_VALUE"""),"#N/A")</f>
        <v>#N/A</v>
      </c>
      <c r="W253" s="1" t="str">
        <f>IFERROR(__xludf.DUMMYFUNCTION("""COMPUTED_VALUE"""),"#N/A")</f>
        <v>#N/A</v>
      </c>
    </row>
    <row r="254">
      <c r="O254" s="1" t="str">
        <f>IFERROR(__xludf.DUMMYFUNCTION("""COMPUTED_VALUE"""),"2025 Jun")</f>
        <v>2025 Jun</v>
      </c>
      <c r="P254" s="1" t="str">
        <f>IFERROR(__xludf.DUMMYFUNCTION("""COMPUTED_VALUE"""),"High Sensitivity Support")</f>
        <v>High Sensitivity Support</v>
      </c>
      <c r="Q254" s="1" t="str">
        <f>IFERROR(__xludf.DUMMYFUNCTION("""COMPUTED_VALUE"""),"sbaldonado@canva.com")</f>
        <v>sbaldonado@canva.com</v>
      </c>
      <c r="R254" s="1" t="str">
        <f>IFERROR(__xludf.DUMMYFUNCTION("""COMPUTED_VALUE"""),"Sheira Nicole Baldonado")</f>
        <v>Sheira Nicole Baldonado</v>
      </c>
      <c r="S254" s="1">
        <f>IFERROR(__xludf.DUMMYFUNCTION("""COMPUTED_VALUE"""),2.7)</f>
        <v>2.7</v>
      </c>
      <c r="T254" s="1">
        <f>IFERROR(__xludf.DUMMYFUNCTION("""COMPUTED_VALUE"""),2.5)</f>
        <v>2.5</v>
      </c>
      <c r="U254" s="2">
        <f>IFERROR(__xludf.DUMMYFUNCTION("""COMPUTED_VALUE"""),5.2)</f>
        <v>5.2</v>
      </c>
      <c r="V254" s="1" t="str">
        <f>IFERROR(__xludf.DUMMYFUNCTION("""COMPUTED_VALUE"""),"Rex Villamor")</f>
        <v>Rex Villamor</v>
      </c>
      <c r="W254" s="1" t="str">
        <f>IFERROR(__xludf.DUMMYFUNCTION("""COMPUTED_VALUE"""),"High Sensitivity Support PH")</f>
        <v>High Sensitivity Support PH</v>
      </c>
    </row>
    <row r="255">
      <c r="O255" s="1" t="str">
        <f>IFERROR(__xludf.DUMMYFUNCTION("""COMPUTED_VALUE"""),"2025 Jun")</f>
        <v>2025 Jun</v>
      </c>
      <c r="P255" s="1" t="str">
        <f>IFERROR(__xludf.DUMMYFUNCTION("""COMPUTED_VALUE"""),"Core Product Support")</f>
        <v>Core Product Support</v>
      </c>
      <c r="Q255" s="1" t="str">
        <f>IFERROR(__xludf.DUMMYFUNCTION("""COMPUTED_VALUE"""),"sophiae@canva.com")</f>
        <v>sophiae@canva.com</v>
      </c>
      <c r="R255" s="1" t="str">
        <f>IFERROR(__xludf.DUMMYFUNCTION("""COMPUTED_VALUE"""),"Sophia Ermac")</f>
        <v>Sophia Ermac</v>
      </c>
      <c r="S255" s="1"/>
      <c r="T255" s="1">
        <f>IFERROR(__xludf.DUMMYFUNCTION("""COMPUTED_VALUE"""),73.68)</f>
        <v>73.68</v>
      </c>
      <c r="U255" s="2">
        <f>IFERROR(__xludf.DUMMYFUNCTION("""COMPUTED_VALUE"""),73.68)</f>
        <v>73.68</v>
      </c>
      <c r="V255" s="1" t="str">
        <f>IFERROR(__xludf.DUMMYFUNCTION("""COMPUTED_VALUE"""),"Ana Lazaro")</f>
        <v>Ana Lazaro</v>
      </c>
      <c r="W255" s="1" t="str">
        <f>IFERROR(__xludf.DUMMYFUNCTION("""COMPUTED_VALUE"""),"Advanced Billing &amp; Subscriptions")</f>
        <v>Advanced Billing &amp; Subscriptions</v>
      </c>
    </row>
    <row r="256">
      <c r="O256" s="1" t="str">
        <f>IFERROR(__xludf.DUMMYFUNCTION("""COMPUTED_VALUE"""),"2025 Jun")</f>
        <v>2025 Jun</v>
      </c>
      <c r="P256" s="1" t="str">
        <f>IFERROR(__xludf.DUMMYFUNCTION("""COMPUTED_VALUE"""),"Admin Support")</f>
        <v>Admin Support</v>
      </c>
      <c r="Q256" s="1" t="str">
        <f>IFERROR(__xludf.DUMMYFUNCTION("""COMPUTED_VALUE"""),"stephanie.t@canva.com")</f>
        <v>stephanie.t@canva.com</v>
      </c>
      <c r="R256" s="1" t="str">
        <f>IFERROR(__xludf.DUMMYFUNCTION("""COMPUTED_VALUE"""),"Stephanie Lyn Tan")</f>
        <v>Stephanie Lyn Tan</v>
      </c>
      <c r="S256" s="1"/>
      <c r="T256" s="1">
        <f>IFERROR(__xludf.DUMMYFUNCTION("""COMPUTED_VALUE"""),3.5)</f>
        <v>3.5</v>
      </c>
      <c r="U256" s="2">
        <f>IFERROR(__xludf.DUMMYFUNCTION("""COMPUTED_VALUE"""),3.5)</f>
        <v>3.5</v>
      </c>
      <c r="V256" s="1" t="str">
        <f>IFERROR(__xludf.DUMMYFUNCTION("""COMPUTED_VALUE"""),"Pau Palmero")</f>
        <v>Pau Palmero</v>
      </c>
      <c r="W256" s="1" t="str">
        <f>IFERROR(__xludf.DUMMYFUNCTION("""COMPUTED_VALUE"""),"Admin Omni Support")</f>
        <v>Admin Omni Support</v>
      </c>
    </row>
    <row r="257">
      <c r="O257" s="1" t="str">
        <f>IFERROR(__xludf.DUMMYFUNCTION("""COMPUTED_VALUE"""),"2025 Jun")</f>
        <v>2025 Jun</v>
      </c>
      <c r="P257" s="1" t="str">
        <f>IFERROR(__xludf.DUMMYFUNCTION("""COMPUTED_VALUE"""),"Admin Support")</f>
        <v>Admin Support</v>
      </c>
      <c r="Q257" s="1" t="str">
        <f>IFERROR(__xludf.DUMMYFUNCTION("""COMPUTED_VALUE"""),"stephen.k@canva.com")</f>
        <v>stephen.k@canva.com</v>
      </c>
      <c r="R257" s="1" t="str">
        <f>IFERROR(__xludf.DUMMYFUNCTION("""COMPUTED_VALUE"""),"Stephen Kahanap")</f>
        <v>Stephen Kahanap</v>
      </c>
      <c r="S257" s="1"/>
      <c r="T257" s="1">
        <f>IFERROR(__xludf.DUMMYFUNCTION("""COMPUTED_VALUE"""),1.75)</f>
        <v>1.75</v>
      </c>
      <c r="U257" s="2">
        <f>IFERROR(__xludf.DUMMYFUNCTION("""COMPUTED_VALUE"""),1.75)</f>
        <v>1.75</v>
      </c>
      <c r="V257" s="1" t="str">
        <f>IFERROR(__xludf.DUMMYFUNCTION("""COMPUTED_VALUE"""),"Ann Dumlao")</f>
        <v>Ann Dumlao</v>
      </c>
      <c r="W257" s="1" t="str">
        <f>IFERROR(__xludf.DUMMYFUNCTION("""COMPUTED_VALUE"""),"Admin Omni Support")</f>
        <v>Admin Omni Support</v>
      </c>
    </row>
    <row r="258">
      <c r="O258" s="1" t="str">
        <f>IFERROR(__xludf.DUMMYFUNCTION("""COMPUTED_VALUE"""),"2025 Jun")</f>
        <v>2025 Jun</v>
      </c>
      <c r="P258" s="1" t="str">
        <f>IFERROR(__xludf.DUMMYFUNCTION("""COMPUTED_VALUE"""),"Segment-specific Support")</f>
        <v>Segment-specific Support</v>
      </c>
      <c r="Q258" s="1" t="str">
        <f>IFERROR(__xludf.DUMMYFUNCTION("""COMPUTED_VALUE"""),"sremo@canva.com")</f>
        <v>sremo@canva.com</v>
      </c>
      <c r="R258" s="1" t="str">
        <f>IFERROR(__xludf.DUMMYFUNCTION("""COMPUTED_VALUE"""),"Sunshine Remo")</f>
        <v>Sunshine Remo</v>
      </c>
      <c r="S258" s="1">
        <f>IFERROR(__xludf.DUMMYFUNCTION("""COMPUTED_VALUE"""),7.25)</f>
        <v>7.25</v>
      </c>
      <c r="T258" s="1">
        <f>IFERROR(__xludf.DUMMYFUNCTION("""COMPUTED_VALUE"""),2.0)</f>
        <v>2</v>
      </c>
      <c r="U258" s="2">
        <f>IFERROR(__xludf.DUMMYFUNCTION("""COMPUTED_VALUE"""),9.25)</f>
        <v>9.25</v>
      </c>
      <c r="V258" s="1" t="str">
        <f>IFERROR(__xludf.DUMMYFUNCTION("""COMPUTED_VALUE"""),"Rose Gabilan")</f>
        <v>Rose Gabilan</v>
      </c>
      <c r="W258" s="1" t="str">
        <f>IFERROR(__xludf.DUMMYFUNCTION("""COMPUTED_VALUE"""),"Affinity Support")</f>
        <v>Affinity Support</v>
      </c>
    </row>
    <row r="259">
      <c r="O259" s="1" t="str">
        <f>IFERROR(__xludf.DUMMYFUNCTION("""COMPUTED_VALUE"""),"2025 Jun")</f>
        <v>2025 Jun</v>
      </c>
      <c r="P259" s="1" t="str">
        <f>IFERROR(__xludf.DUMMYFUNCTION("""COMPUTED_VALUE"""),"Admin Support")</f>
        <v>Admin Support</v>
      </c>
      <c r="Q259" s="1" t="str">
        <f>IFERROR(__xludf.DUMMYFUNCTION("""COMPUTED_VALUE"""),"susann@canva.com")</f>
        <v>susann@canva.com</v>
      </c>
      <c r="R259" s="1" t="str">
        <f>IFERROR(__xludf.DUMMYFUNCTION("""COMPUTED_VALUE"""),"Susann Dierich")</f>
        <v>Susann Dierich</v>
      </c>
      <c r="S259" s="1">
        <f>IFERROR(__xludf.DUMMYFUNCTION("""COMPUTED_VALUE"""),1.0)</f>
        <v>1</v>
      </c>
      <c r="T259" s="1">
        <f>IFERROR(__xludf.DUMMYFUNCTION("""COMPUTED_VALUE"""),1.0)</f>
        <v>1</v>
      </c>
      <c r="U259" s="2">
        <f>IFERROR(__xludf.DUMMYFUNCTION("""COMPUTED_VALUE"""),2.0)</f>
        <v>2</v>
      </c>
      <c r="V259" s="1" t="str">
        <f>IFERROR(__xludf.DUMMYFUNCTION("""COMPUTED_VALUE"""),"Tash Kelly")</f>
        <v>Tash Kelly</v>
      </c>
      <c r="W259" s="1" t="str">
        <f>IFERROR(__xludf.DUMMYFUNCTION("""COMPUTED_VALUE"""),"Admin Support EMEA")</f>
        <v>Admin Support EMEA</v>
      </c>
    </row>
    <row r="260">
      <c r="O260" s="1" t="str">
        <f>IFERROR(__xludf.DUMMYFUNCTION("""COMPUTED_VALUE"""),"2025 Jun")</f>
        <v>2025 Jun</v>
      </c>
      <c r="P260" s="1" t="str">
        <f>IFERROR(__xludf.DUMMYFUNCTION("""COMPUTED_VALUE"""),"Admin Support")</f>
        <v>Admin Support</v>
      </c>
      <c r="Q260" s="1" t="str">
        <f>IFERROR(__xludf.DUMMYFUNCTION("""COMPUTED_VALUE"""),"skyles@canva.com")</f>
        <v>skyles@canva.com</v>
      </c>
      <c r="R260" s="1" t="str">
        <f>IFERROR(__xludf.DUMMYFUNCTION("""COMPUTED_VALUE"""),"Sylvia Kyles")</f>
        <v>Sylvia Kyles</v>
      </c>
      <c r="S260" s="1">
        <f>IFERROR(__xludf.DUMMYFUNCTION("""COMPUTED_VALUE"""),1.0)</f>
        <v>1</v>
      </c>
      <c r="T260" s="1">
        <f>IFERROR(__xludf.DUMMYFUNCTION("""COMPUTED_VALUE"""),1.0)</f>
        <v>1</v>
      </c>
      <c r="U260" s="2">
        <f>IFERROR(__xludf.DUMMYFUNCTION("""COMPUTED_VALUE"""),2.0)</f>
        <v>2</v>
      </c>
      <c r="V260" s="1" t="str">
        <f>IFERROR(__xludf.DUMMYFUNCTION("""COMPUTED_VALUE"""),"Nate Vela")</f>
        <v>Nate Vela</v>
      </c>
      <c r="W260" s="1" t="str">
        <f>IFERROR(__xludf.DUMMYFUNCTION("""COMPUTED_VALUE"""),"Admin Support NA")</f>
        <v>Admin Support NA</v>
      </c>
    </row>
    <row r="261">
      <c r="O261" s="1" t="str">
        <f>IFERROR(__xludf.DUMMYFUNCTION("""COMPUTED_VALUE"""),"2025 Jun")</f>
        <v>2025 Jun</v>
      </c>
      <c r="P261" s="1" t="str">
        <f>IFERROR(__xludf.DUMMYFUNCTION("""COMPUTED_VALUE"""),"#N/A")</f>
        <v>#N/A</v>
      </c>
      <c r="Q261" s="1" t="str">
        <f>IFERROR(__xludf.DUMMYFUNCTION("""COMPUTED_VALUE"""),"tammy@canva.com")</f>
        <v>tammy@canva.com</v>
      </c>
      <c r="R261" s="1" t="str">
        <f>IFERROR(__xludf.DUMMYFUNCTION("""COMPUTED_VALUE"""),"Tammy Lustre")</f>
        <v>Tammy Lustre</v>
      </c>
      <c r="S261" s="1">
        <f>IFERROR(__xludf.DUMMYFUNCTION("""COMPUTED_VALUE"""),7.0)</f>
        <v>7</v>
      </c>
      <c r="T261" s="1"/>
      <c r="U261" s="2">
        <f>IFERROR(__xludf.DUMMYFUNCTION("""COMPUTED_VALUE"""),7.0)</f>
        <v>7</v>
      </c>
      <c r="V261" s="1" t="str">
        <f>IFERROR(__xludf.DUMMYFUNCTION("""COMPUTED_VALUE"""),"#N/A")</f>
        <v>#N/A</v>
      </c>
      <c r="W261" s="1" t="str">
        <f>IFERROR(__xludf.DUMMYFUNCTION("""COMPUTED_VALUE"""),"PHL, Multilingual Support")</f>
        <v>PHL, Multilingual Support</v>
      </c>
    </row>
    <row r="262">
      <c r="O262" s="1" t="str">
        <f>IFERROR(__xludf.DUMMYFUNCTION("""COMPUTED_VALUE"""),"2025 Jun")</f>
        <v>2025 Jun</v>
      </c>
      <c r="P262" s="1" t="str">
        <f>IFERROR(__xludf.DUMMYFUNCTION("""COMPUTED_VALUE"""),"#N/A")</f>
        <v>#N/A</v>
      </c>
      <c r="Q262" s="1" t="str">
        <f>IFERROR(__xludf.DUMMYFUNCTION("""COMPUTED_VALUE"""),"assembled-time-off-re-aaaam3hubupgpmtmxaetpextji@canva.org.slack.com")</f>
        <v>assembled-time-off-re-aaaam3hubupgpmtmxaetpextji@canva.org.slack.com</v>
      </c>
      <c r="R262" s="1" t="str">
        <f>IFERROR(__xludf.DUMMYFUNCTION("""COMPUTED_VALUE"""),"Testing Bot")</f>
        <v>Testing Bot</v>
      </c>
      <c r="S262" s="1"/>
      <c r="T262" s="1"/>
      <c r="U262" s="2">
        <f>IFERROR(__xludf.DUMMYFUNCTION("""COMPUTED_VALUE"""),0.0)</f>
        <v>0</v>
      </c>
      <c r="V262" s="1" t="str">
        <f>IFERROR(__xludf.DUMMYFUNCTION("""COMPUTED_VALUE"""),"#N/A")</f>
        <v>#N/A</v>
      </c>
      <c r="W262" s="1" t="str">
        <f>IFERROR(__xludf.DUMMYFUNCTION("""COMPUTED_VALUE"""),"#N/A")</f>
        <v>#N/A</v>
      </c>
    </row>
    <row r="263">
      <c r="O263" s="1" t="str">
        <f>IFERROR(__xludf.DUMMYFUNCTION("""COMPUTED_VALUE"""),"2025 Jun")</f>
        <v>2025 Jun</v>
      </c>
      <c r="P263" s="1" t="str">
        <f>IFERROR(__xludf.DUMMYFUNCTION("""COMPUTED_VALUE"""),"Print Support")</f>
        <v>Print Support</v>
      </c>
      <c r="Q263" s="1" t="str">
        <f>IFERROR(__xludf.DUMMYFUNCTION("""COMPUTED_VALUE"""),"theag@canva.com")</f>
        <v>theag@canva.com</v>
      </c>
      <c r="R263" s="1" t="str">
        <f>IFERROR(__xludf.DUMMYFUNCTION("""COMPUTED_VALUE"""),"Thea Gelua")</f>
        <v>Thea Gelua</v>
      </c>
      <c r="S263" s="1">
        <f>IFERROR(__xludf.DUMMYFUNCTION("""COMPUTED_VALUE"""),1.0)</f>
        <v>1</v>
      </c>
      <c r="T263" s="1">
        <f>IFERROR(__xludf.DUMMYFUNCTION("""COMPUTED_VALUE"""),4.25)</f>
        <v>4.25</v>
      </c>
      <c r="U263" s="2">
        <f>IFERROR(__xludf.DUMMYFUNCTION("""COMPUTED_VALUE"""),5.25)</f>
        <v>5.25</v>
      </c>
      <c r="V263" s="1" t="str">
        <f>IFERROR(__xludf.DUMMYFUNCTION("""COMPUTED_VALUE"""),"Jen Momo")</f>
        <v>Jen Momo</v>
      </c>
      <c r="W263" s="1" t="str">
        <f>IFERROR(__xludf.DUMMYFUNCTION("""COMPUTED_VALUE"""),"Print Support PH")</f>
        <v>Print Support PH</v>
      </c>
    </row>
    <row r="264">
      <c r="O264" s="1" t="str">
        <f>IFERROR(__xludf.DUMMYFUNCTION("""COMPUTED_VALUE"""),"2025 Jun")</f>
        <v>2025 Jun</v>
      </c>
      <c r="P264" s="1" t="str">
        <f>IFERROR(__xludf.DUMMYFUNCTION("""COMPUTED_VALUE"""),"Print Support")</f>
        <v>Print Support</v>
      </c>
      <c r="Q264" s="1" t="str">
        <f>IFERROR(__xludf.DUMMYFUNCTION("""COMPUTED_VALUE"""),"tia@canva.com")</f>
        <v>tia@canva.com</v>
      </c>
      <c r="R264" s="1" t="str">
        <f>IFERROR(__xludf.DUMMYFUNCTION("""COMPUTED_VALUE"""),"Tia Tilanduca")</f>
        <v>Tia Tilanduca</v>
      </c>
      <c r="S264" s="1">
        <f>IFERROR(__xludf.DUMMYFUNCTION("""COMPUTED_VALUE"""),1.5)</f>
        <v>1.5</v>
      </c>
      <c r="T264" s="1">
        <f>IFERROR(__xludf.DUMMYFUNCTION("""COMPUTED_VALUE"""),1.75)</f>
        <v>1.75</v>
      </c>
      <c r="U264" s="2">
        <f>IFERROR(__xludf.DUMMYFUNCTION("""COMPUTED_VALUE"""),3.25)</f>
        <v>3.25</v>
      </c>
      <c r="V264" s="1" t="str">
        <f>IFERROR(__xludf.DUMMYFUNCTION("""COMPUTED_VALUE"""),"Louise Dianne Estrella")</f>
        <v>Louise Dianne Estrella</v>
      </c>
      <c r="W264" s="1" t="str">
        <f>IFERROR(__xludf.DUMMYFUNCTION("""COMPUTED_VALUE"""),"Print Support PH")</f>
        <v>Print Support PH</v>
      </c>
    </row>
    <row r="265">
      <c r="O265" s="1" t="str">
        <f>IFERROR(__xludf.DUMMYFUNCTION("""COMPUTED_VALUE"""),"2025 Jun")</f>
        <v>2025 Jun</v>
      </c>
      <c r="P265" s="1" t="str">
        <f>IFERROR(__xludf.DUMMYFUNCTION("""COMPUTED_VALUE"""),"Admin Support")</f>
        <v>Admin Support</v>
      </c>
      <c r="Q265" s="1" t="str">
        <f>IFERROR(__xludf.DUMMYFUNCTION("""COMPUTED_VALUE"""),"tiara@canva.com")</f>
        <v>tiara@canva.com</v>
      </c>
      <c r="R265" s="1" t="str">
        <f>IFERROR(__xludf.DUMMYFUNCTION("""COMPUTED_VALUE"""),"Tiara Samonte")</f>
        <v>Tiara Samonte</v>
      </c>
      <c r="S265" s="1"/>
      <c r="T265" s="1">
        <f>IFERROR(__xludf.DUMMYFUNCTION("""COMPUTED_VALUE"""),1.5)</f>
        <v>1.5</v>
      </c>
      <c r="U265" s="2">
        <f>IFERROR(__xludf.DUMMYFUNCTION("""COMPUTED_VALUE"""),1.5)</f>
        <v>1.5</v>
      </c>
      <c r="V265" s="1" t="str">
        <f>IFERROR(__xludf.DUMMYFUNCTION("""COMPUTED_VALUE"""),"AL Suarez")</f>
        <v>AL Suarez</v>
      </c>
      <c r="W265" s="1" t="str">
        <f>IFERROR(__xludf.DUMMYFUNCTION("""COMPUTED_VALUE"""),"Advanced Billing &amp; Subscriptions")</f>
        <v>Advanced Billing &amp; Subscriptions</v>
      </c>
    </row>
    <row r="266">
      <c r="O266" s="1" t="str">
        <f>IFERROR(__xludf.DUMMYFUNCTION("""COMPUTED_VALUE"""),"2025 Jun")</f>
        <v>2025 Jun</v>
      </c>
      <c r="P266" s="1" t="str">
        <f>IFERROR(__xludf.DUMMYFUNCTION("""COMPUTED_VALUE"""),"Segment-specific Support")</f>
        <v>Segment-specific Support</v>
      </c>
      <c r="Q266" s="1" t="str">
        <f>IFERROR(__xludf.DUMMYFUNCTION("""COMPUTED_VALUE"""),"timdl@canva.com")</f>
        <v>timdl@canva.com</v>
      </c>
      <c r="R266" s="1" t="str">
        <f>IFERROR(__xludf.DUMMYFUNCTION("""COMPUTED_VALUE"""),"Tim De Leon")</f>
        <v>Tim De Leon</v>
      </c>
      <c r="S266" s="1">
        <f>IFERROR(__xludf.DUMMYFUNCTION("""COMPUTED_VALUE"""),1.5)</f>
        <v>1.5</v>
      </c>
      <c r="T266" s="1">
        <f>IFERROR(__xludf.DUMMYFUNCTION("""COMPUTED_VALUE"""),1.0)</f>
        <v>1</v>
      </c>
      <c r="U266" s="2">
        <f>IFERROR(__xludf.DUMMYFUNCTION("""COMPUTED_VALUE"""),2.5)</f>
        <v>2.5</v>
      </c>
      <c r="V266" s="1" t="str">
        <f>IFERROR(__xludf.DUMMYFUNCTION("""COMPUTED_VALUE"""),"Aileen Dayanghirang")</f>
        <v>Aileen Dayanghirang</v>
      </c>
      <c r="W266" s="1" t="str">
        <f>IFERROR(__xludf.DUMMYFUNCTION("""COMPUTED_VALUE"""),"Creators Support")</f>
        <v>Creators Support</v>
      </c>
    </row>
    <row r="267">
      <c r="O267" s="1" t="str">
        <f>IFERROR(__xludf.DUMMYFUNCTION("""COMPUTED_VALUE"""),"2025 Jun")</f>
        <v>2025 Jun</v>
      </c>
      <c r="P267" s="1" t="str">
        <f>IFERROR(__xludf.DUMMYFUNCTION("""COMPUTED_VALUE"""),"Admin Support")</f>
        <v>Admin Support</v>
      </c>
      <c r="Q267" s="1" t="str">
        <f>IFERROR(__xludf.DUMMYFUNCTION("""COMPUTED_VALUE"""),"cnuyda@canva.com")</f>
        <v>cnuyda@canva.com</v>
      </c>
      <c r="R267" s="1" t="str">
        <f>IFERROR(__xludf.DUMMYFUNCTION("""COMPUTED_VALUE"""),"Toff Nuyda")</f>
        <v>Toff Nuyda</v>
      </c>
      <c r="S267" s="1"/>
      <c r="T267" s="1">
        <f>IFERROR(__xludf.DUMMYFUNCTION("""COMPUTED_VALUE"""),1.5)</f>
        <v>1.5</v>
      </c>
      <c r="U267" s="2">
        <f>IFERROR(__xludf.DUMMYFUNCTION("""COMPUTED_VALUE"""),1.5)</f>
        <v>1.5</v>
      </c>
      <c r="V267" s="1" t="str">
        <f>IFERROR(__xludf.DUMMYFUNCTION("""COMPUTED_VALUE"""),"Karla Mananghaya")</f>
        <v>Karla Mananghaya</v>
      </c>
      <c r="W267" s="1" t="str">
        <f>IFERROR(__xludf.DUMMYFUNCTION("""COMPUTED_VALUE"""),"Admin Support Service Escalation Team")</f>
        <v>Admin Support Service Escalation Team</v>
      </c>
    </row>
    <row r="268">
      <c r="O268" s="1" t="str">
        <f>IFERROR(__xludf.DUMMYFUNCTION("""COMPUTED_VALUE"""),"2025 Jun")</f>
        <v>2025 Jun</v>
      </c>
      <c r="P268" s="1" t="str">
        <f>IFERROR(__xludf.DUMMYFUNCTION("""COMPUTED_VALUE"""),"#N/A")</f>
        <v>#N/A</v>
      </c>
      <c r="Q268" s="1" t="str">
        <f>IFERROR(__xludf.DUMMYFUNCTION("""COMPUTED_VALUE"""),"tofulajo@canva.com")</f>
        <v>tofulajo@canva.com</v>
      </c>
      <c r="R268" s="1" t="str">
        <f>IFERROR(__xludf.DUMMYFUNCTION("""COMPUTED_VALUE"""),"Tofu Lajo")</f>
        <v>Tofu Lajo</v>
      </c>
      <c r="S268" s="1">
        <f>IFERROR(__xludf.DUMMYFUNCTION("""COMPUTED_VALUE"""),6.98)</f>
        <v>6.98</v>
      </c>
      <c r="T268" s="1">
        <f>IFERROR(__xludf.DUMMYFUNCTION("""COMPUTED_VALUE"""),5.17)</f>
        <v>5.17</v>
      </c>
      <c r="U268" s="2">
        <f>IFERROR(__xludf.DUMMYFUNCTION("""COMPUTED_VALUE"""),12.15)</f>
        <v>12.15</v>
      </c>
      <c r="V268" s="1" t="str">
        <f>IFERROR(__xludf.DUMMYFUNCTION("""COMPUTED_VALUE"""),"#N/A")</f>
        <v>#N/A</v>
      </c>
      <c r="W268" s="1" t="str">
        <f>IFERROR(__xludf.DUMMYFUNCTION("""COMPUTED_VALUE"""),"High Sensitivity Support PH")</f>
        <v>High Sensitivity Support PH</v>
      </c>
    </row>
    <row r="269">
      <c r="O269" s="1" t="str">
        <f>IFERROR(__xludf.DUMMYFUNCTION("""COMPUTED_VALUE"""),"2025 Jun")</f>
        <v>2025 Jun</v>
      </c>
      <c r="P269" s="1" t="str">
        <f>IFERROR(__xludf.DUMMYFUNCTION("""COMPUTED_VALUE"""),"Multilingual Support")</f>
        <v>Multilingual Support</v>
      </c>
      <c r="Q269" s="1" t="str">
        <f>IFERROR(__xludf.DUMMYFUNCTION("""COMPUTED_VALUE"""),"tricia.p@canva.com")</f>
        <v>tricia.p@canva.com</v>
      </c>
      <c r="R269" s="1" t="str">
        <f>IFERROR(__xludf.DUMMYFUNCTION("""COMPUTED_VALUE"""),"Tricia Pasagui")</f>
        <v>Tricia Pasagui</v>
      </c>
      <c r="S269" s="1">
        <f>IFERROR(__xludf.DUMMYFUNCTION("""COMPUTED_VALUE"""),2.0)</f>
        <v>2</v>
      </c>
      <c r="T269" s="1"/>
      <c r="U269" s="2">
        <f>IFERROR(__xludf.DUMMYFUNCTION("""COMPUTED_VALUE"""),2.0)</f>
        <v>2</v>
      </c>
      <c r="V269" s="1" t="str">
        <f>IFERROR(__xludf.DUMMYFUNCTION("""COMPUTED_VALUE"""),"Arlene Maurillo")</f>
        <v>Arlene Maurillo</v>
      </c>
      <c r="W269" s="1" t="str">
        <f>IFERROR(__xludf.DUMMYFUNCTION("""COMPUTED_VALUE"""),"PHL, Multilingual Support")</f>
        <v>PHL, Multilingual Support</v>
      </c>
    </row>
    <row r="270">
      <c r="O270" s="1" t="str">
        <f>IFERROR(__xludf.DUMMYFUNCTION("""COMPUTED_VALUE"""),"2025 Jun")</f>
        <v>2025 Jun</v>
      </c>
      <c r="P270" s="1" t="str">
        <f>IFERROR(__xludf.DUMMYFUNCTION("""COMPUTED_VALUE"""),"High Sensitivity Support")</f>
        <v>High Sensitivity Support</v>
      </c>
      <c r="Q270" s="1" t="str">
        <f>IFERROR(__xludf.DUMMYFUNCTION("""COMPUTED_VALUE"""),"trina@canva.com")</f>
        <v>trina@canva.com</v>
      </c>
      <c r="R270" s="1" t="str">
        <f>IFERROR(__xludf.DUMMYFUNCTION("""COMPUTED_VALUE"""),"Trina Salcedo")</f>
        <v>Trina Salcedo</v>
      </c>
      <c r="S270" s="1">
        <f>IFERROR(__xludf.DUMMYFUNCTION("""COMPUTED_VALUE"""),9.25)</f>
        <v>9.25</v>
      </c>
      <c r="T270" s="1">
        <f>IFERROR(__xludf.DUMMYFUNCTION("""COMPUTED_VALUE"""),3.75)</f>
        <v>3.75</v>
      </c>
      <c r="U270" s="2">
        <f>IFERROR(__xludf.DUMMYFUNCTION("""COMPUTED_VALUE"""),13.0)</f>
        <v>13</v>
      </c>
      <c r="V270" s="1" t="str">
        <f>IFERROR(__xludf.DUMMYFUNCTION("""COMPUTED_VALUE"""),"Xandy Azarcon")</f>
        <v>Xandy Azarcon</v>
      </c>
      <c r="W270" s="1" t="str">
        <f>IFERROR(__xludf.DUMMYFUNCTION("""COMPUTED_VALUE"""),"High Sensitivity Support PH")</f>
        <v>High Sensitivity Support PH</v>
      </c>
    </row>
    <row r="271">
      <c r="O271" s="1" t="str">
        <f>IFERROR(__xludf.DUMMYFUNCTION("""COMPUTED_VALUE"""),"2025 Jun")</f>
        <v>2025 Jun</v>
      </c>
      <c r="P271" s="1" t="str">
        <f>IFERROR(__xludf.DUMMYFUNCTION("""COMPUTED_VALUE"""),"Print Support")</f>
        <v>Print Support</v>
      </c>
      <c r="Q271" s="1" t="str">
        <f>IFERROR(__xludf.DUMMYFUNCTION("""COMPUTED_VALUE"""),"trissamiguel@canva.com")</f>
        <v>trissamiguel@canva.com</v>
      </c>
      <c r="R271" s="1" t="str">
        <f>IFERROR(__xludf.DUMMYFUNCTION("""COMPUTED_VALUE"""),"Trissa Miguel")</f>
        <v>Trissa Miguel</v>
      </c>
      <c r="S271" s="1">
        <f>IFERROR(__xludf.DUMMYFUNCTION("""COMPUTED_VALUE"""),2.67)</f>
        <v>2.67</v>
      </c>
      <c r="T271" s="1">
        <f>IFERROR(__xludf.DUMMYFUNCTION("""COMPUTED_VALUE"""),2.0)</f>
        <v>2</v>
      </c>
      <c r="U271" s="2">
        <f>IFERROR(__xludf.DUMMYFUNCTION("""COMPUTED_VALUE"""),4.67)</f>
        <v>4.67</v>
      </c>
      <c r="V271" s="1" t="str">
        <f>IFERROR(__xludf.DUMMYFUNCTION("""COMPUTED_VALUE"""),"G-Anne Murillo")</f>
        <v>G-Anne Murillo</v>
      </c>
      <c r="W271" s="1" t="str">
        <f>IFERROR(__xludf.DUMMYFUNCTION("""COMPUTED_VALUE"""),"Print Design Support")</f>
        <v>Print Design Support</v>
      </c>
    </row>
    <row r="272">
      <c r="O272" s="1" t="str">
        <f>IFERROR(__xludf.DUMMYFUNCTION("""COMPUTED_VALUE"""),"2025 Jun")</f>
        <v>2025 Jun</v>
      </c>
      <c r="P272" s="1" t="str">
        <f>IFERROR(__xludf.DUMMYFUNCTION("""COMPUTED_VALUE"""),"Print Support")</f>
        <v>Print Support</v>
      </c>
      <c r="Q272" s="1" t="str">
        <f>IFERROR(__xludf.DUMMYFUNCTION("""COMPUTED_VALUE"""),"vlad.b@canva.com")</f>
        <v>vlad.b@canva.com</v>
      </c>
      <c r="R272" s="1" t="str">
        <f>IFERROR(__xludf.DUMMYFUNCTION("""COMPUTED_VALUE"""),"Vladimir Besana")</f>
        <v>Vladimir Besana</v>
      </c>
      <c r="S272" s="1">
        <f>IFERROR(__xludf.DUMMYFUNCTION("""COMPUTED_VALUE"""),4.67)</f>
        <v>4.67</v>
      </c>
      <c r="T272" s="1">
        <f>IFERROR(__xludf.DUMMYFUNCTION("""COMPUTED_VALUE"""),1.0)</f>
        <v>1</v>
      </c>
      <c r="U272" s="2">
        <f>IFERROR(__xludf.DUMMYFUNCTION("""COMPUTED_VALUE"""),5.67)</f>
        <v>5.67</v>
      </c>
      <c r="V272" s="1" t="str">
        <f>IFERROR(__xludf.DUMMYFUNCTION("""COMPUTED_VALUE"""),"Jan Domingo")</f>
        <v>Jan Domingo</v>
      </c>
      <c r="W272" s="1" t="str">
        <f>IFERROR(__xludf.DUMMYFUNCTION("""COMPUTED_VALUE"""),"Print Design Support")</f>
        <v>Print Design Support</v>
      </c>
    </row>
    <row r="273">
      <c r="O273" s="1" t="str">
        <f>IFERROR(__xludf.DUMMYFUNCTION("""COMPUTED_VALUE"""),"2025 Jun")</f>
        <v>2025 Jun</v>
      </c>
      <c r="P273" s="1" t="str">
        <f>IFERROR(__xludf.DUMMYFUNCTION("""COMPUTED_VALUE"""),"Print Support")</f>
        <v>Print Support</v>
      </c>
      <c r="Q273" s="1" t="str">
        <f>IFERROR(__xludf.DUMMYFUNCTION("""COMPUTED_VALUE"""),"wesleyp@canva.com")</f>
        <v>wesleyp@canva.com</v>
      </c>
      <c r="R273" s="1" t="str">
        <f>IFERROR(__xludf.DUMMYFUNCTION("""COMPUTED_VALUE"""),"Wes Paira")</f>
        <v>Wes Paira</v>
      </c>
      <c r="S273" s="1">
        <f>IFERROR(__xludf.DUMMYFUNCTION("""COMPUTED_VALUE"""),1.5)</f>
        <v>1.5</v>
      </c>
      <c r="T273" s="1">
        <f>IFERROR(__xludf.DUMMYFUNCTION("""COMPUTED_VALUE"""),0.75)</f>
        <v>0.75</v>
      </c>
      <c r="U273" s="2">
        <f>IFERROR(__xludf.DUMMYFUNCTION("""COMPUTED_VALUE"""),2.25)</f>
        <v>2.25</v>
      </c>
      <c r="V273" s="1" t="str">
        <f>IFERROR(__xludf.DUMMYFUNCTION("""COMPUTED_VALUE"""),"Memae Faustino")</f>
        <v>Memae Faustino</v>
      </c>
      <c r="W273" s="1" t="str">
        <f>IFERROR(__xludf.DUMMYFUNCTION("""COMPUTED_VALUE"""),"Print Support PH")</f>
        <v>Print Support PH</v>
      </c>
    </row>
    <row r="274">
      <c r="O274" s="1" t="str">
        <f>IFERROR(__xludf.DUMMYFUNCTION("""COMPUTED_VALUE"""),"2025 Jun")</f>
        <v>2025 Jun</v>
      </c>
      <c r="P274" s="1" t="str">
        <f>IFERROR(__xludf.DUMMYFUNCTION("""COMPUTED_VALUE"""),"Core Product Support")</f>
        <v>Core Product Support</v>
      </c>
      <c r="Q274" s="1" t="str">
        <f>IFERROR(__xludf.DUMMYFUNCTION("""COMPUTED_VALUE"""),"xy@canva.com")</f>
        <v>xy@canva.com</v>
      </c>
      <c r="R274" s="1" t="str">
        <f>IFERROR(__xludf.DUMMYFUNCTION("""COMPUTED_VALUE"""),"Xyren Bulan")</f>
        <v>Xyren Bulan</v>
      </c>
      <c r="S274" s="1">
        <f>IFERROR(__xludf.DUMMYFUNCTION("""COMPUTED_VALUE"""),11.13)</f>
        <v>11.13</v>
      </c>
      <c r="T274" s="1">
        <f>IFERROR(__xludf.DUMMYFUNCTION("""COMPUTED_VALUE"""),3.5)</f>
        <v>3.5</v>
      </c>
      <c r="U274" s="2">
        <f>IFERROR(__xludf.DUMMYFUNCTION("""COMPUTED_VALUE"""),14.63)</f>
        <v>14.63</v>
      </c>
      <c r="V274" s="1" t="str">
        <f>IFERROR(__xludf.DUMMYFUNCTION("""COMPUTED_VALUE"""),"Vinz Lazaro")</f>
        <v>Vinz Lazaro</v>
      </c>
      <c r="W274" s="1" t="str">
        <f>IFERROR(__xludf.DUMMYFUNCTION("""COMPUTED_VALUE"""),"Advanced Product Support")</f>
        <v>Advanced Product Support</v>
      </c>
    </row>
    <row r="275">
      <c r="O275" s="1" t="str">
        <f>IFERROR(__xludf.DUMMYFUNCTION("""COMPUTED_VALUE"""),"2025 Jun")</f>
        <v>2025 Jun</v>
      </c>
      <c r="P275" s="1" t="str">
        <f>IFERROR(__xludf.DUMMYFUNCTION("""COMPUTED_VALUE"""),"Core Product Support")</f>
        <v>Core Product Support</v>
      </c>
      <c r="Q275" s="1" t="str">
        <f>IFERROR(__xludf.DUMMYFUNCTION("""COMPUTED_VALUE"""),"yanarel@canva.com")</f>
        <v>yanarel@canva.com</v>
      </c>
      <c r="R275" s="1" t="str">
        <f>IFERROR(__xludf.DUMMYFUNCTION("""COMPUTED_VALUE"""),"Yana Religioso")</f>
        <v>Yana Religioso</v>
      </c>
      <c r="S275" s="1">
        <f>IFERROR(__xludf.DUMMYFUNCTION("""COMPUTED_VALUE"""),4.5)</f>
        <v>4.5</v>
      </c>
      <c r="T275" s="1">
        <f>IFERROR(__xludf.DUMMYFUNCTION("""COMPUTED_VALUE"""),3.0)</f>
        <v>3</v>
      </c>
      <c r="U275" s="2">
        <f>IFERROR(__xludf.DUMMYFUNCTION("""COMPUTED_VALUE"""),7.5)</f>
        <v>7.5</v>
      </c>
      <c r="V275" s="1" t="str">
        <f>IFERROR(__xludf.DUMMYFUNCTION("""COMPUTED_VALUE"""),"Bem Launte")</f>
        <v>Bem Launte</v>
      </c>
      <c r="W275" s="1" t="str">
        <f>IFERROR(__xludf.DUMMYFUNCTION("""COMPUTED_VALUE"""),"Core Product Support Escalation Team")</f>
        <v>Core Product Support Escalation Team</v>
      </c>
    </row>
    <row r="276">
      <c r="O276" s="1" t="str">
        <f>IFERROR(__xludf.DUMMYFUNCTION("""COMPUTED_VALUE"""),"2025 Jun")</f>
        <v>2025 Jun</v>
      </c>
      <c r="P276" s="1" t="str">
        <f>IFERROR(__xludf.DUMMYFUNCTION("""COMPUTED_VALUE"""),"#N/A")</f>
        <v>#N/A</v>
      </c>
      <c r="Q276" s="1" t="str">
        <f>IFERROR(__xludf.DUMMYFUNCTION("""COMPUTED_VALUE"""),"karren@canva.com")</f>
        <v>karren@canva.com</v>
      </c>
      <c r="R276" s="1" t="str">
        <f>IFERROR(__xludf.DUMMYFUNCTION("""COMPUTED_VALUE"""),"Yen Luna")</f>
        <v>Yen Luna</v>
      </c>
      <c r="S276" s="1"/>
      <c r="T276" s="1">
        <f>IFERROR(__xludf.DUMMYFUNCTION("""COMPUTED_VALUE"""),2.5)</f>
        <v>2.5</v>
      </c>
      <c r="U276" s="2">
        <f>IFERROR(__xludf.DUMMYFUNCTION("""COMPUTED_VALUE"""),2.5)</f>
        <v>2.5</v>
      </c>
      <c r="V276" s="1" t="str">
        <f>IFERROR(__xludf.DUMMYFUNCTION("""COMPUTED_VALUE"""),"#N/A")</f>
        <v>#N/A</v>
      </c>
      <c r="W276" s="1" t="str">
        <f>IFERROR(__xludf.DUMMYFUNCTION("""COMPUTED_VALUE"""),"#N/A")</f>
        <v>#N/A</v>
      </c>
    </row>
    <row r="277">
      <c r="O277" s="1" t="str">
        <f>IFERROR(__xludf.DUMMYFUNCTION("""COMPUTED_VALUE"""),"2025 Jun")</f>
        <v>2025 Jun</v>
      </c>
      <c r="P277" s="1" t="str">
        <f>IFERROR(__xludf.DUMMYFUNCTION("""COMPUTED_VALUE"""),"Print Support")</f>
        <v>Print Support</v>
      </c>
      <c r="Q277" s="1" t="str">
        <f>IFERROR(__xludf.DUMMYFUNCTION("""COMPUTED_VALUE"""),"ysabel@canva.com")</f>
        <v>ysabel@canva.com</v>
      </c>
      <c r="R277" s="1" t="str">
        <f>IFERROR(__xludf.DUMMYFUNCTION("""COMPUTED_VALUE"""),"Ysabel Locsin")</f>
        <v>Ysabel Locsin</v>
      </c>
      <c r="S277" s="1">
        <f>IFERROR(__xludf.DUMMYFUNCTION("""COMPUTED_VALUE"""),3.67)</f>
        <v>3.67</v>
      </c>
      <c r="T277" s="1">
        <f>IFERROR(__xludf.DUMMYFUNCTION("""COMPUTED_VALUE"""),1.0)</f>
        <v>1</v>
      </c>
      <c r="U277" s="2">
        <f>IFERROR(__xludf.DUMMYFUNCTION("""COMPUTED_VALUE"""),4.67)</f>
        <v>4.67</v>
      </c>
      <c r="V277" s="1" t="str">
        <f>IFERROR(__xludf.DUMMYFUNCTION("""COMPUTED_VALUE"""),"Rei De Jesus")</f>
        <v>Rei De Jesus</v>
      </c>
      <c r="W277" s="1" t="str">
        <f>IFERROR(__xludf.DUMMYFUNCTION("""COMPUTED_VALUE"""),"Print Design Support")</f>
        <v>Print Design Support</v>
      </c>
    </row>
    <row r="278">
      <c r="O278" s="1" t="str">
        <f>IFERROR(__xludf.DUMMYFUNCTION("""COMPUTED_VALUE"""),"2025 Jun")</f>
        <v>2025 Jun</v>
      </c>
      <c r="P278" s="1" t="str">
        <f>IFERROR(__xludf.DUMMYFUNCTION("""COMPUTED_VALUE"""),"Core Product Support")</f>
        <v>Core Product Support</v>
      </c>
      <c r="Q278" s="1" t="str">
        <f>IFERROR(__xludf.DUMMYFUNCTION("""COMPUTED_VALUE"""),"ymagno@canva.com")</f>
        <v>ymagno@canva.com</v>
      </c>
      <c r="R278" s="1" t="str">
        <f>IFERROR(__xludf.DUMMYFUNCTION("""COMPUTED_VALUE"""),"Ysabel Magno")</f>
        <v>Ysabel Magno</v>
      </c>
      <c r="S278" s="1"/>
      <c r="T278" s="1">
        <f>IFERROR(__xludf.DUMMYFUNCTION("""COMPUTED_VALUE"""),57.0)</f>
        <v>57</v>
      </c>
      <c r="U278" s="2">
        <f>IFERROR(__xludf.DUMMYFUNCTION("""COMPUTED_VALUE"""),57.0)</f>
        <v>57</v>
      </c>
      <c r="V278" s="1" t="str">
        <f>IFERROR(__xludf.DUMMYFUNCTION("""COMPUTED_VALUE"""),"Renette Bok")</f>
        <v>Renette Bok</v>
      </c>
      <c r="W278" s="1" t="str">
        <f>IFERROR(__xludf.DUMMYFUNCTION("""COMPUTED_VALUE"""),"Advanced Billing &amp; Subscriptions")</f>
        <v>Advanced Billing &amp; Subscriptions</v>
      </c>
    </row>
    <row r="279">
      <c r="O279" s="1" t="str">
        <f>IFERROR(__xludf.DUMMYFUNCTION("""COMPUTED_VALUE"""),"2025 Jun")</f>
        <v>2025 Jun</v>
      </c>
      <c r="P279" s="1" t="str">
        <f>IFERROR(__xludf.DUMMYFUNCTION("""COMPUTED_VALUE"""),"Multilingual Support")</f>
        <v>Multilingual Support</v>
      </c>
      <c r="Q279" s="1" t="str">
        <f>IFERROR(__xludf.DUMMYFUNCTION("""COMPUTED_VALUE"""),"iuliia@canva.com")</f>
        <v>iuliia@canva.com</v>
      </c>
      <c r="R279" s="1" t="str">
        <f>IFERROR(__xludf.DUMMYFUNCTION("""COMPUTED_VALUE"""),"Yulya Shevkunova")</f>
        <v>Yulya Shevkunova</v>
      </c>
      <c r="S279" s="1"/>
      <c r="T279" s="1">
        <f>IFERROR(__xludf.DUMMYFUNCTION("""COMPUTED_VALUE"""),50.0)</f>
        <v>50</v>
      </c>
      <c r="U279" s="2">
        <f>IFERROR(__xludf.DUMMYFUNCTION("""COMPUTED_VALUE"""),50.0)</f>
        <v>50</v>
      </c>
      <c r="V279" s="1" t="str">
        <f>IFERROR(__xludf.DUMMYFUNCTION("""COMPUTED_VALUE"""),"Arlene Maurillo")</f>
        <v>Arlene Maurillo</v>
      </c>
      <c r="W279" s="1" t="str">
        <f>IFERROR(__xludf.DUMMYFUNCTION("""COMPUTED_VALUE"""),"PHL, Multilingual Support")</f>
        <v>PHL, Multilingual Support</v>
      </c>
    </row>
    <row r="280">
      <c r="O280" s="1" t="str">
        <f>IFERROR(__xludf.DUMMYFUNCTION("""COMPUTED_VALUE"""),"2025 Jun")</f>
        <v>2025 Jun</v>
      </c>
      <c r="P280" s="1" t="str">
        <f>IFERROR(__xludf.DUMMYFUNCTION("""COMPUTED_VALUE"""),"Core Product Support")</f>
        <v>Core Product Support</v>
      </c>
      <c r="Q280" s="1" t="str">
        <f>IFERROR(__xludf.DUMMYFUNCTION("""COMPUTED_VALUE"""),"yumi@canva.com")</f>
        <v>yumi@canva.com</v>
      </c>
      <c r="R280" s="1" t="str">
        <f>IFERROR(__xludf.DUMMYFUNCTION("""COMPUTED_VALUE"""),"Yumi Tominaga")</f>
        <v>Yumi Tominaga</v>
      </c>
      <c r="S280" s="1"/>
      <c r="T280" s="1">
        <f>IFERROR(__xludf.DUMMYFUNCTION("""COMPUTED_VALUE"""),64.0)</f>
        <v>64</v>
      </c>
      <c r="U280" s="2">
        <f>IFERROR(__xludf.DUMMYFUNCTION("""COMPUTED_VALUE"""),64.0)</f>
        <v>64</v>
      </c>
      <c r="V280" s="1" t="str">
        <f>IFERROR(__xludf.DUMMYFUNCTION("""COMPUTED_VALUE"""),"Ana Lazaro")</f>
        <v>Ana Lazaro</v>
      </c>
      <c r="W280" s="1" t="str">
        <f>IFERROR(__xludf.DUMMYFUNCTION("""COMPUTED_VALUE"""),"Advanced Billing &amp; Subscriptions")</f>
        <v>Advanced Billing &amp; Subscriptions</v>
      </c>
    </row>
    <row r="281">
      <c r="O281" s="1" t="str">
        <f>IFERROR(__xludf.DUMMYFUNCTION("""COMPUTED_VALUE"""),"2025 Jun")</f>
        <v>2025 Jun</v>
      </c>
      <c r="P281" s="1" t="str">
        <f>IFERROR(__xludf.DUMMYFUNCTION("""COMPUTED_VALUE"""),"Core Product Support")</f>
        <v>Core Product Support</v>
      </c>
      <c r="Q281" s="1" t="str">
        <f>IFERROR(__xludf.DUMMYFUNCTION("""COMPUTED_VALUE"""),"yvette@canva.com")</f>
        <v>yvette@canva.com</v>
      </c>
      <c r="R281" s="1" t="str">
        <f>IFERROR(__xludf.DUMMYFUNCTION("""COMPUTED_VALUE"""),"Yvette Nogoy")</f>
        <v>Yvette Nogoy</v>
      </c>
      <c r="S281" s="1">
        <f>IFERROR(__xludf.DUMMYFUNCTION("""COMPUTED_VALUE"""),8.0)</f>
        <v>8</v>
      </c>
      <c r="T281" s="1">
        <f>IFERROR(__xludf.DUMMYFUNCTION("""COMPUTED_VALUE"""),3.0)</f>
        <v>3</v>
      </c>
      <c r="U281" s="2">
        <f>IFERROR(__xludf.DUMMYFUNCTION("""COMPUTED_VALUE"""),11.0)</f>
        <v>11</v>
      </c>
      <c r="V281" s="1" t="str">
        <f>IFERROR(__xludf.DUMMYFUNCTION("""COMPUTED_VALUE"""),"Jelyn Elmido")</f>
        <v>Jelyn Elmido</v>
      </c>
      <c r="W281" s="1" t="str">
        <f>IFERROR(__xludf.DUMMYFUNCTION("""COMPUTED_VALUE"""),"Core Product Support Escalation Team")</f>
        <v>Core Product Support Escalation Team</v>
      </c>
    </row>
    <row r="282">
      <c r="O282" s="1" t="str">
        <f>IFERROR(__xludf.DUMMYFUNCTION("""COMPUTED_VALUE"""),"2025 Jun")</f>
        <v>2025 Jun</v>
      </c>
      <c r="P282" s="1" t="str">
        <f>IFERROR(__xludf.DUMMYFUNCTION("""COMPUTED_VALUE"""),"Admin Support")</f>
        <v>Admin Support</v>
      </c>
      <c r="Q282" s="1" t="str">
        <f>IFERROR(__xludf.DUMMYFUNCTION("""COMPUTED_VALUE"""),"yvonne@canva.com")</f>
        <v>yvonne@canva.com</v>
      </c>
      <c r="R282" s="1" t="str">
        <f>IFERROR(__xludf.DUMMYFUNCTION("""COMPUTED_VALUE"""),"Yvonne Romasanta")</f>
        <v>Yvonne Romasanta</v>
      </c>
      <c r="S282" s="1"/>
      <c r="T282" s="1">
        <f>IFERROR(__xludf.DUMMYFUNCTION("""COMPUTED_VALUE"""),1.0)</f>
        <v>1</v>
      </c>
      <c r="U282" s="2">
        <f>IFERROR(__xludf.DUMMYFUNCTION("""COMPUTED_VALUE"""),1.0)</f>
        <v>1</v>
      </c>
      <c r="V282" s="1" t="str">
        <f>IFERROR(__xludf.DUMMYFUNCTION("""COMPUTED_VALUE"""),"Pau Palmero")</f>
        <v>Pau Palmero</v>
      </c>
      <c r="W282" s="1" t="str">
        <f>IFERROR(__xludf.DUMMYFUNCTION("""COMPUTED_VALUE"""),"Admin Omni Support")</f>
        <v>Admin Omni Support</v>
      </c>
    </row>
    <row r="283">
      <c r="O283" s="1" t="str">
        <f>IFERROR(__xludf.DUMMYFUNCTION("""COMPUTED_VALUE"""),"2025 Jun")</f>
        <v>2025 Jun</v>
      </c>
      <c r="P283" s="1" t="str">
        <f>IFERROR(__xludf.DUMMYFUNCTION("""COMPUTED_VALUE"""),"Print Support")</f>
        <v>Print Support</v>
      </c>
      <c r="Q283" s="1" t="str">
        <f>IFERROR(__xludf.DUMMYFUNCTION("""COMPUTED_VALUE"""),"zippy@canva.com")</f>
        <v>zippy@canva.com</v>
      </c>
      <c r="R283" s="1" t="str">
        <f>IFERROR(__xludf.DUMMYFUNCTION("""COMPUTED_VALUE"""),"Zipporah Duque")</f>
        <v>Zipporah Duque</v>
      </c>
      <c r="S283" s="1">
        <f>IFERROR(__xludf.DUMMYFUNCTION("""COMPUTED_VALUE"""),2.0)</f>
        <v>2</v>
      </c>
      <c r="T283" s="1">
        <f>IFERROR(__xludf.DUMMYFUNCTION("""COMPUTED_VALUE"""),1.75)</f>
        <v>1.75</v>
      </c>
      <c r="U283" s="2">
        <f>IFERROR(__xludf.DUMMYFUNCTION("""COMPUTED_VALUE"""),3.75)</f>
        <v>3.75</v>
      </c>
      <c r="V283" s="1" t="str">
        <f>IFERROR(__xludf.DUMMYFUNCTION("""COMPUTED_VALUE"""),"Jen Momo")</f>
        <v>Jen Momo</v>
      </c>
      <c r="W283" s="1" t="str">
        <f>IFERROR(__xludf.DUMMYFUNCTION("""COMPUTED_VALUE"""),"Print Support PH")</f>
        <v>Print Support PH</v>
      </c>
    </row>
    <row r="284">
      <c r="O284" s="1" t="str">
        <f>IFERROR(__xludf.DUMMYFUNCTION("""COMPUTED_VALUE"""),"2025 Jul")</f>
        <v>2025 Jul</v>
      </c>
      <c r="P284" s="1" t="str">
        <f>IFERROR(__xludf.DUMMYFUNCTION("""COMPUTED_VALUE"""),"Segment-specific Support")</f>
        <v>Segment-specific Support</v>
      </c>
      <c r="Q284" s="1" t="str">
        <f>IFERROR(__xludf.DUMMYFUNCTION("""COMPUTED_VALUE"""),"triplea@canva.com")</f>
        <v>triplea@canva.com</v>
      </c>
      <c r="R284" s="1" t="str">
        <f>IFERROR(__xludf.DUMMYFUNCTION("""COMPUTED_VALUE"""),"AA Abong")</f>
        <v>AA Abong</v>
      </c>
      <c r="S284" s="1">
        <f>IFERROR(__xludf.DUMMYFUNCTION("""COMPUTED_VALUE"""),54.42)</f>
        <v>54.42</v>
      </c>
      <c r="T284" s="1">
        <f>IFERROR(__xludf.DUMMYFUNCTION("""COMPUTED_VALUE"""),5.08)</f>
        <v>5.08</v>
      </c>
      <c r="U284" s="2">
        <f>IFERROR(__xludf.DUMMYFUNCTION("""COMPUTED_VALUE"""),59.5)</f>
        <v>59.5</v>
      </c>
      <c r="V284" s="1" t="str">
        <f>IFERROR(__xludf.DUMMYFUNCTION("""COMPUTED_VALUE"""),"Jonathan Dimaculangan")</f>
        <v>Jonathan Dimaculangan</v>
      </c>
      <c r="W284" s="1" t="str">
        <f>IFERROR(__xludf.DUMMYFUNCTION("""COMPUTED_VALUE"""),"Flourish Support")</f>
        <v>Flourish Support</v>
      </c>
    </row>
    <row r="285">
      <c r="O285" s="1" t="str">
        <f>IFERROR(__xludf.DUMMYFUNCTION("""COMPUTED_VALUE"""),"2025 Jul")</f>
        <v>2025 Jul</v>
      </c>
      <c r="P285" s="1" t="str">
        <f>IFERROR(__xludf.DUMMYFUNCTION("""COMPUTED_VALUE"""),"Core Product Support")</f>
        <v>Core Product Support</v>
      </c>
      <c r="Q285" s="1" t="str">
        <f>IFERROR(__xludf.DUMMYFUNCTION("""COMPUTED_VALUE"""),"adrielcarlosv@canva.com")</f>
        <v>adrielcarlosv@canva.com</v>
      </c>
      <c r="R285" s="1" t="str">
        <f>IFERROR(__xludf.DUMMYFUNCTION("""COMPUTED_VALUE"""),"Adriel Vicencio")</f>
        <v>Adriel Vicencio</v>
      </c>
      <c r="S285" s="1">
        <f>IFERROR(__xludf.DUMMYFUNCTION("""COMPUTED_VALUE"""),10.0)</f>
        <v>10</v>
      </c>
      <c r="T285" s="1">
        <f>IFERROR(__xludf.DUMMYFUNCTION("""COMPUTED_VALUE"""),5.58)</f>
        <v>5.58</v>
      </c>
      <c r="U285" s="2">
        <f>IFERROR(__xludf.DUMMYFUNCTION("""COMPUTED_VALUE"""),15.58)</f>
        <v>15.58</v>
      </c>
      <c r="V285" s="1" t="str">
        <f>IFERROR(__xludf.DUMMYFUNCTION("""COMPUTED_VALUE"""),"Jem Mondoñedo")</f>
        <v>Jem Mondoñedo</v>
      </c>
      <c r="W285" s="1" t="str">
        <f>IFERROR(__xludf.DUMMYFUNCTION("""COMPUTED_VALUE"""),"Advanced Billing &amp; Subscriptions")</f>
        <v>Advanced Billing &amp; Subscriptions</v>
      </c>
    </row>
    <row r="286">
      <c r="O286" s="1" t="str">
        <f>IFERROR(__xludf.DUMMYFUNCTION("""COMPUTED_VALUE"""),"2025 Jul")</f>
        <v>2025 Jul</v>
      </c>
      <c r="P286" s="1" t="str">
        <f>IFERROR(__xludf.DUMMYFUNCTION("""COMPUTED_VALUE"""),"Admin Support")</f>
        <v>Admin Support</v>
      </c>
      <c r="Q286" s="1" t="str">
        <f>IFERROR(__xludf.DUMMYFUNCTION("""COMPUTED_VALUE"""),"agathartt@canva.com")</f>
        <v>agathartt@canva.com</v>
      </c>
      <c r="R286" s="1" t="str">
        <f>IFERROR(__xludf.DUMMYFUNCTION("""COMPUTED_VALUE"""),"Agatha Torres")</f>
        <v>Agatha Torres</v>
      </c>
      <c r="S286" s="1">
        <f>IFERROR(__xludf.DUMMYFUNCTION("""COMPUTED_VALUE"""),16.07)</f>
        <v>16.07</v>
      </c>
      <c r="T286" s="1">
        <f>IFERROR(__xludf.DUMMYFUNCTION("""COMPUTED_VALUE"""),16.68)</f>
        <v>16.68</v>
      </c>
      <c r="U286" s="2">
        <f>IFERROR(__xludf.DUMMYFUNCTION("""COMPUTED_VALUE"""),32.75)</f>
        <v>32.75</v>
      </c>
      <c r="V286" s="1" t="str">
        <f>IFERROR(__xludf.DUMMYFUNCTION("""COMPUTED_VALUE"""),"AL Suarez")</f>
        <v>AL Suarez</v>
      </c>
      <c r="W286" s="1" t="str">
        <f>IFERROR(__xludf.DUMMYFUNCTION("""COMPUTED_VALUE"""),"Advanced Billing &amp; Subscriptions")</f>
        <v>Advanced Billing &amp; Subscriptions</v>
      </c>
    </row>
    <row r="287">
      <c r="O287" s="1" t="str">
        <f>IFERROR(__xludf.DUMMYFUNCTION("""COMPUTED_VALUE"""),"2025 Jul")</f>
        <v>2025 Jul</v>
      </c>
      <c r="P287" s="1" t="str">
        <f>IFERROR(__xludf.DUMMYFUNCTION("""COMPUTED_VALUE"""),"Print Support")</f>
        <v>Print Support</v>
      </c>
      <c r="Q287" s="1" t="str">
        <f>IFERROR(__xludf.DUMMYFUNCTION("""COMPUTED_VALUE"""),"aileen.a@canva.com")</f>
        <v>aileen.a@canva.com</v>
      </c>
      <c r="R287" s="1" t="str">
        <f>IFERROR(__xludf.DUMMYFUNCTION("""COMPUTED_VALUE"""),"Aileen Alipio")</f>
        <v>Aileen Alipio</v>
      </c>
      <c r="S287" s="1">
        <f>IFERROR(__xludf.DUMMYFUNCTION("""COMPUTED_VALUE"""),7.17)</f>
        <v>7.17</v>
      </c>
      <c r="T287" s="1">
        <f>IFERROR(__xludf.DUMMYFUNCTION("""COMPUTED_VALUE"""),6.67)</f>
        <v>6.67</v>
      </c>
      <c r="U287" s="2">
        <f>IFERROR(__xludf.DUMMYFUNCTION("""COMPUTED_VALUE"""),13.84)</f>
        <v>13.84</v>
      </c>
      <c r="V287" s="1" t="str">
        <f>IFERROR(__xludf.DUMMYFUNCTION("""COMPUTED_VALUE"""),"Gem Agoncillo")</f>
        <v>Gem Agoncillo</v>
      </c>
      <c r="W287" s="1" t="str">
        <f>IFERROR(__xludf.DUMMYFUNCTION("""COMPUTED_VALUE"""),"Print Design Support")</f>
        <v>Print Design Support</v>
      </c>
    </row>
    <row r="288">
      <c r="O288" s="1" t="str">
        <f>IFERROR(__xludf.DUMMYFUNCTION("""COMPUTED_VALUE"""),"2025 Jul")</f>
        <v>2025 Jul</v>
      </c>
      <c r="P288" s="1" t="str">
        <f>IFERROR(__xludf.DUMMYFUNCTION("""COMPUTED_VALUE"""),"Core Product Support")</f>
        <v>Core Product Support</v>
      </c>
      <c r="Q288" s="1" t="str">
        <f>IFERROR(__xludf.DUMMYFUNCTION("""COMPUTED_VALUE"""),"ailyn@canva.com")</f>
        <v>ailyn@canva.com</v>
      </c>
      <c r="R288" s="1" t="str">
        <f>IFERROR(__xludf.DUMMYFUNCTION("""COMPUTED_VALUE"""),"Ailyn Grana")</f>
        <v>Ailyn Grana</v>
      </c>
      <c r="S288" s="1">
        <f>IFERROR(__xludf.DUMMYFUNCTION("""COMPUTED_VALUE"""),56.58)</f>
        <v>56.58</v>
      </c>
      <c r="T288" s="1">
        <f>IFERROR(__xludf.DUMMYFUNCTION("""COMPUTED_VALUE"""),6.67)</f>
        <v>6.67</v>
      </c>
      <c r="U288" s="2">
        <f>IFERROR(__xludf.DUMMYFUNCTION("""COMPUTED_VALUE"""),63.25)</f>
        <v>63.25</v>
      </c>
      <c r="V288" s="1" t="str">
        <f>IFERROR(__xludf.DUMMYFUNCTION("""COMPUTED_VALUE"""),"Belle Bentazal")</f>
        <v>Belle Bentazal</v>
      </c>
      <c r="W288" s="1" t="str">
        <f>IFERROR(__xludf.DUMMYFUNCTION("""COMPUTED_VALUE"""),"Advanced Product Support")</f>
        <v>Advanced Product Support</v>
      </c>
    </row>
    <row r="289">
      <c r="O289" s="1" t="str">
        <f>IFERROR(__xludf.DUMMYFUNCTION("""COMPUTED_VALUE"""),"2025 Jul")</f>
        <v>2025 Jul</v>
      </c>
      <c r="P289" s="1" t="str">
        <f>IFERROR(__xludf.DUMMYFUNCTION("""COMPUTED_VALUE"""),"Print Support")</f>
        <v>Print Support</v>
      </c>
      <c r="Q289" s="1" t="str">
        <f>IFERROR(__xludf.DUMMYFUNCTION("""COMPUTED_VALUE"""),"alaizaong@canva.com")</f>
        <v>alaizaong@canva.com</v>
      </c>
      <c r="R289" s="1" t="str">
        <f>IFERROR(__xludf.DUMMYFUNCTION("""COMPUTED_VALUE"""),"Alaiza Ong")</f>
        <v>Alaiza Ong</v>
      </c>
      <c r="S289" s="1">
        <f>IFERROR(__xludf.DUMMYFUNCTION("""COMPUTED_VALUE"""),12.0)</f>
        <v>12</v>
      </c>
      <c r="T289" s="1">
        <f>IFERROR(__xludf.DUMMYFUNCTION("""COMPUTED_VALUE"""),6.5)</f>
        <v>6.5</v>
      </c>
      <c r="U289" s="2">
        <f>IFERROR(__xludf.DUMMYFUNCTION("""COMPUTED_VALUE"""),18.5)</f>
        <v>18.5</v>
      </c>
      <c r="V289" s="1" t="str">
        <f>IFERROR(__xludf.DUMMYFUNCTION("""COMPUTED_VALUE"""),"Rae Erlano")</f>
        <v>Rae Erlano</v>
      </c>
      <c r="W289" s="1" t="str">
        <f>IFERROR(__xludf.DUMMYFUNCTION("""COMPUTED_VALUE"""),"Print Support PH")</f>
        <v>Print Support PH</v>
      </c>
    </row>
    <row r="290">
      <c r="O290" s="1" t="str">
        <f>IFERROR(__xludf.DUMMYFUNCTION("""COMPUTED_VALUE"""),"2025 Jul")</f>
        <v>2025 Jul</v>
      </c>
      <c r="P290" s="1" t="str">
        <f>IFERROR(__xludf.DUMMYFUNCTION("""COMPUTED_VALUE"""),"Segment-specific Support")</f>
        <v>Segment-specific Support</v>
      </c>
      <c r="Q290" s="1" t="str">
        <f>IFERROR(__xludf.DUMMYFUNCTION("""COMPUTED_VALUE"""),"andria@canva.com")</f>
        <v>andria@canva.com</v>
      </c>
      <c r="R290" s="1" t="str">
        <f>IFERROR(__xludf.DUMMYFUNCTION("""COMPUTED_VALUE"""),"Alex Batusin")</f>
        <v>Alex Batusin</v>
      </c>
      <c r="S290" s="1">
        <f>IFERROR(__xludf.DUMMYFUNCTION("""COMPUTED_VALUE"""),7.0)</f>
        <v>7</v>
      </c>
      <c r="T290" s="1">
        <f>IFERROR(__xludf.DUMMYFUNCTION("""COMPUTED_VALUE"""),3.0)</f>
        <v>3</v>
      </c>
      <c r="U290" s="2">
        <f>IFERROR(__xludf.DUMMYFUNCTION("""COMPUTED_VALUE"""),10.0)</f>
        <v>10</v>
      </c>
      <c r="V290" s="1" t="str">
        <f>IFERROR(__xludf.DUMMYFUNCTION("""COMPUTED_VALUE"""),"Aileen Dayanghirang")</f>
        <v>Aileen Dayanghirang</v>
      </c>
      <c r="W290" s="1" t="str">
        <f>IFERROR(__xludf.DUMMYFUNCTION("""COMPUTED_VALUE"""),"Creators Support")</f>
        <v>Creators Support</v>
      </c>
    </row>
    <row r="291">
      <c r="O291" s="1" t="str">
        <f>IFERROR(__xludf.DUMMYFUNCTION("""COMPUTED_VALUE"""),"2025 Jul")</f>
        <v>2025 Jul</v>
      </c>
      <c r="P291" s="1" t="str">
        <f>IFERROR(__xludf.DUMMYFUNCTION("""COMPUTED_VALUE"""),"Segment-specific Support")</f>
        <v>Segment-specific Support</v>
      </c>
      <c r="Q291" s="1" t="str">
        <f>IFERROR(__xludf.DUMMYFUNCTION("""COMPUTED_VALUE"""),"alexl@canva.com")</f>
        <v>alexl@canva.com</v>
      </c>
      <c r="R291" s="1" t="str">
        <f>IFERROR(__xludf.DUMMYFUNCTION("""COMPUTED_VALUE"""),"Alex Lim")</f>
        <v>Alex Lim</v>
      </c>
      <c r="S291" s="1">
        <f>IFERROR(__xludf.DUMMYFUNCTION("""COMPUTED_VALUE"""),3.0)</f>
        <v>3</v>
      </c>
      <c r="T291" s="1">
        <f>IFERROR(__xludf.DUMMYFUNCTION("""COMPUTED_VALUE"""),3.0)</f>
        <v>3</v>
      </c>
      <c r="U291" s="2">
        <f>IFERROR(__xludf.DUMMYFUNCTION("""COMPUTED_VALUE"""),6.0)</f>
        <v>6</v>
      </c>
      <c r="V291" s="1" t="str">
        <f>IFERROR(__xludf.DUMMYFUNCTION("""COMPUTED_VALUE"""),"Gucci Nava")</f>
        <v>Gucci Nava</v>
      </c>
      <c r="W291" s="1" t="str">
        <f>IFERROR(__xludf.DUMMYFUNCTION("""COMPUTED_VALUE"""),"Affinity Support")</f>
        <v>Affinity Support</v>
      </c>
    </row>
    <row r="292">
      <c r="O292" s="1" t="str">
        <f>IFERROR(__xludf.DUMMYFUNCTION("""COMPUTED_VALUE"""),"2025 Jul")</f>
        <v>2025 Jul</v>
      </c>
      <c r="P292" s="1" t="str">
        <f>IFERROR(__xludf.DUMMYFUNCTION("""COMPUTED_VALUE"""),"Segment-specific Support")</f>
        <v>Segment-specific Support</v>
      </c>
      <c r="Q292" s="1" t="str">
        <f>IFERROR(__xludf.DUMMYFUNCTION("""COMPUTED_VALUE"""),"adtolentino@canva.com")</f>
        <v>adtolentino@canva.com</v>
      </c>
      <c r="R292" s="1" t="str">
        <f>IFERROR(__xludf.DUMMYFUNCTION("""COMPUTED_VALUE"""),"Alfred Devon Tolentino")</f>
        <v>Alfred Devon Tolentino</v>
      </c>
      <c r="S292" s="1">
        <f>IFERROR(__xludf.DUMMYFUNCTION("""COMPUTED_VALUE"""),3.0)</f>
        <v>3</v>
      </c>
      <c r="T292" s="1">
        <f>IFERROR(__xludf.DUMMYFUNCTION("""COMPUTED_VALUE"""),3.0)</f>
        <v>3</v>
      </c>
      <c r="U292" s="2">
        <f>IFERROR(__xludf.DUMMYFUNCTION("""COMPUTED_VALUE"""),6.0)</f>
        <v>6</v>
      </c>
      <c r="V292" s="1" t="str">
        <f>IFERROR(__xludf.DUMMYFUNCTION("""COMPUTED_VALUE"""),"Jonathan Dimaculangan")</f>
        <v>Jonathan Dimaculangan</v>
      </c>
      <c r="W292" s="1" t="str">
        <f>IFERROR(__xludf.DUMMYFUNCTION("""COMPUTED_VALUE"""),"Flourish Support")</f>
        <v>Flourish Support</v>
      </c>
    </row>
    <row r="293">
      <c r="O293" s="1" t="str">
        <f>IFERROR(__xludf.DUMMYFUNCTION("""COMPUTED_VALUE"""),"2025 Jul")</f>
        <v>2025 Jul</v>
      </c>
      <c r="P293" s="1" t="str">
        <f>IFERROR(__xludf.DUMMYFUNCTION("""COMPUTED_VALUE"""),"Admin Support")</f>
        <v>Admin Support</v>
      </c>
      <c r="Q293" s="1" t="str">
        <f>IFERROR(__xludf.DUMMYFUNCTION("""COMPUTED_VALUE"""),"alicec@canva.com")</f>
        <v>alicec@canva.com</v>
      </c>
      <c r="R293" s="1" t="str">
        <f>IFERROR(__xludf.DUMMYFUNCTION("""COMPUTED_VALUE"""),"Alice Creiser")</f>
        <v>Alice Creiser</v>
      </c>
      <c r="S293" s="1">
        <f>IFERROR(__xludf.DUMMYFUNCTION("""COMPUTED_VALUE"""),1.0)</f>
        <v>1</v>
      </c>
      <c r="T293" s="1">
        <f>IFERROR(__xludf.DUMMYFUNCTION("""COMPUTED_VALUE"""),3.0)</f>
        <v>3</v>
      </c>
      <c r="U293" s="2">
        <f>IFERROR(__xludf.DUMMYFUNCTION("""COMPUTED_VALUE"""),4.0)</f>
        <v>4</v>
      </c>
      <c r="V293" s="1" t="str">
        <f>IFERROR(__xludf.DUMMYFUNCTION("""COMPUTED_VALUE"""),"Tash Kelly")</f>
        <v>Tash Kelly</v>
      </c>
      <c r="W293" s="1" t="str">
        <f>IFERROR(__xludf.DUMMYFUNCTION("""COMPUTED_VALUE"""),"Admin Support EMEA")</f>
        <v>Admin Support EMEA</v>
      </c>
    </row>
    <row r="294">
      <c r="O294" s="1" t="str">
        <f>IFERROR(__xludf.DUMMYFUNCTION("""COMPUTED_VALUE"""),"2025 Jul")</f>
        <v>2025 Jul</v>
      </c>
      <c r="P294" s="1" t="str">
        <f>IFERROR(__xludf.DUMMYFUNCTION("""COMPUTED_VALUE"""),"Segment-specific Support")</f>
        <v>Segment-specific Support</v>
      </c>
      <c r="Q294" s="1" t="str">
        <f>IFERROR(__xludf.DUMMYFUNCTION("""COMPUTED_VALUE"""),"alyanna@canva.com")</f>
        <v>alyanna@canva.com</v>
      </c>
      <c r="R294" s="1" t="str">
        <f>IFERROR(__xludf.DUMMYFUNCTION("""COMPUTED_VALUE"""),"Alyanna Ramos")</f>
        <v>Alyanna Ramos</v>
      </c>
      <c r="S294" s="1"/>
      <c r="T294" s="1">
        <f>IFERROR(__xludf.DUMMYFUNCTION("""COMPUTED_VALUE"""),6.75)</f>
        <v>6.75</v>
      </c>
      <c r="U294" s="2">
        <f>IFERROR(__xludf.DUMMYFUNCTION("""COMPUTED_VALUE"""),6.75)</f>
        <v>6.75</v>
      </c>
      <c r="V294" s="1" t="str">
        <f>IFERROR(__xludf.DUMMYFUNCTION("""COMPUTED_VALUE"""),"Rose Gabilan")</f>
        <v>Rose Gabilan</v>
      </c>
      <c r="W294" s="1" t="str">
        <f>IFERROR(__xludf.DUMMYFUNCTION("""COMPUTED_VALUE"""),"Affinity Support")</f>
        <v>Affinity Support</v>
      </c>
    </row>
    <row r="295">
      <c r="O295" s="1" t="str">
        <f>IFERROR(__xludf.DUMMYFUNCTION("""COMPUTED_VALUE"""),"2025 Jul")</f>
        <v>2025 Jul</v>
      </c>
      <c r="P295" s="1" t="str">
        <f>IFERROR(__xludf.DUMMYFUNCTION("""COMPUTED_VALUE"""),"Core Product Support")</f>
        <v>Core Product Support</v>
      </c>
      <c r="Q295" s="1" t="str">
        <f>IFERROR(__xludf.DUMMYFUNCTION("""COMPUTED_VALUE"""),"alyssakae@canva.com")</f>
        <v>alyssakae@canva.com</v>
      </c>
      <c r="R295" s="1" t="str">
        <f>IFERROR(__xludf.DUMMYFUNCTION("""COMPUTED_VALUE"""),"Alyssa Kae Laranang")</f>
        <v>Alyssa Kae Laranang</v>
      </c>
      <c r="S295" s="1">
        <f>IFERROR(__xludf.DUMMYFUNCTION("""COMPUTED_VALUE"""),12.17)</f>
        <v>12.17</v>
      </c>
      <c r="T295" s="1">
        <f>IFERROR(__xludf.DUMMYFUNCTION("""COMPUTED_VALUE"""),3.58)</f>
        <v>3.58</v>
      </c>
      <c r="U295" s="2">
        <f>IFERROR(__xludf.DUMMYFUNCTION("""COMPUTED_VALUE"""),15.75)</f>
        <v>15.75</v>
      </c>
      <c r="V295" s="1" t="str">
        <f>IFERROR(__xludf.DUMMYFUNCTION("""COMPUTED_VALUE"""),"Ellaine Estayo")</f>
        <v>Ellaine Estayo</v>
      </c>
      <c r="W295" s="1" t="str">
        <f>IFERROR(__xludf.DUMMYFUNCTION("""COMPUTED_VALUE"""),"Core Product Support Escalation Team")</f>
        <v>Core Product Support Escalation Team</v>
      </c>
    </row>
    <row r="296">
      <c r="O296" s="1" t="str">
        <f>IFERROR(__xludf.DUMMYFUNCTION("""COMPUTED_VALUE"""),"2025 Jul")</f>
        <v>2025 Jul</v>
      </c>
      <c r="P296" s="1" t="str">
        <f>IFERROR(__xludf.DUMMYFUNCTION("""COMPUTED_VALUE"""),"Print Support")</f>
        <v>Print Support</v>
      </c>
      <c r="Q296" s="1" t="str">
        <f>IFERROR(__xludf.DUMMYFUNCTION("""COMPUTED_VALUE"""),"alyssam@canva.com")</f>
        <v>alyssam@canva.com</v>
      </c>
      <c r="R296" s="1" t="str">
        <f>IFERROR(__xludf.DUMMYFUNCTION("""COMPUTED_VALUE"""),"Alyssa Martin-Silao")</f>
        <v>Alyssa Martin-Silao</v>
      </c>
      <c r="S296" s="1">
        <f>IFERROR(__xludf.DUMMYFUNCTION("""COMPUTED_VALUE"""),11.53)</f>
        <v>11.53</v>
      </c>
      <c r="T296" s="1">
        <f>IFERROR(__xludf.DUMMYFUNCTION("""COMPUTED_VALUE"""),4.85)</f>
        <v>4.85</v>
      </c>
      <c r="U296" s="2">
        <f>IFERROR(__xludf.DUMMYFUNCTION("""COMPUTED_VALUE"""),16.38)</f>
        <v>16.38</v>
      </c>
      <c r="V296" s="1" t="str">
        <f>IFERROR(__xludf.DUMMYFUNCTION("""COMPUTED_VALUE"""),"Rae Erlano")</f>
        <v>Rae Erlano</v>
      </c>
      <c r="W296" s="1" t="str">
        <f>IFERROR(__xludf.DUMMYFUNCTION("""COMPUTED_VALUE"""),"Print Support PH")</f>
        <v>Print Support PH</v>
      </c>
    </row>
    <row r="297">
      <c r="O297" s="1" t="str">
        <f>IFERROR(__xludf.DUMMYFUNCTION("""COMPUTED_VALUE"""),"2025 Jul")</f>
        <v>2025 Jul</v>
      </c>
      <c r="P297" s="1" t="str">
        <f>IFERROR(__xludf.DUMMYFUNCTION("""COMPUTED_VALUE"""),"Print Support")</f>
        <v>Print Support</v>
      </c>
      <c r="Q297" s="1" t="str">
        <f>IFERROR(__xludf.DUMMYFUNCTION("""COMPUTED_VALUE"""),"alyssas@canva.com")</f>
        <v>alyssas@canva.com</v>
      </c>
      <c r="R297" s="1" t="str">
        <f>IFERROR(__xludf.DUMMYFUNCTION("""COMPUTED_VALUE"""),"Alyssa Sunga")</f>
        <v>Alyssa Sunga</v>
      </c>
      <c r="S297" s="1">
        <f>IFERROR(__xludf.DUMMYFUNCTION("""COMPUTED_VALUE"""),11.23)</f>
        <v>11.23</v>
      </c>
      <c r="T297" s="1">
        <f>IFERROR(__xludf.DUMMYFUNCTION("""COMPUTED_VALUE"""),6.58)</f>
        <v>6.58</v>
      </c>
      <c r="U297" s="2">
        <f>IFERROR(__xludf.DUMMYFUNCTION("""COMPUTED_VALUE"""),17.810000000000002)</f>
        <v>17.81</v>
      </c>
      <c r="V297" s="1" t="str">
        <f>IFERROR(__xludf.DUMMYFUNCTION("""COMPUTED_VALUE"""),"Althea Mercado")</f>
        <v>Althea Mercado</v>
      </c>
      <c r="W297" s="1" t="str">
        <f>IFERROR(__xludf.DUMMYFUNCTION("""COMPUTED_VALUE"""),"Print Support PH")</f>
        <v>Print Support PH</v>
      </c>
    </row>
    <row r="298">
      <c r="O298" s="1" t="str">
        <f>IFERROR(__xludf.DUMMYFUNCTION("""COMPUTED_VALUE"""),"2025 Jul")</f>
        <v>2025 Jul</v>
      </c>
      <c r="P298" s="1" t="str">
        <f>IFERROR(__xludf.DUMMYFUNCTION("""COMPUTED_VALUE"""),"Print Support")</f>
        <v>Print Support</v>
      </c>
      <c r="Q298" s="1" t="str">
        <f>IFERROR(__xludf.DUMMYFUNCTION("""COMPUTED_VALUE"""),"andrea.g@canva.com")</f>
        <v>andrea.g@canva.com</v>
      </c>
      <c r="R298" s="1" t="str">
        <f>IFERROR(__xludf.DUMMYFUNCTION("""COMPUTED_VALUE"""),"Andrea Gutierrez")</f>
        <v>Andrea Gutierrez</v>
      </c>
      <c r="S298" s="1">
        <f>IFERROR(__xludf.DUMMYFUNCTION("""COMPUTED_VALUE"""),11.33)</f>
        <v>11.33</v>
      </c>
      <c r="T298" s="1">
        <f>IFERROR(__xludf.DUMMYFUNCTION("""COMPUTED_VALUE"""),3.08)</f>
        <v>3.08</v>
      </c>
      <c r="U298" s="2">
        <f>IFERROR(__xludf.DUMMYFUNCTION("""COMPUTED_VALUE"""),14.41)</f>
        <v>14.41</v>
      </c>
      <c r="V298" s="1" t="str">
        <f>IFERROR(__xludf.DUMMYFUNCTION("""COMPUTED_VALUE"""),"G-Anne Murillo")</f>
        <v>G-Anne Murillo</v>
      </c>
      <c r="W298" s="1" t="str">
        <f>IFERROR(__xludf.DUMMYFUNCTION("""COMPUTED_VALUE"""),"Print Design Support")</f>
        <v>Print Design Support</v>
      </c>
    </row>
    <row r="299">
      <c r="O299" s="1" t="str">
        <f>IFERROR(__xludf.DUMMYFUNCTION("""COMPUTED_VALUE"""),"2025 Jul")</f>
        <v>2025 Jul</v>
      </c>
      <c r="P299" s="1" t="str">
        <f>IFERROR(__xludf.DUMMYFUNCTION("""COMPUTED_VALUE"""),"Print Support")</f>
        <v>Print Support</v>
      </c>
      <c r="Q299" s="1" t="str">
        <f>IFERROR(__xludf.DUMMYFUNCTION("""COMPUTED_VALUE"""),"xandwea@canva.com")</f>
        <v>xandwea@canva.com</v>
      </c>
      <c r="R299" s="1" t="str">
        <f>IFERROR(__xludf.DUMMYFUNCTION("""COMPUTED_VALUE"""),"Andrea Lugtu")</f>
        <v>Andrea Lugtu</v>
      </c>
      <c r="S299" s="1">
        <f>IFERROR(__xludf.DUMMYFUNCTION("""COMPUTED_VALUE"""),9.03)</f>
        <v>9.03</v>
      </c>
      <c r="T299" s="1">
        <f>IFERROR(__xludf.DUMMYFUNCTION("""COMPUTED_VALUE"""),0.5)</f>
        <v>0.5</v>
      </c>
      <c r="U299" s="2">
        <f>IFERROR(__xludf.DUMMYFUNCTION("""COMPUTED_VALUE"""),9.53)</f>
        <v>9.53</v>
      </c>
      <c r="V299" s="1" t="str">
        <f>IFERROR(__xludf.DUMMYFUNCTION("""COMPUTED_VALUE"""),"Manee Barrasa")</f>
        <v>Manee Barrasa</v>
      </c>
      <c r="W299" s="1" t="str">
        <f>IFERROR(__xludf.DUMMYFUNCTION("""COMPUTED_VALUE"""),"Print Support PH")</f>
        <v>Print Support PH</v>
      </c>
    </row>
    <row r="300">
      <c r="O300" s="1" t="str">
        <f>IFERROR(__xludf.DUMMYFUNCTION("""COMPUTED_VALUE"""),"2025 Jul")</f>
        <v>2025 Jul</v>
      </c>
      <c r="P300" s="1" t="str">
        <f>IFERROR(__xludf.DUMMYFUNCTION("""COMPUTED_VALUE"""),"High Sensitivity Support")</f>
        <v>High Sensitivity Support</v>
      </c>
      <c r="Q300" s="1" t="str">
        <f>IFERROR(__xludf.DUMMYFUNCTION("""COMPUTED_VALUE"""),"andreimg@canva.com")</f>
        <v>andreimg@canva.com</v>
      </c>
      <c r="R300" s="1" t="str">
        <f>IFERROR(__xludf.DUMMYFUNCTION("""COMPUTED_VALUE"""),"Andrei Galutan")</f>
        <v>Andrei Galutan</v>
      </c>
      <c r="S300" s="1">
        <f>IFERROR(__xludf.DUMMYFUNCTION("""COMPUTED_VALUE"""),58.23)</f>
        <v>58.23</v>
      </c>
      <c r="T300" s="1">
        <f>IFERROR(__xludf.DUMMYFUNCTION("""COMPUTED_VALUE"""),9.48)</f>
        <v>9.48</v>
      </c>
      <c r="U300" s="2">
        <f>IFERROR(__xludf.DUMMYFUNCTION("""COMPUTED_VALUE"""),67.71)</f>
        <v>67.71</v>
      </c>
      <c r="V300" s="1" t="str">
        <f>IFERROR(__xludf.DUMMYFUNCTION("""COMPUTED_VALUE"""),"Rex Villamor")</f>
        <v>Rex Villamor</v>
      </c>
      <c r="W300" s="1" t="str">
        <f>IFERROR(__xludf.DUMMYFUNCTION("""COMPUTED_VALUE"""),"Advanced Product Support")</f>
        <v>Advanced Product Support</v>
      </c>
    </row>
    <row r="301">
      <c r="O301" s="1" t="str">
        <f>IFERROR(__xludf.DUMMYFUNCTION("""COMPUTED_VALUE"""),"2025 Jul")</f>
        <v>2025 Jul</v>
      </c>
      <c r="P301" s="1" t="str">
        <f>IFERROR(__xludf.DUMMYFUNCTION("""COMPUTED_VALUE"""),"Core Product Support")</f>
        <v>Core Product Support</v>
      </c>
      <c r="Q301" s="1" t="str">
        <f>IFERROR(__xludf.DUMMYFUNCTION("""COMPUTED_VALUE"""),"aalemania@canva.com")</f>
        <v>aalemania@canva.com</v>
      </c>
      <c r="R301" s="1" t="str">
        <f>IFERROR(__xludf.DUMMYFUNCTION("""COMPUTED_VALUE"""),"Angel Alemania")</f>
        <v>Angel Alemania</v>
      </c>
      <c r="S301" s="1">
        <f>IFERROR(__xludf.DUMMYFUNCTION("""COMPUTED_VALUE"""),17.5)</f>
        <v>17.5</v>
      </c>
      <c r="T301" s="1">
        <f>IFERROR(__xludf.DUMMYFUNCTION("""COMPUTED_VALUE"""),4.0)</f>
        <v>4</v>
      </c>
      <c r="U301" s="2">
        <f>IFERROR(__xludf.DUMMYFUNCTION("""COMPUTED_VALUE"""),21.5)</f>
        <v>21.5</v>
      </c>
      <c r="V301" s="1" t="str">
        <f>IFERROR(__xludf.DUMMYFUNCTION("""COMPUTED_VALUE"""),"Sieg Ballelos")</f>
        <v>Sieg Ballelos</v>
      </c>
      <c r="W301" s="1" t="str">
        <f>IFERROR(__xludf.DUMMYFUNCTION("""COMPUTED_VALUE"""),"Core Product Support Escalation Team")</f>
        <v>Core Product Support Escalation Team</v>
      </c>
    </row>
    <row r="302">
      <c r="O302" s="1" t="str">
        <f>IFERROR(__xludf.DUMMYFUNCTION("""COMPUTED_VALUE"""),"2025 Jul")</f>
        <v>2025 Jul</v>
      </c>
      <c r="P302" s="1" t="str">
        <f>IFERROR(__xludf.DUMMYFUNCTION("""COMPUTED_VALUE"""),"Admin Support")</f>
        <v>Admin Support</v>
      </c>
      <c r="Q302" s="1" t="str">
        <f>IFERROR(__xludf.DUMMYFUNCTION("""COMPUTED_VALUE"""),"angelc@canva.com")</f>
        <v>angelc@canva.com</v>
      </c>
      <c r="R302" s="1" t="str">
        <f>IFERROR(__xludf.DUMMYFUNCTION("""COMPUTED_VALUE"""),"Angel Cabrera")</f>
        <v>Angel Cabrera</v>
      </c>
      <c r="S302" s="1">
        <f>IFERROR(__xludf.DUMMYFUNCTION("""COMPUTED_VALUE"""),2.5)</f>
        <v>2.5</v>
      </c>
      <c r="T302" s="1">
        <f>IFERROR(__xludf.DUMMYFUNCTION("""COMPUTED_VALUE"""),9.25)</f>
        <v>9.25</v>
      </c>
      <c r="U302" s="2">
        <f>IFERROR(__xludf.DUMMYFUNCTION("""COMPUTED_VALUE"""),11.75)</f>
        <v>11.75</v>
      </c>
      <c r="V302" s="1" t="str">
        <f>IFERROR(__xludf.DUMMYFUNCTION("""COMPUTED_VALUE"""),"Ann Dumlao")</f>
        <v>Ann Dumlao</v>
      </c>
      <c r="W302" s="1" t="str">
        <f>IFERROR(__xludf.DUMMYFUNCTION("""COMPUTED_VALUE"""),"Admin Omni Support")</f>
        <v>Admin Omni Support</v>
      </c>
    </row>
    <row r="303">
      <c r="O303" s="1" t="str">
        <f>IFERROR(__xludf.DUMMYFUNCTION("""COMPUTED_VALUE"""),"2025 Jul")</f>
        <v>2025 Jul</v>
      </c>
      <c r="P303" s="1" t="str">
        <f>IFERROR(__xludf.DUMMYFUNCTION("""COMPUTED_VALUE"""),"Segment-specific Support")</f>
        <v>Segment-specific Support</v>
      </c>
      <c r="Q303" s="1" t="str">
        <f>IFERROR(__xludf.DUMMYFUNCTION("""COMPUTED_VALUE"""),"angelheart@canva.com")</f>
        <v>angelheart@canva.com</v>
      </c>
      <c r="R303" s="1" t="str">
        <f>IFERROR(__xludf.DUMMYFUNCTION("""COMPUTED_VALUE"""),"Angel Heart Santos")</f>
        <v>Angel Heart Santos</v>
      </c>
      <c r="S303" s="1">
        <f>IFERROR(__xludf.DUMMYFUNCTION("""COMPUTED_VALUE"""),3.0)</f>
        <v>3</v>
      </c>
      <c r="T303" s="1">
        <f>IFERROR(__xludf.DUMMYFUNCTION("""COMPUTED_VALUE"""),3.0)</f>
        <v>3</v>
      </c>
      <c r="U303" s="2">
        <f>IFERROR(__xludf.DUMMYFUNCTION("""COMPUTED_VALUE"""),6.0)</f>
        <v>6</v>
      </c>
      <c r="V303" s="1" t="str">
        <f>IFERROR(__xludf.DUMMYFUNCTION("""COMPUTED_VALUE"""),"Jonathan Dimaculangan")</f>
        <v>Jonathan Dimaculangan</v>
      </c>
      <c r="W303" s="1" t="str">
        <f>IFERROR(__xludf.DUMMYFUNCTION("""COMPUTED_VALUE"""),"Flourish Support")</f>
        <v>Flourish Support</v>
      </c>
    </row>
    <row r="304">
      <c r="O304" s="1" t="str">
        <f>IFERROR(__xludf.DUMMYFUNCTION("""COMPUTED_VALUE"""),"2025 Jul")</f>
        <v>2025 Jul</v>
      </c>
      <c r="P304" s="1" t="str">
        <f>IFERROR(__xludf.DUMMYFUNCTION("""COMPUTED_VALUE"""),"Core Product Support")</f>
        <v>Core Product Support</v>
      </c>
      <c r="Q304" s="1" t="str">
        <f>IFERROR(__xludf.DUMMYFUNCTION("""COMPUTED_VALUE"""),"angelm@canva.com")</f>
        <v>angelm@canva.com</v>
      </c>
      <c r="R304" s="1" t="str">
        <f>IFERROR(__xludf.DUMMYFUNCTION("""COMPUTED_VALUE"""),"Angel Medina")</f>
        <v>Angel Medina</v>
      </c>
      <c r="S304" s="1">
        <f>IFERROR(__xludf.DUMMYFUNCTION("""COMPUTED_VALUE"""),23.75)</f>
        <v>23.75</v>
      </c>
      <c r="T304" s="1">
        <f>IFERROR(__xludf.DUMMYFUNCTION("""COMPUTED_VALUE"""),130.93)</f>
        <v>130.93</v>
      </c>
      <c r="U304" s="2">
        <f>IFERROR(__xludf.DUMMYFUNCTION("""COMPUTED_VALUE"""),154.68)</f>
        <v>154.68</v>
      </c>
      <c r="V304" s="1" t="str">
        <f>IFERROR(__xludf.DUMMYFUNCTION("""COMPUTED_VALUE"""),"Ellaine Estayo")</f>
        <v>Ellaine Estayo</v>
      </c>
      <c r="W304" s="1" t="str">
        <f>IFERROR(__xludf.DUMMYFUNCTION("""COMPUTED_VALUE"""),"Core Product Support Escalation Team")</f>
        <v>Core Product Support Escalation Team</v>
      </c>
    </row>
    <row r="305">
      <c r="O305" s="1" t="str">
        <f>IFERROR(__xludf.DUMMYFUNCTION("""COMPUTED_VALUE"""),"2025 Jul")</f>
        <v>2025 Jul</v>
      </c>
      <c r="P305" s="1" t="str">
        <f>IFERROR(__xludf.DUMMYFUNCTION("""COMPUTED_VALUE"""),"Print Support")</f>
        <v>Print Support</v>
      </c>
      <c r="Q305" s="1" t="str">
        <f>IFERROR(__xludf.DUMMYFUNCTION("""COMPUTED_VALUE"""),"angelf@canva.com")</f>
        <v>angelf@canva.com</v>
      </c>
      <c r="R305" s="1" t="str">
        <f>IFERROR(__xludf.DUMMYFUNCTION("""COMPUTED_VALUE"""),"Angel Merilleno")</f>
        <v>Angel Merilleno</v>
      </c>
      <c r="S305" s="1">
        <f>IFERROR(__xludf.DUMMYFUNCTION("""COMPUTED_VALUE"""),11.25)</f>
        <v>11.25</v>
      </c>
      <c r="T305" s="1">
        <f>IFERROR(__xludf.DUMMYFUNCTION("""COMPUTED_VALUE"""),5.85)</f>
        <v>5.85</v>
      </c>
      <c r="U305" s="2">
        <f>IFERROR(__xludf.DUMMYFUNCTION("""COMPUTED_VALUE"""),17.1)</f>
        <v>17.1</v>
      </c>
      <c r="V305" s="1" t="str">
        <f>IFERROR(__xludf.DUMMYFUNCTION("""COMPUTED_VALUE"""),"Louise Dianne Estrella")</f>
        <v>Louise Dianne Estrella</v>
      </c>
      <c r="W305" s="1" t="str">
        <f>IFERROR(__xludf.DUMMYFUNCTION("""COMPUTED_VALUE"""),"Print Support PH")</f>
        <v>Print Support PH</v>
      </c>
    </row>
    <row r="306">
      <c r="O306" s="1" t="str">
        <f>IFERROR(__xludf.DUMMYFUNCTION("""COMPUTED_VALUE"""),"2025 Jul")</f>
        <v>2025 Jul</v>
      </c>
      <c r="P306" s="1" t="str">
        <f>IFERROR(__xludf.DUMMYFUNCTION("""COMPUTED_VALUE"""),"Core Product Support")</f>
        <v>Core Product Support</v>
      </c>
      <c r="Q306" s="1" t="str">
        <f>IFERROR(__xludf.DUMMYFUNCTION("""COMPUTED_VALUE"""),"angelic@canva.com")</f>
        <v>angelic@canva.com</v>
      </c>
      <c r="R306" s="1" t="str">
        <f>IFERROR(__xludf.DUMMYFUNCTION("""COMPUTED_VALUE"""),"Angel Ramas")</f>
        <v>Angel Ramas</v>
      </c>
      <c r="S306" s="1">
        <f>IFERROR(__xludf.DUMMYFUNCTION("""COMPUTED_VALUE"""),38.0)</f>
        <v>38</v>
      </c>
      <c r="T306" s="1">
        <f>IFERROR(__xludf.DUMMYFUNCTION("""COMPUTED_VALUE"""),7.5)</f>
        <v>7.5</v>
      </c>
      <c r="U306" s="2">
        <f>IFERROR(__xludf.DUMMYFUNCTION("""COMPUTED_VALUE"""),45.5)</f>
        <v>45.5</v>
      </c>
      <c r="V306" s="1" t="str">
        <f>IFERROR(__xludf.DUMMYFUNCTION("""COMPUTED_VALUE"""),"Marie Mordeno")</f>
        <v>Marie Mordeno</v>
      </c>
      <c r="W306" s="1" t="str">
        <f>IFERROR(__xludf.DUMMYFUNCTION("""COMPUTED_VALUE"""),"Advanced Billing &amp; Subscriptions")</f>
        <v>Advanced Billing &amp; Subscriptions</v>
      </c>
    </row>
    <row r="307">
      <c r="O307" s="1" t="str">
        <f>IFERROR(__xludf.DUMMYFUNCTION("""COMPUTED_VALUE"""),"2025 Jul")</f>
        <v>2025 Jul</v>
      </c>
      <c r="P307" s="1" t="str">
        <f>IFERROR(__xludf.DUMMYFUNCTION("""COMPUTED_VALUE"""),"Segment-specific Support")</f>
        <v>Segment-specific Support</v>
      </c>
      <c r="Q307" s="1" t="str">
        <f>IFERROR(__xludf.DUMMYFUNCTION("""COMPUTED_VALUE"""),"adflora@canva.com")</f>
        <v>adflora@canva.com</v>
      </c>
      <c r="R307" s="1" t="str">
        <f>IFERROR(__xludf.DUMMYFUNCTION("""COMPUTED_VALUE"""),"Angela Flora")</f>
        <v>Angela Flora</v>
      </c>
      <c r="S307" s="1">
        <f>IFERROR(__xludf.DUMMYFUNCTION("""COMPUTED_VALUE"""),7.8)</f>
        <v>7.8</v>
      </c>
      <c r="T307" s="1">
        <f>IFERROR(__xludf.DUMMYFUNCTION("""COMPUTED_VALUE"""),3.17)</f>
        <v>3.17</v>
      </c>
      <c r="U307" s="2">
        <f>IFERROR(__xludf.DUMMYFUNCTION("""COMPUTED_VALUE"""),10.969999999999999)</f>
        <v>10.97</v>
      </c>
      <c r="V307" s="1" t="str">
        <f>IFERROR(__xludf.DUMMYFUNCTION("""COMPUTED_VALUE"""),"Gucci Nava")</f>
        <v>Gucci Nava</v>
      </c>
      <c r="W307" s="1" t="str">
        <f>IFERROR(__xludf.DUMMYFUNCTION("""COMPUTED_VALUE"""),"Print Support PH")</f>
        <v>Print Support PH</v>
      </c>
    </row>
    <row r="308">
      <c r="O308" s="1" t="str">
        <f>IFERROR(__xludf.DUMMYFUNCTION("""COMPUTED_VALUE"""),"2025 Jul")</f>
        <v>2025 Jul</v>
      </c>
      <c r="P308" s="1" t="str">
        <f>IFERROR(__xludf.DUMMYFUNCTION("""COMPUTED_VALUE"""),"Core Product Support")</f>
        <v>Core Product Support</v>
      </c>
      <c r="Q308" s="1" t="str">
        <f>IFERROR(__xludf.DUMMYFUNCTION("""COMPUTED_VALUE"""),"annaalberto@canva.com")</f>
        <v>annaalberto@canva.com</v>
      </c>
      <c r="R308" s="1" t="str">
        <f>IFERROR(__xludf.DUMMYFUNCTION("""COMPUTED_VALUE"""),"Anna Alberto-Felipe")</f>
        <v>Anna Alberto-Felipe</v>
      </c>
      <c r="S308" s="1">
        <f>IFERROR(__xludf.DUMMYFUNCTION("""COMPUTED_VALUE"""),17.87)</f>
        <v>17.87</v>
      </c>
      <c r="T308" s="1">
        <f>IFERROR(__xludf.DUMMYFUNCTION("""COMPUTED_VALUE"""),6.08)</f>
        <v>6.08</v>
      </c>
      <c r="U308" s="2">
        <f>IFERROR(__xludf.DUMMYFUNCTION("""COMPUTED_VALUE"""),23.950000000000003)</f>
        <v>23.95</v>
      </c>
      <c r="V308" s="1" t="str">
        <f>IFERROR(__xludf.DUMMYFUNCTION("""COMPUTED_VALUE"""),"Jahmie Mae Barrameda")</f>
        <v>Jahmie Mae Barrameda</v>
      </c>
      <c r="W308" s="1" t="str">
        <f>IFERROR(__xludf.DUMMYFUNCTION("""COMPUTED_VALUE"""),"Advanced Billing &amp; Subscriptions")</f>
        <v>Advanced Billing &amp; Subscriptions</v>
      </c>
    </row>
    <row r="309">
      <c r="O309" s="1" t="str">
        <f>IFERROR(__xludf.DUMMYFUNCTION("""COMPUTED_VALUE"""),"2025 Jul")</f>
        <v>2025 Jul</v>
      </c>
      <c r="P309" s="1" t="str">
        <f>IFERROR(__xludf.DUMMYFUNCTION("""COMPUTED_VALUE"""),"Print Support")</f>
        <v>Print Support</v>
      </c>
      <c r="Q309" s="1" t="str">
        <f>IFERROR(__xludf.DUMMYFUNCTION("""COMPUTED_VALUE"""),"arcelie@canva.com")</f>
        <v>arcelie@canva.com</v>
      </c>
      <c r="R309" s="1" t="str">
        <f>IFERROR(__xludf.DUMMYFUNCTION("""COMPUTED_VALUE"""),"Arcie San Pedro")</f>
        <v>Arcie San Pedro</v>
      </c>
      <c r="S309" s="1">
        <f>IFERROR(__xludf.DUMMYFUNCTION("""COMPUTED_VALUE"""),5.5)</f>
        <v>5.5</v>
      </c>
      <c r="T309" s="1">
        <f>IFERROR(__xludf.DUMMYFUNCTION("""COMPUTED_VALUE"""),3.0)</f>
        <v>3</v>
      </c>
      <c r="U309" s="2">
        <f>IFERROR(__xludf.DUMMYFUNCTION("""COMPUTED_VALUE"""),8.5)</f>
        <v>8.5</v>
      </c>
      <c r="V309" s="1" t="str">
        <f>IFERROR(__xludf.DUMMYFUNCTION("""COMPUTED_VALUE"""),"Rae Erlano")</f>
        <v>Rae Erlano</v>
      </c>
      <c r="W309" s="1" t="str">
        <f>IFERROR(__xludf.DUMMYFUNCTION("""COMPUTED_VALUE"""),"Print Support PH")</f>
        <v>Print Support PH</v>
      </c>
    </row>
    <row r="310">
      <c r="O310" s="1" t="str">
        <f>IFERROR(__xludf.DUMMYFUNCTION("""COMPUTED_VALUE"""),"2025 Jul")</f>
        <v>2025 Jul</v>
      </c>
      <c r="P310" s="1" t="str">
        <f>IFERROR(__xludf.DUMMYFUNCTION("""COMPUTED_VALUE"""),"#N/A")</f>
        <v>#N/A</v>
      </c>
      <c r="Q310" s="1" t="str">
        <f>IFERROR(__xludf.DUMMYFUNCTION("""COMPUTED_VALUE"""),"ariellejoy@canva.com")</f>
        <v>ariellejoy@canva.com</v>
      </c>
      <c r="R310" s="1" t="str">
        <f>IFERROR(__xludf.DUMMYFUNCTION("""COMPUTED_VALUE"""),"Arielle Joy Goboleo")</f>
        <v>Arielle Joy Goboleo</v>
      </c>
      <c r="S310" s="1">
        <f>IFERROR(__xludf.DUMMYFUNCTION("""COMPUTED_VALUE"""),11.5)</f>
        <v>11.5</v>
      </c>
      <c r="T310" s="1">
        <f>IFERROR(__xludf.DUMMYFUNCTION("""COMPUTED_VALUE"""),2.5)</f>
        <v>2.5</v>
      </c>
      <c r="U310" s="2">
        <f>IFERROR(__xludf.DUMMYFUNCTION("""COMPUTED_VALUE"""),14.0)</f>
        <v>14</v>
      </c>
      <c r="V310" s="1" t="str">
        <f>IFERROR(__xludf.DUMMYFUNCTION("""COMPUTED_VALUE"""),"Rae Erlano")</f>
        <v>Rae Erlano</v>
      </c>
      <c r="W310" s="1" t="str">
        <f>IFERROR(__xludf.DUMMYFUNCTION("""COMPUTED_VALUE"""),"Print Support PH")</f>
        <v>Print Support PH</v>
      </c>
    </row>
    <row r="311">
      <c r="O311" s="1" t="str">
        <f>IFERROR(__xludf.DUMMYFUNCTION("""COMPUTED_VALUE"""),"2025 Jul")</f>
        <v>2025 Jul</v>
      </c>
      <c r="P311" s="1" t="str">
        <f>IFERROR(__xludf.DUMMYFUNCTION("""COMPUTED_VALUE"""),"Print Support")</f>
        <v>Print Support</v>
      </c>
      <c r="Q311" s="1" t="str">
        <f>IFERROR(__xludf.DUMMYFUNCTION("""COMPUTED_VALUE"""),"arjane@canva.com")</f>
        <v>arjane@canva.com</v>
      </c>
      <c r="R311" s="1" t="str">
        <f>IFERROR(__xludf.DUMMYFUNCTION("""COMPUTED_VALUE"""),"Arjane Oliva")</f>
        <v>Arjane Oliva</v>
      </c>
      <c r="S311" s="1">
        <f>IFERROR(__xludf.DUMMYFUNCTION("""COMPUTED_VALUE"""),6.25)</f>
        <v>6.25</v>
      </c>
      <c r="T311" s="1">
        <f>IFERROR(__xludf.DUMMYFUNCTION("""COMPUTED_VALUE"""),2.0)</f>
        <v>2</v>
      </c>
      <c r="U311" s="2">
        <f>IFERROR(__xludf.DUMMYFUNCTION("""COMPUTED_VALUE"""),8.25)</f>
        <v>8.25</v>
      </c>
      <c r="V311" s="1" t="str">
        <f>IFERROR(__xludf.DUMMYFUNCTION("""COMPUTED_VALUE"""),"Rei De Jesus")</f>
        <v>Rei De Jesus</v>
      </c>
      <c r="W311" s="1" t="str">
        <f>IFERROR(__xludf.DUMMYFUNCTION("""COMPUTED_VALUE"""),"Print Design Support")</f>
        <v>Print Design Support</v>
      </c>
    </row>
    <row r="312">
      <c r="O312" s="1" t="str">
        <f>IFERROR(__xludf.DUMMYFUNCTION("""COMPUTED_VALUE"""),"2025 Jul")</f>
        <v>2025 Jul</v>
      </c>
      <c r="P312" s="1" t="str">
        <f>IFERROR(__xludf.DUMMYFUNCTION("""COMPUTED_VALUE"""),"High Sensitivity Support")</f>
        <v>High Sensitivity Support</v>
      </c>
      <c r="Q312" s="1" t="str">
        <f>IFERROR(__xludf.DUMMYFUNCTION("""COMPUTED_VALUE"""),"arodes@canva.com")</f>
        <v>arodes@canva.com</v>
      </c>
      <c r="R312" s="1" t="str">
        <f>IFERROR(__xludf.DUMMYFUNCTION("""COMPUTED_VALUE"""),"Arriane Rodes")</f>
        <v>Arriane Rodes</v>
      </c>
      <c r="S312" s="1">
        <f>IFERROR(__xludf.DUMMYFUNCTION("""COMPUTED_VALUE"""),28.28)</f>
        <v>28.28</v>
      </c>
      <c r="T312" s="1">
        <f>IFERROR(__xludf.DUMMYFUNCTION("""COMPUTED_VALUE"""),9.22)</f>
        <v>9.22</v>
      </c>
      <c r="U312" s="2">
        <f>IFERROR(__xludf.DUMMYFUNCTION("""COMPUTED_VALUE"""),37.5)</f>
        <v>37.5</v>
      </c>
      <c r="V312" s="1" t="str">
        <f>IFERROR(__xludf.DUMMYFUNCTION("""COMPUTED_VALUE"""),"Xandy Azarcon")</f>
        <v>Xandy Azarcon</v>
      </c>
      <c r="W312" s="1" t="str">
        <f>IFERROR(__xludf.DUMMYFUNCTION("""COMPUTED_VALUE"""),"High Sensitivity Support PH")</f>
        <v>High Sensitivity Support PH</v>
      </c>
    </row>
    <row r="313">
      <c r="O313" s="1" t="str">
        <f>IFERROR(__xludf.DUMMYFUNCTION("""COMPUTED_VALUE"""),"2025 Jul")</f>
        <v>2025 Jul</v>
      </c>
      <c r="P313" s="1" t="str">
        <f>IFERROR(__xludf.DUMMYFUNCTION("""COMPUTED_VALUE"""),"Admin Support")</f>
        <v>Admin Support</v>
      </c>
      <c r="Q313" s="1" t="str">
        <f>IFERROR(__xludf.DUMMYFUNCTION("""COMPUTED_VALUE"""),"ashli@canva.com")</f>
        <v>ashli@canva.com</v>
      </c>
      <c r="R313" s="1" t="str">
        <f>IFERROR(__xludf.DUMMYFUNCTION("""COMPUTED_VALUE"""),"Ashli Hanson")</f>
        <v>Ashli Hanson</v>
      </c>
      <c r="S313" s="1">
        <f>IFERROR(__xludf.DUMMYFUNCTION("""COMPUTED_VALUE"""),3.0)</f>
        <v>3</v>
      </c>
      <c r="T313" s="1">
        <f>IFERROR(__xludf.DUMMYFUNCTION("""COMPUTED_VALUE"""),3.0)</f>
        <v>3</v>
      </c>
      <c r="U313" s="2">
        <f>IFERROR(__xludf.DUMMYFUNCTION("""COMPUTED_VALUE"""),6.0)</f>
        <v>6</v>
      </c>
      <c r="V313" s="1" t="str">
        <f>IFERROR(__xludf.DUMMYFUNCTION("""COMPUTED_VALUE"""),"Nate Vela")</f>
        <v>Nate Vela</v>
      </c>
      <c r="W313" s="1" t="str">
        <f>IFERROR(__xludf.DUMMYFUNCTION("""COMPUTED_VALUE"""),"Admin Support NA")</f>
        <v>Admin Support NA</v>
      </c>
    </row>
    <row r="314">
      <c r="O314" s="1" t="str">
        <f>IFERROR(__xludf.DUMMYFUNCTION("""COMPUTED_VALUE"""),"2025 Jul")</f>
        <v>2025 Jul</v>
      </c>
      <c r="P314" s="1" t="str">
        <f>IFERROR(__xludf.DUMMYFUNCTION("""COMPUTED_VALUE"""),"High Sensitivity Support")</f>
        <v>High Sensitivity Support</v>
      </c>
      <c r="Q314" s="1" t="str">
        <f>IFERROR(__xludf.DUMMYFUNCTION("""COMPUTED_VALUE"""),"aubrey@canva.com")</f>
        <v>aubrey@canva.com</v>
      </c>
      <c r="R314" s="1" t="str">
        <f>IFERROR(__xludf.DUMMYFUNCTION("""COMPUTED_VALUE"""),"Aubrey Jasme")</f>
        <v>Aubrey Jasme</v>
      </c>
      <c r="S314" s="1"/>
      <c r="T314" s="1">
        <f>IFERROR(__xludf.DUMMYFUNCTION("""COMPUTED_VALUE"""),13.72)</f>
        <v>13.72</v>
      </c>
      <c r="U314" s="2">
        <f>IFERROR(__xludf.DUMMYFUNCTION("""COMPUTED_VALUE"""),13.72)</f>
        <v>13.72</v>
      </c>
      <c r="V314" s="1" t="str">
        <f>IFERROR(__xludf.DUMMYFUNCTION("""COMPUTED_VALUE"""),"Rex Villamor")</f>
        <v>Rex Villamor</v>
      </c>
      <c r="W314" s="1" t="str">
        <f>IFERROR(__xludf.DUMMYFUNCTION("""COMPUTED_VALUE"""),"High Sensitivity Support PH")</f>
        <v>High Sensitivity Support PH</v>
      </c>
    </row>
    <row r="315">
      <c r="O315" s="1" t="str">
        <f>IFERROR(__xludf.DUMMYFUNCTION("""COMPUTED_VALUE"""),"2025 Jul")</f>
        <v>2025 Jul</v>
      </c>
      <c r="P315" s="1" t="str">
        <f>IFERROR(__xludf.DUMMYFUNCTION("""COMPUTED_VALUE"""),"#N/A")</f>
        <v>#N/A</v>
      </c>
      <c r="Q315" s="1" t="str">
        <f>IFERROR(__xludf.DUMMYFUNCTION("""COMPUTED_VALUE"""),"audrielles@canva.com")</f>
        <v>audrielles@canva.com</v>
      </c>
      <c r="R315" s="1" t="str">
        <f>IFERROR(__xludf.DUMMYFUNCTION("""COMPUTED_VALUE"""),"Audrielle Santos")</f>
        <v>Audrielle Santos</v>
      </c>
      <c r="S315" s="1">
        <f>IFERROR(__xludf.DUMMYFUNCTION("""COMPUTED_VALUE"""),9.0)</f>
        <v>9</v>
      </c>
      <c r="T315" s="1"/>
      <c r="U315" s="2">
        <f>IFERROR(__xludf.DUMMYFUNCTION("""COMPUTED_VALUE"""),9.0)</f>
        <v>9</v>
      </c>
      <c r="V315" s="1" t="str">
        <f>IFERROR(__xludf.DUMMYFUNCTION("""COMPUTED_VALUE"""),"Issi Afable")</f>
        <v>Issi Afable</v>
      </c>
      <c r="W315" s="1" t="str">
        <f>IFERROR(__xludf.DUMMYFUNCTION("""COMPUTED_VALUE"""),"High Sensitivity Support PH")</f>
        <v>High Sensitivity Support PH</v>
      </c>
    </row>
    <row r="316">
      <c r="O316" s="1" t="str">
        <f>IFERROR(__xludf.DUMMYFUNCTION("""COMPUTED_VALUE"""),"2025 Jul")</f>
        <v>2025 Jul</v>
      </c>
      <c r="P316" s="1" t="str">
        <f>IFERROR(__xludf.DUMMYFUNCTION("""COMPUTED_VALUE"""),"Core Product Support")</f>
        <v>Core Product Support</v>
      </c>
      <c r="Q316" s="1" t="str">
        <f>IFERROR(__xludf.DUMMYFUNCTION("""COMPUTED_VALUE"""),"ayen@canva.com")</f>
        <v>ayen@canva.com</v>
      </c>
      <c r="R316" s="1" t="str">
        <f>IFERROR(__xludf.DUMMYFUNCTION("""COMPUTED_VALUE"""),"Ayen Realeza")</f>
        <v>Ayen Realeza</v>
      </c>
      <c r="S316" s="1">
        <f>IFERROR(__xludf.DUMMYFUNCTION("""COMPUTED_VALUE"""),10.25)</f>
        <v>10.25</v>
      </c>
      <c r="T316" s="1">
        <f>IFERROR(__xludf.DUMMYFUNCTION("""COMPUTED_VALUE"""),2.5)</f>
        <v>2.5</v>
      </c>
      <c r="U316" s="2">
        <f>IFERROR(__xludf.DUMMYFUNCTION("""COMPUTED_VALUE"""),12.75)</f>
        <v>12.75</v>
      </c>
      <c r="V316" s="1" t="str">
        <f>IFERROR(__xludf.DUMMYFUNCTION("""COMPUTED_VALUE"""),"Jelyn Elmido")</f>
        <v>Jelyn Elmido</v>
      </c>
      <c r="W316" s="1" t="str">
        <f>IFERROR(__xludf.DUMMYFUNCTION("""COMPUTED_VALUE"""),"Core Product Support Escalation Team")</f>
        <v>Core Product Support Escalation Team</v>
      </c>
    </row>
    <row r="317">
      <c r="O317" s="1" t="str">
        <f>IFERROR(__xludf.DUMMYFUNCTION("""COMPUTED_VALUE"""),"2025 Jul")</f>
        <v>2025 Jul</v>
      </c>
      <c r="P317" s="1" t="str">
        <f>IFERROR(__xludf.DUMMYFUNCTION("""COMPUTED_VALUE"""),"#N/A")</f>
        <v>#N/A</v>
      </c>
      <c r="Q317" s="1" t="str">
        <f>IFERROR(__xludf.DUMMYFUNCTION("""COMPUTED_VALUE"""),"bamboo@canva.com")</f>
        <v>bamboo@canva.com</v>
      </c>
      <c r="R317" s="1" t="str">
        <f>IFERROR(__xludf.DUMMYFUNCTION("""COMPUTED_VALUE"""),"Bamboo Reymundo")</f>
        <v>Bamboo Reymundo</v>
      </c>
      <c r="S317" s="1">
        <f>IFERROR(__xludf.DUMMYFUNCTION("""COMPUTED_VALUE"""),31.5)</f>
        <v>31.5</v>
      </c>
      <c r="T317" s="1">
        <f>IFERROR(__xludf.DUMMYFUNCTION("""COMPUTED_VALUE"""),4.5)</f>
        <v>4.5</v>
      </c>
      <c r="U317" s="2">
        <f>IFERROR(__xludf.DUMMYFUNCTION("""COMPUTED_VALUE"""),36.0)</f>
        <v>36</v>
      </c>
      <c r="V317" s="1" t="str">
        <f>IFERROR(__xludf.DUMMYFUNCTION("""COMPUTED_VALUE"""),"Marie Mordeno")</f>
        <v>Marie Mordeno</v>
      </c>
      <c r="W317" s="1" t="str">
        <f>IFERROR(__xludf.DUMMYFUNCTION("""COMPUTED_VALUE"""),"Advanced Billing &amp; Subscriptions")</f>
        <v>Advanced Billing &amp; Subscriptions</v>
      </c>
    </row>
    <row r="318">
      <c r="O318" s="1" t="str">
        <f>IFERROR(__xludf.DUMMYFUNCTION("""COMPUTED_VALUE"""),"2025 Jul")</f>
        <v>2025 Jul</v>
      </c>
      <c r="P318" s="1" t="str">
        <f>IFERROR(__xludf.DUMMYFUNCTION("""COMPUTED_VALUE"""),"Print Support")</f>
        <v>Print Support</v>
      </c>
      <c r="Q318" s="1" t="str">
        <f>IFERROR(__xludf.DUMMYFUNCTION("""COMPUTED_VALUE"""),"jborreros@canva.com")</f>
        <v>jborreros@canva.com</v>
      </c>
      <c r="R318" s="1" t="str">
        <f>IFERROR(__xludf.DUMMYFUNCTION("""COMPUTED_VALUE"""),"Bea Borreros")</f>
        <v>Bea Borreros</v>
      </c>
      <c r="S318" s="1">
        <f>IFERROR(__xludf.DUMMYFUNCTION("""COMPUTED_VALUE"""),17.0)</f>
        <v>17</v>
      </c>
      <c r="T318" s="1">
        <f>IFERROR(__xludf.DUMMYFUNCTION("""COMPUTED_VALUE"""),2.0)</f>
        <v>2</v>
      </c>
      <c r="U318" s="2">
        <f>IFERROR(__xludf.DUMMYFUNCTION("""COMPUTED_VALUE"""),19.0)</f>
        <v>19</v>
      </c>
      <c r="V318" s="1" t="str">
        <f>IFERROR(__xludf.DUMMYFUNCTION("""COMPUTED_VALUE"""),"Memae Faustino")</f>
        <v>Memae Faustino</v>
      </c>
      <c r="W318" s="1" t="str">
        <f>IFERROR(__xludf.DUMMYFUNCTION("""COMPUTED_VALUE"""),"Print Support PH")</f>
        <v>Print Support PH</v>
      </c>
    </row>
    <row r="319">
      <c r="O319" s="1" t="str">
        <f>IFERROR(__xludf.DUMMYFUNCTION("""COMPUTED_VALUE"""),"2025 Jul")</f>
        <v>2025 Jul</v>
      </c>
      <c r="P319" s="1" t="str">
        <f>IFERROR(__xludf.DUMMYFUNCTION("""COMPUTED_VALUE"""),"Print Support")</f>
        <v>Print Support</v>
      </c>
      <c r="Q319" s="1" t="str">
        <f>IFERROR(__xludf.DUMMYFUNCTION("""COMPUTED_VALUE"""),"bea@canva.com")</f>
        <v>bea@canva.com</v>
      </c>
      <c r="R319" s="1" t="str">
        <f>IFERROR(__xludf.DUMMYFUNCTION("""COMPUTED_VALUE"""),"Bea Mendoza")</f>
        <v>Bea Mendoza</v>
      </c>
      <c r="S319" s="1">
        <f>IFERROR(__xludf.DUMMYFUNCTION("""COMPUTED_VALUE"""),12.5)</f>
        <v>12.5</v>
      </c>
      <c r="T319" s="1">
        <f>IFERROR(__xludf.DUMMYFUNCTION("""COMPUTED_VALUE"""),6.08)</f>
        <v>6.08</v>
      </c>
      <c r="U319" s="2">
        <f>IFERROR(__xludf.DUMMYFUNCTION("""COMPUTED_VALUE"""),18.58)</f>
        <v>18.58</v>
      </c>
      <c r="V319" s="1" t="str">
        <f>IFERROR(__xludf.DUMMYFUNCTION("""COMPUTED_VALUE"""),"Aliza Dote")</f>
        <v>Aliza Dote</v>
      </c>
      <c r="W319" s="1" t="str">
        <f>IFERROR(__xludf.DUMMYFUNCTION("""COMPUTED_VALUE"""),"Print Design Support")</f>
        <v>Print Design Support</v>
      </c>
    </row>
    <row r="320">
      <c r="O320" s="1" t="str">
        <f>IFERROR(__xludf.DUMMYFUNCTION("""COMPUTED_VALUE"""),"2025 Jul")</f>
        <v>2025 Jul</v>
      </c>
      <c r="P320" s="1" t="str">
        <f>IFERROR(__xludf.DUMMYFUNCTION("""COMPUTED_VALUE"""),"Print Support")</f>
        <v>Print Support</v>
      </c>
      <c r="Q320" s="1" t="str">
        <f>IFERROR(__xludf.DUMMYFUNCTION("""COMPUTED_VALUE"""),"bembiellanza@canva.com")</f>
        <v>bembiellanza@canva.com</v>
      </c>
      <c r="R320" s="1" t="str">
        <f>IFERROR(__xludf.DUMMYFUNCTION("""COMPUTED_VALUE"""),"Bembie Llanza")</f>
        <v>Bembie Llanza</v>
      </c>
      <c r="S320" s="1">
        <f>IFERROR(__xludf.DUMMYFUNCTION("""COMPUTED_VALUE"""),6.92)</f>
        <v>6.92</v>
      </c>
      <c r="T320" s="1">
        <f>IFERROR(__xludf.DUMMYFUNCTION("""COMPUTED_VALUE"""),6.58)</f>
        <v>6.58</v>
      </c>
      <c r="U320" s="2">
        <f>IFERROR(__xludf.DUMMYFUNCTION("""COMPUTED_VALUE"""),13.5)</f>
        <v>13.5</v>
      </c>
      <c r="V320" s="1" t="str">
        <f>IFERROR(__xludf.DUMMYFUNCTION("""COMPUTED_VALUE"""),"Althea Mercado")</f>
        <v>Althea Mercado</v>
      </c>
      <c r="W320" s="1" t="str">
        <f>IFERROR(__xludf.DUMMYFUNCTION("""COMPUTED_VALUE"""),"Print Support PH")</f>
        <v>Print Support PH</v>
      </c>
    </row>
    <row r="321">
      <c r="O321" s="1" t="str">
        <f>IFERROR(__xludf.DUMMYFUNCTION("""COMPUTED_VALUE"""),"2025 Jul")</f>
        <v>2025 Jul</v>
      </c>
      <c r="P321" s="1" t="str">
        <f>IFERROR(__xludf.DUMMYFUNCTION("""COMPUTED_VALUE"""),"Segment-specific Support")</f>
        <v>Segment-specific Support</v>
      </c>
      <c r="Q321" s="1" t="str">
        <f>IFERROR(__xludf.DUMMYFUNCTION("""COMPUTED_VALUE"""),"bernice@canva.com")</f>
        <v>bernice@canva.com</v>
      </c>
      <c r="R321" s="1" t="str">
        <f>IFERROR(__xludf.DUMMYFUNCTION("""COMPUTED_VALUE"""),"Bernice Talosig")</f>
        <v>Bernice Talosig</v>
      </c>
      <c r="S321" s="1">
        <f>IFERROR(__xludf.DUMMYFUNCTION("""COMPUTED_VALUE"""),1.0)</f>
        <v>1</v>
      </c>
      <c r="T321" s="1">
        <f>IFERROR(__xludf.DUMMYFUNCTION("""COMPUTED_VALUE"""),5.0)</f>
        <v>5</v>
      </c>
      <c r="U321" s="2">
        <f>IFERROR(__xludf.DUMMYFUNCTION("""COMPUTED_VALUE"""),6.0)</f>
        <v>6</v>
      </c>
      <c r="V321" s="1" t="str">
        <f>IFERROR(__xludf.DUMMYFUNCTION("""COMPUTED_VALUE"""),"Gucci Nava")</f>
        <v>Gucci Nava</v>
      </c>
      <c r="W321" s="1" t="str">
        <f>IFERROR(__xludf.DUMMYFUNCTION("""COMPUTED_VALUE"""),"Affinity Support")</f>
        <v>Affinity Support</v>
      </c>
    </row>
    <row r="322">
      <c r="O322" s="1" t="str">
        <f>IFERROR(__xludf.DUMMYFUNCTION("""COMPUTED_VALUE"""),"2025 Jul")</f>
        <v>2025 Jul</v>
      </c>
      <c r="P322" s="1" t="str">
        <f>IFERROR(__xludf.DUMMYFUNCTION("""COMPUTED_VALUE"""),"Core Product Support")</f>
        <v>Core Product Support</v>
      </c>
      <c r="Q322" s="1" t="str">
        <f>IFERROR(__xludf.DUMMYFUNCTION("""COMPUTED_VALUE"""),"beverlymarie@canva.com")</f>
        <v>beverlymarie@canva.com</v>
      </c>
      <c r="R322" s="1" t="str">
        <f>IFERROR(__xludf.DUMMYFUNCTION("""COMPUTED_VALUE"""),"Bev Dacanay")</f>
        <v>Bev Dacanay</v>
      </c>
      <c r="S322" s="1">
        <f>IFERROR(__xludf.DUMMYFUNCTION("""COMPUTED_VALUE"""),31.9)</f>
        <v>31.9</v>
      </c>
      <c r="T322" s="1">
        <f>IFERROR(__xludf.DUMMYFUNCTION("""COMPUTED_VALUE"""),16.65)</f>
        <v>16.65</v>
      </c>
      <c r="U322" s="2">
        <f>IFERROR(__xludf.DUMMYFUNCTION("""COMPUTED_VALUE"""),48.55)</f>
        <v>48.55</v>
      </c>
      <c r="V322" s="1" t="str">
        <f>IFERROR(__xludf.DUMMYFUNCTION("""COMPUTED_VALUE"""),"Ayza Marie Pascual")</f>
        <v>Ayza Marie Pascual</v>
      </c>
      <c r="W322" s="1" t="str">
        <f>IFERROR(__xludf.DUMMYFUNCTION("""COMPUTED_VALUE"""),"Advanced Billing &amp; Subscriptions")</f>
        <v>Advanced Billing &amp; Subscriptions</v>
      </c>
    </row>
    <row r="323">
      <c r="O323" s="1" t="str">
        <f>IFERROR(__xludf.DUMMYFUNCTION("""COMPUTED_VALUE"""),"2025 Jul")</f>
        <v>2025 Jul</v>
      </c>
      <c r="P323" s="1" t="str">
        <f>IFERROR(__xludf.DUMMYFUNCTION("""COMPUTED_VALUE"""),"Admin Support")</f>
        <v>Admin Support</v>
      </c>
      <c r="Q323" s="1" t="str">
        <f>IFERROR(__xludf.DUMMYFUNCTION("""COMPUTED_VALUE"""),"bia@canva.com")</f>
        <v>bia@canva.com</v>
      </c>
      <c r="R323" s="1" t="str">
        <f>IFERROR(__xludf.DUMMYFUNCTION("""COMPUTED_VALUE"""),"Bianca Santiago")</f>
        <v>Bianca Santiago</v>
      </c>
      <c r="S323" s="1"/>
      <c r="T323" s="1">
        <f>IFERROR(__xludf.DUMMYFUNCTION("""COMPUTED_VALUE"""),2.5)</f>
        <v>2.5</v>
      </c>
      <c r="U323" s="2">
        <f>IFERROR(__xludf.DUMMYFUNCTION("""COMPUTED_VALUE"""),2.5)</f>
        <v>2.5</v>
      </c>
      <c r="V323" s="1" t="str">
        <f>IFERROR(__xludf.DUMMYFUNCTION("""COMPUTED_VALUE"""),"Karla Mananghaya")</f>
        <v>Karla Mananghaya</v>
      </c>
      <c r="W323" s="1" t="str">
        <f>IFERROR(__xludf.DUMMYFUNCTION("""COMPUTED_VALUE"""),"Admin Support Service Escalation Team")</f>
        <v>Admin Support Service Escalation Team</v>
      </c>
    </row>
    <row r="324">
      <c r="O324" s="1" t="str">
        <f>IFERROR(__xludf.DUMMYFUNCTION("""COMPUTED_VALUE"""),"2025 Jul")</f>
        <v>2025 Jul</v>
      </c>
      <c r="P324" s="1" t="str">
        <f>IFERROR(__xludf.DUMMYFUNCTION("""COMPUTED_VALUE"""),"Core Product Support")</f>
        <v>Core Product Support</v>
      </c>
      <c r="Q324" s="1" t="str">
        <f>IFERROR(__xludf.DUMMYFUNCTION("""COMPUTED_VALUE"""),"bryanb@canva.com")</f>
        <v>bryanb@canva.com</v>
      </c>
      <c r="R324" s="1" t="str">
        <f>IFERROR(__xludf.DUMMYFUNCTION("""COMPUTED_VALUE"""),"Bryan Lemuel Britanico")</f>
        <v>Bryan Lemuel Britanico</v>
      </c>
      <c r="S324" s="1">
        <f>IFERROR(__xludf.DUMMYFUNCTION("""COMPUTED_VALUE"""),19.58)</f>
        <v>19.58</v>
      </c>
      <c r="T324" s="1">
        <f>IFERROR(__xludf.DUMMYFUNCTION("""COMPUTED_VALUE"""),16.75)</f>
        <v>16.75</v>
      </c>
      <c r="U324" s="2">
        <f>IFERROR(__xludf.DUMMYFUNCTION("""COMPUTED_VALUE"""),36.33)</f>
        <v>36.33</v>
      </c>
      <c r="V324" s="1" t="str">
        <f>IFERROR(__xludf.DUMMYFUNCTION("""COMPUTED_VALUE"""),"Jahmie Mae Barrameda")</f>
        <v>Jahmie Mae Barrameda</v>
      </c>
      <c r="W324" s="1" t="str">
        <f>IFERROR(__xludf.DUMMYFUNCTION("""COMPUTED_VALUE"""),"Advanced Billing &amp; Subscriptions")</f>
        <v>Advanced Billing &amp; Subscriptions</v>
      </c>
    </row>
    <row r="325">
      <c r="O325" s="1" t="str">
        <f>IFERROR(__xludf.DUMMYFUNCTION("""COMPUTED_VALUE"""),"2025 Jul")</f>
        <v>2025 Jul</v>
      </c>
      <c r="P325" s="1" t="str">
        <f>IFERROR(__xludf.DUMMYFUNCTION("""COMPUTED_VALUE"""),"Print Support")</f>
        <v>Print Support</v>
      </c>
      <c r="Q325" s="1" t="str">
        <f>IFERROR(__xludf.DUMMYFUNCTION("""COMPUTED_VALUE"""),"caesar@canva.com")</f>
        <v>caesar@canva.com</v>
      </c>
      <c r="R325" s="1" t="str">
        <f>IFERROR(__xludf.DUMMYFUNCTION("""COMPUTED_VALUE"""),"Caesar Bitudio")</f>
        <v>Caesar Bitudio</v>
      </c>
      <c r="S325" s="1">
        <f>IFERROR(__xludf.DUMMYFUNCTION("""COMPUTED_VALUE"""),8.75)</f>
        <v>8.75</v>
      </c>
      <c r="T325" s="1">
        <f>IFERROR(__xludf.DUMMYFUNCTION("""COMPUTED_VALUE"""),2.83)</f>
        <v>2.83</v>
      </c>
      <c r="U325" s="2">
        <f>IFERROR(__xludf.DUMMYFUNCTION("""COMPUTED_VALUE"""),11.58)</f>
        <v>11.58</v>
      </c>
      <c r="V325" s="1" t="str">
        <f>IFERROR(__xludf.DUMMYFUNCTION("""COMPUTED_VALUE"""),"G-Anne Murillo")</f>
        <v>G-Anne Murillo</v>
      </c>
      <c r="W325" s="1" t="str">
        <f>IFERROR(__xludf.DUMMYFUNCTION("""COMPUTED_VALUE"""),"Print Design Support")</f>
        <v>Print Design Support</v>
      </c>
    </row>
    <row r="326">
      <c r="O326" s="1" t="str">
        <f>IFERROR(__xludf.DUMMYFUNCTION("""COMPUTED_VALUE"""),"2025 Jul")</f>
        <v>2025 Jul</v>
      </c>
      <c r="P326" s="1" t="str">
        <f>IFERROR(__xludf.DUMMYFUNCTION("""COMPUTED_VALUE"""),"Core Product Support")</f>
        <v>Core Product Support</v>
      </c>
      <c r="Q326" s="1" t="str">
        <f>IFERROR(__xludf.DUMMYFUNCTION("""COMPUTED_VALUE"""),"cae@canva.com")</f>
        <v>cae@canva.com</v>
      </c>
      <c r="R326" s="1" t="str">
        <f>IFERROR(__xludf.DUMMYFUNCTION("""COMPUTED_VALUE"""),"Caevee Dizon")</f>
        <v>Caevee Dizon</v>
      </c>
      <c r="S326" s="1">
        <f>IFERROR(__xludf.DUMMYFUNCTION("""COMPUTED_VALUE"""),48.67)</f>
        <v>48.67</v>
      </c>
      <c r="T326" s="1">
        <f>IFERROR(__xludf.DUMMYFUNCTION("""COMPUTED_VALUE"""),22.58)</f>
        <v>22.58</v>
      </c>
      <c r="U326" s="2">
        <f>IFERROR(__xludf.DUMMYFUNCTION("""COMPUTED_VALUE"""),71.25)</f>
        <v>71.25</v>
      </c>
      <c r="V326" s="1" t="str">
        <f>IFERROR(__xludf.DUMMYFUNCTION("""COMPUTED_VALUE"""),"Jahmie Mae Barrameda")</f>
        <v>Jahmie Mae Barrameda</v>
      </c>
      <c r="W326" s="1" t="str">
        <f>IFERROR(__xludf.DUMMYFUNCTION("""COMPUTED_VALUE"""),"Advanced Billing &amp; Subscriptions")</f>
        <v>Advanced Billing &amp; Subscriptions</v>
      </c>
    </row>
    <row r="327">
      <c r="O327" s="1" t="str">
        <f>IFERROR(__xludf.DUMMYFUNCTION("""COMPUTED_VALUE"""),"2025 Jul")</f>
        <v>2025 Jul</v>
      </c>
      <c r="P327" s="1" t="str">
        <f>IFERROR(__xludf.DUMMYFUNCTION("""COMPUTED_VALUE"""),"#N/A")</f>
        <v>#N/A</v>
      </c>
      <c r="Q327" s="1" t="str">
        <f>IFERROR(__xludf.DUMMYFUNCTION("""COMPUTED_VALUE"""),"cali@canva.com")</f>
        <v>cali@canva.com</v>
      </c>
      <c r="R327" s="1" t="str">
        <f>IFERROR(__xludf.DUMMYFUNCTION("""COMPUTED_VALUE"""),"Cali Bermudo")</f>
        <v>Cali Bermudo</v>
      </c>
      <c r="S327" s="1">
        <f>IFERROR(__xludf.DUMMYFUNCTION("""COMPUTED_VALUE"""),6.92)</f>
        <v>6.92</v>
      </c>
      <c r="T327" s="1">
        <f>IFERROR(__xludf.DUMMYFUNCTION("""COMPUTED_VALUE"""),6.08)</f>
        <v>6.08</v>
      </c>
      <c r="U327" s="2">
        <f>IFERROR(__xludf.DUMMYFUNCTION("""COMPUTED_VALUE"""),13.0)</f>
        <v>13</v>
      </c>
      <c r="V327" s="1" t="str">
        <f>IFERROR(__xludf.DUMMYFUNCTION("""COMPUTED_VALUE"""),"#N/A")</f>
        <v>#N/A</v>
      </c>
      <c r="W327" s="1" t="str">
        <f>IFERROR(__xludf.DUMMYFUNCTION("""COMPUTED_VALUE"""),"Print Design Support")</f>
        <v>Print Design Support</v>
      </c>
    </row>
    <row r="328">
      <c r="O328" s="1" t="str">
        <f>IFERROR(__xludf.DUMMYFUNCTION("""COMPUTED_VALUE"""),"2025 Jul")</f>
        <v>2025 Jul</v>
      </c>
      <c r="P328" s="1" t="str">
        <f>IFERROR(__xludf.DUMMYFUNCTION("""COMPUTED_VALUE"""),"Admin Support")</f>
        <v>Admin Support</v>
      </c>
      <c r="Q328" s="1" t="str">
        <f>IFERROR(__xludf.DUMMYFUNCTION("""COMPUTED_VALUE"""),"cbasilio@canva.com")</f>
        <v>cbasilio@canva.com</v>
      </c>
      <c r="R328" s="1" t="str">
        <f>IFERROR(__xludf.DUMMYFUNCTION("""COMPUTED_VALUE"""),"Camille Basilio")</f>
        <v>Camille Basilio</v>
      </c>
      <c r="S328" s="1">
        <f>IFERROR(__xludf.DUMMYFUNCTION("""COMPUTED_VALUE"""),4.0)</f>
        <v>4</v>
      </c>
      <c r="T328" s="1">
        <f>IFERROR(__xludf.DUMMYFUNCTION("""COMPUTED_VALUE"""),3.27)</f>
        <v>3.27</v>
      </c>
      <c r="U328" s="2">
        <f>IFERROR(__xludf.DUMMYFUNCTION("""COMPUTED_VALUE"""),7.27)</f>
        <v>7.27</v>
      </c>
      <c r="V328" s="1" t="str">
        <f>IFERROR(__xludf.DUMMYFUNCTION("""COMPUTED_VALUE"""),"AL Suarez")</f>
        <v>AL Suarez</v>
      </c>
      <c r="W328" s="1" t="str">
        <f>IFERROR(__xludf.DUMMYFUNCTION("""COMPUTED_VALUE"""),"Admin Direct Support")</f>
        <v>Admin Direct Support</v>
      </c>
    </row>
    <row r="329">
      <c r="O329" s="1" t="str">
        <f>IFERROR(__xludf.DUMMYFUNCTION("""COMPUTED_VALUE"""),"2025 Jul")</f>
        <v>2025 Jul</v>
      </c>
      <c r="P329" s="1" t="str">
        <f>IFERROR(__xludf.DUMMYFUNCTION("""COMPUTED_VALUE"""),"Core Product Support")</f>
        <v>Core Product Support</v>
      </c>
      <c r="Q329" s="1" t="str">
        <f>IFERROR(__xludf.DUMMYFUNCTION("""COMPUTED_VALUE"""),"camilleb@canva.com")</f>
        <v>camilleb@canva.com</v>
      </c>
      <c r="R329" s="1" t="str">
        <f>IFERROR(__xludf.DUMMYFUNCTION("""COMPUTED_VALUE"""),"Camille Bucks")</f>
        <v>Camille Bucks</v>
      </c>
      <c r="S329" s="1">
        <f>IFERROR(__xludf.DUMMYFUNCTION("""COMPUTED_VALUE"""),9.73)</f>
        <v>9.73</v>
      </c>
      <c r="T329" s="1">
        <f>IFERROR(__xludf.DUMMYFUNCTION("""COMPUTED_VALUE"""),20.38)</f>
        <v>20.38</v>
      </c>
      <c r="U329" s="2">
        <f>IFERROR(__xludf.DUMMYFUNCTION("""COMPUTED_VALUE"""),30.11)</f>
        <v>30.11</v>
      </c>
      <c r="V329" s="1" t="str">
        <f>IFERROR(__xludf.DUMMYFUNCTION("""COMPUTED_VALUE"""),"Ellaine Estayo")</f>
        <v>Ellaine Estayo</v>
      </c>
      <c r="W329" s="1" t="str">
        <f>IFERROR(__xludf.DUMMYFUNCTION("""COMPUTED_VALUE"""),"Core Product Support Escalation Team")</f>
        <v>Core Product Support Escalation Team</v>
      </c>
    </row>
    <row r="330">
      <c r="O330" s="1" t="str">
        <f>IFERROR(__xludf.DUMMYFUNCTION("""COMPUTED_VALUE"""),"2025 Jul")</f>
        <v>2025 Jul</v>
      </c>
      <c r="P330" s="1" t="str">
        <f>IFERROR(__xludf.DUMMYFUNCTION("""COMPUTED_VALUE"""),"Admin Support")</f>
        <v>Admin Support</v>
      </c>
      <c r="Q330" s="1" t="str">
        <f>IFERROR(__xludf.DUMMYFUNCTION("""COMPUTED_VALUE"""),"camille.n@canva.com")</f>
        <v>camille.n@canva.com</v>
      </c>
      <c r="R330" s="1" t="str">
        <f>IFERROR(__xludf.DUMMYFUNCTION("""COMPUTED_VALUE"""),"Camille Neypes")</f>
        <v>Camille Neypes</v>
      </c>
      <c r="S330" s="1"/>
      <c r="T330" s="1">
        <f>IFERROR(__xludf.DUMMYFUNCTION("""COMPUTED_VALUE"""),6.0)</f>
        <v>6</v>
      </c>
      <c r="U330" s="2">
        <f>IFERROR(__xludf.DUMMYFUNCTION("""COMPUTED_VALUE"""),6.0)</f>
        <v>6</v>
      </c>
      <c r="V330" s="1" t="str">
        <f>IFERROR(__xludf.DUMMYFUNCTION("""COMPUTED_VALUE"""),"Kelden Laguting")</f>
        <v>Kelden Laguting</v>
      </c>
      <c r="W330" s="1" t="str">
        <f>IFERROR(__xludf.DUMMYFUNCTION("""COMPUTED_VALUE"""),"Admin Omni Support")</f>
        <v>Admin Omni Support</v>
      </c>
    </row>
    <row r="331">
      <c r="O331" s="1" t="str">
        <f>IFERROR(__xludf.DUMMYFUNCTION("""COMPUTED_VALUE"""),"2025 Jul")</f>
        <v>2025 Jul</v>
      </c>
      <c r="P331" s="1" t="str">
        <f>IFERROR(__xludf.DUMMYFUNCTION("""COMPUTED_VALUE"""),"Print Support")</f>
        <v>Print Support</v>
      </c>
      <c r="Q331" s="1" t="str">
        <f>IFERROR(__xludf.DUMMYFUNCTION("""COMPUTED_VALUE"""),"cammy@canva.com")</f>
        <v>cammy@canva.com</v>
      </c>
      <c r="R331" s="1" t="str">
        <f>IFERROR(__xludf.DUMMYFUNCTION("""COMPUTED_VALUE"""),"Camille Oriel")</f>
        <v>Camille Oriel</v>
      </c>
      <c r="S331" s="1">
        <f>IFERROR(__xludf.DUMMYFUNCTION("""COMPUTED_VALUE"""),13.75)</f>
        <v>13.75</v>
      </c>
      <c r="T331" s="1">
        <f>IFERROR(__xludf.DUMMYFUNCTION("""COMPUTED_VALUE"""),3.33)</f>
        <v>3.33</v>
      </c>
      <c r="U331" s="2">
        <f>IFERROR(__xludf.DUMMYFUNCTION("""COMPUTED_VALUE"""),17.08)</f>
        <v>17.08</v>
      </c>
      <c r="V331" s="1" t="str">
        <f>IFERROR(__xludf.DUMMYFUNCTION("""COMPUTED_VALUE"""),"Louise Dianne Estrella")</f>
        <v>Louise Dianne Estrella</v>
      </c>
      <c r="W331" s="1" t="str">
        <f>IFERROR(__xludf.DUMMYFUNCTION("""COMPUTED_VALUE"""),"Print Support PH")</f>
        <v>Print Support PH</v>
      </c>
    </row>
    <row r="332">
      <c r="O332" s="1" t="str">
        <f>IFERROR(__xludf.DUMMYFUNCTION("""COMPUTED_VALUE"""),"2025 Jul")</f>
        <v>2025 Jul</v>
      </c>
      <c r="P332" s="1" t="str">
        <f>IFERROR(__xludf.DUMMYFUNCTION("""COMPUTED_VALUE"""),"Admin Support")</f>
        <v>Admin Support</v>
      </c>
      <c r="Q332" s="1" t="str">
        <f>IFERROR(__xludf.DUMMYFUNCTION("""COMPUTED_VALUE"""),"carloav@canva.com")</f>
        <v>carloav@canva.com</v>
      </c>
      <c r="R332" s="1" t="str">
        <f>IFERROR(__xludf.DUMMYFUNCTION("""COMPUTED_VALUE"""),"Carlo Valentin")</f>
        <v>Carlo Valentin</v>
      </c>
      <c r="S332" s="1">
        <f>IFERROR(__xludf.DUMMYFUNCTION("""COMPUTED_VALUE"""),4.25)</f>
        <v>4.25</v>
      </c>
      <c r="T332" s="1">
        <f>IFERROR(__xludf.DUMMYFUNCTION("""COMPUTED_VALUE"""),5.42)</f>
        <v>5.42</v>
      </c>
      <c r="U332" s="2">
        <f>IFERROR(__xludf.DUMMYFUNCTION("""COMPUTED_VALUE"""),9.67)</f>
        <v>9.67</v>
      </c>
      <c r="V332" s="1" t="str">
        <f>IFERROR(__xludf.DUMMYFUNCTION("""COMPUTED_VALUE"""),"Kelden Laguting")</f>
        <v>Kelden Laguting</v>
      </c>
      <c r="W332" s="1" t="str">
        <f>IFERROR(__xludf.DUMMYFUNCTION("""COMPUTED_VALUE"""),"Admin Omni Support")</f>
        <v>Admin Omni Support</v>
      </c>
    </row>
    <row r="333">
      <c r="O333" s="1" t="str">
        <f>IFERROR(__xludf.DUMMYFUNCTION("""COMPUTED_VALUE"""),"2025 Jul")</f>
        <v>2025 Jul</v>
      </c>
      <c r="P333" s="1" t="str">
        <f>IFERROR(__xludf.DUMMYFUNCTION("""COMPUTED_VALUE"""),"Core Product Support")</f>
        <v>Core Product Support</v>
      </c>
      <c r="Q333" s="1" t="str">
        <f>IFERROR(__xludf.DUMMYFUNCTION("""COMPUTED_VALUE"""),"carmeladc@canva.com")</f>
        <v>carmeladc@canva.com</v>
      </c>
      <c r="R333" s="1" t="str">
        <f>IFERROR(__xludf.DUMMYFUNCTION("""COMPUTED_VALUE"""),"Carmela Dela Cruz")</f>
        <v>Carmela Dela Cruz</v>
      </c>
      <c r="S333" s="1">
        <f>IFERROR(__xludf.DUMMYFUNCTION("""COMPUTED_VALUE"""),26.5)</f>
        <v>26.5</v>
      </c>
      <c r="T333" s="1">
        <f>IFERROR(__xludf.DUMMYFUNCTION("""COMPUTED_VALUE"""),11.75)</f>
        <v>11.75</v>
      </c>
      <c r="U333" s="2">
        <f>IFERROR(__xludf.DUMMYFUNCTION("""COMPUTED_VALUE"""),38.25)</f>
        <v>38.25</v>
      </c>
      <c r="V333" s="1" t="str">
        <f>IFERROR(__xludf.DUMMYFUNCTION("""COMPUTED_VALUE"""),"Marie Mordeno")</f>
        <v>Marie Mordeno</v>
      </c>
      <c r="W333" s="1" t="str">
        <f>IFERROR(__xludf.DUMMYFUNCTION("""COMPUTED_VALUE"""),"Advanced Billing &amp; Subscriptions")</f>
        <v>Advanced Billing &amp; Subscriptions</v>
      </c>
    </row>
    <row r="334">
      <c r="O334" s="1" t="str">
        <f>IFERROR(__xludf.DUMMYFUNCTION("""COMPUTED_VALUE"""),"2025 Jul")</f>
        <v>2025 Jul</v>
      </c>
      <c r="P334" s="1" t="str">
        <f>IFERROR(__xludf.DUMMYFUNCTION("""COMPUTED_VALUE"""),"Print Support")</f>
        <v>Print Support</v>
      </c>
      <c r="Q334" s="1" t="str">
        <f>IFERROR(__xludf.DUMMYFUNCTION("""COMPUTED_VALUE"""),"carms@canva.com")</f>
        <v>carms@canva.com</v>
      </c>
      <c r="R334" s="1" t="str">
        <f>IFERROR(__xludf.DUMMYFUNCTION("""COMPUTED_VALUE"""),"Carms Merilles")</f>
        <v>Carms Merilles</v>
      </c>
      <c r="S334" s="1">
        <f>IFERROR(__xludf.DUMMYFUNCTION("""COMPUTED_VALUE"""),6.33)</f>
        <v>6.33</v>
      </c>
      <c r="T334" s="1">
        <f>IFERROR(__xludf.DUMMYFUNCTION("""COMPUTED_VALUE"""),6.17)</f>
        <v>6.17</v>
      </c>
      <c r="U334" s="2">
        <f>IFERROR(__xludf.DUMMYFUNCTION("""COMPUTED_VALUE"""),12.5)</f>
        <v>12.5</v>
      </c>
      <c r="V334" s="1" t="str">
        <f>IFERROR(__xludf.DUMMYFUNCTION("""COMPUTED_VALUE"""),"Gem Agoncillo")</f>
        <v>Gem Agoncillo</v>
      </c>
      <c r="W334" s="1" t="str">
        <f>IFERROR(__xludf.DUMMYFUNCTION("""COMPUTED_VALUE"""),"Print Design Support")</f>
        <v>Print Design Support</v>
      </c>
    </row>
    <row r="335">
      <c r="O335" s="1" t="str">
        <f>IFERROR(__xludf.DUMMYFUNCTION("""COMPUTED_VALUE"""),"2025 Jul")</f>
        <v>2025 Jul</v>
      </c>
      <c r="P335" s="1" t="str">
        <f>IFERROR(__xludf.DUMMYFUNCTION("""COMPUTED_VALUE"""),"High Sensitivity Support")</f>
        <v>High Sensitivity Support</v>
      </c>
      <c r="Q335" s="1" t="str">
        <f>IFERROR(__xludf.DUMMYFUNCTION("""COMPUTED_VALUE"""),"cassie@canva.com")</f>
        <v>cassie@canva.com</v>
      </c>
      <c r="R335" s="1" t="str">
        <f>IFERROR(__xludf.DUMMYFUNCTION("""COMPUTED_VALUE"""),"Cassie Eugenio")</f>
        <v>Cassie Eugenio</v>
      </c>
      <c r="S335" s="1">
        <f>IFERROR(__xludf.DUMMYFUNCTION("""COMPUTED_VALUE"""),29.33)</f>
        <v>29.33</v>
      </c>
      <c r="T335" s="1">
        <f>IFERROR(__xludf.DUMMYFUNCTION("""COMPUTED_VALUE"""),11.25)</f>
        <v>11.25</v>
      </c>
      <c r="U335" s="2">
        <f>IFERROR(__xludf.DUMMYFUNCTION("""COMPUTED_VALUE"""),40.58)</f>
        <v>40.58</v>
      </c>
      <c r="V335" s="1" t="str">
        <f>IFERROR(__xludf.DUMMYFUNCTION("""COMPUTED_VALUE"""),"Issi Afable")</f>
        <v>Issi Afable</v>
      </c>
      <c r="W335" s="1" t="str">
        <f>IFERROR(__xludf.DUMMYFUNCTION("""COMPUTED_VALUE"""),"High Sensitivity Support PH")</f>
        <v>High Sensitivity Support PH</v>
      </c>
    </row>
    <row r="336">
      <c r="O336" s="1" t="str">
        <f>IFERROR(__xludf.DUMMYFUNCTION("""COMPUTED_VALUE"""),"2025 Jul")</f>
        <v>2025 Jul</v>
      </c>
      <c r="P336" s="1" t="str">
        <f>IFERROR(__xludf.DUMMYFUNCTION("""COMPUTED_VALUE"""),"Print Support")</f>
        <v>Print Support</v>
      </c>
      <c r="Q336" s="1" t="str">
        <f>IFERROR(__xludf.DUMMYFUNCTION("""COMPUTED_VALUE"""),"catherinenicole@canva.com")</f>
        <v>catherinenicole@canva.com</v>
      </c>
      <c r="R336" s="1" t="str">
        <f>IFERROR(__xludf.DUMMYFUNCTION("""COMPUTED_VALUE"""),"Catherine Ledesma")</f>
        <v>Catherine Ledesma</v>
      </c>
      <c r="S336" s="1">
        <f>IFERROR(__xludf.DUMMYFUNCTION("""COMPUTED_VALUE"""),9.75)</f>
        <v>9.75</v>
      </c>
      <c r="T336" s="1">
        <f>IFERROR(__xludf.DUMMYFUNCTION("""COMPUTED_VALUE"""),6.58)</f>
        <v>6.58</v>
      </c>
      <c r="U336" s="2">
        <f>IFERROR(__xludf.DUMMYFUNCTION("""COMPUTED_VALUE"""),16.33)</f>
        <v>16.33</v>
      </c>
      <c r="V336" s="1" t="str">
        <f>IFERROR(__xludf.DUMMYFUNCTION("""COMPUTED_VALUE"""),"Jen Momo")</f>
        <v>Jen Momo</v>
      </c>
      <c r="W336" s="1" t="str">
        <f>IFERROR(__xludf.DUMMYFUNCTION("""COMPUTED_VALUE"""),"Print Support PH")</f>
        <v>Print Support PH</v>
      </c>
    </row>
    <row r="337">
      <c r="O337" s="1" t="str">
        <f>IFERROR(__xludf.DUMMYFUNCTION("""COMPUTED_VALUE"""),"2025 Jul")</f>
        <v>2025 Jul</v>
      </c>
      <c r="P337" s="1" t="str">
        <f>IFERROR(__xludf.DUMMYFUNCTION("""COMPUTED_VALUE"""),"Core Product Support")</f>
        <v>Core Product Support</v>
      </c>
      <c r="Q337" s="1" t="str">
        <f>IFERROR(__xludf.DUMMYFUNCTION("""COMPUTED_VALUE"""),"laranang@canva.com")</f>
        <v>laranang@canva.com</v>
      </c>
      <c r="R337" s="1" t="str">
        <f>IFERROR(__xludf.DUMMYFUNCTION("""COMPUTED_VALUE"""),"Cha Laranang")</f>
        <v>Cha Laranang</v>
      </c>
      <c r="S337" s="1">
        <f>IFERROR(__xludf.DUMMYFUNCTION("""COMPUTED_VALUE"""),48.42)</f>
        <v>48.42</v>
      </c>
      <c r="T337" s="1">
        <f>IFERROR(__xludf.DUMMYFUNCTION("""COMPUTED_VALUE"""),5.33)</f>
        <v>5.33</v>
      </c>
      <c r="U337" s="2">
        <f>IFERROR(__xludf.DUMMYFUNCTION("""COMPUTED_VALUE"""),53.75)</f>
        <v>53.75</v>
      </c>
      <c r="V337" s="1" t="str">
        <f>IFERROR(__xludf.DUMMYFUNCTION("""COMPUTED_VALUE"""),"Cate Velasco")</f>
        <v>Cate Velasco</v>
      </c>
      <c r="W337" s="1" t="str">
        <f>IFERROR(__xludf.DUMMYFUNCTION("""COMPUTED_VALUE"""),"Advanced Product Support")</f>
        <v>Advanced Product Support</v>
      </c>
    </row>
    <row r="338">
      <c r="O338" s="1" t="str">
        <f>IFERROR(__xludf.DUMMYFUNCTION("""COMPUTED_VALUE"""),"2025 Jul")</f>
        <v>2025 Jul</v>
      </c>
      <c r="P338" s="1" t="str">
        <f>IFERROR(__xludf.DUMMYFUNCTION("""COMPUTED_VALUE"""),"Core Product Support")</f>
        <v>Core Product Support</v>
      </c>
      <c r="Q338" s="1" t="str">
        <f>IFERROR(__xludf.DUMMYFUNCTION("""COMPUTED_VALUE"""),"chace@canva.com")</f>
        <v>chace@canva.com</v>
      </c>
      <c r="R338" s="1" t="str">
        <f>IFERROR(__xludf.DUMMYFUNCTION("""COMPUTED_VALUE"""),"Chace Ablaza")</f>
        <v>Chace Ablaza</v>
      </c>
      <c r="S338" s="1">
        <f>IFERROR(__xludf.DUMMYFUNCTION("""COMPUTED_VALUE"""),3.75)</f>
        <v>3.75</v>
      </c>
      <c r="T338" s="1">
        <f>IFERROR(__xludf.DUMMYFUNCTION("""COMPUTED_VALUE"""),3.0)</f>
        <v>3</v>
      </c>
      <c r="U338" s="2">
        <f>IFERROR(__xludf.DUMMYFUNCTION("""COMPUTED_VALUE"""),6.75)</f>
        <v>6.75</v>
      </c>
      <c r="V338" s="1" t="str">
        <f>IFERROR(__xludf.DUMMYFUNCTION("""COMPUTED_VALUE"""),"Ellaine Estayo")</f>
        <v>Ellaine Estayo</v>
      </c>
      <c r="W338" s="1" t="str">
        <f>IFERROR(__xludf.DUMMYFUNCTION("""COMPUTED_VALUE"""),"Core Product Support Escalation Team")</f>
        <v>Core Product Support Escalation Team</v>
      </c>
    </row>
    <row r="339">
      <c r="O339" s="1" t="str">
        <f>IFERROR(__xludf.DUMMYFUNCTION("""COMPUTED_VALUE"""),"2025 Jul")</f>
        <v>2025 Jul</v>
      </c>
      <c r="P339" s="1" t="str">
        <f>IFERROR(__xludf.DUMMYFUNCTION("""COMPUTED_VALUE"""),"Core Product Support")</f>
        <v>Core Product Support</v>
      </c>
      <c r="Q339" s="1" t="str">
        <f>IFERROR(__xludf.DUMMYFUNCTION("""COMPUTED_VALUE"""),"charissa@canva.com")</f>
        <v>charissa@canva.com</v>
      </c>
      <c r="R339" s="1" t="str">
        <f>IFERROR(__xludf.DUMMYFUNCTION("""COMPUTED_VALUE"""),"Charissa Goyena")</f>
        <v>Charissa Goyena</v>
      </c>
      <c r="S339" s="1">
        <f>IFERROR(__xludf.DUMMYFUNCTION("""COMPUTED_VALUE"""),55.25)</f>
        <v>55.25</v>
      </c>
      <c r="T339" s="1">
        <f>IFERROR(__xludf.DUMMYFUNCTION("""COMPUTED_VALUE"""),36.0)</f>
        <v>36</v>
      </c>
      <c r="U339" s="2">
        <f>IFERROR(__xludf.DUMMYFUNCTION("""COMPUTED_VALUE"""),91.25)</f>
        <v>91.25</v>
      </c>
      <c r="V339" s="1" t="str">
        <f>IFERROR(__xludf.DUMMYFUNCTION("""COMPUTED_VALUE"""),"Vinz Lazaro")</f>
        <v>Vinz Lazaro</v>
      </c>
      <c r="W339" s="1" t="str">
        <f>IFERROR(__xludf.DUMMYFUNCTION("""COMPUTED_VALUE"""),"Advanced Product Support")</f>
        <v>Advanced Product Support</v>
      </c>
    </row>
    <row r="340">
      <c r="O340" s="1" t="str">
        <f>IFERROR(__xludf.DUMMYFUNCTION("""COMPUTED_VALUE"""),"2025 Jul")</f>
        <v>2025 Jul</v>
      </c>
      <c r="P340" s="1" t="str">
        <f>IFERROR(__xludf.DUMMYFUNCTION("""COMPUTED_VALUE"""),"Segment-specific Support")</f>
        <v>Segment-specific Support</v>
      </c>
      <c r="Q340" s="1" t="str">
        <f>IFERROR(__xludf.DUMMYFUNCTION("""COMPUTED_VALUE"""),"charizavargas@canva.com")</f>
        <v>charizavargas@canva.com</v>
      </c>
      <c r="R340" s="1" t="str">
        <f>IFERROR(__xludf.DUMMYFUNCTION("""COMPUTED_VALUE"""),"Chariza Vargas")</f>
        <v>Chariza Vargas</v>
      </c>
      <c r="S340" s="1">
        <f>IFERROR(__xludf.DUMMYFUNCTION("""COMPUTED_VALUE"""),6.0)</f>
        <v>6</v>
      </c>
      <c r="T340" s="1">
        <f>IFERROR(__xludf.DUMMYFUNCTION("""COMPUTED_VALUE"""),2.0)</f>
        <v>2</v>
      </c>
      <c r="U340" s="2">
        <f>IFERROR(__xludf.DUMMYFUNCTION("""COMPUTED_VALUE"""),8.0)</f>
        <v>8</v>
      </c>
      <c r="V340" s="1" t="str">
        <f>IFERROR(__xludf.DUMMYFUNCTION("""COMPUTED_VALUE"""),"Aileen Dayanghirang")</f>
        <v>Aileen Dayanghirang</v>
      </c>
      <c r="W340" s="1" t="str">
        <f>IFERROR(__xludf.DUMMYFUNCTION("""COMPUTED_VALUE"""),"Creators Support")</f>
        <v>Creators Support</v>
      </c>
    </row>
    <row r="341">
      <c r="O341" s="1" t="str">
        <f>IFERROR(__xludf.DUMMYFUNCTION("""COMPUTED_VALUE"""),"2025 Jul")</f>
        <v>2025 Jul</v>
      </c>
      <c r="P341" s="1" t="str">
        <f>IFERROR(__xludf.DUMMYFUNCTION("""COMPUTED_VALUE"""),"Admin Support")</f>
        <v>Admin Support</v>
      </c>
      <c r="Q341" s="1" t="str">
        <f>IFERROR(__xludf.DUMMYFUNCTION("""COMPUTED_VALUE"""),"charlest@canva.com")</f>
        <v>charlest@canva.com</v>
      </c>
      <c r="R341" s="1" t="str">
        <f>IFERROR(__xludf.DUMMYFUNCTION("""COMPUTED_VALUE"""),"Charles Andrew Tan")</f>
        <v>Charles Andrew Tan</v>
      </c>
      <c r="S341" s="1"/>
      <c r="T341" s="1">
        <f>IFERROR(__xludf.DUMMYFUNCTION("""COMPUTED_VALUE"""),6.0)</f>
        <v>6</v>
      </c>
      <c r="U341" s="2">
        <f>IFERROR(__xludf.DUMMYFUNCTION("""COMPUTED_VALUE"""),6.0)</f>
        <v>6</v>
      </c>
      <c r="V341" s="1" t="str">
        <f>IFERROR(__xludf.DUMMYFUNCTION("""COMPUTED_VALUE"""),"Kelden Laguting")</f>
        <v>Kelden Laguting</v>
      </c>
      <c r="W341" s="1" t="str">
        <f>IFERROR(__xludf.DUMMYFUNCTION("""COMPUTED_VALUE"""),"Admin Omni Support")</f>
        <v>Admin Omni Support</v>
      </c>
    </row>
    <row r="342">
      <c r="O342" s="1" t="str">
        <f>IFERROR(__xludf.DUMMYFUNCTION("""COMPUTED_VALUE"""),"2025 Jul")</f>
        <v>2025 Jul</v>
      </c>
      <c r="P342" s="1" t="str">
        <f>IFERROR(__xludf.DUMMYFUNCTION("""COMPUTED_VALUE"""),"Core Product Support")</f>
        <v>Core Product Support</v>
      </c>
      <c r="Q342" s="1" t="str">
        <f>IFERROR(__xludf.DUMMYFUNCTION("""COMPUTED_VALUE"""),"charmb@canva.com")</f>
        <v>charmb@canva.com</v>
      </c>
      <c r="R342" s="1" t="str">
        <f>IFERROR(__xludf.DUMMYFUNCTION("""COMPUTED_VALUE"""),"Charm Bansil")</f>
        <v>Charm Bansil</v>
      </c>
      <c r="S342" s="1">
        <f>IFERROR(__xludf.DUMMYFUNCTION("""COMPUTED_VALUE"""),35.08)</f>
        <v>35.08</v>
      </c>
      <c r="T342" s="1">
        <f>IFERROR(__xludf.DUMMYFUNCTION("""COMPUTED_VALUE"""),9.35)</f>
        <v>9.35</v>
      </c>
      <c r="U342" s="2">
        <f>IFERROR(__xludf.DUMMYFUNCTION("""COMPUTED_VALUE"""),44.43)</f>
        <v>44.43</v>
      </c>
      <c r="V342" s="1" t="str">
        <f>IFERROR(__xludf.DUMMYFUNCTION("""COMPUTED_VALUE"""),"Ana Lazaro")</f>
        <v>Ana Lazaro</v>
      </c>
      <c r="W342" s="1" t="str">
        <f>IFERROR(__xludf.DUMMYFUNCTION("""COMPUTED_VALUE"""),"Advanced Billing &amp; Subscriptions")</f>
        <v>Advanced Billing &amp; Subscriptions</v>
      </c>
    </row>
    <row r="343">
      <c r="O343" s="1" t="str">
        <f>IFERROR(__xludf.DUMMYFUNCTION("""COMPUTED_VALUE"""),"2025 Jul")</f>
        <v>2025 Jul</v>
      </c>
      <c r="P343" s="1" t="str">
        <f>IFERROR(__xludf.DUMMYFUNCTION("""COMPUTED_VALUE"""),"Print Support")</f>
        <v>Print Support</v>
      </c>
      <c r="Q343" s="1" t="str">
        <f>IFERROR(__xludf.DUMMYFUNCTION("""COMPUTED_VALUE"""),"catherine@canva.com")</f>
        <v>catherine@canva.com</v>
      </c>
      <c r="R343" s="1" t="str">
        <f>IFERROR(__xludf.DUMMYFUNCTION("""COMPUTED_VALUE"""),"Cheche Ramirez")</f>
        <v>Cheche Ramirez</v>
      </c>
      <c r="S343" s="1">
        <f>IFERROR(__xludf.DUMMYFUNCTION("""COMPUTED_VALUE"""),7.25)</f>
        <v>7.25</v>
      </c>
      <c r="T343" s="1">
        <f>IFERROR(__xludf.DUMMYFUNCTION("""COMPUTED_VALUE"""),6.58)</f>
        <v>6.58</v>
      </c>
      <c r="U343" s="2">
        <f>IFERROR(__xludf.DUMMYFUNCTION("""COMPUTED_VALUE"""),13.83)</f>
        <v>13.83</v>
      </c>
      <c r="V343" s="1" t="str">
        <f>IFERROR(__xludf.DUMMYFUNCTION("""COMPUTED_VALUE"""),"Jen Momo")</f>
        <v>Jen Momo</v>
      </c>
      <c r="W343" s="1" t="str">
        <f>IFERROR(__xludf.DUMMYFUNCTION("""COMPUTED_VALUE"""),"Print Support PH")</f>
        <v>Print Support PH</v>
      </c>
    </row>
    <row r="344">
      <c r="O344" s="1" t="str">
        <f>IFERROR(__xludf.DUMMYFUNCTION("""COMPUTED_VALUE"""),"2025 Jul")</f>
        <v>2025 Jul</v>
      </c>
      <c r="P344" s="1" t="str">
        <f>IFERROR(__xludf.DUMMYFUNCTION("""COMPUTED_VALUE"""),"Core Product Support")</f>
        <v>Core Product Support</v>
      </c>
      <c r="Q344" s="1" t="str">
        <f>IFERROR(__xludf.DUMMYFUNCTION("""COMPUTED_VALUE"""),"chesca@canva.com")</f>
        <v>chesca@canva.com</v>
      </c>
      <c r="R344" s="1" t="str">
        <f>IFERROR(__xludf.DUMMYFUNCTION("""COMPUTED_VALUE"""),"Chesca Martos")</f>
        <v>Chesca Martos</v>
      </c>
      <c r="S344" s="1">
        <f>IFERROR(__xludf.DUMMYFUNCTION("""COMPUTED_VALUE"""),24.68)</f>
        <v>24.68</v>
      </c>
      <c r="T344" s="1">
        <f>IFERROR(__xludf.DUMMYFUNCTION("""COMPUTED_VALUE"""),15.83)</f>
        <v>15.83</v>
      </c>
      <c r="U344" s="2">
        <f>IFERROR(__xludf.DUMMYFUNCTION("""COMPUTED_VALUE"""),40.51)</f>
        <v>40.51</v>
      </c>
      <c r="V344" s="1" t="str">
        <f>IFERROR(__xludf.DUMMYFUNCTION("""COMPUTED_VALUE"""),"Ayza Marie Pascual")</f>
        <v>Ayza Marie Pascual</v>
      </c>
      <c r="W344" s="1" t="str">
        <f>IFERROR(__xludf.DUMMYFUNCTION("""COMPUTED_VALUE"""),"Advanced Billing &amp; Subscriptions")</f>
        <v>Advanced Billing &amp; Subscriptions</v>
      </c>
    </row>
    <row r="345">
      <c r="O345" s="1" t="str">
        <f>IFERROR(__xludf.DUMMYFUNCTION("""COMPUTED_VALUE"""),"2025 Jul")</f>
        <v>2025 Jul</v>
      </c>
      <c r="P345" s="1" t="str">
        <f>IFERROR(__xludf.DUMMYFUNCTION("""COMPUTED_VALUE"""),"Core Product Support")</f>
        <v>Core Product Support</v>
      </c>
      <c r="Q345" s="1" t="str">
        <f>IFERROR(__xludf.DUMMYFUNCTION("""COMPUTED_VALUE"""),"chlgts@canva.com")</f>
        <v>chlgts@canva.com</v>
      </c>
      <c r="R345" s="1" t="str">
        <f>IFERROR(__xludf.DUMMYFUNCTION("""COMPUTED_VALUE"""),"Cholo Ligtas")</f>
        <v>Cholo Ligtas</v>
      </c>
      <c r="S345" s="1">
        <f>IFERROR(__xludf.DUMMYFUNCTION("""COMPUTED_VALUE"""),19.0)</f>
        <v>19</v>
      </c>
      <c r="T345" s="1">
        <f>IFERROR(__xludf.DUMMYFUNCTION("""COMPUTED_VALUE"""),8.33)</f>
        <v>8.33</v>
      </c>
      <c r="U345" s="2">
        <f>IFERROR(__xludf.DUMMYFUNCTION("""COMPUTED_VALUE"""),27.33)</f>
        <v>27.33</v>
      </c>
      <c r="V345" s="1" t="str">
        <f>IFERROR(__xludf.DUMMYFUNCTION("""COMPUTED_VALUE"""),"Jahmie Mae Barrameda")</f>
        <v>Jahmie Mae Barrameda</v>
      </c>
      <c r="W345" s="1" t="str">
        <f>IFERROR(__xludf.DUMMYFUNCTION("""COMPUTED_VALUE"""),"Advanced Billing &amp; Subscriptions")</f>
        <v>Advanced Billing &amp; Subscriptions</v>
      </c>
    </row>
    <row r="346">
      <c r="O346" s="1" t="str">
        <f>IFERROR(__xludf.DUMMYFUNCTION("""COMPUTED_VALUE"""),"2025 Jul")</f>
        <v>2025 Jul</v>
      </c>
      <c r="P346" s="1" t="str">
        <f>IFERROR(__xludf.DUMMYFUNCTION("""COMPUTED_VALUE"""),"#N/A")</f>
        <v>#N/A</v>
      </c>
      <c r="Q346" s="1" t="str">
        <f>IFERROR(__xludf.DUMMYFUNCTION("""COMPUTED_VALUE"""),"chrisia@canva.com")</f>
        <v>chrisia@canva.com</v>
      </c>
      <c r="R346" s="1" t="str">
        <f>IFERROR(__xludf.DUMMYFUNCTION("""COMPUTED_VALUE"""),"Chrisia Atijon")</f>
        <v>Chrisia Atijon</v>
      </c>
      <c r="S346" s="1"/>
      <c r="T346" s="1"/>
      <c r="U346" s="2">
        <f>IFERROR(__xludf.DUMMYFUNCTION("""COMPUTED_VALUE"""),0.0)</f>
        <v>0</v>
      </c>
      <c r="V346" s="1" t="str">
        <f>IFERROR(__xludf.DUMMYFUNCTION("""COMPUTED_VALUE"""),"Ayza Marie Pascual")</f>
        <v>Ayza Marie Pascual</v>
      </c>
      <c r="W346" s="1" t="str">
        <f>IFERROR(__xludf.DUMMYFUNCTION("""COMPUTED_VALUE"""),"Advanced Billing &amp; Subscriptions")</f>
        <v>Advanced Billing &amp; Subscriptions</v>
      </c>
    </row>
    <row r="347">
      <c r="O347" s="1" t="str">
        <f>IFERROR(__xludf.DUMMYFUNCTION("""COMPUTED_VALUE"""),"2025 Jul")</f>
        <v>2025 Jul</v>
      </c>
      <c r="P347" s="1" t="str">
        <f>IFERROR(__xludf.DUMMYFUNCTION("""COMPUTED_VALUE"""),"Core Product Support")</f>
        <v>Core Product Support</v>
      </c>
      <c r="Q347" s="1" t="str">
        <f>IFERROR(__xludf.DUMMYFUNCTION("""COMPUTED_VALUE"""),"tintinmaxilom@canva.com")</f>
        <v>tintinmaxilom@canva.com</v>
      </c>
      <c r="R347" s="1" t="str">
        <f>IFERROR(__xludf.DUMMYFUNCTION("""COMPUTED_VALUE"""),"Christine Araga")</f>
        <v>Christine Araga</v>
      </c>
      <c r="S347" s="1">
        <f>IFERROR(__xludf.DUMMYFUNCTION("""COMPUTED_VALUE"""),23.5)</f>
        <v>23.5</v>
      </c>
      <c r="T347" s="1">
        <f>IFERROR(__xludf.DUMMYFUNCTION("""COMPUTED_VALUE"""),122.83)</f>
        <v>122.83</v>
      </c>
      <c r="U347" s="2">
        <f>IFERROR(__xludf.DUMMYFUNCTION("""COMPUTED_VALUE"""),146.32999999999998)</f>
        <v>146.33</v>
      </c>
      <c r="V347" s="1" t="str">
        <f>IFERROR(__xludf.DUMMYFUNCTION("""COMPUTED_VALUE"""),"Jelyn Elmido")</f>
        <v>Jelyn Elmido</v>
      </c>
      <c r="W347" s="1" t="str">
        <f>IFERROR(__xludf.DUMMYFUNCTION("""COMPUTED_VALUE"""),"Core Product Support Escalation Team")</f>
        <v>Core Product Support Escalation Team</v>
      </c>
    </row>
    <row r="348">
      <c r="O348" s="1" t="str">
        <f>IFERROR(__xludf.DUMMYFUNCTION("""COMPUTED_VALUE"""),"2025 Jul")</f>
        <v>2025 Jul</v>
      </c>
      <c r="P348" s="1" t="str">
        <f>IFERROR(__xludf.DUMMYFUNCTION("""COMPUTED_VALUE"""),"Print Support")</f>
        <v>Print Support</v>
      </c>
      <c r="Q348" s="1" t="str">
        <f>IFERROR(__xludf.DUMMYFUNCTION("""COMPUTED_VALUE"""),"cjlining@canva.com")</f>
        <v>cjlining@canva.com</v>
      </c>
      <c r="R348" s="1" t="str">
        <f>IFERROR(__xludf.DUMMYFUNCTION("""COMPUTED_VALUE"""),"CJ Lining")</f>
        <v>CJ Lining</v>
      </c>
      <c r="S348" s="1">
        <f>IFERROR(__xludf.DUMMYFUNCTION("""COMPUTED_VALUE"""),4.37)</f>
        <v>4.37</v>
      </c>
      <c r="T348" s="1">
        <f>IFERROR(__xludf.DUMMYFUNCTION("""COMPUTED_VALUE"""),6.75)</f>
        <v>6.75</v>
      </c>
      <c r="U348" s="2">
        <f>IFERROR(__xludf.DUMMYFUNCTION("""COMPUTED_VALUE"""),11.120000000000001)</f>
        <v>11.12</v>
      </c>
      <c r="V348" s="1" t="str">
        <f>IFERROR(__xludf.DUMMYFUNCTION("""COMPUTED_VALUE"""),"Althea Mercado")</f>
        <v>Althea Mercado</v>
      </c>
      <c r="W348" s="1" t="str">
        <f>IFERROR(__xludf.DUMMYFUNCTION("""COMPUTED_VALUE"""),"Print Support PH")</f>
        <v>Print Support PH</v>
      </c>
    </row>
    <row r="349">
      <c r="O349" s="1" t="str">
        <f>IFERROR(__xludf.DUMMYFUNCTION("""COMPUTED_VALUE"""),"2025 Jul")</f>
        <v>2025 Jul</v>
      </c>
      <c r="P349" s="1" t="str">
        <f>IFERROR(__xludf.DUMMYFUNCTION("""COMPUTED_VALUE"""),"Admin Support")</f>
        <v>Admin Support</v>
      </c>
      <c r="Q349" s="1" t="str">
        <f>IFERROR(__xludf.DUMMYFUNCTION("""COMPUTED_VALUE"""),"ckmg@canva.com")</f>
        <v>ckmg@canva.com</v>
      </c>
      <c r="R349" s="1" t="str">
        <f>IFERROR(__xludf.DUMMYFUNCTION("""COMPUTED_VALUE"""),"CK Geronimo")</f>
        <v>CK Geronimo</v>
      </c>
      <c r="S349" s="1">
        <f>IFERROR(__xludf.DUMMYFUNCTION("""COMPUTED_VALUE"""),8.25)</f>
        <v>8.25</v>
      </c>
      <c r="T349" s="1">
        <f>IFERROR(__xludf.DUMMYFUNCTION("""COMPUTED_VALUE"""),4.08)</f>
        <v>4.08</v>
      </c>
      <c r="U349" s="2">
        <f>IFERROR(__xludf.DUMMYFUNCTION("""COMPUTED_VALUE"""),12.33)</f>
        <v>12.33</v>
      </c>
      <c r="V349" s="1" t="str">
        <f>IFERROR(__xludf.DUMMYFUNCTION("""COMPUTED_VALUE"""),"Pau Palmero")</f>
        <v>Pau Palmero</v>
      </c>
      <c r="W349" s="1" t="str">
        <f>IFERROR(__xludf.DUMMYFUNCTION("""COMPUTED_VALUE"""),"Admin Omni Support")</f>
        <v>Admin Omni Support</v>
      </c>
    </row>
    <row r="350">
      <c r="O350" s="1" t="str">
        <f>IFERROR(__xludf.DUMMYFUNCTION("""COMPUTED_VALUE"""),"2025 Jul")</f>
        <v>2025 Jul</v>
      </c>
      <c r="P350" s="1" t="str">
        <f>IFERROR(__xludf.DUMMYFUNCTION("""COMPUTED_VALUE"""),"Segment-specific Support")</f>
        <v>Segment-specific Support</v>
      </c>
      <c r="Q350" s="1" t="str">
        <f>IFERROR(__xludf.DUMMYFUNCTION("""COMPUTED_VALUE"""),"magnumck@canva.com")</f>
        <v>magnumck@canva.com</v>
      </c>
      <c r="R350" s="1" t="str">
        <f>IFERROR(__xludf.DUMMYFUNCTION("""COMPUTED_VALUE"""),"CK Lobaton")</f>
        <v>CK Lobaton</v>
      </c>
      <c r="S350" s="1">
        <f>IFERROR(__xludf.DUMMYFUNCTION("""COMPUTED_VALUE"""),3.0)</f>
        <v>3</v>
      </c>
      <c r="T350" s="1">
        <f>IFERROR(__xludf.DUMMYFUNCTION("""COMPUTED_VALUE"""),3.0)</f>
        <v>3</v>
      </c>
      <c r="U350" s="2">
        <f>IFERROR(__xludf.DUMMYFUNCTION("""COMPUTED_VALUE"""),6.0)</f>
        <v>6</v>
      </c>
      <c r="V350" s="1" t="str">
        <f>IFERROR(__xludf.DUMMYFUNCTION("""COMPUTED_VALUE"""),"Jonathan Dimaculangan")</f>
        <v>Jonathan Dimaculangan</v>
      </c>
      <c r="W350" s="1" t="str">
        <f>IFERROR(__xludf.DUMMYFUNCTION("""COMPUTED_VALUE"""),"Flourish Support")</f>
        <v>Flourish Support</v>
      </c>
    </row>
    <row r="351">
      <c r="O351" s="1" t="str">
        <f>IFERROR(__xludf.DUMMYFUNCTION("""COMPUTED_VALUE"""),"2025 Jul")</f>
        <v>2025 Jul</v>
      </c>
      <c r="P351" s="1" t="str">
        <f>IFERROR(__xludf.DUMMYFUNCTION("""COMPUTED_VALUE"""),"Core Product Support")</f>
        <v>Core Product Support</v>
      </c>
      <c r="Q351" s="1" t="str">
        <f>IFERROR(__xludf.DUMMYFUNCTION("""COMPUTED_VALUE"""),"cladd@canva.com")</f>
        <v>cladd@canva.com</v>
      </c>
      <c r="R351" s="1" t="str">
        <f>IFERROR(__xludf.DUMMYFUNCTION("""COMPUTED_VALUE"""),"Claddys Ann Bernaldez")</f>
        <v>Claddys Ann Bernaldez</v>
      </c>
      <c r="S351" s="1">
        <f>IFERROR(__xludf.DUMMYFUNCTION("""COMPUTED_VALUE"""),20.5)</f>
        <v>20.5</v>
      </c>
      <c r="T351" s="1">
        <f>IFERROR(__xludf.DUMMYFUNCTION("""COMPUTED_VALUE"""),6.0)</f>
        <v>6</v>
      </c>
      <c r="U351" s="2">
        <f>IFERROR(__xludf.DUMMYFUNCTION("""COMPUTED_VALUE"""),26.5)</f>
        <v>26.5</v>
      </c>
      <c r="V351" s="1" t="str">
        <f>IFERROR(__xludf.DUMMYFUNCTION("""COMPUTED_VALUE"""),"Jelyn Elmido")</f>
        <v>Jelyn Elmido</v>
      </c>
      <c r="W351" s="1" t="str">
        <f>IFERROR(__xludf.DUMMYFUNCTION("""COMPUTED_VALUE"""),"Core Product Support Escalation Team")</f>
        <v>Core Product Support Escalation Team</v>
      </c>
    </row>
    <row r="352">
      <c r="O352" s="1" t="str">
        <f>IFERROR(__xludf.DUMMYFUNCTION("""COMPUTED_VALUE"""),"2025 Jul")</f>
        <v>2025 Jul</v>
      </c>
      <c r="P352" s="1" t="str">
        <f>IFERROR(__xludf.DUMMYFUNCTION("""COMPUTED_VALUE"""),"Multilingual Support")</f>
        <v>Multilingual Support</v>
      </c>
      <c r="Q352" s="1" t="str">
        <f>IFERROR(__xludf.DUMMYFUNCTION("""COMPUTED_VALUE"""),"claire.g@canva.com")</f>
        <v>claire.g@canva.com</v>
      </c>
      <c r="R352" s="1" t="str">
        <f>IFERROR(__xludf.DUMMYFUNCTION("""COMPUTED_VALUE"""),"Claire Gado")</f>
        <v>Claire Gado</v>
      </c>
      <c r="S352" s="1">
        <f>IFERROR(__xludf.DUMMYFUNCTION("""COMPUTED_VALUE"""),10.25)</f>
        <v>10.25</v>
      </c>
      <c r="T352" s="1"/>
      <c r="U352" s="2">
        <f>IFERROR(__xludf.DUMMYFUNCTION("""COMPUTED_VALUE"""),10.25)</f>
        <v>10.25</v>
      </c>
      <c r="V352" s="1" t="str">
        <f>IFERROR(__xludf.DUMMYFUNCTION("""COMPUTED_VALUE"""),"Arlene Maurillo")</f>
        <v>Arlene Maurillo</v>
      </c>
      <c r="W352" s="1" t="str">
        <f>IFERROR(__xludf.DUMMYFUNCTION("""COMPUTED_VALUE"""),"PHL, Multilingual Support")</f>
        <v>PHL, Multilingual Support</v>
      </c>
    </row>
    <row r="353">
      <c r="O353" s="1" t="str">
        <f>IFERROR(__xludf.DUMMYFUNCTION("""COMPUTED_VALUE"""),"2025 Jul")</f>
        <v>2025 Jul</v>
      </c>
      <c r="P353" s="1" t="str">
        <f>IFERROR(__xludf.DUMMYFUNCTION("""COMPUTED_VALUE"""),"Print Support")</f>
        <v>Print Support</v>
      </c>
      <c r="Q353" s="1" t="str">
        <f>IFERROR(__xludf.DUMMYFUNCTION("""COMPUTED_VALUE"""),"cyreengee@canva.com")</f>
        <v>cyreengee@canva.com</v>
      </c>
      <c r="R353" s="1" t="str">
        <f>IFERROR(__xludf.DUMMYFUNCTION("""COMPUTED_VALUE"""),"Cye Gonzales")</f>
        <v>Cye Gonzales</v>
      </c>
      <c r="S353" s="1">
        <f>IFERROR(__xludf.DUMMYFUNCTION("""COMPUTED_VALUE"""),11.08)</f>
        <v>11.08</v>
      </c>
      <c r="T353" s="1">
        <f>IFERROR(__xludf.DUMMYFUNCTION("""COMPUTED_VALUE"""),6.58)</f>
        <v>6.58</v>
      </c>
      <c r="U353" s="2">
        <f>IFERROR(__xludf.DUMMYFUNCTION("""COMPUTED_VALUE"""),17.66)</f>
        <v>17.66</v>
      </c>
      <c r="V353" s="1" t="str">
        <f>IFERROR(__xludf.DUMMYFUNCTION("""COMPUTED_VALUE"""),"Althea Mercado")</f>
        <v>Althea Mercado</v>
      </c>
      <c r="W353" s="1" t="str">
        <f>IFERROR(__xludf.DUMMYFUNCTION("""COMPUTED_VALUE"""),"Print Support PH")</f>
        <v>Print Support PH</v>
      </c>
    </row>
    <row r="354">
      <c r="O354" s="1" t="str">
        <f>IFERROR(__xludf.DUMMYFUNCTION("""COMPUTED_VALUE"""),"2025 Jul")</f>
        <v>2025 Jul</v>
      </c>
      <c r="P354" s="1" t="str">
        <f>IFERROR(__xludf.DUMMYFUNCTION("""COMPUTED_VALUE"""),"Print Support")</f>
        <v>Print Support</v>
      </c>
      <c r="Q354" s="1" t="str">
        <f>IFERROR(__xludf.DUMMYFUNCTION("""COMPUTED_VALUE"""),"dyter@canva.com")</f>
        <v>dyter@canva.com</v>
      </c>
      <c r="R354" s="1" t="str">
        <f>IFERROR(__xludf.DUMMYFUNCTION("""COMPUTED_VALUE"""),"Daisy Tercenio")</f>
        <v>Daisy Tercenio</v>
      </c>
      <c r="S354" s="1">
        <f>IFERROR(__xludf.DUMMYFUNCTION("""COMPUTED_VALUE"""),8.5)</f>
        <v>8.5</v>
      </c>
      <c r="T354" s="1">
        <f>IFERROR(__xludf.DUMMYFUNCTION("""COMPUTED_VALUE"""),6.25)</f>
        <v>6.25</v>
      </c>
      <c r="U354" s="2">
        <f>IFERROR(__xludf.DUMMYFUNCTION("""COMPUTED_VALUE"""),14.75)</f>
        <v>14.75</v>
      </c>
      <c r="V354" s="1" t="str">
        <f>IFERROR(__xludf.DUMMYFUNCTION("""COMPUTED_VALUE"""),"Rae Erlano")</f>
        <v>Rae Erlano</v>
      </c>
      <c r="W354" s="1" t="str">
        <f>IFERROR(__xludf.DUMMYFUNCTION("""COMPUTED_VALUE"""),"Print Support PH")</f>
        <v>Print Support PH</v>
      </c>
    </row>
    <row r="355">
      <c r="O355" s="1" t="str">
        <f>IFERROR(__xludf.DUMMYFUNCTION("""COMPUTED_VALUE"""),"2025 Jul")</f>
        <v>2025 Jul</v>
      </c>
      <c r="P355" s="1" t="str">
        <f>IFERROR(__xludf.DUMMYFUNCTION("""COMPUTED_VALUE"""),"Core Product Support")</f>
        <v>Core Product Support</v>
      </c>
      <c r="Q355" s="1" t="str">
        <f>IFERROR(__xludf.DUMMYFUNCTION("""COMPUTED_VALUE"""),"danortiz@canva.com")</f>
        <v>danortiz@canva.com</v>
      </c>
      <c r="R355" s="1" t="str">
        <f>IFERROR(__xludf.DUMMYFUNCTION("""COMPUTED_VALUE"""),"Daniella Ortiz")</f>
        <v>Daniella Ortiz</v>
      </c>
      <c r="S355" s="1">
        <f>IFERROR(__xludf.DUMMYFUNCTION("""COMPUTED_VALUE"""),64.92)</f>
        <v>64.92</v>
      </c>
      <c r="T355" s="1">
        <f>IFERROR(__xludf.DUMMYFUNCTION("""COMPUTED_VALUE"""),5.33)</f>
        <v>5.33</v>
      </c>
      <c r="U355" s="2">
        <f>IFERROR(__xludf.DUMMYFUNCTION("""COMPUTED_VALUE"""),70.25)</f>
        <v>70.25</v>
      </c>
      <c r="V355" s="1" t="str">
        <f>IFERROR(__xludf.DUMMYFUNCTION("""COMPUTED_VALUE"""),"Cate Velasco")</f>
        <v>Cate Velasco</v>
      </c>
      <c r="W355" s="1" t="str">
        <f>IFERROR(__xludf.DUMMYFUNCTION("""COMPUTED_VALUE"""),"Advanced Product Support")</f>
        <v>Advanced Product Support</v>
      </c>
    </row>
    <row r="356">
      <c r="O356" s="1" t="str">
        <f>IFERROR(__xludf.DUMMYFUNCTION("""COMPUTED_VALUE"""),"2025 Jul")</f>
        <v>2025 Jul</v>
      </c>
      <c r="P356" s="1" t="str">
        <f>IFERROR(__xludf.DUMMYFUNCTION("""COMPUTED_VALUE"""),"Segment-specific Support")</f>
        <v>Segment-specific Support</v>
      </c>
      <c r="Q356" s="1" t="str">
        <f>IFERROR(__xludf.DUMMYFUNCTION("""COMPUTED_VALUE"""),"daniellegrace@canva.com")</f>
        <v>daniellegrace@canva.com</v>
      </c>
      <c r="R356" s="1" t="str">
        <f>IFERROR(__xludf.DUMMYFUNCTION("""COMPUTED_VALUE"""),"Danielle Marasigan")</f>
        <v>Danielle Marasigan</v>
      </c>
      <c r="S356" s="1">
        <f>IFERROR(__xludf.DUMMYFUNCTION("""COMPUTED_VALUE"""),8.0)</f>
        <v>8</v>
      </c>
      <c r="T356" s="1"/>
      <c r="U356" s="2">
        <f>IFERROR(__xludf.DUMMYFUNCTION("""COMPUTED_VALUE"""),8.0)</f>
        <v>8</v>
      </c>
      <c r="V356" s="1" t="str">
        <f>IFERROR(__xludf.DUMMYFUNCTION("""COMPUTED_VALUE"""),"Aileen Dayanghirang")</f>
        <v>Aileen Dayanghirang</v>
      </c>
      <c r="W356" s="1" t="str">
        <f>IFERROR(__xludf.DUMMYFUNCTION("""COMPUTED_VALUE"""),"Creators Support")</f>
        <v>Creators Support</v>
      </c>
    </row>
    <row r="357">
      <c r="O357" s="1" t="str">
        <f>IFERROR(__xludf.DUMMYFUNCTION("""COMPUTED_VALUE"""),"2025 Jul")</f>
        <v>2025 Jul</v>
      </c>
      <c r="P357" s="1" t="str">
        <f>IFERROR(__xludf.DUMMYFUNCTION("""COMPUTED_VALUE"""),"Admin Support")</f>
        <v>Admin Support</v>
      </c>
      <c r="Q357" s="1" t="str">
        <f>IFERROR(__xludf.DUMMYFUNCTION("""COMPUTED_VALUE"""),"dannah@canva.com")</f>
        <v>dannah@canva.com</v>
      </c>
      <c r="R357" s="1" t="str">
        <f>IFERROR(__xludf.DUMMYFUNCTION("""COMPUTED_VALUE"""),"Dannah Kate Dizon")</f>
        <v>Dannah Kate Dizon</v>
      </c>
      <c r="S357" s="1">
        <f>IFERROR(__xludf.DUMMYFUNCTION("""COMPUTED_VALUE"""),5.58)</f>
        <v>5.58</v>
      </c>
      <c r="T357" s="1">
        <f>IFERROR(__xludf.DUMMYFUNCTION("""COMPUTED_VALUE"""),12.83)</f>
        <v>12.83</v>
      </c>
      <c r="U357" s="2">
        <f>IFERROR(__xludf.DUMMYFUNCTION("""COMPUTED_VALUE"""),18.41)</f>
        <v>18.41</v>
      </c>
      <c r="V357" s="1" t="str">
        <f>IFERROR(__xludf.DUMMYFUNCTION("""COMPUTED_VALUE"""),"Karla Mananghaya")</f>
        <v>Karla Mananghaya</v>
      </c>
      <c r="W357" s="1" t="str">
        <f>IFERROR(__xludf.DUMMYFUNCTION("""COMPUTED_VALUE"""),"Admin Support Service Escalation Team")</f>
        <v>Admin Support Service Escalation Team</v>
      </c>
    </row>
    <row r="358">
      <c r="O358" s="1" t="str">
        <f>IFERROR(__xludf.DUMMYFUNCTION("""COMPUTED_VALUE"""),"2025 Jul")</f>
        <v>2025 Jul</v>
      </c>
      <c r="P358" s="1" t="str">
        <f>IFERROR(__xludf.DUMMYFUNCTION("""COMPUTED_VALUE"""),"High Sensitivity Support")</f>
        <v>High Sensitivity Support</v>
      </c>
      <c r="Q358" s="1" t="str">
        <f>IFERROR(__xludf.DUMMYFUNCTION("""COMPUTED_VALUE"""),"danrev@canva.com")</f>
        <v>danrev@canva.com</v>
      </c>
      <c r="R358" s="1" t="str">
        <f>IFERROR(__xludf.DUMMYFUNCTION("""COMPUTED_VALUE"""),"Danrev Bactad")</f>
        <v>Danrev Bactad</v>
      </c>
      <c r="S358" s="1">
        <f>IFERROR(__xludf.DUMMYFUNCTION("""COMPUTED_VALUE"""),25.75)</f>
        <v>25.75</v>
      </c>
      <c r="T358" s="1">
        <f>IFERROR(__xludf.DUMMYFUNCTION("""COMPUTED_VALUE"""),11.0)</f>
        <v>11</v>
      </c>
      <c r="U358" s="2">
        <f>IFERROR(__xludf.DUMMYFUNCTION("""COMPUTED_VALUE"""),36.75)</f>
        <v>36.75</v>
      </c>
      <c r="V358" s="1" t="str">
        <f>IFERROR(__xludf.DUMMYFUNCTION("""COMPUTED_VALUE"""),"Xandy Azarcon")</f>
        <v>Xandy Azarcon</v>
      </c>
      <c r="W358" s="1" t="str">
        <f>IFERROR(__xludf.DUMMYFUNCTION("""COMPUTED_VALUE"""),"High Sensitivity Support PH")</f>
        <v>High Sensitivity Support PH</v>
      </c>
    </row>
    <row r="359">
      <c r="O359" s="1" t="str">
        <f>IFERROR(__xludf.DUMMYFUNCTION("""COMPUTED_VALUE"""),"2025 Jul")</f>
        <v>2025 Jul</v>
      </c>
      <c r="P359" s="1" t="str">
        <f>IFERROR(__xludf.DUMMYFUNCTION("""COMPUTED_VALUE"""),"Print Support")</f>
        <v>Print Support</v>
      </c>
      <c r="Q359" s="1" t="str">
        <f>IFERROR(__xludf.DUMMYFUNCTION("""COMPUTED_VALUE"""),"daphne@canva.com")</f>
        <v>daphne@canva.com</v>
      </c>
      <c r="R359" s="1" t="str">
        <f>IFERROR(__xludf.DUMMYFUNCTION("""COMPUTED_VALUE"""),"Daphne Arboleda")</f>
        <v>Daphne Arboleda</v>
      </c>
      <c r="S359" s="1">
        <f>IFERROR(__xludf.DUMMYFUNCTION("""COMPUTED_VALUE"""),7.5)</f>
        <v>7.5</v>
      </c>
      <c r="T359" s="1">
        <f>IFERROR(__xludf.DUMMYFUNCTION("""COMPUTED_VALUE"""),3.25)</f>
        <v>3.25</v>
      </c>
      <c r="U359" s="2">
        <f>IFERROR(__xludf.DUMMYFUNCTION("""COMPUTED_VALUE"""),10.75)</f>
        <v>10.75</v>
      </c>
      <c r="V359" s="1" t="str">
        <f>IFERROR(__xludf.DUMMYFUNCTION("""COMPUTED_VALUE"""),"Memae Faustino")</f>
        <v>Memae Faustino</v>
      </c>
      <c r="W359" s="1" t="str">
        <f>IFERROR(__xludf.DUMMYFUNCTION("""COMPUTED_VALUE"""),"Print Support PH")</f>
        <v>Print Support PH</v>
      </c>
    </row>
    <row r="360">
      <c r="O360" s="1" t="str">
        <f>IFERROR(__xludf.DUMMYFUNCTION("""COMPUTED_VALUE"""),"2025 Jul")</f>
        <v>2025 Jul</v>
      </c>
      <c r="P360" s="1" t="str">
        <f>IFERROR(__xludf.DUMMYFUNCTION("""COMPUTED_VALUE"""),"High Sensitivity Support")</f>
        <v>High Sensitivity Support</v>
      </c>
      <c r="Q360" s="1" t="str">
        <f>IFERROR(__xludf.DUMMYFUNCTION("""COMPUTED_VALUE"""),"darrelm@canva.com")</f>
        <v>darrelm@canva.com</v>
      </c>
      <c r="R360" s="1" t="str">
        <f>IFERROR(__xludf.DUMMYFUNCTION("""COMPUTED_VALUE"""),"Darrel Marcelino")</f>
        <v>Darrel Marcelino</v>
      </c>
      <c r="S360" s="1">
        <f>IFERROR(__xludf.DUMMYFUNCTION("""COMPUTED_VALUE"""),16.4)</f>
        <v>16.4</v>
      </c>
      <c r="T360" s="1">
        <f>IFERROR(__xludf.DUMMYFUNCTION("""COMPUTED_VALUE"""),11.42)</f>
        <v>11.42</v>
      </c>
      <c r="U360" s="2">
        <f>IFERROR(__xludf.DUMMYFUNCTION("""COMPUTED_VALUE"""),27.82)</f>
        <v>27.82</v>
      </c>
      <c r="V360" s="1" t="str">
        <f>IFERROR(__xludf.DUMMYFUNCTION("""COMPUTED_VALUE"""),"Issi Afable")</f>
        <v>Issi Afable</v>
      </c>
      <c r="W360" s="1" t="str">
        <f>IFERROR(__xludf.DUMMYFUNCTION("""COMPUTED_VALUE"""),"High Sensitivity Support PH")</f>
        <v>High Sensitivity Support PH</v>
      </c>
    </row>
    <row r="361">
      <c r="O361" s="1" t="str">
        <f>IFERROR(__xludf.DUMMYFUNCTION("""COMPUTED_VALUE"""),"2025 Jul")</f>
        <v>2025 Jul</v>
      </c>
      <c r="P361" s="1" t="str">
        <f>IFERROR(__xludf.DUMMYFUNCTION("""COMPUTED_VALUE"""),"Core Product Support")</f>
        <v>Core Product Support</v>
      </c>
      <c r="Q361" s="1" t="str">
        <f>IFERROR(__xludf.DUMMYFUNCTION("""COMPUTED_VALUE"""),"davecosteloii@canva.com")</f>
        <v>davecosteloii@canva.com</v>
      </c>
      <c r="R361" s="1" t="str">
        <f>IFERROR(__xludf.DUMMYFUNCTION("""COMPUTED_VALUE"""),"Dave Costelo")</f>
        <v>Dave Costelo</v>
      </c>
      <c r="S361" s="1">
        <f>IFERROR(__xludf.DUMMYFUNCTION("""COMPUTED_VALUE"""),12.0)</f>
        <v>12</v>
      </c>
      <c r="T361" s="1">
        <f>IFERROR(__xludf.DUMMYFUNCTION("""COMPUTED_VALUE"""),3.08)</f>
        <v>3.08</v>
      </c>
      <c r="U361" s="2">
        <f>IFERROR(__xludf.DUMMYFUNCTION("""COMPUTED_VALUE"""),15.08)</f>
        <v>15.08</v>
      </c>
      <c r="V361" s="1" t="str">
        <f>IFERROR(__xludf.DUMMYFUNCTION("""COMPUTED_VALUE"""),"Jahmie Mae Barrameda")</f>
        <v>Jahmie Mae Barrameda</v>
      </c>
      <c r="W361" s="1" t="str">
        <f>IFERROR(__xludf.DUMMYFUNCTION("""COMPUTED_VALUE"""),"Advanced Billing &amp; Subscriptions")</f>
        <v>Advanced Billing &amp; Subscriptions</v>
      </c>
    </row>
    <row r="362">
      <c r="O362" s="1" t="str">
        <f>IFERROR(__xludf.DUMMYFUNCTION("""COMPUTED_VALUE"""),"2025 Jul")</f>
        <v>2025 Jul</v>
      </c>
      <c r="P362" s="1" t="str">
        <f>IFERROR(__xludf.DUMMYFUNCTION("""COMPUTED_VALUE"""),"Admin Support")</f>
        <v>Admin Support</v>
      </c>
      <c r="Q362" s="1" t="str">
        <f>IFERROR(__xludf.DUMMYFUNCTION("""COMPUTED_VALUE"""),"davidfrancis@canva.com")</f>
        <v>davidfrancis@canva.com</v>
      </c>
      <c r="R362" s="1" t="str">
        <f>IFERROR(__xludf.DUMMYFUNCTION("""COMPUTED_VALUE"""),"David Francis Dimatulac")</f>
        <v>David Francis Dimatulac</v>
      </c>
      <c r="S362" s="1">
        <f>IFERROR(__xludf.DUMMYFUNCTION("""COMPUTED_VALUE"""),4.0)</f>
        <v>4</v>
      </c>
      <c r="T362" s="1">
        <f>IFERROR(__xludf.DUMMYFUNCTION("""COMPUTED_VALUE"""),8.5)</f>
        <v>8.5</v>
      </c>
      <c r="U362" s="2">
        <f>IFERROR(__xludf.DUMMYFUNCTION("""COMPUTED_VALUE"""),12.5)</f>
        <v>12.5</v>
      </c>
      <c r="V362" s="1" t="str">
        <f>IFERROR(__xludf.DUMMYFUNCTION("""COMPUTED_VALUE"""),"Karla Mananghaya")</f>
        <v>Karla Mananghaya</v>
      </c>
      <c r="W362" s="1" t="str">
        <f>IFERROR(__xludf.DUMMYFUNCTION("""COMPUTED_VALUE"""),"Admin Support Service Escalation Team")</f>
        <v>Admin Support Service Escalation Team</v>
      </c>
    </row>
    <row r="363">
      <c r="O363" s="1" t="str">
        <f>IFERROR(__xludf.DUMMYFUNCTION("""COMPUTED_VALUE"""),"2025 Jul")</f>
        <v>2025 Jul</v>
      </c>
      <c r="P363" s="1" t="str">
        <f>IFERROR(__xludf.DUMMYFUNCTION("""COMPUTED_VALUE"""),"Core Product Support")</f>
        <v>Core Product Support</v>
      </c>
      <c r="Q363" s="1" t="str">
        <f>IFERROR(__xludf.DUMMYFUNCTION("""COMPUTED_VALUE"""),"denden@canva.com")</f>
        <v>denden@canva.com</v>
      </c>
      <c r="R363" s="1" t="str">
        <f>IFERROR(__xludf.DUMMYFUNCTION("""COMPUTED_VALUE"""),"Den Gutierrez")</f>
        <v>Den Gutierrez</v>
      </c>
      <c r="S363" s="1">
        <f>IFERROR(__xludf.DUMMYFUNCTION("""COMPUTED_VALUE"""),23.5)</f>
        <v>23.5</v>
      </c>
      <c r="T363" s="1">
        <f>IFERROR(__xludf.DUMMYFUNCTION("""COMPUTED_VALUE"""),124.0)</f>
        <v>124</v>
      </c>
      <c r="U363" s="2">
        <f>IFERROR(__xludf.DUMMYFUNCTION("""COMPUTED_VALUE"""),147.5)</f>
        <v>147.5</v>
      </c>
      <c r="V363" s="1" t="str">
        <f>IFERROR(__xludf.DUMMYFUNCTION("""COMPUTED_VALUE"""),"Sieg Ballelos")</f>
        <v>Sieg Ballelos</v>
      </c>
      <c r="W363" s="1" t="str">
        <f>IFERROR(__xludf.DUMMYFUNCTION("""COMPUTED_VALUE"""),"Core Product Support Escalation Team")</f>
        <v>Core Product Support Escalation Team</v>
      </c>
    </row>
    <row r="364">
      <c r="O364" s="1" t="str">
        <f>IFERROR(__xludf.DUMMYFUNCTION("""COMPUTED_VALUE"""),"2025 Jul")</f>
        <v>2025 Jul</v>
      </c>
      <c r="P364" s="1" t="str">
        <f>IFERROR(__xludf.DUMMYFUNCTION("""COMPUTED_VALUE"""),"Core Product Support")</f>
        <v>Core Product Support</v>
      </c>
      <c r="Q364" s="1" t="str">
        <f>IFERROR(__xludf.DUMMYFUNCTION("""COMPUTED_VALUE"""),"deniseadrms@canva.com")</f>
        <v>deniseadrms@canva.com</v>
      </c>
      <c r="R364" s="1" t="str">
        <f>IFERROR(__xludf.DUMMYFUNCTION("""COMPUTED_VALUE"""),"Denise Adoremos")</f>
        <v>Denise Adoremos</v>
      </c>
      <c r="S364" s="1">
        <f>IFERROR(__xludf.DUMMYFUNCTION("""COMPUTED_VALUE"""),32.15)</f>
        <v>32.15</v>
      </c>
      <c r="T364" s="1">
        <f>IFERROR(__xludf.DUMMYFUNCTION("""COMPUTED_VALUE"""),6.85)</f>
        <v>6.85</v>
      </c>
      <c r="U364" s="2">
        <f>IFERROR(__xludf.DUMMYFUNCTION("""COMPUTED_VALUE"""),39.0)</f>
        <v>39</v>
      </c>
      <c r="V364" s="1" t="str">
        <f>IFERROR(__xludf.DUMMYFUNCTION("""COMPUTED_VALUE"""),"Ana Lazaro")</f>
        <v>Ana Lazaro</v>
      </c>
      <c r="W364" s="1" t="str">
        <f>IFERROR(__xludf.DUMMYFUNCTION("""COMPUTED_VALUE"""),"Advanced Billing &amp; Subscriptions")</f>
        <v>Advanced Billing &amp; Subscriptions</v>
      </c>
    </row>
    <row r="365">
      <c r="O365" s="1" t="str">
        <f>IFERROR(__xludf.DUMMYFUNCTION("""COMPUTED_VALUE"""),"2025 Jul")</f>
        <v>2025 Jul</v>
      </c>
      <c r="P365" s="1" t="str">
        <f>IFERROR(__xludf.DUMMYFUNCTION("""COMPUTED_VALUE"""),"Segment-specific Support")</f>
        <v>Segment-specific Support</v>
      </c>
      <c r="Q365" s="1" t="str">
        <f>IFERROR(__xludf.DUMMYFUNCTION("""COMPUTED_VALUE"""),"dymplem@canva.com")</f>
        <v>dymplem@canva.com</v>
      </c>
      <c r="R365" s="1" t="str">
        <f>IFERROR(__xludf.DUMMYFUNCTION("""COMPUTED_VALUE"""),"Dymple Macaraeg")</f>
        <v>Dymple Macaraeg</v>
      </c>
      <c r="S365" s="1">
        <f>IFERROR(__xludf.DUMMYFUNCTION("""COMPUTED_VALUE"""),44.17)</f>
        <v>44.17</v>
      </c>
      <c r="T365" s="1">
        <f>IFERROR(__xludf.DUMMYFUNCTION("""COMPUTED_VALUE"""),6.0)</f>
        <v>6</v>
      </c>
      <c r="U365" s="2">
        <f>IFERROR(__xludf.DUMMYFUNCTION("""COMPUTED_VALUE"""),50.17)</f>
        <v>50.17</v>
      </c>
      <c r="V365" s="1" t="str">
        <f>IFERROR(__xludf.DUMMYFUNCTION("""COMPUTED_VALUE"""),"Rose Gabilan")</f>
        <v>Rose Gabilan</v>
      </c>
      <c r="W365" s="1" t="str">
        <f>IFERROR(__xludf.DUMMYFUNCTION("""COMPUTED_VALUE"""),"Affinity Support")</f>
        <v>Affinity Support</v>
      </c>
    </row>
    <row r="366">
      <c r="O366" s="1" t="str">
        <f>IFERROR(__xludf.DUMMYFUNCTION("""COMPUTED_VALUE"""),"2025 Jul")</f>
        <v>2025 Jul</v>
      </c>
      <c r="P366" s="1" t="str">
        <f>IFERROR(__xludf.DUMMYFUNCTION("""COMPUTED_VALUE"""),"Admin Support")</f>
        <v>Admin Support</v>
      </c>
      <c r="Q366" s="1" t="str">
        <f>IFERROR(__xludf.DUMMYFUNCTION("""COMPUTED_VALUE"""),"edlico@canva.com")</f>
        <v>edlico@canva.com</v>
      </c>
      <c r="R366" s="1" t="str">
        <f>IFERROR(__xludf.DUMMYFUNCTION("""COMPUTED_VALUE"""),"Ed Lico")</f>
        <v>Ed Lico</v>
      </c>
      <c r="S366" s="1">
        <f>IFERROR(__xludf.DUMMYFUNCTION("""COMPUTED_VALUE"""),2.5)</f>
        <v>2.5</v>
      </c>
      <c r="T366" s="1">
        <f>IFERROR(__xludf.DUMMYFUNCTION("""COMPUTED_VALUE"""),8.5)</f>
        <v>8.5</v>
      </c>
      <c r="U366" s="2">
        <f>IFERROR(__xludf.DUMMYFUNCTION("""COMPUTED_VALUE"""),11.0)</f>
        <v>11</v>
      </c>
      <c r="V366" s="1" t="str">
        <f>IFERROR(__xludf.DUMMYFUNCTION("""COMPUTED_VALUE"""),"Pau Palmero")</f>
        <v>Pau Palmero</v>
      </c>
      <c r="W366" s="1" t="str">
        <f>IFERROR(__xludf.DUMMYFUNCTION("""COMPUTED_VALUE"""),"Admin Omni Support")</f>
        <v>Admin Omni Support</v>
      </c>
    </row>
    <row r="367">
      <c r="O367" s="1" t="str">
        <f>IFERROR(__xludf.DUMMYFUNCTION("""COMPUTED_VALUE"""),"2025 Jul")</f>
        <v>2025 Jul</v>
      </c>
      <c r="P367" s="1" t="str">
        <f>IFERROR(__xludf.DUMMYFUNCTION("""COMPUTED_VALUE"""),"Multilingual Support")</f>
        <v>Multilingual Support</v>
      </c>
      <c r="Q367" s="1" t="str">
        <f>IFERROR(__xludf.DUMMYFUNCTION("""COMPUTED_VALUE"""),"elmata@canva.com")</f>
        <v>elmata@canva.com</v>
      </c>
      <c r="R367" s="1" t="str">
        <f>IFERROR(__xludf.DUMMYFUNCTION("""COMPUTED_VALUE"""),"Elmer Matarlo")</f>
        <v>Elmer Matarlo</v>
      </c>
      <c r="S367" s="1">
        <f>IFERROR(__xludf.DUMMYFUNCTION("""COMPUTED_VALUE"""),6.0)</f>
        <v>6</v>
      </c>
      <c r="T367" s="1"/>
      <c r="U367" s="2">
        <f>IFERROR(__xludf.DUMMYFUNCTION("""COMPUTED_VALUE"""),6.0)</f>
        <v>6</v>
      </c>
      <c r="V367" s="1" t="str">
        <f>IFERROR(__xludf.DUMMYFUNCTION("""COMPUTED_VALUE"""),"Arlene Maurillo")</f>
        <v>Arlene Maurillo</v>
      </c>
      <c r="W367" s="1" t="str">
        <f>IFERROR(__xludf.DUMMYFUNCTION("""COMPUTED_VALUE"""),"PHL, Multilingual Support")</f>
        <v>PHL, Multilingual Support</v>
      </c>
    </row>
    <row r="368">
      <c r="O368" s="1" t="str">
        <f>IFERROR(__xludf.DUMMYFUNCTION("""COMPUTED_VALUE"""),"2025 Jul")</f>
        <v>2025 Jul</v>
      </c>
      <c r="P368" s="1" t="str">
        <f>IFERROR(__xludf.DUMMYFUNCTION("""COMPUTED_VALUE"""),"#N/A")</f>
        <v>#N/A</v>
      </c>
      <c r="Q368" s="1" t="str">
        <f>IFERROR(__xludf.DUMMYFUNCTION("""COMPUTED_VALUE"""),"emdavid@canva.com")</f>
        <v>emdavid@canva.com</v>
      </c>
      <c r="R368" s="1" t="str">
        <f>IFERROR(__xludf.DUMMYFUNCTION("""COMPUTED_VALUE"""),"Em David")</f>
        <v>Em David</v>
      </c>
      <c r="S368" s="1">
        <f>IFERROR(__xludf.DUMMYFUNCTION("""COMPUTED_VALUE"""),20.25)</f>
        <v>20.25</v>
      </c>
      <c r="T368" s="1">
        <f>IFERROR(__xludf.DUMMYFUNCTION("""COMPUTED_VALUE"""),6.08)</f>
        <v>6.08</v>
      </c>
      <c r="U368" s="2">
        <f>IFERROR(__xludf.DUMMYFUNCTION("""COMPUTED_VALUE"""),26.33)</f>
        <v>26.33</v>
      </c>
      <c r="V368" s="1" t="str">
        <f>IFERROR(__xludf.DUMMYFUNCTION("""COMPUTED_VALUE"""),"Vianca De Jesus")</f>
        <v>Vianca De Jesus</v>
      </c>
      <c r="W368" s="1" t="str">
        <f>IFERROR(__xludf.DUMMYFUNCTION("""COMPUTED_VALUE"""),"Advanced Chat Support")</f>
        <v>Advanced Chat Support</v>
      </c>
    </row>
    <row r="369">
      <c r="O369" s="1" t="str">
        <f>IFERROR(__xludf.DUMMYFUNCTION("""COMPUTED_VALUE"""),"2025 Jul")</f>
        <v>2025 Jul</v>
      </c>
      <c r="P369" s="1" t="str">
        <f>IFERROR(__xludf.DUMMYFUNCTION("""COMPUTED_VALUE"""),"Core Product Support")</f>
        <v>Core Product Support</v>
      </c>
      <c r="Q369" s="1" t="str">
        <f>IFERROR(__xludf.DUMMYFUNCTION("""COMPUTED_VALUE"""),"ena@canva.com")</f>
        <v>ena@canva.com</v>
      </c>
      <c r="R369" s="1" t="str">
        <f>IFERROR(__xludf.DUMMYFUNCTION("""COMPUTED_VALUE"""),"Ena Reyes")</f>
        <v>Ena Reyes</v>
      </c>
      <c r="S369" s="1">
        <f>IFERROR(__xludf.DUMMYFUNCTION("""COMPUTED_VALUE"""),14.5)</f>
        <v>14.5</v>
      </c>
      <c r="T369" s="1">
        <f>IFERROR(__xludf.DUMMYFUNCTION("""COMPUTED_VALUE"""),7.58)</f>
        <v>7.58</v>
      </c>
      <c r="U369" s="2">
        <f>IFERROR(__xludf.DUMMYFUNCTION("""COMPUTED_VALUE"""),22.08)</f>
        <v>22.08</v>
      </c>
      <c r="V369" s="1" t="str">
        <f>IFERROR(__xludf.DUMMYFUNCTION("""COMPUTED_VALUE"""),"Jem Mondoñedo")</f>
        <v>Jem Mondoñedo</v>
      </c>
      <c r="W369" s="1" t="str">
        <f>IFERROR(__xludf.DUMMYFUNCTION("""COMPUTED_VALUE"""),"Advanced Billing &amp; Subscriptions")</f>
        <v>Advanced Billing &amp; Subscriptions</v>
      </c>
    </row>
    <row r="370">
      <c r="O370" s="1" t="str">
        <f>IFERROR(__xludf.DUMMYFUNCTION("""COMPUTED_VALUE"""),"2025 Jul")</f>
        <v>2025 Jul</v>
      </c>
      <c r="P370" s="1" t="str">
        <f>IFERROR(__xludf.DUMMYFUNCTION("""COMPUTED_VALUE"""),"Admin Support")</f>
        <v>Admin Support</v>
      </c>
      <c r="Q370" s="1" t="str">
        <f>IFERROR(__xludf.DUMMYFUNCTION("""COMPUTED_VALUE"""),"enrique@canva.com")</f>
        <v>enrique@canva.com</v>
      </c>
      <c r="R370" s="1" t="str">
        <f>IFERROR(__xludf.DUMMYFUNCTION("""COMPUTED_VALUE"""),"Enrique Paolo Catuncan")</f>
        <v>Enrique Paolo Catuncan</v>
      </c>
      <c r="S370" s="1"/>
      <c r="T370" s="1">
        <f>IFERROR(__xludf.DUMMYFUNCTION("""COMPUTED_VALUE"""),70.25)</f>
        <v>70.25</v>
      </c>
      <c r="U370" s="2">
        <f>IFERROR(__xludf.DUMMYFUNCTION("""COMPUTED_VALUE"""),70.25)</f>
        <v>70.25</v>
      </c>
      <c r="V370" s="1" t="str">
        <f>IFERROR(__xludf.DUMMYFUNCTION("""COMPUTED_VALUE"""),"AL Suarez")</f>
        <v>AL Suarez</v>
      </c>
      <c r="W370" s="1" t="str">
        <f>IFERROR(__xludf.DUMMYFUNCTION("""COMPUTED_VALUE"""),"Admin Direct Support")</f>
        <v>Admin Direct Support</v>
      </c>
    </row>
    <row r="371">
      <c r="O371" s="1" t="str">
        <f>IFERROR(__xludf.DUMMYFUNCTION("""COMPUTED_VALUE"""),"2025 Jul")</f>
        <v>2025 Jul</v>
      </c>
      <c r="P371" s="1" t="str">
        <f>IFERROR(__xludf.DUMMYFUNCTION("""COMPUTED_VALUE"""),"#N/A")</f>
        <v>#N/A</v>
      </c>
      <c r="Q371" s="1" t="str">
        <f>IFERROR(__xludf.DUMMYFUNCTION("""COMPUTED_VALUE"""),"enicole@canva.com")</f>
        <v>enicole@canva.com</v>
      </c>
      <c r="R371" s="1" t="str">
        <f>IFERROR(__xludf.DUMMYFUNCTION("""COMPUTED_VALUE"""),"Ericka Nicole Andrade")</f>
        <v>Ericka Nicole Andrade</v>
      </c>
      <c r="S371" s="1">
        <f>IFERROR(__xludf.DUMMYFUNCTION("""COMPUTED_VALUE"""),63.42)</f>
        <v>63.42</v>
      </c>
      <c r="T371" s="1">
        <f>IFERROR(__xludf.DUMMYFUNCTION("""COMPUTED_VALUE"""),5.33)</f>
        <v>5.33</v>
      </c>
      <c r="U371" s="2">
        <f>IFERROR(__xludf.DUMMYFUNCTION("""COMPUTED_VALUE"""),68.75)</f>
        <v>68.75</v>
      </c>
      <c r="V371" s="1" t="str">
        <f>IFERROR(__xludf.DUMMYFUNCTION("""COMPUTED_VALUE"""),"Cate Velasco")</f>
        <v>Cate Velasco</v>
      </c>
      <c r="W371" s="1" t="str">
        <f>IFERROR(__xludf.DUMMYFUNCTION("""COMPUTED_VALUE"""),"Advanced Product Support")</f>
        <v>Advanced Product Support</v>
      </c>
    </row>
    <row r="372">
      <c r="O372" s="1" t="str">
        <f>IFERROR(__xludf.DUMMYFUNCTION("""COMPUTED_VALUE"""),"2025 Jul")</f>
        <v>2025 Jul</v>
      </c>
      <c r="P372" s="1" t="str">
        <f>IFERROR(__xludf.DUMMYFUNCTION("""COMPUTED_VALUE"""),"#N/A")</f>
        <v>#N/A</v>
      </c>
      <c r="Q372" s="1" t="str">
        <f>IFERROR(__xludf.DUMMYFUNCTION("""COMPUTED_VALUE"""),"venturaestelle@canva.com")</f>
        <v>venturaestelle@canva.com</v>
      </c>
      <c r="R372" s="1" t="str">
        <f>IFERROR(__xludf.DUMMYFUNCTION("""COMPUTED_VALUE"""),"Estelle Ventura")</f>
        <v>Estelle Ventura</v>
      </c>
      <c r="S372" s="1">
        <f>IFERROR(__xludf.DUMMYFUNCTION("""COMPUTED_VALUE"""),1.75)</f>
        <v>1.75</v>
      </c>
      <c r="T372" s="1"/>
      <c r="U372" s="2">
        <f>IFERROR(__xludf.DUMMYFUNCTION("""COMPUTED_VALUE"""),1.75)</f>
        <v>1.75</v>
      </c>
      <c r="V372" s="1" t="str">
        <f>IFERROR(__xludf.DUMMYFUNCTION("""COMPUTED_VALUE"""),"#N/A")</f>
        <v>#N/A</v>
      </c>
      <c r="W372" s="1" t="str">
        <f>IFERROR(__xludf.DUMMYFUNCTION("""COMPUTED_VALUE"""),"#N/A")</f>
        <v>#N/A</v>
      </c>
    </row>
    <row r="373">
      <c r="O373" s="1" t="str">
        <f>IFERROR(__xludf.DUMMYFUNCTION("""COMPUTED_VALUE"""),"2025 Jul")</f>
        <v>2025 Jul</v>
      </c>
      <c r="P373" s="1" t="str">
        <f>IFERROR(__xludf.DUMMYFUNCTION("""COMPUTED_VALUE"""),"Core Product Support")</f>
        <v>Core Product Support</v>
      </c>
      <c r="Q373" s="1" t="str">
        <f>IFERROR(__xludf.DUMMYFUNCTION("""COMPUTED_VALUE"""),"euni@canva.com")</f>
        <v>euni@canva.com</v>
      </c>
      <c r="R373" s="1" t="str">
        <f>IFERROR(__xludf.DUMMYFUNCTION("""COMPUTED_VALUE"""),"Eunice Hachero")</f>
        <v>Eunice Hachero</v>
      </c>
      <c r="S373" s="1">
        <f>IFERROR(__xludf.DUMMYFUNCTION("""COMPUTED_VALUE"""),32.67)</f>
        <v>32.67</v>
      </c>
      <c r="T373" s="1">
        <f>IFERROR(__xludf.DUMMYFUNCTION("""COMPUTED_VALUE"""),7.25)</f>
        <v>7.25</v>
      </c>
      <c r="U373" s="2">
        <f>IFERROR(__xludf.DUMMYFUNCTION("""COMPUTED_VALUE"""),39.92)</f>
        <v>39.92</v>
      </c>
      <c r="V373" s="1" t="str">
        <f>IFERROR(__xludf.DUMMYFUNCTION("""COMPUTED_VALUE"""),"Marie Mordeno")</f>
        <v>Marie Mordeno</v>
      </c>
      <c r="W373" s="1" t="str">
        <f>IFERROR(__xludf.DUMMYFUNCTION("""COMPUTED_VALUE"""),"Advanced Billing &amp; Subscriptions")</f>
        <v>Advanced Billing &amp; Subscriptions</v>
      </c>
    </row>
    <row r="374">
      <c r="O374" s="1" t="str">
        <f>IFERROR(__xludf.DUMMYFUNCTION("""COMPUTED_VALUE"""),"2025 Jul")</f>
        <v>2025 Jul</v>
      </c>
      <c r="P374" s="1" t="str">
        <f>IFERROR(__xludf.DUMMYFUNCTION("""COMPUTED_VALUE"""),"Admin Support")</f>
        <v>Admin Support</v>
      </c>
      <c r="Q374" s="1" t="str">
        <f>IFERROR(__xludf.DUMMYFUNCTION("""COMPUTED_VALUE"""),"eziecl@canva.com")</f>
        <v>eziecl@canva.com</v>
      </c>
      <c r="R374" s="1" t="str">
        <f>IFERROR(__xludf.DUMMYFUNCTION("""COMPUTED_VALUE"""),"Ezekiel Marlin Lacson")</f>
        <v>Ezekiel Marlin Lacson</v>
      </c>
      <c r="S374" s="1"/>
      <c r="T374" s="1">
        <f>IFERROR(__xludf.DUMMYFUNCTION("""COMPUTED_VALUE"""),137.5)</f>
        <v>137.5</v>
      </c>
      <c r="U374" s="2">
        <f>IFERROR(__xludf.DUMMYFUNCTION("""COMPUTED_VALUE"""),137.5)</f>
        <v>137.5</v>
      </c>
      <c r="V374" s="1" t="str">
        <f>IFERROR(__xludf.DUMMYFUNCTION("""COMPUTED_VALUE"""),"Pau Palmero")</f>
        <v>Pau Palmero</v>
      </c>
      <c r="W374" s="1" t="str">
        <f>IFERROR(__xludf.DUMMYFUNCTION("""COMPUTED_VALUE"""),"Admin Omni Support")</f>
        <v>Admin Omni Support</v>
      </c>
    </row>
    <row r="375">
      <c r="O375" s="1" t="str">
        <f>IFERROR(__xludf.DUMMYFUNCTION("""COMPUTED_VALUE"""),"2025 Jul")</f>
        <v>2025 Jul</v>
      </c>
      <c r="P375" s="1" t="str">
        <f>IFERROR(__xludf.DUMMYFUNCTION("""COMPUTED_VALUE"""),"Print Support")</f>
        <v>Print Support</v>
      </c>
      <c r="Q375" s="1" t="str">
        <f>IFERROR(__xludf.DUMMYFUNCTION("""COMPUTED_VALUE"""),"faith@canva.com")</f>
        <v>faith@canva.com</v>
      </c>
      <c r="R375" s="1" t="str">
        <f>IFERROR(__xludf.DUMMYFUNCTION("""COMPUTED_VALUE"""),"Faith Ytang")</f>
        <v>Faith Ytang</v>
      </c>
      <c r="S375" s="1">
        <f>IFERROR(__xludf.DUMMYFUNCTION("""COMPUTED_VALUE"""),10.0)</f>
        <v>10</v>
      </c>
      <c r="T375" s="1">
        <f>IFERROR(__xludf.DUMMYFUNCTION("""COMPUTED_VALUE"""),5.0)</f>
        <v>5</v>
      </c>
      <c r="U375" s="2">
        <f>IFERROR(__xludf.DUMMYFUNCTION("""COMPUTED_VALUE"""),15.0)</f>
        <v>15</v>
      </c>
      <c r="V375" s="1" t="str">
        <f>IFERROR(__xludf.DUMMYFUNCTION("""COMPUTED_VALUE"""),"Memae Faustino")</f>
        <v>Memae Faustino</v>
      </c>
      <c r="W375" s="1" t="str">
        <f>IFERROR(__xludf.DUMMYFUNCTION("""COMPUTED_VALUE"""),"Print Support PH")</f>
        <v>Print Support PH</v>
      </c>
    </row>
    <row r="376">
      <c r="O376" s="1" t="str">
        <f>IFERROR(__xludf.DUMMYFUNCTION("""COMPUTED_VALUE"""),"2025 Jul")</f>
        <v>2025 Jul</v>
      </c>
      <c r="P376" s="1" t="str">
        <f>IFERROR(__xludf.DUMMYFUNCTION("""COMPUTED_VALUE"""),"Multilingual Support")</f>
        <v>Multilingual Support</v>
      </c>
      <c r="Q376" s="1" t="str">
        <f>IFERROR(__xludf.DUMMYFUNCTION("""COMPUTED_VALUE"""),"francescamat@canva.com")</f>
        <v>francescamat@canva.com</v>
      </c>
      <c r="R376" s="1" t="str">
        <f>IFERROR(__xludf.DUMMYFUNCTION("""COMPUTED_VALUE"""),"Francesca Mat")</f>
        <v>Francesca Mat</v>
      </c>
      <c r="S376" s="1">
        <f>IFERROR(__xludf.DUMMYFUNCTION("""COMPUTED_VALUE"""),5.0)</f>
        <v>5</v>
      </c>
      <c r="T376" s="1"/>
      <c r="U376" s="2">
        <f>IFERROR(__xludf.DUMMYFUNCTION("""COMPUTED_VALUE"""),5.0)</f>
        <v>5</v>
      </c>
      <c r="V376" s="1" t="str">
        <f>IFERROR(__xludf.DUMMYFUNCTION("""COMPUTED_VALUE"""),"Arlene Maurillo")</f>
        <v>Arlene Maurillo</v>
      </c>
      <c r="W376" s="1" t="str">
        <f>IFERROR(__xludf.DUMMYFUNCTION("""COMPUTED_VALUE"""),"PHL, Multilingual Support")</f>
        <v>PHL, Multilingual Support</v>
      </c>
    </row>
    <row r="377">
      <c r="O377" s="1" t="str">
        <f>IFERROR(__xludf.DUMMYFUNCTION("""COMPUTED_VALUE"""),"2025 Jul")</f>
        <v>2025 Jul</v>
      </c>
      <c r="P377" s="1" t="str">
        <f>IFERROR(__xludf.DUMMYFUNCTION("""COMPUTED_VALUE"""),"Core Product Support")</f>
        <v>Core Product Support</v>
      </c>
      <c r="Q377" s="1" t="str">
        <f>IFERROR(__xludf.DUMMYFUNCTION("""COMPUTED_VALUE"""),"fweill@canva.com")</f>
        <v>fweill@canva.com</v>
      </c>
      <c r="R377" s="1" t="str">
        <f>IFERROR(__xludf.DUMMYFUNCTION("""COMPUTED_VALUE"""),"Frank Weill")</f>
        <v>Frank Weill</v>
      </c>
      <c r="S377" s="1">
        <f>IFERROR(__xludf.DUMMYFUNCTION("""COMPUTED_VALUE"""),31.5)</f>
        <v>31.5</v>
      </c>
      <c r="T377" s="1">
        <f>IFERROR(__xludf.DUMMYFUNCTION("""COMPUTED_VALUE"""),6.83)</f>
        <v>6.83</v>
      </c>
      <c r="U377" s="2">
        <f>IFERROR(__xludf.DUMMYFUNCTION("""COMPUTED_VALUE"""),38.33)</f>
        <v>38.33</v>
      </c>
      <c r="V377" s="1" t="str">
        <f>IFERROR(__xludf.DUMMYFUNCTION("""COMPUTED_VALUE"""),"Manee Barrasa")</f>
        <v>Manee Barrasa</v>
      </c>
      <c r="W377" s="1" t="str">
        <f>IFERROR(__xludf.DUMMYFUNCTION("""COMPUTED_VALUE"""),"Advanced Billing &amp; Subscriptions")</f>
        <v>Advanced Billing &amp; Subscriptions</v>
      </c>
    </row>
    <row r="378">
      <c r="O378" s="1" t="str">
        <f>IFERROR(__xludf.DUMMYFUNCTION("""COMPUTED_VALUE"""),"2025 Jul")</f>
        <v>2025 Jul</v>
      </c>
      <c r="P378" s="1" t="str">
        <f>IFERROR(__xludf.DUMMYFUNCTION("""COMPUTED_VALUE"""),"Print Support")</f>
        <v>Print Support</v>
      </c>
      <c r="Q378" s="1" t="str">
        <f>IFERROR(__xludf.DUMMYFUNCTION("""COMPUTED_VALUE"""),"frencie@canva.com")</f>
        <v>frencie@canva.com</v>
      </c>
      <c r="R378" s="1" t="str">
        <f>IFERROR(__xludf.DUMMYFUNCTION("""COMPUTED_VALUE"""),"Frencie Guzman")</f>
        <v>Frencie Guzman</v>
      </c>
      <c r="S378" s="1">
        <f>IFERROR(__xludf.DUMMYFUNCTION("""COMPUTED_VALUE"""),7.92)</f>
        <v>7.92</v>
      </c>
      <c r="T378" s="1">
        <f>IFERROR(__xludf.DUMMYFUNCTION("""COMPUTED_VALUE"""),6.08)</f>
        <v>6.08</v>
      </c>
      <c r="U378" s="2">
        <f>IFERROR(__xludf.DUMMYFUNCTION("""COMPUTED_VALUE"""),14.0)</f>
        <v>14</v>
      </c>
      <c r="V378" s="1" t="str">
        <f>IFERROR(__xludf.DUMMYFUNCTION("""COMPUTED_VALUE"""),"Aliza Dote")</f>
        <v>Aliza Dote</v>
      </c>
      <c r="W378" s="1" t="str">
        <f>IFERROR(__xludf.DUMMYFUNCTION("""COMPUTED_VALUE"""),"Print Design Support")</f>
        <v>Print Design Support</v>
      </c>
    </row>
    <row r="379">
      <c r="O379" s="1" t="str">
        <f>IFERROR(__xludf.DUMMYFUNCTION("""COMPUTED_VALUE"""),"2025 Jul")</f>
        <v>2025 Jul</v>
      </c>
      <c r="P379" s="1" t="str">
        <f>IFERROR(__xludf.DUMMYFUNCTION("""COMPUTED_VALUE"""),"Print Support")</f>
        <v>Print Support</v>
      </c>
      <c r="Q379" s="1" t="str">
        <f>IFERROR(__xludf.DUMMYFUNCTION("""COMPUTED_VALUE"""),"gvr@canva.com")</f>
        <v>gvr@canva.com</v>
      </c>
      <c r="R379" s="1" t="str">
        <f>IFERROR(__xludf.DUMMYFUNCTION("""COMPUTED_VALUE"""),"Gabriel Reyes")</f>
        <v>Gabriel Reyes</v>
      </c>
      <c r="S379" s="1">
        <f>IFERROR(__xludf.DUMMYFUNCTION("""COMPUTED_VALUE"""),15.0)</f>
        <v>15</v>
      </c>
      <c r="T379" s="1">
        <f>IFERROR(__xludf.DUMMYFUNCTION("""COMPUTED_VALUE"""),0.5)</f>
        <v>0.5</v>
      </c>
      <c r="U379" s="2">
        <f>IFERROR(__xludf.DUMMYFUNCTION("""COMPUTED_VALUE"""),15.5)</f>
        <v>15.5</v>
      </c>
      <c r="V379" s="1" t="str">
        <f>IFERROR(__xludf.DUMMYFUNCTION("""COMPUTED_VALUE"""),"Memae Faustino")</f>
        <v>Memae Faustino</v>
      </c>
      <c r="W379" s="1" t="str">
        <f>IFERROR(__xludf.DUMMYFUNCTION("""COMPUTED_VALUE"""),"Print Support PH")</f>
        <v>Print Support PH</v>
      </c>
    </row>
    <row r="380">
      <c r="O380" s="1" t="str">
        <f>IFERROR(__xludf.DUMMYFUNCTION("""COMPUTED_VALUE"""),"2025 Jul")</f>
        <v>2025 Jul</v>
      </c>
      <c r="P380" s="1" t="str">
        <f>IFERROR(__xludf.DUMMYFUNCTION("""COMPUTED_VALUE"""),"High Sensitivity Support")</f>
        <v>High Sensitivity Support</v>
      </c>
      <c r="Q380" s="1" t="str">
        <f>IFERROR(__xludf.DUMMYFUNCTION("""COMPUTED_VALUE"""),"gsanandres@canva.com")</f>
        <v>gsanandres@canva.com</v>
      </c>
      <c r="R380" s="1" t="str">
        <f>IFERROR(__xludf.DUMMYFUNCTION("""COMPUTED_VALUE"""),"Galvin San Andres")</f>
        <v>Galvin San Andres</v>
      </c>
      <c r="S380" s="1">
        <f>IFERROR(__xludf.DUMMYFUNCTION("""COMPUTED_VALUE"""),26.58)</f>
        <v>26.58</v>
      </c>
      <c r="T380" s="1">
        <f>IFERROR(__xludf.DUMMYFUNCTION("""COMPUTED_VALUE"""),9.75)</f>
        <v>9.75</v>
      </c>
      <c r="U380" s="2">
        <f>IFERROR(__xludf.DUMMYFUNCTION("""COMPUTED_VALUE"""),36.33)</f>
        <v>36.33</v>
      </c>
      <c r="V380" s="1" t="str">
        <f>IFERROR(__xludf.DUMMYFUNCTION("""COMPUTED_VALUE"""),"Xandy Azarcon")</f>
        <v>Xandy Azarcon</v>
      </c>
      <c r="W380" s="1" t="str">
        <f>IFERROR(__xludf.DUMMYFUNCTION("""COMPUTED_VALUE"""),"High Sensitivity Support PH")</f>
        <v>High Sensitivity Support PH</v>
      </c>
    </row>
    <row r="381">
      <c r="O381" s="1" t="str">
        <f>IFERROR(__xludf.DUMMYFUNCTION("""COMPUTED_VALUE"""),"2025 Jul")</f>
        <v>2025 Jul</v>
      </c>
      <c r="P381" s="1" t="str">
        <f>IFERROR(__xludf.DUMMYFUNCTION("""COMPUTED_VALUE"""),"#N/A")</f>
        <v>#N/A</v>
      </c>
      <c r="Q381" s="1" t="str">
        <f>IFERROR(__xludf.DUMMYFUNCTION("""COMPUTED_VALUE"""),"angeladc@canva.com")</f>
        <v>angeladc@canva.com</v>
      </c>
      <c r="R381" s="1" t="str">
        <f>IFERROR(__xludf.DUMMYFUNCTION("""COMPUTED_VALUE"""),"Gela Dela Cruz")</f>
        <v>Gela Dela Cruz</v>
      </c>
      <c r="S381" s="1">
        <f>IFERROR(__xludf.DUMMYFUNCTION("""COMPUTED_VALUE"""),56.17)</f>
        <v>56.17</v>
      </c>
      <c r="T381" s="1">
        <f>IFERROR(__xludf.DUMMYFUNCTION("""COMPUTED_VALUE"""),6.08)</f>
        <v>6.08</v>
      </c>
      <c r="U381" s="2">
        <f>IFERROR(__xludf.DUMMYFUNCTION("""COMPUTED_VALUE"""),62.25)</f>
        <v>62.25</v>
      </c>
      <c r="V381" s="1" t="str">
        <f>IFERROR(__xludf.DUMMYFUNCTION("""COMPUTED_VALUE"""),"#N/A")</f>
        <v>#N/A</v>
      </c>
      <c r="W381" s="1" t="str">
        <f>IFERROR(__xludf.DUMMYFUNCTION("""COMPUTED_VALUE"""),"#N/A")</f>
        <v>#N/A</v>
      </c>
    </row>
    <row r="382">
      <c r="O382" s="1" t="str">
        <f>IFERROR(__xludf.DUMMYFUNCTION("""COMPUTED_VALUE"""),"2025 Jul")</f>
        <v>2025 Jul</v>
      </c>
      <c r="P382" s="1" t="str">
        <f>IFERROR(__xludf.DUMMYFUNCTION("""COMPUTED_VALUE"""),"Core Product Support")</f>
        <v>Core Product Support</v>
      </c>
      <c r="Q382" s="1" t="str">
        <f>IFERROR(__xludf.DUMMYFUNCTION("""COMPUTED_VALUE"""),"gsauler@canva.com")</f>
        <v>gsauler@canva.com</v>
      </c>
      <c r="R382" s="1" t="str">
        <f>IFERROR(__xludf.DUMMYFUNCTION("""COMPUTED_VALUE"""),"Gem Sauler")</f>
        <v>Gem Sauler</v>
      </c>
      <c r="S382" s="1">
        <f>IFERROR(__xludf.DUMMYFUNCTION("""COMPUTED_VALUE"""),43.3)</f>
        <v>43.3</v>
      </c>
      <c r="T382" s="1">
        <f>IFERROR(__xludf.DUMMYFUNCTION("""COMPUTED_VALUE"""),7.58)</f>
        <v>7.58</v>
      </c>
      <c r="U382" s="2">
        <f>IFERROR(__xludf.DUMMYFUNCTION("""COMPUTED_VALUE"""),50.879999999999995)</f>
        <v>50.88</v>
      </c>
      <c r="V382" s="1" t="str">
        <f>IFERROR(__xludf.DUMMYFUNCTION("""COMPUTED_VALUE"""),"Mikhaela Decangchon")</f>
        <v>Mikhaela Decangchon</v>
      </c>
      <c r="W382" s="1" t="str">
        <f>IFERROR(__xludf.DUMMYFUNCTION("""COMPUTED_VALUE"""),"Advanced Product Support")</f>
        <v>Advanced Product Support</v>
      </c>
    </row>
    <row r="383">
      <c r="O383" s="1" t="str">
        <f>IFERROR(__xludf.DUMMYFUNCTION("""COMPUTED_VALUE"""),"2025 Jul")</f>
        <v>2025 Jul</v>
      </c>
      <c r="P383" s="1" t="str">
        <f>IFERROR(__xludf.DUMMYFUNCTION("""COMPUTED_VALUE"""),"Core Product Support")</f>
        <v>Core Product Support</v>
      </c>
      <c r="Q383" s="1" t="str">
        <f>IFERROR(__xludf.DUMMYFUNCTION("""COMPUTED_VALUE"""),"gemmalyn@canva.com")</f>
        <v>gemmalyn@canva.com</v>
      </c>
      <c r="R383" s="1" t="str">
        <f>IFERROR(__xludf.DUMMYFUNCTION("""COMPUTED_VALUE"""),"Gemma Gaddi")</f>
        <v>Gemma Gaddi</v>
      </c>
      <c r="S383" s="1">
        <f>IFERROR(__xludf.DUMMYFUNCTION("""COMPUTED_VALUE"""),22.0)</f>
        <v>22</v>
      </c>
      <c r="T383" s="1">
        <f>IFERROR(__xludf.DUMMYFUNCTION("""COMPUTED_VALUE"""),11.95)</f>
        <v>11.95</v>
      </c>
      <c r="U383" s="2">
        <f>IFERROR(__xludf.DUMMYFUNCTION("""COMPUTED_VALUE"""),33.95)</f>
        <v>33.95</v>
      </c>
      <c r="V383" s="1" t="str">
        <f>IFERROR(__xludf.DUMMYFUNCTION("""COMPUTED_VALUE"""),"Jahmie Mae Barrameda")</f>
        <v>Jahmie Mae Barrameda</v>
      </c>
      <c r="W383" s="1" t="str">
        <f>IFERROR(__xludf.DUMMYFUNCTION("""COMPUTED_VALUE"""),"Advanced Billing &amp; Subscriptions")</f>
        <v>Advanced Billing &amp; Subscriptions</v>
      </c>
    </row>
    <row r="384">
      <c r="O384" s="1" t="str">
        <f>IFERROR(__xludf.DUMMYFUNCTION("""COMPUTED_VALUE"""),"2025 Jul")</f>
        <v>2025 Jul</v>
      </c>
      <c r="P384" s="1" t="str">
        <f>IFERROR(__xludf.DUMMYFUNCTION("""COMPUTED_VALUE"""),"Core Product Support")</f>
        <v>Core Product Support</v>
      </c>
      <c r="Q384" s="1" t="str">
        <f>IFERROR(__xludf.DUMMYFUNCTION("""COMPUTED_VALUE"""),"evee@canva.com")</f>
        <v>evee@canva.com</v>
      </c>
      <c r="R384" s="1" t="str">
        <f>IFERROR(__xludf.DUMMYFUNCTION("""COMPUTED_VALUE"""),"Gen Gingoyon")</f>
        <v>Gen Gingoyon</v>
      </c>
      <c r="S384" s="1">
        <f>IFERROR(__xludf.DUMMYFUNCTION("""COMPUTED_VALUE"""),32.37)</f>
        <v>32.37</v>
      </c>
      <c r="T384" s="1">
        <f>IFERROR(__xludf.DUMMYFUNCTION("""COMPUTED_VALUE"""),17.3)</f>
        <v>17.3</v>
      </c>
      <c r="U384" s="2">
        <f>IFERROR(__xludf.DUMMYFUNCTION("""COMPUTED_VALUE"""),49.67)</f>
        <v>49.67</v>
      </c>
      <c r="V384" s="1" t="str">
        <f>IFERROR(__xludf.DUMMYFUNCTION("""COMPUTED_VALUE"""),"Renette Bok")</f>
        <v>Renette Bok</v>
      </c>
      <c r="W384" s="1" t="str">
        <f>IFERROR(__xludf.DUMMYFUNCTION("""COMPUTED_VALUE"""),"Advanced Billing &amp; Subscriptions")</f>
        <v>Advanced Billing &amp; Subscriptions</v>
      </c>
    </row>
    <row r="385">
      <c r="O385" s="1" t="str">
        <f>IFERROR(__xludf.DUMMYFUNCTION("""COMPUTED_VALUE"""),"2025 Jul")</f>
        <v>2025 Jul</v>
      </c>
      <c r="P385" s="1" t="str">
        <f>IFERROR(__xludf.DUMMYFUNCTION("""COMPUTED_VALUE"""),"Core Product Support")</f>
        <v>Core Product Support</v>
      </c>
      <c r="Q385" s="1" t="str">
        <f>IFERROR(__xludf.DUMMYFUNCTION("""COMPUTED_VALUE"""),"gpascua@canva.com")</f>
        <v>gpascua@canva.com</v>
      </c>
      <c r="R385" s="1" t="str">
        <f>IFERROR(__xludf.DUMMYFUNCTION("""COMPUTED_VALUE"""),"Gernie Pascua")</f>
        <v>Gernie Pascua</v>
      </c>
      <c r="S385" s="1">
        <f>IFERROR(__xludf.DUMMYFUNCTION("""COMPUTED_VALUE"""),15.0)</f>
        <v>15</v>
      </c>
      <c r="T385" s="1">
        <f>IFERROR(__xludf.DUMMYFUNCTION("""COMPUTED_VALUE"""),1.83)</f>
        <v>1.83</v>
      </c>
      <c r="U385" s="2">
        <f>IFERROR(__xludf.DUMMYFUNCTION("""COMPUTED_VALUE"""),16.83)</f>
        <v>16.83</v>
      </c>
      <c r="V385" s="1" t="str">
        <f>IFERROR(__xludf.DUMMYFUNCTION("""COMPUTED_VALUE"""),"Ellaine Estayo")</f>
        <v>Ellaine Estayo</v>
      </c>
      <c r="W385" s="1" t="str">
        <f>IFERROR(__xludf.DUMMYFUNCTION("""COMPUTED_VALUE"""),"Core Product Support Escalation Team")</f>
        <v>Core Product Support Escalation Team</v>
      </c>
    </row>
    <row r="386">
      <c r="O386" s="1" t="str">
        <f>IFERROR(__xludf.DUMMYFUNCTION("""COMPUTED_VALUE"""),"2025 Jul")</f>
        <v>2025 Jul</v>
      </c>
      <c r="P386" s="1" t="str">
        <f>IFERROR(__xludf.DUMMYFUNCTION("""COMPUTED_VALUE"""),"#N/A")</f>
        <v>#N/A</v>
      </c>
      <c r="Q386" s="1" t="str">
        <f>IFERROR(__xludf.DUMMYFUNCTION("""COMPUTED_VALUE"""),"gia@canva.com")</f>
        <v>gia@canva.com</v>
      </c>
      <c r="R386" s="1" t="str">
        <f>IFERROR(__xludf.DUMMYFUNCTION("""COMPUTED_VALUE"""),"Gia Obispo")</f>
        <v>Gia Obispo</v>
      </c>
      <c r="S386" s="1">
        <f>IFERROR(__xludf.DUMMYFUNCTION("""COMPUTED_VALUE"""),60.63)</f>
        <v>60.63</v>
      </c>
      <c r="T386" s="1">
        <f>IFERROR(__xludf.DUMMYFUNCTION("""COMPUTED_VALUE"""),9.33)</f>
        <v>9.33</v>
      </c>
      <c r="U386" s="2">
        <f>IFERROR(__xludf.DUMMYFUNCTION("""COMPUTED_VALUE"""),69.96000000000001)</f>
        <v>69.96</v>
      </c>
      <c r="V386" s="1" t="str">
        <f>IFERROR(__xludf.DUMMYFUNCTION("""COMPUTED_VALUE"""),"#N/A")</f>
        <v>#N/A</v>
      </c>
      <c r="W386" s="1" t="str">
        <f>IFERROR(__xludf.DUMMYFUNCTION("""COMPUTED_VALUE"""),"Advanced Product Support")</f>
        <v>Advanced Product Support</v>
      </c>
    </row>
    <row r="387">
      <c r="O387" s="1" t="str">
        <f>IFERROR(__xludf.DUMMYFUNCTION("""COMPUTED_VALUE"""),"2025 Jul")</f>
        <v>2025 Jul</v>
      </c>
      <c r="P387" s="1" t="str">
        <f>IFERROR(__xludf.DUMMYFUNCTION("""COMPUTED_VALUE"""),"Core Product Support")</f>
        <v>Core Product Support</v>
      </c>
      <c r="Q387" s="1" t="str">
        <f>IFERROR(__xludf.DUMMYFUNCTION("""COMPUTED_VALUE"""),"gieslnts@canva.com")</f>
        <v>gieslnts@canva.com</v>
      </c>
      <c r="R387" s="1" t="str">
        <f>IFERROR(__xludf.DUMMYFUNCTION("""COMPUTED_VALUE"""),"Gieann Salantes")</f>
        <v>Gieann Salantes</v>
      </c>
      <c r="S387" s="1">
        <f>IFERROR(__xludf.DUMMYFUNCTION("""COMPUTED_VALUE"""),2.5)</f>
        <v>2.5</v>
      </c>
      <c r="T387" s="1">
        <f>IFERROR(__xludf.DUMMYFUNCTION("""COMPUTED_VALUE"""),50.75)</f>
        <v>50.75</v>
      </c>
      <c r="U387" s="2">
        <f>IFERROR(__xludf.DUMMYFUNCTION("""COMPUTED_VALUE"""),53.25)</f>
        <v>53.25</v>
      </c>
      <c r="V387" s="1" t="str">
        <f>IFERROR(__xludf.DUMMYFUNCTION("""COMPUTED_VALUE"""),"Sieg Ballelos")</f>
        <v>Sieg Ballelos</v>
      </c>
      <c r="W387" s="1" t="str">
        <f>IFERROR(__xludf.DUMMYFUNCTION("""COMPUTED_VALUE"""),"Core Product Support Escalation Team")</f>
        <v>Core Product Support Escalation Team</v>
      </c>
    </row>
    <row r="388">
      <c r="O388" s="1" t="str">
        <f>IFERROR(__xludf.DUMMYFUNCTION("""COMPUTED_VALUE"""),"2025 Jul")</f>
        <v>2025 Jul</v>
      </c>
      <c r="P388" s="1" t="str">
        <f>IFERROR(__xludf.DUMMYFUNCTION("""COMPUTED_VALUE"""),"Admin Support")</f>
        <v>Admin Support</v>
      </c>
      <c r="Q388" s="1" t="str">
        <f>IFERROR(__xludf.DUMMYFUNCTION("""COMPUTED_VALUE"""),"glennford@canva.com")</f>
        <v>glennford@canva.com</v>
      </c>
      <c r="R388" s="1" t="str">
        <f>IFERROR(__xludf.DUMMYFUNCTION("""COMPUTED_VALUE"""),"Glenn Gutierrez")</f>
        <v>Glenn Gutierrez</v>
      </c>
      <c r="S388" s="1">
        <f>IFERROR(__xludf.DUMMYFUNCTION("""COMPUTED_VALUE"""),9.25)</f>
        <v>9.25</v>
      </c>
      <c r="T388" s="1">
        <f>IFERROR(__xludf.DUMMYFUNCTION("""COMPUTED_VALUE"""),5.0)</f>
        <v>5</v>
      </c>
      <c r="U388" s="2">
        <f>IFERROR(__xludf.DUMMYFUNCTION("""COMPUTED_VALUE"""),14.25)</f>
        <v>14.25</v>
      </c>
      <c r="V388" s="1" t="str">
        <f>IFERROR(__xludf.DUMMYFUNCTION("""COMPUTED_VALUE"""),"Karla Mananghaya")</f>
        <v>Karla Mananghaya</v>
      </c>
      <c r="W388" s="1" t="str">
        <f>IFERROR(__xludf.DUMMYFUNCTION("""COMPUTED_VALUE"""),"Admin Support Service Escalation Team")</f>
        <v>Admin Support Service Escalation Team</v>
      </c>
    </row>
    <row r="389">
      <c r="O389" s="1" t="str">
        <f>IFERROR(__xludf.DUMMYFUNCTION("""COMPUTED_VALUE"""),"2025 Jul")</f>
        <v>2025 Jul</v>
      </c>
      <c r="P389" s="1" t="str">
        <f>IFERROR(__xludf.DUMMYFUNCTION("""COMPUTED_VALUE"""),"Core Product Support")</f>
        <v>Core Product Support</v>
      </c>
      <c r="Q389" s="1" t="str">
        <f>IFERROR(__xludf.DUMMYFUNCTION("""COMPUTED_VALUE"""),"gracegarcia@canva.com")</f>
        <v>gracegarcia@canva.com</v>
      </c>
      <c r="R389" s="1" t="str">
        <f>IFERROR(__xludf.DUMMYFUNCTION("""COMPUTED_VALUE"""),"Grace Garcia")</f>
        <v>Grace Garcia</v>
      </c>
      <c r="S389" s="1">
        <f>IFERROR(__xludf.DUMMYFUNCTION("""COMPUTED_VALUE"""),35.25)</f>
        <v>35.25</v>
      </c>
      <c r="T389" s="1">
        <f>IFERROR(__xludf.DUMMYFUNCTION("""COMPUTED_VALUE"""),15.5)</f>
        <v>15.5</v>
      </c>
      <c r="U389" s="2">
        <f>IFERROR(__xludf.DUMMYFUNCTION("""COMPUTED_VALUE"""),50.75)</f>
        <v>50.75</v>
      </c>
      <c r="V389" s="1" t="str">
        <f>IFERROR(__xludf.DUMMYFUNCTION("""COMPUTED_VALUE"""),"Marie Mordeno")</f>
        <v>Marie Mordeno</v>
      </c>
      <c r="W389" s="1" t="str">
        <f>IFERROR(__xludf.DUMMYFUNCTION("""COMPUTED_VALUE"""),"Advanced Billing &amp; Subscriptions")</f>
        <v>Advanced Billing &amp; Subscriptions</v>
      </c>
    </row>
    <row r="390">
      <c r="O390" s="1" t="str">
        <f>IFERROR(__xludf.DUMMYFUNCTION("""COMPUTED_VALUE"""),"2025 Jul")</f>
        <v>2025 Jul</v>
      </c>
      <c r="P390" s="1" t="str">
        <f>IFERROR(__xludf.DUMMYFUNCTION("""COMPUTED_VALUE"""),"Core Product Support")</f>
        <v>Core Product Support</v>
      </c>
      <c r="Q390" s="1" t="str">
        <f>IFERROR(__xludf.DUMMYFUNCTION("""COMPUTED_VALUE"""),"hanni@canva.com")</f>
        <v>hanni@canva.com</v>
      </c>
      <c r="R390" s="1" t="str">
        <f>IFERROR(__xludf.DUMMYFUNCTION("""COMPUTED_VALUE"""),"Hannah Bejo")</f>
        <v>Hannah Bejo</v>
      </c>
      <c r="S390" s="1">
        <f>IFERROR(__xludf.DUMMYFUNCTION("""COMPUTED_VALUE"""),38.02)</f>
        <v>38.02</v>
      </c>
      <c r="T390" s="1">
        <f>IFERROR(__xludf.DUMMYFUNCTION("""COMPUTED_VALUE"""),9.32)</f>
        <v>9.32</v>
      </c>
      <c r="U390" s="2">
        <f>IFERROR(__xludf.DUMMYFUNCTION("""COMPUTED_VALUE"""),47.34)</f>
        <v>47.34</v>
      </c>
      <c r="V390" s="1" t="str">
        <f>IFERROR(__xludf.DUMMYFUNCTION("""COMPUTED_VALUE"""),"Ayza Marie Pascual")</f>
        <v>Ayza Marie Pascual</v>
      </c>
      <c r="W390" s="1" t="str">
        <f>IFERROR(__xludf.DUMMYFUNCTION("""COMPUTED_VALUE"""),"Advanced Billing &amp; Subscriptions")</f>
        <v>Advanced Billing &amp; Subscriptions</v>
      </c>
    </row>
    <row r="391">
      <c r="O391" s="1" t="str">
        <f>IFERROR(__xludf.DUMMYFUNCTION("""COMPUTED_VALUE"""),"2025 Jul")</f>
        <v>2025 Jul</v>
      </c>
      <c r="P391" s="1" t="str">
        <f>IFERROR(__xludf.DUMMYFUNCTION("""COMPUTED_VALUE"""),"Core Product Support")</f>
        <v>Core Product Support</v>
      </c>
      <c r="Q391" s="1" t="str">
        <f>IFERROR(__xludf.DUMMYFUNCTION("""COMPUTED_VALUE"""),"hdecena@canva.com")</f>
        <v>hdecena@canva.com</v>
      </c>
      <c r="R391" s="1" t="str">
        <f>IFERROR(__xludf.DUMMYFUNCTION("""COMPUTED_VALUE"""),"Hannah Decena")</f>
        <v>Hannah Decena</v>
      </c>
      <c r="S391" s="1">
        <f>IFERROR(__xludf.DUMMYFUNCTION("""COMPUTED_VALUE"""),32.73)</f>
        <v>32.73</v>
      </c>
      <c r="T391" s="1">
        <f>IFERROR(__xludf.DUMMYFUNCTION("""COMPUTED_VALUE"""),6.85)</f>
        <v>6.85</v>
      </c>
      <c r="U391" s="2">
        <f>IFERROR(__xludf.DUMMYFUNCTION("""COMPUTED_VALUE"""),39.58)</f>
        <v>39.58</v>
      </c>
      <c r="V391" s="1" t="str">
        <f>IFERROR(__xludf.DUMMYFUNCTION("""COMPUTED_VALUE"""),"Ana Lazaro")</f>
        <v>Ana Lazaro</v>
      </c>
      <c r="W391" s="1" t="str">
        <f>IFERROR(__xludf.DUMMYFUNCTION("""COMPUTED_VALUE"""),"Advanced Billing &amp; Subscriptions")</f>
        <v>Advanced Billing &amp; Subscriptions</v>
      </c>
    </row>
    <row r="392">
      <c r="O392" s="1" t="str">
        <f>IFERROR(__xludf.DUMMYFUNCTION("""COMPUTED_VALUE"""),"2025 Jul")</f>
        <v>2025 Jul</v>
      </c>
      <c r="P392" s="1" t="str">
        <f>IFERROR(__xludf.DUMMYFUNCTION("""COMPUTED_VALUE"""),"High Sensitivity Support")</f>
        <v>High Sensitivity Support</v>
      </c>
      <c r="Q392" s="1" t="str">
        <f>IFERROR(__xludf.DUMMYFUNCTION("""COMPUTED_VALUE"""),"hannahd@canva.com")</f>
        <v>hannahd@canva.com</v>
      </c>
      <c r="R392" s="1" t="str">
        <f>IFERROR(__xludf.DUMMYFUNCTION("""COMPUTED_VALUE"""),"Hannah Dimayuga")</f>
        <v>Hannah Dimayuga</v>
      </c>
      <c r="S392" s="1"/>
      <c r="T392" s="1">
        <f>IFERROR(__xludf.DUMMYFUNCTION("""COMPUTED_VALUE"""),7.83)</f>
        <v>7.83</v>
      </c>
      <c r="U392" s="2">
        <f>IFERROR(__xludf.DUMMYFUNCTION("""COMPUTED_VALUE"""),7.83)</f>
        <v>7.83</v>
      </c>
      <c r="V392" s="1" t="str">
        <f>IFERROR(__xludf.DUMMYFUNCTION("""COMPUTED_VALUE"""),"Rex Villamor")</f>
        <v>Rex Villamor</v>
      </c>
      <c r="W392" s="1" t="str">
        <f>IFERROR(__xludf.DUMMYFUNCTION("""COMPUTED_VALUE"""),"High Sensitivity Support PH")</f>
        <v>High Sensitivity Support PH</v>
      </c>
    </row>
    <row r="393">
      <c r="O393" s="1" t="str">
        <f>IFERROR(__xludf.DUMMYFUNCTION("""COMPUTED_VALUE"""),"2025 Jul")</f>
        <v>2025 Jul</v>
      </c>
      <c r="P393" s="1" t="str">
        <f>IFERROR(__xludf.DUMMYFUNCTION("""COMPUTED_VALUE"""),"Core Product Support")</f>
        <v>Core Product Support</v>
      </c>
      <c r="Q393" s="1" t="str">
        <f>IFERROR(__xludf.DUMMYFUNCTION("""COMPUTED_VALUE"""),"hazzel@canva.com")</f>
        <v>hazzel@canva.com</v>
      </c>
      <c r="R393" s="1" t="str">
        <f>IFERROR(__xludf.DUMMYFUNCTION("""COMPUTED_VALUE"""),"Haze Rafon")</f>
        <v>Haze Rafon</v>
      </c>
      <c r="S393" s="1">
        <f>IFERROR(__xludf.DUMMYFUNCTION("""COMPUTED_VALUE"""),13.0)</f>
        <v>13</v>
      </c>
      <c r="T393" s="1">
        <f>IFERROR(__xludf.DUMMYFUNCTION("""COMPUTED_VALUE"""),4.0)</f>
        <v>4</v>
      </c>
      <c r="U393" s="2">
        <f>IFERROR(__xludf.DUMMYFUNCTION("""COMPUTED_VALUE"""),17.0)</f>
        <v>17</v>
      </c>
      <c r="V393" s="1" t="str">
        <f>IFERROR(__xludf.DUMMYFUNCTION("""COMPUTED_VALUE"""),"Sieg Ballelos")</f>
        <v>Sieg Ballelos</v>
      </c>
      <c r="W393" s="1" t="str">
        <f>IFERROR(__xludf.DUMMYFUNCTION("""COMPUTED_VALUE"""),"Core Product Support Escalation Team")</f>
        <v>Core Product Support Escalation Team</v>
      </c>
    </row>
    <row r="394">
      <c r="O394" s="1" t="str">
        <f>IFERROR(__xludf.DUMMYFUNCTION("""COMPUTED_VALUE"""),"2025 Jul")</f>
        <v>2025 Jul</v>
      </c>
      <c r="P394" s="1" t="str">
        <f>IFERROR(__xludf.DUMMYFUNCTION("""COMPUTED_VALUE"""),"Segment-specific Support")</f>
        <v>Segment-specific Support</v>
      </c>
      <c r="Q394" s="1" t="str">
        <f>IFERROR(__xludf.DUMMYFUNCTION("""COMPUTED_VALUE"""),"icetamayo@canva.com")</f>
        <v>icetamayo@canva.com</v>
      </c>
      <c r="R394" s="1" t="str">
        <f>IFERROR(__xludf.DUMMYFUNCTION("""COMPUTED_VALUE"""),"Ice Montecillo-Tamayo")</f>
        <v>Ice Montecillo-Tamayo</v>
      </c>
      <c r="S394" s="1">
        <f>IFERROR(__xludf.DUMMYFUNCTION("""COMPUTED_VALUE"""),2.0)</f>
        <v>2</v>
      </c>
      <c r="T394" s="1">
        <f>IFERROR(__xludf.DUMMYFUNCTION("""COMPUTED_VALUE"""),5.5)</f>
        <v>5.5</v>
      </c>
      <c r="U394" s="2">
        <f>IFERROR(__xludf.DUMMYFUNCTION("""COMPUTED_VALUE"""),7.5)</f>
        <v>7.5</v>
      </c>
      <c r="V394" s="1" t="str">
        <f>IFERROR(__xludf.DUMMYFUNCTION("""COMPUTED_VALUE"""),"Rose Gabilan")</f>
        <v>Rose Gabilan</v>
      </c>
      <c r="W394" s="1" t="str">
        <f>IFERROR(__xludf.DUMMYFUNCTION("""COMPUTED_VALUE"""),"Affinity Support")</f>
        <v>Affinity Support</v>
      </c>
    </row>
    <row r="395">
      <c r="O395" s="1" t="str">
        <f>IFERROR(__xludf.DUMMYFUNCTION("""COMPUTED_VALUE"""),"2025 Jul")</f>
        <v>2025 Jul</v>
      </c>
      <c r="P395" s="1" t="str">
        <f>IFERROR(__xludf.DUMMYFUNCTION("""COMPUTED_VALUE"""),"Core Product Support")</f>
        <v>Core Product Support</v>
      </c>
      <c r="Q395" s="1" t="str">
        <f>IFERROR(__xludf.DUMMYFUNCTION("""COMPUTED_VALUE"""),"mrwong@canva.com")</f>
        <v>mrwong@canva.com</v>
      </c>
      <c r="R395" s="1" t="str">
        <f>IFERROR(__xludf.DUMMYFUNCTION("""COMPUTED_VALUE"""),"Ino Wong")</f>
        <v>Ino Wong</v>
      </c>
      <c r="S395" s="1">
        <f>IFERROR(__xludf.DUMMYFUNCTION("""COMPUTED_VALUE"""),19.25)</f>
        <v>19.25</v>
      </c>
      <c r="T395" s="1">
        <f>IFERROR(__xludf.DUMMYFUNCTION("""COMPUTED_VALUE"""),2.58)</f>
        <v>2.58</v>
      </c>
      <c r="U395" s="2">
        <f>IFERROR(__xludf.DUMMYFUNCTION("""COMPUTED_VALUE"""),21.83)</f>
        <v>21.83</v>
      </c>
      <c r="V395" s="1" t="str">
        <f>IFERROR(__xludf.DUMMYFUNCTION("""COMPUTED_VALUE"""),"Jem Mondoñedo")</f>
        <v>Jem Mondoñedo</v>
      </c>
      <c r="W395" s="1" t="str">
        <f>IFERROR(__xludf.DUMMYFUNCTION("""COMPUTED_VALUE"""),"Advanced Billing &amp; Subscriptions")</f>
        <v>Advanced Billing &amp; Subscriptions</v>
      </c>
    </row>
    <row r="396">
      <c r="O396" s="1" t="str">
        <f>IFERROR(__xludf.DUMMYFUNCTION("""COMPUTED_VALUE"""),"2025 Jul")</f>
        <v>2025 Jul</v>
      </c>
      <c r="P396" s="1" t="str">
        <f>IFERROR(__xludf.DUMMYFUNCTION("""COMPUTED_VALUE"""),"Segment-specific Support")</f>
        <v>Segment-specific Support</v>
      </c>
      <c r="Q396" s="1" t="str">
        <f>IFERROR(__xludf.DUMMYFUNCTION("""COMPUTED_VALUE"""),"ivy@canva.com")</f>
        <v>ivy@canva.com</v>
      </c>
      <c r="R396" s="1" t="str">
        <f>IFERROR(__xludf.DUMMYFUNCTION("""COMPUTED_VALUE"""),"Ivy Sabado")</f>
        <v>Ivy Sabado</v>
      </c>
      <c r="S396" s="1">
        <f>IFERROR(__xludf.DUMMYFUNCTION("""COMPUTED_VALUE"""),9.0)</f>
        <v>9</v>
      </c>
      <c r="T396" s="1">
        <f>IFERROR(__xludf.DUMMYFUNCTION("""COMPUTED_VALUE"""),3.0)</f>
        <v>3</v>
      </c>
      <c r="U396" s="2">
        <f>IFERROR(__xludf.DUMMYFUNCTION("""COMPUTED_VALUE"""),12.0)</f>
        <v>12</v>
      </c>
      <c r="V396" s="1" t="str">
        <f>IFERROR(__xludf.DUMMYFUNCTION("""COMPUTED_VALUE"""),"Aileen Dayanghirang")</f>
        <v>Aileen Dayanghirang</v>
      </c>
      <c r="W396" s="1" t="str">
        <f>IFERROR(__xludf.DUMMYFUNCTION("""COMPUTED_VALUE"""),"Creators Support")</f>
        <v>Creators Support</v>
      </c>
    </row>
    <row r="397">
      <c r="O397" s="1" t="str">
        <f>IFERROR(__xludf.DUMMYFUNCTION("""COMPUTED_VALUE"""),"2025 Jul")</f>
        <v>2025 Jul</v>
      </c>
      <c r="P397" s="1" t="str">
        <f>IFERROR(__xludf.DUMMYFUNCTION("""COMPUTED_VALUE"""),"Core Product Support")</f>
        <v>Core Product Support</v>
      </c>
      <c r="Q397" s="1" t="str">
        <f>IFERROR(__xludf.DUMMYFUNCTION("""COMPUTED_VALUE"""),"iyaacuyong@canva.com")</f>
        <v>iyaacuyong@canva.com</v>
      </c>
      <c r="R397" s="1" t="str">
        <f>IFERROR(__xludf.DUMMYFUNCTION("""COMPUTED_VALUE"""),"Iya Acuyong")</f>
        <v>Iya Acuyong</v>
      </c>
      <c r="S397" s="1">
        <f>IFERROR(__xludf.DUMMYFUNCTION("""COMPUTED_VALUE"""),45.58)</f>
        <v>45.58</v>
      </c>
      <c r="T397" s="1">
        <f>IFERROR(__xludf.DUMMYFUNCTION("""COMPUTED_VALUE"""),38.08)</f>
        <v>38.08</v>
      </c>
      <c r="U397" s="2">
        <f>IFERROR(__xludf.DUMMYFUNCTION("""COMPUTED_VALUE"""),83.66)</f>
        <v>83.66</v>
      </c>
      <c r="V397" s="1" t="str">
        <f>IFERROR(__xludf.DUMMYFUNCTION("""COMPUTED_VALUE"""),"Mikhaela Decangchon")</f>
        <v>Mikhaela Decangchon</v>
      </c>
      <c r="W397" s="1" t="str">
        <f>IFERROR(__xludf.DUMMYFUNCTION("""COMPUTED_VALUE"""),"Advanced Product Support")</f>
        <v>Advanced Product Support</v>
      </c>
    </row>
    <row r="398">
      <c r="O398" s="1" t="str">
        <f>IFERROR(__xludf.DUMMYFUNCTION("""COMPUTED_VALUE"""),"2025 Jul")</f>
        <v>2025 Jul</v>
      </c>
      <c r="P398" s="1" t="str">
        <f>IFERROR(__xludf.DUMMYFUNCTION("""COMPUTED_VALUE"""),"Print Support")</f>
        <v>Print Support</v>
      </c>
      <c r="Q398" s="1" t="str">
        <f>IFERROR(__xludf.DUMMYFUNCTION("""COMPUTED_VALUE"""),"jagumasing@canva.com")</f>
        <v>jagumasing@canva.com</v>
      </c>
      <c r="R398" s="1" t="str">
        <f>IFERROR(__xludf.DUMMYFUNCTION("""COMPUTED_VALUE"""),"Ja Gumasing")</f>
        <v>Ja Gumasing</v>
      </c>
      <c r="S398" s="1">
        <f>IFERROR(__xludf.DUMMYFUNCTION("""COMPUTED_VALUE"""),8.62)</f>
        <v>8.62</v>
      </c>
      <c r="T398" s="1">
        <f>IFERROR(__xludf.DUMMYFUNCTION("""COMPUTED_VALUE"""),6.75)</f>
        <v>6.75</v>
      </c>
      <c r="U398" s="2">
        <f>IFERROR(__xludf.DUMMYFUNCTION("""COMPUTED_VALUE"""),15.37)</f>
        <v>15.37</v>
      </c>
      <c r="V398" s="1" t="str">
        <f>IFERROR(__xludf.DUMMYFUNCTION("""COMPUTED_VALUE"""),"Althea Mercado")</f>
        <v>Althea Mercado</v>
      </c>
      <c r="W398" s="1" t="str">
        <f>IFERROR(__xludf.DUMMYFUNCTION("""COMPUTED_VALUE"""),"Print Support PH")</f>
        <v>Print Support PH</v>
      </c>
    </row>
    <row r="399">
      <c r="O399" s="1" t="str">
        <f>IFERROR(__xludf.DUMMYFUNCTION("""COMPUTED_VALUE"""),"2025 Jul")</f>
        <v>2025 Jul</v>
      </c>
      <c r="P399" s="1" t="str">
        <f>IFERROR(__xludf.DUMMYFUNCTION("""COMPUTED_VALUE"""),"Core Product Support")</f>
        <v>Core Product Support</v>
      </c>
      <c r="Q399" s="1" t="str">
        <f>IFERROR(__xludf.DUMMYFUNCTION("""COMPUTED_VALUE"""),"jacque@canva.com")</f>
        <v>jacque@canva.com</v>
      </c>
      <c r="R399" s="1" t="str">
        <f>IFERROR(__xludf.DUMMYFUNCTION("""COMPUTED_VALUE"""),"Jacqueline Gay")</f>
        <v>Jacqueline Gay</v>
      </c>
      <c r="S399" s="1">
        <f>IFERROR(__xludf.DUMMYFUNCTION("""COMPUTED_VALUE"""),13.75)</f>
        <v>13.75</v>
      </c>
      <c r="T399" s="1">
        <f>IFERROR(__xludf.DUMMYFUNCTION("""COMPUTED_VALUE"""),3.03)</f>
        <v>3.03</v>
      </c>
      <c r="U399" s="2">
        <f>IFERROR(__xludf.DUMMYFUNCTION("""COMPUTED_VALUE"""),16.78)</f>
        <v>16.78</v>
      </c>
      <c r="V399" s="1" t="str">
        <f>IFERROR(__xludf.DUMMYFUNCTION("""COMPUTED_VALUE"""),"Jem Mondoñedo")</f>
        <v>Jem Mondoñedo</v>
      </c>
      <c r="W399" s="1" t="str">
        <f>IFERROR(__xludf.DUMMYFUNCTION("""COMPUTED_VALUE"""),"Advanced Billing &amp; Subscriptions")</f>
        <v>Advanced Billing &amp; Subscriptions</v>
      </c>
    </row>
    <row r="400">
      <c r="O400" s="1" t="str">
        <f>IFERROR(__xludf.DUMMYFUNCTION("""COMPUTED_VALUE"""),"2025 Jul")</f>
        <v>2025 Jul</v>
      </c>
      <c r="P400" s="1" t="str">
        <f>IFERROR(__xludf.DUMMYFUNCTION("""COMPUTED_VALUE"""),"Print Support")</f>
        <v>Print Support</v>
      </c>
      <c r="Q400" s="1" t="str">
        <f>IFERROR(__xludf.DUMMYFUNCTION("""COMPUTED_VALUE"""),"jadec@canva.com")</f>
        <v>jadec@canva.com</v>
      </c>
      <c r="R400" s="1" t="str">
        <f>IFERROR(__xludf.DUMMYFUNCTION("""COMPUTED_VALUE"""),"Jade Curitana")</f>
        <v>Jade Curitana</v>
      </c>
      <c r="S400" s="1">
        <f>IFERROR(__xludf.DUMMYFUNCTION("""COMPUTED_VALUE"""),7.5)</f>
        <v>7.5</v>
      </c>
      <c r="T400" s="1">
        <f>IFERROR(__xludf.DUMMYFUNCTION("""COMPUTED_VALUE"""),5.0)</f>
        <v>5</v>
      </c>
      <c r="U400" s="2">
        <f>IFERROR(__xludf.DUMMYFUNCTION("""COMPUTED_VALUE"""),12.5)</f>
        <v>12.5</v>
      </c>
      <c r="V400" s="1" t="str">
        <f>IFERROR(__xludf.DUMMYFUNCTION("""COMPUTED_VALUE"""),"Louise Dianne Estrella")</f>
        <v>Louise Dianne Estrella</v>
      </c>
      <c r="W400" s="1" t="str">
        <f>IFERROR(__xludf.DUMMYFUNCTION("""COMPUTED_VALUE"""),"Print Support PH")</f>
        <v>Print Support PH</v>
      </c>
    </row>
    <row r="401">
      <c r="O401" s="1" t="str">
        <f>IFERROR(__xludf.DUMMYFUNCTION("""COMPUTED_VALUE"""),"2025 Jul")</f>
        <v>2025 Jul</v>
      </c>
      <c r="P401" s="1" t="str">
        <f>IFERROR(__xludf.DUMMYFUNCTION("""COMPUTED_VALUE"""),"High Sensitivity Support")</f>
        <v>High Sensitivity Support</v>
      </c>
      <c r="Q401" s="1" t="str">
        <f>IFERROR(__xludf.DUMMYFUNCTION("""COMPUTED_VALUE"""),"jammyb@canva.com")</f>
        <v>jammyb@canva.com</v>
      </c>
      <c r="R401" s="1" t="str">
        <f>IFERROR(__xludf.DUMMYFUNCTION("""COMPUTED_VALUE"""),"Jam Bacani")</f>
        <v>Jam Bacani</v>
      </c>
      <c r="S401" s="1">
        <f>IFERROR(__xludf.DUMMYFUNCTION("""COMPUTED_VALUE"""),32.0)</f>
        <v>32</v>
      </c>
      <c r="T401" s="1">
        <f>IFERROR(__xludf.DUMMYFUNCTION("""COMPUTED_VALUE"""),11.47)</f>
        <v>11.47</v>
      </c>
      <c r="U401" s="2">
        <f>IFERROR(__xludf.DUMMYFUNCTION("""COMPUTED_VALUE"""),43.47)</f>
        <v>43.47</v>
      </c>
      <c r="V401" s="1" t="str">
        <f>IFERROR(__xludf.DUMMYFUNCTION("""COMPUTED_VALUE"""),"Rossheen Pura")</f>
        <v>Rossheen Pura</v>
      </c>
      <c r="W401" s="1" t="str">
        <f>IFERROR(__xludf.DUMMYFUNCTION("""COMPUTED_VALUE"""),"High Sensitivity Support PH")</f>
        <v>High Sensitivity Support PH</v>
      </c>
    </row>
    <row r="402">
      <c r="O402" s="1" t="str">
        <f>IFERROR(__xludf.DUMMYFUNCTION("""COMPUTED_VALUE"""),"2025 Jul")</f>
        <v>2025 Jul</v>
      </c>
      <c r="P402" s="1" t="str">
        <f>IFERROR(__xludf.DUMMYFUNCTION("""COMPUTED_VALUE"""),"Segment-specific Support")</f>
        <v>Segment-specific Support</v>
      </c>
      <c r="Q402" s="1" t="str">
        <f>IFERROR(__xludf.DUMMYFUNCTION("""COMPUTED_VALUE"""),"jgamboa@canva.com")</f>
        <v>jgamboa@canva.com</v>
      </c>
      <c r="R402" s="1" t="str">
        <f>IFERROR(__xludf.DUMMYFUNCTION("""COMPUTED_VALUE"""),"James Marrion Gamboa")</f>
        <v>James Marrion Gamboa</v>
      </c>
      <c r="S402" s="1">
        <f>IFERROR(__xludf.DUMMYFUNCTION("""COMPUTED_VALUE"""),3.0)</f>
        <v>3</v>
      </c>
      <c r="T402" s="1">
        <f>IFERROR(__xludf.DUMMYFUNCTION("""COMPUTED_VALUE"""),2.0)</f>
        <v>2</v>
      </c>
      <c r="U402" s="2">
        <f>IFERROR(__xludf.DUMMYFUNCTION("""COMPUTED_VALUE"""),5.0)</f>
        <v>5</v>
      </c>
      <c r="V402" s="1" t="str">
        <f>IFERROR(__xludf.DUMMYFUNCTION("""COMPUTED_VALUE"""),"Rose Gabilan")</f>
        <v>Rose Gabilan</v>
      </c>
      <c r="W402" s="1" t="str">
        <f>IFERROR(__xludf.DUMMYFUNCTION("""COMPUTED_VALUE"""),"Affinity Support")</f>
        <v>Affinity Support</v>
      </c>
    </row>
    <row r="403">
      <c r="O403" s="1" t="str">
        <f>IFERROR(__xludf.DUMMYFUNCTION("""COMPUTED_VALUE"""),"2025 Jul")</f>
        <v>2025 Jul</v>
      </c>
      <c r="P403" s="1" t="str">
        <f>IFERROR(__xludf.DUMMYFUNCTION("""COMPUTED_VALUE"""),"Print Support")</f>
        <v>Print Support</v>
      </c>
      <c r="Q403" s="1" t="str">
        <f>IFERROR(__xludf.DUMMYFUNCTION("""COMPUTED_VALUE"""),"janpaolopena@canva.com")</f>
        <v>janpaolopena@canva.com</v>
      </c>
      <c r="R403" s="1" t="str">
        <f>IFERROR(__xludf.DUMMYFUNCTION("""COMPUTED_VALUE"""),"Jan Peña")</f>
        <v>Jan Peña</v>
      </c>
      <c r="S403" s="1">
        <f>IFERROR(__xludf.DUMMYFUNCTION("""COMPUTED_VALUE"""),9.5)</f>
        <v>9.5</v>
      </c>
      <c r="T403" s="1">
        <f>IFERROR(__xludf.DUMMYFUNCTION("""COMPUTED_VALUE"""),5.5)</f>
        <v>5.5</v>
      </c>
      <c r="U403" s="2">
        <f>IFERROR(__xludf.DUMMYFUNCTION("""COMPUTED_VALUE"""),15.0)</f>
        <v>15</v>
      </c>
      <c r="V403" s="1" t="str">
        <f>IFERROR(__xludf.DUMMYFUNCTION("""COMPUTED_VALUE"""),"Louise Dianne Estrella")</f>
        <v>Louise Dianne Estrella</v>
      </c>
      <c r="W403" s="1" t="str">
        <f>IFERROR(__xludf.DUMMYFUNCTION("""COMPUTED_VALUE"""),"Print Support PH")</f>
        <v>Print Support PH</v>
      </c>
    </row>
    <row r="404">
      <c r="O404" s="1" t="str">
        <f>IFERROR(__xludf.DUMMYFUNCTION("""COMPUTED_VALUE"""),"2025 Jul")</f>
        <v>2025 Jul</v>
      </c>
      <c r="P404" s="1" t="str">
        <f>IFERROR(__xludf.DUMMYFUNCTION("""COMPUTED_VALUE"""),"Admin Support")</f>
        <v>Admin Support</v>
      </c>
      <c r="Q404" s="1" t="str">
        <f>IFERROR(__xludf.DUMMYFUNCTION("""COMPUTED_VALUE"""),"janis@canva.com")</f>
        <v>janis@canva.com</v>
      </c>
      <c r="R404" s="1" t="str">
        <f>IFERROR(__xludf.DUMMYFUNCTION("""COMPUTED_VALUE"""),"Janis Esmas")</f>
        <v>Janis Esmas</v>
      </c>
      <c r="S404" s="1">
        <f>IFERROR(__xludf.DUMMYFUNCTION("""COMPUTED_VALUE"""),2.0)</f>
        <v>2</v>
      </c>
      <c r="T404" s="1">
        <f>IFERROR(__xludf.DUMMYFUNCTION("""COMPUTED_VALUE"""),3.0)</f>
        <v>3</v>
      </c>
      <c r="U404" s="2">
        <f>IFERROR(__xludf.DUMMYFUNCTION("""COMPUTED_VALUE"""),5.0)</f>
        <v>5</v>
      </c>
      <c r="V404" s="1" t="str">
        <f>IFERROR(__xludf.DUMMYFUNCTION("""COMPUTED_VALUE"""),"Karla Mananghaya")</f>
        <v>Karla Mananghaya</v>
      </c>
      <c r="W404" s="1" t="str">
        <f>IFERROR(__xludf.DUMMYFUNCTION("""COMPUTED_VALUE"""),"Admin Support Service Escalation Team")</f>
        <v>Admin Support Service Escalation Team</v>
      </c>
    </row>
    <row r="405">
      <c r="O405" s="1" t="str">
        <f>IFERROR(__xludf.DUMMYFUNCTION("""COMPUTED_VALUE"""),"2025 Jul")</f>
        <v>2025 Jul</v>
      </c>
      <c r="P405" s="1" t="str">
        <f>IFERROR(__xludf.DUMMYFUNCTION("""COMPUTED_VALUE"""),"Core Product Support")</f>
        <v>Core Product Support</v>
      </c>
      <c r="Q405" s="1" t="str">
        <f>IFERROR(__xludf.DUMMYFUNCTION("""COMPUTED_VALUE"""),"jampangan@canva.com")</f>
        <v>jampangan@canva.com</v>
      </c>
      <c r="R405" s="1" t="str">
        <f>IFERROR(__xludf.DUMMYFUNCTION("""COMPUTED_VALUE"""),"Jara Alexandra Mae Pangan")</f>
        <v>Jara Alexandra Mae Pangan</v>
      </c>
      <c r="S405" s="1">
        <f>IFERROR(__xludf.DUMMYFUNCTION("""COMPUTED_VALUE"""),21.53)</f>
        <v>21.53</v>
      </c>
      <c r="T405" s="1">
        <f>IFERROR(__xludf.DUMMYFUNCTION("""COMPUTED_VALUE"""),2.25)</f>
        <v>2.25</v>
      </c>
      <c r="U405" s="2">
        <f>IFERROR(__xludf.DUMMYFUNCTION("""COMPUTED_VALUE"""),23.78)</f>
        <v>23.78</v>
      </c>
      <c r="V405" s="1" t="str">
        <f>IFERROR(__xludf.DUMMYFUNCTION("""COMPUTED_VALUE"""),"Sieg Ballelos")</f>
        <v>Sieg Ballelos</v>
      </c>
      <c r="W405" s="1" t="str">
        <f>IFERROR(__xludf.DUMMYFUNCTION("""COMPUTED_VALUE"""),"Core Product Support Escalation Team")</f>
        <v>Core Product Support Escalation Team</v>
      </c>
    </row>
    <row r="406">
      <c r="O406" s="1" t="str">
        <f>IFERROR(__xludf.DUMMYFUNCTION("""COMPUTED_VALUE"""),"2025 Jul")</f>
        <v>2025 Jul</v>
      </c>
      <c r="P406" s="1" t="str">
        <f>IFERROR(__xludf.DUMMYFUNCTION("""COMPUTED_VALUE"""),"Core Product Support")</f>
        <v>Core Product Support</v>
      </c>
      <c r="Q406" s="1" t="str">
        <f>IFERROR(__xludf.DUMMYFUNCTION("""COMPUTED_VALUE"""),"jaredc@canva.com")</f>
        <v>jaredc@canva.com</v>
      </c>
      <c r="R406" s="1" t="str">
        <f>IFERROR(__xludf.DUMMYFUNCTION("""COMPUTED_VALUE"""),"Jared Carlin")</f>
        <v>Jared Carlin</v>
      </c>
      <c r="S406" s="1">
        <f>IFERROR(__xludf.DUMMYFUNCTION("""COMPUTED_VALUE"""),25.5)</f>
        <v>25.5</v>
      </c>
      <c r="T406" s="1">
        <f>IFERROR(__xludf.DUMMYFUNCTION("""COMPUTED_VALUE"""),12.0)</f>
        <v>12</v>
      </c>
      <c r="U406" s="2">
        <f>IFERROR(__xludf.DUMMYFUNCTION("""COMPUTED_VALUE"""),37.5)</f>
        <v>37.5</v>
      </c>
      <c r="V406" s="1" t="str">
        <f>IFERROR(__xludf.DUMMYFUNCTION("""COMPUTED_VALUE"""),"Ana Lazaro")</f>
        <v>Ana Lazaro</v>
      </c>
      <c r="W406" s="1" t="str">
        <f>IFERROR(__xludf.DUMMYFUNCTION("""COMPUTED_VALUE"""),"Advanced Billing &amp; Subscriptions")</f>
        <v>Advanced Billing &amp; Subscriptions</v>
      </c>
    </row>
    <row r="407">
      <c r="O407" s="1" t="str">
        <f>IFERROR(__xludf.DUMMYFUNCTION("""COMPUTED_VALUE"""),"2025 Jul")</f>
        <v>2025 Jul</v>
      </c>
      <c r="P407" s="1" t="str">
        <f>IFERROR(__xludf.DUMMYFUNCTION("""COMPUTED_VALUE"""),"Segment-specific Support")</f>
        <v>Segment-specific Support</v>
      </c>
      <c r="Q407" s="1" t="str">
        <f>IFERROR(__xludf.DUMMYFUNCTION("""COMPUTED_VALUE"""),"jas@canva.com")</f>
        <v>jas@canva.com</v>
      </c>
      <c r="R407" s="1" t="str">
        <f>IFERROR(__xludf.DUMMYFUNCTION("""COMPUTED_VALUE"""),"Jas Esperat")</f>
        <v>Jas Esperat</v>
      </c>
      <c r="S407" s="1">
        <f>IFERROR(__xludf.DUMMYFUNCTION("""COMPUTED_VALUE"""),7.0)</f>
        <v>7</v>
      </c>
      <c r="T407" s="1"/>
      <c r="U407" s="2">
        <f>IFERROR(__xludf.DUMMYFUNCTION("""COMPUTED_VALUE"""),7.0)</f>
        <v>7</v>
      </c>
      <c r="V407" s="1" t="str">
        <f>IFERROR(__xludf.DUMMYFUNCTION("""COMPUTED_VALUE"""),"Aileen Dayanghirang")</f>
        <v>Aileen Dayanghirang</v>
      </c>
      <c r="W407" s="1" t="str">
        <f>IFERROR(__xludf.DUMMYFUNCTION("""COMPUTED_VALUE"""),"Creators Support")</f>
        <v>Creators Support</v>
      </c>
    </row>
    <row r="408">
      <c r="O408" s="1" t="str">
        <f>IFERROR(__xludf.DUMMYFUNCTION("""COMPUTED_VALUE"""),"2025 Jul")</f>
        <v>2025 Jul</v>
      </c>
      <c r="P408" s="1" t="str">
        <f>IFERROR(__xludf.DUMMYFUNCTION("""COMPUTED_VALUE"""),"Print Support")</f>
        <v>Print Support</v>
      </c>
      <c r="Q408" s="1" t="str">
        <f>IFERROR(__xludf.DUMMYFUNCTION("""COMPUTED_VALUE"""),"jayson@canva.com")</f>
        <v>jayson@canva.com</v>
      </c>
      <c r="R408" s="1" t="str">
        <f>IFERROR(__xludf.DUMMYFUNCTION("""COMPUTED_VALUE"""),"Jayson Ferrer")</f>
        <v>Jayson Ferrer</v>
      </c>
      <c r="S408" s="1">
        <f>IFERROR(__xludf.DUMMYFUNCTION("""COMPUTED_VALUE"""),7.0)</f>
        <v>7</v>
      </c>
      <c r="T408" s="1">
        <f>IFERROR(__xludf.DUMMYFUNCTION("""COMPUTED_VALUE"""),6.33)</f>
        <v>6.33</v>
      </c>
      <c r="U408" s="2">
        <f>IFERROR(__xludf.DUMMYFUNCTION("""COMPUTED_VALUE"""),13.33)</f>
        <v>13.33</v>
      </c>
      <c r="V408" s="1" t="str">
        <f>IFERROR(__xludf.DUMMYFUNCTION("""COMPUTED_VALUE"""),"G-Anne Murillo")</f>
        <v>G-Anne Murillo</v>
      </c>
      <c r="W408" s="1" t="str">
        <f>IFERROR(__xludf.DUMMYFUNCTION("""COMPUTED_VALUE"""),"Print Design Support")</f>
        <v>Print Design Support</v>
      </c>
    </row>
    <row r="409">
      <c r="O409" s="1" t="str">
        <f>IFERROR(__xludf.DUMMYFUNCTION("""COMPUTED_VALUE"""),"2025 Jul")</f>
        <v>2025 Jul</v>
      </c>
      <c r="P409" s="1" t="str">
        <f>IFERROR(__xludf.DUMMYFUNCTION("""COMPUTED_VALUE"""),"Admin Support")</f>
        <v>Admin Support</v>
      </c>
      <c r="Q409" s="1" t="str">
        <f>IFERROR(__xludf.DUMMYFUNCTION("""COMPUTED_VALUE"""),"jaz@canva.com")</f>
        <v>jaz@canva.com</v>
      </c>
      <c r="R409" s="1" t="str">
        <f>IFERROR(__xludf.DUMMYFUNCTION("""COMPUTED_VALUE"""),"Jazmine San Pedro")</f>
        <v>Jazmine San Pedro</v>
      </c>
      <c r="S409" s="1">
        <f>IFERROR(__xludf.DUMMYFUNCTION("""COMPUTED_VALUE"""),5.5)</f>
        <v>5.5</v>
      </c>
      <c r="T409" s="1">
        <f>IFERROR(__xludf.DUMMYFUNCTION("""COMPUTED_VALUE"""),3.5)</f>
        <v>3.5</v>
      </c>
      <c r="U409" s="2">
        <f>IFERROR(__xludf.DUMMYFUNCTION("""COMPUTED_VALUE"""),9.0)</f>
        <v>9</v>
      </c>
      <c r="V409" s="1" t="str">
        <f>IFERROR(__xludf.DUMMYFUNCTION("""COMPUTED_VALUE"""),"AL Suarez")</f>
        <v>AL Suarez</v>
      </c>
      <c r="W409" s="1" t="str">
        <f>IFERROR(__xludf.DUMMYFUNCTION("""COMPUTED_VALUE"""),"Print Support PH")</f>
        <v>Print Support PH</v>
      </c>
    </row>
    <row r="410">
      <c r="O410" s="1" t="str">
        <f>IFERROR(__xludf.DUMMYFUNCTION("""COMPUTED_VALUE"""),"2025 Jul")</f>
        <v>2025 Jul</v>
      </c>
      <c r="P410" s="1" t="str">
        <f>IFERROR(__xludf.DUMMYFUNCTION("""COMPUTED_VALUE"""),"Core Product Support")</f>
        <v>Core Product Support</v>
      </c>
      <c r="Q410" s="1" t="str">
        <f>IFERROR(__xludf.DUMMYFUNCTION("""COMPUTED_VALUE"""),"jasminechristel@canva.com")</f>
        <v>jasminechristel@canva.com</v>
      </c>
      <c r="R410" s="1" t="str">
        <f>IFERROR(__xludf.DUMMYFUNCTION("""COMPUTED_VALUE"""),"Jazz Ragot")</f>
        <v>Jazz Ragot</v>
      </c>
      <c r="S410" s="1">
        <f>IFERROR(__xludf.DUMMYFUNCTION("""COMPUTED_VALUE"""),35.08)</f>
        <v>35.08</v>
      </c>
      <c r="T410" s="1">
        <f>IFERROR(__xludf.DUMMYFUNCTION("""COMPUTED_VALUE"""),24.67)</f>
        <v>24.67</v>
      </c>
      <c r="U410" s="2">
        <f>IFERROR(__xludf.DUMMYFUNCTION("""COMPUTED_VALUE"""),59.75)</f>
        <v>59.75</v>
      </c>
      <c r="V410" s="1" t="str">
        <f>IFERROR(__xludf.DUMMYFUNCTION("""COMPUTED_VALUE"""),"Jem Mondoñedo")</f>
        <v>Jem Mondoñedo</v>
      </c>
      <c r="W410" s="1" t="str">
        <f>IFERROR(__xludf.DUMMYFUNCTION("""COMPUTED_VALUE"""),"Advanced Billing &amp; Subscriptions")</f>
        <v>Advanced Billing &amp; Subscriptions</v>
      </c>
    </row>
    <row r="411">
      <c r="O411" s="1" t="str">
        <f>IFERROR(__xludf.DUMMYFUNCTION("""COMPUTED_VALUE"""),"2025 Jul")</f>
        <v>2025 Jul</v>
      </c>
      <c r="P411" s="1" t="str">
        <f>IFERROR(__xludf.DUMMYFUNCTION("""COMPUTED_VALUE"""),"Multilingual Support")</f>
        <v>Multilingual Support</v>
      </c>
      <c r="Q411" s="1" t="str">
        <f>IFERROR(__xludf.DUMMYFUNCTION("""COMPUTED_VALUE"""),"jc@canva.com")</f>
        <v>jc@canva.com</v>
      </c>
      <c r="R411" s="1" t="str">
        <f>IFERROR(__xludf.DUMMYFUNCTION("""COMPUTED_VALUE"""),"JC Evangelista")</f>
        <v>JC Evangelista</v>
      </c>
      <c r="S411" s="1">
        <f>IFERROR(__xludf.DUMMYFUNCTION("""COMPUTED_VALUE"""),9.0)</f>
        <v>9</v>
      </c>
      <c r="T411" s="1"/>
      <c r="U411" s="2">
        <f>IFERROR(__xludf.DUMMYFUNCTION("""COMPUTED_VALUE"""),9.0)</f>
        <v>9</v>
      </c>
      <c r="V411" s="1" t="str">
        <f>IFERROR(__xludf.DUMMYFUNCTION("""COMPUTED_VALUE"""),"Arlene Maurillo")</f>
        <v>Arlene Maurillo</v>
      </c>
      <c r="W411" s="1" t="str">
        <f>IFERROR(__xludf.DUMMYFUNCTION("""COMPUTED_VALUE"""),"PHL, Multilingual Support")</f>
        <v>PHL, Multilingual Support</v>
      </c>
    </row>
    <row r="412">
      <c r="O412" s="1" t="str">
        <f>IFERROR(__xludf.DUMMYFUNCTION("""COMPUTED_VALUE"""),"2025 Jul")</f>
        <v>2025 Jul</v>
      </c>
      <c r="P412" s="1" t="str">
        <f>IFERROR(__xludf.DUMMYFUNCTION("""COMPUTED_VALUE"""),"Core Product Support")</f>
        <v>Core Product Support</v>
      </c>
      <c r="Q412" s="1" t="str">
        <f>IFERROR(__xludf.DUMMYFUNCTION("""COMPUTED_VALUE"""),"jea@canva.com")</f>
        <v>jea@canva.com</v>
      </c>
      <c r="R412" s="1" t="str">
        <f>IFERROR(__xludf.DUMMYFUNCTION("""COMPUTED_VALUE"""),"Jea Silvestre")</f>
        <v>Jea Silvestre</v>
      </c>
      <c r="S412" s="1">
        <f>IFERROR(__xludf.DUMMYFUNCTION("""COMPUTED_VALUE"""),43.33)</f>
        <v>43.33</v>
      </c>
      <c r="T412" s="1">
        <f>IFERROR(__xludf.DUMMYFUNCTION("""COMPUTED_VALUE"""),21.5)</f>
        <v>21.5</v>
      </c>
      <c r="U412" s="2">
        <f>IFERROR(__xludf.DUMMYFUNCTION("""COMPUTED_VALUE"""),64.83)</f>
        <v>64.83</v>
      </c>
      <c r="V412" s="1" t="str">
        <f>IFERROR(__xludf.DUMMYFUNCTION("""COMPUTED_VALUE"""),"Marie Mordeno")</f>
        <v>Marie Mordeno</v>
      </c>
      <c r="W412" s="1" t="str">
        <f>IFERROR(__xludf.DUMMYFUNCTION("""COMPUTED_VALUE"""),"Advanced Billing &amp; Subscriptions")</f>
        <v>Advanced Billing &amp; Subscriptions</v>
      </c>
    </row>
    <row r="413">
      <c r="O413" s="1" t="str">
        <f>IFERROR(__xludf.DUMMYFUNCTION("""COMPUTED_VALUE"""),"2025 Jul")</f>
        <v>2025 Jul</v>
      </c>
      <c r="P413" s="1" t="str">
        <f>IFERROR(__xludf.DUMMYFUNCTION("""COMPUTED_VALUE"""),"Core Product Support")</f>
        <v>Core Product Support</v>
      </c>
      <c r="Q413" s="1" t="str">
        <f>IFERROR(__xludf.DUMMYFUNCTION("""COMPUTED_VALUE"""),"jed@canva.com")</f>
        <v>jed@canva.com</v>
      </c>
      <c r="R413" s="1" t="str">
        <f>IFERROR(__xludf.DUMMYFUNCTION("""COMPUTED_VALUE"""),"Jed Wenceslao")</f>
        <v>Jed Wenceslao</v>
      </c>
      <c r="S413" s="1">
        <f>IFERROR(__xludf.DUMMYFUNCTION("""COMPUTED_VALUE"""),0.02)</f>
        <v>0.02</v>
      </c>
      <c r="T413" s="1">
        <f>IFERROR(__xludf.DUMMYFUNCTION("""COMPUTED_VALUE"""),3.6)</f>
        <v>3.6</v>
      </c>
      <c r="U413" s="2">
        <f>IFERROR(__xludf.DUMMYFUNCTION("""COMPUTED_VALUE"""),3.62)</f>
        <v>3.62</v>
      </c>
      <c r="V413" s="1" t="str">
        <f>IFERROR(__xludf.DUMMYFUNCTION("""COMPUTED_VALUE"""),"Sieg Ballelos")</f>
        <v>Sieg Ballelos</v>
      </c>
      <c r="W413" s="1" t="str">
        <f>IFERROR(__xludf.DUMMYFUNCTION("""COMPUTED_VALUE"""),"Core Product Support Escalation Team")</f>
        <v>Core Product Support Escalation Team</v>
      </c>
    </row>
    <row r="414">
      <c r="O414" s="1" t="str">
        <f>IFERROR(__xludf.DUMMYFUNCTION("""COMPUTED_VALUE"""),"2025 Jul")</f>
        <v>2025 Jul</v>
      </c>
      <c r="P414" s="1" t="str">
        <f>IFERROR(__xludf.DUMMYFUNCTION("""COMPUTED_VALUE"""),"Core Product Support")</f>
        <v>Core Product Support</v>
      </c>
      <c r="Q414" s="1" t="str">
        <f>IFERROR(__xludf.DUMMYFUNCTION("""COMPUTED_VALUE"""),"jen@canva.com")</f>
        <v>jen@canva.com</v>
      </c>
      <c r="R414" s="1" t="str">
        <f>IFERROR(__xludf.DUMMYFUNCTION("""COMPUTED_VALUE"""),"Jenber Teves")</f>
        <v>Jenber Teves</v>
      </c>
      <c r="S414" s="1">
        <f>IFERROR(__xludf.DUMMYFUNCTION("""COMPUTED_VALUE"""),15.52)</f>
        <v>15.52</v>
      </c>
      <c r="T414" s="1">
        <f>IFERROR(__xludf.DUMMYFUNCTION("""COMPUTED_VALUE"""),6.48)</f>
        <v>6.48</v>
      </c>
      <c r="U414" s="2">
        <f>IFERROR(__xludf.DUMMYFUNCTION("""COMPUTED_VALUE"""),22.0)</f>
        <v>22</v>
      </c>
      <c r="V414" s="1" t="str">
        <f>IFERROR(__xludf.DUMMYFUNCTION("""COMPUTED_VALUE"""),"Ellaine Estayo")</f>
        <v>Ellaine Estayo</v>
      </c>
      <c r="W414" s="1" t="str">
        <f>IFERROR(__xludf.DUMMYFUNCTION("""COMPUTED_VALUE"""),"Core Product Support Escalation Team")</f>
        <v>Core Product Support Escalation Team</v>
      </c>
    </row>
    <row r="415">
      <c r="O415" s="1" t="str">
        <f>IFERROR(__xludf.DUMMYFUNCTION("""COMPUTED_VALUE"""),"2025 Jul")</f>
        <v>2025 Jul</v>
      </c>
      <c r="P415" s="1" t="str">
        <f>IFERROR(__xludf.DUMMYFUNCTION("""COMPUTED_VALUE"""),"#N/A")</f>
        <v>#N/A</v>
      </c>
      <c r="Q415" s="1" t="str">
        <f>IFERROR(__xludf.DUMMYFUNCTION("""COMPUTED_VALUE"""),"jerica@canva.com")</f>
        <v>jerica@canva.com</v>
      </c>
      <c r="R415" s="1" t="str">
        <f>IFERROR(__xludf.DUMMYFUNCTION("""COMPUTED_VALUE"""),"Jerica Tan")</f>
        <v>Jerica Tan</v>
      </c>
      <c r="S415" s="1">
        <f>IFERROR(__xludf.DUMMYFUNCTION("""COMPUTED_VALUE"""),26.58)</f>
        <v>26.58</v>
      </c>
      <c r="T415" s="1">
        <f>IFERROR(__xludf.DUMMYFUNCTION("""COMPUTED_VALUE"""),13.95)</f>
        <v>13.95</v>
      </c>
      <c r="U415" s="2">
        <f>IFERROR(__xludf.DUMMYFUNCTION("""COMPUTED_VALUE"""),40.53)</f>
        <v>40.53</v>
      </c>
      <c r="V415" s="1" t="str">
        <f>IFERROR(__xludf.DUMMYFUNCTION("""COMPUTED_VALUE"""),"#N/A")</f>
        <v>#N/A</v>
      </c>
      <c r="W415" s="1" t="str">
        <f>IFERROR(__xludf.DUMMYFUNCTION("""COMPUTED_VALUE"""),"High Sensitivity Support PH")</f>
        <v>High Sensitivity Support PH</v>
      </c>
    </row>
    <row r="416">
      <c r="O416" s="1" t="str">
        <f>IFERROR(__xludf.DUMMYFUNCTION("""COMPUTED_VALUE"""),"2025 Jul")</f>
        <v>2025 Jul</v>
      </c>
      <c r="P416" s="1" t="str">
        <f>IFERROR(__xludf.DUMMYFUNCTION("""COMPUTED_VALUE"""),"Print Support")</f>
        <v>Print Support</v>
      </c>
      <c r="Q416" s="1" t="str">
        <f>IFERROR(__xludf.DUMMYFUNCTION("""COMPUTED_VALUE"""),"jesicamari@canva.com")</f>
        <v>jesicamari@canva.com</v>
      </c>
      <c r="R416" s="1" t="str">
        <f>IFERROR(__xludf.DUMMYFUNCTION("""COMPUTED_VALUE"""),"Jesica Laureola")</f>
        <v>Jesica Laureola</v>
      </c>
      <c r="S416" s="1">
        <f>IFERROR(__xludf.DUMMYFUNCTION("""COMPUTED_VALUE"""),2.0)</f>
        <v>2</v>
      </c>
      <c r="T416" s="1">
        <f>IFERROR(__xludf.DUMMYFUNCTION("""COMPUTED_VALUE"""),5.0)</f>
        <v>5</v>
      </c>
      <c r="U416" s="2">
        <f>IFERROR(__xludf.DUMMYFUNCTION("""COMPUTED_VALUE"""),7.0)</f>
        <v>7</v>
      </c>
      <c r="V416" s="1" t="str">
        <f>IFERROR(__xludf.DUMMYFUNCTION("""COMPUTED_VALUE"""),"Rei De Jesus")</f>
        <v>Rei De Jesus</v>
      </c>
      <c r="W416" s="1" t="str">
        <f>IFERROR(__xludf.DUMMYFUNCTION("""COMPUTED_VALUE"""),"Print Design Support")</f>
        <v>Print Design Support</v>
      </c>
    </row>
    <row r="417">
      <c r="O417" s="1" t="str">
        <f>IFERROR(__xludf.DUMMYFUNCTION("""COMPUTED_VALUE"""),"2025 Jul")</f>
        <v>2025 Jul</v>
      </c>
      <c r="P417" s="1" t="str">
        <f>IFERROR(__xludf.DUMMYFUNCTION("""COMPUTED_VALUE"""),"Core Product Support")</f>
        <v>Core Product Support</v>
      </c>
      <c r="Q417" s="1" t="str">
        <f>IFERROR(__xludf.DUMMYFUNCTION("""COMPUTED_VALUE"""),"jbrizuela@canva.com")</f>
        <v>jbrizuela@canva.com</v>
      </c>
      <c r="R417" s="1" t="str">
        <f>IFERROR(__xludf.DUMMYFUNCTION("""COMPUTED_VALUE"""),"Jessa Brizuela")</f>
        <v>Jessa Brizuela</v>
      </c>
      <c r="S417" s="1">
        <f>IFERROR(__xludf.DUMMYFUNCTION("""COMPUTED_VALUE"""),26.42)</f>
        <v>26.42</v>
      </c>
      <c r="T417" s="1">
        <f>IFERROR(__xludf.DUMMYFUNCTION("""COMPUTED_VALUE"""),11.25)</f>
        <v>11.25</v>
      </c>
      <c r="U417" s="2">
        <f>IFERROR(__xludf.DUMMYFUNCTION("""COMPUTED_VALUE"""),37.67)</f>
        <v>37.67</v>
      </c>
      <c r="V417" s="1" t="str">
        <f>IFERROR(__xludf.DUMMYFUNCTION("""COMPUTED_VALUE"""),"Renette Bok")</f>
        <v>Renette Bok</v>
      </c>
      <c r="W417" s="1" t="str">
        <f>IFERROR(__xludf.DUMMYFUNCTION("""COMPUTED_VALUE"""),"Advanced Billing &amp; Subscriptions")</f>
        <v>Advanced Billing &amp; Subscriptions</v>
      </c>
    </row>
    <row r="418">
      <c r="O418" s="1" t="str">
        <f>IFERROR(__xludf.DUMMYFUNCTION("""COMPUTED_VALUE"""),"2025 Jul")</f>
        <v>2025 Jul</v>
      </c>
      <c r="P418" s="1" t="str">
        <f>IFERROR(__xludf.DUMMYFUNCTION("""COMPUTED_VALUE"""),"Core Product Support")</f>
        <v>Core Product Support</v>
      </c>
      <c r="Q418" s="1" t="str">
        <f>IFERROR(__xludf.DUMMYFUNCTION("""COMPUTED_VALUE"""),"jian@canva.com")</f>
        <v>jian@canva.com</v>
      </c>
      <c r="R418" s="1" t="str">
        <f>IFERROR(__xludf.DUMMYFUNCTION("""COMPUTED_VALUE"""),"Jian Paula Inocencio")</f>
        <v>Jian Paula Inocencio</v>
      </c>
      <c r="S418" s="1">
        <f>IFERROR(__xludf.DUMMYFUNCTION("""COMPUTED_VALUE"""),58.03)</f>
        <v>58.03</v>
      </c>
      <c r="T418" s="1">
        <f>IFERROR(__xludf.DUMMYFUNCTION("""COMPUTED_VALUE"""),6.75)</f>
        <v>6.75</v>
      </c>
      <c r="U418" s="2">
        <f>IFERROR(__xludf.DUMMYFUNCTION("""COMPUTED_VALUE"""),64.78)</f>
        <v>64.78</v>
      </c>
      <c r="V418" s="1" t="str">
        <f>IFERROR(__xludf.DUMMYFUNCTION("""COMPUTED_VALUE"""),"Vinz Lazaro")</f>
        <v>Vinz Lazaro</v>
      </c>
      <c r="W418" s="1" t="str">
        <f>IFERROR(__xludf.DUMMYFUNCTION("""COMPUTED_VALUE"""),"Advanced Product Support")</f>
        <v>Advanced Product Support</v>
      </c>
    </row>
    <row r="419">
      <c r="O419" s="1" t="str">
        <f>IFERROR(__xludf.DUMMYFUNCTION("""COMPUTED_VALUE"""),"2025 Jul")</f>
        <v>2025 Jul</v>
      </c>
      <c r="P419" s="1" t="str">
        <f>IFERROR(__xludf.DUMMYFUNCTION("""COMPUTED_VALUE"""),"Core Product Support")</f>
        <v>Core Product Support</v>
      </c>
      <c r="Q419" s="1" t="str">
        <f>IFERROR(__xludf.DUMMYFUNCTION("""COMPUTED_VALUE"""),"jilll@canva.com")</f>
        <v>jilll@canva.com</v>
      </c>
      <c r="R419" s="1" t="str">
        <f>IFERROR(__xludf.DUMMYFUNCTION("""COMPUTED_VALUE"""),"Jill Linco")</f>
        <v>Jill Linco</v>
      </c>
      <c r="S419" s="1">
        <f>IFERROR(__xludf.DUMMYFUNCTION("""COMPUTED_VALUE"""),38.75)</f>
        <v>38.75</v>
      </c>
      <c r="T419" s="1">
        <f>IFERROR(__xludf.DUMMYFUNCTION("""COMPUTED_VALUE"""),34.5)</f>
        <v>34.5</v>
      </c>
      <c r="U419" s="2">
        <f>IFERROR(__xludf.DUMMYFUNCTION("""COMPUTED_VALUE"""),73.25)</f>
        <v>73.25</v>
      </c>
      <c r="V419" s="1" t="str">
        <f>IFERROR(__xludf.DUMMYFUNCTION("""COMPUTED_VALUE"""),"Cate Velasco")</f>
        <v>Cate Velasco</v>
      </c>
      <c r="W419" s="1" t="str">
        <f>IFERROR(__xludf.DUMMYFUNCTION("""COMPUTED_VALUE"""),"Advanced Product Support")</f>
        <v>Advanced Product Support</v>
      </c>
    </row>
    <row r="420">
      <c r="O420" s="1" t="str">
        <f>IFERROR(__xludf.DUMMYFUNCTION("""COMPUTED_VALUE"""),"2025 Jul")</f>
        <v>2025 Jul</v>
      </c>
      <c r="P420" s="1" t="str">
        <f>IFERROR(__xludf.DUMMYFUNCTION("""COMPUTED_VALUE"""),"Segment-specific Support")</f>
        <v>Segment-specific Support</v>
      </c>
      <c r="Q420" s="1" t="str">
        <f>IFERROR(__xludf.DUMMYFUNCTION("""COMPUTED_VALUE"""),"jillann@canva.com")</f>
        <v>jillann@canva.com</v>
      </c>
      <c r="R420" s="1" t="str">
        <f>IFERROR(__xludf.DUMMYFUNCTION("""COMPUTED_VALUE"""),"Jill-Ann Reducindo")</f>
        <v>Jill-Ann Reducindo</v>
      </c>
      <c r="S420" s="1">
        <f>IFERROR(__xludf.DUMMYFUNCTION("""COMPUTED_VALUE"""),18.0)</f>
        <v>18</v>
      </c>
      <c r="T420" s="1">
        <f>IFERROR(__xludf.DUMMYFUNCTION("""COMPUTED_VALUE"""),5.58)</f>
        <v>5.58</v>
      </c>
      <c r="U420" s="2">
        <f>IFERROR(__xludf.DUMMYFUNCTION("""COMPUTED_VALUE"""),23.58)</f>
        <v>23.58</v>
      </c>
      <c r="V420" s="1" t="str">
        <f>IFERROR(__xludf.DUMMYFUNCTION("""COMPUTED_VALUE"""),"Rose Gabilan")</f>
        <v>Rose Gabilan</v>
      </c>
      <c r="W420" s="1" t="str">
        <f>IFERROR(__xludf.DUMMYFUNCTION("""COMPUTED_VALUE"""),"Affinity Support")</f>
        <v>Affinity Support</v>
      </c>
    </row>
    <row r="421">
      <c r="O421" s="1" t="str">
        <f>IFERROR(__xludf.DUMMYFUNCTION("""COMPUTED_VALUE"""),"2025 Jul")</f>
        <v>2025 Jul</v>
      </c>
      <c r="P421" s="1" t="str">
        <f>IFERROR(__xludf.DUMMYFUNCTION("""COMPUTED_VALUE"""),"Core Product Support")</f>
        <v>Core Product Support</v>
      </c>
      <c r="Q421" s="1" t="str">
        <f>IFERROR(__xludf.DUMMYFUNCTION("""COMPUTED_VALUE"""),"jmfrial@canva.com")</f>
        <v>jmfrial@canva.com</v>
      </c>
      <c r="R421" s="1" t="str">
        <f>IFERROR(__xludf.DUMMYFUNCTION("""COMPUTED_VALUE"""),"JM Frial")</f>
        <v>JM Frial</v>
      </c>
      <c r="S421" s="1">
        <f>IFERROR(__xludf.DUMMYFUNCTION("""COMPUTED_VALUE"""),4.27)</f>
        <v>4.27</v>
      </c>
      <c r="T421" s="1">
        <f>IFERROR(__xludf.DUMMYFUNCTION("""COMPUTED_VALUE"""),129.58)</f>
        <v>129.58</v>
      </c>
      <c r="U421" s="2">
        <f>IFERROR(__xludf.DUMMYFUNCTION("""COMPUTED_VALUE"""),133.85000000000002)</f>
        <v>133.85</v>
      </c>
      <c r="V421" s="1" t="str">
        <f>IFERROR(__xludf.DUMMYFUNCTION("""COMPUTED_VALUE"""),"Sieg Ballelos")</f>
        <v>Sieg Ballelos</v>
      </c>
      <c r="W421" s="1" t="str">
        <f>IFERROR(__xludf.DUMMYFUNCTION("""COMPUTED_VALUE"""),"Core Product Support Escalation Team")</f>
        <v>Core Product Support Escalation Team</v>
      </c>
    </row>
    <row r="422">
      <c r="O422" s="1" t="str">
        <f>IFERROR(__xludf.DUMMYFUNCTION("""COMPUTED_VALUE"""),"2025 Jul")</f>
        <v>2025 Jul</v>
      </c>
      <c r="P422" s="1" t="str">
        <f>IFERROR(__xludf.DUMMYFUNCTION("""COMPUTED_VALUE"""),"Core Product Support")</f>
        <v>Core Product Support</v>
      </c>
      <c r="Q422" s="1" t="str">
        <f>IFERROR(__xludf.DUMMYFUNCTION("""COMPUTED_VALUE"""),"jmpascual@canva.com")</f>
        <v>jmpascual@canva.com</v>
      </c>
      <c r="R422" s="1" t="str">
        <f>IFERROR(__xludf.DUMMYFUNCTION("""COMPUTED_VALUE"""),"JM Pascual")</f>
        <v>JM Pascual</v>
      </c>
      <c r="S422" s="1">
        <f>IFERROR(__xludf.DUMMYFUNCTION("""COMPUTED_VALUE"""),59.75)</f>
        <v>59.75</v>
      </c>
      <c r="T422" s="1">
        <f>IFERROR(__xludf.DUMMYFUNCTION("""COMPUTED_VALUE"""),3.0)</f>
        <v>3</v>
      </c>
      <c r="U422" s="2">
        <f>IFERROR(__xludf.DUMMYFUNCTION("""COMPUTED_VALUE"""),62.75)</f>
        <v>62.75</v>
      </c>
      <c r="V422" s="1" t="str">
        <f>IFERROR(__xludf.DUMMYFUNCTION("""COMPUTED_VALUE"""),"Belle Bentazal")</f>
        <v>Belle Bentazal</v>
      </c>
      <c r="W422" s="1" t="str">
        <f>IFERROR(__xludf.DUMMYFUNCTION("""COMPUTED_VALUE"""),"Advanced Product Support")</f>
        <v>Advanced Product Support</v>
      </c>
    </row>
    <row r="423">
      <c r="O423" s="1" t="str">
        <f>IFERROR(__xludf.DUMMYFUNCTION("""COMPUTED_VALUE"""),"2025 Jul")</f>
        <v>2025 Jul</v>
      </c>
      <c r="P423" s="1" t="str">
        <f>IFERROR(__xludf.DUMMYFUNCTION("""COMPUTED_VALUE"""),"Print Support")</f>
        <v>Print Support</v>
      </c>
      <c r="Q423" s="1" t="str">
        <f>IFERROR(__xludf.DUMMYFUNCTION("""COMPUTED_VALUE"""),"joanmyle@canva.com")</f>
        <v>joanmyle@canva.com</v>
      </c>
      <c r="R423" s="1" t="str">
        <f>IFERROR(__xludf.DUMMYFUNCTION("""COMPUTED_VALUE"""),"Joan Myle Dapog")</f>
        <v>Joan Myle Dapog</v>
      </c>
      <c r="S423" s="1">
        <f>IFERROR(__xludf.DUMMYFUNCTION("""COMPUTED_VALUE"""),9.42)</f>
        <v>9.42</v>
      </c>
      <c r="T423" s="1">
        <f>IFERROR(__xludf.DUMMYFUNCTION("""COMPUTED_VALUE"""),4.33)</f>
        <v>4.33</v>
      </c>
      <c r="U423" s="2">
        <f>IFERROR(__xludf.DUMMYFUNCTION("""COMPUTED_VALUE"""),13.75)</f>
        <v>13.75</v>
      </c>
      <c r="V423" s="1" t="str">
        <f>IFERROR(__xludf.DUMMYFUNCTION("""COMPUTED_VALUE"""),"Jen Momo")</f>
        <v>Jen Momo</v>
      </c>
      <c r="W423" s="1" t="str">
        <f>IFERROR(__xludf.DUMMYFUNCTION("""COMPUTED_VALUE"""),"Print Support PH")</f>
        <v>Print Support PH</v>
      </c>
    </row>
    <row r="424">
      <c r="O424" s="1" t="str">
        <f>IFERROR(__xludf.DUMMYFUNCTION("""COMPUTED_VALUE"""),"2025 Jul")</f>
        <v>2025 Jul</v>
      </c>
      <c r="P424" s="1" t="str">
        <f>IFERROR(__xludf.DUMMYFUNCTION("""COMPUTED_VALUE"""),"Print Support")</f>
        <v>Print Support</v>
      </c>
      <c r="Q424" s="1" t="str">
        <f>IFERROR(__xludf.DUMMYFUNCTION("""COMPUTED_VALUE"""),"jmbeldua@canva.com")</f>
        <v>jmbeldua@canva.com</v>
      </c>
      <c r="R424" s="1" t="str">
        <f>IFERROR(__xludf.DUMMYFUNCTION("""COMPUTED_VALUE"""),"Joane Beldua")</f>
        <v>Joane Beldua</v>
      </c>
      <c r="S424" s="1">
        <f>IFERROR(__xludf.DUMMYFUNCTION("""COMPUTED_VALUE"""),13.07)</f>
        <v>13.07</v>
      </c>
      <c r="T424" s="1">
        <f>IFERROR(__xludf.DUMMYFUNCTION("""COMPUTED_VALUE"""),2.5)</f>
        <v>2.5</v>
      </c>
      <c r="U424" s="2">
        <f>IFERROR(__xludf.DUMMYFUNCTION("""COMPUTED_VALUE"""),15.57)</f>
        <v>15.57</v>
      </c>
      <c r="V424" s="1" t="str">
        <f>IFERROR(__xludf.DUMMYFUNCTION("""COMPUTED_VALUE"""),"Louise Dianne Estrella")</f>
        <v>Louise Dianne Estrella</v>
      </c>
      <c r="W424" s="1" t="str">
        <f>IFERROR(__xludf.DUMMYFUNCTION("""COMPUTED_VALUE"""),"Print Support PH")</f>
        <v>Print Support PH</v>
      </c>
    </row>
    <row r="425">
      <c r="O425" s="1" t="str">
        <f>IFERROR(__xludf.DUMMYFUNCTION("""COMPUTED_VALUE"""),"2025 Jul")</f>
        <v>2025 Jul</v>
      </c>
      <c r="P425" s="1" t="str">
        <f>IFERROR(__xludf.DUMMYFUNCTION("""COMPUTED_VALUE"""),"Multilingual Support")</f>
        <v>Multilingual Support</v>
      </c>
      <c r="Q425" s="1" t="str">
        <f>IFERROR(__xludf.DUMMYFUNCTION("""COMPUTED_VALUE"""),"joaqdivino@canva.com")</f>
        <v>joaqdivino@canva.com</v>
      </c>
      <c r="R425" s="1" t="str">
        <f>IFERROR(__xludf.DUMMYFUNCTION("""COMPUTED_VALUE"""),"Joaquin Divino")</f>
        <v>Joaquin Divino</v>
      </c>
      <c r="S425" s="1">
        <f>IFERROR(__xludf.DUMMYFUNCTION("""COMPUTED_VALUE"""),9.25)</f>
        <v>9.25</v>
      </c>
      <c r="T425" s="1"/>
      <c r="U425" s="2">
        <f>IFERROR(__xludf.DUMMYFUNCTION("""COMPUTED_VALUE"""),9.25)</f>
        <v>9.25</v>
      </c>
      <c r="V425" s="1" t="str">
        <f>IFERROR(__xludf.DUMMYFUNCTION("""COMPUTED_VALUE"""),"Arlene Maurillo")</f>
        <v>Arlene Maurillo</v>
      </c>
      <c r="W425" s="1" t="str">
        <f>IFERROR(__xludf.DUMMYFUNCTION("""COMPUTED_VALUE"""),"PHL, Multilingual Support")</f>
        <v>PHL, Multilingual Support</v>
      </c>
    </row>
    <row r="426">
      <c r="O426" s="1" t="str">
        <f>IFERROR(__xludf.DUMMYFUNCTION("""COMPUTED_VALUE"""),"2025 Jul")</f>
        <v>2025 Jul</v>
      </c>
      <c r="P426" s="1" t="str">
        <f>IFERROR(__xludf.DUMMYFUNCTION("""COMPUTED_VALUE"""),"Core Product Support")</f>
        <v>Core Product Support</v>
      </c>
      <c r="Q426" s="1" t="str">
        <f>IFERROR(__xludf.DUMMYFUNCTION("""COMPUTED_VALUE"""),"jocelynng@canva.com")</f>
        <v>jocelynng@canva.com</v>
      </c>
      <c r="R426" s="1" t="str">
        <f>IFERROR(__xludf.DUMMYFUNCTION("""COMPUTED_VALUE"""),"Jocelyn Ng")</f>
        <v>Jocelyn Ng</v>
      </c>
      <c r="S426" s="1">
        <f>IFERROR(__xludf.DUMMYFUNCTION("""COMPUTED_VALUE"""),23.15)</f>
        <v>23.15</v>
      </c>
      <c r="T426" s="1">
        <f>IFERROR(__xludf.DUMMYFUNCTION("""COMPUTED_VALUE"""),5.73)</f>
        <v>5.73</v>
      </c>
      <c r="U426" s="2">
        <f>IFERROR(__xludf.DUMMYFUNCTION("""COMPUTED_VALUE"""),28.88)</f>
        <v>28.88</v>
      </c>
      <c r="V426" s="1" t="str">
        <f>IFERROR(__xludf.DUMMYFUNCTION("""COMPUTED_VALUE"""),"Sieg Ballelos")</f>
        <v>Sieg Ballelos</v>
      </c>
      <c r="W426" s="1" t="str">
        <f>IFERROR(__xludf.DUMMYFUNCTION("""COMPUTED_VALUE"""),"Core Product Support Escalation Team")</f>
        <v>Core Product Support Escalation Team</v>
      </c>
    </row>
    <row r="427">
      <c r="O427" s="1" t="str">
        <f>IFERROR(__xludf.DUMMYFUNCTION("""COMPUTED_VALUE"""),"2025 Jul")</f>
        <v>2025 Jul</v>
      </c>
      <c r="P427" s="1" t="str">
        <f>IFERROR(__xludf.DUMMYFUNCTION("""COMPUTED_VALUE"""),"Admin Support")</f>
        <v>Admin Support</v>
      </c>
      <c r="Q427" s="1" t="str">
        <f>IFERROR(__xludf.DUMMYFUNCTION("""COMPUTED_VALUE"""),"cee@canva.com")</f>
        <v>cee@canva.com</v>
      </c>
      <c r="R427" s="1" t="str">
        <f>IFERROR(__xludf.DUMMYFUNCTION("""COMPUTED_VALUE"""),"John Carlo Gonzales")</f>
        <v>John Carlo Gonzales</v>
      </c>
      <c r="S427" s="1"/>
      <c r="T427" s="1">
        <f>IFERROR(__xludf.DUMMYFUNCTION("""COMPUTED_VALUE"""),119.5)</f>
        <v>119.5</v>
      </c>
      <c r="U427" s="2">
        <f>IFERROR(__xludf.DUMMYFUNCTION("""COMPUTED_VALUE"""),119.5)</f>
        <v>119.5</v>
      </c>
      <c r="V427" s="1" t="str">
        <f>IFERROR(__xludf.DUMMYFUNCTION("""COMPUTED_VALUE"""),"AL Suarez")</f>
        <v>AL Suarez</v>
      </c>
      <c r="W427" s="1" t="str">
        <f>IFERROR(__xludf.DUMMYFUNCTION("""COMPUTED_VALUE"""),"Admin Direct Support")</f>
        <v>Admin Direct Support</v>
      </c>
    </row>
    <row r="428">
      <c r="O428" s="1" t="str">
        <f>IFERROR(__xludf.DUMMYFUNCTION("""COMPUTED_VALUE"""),"2025 Jul")</f>
        <v>2025 Jul</v>
      </c>
      <c r="P428" s="1" t="str">
        <f>IFERROR(__xludf.DUMMYFUNCTION("""COMPUTED_VALUE"""),"Core Product Support")</f>
        <v>Core Product Support</v>
      </c>
      <c r="Q428" s="1" t="str">
        <f>IFERROR(__xludf.DUMMYFUNCTION("""COMPUTED_VALUE"""),"khael@canva.com")</f>
        <v>khael@canva.com</v>
      </c>
      <c r="R428" s="1" t="str">
        <f>IFERROR(__xludf.DUMMYFUNCTION("""COMPUTED_VALUE"""),"John Pieda")</f>
        <v>John Pieda</v>
      </c>
      <c r="S428" s="1">
        <f>IFERROR(__xludf.DUMMYFUNCTION("""COMPUTED_VALUE"""),47.02)</f>
        <v>47.02</v>
      </c>
      <c r="T428" s="1">
        <f>IFERROR(__xludf.DUMMYFUNCTION("""COMPUTED_VALUE"""),19.48)</f>
        <v>19.48</v>
      </c>
      <c r="U428" s="2">
        <f>IFERROR(__xludf.DUMMYFUNCTION("""COMPUTED_VALUE"""),66.5)</f>
        <v>66.5</v>
      </c>
      <c r="V428" s="1" t="str">
        <f>IFERROR(__xludf.DUMMYFUNCTION("""COMPUTED_VALUE"""),"Ayza Marie Pascual")</f>
        <v>Ayza Marie Pascual</v>
      </c>
      <c r="W428" s="1" t="str">
        <f>IFERROR(__xludf.DUMMYFUNCTION("""COMPUTED_VALUE"""),"Advanced Billing &amp; Subscriptions")</f>
        <v>Advanced Billing &amp; Subscriptions</v>
      </c>
    </row>
    <row r="429">
      <c r="O429" s="1" t="str">
        <f>IFERROR(__xludf.DUMMYFUNCTION("""COMPUTED_VALUE"""),"2025 Jul")</f>
        <v>2025 Jul</v>
      </c>
      <c r="P429" s="1" t="str">
        <f>IFERROR(__xludf.DUMMYFUNCTION("""COMPUTED_VALUE"""),"Core Product Support")</f>
        <v>Core Product Support</v>
      </c>
      <c r="Q429" s="1" t="str">
        <f>IFERROR(__xludf.DUMMYFUNCTION("""COMPUTED_VALUE"""),"jonahezra@canva.com")</f>
        <v>jonahezra@canva.com</v>
      </c>
      <c r="R429" s="1" t="str">
        <f>IFERROR(__xludf.DUMMYFUNCTION("""COMPUTED_VALUE"""),"Jonah Ezra Vergara")</f>
        <v>Jonah Ezra Vergara</v>
      </c>
      <c r="S429" s="1">
        <f>IFERROR(__xludf.DUMMYFUNCTION("""COMPUTED_VALUE"""),11.0)</f>
        <v>11</v>
      </c>
      <c r="T429" s="1">
        <f>IFERROR(__xludf.DUMMYFUNCTION("""COMPUTED_VALUE"""),3.58)</f>
        <v>3.58</v>
      </c>
      <c r="U429" s="2">
        <f>IFERROR(__xludf.DUMMYFUNCTION("""COMPUTED_VALUE"""),14.58)</f>
        <v>14.58</v>
      </c>
      <c r="V429" s="1" t="str">
        <f>IFERROR(__xludf.DUMMYFUNCTION("""COMPUTED_VALUE"""),"Ellaine Estayo")</f>
        <v>Ellaine Estayo</v>
      </c>
      <c r="W429" s="1" t="str">
        <f>IFERROR(__xludf.DUMMYFUNCTION("""COMPUTED_VALUE"""),"Core Product Support Escalation Team")</f>
        <v>Core Product Support Escalation Team</v>
      </c>
    </row>
    <row r="430">
      <c r="O430" s="1" t="str">
        <f>IFERROR(__xludf.DUMMYFUNCTION("""COMPUTED_VALUE"""),"2025 Jul")</f>
        <v>2025 Jul</v>
      </c>
      <c r="P430" s="1" t="str">
        <f>IFERROR(__xludf.DUMMYFUNCTION("""COMPUTED_VALUE"""),"Core Product Support")</f>
        <v>Core Product Support</v>
      </c>
      <c r="Q430" s="1" t="str">
        <f>IFERROR(__xludf.DUMMYFUNCTION("""COMPUTED_VALUE"""),"cjopphet@canva.com")</f>
        <v>cjopphet@canva.com</v>
      </c>
      <c r="R430" s="1" t="str">
        <f>IFERROR(__xludf.DUMMYFUNCTION("""COMPUTED_VALUE"""),"Jopphet Villafuerte")</f>
        <v>Jopphet Villafuerte</v>
      </c>
      <c r="S430" s="1">
        <f>IFERROR(__xludf.DUMMYFUNCTION("""COMPUTED_VALUE"""),25.95)</f>
        <v>25.95</v>
      </c>
      <c r="T430" s="1">
        <f>IFERROR(__xludf.DUMMYFUNCTION("""COMPUTED_VALUE"""),10.07)</f>
        <v>10.07</v>
      </c>
      <c r="U430" s="2">
        <f>IFERROR(__xludf.DUMMYFUNCTION("""COMPUTED_VALUE"""),36.019999999999996)</f>
        <v>36.02</v>
      </c>
      <c r="V430" s="1" t="str">
        <f>IFERROR(__xludf.DUMMYFUNCTION("""COMPUTED_VALUE"""),"Ayza Marie Pascual")</f>
        <v>Ayza Marie Pascual</v>
      </c>
      <c r="W430" s="1" t="str">
        <f>IFERROR(__xludf.DUMMYFUNCTION("""COMPUTED_VALUE"""),"Advanced Billing &amp; Subscriptions")</f>
        <v>Advanced Billing &amp; Subscriptions</v>
      </c>
    </row>
    <row r="431">
      <c r="O431" s="1" t="str">
        <f>IFERROR(__xludf.DUMMYFUNCTION("""COMPUTED_VALUE"""),"2025 Jul")</f>
        <v>2025 Jul</v>
      </c>
      <c r="P431" s="1" t="str">
        <f>IFERROR(__xludf.DUMMYFUNCTION("""COMPUTED_VALUE"""),"Segment-specific Support")</f>
        <v>Segment-specific Support</v>
      </c>
      <c r="Q431" s="1" t="str">
        <f>IFERROR(__xludf.DUMMYFUNCTION("""COMPUTED_VALUE"""),"jorell@canva.com")</f>
        <v>jorell@canva.com</v>
      </c>
      <c r="R431" s="1" t="str">
        <f>IFERROR(__xludf.DUMMYFUNCTION("""COMPUTED_VALUE"""),"Jorell Bollozos")</f>
        <v>Jorell Bollozos</v>
      </c>
      <c r="S431" s="1">
        <f>IFERROR(__xludf.DUMMYFUNCTION("""COMPUTED_VALUE"""),7.75)</f>
        <v>7.75</v>
      </c>
      <c r="T431" s="1">
        <f>IFERROR(__xludf.DUMMYFUNCTION("""COMPUTED_VALUE"""),36.5)</f>
        <v>36.5</v>
      </c>
      <c r="U431" s="2">
        <f>IFERROR(__xludf.DUMMYFUNCTION("""COMPUTED_VALUE"""),44.25)</f>
        <v>44.25</v>
      </c>
      <c r="V431" s="1" t="str">
        <f>IFERROR(__xludf.DUMMYFUNCTION("""COMPUTED_VALUE"""),"Gucci Nava")</f>
        <v>Gucci Nava</v>
      </c>
      <c r="W431" s="1" t="str">
        <f>IFERROR(__xludf.DUMMYFUNCTION("""COMPUTED_VALUE"""),"Print Support PH")</f>
        <v>Print Support PH</v>
      </c>
    </row>
    <row r="432">
      <c r="O432" s="1" t="str">
        <f>IFERROR(__xludf.DUMMYFUNCTION("""COMPUTED_VALUE"""),"2025 Jul")</f>
        <v>2025 Jul</v>
      </c>
      <c r="P432" s="1" t="str">
        <f>IFERROR(__xludf.DUMMYFUNCTION("""COMPUTED_VALUE"""),"Core Product Support")</f>
        <v>Core Product Support</v>
      </c>
      <c r="Q432" s="1" t="str">
        <f>IFERROR(__xludf.DUMMYFUNCTION("""COMPUTED_VALUE"""),"josab@canva.com")</f>
        <v>josab@canva.com</v>
      </c>
      <c r="R432" s="1" t="str">
        <f>IFERROR(__xludf.DUMMYFUNCTION("""COMPUTED_VALUE"""),"Josa Bernardino")</f>
        <v>Josa Bernardino</v>
      </c>
      <c r="S432" s="1">
        <f>IFERROR(__xludf.DUMMYFUNCTION("""COMPUTED_VALUE"""),14.67)</f>
        <v>14.67</v>
      </c>
      <c r="T432" s="1">
        <f>IFERROR(__xludf.DUMMYFUNCTION("""COMPUTED_VALUE"""),8.08)</f>
        <v>8.08</v>
      </c>
      <c r="U432" s="2">
        <f>IFERROR(__xludf.DUMMYFUNCTION("""COMPUTED_VALUE"""),22.75)</f>
        <v>22.75</v>
      </c>
      <c r="V432" s="1" t="str">
        <f>IFERROR(__xludf.DUMMYFUNCTION("""COMPUTED_VALUE"""),"Ellaine Estayo")</f>
        <v>Ellaine Estayo</v>
      </c>
      <c r="W432" s="1" t="str">
        <f>IFERROR(__xludf.DUMMYFUNCTION("""COMPUTED_VALUE"""),"Core Product Support Escalation Team")</f>
        <v>Core Product Support Escalation Team</v>
      </c>
    </row>
    <row r="433">
      <c r="O433" s="1" t="str">
        <f>IFERROR(__xludf.DUMMYFUNCTION("""COMPUTED_VALUE"""),"2025 Jul")</f>
        <v>2025 Jul</v>
      </c>
      <c r="P433" s="1" t="str">
        <f>IFERROR(__xludf.DUMMYFUNCTION("""COMPUTED_VALUE"""),"Print Support")</f>
        <v>Print Support</v>
      </c>
      <c r="Q433" s="1" t="str">
        <f>IFERROR(__xludf.DUMMYFUNCTION("""COMPUTED_VALUE"""),"quin@canva.com")</f>
        <v>quin@canva.com</v>
      </c>
      <c r="R433" s="1" t="str">
        <f>IFERROR(__xludf.DUMMYFUNCTION("""COMPUTED_VALUE"""),"Jose Antiquin")</f>
        <v>Jose Antiquin</v>
      </c>
      <c r="S433" s="1">
        <f>IFERROR(__xludf.DUMMYFUNCTION("""COMPUTED_VALUE"""),6.0)</f>
        <v>6</v>
      </c>
      <c r="T433" s="1">
        <f>IFERROR(__xludf.DUMMYFUNCTION("""COMPUTED_VALUE"""),3.0)</f>
        <v>3</v>
      </c>
      <c r="U433" s="2">
        <f>IFERROR(__xludf.DUMMYFUNCTION("""COMPUTED_VALUE"""),9.0)</f>
        <v>9</v>
      </c>
      <c r="V433" s="1" t="str">
        <f>IFERROR(__xludf.DUMMYFUNCTION("""COMPUTED_VALUE"""),"Jen Momo")</f>
        <v>Jen Momo</v>
      </c>
      <c r="W433" s="1" t="str">
        <f>IFERROR(__xludf.DUMMYFUNCTION("""COMPUTED_VALUE"""),"Print Support PH")</f>
        <v>Print Support PH</v>
      </c>
    </row>
    <row r="434">
      <c r="O434" s="1" t="str">
        <f>IFERROR(__xludf.DUMMYFUNCTION("""COMPUTED_VALUE"""),"2025 Jul")</f>
        <v>2025 Jul</v>
      </c>
      <c r="P434" s="1" t="str">
        <f>IFERROR(__xludf.DUMMYFUNCTION("""COMPUTED_VALUE"""),"Admin Support")</f>
        <v>Admin Support</v>
      </c>
      <c r="Q434" s="1" t="str">
        <f>IFERROR(__xludf.DUMMYFUNCTION("""COMPUTED_VALUE"""),"joshid@canva.com")</f>
        <v>joshid@canva.com</v>
      </c>
      <c r="R434" s="1" t="str">
        <f>IFERROR(__xludf.DUMMYFUNCTION("""COMPUTED_VALUE"""),"Joshua Dacanay")</f>
        <v>Joshua Dacanay</v>
      </c>
      <c r="S434" s="1">
        <f>IFERROR(__xludf.DUMMYFUNCTION("""COMPUTED_VALUE"""),58.08)</f>
        <v>58.08</v>
      </c>
      <c r="T434" s="1">
        <f>IFERROR(__xludf.DUMMYFUNCTION("""COMPUTED_VALUE"""),7.25)</f>
        <v>7.25</v>
      </c>
      <c r="U434" s="2">
        <f>IFERROR(__xludf.DUMMYFUNCTION("""COMPUTED_VALUE"""),65.33)</f>
        <v>65.33</v>
      </c>
      <c r="V434" s="1" t="str">
        <f>IFERROR(__xludf.DUMMYFUNCTION("""COMPUTED_VALUE"""),"AL Suarez")</f>
        <v>AL Suarez</v>
      </c>
      <c r="W434" s="1" t="str">
        <f>IFERROR(__xludf.DUMMYFUNCTION("""COMPUTED_VALUE"""),"Admin Direct Support")</f>
        <v>Admin Direct Support</v>
      </c>
    </row>
    <row r="435">
      <c r="O435" s="1" t="str">
        <f>IFERROR(__xludf.DUMMYFUNCTION("""COMPUTED_VALUE"""),"2025 Jul")</f>
        <v>2025 Jul</v>
      </c>
      <c r="P435" s="1" t="str">
        <f>IFERROR(__xludf.DUMMYFUNCTION("""COMPUTED_VALUE"""),"High Sensitivity Support")</f>
        <v>High Sensitivity Support</v>
      </c>
      <c r="Q435" s="1" t="str">
        <f>IFERROR(__xludf.DUMMYFUNCTION("""COMPUTED_VALUE"""),"jpbasco@canva.com")</f>
        <v>jpbasco@canva.com</v>
      </c>
      <c r="R435" s="1" t="str">
        <f>IFERROR(__xludf.DUMMYFUNCTION("""COMPUTED_VALUE"""),"JP Basco")</f>
        <v>JP Basco</v>
      </c>
      <c r="S435" s="1">
        <f>IFERROR(__xludf.DUMMYFUNCTION("""COMPUTED_VALUE"""),13.0)</f>
        <v>13</v>
      </c>
      <c r="T435" s="1">
        <f>IFERROR(__xludf.DUMMYFUNCTION("""COMPUTED_VALUE"""),13.87)</f>
        <v>13.87</v>
      </c>
      <c r="U435" s="2">
        <f>IFERROR(__xludf.DUMMYFUNCTION("""COMPUTED_VALUE"""),26.869999999999997)</f>
        <v>26.87</v>
      </c>
      <c r="V435" s="1" t="str">
        <f>IFERROR(__xludf.DUMMYFUNCTION("""COMPUTED_VALUE"""),"Rex Villamor")</f>
        <v>Rex Villamor</v>
      </c>
      <c r="W435" s="1" t="str">
        <f>IFERROR(__xludf.DUMMYFUNCTION("""COMPUTED_VALUE"""),"High Sensitivity Support PH")</f>
        <v>High Sensitivity Support PH</v>
      </c>
    </row>
    <row r="436">
      <c r="O436" s="1" t="str">
        <f>IFERROR(__xludf.DUMMYFUNCTION("""COMPUTED_VALUE"""),"2025 Jul")</f>
        <v>2025 Jul</v>
      </c>
      <c r="P436" s="1" t="str">
        <f>IFERROR(__xludf.DUMMYFUNCTION("""COMPUTED_VALUE"""),"Core Product Support")</f>
        <v>Core Product Support</v>
      </c>
      <c r="Q436" s="1" t="str">
        <f>IFERROR(__xludf.DUMMYFUNCTION("""COMPUTED_VALUE"""),"mgonzalgo@canva.com")</f>
        <v>mgonzalgo@canva.com</v>
      </c>
      <c r="R436" s="1" t="str">
        <f>IFERROR(__xludf.DUMMYFUNCTION("""COMPUTED_VALUE"""),"Juhrella Gonzalgo")</f>
        <v>Juhrella Gonzalgo</v>
      </c>
      <c r="S436" s="1">
        <f>IFERROR(__xludf.DUMMYFUNCTION("""COMPUTED_VALUE"""),20.75)</f>
        <v>20.75</v>
      </c>
      <c r="T436" s="1">
        <f>IFERROR(__xludf.DUMMYFUNCTION("""COMPUTED_VALUE"""),35.0)</f>
        <v>35</v>
      </c>
      <c r="U436" s="2">
        <f>IFERROR(__xludf.DUMMYFUNCTION("""COMPUTED_VALUE"""),55.75)</f>
        <v>55.75</v>
      </c>
      <c r="V436" s="1" t="str">
        <f>IFERROR(__xludf.DUMMYFUNCTION("""COMPUTED_VALUE"""),"Mikhaela Decangchon")</f>
        <v>Mikhaela Decangchon</v>
      </c>
      <c r="W436" s="1" t="str">
        <f>IFERROR(__xludf.DUMMYFUNCTION("""COMPUTED_VALUE"""),"Advanced Product Support")</f>
        <v>Advanced Product Support</v>
      </c>
    </row>
    <row r="437">
      <c r="O437" s="1" t="str">
        <f>IFERROR(__xludf.DUMMYFUNCTION("""COMPUTED_VALUE"""),"2025 Jul")</f>
        <v>2025 Jul</v>
      </c>
      <c r="P437" s="1" t="str">
        <f>IFERROR(__xludf.DUMMYFUNCTION("""COMPUTED_VALUE"""),"Admin Support")</f>
        <v>Admin Support</v>
      </c>
      <c r="Q437" s="1" t="str">
        <f>IFERROR(__xludf.DUMMYFUNCTION("""COMPUTED_VALUE"""),"justinem@canva.com")</f>
        <v>justinem@canva.com</v>
      </c>
      <c r="R437" s="1" t="str">
        <f>IFERROR(__xludf.DUMMYFUNCTION("""COMPUTED_VALUE"""),"Justine Valerie Meneses")</f>
        <v>Justine Valerie Meneses</v>
      </c>
      <c r="S437" s="1">
        <f>IFERROR(__xludf.DUMMYFUNCTION("""COMPUTED_VALUE"""),23.75)</f>
        <v>23.75</v>
      </c>
      <c r="T437" s="1">
        <f>IFERROR(__xludf.DUMMYFUNCTION("""COMPUTED_VALUE"""),65.0)</f>
        <v>65</v>
      </c>
      <c r="U437" s="2">
        <f>IFERROR(__xludf.DUMMYFUNCTION("""COMPUTED_VALUE"""),88.75)</f>
        <v>88.75</v>
      </c>
      <c r="V437" s="1" t="str">
        <f>IFERROR(__xludf.DUMMYFUNCTION("""COMPUTED_VALUE"""),"Karla Mananghaya")</f>
        <v>Karla Mananghaya</v>
      </c>
      <c r="W437" s="1" t="str">
        <f>IFERROR(__xludf.DUMMYFUNCTION("""COMPUTED_VALUE"""),"Admin Support Service Escalation Team")</f>
        <v>Admin Support Service Escalation Team</v>
      </c>
    </row>
    <row r="438">
      <c r="O438" s="1" t="str">
        <f>IFERROR(__xludf.DUMMYFUNCTION("""COMPUTED_VALUE"""),"2025 Jul")</f>
        <v>2025 Jul</v>
      </c>
      <c r="P438" s="1" t="str">
        <f>IFERROR(__xludf.DUMMYFUNCTION("""COMPUTED_VALUE"""),"Admin Support")</f>
        <v>Admin Support</v>
      </c>
      <c r="Q438" s="1" t="str">
        <f>IFERROR(__xludf.DUMMYFUNCTION("""COMPUTED_VALUE"""),"kamilleb@canva.com")</f>
        <v>kamilleb@canva.com</v>
      </c>
      <c r="R438" s="1" t="str">
        <f>IFERROR(__xludf.DUMMYFUNCTION("""COMPUTED_VALUE"""),"Kamille Batuyong")</f>
        <v>Kamille Batuyong</v>
      </c>
      <c r="S438" s="1">
        <f>IFERROR(__xludf.DUMMYFUNCTION("""COMPUTED_VALUE"""),6.42)</f>
        <v>6.42</v>
      </c>
      <c r="T438" s="1">
        <f>IFERROR(__xludf.DUMMYFUNCTION("""COMPUTED_VALUE"""),6.75)</f>
        <v>6.75</v>
      </c>
      <c r="U438" s="2">
        <f>IFERROR(__xludf.DUMMYFUNCTION("""COMPUTED_VALUE"""),13.17)</f>
        <v>13.17</v>
      </c>
      <c r="V438" s="1" t="str">
        <f>IFERROR(__xludf.DUMMYFUNCTION("""COMPUTED_VALUE"""),"AL Suarez")</f>
        <v>AL Suarez</v>
      </c>
      <c r="W438" s="1" t="str">
        <f>IFERROR(__xludf.DUMMYFUNCTION("""COMPUTED_VALUE"""),"Print Support PH")</f>
        <v>Print Support PH</v>
      </c>
    </row>
    <row r="439">
      <c r="O439" s="1" t="str">
        <f>IFERROR(__xludf.DUMMYFUNCTION("""COMPUTED_VALUE"""),"2025 Jul")</f>
        <v>2025 Jul</v>
      </c>
      <c r="P439" s="1" t="str">
        <f>IFERROR(__xludf.DUMMYFUNCTION("""COMPUTED_VALUE"""),"Core Product Support")</f>
        <v>Core Product Support</v>
      </c>
      <c r="Q439" s="1" t="str">
        <f>IFERROR(__xludf.DUMMYFUNCTION("""COMPUTED_VALUE"""),"katcee@canva.com")</f>
        <v>katcee@canva.com</v>
      </c>
      <c r="R439" s="1" t="str">
        <f>IFERROR(__xludf.DUMMYFUNCTION("""COMPUTED_VALUE"""),"Katrin Cebedo")</f>
        <v>Katrin Cebedo</v>
      </c>
      <c r="S439" s="1">
        <f>IFERROR(__xludf.DUMMYFUNCTION("""COMPUTED_VALUE"""),34.63)</f>
        <v>34.63</v>
      </c>
      <c r="T439" s="1">
        <f>IFERROR(__xludf.DUMMYFUNCTION("""COMPUTED_VALUE"""),5.45)</f>
        <v>5.45</v>
      </c>
      <c r="U439" s="2">
        <f>IFERROR(__xludf.DUMMYFUNCTION("""COMPUTED_VALUE"""),40.080000000000005)</f>
        <v>40.08</v>
      </c>
      <c r="V439" s="1" t="str">
        <f>IFERROR(__xludf.DUMMYFUNCTION("""COMPUTED_VALUE"""),"Ayza Marie Pascual")</f>
        <v>Ayza Marie Pascual</v>
      </c>
      <c r="W439" s="1" t="str">
        <f>IFERROR(__xludf.DUMMYFUNCTION("""COMPUTED_VALUE"""),"Advanced Billing &amp; Subscriptions")</f>
        <v>Advanced Billing &amp; Subscriptions</v>
      </c>
    </row>
    <row r="440">
      <c r="O440" s="1" t="str">
        <f>IFERROR(__xludf.DUMMYFUNCTION("""COMPUTED_VALUE"""),"2025 Jul")</f>
        <v>2025 Jul</v>
      </c>
      <c r="P440" s="1" t="str">
        <f>IFERROR(__xludf.DUMMYFUNCTION("""COMPUTED_VALUE"""),"Print Support")</f>
        <v>Print Support</v>
      </c>
      <c r="Q440" s="1" t="str">
        <f>IFERROR(__xludf.DUMMYFUNCTION("""COMPUTED_VALUE"""),"katejoya@canva.com")</f>
        <v>katejoya@canva.com</v>
      </c>
      <c r="R440" s="1" t="str">
        <f>IFERROR(__xludf.DUMMYFUNCTION("""COMPUTED_VALUE"""),"Katrina Joya")</f>
        <v>Katrina Joya</v>
      </c>
      <c r="S440" s="1">
        <f>IFERROR(__xludf.DUMMYFUNCTION("""COMPUTED_VALUE"""),4.33)</f>
        <v>4.33</v>
      </c>
      <c r="T440" s="1">
        <f>IFERROR(__xludf.DUMMYFUNCTION("""COMPUTED_VALUE"""),6.17)</f>
        <v>6.17</v>
      </c>
      <c r="U440" s="2">
        <f>IFERROR(__xludf.DUMMYFUNCTION("""COMPUTED_VALUE"""),10.5)</f>
        <v>10.5</v>
      </c>
      <c r="V440" s="1" t="str">
        <f>IFERROR(__xludf.DUMMYFUNCTION("""COMPUTED_VALUE"""),"Gem Agoncillo")</f>
        <v>Gem Agoncillo</v>
      </c>
      <c r="W440" s="1" t="str">
        <f>IFERROR(__xludf.DUMMYFUNCTION("""COMPUTED_VALUE"""),"Print Design Support")</f>
        <v>Print Design Support</v>
      </c>
    </row>
    <row r="441">
      <c r="O441" s="1" t="str">
        <f>IFERROR(__xludf.DUMMYFUNCTION("""COMPUTED_VALUE"""),"2025 Jul")</f>
        <v>2025 Jul</v>
      </c>
      <c r="P441" s="1" t="str">
        <f>IFERROR(__xludf.DUMMYFUNCTION("""COMPUTED_VALUE"""),"Core Product Support")</f>
        <v>Core Product Support</v>
      </c>
      <c r="Q441" s="1" t="str">
        <f>IFERROR(__xludf.DUMMYFUNCTION("""COMPUTED_VALUE"""),"kayl@canva.com")</f>
        <v>kayl@canva.com</v>
      </c>
      <c r="R441" s="1" t="str">
        <f>IFERROR(__xludf.DUMMYFUNCTION("""COMPUTED_VALUE"""),"Kayl Albonia")</f>
        <v>Kayl Albonia</v>
      </c>
      <c r="S441" s="1">
        <f>IFERROR(__xludf.DUMMYFUNCTION("""COMPUTED_VALUE"""),29.5)</f>
        <v>29.5</v>
      </c>
      <c r="T441" s="1">
        <f>IFERROR(__xludf.DUMMYFUNCTION("""COMPUTED_VALUE"""),14.5)</f>
        <v>14.5</v>
      </c>
      <c r="U441" s="2">
        <f>IFERROR(__xludf.DUMMYFUNCTION("""COMPUTED_VALUE"""),44.0)</f>
        <v>44</v>
      </c>
      <c r="V441" s="1" t="str">
        <f>IFERROR(__xludf.DUMMYFUNCTION("""COMPUTED_VALUE"""),"Marie Mordeno")</f>
        <v>Marie Mordeno</v>
      </c>
      <c r="W441" s="1" t="str">
        <f>IFERROR(__xludf.DUMMYFUNCTION("""COMPUTED_VALUE"""),"Advanced Billing &amp; Subscriptions")</f>
        <v>Advanced Billing &amp; Subscriptions</v>
      </c>
    </row>
    <row r="442">
      <c r="O442" s="1" t="str">
        <f>IFERROR(__xludf.DUMMYFUNCTION("""COMPUTED_VALUE"""),"2025 Jul")</f>
        <v>2025 Jul</v>
      </c>
      <c r="P442" s="1" t="str">
        <f>IFERROR(__xludf.DUMMYFUNCTION("""COMPUTED_VALUE"""),"High Sensitivity Support")</f>
        <v>High Sensitivity Support</v>
      </c>
      <c r="Q442" s="1" t="str">
        <f>IFERROR(__xludf.DUMMYFUNCTION("""COMPUTED_VALUE"""),"kathlene@canva.com")</f>
        <v>kathlene@canva.com</v>
      </c>
      <c r="R442" s="1" t="str">
        <f>IFERROR(__xludf.DUMMYFUNCTION("""COMPUTED_VALUE"""),"KC Cruz")</f>
        <v>KC Cruz</v>
      </c>
      <c r="S442" s="1">
        <f>IFERROR(__xludf.DUMMYFUNCTION("""COMPUTED_VALUE"""),24.0)</f>
        <v>24</v>
      </c>
      <c r="T442" s="1">
        <f>IFERROR(__xludf.DUMMYFUNCTION("""COMPUTED_VALUE"""),5.42)</f>
        <v>5.42</v>
      </c>
      <c r="U442" s="2">
        <f>IFERROR(__xludf.DUMMYFUNCTION("""COMPUTED_VALUE"""),29.42)</f>
        <v>29.42</v>
      </c>
      <c r="V442" s="1" t="str">
        <f>IFERROR(__xludf.DUMMYFUNCTION("""COMPUTED_VALUE"""),"Xandy Azarcon")</f>
        <v>Xandy Azarcon</v>
      </c>
      <c r="W442" s="1" t="str">
        <f>IFERROR(__xludf.DUMMYFUNCTION("""COMPUTED_VALUE"""),"High Sensitivity Support PH")</f>
        <v>High Sensitivity Support PH</v>
      </c>
    </row>
    <row r="443">
      <c r="O443" s="1" t="str">
        <f>IFERROR(__xludf.DUMMYFUNCTION("""COMPUTED_VALUE"""),"2025 Jul")</f>
        <v>2025 Jul</v>
      </c>
      <c r="P443" s="1" t="str">
        <f>IFERROR(__xludf.DUMMYFUNCTION("""COMPUTED_VALUE"""),"Admin Support")</f>
        <v>Admin Support</v>
      </c>
      <c r="Q443" s="1" t="str">
        <f>IFERROR(__xludf.DUMMYFUNCTION("""COMPUTED_VALUE"""),"kc@canva.com")</f>
        <v>kc@canva.com</v>
      </c>
      <c r="R443" s="1" t="str">
        <f>IFERROR(__xludf.DUMMYFUNCTION("""COMPUTED_VALUE"""),"KC Sacramento")</f>
        <v>KC Sacramento</v>
      </c>
      <c r="S443" s="1">
        <f>IFERROR(__xludf.DUMMYFUNCTION("""COMPUTED_VALUE"""),4.32)</f>
        <v>4.32</v>
      </c>
      <c r="T443" s="1">
        <f>IFERROR(__xludf.DUMMYFUNCTION("""COMPUTED_VALUE"""),9.45)</f>
        <v>9.45</v>
      </c>
      <c r="U443" s="2">
        <f>IFERROR(__xludf.DUMMYFUNCTION("""COMPUTED_VALUE"""),13.77)</f>
        <v>13.77</v>
      </c>
      <c r="V443" s="1" t="str">
        <f>IFERROR(__xludf.DUMMYFUNCTION("""COMPUTED_VALUE"""),"Kelden Laguting")</f>
        <v>Kelden Laguting</v>
      </c>
      <c r="W443" s="1" t="str">
        <f>IFERROR(__xludf.DUMMYFUNCTION("""COMPUTED_VALUE"""),"Admin Omni Support")</f>
        <v>Admin Omni Support</v>
      </c>
    </row>
    <row r="444">
      <c r="O444" s="1" t="str">
        <f>IFERROR(__xludf.DUMMYFUNCTION("""COMPUTED_VALUE"""),"2025 Jul")</f>
        <v>2025 Jul</v>
      </c>
      <c r="P444" s="1" t="str">
        <f>IFERROR(__xludf.DUMMYFUNCTION("""COMPUTED_VALUE"""),"Core Product Support")</f>
        <v>Core Product Support</v>
      </c>
      <c r="Q444" s="1" t="str">
        <f>IFERROR(__xludf.DUMMYFUNCTION("""COMPUTED_VALUE"""),"keisalazar@canva.com")</f>
        <v>keisalazar@canva.com</v>
      </c>
      <c r="R444" s="1" t="str">
        <f>IFERROR(__xludf.DUMMYFUNCTION("""COMPUTED_VALUE"""),"Kei Salazar")</f>
        <v>Kei Salazar</v>
      </c>
      <c r="S444" s="1">
        <f>IFERROR(__xludf.DUMMYFUNCTION("""COMPUTED_VALUE"""),13.67)</f>
        <v>13.67</v>
      </c>
      <c r="T444" s="1">
        <f>IFERROR(__xludf.DUMMYFUNCTION("""COMPUTED_VALUE"""),6.08)</f>
        <v>6.08</v>
      </c>
      <c r="U444" s="2">
        <f>IFERROR(__xludf.DUMMYFUNCTION("""COMPUTED_VALUE"""),19.75)</f>
        <v>19.75</v>
      </c>
      <c r="V444" s="1" t="str">
        <f>IFERROR(__xludf.DUMMYFUNCTION("""COMPUTED_VALUE"""),"Ayza Marie Pascual")</f>
        <v>Ayza Marie Pascual</v>
      </c>
      <c r="W444" s="1" t="str">
        <f>IFERROR(__xludf.DUMMYFUNCTION("""COMPUTED_VALUE"""),"Advanced Billing &amp; Subscriptions")</f>
        <v>Advanced Billing &amp; Subscriptions</v>
      </c>
    </row>
    <row r="445">
      <c r="O445" s="1" t="str">
        <f>IFERROR(__xludf.DUMMYFUNCTION("""COMPUTED_VALUE"""),"2025 Jul")</f>
        <v>2025 Jul</v>
      </c>
      <c r="P445" s="1" t="str">
        <f>IFERROR(__xludf.DUMMYFUNCTION("""COMPUTED_VALUE"""),"Print Support")</f>
        <v>Print Support</v>
      </c>
      <c r="Q445" s="1" t="str">
        <f>IFERROR(__xludf.DUMMYFUNCTION("""COMPUTED_VALUE"""),"kennethgo@canva.com")</f>
        <v>kennethgo@canva.com</v>
      </c>
      <c r="R445" s="1" t="str">
        <f>IFERROR(__xludf.DUMMYFUNCTION("""COMPUTED_VALUE"""),"Kenneth Go")</f>
        <v>Kenneth Go</v>
      </c>
      <c r="S445" s="1">
        <f>IFERROR(__xludf.DUMMYFUNCTION("""COMPUTED_VALUE"""),9.42)</f>
        <v>9.42</v>
      </c>
      <c r="T445" s="1">
        <f>IFERROR(__xludf.DUMMYFUNCTION("""COMPUTED_VALUE"""),6.25)</f>
        <v>6.25</v>
      </c>
      <c r="U445" s="2">
        <f>IFERROR(__xludf.DUMMYFUNCTION("""COMPUTED_VALUE"""),15.67)</f>
        <v>15.67</v>
      </c>
      <c r="V445" s="1" t="str">
        <f>IFERROR(__xludf.DUMMYFUNCTION("""COMPUTED_VALUE"""),"Jan Domingo")</f>
        <v>Jan Domingo</v>
      </c>
      <c r="W445" s="1" t="str">
        <f>IFERROR(__xludf.DUMMYFUNCTION("""COMPUTED_VALUE"""),"Print Design Support")</f>
        <v>Print Design Support</v>
      </c>
    </row>
    <row r="446">
      <c r="O446" s="1" t="str">
        <f>IFERROR(__xludf.DUMMYFUNCTION("""COMPUTED_VALUE"""),"2025 Jul")</f>
        <v>2025 Jul</v>
      </c>
      <c r="P446" s="1" t="str">
        <f>IFERROR(__xludf.DUMMYFUNCTION("""COMPUTED_VALUE"""),"Core Product Support")</f>
        <v>Core Product Support</v>
      </c>
      <c r="Q446" s="1" t="str">
        <f>IFERROR(__xludf.DUMMYFUNCTION("""COMPUTED_VALUE"""),"kevingo@canva.com")</f>
        <v>kevingo@canva.com</v>
      </c>
      <c r="R446" s="1" t="str">
        <f>IFERROR(__xludf.DUMMYFUNCTION("""COMPUTED_VALUE"""),"Kevin Go")</f>
        <v>Kevin Go</v>
      </c>
      <c r="S446" s="1">
        <f>IFERROR(__xludf.DUMMYFUNCTION("""COMPUTED_VALUE"""),12.25)</f>
        <v>12.25</v>
      </c>
      <c r="T446" s="1"/>
      <c r="U446" s="2">
        <f>IFERROR(__xludf.DUMMYFUNCTION("""COMPUTED_VALUE"""),12.25)</f>
        <v>12.25</v>
      </c>
      <c r="V446" s="1" t="str">
        <f>IFERROR(__xludf.DUMMYFUNCTION("""COMPUTED_VALUE"""),"Belle Bentazal")</f>
        <v>Belle Bentazal</v>
      </c>
      <c r="W446" s="1" t="str">
        <f>IFERROR(__xludf.DUMMYFUNCTION("""COMPUTED_VALUE"""),"Advanced Product Support")</f>
        <v>Advanced Product Support</v>
      </c>
    </row>
    <row r="447">
      <c r="O447" s="1" t="str">
        <f>IFERROR(__xludf.DUMMYFUNCTION("""COMPUTED_VALUE"""),"2025 Jul")</f>
        <v>2025 Jul</v>
      </c>
      <c r="P447" s="1" t="str">
        <f>IFERROR(__xludf.DUMMYFUNCTION("""COMPUTED_VALUE"""),"Core Product Support")</f>
        <v>Core Product Support</v>
      </c>
      <c r="Q447" s="1" t="str">
        <f>IFERROR(__xludf.DUMMYFUNCTION("""COMPUTED_VALUE"""),"kevromuga@canva.com")</f>
        <v>kevromuga@canva.com</v>
      </c>
      <c r="R447" s="1" t="str">
        <f>IFERROR(__xludf.DUMMYFUNCTION("""COMPUTED_VALUE"""),"Kevin John Romuga")</f>
        <v>Kevin John Romuga</v>
      </c>
      <c r="S447" s="1">
        <f>IFERROR(__xludf.DUMMYFUNCTION("""COMPUTED_VALUE"""),32.67)</f>
        <v>32.67</v>
      </c>
      <c r="T447" s="1">
        <f>IFERROR(__xludf.DUMMYFUNCTION("""COMPUTED_VALUE"""),11.5)</f>
        <v>11.5</v>
      </c>
      <c r="U447" s="2">
        <f>IFERROR(__xludf.DUMMYFUNCTION("""COMPUTED_VALUE"""),44.17)</f>
        <v>44.17</v>
      </c>
      <c r="V447" s="1" t="str">
        <f>IFERROR(__xludf.DUMMYFUNCTION("""COMPUTED_VALUE"""),"Renette Bok")</f>
        <v>Renette Bok</v>
      </c>
      <c r="W447" s="1" t="str">
        <f>IFERROR(__xludf.DUMMYFUNCTION("""COMPUTED_VALUE"""),"Advanced Billing &amp; Subscriptions")</f>
        <v>Advanced Billing &amp; Subscriptions</v>
      </c>
    </row>
    <row r="448">
      <c r="O448" s="1" t="str">
        <f>IFERROR(__xludf.DUMMYFUNCTION("""COMPUTED_VALUE"""),"2025 Jul")</f>
        <v>2025 Jul</v>
      </c>
      <c r="P448" s="1" t="str">
        <f>IFERROR(__xludf.DUMMYFUNCTION("""COMPUTED_VALUE"""),"Core Product Support")</f>
        <v>Core Product Support</v>
      </c>
      <c r="Q448" s="1" t="str">
        <f>IFERROR(__xludf.DUMMYFUNCTION("""COMPUTED_VALUE"""),"kimmescallado@canva.com")</f>
        <v>kimmescallado@canva.com</v>
      </c>
      <c r="R448" s="1" t="str">
        <f>IFERROR(__xludf.DUMMYFUNCTION("""COMPUTED_VALUE"""),"Kim Mescallado")</f>
        <v>Kim Mescallado</v>
      </c>
      <c r="S448" s="1">
        <f>IFERROR(__xludf.DUMMYFUNCTION("""COMPUTED_VALUE"""),55.75)</f>
        <v>55.75</v>
      </c>
      <c r="T448" s="1">
        <f>IFERROR(__xludf.DUMMYFUNCTION("""COMPUTED_VALUE"""),3.0)</f>
        <v>3</v>
      </c>
      <c r="U448" s="2">
        <f>IFERROR(__xludf.DUMMYFUNCTION("""COMPUTED_VALUE"""),58.75)</f>
        <v>58.75</v>
      </c>
      <c r="V448" s="1" t="str">
        <f>IFERROR(__xludf.DUMMYFUNCTION("""COMPUTED_VALUE"""),"Belle Bentazal")</f>
        <v>Belle Bentazal</v>
      </c>
      <c r="W448" s="1" t="str">
        <f>IFERROR(__xludf.DUMMYFUNCTION("""COMPUTED_VALUE"""),"Advanced Product Support")</f>
        <v>Advanced Product Support</v>
      </c>
    </row>
    <row r="449">
      <c r="O449" s="1" t="str">
        <f>IFERROR(__xludf.DUMMYFUNCTION("""COMPUTED_VALUE"""),"2025 Jul")</f>
        <v>2025 Jul</v>
      </c>
      <c r="P449" s="1" t="str">
        <f>IFERROR(__xludf.DUMMYFUNCTION("""COMPUTED_VALUE"""),"Core Product Support")</f>
        <v>Core Product Support</v>
      </c>
      <c r="Q449" s="1" t="str">
        <f>IFERROR(__xludf.DUMMYFUNCTION("""COMPUTED_VALUE"""),"krisalava@canva.com")</f>
        <v>krisalava@canva.com</v>
      </c>
      <c r="R449" s="1" t="str">
        <f>IFERROR(__xludf.DUMMYFUNCTION("""COMPUTED_VALUE"""),"Kris Alava")</f>
        <v>Kris Alava</v>
      </c>
      <c r="S449" s="1"/>
      <c r="T449" s="1">
        <f>IFERROR(__xludf.DUMMYFUNCTION("""COMPUTED_VALUE"""),6.2)</f>
        <v>6.2</v>
      </c>
      <c r="U449" s="2">
        <f>IFERROR(__xludf.DUMMYFUNCTION("""COMPUTED_VALUE"""),6.2)</f>
        <v>6.2</v>
      </c>
      <c r="V449" s="1" t="str">
        <f>IFERROR(__xludf.DUMMYFUNCTION("""COMPUTED_VALUE"""),"Sieg Ballelos")</f>
        <v>Sieg Ballelos</v>
      </c>
      <c r="W449" s="1" t="str">
        <f>IFERROR(__xludf.DUMMYFUNCTION("""COMPUTED_VALUE"""),"Core Product Support Escalation Team")</f>
        <v>Core Product Support Escalation Team</v>
      </c>
    </row>
    <row r="450">
      <c r="O450" s="1" t="str">
        <f>IFERROR(__xludf.DUMMYFUNCTION("""COMPUTED_VALUE"""),"2025 Jul")</f>
        <v>2025 Jul</v>
      </c>
      <c r="P450" s="1" t="str">
        <f>IFERROR(__xludf.DUMMYFUNCTION("""COMPUTED_VALUE"""),"Core Product Support")</f>
        <v>Core Product Support</v>
      </c>
      <c r="Q450" s="1" t="str">
        <f>IFERROR(__xludf.DUMMYFUNCTION("""COMPUTED_VALUE"""),"kylep@canva.com")</f>
        <v>kylep@canva.com</v>
      </c>
      <c r="R450" s="1" t="str">
        <f>IFERROR(__xludf.DUMMYFUNCTION("""COMPUTED_VALUE"""),"Kyle Pajarillo")</f>
        <v>Kyle Pajarillo</v>
      </c>
      <c r="S450" s="1">
        <f>IFERROR(__xludf.DUMMYFUNCTION("""COMPUTED_VALUE"""),32.25)</f>
        <v>32.25</v>
      </c>
      <c r="T450" s="1">
        <f>IFERROR(__xludf.DUMMYFUNCTION("""COMPUTED_VALUE"""),6.5)</f>
        <v>6.5</v>
      </c>
      <c r="U450" s="2">
        <f>IFERROR(__xludf.DUMMYFUNCTION("""COMPUTED_VALUE"""),38.75)</f>
        <v>38.75</v>
      </c>
      <c r="V450" s="1" t="str">
        <f>IFERROR(__xludf.DUMMYFUNCTION("""COMPUTED_VALUE"""),"Marie Mordeno")</f>
        <v>Marie Mordeno</v>
      </c>
      <c r="W450" s="1" t="str">
        <f>IFERROR(__xludf.DUMMYFUNCTION("""COMPUTED_VALUE"""),"Advanced Billing &amp; Subscriptions")</f>
        <v>Advanced Billing &amp; Subscriptions</v>
      </c>
    </row>
    <row r="451">
      <c r="O451" s="1" t="str">
        <f>IFERROR(__xludf.DUMMYFUNCTION("""COMPUTED_VALUE"""),"2025 Jul")</f>
        <v>2025 Jul</v>
      </c>
      <c r="P451" s="1" t="str">
        <f>IFERROR(__xludf.DUMMYFUNCTION("""COMPUTED_VALUE"""),"Core Product Support")</f>
        <v>Core Product Support</v>
      </c>
      <c r="Q451" s="1" t="str">
        <f>IFERROR(__xludf.DUMMYFUNCTION("""COMPUTED_VALUE"""),"lailav@canva.com")</f>
        <v>lailav@canva.com</v>
      </c>
      <c r="R451" s="1" t="str">
        <f>IFERROR(__xludf.DUMMYFUNCTION("""COMPUTED_VALUE"""),"Laila Villamor")</f>
        <v>Laila Villamor</v>
      </c>
      <c r="S451" s="1">
        <f>IFERROR(__xludf.DUMMYFUNCTION("""COMPUTED_VALUE"""),35.53)</f>
        <v>35.53</v>
      </c>
      <c r="T451" s="1">
        <f>IFERROR(__xludf.DUMMYFUNCTION("""COMPUTED_VALUE"""),15.92)</f>
        <v>15.92</v>
      </c>
      <c r="U451" s="2">
        <f>IFERROR(__xludf.DUMMYFUNCTION("""COMPUTED_VALUE"""),51.45)</f>
        <v>51.45</v>
      </c>
      <c r="V451" s="1" t="str">
        <f>IFERROR(__xludf.DUMMYFUNCTION("""COMPUTED_VALUE"""),"Jahmie Mae Barrameda")</f>
        <v>Jahmie Mae Barrameda</v>
      </c>
      <c r="W451" s="1" t="str">
        <f>IFERROR(__xludf.DUMMYFUNCTION("""COMPUTED_VALUE"""),"Advanced Billing &amp; Subscriptions")</f>
        <v>Advanced Billing &amp; Subscriptions</v>
      </c>
    </row>
    <row r="452">
      <c r="O452" s="1" t="str">
        <f>IFERROR(__xludf.DUMMYFUNCTION("""COMPUTED_VALUE"""),"2025 Jul")</f>
        <v>2025 Jul</v>
      </c>
      <c r="P452" s="1" t="str">
        <f>IFERROR(__xludf.DUMMYFUNCTION("""COMPUTED_VALUE"""),"Print Support")</f>
        <v>Print Support</v>
      </c>
      <c r="Q452" s="1" t="str">
        <f>IFERROR(__xludf.DUMMYFUNCTION("""COMPUTED_VALUE"""),"lancer@canva.com")</f>
        <v>lancer@canva.com</v>
      </c>
      <c r="R452" s="1" t="str">
        <f>IFERROR(__xludf.DUMMYFUNCTION("""COMPUTED_VALUE"""),"Lance Guevarra")</f>
        <v>Lance Guevarra</v>
      </c>
      <c r="S452" s="1">
        <f>IFERROR(__xludf.DUMMYFUNCTION("""COMPUTED_VALUE"""),9.83)</f>
        <v>9.83</v>
      </c>
      <c r="T452" s="1">
        <f>IFERROR(__xludf.DUMMYFUNCTION("""COMPUTED_VALUE"""),44.33)</f>
        <v>44.33</v>
      </c>
      <c r="U452" s="2">
        <f>IFERROR(__xludf.DUMMYFUNCTION("""COMPUTED_VALUE"""),54.16)</f>
        <v>54.16</v>
      </c>
      <c r="V452" s="1" t="str">
        <f>IFERROR(__xludf.DUMMYFUNCTION("""COMPUTED_VALUE"""),"Jen Momo")</f>
        <v>Jen Momo</v>
      </c>
      <c r="W452" s="1" t="str">
        <f>IFERROR(__xludf.DUMMYFUNCTION("""COMPUTED_VALUE"""),"Print Support PH")</f>
        <v>Print Support PH</v>
      </c>
    </row>
    <row r="453">
      <c r="O453" s="1" t="str">
        <f>IFERROR(__xludf.DUMMYFUNCTION("""COMPUTED_VALUE"""),"2025 Jul")</f>
        <v>2025 Jul</v>
      </c>
      <c r="P453" s="1" t="str">
        <f>IFERROR(__xludf.DUMMYFUNCTION("""COMPUTED_VALUE"""),"Segment-specific Support")</f>
        <v>Segment-specific Support</v>
      </c>
      <c r="Q453" s="1" t="str">
        <f>IFERROR(__xludf.DUMMYFUNCTION("""COMPUTED_VALUE"""),"lance@canva.com")</f>
        <v>lance@canva.com</v>
      </c>
      <c r="R453" s="1" t="str">
        <f>IFERROR(__xludf.DUMMYFUNCTION("""COMPUTED_VALUE"""),"Lance Reyes")</f>
        <v>Lance Reyes</v>
      </c>
      <c r="S453" s="1">
        <f>IFERROR(__xludf.DUMMYFUNCTION("""COMPUTED_VALUE"""),6.0)</f>
        <v>6</v>
      </c>
      <c r="T453" s="1">
        <f>IFERROR(__xludf.DUMMYFUNCTION("""COMPUTED_VALUE"""),2.83)</f>
        <v>2.83</v>
      </c>
      <c r="U453" s="2">
        <f>IFERROR(__xludf.DUMMYFUNCTION("""COMPUTED_VALUE"""),8.83)</f>
        <v>8.83</v>
      </c>
      <c r="V453" s="1" t="str">
        <f>IFERROR(__xludf.DUMMYFUNCTION("""COMPUTED_VALUE"""),"Gucci Nava")</f>
        <v>Gucci Nava</v>
      </c>
      <c r="W453" s="1" t="str">
        <f>IFERROR(__xludf.DUMMYFUNCTION("""COMPUTED_VALUE"""),"Affinity Support")</f>
        <v>Affinity Support</v>
      </c>
    </row>
    <row r="454">
      <c r="O454" s="1" t="str">
        <f>IFERROR(__xludf.DUMMYFUNCTION("""COMPUTED_VALUE"""),"2025 Jul")</f>
        <v>2025 Jul</v>
      </c>
      <c r="P454" s="1" t="str">
        <f>IFERROR(__xludf.DUMMYFUNCTION("""COMPUTED_VALUE"""),"Admin Support")</f>
        <v>Admin Support</v>
      </c>
      <c r="Q454" s="1" t="str">
        <f>IFERROR(__xludf.DUMMYFUNCTION("""COMPUTED_VALUE"""),"le@canva.com")</f>
        <v>le@canva.com</v>
      </c>
      <c r="R454" s="1" t="str">
        <f>IFERROR(__xludf.DUMMYFUNCTION("""COMPUTED_VALUE"""),"Lean Cruda")</f>
        <v>Lean Cruda</v>
      </c>
      <c r="S454" s="1">
        <f>IFERROR(__xludf.DUMMYFUNCTION("""COMPUTED_VALUE"""),32.75)</f>
        <v>32.75</v>
      </c>
      <c r="T454" s="1">
        <f>IFERROR(__xludf.DUMMYFUNCTION("""COMPUTED_VALUE"""),4.0)</f>
        <v>4</v>
      </c>
      <c r="U454" s="2">
        <f>IFERROR(__xludf.DUMMYFUNCTION("""COMPUTED_VALUE"""),36.75)</f>
        <v>36.75</v>
      </c>
      <c r="V454" s="1" t="str">
        <f>IFERROR(__xludf.DUMMYFUNCTION("""COMPUTED_VALUE"""),"Karla Mananghaya")</f>
        <v>Karla Mananghaya</v>
      </c>
      <c r="W454" s="1" t="str">
        <f>IFERROR(__xludf.DUMMYFUNCTION("""COMPUTED_VALUE"""),"Admin Support Service Escalation Team")</f>
        <v>Admin Support Service Escalation Team</v>
      </c>
    </row>
    <row r="455">
      <c r="O455" s="1" t="str">
        <f>IFERROR(__xludf.DUMMYFUNCTION("""COMPUTED_VALUE"""),"2025 Jul")</f>
        <v>2025 Jul</v>
      </c>
      <c r="P455" s="1" t="str">
        <f>IFERROR(__xludf.DUMMYFUNCTION("""COMPUTED_VALUE"""),"High Sensitivity Support")</f>
        <v>High Sensitivity Support</v>
      </c>
      <c r="Q455" s="1" t="str">
        <f>IFERROR(__xludf.DUMMYFUNCTION("""COMPUTED_VALUE"""),"leanp@canva.com")</f>
        <v>leanp@canva.com</v>
      </c>
      <c r="R455" s="1" t="str">
        <f>IFERROR(__xludf.DUMMYFUNCTION("""COMPUTED_VALUE"""),"Lean Reyes")</f>
        <v>Lean Reyes</v>
      </c>
      <c r="S455" s="1"/>
      <c r="T455" s="1">
        <f>IFERROR(__xludf.DUMMYFUNCTION("""COMPUTED_VALUE"""),4.95)</f>
        <v>4.95</v>
      </c>
      <c r="U455" s="2">
        <f>IFERROR(__xludf.DUMMYFUNCTION("""COMPUTED_VALUE"""),4.95)</f>
        <v>4.95</v>
      </c>
      <c r="V455" s="1" t="str">
        <f>IFERROR(__xludf.DUMMYFUNCTION("""COMPUTED_VALUE"""),"Issi Afable")</f>
        <v>Issi Afable</v>
      </c>
      <c r="W455" s="1" t="str">
        <f>IFERROR(__xludf.DUMMYFUNCTION("""COMPUTED_VALUE"""),"High Sensitivity Support PH")</f>
        <v>High Sensitivity Support PH</v>
      </c>
    </row>
    <row r="456">
      <c r="O456" s="1" t="str">
        <f>IFERROR(__xludf.DUMMYFUNCTION("""COMPUTED_VALUE"""),"2025 Jul")</f>
        <v>2025 Jul</v>
      </c>
      <c r="P456" s="1" t="str">
        <f>IFERROR(__xludf.DUMMYFUNCTION("""COMPUTED_VALUE"""),"Print Support")</f>
        <v>Print Support</v>
      </c>
      <c r="Q456" s="1" t="str">
        <f>IFERROR(__xludf.DUMMYFUNCTION("""COMPUTED_VALUE"""),"larce@canva.com")</f>
        <v>larce@canva.com</v>
      </c>
      <c r="R456" s="1" t="str">
        <f>IFERROR(__xludf.DUMMYFUNCTION("""COMPUTED_VALUE"""),"Lee Arce")</f>
        <v>Lee Arce</v>
      </c>
      <c r="S456" s="1">
        <f>IFERROR(__xludf.DUMMYFUNCTION("""COMPUTED_VALUE"""),11.42)</f>
        <v>11.42</v>
      </c>
      <c r="T456" s="1">
        <f>IFERROR(__xludf.DUMMYFUNCTION("""COMPUTED_VALUE"""),6.58)</f>
        <v>6.58</v>
      </c>
      <c r="U456" s="2">
        <f>IFERROR(__xludf.DUMMYFUNCTION("""COMPUTED_VALUE"""),18.0)</f>
        <v>18</v>
      </c>
      <c r="V456" s="1" t="str">
        <f>IFERROR(__xludf.DUMMYFUNCTION("""COMPUTED_VALUE"""),"Althea Mercado")</f>
        <v>Althea Mercado</v>
      </c>
      <c r="W456" s="1" t="str">
        <f>IFERROR(__xludf.DUMMYFUNCTION("""COMPUTED_VALUE"""),"Print Support PH")</f>
        <v>Print Support PH</v>
      </c>
    </row>
    <row r="457">
      <c r="O457" s="1" t="str">
        <f>IFERROR(__xludf.DUMMYFUNCTION("""COMPUTED_VALUE"""),"2025 Jul")</f>
        <v>2025 Jul</v>
      </c>
      <c r="P457" s="1" t="str">
        <f>IFERROR(__xludf.DUMMYFUNCTION("""COMPUTED_VALUE"""),"Core Product Support")</f>
        <v>Core Product Support</v>
      </c>
      <c r="Q457" s="1" t="str">
        <f>IFERROR(__xludf.DUMMYFUNCTION("""COMPUTED_VALUE"""),"leilanie@canva.com")</f>
        <v>leilanie@canva.com</v>
      </c>
      <c r="R457" s="1" t="str">
        <f>IFERROR(__xludf.DUMMYFUNCTION("""COMPUTED_VALUE"""),"Lei Gratuito")</f>
        <v>Lei Gratuito</v>
      </c>
      <c r="S457" s="1">
        <f>IFERROR(__xludf.DUMMYFUNCTION("""COMPUTED_VALUE"""),40.25)</f>
        <v>40.25</v>
      </c>
      <c r="T457" s="1">
        <f>IFERROR(__xludf.DUMMYFUNCTION("""COMPUTED_VALUE"""),14.75)</f>
        <v>14.75</v>
      </c>
      <c r="U457" s="2">
        <f>IFERROR(__xludf.DUMMYFUNCTION("""COMPUTED_VALUE"""),55.0)</f>
        <v>55</v>
      </c>
      <c r="V457" s="1" t="str">
        <f>IFERROR(__xludf.DUMMYFUNCTION("""COMPUTED_VALUE"""),"Renette Bok")</f>
        <v>Renette Bok</v>
      </c>
      <c r="W457" s="1" t="str">
        <f>IFERROR(__xludf.DUMMYFUNCTION("""COMPUTED_VALUE"""),"Advanced Billing &amp; Subscriptions")</f>
        <v>Advanced Billing &amp; Subscriptions</v>
      </c>
    </row>
    <row r="458">
      <c r="O458" s="1" t="str">
        <f>IFERROR(__xludf.DUMMYFUNCTION("""COMPUTED_VALUE"""),"2025 Jul")</f>
        <v>2025 Jul</v>
      </c>
      <c r="P458" s="1" t="str">
        <f>IFERROR(__xludf.DUMMYFUNCTION("""COMPUTED_VALUE"""),"Core Product Support")</f>
        <v>Core Product Support</v>
      </c>
      <c r="Q458" s="1" t="str">
        <f>IFERROR(__xludf.DUMMYFUNCTION("""COMPUTED_VALUE"""),"leonard@canva.com")</f>
        <v>leonard@canva.com</v>
      </c>
      <c r="R458" s="1" t="str">
        <f>IFERROR(__xludf.DUMMYFUNCTION("""COMPUTED_VALUE"""),"Leonard Baguio")</f>
        <v>Leonard Baguio</v>
      </c>
      <c r="S458" s="1">
        <f>IFERROR(__xludf.DUMMYFUNCTION("""COMPUTED_VALUE"""),22.5)</f>
        <v>22.5</v>
      </c>
      <c r="T458" s="1">
        <f>IFERROR(__xludf.DUMMYFUNCTION("""COMPUTED_VALUE"""),125.25)</f>
        <v>125.25</v>
      </c>
      <c r="U458" s="2">
        <f>IFERROR(__xludf.DUMMYFUNCTION("""COMPUTED_VALUE"""),147.75)</f>
        <v>147.75</v>
      </c>
      <c r="V458" s="1" t="str">
        <f>IFERROR(__xludf.DUMMYFUNCTION("""COMPUTED_VALUE"""),"Jelyn Elmido")</f>
        <v>Jelyn Elmido</v>
      </c>
      <c r="W458" s="1" t="str">
        <f>IFERROR(__xludf.DUMMYFUNCTION("""COMPUTED_VALUE"""),"Core Product Support Escalation Team")</f>
        <v>Core Product Support Escalation Team</v>
      </c>
    </row>
    <row r="459">
      <c r="O459" s="1" t="str">
        <f>IFERROR(__xludf.DUMMYFUNCTION("""COMPUTED_VALUE"""),"2025 Jul")</f>
        <v>2025 Jul</v>
      </c>
      <c r="P459" s="1" t="str">
        <f>IFERROR(__xludf.DUMMYFUNCTION("""COMPUTED_VALUE"""),"Print Support")</f>
        <v>Print Support</v>
      </c>
      <c r="Q459" s="1" t="str">
        <f>IFERROR(__xludf.DUMMYFUNCTION("""COMPUTED_VALUE"""),"anneharriet@canva.com")</f>
        <v>anneharriet@canva.com</v>
      </c>
      <c r="R459" s="1" t="str">
        <f>IFERROR(__xludf.DUMMYFUNCTION("""COMPUTED_VALUE"""),"Leslie Anne Gilua")</f>
        <v>Leslie Anne Gilua</v>
      </c>
      <c r="S459" s="1">
        <f>IFERROR(__xludf.DUMMYFUNCTION("""COMPUTED_VALUE"""),9.38)</f>
        <v>9.38</v>
      </c>
      <c r="T459" s="1">
        <f>IFERROR(__xludf.DUMMYFUNCTION("""COMPUTED_VALUE"""),2.75)</f>
        <v>2.75</v>
      </c>
      <c r="U459" s="2">
        <f>IFERROR(__xludf.DUMMYFUNCTION("""COMPUTED_VALUE"""),12.13)</f>
        <v>12.13</v>
      </c>
      <c r="V459" s="1" t="str">
        <f>IFERROR(__xludf.DUMMYFUNCTION("""COMPUTED_VALUE"""),"Louise Dianne Estrella")</f>
        <v>Louise Dianne Estrella</v>
      </c>
      <c r="W459" s="1" t="str">
        <f>IFERROR(__xludf.DUMMYFUNCTION("""COMPUTED_VALUE"""),"Print Support PH")</f>
        <v>Print Support PH</v>
      </c>
    </row>
    <row r="460">
      <c r="O460" s="1" t="str">
        <f>IFERROR(__xludf.DUMMYFUNCTION("""COMPUTED_VALUE"""),"2025 Jul")</f>
        <v>2025 Jul</v>
      </c>
      <c r="P460" s="1" t="str">
        <f>IFERROR(__xludf.DUMMYFUNCTION("""COMPUTED_VALUE"""),"Core Product Support")</f>
        <v>Core Product Support</v>
      </c>
      <c r="Q460" s="1" t="str">
        <f>IFERROR(__xludf.DUMMYFUNCTION("""COMPUTED_VALUE"""),"lewisjarvin@canva.com")</f>
        <v>lewisjarvin@canva.com</v>
      </c>
      <c r="R460" s="1" t="str">
        <f>IFERROR(__xludf.DUMMYFUNCTION("""COMPUTED_VALUE"""),"Lewis Ramirez")</f>
        <v>Lewis Ramirez</v>
      </c>
      <c r="S460" s="1">
        <f>IFERROR(__xludf.DUMMYFUNCTION("""COMPUTED_VALUE"""),7.0)</f>
        <v>7</v>
      </c>
      <c r="T460" s="1">
        <f>IFERROR(__xludf.DUMMYFUNCTION("""COMPUTED_VALUE"""),0.5)</f>
        <v>0.5</v>
      </c>
      <c r="U460" s="2">
        <f>IFERROR(__xludf.DUMMYFUNCTION("""COMPUTED_VALUE"""),7.5)</f>
        <v>7.5</v>
      </c>
      <c r="V460" s="1" t="str">
        <f>IFERROR(__xludf.DUMMYFUNCTION("""COMPUTED_VALUE"""),"Mikhaela Decangchon")</f>
        <v>Mikhaela Decangchon</v>
      </c>
      <c r="W460" s="1" t="str">
        <f>IFERROR(__xludf.DUMMYFUNCTION("""COMPUTED_VALUE"""),"Advanced Product Support")</f>
        <v>Advanced Product Support</v>
      </c>
    </row>
    <row r="461">
      <c r="O461" s="1" t="str">
        <f>IFERROR(__xludf.DUMMYFUNCTION("""COMPUTED_VALUE"""),"2025 Jul")</f>
        <v>2025 Jul</v>
      </c>
      <c r="P461" s="1" t="str">
        <f>IFERROR(__xludf.DUMMYFUNCTION("""COMPUTED_VALUE"""),"Segment-specific Support")</f>
        <v>Segment-specific Support</v>
      </c>
      <c r="Q461" s="1" t="str">
        <f>IFERROR(__xludf.DUMMYFUNCTION("""COMPUTED_VALUE"""),"liabaclay@canva.com")</f>
        <v>liabaclay@canva.com</v>
      </c>
      <c r="R461" s="1" t="str">
        <f>IFERROR(__xludf.DUMMYFUNCTION("""COMPUTED_VALUE"""),"Lia Baclay")</f>
        <v>Lia Baclay</v>
      </c>
      <c r="S461" s="1">
        <f>IFERROR(__xludf.DUMMYFUNCTION("""COMPUTED_VALUE"""),1.25)</f>
        <v>1.25</v>
      </c>
      <c r="T461" s="1">
        <f>IFERROR(__xludf.DUMMYFUNCTION("""COMPUTED_VALUE"""),5.0)</f>
        <v>5</v>
      </c>
      <c r="U461" s="2">
        <f>IFERROR(__xludf.DUMMYFUNCTION("""COMPUTED_VALUE"""),6.25)</f>
        <v>6.25</v>
      </c>
      <c r="V461" s="1" t="str">
        <f>IFERROR(__xludf.DUMMYFUNCTION("""COMPUTED_VALUE"""),"Rose Gabilan")</f>
        <v>Rose Gabilan</v>
      </c>
      <c r="W461" s="1" t="str">
        <f>IFERROR(__xludf.DUMMYFUNCTION("""COMPUTED_VALUE"""),"Affinity Support")</f>
        <v>Affinity Support</v>
      </c>
    </row>
    <row r="462">
      <c r="O462" s="1" t="str">
        <f>IFERROR(__xludf.DUMMYFUNCTION("""COMPUTED_VALUE"""),"2025 Jul")</f>
        <v>2025 Jul</v>
      </c>
      <c r="P462" s="1" t="str">
        <f>IFERROR(__xludf.DUMMYFUNCTION("""COMPUTED_VALUE"""),"Segment-specific Support")</f>
        <v>Segment-specific Support</v>
      </c>
      <c r="Q462" s="1" t="str">
        <f>IFERROR(__xludf.DUMMYFUNCTION("""COMPUTED_VALUE"""),"liberty@canva.com")</f>
        <v>liberty@canva.com</v>
      </c>
      <c r="R462" s="1" t="str">
        <f>IFERROR(__xludf.DUMMYFUNCTION("""COMPUTED_VALUE"""),"Liberty Casala")</f>
        <v>Liberty Casala</v>
      </c>
      <c r="S462" s="1">
        <f>IFERROR(__xludf.DUMMYFUNCTION("""COMPUTED_VALUE"""),6.7)</f>
        <v>6.7</v>
      </c>
      <c r="T462" s="1">
        <f>IFERROR(__xludf.DUMMYFUNCTION("""COMPUTED_VALUE"""),3.75)</f>
        <v>3.75</v>
      </c>
      <c r="U462" s="2">
        <f>IFERROR(__xludf.DUMMYFUNCTION("""COMPUTED_VALUE"""),10.45)</f>
        <v>10.45</v>
      </c>
      <c r="V462" s="1" t="str">
        <f>IFERROR(__xludf.DUMMYFUNCTION("""COMPUTED_VALUE"""),"Gucci Nava")</f>
        <v>Gucci Nava</v>
      </c>
      <c r="W462" s="1" t="str">
        <f>IFERROR(__xludf.DUMMYFUNCTION("""COMPUTED_VALUE"""),"Print Support PH")</f>
        <v>Print Support PH</v>
      </c>
    </row>
    <row r="463">
      <c r="O463" s="1" t="str">
        <f>IFERROR(__xludf.DUMMYFUNCTION("""COMPUTED_VALUE"""),"2025 Jul")</f>
        <v>2025 Jul</v>
      </c>
      <c r="P463" s="1" t="str">
        <f>IFERROR(__xludf.DUMMYFUNCTION("""COMPUTED_VALUE"""),"Print Support")</f>
        <v>Print Support</v>
      </c>
      <c r="Q463" s="1" t="str">
        <f>IFERROR(__xludf.DUMMYFUNCTION("""COMPUTED_VALUE"""),"loise@canva.com")</f>
        <v>loise@canva.com</v>
      </c>
      <c r="R463" s="1" t="str">
        <f>IFERROR(__xludf.DUMMYFUNCTION("""COMPUTED_VALUE"""),"Loise Dela Cruz")</f>
        <v>Loise Dela Cruz</v>
      </c>
      <c r="S463" s="1">
        <f>IFERROR(__xludf.DUMMYFUNCTION("""COMPUTED_VALUE"""),6.92)</f>
        <v>6.92</v>
      </c>
      <c r="T463" s="1">
        <f>IFERROR(__xludf.DUMMYFUNCTION("""COMPUTED_VALUE"""),6.5)</f>
        <v>6.5</v>
      </c>
      <c r="U463" s="2">
        <f>IFERROR(__xludf.DUMMYFUNCTION("""COMPUTED_VALUE"""),13.42)</f>
        <v>13.42</v>
      </c>
      <c r="V463" s="1" t="str">
        <f>IFERROR(__xludf.DUMMYFUNCTION("""COMPUTED_VALUE"""),"Aliza Dote")</f>
        <v>Aliza Dote</v>
      </c>
      <c r="W463" s="1" t="str">
        <f>IFERROR(__xludf.DUMMYFUNCTION("""COMPUTED_VALUE"""),"Print Design Support")</f>
        <v>Print Design Support</v>
      </c>
    </row>
    <row r="464">
      <c r="O464" s="1" t="str">
        <f>IFERROR(__xludf.DUMMYFUNCTION("""COMPUTED_VALUE"""),"2025 Jul")</f>
        <v>2025 Jul</v>
      </c>
      <c r="P464" s="1" t="str">
        <f>IFERROR(__xludf.DUMMYFUNCTION("""COMPUTED_VALUE"""),"Core Product Support")</f>
        <v>Core Product Support</v>
      </c>
      <c r="Q464" s="1" t="str">
        <f>IFERROR(__xludf.DUMMYFUNCTION("""COMPUTED_VALUE"""),"loudv@canva.com")</f>
        <v>loudv@canva.com</v>
      </c>
      <c r="R464" s="1" t="str">
        <f>IFERROR(__xludf.DUMMYFUNCTION("""COMPUTED_VALUE"""),"Louieline Dela Vega")</f>
        <v>Louieline Dela Vega</v>
      </c>
      <c r="S464" s="1">
        <f>IFERROR(__xludf.DUMMYFUNCTION("""COMPUTED_VALUE"""),38.88)</f>
        <v>38.88</v>
      </c>
      <c r="T464" s="1">
        <f>IFERROR(__xludf.DUMMYFUNCTION("""COMPUTED_VALUE"""),12.5)</f>
        <v>12.5</v>
      </c>
      <c r="U464" s="2">
        <f>IFERROR(__xludf.DUMMYFUNCTION("""COMPUTED_VALUE"""),51.38)</f>
        <v>51.38</v>
      </c>
      <c r="V464" s="1" t="str">
        <f>IFERROR(__xludf.DUMMYFUNCTION("""COMPUTED_VALUE"""),"Jahmie Mae Barrameda")</f>
        <v>Jahmie Mae Barrameda</v>
      </c>
      <c r="W464" s="1" t="str">
        <f>IFERROR(__xludf.DUMMYFUNCTION("""COMPUTED_VALUE"""),"Advanced Billing &amp; Subscriptions")</f>
        <v>Advanced Billing &amp; Subscriptions</v>
      </c>
    </row>
    <row r="465">
      <c r="O465" s="1" t="str">
        <f>IFERROR(__xludf.DUMMYFUNCTION("""COMPUTED_VALUE"""),"2025 Jul")</f>
        <v>2025 Jul</v>
      </c>
      <c r="P465" s="1" t="str">
        <f>IFERROR(__xludf.DUMMYFUNCTION("""COMPUTED_VALUE"""),"Core Product Support")</f>
        <v>Core Product Support</v>
      </c>
      <c r="Q465" s="1" t="str">
        <f>IFERROR(__xludf.DUMMYFUNCTION("""COMPUTED_VALUE"""),"lovejoyce@canva.com")</f>
        <v>lovejoyce@canva.com</v>
      </c>
      <c r="R465" s="1" t="str">
        <f>IFERROR(__xludf.DUMMYFUNCTION("""COMPUTED_VALUE"""),"Love Joyce Pasagui")</f>
        <v>Love Joyce Pasagui</v>
      </c>
      <c r="S465" s="1">
        <f>IFERROR(__xludf.DUMMYFUNCTION("""COMPUTED_VALUE"""),21.0)</f>
        <v>21</v>
      </c>
      <c r="T465" s="1">
        <f>IFERROR(__xludf.DUMMYFUNCTION("""COMPUTED_VALUE"""),21.0)</f>
        <v>21</v>
      </c>
      <c r="U465" s="2">
        <f>IFERROR(__xludf.DUMMYFUNCTION("""COMPUTED_VALUE"""),42.0)</f>
        <v>42</v>
      </c>
      <c r="V465" s="1" t="str">
        <f>IFERROR(__xludf.DUMMYFUNCTION("""COMPUTED_VALUE"""),"Jelyn Elmido")</f>
        <v>Jelyn Elmido</v>
      </c>
      <c r="W465" s="1" t="str">
        <f>IFERROR(__xludf.DUMMYFUNCTION("""COMPUTED_VALUE"""),"Core Product Support Escalation Team")</f>
        <v>Core Product Support Escalation Team</v>
      </c>
    </row>
    <row r="466">
      <c r="O466" s="1" t="str">
        <f>IFERROR(__xludf.DUMMYFUNCTION("""COMPUTED_VALUE"""),"2025 Jul")</f>
        <v>2025 Jul</v>
      </c>
      <c r="P466" s="1" t="str">
        <f>IFERROR(__xludf.DUMMYFUNCTION("""COMPUTED_VALUE"""),"Print Support")</f>
        <v>Print Support</v>
      </c>
      <c r="Q466" s="1" t="str">
        <f>IFERROR(__xludf.DUMMYFUNCTION("""COMPUTED_VALUE"""),"rlsalomia@canva.com")</f>
        <v>rlsalomia@canva.com</v>
      </c>
      <c r="R466" s="1" t="str">
        <f>IFERROR(__xludf.DUMMYFUNCTION("""COMPUTED_VALUE"""),"Luis Salomia")</f>
        <v>Luis Salomia</v>
      </c>
      <c r="S466" s="1">
        <f>IFERROR(__xludf.DUMMYFUNCTION("""COMPUTED_VALUE"""),7.5)</f>
        <v>7.5</v>
      </c>
      <c r="T466" s="1">
        <f>IFERROR(__xludf.DUMMYFUNCTION("""COMPUTED_VALUE"""),2.75)</f>
        <v>2.75</v>
      </c>
      <c r="U466" s="2">
        <f>IFERROR(__xludf.DUMMYFUNCTION("""COMPUTED_VALUE"""),10.25)</f>
        <v>10.25</v>
      </c>
      <c r="V466" s="1" t="str">
        <f>IFERROR(__xludf.DUMMYFUNCTION("""COMPUTED_VALUE"""),"Louise Dianne Estrella")</f>
        <v>Louise Dianne Estrella</v>
      </c>
      <c r="W466" s="1" t="str">
        <f>IFERROR(__xludf.DUMMYFUNCTION("""COMPUTED_VALUE"""),"Print Support PH")</f>
        <v>Print Support PH</v>
      </c>
    </row>
    <row r="467">
      <c r="O467" s="1" t="str">
        <f>IFERROR(__xludf.DUMMYFUNCTION("""COMPUTED_VALUE"""),"2025 Jul")</f>
        <v>2025 Jul</v>
      </c>
      <c r="P467" s="1" t="str">
        <f>IFERROR(__xludf.DUMMYFUNCTION("""COMPUTED_VALUE"""),"#N/A")</f>
        <v>#N/A</v>
      </c>
      <c r="Q467" s="1" t="str">
        <f>IFERROR(__xludf.DUMMYFUNCTION("""COMPUTED_VALUE"""),"luiza@canva.com")</f>
        <v>luiza@canva.com</v>
      </c>
      <c r="R467" s="1" t="str">
        <f>IFERROR(__xludf.DUMMYFUNCTION("""COMPUTED_VALUE"""),"Luiza Abalos")</f>
        <v>Luiza Abalos</v>
      </c>
      <c r="S467" s="1">
        <f>IFERROR(__xludf.DUMMYFUNCTION("""COMPUTED_VALUE"""),24.57)</f>
        <v>24.57</v>
      </c>
      <c r="T467" s="1">
        <f>IFERROR(__xludf.DUMMYFUNCTION("""COMPUTED_VALUE"""),6.75)</f>
        <v>6.75</v>
      </c>
      <c r="U467" s="2">
        <f>IFERROR(__xludf.DUMMYFUNCTION("""COMPUTED_VALUE"""),31.32)</f>
        <v>31.32</v>
      </c>
      <c r="V467" s="1" t="str">
        <f>IFERROR(__xludf.DUMMYFUNCTION("""COMPUTED_VALUE"""),"#N/A")</f>
        <v>#N/A</v>
      </c>
      <c r="W467" s="1" t="str">
        <f>IFERROR(__xludf.DUMMYFUNCTION("""COMPUTED_VALUE"""),"#N/A")</f>
        <v>#N/A</v>
      </c>
    </row>
    <row r="468">
      <c r="O468" s="1" t="str">
        <f>IFERROR(__xludf.DUMMYFUNCTION("""COMPUTED_VALUE"""),"2025 Jul")</f>
        <v>2025 Jul</v>
      </c>
      <c r="P468" s="1" t="str">
        <f>IFERROR(__xludf.DUMMYFUNCTION("""COMPUTED_VALUE"""),"Admin Support")</f>
        <v>Admin Support</v>
      </c>
      <c r="Q468" s="1" t="str">
        <f>IFERROR(__xludf.DUMMYFUNCTION("""COMPUTED_VALUE"""),"lyzdr@canva.com")</f>
        <v>lyzdr@canva.com</v>
      </c>
      <c r="R468" s="1" t="str">
        <f>IFERROR(__xludf.DUMMYFUNCTION("""COMPUTED_VALUE"""),"Lyzza Del Rosario")</f>
        <v>Lyzza Del Rosario</v>
      </c>
      <c r="S468" s="1">
        <f>IFERROR(__xludf.DUMMYFUNCTION("""COMPUTED_VALUE"""),3.0)</f>
        <v>3</v>
      </c>
      <c r="T468" s="1">
        <f>IFERROR(__xludf.DUMMYFUNCTION("""COMPUTED_VALUE"""),4.25)</f>
        <v>4.25</v>
      </c>
      <c r="U468" s="2">
        <f>IFERROR(__xludf.DUMMYFUNCTION("""COMPUTED_VALUE"""),7.25)</f>
        <v>7.25</v>
      </c>
      <c r="V468" s="1" t="str">
        <f>IFERROR(__xludf.DUMMYFUNCTION("""COMPUTED_VALUE"""),"Ann Dumlao")</f>
        <v>Ann Dumlao</v>
      </c>
      <c r="W468" s="1" t="str">
        <f>IFERROR(__xludf.DUMMYFUNCTION("""COMPUTED_VALUE"""),"Admin Omni Support")</f>
        <v>Admin Omni Support</v>
      </c>
    </row>
    <row r="469">
      <c r="O469" s="1" t="str">
        <f>IFERROR(__xludf.DUMMYFUNCTION("""COMPUTED_VALUE"""),"2025 Jul")</f>
        <v>2025 Jul</v>
      </c>
      <c r="P469" s="1" t="str">
        <f>IFERROR(__xludf.DUMMYFUNCTION("""COMPUTED_VALUE"""),"Admin Support")</f>
        <v>Admin Support</v>
      </c>
      <c r="Q469" s="1" t="str">
        <f>IFERROR(__xludf.DUMMYFUNCTION("""COMPUTED_VALUE"""),"mac@canva.com")</f>
        <v>mac@canva.com</v>
      </c>
      <c r="R469" s="1" t="str">
        <f>IFERROR(__xludf.DUMMYFUNCTION("""COMPUTED_VALUE"""),"Mac Mendoza")</f>
        <v>Mac Mendoza</v>
      </c>
      <c r="S469" s="1"/>
      <c r="T469" s="1">
        <f>IFERROR(__xludf.DUMMYFUNCTION("""COMPUTED_VALUE"""),6.5)</f>
        <v>6.5</v>
      </c>
      <c r="U469" s="2">
        <f>IFERROR(__xludf.DUMMYFUNCTION("""COMPUTED_VALUE"""),6.5)</f>
        <v>6.5</v>
      </c>
      <c r="V469" s="1" t="str">
        <f>IFERROR(__xludf.DUMMYFUNCTION("""COMPUTED_VALUE"""),"Ann Dumlao")</f>
        <v>Ann Dumlao</v>
      </c>
      <c r="W469" s="1" t="str">
        <f>IFERROR(__xludf.DUMMYFUNCTION("""COMPUTED_VALUE"""),"Admin Omni Support")</f>
        <v>Admin Omni Support</v>
      </c>
    </row>
    <row r="470">
      <c r="O470" s="1" t="str">
        <f>IFERROR(__xludf.DUMMYFUNCTION("""COMPUTED_VALUE"""),"2025 Jul")</f>
        <v>2025 Jul</v>
      </c>
      <c r="P470" s="1" t="str">
        <f>IFERROR(__xludf.DUMMYFUNCTION("""COMPUTED_VALUE"""),"High Sensitivity Support")</f>
        <v>High Sensitivity Support</v>
      </c>
      <c r="Q470" s="1" t="str">
        <f>IFERROR(__xludf.DUMMYFUNCTION("""COMPUTED_VALUE"""),"macie@canva.com")</f>
        <v>macie@canva.com</v>
      </c>
      <c r="R470" s="1" t="str">
        <f>IFERROR(__xludf.DUMMYFUNCTION("""COMPUTED_VALUE"""),"Macie del Mundo")</f>
        <v>Macie del Mundo</v>
      </c>
      <c r="S470" s="1">
        <f>IFERROR(__xludf.DUMMYFUNCTION("""COMPUTED_VALUE"""),40.0)</f>
        <v>40</v>
      </c>
      <c r="T470" s="1">
        <f>IFERROR(__xludf.DUMMYFUNCTION("""COMPUTED_VALUE"""),81.0)</f>
        <v>81</v>
      </c>
      <c r="U470" s="2">
        <f>IFERROR(__xludf.DUMMYFUNCTION("""COMPUTED_VALUE"""),121.0)</f>
        <v>121</v>
      </c>
      <c r="V470" s="1" t="str">
        <f>IFERROR(__xludf.DUMMYFUNCTION("""COMPUTED_VALUE"""),"Rossheen Pura")</f>
        <v>Rossheen Pura</v>
      </c>
      <c r="W470" s="1" t="str">
        <f>IFERROR(__xludf.DUMMYFUNCTION("""COMPUTED_VALUE"""),"High Sensitivity Support PH")</f>
        <v>High Sensitivity Support PH</v>
      </c>
    </row>
    <row r="471">
      <c r="O471" s="1" t="str">
        <f>IFERROR(__xludf.DUMMYFUNCTION("""COMPUTED_VALUE"""),"2025 Jul")</f>
        <v>2025 Jul</v>
      </c>
      <c r="P471" s="1" t="str">
        <f>IFERROR(__xludf.DUMMYFUNCTION("""COMPUTED_VALUE"""),"Core Product Support")</f>
        <v>Core Product Support</v>
      </c>
      <c r="Q471" s="1" t="str">
        <f>IFERROR(__xludf.DUMMYFUNCTION("""COMPUTED_VALUE"""),"mackievitacion@canva.com")</f>
        <v>mackievitacion@canva.com</v>
      </c>
      <c r="R471" s="1" t="str">
        <f>IFERROR(__xludf.DUMMYFUNCTION("""COMPUTED_VALUE"""),"Mackie Vitacion")</f>
        <v>Mackie Vitacion</v>
      </c>
      <c r="S471" s="1">
        <f>IFERROR(__xludf.DUMMYFUNCTION("""COMPUTED_VALUE"""),68.75)</f>
        <v>68.75</v>
      </c>
      <c r="T471" s="1">
        <f>IFERROR(__xludf.DUMMYFUNCTION("""COMPUTED_VALUE"""),3.0)</f>
        <v>3</v>
      </c>
      <c r="U471" s="2">
        <f>IFERROR(__xludf.DUMMYFUNCTION("""COMPUTED_VALUE"""),71.75)</f>
        <v>71.75</v>
      </c>
      <c r="V471" s="1" t="str">
        <f>IFERROR(__xludf.DUMMYFUNCTION("""COMPUTED_VALUE"""),"Vinz Lazaro")</f>
        <v>Vinz Lazaro</v>
      </c>
      <c r="W471" s="1" t="str">
        <f>IFERROR(__xludf.DUMMYFUNCTION("""COMPUTED_VALUE"""),"Advanced Product Support")</f>
        <v>Advanced Product Support</v>
      </c>
    </row>
    <row r="472">
      <c r="O472" s="1" t="str">
        <f>IFERROR(__xludf.DUMMYFUNCTION("""COMPUTED_VALUE"""),"2025 Jul")</f>
        <v>2025 Jul</v>
      </c>
      <c r="P472" s="1" t="str">
        <f>IFERROR(__xludf.DUMMYFUNCTION("""COMPUTED_VALUE"""),"#N/A")</f>
        <v>#N/A</v>
      </c>
      <c r="Q472" s="1" t="str">
        <f>IFERROR(__xludf.DUMMYFUNCTION("""COMPUTED_VALUE"""),"manee+test@canva.com")</f>
        <v>manee+test@canva.com</v>
      </c>
      <c r="R472" s="1" t="str">
        <f>IFERROR(__xludf.DUMMYFUNCTION("""COMPUTED_VALUE"""),"Manee Test")</f>
        <v>Manee Test</v>
      </c>
      <c r="S472" s="1"/>
      <c r="T472" s="1"/>
      <c r="U472" s="2">
        <f>IFERROR(__xludf.DUMMYFUNCTION("""COMPUTED_VALUE"""),0.0)</f>
        <v>0</v>
      </c>
      <c r="V472" s="1" t="str">
        <f>IFERROR(__xludf.DUMMYFUNCTION("""COMPUTED_VALUE"""),"#N/A")</f>
        <v>#N/A</v>
      </c>
      <c r="W472" s="1" t="str">
        <f>IFERROR(__xludf.DUMMYFUNCTION("""COMPUTED_VALUE"""),"#N/A")</f>
        <v>#N/A</v>
      </c>
    </row>
    <row r="473">
      <c r="O473" s="1" t="str">
        <f>IFERROR(__xludf.DUMMYFUNCTION("""COMPUTED_VALUE"""),"2025 Jul")</f>
        <v>2025 Jul</v>
      </c>
      <c r="P473" s="1" t="str">
        <f>IFERROR(__xludf.DUMMYFUNCTION("""COMPUTED_VALUE"""),"High Sensitivity Support")</f>
        <v>High Sensitivity Support</v>
      </c>
      <c r="Q473" s="1" t="str">
        <f>IFERROR(__xludf.DUMMYFUNCTION("""COMPUTED_VALUE"""),"mariav@canva.com")</f>
        <v>mariav@canva.com</v>
      </c>
      <c r="R473" s="1" t="str">
        <f>IFERROR(__xludf.DUMMYFUNCTION("""COMPUTED_VALUE"""),"Maria Vergara")</f>
        <v>Maria Vergara</v>
      </c>
      <c r="S473" s="1">
        <f>IFERROR(__xludf.DUMMYFUNCTION("""COMPUTED_VALUE"""),25.25)</f>
        <v>25.25</v>
      </c>
      <c r="T473" s="1">
        <f>IFERROR(__xludf.DUMMYFUNCTION("""COMPUTED_VALUE"""),9.75)</f>
        <v>9.75</v>
      </c>
      <c r="U473" s="2">
        <f>IFERROR(__xludf.DUMMYFUNCTION("""COMPUTED_VALUE"""),35.0)</f>
        <v>35</v>
      </c>
      <c r="V473" s="1" t="str">
        <f>IFERROR(__xludf.DUMMYFUNCTION("""COMPUTED_VALUE"""),"Xandy Azarcon")</f>
        <v>Xandy Azarcon</v>
      </c>
      <c r="W473" s="1" t="str">
        <f>IFERROR(__xludf.DUMMYFUNCTION("""COMPUTED_VALUE"""),"High Sensitivity Support PH")</f>
        <v>High Sensitivity Support PH</v>
      </c>
    </row>
    <row r="474">
      <c r="O474" s="1" t="str">
        <f>IFERROR(__xludf.DUMMYFUNCTION("""COMPUTED_VALUE"""),"2025 Jul")</f>
        <v>2025 Jul</v>
      </c>
      <c r="P474" s="1" t="str">
        <f>IFERROR(__xludf.DUMMYFUNCTION("""COMPUTED_VALUE"""),"Print Support")</f>
        <v>Print Support</v>
      </c>
      <c r="Q474" s="1" t="str">
        <f>IFERROR(__xludf.DUMMYFUNCTION("""COMPUTED_VALUE"""),"marieson@canva.com")</f>
        <v>marieson@canva.com</v>
      </c>
      <c r="R474" s="1" t="str">
        <f>IFERROR(__xludf.DUMMYFUNCTION("""COMPUTED_VALUE"""),"Marieson Libunao")</f>
        <v>Marieson Libunao</v>
      </c>
      <c r="S474" s="1">
        <f>IFERROR(__xludf.DUMMYFUNCTION("""COMPUTED_VALUE"""),9.2)</f>
        <v>9.2</v>
      </c>
      <c r="T474" s="1">
        <f>IFERROR(__xludf.DUMMYFUNCTION("""COMPUTED_VALUE"""),6.75)</f>
        <v>6.75</v>
      </c>
      <c r="U474" s="2">
        <f>IFERROR(__xludf.DUMMYFUNCTION("""COMPUTED_VALUE"""),15.95)</f>
        <v>15.95</v>
      </c>
      <c r="V474" s="1" t="str">
        <f>IFERROR(__xludf.DUMMYFUNCTION("""COMPUTED_VALUE"""),"Althea Mercado")</f>
        <v>Althea Mercado</v>
      </c>
      <c r="W474" s="1" t="str">
        <f>IFERROR(__xludf.DUMMYFUNCTION("""COMPUTED_VALUE"""),"Print Support PH")</f>
        <v>Print Support PH</v>
      </c>
    </row>
    <row r="475">
      <c r="O475" s="1" t="str">
        <f>IFERROR(__xludf.DUMMYFUNCTION("""COMPUTED_VALUE"""),"2025 Jul")</f>
        <v>2025 Jul</v>
      </c>
      <c r="P475" s="1" t="str">
        <f>IFERROR(__xludf.DUMMYFUNCTION("""COMPUTED_VALUE"""),"Core Product Support")</f>
        <v>Core Product Support</v>
      </c>
      <c r="Q475" s="1" t="str">
        <f>IFERROR(__xludf.DUMMYFUNCTION("""COMPUTED_VALUE"""),"mariz@canva.com")</f>
        <v>mariz@canva.com</v>
      </c>
      <c r="R475" s="1" t="str">
        <f>IFERROR(__xludf.DUMMYFUNCTION("""COMPUTED_VALUE"""),"Mariz Gain")</f>
        <v>Mariz Gain</v>
      </c>
      <c r="S475" s="1">
        <f>IFERROR(__xludf.DUMMYFUNCTION("""COMPUTED_VALUE"""),28.05)</f>
        <v>28.05</v>
      </c>
      <c r="T475" s="1">
        <f>IFERROR(__xludf.DUMMYFUNCTION("""COMPUTED_VALUE"""),14.58)</f>
        <v>14.58</v>
      </c>
      <c r="U475" s="2">
        <f>IFERROR(__xludf.DUMMYFUNCTION("""COMPUTED_VALUE"""),42.63)</f>
        <v>42.63</v>
      </c>
      <c r="V475" s="1" t="str">
        <f>IFERROR(__xludf.DUMMYFUNCTION("""COMPUTED_VALUE"""),"Ana Lazaro")</f>
        <v>Ana Lazaro</v>
      </c>
      <c r="W475" s="1" t="str">
        <f>IFERROR(__xludf.DUMMYFUNCTION("""COMPUTED_VALUE"""),"Advanced Billing &amp; Subscriptions")</f>
        <v>Advanced Billing &amp; Subscriptions</v>
      </c>
    </row>
    <row r="476">
      <c r="O476" s="1" t="str">
        <f>IFERROR(__xludf.DUMMYFUNCTION("""COMPUTED_VALUE"""),"2025 Jul")</f>
        <v>2025 Jul</v>
      </c>
      <c r="P476" s="1" t="str">
        <f>IFERROR(__xludf.DUMMYFUNCTION("""COMPUTED_VALUE"""),"Print Support")</f>
        <v>Print Support</v>
      </c>
      <c r="Q476" s="1" t="str">
        <f>IFERROR(__xludf.DUMMYFUNCTION("""COMPUTED_VALUE"""),"mpalermo@canva.com")</f>
        <v>mpalermo@canva.com</v>
      </c>
      <c r="R476" s="1" t="str">
        <f>IFERROR(__xludf.DUMMYFUNCTION("""COMPUTED_VALUE"""),"Marjorie Tsao")</f>
        <v>Marjorie Tsao</v>
      </c>
      <c r="S476" s="1">
        <f>IFERROR(__xludf.DUMMYFUNCTION("""COMPUTED_VALUE"""),13.92)</f>
        <v>13.92</v>
      </c>
      <c r="T476" s="1">
        <f>IFERROR(__xludf.DUMMYFUNCTION("""COMPUTED_VALUE"""),3.58)</f>
        <v>3.58</v>
      </c>
      <c r="U476" s="2">
        <f>IFERROR(__xludf.DUMMYFUNCTION("""COMPUTED_VALUE"""),17.5)</f>
        <v>17.5</v>
      </c>
      <c r="V476" s="1" t="str">
        <f>IFERROR(__xludf.DUMMYFUNCTION("""COMPUTED_VALUE"""),"Louise Dianne Estrella")</f>
        <v>Louise Dianne Estrella</v>
      </c>
      <c r="W476" s="1" t="str">
        <f>IFERROR(__xludf.DUMMYFUNCTION("""COMPUTED_VALUE"""),"Print Support PH")</f>
        <v>Print Support PH</v>
      </c>
    </row>
    <row r="477">
      <c r="O477" s="1" t="str">
        <f>IFERROR(__xludf.DUMMYFUNCTION("""COMPUTED_VALUE"""),"2025 Jul")</f>
        <v>2025 Jul</v>
      </c>
      <c r="P477" s="1" t="str">
        <f>IFERROR(__xludf.DUMMYFUNCTION("""COMPUTED_VALUE"""),"Core Product Support")</f>
        <v>Core Product Support</v>
      </c>
      <c r="Q477" s="1" t="str">
        <f>IFERROR(__xludf.DUMMYFUNCTION("""COMPUTED_VALUE"""),"martyl@canva.com")</f>
        <v>martyl@canva.com</v>
      </c>
      <c r="R477" s="1" t="str">
        <f>IFERROR(__xludf.DUMMYFUNCTION("""COMPUTED_VALUE"""),"Marty Lozada")</f>
        <v>Marty Lozada</v>
      </c>
      <c r="S477" s="1">
        <f>IFERROR(__xludf.DUMMYFUNCTION("""COMPUTED_VALUE"""),45.7)</f>
        <v>45.7</v>
      </c>
      <c r="T477" s="1">
        <f>IFERROR(__xludf.DUMMYFUNCTION("""COMPUTED_VALUE"""),7.08)</f>
        <v>7.08</v>
      </c>
      <c r="U477" s="2">
        <f>IFERROR(__xludf.DUMMYFUNCTION("""COMPUTED_VALUE"""),52.78)</f>
        <v>52.78</v>
      </c>
      <c r="V477" s="1" t="str">
        <f>IFERROR(__xludf.DUMMYFUNCTION("""COMPUTED_VALUE"""),"Vinz Lazaro")</f>
        <v>Vinz Lazaro</v>
      </c>
      <c r="W477" s="1" t="str">
        <f>IFERROR(__xludf.DUMMYFUNCTION("""COMPUTED_VALUE"""),"Advanced Product Support")</f>
        <v>Advanced Product Support</v>
      </c>
    </row>
    <row r="478">
      <c r="O478" s="1" t="str">
        <f>IFERROR(__xludf.DUMMYFUNCTION("""COMPUTED_VALUE"""),"2025 Jul")</f>
        <v>2025 Jul</v>
      </c>
      <c r="P478" s="1" t="str">
        <f>IFERROR(__xludf.DUMMYFUNCTION("""COMPUTED_VALUE"""),"High Sensitivity Support")</f>
        <v>High Sensitivity Support</v>
      </c>
      <c r="Q478" s="1" t="str">
        <f>IFERROR(__xludf.DUMMYFUNCTION("""COMPUTED_VALUE"""),"mayann@canva.com")</f>
        <v>mayann@canva.com</v>
      </c>
      <c r="R478" s="1" t="str">
        <f>IFERROR(__xludf.DUMMYFUNCTION("""COMPUTED_VALUE"""),"May Ann Caguioa")</f>
        <v>May Ann Caguioa</v>
      </c>
      <c r="S478" s="1">
        <f>IFERROR(__xludf.DUMMYFUNCTION("""COMPUTED_VALUE"""),23.72)</f>
        <v>23.72</v>
      </c>
      <c r="T478" s="1">
        <f>IFERROR(__xludf.DUMMYFUNCTION("""COMPUTED_VALUE"""),11.62)</f>
        <v>11.62</v>
      </c>
      <c r="U478" s="2">
        <f>IFERROR(__xludf.DUMMYFUNCTION("""COMPUTED_VALUE"""),35.339999999999996)</f>
        <v>35.34</v>
      </c>
      <c r="V478" s="1" t="str">
        <f>IFERROR(__xludf.DUMMYFUNCTION("""COMPUTED_VALUE"""),"Rossheen Pura")</f>
        <v>Rossheen Pura</v>
      </c>
      <c r="W478" s="1" t="str">
        <f>IFERROR(__xludf.DUMMYFUNCTION("""COMPUTED_VALUE"""),"High Sensitivity Support PH")</f>
        <v>High Sensitivity Support PH</v>
      </c>
    </row>
    <row r="479">
      <c r="O479" s="1" t="str">
        <f>IFERROR(__xludf.DUMMYFUNCTION("""COMPUTED_VALUE"""),"2025 Jul")</f>
        <v>2025 Jul</v>
      </c>
      <c r="P479" s="1" t="str">
        <f>IFERROR(__xludf.DUMMYFUNCTION("""COMPUTED_VALUE"""),"Core Product Support")</f>
        <v>Core Product Support</v>
      </c>
      <c r="Q479" s="1" t="str">
        <f>IFERROR(__xludf.DUMMYFUNCTION("""COMPUTED_VALUE"""),"mccoyc@canva.com")</f>
        <v>mccoyc@canva.com</v>
      </c>
      <c r="R479" s="1" t="str">
        <f>IFERROR(__xludf.DUMMYFUNCTION("""COMPUTED_VALUE"""),"McCoy Cacanindin")</f>
        <v>McCoy Cacanindin</v>
      </c>
      <c r="S479" s="1">
        <f>IFERROR(__xludf.DUMMYFUNCTION("""COMPUTED_VALUE"""),46.42)</f>
        <v>46.42</v>
      </c>
      <c r="T479" s="1">
        <f>IFERROR(__xludf.DUMMYFUNCTION("""COMPUTED_VALUE"""),11.08)</f>
        <v>11.08</v>
      </c>
      <c r="U479" s="2">
        <f>IFERROR(__xludf.DUMMYFUNCTION("""COMPUTED_VALUE"""),57.5)</f>
        <v>57.5</v>
      </c>
      <c r="V479" s="1" t="str">
        <f>IFERROR(__xludf.DUMMYFUNCTION("""COMPUTED_VALUE"""),"Vinz Lazaro")</f>
        <v>Vinz Lazaro</v>
      </c>
      <c r="W479" s="1" t="str">
        <f>IFERROR(__xludf.DUMMYFUNCTION("""COMPUTED_VALUE"""),"Advanced Product Support")</f>
        <v>Advanced Product Support</v>
      </c>
    </row>
    <row r="480">
      <c r="O480" s="1" t="str">
        <f>IFERROR(__xludf.DUMMYFUNCTION("""COMPUTED_VALUE"""),"2025 Jul")</f>
        <v>2025 Jul</v>
      </c>
      <c r="P480" s="1" t="str">
        <f>IFERROR(__xludf.DUMMYFUNCTION("""COMPUTED_VALUE"""),"High Sensitivity Support")</f>
        <v>High Sensitivity Support</v>
      </c>
      <c r="Q480" s="1" t="str">
        <f>IFERROR(__xludf.DUMMYFUNCTION("""COMPUTED_VALUE"""),"mlabio@canva.com")</f>
        <v>mlabio@canva.com</v>
      </c>
      <c r="R480" s="1" t="str">
        <f>IFERROR(__xludf.DUMMYFUNCTION("""COMPUTED_VALUE"""),"Melanie Labio")</f>
        <v>Melanie Labio</v>
      </c>
      <c r="S480" s="1">
        <f>IFERROR(__xludf.DUMMYFUNCTION("""COMPUTED_VALUE"""),18.0)</f>
        <v>18</v>
      </c>
      <c r="T480" s="1">
        <f>IFERROR(__xludf.DUMMYFUNCTION("""COMPUTED_VALUE"""),8.25)</f>
        <v>8.25</v>
      </c>
      <c r="U480" s="2">
        <f>IFERROR(__xludf.DUMMYFUNCTION("""COMPUTED_VALUE"""),26.25)</f>
        <v>26.25</v>
      </c>
      <c r="V480" s="1" t="str">
        <f>IFERROR(__xludf.DUMMYFUNCTION("""COMPUTED_VALUE"""),"Xandy Azarcon")</f>
        <v>Xandy Azarcon</v>
      </c>
      <c r="W480" s="1" t="str">
        <f>IFERROR(__xludf.DUMMYFUNCTION("""COMPUTED_VALUE"""),"High Sensitivity Support PH")</f>
        <v>High Sensitivity Support PH</v>
      </c>
    </row>
    <row r="481">
      <c r="O481" s="1" t="str">
        <f>IFERROR(__xludf.DUMMYFUNCTION("""COMPUTED_VALUE"""),"2025 Jul")</f>
        <v>2025 Jul</v>
      </c>
      <c r="P481" s="1" t="str">
        <f>IFERROR(__xludf.DUMMYFUNCTION("""COMPUTED_VALUE"""),"Admin Support")</f>
        <v>Admin Support</v>
      </c>
      <c r="Q481" s="1" t="str">
        <f>IFERROR(__xludf.DUMMYFUNCTION("""COMPUTED_VALUE"""),"mmicah@canva.com")</f>
        <v>mmicah@canva.com</v>
      </c>
      <c r="R481" s="1" t="str">
        <f>IFERROR(__xludf.DUMMYFUNCTION("""COMPUTED_VALUE"""),"Micah Geneviv Marcos")</f>
        <v>Micah Geneviv Marcos</v>
      </c>
      <c r="S481" s="1">
        <f>IFERROR(__xludf.DUMMYFUNCTION("""COMPUTED_VALUE"""),4.0)</f>
        <v>4</v>
      </c>
      <c r="T481" s="1">
        <f>IFERROR(__xludf.DUMMYFUNCTION("""COMPUTED_VALUE"""),4.0)</f>
        <v>4</v>
      </c>
      <c r="U481" s="2">
        <f>IFERROR(__xludf.DUMMYFUNCTION("""COMPUTED_VALUE"""),8.0)</f>
        <v>8</v>
      </c>
      <c r="V481" s="1" t="str">
        <f>IFERROR(__xludf.DUMMYFUNCTION("""COMPUTED_VALUE"""),"Karla Mananghaya")</f>
        <v>Karla Mananghaya</v>
      </c>
      <c r="W481" s="1" t="str">
        <f>IFERROR(__xludf.DUMMYFUNCTION("""COMPUTED_VALUE"""),"Admin Support Service Escalation Team")</f>
        <v>Admin Support Service Escalation Team</v>
      </c>
    </row>
    <row r="482">
      <c r="O482" s="1" t="str">
        <f>IFERROR(__xludf.DUMMYFUNCTION("""COMPUTED_VALUE"""),"2025 Jul")</f>
        <v>2025 Jul</v>
      </c>
      <c r="P482" s="1" t="str">
        <f>IFERROR(__xludf.DUMMYFUNCTION("""COMPUTED_VALUE"""),"Core Product Support")</f>
        <v>Core Product Support</v>
      </c>
      <c r="Q482" s="1" t="str">
        <f>IFERROR(__xludf.DUMMYFUNCTION("""COMPUTED_VALUE"""),"nas@canva.com")</f>
        <v>nas@canva.com</v>
      </c>
      <c r="R482" s="1" t="str">
        <f>IFERROR(__xludf.DUMMYFUNCTION("""COMPUTED_VALUE"""),"Miggy De Vibar")</f>
        <v>Miggy De Vibar</v>
      </c>
      <c r="S482" s="1">
        <f>IFERROR(__xludf.DUMMYFUNCTION("""COMPUTED_VALUE"""),63.03)</f>
        <v>63.03</v>
      </c>
      <c r="T482" s="1">
        <f>IFERROR(__xludf.DUMMYFUNCTION("""COMPUTED_VALUE"""),6.25)</f>
        <v>6.25</v>
      </c>
      <c r="U482" s="2">
        <f>IFERROR(__xludf.DUMMYFUNCTION("""COMPUTED_VALUE"""),69.28)</f>
        <v>69.28</v>
      </c>
      <c r="V482" s="1" t="str">
        <f>IFERROR(__xludf.DUMMYFUNCTION("""COMPUTED_VALUE"""),"Belle Bentazal")</f>
        <v>Belle Bentazal</v>
      </c>
      <c r="W482" s="1" t="str">
        <f>IFERROR(__xludf.DUMMYFUNCTION("""COMPUTED_VALUE"""),"Advanced Product Support")</f>
        <v>Advanced Product Support</v>
      </c>
    </row>
    <row r="483">
      <c r="O483" s="1" t="str">
        <f>IFERROR(__xludf.DUMMYFUNCTION("""COMPUTED_VALUE"""),"2025 Jul")</f>
        <v>2025 Jul</v>
      </c>
      <c r="P483" s="1" t="str">
        <f>IFERROR(__xludf.DUMMYFUNCTION("""COMPUTED_VALUE"""),"Core Product Support")</f>
        <v>Core Product Support</v>
      </c>
      <c r="Q483" s="1" t="str">
        <f>IFERROR(__xludf.DUMMYFUNCTION("""COMPUTED_VALUE"""),"mika@canva.com")</f>
        <v>mika@canva.com</v>
      </c>
      <c r="R483" s="1" t="str">
        <f>IFERROR(__xludf.DUMMYFUNCTION("""COMPUTED_VALUE"""),"Mika Magpantay")</f>
        <v>Mika Magpantay</v>
      </c>
      <c r="S483" s="1">
        <f>IFERROR(__xludf.DUMMYFUNCTION("""COMPUTED_VALUE"""),20.7)</f>
        <v>20.7</v>
      </c>
      <c r="T483" s="1">
        <f>IFERROR(__xludf.DUMMYFUNCTION("""COMPUTED_VALUE"""),6.08)</f>
        <v>6.08</v>
      </c>
      <c r="U483" s="2">
        <f>IFERROR(__xludf.DUMMYFUNCTION("""COMPUTED_VALUE"""),26.78)</f>
        <v>26.78</v>
      </c>
      <c r="V483" s="1" t="str">
        <f>IFERROR(__xludf.DUMMYFUNCTION("""COMPUTED_VALUE"""),"Jem Mondoñedo")</f>
        <v>Jem Mondoñedo</v>
      </c>
      <c r="W483" s="1" t="str">
        <f>IFERROR(__xludf.DUMMYFUNCTION("""COMPUTED_VALUE"""),"Advanced Billing &amp; Subscriptions")</f>
        <v>Advanced Billing &amp; Subscriptions</v>
      </c>
    </row>
    <row r="484">
      <c r="O484" s="1" t="str">
        <f>IFERROR(__xludf.DUMMYFUNCTION("""COMPUTED_VALUE"""),"2025 Jul")</f>
        <v>2025 Jul</v>
      </c>
      <c r="P484" s="1" t="str">
        <f>IFERROR(__xludf.DUMMYFUNCTION("""COMPUTED_VALUE"""),"Core Product Support")</f>
        <v>Core Product Support</v>
      </c>
      <c r="Q484" s="1" t="str">
        <f>IFERROR(__xludf.DUMMYFUNCTION("""COMPUTED_VALUE"""),"mirielle@canva.com")</f>
        <v>mirielle@canva.com</v>
      </c>
      <c r="R484" s="1" t="str">
        <f>IFERROR(__xludf.DUMMYFUNCTION("""COMPUTED_VALUE"""),"Mirielle Frances de Lara")</f>
        <v>Mirielle Frances de Lara</v>
      </c>
      <c r="S484" s="1">
        <f>IFERROR(__xludf.DUMMYFUNCTION("""COMPUTED_VALUE"""),13.43)</f>
        <v>13.43</v>
      </c>
      <c r="T484" s="1">
        <f>IFERROR(__xludf.DUMMYFUNCTION("""COMPUTED_VALUE"""),10.38)</f>
        <v>10.38</v>
      </c>
      <c r="U484" s="2">
        <f>IFERROR(__xludf.DUMMYFUNCTION("""COMPUTED_VALUE"""),23.810000000000002)</f>
        <v>23.81</v>
      </c>
      <c r="V484" s="1" t="str">
        <f>IFERROR(__xludf.DUMMYFUNCTION("""COMPUTED_VALUE"""),"Belle Bentazal")</f>
        <v>Belle Bentazal</v>
      </c>
      <c r="W484" s="1" t="str">
        <f>IFERROR(__xludf.DUMMYFUNCTION("""COMPUTED_VALUE"""),"Advanced Product Support")</f>
        <v>Advanced Product Support</v>
      </c>
    </row>
    <row r="485">
      <c r="O485" s="1" t="str">
        <f>IFERROR(__xludf.DUMMYFUNCTION("""COMPUTED_VALUE"""),"2025 Jul")</f>
        <v>2025 Jul</v>
      </c>
      <c r="P485" s="1" t="str">
        <f>IFERROR(__xludf.DUMMYFUNCTION("""COMPUTED_VALUE"""),"Admin Support")</f>
        <v>Admin Support</v>
      </c>
      <c r="Q485" s="1" t="str">
        <f>IFERROR(__xludf.DUMMYFUNCTION("""COMPUTED_VALUE"""),"mjb@canva.com")</f>
        <v>mjb@canva.com</v>
      </c>
      <c r="R485" s="1" t="str">
        <f>IFERROR(__xludf.DUMMYFUNCTION("""COMPUTED_VALUE"""),"MJ Billon")</f>
        <v>MJ Billon</v>
      </c>
      <c r="S485" s="1">
        <f>IFERROR(__xludf.DUMMYFUNCTION("""COMPUTED_VALUE"""),2.42)</f>
        <v>2.42</v>
      </c>
      <c r="T485" s="1">
        <f>IFERROR(__xludf.DUMMYFUNCTION("""COMPUTED_VALUE"""),7.08)</f>
        <v>7.08</v>
      </c>
      <c r="U485" s="2">
        <f>IFERROR(__xludf.DUMMYFUNCTION("""COMPUTED_VALUE"""),9.5)</f>
        <v>9.5</v>
      </c>
      <c r="V485" s="1" t="str">
        <f>IFERROR(__xludf.DUMMYFUNCTION("""COMPUTED_VALUE"""),"Ann Dumlao")</f>
        <v>Ann Dumlao</v>
      </c>
      <c r="W485" s="1" t="str">
        <f>IFERROR(__xludf.DUMMYFUNCTION("""COMPUTED_VALUE"""),"Admin Omni Support")</f>
        <v>Admin Omni Support</v>
      </c>
    </row>
    <row r="486">
      <c r="O486" s="1" t="str">
        <f>IFERROR(__xludf.DUMMYFUNCTION("""COMPUTED_VALUE"""),"2025 Jul")</f>
        <v>2025 Jul</v>
      </c>
      <c r="P486" s="1" t="str">
        <f>IFERROR(__xludf.DUMMYFUNCTION("""COMPUTED_VALUE"""),"Segment-specific Support")</f>
        <v>Segment-specific Support</v>
      </c>
      <c r="Q486" s="1" t="str">
        <f>IFERROR(__xludf.DUMMYFUNCTION("""COMPUTED_VALUE"""),"molli@canva.com")</f>
        <v>molli@canva.com</v>
      </c>
      <c r="R486" s="1" t="str">
        <f>IFERROR(__xludf.DUMMYFUNCTION("""COMPUTED_VALUE"""),"MJ Sol")</f>
        <v>MJ Sol</v>
      </c>
      <c r="S486" s="1">
        <f>IFERROR(__xludf.DUMMYFUNCTION("""COMPUTED_VALUE"""),8.0)</f>
        <v>8</v>
      </c>
      <c r="T486" s="1"/>
      <c r="U486" s="2">
        <f>IFERROR(__xludf.DUMMYFUNCTION("""COMPUTED_VALUE"""),8.0)</f>
        <v>8</v>
      </c>
      <c r="V486" s="1" t="str">
        <f>IFERROR(__xludf.DUMMYFUNCTION("""COMPUTED_VALUE"""),"Aileen Dayanghirang")</f>
        <v>Aileen Dayanghirang</v>
      </c>
      <c r="W486" s="1" t="str">
        <f>IFERROR(__xludf.DUMMYFUNCTION("""COMPUTED_VALUE"""),"Creators Support")</f>
        <v>Creators Support</v>
      </c>
    </row>
    <row r="487">
      <c r="O487" s="1" t="str">
        <f>IFERROR(__xludf.DUMMYFUNCTION("""COMPUTED_VALUE"""),"2025 Jul")</f>
        <v>2025 Jul</v>
      </c>
      <c r="P487" s="1" t="str">
        <f>IFERROR(__xludf.DUMMYFUNCTION("""COMPUTED_VALUE"""),"Core Product Support")</f>
        <v>Core Product Support</v>
      </c>
      <c r="Q487" s="1" t="str">
        <f>IFERROR(__xludf.DUMMYFUNCTION("""COMPUTED_VALUE"""),"raymondc@canva.com")</f>
        <v>raymondc@canva.com</v>
      </c>
      <c r="R487" s="1" t="str">
        <f>IFERROR(__xludf.DUMMYFUNCTION("""COMPUTED_VALUE"""),"Mond Catimbang")</f>
        <v>Mond Catimbang</v>
      </c>
      <c r="S487" s="1">
        <f>IFERROR(__xludf.DUMMYFUNCTION("""COMPUTED_VALUE"""),18.5)</f>
        <v>18.5</v>
      </c>
      <c r="T487" s="1">
        <f>IFERROR(__xludf.DUMMYFUNCTION("""COMPUTED_VALUE"""),3.08)</f>
        <v>3.08</v>
      </c>
      <c r="U487" s="2">
        <f>IFERROR(__xludf.DUMMYFUNCTION("""COMPUTED_VALUE"""),21.58)</f>
        <v>21.58</v>
      </c>
      <c r="V487" s="1" t="str">
        <f>IFERROR(__xludf.DUMMYFUNCTION("""COMPUTED_VALUE"""),"Jem Mondoñedo")</f>
        <v>Jem Mondoñedo</v>
      </c>
      <c r="W487" s="1" t="str">
        <f>IFERROR(__xludf.DUMMYFUNCTION("""COMPUTED_VALUE"""),"Advanced Billing &amp; Subscriptions")</f>
        <v>Advanced Billing &amp; Subscriptions</v>
      </c>
    </row>
    <row r="488">
      <c r="O488" s="1" t="str">
        <f>IFERROR(__xludf.DUMMYFUNCTION("""COMPUTED_VALUE"""),"2025 Jul")</f>
        <v>2025 Jul</v>
      </c>
      <c r="P488" s="1" t="str">
        <f>IFERROR(__xludf.DUMMYFUNCTION("""COMPUTED_VALUE"""),"Core Product Support")</f>
        <v>Core Product Support</v>
      </c>
      <c r="Q488" s="1" t="str">
        <f>IFERROR(__xludf.DUMMYFUNCTION("""COMPUTED_VALUE"""),"moxyarima@canva.com")</f>
        <v>moxyarima@canva.com</v>
      </c>
      <c r="R488" s="1" t="str">
        <f>IFERROR(__xludf.DUMMYFUNCTION("""COMPUTED_VALUE"""),"Moxy Arima")</f>
        <v>Moxy Arima</v>
      </c>
      <c r="S488" s="1">
        <f>IFERROR(__xludf.DUMMYFUNCTION("""COMPUTED_VALUE"""),17.5)</f>
        <v>17.5</v>
      </c>
      <c r="T488" s="1">
        <f>IFERROR(__xludf.DUMMYFUNCTION("""COMPUTED_VALUE"""),12.7)</f>
        <v>12.7</v>
      </c>
      <c r="U488" s="2">
        <f>IFERROR(__xludf.DUMMYFUNCTION("""COMPUTED_VALUE"""),30.2)</f>
        <v>30.2</v>
      </c>
      <c r="V488" s="1" t="str">
        <f>IFERROR(__xludf.DUMMYFUNCTION("""COMPUTED_VALUE"""),"Jelyn Elmido")</f>
        <v>Jelyn Elmido</v>
      </c>
      <c r="W488" s="1" t="str">
        <f>IFERROR(__xludf.DUMMYFUNCTION("""COMPUTED_VALUE"""),"Core Product Support Escalation Team")</f>
        <v>Core Product Support Escalation Team</v>
      </c>
    </row>
    <row r="489">
      <c r="O489" s="1" t="str">
        <f>IFERROR(__xludf.DUMMYFUNCTION("""COMPUTED_VALUE"""),"2025 Jul")</f>
        <v>2025 Jul</v>
      </c>
      <c r="P489" s="1" t="str">
        <f>IFERROR(__xludf.DUMMYFUNCTION("""COMPUTED_VALUE"""),"Admin Support")</f>
        <v>Admin Support</v>
      </c>
      <c r="Q489" s="1" t="str">
        <f>IFERROR(__xludf.DUMMYFUNCTION("""COMPUTED_VALUE"""),"nsahagun@canva.com")</f>
        <v>nsahagun@canva.com</v>
      </c>
      <c r="R489" s="1" t="str">
        <f>IFERROR(__xludf.DUMMYFUNCTION("""COMPUTED_VALUE"""),"Nathalie Sahagun")</f>
        <v>Nathalie Sahagun</v>
      </c>
      <c r="S489" s="1">
        <f>IFERROR(__xludf.DUMMYFUNCTION("""COMPUTED_VALUE"""),3.0)</f>
        <v>3</v>
      </c>
      <c r="T489" s="1">
        <f>IFERROR(__xludf.DUMMYFUNCTION("""COMPUTED_VALUE"""),3.0)</f>
        <v>3</v>
      </c>
      <c r="U489" s="2">
        <f>IFERROR(__xludf.DUMMYFUNCTION("""COMPUTED_VALUE"""),6.0)</f>
        <v>6</v>
      </c>
      <c r="V489" s="1" t="str">
        <f>IFERROR(__xludf.DUMMYFUNCTION("""COMPUTED_VALUE"""),"Nate Vela")</f>
        <v>Nate Vela</v>
      </c>
      <c r="W489" s="1" t="str">
        <f>IFERROR(__xludf.DUMMYFUNCTION("""COMPUTED_VALUE"""),"Admin Support NA")</f>
        <v>Admin Support NA</v>
      </c>
    </row>
    <row r="490">
      <c r="O490" s="1" t="str">
        <f>IFERROR(__xludf.DUMMYFUNCTION("""COMPUTED_VALUE"""),"2025 Jul")</f>
        <v>2025 Jul</v>
      </c>
      <c r="P490" s="1" t="str">
        <f>IFERROR(__xludf.DUMMYFUNCTION("""COMPUTED_VALUE"""),"Core Product Support")</f>
        <v>Core Product Support</v>
      </c>
      <c r="Q490" s="1" t="str">
        <f>IFERROR(__xludf.DUMMYFUNCTION("""COMPUTED_VALUE"""),"neeki@canva.com")</f>
        <v>neeki@canva.com</v>
      </c>
      <c r="R490" s="1" t="str">
        <f>IFERROR(__xludf.DUMMYFUNCTION("""COMPUTED_VALUE"""),"Neeki Asido")</f>
        <v>Neeki Asido</v>
      </c>
      <c r="S490" s="1">
        <f>IFERROR(__xludf.DUMMYFUNCTION("""COMPUTED_VALUE"""),25.25)</f>
        <v>25.25</v>
      </c>
      <c r="T490" s="1">
        <f>IFERROR(__xludf.DUMMYFUNCTION("""COMPUTED_VALUE"""),9.25)</f>
        <v>9.25</v>
      </c>
      <c r="U490" s="2">
        <f>IFERROR(__xludf.DUMMYFUNCTION("""COMPUTED_VALUE"""),34.5)</f>
        <v>34.5</v>
      </c>
      <c r="V490" s="1" t="str">
        <f>IFERROR(__xludf.DUMMYFUNCTION("""COMPUTED_VALUE"""),"Jelyn Elmido")</f>
        <v>Jelyn Elmido</v>
      </c>
      <c r="W490" s="1" t="str">
        <f>IFERROR(__xludf.DUMMYFUNCTION("""COMPUTED_VALUE"""),"Core Product Support Escalation Team")</f>
        <v>Core Product Support Escalation Team</v>
      </c>
    </row>
    <row r="491">
      <c r="O491" s="1" t="str">
        <f>IFERROR(__xludf.DUMMYFUNCTION("""COMPUTED_VALUE"""),"2025 Jul")</f>
        <v>2025 Jul</v>
      </c>
      <c r="P491" s="1" t="str">
        <f>IFERROR(__xludf.DUMMYFUNCTION("""COMPUTED_VALUE"""),"Core Product Support")</f>
        <v>Core Product Support</v>
      </c>
      <c r="Q491" s="1" t="str">
        <f>IFERROR(__xludf.DUMMYFUNCTION("""COMPUTED_VALUE"""),"nicholeb@canva.com")</f>
        <v>nicholeb@canva.com</v>
      </c>
      <c r="R491" s="1" t="str">
        <f>IFERROR(__xludf.DUMMYFUNCTION("""COMPUTED_VALUE"""),"Nichole Braceliño")</f>
        <v>Nichole Braceliño</v>
      </c>
      <c r="S491" s="1">
        <f>IFERROR(__xludf.DUMMYFUNCTION("""COMPUTED_VALUE"""),32.75)</f>
        <v>32.75</v>
      </c>
      <c r="T491" s="1">
        <f>IFERROR(__xludf.DUMMYFUNCTION("""COMPUTED_VALUE"""),5.33)</f>
        <v>5.33</v>
      </c>
      <c r="U491" s="2">
        <f>IFERROR(__xludf.DUMMYFUNCTION("""COMPUTED_VALUE"""),38.08)</f>
        <v>38.08</v>
      </c>
      <c r="V491" s="1" t="str">
        <f>IFERROR(__xludf.DUMMYFUNCTION("""COMPUTED_VALUE"""),"Renette Bok")</f>
        <v>Renette Bok</v>
      </c>
      <c r="W491" s="1" t="str">
        <f>IFERROR(__xludf.DUMMYFUNCTION("""COMPUTED_VALUE"""),"Advanced Billing &amp; Subscriptions")</f>
        <v>Advanced Billing &amp; Subscriptions</v>
      </c>
    </row>
    <row r="492">
      <c r="O492" s="1" t="str">
        <f>IFERROR(__xludf.DUMMYFUNCTION("""COMPUTED_VALUE"""),"2025 Jul")</f>
        <v>2025 Jul</v>
      </c>
      <c r="P492" s="1" t="str">
        <f>IFERROR(__xludf.DUMMYFUNCTION("""COMPUTED_VALUE"""),"High Sensitivity Support")</f>
        <v>High Sensitivity Support</v>
      </c>
      <c r="Q492" s="1" t="str">
        <f>IFERROR(__xludf.DUMMYFUNCTION("""COMPUTED_VALUE"""),"ncruz@canva.com")</f>
        <v>ncruz@canva.com</v>
      </c>
      <c r="R492" s="1" t="str">
        <f>IFERROR(__xludf.DUMMYFUNCTION("""COMPUTED_VALUE"""),"Nikki Cruz")</f>
        <v>Nikki Cruz</v>
      </c>
      <c r="S492" s="1">
        <f>IFERROR(__xludf.DUMMYFUNCTION("""COMPUTED_VALUE"""),15.67)</f>
        <v>15.67</v>
      </c>
      <c r="T492" s="1">
        <f>IFERROR(__xludf.DUMMYFUNCTION("""COMPUTED_VALUE"""),12.78)</f>
        <v>12.78</v>
      </c>
      <c r="U492" s="2">
        <f>IFERROR(__xludf.DUMMYFUNCTION("""COMPUTED_VALUE"""),28.45)</f>
        <v>28.45</v>
      </c>
      <c r="V492" s="1" t="str">
        <f>IFERROR(__xludf.DUMMYFUNCTION("""COMPUTED_VALUE"""),"Issi Afable")</f>
        <v>Issi Afable</v>
      </c>
      <c r="W492" s="1" t="str">
        <f>IFERROR(__xludf.DUMMYFUNCTION("""COMPUTED_VALUE"""),"High Sensitivity Support PH")</f>
        <v>High Sensitivity Support PH</v>
      </c>
    </row>
    <row r="493">
      <c r="O493" s="1" t="str">
        <f>IFERROR(__xludf.DUMMYFUNCTION("""COMPUTED_VALUE"""),"2025 Jul")</f>
        <v>2025 Jul</v>
      </c>
      <c r="P493" s="1" t="str">
        <f>IFERROR(__xludf.DUMMYFUNCTION("""COMPUTED_VALUE"""),"Print Support")</f>
        <v>Print Support</v>
      </c>
      <c r="Q493" s="1" t="str">
        <f>IFERROR(__xludf.DUMMYFUNCTION("""COMPUTED_VALUE"""),"nonoimboy@canva.com")</f>
        <v>nonoimboy@canva.com</v>
      </c>
      <c r="R493" s="1" t="str">
        <f>IFERROR(__xludf.DUMMYFUNCTION("""COMPUTED_VALUE"""),"Noel Imboy")</f>
        <v>Noel Imboy</v>
      </c>
      <c r="S493" s="1">
        <f>IFERROR(__xludf.DUMMYFUNCTION("""COMPUTED_VALUE"""),6.83)</f>
        <v>6.83</v>
      </c>
      <c r="T493" s="1">
        <f>IFERROR(__xludf.DUMMYFUNCTION("""COMPUTED_VALUE"""),6.17)</f>
        <v>6.17</v>
      </c>
      <c r="U493" s="2">
        <f>IFERROR(__xludf.DUMMYFUNCTION("""COMPUTED_VALUE"""),13.0)</f>
        <v>13</v>
      </c>
      <c r="V493" s="1" t="str">
        <f>IFERROR(__xludf.DUMMYFUNCTION("""COMPUTED_VALUE"""),"Gem Agoncillo")</f>
        <v>Gem Agoncillo</v>
      </c>
      <c r="W493" s="1" t="str">
        <f>IFERROR(__xludf.DUMMYFUNCTION("""COMPUTED_VALUE"""),"Print Design Support")</f>
        <v>Print Design Support</v>
      </c>
    </row>
    <row r="494">
      <c r="O494" s="1" t="str">
        <f>IFERROR(__xludf.DUMMYFUNCTION("""COMPUTED_VALUE"""),"2025 Jul")</f>
        <v>2025 Jul</v>
      </c>
      <c r="P494" s="1" t="str">
        <f>IFERROR(__xludf.DUMMYFUNCTION("""COMPUTED_VALUE"""),"#N/A")</f>
        <v>#N/A</v>
      </c>
      <c r="Q494" s="1" t="str">
        <f>IFERROR(__xludf.DUMMYFUNCTION("""COMPUTED_VALUE"""),"noriegine@canva.com")</f>
        <v>noriegine@canva.com</v>
      </c>
      <c r="R494" s="1" t="str">
        <f>IFERROR(__xludf.DUMMYFUNCTION("""COMPUTED_VALUE"""),"Noriegine Esperida")</f>
        <v>Noriegine Esperida</v>
      </c>
      <c r="S494" s="1">
        <f>IFERROR(__xludf.DUMMYFUNCTION("""COMPUTED_VALUE"""),5.0)</f>
        <v>5</v>
      </c>
      <c r="T494" s="1">
        <f>IFERROR(__xludf.DUMMYFUNCTION("""COMPUTED_VALUE"""),1.0)</f>
        <v>1</v>
      </c>
      <c r="U494" s="2">
        <f>IFERROR(__xludf.DUMMYFUNCTION("""COMPUTED_VALUE"""),6.0)</f>
        <v>6</v>
      </c>
      <c r="V494" s="1" t="str">
        <f>IFERROR(__xludf.DUMMYFUNCTION("""COMPUTED_VALUE"""),"#N/A")</f>
        <v>#N/A</v>
      </c>
      <c r="W494" s="1" t="str">
        <f>IFERROR(__xludf.DUMMYFUNCTION("""COMPUTED_VALUE"""),"#N/A")</f>
        <v>#N/A</v>
      </c>
    </row>
    <row r="495">
      <c r="O495" s="1" t="str">
        <f>IFERROR(__xludf.DUMMYFUNCTION("""COMPUTED_VALUE"""),"2025 Jul")</f>
        <v>2025 Jul</v>
      </c>
      <c r="P495" s="1" t="str">
        <f>IFERROR(__xludf.DUMMYFUNCTION("""COMPUTED_VALUE"""),"Segment-specific Support")</f>
        <v>Segment-specific Support</v>
      </c>
      <c r="Q495" s="1" t="str">
        <f>IFERROR(__xludf.DUMMYFUNCTION("""COMPUTED_VALUE"""),"pao@canva.com")</f>
        <v>pao@canva.com</v>
      </c>
      <c r="R495" s="1" t="str">
        <f>IFERROR(__xludf.DUMMYFUNCTION("""COMPUTED_VALUE"""),"Pao Domanais")</f>
        <v>Pao Domanais</v>
      </c>
      <c r="S495" s="1">
        <f>IFERROR(__xludf.DUMMYFUNCTION("""COMPUTED_VALUE"""),4.25)</f>
        <v>4.25</v>
      </c>
      <c r="T495" s="1">
        <f>IFERROR(__xludf.DUMMYFUNCTION("""COMPUTED_VALUE"""),6.58)</f>
        <v>6.58</v>
      </c>
      <c r="U495" s="2">
        <f>IFERROR(__xludf.DUMMYFUNCTION("""COMPUTED_VALUE"""),10.83)</f>
        <v>10.83</v>
      </c>
      <c r="V495" s="1" t="str">
        <f>IFERROR(__xludf.DUMMYFUNCTION("""COMPUTED_VALUE"""),"Rose Gabilan")</f>
        <v>Rose Gabilan</v>
      </c>
      <c r="W495" s="1" t="str">
        <f>IFERROR(__xludf.DUMMYFUNCTION("""COMPUTED_VALUE"""),"Print Support PH")</f>
        <v>Print Support PH</v>
      </c>
    </row>
    <row r="496">
      <c r="O496" s="1" t="str">
        <f>IFERROR(__xludf.DUMMYFUNCTION("""COMPUTED_VALUE"""),"2025 Jul")</f>
        <v>2025 Jul</v>
      </c>
      <c r="P496" s="1" t="str">
        <f>IFERROR(__xludf.DUMMYFUNCTION("""COMPUTED_VALUE"""),"Print Support")</f>
        <v>Print Support</v>
      </c>
      <c r="Q496" s="1" t="str">
        <f>IFERROR(__xludf.DUMMYFUNCTION("""COMPUTED_VALUE"""),"paolonati@canva.com")</f>
        <v>paolonati@canva.com</v>
      </c>
      <c r="R496" s="1" t="str">
        <f>IFERROR(__xludf.DUMMYFUNCTION("""COMPUTED_VALUE"""),"Paolo Natividad")</f>
        <v>Paolo Natividad</v>
      </c>
      <c r="S496" s="1">
        <f>IFERROR(__xludf.DUMMYFUNCTION("""COMPUTED_VALUE"""),10.5)</f>
        <v>10.5</v>
      </c>
      <c r="T496" s="1">
        <f>IFERROR(__xludf.DUMMYFUNCTION("""COMPUTED_VALUE"""),2.0)</f>
        <v>2</v>
      </c>
      <c r="U496" s="2">
        <f>IFERROR(__xludf.DUMMYFUNCTION("""COMPUTED_VALUE"""),12.5)</f>
        <v>12.5</v>
      </c>
      <c r="V496" s="1" t="str">
        <f>IFERROR(__xludf.DUMMYFUNCTION("""COMPUTED_VALUE"""),"Rei De Jesus")</f>
        <v>Rei De Jesus</v>
      </c>
      <c r="W496" s="1" t="str">
        <f>IFERROR(__xludf.DUMMYFUNCTION("""COMPUTED_VALUE"""),"Print Design Support")</f>
        <v>Print Design Support</v>
      </c>
    </row>
    <row r="497">
      <c r="O497" s="1" t="str">
        <f>IFERROR(__xludf.DUMMYFUNCTION("""COMPUTED_VALUE"""),"2025 Jul")</f>
        <v>2025 Jul</v>
      </c>
      <c r="P497" s="1" t="str">
        <f>IFERROR(__xludf.DUMMYFUNCTION("""COMPUTED_VALUE"""),"Core Product Support")</f>
        <v>Core Product Support</v>
      </c>
      <c r="Q497" s="1" t="str">
        <f>IFERROR(__xludf.DUMMYFUNCTION("""COMPUTED_VALUE"""),"padelacruz@canva.com")</f>
        <v>padelacruz@canva.com</v>
      </c>
      <c r="R497" s="1" t="str">
        <f>IFERROR(__xludf.DUMMYFUNCTION("""COMPUTED_VALUE"""),"Patrick Dela Cruz")</f>
        <v>Patrick Dela Cruz</v>
      </c>
      <c r="S497" s="1">
        <f>IFERROR(__xludf.DUMMYFUNCTION("""COMPUTED_VALUE"""),48.92)</f>
        <v>48.92</v>
      </c>
      <c r="T497" s="1">
        <f>IFERROR(__xludf.DUMMYFUNCTION("""COMPUTED_VALUE"""),38.08)</f>
        <v>38.08</v>
      </c>
      <c r="U497" s="2">
        <f>IFERROR(__xludf.DUMMYFUNCTION("""COMPUTED_VALUE"""),87.0)</f>
        <v>87</v>
      </c>
      <c r="V497" s="1" t="str">
        <f>IFERROR(__xludf.DUMMYFUNCTION("""COMPUTED_VALUE"""),"Cate Velasco")</f>
        <v>Cate Velasco</v>
      </c>
      <c r="W497" s="1" t="str">
        <f>IFERROR(__xludf.DUMMYFUNCTION("""COMPUTED_VALUE"""),"Advanced Product Support")</f>
        <v>Advanced Product Support</v>
      </c>
    </row>
    <row r="498">
      <c r="O498" s="1" t="str">
        <f>IFERROR(__xludf.DUMMYFUNCTION("""COMPUTED_VALUE"""),"2025 Jul")</f>
        <v>2025 Jul</v>
      </c>
      <c r="P498" s="1" t="str">
        <f>IFERROR(__xludf.DUMMYFUNCTION("""COMPUTED_VALUE"""),"#N/A")</f>
        <v>#N/A</v>
      </c>
      <c r="Q498" s="1" t="str">
        <f>IFERROR(__xludf.DUMMYFUNCTION("""COMPUTED_VALUE"""),"patrickm@canva.com")</f>
        <v>patrickm@canva.com</v>
      </c>
      <c r="R498" s="1" t="str">
        <f>IFERROR(__xludf.DUMMYFUNCTION("""COMPUTED_VALUE"""),"Patrick Mariano")</f>
        <v>Patrick Mariano</v>
      </c>
      <c r="S498" s="1">
        <f>IFERROR(__xludf.DUMMYFUNCTION("""COMPUTED_VALUE"""),34.83)</f>
        <v>34.83</v>
      </c>
      <c r="T498" s="1">
        <f>IFERROR(__xludf.DUMMYFUNCTION("""COMPUTED_VALUE"""),11.5)</f>
        <v>11.5</v>
      </c>
      <c r="U498" s="2">
        <f>IFERROR(__xludf.DUMMYFUNCTION("""COMPUTED_VALUE"""),46.33)</f>
        <v>46.33</v>
      </c>
      <c r="V498" s="1" t="str">
        <f>IFERROR(__xludf.DUMMYFUNCTION("""COMPUTED_VALUE"""),"#N/A")</f>
        <v>#N/A</v>
      </c>
      <c r="W498" s="1" t="str">
        <f>IFERROR(__xludf.DUMMYFUNCTION("""COMPUTED_VALUE"""),"Advanced Billing &amp; Subscriptions")</f>
        <v>Advanced Billing &amp; Subscriptions</v>
      </c>
    </row>
    <row r="499">
      <c r="O499" s="1" t="str">
        <f>IFERROR(__xludf.DUMMYFUNCTION("""COMPUTED_VALUE"""),"2025 Jul")</f>
        <v>2025 Jul</v>
      </c>
      <c r="P499" s="1" t="str">
        <f>IFERROR(__xludf.DUMMYFUNCTION("""COMPUTED_VALUE"""),"Core Product Support")</f>
        <v>Core Product Support</v>
      </c>
      <c r="Q499" s="1" t="str">
        <f>IFERROR(__xludf.DUMMYFUNCTION("""COMPUTED_VALUE"""),"pathugo@canva.com")</f>
        <v>pathugo@canva.com</v>
      </c>
      <c r="R499" s="1" t="str">
        <f>IFERROR(__xludf.DUMMYFUNCTION("""COMPUTED_VALUE"""),"Patriz Hugo")</f>
        <v>Patriz Hugo</v>
      </c>
      <c r="S499" s="1">
        <f>IFERROR(__xludf.DUMMYFUNCTION("""COMPUTED_VALUE"""),27.0)</f>
        <v>27</v>
      </c>
      <c r="T499" s="1">
        <f>IFERROR(__xludf.DUMMYFUNCTION("""COMPUTED_VALUE"""),5.0)</f>
        <v>5</v>
      </c>
      <c r="U499" s="2">
        <f>IFERROR(__xludf.DUMMYFUNCTION("""COMPUTED_VALUE"""),32.0)</f>
        <v>32</v>
      </c>
      <c r="V499" s="1" t="str">
        <f>IFERROR(__xludf.DUMMYFUNCTION("""COMPUTED_VALUE"""),"Sieg Ballelos")</f>
        <v>Sieg Ballelos</v>
      </c>
      <c r="W499" s="1" t="str">
        <f>IFERROR(__xludf.DUMMYFUNCTION("""COMPUTED_VALUE"""),"Core Product Support Escalation Team")</f>
        <v>Core Product Support Escalation Team</v>
      </c>
    </row>
    <row r="500">
      <c r="O500" s="1" t="str">
        <f>IFERROR(__xludf.DUMMYFUNCTION("""COMPUTED_VALUE"""),"2025 Jul")</f>
        <v>2025 Jul</v>
      </c>
      <c r="P500" s="1" t="str">
        <f>IFERROR(__xludf.DUMMYFUNCTION("""COMPUTED_VALUE"""),"High Sensitivity Support")</f>
        <v>High Sensitivity Support</v>
      </c>
      <c r="Q500" s="1" t="str">
        <f>IFERROR(__xludf.DUMMYFUNCTION("""COMPUTED_VALUE"""),"paulwilbert@canva.com")</f>
        <v>paulwilbert@canva.com</v>
      </c>
      <c r="R500" s="1" t="str">
        <f>IFERROR(__xludf.DUMMYFUNCTION("""COMPUTED_VALUE"""),"Paul Domingo")</f>
        <v>Paul Domingo</v>
      </c>
      <c r="S500" s="1">
        <f>IFERROR(__xludf.DUMMYFUNCTION("""COMPUTED_VALUE"""),6.5)</f>
        <v>6.5</v>
      </c>
      <c r="T500" s="1"/>
      <c r="U500" s="2">
        <f>IFERROR(__xludf.DUMMYFUNCTION("""COMPUTED_VALUE"""),6.5)</f>
        <v>6.5</v>
      </c>
      <c r="V500" s="1" t="str">
        <f>IFERROR(__xludf.DUMMYFUNCTION("""COMPUTED_VALUE"""),"Xandy Azarcon")</f>
        <v>Xandy Azarcon</v>
      </c>
      <c r="W500" s="1" t="str">
        <f>IFERROR(__xludf.DUMMYFUNCTION("""COMPUTED_VALUE"""),"High Sensitivity Support PH")</f>
        <v>High Sensitivity Support PH</v>
      </c>
    </row>
    <row r="501">
      <c r="O501" s="1" t="str">
        <f>IFERROR(__xludf.DUMMYFUNCTION("""COMPUTED_VALUE"""),"2025 Jul")</f>
        <v>2025 Jul</v>
      </c>
      <c r="P501" s="1" t="str">
        <f>IFERROR(__xludf.DUMMYFUNCTION("""COMPUTED_VALUE"""),"Core Product Support")</f>
        <v>Core Product Support</v>
      </c>
      <c r="Q501" s="1" t="str">
        <f>IFERROR(__xludf.DUMMYFUNCTION("""COMPUTED_VALUE"""),"paulv@canva.com")</f>
        <v>paulv@canva.com</v>
      </c>
      <c r="R501" s="1" t="str">
        <f>IFERROR(__xludf.DUMMYFUNCTION("""COMPUTED_VALUE"""),"Paul Verdad")</f>
        <v>Paul Verdad</v>
      </c>
      <c r="S501" s="1">
        <f>IFERROR(__xludf.DUMMYFUNCTION("""COMPUTED_VALUE"""),52.25)</f>
        <v>52.25</v>
      </c>
      <c r="T501" s="1">
        <f>IFERROR(__xludf.DUMMYFUNCTION("""COMPUTED_VALUE"""),5.0)</f>
        <v>5</v>
      </c>
      <c r="U501" s="2">
        <f>IFERROR(__xludf.DUMMYFUNCTION("""COMPUTED_VALUE"""),57.25)</f>
        <v>57.25</v>
      </c>
      <c r="V501" s="1" t="str">
        <f>IFERROR(__xludf.DUMMYFUNCTION("""COMPUTED_VALUE"""),"Vinz Lazaro")</f>
        <v>Vinz Lazaro</v>
      </c>
      <c r="W501" s="1" t="str">
        <f>IFERROR(__xludf.DUMMYFUNCTION("""COMPUTED_VALUE"""),"Advanced Product Support")</f>
        <v>Advanced Product Support</v>
      </c>
    </row>
    <row r="502">
      <c r="O502" s="1" t="str">
        <f>IFERROR(__xludf.DUMMYFUNCTION("""COMPUTED_VALUE"""),"2025 Jul")</f>
        <v>2025 Jul</v>
      </c>
      <c r="P502" s="1" t="str">
        <f>IFERROR(__xludf.DUMMYFUNCTION("""COMPUTED_VALUE"""),"#N/A")</f>
        <v>#N/A</v>
      </c>
      <c r="Q502" s="1" t="str">
        <f>IFERROR(__xludf.DUMMYFUNCTION("""COMPUTED_VALUE"""),"paul.y@canva.com")</f>
        <v>paul.y@canva.com</v>
      </c>
      <c r="R502" s="1" t="str">
        <f>IFERROR(__xludf.DUMMYFUNCTION("""COMPUTED_VALUE"""),"Paul Yang")</f>
        <v>Paul Yang</v>
      </c>
      <c r="S502" s="1">
        <f>IFERROR(__xludf.DUMMYFUNCTION("""COMPUTED_VALUE"""),15.5)</f>
        <v>15.5</v>
      </c>
      <c r="T502" s="1">
        <f>IFERROR(__xludf.DUMMYFUNCTION("""COMPUTED_VALUE"""),6.75)</f>
        <v>6.75</v>
      </c>
      <c r="U502" s="2">
        <f>IFERROR(__xludf.DUMMYFUNCTION("""COMPUTED_VALUE"""),22.25)</f>
        <v>22.25</v>
      </c>
      <c r="V502" s="1" t="str">
        <f>IFERROR(__xludf.DUMMYFUNCTION("""COMPUTED_VALUE"""),"#N/A")</f>
        <v>#N/A</v>
      </c>
      <c r="W502" s="1" t="str">
        <f>IFERROR(__xludf.DUMMYFUNCTION("""COMPUTED_VALUE"""),"#N/A")</f>
        <v>#N/A</v>
      </c>
    </row>
    <row r="503">
      <c r="O503" s="1" t="str">
        <f>IFERROR(__xludf.DUMMYFUNCTION("""COMPUTED_VALUE"""),"2025 Jul")</f>
        <v>2025 Jul</v>
      </c>
      <c r="P503" s="1" t="str">
        <f>IFERROR(__xludf.DUMMYFUNCTION("""COMPUTED_VALUE"""),"High Sensitivity Support")</f>
        <v>High Sensitivity Support</v>
      </c>
      <c r="Q503" s="1" t="str">
        <f>IFERROR(__xludf.DUMMYFUNCTION("""COMPUTED_VALUE"""),"phillipronquillo@canva.com")</f>
        <v>phillipronquillo@canva.com</v>
      </c>
      <c r="R503" s="1" t="str">
        <f>IFERROR(__xludf.DUMMYFUNCTION("""COMPUTED_VALUE"""),"Phil Ronquillo")</f>
        <v>Phil Ronquillo</v>
      </c>
      <c r="S503" s="1">
        <f>IFERROR(__xludf.DUMMYFUNCTION("""COMPUTED_VALUE"""),26.62)</f>
        <v>26.62</v>
      </c>
      <c r="T503" s="1">
        <f>IFERROR(__xludf.DUMMYFUNCTION("""COMPUTED_VALUE"""),10.58)</f>
        <v>10.58</v>
      </c>
      <c r="U503" s="2">
        <f>IFERROR(__xludf.DUMMYFUNCTION("""COMPUTED_VALUE"""),37.2)</f>
        <v>37.2</v>
      </c>
      <c r="V503" s="1" t="str">
        <f>IFERROR(__xludf.DUMMYFUNCTION("""COMPUTED_VALUE"""),"Rossheen Pura")</f>
        <v>Rossheen Pura</v>
      </c>
      <c r="W503" s="1" t="str">
        <f>IFERROR(__xludf.DUMMYFUNCTION("""COMPUTED_VALUE"""),"High Sensitivity Support PH")</f>
        <v>High Sensitivity Support PH</v>
      </c>
    </row>
    <row r="504">
      <c r="O504" s="1" t="str">
        <f>IFERROR(__xludf.DUMMYFUNCTION("""COMPUTED_VALUE"""),"2025 Jul")</f>
        <v>2025 Jul</v>
      </c>
      <c r="P504" s="1" t="str">
        <f>IFERROR(__xludf.DUMMYFUNCTION("""COMPUTED_VALUE"""),"Core Product Support")</f>
        <v>Core Product Support</v>
      </c>
      <c r="Q504" s="1" t="str">
        <f>IFERROR(__xludf.DUMMYFUNCTION("""COMPUTED_VALUE"""),"pnicolepescador@canva.com")</f>
        <v>pnicolepescador@canva.com</v>
      </c>
      <c r="R504" s="1" t="str">
        <f>IFERROR(__xludf.DUMMYFUNCTION("""COMPUTED_VALUE"""),"Precious Pescador")</f>
        <v>Precious Pescador</v>
      </c>
      <c r="S504" s="1">
        <f>IFERROR(__xludf.DUMMYFUNCTION("""COMPUTED_VALUE"""),28.03)</f>
        <v>28.03</v>
      </c>
      <c r="T504" s="1">
        <f>IFERROR(__xludf.DUMMYFUNCTION("""COMPUTED_VALUE"""),13.97)</f>
        <v>13.97</v>
      </c>
      <c r="U504" s="2">
        <f>IFERROR(__xludf.DUMMYFUNCTION("""COMPUTED_VALUE"""),42.0)</f>
        <v>42</v>
      </c>
      <c r="V504" s="1" t="str">
        <f>IFERROR(__xludf.DUMMYFUNCTION("""COMPUTED_VALUE"""),"Ayza Marie Pascual")</f>
        <v>Ayza Marie Pascual</v>
      </c>
      <c r="W504" s="1" t="str">
        <f>IFERROR(__xludf.DUMMYFUNCTION("""COMPUTED_VALUE"""),"Advanced Billing &amp; Subscriptions")</f>
        <v>Advanced Billing &amp; Subscriptions</v>
      </c>
    </row>
    <row r="505">
      <c r="O505" s="1" t="str">
        <f>IFERROR(__xludf.DUMMYFUNCTION("""COMPUTED_VALUE"""),"2025 Jul")</f>
        <v>2025 Jul</v>
      </c>
      <c r="P505" s="1" t="str">
        <f>IFERROR(__xludf.DUMMYFUNCTION("""COMPUTED_VALUE"""),"#N/A")</f>
        <v>#N/A</v>
      </c>
      <c r="Q505" s="1" t="str">
        <f>IFERROR(__xludf.DUMMYFUNCTION("""COMPUTED_VALUE"""),"princessr@canva.com")</f>
        <v>princessr@canva.com</v>
      </c>
      <c r="R505" s="1" t="str">
        <f>IFERROR(__xludf.DUMMYFUNCTION("""COMPUTED_VALUE"""),"Princess Rivera")</f>
        <v>Princess Rivera</v>
      </c>
      <c r="S505" s="1">
        <f>IFERROR(__xludf.DUMMYFUNCTION("""COMPUTED_VALUE"""),34.5)</f>
        <v>34.5</v>
      </c>
      <c r="T505" s="1">
        <f>IFERROR(__xludf.DUMMYFUNCTION("""COMPUTED_VALUE"""),0.5)</f>
        <v>0.5</v>
      </c>
      <c r="U505" s="2">
        <f>IFERROR(__xludf.DUMMYFUNCTION("""COMPUTED_VALUE"""),35.0)</f>
        <v>35</v>
      </c>
      <c r="V505" s="1" t="str">
        <f>IFERROR(__xludf.DUMMYFUNCTION("""COMPUTED_VALUE"""),"#N/A")</f>
        <v>#N/A</v>
      </c>
      <c r="W505" s="1" t="str">
        <f>IFERROR(__xludf.DUMMYFUNCTION("""COMPUTED_VALUE"""),"#N/A")</f>
        <v>#N/A</v>
      </c>
    </row>
    <row r="506">
      <c r="O506" s="1" t="str">
        <f>IFERROR(__xludf.DUMMYFUNCTION("""COMPUTED_VALUE"""),"2025 Jul")</f>
        <v>2025 Jul</v>
      </c>
      <c r="P506" s="1" t="str">
        <f>IFERROR(__xludf.DUMMYFUNCTION("""COMPUTED_VALUE"""),"High Sensitivity Support")</f>
        <v>High Sensitivity Support</v>
      </c>
      <c r="Q506" s="1" t="str">
        <f>IFERROR(__xludf.DUMMYFUNCTION("""COMPUTED_VALUE"""),"quennie@canva.com")</f>
        <v>quennie@canva.com</v>
      </c>
      <c r="R506" s="1" t="str">
        <f>IFERROR(__xludf.DUMMYFUNCTION("""COMPUTED_VALUE"""),"Quennie Quisel")</f>
        <v>Quennie Quisel</v>
      </c>
      <c r="S506" s="1"/>
      <c r="T506" s="1">
        <f>IFERROR(__xludf.DUMMYFUNCTION("""COMPUTED_VALUE"""),5.93)</f>
        <v>5.93</v>
      </c>
      <c r="U506" s="2">
        <f>IFERROR(__xludf.DUMMYFUNCTION("""COMPUTED_VALUE"""),5.93)</f>
        <v>5.93</v>
      </c>
      <c r="V506" s="1" t="str">
        <f>IFERROR(__xludf.DUMMYFUNCTION("""COMPUTED_VALUE"""),"Issi Afable")</f>
        <v>Issi Afable</v>
      </c>
      <c r="W506" s="1" t="str">
        <f>IFERROR(__xludf.DUMMYFUNCTION("""COMPUTED_VALUE"""),"High Sensitivity Support PH")</f>
        <v>High Sensitivity Support PH</v>
      </c>
    </row>
    <row r="507">
      <c r="O507" s="1" t="str">
        <f>IFERROR(__xludf.DUMMYFUNCTION("""COMPUTED_VALUE"""),"2025 Jul")</f>
        <v>2025 Jul</v>
      </c>
      <c r="P507" s="1" t="str">
        <f>IFERROR(__xludf.DUMMYFUNCTION("""COMPUTED_VALUE"""),"Core Product Support")</f>
        <v>Core Product Support</v>
      </c>
      <c r="Q507" s="1" t="str">
        <f>IFERROR(__xludf.DUMMYFUNCTION("""COMPUTED_VALUE"""),"rachellynanne@canva.com")</f>
        <v>rachellynanne@canva.com</v>
      </c>
      <c r="R507" s="1" t="str">
        <f>IFERROR(__xludf.DUMMYFUNCTION("""COMPUTED_VALUE"""),"Rachellyn Medina")</f>
        <v>Rachellyn Medina</v>
      </c>
      <c r="S507" s="1">
        <f>IFERROR(__xludf.DUMMYFUNCTION("""COMPUTED_VALUE"""),15.92)</f>
        <v>15.92</v>
      </c>
      <c r="T507" s="1">
        <f>IFERROR(__xludf.DUMMYFUNCTION("""COMPUTED_VALUE"""),3.67)</f>
        <v>3.67</v>
      </c>
      <c r="U507" s="2">
        <f>IFERROR(__xludf.DUMMYFUNCTION("""COMPUTED_VALUE"""),19.59)</f>
        <v>19.59</v>
      </c>
      <c r="V507" s="1" t="str">
        <f>IFERROR(__xludf.DUMMYFUNCTION("""COMPUTED_VALUE"""),"Jem Mondoñedo")</f>
        <v>Jem Mondoñedo</v>
      </c>
      <c r="W507" s="1" t="str">
        <f>IFERROR(__xludf.DUMMYFUNCTION("""COMPUTED_VALUE"""),"Advanced Billing &amp; Subscriptions")</f>
        <v>Advanced Billing &amp; Subscriptions</v>
      </c>
    </row>
    <row r="508">
      <c r="O508" s="1" t="str">
        <f>IFERROR(__xludf.DUMMYFUNCTION("""COMPUTED_VALUE"""),"2025 Jul")</f>
        <v>2025 Jul</v>
      </c>
      <c r="P508" s="1" t="str">
        <f>IFERROR(__xludf.DUMMYFUNCTION("""COMPUTED_VALUE"""),"Core Product Support")</f>
        <v>Core Product Support</v>
      </c>
      <c r="Q508" s="1" t="str">
        <f>IFERROR(__xludf.DUMMYFUNCTION("""COMPUTED_VALUE"""),"alfredomillares@canva.com")</f>
        <v>alfredomillares@canva.com</v>
      </c>
      <c r="R508" s="1" t="str">
        <f>IFERROR(__xludf.DUMMYFUNCTION("""COMPUTED_VALUE"""),"Rael Millares")</f>
        <v>Rael Millares</v>
      </c>
      <c r="S508" s="1">
        <f>IFERROR(__xludf.DUMMYFUNCTION("""COMPUTED_VALUE"""),21.2)</f>
        <v>21.2</v>
      </c>
      <c r="T508" s="1">
        <f>IFERROR(__xludf.DUMMYFUNCTION("""COMPUTED_VALUE"""),7.92)</f>
        <v>7.92</v>
      </c>
      <c r="U508" s="2">
        <f>IFERROR(__xludf.DUMMYFUNCTION("""COMPUTED_VALUE"""),29.119999999999997)</f>
        <v>29.12</v>
      </c>
      <c r="V508" s="1" t="str">
        <f>IFERROR(__xludf.DUMMYFUNCTION("""COMPUTED_VALUE"""),"Jahmie Mae Barrameda")</f>
        <v>Jahmie Mae Barrameda</v>
      </c>
      <c r="W508" s="1" t="str">
        <f>IFERROR(__xludf.DUMMYFUNCTION("""COMPUTED_VALUE"""),"Advanced Billing &amp; Subscriptions")</f>
        <v>Advanced Billing &amp; Subscriptions</v>
      </c>
    </row>
    <row r="509">
      <c r="O509" s="1" t="str">
        <f>IFERROR(__xludf.DUMMYFUNCTION("""COMPUTED_VALUE"""),"2025 Jul")</f>
        <v>2025 Jul</v>
      </c>
      <c r="P509" s="1" t="str">
        <f>IFERROR(__xludf.DUMMYFUNCTION("""COMPUTED_VALUE"""),"Multilingual Support")</f>
        <v>Multilingual Support</v>
      </c>
      <c r="Q509" s="1" t="str">
        <f>IFERROR(__xludf.DUMMYFUNCTION("""COMPUTED_VALUE"""),"ranufre@canva.com")</f>
        <v>ranufre@canva.com</v>
      </c>
      <c r="R509" s="1" t="str">
        <f>IFERROR(__xludf.DUMMYFUNCTION("""COMPUTED_VALUE"""),"Rafa Freitas")</f>
        <v>Rafa Freitas</v>
      </c>
      <c r="S509" s="1">
        <f>IFERROR(__xludf.DUMMYFUNCTION("""COMPUTED_VALUE"""),5.0)</f>
        <v>5</v>
      </c>
      <c r="T509" s="1"/>
      <c r="U509" s="2">
        <f>IFERROR(__xludf.DUMMYFUNCTION("""COMPUTED_VALUE"""),5.0)</f>
        <v>5</v>
      </c>
      <c r="V509" s="1" t="str">
        <f>IFERROR(__xludf.DUMMYFUNCTION("""COMPUTED_VALUE"""),"Arlene Maurillo")</f>
        <v>Arlene Maurillo</v>
      </c>
      <c r="W509" s="1" t="str">
        <f>IFERROR(__xludf.DUMMYFUNCTION("""COMPUTED_VALUE"""),"PHL, Multilingual Support")</f>
        <v>PHL, Multilingual Support</v>
      </c>
    </row>
    <row r="510">
      <c r="O510" s="1" t="str">
        <f>IFERROR(__xludf.DUMMYFUNCTION("""COMPUTED_VALUE"""),"2025 Jul")</f>
        <v>2025 Jul</v>
      </c>
      <c r="P510" s="1" t="str">
        <f>IFERROR(__xludf.DUMMYFUNCTION("""COMPUTED_VALUE"""),"Core Product Support")</f>
        <v>Core Product Support</v>
      </c>
      <c r="Q510" s="1" t="str">
        <f>IFERROR(__xludf.DUMMYFUNCTION("""COMPUTED_VALUE"""),"rafaticzon@canva.com")</f>
        <v>rafaticzon@canva.com</v>
      </c>
      <c r="R510" s="1" t="str">
        <f>IFERROR(__xludf.DUMMYFUNCTION("""COMPUTED_VALUE"""),"Rafa Ticzon")</f>
        <v>Rafa Ticzon</v>
      </c>
      <c r="S510" s="1">
        <f>IFERROR(__xludf.DUMMYFUNCTION("""COMPUTED_VALUE"""),45.42)</f>
        <v>45.42</v>
      </c>
      <c r="T510" s="1">
        <f>IFERROR(__xludf.DUMMYFUNCTION("""COMPUTED_VALUE"""),9.33)</f>
        <v>9.33</v>
      </c>
      <c r="U510" s="2">
        <f>IFERROR(__xludf.DUMMYFUNCTION("""COMPUTED_VALUE"""),54.75)</f>
        <v>54.75</v>
      </c>
      <c r="V510" s="1" t="str">
        <f>IFERROR(__xludf.DUMMYFUNCTION("""COMPUTED_VALUE"""),"Mikhaela Decangchon")</f>
        <v>Mikhaela Decangchon</v>
      </c>
      <c r="W510" s="1" t="str">
        <f>IFERROR(__xludf.DUMMYFUNCTION("""COMPUTED_VALUE"""),"Advanced Product Support")</f>
        <v>Advanced Product Support</v>
      </c>
    </row>
    <row r="511">
      <c r="O511" s="1" t="str">
        <f>IFERROR(__xludf.DUMMYFUNCTION("""COMPUTED_VALUE"""),"2025 Jul")</f>
        <v>2025 Jul</v>
      </c>
      <c r="P511" s="1" t="str">
        <f>IFERROR(__xludf.DUMMYFUNCTION("""COMPUTED_VALUE"""),"Core Product Support")</f>
        <v>Core Product Support</v>
      </c>
      <c r="Q511" s="1" t="str">
        <f>IFERROR(__xludf.DUMMYFUNCTION("""COMPUTED_VALUE"""),"candace@canva.com")</f>
        <v>candace@canva.com</v>
      </c>
      <c r="R511" s="1" t="str">
        <f>IFERROR(__xludf.DUMMYFUNCTION("""COMPUTED_VALUE"""),"Rainne Candace Llagas")</f>
        <v>Rainne Candace Llagas</v>
      </c>
      <c r="S511" s="1">
        <f>IFERROR(__xludf.DUMMYFUNCTION("""COMPUTED_VALUE"""),64.67)</f>
        <v>64.67</v>
      </c>
      <c r="T511" s="1">
        <f>IFERROR(__xludf.DUMMYFUNCTION("""COMPUTED_VALUE"""),6.5)</f>
        <v>6.5</v>
      </c>
      <c r="U511" s="2">
        <f>IFERROR(__xludf.DUMMYFUNCTION("""COMPUTED_VALUE"""),71.17)</f>
        <v>71.17</v>
      </c>
      <c r="V511" s="1" t="str">
        <f>IFERROR(__xludf.DUMMYFUNCTION("""COMPUTED_VALUE"""),"Belle Bentazal")</f>
        <v>Belle Bentazal</v>
      </c>
      <c r="W511" s="1" t="str">
        <f>IFERROR(__xludf.DUMMYFUNCTION("""COMPUTED_VALUE"""),"Advanced Product Support")</f>
        <v>Advanced Product Support</v>
      </c>
    </row>
    <row r="512">
      <c r="O512" s="1" t="str">
        <f>IFERROR(__xludf.DUMMYFUNCTION("""COMPUTED_VALUE"""),"2025 Jul")</f>
        <v>2025 Jul</v>
      </c>
      <c r="P512" s="1" t="str">
        <f>IFERROR(__xludf.DUMMYFUNCTION("""COMPUTED_VALUE"""),"Core Product Support")</f>
        <v>Core Product Support</v>
      </c>
      <c r="Q512" s="1" t="str">
        <f>IFERROR(__xludf.DUMMYFUNCTION("""COMPUTED_VALUE"""),"rmercado@canva.com")</f>
        <v>rmercado@canva.com</v>
      </c>
      <c r="R512" s="1" t="str">
        <f>IFERROR(__xludf.DUMMYFUNCTION("""COMPUTED_VALUE"""),"Ram Mercado")</f>
        <v>Ram Mercado</v>
      </c>
      <c r="S512" s="1">
        <f>IFERROR(__xludf.DUMMYFUNCTION("""COMPUTED_VALUE"""),8.5)</f>
        <v>8.5</v>
      </c>
      <c r="T512" s="1">
        <f>IFERROR(__xludf.DUMMYFUNCTION("""COMPUTED_VALUE"""),65.0)</f>
        <v>65</v>
      </c>
      <c r="U512" s="2">
        <f>IFERROR(__xludf.DUMMYFUNCTION("""COMPUTED_VALUE"""),73.5)</f>
        <v>73.5</v>
      </c>
      <c r="V512" s="1" t="str">
        <f>IFERROR(__xludf.DUMMYFUNCTION("""COMPUTED_VALUE"""),"Jelyn Elmido")</f>
        <v>Jelyn Elmido</v>
      </c>
      <c r="W512" s="1" t="str">
        <f>IFERROR(__xludf.DUMMYFUNCTION("""COMPUTED_VALUE"""),"Core Product Support Escalation Team")</f>
        <v>Core Product Support Escalation Team</v>
      </c>
    </row>
    <row r="513">
      <c r="O513" s="1" t="str">
        <f>IFERROR(__xludf.DUMMYFUNCTION("""COMPUTED_VALUE"""),"2025 Jul")</f>
        <v>2025 Jul</v>
      </c>
      <c r="P513" s="1" t="str">
        <f>IFERROR(__xludf.DUMMYFUNCTION("""COMPUTED_VALUE"""),"Core Product Support")</f>
        <v>Core Product Support</v>
      </c>
      <c r="Q513" s="1" t="str">
        <f>IFERROR(__xludf.DUMMYFUNCTION("""COMPUTED_VALUE"""),"razelleroe@canva.com")</f>
        <v>razelleroe@canva.com</v>
      </c>
      <c r="R513" s="1" t="str">
        <f>IFERROR(__xludf.DUMMYFUNCTION("""COMPUTED_VALUE"""),"Razelle Roe Garaza")</f>
        <v>Razelle Roe Garaza</v>
      </c>
      <c r="S513" s="1">
        <f>IFERROR(__xludf.DUMMYFUNCTION("""COMPUTED_VALUE"""),10.75)</f>
        <v>10.75</v>
      </c>
      <c r="T513" s="1">
        <f>IFERROR(__xludf.DUMMYFUNCTION("""COMPUTED_VALUE"""),14.5)</f>
        <v>14.5</v>
      </c>
      <c r="U513" s="2">
        <f>IFERROR(__xludf.DUMMYFUNCTION("""COMPUTED_VALUE"""),25.25)</f>
        <v>25.25</v>
      </c>
      <c r="V513" s="1" t="str">
        <f>IFERROR(__xludf.DUMMYFUNCTION("""COMPUTED_VALUE"""),"Ana Lazaro")</f>
        <v>Ana Lazaro</v>
      </c>
      <c r="W513" s="1" t="str">
        <f>IFERROR(__xludf.DUMMYFUNCTION("""COMPUTED_VALUE"""),"Advanced Billing &amp; Subscriptions")</f>
        <v>Advanced Billing &amp; Subscriptions</v>
      </c>
    </row>
    <row r="514">
      <c r="O514" s="1" t="str">
        <f>IFERROR(__xludf.DUMMYFUNCTION("""COMPUTED_VALUE"""),"2025 Jul")</f>
        <v>2025 Jul</v>
      </c>
      <c r="P514" s="1" t="str">
        <f>IFERROR(__xludf.DUMMYFUNCTION("""COMPUTED_VALUE"""),"Admin Support")</f>
        <v>Admin Support</v>
      </c>
      <c r="Q514" s="1" t="str">
        <f>IFERROR(__xludf.DUMMYFUNCTION("""COMPUTED_VALUE"""),"rdolores@canva.com")</f>
        <v>rdolores@canva.com</v>
      </c>
      <c r="R514" s="1" t="str">
        <f>IFERROR(__xludf.DUMMYFUNCTION("""COMPUTED_VALUE"""),"Rea Alexis Dolores")</f>
        <v>Rea Alexis Dolores</v>
      </c>
      <c r="S514" s="1">
        <f>IFERROR(__xludf.DUMMYFUNCTION("""COMPUTED_VALUE"""),5.0)</f>
        <v>5</v>
      </c>
      <c r="T514" s="1">
        <f>IFERROR(__xludf.DUMMYFUNCTION("""COMPUTED_VALUE"""),6.92)</f>
        <v>6.92</v>
      </c>
      <c r="U514" s="2">
        <f>IFERROR(__xludf.DUMMYFUNCTION("""COMPUTED_VALUE"""),11.92)</f>
        <v>11.92</v>
      </c>
      <c r="V514" s="1" t="str">
        <f>IFERROR(__xludf.DUMMYFUNCTION("""COMPUTED_VALUE"""),"Karla Mananghaya")</f>
        <v>Karla Mananghaya</v>
      </c>
      <c r="W514" s="1" t="str">
        <f>IFERROR(__xludf.DUMMYFUNCTION("""COMPUTED_VALUE"""),"Admin Support Service Escalation Team")</f>
        <v>Admin Support Service Escalation Team</v>
      </c>
    </row>
    <row r="515">
      <c r="O515" s="1" t="str">
        <f>IFERROR(__xludf.DUMMYFUNCTION("""COMPUTED_VALUE"""),"2025 Jul")</f>
        <v>2025 Jul</v>
      </c>
      <c r="P515" s="1" t="str">
        <f>IFERROR(__xludf.DUMMYFUNCTION("""COMPUTED_VALUE"""),"Admin Support")</f>
        <v>Admin Support</v>
      </c>
      <c r="Q515" s="1" t="str">
        <f>IFERROR(__xludf.DUMMYFUNCTION("""COMPUTED_VALUE"""),"red@canva.com")</f>
        <v>red@canva.com</v>
      </c>
      <c r="R515" s="1" t="str">
        <f>IFERROR(__xludf.DUMMYFUNCTION("""COMPUTED_VALUE"""),"Red Dela Rosa")</f>
        <v>Red Dela Rosa</v>
      </c>
      <c r="S515" s="1">
        <f>IFERROR(__xludf.DUMMYFUNCTION("""COMPUTED_VALUE"""),3.0)</f>
        <v>3</v>
      </c>
      <c r="T515" s="1">
        <f>IFERROR(__xludf.DUMMYFUNCTION("""COMPUTED_VALUE"""),8.55)</f>
        <v>8.55</v>
      </c>
      <c r="U515" s="2">
        <f>IFERROR(__xludf.DUMMYFUNCTION("""COMPUTED_VALUE"""),11.55)</f>
        <v>11.55</v>
      </c>
      <c r="V515" s="1" t="str">
        <f>IFERROR(__xludf.DUMMYFUNCTION("""COMPUTED_VALUE"""),"Pau Palmero")</f>
        <v>Pau Palmero</v>
      </c>
      <c r="W515" s="1" t="str">
        <f>IFERROR(__xludf.DUMMYFUNCTION("""COMPUTED_VALUE"""),"Admin Omni Support")</f>
        <v>Admin Omni Support</v>
      </c>
    </row>
    <row r="516">
      <c r="O516" s="1" t="str">
        <f>IFERROR(__xludf.DUMMYFUNCTION("""COMPUTED_VALUE"""),"2025 Jul")</f>
        <v>2025 Jul</v>
      </c>
      <c r="P516" s="1" t="str">
        <f>IFERROR(__xludf.DUMMYFUNCTION("""COMPUTED_VALUE"""),"Admin Support")</f>
        <v>Admin Support</v>
      </c>
      <c r="Q516" s="1" t="str">
        <f>IFERROR(__xludf.DUMMYFUNCTION("""COMPUTED_VALUE"""),"regie@canva.com")</f>
        <v>regie@canva.com</v>
      </c>
      <c r="R516" s="1" t="str">
        <f>IFERROR(__xludf.DUMMYFUNCTION("""COMPUTED_VALUE"""),"Regie Yambot")</f>
        <v>Regie Yambot</v>
      </c>
      <c r="S516" s="1">
        <f>IFERROR(__xludf.DUMMYFUNCTION("""COMPUTED_VALUE"""),6.25)</f>
        <v>6.25</v>
      </c>
      <c r="T516" s="1">
        <f>IFERROR(__xludf.DUMMYFUNCTION("""COMPUTED_VALUE"""),5.1)</f>
        <v>5.1</v>
      </c>
      <c r="U516" s="2">
        <f>IFERROR(__xludf.DUMMYFUNCTION("""COMPUTED_VALUE"""),11.35)</f>
        <v>11.35</v>
      </c>
      <c r="V516" s="1" t="str">
        <f>IFERROR(__xludf.DUMMYFUNCTION("""COMPUTED_VALUE"""),"Pau Palmero")</f>
        <v>Pau Palmero</v>
      </c>
      <c r="W516" s="1" t="str">
        <f>IFERROR(__xludf.DUMMYFUNCTION("""COMPUTED_VALUE"""),"Admin Omni Support")</f>
        <v>Admin Omni Support</v>
      </c>
    </row>
    <row r="517">
      <c r="O517" s="1" t="str">
        <f>IFERROR(__xludf.DUMMYFUNCTION("""COMPUTED_VALUE"""),"2025 Jul")</f>
        <v>2025 Jul</v>
      </c>
      <c r="P517" s="1" t="str">
        <f>IFERROR(__xludf.DUMMYFUNCTION("""COMPUTED_VALUE"""),"Core Product Support")</f>
        <v>Core Product Support</v>
      </c>
      <c r="Q517" s="1" t="str">
        <f>IFERROR(__xludf.DUMMYFUNCTION("""COMPUTED_VALUE"""),"rej@canva.com")</f>
        <v>rej@canva.com</v>
      </c>
      <c r="R517" s="1" t="str">
        <f>IFERROR(__xludf.DUMMYFUNCTION("""COMPUTED_VALUE"""),"Rej Benipayo")</f>
        <v>Rej Benipayo</v>
      </c>
      <c r="S517" s="1">
        <f>IFERROR(__xludf.DUMMYFUNCTION("""COMPUTED_VALUE"""),33.17)</f>
        <v>33.17</v>
      </c>
      <c r="T517" s="1">
        <f>IFERROR(__xludf.DUMMYFUNCTION("""COMPUTED_VALUE"""),4.25)</f>
        <v>4.25</v>
      </c>
      <c r="U517" s="2">
        <f>IFERROR(__xludf.DUMMYFUNCTION("""COMPUTED_VALUE"""),37.42)</f>
        <v>37.42</v>
      </c>
      <c r="V517" s="1" t="str">
        <f>IFERROR(__xludf.DUMMYFUNCTION("""COMPUTED_VALUE"""),"Renette Bok")</f>
        <v>Renette Bok</v>
      </c>
      <c r="W517" s="1" t="str">
        <f>IFERROR(__xludf.DUMMYFUNCTION("""COMPUTED_VALUE"""),"Advanced Billing &amp; Subscriptions")</f>
        <v>Advanced Billing &amp; Subscriptions</v>
      </c>
    </row>
    <row r="518">
      <c r="O518" s="1" t="str">
        <f>IFERROR(__xludf.DUMMYFUNCTION("""COMPUTED_VALUE"""),"2025 Jul")</f>
        <v>2025 Jul</v>
      </c>
      <c r="P518" s="1" t="str">
        <f>IFERROR(__xludf.DUMMYFUNCTION("""COMPUTED_VALUE"""),"Core Product Support")</f>
        <v>Core Product Support</v>
      </c>
      <c r="Q518" s="1" t="str">
        <f>IFERROR(__xludf.DUMMYFUNCTION("""COMPUTED_VALUE"""),"revisuarez@canva.com")</f>
        <v>revisuarez@canva.com</v>
      </c>
      <c r="R518" s="1" t="str">
        <f>IFERROR(__xludf.DUMMYFUNCTION("""COMPUTED_VALUE"""),"Revi Suarez")</f>
        <v>Revi Suarez</v>
      </c>
      <c r="S518" s="1">
        <f>IFERROR(__xludf.DUMMYFUNCTION("""COMPUTED_VALUE"""),16.62)</f>
        <v>16.62</v>
      </c>
      <c r="T518" s="1">
        <f>IFERROR(__xludf.DUMMYFUNCTION("""COMPUTED_VALUE"""),11.0)</f>
        <v>11</v>
      </c>
      <c r="U518" s="2">
        <f>IFERROR(__xludf.DUMMYFUNCTION("""COMPUTED_VALUE"""),27.62)</f>
        <v>27.62</v>
      </c>
      <c r="V518" s="1" t="str">
        <f>IFERROR(__xludf.DUMMYFUNCTION("""COMPUTED_VALUE"""),"Jelyn Elmido")</f>
        <v>Jelyn Elmido</v>
      </c>
      <c r="W518" s="1" t="str">
        <f>IFERROR(__xludf.DUMMYFUNCTION("""COMPUTED_VALUE"""),"Core Product Support Escalation Team")</f>
        <v>Core Product Support Escalation Team</v>
      </c>
    </row>
    <row r="519">
      <c r="O519" s="1" t="str">
        <f>IFERROR(__xludf.DUMMYFUNCTION("""COMPUTED_VALUE"""),"2025 Jul")</f>
        <v>2025 Jul</v>
      </c>
      <c r="P519" s="1" t="str">
        <f>IFERROR(__xludf.DUMMYFUNCTION("""COMPUTED_VALUE"""),"High Sensitivity Support")</f>
        <v>High Sensitivity Support</v>
      </c>
      <c r="Q519" s="1" t="str">
        <f>IFERROR(__xludf.DUMMYFUNCTION("""COMPUTED_VALUE"""),"reya@canva.com")</f>
        <v>reya@canva.com</v>
      </c>
      <c r="R519" s="1" t="str">
        <f>IFERROR(__xludf.DUMMYFUNCTION("""COMPUTED_VALUE"""),"Reya Joson")</f>
        <v>Reya Joson</v>
      </c>
      <c r="S519" s="1">
        <f>IFERROR(__xludf.DUMMYFUNCTION("""COMPUTED_VALUE"""),11.5)</f>
        <v>11.5</v>
      </c>
      <c r="T519" s="1">
        <f>IFERROR(__xludf.DUMMYFUNCTION("""COMPUTED_VALUE"""),15.62)</f>
        <v>15.62</v>
      </c>
      <c r="U519" s="2">
        <f>IFERROR(__xludf.DUMMYFUNCTION("""COMPUTED_VALUE"""),27.119999999999997)</f>
        <v>27.12</v>
      </c>
      <c r="V519" s="1" t="str">
        <f>IFERROR(__xludf.DUMMYFUNCTION("""COMPUTED_VALUE"""),"Issi Afable")</f>
        <v>Issi Afable</v>
      </c>
      <c r="W519" s="1" t="str">
        <f>IFERROR(__xludf.DUMMYFUNCTION("""COMPUTED_VALUE"""),"High Sensitivity Support PH")</f>
        <v>High Sensitivity Support PH</v>
      </c>
    </row>
    <row r="520">
      <c r="O520" s="1" t="str">
        <f>IFERROR(__xludf.DUMMYFUNCTION("""COMPUTED_VALUE"""),"2025 Jul")</f>
        <v>2025 Jul</v>
      </c>
      <c r="P520" s="1" t="str">
        <f>IFERROR(__xludf.DUMMYFUNCTION("""COMPUTED_VALUE"""),"Segment-specific Support")</f>
        <v>Segment-specific Support</v>
      </c>
      <c r="Q520" s="1" t="str">
        <f>IFERROR(__xludf.DUMMYFUNCTION("""COMPUTED_VALUE"""),"rizzah@canva.com")</f>
        <v>rizzah@canva.com</v>
      </c>
      <c r="R520" s="1" t="str">
        <f>IFERROR(__xludf.DUMMYFUNCTION("""COMPUTED_VALUE"""),"Rizzah Hope Anjao")</f>
        <v>Rizzah Hope Anjao</v>
      </c>
      <c r="S520" s="1">
        <f>IFERROR(__xludf.DUMMYFUNCTION("""COMPUTED_VALUE"""),3.0)</f>
        <v>3</v>
      </c>
      <c r="T520" s="1">
        <f>IFERROR(__xludf.DUMMYFUNCTION("""COMPUTED_VALUE"""),3.0)</f>
        <v>3</v>
      </c>
      <c r="U520" s="2">
        <f>IFERROR(__xludf.DUMMYFUNCTION("""COMPUTED_VALUE"""),6.0)</f>
        <v>6</v>
      </c>
      <c r="V520" s="1" t="str">
        <f>IFERROR(__xludf.DUMMYFUNCTION("""COMPUTED_VALUE"""),"Gucci Nava")</f>
        <v>Gucci Nava</v>
      </c>
      <c r="W520" s="1" t="str">
        <f>IFERROR(__xludf.DUMMYFUNCTION("""COMPUTED_VALUE"""),"Affinity Support")</f>
        <v>Affinity Support</v>
      </c>
    </row>
    <row r="521">
      <c r="O521" s="1" t="str">
        <f>IFERROR(__xludf.DUMMYFUNCTION("""COMPUTED_VALUE"""),"2025 Jul")</f>
        <v>2025 Jul</v>
      </c>
      <c r="P521" s="1" t="str">
        <f>IFERROR(__xludf.DUMMYFUNCTION("""COMPUTED_VALUE"""),"Print Support")</f>
        <v>Print Support</v>
      </c>
      <c r="Q521" s="1" t="str">
        <f>IFERROR(__xludf.DUMMYFUNCTION("""COMPUTED_VALUE"""),"robsuico@canva.com")</f>
        <v>robsuico@canva.com</v>
      </c>
      <c r="R521" s="1" t="str">
        <f>IFERROR(__xludf.DUMMYFUNCTION("""COMPUTED_VALUE"""),"Robin Suico")</f>
        <v>Robin Suico</v>
      </c>
      <c r="S521" s="1">
        <f>IFERROR(__xludf.DUMMYFUNCTION("""COMPUTED_VALUE"""),8.58)</f>
        <v>8.58</v>
      </c>
      <c r="T521" s="1">
        <f>IFERROR(__xludf.DUMMYFUNCTION("""COMPUTED_VALUE"""),6.08)</f>
        <v>6.08</v>
      </c>
      <c r="U521" s="2">
        <f>IFERROR(__xludf.DUMMYFUNCTION("""COMPUTED_VALUE"""),14.66)</f>
        <v>14.66</v>
      </c>
      <c r="V521" s="1" t="str">
        <f>IFERROR(__xludf.DUMMYFUNCTION("""COMPUTED_VALUE"""),"Aliza Dote")</f>
        <v>Aliza Dote</v>
      </c>
      <c r="W521" s="1" t="str">
        <f>IFERROR(__xludf.DUMMYFUNCTION("""COMPUTED_VALUE"""),"Print Design Support")</f>
        <v>Print Design Support</v>
      </c>
    </row>
    <row r="522">
      <c r="O522" s="1" t="str">
        <f>IFERROR(__xludf.DUMMYFUNCTION("""COMPUTED_VALUE"""),"2025 Jul")</f>
        <v>2025 Jul</v>
      </c>
      <c r="P522" s="1" t="str">
        <f>IFERROR(__xludf.DUMMYFUNCTION("""COMPUTED_VALUE"""),"Core Product Support")</f>
        <v>Core Product Support</v>
      </c>
      <c r="Q522" s="1" t="str">
        <f>IFERROR(__xludf.DUMMYFUNCTION("""COMPUTED_VALUE"""),"ronally@canva.com")</f>
        <v>ronally@canva.com</v>
      </c>
      <c r="R522" s="1" t="str">
        <f>IFERROR(__xludf.DUMMYFUNCTION("""COMPUTED_VALUE"""),"Ronally Romero")</f>
        <v>Ronally Romero</v>
      </c>
      <c r="S522" s="1">
        <f>IFERROR(__xludf.DUMMYFUNCTION("""COMPUTED_VALUE"""),44.17)</f>
        <v>44.17</v>
      </c>
      <c r="T522" s="1">
        <f>IFERROR(__xludf.DUMMYFUNCTION("""COMPUTED_VALUE"""),8.08)</f>
        <v>8.08</v>
      </c>
      <c r="U522" s="2">
        <f>IFERROR(__xludf.DUMMYFUNCTION("""COMPUTED_VALUE"""),52.25)</f>
        <v>52.25</v>
      </c>
      <c r="V522" s="1" t="str">
        <f>IFERROR(__xludf.DUMMYFUNCTION("""COMPUTED_VALUE"""),"Cate Velasco")</f>
        <v>Cate Velasco</v>
      </c>
      <c r="W522" s="1" t="str">
        <f>IFERROR(__xludf.DUMMYFUNCTION("""COMPUTED_VALUE"""),"Advanced Product Support")</f>
        <v>Advanced Product Support</v>
      </c>
    </row>
    <row r="523">
      <c r="O523" s="1" t="str">
        <f>IFERROR(__xludf.DUMMYFUNCTION("""COMPUTED_VALUE"""),"2025 Jul")</f>
        <v>2025 Jul</v>
      </c>
      <c r="P523" s="1" t="str">
        <f>IFERROR(__xludf.DUMMYFUNCTION("""COMPUTED_VALUE"""),"Core Product Support")</f>
        <v>Core Product Support</v>
      </c>
      <c r="Q523" s="1" t="str">
        <f>IFERROR(__xludf.DUMMYFUNCTION("""COMPUTED_VALUE"""),"rvalderrama@canva.com")</f>
        <v>rvalderrama@canva.com</v>
      </c>
      <c r="R523" s="1" t="str">
        <f>IFERROR(__xludf.DUMMYFUNCTION("""COMPUTED_VALUE"""),"Rony Valderrama")</f>
        <v>Rony Valderrama</v>
      </c>
      <c r="S523" s="1">
        <f>IFERROR(__xludf.DUMMYFUNCTION("""COMPUTED_VALUE"""),32.92)</f>
        <v>32.92</v>
      </c>
      <c r="T523" s="1">
        <f>IFERROR(__xludf.DUMMYFUNCTION("""COMPUTED_VALUE"""),17.58)</f>
        <v>17.58</v>
      </c>
      <c r="U523" s="2">
        <f>IFERROR(__xludf.DUMMYFUNCTION("""COMPUTED_VALUE"""),50.5)</f>
        <v>50.5</v>
      </c>
      <c r="V523" s="1" t="str">
        <f>IFERROR(__xludf.DUMMYFUNCTION("""COMPUTED_VALUE"""),"Renette Bok")</f>
        <v>Renette Bok</v>
      </c>
      <c r="W523" s="1" t="str">
        <f>IFERROR(__xludf.DUMMYFUNCTION("""COMPUTED_VALUE"""),"Advanced Billing &amp; Subscriptions")</f>
        <v>Advanced Billing &amp; Subscriptions</v>
      </c>
    </row>
    <row r="524">
      <c r="O524" s="1" t="str">
        <f>IFERROR(__xludf.DUMMYFUNCTION("""COMPUTED_VALUE"""),"2025 Jul")</f>
        <v>2025 Jul</v>
      </c>
      <c r="P524" s="1" t="str">
        <f>IFERROR(__xludf.DUMMYFUNCTION("""COMPUTED_VALUE"""),"Core Product Support")</f>
        <v>Core Product Support</v>
      </c>
      <c r="Q524" s="1" t="str">
        <f>IFERROR(__xludf.DUMMYFUNCTION("""COMPUTED_VALUE"""),"ronyl@canva.com")</f>
        <v>ronyl@canva.com</v>
      </c>
      <c r="R524" s="1" t="str">
        <f>IFERROR(__xludf.DUMMYFUNCTION("""COMPUTED_VALUE"""),"Ronyl Masilang")</f>
        <v>Ronyl Masilang</v>
      </c>
      <c r="S524" s="1">
        <f>IFERROR(__xludf.DUMMYFUNCTION("""COMPUTED_VALUE"""),48.42)</f>
        <v>48.42</v>
      </c>
      <c r="T524" s="1">
        <f>IFERROR(__xludf.DUMMYFUNCTION("""COMPUTED_VALUE"""),8.33)</f>
        <v>8.33</v>
      </c>
      <c r="U524" s="2">
        <f>IFERROR(__xludf.DUMMYFUNCTION("""COMPUTED_VALUE"""),56.75)</f>
        <v>56.75</v>
      </c>
      <c r="V524" s="1" t="str">
        <f>IFERROR(__xludf.DUMMYFUNCTION("""COMPUTED_VALUE"""),"Cate Velasco")</f>
        <v>Cate Velasco</v>
      </c>
      <c r="W524" s="1" t="str">
        <f>IFERROR(__xludf.DUMMYFUNCTION("""COMPUTED_VALUE"""),"Advanced Product Support")</f>
        <v>Advanced Product Support</v>
      </c>
    </row>
    <row r="525">
      <c r="O525" s="1" t="str">
        <f>IFERROR(__xludf.DUMMYFUNCTION("""COMPUTED_VALUE"""),"2025 Jul")</f>
        <v>2025 Jul</v>
      </c>
      <c r="P525" s="1" t="str">
        <f>IFERROR(__xludf.DUMMYFUNCTION("""COMPUTED_VALUE"""),"Core Product Support")</f>
        <v>Core Product Support</v>
      </c>
      <c r="Q525" s="1" t="str">
        <f>IFERROR(__xludf.DUMMYFUNCTION("""COMPUTED_VALUE"""),"rounette@canva.com")</f>
        <v>rounette@canva.com</v>
      </c>
      <c r="R525" s="1" t="str">
        <f>IFERROR(__xludf.DUMMYFUNCTION("""COMPUTED_VALUE"""),"Rounette Natividad")</f>
        <v>Rounette Natividad</v>
      </c>
      <c r="S525" s="1">
        <f>IFERROR(__xludf.DUMMYFUNCTION("""COMPUTED_VALUE"""),35.92)</f>
        <v>35.92</v>
      </c>
      <c r="T525" s="1">
        <f>IFERROR(__xludf.DUMMYFUNCTION("""COMPUTED_VALUE"""),38.0)</f>
        <v>38</v>
      </c>
      <c r="U525" s="2">
        <f>IFERROR(__xludf.DUMMYFUNCTION("""COMPUTED_VALUE"""),73.92)</f>
        <v>73.92</v>
      </c>
      <c r="V525" s="1" t="str">
        <f>IFERROR(__xludf.DUMMYFUNCTION("""COMPUTED_VALUE"""),"Mikhaela Decangchon")</f>
        <v>Mikhaela Decangchon</v>
      </c>
      <c r="W525" s="1" t="str">
        <f>IFERROR(__xludf.DUMMYFUNCTION("""COMPUTED_VALUE"""),"Advanced Product Support")</f>
        <v>Advanced Product Support</v>
      </c>
    </row>
    <row r="526">
      <c r="O526" s="1" t="str">
        <f>IFERROR(__xludf.DUMMYFUNCTION("""COMPUTED_VALUE"""),"2025 Jul")</f>
        <v>2025 Jul</v>
      </c>
      <c r="P526" s="1" t="str">
        <f>IFERROR(__xludf.DUMMYFUNCTION("""COMPUTED_VALUE"""),"Admin Support")</f>
        <v>Admin Support</v>
      </c>
      <c r="Q526" s="1" t="str">
        <f>IFERROR(__xludf.DUMMYFUNCTION("""COMPUTED_VALUE"""),"rovie@canva.com")</f>
        <v>rovie@canva.com</v>
      </c>
      <c r="R526" s="1" t="str">
        <f>IFERROR(__xludf.DUMMYFUNCTION("""COMPUTED_VALUE"""),"Rovie Hawang")</f>
        <v>Rovie Hawang</v>
      </c>
      <c r="S526" s="1"/>
      <c r="T526" s="1">
        <f>IFERROR(__xludf.DUMMYFUNCTION("""COMPUTED_VALUE"""),6.0)</f>
        <v>6</v>
      </c>
      <c r="U526" s="2">
        <f>IFERROR(__xludf.DUMMYFUNCTION("""COMPUTED_VALUE"""),6.0)</f>
        <v>6</v>
      </c>
      <c r="V526" s="1" t="str">
        <f>IFERROR(__xludf.DUMMYFUNCTION("""COMPUTED_VALUE"""),"Kelden Laguting")</f>
        <v>Kelden Laguting</v>
      </c>
      <c r="W526" s="1" t="str">
        <f>IFERROR(__xludf.DUMMYFUNCTION("""COMPUTED_VALUE"""),"Admin Omni Support")</f>
        <v>Admin Omni Support</v>
      </c>
    </row>
    <row r="527">
      <c r="O527" s="1" t="str">
        <f>IFERROR(__xludf.DUMMYFUNCTION("""COMPUTED_VALUE"""),"2025 Jul")</f>
        <v>2025 Jul</v>
      </c>
      <c r="P527" s="1" t="str">
        <f>IFERROR(__xludf.DUMMYFUNCTION("""COMPUTED_VALUE"""),"Admin Support")</f>
        <v>Admin Support</v>
      </c>
      <c r="Q527" s="1" t="str">
        <f>IFERROR(__xludf.DUMMYFUNCTION("""COMPUTED_VALUE"""),"roxanne@canva.com")</f>
        <v>roxanne@canva.com</v>
      </c>
      <c r="R527" s="1" t="str">
        <f>IFERROR(__xludf.DUMMYFUNCTION("""COMPUTED_VALUE"""),"Roxanne Joy Capunayan")</f>
        <v>Roxanne Joy Capunayan</v>
      </c>
      <c r="S527" s="1">
        <f>IFERROR(__xludf.DUMMYFUNCTION("""COMPUTED_VALUE"""),4.25)</f>
        <v>4.25</v>
      </c>
      <c r="T527" s="1">
        <f>IFERROR(__xludf.DUMMYFUNCTION("""COMPUTED_VALUE"""),2.0)</f>
        <v>2</v>
      </c>
      <c r="U527" s="2">
        <f>IFERROR(__xludf.DUMMYFUNCTION("""COMPUTED_VALUE"""),6.25)</f>
        <v>6.25</v>
      </c>
      <c r="V527" s="1" t="str">
        <f>IFERROR(__xludf.DUMMYFUNCTION("""COMPUTED_VALUE"""),"Ann Dumlao")</f>
        <v>Ann Dumlao</v>
      </c>
      <c r="W527" s="1" t="str">
        <f>IFERROR(__xludf.DUMMYFUNCTION("""COMPUTED_VALUE"""),"Admin Omni Support")</f>
        <v>Admin Omni Support</v>
      </c>
    </row>
    <row r="528">
      <c r="O528" s="1" t="str">
        <f>IFERROR(__xludf.DUMMYFUNCTION("""COMPUTED_VALUE"""),"2025 Jul")</f>
        <v>2025 Jul</v>
      </c>
      <c r="P528" s="1" t="str">
        <f>IFERROR(__xludf.DUMMYFUNCTION("""COMPUTED_VALUE"""),"Core Product Support")</f>
        <v>Core Product Support</v>
      </c>
      <c r="Q528" s="1" t="str">
        <f>IFERROR(__xludf.DUMMYFUNCTION("""COMPUTED_VALUE"""),"rozelp@canva.com")</f>
        <v>rozelp@canva.com</v>
      </c>
      <c r="R528" s="1" t="str">
        <f>IFERROR(__xludf.DUMMYFUNCTION("""COMPUTED_VALUE"""),"Rozel Punsalan")</f>
        <v>Rozel Punsalan</v>
      </c>
      <c r="S528" s="1">
        <f>IFERROR(__xludf.DUMMYFUNCTION("""COMPUTED_VALUE"""),27.3)</f>
        <v>27.3</v>
      </c>
      <c r="T528" s="1">
        <f>IFERROR(__xludf.DUMMYFUNCTION("""COMPUTED_VALUE"""),14.0)</f>
        <v>14</v>
      </c>
      <c r="U528" s="2">
        <f>IFERROR(__xludf.DUMMYFUNCTION("""COMPUTED_VALUE"""),41.3)</f>
        <v>41.3</v>
      </c>
      <c r="V528" s="1" t="str">
        <f>IFERROR(__xludf.DUMMYFUNCTION("""COMPUTED_VALUE"""),"Marie Mordeno")</f>
        <v>Marie Mordeno</v>
      </c>
      <c r="W528" s="1" t="str">
        <f>IFERROR(__xludf.DUMMYFUNCTION("""COMPUTED_VALUE"""),"Advanced Billing &amp; Subscriptions")</f>
        <v>Advanced Billing &amp; Subscriptions</v>
      </c>
    </row>
    <row r="529">
      <c r="O529" s="1" t="str">
        <f>IFERROR(__xludf.DUMMYFUNCTION("""COMPUTED_VALUE"""),"2025 Jul")</f>
        <v>2025 Jul</v>
      </c>
      <c r="P529" s="1" t="str">
        <f>IFERROR(__xludf.DUMMYFUNCTION("""COMPUTED_VALUE"""),"Core Product Support")</f>
        <v>Core Product Support</v>
      </c>
      <c r="Q529" s="1" t="str">
        <f>IFERROR(__xludf.DUMMYFUNCTION("""COMPUTED_VALUE"""),"rozie@canva.com")</f>
        <v>rozie@canva.com</v>
      </c>
      <c r="R529" s="1" t="str">
        <f>IFERROR(__xludf.DUMMYFUNCTION("""COMPUTED_VALUE"""),"Rozie Gumba")</f>
        <v>Rozie Gumba</v>
      </c>
      <c r="S529" s="1">
        <f>IFERROR(__xludf.DUMMYFUNCTION("""COMPUTED_VALUE"""),29.47)</f>
        <v>29.47</v>
      </c>
      <c r="T529" s="1">
        <f>IFERROR(__xludf.DUMMYFUNCTION("""COMPUTED_VALUE"""),13.32)</f>
        <v>13.32</v>
      </c>
      <c r="U529" s="2">
        <f>IFERROR(__xludf.DUMMYFUNCTION("""COMPUTED_VALUE"""),42.79)</f>
        <v>42.79</v>
      </c>
      <c r="V529" s="1" t="str">
        <f>IFERROR(__xludf.DUMMYFUNCTION("""COMPUTED_VALUE"""),"Ayza Marie Pascual")</f>
        <v>Ayza Marie Pascual</v>
      </c>
      <c r="W529" s="1" t="str">
        <f>IFERROR(__xludf.DUMMYFUNCTION("""COMPUTED_VALUE"""),"Advanced Billing &amp; Subscriptions")</f>
        <v>Advanced Billing &amp; Subscriptions</v>
      </c>
    </row>
    <row r="530">
      <c r="O530" s="1" t="str">
        <f>IFERROR(__xludf.DUMMYFUNCTION("""COMPUTED_VALUE"""),"2025 Jul")</f>
        <v>2025 Jul</v>
      </c>
      <c r="P530" s="1" t="str">
        <f>IFERROR(__xludf.DUMMYFUNCTION("""COMPUTED_VALUE"""),"Core Product Support")</f>
        <v>Core Product Support</v>
      </c>
      <c r="Q530" s="1" t="str">
        <f>IFERROR(__xludf.DUMMYFUNCTION("""COMPUTED_VALUE"""),"ruzel@canva.com")</f>
        <v>ruzel@canva.com</v>
      </c>
      <c r="R530" s="1" t="str">
        <f>IFERROR(__xludf.DUMMYFUNCTION("""COMPUTED_VALUE"""),"Ruzel Raqueno")</f>
        <v>Ruzel Raqueno</v>
      </c>
      <c r="S530" s="1">
        <f>IFERROR(__xludf.DUMMYFUNCTION("""COMPUTED_VALUE"""),13.42)</f>
        <v>13.42</v>
      </c>
      <c r="T530" s="1">
        <f>IFERROR(__xludf.DUMMYFUNCTION("""COMPUTED_VALUE"""),6.58)</f>
        <v>6.58</v>
      </c>
      <c r="U530" s="2">
        <f>IFERROR(__xludf.DUMMYFUNCTION("""COMPUTED_VALUE"""),20.0)</f>
        <v>20</v>
      </c>
      <c r="V530" s="1" t="str">
        <f>IFERROR(__xludf.DUMMYFUNCTION("""COMPUTED_VALUE"""),"Ellaine Estayo")</f>
        <v>Ellaine Estayo</v>
      </c>
      <c r="W530" s="1" t="str">
        <f>IFERROR(__xludf.DUMMYFUNCTION("""COMPUTED_VALUE"""),"Core Product Support Escalation Team")</f>
        <v>Core Product Support Escalation Team</v>
      </c>
    </row>
    <row r="531">
      <c r="O531" s="1" t="str">
        <f>IFERROR(__xludf.DUMMYFUNCTION("""COMPUTED_VALUE"""),"2025 Jul")</f>
        <v>2025 Jul</v>
      </c>
      <c r="P531" s="1" t="str">
        <f>IFERROR(__xludf.DUMMYFUNCTION("""COMPUTED_VALUE"""),"Print Support")</f>
        <v>Print Support</v>
      </c>
      <c r="Q531" s="1" t="str">
        <f>IFERROR(__xludf.DUMMYFUNCTION("""COMPUTED_VALUE"""),"rdominick@canva.com")</f>
        <v>rdominick@canva.com</v>
      </c>
      <c r="R531" s="1" t="str">
        <f>IFERROR(__xludf.DUMMYFUNCTION("""COMPUTED_VALUE"""),"Ryan Dominick Razon")</f>
        <v>Ryan Dominick Razon</v>
      </c>
      <c r="S531" s="1">
        <f>IFERROR(__xludf.DUMMYFUNCTION("""COMPUTED_VALUE"""),9.0)</f>
        <v>9</v>
      </c>
      <c r="T531" s="1">
        <f>IFERROR(__xludf.DUMMYFUNCTION("""COMPUTED_VALUE"""),3.58)</f>
        <v>3.58</v>
      </c>
      <c r="U531" s="2">
        <f>IFERROR(__xludf.DUMMYFUNCTION("""COMPUTED_VALUE"""),12.58)</f>
        <v>12.58</v>
      </c>
      <c r="V531" s="1" t="str">
        <f>IFERROR(__xludf.DUMMYFUNCTION("""COMPUTED_VALUE"""),"Jen Momo")</f>
        <v>Jen Momo</v>
      </c>
      <c r="W531" s="1" t="str">
        <f>IFERROR(__xludf.DUMMYFUNCTION("""COMPUTED_VALUE"""),"Print Support PH")</f>
        <v>Print Support PH</v>
      </c>
    </row>
    <row r="532">
      <c r="O532" s="1" t="str">
        <f>IFERROR(__xludf.DUMMYFUNCTION("""COMPUTED_VALUE"""),"2025 Jul")</f>
        <v>2025 Jul</v>
      </c>
      <c r="P532" s="1" t="str">
        <f>IFERROR(__xludf.DUMMYFUNCTION("""COMPUTED_VALUE"""),"Segment-specific Support")</f>
        <v>Segment-specific Support</v>
      </c>
      <c r="Q532" s="1" t="str">
        <f>IFERROR(__xludf.DUMMYFUNCTION("""COMPUTED_VALUE"""),"sammiee@canva.com")</f>
        <v>sammiee@canva.com</v>
      </c>
      <c r="R532" s="1" t="str">
        <f>IFERROR(__xludf.DUMMYFUNCTION("""COMPUTED_VALUE"""),"Sam Espelimbergo")</f>
        <v>Sam Espelimbergo</v>
      </c>
      <c r="S532" s="1">
        <f>IFERROR(__xludf.DUMMYFUNCTION("""COMPUTED_VALUE"""),3.0)</f>
        <v>3</v>
      </c>
      <c r="T532" s="1">
        <f>IFERROR(__xludf.DUMMYFUNCTION("""COMPUTED_VALUE"""),4.0)</f>
        <v>4</v>
      </c>
      <c r="U532" s="2">
        <f>IFERROR(__xludf.DUMMYFUNCTION("""COMPUTED_VALUE"""),7.0)</f>
        <v>7</v>
      </c>
      <c r="V532" s="1" t="str">
        <f>IFERROR(__xludf.DUMMYFUNCTION("""COMPUTED_VALUE"""),"Aileen Dayanghirang")</f>
        <v>Aileen Dayanghirang</v>
      </c>
      <c r="W532" s="1" t="str">
        <f>IFERROR(__xludf.DUMMYFUNCTION("""COMPUTED_VALUE"""),"Creators Support")</f>
        <v>Creators Support</v>
      </c>
    </row>
    <row r="533">
      <c r="O533" s="1" t="str">
        <f>IFERROR(__xludf.DUMMYFUNCTION("""COMPUTED_VALUE"""),"2025 Jul")</f>
        <v>2025 Jul</v>
      </c>
      <c r="P533" s="1" t="str">
        <f>IFERROR(__xludf.DUMMYFUNCTION("""COMPUTED_VALUE"""),"Admin Support")</f>
        <v>Admin Support</v>
      </c>
      <c r="Q533" s="1" t="str">
        <f>IFERROR(__xludf.DUMMYFUNCTION("""COMPUTED_VALUE"""),"simber@canva.com")</f>
        <v>simber@canva.com</v>
      </c>
      <c r="R533" s="1" t="str">
        <f>IFERROR(__xludf.DUMMYFUNCTION("""COMPUTED_VALUE"""),"Sean Imber")</f>
        <v>Sean Imber</v>
      </c>
      <c r="S533" s="1">
        <f>IFERROR(__xludf.DUMMYFUNCTION("""COMPUTED_VALUE"""),2.0)</f>
        <v>2</v>
      </c>
      <c r="T533" s="1">
        <f>IFERROR(__xludf.DUMMYFUNCTION("""COMPUTED_VALUE"""),5.0)</f>
        <v>5</v>
      </c>
      <c r="U533" s="2">
        <f>IFERROR(__xludf.DUMMYFUNCTION("""COMPUTED_VALUE"""),7.0)</f>
        <v>7</v>
      </c>
      <c r="V533" s="1" t="str">
        <f>IFERROR(__xludf.DUMMYFUNCTION("""COMPUTED_VALUE"""),"Elise Cesario Mendes")</f>
        <v>Elise Cesario Mendes</v>
      </c>
      <c r="W533" s="1" t="str">
        <f>IFERROR(__xludf.DUMMYFUNCTION("""COMPUTED_VALUE"""),"Admin Support APJ")</f>
        <v>Admin Support APJ</v>
      </c>
    </row>
    <row r="534">
      <c r="O534" s="1" t="str">
        <f>IFERROR(__xludf.DUMMYFUNCTION("""COMPUTED_VALUE"""),"2025 Jul")</f>
        <v>2025 Jul</v>
      </c>
      <c r="P534" s="1" t="str">
        <f>IFERROR(__xludf.DUMMYFUNCTION("""COMPUTED_VALUE"""),"#N/A")</f>
        <v>#N/A</v>
      </c>
      <c r="Q534" s="1" t="str">
        <f>IFERROR(__xludf.DUMMYFUNCTION("""COMPUTED_VALUE"""),"selle@canva.com")</f>
        <v>selle@canva.com</v>
      </c>
      <c r="R534" s="1" t="str">
        <f>IFERROR(__xludf.DUMMYFUNCTION("""COMPUTED_VALUE"""),"Selle Falculan")</f>
        <v>Selle Falculan</v>
      </c>
      <c r="S534" s="1">
        <f>IFERROR(__xludf.DUMMYFUNCTION("""COMPUTED_VALUE"""),49.42)</f>
        <v>49.42</v>
      </c>
      <c r="T534" s="1">
        <f>IFERROR(__xludf.DUMMYFUNCTION("""COMPUTED_VALUE"""),33.75)</f>
        <v>33.75</v>
      </c>
      <c r="U534" s="2">
        <f>IFERROR(__xludf.DUMMYFUNCTION("""COMPUTED_VALUE"""),83.17)</f>
        <v>83.17</v>
      </c>
      <c r="V534" s="1" t="str">
        <f>IFERROR(__xludf.DUMMYFUNCTION("""COMPUTED_VALUE"""),"#N/A")</f>
        <v>#N/A</v>
      </c>
      <c r="W534" s="1" t="str">
        <f>IFERROR(__xludf.DUMMYFUNCTION("""COMPUTED_VALUE"""),"#N/A")</f>
        <v>#N/A</v>
      </c>
    </row>
    <row r="535">
      <c r="O535" s="1" t="str">
        <f>IFERROR(__xludf.DUMMYFUNCTION("""COMPUTED_VALUE"""),"2025 Jul")</f>
        <v>2025 Jul</v>
      </c>
      <c r="P535" s="1" t="str">
        <f>IFERROR(__xludf.DUMMYFUNCTION("""COMPUTED_VALUE"""),"High Sensitivity Support")</f>
        <v>High Sensitivity Support</v>
      </c>
      <c r="Q535" s="1" t="str">
        <f>IFERROR(__xludf.DUMMYFUNCTION("""COMPUTED_VALUE"""),"sbaldonado@canva.com")</f>
        <v>sbaldonado@canva.com</v>
      </c>
      <c r="R535" s="1" t="str">
        <f>IFERROR(__xludf.DUMMYFUNCTION("""COMPUTED_VALUE"""),"Sheira Nicole Baldonado")</f>
        <v>Sheira Nicole Baldonado</v>
      </c>
      <c r="S535" s="1">
        <f>IFERROR(__xludf.DUMMYFUNCTION("""COMPUTED_VALUE"""),12.75)</f>
        <v>12.75</v>
      </c>
      <c r="T535" s="1">
        <f>IFERROR(__xludf.DUMMYFUNCTION("""COMPUTED_VALUE"""),3.0)</f>
        <v>3</v>
      </c>
      <c r="U535" s="2">
        <f>IFERROR(__xludf.DUMMYFUNCTION("""COMPUTED_VALUE"""),15.75)</f>
        <v>15.75</v>
      </c>
      <c r="V535" s="1" t="str">
        <f>IFERROR(__xludf.DUMMYFUNCTION("""COMPUTED_VALUE"""),"Rex Villamor")</f>
        <v>Rex Villamor</v>
      </c>
      <c r="W535" s="1" t="str">
        <f>IFERROR(__xludf.DUMMYFUNCTION("""COMPUTED_VALUE"""),"High Sensitivity Support PH")</f>
        <v>High Sensitivity Support PH</v>
      </c>
    </row>
    <row r="536">
      <c r="O536" s="1" t="str">
        <f>IFERROR(__xludf.DUMMYFUNCTION("""COMPUTED_VALUE"""),"2025 Jul")</f>
        <v>2025 Jul</v>
      </c>
      <c r="P536" s="1" t="str">
        <f>IFERROR(__xludf.DUMMYFUNCTION("""COMPUTED_VALUE"""),"Core Product Support")</f>
        <v>Core Product Support</v>
      </c>
      <c r="Q536" s="1" t="str">
        <f>IFERROR(__xludf.DUMMYFUNCTION("""COMPUTED_VALUE"""),"sophiae@canva.com")</f>
        <v>sophiae@canva.com</v>
      </c>
      <c r="R536" s="1" t="str">
        <f>IFERROR(__xludf.DUMMYFUNCTION("""COMPUTED_VALUE"""),"Sophia Ermac")</f>
        <v>Sophia Ermac</v>
      </c>
      <c r="S536" s="1">
        <f>IFERROR(__xludf.DUMMYFUNCTION("""COMPUTED_VALUE"""),17.72)</f>
        <v>17.72</v>
      </c>
      <c r="T536" s="1">
        <f>IFERROR(__xludf.DUMMYFUNCTION("""COMPUTED_VALUE"""),9.5)</f>
        <v>9.5</v>
      </c>
      <c r="U536" s="2">
        <f>IFERROR(__xludf.DUMMYFUNCTION("""COMPUTED_VALUE"""),27.22)</f>
        <v>27.22</v>
      </c>
      <c r="V536" s="1" t="str">
        <f>IFERROR(__xludf.DUMMYFUNCTION("""COMPUTED_VALUE"""),"Ana Lazaro")</f>
        <v>Ana Lazaro</v>
      </c>
      <c r="W536" s="1" t="str">
        <f>IFERROR(__xludf.DUMMYFUNCTION("""COMPUTED_VALUE"""),"Advanced Billing &amp; Subscriptions")</f>
        <v>Advanced Billing &amp; Subscriptions</v>
      </c>
    </row>
    <row r="537">
      <c r="O537" s="1" t="str">
        <f>IFERROR(__xludf.DUMMYFUNCTION("""COMPUTED_VALUE"""),"2025 Jul")</f>
        <v>2025 Jul</v>
      </c>
      <c r="P537" s="1" t="str">
        <f>IFERROR(__xludf.DUMMYFUNCTION("""COMPUTED_VALUE"""),"Admin Support")</f>
        <v>Admin Support</v>
      </c>
      <c r="Q537" s="1" t="str">
        <f>IFERROR(__xludf.DUMMYFUNCTION("""COMPUTED_VALUE"""),"stephanie.t@canva.com")</f>
        <v>stephanie.t@canva.com</v>
      </c>
      <c r="R537" s="1" t="str">
        <f>IFERROR(__xludf.DUMMYFUNCTION("""COMPUTED_VALUE"""),"Stephanie Lyn Tan")</f>
        <v>Stephanie Lyn Tan</v>
      </c>
      <c r="S537" s="1"/>
      <c r="T537" s="1">
        <f>IFERROR(__xludf.DUMMYFUNCTION("""COMPUTED_VALUE"""),5.92)</f>
        <v>5.92</v>
      </c>
      <c r="U537" s="2">
        <f>IFERROR(__xludf.DUMMYFUNCTION("""COMPUTED_VALUE"""),5.92)</f>
        <v>5.92</v>
      </c>
      <c r="V537" s="1" t="str">
        <f>IFERROR(__xludf.DUMMYFUNCTION("""COMPUTED_VALUE"""),"Pau Palmero")</f>
        <v>Pau Palmero</v>
      </c>
      <c r="W537" s="1" t="str">
        <f>IFERROR(__xludf.DUMMYFUNCTION("""COMPUTED_VALUE"""),"Admin Omni Support")</f>
        <v>Admin Omni Support</v>
      </c>
    </row>
    <row r="538">
      <c r="O538" s="1" t="str">
        <f>IFERROR(__xludf.DUMMYFUNCTION("""COMPUTED_VALUE"""),"2025 Jul")</f>
        <v>2025 Jul</v>
      </c>
      <c r="P538" s="1" t="str">
        <f>IFERROR(__xludf.DUMMYFUNCTION("""COMPUTED_VALUE"""),"Admin Support")</f>
        <v>Admin Support</v>
      </c>
      <c r="Q538" s="1" t="str">
        <f>IFERROR(__xludf.DUMMYFUNCTION("""COMPUTED_VALUE"""),"stephen.k@canva.com")</f>
        <v>stephen.k@canva.com</v>
      </c>
      <c r="R538" s="1" t="str">
        <f>IFERROR(__xludf.DUMMYFUNCTION("""COMPUTED_VALUE"""),"Stephen Kahanap")</f>
        <v>Stephen Kahanap</v>
      </c>
      <c r="S538" s="1">
        <f>IFERROR(__xludf.DUMMYFUNCTION("""COMPUTED_VALUE"""),3.0)</f>
        <v>3</v>
      </c>
      <c r="T538" s="1">
        <f>IFERROR(__xludf.DUMMYFUNCTION("""COMPUTED_VALUE"""),5.25)</f>
        <v>5.25</v>
      </c>
      <c r="U538" s="2">
        <f>IFERROR(__xludf.DUMMYFUNCTION("""COMPUTED_VALUE"""),8.25)</f>
        <v>8.25</v>
      </c>
      <c r="V538" s="1" t="str">
        <f>IFERROR(__xludf.DUMMYFUNCTION("""COMPUTED_VALUE"""),"Ann Dumlao")</f>
        <v>Ann Dumlao</v>
      </c>
      <c r="W538" s="1" t="str">
        <f>IFERROR(__xludf.DUMMYFUNCTION("""COMPUTED_VALUE"""),"Admin Omni Support")</f>
        <v>Admin Omni Support</v>
      </c>
    </row>
    <row r="539">
      <c r="O539" s="1" t="str">
        <f>IFERROR(__xludf.DUMMYFUNCTION("""COMPUTED_VALUE"""),"2025 Jul")</f>
        <v>2025 Jul</v>
      </c>
      <c r="P539" s="1" t="str">
        <f>IFERROR(__xludf.DUMMYFUNCTION("""COMPUTED_VALUE"""),"Segment-specific Support")</f>
        <v>Segment-specific Support</v>
      </c>
      <c r="Q539" s="1" t="str">
        <f>IFERROR(__xludf.DUMMYFUNCTION("""COMPUTED_VALUE"""),"sremo@canva.com")</f>
        <v>sremo@canva.com</v>
      </c>
      <c r="R539" s="1" t="str">
        <f>IFERROR(__xludf.DUMMYFUNCTION("""COMPUTED_VALUE"""),"Sunshine Remo")</f>
        <v>Sunshine Remo</v>
      </c>
      <c r="S539" s="1">
        <f>IFERROR(__xludf.DUMMYFUNCTION("""COMPUTED_VALUE"""),39.92)</f>
        <v>39.92</v>
      </c>
      <c r="T539" s="1">
        <f>IFERROR(__xludf.DUMMYFUNCTION("""COMPUTED_VALUE"""),36.83)</f>
        <v>36.83</v>
      </c>
      <c r="U539" s="2">
        <f>IFERROR(__xludf.DUMMYFUNCTION("""COMPUTED_VALUE"""),76.75)</f>
        <v>76.75</v>
      </c>
      <c r="V539" s="1" t="str">
        <f>IFERROR(__xludf.DUMMYFUNCTION("""COMPUTED_VALUE"""),"Rose Gabilan")</f>
        <v>Rose Gabilan</v>
      </c>
      <c r="W539" s="1" t="str">
        <f>IFERROR(__xludf.DUMMYFUNCTION("""COMPUTED_VALUE"""),"Affinity Support")</f>
        <v>Affinity Support</v>
      </c>
    </row>
    <row r="540">
      <c r="O540" s="1" t="str">
        <f>IFERROR(__xludf.DUMMYFUNCTION("""COMPUTED_VALUE"""),"2025 Jul")</f>
        <v>2025 Jul</v>
      </c>
      <c r="P540" s="1" t="str">
        <f>IFERROR(__xludf.DUMMYFUNCTION("""COMPUTED_VALUE"""),"Admin Support")</f>
        <v>Admin Support</v>
      </c>
      <c r="Q540" s="1" t="str">
        <f>IFERROR(__xludf.DUMMYFUNCTION("""COMPUTED_VALUE"""),"susann@canva.com")</f>
        <v>susann@canva.com</v>
      </c>
      <c r="R540" s="1" t="str">
        <f>IFERROR(__xludf.DUMMYFUNCTION("""COMPUTED_VALUE"""),"Susann Dierich")</f>
        <v>Susann Dierich</v>
      </c>
      <c r="S540" s="1">
        <f>IFERROR(__xludf.DUMMYFUNCTION("""COMPUTED_VALUE"""),0.75)</f>
        <v>0.75</v>
      </c>
      <c r="T540" s="1">
        <f>IFERROR(__xludf.DUMMYFUNCTION("""COMPUTED_VALUE"""),3.0)</f>
        <v>3</v>
      </c>
      <c r="U540" s="2">
        <f>IFERROR(__xludf.DUMMYFUNCTION("""COMPUTED_VALUE"""),3.75)</f>
        <v>3.75</v>
      </c>
      <c r="V540" s="1" t="str">
        <f>IFERROR(__xludf.DUMMYFUNCTION("""COMPUTED_VALUE"""),"Tash Kelly")</f>
        <v>Tash Kelly</v>
      </c>
      <c r="W540" s="1" t="str">
        <f>IFERROR(__xludf.DUMMYFUNCTION("""COMPUTED_VALUE"""),"Admin Support EMEA")</f>
        <v>Admin Support EMEA</v>
      </c>
    </row>
    <row r="541">
      <c r="O541" s="1" t="str">
        <f>IFERROR(__xludf.DUMMYFUNCTION("""COMPUTED_VALUE"""),"2025 Jul")</f>
        <v>2025 Jul</v>
      </c>
      <c r="P541" s="1" t="str">
        <f>IFERROR(__xludf.DUMMYFUNCTION("""COMPUTED_VALUE"""),"Admin Support")</f>
        <v>Admin Support</v>
      </c>
      <c r="Q541" s="1" t="str">
        <f>IFERROR(__xludf.DUMMYFUNCTION("""COMPUTED_VALUE"""),"skyles@canva.com")</f>
        <v>skyles@canva.com</v>
      </c>
      <c r="R541" s="1" t="str">
        <f>IFERROR(__xludf.DUMMYFUNCTION("""COMPUTED_VALUE"""),"Sylvia Kyles")</f>
        <v>Sylvia Kyles</v>
      </c>
      <c r="S541" s="1">
        <f>IFERROR(__xludf.DUMMYFUNCTION("""COMPUTED_VALUE"""),2.0)</f>
        <v>2</v>
      </c>
      <c r="T541" s="1">
        <f>IFERROR(__xludf.DUMMYFUNCTION("""COMPUTED_VALUE"""),6.0)</f>
        <v>6</v>
      </c>
      <c r="U541" s="2">
        <f>IFERROR(__xludf.DUMMYFUNCTION("""COMPUTED_VALUE"""),8.0)</f>
        <v>8</v>
      </c>
      <c r="V541" s="1" t="str">
        <f>IFERROR(__xludf.DUMMYFUNCTION("""COMPUTED_VALUE"""),"Nate Vela")</f>
        <v>Nate Vela</v>
      </c>
      <c r="W541" s="1" t="str">
        <f>IFERROR(__xludf.DUMMYFUNCTION("""COMPUTED_VALUE"""),"Admin Support NA")</f>
        <v>Admin Support NA</v>
      </c>
    </row>
    <row r="542">
      <c r="O542" s="1" t="str">
        <f>IFERROR(__xludf.DUMMYFUNCTION("""COMPUTED_VALUE"""),"2025 Jul")</f>
        <v>2025 Jul</v>
      </c>
      <c r="P542" s="1" t="str">
        <f>IFERROR(__xludf.DUMMYFUNCTION("""COMPUTED_VALUE"""),"#N/A")</f>
        <v>#N/A</v>
      </c>
      <c r="Q542" s="1" t="str">
        <f>IFERROR(__xludf.DUMMYFUNCTION("""COMPUTED_VALUE"""),"tammy@canva.com")</f>
        <v>tammy@canva.com</v>
      </c>
      <c r="R542" s="1" t="str">
        <f>IFERROR(__xludf.DUMMYFUNCTION("""COMPUTED_VALUE"""),"Tammy Lustre")</f>
        <v>Tammy Lustre</v>
      </c>
      <c r="S542" s="1">
        <f>IFERROR(__xludf.DUMMYFUNCTION("""COMPUTED_VALUE"""),8.75)</f>
        <v>8.75</v>
      </c>
      <c r="T542" s="1"/>
      <c r="U542" s="2">
        <f>IFERROR(__xludf.DUMMYFUNCTION("""COMPUTED_VALUE"""),8.75)</f>
        <v>8.75</v>
      </c>
      <c r="V542" s="1" t="str">
        <f>IFERROR(__xludf.DUMMYFUNCTION("""COMPUTED_VALUE"""),"#N/A")</f>
        <v>#N/A</v>
      </c>
      <c r="W542" s="1" t="str">
        <f>IFERROR(__xludf.DUMMYFUNCTION("""COMPUTED_VALUE"""),"PHL, Multilingual Support")</f>
        <v>PHL, Multilingual Support</v>
      </c>
    </row>
    <row r="543">
      <c r="O543" s="1" t="str">
        <f>IFERROR(__xludf.DUMMYFUNCTION("""COMPUTED_VALUE"""),"2025 Jul")</f>
        <v>2025 Jul</v>
      </c>
      <c r="P543" s="1" t="str">
        <f>IFERROR(__xludf.DUMMYFUNCTION("""COMPUTED_VALUE"""),"#N/A")</f>
        <v>#N/A</v>
      </c>
      <c r="Q543" s="1" t="str">
        <f>IFERROR(__xludf.DUMMYFUNCTION("""COMPUTED_VALUE"""),"assembled-time-off-re-aaaam3hubupgpmtmxaetpextji@canva.org.slack.com")</f>
        <v>assembled-time-off-re-aaaam3hubupgpmtmxaetpextji@canva.org.slack.com</v>
      </c>
      <c r="R543" s="1" t="str">
        <f>IFERROR(__xludf.DUMMYFUNCTION("""COMPUTED_VALUE"""),"Testing Bot")</f>
        <v>Testing Bot</v>
      </c>
      <c r="S543" s="1"/>
      <c r="T543" s="1"/>
      <c r="U543" s="2">
        <f>IFERROR(__xludf.DUMMYFUNCTION("""COMPUTED_VALUE"""),0.0)</f>
        <v>0</v>
      </c>
      <c r="V543" s="1" t="str">
        <f>IFERROR(__xludf.DUMMYFUNCTION("""COMPUTED_VALUE"""),"#N/A")</f>
        <v>#N/A</v>
      </c>
      <c r="W543" s="1" t="str">
        <f>IFERROR(__xludf.DUMMYFUNCTION("""COMPUTED_VALUE"""),"#N/A")</f>
        <v>#N/A</v>
      </c>
    </row>
    <row r="544">
      <c r="O544" s="1" t="str">
        <f>IFERROR(__xludf.DUMMYFUNCTION("""COMPUTED_VALUE"""),"2025 Jul")</f>
        <v>2025 Jul</v>
      </c>
      <c r="P544" s="1" t="str">
        <f>IFERROR(__xludf.DUMMYFUNCTION("""COMPUTED_VALUE"""),"Print Support")</f>
        <v>Print Support</v>
      </c>
      <c r="Q544" s="1" t="str">
        <f>IFERROR(__xludf.DUMMYFUNCTION("""COMPUTED_VALUE"""),"theag@canva.com")</f>
        <v>theag@canva.com</v>
      </c>
      <c r="R544" s="1" t="str">
        <f>IFERROR(__xludf.DUMMYFUNCTION("""COMPUTED_VALUE"""),"Thea Gelua")</f>
        <v>Thea Gelua</v>
      </c>
      <c r="S544" s="1">
        <f>IFERROR(__xludf.DUMMYFUNCTION("""COMPUTED_VALUE"""),9.5)</f>
        <v>9.5</v>
      </c>
      <c r="T544" s="1">
        <f>IFERROR(__xludf.DUMMYFUNCTION("""COMPUTED_VALUE"""),5.5)</f>
        <v>5.5</v>
      </c>
      <c r="U544" s="2">
        <f>IFERROR(__xludf.DUMMYFUNCTION("""COMPUTED_VALUE"""),15.0)</f>
        <v>15</v>
      </c>
      <c r="V544" s="1" t="str">
        <f>IFERROR(__xludf.DUMMYFUNCTION("""COMPUTED_VALUE"""),"Jen Momo")</f>
        <v>Jen Momo</v>
      </c>
      <c r="W544" s="1" t="str">
        <f>IFERROR(__xludf.DUMMYFUNCTION("""COMPUTED_VALUE"""),"Print Support PH")</f>
        <v>Print Support PH</v>
      </c>
    </row>
    <row r="545">
      <c r="O545" s="1" t="str">
        <f>IFERROR(__xludf.DUMMYFUNCTION("""COMPUTED_VALUE"""),"2025 Jul")</f>
        <v>2025 Jul</v>
      </c>
      <c r="P545" s="1" t="str">
        <f>IFERROR(__xludf.DUMMYFUNCTION("""COMPUTED_VALUE"""),"Print Support")</f>
        <v>Print Support</v>
      </c>
      <c r="Q545" s="1" t="str">
        <f>IFERROR(__xludf.DUMMYFUNCTION("""COMPUTED_VALUE"""),"tia@canva.com")</f>
        <v>tia@canva.com</v>
      </c>
      <c r="R545" s="1" t="str">
        <f>IFERROR(__xludf.DUMMYFUNCTION("""COMPUTED_VALUE"""),"Tia Tilanduca")</f>
        <v>Tia Tilanduca</v>
      </c>
      <c r="S545" s="1">
        <f>IFERROR(__xludf.DUMMYFUNCTION("""COMPUTED_VALUE"""),12.75)</f>
        <v>12.75</v>
      </c>
      <c r="T545" s="1">
        <f>IFERROR(__xludf.DUMMYFUNCTION("""COMPUTED_VALUE"""),5.75)</f>
        <v>5.75</v>
      </c>
      <c r="U545" s="2">
        <f>IFERROR(__xludf.DUMMYFUNCTION("""COMPUTED_VALUE"""),18.5)</f>
        <v>18.5</v>
      </c>
      <c r="V545" s="1" t="str">
        <f>IFERROR(__xludf.DUMMYFUNCTION("""COMPUTED_VALUE"""),"Louise Dianne Estrella")</f>
        <v>Louise Dianne Estrella</v>
      </c>
      <c r="W545" s="1" t="str">
        <f>IFERROR(__xludf.DUMMYFUNCTION("""COMPUTED_VALUE"""),"Print Support PH")</f>
        <v>Print Support PH</v>
      </c>
    </row>
    <row r="546">
      <c r="O546" s="1" t="str">
        <f>IFERROR(__xludf.DUMMYFUNCTION("""COMPUTED_VALUE"""),"2025 Jul")</f>
        <v>2025 Jul</v>
      </c>
      <c r="P546" s="1" t="str">
        <f>IFERROR(__xludf.DUMMYFUNCTION("""COMPUTED_VALUE"""),"Admin Support")</f>
        <v>Admin Support</v>
      </c>
      <c r="Q546" s="1" t="str">
        <f>IFERROR(__xludf.DUMMYFUNCTION("""COMPUTED_VALUE"""),"tiara@canva.com")</f>
        <v>tiara@canva.com</v>
      </c>
      <c r="R546" s="1" t="str">
        <f>IFERROR(__xludf.DUMMYFUNCTION("""COMPUTED_VALUE"""),"Tiara Samonte")</f>
        <v>Tiara Samonte</v>
      </c>
      <c r="S546" s="1">
        <f>IFERROR(__xludf.DUMMYFUNCTION("""COMPUTED_VALUE"""),33.83)</f>
        <v>33.83</v>
      </c>
      <c r="T546" s="1">
        <f>IFERROR(__xludf.DUMMYFUNCTION("""COMPUTED_VALUE"""),14.42)</f>
        <v>14.42</v>
      </c>
      <c r="U546" s="2">
        <f>IFERROR(__xludf.DUMMYFUNCTION("""COMPUTED_VALUE"""),48.25)</f>
        <v>48.25</v>
      </c>
      <c r="V546" s="1" t="str">
        <f>IFERROR(__xludf.DUMMYFUNCTION("""COMPUTED_VALUE"""),"AL Suarez")</f>
        <v>AL Suarez</v>
      </c>
      <c r="W546" s="1" t="str">
        <f>IFERROR(__xludf.DUMMYFUNCTION("""COMPUTED_VALUE"""),"Advanced Billing &amp; Subscriptions")</f>
        <v>Advanced Billing &amp; Subscriptions</v>
      </c>
    </row>
    <row r="547">
      <c r="O547" s="1" t="str">
        <f>IFERROR(__xludf.DUMMYFUNCTION("""COMPUTED_VALUE"""),"2025 Jul")</f>
        <v>2025 Jul</v>
      </c>
      <c r="P547" s="1" t="str">
        <f>IFERROR(__xludf.DUMMYFUNCTION("""COMPUTED_VALUE"""),"Segment-specific Support")</f>
        <v>Segment-specific Support</v>
      </c>
      <c r="Q547" s="1" t="str">
        <f>IFERROR(__xludf.DUMMYFUNCTION("""COMPUTED_VALUE"""),"timdl@canva.com")</f>
        <v>timdl@canva.com</v>
      </c>
      <c r="R547" s="1" t="str">
        <f>IFERROR(__xludf.DUMMYFUNCTION("""COMPUTED_VALUE"""),"Tim De Leon")</f>
        <v>Tim De Leon</v>
      </c>
      <c r="S547" s="1">
        <f>IFERROR(__xludf.DUMMYFUNCTION("""COMPUTED_VALUE"""),7.0)</f>
        <v>7</v>
      </c>
      <c r="T547" s="1">
        <f>IFERROR(__xludf.DUMMYFUNCTION("""COMPUTED_VALUE"""),3.0)</f>
        <v>3</v>
      </c>
      <c r="U547" s="2">
        <f>IFERROR(__xludf.DUMMYFUNCTION("""COMPUTED_VALUE"""),10.0)</f>
        <v>10</v>
      </c>
      <c r="V547" s="1" t="str">
        <f>IFERROR(__xludf.DUMMYFUNCTION("""COMPUTED_VALUE"""),"Aileen Dayanghirang")</f>
        <v>Aileen Dayanghirang</v>
      </c>
      <c r="W547" s="1" t="str">
        <f>IFERROR(__xludf.DUMMYFUNCTION("""COMPUTED_VALUE"""),"Creators Support")</f>
        <v>Creators Support</v>
      </c>
    </row>
    <row r="548">
      <c r="O548" s="1" t="str">
        <f>IFERROR(__xludf.DUMMYFUNCTION("""COMPUTED_VALUE"""),"2025 Jul")</f>
        <v>2025 Jul</v>
      </c>
      <c r="P548" s="1" t="str">
        <f>IFERROR(__xludf.DUMMYFUNCTION("""COMPUTED_VALUE"""),"Admin Support")</f>
        <v>Admin Support</v>
      </c>
      <c r="Q548" s="1" t="str">
        <f>IFERROR(__xludf.DUMMYFUNCTION("""COMPUTED_VALUE"""),"cnuyda@canva.com")</f>
        <v>cnuyda@canva.com</v>
      </c>
      <c r="R548" s="1" t="str">
        <f>IFERROR(__xludf.DUMMYFUNCTION("""COMPUTED_VALUE"""),"Toff Nuyda")</f>
        <v>Toff Nuyda</v>
      </c>
      <c r="S548" s="1"/>
      <c r="T548" s="1">
        <f>IFERROR(__xludf.DUMMYFUNCTION("""COMPUTED_VALUE"""),6.5)</f>
        <v>6.5</v>
      </c>
      <c r="U548" s="2">
        <f>IFERROR(__xludf.DUMMYFUNCTION("""COMPUTED_VALUE"""),6.5)</f>
        <v>6.5</v>
      </c>
      <c r="V548" s="1" t="str">
        <f>IFERROR(__xludf.DUMMYFUNCTION("""COMPUTED_VALUE"""),"Karla Mananghaya")</f>
        <v>Karla Mananghaya</v>
      </c>
      <c r="W548" s="1" t="str">
        <f>IFERROR(__xludf.DUMMYFUNCTION("""COMPUTED_VALUE"""),"Admin Support Service Escalation Team")</f>
        <v>Admin Support Service Escalation Team</v>
      </c>
    </row>
    <row r="549">
      <c r="O549" s="1" t="str">
        <f>IFERROR(__xludf.DUMMYFUNCTION("""COMPUTED_VALUE"""),"2025 Jul")</f>
        <v>2025 Jul</v>
      </c>
      <c r="P549" s="1" t="str">
        <f>IFERROR(__xludf.DUMMYFUNCTION("""COMPUTED_VALUE"""),"#N/A")</f>
        <v>#N/A</v>
      </c>
      <c r="Q549" s="1" t="str">
        <f>IFERROR(__xludf.DUMMYFUNCTION("""COMPUTED_VALUE"""),"tofulajo@canva.com")</f>
        <v>tofulajo@canva.com</v>
      </c>
      <c r="R549" s="1" t="str">
        <f>IFERROR(__xludf.DUMMYFUNCTION("""COMPUTED_VALUE"""),"Tofu Lajo")</f>
        <v>Tofu Lajo</v>
      </c>
      <c r="S549" s="1">
        <f>IFERROR(__xludf.DUMMYFUNCTION("""COMPUTED_VALUE"""),11.07)</f>
        <v>11.07</v>
      </c>
      <c r="T549" s="1">
        <f>IFERROR(__xludf.DUMMYFUNCTION("""COMPUTED_VALUE"""),11.92)</f>
        <v>11.92</v>
      </c>
      <c r="U549" s="2">
        <f>IFERROR(__xludf.DUMMYFUNCTION("""COMPUTED_VALUE"""),22.990000000000002)</f>
        <v>22.99</v>
      </c>
      <c r="V549" s="1" t="str">
        <f>IFERROR(__xludf.DUMMYFUNCTION("""COMPUTED_VALUE"""),"#N/A")</f>
        <v>#N/A</v>
      </c>
      <c r="W549" s="1" t="str">
        <f>IFERROR(__xludf.DUMMYFUNCTION("""COMPUTED_VALUE"""),"High Sensitivity Support PH")</f>
        <v>High Sensitivity Support PH</v>
      </c>
    </row>
    <row r="550">
      <c r="O550" s="1" t="str">
        <f>IFERROR(__xludf.DUMMYFUNCTION("""COMPUTED_VALUE"""),"2025 Jul")</f>
        <v>2025 Jul</v>
      </c>
      <c r="P550" s="1" t="str">
        <f>IFERROR(__xludf.DUMMYFUNCTION("""COMPUTED_VALUE"""),"Multilingual Support")</f>
        <v>Multilingual Support</v>
      </c>
      <c r="Q550" s="1" t="str">
        <f>IFERROR(__xludf.DUMMYFUNCTION("""COMPUTED_VALUE"""),"tricia.p@canva.com")</f>
        <v>tricia.p@canva.com</v>
      </c>
      <c r="R550" s="1" t="str">
        <f>IFERROR(__xludf.DUMMYFUNCTION("""COMPUTED_VALUE"""),"Tricia Pasagui")</f>
        <v>Tricia Pasagui</v>
      </c>
      <c r="S550" s="1">
        <f>IFERROR(__xludf.DUMMYFUNCTION("""COMPUTED_VALUE"""),9.0)</f>
        <v>9</v>
      </c>
      <c r="T550" s="1"/>
      <c r="U550" s="2">
        <f>IFERROR(__xludf.DUMMYFUNCTION("""COMPUTED_VALUE"""),9.0)</f>
        <v>9</v>
      </c>
      <c r="V550" s="1" t="str">
        <f>IFERROR(__xludf.DUMMYFUNCTION("""COMPUTED_VALUE"""),"Arlene Maurillo")</f>
        <v>Arlene Maurillo</v>
      </c>
      <c r="W550" s="1" t="str">
        <f>IFERROR(__xludf.DUMMYFUNCTION("""COMPUTED_VALUE"""),"PHL, Multilingual Support")</f>
        <v>PHL, Multilingual Support</v>
      </c>
    </row>
    <row r="551">
      <c r="O551" s="1" t="str">
        <f>IFERROR(__xludf.DUMMYFUNCTION("""COMPUTED_VALUE"""),"2025 Jul")</f>
        <v>2025 Jul</v>
      </c>
      <c r="P551" s="1" t="str">
        <f>IFERROR(__xludf.DUMMYFUNCTION("""COMPUTED_VALUE"""),"High Sensitivity Support")</f>
        <v>High Sensitivity Support</v>
      </c>
      <c r="Q551" s="1" t="str">
        <f>IFERROR(__xludf.DUMMYFUNCTION("""COMPUTED_VALUE"""),"trina@canva.com")</f>
        <v>trina@canva.com</v>
      </c>
      <c r="R551" s="1" t="str">
        <f>IFERROR(__xludf.DUMMYFUNCTION("""COMPUTED_VALUE"""),"Trina Salcedo")</f>
        <v>Trina Salcedo</v>
      </c>
      <c r="S551" s="1">
        <f>IFERROR(__xludf.DUMMYFUNCTION("""COMPUTED_VALUE"""),12.75)</f>
        <v>12.75</v>
      </c>
      <c r="T551" s="1">
        <f>IFERROR(__xludf.DUMMYFUNCTION("""COMPUTED_VALUE"""),10.0)</f>
        <v>10</v>
      </c>
      <c r="U551" s="2">
        <f>IFERROR(__xludf.DUMMYFUNCTION("""COMPUTED_VALUE"""),22.75)</f>
        <v>22.75</v>
      </c>
      <c r="V551" s="1" t="str">
        <f>IFERROR(__xludf.DUMMYFUNCTION("""COMPUTED_VALUE"""),"Xandy Azarcon")</f>
        <v>Xandy Azarcon</v>
      </c>
      <c r="W551" s="1" t="str">
        <f>IFERROR(__xludf.DUMMYFUNCTION("""COMPUTED_VALUE"""),"High Sensitivity Support PH")</f>
        <v>High Sensitivity Support PH</v>
      </c>
    </row>
    <row r="552">
      <c r="O552" s="1" t="str">
        <f>IFERROR(__xludf.DUMMYFUNCTION("""COMPUTED_VALUE"""),"2025 Jul")</f>
        <v>2025 Jul</v>
      </c>
      <c r="P552" s="1" t="str">
        <f>IFERROR(__xludf.DUMMYFUNCTION("""COMPUTED_VALUE"""),"High Sensitivity Support")</f>
        <v>High Sensitivity Support</v>
      </c>
      <c r="Q552" s="1" t="str">
        <f>IFERROR(__xludf.DUMMYFUNCTION("""COMPUTED_VALUE"""),"trishlee@canva.com")</f>
        <v>trishlee@canva.com</v>
      </c>
      <c r="R552" s="1" t="str">
        <f>IFERROR(__xludf.DUMMYFUNCTION("""COMPUTED_VALUE"""),"Trish Lee")</f>
        <v>Trish Lee</v>
      </c>
      <c r="S552" s="1"/>
      <c r="T552" s="1">
        <f>IFERROR(__xludf.DUMMYFUNCTION("""COMPUTED_VALUE"""),7.43)</f>
        <v>7.43</v>
      </c>
      <c r="U552" s="2">
        <f>IFERROR(__xludf.DUMMYFUNCTION("""COMPUTED_VALUE"""),7.43)</f>
        <v>7.43</v>
      </c>
      <c r="V552" s="1" t="str">
        <f>IFERROR(__xludf.DUMMYFUNCTION("""COMPUTED_VALUE"""),"Issi Afable")</f>
        <v>Issi Afable</v>
      </c>
      <c r="W552" s="1" t="str">
        <f>IFERROR(__xludf.DUMMYFUNCTION("""COMPUTED_VALUE"""),"High Sensitivity Support PH")</f>
        <v>High Sensitivity Support PH</v>
      </c>
    </row>
    <row r="553">
      <c r="O553" s="1" t="str">
        <f>IFERROR(__xludf.DUMMYFUNCTION("""COMPUTED_VALUE"""),"2025 Jul")</f>
        <v>2025 Jul</v>
      </c>
      <c r="P553" s="1" t="str">
        <f>IFERROR(__xludf.DUMMYFUNCTION("""COMPUTED_VALUE"""),"Print Support")</f>
        <v>Print Support</v>
      </c>
      <c r="Q553" s="1" t="str">
        <f>IFERROR(__xludf.DUMMYFUNCTION("""COMPUTED_VALUE"""),"trissamiguel@canva.com")</f>
        <v>trissamiguel@canva.com</v>
      </c>
      <c r="R553" s="1" t="str">
        <f>IFERROR(__xludf.DUMMYFUNCTION("""COMPUTED_VALUE"""),"Trissa Miguel")</f>
        <v>Trissa Miguel</v>
      </c>
      <c r="S553" s="1">
        <f>IFERROR(__xludf.DUMMYFUNCTION("""COMPUTED_VALUE"""),0.75)</f>
        <v>0.75</v>
      </c>
      <c r="T553" s="1">
        <f>IFERROR(__xludf.DUMMYFUNCTION("""COMPUTED_VALUE"""),6.08)</f>
        <v>6.08</v>
      </c>
      <c r="U553" s="2">
        <f>IFERROR(__xludf.DUMMYFUNCTION("""COMPUTED_VALUE"""),6.83)</f>
        <v>6.83</v>
      </c>
      <c r="V553" s="1" t="str">
        <f>IFERROR(__xludf.DUMMYFUNCTION("""COMPUTED_VALUE"""),"G-Anne Murillo")</f>
        <v>G-Anne Murillo</v>
      </c>
      <c r="W553" s="1" t="str">
        <f>IFERROR(__xludf.DUMMYFUNCTION("""COMPUTED_VALUE"""),"Print Design Support")</f>
        <v>Print Design Support</v>
      </c>
    </row>
    <row r="554">
      <c r="O554" s="1" t="str">
        <f>IFERROR(__xludf.DUMMYFUNCTION("""COMPUTED_VALUE"""),"2025 Jul")</f>
        <v>2025 Jul</v>
      </c>
      <c r="P554" s="1" t="str">
        <f>IFERROR(__xludf.DUMMYFUNCTION("""COMPUTED_VALUE"""),"Print Support")</f>
        <v>Print Support</v>
      </c>
      <c r="Q554" s="1" t="str">
        <f>IFERROR(__xludf.DUMMYFUNCTION("""COMPUTED_VALUE"""),"vlad.b@canva.com")</f>
        <v>vlad.b@canva.com</v>
      </c>
      <c r="R554" s="1" t="str">
        <f>IFERROR(__xludf.DUMMYFUNCTION("""COMPUTED_VALUE"""),"Vladimir Besana")</f>
        <v>Vladimir Besana</v>
      </c>
      <c r="S554" s="1">
        <f>IFERROR(__xludf.DUMMYFUNCTION("""COMPUTED_VALUE"""),9.67)</f>
        <v>9.67</v>
      </c>
      <c r="T554" s="1">
        <f>IFERROR(__xludf.DUMMYFUNCTION("""COMPUTED_VALUE"""),6.08)</f>
        <v>6.08</v>
      </c>
      <c r="U554" s="2">
        <f>IFERROR(__xludf.DUMMYFUNCTION("""COMPUTED_VALUE"""),15.75)</f>
        <v>15.75</v>
      </c>
      <c r="V554" s="1" t="str">
        <f>IFERROR(__xludf.DUMMYFUNCTION("""COMPUTED_VALUE"""),"Jan Domingo")</f>
        <v>Jan Domingo</v>
      </c>
      <c r="W554" s="1" t="str">
        <f>IFERROR(__xludf.DUMMYFUNCTION("""COMPUTED_VALUE"""),"Print Design Support")</f>
        <v>Print Design Support</v>
      </c>
    </row>
    <row r="555">
      <c r="O555" s="1" t="str">
        <f>IFERROR(__xludf.DUMMYFUNCTION("""COMPUTED_VALUE"""),"2025 Jul")</f>
        <v>2025 Jul</v>
      </c>
      <c r="P555" s="1" t="str">
        <f>IFERROR(__xludf.DUMMYFUNCTION("""COMPUTED_VALUE"""),"Print Support")</f>
        <v>Print Support</v>
      </c>
      <c r="Q555" s="1" t="str">
        <f>IFERROR(__xludf.DUMMYFUNCTION("""COMPUTED_VALUE"""),"wesleyp@canva.com")</f>
        <v>wesleyp@canva.com</v>
      </c>
      <c r="R555" s="1" t="str">
        <f>IFERROR(__xludf.DUMMYFUNCTION("""COMPUTED_VALUE"""),"Wes Paira")</f>
        <v>Wes Paira</v>
      </c>
      <c r="S555" s="1">
        <f>IFERROR(__xludf.DUMMYFUNCTION("""COMPUTED_VALUE"""),14.0)</f>
        <v>14</v>
      </c>
      <c r="T555" s="1">
        <f>IFERROR(__xludf.DUMMYFUNCTION("""COMPUTED_VALUE"""),2.0)</f>
        <v>2</v>
      </c>
      <c r="U555" s="2">
        <f>IFERROR(__xludf.DUMMYFUNCTION("""COMPUTED_VALUE"""),16.0)</f>
        <v>16</v>
      </c>
      <c r="V555" s="1" t="str">
        <f>IFERROR(__xludf.DUMMYFUNCTION("""COMPUTED_VALUE"""),"Memae Faustino")</f>
        <v>Memae Faustino</v>
      </c>
      <c r="W555" s="1" t="str">
        <f>IFERROR(__xludf.DUMMYFUNCTION("""COMPUTED_VALUE"""),"Print Support PH")</f>
        <v>Print Support PH</v>
      </c>
    </row>
    <row r="556">
      <c r="O556" s="1" t="str">
        <f>IFERROR(__xludf.DUMMYFUNCTION("""COMPUTED_VALUE"""),"2025 Jul")</f>
        <v>2025 Jul</v>
      </c>
      <c r="P556" s="1" t="str">
        <f>IFERROR(__xludf.DUMMYFUNCTION("""COMPUTED_VALUE"""),"Core Product Support")</f>
        <v>Core Product Support</v>
      </c>
      <c r="Q556" s="1" t="str">
        <f>IFERROR(__xludf.DUMMYFUNCTION("""COMPUTED_VALUE"""),"xy@canva.com")</f>
        <v>xy@canva.com</v>
      </c>
      <c r="R556" s="1" t="str">
        <f>IFERROR(__xludf.DUMMYFUNCTION("""COMPUTED_VALUE"""),"Xyren Bulan")</f>
        <v>Xyren Bulan</v>
      </c>
      <c r="S556" s="1">
        <f>IFERROR(__xludf.DUMMYFUNCTION("""COMPUTED_VALUE"""),56.5)</f>
        <v>56.5</v>
      </c>
      <c r="T556" s="1">
        <f>IFERROR(__xludf.DUMMYFUNCTION("""COMPUTED_VALUE"""),6.08)</f>
        <v>6.08</v>
      </c>
      <c r="U556" s="2">
        <f>IFERROR(__xludf.DUMMYFUNCTION("""COMPUTED_VALUE"""),62.58)</f>
        <v>62.58</v>
      </c>
      <c r="V556" s="1" t="str">
        <f>IFERROR(__xludf.DUMMYFUNCTION("""COMPUTED_VALUE"""),"Vinz Lazaro")</f>
        <v>Vinz Lazaro</v>
      </c>
      <c r="W556" s="1" t="str">
        <f>IFERROR(__xludf.DUMMYFUNCTION("""COMPUTED_VALUE"""),"Advanced Product Support")</f>
        <v>Advanced Product Support</v>
      </c>
    </row>
    <row r="557">
      <c r="O557" s="1" t="str">
        <f>IFERROR(__xludf.DUMMYFUNCTION("""COMPUTED_VALUE"""),"2025 Jul")</f>
        <v>2025 Jul</v>
      </c>
      <c r="P557" s="1" t="str">
        <f>IFERROR(__xludf.DUMMYFUNCTION("""COMPUTED_VALUE"""),"Core Product Support")</f>
        <v>Core Product Support</v>
      </c>
      <c r="Q557" s="1" t="str">
        <f>IFERROR(__xludf.DUMMYFUNCTION("""COMPUTED_VALUE"""),"yanarel@canva.com")</f>
        <v>yanarel@canva.com</v>
      </c>
      <c r="R557" s="1" t="str">
        <f>IFERROR(__xludf.DUMMYFUNCTION("""COMPUTED_VALUE"""),"Yana Religioso")</f>
        <v>Yana Religioso</v>
      </c>
      <c r="S557" s="1">
        <f>IFERROR(__xludf.DUMMYFUNCTION("""COMPUTED_VALUE"""),19.0)</f>
        <v>19</v>
      </c>
      <c r="T557" s="1">
        <f>IFERROR(__xludf.DUMMYFUNCTION("""COMPUTED_VALUE"""),5.25)</f>
        <v>5.25</v>
      </c>
      <c r="U557" s="2">
        <f>IFERROR(__xludf.DUMMYFUNCTION("""COMPUTED_VALUE"""),24.25)</f>
        <v>24.25</v>
      </c>
      <c r="V557" s="1" t="str">
        <f>IFERROR(__xludf.DUMMYFUNCTION("""COMPUTED_VALUE"""),"Bem Launte")</f>
        <v>Bem Launte</v>
      </c>
      <c r="W557" s="1" t="str">
        <f>IFERROR(__xludf.DUMMYFUNCTION("""COMPUTED_VALUE"""),"Core Product Support Escalation Team")</f>
        <v>Core Product Support Escalation Team</v>
      </c>
    </row>
    <row r="558">
      <c r="O558" s="1" t="str">
        <f>IFERROR(__xludf.DUMMYFUNCTION("""COMPUTED_VALUE"""),"2025 Jul")</f>
        <v>2025 Jul</v>
      </c>
      <c r="P558" s="1" t="str">
        <f>IFERROR(__xludf.DUMMYFUNCTION("""COMPUTED_VALUE"""),"#N/A")</f>
        <v>#N/A</v>
      </c>
      <c r="Q558" s="1" t="str">
        <f>IFERROR(__xludf.DUMMYFUNCTION("""COMPUTED_VALUE"""),"karren@canva.com")</f>
        <v>karren@canva.com</v>
      </c>
      <c r="R558" s="1" t="str">
        <f>IFERROR(__xludf.DUMMYFUNCTION("""COMPUTED_VALUE"""),"Yen Luna")</f>
        <v>Yen Luna</v>
      </c>
      <c r="S558" s="1">
        <f>IFERROR(__xludf.DUMMYFUNCTION("""COMPUTED_VALUE"""),0.5)</f>
        <v>0.5</v>
      </c>
      <c r="T558" s="1">
        <f>IFERROR(__xludf.DUMMYFUNCTION("""COMPUTED_VALUE"""),5.0)</f>
        <v>5</v>
      </c>
      <c r="U558" s="2">
        <f>IFERROR(__xludf.DUMMYFUNCTION("""COMPUTED_VALUE"""),5.5)</f>
        <v>5.5</v>
      </c>
      <c r="V558" s="1" t="str">
        <f>IFERROR(__xludf.DUMMYFUNCTION("""COMPUTED_VALUE"""),"#N/A")</f>
        <v>#N/A</v>
      </c>
      <c r="W558" s="1" t="str">
        <f>IFERROR(__xludf.DUMMYFUNCTION("""COMPUTED_VALUE"""),"#N/A")</f>
        <v>#N/A</v>
      </c>
    </row>
    <row r="559">
      <c r="O559" s="1" t="str">
        <f>IFERROR(__xludf.DUMMYFUNCTION("""COMPUTED_VALUE"""),"2025 Jul")</f>
        <v>2025 Jul</v>
      </c>
      <c r="P559" s="1" t="str">
        <f>IFERROR(__xludf.DUMMYFUNCTION("""COMPUTED_VALUE"""),"Print Support")</f>
        <v>Print Support</v>
      </c>
      <c r="Q559" s="1" t="str">
        <f>IFERROR(__xludf.DUMMYFUNCTION("""COMPUTED_VALUE"""),"ysabel@canva.com")</f>
        <v>ysabel@canva.com</v>
      </c>
      <c r="R559" s="1" t="str">
        <f>IFERROR(__xludf.DUMMYFUNCTION("""COMPUTED_VALUE"""),"Ysabel Locsin")</f>
        <v>Ysabel Locsin</v>
      </c>
      <c r="S559" s="1">
        <f>IFERROR(__xludf.DUMMYFUNCTION("""COMPUTED_VALUE"""),8.5)</f>
        <v>8.5</v>
      </c>
      <c r="T559" s="1">
        <f>IFERROR(__xludf.DUMMYFUNCTION("""COMPUTED_VALUE"""),5.0)</f>
        <v>5</v>
      </c>
      <c r="U559" s="2">
        <f>IFERROR(__xludf.DUMMYFUNCTION("""COMPUTED_VALUE"""),13.5)</f>
        <v>13.5</v>
      </c>
      <c r="V559" s="1" t="str">
        <f>IFERROR(__xludf.DUMMYFUNCTION("""COMPUTED_VALUE"""),"Rei De Jesus")</f>
        <v>Rei De Jesus</v>
      </c>
      <c r="W559" s="1" t="str">
        <f>IFERROR(__xludf.DUMMYFUNCTION("""COMPUTED_VALUE"""),"Print Design Support")</f>
        <v>Print Design Support</v>
      </c>
    </row>
    <row r="560">
      <c r="O560" s="1" t="str">
        <f>IFERROR(__xludf.DUMMYFUNCTION("""COMPUTED_VALUE"""),"2025 Jul")</f>
        <v>2025 Jul</v>
      </c>
      <c r="P560" s="1" t="str">
        <f>IFERROR(__xludf.DUMMYFUNCTION("""COMPUTED_VALUE"""),"Core Product Support")</f>
        <v>Core Product Support</v>
      </c>
      <c r="Q560" s="1" t="str">
        <f>IFERROR(__xludf.DUMMYFUNCTION("""COMPUTED_VALUE"""),"ymagno@canva.com")</f>
        <v>ymagno@canva.com</v>
      </c>
      <c r="R560" s="1" t="str">
        <f>IFERROR(__xludf.DUMMYFUNCTION("""COMPUTED_VALUE"""),"Ysabel Magno")</f>
        <v>Ysabel Magno</v>
      </c>
      <c r="S560" s="1">
        <f>IFERROR(__xludf.DUMMYFUNCTION("""COMPUTED_VALUE"""),35.83)</f>
        <v>35.83</v>
      </c>
      <c r="T560" s="1">
        <f>IFERROR(__xludf.DUMMYFUNCTION("""COMPUTED_VALUE"""),11.25)</f>
        <v>11.25</v>
      </c>
      <c r="U560" s="2">
        <f>IFERROR(__xludf.DUMMYFUNCTION("""COMPUTED_VALUE"""),47.08)</f>
        <v>47.08</v>
      </c>
      <c r="V560" s="1" t="str">
        <f>IFERROR(__xludf.DUMMYFUNCTION("""COMPUTED_VALUE"""),"Renette Bok")</f>
        <v>Renette Bok</v>
      </c>
      <c r="W560" s="1" t="str">
        <f>IFERROR(__xludf.DUMMYFUNCTION("""COMPUTED_VALUE"""),"Advanced Billing &amp; Subscriptions")</f>
        <v>Advanced Billing &amp; Subscriptions</v>
      </c>
    </row>
    <row r="561">
      <c r="O561" s="1" t="str">
        <f>IFERROR(__xludf.DUMMYFUNCTION("""COMPUTED_VALUE"""),"2025 Jul")</f>
        <v>2025 Jul</v>
      </c>
      <c r="P561" s="1" t="str">
        <f>IFERROR(__xludf.DUMMYFUNCTION("""COMPUTED_VALUE"""),"Multilingual Support")</f>
        <v>Multilingual Support</v>
      </c>
      <c r="Q561" s="1" t="str">
        <f>IFERROR(__xludf.DUMMYFUNCTION("""COMPUTED_VALUE"""),"iuliia@canva.com")</f>
        <v>iuliia@canva.com</v>
      </c>
      <c r="R561" s="1" t="str">
        <f>IFERROR(__xludf.DUMMYFUNCTION("""COMPUTED_VALUE"""),"Yulya Shevkunova")</f>
        <v>Yulya Shevkunova</v>
      </c>
      <c r="S561" s="1">
        <f>IFERROR(__xludf.DUMMYFUNCTION("""COMPUTED_VALUE"""),3.0)</f>
        <v>3</v>
      </c>
      <c r="T561" s="1">
        <f>IFERROR(__xludf.DUMMYFUNCTION("""COMPUTED_VALUE"""),85.0)</f>
        <v>85</v>
      </c>
      <c r="U561" s="2">
        <f>IFERROR(__xludf.DUMMYFUNCTION("""COMPUTED_VALUE"""),88.0)</f>
        <v>88</v>
      </c>
      <c r="V561" s="1" t="str">
        <f>IFERROR(__xludf.DUMMYFUNCTION("""COMPUTED_VALUE"""),"Arlene Maurillo")</f>
        <v>Arlene Maurillo</v>
      </c>
      <c r="W561" s="1" t="str">
        <f>IFERROR(__xludf.DUMMYFUNCTION("""COMPUTED_VALUE"""),"PHL, Multilingual Support")</f>
        <v>PHL, Multilingual Support</v>
      </c>
    </row>
    <row r="562">
      <c r="O562" s="1" t="str">
        <f>IFERROR(__xludf.DUMMYFUNCTION("""COMPUTED_VALUE"""),"2025 Jul")</f>
        <v>2025 Jul</v>
      </c>
      <c r="P562" s="1" t="str">
        <f>IFERROR(__xludf.DUMMYFUNCTION("""COMPUTED_VALUE"""),"Core Product Support")</f>
        <v>Core Product Support</v>
      </c>
      <c r="Q562" s="1" t="str">
        <f>IFERROR(__xludf.DUMMYFUNCTION("""COMPUTED_VALUE"""),"yumi@canva.com")</f>
        <v>yumi@canva.com</v>
      </c>
      <c r="R562" s="1" t="str">
        <f>IFERROR(__xludf.DUMMYFUNCTION("""COMPUTED_VALUE"""),"Yumi Tominaga")</f>
        <v>Yumi Tominaga</v>
      </c>
      <c r="S562" s="1">
        <f>IFERROR(__xludf.DUMMYFUNCTION("""COMPUTED_VALUE"""),32.5)</f>
        <v>32.5</v>
      </c>
      <c r="T562" s="1">
        <f>IFERROR(__xludf.DUMMYFUNCTION("""COMPUTED_VALUE"""),13.25)</f>
        <v>13.25</v>
      </c>
      <c r="U562" s="2">
        <f>IFERROR(__xludf.DUMMYFUNCTION("""COMPUTED_VALUE"""),45.75)</f>
        <v>45.75</v>
      </c>
      <c r="V562" s="1" t="str">
        <f>IFERROR(__xludf.DUMMYFUNCTION("""COMPUTED_VALUE"""),"Ana Lazaro")</f>
        <v>Ana Lazaro</v>
      </c>
      <c r="W562" s="1" t="str">
        <f>IFERROR(__xludf.DUMMYFUNCTION("""COMPUTED_VALUE"""),"Advanced Billing &amp; Subscriptions")</f>
        <v>Advanced Billing &amp; Subscriptions</v>
      </c>
    </row>
    <row r="563">
      <c r="O563" s="1" t="str">
        <f>IFERROR(__xludf.DUMMYFUNCTION("""COMPUTED_VALUE"""),"2025 Jul")</f>
        <v>2025 Jul</v>
      </c>
      <c r="P563" s="1" t="str">
        <f>IFERROR(__xludf.DUMMYFUNCTION("""COMPUTED_VALUE"""),"Core Product Support")</f>
        <v>Core Product Support</v>
      </c>
      <c r="Q563" s="1" t="str">
        <f>IFERROR(__xludf.DUMMYFUNCTION("""COMPUTED_VALUE"""),"yvette@canva.com")</f>
        <v>yvette@canva.com</v>
      </c>
      <c r="R563" s="1" t="str">
        <f>IFERROR(__xludf.DUMMYFUNCTION("""COMPUTED_VALUE"""),"Yvette Nogoy")</f>
        <v>Yvette Nogoy</v>
      </c>
      <c r="S563" s="1">
        <f>IFERROR(__xludf.DUMMYFUNCTION("""COMPUTED_VALUE"""),22.75)</f>
        <v>22.75</v>
      </c>
      <c r="T563" s="1">
        <f>IFERROR(__xludf.DUMMYFUNCTION("""COMPUTED_VALUE"""),11.0)</f>
        <v>11</v>
      </c>
      <c r="U563" s="2">
        <f>IFERROR(__xludf.DUMMYFUNCTION("""COMPUTED_VALUE"""),33.75)</f>
        <v>33.75</v>
      </c>
      <c r="V563" s="1" t="str">
        <f>IFERROR(__xludf.DUMMYFUNCTION("""COMPUTED_VALUE"""),"Jelyn Elmido")</f>
        <v>Jelyn Elmido</v>
      </c>
      <c r="W563" s="1" t="str">
        <f>IFERROR(__xludf.DUMMYFUNCTION("""COMPUTED_VALUE"""),"Core Product Support Escalation Team")</f>
        <v>Core Product Support Escalation Team</v>
      </c>
    </row>
    <row r="564">
      <c r="O564" s="1" t="str">
        <f>IFERROR(__xludf.DUMMYFUNCTION("""COMPUTED_VALUE"""),"2025 Jul")</f>
        <v>2025 Jul</v>
      </c>
      <c r="P564" s="1" t="str">
        <f>IFERROR(__xludf.DUMMYFUNCTION("""COMPUTED_VALUE"""),"Admin Support")</f>
        <v>Admin Support</v>
      </c>
      <c r="Q564" s="1" t="str">
        <f>IFERROR(__xludf.DUMMYFUNCTION("""COMPUTED_VALUE"""),"yvonne@canva.com")</f>
        <v>yvonne@canva.com</v>
      </c>
      <c r="R564" s="1" t="str">
        <f>IFERROR(__xludf.DUMMYFUNCTION("""COMPUTED_VALUE"""),"Yvonne Romasanta")</f>
        <v>Yvonne Romasanta</v>
      </c>
      <c r="S564" s="1">
        <f>IFERROR(__xludf.DUMMYFUNCTION("""COMPUTED_VALUE"""),0.35)</f>
        <v>0.35</v>
      </c>
      <c r="T564" s="1">
        <f>IFERROR(__xludf.DUMMYFUNCTION("""COMPUTED_VALUE"""),5.0)</f>
        <v>5</v>
      </c>
      <c r="U564" s="2">
        <f>IFERROR(__xludf.DUMMYFUNCTION("""COMPUTED_VALUE"""),5.35)</f>
        <v>5.35</v>
      </c>
      <c r="V564" s="1" t="str">
        <f>IFERROR(__xludf.DUMMYFUNCTION("""COMPUTED_VALUE"""),"Pau Palmero")</f>
        <v>Pau Palmero</v>
      </c>
      <c r="W564" s="1" t="str">
        <f>IFERROR(__xludf.DUMMYFUNCTION("""COMPUTED_VALUE"""),"Admin Omni Support")</f>
        <v>Admin Omni Support</v>
      </c>
    </row>
    <row r="565">
      <c r="O565" s="1" t="str">
        <f>IFERROR(__xludf.DUMMYFUNCTION("""COMPUTED_VALUE"""),"2025 Jul")</f>
        <v>2025 Jul</v>
      </c>
      <c r="P565" s="1" t="str">
        <f>IFERROR(__xludf.DUMMYFUNCTION("""COMPUTED_VALUE"""),"Print Support")</f>
        <v>Print Support</v>
      </c>
      <c r="Q565" s="1" t="str">
        <f>IFERROR(__xludf.DUMMYFUNCTION("""COMPUTED_VALUE"""),"zippy@canva.com")</f>
        <v>zippy@canva.com</v>
      </c>
      <c r="R565" s="1" t="str">
        <f>IFERROR(__xludf.DUMMYFUNCTION("""COMPUTED_VALUE"""),"Zipporah Duque")</f>
        <v>Zipporah Duque</v>
      </c>
      <c r="S565" s="1">
        <f>IFERROR(__xludf.DUMMYFUNCTION("""COMPUTED_VALUE"""),12.5)</f>
        <v>12.5</v>
      </c>
      <c r="T565" s="1"/>
      <c r="U565" s="2">
        <f>IFERROR(__xludf.DUMMYFUNCTION("""COMPUTED_VALUE"""),12.5)</f>
        <v>12.5</v>
      </c>
      <c r="V565" s="1" t="str">
        <f>IFERROR(__xludf.DUMMYFUNCTION("""COMPUTED_VALUE"""),"Jen Momo")</f>
        <v>Jen Momo</v>
      </c>
      <c r="W565" s="1" t="str">
        <f>IFERROR(__xludf.DUMMYFUNCTION("""COMPUTED_VALUE"""),"Print Support PH")</f>
        <v>Print Support PH</v>
      </c>
    </row>
    <row r="566">
      <c r="O566" s="1" t="str">
        <f>IFERROR(__xludf.DUMMYFUNCTION("""COMPUTED_VALUE"""),"2025 Aug")</f>
        <v>2025 Aug</v>
      </c>
      <c r="P566" s="1" t="str">
        <f>IFERROR(__xludf.DUMMYFUNCTION("""COMPUTED_VALUE"""),"Segment-specific Support")</f>
        <v>Segment-specific Support</v>
      </c>
      <c r="Q566" s="1" t="str">
        <f>IFERROR(__xludf.DUMMYFUNCTION("""COMPUTED_VALUE"""),"triplea@canva.com")</f>
        <v>triplea@canva.com</v>
      </c>
      <c r="R566" s="1" t="str">
        <f>IFERROR(__xludf.DUMMYFUNCTION("""COMPUTED_VALUE"""),"AA Abong")</f>
        <v>AA Abong</v>
      </c>
      <c r="S566" s="1">
        <f>IFERROR(__xludf.DUMMYFUNCTION("""COMPUTED_VALUE"""),4.0)</f>
        <v>4</v>
      </c>
      <c r="T566" s="1">
        <f>IFERROR(__xludf.DUMMYFUNCTION("""COMPUTED_VALUE"""),164.0)</f>
        <v>164</v>
      </c>
      <c r="U566" s="2">
        <f>IFERROR(__xludf.DUMMYFUNCTION("""COMPUTED_VALUE"""),168.0)</f>
        <v>168</v>
      </c>
      <c r="V566" s="1" t="str">
        <f>IFERROR(__xludf.DUMMYFUNCTION("""COMPUTED_VALUE"""),"Jonathan Dimaculangan")</f>
        <v>Jonathan Dimaculangan</v>
      </c>
      <c r="W566" s="1" t="str">
        <f>IFERROR(__xludf.DUMMYFUNCTION("""COMPUTED_VALUE"""),"Flourish Support")</f>
        <v>Flourish Support</v>
      </c>
    </row>
    <row r="567">
      <c r="O567" s="1" t="str">
        <f>IFERROR(__xludf.DUMMYFUNCTION("""COMPUTED_VALUE"""),"2025 Aug")</f>
        <v>2025 Aug</v>
      </c>
      <c r="P567" s="1" t="str">
        <f>IFERROR(__xludf.DUMMYFUNCTION("""COMPUTED_VALUE"""),"Core Product Support")</f>
        <v>Core Product Support</v>
      </c>
      <c r="Q567" s="1" t="str">
        <f>IFERROR(__xludf.DUMMYFUNCTION("""COMPUTED_VALUE"""),"adrielcarlosv@canva.com")</f>
        <v>adrielcarlosv@canva.com</v>
      </c>
      <c r="R567" s="1" t="str">
        <f>IFERROR(__xludf.DUMMYFUNCTION("""COMPUTED_VALUE"""),"Adriel Vicencio")</f>
        <v>Adriel Vicencio</v>
      </c>
      <c r="S567" s="1"/>
      <c r="T567" s="1">
        <f>IFERROR(__xludf.DUMMYFUNCTION("""COMPUTED_VALUE"""),0.0)</f>
        <v>0</v>
      </c>
      <c r="U567" s="2">
        <f>IFERROR(__xludf.DUMMYFUNCTION("""COMPUTED_VALUE"""),0.0)</f>
        <v>0</v>
      </c>
      <c r="V567" s="1" t="str">
        <f>IFERROR(__xludf.DUMMYFUNCTION("""COMPUTED_VALUE"""),"Jem Mondoñedo")</f>
        <v>Jem Mondoñedo</v>
      </c>
      <c r="W567" s="1" t="str">
        <f>IFERROR(__xludf.DUMMYFUNCTION("""COMPUTED_VALUE"""),"Advanced Billing &amp; Subscriptions")</f>
        <v>Advanced Billing &amp; Subscriptions</v>
      </c>
    </row>
    <row r="568">
      <c r="O568" s="1" t="str">
        <f>IFERROR(__xludf.DUMMYFUNCTION("""COMPUTED_VALUE"""),"2025 Aug")</f>
        <v>2025 Aug</v>
      </c>
      <c r="P568" s="1" t="str">
        <f>IFERROR(__xludf.DUMMYFUNCTION("""COMPUTED_VALUE"""),"Admin Support")</f>
        <v>Admin Support</v>
      </c>
      <c r="Q568" s="1" t="str">
        <f>IFERROR(__xludf.DUMMYFUNCTION("""COMPUTED_VALUE"""),"agathartt@canva.com")</f>
        <v>agathartt@canva.com</v>
      </c>
      <c r="R568" s="1" t="str">
        <f>IFERROR(__xludf.DUMMYFUNCTION("""COMPUTED_VALUE"""),"Agatha Torres")</f>
        <v>Agatha Torres</v>
      </c>
      <c r="S568" s="1">
        <f>IFERROR(__xludf.DUMMYFUNCTION("""COMPUTED_VALUE"""),21.08)</f>
        <v>21.08</v>
      </c>
      <c r="T568" s="1">
        <f>IFERROR(__xludf.DUMMYFUNCTION("""COMPUTED_VALUE"""),26.08)</f>
        <v>26.08</v>
      </c>
      <c r="U568" s="2">
        <f>IFERROR(__xludf.DUMMYFUNCTION("""COMPUTED_VALUE"""),47.16)</f>
        <v>47.16</v>
      </c>
      <c r="V568" s="1" t="str">
        <f>IFERROR(__xludf.DUMMYFUNCTION("""COMPUTED_VALUE"""),"AL Suarez")</f>
        <v>AL Suarez</v>
      </c>
      <c r="W568" s="1" t="str">
        <f>IFERROR(__xludf.DUMMYFUNCTION("""COMPUTED_VALUE"""),"Advanced Billing &amp; Subscriptions")</f>
        <v>Advanced Billing &amp; Subscriptions</v>
      </c>
    </row>
    <row r="569">
      <c r="O569" s="1" t="str">
        <f>IFERROR(__xludf.DUMMYFUNCTION("""COMPUTED_VALUE"""),"2025 Aug")</f>
        <v>2025 Aug</v>
      </c>
      <c r="P569" s="1" t="str">
        <f>IFERROR(__xludf.DUMMYFUNCTION("""COMPUTED_VALUE"""),"Print Support")</f>
        <v>Print Support</v>
      </c>
      <c r="Q569" s="1" t="str">
        <f>IFERROR(__xludf.DUMMYFUNCTION("""COMPUTED_VALUE"""),"aileen.a@canva.com")</f>
        <v>aileen.a@canva.com</v>
      </c>
      <c r="R569" s="1" t="str">
        <f>IFERROR(__xludf.DUMMYFUNCTION("""COMPUTED_VALUE"""),"Aileen Alipio")</f>
        <v>Aileen Alipio</v>
      </c>
      <c r="S569" s="1">
        <f>IFERROR(__xludf.DUMMYFUNCTION("""COMPUTED_VALUE"""),3.17)</f>
        <v>3.17</v>
      </c>
      <c r="T569" s="1">
        <f>IFERROR(__xludf.DUMMYFUNCTION("""COMPUTED_VALUE"""),6.67)</f>
        <v>6.67</v>
      </c>
      <c r="U569" s="2">
        <f>IFERROR(__xludf.DUMMYFUNCTION("""COMPUTED_VALUE"""),9.84)</f>
        <v>9.84</v>
      </c>
      <c r="V569" s="1" t="str">
        <f>IFERROR(__xludf.DUMMYFUNCTION("""COMPUTED_VALUE"""),"Gem Agoncillo")</f>
        <v>Gem Agoncillo</v>
      </c>
      <c r="W569" s="1" t="str">
        <f>IFERROR(__xludf.DUMMYFUNCTION("""COMPUTED_VALUE"""),"Print Design Support")</f>
        <v>Print Design Support</v>
      </c>
    </row>
    <row r="570">
      <c r="O570" s="1" t="str">
        <f>IFERROR(__xludf.DUMMYFUNCTION("""COMPUTED_VALUE"""),"2025 Aug")</f>
        <v>2025 Aug</v>
      </c>
      <c r="P570" s="1" t="str">
        <f>IFERROR(__xludf.DUMMYFUNCTION("""COMPUTED_VALUE"""),"Core Product Support")</f>
        <v>Core Product Support</v>
      </c>
      <c r="Q570" s="1" t="str">
        <f>IFERROR(__xludf.DUMMYFUNCTION("""COMPUTED_VALUE"""),"ailyn@canva.com")</f>
        <v>ailyn@canva.com</v>
      </c>
      <c r="R570" s="1" t="str">
        <f>IFERROR(__xludf.DUMMYFUNCTION("""COMPUTED_VALUE"""),"Ailyn Grana")</f>
        <v>Ailyn Grana</v>
      </c>
      <c r="S570" s="1">
        <f>IFERROR(__xludf.DUMMYFUNCTION("""COMPUTED_VALUE"""),38.42)</f>
        <v>38.42</v>
      </c>
      <c r="T570" s="1">
        <f>IFERROR(__xludf.DUMMYFUNCTION("""COMPUTED_VALUE"""),38.75)</f>
        <v>38.75</v>
      </c>
      <c r="U570" s="2">
        <f>IFERROR(__xludf.DUMMYFUNCTION("""COMPUTED_VALUE"""),77.17)</f>
        <v>77.17</v>
      </c>
      <c r="V570" s="1" t="str">
        <f>IFERROR(__xludf.DUMMYFUNCTION("""COMPUTED_VALUE"""),"Belle Bentazal")</f>
        <v>Belle Bentazal</v>
      </c>
      <c r="W570" s="1" t="str">
        <f>IFERROR(__xludf.DUMMYFUNCTION("""COMPUTED_VALUE"""),"Advanced Product Support")</f>
        <v>Advanced Product Support</v>
      </c>
    </row>
    <row r="571">
      <c r="O571" s="1" t="str">
        <f>IFERROR(__xludf.DUMMYFUNCTION("""COMPUTED_VALUE"""),"2025 Aug")</f>
        <v>2025 Aug</v>
      </c>
      <c r="P571" s="1" t="str">
        <f>IFERROR(__xludf.DUMMYFUNCTION("""COMPUTED_VALUE"""),"Print Support")</f>
        <v>Print Support</v>
      </c>
      <c r="Q571" s="1" t="str">
        <f>IFERROR(__xludf.DUMMYFUNCTION("""COMPUTED_VALUE"""),"alaizaong@canva.com")</f>
        <v>alaizaong@canva.com</v>
      </c>
      <c r="R571" s="1" t="str">
        <f>IFERROR(__xludf.DUMMYFUNCTION("""COMPUTED_VALUE"""),"Alaiza Ong")</f>
        <v>Alaiza Ong</v>
      </c>
      <c r="S571" s="1">
        <f>IFERROR(__xludf.DUMMYFUNCTION("""COMPUTED_VALUE"""),12.0)</f>
        <v>12</v>
      </c>
      <c r="T571" s="1">
        <f>IFERROR(__xludf.DUMMYFUNCTION("""COMPUTED_VALUE"""),22.67)</f>
        <v>22.67</v>
      </c>
      <c r="U571" s="2">
        <f>IFERROR(__xludf.DUMMYFUNCTION("""COMPUTED_VALUE"""),34.67)</f>
        <v>34.67</v>
      </c>
      <c r="V571" s="1" t="str">
        <f>IFERROR(__xludf.DUMMYFUNCTION("""COMPUTED_VALUE"""),"Rae Erlano")</f>
        <v>Rae Erlano</v>
      </c>
      <c r="W571" s="1" t="str">
        <f>IFERROR(__xludf.DUMMYFUNCTION("""COMPUTED_VALUE"""),"Print Support PH")</f>
        <v>Print Support PH</v>
      </c>
    </row>
    <row r="572">
      <c r="O572" s="1" t="str">
        <f>IFERROR(__xludf.DUMMYFUNCTION("""COMPUTED_VALUE"""),"2025 Aug")</f>
        <v>2025 Aug</v>
      </c>
      <c r="P572" s="1" t="str">
        <f>IFERROR(__xludf.DUMMYFUNCTION("""COMPUTED_VALUE"""),"Segment-specific Support")</f>
        <v>Segment-specific Support</v>
      </c>
      <c r="Q572" s="1" t="str">
        <f>IFERROR(__xludf.DUMMYFUNCTION("""COMPUTED_VALUE"""),"andria@canva.com")</f>
        <v>andria@canva.com</v>
      </c>
      <c r="R572" s="1" t="str">
        <f>IFERROR(__xludf.DUMMYFUNCTION("""COMPUTED_VALUE"""),"Alex Batusin")</f>
        <v>Alex Batusin</v>
      </c>
      <c r="S572" s="1">
        <f>IFERROR(__xludf.DUMMYFUNCTION("""COMPUTED_VALUE"""),4.0)</f>
        <v>4</v>
      </c>
      <c r="T572" s="1">
        <f>IFERROR(__xludf.DUMMYFUNCTION("""COMPUTED_VALUE"""),6.0)</f>
        <v>6</v>
      </c>
      <c r="U572" s="2">
        <f>IFERROR(__xludf.DUMMYFUNCTION("""COMPUTED_VALUE"""),10.0)</f>
        <v>10</v>
      </c>
      <c r="V572" s="1" t="str">
        <f>IFERROR(__xludf.DUMMYFUNCTION("""COMPUTED_VALUE"""),"Aileen Dayanghirang")</f>
        <v>Aileen Dayanghirang</v>
      </c>
      <c r="W572" s="1" t="str">
        <f>IFERROR(__xludf.DUMMYFUNCTION("""COMPUTED_VALUE"""),"Creators Support")</f>
        <v>Creators Support</v>
      </c>
    </row>
    <row r="573">
      <c r="O573" s="1" t="str">
        <f>IFERROR(__xludf.DUMMYFUNCTION("""COMPUTED_VALUE"""),"2025 Aug")</f>
        <v>2025 Aug</v>
      </c>
      <c r="P573" s="1" t="str">
        <f>IFERROR(__xludf.DUMMYFUNCTION("""COMPUTED_VALUE"""),"Segment-specific Support")</f>
        <v>Segment-specific Support</v>
      </c>
      <c r="Q573" s="1" t="str">
        <f>IFERROR(__xludf.DUMMYFUNCTION("""COMPUTED_VALUE"""),"alexl@canva.com")</f>
        <v>alexl@canva.com</v>
      </c>
      <c r="R573" s="1" t="str">
        <f>IFERROR(__xludf.DUMMYFUNCTION("""COMPUTED_VALUE"""),"Alex Lim")</f>
        <v>Alex Lim</v>
      </c>
      <c r="S573" s="1">
        <f>IFERROR(__xludf.DUMMYFUNCTION("""COMPUTED_VALUE"""),1.0)</f>
        <v>1</v>
      </c>
      <c r="T573" s="1">
        <f>IFERROR(__xludf.DUMMYFUNCTION("""COMPUTED_VALUE"""),2.0)</f>
        <v>2</v>
      </c>
      <c r="U573" s="2">
        <f>IFERROR(__xludf.DUMMYFUNCTION("""COMPUTED_VALUE"""),3.0)</f>
        <v>3</v>
      </c>
      <c r="V573" s="1" t="str">
        <f>IFERROR(__xludf.DUMMYFUNCTION("""COMPUTED_VALUE"""),"Gucci Nava")</f>
        <v>Gucci Nava</v>
      </c>
      <c r="W573" s="1" t="str">
        <f>IFERROR(__xludf.DUMMYFUNCTION("""COMPUTED_VALUE"""),"Affinity Support")</f>
        <v>Affinity Support</v>
      </c>
    </row>
    <row r="574">
      <c r="O574" s="1" t="str">
        <f>IFERROR(__xludf.DUMMYFUNCTION("""COMPUTED_VALUE"""),"2025 Aug")</f>
        <v>2025 Aug</v>
      </c>
      <c r="P574" s="1" t="str">
        <f>IFERROR(__xludf.DUMMYFUNCTION("""COMPUTED_VALUE"""),"Segment-specific Support")</f>
        <v>Segment-specific Support</v>
      </c>
      <c r="Q574" s="1" t="str">
        <f>IFERROR(__xludf.DUMMYFUNCTION("""COMPUTED_VALUE"""),"adtolentino@canva.com")</f>
        <v>adtolentino@canva.com</v>
      </c>
      <c r="R574" s="1" t="str">
        <f>IFERROR(__xludf.DUMMYFUNCTION("""COMPUTED_VALUE"""),"Alfred Devon Tolentino")</f>
        <v>Alfred Devon Tolentino</v>
      </c>
      <c r="S574" s="1">
        <f>IFERROR(__xludf.DUMMYFUNCTION("""COMPUTED_VALUE"""),7.0)</f>
        <v>7</v>
      </c>
      <c r="T574" s="1">
        <f>IFERROR(__xludf.DUMMYFUNCTION("""COMPUTED_VALUE"""),9.0)</f>
        <v>9</v>
      </c>
      <c r="U574" s="2">
        <f>IFERROR(__xludf.DUMMYFUNCTION("""COMPUTED_VALUE"""),16.0)</f>
        <v>16</v>
      </c>
      <c r="V574" s="1" t="str">
        <f>IFERROR(__xludf.DUMMYFUNCTION("""COMPUTED_VALUE"""),"Jonathan Dimaculangan")</f>
        <v>Jonathan Dimaculangan</v>
      </c>
      <c r="W574" s="1" t="str">
        <f>IFERROR(__xludf.DUMMYFUNCTION("""COMPUTED_VALUE"""),"Flourish Support")</f>
        <v>Flourish Support</v>
      </c>
    </row>
    <row r="575">
      <c r="O575" s="1" t="str">
        <f>IFERROR(__xludf.DUMMYFUNCTION("""COMPUTED_VALUE"""),"2025 Aug")</f>
        <v>2025 Aug</v>
      </c>
      <c r="P575" s="1" t="str">
        <f>IFERROR(__xludf.DUMMYFUNCTION("""COMPUTED_VALUE"""),"Admin Support")</f>
        <v>Admin Support</v>
      </c>
      <c r="Q575" s="1" t="str">
        <f>IFERROR(__xludf.DUMMYFUNCTION("""COMPUTED_VALUE"""),"alicec@canva.com")</f>
        <v>alicec@canva.com</v>
      </c>
      <c r="R575" s="1" t="str">
        <f>IFERROR(__xludf.DUMMYFUNCTION("""COMPUTED_VALUE"""),"Alice Creiser")</f>
        <v>Alice Creiser</v>
      </c>
      <c r="S575" s="1">
        <f>IFERROR(__xludf.DUMMYFUNCTION("""COMPUTED_VALUE"""),4.0)</f>
        <v>4</v>
      </c>
      <c r="T575" s="1">
        <f>IFERROR(__xludf.DUMMYFUNCTION("""COMPUTED_VALUE"""),4.0)</f>
        <v>4</v>
      </c>
      <c r="U575" s="2">
        <f>IFERROR(__xludf.DUMMYFUNCTION("""COMPUTED_VALUE"""),8.0)</f>
        <v>8</v>
      </c>
      <c r="V575" s="1" t="str">
        <f>IFERROR(__xludf.DUMMYFUNCTION("""COMPUTED_VALUE"""),"Tash Kelly")</f>
        <v>Tash Kelly</v>
      </c>
      <c r="W575" s="1" t="str">
        <f>IFERROR(__xludf.DUMMYFUNCTION("""COMPUTED_VALUE"""),"Admin Support EMEA")</f>
        <v>Admin Support EMEA</v>
      </c>
    </row>
    <row r="576">
      <c r="O576" s="1" t="str">
        <f>IFERROR(__xludf.DUMMYFUNCTION("""COMPUTED_VALUE"""),"2025 Aug")</f>
        <v>2025 Aug</v>
      </c>
      <c r="P576" s="1" t="str">
        <f>IFERROR(__xludf.DUMMYFUNCTION("""COMPUTED_VALUE"""),"Segment-specific Support")</f>
        <v>Segment-specific Support</v>
      </c>
      <c r="Q576" s="1" t="str">
        <f>IFERROR(__xludf.DUMMYFUNCTION("""COMPUTED_VALUE"""),"alyanna@canva.com")</f>
        <v>alyanna@canva.com</v>
      </c>
      <c r="R576" s="1" t="str">
        <f>IFERROR(__xludf.DUMMYFUNCTION("""COMPUTED_VALUE"""),"Alyanna Ramos")</f>
        <v>Alyanna Ramos</v>
      </c>
      <c r="S576" s="1"/>
      <c r="T576" s="1">
        <f>IFERROR(__xludf.DUMMYFUNCTION("""COMPUTED_VALUE"""),6.25)</f>
        <v>6.25</v>
      </c>
      <c r="U576" s="2">
        <f>IFERROR(__xludf.DUMMYFUNCTION("""COMPUTED_VALUE"""),6.25)</f>
        <v>6.25</v>
      </c>
      <c r="V576" s="1" t="str">
        <f>IFERROR(__xludf.DUMMYFUNCTION("""COMPUTED_VALUE"""),"Rose Gabilan")</f>
        <v>Rose Gabilan</v>
      </c>
      <c r="W576" s="1" t="str">
        <f>IFERROR(__xludf.DUMMYFUNCTION("""COMPUTED_VALUE"""),"Affinity Support")</f>
        <v>Affinity Support</v>
      </c>
    </row>
    <row r="577">
      <c r="O577" s="1" t="str">
        <f>IFERROR(__xludf.DUMMYFUNCTION("""COMPUTED_VALUE"""),"2025 Aug")</f>
        <v>2025 Aug</v>
      </c>
      <c r="P577" s="1" t="str">
        <f>IFERROR(__xludf.DUMMYFUNCTION("""COMPUTED_VALUE"""),"Core Product Support")</f>
        <v>Core Product Support</v>
      </c>
      <c r="Q577" s="1" t="str">
        <f>IFERROR(__xludf.DUMMYFUNCTION("""COMPUTED_VALUE"""),"alyssakae@canva.com")</f>
        <v>alyssakae@canva.com</v>
      </c>
      <c r="R577" s="1" t="str">
        <f>IFERROR(__xludf.DUMMYFUNCTION("""COMPUTED_VALUE"""),"Alyssa Kae Laranang")</f>
        <v>Alyssa Kae Laranang</v>
      </c>
      <c r="S577" s="1">
        <f>IFERROR(__xludf.DUMMYFUNCTION("""COMPUTED_VALUE"""),28.5)</f>
        <v>28.5</v>
      </c>
      <c r="T577" s="1">
        <f>IFERROR(__xludf.DUMMYFUNCTION("""COMPUTED_VALUE"""),36.5)</f>
        <v>36.5</v>
      </c>
      <c r="U577" s="2">
        <f>IFERROR(__xludf.DUMMYFUNCTION("""COMPUTED_VALUE"""),65.0)</f>
        <v>65</v>
      </c>
      <c r="V577" s="1" t="str">
        <f>IFERROR(__xludf.DUMMYFUNCTION("""COMPUTED_VALUE"""),"Ellaine Estayo")</f>
        <v>Ellaine Estayo</v>
      </c>
      <c r="W577" s="1" t="str">
        <f>IFERROR(__xludf.DUMMYFUNCTION("""COMPUTED_VALUE"""),"Core Product Support Escalation Team")</f>
        <v>Core Product Support Escalation Team</v>
      </c>
    </row>
    <row r="578">
      <c r="O578" s="1" t="str">
        <f>IFERROR(__xludf.DUMMYFUNCTION("""COMPUTED_VALUE"""),"2025 Aug")</f>
        <v>2025 Aug</v>
      </c>
      <c r="P578" s="1" t="str">
        <f>IFERROR(__xludf.DUMMYFUNCTION("""COMPUTED_VALUE"""),"Print Support")</f>
        <v>Print Support</v>
      </c>
      <c r="Q578" s="1" t="str">
        <f>IFERROR(__xludf.DUMMYFUNCTION("""COMPUTED_VALUE"""),"alyssam@canva.com")</f>
        <v>alyssam@canva.com</v>
      </c>
      <c r="R578" s="1" t="str">
        <f>IFERROR(__xludf.DUMMYFUNCTION("""COMPUTED_VALUE"""),"Alyssa Martin-Silao")</f>
        <v>Alyssa Martin-Silao</v>
      </c>
      <c r="S578" s="1">
        <f>IFERROR(__xludf.DUMMYFUNCTION("""COMPUTED_VALUE"""),17.0)</f>
        <v>17</v>
      </c>
      <c r="T578" s="1">
        <f>IFERROR(__xludf.DUMMYFUNCTION("""COMPUTED_VALUE"""),24.25)</f>
        <v>24.25</v>
      </c>
      <c r="U578" s="2">
        <f>IFERROR(__xludf.DUMMYFUNCTION("""COMPUTED_VALUE"""),41.25)</f>
        <v>41.25</v>
      </c>
      <c r="V578" s="1" t="str">
        <f>IFERROR(__xludf.DUMMYFUNCTION("""COMPUTED_VALUE"""),"Rae Erlano")</f>
        <v>Rae Erlano</v>
      </c>
      <c r="W578" s="1" t="str">
        <f>IFERROR(__xludf.DUMMYFUNCTION("""COMPUTED_VALUE"""),"Print Support PH")</f>
        <v>Print Support PH</v>
      </c>
    </row>
    <row r="579">
      <c r="O579" s="1" t="str">
        <f>IFERROR(__xludf.DUMMYFUNCTION("""COMPUTED_VALUE"""),"2025 Aug")</f>
        <v>2025 Aug</v>
      </c>
      <c r="P579" s="1" t="str">
        <f>IFERROR(__xludf.DUMMYFUNCTION("""COMPUTED_VALUE"""),"Print Support")</f>
        <v>Print Support</v>
      </c>
      <c r="Q579" s="1" t="str">
        <f>IFERROR(__xludf.DUMMYFUNCTION("""COMPUTED_VALUE"""),"alyssas@canva.com")</f>
        <v>alyssas@canva.com</v>
      </c>
      <c r="R579" s="1" t="str">
        <f>IFERROR(__xludf.DUMMYFUNCTION("""COMPUTED_VALUE"""),"Alyssa Sunga")</f>
        <v>Alyssa Sunga</v>
      </c>
      <c r="S579" s="1">
        <f>IFERROR(__xludf.DUMMYFUNCTION("""COMPUTED_VALUE"""),2.93)</f>
        <v>2.93</v>
      </c>
      <c r="T579" s="1">
        <f>IFERROR(__xludf.DUMMYFUNCTION("""COMPUTED_VALUE"""),9.88)</f>
        <v>9.88</v>
      </c>
      <c r="U579" s="2">
        <f>IFERROR(__xludf.DUMMYFUNCTION("""COMPUTED_VALUE"""),12.81)</f>
        <v>12.81</v>
      </c>
      <c r="V579" s="1" t="str">
        <f>IFERROR(__xludf.DUMMYFUNCTION("""COMPUTED_VALUE"""),"Althea Mercado")</f>
        <v>Althea Mercado</v>
      </c>
      <c r="W579" s="1" t="str">
        <f>IFERROR(__xludf.DUMMYFUNCTION("""COMPUTED_VALUE"""),"Print Support PH")</f>
        <v>Print Support PH</v>
      </c>
    </row>
    <row r="580">
      <c r="O580" s="1" t="str">
        <f>IFERROR(__xludf.DUMMYFUNCTION("""COMPUTED_VALUE"""),"2025 Aug")</f>
        <v>2025 Aug</v>
      </c>
      <c r="P580" s="1" t="str">
        <f>IFERROR(__xludf.DUMMYFUNCTION("""COMPUTED_VALUE"""),"Print Support")</f>
        <v>Print Support</v>
      </c>
      <c r="Q580" s="1" t="str">
        <f>IFERROR(__xludf.DUMMYFUNCTION("""COMPUTED_VALUE"""),"andrea.g@canva.com")</f>
        <v>andrea.g@canva.com</v>
      </c>
      <c r="R580" s="1" t="str">
        <f>IFERROR(__xludf.DUMMYFUNCTION("""COMPUTED_VALUE"""),"Andrea Gutierrez")</f>
        <v>Andrea Gutierrez</v>
      </c>
      <c r="S580" s="1">
        <f>IFERROR(__xludf.DUMMYFUNCTION("""COMPUTED_VALUE"""),5.17)</f>
        <v>5.17</v>
      </c>
      <c r="T580" s="1">
        <f>IFERROR(__xludf.DUMMYFUNCTION("""COMPUTED_VALUE"""),12.42)</f>
        <v>12.42</v>
      </c>
      <c r="U580" s="2">
        <f>IFERROR(__xludf.DUMMYFUNCTION("""COMPUTED_VALUE"""),17.59)</f>
        <v>17.59</v>
      </c>
      <c r="V580" s="1" t="str">
        <f>IFERROR(__xludf.DUMMYFUNCTION("""COMPUTED_VALUE"""),"G-Anne Murillo")</f>
        <v>G-Anne Murillo</v>
      </c>
      <c r="W580" s="1" t="str">
        <f>IFERROR(__xludf.DUMMYFUNCTION("""COMPUTED_VALUE"""),"Print Design Support")</f>
        <v>Print Design Support</v>
      </c>
    </row>
    <row r="581">
      <c r="O581" s="1" t="str">
        <f>IFERROR(__xludf.DUMMYFUNCTION("""COMPUTED_VALUE"""),"2025 Aug")</f>
        <v>2025 Aug</v>
      </c>
      <c r="P581" s="1" t="str">
        <f>IFERROR(__xludf.DUMMYFUNCTION("""COMPUTED_VALUE"""),"Print Support")</f>
        <v>Print Support</v>
      </c>
      <c r="Q581" s="1" t="str">
        <f>IFERROR(__xludf.DUMMYFUNCTION("""COMPUTED_VALUE"""),"xandwea@canva.com")</f>
        <v>xandwea@canva.com</v>
      </c>
      <c r="R581" s="1" t="str">
        <f>IFERROR(__xludf.DUMMYFUNCTION("""COMPUTED_VALUE"""),"Andrea Lugtu")</f>
        <v>Andrea Lugtu</v>
      </c>
      <c r="S581" s="1">
        <f>IFERROR(__xludf.DUMMYFUNCTION("""COMPUTED_VALUE"""),3.25)</f>
        <v>3.25</v>
      </c>
      <c r="T581" s="1">
        <f>IFERROR(__xludf.DUMMYFUNCTION("""COMPUTED_VALUE"""),18.13)</f>
        <v>18.13</v>
      </c>
      <c r="U581" s="2">
        <f>IFERROR(__xludf.DUMMYFUNCTION("""COMPUTED_VALUE"""),21.38)</f>
        <v>21.38</v>
      </c>
      <c r="V581" s="1" t="str">
        <f>IFERROR(__xludf.DUMMYFUNCTION("""COMPUTED_VALUE"""),"Manee Barrasa")</f>
        <v>Manee Barrasa</v>
      </c>
      <c r="W581" s="1" t="str">
        <f>IFERROR(__xludf.DUMMYFUNCTION("""COMPUTED_VALUE"""),"Print Support PH")</f>
        <v>Print Support PH</v>
      </c>
    </row>
    <row r="582">
      <c r="O582" s="1" t="str">
        <f>IFERROR(__xludf.DUMMYFUNCTION("""COMPUTED_VALUE"""),"2025 Aug")</f>
        <v>2025 Aug</v>
      </c>
      <c r="P582" s="1" t="str">
        <f>IFERROR(__xludf.DUMMYFUNCTION("""COMPUTED_VALUE"""),"High Sensitivity Support")</f>
        <v>High Sensitivity Support</v>
      </c>
      <c r="Q582" s="1" t="str">
        <f>IFERROR(__xludf.DUMMYFUNCTION("""COMPUTED_VALUE"""),"andreimg@canva.com")</f>
        <v>andreimg@canva.com</v>
      </c>
      <c r="R582" s="1" t="str">
        <f>IFERROR(__xludf.DUMMYFUNCTION("""COMPUTED_VALUE"""),"Andrei Galutan")</f>
        <v>Andrei Galutan</v>
      </c>
      <c r="S582" s="1">
        <f>IFERROR(__xludf.DUMMYFUNCTION("""COMPUTED_VALUE"""),34.42)</f>
        <v>34.42</v>
      </c>
      <c r="T582" s="1">
        <f>IFERROR(__xludf.DUMMYFUNCTION("""COMPUTED_VALUE"""),73.5)</f>
        <v>73.5</v>
      </c>
      <c r="U582" s="2">
        <f>IFERROR(__xludf.DUMMYFUNCTION("""COMPUTED_VALUE"""),107.92)</f>
        <v>107.92</v>
      </c>
      <c r="V582" s="1" t="str">
        <f>IFERROR(__xludf.DUMMYFUNCTION("""COMPUTED_VALUE"""),"Rex Villamor")</f>
        <v>Rex Villamor</v>
      </c>
      <c r="W582" s="1" t="str">
        <f>IFERROR(__xludf.DUMMYFUNCTION("""COMPUTED_VALUE"""),"Advanced Product Support")</f>
        <v>Advanced Product Support</v>
      </c>
    </row>
    <row r="583">
      <c r="O583" s="1" t="str">
        <f>IFERROR(__xludf.DUMMYFUNCTION("""COMPUTED_VALUE"""),"2025 Aug")</f>
        <v>2025 Aug</v>
      </c>
      <c r="P583" s="1" t="str">
        <f>IFERROR(__xludf.DUMMYFUNCTION("""COMPUTED_VALUE"""),"Core Product Support")</f>
        <v>Core Product Support</v>
      </c>
      <c r="Q583" s="1" t="str">
        <f>IFERROR(__xludf.DUMMYFUNCTION("""COMPUTED_VALUE"""),"aalemania@canva.com")</f>
        <v>aalemania@canva.com</v>
      </c>
      <c r="R583" s="1" t="str">
        <f>IFERROR(__xludf.DUMMYFUNCTION("""COMPUTED_VALUE"""),"Angel Alemania")</f>
        <v>Angel Alemania</v>
      </c>
      <c r="S583" s="1">
        <f>IFERROR(__xludf.DUMMYFUNCTION("""COMPUTED_VALUE"""),13.52)</f>
        <v>13.52</v>
      </c>
      <c r="T583" s="1">
        <f>IFERROR(__xludf.DUMMYFUNCTION("""COMPUTED_VALUE"""),27.0)</f>
        <v>27</v>
      </c>
      <c r="U583" s="2">
        <f>IFERROR(__xludf.DUMMYFUNCTION("""COMPUTED_VALUE"""),40.519999999999996)</f>
        <v>40.52</v>
      </c>
      <c r="V583" s="1" t="str">
        <f>IFERROR(__xludf.DUMMYFUNCTION("""COMPUTED_VALUE"""),"Sieg Ballelos")</f>
        <v>Sieg Ballelos</v>
      </c>
      <c r="W583" s="1" t="str">
        <f>IFERROR(__xludf.DUMMYFUNCTION("""COMPUTED_VALUE"""),"Core Product Support Escalation Team")</f>
        <v>Core Product Support Escalation Team</v>
      </c>
    </row>
    <row r="584">
      <c r="O584" s="1" t="str">
        <f>IFERROR(__xludf.DUMMYFUNCTION("""COMPUTED_VALUE"""),"2025 Aug")</f>
        <v>2025 Aug</v>
      </c>
      <c r="P584" s="1" t="str">
        <f>IFERROR(__xludf.DUMMYFUNCTION("""COMPUTED_VALUE"""),"Admin Support")</f>
        <v>Admin Support</v>
      </c>
      <c r="Q584" s="1" t="str">
        <f>IFERROR(__xludf.DUMMYFUNCTION("""COMPUTED_VALUE"""),"angelc@canva.com")</f>
        <v>angelc@canva.com</v>
      </c>
      <c r="R584" s="1" t="str">
        <f>IFERROR(__xludf.DUMMYFUNCTION("""COMPUTED_VALUE"""),"Angel Cabrera")</f>
        <v>Angel Cabrera</v>
      </c>
      <c r="S584" s="1">
        <f>IFERROR(__xludf.DUMMYFUNCTION("""COMPUTED_VALUE"""),1.0)</f>
        <v>1</v>
      </c>
      <c r="T584" s="1">
        <f>IFERROR(__xludf.DUMMYFUNCTION("""COMPUTED_VALUE"""),10.5)</f>
        <v>10.5</v>
      </c>
      <c r="U584" s="2">
        <f>IFERROR(__xludf.DUMMYFUNCTION("""COMPUTED_VALUE"""),11.5)</f>
        <v>11.5</v>
      </c>
      <c r="V584" s="1" t="str">
        <f>IFERROR(__xludf.DUMMYFUNCTION("""COMPUTED_VALUE"""),"Ann Dumlao")</f>
        <v>Ann Dumlao</v>
      </c>
      <c r="W584" s="1" t="str">
        <f>IFERROR(__xludf.DUMMYFUNCTION("""COMPUTED_VALUE"""),"Admin Omni Support")</f>
        <v>Admin Omni Support</v>
      </c>
    </row>
    <row r="585">
      <c r="O585" s="1" t="str">
        <f>IFERROR(__xludf.DUMMYFUNCTION("""COMPUTED_VALUE"""),"2025 Aug")</f>
        <v>2025 Aug</v>
      </c>
      <c r="P585" s="1" t="str">
        <f>IFERROR(__xludf.DUMMYFUNCTION("""COMPUTED_VALUE"""),"Segment-specific Support")</f>
        <v>Segment-specific Support</v>
      </c>
      <c r="Q585" s="1" t="str">
        <f>IFERROR(__xludf.DUMMYFUNCTION("""COMPUTED_VALUE"""),"angelheart@canva.com")</f>
        <v>angelheart@canva.com</v>
      </c>
      <c r="R585" s="1" t="str">
        <f>IFERROR(__xludf.DUMMYFUNCTION("""COMPUTED_VALUE"""),"Angel Heart Santos")</f>
        <v>Angel Heart Santos</v>
      </c>
      <c r="S585" s="1">
        <f>IFERROR(__xludf.DUMMYFUNCTION("""COMPUTED_VALUE"""),7.0)</f>
        <v>7</v>
      </c>
      <c r="T585" s="1">
        <f>IFERROR(__xludf.DUMMYFUNCTION("""COMPUTED_VALUE"""),9.0)</f>
        <v>9</v>
      </c>
      <c r="U585" s="2">
        <f>IFERROR(__xludf.DUMMYFUNCTION("""COMPUTED_VALUE"""),16.0)</f>
        <v>16</v>
      </c>
      <c r="V585" s="1" t="str">
        <f>IFERROR(__xludf.DUMMYFUNCTION("""COMPUTED_VALUE"""),"Jonathan Dimaculangan")</f>
        <v>Jonathan Dimaculangan</v>
      </c>
      <c r="W585" s="1" t="str">
        <f>IFERROR(__xludf.DUMMYFUNCTION("""COMPUTED_VALUE"""),"Flourish Support")</f>
        <v>Flourish Support</v>
      </c>
    </row>
    <row r="586">
      <c r="O586" s="1" t="str">
        <f>IFERROR(__xludf.DUMMYFUNCTION("""COMPUTED_VALUE"""),"2025 Aug")</f>
        <v>2025 Aug</v>
      </c>
      <c r="P586" s="1" t="str">
        <f>IFERROR(__xludf.DUMMYFUNCTION("""COMPUTED_VALUE"""),"Core Product Support")</f>
        <v>Core Product Support</v>
      </c>
      <c r="Q586" s="1" t="str">
        <f>IFERROR(__xludf.DUMMYFUNCTION("""COMPUTED_VALUE"""),"angelm@canva.com")</f>
        <v>angelm@canva.com</v>
      </c>
      <c r="R586" s="1" t="str">
        <f>IFERROR(__xludf.DUMMYFUNCTION("""COMPUTED_VALUE"""),"Angel Medina")</f>
        <v>Angel Medina</v>
      </c>
      <c r="S586" s="1">
        <f>IFERROR(__xludf.DUMMYFUNCTION("""COMPUTED_VALUE"""),6.3)</f>
        <v>6.3</v>
      </c>
      <c r="T586" s="1">
        <f>IFERROR(__xludf.DUMMYFUNCTION("""COMPUTED_VALUE"""),16.67)</f>
        <v>16.67</v>
      </c>
      <c r="U586" s="2">
        <f>IFERROR(__xludf.DUMMYFUNCTION("""COMPUTED_VALUE"""),22.970000000000002)</f>
        <v>22.97</v>
      </c>
      <c r="V586" s="1" t="str">
        <f>IFERROR(__xludf.DUMMYFUNCTION("""COMPUTED_VALUE"""),"Ellaine Estayo")</f>
        <v>Ellaine Estayo</v>
      </c>
      <c r="W586" s="1" t="str">
        <f>IFERROR(__xludf.DUMMYFUNCTION("""COMPUTED_VALUE"""),"Core Product Support Escalation Team")</f>
        <v>Core Product Support Escalation Team</v>
      </c>
    </row>
    <row r="587">
      <c r="O587" s="1" t="str">
        <f>IFERROR(__xludf.DUMMYFUNCTION("""COMPUTED_VALUE"""),"2025 Aug")</f>
        <v>2025 Aug</v>
      </c>
      <c r="P587" s="1" t="str">
        <f>IFERROR(__xludf.DUMMYFUNCTION("""COMPUTED_VALUE"""),"Print Support")</f>
        <v>Print Support</v>
      </c>
      <c r="Q587" s="1" t="str">
        <f>IFERROR(__xludf.DUMMYFUNCTION("""COMPUTED_VALUE"""),"angelf@canva.com")</f>
        <v>angelf@canva.com</v>
      </c>
      <c r="R587" s="1" t="str">
        <f>IFERROR(__xludf.DUMMYFUNCTION("""COMPUTED_VALUE"""),"Angel Merilleno")</f>
        <v>Angel Merilleno</v>
      </c>
      <c r="S587" s="1">
        <f>IFERROR(__xludf.DUMMYFUNCTION("""COMPUTED_VALUE"""),5.0)</f>
        <v>5</v>
      </c>
      <c r="T587" s="1">
        <f>IFERROR(__xludf.DUMMYFUNCTION("""COMPUTED_VALUE"""),11.37)</f>
        <v>11.37</v>
      </c>
      <c r="U587" s="2">
        <f>IFERROR(__xludf.DUMMYFUNCTION("""COMPUTED_VALUE"""),16.369999999999997)</f>
        <v>16.37</v>
      </c>
      <c r="V587" s="1" t="str">
        <f>IFERROR(__xludf.DUMMYFUNCTION("""COMPUTED_VALUE"""),"Louise Dianne Estrella")</f>
        <v>Louise Dianne Estrella</v>
      </c>
      <c r="W587" s="1" t="str">
        <f>IFERROR(__xludf.DUMMYFUNCTION("""COMPUTED_VALUE"""),"Print Support PH")</f>
        <v>Print Support PH</v>
      </c>
    </row>
    <row r="588">
      <c r="O588" s="1" t="str">
        <f>IFERROR(__xludf.DUMMYFUNCTION("""COMPUTED_VALUE"""),"2025 Aug")</f>
        <v>2025 Aug</v>
      </c>
      <c r="P588" s="1" t="str">
        <f>IFERROR(__xludf.DUMMYFUNCTION("""COMPUTED_VALUE"""),"Core Product Support")</f>
        <v>Core Product Support</v>
      </c>
      <c r="Q588" s="1" t="str">
        <f>IFERROR(__xludf.DUMMYFUNCTION("""COMPUTED_VALUE"""),"angelic@canva.com")</f>
        <v>angelic@canva.com</v>
      </c>
      <c r="R588" s="1" t="str">
        <f>IFERROR(__xludf.DUMMYFUNCTION("""COMPUTED_VALUE"""),"Angel Ramas")</f>
        <v>Angel Ramas</v>
      </c>
      <c r="S588" s="1">
        <f>IFERROR(__xludf.DUMMYFUNCTION("""COMPUTED_VALUE"""),29.0)</f>
        <v>29</v>
      </c>
      <c r="T588" s="1">
        <f>IFERROR(__xludf.DUMMYFUNCTION("""COMPUTED_VALUE"""),40.5)</f>
        <v>40.5</v>
      </c>
      <c r="U588" s="2">
        <f>IFERROR(__xludf.DUMMYFUNCTION("""COMPUTED_VALUE"""),69.5)</f>
        <v>69.5</v>
      </c>
      <c r="V588" s="1" t="str">
        <f>IFERROR(__xludf.DUMMYFUNCTION("""COMPUTED_VALUE"""),"Marie Mordeno")</f>
        <v>Marie Mordeno</v>
      </c>
      <c r="W588" s="1" t="str">
        <f>IFERROR(__xludf.DUMMYFUNCTION("""COMPUTED_VALUE"""),"Advanced Billing &amp; Subscriptions")</f>
        <v>Advanced Billing &amp; Subscriptions</v>
      </c>
    </row>
    <row r="589">
      <c r="O589" s="1" t="str">
        <f>IFERROR(__xludf.DUMMYFUNCTION("""COMPUTED_VALUE"""),"2025 Aug")</f>
        <v>2025 Aug</v>
      </c>
      <c r="P589" s="1" t="str">
        <f>IFERROR(__xludf.DUMMYFUNCTION("""COMPUTED_VALUE"""),"Segment-specific Support")</f>
        <v>Segment-specific Support</v>
      </c>
      <c r="Q589" s="1" t="str">
        <f>IFERROR(__xludf.DUMMYFUNCTION("""COMPUTED_VALUE"""),"adflora@canva.com")</f>
        <v>adflora@canva.com</v>
      </c>
      <c r="R589" s="1" t="str">
        <f>IFERROR(__xludf.DUMMYFUNCTION("""COMPUTED_VALUE"""),"Angela Flora")</f>
        <v>Angela Flora</v>
      </c>
      <c r="S589" s="1">
        <f>IFERROR(__xludf.DUMMYFUNCTION("""COMPUTED_VALUE"""),5.35)</f>
        <v>5.35</v>
      </c>
      <c r="T589" s="1">
        <f>IFERROR(__xludf.DUMMYFUNCTION("""COMPUTED_VALUE"""),14.6)</f>
        <v>14.6</v>
      </c>
      <c r="U589" s="2">
        <f>IFERROR(__xludf.DUMMYFUNCTION("""COMPUTED_VALUE"""),19.95)</f>
        <v>19.95</v>
      </c>
      <c r="V589" s="1" t="str">
        <f>IFERROR(__xludf.DUMMYFUNCTION("""COMPUTED_VALUE"""),"Gucci Nava")</f>
        <v>Gucci Nava</v>
      </c>
      <c r="W589" s="1" t="str">
        <f>IFERROR(__xludf.DUMMYFUNCTION("""COMPUTED_VALUE"""),"Print Support PH")</f>
        <v>Print Support PH</v>
      </c>
    </row>
    <row r="590">
      <c r="O590" s="1" t="str">
        <f>IFERROR(__xludf.DUMMYFUNCTION("""COMPUTED_VALUE"""),"2025 Aug")</f>
        <v>2025 Aug</v>
      </c>
      <c r="P590" s="1" t="str">
        <f>IFERROR(__xludf.DUMMYFUNCTION("""COMPUTED_VALUE"""),"Core Product Support")</f>
        <v>Core Product Support</v>
      </c>
      <c r="Q590" s="1" t="str">
        <f>IFERROR(__xludf.DUMMYFUNCTION("""COMPUTED_VALUE"""),"annaalberto@canva.com")</f>
        <v>annaalberto@canva.com</v>
      </c>
      <c r="R590" s="1" t="str">
        <f>IFERROR(__xludf.DUMMYFUNCTION("""COMPUTED_VALUE"""),"Anna Alberto-Felipe")</f>
        <v>Anna Alberto-Felipe</v>
      </c>
      <c r="S590" s="1">
        <f>IFERROR(__xludf.DUMMYFUNCTION("""COMPUTED_VALUE"""),2.0)</f>
        <v>2</v>
      </c>
      <c r="T590" s="1">
        <f>IFERROR(__xludf.DUMMYFUNCTION("""COMPUTED_VALUE"""),5.5)</f>
        <v>5.5</v>
      </c>
      <c r="U590" s="2">
        <f>IFERROR(__xludf.DUMMYFUNCTION("""COMPUTED_VALUE"""),7.5)</f>
        <v>7.5</v>
      </c>
      <c r="V590" s="1" t="str">
        <f>IFERROR(__xludf.DUMMYFUNCTION("""COMPUTED_VALUE"""),"Jahmie Mae Barrameda")</f>
        <v>Jahmie Mae Barrameda</v>
      </c>
      <c r="W590" s="1" t="str">
        <f>IFERROR(__xludf.DUMMYFUNCTION("""COMPUTED_VALUE"""),"Advanced Billing &amp; Subscriptions")</f>
        <v>Advanced Billing &amp; Subscriptions</v>
      </c>
    </row>
    <row r="591">
      <c r="O591" s="1" t="str">
        <f>IFERROR(__xludf.DUMMYFUNCTION("""COMPUTED_VALUE"""),"2025 Aug")</f>
        <v>2025 Aug</v>
      </c>
      <c r="P591" s="1" t="str">
        <f>IFERROR(__xludf.DUMMYFUNCTION("""COMPUTED_VALUE"""),"Print Support")</f>
        <v>Print Support</v>
      </c>
      <c r="Q591" s="1" t="str">
        <f>IFERROR(__xludf.DUMMYFUNCTION("""COMPUTED_VALUE"""),"arcelie@canva.com")</f>
        <v>arcelie@canva.com</v>
      </c>
      <c r="R591" s="1" t="str">
        <f>IFERROR(__xludf.DUMMYFUNCTION("""COMPUTED_VALUE"""),"Arcie San Pedro")</f>
        <v>Arcie San Pedro</v>
      </c>
      <c r="S591" s="1">
        <f>IFERROR(__xludf.DUMMYFUNCTION("""COMPUTED_VALUE"""),8.75)</f>
        <v>8.75</v>
      </c>
      <c r="T591" s="1">
        <f>IFERROR(__xludf.DUMMYFUNCTION("""COMPUTED_VALUE"""),16.42)</f>
        <v>16.42</v>
      </c>
      <c r="U591" s="2">
        <f>IFERROR(__xludf.DUMMYFUNCTION("""COMPUTED_VALUE"""),25.17)</f>
        <v>25.17</v>
      </c>
      <c r="V591" s="1" t="str">
        <f>IFERROR(__xludf.DUMMYFUNCTION("""COMPUTED_VALUE"""),"Rae Erlano")</f>
        <v>Rae Erlano</v>
      </c>
      <c r="W591" s="1" t="str">
        <f>IFERROR(__xludf.DUMMYFUNCTION("""COMPUTED_VALUE"""),"Print Support PH")</f>
        <v>Print Support PH</v>
      </c>
    </row>
    <row r="592">
      <c r="O592" s="1" t="str">
        <f>IFERROR(__xludf.DUMMYFUNCTION("""COMPUTED_VALUE"""),"2025 Aug")</f>
        <v>2025 Aug</v>
      </c>
      <c r="P592" s="1" t="str">
        <f>IFERROR(__xludf.DUMMYFUNCTION("""COMPUTED_VALUE"""),"#N/A")</f>
        <v>#N/A</v>
      </c>
      <c r="Q592" s="1" t="str">
        <f>IFERROR(__xludf.DUMMYFUNCTION("""COMPUTED_VALUE"""),"ariellejoy@canva.com")</f>
        <v>ariellejoy@canva.com</v>
      </c>
      <c r="R592" s="1" t="str">
        <f>IFERROR(__xludf.DUMMYFUNCTION("""COMPUTED_VALUE"""),"Arielle Joy Goboleo")</f>
        <v>Arielle Joy Goboleo</v>
      </c>
      <c r="S592" s="1">
        <f>IFERROR(__xludf.DUMMYFUNCTION("""COMPUTED_VALUE"""),3.5)</f>
        <v>3.5</v>
      </c>
      <c r="T592" s="1">
        <f>IFERROR(__xludf.DUMMYFUNCTION("""COMPUTED_VALUE"""),12.0)</f>
        <v>12</v>
      </c>
      <c r="U592" s="2">
        <f>IFERROR(__xludf.DUMMYFUNCTION("""COMPUTED_VALUE"""),15.5)</f>
        <v>15.5</v>
      </c>
      <c r="V592" s="1" t="str">
        <f>IFERROR(__xludf.DUMMYFUNCTION("""COMPUTED_VALUE"""),"Rae Erlano")</f>
        <v>Rae Erlano</v>
      </c>
      <c r="W592" s="1" t="str">
        <f>IFERROR(__xludf.DUMMYFUNCTION("""COMPUTED_VALUE"""),"Print Support PH")</f>
        <v>Print Support PH</v>
      </c>
    </row>
    <row r="593">
      <c r="O593" s="1" t="str">
        <f>IFERROR(__xludf.DUMMYFUNCTION("""COMPUTED_VALUE"""),"2025 Aug")</f>
        <v>2025 Aug</v>
      </c>
      <c r="P593" s="1" t="str">
        <f>IFERROR(__xludf.DUMMYFUNCTION("""COMPUTED_VALUE"""),"Print Support")</f>
        <v>Print Support</v>
      </c>
      <c r="Q593" s="1" t="str">
        <f>IFERROR(__xludf.DUMMYFUNCTION("""COMPUTED_VALUE"""),"arjane@canva.com")</f>
        <v>arjane@canva.com</v>
      </c>
      <c r="R593" s="1" t="str">
        <f>IFERROR(__xludf.DUMMYFUNCTION("""COMPUTED_VALUE"""),"Arjane Oliva")</f>
        <v>Arjane Oliva</v>
      </c>
      <c r="S593" s="1">
        <f>IFERROR(__xludf.DUMMYFUNCTION("""COMPUTED_VALUE"""),2.0)</f>
        <v>2</v>
      </c>
      <c r="T593" s="1">
        <f>IFERROR(__xludf.DUMMYFUNCTION("""COMPUTED_VALUE"""),9.25)</f>
        <v>9.25</v>
      </c>
      <c r="U593" s="2">
        <f>IFERROR(__xludf.DUMMYFUNCTION("""COMPUTED_VALUE"""),11.25)</f>
        <v>11.25</v>
      </c>
      <c r="V593" s="1" t="str">
        <f>IFERROR(__xludf.DUMMYFUNCTION("""COMPUTED_VALUE"""),"Rei De Jesus")</f>
        <v>Rei De Jesus</v>
      </c>
      <c r="W593" s="1" t="str">
        <f>IFERROR(__xludf.DUMMYFUNCTION("""COMPUTED_VALUE"""),"Print Design Support")</f>
        <v>Print Design Support</v>
      </c>
    </row>
    <row r="594">
      <c r="O594" s="1" t="str">
        <f>IFERROR(__xludf.DUMMYFUNCTION("""COMPUTED_VALUE"""),"2025 Aug")</f>
        <v>2025 Aug</v>
      </c>
      <c r="P594" s="1" t="str">
        <f>IFERROR(__xludf.DUMMYFUNCTION("""COMPUTED_VALUE"""),"High Sensitivity Support")</f>
        <v>High Sensitivity Support</v>
      </c>
      <c r="Q594" s="1" t="str">
        <f>IFERROR(__xludf.DUMMYFUNCTION("""COMPUTED_VALUE"""),"arodes@canva.com")</f>
        <v>arodes@canva.com</v>
      </c>
      <c r="R594" s="1" t="str">
        <f>IFERROR(__xludf.DUMMYFUNCTION("""COMPUTED_VALUE"""),"Arriane Rodes")</f>
        <v>Arriane Rodes</v>
      </c>
      <c r="S594" s="1">
        <f>IFERROR(__xludf.DUMMYFUNCTION("""COMPUTED_VALUE"""),19.7)</f>
        <v>19.7</v>
      </c>
      <c r="T594" s="1">
        <f>IFERROR(__xludf.DUMMYFUNCTION("""COMPUTED_VALUE"""),23.5)</f>
        <v>23.5</v>
      </c>
      <c r="U594" s="2">
        <f>IFERROR(__xludf.DUMMYFUNCTION("""COMPUTED_VALUE"""),43.2)</f>
        <v>43.2</v>
      </c>
      <c r="V594" s="1" t="str">
        <f>IFERROR(__xludf.DUMMYFUNCTION("""COMPUTED_VALUE"""),"Xandy Azarcon")</f>
        <v>Xandy Azarcon</v>
      </c>
      <c r="W594" s="1" t="str">
        <f>IFERROR(__xludf.DUMMYFUNCTION("""COMPUTED_VALUE"""),"High Sensitivity Support PH")</f>
        <v>High Sensitivity Support PH</v>
      </c>
    </row>
    <row r="595">
      <c r="O595" s="1" t="str">
        <f>IFERROR(__xludf.DUMMYFUNCTION("""COMPUTED_VALUE"""),"2025 Aug")</f>
        <v>2025 Aug</v>
      </c>
      <c r="P595" s="1" t="str">
        <f>IFERROR(__xludf.DUMMYFUNCTION("""COMPUTED_VALUE"""),"Admin Support")</f>
        <v>Admin Support</v>
      </c>
      <c r="Q595" s="1" t="str">
        <f>IFERROR(__xludf.DUMMYFUNCTION("""COMPUTED_VALUE"""),"ashli@canva.com")</f>
        <v>ashli@canva.com</v>
      </c>
      <c r="R595" s="1" t="str">
        <f>IFERROR(__xludf.DUMMYFUNCTION("""COMPUTED_VALUE"""),"Ashli Hanson")</f>
        <v>Ashli Hanson</v>
      </c>
      <c r="S595" s="1">
        <f>IFERROR(__xludf.DUMMYFUNCTION("""COMPUTED_VALUE"""),4.0)</f>
        <v>4</v>
      </c>
      <c r="T595" s="1">
        <f>IFERROR(__xludf.DUMMYFUNCTION("""COMPUTED_VALUE"""),4.0)</f>
        <v>4</v>
      </c>
      <c r="U595" s="2">
        <f>IFERROR(__xludf.DUMMYFUNCTION("""COMPUTED_VALUE"""),8.0)</f>
        <v>8</v>
      </c>
      <c r="V595" s="1" t="str">
        <f>IFERROR(__xludf.DUMMYFUNCTION("""COMPUTED_VALUE"""),"Nate Vela")</f>
        <v>Nate Vela</v>
      </c>
      <c r="W595" s="1" t="str">
        <f>IFERROR(__xludf.DUMMYFUNCTION("""COMPUTED_VALUE"""),"Admin Support NA")</f>
        <v>Admin Support NA</v>
      </c>
    </row>
    <row r="596">
      <c r="O596" s="1" t="str">
        <f>IFERROR(__xludf.DUMMYFUNCTION("""COMPUTED_VALUE"""),"2025 Aug")</f>
        <v>2025 Aug</v>
      </c>
      <c r="P596" s="1" t="str">
        <f>IFERROR(__xludf.DUMMYFUNCTION("""COMPUTED_VALUE"""),"High Sensitivity Support")</f>
        <v>High Sensitivity Support</v>
      </c>
      <c r="Q596" s="1" t="str">
        <f>IFERROR(__xludf.DUMMYFUNCTION("""COMPUTED_VALUE"""),"aubrey@canva.com")</f>
        <v>aubrey@canva.com</v>
      </c>
      <c r="R596" s="1" t="str">
        <f>IFERROR(__xludf.DUMMYFUNCTION("""COMPUTED_VALUE"""),"Aubrey Jasme")</f>
        <v>Aubrey Jasme</v>
      </c>
      <c r="S596" s="1"/>
      <c r="T596" s="1">
        <f>IFERROR(__xludf.DUMMYFUNCTION("""COMPUTED_VALUE"""),13.53)</f>
        <v>13.53</v>
      </c>
      <c r="U596" s="2">
        <f>IFERROR(__xludf.DUMMYFUNCTION("""COMPUTED_VALUE"""),13.53)</f>
        <v>13.53</v>
      </c>
      <c r="V596" s="1" t="str">
        <f>IFERROR(__xludf.DUMMYFUNCTION("""COMPUTED_VALUE"""),"Rex Villamor")</f>
        <v>Rex Villamor</v>
      </c>
      <c r="W596" s="1" t="str">
        <f>IFERROR(__xludf.DUMMYFUNCTION("""COMPUTED_VALUE"""),"High Sensitivity Support PH")</f>
        <v>High Sensitivity Support PH</v>
      </c>
    </row>
    <row r="597">
      <c r="O597" s="1" t="str">
        <f>IFERROR(__xludf.DUMMYFUNCTION("""COMPUTED_VALUE"""),"2025 Aug")</f>
        <v>2025 Aug</v>
      </c>
      <c r="P597" s="1" t="str">
        <f>IFERROR(__xludf.DUMMYFUNCTION("""COMPUTED_VALUE"""),"#N/A")</f>
        <v>#N/A</v>
      </c>
      <c r="Q597" s="1" t="str">
        <f>IFERROR(__xludf.DUMMYFUNCTION("""COMPUTED_VALUE"""),"axlrss@canva.com")</f>
        <v>axlrss@canva.com</v>
      </c>
      <c r="R597" s="1" t="str">
        <f>IFERROR(__xludf.DUMMYFUNCTION("""COMPUTED_VALUE"""),"Axel Hierco")</f>
        <v>Axel Hierco</v>
      </c>
      <c r="S597" s="1"/>
      <c r="T597" s="1">
        <f>IFERROR(__xludf.DUMMYFUNCTION("""COMPUTED_VALUE"""),0.0)</f>
        <v>0</v>
      </c>
      <c r="U597" s="2">
        <f>IFERROR(__xludf.DUMMYFUNCTION("""COMPUTED_VALUE"""),0.0)</f>
        <v>0</v>
      </c>
      <c r="V597" s="1" t="str">
        <f>IFERROR(__xludf.DUMMYFUNCTION("""COMPUTED_VALUE"""),"#N/A")</f>
        <v>#N/A</v>
      </c>
      <c r="W597" s="1" t="str">
        <f>IFERROR(__xludf.DUMMYFUNCTION("""COMPUTED_VALUE"""),"#N/A")</f>
        <v>#N/A</v>
      </c>
    </row>
    <row r="598">
      <c r="O598" s="1" t="str">
        <f>IFERROR(__xludf.DUMMYFUNCTION("""COMPUTED_VALUE"""),"2025 Aug")</f>
        <v>2025 Aug</v>
      </c>
      <c r="P598" s="1" t="str">
        <f>IFERROR(__xludf.DUMMYFUNCTION("""COMPUTED_VALUE"""),"Core Product Support")</f>
        <v>Core Product Support</v>
      </c>
      <c r="Q598" s="1" t="str">
        <f>IFERROR(__xludf.DUMMYFUNCTION("""COMPUTED_VALUE"""),"ayen@canva.com")</f>
        <v>ayen@canva.com</v>
      </c>
      <c r="R598" s="1" t="str">
        <f>IFERROR(__xludf.DUMMYFUNCTION("""COMPUTED_VALUE"""),"Ayen Realeza")</f>
        <v>Ayen Realeza</v>
      </c>
      <c r="S598" s="1">
        <f>IFERROR(__xludf.DUMMYFUNCTION("""COMPUTED_VALUE"""),7.0)</f>
        <v>7</v>
      </c>
      <c r="T598" s="1">
        <f>IFERROR(__xludf.DUMMYFUNCTION("""COMPUTED_VALUE"""),18.58)</f>
        <v>18.58</v>
      </c>
      <c r="U598" s="2">
        <f>IFERROR(__xludf.DUMMYFUNCTION("""COMPUTED_VALUE"""),25.58)</f>
        <v>25.58</v>
      </c>
      <c r="V598" s="1" t="str">
        <f>IFERROR(__xludf.DUMMYFUNCTION("""COMPUTED_VALUE"""),"Jelyn Elmido")</f>
        <v>Jelyn Elmido</v>
      </c>
      <c r="W598" s="1" t="str">
        <f>IFERROR(__xludf.DUMMYFUNCTION("""COMPUTED_VALUE"""),"Core Product Support Escalation Team")</f>
        <v>Core Product Support Escalation Team</v>
      </c>
    </row>
    <row r="599">
      <c r="O599" s="1" t="str">
        <f>IFERROR(__xludf.DUMMYFUNCTION("""COMPUTED_VALUE"""),"2025 Aug")</f>
        <v>2025 Aug</v>
      </c>
      <c r="P599" s="1" t="str">
        <f>IFERROR(__xludf.DUMMYFUNCTION("""COMPUTED_VALUE"""),"#N/A")</f>
        <v>#N/A</v>
      </c>
      <c r="Q599" s="1" t="str">
        <f>IFERROR(__xludf.DUMMYFUNCTION("""COMPUTED_VALUE"""),"bamboo@canva.com")</f>
        <v>bamboo@canva.com</v>
      </c>
      <c r="R599" s="1" t="str">
        <f>IFERROR(__xludf.DUMMYFUNCTION("""COMPUTED_VALUE"""),"Bamboo Reymundo")</f>
        <v>Bamboo Reymundo</v>
      </c>
      <c r="S599" s="1">
        <f>IFERROR(__xludf.DUMMYFUNCTION("""COMPUTED_VALUE"""),28.75)</f>
        <v>28.75</v>
      </c>
      <c r="T599" s="1">
        <f>IFERROR(__xludf.DUMMYFUNCTION("""COMPUTED_VALUE"""),34.75)</f>
        <v>34.75</v>
      </c>
      <c r="U599" s="2">
        <f>IFERROR(__xludf.DUMMYFUNCTION("""COMPUTED_VALUE"""),63.5)</f>
        <v>63.5</v>
      </c>
      <c r="V599" s="1" t="str">
        <f>IFERROR(__xludf.DUMMYFUNCTION("""COMPUTED_VALUE"""),"Marie Mordeno")</f>
        <v>Marie Mordeno</v>
      </c>
      <c r="W599" s="1" t="str">
        <f>IFERROR(__xludf.DUMMYFUNCTION("""COMPUTED_VALUE"""),"Advanced Billing &amp; Subscriptions")</f>
        <v>Advanced Billing &amp; Subscriptions</v>
      </c>
    </row>
    <row r="600">
      <c r="O600" s="1" t="str">
        <f>IFERROR(__xludf.DUMMYFUNCTION("""COMPUTED_VALUE"""),"2025 Aug")</f>
        <v>2025 Aug</v>
      </c>
      <c r="P600" s="1" t="str">
        <f>IFERROR(__xludf.DUMMYFUNCTION("""COMPUTED_VALUE"""),"Print Support")</f>
        <v>Print Support</v>
      </c>
      <c r="Q600" s="1" t="str">
        <f>IFERROR(__xludf.DUMMYFUNCTION("""COMPUTED_VALUE"""),"jborreros@canva.com")</f>
        <v>jborreros@canva.com</v>
      </c>
      <c r="R600" s="1" t="str">
        <f>IFERROR(__xludf.DUMMYFUNCTION("""COMPUTED_VALUE"""),"Bea Borreros")</f>
        <v>Bea Borreros</v>
      </c>
      <c r="S600" s="1">
        <f>IFERROR(__xludf.DUMMYFUNCTION("""COMPUTED_VALUE"""),15.25)</f>
        <v>15.25</v>
      </c>
      <c r="T600" s="1">
        <f>IFERROR(__xludf.DUMMYFUNCTION("""COMPUTED_VALUE"""),21.0)</f>
        <v>21</v>
      </c>
      <c r="U600" s="2">
        <f>IFERROR(__xludf.DUMMYFUNCTION("""COMPUTED_VALUE"""),36.25)</f>
        <v>36.25</v>
      </c>
      <c r="V600" s="1" t="str">
        <f>IFERROR(__xludf.DUMMYFUNCTION("""COMPUTED_VALUE"""),"Memae Faustino")</f>
        <v>Memae Faustino</v>
      </c>
      <c r="W600" s="1" t="str">
        <f>IFERROR(__xludf.DUMMYFUNCTION("""COMPUTED_VALUE"""),"Print Support PH")</f>
        <v>Print Support PH</v>
      </c>
    </row>
    <row r="601">
      <c r="O601" s="1" t="str">
        <f>IFERROR(__xludf.DUMMYFUNCTION("""COMPUTED_VALUE"""),"2025 Aug")</f>
        <v>2025 Aug</v>
      </c>
      <c r="P601" s="1" t="str">
        <f>IFERROR(__xludf.DUMMYFUNCTION("""COMPUTED_VALUE"""),"Print Support")</f>
        <v>Print Support</v>
      </c>
      <c r="Q601" s="1" t="str">
        <f>IFERROR(__xludf.DUMMYFUNCTION("""COMPUTED_VALUE"""),"bea@canva.com")</f>
        <v>bea@canva.com</v>
      </c>
      <c r="R601" s="1" t="str">
        <f>IFERROR(__xludf.DUMMYFUNCTION("""COMPUTED_VALUE"""),"Bea Mendoza")</f>
        <v>Bea Mendoza</v>
      </c>
      <c r="S601" s="1">
        <f>IFERROR(__xludf.DUMMYFUNCTION("""COMPUTED_VALUE"""),7.0)</f>
        <v>7</v>
      </c>
      <c r="T601" s="1">
        <f>IFERROR(__xludf.DUMMYFUNCTION("""COMPUTED_VALUE"""),18.17)</f>
        <v>18.17</v>
      </c>
      <c r="U601" s="2">
        <f>IFERROR(__xludf.DUMMYFUNCTION("""COMPUTED_VALUE"""),25.17)</f>
        <v>25.17</v>
      </c>
      <c r="V601" s="1" t="str">
        <f>IFERROR(__xludf.DUMMYFUNCTION("""COMPUTED_VALUE"""),"Aliza Dote")</f>
        <v>Aliza Dote</v>
      </c>
      <c r="W601" s="1" t="str">
        <f>IFERROR(__xludf.DUMMYFUNCTION("""COMPUTED_VALUE"""),"Print Design Support")</f>
        <v>Print Design Support</v>
      </c>
    </row>
    <row r="602">
      <c r="O602" s="1" t="str">
        <f>IFERROR(__xludf.DUMMYFUNCTION("""COMPUTED_VALUE"""),"2025 Aug")</f>
        <v>2025 Aug</v>
      </c>
      <c r="P602" s="1" t="str">
        <f>IFERROR(__xludf.DUMMYFUNCTION("""COMPUTED_VALUE"""),"Print Support")</f>
        <v>Print Support</v>
      </c>
      <c r="Q602" s="1" t="str">
        <f>IFERROR(__xludf.DUMMYFUNCTION("""COMPUTED_VALUE"""),"bembiellanza@canva.com")</f>
        <v>bembiellanza@canva.com</v>
      </c>
      <c r="R602" s="1" t="str">
        <f>IFERROR(__xludf.DUMMYFUNCTION("""COMPUTED_VALUE"""),"Bembie Llanza")</f>
        <v>Bembie Llanza</v>
      </c>
      <c r="S602" s="1">
        <f>IFERROR(__xludf.DUMMYFUNCTION("""COMPUTED_VALUE"""),9.18)</f>
        <v>9.18</v>
      </c>
      <c r="T602" s="1">
        <f>IFERROR(__xludf.DUMMYFUNCTION("""COMPUTED_VALUE"""),16.31)</f>
        <v>16.31</v>
      </c>
      <c r="U602" s="2">
        <f>IFERROR(__xludf.DUMMYFUNCTION("""COMPUTED_VALUE"""),25.49)</f>
        <v>25.49</v>
      </c>
      <c r="V602" s="1" t="str">
        <f>IFERROR(__xludf.DUMMYFUNCTION("""COMPUTED_VALUE"""),"Althea Mercado")</f>
        <v>Althea Mercado</v>
      </c>
      <c r="W602" s="1" t="str">
        <f>IFERROR(__xludf.DUMMYFUNCTION("""COMPUTED_VALUE"""),"Print Support PH")</f>
        <v>Print Support PH</v>
      </c>
    </row>
    <row r="603">
      <c r="O603" s="1" t="str">
        <f>IFERROR(__xludf.DUMMYFUNCTION("""COMPUTED_VALUE"""),"2025 Aug")</f>
        <v>2025 Aug</v>
      </c>
      <c r="P603" s="1" t="str">
        <f>IFERROR(__xludf.DUMMYFUNCTION("""COMPUTED_VALUE"""),"Segment-specific Support")</f>
        <v>Segment-specific Support</v>
      </c>
      <c r="Q603" s="1" t="str">
        <f>IFERROR(__xludf.DUMMYFUNCTION("""COMPUTED_VALUE"""),"bernice@canva.com")</f>
        <v>bernice@canva.com</v>
      </c>
      <c r="R603" s="1" t="str">
        <f>IFERROR(__xludf.DUMMYFUNCTION("""COMPUTED_VALUE"""),"Bernice Talosig")</f>
        <v>Bernice Talosig</v>
      </c>
      <c r="S603" s="1"/>
      <c r="T603" s="1">
        <f>IFERROR(__xludf.DUMMYFUNCTION("""COMPUTED_VALUE"""),9.7)</f>
        <v>9.7</v>
      </c>
      <c r="U603" s="2">
        <f>IFERROR(__xludf.DUMMYFUNCTION("""COMPUTED_VALUE"""),9.7)</f>
        <v>9.7</v>
      </c>
      <c r="V603" s="1" t="str">
        <f>IFERROR(__xludf.DUMMYFUNCTION("""COMPUTED_VALUE"""),"Gucci Nava")</f>
        <v>Gucci Nava</v>
      </c>
      <c r="W603" s="1" t="str">
        <f>IFERROR(__xludf.DUMMYFUNCTION("""COMPUTED_VALUE"""),"Affinity Support")</f>
        <v>Affinity Support</v>
      </c>
    </row>
    <row r="604">
      <c r="O604" s="1" t="str">
        <f>IFERROR(__xludf.DUMMYFUNCTION("""COMPUTED_VALUE"""),"2025 Aug")</f>
        <v>2025 Aug</v>
      </c>
      <c r="P604" s="1" t="str">
        <f>IFERROR(__xludf.DUMMYFUNCTION("""COMPUTED_VALUE"""),"Core Product Support")</f>
        <v>Core Product Support</v>
      </c>
      <c r="Q604" s="1" t="str">
        <f>IFERROR(__xludf.DUMMYFUNCTION("""COMPUTED_VALUE"""),"beverlymarie@canva.com")</f>
        <v>beverlymarie@canva.com</v>
      </c>
      <c r="R604" s="1" t="str">
        <f>IFERROR(__xludf.DUMMYFUNCTION("""COMPUTED_VALUE"""),"Bev Dacanay")</f>
        <v>Bev Dacanay</v>
      </c>
      <c r="S604" s="1">
        <f>IFERROR(__xludf.DUMMYFUNCTION("""COMPUTED_VALUE"""),16.43)</f>
        <v>16.43</v>
      </c>
      <c r="T604" s="1">
        <f>IFERROR(__xludf.DUMMYFUNCTION("""COMPUTED_VALUE"""),22.1)</f>
        <v>22.1</v>
      </c>
      <c r="U604" s="2">
        <f>IFERROR(__xludf.DUMMYFUNCTION("""COMPUTED_VALUE"""),38.53)</f>
        <v>38.53</v>
      </c>
      <c r="V604" s="1" t="str">
        <f>IFERROR(__xludf.DUMMYFUNCTION("""COMPUTED_VALUE"""),"Ayza Marie Pascual")</f>
        <v>Ayza Marie Pascual</v>
      </c>
      <c r="W604" s="1" t="str">
        <f>IFERROR(__xludf.DUMMYFUNCTION("""COMPUTED_VALUE"""),"Advanced Billing &amp; Subscriptions")</f>
        <v>Advanced Billing &amp; Subscriptions</v>
      </c>
    </row>
    <row r="605">
      <c r="O605" s="1" t="str">
        <f>IFERROR(__xludf.DUMMYFUNCTION("""COMPUTED_VALUE"""),"2025 Aug")</f>
        <v>2025 Aug</v>
      </c>
      <c r="P605" s="1" t="str">
        <f>IFERROR(__xludf.DUMMYFUNCTION("""COMPUTED_VALUE"""),"Admin Support")</f>
        <v>Admin Support</v>
      </c>
      <c r="Q605" s="1" t="str">
        <f>IFERROR(__xludf.DUMMYFUNCTION("""COMPUTED_VALUE"""),"bia@canva.com")</f>
        <v>bia@canva.com</v>
      </c>
      <c r="R605" s="1" t="str">
        <f>IFERROR(__xludf.DUMMYFUNCTION("""COMPUTED_VALUE"""),"Bianca Santiago")</f>
        <v>Bianca Santiago</v>
      </c>
      <c r="S605" s="1">
        <f>IFERROR(__xludf.DUMMYFUNCTION("""COMPUTED_VALUE"""),2.0)</f>
        <v>2</v>
      </c>
      <c r="T605" s="1">
        <f>IFERROR(__xludf.DUMMYFUNCTION("""COMPUTED_VALUE"""),13.5)</f>
        <v>13.5</v>
      </c>
      <c r="U605" s="2">
        <f>IFERROR(__xludf.DUMMYFUNCTION("""COMPUTED_VALUE"""),15.5)</f>
        <v>15.5</v>
      </c>
      <c r="V605" s="1" t="str">
        <f>IFERROR(__xludf.DUMMYFUNCTION("""COMPUTED_VALUE"""),"Karla Mananghaya")</f>
        <v>Karla Mananghaya</v>
      </c>
      <c r="W605" s="1" t="str">
        <f>IFERROR(__xludf.DUMMYFUNCTION("""COMPUTED_VALUE"""),"Admin Support Service Escalation Team")</f>
        <v>Admin Support Service Escalation Team</v>
      </c>
    </row>
    <row r="606">
      <c r="O606" s="1" t="str">
        <f>IFERROR(__xludf.DUMMYFUNCTION("""COMPUTED_VALUE"""),"2025 Aug")</f>
        <v>2025 Aug</v>
      </c>
      <c r="P606" s="1" t="str">
        <f>IFERROR(__xludf.DUMMYFUNCTION("""COMPUTED_VALUE"""),"Core Product Support")</f>
        <v>Core Product Support</v>
      </c>
      <c r="Q606" s="1" t="str">
        <f>IFERROR(__xludf.DUMMYFUNCTION("""COMPUTED_VALUE"""),"bryanb@canva.com")</f>
        <v>bryanb@canva.com</v>
      </c>
      <c r="R606" s="1" t="str">
        <f>IFERROR(__xludf.DUMMYFUNCTION("""COMPUTED_VALUE"""),"Bryan Lemuel Britanico")</f>
        <v>Bryan Lemuel Britanico</v>
      </c>
      <c r="S606" s="1">
        <f>IFERROR(__xludf.DUMMYFUNCTION("""COMPUTED_VALUE"""),30.0)</f>
        <v>30</v>
      </c>
      <c r="T606" s="1">
        <f>IFERROR(__xludf.DUMMYFUNCTION("""COMPUTED_VALUE"""),34.75)</f>
        <v>34.75</v>
      </c>
      <c r="U606" s="2">
        <f>IFERROR(__xludf.DUMMYFUNCTION("""COMPUTED_VALUE"""),64.75)</f>
        <v>64.75</v>
      </c>
      <c r="V606" s="1" t="str">
        <f>IFERROR(__xludf.DUMMYFUNCTION("""COMPUTED_VALUE"""),"Jahmie Mae Barrameda")</f>
        <v>Jahmie Mae Barrameda</v>
      </c>
      <c r="W606" s="1" t="str">
        <f>IFERROR(__xludf.DUMMYFUNCTION("""COMPUTED_VALUE"""),"Advanced Billing &amp; Subscriptions")</f>
        <v>Advanced Billing &amp; Subscriptions</v>
      </c>
    </row>
    <row r="607">
      <c r="O607" s="1" t="str">
        <f>IFERROR(__xludf.DUMMYFUNCTION("""COMPUTED_VALUE"""),"2025 Aug")</f>
        <v>2025 Aug</v>
      </c>
      <c r="P607" s="1" t="str">
        <f>IFERROR(__xludf.DUMMYFUNCTION("""COMPUTED_VALUE"""),"Print Support")</f>
        <v>Print Support</v>
      </c>
      <c r="Q607" s="1" t="str">
        <f>IFERROR(__xludf.DUMMYFUNCTION("""COMPUTED_VALUE"""),"caesar@canva.com")</f>
        <v>caesar@canva.com</v>
      </c>
      <c r="R607" s="1" t="str">
        <f>IFERROR(__xludf.DUMMYFUNCTION("""COMPUTED_VALUE"""),"Caesar Bitudio")</f>
        <v>Caesar Bitudio</v>
      </c>
      <c r="S607" s="1">
        <f>IFERROR(__xludf.DUMMYFUNCTION("""COMPUTED_VALUE"""),5.5)</f>
        <v>5.5</v>
      </c>
      <c r="T607" s="1">
        <f>IFERROR(__xludf.DUMMYFUNCTION("""COMPUTED_VALUE"""),12.75)</f>
        <v>12.75</v>
      </c>
      <c r="U607" s="2">
        <f>IFERROR(__xludf.DUMMYFUNCTION("""COMPUTED_VALUE"""),18.25)</f>
        <v>18.25</v>
      </c>
      <c r="V607" s="1" t="str">
        <f>IFERROR(__xludf.DUMMYFUNCTION("""COMPUTED_VALUE"""),"G-Anne Murillo")</f>
        <v>G-Anne Murillo</v>
      </c>
      <c r="W607" s="1" t="str">
        <f>IFERROR(__xludf.DUMMYFUNCTION("""COMPUTED_VALUE"""),"Print Design Support")</f>
        <v>Print Design Support</v>
      </c>
    </row>
    <row r="608">
      <c r="O608" s="1" t="str">
        <f>IFERROR(__xludf.DUMMYFUNCTION("""COMPUTED_VALUE"""),"2025 Aug")</f>
        <v>2025 Aug</v>
      </c>
      <c r="P608" s="1" t="str">
        <f>IFERROR(__xludf.DUMMYFUNCTION("""COMPUTED_VALUE"""),"Core Product Support")</f>
        <v>Core Product Support</v>
      </c>
      <c r="Q608" s="1" t="str">
        <f>IFERROR(__xludf.DUMMYFUNCTION("""COMPUTED_VALUE"""),"cae@canva.com")</f>
        <v>cae@canva.com</v>
      </c>
      <c r="R608" s="1" t="str">
        <f>IFERROR(__xludf.DUMMYFUNCTION("""COMPUTED_VALUE"""),"Caevee Dizon")</f>
        <v>Caevee Dizon</v>
      </c>
      <c r="S608" s="1">
        <f>IFERROR(__xludf.DUMMYFUNCTION("""COMPUTED_VALUE"""),32.0)</f>
        <v>32</v>
      </c>
      <c r="T608" s="1">
        <f>IFERROR(__xludf.DUMMYFUNCTION("""COMPUTED_VALUE"""),37.0)</f>
        <v>37</v>
      </c>
      <c r="U608" s="2">
        <f>IFERROR(__xludf.DUMMYFUNCTION("""COMPUTED_VALUE"""),69.0)</f>
        <v>69</v>
      </c>
      <c r="V608" s="1" t="str">
        <f>IFERROR(__xludf.DUMMYFUNCTION("""COMPUTED_VALUE"""),"Jahmie Mae Barrameda")</f>
        <v>Jahmie Mae Barrameda</v>
      </c>
      <c r="W608" s="1" t="str">
        <f>IFERROR(__xludf.DUMMYFUNCTION("""COMPUTED_VALUE"""),"Advanced Billing &amp; Subscriptions")</f>
        <v>Advanced Billing &amp; Subscriptions</v>
      </c>
    </row>
    <row r="609">
      <c r="O609" s="1" t="str">
        <f>IFERROR(__xludf.DUMMYFUNCTION("""COMPUTED_VALUE"""),"2025 Aug")</f>
        <v>2025 Aug</v>
      </c>
      <c r="P609" s="1" t="str">
        <f>IFERROR(__xludf.DUMMYFUNCTION("""COMPUTED_VALUE"""),"#N/A")</f>
        <v>#N/A</v>
      </c>
      <c r="Q609" s="1" t="str">
        <f>IFERROR(__xludf.DUMMYFUNCTION("""COMPUTED_VALUE"""),"cali@canva.com")</f>
        <v>cali@canva.com</v>
      </c>
      <c r="R609" s="1" t="str">
        <f>IFERROR(__xludf.DUMMYFUNCTION("""COMPUTED_VALUE"""),"Cali Bermudo")</f>
        <v>Cali Bermudo</v>
      </c>
      <c r="S609" s="1">
        <f>IFERROR(__xludf.DUMMYFUNCTION("""COMPUTED_VALUE"""),3.92)</f>
        <v>3.92</v>
      </c>
      <c r="T609" s="1">
        <f>IFERROR(__xludf.DUMMYFUNCTION("""COMPUTED_VALUE"""),7.34)</f>
        <v>7.34</v>
      </c>
      <c r="U609" s="2">
        <f>IFERROR(__xludf.DUMMYFUNCTION("""COMPUTED_VALUE"""),11.26)</f>
        <v>11.26</v>
      </c>
      <c r="V609" s="1" t="str">
        <f>IFERROR(__xludf.DUMMYFUNCTION("""COMPUTED_VALUE"""),"#N/A")</f>
        <v>#N/A</v>
      </c>
      <c r="W609" s="1" t="str">
        <f>IFERROR(__xludf.DUMMYFUNCTION("""COMPUTED_VALUE"""),"Print Design Support")</f>
        <v>Print Design Support</v>
      </c>
    </row>
    <row r="610">
      <c r="O610" s="1" t="str">
        <f>IFERROR(__xludf.DUMMYFUNCTION("""COMPUTED_VALUE"""),"2025 Aug")</f>
        <v>2025 Aug</v>
      </c>
      <c r="P610" s="1" t="str">
        <f>IFERROR(__xludf.DUMMYFUNCTION("""COMPUTED_VALUE"""),"Admin Support")</f>
        <v>Admin Support</v>
      </c>
      <c r="Q610" s="1" t="str">
        <f>IFERROR(__xludf.DUMMYFUNCTION("""COMPUTED_VALUE"""),"cbasilio@canva.com")</f>
        <v>cbasilio@canva.com</v>
      </c>
      <c r="R610" s="1" t="str">
        <f>IFERROR(__xludf.DUMMYFUNCTION("""COMPUTED_VALUE"""),"Camille Basilio")</f>
        <v>Camille Basilio</v>
      </c>
      <c r="S610" s="1">
        <f>IFERROR(__xludf.DUMMYFUNCTION("""COMPUTED_VALUE"""),3.33)</f>
        <v>3.33</v>
      </c>
      <c r="T610" s="1">
        <f>IFERROR(__xludf.DUMMYFUNCTION("""COMPUTED_VALUE"""),14.3)</f>
        <v>14.3</v>
      </c>
      <c r="U610" s="2">
        <f>IFERROR(__xludf.DUMMYFUNCTION("""COMPUTED_VALUE"""),17.630000000000003)</f>
        <v>17.63</v>
      </c>
      <c r="V610" s="1" t="str">
        <f>IFERROR(__xludf.DUMMYFUNCTION("""COMPUTED_VALUE"""),"AL Suarez")</f>
        <v>AL Suarez</v>
      </c>
      <c r="W610" s="1" t="str">
        <f>IFERROR(__xludf.DUMMYFUNCTION("""COMPUTED_VALUE"""),"Admin Direct Support")</f>
        <v>Admin Direct Support</v>
      </c>
    </row>
    <row r="611">
      <c r="O611" s="1" t="str">
        <f>IFERROR(__xludf.DUMMYFUNCTION("""COMPUTED_VALUE"""),"2025 Aug")</f>
        <v>2025 Aug</v>
      </c>
      <c r="P611" s="1" t="str">
        <f>IFERROR(__xludf.DUMMYFUNCTION("""COMPUTED_VALUE"""),"Core Product Support")</f>
        <v>Core Product Support</v>
      </c>
      <c r="Q611" s="1" t="str">
        <f>IFERROR(__xludf.DUMMYFUNCTION("""COMPUTED_VALUE"""),"camilleb@canva.com")</f>
        <v>camilleb@canva.com</v>
      </c>
      <c r="R611" s="1" t="str">
        <f>IFERROR(__xludf.DUMMYFUNCTION("""COMPUTED_VALUE"""),"Camille Bucks")</f>
        <v>Camille Bucks</v>
      </c>
      <c r="S611" s="1">
        <f>IFERROR(__xludf.DUMMYFUNCTION("""COMPUTED_VALUE"""),12.47)</f>
        <v>12.47</v>
      </c>
      <c r="T611" s="1">
        <f>IFERROR(__xludf.DUMMYFUNCTION("""COMPUTED_VALUE"""),33.84)</f>
        <v>33.84</v>
      </c>
      <c r="U611" s="2">
        <f>IFERROR(__xludf.DUMMYFUNCTION("""COMPUTED_VALUE"""),46.31)</f>
        <v>46.31</v>
      </c>
      <c r="V611" s="1" t="str">
        <f>IFERROR(__xludf.DUMMYFUNCTION("""COMPUTED_VALUE"""),"Ellaine Estayo")</f>
        <v>Ellaine Estayo</v>
      </c>
      <c r="W611" s="1" t="str">
        <f>IFERROR(__xludf.DUMMYFUNCTION("""COMPUTED_VALUE"""),"Core Product Support Escalation Team")</f>
        <v>Core Product Support Escalation Team</v>
      </c>
    </row>
    <row r="612">
      <c r="O612" s="1" t="str">
        <f>IFERROR(__xludf.DUMMYFUNCTION("""COMPUTED_VALUE"""),"2025 Aug")</f>
        <v>2025 Aug</v>
      </c>
      <c r="P612" s="1" t="str">
        <f>IFERROR(__xludf.DUMMYFUNCTION("""COMPUTED_VALUE"""),"Admin Support")</f>
        <v>Admin Support</v>
      </c>
      <c r="Q612" s="1" t="str">
        <f>IFERROR(__xludf.DUMMYFUNCTION("""COMPUTED_VALUE"""),"camille.n@canva.com")</f>
        <v>camille.n@canva.com</v>
      </c>
      <c r="R612" s="1" t="str">
        <f>IFERROR(__xludf.DUMMYFUNCTION("""COMPUTED_VALUE"""),"Camille Neypes")</f>
        <v>Camille Neypes</v>
      </c>
      <c r="S612" s="1">
        <f>IFERROR(__xludf.DUMMYFUNCTION("""COMPUTED_VALUE"""),0.5)</f>
        <v>0.5</v>
      </c>
      <c r="T612" s="1">
        <f>IFERROR(__xludf.DUMMYFUNCTION("""COMPUTED_VALUE"""),10.0)</f>
        <v>10</v>
      </c>
      <c r="U612" s="2">
        <f>IFERROR(__xludf.DUMMYFUNCTION("""COMPUTED_VALUE"""),10.5)</f>
        <v>10.5</v>
      </c>
      <c r="V612" s="1" t="str">
        <f>IFERROR(__xludf.DUMMYFUNCTION("""COMPUTED_VALUE"""),"Kelden Laguting")</f>
        <v>Kelden Laguting</v>
      </c>
      <c r="W612" s="1" t="str">
        <f>IFERROR(__xludf.DUMMYFUNCTION("""COMPUTED_VALUE"""),"Admin Omni Support")</f>
        <v>Admin Omni Support</v>
      </c>
    </row>
    <row r="613">
      <c r="O613" s="1" t="str">
        <f>IFERROR(__xludf.DUMMYFUNCTION("""COMPUTED_VALUE"""),"2025 Aug")</f>
        <v>2025 Aug</v>
      </c>
      <c r="P613" s="1" t="str">
        <f>IFERROR(__xludf.DUMMYFUNCTION("""COMPUTED_VALUE"""),"Print Support")</f>
        <v>Print Support</v>
      </c>
      <c r="Q613" s="1" t="str">
        <f>IFERROR(__xludf.DUMMYFUNCTION("""COMPUTED_VALUE"""),"cammy@canva.com")</f>
        <v>cammy@canva.com</v>
      </c>
      <c r="R613" s="1" t="str">
        <f>IFERROR(__xludf.DUMMYFUNCTION("""COMPUTED_VALUE"""),"Camille Oriel")</f>
        <v>Camille Oriel</v>
      </c>
      <c r="S613" s="1">
        <f>IFERROR(__xludf.DUMMYFUNCTION("""COMPUTED_VALUE"""),2.5)</f>
        <v>2.5</v>
      </c>
      <c r="T613" s="1">
        <f>IFERROR(__xludf.DUMMYFUNCTION("""COMPUTED_VALUE"""),9.3)</f>
        <v>9.3</v>
      </c>
      <c r="U613" s="2">
        <f>IFERROR(__xludf.DUMMYFUNCTION("""COMPUTED_VALUE"""),11.8)</f>
        <v>11.8</v>
      </c>
      <c r="V613" s="1" t="str">
        <f>IFERROR(__xludf.DUMMYFUNCTION("""COMPUTED_VALUE"""),"Louise Dianne Estrella")</f>
        <v>Louise Dianne Estrella</v>
      </c>
      <c r="W613" s="1" t="str">
        <f>IFERROR(__xludf.DUMMYFUNCTION("""COMPUTED_VALUE"""),"Print Support PH")</f>
        <v>Print Support PH</v>
      </c>
    </row>
    <row r="614">
      <c r="O614" s="1" t="str">
        <f>IFERROR(__xludf.DUMMYFUNCTION("""COMPUTED_VALUE"""),"2025 Aug")</f>
        <v>2025 Aug</v>
      </c>
      <c r="P614" s="1" t="str">
        <f>IFERROR(__xludf.DUMMYFUNCTION("""COMPUTED_VALUE"""),"Admin Support")</f>
        <v>Admin Support</v>
      </c>
      <c r="Q614" s="1" t="str">
        <f>IFERROR(__xludf.DUMMYFUNCTION("""COMPUTED_VALUE"""),"carloav@canva.com")</f>
        <v>carloav@canva.com</v>
      </c>
      <c r="R614" s="1" t="str">
        <f>IFERROR(__xludf.DUMMYFUNCTION("""COMPUTED_VALUE"""),"Carlo Valentin")</f>
        <v>Carlo Valentin</v>
      </c>
      <c r="S614" s="1">
        <f>IFERROR(__xludf.DUMMYFUNCTION("""COMPUTED_VALUE"""),5.33)</f>
        <v>5.33</v>
      </c>
      <c r="T614" s="1">
        <f>IFERROR(__xludf.DUMMYFUNCTION("""COMPUTED_VALUE"""),11.83)</f>
        <v>11.83</v>
      </c>
      <c r="U614" s="2">
        <f>IFERROR(__xludf.DUMMYFUNCTION("""COMPUTED_VALUE"""),17.16)</f>
        <v>17.16</v>
      </c>
      <c r="V614" s="1" t="str">
        <f>IFERROR(__xludf.DUMMYFUNCTION("""COMPUTED_VALUE"""),"Kelden Laguting")</f>
        <v>Kelden Laguting</v>
      </c>
      <c r="W614" s="1" t="str">
        <f>IFERROR(__xludf.DUMMYFUNCTION("""COMPUTED_VALUE"""),"Admin Omni Support")</f>
        <v>Admin Omni Support</v>
      </c>
    </row>
    <row r="615">
      <c r="O615" s="1" t="str">
        <f>IFERROR(__xludf.DUMMYFUNCTION("""COMPUTED_VALUE"""),"2025 Aug")</f>
        <v>2025 Aug</v>
      </c>
      <c r="P615" s="1" t="str">
        <f>IFERROR(__xludf.DUMMYFUNCTION("""COMPUTED_VALUE"""),"Core Product Support")</f>
        <v>Core Product Support</v>
      </c>
      <c r="Q615" s="1" t="str">
        <f>IFERROR(__xludf.DUMMYFUNCTION("""COMPUTED_VALUE"""),"carmeladc@canva.com")</f>
        <v>carmeladc@canva.com</v>
      </c>
      <c r="R615" s="1" t="str">
        <f>IFERROR(__xludf.DUMMYFUNCTION("""COMPUTED_VALUE"""),"Carmela Dela Cruz")</f>
        <v>Carmela Dela Cruz</v>
      </c>
      <c r="S615" s="1">
        <f>IFERROR(__xludf.DUMMYFUNCTION("""COMPUTED_VALUE"""),27.12)</f>
        <v>27.12</v>
      </c>
      <c r="T615" s="1">
        <f>IFERROR(__xludf.DUMMYFUNCTION("""COMPUTED_VALUE"""),33.0)</f>
        <v>33</v>
      </c>
      <c r="U615" s="2">
        <f>IFERROR(__xludf.DUMMYFUNCTION("""COMPUTED_VALUE"""),60.120000000000005)</f>
        <v>60.12</v>
      </c>
      <c r="V615" s="1" t="str">
        <f>IFERROR(__xludf.DUMMYFUNCTION("""COMPUTED_VALUE"""),"Marie Mordeno")</f>
        <v>Marie Mordeno</v>
      </c>
      <c r="W615" s="1" t="str">
        <f>IFERROR(__xludf.DUMMYFUNCTION("""COMPUTED_VALUE"""),"Advanced Billing &amp; Subscriptions")</f>
        <v>Advanced Billing &amp; Subscriptions</v>
      </c>
    </row>
    <row r="616">
      <c r="O616" s="1" t="str">
        <f>IFERROR(__xludf.DUMMYFUNCTION("""COMPUTED_VALUE"""),"2025 Aug")</f>
        <v>2025 Aug</v>
      </c>
      <c r="P616" s="1" t="str">
        <f>IFERROR(__xludf.DUMMYFUNCTION("""COMPUTED_VALUE"""),"Print Support")</f>
        <v>Print Support</v>
      </c>
      <c r="Q616" s="1" t="str">
        <f>IFERROR(__xludf.DUMMYFUNCTION("""COMPUTED_VALUE"""),"carms@canva.com")</f>
        <v>carms@canva.com</v>
      </c>
      <c r="R616" s="1" t="str">
        <f>IFERROR(__xludf.DUMMYFUNCTION("""COMPUTED_VALUE"""),"Carms Merilles")</f>
        <v>Carms Merilles</v>
      </c>
      <c r="S616" s="1">
        <f>IFERROR(__xludf.DUMMYFUNCTION("""COMPUTED_VALUE"""),7.25)</f>
        <v>7.25</v>
      </c>
      <c r="T616" s="1">
        <f>IFERROR(__xludf.DUMMYFUNCTION("""COMPUTED_VALUE"""),11.5)</f>
        <v>11.5</v>
      </c>
      <c r="U616" s="2">
        <f>IFERROR(__xludf.DUMMYFUNCTION("""COMPUTED_VALUE"""),18.75)</f>
        <v>18.75</v>
      </c>
      <c r="V616" s="1" t="str">
        <f>IFERROR(__xludf.DUMMYFUNCTION("""COMPUTED_VALUE"""),"Gem Agoncillo")</f>
        <v>Gem Agoncillo</v>
      </c>
      <c r="W616" s="1" t="str">
        <f>IFERROR(__xludf.DUMMYFUNCTION("""COMPUTED_VALUE"""),"Print Design Support")</f>
        <v>Print Design Support</v>
      </c>
    </row>
    <row r="617">
      <c r="O617" s="1" t="str">
        <f>IFERROR(__xludf.DUMMYFUNCTION("""COMPUTED_VALUE"""),"2025 Aug")</f>
        <v>2025 Aug</v>
      </c>
      <c r="P617" s="1" t="str">
        <f>IFERROR(__xludf.DUMMYFUNCTION("""COMPUTED_VALUE"""),"High Sensitivity Support")</f>
        <v>High Sensitivity Support</v>
      </c>
      <c r="Q617" s="1" t="str">
        <f>IFERROR(__xludf.DUMMYFUNCTION("""COMPUTED_VALUE"""),"cassie@canva.com")</f>
        <v>cassie@canva.com</v>
      </c>
      <c r="R617" s="1" t="str">
        <f>IFERROR(__xludf.DUMMYFUNCTION("""COMPUTED_VALUE"""),"Cassie Eugenio")</f>
        <v>Cassie Eugenio</v>
      </c>
      <c r="S617" s="1"/>
      <c r="T617" s="1">
        <f>IFERROR(__xludf.DUMMYFUNCTION("""COMPUTED_VALUE"""),33.0)</f>
        <v>33</v>
      </c>
      <c r="U617" s="2">
        <f>IFERROR(__xludf.DUMMYFUNCTION("""COMPUTED_VALUE"""),33.0)</f>
        <v>33</v>
      </c>
      <c r="V617" s="1" t="str">
        <f>IFERROR(__xludf.DUMMYFUNCTION("""COMPUTED_VALUE"""),"Issi Afable")</f>
        <v>Issi Afable</v>
      </c>
      <c r="W617" s="1" t="str">
        <f>IFERROR(__xludf.DUMMYFUNCTION("""COMPUTED_VALUE"""),"High Sensitivity Support PH")</f>
        <v>High Sensitivity Support PH</v>
      </c>
    </row>
    <row r="618">
      <c r="O618" s="1" t="str">
        <f>IFERROR(__xludf.DUMMYFUNCTION("""COMPUTED_VALUE"""),"2025 Aug")</f>
        <v>2025 Aug</v>
      </c>
      <c r="P618" s="1" t="str">
        <f>IFERROR(__xludf.DUMMYFUNCTION("""COMPUTED_VALUE"""),"Print Support")</f>
        <v>Print Support</v>
      </c>
      <c r="Q618" s="1" t="str">
        <f>IFERROR(__xludf.DUMMYFUNCTION("""COMPUTED_VALUE"""),"catherinenicole@canva.com")</f>
        <v>catherinenicole@canva.com</v>
      </c>
      <c r="R618" s="1" t="str">
        <f>IFERROR(__xludf.DUMMYFUNCTION("""COMPUTED_VALUE"""),"Catherine Ledesma")</f>
        <v>Catherine Ledesma</v>
      </c>
      <c r="S618" s="1"/>
      <c r="T618" s="1">
        <f>IFERROR(__xludf.DUMMYFUNCTION("""COMPUTED_VALUE"""),6.25)</f>
        <v>6.25</v>
      </c>
      <c r="U618" s="2">
        <f>IFERROR(__xludf.DUMMYFUNCTION("""COMPUTED_VALUE"""),6.25)</f>
        <v>6.25</v>
      </c>
      <c r="V618" s="1" t="str">
        <f>IFERROR(__xludf.DUMMYFUNCTION("""COMPUTED_VALUE"""),"Jen Momo")</f>
        <v>Jen Momo</v>
      </c>
      <c r="W618" s="1" t="str">
        <f>IFERROR(__xludf.DUMMYFUNCTION("""COMPUTED_VALUE"""),"Print Support PH")</f>
        <v>Print Support PH</v>
      </c>
    </row>
    <row r="619">
      <c r="O619" s="1" t="str">
        <f>IFERROR(__xludf.DUMMYFUNCTION("""COMPUTED_VALUE"""),"2025 Aug")</f>
        <v>2025 Aug</v>
      </c>
      <c r="P619" s="1" t="str">
        <f>IFERROR(__xludf.DUMMYFUNCTION("""COMPUTED_VALUE"""),"Core Product Support")</f>
        <v>Core Product Support</v>
      </c>
      <c r="Q619" s="1" t="str">
        <f>IFERROR(__xludf.DUMMYFUNCTION("""COMPUTED_VALUE"""),"laranang@canva.com")</f>
        <v>laranang@canva.com</v>
      </c>
      <c r="R619" s="1" t="str">
        <f>IFERROR(__xludf.DUMMYFUNCTION("""COMPUTED_VALUE"""),"Cha Laranang")</f>
        <v>Cha Laranang</v>
      </c>
      <c r="S619" s="1">
        <f>IFERROR(__xludf.DUMMYFUNCTION("""COMPUTED_VALUE"""),26.25)</f>
        <v>26.25</v>
      </c>
      <c r="T619" s="1">
        <f>IFERROR(__xludf.DUMMYFUNCTION("""COMPUTED_VALUE"""),71.0)</f>
        <v>71</v>
      </c>
      <c r="U619" s="2">
        <f>IFERROR(__xludf.DUMMYFUNCTION("""COMPUTED_VALUE"""),97.25)</f>
        <v>97.25</v>
      </c>
      <c r="V619" s="1" t="str">
        <f>IFERROR(__xludf.DUMMYFUNCTION("""COMPUTED_VALUE"""),"Cate Velasco")</f>
        <v>Cate Velasco</v>
      </c>
      <c r="W619" s="1" t="str">
        <f>IFERROR(__xludf.DUMMYFUNCTION("""COMPUTED_VALUE"""),"Advanced Product Support")</f>
        <v>Advanced Product Support</v>
      </c>
    </row>
    <row r="620">
      <c r="O620" s="1" t="str">
        <f>IFERROR(__xludf.DUMMYFUNCTION("""COMPUTED_VALUE"""),"2025 Aug")</f>
        <v>2025 Aug</v>
      </c>
      <c r="P620" s="1" t="str">
        <f>IFERROR(__xludf.DUMMYFUNCTION("""COMPUTED_VALUE"""),"Core Product Support")</f>
        <v>Core Product Support</v>
      </c>
      <c r="Q620" s="1" t="str">
        <f>IFERROR(__xludf.DUMMYFUNCTION("""COMPUTED_VALUE"""),"chace@canva.com")</f>
        <v>chace@canva.com</v>
      </c>
      <c r="R620" s="1" t="str">
        <f>IFERROR(__xludf.DUMMYFUNCTION("""COMPUTED_VALUE"""),"Chace Ablaza")</f>
        <v>Chace Ablaza</v>
      </c>
      <c r="S620" s="1">
        <f>IFERROR(__xludf.DUMMYFUNCTION("""COMPUTED_VALUE"""),13.97)</f>
        <v>13.97</v>
      </c>
      <c r="T620" s="1">
        <f>IFERROR(__xludf.DUMMYFUNCTION("""COMPUTED_VALUE"""),30.75)</f>
        <v>30.75</v>
      </c>
      <c r="U620" s="2">
        <f>IFERROR(__xludf.DUMMYFUNCTION("""COMPUTED_VALUE"""),44.72)</f>
        <v>44.72</v>
      </c>
      <c r="V620" s="1" t="str">
        <f>IFERROR(__xludf.DUMMYFUNCTION("""COMPUTED_VALUE"""),"Ellaine Estayo")</f>
        <v>Ellaine Estayo</v>
      </c>
      <c r="W620" s="1" t="str">
        <f>IFERROR(__xludf.DUMMYFUNCTION("""COMPUTED_VALUE"""),"Core Product Support Escalation Team")</f>
        <v>Core Product Support Escalation Team</v>
      </c>
    </row>
    <row r="621">
      <c r="O621" s="1" t="str">
        <f>IFERROR(__xludf.DUMMYFUNCTION("""COMPUTED_VALUE"""),"2025 Aug")</f>
        <v>2025 Aug</v>
      </c>
      <c r="P621" s="1" t="str">
        <f>IFERROR(__xludf.DUMMYFUNCTION("""COMPUTED_VALUE"""),"Core Product Support")</f>
        <v>Core Product Support</v>
      </c>
      <c r="Q621" s="1" t="str">
        <f>IFERROR(__xludf.DUMMYFUNCTION("""COMPUTED_VALUE"""),"charissa@canva.com")</f>
        <v>charissa@canva.com</v>
      </c>
      <c r="R621" s="1" t="str">
        <f>IFERROR(__xludf.DUMMYFUNCTION("""COMPUTED_VALUE"""),"Charissa Goyena")</f>
        <v>Charissa Goyena</v>
      </c>
      <c r="S621" s="1">
        <f>IFERROR(__xludf.DUMMYFUNCTION("""COMPUTED_VALUE"""),30.0)</f>
        <v>30</v>
      </c>
      <c r="T621" s="1">
        <f>IFERROR(__xludf.DUMMYFUNCTION("""COMPUTED_VALUE"""),46.58)</f>
        <v>46.58</v>
      </c>
      <c r="U621" s="2">
        <f>IFERROR(__xludf.DUMMYFUNCTION("""COMPUTED_VALUE"""),76.58)</f>
        <v>76.58</v>
      </c>
      <c r="V621" s="1" t="str">
        <f>IFERROR(__xludf.DUMMYFUNCTION("""COMPUTED_VALUE"""),"Vinz Lazaro")</f>
        <v>Vinz Lazaro</v>
      </c>
      <c r="W621" s="1" t="str">
        <f>IFERROR(__xludf.DUMMYFUNCTION("""COMPUTED_VALUE"""),"Advanced Product Support")</f>
        <v>Advanced Product Support</v>
      </c>
    </row>
    <row r="622">
      <c r="O622" s="1" t="str">
        <f>IFERROR(__xludf.DUMMYFUNCTION("""COMPUTED_VALUE"""),"2025 Aug")</f>
        <v>2025 Aug</v>
      </c>
      <c r="P622" s="1" t="str">
        <f>IFERROR(__xludf.DUMMYFUNCTION("""COMPUTED_VALUE"""),"Segment-specific Support")</f>
        <v>Segment-specific Support</v>
      </c>
      <c r="Q622" s="1" t="str">
        <f>IFERROR(__xludf.DUMMYFUNCTION("""COMPUTED_VALUE"""),"charizavargas@canva.com")</f>
        <v>charizavargas@canva.com</v>
      </c>
      <c r="R622" s="1" t="str">
        <f>IFERROR(__xludf.DUMMYFUNCTION("""COMPUTED_VALUE"""),"Chariza Vargas")</f>
        <v>Chariza Vargas</v>
      </c>
      <c r="S622" s="1">
        <f>IFERROR(__xludf.DUMMYFUNCTION("""COMPUTED_VALUE"""),6.0)</f>
        <v>6</v>
      </c>
      <c r="T622" s="1">
        <f>IFERROR(__xludf.DUMMYFUNCTION("""COMPUTED_VALUE"""),10.0)</f>
        <v>10</v>
      </c>
      <c r="U622" s="2">
        <f>IFERROR(__xludf.DUMMYFUNCTION("""COMPUTED_VALUE"""),16.0)</f>
        <v>16</v>
      </c>
      <c r="V622" s="1" t="str">
        <f>IFERROR(__xludf.DUMMYFUNCTION("""COMPUTED_VALUE"""),"Aileen Dayanghirang")</f>
        <v>Aileen Dayanghirang</v>
      </c>
      <c r="W622" s="1" t="str">
        <f>IFERROR(__xludf.DUMMYFUNCTION("""COMPUTED_VALUE"""),"Creators Support")</f>
        <v>Creators Support</v>
      </c>
    </row>
    <row r="623">
      <c r="O623" s="1" t="str">
        <f>IFERROR(__xludf.DUMMYFUNCTION("""COMPUTED_VALUE"""),"2025 Aug")</f>
        <v>2025 Aug</v>
      </c>
      <c r="P623" s="1" t="str">
        <f>IFERROR(__xludf.DUMMYFUNCTION("""COMPUTED_VALUE"""),"Admin Support")</f>
        <v>Admin Support</v>
      </c>
      <c r="Q623" s="1" t="str">
        <f>IFERROR(__xludf.DUMMYFUNCTION("""COMPUTED_VALUE"""),"charlest@canva.com")</f>
        <v>charlest@canva.com</v>
      </c>
      <c r="R623" s="1" t="str">
        <f>IFERROR(__xludf.DUMMYFUNCTION("""COMPUTED_VALUE"""),"Charles Andrew Tan")</f>
        <v>Charles Andrew Tan</v>
      </c>
      <c r="S623" s="1">
        <f>IFERROR(__xludf.DUMMYFUNCTION("""COMPUTED_VALUE"""),1.0)</f>
        <v>1</v>
      </c>
      <c r="T623" s="1">
        <f>IFERROR(__xludf.DUMMYFUNCTION("""COMPUTED_VALUE"""),10.0)</f>
        <v>10</v>
      </c>
      <c r="U623" s="2">
        <f>IFERROR(__xludf.DUMMYFUNCTION("""COMPUTED_VALUE"""),11.0)</f>
        <v>11</v>
      </c>
      <c r="V623" s="1" t="str">
        <f>IFERROR(__xludf.DUMMYFUNCTION("""COMPUTED_VALUE"""),"Kelden Laguting")</f>
        <v>Kelden Laguting</v>
      </c>
      <c r="W623" s="1" t="str">
        <f>IFERROR(__xludf.DUMMYFUNCTION("""COMPUTED_VALUE"""),"Admin Omni Support")</f>
        <v>Admin Omni Support</v>
      </c>
    </row>
    <row r="624">
      <c r="O624" s="1" t="str">
        <f>IFERROR(__xludf.DUMMYFUNCTION("""COMPUTED_VALUE"""),"2025 Aug")</f>
        <v>2025 Aug</v>
      </c>
      <c r="P624" s="1" t="str">
        <f>IFERROR(__xludf.DUMMYFUNCTION("""COMPUTED_VALUE"""),"Core Product Support")</f>
        <v>Core Product Support</v>
      </c>
      <c r="Q624" s="1" t="str">
        <f>IFERROR(__xludf.DUMMYFUNCTION("""COMPUTED_VALUE"""),"charmb@canva.com")</f>
        <v>charmb@canva.com</v>
      </c>
      <c r="R624" s="1" t="str">
        <f>IFERROR(__xludf.DUMMYFUNCTION("""COMPUTED_VALUE"""),"Charm Bansil")</f>
        <v>Charm Bansil</v>
      </c>
      <c r="S624" s="1">
        <f>IFERROR(__xludf.DUMMYFUNCTION("""COMPUTED_VALUE"""),34.17)</f>
        <v>34.17</v>
      </c>
      <c r="T624" s="1">
        <f>IFERROR(__xludf.DUMMYFUNCTION("""COMPUTED_VALUE"""),41.67)</f>
        <v>41.67</v>
      </c>
      <c r="U624" s="2">
        <f>IFERROR(__xludf.DUMMYFUNCTION("""COMPUTED_VALUE"""),75.84)</f>
        <v>75.84</v>
      </c>
      <c r="V624" s="1" t="str">
        <f>IFERROR(__xludf.DUMMYFUNCTION("""COMPUTED_VALUE"""),"Ana Lazaro")</f>
        <v>Ana Lazaro</v>
      </c>
      <c r="W624" s="1" t="str">
        <f>IFERROR(__xludf.DUMMYFUNCTION("""COMPUTED_VALUE"""),"Advanced Billing &amp; Subscriptions")</f>
        <v>Advanced Billing &amp; Subscriptions</v>
      </c>
    </row>
    <row r="625">
      <c r="O625" s="1" t="str">
        <f>IFERROR(__xludf.DUMMYFUNCTION("""COMPUTED_VALUE"""),"2025 Aug")</f>
        <v>2025 Aug</v>
      </c>
      <c r="P625" s="1" t="str">
        <f>IFERROR(__xludf.DUMMYFUNCTION("""COMPUTED_VALUE"""),"Print Support")</f>
        <v>Print Support</v>
      </c>
      <c r="Q625" s="1" t="str">
        <f>IFERROR(__xludf.DUMMYFUNCTION("""COMPUTED_VALUE"""),"catherine@canva.com")</f>
        <v>catherine@canva.com</v>
      </c>
      <c r="R625" s="1" t="str">
        <f>IFERROR(__xludf.DUMMYFUNCTION("""COMPUTED_VALUE"""),"Cheche Ramirez")</f>
        <v>Cheche Ramirez</v>
      </c>
      <c r="S625" s="1"/>
      <c r="T625" s="1">
        <f>IFERROR(__xludf.DUMMYFUNCTION("""COMPUTED_VALUE"""),0.0)</f>
        <v>0</v>
      </c>
      <c r="U625" s="2">
        <f>IFERROR(__xludf.DUMMYFUNCTION("""COMPUTED_VALUE"""),0.0)</f>
        <v>0</v>
      </c>
      <c r="V625" s="1" t="str">
        <f>IFERROR(__xludf.DUMMYFUNCTION("""COMPUTED_VALUE"""),"Jen Momo")</f>
        <v>Jen Momo</v>
      </c>
      <c r="W625" s="1" t="str">
        <f>IFERROR(__xludf.DUMMYFUNCTION("""COMPUTED_VALUE"""),"Print Support PH")</f>
        <v>Print Support PH</v>
      </c>
    </row>
    <row r="626">
      <c r="O626" s="1" t="str">
        <f>IFERROR(__xludf.DUMMYFUNCTION("""COMPUTED_VALUE"""),"2025 Aug")</f>
        <v>2025 Aug</v>
      </c>
      <c r="P626" s="1" t="str">
        <f>IFERROR(__xludf.DUMMYFUNCTION("""COMPUTED_VALUE"""),"Core Product Support")</f>
        <v>Core Product Support</v>
      </c>
      <c r="Q626" s="1" t="str">
        <f>IFERROR(__xludf.DUMMYFUNCTION("""COMPUTED_VALUE"""),"chesca@canva.com")</f>
        <v>chesca@canva.com</v>
      </c>
      <c r="R626" s="1" t="str">
        <f>IFERROR(__xludf.DUMMYFUNCTION("""COMPUTED_VALUE"""),"Chesca Martos")</f>
        <v>Chesca Martos</v>
      </c>
      <c r="S626" s="1">
        <f>IFERROR(__xludf.DUMMYFUNCTION("""COMPUTED_VALUE"""),25.08)</f>
        <v>25.08</v>
      </c>
      <c r="T626" s="1">
        <f>IFERROR(__xludf.DUMMYFUNCTION("""COMPUTED_VALUE"""),31.75)</f>
        <v>31.75</v>
      </c>
      <c r="U626" s="2">
        <f>IFERROR(__xludf.DUMMYFUNCTION("""COMPUTED_VALUE"""),56.83)</f>
        <v>56.83</v>
      </c>
      <c r="V626" s="1" t="str">
        <f>IFERROR(__xludf.DUMMYFUNCTION("""COMPUTED_VALUE"""),"Ayza Marie Pascual")</f>
        <v>Ayza Marie Pascual</v>
      </c>
      <c r="W626" s="1" t="str">
        <f>IFERROR(__xludf.DUMMYFUNCTION("""COMPUTED_VALUE"""),"Advanced Billing &amp; Subscriptions")</f>
        <v>Advanced Billing &amp; Subscriptions</v>
      </c>
    </row>
    <row r="627">
      <c r="O627" s="1" t="str">
        <f>IFERROR(__xludf.DUMMYFUNCTION("""COMPUTED_VALUE"""),"2025 Aug")</f>
        <v>2025 Aug</v>
      </c>
      <c r="P627" s="1" t="str">
        <f>IFERROR(__xludf.DUMMYFUNCTION("""COMPUTED_VALUE"""),"Core Product Support")</f>
        <v>Core Product Support</v>
      </c>
      <c r="Q627" s="1" t="str">
        <f>IFERROR(__xludf.DUMMYFUNCTION("""COMPUTED_VALUE"""),"chlgts@canva.com")</f>
        <v>chlgts@canva.com</v>
      </c>
      <c r="R627" s="1" t="str">
        <f>IFERROR(__xludf.DUMMYFUNCTION("""COMPUTED_VALUE"""),"Cholo Ligtas")</f>
        <v>Cholo Ligtas</v>
      </c>
      <c r="S627" s="1">
        <f>IFERROR(__xludf.DUMMYFUNCTION("""COMPUTED_VALUE"""),21.75)</f>
        <v>21.75</v>
      </c>
      <c r="T627" s="1">
        <f>IFERROR(__xludf.DUMMYFUNCTION("""COMPUTED_VALUE"""),34.25)</f>
        <v>34.25</v>
      </c>
      <c r="U627" s="2">
        <f>IFERROR(__xludf.DUMMYFUNCTION("""COMPUTED_VALUE"""),56.0)</f>
        <v>56</v>
      </c>
      <c r="V627" s="1" t="str">
        <f>IFERROR(__xludf.DUMMYFUNCTION("""COMPUTED_VALUE"""),"Jahmie Mae Barrameda")</f>
        <v>Jahmie Mae Barrameda</v>
      </c>
      <c r="W627" s="1" t="str">
        <f>IFERROR(__xludf.DUMMYFUNCTION("""COMPUTED_VALUE"""),"Advanced Billing &amp; Subscriptions")</f>
        <v>Advanced Billing &amp; Subscriptions</v>
      </c>
    </row>
    <row r="628">
      <c r="O628" s="1" t="str">
        <f>IFERROR(__xludf.DUMMYFUNCTION("""COMPUTED_VALUE"""),"2025 Aug")</f>
        <v>2025 Aug</v>
      </c>
      <c r="P628" s="1" t="str">
        <f>IFERROR(__xludf.DUMMYFUNCTION("""COMPUTED_VALUE"""),"Core Product Support")</f>
        <v>Core Product Support</v>
      </c>
      <c r="Q628" s="1" t="str">
        <f>IFERROR(__xludf.DUMMYFUNCTION("""COMPUTED_VALUE"""),"tintinmaxilom@canva.com")</f>
        <v>tintinmaxilom@canva.com</v>
      </c>
      <c r="R628" s="1" t="str">
        <f>IFERROR(__xludf.DUMMYFUNCTION("""COMPUTED_VALUE"""),"Christine Araga")</f>
        <v>Christine Araga</v>
      </c>
      <c r="S628" s="1">
        <f>IFERROR(__xludf.DUMMYFUNCTION("""COMPUTED_VALUE"""),7.42)</f>
        <v>7.42</v>
      </c>
      <c r="T628" s="1">
        <f>IFERROR(__xludf.DUMMYFUNCTION("""COMPUTED_VALUE"""),16.09)</f>
        <v>16.09</v>
      </c>
      <c r="U628" s="2">
        <f>IFERROR(__xludf.DUMMYFUNCTION("""COMPUTED_VALUE"""),23.509999999999998)</f>
        <v>23.51</v>
      </c>
      <c r="V628" s="1" t="str">
        <f>IFERROR(__xludf.DUMMYFUNCTION("""COMPUTED_VALUE"""),"Jelyn Elmido")</f>
        <v>Jelyn Elmido</v>
      </c>
      <c r="W628" s="1" t="str">
        <f>IFERROR(__xludf.DUMMYFUNCTION("""COMPUTED_VALUE"""),"Core Product Support Escalation Team")</f>
        <v>Core Product Support Escalation Team</v>
      </c>
    </row>
    <row r="629">
      <c r="O629" s="1" t="str">
        <f>IFERROR(__xludf.DUMMYFUNCTION("""COMPUTED_VALUE"""),"2025 Aug")</f>
        <v>2025 Aug</v>
      </c>
      <c r="P629" s="1" t="str">
        <f>IFERROR(__xludf.DUMMYFUNCTION("""COMPUTED_VALUE"""),"Print Support")</f>
        <v>Print Support</v>
      </c>
      <c r="Q629" s="1" t="str">
        <f>IFERROR(__xludf.DUMMYFUNCTION("""COMPUTED_VALUE"""),"cjlining@canva.com")</f>
        <v>cjlining@canva.com</v>
      </c>
      <c r="R629" s="1" t="str">
        <f>IFERROR(__xludf.DUMMYFUNCTION("""COMPUTED_VALUE"""),"CJ Lining")</f>
        <v>CJ Lining</v>
      </c>
      <c r="S629" s="1"/>
      <c r="T629" s="1">
        <f>IFERROR(__xludf.DUMMYFUNCTION("""COMPUTED_VALUE"""),5.75)</f>
        <v>5.75</v>
      </c>
      <c r="U629" s="2">
        <f>IFERROR(__xludf.DUMMYFUNCTION("""COMPUTED_VALUE"""),5.75)</f>
        <v>5.75</v>
      </c>
      <c r="V629" s="1" t="str">
        <f>IFERROR(__xludf.DUMMYFUNCTION("""COMPUTED_VALUE"""),"Althea Mercado")</f>
        <v>Althea Mercado</v>
      </c>
      <c r="W629" s="1" t="str">
        <f>IFERROR(__xludf.DUMMYFUNCTION("""COMPUTED_VALUE"""),"Print Support PH")</f>
        <v>Print Support PH</v>
      </c>
    </row>
    <row r="630">
      <c r="O630" s="1" t="str">
        <f>IFERROR(__xludf.DUMMYFUNCTION("""COMPUTED_VALUE"""),"2025 Aug")</f>
        <v>2025 Aug</v>
      </c>
      <c r="P630" s="1" t="str">
        <f>IFERROR(__xludf.DUMMYFUNCTION("""COMPUTED_VALUE"""),"Admin Support")</f>
        <v>Admin Support</v>
      </c>
      <c r="Q630" s="1" t="str">
        <f>IFERROR(__xludf.DUMMYFUNCTION("""COMPUTED_VALUE"""),"ckmg@canva.com")</f>
        <v>ckmg@canva.com</v>
      </c>
      <c r="R630" s="1" t="str">
        <f>IFERROR(__xludf.DUMMYFUNCTION("""COMPUTED_VALUE"""),"CK Geronimo")</f>
        <v>CK Geronimo</v>
      </c>
      <c r="S630" s="1">
        <f>IFERROR(__xludf.DUMMYFUNCTION("""COMPUTED_VALUE"""),5.5)</f>
        <v>5.5</v>
      </c>
      <c r="T630" s="1">
        <f>IFERROR(__xludf.DUMMYFUNCTION("""COMPUTED_VALUE"""),13.08)</f>
        <v>13.08</v>
      </c>
      <c r="U630" s="2">
        <f>IFERROR(__xludf.DUMMYFUNCTION("""COMPUTED_VALUE"""),18.58)</f>
        <v>18.58</v>
      </c>
      <c r="V630" s="1" t="str">
        <f>IFERROR(__xludf.DUMMYFUNCTION("""COMPUTED_VALUE"""),"Pau Palmero")</f>
        <v>Pau Palmero</v>
      </c>
      <c r="W630" s="1" t="str">
        <f>IFERROR(__xludf.DUMMYFUNCTION("""COMPUTED_VALUE"""),"Admin Omni Support")</f>
        <v>Admin Omni Support</v>
      </c>
    </row>
    <row r="631">
      <c r="O631" s="1" t="str">
        <f>IFERROR(__xludf.DUMMYFUNCTION("""COMPUTED_VALUE"""),"2025 Aug")</f>
        <v>2025 Aug</v>
      </c>
      <c r="P631" s="1" t="str">
        <f>IFERROR(__xludf.DUMMYFUNCTION("""COMPUTED_VALUE"""),"Segment-specific Support")</f>
        <v>Segment-specific Support</v>
      </c>
      <c r="Q631" s="1" t="str">
        <f>IFERROR(__xludf.DUMMYFUNCTION("""COMPUTED_VALUE"""),"magnumck@canva.com")</f>
        <v>magnumck@canva.com</v>
      </c>
      <c r="R631" s="1" t="str">
        <f>IFERROR(__xludf.DUMMYFUNCTION("""COMPUTED_VALUE"""),"CK Lobaton")</f>
        <v>CK Lobaton</v>
      </c>
      <c r="S631" s="1">
        <f>IFERROR(__xludf.DUMMYFUNCTION("""COMPUTED_VALUE"""),7.0)</f>
        <v>7</v>
      </c>
      <c r="T631" s="1">
        <f>IFERROR(__xludf.DUMMYFUNCTION("""COMPUTED_VALUE"""),9.0)</f>
        <v>9</v>
      </c>
      <c r="U631" s="2">
        <f>IFERROR(__xludf.DUMMYFUNCTION("""COMPUTED_VALUE"""),16.0)</f>
        <v>16</v>
      </c>
      <c r="V631" s="1" t="str">
        <f>IFERROR(__xludf.DUMMYFUNCTION("""COMPUTED_VALUE"""),"Jonathan Dimaculangan")</f>
        <v>Jonathan Dimaculangan</v>
      </c>
      <c r="W631" s="1" t="str">
        <f>IFERROR(__xludf.DUMMYFUNCTION("""COMPUTED_VALUE"""),"Flourish Support")</f>
        <v>Flourish Support</v>
      </c>
    </row>
    <row r="632">
      <c r="O632" s="1" t="str">
        <f>IFERROR(__xludf.DUMMYFUNCTION("""COMPUTED_VALUE"""),"2025 Aug")</f>
        <v>2025 Aug</v>
      </c>
      <c r="P632" s="1" t="str">
        <f>IFERROR(__xludf.DUMMYFUNCTION("""COMPUTED_VALUE"""),"Core Product Support")</f>
        <v>Core Product Support</v>
      </c>
      <c r="Q632" s="1" t="str">
        <f>IFERROR(__xludf.DUMMYFUNCTION("""COMPUTED_VALUE"""),"cladd@canva.com")</f>
        <v>cladd@canva.com</v>
      </c>
      <c r="R632" s="1" t="str">
        <f>IFERROR(__xludf.DUMMYFUNCTION("""COMPUTED_VALUE"""),"Claddys Ann Bernaldez")</f>
        <v>Claddys Ann Bernaldez</v>
      </c>
      <c r="S632" s="1">
        <f>IFERROR(__xludf.DUMMYFUNCTION("""COMPUTED_VALUE"""),17.75)</f>
        <v>17.75</v>
      </c>
      <c r="T632" s="1">
        <f>IFERROR(__xludf.DUMMYFUNCTION("""COMPUTED_VALUE"""),27.33)</f>
        <v>27.33</v>
      </c>
      <c r="U632" s="2">
        <f>IFERROR(__xludf.DUMMYFUNCTION("""COMPUTED_VALUE"""),45.08)</f>
        <v>45.08</v>
      </c>
      <c r="V632" s="1" t="str">
        <f>IFERROR(__xludf.DUMMYFUNCTION("""COMPUTED_VALUE"""),"Jelyn Elmido")</f>
        <v>Jelyn Elmido</v>
      </c>
      <c r="W632" s="1" t="str">
        <f>IFERROR(__xludf.DUMMYFUNCTION("""COMPUTED_VALUE"""),"Core Product Support Escalation Team")</f>
        <v>Core Product Support Escalation Team</v>
      </c>
    </row>
    <row r="633">
      <c r="O633" s="1" t="str">
        <f>IFERROR(__xludf.DUMMYFUNCTION("""COMPUTED_VALUE"""),"2025 Aug")</f>
        <v>2025 Aug</v>
      </c>
      <c r="P633" s="1" t="str">
        <f>IFERROR(__xludf.DUMMYFUNCTION("""COMPUTED_VALUE"""),"Multilingual Support")</f>
        <v>Multilingual Support</v>
      </c>
      <c r="Q633" s="1" t="str">
        <f>IFERROR(__xludf.DUMMYFUNCTION("""COMPUTED_VALUE"""),"claire.g@canva.com")</f>
        <v>claire.g@canva.com</v>
      </c>
      <c r="R633" s="1" t="str">
        <f>IFERROR(__xludf.DUMMYFUNCTION("""COMPUTED_VALUE"""),"Claire Gado")</f>
        <v>Claire Gado</v>
      </c>
      <c r="S633" s="1">
        <f>IFERROR(__xludf.DUMMYFUNCTION("""COMPUTED_VALUE"""),8.25)</f>
        <v>8.25</v>
      </c>
      <c r="T633" s="1">
        <f>IFERROR(__xludf.DUMMYFUNCTION("""COMPUTED_VALUE"""),11.25)</f>
        <v>11.25</v>
      </c>
      <c r="U633" s="2">
        <f>IFERROR(__xludf.DUMMYFUNCTION("""COMPUTED_VALUE"""),19.5)</f>
        <v>19.5</v>
      </c>
      <c r="V633" s="1" t="str">
        <f>IFERROR(__xludf.DUMMYFUNCTION("""COMPUTED_VALUE"""),"Arlene Maurillo")</f>
        <v>Arlene Maurillo</v>
      </c>
      <c r="W633" s="1" t="str">
        <f>IFERROR(__xludf.DUMMYFUNCTION("""COMPUTED_VALUE"""),"PHL, Multilingual Support")</f>
        <v>PHL, Multilingual Support</v>
      </c>
    </row>
    <row r="634">
      <c r="O634" s="1" t="str">
        <f>IFERROR(__xludf.DUMMYFUNCTION("""COMPUTED_VALUE"""),"2025 Aug")</f>
        <v>2025 Aug</v>
      </c>
      <c r="P634" s="1" t="str">
        <f>IFERROR(__xludf.DUMMYFUNCTION("""COMPUTED_VALUE"""),"Print Support")</f>
        <v>Print Support</v>
      </c>
      <c r="Q634" s="1" t="str">
        <f>IFERROR(__xludf.DUMMYFUNCTION("""COMPUTED_VALUE"""),"cyreengee@canva.com")</f>
        <v>cyreengee@canva.com</v>
      </c>
      <c r="R634" s="1" t="str">
        <f>IFERROR(__xludf.DUMMYFUNCTION("""COMPUTED_VALUE"""),"Cye Gonzales")</f>
        <v>Cye Gonzales</v>
      </c>
      <c r="S634" s="1">
        <f>IFERROR(__xludf.DUMMYFUNCTION("""COMPUTED_VALUE"""),4.25)</f>
        <v>4.25</v>
      </c>
      <c r="T634" s="1">
        <f>IFERROR(__xludf.DUMMYFUNCTION("""COMPUTED_VALUE"""),10.5)</f>
        <v>10.5</v>
      </c>
      <c r="U634" s="2">
        <f>IFERROR(__xludf.DUMMYFUNCTION("""COMPUTED_VALUE"""),14.75)</f>
        <v>14.75</v>
      </c>
      <c r="V634" s="1" t="str">
        <f>IFERROR(__xludf.DUMMYFUNCTION("""COMPUTED_VALUE"""),"Althea Mercado")</f>
        <v>Althea Mercado</v>
      </c>
      <c r="W634" s="1" t="str">
        <f>IFERROR(__xludf.DUMMYFUNCTION("""COMPUTED_VALUE"""),"Print Support PH")</f>
        <v>Print Support PH</v>
      </c>
    </row>
    <row r="635">
      <c r="O635" s="1" t="str">
        <f>IFERROR(__xludf.DUMMYFUNCTION("""COMPUTED_VALUE"""),"2025 Aug")</f>
        <v>2025 Aug</v>
      </c>
      <c r="P635" s="1" t="str">
        <f>IFERROR(__xludf.DUMMYFUNCTION("""COMPUTED_VALUE"""),"Print Support")</f>
        <v>Print Support</v>
      </c>
      <c r="Q635" s="1" t="str">
        <f>IFERROR(__xludf.DUMMYFUNCTION("""COMPUTED_VALUE"""),"dyter@canva.com")</f>
        <v>dyter@canva.com</v>
      </c>
      <c r="R635" s="1" t="str">
        <f>IFERROR(__xludf.DUMMYFUNCTION("""COMPUTED_VALUE"""),"Daisy Tercenio")</f>
        <v>Daisy Tercenio</v>
      </c>
      <c r="S635" s="1">
        <f>IFERROR(__xludf.DUMMYFUNCTION("""COMPUTED_VALUE"""),7.0)</f>
        <v>7</v>
      </c>
      <c r="T635" s="1">
        <f>IFERROR(__xludf.DUMMYFUNCTION("""COMPUTED_VALUE"""),11.0)</f>
        <v>11</v>
      </c>
      <c r="U635" s="2">
        <f>IFERROR(__xludf.DUMMYFUNCTION("""COMPUTED_VALUE"""),18.0)</f>
        <v>18</v>
      </c>
      <c r="V635" s="1" t="str">
        <f>IFERROR(__xludf.DUMMYFUNCTION("""COMPUTED_VALUE"""),"Rae Erlano")</f>
        <v>Rae Erlano</v>
      </c>
      <c r="W635" s="1" t="str">
        <f>IFERROR(__xludf.DUMMYFUNCTION("""COMPUTED_VALUE"""),"Print Support PH")</f>
        <v>Print Support PH</v>
      </c>
    </row>
    <row r="636">
      <c r="O636" s="1" t="str">
        <f>IFERROR(__xludf.DUMMYFUNCTION("""COMPUTED_VALUE"""),"2025 Aug")</f>
        <v>2025 Aug</v>
      </c>
      <c r="P636" s="1" t="str">
        <f>IFERROR(__xludf.DUMMYFUNCTION("""COMPUTED_VALUE"""),"Core Product Support")</f>
        <v>Core Product Support</v>
      </c>
      <c r="Q636" s="1" t="str">
        <f>IFERROR(__xludf.DUMMYFUNCTION("""COMPUTED_VALUE"""),"danortiz@canva.com")</f>
        <v>danortiz@canva.com</v>
      </c>
      <c r="R636" s="1" t="str">
        <f>IFERROR(__xludf.DUMMYFUNCTION("""COMPUTED_VALUE"""),"Daniella Ortiz")</f>
        <v>Daniella Ortiz</v>
      </c>
      <c r="S636" s="1">
        <f>IFERROR(__xludf.DUMMYFUNCTION("""COMPUTED_VALUE"""),36.5)</f>
        <v>36.5</v>
      </c>
      <c r="T636" s="1">
        <f>IFERROR(__xludf.DUMMYFUNCTION("""COMPUTED_VALUE"""),41.5)</f>
        <v>41.5</v>
      </c>
      <c r="U636" s="2">
        <f>IFERROR(__xludf.DUMMYFUNCTION("""COMPUTED_VALUE"""),78.0)</f>
        <v>78</v>
      </c>
      <c r="V636" s="1" t="str">
        <f>IFERROR(__xludf.DUMMYFUNCTION("""COMPUTED_VALUE"""),"Cate Velasco")</f>
        <v>Cate Velasco</v>
      </c>
      <c r="W636" s="1" t="str">
        <f>IFERROR(__xludf.DUMMYFUNCTION("""COMPUTED_VALUE"""),"Advanced Product Support")</f>
        <v>Advanced Product Support</v>
      </c>
    </row>
    <row r="637">
      <c r="O637" s="1" t="str">
        <f>IFERROR(__xludf.DUMMYFUNCTION("""COMPUTED_VALUE"""),"2025 Aug")</f>
        <v>2025 Aug</v>
      </c>
      <c r="P637" s="1" t="str">
        <f>IFERROR(__xludf.DUMMYFUNCTION("""COMPUTED_VALUE"""),"Segment-specific Support")</f>
        <v>Segment-specific Support</v>
      </c>
      <c r="Q637" s="1" t="str">
        <f>IFERROR(__xludf.DUMMYFUNCTION("""COMPUTED_VALUE"""),"daniellegrace@canva.com")</f>
        <v>daniellegrace@canva.com</v>
      </c>
      <c r="R637" s="1" t="str">
        <f>IFERROR(__xludf.DUMMYFUNCTION("""COMPUTED_VALUE"""),"Danielle Marasigan")</f>
        <v>Danielle Marasigan</v>
      </c>
      <c r="S637" s="1">
        <f>IFERROR(__xludf.DUMMYFUNCTION("""COMPUTED_VALUE"""),4.0)</f>
        <v>4</v>
      </c>
      <c r="T637" s="1">
        <f>IFERROR(__xludf.DUMMYFUNCTION("""COMPUTED_VALUE"""),9.0)</f>
        <v>9</v>
      </c>
      <c r="U637" s="2">
        <f>IFERROR(__xludf.DUMMYFUNCTION("""COMPUTED_VALUE"""),13.0)</f>
        <v>13</v>
      </c>
      <c r="V637" s="1" t="str">
        <f>IFERROR(__xludf.DUMMYFUNCTION("""COMPUTED_VALUE"""),"Aileen Dayanghirang")</f>
        <v>Aileen Dayanghirang</v>
      </c>
      <c r="W637" s="1" t="str">
        <f>IFERROR(__xludf.DUMMYFUNCTION("""COMPUTED_VALUE"""),"Creators Support")</f>
        <v>Creators Support</v>
      </c>
    </row>
    <row r="638">
      <c r="O638" s="1" t="str">
        <f>IFERROR(__xludf.DUMMYFUNCTION("""COMPUTED_VALUE"""),"2025 Aug")</f>
        <v>2025 Aug</v>
      </c>
      <c r="P638" s="1" t="str">
        <f>IFERROR(__xludf.DUMMYFUNCTION("""COMPUTED_VALUE"""),"Admin Support")</f>
        <v>Admin Support</v>
      </c>
      <c r="Q638" s="1" t="str">
        <f>IFERROR(__xludf.DUMMYFUNCTION("""COMPUTED_VALUE"""),"dannah@canva.com")</f>
        <v>dannah@canva.com</v>
      </c>
      <c r="R638" s="1" t="str">
        <f>IFERROR(__xludf.DUMMYFUNCTION("""COMPUTED_VALUE"""),"Dannah Kate Dizon")</f>
        <v>Dannah Kate Dizon</v>
      </c>
      <c r="S638" s="1">
        <f>IFERROR(__xludf.DUMMYFUNCTION("""COMPUTED_VALUE"""),6.5)</f>
        <v>6.5</v>
      </c>
      <c r="T638" s="1">
        <f>IFERROR(__xludf.DUMMYFUNCTION("""COMPUTED_VALUE"""),15.33)</f>
        <v>15.33</v>
      </c>
      <c r="U638" s="2">
        <f>IFERROR(__xludf.DUMMYFUNCTION("""COMPUTED_VALUE"""),21.83)</f>
        <v>21.83</v>
      </c>
      <c r="V638" s="1" t="str">
        <f>IFERROR(__xludf.DUMMYFUNCTION("""COMPUTED_VALUE"""),"Karla Mananghaya")</f>
        <v>Karla Mananghaya</v>
      </c>
      <c r="W638" s="1" t="str">
        <f>IFERROR(__xludf.DUMMYFUNCTION("""COMPUTED_VALUE"""),"Admin Support Service Escalation Team")</f>
        <v>Admin Support Service Escalation Team</v>
      </c>
    </row>
    <row r="639">
      <c r="O639" s="1" t="str">
        <f>IFERROR(__xludf.DUMMYFUNCTION("""COMPUTED_VALUE"""),"2025 Aug")</f>
        <v>2025 Aug</v>
      </c>
      <c r="P639" s="1" t="str">
        <f>IFERROR(__xludf.DUMMYFUNCTION("""COMPUTED_VALUE"""),"High Sensitivity Support")</f>
        <v>High Sensitivity Support</v>
      </c>
      <c r="Q639" s="1" t="str">
        <f>IFERROR(__xludf.DUMMYFUNCTION("""COMPUTED_VALUE"""),"danrev@canva.com")</f>
        <v>danrev@canva.com</v>
      </c>
      <c r="R639" s="1" t="str">
        <f>IFERROR(__xludf.DUMMYFUNCTION("""COMPUTED_VALUE"""),"Danrev Bactad")</f>
        <v>Danrev Bactad</v>
      </c>
      <c r="S639" s="1">
        <f>IFERROR(__xludf.DUMMYFUNCTION("""COMPUTED_VALUE"""),15.5)</f>
        <v>15.5</v>
      </c>
      <c r="T639" s="1">
        <f>IFERROR(__xludf.DUMMYFUNCTION("""COMPUTED_VALUE"""),18.5)</f>
        <v>18.5</v>
      </c>
      <c r="U639" s="2">
        <f>IFERROR(__xludf.DUMMYFUNCTION("""COMPUTED_VALUE"""),34.0)</f>
        <v>34</v>
      </c>
      <c r="V639" s="1" t="str">
        <f>IFERROR(__xludf.DUMMYFUNCTION("""COMPUTED_VALUE"""),"Xandy Azarcon")</f>
        <v>Xandy Azarcon</v>
      </c>
      <c r="W639" s="1" t="str">
        <f>IFERROR(__xludf.DUMMYFUNCTION("""COMPUTED_VALUE"""),"High Sensitivity Support PH")</f>
        <v>High Sensitivity Support PH</v>
      </c>
    </row>
    <row r="640">
      <c r="O640" s="1" t="str">
        <f>IFERROR(__xludf.DUMMYFUNCTION("""COMPUTED_VALUE"""),"2025 Aug")</f>
        <v>2025 Aug</v>
      </c>
      <c r="P640" s="1" t="str">
        <f>IFERROR(__xludf.DUMMYFUNCTION("""COMPUTED_VALUE"""),"Print Support")</f>
        <v>Print Support</v>
      </c>
      <c r="Q640" s="1" t="str">
        <f>IFERROR(__xludf.DUMMYFUNCTION("""COMPUTED_VALUE"""),"daphne@canva.com")</f>
        <v>daphne@canva.com</v>
      </c>
      <c r="R640" s="1" t="str">
        <f>IFERROR(__xludf.DUMMYFUNCTION("""COMPUTED_VALUE"""),"Daphne Arboleda")</f>
        <v>Daphne Arboleda</v>
      </c>
      <c r="S640" s="1">
        <f>IFERROR(__xludf.DUMMYFUNCTION("""COMPUTED_VALUE"""),21.0)</f>
        <v>21</v>
      </c>
      <c r="T640" s="1">
        <f>IFERROR(__xludf.DUMMYFUNCTION("""COMPUTED_VALUE"""),27.75)</f>
        <v>27.75</v>
      </c>
      <c r="U640" s="2">
        <f>IFERROR(__xludf.DUMMYFUNCTION("""COMPUTED_VALUE"""),48.75)</f>
        <v>48.75</v>
      </c>
      <c r="V640" s="1" t="str">
        <f>IFERROR(__xludf.DUMMYFUNCTION("""COMPUTED_VALUE"""),"Memae Faustino")</f>
        <v>Memae Faustino</v>
      </c>
      <c r="W640" s="1" t="str">
        <f>IFERROR(__xludf.DUMMYFUNCTION("""COMPUTED_VALUE"""),"Print Support PH")</f>
        <v>Print Support PH</v>
      </c>
    </row>
    <row r="641">
      <c r="O641" s="1" t="str">
        <f>IFERROR(__xludf.DUMMYFUNCTION("""COMPUTED_VALUE"""),"2025 Aug")</f>
        <v>2025 Aug</v>
      </c>
      <c r="P641" s="1" t="str">
        <f>IFERROR(__xludf.DUMMYFUNCTION("""COMPUTED_VALUE"""),"High Sensitivity Support")</f>
        <v>High Sensitivity Support</v>
      </c>
      <c r="Q641" s="1" t="str">
        <f>IFERROR(__xludf.DUMMYFUNCTION("""COMPUTED_VALUE"""),"darrelm@canva.com")</f>
        <v>darrelm@canva.com</v>
      </c>
      <c r="R641" s="1" t="str">
        <f>IFERROR(__xludf.DUMMYFUNCTION("""COMPUTED_VALUE"""),"Darrel Marcelino")</f>
        <v>Darrel Marcelino</v>
      </c>
      <c r="S641" s="1"/>
      <c r="T641" s="1">
        <f>IFERROR(__xludf.DUMMYFUNCTION("""COMPUTED_VALUE"""),43.07)</f>
        <v>43.07</v>
      </c>
      <c r="U641" s="2">
        <f>IFERROR(__xludf.DUMMYFUNCTION("""COMPUTED_VALUE"""),43.07)</f>
        <v>43.07</v>
      </c>
      <c r="V641" s="1" t="str">
        <f>IFERROR(__xludf.DUMMYFUNCTION("""COMPUTED_VALUE"""),"Issi Afable")</f>
        <v>Issi Afable</v>
      </c>
      <c r="W641" s="1" t="str">
        <f>IFERROR(__xludf.DUMMYFUNCTION("""COMPUTED_VALUE"""),"High Sensitivity Support PH")</f>
        <v>High Sensitivity Support PH</v>
      </c>
    </row>
    <row r="642">
      <c r="O642" s="1" t="str">
        <f>IFERROR(__xludf.DUMMYFUNCTION("""COMPUTED_VALUE"""),"2025 Aug")</f>
        <v>2025 Aug</v>
      </c>
      <c r="P642" s="1" t="str">
        <f>IFERROR(__xludf.DUMMYFUNCTION("""COMPUTED_VALUE"""),"Core Product Support")</f>
        <v>Core Product Support</v>
      </c>
      <c r="Q642" s="1" t="str">
        <f>IFERROR(__xludf.DUMMYFUNCTION("""COMPUTED_VALUE"""),"davecosteloii@canva.com")</f>
        <v>davecosteloii@canva.com</v>
      </c>
      <c r="R642" s="1" t="str">
        <f>IFERROR(__xludf.DUMMYFUNCTION("""COMPUTED_VALUE"""),"Dave Costelo")</f>
        <v>Dave Costelo</v>
      </c>
      <c r="S642" s="1">
        <f>IFERROR(__xludf.DUMMYFUNCTION("""COMPUTED_VALUE"""),6.0)</f>
        <v>6</v>
      </c>
      <c r="T642" s="1">
        <f>IFERROR(__xludf.DUMMYFUNCTION("""COMPUTED_VALUE"""),11.68)</f>
        <v>11.68</v>
      </c>
      <c r="U642" s="2">
        <f>IFERROR(__xludf.DUMMYFUNCTION("""COMPUTED_VALUE"""),17.68)</f>
        <v>17.68</v>
      </c>
      <c r="V642" s="1" t="str">
        <f>IFERROR(__xludf.DUMMYFUNCTION("""COMPUTED_VALUE"""),"Jahmie Mae Barrameda")</f>
        <v>Jahmie Mae Barrameda</v>
      </c>
      <c r="W642" s="1" t="str">
        <f>IFERROR(__xludf.DUMMYFUNCTION("""COMPUTED_VALUE"""),"Advanced Billing &amp; Subscriptions")</f>
        <v>Advanced Billing &amp; Subscriptions</v>
      </c>
    </row>
    <row r="643">
      <c r="O643" s="1" t="str">
        <f>IFERROR(__xludf.DUMMYFUNCTION("""COMPUTED_VALUE"""),"2025 Aug")</f>
        <v>2025 Aug</v>
      </c>
      <c r="P643" s="1" t="str">
        <f>IFERROR(__xludf.DUMMYFUNCTION("""COMPUTED_VALUE"""),"Admin Support")</f>
        <v>Admin Support</v>
      </c>
      <c r="Q643" s="1" t="str">
        <f>IFERROR(__xludf.DUMMYFUNCTION("""COMPUTED_VALUE"""),"davidfrancis@canva.com")</f>
        <v>davidfrancis@canva.com</v>
      </c>
      <c r="R643" s="1" t="str">
        <f>IFERROR(__xludf.DUMMYFUNCTION("""COMPUTED_VALUE"""),"David Francis Dimatulac")</f>
        <v>David Francis Dimatulac</v>
      </c>
      <c r="S643" s="1">
        <f>IFERROR(__xludf.DUMMYFUNCTION("""COMPUTED_VALUE"""),1.5)</f>
        <v>1.5</v>
      </c>
      <c r="T643" s="1">
        <f>IFERROR(__xludf.DUMMYFUNCTION("""COMPUTED_VALUE"""),7.5)</f>
        <v>7.5</v>
      </c>
      <c r="U643" s="2">
        <f>IFERROR(__xludf.DUMMYFUNCTION("""COMPUTED_VALUE"""),9.0)</f>
        <v>9</v>
      </c>
      <c r="V643" s="1" t="str">
        <f>IFERROR(__xludf.DUMMYFUNCTION("""COMPUTED_VALUE"""),"Karla Mananghaya")</f>
        <v>Karla Mananghaya</v>
      </c>
      <c r="W643" s="1" t="str">
        <f>IFERROR(__xludf.DUMMYFUNCTION("""COMPUTED_VALUE"""),"Admin Support Service Escalation Team")</f>
        <v>Admin Support Service Escalation Team</v>
      </c>
    </row>
    <row r="644">
      <c r="O644" s="1" t="str">
        <f>IFERROR(__xludf.DUMMYFUNCTION("""COMPUTED_VALUE"""),"2025 Aug")</f>
        <v>2025 Aug</v>
      </c>
      <c r="P644" s="1" t="str">
        <f>IFERROR(__xludf.DUMMYFUNCTION("""COMPUTED_VALUE"""),"Core Product Support")</f>
        <v>Core Product Support</v>
      </c>
      <c r="Q644" s="1" t="str">
        <f>IFERROR(__xludf.DUMMYFUNCTION("""COMPUTED_VALUE"""),"denden@canva.com")</f>
        <v>denden@canva.com</v>
      </c>
      <c r="R644" s="1" t="str">
        <f>IFERROR(__xludf.DUMMYFUNCTION("""COMPUTED_VALUE"""),"Den Gutierrez")</f>
        <v>Den Gutierrez</v>
      </c>
      <c r="S644" s="1">
        <f>IFERROR(__xludf.DUMMYFUNCTION("""COMPUTED_VALUE"""),22.42)</f>
        <v>22.42</v>
      </c>
      <c r="T644" s="1">
        <f>IFERROR(__xludf.DUMMYFUNCTION("""COMPUTED_VALUE"""),26.42)</f>
        <v>26.42</v>
      </c>
      <c r="U644" s="2">
        <f>IFERROR(__xludf.DUMMYFUNCTION("""COMPUTED_VALUE"""),48.84)</f>
        <v>48.84</v>
      </c>
      <c r="V644" s="1" t="str">
        <f>IFERROR(__xludf.DUMMYFUNCTION("""COMPUTED_VALUE"""),"Sieg Ballelos")</f>
        <v>Sieg Ballelos</v>
      </c>
      <c r="W644" s="1" t="str">
        <f>IFERROR(__xludf.DUMMYFUNCTION("""COMPUTED_VALUE"""),"Core Product Support Escalation Team")</f>
        <v>Core Product Support Escalation Team</v>
      </c>
    </row>
    <row r="645">
      <c r="O645" s="1" t="str">
        <f>IFERROR(__xludf.DUMMYFUNCTION("""COMPUTED_VALUE"""),"2025 Aug")</f>
        <v>2025 Aug</v>
      </c>
      <c r="P645" s="1" t="str">
        <f>IFERROR(__xludf.DUMMYFUNCTION("""COMPUTED_VALUE"""),"Core Product Support")</f>
        <v>Core Product Support</v>
      </c>
      <c r="Q645" s="1" t="str">
        <f>IFERROR(__xludf.DUMMYFUNCTION("""COMPUTED_VALUE"""),"deniseadrms@canva.com")</f>
        <v>deniseadrms@canva.com</v>
      </c>
      <c r="R645" s="1" t="str">
        <f>IFERROR(__xludf.DUMMYFUNCTION("""COMPUTED_VALUE"""),"Denise Adoremos")</f>
        <v>Denise Adoremos</v>
      </c>
      <c r="S645" s="1">
        <f>IFERROR(__xludf.DUMMYFUNCTION("""COMPUTED_VALUE"""),23.5)</f>
        <v>23.5</v>
      </c>
      <c r="T645" s="1">
        <f>IFERROR(__xludf.DUMMYFUNCTION("""COMPUTED_VALUE"""),27.03)</f>
        <v>27.03</v>
      </c>
      <c r="U645" s="2">
        <f>IFERROR(__xludf.DUMMYFUNCTION("""COMPUTED_VALUE"""),50.53)</f>
        <v>50.53</v>
      </c>
      <c r="V645" s="1" t="str">
        <f>IFERROR(__xludf.DUMMYFUNCTION("""COMPUTED_VALUE"""),"Ana Lazaro")</f>
        <v>Ana Lazaro</v>
      </c>
      <c r="W645" s="1" t="str">
        <f>IFERROR(__xludf.DUMMYFUNCTION("""COMPUTED_VALUE"""),"Advanced Billing &amp; Subscriptions")</f>
        <v>Advanced Billing &amp; Subscriptions</v>
      </c>
    </row>
    <row r="646">
      <c r="O646" s="1" t="str">
        <f>IFERROR(__xludf.DUMMYFUNCTION("""COMPUTED_VALUE"""),"2025 Aug")</f>
        <v>2025 Aug</v>
      </c>
      <c r="P646" s="1" t="str">
        <f>IFERROR(__xludf.DUMMYFUNCTION("""COMPUTED_VALUE"""),"Segment-specific Support")</f>
        <v>Segment-specific Support</v>
      </c>
      <c r="Q646" s="1" t="str">
        <f>IFERROR(__xludf.DUMMYFUNCTION("""COMPUTED_VALUE"""),"dymplem@canva.com")</f>
        <v>dymplem@canva.com</v>
      </c>
      <c r="R646" s="1" t="str">
        <f>IFERROR(__xludf.DUMMYFUNCTION("""COMPUTED_VALUE"""),"Dymple Macaraeg")</f>
        <v>Dymple Macaraeg</v>
      </c>
      <c r="S646" s="1">
        <f>IFERROR(__xludf.DUMMYFUNCTION("""COMPUTED_VALUE"""),41.0)</f>
        <v>41</v>
      </c>
      <c r="T646" s="1">
        <f>IFERROR(__xludf.DUMMYFUNCTION("""COMPUTED_VALUE"""),80.0)</f>
        <v>80</v>
      </c>
      <c r="U646" s="2">
        <f>IFERROR(__xludf.DUMMYFUNCTION("""COMPUTED_VALUE"""),121.0)</f>
        <v>121</v>
      </c>
      <c r="V646" s="1" t="str">
        <f>IFERROR(__xludf.DUMMYFUNCTION("""COMPUTED_VALUE"""),"Rose Gabilan")</f>
        <v>Rose Gabilan</v>
      </c>
      <c r="W646" s="1" t="str">
        <f>IFERROR(__xludf.DUMMYFUNCTION("""COMPUTED_VALUE"""),"Affinity Support")</f>
        <v>Affinity Support</v>
      </c>
    </row>
    <row r="647">
      <c r="O647" s="1" t="str">
        <f>IFERROR(__xludf.DUMMYFUNCTION("""COMPUTED_VALUE"""),"2025 Aug")</f>
        <v>2025 Aug</v>
      </c>
      <c r="P647" s="1" t="str">
        <f>IFERROR(__xludf.DUMMYFUNCTION("""COMPUTED_VALUE"""),"Admin Support")</f>
        <v>Admin Support</v>
      </c>
      <c r="Q647" s="1" t="str">
        <f>IFERROR(__xludf.DUMMYFUNCTION("""COMPUTED_VALUE"""),"edlico@canva.com")</f>
        <v>edlico@canva.com</v>
      </c>
      <c r="R647" s="1" t="str">
        <f>IFERROR(__xludf.DUMMYFUNCTION("""COMPUTED_VALUE"""),"Ed Lico")</f>
        <v>Ed Lico</v>
      </c>
      <c r="S647" s="1">
        <f>IFERROR(__xludf.DUMMYFUNCTION("""COMPUTED_VALUE"""),1.0)</f>
        <v>1</v>
      </c>
      <c r="T647" s="1">
        <f>IFERROR(__xludf.DUMMYFUNCTION("""COMPUTED_VALUE"""),7.0)</f>
        <v>7</v>
      </c>
      <c r="U647" s="2">
        <f>IFERROR(__xludf.DUMMYFUNCTION("""COMPUTED_VALUE"""),8.0)</f>
        <v>8</v>
      </c>
      <c r="V647" s="1" t="str">
        <f>IFERROR(__xludf.DUMMYFUNCTION("""COMPUTED_VALUE"""),"Pau Palmero")</f>
        <v>Pau Palmero</v>
      </c>
      <c r="W647" s="1" t="str">
        <f>IFERROR(__xludf.DUMMYFUNCTION("""COMPUTED_VALUE"""),"Admin Omni Support")</f>
        <v>Admin Omni Support</v>
      </c>
    </row>
    <row r="648">
      <c r="O648" s="1" t="str">
        <f>IFERROR(__xludf.DUMMYFUNCTION("""COMPUTED_VALUE"""),"2025 Aug")</f>
        <v>2025 Aug</v>
      </c>
      <c r="P648" s="1" t="str">
        <f>IFERROR(__xludf.DUMMYFUNCTION("""COMPUTED_VALUE"""),"Multilingual Support")</f>
        <v>Multilingual Support</v>
      </c>
      <c r="Q648" s="1" t="str">
        <f>IFERROR(__xludf.DUMMYFUNCTION("""COMPUTED_VALUE"""),"elmata@canva.com")</f>
        <v>elmata@canva.com</v>
      </c>
      <c r="R648" s="1" t="str">
        <f>IFERROR(__xludf.DUMMYFUNCTION("""COMPUTED_VALUE"""),"Elmer Matarlo")</f>
        <v>Elmer Matarlo</v>
      </c>
      <c r="S648" s="1">
        <f>IFERROR(__xludf.DUMMYFUNCTION("""COMPUTED_VALUE"""),3.75)</f>
        <v>3.75</v>
      </c>
      <c r="T648" s="1">
        <f>IFERROR(__xludf.DUMMYFUNCTION("""COMPUTED_VALUE"""),10.75)</f>
        <v>10.75</v>
      </c>
      <c r="U648" s="2">
        <f>IFERROR(__xludf.DUMMYFUNCTION("""COMPUTED_VALUE"""),14.5)</f>
        <v>14.5</v>
      </c>
      <c r="V648" s="1" t="str">
        <f>IFERROR(__xludf.DUMMYFUNCTION("""COMPUTED_VALUE"""),"Arlene Maurillo")</f>
        <v>Arlene Maurillo</v>
      </c>
      <c r="W648" s="1" t="str">
        <f>IFERROR(__xludf.DUMMYFUNCTION("""COMPUTED_VALUE"""),"PHL, Multilingual Support")</f>
        <v>PHL, Multilingual Support</v>
      </c>
    </row>
    <row r="649">
      <c r="O649" s="1" t="str">
        <f>IFERROR(__xludf.DUMMYFUNCTION("""COMPUTED_VALUE"""),"2025 Aug")</f>
        <v>2025 Aug</v>
      </c>
      <c r="P649" s="1" t="str">
        <f>IFERROR(__xludf.DUMMYFUNCTION("""COMPUTED_VALUE"""),"#N/A")</f>
        <v>#N/A</v>
      </c>
      <c r="Q649" s="1" t="str">
        <f>IFERROR(__xludf.DUMMYFUNCTION("""COMPUTED_VALUE"""),"emdavid@canva.com")</f>
        <v>emdavid@canva.com</v>
      </c>
      <c r="R649" s="1" t="str">
        <f>IFERROR(__xludf.DUMMYFUNCTION("""COMPUTED_VALUE"""),"Em David")</f>
        <v>Em David</v>
      </c>
      <c r="S649" s="1">
        <f>IFERROR(__xludf.DUMMYFUNCTION("""COMPUTED_VALUE"""),1.0)</f>
        <v>1</v>
      </c>
      <c r="T649" s="1">
        <f>IFERROR(__xludf.DUMMYFUNCTION("""COMPUTED_VALUE"""),18.08)</f>
        <v>18.08</v>
      </c>
      <c r="U649" s="2">
        <f>IFERROR(__xludf.DUMMYFUNCTION("""COMPUTED_VALUE"""),19.08)</f>
        <v>19.08</v>
      </c>
      <c r="V649" s="1" t="str">
        <f>IFERROR(__xludf.DUMMYFUNCTION("""COMPUTED_VALUE"""),"Vianca De Jesus")</f>
        <v>Vianca De Jesus</v>
      </c>
      <c r="W649" s="1" t="str">
        <f>IFERROR(__xludf.DUMMYFUNCTION("""COMPUTED_VALUE"""),"Advanced Chat Support")</f>
        <v>Advanced Chat Support</v>
      </c>
    </row>
    <row r="650">
      <c r="O650" s="1" t="str">
        <f>IFERROR(__xludf.DUMMYFUNCTION("""COMPUTED_VALUE"""),"2025 Aug")</f>
        <v>2025 Aug</v>
      </c>
      <c r="P650" s="1" t="str">
        <f>IFERROR(__xludf.DUMMYFUNCTION("""COMPUTED_VALUE"""),"Core Product Support")</f>
        <v>Core Product Support</v>
      </c>
      <c r="Q650" s="1" t="str">
        <f>IFERROR(__xludf.DUMMYFUNCTION("""COMPUTED_VALUE"""),"ena@canva.com")</f>
        <v>ena@canva.com</v>
      </c>
      <c r="R650" s="1" t="str">
        <f>IFERROR(__xludf.DUMMYFUNCTION("""COMPUTED_VALUE"""),"Ena Reyes")</f>
        <v>Ena Reyes</v>
      </c>
      <c r="S650" s="1">
        <f>IFERROR(__xludf.DUMMYFUNCTION("""COMPUTED_VALUE"""),2.0)</f>
        <v>2</v>
      </c>
      <c r="T650" s="1">
        <f>IFERROR(__xludf.DUMMYFUNCTION("""COMPUTED_VALUE"""),5.5)</f>
        <v>5.5</v>
      </c>
      <c r="U650" s="2">
        <f>IFERROR(__xludf.DUMMYFUNCTION("""COMPUTED_VALUE"""),7.5)</f>
        <v>7.5</v>
      </c>
      <c r="V650" s="1" t="str">
        <f>IFERROR(__xludf.DUMMYFUNCTION("""COMPUTED_VALUE"""),"Jem Mondoñedo")</f>
        <v>Jem Mondoñedo</v>
      </c>
      <c r="W650" s="1" t="str">
        <f>IFERROR(__xludf.DUMMYFUNCTION("""COMPUTED_VALUE"""),"Advanced Billing &amp; Subscriptions")</f>
        <v>Advanced Billing &amp; Subscriptions</v>
      </c>
    </row>
    <row r="651">
      <c r="O651" s="1" t="str">
        <f>IFERROR(__xludf.DUMMYFUNCTION("""COMPUTED_VALUE"""),"2025 Aug")</f>
        <v>2025 Aug</v>
      </c>
      <c r="P651" s="1" t="str">
        <f>IFERROR(__xludf.DUMMYFUNCTION("""COMPUTED_VALUE"""),"Admin Support")</f>
        <v>Admin Support</v>
      </c>
      <c r="Q651" s="1" t="str">
        <f>IFERROR(__xludf.DUMMYFUNCTION("""COMPUTED_VALUE"""),"enrique@canva.com")</f>
        <v>enrique@canva.com</v>
      </c>
      <c r="R651" s="1" t="str">
        <f>IFERROR(__xludf.DUMMYFUNCTION("""COMPUTED_VALUE"""),"Enrique Paolo Catuncan")</f>
        <v>Enrique Paolo Catuncan</v>
      </c>
      <c r="S651" s="1"/>
      <c r="T651" s="1">
        <f>IFERROR(__xludf.DUMMYFUNCTION("""COMPUTED_VALUE"""),7.0)</f>
        <v>7</v>
      </c>
      <c r="U651" s="2">
        <f>IFERROR(__xludf.DUMMYFUNCTION("""COMPUTED_VALUE"""),7.0)</f>
        <v>7</v>
      </c>
      <c r="V651" s="1" t="str">
        <f>IFERROR(__xludf.DUMMYFUNCTION("""COMPUTED_VALUE"""),"AL Suarez")</f>
        <v>AL Suarez</v>
      </c>
      <c r="W651" s="1" t="str">
        <f>IFERROR(__xludf.DUMMYFUNCTION("""COMPUTED_VALUE"""),"Admin Direct Support")</f>
        <v>Admin Direct Support</v>
      </c>
    </row>
    <row r="652">
      <c r="O652" s="1" t="str">
        <f>IFERROR(__xludf.DUMMYFUNCTION("""COMPUTED_VALUE"""),"2025 Aug")</f>
        <v>2025 Aug</v>
      </c>
      <c r="P652" s="1" t="str">
        <f>IFERROR(__xludf.DUMMYFUNCTION("""COMPUTED_VALUE"""),"#N/A")</f>
        <v>#N/A</v>
      </c>
      <c r="Q652" s="1" t="str">
        <f>IFERROR(__xludf.DUMMYFUNCTION("""COMPUTED_VALUE"""),"enicole@canva.com")</f>
        <v>enicole@canva.com</v>
      </c>
      <c r="R652" s="1" t="str">
        <f>IFERROR(__xludf.DUMMYFUNCTION("""COMPUTED_VALUE"""),"Ericka Nicole Andrade")</f>
        <v>Ericka Nicole Andrade</v>
      </c>
      <c r="S652" s="1">
        <f>IFERROR(__xludf.DUMMYFUNCTION("""COMPUTED_VALUE"""),41.33)</f>
        <v>41.33</v>
      </c>
      <c r="T652" s="1">
        <f>IFERROR(__xludf.DUMMYFUNCTION("""COMPUTED_VALUE"""),49.33)</f>
        <v>49.33</v>
      </c>
      <c r="U652" s="2">
        <f>IFERROR(__xludf.DUMMYFUNCTION("""COMPUTED_VALUE"""),90.66)</f>
        <v>90.66</v>
      </c>
      <c r="V652" s="1" t="str">
        <f>IFERROR(__xludf.DUMMYFUNCTION("""COMPUTED_VALUE"""),"Cate Velasco")</f>
        <v>Cate Velasco</v>
      </c>
      <c r="W652" s="1" t="str">
        <f>IFERROR(__xludf.DUMMYFUNCTION("""COMPUTED_VALUE"""),"Advanced Product Support")</f>
        <v>Advanced Product Support</v>
      </c>
    </row>
    <row r="653">
      <c r="O653" s="1" t="str">
        <f>IFERROR(__xludf.DUMMYFUNCTION("""COMPUTED_VALUE"""),"2025 Aug")</f>
        <v>2025 Aug</v>
      </c>
      <c r="P653" s="1" t="str">
        <f>IFERROR(__xludf.DUMMYFUNCTION("""COMPUTED_VALUE"""),"Print Support")</f>
        <v>Print Support</v>
      </c>
      <c r="Q653" s="1" t="str">
        <f>IFERROR(__xludf.DUMMYFUNCTION("""COMPUTED_VALUE"""),"erielle@canva.com")</f>
        <v>erielle@canva.com</v>
      </c>
      <c r="R653" s="1" t="str">
        <f>IFERROR(__xludf.DUMMYFUNCTION("""COMPUTED_VALUE"""),"Erielle Singular")</f>
        <v>Erielle Singular</v>
      </c>
      <c r="S653" s="1"/>
      <c r="T653" s="1">
        <f>IFERROR(__xludf.DUMMYFUNCTION("""COMPUTED_VALUE"""),80.0)</f>
        <v>80</v>
      </c>
      <c r="U653" s="2">
        <f>IFERROR(__xludf.DUMMYFUNCTION("""COMPUTED_VALUE"""),80.0)</f>
        <v>80</v>
      </c>
      <c r="V653" s="1" t="str">
        <f>IFERROR(__xludf.DUMMYFUNCTION("""COMPUTED_VALUE"""),"Rei De Jesus")</f>
        <v>Rei De Jesus</v>
      </c>
      <c r="W653" s="1" t="str">
        <f>IFERROR(__xludf.DUMMYFUNCTION("""COMPUTED_VALUE"""),"Print Design Support")</f>
        <v>Print Design Support</v>
      </c>
    </row>
    <row r="654">
      <c r="O654" s="1" t="str">
        <f>IFERROR(__xludf.DUMMYFUNCTION("""COMPUTED_VALUE"""),"2025 Aug")</f>
        <v>2025 Aug</v>
      </c>
      <c r="P654" s="1" t="str">
        <f>IFERROR(__xludf.DUMMYFUNCTION("""COMPUTED_VALUE"""),"#N/A")</f>
        <v>#N/A</v>
      </c>
      <c r="Q654" s="1" t="str">
        <f>IFERROR(__xludf.DUMMYFUNCTION("""COMPUTED_VALUE"""),"venturaestelle@canva.com")</f>
        <v>venturaestelle@canva.com</v>
      </c>
      <c r="R654" s="1" t="str">
        <f>IFERROR(__xludf.DUMMYFUNCTION("""COMPUTED_VALUE"""),"Estelle Ventura")</f>
        <v>Estelle Ventura</v>
      </c>
      <c r="S654" s="1">
        <f>IFERROR(__xludf.DUMMYFUNCTION("""COMPUTED_VALUE"""),1.0)</f>
        <v>1</v>
      </c>
      <c r="T654" s="1">
        <f>IFERROR(__xludf.DUMMYFUNCTION("""COMPUTED_VALUE"""),7.5)</f>
        <v>7.5</v>
      </c>
      <c r="U654" s="2">
        <f>IFERROR(__xludf.DUMMYFUNCTION("""COMPUTED_VALUE"""),8.5)</f>
        <v>8.5</v>
      </c>
      <c r="V654" s="1" t="str">
        <f>IFERROR(__xludf.DUMMYFUNCTION("""COMPUTED_VALUE"""),"#N/A")</f>
        <v>#N/A</v>
      </c>
      <c r="W654" s="1" t="str">
        <f>IFERROR(__xludf.DUMMYFUNCTION("""COMPUTED_VALUE"""),"#N/A")</f>
        <v>#N/A</v>
      </c>
    </row>
    <row r="655">
      <c r="O655" s="1" t="str">
        <f>IFERROR(__xludf.DUMMYFUNCTION("""COMPUTED_VALUE"""),"2025 Aug")</f>
        <v>2025 Aug</v>
      </c>
      <c r="P655" s="1" t="str">
        <f>IFERROR(__xludf.DUMMYFUNCTION("""COMPUTED_VALUE"""),"Core Product Support")</f>
        <v>Core Product Support</v>
      </c>
      <c r="Q655" s="1" t="str">
        <f>IFERROR(__xludf.DUMMYFUNCTION("""COMPUTED_VALUE"""),"euni@canva.com")</f>
        <v>euni@canva.com</v>
      </c>
      <c r="R655" s="1" t="str">
        <f>IFERROR(__xludf.DUMMYFUNCTION("""COMPUTED_VALUE"""),"Eunice Hachero")</f>
        <v>Eunice Hachero</v>
      </c>
      <c r="S655" s="1">
        <f>IFERROR(__xludf.DUMMYFUNCTION("""COMPUTED_VALUE"""),27.25)</f>
        <v>27.25</v>
      </c>
      <c r="T655" s="1">
        <f>IFERROR(__xludf.DUMMYFUNCTION("""COMPUTED_VALUE"""),32.5)</f>
        <v>32.5</v>
      </c>
      <c r="U655" s="2">
        <f>IFERROR(__xludf.DUMMYFUNCTION("""COMPUTED_VALUE"""),59.75)</f>
        <v>59.75</v>
      </c>
      <c r="V655" s="1" t="str">
        <f>IFERROR(__xludf.DUMMYFUNCTION("""COMPUTED_VALUE"""),"Marie Mordeno")</f>
        <v>Marie Mordeno</v>
      </c>
      <c r="W655" s="1" t="str">
        <f>IFERROR(__xludf.DUMMYFUNCTION("""COMPUTED_VALUE"""),"Advanced Billing &amp; Subscriptions")</f>
        <v>Advanced Billing &amp; Subscriptions</v>
      </c>
    </row>
    <row r="656">
      <c r="O656" s="1" t="str">
        <f>IFERROR(__xludf.DUMMYFUNCTION("""COMPUTED_VALUE"""),"2025 Aug")</f>
        <v>2025 Aug</v>
      </c>
      <c r="P656" s="1" t="str">
        <f>IFERROR(__xludf.DUMMYFUNCTION("""COMPUTED_VALUE"""),"Admin Support")</f>
        <v>Admin Support</v>
      </c>
      <c r="Q656" s="1" t="str">
        <f>IFERROR(__xludf.DUMMYFUNCTION("""COMPUTED_VALUE"""),"eziecl@canva.com")</f>
        <v>eziecl@canva.com</v>
      </c>
      <c r="R656" s="1" t="str">
        <f>IFERROR(__xludf.DUMMYFUNCTION("""COMPUTED_VALUE"""),"Ezekiel Marlin Lacson")</f>
        <v>Ezekiel Marlin Lacson</v>
      </c>
      <c r="S656" s="1"/>
      <c r="T656" s="1">
        <f>IFERROR(__xludf.DUMMYFUNCTION("""COMPUTED_VALUE"""),11.25)</f>
        <v>11.25</v>
      </c>
      <c r="U656" s="2">
        <f>IFERROR(__xludf.DUMMYFUNCTION("""COMPUTED_VALUE"""),11.25)</f>
        <v>11.25</v>
      </c>
      <c r="V656" s="1" t="str">
        <f>IFERROR(__xludf.DUMMYFUNCTION("""COMPUTED_VALUE"""),"Pau Palmero")</f>
        <v>Pau Palmero</v>
      </c>
      <c r="W656" s="1" t="str">
        <f>IFERROR(__xludf.DUMMYFUNCTION("""COMPUTED_VALUE"""),"Admin Omni Support")</f>
        <v>Admin Omni Support</v>
      </c>
    </row>
    <row r="657">
      <c r="O657" s="1" t="str">
        <f>IFERROR(__xludf.DUMMYFUNCTION("""COMPUTED_VALUE"""),"2025 Aug")</f>
        <v>2025 Aug</v>
      </c>
      <c r="P657" s="1" t="str">
        <f>IFERROR(__xludf.DUMMYFUNCTION("""COMPUTED_VALUE"""),"Print Support")</f>
        <v>Print Support</v>
      </c>
      <c r="Q657" s="1" t="str">
        <f>IFERROR(__xludf.DUMMYFUNCTION("""COMPUTED_VALUE"""),"faith@canva.com")</f>
        <v>faith@canva.com</v>
      </c>
      <c r="R657" s="1" t="str">
        <f>IFERROR(__xludf.DUMMYFUNCTION("""COMPUTED_VALUE"""),"Faith Ytang")</f>
        <v>Faith Ytang</v>
      </c>
      <c r="S657" s="1">
        <f>IFERROR(__xludf.DUMMYFUNCTION("""COMPUTED_VALUE"""),16.0)</f>
        <v>16</v>
      </c>
      <c r="T657" s="1">
        <f>IFERROR(__xludf.DUMMYFUNCTION("""COMPUTED_VALUE"""),18.75)</f>
        <v>18.75</v>
      </c>
      <c r="U657" s="2">
        <f>IFERROR(__xludf.DUMMYFUNCTION("""COMPUTED_VALUE"""),34.75)</f>
        <v>34.75</v>
      </c>
      <c r="V657" s="1" t="str">
        <f>IFERROR(__xludf.DUMMYFUNCTION("""COMPUTED_VALUE"""),"Memae Faustino")</f>
        <v>Memae Faustino</v>
      </c>
      <c r="W657" s="1" t="str">
        <f>IFERROR(__xludf.DUMMYFUNCTION("""COMPUTED_VALUE"""),"Print Support PH")</f>
        <v>Print Support PH</v>
      </c>
    </row>
    <row r="658">
      <c r="O658" s="1" t="str">
        <f>IFERROR(__xludf.DUMMYFUNCTION("""COMPUTED_VALUE"""),"2025 Aug")</f>
        <v>2025 Aug</v>
      </c>
      <c r="P658" s="1" t="str">
        <f>IFERROR(__xludf.DUMMYFUNCTION("""COMPUTED_VALUE"""),"Multilingual Support")</f>
        <v>Multilingual Support</v>
      </c>
      <c r="Q658" s="1" t="str">
        <f>IFERROR(__xludf.DUMMYFUNCTION("""COMPUTED_VALUE"""),"francescamat@canva.com")</f>
        <v>francescamat@canva.com</v>
      </c>
      <c r="R658" s="1" t="str">
        <f>IFERROR(__xludf.DUMMYFUNCTION("""COMPUTED_VALUE"""),"Francesca Mat")</f>
        <v>Francesca Mat</v>
      </c>
      <c r="S658" s="1">
        <f>IFERROR(__xludf.DUMMYFUNCTION("""COMPUTED_VALUE"""),4.0)</f>
        <v>4</v>
      </c>
      <c r="T658" s="1">
        <f>IFERROR(__xludf.DUMMYFUNCTION("""COMPUTED_VALUE"""),11.0)</f>
        <v>11</v>
      </c>
      <c r="U658" s="2">
        <f>IFERROR(__xludf.DUMMYFUNCTION("""COMPUTED_VALUE"""),15.0)</f>
        <v>15</v>
      </c>
      <c r="V658" s="1" t="str">
        <f>IFERROR(__xludf.DUMMYFUNCTION("""COMPUTED_VALUE"""),"Arlene Maurillo")</f>
        <v>Arlene Maurillo</v>
      </c>
      <c r="W658" s="1" t="str">
        <f>IFERROR(__xludf.DUMMYFUNCTION("""COMPUTED_VALUE"""),"PHL, Multilingual Support")</f>
        <v>PHL, Multilingual Support</v>
      </c>
    </row>
    <row r="659">
      <c r="O659" s="1" t="str">
        <f>IFERROR(__xludf.DUMMYFUNCTION("""COMPUTED_VALUE"""),"2025 Aug")</f>
        <v>2025 Aug</v>
      </c>
      <c r="P659" s="1" t="str">
        <f>IFERROR(__xludf.DUMMYFUNCTION("""COMPUTED_VALUE"""),"Core Product Support")</f>
        <v>Core Product Support</v>
      </c>
      <c r="Q659" s="1" t="str">
        <f>IFERROR(__xludf.DUMMYFUNCTION("""COMPUTED_VALUE"""),"fweill@canva.com")</f>
        <v>fweill@canva.com</v>
      </c>
      <c r="R659" s="1" t="str">
        <f>IFERROR(__xludf.DUMMYFUNCTION("""COMPUTED_VALUE"""),"Frank Weill")</f>
        <v>Frank Weill</v>
      </c>
      <c r="S659" s="1">
        <f>IFERROR(__xludf.DUMMYFUNCTION("""COMPUTED_VALUE"""),28.17)</f>
        <v>28.17</v>
      </c>
      <c r="T659" s="1">
        <f>IFERROR(__xludf.DUMMYFUNCTION("""COMPUTED_VALUE"""),45.95)</f>
        <v>45.95</v>
      </c>
      <c r="U659" s="2">
        <f>IFERROR(__xludf.DUMMYFUNCTION("""COMPUTED_VALUE"""),74.12)</f>
        <v>74.12</v>
      </c>
      <c r="V659" s="1" t="str">
        <f>IFERROR(__xludf.DUMMYFUNCTION("""COMPUTED_VALUE"""),"Manee Barrasa")</f>
        <v>Manee Barrasa</v>
      </c>
      <c r="W659" s="1" t="str">
        <f>IFERROR(__xludf.DUMMYFUNCTION("""COMPUTED_VALUE"""),"Advanced Billing &amp; Subscriptions")</f>
        <v>Advanced Billing &amp; Subscriptions</v>
      </c>
    </row>
    <row r="660">
      <c r="O660" s="1" t="str">
        <f>IFERROR(__xludf.DUMMYFUNCTION("""COMPUTED_VALUE"""),"2025 Aug")</f>
        <v>2025 Aug</v>
      </c>
      <c r="P660" s="1" t="str">
        <f>IFERROR(__xludf.DUMMYFUNCTION("""COMPUTED_VALUE"""),"Print Support")</f>
        <v>Print Support</v>
      </c>
      <c r="Q660" s="1" t="str">
        <f>IFERROR(__xludf.DUMMYFUNCTION("""COMPUTED_VALUE"""),"frencie@canva.com")</f>
        <v>frencie@canva.com</v>
      </c>
      <c r="R660" s="1" t="str">
        <f>IFERROR(__xludf.DUMMYFUNCTION("""COMPUTED_VALUE"""),"Frencie Guzman")</f>
        <v>Frencie Guzman</v>
      </c>
      <c r="S660" s="1">
        <f>IFERROR(__xludf.DUMMYFUNCTION("""COMPUTED_VALUE"""),8.83)</f>
        <v>8.83</v>
      </c>
      <c r="T660" s="1">
        <f>IFERROR(__xludf.DUMMYFUNCTION("""COMPUTED_VALUE"""),12.33)</f>
        <v>12.33</v>
      </c>
      <c r="U660" s="2">
        <f>IFERROR(__xludf.DUMMYFUNCTION("""COMPUTED_VALUE"""),21.16)</f>
        <v>21.16</v>
      </c>
      <c r="V660" s="1" t="str">
        <f>IFERROR(__xludf.DUMMYFUNCTION("""COMPUTED_VALUE"""),"Aliza Dote")</f>
        <v>Aliza Dote</v>
      </c>
      <c r="W660" s="1" t="str">
        <f>IFERROR(__xludf.DUMMYFUNCTION("""COMPUTED_VALUE"""),"Print Design Support")</f>
        <v>Print Design Support</v>
      </c>
    </row>
    <row r="661">
      <c r="O661" s="1" t="str">
        <f>IFERROR(__xludf.DUMMYFUNCTION("""COMPUTED_VALUE"""),"2025 Aug")</f>
        <v>2025 Aug</v>
      </c>
      <c r="P661" s="1" t="str">
        <f>IFERROR(__xludf.DUMMYFUNCTION("""COMPUTED_VALUE"""),"Print Support")</f>
        <v>Print Support</v>
      </c>
      <c r="Q661" s="1" t="str">
        <f>IFERROR(__xludf.DUMMYFUNCTION("""COMPUTED_VALUE"""),"gvr@canva.com")</f>
        <v>gvr@canva.com</v>
      </c>
      <c r="R661" s="1" t="str">
        <f>IFERROR(__xludf.DUMMYFUNCTION("""COMPUTED_VALUE"""),"Gabriel Reyes")</f>
        <v>Gabriel Reyes</v>
      </c>
      <c r="S661" s="1">
        <f>IFERROR(__xludf.DUMMYFUNCTION("""COMPUTED_VALUE"""),12.25)</f>
        <v>12.25</v>
      </c>
      <c r="T661" s="1">
        <f>IFERROR(__xludf.DUMMYFUNCTION("""COMPUTED_VALUE"""),22.0)</f>
        <v>22</v>
      </c>
      <c r="U661" s="2">
        <f>IFERROR(__xludf.DUMMYFUNCTION("""COMPUTED_VALUE"""),34.25)</f>
        <v>34.25</v>
      </c>
      <c r="V661" s="1" t="str">
        <f>IFERROR(__xludf.DUMMYFUNCTION("""COMPUTED_VALUE"""),"Memae Faustino")</f>
        <v>Memae Faustino</v>
      </c>
      <c r="W661" s="1" t="str">
        <f>IFERROR(__xludf.DUMMYFUNCTION("""COMPUTED_VALUE"""),"Print Support PH")</f>
        <v>Print Support PH</v>
      </c>
    </row>
    <row r="662">
      <c r="O662" s="1" t="str">
        <f>IFERROR(__xludf.DUMMYFUNCTION("""COMPUTED_VALUE"""),"2025 Aug")</f>
        <v>2025 Aug</v>
      </c>
      <c r="P662" s="1" t="str">
        <f>IFERROR(__xludf.DUMMYFUNCTION("""COMPUTED_VALUE"""),"High Sensitivity Support")</f>
        <v>High Sensitivity Support</v>
      </c>
      <c r="Q662" s="1" t="str">
        <f>IFERROR(__xludf.DUMMYFUNCTION("""COMPUTED_VALUE"""),"gsanandres@canva.com")</f>
        <v>gsanandres@canva.com</v>
      </c>
      <c r="R662" s="1" t="str">
        <f>IFERROR(__xludf.DUMMYFUNCTION("""COMPUTED_VALUE"""),"Galvin San Andres")</f>
        <v>Galvin San Andres</v>
      </c>
      <c r="S662" s="1">
        <f>IFERROR(__xludf.DUMMYFUNCTION("""COMPUTED_VALUE"""),20.0)</f>
        <v>20</v>
      </c>
      <c r="T662" s="1">
        <f>IFERROR(__xludf.DUMMYFUNCTION("""COMPUTED_VALUE"""),23.5)</f>
        <v>23.5</v>
      </c>
      <c r="U662" s="2">
        <f>IFERROR(__xludf.DUMMYFUNCTION("""COMPUTED_VALUE"""),43.5)</f>
        <v>43.5</v>
      </c>
      <c r="V662" s="1" t="str">
        <f>IFERROR(__xludf.DUMMYFUNCTION("""COMPUTED_VALUE"""),"Xandy Azarcon")</f>
        <v>Xandy Azarcon</v>
      </c>
      <c r="W662" s="1" t="str">
        <f>IFERROR(__xludf.DUMMYFUNCTION("""COMPUTED_VALUE"""),"High Sensitivity Support PH")</f>
        <v>High Sensitivity Support PH</v>
      </c>
    </row>
    <row r="663">
      <c r="O663" s="1" t="str">
        <f>IFERROR(__xludf.DUMMYFUNCTION("""COMPUTED_VALUE"""),"2025 Aug")</f>
        <v>2025 Aug</v>
      </c>
      <c r="P663" s="1" t="str">
        <f>IFERROR(__xludf.DUMMYFUNCTION("""COMPUTED_VALUE"""),"#N/A")</f>
        <v>#N/A</v>
      </c>
      <c r="Q663" s="1" t="str">
        <f>IFERROR(__xludf.DUMMYFUNCTION("""COMPUTED_VALUE"""),"angeladc@canva.com")</f>
        <v>angeladc@canva.com</v>
      </c>
      <c r="R663" s="1" t="str">
        <f>IFERROR(__xludf.DUMMYFUNCTION("""COMPUTED_VALUE"""),"Gela Dela Cruz")</f>
        <v>Gela Dela Cruz</v>
      </c>
      <c r="S663" s="1">
        <f>IFERROR(__xludf.DUMMYFUNCTION("""COMPUTED_VALUE"""),14.48)</f>
        <v>14.48</v>
      </c>
      <c r="T663" s="1">
        <f>IFERROR(__xludf.DUMMYFUNCTION("""COMPUTED_VALUE"""),17.6)</f>
        <v>17.6</v>
      </c>
      <c r="U663" s="2">
        <f>IFERROR(__xludf.DUMMYFUNCTION("""COMPUTED_VALUE"""),32.08)</f>
        <v>32.08</v>
      </c>
      <c r="V663" s="1" t="str">
        <f>IFERROR(__xludf.DUMMYFUNCTION("""COMPUTED_VALUE"""),"#N/A")</f>
        <v>#N/A</v>
      </c>
      <c r="W663" s="1" t="str">
        <f>IFERROR(__xludf.DUMMYFUNCTION("""COMPUTED_VALUE"""),"#N/A")</f>
        <v>#N/A</v>
      </c>
    </row>
    <row r="664">
      <c r="O664" s="1" t="str">
        <f>IFERROR(__xludf.DUMMYFUNCTION("""COMPUTED_VALUE"""),"2025 Aug")</f>
        <v>2025 Aug</v>
      </c>
      <c r="P664" s="1" t="str">
        <f>IFERROR(__xludf.DUMMYFUNCTION("""COMPUTED_VALUE"""),"Core Product Support")</f>
        <v>Core Product Support</v>
      </c>
      <c r="Q664" s="1" t="str">
        <f>IFERROR(__xludf.DUMMYFUNCTION("""COMPUTED_VALUE"""),"gsauler@canva.com")</f>
        <v>gsauler@canva.com</v>
      </c>
      <c r="R664" s="1" t="str">
        <f>IFERROR(__xludf.DUMMYFUNCTION("""COMPUTED_VALUE"""),"Gem Sauler")</f>
        <v>Gem Sauler</v>
      </c>
      <c r="S664" s="1">
        <f>IFERROR(__xludf.DUMMYFUNCTION("""COMPUTED_VALUE"""),33.47)</f>
        <v>33.47</v>
      </c>
      <c r="T664" s="1">
        <f>IFERROR(__xludf.DUMMYFUNCTION("""COMPUTED_VALUE"""),73.47)</f>
        <v>73.47</v>
      </c>
      <c r="U664" s="2">
        <f>IFERROR(__xludf.DUMMYFUNCTION("""COMPUTED_VALUE"""),106.94)</f>
        <v>106.94</v>
      </c>
      <c r="V664" s="1" t="str">
        <f>IFERROR(__xludf.DUMMYFUNCTION("""COMPUTED_VALUE"""),"Mikhaela Decangchon")</f>
        <v>Mikhaela Decangchon</v>
      </c>
      <c r="W664" s="1" t="str">
        <f>IFERROR(__xludf.DUMMYFUNCTION("""COMPUTED_VALUE"""),"Advanced Product Support")</f>
        <v>Advanced Product Support</v>
      </c>
    </row>
    <row r="665">
      <c r="O665" s="1" t="str">
        <f>IFERROR(__xludf.DUMMYFUNCTION("""COMPUTED_VALUE"""),"2025 Aug")</f>
        <v>2025 Aug</v>
      </c>
      <c r="P665" s="1" t="str">
        <f>IFERROR(__xludf.DUMMYFUNCTION("""COMPUTED_VALUE"""),"Core Product Support")</f>
        <v>Core Product Support</v>
      </c>
      <c r="Q665" s="1" t="str">
        <f>IFERROR(__xludf.DUMMYFUNCTION("""COMPUTED_VALUE"""),"gemmalyn@canva.com")</f>
        <v>gemmalyn@canva.com</v>
      </c>
      <c r="R665" s="1" t="str">
        <f>IFERROR(__xludf.DUMMYFUNCTION("""COMPUTED_VALUE"""),"Gemma Gaddi")</f>
        <v>Gemma Gaddi</v>
      </c>
      <c r="S665" s="1">
        <f>IFERROR(__xludf.DUMMYFUNCTION("""COMPUTED_VALUE"""),26.5)</f>
        <v>26.5</v>
      </c>
      <c r="T665" s="1">
        <f>IFERROR(__xludf.DUMMYFUNCTION("""COMPUTED_VALUE"""),36.5)</f>
        <v>36.5</v>
      </c>
      <c r="U665" s="2">
        <f>IFERROR(__xludf.DUMMYFUNCTION("""COMPUTED_VALUE"""),63.0)</f>
        <v>63</v>
      </c>
      <c r="V665" s="1" t="str">
        <f>IFERROR(__xludf.DUMMYFUNCTION("""COMPUTED_VALUE"""),"Jahmie Mae Barrameda")</f>
        <v>Jahmie Mae Barrameda</v>
      </c>
      <c r="W665" s="1" t="str">
        <f>IFERROR(__xludf.DUMMYFUNCTION("""COMPUTED_VALUE"""),"Advanced Billing &amp; Subscriptions")</f>
        <v>Advanced Billing &amp; Subscriptions</v>
      </c>
    </row>
    <row r="666">
      <c r="O666" s="1" t="str">
        <f>IFERROR(__xludf.DUMMYFUNCTION("""COMPUTED_VALUE"""),"2025 Aug")</f>
        <v>2025 Aug</v>
      </c>
      <c r="P666" s="1" t="str">
        <f>IFERROR(__xludf.DUMMYFUNCTION("""COMPUTED_VALUE"""),"Core Product Support")</f>
        <v>Core Product Support</v>
      </c>
      <c r="Q666" s="1" t="str">
        <f>IFERROR(__xludf.DUMMYFUNCTION("""COMPUTED_VALUE"""),"evee@canva.com")</f>
        <v>evee@canva.com</v>
      </c>
      <c r="R666" s="1" t="str">
        <f>IFERROR(__xludf.DUMMYFUNCTION("""COMPUTED_VALUE"""),"Gen Gingoyon")</f>
        <v>Gen Gingoyon</v>
      </c>
      <c r="S666" s="1">
        <f>IFERROR(__xludf.DUMMYFUNCTION("""COMPUTED_VALUE"""),29.0)</f>
        <v>29</v>
      </c>
      <c r="T666" s="1">
        <f>IFERROR(__xludf.DUMMYFUNCTION("""COMPUTED_VALUE"""),37.92)</f>
        <v>37.92</v>
      </c>
      <c r="U666" s="2">
        <f>IFERROR(__xludf.DUMMYFUNCTION("""COMPUTED_VALUE"""),66.92)</f>
        <v>66.92</v>
      </c>
      <c r="V666" s="1" t="str">
        <f>IFERROR(__xludf.DUMMYFUNCTION("""COMPUTED_VALUE"""),"Renette Bok")</f>
        <v>Renette Bok</v>
      </c>
      <c r="W666" s="1" t="str">
        <f>IFERROR(__xludf.DUMMYFUNCTION("""COMPUTED_VALUE"""),"Advanced Billing &amp; Subscriptions")</f>
        <v>Advanced Billing &amp; Subscriptions</v>
      </c>
    </row>
    <row r="667">
      <c r="O667" s="1" t="str">
        <f>IFERROR(__xludf.DUMMYFUNCTION("""COMPUTED_VALUE"""),"2025 Aug")</f>
        <v>2025 Aug</v>
      </c>
      <c r="P667" s="1" t="str">
        <f>IFERROR(__xludf.DUMMYFUNCTION("""COMPUTED_VALUE"""),"Core Product Support")</f>
        <v>Core Product Support</v>
      </c>
      <c r="Q667" s="1" t="str">
        <f>IFERROR(__xludf.DUMMYFUNCTION("""COMPUTED_VALUE"""),"gpascua@canva.com")</f>
        <v>gpascua@canva.com</v>
      </c>
      <c r="R667" s="1" t="str">
        <f>IFERROR(__xludf.DUMMYFUNCTION("""COMPUTED_VALUE"""),"Gernie Pascua")</f>
        <v>Gernie Pascua</v>
      </c>
      <c r="S667" s="1">
        <f>IFERROR(__xludf.DUMMYFUNCTION("""COMPUTED_VALUE"""),14.5)</f>
        <v>14.5</v>
      </c>
      <c r="T667" s="1">
        <f>IFERROR(__xludf.DUMMYFUNCTION("""COMPUTED_VALUE"""),26.0)</f>
        <v>26</v>
      </c>
      <c r="U667" s="2">
        <f>IFERROR(__xludf.DUMMYFUNCTION("""COMPUTED_VALUE"""),40.5)</f>
        <v>40.5</v>
      </c>
      <c r="V667" s="1" t="str">
        <f>IFERROR(__xludf.DUMMYFUNCTION("""COMPUTED_VALUE"""),"Ellaine Estayo")</f>
        <v>Ellaine Estayo</v>
      </c>
      <c r="W667" s="1" t="str">
        <f>IFERROR(__xludf.DUMMYFUNCTION("""COMPUTED_VALUE"""),"Core Product Support Escalation Team")</f>
        <v>Core Product Support Escalation Team</v>
      </c>
    </row>
    <row r="668">
      <c r="O668" s="1" t="str">
        <f>IFERROR(__xludf.DUMMYFUNCTION("""COMPUTED_VALUE"""),"2025 Aug")</f>
        <v>2025 Aug</v>
      </c>
      <c r="P668" s="1" t="str">
        <f>IFERROR(__xludf.DUMMYFUNCTION("""COMPUTED_VALUE"""),"Print Support")</f>
        <v>Print Support</v>
      </c>
      <c r="Q668" s="1" t="str">
        <f>IFERROR(__xludf.DUMMYFUNCTION("""COMPUTED_VALUE"""),"giadacillo@canva.com")</f>
        <v>giadacillo@canva.com</v>
      </c>
      <c r="R668" s="1" t="str">
        <f>IFERROR(__xludf.DUMMYFUNCTION("""COMPUTED_VALUE"""),"Gia Dacillo")</f>
        <v>Gia Dacillo</v>
      </c>
      <c r="S668" s="1"/>
      <c r="T668" s="1">
        <f>IFERROR(__xludf.DUMMYFUNCTION("""COMPUTED_VALUE"""),80.0)</f>
        <v>80</v>
      </c>
      <c r="U668" s="2">
        <f>IFERROR(__xludf.DUMMYFUNCTION("""COMPUTED_VALUE"""),80.0)</f>
        <v>80</v>
      </c>
      <c r="V668" s="1" t="str">
        <f>IFERROR(__xludf.DUMMYFUNCTION("""COMPUTED_VALUE"""),"Jan Domingo")</f>
        <v>Jan Domingo</v>
      </c>
      <c r="W668" s="1" t="str">
        <f>IFERROR(__xludf.DUMMYFUNCTION("""COMPUTED_VALUE"""),"Print Design Support")</f>
        <v>Print Design Support</v>
      </c>
    </row>
    <row r="669">
      <c r="O669" s="1" t="str">
        <f>IFERROR(__xludf.DUMMYFUNCTION("""COMPUTED_VALUE"""),"2025 Aug")</f>
        <v>2025 Aug</v>
      </c>
      <c r="P669" s="1" t="str">
        <f>IFERROR(__xludf.DUMMYFUNCTION("""COMPUTED_VALUE"""),"#N/A")</f>
        <v>#N/A</v>
      </c>
      <c r="Q669" s="1" t="str">
        <f>IFERROR(__xludf.DUMMYFUNCTION("""COMPUTED_VALUE"""),"gia@canva.com")</f>
        <v>gia@canva.com</v>
      </c>
      <c r="R669" s="1" t="str">
        <f>IFERROR(__xludf.DUMMYFUNCTION("""COMPUTED_VALUE"""),"Gia Obispo")</f>
        <v>Gia Obispo</v>
      </c>
      <c r="S669" s="1">
        <f>IFERROR(__xludf.DUMMYFUNCTION("""COMPUTED_VALUE"""),33.4)</f>
        <v>33.4</v>
      </c>
      <c r="T669" s="1">
        <f>IFERROR(__xludf.DUMMYFUNCTION("""COMPUTED_VALUE"""),73.25)</f>
        <v>73.25</v>
      </c>
      <c r="U669" s="2">
        <f>IFERROR(__xludf.DUMMYFUNCTION("""COMPUTED_VALUE"""),106.65)</f>
        <v>106.65</v>
      </c>
      <c r="V669" s="1" t="str">
        <f>IFERROR(__xludf.DUMMYFUNCTION("""COMPUTED_VALUE"""),"#N/A")</f>
        <v>#N/A</v>
      </c>
      <c r="W669" s="1" t="str">
        <f>IFERROR(__xludf.DUMMYFUNCTION("""COMPUTED_VALUE"""),"Advanced Product Support")</f>
        <v>Advanced Product Support</v>
      </c>
    </row>
    <row r="670">
      <c r="O670" s="1" t="str">
        <f>IFERROR(__xludf.DUMMYFUNCTION("""COMPUTED_VALUE"""),"2025 Aug")</f>
        <v>2025 Aug</v>
      </c>
      <c r="P670" s="1" t="str">
        <f>IFERROR(__xludf.DUMMYFUNCTION("""COMPUTED_VALUE"""),"Core Product Support")</f>
        <v>Core Product Support</v>
      </c>
      <c r="Q670" s="1" t="str">
        <f>IFERROR(__xludf.DUMMYFUNCTION("""COMPUTED_VALUE"""),"gieslnts@canva.com")</f>
        <v>gieslnts@canva.com</v>
      </c>
      <c r="R670" s="1" t="str">
        <f>IFERROR(__xludf.DUMMYFUNCTION("""COMPUTED_VALUE"""),"Gieann Salantes")</f>
        <v>Gieann Salantes</v>
      </c>
      <c r="S670" s="1">
        <f>IFERROR(__xludf.DUMMYFUNCTION("""COMPUTED_VALUE"""),1.5)</f>
        <v>1.5</v>
      </c>
      <c r="T670" s="1">
        <f>IFERROR(__xludf.DUMMYFUNCTION("""COMPUTED_VALUE"""),10.75)</f>
        <v>10.75</v>
      </c>
      <c r="U670" s="2">
        <f>IFERROR(__xludf.DUMMYFUNCTION("""COMPUTED_VALUE"""),12.25)</f>
        <v>12.25</v>
      </c>
      <c r="V670" s="1" t="str">
        <f>IFERROR(__xludf.DUMMYFUNCTION("""COMPUTED_VALUE"""),"Sieg Ballelos")</f>
        <v>Sieg Ballelos</v>
      </c>
      <c r="W670" s="1" t="str">
        <f>IFERROR(__xludf.DUMMYFUNCTION("""COMPUTED_VALUE"""),"Core Product Support Escalation Team")</f>
        <v>Core Product Support Escalation Team</v>
      </c>
    </row>
    <row r="671">
      <c r="O671" s="1" t="str">
        <f>IFERROR(__xludf.DUMMYFUNCTION("""COMPUTED_VALUE"""),"2025 Aug")</f>
        <v>2025 Aug</v>
      </c>
      <c r="P671" s="1" t="str">
        <f>IFERROR(__xludf.DUMMYFUNCTION("""COMPUTED_VALUE"""),"Admin Support")</f>
        <v>Admin Support</v>
      </c>
      <c r="Q671" s="1" t="str">
        <f>IFERROR(__xludf.DUMMYFUNCTION("""COMPUTED_VALUE"""),"glennford@canva.com")</f>
        <v>glennford@canva.com</v>
      </c>
      <c r="R671" s="1" t="str">
        <f>IFERROR(__xludf.DUMMYFUNCTION("""COMPUTED_VALUE"""),"Glenn Gutierrez")</f>
        <v>Glenn Gutierrez</v>
      </c>
      <c r="S671" s="1">
        <f>IFERROR(__xludf.DUMMYFUNCTION("""COMPUTED_VALUE"""),2.0)</f>
        <v>2</v>
      </c>
      <c r="T671" s="1">
        <f>IFERROR(__xludf.DUMMYFUNCTION("""COMPUTED_VALUE"""),13.5)</f>
        <v>13.5</v>
      </c>
      <c r="U671" s="2">
        <f>IFERROR(__xludf.DUMMYFUNCTION("""COMPUTED_VALUE"""),15.5)</f>
        <v>15.5</v>
      </c>
      <c r="V671" s="1" t="str">
        <f>IFERROR(__xludf.DUMMYFUNCTION("""COMPUTED_VALUE"""),"Karla Mananghaya")</f>
        <v>Karla Mananghaya</v>
      </c>
      <c r="W671" s="1" t="str">
        <f>IFERROR(__xludf.DUMMYFUNCTION("""COMPUTED_VALUE"""),"Admin Support Service Escalation Team")</f>
        <v>Admin Support Service Escalation Team</v>
      </c>
    </row>
    <row r="672">
      <c r="O672" s="1" t="str">
        <f>IFERROR(__xludf.DUMMYFUNCTION("""COMPUTED_VALUE"""),"2025 Aug")</f>
        <v>2025 Aug</v>
      </c>
      <c r="P672" s="1" t="str">
        <f>IFERROR(__xludf.DUMMYFUNCTION("""COMPUTED_VALUE"""),"Core Product Support")</f>
        <v>Core Product Support</v>
      </c>
      <c r="Q672" s="1" t="str">
        <f>IFERROR(__xludf.DUMMYFUNCTION("""COMPUTED_VALUE"""),"gracegarcia@canva.com")</f>
        <v>gracegarcia@canva.com</v>
      </c>
      <c r="R672" s="1" t="str">
        <f>IFERROR(__xludf.DUMMYFUNCTION("""COMPUTED_VALUE"""),"Grace Garcia")</f>
        <v>Grace Garcia</v>
      </c>
      <c r="S672" s="1">
        <f>IFERROR(__xludf.DUMMYFUNCTION("""COMPUTED_VALUE"""),28.0)</f>
        <v>28</v>
      </c>
      <c r="T672" s="1">
        <f>IFERROR(__xludf.DUMMYFUNCTION("""COMPUTED_VALUE"""),31.5)</f>
        <v>31.5</v>
      </c>
      <c r="U672" s="2">
        <f>IFERROR(__xludf.DUMMYFUNCTION("""COMPUTED_VALUE"""),59.5)</f>
        <v>59.5</v>
      </c>
      <c r="V672" s="1" t="str">
        <f>IFERROR(__xludf.DUMMYFUNCTION("""COMPUTED_VALUE"""),"Marie Mordeno")</f>
        <v>Marie Mordeno</v>
      </c>
      <c r="W672" s="1" t="str">
        <f>IFERROR(__xludf.DUMMYFUNCTION("""COMPUTED_VALUE"""),"Advanced Billing &amp; Subscriptions")</f>
        <v>Advanced Billing &amp; Subscriptions</v>
      </c>
    </row>
    <row r="673">
      <c r="O673" s="1" t="str">
        <f>IFERROR(__xludf.DUMMYFUNCTION("""COMPUTED_VALUE"""),"2025 Aug")</f>
        <v>2025 Aug</v>
      </c>
      <c r="P673" s="1" t="str">
        <f>IFERROR(__xludf.DUMMYFUNCTION("""COMPUTED_VALUE"""),"Core Product Support")</f>
        <v>Core Product Support</v>
      </c>
      <c r="Q673" s="1" t="str">
        <f>IFERROR(__xludf.DUMMYFUNCTION("""COMPUTED_VALUE"""),"hanni@canva.com")</f>
        <v>hanni@canva.com</v>
      </c>
      <c r="R673" s="1" t="str">
        <f>IFERROR(__xludf.DUMMYFUNCTION("""COMPUTED_VALUE"""),"Hannah Bejo")</f>
        <v>Hannah Bejo</v>
      </c>
      <c r="S673" s="1">
        <f>IFERROR(__xludf.DUMMYFUNCTION("""COMPUTED_VALUE"""),29.75)</f>
        <v>29.75</v>
      </c>
      <c r="T673" s="1">
        <f>IFERROR(__xludf.DUMMYFUNCTION("""COMPUTED_VALUE"""),34.67)</f>
        <v>34.67</v>
      </c>
      <c r="U673" s="2">
        <f>IFERROR(__xludf.DUMMYFUNCTION("""COMPUTED_VALUE"""),64.42)</f>
        <v>64.42</v>
      </c>
      <c r="V673" s="1" t="str">
        <f>IFERROR(__xludf.DUMMYFUNCTION("""COMPUTED_VALUE"""),"Ayza Marie Pascual")</f>
        <v>Ayza Marie Pascual</v>
      </c>
      <c r="W673" s="1" t="str">
        <f>IFERROR(__xludf.DUMMYFUNCTION("""COMPUTED_VALUE"""),"Advanced Billing &amp; Subscriptions")</f>
        <v>Advanced Billing &amp; Subscriptions</v>
      </c>
    </row>
    <row r="674">
      <c r="O674" s="1" t="str">
        <f>IFERROR(__xludf.DUMMYFUNCTION("""COMPUTED_VALUE"""),"2025 Aug")</f>
        <v>2025 Aug</v>
      </c>
      <c r="P674" s="1" t="str">
        <f>IFERROR(__xludf.DUMMYFUNCTION("""COMPUTED_VALUE"""),"Core Product Support")</f>
        <v>Core Product Support</v>
      </c>
      <c r="Q674" s="1" t="str">
        <f>IFERROR(__xludf.DUMMYFUNCTION("""COMPUTED_VALUE"""),"hdecena@canva.com")</f>
        <v>hdecena@canva.com</v>
      </c>
      <c r="R674" s="1" t="str">
        <f>IFERROR(__xludf.DUMMYFUNCTION("""COMPUTED_VALUE"""),"Hannah Decena")</f>
        <v>Hannah Decena</v>
      </c>
      <c r="S674" s="1">
        <f>IFERROR(__xludf.DUMMYFUNCTION("""COMPUTED_VALUE"""),23.32)</f>
        <v>23.32</v>
      </c>
      <c r="T674" s="1">
        <f>IFERROR(__xludf.DUMMYFUNCTION("""COMPUTED_VALUE"""),27.65)</f>
        <v>27.65</v>
      </c>
      <c r="U674" s="2">
        <f>IFERROR(__xludf.DUMMYFUNCTION("""COMPUTED_VALUE"""),50.97)</f>
        <v>50.97</v>
      </c>
      <c r="V674" s="1" t="str">
        <f>IFERROR(__xludf.DUMMYFUNCTION("""COMPUTED_VALUE"""),"Ana Lazaro")</f>
        <v>Ana Lazaro</v>
      </c>
      <c r="W674" s="1" t="str">
        <f>IFERROR(__xludf.DUMMYFUNCTION("""COMPUTED_VALUE"""),"Advanced Billing &amp; Subscriptions")</f>
        <v>Advanced Billing &amp; Subscriptions</v>
      </c>
    </row>
    <row r="675">
      <c r="O675" s="1" t="str">
        <f>IFERROR(__xludf.DUMMYFUNCTION("""COMPUTED_VALUE"""),"2025 Aug")</f>
        <v>2025 Aug</v>
      </c>
      <c r="P675" s="1" t="str">
        <f>IFERROR(__xludf.DUMMYFUNCTION("""COMPUTED_VALUE"""),"High Sensitivity Support")</f>
        <v>High Sensitivity Support</v>
      </c>
      <c r="Q675" s="1" t="str">
        <f>IFERROR(__xludf.DUMMYFUNCTION("""COMPUTED_VALUE"""),"hannahd@canva.com")</f>
        <v>hannahd@canva.com</v>
      </c>
      <c r="R675" s="1" t="str">
        <f>IFERROR(__xludf.DUMMYFUNCTION("""COMPUTED_VALUE"""),"Hannah Dimayuga")</f>
        <v>Hannah Dimayuga</v>
      </c>
      <c r="S675" s="1">
        <f>IFERROR(__xludf.DUMMYFUNCTION("""COMPUTED_VALUE"""),9.0)</f>
        <v>9</v>
      </c>
      <c r="T675" s="1">
        <f>IFERROR(__xludf.DUMMYFUNCTION("""COMPUTED_VALUE"""),14.62)</f>
        <v>14.62</v>
      </c>
      <c r="U675" s="2">
        <f>IFERROR(__xludf.DUMMYFUNCTION("""COMPUTED_VALUE"""),23.619999999999997)</f>
        <v>23.62</v>
      </c>
      <c r="V675" s="1" t="str">
        <f>IFERROR(__xludf.DUMMYFUNCTION("""COMPUTED_VALUE"""),"Rex Villamor")</f>
        <v>Rex Villamor</v>
      </c>
      <c r="W675" s="1" t="str">
        <f>IFERROR(__xludf.DUMMYFUNCTION("""COMPUTED_VALUE"""),"High Sensitivity Support PH")</f>
        <v>High Sensitivity Support PH</v>
      </c>
    </row>
    <row r="676">
      <c r="O676" s="1" t="str">
        <f>IFERROR(__xludf.DUMMYFUNCTION("""COMPUTED_VALUE"""),"2025 Aug")</f>
        <v>2025 Aug</v>
      </c>
      <c r="P676" s="1" t="str">
        <f>IFERROR(__xludf.DUMMYFUNCTION("""COMPUTED_VALUE"""),"Core Product Support")</f>
        <v>Core Product Support</v>
      </c>
      <c r="Q676" s="1" t="str">
        <f>IFERROR(__xludf.DUMMYFUNCTION("""COMPUTED_VALUE"""),"hazzel@canva.com")</f>
        <v>hazzel@canva.com</v>
      </c>
      <c r="R676" s="1" t="str">
        <f>IFERROR(__xludf.DUMMYFUNCTION("""COMPUTED_VALUE"""),"Haze Rafon")</f>
        <v>Haze Rafon</v>
      </c>
      <c r="S676" s="1">
        <f>IFERROR(__xludf.DUMMYFUNCTION("""COMPUTED_VALUE"""),20.25)</f>
        <v>20.25</v>
      </c>
      <c r="T676" s="1">
        <f>IFERROR(__xludf.DUMMYFUNCTION("""COMPUTED_VALUE"""),26.25)</f>
        <v>26.25</v>
      </c>
      <c r="U676" s="2">
        <f>IFERROR(__xludf.DUMMYFUNCTION("""COMPUTED_VALUE"""),46.5)</f>
        <v>46.5</v>
      </c>
      <c r="V676" s="1" t="str">
        <f>IFERROR(__xludf.DUMMYFUNCTION("""COMPUTED_VALUE"""),"Sieg Ballelos")</f>
        <v>Sieg Ballelos</v>
      </c>
      <c r="W676" s="1" t="str">
        <f>IFERROR(__xludf.DUMMYFUNCTION("""COMPUTED_VALUE"""),"Core Product Support Escalation Team")</f>
        <v>Core Product Support Escalation Team</v>
      </c>
    </row>
    <row r="677">
      <c r="O677" s="1" t="str">
        <f>IFERROR(__xludf.DUMMYFUNCTION("""COMPUTED_VALUE"""),"2025 Aug")</f>
        <v>2025 Aug</v>
      </c>
      <c r="P677" s="1" t="str">
        <f>IFERROR(__xludf.DUMMYFUNCTION("""COMPUTED_VALUE"""),"Segment-specific Support")</f>
        <v>Segment-specific Support</v>
      </c>
      <c r="Q677" s="1" t="str">
        <f>IFERROR(__xludf.DUMMYFUNCTION("""COMPUTED_VALUE"""),"icetamayo@canva.com")</f>
        <v>icetamayo@canva.com</v>
      </c>
      <c r="R677" s="1" t="str">
        <f>IFERROR(__xludf.DUMMYFUNCTION("""COMPUTED_VALUE"""),"Ice Montecillo-Tamayo")</f>
        <v>Ice Montecillo-Tamayo</v>
      </c>
      <c r="S677" s="1">
        <f>IFERROR(__xludf.DUMMYFUNCTION("""COMPUTED_VALUE"""),2.25)</f>
        <v>2.25</v>
      </c>
      <c r="T677" s="1">
        <f>IFERROR(__xludf.DUMMYFUNCTION("""COMPUTED_VALUE"""),5.25)</f>
        <v>5.25</v>
      </c>
      <c r="U677" s="2">
        <f>IFERROR(__xludf.DUMMYFUNCTION("""COMPUTED_VALUE"""),7.5)</f>
        <v>7.5</v>
      </c>
      <c r="V677" s="1" t="str">
        <f>IFERROR(__xludf.DUMMYFUNCTION("""COMPUTED_VALUE"""),"Rose Gabilan")</f>
        <v>Rose Gabilan</v>
      </c>
      <c r="W677" s="1" t="str">
        <f>IFERROR(__xludf.DUMMYFUNCTION("""COMPUTED_VALUE"""),"Affinity Support")</f>
        <v>Affinity Support</v>
      </c>
    </row>
    <row r="678">
      <c r="O678" s="1" t="str">
        <f>IFERROR(__xludf.DUMMYFUNCTION("""COMPUTED_VALUE"""),"2025 Aug")</f>
        <v>2025 Aug</v>
      </c>
      <c r="P678" s="1" t="str">
        <f>IFERROR(__xludf.DUMMYFUNCTION("""COMPUTED_VALUE"""),"Core Product Support")</f>
        <v>Core Product Support</v>
      </c>
      <c r="Q678" s="1" t="str">
        <f>IFERROR(__xludf.DUMMYFUNCTION("""COMPUTED_VALUE"""),"mrwong@canva.com")</f>
        <v>mrwong@canva.com</v>
      </c>
      <c r="R678" s="1" t="str">
        <f>IFERROR(__xludf.DUMMYFUNCTION("""COMPUTED_VALUE"""),"Ino Wong")</f>
        <v>Ino Wong</v>
      </c>
      <c r="S678" s="1">
        <f>IFERROR(__xludf.DUMMYFUNCTION("""COMPUTED_VALUE"""),2.0)</f>
        <v>2</v>
      </c>
      <c r="T678" s="1">
        <f>IFERROR(__xludf.DUMMYFUNCTION("""COMPUTED_VALUE"""),8.5)</f>
        <v>8.5</v>
      </c>
      <c r="U678" s="2">
        <f>IFERROR(__xludf.DUMMYFUNCTION("""COMPUTED_VALUE"""),10.5)</f>
        <v>10.5</v>
      </c>
      <c r="V678" s="1" t="str">
        <f>IFERROR(__xludf.DUMMYFUNCTION("""COMPUTED_VALUE"""),"Jem Mondoñedo")</f>
        <v>Jem Mondoñedo</v>
      </c>
      <c r="W678" s="1" t="str">
        <f>IFERROR(__xludf.DUMMYFUNCTION("""COMPUTED_VALUE"""),"Advanced Billing &amp; Subscriptions")</f>
        <v>Advanced Billing &amp; Subscriptions</v>
      </c>
    </row>
    <row r="679">
      <c r="O679" s="1" t="str">
        <f>IFERROR(__xludf.DUMMYFUNCTION("""COMPUTED_VALUE"""),"2025 Aug")</f>
        <v>2025 Aug</v>
      </c>
      <c r="P679" s="1" t="str">
        <f>IFERROR(__xludf.DUMMYFUNCTION("""COMPUTED_VALUE"""),"Segment-specific Support")</f>
        <v>Segment-specific Support</v>
      </c>
      <c r="Q679" s="1" t="str">
        <f>IFERROR(__xludf.DUMMYFUNCTION("""COMPUTED_VALUE"""),"ivy@canva.com")</f>
        <v>ivy@canva.com</v>
      </c>
      <c r="R679" s="1" t="str">
        <f>IFERROR(__xludf.DUMMYFUNCTION("""COMPUTED_VALUE"""),"Ivy Sabado")</f>
        <v>Ivy Sabado</v>
      </c>
      <c r="S679" s="1">
        <f>IFERROR(__xludf.DUMMYFUNCTION("""COMPUTED_VALUE"""),4.0)</f>
        <v>4</v>
      </c>
      <c r="T679" s="1">
        <f>IFERROR(__xludf.DUMMYFUNCTION("""COMPUTED_VALUE"""),6.0)</f>
        <v>6</v>
      </c>
      <c r="U679" s="2">
        <f>IFERROR(__xludf.DUMMYFUNCTION("""COMPUTED_VALUE"""),10.0)</f>
        <v>10</v>
      </c>
      <c r="V679" s="1" t="str">
        <f>IFERROR(__xludf.DUMMYFUNCTION("""COMPUTED_VALUE"""),"Aileen Dayanghirang")</f>
        <v>Aileen Dayanghirang</v>
      </c>
      <c r="W679" s="1" t="str">
        <f>IFERROR(__xludf.DUMMYFUNCTION("""COMPUTED_VALUE"""),"Creators Support")</f>
        <v>Creators Support</v>
      </c>
    </row>
    <row r="680">
      <c r="O680" s="1" t="str">
        <f>IFERROR(__xludf.DUMMYFUNCTION("""COMPUTED_VALUE"""),"2025 Aug")</f>
        <v>2025 Aug</v>
      </c>
      <c r="P680" s="1" t="str">
        <f>IFERROR(__xludf.DUMMYFUNCTION("""COMPUTED_VALUE"""),"Core Product Support")</f>
        <v>Core Product Support</v>
      </c>
      <c r="Q680" s="1" t="str">
        <f>IFERROR(__xludf.DUMMYFUNCTION("""COMPUTED_VALUE"""),"iyaacuyong@canva.com")</f>
        <v>iyaacuyong@canva.com</v>
      </c>
      <c r="R680" s="1" t="str">
        <f>IFERROR(__xludf.DUMMYFUNCTION("""COMPUTED_VALUE"""),"Iya Acuyong")</f>
        <v>Iya Acuyong</v>
      </c>
      <c r="S680" s="1">
        <f>IFERROR(__xludf.DUMMYFUNCTION("""COMPUTED_VALUE"""),25.42)</f>
        <v>25.42</v>
      </c>
      <c r="T680" s="1">
        <f>IFERROR(__xludf.DUMMYFUNCTION("""COMPUTED_VALUE"""),37.67)</f>
        <v>37.67</v>
      </c>
      <c r="U680" s="2">
        <f>IFERROR(__xludf.DUMMYFUNCTION("""COMPUTED_VALUE"""),63.09)</f>
        <v>63.09</v>
      </c>
      <c r="V680" s="1" t="str">
        <f>IFERROR(__xludf.DUMMYFUNCTION("""COMPUTED_VALUE"""),"Mikhaela Decangchon")</f>
        <v>Mikhaela Decangchon</v>
      </c>
      <c r="W680" s="1" t="str">
        <f>IFERROR(__xludf.DUMMYFUNCTION("""COMPUTED_VALUE"""),"Advanced Product Support")</f>
        <v>Advanced Product Support</v>
      </c>
    </row>
    <row r="681">
      <c r="O681" s="1" t="str">
        <f>IFERROR(__xludf.DUMMYFUNCTION("""COMPUTED_VALUE"""),"2025 Aug")</f>
        <v>2025 Aug</v>
      </c>
      <c r="P681" s="1" t="str">
        <f>IFERROR(__xludf.DUMMYFUNCTION("""COMPUTED_VALUE"""),"Print Support")</f>
        <v>Print Support</v>
      </c>
      <c r="Q681" s="1" t="str">
        <f>IFERROR(__xludf.DUMMYFUNCTION("""COMPUTED_VALUE"""),"jagumasing@canva.com")</f>
        <v>jagumasing@canva.com</v>
      </c>
      <c r="R681" s="1" t="str">
        <f>IFERROR(__xludf.DUMMYFUNCTION("""COMPUTED_VALUE"""),"Ja Gumasing")</f>
        <v>Ja Gumasing</v>
      </c>
      <c r="S681" s="1">
        <f>IFERROR(__xludf.DUMMYFUNCTION("""COMPUTED_VALUE"""),1.0)</f>
        <v>1</v>
      </c>
      <c r="T681" s="1">
        <f>IFERROR(__xludf.DUMMYFUNCTION("""COMPUTED_VALUE"""),47.25)</f>
        <v>47.25</v>
      </c>
      <c r="U681" s="2">
        <f>IFERROR(__xludf.DUMMYFUNCTION("""COMPUTED_VALUE"""),48.25)</f>
        <v>48.25</v>
      </c>
      <c r="V681" s="1" t="str">
        <f>IFERROR(__xludf.DUMMYFUNCTION("""COMPUTED_VALUE"""),"Althea Mercado")</f>
        <v>Althea Mercado</v>
      </c>
      <c r="W681" s="1" t="str">
        <f>IFERROR(__xludf.DUMMYFUNCTION("""COMPUTED_VALUE"""),"Print Support PH")</f>
        <v>Print Support PH</v>
      </c>
    </row>
    <row r="682">
      <c r="O682" s="1" t="str">
        <f>IFERROR(__xludf.DUMMYFUNCTION("""COMPUTED_VALUE"""),"2025 Aug")</f>
        <v>2025 Aug</v>
      </c>
      <c r="P682" s="1" t="str">
        <f>IFERROR(__xludf.DUMMYFUNCTION("""COMPUTED_VALUE"""),"Admin Support")</f>
        <v>Admin Support</v>
      </c>
      <c r="Q682" s="1" t="str">
        <f>IFERROR(__xludf.DUMMYFUNCTION("""COMPUTED_VALUE"""),"jacobgarza@canva.com")</f>
        <v>jacobgarza@canva.com</v>
      </c>
      <c r="R682" s="1" t="str">
        <f>IFERROR(__xludf.DUMMYFUNCTION("""COMPUTED_VALUE"""),"Jacob Garza")</f>
        <v>Jacob Garza</v>
      </c>
      <c r="S682" s="1"/>
      <c r="T682" s="1">
        <f>IFERROR(__xludf.DUMMYFUNCTION("""COMPUTED_VALUE"""),80.0)</f>
        <v>80</v>
      </c>
      <c r="U682" s="2">
        <f>IFERROR(__xludf.DUMMYFUNCTION("""COMPUTED_VALUE"""),80.0)</f>
        <v>80</v>
      </c>
      <c r="V682" s="1" t="str">
        <f>IFERROR(__xludf.DUMMYFUNCTION("""COMPUTED_VALUE"""),"Nate Vela")</f>
        <v>Nate Vela</v>
      </c>
      <c r="W682" s="1" t="str">
        <f>IFERROR(__xludf.DUMMYFUNCTION("""COMPUTED_VALUE"""),"Admin Support NA")</f>
        <v>Admin Support NA</v>
      </c>
    </row>
    <row r="683">
      <c r="O683" s="1" t="str">
        <f>IFERROR(__xludf.DUMMYFUNCTION("""COMPUTED_VALUE"""),"2025 Aug")</f>
        <v>2025 Aug</v>
      </c>
      <c r="P683" s="1" t="str">
        <f>IFERROR(__xludf.DUMMYFUNCTION("""COMPUTED_VALUE"""),"Core Product Support")</f>
        <v>Core Product Support</v>
      </c>
      <c r="Q683" s="1" t="str">
        <f>IFERROR(__xludf.DUMMYFUNCTION("""COMPUTED_VALUE"""),"jacque@canva.com")</f>
        <v>jacque@canva.com</v>
      </c>
      <c r="R683" s="1" t="str">
        <f>IFERROR(__xludf.DUMMYFUNCTION("""COMPUTED_VALUE"""),"Jacqueline Gay")</f>
        <v>Jacqueline Gay</v>
      </c>
      <c r="S683" s="1"/>
      <c r="T683" s="1">
        <f>IFERROR(__xludf.DUMMYFUNCTION("""COMPUTED_VALUE"""),6.0)</f>
        <v>6</v>
      </c>
      <c r="U683" s="2">
        <f>IFERROR(__xludf.DUMMYFUNCTION("""COMPUTED_VALUE"""),6.0)</f>
        <v>6</v>
      </c>
      <c r="V683" s="1" t="str">
        <f>IFERROR(__xludf.DUMMYFUNCTION("""COMPUTED_VALUE"""),"Jem Mondoñedo")</f>
        <v>Jem Mondoñedo</v>
      </c>
      <c r="W683" s="1" t="str">
        <f>IFERROR(__xludf.DUMMYFUNCTION("""COMPUTED_VALUE"""),"Advanced Billing &amp; Subscriptions")</f>
        <v>Advanced Billing &amp; Subscriptions</v>
      </c>
    </row>
    <row r="684">
      <c r="O684" s="1" t="str">
        <f>IFERROR(__xludf.DUMMYFUNCTION("""COMPUTED_VALUE"""),"2025 Aug")</f>
        <v>2025 Aug</v>
      </c>
      <c r="P684" s="1" t="str">
        <f>IFERROR(__xludf.DUMMYFUNCTION("""COMPUTED_VALUE"""),"Print Support")</f>
        <v>Print Support</v>
      </c>
      <c r="Q684" s="1" t="str">
        <f>IFERROR(__xludf.DUMMYFUNCTION("""COMPUTED_VALUE"""),"jadec@canva.com")</f>
        <v>jadec@canva.com</v>
      </c>
      <c r="R684" s="1" t="str">
        <f>IFERROR(__xludf.DUMMYFUNCTION("""COMPUTED_VALUE"""),"Jade Curitana")</f>
        <v>Jade Curitana</v>
      </c>
      <c r="S684" s="1">
        <f>IFERROR(__xludf.DUMMYFUNCTION("""COMPUTED_VALUE"""),0.5)</f>
        <v>0.5</v>
      </c>
      <c r="T684" s="1">
        <f>IFERROR(__xludf.DUMMYFUNCTION("""COMPUTED_VALUE"""),4.75)</f>
        <v>4.75</v>
      </c>
      <c r="U684" s="2">
        <f>IFERROR(__xludf.DUMMYFUNCTION("""COMPUTED_VALUE"""),5.25)</f>
        <v>5.25</v>
      </c>
      <c r="V684" s="1" t="str">
        <f>IFERROR(__xludf.DUMMYFUNCTION("""COMPUTED_VALUE"""),"Louise Dianne Estrella")</f>
        <v>Louise Dianne Estrella</v>
      </c>
      <c r="W684" s="1" t="str">
        <f>IFERROR(__xludf.DUMMYFUNCTION("""COMPUTED_VALUE"""),"Print Support PH")</f>
        <v>Print Support PH</v>
      </c>
    </row>
    <row r="685">
      <c r="O685" s="1" t="str">
        <f>IFERROR(__xludf.DUMMYFUNCTION("""COMPUTED_VALUE"""),"2025 Aug")</f>
        <v>2025 Aug</v>
      </c>
      <c r="P685" s="1" t="str">
        <f>IFERROR(__xludf.DUMMYFUNCTION("""COMPUTED_VALUE"""),"High Sensitivity Support")</f>
        <v>High Sensitivity Support</v>
      </c>
      <c r="Q685" s="1" t="str">
        <f>IFERROR(__xludf.DUMMYFUNCTION("""COMPUTED_VALUE"""),"jammyb@canva.com")</f>
        <v>jammyb@canva.com</v>
      </c>
      <c r="R685" s="1" t="str">
        <f>IFERROR(__xludf.DUMMYFUNCTION("""COMPUTED_VALUE"""),"Jam Bacani")</f>
        <v>Jam Bacani</v>
      </c>
      <c r="S685" s="1">
        <f>IFERROR(__xludf.DUMMYFUNCTION("""COMPUTED_VALUE"""),13.0)</f>
        <v>13</v>
      </c>
      <c r="T685" s="1">
        <f>IFERROR(__xludf.DUMMYFUNCTION("""COMPUTED_VALUE"""),16.67)</f>
        <v>16.67</v>
      </c>
      <c r="U685" s="2">
        <f>IFERROR(__xludf.DUMMYFUNCTION("""COMPUTED_VALUE"""),29.67)</f>
        <v>29.67</v>
      </c>
      <c r="V685" s="1" t="str">
        <f>IFERROR(__xludf.DUMMYFUNCTION("""COMPUTED_VALUE"""),"Rossheen Pura")</f>
        <v>Rossheen Pura</v>
      </c>
      <c r="W685" s="1" t="str">
        <f>IFERROR(__xludf.DUMMYFUNCTION("""COMPUTED_VALUE"""),"High Sensitivity Support PH")</f>
        <v>High Sensitivity Support PH</v>
      </c>
    </row>
    <row r="686">
      <c r="O686" s="1" t="str">
        <f>IFERROR(__xludf.DUMMYFUNCTION("""COMPUTED_VALUE"""),"2025 Aug")</f>
        <v>2025 Aug</v>
      </c>
      <c r="P686" s="1" t="str">
        <f>IFERROR(__xludf.DUMMYFUNCTION("""COMPUTED_VALUE"""),"Segment-specific Support")</f>
        <v>Segment-specific Support</v>
      </c>
      <c r="Q686" s="1" t="str">
        <f>IFERROR(__xludf.DUMMYFUNCTION("""COMPUTED_VALUE"""),"jgamboa@canva.com")</f>
        <v>jgamboa@canva.com</v>
      </c>
      <c r="R686" s="1" t="str">
        <f>IFERROR(__xludf.DUMMYFUNCTION("""COMPUTED_VALUE"""),"James Marrion Gamboa")</f>
        <v>James Marrion Gamboa</v>
      </c>
      <c r="S686" s="1">
        <f>IFERROR(__xludf.DUMMYFUNCTION("""COMPUTED_VALUE"""),1.25)</f>
        <v>1.25</v>
      </c>
      <c r="T686" s="1">
        <f>IFERROR(__xludf.DUMMYFUNCTION("""COMPUTED_VALUE"""),5.25)</f>
        <v>5.25</v>
      </c>
      <c r="U686" s="2">
        <f>IFERROR(__xludf.DUMMYFUNCTION("""COMPUTED_VALUE"""),6.5)</f>
        <v>6.5</v>
      </c>
      <c r="V686" s="1" t="str">
        <f>IFERROR(__xludf.DUMMYFUNCTION("""COMPUTED_VALUE"""),"Rose Gabilan")</f>
        <v>Rose Gabilan</v>
      </c>
      <c r="W686" s="1" t="str">
        <f>IFERROR(__xludf.DUMMYFUNCTION("""COMPUTED_VALUE"""),"Affinity Support")</f>
        <v>Affinity Support</v>
      </c>
    </row>
    <row r="687">
      <c r="O687" s="1" t="str">
        <f>IFERROR(__xludf.DUMMYFUNCTION("""COMPUTED_VALUE"""),"2025 Aug")</f>
        <v>2025 Aug</v>
      </c>
      <c r="P687" s="1" t="str">
        <f>IFERROR(__xludf.DUMMYFUNCTION("""COMPUTED_VALUE"""),"Print Support")</f>
        <v>Print Support</v>
      </c>
      <c r="Q687" s="1" t="str">
        <f>IFERROR(__xludf.DUMMYFUNCTION("""COMPUTED_VALUE"""),"janpaolopena@canva.com")</f>
        <v>janpaolopena@canva.com</v>
      </c>
      <c r="R687" s="1" t="str">
        <f>IFERROR(__xludf.DUMMYFUNCTION("""COMPUTED_VALUE"""),"Jan Peña")</f>
        <v>Jan Peña</v>
      </c>
      <c r="S687" s="1">
        <f>IFERROR(__xludf.DUMMYFUNCTION("""COMPUTED_VALUE"""),4.5)</f>
        <v>4.5</v>
      </c>
      <c r="T687" s="1">
        <f>IFERROR(__xludf.DUMMYFUNCTION("""COMPUTED_VALUE"""),11.75)</f>
        <v>11.75</v>
      </c>
      <c r="U687" s="2">
        <f>IFERROR(__xludf.DUMMYFUNCTION("""COMPUTED_VALUE"""),16.25)</f>
        <v>16.25</v>
      </c>
      <c r="V687" s="1" t="str">
        <f>IFERROR(__xludf.DUMMYFUNCTION("""COMPUTED_VALUE"""),"Louise Dianne Estrella")</f>
        <v>Louise Dianne Estrella</v>
      </c>
      <c r="W687" s="1" t="str">
        <f>IFERROR(__xludf.DUMMYFUNCTION("""COMPUTED_VALUE"""),"Print Support PH")</f>
        <v>Print Support PH</v>
      </c>
    </row>
    <row r="688">
      <c r="O688" s="1" t="str">
        <f>IFERROR(__xludf.DUMMYFUNCTION("""COMPUTED_VALUE"""),"2025 Aug")</f>
        <v>2025 Aug</v>
      </c>
      <c r="P688" s="1" t="str">
        <f>IFERROR(__xludf.DUMMYFUNCTION("""COMPUTED_VALUE"""),"Admin Support")</f>
        <v>Admin Support</v>
      </c>
      <c r="Q688" s="1" t="str">
        <f>IFERROR(__xludf.DUMMYFUNCTION("""COMPUTED_VALUE"""),"janis@canva.com")</f>
        <v>janis@canva.com</v>
      </c>
      <c r="R688" s="1" t="str">
        <f>IFERROR(__xludf.DUMMYFUNCTION("""COMPUTED_VALUE"""),"Janis Esmas")</f>
        <v>Janis Esmas</v>
      </c>
      <c r="S688" s="1">
        <f>IFERROR(__xludf.DUMMYFUNCTION("""COMPUTED_VALUE"""),3.25)</f>
        <v>3.25</v>
      </c>
      <c r="T688" s="1">
        <f>IFERROR(__xludf.DUMMYFUNCTION("""COMPUTED_VALUE"""),9.0)</f>
        <v>9</v>
      </c>
      <c r="U688" s="2">
        <f>IFERROR(__xludf.DUMMYFUNCTION("""COMPUTED_VALUE"""),12.25)</f>
        <v>12.25</v>
      </c>
      <c r="V688" s="1" t="str">
        <f>IFERROR(__xludf.DUMMYFUNCTION("""COMPUTED_VALUE"""),"Karla Mananghaya")</f>
        <v>Karla Mananghaya</v>
      </c>
      <c r="W688" s="1" t="str">
        <f>IFERROR(__xludf.DUMMYFUNCTION("""COMPUTED_VALUE"""),"Admin Support Service Escalation Team")</f>
        <v>Admin Support Service Escalation Team</v>
      </c>
    </row>
    <row r="689">
      <c r="O689" s="1" t="str">
        <f>IFERROR(__xludf.DUMMYFUNCTION("""COMPUTED_VALUE"""),"2025 Aug")</f>
        <v>2025 Aug</v>
      </c>
      <c r="P689" s="1" t="str">
        <f>IFERROR(__xludf.DUMMYFUNCTION("""COMPUTED_VALUE"""),"Core Product Support")</f>
        <v>Core Product Support</v>
      </c>
      <c r="Q689" s="1" t="str">
        <f>IFERROR(__xludf.DUMMYFUNCTION("""COMPUTED_VALUE"""),"jampangan@canva.com")</f>
        <v>jampangan@canva.com</v>
      </c>
      <c r="R689" s="1" t="str">
        <f>IFERROR(__xludf.DUMMYFUNCTION("""COMPUTED_VALUE"""),"Jara Alexandra Mae Pangan")</f>
        <v>Jara Alexandra Mae Pangan</v>
      </c>
      <c r="S689" s="1">
        <f>IFERROR(__xludf.DUMMYFUNCTION("""COMPUTED_VALUE"""),17.37)</f>
        <v>17.37</v>
      </c>
      <c r="T689" s="1">
        <f>IFERROR(__xludf.DUMMYFUNCTION("""COMPUTED_VALUE"""),27.29)</f>
        <v>27.29</v>
      </c>
      <c r="U689" s="2">
        <f>IFERROR(__xludf.DUMMYFUNCTION("""COMPUTED_VALUE"""),44.66)</f>
        <v>44.66</v>
      </c>
      <c r="V689" s="1" t="str">
        <f>IFERROR(__xludf.DUMMYFUNCTION("""COMPUTED_VALUE"""),"Sieg Ballelos")</f>
        <v>Sieg Ballelos</v>
      </c>
      <c r="W689" s="1" t="str">
        <f>IFERROR(__xludf.DUMMYFUNCTION("""COMPUTED_VALUE"""),"Core Product Support Escalation Team")</f>
        <v>Core Product Support Escalation Team</v>
      </c>
    </row>
    <row r="690">
      <c r="O690" s="1" t="str">
        <f>IFERROR(__xludf.DUMMYFUNCTION("""COMPUTED_VALUE"""),"2025 Aug")</f>
        <v>2025 Aug</v>
      </c>
      <c r="P690" s="1" t="str">
        <f>IFERROR(__xludf.DUMMYFUNCTION("""COMPUTED_VALUE"""),"Core Product Support")</f>
        <v>Core Product Support</v>
      </c>
      <c r="Q690" s="1" t="str">
        <f>IFERROR(__xludf.DUMMYFUNCTION("""COMPUTED_VALUE"""),"jaredc@canva.com")</f>
        <v>jaredc@canva.com</v>
      </c>
      <c r="R690" s="1" t="str">
        <f>IFERROR(__xludf.DUMMYFUNCTION("""COMPUTED_VALUE"""),"Jared Carlin")</f>
        <v>Jared Carlin</v>
      </c>
      <c r="S690" s="1">
        <f>IFERROR(__xludf.DUMMYFUNCTION("""COMPUTED_VALUE"""),26.98)</f>
        <v>26.98</v>
      </c>
      <c r="T690" s="1">
        <f>IFERROR(__xludf.DUMMYFUNCTION("""COMPUTED_VALUE"""),39.15)</f>
        <v>39.15</v>
      </c>
      <c r="U690" s="2">
        <f>IFERROR(__xludf.DUMMYFUNCTION("""COMPUTED_VALUE"""),66.13)</f>
        <v>66.13</v>
      </c>
      <c r="V690" s="1" t="str">
        <f>IFERROR(__xludf.DUMMYFUNCTION("""COMPUTED_VALUE"""),"Ana Lazaro")</f>
        <v>Ana Lazaro</v>
      </c>
      <c r="W690" s="1" t="str">
        <f>IFERROR(__xludf.DUMMYFUNCTION("""COMPUTED_VALUE"""),"Advanced Billing &amp; Subscriptions")</f>
        <v>Advanced Billing &amp; Subscriptions</v>
      </c>
    </row>
    <row r="691">
      <c r="O691" s="1" t="str">
        <f>IFERROR(__xludf.DUMMYFUNCTION("""COMPUTED_VALUE"""),"2025 Aug")</f>
        <v>2025 Aug</v>
      </c>
      <c r="P691" s="1" t="str">
        <f>IFERROR(__xludf.DUMMYFUNCTION("""COMPUTED_VALUE"""),"Segment-specific Support")</f>
        <v>Segment-specific Support</v>
      </c>
      <c r="Q691" s="1" t="str">
        <f>IFERROR(__xludf.DUMMYFUNCTION("""COMPUTED_VALUE"""),"jas@canva.com")</f>
        <v>jas@canva.com</v>
      </c>
      <c r="R691" s="1" t="str">
        <f>IFERROR(__xludf.DUMMYFUNCTION("""COMPUTED_VALUE"""),"Jas Esperat")</f>
        <v>Jas Esperat</v>
      </c>
      <c r="S691" s="1">
        <f>IFERROR(__xludf.DUMMYFUNCTION("""COMPUTED_VALUE"""),5.0)</f>
        <v>5</v>
      </c>
      <c r="T691" s="1">
        <f>IFERROR(__xludf.DUMMYFUNCTION("""COMPUTED_VALUE"""),10.0)</f>
        <v>10</v>
      </c>
      <c r="U691" s="2">
        <f>IFERROR(__xludf.DUMMYFUNCTION("""COMPUTED_VALUE"""),15.0)</f>
        <v>15</v>
      </c>
      <c r="V691" s="1" t="str">
        <f>IFERROR(__xludf.DUMMYFUNCTION("""COMPUTED_VALUE"""),"Aileen Dayanghirang")</f>
        <v>Aileen Dayanghirang</v>
      </c>
      <c r="W691" s="1" t="str">
        <f>IFERROR(__xludf.DUMMYFUNCTION("""COMPUTED_VALUE"""),"Creators Support")</f>
        <v>Creators Support</v>
      </c>
    </row>
    <row r="692">
      <c r="O692" s="1" t="str">
        <f>IFERROR(__xludf.DUMMYFUNCTION("""COMPUTED_VALUE"""),"2025 Aug")</f>
        <v>2025 Aug</v>
      </c>
      <c r="P692" s="1" t="str">
        <f>IFERROR(__xludf.DUMMYFUNCTION("""COMPUTED_VALUE"""),"Print Support")</f>
        <v>Print Support</v>
      </c>
      <c r="Q692" s="1" t="str">
        <f>IFERROR(__xludf.DUMMYFUNCTION("""COMPUTED_VALUE"""),"jayson@canva.com")</f>
        <v>jayson@canva.com</v>
      </c>
      <c r="R692" s="1" t="str">
        <f>IFERROR(__xludf.DUMMYFUNCTION("""COMPUTED_VALUE"""),"Jayson Ferrer")</f>
        <v>Jayson Ferrer</v>
      </c>
      <c r="S692" s="1">
        <f>IFERROR(__xludf.DUMMYFUNCTION("""COMPUTED_VALUE"""),7.0)</f>
        <v>7</v>
      </c>
      <c r="T692" s="1">
        <f>IFERROR(__xludf.DUMMYFUNCTION("""COMPUTED_VALUE"""),11.25)</f>
        <v>11.25</v>
      </c>
      <c r="U692" s="2">
        <f>IFERROR(__xludf.DUMMYFUNCTION("""COMPUTED_VALUE"""),18.25)</f>
        <v>18.25</v>
      </c>
      <c r="V692" s="1" t="str">
        <f>IFERROR(__xludf.DUMMYFUNCTION("""COMPUTED_VALUE"""),"G-Anne Murillo")</f>
        <v>G-Anne Murillo</v>
      </c>
      <c r="W692" s="1" t="str">
        <f>IFERROR(__xludf.DUMMYFUNCTION("""COMPUTED_VALUE"""),"Print Design Support")</f>
        <v>Print Design Support</v>
      </c>
    </row>
    <row r="693">
      <c r="O693" s="1" t="str">
        <f>IFERROR(__xludf.DUMMYFUNCTION("""COMPUTED_VALUE"""),"2025 Aug")</f>
        <v>2025 Aug</v>
      </c>
      <c r="P693" s="1" t="str">
        <f>IFERROR(__xludf.DUMMYFUNCTION("""COMPUTED_VALUE"""),"Admin Support")</f>
        <v>Admin Support</v>
      </c>
      <c r="Q693" s="1" t="str">
        <f>IFERROR(__xludf.DUMMYFUNCTION("""COMPUTED_VALUE"""),"jaz@canva.com")</f>
        <v>jaz@canva.com</v>
      </c>
      <c r="R693" s="1" t="str">
        <f>IFERROR(__xludf.DUMMYFUNCTION("""COMPUTED_VALUE"""),"Jazmine San Pedro")</f>
        <v>Jazmine San Pedro</v>
      </c>
      <c r="S693" s="1">
        <f>IFERROR(__xludf.DUMMYFUNCTION("""COMPUTED_VALUE"""),7.08)</f>
        <v>7.08</v>
      </c>
      <c r="T693" s="1">
        <f>IFERROR(__xludf.DUMMYFUNCTION("""COMPUTED_VALUE"""),16.33)</f>
        <v>16.33</v>
      </c>
      <c r="U693" s="2">
        <f>IFERROR(__xludf.DUMMYFUNCTION("""COMPUTED_VALUE"""),23.409999999999997)</f>
        <v>23.41</v>
      </c>
      <c r="V693" s="1" t="str">
        <f>IFERROR(__xludf.DUMMYFUNCTION("""COMPUTED_VALUE"""),"AL Suarez")</f>
        <v>AL Suarez</v>
      </c>
      <c r="W693" s="1" t="str">
        <f>IFERROR(__xludf.DUMMYFUNCTION("""COMPUTED_VALUE"""),"Print Support PH")</f>
        <v>Print Support PH</v>
      </c>
    </row>
    <row r="694">
      <c r="O694" s="1" t="str">
        <f>IFERROR(__xludf.DUMMYFUNCTION("""COMPUTED_VALUE"""),"2025 Aug")</f>
        <v>2025 Aug</v>
      </c>
      <c r="P694" s="1" t="str">
        <f>IFERROR(__xludf.DUMMYFUNCTION("""COMPUTED_VALUE"""),"Core Product Support")</f>
        <v>Core Product Support</v>
      </c>
      <c r="Q694" s="1" t="str">
        <f>IFERROR(__xludf.DUMMYFUNCTION("""COMPUTED_VALUE"""),"jasminechristel@canva.com")</f>
        <v>jasminechristel@canva.com</v>
      </c>
      <c r="R694" s="1" t="str">
        <f>IFERROR(__xludf.DUMMYFUNCTION("""COMPUTED_VALUE"""),"Jazz Ragot")</f>
        <v>Jazz Ragot</v>
      </c>
      <c r="S694" s="1">
        <f>IFERROR(__xludf.DUMMYFUNCTION("""COMPUTED_VALUE"""),33.0)</f>
        <v>33</v>
      </c>
      <c r="T694" s="1">
        <f>IFERROR(__xludf.DUMMYFUNCTION("""COMPUTED_VALUE"""),46.25)</f>
        <v>46.25</v>
      </c>
      <c r="U694" s="2">
        <f>IFERROR(__xludf.DUMMYFUNCTION("""COMPUTED_VALUE"""),79.25)</f>
        <v>79.25</v>
      </c>
      <c r="V694" s="1" t="str">
        <f>IFERROR(__xludf.DUMMYFUNCTION("""COMPUTED_VALUE"""),"Jem Mondoñedo")</f>
        <v>Jem Mondoñedo</v>
      </c>
      <c r="W694" s="1" t="str">
        <f>IFERROR(__xludf.DUMMYFUNCTION("""COMPUTED_VALUE"""),"Advanced Billing &amp; Subscriptions")</f>
        <v>Advanced Billing &amp; Subscriptions</v>
      </c>
    </row>
    <row r="695">
      <c r="O695" s="1" t="str">
        <f>IFERROR(__xludf.DUMMYFUNCTION("""COMPUTED_VALUE"""),"2025 Aug")</f>
        <v>2025 Aug</v>
      </c>
      <c r="P695" s="1" t="str">
        <f>IFERROR(__xludf.DUMMYFUNCTION("""COMPUTED_VALUE"""),"Multilingual Support")</f>
        <v>Multilingual Support</v>
      </c>
      <c r="Q695" s="1" t="str">
        <f>IFERROR(__xludf.DUMMYFUNCTION("""COMPUTED_VALUE"""),"jc@canva.com")</f>
        <v>jc@canva.com</v>
      </c>
      <c r="R695" s="1" t="str">
        <f>IFERROR(__xludf.DUMMYFUNCTION("""COMPUTED_VALUE"""),"JC Evangelista")</f>
        <v>JC Evangelista</v>
      </c>
      <c r="S695" s="1">
        <f>IFERROR(__xludf.DUMMYFUNCTION("""COMPUTED_VALUE"""),7.25)</f>
        <v>7.25</v>
      </c>
      <c r="T695" s="1">
        <f>IFERROR(__xludf.DUMMYFUNCTION("""COMPUTED_VALUE"""),13.25)</f>
        <v>13.25</v>
      </c>
      <c r="U695" s="2">
        <f>IFERROR(__xludf.DUMMYFUNCTION("""COMPUTED_VALUE"""),20.5)</f>
        <v>20.5</v>
      </c>
      <c r="V695" s="1" t="str">
        <f>IFERROR(__xludf.DUMMYFUNCTION("""COMPUTED_VALUE"""),"Arlene Maurillo")</f>
        <v>Arlene Maurillo</v>
      </c>
      <c r="W695" s="1" t="str">
        <f>IFERROR(__xludf.DUMMYFUNCTION("""COMPUTED_VALUE"""),"PHL, Multilingual Support")</f>
        <v>PHL, Multilingual Support</v>
      </c>
    </row>
    <row r="696">
      <c r="O696" s="1" t="str">
        <f>IFERROR(__xludf.DUMMYFUNCTION("""COMPUTED_VALUE"""),"2025 Aug")</f>
        <v>2025 Aug</v>
      </c>
      <c r="P696" s="1" t="str">
        <f>IFERROR(__xludf.DUMMYFUNCTION("""COMPUTED_VALUE"""),"Core Product Support")</f>
        <v>Core Product Support</v>
      </c>
      <c r="Q696" s="1" t="str">
        <f>IFERROR(__xludf.DUMMYFUNCTION("""COMPUTED_VALUE"""),"jea@canva.com")</f>
        <v>jea@canva.com</v>
      </c>
      <c r="R696" s="1" t="str">
        <f>IFERROR(__xludf.DUMMYFUNCTION("""COMPUTED_VALUE"""),"Jea Silvestre")</f>
        <v>Jea Silvestre</v>
      </c>
      <c r="S696" s="1">
        <f>IFERROR(__xludf.DUMMYFUNCTION("""COMPUTED_VALUE"""),37.27)</f>
        <v>37.27</v>
      </c>
      <c r="T696" s="1">
        <f>IFERROR(__xludf.DUMMYFUNCTION("""COMPUTED_VALUE"""),50.22)</f>
        <v>50.22</v>
      </c>
      <c r="U696" s="2">
        <f>IFERROR(__xludf.DUMMYFUNCTION("""COMPUTED_VALUE"""),87.49000000000001)</f>
        <v>87.49</v>
      </c>
      <c r="V696" s="1" t="str">
        <f>IFERROR(__xludf.DUMMYFUNCTION("""COMPUTED_VALUE"""),"Marie Mordeno")</f>
        <v>Marie Mordeno</v>
      </c>
      <c r="W696" s="1" t="str">
        <f>IFERROR(__xludf.DUMMYFUNCTION("""COMPUTED_VALUE"""),"Advanced Billing &amp; Subscriptions")</f>
        <v>Advanced Billing &amp; Subscriptions</v>
      </c>
    </row>
    <row r="697">
      <c r="O697" s="1" t="str">
        <f>IFERROR(__xludf.DUMMYFUNCTION("""COMPUTED_VALUE"""),"2025 Aug")</f>
        <v>2025 Aug</v>
      </c>
      <c r="P697" s="1" t="str">
        <f>IFERROR(__xludf.DUMMYFUNCTION("""COMPUTED_VALUE"""),"Core Product Support")</f>
        <v>Core Product Support</v>
      </c>
      <c r="Q697" s="1" t="str">
        <f>IFERROR(__xludf.DUMMYFUNCTION("""COMPUTED_VALUE"""),"jed@canva.com")</f>
        <v>jed@canva.com</v>
      </c>
      <c r="R697" s="1" t="str">
        <f>IFERROR(__xludf.DUMMYFUNCTION("""COMPUTED_VALUE"""),"Jed Wenceslao")</f>
        <v>Jed Wenceslao</v>
      </c>
      <c r="S697" s="1"/>
      <c r="T697" s="1">
        <f>IFERROR(__xludf.DUMMYFUNCTION("""COMPUTED_VALUE"""),9.97)</f>
        <v>9.97</v>
      </c>
      <c r="U697" s="2">
        <f>IFERROR(__xludf.DUMMYFUNCTION("""COMPUTED_VALUE"""),9.97)</f>
        <v>9.97</v>
      </c>
      <c r="V697" s="1" t="str">
        <f>IFERROR(__xludf.DUMMYFUNCTION("""COMPUTED_VALUE"""),"Sieg Ballelos")</f>
        <v>Sieg Ballelos</v>
      </c>
      <c r="W697" s="1" t="str">
        <f>IFERROR(__xludf.DUMMYFUNCTION("""COMPUTED_VALUE"""),"Core Product Support Escalation Team")</f>
        <v>Core Product Support Escalation Team</v>
      </c>
    </row>
    <row r="698">
      <c r="O698" s="1" t="str">
        <f>IFERROR(__xludf.DUMMYFUNCTION("""COMPUTED_VALUE"""),"2025 Aug")</f>
        <v>2025 Aug</v>
      </c>
      <c r="P698" s="1" t="str">
        <f>IFERROR(__xludf.DUMMYFUNCTION("""COMPUTED_VALUE"""),"Core Product Support")</f>
        <v>Core Product Support</v>
      </c>
      <c r="Q698" s="1" t="str">
        <f>IFERROR(__xludf.DUMMYFUNCTION("""COMPUTED_VALUE"""),"jen@canva.com")</f>
        <v>jen@canva.com</v>
      </c>
      <c r="R698" s="1" t="str">
        <f>IFERROR(__xludf.DUMMYFUNCTION("""COMPUTED_VALUE"""),"Jenber Teves")</f>
        <v>Jenber Teves</v>
      </c>
      <c r="S698" s="1">
        <f>IFERROR(__xludf.DUMMYFUNCTION("""COMPUTED_VALUE"""),8.0)</f>
        <v>8</v>
      </c>
      <c r="T698" s="1">
        <f>IFERROR(__xludf.DUMMYFUNCTION("""COMPUTED_VALUE"""),15.1)</f>
        <v>15.1</v>
      </c>
      <c r="U698" s="2">
        <f>IFERROR(__xludf.DUMMYFUNCTION("""COMPUTED_VALUE"""),23.1)</f>
        <v>23.1</v>
      </c>
      <c r="V698" s="1" t="str">
        <f>IFERROR(__xludf.DUMMYFUNCTION("""COMPUTED_VALUE"""),"Ellaine Estayo")</f>
        <v>Ellaine Estayo</v>
      </c>
      <c r="W698" s="1" t="str">
        <f>IFERROR(__xludf.DUMMYFUNCTION("""COMPUTED_VALUE"""),"Core Product Support Escalation Team")</f>
        <v>Core Product Support Escalation Team</v>
      </c>
    </row>
    <row r="699">
      <c r="O699" s="1" t="str">
        <f>IFERROR(__xludf.DUMMYFUNCTION("""COMPUTED_VALUE"""),"2025 Aug")</f>
        <v>2025 Aug</v>
      </c>
      <c r="P699" s="1" t="str">
        <f>IFERROR(__xludf.DUMMYFUNCTION("""COMPUTED_VALUE"""),"#N/A")</f>
        <v>#N/A</v>
      </c>
      <c r="Q699" s="1" t="str">
        <f>IFERROR(__xludf.DUMMYFUNCTION("""COMPUTED_VALUE"""),"jerica@canva.com")</f>
        <v>jerica@canva.com</v>
      </c>
      <c r="R699" s="1" t="str">
        <f>IFERROR(__xludf.DUMMYFUNCTION("""COMPUTED_VALUE"""),"Jerica Tan")</f>
        <v>Jerica Tan</v>
      </c>
      <c r="S699" s="1">
        <f>IFERROR(__xludf.DUMMYFUNCTION("""COMPUTED_VALUE"""),17.22)</f>
        <v>17.22</v>
      </c>
      <c r="T699" s="1">
        <f>IFERROR(__xludf.DUMMYFUNCTION("""COMPUTED_VALUE"""),21.64)</f>
        <v>21.64</v>
      </c>
      <c r="U699" s="2">
        <f>IFERROR(__xludf.DUMMYFUNCTION("""COMPUTED_VALUE"""),38.86)</f>
        <v>38.86</v>
      </c>
      <c r="V699" s="1" t="str">
        <f>IFERROR(__xludf.DUMMYFUNCTION("""COMPUTED_VALUE"""),"#N/A")</f>
        <v>#N/A</v>
      </c>
      <c r="W699" s="1" t="str">
        <f>IFERROR(__xludf.DUMMYFUNCTION("""COMPUTED_VALUE"""),"High Sensitivity Support PH")</f>
        <v>High Sensitivity Support PH</v>
      </c>
    </row>
    <row r="700">
      <c r="O700" s="1" t="str">
        <f>IFERROR(__xludf.DUMMYFUNCTION("""COMPUTED_VALUE"""),"2025 Aug")</f>
        <v>2025 Aug</v>
      </c>
      <c r="P700" s="1" t="str">
        <f>IFERROR(__xludf.DUMMYFUNCTION("""COMPUTED_VALUE"""),"Print Support")</f>
        <v>Print Support</v>
      </c>
      <c r="Q700" s="1" t="str">
        <f>IFERROR(__xludf.DUMMYFUNCTION("""COMPUTED_VALUE"""),"jesicamari@canva.com")</f>
        <v>jesicamari@canva.com</v>
      </c>
      <c r="R700" s="1" t="str">
        <f>IFERROR(__xludf.DUMMYFUNCTION("""COMPUTED_VALUE"""),"Jesica Laureola")</f>
        <v>Jesica Laureola</v>
      </c>
      <c r="S700" s="1">
        <f>IFERROR(__xludf.DUMMYFUNCTION("""COMPUTED_VALUE"""),6.75)</f>
        <v>6.75</v>
      </c>
      <c r="T700" s="1">
        <f>IFERROR(__xludf.DUMMYFUNCTION("""COMPUTED_VALUE"""),11.0)</f>
        <v>11</v>
      </c>
      <c r="U700" s="2">
        <f>IFERROR(__xludf.DUMMYFUNCTION("""COMPUTED_VALUE"""),17.75)</f>
        <v>17.75</v>
      </c>
      <c r="V700" s="1" t="str">
        <f>IFERROR(__xludf.DUMMYFUNCTION("""COMPUTED_VALUE"""),"Rei De Jesus")</f>
        <v>Rei De Jesus</v>
      </c>
      <c r="W700" s="1" t="str">
        <f>IFERROR(__xludf.DUMMYFUNCTION("""COMPUTED_VALUE"""),"Print Design Support")</f>
        <v>Print Design Support</v>
      </c>
    </row>
    <row r="701">
      <c r="O701" s="1" t="str">
        <f>IFERROR(__xludf.DUMMYFUNCTION("""COMPUTED_VALUE"""),"2025 Aug")</f>
        <v>2025 Aug</v>
      </c>
      <c r="P701" s="1" t="str">
        <f>IFERROR(__xludf.DUMMYFUNCTION("""COMPUTED_VALUE"""),"Core Product Support")</f>
        <v>Core Product Support</v>
      </c>
      <c r="Q701" s="1" t="str">
        <f>IFERROR(__xludf.DUMMYFUNCTION("""COMPUTED_VALUE"""),"jbrizuela@canva.com")</f>
        <v>jbrizuela@canva.com</v>
      </c>
      <c r="R701" s="1" t="str">
        <f>IFERROR(__xludf.DUMMYFUNCTION("""COMPUTED_VALUE"""),"Jessa Brizuela")</f>
        <v>Jessa Brizuela</v>
      </c>
      <c r="S701" s="1">
        <f>IFERROR(__xludf.DUMMYFUNCTION("""COMPUTED_VALUE"""),26.73)</f>
        <v>26.73</v>
      </c>
      <c r="T701" s="1">
        <f>IFERROR(__xludf.DUMMYFUNCTION("""COMPUTED_VALUE"""),36.65)</f>
        <v>36.65</v>
      </c>
      <c r="U701" s="2">
        <f>IFERROR(__xludf.DUMMYFUNCTION("""COMPUTED_VALUE"""),63.379999999999995)</f>
        <v>63.38</v>
      </c>
      <c r="V701" s="1" t="str">
        <f>IFERROR(__xludf.DUMMYFUNCTION("""COMPUTED_VALUE"""),"Renette Bok")</f>
        <v>Renette Bok</v>
      </c>
      <c r="W701" s="1" t="str">
        <f>IFERROR(__xludf.DUMMYFUNCTION("""COMPUTED_VALUE"""),"Advanced Billing &amp; Subscriptions")</f>
        <v>Advanced Billing &amp; Subscriptions</v>
      </c>
    </row>
    <row r="702">
      <c r="O702" s="1" t="str">
        <f>IFERROR(__xludf.DUMMYFUNCTION("""COMPUTED_VALUE"""),"2025 Aug")</f>
        <v>2025 Aug</v>
      </c>
      <c r="P702" s="1" t="str">
        <f>IFERROR(__xludf.DUMMYFUNCTION("""COMPUTED_VALUE"""),"Core Product Support")</f>
        <v>Core Product Support</v>
      </c>
      <c r="Q702" s="1" t="str">
        <f>IFERROR(__xludf.DUMMYFUNCTION("""COMPUTED_VALUE"""),"jian@canva.com")</f>
        <v>jian@canva.com</v>
      </c>
      <c r="R702" s="1" t="str">
        <f>IFERROR(__xludf.DUMMYFUNCTION("""COMPUTED_VALUE"""),"Jian Paula Inocencio")</f>
        <v>Jian Paula Inocencio</v>
      </c>
      <c r="S702" s="1">
        <f>IFERROR(__xludf.DUMMYFUNCTION("""COMPUTED_VALUE"""),35.17)</f>
        <v>35.17</v>
      </c>
      <c r="T702" s="1">
        <f>IFERROR(__xludf.DUMMYFUNCTION("""COMPUTED_VALUE"""),36.0)</f>
        <v>36</v>
      </c>
      <c r="U702" s="2">
        <f>IFERROR(__xludf.DUMMYFUNCTION("""COMPUTED_VALUE"""),71.17)</f>
        <v>71.17</v>
      </c>
      <c r="V702" s="1" t="str">
        <f>IFERROR(__xludf.DUMMYFUNCTION("""COMPUTED_VALUE"""),"Vinz Lazaro")</f>
        <v>Vinz Lazaro</v>
      </c>
      <c r="W702" s="1" t="str">
        <f>IFERROR(__xludf.DUMMYFUNCTION("""COMPUTED_VALUE"""),"Advanced Product Support")</f>
        <v>Advanced Product Support</v>
      </c>
    </row>
    <row r="703">
      <c r="O703" s="1" t="str">
        <f>IFERROR(__xludf.DUMMYFUNCTION("""COMPUTED_VALUE"""),"2025 Aug")</f>
        <v>2025 Aug</v>
      </c>
      <c r="P703" s="1" t="str">
        <f>IFERROR(__xludf.DUMMYFUNCTION("""COMPUTED_VALUE"""),"Core Product Support")</f>
        <v>Core Product Support</v>
      </c>
      <c r="Q703" s="1" t="str">
        <f>IFERROR(__xludf.DUMMYFUNCTION("""COMPUTED_VALUE"""),"jilll@canva.com")</f>
        <v>jilll@canva.com</v>
      </c>
      <c r="R703" s="1" t="str">
        <f>IFERROR(__xludf.DUMMYFUNCTION("""COMPUTED_VALUE"""),"Jill Linco")</f>
        <v>Jill Linco</v>
      </c>
      <c r="S703" s="1">
        <f>IFERROR(__xludf.DUMMYFUNCTION("""COMPUTED_VALUE"""),38.0)</f>
        <v>38</v>
      </c>
      <c r="T703" s="1">
        <f>IFERROR(__xludf.DUMMYFUNCTION("""COMPUTED_VALUE"""),54.33)</f>
        <v>54.33</v>
      </c>
      <c r="U703" s="2">
        <f>IFERROR(__xludf.DUMMYFUNCTION("""COMPUTED_VALUE"""),92.33)</f>
        <v>92.33</v>
      </c>
      <c r="V703" s="1" t="str">
        <f>IFERROR(__xludf.DUMMYFUNCTION("""COMPUTED_VALUE"""),"Cate Velasco")</f>
        <v>Cate Velasco</v>
      </c>
      <c r="W703" s="1" t="str">
        <f>IFERROR(__xludf.DUMMYFUNCTION("""COMPUTED_VALUE"""),"Advanced Product Support")</f>
        <v>Advanced Product Support</v>
      </c>
    </row>
    <row r="704">
      <c r="O704" s="1" t="str">
        <f>IFERROR(__xludf.DUMMYFUNCTION("""COMPUTED_VALUE"""),"2025 Aug")</f>
        <v>2025 Aug</v>
      </c>
      <c r="P704" s="1" t="str">
        <f>IFERROR(__xludf.DUMMYFUNCTION("""COMPUTED_VALUE"""),"Segment-specific Support")</f>
        <v>Segment-specific Support</v>
      </c>
      <c r="Q704" s="1" t="str">
        <f>IFERROR(__xludf.DUMMYFUNCTION("""COMPUTED_VALUE"""),"jillann@canva.com")</f>
        <v>jillann@canva.com</v>
      </c>
      <c r="R704" s="1" t="str">
        <f>IFERROR(__xludf.DUMMYFUNCTION("""COMPUTED_VALUE"""),"Jill-Ann Reducindo")</f>
        <v>Jill-Ann Reducindo</v>
      </c>
      <c r="S704" s="1"/>
      <c r="T704" s="1">
        <f>IFERROR(__xludf.DUMMYFUNCTION("""COMPUTED_VALUE"""),13.5)</f>
        <v>13.5</v>
      </c>
      <c r="U704" s="2">
        <f>IFERROR(__xludf.DUMMYFUNCTION("""COMPUTED_VALUE"""),13.5)</f>
        <v>13.5</v>
      </c>
      <c r="V704" s="1" t="str">
        <f>IFERROR(__xludf.DUMMYFUNCTION("""COMPUTED_VALUE"""),"Rose Gabilan")</f>
        <v>Rose Gabilan</v>
      </c>
      <c r="W704" s="1" t="str">
        <f>IFERROR(__xludf.DUMMYFUNCTION("""COMPUTED_VALUE"""),"Affinity Support")</f>
        <v>Affinity Support</v>
      </c>
    </row>
    <row r="705">
      <c r="O705" s="1" t="str">
        <f>IFERROR(__xludf.DUMMYFUNCTION("""COMPUTED_VALUE"""),"2025 Aug")</f>
        <v>2025 Aug</v>
      </c>
      <c r="P705" s="1" t="str">
        <f>IFERROR(__xludf.DUMMYFUNCTION("""COMPUTED_VALUE"""),"Core Product Support")</f>
        <v>Core Product Support</v>
      </c>
      <c r="Q705" s="1" t="str">
        <f>IFERROR(__xludf.DUMMYFUNCTION("""COMPUTED_VALUE"""),"jmfrial@canva.com")</f>
        <v>jmfrial@canva.com</v>
      </c>
      <c r="R705" s="1" t="str">
        <f>IFERROR(__xludf.DUMMYFUNCTION("""COMPUTED_VALUE"""),"JM Frial")</f>
        <v>JM Frial</v>
      </c>
      <c r="S705" s="1">
        <f>IFERROR(__xludf.DUMMYFUNCTION("""COMPUTED_VALUE"""),18.78)</f>
        <v>18.78</v>
      </c>
      <c r="T705" s="1">
        <f>IFERROR(__xludf.DUMMYFUNCTION("""COMPUTED_VALUE"""),23.03)</f>
        <v>23.03</v>
      </c>
      <c r="U705" s="2">
        <f>IFERROR(__xludf.DUMMYFUNCTION("""COMPUTED_VALUE"""),41.81)</f>
        <v>41.81</v>
      </c>
      <c r="V705" s="1" t="str">
        <f>IFERROR(__xludf.DUMMYFUNCTION("""COMPUTED_VALUE"""),"Sieg Ballelos")</f>
        <v>Sieg Ballelos</v>
      </c>
      <c r="W705" s="1" t="str">
        <f>IFERROR(__xludf.DUMMYFUNCTION("""COMPUTED_VALUE"""),"Core Product Support Escalation Team")</f>
        <v>Core Product Support Escalation Team</v>
      </c>
    </row>
    <row r="706">
      <c r="O706" s="1" t="str">
        <f>IFERROR(__xludf.DUMMYFUNCTION("""COMPUTED_VALUE"""),"2025 Aug")</f>
        <v>2025 Aug</v>
      </c>
      <c r="P706" s="1" t="str">
        <f>IFERROR(__xludf.DUMMYFUNCTION("""COMPUTED_VALUE"""),"Core Product Support")</f>
        <v>Core Product Support</v>
      </c>
      <c r="Q706" s="1" t="str">
        <f>IFERROR(__xludf.DUMMYFUNCTION("""COMPUTED_VALUE"""),"jmpascual@canva.com")</f>
        <v>jmpascual@canva.com</v>
      </c>
      <c r="R706" s="1" t="str">
        <f>IFERROR(__xludf.DUMMYFUNCTION("""COMPUTED_VALUE"""),"JM Pascual")</f>
        <v>JM Pascual</v>
      </c>
      <c r="S706" s="1">
        <f>IFERROR(__xludf.DUMMYFUNCTION("""COMPUTED_VALUE"""),37.0)</f>
        <v>37</v>
      </c>
      <c r="T706" s="1">
        <f>IFERROR(__xludf.DUMMYFUNCTION("""COMPUTED_VALUE"""),79.75)</f>
        <v>79.75</v>
      </c>
      <c r="U706" s="2">
        <f>IFERROR(__xludf.DUMMYFUNCTION("""COMPUTED_VALUE"""),116.75)</f>
        <v>116.75</v>
      </c>
      <c r="V706" s="1" t="str">
        <f>IFERROR(__xludf.DUMMYFUNCTION("""COMPUTED_VALUE"""),"Belle Bentazal")</f>
        <v>Belle Bentazal</v>
      </c>
      <c r="W706" s="1" t="str">
        <f>IFERROR(__xludf.DUMMYFUNCTION("""COMPUTED_VALUE"""),"Advanced Product Support")</f>
        <v>Advanced Product Support</v>
      </c>
    </row>
    <row r="707">
      <c r="O707" s="1" t="str">
        <f>IFERROR(__xludf.DUMMYFUNCTION("""COMPUTED_VALUE"""),"2025 Aug")</f>
        <v>2025 Aug</v>
      </c>
      <c r="P707" s="1" t="str">
        <f>IFERROR(__xludf.DUMMYFUNCTION("""COMPUTED_VALUE"""),"Print Support")</f>
        <v>Print Support</v>
      </c>
      <c r="Q707" s="1" t="str">
        <f>IFERROR(__xludf.DUMMYFUNCTION("""COMPUTED_VALUE"""),"joanmyle@canva.com")</f>
        <v>joanmyle@canva.com</v>
      </c>
      <c r="R707" s="1" t="str">
        <f>IFERROR(__xludf.DUMMYFUNCTION("""COMPUTED_VALUE"""),"Joan Myle Dapog")</f>
        <v>Joan Myle Dapog</v>
      </c>
      <c r="S707" s="1"/>
      <c r="T707" s="1">
        <f>IFERROR(__xludf.DUMMYFUNCTION("""COMPUTED_VALUE"""),13.27)</f>
        <v>13.27</v>
      </c>
      <c r="U707" s="2">
        <f>IFERROR(__xludf.DUMMYFUNCTION("""COMPUTED_VALUE"""),13.27)</f>
        <v>13.27</v>
      </c>
      <c r="V707" s="1" t="str">
        <f>IFERROR(__xludf.DUMMYFUNCTION("""COMPUTED_VALUE"""),"Jen Momo")</f>
        <v>Jen Momo</v>
      </c>
      <c r="W707" s="1" t="str">
        <f>IFERROR(__xludf.DUMMYFUNCTION("""COMPUTED_VALUE"""),"Print Support PH")</f>
        <v>Print Support PH</v>
      </c>
    </row>
    <row r="708">
      <c r="O708" s="1" t="str">
        <f>IFERROR(__xludf.DUMMYFUNCTION("""COMPUTED_VALUE"""),"2025 Aug")</f>
        <v>2025 Aug</v>
      </c>
      <c r="P708" s="1" t="str">
        <f>IFERROR(__xludf.DUMMYFUNCTION("""COMPUTED_VALUE"""),"Print Support")</f>
        <v>Print Support</v>
      </c>
      <c r="Q708" s="1" t="str">
        <f>IFERROR(__xludf.DUMMYFUNCTION("""COMPUTED_VALUE"""),"jmbeldua@canva.com")</f>
        <v>jmbeldua@canva.com</v>
      </c>
      <c r="R708" s="1" t="str">
        <f>IFERROR(__xludf.DUMMYFUNCTION("""COMPUTED_VALUE"""),"Joane Beldua")</f>
        <v>Joane Beldua</v>
      </c>
      <c r="S708" s="1">
        <f>IFERROR(__xludf.DUMMYFUNCTION("""COMPUTED_VALUE"""),5.75)</f>
        <v>5.75</v>
      </c>
      <c r="T708" s="1">
        <f>IFERROR(__xludf.DUMMYFUNCTION("""COMPUTED_VALUE"""),13.75)</f>
        <v>13.75</v>
      </c>
      <c r="U708" s="2">
        <f>IFERROR(__xludf.DUMMYFUNCTION("""COMPUTED_VALUE"""),19.5)</f>
        <v>19.5</v>
      </c>
      <c r="V708" s="1" t="str">
        <f>IFERROR(__xludf.DUMMYFUNCTION("""COMPUTED_VALUE"""),"Louise Dianne Estrella")</f>
        <v>Louise Dianne Estrella</v>
      </c>
      <c r="W708" s="1" t="str">
        <f>IFERROR(__xludf.DUMMYFUNCTION("""COMPUTED_VALUE"""),"Print Support PH")</f>
        <v>Print Support PH</v>
      </c>
    </row>
    <row r="709">
      <c r="O709" s="1" t="str">
        <f>IFERROR(__xludf.DUMMYFUNCTION("""COMPUTED_VALUE"""),"2025 Aug")</f>
        <v>2025 Aug</v>
      </c>
      <c r="P709" s="1" t="str">
        <f>IFERROR(__xludf.DUMMYFUNCTION("""COMPUTED_VALUE"""),"Multilingual Support")</f>
        <v>Multilingual Support</v>
      </c>
      <c r="Q709" s="1" t="str">
        <f>IFERROR(__xludf.DUMMYFUNCTION("""COMPUTED_VALUE"""),"joaqdivino@canva.com")</f>
        <v>joaqdivino@canva.com</v>
      </c>
      <c r="R709" s="1" t="str">
        <f>IFERROR(__xludf.DUMMYFUNCTION("""COMPUTED_VALUE"""),"Joaquin Divino")</f>
        <v>Joaquin Divino</v>
      </c>
      <c r="S709" s="1">
        <f>IFERROR(__xludf.DUMMYFUNCTION("""COMPUTED_VALUE"""),6.0)</f>
        <v>6</v>
      </c>
      <c r="T709" s="1">
        <f>IFERROR(__xludf.DUMMYFUNCTION("""COMPUTED_VALUE"""),13.0)</f>
        <v>13</v>
      </c>
      <c r="U709" s="2">
        <f>IFERROR(__xludf.DUMMYFUNCTION("""COMPUTED_VALUE"""),19.0)</f>
        <v>19</v>
      </c>
      <c r="V709" s="1" t="str">
        <f>IFERROR(__xludf.DUMMYFUNCTION("""COMPUTED_VALUE"""),"Arlene Maurillo")</f>
        <v>Arlene Maurillo</v>
      </c>
      <c r="W709" s="1" t="str">
        <f>IFERROR(__xludf.DUMMYFUNCTION("""COMPUTED_VALUE"""),"PHL, Multilingual Support")</f>
        <v>PHL, Multilingual Support</v>
      </c>
    </row>
    <row r="710">
      <c r="O710" s="1" t="str">
        <f>IFERROR(__xludf.DUMMYFUNCTION("""COMPUTED_VALUE"""),"2025 Aug")</f>
        <v>2025 Aug</v>
      </c>
      <c r="P710" s="1" t="str">
        <f>IFERROR(__xludf.DUMMYFUNCTION("""COMPUTED_VALUE"""),"Core Product Support")</f>
        <v>Core Product Support</v>
      </c>
      <c r="Q710" s="1" t="str">
        <f>IFERROR(__xludf.DUMMYFUNCTION("""COMPUTED_VALUE"""),"jocelynng@canva.com")</f>
        <v>jocelynng@canva.com</v>
      </c>
      <c r="R710" s="1" t="str">
        <f>IFERROR(__xludf.DUMMYFUNCTION("""COMPUTED_VALUE"""),"Jocelyn Ng")</f>
        <v>Jocelyn Ng</v>
      </c>
      <c r="S710" s="1">
        <f>IFERROR(__xludf.DUMMYFUNCTION("""COMPUTED_VALUE"""),15.75)</f>
        <v>15.75</v>
      </c>
      <c r="T710" s="1">
        <f>IFERROR(__xludf.DUMMYFUNCTION("""COMPUTED_VALUE"""),21.87)</f>
        <v>21.87</v>
      </c>
      <c r="U710" s="2">
        <f>IFERROR(__xludf.DUMMYFUNCTION("""COMPUTED_VALUE"""),37.620000000000005)</f>
        <v>37.62</v>
      </c>
      <c r="V710" s="1" t="str">
        <f>IFERROR(__xludf.DUMMYFUNCTION("""COMPUTED_VALUE"""),"Sieg Ballelos")</f>
        <v>Sieg Ballelos</v>
      </c>
      <c r="W710" s="1" t="str">
        <f>IFERROR(__xludf.DUMMYFUNCTION("""COMPUTED_VALUE"""),"Core Product Support Escalation Team")</f>
        <v>Core Product Support Escalation Team</v>
      </c>
    </row>
    <row r="711">
      <c r="O711" s="1" t="str">
        <f>IFERROR(__xludf.DUMMYFUNCTION("""COMPUTED_VALUE"""),"2025 Aug")</f>
        <v>2025 Aug</v>
      </c>
      <c r="P711" s="1" t="str">
        <f>IFERROR(__xludf.DUMMYFUNCTION("""COMPUTED_VALUE"""),"Admin Support")</f>
        <v>Admin Support</v>
      </c>
      <c r="Q711" s="1" t="str">
        <f>IFERROR(__xludf.DUMMYFUNCTION("""COMPUTED_VALUE"""),"cee@canva.com")</f>
        <v>cee@canva.com</v>
      </c>
      <c r="R711" s="1" t="str">
        <f>IFERROR(__xludf.DUMMYFUNCTION("""COMPUTED_VALUE"""),"John Carlo Gonzales")</f>
        <v>John Carlo Gonzales</v>
      </c>
      <c r="S711" s="1"/>
      <c r="T711" s="1">
        <f>IFERROR(__xludf.DUMMYFUNCTION("""COMPUTED_VALUE"""),7.5)</f>
        <v>7.5</v>
      </c>
      <c r="U711" s="2">
        <f>IFERROR(__xludf.DUMMYFUNCTION("""COMPUTED_VALUE"""),7.5)</f>
        <v>7.5</v>
      </c>
      <c r="V711" s="1" t="str">
        <f>IFERROR(__xludf.DUMMYFUNCTION("""COMPUTED_VALUE"""),"AL Suarez")</f>
        <v>AL Suarez</v>
      </c>
      <c r="W711" s="1" t="str">
        <f>IFERROR(__xludf.DUMMYFUNCTION("""COMPUTED_VALUE"""),"Admin Direct Support")</f>
        <v>Admin Direct Support</v>
      </c>
    </row>
    <row r="712">
      <c r="O712" s="1" t="str">
        <f>IFERROR(__xludf.DUMMYFUNCTION("""COMPUTED_VALUE"""),"2025 Aug")</f>
        <v>2025 Aug</v>
      </c>
      <c r="P712" s="1" t="str">
        <f>IFERROR(__xludf.DUMMYFUNCTION("""COMPUTED_VALUE"""),"Core Product Support")</f>
        <v>Core Product Support</v>
      </c>
      <c r="Q712" s="1" t="str">
        <f>IFERROR(__xludf.DUMMYFUNCTION("""COMPUTED_VALUE"""),"khael@canva.com")</f>
        <v>khael@canva.com</v>
      </c>
      <c r="R712" s="1" t="str">
        <f>IFERROR(__xludf.DUMMYFUNCTION("""COMPUTED_VALUE"""),"John Pieda")</f>
        <v>John Pieda</v>
      </c>
      <c r="S712" s="1">
        <f>IFERROR(__xludf.DUMMYFUNCTION("""COMPUTED_VALUE"""),26.17)</f>
        <v>26.17</v>
      </c>
      <c r="T712" s="1">
        <f>IFERROR(__xludf.DUMMYFUNCTION("""COMPUTED_VALUE"""),37.17)</f>
        <v>37.17</v>
      </c>
      <c r="U712" s="2">
        <f>IFERROR(__xludf.DUMMYFUNCTION("""COMPUTED_VALUE"""),63.34)</f>
        <v>63.34</v>
      </c>
      <c r="V712" s="1" t="str">
        <f>IFERROR(__xludf.DUMMYFUNCTION("""COMPUTED_VALUE"""),"Ayza Marie Pascual")</f>
        <v>Ayza Marie Pascual</v>
      </c>
      <c r="W712" s="1" t="str">
        <f>IFERROR(__xludf.DUMMYFUNCTION("""COMPUTED_VALUE"""),"Advanced Billing &amp; Subscriptions")</f>
        <v>Advanced Billing &amp; Subscriptions</v>
      </c>
    </row>
    <row r="713">
      <c r="O713" s="1" t="str">
        <f>IFERROR(__xludf.DUMMYFUNCTION("""COMPUTED_VALUE"""),"2025 Aug")</f>
        <v>2025 Aug</v>
      </c>
      <c r="P713" s="1" t="str">
        <f>IFERROR(__xludf.DUMMYFUNCTION("""COMPUTED_VALUE"""),"Core Product Support")</f>
        <v>Core Product Support</v>
      </c>
      <c r="Q713" s="1" t="str">
        <f>IFERROR(__xludf.DUMMYFUNCTION("""COMPUTED_VALUE"""),"jonahezra@canva.com")</f>
        <v>jonahezra@canva.com</v>
      </c>
      <c r="R713" s="1" t="str">
        <f>IFERROR(__xludf.DUMMYFUNCTION("""COMPUTED_VALUE"""),"Jonah Ezra Vergara")</f>
        <v>Jonah Ezra Vergara</v>
      </c>
      <c r="S713" s="1">
        <f>IFERROR(__xludf.DUMMYFUNCTION("""COMPUTED_VALUE"""),11.75)</f>
        <v>11.75</v>
      </c>
      <c r="T713" s="1">
        <f>IFERROR(__xludf.DUMMYFUNCTION("""COMPUTED_VALUE"""),19.75)</f>
        <v>19.75</v>
      </c>
      <c r="U713" s="2">
        <f>IFERROR(__xludf.DUMMYFUNCTION("""COMPUTED_VALUE"""),31.5)</f>
        <v>31.5</v>
      </c>
      <c r="V713" s="1" t="str">
        <f>IFERROR(__xludf.DUMMYFUNCTION("""COMPUTED_VALUE"""),"Ellaine Estayo")</f>
        <v>Ellaine Estayo</v>
      </c>
      <c r="W713" s="1" t="str">
        <f>IFERROR(__xludf.DUMMYFUNCTION("""COMPUTED_VALUE"""),"Core Product Support Escalation Team")</f>
        <v>Core Product Support Escalation Team</v>
      </c>
    </row>
    <row r="714">
      <c r="O714" s="1" t="str">
        <f>IFERROR(__xludf.DUMMYFUNCTION("""COMPUTED_VALUE"""),"2025 Aug")</f>
        <v>2025 Aug</v>
      </c>
      <c r="P714" s="1" t="str">
        <f>IFERROR(__xludf.DUMMYFUNCTION("""COMPUTED_VALUE"""),"Core Product Support")</f>
        <v>Core Product Support</v>
      </c>
      <c r="Q714" s="1" t="str">
        <f>IFERROR(__xludf.DUMMYFUNCTION("""COMPUTED_VALUE"""),"cjopphet@canva.com")</f>
        <v>cjopphet@canva.com</v>
      </c>
      <c r="R714" s="1" t="str">
        <f>IFERROR(__xludf.DUMMYFUNCTION("""COMPUTED_VALUE"""),"Jopphet Villafuerte")</f>
        <v>Jopphet Villafuerte</v>
      </c>
      <c r="S714" s="1">
        <f>IFERROR(__xludf.DUMMYFUNCTION("""COMPUTED_VALUE"""),29.33)</f>
        <v>29.33</v>
      </c>
      <c r="T714" s="1">
        <f>IFERROR(__xludf.DUMMYFUNCTION("""COMPUTED_VALUE"""),36.0)</f>
        <v>36</v>
      </c>
      <c r="U714" s="2">
        <f>IFERROR(__xludf.DUMMYFUNCTION("""COMPUTED_VALUE"""),65.33)</f>
        <v>65.33</v>
      </c>
      <c r="V714" s="1" t="str">
        <f>IFERROR(__xludf.DUMMYFUNCTION("""COMPUTED_VALUE"""),"Ayza Marie Pascual")</f>
        <v>Ayza Marie Pascual</v>
      </c>
      <c r="W714" s="1" t="str">
        <f>IFERROR(__xludf.DUMMYFUNCTION("""COMPUTED_VALUE"""),"Advanced Billing &amp; Subscriptions")</f>
        <v>Advanced Billing &amp; Subscriptions</v>
      </c>
    </row>
    <row r="715">
      <c r="O715" s="1" t="str">
        <f>IFERROR(__xludf.DUMMYFUNCTION("""COMPUTED_VALUE"""),"2025 Aug")</f>
        <v>2025 Aug</v>
      </c>
      <c r="P715" s="1" t="str">
        <f>IFERROR(__xludf.DUMMYFUNCTION("""COMPUTED_VALUE"""),"Segment-specific Support")</f>
        <v>Segment-specific Support</v>
      </c>
      <c r="Q715" s="1" t="str">
        <f>IFERROR(__xludf.DUMMYFUNCTION("""COMPUTED_VALUE"""),"jorell@canva.com")</f>
        <v>jorell@canva.com</v>
      </c>
      <c r="R715" s="1" t="str">
        <f>IFERROR(__xludf.DUMMYFUNCTION("""COMPUTED_VALUE"""),"Jorell Bollozos")</f>
        <v>Jorell Bollozos</v>
      </c>
      <c r="S715" s="1">
        <f>IFERROR(__xludf.DUMMYFUNCTION("""COMPUTED_VALUE"""),6.33)</f>
        <v>6.33</v>
      </c>
      <c r="T715" s="1">
        <f>IFERROR(__xludf.DUMMYFUNCTION("""COMPUTED_VALUE"""),18.91)</f>
        <v>18.91</v>
      </c>
      <c r="U715" s="2">
        <f>IFERROR(__xludf.DUMMYFUNCTION("""COMPUTED_VALUE"""),25.240000000000002)</f>
        <v>25.24</v>
      </c>
      <c r="V715" s="1" t="str">
        <f>IFERROR(__xludf.DUMMYFUNCTION("""COMPUTED_VALUE"""),"Gucci Nava")</f>
        <v>Gucci Nava</v>
      </c>
      <c r="W715" s="1" t="str">
        <f>IFERROR(__xludf.DUMMYFUNCTION("""COMPUTED_VALUE"""),"Print Support PH")</f>
        <v>Print Support PH</v>
      </c>
    </row>
    <row r="716">
      <c r="O716" s="1" t="str">
        <f>IFERROR(__xludf.DUMMYFUNCTION("""COMPUTED_VALUE"""),"2025 Aug")</f>
        <v>2025 Aug</v>
      </c>
      <c r="P716" s="1" t="str">
        <f>IFERROR(__xludf.DUMMYFUNCTION("""COMPUTED_VALUE"""),"Core Product Support")</f>
        <v>Core Product Support</v>
      </c>
      <c r="Q716" s="1" t="str">
        <f>IFERROR(__xludf.DUMMYFUNCTION("""COMPUTED_VALUE"""),"josab@canva.com")</f>
        <v>josab@canva.com</v>
      </c>
      <c r="R716" s="1" t="str">
        <f>IFERROR(__xludf.DUMMYFUNCTION("""COMPUTED_VALUE"""),"Josa Bernardino")</f>
        <v>Josa Bernardino</v>
      </c>
      <c r="S716" s="1">
        <f>IFERROR(__xludf.DUMMYFUNCTION("""COMPUTED_VALUE"""),16.75)</f>
        <v>16.75</v>
      </c>
      <c r="T716" s="1">
        <f>IFERROR(__xludf.DUMMYFUNCTION("""COMPUTED_VALUE"""),24.25)</f>
        <v>24.25</v>
      </c>
      <c r="U716" s="2">
        <f>IFERROR(__xludf.DUMMYFUNCTION("""COMPUTED_VALUE"""),41.0)</f>
        <v>41</v>
      </c>
      <c r="V716" s="1" t="str">
        <f>IFERROR(__xludf.DUMMYFUNCTION("""COMPUTED_VALUE"""),"Ellaine Estayo")</f>
        <v>Ellaine Estayo</v>
      </c>
      <c r="W716" s="1" t="str">
        <f>IFERROR(__xludf.DUMMYFUNCTION("""COMPUTED_VALUE"""),"Core Product Support Escalation Team")</f>
        <v>Core Product Support Escalation Team</v>
      </c>
    </row>
    <row r="717">
      <c r="O717" s="1" t="str">
        <f>IFERROR(__xludf.DUMMYFUNCTION("""COMPUTED_VALUE"""),"2025 Aug")</f>
        <v>2025 Aug</v>
      </c>
      <c r="P717" s="1" t="str">
        <f>IFERROR(__xludf.DUMMYFUNCTION("""COMPUTED_VALUE"""),"Print Support")</f>
        <v>Print Support</v>
      </c>
      <c r="Q717" s="1" t="str">
        <f>IFERROR(__xludf.DUMMYFUNCTION("""COMPUTED_VALUE"""),"quin@canva.com")</f>
        <v>quin@canva.com</v>
      </c>
      <c r="R717" s="1" t="str">
        <f>IFERROR(__xludf.DUMMYFUNCTION("""COMPUTED_VALUE"""),"Jose Antiquin")</f>
        <v>Jose Antiquin</v>
      </c>
      <c r="S717" s="1"/>
      <c r="T717" s="1">
        <f>IFERROR(__xludf.DUMMYFUNCTION("""COMPUTED_VALUE"""),44.75)</f>
        <v>44.75</v>
      </c>
      <c r="U717" s="2">
        <f>IFERROR(__xludf.DUMMYFUNCTION("""COMPUTED_VALUE"""),44.75)</f>
        <v>44.75</v>
      </c>
      <c r="V717" s="1" t="str">
        <f>IFERROR(__xludf.DUMMYFUNCTION("""COMPUTED_VALUE"""),"Jen Momo")</f>
        <v>Jen Momo</v>
      </c>
      <c r="W717" s="1" t="str">
        <f>IFERROR(__xludf.DUMMYFUNCTION("""COMPUTED_VALUE"""),"Print Support PH")</f>
        <v>Print Support PH</v>
      </c>
    </row>
    <row r="718">
      <c r="O718" s="1" t="str">
        <f>IFERROR(__xludf.DUMMYFUNCTION("""COMPUTED_VALUE"""),"2025 Aug")</f>
        <v>2025 Aug</v>
      </c>
      <c r="P718" s="1" t="str">
        <f>IFERROR(__xludf.DUMMYFUNCTION("""COMPUTED_VALUE"""),"Admin Support")</f>
        <v>Admin Support</v>
      </c>
      <c r="Q718" s="1" t="str">
        <f>IFERROR(__xludf.DUMMYFUNCTION("""COMPUTED_VALUE"""),"joshid@canva.com")</f>
        <v>joshid@canva.com</v>
      </c>
      <c r="R718" s="1" t="str">
        <f>IFERROR(__xludf.DUMMYFUNCTION("""COMPUTED_VALUE"""),"Joshua Dacanay")</f>
        <v>Joshua Dacanay</v>
      </c>
      <c r="S718" s="1">
        <f>IFERROR(__xludf.DUMMYFUNCTION("""COMPUTED_VALUE"""),39.08)</f>
        <v>39.08</v>
      </c>
      <c r="T718" s="1">
        <f>IFERROR(__xludf.DUMMYFUNCTION("""COMPUTED_VALUE"""),40.41)</f>
        <v>40.41</v>
      </c>
      <c r="U718" s="2">
        <f>IFERROR(__xludf.DUMMYFUNCTION("""COMPUTED_VALUE"""),79.49)</f>
        <v>79.49</v>
      </c>
      <c r="V718" s="1" t="str">
        <f>IFERROR(__xludf.DUMMYFUNCTION("""COMPUTED_VALUE"""),"AL Suarez")</f>
        <v>AL Suarez</v>
      </c>
      <c r="W718" s="1" t="str">
        <f>IFERROR(__xludf.DUMMYFUNCTION("""COMPUTED_VALUE"""),"Admin Direct Support")</f>
        <v>Admin Direct Support</v>
      </c>
    </row>
    <row r="719">
      <c r="O719" s="1" t="str">
        <f>IFERROR(__xludf.DUMMYFUNCTION("""COMPUTED_VALUE"""),"2025 Aug")</f>
        <v>2025 Aug</v>
      </c>
      <c r="P719" s="1" t="str">
        <f>IFERROR(__xludf.DUMMYFUNCTION("""COMPUTED_VALUE"""),"High Sensitivity Support")</f>
        <v>High Sensitivity Support</v>
      </c>
      <c r="Q719" s="1" t="str">
        <f>IFERROR(__xludf.DUMMYFUNCTION("""COMPUTED_VALUE"""),"jpbasco@canva.com")</f>
        <v>jpbasco@canva.com</v>
      </c>
      <c r="R719" s="1" t="str">
        <f>IFERROR(__xludf.DUMMYFUNCTION("""COMPUTED_VALUE"""),"JP Basco")</f>
        <v>JP Basco</v>
      </c>
      <c r="S719" s="1">
        <f>IFERROR(__xludf.DUMMYFUNCTION("""COMPUTED_VALUE"""),22.38)</f>
        <v>22.38</v>
      </c>
      <c r="T719" s="1">
        <f>IFERROR(__xludf.DUMMYFUNCTION("""COMPUTED_VALUE"""),29.03)</f>
        <v>29.03</v>
      </c>
      <c r="U719" s="2">
        <f>IFERROR(__xludf.DUMMYFUNCTION("""COMPUTED_VALUE"""),51.41)</f>
        <v>51.41</v>
      </c>
      <c r="V719" s="1" t="str">
        <f>IFERROR(__xludf.DUMMYFUNCTION("""COMPUTED_VALUE"""),"Rex Villamor")</f>
        <v>Rex Villamor</v>
      </c>
      <c r="W719" s="1" t="str">
        <f>IFERROR(__xludf.DUMMYFUNCTION("""COMPUTED_VALUE"""),"High Sensitivity Support PH")</f>
        <v>High Sensitivity Support PH</v>
      </c>
    </row>
    <row r="720">
      <c r="O720" s="1" t="str">
        <f>IFERROR(__xludf.DUMMYFUNCTION("""COMPUTED_VALUE"""),"2025 Aug")</f>
        <v>2025 Aug</v>
      </c>
      <c r="P720" s="1" t="str">
        <f>IFERROR(__xludf.DUMMYFUNCTION("""COMPUTED_VALUE"""),"Core Product Support")</f>
        <v>Core Product Support</v>
      </c>
      <c r="Q720" s="1" t="str">
        <f>IFERROR(__xludf.DUMMYFUNCTION("""COMPUTED_VALUE"""),"mgonzalgo@canva.com")</f>
        <v>mgonzalgo@canva.com</v>
      </c>
      <c r="R720" s="1" t="str">
        <f>IFERROR(__xludf.DUMMYFUNCTION("""COMPUTED_VALUE"""),"Juhrella Gonzalgo")</f>
        <v>Juhrella Gonzalgo</v>
      </c>
      <c r="S720" s="1">
        <f>IFERROR(__xludf.DUMMYFUNCTION("""COMPUTED_VALUE"""),11.75)</f>
        <v>11.75</v>
      </c>
      <c r="T720" s="1">
        <f>IFERROR(__xludf.DUMMYFUNCTION("""COMPUTED_VALUE"""),25.82)</f>
        <v>25.82</v>
      </c>
      <c r="U720" s="2">
        <f>IFERROR(__xludf.DUMMYFUNCTION("""COMPUTED_VALUE"""),37.57)</f>
        <v>37.57</v>
      </c>
      <c r="V720" s="1" t="str">
        <f>IFERROR(__xludf.DUMMYFUNCTION("""COMPUTED_VALUE"""),"Mikhaela Decangchon")</f>
        <v>Mikhaela Decangchon</v>
      </c>
      <c r="W720" s="1" t="str">
        <f>IFERROR(__xludf.DUMMYFUNCTION("""COMPUTED_VALUE"""),"Advanced Product Support")</f>
        <v>Advanced Product Support</v>
      </c>
    </row>
    <row r="721">
      <c r="O721" s="1" t="str">
        <f>IFERROR(__xludf.DUMMYFUNCTION("""COMPUTED_VALUE"""),"2025 Aug")</f>
        <v>2025 Aug</v>
      </c>
      <c r="P721" s="1" t="str">
        <f>IFERROR(__xludf.DUMMYFUNCTION("""COMPUTED_VALUE"""),"Admin Support")</f>
        <v>Admin Support</v>
      </c>
      <c r="Q721" s="1" t="str">
        <f>IFERROR(__xludf.DUMMYFUNCTION("""COMPUTED_VALUE"""),"justinem@canva.com")</f>
        <v>justinem@canva.com</v>
      </c>
      <c r="R721" s="1" t="str">
        <f>IFERROR(__xludf.DUMMYFUNCTION("""COMPUTED_VALUE"""),"Justine Valerie Meneses")</f>
        <v>Justine Valerie Meneses</v>
      </c>
      <c r="S721" s="1">
        <f>IFERROR(__xludf.DUMMYFUNCTION("""COMPUTED_VALUE"""),14.25)</f>
        <v>14.25</v>
      </c>
      <c r="T721" s="1">
        <f>IFERROR(__xludf.DUMMYFUNCTION("""COMPUTED_VALUE"""),19.25)</f>
        <v>19.25</v>
      </c>
      <c r="U721" s="2">
        <f>IFERROR(__xludf.DUMMYFUNCTION("""COMPUTED_VALUE"""),33.5)</f>
        <v>33.5</v>
      </c>
      <c r="V721" s="1" t="str">
        <f>IFERROR(__xludf.DUMMYFUNCTION("""COMPUTED_VALUE"""),"Karla Mananghaya")</f>
        <v>Karla Mananghaya</v>
      </c>
      <c r="W721" s="1" t="str">
        <f>IFERROR(__xludf.DUMMYFUNCTION("""COMPUTED_VALUE"""),"Admin Support Service Escalation Team")</f>
        <v>Admin Support Service Escalation Team</v>
      </c>
    </row>
    <row r="722">
      <c r="O722" s="1" t="str">
        <f>IFERROR(__xludf.DUMMYFUNCTION("""COMPUTED_VALUE"""),"2025 Aug")</f>
        <v>2025 Aug</v>
      </c>
      <c r="P722" s="1" t="str">
        <f>IFERROR(__xludf.DUMMYFUNCTION("""COMPUTED_VALUE"""),"Admin Support")</f>
        <v>Admin Support</v>
      </c>
      <c r="Q722" s="1" t="str">
        <f>IFERROR(__xludf.DUMMYFUNCTION("""COMPUTED_VALUE"""),"kamilleb@canva.com")</f>
        <v>kamilleb@canva.com</v>
      </c>
      <c r="R722" s="1" t="str">
        <f>IFERROR(__xludf.DUMMYFUNCTION("""COMPUTED_VALUE"""),"Kamille Batuyong")</f>
        <v>Kamille Batuyong</v>
      </c>
      <c r="S722" s="1">
        <f>IFERROR(__xludf.DUMMYFUNCTION("""COMPUTED_VALUE"""),4.0)</f>
        <v>4</v>
      </c>
      <c r="T722" s="1">
        <f>IFERROR(__xludf.DUMMYFUNCTION("""COMPUTED_VALUE"""),12.42)</f>
        <v>12.42</v>
      </c>
      <c r="U722" s="2">
        <f>IFERROR(__xludf.DUMMYFUNCTION("""COMPUTED_VALUE"""),16.42)</f>
        <v>16.42</v>
      </c>
      <c r="V722" s="1" t="str">
        <f>IFERROR(__xludf.DUMMYFUNCTION("""COMPUTED_VALUE"""),"AL Suarez")</f>
        <v>AL Suarez</v>
      </c>
      <c r="W722" s="1" t="str">
        <f>IFERROR(__xludf.DUMMYFUNCTION("""COMPUTED_VALUE"""),"Print Support PH")</f>
        <v>Print Support PH</v>
      </c>
    </row>
    <row r="723">
      <c r="O723" s="1" t="str">
        <f>IFERROR(__xludf.DUMMYFUNCTION("""COMPUTED_VALUE"""),"2025 Aug")</f>
        <v>2025 Aug</v>
      </c>
      <c r="P723" s="1" t="str">
        <f>IFERROR(__xludf.DUMMYFUNCTION("""COMPUTED_VALUE"""),"Core Product Support")</f>
        <v>Core Product Support</v>
      </c>
      <c r="Q723" s="1" t="str">
        <f>IFERROR(__xludf.DUMMYFUNCTION("""COMPUTED_VALUE"""),"katcee@canva.com")</f>
        <v>katcee@canva.com</v>
      </c>
      <c r="R723" s="1" t="str">
        <f>IFERROR(__xludf.DUMMYFUNCTION("""COMPUTED_VALUE"""),"Katrin Cebedo")</f>
        <v>Katrin Cebedo</v>
      </c>
      <c r="S723" s="1">
        <f>IFERROR(__xludf.DUMMYFUNCTION("""COMPUTED_VALUE"""),23.67)</f>
        <v>23.67</v>
      </c>
      <c r="T723" s="1">
        <f>IFERROR(__xludf.DUMMYFUNCTION("""COMPUTED_VALUE"""),33.34)</f>
        <v>33.34</v>
      </c>
      <c r="U723" s="2">
        <f>IFERROR(__xludf.DUMMYFUNCTION("""COMPUTED_VALUE"""),57.010000000000005)</f>
        <v>57.01</v>
      </c>
      <c r="V723" s="1" t="str">
        <f>IFERROR(__xludf.DUMMYFUNCTION("""COMPUTED_VALUE"""),"Ayza Marie Pascual")</f>
        <v>Ayza Marie Pascual</v>
      </c>
      <c r="W723" s="1" t="str">
        <f>IFERROR(__xludf.DUMMYFUNCTION("""COMPUTED_VALUE"""),"Advanced Billing &amp; Subscriptions")</f>
        <v>Advanced Billing &amp; Subscriptions</v>
      </c>
    </row>
    <row r="724">
      <c r="O724" s="1" t="str">
        <f>IFERROR(__xludf.DUMMYFUNCTION("""COMPUTED_VALUE"""),"2025 Aug")</f>
        <v>2025 Aug</v>
      </c>
      <c r="P724" s="1" t="str">
        <f>IFERROR(__xludf.DUMMYFUNCTION("""COMPUTED_VALUE"""),"Print Support")</f>
        <v>Print Support</v>
      </c>
      <c r="Q724" s="1" t="str">
        <f>IFERROR(__xludf.DUMMYFUNCTION("""COMPUTED_VALUE"""),"katejoya@canva.com")</f>
        <v>katejoya@canva.com</v>
      </c>
      <c r="R724" s="1" t="str">
        <f>IFERROR(__xludf.DUMMYFUNCTION("""COMPUTED_VALUE"""),"Katrina Joya")</f>
        <v>Katrina Joya</v>
      </c>
      <c r="S724" s="1">
        <f>IFERROR(__xludf.DUMMYFUNCTION("""COMPUTED_VALUE"""),8.5)</f>
        <v>8.5</v>
      </c>
      <c r="T724" s="1">
        <f>IFERROR(__xludf.DUMMYFUNCTION("""COMPUTED_VALUE"""),12.75)</f>
        <v>12.75</v>
      </c>
      <c r="U724" s="2">
        <f>IFERROR(__xludf.DUMMYFUNCTION("""COMPUTED_VALUE"""),21.25)</f>
        <v>21.25</v>
      </c>
      <c r="V724" s="1" t="str">
        <f>IFERROR(__xludf.DUMMYFUNCTION("""COMPUTED_VALUE"""),"Gem Agoncillo")</f>
        <v>Gem Agoncillo</v>
      </c>
      <c r="W724" s="1" t="str">
        <f>IFERROR(__xludf.DUMMYFUNCTION("""COMPUTED_VALUE"""),"Print Design Support")</f>
        <v>Print Design Support</v>
      </c>
    </row>
    <row r="725">
      <c r="O725" s="1" t="str">
        <f>IFERROR(__xludf.DUMMYFUNCTION("""COMPUTED_VALUE"""),"2025 Aug")</f>
        <v>2025 Aug</v>
      </c>
      <c r="P725" s="1" t="str">
        <f>IFERROR(__xludf.DUMMYFUNCTION("""COMPUTED_VALUE"""),"Core Product Support")</f>
        <v>Core Product Support</v>
      </c>
      <c r="Q725" s="1" t="str">
        <f>IFERROR(__xludf.DUMMYFUNCTION("""COMPUTED_VALUE"""),"kayl@canva.com")</f>
        <v>kayl@canva.com</v>
      </c>
      <c r="R725" s="1" t="str">
        <f>IFERROR(__xludf.DUMMYFUNCTION("""COMPUTED_VALUE"""),"Kayl Albonia")</f>
        <v>Kayl Albonia</v>
      </c>
      <c r="S725" s="1">
        <f>IFERROR(__xludf.DUMMYFUNCTION("""COMPUTED_VALUE"""),23.0)</f>
        <v>23</v>
      </c>
      <c r="T725" s="1">
        <f>IFERROR(__xludf.DUMMYFUNCTION("""COMPUTED_VALUE"""),28.5)</f>
        <v>28.5</v>
      </c>
      <c r="U725" s="2">
        <f>IFERROR(__xludf.DUMMYFUNCTION("""COMPUTED_VALUE"""),51.5)</f>
        <v>51.5</v>
      </c>
      <c r="V725" s="1" t="str">
        <f>IFERROR(__xludf.DUMMYFUNCTION("""COMPUTED_VALUE"""),"Marie Mordeno")</f>
        <v>Marie Mordeno</v>
      </c>
      <c r="W725" s="1" t="str">
        <f>IFERROR(__xludf.DUMMYFUNCTION("""COMPUTED_VALUE"""),"Advanced Billing &amp; Subscriptions")</f>
        <v>Advanced Billing &amp; Subscriptions</v>
      </c>
    </row>
    <row r="726">
      <c r="O726" s="1" t="str">
        <f>IFERROR(__xludf.DUMMYFUNCTION("""COMPUTED_VALUE"""),"2025 Aug")</f>
        <v>2025 Aug</v>
      </c>
      <c r="P726" s="1" t="str">
        <f>IFERROR(__xludf.DUMMYFUNCTION("""COMPUTED_VALUE"""),"High Sensitivity Support")</f>
        <v>High Sensitivity Support</v>
      </c>
      <c r="Q726" s="1" t="str">
        <f>IFERROR(__xludf.DUMMYFUNCTION("""COMPUTED_VALUE"""),"kathlene@canva.com")</f>
        <v>kathlene@canva.com</v>
      </c>
      <c r="R726" s="1" t="str">
        <f>IFERROR(__xludf.DUMMYFUNCTION("""COMPUTED_VALUE"""),"KC Cruz")</f>
        <v>KC Cruz</v>
      </c>
      <c r="S726" s="1">
        <f>IFERROR(__xludf.DUMMYFUNCTION("""COMPUTED_VALUE"""),19.0)</f>
        <v>19</v>
      </c>
      <c r="T726" s="1">
        <f>IFERROR(__xludf.DUMMYFUNCTION("""COMPUTED_VALUE"""),25.52)</f>
        <v>25.52</v>
      </c>
      <c r="U726" s="2">
        <f>IFERROR(__xludf.DUMMYFUNCTION("""COMPUTED_VALUE"""),44.519999999999996)</f>
        <v>44.52</v>
      </c>
      <c r="V726" s="1" t="str">
        <f>IFERROR(__xludf.DUMMYFUNCTION("""COMPUTED_VALUE"""),"Xandy Azarcon")</f>
        <v>Xandy Azarcon</v>
      </c>
      <c r="W726" s="1" t="str">
        <f>IFERROR(__xludf.DUMMYFUNCTION("""COMPUTED_VALUE"""),"High Sensitivity Support PH")</f>
        <v>High Sensitivity Support PH</v>
      </c>
    </row>
    <row r="727">
      <c r="O727" s="1" t="str">
        <f>IFERROR(__xludf.DUMMYFUNCTION("""COMPUTED_VALUE"""),"2025 Aug")</f>
        <v>2025 Aug</v>
      </c>
      <c r="P727" s="1" t="str">
        <f>IFERROR(__xludf.DUMMYFUNCTION("""COMPUTED_VALUE"""),"Admin Support")</f>
        <v>Admin Support</v>
      </c>
      <c r="Q727" s="1" t="str">
        <f>IFERROR(__xludf.DUMMYFUNCTION("""COMPUTED_VALUE"""),"kc@canva.com")</f>
        <v>kc@canva.com</v>
      </c>
      <c r="R727" s="1" t="str">
        <f>IFERROR(__xludf.DUMMYFUNCTION("""COMPUTED_VALUE"""),"KC Sacramento")</f>
        <v>KC Sacramento</v>
      </c>
      <c r="S727" s="1"/>
      <c r="T727" s="1">
        <f>IFERROR(__xludf.DUMMYFUNCTION("""COMPUTED_VALUE"""),11.92)</f>
        <v>11.92</v>
      </c>
      <c r="U727" s="2">
        <f>IFERROR(__xludf.DUMMYFUNCTION("""COMPUTED_VALUE"""),11.92)</f>
        <v>11.92</v>
      </c>
      <c r="V727" s="1" t="str">
        <f>IFERROR(__xludf.DUMMYFUNCTION("""COMPUTED_VALUE"""),"Kelden Laguting")</f>
        <v>Kelden Laguting</v>
      </c>
      <c r="W727" s="1" t="str">
        <f>IFERROR(__xludf.DUMMYFUNCTION("""COMPUTED_VALUE"""),"Admin Omni Support")</f>
        <v>Admin Omni Support</v>
      </c>
    </row>
    <row r="728">
      <c r="O728" s="1" t="str">
        <f>IFERROR(__xludf.DUMMYFUNCTION("""COMPUTED_VALUE"""),"2025 Aug")</f>
        <v>2025 Aug</v>
      </c>
      <c r="P728" s="1" t="str">
        <f>IFERROR(__xludf.DUMMYFUNCTION("""COMPUTED_VALUE"""),"Core Product Support")</f>
        <v>Core Product Support</v>
      </c>
      <c r="Q728" s="1" t="str">
        <f>IFERROR(__xludf.DUMMYFUNCTION("""COMPUTED_VALUE"""),"keisalazar@canva.com")</f>
        <v>keisalazar@canva.com</v>
      </c>
      <c r="R728" s="1" t="str">
        <f>IFERROR(__xludf.DUMMYFUNCTION("""COMPUTED_VALUE"""),"Kei Salazar")</f>
        <v>Kei Salazar</v>
      </c>
      <c r="S728" s="1">
        <f>IFERROR(__xludf.DUMMYFUNCTION("""COMPUTED_VALUE"""),1.0)</f>
        <v>1</v>
      </c>
      <c r="T728" s="1">
        <f>IFERROR(__xludf.DUMMYFUNCTION("""COMPUTED_VALUE"""),1.5)</f>
        <v>1.5</v>
      </c>
      <c r="U728" s="2">
        <f>IFERROR(__xludf.DUMMYFUNCTION("""COMPUTED_VALUE"""),2.5)</f>
        <v>2.5</v>
      </c>
      <c r="V728" s="1" t="str">
        <f>IFERROR(__xludf.DUMMYFUNCTION("""COMPUTED_VALUE"""),"Ayza Marie Pascual")</f>
        <v>Ayza Marie Pascual</v>
      </c>
      <c r="W728" s="1" t="str">
        <f>IFERROR(__xludf.DUMMYFUNCTION("""COMPUTED_VALUE"""),"Advanced Billing &amp; Subscriptions")</f>
        <v>Advanced Billing &amp; Subscriptions</v>
      </c>
    </row>
    <row r="729">
      <c r="O729" s="1" t="str">
        <f>IFERROR(__xludf.DUMMYFUNCTION("""COMPUTED_VALUE"""),"2025 Aug")</f>
        <v>2025 Aug</v>
      </c>
      <c r="P729" s="1" t="str">
        <f>IFERROR(__xludf.DUMMYFUNCTION("""COMPUTED_VALUE"""),"Print Support")</f>
        <v>Print Support</v>
      </c>
      <c r="Q729" s="1" t="str">
        <f>IFERROR(__xludf.DUMMYFUNCTION("""COMPUTED_VALUE"""),"kennethgo@canva.com")</f>
        <v>kennethgo@canva.com</v>
      </c>
      <c r="R729" s="1" t="str">
        <f>IFERROR(__xludf.DUMMYFUNCTION("""COMPUTED_VALUE"""),"Kenneth Go")</f>
        <v>Kenneth Go</v>
      </c>
      <c r="S729" s="1">
        <f>IFERROR(__xludf.DUMMYFUNCTION("""COMPUTED_VALUE"""),7.0)</f>
        <v>7</v>
      </c>
      <c r="T729" s="1">
        <f>IFERROR(__xludf.DUMMYFUNCTION("""COMPUTED_VALUE"""),11.25)</f>
        <v>11.25</v>
      </c>
      <c r="U729" s="2">
        <f>IFERROR(__xludf.DUMMYFUNCTION("""COMPUTED_VALUE"""),18.25)</f>
        <v>18.25</v>
      </c>
      <c r="V729" s="1" t="str">
        <f>IFERROR(__xludf.DUMMYFUNCTION("""COMPUTED_VALUE"""),"Jan Domingo")</f>
        <v>Jan Domingo</v>
      </c>
      <c r="W729" s="1" t="str">
        <f>IFERROR(__xludf.DUMMYFUNCTION("""COMPUTED_VALUE"""),"Print Design Support")</f>
        <v>Print Design Support</v>
      </c>
    </row>
    <row r="730">
      <c r="O730" s="1" t="str">
        <f>IFERROR(__xludf.DUMMYFUNCTION("""COMPUTED_VALUE"""),"2025 Aug")</f>
        <v>2025 Aug</v>
      </c>
      <c r="P730" s="1" t="str">
        <f>IFERROR(__xludf.DUMMYFUNCTION("""COMPUTED_VALUE"""),"Core Product Support")</f>
        <v>Core Product Support</v>
      </c>
      <c r="Q730" s="1" t="str">
        <f>IFERROR(__xludf.DUMMYFUNCTION("""COMPUTED_VALUE"""),"kevingo@canva.com")</f>
        <v>kevingo@canva.com</v>
      </c>
      <c r="R730" s="1" t="str">
        <f>IFERROR(__xludf.DUMMYFUNCTION("""COMPUTED_VALUE"""),"Kevin Go")</f>
        <v>Kevin Go</v>
      </c>
      <c r="S730" s="1">
        <f>IFERROR(__xludf.DUMMYFUNCTION("""COMPUTED_VALUE"""),8.0)</f>
        <v>8</v>
      </c>
      <c r="T730" s="1">
        <f>IFERROR(__xludf.DUMMYFUNCTION("""COMPUTED_VALUE"""),12.33)</f>
        <v>12.33</v>
      </c>
      <c r="U730" s="2">
        <f>IFERROR(__xludf.DUMMYFUNCTION("""COMPUTED_VALUE"""),20.33)</f>
        <v>20.33</v>
      </c>
      <c r="V730" s="1" t="str">
        <f>IFERROR(__xludf.DUMMYFUNCTION("""COMPUTED_VALUE"""),"Belle Bentazal")</f>
        <v>Belle Bentazal</v>
      </c>
      <c r="W730" s="1" t="str">
        <f>IFERROR(__xludf.DUMMYFUNCTION("""COMPUTED_VALUE"""),"Advanced Product Support")</f>
        <v>Advanced Product Support</v>
      </c>
    </row>
    <row r="731">
      <c r="O731" s="1" t="str">
        <f>IFERROR(__xludf.DUMMYFUNCTION("""COMPUTED_VALUE"""),"2025 Aug")</f>
        <v>2025 Aug</v>
      </c>
      <c r="P731" s="1" t="str">
        <f>IFERROR(__xludf.DUMMYFUNCTION("""COMPUTED_VALUE"""),"Core Product Support")</f>
        <v>Core Product Support</v>
      </c>
      <c r="Q731" s="1" t="str">
        <f>IFERROR(__xludf.DUMMYFUNCTION("""COMPUTED_VALUE"""),"kevromuga@canva.com")</f>
        <v>kevromuga@canva.com</v>
      </c>
      <c r="R731" s="1" t="str">
        <f>IFERROR(__xludf.DUMMYFUNCTION("""COMPUTED_VALUE"""),"Kevin John Romuga")</f>
        <v>Kevin John Romuga</v>
      </c>
      <c r="S731" s="1">
        <f>IFERROR(__xludf.DUMMYFUNCTION("""COMPUTED_VALUE"""),26.42)</f>
        <v>26.42</v>
      </c>
      <c r="T731" s="1">
        <f>IFERROR(__xludf.DUMMYFUNCTION("""COMPUTED_VALUE"""),39.92)</f>
        <v>39.92</v>
      </c>
      <c r="U731" s="2">
        <f>IFERROR(__xludf.DUMMYFUNCTION("""COMPUTED_VALUE"""),66.34)</f>
        <v>66.34</v>
      </c>
      <c r="V731" s="1" t="str">
        <f>IFERROR(__xludf.DUMMYFUNCTION("""COMPUTED_VALUE"""),"Renette Bok")</f>
        <v>Renette Bok</v>
      </c>
      <c r="W731" s="1" t="str">
        <f>IFERROR(__xludf.DUMMYFUNCTION("""COMPUTED_VALUE"""),"Advanced Billing &amp; Subscriptions")</f>
        <v>Advanced Billing &amp; Subscriptions</v>
      </c>
    </row>
    <row r="732">
      <c r="O732" s="1" t="str">
        <f>IFERROR(__xludf.DUMMYFUNCTION("""COMPUTED_VALUE"""),"2025 Aug")</f>
        <v>2025 Aug</v>
      </c>
      <c r="P732" s="1" t="str">
        <f>IFERROR(__xludf.DUMMYFUNCTION("""COMPUTED_VALUE"""),"Core Product Support")</f>
        <v>Core Product Support</v>
      </c>
      <c r="Q732" s="1" t="str">
        <f>IFERROR(__xludf.DUMMYFUNCTION("""COMPUTED_VALUE"""),"kimmescallado@canva.com")</f>
        <v>kimmescallado@canva.com</v>
      </c>
      <c r="R732" s="1" t="str">
        <f>IFERROR(__xludf.DUMMYFUNCTION("""COMPUTED_VALUE"""),"Kim Mescallado")</f>
        <v>Kim Mescallado</v>
      </c>
      <c r="S732" s="1">
        <f>IFERROR(__xludf.DUMMYFUNCTION("""COMPUTED_VALUE"""),30.0)</f>
        <v>30</v>
      </c>
      <c r="T732" s="1">
        <f>IFERROR(__xludf.DUMMYFUNCTION("""COMPUTED_VALUE"""),73.75)</f>
        <v>73.75</v>
      </c>
      <c r="U732" s="2">
        <f>IFERROR(__xludf.DUMMYFUNCTION("""COMPUTED_VALUE"""),103.75)</f>
        <v>103.75</v>
      </c>
      <c r="V732" s="1" t="str">
        <f>IFERROR(__xludf.DUMMYFUNCTION("""COMPUTED_VALUE"""),"Belle Bentazal")</f>
        <v>Belle Bentazal</v>
      </c>
      <c r="W732" s="1" t="str">
        <f>IFERROR(__xludf.DUMMYFUNCTION("""COMPUTED_VALUE"""),"Advanced Product Support")</f>
        <v>Advanced Product Support</v>
      </c>
    </row>
    <row r="733">
      <c r="O733" s="1" t="str">
        <f>IFERROR(__xludf.DUMMYFUNCTION("""COMPUTED_VALUE"""),"2025 Aug")</f>
        <v>2025 Aug</v>
      </c>
      <c r="P733" s="1" t="str">
        <f>IFERROR(__xludf.DUMMYFUNCTION("""COMPUTED_VALUE"""),"#N/A")</f>
        <v>#N/A</v>
      </c>
      <c r="Q733" s="1" t="str">
        <f>IFERROR(__xludf.DUMMYFUNCTION("""COMPUTED_VALUE"""),"kimmi@canva.com")</f>
        <v>kimmi@canva.com</v>
      </c>
      <c r="R733" s="1" t="str">
        <f>IFERROR(__xludf.DUMMYFUNCTION("""COMPUTED_VALUE"""),"Kim Mondala")</f>
        <v>Kim Mondala</v>
      </c>
      <c r="S733" s="1"/>
      <c r="T733" s="1">
        <f>IFERROR(__xludf.DUMMYFUNCTION("""COMPUTED_VALUE"""),0.0)</f>
        <v>0</v>
      </c>
      <c r="U733" s="2">
        <f>IFERROR(__xludf.DUMMYFUNCTION("""COMPUTED_VALUE"""),0.0)</f>
        <v>0</v>
      </c>
      <c r="V733" s="1" t="str">
        <f>IFERROR(__xludf.DUMMYFUNCTION("""COMPUTED_VALUE"""),"#N/A")</f>
        <v>#N/A</v>
      </c>
      <c r="W733" s="1" t="str">
        <f>IFERROR(__xludf.DUMMYFUNCTION("""COMPUTED_VALUE"""),"Admin Omni Support")</f>
        <v>Admin Omni Support</v>
      </c>
    </row>
    <row r="734">
      <c r="O734" s="1" t="str">
        <f>IFERROR(__xludf.DUMMYFUNCTION("""COMPUTED_VALUE"""),"2025 Aug")</f>
        <v>2025 Aug</v>
      </c>
      <c r="P734" s="1" t="str">
        <f>IFERROR(__xludf.DUMMYFUNCTION("""COMPUTED_VALUE"""),"Admin Support")</f>
        <v>Admin Support</v>
      </c>
      <c r="Q734" s="1" t="str">
        <f>IFERROR(__xludf.DUMMYFUNCTION("""COMPUTED_VALUE"""),"kiro@canva.com")</f>
        <v>kiro@canva.com</v>
      </c>
      <c r="R734" s="1" t="str">
        <f>IFERROR(__xludf.DUMMYFUNCTION("""COMPUTED_VALUE"""),"Kiro Mondala")</f>
        <v>Kiro Mondala</v>
      </c>
      <c r="S734" s="1"/>
      <c r="T734" s="1">
        <f>IFERROR(__xludf.DUMMYFUNCTION("""COMPUTED_VALUE"""),0.0)</f>
        <v>0</v>
      </c>
      <c r="U734" s="2">
        <f>IFERROR(__xludf.DUMMYFUNCTION("""COMPUTED_VALUE"""),0.0)</f>
        <v>0</v>
      </c>
      <c r="V734" s="1" t="str">
        <f>IFERROR(__xludf.DUMMYFUNCTION("""COMPUTED_VALUE"""),"Kelden Laguting")</f>
        <v>Kelden Laguting</v>
      </c>
      <c r="W734" s="1" t="str">
        <f>IFERROR(__xludf.DUMMYFUNCTION("""COMPUTED_VALUE"""),"Admin Omni Support")</f>
        <v>Admin Omni Support</v>
      </c>
    </row>
    <row r="735">
      <c r="O735" s="1" t="str">
        <f>IFERROR(__xludf.DUMMYFUNCTION("""COMPUTED_VALUE"""),"2025 Aug")</f>
        <v>2025 Aug</v>
      </c>
      <c r="P735" s="1" t="str">
        <f>IFERROR(__xludf.DUMMYFUNCTION("""COMPUTED_VALUE"""),"Core Product Support")</f>
        <v>Core Product Support</v>
      </c>
      <c r="Q735" s="1" t="str">
        <f>IFERROR(__xludf.DUMMYFUNCTION("""COMPUTED_VALUE"""),"krisalava@canva.com")</f>
        <v>krisalava@canva.com</v>
      </c>
      <c r="R735" s="1" t="str">
        <f>IFERROR(__xludf.DUMMYFUNCTION("""COMPUTED_VALUE"""),"Kris Alava")</f>
        <v>Kris Alava</v>
      </c>
      <c r="S735" s="1">
        <f>IFERROR(__xludf.DUMMYFUNCTION("""COMPUTED_VALUE"""),6.0)</f>
        <v>6</v>
      </c>
      <c r="T735" s="1">
        <f>IFERROR(__xludf.DUMMYFUNCTION("""COMPUTED_VALUE"""),15.92)</f>
        <v>15.92</v>
      </c>
      <c r="U735" s="2">
        <f>IFERROR(__xludf.DUMMYFUNCTION("""COMPUTED_VALUE"""),21.92)</f>
        <v>21.92</v>
      </c>
      <c r="V735" s="1" t="str">
        <f>IFERROR(__xludf.DUMMYFUNCTION("""COMPUTED_VALUE"""),"Sieg Ballelos")</f>
        <v>Sieg Ballelos</v>
      </c>
      <c r="W735" s="1" t="str">
        <f>IFERROR(__xludf.DUMMYFUNCTION("""COMPUTED_VALUE"""),"Core Product Support Escalation Team")</f>
        <v>Core Product Support Escalation Team</v>
      </c>
    </row>
    <row r="736">
      <c r="O736" s="1" t="str">
        <f>IFERROR(__xludf.DUMMYFUNCTION("""COMPUTED_VALUE"""),"2025 Aug")</f>
        <v>2025 Aug</v>
      </c>
      <c r="P736" s="1" t="str">
        <f>IFERROR(__xludf.DUMMYFUNCTION("""COMPUTED_VALUE"""),"#N/A")</f>
        <v>#N/A</v>
      </c>
      <c r="Q736" s="1" t="str">
        <f>IFERROR(__xludf.DUMMYFUNCTION("""COMPUTED_VALUE"""),"kjverzosa@canva.com")</f>
        <v>kjverzosa@canva.com</v>
      </c>
      <c r="R736" s="1" t="str">
        <f>IFERROR(__xludf.DUMMYFUNCTION("""COMPUTED_VALUE"""),"Krisha Verzosa")</f>
        <v>Krisha Verzosa</v>
      </c>
      <c r="S736" s="1"/>
      <c r="T736" s="1">
        <f>IFERROR(__xludf.DUMMYFUNCTION("""COMPUTED_VALUE"""),0.0)</f>
        <v>0</v>
      </c>
      <c r="U736" s="2">
        <f>IFERROR(__xludf.DUMMYFUNCTION("""COMPUTED_VALUE"""),0.0)</f>
        <v>0</v>
      </c>
      <c r="V736" s="1" t="str">
        <f>IFERROR(__xludf.DUMMYFUNCTION("""COMPUTED_VALUE"""),"#N/A")</f>
        <v>#N/A</v>
      </c>
      <c r="W736" s="1" t="str">
        <f>IFERROR(__xludf.DUMMYFUNCTION("""COMPUTED_VALUE"""),"#N/A")</f>
        <v>#N/A</v>
      </c>
    </row>
    <row r="737">
      <c r="O737" s="1" t="str">
        <f>IFERROR(__xludf.DUMMYFUNCTION("""COMPUTED_VALUE"""),"2025 Aug")</f>
        <v>2025 Aug</v>
      </c>
      <c r="P737" s="1" t="str">
        <f>IFERROR(__xludf.DUMMYFUNCTION("""COMPUTED_VALUE"""),"Core Product Support")</f>
        <v>Core Product Support</v>
      </c>
      <c r="Q737" s="1" t="str">
        <f>IFERROR(__xludf.DUMMYFUNCTION("""COMPUTED_VALUE"""),"kylep@canva.com")</f>
        <v>kylep@canva.com</v>
      </c>
      <c r="R737" s="1" t="str">
        <f>IFERROR(__xludf.DUMMYFUNCTION("""COMPUTED_VALUE"""),"Kyle Pajarillo")</f>
        <v>Kyle Pajarillo</v>
      </c>
      <c r="S737" s="1">
        <f>IFERROR(__xludf.DUMMYFUNCTION("""COMPUTED_VALUE"""),29.5)</f>
        <v>29.5</v>
      </c>
      <c r="T737" s="1">
        <f>IFERROR(__xludf.DUMMYFUNCTION("""COMPUTED_VALUE"""),39.42)</f>
        <v>39.42</v>
      </c>
      <c r="U737" s="2">
        <f>IFERROR(__xludf.DUMMYFUNCTION("""COMPUTED_VALUE"""),68.92)</f>
        <v>68.92</v>
      </c>
      <c r="V737" s="1" t="str">
        <f>IFERROR(__xludf.DUMMYFUNCTION("""COMPUTED_VALUE"""),"Marie Mordeno")</f>
        <v>Marie Mordeno</v>
      </c>
      <c r="W737" s="1" t="str">
        <f>IFERROR(__xludf.DUMMYFUNCTION("""COMPUTED_VALUE"""),"Advanced Billing &amp; Subscriptions")</f>
        <v>Advanced Billing &amp; Subscriptions</v>
      </c>
    </row>
    <row r="738">
      <c r="O738" s="1" t="str">
        <f>IFERROR(__xludf.DUMMYFUNCTION("""COMPUTED_VALUE"""),"2025 Aug")</f>
        <v>2025 Aug</v>
      </c>
      <c r="P738" s="1" t="str">
        <f>IFERROR(__xludf.DUMMYFUNCTION("""COMPUTED_VALUE"""),"Core Product Support")</f>
        <v>Core Product Support</v>
      </c>
      <c r="Q738" s="1" t="str">
        <f>IFERROR(__xludf.DUMMYFUNCTION("""COMPUTED_VALUE"""),"lailav@canva.com")</f>
        <v>lailav@canva.com</v>
      </c>
      <c r="R738" s="1" t="str">
        <f>IFERROR(__xludf.DUMMYFUNCTION("""COMPUTED_VALUE"""),"Laila Villamor")</f>
        <v>Laila Villamor</v>
      </c>
      <c r="S738" s="1">
        <f>IFERROR(__xludf.DUMMYFUNCTION("""COMPUTED_VALUE"""),24.0)</f>
        <v>24</v>
      </c>
      <c r="T738" s="1">
        <f>IFERROR(__xludf.DUMMYFUNCTION("""COMPUTED_VALUE"""),40.0)</f>
        <v>40</v>
      </c>
      <c r="U738" s="2">
        <f>IFERROR(__xludf.DUMMYFUNCTION("""COMPUTED_VALUE"""),64.0)</f>
        <v>64</v>
      </c>
      <c r="V738" s="1" t="str">
        <f>IFERROR(__xludf.DUMMYFUNCTION("""COMPUTED_VALUE"""),"Jahmie Mae Barrameda")</f>
        <v>Jahmie Mae Barrameda</v>
      </c>
      <c r="W738" s="1" t="str">
        <f>IFERROR(__xludf.DUMMYFUNCTION("""COMPUTED_VALUE"""),"Advanced Billing &amp; Subscriptions")</f>
        <v>Advanced Billing &amp; Subscriptions</v>
      </c>
    </row>
    <row r="739">
      <c r="O739" s="1" t="str">
        <f>IFERROR(__xludf.DUMMYFUNCTION("""COMPUTED_VALUE"""),"2025 Aug")</f>
        <v>2025 Aug</v>
      </c>
      <c r="P739" s="1" t="str">
        <f>IFERROR(__xludf.DUMMYFUNCTION("""COMPUTED_VALUE"""),"Print Support")</f>
        <v>Print Support</v>
      </c>
      <c r="Q739" s="1" t="str">
        <f>IFERROR(__xludf.DUMMYFUNCTION("""COMPUTED_VALUE"""),"lancer@canva.com")</f>
        <v>lancer@canva.com</v>
      </c>
      <c r="R739" s="1" t="str">
        <f>IFERROR(__xludf.DUMMYFUNCTION("""COMPUTED_VALUE"""),"Lance Guevarra")</f>
        <v>Lance Guevarra</v>
      </c>
      <c r="S739" s="1">
        <f>IFERROR(__xludf.DUMMYFUNCTION("""COMPUTED_VALUE"""),1.42)</f>
        <v>1.42</v>
      </c>
      <c r="T739" s="1">
        <f>IFERROR(__xludf.DUMMYFUNCTION("""COMPUTED_VALUE"""),10.17)</f>
        <v>10.17</v>
      </c>
      <c r="U739" s="2">
        <f>IFERROR(__xludf.DUMMYFUNCTION("""COMPUTED_VALUE"""),11.59)</f>
        <v>11.59</v>
      </c>
      <c r="V739" s="1" t="str">
        <f>IFERROR(__xludf.DUMMYFUNCTION("""COMPUTED_VALUE"""),"Jen Momo")</f>
        <v>Jen Momo</v>
      </c>
      <c r="W739" s="1" t="str">
        <f>IFERROR(__xludf.DUMMYFUNCTION("""COMPUTED_VALUE"""),"Print Support PH")</f>
        <v>Print Support PH</v>
      </c>
    </row>
    <row r="740">
      <c r="O740" s="1" t="str">
        <f>IFERROR(__xludf.DUMMYFUNCTION("""COMPUTED_VALUE"""),"2025 Aug")</f>
        <v>2025 Aug</v>
      </c>
      <c r="P740" s="1" t="str">
        <f>IFERROR(__xludf.DUMMYFUNCTION("""COMPUTED_VALUE"""),"Segment-specific Support")</f>
        <v>Segment-specific Support</v>
      </c>
      <c r="Q740" s="1" t="str">
        <f>IFERROR(__xludf.DUMMYFUNCTION("""COMPUTED_VALUE"""),"lance@canva.com")</f>
        <v>lance@canva.com</v>
      </c>
      <c r="R740" s="1" t="str">
        <f>IFERROR(__xludf.DUMMYFUNCTION("""COMPUTED_VALUE"""),"Lance Reyes")</f>
        <v>Lance Reyes</v>
      </c>
      <c r="S740" s="1">
        <f>IFERROR(__xludf.DUMMYFUNCTION("""COMPUTED_VALUE"""),5.75)</f>
        <v>5.75</v>
      </c>
      <c r="T740" s="1">
        <f>IFERROR(__xludf.DUMMYFUNCTION("""COMPUTED_VALUE"""),15.8)</f>
        <v>15.8</v>
      </c>
      <c r="U740" s="2">
        <f>IFERROR(__xludf.DUMMYFUNCTION("""COMPUTED_VALUE"""),21.55)</f>
        <v>21.55</v>
      </c>
      <c r="V740" s="1" t="str">
        <f>IFERROR(__xludf.DUMMYFUNCTION("""COMPUTED_VALUE"""),"Gucci Nava")</f>
        <v>Gucci Nava</v>
      </c>
      <c r="W740" s="1" t="str">
        <f>IFERROR(__xludf.DUMMYFUNCTION("""COMPUTED_VALUE"""),"Affinity Support")</f>
        <v>Affinity Support</v>
      </c>
    </row>
    <row r="741">
      <c r="O741" s="1" t="str">
        <f>IFERROR(__xludf.DUMMYFUNCTION("""COMPUTED_VALUE"""),"2025 Aug")</f>
        <v>2025 Aug</v>
      </c>
      <c r="P741" s="1" t="str">
        <f>IFERROR(__xludf.DUMMYFUNCTION("""COMPUTED_VALUE"""),"Admin Support")</f>
        <v>Admin Support</v>
      </c>
      <c r="Q741" s="1" t="str">
        <f>IFERROR(__xludf.DUMMYFUNCTION("""COMPUTED_VALUE"""),"le@canva.com")</f>
        <v>le@canva.com</v>
      </c>
      <c r="R741" s="1" t="str">
        <f>IFERROR(__xludf.DUMMYFUNCTION("""COMPUTED_VALUE"""),"Lean Cruda")</f>
        <v>Lean Cruda</v>
      </c>
      <c r="S741" s="1">
        <f>IFERROR(__xludf.DUMMYFUNCTION("""COMPUTED_VALUE"""),11.25)</f>
        <v>11.25</v>
      </c>
      <c r="T741" s="1">
        <f>IFERROR(__xludf.DUMMYFUNCTION("""COMPUTED_VALUE"""),15.25)</f>
        <v>15.25</v>
      </c>
      <c r="U741" s="2">
        <f>IFERROR(__xludf.DUMMYFUNCTION("""COMPUTED_VALUE"""),26.5)</f>
        <v>26.5</v>
      </c>
      <c r="V741" s="1" t="str">
        <f>IFERROR(__xludf.DUMMYFUNCTION("""COMPUTED_VALUE"""),"Karla Mananghaya")</f>
        <v>Karla Mananghaya</v>
      </c>
      <c r="W741" s="1" t="str">
        <f>IFERROR(__xludf.DUMMYFUNCTION("""COMPUTED_VALUE"""),"Admin Support Service Escalation Team")</f>
        <v>Admin Support Service Escalation Team</v>
      </c>
    </row>
    <row r="742">
      <c r="O742" s="1" t="str">
        <f>IFERROR(__xludf.DUMMYFUNCTION("""COMPUTED_VALUE"""),"2025 Aug")</f>
        <v>2025 Aug</v>
      </c>
      <c r="P742" s="1" t="str">
        <f>IFERROR(__xludf.DUMMYFUNCTION("""COMPUTED_VALUE"""),"High Sensitivity Support")</f>
        <v>High Sensitivity Support</v>
      </c>
      <c r="Q742" s="1" t="str">
        <f>IFERROR(__xludf.DUMMYFUNCTION("""COMPUTED_VALUE"""),"leanp@canva.com")</f>
        <v>leanp@canva.com</v>
      </c>
      <c r="R742" s="1" t="str">
        <f>IFERROR(__xludf.DUMMYFUNCTION("""COMPUTED_VALUE"""),"Lean Reyes")</f>
        <v>Lean Reyes</v>
      </c>
      <c r="S742" s="1"/>
      <c r="T742" s="1">
        <f>IFERROR(__xludf.DUMMYFUNCTION("""COMPUTED_VALUE"""),5.48)</f>
        <v>5.48</v>
      </c>
      <c r="U742" s="2">
        <f>IFERROR(__xludf.DUMMYFUNCTION("""COMPUTED_VALUE"""),5.48)</f>
        <v>5.48</v>
      </c>
      <c r="V742" s="1" t="str">
        <f>IFERROR(__xludf.DUMMYFUNCTION("""COMPUTED_VALUE"""),"Issi Afable")</f>
        <v>Issi Afable</v>
      </c>
      <c r="W742" s="1" t="str">
        <f>IFERROR(__xludf.DUMMYFUNCTION("""COMPUTED_VALUE"""),"High Sensitivity Support PH")</f>
        <v>High Sensitivity Support PH</v>
      </c>
    </row>
    <row r="743">
      <c r="O743" s="1" t="str">
        <f>IFERROR(__xludf.DUMMYFUNCTION("""COMPUTED_VALUE"""),"2025 Aug")</f>
        <v>2025 Aug</v>
      </c>
      <c r="P743" s="1" t="str">
        <f>IFERROR(__xludf.DUMMYFUNCTION("""COMPUTED_VALUE"""),"Print Support")</f>
        <v>Print Support</v>
      </c>
      <c r="Q743" s="1" t="str">
        <f>IFERROR(__xludf.DUMMYFUNCTION("""COMPUTED_VALUE"""),"larce@canva.com")</f>
        <v>larce@canva.com</v>
      </c>
      <c r="R743" s="1" t="str">
        <f>IFERROR(__xludf.DUMMYFUNCTION("""COMPUTED_VALUE"""),"Lee Arce")</f>
        <v>Lee Arce</v>
      </c>
      <c r="S743" s="1">
        <f>IFERROR(__xludf.DUMMYFUNCTION("""COMPUTED_VALUE"""),5.0)</f>
        <v>5</v>
      </c>
      <c r="T743" s="1">
        <f>IFERROR(__xludf.DUMMYFUNCTION("""COMPUTED_VALUE"""),12.03)</f>
        <v>12.03</v>
      </c>
      <c r="U743" s="2">
        <f>IFERROR(__xludf.DUMMYFUNCTION("""COMPUTED_VALUE"""),17.03)</f>
        <v>17.03</v>
      </c>
      <c r="V743" s="1" t="str">
        <f>IFERROR(__xludf.DUMMYFUNCTION("""COMPUTED_VALUE"""),"Althea Mercado")</f>
        <v>Althea Mercado</v>
      </c>
      <c r="W743" s="1" t="str">
        <f>IFERROR(__xludf.DUMMYFUNCTION("""COMPUTED_VALUE"""),"Print Support PH")</f>
        <v>Print Support PH</v>
      </c>
    </row>
    <row r="744">
      <c r="O744" s="1" t="str">
        <f>IFERROR(__xludf.DUMMYFUNCTION("""COMPUTED_VALUE"""),"2025 Aug")</f>
        <v>2025 Aug</v>
      </c>
      <c r="P744" s="1" t="str">
        <f>IFERROR(__xludf.DUMMYFUNCTION("""COMPUTED_VALUE"""),"Core Product Support")</f>
        <v>Core Product Support</v>
      </c>
      <c r="Q744" s="1" t="str">
        <f>IFERROR(__xludf.DUMMYFUNCTION("""COMPUTED_VALUE"""),"leilanie@canva.com")</f>
        <v>leilanie@canva.com</v>
      </c>
      <c r="R744" s="1" t="str">
        <f>IFERROR(__xludf.DUMMYFUNCTION("""COMPUTED_VALUE"""),"Lei Gratuito")</f>
        <v>Lei Gratuito</v>
      </c>
      <c r="S744" s="1">
        <f>IFERROR(__xludf.DUMMYFUNCTION("""COMPUTED_VALUE"""),18.25)</f>
        <v>18.25</v>
      </c>
      <c r="T744" s="1">
        <f>IFERROR(__xludf.DUMMYFUNCTION("""COMPUTED_VALUE"""),37.92)</f>
        <v>37.92</v>
      </c>
      <c r="U744" s="2">
        <f>IFERROR(__xludf.DUMMYFUNCTION("""COMPUTED_VALUE"""),56.17)</f>
        <v>56.17</v>
      </c>
      <c r="V744" s="1" t="str">
        <f>IFERROR(__xludf.DUMMYFUNCTION("""COMPUTED_VALUE"""),"Renette Bok")</f>
        <v>Renette Bok</v>
      </c>
      <c r="W744" s="1" t="str">
        <f>IFERROR(__xludf.DUMMYFUNCTION("""COMPUTED_VALUE"""),"Advanced Billing &amp; Subscriptions")</f>
        <v>Advanced Billing &amp; Subscriptions</v>
      </c>
    </row>
    <row r="745">
      <c r="O745" s="1" t="str">
        <f>IFERROR(__xludf.DUMMYFUNCTION("""COMPUTED_VALUE"""),"2025 Aug")</f>
        <v>2025 Aug</v>
      </c>
      <c r="P745" s="1" t="str">
        <f>IFERROR(__xludf.DUMMYFUNCTION("""COMPUTED_VALUE"""),"Core Product Support")</f>
        <v>Core Product Support</v>
      </c>
      <c r="Q745" s="1" t="str">
        <f>IFERROR(__xludf.DUMMYFUNCTION("""COMPUTED_VALUE"""),"leonard@canva.com")</f>
        <v>leonard@canva.com</v>
      </c>
      <c r="R745" s="1" t="str">
        <f>IFERROR(__xludf.DUMMYFUNCTION("""COMPUTED_VALUE"""),"Leonard Baguio")</f>
        <v>Leonard Baguio</v>
      </c>
      <c r="S745" s="1">
        <f>IFERROR(__xludf.DUMMYFUNCTION("""COMPUTED_VALUE"""),8.0)</f>
        <v>8</v>
      </c>
      <c r="T745" s="1">
        <f>IFERROR(__xludf.DUMMYFUNCTION("""COMPUTED_VALUE"""),11.25)</f>
        <v>11.25</v>
      </c>
      <c r="U745" s="2">
        <f>IFERROR(__xludf.DUMMYFUNCTION("""COMPUTED_VALUE"""),19.25)</f>
        <v>19.25</v>
      </c>
      <c r="V745" s="1" t="str">
        <f>IFERROR(__xludf.DUMMYFUNCTION("""COMPUTED_VALUE"""),"Jelyn Elmido")</f>
        <v>Jelyn Elmido</v>
      </c>
      <c r="W745" s="1" t="str">
        <f>IFERROR(__xludf.DUMMYFUNCTION("""COMPUTED_VALUE"""),"Core Product Support Escalation Team")</f>
        <v>Core Product Support Escalation Team</v>
      </c>
    </row>
    <row r="746">
      <c r="O746" s="1" t="str">
        <f>IFERROR(__xludf.DUMMYFUNCTION("""COMPUTED_VALUE"""),"2025 Aug")</f>
        <v>2025 Aug</v>
      </c>
      <c r="P746" s="1" t="str">
        <f>IFERROR(__xludf.DUMMYFUNCTION("""COMPUTED_VALUE"""),"Print Support")</f>
        <v>Print Support</v>
      </c>
      <c r="Q746" s="1" t="str">
        <f>IFERROR(__xludf.DUMMYFUNCTION("""COMPUTED_VALUE"""),"anneharriet@canva.com")</f>
        <v>anneharriet@canva.com</v>
      </c>
      <c r="R746" s="1" t="str">
        <f>IFERROR(__xludf.DUMMYFUNCTION("""COMPUTED_VALUE"""),"Leslie Anne Gilua")</f>
        <v>Leslie Anne Gilua</v>
      </c>
      <c r="S746" s="1">
        <f>IFERROR(__xludf.DUMMYFUNCTION("""COMPUTED_VALUE"""),3.17)</f>
        <v>3.17</v>
      </c>
      <c r="T746" s="1">
        <f>IFERROR(__xludf.DUMMYFUNCTION("""COMPUTED_VALUE"""),13.5)</f>
        <v>13.5</v>
      </c>
      <c r="U746" s="2">
        <f>IFERROR(__xludf.DUMMYFUNCTION("""COMPUTED_VALUE"""),16.67)</f>
        <v>16.67</v>
      </c>
      <c r="V746" s="1" t="str">
        <f>IFERROR(__xludf.DUMMYFUNCTION("""COMPUTED_VALUE"""),"Louise Dianne Estrella")</f>
        <v>Louise Dianne Estrella</v>
      </c>
      <c r="W746" s="1" t="str">
        <f>IFERROR(__xludf.DUMMYFUNCTION("""COMPUTED_VALUE"""),"Print Support PH")</f>
        <v>Print Support PH</v>
      </c>
    </row>
    <row r="747">
      <c r="O747" s="1" t="str">
        <f>IFERROR(__xludf.DUMMYFUNCTION("""COMPUTED_VALUE"""),"2025 Aug")</f>
        <v>2025 Aug</v>
      </c>
      <c r="P747" s="1" t="str">
        <f>IFERROR(__xludf.DUMMYFUNCTION("""COMPUTED_VALUE"""),"Core Product Support")</f>
        <v>Core Product Support</v>
      </c>
      <c r="Q747" s="1" t="str">
        <f>IFERROR(__xludf.DUMMYFUNCTION("""COMPUTED_VALUE"""),"lewisjarvin@canva.com")</f>
        <v>lewisjarvin@canva.com</v>
      </c>
      <c r="R747" s="1" t="str">
        <f>IFERROR(__xludf.DUMMYFUNCTION("""COMPUTED_VALUE"""),"Lewis Ramirez")</f>
        <v>Lewis Ramirez</v>
      </c>
      <c r="S747" s="1">
        <f>IFERROR(__xludf.DUMMYFUNCTION("""COMPUTED_VALUE"""),5.08)</f>
        <v>5.08</v>
      </c>
      <c r="T747" s="1">
        <f>IFERROR(__xludf.DUMMYFUNCTION("""COMPUTED_VALUE"""),43.83)</f>
        <v>43.83</v>
      </c>
      <c r="U747" s="2">
        <f>IFERROR(__xludf.DUMMYFUNCTION("""COMPUTED_VALUE"""),48.91)</f>
        <v>48.91</v>
      </c>
      <c r="V747" s="1" t="str">
        <f>IFERROR(__xludf.DUMMYFUNCTION("""COMPUTED_VALUE"""),"Mikhaela Decangchon")</f>
        <v>Mikhaela Decangchon</v>
      </c>
      <c r="W747" s="1" t="str">
        <f>IFERROR(__xludf.DUMMYFUNCTION("""COMPUTED_VALUE"""),"Advanced Product Support")</f>
        <v>Advanced Product Support</v>
      </c>
    </row>
    <row r="748">
      <c r="O748" s="1" t="str">
        <f>IFERROR(__xludf.DUMMYFUNCTION("""COMPUTED_VALUE"""),"2025 Aug")</f>
        <v>2025 Aug</v>
      </c>
      <c r="P748" s="1" t="str">
        <f>IFERROR(__xludf.DUMMYFUNCTION("""COMPUTED_VALUE"""),"Segment-specific Support")</f>
        <v>Segment-specific Support</v>
      </c>
      <c r="Q748" s="1" t="str">
        <f>IFERROR(__xludf.DUMMYFUNCTION("""COMPUTED_VALUE"""),"liabaclay@canva.com")</f>
        <v>liabaclay@canva.com</v>
      </c>
      <c r="R748" s="1" t="str">
        <f>IFERROR(__xludf.DUMMYFUNCTION("""COMPUTED_VALUE"""),"Lia Baclay")</f>
        <v>Lia Baclay</v>
      </c>
      <c r="S748" s="1">
        <f>IFERROR(__xludf.DUMMYFUNCTION("""COMPUTED_VALUE"""),3.5)</f>
        <v>3.5</v>
      </c>
      <c r="T748" s="1">
        <f>IFERROR(__xludf.DUMMYFUNCTION("""COMPUTED_VALUE"""),6.5)</f>
        <v>6.5</v>
      </c>
      <c r="U748" s="2">
        <f>IFERROR(__xludf.DUMMYFUNCTION("""COMPUTED_VALUE"""),10.0)</f>
        <v>10</v>
      </c>
      <c r="V748" s="1" t="str">
        <f>IFERROR(__xludf.DUMMYFUNCTION("""COMPUTED_VALUE"""),"Rose Gabilan")</f>
        <v>Rose Gabilan</v>
      </c>
      <c r="W748" s="1" t="str">
        <f>IFERROR(__xludf.DUMMYFUNCTION("""COMPUTED_VALUE"""),"Affinity Support")</f>
        <v>Affinity Support</v>
      </c>
    </row>
    <row r="749">
      <c r="O749" s="1" t="str">
        <f>IFERROR(__xludf.DUMMYFUNCTION("""COMPUTED_VALUE"""),"2025 Aug")</f>
        <v>2025 Aug</v>
      </c>
      <c r="P749" s="1" t="str">
        <f>IFERROR(__xludf.DUMMYFUNCTION("""COMPUTED_VALUE"""),"Segment-specific Support")</f>
        <v>Segment-specific Support</v>
      </c>
      <c r="Q749" s="1" t="str">
        <f>IFERROR(__xludf.DUMMYFUNCTION("""COMPUTED_VALUE"""),"liberty@canva.com")</f>
        <v>liberty@canva.com</v>
      </c>
      <c r="R749" s="1" t="str">
        <f>IFERROR(__xludf.DUMMYFUNCTION("""COMPUTED_VALUE"""),"Liberty Casala")</f>
        <v>Liberty Casala</v>
      </c>
      <c r="S749" s="1"/>
      <c r="T749" s="1">
        <f>IFERROR(__xludf.DUMMYFUNCTION("""COMPUTED_VALUE"""),8.5)</f>
        <v>8.5</v>
      </c>
      <c r="U749" s="2">
        <f>IFERROR(__xludf.DUMMYFUNCTION("""COMPUTED_VALUE"""),8.5)</f>
        <v>8.5</v>
      </c>
      <c r="V749" s="1" t="str">
        <f>IFERROR(__xludf.DUMMYFUNCTION("""COMPUTED_VALUE"""),"Gucci Nava")</f>
        <v>Gucci Nava</v>
      </c>
      <c r="W749" s="1" t="str">
        <f>IFERROR(__xludf.DUMMYFUNCTION("""COMPUTED_VALUE"""),"Print Support PH")</f>
        <v>Print Support PH</v>
      </c>
    </row>
    <row r="750">
      <c r="O750" s="1" t="str">
        <f>IFERROR(__xludf.DUMMYFUNCTION("""COMPUTED_VALUE"""),"2025 Aug")</f>
        <v>2025 Aug</v>
      </c>
      <c r="P750" s="1" t="str">
        <f>IFERROR(__xludf.DUMMYFUNCTION("""COMPUTED_VALUE"""),"Print Support")</f>
        <v>Print Support</v>
      </c>
      <c r="Q750" s="1" t="str">
        <f>IFERROR(__xludf.DUMMYFUNCTION("""COMPUTED_VALUE"""),"loise@canva.com")</f>
        <v>loise@canva.com</v>
      </c>
      <c r="R750" s="1" t="str">
        <f>IFERROR(__xludf.DUMMYFUNCTION("""COMPUTED_VALUE"""),"Loise Dela Cruz")</f>
        <v>Loise Dela Cruz</v>
      </c>
      <c r="S750" s="1">
        <f>IFERROR(__xludf.DUMMYFUNCTION("""COMPUTED_VALUE"""),7.17)</f>
        <v>7.17</v>
      </c>
      <c r="T750" s="1">
        <f>IFERROR(__xludf.DUMMYFUNCTION("""COMPUTED_VALUE"""),10.67)</f>
        <v>10.67</v>
      </c>
      <c r="U750" s="2">
        <f>IFERROR(__xludf.DUMMYFUNCTION("""COMPUTED_VALUE"""),17.84)</f>
        <v>17.84</v>
      </c>
      <c r="V750" s="1" t="str">
        <f>IFERROR(__xludf.DUMMYFUNCTION("""COMPUTED_VALUE"""),"Aliza Dote")</f>
        <v>Aliza Dote</v>
      </c>
      <c r="W750" s="1" t="str">
        <f>IFERROR(__xludf.DUMMYFUNCTION("""COMPUTED_VALUE"""),"Print Design Support")</f>
        <v>Print Design Support</v>
      </c>
    </row>
    <row r="751">
      <c r="O751" s="1" t="str">
        <f>IFERROR(__xludf.DUMMYFUNCTION("""COMPUTED_VALUE"""),"2025 Aug")</f>
        <v>2025 Aug</v>
      </c>
      <c r="P751" s="1" t="str">
        <f>IFERROR(__xludf.DUMMYFUNCTION("""COMPUTED_VALUE"""),"Core Product Support")</f>
        <v>Core Product Support</v>
      </c>
      <c r="Q751" s="1" t="str">
        <f>IFERROR(__xludf.DUMMYFUNCTION("""COMPUTED_VALUE"""),"loudv@canva.com")</f>
        <v>loudv@canva.com</v>
      </c>
      <c r="R751" s="1" t="str">
        <f>IFERROR(__xludf.DUMMYFUNCTION("""COMPUTED_VALUE"""),"Louieline Dela Vega")</f>
        <v>Louieline Dela Vega</v>
      </c>
      <c r="S751" s="1">
        <f>IFERROR(__xludf.DUMMYFUNCTION("""COMPUTED_VALUE"""),37.33)</f>
        <v>37.33</v>
      </c>
      <c r="T751" s="1">
        <f>IFERROR(__xludf.DUMMYFUNCTION("""COMPUTED_VALUE"""),44.0)</f>
        <v>44</v>
      </c>
      <c r="U751" s="2">
        <f>IFERROR(__xludf.DUMMYFUNCTION("""COMPUTED_VALUE"""),81.33)</f>
        <v>81.33</v>
      </c>
      <c r="V751" s="1" t="str">
        <f>IFERROR(__xludf.DUMMYFUNCTION("""COMPUTED_VALUE"""),"Jahmie Mae Barrameda")</f>
        <v>Jahmie Mae Barrameda</v>
      </c>
      <c r="W751" s="1" t="str">
        <f>IFERROR(__xludf.DUMMYFUNCTION("""COMPUTED_VALUE"""),"Advanced Billing &amp; Subscriptions")</f>
        <v>Advanced Billing &amp; Subscriptions</v>
      </c>
    </row>
    <row r="752">
      <c r="O752" s="1" t="str">
        <f>IFERROR(__xludf.DUMMYFUNCTION("""COMPUTED_VALUE"""),"2025 Aug")</f>
        <v>2025 Aug</v>
      </c>
      <c r="P752" s="1" t="str">
        <f>IFERROR(__xludf.DUMMYFUNCTION("""COMPUTED_VALUE"""),"Core Product Support")</f>
        <v>Core Product Support</v>
      </c>
      <c r="Q752" s="1" t="str">
        <f>IFERROR(__xludf.DUMMYFUNCTION("""COMPUTED_VALUE"""),"lovejoyce@canva.com")</f>
        <v>lovejoyce@canva.com</v>
      </c>
      <c r="R752" s="1" t="str">
        <f>IFERROR(__xludf.DUMMYFUNCTION("""COMPUTED_VALUE"""),"Love Joyce Pasagui")</f>
        <v>Love Joyce Pasagui</v>
      </c>
      <c r="S752" s="1">
        <f>IFERROR(__xludf.DUMMYFUNCTION("""COMPUTED_VALUE"""),19.67)</f>
        <v>19.67</v>
      </c>
      <c r="T752" s="1">
        <f>IFERROR(__xludf.DUMMYFUNCTION("""COMPUTED_VALUE"""),33.0)</f>
        <v>33</v>
      </c>
      <c r="U752" s="2">
        <f>IFERROR(__xludf.DUMMYFUNCTION("""COMPUTED_VALUE"""),52.67)</f>
        <v>52.67</v>
      </c>
      <c r="V752" s="1" t="str">
        <f>IFERROR(__xludf.DUMMYFUNCTION("""COMPUTED_VALUE"""),"Jelyn Elmido")</f>
        <v>Jelyn Elmido</v>
      </c>
      <c r="W752" s="1" t="str">
        <f>IFERROR(__xludf.DUMMYFUNCTION("""COMPUTED_VALUE"""),"Core Product Support Escalation Team")</f>
        <v>Core Product Support Escalation Team</v>
      </c>
    </row>
    <row r="753">
      <c r="O753" s="1" t="str">
        <f>IFERROR(__xludf.DUMMYFUNCTION("""COMPUTED_VALUE"""),"2025 Aug")</f>
        <v>2025 Aug</v>
      </c>
      <c r="P753" s="1" t="str">
        <f>IFERROR(__xludf.DUMMYFUNCTION("""COMPUTED_VALUE"""),"Print Support")</f>
        <v>Print Support</v>
      </c>
      <c r="Q753" s="1" t="str">
        <f>IFERROR(__xludf.DUMMYFUNCTION("""COMPUTED_VALUE"""),"rlsalomia@canva.com")</f>
        <v>rlsalomia@canva.com</v>
      </c>
      <c r="R753" s="1" t="str">
        <f>IFERROR(__xludf.DUMMYFUNCTION("""COMPUTED_VALUE"""),"Luis Salomia")</f>
        <v>Luis Salomia</v>
      </c>
      <c r="S753" s="1">
        <f>IFERROR(__xludf.DUMMYFUNCTION("""COMPUTED_VALUE"""),3.5)</f>
        <v>3.5</v>
      </c>
      <c r="T753" s="1">
        <f>IFERROR(__xludf.DUMMYFUNCTION("""COMPUTED_VALUE"""),13.75)</f>
        <v>13.75</v>
      </c>
      <c r="U753" s="2">
        <f>IFERROR(__xludf.DUMMYFUNCTION("""COMPUTED_VALUE"""),17.25)</f>
        <v>17.25</v>
      </c>
      <c r="V753" s="1" t="str">
        <f>IFERROR(__xludf.DUMMYFUNCTION("""COMPUTED_VALUE"""),"Louise Dianne Estrella")</f>
        <v>Louise Dianne Estrella</v>
      </c>
      <c r="W753" s="1" t="str">
        <f>IFERROR(__xludf.DUMMYFUNCTION("""COMPUTED_VALUE"""),"Print Support PH")</f>
        <v>Print Support PH</v>
      </c>
    </row>
    <row r="754">
      <c r="O754" s="1" t="str">
        <f>IFERROR(__xludf.DUMMYFUNCTION("""COMPUTED_VALUE"""),"2025 Aug")</f>
        <v>2025 Aug</v>
      </c>
      <c r="P754" s="1" t="str">
        <f>IFERROR(__xludf.DUMMYFUNCTION("""COMPUTED_VALUE"""),"#N/A")</f>
        <v>#N/A</v>
      </c>
      <c r="Q754" s="1" t="str">
        <f>IFERROR(__xludf.DUMMYFUNCTION("""COMPUTED_VALUE"""),"luiza@canva.com")</f>
        <v>luiza@canva.com</v>
      </c>
      <c r="R754" s="1" t="str">
        <f>IFERROR(__xludf.DUMMYFUNCTION("""COMPUTED_VALUE"""),"Luiza Abalos")</f>
        <v>Luiza Abalos</v>
      </c>
      <c r="S754" s="1">
        <f>IFERROR(__xludf.DUMMYFUNCTION("""COMPUTED_VALUE"""),31.92)</f>
        <v>31.92</v>
      </c>
      <c r="T754" s="1">
        <f>IFERROR(__xludf.DUMMYFUNCTION("""COMPUTED_VALUE"""),39.17)</f>
        <v>39.17</v>
      </c>
      <c r="U754" s="2">
        <f>IFERROR(__xludf.DUMMYFUNCTION("""COMPUTED_VALUE"""),71.09)</f>
        <v>71.09</v>
      </c>
      <c r="V754" s="1" t="str">
        <f>IFERROR(__xludf.DUMMYFUNCTION("""COMPUTED_VALUE"""),"#N/A")</f>
        <v>#N/A</v>
      </c>
      <c r="W754" s="1" t="str">
        <f>IFERROR(__xludf.DUMMYFUNCTION("""COMPUTED_VALUE"""),"#N/A")</f>
        <v>#N/A</v>
      </c>
    </row>
    <row r="755">
      <c r="O755" s="1" t="str">
        <f>IFERROR(__xludf.DUMMYFUNCTION("""COMPUTED_VALUE"""),"2025 Aug")</f>
        <v>2025 Aug</v>
      </c>
      <c r="P755" s="1" t="str">
        <f>IFERROR(__xludf.DUMMYFUNCTION("""COMPUTED_VALUE"""),"Admin Support")</f>
        <v>Admin Support</v>
      </c>
      <c r="Q755" s="1" t="str">
        <f>IFERROR(__xludf.DUMMYFUNCTION("""COMPUTED_VALUE"""),"lyzdr@canva.com")</f>
        <v>lyzdr@canva.com</v>
      </c>
      <c r="R755" s="1" t="str">
        <f>IFERROR(__xludf.DUMMYFUNCTION("""COMPUTED_VALUE"""),"Lyzza Del Rosario")</f>
        <v>Lyzza Del Rosario</v>
      </c>
      <c r="S755" s="1">
        <f>IFERROR(__xludf.DUMMYFUNCTION("""COMPUTED_VALUE"""),6.0)</f>
        <v>6</v>
      </c>
      <c r="T755" s="1">
        <f>IFERROR(__xludf.DUMMYFUNCTION("""COMPUTED_VALUE"""),12.25)</f>
        <v>12.25</v>
      </c>
      <c r="U755" s="2">
        <f>IFERROR(__xludf.DUMMYFUNCTION("""COMPUTED_VALUE"""),18.25)</f>
        <v>18.25</v>
      </c>
      <c r="V755" s="1" t="str">
        <f>IFERROR(__xludf.DUMMYFUNCTION("""COMPUTED_VALUE"""),"Ann Dumlao")</f>
        <v>Ann Dumlao</v>
      </c>
      <c r="W755" s="1" t="str">
        <f>IFERROR(__xludf.DUMMYFUNCTION("""COMPUTED_VALUE"""),"Admin Omni Support")</f>
        <v>Admin Omni Support</v>
      </c>
    </row>
    <row r="756">
      <c r="O756" s="1" t="str">
        <f>IFERROR(__xludf.DUMMYFUNCTION("""COMPUTED_VALUE"""),"2025 Aug")</f>
        <v>2025 Aug</v>
      </c>
      <c r="P756" s="1" t="str">
        <f>IFERROR(__xludf.DUMMYFUNCTION("""COMPUTED_VALUE"""),"Admin Support")</f>
        <v>Admin Support</v>
      </c>
      <c r="Q756" s="1" t="str">
        <f>IFERROR(__xludf.DUMMYFUNCTION("""COMPUTED_VALUE"""),"mac@canva.com")</f>
        <v>mac@canva.com</v>
      </c>
      <c r="R756" s="1" t="str">
        <f>IFERROR(__xludf.DUMMYFUNCTION("""COMPUTED_VALUE"""),"Mac Mendoza")</f>
        <v>Mac Mendoza</v>
      </c>
      <c r="S756" s="1">
        <f>IFERROR(__xludf.DUMMYFUNCTION("""COMPUTED_VALUE"""),2.75)</f>
        <v>2.75</v>
      </c>
      <c r="T756" s="1">
        <f>IFERROR(__xludf.DUMMYFUNCTION("""COMPUTED_VALUE"""),12.75)</f>
        <v>12.75</v>
      </c>
      <c r="U756" s="2">
        <f>IFERROR(__xludf.DUMMYFUNCTION("""COMPUTED_VALUE"""),15.5)</f>
        <v>15.5</v>
      </c>
      <c r="V756" s="1" t="str">
        <f>IFERROR(__xludf.DUMMYFUNCTION("""COMPUTED_VALUE"""),"Ann Dumlao")</f>
        <v>Ann Dumlao</v>
      </c>
      <c r="W756" s="1" t="str">
        <f>IFERROR(__xludf.DUMMYFUNCTION("""COMPUTED_VALUE"""),"Admin Omni Support")</f>
        <v>Admin Omni Support</v>
      </c>
    </row>
    <row r="757">
      <c r="O757" s="1" t="str">
        <f>IFERROR(__xludf.DUMMYFUNCTION("""COMPUTED_VALUE"""),"2025 Aug")</f>
        <v>2025 Aug</v>
      </c>
      <c r="P757" s="1" t="str">
        <f>IFERROR(__xludf.DUMMYFUNCTION("""COMPUTED_VALUE"""),"High Sensitivity Support")</f>
        <v>High Sensitivity Support</v>
      </c>
      <c r="Q757" s="1" t="str">
        <f>IFERROR(__xludf.DUMMYFUNCTION("""COMPUTED_VALUE"""),"macie@canva.com")</f>
        <v>macie@canva.com</v>
      </c>
      <c r="R757" s="1" t="str">
        <f>IFERROR(__xludf.DUMMYFUNCTION("""COMPUTED_VALUE"""),"Macie del Mundo")</f>
        <v>Macie del Mundo</v>
      </c>
      <c r="S757" s="1">
        <f>IFERROR(__xludf.DUMMYFUNCTION("""COMPUTED_VALUE"""),22.58)</f>
        <v>22.58</v>
      </c>
      <c r="T757" s="1">
        <f>IFERROR(__xludf.DUMMYFUNCTION("""COMPUTED_VALUE"""),26.25)</f>
        <v>26.25</v>
      </c>
      <c r="U757" s="2">
        <f>IFERROR(__xludf.DUMMYFUNCTION("""COMPUTED_VALUE"""),48.83)</f>
        <v>48.83</v>
      </c>
      <c r="V757" s="1" t="str">
        <f>IFERROR(__xludf.DUMMYFUNCTION("""COMPUTED_VALUE"""),"Rossheen Pura")</f>
        <v>Rossheen Pura</v>
      </c>
      <c r="W757" s="1" t="str">
        <f>IFERROR(__xludf.DUMMYFUNCTION("""COMPUTED_VALUE"""),"High Sensitivity Support PH")</f>
        <v>High Sensitivity Support PH</v>
      </c>
    </row>
    <row r="758">
      <c r="O758" s="1" t="str">
        <f>IFERROR(__xludf.DUMMYFUNCTION("""COMPUTED_VALUE"""),"2025 Aug")</f>
        <v>2025 Aug</v>
      </c>
      <c r="P758" s="1" t="str">
        <f>IFERROR(__xludf.DUMMYFUNCTION("""COMPUTED_VALUE"""),"Core Product Support")</f>
        <v>Core Product Support</v>
      </c>
      <c r="Q758" s="1" t="str">
        <f>IFERROR(__xludf.DUMMYFUNCTION("""COMPUTED_VALUE"""),"mackievitacion@canva.com")</f>
        <v>mackievitacion@canva.com</v>
      </c>
      <c r="R758" s="1" t="str">
        <f>IFERROR(__xludf.DUMMYFUNCTION("""COMPUTED_VALUE"""),"Mackie Vitacion")</f>
        <v>Mackie Vitacion</v>
      </c>
      <c r="S758" s="1">
        <f>IFERROR(__xludf.DUMMYFUNCTION("""COMPUTED_VALUE"""),20.0)</f>
        <v>20</v>
      </c>
      <c r="T758" s="1">
        <f>IFERROR(__xludf.DUMMYFUNCTION("""COMPUTED_VALUE"""),68.58)</f>
        <v>68.58</v>
      </c>
      <c r="U758" s="2">
        <f>IFERROR(__xludf.DUMMYFUNCTION("""COMPUTED_VALUE"""),88.58)</f>
        <v>88.58</v>
      </c>
      <c r="V758" s="1" t="str">
        <f>IFERROR(__xludf.DUMMYFUNCTION("""COMPUTED_VALUE"""),"Vinz Lazaro")</f>
        <v>Vinz Lazaro</v>
      </c>
      <c r="W758" s="1" t="str">
        <f>IFERROR(__xludf.DUMMYFUNCTION("""COMPUTED_VALUE"""),"Advanced Product Support")</f>
        <v>Advanced Product Support</v>
      </c>
    </row>
    <row r="759">
      <c r="O759" s="1" t="str">
        <f>IFERROR(__xludf.DUMMYFUNCTION("""COMPUTED_VALUE"""),"2025 Aug")</f>
        <v>2025 Aug</v>
      </c>
      <c r="P759" s="1" t="str">
        <f>IFERROR(__xludf.DUMMYFUNCTION("""COMPUTED_VALUE"""),"#N/A")</f>
        <v>#N/A</v>
      </c>
      <c r="Q759" s="1" t="str">
        <f>IFERROR(__xludf.DUMMYFUNCTION("""COMPUTED_VALUE"""),"manee+test@canva.com")</f>
        <v>manee+test@canva.com</v>
      </c>
      <c r="R759" s="1" t="str">
        <f>IFERROR(__xludf.DUMMYFUNCTION("""COMPUTED_VALUE"""),"Manee Test")</f>
        <v>Manee Test</v>
      </c>
      <c r="S759" s="1"/>
      <c r="T759" s="1">
        <f>IFERROR(__xludf.DUMMYFUNCTION("""COMPUTED_VALUE"""),0.0)</f>
        <v>0</v>
      </c>
      <c r="U759" s="2">
        <f>IFERROR(__xludf.DUMMYFUNCTION("""COMPUTED_VALUE"""),0.0)</f>
        <v>0</v>
      </c>
      <c r="V759" s="1" t="str">
        <f>IFERROR(__xludf.DUMMYFUNCTION("""COMPUTED_VALUE"""),"#N/A")</f>
        <v>#N/A</v>
      </c>
      <c r="W759" s="1" t="str">
        <f>IFERROR(__xludf.DUMMYFUNCTION("""COMPUTED_VALUE"""),"#N/A")</f>
        <v>#N/A</v>
      </c>
    </row>
    <row r="760">
      <c r="O760" s="1" t="str">
        <f>IFERROR(__xludf.DUMMYFUNCTION("""COMPUTED_VALUE"""),"2025 Aug")</f>
        <v>2025 Aug</v>
      </c>
      <c r="P760" s="1" t="str">
        <f>IFERROR(__xludf.DUMMYFUNCTION("""COMPUTED_VALUE"""),"High Sensitivity Support")</f>
        <v>High Sensitivity Support</v>
      </c>
      <c r="Q760" s="1" t="str">
        <f>IFERROR(__xludf.DUMMYFUNCTION("""COMPUTED_VALUE"""),"mariav@canva.com")</f>
        <v>mariav@canva.com</v>
      </c>
      <c r="R760" s="1" t="str">
        <f>IFERROR(__xludf.DUMMYFUNCTION("""COMPUTED_VALUE"""),"Maria Vergara")</f>
        <v>Maria Vergara</v>
      </c>
      <c r="S760" s="1">
        <f>IFERROR(__xludf.DUMMYFUNCTION("""COMPUTED_VALUE"""),10.0)</f>
        <v>10</v>
      </c>
      <c r="T760" s="1">
        <f>IFERROR(__xludf.DUMMYFUNCTION("""COMPUTED_VALUE"""),14.75)</f>
        <v>14.75</v>
      </c>
      <c r="U760" s="2">
        <f>IFERROR(__xludf.DUMMYFUNCTION("""COMPUTED_VALUE"""),24.75)</f>
        <v>24.75</v>
      </c>
      <c r="V760" s="1" t="str">
        <f>IFERROR(__xludf.DUMMYFUNCTION("""COMPUTED_VALUE"""),"Xandy Azarcon")</f>
        <v>Xandy Azarcon</v>
      </c>
      <c r="W760" s="1" t="str">
        <f>IFERROR(__xludf.DUMMYFUNCTION("""COMPUTED_VALUE"""),"High Sensitivity Support PH")</f>
        <v>High Sensitivity Support PH</v>
      </c>
    </row>
    <row r="761">
      <c r="O761" s="1" t="str">
        <f>IFERROR(__xludf.DUMMYFUNCTION("""COMPUTED_VALUE"""),"2025 Aug")</f>
        <v>2025 Aug</v>
      </c>
      <c r="P761" s="1" t="str">
        <f>IFERROR(__xludf.DUMMYFUNCTION("""COMPUTED_VALUE"""),"Print Support")</f>
        <v>Print Support</v>
      </c>
      <c r="Q761" s="1" t="str">
        <f>IFERROR(__xludf.DUMMYFUNCTION("""COMPUTED_VALUE"""),"marieson@canva.com")</f>
        <v>marieson@canva.com</v>
      </c>
      <c r="R761" s="1" t="str">
        <f>IFERROR(__xludf.DUMMYFUNCTION("""COMPUTED_VALUE"""),"Marieson Libunao")</f>
        <v>Marieson Libunao</v>
      </c>
      <c r="S761" s="1">
        <f>IFERROR(__xludf.DUMMYFUNCTION("""COMPUTED_VALUE"""),2.65)</f>
        <v>2.65</v>
      </c>
      <c r="T761" s="1">
        <f>IFERROR(__xludf.DUMMYFUNCTION("""COMPUTED_VALUE"""),9.17)</f>
        <v>9.17</v>
      </c>
      <c r="U761" s="2">
        <f>IFERROR(__xludf.DUMMYFUNCTION("""COMPUTED_VALUE"""),11.82)</f>
        <v>11.82</v>
      </c>
      <c r="V761" s="1" t="str">
        <f>IFERROR(__xludf.DUMMYFUNCTION("""COMPUTED_VALUE"""),"Althea Mercado")</f>
        <v>Althea Mercado</v>
      </c>
      <c r="W761" s="1" t="str">
        <f>IFERROR(__xludf.DUMMYFUNCTION("""COMPUTED_VALUE"""),"Print Support PH")</f>
        <v>Print Support PH</v>
      </c>
    </row>
    <row r="762">
      <c r="O762" s="1" t="str">
        <f>IFERROR(__xludf.DUMMYFUNCTION("""COMPUTED_VALUE"""),"2025 Aug")</f>
        <v>2025 Aug</v>
      </c>
      <c r="P762" s="1" t="str">
        <f>IFERROR(__xludf.DUMMYFUNCTION("""COMPUTED_VALUE"""),"Core Product Support")</f>
        <v>Core Product Support</v>
      </c>
      <c r="Q762" s="1" t="str">
        <f>IFERROR(__xludf.DUMMYFUNCTION("""COMPUTED_VALUE"""),"mariz@canva.com")</f>
        <v>mariz@canva.com</v>
      </c>
      <c r="R762" s="1" t="str">
        <f>IFERROR(__xludf.DUMMYFUNCTION("""COMPUTED_VALUE"""),"Mariz Gain")</f>
        <v>Mariz Gain</v>
      </c>
      <c r="S762" s="1">
        <f>IFERROR(__xludf.DUMMYFUNCTION("""COMPUTED_VALUE"""),33.78)</f>
        <v>33.78</v>
      </c>
      <c r="T762" s="1">
        <f>IFERROR(__xludf.DUMMYFUNCTION("""COMPUTED_VALUE"""),42.95)</f>
        <v>42.95</v>
      </c>
      <c r="U762" s="2">
        <f>IFERROR(__xludf.DUMMYFUNCTION("""COMPUTED_VALUE"""),76.73)</f>
        <v>76.73</v>
      </c>
      <c r="V762" s="1" t="str">
        <f>IFERROR(__xludf.DUMMYFUNCTION("""COMPUTED_VALUE"""),"Ana Lazaro")</f>
        <v>Ana Lazaro</v>
      </c>
      <c r="W762" s="1" t="str">
        <f>IFERROR(__xludf.DUMMYFUNCTION("""COMPUTED_VALUE"""),"Advanced Billing &amp; Subscriptions")</f>
        <v>Advanced Billing &amp; Subscriptions</v>
      </c>
    </row>
    <row r="763">
      <c r="O763" s="1" t="str">
        <f>IFERROR(__xludf.DUMMYFUNCTION("""COMPUTED_VALUE"""),"2025 Aug")</f>
        <v>2025 Aug</v>
      </c>
      <c r="P763" s="1" t="str">
        <f>IFERROR(__xludf.DUMMYFUNCTION("""COMPUTED_VALUE"""),"Print Support")</f>
        <v>Print Support</v>
      </c>
      <c r="Q763" s="1" t="str">
        <f>IFERROR(__xludf.DUMMYFUNCTION("""COMPUTED_VALUE"""),"mpalermo@canva.com")</f>
        <v>mpalermo@canva.com</v>
      </c>
      <c r="R763" s="1" t="str">
        <f>IFERROR(__xludf.DUMMYFUNCTION("""COMPUTED_VALUE"""),"Marjorie Tsao")</f>
        <v>Marjorie Tsao</v>
      </c>
      <c r="S763" s="1">
        <f>IFERROR(__xludf.DUMMYFUNCTION("""COMPUTED_VALUE"""),5.75)</f>
        <v>5.75</v>
      </c>
      <c r="T763" s="1">
        <f>IFERROR(__xludf.DUMMYFUNCTION("""COMPUTED_VALUE"""),15.0)</f>
        <v>15</v>
      </c>
      <c r="U763" s="2">
        <f>IFERROR(__xludf.DUMMYFUNCTION("""COMPUTED_VALUE"""),20.75)</f>
        <v>20.75</v>
      </c>
      <c r="V763" s="1" t="str">
        <f>IFERROR(__xludf.DUMMYFUNCTION("""COMPUTED_VALUE"""),"Louise Dianne Estrella")</f>
        <v>Louise Dianne Estrella</v>
      </c>
      <c r="W763" s="1" t="str">
        <f>IFERROR(__xludf.DUMMYFUNCTION("""COMPUTED_VALUE"""),"Print Support PH")</f>
        <v>Print Support PH</v>
      </c>
    </row>
    <row r="764">
      <c r="O764" s="1" t="str">
        <f>IFERROR(__xludf.DUMMYFUNCTION("""COMPUTED_VALUE"""),"2025 Aug")</f>
        <v>2025 Aug</v>
      </c>
      <c r="P764" s="1" t="str">
        <f>IFERROR(__xludf.DUMMYFUNCTION("""COMPUTED_VALUE"""),"Core Product Support")</f>
        <v>Core Product Support</v>
      </c>
      <c r="Q764" s="1" t="str">
        <f>IFERROR(__xludf.DUMMYFUNCTION("""COMPUTED_VALUE"""),"martyl@canva.com")</f>
        <v>martyl@canva.com</v>
      </c>
      <c r="R764" s="1" t="str">
        <f>IFERROR(__xludf.DUMMYFUNCTION("""COMPUTED_VALUE"""),"Marty Lozada")</f>
        <v>Marty Lozada</v>
      </c>
      <c r="S764" s="1">
        <f>IFERROR(__xludf.DUMMYFUNCTION("""COMPUTED_VALUE"""),21.67)</f>
        <v>21.67</v>
      </c>
      <c r="T764" s="1">
        <f>IFERROR(__xludf.DUMMYFUNCTION("""COMPUTED_VALUE"""),61.92)</f>
        <v>61.92</v>
      </c>
      <c r="U764" s="2">
        <f>IFERROR(__xludf.DUMMYFUNCTION("""COMPUTED_VALUE"""),83.59)</f>
        <v>83.59</v>
      </c>
      <c r="V764" s="1" t="str">
        <f>IFERROR(__xludf.DUMMYFUNCTION("""COMPUTED_VALUE"""),"Vinz Lazaro")</f>
        <v>Vinz Lazaro</v>
      </c>
      <c r="W764" s="1" t="str">
        <f>IFERROR(__xludf.DUMMYFUNCTION("""COMPUTED_VALUE"""),"Advanced Product Support")</f>
        <v>Advanced Product Support</v>
      </c>
    </row>
    <row r="765">
      <c r="O765" s="1" t="str">
        <f>IFERROR(__xludf.DUMMYFUNCTION("""COMPUTED_VALUE"""),"2025 Aug")</f>
        <v>2025 Aug</v>
      </c>
      <c r="P765" s="1" t="str">
        <f>IFERROR(__xludf.DUMMYFUNCTION("""COMPUTED_VALUE"""),"High Sensitivity Support")</f>
        <v>High Sensitivity Support</v>
      </c>
      <c r="Q765" s="1" t="str">
        <f>IFERROR(__xludf.DUMMYFUNCTION("""COMPUTED_VALUE"""),"mayann@canva.com")</f>
        <v>mayann@canva.com</v>
      </c>
      <c r="R765" s="1" t="str">
        <f>IFERROR(__xludf.DUMMYFUNCTION("""COMPUTED_VALUE"""),"May Ann Caguioa")</f>
        <v>May Ann Caguioa</v>
      </c>
      <c r="S765" s="1">
        <f>IFERROR(__xludf.DUMMYFUNCTION("""COMPUTED_VALUE"""),19.98)</f>
        <v>19.98</v>
      </c>
      <c r="T765" s="1">
        <f>IFERROR(__xludf.DUMMYFUNCTION("""COMPUTED_VALUE"""),23.7)</f>
        <v>23.7</v>
      </c>
      <c r="U765" s="2">
        <f>IFERROR(__xludf.DUMMYFUNCTION("""COMPUTED_VALUE"""),43.68)</f>
        <v>43.68</v>
      </c>
      <c r="V765" s="1" t="str">
        <f>IFERROR(__xludf.DUMMYFUNCTION("""COMPUTED_VALUE"""),"Rossheen Pura")</f>
        <v>Rossheen Pura</v>
      </c>
      <c r="W765" s="1" t="str">
        <f>IFERROR(__xludf.DUMMYFUNCTION("""COMPUTED_VALUE"""),"High Sensitivity Support PH")</f>
        <v>High Sensitivity Support PH</v>
      </c>
    </row>
    <row r="766">
      <c r="O766" s="1" t="str">
        <f>IFERROR(__xludf.DUMMYFUNCTION("""COMPUTED_VALUE"""),"2025 Aug")</f>
        <v>2025 Aug</v>
      </c>
      <c r="P766" s="1" t="str">
        <f>IFERROR(__xludf.DUMMYFUNCTION("""COMPUTED_VALUE"""),"Core Product Support")</f>
        <v>Core Product Support</v>
      </c>
      <c r="Q766" s="1" t="str">
        <f>IFERROR(__xludf.DUMMYFUNCTION("""COMPUTED_VALUE"""),"mccoyc@canva.com")</f>
        <v>mccoyc@canva.com</v>
      </c>
      <c r="R766" s="1" t="str">
        <f>IFERROR(__xludf.DUMMYFUNCTION("""COMPUTED_VALUE"""),"McCoy Cacanindin")</f>
        <v>McCoy Cacanindin</v>
      </c>
      <c r="S766" s="1">
        <f>IFERROR(__xludf.DUMMYFUNCTION("""COMPUTED_VALUE"""),29.43)</f>
        <v>29.43</v>
      </c>
      <c r="T766" s="1">
        <f>IFERROR(__xludf.DUMMYFUNCTION("""COMPUTED_VALUE"""),71.43)</f>
        <v>71.43</v>
      </c>
      <c r="U766" s="2">
        <f>IFERROR(__xludf.DUMMYFUNCTION("""COMPUTED_VALUE"""),100.86000000000001)</f>
        <v>100.86</v>
      </c>
      <c r="V766" s="1" t="str">
        <f>IFERROR(__xludf.DUMMYFUNCTION("""COMPUTED_VALUE"""),"Vinz Lazaro")</f>
        <v>Vinz Lazaro</v>
      </c>
      <c r="W766" s="1" t="str">
        <f>IFERROR(__xludf.DUMMYFUNCTION("""COMPUTED_VALUE"""),"Advanced Product Support")</f>
        <v>Advanced Product Support</v>
      </c>
    </row>
    <row r="767">
      <c r="O767" s="1" t="str">
        <f>IFERROR(__xludf.DUMMYFUNCTION("""COMPUTED_VALUE"""),"2025 Aug")</f>
        <v>2025 Aug</v>
      </c>
      <c r="P767" s="1" t="str">
        <f>IFERROR(__xludf.DUMMYFUNCTION("""COMPUTED_VALUE"""),"High Sensitivity Support")</f>
        <v>High Sensitivity Support</v>
      </c>
      <c r="Q767" s="1" t="str">
        <f>IFERROR(__xludf.DUMMYFUNCTION("""COMPUTED_VALUE"""),"mlabio@canva.com")</f>
        <v>mlabio@canva.com</v>
      </c>
      <c r="R767" s="1" t="str">
        <f>IFERROR(__xludf.DUMMYFUNCTION("""COMPUTED_VALUE"""),"Melanie Labio")</f>
        <v>Melanie Labio</v>
      </c>
      <c r="S767" s="1">
        <f>IFERROR(__xludf.DUMMYFUNCTION("""COMPUTED_VALUE"""),19.5)</f>
        <v>19.5</v>
      </c>
      <c r="T767" s="1">
        <f>IFERROR(__xludf.DUMMYFUNCTION("""COMPUTED_VALUE"""),22.5)</f>
        <v>22.5</v>
      </c>
      <c r="U767" s="2">
        <f>IFERROR(__xludf.DUMMYFUNCTION("""COMPUTED_VALUE"""),42.0)</f>
        <v>42</v>
      </c>
      <c r="V767" s="1" t="str">
        <f>IFERROR(__xludf.DUMMYFUNCTION("""COMPUTED_VALUE"""),"Xandy Azarcon")</f>
        <v>Xandy Azarcon</v>
      </c>
      <c r="W767" s="1" t="str">
        <f>IFERROR(__xludf.DUMMYFUNCTION("""COMPUTED_VALUE"""),"High Sensitivity Support PH")</f>
        <v>High Sensitivity Support PH</v>
      </c>
    </row>
    <row r="768">
      <c r="O768" s="1" t="str">
        <f>IFERROR(__xludf.DUMMYFUNCTION("""COMPUTED_VALUE"""),"2025 Aug")</f>
        <v>2025 Aug</v>
      </c>
      <c r="P768" s="1" t="str">
        <f>IFERROR(__xludf.DUMMYFUNCTION("""COMPUTED_VALUE"""),"Admin Support")</f>
        <v>Admin Support</v>
      </c>
      <c r="Q768" s="1" t="str">
        <f>IFERROR(__xludf.DUMMYFUNCTION("""COMPUTED_VALUE"""),"mmicah@canva.com")</f>
        <v>mmicah@canva.com</v>
      </c>
      <c r="R768" s="1" t="str">
        <f>IFERROR(__xludf.DUMMYFUNCTION("""COMPUTED_VALUE"""),"Micah Geneviv Marcos")</f>
        <v>Micah Geneviv Marcos</v>
      </c>
      <c r="S768" s="1">
        <f>IFERROR(__xludf.DUMMYFUNCTION("""COMPUTED_VALUE"""),2.5)</f>
        <v>2.5</v>
      </c>
      <c r="T768" s="1">
        <f>IFERROR(__xludf.DUMMYFUNCTION("""COMPUTED_VALUE"""),7.25)</f>
        <v>7.25</v>
      </c>
      <c r="U768" s="2">
        <f>IFERROR(__xludf.DUMMYFUNCTION("""COMPUTED_VALUE"""),9.75)</f>
        <v>9.75</v>
      </c>
      <c r="V768" s="1" t="str">
        <f>IFERROR(__xludf.DUMMYFUNCTION("""COMPUTED_VALUE"""),"Karla Mananghaya")</f>
        <v>Karla Mananghaya</v>
      </c>
      <c r="W768" s="1" t="str">
        <f>IFERROR(__xludf.DUMMYFUNCTION("""COMPUTED_VALUE"""),"Admin Support Service Escalation Team")</f>
        <v>Admin Support Service Escalation Team</v>
      </c>
    </row>
    <row r="769">
      <c r="O769" s="1" t="str">
        <f>IFERROR(__xludf.DUMMYFUNCTION("""COMPUTED_VALUE"""),"2025 Aug")</f>
        <v>2025 Aug</v>
      </c>
      <c r="P769" s="1" t="str">
        <f>IFERROR(__xludf.DUMMYFUNCTION("""COMPUTED_VALUE"""),"Core Product Support")</f>
        <v>Core Product Support</v>
      </c>
      <c r="Q769" s="1" t="str">
        <f>IFERROR(__xludf.DUMMYFUNCTION("""COMPUTED_VALUE"""),"nas@canva.com")</f>
        <v>nas@canva.com</v>
      </c>
      <c r="R769" s="1" t="str">
        <f>IFERROR(__xludf.DUMMYFUNCTION("""COMPUTED_VALUE"""),"Miggy De Vibar")</f>
        <v>Miggy De Vibar</v>
      </c>
      <c r="S769" s="1">
        <f>IFERROR(__xludf.DUMMYFUNCTION("""COMPUTED_VALUE"""),35.52)</f>
        <v>35.52</v>
      </c>
      <c r="T769" s="1">
        <f>IFERROR(__xludf.DUMMYFUNCTION("""COMPUTED_VALUE"""),35.85)</f>
        <v>35.85</v>
      </c>
      <c r="U769" s="2">
        <f>IFERROR(__xludf.DUMMYFUNCTION("""COMPUTED_VALUE"""),71.37)</f>
        <v>71.37</v>
      </c>
      <c r="V769" s="1" t="str">
        <f>IFERROR(__xludf.DUMMYFUNCTION("""COMPUTED_VALUE"""),"Belle Bentazal")</f>
        <v>Belle Bentazal</v>
      </c>
      <c r="W769" s="1" t="str">
        <f>IFERROR(__xludf.DUMMYFUNCTION("""COMPUTED_VALUE"""),"Advanced Product Support")</f>
        <v>Advanced Product Support</v>
      </c>
    </row>
    <row r="770">
      <c r="O770" s="1" t="str">
        <f>IFERROR(__xludf.DUMMYFUNCTION("""COMPUTED_VALUE"""),"2025 Aug")</f>
        <v>2025 Aug</v>
      </c>
      <c r="P770" s="1" t="str">
        <f>IFERROR(__xludf.DUMMYFUNCTION("""COMPUTED_VALUE"""),"Core Product Support")</f>
        <v>Core Product Support</v>
      </c>
      <c r="Q770" s="1" t="str">
        <f>IFERROR(__xludf.DUMMYFUNCTION("""COMPUTED_VALUE"""),"mika@canva.com")</f>
        <v>mika@canva.com</v>
      </c>
      <c r="R770" s="1" t="str">
        <f>IFERROR(__xludf.DUMMYFUNCTION("""COMPUTED_VALUE"""),"Mika Magpantay")</f>
        <v>Mika Magpantay</v>
      </c>
      <c r="S770" s="1">
        <f>IFERROR(__xludf.DUMMYFUNCTION("""COMPUTED_VALUE"""),1.0)</f>
        <v>1</v>
      </c>
      <c r="T770" s="1">
        <f>IFERROR(__xludf.DUMMYFUNCTION("""COMPUTED_VALUE"""),16.5)</f>
        <v>16.5</v>
      </c>
      <c r="U770" s="2">
        <f>IFERROR(__xludf.DUMMYFUNCTION("""COMPUTED_VALUE"""),17.5)</f>
        <v>17.5</v>
      </c>
      <c r="V770" s="1" t="str">
        <f>IFERROR(__xludf.DUMMYFUNCTION("""COMPUTED_VALUE"""),"Jem Mondoñedo")</f>
        <v>Jem Mondoñedo</v>
      </c>
      <c r="W770" s="1" t="str">
        <f>IFERROR(__xludf.DUMMYFUNCTION("""COMPUTED_VALUE"""),"Advanced Billing &amp; Subscriptions")</f>
        <v>Advanced Billing &amp; Subscriptions</v>
      </c>
    </row>
    <row r="771">
      <c r="O771" s="1" t="str">
        <f>IFERROR(__xludf.DUMMYFUNCTION("""COMPUTED_VALUE"""),"2025 Aug")</f>
        <v>2025 Aug</v>
      </c>
      <c r="P771" s="1" t="str">
        <f>IFERROR(__xludf.DUMMYFUNCTION("""COMPUTED_VALUE"""),"Core Product Support")</f>
        <v>Core Product Support</v>
      </c>
      <c r="Q771" s="1" t="str">
        <f>IFERROR(__xludf.DUMMYFUNCTION("""COMPUTED_VALUE"""),"mirielle@canva.com")</f>
        <v>mirielle@canva.com</v>
      </c>
      <c r="R771" s="1" t="str">
        <f>IFERROR(__xludf.DUMMYFUNCTION("""COMPUTED_VALUE"""),"Mirielle Frances de Lara")</f>
        <v>Mirielle Frances de Lara</v>
      </c>
      <c r="S771" s="1">
        <f>IFERROR(__xludf.DUMMYFUNCTION("""COMPUTED_VALUE"""),32.98)</f>
        <v>32.98</v>
      </c>
      <c r="T771" s="1">
        <f>IFERROR(__xludf.DUMMYFUNCTION("""COMPUTED_VALUE"""),74.23)</f>
        <v>74.23</v>
      </c>
      <c r="U771" s="2">
        <f>IFERROR(__xludf.DUMMYFUNCTION("""COMPUTED_VALUE"""),107.21000000000001)</f>
        <v>107.21</v>
      </c>
      <c r="V771" s="1" t="str">
        <f>IFERROR(__xludf.DUMMYFUNCTION("""COMPUTED_VALUE"""),"Belle Bentazal")</f>
        <v>Belle Bentazal</v>
      </c>
      <c r="W771" s="1" t="str">
        <f>IFERROR(__xludf.DUMMYFUNCTION("""COMPUTED_VALUE"""),"Advanced Product Support")</f>
        <v>Advanced Product Support</v>
      </c>
    </row>
    <row r="772">
      <c r="O772" s="1" t="str">
        <f>IFERROR(__xludf.DUMMYFUNCTION("""COMPUTED_VALUE"""),"2025 Aug")</f>
        <v>2025 Aug</v>
      </c>
      <c r="P772" s="1" t="str">
        <f>IFERROR(__xludf.DUMMYFUNCTION("""COMPUTED_VALUE"""),"Admin Support")</f>
        <v>Admin Support</v>
      </c>
      <c r="Q772" s="1" t="str">
        <f>IFERROR(__xludf.DUMMYFUNCTION("""COMPUTED_VALUE"""),"mjb@canva.com")</f>
        <v>mjb@canva.com</v>
      </c>
      <c r="R772" s="1" t="str">
        <f>IFERROR(__xludf.DUMMYFUNCTION("""COMPUTED_VALUE"""),"MJ Billon")</f>
        <v>MJ Billon</v>
      </c>
      <c r="S772" s="1">
        <f>IFERROR(__xludf.DUMMYFUNCTION("""COMPUTED_VALUE"""),1.5)</f>
        <v>1.5</v>
      </c>
      <c r="T772" s="1">
        <f>IFERROR(__xludf.DUMMYFUNCTION("""COMPUTED_VALUE"""),8.0)</f>
        <v>8</v>
      </c>
      <c r="U772" s="2">
        <f>IFERROR(__xludf.DUMMYFUNCTION("""COMPUTED_VALUE"""),9.5)</f>
        <v>9.5</v>
      </c>
      <c r="V772" s="1" t="str">
        <f>IFERROR(__xludf.DUMMYFUNCTION("""COMPUTED_VALUE"""),"Ann Dumlao")</f>
        <v>Ann Dumlao</v>
      </c>
      <c r="W772" s="1" t="str">
        <f>IFERROR(__xludf.DUMMYFUNCTION("""COMPUTED_VALUE"""),"Admin Omni Support")</f>
        <v>Admin Omni Support</v>
      </c>
    </row>
    <row r="773">
      <c r="O773" s="1" t="str">
        <f>IFERROR(__xludf.DUMMYFUNCTION("""COMPUTED_VALUE"""),"2025 Aug")</f>
        <v>2025 Aug</v>
      </c>
      <c r="P773" s="1" t="str">
        <f>IFERROR(__xludf.DUMMYFUNCTION("""COMPUTED_VALUE"""),"Segment-specific Support")</f>
        <v>Segment-specific Support</v>
      </c>
      <c r="Q773" s="1" t="str">
        <f>IFERROR(__xludf.DUMMYFUNCTION("""COMPUTED_VALUE"""),"molli@canva.com")</f>
        <v>molli@canva.com</v>
      </c>
      <c r="R773" s="1" t="str">
        <f>IFERROR(__xludf.DUMMYFUNCTION("""COMPUTED_VALUE"""),"MJ Sol")</f>
        <v>MJ Sol</v>
      </c>
      <c r="S773" s="1">
        <f>IFERROR(__xludf.DUMMYFUNCTION("""COMPUTED_VALUE"""),4.0)</f>
        <v>4</v>
      </c>
      <c r="T773" s="1">
        <f>IFERROR(__xludf.DUMMYFUNCTION("""COMPUTED_VALUE"""),10.0)</f>
        <v>10</v>
      </c>
      <c r="U773" s="2">
        <f>IFERROR(__xludf.DUMMYFUNCTION("""COMPUTED_VALUE"""),14.0)</f>
        <v>14</v>
      </c>
      <c r="V773" s="1" t="str">
        <f>IFERROR(__xludf.DUMMYFUNCTION("""COMPUTED_VALUE"""),"Aileen Dayanghirang")</f>
        <v>Aileen Dayanghirang</v>
      </c>
      <c r="W773" s="1" t="str">
        <f>IFERROR(__xludf.DUMMYFUNCTION("""COMPUTED_VALUE"""),"Creators Support")</f>
        <v>Creators Support</v>
      </c>
    </row>
    <row r="774">
      <c r="O774" s="1" t="str">
        <f>IFERROR(__xludf.DUMMYFUNCTION("""COMPUTED_VALUE"""),"2025 Aug")</f>
        <v>2025 Aug</v>
      </c>
      <c r="P774" s="1" t="str">
        <f>IFERROR(__xludf.DUMMYFUNCTION("""COMPUTED_VALUE"""),"Core Product Support")</f>
        <v>Core Product Support</v>
      </c>
      <c r="Q774" s="1" t="str">
        <f>IFERROR(__xludf.DUMMYFUNCTION("""COMPUTED_VALUE"""),"raymondc@canva.com")</f>
        <v>raymondc@canva.com</v>
      </c>
      <c r="R774" s="1" t="str">
        <f>IFERROR(__xludf.DUMMYFUNCTION("""COMPUTED_VALUE"""),"Mond Catimbang")</f>
        <v>Mond Catimbang</v>
      </c>
      <c r="S774" s="1">
        <f>IFERROR(__xludf.DUMMYFUNCTION("""COMPUTED_VALUE"""),1.17)</f>
        <v>1.17</v>
      </c>
      <c r="T774" s="1">
        <f>IFERROR(__xludf.DUMMYFUNCTION("""COMPUTED_VALUE"""),4.67)</f>
        <v>4.67</v>
      </c>
      <c r="U774" s="2">
        <f>IFERROR(__xludf.DUMMYFUNCTION("""COMPUTED_VALUE"""),5.84)</f>
        <v>5.84</v>
      </c>
      <c r="V774" s="1" t="str">
        <f>IFERROR(__xludf.DUMMYFUNCTION("""COMPUTED_VALUE"""),"Jem Mondoñedo")</f>
        <v>Jem Mondoñedo</v>
      </c>
      <c r="W774" s="1" t="str">
        <f>IFERROR(__xludf.DUMMYFUNCTION("""COMPUTED_VALUE"""),"Advanced Billing &amp; Subscriptions")</f>
        <v>Advanced Billing &amp; Subscriptions</v>
      </c>
    </row>
    <row r="775">
      <c r="O775" s="1" t="str">
        <f>IFERROR(__xludf.DUMMYFUNCTION("""COMPUTED_VALUE"""),"2025 Aug")</f>
        <v>2025 Aug</v>
      </c>
      <c r="P775" s="1" t="str">
        <f>IFERROR(__xludf.DUMMYFUNCTION("""COMPUTED_VALUE"""),"Core Product Support")</f>
        <v>Core Product Support</v>
      </c>
      <c r="Q775" s="1" t="str">
        <f>IFERROR(__xludf.DUMMYFUNCTION("""COMPUTED_VALUE"""),"moxyarima@canva.com")</f>
        <v>moxyarima@canva.com</v>
      </c>
      <c r="R775" s="1" t="str">
        <f>IFERROR(__xludf.DUMMYFUNCTION("""COMPUTED_VALUE"""),"Moxy Arima")</f>
        <v>Moxy Arima</v>
      </c>
      <c r="S775" s="1">
        <f>IFERROR(__xludf.DUMMYFUNCTION("""COMPUTED_VALUE"""),26.07)</f>
        <v>26.07</v>
      </c>
      <c r="T775" s="1">
        <f>IFERROR(__xludf.DUMMYFUNCTION("""COMPUTED_VALUE"""),31.75)</f>
        <v>31.75</v>
      </c>
      <c r="U775" s="2">
        <f>IFERROR(__xludf.DUMMYFUNCTION("""COMPUTED_VALUE"""),57.82)</f>
        <v>57.82</v>
      </c>
      <c r="V775" s="1" t="str">
        <f>IFERROR(__xludf.DUMMYFUNCTION("""COMPUTED_VALUE"""),"Jelyn Elmido")</f>
        <v>Jelyn Elmido</v>
      </c>
      <c r="W775" s="1" t="str">
        <f>IFERROR(__xludf.DUMMYFUNCTION("""COMPUTED_VALUE"""),"Core Product Support Escalation Team")</f>
        <v>Core Product Support Escalation Team</v>
      </c>
    </row>
    <row r="776">
      <c r="O776" s="1" t="str">
        <f>IFERROR(__xludf.DUMMYFUNCTION("""COMPUTED_VALUE"""),"2025 Aug")</f>
        <v>2025 Aug</v>
      </c>
      <c r="P776" s="1" t="str">
        <f>IFERROR(__xludf.DUMMYFUNCTION("""COMPUTED_VALUE"""),"Print Support")</f>
        <v>Print Support</v>
      </c>
      <c r="Q776" s="1" t="str">
        <f>IFERROR(__xludf.DUMMYFUNCTION("""COMPUTED_VALUE"""),"natedc@canva.com")</f>
        <v>natedc@canva.com</v>
      </c>
      <c r="R776" s="1" t="str">
        <f>IFERROR(__xludf.DUMMYFUNCTION("""COMPUTED_VALUE"""),"Nate De la Cruz")</f>
        <v>Nate De la Cruz</v>
      </c>
      <c r="S776" s="1"/>
      <c r="T776" s="1">
        <f>IFERROR(__xludf.DUMMYFUNCTION("""COMPUTED_VALUE"""),80.0)</f>
        <v>80</v>
      </c>
      <c r="U776" s="2">
        <f>IFERROR(__xludf.DUMMYFUNCTION("""COMPUTED_VALUE"""),80.0)</f>
        <v>80</v>
      </c>
      <c r="V776" s="1" t="str">
        <f>IFERROR(__xludf.DUMMYFUNCTION("""COMPUTED_VALUE"""),"Gem Agoncillo")</f>
        <v>Gem Agoncillo</v>
      </c>
      <c r="W776" s="1" t="str">
        <f>IFERROR(__xludf.DUMMYFUNCTION("""COMPUTED_VALUE"""),"Print Design Support")</f>
        <v>Print Design Support</v>
      </c>
    </row>
    <row r="777">
      <c r="O777" s="1" t="str">
        <f>IFERROR(__xludf.DUMMYFUNCTION("""COMPUTED_VALUE"""),"2025 Aug")</f>
        <v>2025 Aug</v>
      </c>
      <c r="P777" s="1" t="str">
        <f>IFERROR(__xludf.DUMMYFUNCTION("""COMPUTED_VALUE"""),"Admin Support")</f>
        <v>Admin Support</v>
      </c>
      <c r="Q777" s="1" t="str">
        <f>IFERROR(__xludf.DUMMYFUNCTION("""COMPUTED_VALUE"""),"nsahagun@canva.com")</f>
        <v>nsahagun@canva.com</v>
      </c>
      <c r="R777" s="1" t="str">
        <f>IFERROR(__xludf.DUMMYFUNCTION("""COMPUTED_VALUE"""),"Nathalie Sahagun")</f>
        <v>Nathalie Sahagun</v>
      </c>
      <c r="S777" s="1">
        <f>IFERROR(__xludf.DUMMYFUNCTION("""COMPUTED_VALUE"""),4.0)</f>
        <v>4</v>
      </c>
      <c r="T777" s="1">
        <f>IFERROR(__xludf.DUMMYFUNCTION("""COMPUTED_VALUE"""),4.0)</f>
        <v>4</v>
      </c>
      <c r="U777" s="2">
        <f>IFERROR(__xludf.DUMMYFUNCTION("""COMPUTED_VALUE"""),8.0)</f>
        <v>8</v>
      </c>
      <c r="V777" s="1" t="str">
        <f>IFERROR(__xludf.DUMMYFUNCTION("""COMPUTED_VALUE"""),"Nate Vela")</f>
        <v>Nate Vela</v>
      </c>
      <c r="W777" s="1" t="str">
        <f>IFERROR(__xludf.DUMMYFUNCTION("""COMPUTED_VALUE"""),"Admin Support NA")</f>
        <v>Admin Support NA</v>
      </c>
    </row>
    <row r="778">
      <c r="O778" s="1" t="str">
        <f>IFERROR(__xludf.DUMMYFUNCTION("""COMPUTED_VALUE"""),"2025 Aug")</f>
        <v>2025 Aug</v>
      </c>
      <c r="P778" s="1" t="str">
        <f>IFERROR(__xludf.DUMMYFUNCTION("""COMPUTED_VALUE"""),"Core Product Support")</f>
        <v>Core Product Support</v>
      </c>
      <c r="Q778" s="1" t="str">
        <f>IFERROR(__xludf.DUMMYFUNCTION("""COMPUTED_VALUE"""),"neeki@canva.com")</f>
        <v>neeki@canva.com</v>
      </c>
      <c r="R778" s="1" t="str">
        <f>IFERROR(__xludf.DUMMYFUNCTION("""COMPUTED_VALUE"""),"Neeki Asido")</f>
        <v>Neeki Asido</v>
      </c>
      <c r="S778" s="1">
        <f>IFERROR(__xludf.DUMMYFUNCTION("""COMPUTED_VALUE"""),16.73)</f>
        <v>16.73</v>
      </c>
      <c r="T778" s="1">
        <f>IFERROR(__xludf.DUMMYFUNCTION("""COMPUTED_VALUE"""),34.25)</f>
        <v>34.25</v>
      </c>
      <c r="U778" s="2">
        <f>IFERROR(__xludf.DUMMYFUNCTION("""COMPUTED_VALUE"""),50.980000000000004)</f>
        <v>50.98</v>
      </c>
      <c r="V778" s="1" t="str">
        <f>IFERROR(__xludf.DUMMYFUNCTION("""COMPUTED_VALUE"""),"Jelyn Elmido")</f>
        <v>Jelyn Elmido</v>
      </c>
      <c r="W778" s="1" t="str">
        <f>IFERROR(__xludf.DUMMYFUNCTION("""COMPUTED_VALUE"""),"Core Product Support Escalation Team")</f>
        <v>Core Product Support Escalation Team</v>
      </c>
    </row>
    <row r="779">
      <c r="O779" s="1" t="str">
        <f>IFERROR(__xludf.DUMMYFUNCTION("""COMPUTED_VALUE"""),"2025 Aug")</f>
        <v>2025 Aug</v>
      </c>
      <c r="P779" s="1" t="str">
        <f>IFERROR(__xludf.DUMMYFUNCTION("""COMPUTED_VALUE"""),"Core Product Support")</f>
        <v>Core Product Support</v>
      </c>
      <c r="Q779" s="1" t="str">
        <f>IFERROR(__xludf.DUMMYFUNCTION("""COMPUTED_VALUE"""),"nicholeb@canva.com")</f>
        <v>nicholeb@canva.com</v>
      </c>
      <c r="R779" s="1" t="str">
        <f>IFERROR(__xludf.DUMMYFUNCTION("""COMPUTED_VALUE"""),"Nichole Braceliño")</f>
        <v>Nichole Braceliño</v>
      </c>
      <c r="S779" s="1">
        <f>IFERROR(__xludf.DUMMYFUNCTION("""COMPUTED_VALUE"""),22.42)</f>
        <v>22.42</v>
      </c>
      <c r="T779" s="1">
        <f>IFERROR(__xludf.DUMMYFUNCTION("""COMPUTED_VALUE"""),47.42)</f>
        <v>47.42</v>
      </c>
      <c r="U779" s="2">
        <f>IFERROR(__xludf.DUMMYFUNCTION("""COMPUTED_VALUE"""),69.84)</f>
        <v>69.84</v>
      </c>
      <c r="V779" s="1" t="str">
        <f>IFERROR(__xludf.DUMMYFUNCTION("""COMPUTED_VALUE"""),"Renette Bok")</f>
        <v>Renette Bok</v>
      </c>
      <c r="W779" s="1" t="str">
        <f>IFERROR(__xludf.DUMMYFUNCTION("""COMPUTED_VALUE"""),"Advanced Billing &amp; Subscriptions")</f>
        <v>Advanced Billing &amp; Subscriptions</v>
      </c>
    </row>
    <row r="780">
      <c r="O780" s="1" t="str">
        <f>IFERROR(__xludf.DUMMYFUNCTION("""COMPUTED_VALUE"""),"2025 Aug")</f>
        <v>2025 Aug</v>
      </c>
      <c r="P780" s="1" t="str">
        <f>IFERROR(__xludf.DUMMYFUNCTION("""COMPUTED_VALUE"""),"High Sensitivity Support")</f>
        <v>High Sensitivity Support</v>
      </c>
      <c r="Q780" s="1" t="str">
        <f>IFERROR(__xludf.DUMMYFUNCTION("""COMPUTED_VALUE"""),"ncruz@canva.com")</f>
        <v>ncruz@canva.com</v>
      </c>
      <c r="R780" s="1" t="str">
        <f>IFERROR(__xludf.DUMMYFUNCTION("""COMPUTED_VALUE"""),"Nikki Cruz")</f>
        <v>Nikki Cruz</v>
      </c>
      <c r="S780" s="1"/>
      <c r="T780" s="1">
        <f>IFERROR(__xludf.DUMMYFUNCTION("""COMPUTED_VALUE"""),43.33)</f>
        <v>43.33</v>
      </c>
      <c r="U780" s="2">
        <f>IFERROR(__xludf.DUMMYFUNCTION("""COMPUTED_VALUE"""),43.33)</f>
        <v>43.33</v>
      </c>
      <c r="V780" s="1" t="str">
        <f>IFERROR(__xludf.DUMMYFUNCTION("""COMPUTED_VALUE"""),"Issi Afable")</f>
        <v>Issi Afable</v>
      </c>
      <c r="W780" s="1" t="str">
        <f>IFERROR(__xludf.DUMMYFUNCTION("""COMPUTED_VALUE"""),"High Sensitivity Support PH")</f>
        <v>High Sensitivity Support PH</v>
      </c>
    </row>
    <row r="781">
      <c r="O781" s="1" t="str">
        <f>IFERROR(__xludf.DUMMYFUNCTION("""COMPUTED_VALUE"""),"2025 Aug")</f>
        <v>2025 Aug</v>
      </c>
      <c r="P781" s="1" t="str">
        <f>IFERROR(__xludf.DUMMYFUNCTION("""COMPUTED_VALUE"""),"Print Support")</f>
        <v>Print Support</v>
      </c>
      <c r="Q781" s="1" t="str">
        <f>IFERROR(__xludf.DUMMYFUNCTION("""COMPUTED_VALUE"""),"nonoimboy@canva.com")</f>
        <v>nonoimboy@canva.com</v>
      </c>
      <c r="R781" s="1" t="str">
        <f>IFERROR(__xludf.DUMMYFUNCTION("""COMPUTED_VALUE"""),"Noel Imboy")</f>
        <v>Noel Imboy</v>
      </c>
      <c r="S781" s="1">
        <f>IFERROR(__xludf.DUMMYFUNCTION("""COMPUTED_VALUE"""),9.5)</f>
        <v>9.5</v>
      </c>
      <c r="T781" s="1">
        <f>IFERROR(__xludf.DUMMYFUNCTION("""COMPUTED_VALUE"""),14.0)</f>
        <v>14</v>
      </c>
      <c r="U781" s="2">
        <f>IFERROR(__xludf.DUMMYFUNCTION("""COMPUTED_VALUE"""),23.5)</f>
        <v>23.5</v>
      </c>
      <c r="V781" s="1" t="str">
        <f>IFERROR(__xludf.DUMMYFUNCTION("""COMPUTED_VALUE"""),"Gem Agoncillo")</f>
        <v>Gem Agoncillo</v>
      </c>
      <c r="W781" s="1" t="str">
        <f>IFERROR(__xludf.DUMMYFUNCTION("""COMPUTED_VALUE"""),"Print Design Support")</f>
        <v>Print Design Support</v>
      </c>
    </row>
    <row r="782">
      <c r="O782" s="1" t="str">
        <f>IFERROR(__xludf.DUMMYFUNCTION("""COMPUTED_VALUE"""),"2025 Aug")</f>
        <v>2025 Aug</v>
      </c>
      <c r="P782" s="1" t="str">
        <f>IFERROR(__xludf.DUMMYFUNCTION("""COMPUTED_VALUE"""),"#N/A")</f>
        <v>#N/A</v>
      </c>
      <c r="Q782" s="1" t="str">
        <f>IFERROR(__xludf.DUMMYFUNCTION("""COMPUTED_VALUE"""),"oliverr@canva.com")</f>
        <v>oliverr@canva.com</v>
      </c>
      <c r="R782" s="1" t="str">
        <f>IFERROR(__xludf.DUMMYFUNCTION("""COMPUTED_VALUE"""),"Oliver Rempillo")</f>
        <v>Oliver Rempillo</v>
      </c>
      <c r="S782" s="1"/>
      <c r="T782" s="1">
        <f>IFERROR(__xludf.DUMMYFUNCTION("""COMPUTED_VALUE"""),0.0)</f>
        <v>0</v>
      </c>
      <c r="U782" s="2">
        <f>IFERROR(__xludf.DUMMYFUNCTION("""COMPUTED_VALUE"""),0.0)</f>
        <v>0</v>
      </c>
      <c r="V782" s="1" t="str">
        <f>IFERROR(__xludf.DUMMYFUNCTION("""COMPUTED_VALUE"""),"#N/A")</f>
        <v>#N/A</v>
      </c>
      <c r="W782" s="1" t="str">
        <f>IFERROR(__xludf.DUMMYFUNCTION("""COMPUTED_VALUE"""),"#N/A")</f>
        <v>#N/A</v>
      </c>
    </row>
    <row r="783">
      <c r="O783" s="1" t="str">
        <f>IFERROR(__xludf.DUMMYFUNCTION("""COMPUTED_VALUE"""),"2025 Aug")</f>
        <v>2025 Aug</v>
      </c>
      <c r="P783" s="1" t="str">
        <f>IFERROR(__xludf.DUMMYFUNCTION("""COMPUTED_VALUE"""),"Segment-specific Support")</f>
        <v>Segment-specific Support</v>
      </c>
      <c r="Q783" s="1" t="str">
        <f>IFERROR(__xludf.DUMMYFUNCTION("""COMPUTED_VALUE"""),"pao@canva.com")</f>
        <v>pao@canva.com</v>
      </c>
      <c r="R783" s="1" t="str">
        <f>IFERROR(__xludf.DUMMYFUNCTION("""COMPUTED_VALUE"""),"Pao Domanais")</f>
        <v>Pao Domanais</v>
      </c>
      <c r="S783" s="1">
        <f>IFERROR(__xludf.DUMMYFUNCTION("""COMPUTED_VALUE"""),7.35)</f>
        <v>7.35</v>
      </c>
      <c r="T783" s="1">
        <f>IFERROR(__xludf.DUMMYFUNCTION("""COMPUTED_VALUE"""),14.1)</f>
        <v>14.1</v>
      </c>
      <c r="U783" s="2">
        <f>IFERROR(__xludf.DUMMYFUNCTION("""COMPUTED_VALUE"""),21.45)</f>
        <v>21.45</v>
      </c>
      <c r="V783" s="1" t="str">
        <f>IFERROR(__xludf.DUMMYFUNCTION("""COMPUTED_VALUE"""),"Rose Gabilan")</f>
        <v>Rose Gabilan</v>
      </c>
      <c r="W783" s="1" t="str">
        <f>IFERROR(__xludf.DUMMYFUNCTION("""COMPUTED_VALUE"""),"Print Support PH")</f>
        <v>Print Support PH</v>
      </c>
    </row>
    <row r="784">
      <c r="O784" s="1" t="str">
        <f>IFERROR(__xludf.DUMMYFUNCTION("""COMPUTED_VALUE"""),"2025 Aug")</f>
        <v>2025 Aug</v>
      </c>
      <c r="P784" s="1" t="str">
        <f>IFERROR(__xludf.DUMMYFUNCTION("""COMPUTED_VALUE"""),"Print Support")</f>
        <v>Print Support</v>
      </c>
      <c r="Q784" s="1" t="str">
        <f>IFERROR(__xludf.DUMMYFUNCTION("""COMPUTED_VALUE"""),"paolonati@canva.com")</f>
        <v>paolonati@canva.com</v>
      </c>
      <c r="R784" s="1" t="str">
        <f>IFERROR(__xludf.DUMMYFUNCTION("""COMPUTED_VALUE"""),"Paolo Natividad")</f>
        <v>Paolo Natividad</v>
      </c>
      <c r="S784" s="1">
        <f>IFERROR(__xludf.DUMMYFUNCTION("""COMPUTED_VALUE"""),6.25)</f>
        <v>6.25</v>
      </c>
      <c r="T784" s="1">
        <f>IFERROR(__xludf.DUMMYFUNCTION("""COMPUTED_VALUE"""),13.5)</f>
        <v>13.5</v>
      </c>
      <c r="U784" s="2">
        <f>IFERROR(__xludf.DUMMYFUNCTION("""COMPUTED_VALUE"""),19.75)</f>
        <v>19.75</v>
      </c>
      <c r="V784" s="1" t="str">
        <f>IFERROR(__xludf.DUMMYFUNCTION("""COMPUTED_VALUE"""),"Rei De Jesus")</f>
        <v>Rei De Jesus</v>
      </c>
      <c r="W784" s="1" t="str">
        <f>IFERROR(__xludf.DUMMYFUNCTION("""COMPUTED_VALUE"""),"Print Design Support")</f>
        <v>Print Design Support</v>
      </c>
    </row>
    <row r="785">
      <c r="O785" s="1" t="str">
        <f>IFERROR(__xludf.DUMMYFUNCTION("""COMPUTED_VALUE"""),"2025 Aug")</f>
        <v>2025 Aug</v>
      </c>
      <c r="P785" s="1" t="str">
        <f>IFERROR(__xludf.DUMMYFUNCTION("""COMPUTED_VALUE"""),"Core Product Support")</f>
        <v>Core Product Support</v>
      </c>
      <c r="Q785" s="1" t="str">
        <f>IFERROR(__xludf.DUMMYFUNCTION("""COMPUTED_VALUE"""),"padelacruz@canva.com")</f>
        <v>padelacruz@canva.com</v>
      </c>
      <c r="R785" s="1" t="str">
        <f>IFERROR(__xludf.DUMMYFUNCTION("""COMPUTED_VALUE"""),"Patrick Dela Cruz")</f>
        <v>Patrick Dela Cruz</v>
      </c>
      <c r="S785" s="1">
        <f>IFERROR(__xludf.DUMMYFUNCTION("""COMPUTED_VALUE"""),34.0)</f>
        <v>34</v>
      </c>
      <c r="T785" s="1">
        <f>IFERROR(__xludf.DUMMYFUNCTION("""COMPUTED_VALUE"""),46.0)</f>
        <v>46</v>
      </c>
      <c r="U785" s="2">
        <f>IFERROR(__xludf.DUMMYFUNCTION("""COMPUTED_VALUE"""),80.0)</f>
        <v>80</v>
      </c>
      <c r="V785" s="1" t="str">
        <f>IFERROR(__xludf.DUMMYFUNCTION("""COMPUTED_VALUE"""),"Cate Velasco")</f>
        <v>Cate Velasco</v>
      </c>
      <c r="W785" s="1" t="str">
        <f>IFERROR(__xludf.DUMMYFUNCTION("""COMPUTED_VALUE"""),"Advanced Product Support")</f>
        <v>Advanced Product Support</v>
      </c>
    </row>
    <row r="786">
      <c r="O786" s="1" t="str">
        <f>IFERROR(__xludf.DUMMYFUNCTION("""COMPUTED_VALUE"""),"2025 Aug")</f>
        <v>2025 Aug</v>
      </c>
      <c r="P786" s="1" t="str">
        <f>IFERROR(__xludf.DUMMYFUNCTION("""COMPUTED_VALUE"""),"#N/A")</f>
        <v>#N/A</v>
      </c>
      <c r="Q786" s="1" t="str">
        <f>IFERROR(__xludf.DUMMYFUNCTION("""COMPUTED_VALUE"""),"patrickm@canva.com")</f>
        <v>patrickm@canva.com</v>
      </c>
      <c r="R786" s="1" t="str">
        <f>IFERROR(__xludf.DUMMYFUNCTION("""COMPUTED_VALUE"""),"Patrick Mariano")</f>
        <v>Patrick Mariano</v>
      </c>
      <c r="S786" s="1">
        <f>IFERROR(__xludf.DUMMYFUNCTION("""COMPUTED_VALUE"""),22.25)</f>
        <v>22.25</v>
      </c>
      <c r="T786" s="1">
        <f>IFERROR(__xludf.DUMMYFUNCTION("""COMPUTED_VALUE"""),33.08)</f>
        <v>33.08</v>
      </c>
      <c r="U786" s="2">
        <f>IFERROR(__xludf.DUMMYFUNCTION("""COMPUTED_VALUE"""),55.33)</f>
        <v>55.33</v>
      </c>
      <c r="V786" s="1" t="str">
        <f>IFERROR(__xludf.DUMMYFUNCTION("""COMPUTED_VALUE"""),"#N/A")</f>
        <v>#N/A</v>
      </c>
      <c r="W786" s="1" t="str">
        <f>IFERROR(__xludf.DUMMYFUNCTION("""COMPUTED_VALUE"""),"Advanced Billing &amp; Subscriptions")</f>
        <v>Advanced Billing &amp; Subscriptions</v>
      </c>
    </row>
    <row r="787">
      <c r="O787" s="1" t="str">
        <f>IFERROR(__xludf.DUMMYFUNCTION("""COMPUTED_VALUE"""),"2025 Aug")</f>
        <v>2025 Aug</v>
      </c>
      <c r="P787" s="1" t="str">
        <f>IFERROR(__xludf.DUMMYFUNCTION("""COMPUTED_VALUE"""),"Core Product Support")</f>
        <v>Core Product Support</v>
      </c>
      <c r="Q787" s="1" t="str">
        <f>IFERROR(__xludf.DUMMYFUNCTION("""COMPUTED_VALUE"""),"pathugo@canva.com")</f>
        <v>pathugo@canva.com</v>
      </c>
      <c r="R787" s="1" t="str">
        <f>IFERROR(__xludf.DUMMYFUNCTION("""COMPUTED_VALUE"""),"Patriz Hugo")</f>
        <v>Patriz Hugo</v>
      </c>
      <c r="S787" s="1">
        <f>IFERROR(__xludf.DUMMYFUNCTION("""COMPUTED_VALUE"""),27.25)</f>
        <v>27.25</v>
      </c>
      <c r="T787" s="1">
        <f>IFERROR(__xludf.DUMMYFUNCTION("""COMPUTED_VALUE"""),30.25)</f>
        <v>30.25</v>
      </c>
      <c r="U787" s="2">
        <f>IFERROR(__xludf.DUMMYFUNCTION("""COMPUTED_VALUE"""),57.5)</f>
        <v>57.5</v>
      </c>
      <c r="V787" s="1" t="str">
        <f>IFERROR(__xludf.DUMMYFUNCTION("""COMPUTED_VALUE"""),"Sieg Ballelos")</f>
        <v>Sieg Ballelos</v>
      </c>
      <c r="W787" s="1" t="str">
        <f>IFERROR(__xludf.DUMMYFUNCTION("""COMPUTED_VALUE"""),"Core Product Support Escalation Team")</f>
        <v>Core Product Support Escalation Team</v>
      </c>
    </row>
    <row r="788">
      <c r="O788" s="1" t="str">
        <f>IFERROR(__xludf.DUMMYFUNCTION("""COMPUTED_VALUE"""),"2025 Aug")</f>
        <v>2025 Aug</v>
      </c>
      <c r="P788" s="1" t="str">
        <f>IFERROR(__xludf.DUMMYFUNCTION("""COMPUTED_VALUE"""),"High Sensitivity Support")</f>
        <v>High Sensitivity Support</v>
      </c>
      <c r="Q788" s="1" t="str">
        <f>IFERROR(__xludf.DUMMYFUNCTION("""COMPUTED_VALUE"""),"paulwilbert@canva.com")</f>
        <v>paulwilbert@canva.com</v>
      </c>
      <c r="R788" s="1" t="str">
        <f>IFERROR(__xludf.DUMMYFUNCTION("""COMPUTED_VALUE"""),"Paul Domingo (Secondment)")</f>
        <v>Paul Domingo (Secondment)</v>
      </c>
      <c r="S788" s="1">
        <f>IFERROR(__xludf.DUMMYFUNCTION("""COMPUTED_VALUE"""),9.0)</f>
        <v>9</v>
      </c>
      <c r="T788" s="1">
        <f>IFERROR(__xludf.DUMMYFUNCTION("""COMPUTED_VALUE"""),12.0)</f>
        <v>12</v>
      </c>
      <c r="U788" s="2">
        <f>IFERROR(__xludf.DUMMYFUNCTION("""COMPUTED_VALUE"""),21.0)</f>
        <v>21</v>
      </c>
      <c r="V788" s="1" t="str">
        <f>IFERROR(__xludf.DUMMYFUNCTION("""COMPUTED_VALUE"""),"Xandy Azarcon")</f>
        <v>Xandy Azarcon</v>
      </c>
      <c r="W788" s="1" t="str">
        <f>IFERROR(__xludf.DUMMYFUNCTION("""COMPUTED_VALUE"""),"High Sensitivity Support PH")</f>
        <v>High Sensitivity Support PH</v>
      </c>
    </row>
    <row r="789">
      <c r="O789" s="1" t="str">
        <f>IFERROR(__xludf.DUMMYFUNCTION("""COMPUTED_VALUE"""),"2025 Aug")</f>
        <v>2025 Aug</v>
      </c>
      <c r="P789" s="1" t="str">
        <f>IFERROR(__xludf.DUMMYFUNCTION("""COMPUTED_VALUE"""),"Core Product Support")</f>
        <v>Core Product Support</v>
      </c>
      <c r="Q789" s="1" t="str">
        <f>IFERROR(__xludf.DUMMYFUNCTION("""COMPUTED_VALUE"""),"paulv@canva.com")</f>
        <v>paulv@canva.com</v>
      </c>
      <c r="R789" s="1" t="str">
        <f>IFERROR(__xludf.DUMMYFUNCTION("""COMPUTED_VALUE"""),"Paul Verdad")</f>
        <v>Paul Verdad</v>
      </c>
      <c r="S789" s="1">
        <f>IFERROR(__xludf.DUMMYFUNCTION("""COMPUTED_VALUE"""),30.0)</f>
        <v>30</v>
      </c>
      <c r="T789" s="1">
        <f>IFERROR(__xludf.DUMMYFUNCTION("""COMPUTED_VALUE"""),36.08)</f>
        <v>36.08</v>
      </c>
      <c r="U789" s="2">
        <f>IFERROR(__xludf.DUMMYFUNCTION("""COMPUTED_VALUE"""),66.08)</f>
        <v>66.08</v>
      </c>
      <c r="V789" s="1" t="str">
        <f>IFERROR(__xludf.DUMMYFUNCTION("""COMPUTED_VALUE"""),"Vinz Lazaro")</f>
        <v>Vinz Lazaro</v>
      </c>
      <c r="W789" s="1" t="str">
        <f>IFERROR(__xludf.DUMMYFUNCTION("""COMPUTED_VALUE"""),"Advanced Product Support")</f>
        <v>Advanced Product Support</v>
      </c>
    </row>
    <row r="790">
      <c r="O790" s="1" t="str">
        <f>IFERROR(__xludf.DUMMYFUNCTION("""COMPUTED_VALUE"""),"2025 Aug")</f>
        <v>2025 Aug</v>
      </c>
      <c r="P790" s="1" t="str">
        <f>IFERROR(__xludf.DUMMYFUNCTION("""COMPUTED_VALUE"""),"#N/A")</f>
        <v>#N/A</v>
      </c>
      <c r="Q790" s="1" t="str">
        <f>IFERROR(__xludf.DUMMYFUNCTION("""COMPUTED_VALUE"""),"paul.y@canva.com")</f>
        <v>paul.y@canva.com</v>
      </c>
      <c r="R790" s="1" t="str">
        <f>IFERROR(__xludf.DUMMYFUNCTION("""COMPUTED_VALUE"""),"Paul Yang")</f>
        <v>Paul Yang</v>
      </c>
      <c r="S790" s="1">
        <f>IFERROR(__xludf.DUMMYFUNCTION("""COMPUTED_VALUE"""),12.0)</f>
        <v>12</v>
      </c>
      <c r="T790" s="1">
        <f>IFERROR(__xludf.DUMMYFUNCTION("""COMPUTED_VALUE"""),16.5)</f>
        <v>16.5</v>
      </c>
      <c r="U790" s="2">
        <f>IFERROR(__xludf.DUMMYFUNCTION("""COMPUTED_VALUE"""),28.5)</f>
        <v>28.5</v>
      </c>
      <c r="V790" s="1" t="str">
        <f>IFERROR(__xludf.DUMMYFUNCTION("""COMPUTED_VALUE"""),"#N/A")</f>
        <v>#N/A</v>
      </c>
      <c r="W790" s="1" t="str">
        <f>IFERROR(__xludf.DUMMYFUNCTION("""COMPUTED_VALUE"""),"#N/A")</f>
        <v>#N/A</v>
      </c>
    </row>
    <row r="791">
      <c r="O791" s="1" t="str">
        <f>IFERROR(__xludf.DUMMYFUNCTION("""COMPUTED_VALUE"""),"2025 Aug")</f>
        <v>2025 Aug</v>
      </c>
      <c r="P791" s="1" t="str">
        <f>IFERROR(__xludf.DUMMYFUNCTION("""COMPUTED_VALUE"""),"High Sensitivity Support")</f>
        <v>High Sensitivity Support</v>
      </c>
      <c r="Q791" s="1" t="str">
        <f>IFERROR(__xludf.DUMMYFUNCTION("""COMPUTED_VALUE"""),"phillipronquillo@canva.com")</f>
        <v>phillipronquillo@canva.com</v>
      </c>
      <c r="R791" s="1" t="str">
        <f>IFERROR(__xludf.DUMMYFUNCTION("""COMPUTED_VALUE"""),"Phil Ronquillo")</f>
        <v>Phil Ronquillo</v>
      </c>
      <c r="S791" s="1">
        <f>IFERROR(__xludf.DUMMYFUNCTION("""COMPUTED_VALUE"""),21.33)</f>
        <v>21.33</v>
      </c>
      <c r="T791" s="1">
        <f>IFERROR(__xludf.DUMMYFUNCTION("""COMPUTED_VALUE"""),25.0)</f>
        <v>25</v>
      </c>
      <c r="U791" s="2">
        <f>IFERROR(__xludf.DUMMYFUNCTION("""COMPUTED_VALUE"""),46.33)</f>
        <v>46.33</v>
      </c>
      <c r="V791" s="1" t="str">
        <f>IFERROR(__xludf.DUMMYFUNCTION("""COMPUTED_VALUE"""),"Rossheen Pura")</f>
        <v>Rossheen Pura</v>
      </c>
      <c r="W791" s="1" t="str">
        <f>IFERROR(__xludf.DUMMYFUNCTION("""COMPUTED_VALUE"""),"High Sensitivity Support PH")</f>
        <v>High Sensitivity Support PH</v>
      </c>
    </row>
    <row r="792">
      <c r="O792" s="1" t="str">
        <f>IFERROR(__xludf.DUMMYFUNCTION("""COMPUTED_VALUE"""),"2025 Aug")</f>
        <v>2025 Aug</v>
      </c>
      <c r="P792" s="1" t="str">
        <f>IFERROR(__xludf.DUMMYFUNCTION("""COMPUTED_VALUE"""),"Core Product Support")</f>
        <v>Core Product Support</v>
      </c>
      <c r="Q792" s="1" t="str">
        <f>IFERROR(__xludf.DUMMYFUNCTION("""COMPUTED_VALUE"""),"pnicolepescador@canva.com")</f>
        <v>pnicolepescador@canva.com</v>
      </c>
      <c r="R792" s="1" t="str">
        <f>IFERROR(__xludf.DUMMYFUNCTION("""COMPUTED_VALUE"""),"Precious Pescador")</f>
        <v>Precious Pescador</v>
      </c>
      <c r="S792" s="1">
        <f>IFERROR(__xludf.DUMMYFUNCTION("""COMPUTED_VALUE"""),18.8)</f>
        <v>18.8</v>
      </c>
      <c r="T792" s="1">
        <f>IFERROR(__xludf.DUMMYFUNCTION("""COMPUTED_VALUE"""),32.05)</f>
        <v>32.05</v>
      </c>
      <c r="U792" s="2">
        <f>IFERROR(__xludf.DUMMYFUNCTION("""COMPUTED_VALUE"""),50.849999999999994)</f>
        <v>50.85</v>
      </c>
      <c r="V792" s="1" t="str">
        <f>IFERROR(__xludf.DUMMYFUNCTION("""COMPUTED_VALUE"""),"Ayza Marie Pascual")</f>
        <v>Ayza Marie Pascual</v>
      </c>
      <c r="W792" s="1" t="str">
        <f>IFERROR(__xludf.DUMMYFUNCTION("""COMPUTED_VALUE"""),"Advanced Billing &amp; Subscriptions")</f>
        <v>Advanced Billing &amp; Subscriptions</v>
      </c>
    </row>
    <row r="793">
      <c r="O793" s="1" t="str">
        <f>IFERROR(__xludf.DUMMYFUNCTION("""COMPUTED_VALUE"""),"2025 Aug")</f>
        <v>2025 Aug</v>
      </c>
      <c r="P793" s="1" t="str">
        <f>IFERROR(__xludf.DUMMYFUNCTION("""COMPUTED_VALUE"""),"High Sensitivity Support")</f>
        <v>High Sensitivity Support</v>
      </c>
      <c r="Q793" s="1" t="str">
        <f>IFERROR(__xludf.DUMMYFUNCTION("""COMPUTED_VALUE"""),"quennie@canva.com")</f>
        <v>quennie@canva.com</v>
      </c>
      <c r="R793" s="1" t="str">
        <f>IFERROR(__xludf.DUMMYFUNCTION("""COMPUTED_VALUE"""),"Quennie Quisel")</f>
        <v>Quennie Quisel</v>
      </c>
      <c r="S793" s="1"/>
      <c r="T793" s="1">
        <f>IFERROR(__xludf.DUMMYFUNCTION("""COMPUTED_VALUE"""),27.65)</f>
        <v>27.65</v>
      </c>
      <c r="U793" s="2">
        <f>IFERROR(__xludf.DUMMYFUNCTION("""COMPUTED_VALUE"""),27.65)</f>
        <v>27.65</v>
      </c>
      <c r="V793" s="1" t="str">
        <f>IFERROR(__xludf.DUMMYFUNCTION("""COMPUTED_VALUE"""),"Issi Afable")</f>
        <v>Issi Afable</v>
      </c>
      <c r="W793" s="1" t="str">
        <f>IFERROR(__xludf.DUMMYFUNCTION("""COMPUTED_VALUE"""),"High Sensitivity Support PH")</f>
        <v>High Sensitivity Support PH</v>
      </c>
    </row>
    <row r="794">
      <c r="O794" s="1" t="str">
        <f>IFERROR(__xludf.DUMMYFUNCTION("""COMPUTED_VALUE"""),"2025 Aug")</f>
        <v>2025 Aug</v>
      </c>
      <c r="P794" s="1" t="str">
        <f>IFERROR(__xludf.DUMMYFUNCTION("""COMPUTED_VALUE"""),"Core Product Support")</f>
        <v>Core Product Support</v>
      </c>
      <c r="Q794" s="1" t="str">
        <f>IFERROR(__xludf.DUMMYFUNCTION("""COMPUTED_VALUE"""),"rachellynanne@canva.com")</f>
        <v>rachellynanne@canva.com</v>
      </c>
      <c r="R794" s="1" t="str">
        <f>IFERROR(__xludf.DUMMYFUNCTION("""COMPUTED_VALUE"""),"Rachellyn Medina")</f>
        <v>Rachellyn Medina</v>
      </c>
      <c r="S794" s="1">
        <f>IFERROR(__xludf.DUMMYFUNCTION("""COMPUTED_VALUE"""),3.0)</f>
        <v>3</v>
      </c>
      <c r="T794" s="1">
        <f>IFERROR(__xludf.DUMMYFUNCTION("""COMPUTED_VALUE"""),6.5)</f>
        <v>6.5</v>
      </c>
      <c r="U794" s="2">
        <f>IFERROR(__xludf.DUMMYFUNCTION("""COMPUTED_VALUE"""),9.5)</f>
        <v>9.5</v>
      </c>
      <c r="V794" s="1" t="str">
        <f>IFERROR(__xludf.DUMMYFUNCTION("""COMPUTED_VALUE"""),"Jem Mondoñedo")</f>
        <v>Jem Mondoñedo</v>
      </c>
      <c r="W794" s="1" t="str">
        <f>IFERROR(__xludf.DUMMYFUNCTION("""COMPUTED_VALUE"""),"Advanced Billing &amp; Subscriptions")</f>
        <v>Advanced Billing &amp; Subscriptions</v>
      </c>
    </row>
    <row r="795">
      <c r="O795" s="1" t="str">
        <f>IFERROR(__xludf.DUMMYFUNCTION("""COMPUTED_VALUE"""),"2025 Aug")</f>
        <v>2025 Aug</v>
      </c>
      <c r="P795" s="1" t="str">
        <f>IFERROR(__xludf.DUMMYFUNCTION("""COMPUTED_VALUE"""),"Core Product Support")</f>
        <v>Core Product Support</v>
      </c>
      <c r="Q795" s="1" t="str">
        <f>IFERROR(__xludf.DUMMYFUNCTION("""COMPUTED_VALUE"""),"alfredomillares@canva.com")</f>
        <v>alfredomillares@canva.com</v>
      </c>
      <c r="R795" s="1" t="str">
        <f>IFERROR(__xludf.DUMMYFUNCTION("""COMPUTED_VALUE"""),"Rael Millares")</f>
        <v>Rael Millares</v>
      </c>
      <c r="S795" s="1">
        <f>IFERROR(__xludf.DUMMYFUNCTION("""COMPUTED_VALUE"""),31.25)</f>
        <v>31.25</v>
      </c>
      <c r="T795" s="1">
        <f>IFERROR(__xludf.DUMMYFUNCTION("""COMPUTED_VALUE"""),38.25)</f>
        <v>38.25</v>
      </c>
      <c r="U795" s="2">
        <f>IFERROR(__xludf.DUMMYFUNCTION("""COMPUTED_VALUE"""),69.5)</f>
        <v>69.5</v>
      </c>
      <c r="V795" s="1" t="str">
        <f>IFERROR(__xludf.DUMMYFUNCTION("""COMPUTED_VALUE"""),"Jahmie Mae Barrameda")</f>
        <v>Jahmie Mae Barrameda</v>
      </c>
      <c r="W795" s="1" t="str">
        <f>IFERROR(__xludf.DUMMYFUNCTION("""COMPUTED_VALUE"""),"Advanced Billing &amp; Subscriptions")</f>
        <v>Advanced Billing &amp; Subscriptions</v>
      </c>
    </row>
    <row r="796">
      <c r="O796" s="1" t="str">
        <f>IFERROR(__xludf.DUMMYFUNCTION("""COMPUTED_VALUE"""),"2025 Aug")</f>
        <v>2025 Aug</v>
      </c>
      <c r="P796" s="1" t="str">
        <f>IFERROR(__xludf.DUMMYFUNCTION("""COMPUTED_VALUE"""),"Multilingual Support")</f>
        <v>Multilingual Support</v>
      </c>
      <c r="Q796" s="1" t="str">
        <f>IFERROR(__xludf.DUMMYFUNCTION("""COMPUTED_VALUE"""),"ranufre@canva.com")</f>
        <v>ranufre@canva.com</v>
      </c>
      <c r="R796" s="1" t="str">
        <f>IFERROR(__xludf.DUMMYFUNCTION("""COMPUTED_VALUE"""),"Rafa Freitas")</f>
        <v>Rafa Freitas</v>
      </c>
      <c r="S796" s="1">
        <f>IFERROR(__xludf.DUMMYFUNCTION("""COMPUTED_VALUE"""),4.0)</f>
        <v>4</v>
      </c>
      <c r="T796" s="1">
        <f>IFERROR(__xludf.DUMMYFUNCTION("""COMPUTED_VALUE"""),10.0)</f>
        <v>10</v>
      </c>
      <c r="U796" s="2">
        <f>IFERROR(__xludf.DUMMYFUNCTION("""COMPUTED_VALUE"""),14.0)</f>
        <v>14</v>
      </c>
      <c r="V796" s="1" t="str">
        <f>IFERROR(__xludf.DUMMYFUNCTION("""COMPUTED_VALUE"""),"Arlene Maurillo")</f>
        <v>Arlene Maurillo</v>
      </c>
      <c r="W796" s="1" t="str">
        <f>IFERROR(__xludf.DUMMYFUNCTION("""COMPUTED_VALUE"""),"PHL, Multilingual Support")</f>
        <v>PHL, Multilingual Support</v>
      </c>
    </row>
    <row r="797">
      <c r="O797" s="1" t="str">
        <f>IFERROR(__xludf.DUMMYFUNCTION("""COMPUTED_VALUE"""),"2025 Aug")</f>
        <v>2025 Aug</v>
      </c>
      <c r="P797" s="1" t="str">
        <f>IFERROR(__xludf.DUMMYFUNCTION("""COMPUTED_VALUE"""),"Core Product Support")</f>
        <v>Core Product Support</v>
      </c>
      <c r="Q797" s="1" t="str">
        <f>IFERROR(__xludf.DUMMYFUNCTION("""COMPUTED_VALUE"""),"rafaticzon@canva.com")</f>
        <v>rafaticzon@canva.com</v>
      </c>
      <c r="R797" s="1" t="str">
        <f>IFERROR(__xludf.DUMMYFUNCTION("""COMPUTED_VALUE"""),"Rafa Ticzon")</f>
        <v>Rafa Ticzon</v>
      </c>
      <c r="S797" s="1">
        <f>IFERROR(__xludf.DUMMYFUNCTION("""COMPUTED_VALUE"""),32.75)</f>
        <v>32.75</v>
      </c>
      <c r="T797" s="1">
        <f>IFERROR(__xludf.DUMMYFUNCTION("""COMPUTED_VALUE"""),33.0)</f>
        <v>33</v>
      </c>
      <c r="U797" s="2">
        <f>IFERROR(__xludf.DUMMYFUNCTION("""COMPUTED_VALUE"""),65.75)</f>
        <v>65.75</v>
      </c>
      <c r="V797" s="1" t="str">
        <f>IFERROR(__xludf.DUMMYFUNCTION("""COMPUTED_VALUE"""),"Mikhaela Decangchon")</f>
        <v>Mikhaela Decangchon</v>
      </c>
      <c r="W797" s="1" t="str">
        <f>IFERROR(__xludf.DUMMYFUNCTION("""COMPUTED_VALUE"""),"Advanced Product Support")</f>
        <v>Advanced Product Support</v>
      </c>
    </row>
    <row r="798">
      <c r="O798" s="1" t="str">
        <f>IFERROR(__xludf.DUMMYFUNCTION("""COMPUTED_VALUE"""),"2025 Aug")</f>
        <v>2025 Aug</v>
      </c>
      <c r="P798" s="1" t="str">
        <f>IFERROR(__xludf.DUMMYFUNCTION("""COMPUTED_VALUE"""),"Core Product Support")</f>
        <v>Core Product Support</v>
      </c>
      <c r="Q798" s="1" t="str">
        <f>IFERROR(__xludf.DUMMYFUNCTION("""COMPUTED_VALUE"""),"candace@canva.com")</f>
        <v>candace@canva.com</v>
      </c>
      <c r="R798" s="1" t="str">
        <f>IFERROR(__xludf.DUMMYFUNCTION("""COMPUTED_VALUE"""),"Rainne Candace Llagas")</f>
        <v>Rainne Candace Llagas</v>
      </c>
      <c r="S798" s="1">
        <f>IFERROR(__xludf.DUMMYFUNCTION("""COMPUTED_VALUE"""),23.0)</f>
        <v>23</v>
      </c>
      <c r="T798" s="1">
        <f>IFERROR(__xludf.DUMMYFUNCTION("""COMPUTED_VALUE"""),63.0)</f>
        <v>63</v>
      </c>
      <c r="U798" s="2">
        <f>IFERROR(__xludf.DUMMYFUNCTION("""COMPUTED_VALUE"""),86.0)</f>
        <v>86</v>
      </c>
      <c r="V798" s="1" t="str">
        <f>IFERROR(__xludf.DUMMYFUNCTION("""COMPUTED_VALUE"""),"Belle Bentazal")</f>
        <v>Belle Bentazal</v>
      </c>
      <c r="W798" s="1" t="str">
        <f>IFERROR(__xludf.DUMMYFUNCTION("""COMPUTED_VALUE"""),"Advanced Product Support")</f>
        <v>Advanced Product Support</v>
      </c>
    </row>
    <row r="799">
      <c r="O799" s="1" t="str">
        <f>IFERROR(__xludf.DUMMYFUNCTION("""COMPUTED_VALUE"""),"2025 Aug")</f>
        <v>2025 Aug</v>
      </c>
      <c r="P799" s="1" t="str">
        <f>IFERROR(__xludf.DUMMYFUNCTION("""COMPUTED_VALUE"""),"Core Product Support")</f>
        <v>Core Product Support</v>
      </c>
      <c r="Q799" s="1" t="str">
        <f>IFERROR(__xludf.DUMMYFUNCTION("""COMPUTED_VALUE"""),"rmercado@canva.com")</f>
        <v>rmercado@canva.com</v>
      </c>
      <c r="R799" s="1" t="str">
        <f>IFERROR(__xludf.DUMMYFUNCTION("""COMPUTED_VALUE"""),"Ram Mercado")</f>
        <v>Ram Mercado</v>
      </c>
      <c r="S799" s="1">
        <f>IFERROR(__xludf.DUMMYFUNCTION("""COMPUTED_VALUE"""),14.4)</f>
        <v>14.4</v>
      </c>
      <c r="T799" s="1">
        <f>IFERROR(__xludf.DUMMYFUNCTION("""COMPUTED_VALUE"""),30.98)</f>
        <v>30.98</v>
      </c>
      <c r="U799" s="2">
        <f>IFERROR(__xludf.DUMMYFUNCTION("""COMPUTED_VALUE"""),45.38)</f>
        <v>45.38</v>
      </c>
      <c r="V799" s="1" t="str">
        <f>IFERROR(__xludf.DUMMYFUNCTION("""COMPUTED_VALUE"""),"Jelyn Elmido")</f>
        <v>Jelyn Elmido</v>
      </c>
      <c r="W799" s="1" t="str">
        <f>IFERROR(__xludf.DUMMYFUNCTION("""COMPUTED_VALUE"""),"Core Product Support Escalation Team")</f>
        <v>Core Product Support Escalation Team</v>
      </c>
    </row>
    <row r="800">
      <c r="O800" s="1" t="str">
        <f>IFERROR(__xludf.DUMMYFUNCTION("""COMPUTED_VALUE"""),"2025 Aug")</f>
        <v>2025 Aug</v>
      </c>
      <c r="P800" s="1" t="str">
        <f>IFERROR(__xludf.DUMMYFUNCTION("""COMPUTED_VALUE"""),"Core Product Support")</f>
        <v>Core Product Support</v>
      </c>
      <c r="Q800" s="1" t="str">
        <f>IFERROR(__xludf.DUMMYFUNCTION("""COMPUTED_VALUE"""),"razelleroe@canva.com")</f>
        <v>razelleroe@canva.com</v>
      </c>
      <c r="R800" s="1" t="str">
        <f>IFERROR(__xludf.DUMMYFUNCTION("""COMPUTED_VALUE"""),"Razelle Roe Garaza")</f>
        <v>Razelle Roe Garaza</v>
      </c>
      <c r="S800" s="1">
        <f>IFERROR(__xludf.DUMMYFUNCTION("""COMPUTED_VALUE"""),32.92)</f>
        <v>32.92</v>
      </c>
      <c r="T800" s="1">
        <f>IFERROR(__xludf.DUMMYFUNCTION("""COMPUTED_VALUE"""),43.0)</f>
        <v>43</v>
      </c>
      <c r="U800" s="2">
        <f>IFERROR(__xludf.DUMMYFUNCTION("""COMPUTED_VALUE"""),75.92)</f>
        <v>75.92</v>
      </c>
      <c r="V800" s="1" t="str">
        <f>IFERROR(__xludf.DUMMYFUNCTION("""COMPUTED_VALUE"""),"Ana Lazaro")</f>
        <v>Ana Lazaro</v>
      </c>
      <c r="W800" s="1" t="str">
        <f>IFERROR(__xludf.DUMMYFUNCTION("""COMPUTED_VALUE"""),"Advanced Billing &amp; Subscriptions")</f>
        <v>Advanced Billing &amp; Subscriptions</v>
      </c>
    </row>
    <row r="801">
      <c r="O801" s="1" t="str">
        <f>IFERROR(__xludf.DUMMYFUNCTION("""COMPUTED_VALUE"""),"2025 Aug")</f>
        <v>2025 Aug</v>
      </c>
      <c r="P801" s="1" t="str">
        <f>IFERROR(__xludf.DUMMYFUNCTION("""COMPUTED_VALUE"""),"Admin Support")</f>
        <v>Admin Support</v>
      </c>
      <c r="Q801" s="1" t="str">
        <f>IFERROR(__xludf.DUMMYFUNCTION("""COMPUTED_VALUE"""),"rdolores@canva.com")</f>
        <v>rdolores@canva.com</v>
      </c>
      <c r="R801" s="1" t="str">
        <f>IFERROR(__xludf.DUMMYFUNCTION("""COMPUTED_VALUE"""),"Rea Alexis Dolores")</f>
        <v>Rea Alexis Dolores</v>
      </c>
      <c r="S801" s="1">
        <f>IFERROR(__xludf.DUMMYFUNCTION("""COMPUTED_VALUE"""),3.15)</f>
        <v>3.15</v>
      </c>
      <c r="T801" s="1">
        <f>IFERROR(__xludf.DUMMYFUNCTION("""COMPUTED_VALUE"""),11.88)</f>
        <v>11.88</v>
      </c>
      <c r="U801" s="2">
        <f>IFERROR(__xludf.DUMMYFUNCTION("""COMPUTED_VALUE"""),15.030000000000001)</f>
        <v>15.03</v>
      </c>
      <c r="V801" s="1" t="str">
        <f>IFERROR(__xludf.DUMMYFUNCTION("""COMPUTED_VALUE"""),"Karla Mananghaya")</f>
        <v>Karla Mananghaya</v>
      </c>
      <c r="W801" s="1" t="str">
        <f>IFERROR(__xludf.DUMMYFUNCTION("""COMPUTED_VALUE"""),"Admin Support Service Escalation Team")</f>
        <v>Admin Support Service Escalation Team</v>
      </c>
    </row>
    <row r="802">
      <c r="O802" s="1" t="str">
        <f>IFERROR(__xludf.DUMMYFUNCTION("""COMPUTED_VALUE"""),"2025 Aug")</f>
        <v>2025 Aug</v>
      </c>
      <c r="P802" s="1" t="str">
        <f>IFERROR(__xludf.DUMMYFUNCTION("""COMPUTED_VALUE"""),"Admin Support")</f>
        <v>Admin Support</v>
      </c>
      <c r="Q802" s="1" t="str">
        <f>IFERROR(__xludf.DUMMYFUNCTION("""COMPUTED_VALUE"""),"red@canva.com")</f>
        <v>red@canva.com</v>
      </c>
      <c r="R802" s="1" t="str">
        <f>IFERROR(__xludf.DUMMYFUNCTION("""COMPUTED_VALUE"""),"Red Dela Rosa")</f>
        <v>Red Dela Rosa</v>
      </c>
      <c r="S802" s="1">
        <f>IFERROR(__xludf.DUMMYFUNCTION("""COMPUTED_VALUE"""),4.0)</f>
        <v>4</v>
      </c>
      <c r="T802" s="1">
        <f>IFERROR(__xludf.DUMMYFUNCTION("""COMPUTED_VALUE"""),11.25)</f>
        <v>11.25</v>
      </c>
      <c r="U802" s="2">
        <f>IFERROR(__xludf.DUMMYFUNCTION("""COMPUTED_VALUE"""),15.25)</f>
        <v>15.25</v>
      </c>
      <c r="V802" s="1" t="str">
        <f>IFERROR(__xludf.DUMMYFUNCTION("""COMPUTED_VALUE"""),"Pau Palmero")</f>
        <v>Pau Palmero</v>
      </c>
      <c r="W802" s="1" t="str">
        <f>IFERROR(__xludf.DUMMYFUNCTION("""COMPUTED_VALUE"""),"Admin Omni Support")</f>
        <v>Admin Omni Support</v>
      </c>
    </row>
    <row r="803">
      <c r="O803" s="1" t="str">
        <f>IFERROR(__xludf.DUMMYFUNCTION("""COMPUTED_VALUE"""),"2025 Aug")</f>
        <v>2025 Aug</v>
      </c>
      <c r="P803" s="1" t="str">
        <f>IFERROR(__xludf.DUMMYFUNCTION("""COMPUTED_VALUE"""),"Admin Support")</f>
        <v>Admin Support</v>
      </c>
      <c r="Q803" s="1" t="str">
        <f>IFERROR(__xludf.DUMMYFUNCTION("""COMPUTED_VALUE"""),"regie@canva.com")</f>
        <v>regie@canva.com</v>
      </c>
      <c r="R803" s="1" t="str">
        <f>IFERROR(__xludf.DUMMYFUNCTION("""COMPUTED_VALUE"""),"Regie Yambot")</f>
        <v>Regie Yambot</v>
      </c>
      <c r="S803" s="1">
        <f>IFERROR(__xludf.DUMMYFUNCTION("""COMPUTED_VALUE"""),6.0)</f>
        <v>6</v>
      </c>
      <c r="T803" s="1">
        <f>IFERROR(__xludf.DUMMYFUNCTION("""COMPUTED_VALUE"""),14.5)</f>
        <v>14.5</v>
      </c>
      <c r="U803" s="2">
        <f>IFERROR(__xludf.DUMMYFUNCTION("""COMPUTED_VALUE"""),20.5)</f>
        <v>20.5</v>
      </c>
      <c r="V803" s="1" t="str">
        <f>IFERROR(__xludf.DUMMYFUNCTION("""COMPUTED_VALUE"""),"Pau Palmero")</f>
        <v>Pau Palmero</v>
      </c>
      <c r="W803" s="1" t="str">
        <f>IFERROR(__xludf.DUMMYFUNCTION("""COMPUTED_VALUE"""),"Admin Omni Support")</f>
        <v>Admin Omni Support</v>
      </c>
    </row>
    <row r="804">
      <c r="O804" s="1" t="str">
        <f>IFERROR(__xludf.DUMMYFUNCTION("""COMPUTED_VALUE"""),"2025 Aug")</f>
        <v>2025 Aug</v>
      </c>
      <c r="P804" s="1" t="str">
        <f>IFERROR(__xludf.DUMMYFUNCTION("""COMPUTED_VALUE"""),"Core Product Support")</f>
        <v>Core Product Support</v>
      </c>
      <c r="Q804" s="1" t="str">
        <f>IFERROR(__xludf.DUMMYFUNCTION("""COMPUTED_VALUE"""),"rej@canva.com")</f>
        <v>rej@canva.com</v>
      </c>
      <c r="R804" s="1" t="str">
        <f>IFERROR(__xludf.DUMMYFUNCTION("""COMPUTED_VALUE"""),"Rej Benipayo")</f>
        <v>Rej Benipayo</v>
      </c>
      <c r="S804" s="1">
        <f>IFERROR(__xludf.DUMMYFUNCTION("""COMPUTED_VALUE"""),25.0)</f>
        <v>25</v>
      </c>
      <c r="T804" s="1">
        <f>IFERROR(__xludf.DUMMYFUNCTION("""COMPUTED_VALUE"""),40.75)</f>
        <v>40.75</v>
      </c>
      <c r="U804" s="2">
        <f>IFERROR(__xludf.DUMMYFUNCTION("""COMPUTED_VALUE"""),65.75)</f>
        <v>65.75</v>
      </c>
      <c r="V804" s="1" t="str">
        <f>IFERROR(__xludf.DUMMYFUNCTION("""COMPUTED_VALUE"""),"Renette Bok")</f>
        <v>Renette Bok</v>
      </c>
      <c r="W804" s="1" t="str">
        <f>IFERROR(__xludf.DUMMYFUNCTION("""COMPUTED_VALUE"""),"Advanced Billing &amp; Subscriptions")</f>
        <v>Advanced Billing &amp; Subscriptions</v>
      </c>
    </row>
    <row r="805">
      <c r="O805" s="1" t="str">
        <f>IFERROR(__xludf.DUMMYFUNCTION("""COMPUTED_VALUE"""),"2025 Aug")</f>
        <v>2025 Aug</v>
      </c>
      <c r="P805" s="1" t="str">
        <f>IFERROR(__xludf.DUMMYFUNCTION("""COMPUTED_VALUE"""),"Core Product Support")</f>
        <v>Core Product Support</v>
      </c>
      <c r="Q805" s="1" t="str">
        <f>IFERROR(__xludf.DUMMYFUNCTION("""COMPUTED_VALUE"""),"revisuarez@canva.com")</f>
        <v>revisuarez@canva.com</v>
      </c>
      <c r="R805" s="1" t="str">
        <f>IFERROR(__xludf.DUMMYFUNCTION("""COMPUTED_VALUE"""),"Revi Suarez")</f>
        <v>Revi Suarez</v>
      </c>
      <c r="S805" s="1">
        <f>IFERROR(__xludf.DUMMYFUNCTION("""COMPUTED_VALUE"""),12.35)</f>
        <v>12.35</v>
      </c>
      <c r="T805" s="1">
        <f>IFERROR(__xludf.DUMMYFUNCTION("""COMPUTED_VALUE"""),28.82)</f>
        <v>28.82</v>
      </c>
      <c r="U805" s="2">
        <f>IFERROR(__xludf.DUMMYFUNCTION("""COMPUTED_VALUE"""),41.17)</f>
        <v>41.17</v>
      </c>
      <c r="V805" s="1" t="str">
        <f>IFERROR(__xludf.DUMMYFUNCTION("""COMPUTED_VALUE"""),"Jelyn Elmido")</f>
        <v>Jelyn Elmido</v>
      </c>
      <c r="W805" s="1" t="str">
        <f>IFERROR(__xludf.DUMMYFUNCTION("""COMPUTED_VALUE"""),"Core Product Support Escalation Team")</f>
        <v>Core Product Support Escalation Team</v>
      </c>
    </row>
    <row r="806">
      <c r="O806" s="1" t="str">
        <f>IFERROR(__xludf.DUMMYFUNCTION("""COMPUTED_VALUE"""),"2025 Aug")</f>
        <v>2025 Aug</v>
      </c>
      <c r="P806" s="1" t="str">
        <f>IFERROR(__xludf.DUMMYFUNCTION("""COMPUTED_VALUE"""),"High Sensitivity Support")</f>
        <v>High Sensitivity Support</v>
      </c>
      <c r="Q806" s="1" t="str">
        <f>IFERROR(__xludf.DUMMYFUNCTION("""COMPUTED_VALUE"""),"reya@canva.com")</f>
        <v>reya@canva.com</v>
      </c>
      <c r="R806" s="1" t="str">
        <f>IFERROR(__xludf.DUMMYFUNCTION("""COMPUTED_VALUE"""),"Reya Joson")</f>
        <v>Reya Joson</v>
      </c>
      <c r="S806" s="1"/>
      <c r="T806" s="1">
        <f>IFERROR(__xludf.DUMMYFUNCTION("""COMPUTED_VALUE"""),41.73)</f>
        <v>41.73</v>
      </c>
      <c r="U806" s="2">
        <f>IFERROR(__xludf.DUMMYFUNCTION("""COMPUTED_VALUE"""),41.73)</f>
        <v>41.73</v>
      </c>
      <c r="V806" s="1" t="str">
        <f>IFERROR(__xludf.DUMMYFUNCTION("""COMPUTED_VALUE"""),"Issi Afable")</f>
        <v>Issi Afable</v>
      </c>
      <c r="W806" s="1" t="str">
        <f>IFERROR(__xludf.DUMMYFUNCTION("""COMPUTED_VALUE"""),"High Sensitivity Support PH")</f>
        <v>High Sensitivity Support PH</v>
      </c>
    </row>
    <row r="807">
      <c r="O807" s="1" t="str">
        <f>IFERROR(__xludf.DUMMYFUNCTION("""COMPUTED_VALUE"""),"2025 Aug")</f>
        <v>2025 Aug</v>
      </c>
      <c r="P807" s="1" t="str">
        <f>IFERROR(__xludf.DUMMYFUNCTION("""COMPUTED_VALUE"""),"Segment-specific Support")</f>
        <v>Segment-specific Support</v>
      </c>
      <c r="Q807" s="1" t="str">
        <f>IFERROR(__xludf.DUMMYFUNCTION("""COMPUTED_VALUE"""),"rizzah@canva.com")</f>
        <v>rizzah@canva.com</v>
      </c>
      <c r="R807" s="1" t="str">
        <f>IFERROR(__xludf.DUMMYFUNCTION("""COMPUTED_VALUE"""),"Rizzah Hope Anjao")</f>
        <v>Rizzah Hope Anjao</v>
      </c>
      <c r="S807" s="1">
        <f>IFERROR(__xludf.DUMMYFUNCTION("""COMPUTED_VALUE"""),2.5)</f>
        <v>2.5</v>
      </c>
      <c r="T807" s="1">
        <f>IFERROR(__xludf.DUMMYFUNCTION("""COMPUTED_VALUE"""),4.5)</f>
        <v>4.5</v>
      </c>
      <c r="U807" s="2">
        <f>IFERROR(__xludf.DUMMYFUNCTION("""COMPUTED_VALUE"""),7.0)</f>
        <v>7</v>
      </c>
      <c r="V807" s="1" t="str">
        <f>IFERROR(__xludf.DUMMYFUNCTION("""COMPUTED_VALUE"""),"Gucci Nava")</f>
        <v>Gucci Nava</v>
      </c>
      <c r="W807" s="1" t="str">
        <f>IFERROR(__xludf.DUMMYFUNCTION("""COMPUTED_VALUE"""),"Affinity Support")</f>
        <v>Affinity Support</v>
      </c>
    </row>
    <row r="808">
      <c r="O808" s="1" t="str">
        <f>IFERROR(__xludf.DUMMYFUNCTION("""COMPUTED_VALUE"""),"2025 Aug")</f>
        <v>2025 Aug</v>
      </c>
      <c r="P808" s="1" t="str">
        <f>IFERROR(__xludf.DUMMYFUNCTION("""COMPUTED_VALUE"""),"Print Support")</f>
        <v>Print Support</v>
      </c>
      <c r="Q808" s="1" t="str">
        <f>IFERROR(__xludf.DUMMYFUNCTION("""COMPUTED_VALUE"""),"robsuico@canva.com")</f>
        <v>robsuico@canva.com</v>
      </c>
      <c r="R808" s="1" t="str">
        <f>IFERROR(__xludf.DUMMYFUNCTION("""COMPUTED_VALUE"""),"Robin Suico")</f>
        <v>Robin Suico</v>
      </c>
      <c r="S808" s="1">
        <f>IFERROR(__xludf.DUMMYFUNCTION("""COMPUTED_VALUE"""),8.0)</f>
        <v>8</v>
      </c>
      <c r="T808" s="1">
        <f>IFERROR(__xludf.DUMMYFUNCTION("""COMPUTED_VALUE"""),11.5)</f>
        <v>11.5</v>
      </c>
      <c r="U808" s="2">
        <f>IFERROR(__xludf.DUMMYFUNCTION("""COMPUTED_VALUE"""),19.5)</f>
        <v>19.5</v>
      </c>
      <c r="V808" s="1" t="str">
        <f>IFERROR(__xludf.DUMMYFUNCTION("""COMPUTED_VALUE"""),"Aliza Dote")</f>
        <v>Aliza Dote</v>
      </c>
      <c r="W808" s="1" t="str">
        <f>IFERROR(__xludf.DUMMYFUNCTION("""COMPUTED_VALUE"""),"Print Design Support")</f>
        <v>Print Design Support</v>
      </c>
    </row>
    <row r="809">
      <c r="O809" s="1" t="str">
        <f>IFERROR(__xludf.DUMMYFUNCTION("""COMPUTED_VALUE"""),"2025 Aug")</f>
        <v>2025 Aug</v>
      </c>
      <c r="P809" s="1" t="str">
        <f>IFERROR(__xludf.DUMMYFUNCTION("""COMPUTED_VALUE"""),"Core Product Support")</f>
        <v>Core Product Support</v>
      </c>
      <c r="Q809" s="1" t="str">
        <f>IFERROR(__xludf.DUMMYFUNCTION("""COMPUTED_VALUE"""),"ronally@canva.com")</f>
        <v>ronally@canva.com</v>
      </c>
      <c r="R809" s="1" t="str">
        <f>IFERROR(__xludf.DUMMYFUNCTION("""COMPUTED_VALUE"""),"Ronally Romero")</f>
        <v>Ronally Romero</v>
      </c>
      <c r="S809" s="1">
        <f>IFERROR(__xludf.DUMMYFUNCTION("""COMPUTED_VALUE"""),33.25)</f>
        <v>33.25</v>
      </c>
      <c r="T809" s="1">
        <f>IFERROR(__xludf.DUMMYFUNCTION("""COMPUTED_VALUE"""),72.0)</f>
        <v>72</v>
      </c>
      <c r="U809" s="2">
        <f>IFERROR(__xludf.DUMMYFUNCTION("""COMPUTED_VALUE"""),105.25)</f>
        <v>105.25</v>
      </c>
      <c r="V809" s="1" t="str">
        <f>IFERROR(__xludf.DUMMYFUNCTION("""COMPUTED_VALUE"""),"Cate Velasco")</f>
        <v>Cate Velasco</v>
      </c>
      <c r="W809" s="1" t="str">
        <f>IFERROR(__xludf.DUMMYFUNCTION("""COMPUTED_VALUE"""),"Advanced Product Support")</f>
        <v>Advanced Product Support</v>
      </c>
    </row>
    <row r="810">
      <c r="O810" s="1" t="str">
        <f>IFERROR(__xludf.DUMMYFUNCTION("""COMPUTED_VALUE"""),"2025 Aug")</f>
        <v>2025 Aug</v>
      </c>
      <c r="P810" s="1" t="str">
        <f>IFERROR(__xludf.DUMMYFUNCTION("""COMPUTED_VALUE"""),"Core Product Support")</f>
        <v>Core Product Support</v>
      </c>
      <c r="Q810" s="1" t="str">
        <f>IFERROR(__xludf.DUMMYFUNCTION("""COMPUTED_VALUE"""),"rvalderrama@canva.com")</f>
        <v>rvalderrama@canva.com</v>
      </c>
      <c r="R810" s="1" t="str">
        <f>IFERROR(__xludf.DUMMYFUNCTION("""COMPUTED_VALUE"""),"Rony Valderrama")</f>
        <v>Rony Valderrama</v>
      </c>
      <c r="S810" s="1">
        <f>IFERROR(__xludf.DUMMYFUNCTION("""COMPUTED_VALUE"""),32.38)</f>
        <v>32.38</v>
      </c>
      <c r="T810" s="1">
        <f>IFERROR(__xludf.DUMMYFUNCTION("""COMPUTED_VALUE"""),42.8)</f>
        <v>42.8</v>
      </c>
      <c r="U810" s="2">
        <f>IFERROR(__xludf.DUMMYFUNCTION("""COMPUTED_VALUE"""),75.18)</f>
        <v>75.18</v>
      </c>
      <c r="V810" s="1" t="str">
        <f>IFERROR(__xludf.DUMMYFUNCTION("""COMPUTED_VALUE"""),"Renette Bok")</f>
        <v>Renette Bok</v>
      </c>
      <c r="W810" s="1" t="str">
        <f>IFERROR(__xludf.DUMMYFUNCTION("""COMPUTED_VALUE"""),"Advanced Billing &amp; Subscriptions")</f>
        <v>Advanced Billing &amp; Subscriptions</v>
      </c>
    </row>
    <row r="811">
      <c r="O811" s="1" t="str">
        <f>IFERROR(__xludf.DUMMYFUNCTION("""COMPUTED_VALUE"""),"2025 Aug")</f>
        <v>2025 Aug</v>
      </c>
      <c r="P811" s="1" t="str">
        <f>IFERROR(__xludf.DUMMYFUNCTION("""COMPUTED_VALUE"""),"Core Product Support")</f>
        <v>Core Product Support</v>
      </c>
      <c r="Q811" s="1" t="str">
        <f>IFERROR(__xludf.DUMMYFUNCTION("""COMPUTED_VALUE"""),"ronyl@canva.com")</f>
        <v>ronyl@canva.com</v>
      </c>
      <c r="R811" s="1" t="str">
        <f>IFERROR(__xludf.DUMMYFUNCTION("""COMPUTED_VALUE"""),"Ronyl Masilang")</f>
        <v>Ronyl Masilang</v>
      </c>
      <c r="S811" s="1">
        <f>IFERROR(__xludf.DUMMYFUNCTION("""COMPUTED_VALUE"""),29.67)</f>
        <v>29.67</v>
      </c>
      <c r="T811" s="1">
        <f>IFERROR(__xludf.DUMMYFUNCTION("""COMPUTED_VALUE"""),62.67)</f>
        <v>62.67</v>
      </c>
      <c r="U811" s="2">
        <f>IFERROR(__xludf.DUMMYFUNCTION("""COMPUTED_VALUE"""),92.34)</f>
        <v>92.34</v>
      </c>
      <c r="V811" s="1" t="str">
        <f>IFERROR(__xludf.DUMMYFUNCTION("""COMPUTED_VALUE"""),"Cate Velasco")</f>
        <v>Cate Velasco</v>
      </c>
      <c r="W811" s="1" t="str">
        <f>IFERROR(__xludf.DUMMYFUNCTION("""COMPUTED_VALUE"""),"Advanced Product Support")</f>
        <v>Advanced Product Support</v>
      </c>
    </row>
    <row r="812">
      <c r="O812" s="1" t="str">
        <f>IFERROR(__xludf.DUMMYFUNCTION("""COMPUTED_VALUE"""),"2025 Aug")</f>
        <v>2025 Aug</v>
      </c>
      <c r="P812" s="1" t="str">
        <f>IFERROR(__xludf.DUMMYFUNCTION("""COMPUTED_VALUE"""),"Core Product Support")</f>
        <v>Core Product Support</v>
      </c>
      <c r="Q812" s="1" t="str">
        <f>IFERROR(__xludf.DUMMYFUNCTION("""COMPUTED_VALUE"""),"rounette@canva.com")</f>
        <v>rounette@canva.com</v>
      </c>
      <c r="R812" s="1" t="str">
        <f>IFERROR(__xludf.DUMMYFUNCTION("""COMPUTED_VALUE"""),"Rounette Natividad")</f>
        <v>Rounette Natividad</v>
      </c>
      <c r="S812" s="1">
        <f>IFERROR(__xludf.DUMMYFUNCTION("""COMPUTED_VALUE"""),21.67)</f>
        <v>21.67</v>
      </c>
      <c r="T812" s="1">
        <f>IFERROR(__xludf.DUMMYFUNCTION("""COMPUTED_VALUE"""),32.92)</f>
        <v>32.92</v>
      </c>
      <c r="U812" s="2">
        <f>IFERROR(__xludf.DUMMYFUNCTION("""COMPUTED_VALUE"""),54.59)</f>
        <v>54.59</v>
      </c>
      <c r="V812" s="1" t="str">
        <f>IFERROR(__xludf.DUMMYFUNCTION("""COMPUTED_VALUE"""),"Mikhaela Decangchon")</f>
        <v>Mikhaela Decangchon</v>
      </c>
      <c r="W812" s="1" t="str">
        <f>IFERROR(__xludf.DUMMYFUNCTION("""COMPUTED_VALUE"""),"Advanced Product Support")</f>
        <v>Advanced Product Support</v>
      </c>
    </row>
    <row r="813">
      <c r="O813" s="1" t="str">
        <f>IFERROR(__xludf.DUMMYFUNCTION("""COMPUTED_VALUE"""),"2025 Aug")</f>
        <v>2025 Aug</v>
      </c>
      <c r="P813" s="1" t="str">
        <f>IFERROR(__xludf.DUMMYFUNCTION("""COMPUTED_VALUE"""),"Admin Support")</f>
        <v>Admin Support</v>
      </c>
      <c r="Q813" s="1" t="str">
        <f>IFERROR(__xludf.DUMMYFUNCTION("""COMPUTED_VALUE"""),"rovie@canva.com")</f>
        <v>rovie@canva.com</v>
      </c>
      <c r="R813" s="1" t="str">
        <f>IFERROR(__xludf.DUMMYFUNCTION("""COMPUTED_VALUE"""),"Rovie Hawang")</f>
        <v>Rovie Hawang</v>
      </c>
      <c r="S813" s="1">
        <f>IFERROR(__xludf.DUMMYFUNCTION("""COMPUTED_VALUE"""),1.5)</f>
        <v>1.5</v>
      </c>
      <c r="T813" s="1">
        <f>IFERROR(__xludf.DUMMYFUNCTION("""COMPUTED_VALUE"""),10.5)</f>
        <v>10.5</v>
      </c>
      <c r="U813" s="2">
        <f>IFERROR(__xludf.DUMMYFUNCTION("""COMPUTED_VALUE"""),12.0)</f>
        <v>12</v>
      </c>
      <c r="V813" s="1" t="str">
        <f>IFERROR(__xludf.DUMMYFUNCTION("""COMPUTED_VALUE"""),"Kelden Laguting")</f>
        <v>Kelden Laguting</v>
      </c>
      <c r="W813" s="1" t="str">
        <f>IFERROR(__xludf.DUMMYFUNCTION("""COMPUTED_VALUE"""),"Admin Omni Support")</f>
        <v>Admin Omni Support</v>
      </c>
    </row>
    <row r="814">
      <c r="O814" s="1" t="str">
        <f>IFERROR(__xludf.DUMMYFUNCTION("""COMPUTED_VALUE"""),"2025 Aug")</f>
        <v>2025 Aug</v>
      </c>
      <c r="P814" s="1" t="str">
        <f>IFERROR(__xludf.DUMMYFUNCTION("""COMPUTED_VALUE"""),"Admin Support")</f>
        <v>Admin Support</v>
      </c>
      <c r="Q814" s="1" t="str">
        <f>IFERROR(__xludf.DUMMYFUNCTION("""COMPUTED_VALUE"""),"roxanne@canva.com")</f>
        <v>roxanne@canva.com</v>
      </c>
      <c r="R814" s="1" t="str">
        <f>IFERROR(__xludf.DUMMYFUNCTION("""COMPUTED_VALUE"""),"Roxanne Joy Capunayan")</f>
        <v>Roxanne Joy Capunayan</v>
      </c>
      <c r="S814" s="1">
        <f>IFERROR(__xludf.DUMMYFUNCTION("""COMPUTED_VALUE"""),6.0)</f>
        <v>6</v>
      </c>
      <c r="T814" s="1">
        <f>IFERROR(__xludf.DUMMYFUNCTION("""COMPUTED_VALUE"""),14.5)</f>
        <v>14.5</v>
      </c>
      <c r="U814" s="2">
        <f>IFERROR(__xludf.DUMMYFUNCTION("""COMPUTED_VALUE"""),20.5)</f>
        <v>20.5</v>
      </c>
      <c r="V814" s="1" t="str">
        <f>IFERROR(__xludf.DUMMYFUNCTION("""COMPUTED_VALUE"""),"Ann Dumlao")</f>
        <v>Ann Dumlao</v>
      </c>
      <c r="W814" s="1" t="str">
        <f>IFERROR(__xludf.DUMMYFUNCTION("""COMPUTED_VALUE"""),"Admin Omni Support")</f>
        <v>Admin Omni Support</v>
      </c>
    </row>
    <row r="815">
      <c r="O815" s="1" t="str">
        <f>IFERROR(__xludf.DUMMYFUNCTION("""COMPUTED_VALUE"""),"2025 Aug")</f>
        <v>2025 Aug</v>
      </c>
      <c r="P815" s="1" t="str">
        <f>IFERROR(__xludf.DUMMYFUNCTION("""COMPUTED_VALUE"""),"Core Product Support")</f>
        <v>Core Product Support</v>
      </c>
      <c r="Q815" s="1" t="str">
        <f>IFERROR(__xludf.DUMMYFUNCTION("""COMPUTED_VALUE"""),"rozelp@canva.com")</f>
        <v>rozelp@canva.com</v>
      </c>
      <c r="R815" s="1" t="str">
        <f>IFERROR(__xludf.DUMMYFUNCTION("""COMPUTED_VALUE"""),"Rozel Punsalan")</f>
        <v>Rozel Punsalan</v>
      </c>
      <c r="S815" s="1">
        <f>IFERROR(__xludf.DUMMYFUNCTION("""COMPUTED_VALUE"""),27.5)</f>
        <v>27.5</v>
      </c>
      <c r="T815" s="1">
        <f>IFERROR(__xludf.DUMMYFUNCTION("""COMPUTED_VALUE"""),35.5)</f>
        <v>35.5</v>
      </c>
      <c r="U815" s="2">
        <f>IFERROR(__xludf.DUMMYFUNCTION("""COMPUTED_VALUE"""),63.0)</f>
        <v>63</v>
      </c>
      <c r="V815" s="1" t="str">
        <f>IFERROR(__xludf.DUMMYFUNCTION("""COMPUTED_VALUE"""),"Marie Mordeno")</f>
        <v>Marie Mordeno</v>
      </c>
      <c r="W815" s="1" t="str">
        <f>IFERROR(__xludf.DUMMYFUNCTION("""COMPUTED_VALUE"""),"Advanced Billing &amp; Subscriptions")</f>
        <v>Advanced Billing &amp; Subscriptions</v>
      </c>
    </row>
    <row r="816">
      <c r="O816" s="1" t="str">
        <f>IFERROR(__xludf.DUMMYFUNCTION("""COMPUTED_VALUE"""),"2025 Aug")</f>
        <v>2025 Aug</v>
      </c>
      <c r="P816" s="1" t="str">
        <f>IFERROR(__xludf.DUMMYFUNCTION("""COMPUTED_VALUE"""),"Core Product Support")</f>
        <v>Core Product Support</v>
      </c>
      <c r="Q816" s="1" t="str">
        <f>IFERROR(__xludf.DUMMYFUNCTION("""COMPUTED_VALUE"""),"rozie@canva.com")</f>
        <v>rozie@canva.com</v>
      </c>
      <c r="R816" s="1" t="str">
        <f>IFERROR(__xludf.DUMMYFUNCTION("""COMPUTED_VALUE"""),"Rozie Gumba")</f>
        <v>Rozie Gumba</v>
      </c>
      <c r="S816" s="1">
        <f>IFERROR(__xludf.DUMMYFUNCTION("""COMPUTED_VALUE"""),25.75)</f>
        <v>25.75</v>
      </c>
      <c r="T816" s="1">
        <f>IFERROR(__xludf.DUMMYFUNCTION("""COMPUTED_VALUE"""),35.17)</f>
        <v>35.17</v>
      </c>
      <c r="U816" s="2">
        <f>IFERROR(__xludf.DUMMYFUNCTION("""COMPUTED_VALUE"""),60.92)</f>
        <v>60.92</v>
      </c>
      <c r="V816" s="1" t="str">
        <f>IFERROR(__xludf.DUMMYFUNCTION("""COMPUTED_VALUE"""),"Ayza Marie Pascual")</f>
        <v>Ayza Marie Pascual</v>
      </c>
      <c r="W816" s="1" t="str">
        <f>IFERROR(__xludf.DUMMYFUNCTION("""COMPUTED_VALUE"""),"Advanced Billing &amp; Subscriptions")</f>
        <v>Advanced Billing &amp; Subscriptions</v>
      </c>
    </row>
    <row r="817">
      <c r="O817" s="1" t="str">
        <f>IFERROR(__xludf.DUMMYFUNCTION("""COMPUTED_VALUE"""),"2025 Aug")</f>
        <v>2025 Aug</v>
      </c>
      <c r="P817" s="1" t="str">
        <f>IFERROR(__xludf.DUMMYFUNCTION("""COMPUTED_VALUE"""),"Core Product Support")</f>
        <v>Core Product Support</v>
      </c>
      <c r="Q817" s="1" t="str">
        <f>IFERROR(__xludf.DUMMYFUNCTION("""COMPUTED_VALUE"""),"ruzel@canva.com")</f>
        <v>ruzel@canva.com</v>
      </c>
      <c r="R817" s="1" t="str">
        <f>IFERROR(__xludf.DUMMYFUNCTION("""COMPUTED_VALUE"""),"Ruzel Raqueno")</f>
        <v>Ruzel Raqueno</v>
      </c>
      <c r="S817" s="1">
        <f>IFERROR(__xludf.DUMMYFUNCTION("""COMPUTED_VALUE"""),11.75)</f>
        <v>11.75</v>
      </c>
      <c r="T817" s="1">
        <f>IFERROR(__xludf.DUMMYFUNCTION("""COMPUTED_VALUE"""),16.75)</f>
        <v>16.75</v>
      </c>
      <c r="U817" s="2">
        <f>IFERROR(__xludf.DUMMYFUNCTION("""COMPUTED_VALUE"""),28.5)</f>
        <v>28.5</v>
      </c>
      <c r="V817" s="1" t="str">
        <f>IFERROR(__xludf.DUMMYFUNCTION("""COMPUTED_VALUE"""),"Ellaine Estayo")</f>
        <v>Ellaine Estayo</v>
      </c>
      <c r="W817" s="1" t="str">
        <f>IFERROR(__xludf.DUMMYFUNCTION("""COMPUTED_VALUE"""),"Core Product Support Escalation Team")</f>
        <v>Core Product Support Escalation Team</v>
      </c>
    </row>
    <row r="818">
      <c r="O818" s="1" t="str">
        <f>IFERROR(__xludf.DUMMYFUNCTION("""COMPUTED_VALUE"""),"2025 Aug")</f>
        <v>2025 Aug</v>
      </c>
      <c r="P818" s="1" t="str">
        <f>IFERROR(__xludf.DUMMYFUNCTION("""COMPUTED_VALUE"""),"Print Support")</f>
        <v>Print Support</v>
      </c>
      <c r="Q818" s="1" t="str">
        <f>IFERROR(__xludf.DUMMYFUNCTION("""COMPUTED_VALUE"""),"rdominick@canva.com")</f>
        <v>rdominick@canva.com</v>
      </c>
      <c r="R818" s="1" t="str">
        <f>IFERROR(__xludf.DUMMYFUNCTION("""COMPUTED_VALUE"""),"Ryan Dominick Razon")</f>
        <v>Ryan Dominick Razon</v>
      </c>
      <c r="S818" s="1">
        <f>IFERROR(__xludf.DUMMYFUNCTION("""COMPUTED_VALUE"""),2.5)</f>
        <v>2.5</v>
      </c>
      <c r="T818" s="1">
        <f>IFERROR(__xludf.DUMMYFUNCTION("""COMPUTED_VALUE"""),10.78)</f>
        <v>10.78</v>
      </c>
      <c r="U818" s="2">
        <f>IFERROR(__xludf.DUMMYFUNCTION("""COMPUTED_VALUE"""),13.28)</f>
        <v>13.28</v>
      </c>
      <c r="V818" s="1" t="str">
        <f>IFERROR(__xludf.DUMMYFUNCTION("""COMPUTED_VALUE"""),"Jen Momo")</f>
        <v>Jen Momo</v>
      </c>
      <c r="W818" s="1" t="str">
        <f>IFERROR(__xludf.DUMMYFUNCTION("""COMPUTED_VALUE"""),"Print Support PH")</f>
        <v>Print Support PH</v>
      </c>
    </row>
    <row r="819">
      <c r="O819" s="1" t="str">
        <f>IFERROR(__xludf.DUMMYFUNCTION("""COMPUTED_VALUE"""),"2025 Aug")</f>
        <v>2025 Aug</v>
      </c>
      <c r="P819" s="1" t="str">
        <f>IFERROR(__xludf.DUMMYFUNCTION("""COMPUTED_VALUE"""),"Segment-specific Support")</f>
        <v>Segment-specific Support</v>
      </c>
      <c r="Q819" s="1" t="str">
        <f>IFERROR(__xludf.DUMMYFUNCTION("""COMPUTED_VALUE"""),"sammiee@canva.com")</f>
        <v>sammiee@canva.com</v>
      </c>
      <c r="R819" s="1" t="str">
        <f>IFERROR(__xludf.DUMMYFUNCTION("""COMPUTED_VALUE"""),"Sam Espelimbergo")</f>
        <v>Sam Espelimbergo</v>
      </c>
      <c r="S819" s="1">
        <f>IFERROR(__xludf.DUMMYFUNCTION("""COMPUTED_VALUE"""),4.0)</f>
        <v>4</v>
      </c>
      <c r="T819" s="1">
        <f>IFERROR(__xludf.DUMMYFUNCTION("""COMPUTED_VALUE"""),7.0)</f>
        <v>7</v>
      </c>
      <c r="U819" s="2">
        <f>IFERROR(__xludf.DUMMYFUNCTION("""COMPUTED_VALUE"""),11.0)</f>
        <v>11</v>
      </c>
      <c r="V819" s="1" t="str">
        <f>IFERROR(__xludf.DUMMYFUNCTION("""COMPUTED_VALUE"""),"Aileen Dayanghirang")</f>
        <v>Aileen Dayanghirang</v>
      </c>
      <c r="W819" s="1" t="str">
        <f>IFERROR(__xludf.DUMMYFUNCTION("""COMPUTED_VALUE"""),"Creators Support")</f>
        <v>Creators Support</v>
      </c>
    </row>
    <row r="820">
      <c r="O820" s="1" t="str">
        <f>IFERROR(__xludf.DUMMYFUNCTION("""COMPUTED_VALUE"""),"2025 Aug")</f>
        <v>2025 Aug</v>
      </c>
      <c r="P820" s="1" t="str">
        <f>IFERROR(__xludf.DUMMYFUNCTION("""COMPUTED_VALUE"""),"Admin Support")</f>
        <v>Admin Support</v>
      </c>
      <c r="Q820" s="1" t="str">
        <f>IFERROR(__xludf.DUMMYFUNCTION("""COMPUTED_VALUE"""),"simber@canva.com")</f>
        <v>simber@canva.com</v>
      </c>
      <c r="R820" s="1" t="str">
        <f>IFERROR(__xludf.DUMMYFUNCTION("""COMPUTED_VALUE"""),"Sean Imber")</f>
        <v>Sean Imber</v>
      </c>
      <c r="S820" s="1"/>
      <c r="T820" s="1">
        <f>IFERROR(__xludf.DUMMYFUNCTION("""COMPUTED_VALUE"""),0.0)</f>
        <v>0</v>
      </c>
      <c r="U820" s="2">
        <f>IFERROR(__xludf.DUMMYFUNCTION("""COMPUTED_VALUE"""),0.0)</f>
        <v>0</v>
      </c>
      <c r="V820" s="1" t="str">
        <f>IFERROR(__xludf.DUMMYFUNCTION("""COMPUTED_VALUE"""),"Elise Cesario Mendes")</f>
        <v>Elise Cesario Mendes</v>
      </c>
      <c r="W820" s="1" t="str">
        <f>IFERROR(__xludf.DUMMYFUNCTION("""COMPUTED_VALUE"""),"Admin Support APJ")</f>
        <v>Admin Support APJ</v>
      </c>
    </row>
    <row r="821">
      <c r="O821" s="1" t="str">
        <f>IFERROR(__xludf.DUMMYFUNCTION("""COMPUTED_VALUE"""),"2025 Aug")</f>
        <v>2025 Aug</v>
      </c>
      <c r="P821" s="1" t="str">
        <f>IFERROR(__xludf.DUMMYFUNCTION("""COMPUTED_VALUE"""),"#N/A")</f>
        <v>#N/A</v>
      </c>
      <c r="Q821" s="1" t="str">
        <f>IFERROR(__xludf.DUMMYFUNCTION("""COMPUTED_VALUE"""),"selle@canva.com")</f>
        <v>selle@canva.com</v>
      </c>
      <c r="R821" s="1" t="str">
        <f>IFERROR(__xludf.DUMMYFUNCTION("""COMPUTED_VALUE"""),"Selle Falculan")</f>
        <v>Selle Falculan</v>
      </c>
      <c r="S821" s="1"/>
      <c r="T821" s="1">
        <f>IFERROR(__xludf.DUMMYFUNCTION("""COMPUTED_VALUE"""),50.0)</f>
        <v>50</v>
      </c>
      <c r="U821" s="2">
        <f>IFERROR(__xludf.DUMMYFUNCTION("""COMPUTED_VALUE"""),50.0)</f>
        <v>50</v>
      </c>
      <c r="V821" s="1" t="str">
        <f>IFERROR(__xludf.DUMMYFUNCTION("""COMPUTED_VALUE"""),"#N/A")</f>
        <v>#N/A</v>
      </c>
      <c r="W821" s="1" t="str">
        <f>IFERROR(__xludf.DUMMYFUNCTION("""COMPUTED_VALUE"""),"#N/A")</f>
        <v>#N/A</v>
      </c>
    </row>
    <row r="822">
      <c r="O822" s="1" t="str">
        <f>IFERROR(__xludf.DUMMYFUNCTION("""COMPUTED_VALUE"""),"2025 Aug")</f>
        <v>2025 Aug</v>
      </c>
      <c r="P822" s="1" t="str">
        <f>IFERROR(__xludf.DUMMYFUNCTION("""COMPUTED_VALUE"""),"High Sensitivity Support")</f>
        <v>High Sensitivity Support</v>
      </c>
      <c r="Q822" s="1" t="str">
        <f>IFERROR(__xludf.DUMMYFUNCTION("""COMPUTED_VALUE"""),"sbaldonado@canva.com")</f>
        <v>sbaldonado@canva.com</v>
      </c>
      <c r="R822" s="1" t="str">
        <f>IFERROR(__xludf.DUMMYFUNCTION("""COMPUTED_VALUE"""),"Sheira Nicole Baldonado")</f>
        <v>Sheira Nicole Baldonado</v>
      </c>
      <c r="S822" s="1">
        <f>IFERROR(__xludf.DUMMYFUNCTION("""COMPUTED_VALUE"""),26.0)</f>
        <v>26</v>
      </c>
      <c r="T822" s="1">
        <f>IFERROR(__xludf.DUMMYFUNCTION("""COMPUTED_VALUE"""),33.0)</f>
        <v>33</v>
      </c>
      <c r="U822" s="2">
        <f>IFERROR(__xludf.DUMMYFUNCTION("""COMPUTED_VALUE"""),59.0)</f>
        <v>59</v>
      </c>
      <c r="V822" s="1" t="str">
        <f>IFERROR(__xludf.DUMMYFUNCTION("""COMPUTED_VALUE"""),"Rex Villamor")</f>
        <v>Rex Villamor</v>
      </c>
      <c r="W822" s="1" t="str">
        <f>IFERROR(__xludf.DUMMYFUNCTION("""COMPUTED_VALUE"""),"High Sensitivity Support PH")</f>
        <v>High Sensitivity Support PH</v>
      </c>
    </row>
    <row r="823">
      <c r="O823" s="1" t="str">
        <f>IFERROR(__xludf.DUMMYFUNCTION("""COMPUTED_VALUE"""),"2025 Aug")</f>
        <v>2025 Aug</v>
      </c>
      <c r="P823" s="1" t="str">
        <f>IFERROR(__xludf.DUMMYFUNCTION("""COMPUTED_VALUE"""),"Core Product Support")</f>
        <v>Core Product Support</v>
      </c>
      <c r="Q823" s="1" t="str">
        <f>IFERROR(__xludf.DUMMYFUNCTION("""COMPUTED_VALUE"""),"sophiae@canva.com")</f>
        <v>sophiae@canva.com</v>
      </c>
      <c r="R823" s="1" t="str">
        <f>IFERROR(__xludf.DUMMYFUNCTION("""COMPUTED_VALUE"""),"Sophia Ermac")</f>
        <v>Sophia Ermac</v>
      </c>
      <c r="S823" s="1">
        <f>IFERROR(__xludf.DUMMYFUNCTION("""COMPUTED_VALUE"""),31.13)</f>
        <v>31.13</v>
      </c>
      <c r="T823" s="1">
        <f>IFERROR(__xludf.DUMMYFUNCTION("""COMPUTED_VALUE"""),40.71)</f>
        <v>40.71</v>
      </c>
      <c r="U823" s="2">
        <f>IFERROR(__xludf.DUMMYFUNCTION("""COMPUTED_VALUE"""),71.84)</f>
        <v>71.84</v>
      </c>
      <c r="V823" s="1" t="str">
        <f>IFERROR(__xludf.DUMMYFUNCTION("""COMPUTED_VALUE"""),"Ana Lazaro")</f>
        <v>Ana Lazaro</v>
      </c>
      <c r="W823" s="1" t="str">
        <f>IFERROR(__xludf.DUMMYFUNCTION("""COMPUTED_VALUE"""),"Advanced Billing &amp; Subscriptions")</f>
        <v>Advanced Billing &amp; Subscriptions</v>
      </c>
    </row>
    <row r="824">
      <c r="O824" s="1" t="str">
        <f>IFERROR(__xludf.DUMMYFUNCTION("""COMPUTED_VALUE"""),"2025 Aug")</f>
        <v>2025 Aug</v>
      </c>
      <c r="P824" s="1" t="str">
        <f>IFERROR(__xludf.DUMMYFUNCTION("""COMPUTED_VALUE"""),"Admin Support")</f>
        <v>Admin Support</v>
      </c>
      <c r="Q824" s="1" t="str">
        <f>IFERROR(__xludf.DUMMYFUNCTION("""COMPUTED_VALUE"""),"stephanie.t@canva.com")</f>
        <v>stephanie.t@canva.com</v>
      </c>
      <c r="R824" s="1" t="str">
        <f>IFERROR(__xludf.DUMMYFUNCTION("""COMPUTED_VALUE"""),"Stephanie Lyn Tan")</f>
        <v>Stephanie Lyn Tan</v>
      </c>
      <c r="S824" s="1">
        <f>IFERROR(__xludf.DUMMYFUNCTION("""COMPUTED_VALUE"""),1.5)</f>
        <v>1.5</v>
      </c>
      <c r="T824" s="1">
        <f>IFERROR(__xludf.DUMMYFUNCTION("""COMPUTED_VALUE"""),12.5)</f>
        <v>12.5</v>
      </c>
      <c r="U824" s="2">
        <f>IFERROR(__xludf.DUMMYFUNCTION("""COMPUTED_VALUE"""),14.0)</f>
        <v>14</v>
      </c>
      <c r="V824" s="1" t="str">
        <f>IFERROR(__xludf.DUMMYFUNCTION("""COMPUTED_VALUE"""),"Pau Palmero")</f>
        <v>Pau Palmero</v>
      </c>
      <c r="W824" s="1" t="str">
        <f>IFERROR(__xludf.DUMMYFUNCTION("""COMPUTED_VALUE"""),"Admin Omni Support")</f>
        <v>Admin Omni Support</v>
      </c>
    </row>
    <row r="825">
      <c r="O825" s="1" t="str">
        <f>IFERROR(__xludf.DUMMYFUNCTION("""COMPUTED_VALUE"""),"2025 Aug")</f>
        <v>2025 Aug</v>
      </c>
      <c r="P825" s="1" t="str">
        <f>IFERROR(__xludf.DUMMYFUNCTION("""COMPUTED_VALUE"""),"Admin Support")</f>
        <v>Admin Support</v>
      </c>
      <c r="Q825" s="1" t="str">
        <f>IFERROR(__xludf.DUMMYFUNCTION("""COMPUTED_VALUE"""),"stephen.k@canva.com")</f>
        <v>stephen.k@canva.com</v>
      </c>
      <c r="R825" s="1" t="str">
        <f>IFERROR(__xludf.DUMMYFUNCTION("""COMPUTED_VALUE"""),"Stephen Kahanap")</f>
        <v>Stephen Kahanap</v>
      </c>
      <c r="S825" s="1">
        <f>IFERROR(__xludf.DUMMYFUNCTION("""COMPUTED_VALUE"""),7.25)</f>
        <v>7.25</v>
      </c>
      <c r="T825" s="1">
        <f>IFERROR(__xludf.DUMMYFUNCTION("""COMPUTED_VALUE"""),15.0)</f>
        <v>15</v>
      </c>
      <c r="U825" s="2">
        <f>IFERROR(__xludf.DUMMYFUNCTION("""COMPUTED_VALUE"""),22.25)</f>
        <v>22.25</v>
      </c>
      <c r="V825" s="1" t="str">
        <f>IFERROR(__xludf.DUMMYFUNCTION("""COMPUTED_VALUE"""),"Ann Dumlao")</f>
        <v>Ann Dumlao</v>
      </c>
      <c r="W825" s="1" t="str">
        <f>IFERROR(__xludf.DUMMYFUNCTION("""COMPUTED_VALUE"""),"Admin Omni Support")</f>
        <v>Admin Omni Support</v>
      </c>
    </row>
    <row r="826">
      <c r="O826" s="1" t="str">
        <f>IFERROR(__xludf.DUMMYFUNCTION("""COMPUTED_VALUE"""),"2025 Aug")</f>
        <v>2025 Aug</v>
      </c>
      <c r="P826" s="1" t="str">
        <f>IFERROR(__xludf.DUMMYFUNCTION("""COMPUTED_VALUE"""),"Segment-specific Support")</f>
        <v>Segment-specific Support</v>
      </c>
      <c r="Q826" s="1" t="str">
        <f>IFERROR(__xludf.DUMMYFUNCTION("""COMPUTED_VALUE"""),"sremo@canva.com")</f>
        <v>sremo@canva.com</v>
      </c>
      <c r="R826" s="1" t="str">
        <f>IFERROR(__xludf.DUMMYFUNCTION("""COMPUTED_VALUE"""),"Sunshine Remo")</f>
        <v>Sunshine Remo</v>
      </c>
      <c r="S826" s="1"/>
      <c r="T826" s="1">
        <f>IFERROR(__xludf.DUMMYFUNCTION("""COMPUTED_VALUE"""),50.0)</f>
        <v>50</v>
      </c>
      <c r="U826" s="2">
        <f>IFERROR(__xludf.DUMMYFUNCTION("""COMPUTED_VALUE"""),50.0)</f>
        <v>50</v>
      </c>
      <c r="V826" s="1" t="str">
        <f>IFERROR(__xludf.DUMMYFUNCTION("""COMPUTED_VALUE"""),"Rose Gabilan")</f>
        <v>Rose Gabilan</v>
      </c>
      <c r="W826" s="1" t="str">
        <f>IFERROR(__xludf.DUMMYFUNCTION("""COMPUTED_VALUE"""),"Affinity Support")</f>
        <v>Affinity Support</v>
      </c>
    </row>
    <row r="827">
      <c r="O827" s="1" t="str">
        <f>IFERROR(__xludf.DUMMYFUNCTION("""COMPUTED_VALUE"""),"2025 Aug")</f>
        <v>2025 Aug</v>
      </c>
      <c r="P827" s="1" t="str">
        <f>IFERROR(__xludf.DUMMYFUNCTION("""COMPUTED_VALUE"""),"Admin Support")</f>
        <v>Admin Support</v>
      </c>
      <c r="Q827" s="1" t="str">
        <f>IFERROR(__xludf.DUMMYFUNCTION("""COMPUTED_VALUE"""),"susann@canva.com")</f>
        <v>susann@canva.com</v>
      </c>
      <c r="R827" s="1" t="str">
        <f>IFERROR(__xludf.DUMMYFUNCTION("""COMPUTED_VALUE"""),"Susann Dierich")</f>
        <v>Susann Dierich</v>
      </c>
      <c r="S827" s="1">
        <f>IFERROR(__xludf.DUMMYFUNCTION("""COMPUTED_VALUE"""),4.25)</f>
        <v>4.25</v>
      </c>
      <c r="T827" s="1">
        <f>IFERROR(__xludf.DUMMYFUNCTION("""COMPUTED_VALUE"""),4.25)</f>
        <v>4.25</v>
      </c>
      <c r="U827" s="2">
        <f>IFERROR(__xludf.DUMMYFUNCTION("""COMPUTED_VALUE"""),8.5)</f>
        <v>8.5</v>
      </c>
      <c r="V827" s="1" t="str">
        <f>IFERROR(__xludf.DUMMYFUNCTION("""COMPUTED_VALUE"""),"Tash Kelly")</f>
        <v>Tash Kelly</v>
      </c>
      <c r="W827" s="1" t="str">
        <f>IFERROR(__xludf.DUMMYFUNCTION("""COMPUTED_VALUE"""),"Admin Support EMEA")</f>
        <v>Admin Support EMEA</v>
      </c>
    </row>
    <row r="828">
      <c r="O828" s="1" t="str">
        <f>IFERROR(__xludf.DUMMYFUNCTION("""COMPUTED_VALUE"""),"2025 Aug")</f>
        <v>2025 Aug</v>
      </c>
      <c r="P828" s="1" t="str">
        <f>IFERROR(__xludf.DUMMYFUNCTION("""COMPUTED_VALUE"""),"Admin Support")</f>
        <v>Admin Support</v>
      </c>
      <c r="Q828" s="1" t="str">
        <f>IFERROR(__xludf.DUMMYFUNCTION("""COMPUTED_VALUE"""),"skyles@canva.com")</f>
        <v>skyles@canva.com</v>
      </c>
      <c r="R828" s="1" t="str">
        <f>IFERROR(__xludf.DUMMYFUNCTION("""COMPUTED_VALUE"""),"Sylvia Kyles")</f>
        <v>Sylvia Kyles</v>
      </c>
      <c r="S828" s="1">
        <f>IFERROR(__xludf.DUMMYFUNCTION("""COMPUTED_VALUE"""),4.0)</f>
        <v>4</v>
      </c>
      <c r="T828" s="1">
        <f>IFERROR(__xludf.DUMMYFUNCTION("""COMPUTED_VALUE"""),4.0)</f>
        <v>4</v>
      </c>
      <c r="U828" s="2">
        <f>IFERROR(__xludf.DUMMYFUNCTION("""COMPUTED_VALUE"""),8.0)</f>
        <v>8</v>
      </c>
      <c r="V828" s="1" t="str">
        <f>IFERROR(__xludf.DUMMYFUNCTION("""COMPUTED_VALUE"""),"Nate Vela")</f>
        <v>Nate Vela</v>
      </c>
      <c r="W828" s="1" t="str">
        <f>IFERROR(__xludf.DUMMYFUNCTION("""COMPUTED_VALUE"""),"Admin Support NA")</f>
        <v>Admin Support NA</v>
      </c>
    </row>
    <row r="829">
      <c r="O829" s="1" t="str">
        <f>IFERROR(__xludf.DUMMYFUNCTION("""COMPUTED_VALUE"""),"2025 Aug")</f>
        <v>2025 Aug</v>
      </c>
      <c r="P829" s="1" t="str">
        <f>IFERROR(__xludf.DUMMYFUNCTION("""COMPUTED_VALUE"""),"#N/A")</f>
        <v>#N/A</v>
      </c>
      <c r="Q829" s="1" t="str">
        <f>IFERROR(__xludf.DUMMYFUNCTION("""COMPUTED_VALUE"""),"tammy@canva.com")</f>
        <v>tammy@canva.com</v>
      </c>
      <c r="R829" s="1" t="str">
        <f>IFERROR(__xludf.DUMMYFUNCTION("""COMPUTED_VALUE"""),"Tammy Lustre")</f>
        <v>Tammy Lustre</v>
      </c>
      <c r="S829" s="1">
        <f>IFERROR(__xludf.DUMMYFUNCTION("""COMPUTED_VALUE"""),7.75)</f>
        <v>7.75</v>
      </c>
      <c r="T829" s="1">
        <f>IFERROR(__xludf.DUMMYFUNCTION("""COMPUTED_VALUE"""),10.75)</f>
        <v>10.75</v>
      </c>
      <c r="U829" s="2">
        <f>IFERROR(__xludf.DUMMYFUNCTION("""COMPUTED_VALUE"""),18.5)</f>
        <v>18.5</v>
      </c>
      <c r="V829" s="1" t="str">
        <f>IFERROR(__xludf.DUMMYFUNCTION("""COMPUTED_VALUE"""),"#N/A")</f>
        <v>#N/A</v>
      </c>
      <c r="W829" s="1" t="str">
        <f>IFERROR(__xludf.DUMMYFUNCTION("""COMPUTED_VALUE"""),"PHL, Multilingual Support")</f>
        <v>PHL, Multilingual Support</v>
      </c>
    </row>
    <row r="830">
      <c r="O830" s="1" t="str">
        <f>IFERROR(__xludf.DUMMYFUNCTION("""COMPUTED_VALUE"""),"2025 Aug")</f>
        <v>2025 Aug</v>
      </c>
      <c r="P830" s="1" t="str">
        <f>IFERROR(__xludf.DUMMYFUNCTION("""COMPUTED_VALUE"""),"#N/A")</f>
        <v>#N/A</v>
      </c>
      <c r="Q830" s="1" t="str">
        <f>IFERROR(__xludf.DUMMYFUNCTION("""COMPUTED_VALUE"""),"assembled-time-off-re-aaaam3hubupgpmtmxaetpextji@canva.org.slack.com")</f>
        <v>assembled-time-off-re-aaaam3hubupgpmtmxaetpextji@canva.org.slack.com</v>
      </c>
      <c r="R830" s="1" t="str">
        <f>IFERROR(__xludf.DUMMYFUNCTION("""COMPUTED_VALUE"""),"Testing Bot")</f>
        <v>Testing Bot</v>
      </c>
      <c r="S830" s="1"/>
      <c r="T830" s="1">
        <f>IFERROR(__xludf.DUMMYFUNCTION("""COMPUTED_VALUE"""),0.0)</f>
        <v>0</v>
      </c>
      <c r="U830" s="2">
        <f>IFERROR(__xludf.DUMMYFUNCTION("""COMPUTED_VALUE"""),0.0)</f>
        <v>0</v>
      </c>
      <c r="V830" s="1" t="str">
        <f>IFERROR(__xludf.DUMMYFUNCTION("""COMPUTED_VALUE"""),"#N/A")</f>
        <v>#N/A</v>
      </c>
      <c r="W830" s="1" t="str">
        <f>IFERROR(__xludf.DUMMYFUNCTION("""COMPUTED_VALUE"""),"#N/A")</f>
        <v>#N/A</v>
      </c>
    </row>
    <row r="831">
      <c r="O831" s="1" t="str">
        <f>IFERROR(__xludf.DUMMYFUNCTION("""COMPUTED_VALUE"""),"2025 Aug")</f>
        <v>2025 Aug</v>
      </c>
      <c r="P831" s="1" t="str">
        <f>IFERROR(__xludf.DUMMYFUNCTION("""COMPUTED_VALUE"""),"Print Support")</f>
        <v>Print Support</v>
      </c>
      <c r="Q831" s="1" t="str">
        <f>IFERROR(__xludf.DUMMYFUNCTION("""COMPUTED_VALUE"""),"theag@canva.com")</f>
        <v>theag@canva.com</v>
      </c>
      <c r="R831" s="1" t="str">
        <f>IFERROR(__xludf.DUMMYFUNCTION("""COMPUTED_VALUE"""),"Thea Gelua")</f>
        <v>Thea Gelua</v>
      </c>
      <c r="S831" s="1">
        <f>IFERROR(__xludf.DUMMYFUNCTION("""COMPUTED_VALUE"""),8.25)</f>
        <v>8.25</v>
      </c>
      <c r="T831" s="1">
        <f>IFERROR(__xludf.DUMMYFUNCTION("""COMPUTED_VALUE"""),11.0)</f>
        <v>11</v>
      </c>
      <c r="U831" s="2">
        <f>IFERROR(__xludf.DUMMYFUNCTION("""COMPUTED_VALUE"""),19.25)</f>
        <v>19.25</v>
      </c>
      <c r="V831" s="1" t="str">
        <f>IFERROR(__xludf.DUMMYFUNCTION("""COMPUTED_VALUE"""),"Jen Momo")</f>
        <v>Jen Momo</v>
      </c>
      <c r="W831" s="1" t="str">
        <f>IFERROR(__xludf.DUMMYFUNCTION("""COMPUTED_VALUE"""),"Print Support PH")</f>
        <v>Print Support PH</v>
      </c>
    </row>
    <row r="832">
      <c r="O832" s="1" t="str">
        <f>IFERROR(__xludf.DUMMYFUNCTION("""COMPUTED_VALUE"""),"2025 Aug")</f>
        <v>2025 Aug</v>
      </c>
      <c r="P832" s="1" t="str">
        <f>IFERROR(__xludf.DUMMYFUNCTION("""COMPUTED_VALUE"""),"Print Support")</f>
        <v>Print Support</v>
      </c>
      <c r="Q832" s="1" t="str">
        <f>IFERROR(__xludf.DUMMYFUNCTION("""COMPUTED_VALUE"""),"tia@canva.com")</f>
        <v>tia@canva.com</v>
      </c>
      <c r="R832" s="1" t="str">
        <f>IFERROR(__xludf.DUMMYFUNCTION("""COMPUTED_VALUE"""),"Tia Tilanduca")</f>
        <v>Tia Tilanduca</v>
      </c>
      <c r="S832" s="1">
        <f>IFERROR(__xludf.DUMMYFUNCTION("""COMPUTED_VALUE"""),7.75)</f>
        <v>7.75</v>
      </c>
      <c r="T832" s="1">
        <f>IFERROR(__xludf.DUMMYFUNCTION("""COMPUTED_VALUE"""),15.0)</f>
        <v>15</v>
      </c>
      <c r="U832" s="2">
        <f>IFERROR(__xludf.DUMMYFUNCTION("""COMPUTED_VALUE"""),22.75)</f>
        <v>22.75</v>
      </c>
      <c r="V832" s="1" t="str">
        <f>IFERROR(__xludf.DUMMYFUNCTION("""COMPUTED_VALUE"""),"Louise Dianne Estrella")</f>
        <v>Louise Dianne Estrella</v>
      </c>
      <c r="W832" s="1" t="str">
        <f>IFERROR(__xludf.DUMMYFUNCTION("""COMPUTED_VALUE"""),"Print Support PH")</f>
        <v>Print Support PH</v>
      </c>
    </row>
    <row r="833">
      <c r="O833" s="1" t="str">
        <f>IFERROR(__xludf.DUMMYFUNCTION("""COMPUTED_VALUE"""),"2025 Aug")</f>
        <v>2025 Aug</v>
      </c>
      <c r="P833" s="1" t="str">
        <f>IFERROR(__xludf.DUMMYFUNCTION("""COMPUTED_VALUE"""),"Admin Support")</f>
        <v>Admin Support</v>
      </c>
      <c r="Q833" s="1" t="str">
        <f>IFERROR(__xludf.DUMMYFUNCTION("""COMPUTED_VALUE"""),"tiara@canva.com")</f>
        <v>tiara@canva.com</v>
      </c>
      <c r="R833" s="1" t="str">
        <f>IFERROR(__xludf.DUMMYFUNCTION("""COMPUTED_VALUE"""),"Tiara Samonte")</f>
        <v>Tiara Samonte</v>
      </c>
      <c r="S833" s="1">
        <f>IFERROR(__xludf.DUMMYFUNCTION("""COMPUTED_VALUE"""),24.5)</f>
        <v>24.5</v>
      </c>
      <c r="T833" s="1">
        <f>IFERROR(__xludf.DUMMYFUNCTION("""COMPUTED_VALUE"""),29.73)</f>
        <v>29.73</v>
      </c>
      <c r="U833" s="2">
        <f>IFERROR(__xludf.DUMMYFUNCTION("""COMPUTED_VALUE"""),54.230000000000004)</f>
        <v>54.23</v>
      </c>
      <c r="V833" s="1" t="str">
        <f>IFERROR(__xludf.DUMMYFUNCTION("""COMPUTED_VALUE"""),"AL Suarez")</f>
        <v>AL Suarez</v>
      </c>
      <c r="W833" s="1" t="str">
        <f>IFERROR(__xludf.DUMMYFUNCTION("""COMPUTED_VALUE"""),"Advanced Billing &amp; Subscriptions")</f>
        <v>Advanced Billing &amp; Subscriptions</v>
      </c>
    </row>
    <row r="834">
      <c r="O834" s="1" t="str">
        <f>IFERROR(__xludf.DUMMYFUNCTION("""COMPUTED_VALUE"""),"2025 Aug")</f>
        <v>2025 Aug</v>
      </c>
      <c r="P834" s="1" t="str">
        <f>IFERROR(__xludf.DUMMYFUNCTION("""COMPUTED_VALUE"""),"Segment-specific Support")</f>
        <v>Segment-specific Support</v>
      </c>
      <c r="Q834" s="1" t="str">
        <f>IFERROR(__xludf.DUMMYFUNCTION("""COMPUTED_VALUE"""),"timdl@canva.com")</f>
        <v>timdl@canva.com</v>
      </c>
      <c r="R834" s="1" t="str">
        <f>IFERROR(__xludf.DUMMYFUNCTION("""COMPUTED_VALUE"""),"Tim De Leon")</f>
        <v>Tim De Leon</v>
      </c>
      <c r="S834" s="1">
        <f>IFERROR(__xludf.DUMMYFUNCTION("""COMPUTED_VALUE"""),5.0)</f>
        <v>5</v>
      </c>
      <c r="T834" s="1">
        <f>IFERROR(__xludf.DUMMYFUNCTION("""COMPUTED_VALUE"""),7.0)</f>
        <v>7</v>
      </c>
      <c r="U834" s="2">
        <f>IFERROR(__xludf.DUMMYFUNCTION("""COMPUTED_VALUE"""),12.0)</f>
        <v>12</v>
      </c>
      <c r="V834" s="1" t="str">
        <f>IFERROR(__xludf.DUMMYFUNCTION("""COMPUTED_VALUE"""),"Aileen Dayanghirang")</f>
        <v>Aileen Dayanghirang</v>
      </c>
      <c r="W834" s="1" t="str">
        <f>IFERROR(__xludf.DUMMYFUNCTION("""COMPUTED_VALUE"""),"Creators Support")</f>
        <v>Creators Support</v>
      </c>
    </row>
    <row r="835">
      <c r="O835" s="1" t="str">
        <f>IFERROR(__xludf.DUMMYFUNCTION("""COMPUTED_VALUE"""),"2025 Aug")</f>
        <v>2025 Aug</v>
      </c>
      <c r="P835" s="1" t="str">
        <f>IFERROR(__xludf.DUMMYFUNCTION("""COMPUTED_VALUE"""),"Admin Support")</f>
        <v>Admin Support</v>
      </c>
      <c r="Q835" s="1" t="str">
        <f>IFERROR(__xludf.DUMMYFUNCTION("""COMPUTED_VALUE"""),"cnuyda@canva.com")</f>
        <v>cnuyda@canva.com</v>
      </c>
      <c r="R835" s="1" t="str">
        <f>IFERROR(__xludf.DUMMYFUNCTION("""COMPUTED_VALUE"""),"Toff Nuyda")</f>
        <v>Toff Nuyda</v>
      </c>
      <c r="S835" s="1">
        <f>IFERROR(__xludf.DUMMYFUNCTION("""COMPUTED_VALUE"""),1.5)</f>
        <v>1.5</v>
      </c>
      <c r="T835" s="1">
        <f>IFERROR(__xludf.DUMMYFUNCTION("""COMPUTED_VALUE"""),10.25)</f>
        <v>10.25</v>
      </c>
      <c r="U835" s="2">
        <f>IFERROR(__xludf.DUMMYFUNCTION("""COMPUTED_VALUE"""),11.75)</f>
        <v>11.75</v>
      </c>
      <c r="V835" s="1" t="str">
        <f>IFERROR(__xludf.DUMMYFUNCTION("""COMPUTED_VALUE"""),"Karla Mananghaya")</f>
        <v>Karla Mananghaya</v>
      </c>
      <c r="W835" s="1" t="str">
        <f>IFERROR(__xludf.DUMMYFUNCTION("""COMPUTED_VALUE"""),"Admin Support Service Escalation Team")</f>
        <v>Admin Support Service Escalation Team</v>
      </c>
    </row>
    <row r="836">
      <c r="O836" s="1" t="str">
        <f>IFERROR(__xludf.DUMMYFUNCTION("""COMPUTED_VALUE"""),"2025 Aug")</f>
        <v>2025 Aug</v>
      </c>
      <c r="P836" s="1" t="str">
        <f>IFERROR(__xludf.DUMMYFUNCTION("""COMPUTED_VALUE"""),"#N/A")</f>
        <v>#N/A</v>
      </c>
      <c r="Q836" s="1" t="str">
        <f>IFERROR(__xludf.DUMMYFUNCTION("""COMPUTED_VALUE"""),"tofulajo@canva.com")</f>
        <v>tofulajo@canva.com</v>
      </c>
      <c r="R836" s="1" t="str">
        <f>IFERROR(__xludf.DUMMYFUNCTION("""COMPUTED_VALUE"""),"Tofu Lajo")</f>
        <v>Tofu Lajo</v>
      </c>
      <c r="S836" s="1">
        <f>IFERROR(__xludf.DUMMYFUNCTION("""COMPUTED_VALUE"""),17.83)</f>
        <v>17.83</v>
      </c>
      <c r="T836" s="1">
        <f>IFERROR(__xludf.DUMMYFUNCTION("""COMPUTED_VALUE"""),21.5)</f>
        <v>21.5</v>
      </c>
      <c r="U836" s="2">
        <f>IFERROR(__xludf.DUMMYFUNCTION("""COMPUTED_VALUE"""),39.33)</f>
        <v>39.33</v>
      </c>
      <c r="V836" s="1" t="str">
        <f>IFERROR(__xludf.DUMMYFUNCTION("""COMPUTED_VALUE"""),"#N/A")</f>
        <v>#N/A</v>
      </c>
      <c r="W836" s="1" t="str">
        <f>IFERROR(__xludf.DUMMYFUNCTION("""COMPUTED_VALUE"""),"High Sensitivity Support PH")</f>
        <v>High Sensitivity Support PH</v>
      </c>
    </row>
    <row r="837">
      <c r="O837" s="1" t="str">
        <f>IFERROR(__xludf.DUMMYFUNCTION("""COMPUTED_VALUE"""),"2025 Aug")</f>
        <v>2025 Aug</v>
      </c>
      <c r="P837" s="1" t="str">
        <f>IFERROR(__xludf.DUMMYFUNCTION("""COMPUTED_VALUE"""),"Multilingual Support")</f>
        <v>Multilingual Support</v>
      </c>
      <c r="Q837" s="1" t="str">
        <f>IFERROR(__xludf.DUMMYFUNCTION("""COMPUTED_VALUE"""),"tricia.p@canva.com")</f>
        <v>tricia.p@canva.com</v>
      </c>
      <c r="R837" s="1" t="str">
        <f>IFERROR(__xludf.DUMMYFUNCTION("""COMPUTED_VALUE"""),"Tricia Pasagui")</f>
        <v>Tricia Pasagui</v>
      </c>
      <c r="S837" s="1">
        <f>IFERROR(__xludf.DUMMYFUNCTION("""COMPUTED_VALUE"""),8.0)</f>
        <v>8</v>
      </c>
      <c r="T837" s="1">
        <f>IFERROR(__xludf.DUMMYFUNCTION("""COMPUTED_VALUE"""),14.0)</f>
        <v>14</v>
      </c>
      <c r="U837" s="2">
        <f>IFERROR(__xludf.DUMMYFUNCTION("""COMPUTED_VALUE"""),22.0)</f>
        <v>22</v>
      </c>
      <c r="V837" s="1" t="str">
        <f>IFERROR(__xludf.DUMMYFUNCTION("""COMPUTED_VALUE"""),"Arlene Maurillo")</f>
        <v>Arlene Maurillo</v>
      </c>
      <c r="W837" s="1" t="str">
        <f>IFERROR(__xludf.DUMMYFUNCTION("""COMPUTED_VALUE"""),"PHL, Multilingual Support")</f>
        <v>PHL, Multilingual Support</v>
      </c>
    </row>
    <row r="838">
      <c r="O838" s="1" t="str">
        <f>IFERROR(__xludf.DUMMYFUNCTION("""COMPUTED_VALUE"""),"2025 Aug")</f>
        <v>2025 Aug</v>
      </c>
      <c r="P838" s="1" t="str">
        <f>IFERROR(__xludf.DUMMYFUNCTION("""COMPUTED_VALUE"""),"High Sensitivity Support")</f>
        <v>High Sensitivity Support</v>
      </c>
      <c r="Q838" s="1" t="str">
        <f>IFERROR(__xludf.DUMMYFUNCTION("""COMPUTED_VALUE"""),"trina@canva.com")</f>
        <v>trina@canva.com</v>
      </c>
      <c r="R838" s="1" t="str">
        <f>IFERROR(__xludf.DUMMYFUNCTION("""COMPUTED_VALUE"""),"Trina Salcedo")</f>
        <v>Trina Salcedo</v>
      </c>
      <c r="S838" s="1">
        <f>IFERROR(__xludf.DUMMYFUNCTION("""COMPUTED_VALUE"""),10.0)</f>
        <v>10</v>
      </c>
      <c r="T838" s="1">
        <f>IFERROR(__xludf.DUMMYFUNCTION("""COMPUTED_VALUE"""),13.0)</f>
        <v>13</v>
      </c>
      <c r="U838" s="2">
        <f>IFERROR(__xludf.DUMMYFUNCTION("""COMPUTED_VALUE"""),23.0)</f>
        <v>23</v>
      </c>
      <c r="V838" s="1" t="str">
        <f>IFERROR(__xludf.DUMMYFUNCTION("""COMPUTED_VALUE"""),"Xandy Azarcon")</f>
        <v>Xandy Azarcon</v>
      </c>
      <c r="W838" s="1" t="str">
        <f>IFERROR(__xludf.DUMMYFUNCTION("""COMPUTED_VALUE"""),"High Sensitivity Support PH")</f>
        <v>High Sensitivity Support PH</v>
      </c>
    </row>
    <row r="839">
      <c r="O839" s="1" t="str">
        <f>IFERROR(__xludf.DUMMYFUNCTION("""COMPUTED_VALUE"""),"2025 Aug")</f>
        <v>2025 Aug</v>
      </c>
      <c r="P839" s="1" t="str">
        <f>IFERROR(__xludf.DUMMYFUNCTION("""COMPUTED_VALUE"""),"High Sensitivity Support")</f>
        <v>High Sensitivity Support</v>
      </c>
      <c r="Q839" s="1" t="str">
        <f>IFERROR(__xludf.DUMMYFUNCTION("""COMPUTED_VALUE"""),"trishlee@canva.com")</f>
        <v>trishlee@canva.com</v>
      </c>
      <c r="R839" s="1" t="str">
        <f>IFERROR(__xludf.DUMMYFUNCTION("""COMPUTED_VALUE"""),"Trish Lee")</f>
        <v>Trish Lee</v>
      </c>
      <c r="S839" s="1"/>
      <c r="T839" s="1">
        <f>IFERROR(__xludf.DUMMYFUNCTION("""COMPUTED_VALUE"""),0.0)</f>
        <v>0</v>
      </c>
      <c r="U839" s="2">
        <f>IFERROR(__xludf.DUMMYFUNCTION("""COMPUTED_VALUE"""),0.0)</f>
        <v>0</v>
      </c>
      <c r="V839" s="1" t="str">
        <f>IFERROR(__xludf.DUMMYFUNCTION("""COMPUTED_VALUE"""),"Issi Afable")</f>
        <v>Issi Afable</v>
      </c>
      <c r="W839" s="1" t="str">
        <f>IFERROR(__xludf.DUMMYFUNCTION("""COMPUTED_VALUE"""),"High Sensitivity Support PH")</f>
        <v>High Sensitivity Support PH</v>
      </c>
    </row>
    <row r="840">
      <c r="O840" s="1" t="str">
        <f>IFERROR(__xludf.DUMMYFUNCTION("""COMPUTED_VALUE"""),"2025 Aug")</f>
        <v>2025 Aug</v>
      </c>
      <c r="P840" s="1" t="str">
        <f>IFERROR(__xludf.DUMMYFUNCTION("""COMPUTED_VALUE"""),"Print Support")</f>
        <v>Print Support</v>
      </c>
      <c r="Q840" s="1" t="str">
        <f>IFERROR(__xludf.DUMMYFUNCTION("""COMPUTED_VALUE"""),"trissamiguel@canva.com")</f>
        <v>trissamiguel@canva.com</v>
      </c>
      <c r="R840" s="1" t="str">
        <f>IFERROR(__xludf.DUMMYFUNCTION("""COMPUTED_VALUE"""),"Trissa Miguel")</f>
        <v>Trissa Miguel</v>
      </c>
      <c r="S840" s="1">
        <f>IFERROR(__xludf.DUMMYFUNCTION("""COMPUTED_VALUE"""),7.5)</f>
        <v>7.5</v>
      </c>
      <c r="T840" s="1">
        <f>IFERROR(__xludf.DUMMYFUNCTION("""COMPUTED_VALUE"""),11.75)</f>
        <v>11.75</v>
      </c>
      <c r="U840" s="2">
        <f>IFERROR(__xludf.DUMMYFUNCTION("""COMPUTED_VALUE"""),19.25)</f>
        <v>19.25</v>
      </c>
      <c r="V840" s="1" t="str">
        <f>IFERROR(__xludf.DUMMYFUNCTION("""COMPUTED_VALUE"""),"G-Anne Murillo")</f>
        <v>G-Anne Murillo</v>
      </c>
      <c r="W840" s="1" t="str">
        <f>IFERROR(__xludf.DUMMYFUNCTION("""COMPUTED_VALUE"""),"Print Design Support")</f>
        <v>Print Design Support</v>
      </c>
    </row>
    <row r="841">
      <c r="O841" s="1" t="str">
        <f>IFERROR(__xludf.DUMMYFUNCTION("""COMPUTED_VALUE"""),"2025 Aug")</f>
        <v>2025 Aug</v>
      </c>
      <c r="P841" s="1" t="str">
        <f>IFERROR(__xludf.DUMMYFUNCTION("""COMPUTED_VALUE"""),"Print Support")</f>
        <v>Print Support</v>
      </c>
      <c r="Q841" s="1" t="str">
        <f>IFERROR(__xludf.DUMMYFUNCTION("""COMPUTED_VALUE"""),"vlad.b@canva.com")</f>
        <v>vlad.b@canva.com</v>
      </c>
      <c r="R841" s="1" t="str">
        <f>IFERROR(__xludf.DUMMYFUNCTION("""COMPUTED_VALUE"""),"Vladimir Besana")</f>
        <v>Vladimir Besana</v>
      </c>
      <c r="S841" s="1">
        <f>IFERROR(__xludf.DUMMYFUNCTION("""COMPUTED_VALUE"""),7.5)</f>
        <v>7.5</v>
      </c>
      <c r="T841" s="1">
        <f>IFERROR(__xludf.DUMMYFUNCTION("""COMPUTED_VALUE"""),12.25)</f>
        <v>12.25</v>
      </c>
      <c r="U841" s="2">
        <f>IFERROR(__xludf.DUMMYFUNCTION("""COMPUTED_VALUE"""),19.75)</f>
        <v>19.75</v>
      </c>
      <c r="V841" s="1" t="str">
        <f>IFERROR(__xludf.DUMMYFUNCTION("""COMPUTED_VALUE"""),"Jan Domingo")</f>
        <v>Jan Domingo</v>
      </c>
      <c r="W841" s="1" t="str">
        <f>IFERROR(__xludf.DUMMYFUNCTION("""COMPUTED_VALUE"""),"Print Design Support")</f>
        <v>Print Design Support</v>
      </c>
    </row>
    <row r="842">
      <c r="O842" s="1" t="str">
        <f>IFERROR(__xludf.DUMMYFUNCTION("""COMPUTED_VALUE"""),"2025 Aug")</f>
        <v>2025 Aug</v>
      </c>
      <c r="P842" s="1" t="str">
        <f>IFERROR(__xludf.DUMMYFUNCTION("""COMPUTED_VALUE"""),"Print Support")</f>
        <v>Print Support</v>
      </c>
      <c r="Q842" s="1" t="str">
        <f>IFERROR(__xludf.DUMMYFUNCTION("""COMPUTED_VALUE"""),"wesleyp@canva.com")</f>
        <v>wesleyp@canva.com</v>
      </c>
      <c r="R842" s="1" t="str">
        <f>IFERROR(__xludf.DUMMYFUNCTION("""COMPUTED_VALUE"""),"Wes Paira")</f>
        <v>Wes Paira</v>
      </c>
      <c r="S842" s="1">
        <f>IFERROR(__xludf.DUMMYFUNCTION("""COMPUTED_VALUE"""),15.25)</f>
        <v>15.25</v>
      </c>
      <c r="T842" s="1">
        <f>IFERROR(__xludf.DUMMYFUNCTION("""COMPUTED_VALUE"""),18.0)</f>
        <v>18</v>
      </c>
      <c r="U842" s="2">
        <f>IFERROR(__xludf.DUMMYFUNCTION("""COMPUTED_VALUE"""),33.25)</f>
        <v>33.25</v>
      </c>
      <c r="V842" s="1" t="str">
        <f>IFERROR(__xludf.DUMMYFUNCTION("""COMPUTED_VALUE"""),"Memae Faustino")</f>
        <v>Memae Faustino</v>
      </c>
      <c r="W842" s="1" t="str">
        <f>IFERROR(__xludf.DUMMYFUNCTION("""COMPUTED_VALUE"""),"Print Support PH")</f>
        <v>Print Support PH</v>
      </c>
    </row>
    <row r="843">
      <c r="O843" s="1" t="str">
        <f>IFERROR(__xludf.DUMMYFUNCTION("""COMPUTED_VALUE"""),"2025 Aug")</f>
        <v>2025 Aug</v>
      </c>
      <c r="P843" s="1" t="str">
        <f>IFERROR(__xludf.DUMMYFUNCTION("""COMPUTED_VALUE"""),"Core Product Support")</f>
        <v>Core Product Support</v>
      </c>
      <c r="Q843" s="1" t="str">
        <f>IFERROR(__xludf.DUMMYFUNCTION("""COMPUTED_VALUE"""),"xy@canva.com")</f>
        <v>xy@canva.com</v>
      </c>
      <c r="R843" s="1" t="str">
        <f>IFERROR(__xludf.DUMMYFUNCTION("""COMPUTED_VALUE"""),"Xyren Bulan")</f>
        <v>Xyren Bulan</v>
      </c>
      <c r="S843" s="1">
        <f>IFERROR(__xludf.DUMMYFUNCTION("""COMPUTED_VALUE"""),12.67)</f>
        <v>12.67</v>
      </c>
      <c r="T843" s="1">
        <f>IFERROR(__xludf.DUMMYFUNCTION("""COMPUTED_VALUE"""),55.92)</f>
        <v>55.92</v>
      </c>
      <c r="U843" s="2">
        <f>IFERROR(__xludf.DUMMYFUNCTION("""COMPUTED_VALUE"""),68.59)</f>
        <v>68.59</v>
      </c>
      <c r="V843" s="1" t="str">
        <f>IFERROR(__xludf.DUMMYFUNCTION("""COMPUTED_VALUE"""),"Vinz Lazaro")</f>
        <v>Vinz Lazaro</v>
      </c>
      <c r="W843" s="1" t="str">
        <f>IFERROR(__xludf.DUMMYFUNCTION("""COMPUTED_VALUE"""),"Advanced Product Support")</f>
        <v>Advanced Product Support</v>
      </c>
    </row>
    <row r="844">
      <c r="O844" s="1" t="str">
        <f>IFERROR(__xludf.DUMMYFUNCTION("""COMPUTED_VALUE"""),"2025 Aug")</f>
        <v>2025 Aug</v>
      </c>
      <c r="P844" s="1" t="str">
        <f>IFERROR(__xludf.DUMMYFUNCTION("""COMPUTED_VALUE"""),"Core Product Support")</f>
        <v>Core Product Support</v>
      </c>
      <c r="Q844" s="1" t="str">
        <f>IFERROR(__xludf.DUMMYFUNCTION("""COMPUTED_VALUE"""),"yanarel@canva.com")</f>
        <v>yanarel@canva.com</v>
      </c>
      <c r="R844" s="1" t="str">
        <f>IFERROR(__xludf.DUMMYFUNCTION("""COMPUTED_VALUE"""),"Yana Religioso")</f>
        <v>Yana Religioso</v>
      </c>
      <c r="S844" s="1">
        <f>IFERROR(__xludf.DUMMYFUNCTION("""COMPUTED_VALUE"""),10.5)</f>
        <v>10.5</v>
      </c>
      <c r="T844" s="1">
        <f>IFERROR(__xludf.DUMMYFUNCTION("""COMPUTED_VALUE"""),16.5)</f>
        <v>16.5</v>
      </c>
      <c r="U844" s="2">
        <f>IFERROR(__xludf.DUMMYFUNCTION("""COMPUTED_VALUE"""),27.0)</f>
        <v>27</v>
      </c>
      <c r="V844" s="1" t="str">
        <f>IFERROR(__xludf.DUMMYFUNCTION("""COMPUTED_VALUE"""),"Bem Launte")</f>
        <v>Bem Launte</v>
      </c>
      <c r="W844" s="1" t="str">
        <f>IFERROR(__xludf.DUMMYFUNCTION("""COMPUTED_VALUE"""),"Core Product Support Escalation Team")</f>
        <v>Core Product Support Escalation Team</v>
      </c>
    </row>
    <row r="845">
      <c r="O845" s="1" t="str">
        <f>IFERROR(__xludf.DUMMYFUNCTION("""COMPUTED_VALUE"""),"2025 Aug")</f>
        <v>2025 Aug</v>
      </c>
      <c r="P845" s="1" t="str">
        <f>IFERROR(__xludf.DUMMYFUNCTION("""COMPUTED_VALUE"""),"#N/A")</f>
        <v>#N/A</v>
      </c>
      <c r="Q845" s="1" t="str">
        <f>IFERROR(__xludf.DUMMYFUNCTION("""COMPUTED_VALUE"""),"karren@canva.com")</f>
        <v>karren@canva.com</v>
      </c>
      <c r="R845" s="1" t="str">
        <f>IFERROR(__xludf.DUMMYFUNCTION("""COMPUTED_VALUE"""),"Yen Luna")</f>
        <v>Yen Luna</v>
      </c>
      <c r="S845" s="1">
        <f>IFERROR(__xludf.DUMMYFUNCTION("""COMPUTED_VALUE"""),0.5)</f>
        <v>0.5</v>
      </c>
      <c r="T845" s="1">
        <f>IFERROR(__xludf.DUMMYFUNCTION("""COMPUTED_VALUE"""),8.0)</f>
        <v>8</v>
      </c>
      <c r="U845" s="2">
        <f>IFERROR(__xludf.DUMMYFUNCTION("""COMPUTED_VALUE"""),8.5)</f>
        <v>8.5</v>
      </c>
      <c r="V845" s="1" t="str">
        <f>IFERROR(__xludf.DUMMYFUNCTION("""COMPUTED_VALUE"""),"#N/A")</f>
        <v>#N/A</v>
      </c>
      <c r="W845" s="1" t="str">
        <f>IFERROR(__xludf.DUMMYFUNCTION("""COMPUTED_VALUE"""),"#N/A")</f>
        <v>#N/A</v>
      </c>
    </row>
    <row r="846">
      <c r="O846" s="1" t="str">
        <f>IFERROR(__xludf.DUMMYFUNCTION("""COMPUTED_VALUE"""),"2025 Aug")</f>
        <v>2025 Aug</v>
      </c>
      <c r="P846" s="1" t="str">
        <f>IFERROR(__xludf.DUMMYFUNCTION("""COMPUTED_VALUE"""),"Print Support")</f>
        <v>Print Support</v>
      </c>
      <c r="Q846" s="1" t="str">
        <f>IFERROR(__xludf.DUMMYFUNCTION("""COMPUTED_VALUE"""),"ysabel@canva.com")</f>
        <v>ysabel@canva.com</v>
      </c>
      <c r="R846" s="1" t="str">
        <f>IFERROR(__xludf.DUMMYFUNCTION("""COMPUTED_VALUE"""),"Ysabel Locsin")</f>
        <v>Ysabel Locsin</v>
      </c>
      <c r="S846" s="1">
        <f>IFERROR(__xludf.DUMMYFUNCTION("""COMPUTED_VALUE"""),7.25)</f>
        <v>7.25</v>
      </c>
      <c r="T846" s="1">
        <f>IFERROR(__xludf.DUMMYFUNCTION("""COMPUTED_VALUE"""),10.75)</f>
        <v>10.75</v>
      </c>
      <c r="U846" s="2">
        <f>IFERROR(__xludf.DUMMYFUNCTION("""COMPUTED_VALUE"""),18.0)</f>
        <v>18</v>
      </c>
      <c r="V846" s="1" t="str">
        <f>IFERROR(__xludf.DUMMYFUNCTION("""COMPUTED_VALUE"""),"Rei De Jesus")</f>
        <v>Rei De Jesus</v>
      </c>
      <c r="W846" s="1" t="str">
        <f>IFERROR(__xludf.DUMMYFUNCTION("""COMPUTED_VALUE"""),"Print Design Support")</f>
        <v>Print Design Support</v>
      </c>
    </row>
    <row r="847">
      <c r="O847" s="1" t="str">
        <f>IFERROR(__xludf.DUMMYFUNCTION("""COMPUTED_VALUE"""),"2025 Aug")</f>
        <v>2025 Aug</v>
      </c>
      <c r="P847" s="1" t="str">
        <f>IFERROR(__xludf.DUMMYFUNCTION("""COMPUTED_VALUE"""),"Core Product Support")</f>
        <v>Core Product Support</v>
      </c>
      <c r="Q847" s="1" t="str">
        <f>IFERROR(__xludf.DUMMYFUNCTION("""COMPUTED_VALUE"""),"ymagno@canva.com")</f>
        <v>ymagno@canva.com</v>
      </c>
      <c r="R847" s="1" t="str">
        <f>IFERROR(__xludf.DUMMYFUNCTION("""COMPUTED_VALUE"""),"Ysabel Magno")</f>
        <v>Ysabel Magno</v>
      </c>
      <c r="S847" s="1">
        <f>IFERROR(__xludf.DUMMYFUNCTION("""COMPUTED_VALUE"""),16.85)</f>
        <v>16.85</v>
      </c>
      <c r="T847" s="1">
        <f>IFERROR(__xludf.DUMMYFUNCTION("""COMPUTED_VALUE"""),40.52)</f>
        <v>40.52</v>
      </c>
      <c r="U847" s="2">
        <f>IFERROR(__xludf.DUMMYFUNCTION("""COMPUTED_VALUE"""),57.370000000000005)</f>
        <v>57.37</v>
      </c>
      <c r="V847" s="1" t="str">
        <f>IFERROR(__xludf.DUMMYFUNCTION("""COMPUTED_VALUE"""),"Renette Bok")</f>
        <v>Renette Bok</v>
      </c>
      <c r="W847" s="1" t="str">
        <f>IFERROR(__xludf.DUMMYFUNCTION("""COMPUTED_VALUE"""),"Advanced Billing &amp; Subscriptions")</f>
        <v>Advanced Billing &amp; Subscriptions</v>
      </c>
    </row>
    <row r="848">
      <c r="O848" s="1" t="str">
        <f>IFERROR(__xludf.DUMMYFUNCTION("""COMPUTED_VALUE"""),"2025 Aug")</f>
        <v>2025 Aug</v>
      </c>
      <c r="P848" s="1" t="str">
        <f>IFERROR(__xludf.DUMMYFUNCTION("""COMPUTED_VALUE"""),"Multilingual Support")</f>
        <v>Multilingual Support</v>
      </c>
      <c r="Q848" s="1" t="str">
        <f>IFERROR(__xludf.DUMMYFUNCTION("""COMPUTED_VALUE"""),"iuliia@canva.com")</f>
        <v>iuliia@canva.com</v>
      </c>
      <c r="R848" s="1" t="str">
        <f>IFERROR(__xludf.DUMMYFUNCTION("""COMPUTED_VALUE"""),"Yulya Shevkunova")</f>
        <v>Yulya Shevkunova</v>
      </c>
      <c r="S848" s="1">
        <f>IFERROR(__xludf.DUMMYFUNCTION("""COMPUTED_VALUE"""),10.0)</f>
        <v>10</v>
      </c>
      <c r="T848" s="1">
        <f>IFERROR(__xludf.DUMMYFUNCTION("""COMPUTED_VALUE"""),16.0)</f>
        <v>16</v>
      </c>
      <c r="U848" s="2">
        <f>IFERROR(__xludf.DUMMYFUNCTION("""COMPUTED_VALUE"""),26.0)</f>
        <v>26</v>
      </c>
      <c r="V848" s="1" t="str">
        <f>IFERROR(__xludf.DUMMYFUNCTION("""COMPUTED_VALUE"""),"Arlene Maurillo")</f>
        <v>Arlene Maurillo</v>
      </c>
      <c r="W848" s="1" t="str">
        <f>IFERROR(__xludf.DUMMYFUNCTION("""COMPUTED_VALUE"""),"PHL, Multilingual Support")</f>
        <v>PHL, Multilingual Support</v>
      </c>
    </row>
    <row r="849">
      <c r="O849" s="1" t="str">
        <f>IFERROR(__xludf.DUMMYFUNCTION("""COMPUTED_VALUE"""),"2025 Aug")</f>
        <v>2025 Aug</v>
      </c>
      <c r="P849" s="1" t="str">
        <f>IFERROR(__xludf.DUMMYFUNCTION("""COMPUTED_VALUE"""),"Core Product Support")</f>
        <v>Core Product Support</v>
      </c>
      <c r="Q849" s="1" t="str">
        <f>IFERROR(__xludf.DUMMYFUNCTION("""COMPUTED_VALUE"""),"yumi@canva.com")</f>
        <v>yumi@canva.com</v>
      </c>
      <c r="R849" s="1" t="str">
        <f>IFERROR(__xludf.DUMMYFUNCTION("""COMPUTED_VALUE"""),"Yumi Tominaga")</f>
        <v>Yumi Tominaga</v>
      </c>
      <c r="S849" s="1">
        <f>IFERROR(__xludf.DUMMYFUNCTION("""COMPUTED_VALUE"""),19.17)</f>
        <v>19.17</v>
      </c>
      <c r="T849" s="1">
        <f>IFERROR(__xludf.DUMMYFUNCTION("""COMPUTED_VALUE"""),20.25)</f>
        <v>20.25</v>
      </c>
      <c r="U849" s="2">
        <f>IFERROR(__xludf.DUMMYFUNCTION("""COMPUTED_VALUE"""),39.42)</f>
        <v>39.42</v>
      </c>
      <c r="V849" s="1" t="str">
        <f>IFERROR(__xludf.DUMMYFUNCTION("""COMPUTED_VALUE"""),"Ana Lazaro")</f>
        <v>Ana Lazaro</v>
      </c>
      <c r="W849" s="1" t="str">
        <f>IFERROR(__xludf.DUMMYFUNCTION("""COMPUTED_VALUE"""),"Advanced Billing &amp; Subscriptions")</f>
        <v>Advanced Billing &amp; Subscriptions</v>
      </c>
    </row>
    <row r="850">
      <c r="O850" s="1" t="str">
        <f>IFERROR(__xludf.DUMMYFUNCTION("""COMPUTED_VALUE"""),"2025 Aug")</f>
        <v>2025 Aug</v>
      </c>
      <c r="P850" s="1" t="str">
        <f>IFERROR(__xludf.DUMMYFUNCTION("""COMPUTED_VALUE"""),"Core Product Support")</f>
        <v>Core Product Support</v>
      </c>
      <c r="Q850" s="1" t="str">
        <f>IFERROR(__xludf.DUMMYFUNCTION("""COMPUTED_VALUE"""),"yvette@canva.com")</f>
        <v>yvette@canva.com</v>
      </c>
      <c r="R850" s="1" t="str">
        <f>IFERROR(__xludf.DUMMYFUNCTION("""COMPUTED_VALUE"""),"Yvette Nogoy")</f>
        <v>Yvette Nogoy</v>
      </c>
      <c r="S850" s="1">
        <f>IFERROR(__xludf.DUMMYFUNCTION("""COMPUTED_VALUE"""),30.5)</f>
        <v>30.5</v>
      </c>
      <c r="T850" s="1">
        <f>IFERROR(__xludf.DUMMYFUNCTION("""COMPUTED_VALUE"""),30.5)</f>
        <v>30.5</v>
      </c>
      <c r="U850" s="2">
        <f>IFERROR(__xludf.DUMMYFUNCTION("""COMPUTED_VALUE"""),61.0)</f>
        <v>61</v>
      </c>
      <c r="V850" s="1" t="str">
        <f>IFERROR(__xludf.DUMMYFUNCTION("""COMPUTED_VALUE"""),"Jelyn Elmido")</f>
        <v>Jelyn Elmido</v>
      </c>
      <c r="W850" s="1" t="str">
        <f>IFERROR(__xludf.DUMMYFUNCTION("""COMPUTED_VALUE"""),"Core Product Support Escalation Team")</f>
        <v>Core Product Support Escalation Team</v>
      </c>
    </row>
    <row r="851">
      <c r="O851" s="1" t="str">
        <f>IFERROR(__xludf.DUMMYFUNCTION("""COMPUTED_VALUE"""),"2025 Aug")</f>
        <v>2025 Aug</v>
      </c>
      <c r="P851" s="1" t="str">
        <f>IFERROR(__xludf.DUMMYFUNCTION("""COMPUTED_VALUE"""),"Admin Support")</f>
        <v>Admin Support</v>
      </c>
      <c r="Q851" s="1" t="str">
        <f>IFERROR(__xludf.DUMMYFUNCTION("""COMPUTED_VALUE"""),"yvonne@canva.com")</f>
        <v>yvonne@canva.com</v>
      </c>
      <c r="R851" s="1" t="str">
        <f>IFERROR(__xludf.DUMMYFUNCTION("""COMPUTED_VALUE"""),"Yvonne Romasanta")</f>
        <v>Yvonne Romasanta</v>
      </c>
      <c r="S851" s="1">
        <f>IFERROR(__xludf.DUMMYFUNCTION("""COMPUTED_VALUE"""),2.0)</f>
        <v>2</v>
      </c>
      <c r="T851" s="1">
        <f>IFERROR(__xludf.DUMMYFUNCTION("""COMPUTED_VALUE"""),4.75)</f>
        <v>4.75</v>
      </c>
      <c r="U851" s="2">
        <f>IFERROR(__xludf.DUMMYFUNCTION("""COMPUTED_VALUE"""),6.75)</f>
        <v>6.75</v>
      </c>
      <c r="V851" s="1" t="str">
        <f>IFERROR(__xludf.DUMMYFUNCTION("""COMPUTED_VALUE"""),"Pau Palmero")</f>
        <v>Pau Palmero</v>
      </c>
      <c r="W851" s="1" t="str">
        <f>IFERROR(__xludf.DUMMYFUNCTION("""COMPUTED_VALUE"""),"Admin Omni Support")</f>
        <v>Admin Omni Support</v>
      </c>
    </row>
    <row r="852">
      <c r="O852" s="1" t="str">
        <f>IFERROR(__xludf.DUMMYFUNCTION("""COMPUTED_VALUE"""),"2025 Aug")</f>
        <v>2025 Aug</v>
      </c>
      <c r="P852" s="1" t="str">
        <f>IFERROR(__xludf.DUMMYFUNCTION("""COMPUTED_VALUE"""),"Print Support")</f>
        <v>Print Support</v>
      </c>
      <c r="Q852" s="1" t="str">
        <f>IFERROR(__xludf.DUMMYFUNCTION("""COMPUTED_VALUE"""),"zippy@canva.com")</f>
        <v>zippy@canva.com</v>
      </c>
      <c r="R852" s="1" t="str">
        <f>IFERROR(__xludf.DUMMYFUNCTION("""COMPUTED_VALUE"""),"Zipporah Duque")</f>
        <v>Zipporah Duque</v>
      </c>
      <c r="S852" s="1">
        <f>IFERROR(__xludf.DUMMYFUNCTION("""COMPUTED_VALUE"""),8.75)</f>
        <v>8.75</v>
      </c>
      <c r="T852" s="1">
        <f>IFERROR(__xludf.DUMMYFUNCTION("""COMPUTED_VALUE"""),14.5)</f>
        <v>14.5</v>
      </c>
      <c r="U852" s="2">
        <f>IFERROR(__xludf.DUMMYFUNCTION("""COMPUTED_VALUE"""),23.25)</f>
        <v>23.25</v>
      </c>
      <c r="V852" s="1" t="str">
        <f>IFERROR(__xludf.DUMMYFUNCTION("""COMPUTED_VALUE"""),"Jen Momo")</f>
        <v>Jen Momo</v>
      </c>
      <c r="W852" s="1" t="str">
        <f>IFERROR(__xludf.DUMMYFUNCTION("""COMPUTED_VALUE"""),"Print Support PH")</f>
        <v>Print Support PH</v>
      </c>
    </row>
    <row r="853">
      <c r="O853" s="1" t="str">
        <f>IFERROR(__xludf.DUMMYFUNCTION("""COMPUTED_VALUE"""),"2025 Sep")</f>
        <v>2025 Sep</v>
      </c>
      <c r="P853" s="1" t="str">
        <f>IFERROR(__xludf.DUMMYFUNCTION("""COMPUTED_VALUE"""),"Segment-specific Support")</f>
        <v>Segment-specific Support</v>
      </c>
      <c r="Q853" s="1" t="str">
        <f>IFERROR(__xludf.DUMMYFUNCTION("""COMPUTED_VALUE"""),"triplea@canva.com")</f>
        <v>triplea@canva.com</v>
      </c>
      <c r="R853" s="1" t="str">
        <f>IFERROR(__xludf.DUMMYFUNCTION("""COMPUTED_VALUE"""),"AA Abong")</f>
        <v>AA Abong</v>
      </c>
      <c r="S853" s="1">
        <f>IFERROR(__xludf.DUMMYFUNCTION("""COMPUTED_VALUE"""),1.0)</f>
        <v>1</v>
      </c>
      <c r="T853" s="1">
        <f>IFERROR(__xludf.DUMMYFUNCTION("""COMPUTED_VALUE"""),81.0)</f>
        <v>81</v>
      </c>
      <c r="U853" s="2">
        <f>IFERROR(__xludf.DUMMYFUNCTION("""COMPUTED_VALUE"""),82.0)</f>
        <v>82</v>
      </c>
      <c r="V853" s="1" t="str">
        <f>IFERROR(__xludf.DUMMYFUNCTION("""COMPUTED_VALUE"""),"Jonathan Dimaculangan")</f>
        <v>Jonathan Dimaculangan</v>
      </c>
      <c r="W853" s="1" t="str">
        <f>IFERROR(__xludf.DUMMYFUNCTION("""COMPUTED_VALUE"""),"Flourish Support")</f>
        <v>Flourish Support</v>
      </c>
    </row>
    <row r="854">
      <c r="O854" s="1" t="str">
        <f>IFERROR(__xludf.DUMMYFUNCTION("""COMPUTED_VALUE"""),"2025 Sep")</f>
        <v>2025 Sep</v>
      </c>
      <c r="P854" s="1" t="str">
        <f>IFERROR(__xludf.DUMMYFUNCTION("""COMPUTED_VALUE"""),"Core Product Support")</f>
        <v>Core Product Support</v>
      </c>
      <c r="Q854" s="1" t="str">
        <f>IFERROR(__xludf.DUMMYFUNCTION("""COMPUTED_VALUE"""),"adrielcarlosv@canva.com")</f>
        <v>adrielcarlosv@canva.com</v>
      </c>
      <c r="R854" s="1" t="str">
        <f>IFERROR(__xludf.DUMMYFUNCTION("""COMPUTED_VALUE"""),"Adriel Vicencio")</f>
        <v>Adriel Vicencio</v>
      </c>
      <c r="S854" s="1">
        <f>IFERROR(__xludf.DUMMYFUNCTION("""COMPUTED_VALUE"""),1.0)</f>
        <v>1</v>
      </c>
      <c r="T854" s="1">
        <f>IFERROR(__xludf.DUMMYFUNCTION("""COMPUTED_VALUE"""),6.75)</f>
        <v>6.75</v>
      </c>
      <c r="U854" s="2">
        <f>IFERROR(__xludf.DUMMYFUNCTION("""COMPUTED_VALUE"""),7.75)</f>
        <v>7.75</v>
      </c>
      <c r="V854" s="1" t="str">
        <f>IFERROR(__xludf.DUMMYFUNCTION("""COMPUTED_VALUE"""),"Jem Mondoñedo")</f>
        <v>Jem Mondoñedo</v>
      </c>
      <c r="W854" s="1" t="str">
        <f>IFERROR(__xludf.DUMMYFUNCTION("""COMPUTED_VALUE"""),"Advanced Billing &amp; Subscriptions")</f>
        <v>Advanced Billing &amp; Subscriptions</v>
      </c>
    </row>
    <row r="855">
      <c r="O855" s="1" t="str">
        <f>IFERROR(__xludf.DUMMYFUNCTION("""COMPUTED_VALUE"""),"2025 Sep")</f>
        <v>2025 Sep</v>
      </c>
      <c r="P855" s="1" t="str">
        <f>IFERROR(__xludf.DUMMYFUNCTION("""COMPUTED_VALUE"""),"Admin Support")</f>
        <v>Admin Support</v>
      </c>
      <c r="Q855" s="1" t="str">
        <f>IFERROR(__xludf.DUMMYFUNCTION("""COMPUTED_VALUE"""),"agathartt@canva.com")</f>
        <v>agathartt@canva.com</v>
      </c>
      <c r="R855" s="1" t="str">
        <f>IFERROR(__xludf.DUMMYFUNCTION("""COMPUTED_VALUE"""),"Agatha Torres")</f>
        <v>Agatha Torres</v>
      </c>
      <c r="S855" s="1">
        <f>IFERROR(__xludf.DUMMYFUNCTION("""COMPUTED_VALUE"""),1.25)</f>
        <v>1.25</v>
      </c>
      <c r="T855" s="1">
        <f>IFERROR(__xludf.DUMMYFUNCTION("""COMPUTED_VALUE"""),6.25)</f>
        <v>6.25</v>
      </c>
      <c r="U855" s="2">
        <f>IFERROR(__xludf.DUMMYFUNCTION("""COMPUTED_VALUE"""),7.5)</f>
        <v>7.5</v>
      </c>
      <c r="V855" s="1" t="str">
        <f>IFERROR(__xludf.DUMMYFUNCTION("""COMPUTED_VALUE"""),"AL Suarez")</f>
        <v>AL Suarez</v>
      </c>
      <c r="W855" s="1" t="str">
        <f>IFERROR(__xludf.DUMMYFUNCTION("""COMPUTED_VALUE"""),"Advanced Billing &amp; Subscriptions")</f>
        <v>Advanced Billing &amp; Subscriptions</v>
      </c>
    </row>
    <row r="856">
      <c r="O856" s="1" t="str">
        <f>IFERROR(__xludf.DUMMYFUNCTION("""COMPUTED_VALUE"""),"2025 Sep")</f>
        <v>2025 Sep</v>
      </c>
      <c r="P856" s="1" t="str">
        <f>IFERROR(__xludf.DUMMYFUNCTION("""COMPUTED_VALUE"""),"Print Support")</f>
        <v>Print Support</v>
      </c>
      <c r="Q856" s="1" t="str">
        <f>IFERROR(__xludf.DUMMYFUNCTION("""COMPUTED_VALUE"""),"aileen.a@canva.com")</f>
        <v>aileen.a@canva.com</v>
      </c>
      <c r="R856" s="1" t="str">
        <f>IFERROR(__xludf.DUMMYFUNCTION("""COMPUTED_VALUE"""),"Aileen Alipio")</f>
        <v>Aileen Alipio</v>
      </c>
      <c r="S856" s="1">
        <f>IFERROR(__xludf.DUMMYFUNCTION("""COMPUTED_VALUE"""),6.75)</f>
        <v>6.75</v>
      </c>
      <c r="T856" s="1">
        <f>IFERROR(__xludf.DUMMYFUNCTION("""COMPUTED_VALUE"""),1.0)</f>
        <v>1</v>
      </c>
      <c r="U856" s="2">
        <f>IFERROR(__xludf.DUMMYFUNCTION("""COMPUTED_VALUE"""),7.75)</f>
        <v>7.75</v>
      </c>
      <c r="V856" s="1" t="str">
        <f>IFERROR(__xludf.DUMMYFUNCTION("""COMPUTED_VALUE"""),"Gem Agoncillo")</f>
        <v>Gem Agoncillo</v>
      </c>
      <c r="W856" s="1" t="str">
        <f>IFERROR(__xludf.DUMMYFUNCTION("""COMPUTED_VALUE"""),"Print Design Support")</f>
        <v>Print Design Support</v>
      </c>
    </row>
    <row r="857">
      <c r="O857" s="1" t="str">
        <f>IFERROR(__xludf.DUMMYFUNCTION("""COMPUTED_VALUE"""),"2025 Sep")</f>
        <v>2025 Sep</v>
      </c>
      <c r="P857" s="1" t="str">
        <f>IFERROR(__xludf.DUMMYFUNCTION("""COMPUTED_VALUE"""),"Core Product Support")</f>
        <v>Core Product Support</v>
      </c>
      <c r="Q857" s="1" t="str">
        <f>IFERROR(__xludf.DUMMYFUNCTION("""COMPUTED_VALUE"""),"ailyn@canva.com")</f>
        <v>ailyn@canva.com</v>
      </c>
      <c r="R857" s="1" t="str">
        <f>IFERROR(__xludf.DUMMYFUNCTION("""COMPUTED_VALUE"""),"Ailyn Grana")</f>
        <v>Ailyn Grana</v>
      </c>
      <c r="S857" s="1">
        <f>IFERROR(__xludf.DUMMYFUNCTION("""COMPUTED_VALUE"""),11.5)</f>
        <v>11.5</v>
      </c>
      <c r="T857" s="1">
        <f>IFERROR(__xludf.DUMMYFUNCTION("""COMPUTED_VALUE"""),51.72)</f>
        <v>51.72</v>
      </c>
      <c r="U857" s="2">
        <f>IFERROR(__xludf.DUMMYFUNCTION("""COMPUTED_VALUE"""),63.22)</f>
        <v>63.22</v>
      </c>
      <c r="V857" s="1" t="str">
        <f>IFERROR(__xludf.DUMMYFUNCTION("""COMPUTED_VALUE"""),"Belle Bentazal")</f>
        <v>Belle Bentazal</v>
      </c>
      <c r="W857" s="1" t="str">
        <f>IFERROR(__xludf.DUMMYFUNCTION("""COMPUTED_VALUE"""),"Advanced Product Support")</f>
        <v>Advanced Product Support</v>
      </c>
    </row>
    <row r="858">
      <c r="O858" s="1" t="str">
        <f>IFERROR(__xludf.DUMMYFUNCTION("""COMPUTED_VALUE"""),"2025 Sep")</f>
        <v>2025 Sep</v>
      </c>
      <c r="P858" s="1" t="str">
        <f>IFERROR(__xludf.DUMMYFUNCTION("""COMPUTED_VALUE"""),"Print Support")</f>
        <v>Print Support</v>
      </c>
      <c r="Q858" s="1" t="str">
        <f>IFERROR(__xludf.DUMMYFUNCTION("""COMPUTED_VALUE"""),"alaizaong@canva.com")</f>
        <v>alaizaong@canva.com</v>
      </c>
      <c r="R858" s="1" t="str">
        <f>IFERROR(__xludf.DUMMYFUNCTION("""COMPUTED_VALUE"""),"Alaiza Ong")</f>
        <v>Alaiza Ong</v>
      </c>
      <c r="S858" s="1">
        <f>IFERROR(__xludf.DUMMYFUNCTION("""COMPUTED_VALUE"""),16.0)</f>
        <v>16</v>
      </c>
      <c r="T858" s="1">
        <f>IFERROR(__xludf.DUMMYFUNCTION("""COMPUTED_VALUE"""),0.0)</f>
        <v>0</v>
      </c>
      <c r="U858" s="2">
        <f>IFERROR(__xludf.DUMMYFUNCTION("""COMPUTED_VALUE"""),16.0)</f>
        <v>16</v>
      </c>
      <c r="V858" s="1" t="str">
        <f>IFERROR(__xludf.DUMMYFUNCTION("""COMPUTED_VALUE"""),"Rae Erlano")</f>
        <v>Rae Erlano</v>
      </c>
      <c r="W858" s="1" t="str">
        <f>IFERROR(__xludf.DUMMYFUNCTION("""COMPUTED_VALUE"""),"Print Support PH")</f>
        <v>Print Support PH</v>
      </c>
    </row>
    <row r="859">
      <c r="O859" s="1" t="str">
        <f>IFERROR(__xludf.DUMMYFUNCTION("""COMPUTED_VALUE"""),"2025 Sep")</f>
        <v>2025 Sep</v>
      </c>
      <c r="P859" s="1" t="str">
        <f>IFERROR(__xludf.DUMMYFUNCTION("""COMPUTED_VALUE"""),"Segment-specific Support")</f>
        <v>Segment-specific Support</v>
      </c>
      <c r="Q859" s="1" t="str">
        <f>IFERROR(__xludf.DUMMYFUNCTION("""COMPUTED_VALUE"""),"andria@canva.com")</f>
        <v>andria@canva.com</v>
      </c>
      <c r="R859" s="1" t="str">
        <f>IFERROR(__xludf.DUMMYFUNCTION("""COMPUTED_VALUE"""),"Alex Batusin")</f>
        <v>Alex Batusin</v>
      </c>
      <c r="S859" s="1">
        <f>IFERROR(__xludf.DUMMYFUNCTION("""COMPUTED_VALUE"""),2.5)</f>
        <v>2.5</v>
      </c>
      <c r="T859" s="1">
        <f>IFERROR(__xludf.DUMMYFUNCTION("""COMPUTED_VALUE"""),0.0)</f>
        <v>0</v>
      </c>
      <c r="U859" s="2">
        <f>IFERROR(__xludf.DUMMYFUNCTION("""COMPUTED_VALUE"""),2.5)</f>
        <v>2.5</v>
      </c>
      <c r="V859" s="1" t="str">
        <f>IFERROR(__xludf.DUMMYFUNCTION("""COMPUTED_VALUE"""),"Aileen Dayanghirang")</f>
        <v>Aileen Dayanghirang</v>
      </c>
      <c r="W859" s="1" t="str">
        <f>IFERROR(__xludf.DUMMYFUNCTION("""COMPUTED_VALUE"""),"Creators Support")</f>
        <v>Creators Support</v>
      </c>
    </row>
    <row r="860">
      <c r="O860" s="1" t="str">
        <f>IFERROR(__xludf.DUMMYFUNCTION("""COMPUTED_VALUE"""),"2025 Sep")</f>
        <v>2025 Sep</v>
      </c>
      <c r="P860" s="1" t="str">
        <f>IFERROR(__xludf.DUMMYFUNCTION("""COMPUTED_VALUE"""),"Segment-specific Support")</f>
        <v>Segment-specific Support</v>
      </c>
      <c r="Q860" s="1" t="str">
        <f>IFERROR(__xludf.DUMMYFUNCTION("""COMPUTED_VALUE"""),"alexl@canva.com")</f>
        <v>alexl@canva.com</v>
      </c>
      <c r="R860" s="1" t="str">
        <f>IFERROR(__xludf.DUMMYFUNCTION("""COMPUTED_VALUE"""),"Alex Lim")</f>
        <v>Alex Lim</v>
      </c>
      <c r="S860" s="1">
        <f>IFERROR(__xludf.DUMMYFUNCTION("""COMPUTED_VALUE"""),3.0)</f>
        <v>3</v>
      </c>
      <c r="T860" s="1">
        <f>IFERROR(__xludf.DUMMYFUNCTION("""COMPUTED_VALUE"""),0.0)</f>
        <v>0</v>
      </c>
      <c r="U860" s="2">
        <f>IFERROR(__xludf.DUMMYFUNCTION("""COMPUTED_VALUE"""),3.0)</f>
        <v>3</v>
      </c>
      <c r="V860" s="1" t="str">
        <f>IFERROR(__xludf.DUMMYFUNCTION("""COMPUTED_VALUE"""),"Gucci Nava")</f>
        <v>Gucci Nava</v>
      </c>
      <c r="W860" s="1" t="str">
        <f>IFERROR(__xludf.DUMMYFUNCTION("""COMPUTED_VALUE"""),"Affinity Support")</f>
        <v>Affinity Support</v>
      </c>
    </row>
    <row r="861">
      <c r="O861" s="1" t="str">
        <f>IFERROR(__xludf.DUMMYFUNCTION("""COMPUTED_VALUE"""),"2025 Sep")</f>
        <v>2025 Sep</v>
      </c>
      <c r="P861" s="1" t="str">
        <f>IFERROR(__xludf.DUMMYFUNCTION("""COMPUTED_VALUE"""),"Segment-specific Support")</f>
        <v>Segment-specific Support</v>
      </c>
      <c r="Q861" s="1" t="str">
        <f>IFERROR(__xludf.DUMMYFUNCTION("""COMPUTED_VALUE"""),"adtolentino@canva.com")</f>
        <v>adtolentino@canva.com</v>
      </c>
      <c r="R861" s="1" t="str">
        <f>IFERROR(__xludf.DUMMYFUNCTION("""COMPUTED_VALUE"""),"Alfred Devon Tolentino")</f>
        <v>Alfred Devon Tolentino</v>
      </c>
      <c r="S861" s="1">
        <f>IFERROR(__xludf.DUMMYFUNCTION("""COMPUTED_VALUE"""),2.5)</f>
        <v>2.5</v>
      </c>
      <c r="T861" s="1">
        <f>IFERROR(__xludf.DUMMYFUNCTION("""COMPUTED_VALUE"""),0.0)</f>
        <v>0</v>
      </c>
      <c r="U861" s="2">
        <f>IFERROR(__xludf.DUMMYFUNCTION("""COMPUTED_VALUE"""),2.5)</f>
        <v>2.5</v>
      </c>
      <c r="V861" s="1" t="str">
        <f>IFERROR(__xludf.DUMMYFUNCTION("""COMPUTED_VALUE"""),"Jonathan Dimaculangan")</f>
        <v>Jonathan Dimaculangan</v>
      </c>
      <c r="W861" s="1" t="str">
        <f>IFERROR(__xludf.DUMMYFUNCTION("""COMPUTED_VALUE"""),"Flourish Support")</f>
        <v>Flourish Support</v>
      </c>
    </row>
    <row r="862">
      <c r="O862" s="1" t="str">
        <f>IFERROR(__xludf.DUMMYFUNCTION("""COMPUTED_VALUE"""),"2025 Sep")</f>
        <v>2025 Sep</v>
      </c>
      <c r="P862" s="1" t="str">
        <f>IFERROR(__xludf.DUMMYFUNCTION("""COMPUTED_VALUE"""),"Admin Support")</f>
        <v>Admin Support</v>
      </c>
      <c r="Q862" s="1" t="str">
        <f>IFERROR(__xludf.DUMMYFUNCTION("""COMPUTED_VALUE"""),"alicec@canva.com")</f>
        <v>alicec@canva.com</v>
      </c>
      <c r="R862" s="1" t="str">
        <f>IFERROR(__xludf.DUMMYFUNCTION("""COMPUTED_VALUE"""),"Alice Creiser")</f>
        <v>Alice Creiser</v>
      </c>
      <c r="S862" s="1">
        <f>IFERROR(__xludf.DUMMYFUNCTION("""COMPUTED_VALUE"""),1.5)</f>
        <v>1.5</v>
      </c>
      <c r="T862" s="1">
        <f>IFERROR(__xludf.DUMMYFUNCTION("""COMPUTED_VALUE"""),3.25)</f>
        <v>3.25</v>
      </c>
      <c r="U862" s="2">
        <f>IFERROR(__xludf.DUMMYFUNCTION("""COMPUTED_VALUE"""),4.75)</f>
        <v>4.75</v>
      </c>
      <c r="V862" s="1" t="str">
        <f>IFERROR(__xludf.DUMMYFUNCTION("""COMPUTED_VALUE"""),"Tash Kelly")</f>
        <v>Tash Kelly</v>
      </c>
      <c r="W862" s="1" t="str">
        <f>IFERROR(__xludf.DUMMYFUNCTION("""COMPUTED_VALUE"""),"Admin Support EMEA")</f>
        <v>Admin Support EMEA</v>
      </c>
    </row>
    <row r="863">
      <c r="O863" s="1" t="str">
        <f>IFERROR(__xludf.DUMMYFUNCTION("""COMPUTED_VALUE"""),"2025 Sep")</f>
        <v>2025 Sep</v>
      </c>
      <c r="P863" s="1" t="str">
        <f>IFERROR(__xludf.DUMMYFUNCTION("""COMPUTED_VALUE"""),"Segment-specific Support")</f>
        <v>Segment-specific Support</v>
      </c>
      <c r="Q863" s="1" t="str">
        <f>IFERROR(__xludf.DUMMYFUNCTION("""COMPUTED_VALUE"""),"alyanna@canva.com")</f>
        <v>alyanna@canva.com</v>
      </c>
      <c r="R863" s="1" t="str">
        <f>IFERROR(__xludf.DUMMYFUNCTION("""COMPUTED_VALUE"""),"Alyanna Ramos")</f>
        <v>Alyanna Ramos</v>
      </c>
      <c r="S863" s="1">
        <f>IFERROR(__xludf.DUMMYFUNCTION("""COMPUTED_VALUE"""),4.23)</f>
        <v>4.23</v>
      </c>
      <c r="T863" s="1">
        <f>IFERROR(__xludf.DUMMYFUNCTION("""COMPUTED_VALUE"""),1.0)</f>
        <v>1</v>
      </c>
      <c r="U863" s="2">
        <f>IFERROR(__xludf.DUMMYFUNCTION("""COMPUTED_VALUE"""),5.23)</f>
        <v>5.23</v>
      </c>
      <c r="V863" s="1" t="str">
        <f>IFERROR(__xludf.DUMMYFUNCTION("""COMPUTED_VALUE"""),"Rose Gabilan")</f>
        <v>Rose Gabilan</v>
      </c>
      <c r="W863" s="1" t="str">
        <f>IFERROR(__xludf.DUMMYFUNCTION("""COMPUTED_VALUE"""),"Affinity Support")</f>
        <v>Affinity Support</v>
      </c>
    </row>
    <row r="864">
      <c r="O864" s="1" t="str">
        <f>IFERROR(__xludf.DUMMYFUNCTION("""COMPUTED_VALUE"""),"2025 Sep")</f>
        <v>2025 Sep</v>
      </c>
      <c r="P864" s="1" t="str">
        <f>IFERROR(__xludf.DUMMYFUNCTION("""COMPUTED_VALUE"""),"Core Product Support")</f>
        <v>Core Product Support</v>
      </c>
      <c r="Q864" s="1" t="str">
        <f>IFERROR(__xludf.DUMMYFUNCTION("""COMPUTED_VALUE"""),"alyssakae@canva.com")</f>
        <v>alyssakae@canva.com</v>
      </c>
      <c r="R864" s="1" t="str">
        <f>IFERROR(__xludf.DUMMYFUNCTION("""COMPUTED_VALUE"""),"Alyssa Kae Laranang")</f>
        <v>Alyssa Kae Laranang</v>
      </c>
      <c r="S864" s="1">
        <f>IFERROR(__xludf.DUMMYFUNCTION("""COMPUTED_VALUE"""),0.3)</f>
        <v>0.3</v>
      </c>
      <c r="T864" s="1">
        <f>IFERROR(__xludf.DUMMYFUNCTION("""COMPUTED_VALUE"""),2.45)</f>
        <v>2.45</v>
      </c>
      <c r="U864" s="2">
        <f>IFERROR(__xludf.DUMMYFUNCTION("""COMPUTED_VALUE"""),2.75)</f>
        <v>2.75</v>
      </c>
      <c r="V864" s="1" t="str">
        <f>IFERROR(__xludf.DUMMYFUNCTION("""COMPUTED_VALUE"""),"Ellaine Estayo")</f>
        <v>Ellaine Estayo</v>
      </c>
      <c r="W864" s="1" t="str">
        <f>IFERROR(__xludf.DUMMYFUNCTION("""COMPUTED_VALUE"""),"Core Product Support Escalation Team")</f>
        <v>Core Product Support Escalation Team</v>
      </c>
    </row>
    <row r="865">
      <c r="O865" s="1" t="str">
        <f>IFERROR(__xludf.DUMMYFUNCTION("""COMPUTED_VALUE"""),"2025 Sep")</f>
        <v>2025 Sep</v>
      </c>
      <c r="P865" s="1" t="str">
        <f>IFERROR(__xludf.DUMMYFUNCTION("""COMPUTED_VALUE"""),"Print Support")</f>
        <v>Print Support</v>
      </c>
      <c r="Q865" s="1" t="str">
        <f>IFERROR(__xludf.DUMMYFUNCTION("""COMPUTED_VALUE"""),"alyssam@canva.com")</f>
        <v>alyssam@canva.com</v>
      </c>
      <c r="R865" s="1" t="str">
        <f>IFERROR(__xludf.DUMMYFUNCTION("""COMPUTED_VALUE"""),"Alyssa Martin-Silao")</f>
        <v>Alyssa Martin-Silao</v>
      </c>
      <c r="S865" s="1">
        <f>IFERROR(__xludf.DUMMYFUNCTION("""COMPUTED_VALUE"""),12.0)</f>
        <v>12</v>
      </c>
      <c r="T865" s="1">
        <f>IFERROR(__xludf.DUMMYFUNCTION("""COMPUTED_VALUE"""),0.67)</f>
        <v>0.67</v>
      </c>
      <c r="U865" s="2">
        <f>IFERROR(__xludf.DUMMYFUNCTION("""COMPUTED_VALUE"""),12.67)</f>
        <v>12.67</v>
      </c>
      <c r="V865" s="1" t="str">
        <f>IFERROR(__xludf.DUMMYFUNCTION("""COMPUTED_VALUE"""),"Rae Erlano")</f>
        <v>Rae Erlano</v>
      </c>
      <c r="W865" s="1" t="str">
        <f>IFERROR(__xludf.DUMMYFUNCTION("""COMPUTED_VALUE"""),"Print Support PH")</f>
        <v>Print Support PH</v>
      </c>
    </row>
    <row r="866">
      <c r="O866" s="1" t="str">
        <f>IFERROR(__xludf.DUMMYFUNCTION("""COMPUTED_VALUE"""),"2025 Sep")</f>
        <v>2025 Sep</v>
      </c>
      <c r="P866" s="1" t="str">
        <f>IFERROR(__xludf.DUMMYFUNCTION("""COMPUTED_VALUE"""),"Print Support")</f>
        <v>Print Support</v>
      </c>
      <c r="Q866" s="1" t="str">
        <f>IFERROR(__xludf.DUMMYFUNCTION("""COMPUTED_VALUE"""),"alyssas@canva.com")</f>
        <v>alyssas@canva.com</v>
      </c>
      <c r="R866" s="1" t="str">
        <f>IFERROR(__xludf.DUMMYFUNCTION("""COMPUTED_VALUE"""),"Alyssa Sunga")</f>
        <v>Alyssa Sunga</v>
      </c>
      <c r="S866" s="1">
        <f>IFERROR(__xludf.DUMMYFUNCTION("""COMPUTED_VALUE"""),5.05)</f>
        <v>5.05</v>
      </c>
      <c r="T866" s="1">
        <f>IFERROR(__xludf.DUMMYFUNCTION("""COMPUTED_VALUE"""),3.5)</f>
        <v>3.5</v>
      </c>
      <c r="U866" s="2">
        <f>IFERROR(__xludf.DUMMYFUNCTION("""COMPUTED_VALUE"""),8.55)</f>
        <v>8.55</v>
      </c>
      <c r="V866" s="1" t="str">
        <f>IFERROR(__xludf.DUMMYFUNCTION("""COMPUTED_VALUE"""),"Althea Mercado")</f>
        <v>Althea Mercado</v>
      </c>
      <c r="W866" s="1" t="str">
        <f>IFERROR(__xludf.DUMMYFUNCTION("""COMPUTED_VALUE"""),"Print Support PH")</f>
        <v>Print Support PH</v>
      </c>
    </row>
    <row r="867">
      <c r="O867" s="1" t="str">
        <f>IFERROR(__xludf.DUMMYFUNCTION("""COMPUTED_VALUE"""),"2025 Sep")</f>
        <v>2025 Sep</v>
      </c>
      <c r="P867" s="1" t="str">
        <f>IFERROR(__xludf.DUMMYFUNCTION("""COMPUTED_VALUE"""),"Print Support")</f>
        <v>Print Support</v>
      </c>
      <c r="Q867" s="1" t="str">
        <f>IFERROR(__xludf.DUMMYFUNCTION("""COMPUTED_VALUE"""),"andrea.g@canva.com")</f>
        <v>andrea.g@canva.com</v>
      </c>
      <c r="R867" s="1" t="str">
        <f>IFERROR(__xludf.DUMMYFUNCTION("""COMPUTED_VALUE"""),"Andrea Gutierrez")</f>
        <v>Andrea Gutierrez</v>
      </c>
      <c r="S867" s="1">
        <f>IFERROR(__xludf.DUMMYFUNCTION("""COMPUTED_VALUE"""),6.75)</f>
        <v>6.75</v>
      </c>
      <c r="T867" s="1">
        <f>IFERROR(__xludf.DUMMYFUNCTION("""COMPUTED_VALUE"""),0.25)</f>
        <v>0.25</v>
      </c>
      <c r="U867" s="2">
        <f>IFERROR(__xludf.DUMMYFUNCTION("""COMPUTED_VALUE"""),7.0)</f>
        <v>7</v>
      </c>
      <c r="V867" s="1" t="str">
        <f>IFERROR(__xludf.DUMMYFUNCTION("""COMPUTED_VALUE"""),"G-Anne Murillo")</f>
        <v>G-Anne Murillo</v>
      </c>
      <c r="W867" s="1" t="str">
        <f>IFERROR(__xludf.DUMMYFUNCTION("""COMPUTED_VALUE"""),"Print Design Support")</f>
        <v>Print Design Support</v>
      </c>
    </row>
    <row r="868">
      <c r="O868" s="1" t="str">
        <f>IFERROR(__xludf.DUMMYFUNCTION("""COMPUTED_VALUE"""),"2025 Sep")</f>
        <v>2025 Sep</v>
      </c>
      <c r="P868" s="1" t="str">
        <f>IFERROR(__xludf.DUMMYFUNCTION("""COMPUTED_VALUE"""),"Print Support")</f>
        <v>Print Support</v>
      </c>
      <c r="Q868" s="1" t="str">
        <f>IFERROR(__xludf.DUMMYFUNCTION("""COMPUTED_VALUE"""),"xandwea@canva.com")</f>
        <v>xandwea@canva.com</v>
      </c>
      <c r="R868" s="1" t="str">
        <f>IFERROR(__xludf.DUMMYFUNCTION("""COMPUTED_VALUE"""),"Andrea Lugtu")</f>
        <v>Andrea Lugtu</v>
      </c>
      <c r="S868" s="1">
        <f>IFERROR(__xludf.DUMMYFUNCTION("""COMPUTED_VALUE"""),6.47)</f>
        <v>6.47</v>
      </c>
      <c r="T868" s="1">
        <f>IFERROR(__xludf.DUMMYFUNCTION("""COMPUTED_VALUE"""),2.75)</f>
        <v>2.75</v>
      </c>
      <c r="U868" s="2">
        <f>IFERROR(__xludf.DUMMYFUNCTION("""COMPUTED_VALUE"""),9.219999999999999)</f>
        <v>9.22</v>
      </c>
      <c r="V868" s="1" t="str">
        <f>IFERROR(__xludf.DUMMYFUNCTION("""COMPUTED_VALUE"""),"Manee Barrasa")</f>
        <v>Manee Barrasa</v>
      </c>
      <c r="W868" s="1" t="str">
        <f>IFERROR(__xludf.DUMMYFUNCTION("""COMPUTED_VALUE"""),"Print Support PH")</f>
        <v>Print Support PH</v>
      </c>
    </row>
    <row r="869">
      <c r="O869" s="1" t="str">
        <f>IFERROR(__xludf.DUMMYFUNCTION("""COMPUTED_VALUE"""),"2025 Sep")</f>
        <v>2025 Sep</v>
      </c>
      <c r="P869" s="1" t="str">
        <f>IFERROR(__xludf.DUMMYFUNCTION("""COMPUTED_VALUE"""),"High Sensitivity Support")</f>
        <v>High Sensitivity Support</v>
      </c>
      <c r="Q869" s="1" t="str">
        <f>IFERROR(__xludf.DUMMYFUNCTION("""COMPUTED_VALUE"""),"andreimg@canva.com")</f>
        <v>andreimg@canva.com</v>
      </c>
      <c r="R869" s="1" t="str">
        <f>IFERROR(__xludf.DUMMYFUNCTION("""COMPUTED_VALUE"""),"Andrei Galutan")</f>
        <v>Andrei Galutan</v>
      </c>
      <c r="S869" s="1">
        <f>IFERROR(__xludf.DUMMYFUNCTION("""COMPUTED_VALUE"""),8.25)</f>
        <v>8.25</v>
      </c>
      <c r="T869" s="1">
        <f>IFERROR(__xludf.DUMMYFUNCTION("""COMPUTED_VALUE"""),9.25)</f>
        <v>9.25</v>
      </c>
      <c r="U869" s="2">
        <f>IFERROR(__xludf.DUMMYFUNCTION("""COMPUTED_VALUE"""),17.5)</f>
        <v>17.5</v>
      </c>
      <c r="V869" s="1" t="str">
        <f>IFERROR(__xludf.DUMMYFUNCTION("""COMPUTED_VALUE"""),"Rex Villamor")</f>
        <v>Rex Villamor</v>
      </c>
      <c r="W869" s="1" t="str">
        <f>IFERROR(__xludf.DUMMYFUNCTION("""COMPUTED_VALUE"""),"Advanced Product Support")</f>
        <v>Advanced Product Support</v>
      </c>
    </row>
    <row r="870">
      <c r="O870" s="1" t="str">
        <f>IFERROR(__xludf.DUMMYFUNCTION("""COMPUTED_VALUE"""),"2025 Sep")</f>
        <v>2025 Sep</v>
      </c>
      <c r="P870" s="1" t="str">
        <f>IFERROR(__xludf.DUMMYFUNCTION("""COMPUTED_VALUE"""),"Core Product Support")</f>
        <v>Core Product Support</v>
      </c>
      <c r="Q870" s="1" t="str">
        <f>IFERROR(__xludf.DUMMYFUNCTION("""COMPUTED_VALUE"""),"aalemania@canva.com")</f>
        <v>aalemania@canva.com</v>
      </c>
      <c r="R870" s="1" t="str">
        <f>IFERROR(__xludf.DUMMYFUNCTION("""COMPUTED_VALUE"""),"Angel Alemania")</f>
        <v>Angel Alemania</v>
      </c>
      <c r="S870" s="1">
        <f>IFERROR(__xludf.DUMMYFUNCTION("""COMPUTED_VALUE"""),1.5)</f>
        <v>1.5</v>
      </c>
      <c r="T870" s="1">
        <f>IFERROR(__xludf.DUMMYFUNCTION("""COMPUTED_VALUE"""),5.25)</f>
        <v>5.25</v>
      </c>
      <c r="U870" s="2">
        <f>IFERROR(__xludf.DUMMYFUNCTION("""COMPUTED_VALUE"""),6.75)</f>
        <v>6.75</v>
      </c>
      <c r="V870" s="1" t="str">
        <f>IFERROR(__xludf.DUMMYFUNCTION("""COMPUTED_VALUE"""),"Sieg Ballelos")</f>
        <v>Sieg Ballelos</v>
      </c>
      <c r="W870" s="1" t="str">
        <f>IFERROR(__xludf.DUMMYFUNCTION("""COMPUTED_VALUE"""),"Core Product Support Escalation Team")</f>
        <v>Core Product Support Escalation Team</v>
      </c>
    </row>
    <row r="871">
      <c r="O871" s="1" t="str">
        <f>IFERROR(__xludf.DUMMYFUNCTION("""COMPUTED_VALUE"""),"2025 Sep")</f>
        <v>2025 Sep</v>
      </c>
      <c r="P871" s="1" t="str">
        <f>IFERROR(__xludf.DUMMYFUNCTION("""COMPUTED_VALUE"""),"Admin Support")</f>
        <v>Admin Support</v>
      </c>
      <c r="Q871" s="1" t="str">
        <f>IFERROR(__xludf.DUMMYFUNCTION("""COMPUTED_VALUE"""),"angelc@canva.com")</f>
        <v>angelc@canva.com</v>
      </c>
      <c r="R871" s="1" t="str">
        <f>IFERROR(__xludf.DUMMYFUNCTION("""COMPUTED_VALUE"""),"Angel Cabrera")</f>
        <v>Angel Cabrera</v>
      </c>
      <c r="S871" s="1"/>
      <c r="T871" s="1">
        <f>IFERROR(__xludf.DUMMYFUNCTION("""COMPUTED_VALUE"""),20.75)</f>
        <v>20.75</v>
      </c>
      <c r="U871" s="2">
        <f>IFERROR(__xludf.DUMMYFUNCTION("""COMPUTED_VALUE"""),20.75)</f>
        <v>20.75</v>
      </c>
      <c r="V871" s="1" t="str">
        <f>IFERROR(__xludf.DUMMYFUNCTION("""COMPUTED_VALUE"""),"Ann Dumlao")</f>
        <v>Ann Dumlao</v>
      </c>
      <c r="W871" s="1" t="str">
        <f>IFERROR(__xludf.DUMMYFUNCTION("""COMPUTED_VALUE"""),"Admin Omni Support")</f>
        <v>Admin Omni Support</v>
      </c>
    </row>
    <row r="872">
      <c r="O872" s="1" t="str">
        <f>IFERROR(__xludf.DUMMYFUNCTION("""COMPUTED_VALUE"""),"2025 Sep")</f>
        <v>2025 Sep</v>
      </c>
      <c r="P872" s="1" t="str">
        <f>IFERROR(__xludf.DUMMYFUNCTION("""COMPUTED_VALUE"""),"Segment-specific Support")</f>
        <v>Segment-specific Support</v>
      </c>
      <c r="Q872" s="1" t="str">
        <f>IFERROR(__xludf.DUMMYFUNCTION("""COMPUTED_VALUE"""),"angelheart@canva.com")</f>
        <v>angelheart@canva.com</v>
      </c>
      <c r="R872" s="1" t="str">
        <f>IFERROR(__xludf.DUMMYFUNCTION("""COMPUTED_VALUE"""),"Angel Heart Santos")</f>
        <v>Angel Heart Santos</v>
      </c>
      <c r="S872" s="1">
        <f>IFERROR(__xludf.DUMMYFUNCTION("""COMPUTED_VALUE"""),2.5)</f>
        <v>2.5</v>
      </c>
      <c r="T872" s="1">
        <f>IFERROR(__xludf.DUMMYFUNCTION("""COMPUTED_VALUE"""),1.0)</f>
        <v>1</v>
      </c>
      <c r="U872" s="2">
        <f>IFERROR(__xludf.DUMMYFUNCTION("""COMPUTED_VALUE"""),3.5)</f>
        <v>3.5</v>
      </c>
      <c r="V872" s="1" t="str">
        <f>IFERROR(__xludf.DUMMYFUNCTION("""COMPUTED_VALUE"""),"Jonathan Dimaculangan")</f>
        <v>Jonathan Dimaculangan</v>
      </c>
      <c r="W872" s="1" t="str">
        <f>IFERROR(__xludf.DUMMYFUNCTION("""COMPUTED_VALUE"""),"Flourish Support")</f>
        <v>Flourish Support</v>
      </c>
    </row>
    <row r="873">
      <c r="O873" s="1" t="str">
        <f>IFERROR(__xludf.DUMMYFUNCTION("""COMPUTED_VALUE"""),"2025 Sep")</f>
        <v>2025 Sep</v>
      </c>
      <c r="P873" s="1" t="str">
        <f>IFERROR(__xludf.DUMMYFUNCTION("""COMPUTED_VALUE"""),"Core Product Support")</f>
        <v>Core Product Support</v>
      </c>
      <c r="Q873" s="1" t="str">
        <f>IFERROR(__xludf.DUMMYFUNCTION("""COMPUTED_VALUE"""),"angelm@canva.com")</f>
        <v>angelm@canva.com</v>
      </c>
      <c r="R873" s="1" t="str">
        <f>IFERROR(__xludf.DUMMYFUNCTION("""COMPUTED_VALUE"""),"Angel Medina")</f>
        <v>Angel Medina</v>
      </c>
      <c r="S873" s="1">
        <f>IFERROR(__xludf.DUMMYFUNCTION("""COMPUTED_VALUE"""),1.5)</f>
        <v>1.5</v>
      </c>
      <c r="T873" s="1">
        <f>IFERROR(__xludf.DUMMYFUNCTION("""COMPUTED_VALUE"""),2.25)</f>
        <v>2.25</v>
      </c>
      <c r="U873" s="2">
        <f>IFERROR(__xludf.DUMMYFUNCTION("""COMPUTED_VALUE"""),3.75)</f>
        <v>3.75</v>
      </c>
      <c r="V873" s="1" t="str">
        <f>IFERROR(__xludf.DUMMYFUNCTION("""COMPUTED_VALUE"""),"Ellaine Estayo")</f>
        <v>Ellaine Estayo</v>
      </c>
      <c r="W873" s="1" t="str">
        <f>IFERROR(__xludf.DUMMYFUNCTION("""COMPUTED_VALUE"""),"Core Product Support Escalation Team")</f>
        <v>Core Product Support Escalation Team</v>
      </c>
    </row>
    <row r="874">
      <c r="O874" s="1" t="str">
        <f>IFERROR(__xludf.DUMMYFUNCTION("""COMPUTED_VALUE"""),"2025 Sep")</f>
        <v>2025 Sep</v>
      </c>
      <c r="P874" s="1" t="str">
        <f>IFERROR(__xludf.DUMMYFUNCTION("""COMPUTED_VALUE"""),"Print Support")</f>
        <v>Print Support</v>
      </c>
      <c r="Q874" s="1" t="str">
        <f>IFERROR(__xludf.DUMMYFUNCTION("""COMPUTED_VALUE"""),"angelf@canva.com")</f>
        <v>angelf@canva.com</v>
      </c>
      <c r="R874" s="1" t="str">
        <f>IFERROR(__xludf.DUMMYFUNCTION("""COMPUTED_VALUE"""),"Angel Merilleno")</f>
        <v>Angel Merilleno</v>
      </c>
      <c r="S874" s="1">
        <f>IFERROR(__xludf.DUMMYFUNCTION("""COMPUTED_VALUE"""),7.25)</f>
        <v>7.25</v>
      </c>
      <c r="T874" s="1">
        <f>IFERROR(__xludf.DUMMYFUNCTION("""COMPUTED_VALUE"""),3.19)</f>
        <v>3.19</v>
      </c>
      <c r="U874" s="2">
        <f>IFERROR(__xludf.DUMMYFUNCTION("""COMPUTED_VALUE"""),10.44)</f>
        <v>10.44</v>
      </c>
      <c r="V874" s="1" t="str">
        <f>IFERROR(__xludf.DUMMYFUNCTION("""COMPUTED_VALUE"""),"Louise Dianne Estrella")</f>
        <v>Louise Dianne Estrella</v>
      </c>
      <c r="W874" s="1" t="str">
        <f>IFERROR(__xludf.DUMMYFUNCTION("""COMPUTED_VALUE"""),"Print Support PH")</f>
        <v>Print Support PH</v>
      </c>
    </row>
    <row r="875">
      <c r="O875" s="1" t="str">
        <f>IFERROR(__xludf.DUMMYFUNCTION("""COMPUTED_VALUE"""),"2025 Sep")</f>
        <v>2025 Sep</v>
      </c>
      <c r="P875" s="1" t="str">
        <f>IFERROR(__xludf.DUMMYFUNCTION("""COMPUTED_VALUE"""),"Core Product Support")</f>
        <v>Core Product Support</v>
      </c>
      <c r="Q875" s="1" t="str">
        <f>IFERROR(__xludf.DUMMYFUNCTION("""COMPUTED_VALUE"""),"angelic@canva.com")</f>
        <v>angelic@canva.com</v>
      </c>
      <c r="R875" s="1" t="str">
        <f>IFERROR(__xludf.DUMMYFUNCTION("""COMPUTED_VALUE"""),"Angel Ramas")</f>
        <v>Angel Ramas</v>
      </c>
      <c r="S875" s="1">
        <f>IFERROR(__xludf.DUMMYFUNCTION("""COMPUTED_VALUE"""),1.5)</f>
        <v>1.5</v>
      </c>
      <c r="T875" s="1">
        <f>IFERROR(__xludf.DUMMYFUNCTION("""COMPUTED_VALUE"""),7.92)</f>
        <v>7.92</v>
      </c>
      <c r="U875" s="2">
        <f>IFERROR(__xludf.DUMMYFUNCTION("""COMPUTED_VALUE"""),9.42)</f>
        <v>9.42</v>
      </c>
      <c r="V875" s="1" t="str">
        <f>IFERROR(__xludf.DUMMYFUNCTION("""COMPUTED_VALUE"""),"Marie Mordeno")</f>
        <v>Marie Mordeno</v>
      </c>
      <c r="W875" s="1" t="str">
        <f>IFERROR(__xludf.DUMMYFUNCTION("""COMPUTED_VALUE"""),"Advanced Billing &amp; Subscriptions")</f>
        <v>Advanced Billing &amp; Subscriptions</v>
      </c>
    </row>
    <row r="876">
      <c r="O876" s="1" t="str">
        <f>IFERROR(__xludf.DUMMYFUNCTION("""COMPUTED_VALUE"""),"2025 Sep")</f>
        <v>2025 Sep</v>
      </c>
      <c r="P876" s="1" t="str">
        <f>IFERROR(__xludf.DUMMYFUNCTION("""COMPUTED_VALUE"""),"Segment-specific Support")</f>
        <v>Segment-specific Support</v>
      </c>
      <c r="Q876" s="1" t="str">
        <f>IFERROR(__xludf.DUMMYFUNCTION("""COMPUTED_VALUE"""),"adflora@canva.com")</f>
        <v>adflora@canva.com</v>
      </c>
      <c r="R876" s="1" t="str">
        <f>IFERROR(__xludf.DUMMYFUNCTION("""COMPUTED_VALUE"""),"Angela Flora")</f>
        <v>Angela Flora</v>
      </c>
      <c r="S876" s="1">
        <f>IFERROR(__xludf.DUMMYFUNCTION("""COMPUTED_VALUE"""),4.5)</f>
        <v>4.5</v>
      </c>
      <c r="T876" s="1">
        <f>IFERROR(__xludf.DUMMYFUNCTION("""COMPUTED_VALUE"""),0.75)</f>
        <v>0.75</v>
      </c>
      <c r="U876" s="2">
        <f>IFERROR(__xludf.DUMMYFUNCTION("""COMPUTED_VALUE"""),5.25)</f>
        <v>5.25</v>
      </c>
      <c r="V876" s="1" t="str">
        <f>IFERROR(__xludf.DUMMYFUNCTION("""COMPUTED_VALUE"""),"Gucci Nava")</f>
        <v>Gucci Nava</v>
      </c>
      <c r="W876" s="1" t="str">
        <f>IFERROR(__xludf.DUMMYFUNCTION("""COMPUTED_VALUE"""),"Print Support PH")</f>
        <v>Print Support PH</v>
      </c>
    </row>
    <row r="877">
      <c r="O877" s="1" t="str">
        <f>IFERROR(__xludf.DUMMYFUNCTION("""COMPUTED_VALUE"""),"2025 Sep")</f>
        <v>2025 Sep</v>
      </c>
      <c r="P877" s="1" t="str">
        <f>IFERROR(__xludf.DUMMYFUNCTION("""COMPUTED_VALUE"""),"Core Product Support")</f>
        <v>Core Product Support</v>
      </c>
      <c r="Q877" s="1" t="str">
        <f>IFERROR(__xludf.DUMMYFUNCTION("""COMPUTED_VALUE"""),"annaalberto@canva.com")</f>
        <v>annaalberto@canva.com</v>
      </c>
      <c r="R877" s="1" t="str">
        <f>IFERROR(__xludf.DUMMYFUNCTION("""COMPUTED_VALUE"""),"Anna Alberto-Felipe")</f>
        <v>Anna Alberto-Felipe</v>
      </c>
      <c r="S877" s="1">
        <f>IFERROR(__xludf.DUMMYFUNCTION("""COMPUTED_VALUE"""),0.33)</f>
        <v>0.33</v>
      </c>
      <c r="T877" s="1">
        <f>IFERROR(__xludf.DUMMYFUNCTION("""COMPUTED_VALUE"""),5.17)</f>
        <v>5.17</v>
      </c>
      <c r="U877" s="2">
        <f>IFERROR(__xludf.DUMMYFUNCTION("""COMPUTED_VALUE"""),5.5)</f>
        <v>5.5</v>
      </c>
      <c r="V877" s="1" t="str">
        <f>IFERROR(__xludf.DUMMYFUNCTION("""COMPUTED_VALUE"""),"Jahmie Mae Barrameda")</f>
        <v>Jahmie Mae Barrameda</v>
      </c>
      <c r="W877" s="1" t="str">
        <f>IFERROR(__xludf.DUMMYFUNCTION("""COMPUTED_VALUE"""),"Advanced Billing &amp; Subscriptions")</f>
        <v>Advanced Billing &amp; Subscriptions</v>
      </c>
    </row>
    <row r="878">
      <c r="O878" s="1" t="str">
        <f>IFERROR(__xludf.DUMMYFUNCTION("""COMPUTED_VALUE"""),"2025 Sep")</f>
        <v>2025 Sep</v>
      </c>
      <c r="P878" s="1" t="str">
        <f>IFERROR(__xludf.DUMMYFUNCTION("""COMPUTED_VALUE"""),"Print Support")</f>
        <v>Print Support</v>
      </c>
      <c r="Q878" s="1" t="str">
        <f>IFERROR(__xludf.DUMMYFUNCTION("""COMPUTED_VALUE"""),"arcelie@canva.com")</f>
        <v>arcelie@canva.com</v>
      </c>
      <c r="R878" s="1" t="str">
        <f>IFERROR(__xludf.DUMMYFUNCTION("""COMPUTED_VALUE"""),"Arcie San Pedro")</f>
        <v>Arcie San Pedro</v>
      </c>
      <c r="S878" s="1">
        <f>IFERROR(__xludf.DUMMYFUNCTION("""COMPUTED_VALUE"""),15.25)</f>
        <v>15.25</v>
      </c>
      <c r="T878" s="1">
        <f>IFERROR(__xludf.DUMMYFUNCTION("""COMPUTED_VALUE"""),1.5)</f>
        <v>1.5</v>
      </c>
      <c r="U878" s="2">
        <f>IFERROR(__xludf.DUMMYFUNCTION("""COMPUTED_VALUE"""),16.75)</f>
        <v>16.75</v>
      </c>
      <c r="V878" s="1" t="str">
        <f>IFERROR(__xludf.DUMMYFUNCTION("""COMPUTED_VALUE"""),"Rae Erlano")</f>
        <v>Rae Erlano</v>
      </c>
      <c r="W878" s="1" t="str">
        <f>IFERROR(__xludf.DUMMYFUNCTION("""COMPUTED_VALUE"""),"Print Support PH")</f>
        <v>Print Support PH</v>
      </c>
    </row>
    <row r="879">
      <c r="O879" s="1" t="str">
        <f>IFERROR(__xludf.DUMMYFUNCTION("""COMPUTED_VALUE"""),"2025 Sep")</f>
        <v>2025 Sep</v>
      </c>
      <c r="P879" s="1" t="str">
        <f>IFERROR(__xludf.DUMMYFUNCTION("""COMPUTED_VALUE"""),"#N/A")</f>
        <v>#N/A</v>
      </c>
      <c r="Q879" s="1" t="str">
        <f>IFERROR(__xludf.DUMMYFUNCTION("""COMPUTED_VALUE"""),"ariellejoy@canva.com")</f>
        <v>ariellejoy@canva.com</v>
      </c>
      <c r="R879" s="1" t="str">
        <f>IFERROR(__xludf.DUMMYFUNCTION("""COMPUTED_VALUE"""),"Arielle Joy Goboleo")</f>
        <v>Arielle Joy Goboleo</v>
      </c>
      <c r="S879" s="1">
        <f>IFERROR(__xludf.DUMMYFUNCTION("""COMPUTED_VALUE"""),6.75)</f>
        <v>6.75</v>
      </c>
      <c r="T879" s="1">
        <f>IFERROR(__xludf.DUMMYFUNCTION("""COMPUTED_VALUE"""),0.5)</f>
        <v>0.5</v>
      </c>
      <c r="U879" s="2">
        <f>IFERROR(__xludf.DUMMYFUNCTION("""COMPUTED_VALUE"""),7.25)</f>
        <v>7.25</v>
      </c>
      <c r="V879" s="1" t="str">
        <f>IFERROR(__xludf.DUMMYFUNCTION("""COMPUTED_VALUE"""),"Rae Erlano")</f>
        <v>Rae Erlano</v>
      </c>
      <c r="W879" s="1" t="str">
        <f>IFERROR(__xludf.DUMMYFUNCTION("""COMPUTED_VALUE"""),"Print Support PH")</f>
        <v>Print Support PH</v>
      </c>
    </row>
    <row r="880">
      <c r="O880" s="1" t="str">
        <f>IFERROR(__xludf.DUMMYFUNCTION("""COMPUTED_VALUE"""),"2025 Sep")</f>
        <v>2025 Sep</v>
      </c>
      <c r="P880" s="1" t="str">
        <f>IFERROR(__xludf.DUMMYFUNCTION("""COMPUTED_VALUE"""),"Print Support")</f>
        <v>Print Support</v>
      </c>
      <c r="Q880" s="1" t="str">
        <f>IFERROR(__xludf.DUMMYFUNCTION("""COMPUTED_VALUE"""),"arjane@canva.com")</f>
        <v>arjane@canva.com</v>
      </c>
      <c r="R880" s="1" t="str">
        <f>IFERROR(__xludf.DUMMYFUNCTION("""COMPUTED_VALUE"""),"Arjane Oliva")</f>
        <v>Arjane Oliva</v>
      </c>
      <c r="S880" s="1">
        <f>IFERROR(__xludf.DUMMYFUNCTION("""COMPUTED_VALUE"""),7.25)</f>
        <v>7.25</v>
      </c>
      <c r="T880" s="1">
        <f>IFERROR(__xludf.DUMMYFUNCTION("""COMPUTED_VALUE"""),0.0)</f>
        <v>0</v>
      </c>
      <c r="U880" s="2">
        <f>IFERROR(__xludf.DUMMYFUNCTION("""COMPUTED_VALUE"""),7.25)</f>
        <v>7.25</v>
      </c>
      <c r="V880" s="1" t="str">
        <f>IFERROR(__xludf.DUMMYFUNCTION("""COMPUTED_VALUE"""),"Rei De Jesus")</f>
        <v>Rei De Jesus</v>
      </c>
      <c r="W880" s="1" t="str">
        <f>IFERROR(__xludf.DUMMYFUNCTION("""COMPUTED_VALUE"""),"Print Design Support")</f>
        <v>Print Design Support</v>
      </c>
    </row>
    <row r="881">
      <c r="O881" s="1" t="str">
        <f>IFERROR(__xludf.DUMMYFUNCTION("""COMPUTED_VALUE"""),"2025 Sep")</f>
        <v>2025 Sep</v>
      </c>
      <c r="P881" s="1" t="str">
        <f>IFERROR(__xludf.DUMMYFUNCTION("""COMPUTED_VALUE"""),"High Sensitivity Support")</f>
        <v>High Sensitivity Support</v>
      </c>
      <c r="Q881" s="1" t="str">
        <f>IFERROR(__xludf.DUMMYFUNCTION("""COMPUTED_VALUE"""),"arodes@canva.com")</f>
        <v>arodes@canva.com</v>
      </c>
      <c r="R881" s="1" t="str">
        <f>IFERROR(__xludf.DUMMYFUNCTION("""COMPUTED_VALUE"""),"Arriane Rodes")</f>
        <v>Arriane Rodes</v>
      </c>
      <c r="S881" s="1">
        <f>IFERROR(__xludf.DUMMYFUNCTION("""COMPUTED_VALUE"""),10.75)</f>
        <v>10.75</v>
      </c>
      <c r="T881" s="1">
        <f>IFERROR(__xludf.DUMMYFUNCTION("""COMPUTED_VALUE"""),6.25)</f>
        <v>6.25</v>
      </c>
      <c r="U881" s="2">
        <f>IFERROR(__xludf.DUMMYFUNCTION("""COMPUTED_VALUE"""),17.0)</f>
        <v>17</v>
      </c>
      <c r="V881" s="1" t="str">
        <f>IFERROR(__xludf.DUMMYFUNCTION("""COMPUTED_VALUE"""),"Xandy Azarcon")</f>
        <v>Xandy Azarcon</v>
      </c>
      <c r="W881" s="1" t="str">
        <f>IFERROR(__xludf.DUMMYFUNCTION("""COMPUTED_VALUE"""),"High Sensitivity Support PH")</f>
        <v>High Sensitivity Support PH</v>
      </c>
    </row>
    <row r="882">
      <c r="O882" s="1" t="str">
        <f>IFERROR(__xludf.DUMMYFUNCTION("""COMPUTED_VALUE"""),"2025 Sep")</f>
        <v>2025 Sep</v>
      </c>
      <c r="P882" s="1" t="str">
        <f>IFERROR(__xludf.DUMMYFUNCTION("""COMPUTED_VALUE"""),"Admin Support")</f>
        <v>Admin Support</v>
      </c>
      <c r="Q882" s="1" t="str">
        <f>IFERROR(__xludf.DUMMYFUNCTION("""COMPUTED_VALUE"""),"ashli@canva.com")</f>
        <v>ashli@canva.com</v>
      </c>
      <c r="R882" s="1" t="str">
        <f>IFERROR(__xludf.DUMMYFUNCTION("""COMPUTED_VALUE"""),"Ashli Hanson")</f>
        <v>Ashli Hanson</v>
      </c>
      <c r="S882" s="1">
        <f>IFERROR(__xludf.DUMMYFUNCTION("""COMPUTED_VALUE"""),1.0)</f>
        <v>1</v>
      </c>
      <c r="T882" s="1">
        <f>IFERROR(__xludf.DUMMYFUNCTION("""COMPUTED_VALUE"""),2.25)</f>
        <v>2.25</v>
      </c>
      <c r="U882" s="2">
        <f>IFERROR(__xludf.DUMMYFUNCTION("""COMPUTED_VALUE"""),3.25)</f>
        <v>3.25</v>
      </c>
      <c r="V882" s="1" t="str">
        <f>IFERROR(__xludf.DUMMYFUNCTION("""COMPUTED_VALUE"""),"Nate Vela")</f>
        <v>Nate Vela</v>
      </c>
      <c r="W882" s="1" t="str">
        <f>IFERROR(__xludf.DUMMYFUNCTION("""COMPUTED_VALUE"""),"Admin Support NA")</f>
        <v>Admin Support NA</v>
      </c>
    </row>
    <row r="883">
      <c r="O883" s="1" t="str">
        <f>IFERROR(__xludf.DUMMYFUNCTION("""COMPUTED_VALUE"""),"2025 Sep")</f>
        <v>2025 Sep</v>
      </c>
      <c r="P883" s="1" t="str">
        <f>IFERROR(__xludf.DUMMYFUNCTION("""COMPUTED_VALUE"""),"High Sensitivity Support")</f>
        <v>High Sensitivity Support</v>
      </c>
      <c r="Q883" s="1" t="str">
        <f>IFERROR(__xludf.DUMMYFUNCTION("""COMPUTED_VALUE"""),"aubrey@canva.com")</f>
        <v>aubrey@canva.com</v>
      </c>
      <c r="R883" s="1" t="str">
        <f>IFERROR(__xludf.DUMMYFUNCTION("""COMPUTED_VALUE"""),"Aubrey Jasme")</f>
        <v>Aubrey Jasme</v>
      </c>
      <c r="S883" s="1">
        <f>IFERROR(__xludf.DUMMYFUNCTION("""COMPUTED_VALUE"""),4.0)</f>
        <v>4</v>
      </c>
      <c r="T883" s="1">
        <f>IFERROR(__xludf.DUMMYFUNCTION("""COMPUTED_VALUE"""),6.7)</f>
        <v>6.7</v>
      </c>
      <c r="U883" s="2">
        <f>IFERROR(__xludf.DUMMYFUNCTION("""COMPUTED_VALUE"""),10.7)</f>
        <v>10.7</v>
      </c>
      <c r="V883" s="1" t="str">
        <f>IFERROR(__xludf.DUMMYFUNCTION("""COMPUTED_VALUE"""),"Rex Villamor")</f>
        <v>Rex Villamor</v>
      </c>
      <c r="W883" s="1" t="str">
        <f>IFERROR(__xludf.DUMMYFUNCTION("""COMPUTED_VALUE"""),"High Sensitivity Support PH")</f>
        <v>High Sensitivity Support PH</v>
      </c>
    </row>
    <row r="884">
      <c r="O884" s="1" t="str">
        <f>IFERROR(__xludf.DUMMYFUNCTION("""COMPUTED_VALUE"""),"2025 Sep")</f>
        <v>2025 Sep</v>
      </c>
      <c r="P884" s="1" t="str">
        <f>IFERROR(__xludf.DUMMYFUNCTION("""COMPUTED_VALUE"""),"Core Product Support")</f>
        <v>Core Product Support</v>
      </c>
      <c r="Q884" s="1" t="str">
        <f>IFERROR(__xludf.DUMMYFUNCTION("""COMPUTED_VALUE"""),"ayen@canva.com")</f>
        <v>ayen@canva.com</v>
      </c>
      <c r="R884" s="1" t="str">
        <f>IFERROR(__xludf.DUMMYFUNCTION("""COMPUTED_VALUE"""),"Ayen Realeza")</f>
        <v>Ayen Realeza</v>
      </c>
      <c r="S884" s="1">
        <f>IFERROR(__xludf.DUMMYFUNCTION("""COMPUTED_VALUE"""),1.0)</f>
        <v>1</v>
      </c>
      <c r="T884" s="1">
        <f>IFERROR(__xludf.DUMMYFUNCTION("""COMPUTED_VALUE"""),2.5)</f>
        <v>2.5</v>
      </c>
      <c r="U884" s="2">
        <f>IFERROR(__xludf.DUMMYFUNCTION("""COMPUTED_VALUE"""),3.5)</f>
        <v>3.5</v>
      </c>
      <c r="V884" s="1" t="str">
        <f>IFERROR(__xludf.DUMMYFUNCTION("""COMPUTED_VALUE"""),"Jelyn Elmido")</f>
        <v>Jelyn Elmido</v>
      </c>
      <c r="W884" s="1" t="str">
        <f>IFERROR(__xludf.DUMMYFUNCTION("""COMPUTED_VALUE"""),"Core Product Support Escalation Team")</f>
        <v>Core Product Support Escalation Team</v>
      </c>
    </row>
    <row r="885">
      <c r="O885" s="1" t="str">
        <f>IFERROR(__xludf.DUMMYFUNCTION("""COMPUTED_VALUE"""),"2025 Sep")</f>
        <v>2025 Sep</v>
      </c>
      <c r="P885" s="1" t="str">
        <f>IFERROR(__xludf.DUMMYFUNCTION("""COMPUTED_VALUE"""),"#N/A")</f>
        <v>#N/A</v>
      </c>
      <c r="Q885" s="1" t="str">
        <f>IFERROR(__xludf.DUMMYFUNCTION("""COMPUTED_VALUE"""),"bamboo@canva.com")</f>
        <v>bamboo@canva.com</v>
      </c>
      <c r="R885" s="1" t="str">
        <f>IFERROR(__xludf.DUMMYFUNCTION("""COMPUTED_VALUE"""),"Bamboo Reymundo")</f>
        <v>Bamboo Reymundo</v>
      </c>
      <c r="S885" s="1">
        <f>IFERROR(__xludf.DUMMYFUNCTION("""COMPUTED_VALUE"""),1.0)</f>
        <v>1</v>
      </c>
      <c r="T885" s="1">
        <f>IFERROR(__xludf.DUMMYFUNCTION("""COMPUTED_VALUE"""),3.75)</f>
        <v>3.75</v>
      </c>
      <c r="U885" s="2">
        <f>IFERROR(__xludf.DUMMYFUNCTION("""COMPUTED_VALUE"""),4.75)</f>
        <v>4.75</v>
      </c>
      <c r="V885" s="1" t="str">
        <f>IFERROR(__xludf.DUMMYFUNCTION("""COMPUTED_VALUE"""),"Marie Mordeno")</f>
        <v>Marie Mordeno</v>
      </c>
      <c r="W885" s="1" t="str">
        <f>IFERROR(__xludf.DUMMYFUNCTION("""COMPUTED_VALUE"""),"Advanced Billing &amp; Subscriptions")</f>
        <v>Advanced Billing &amp; Subscriptions</v>
      </c>
    </row>
    <row r="886">
      <c r="O886" s="1" t="str">
        <f>IFERROR(__xludf.DUMMYFUNCTION("""COMPUTED_VALUE"""),"2025 Sep")</f>
        <v>2025 Sep</v>
      </c>
      <c r="P886" s="1" t="str">
        <f>IFERROR(__xludf.DUMMYFUNCTION("""COMPUTED_VALUE"""),"Print Support")</f>
        <v>Print Support</v>
      </c>
      <c r="Q886" s="1" t="str">
        <f>IFERROR(__xludf.DUMMYFUNCTION("""COMPUTED_VALUE"""),"jborreros@canva.com")</f>
        <v>jborreros@canva.com</v>
      </c>
      <c r="R886" s="1" t="str">
        <f>IFERROR(__xludf.DUMMYFUNCTION("""COMPUTED_VALUE"""),"Bea Borreros")</f>
        <v>Bea Borreros</v>
      </c>
      <c r="S886" s="1">
        <f>IFERROR(__xludf.DUMMYFUNCTION("""COMPUTED_VALUE"""),16.0)</f>
        <v>16</v>
      </c>
      <c r="T886" s="1">
        <f>IFERROR(__xludf.DUMMYFUNCTION("""COMPUTED_VALUE"""),0.0)</f>
        <v>0</v>
      </c>
      <c r="U886" s="2">
        <f>IFERROR(__xludf.DUMMYFUNCTION("""COMPUTED_VALUE"""),16.0)</f>
        <v>16</v>
      </c>
      <c r="V886" s="1" t="str">
        <f>IFERROR(__xludf.DUMMYFUNCTION("""COMPUTED_VALUE"""),"Memae Faustino")</f>
        <v>Memae Faustino</v>
      </c>
      <c r="W886" s="1" t="str">
        <f>IFERROR(__xludf.DUMMYFUNCTION("""COMPUTED_VALUE"""),"Print Support PH")</f>
        <v>Print Support PH</v>
      </c>
    </row>
    <row r="887">
      <c r="O887" s="1" t="str">
        <f>IFERROR(__xludf.DUMMYFUNCTION("""COMPUTED_VALUE"""),"2025 Sep")</f>
        <v>2025 Sep</v>
      </c>
      <c r="P887" s="1" t="str">
        <f>IFERROR(__xludf.DUMMYFUNCTION("""COMPUTED_VALUE"""),"Print Support")</f>
        <v>Print Support</v>
      </c>
      <c r="Q887" s="1" t="str">
        <f>IFERROR(__xludf.DUMMYFUNCTION("""COMPUTED_VALUE"""),"bea@canva.com")</f>
        <v>bea@canva.com</v>
      </c>
      <c r="R887" s="1" t="str">
        <f>IFERROR(__xludf.DUMMYFUNCTION("""COMPUTED_VALUE"""),"Bea Mendoza")</f>
        <v>Bea Mendoza</v>
      </c>
      <c r="S887" s="1">
        <f>IFERROR(__xludf.DUMMYFUNCTION("""COMPUTED_VALUE"""),4.25)</f>
        <v>4.25</v>
      </c>
      <c r="T887" s="1">
        <f>IFERROR(__xludf.DUMMYFUNCTION("""COMPUTED_VALUE"""),0.25)</f>
        <v>0.25</v>
      </c>
      <c r="U887" s="2">
        <f>IFERROR(__xludf.DUMMYFUNCTION("""COMPUTED_VALUE"""),4.5)</f>
        <v>4.5</v>
      </c>
      <c r="V887" s="1" t="str">
        <f>IFERROR(__xludf.DUMMYFUNCTION("""COMPUTED_VALUE"""),"Aliza Dote")</f>
        <v>Aliza Dote</v>
      </c>
      <c r="W887" s="1" t="str">
        <f>IFERROR(__xludf.DUMMYFUNCTION("""COMPUTED_VALUE"""),"Print Design Support")</f>
        <v>Print Design Support</v>
      </c>
    </row>
    <row r="888">
      <c r="O888" s="1" t="str">
        <f>IFERROR(__xludf.DUMMYFUNCTION("""COMPUTED_VALUE"""),"2025 Sep")</f>
        <v>2025 Sep</v>
      </c>
      <c r="P888" s="1" t="str">
        <f>IFERROR(__xludf.DUMMYFUNCTION("""COMPUTED_VALUE"""),"Core Product Support")</f>
        <v>Core Product Support</v>
      </c>
      <c r="Q888" s="1" t="str">
        <f>IFERROR(__xludf.DUMMYFUNCTION("""COMPUTED_VALUE"""),"beanyvince@canva.com")</f>
        <v>beanyvince@canva.com</v>
      </c>
      <c r="R888" s="1" t="str">
        <f>IFERROR(__xludf.DUMMYFUNCTION("""COMPUTED_VALUE"""),"Beany Rodriguez")</f>
        <v>Beany Rodriguez</v>
      </c>
      <c r="S888" s="1">
        <f>IFERROR(__xludf.DUMMYFUNCTION("""COMPUTED_VALUE"""),6.5)</f>
        <v>6.5</v>
      </c>
      <c r="T888" s="1">
        <f>IFERROR(__xludf.DUMMYFUNCTION("""COMPUTED_VALUE"""),52.5)</f>
        <v>52.5</v>
      </c>
      <c r="U888" s="2">
        <f>IFERROR(__xludf.DUMMYFUNCTION("""COMPUTED_VALUE"""),59.0)</f>
        <v>59</v>
      </c>
      <c r="V888" s="1" t="str">
        <f>IFERROR(__xludf.DUMMYFUNCTION("""COMPUTED_VALUE"""),"Cate Velasco")</f>
        <v>Cate Velasco</v>
      </c>
      <c r="W888" s="1" t="str">
        <f>IFERROR(__xludf.DUMMYFUNCTION("""COMPUTED_VALUE"""),"Advanced Product Support")</f>
        <v>Advanced Product Support</v>
      </c>
    </row>
    <row r="889">
      <c r="O889" s="1" t="str">
        <f>IFERROR(__xludf.DUMMYFUNCTION("""COMPUTED_VALUE"""),"2025 Sep")</f>
        <v>2025 Sep</v>
      </c>
      <c r="P889" s="1" t="str">
        <f>IFERROR(__xludf.DUMMYFUNCTION("""COMPUTED_VALUE"""),"Print Support")</f>
        <v>Print Support</v>
      </c>
      <c r="Q889" s="1" t="str">
        <f>IFERROR(__xludf.DUMMYFUNCTION("""COMPUTED_VALUE"""),"bembiellanza@canva.com")</f>
        <v>bembiellanza@canva.com</v>
      </c>
      <c r="R889" s="1" t="str">
        <f>IFERROR(__xludf.DUMMYFUNCTION("""COMPUTED_VALUE"""),"Bembie Llanza")</f>
        <v>Bembie Llanza</v>
      </c>
      <c r="S889" s="1">
        <f>IFERROR(__xludf.DUMMYFUNCTION("""COMPUTED_VALUE"""),4.0)</f>
        <v>4</v>
      </c>
      <c r="T889" s="1">
        <f>IFERROR(__xludf.DUMMYFUNCTION("""COMPUTED_VALUE"""),1.0)</f>
        <v>1</v>
      </c>
      <c r="U889" s="2">
        <f>IFERROR(__xludf.DUMMYFUNCTION("""COMPUTED_VALUE"""),5.0)</f>
        <v>5</v>
      </c>
      <c r="V889" s="1" t="str">
        <f>IFERROR(__xludf.DUMMYFUNCTION("""COMPUTED_VALUE"""),"Althea Mercado")</f>
        <v>Althea Mercado</v>
      </c>
      <c r="W889" s="1" t="str">
        <f>IFERROR(__xludf.DUMMYFUNCTION("""COMPUTED_VALUE"""),"Print Support PH")</f>
        <v>Print Support PH</v>
      </c>
    </row>
    <row r="890">
      <c r="O890" s="1" t="str">
        <f>IFERROR(__xludf.DUMMYFUNCTION("""COMPUTED_VALUE"""),"2025 Sep")</f>
        <v>2025 Sep</v>
      </c>
      <c r="P890" s="1" t="str">
        <f>IFERROR(__xludf.DUMMYFUNCTION("""COMPUTED_VALUE"""),"Segment-specific Support")</f>
        <v>Segment-specific Support</v>
      </c>
      <c r="Q890" s="1" t="str">
        <f>IFERROR(__xludf.DUMMYFUNCTION("""COMPUTED_VALUE"""),"bernice@canva.com")</f>
        <v>bernice@canva.com</v>
      </c>
      <c r="R890" s="1" t="str">
        <f>IFERROR(__xludf.DUMMYFUNCTION("""COMPUTED_VALUE"""),"Bernice Talosig")</f>
        <v>Bernice Talosig</v>
      </c>
      <c r="S890" s="1">
        <f>IFERROR(__xludf.DUMMYFUNCTION("""COMPUTED_VALUE"""),1.98)</f>
        <v>1.98</v>
      </c>
      <c r="T890" s="1">
        <f>IFERROR(__xludf.DUMMYFUNCTION("""COMPUTED_VALUE"""),1.78)</f>
        <v>1.78</v>
      </c>
      <c r="U890" s="2">
        <f>IFERROR(__xludf.DUMMYFUNCTION("""COMPUTED_VALUE"""),3.76)</f>
        <v>3.76</v>
      </c>
      <c r="V890" s="1" t="str">
        <f>IFERROR(__xludf.DUMMYFUNCTION("""COMPUTED_VALUE"""),"Gucci Nava")</f>
        <v>Gucci Nava</v>
      </c>
      <c r="W890" s="1" t="str">
        <f>IFERROR(__xludf.DUMMYFUNCTION("""COMPUTED_VALUE"""),"Affinity Support")</f>
        <v>Affinity Support</v>
      </c>
    </row>
    <row r="891">
      <c r="O891" s="1" t="str">
        <f>IFERROR(__xludf.DUMMYFUNCTION("""COMPUTED_VALUE"""),"2025 Sep")</f>
        <v>2025 Sep</v>
      </c>
      <c r="P891" s="1" t="str">
        <f>IFERROR(__xludf.DUMMYFUNCTION("""COMPUTED_VALUE"""),"Core Product Support")</f>
        <v>Core Product Support</v>
      </c>
      <c r="Q891" s="1" t="str">
        <f>IFERROR(__xludf.DUMMYFUNCTION("""COMPUTED_VALUE"""),"beverlymarie@canva.com")</f>
        <v>beverlymarie@canva.com</v>
      </c>
      <c r="R891" s="1" t="str">
        <f>IFERROR(__xludf.DUMMYFUNCTION("""COMPUTED_VALUE"""),"Bev Dacanay")</f>
        <v>Bev Dacanay</v>
      </c>
      <c r="S891" s="1">
        <f>IFERROR(__xludf.DUMMYFUNCTION("""COMPUTED_VALUE"""),1.0)</f>
        <v>1</v>
      </c>
      <c r="T891" s="1">
        <f>IFERROR(__xludf.DUMMYFUNCTION("""COMPUTED_VALUE"""),13.43)</f>
        <v>13.43</v>
      </c>
      <c r="U891" s="2">
        <f>IFERROR(__xludf.DUMMYFUNCTION("""COMPUTED_VALUE"""),14.43)</f>
        <v>14.43</v>
      </c>
      <c r="V891" s="1" t="str">
        <f>IFERROR(__xludf.DUMMYFUNCTION("""COMPUTED_VALUE"""),"Ayza Marie Pascual")</f>
        <v>Ayza Marie Pascual</v>
      </c>
      <c r="W891" s="1" t="str">
        <f>IFERROR(__xludf.DUMMYFUNCTION("""COMPUTED_VALUE"""),"Advanced Billing &amp; Subscriptions")</f>
        <v>Advanced Billing &amp; Subscriptions</v>
      </c>
    </row>
    <row r="892">
      <c r="O892" s="1" t="str">
        <f>IFERROR(__xludf.DUMMYFUNCTION("""COMPUTED_VALUE"""),"2025 Sep")</f>
        <v>2025 Sep</v>
      </c>
      <c r="P892" s="1" t="str">
        <f>IFERROR(__xludf.DUMMYFUNCTION("""COMPUTED_VALUE"""),"Admin Support")</f>
        <v>Admin Support</v>
      </c>
      <c r="Q892" s="1" t="str">
        <f>IFERROR(__xludf.DUMMYFUNCTION("""COMPUTED_VALUE"""),"bia@canva.com")</f>
        <v>bia@canva.com</v>
      </c>
      <c r="R892" s="1" t="str">
        <f>IFERROR(__xludf.DUMMYFUNCTION("""COMPUTED_VALUE"""),"Bianca Santiago")</f>
        <v>Bianca Santiago</v>
      </c>
      <c r="S892" s="1"/>
      <c r="T892" s="1">
        <f>IFERROR(__xludf.DUMMYFUNCTION("""COMPUTED_VALUE"""),11.48)</f>
        <v>11.48</v>
      </c>
      <c r="U892" s="2">
        <f>IFERROR(__xludf.DUMMYFUNCTION("""COMPUTED_VALUE"""),11.48)</f>
        <v>11.48</v>
      </c>
      <c r="V892" s="1" t="str">
        <f>IFERROR(__xludf.DUMMYFUNCTION("""COMPUTED_VALUE"""),"Karla Mananghaya")</f>
        <v>Karla Mananghaya</v>
      </c>
      <c r="W892" s="1" t="str">
        <f>IFERROR(__xludf.DUMMYFUNCTION("""COMPUTED_VALUE"""),"Admin Support Service Escalation Team")</f>
        <v>Admin Support Service Escalation Team</v>
      </c>
    </row>
    <row r="893">
      <c r="O893" s="1" t="str">
        <f>IFERROR(__xludf.DUMMYFUNCTION("""COMPUTED_VALUE"""),"2025 Sep")</f>
        <v>2025 Sep</v>
      </c>
      <c r="P893" s="1" t="str">
        <f>IFERROR(__xludf.DUMMYFUNCTION("""COMPUTED_VALUE"""),"Core Product Support")</f>
        <v>Core Product Support</v>
      </c>
      <c r="Q893" s="1" t="str">
        <f>IFERROR(__xludf.DUMMYFUNCTION("""COMPUTED_VALUE"""),"bryanb@canva.com")</f>
        <v>bryanb@canva.com</v>
      </c>
      <c r="R893" s="1" t="str">
        <f>IFERROR(__xludf.DUMMYFUNCTION("""COMPUTED_VALUE"""),"Bryan Lemuel Britanico")</f>
        <v>Bryan Lemuel Britanico</v>
      </c>
      <c r="S893" s="1">
        <f>IFERROR(__xludf.DUMMYFUNCTION("""COMPUTED_VALUE"""),1.5)</f>
        <v>1.5</v>
      </c>
      <c r="T893" s="1">
        <f>IFERROR(__xludf.DUMMYFUNCTION("""COMPUTED_VALUE"""),5.25)</f>
        <v>5.25</v>
      </c>
      <c r="U893" s="2">
        <f>IFERROR(__xludf.DUMMYFUNCTION("""COMPUTED_VALUE"""),6.75)</f>
        <v>6.75</v>
      </c>
      <c r="V893" s="1" t="str">
        <f>IFERROR(__xludf.DUMMYFUNCTION("""COMPUTED_VALUE"""),"Jahmie Mae Barrameda")</f>
        <v>Jahmie Mae Barrameda</v>
      </c>
      <c r="W893" s="1" t="str">
        <f>IFERROR(__xludf.DUMMYFUNCTION("""COMPUTED_VALUE"""),"Advanced Billing &amp; Subscriptions")</f>
        <v>Advanced Billing &amp; Subscriptions</v>
      </c>
    </row>
    <row r="894">
      <c r="O894" s="1" t="str">
        <f>IFERROR(__xludf.DUMMYFUNCTION("""COMPUTED_VALUE"""),"2025 Sep")</f>
        <v>2025 Sep</v>
      </c>
      <c r="P894" s="1" t="str">
        <f>IFERROR(__xludf.DUMMYFUNCTION("""COMPUTED_VALUE"""),"Print Support")</f>
        <v>Print Support</v>
      </c>
      <c r="Q894" s="1" t="str">
        <f>IFERROR(__xludf.DUMMYFUNCTION("""COMPUTED_VALUE"""),"caesar@canva.com")</f>
        <v>caesar@canva.com</v>
      </c>
      <c r="R894" s="1" t="str">
        <f>IFERROR(__xludf.DUMMYFUNCTION("""COMPUTED_VALUE"""),"Caesar Bitudio")</f>
        <v>Caesar Bitudio</v>
      </c>
      <c r="S894" s="1">
        <f>IFERROR(__xludf.DUMMYFUNCTION("""COMPUTED_VALUE"""),7.75)</f>
        <v>7.75</v>
      </c>
      <c r="T894" s="1">
        <f>IFERROR(__xludf.DUMMYFUNCTION("""COMPUTED_VALUE"""),0.5)</f>
        <v>0.5</v>
      </c>
      <c r="U894" s="2">
        <f>IFERROR(__xludf.DUMMYFUNCTION("""COMPUTED_VALUE"""),8.25)</f>
        <v>8.25</v>
      </c>
      <c r="V894" s="1" t="str">
        <f>IFERROR(__xludf.DUMMYFUNCTION("""COMPUTED_VALUE"""),"G-Anne Murillo")</f>
        <v>G-Anne Murillo</v>
      </c>
      <c r="W894" s="1" t="str">
        <f>IFERROR(__xludf.DUMMYFUNCTION("""COMPUTED_VALUE"""),"Print Design Support")</f>
        <v>Print Design Support</v>
      </c>
    </row>
    <row r="895">
      <c r="O895" s="1" t="str">
        <f>IFERROR(__xludf.DUMMYFUNCTION("""COMPUTED_VALUE"""),"2025 Sep")</f>
        <v>2025 Sep</v>
      </c>
      <c r="P895" s="1" t="str">
        <f>IFERROR(__xludf.DUMMYFUNCTION("""COMPUTED_VALUE"""),"Core Product Support")</f>
        <v>Core Product Support</v>
      </c>
      <c r="Q895" s="1" t="str">
        <f>IFERROR(__xludf.DUMMYFUNCTION("""COMPUTED_VALUE"""),"cae@canva.com")</f>
        <v>cae@canva.com</v>
      </c>
      <c r="R895" s="1" t="str">
        <f>IFERROR(__xludf.DUMMYFUNCTION("""COMPUTED_VALUE"""),"Caevee Dizon")</f>
        <v>Caevee Dizon</v>
      </c>
      <c r="S895" s="1">
        <f>IFERROR(__xludf.DUMMYFUNCTION("""COMPUTED_VALUE"""),0.5)</f>
        <v>0.5</v>
      </c>
      <c r="T895" s="1">
        <f>IFERROR(__xludf.DUMMYFUNCTION("""COMPUTED_VALUE"""),16.75)</f>
        <v>16.75</v>
      </c>
      <c r="U895" s="2">
        <f>IFERROR(__xludf.DUMMYFUNCTION("""COMPUTED_VALUE"""),17.25)</f>
        <v>17.25</v>
      </c>
      <c r="V895" s="1" t="str">
        <f>IFERROR(__xludf.DUMMYFUNCTION("""COMPUTED_VALUE"""),"Jahmie Mae Barrameda")</f>
        <v>Jahmie Mae Barrameda</v>
      </c>
      <c r="W895" s="1" t="str">
        <f>IFERROR(__xludf.DUMMYFUNCTION("""COMPUTED_VALUE"""),"Advanced Billing &amp; Subscriptions")</f>
        <v>Advanced Billing &amp; Subscriptions</v>
      </c>
    </row>
    <row r="896">
      <c r="O896" s="1" t="str">
        <f>IFERROR(__xludf.DUMMYFUNCTION("""COMPUTED_VALUE"""),"2025 Sep")</f>
        <v>2025 Sep</v>
      </c>
      <c r="P896" s="1" t="str">
        <f>IFERROR(__xludf.DUMMYFUNCTION("""COMPUTED_VALUE"""),"#N/A")</f>
        <v>#N/A</v>
      </c>
      <c r="Q896" s="1" t="str">
        <f>IFERROR(__xludf.DUMMYFUNCTION("""COMPUTED_VALUE"""),"cali@canva.com")</f>
        <v>cali@canva.com</v>
      </c>
      <c r="R896" s="1" t="str">
        <f>IFERROR(__xludf.DUMMYFUNCTION("""COMPUTED_VALUE"""),"Cali Bermudo")</f>
        <v>Cali Bermudo</v>
      </c>
      <c r="S896" s="1">
        <f>IFERROR(__xludf.DUMMYFUNCTION("""COMPUTED_VALUE"""),4.6)</f>
        <v>4.6</v>
      </c>
      <c r="T896" s="1">
        <f>IFERROR(__xludf.DUMMYFUNCTION("""COMPUTED_VALUE"""),1.57)</f>
        <v>1.57</v>
      </c>
      <c r="U896" s="2">
        <f>IFERROR(__xludf.DUMMYFUNCTION("""COMPUTED_VALUE"""),6.17)</f>
        <v>6.17</v>
      </c>
      <c r="V896" s="1" t="str">
        <f>IFERROR(__xludf.DUMMYFUNCTION("""COMPUTED_VALUE"""),"#N/A")</f>
        <v>#N/A</v>
      </c>
      <c r="W896" s="1" t="str">
        <f>IFERROR(__xludf.DUMMYFUNCTION("""COMPUTED_VALUE"""),"Print Design Support")</f>
        <v>Print Design Support</v>
      </c>
    </row>
    <row r="897">
      <c r="O897" s="1" t="str">
        <f>IFERROR(__xludf.DUMMYFUNCTION("""COMPUTED_VALUE"""),"2025 Sep")</f>
        <v>2025 Sep</v>
      </c>
      <c r="P897" s="1" t="str">
        <f>IFERROR(__xludf.DUMMYFUNCTION("""COMPUTED_VALUE"""),"Admin Support")</f>
        <v>Admin Support</v>
      </c>
      <c r="Q897" s="1" t="str">
        <f>IFERROR(__xludf.DUMMYFUNCTION("""COMPUTED_VALUE"""),"cbasilio@canva.com")</f>
        <v>cbasilio@canva.com</v>
      </c>
      <c r="R897" s="1" t="str">
        <f>IFERROR(__xludf.DUMMYFUNCTION("""COMPUTED_VALUE"""),"Camille Basilio")</f>
        <v>Camille Basilio</v>
      </c>
      <c r="S897" s="1">
        <f>IFERROR(__xludf.DUMMYFUNCTION("""COMPUTED_VALUE"""),1.5)</f>
        <v>1.5</v>
      </c>
      <c r="T897" s="1">
        <f>IFERROR(__xludf.DUMMYFUNCTION("""COMPUTED_VALUE"""),14.83)</f>
        <v>14.83</v>
      </c>
      <c r="U897" s="2">
        <f>IFERROR(__xludf.DUMMYFUNCTION("""COMPUTED_VALUE"""),16.33)</f>
        <v>16.33</v>
      </c>
      <c r="V897" s="1" t="str">
        <f>IFERROR(__xludf.DUMMYFUNCTION("""COMPUTED_VALUE"""),"AL Suarez")</f>
        <v>AL Suarez</v>
      </c>
      <c r="W897" s="1" t="str">
        <f>IFERROR(__xludf.DUMMYFUNCTION("""COMPUTED_VALUE"""),"Admin Direct Support")</f>
        <v>Admin Direct Support</v>
      </c>
    </row>
    <row r="898">
      <c r="O898" s="1" t="str">
        <f>IFERROR(__xludf.DUMMYFUNCTION("""COMPUTED_VALUE"""),"2025 Sep")</f>
        <v>2025 Sep</v>
      </c>
      <c r="P898" s="1" t="str">
        <f>IFERROR(__xludf.DUMMYFUNCTION("""COMPUTED_VALUE"""),"Core Product Support")</f>
        <v>Core Product Support</v>
      </c>
      <c r="Q898" s="1" t="str">
        <f>IFERROR(__xludf.DUMMYFUNCTION("""COMPUTED_VALUE"""),"camilleb@canva.com")</f>
        <v>camilleb@canva.com</v>
      </c>
      <c r="R898" s="1" t="str">
        <f>IFERROR(__xludf.DUMMYFUNCTION("""COMPUTED_VALUE"""),"Camille Bucks")</f>
        <v>Camille Bucks</v>
      </c>
      <c r="S898" s="1">
        <f>IFERROR(__xludf.DUMMYFUNCTION("""COMPUTED_VALUE"""),0.75)</f>
        <v>0.75</v>
      </c>
      <c r="T898" s="1">
        <f>IFERROR(__xludf.DUMMYFUNCTION("""COMPUTED_VALUE"""),16.03)</f>
        <v>16.03</v>
      </c>
      <c r="U898" s="2">
        <f>IFERROR(__xludf.DUMMYFUNCTION("""COMPUTED_VALUE"""),16.78)</f>
        <v>16.78</v>
      </c>
      <c r="V898" s="1" t="str">
        <f>IFERROR(__xludf.DUMMYFUNCTION("""COMPUTED_VALUE"""),"Ellaine Estayo")</f>
        <v>Ellaine Estayo</v>
      </c>
      <c r="W898" s="1" t="str">
        <f>IFERROR(__xludf.DUMMYFUNCTION("""COMPUTED_VALUE"""),"Core Product Support Escalation Team")</f>
        <v>Core Product Support Escalation Team</v>
      </c>
    </row>
    <row r="899">
      <c r="O899" s="1" t="str">
        <f>IFERROR(__xludf.DUMMYFUNCTION("""COMPUTED_VALUE"""),"2025 Sep")</f>
        <v>2025 Sep</v>
      </c>
      <c r="P899" s="1" t="str">
        <f>IFERROR(__xludf.DUMMYFUNCTION("""COMPUTED_VALUE"""),"Admin Support")</f>
        <v>Admin Support</v>
      </c>
      <c r="Q899" s="1" t="str">
        <f>IFERROR(__xludf.DUMMYFUNCTION("""COMPUTED_VALUE"""),"camille.n@canva.com")</f>
        <v>camille.n@canva.com</v>
      </c>
      <c r="R899" s="1" t="str">
        <f>IFERROR(__xludf.DUMMYFUNCTION("""COMPUTED_VALUE"""),"Camille Neypes")</f>
        <v>Camille Neypes</v>
      </c>
      <c r="S899" s="1"/>
      <c r="T899" s="1">
        <f>IFERROR(__xludf.DUMMYFUNCTION("""COMPUTED_VALUE"""),12.0)</f>
        <v>12</v>
      </c>
      <c r="U899" s="2">
        <f>IFERROR(__xludf.DUMMYFUNCTION("""COMPUTED_VALUE"""),12.0)</f>
        <v>12</v>
      </c>
      <c r="V899" s="1" t="str">
        <f>IFERROR(__xludf.DUMMYFUNCTION("""COMPUTED_VALUE"""),"Kelden Laguting")</f>
        <v>Kelden Laguting</v>
      </c>
      <c r="W899" s="1" t="str">
        <f>IFERROR(__xludf.DUMMYFUNCTION("""COMPUTED_VALUE"""),"Admin Omni Support")</f>
        <v>Admin Omni Support</v>
      </c>
    </row>
    <row r="900">
      <c r="O900" s="1" t="str">
        <f>IFERROR(__xludf.DUMMYFUNCTION("""COMPUTED_VALUE"""),"2025 Sep")</f>
        <v>2025 Sep</v>
      </c>
      <c r="P900" s="1" t="str">
        <f>IFERROR(__xludf.DUMMYFUNCTION("""COMPUTED_VALUE"""),"Print Support")</f>
        <v>Print Support</v>
      </c>
      <c r="Q900" s="1" t="str">
        <f>IFERROR(__xludf.DUMMYFUNCTION("""COMPUTED_VALUE"""),"cammy@canva.com")</f>
        <v>cammy@canva.com</v>
      </c>
      <c r="R900" s="1" t="str">
        <f>IFERROR(__xludf.DUMMYFUNCTION("""COMPUTED_VALUE"""),"Camille Oriel")</f>
        <v>Camille Oriel</v>
      </c>
      <c r="S900" s="1">
        <f>IFERROR(__xludf.DUMMYFUNCTION("""COMPUTED_VALUE"""),6.7)</f>
        <v>6.7</v>
      </c>
      <c r="T900" s="1">
        <f>IFERROR(__xludf.DUMMYFUNCTION("""COMPUTED_VALUE"""),2.0)</f>
        <v>2</v>
      </c>
      <c r="U900" s="2">
        <f>IFERROR(__xludf.DUMMYFUNCTION("""COMPUTED_VALUE"""),8.7)</f>
        <v>8.7</v>
      </c>
      <c r="V900" s="1" t="str">
        <f>IFERROR(__xludf.DUMMYFUNCTION("""COMPUTED_VALUE"""),"Louise Dianne Estrella")</f>
        <v>Louise Dianne Estrella</v>
      </c>
      <c r="W900" s="1" t="str">
        <f>IFERROR(__xludf.DUMMYFUNCTION("""COMPUTED_VALUE"""),"Print Support PH")</f>
        <v>Print Support PH</v>
      </c>
    </row>
    <row r="901">
      <c r="O901" s="1" t="str">
        <f>IFERROR(__xludf.DUMMYFUNCTION("""COMPUTED_VALUE"""),"2025 Sep")</f>
        <v>2025 Sep</v>
      </c>
      <c r="P901" s="1" t="str">
        <f>IFERROR(__xludf.DUMMYFUNCTION("""COMPUTED_VALUE"""),"Admin Support")</f>
        <v>Admin Support</v>
      </c>
      <c r="Q901" s="1" t="str">
        <f>IFERROR(__xludf.DUMMYFUNCTION("""COMPUTED_VALUE"""),"carloav@canva.com")</f>
        <v>carloav@canva.com</v>
      </c>
      <c r="R901" s="1" t="str">
        <f>IFERROR(__xludf.DUMMYFUNCTION("""COMPUTED_VALUE"""),"Carlo Valentin")</f>
        <v>Carlo Valentin</v>
      </c>
      <c r="S901" s="1">
        <f>IFERROR(__xludf.DUMMYFUNCTION("""COMPUTED_VALUE"""),1.0)</f>
        <v>1</v>
      </c>
      <c r="T901" s="1">
        <f>IFERROR(__xludf.DUMMYFUNCTION("""COMPUTED_VALUE"""),12.08)</f>
        <v>12.08</v>
      </c>
      <c r="U901" s="2">
        <f>IFERROR(__xludf.DUMMYFUNCTION("""COMPUTED_VALUE"""),13.08)</f>
        <v>13.08</v>
      </c>
      <c r="V901" s="1" t="str">
        <f>IFERROR(__xludf.DUMMYFUNCTION("""COMPUTED_VALUE"""),"Kelden Laguting")</f>
        <v>Kelden Laguting</v>
      </c>
      <c r="W901" s="1" t="str">
        <f>IFERROR(__xludf.DUMMYFUNCTION("""COMPUTED_VALUE"""),"Admin Omni Support")</f>
        <v>Admin Omni Support</v>
      </c>
    </row>
    <row r="902">
      <c r="O902" s="1" t="str">
        <f>IFERROR(__xludf.DUMMYFUNCTION("""COMPUTED_VALUE"""),"2025 Sep")</f>
        <v>2025 Sep</v>
      </c>
      <c r="P902" s="1" t="str">
        <f>IFERROR(__xludf.DUMMYFUNCTION("""COMPUTED_VALUE"""),"Core Product Support")</f>
        <v>Core Product Support</v>
      </c>
      <c r="Q902" s="1" t="str">
        <f>IFERROR(__xludf.DUMMYFUNCTION("""COMPUTED_VALUE"""),"carmeladc@canva.com")</f>
        <v>carmeladc@canva.com</v>
      </c>
      <c r="R902" s="1" t="str">
        <f>IFERROR(__xludf.DUMMYFUNCTION("""COMPUTED_VALUE"""),"Carmela Dela Cruz")</f>
        <v>Carmela Dela Cruz</v>
      </c>
      <c r="S902" s="1">
        <f>IFERROR(__xludf.DUMMYFUNCTION("""COMPUTED_VALUE"""),0.5)</f>
        <v>0.5</v>
      </c>
      <c r="T902" s="1">
        <f>IFERROR(__xludf.DUMMYFUNCTION("""COMPUTED_VALUE"""),5.75)</f>
        <v>5.75</v>
      </c>
      <c r="U902" s="2">
        <f>IFERROR(__xludf.DUMMYFUNCTION("""COMPUTED_VALUE"""),6.25)</f>
        <v>6.25</v>
      </c>
      <c r="V902" s="1" t="str">
        <f>IFERROR(__xludf.DUMMYFUNCTION("""COMPUTED_VALUE"""),"Marie Mordeno")</f>
        <v>Marie Mordeno</v>
      </c>
      <c r="W902" s="1" t="str">
        <f>IFERROR(__xludf.DUMMYFUNCTION("""COMPUTED_VALUE"""),"Advanced Billing &amp; Subscriptions")</f>
        <v>Advanced Billing &amp; Subscriptions</v>
      </c>
    </row>
    <row r="903">
      <c r="O903" s="1" t="str">
        <f>IFERROR(__xludf.DUMMYFUNCTION("""COMPUTED_VALUE"""),"2025 Sep")</f>
        <v>2025 Sep</v>
      </c>
      <c r="P903" s="1" t="str">
        <f>IFERROR(__xludf.DUMMYFUNCTION("""COMPUTED_VALUE"""),"Print Support")</f>
        <v>Print Support</v>
      </c>
      <c r="Q903" s="1" t="str">
        <f>IFERROR(__xludf.DUMMYFUNCTION("""COMPUTED_VALUE"""),"carms@canva.com")</f>
        <v>carms@canva.com</v>
      </c>
      <c r="R903" s="1" t="str">
        <f>IFERROR(__xludf.DUMMYFUNCTION("""COMPUTED_VALUE"""),"Carms Merilles")</f>
        <v>Carms Merilles</v>
      </c>
      <c r="S903" s="1">
        <f>IFERROR(__xludf.DUMMYFUNCTION("""COMPUTED_VALUE"""),6.0)</f>
        <v>6</v>
      </c>
      <c r="T903" s="1">
        <f>IFERROR(__xludf.DUMMYFUNCTION("""COMPUTED_VALUE"""),1.5)</f>
        <v>1.5</v>
      </c>
      <c r="U903" s="2">
        <f>IFERROR(__xludf.DUMMYFUNCTION("""COMPUTED_VALUE"""),7.5)</f>
        <v>7.5</v>
      </c>
      <c r="V903" s="1" t="str">
        <f>IFERROR(__xludf.DUMMYFUNCTION("""COMPUTED_VALUE"""),"Gem Agoncillo")</f>
        <v>Gem Agoncillo</v>
      </c>
      <c r="W903" s="1" t="str">
        <f>IFERROR(__xludf.DUMMYFUNCTION("""COMPUTED_VALUE"""),"Print Design Support")</f>
        <v>Print Design Support</v>
      </c>
    </row>
    <row r="904">
      <c r="O904" s="1" t="str">
        <f>IFERROR(__xludf.DUMMYFUNCTION("""COMPUTED_VALUE"""),"2025 Sep")</f>
        <v>2025 Sep</v>
      </c>
      <c r="P904" s="1" t="str">
        <f>IFERROR(__xludf.DUMMYFUNCTION("""COMPUTED_VALUE"""),"High Sensitivity Support")</f>
        <v>High Sensitivity Support</v>
      </c>
      <c r="Q904" s="1" t="str">
        <f>IFERROR(__xludf.DUMMYFUNCTION("""COMPUTED_VALUE"""),"cassie@canva.com")</f>
        <v>cassie@canva.com</v>
      </c>
      <c r="R904" s="1" t="str">
        <f>IFERROR(__xludf.DUMMYFUNCTION("""COMPUTED_VALUE"""),"Cassie Eugenio")</f>
        <v>Cassie Eugenio</v>
      </c>
      <c r="S904" s="1"/>
      <c r="T904" s="1">
        <f>IFERROR(__xludf.DUMMYFUNCTION("""COMPUTED_VALUE"""),2.5)</f>
        <v>2.5</v>
      </c>
      <c r="U904" s="2">
        <f>IFERROR(__xludf.DUMMYFUNCTION("""COMPUTED_VALUE"""),2.5)</f>
        <v>2.5</v>
      </c>
      <c r="V904" s="1" t="str">
        <f>IFERROR(__xludf.DUMMYFUNCTION("""COMPUTED_VALUE"""),"Issi Afable")</f>
        <v>Issi Afable</v>
      </c>
      <c r="W904" s="1" t="str">
        <f>IFERROR(__xludf.DUMMYFUNCTION("""COMPUTED_VALUE"""),"High Sensitivity Support PH")</f>
        <v>High Sensitivity Support PH</v>
      </c>
    </row>
    <row r="905">
      <c r="O905" s="1" t="str">
        <f>IFERROR(__xludf.DUMMYFUNCTION("""COMPUTED_VALUE"""),"2025 Sep")</f>
        <v>2025 Sep</v>
      </c>
      <c r="P905" s="1" t="str">
        <f>IFERROR(__xludf.DUMMYFUNCTION("""COMPUTED_VALUE"""),"Print Support")</f>
        <v>Print Support</v>
      </c>
      <c r="Q905" s="1" t="str">
        <f>IFERROR(__xludf.DUMMYFUNCTION("""COMPUTED_VALUE"""),"catherinenicole@canva.com")</f>
        <v>catherinenicole@canva.com</v>
      </c>
      <c r="R905" s="1" t="str">
        <f>IFERROR(__xludf.DUMMYFUNCTION("""COMPUTED_VALUE"""),"Catherine Ledesma")</f>
        <v>Catherine Ledesma</v>
      </c>
      <c r="S905" s="1">
        <f>IFERROR(__xludf.DUMMYFUNCTION("""COMPUTED_VALUE"""),4.5)</f>
        <v>4.5</v>
      </c>
      <c r="T905" s="1">
        <f>IFERROR(__xludf.DUMMYFUNCTION("""COMPUTED_VALUE"""),2.4)</f>
        <v>2.4</v>
      </c>
      <c r="U905" s="2">
        <f>IFERROR(__xludf.DUMMYFUNCTION("""COMPUTED_VALUE"""),6.9)</f>
        <v>6.9</v>
      </c>
      <c r="V905" s="1" t="str">
        <f>IFERROR(__xludf.DUMMYFUNCTION("""COMPUTED_VALUE"""),"Jen Momo")</f>
        <v>Jen Momo</v>
      </c>
      <c r="W905" s="1" t="str">
        <f>IFERROR(__xludf.DUMMYFUNCTION("""COMPUTED_VALUE"""),"Print Support PH")</f>
        <v>Print Support PH</v>
      </c>
    </row>
    <row r="906">
      <c r="O906" s="1" t="str">
        <f>IFERROR(__xludf.DUMMYFUNCTION("""COMPUTED_VALUE"""),"2025 Sep")</f>
        <v>2025 Sep</v>
      </c>
      <c r="P906" s="1" t="str">
        <f>IFERROR(__xludf.DUMMYFUNCTION("""COMPUTED_VALUE"""),"Core Product Support")</f>
        <v>Core Product Support</v>
      </c>
      <c r="Q906" s="1" t="str">
        <f>IFERROR(__xludf.DUMMYFUNCTION("""COMPUTED_VALUE"""),"laranang@canva.com")</f>
        <v>laranang@canva.com</v>
      </c>
      <c r="R906" s="1" t="str">
        <f>IFERROR(__xludf.DUMMYFUNCTION("""COMPUTED_VALUE"""),"Cha Laranang")</f>
        <v>Cha Laranang</v>
      </c>
      <c r="S906" s="1">
        <f>IFERROR(__xludf.DUMMYFUNCTION("""COMPUTED_VALUE"""),2.0)</f>
        <v>2</v>
      </c>
      <c r="T906" s="1">
        <f>IFERROR(__xludf.DUMMYFUNCTION("""COMPUTED_VALUE"""),13.17)</f>
        <v>13.17</v>
      </c>
      <c r="U906" s="2">
        <f>IFERROR(__xludf.DUMMYFUNCTION("""COMPUTED_VALUE"""),15.17)</f>
        <v>15.17</v>
      </c>
      <c r="V906" s="1" t="str">
        <f>IFERROR(__xludf.DUMMYFUNCTION("""COMPUTED_VALUE"""),"Cate Velasco")</f>
        <v>Cate Velasco</v>
      </c>
      <c r="W906" s="1" t="str">
        <f>IFERROR(__xludf.DUMMYFUNCTION("""COMPUTED_VALUE"""),"Advanced Product Support")</f>
        <v>Advanced Product Support</v>
      </c>
    </row>
    <row r="907">
      <c r="O907" s="1" t="str">
        <f>IFERROR(__xludf.DUMMYFUNCTION("""COMPUTED_VALUE"""),"2025 Sep")</f>
        <v>2025 Sep</v>
      </c>
      <c r="P907" s="1" t="str">
        <f>IFERROR(__xludf.DUMMYFUNCTION("""COMPUTED_VALUE"""),"Core Product Support")</f>
        <v>Core Product Support</v>
      </c>
      <c r="Q907" s="1" t="str">
        <f>IFERROR(__xludf.DUMMYFUNCTION("""COMPUTED_VALUE"""),"chace@canva.com")</f>
        <v>chace@canva.com</v>
      </c>
      <c r="R907" s="1" t="str">
        <f>IFERROR(__xludf.DUMMYFUNCTION("""COMPUTED_VALUE"""),"Chace Ablaza")</f>
        <v>Chace Ablaza</v>
      </c>
      <c r="S907" s="1">
        <f>IFERROR(__xludf.DUMMYFUNCTION("""COMPUTED_VALUE"""),2.0)</f>
        <v>2</v>
      </c>
      <c r="T907" s="1">
        <f>IFERROR(__xludf.DUMMYFUNCTION("""COMPUTED_VALUE"""),7.25)</f>
        <v>7.25</v>
      </c>
      <c r="U907" s="2">
        <f>IFERROR(__xludf.DUMMYFUNCTION("""COMPUTED_VALUE"""),9.25)</f>
        <v>9.25</v>
      </c>
      <c r="V907" s="1" t="str">
        <f>IFERROR(__xludf.DUMMYFUNCTION("""COMPUTED_VALUE"""),"Ellaine Estayo")</f>
        <v>Ellaine Estayo</v>
      </c>
      <c r="W907" s="1" t="str">
        <f>IFERROR(__xludf.DUMMYFUNCTION("""COMPUTED_VALUE"""),"Core Product Support Escalation Team")</f>
        <v>Core Product Support Escalation Team</v>
      </c>
    </row>
    <row r="908">
      <c r="O908" s="1" t="str">
        <f>IFERROR(__xludf.DUMMYFUNCTION("""COMPUTED_VALUE"""),"2025 Sep")</f>
        <v>2025 Sep</v>
      </c>
      <c r="P908" s="1" t="str">
        <f>IFERROR(__xludf.DUMMYFUNCTION("""COMPUTED_VALUE"""),"Core Product Support")</f>
        <v>Core Product Support</v>
      </c>
      <c r="Q908" s="1" t="str">
        <f>IFERROR(__xludf.DUMMYFUNCTION("""COMPUTED_VALUE"""),"charissa@canva.com")</f>
        <v>charissa@canva.com</v>
      </c>
      <c r="R908" s="1" t="str">
        <f>IFERROR(__xludf.DUMMYFUNCTION("""COMPUTED_VALUE"""),"Charissa Goyena")</f>
        <v>Charissa Goyena</v>
      </c>
      <c r="S908" s="1">
        <f>IFERROR(__xludf.DUMMYFUNCTION("""COMPUTED_VALUE"""),7.0)</f>
        <v>7</v>
      </c>
      <c r="T908" s="1">
        <f>IFERROR(__xludf.DUMMYFUNCTION("""COMPUTED_VALUE"""),10.25)</f>
        <v>10.25</v>
      </c>
      <c r="U908" s="2">
        <f>IFERROR(__xludf.DUMMYFUNCTION("""COMPUTED_VALUE"""),17.25)</f>
        <v>17.25</v>
      </c>
      <c r="V908" s="1" t="str">
        <f>IFERROR(__xludf.DUMMYFUNCTION("""COMPUTED_VALUE"""),"Vinz Lazaro")</f>
        <v>Vinz Lazaro</v>
      </c>
      <c r="W908" s="1" t="str">
        <f>IFERROR(__xludf.DUMMYFUNCTION("""COMPUTED_VALUE"""),"Advanced Product Support")</f>
        <v>Advanced Product Support</v>
      </c>
    </row>
    <row r="909">
      <c r="O909" s="1" t="str">
        <f>IFERROR(__xludf.DUMMYFUNCTION("""COMPUTED_VALUE"""),"2025 Sep")</f>
        <v>2025 Sep</v>
      </c>
      <c r="P909" s="1" t="str">
        <f>IFERROR(__xludf.DUMMYFUNCTION("""COMPUTED_VALUE"""),"Segment-specific Support")</f>
        <v>Segment-specific Support</v>
      </c>
      <c r="Q909" s="1" t="str">
        <f>IFERROR(__xludf.DUMMYFUNCTION("""COMPUTED_VALUE"""),"charizavargas@canva.com")</f>
        <v>charizavargas@canva.com</v>
      </c>
      <c r="R909" s="1" t="str">
        <f>IFERROR(__xludf.DUMMYFUNCTION("""COMPUTED_VALUE"""),"Chariza Vargas")</f>
        <v>Chariza Vargas</v>
      </c>
      <c r="S909" s="1">
        <f>IFERROR(__xludf.DUMMYFUNCTION("""COMPUTED_VALUE"""),3.5)</f>
        <v>3.5</v>
      </c>
      <c r="T909" s="1">
        <f>IFERROR(__xludf.DUMMYFUNCTION("""COMPUTED_VALUE"""),0.0)</f>
        <v>0</v>
      </c>
      <c r="U909" s="2">
        <f>IFERROR(__xludf.DUMMYFUNCTION("""COMPUTED_VALUE"""),3.5)</f>
        <v>3.5</v>
      </c>
      <c r="V909" s="1" t="str">
        <f>IFERROR(__xludf.DUMMYFUNCTION("""COMPUTED_VALUE"""),"Aileen Dayanghirang")</f>
        <v>Aileen Dayanghirang</v>
      </c>
      <c r="W909" s="1" t="str">
        <f>IFERROR(__xludf.DUMMYFUNCTION("""COMPUTED_VALUE"""),"Creators Support")</f>
        <v>Creators Support</v>
      </c>
    </row>
    <row r="910">
      <c r="O910" s="1" t="str">
        <f>IFERROR(__xludf.DUMMYFUNCTION("""COMPUTED_VALUE"""),"2025 Sep")</f>
        <v>2025 Sep</v>
      </c>
      <c r="P910" s="1" t="str">
        <f>IFERROR(__xludf.DUMMYFUNCTION("""COMPUTED_VALUE"""),"Admin Support")</f>
        <v>Admin Support</v>
      </c>
      <c r="Q910" s="1" t="str">
        <f>IFERROR(__xludf.DUMMYFUNCTION("""COMPUTED_VALUE"""),"charlest@canva.com")</f>
        <v>charlest@canva.com</v>
      </c>
      <c r="R910" s="1" t="str">
        <f>IFERROR(__xludf.DUMMYFUNCTION("""COMPUTED_VALUE"""),"Charles Andrew Tan")</f>
        <v>Charles Andrew Tan</v>
      </c>
      <c r="S910" s="1"/>
      <c r="T910" s="1">
        <f>IFERROR(__xludf.DUMMYFUNCTION("""COMPUTED_VALUE"""),9.25)</f>
        <v>9.25</v>
      </c>
      <c r="U910" s="2">
        <f>IFERROR(__xludf.DUMMYFUNCTION("""COMPUTED_VALUE"""),9.25)</f>
        <v>9.25</v>
      </c>
      <c r="V910" s="1" t="str">
        <f>IFERROR(__xludf.DUMMYFUNCTION("""COMPUTED_VALUE"""),"Kelden Laguting")</f>
        <v>Kelden Laguting</v>
      </c>
      <c r="W910" s="1" t="str">
        <f>IFERROR(__xludf.DUMMYFUNCTION("""COMPUTED_VALUE"""),"Admin Omni Support")</f>
        <v>Admin Omni Support</v>
      </c>
    </row>
    <row r="911">
      <c r="O911" s="1" t="str">
        <f>IFERROR(__xludf.DUMMYFUNCTION("""COMPUTED_VALUE"""),"2025 Sep")</f>
        <v>2025 Sep</v>
      </c>
      <c r="P911" s="1" t="str">
        <f>IFERROR(__xludf.DUMMYFUNCTION("""COMPUTED_VALUE"""),"Core Product Support")</f>
        <v>Core Product Support</v>
      </c>
      <c r="Q911" s="1" t="str">
        <f>IFERROR(__xludf.DUMMYFUNCTION("""COMPUTED_VALUE"""),"charmb@canva.com")</f>
        <v>charmb@canva.com</v>
      </c>
      <c r="R911" s="1" t="str">
        <f>IFERROR(__xludf.DUMMYFUNCTION("""COMPUTED_VALUE"""),"Charm Bansil")</f>
        <v>Charm Bansil</v>
      </c>
      <c r="S911" s="1"/>
      <c r="T911" s="1">
        <f>IFERROR(__xludf.DUMMYFUNCTION("""COMPUTED_VALUE"""),8.03)</f>
        <v>8.03</v>
      </c>
      <c r="U911" s="2">
        <f>IFERROR(__xludf.DUMMYFUNCTION("""COMPUTED_VALUE"""),8.03)</f>
        <v>8.03</v>
      </c>
      <c r="V911" s="1" t="str">
        <f>IFERROR(__xludf.DUMMYFUNCTION("""COMPUTED_VALUE"""),"Ana Lazaro")</f>
        <v>Ana Lazaro</v>
      </c>
      <c r="W911" s="1" t="str">
        <f>IFERROR(__xludf.DUMMYFUNCTION("""COMPUTED_VALUE"""),"Advanced Billing &amp; Subscriptions")</f>
        <v>Advanced Billing &amp; Subscriptions</v>
      </c>
    </row>
    <row r="912">
      <c r="O912" s="1" t="str">
        <f>IFERROR(__xludf.DUMMYFUNCTION("""COMPUTED_VALUE"""),"2025 Sep")</f>
        <v>2025 Sep</v>
      </c>
      <c r="P912" s="1" t="str">
        <f>IFERROR(__xludf.DUMMYFUNCTION("""COMPUTED_VALUE"""),"Print Support")</f>
        <v>Print Support</v>
      </c>
      <c r="Q912" s="1" t="str">
        <f>IFERROR(__xludf.DUMMYFUNCTION("""COMPUTED_VALUE"""),"catherine@canva.com")</f>
        <v>catherine@canva.com</v>
      </c>
      <c r="R912" s="1" t="str">
        <f>IFERROR(__xludf.DUMMYFUNCTION("""COMPUTED_VALUE"""),"Cheche Ramirez")</f>
        <v>Cheche Ramirez</v>
      </c>
      <c r="S912" s="1">
        <f>IFERROR(__xludf.DUMMYFUNCTION("""COMPUTED_VALUE"""),4.42)</f>
        <v>4.42</v>
      </c>
      <c r="T912" s="1">
        <f>IFERROR(__xludf.DUMMYFUNCTION("""COMPUTED_VALUE"""),11.0)</f>
        <v>11</v>
      </c>
      <c r="U912" s="2">
        <f>IFERROR(__xludf.DUMMYFUNCTION("""COMPUTED_VALUE"""),15.42)</f>
        <v>15.42</v>
      </c>
      <c r="V912" s="1" t="str">
        <f>IFERROR(__xludf.DUMMYFUNCTION("""COMPUTED_VALUE"""),"Jen Momo")</f>
        <v>Jen Momo</v>
      </c>
      <c r="W912" s="1" t="str">
        <f>IFERROR(__xludf.DUMMYFUNCTION("""COMPUTED_VALUE"""),"Print Support PH")</f>
        <v>Print Support PH</v>
      </c>
    </row>
    <row r="913">
      <c r="O913" s="1" t="str">
        <f>IFERROR(__xludf.DUMMYFUNCTION("""COMPUTED_VALUE"""),"2025 Sep")</f>
        <v>2025 Sep</v>
      </c>
      <c r="P913" s="1" t="str">
        <f>IFERROR(__xludf.DUMMYFUNCTION("""COMPUTED_VALUE"""),"Core Product Support")</f>
        <v>Core Product Support</v>
      </c>
      <c r="Q913" s="1" t="str">
        <f>IFERROR(__xludf.DUMMYFUNCTION("""COMPUTED_VALUE"""),"chesca@canva.com")</f>
        <v>chesca@canva.com</v>
      </c>
      <c r="R913" s="1" t="str">
        <f>IFERROR(__xludf.DUMMYFUNCTION("""COMPUTED_VALUE"""),"Chesca Martos")</f>
        <v>Chesca Martos</v>
      </c>
      <c r="S913" s="1">
        <f>IFERROR(__xludf.DUMMYFUNCTION("""COMPUTED_VALUE"""),0.5)</f>
        <v>0.5</v>
      </c>
      <c r="T913" s="1">
        <f>IFERROR(__xludf.DUMMYFUNCTION("""COMPUTED_VALUE"""),21.5)</f>
        <v>21.5</v>
      </c>
      <c r="U913" s="2">
        <f>IFERROR(__xludf.DUMMYFUNCTION("""COMPUTED_VALUE"""),22.0)</f>
        <v>22</v>
      </c>
      <c r="V913" s="1" t="str">
        <f>IFERROR(__xludf.DUMMYFUNCTION("""COMPUTED_VALUE"""),"Ayza Marie Pascual")</f>
        <v>Ayza Marie Pascual</v>
      </c>
      <c r="W913" s="1" t="str">
        <f>IFERROR(__xludf.DUMMYFUNCTION("""COMPUTED_VALUE"""),"Advanced Billing &amp; Subscriptions")</f>
        <v>Advanced Billing &amp; Subscriptions</v>
      </c>
    </row>
    <row r="914">
      <c r="O914" s="1" t="str">
        <f>IFERROR(__xludf.DUMMYFUNCTION("""COMPUTED_VALUE"""),"2025 Sep")</f>
        <v>2025 Sep</v>
      </c>
      <c r="P914" s="1" t="str">
        <f>IFERROR(__xludf.DUMMYFUNCTION("""COMPUTED_VALUE"""),"Core Product Support")</f>
        <v>Core Product Support</v>
      </c>
      <c r="Q914" s="1" t="str">
        <f>IFERROR(__xludf.DUMMYFUNCTION("""COMPUTED_VALUE"""),"chlgts@canva.com")</f>
        <v>chlgts@canva.com</v>
      </c>
      <c r="R914" s="1" t="str">
        <f>IFERROR(__xludf.DUMMYFUNCTION("""COMPUTED_VALUE"""),"Cholo Ligtas")</f>
        <v>Cholo Ligtas</v>
      </c>
      <c r="S914" s="1">
        <f>IFERROR(__xludf.DUMMYFUNCTION("""COMPUTED_VALUE"""),3.0)</f>
        <v>3</v>
      </c>
      <c r="T914" s="1">
        <f>IFERROR(__xludf.DUMMYFUNCTION("""COMPUTED_VALUE"""),10.22)</f>
        <v>10.22</v>
      </c>
      <c r="U914" s="2">
        <f>IFERROR(__xludf.DUMMYFUNCTION("""COMPUTED_VALUE"""),13.22)</f>
        <v>13.22</v>
      </c>
      <c r="V914" s="1" t="str">
        <f>IFERROR(__xludf.DUMMYFUNCTION("""COMPUTED_VALUE"""),"Jahmie Mae Barrameda")</f>
        <v>Jahmie Mae Barrameda</v>
      </c>
      <c r="W914" s="1" t="str">
        <f>IFERROR(__xludf.DUMMYFUNCTION("""COMPUTED_VALUE"""),"Advanced Billing &amp; Subscriptions")</f>
        <v>Advanced Billing &amp; Subscriptions</v>
      </c>
    </row>
    <row r="915">
      <c r="O915" s="1" t="str">
        <f>IFERROR(__xludf.DUMMYFUNCTION("""COMPUTED_VALUE"""),"2025 Sep")</f>
        <v>2025 Sep</v>
      </c>
      <c r="P915" s="1" t="str">
        <f>IFERROR(__xludf.DUMMYFUNCTION("""COMPUTED_VALUE"""),"#N/A")</f>
        <v>#N/A</v>
      </c>
      <c r="Q915" s="1" t="str">
        <f>IFERROR(__xludf.DUMMYFUNCTION("""COMPUTED_VALUE"""),"chris.d@canva.com")</f>
        <v>chris.d@canva.com</v>
      </c>
      <c r="R915" s="1" t="str">
        <f>IFERROR(__xludf.DUMMYFUNCTION("""COMPUTED_VALUE"""),"Chris De Leon")</f>
        <v>Chris De Leon</v>
      </c>
      <c r="S915" s="1"/>
      <c r="T915" s="1">
        <f>IFERROR(__xludf.DUMMYFUNCTION("""COMPUTED_VALUE"""),0.0)</f>
        <v>0</v>
      </c>
      <c r="U915" s="2">
        <f>IFERROR(__xludf.DUMMYFUNCTION("""COMPUTED_VALUE"""),0.0)</f>
        <v>0</v>
      </c>
      <c r="V915" s="1" t="str">
        <f>IFERROR(__xludf.DUMMYFUNCTION("""COMPUTED_VALUE"""),"#N/A")</f>
        <v>#N/A</v>
      </c>
      <c r="W915" s="1" t="str">
        <f>IFERROR(__xludf.DUMMYFUNCTION("""COMPUTED_VALUE"""),"#N/A")</f>
        <v>#N/A</v>
      </c>
    </row>
    <row r="916">
      <c r="O916" s="1" t="str">
        <f>IFERROR(__xludf.DUMMYFUNCTION("""COMPUTED_VALUE"""),"2025 Sep")</f>
        <v>2025 Sep</v>
      </c>
      <c r="P916" s="1" t="str">
        <f>IFERROR(__xludf.DUMMYFUNCTION("""COMPUTED_VALUE"""),"Core Product Support")</f>
        <v>Core Product Support</v>
      </c>
      <c r="Q916" s="1" t="str">
        <f>IFERROR(__xludf.DUMMYFUNCTION("""COMPUTED_VALUE"""),"tintinmaxilom@canva.com")</f>
        <v>tintinmaxilom@canva.com</v>
      </c>
      <c r="R916" s="1" t="str">
        <f>IFERROR(__xludf.DUMMYFUNCTION("""COMPUTED_VALUE"""),"Christine Araga")</f>
        <v>Christine Araga</v>
      </c>
      <c r="S916" s="1">
        <f>IFERROR(__xludf.DUMMYFUNCTION("""COMPUTED_VALUE"""),0.5)</f>
        <v>0.5</v>
      </c>
      <c r="T916" s="1">
        <f>IFERROR(__xludf.DUMMYFUNCTION("""COMPUTED_VALUE"""),3.25)</f>
        <v>3.25</v>
      </c>
      <c r="U916" s="2">
        <f>IFERROR(__xludf.DUMMYFUNCTION("""COMPUTED_VALUE"""),3.75)</f>
        <v>3.75</v>
      </c>
      <c r="V916" s="1" t="str">
        <f>IFERROR(__xludf.DUMMYFUNCTION("""COMPUTED_VALUE"""),"Jelyn Elmido")</f>
        <v>Jelyn Elmido</v>
      </c>
      <c r="W916" s="1" t="str">
        <f>IFERROR(__xludf.DUMMYFUNCTION("""COMPUTED_VALUE"""),"Core Product Support Escalation Team")</f>
        <v>Core Product Support Escalation Team</v>
      </c>
    </row>
    <row r="917">
      <c r="O917" s="1" t="str">
        <f>IFERROR(__xludf.DUMMYFUNCTION("""COMPUTED_VALUE"""),"2025 Sep")</f>
        <v>2025 Sep</v>
      </c>
      <c r="P917" s="1" t="str">
        <f>IFERROR(__xludf.DUMMYFUNCTION("""COMPUTED_VALUE"""),"Print Support")</f>
        <v>Print Support</v>
      </c>
      <c r="Q917" s="1" t="str">
        <f>IFERROR(__xludf.DUMMYFUNCTION("""COMPUTED_VALUE"""),"cjlining@canva.com")</f>
        <v>cjlining@canva.com</v>
      </c>
      <c r="R917" s="1" t="str">
        <f>IFERROR(__xludf.DUMMYFUNCTION("""COMPUTED_VALUE"""),"CJ Lining")</f>
        <v>CJ Lining</v>
      </c>
      <c r="S917" s="1">
        <f>IFERROR(__xludf.DUMMYFUNCTION("""COMPUTED_VALUE"""),3.22)</f>
        <v>3.22</v>
      </c>
      <c r="T917" s="1">
        <f>IFERROR(__xludf.DUMMYFUNCTION("""COMPUTED_VALUE"""),2.42)</f>
        <v>2.42</v>
      </c>
      <c r="U917" s="2">
        <f>IFERROR(__xludf.DUMMYFUNCTION("""COMPUTED_VALUE"""),5.640000000000001)</f>
        <v>5.64</v>
      </c>
      <c r="V917" s="1" t="str">
        <f>IFERROR(__xludf.DUMMYFUNCTION("""COMPUTED_VALUE"""),"Althea Mercado")</f>
        <v>Althea Mercado</v>
      </c>
      <c r="W917" s="1" t="str">
        <f>IFERROR(__xludf.DUMMYFUNCTION("""COMPUTED_VALUE"""),"Print Support PH")</f>
        <v>Print Support PH</v>
      </c>
    </row>
    <row r="918">
      <c r="O918" s="1" t="str">
        <f>IFERROR(__xludf.DUMMYFUNCTION("""COMPUTED_VALUE"""),"2025 Sep")</f>
        <v>2025 Sep</v>
      </c>
      <c r="P918" s="1" t="str">
        <f>IFERROR(__xludf.DUMMYFUNCTION("""COMPUTED_VALUE"""),"Admin Support")</f>
        <v>Admin Support</v>
      </c>
      <c r="Q918" s="1" t="str">
        <f>IFERROR(__xludf.DUMMYFUNCTION("""COMPUTED_VALUE"""),"ckmg@canva.com")</f>
        <v>ckmg@canva.com</v>
      </c>
      <c r="R918" s="1" t="str">
        <f>IFERROR(__xludf.DUMMYFUNCTION("""COMPUTED_VALUE"""),"CK Geronimo")</f>
        <v>CK Geronimo</v>
      </c>
      <c r="S918" s="1"/>
      <c r="T918" s="1">
        <f>IFERROR(__xludf.DUMMYFUNCTION("""COMPUTED_VALUE"""),17.58)</f>
        <v>17.58</v>
      </c>
      <c r="U918" s="2">
        <f>IFERROR(__xludf.DUMMYFUNCTION("""COMPUTED_VALUE"""),17.58)</f>
        <v>17.58</v>
      </c>
      <c r="V918" s="1" t="str">
        <f>IFERROR(__xludf.DUMMYFUNCTION("""COMPUTED_VALUE"""),"Pau Palmero")</f>
        <v>Pau Palmero</v>
      </c>
      <c r="W918" s="1" t="str">
        <f>IFERROR(__xludf.DUMMYFUNCTION("""COMPUTED_VALUE"""),"Admin Omni Support")</f>
        <v>Admin Omni Support</v>
      </c>
    </row>
    <row r="919">
      <c r="O919" s="1" t="str">
        <f>IFERROR(__xludf.DUMMYFUNCTION("""COMPUTED_VALUE"""),"2025 Sep")</f>
        <v>2025 Sep</v>
      </c>
      <c r="P919" s="1" t="str">
        <f>IFERROR(__xludf.DUMMYFUNCTION("""COMPUTED_VALUE"""),"Segment-specific Support")</f>
        <v>Segment-specific Support</v>
      </c>
      <c r="Q919" s="1" t="str">
        <f>IFERROR(__xludf.DUMMYFUNCTION("""COMPUTED_VALUE"""),"magnumck@canva.com")</f>
        <v>magnumck@canva.com</v>
      </c>
      <c r="R919" s="1" t="str">
        <f>IFERROR(__xludf.DUMMYFUNCTION("""COMPUTED_VALUE"""),"CK Lobaton")</f>
        <v>CK Lobaton</v>
      </c>
      <c r="S919" s="1">
        <f>IFERROR(__xludf.DUMMYFUNCTION("""COMPUTED_VALUE"""),2.0)</f>
        <v>2</v>
      </c>
      <c r="T919" s="1">
        <f>IFERROR(__xludf.DUMMYFUNCTION("""COMPUTED_VALUE"""),0.0)</f>
        <v>0</v>
      </c>
      <c r="U919" s="2">
        <f>IFERROR(__xludf.DUMMYFUNCTION("""COMPUTED_VALUE"""),2.0)</f>
        <v>2</v>
      </c>
      <c r="V919" s="1" t="str">
        <f>IFERROR(__xludf.DUMMYFUNCTION("""COMPUTED_VALUE"""),"Jonathan Dimaculangan")</f>
        <v>Jonathan Dimaculangan</v>
      </c>
      <c r="W919" s="1" t="str">
        <f>IFERROR(__xludf.DUMMYFUNCTION("""COMPUTED_VALUE"""),"Flourish Support")</f>
        <v>Flourish Support</v>
      </c>
    </row>
    <row r="920">
      <c r="O920" s="1" t="str">
        <f>IFERROR(__xludf.DUMMYFUNCTION("""COMPUTED_VALUE"""),"2025 Sep")</f>
        <v>2025 Sep</v>
      </c>
      <c r="P920" s="1" t="str">
        <f>IFERROR(__xludf.DUMMYFUNCTION("""COMPUTED_VALUE"""),"Core Product Support")</f>
        <v>Core Product Support</v>
      </c>
      <c r="Q920" s="1" t="str">
        <f>IFERROR(__xludf.DUMMYFUNCTION("""COMPUTED_VALUE"""),"cladd@canva.com")</f>
        <v>cladd@canva.com</v>
      </c>
      <c r="R920" s="1" t="str">
        <f>IFERROR(__xludf.DUMMYFUNCTION("""COMPUTED_VALUE"""),"Claddys Ann Bernaldez")</f>
        <v>Claddys Ann Bernaldez</v>
      </c>
      <c r="S920" s="1">
        <f>IFERROR(__xludf.DUMMYFUNCTION("""COMPUTED_VALUE"""),0.5)</f>
        <v>0.5</v>
      </c>
      <c r="T920" s="1">
        <f>IFERROR(__xludf.DUMMYFUNCTION("""COMPUTED_VALUE"""),7.75)</f>
        <v>7.75</v>
      </c>
      <c r="U920" s="2">
        <f>IFERROR(__xludf.DUMMYFUNCTION("""COMPUTED_VALUE"""),8.25)</f>
        <v>8.25</v>
      </c>
      <c r="V920" s="1" t="str">
        <f>IFERROR(__xludf.DUMMYFUNCTION("""COMPUTED_VALUE"""),"Jelyn Elmido")</f>
        <v>Jelyn Elmido</v>
      </c>
      <c r="W920" s="1" t="str">
        <f>IFERROR(__xludf.DUMMYFUNCTION("""COMPUTED_VALUE"""),"Core Product Support Escalation Team")</f>
        <v>Core Product Support Escalation Team</v>
      </c>
    </row>
    <row r="921">
      <c r="O921" s="1" t="str">
        <f>IFERROR(__xludf.DUMMYFUNCTION("""COMPUTED_VALUE"""),"2025 Sep")</f>
        <v>2025 Sep</v>
      </c>
      <c r="P921" s="1" t="str">
        <f>IFERROR(__xludf.DUMMYFUNCTION("""COMPUTED_VALUE"""),"Multilingual Support")</f>
        <v>Multilingual Support</v>
      </c>
      <c r="Q921" s="1" t="str">
        <f>IFERROR(__xludf.DUMMYFUNCTION("""COMPUTED_VALUE"""),"claire.g@canva.com")</f>
        <v>claire.g@canva.com</v>
      </c>
      <c r="R921" s="1" t="str">
        <f>IFERROR(__xludf.DUMMYFUNCTION("""COMPUTED_VALUE"""),"Claire Gado")</f>
        <v>Claire Gado</v>
      </c>
      <c r="S921" s="1">
        <f>IFERROR(__xludf.DUMMYFUNCTION("""COMPUTED_VALUE"""),1.0)</f>
        <v>1</v>
      </c>
      <c r="T921" s="1">
        <f>IFERROR(__xludf.DUMMYFUNCTION("""COMPUTED_VALUE"""),3.25)</f>
        <v>3.25</v>
      </c>
      <c r="U921" s="2">
        <f>IFERROR(__xludf.DUMMYFUNCTION("""COMPUTED_VALUE"""),4.25)</f>
        <v>4.25</v>
      </c>
      <c r="V921" s="1" t="str">
        <f>IFERROR(__xludf.DUMMYFUNCTION("""COMPUTED_VALUE"""),"Arlene Maurillo")</f>
        <v>Arlene Maurillo</v>
      </c>
      <c r="W921" s="1" t="str">
        <f>IFERROR(__xludf.DUMMYFUNCTION("""COMPUTED_VALUE"""),"PHL, Multilingual Support")</f>
        <v>PHL, Multilingual Support</v>
      </c>
    </row>
    <row r="922">
      <c r="O922" s="1" t="str">
        <f>IFERROR(__xludf.DUMMYFUNCTION("""COMPUTED_VALUE"""),"2025 Sep")</f>
        <v>2025 Sep</v>
      </c>
      <c r="P922" s="1" t="str">
        <f>IFERROR(__xludf.DUMMYFUNCTION("""COMPUTED_VALUE"""),"Print Support")</f>
        <v>Print Support</v>
      </c>
      <c r="Q922" s="1" t="str">
        <f>IFERROR(__xludf.DUMMYFUNCTION("""COMPUTED_VALUE"""),"cyreengee@canva.com")</f>
        <v>cyreengee@canva.com</v>
      </c>
      <c r="R922" s="1" t="str">
        <f>IFERROR(__xludf.DUMMYFUNCTION("""COMPUTED_VALUE"""),"Cye Gonzales")</f>
        <v>Cye Gonzales</v>
      </c>
      <c r="S922" s="1">
        <f>IFERROR(__xludf.DUMMYFUNCTION("""COMPUTED_VALUE"""),5.0)</f>
        <v>5</v>
      </c>
      <c r="T922" s="1">
        <f>IFERROR(__xludf.DUMMYFUNCTION("""COMPUTED_VALUE"""),1.0)</f>
        <v>1</v>
      </c>
      <c r="U922" s="2">
        <f>IFERROR(__xludf.DUMMYFUNCTION("""COMPUTED_VALUE"""),6.0)</f>
        <v>6</v>
      </c>
      <c r="V922" s="1" t="str">
        <f>IFERROR(__xludf.DUMMYFUNCTION("""COMPUTED_VALUE"""),"Althea Mercado")</f>
        <v>Althea Mercado</v>
      </c>
      <c r="W922" s="1" t="str">
        <f>IFERROR(__xludf.DUMMYFUNCTION("""COMPUTED_VALUE"""),"Print Support PH")</f>
        <v>Print Support PH</v>
      </c>
    </row>
    <row r="923">
      <c r="O923" s="1" t="str">
        <f>IFERROR(__xludf.DUMMYFUNCTION("""COMPUTED_VALUE"""),"2025 Sep")</f>
        <v>2025 Sep</v>
      </c>
      <c r="P923" s="1" t="str">
        <f>IFERROR(__xludf.DUMMYFUNCTION("""COMPUTED_VALUE"""),"Print Support")</f>
        <v>Print Support</v>
      </c>
      <c r="Q923" s="1" t="str">
        <f>IFERROR(__xludf.DUMMYFUNCTION("""COMPUTED_VALUE"""),"dyter@canva.com")</f>
        <v>dyter@canva.com</v>
      </c>
      <c r="R923" s="1" t="str">
        <f>IFERROR(__xludf.DUMMYFUNCTION("""COMPUTED_VALUE"""),"Daisy Tercenio")</f>
        <v>Daisy Tercenio</v>
      </c>
      <c r="S923" s="1"/>
      <c r="T923" s="1">
        <f>IFERROR(__xludf.DUMMYFUNCTION("""COMPUTED_VALUE"""),0.25)</f>
        <v>0.25</v>
      </c>
      <c r="U923" s="2">
        <f>IFERROR(__xludf.DUMMYFUNCTION("""COMPUTED_VALUE"""),0.25)</f>
        <v>0.25</v>
      </c>
      <c r="V923" s="1" t="str">
        <f>IFERROR(__xludf.DUMMYFUNCTION("""COMPUTED_VALUE"""),"Rae Erlano")</f>
        <v>Rae Erlano</v>
      </c>
      <c r="W923" s="1" t="str">
        <f>IFERROR(__xludf.DUMMYFUNCTION("""COMPUTED_VALUE"""),"Print Support PH")</f>
        <v>Print Support PH</v>
      </c>
    </row>
    <row r="924">
      <c r="O924" s="1" t="str">
        <f>IFERROR(__xludf.DUMMYFUNCTION("""COMPUTED_VALUE"""),"2025 Sep")</f>
        <v>2025 Sep</v>
      </c>
      <c r="P924" s="1" t="str">
        <f>IFERROR(__xludf.DUMMYFUNCTION("""COMPUTED_VALUE"""),"Core Product Support")</f>
        <v>Core Product Support</v>
      </c>
      <c r="Q924" s="1" t="str">
        <f>IFERROR(__xludf.DUMMYFUNCTION("""COMPUTED_VALUE"""),"danortiz@canva.com")</f>
        <v>danortiz@canva.com</v>
      </c>
      <c r="R924" s="1" t="str">
        <f>IFERROR(__xludf.DUMMYFUNCTION("""COMPUTED_VALUE"""),"Daniella Ortiz")</f>
        <v>Daniella Ortiz</v>
      </c>
      <c r="S924" s="1">
        <f>IFERROR(__xludf.DUMMYFUNCTION("""COMPUTED_VALUE"""),7.25)</f>
        <v>7.25</v>
      </c>
      <c r="T924" s="1">
        <f>IFERROR(__xludf.DUMMYFUNCTION("""COMPUTED_VALUE"""),50.75)</f>
        <v>50.75</v>
      </c>
      <c r="U924" s="2">
        <f>IFERROR(__xludf.DUMMYFUNCTION("""COMPUTED_VALUE"""),58.0)</f>
        <v>58</v>
      </c>
      <c r="V924" s="1" t="str">
        <f>IFERROR(__xludf.DUMMYFUNCTION("""COMPUTED_VALUE"""),"Cate Velasco")</f>
        <v>Cate Velasco</v>
      </c>
      <c r="W924" s="1" t="str">
        <f>IFERROR(__xludf.DUMMYFUNCTION("""COMPUTED_VALUE"""),"Advanced Product Support")</f>
        <v>Advanced Product Support</v>
      </c>
    </row>
    <row r="925">
      <c r="O925" s="1" t="str">
        <f>IFERROR(__xludf.DUMMYFUNCTION("""COMPUTED_VALUE"""),"2025 Sep")</f>
        <v>2025 Sep</v>
      </c>
      <c r="P925" s="1" t="str">
        <f>IFERROR(__xludf.DUMMYFUNCTION("""COMPUTED_VALUE"""),"Segment-specific Support")</f>
        <v>Segment-specific Support</v>
      </c>
      <c r="Q925" s="1" t="str">
        <f>IFERROR(__xludf.DUMMYFUNCTION("""COMPUTED_VALUE"""),"daniellegrace@canva.com")</f>
        <v>daniellegrace@canva.com</v>
      </c>
      <c r="R925" s="1" t="str">
        <f>IFERROR(__xludf.DUMMYFUNCTION("""COMPUTED_VALUE"""),"Danielle Marasigan")</f>
        <v>Danielle Marasigan</v>
      </c>
      <c r="S925" s="1">
        <f>IFERROR(__xludf.DUMMYFUNCTION("""COMPUTED_VALUE"""),2.5)</f>
        <v>2.5</v>
      </c>
      <c r="T925" s="1">
        <f>IFERROR(__xludf.DUMMYFUNCTION("""COMPUTED_VALUE"""),1.0)</f>
        <v>1</v>
      </c>
      <c r="U925" s="2">
        <f>IFERROR(__xludf.DUMMYFUNCTION("""COMPUTED_VALUE"""),3.5)</f>
        <v>3.5</v>
      </c>
      <c r="V925" s="1" t="str">
        <f>IFERROR(__xludf.DUMMYFUNCTION("""COMPUTED_VALUE"""),"Aileen Dayanghirang")</f>
        <v>Aileen Dayanghirang</v>
      </c>
      <c r="W925" s="1" t="str">
        <f>IFERROR(__xludf.DUMMYFUNCTION("""COMPUTED_VALUE"""),"Creators Support")</f>
        <v>Creators Support</v>
      </c>
    </row>
    <row r="926">
      <c r="O926" s="1" t="str">
        <f>IFERROR(__xludf.DUMMYFUNCTION("""COMPUTED_VALUE"""),"2025 Sep")</f>
        <v>2025 Sep</v>
      </c>
      <c r="P926" s="1" t="str">
        <f>IFERROR(__xludf.DUMMYFUNCTION("""COMPUTED_VALUE"""),"Admin Support")</f>
        <v>Admin Support</v>
      </c>
      <c r="Q926" s="1" t="str">
        <f>IFERROR(__xludf.DUMMYFUNCTION("""COMPUTED_VALUE"""),"dannah@canva.com")</f>
        <v>dannah@canva.com</v>
      </c>
      <c r="R926" s="1" t="str">
        <f>IFERROR(__xludf.DUMMYFUNCTION("""COMPUTED_VALUE"""),"Dannah Kate Dizon")</f>
        <v>Dannah Kate Dizon</v>
      </c>
      <c r="S926" s="1"/>
      <c r="T926" s="1">
        <f>IFERROR(__xludf.DUMMYFUNCTION("""COMPUTED_VALUE"""),2.25)</f>
        <v>2.25</v>
      </c>
      <c r="U926" s="2">
        <f>IFERROR(__xludf.DUMMYFUNCTION("""COMPUTED_VALUE"""),2.25)</f>
        <v>2.25</v>
      </c>
      <c r="V926" s="1" t="str">
        <f>IFERROR(__xludf.DUMMYFUNCTION("""COMPUTED_VALUE"""),"Karla Mananghaya")</f>
        <v>Karla Mananghaya</v>
      </c>
      <c r="W926" s="1" t="str">
        <f>IFERROR(__xludf.DUMMYFUNCTION("""COMPUTED_VALUE"""),"Admin Support Service Escalation Team")</f>
        <v>Admin Support Service Escalation Team</v>
      </c>
    </row>
    <row r="927">
      <c r="O927" s="1" t="str">
        <f>IFERROR(__xludf.DUMMYFUNCTION("""COMPUTED_VALUE"""),"2025 Sep")</f>
        <v>2025 Sep</v>
      </c>
      <c r="P927" s="1" t="str">
        <f>IFERROR(__xludf.DUMMYFUNCTION("""COMPUTED_VALUE"""),"High Sensitivity Support")</f>
        <v>High Sensitivity Support</v>
      </c>
      <c r="Q927" s="1" t="str">
        <f>IFERROR(__xludf.DUMMYFUNCTION("""COMPUTED_VALUE"""),"danrev@canva.com")</f>
        <v>danrev@canva.com</v>
      </c>
      <c r="R927" s="1" t="str">
        <f>IFERROR(__xludf.DUMMYFUNCTION("""COMPUTED_VALUE"""),"Danrev Bactad")</f>
        <v>Danrev Bactad</v>
      </c>
      <c r="S927" s="1">
        <f>IFERROR(__xludf.DUMMYFUNCTION("""COMPUTED_VALUE"""),12.75)</f>
        <v>12.75</v>
      </c>
      <c r="T927" s="1">
        <f>IFERROR(__xludf.DUMMYFUNCTION("""COMPUTED_VALUE"""),1.75)</f>
        <v>1.75</v>
      </c>
      <c r="U927" s="2">
        <f>IFERROR(__xludf.DUMMYFUNCTION("""COMPUTED_VALUE"""),14.5)</f>
        <v>14.5</v>
      </c>
      <c r="V927" s="1" t="str">
        <f>IFERROR(__xludf.DUMMYFUNCTION("""COMPUTED_VALUE"""),"Xandy Azarcon")</f>
        <v>Xandy Azarcon</v>
      </c>
      <c r="W927" s="1" t="str">
        <f>IFERROR(__xludf.DUMMYFUNCTION("""COMPUTED_VALUE"""),"High Sensitivity Support PH")</f>
        <v>High Sensitivity Support PH</v>
      </c>
    </row>
    <row r="928">
      <c r="O928" s="1" t="str">
        <f>IFERROR(__xludf.DUMMYFUNCTION("""COMPUTED_VALUE"""),"2025 Sep")</f>
        <v>2025 Sep</v>
      </c>
      <c r="P928" s="1" t="str">
        <f>IFERROR(__xludf.DUMMYFUNCTION("""COMPUTED_VALUE"""),"Print Support")</f>
        <v>Print Support</v>
      </c>
      <c r="Q928" s="1" t="str">
        <f>IFERROR(__xludf.DUMMYFUNCTION("""COMPUTED_VALUE"""),"daphne@canva.com")</f>
        <v>daphne@canva.com</v>
      </c>
      <c r="R928" s="1" t="str">
        <f>IFERROR(__xludf.DUMMYFUNCTION("""COMPUTED_VALUE"""),"Daphne Arboleda")</f>
        <v>Daphne Arboleda</v>
      </c>
      <c r="S928" s="1">
        <f>IFERROR(__xludf.DUMMYFUNCTION("""COMPUTED_VALUE"""),12.0)</f>
        <v>12</v>
      </c>
      <c r="T928" s="1">
        <f>IFERROR(__xludf.DUMMYFUNCTION("""COMPUTED_VALUE"""),0.0)</f>
        <v>0</v>
      </c>
      <c r="U928" s="2">
        <f>IFERROR(__xludf.DUMMYFUNCTION("""COMPUTED_VALUE"""),12.0)</f>
        <v>12</v>
      </c>
      <c r="V928" s="1" t="str">
        <f>IFERROR(__xludf.DUMMYFUNCTION("""COMPUTED_VALUE"""),"Memae Faustino")</f>
        <v>Memae Faustino</v>
      </c>
      <c r="W928" s="1" t="str">
        <f>IFERROR(__xludf.DUMMYFUNCTION("""COMPUTED_VALUE"""),"Print Support PH")</f>
        <v>Print Support PH</v>
      </c>
    </row>
    <row r="929">
      <c r="O929" s="1" t="str">
        <f>IFERROR(__xludf.DUMMYFUNCTION("""COMPUTED_VALUE"""),"2025 Sep")</f>
        <v>2025 Sep</v>
      </c>
      <c r="P929" s="1" t="str">
        <f>IFERROR(__xludf.DUMMYFUNCTION("""COMPUTED_VALUE"""),"High Sensitivity Support")</f>
        <v>High Sensitivity Support</v>
      </c>
      <c r="Q929" s="1" t="str">
        <f>IFERROR(__xludf.DUMMYFUNCTION("""COMPUTED_VALUE"""),"darrelm@canva.com")</f>
        <v>darrelm@canva.com</v>
      </c>
      <c r="R929" s="1" t="str">
        <f>IFERROR(__xludf.DUMMYFUNCTION("""COMPUTED_VALUE"""),"Darrel Marcelino")</f>
        <v>Darrel Marcelino</v>
      </c>
      <c r="S929" s="1"/>
      <c r="T929" s="1">
        <f>IFERROR(__xludf.DUMMYFUNCTION("""COMPUTED_VALUE"""),4.03)</f>
        <v>4.03</v>
      </c>
      <c r="U929" s="2">
        <f>IFERROR(__xludf.DUMMYFUNCTION("""COMPUTED_VALUE"""),4.03)</f>
        <v>4.03</v>
      </c>
      <c r="V929" s="1" t="str">
        <f>IFERROR(__xludf.DUMMYFUNCTION("""COMPUTED_VALUE"""),"Issi Afable")</f>
        <v>Issi Afable</v>
      </c>
      <c r="W929" s="1" t="str">
        <f>IFERROR(__xludf.DUMMYFUNCTION("""COMPUTED_VALUE"""),"High Sensitivity Support PH")</f>
        <v>High Sensitivity Support PH</v>
      </c>
    </row>
    <row r="930">
      <c r="O930" s="1" t="str">
        <f>IFERROR(__xludf.DUMMYFUNCTION("""COMPUTED_VALUE"""),"2025 Sep")</f>
        <v>2025 Sep</v>
      </c>
      <c r="P930" s="1" t="str">
        <f>IFERROR(__xludf.DUMMYFUNCTION("""COMPUTED_VALUE"""),"Core Product Support")</f>
        <v>Core Product Support</v>
      </c>
      <c r="Q930" s="1" t="str">
        <f>IFERROR(__xludf.DUMMYFUNCTION("""COMPUTED_VALUE"""),"davecosteloii@canva.com")</f>
        <v>davecosteloii@canva.com</v>
      </c>
      <c r="R930" s="1" t="str">
        <f>IFERROR(__xludf.DUMMYFUNCTION("""COMPUTED_VALUE"""),"Dave Costelo")</f>
        <v>Dave Costelo</v>
      </c>
      <c r="S930" s="1">
        <f>IFERROR(__xludf.DUMMYFUNCTION("""COMPUTED_VALUE"""),0.5)</f>
        <v>0.5</v>
      </c>
      <c r="T930" s="1">
        <f>IFERROR(__xludf.DUMMYFUNCTION("""COMPUTED_VALUE"""),4.17)</f>
        <v>4.17</v>
      </c>
      <c r="U930" s="2">
        <f>IFERROR(__xludf.DUMMYFUNCTION("""COMPUTED_VALUE"""),4.67)</f>
        <v>4.67</v>
      </c>
      <c r="V930" s="1" t="str">
        <f>IFERROR(__xludf.DUMMYFUNCTION("""COMPUTED_VALUE"""),"Jahmie Mae Barrameda")</f>
        <v>Jahmie Mae Barrameda</v>
      </c>
      <c r="W930" s="1" t="str">
        <f>IFERROR(__xludf.DUMMYFUNCTION("""COMPUTED_VALUE"""),"Advanced Billing &amp; Subscriptions")</f>
        <v>Advanced Billing &amp; Subscriptions</v>
      </c>
    </row>
    <row r="931">
      <c r="O931" s="1" t="str">
        <f>IFERROR(__xludf.DUMMYFUNCTION("""COMPUTED_VALUE"""),"2025 Sep")</f>
        <v>2025 Sep</v>
      </c>
      <c r="P931" s="1" t="str">
        <f>IFERROR(__xludf.DUMMYFUNCTION("""COMPUTED_VALUE"""),"Admin Support")</f>
        <v>Admin Support</v>
      </c>
      <c r="Q931" s="1" t="str">
        <f>IFERROR(__xludf.DUMMYFUNCTION("""COMPUTED_VALUE"""),"davidfrancis@canva.com")</f>
        <v>davidfrancis@canva.com</v>
      </c>
      <c r="R931" s="1" t="str">
        <f>IFERROR(__xludf.DUMMYFUNCTION("""COMPUTED_VALUE"""),"David Francis Dimatulac")</f>
        <v>David Francis Dimatulac</v>
      </c>
      <c r="S931" s="1"/>
      <c r="T931" s="1">
        <f>IFERROR(__xludf.DUMMYFUNCTION("""COMPUTED_VALUE"""),21.75)</f>
        <v>21.75</v>
      </c>
      <c r="U931" s="2">
        <f>IFERROR(__xludf.DUMMYFUNCTION("""COMPUTED_VALUE"""),21.75)</f>
        <v>21.75</v>
      </c>
      <c r="V931" s="1" t="str">
        <f>IFERROR(__xludf.DUMMYFUNCTION("""COMPUTED_VALUE"""),"Karla Mananghaya")</f>
        <v>Karla Mananghaya</v>
      </c>
      <c r="W931" s="1" t="str">
        <f>IFERROR(__xludf.DUMMYFUNCTION("""COMPUTED_VALUE"""),"Admin Support Service Escalation Team")</f>
        <v>Admin Support Service Escalation Team</v>
      </c>
    </row>
    <row r="932">
      <c r="O932" s="1" t="str">
        <f>IFERROR(__xludf.DUMMYFUNCTION("""COMPUTED_VALUE"""),"2025 Sep")</f>
        <v>2025 Sep</v>
      </c>
      <c r="P932" s="1" t="str">
        <f>IFERROR(__xludf.DUMMYFUNCTION("""COMPUTED_VALUE"""),"Core Product Support")</f>
        <v>Core Product Support</v>
      </c>
      <c r="Q932" s="1" t="str">
        <f>IFERROR(__xludf.DUMMYFUNCTION("""COMPUTED_VALUE"""),"denden@canva.com")</f>
        <v>denden@canva.com</v>
      </c>
      <c r="R932" s="1" t="str">
        <f>IFERROR(__xludf.DUMMYFUNCTION("""COMPUTED_VALUE"""),"Den Gutierrez")</f>
        <v>Den Gutierrez</v>
      </c>
      <c r="S932" s="1">
        <f>IFERROR(__xludf.DUMMYFUNCTION("""COMPUTED_VALUE"""),1.0)</f>
        <v>1</v>
      </c>
      <c r="T932" s="1">
        <f>IFERROR(__xludf.DUMMYFUNCTION("""COMPUTED_VALUE"""),3.25)</f>
        <v>3.25</v>
      </c>
      <c r="U932" s="2">
        <f>IFERROR(__xludf.DUMMYFUNCTION("""COMPUTED_VALUE"""),4.25)</f>
        <v>4.25</v>
      </c>
      <c r="V932" s="1" t="str">
        <f>IFERROR(__xludf.DUMMYFUNCTION("""COMPUTED_VALUE"""),"Sieg Ballelos")</f>
        <v>Sieg Ballelos</v>
      </c>
      <c r="W932" s="1" t="str">
        <f>IFERROR(__xludf.DUMMYFUNCTION("""COMPUTED_VALUE"""),"Core Product Support Escalation Team")</f>
        <v>Core Product Support Escalation Team</v>
      </c>
    </row>
    <row r="933">
      <c r="O933" s="1" t="str">
        <f>IFERROR(__xludf.DUMMYFUNCTION("""COMPUTED_VALUE"""),"2025 Sep")</f>
        <v>2025 Sep</v>
      </c>
      <c r="P933" s="1" t="str">
        <f>IFERROR(__xludf.DUMMYFUNCTION("""COMPUTED_VALUE"""),"Core Product Support")</f>
        <v>Core Product Support</v>
      </c>
      <c r="Q933" s="1" t="str">
        <f>IFERROR(__xludf.DUMMYFUNCTION("""COMPUTED_VALUE"""),"deniseadrms@canva.com")</f>
        <v>deniseadrms@canva.com</v>
      </c>
      <c r="R933" s="1" t="str">
        <f>IFERROR(__xludf.DUMMYFUNCTION("""COMPUTED_VALUE"""),"Denise Adoremos")</f>
        <v>Denise Adoremos</v>
      </c>
      <c r="S933" s="1">
        <f>IFERROR(__xludf.DUMMYFUNCTION("""COMPUTED_VALUE"""),0.75)</f>
        <v>0.75</v>
      </c>
      <c r="T933" s="1">
        <f>IFERROR(__xludf.DUMMYFUNCTION("""COMPUTED_VALUE"""),12.0)</f>
        <v>12</v>
      </c>
      <c r="U933" s="2">
        <f>IFERROR(__xludf.DUMMYFUNCTION("""COMPUTED_VALUE"""),12.75)</f>
        <v>12.75</v>
      </c>
      <c r="V933" s="1" t="str">
        <f>IFERROR(__xludf.DUMMYFUNCTION("""COMPUTED_VALUE"""),"Ana Lazaro")</f>
        <v>Ana Lazaro</v>
      </c>
      <c r="W933" s="1" t="str">
        <f>IFERROR(__xludf.DUMMYFUNCTION("""COMPUTED_VALUE"""),"Advanced Billing &amp; Subscriptions")</f>
        <v>Advanced Billing &amp; Subscriptions</v>
      </c>
    </row>
    <row r="934">
      <c r="O934" s="1" t="str">
        <f>IFERROR(__xludf.DUMMYFUNCTION("""COMPUTED_VALUE"""),"2025 Sep")</f>
        <v>2025 Sep</v>
      </c>
      <c r="P934" s="1" t="str">
        <f>IFERROR(__xludf.DUMMYFUNCTION("""COMPUTED_VALUE"""),"Segment-specific Support")</f>
        <v>Segment-specific Support</v>
      </c>
      <c r="Q934" s="1" t="str">
        <f>IFERROR(__xludf.DUMMYFUNCTION("""COMPUTED_VALUE"""),"dymplem@canva.com")</f>
        <v>dymplem@canva.com</v>
      </c>
      <c r="R934" s="1" t="str">
        <f>IFERROR(__xludf.DUMMYFUNCTION("""COMPUTED_VALUE"""),"Dymple Macaraeg")</f>
        <v>Dymple Macaraeg</v>
      </c>
      <c r="S934" s="1">
        <f>IFERROR(__xludf.DUMMYFUNCTION("""COMPUTED_VALUE"""),9.33)</f>
        <v>9.33</v>
      </c>
      <c r="T934" s="1">
        <f>IFERROR(__xludf.DUMMYFUNCTION("""COMPUTED_VALUE"""),9.75)</f>
        <v>9.75</v>
      </c>
      <c r="U934" s="2">
        <f>IFERROR(__xludf.DUMMYFUNCTION("""COMPUTED_VALUE"""),19.08)</f>
        <v>19.08</v>
      </c>
      <c r="V934" s="1" t="str">
        <f>IFERROR(__xludf.DUMMYFUNCTION("""COMPUTED_VALUE"""),"Rose Gabilan")</f>
        <v>Rose Gabilan</v>
      </c>
      <c r="W934" s="1" t="str">
        <f>IFERROR(__xludf.DUMMYFUNCTION("""COMPUTED_VALUE"""),"Affinity Support")</f>
        <v>Affinity Support</v>
      </c>
    </row>
    <row r="935">
      <c r="O935" s="1" t="str">
        <f>IFERROR(__xludf.DUMMYFUNCTION("""COMPUTED_VALUE"""),"2025 Sep")</f>
        <v>2025 Sep</v>
      </c>
      <c r="P935" s="1" t="str">
        <f>IFERROR(__xludf.DUMMYFUNCTION("""COMPUTED_VALUE"""),"Admin Support")</f>
        <v>Admin Support</v>
      </c>
      <c r="Q935" s="1" t="str">
        <f>IFERROR(__xludf.DUMMYFUNCTION("""COMPUTED_VALUE"""),"edlico@canva.com")</f>
        <v>edlico@canva.com</v>
      </c>
      <c r="R935" s="1" t="str">
        <f>IFERROR(__xludf.DUMMYFUNCTION("""COMPUTED_VALUE"""),"Ed Lico")</f>
        <v>Ed Lico</v>
      </c>
      <c r="S935" s="1">
        <f>IFERROR(__xludf.DUMMYFUNCTION("""COMPUTED_VALUE"""),2.0)</f>
        <v>2</v>
      </c>
      <c r="T935" s="1">
        <f>IFERROR(__xludf.DUMMYFUNCTION("""COMPUTED_VALUE"""),12.25)</f>
        <v>12.25</v>
      </c>
      <c r="U935" s="2">
        <f>IFERROR(__xludf.DUMMYFUNCTION("""COMPUTED_VALUE"""),14.25)</f>
        <v>14.25</v>
      </c>
      <c r="V935" s="1" t="str">
        <f>IFERROR(__xludf.DUMMYFUNCTION("""COMPUTED_VALUE"""),"Pau Palmero")</f>
        <v>Pau Palmero</v>
      </c>
      <c r="W935" s="1" t="str">
        <f>IFERROR(__xludf.DUMMYFUNCTION("""COMPUTED_VALUE"""),"Admin Omni Support")</f>
        <v>Admin Omni Support</v>
      </c>
    </row>
    <row r="936">
      <c r="O936" s="1" t="str">
        <f>IFERROR(__xludf.DUMMYFUNCTION("""COMPUTED_VALUE"""),"2025 Sep")</f>
        <v>2025 Sep</v>
      </c>
      <c r="P936" s="1" t="str">
        <f>IFERROR(__xludf.DUMMYFUNCTION("""COMPUTED_VALUE"""),"Multilingual Support")</f>
        <v>Multilingual Support</v>
      </c>
      <c r="Q936" s="1" t="str">
        <f>IFERROR(__xludf.DUMMYFUNCTION("""COMPUTED_VALUE"""),"elmata@canva.com")</f>
        <v>elmata@canva.com</v>
      </c>
      <c r="R936" s="1" t="str">
        <f>IFERROR(__xludf.DUMMYFUNCTION("""COMPUTED_VALUE"""),"Elmer Matarlo")</f>
        <v>Elmer Matarlo</v>
      </c>
      <c r="S936" s="1">
        <f>IFERROR(__xludf.DUMMYFUNCTION("""COMPUTED_VALUE"""),1.5)</f>
        <v>1.5</v>
      </c>
      <c r="T936" s="1">
        <f>IFERROR(__xludf.DUMMYFUNCTION("""COMPUTED_VALUE"""),3.25)</f>
        <v>3.25</v>
      </c>
      <c r="U936" s="2">
        <f>IFERROR(__xludf.DUMMYFUNCTION("""COMPUTED_VALUE"""),4.75)</f>
        <v>4.75</v>
      </c>
      <c r="V936" s="1" t="str">
        <f>IFERROR(__xludf.DUMMYFUNCTION("""COMPUTED_VALUE"""),"Arlene Maurillo")</f>
        <v>Arlene Maurillo</v>
      </c>
      <c r="W936" s="1" t="str">
        <f>IFERROR(__xludf.DUMMYFUNCTION("""COMPUTED_VALUE"""),"PHL, Multilingual Support")</f>
        <v>PHL, Multilingual Support</v>
      </c>
    </row>
    <row r="937">
      <c r="O937" s="1" t="str">
        <f>IFERROR(__xludf.DUMMYFUNCTION("""COMPUTED_VALUE"""),"2025 Sep")</f>
        <v>2025 Sep</v>
      </c>
      <c r="P937" s="1" t="str">
        <f>IFERROR(__xludf.DUMMYFUNCTION("""COMPUTED_VALUE"""),"#N/A")</f>
        <v>#N/A</v>
      </c>
      <c r="Q937" s="1" t="str">
        <f>IFERROR(__xludf.DUMMYFUNCTION("""COMPUTED_VALUE"""),"emdavid@canva.com")</f>
        <v>emdavid@canva.com</v>
      </c>
      <c r="R937" s="1" t="str">
        <f>IFERROR(__xludf.DUMMYFUNCTION("""COMPUTED_VALUE"""),"Em David")</f>
        <v>Em David</v>
      </c>
      <c r="S937" s="1">
        <f>IFERROR(__xludf.DUMMYFUNCTION("""COMPUTED_VALUE"""),1.08)</f>
        <v>1.08</v>
      </c>
      <c r="T937" s="1">
        <f>IFERROR(__xludf.DUMMYFUNCTION("""COMPUTED_VALUE"""),6.58)</f>
        <v>6.58</v>
      </c>
      <c r="U937" s="2">
        <f>IFERROR(__xludf.DUMMYFUNCTION("""COMPUTED_VALUE"""),7.66)</f>
        <v>7.66</v>
      </c>
      <c r="V937" s="1" t="str">
        <f>IFERROR(__xludf.DUMMYFUNCTION("""COMPUTED_VALUE"""),"Vianca De Jesus")</f>
        <v>Vianca De Jesus</v>
      </c>
      <c r="W937" s="1" t="str">
        <f>IFERROR(__xludf.DUMMYFUNCTION("""COMPUTED_VALUE"""),"Advanced Chat Support")</f>
        <v>Advanced Chat Support</v>
      </c>
    </row>
    <row r="938">
      <c r="O938" s="1" t="str">
        <f>IFERROR(__xludf.DUMMYFUNCTION("""COMPUTED_VALUE"""),"2025 Sep")</f>
        <v>2025 Sep</v>
      </c>
      <c r="P938" s="1" t="str">
        <f>IFERROR(__xludf.DUMMYFUNCTION("""COMPUTED_VALUE"""),"Core Product Support")</f>
        <v>Core Product Support</v>
      </c>
      <c r="Q938" s="1" t="str">
        <f>IFERROR(__xludf.DUMMYFUNCTION("""COMPUTED_VALUE"""),"ena@canva.com")</f>
        <v>ena@canva.com</v>
      </c>
      <c r="R938" s="1" t="str">
        <f>IFERROR(__xludf.DUMMYFUNCTION("""COMPUTED_VALUE"""),"Ena Reyes")</f>
        <v>Ena Reyes</v>
      </c>
      <c r="S938" s="1">
        <f>IFERROR(__xludf.DUMMYFUNCTION("""COMPUTED_VALUE"""),0.5)</f>
        <v>0.5</v>
      </c>
      <c r="T938" s="1">
        <f>IFERROR(__xludf.DUMMYFUNCTION("""COMPUTED_VALUE"""),4.25)</f>
        <v>4.25</v>
      </c>
      <c r="U938" s="2">
        <f>IFERROR(__xludf.DUMMYFUNCTION("""COMPUTED_VALUE"""),4.75)</f>
        <v>4.75</v>
      </c>
      <c r="V938" s="1" t="str">
        <f>IFERROR(__xludf.DUMMYFUNCTION("""COMPUTED_VALUE"""),"Jem Mondoñedo")</f>
        <v>Jem Mondoñedo</v>
      </c>
      <c r="W938" s="1" t="str">
        <f>IFERROR(__xludf.DUMMYFUNCTION("""COMPUTED_VALUE"""),"Advanced Billing &amp; Subscriptions")</f>
        <v>Advanced Billing &amp; Subscriptions</v>
      </c>
    </row>
    <row r="939">
      <c r="O939" s="1" t="str">
        <f>IFERROR(__xludf.DUMMYFUNCTION("""COMPUTED_VALUE"""),"2025 Sep")</f>
        <v>2025 Sep</v>
      </c>
      <c r="P939" s="1" t="str">
        <f>IFERROR(__xludf.DUMMYFUNCTION("""COMPUTED_VALUE"""),"Admin Support")</f>
        <v>Admin Support</v>
      </c>
      <c r="Q939" s="1" t="str">
        <f>IFERROR(__xludf.DUMMYFUNCTION("""COMPUTED_VALUE"""),"enrique@canva.com")</f>
        <v>enrique@canva.com</v>
      </c>
      <c r="R939" s="1" t="str">
        <f>IFERROR(__xludf.DUMMYFUNCTION("""COMPUTED_VALUE"""),"Enrique Paolo Catuncan")</f>
        <v>Enrique Paolo Catuncan</v>
      </c>
      <c r="S939" s="1"/>
      <c r="T939" s="1">
        <f>IFERROR(__xludf.DUMMYFUNCTION("""COMPUTED_VALUE"""),9.25)</f>
        <v>9.25</v>
      </c>
      <c r="U939" s="2">
        <f>IFERROR(__xludf.DUMMYFUNCTION("""COMPUTED_VALUE"""),9.25)</f>
        <v>9.25</v>
      </c>
      <c r="V939" s="1" t="str">
        <f>IFERROR(__xludf.DUMMYFUNCTION("""COMPUTED_VALUE"""),"AL Suarez")</f>
        <v>AL Suarez</v>
      </c>
      <c r="W939" s="1" t="str">
        <f>IFERROR(__xludf.DUMMYFUNCTION("""COMPUTED_VALUE"""),"Admin Direct Support")</f>
        <v>Admin Direct Support</v>
      </c>
    </row>
    <row r="940">
      <c r="O940" s="1" t="str">
        <f>IFERROR(__xludf.DUMMYFUNCTION("""COMPUTED_VALUE"""),"2025 Sep")</f>
        <v>2025 Sep</v>
      </c>
      <c r="P940" s="1" t="str">
        <f>IFERROR(__xludf.DUMMYFUNCTION("""COMPUTED_VALUE"""),"#N/A")</f>
        <v>#N/A</v>
      </c>
      <c r="Q940" s="1" t="str">
        <f>IFERROR(__xludf.DUMMYFUNCTION("""COMPUTED_VALUE"""),"enicole@canva.com")</f>
        <v>enicole@canva.com</v>
      </c>
      <c r="R940" s="1" t="str">
        <f>IFERROR(__xludf.DUMMYFUNCTION("""COMPUTED_VALUE"""),"Ericka Nicole Andrade")</f>
        <v>Ericka Nicole Andrade</v>
      </c>
      <c r="S940" s="1">
        <f>IFERROR(__xludf.DUMMYFUNCTION("""COMPUTED_VALUE"""),8.75)</f>
        <v>8.75</v>
      </c>
      <c r="T940" s="1">
        <f>IFERROR(__xludf.DUMMYFUNCTION("""COMPUTED_VALUE"""),49.25)</f>
        <v>49.25</v>
      </c>
      <c r="U940" s="2">
        <f>IFERROR(__xludf.DUMMYFUNCTION("""COMPUTED_VALUE"""),58.0)</f>
        <v>58</v>
      </c>
      <c r="V940" s="1" t="str">
        <f>IFERROR(__xludf.DUMMYFUNCTION("""COMPUTED_VALUE"""),"Cate Velasco")</f>
        <v>Cate Velasco</v>
      </c>
      <c r="W940" s="1" t="str">
        <f>IFERROR(__xludf.DUMMYFUNCTION("""COMPUTED_VALUE"""),"Advanced Product Support")</f>
        <v>Advanced Product Support</v>
      </c>
    </row>
    <row r="941">
      <c r="O941" s="1" t="str">
        <f>IFERROR(__xludf.DUMMYFUNCTION("""COMPUTED_VALUE"""),"2025 Sep")</f>
        <v>2025 Sep</v>
      </c>
      <c r="P941" s="1" t="str">
        <f>IFERROR(__xludf.DUMMYFUNCTION("""COMPUTED_VALUE"""),"Print Support")</f>
        <v>Print Support</v>
      </c>
      <c r="Q941" s="1" t="str">
        <f>IFERROR(__xludf.DUMMYFUNCTION("""COMPUTED_VALUE"""),"erielle@canva.com")</f>
        <v>erielle@canva.com</v>
      </c>
      <c r="R941" s="1" t="str">
        <f>IFERROR(__xludf.DUMMYFUNCTION("""COMPUTED_VALUE"""),"Erielle Singular")</f>
        <v>Erielle Singular</v>
      </c>
      <c r="S941" s="1">
        <f>IFERROR(__xludf.DUMMYFUNCTION("""COMPUTED_VALUE"""),6.0)</f>
        <v>6</v>
      </c>
      <c r="T941" s="1">
        <f>IFERROR(__xludf.DUMMYFUNCTION("""COMPUTED_VALUE"""),40.0)</f>
        <v>40</v>
      </c>
      <c r="U941" s="2">
        <f>IFERROR(__xludf.DUMMYFUNCTION("""COMPUTED_VALUE"""),46.0)</f>
        <v>46</v>
      </c>
      <c r="V941" s="1" t="str">
        <f>IFERROR(__xludf.DUMMYFUNCTION("""COMPUTED_VALUE"""),"Rei De Jesus")</f>
        <v>Rei De Jesus</v>
      </c>
      <c r="W941" s="1" t="str">
        <f>IFERROR(__xludf.DUMMYFUNCTION("""COMPUTED_VALUE"""),"Print Design Support")</f>
        <v>Print Design Support</v>
      </c>
    </row>
    <row r="942">
      <c r="O942" s="1" t="str">
        <f>IFERROR(__xludf.DUMMYFUNCTION("""COMPUTED_VALUE"""),"2025 Sep")</f>
        <v>2025 Sep</v>
      </c>
      <c r="P942" s="1" t="str">
        <f>IFERROR(__xludf.DUMMYFUNCTION("""COMPUTED_VALUE"""),"#N/A")</f>
        <v>#N/A</v>
      </c>
      <c r="Q942" s="1" t="str">
        <f>IFERROR(__xludf.DUMMYFUNCTION("""COMPUTED_VALUE"""),"venturaestelle@canva.com")</f>
        <v>venturaestelle@canva.com</v>
      </c>
      <c r="R942" s="1" t="str">
        <f>IFERROR(__xludf.DUMMYFUNCTION("""COMPUTED_VALUE"""),"Estelle Ventura")</f>
        <v>Estelle Ventura</v>
      </c>
      <c r="S942" s="1">
        <f>IFERROR(__xludf.DUMMYFUNCTION("""COMPUTED_VALUE"""),3.0)</f>
        <v>3</v>
      </c>
      <c r="T942" s="1">
        <f>IFERROR(__xludf.DUMMYFUNCTION("""COMPUTED_VALUE"""),0.0)</f>
        <v>0</v>
      </c>
      <c r="U942" s="2">
        <f>IFERROR(__xludf.DUMMYFUNCTION("""COMPUTED_VALUE"""),3.0)</f>
        <v>3</v>
      </c>
      <c r="V942" s="1" t="str">
        <f>IFERROR(__xludf.DUMMYFUNCTION("""COMPUTED_VALUE"""),"#N/A")</f>
        <v>#N/A</v>
      </c>
      <c r="W942" s="1" t="str">
        <f>IFERROR(__xludf.DUMMYFUNCTION("""COMPUTED_VALUE"""),"#N/A")</f>
        <v>#N/A</v>
      </c>
    </row>
    <row r="943">
      <c r="O943" s="1" t="str">
        <f>IFERROR(__xludf.DUMMYFUNCTION("""COMPUTED_VALUE"""),"2025 Sep")</f>
        <v>2025 Sep</v>
      </c>
      <c r="P943" s="1" t="str">
        <f>IFERROR(__xludf.DUMMYFUNCTION("""COMPUTED_VALUE"""),"Core Product Support")</f>
        <v>Core Product Support</v>
      </c>
      <c r="Q943" s="1" t="str">
        <f>IFERROR(__xludf.DUMMYFUNCTION("""COMPUTED_VALUE"""),"euni@canva.com")</f>
        <v>euni@canva.com</v>
      </c>
      <c r="R943" s="1" t="str">
        <f>IFERROR(__xludf.DUMMYFUNCTION("""COMPUTED_VALUE"""),"Eunice Hachero")</f>
        <v>Eunice Hachero</v>
      </c>
      <c r="S943" s="1">
        <f>IFERROR(__xludf.DUMMYFUNCTION("""COMPUTED_VALUE"""),0.5)</f>
        <v>0.5</v>
      </c>
      <c r="T943" s="1">
        <f>IFERROR(__xludf.DUMMYFUNCTION("""COMPUTED_VALUE"""),10.5)</f>
        <v>10.5</v>
      </c>
      <c r="U943" s="2">
        <f>IFERROR(__xludf.DUMMYFUNCTION("""COMPUTED_VALUE"""),11.0)</f>
        <v>11</v>
      </c>
      <c r="V943" s="1" t="str">
        <f>IFERROR(__xludf.DUMMYFUNCTION("""COMPUTED_VALUE"""),"Marie Mordeno")</f>
        <v>Marie Mordeno</v>
      </c>
      <c r="W943" s="1" t="str">
        <f>IFERROR(__xludf.DUMMYFUNCTION("""COMPUTED_VALUE"""),"Advanced Billing &amp; Subscriptions")</f>
        <v>Advanced Billing &amp; Subscriptions</v>
      </c>
    </row>
    <row r="944">
      <c r="O944" s="1" t="str">
        <f>IFERROR(__xludf.DUMMYFUNCTION("""COMPUTED_VALUE"""),"2025 Sep")</f>
        <v>2025 Sep</v>
      </c>
      <c r="P944" s="1" t="str">
        <f>IFERROR(__xludf.DUMMYFUNCTION("""COMPUTED_VALUE"""),"Admin Support")</f>
        <v>Admin Support</v>
      </c>
      <c r="Q944" s="1" t="str">
        <f>IFERROR(__xludf.DUMMYFUNCTION("""COMPUTED_VALUE"""),"eziecl@canva.com")</f>
        <v>eziecl@canva.com</v>
      </c>
      <c r="R944" s="1" t="str">
        <f>IFERROR(__xludf.DUMMYFUNCTION("""COMPUTED_VALUE"""),"Ezekiel Marlin Lacson")</f>
        <v>Ezekiel Marlin Lacson</v>
      </c>
      <c r="S944" s="1"/>
      <c r="T944" s="1">
        <f>IFERROR(__xludf.DUMMYFUNCTION("""COMPUTED_VALUE"""),11.25)</f>
        <v>11.25</v>
      </c>
      <c r="U944" s="2">
        <f>IFERROR(__xludf.DUMMYFUNCTION("""COMPUTED_VALUE"""),11.25)</f>
        <v>11.25</v>
      </c>
      <c r="V944" s="1" t="str">
        <f>IFERROR(__xludf.DUMMYFUNCTION("""COMPUTED_VALUE"""),"Pau Palmero")</f>
        <v>Pau Palmero</v>
      </c>
      <c r="W944" s="1" t="str">
        <f>IFERROR(__xludf.DUMMYFUNCTION("""COMPUTED_VALUE"""),"Admin Omni Support")</f>
        <v>Admin Omni Support</v>
      </c>
    </row>
    <row r="945">
      <c r="O945" s="1" t="str">
        <f>IFERROR(__xludf.DUMMYFUNCTION("""COMPUTED_VALUE"""),"2025 Sep")</f>
        <v>2025 Sep</v>
      </c>
      <c r="P945" s="1" t="str">
        <f>IFERROR(__xludf.DUMMYFUNCTION("""COMPUTED_VALUE"""),"Print Support")</f>
        <v>Print Support</v>
      </c>
      <c r="Q945" s="1" t="str">
        <f>IFERROR(__xludf.DUMMYFUNCTION("""COMPUTED_VALUE"""),"faith@canva.com")</f>
        <v>faith@canva.com</v>
      </c>
      <c r="R945" s="1" t="str">
        <f>IFERROR(__xludf.DUMMYFUNCTION("""COMPUTED_VALUE"""),"Faith Ytang")</f>
        <v>Faith Ytang</v>
      </c>
      <c r="S945" s="1">
        <f>IFERROR(__xludf.DUMMYFUNCTION("""COMPUTED_VALUE"""),20.0)</f>
        <v>20</v>
      </c>
      <c r="T945" s="1">
        <f>IFERROR(__xludf.DUMMYFUNCTION("""COMPUTED_VALUE"""),0.0)</f>
        <v>0</v>
      </c>
      <c r="U945" s="2">
        <f>IFERROR(__xludf.DUMMYFUNCTION("""COMPUTED_VALUE"""),20.0)</f>
        <v>20</v>
      </c>
      <c r="V945" s="1" t="str">
        <f>IFERROR(__xludf.DUMMYFUNCTION("""COMPUTED_VALUE"""),"Memae Faustino")</f>
        <v>Memae Faustino</v>
      </c>
      <c r="W945" s="1" t="str">
        <f>IFERROR(__xludf.DUMMYFUNCTION("""COMPUTED_VALUE"""),"Print Support PH")</f>
        <v>Print Support PH</v>
      </c>
    </row>
    <row r="946">
      <c r="O946" s="1" t="str">
        <f>IFERROR(__xludf.DUMMYFUNCTION("""COMPUTED_VALUE"""),"2025 Sep")</f>
        <v>2025 Sep</v>
      </c>
      <c r="P946" s="1" t="str">
        <f>IFERROR(__xludf.DUMMYFUNCTION("""COMPUTED_VALUE"""),"Multilingual Support")</f>
        <v>Multilingual Support</v>
      </c>
      <c r="Q946" s="1" t="str">
        <f>IFERROR(__xludf.DUMMYFUNCTION("""COMPUTED_VALUE"""),"francescamat@canva.com")</f>
        <v>francescamat@canva.com</v>
      </c>
      <c r="R946" s="1" t="str">
        <f>IFERROR(__xludf.DUMMYFUNCTION("""COMPUTED_VALUE"""),"Francesca Mat")</f>
        <v>Francesca Mat</v>
      </c>
      <c r="S946" s="1">
        <f>IFERROR(__xludf.DUMMYFUNCTION("""COMPUTED_VALUE"""),0.5)</f>
        <v>0.5</v>
      </c>
      <c r="T946" s="1">
        <f>IFERROR(__xludf.DUMMYFUNCTION("""COMPUTED_VALUE"""),3.25)</f>
        <v>3.25</v>
      </c>
      <c r="U946" s="2">
        <f>IFERROR(__xludf.DUMMYFUNCTION("""COMPUTED_VALUE"""),3.75)</f>
        <v>3.75</v>
      </c>
      <c r="V946" s="1" t="str">
        <f>IFERROR(__xludf.DUMMYFUNCTION("""COMPUTED_VALUE"""),"Arlene Maurillo")</f>
        <v>Arlene Maurillo</v>
      </c>
      <c r="W946" s="1" t="str">
        <f>IFERROR(__xludf.DUMMYFUNCTION("""COMPUTED_VALUE"""),"PHL, Multilingual Support")</f>
        <v>PHL, Multilingual Support</v>
      </c>
    </row>
    <row r="947">
      <c r="O947" s="1" t="str">
        <f>IFERROR(__xludf.DUMMYFUNCTION("""COMPUTED_VALUE"""),"2025 Sep")</f>
        <v>2025 Sep</v>
      </c>
      <c r="P947" s="1" t="str">
        <f>IFERROR(__xludf.DUMMYFUNCTION("""COMPUTED_VALUE"""),"Core Product Support")</f>
        <v>Core Product Support</v>
      </c>
      <c r="Q947" s="1" t="str">
        <f>IFERROR(__xludf.DUMMYFUNCTION("""COMPUTED_VALUE"""),"fweill@canva.com")</f>
        <v>fweill@canva.com</v>
      </c>
      <c r="R947" s="1" t="str">
        <f>IFERROR(__xludf.DUMMYFUNCTION("""COMPUTED_VALUE"""),"Frank Weill")</f>
        <v>Frank Weill</v>
      </c>
      <c r="S947" s="1">
        <f>IFERROR(__xludf.DUMMYFUNCTION("""COMPUTED_VALUE"""),1.0)</f>
        <v>1</v>
      </c>
      <c r="T947" s="1">
        <f>IFERROR(__xludf.DUMMYFUNCTION("""COMPUTED_VALUE"""),13.72)</f>
        <v>13.72</v>
      </c>
      <c r="U947" s="2">
        <f>IFERROR(__xludf.DUMMYFUNCTION("""COMPUTED_VALUE"""),14.72)</f>
        <v>14.72</v>
      </c>
      <c r="V947" s="1" t="str">
        <f>IFERROR(__xludf.DUMMYFUNCTION("""COMPUTED_VALUE"""),"Manee Barrasa")</f>
        <v>Manee Barrasa</v>
      </c>
      <c r="W947" s="1" t="str">
        <f>IFERROR(__xludf.DUMMYFUNCTION("""COMPUTED_VALUE"""),"Advanced Billing &amp; Subscriptions")</f>
        <v>Advanced Billing &amp; Subscriptions</v>
      </c>
    </row>
    <row r="948">
      <c r="O948" s="1" t="str">
        <f>IFERROR(__xludf.DUMMYFUNCTION("""COMPUTED_VALUE"""),"2025 Sep")</f>
        <v>2025 Sep</v>
      </c>
      <c r="P948" s="1" t="str">
        <f>IFERROR(__xludf.DUMMYFUNCTION("""COMPUTED_VALUE"""),"Print Support")</f>
        <v>Print Support</v>
      </c>
      <c r="Q948" s="1" t="str">
        <f>IFERROR(__xludf.DUMMYFUNCTION("""COMPUTED_VALUE"""),"frencie@canva.com")</f>
        <v>frencie@canva.com</v>
      </c>
      <c r="R948" s="1" t="str">
        <f>IFERROR(__xludf.DUMMYFUNCTION("""COMPUTED_VALUE"""),"Frencie Guzman")</f>
        <v>Frencie Guzman</v>
      </c>
      <c r="S948" s="1">
        <f>IFERROR(__xludf.DUMMYFUNCTION("""COMPUTED_VALUE"""),6.28)</f>
        <v>6.28</v>
      </c>
      <c r="T948" s="1">
        <f>IFERROR(__xludf.DUMMYFUNCTION("""COMPUTED_VALUE"""),0.97)</f>
        <v>0.97</v>
      </c>
      <c r="U948" s="2">
        <f>IFERROR(__xludf.DUMMYFUNCTION("""COMPUTED_VALUE"""),7.25)</f>
        <v>7.25</v>
      </c>
      <c r="V948" s="1" t="str">
        <f>IFERROR(__xludf.DUMMYFUNCTION("""COMPUTED_VALUE"""),"Aliza Dote")</f>
        <v>Aliza Dote</v>
      </c>
      <c r="W948" s="1" t="str">
        <f>IFERROR(__xludf.DUMMYFUNCTION("""COMPUTED_VALUE"""),"Print Design Support")</f>
        <v>Print Design Support</v>
      </c>
    </row>
    <row r="949">
      <c r="O949" s="1" t="str">
        <f>IFERROR(__xludf.DUMMYFUNCTION("""COMPUTED_VALUE"""),"2025 Sep")</f>
        <v>2025 Sep</v>
      </c>
      <c r="P949" s="1" t="str">
        <f>IFERROR(__xludf.DUMMYFUNCTION("""COMPUTED_VALUE"""),"Print Support")</f>
        <v>Print Support</v>
      </c>
      <c r="Q949" s="1" t="str">
        <f>IFERROR(__xludf.DUMMYFUNCTION("""COMPUTED_VALUE"""),"gvr@canva.com")</f>
        <v>gvr@canva.com</v>
      </c>
      <c r="R949" s="1" t="str">
        <f>IFERROR(__xludf.DUMMYFUNCTION("""COMPUTED_VALUE"""),"Gabriel Reyes")</f>
        <v>Gabriel Reyes</v>
      </c>
      <c r="S949" s="1">
        <f>IFERROR(__xludf.DUMMYFUNCTION("""COMPUTED_VALUE"""),15.0)</f>
        <v>15</v>
      </c>
      <c r="T949" s="1">
        <f>IFERROR(__xludf.DUMMYFUNCTION("""COMPUTED_VALUE"""),0.75)</f>
        <v>0.75</v>
      </c>
      <c r="U949" s="2">
        <f>IFERROR(__xludf.DUMMYFUNCTION("""COMPUTED_VALUE"""),15.75)</f>
        <v>15.75</v>
      </c>
      <c r="V949" s="1" t="str">
        <f>IFERROR(__xludf.DUMMYFUNCTION("""COMPUTED_VALUE"""),"Memae Faustino")</f>
        <v>Memae Faustino</v>
      </c>
      <c r="W949" s="1" t="str">
        <f>IFERROR(__xludf.DUMMYFUNCTION("""COMPUTED_VALUE"""),"Print Support PH")</f>
        <v>Print Support PH</v>
      </c>
    </row>
    <row r="950">
      <c r="O950" s="1" t="str">
        <f>IFERROR(__xludf.DUMMYFUNCTION("""COMPUTED_VALUE"""),"2025 Sep")</f>
        <v>2025 Sep</v>
      </c>
      <c r="P950" s="1" t="str">
        <f>IFERROR(__xludf.DUMMYFUNCTION("""COMPUTED_VALUE"""),"High Sensitivity Support")</f>
        <v>High Sensitivity Support</v>
      </c>
      <c r="Q950" s="1" t="str">
        <f>IFERROR(__xludf.DUMMYFUNCTION("""COMPUTED_VALUE"""),"gsanandres@canva.com")</f>
        <v>gsanandres@canva.com</v>
      </c>
      <c r="R950" s="1" t="str">
        <f>IFERROR(__xludf.DUMMYFUNCTION("""COMPUTED_VALUE"""),"Galvin San Andres")</f>
        <v>Galvin San Andres</v>
      </c>
      <c r="S950" s="1">
        <f>IFERROR(__xludf.DUMMYFUNCTION("""COMPUTED_VALUE"""),11.25)</f>
        <v>11.25</v>
      </c>
      <c r="T950" s="1">
        <f>IFERROR(__xludf.DUMMYFUNCTION("""COMPUTED_VALUE"""),3.25)</f>
        <v>3.25</v>
      </c>
      <c r="U950" s="2">
        <f>IFERROR(__xludf.DUMMYFUNCTION("""COMPUTED_VALUE"""),14.5)</f>
        <v>14.5</v>
      </c>
      <c r="V950" s="1" t="str">
        <f>IFERROR(__xludf.DUMMYFUNCTION("""COMPUTED_VALUE"""),"Xandy Azarcon")</f>
        <v>Xandy Azarcon</v>
      </c>
      <c r="W950" s="1" t="str">
        <f>IFERROR(__xludf.DUMMYFUNCTION("""COMPUTED_VALUE"""),"High Sensitivity Support PH")</f>
        <v>High Sensitivity Support PH</v>
      </c>
    </row>
    <row r="951">
      <c r="O951" s="1" t="str">
        <f>IFERROR(__xludf.DUMMYFUNCTION("""COMPUTED_VALUE"""),"2025 Sep")</f>
        <v>2025 Sep</v>
      </c>
      <c r="P951" s="1" t="str">
        <f>IFERROR(__xludf.DUMMYFUNCTION("""COMPUTED_VALUE"""),"Core Product Support")</f>
        <v>Core Product Support</v>
      </c>
      <c r="Q951" s="1" t="str">
        <f>IFERROR(__xludf.DUMMYFUNCTION("""COMPUTED_VALUE"""),"gsauler@canva.com")</f>
        <v>gsauler@canva.com</v>
      </c>
      <c r="R951" s="1" t="str">
        <f>IFERROR(__xludf.DUMMYFUNCTION("""COMPUTED_VALUE"""),"Gem Sauler")</f>
        <v>Gem Sauler</v>
      </c>
      <c r="S951" s="1">
        <f>IFERROR(__xludf.DUMMYFUNCTION("""COMPUTED_VALUE"""),5.0)</f>
        <v>5</v>
      </c>
      <c r="T951" s="1">
        <f>IFERROR(__xludf.DUMMYFUNCTION("""COMPUTED_VALUE"""),13.25)</f>
        <v>13.25</v>
      </c>
      <c r="U951" s="2">
        <f>IFERROR(__xludf.DUMMYFUNCTION("""COMPUTED_VALUE"""),18.25)</f>
        <v>18.25</v>
      </c>
      <c r="V951" s="1" t="str">
        <f>IFERROR(__xludf.DUMMYFUNCTION("""COMPUTED_VALUE"""),"Mikhaela Decangchon")</f>
        <v>Mikhaela Decangchon</v>
      </c>
      <c r="W951" s="1" t="str">
        <f>IFERROR(__xludf.DUMMYFUNCTION("""COMPUTED_VALUE"""),"Advanced Product Support")</f>
        <v>Advanced Product Support</v>
      </c>
    </row>
    <row r="952">
      <c r="O952" s="1" t="str">
        <f>IFERROR(__xludf.DUMMYFUNCTION("""COMPUTED_VALUE"""),"2025 Sep")</f>
        <v>2025 Sep</v>
      </c>
      <c r="P952" s="1" t="str">
        <f>IFERROR(__xludf.DUMMYFUNCTION("""COMPUTED_VALUE"""),"Core Product Support")</f>
        <v>Core Product Support</v>
      </c>
      <c r="Q952" s="1" t="str">
        <f>IFERROR(__xludf.DUMMYFUNCTION("""COMPUTED_VALUE"""),"gemmalyn@canva.com")</f>
        <v>gemmalyn@canva.com</v>
      </c>
      <c r="R952" s="1" t="str">
        <f>IFERROR(__xludf.DUMMYFUNCTION("""COMPUTED_VALUE"""),"Gemma Gaddi")</f>
        <v>Gemma Gaddi</v>
      </c>
      <c r="S952" s="1">
        <f>IFERROR(__xludf.DUMMYFUNCTION("""COMPUTED_VALUE"""),0.75)</f>
        <v>0.75</v>
      </c>
      <c r="T952" s="1">
        <f>IFERROR(__xludf.DUMMYFUNCTION("""COMPUTED_VALUE"""),11.83)</f>
        <v>11.83</v>
      </c>
      <c r="U952" s="2">
        <f>IFERROR(__xludf.DUMMYFUNCTION("""COMPUTED_VALUE"""),12.58)</f>
        <v>12.58</v>
      </c>
      <c r="V952" s="1" t="str">
        <f>IFERROR(__xludf.DUMMYFUNCTION("""COMPUTED_VALUE"""),"Jahmie Mae Barrameda")</f>
        <v>Jahmie Mae Barrameda</v>
      </c>
      <c r="W952" s="1" t="str">
        <f>IFERROR(__xludf.DUMMYFUNCTION("""COMPUTED_VALUE"""),"Advanced Billing &amp; Subscriptions")</f>
        <v>Advanced Billing &amp; Subscriptions</v>
      </c>
    </row>
    <row r="953">
      <c r="O953" s="1" t="str">
        <f>IFERROR(__xludf.DUMMYFUNCTION("""COMPUTED_VALUE"""),"2025 Sep")</f>
        <v>2025 Sep</v>
      </c>
      <c r="P953" s="1" t="str">
        <f>IFERROR(__xludf.DUMMYFUNCTION("""COMPUTED_VALUE"""),"Core Product Support")</f>
        <v>Core Product Support</v>
      </c>
      <c r="Q953" s="1" t="str">
        <f>IFERROR(__xludf.DUMMYFUNCTION("""COMPUTED_VALUE"""),"evee@canva.com")</f>
        <v>evee@canva.com</v>
      </c>
      <c r="R953" s="1" t="str">
        <f>IFERROR(__xludf.DUMMYFUNCTION("""COMPUTED_VALUE"""),"Gen Gingoyon")</f>
        <v>Gen Gingoyon</v>
      </c>
      <c r="S953" s="1"/>
      <c r="T953" s="1">
        <f>IFERROR(__xludf.DUMMYFUNCTION("""COMPUTED_VALUE"""),14.47)</f>
        <v>14.47</v>
      </c>
      <c r="U953" s="2">
        <f>IFERROR(__xludf.DUMMYFUNCTION("""COMPUTED_VALUE"""),14.47)</f>
        <v>14.47</v>
      </c>
      <c r="V953" s="1" t="str">
        <f>IFERROR(__xludf.DUMMYFUNCTION("""COMPUTED_VALUE"""),"Renette Bok")</f>
        <v>Renette Bok</v>
      </c>
      <c r="W953" s="1" t="str">
        <f>IFERROR(__xludf.DUMMYFUNCTION("""COMPUTED_VALUE"""),"Advanced Billing &amp; Subscriptions")</f>
        <v>Advanced Billing &amp; Subscriptions</v>
      </c>
    </row>
    <row r="954">
      <c r="O954" s="1" t="str">
        <f>IFERROR(__xludf.DUMMYFUNCTION("""COMPUTED_VALUE"""),"2025 Sep")</f>
        <v>2025 Sep</v>
      </c>
      <c r="P954" s="1" t="str">
        <f>IFERROR(__xludf.DUMMYFUNCTION("""COMPUTED_VALUE"""),"Core Product Support")</f>
        <v>Core Product Support</v>
      </c>
      <c r="Q954" s="1" t="str">
        <f>IFERROR(__xludf.DUMMYFUNCTION("""COMPUTED_VALUE"""),"gpascua@canva.com")</f>
        <v>gpascua@canva.com</v>
      </c>
      <c r="R954" s="1" t="str">
        <f>IFERROR(__xludf.DUMMYFUNCTION("""COMPUTED_VALUE"""),"Gernie Pascua")</f>
        <v>Gernie Pascua</v>
      </c>
      <c r="S954" s="1">
        <f>IFERROR(__xludf.DUMMYFUNCTION("""COMPUTED_VALUE"""),1.5)</f>
        <v>1.5</v>
      </c>
      <c r="T954" s="1">
        <f>IFERROR(__xludf.DUMMYFUNCTION("""COMPUTED_VALUE"""),2.75)</f>
        <v>2.75</v>
      </c>
      <c r="U954" s="2">
        <f>IFERROR(__xludf.DUMMYFUNCTION("""COMPUTED_VALUE"""),4.25)</f>
        <v>4.25</v>
      </c>
      <c r="V954" s="1" t="str">
        <f>IFERROR(__xludf.DUMMYFUNCTION("""COMPUTED_VALUE"""),"Ellaine Estayo")</f>
        <v>Ellaine Estayo</v>
      </c>
      <c r="W954" s="1" t="str">
        <f>IFERROR(__xludf.DUMMYFUNCTION("""COMPUTED_VALUE"""),"Core Product Support Escalation Team")</f>
        <v>Core Product Support Escalation Team</v>
      </c>
    </row>
    <row r="955">
      <c r="O955" s="1" t="str">
        <f>IFERROR(__xludf.DUMMYFUNCTION("""COMPUTED_VALUE"""),"2025 Sep")</f>
        <v>2025 Sep</v>
      </c>
      <c r="P955" s="1" t="str">
        <f>IFERROR(__xludf.DUMMYFUNCTION("""COMPUTED_VALUE"""),"Print Support")</f>
        <v>Print Support</v>
      </c>
      <c r="Q955" s="1" t="str">
        <f>IFERROR(__xludf.DUMMYFUNCTION("""COMPUTED_VALUE"""),"giadacillo@canva.com")</f>
        <v>giadacillo@canva.com</v>
      </c>
      <c r="R955" s="1" t="str">
        <f>IFERROR(__xludf.DUMMYFUNCTION("""COMPUTED_VALUE"""),"Gia Dacillo")</f>
        <v>Gia Dacillo</v>
      </c>
      <c r="S955" s="1">
        <f>IFERROR(__xludf.DUMMYFUNCTION("""COMPUTED_VALUE"""),2.83)</f>
        <v>2.83</v>
      </c>
      <c r="T955" s="1">
        <f>IFERROR(__xludf.DUMMYFUNCTION("""COMPUTED_VALUE"""),40.92)</f>
        <v>40.92</v>
      </c>
      <c r="U955" s="2">
        <f>IFERROR(__xludf.DUMMYFUNCTION("""COMPUTED_VALUE"""),43.75)</f>
        <v>43.75</v>
      </c>
      <c r="V955" s="1" t="str">
        <f>IFERROR(__xludf.DUMMYFUNCTION("""COMPUTED_VALUE"""),"Jan Domingo")</f>
        <v>Jan Domingo</v>
      </c>
      <c r="W955" s="1" t="str">
        <f>IFERROR(__xludf.DUMMYFUNCTION("""COMPUTED_VALUE"""),"Print Design Support")</f>
        <v>Print Design Support</v>
      </c>
    </row>
    <row r="956">
      <c r="O956" s="1" t="str">
        <f>IFERROR(__xludf.DUMMYFUNCTION("""COMPUTED_VALUE"""),"2025 Sep")</f>
        <v>2025 Sep</v>
      </c>
      <c r="P956" s="1" t="str">
        <f>IFERROR(__xludf.DUMMYFUNCTION("""COMPUTED_VALUE"""),"#N/A")</f>
        <v>#N/A</v>
      </c>
      <c r="Q956" s="1" t="str">
        <f>IFERROR(__xludf.DUMMYFUNCTION("""COMPUTED_VALUE"""),"gia@canva.com")</f>
        <v>gia@canva.com</v>
      </c>
      <c r="R956" s="1" t="str">
        <f>IFERROR(__xludf.DUMMYFUNCTION("""COMPUTED_VALUE"""),"Gia Obispo CTL Secondment")</f>
        <v>Gia Obispo CTL Secondment</v>
      </c>
      <c r="S956" s="1"/>
      <c r="T956" s="1">
        <f>IFERROR(__xludf.DUMMYFUNCTION("""COMPUTED_VALUE"""),0.0)</f>
        <v>0</v>
      </c>
      <c r="U956" s="2">
        <f>IFERROR(__xludf.DUMMYFUNCTION("""COMPUTED_VALUE"""),0.0)</f>
        <v>0</v>
      </c>
      <c r="V956" s="1" t="str">
        <f>IFERROR(__xludf.DUMMYFUNCTION("""COMPUTED_VALUE"""),"#N/A")</f>
        <v>#N/A</v>
      </c>
      <c r="W956" s="1" t="str">
        <f>IFERROR(__xludf.DUMMYFUNCTION("""COMPUTED_VALUE"""),"Advanced Product Support")</f>
        <v>Advanced Product Support</v>
      </c>
    </row>
    <row r="957">
      <c r="O957" s="1" t="str">
        <f>IFERROR(__xludf.DUMMYFUNCTION("""COMPUTED_VALUE"""),"2025 Sep")</f>
        <v>2025 Sep</v>
      </c>
      <c r="P957" s="1" t="str">
        <f>IFERROR(__xludf.DUMMYFUNCTION("""COMPUTED_VALUE"""),"Core Product Support")</f>
        <v>Core Product Support</v>
      </c>
      <c r="Q957" s="1" t="str">
        <f>IFERROR(__xludf.DUMMYFUNCTION("""COMPUTED_VALUE"""),"gieslnts@canva.com")</f>
        <v>gieslnts@canva.com</v>
      </c>
      <c r="R957" s="1" t="str">
        <f>IFERROR(__xludf.DUMMYFUNCTION("""COMPUTED_VALUE"""),"Gieann Salantes")</f>
        <v>Gieann Salantes</v>
      </c>
      <c r="S957" s="1"/>
      <c r="T957" s="1">
        <f>IFERROR(__xludf.DUMMYFUNCTION("""COMPUTED_VALUE"""),8.28)</f>
        <v>8.28</v>
      </c>
      <c r="U957" s="2">
        <f>IFERROR(__xludf.DUMMYFUNCTION("""COMPUTED_VALUE"""),8.28)</f>
        <v>8.28</v>
      </c>
      <c r="V957" s="1" t="str">
        <f>IFERROR(__xludf.DUMMYFUNCTION("""COMPUTED_VALUE"""),"Sieg Ballelos")</f>
        <v>Sieg Ballelos</v>
      </c>
      <c r="W957" s="1" t="str">
        <f>IFERROR(__xludf.DUMMYFUNCTION("""COMPUTED_VALUE"""),"Core Product Support Escalation Team")</f>
        <v>Core Product Support Escalation Team</v>
      </c>
    </row>
    <row r="958">
      <c r="O958" s="1" t="str">
        <f>IFERROR(__xludf.DUMMYFUNCTION("""COMPUTED_VALUE"""),"2025 Sep")</f>
        <v>2025 Sep</v>
      </c>
      <c r="P958" s="1" t="str">
        <f>IFERROR(__xludf.DUMMYFUNCTION("""COMPUTED_VALUE"""),"Admin Support")</f>
        <v>Admin Support</v>
      </c>
      <c r="Q958" s="1" t="str">
        <f>IFERROR(__xludf.DUMMYFUNCTION("""COMPUTED_VALUE"""),"glennford@canva.com")</f>
        <v>glennford@canva.com</v>
      </c>
      <c r="R958" s="1" t="str">
        <f>IFERROR(__xludf.DUMMYFUNCTION("""COMPUTED_VALUE"""),"Glenn Gutierrez")</f>
        <v>Glenn Gutierrez</v>
      </c>
      <c r="S958" s="1"/>
      <c r="T958" s="1">
        <f>IFERROR(__xludf.DUMMYFUNCTION("""COMPUTED_VALUE"""),1.5)</f>
        <v>1.5</v>
      </c>
      <c r="U958" s="2">
        <f>IFERROR(__xludf.DUMMYFUNCTION("""COMPUTED_VALUE"""),1.5)</f>
        <v>1.5</v>
      </c>
      <c r="V958" s="1" t="str">
        <f>IFERROR(__xludf.DUMMYFUNCTION("""COMPUTED_VALUE"""),"Karla Mananghaya")</f>
        <v>Karla Mananghaya</v>
      </c>
      <c r="W958" s="1" t="str">
        <f>IFERROR(__xludf.DUMMYFUNCTION("""COMPUTED_VALUE"""),"Admin Support Service Escalation Team")</f>
        <v>Admin Support Service Escalation Team</v>
      </c>
    </row>
    <row r="959">
      <c r="O959" s="1" t="str">
        <f>IFERROR(__xludf.DUMMYFUNCTION("""COMPUTED_VALUE"""),"2025 Sep")</f>
        <v>2025 Sep</v>
      </c>
      <c r="P959" s="1" t="str">
        <f>IFERROR(__xludf.DUMMYFUNCTION("""COMPUTED_VALUE"""),"Core Product Support")</f>
        <v>Core Product Support</v>
      </c>
      <c r="Q959" s="1" t="str">
        <f>IFERROR(__xludf.DUMMYFUNCTION("""COMPUTED_VALUE"""),"gracegarcia@canva.com")</f>
        <v>gracegarcia@canva.com</v>
      </c>
      <c r="R959" s="1" t="str">
        <f>IFERROR(__xludf.DUMMYFUNCTION("""COMPUTED_VALUE"""),"Grace Garcia")</f>
        <v>Grace Garcia</v>
      </c>
      <c r="S959" s="1"/>
      <c r="T959" s="1">
        <f>IFERROR(__xludf.DUMMYFUNCTION("""COMPUTED_VALUE"""),19.17)</f>
        <v>19.17</v>
      </c>
      <c r="U959" s="2">
        <f>IFERROR(__xludf.DUMMYFUNCTION("""COMPUTED_VALUE"""),19.17)</f>
        <v>19.17</v>
      </c>
      <c r="V959" s="1" t="str">
        <f>IFERROR(__xludf.DUMMYFUNCTION("""COMPUTED_VALUE"""),"Marie Mordeno")</f>
        <v>Marie Mordeno</v>
      </c>
      <c r="W959" s="1" t="str">
        <f>IFERROR(__xludf.DUMMYFUNCTION("""COMPUTED_VALUE"""),"Advanced Billing &amp; Subscriptions")</f>
        <v>Advanced Billing &amp; Subscriptions</v>
      </c>
    </row>
    <row r="960">
      <c r="O960" s="1" t="str">
        <f>IFERROR(__xludf.DUMMYFUNCTION("""COMPUTED_VALUE"""),"2025 Sep")</f>
        <v>2025 Sep</v>
      </c>
      <c r="P960" s="1" t="str">
        <f>IFERROR(__xludf.DUMMYFUNCTION("""COMPUTED_VALUE"""),"Core Product Support")</f>
        <v>Core Product Support</v>
      </c>
      <c r="Q960" s="1" t="str">
        <f>IFERROR(__xludf.DUMMYFUNCTION("""COMPUTED_VALUE"""),"hanni@canva.com")</f>
        <v>hanni@canva.com</v>
      </c>
      <c r="R960" s="1" t="str">
        <f>IFERROR(__xludf.DUMMYFUNCTION("""COMPUTED_VALUE"""),"Hannah Bejo")</f>
        <v>Hannah Bejo</v>
      </c>
      <c r="S960" s="1">
        <f>IFERROR(__xludf.DUMMYFUNCTION("""COMPUTED_VALUE"""),1.0)</f>
        <v>1</v>
      </c>
      <c r="T960" s="1">
        <f>IFERROR(__xludf.DUMMYFUNCTION("""COMPUTED_VALUE"""),22.36)</f>
        <v>22.36</v>
      </c>
      <c r="U960" s="2">
        <f>IFERROR(__xludf.DUMMYFUNCTION("""COMPUTED_VALUE"""),23.36)</f>
        <v>23.36</v>
      </c>
      <c r="V960" s="1" t="str">
        <f>IFERROR(__xludf.DUMMYFUNCTION("""COMPUTED_VALUE"""),"Ayza Marie Pascual")</f>
        <v>Ayza Marie Pascual</v>
      </c>
      <c r="W960" s="1" t="str">
        <f>IFERROR(__xludf.DUMMYFUNCTION("""COMPUTED_VALUE"""),"Advanced Billing &amp; Subscriptions")</f>
        <v>Advanced Billing &amp; Subscriptions</v>
      </c>
    </row>
    <row r="961">
      <c r="O961" s="1" t="str">
        <f>IFERROR(__xludf.DUMMYFUNCTION("""COMPUTED_VALUE"""),"2025 Sep")</f>
        <v>2025 Sep</v>
      </c>
      <c r="P961" s="1" t="str">
        <f>IFERROR(__xludf.DUMMYFUNCTION("""COMPUTED_VALUE"""),"Core Product Support")</f>
        <v>Core Product Support</v>
      </c>
      <c r="Q961" s="1" t="str">
        <f>IFERROR(__xludf.DUMMYFUNCTION("""COMPUTED_VALUE"""),"hdecena@canva.com")</f>
        <v>hdecena@canva.com</v>
      </c>
      <c r="R961" s="1" t="str">
        <f>IFERROR(__xludf.DUMMYFUNCTION("""COMPUTED_VALUE"""),"Hannah Decena")</f>
        <v>Hannah Decena</v>
      </c>
      <c r="S961" s="1">
        <f>IFERROR(__xludf.DUMMYFUNCTION("""COMPUTED_VALUE"""),0.5)</f>
        <v>0.5</v>
      </c>
      <c r="T961" s="1">
        <f>IFERROR(__xludf.DUMMYFUNCTION("""COMPUTED_VALUE"""),11.58)</f>
        <v>11.58</v>
      </c>
      <c r="U961" s="2">
        <f>IFERROR(__xludf.DUMMYFUNCTION("""COMPUTED_VALUE"""),12.08)</f>
        <v>12.08</v>
      </c>
      <c r="V961" s="1" t="str">
        <f>IFERROR(__xludf.DUMMYFUNCTION("""COMPUTED_VALUE"""),"Ana Lazaro")</f>
        <v>Ana Lazaro</v>
      </c>
      <c r="W961" s="1" t="str">
        <f>IFERROR(__xludf.DUMMYFUNCTION("""COMPUTED_VALUE"""),"Advanced Billing &amp; Subscriptions")</f>
        <v>Advanced Billing &amp; Subscriptions</v>
      </c>
    </row>
    <row r="962">
      <c r="O962" s="1" t="str">
        <f>IFERROR(__xludf.DUMMYFUNCTION("""COMPUTED_VALUE"""),"2025 Sep")</f>
        <v>2025 Sep</v>
      </c>
      <c r="P962" s="1" t="str">
        <f>IFERROR(__xludf.DUMMYFUNCTION("""COMPUTED_VALUE"""),"High Sensitivity Support")</f>
        <v>High Sensitivity Support</v>
      </c>
      <c r="Q962" s="1" t="str">
        <f>IFERROR(__xludf.DUMMYFUNCTION("""COMPUTED_VALUE"""),"hannahd@canva.com")</f>
        <v>hannahd@canva.com</v>
      </c>
      <c r="R962" s="1" t="str">
        <f>IFERROR(__xludf.DUMMYFUNCTION("""COMPUTED_VALUE"""),"Hannah Dimayuga")</f>
        <v>Hannah Dimayuga</v>
      </c>
      <c r="S962" s="1">
        <f>IFERROR(__xludf.DUMMYFUNCTION("""COMPUTED_VALUE"""),8.0)</f>
        <v>8</v>
      </c>
      <c r="T962" s="1">
        <f>IFERROR(__xludf.DUMMYFUNCTION("""COMPUTED_VALUE"""),1.75)</f>
        <v>1.75</v>
      </c>
      <c r="U962" s="2">
        <f>IFERROR(__xludf.DUMMYFUNCTION("""COMPUTED_VALUE"""),9.75)</f>
        <v>9.75</v>
      </c>
      <c r="V962" s="1" t="str">
        <f>IFERROR(__xludf.DUMMYFUNCTION("""COMPUTED_VALUE"""),"Rex Villamor")</f>
        <v>Rex Villamor</v>
      </c>
      <c r="W962" s="1" t="str">
        <f>IFERROR(__xludf.DUMMYFUNCTION("""COMPUTED_VALUE"""),"High Sensitivity Support PH")</f>
        <v>High Sensitivity Support PH</v>
      </c>
    </row>
    <row r="963">
      <c r="O963" s="1" t="str">
        <f>IFERROR(__xludf.DUMMYFUNCTION("""COMPUTED_VALUE"""),"2025 Sep")</f>
        <v>2025 Sep</v>
      </c>
      <c r="P963" s="1" t="str">
        <f>IFERROR(__xludf.DUMMYFUNCTION("""COMPUTED_VALUE"""),"Core Product Support")</f>
        <v>Core Product Support</v>
      </c>
      <c r="Q963" s="1" t="str">
        <f>IFERROR(__xludf.DUMMYFUNCTION("""COMPUTED_VALUE"""),"hazzel@canva.com")</f>
        <v>hazzel@canva.com</v>
      </c>
      <c r="R963" s="1" t="str">
        <f>IFERROR(__xludf.DUMMYFUNCTION("""COMPUTED_VALUE"""),"Haze Rafon")</f>
        <v>Haze Rafon</v>
      </c>
      <c r="S963" s="1">
        <f>IFERROR(__xludf.DUMMYFUNCTION("""COMPUTED_VALUE"""),1.5)</f>
        <v>1.5</v>
      </c>
      <c r="T963" s="1">
        <f>IFERROR(__xludf.DUMMYFUNCTION("""COMPUTED_VALUE"""),2.25)</f>
        <v>2.25</v>
      </c>
      <c r="U963" s="2">
        <f>IFERROR(__xludf.DUMMYFUNCTION("""COMPUTED_VALUE"""),3.75)</f>
        <v>3.75</v>
      </c>
      <c r="V963" s="1" t="str">
        <f>IFERROR(__xludf.DUMMYFUNCTION("""COMPUTED_VALUE"""),"Sieg Ballelos")</f>
        <v>Sieg Ballelos</v>
      </c>
      <c r="W963" s="1" t="str">
        <f>IFERROR(__xludf.DUMMYFUNCTION("""COMPUTED_VALUE"""),"Core Product Support Escalation Team")</f>
        <v>Core Product Support Escalation Team</v>
      </c>
    </row>
    <row r="964">
      <c r="O964" s="1" t="str">
        <f>IFERROR(__xludf.DUMMYFUNCTION("""COMPUTED_VALUE"""),"2025 Sep")</f>
        <v>2025 Sep</v>
      </c>
      <c r="P964" s="1" t="str">
        <f>IFERROR(__xludf.DUMMYFUNCTION("""COMPUTED_VALUE"""),"Segment-specific Support")</f>
        <v>Segment-specific Support</v>
      </c>
      <c r="Q964" s="1" t="str">
        <f>IFERROR(__xludf.DUMMYFUNCTION("""COMPUTED_VALUE"""),"icetamayo@canva.com")</f>
        <v>icetamayo@canva.com</v>
      </c>
      <c r="R964" s="1" t="str">
        <f>IFERROR(__xludf.DUMMYFUNCTION("""COMPUTED_VALUE"""),"Ice Montecillo-Tamayo")</f>
        <v>Ice Montecillo-Tamayo</v>
      </c>
      <c r="S964" s="1">
        <f>IFERROR(__xludf.DUMMYFUNCTION("""COMPUTED_VALUE"""),2.0)</f>
        <v>2</v>
      </c>
      <c r="T964" s="1">
        <f>IFERROR(__xludf.DUMMYFUNCTION("""COMPUTED_VALUE"""),1.0)</f>
        <v>1</v>
      </c>
      <c r="U964" s="2">
        <f>IFERROR(__xludf.DUMMYFUNCTION("""COMPUTED_VALUE"""),3.0)</f>
        <v>3</v>
      </c>
      <c r="V964" s="1" t="str">
        <f>IFERROR(__xludf.DUMMYFUNCTION("""COMPUTED_VALUE"""),"Rose Gabilan")</f>
        <v>Rose Gabilan</v>
      </c>
      <c r="W964" s="1" t="str">
        <f>IFERROR(__xludf.DUMMYFUNCTION("""COMPUTED_VALUE"""),"Affinity Support")</f>
        <v>Affinity Support</v>
      </c>
    </row>
    <row r="965">
      <c r="O965" s="1" t="str">
        <f>IFERROR(__xludf.DUMMYFUNCTION("""COMPUTED_VALUE"""),"2025 Sep")</f>
        <v>2025 Sep</v>
      </c>
      <c r="P965" s="1" t="str">
        <f>IFERROR(__xludf.DUMMYFUNCTION("""COMPUTED_VALUE"""),"Core Product Support")</f>
        <v>Core Product Support</v>
      </c>
      <c r="Q965" s="1" t="str">
        <f>IFERROR(__xludf.DUMMYFUNCTION("""COMPUTED_VALUE"""),"mrwong@canva.com")</f>
        <v>mrwong@canva.com</v>
      </c>
      <c r="R965" s="1" t="str">
        <f>IFERROR(__xludf.DUMMYFUNCTION("""COMPUTED_VALUE"""),"Ino Wong")</f>
        <v>Ino Wong</v>
      </c>
      <c r="S965" s="1">
        <f>IFERROR(__xludf.DUMMYFUNCTION("""COMPUTED_VALUE"""),0.75)</f>
        <v>0.75</v>
      </c>
      <c r="T965" s="1">
        <f>IFERROR(__xludf.DUMMYFUNCTION("""COMPUTED_VALUE"""),4.0)</f>
        <v>4</v>
      </c>
      <c r="U965" s="2">
        <f>IFERROR(__xludf.DUMMYFUNCTION("""COMPUTED_VALUE"""),4.75)</f>
        <v>4.75</v>
      </c>
      <c r="V965" s="1" t="str">
        <f>IFERROR(__xludf.DUMMYFUNCTION("""COMPUTED_VALUE"""),"Jem Mondoñedo")</f>
        <v>Jem Mondoñedo</v>
      </c>
      <c r="W965" s="1" t="str">
        <f>IFERROR(__xludf.DUMMYFUNCTION("""COMPUTED_VALUE"""),"Advanced Billing &amp; Subscriptions")</f>
        <v>Advanced Billing &amp; Subscriptions</v>
      </c>
    </row>
    <row r="966">
      <c r="O966" s="1" t="str">
        <f>IFERROR(__xludf.DUMMYFUNCTION("""COMPUTED_VALUE"""),"2025 Sep")</f>
        <v>2025 Sep</v>
      </c>
      <c r="P966" s="1" t="str">
        <f>IFERROR(__xludf.DUMMYFUNCTION("""COMPUTED_VALUE"""),"Segment-specific Support")</f>
        <v>Segment-specific Support</v>
      </c>
      <c r="Q966" s="1" t="str">
        <f>IFERROR(__xludf.DUMMYFUNCTION("""COMPUTED_VALUE"""),"ivy@canva.com")</f>
        <v>ivy@canva.com</v>
      </c>
      <c r="R966" s="1" t="str">
        <f>IFERROR(__xludf.DUMMYFUNCTION("""COMPUTED_VALUE"""),"Ivy Sabado")</f>
        <v>Ivy Sabado</v>
      </c>
      <c r="S966" s="1">
        <f>IFERROR(__xludf.DUMMYFUNCTION("""COMPUTED_VALUE"""),2.5)</f>
        <v>2.5</v>
      </c>
      <c r="T966" s="1">
        <f>IFERROR(__xludf.DUMMYFUNCTION("""COMPUTED_VALUE"""),1.0)</f>
        <v>1</v>
      </c>
      <c r="U966" s="2">
        <f>IFERROR(__xludf.DUMMYFUNCTION("""COMPUTED_VALUE"""),3.5)</f>
        <v>3.5</v>
      </c>
      <c r="V966" s="1" t="str">
        <f>IFERROR(__xludf.DUMMYFUNCTION("""COMPUTED_VALUE"""),"Aileen Dayanghirang")</f>
        <v>Aileen Dayanghirang</v>
      </c>
      <c r="W966" s="1" t="str">
        <f>IFERROR(__xludf.DUMMYFUNCTION("""COMPUTED_VALUE"""),"Creators Support")</f>
        <v>Creators Support</v>
      </c>
    </row>
    <row r="967">
      <c r="O967" s="1" t="str">
        <f>IFERROR(__xludf.DUMMYFUNCTION("""COMPUTED_VALUE"""),"2025 Sep")</f>
        <v>2025 Sep</v>
      </c>
      <c r="P967" s="1" t="str">
        <f>IFERROR(__xludf.DUMMYFUNCTION("""COMPUTED_VALUE"""),"Core Product Support")</f>
        <v>Core Product Support</v>
      </c>
      <c r="Q967" s="1" t="str">
        <f>IFERROR(__xludf.DUMMYFUNCTION("""COMPUTED_VALUE"""),"iyaacuyong@canva.com")</f>
        <v>iyaacuyong@canva.com</v>
      </c>
      <c r="R967" s="1" t="str">
        <f>IFERROR(__xludf.DUMMYFUNCTION("""COMPUTED_VALUE"""),"Iya Acuyong")</f>
        <v>Iya Acuyong</v>
      </c>
      <c r="S967" s="1">
        <f>IFERROR(__xludf.DUMMYFUNCTION("""COMPUTED_VALUE"""),2.0)</f>
        <v>2</v>
      </c>
      <c r="T967" s="1">
        <f>IFERROR(__xludf.DUMMYFUNCTION("""COMPUTED_VALUE"""),15.67)</f>
        <v>15.67</v>
      </c>
      <c r="U967" s="2">
        <f>IFERROR(__xludf.DUMMYFUNCTION("""COMPUTED_VALUE"""),17.67)</f>
        <v>17.67</v>
      </c>
      <c r="V967" s="1" t="str">
        <f>IFERROR(__xludf.DUMMYFUNCTION("""COMPUTED_VALUE"""),"Mikhaela Decangchon")</f>
        <v>Mikhaela Decangchon</v>
      </c>
      <c r="W967" s="1" t="str">
        <f>IFERROR(__xludf.DUMMYFUNCTION("""COMPUTED_VALUE"""),"Advanced Product Support")</f>
        <v>Advanced Product Support</v>
      </c>
    </row>
    <row r="968">
      <c r="O968" s="1" t="str">
        <f>IFERROR(__xludf.DUMMYFUNCTION("""COMPUTED_VALUE"""),"2025 Sep")</f>
        <v>2025 Sep</v>
      </c>
      <c r="P968" s="1" t="str">
        <f>IFERROR(__xludf.DUMMYFUNCTION("""COMPUTED_VALUE"""),"Print Support")</f>
        <v>Print Support</v>
      </c>
      <c r="Q968" s="1" t="str">
        <f>IFERROR(__xludf.DUMMYFUNCTION("""COMPUTED_VALUE"""),"jagumasing@canva.com")</f>
        <v>jagumasing@canva.com</v>
      </c>
      <c r="R968" s="1" t="str">
        <f>IFERROR(__xludf.DUMMYFUNCTION("""COMPUTED_VALUE"""),"Ja Gumasing")</f>
        <v>Ja Gumasing</v>
      </c>
      <c r="S968" s="1">
        <f>IFERROR(__xludf.DUMMYFUNCTION("""COMPUTED_VALUE"""),4.58)</f>
        <v>4.58</v>
      </c>
      <c r="T968" s="1">
        <f>IFERROR(__xludf.DUMMYFUNCTION("""COMPUTED_VALUE"""),31.83)</f>
        <v>31.83</v>
      </c>
      <c r="U968" s="2">
        <f>IFERROR(__xludf.DUMMYFUNCTION("""COMPUTED_VALUE"""),36.41)</f>
        <v>36.41</v>
      </c>
      <c r="V968" s="1" t="str">
        <f>IFERROR(__xludf.DUMMYFUNCTION("""COMPUTED_VALUE"""),"Althea Mercado")</f>
        <v>Althea Mercado</v>
      </c>
      <c r="W968" s="1" t="str">
        <f>IFERROR(__xludf.DUMMYFUNCTION("""COMPUTED_VALUE"""),"Print Support PH")</f>
        <v>Print Support PH</v>
      </c>
    </row>
    <row r="969">
      <c r="O969" s="1" t="str">
        <f>IFERROR(__xludf.DUMMYFUNCTION("""COMPUTED_VALUE"""),"2025 Sep")</f>
        <v>2025 Sep</v>
      </c>
      <c r="P969" s="1" t="str">
        <f>IFERROR(__xludf.DUMMYFUNCTION("""COMPUTED_VALUE"""),"Admin Support")</f>
        <v>Admin Support</v>
      </c>
      <c r="Q969" s="1" t="str">
        <f>IFERROR(__xludf.DUMMYFUNCTION("""COMPUTED_VALUE"""),"jacobgarza@canva.com")</f>
        <v>jacobgarza@canva.com</v>
      </c>
      <c r="R969" s="1" t="str">
        <f>IFERROR(__xludf.DUMMYFUNCTION("""COMPUTED_VALUE"""),"Jacob Garza")</f>
        <v>Jacob Garza</v>
      </c>
      <c r="S969" s="1">
        <f>IFERROR(__xludf.DUMMYFUNCTION("""COMPUTED_VALUE"""),0.5)</f>
        <v>0.5</v>
      </c>
      <c r="T969" s="1">
        <f>IFERROR(__xludf.DUMMYFUNCTION("""COMPUTED_VALUE"""),34.25)</f>
        <v>34.25</v>
      </c>
      <c r="U969" s="2">
        <f>IFERROR(__xludf.DUMMYFUNCTION("""COMPUTED_VALUE"""),34.75)</f>
        <v>34.75</v>
      </c>
      <c r="V969" s="1" t="str">
        <f>IFERROR(__xludf.DUMMYFUNCTION("""COMPUTED_VALUE"""),"Nate Vela")</f>
        <v>Nate Vela</v>
      </c>
      <c r="W969" s="1" t="str">
        <f>IFERROR(__xludf.DUMMYFUNCTION("""COMPUTED_VALUE"""),"Admin Support NA")</f>
        <v>Admin Support NA</v>
      </c>
    </row>
    <row r="970">
      <c r="O970" s="1" t="str">
        <f>IFERROR(__xludf.DUMMYFUNCTION("""COMPUTED_VALUE"""),"2025 Sep")</f>
        <v>2025 Sep</v>
      </c>
      <c r="P970" s="1" t="str">
        <f>IFERROR(__xludf.DUMMYFUNCTION("""COMPUTED_VALUE"""),"Core Product Support")</f>
        <v>Core Product Support</v>
      </c>
      <c r="Q970" s="1" t="str">
        <f>IFERROR(__xludf.DUMMYFUNCTION("""COMPUTED_VALUE"""),"jacque@canva.com")</f>
        <v>jacque@canva.com</v>
      </c>
      <c r="R970" s="1" t="str">
        <f>IFERROR(__xludf.DUMMYFUNCTION("""COMPUTED_VALUE"""),"Jacqueline Gay")</f>
        <v>Jacqueline Gay</v>
      </c>
      <c r="S970" s="1">
        <f>IFERROR(__xludf.DUMMYFUNCTION("""COMPUTED_VALUE"""),0.5)</f>
        <v>0.5</v>
      </c>
      <c r="T970" s="1">
        <f>IFERROR(__xludf.DUMMYFUNCTION("""COMPUTED_VALUE"""),3.43)</f>
        <v>3.43</v>
      </c>
      <c r="U970" s="2">
        <f>IFERROR(__xludf.DUMMYFUNCTION("""COMPUTED_VALUE"""),3.93)</f>
        <v>3.93</v>
      </c>
      <c r="V970" s="1" t="str">
        <f>IFERROR(__xludf.DUMMYFUNCTION("""COMPUTED_VALUE"""),"Jem Mondoñedo")</f>
        <v>Jem Mondoñedo</v>
      </c>
      <c r="W970" s="1" t="str">
        <f>IFERROR(__xludf.DUMMYFUNCTION("""COMPUTED_VALUE"""),"Advanced Billing &amp; Subscriptions")</f>
        <v>Advanced Billing &amp; Subscriptions</v>
      </c>
    </row>
    <row r="971">
      <c r="O971" s="1" t="str">
        <f>IFERROR(__xludf.DUMMYFUNCTION("""COMPUTED_VALUE"""),"2025 Sep")</f>
        <v>2025 Sep</v>
      </c>
      <c r="P971" s="1" t="str">
        <f>IFERROR(__xludf.DUMMYFUNCTION("""COMPUTED_VALUE"""),"Print Support")</f>
        <v>Print Support</v>
      </c>
      <c r="Q971" s="1" t="str">
        <f>IFERROR(__xludf.DUMMYFUNCTION("""COMPUTED_VALUE"""),"jadec@canva.com")</f>
        <v>jadec@canva.com</v>
      </c>
      <c r="R971" s="1" t="str">
        <f>IFERROR(__xludf.DUMMYFUNCTION("""COMPUTED_VALUE"""),"Jade Curitana")</f>
        <v>Jade Curitana</v>
      </c>
      <c r="S971" s="1">
        <f>IFERROR(__xludf.DUMMYFUNCTION("""COMPUTED_VALUE"""),6.0)</f>
        <v>6</v>
      </c>
      <c r="T971" s="1">
        <f>IFERROR(__xludf.DUMMYFUNCTION("""COMPUTED_VALUE"""),0.0)</f>
        <v>0</v>
      </c>
      <c r="U971" s="2">
        <f>IFERROR(__xludf.DUMMYFUNCTION("""COMPUTED_VALUE"""),6.0)</f>
        <v>6</v>
      </c>
      <c r="V971" s="1" t="str">
        <f>IFERROR(__xludf.DUMMYFUNCTION("""COMPUTED_VALUE"""),"Louise Dianne Estrella")</f>
        <v>Louise Dianne Estrella</v>
      </c>
      <c r="W971" s="1" t="str">
        <f>IFERROR(__xludf.DUMMYFUNCTION("""COMPUTED_VALUE"""),"Print Support PH")</f>
        <v>Print Support PH</v>
      </c>
    </row>
    <row r="972">
      <c r="O972" s="1" t="str">
        <f>IFERROR(__xludf.DUMMYFUNCTION("""COMPUTED_VALUE"""),"2025 Sep")</f>
        <v>2025 Sep</v>
      </c>
      <c r="P972" s="1" t="str">
        <f>IFERROR(__xludf.DUMMYFUNCTION("""COMPUTED_VALUE"""),"High Sensitivity Support")</f>
        <v>High Sensitivity Support</v>
      </c>
      <c r="Q972" s="1" t="str">
        <f>IFERROR(__xludf.DUMMYFUNCTION("""COMPUTED_VALUE"""),"jammyb@canva.com")</f>
        <v>jammyb@canva.com</v>
      </c>
      <c r="R972" s="1" t="str">
        <f>IFERROR(__xludf.DUMMYFUNCTION("""COMPUTED_VALUE"""),"Jam Bacani")</f>
        <v>Jam Bacani</v>
      </c>
      <c r="S972" s="1">
        <f>IFERROR(__xludf.DUMMYFUNCTION("""COMPUTED_VALUE"""),11.25)</f>
        <v>11.25</v>
      </c>
      <c r="T972" s="1">
        <f>IFERROR(__xludf.DUMMYFUNCTION("""COMPUTED_VALUE"""),3.25)</f>
        <v>3.25</v>
      </c>
      <c r="U972" s="2">
        <f>IFERROR(__xludf.DUMMYFUNCTION("""COMPUTED_VALUE"""),14.5)</f>
        <v>14.5</v>
      </c>
      <c r="V972" s="1" t="str">
        <f>IFERROR(__xludf.DUMMYFUNCTION("""COMPUTED_VALUE"""),"Rossheen Pura")</f>
        <v>Rossheen Pura</v>
      </c>
      <c r="W972" s="1" t="str">
        <f>IFERROR(__xludf.DUMMYFUNCTION("""COMPUTED_VALUE"""),"High Sensitivity Support PH")</f>
        <v>High Sensitivity Support PH</v>
      </c>
    </row>
    <row r="973">
      <c r="O973" s="1" t="str">
        <f>IFERROR(__xludf.DUMMYFUNCTION("""COMPUTED_VALUE"""),"2025 Sep")</f>
        <v>2025 Sep</v>
      </c>
      <c r="P973" s="1" t="str">
        <f>IFERROR(__xludf.DUMMYFUNCTION("""COMPUTED_VALUE"""),"Segment-specific Support")</f>
        <v>Segment-specific Support</v>
      </c>
      <c r="Q973" s="1" t="str">
        <f>IFERROR(__xludf.DUMMYFUNCTION("""COMPUTED_VALUE"""),"jgamboa@canva.com")</f>
        <v>jgamboa@canva.com</v>
      </c>
      <c r="R973" s="1" t="str">
        <f>IFERROR(__xludf.DUMMYFUNCTION("""COMPUTED_VALUE"""),"James Marrion Gamboa")</f>
        <v>James Marrion Gamboa</v>
      </c>
      <c r="S973" s="1">
        <f>IFERROR(__xludf.DUMMYFUNCTION("""COMPUTED_VALUE"""),4.0)</f>
        <v>4</v>
      </c>
      <c r="T973" s="1">
        <f>IFERROR(__xludf.DUMMYFUNCTION("""COMPUTED_VALUE"""),1.0)</f>
        <v>1</v>
      </c>
      <c r="U973" s="2">
        <f>IFERROR(__xludf.DUMMYFUNCTION("""COMPUTED_VALUE"""),5.0)</f>
        <v>5</v>
      </c>
      <c r="V973" s="1" t="str">
        <f>IFERROR(__xludf.DUMMYFUNCTION("""COMPUTED_VALUE"""),"Rose Gabilan")</f>
        <v>Rose Gabilan</v>
      </c>
      <c r="W973" s="1" t="str">
        <f>IFERROR(__xludf.DUMMYFUNCTION("""COMPUTED_VALUE"""),"Affinity Support")</f>
        <v>Affinity Support</v>
      </c>
    </row>
    <row r="974">
      <c r="O974" s="1" t="str">
        <f>IFERROR(__xludf.DUMMYFUNCTION("""COMPUTED_VALUE"""),"2025 Sep")</f>
        <v>2025 Sep</v>
      </c>
      <c r="P974" s="1" t="str">
        <f>IFERROR(__xludf.DUMMYFUNCTION("""COMPUTED_VALUE"""),"Print Support")</f>
        <v>Print Support</v>
      </c>
      <c r="Q974" s="1" t="str">
        <f>IFERROR(__xludf.DUMMYFUNCTION("""COMPUTED_VALUE"""),"janpaolopena@canva.com")</f>
        <v>janpaolopena@canva.com</v>
      </c>
      <c r="R974" s="1" t="str">
        <f>IFERROR(__xludf.DUMMYFUNCTION("""COMPUTED_VALUE"""),"Jan Peña")</f>
        <v>Jan Peña</v>
      </c>
      <c r="S974" s="1">
        <f>IFERROR(__xludf.DUMMYFUNCTION("""COMPUTED_VALUE"""),8.0)</f>
        <v>8</v>
      </c>
      <c r="T974" s="1">
        <f>IFERROR(__xludf.DUMMYFUNCTION("""COMPUTED_VALUE"""),0.0)</f>
        <v>0</v>
      </c>
      <c r="U974" s="2">
        <f>IFERROR(__xludf.DUMMYFUNCTION("""COMPUTED_VALUE"""),8.0)</f>
        <v>8</v>
      </c>
      <c r="V974" s="1" t="str">
        <f>IFERROR(__xludf.DUMMYFUNCTION("""COMPUTED_VALUE"""),"Louise Dianne Estrella")</f>
        <v>Louise Dianne Estrella</v>
      </c>
      <c r="W974" s="1" t="str">
        <f>IFERROR(__xludf.DUMMYFUNCTION("""COMPUTED_VALUE"""),"Print Support PH")</f>
        <v>Print Support PH</v>
      </c>
    </row>
    <row r="975">
      <c r="O975" s="1" t="str">
        <f>IFERROR(__xludf.DUMMYFUNCTION("""COMPUTED_VALUE"""),"2025 Sep")</f>
        <v>2025 Sep</v>
      </c>
      <c r="P975" s="1" t="str">
        <f>IFERROR(__xludf.DUMMYFUNCTION("""COMPUTED_VALUE"""),"Admin Support")</f>
        <v>Admin Support</v>
      </c>
      <c r="Q975" s="1" t="str">
        <f>IFERROR(__xludf.DUMMYFUNCTION("""COMPUTED_VALUE"""),"janis@canva.com")</f>
        <v>janis@canva.com</v>
      </c>
      <c r="R975" s="1" t="str">
        <f>IFERROR(__xludf.DUMMYFUNCTION("""COMPUTED_VALUE"""),"Janis Esmas")</f>
        <v>Janis Esmas</v>
      </c>
      <c r="S975" s="1"/>
      <c r="T975" s="1">
        <f>IFERROR(__xludf.DUMMYFUNCTION("""COMPUTED_VALUE"""),2.25)</f>
        <v>2.25</v>
      </c>
      <c r="U975" s="2">
        <f>IFERROR(__xludf.DUMMYFUNCTION("""COMPUTED_VALUE"""),2.25)</f>
        <v>2.25</v>
      </c>
      <c r="V975" s="1" t="str">
        <f>IFERROR(__xludf.DUMMYFUNCTION("""COMPUTED_VALUE"""),"Karla Mananghaya")</f>
        <v>Karla Mananghaya</v>
      </c>
      <c r="W975" s="1" t="str">
        <f>IFERROR(__xludf.DUMMYFUNCTION("""COMPUTED_VALUE"""),"Admin Support Service Escalation Team")</f>
        <v>Admin Support Service Escalation Team</v>
      </c>
    </row>
    <row r="976">
      <c r="O976" s="1" t="str">
        <f>IFERROR(__xludf.DUMMYFUNCTION("""COMPUTED_VALUE"""),"2025 Sep")</f>
        <v>2025 Sep</v>
      </c>
      <c r="P976" s="1" t="str">
        <f>IFERROR(__xludf.DUMMYFUNCTION("""COMPUTED_VALUE"""),"Core Product Support")</f>
        <v>Core Product Support</v>
      </c>
      <c r="Q976" s="1" t="str">
        <f>IFERROR(__xludf.DUMMYFUNCTION("""COMPUTED_VALUE"""),"jampangan@canva.com")</f>
        <v>jampangan@canva.com</v>
      </c>
      <c r="R976" s="1" t="str">
        <f>IFERROR(__xludf.DUMMYFUNCTION("""COMPUTED_VALUE"""),"Jara Alexandra Mae Pangan")</f>
        <v>Jara Alexandra Mae Pangan</v>
      </c>
      <c r="S976" s="1">
        <f>IFERROR(__xludf.DUMMYFUNCTION("""COMPUTED_VALUE"""),1.0)</f>
        <v>1</v>
      </c>
      <c r="T976" s="1">
        <f>IFERROR(__xludf.DUMMYFUNCTION("""COMPUTED_VALUE"""),4.3)</f>
        <v>4.3</v>
      </c>
      <c r="U976" s="2">
        <f>IFERROR(__xludf.DUMMYFUNCTION("""COMPUTED_VALUE"""),5.3)</f>
        <v>5.3</v>
      </c>
      <c r="V976" s="1" t="str">
        <f>IFERROR(__xludf.DUMMYFUNCTION("""COMPUTED_VALUE"""),"Sieg Ballelos")</f>
        <v>Sieg Ballelos</v>
      </c>
      <c r="W976" s="1" t="str">
        <f>IFERROR(__xludf.DUMMYFUNCTION("""COMPUTED_VALUE"""),"Core Product Support Escalation Team")</f>
        <v>Core Product Support Escalation Team</v>
      </c>
    </row>
    <row r="977">
      <c r="O977" s="1" t="str">
        <f>IFERROR(__xludf.DUMMYFUNCTION("""COMPUTED_VALUE"""),"2025 Sep")</f>
        <v>2025 Sep</v>
      </c>
      <c r="P977" s="1" t="str">
        <f>IFERROR(__xludf.DUMMYFUNCTION("""COMPUTED_VALUE"""),"Core Product Support")</f>
        <v>Core Product Support</v>
      </c>
      <c r="Q977" s="1" t="str">
        <f>IFERROR(__xludf.DUMMYFUNCTION("""COMPUTED_VALUE"""),"jaredc@canva.com")</f>
        <v>jaredc@canva.com</v>
      </c>
      <c r="R977" s="1" t="str">
        <f>IFERROR(__xludf.DUMMYFUNCTION("""COMPUTED_VALUE"""),"Jared Carlin")</f>
        <v>Jared Carlin</v>
      </c>
      <c r="S977" s="1">
        <f>IFERROR(__xludf.DUMMYFUNCTION("""COMPUTED_VALUE"""),1.0)</f>
        <v>1</v>
      </c>
      <c r="T977" s="1">
        <f>IFERROR(__xludf.DUMMYFUNCTION("""COMPUTED_VALUE"""),6.33)</f>
        <v>6.33</v>
      </c>
      <c r="U977" s="2">
        <f>IFERROR(__xludf.DUMMYFUNCTION("""COMPUTED_VALUE"""),7.33)</f>
        <v>7.33</v>
      </c>
      <c r="V977" s="1" t="str">
        <f>IFERROR(__xludf.DUMMYFUNCTION("""COMPUTED_VALUE"""),"Ana Lazaro")</f>
        <v>Ana Lazaro</v>
      </c>
      <c r="W977" s="1" t="str">
        <f>IFERROR(__xludf.DUMMYFUNCTION("""COMPUTED_VALUE"""),"Advanced Billing &amp; Subscriptions")</f>
        <v>Advanced Billing &amp; Subscriptions</v>
      </c>
    </row>
    <row r="978">
      <c r="O978" s="1" t="str">
        <f>IFERROR(__xludf.DUMMYFUNCTION("""COMPUTED_VALUE"""),"2025 Sep")</f>
        <v>2025 Sep</v>
      </c>
      <c r="P978" s="1" t="str">
        <f>IFERROR(__xludf.DUMMYFUNCTION("""COMPUTED_VALUE"""),"Segment-specific Support")</f>
        <v>Segment-specific Support</v>
      </c>
      <c r="Q978" s="1" t="str">
        <f>IFERROR(__xludf.DUMMYFUNCTION("""COMPUTED_VALUE"""),"jas@canva.com")</f>
        <v>jas@canva.com</v>
      </c>
      <c r="R978" s="1" t="str">
        <f>IFERROR(__xludf.DUMMYFUNCTION("""COMPUTED_VALUE"""),"Jas Esperat")</f>
        <v>Jas Esperat</v>
      </c>
      <c r="S978" s="1">
        <f>IFERROR(__xludf.DUMMYFUNCTION("""COMPUTED_VALUE"""),2.0)</f>
        <v>2</v>
      </c>
      <c r="T978" s="1">
        <f>IFERROR(__xludf.DUMMYFUNCTION("""COMPUTED_VALUE"""),0.0)</f>
        <v>0</v>
      </c>
      <c r="U978" s="2">
        <f>IFERROR(__xludf.DUMMYFUNCTION("""COMPUTED_VALUE"""),2.0)</f>
        <v>2</v>
      </c>
      <c r="V978" s="1" t="str">
        <f>IFERROR(__xludf.DUMMYFUNCTION("""COMPUTED_VALUE"""),"Aileen Dayanghirang")</f>
        <v>Aileen Dayanghirang</v>
      </c>
      <c r="W978" s="1" t="str">
        <f>IFERROR(__xludf.DUMMYFUNCTION("""COMPUTED_VALUE"""),"Creators Support")</f>
        <v>Creators Support</v>
      </c>
    </row>
    <row r="979">
      <c r="O979" s="1" t="str">
        <f>IFERROR(__xludf.DUMMYFUNCTION("""COMPUTED_VALUE"""),"2025 Sep")</f>
        <v>2025 Sep</v>
      </c>
      <c r="P979" s="1" t="str">
        <f>IFERROR(__xludf.DUMMYFUNCTION("""COMPUTED_VALUE"""),"Print Support")</f>
        <v>Print Support</v>
      </c>
      <c r="Q979" s="1" t="str">
        <f>IFERROR(__xludf.DUMMYFUNCTION("""COMPUTED_VALUE"""),"jayson@canva.com")</f>
        <v>jayson@canva.com</v>
      </c>
      <c r="R979" s="1" t="str">
        <f>IFERROR(__xludf.DUMMYFUNCTION("""COMPUTED_VALUE"""),"Jayson Ferrer")</f>
        <v>Jayson Ferrer</v>
      </c>
      <c r="S979" s="1">
        <f>IFERROR(__xludf.DUMMYFUNCTION("""COMPUTED_VALUE"""),5.5)</f>
        <v>5.5</v>
      </c>
      <c r="T979" s="1">
        <f>IFERROR(__xludf.DUMMYFUNCTION("""COMPUTED_VALUE"""),0.25)</f>
        <v>0.25</v>
      </c>
      <c r="U979" s="2">
        <f>IFERROR(__xludf.DUMMYFUNCTION("""COMPUTED_VALUE"""),5.75)</f>
        <v>5.75</v>
      </c>
      <c r="V979" s="1" t="str">
        <f>IFERROR(__xludf.DUMMYFUNCTION("""COMPUTED_VALUE"""),"G-Anne Murillo")</f>
        <v>G-Anne Murillo</v>
      </c>
      <c r="W979" s="1" t="str">
        <f>IFERROR(__xludf.DUMMYFUNCTION("""COMPUTED_VALUE"""),"Print Design Support")</f>
        <v>Print Design Support</v>
      </c>
    </row>
    <row r="980">
      <c r="O980" s="1" t="str">
        <f>IFERROR(__xludf.DUMMYFUNCTION("""COMPUTED_VALUE"""),"2025 Sep")</f>
        <v>2025 Sep</v>
      </c>
      <c r="P980" s="1" t="str">
        <f>IFERROR(__xludf.DUMMYFUNCTION("""COMPUTED_VALUE"""),"Admin Support")</f>
        <v>Admin Support</v>
      </c>
      <c r="Q980" s="1" t="str">
        <f>IFERROR(__xludf.DUMMYFUNCTION("""COMPUTED_VALUE"""),"jaz@canva.com")</f>
        <v>jaz@canva.com</v>
      </c>
      <c r="R980" s="1" t="str">
        <f>IFERROR(__xludf.DUMMYFUNCTION("""COMPUTED_VALUE"""),"Jazmine San Pedro")</f>
        <v>Jazmine San Pedro</v>
      </c>
      <c r="S980" s="1">
        <f>IFERROR(__xludf.DUMMYFUNCTION("""COMPUTED_VALUE"""),5.67)</f>
        <v>5.67</v>
      </c>
      <c r="T980" s="1">
        <f>IFERROR(__xludf.DUMMYFUNCTION("""COMPUTED_VALUE"""),0.75)</f>
        <v>0.75</v>
      </c>
      <c r="U980" s="2">
        <f>IFERROR(__xludf.DUMMYFUNCTION("""COMPUTED_VALUE"""),6.42)</f>
        <v>6.42</v>
      </c>
      <c r="V980" s="1" t="str">
        <f>IFERROR(__xludf.DUMMYFUNCTION("""COMPUTED_VALUE"""),"AL Suarez")</f>
        <v>AL Suarez</v>
      </c>
      <c r="W980" s="1" t="str">
        <f>IFERROR(__xludf.DUMMYFUNCTION("""COMPUTED_VALUE"""),"Print Support PH")</f>
        <v>Print Support PH</v>
      </c>
    </row>
    <row r="981">
      <c r="O981" s="1" t="str">
        <f>IFERROR(__xludf.DUMMYFUNCTION("""COMPUTED_VALUE"""),"2025 Sep")</f>
        <v>2025 Sep</v>
      </c>
      <c r="P981" s="1" t="str">
        <f>IFERROR(__xludf.DUMMYFUNCTION("""COMPUTED_VALUE"""),"Core Product Support")</f>
        <v>Core Product Support</v>
      </c>
      <c r="Q981" s="1" t="str">
        <f>IFERROR(__xludf.DUMMYFUNCTION("""COMPUTED_VALUE"""),"jasminechristel@canva.com")</f>
        <v>jasminechristel@canva.com</v>
      </c>
      <c r="R981" s="1" t="str">
        <f>IFERROR(__xludf.DUMMYFUNCTION("""COMPUTED_VALUE"""),"Jazz Ragot - Flex Program UV Ops Team")</f>
        <v>Jazz Ragot - Flex Program UV Ops Team</v>
      </c>
      <c r="S981" s="1">
        <f>IFERROR(__xludf.DUMMYFUNCTION("""COMPUTED_VALUE"""),1.2)</f>
        <v>1.2</v>
      </c>
      <c r="T981" s="1">
        <f>IFERROR(__xludf.DUMMYFUNCTION("""COMPUTED_VALUE"""),12.55)</f>
        <v>12.55</v>
      </c>
      <c r="U981" s="2">
        <f>IFERROR(__xludf.DUMMYFUNCTION("""COMPUTED_VALUE"""),13.75)</f>
        <v>13.75</v>
      </c>
      <c r="V981" s="1" t="str">
        <f>IFERROR(__xludf.DUMMYFUNCTION("""COMPUTED_VALUE"""),"Jem Mondoñedo")</f>
        <v>Jem Mondoñedo</v>
      </c>
      <c r="W981" s="1" t="str">
        <f>IFERROR(__xludf.DUMMYFUNCTION("""COMPUTED_VALUE"""),"Advanced Billing &amp; Subscriptions")</f>
        <v>Advanced Billing &amp; Subscriptions</v>
      </c>
    </row>
    <row r="982">
      <c r="O982" s="1" t="str">
        <f>IFERROR(__xludf.DUMMYFUNCTION("""COMPUTED_VALUE"""),"2025 Sep")</f>
        <v>2025 Sep</v>
      </c>
      <c r="P982" s="1" t="str">
        <f>IFERROR(__xludf.DUMMYFUNCTION("""COMPUTED_VALUE"""),"Multilingual Support")</f>
        <v>Multilingual Support</v>
      </c>
      <c r="Q982" s="1" t="str">
        <f>IFERROR(__xludf.DUMMYFUNCTION("""COMPUTED_VALUE"""),"jc@canva.com")</f>
        <v>jc@canva.com</v>
      </c>
      <c r="R982" s="1" t="str">
        <f>IFERROR(__xludf.DUMMYFUNCTION("""COMPUTED_VALUE"""),"JC Evangelista")</f>
        <v>JC Evangelista</v>
      </c>
      <c r="S982" s="1">
        <f>IFERROR(__xludf.DUMMYFUNCTION("""COMPUTED_VALUE"""),1.0)</f>
        <v>1</v>
      </c>
      <c r="T982" s="1">
        <f>IFERROR(__xludf.DUMMYFUNCTION("""COMPUTED_VALUE"""),2.25)</f>
        <v>2.25</v>
      </c>
      <c r="U982" s="2">
        <f>IFERROR(__xludf.DUMMYFUNCTION("""COMPUTED_VALUE"""),3.25)</f>
        <v>3.25</v>
      </c>
      <c r="V982" s="1" t="str">
        <f>IFERROR(__xludf.DUMMYFUNCTION("""COMPUTED_VALUE"""),"Arlene Maurillo")</f>
        <v>Arlene Maurillo</v>
      </c>
      <c r="W982" s="1" t="str">
        <f>IFERROR(__xludf.DUMMYFUNCTION("""COMPUTED_VALUE"""),"PHL, Multilingual Support")</f>
        <v>PHL, Multilingual Support</v>
      </c>
    </row>
    <row r="983">
      <c r="O983" s="1" t="str">
        <f>IFERROR(__xludf.DUMMYFUNCTION("""COMPUTED_VALUE"""),"2025 Sep")</f>
        <v>2025 Sep</v>
      </c>
      <c r="P983" s="1" t="str">
        <f>IFERROR(__xludf.DUMMYFUNCTION("""COMPUTED_VALUE"""),"Core Product Support")</f>
        <v>Core Product Support</v>
      </c>
      <c r="Q983" s="1" t="str">
        <f>IFERROR(__xludf.DUMMYFUNCTION("""COMPUTED_VALUE"""),"jea@canva.com")</f>
        <v>jea@canva.com</v>
      </c>
      <c r="R983" s="1" t="str">
        <f>IFERROR(__xludf.DUMMYFUNCTION("""COMPUTED_VALUE"""),"Jea Silvestre")</f>
        <v>Jea Silvestre</v>
      </c>
      <c r="S983" s="1">
        <f>IFERROR(__xludf.DUMMYFUNCTION("""COMPUTED_VALUE"""),0.83)</f>
        <v>0.83</v>
      </c>
      <c r="T983" s="1">
        <f>IFERROR(__xludf.DUMMYFUNCTION("""COMPUTED_VALUE"""),12.07)</f>
        <v>12.07</v>
      </c>
      <c r="U983" s="2">
        <f>IFERROR(__xludf.DUMMYFUNCTION("""COMPUTED_VALUE"""),12.9)</f>
        <v>12.9</v>
      </c>
      <c r="V983" s="1" t="str">
        <f>IFERROR(__xludf.DUMMYFUNCTION("""COMPUTED_VALUE"""),"Marie Mordeno")</f>
        <v>Marie Mordeno</v>
      </c>
      <c r="W983" s="1" t="str">
        <f>IFERROR(__xludf.DUMMYFUNCTION("""COMPUTED_VALUE"""),"Advanced Billing &amp; Subscriptions")</f>
        <v>Advanced Billing &amp; Subscriptions</v>
      </c>
    </row>
    <row r="984">
      <c r="O984" s="1" t="str">
        <f>IFERROR(__xludf.DUMMYFUNCTION("""COMPUTED_VALUE"""),"2025 Sep")</f>
        <v>2025 Sep</v>
      </c>
      <c r="P984" s="1" t="str">
        <f>IFERROR(__xludf.DUMMYFUNCTION("""COMPUTED_VALUE"""),"Core Product Support")</f>
        <v>Core Product Support</v>
      </c>
      <c r="Q984" s="1" t="str">
        <f>IFERROR(__xludf.DUMMYFUNCTION("""COMPUTED_VALUE"""),"jed@canva.com")</f>
        <v>jed@canva.com</v>
      </c>
      <c r="R984" s="1" t="str">
        <f>IFERROR(__xludf.DUMMYFUNCTION("""COMPUTED_VALUE"""),"Jed Wenceslao")</f>
        <v>Jed Wenceslao</v>
      </c>
      <c r="S984" s="1"/>
      <c r="T984" s="1">
        <f>IFERROR(__xludf.DUMMYFUNCTION("""COMPUTED_VALUE"""),3.33)</f>
        <v>3.33</v>
      </c>
      <c r="U984" s="2">
        <f>IFERROR(__xludf.DUMMYFUNCTION("""COMPUTED_VALUE"""),3.33)</f>
        <v>3.33</v>
      </c>
      <c r="V984" s="1" t="str">
        <f>IFERROR(__xludf.DUMMYFUNCTION("""COMPUTED_VALUE"""),"Sieg Ballelos")</f>
        <v>Sieg Ballelos</v>
      </c>
      <c r="W984" s="1" t="str">
        <f>IFERROR(__xludf.DUMMYFUNCTION("""COMPUTED_VALUE"""),"Core Product Support Escalation Team")</f>
        <v>Core Product Support Escalation Team</v>
      </c>
    </row>
    <row r="985">
      <c r="O985" s="1" t="str">
        <f>IFERROR(__xludf.DUMMYFUNCTION("""COMPUTED_VALUE"""),"2025 Sep")</f>
        <v>2025 Sep</v>
      </c>
      <c r="P985" s="1" t="str">
        <f>IFERROR(__xludf.DUMMYFUNCTION("""COMPUTED_VALUE"""),"Core Product Support")</f>
        <v>Core Product Support</v>
      </c>
      <c r="Q985" s="1" t="str">
        <f>IFERROR(__xludf.DUMMYFUNCTION("""COMPUTED_VALUE"""),"jen@canva.com")</f>
        <v>jen@canva.com</v>
      </c>
      <c r="R985" s="1" t="str">
        <f>IFERROR(__xludf.DUMMYFUNCTION("""COMPUTED_VALUE"""),"Jenber Teves")</f>
        <v>Jenber Teves</v>
      </c>
      <c r="S985" s="1">
        <f>IFERROR(__xludf.DUMMYFUNCTION("""COMPUTED_VALUE"""),0.3)</f>
        <v>0.3</v>
      </c>
      <c r="T985" s="1">
        <f>IFERROR(__xludf.DUMMYFUNCTION("""COMPUTED_VALUE"""),2.75)</f>
        <v>2.75</v>
      </c>
      <c r="U985" s="2">
        <f>IFERROR(__xludf.DUMMYFUNCTION("""COMPUTED_VALUE"""),3.05)</f>
        <v>3.05</v>
      </c>
      <c r="V985" s="1" t="str">
        <f>IFERROR(__xludf.DUMMYFUNCTION("""COMPUTED_VALUE"""),"Ellaine Estayo")</f>
        <v>Ellaine Estayo</v>
      </c>
      <c r="W985" s="1" t="str">
        <f>IFERROR(__xludf.DUMMYFUNCTION("""COMPUTED_VALUE"""),"Core Product Support Escalation Team")</f>
        <v>Core Product Support Escalation Team</v>
      </c>
    </row>
    <row r="986">
      <c r="O986" s="1" t="str">
        <f>IFERROR(__xludf.DUMMYFUNCTION("""COMPUTED_VALUE"""),"2025 Sep")</f>
        <v>2025 Sep</v>
      </c>
      <c r="P986" s="1" t="str">
        <f>IFERROR(__xludf.DUMMYFUNCTION("""COMPUTED_VALUE"""),"#N/A")</f>
        <v>#N/A</v>
      </c>
      <c r="Q986" s="1" t="str">
        <f>IFERROR(__xludf.DUMMYFUNCTION("""COMPUTED_VALUE"""),"jerica@canva.com")</f>
        <v>jerica@canva.com</v>
      </c>
      <c r="R986" s="1" t="str">
        <f>IFERROR(__xludf.DUMMYFUNCTION("""COMPUTED_VALUE"""),"Jerica Tan")</f>
        <v>Jerica Tan</v>
      </c>
      <c r="S986" s="1">
        <f>IFERROR(__xludf.DUMMYFUNCTION("""COMPUTED_VALUE"""),11.25)</f>
        <v>11.25</v>
      </c>
      <c r="T986" s="1">
        <f>IFERROR(__xludf.DUMMYFUNCTION("""COMPUTED_VALUE"""),3.2)</f>
        <v>3.2</v>
      </c>
      <c r="U986" s="2">
        <f>IFERROR(__xludf.DUMMYFUNCTION("""COMPUTED_VALUE"""),14.45)</f>
        <v>14.45</v>
      </c>
      <c r="V986" s="1" t="str">
        <f>IFERROR(__xludf.DUMMYFUNCTION("""COMPUTED_VALUE"""),"#N/A")</f>
        <v>#N/A</v>
      </c>
      <c r="W986" s="1" t="str">
        <f>IFERROR(__xludf.DUMMYFUNCTION("""COMPUTED_VALUE"""),"High Sensitivity Support PH")</f>
        <v>High Sensitivity Support PH</v>
      </c>
    </row>
    <row r="987">
      <c r="O987" s="1" t="str">
        <f>IFERROR(__xludf.DUMMYFUNCTION("""COMPUTED_VALUE"""),"2025 Sep")</f>
        <v>2025 Sep</v>
      </c>
      <c r="P987" s="1" t="str">
        <f>IFERROR(__xludf.DUMMYFUNCTION("""COMPUTED_VALUE"""),"Print Support")</f>
        <v>Print Support</v>
      </c>
      <c r="Q987" s="1" t="str">
        <f>IFERROR(__xludf.DUMMYFUNCTION("""COMPUTED_VALUE"""),"jesicamari@canva.com")</f>
        <v>jesicamari@canva.com</v>
      </c>
      <c r="R987" s="1" t="str">
        <f>IFERROR(__xludf.DUMMYFUNCTION("""COMPUTED_VALUE"""),"Jesica Laureola")</f>
        <v>Jesica Laureola</v>
      </c>
      <c r="S987" s="1">
        <f>IFERROR(__xludf.DUMMYFUNCTION("""COMPUTED_VALUE"""),2.58)</f>
        <v>2.58</v>
      </c>
      <c r="T987" s="1">
        <f>IFERROR(__xludf.DUMMYFUNCTION("""COMPUTED_VALUE"""),0.25)</f>
        <v>0.25</v>
      </c>
      <c r="U987" s="2">
        <f>IFERROR(__xludf.DUMMYFUNCTION("""COMPUTED_VALUE"""),2.83)</f>
        <v>2.83</v>
      </c>
      <c r="V987" s="1" t="str">
        <f>IFERROR(__xludf.DUMMYFUNCTION("""COMPUTED_VALUE"""),"Rei De Jesus")</f>
        <v>Rei De Jesus</v>
      </c>
      <c r="W987" s="1" t="str">
        <f>IFERROR(__xludf.DUMMYFUNCTION("""COMPUTED_VALUE"""),"Print Design Support")</f>
        <v>Print Design Support</v>
      </c>
    </row>
    <row r="988">
      <c r="O988" s="1" t="str">
        <f>IFERROR(__xludf.DUMMYFUNCTION("""COMPUTED_VALUE"""),"2025 Sep")</f>
        <v>2025 Sep</v>
      </c>
      <c r="P988" s="1" t="str">
        <f>IFERROR(__xludf.DUMMYFUNCTION("""COMPUTED_VALUE"""),"Core Product Support")</f>
        <v>Core Product Support</v>
      </c>
      <c r="Q988" s="1" t="str">
        <f>IFERROR(__xludf.DUMMYFUNCTION("""COMPUTED_VALUE"""),"jbrizuela@canva.com")</f>
        <v>jbrizuela@canva.com</v>
      </c>
      <c r="R988" s="1" t="str">
        <f>IFERROR(__xludf.DUMMYFUNCTION("""COMPUTED_VALUE"""),"Jessa Brizuela")</f>
        <v>Jessa Brizuela</v>
      </c>
      <c r="S988" s="1">
        <f>IFERROR(__xludf.DUMMYFUNCTION("""COMPUTED_VALUE"""),1.0)</f>
        <v>1</v>
      </c>
      <c r="T988" s="1">
        <f>IFERROR(__xludf.DUMMYFUNCTION("""COMPUTED_VALUE"""),15.53)</f>
        <v>15.53</v>
      </c>
      <c r="U988" s="2">
        <f>IFERROR(__xludf.DUMMYFUNCTION("""COMPUTED_VALUE"""),16.53)</f>
        <v>16.53</v>
      </c>
      <c r="V988" s="1" t="str">
        <f>IFERROR(__xludf.DUMMYFUNCTION("""COMPUTED_VALUE"""),"Renette Bok")</f>
        <v>Renette Bok</v>
      </c>
      <c r="W988" s="1" t="str">
        <f>IFERROR(__xludf.DUMMYFUNCTION("""COMPUTED_VALUE"""),"Advanced Billing &amp; Subscriptions")</f>
        <v>Advanced Billing &amp; Subscriptions</v>
      </c>
    </row>
    <row r="989">
      <c r="O989" s="1" t="str">
        <f>IFERROR(__xludf.DUMMYFUNCTION("""COMPUTED_VALUE"""),"2025 Sep")</f>
        <v>2025 Sep</v>
      </c>
      <c r="P989" s="1" t="str">
        <f>IFERROR(__xludf.DUMMYFUNCTION("""COMPUTED_VALUE"""),"Core Product Support")</f>
        <v>Core Product Support</v>
      </c>
      <c r="Q989" s="1" t="str">
        <f>IFERROR(__xludf.DUMMYFUNCTION("""COMPUTED_VALUE"""),"jian@canva.com")</f>
        <v>jian@canva.com</v>
      </c>
      <c r="R989" s="1" t="str">
        <f>IFERROR(__xludf.DUMMYFUNCTION("""COMPUTED_VALUE"""),"Jian Paula Inocencio")</f>
        <v>Jian Paula Inocencio</v>
      </c>
      <c r="S989" s="1">
        <f>IFERROR(__xludf.DUMMYFUNCTION("""COMPUTED_VALUE"""),10.13)</f>
        <v>10.13</v>
      </c>
      <c r="T989" s="1">
        <f>IFERROR(__xludf.DUMMYFUNCTION("""COMPUTED_VALUE"""),54.58)</f>
        <v>54.58</v>
      </c>
      <c r="U989" s="2">
        <f>IFERROR(__xludf.DUMMYFUNCTION("""COMPUTED_VALUE"""),64.71)</f>
        <v>64.71</v>
      </c>
      <c r="V989" s="1" t="str">
        <f>IFERROR(__xludf.DUMMYFUNCTION("""COMPUTED_VALUE"""),"Vinz Lazaro")</f>
        <v>Vinz Lazaro</v>
      </c>
      <c r="W989" s="1" t="str">
        <f>IFERROR(__xludf.DUMMYFUNCTION("""COMPUTED_VALUE"""),"Advanced Product Support")</f>
        <v>Advanced Product Support</v>
      </c>
    </row>
    <row r="990">
      <c r="O990" s="1" t="str">
        <f>IFERROR(__xludf.DUMMYFUNCTION("""COMPUTED_VALUE"""),"2025 Sep")</f>
        <v>2025 Sep</v>
      </c>
      <c r="P990" s="1" t="str">
        <f>IFERROR(__xludf.DUMMYFUNCTION("""COMPUTED_VALUE"""),"Core Product Support")</f>
        <v>Core Product Support</v>
      </c>
      <c r="Q990" s="1" t="str">
        <f>IFERROR(__xludf.DUMMYFUNCTION("""COMPUTED_VALUE"""),"jilll@canva.com")</f>
        <v>jilll@canva.com</v>
      </c>
      <c r="R990" s="1" t="str">
        <f>IFERROR(__xludf.DUMMYFUNCTION("""COMPUTED_VALUE"""),"Jill Linco")</f>
        <v>Jill Linco</v>
      </c>
      <c r="S990" s="1">
        <f>IFERROR(__xludf.DUMMYFUNCTION("""COMPUTED_VALUE"""),4.0)</f>
        <v>4</v>
      </c>
      <c r="T990" s="1">
        <f>IFERROR(__xludf.DUMMYFUNCTION("""COMPUTED_VALUE"""),12.25)</f>
        <v>12.25</v>
      </c>
      <c r="U990" s="2">
        <f>IFERROR(__xludf.DUMMYFUNCTION("""COMPUTED_VALUE"""),16.25)</f>
        <v>16.25</v>
      </c>
      <c r="V990" s="1" t="str">
        <f>IFERROR(__xludf.DUMMYFUNCTION("""COMPUTED_VALUE"""),"Cate Velasco")</f>
        <v>Cate Velasco</v>
      </c>
      <c r="W990" s="1" t="str">
        <f>IFERROR(__xludf.DUMMYFUNCTION("""COMPUTED_VALUE"""),"Advanced Product Support")</f>
        <v>Advanced Product Support</v>
      </c>
    </row>
    <row r="991">
      <c r="O991" s="1" t="str">
        <f>IFERROR(__xludf.DUMMYFUNCTION("""COMPUTED_VALUE"""),"2025 Sep")</f>
        <v>2025 Sep</v>
      </c>
      <c r="P991" s="1" t="str">
        <f>IFERROR(__xludf.DUMMYFUNCTION("""COMPUTED_VALUE"""),"Segment-specific Support")</f>
        <v>Segment-specific Support</v>
      </c>
      <c r="Q991" s="1" t="str">
        <f>IFERROR(__xludf.DUMMYFUNCTION("""COMPUTED_VALUE"""),"jillann@canva.com")</f>
        <v>jillann@canva.com</v>
      </c>
      <c r="R991" s="1" t="str">
        <f>IFERROR(__xludf.DUMMYFUNCTION("""COMPUTED_VALUE"""),"Jill-Ann Reducindo")</f>
        <v>Jill-Ann Reducindo</v>
      </c>
      <c r="S991" s="1">
        <f>IFERROR(__xludf.DUMMYFUNCTION("""COMPUTED_VALUE"""),2.75)</f>
        <v>2.75</v>
      </c>
      <c r="T991" s="1">
        <f>IFERROR(__xludf.DUMMYFUNCTION("""COMPUTED_VALUE"""),7.48)</f>
        <v>7.48</v>
      </c>
      <c r="U991" s="2">
        <f>IFERROR(__xludf.DUMMYFUNCTION("""COMPUTED_VALUE"""),10.23)</f>
        <v>10.23</v>
      </c>
      <c r="V991" s="1" t="str">
        <f>IFERROR(__xludf.DUMMYFUNCTION("""COMPUTED_VALUE"""),"Rose Gabilan")</f>
        <v>Rose Gabilan</v>
      </c>
      <c r="W991" s="1" t="str">
        <f>IFERROR(__xludf.DUMMYFUNCTION("""COMPUTED_VALUE"""),"Affinity Support")</f>
        <v>Affinity Support</v>
      </c>
    </row>
    <row r="992">
      <c r="O992" s="1" t="str">
        <f>IFERROR(__xludf.DUMMYFUNCTION("""COMPUTED_VALUE"""),"2025 Sep")</f>
        <v>2025 Sep</v>
      </c>
      <c r="P992" s="1" t="str">
        <f>IFERROR(__xludf.DUMMYFUNCTION("""COMPUTED_VALUE"""),"Core Product Support")</f>
        <v>Core Product Support</v>
      </c>
      <c r="Q992" s="1" t="str">
        <f>IFERROR(__xludf.DUMMYFUNCTION("""COMPUTED_VALUE"""),"jmfrial@canva.com")</f>
        <v>jmfrial@canva.com</v>
      </c>
      <c r="R992" s="1" t="str">
        <f>IFERROR(__xludf.DUMMYFUNCTION("""COMPUTED_VALUE"""),"JM Frial")</f>
        <v>JM Frial</v>
      </c>
      <c r="S992" s="1">
        <f>IFERROR(__xludf.DUMMYFUNCTION("""COMPUTED_VALUE"""),1.65)</f>
        <v>1.65</v>
      </c>
      <c r="T992" s="1">
        <f>IFERROR(__xludf.DUMMYFUNCTION("""COMPUTED_VALUE"""),3.75)</f>
        <v>3.75</v>
      </c>
      <c r="U992" s="2">
        <f>IFERROR(__xludf.DUMMYFUNCTION("""COMPUTED_VALUE"""),5.4)</f>
        <v>5.4</v>
      </c>
      <c r="V992" s="1" t="str">
        <f>IFERROR(__xludf.DUMMYFUNCTION("""COMPUTED_VALUE"""),"Sieg Ballelos")</f>
        <v>Sieg Ballelos</v>
      </c>
      <c r="W992" s="1" t="str">
        <f>IFERROR(__xludf.DUMMYFUNCTION("""COMPUTED_VALUE"""),"Core Product Support Escalation Team")</f>
        <v>Core Product Support Escalation Team</v>
      </c>
    </row>
    <row r="993">
      <c r="O993" s="1" t="str">
        <f>IFERROR(__xludf.DUMMYFUNCTION("""COMPUTED_VALUE"""),"2025 Sep")</f>
        <v>2025 Sep</v>
      </c>
      <c r="P993" s="1" t="str">
        <f>IFERROR(__xludf.DUMMYFUNCTION("""COMPUTED_VALUE"""),"Core Product Support")</f>
        <v>Core Product Support</v>
      </c>
      <c r="Q993" s="1" t="str">
        <f>IFERROR(__xludf.DUMMYFUNCTION("""COMPUTED_VALUE"""),"jmpascual@canva.com")</f>
        <v>jmpascual@canva.com</v>
      </c>
      <c r="R993" s="1" t="str">
        <f>IFERROR(__xludf.DUMMYFUNCTION("""COMPUTED_VALUE"""),"JM Pascual")</f>
        <v>JM Pascual</v>
      </c>
      <c r="S993" s="1">
        <f>IFERROR(__xludf.DUMMYFUNCTION("""COMPUTED_VALUE"""),9.75)</f>
        <v>9.75</v>
      </c>
      <c r="T993" s="1">
        <f>IFERROR(__xludf.DUMMYFUNCTION("""COMPUTED_VALUE"""),6.5)</f>
        <v>6.5</v>
      </c>
      <c r="U993" s="2">
        <f>IFERROR(__xludf.DUMMYFUNCTION("""COMPUTED_VALUE"""),16.25)</f>
        <v>16.25</v>
      </c>
      <c r="V993" s="1" t="str">
        <f>IFERROR(__xludf.DUMMYFUNCTION("""COMPUTED_VALUE"""),"Belle Bentazal")</f>
        <v>Belle Bentazal</v>
      </c>
      <c r="W993" s="1" t="str">
        <f>IFERROR(__xludf.DUMMYFUNCTION("""COMPUTED_VALUE"""),"Advanced Product Support")</f>
        <v>Advanced Product Support</v>
      </c>
    </row>
    <row r="994">
      <c r="O994" s="1" t="str">
        <f>IFERROR(__xludf.DUMMYFUNCTION("""COMPUTED_VALUE"""),"2025 Sep")</f>
        <v>2025 Sep</v>
      </c>
      <c r="P994" s="1" t="str">
        <f>IFERROR(__xludf.DUMMYFUNCTION("""COMPUTED_VALUE"""),"Print Support")</f>
        <v>Print Support</v>
      </c>
      <c r="Q994" s="1" t="str">
        <f>IFERROR(__xludf.DUMMYFUNCTION("""COMPUTED_VALUE"""),"joanmyle@canva.com")</f>
        <v>joanmyle@canva.com</v>
      </c>
      <c r="R994" s="1" t="str">
        <f>IFERROR(__xludf.DUMMYFUNCTION("""COMPUTED_VALUE"""),"Joan Myle Dapog")</f>
        <v>Joan Myle Dapog</v>
      </c>
      <c r="S994" s="1">
        <f>IFERROR(__xludf.DUMMYFUNCTION("""COMPUTED_VALUE"""),7.0)</f>
        <v>7</v>
      </c>
      <c r="T994" s="1">
        <f>IFERROR(__xludf.DUMMYFUNCTION("""COMPUTED_VALUE"""),4.08)</f>
        <v>4.08</v>
      </c>
      <c r="U994" s="2">
        <f>IFERROR(__xludf.DUMMYFUNCTION("""COMPUTED_VALUE"""),11.08)</f>
        <v>11.08</v>
      </c>
      <c r="V994" s="1" t="str">
        <f>IFERROR(__xludf.DUMMYFUNCTION("""COMPUTED_VALUE"""),"Jen Momo")</f>
        <v>Jen Momo</v>
      </c>
      <c r="W994" s="1" t="str">
        <f>IFERROR(__xludf.DUMMYFUNCTION("""COMPUTED_VALUE"""),"Print Support PH")</f>
        <v>Print Support PH</v>
      </c>
    </row>
    <row r="995">
      <c r="O995" s="1" t="str">
        <f>IFERROR(__xludf.DUMMYFUNCTION("""COMPUTED_VALUE"""),"2025 Sep")</f>
        <v>2025 Sep</v>
      </c>
      <c r="P995" s="1" t="str">
        <f>IFERROR(__xludf.DUMMYFUNCTION("""COMPUTED_VALUE"""),"Print Support")</f>
        <v>Print Support</v>
      </c>
      <c r="Q995" s="1" t="str">
        <f>IFERROR(__xludf.DUMMYFUNCTION("""COMPUTED_VALUE"""),"jmbeldua@canva.com")</f>
        <v>jmbeldua@canva.com</v>
      </c>
      <c r="R995" s="1" t="str">
        <f>IFERROR(__xludf.DUMMYFUNCTION("""COMPUTED_VALUE"""),"Joane Beldua")</f>
        <v>Joane Beldua</v>
      </c>
      <c r="S995" s="1">
        <f>IFERROR(__xludf.DUMMYFUNCTION("""COMPUTED_VALUE"""),4.0)</f>
        <v>4</v>
      </c>
      <c r="T995" s="1">
        <f>IFERROR(__xludf.DUMMYFUNCTION("""COMPUTED_VALUE"""),0.75)</f>
        <v>0.75</v>
      </c>
      <c r="U995" s="2">
        <f>IFERROR(__xludf.DUMMYFUNCTION("""COMPUTED_VALUE"""),4.75)</f>
        <v>4.75</v>
      </c>
      <c r="V995" s="1" t="str">
        <f>IFERROR(__xludf.DUMMYFUNCTION("""COMPUTED_VALUE"""),"Louise Dianne Estrella")</f>
        <v>Louise Dianne Estrella</v>
      </c>
      <c r="W995" s="1" t="str">
        <f>IFERROR(__xludf.DUMMYFUNCTION("""COMPUTED_VALUE"""),"Print Support PH")</f>
        <v>Print Support PH</v>
      </c>
    </row>
    <row r="996">
      <c r="O996" s="1" t="str">
        <f>IFERROR(__xludf.DUMMYFUNCTION("""COMPUTED_VALUE"""),"2025 Sep")</f>
        <v>2025 Sep</v>
      </c>
      <c r="P996" s="1" t="str">
        <f>IFERROR(__xludf.DUMMYFUNCTION("""COMPUTED_VALUE"""),"Multilingual Support")</f>
        <v>Multilingual Support</v>
      </c>
      <c r="Q996" s="1" t="str">
        <f>IFERROR(__xludf.DUMMYFUNCTION("""COMPUTED_VALUE"""),"joaqdivino@canva.com")</f>
        <v>joaqdivino@canva.com</v>
      </c>
      <c r="R996" s="1" t="str">
        <f>IFERROR(__xludf.DUMMYFUNCTION("""COMPUTED_VALUE"""),"Joaquin Divino")</f>
        <v>Joaquin Divino</v>
      </c>
      <c r="S996" s="1">
        <f>IFERROR(__xludf.DUMMYFUNCTION("""COMPUTED_VALUE"""),1.5)</f>
        <v>1.5</v>
      </c>
      <c r="T996" s="1">
        <f>IFERROR(__xludf.DUMMYFUNCTION("""COMPUTED_VALUE"""),3.25)</f>
        <v>3.25</v>
      </c>
      <c r="U996" s="2">
        <f>IFERROR(__xludf.DUMMYFUNCTION("""COMPUTED_VALUE"""),4.75)</f>
        <v>4.75</v>
      </c>
      <c r="V996" s="1" t="str">
        <f>IFERROR(__xludf.DUMMYFUNCTION("""COMPUTED_VALUE"""),"Arlene Maurillo")</f>
        <v>Arlene Maurillo</v>
      </c>
      <c r="W996" s="1" t="str">
        <f>IFERROR(__xludf.DUMMYFUNCTION("""COMPUTED_VALUE"""),"PHL, Multilingual Support")</f>
        <v>PHL, Multilingual Support</v>
      </c>
    </row>
    <row r="997">
      <c r="O997" s="1" t="str">
        <f>IFERROR(__xludf.DUMMYFUNCTION("""COMPUTED_VALUE"""),"2025 Sep")</f>
        <v>2025 Sep</v>
      </c>
      <c r="P997" s="1" t="str">
        <f>IFERROR(__xludf.DUMMYFUNCTION("""COMPUTED_VALUE"""),"Core Product Support")</f>
        <v>Core Product Support</v>
      </c>
      <c r="Q997" s="1" t="str">
        <f>IFERROR(__xludf.DUMMYFUNCTION("""COMPUTED_VALUE"""),"jocelynng@canva.com")</f>
        <v>jocelynng@canva.com</v>
      </c>
      <c r="R997" s="1" t="str">
        <f>IFERROR(__xludf.DUMMYFUNCTION("""COMPUTED_VALUE"""),"Jocelyn Ng")</f>
        <v>Jocelyn Ng</v>
      </c>
      <c r="S997" s="1">
        <f>IFERROR(__xludf.DUMMYFUNCTION("""COMPUTED_VALUE"""),0.5)</f>
        <v>0.5</v>
      </c>
      <c r="T997" s="1">
        <f>IFERROR(__xludf.DUMMYFUNCTION("""COMPUTED_VALUE"""),2.43)</f>
        <v>2.43</v>
      </c>
      <c r="U997" s="2">
        <f>IFERROR(__xludf.DUMMYFUNCTION("""COMPUTED_VALUE"""),2.93)</f>
        <v>2.93</v>
      </c>
      <c r="V997" s="1" t="str">
        <f>IFERROR(__xludf.DUMMYFUNCTION("""COMPUTED_VALUE"""),"Sieg Ballelos")</f>
        <v>Sieg Ballelos</v>
      </c>
      <c r="W997" s="1" t="str">
        <f>IFERROR(__xludf.DUMMYFUNCTION("""COMPUTED_VALUE"""),"Core Product Support Escalation Team")</f>
        <v>Core Product Support Escalation Team</v>
      </c>
    </row>
    <row r="998">
      <c r="O998" s="1" t="str">
        <f>IFERROR(__xludf.DUMMYFUNCTION("""COMPUTED_VALUE"""),"2025 Sep")</f>
        <v>2025 Sep</v>
      </c>
      <c r="P998" s="1" t="str">
        <f>IFERROR(__xludf.DUMMYFUNCTION("""COMPUTED_VALUE"""),"Admin Support")</f>
        <v>Admin Support</v>
      </c>
      <c r="Q998" s="1" t="str">
        <f>IFERROR(__xludf.DUMMYFUNCTION("""COMPUTED_VALUE"""),"cee@canva.com")</f>
        <v>cee@canva.com</v>
      </c>
      <c r="R998" s="1" t="str">
        <f>IFERROR(__xludf.DUMMYFUNCTION("""COMPUTED_VALUE"""),"John Carlo Gonzales")</f>
        <v>John Carlo Gonzales</v>
      </c>
      <c r="S998" s="1"/>
      <c r="T998" s="1">
        <f>IFERROR(__xludf.DUMMYFUNCTION("""COMPUTED_VALUE"""),4.25)</f>
        <v>4.25</v>
      </c>
      <c r="U998" s="2">
        <f>IFERROR(__xludf.DUMMYFUNCTION("""COMPUTED_VALUE"""),4.25)</f>
        <v>4.25</v>
      </c>
      <c r="V998" s="1" t="str">
        <f>IFERROR(__xludf.DUMMYFUNCTION("""COMPUTED_VALUE"""),"AL Suarez")</f>
        <v>AL Suarez</v>
      </c>
      <c r="W998" s="1" t="str">
        <f>IFERROR(__xludf.DUMMYFUNCTION("""COMPUTED_VALUE"""),"Admin Direct Support")</f>
        <v>Admin Direct Support</v>
      </c>
    </row>
    <row r="999">
      <c r="O999" s="1" t="str">
        <f>IFERROR(__xludf.DUMMYFUNCTION("""COMPUTED_VALUE"""),"2025 Sep")</f>
        <v>2025 Sep</v>
      </c>
      <c r="P999" s="1" t="str">
        <f>IFERROR(__xludf.DUMMYFUNCTION("""COMPUTED_VALUE"""),"Core Product Support")</f>
        <v>Core Product Support</v>
      </c>
      <c r="Q999" s="1" t="str">
        <f>IFERROR(__xludf.DUMMYFUNCTION("""COMPUTED_VALUE"""),"khael@canva.com")</f>
        <v>khael@canva.com</v>
      </c>
      <c r="R999" s="1" t="str">
        <f>IFERROR(__xludf.DUMMYFUNCTION("""COMPUTED_VALUE"""),"John Pieda")</f>
        <v>John Pieda</v>
      </c>
      <c r="S999" s="1"/>
      <c r="T999" s="1">
        <f>IFERROR(__xludf.DUMMYFUNCTION("""COMPUTED_VALUE"""),20.66)</f>
        <v>20.66</v>
      </c>
      <c r="U999" s="2">
        <f>IFERROR(__xludf.DUMMYFUNCTION("""COMPUTED_VALUE"""),20.66)</f>
        <v>20.66</v>
      </c>
      <c r="V999" s="1" t="str">
        <f>IFERROR(__xludf.DUMMYFUNCTION("""COMPUTED_VALUE"""),"Ayza Marie Pascual")</f>
        <v>Ayza Marie Pascual</v>
      </c>
      <c r="W999" s="1" t="str">
        <f>IFERROR(__xludf.DUMMYFUNCTION("""COMPUTED_VALUE"""),"Advanced Billing &amp; Subscriptions")</f>
        <v>Advanced Billing &amp; Subscriptions</v>
      </c>
    </row>
    <row r="1000">
      <c r="O1000" s="1" t="str">
        <f>IFERROR(__xludf.DUMMYFUNCTION("""COMPUTED_VALUE"""),"2025 Sep")</f>
        <v>2025 Sep</v>
      </c>
      <c r="P1000" s="1" t="str">
        <f>IFERROR(__xludf.DUMMYFUNCTION("""COMPUTED_VALUE"""),"Core Product Support")</f>
        <v>Core Product Support</v>
      </c>
      <c r="Q1000" s="1" t="str">
        <f>IFERROR(__xludf.DUMMYFUNCTION("""COMPUTED_VALUE"""),"jonahezra@canva.com")</f>
        <v>jonahezra@canva.com</v>
      </c>
      <c r="R1000" s="1" t="str">
        <f>IFERROR(__xludf.DUMMYFUNCTION("""COMPUTED_VALUE"""),"Jonah Ezra Vergara")</f>
        <v>Jonah Ezra Vergara</v>
      </c>
      <c r="S1000" s="1"/>
      <c r="T1000" s="1">
        <f>IFERROR(__xludf.DUMMYFUNCTION("""COMPUTED_VALUE"""),2.75)</f>
        <v>2.75</v>
      </c>
      <c r="U1000" s="2">
        <f>IFERROR(__xludf.DUMMYFUNCTION("""COMPUTED_VALUE"""),2.75)</f>
        <v>2.75</v>
      </c>
      <c r="V1000" s="1" t="str">
        <f>IFERROR(__xludf.DUMMYFUNCTION("""COMPUTED_VALUE"""),"Ellaine Estayo")</f>
        <v>Ellaine Estayo</v>
      </c>
      <c r="W1000" s="1" t="str">
        <f>IFERROR(__xludf.DUMMYFUNCTION("""COMPUTED_VALUE"""),"Core Product Support Escalation Team")</f>
        <v>Core Product Support Escalation Team</v>
      </c>
    </row>
    <row r="1001">
      <c r="O1001" s="1" t="str">
        <f>IFERROR(__xludf.DUMMYFUNCTION("""COMPUTED_VALUE"""),"2025 Sep")</f>
        <v>2025 Sep</v>
      </c>
      <c r="P1001" s="1" t="str">
        <f>IFERROR(__xludf.DUMMYFUNCTION("""COMPUTED_VALUE"""),"Core Product Support")</f>
        <v>Core Product Support</v>
      </c>
      <c r="Q1001" s="1" t="str">
        <f>IFERROR(__xludf.DUMMYFUNCTION("""COMPUTED_VALUE"""),"cjopphet@canva.com")</f>
        <v>cjopphet@canva.com</v>
      </c>
      <c r="R1001" s="1" t="str">
        <f>IFERROR(__xludf.DUMMYFUNCTION("""COMPUTED_VALUE"""),"Jopphet Villafuerte")</f>
        <v>Jopphet Villafuerte</v>
      </c>
      <c r="S1001" s="1">
        <f>IFERROR(__xludf.DUMMYFUNCTION("""COMPUTED_VALUE"""),0.5)</f>
        <v>0.5</v>
      </c>
      <c r="T1001" s="1">
        <f>IFERROR(__xludf.DUMMYFUNCTION("""COMPUTED_VALUE"""),20.16)</f>
        <v>20.16</v>
      </c>
      <c r="U1001" s="2">
        <f>IFERROR(__xludf.DUMMYFUNCTION("""COMPUTED_VALUE"""),20.66)</f>
        <v>20.66</v>
      </c>
      <c r="V1001" s="1" t="str">
        <f>IFERROR(__xludf.DUMMYFUNCTION("""COMPUTED_VALUE"""),"Ayza Marie Pascual")</f>
        <v>Ayza Marie Pascual</v>
      </c>
      <c r="W1001" s="1" t="str">
        <f>IFERROR(__xludf.DUMMYFUNCTION("""COMPUTED_VALUE"""),"Advanced Billing &amp; Subscriptions")</f>
        <v>Advanced Billing &amp; Subscriptions</v>
      </c>
    </row>
    <row r="1002">
      <c r="O1002" s="1" t="str">
        <f>IFERROR(__xludf.DUMMYFUNCTION("""COMPUTED_VALUE"""),"2025 Sep")</f>
        <v>2025 Sep</v>
      </c>
      <c r="P1002" s="1" t="str">
        <f>IFERROR(__xludf.DUMMYFUNCTION("""COMPUTED_VALUE"""),"Segment-specific Support")</f>
        <v>Segment-specific Support</v>
      </c>
      <c r="Q1002" s="1" t="str">
        <f>IFERROR(__xludf.DUMMYFUNCTION("""COMPUTED_VALUE"""),"jorell@canva.com")</f>
        <v>jorell@canva.com</v>
      </c>
      <c r="R1002" s="1" t="str">
        <f>IFERROR(__xludf.DUMMYFUNCTION("""COMPUTED_VALUE"""),"Jorell Bollozos")</f>
        <v>Jorell Bollozos</v>
      </c>
      <c r="S1002" s="1">
        <f>IFERROR(__xludf.DUMMYFUNCTION("""COMPUTED_VALUE"""),4.47)</f>
        <v>4.47</v>
      </c>
      <c r="T1002" s="1">
        <f>IFERROR(__xludf.DUMMYFUNCTION("""COMPUTED_VALUE"""),3.75)</f>
        <v>3.75</v>
      </c>
      <c r="U1002" s="2">
        <f>IFERROR(__xludf.DUMMYFUNCTION("""COMPUTED_VALUE"""),8.219999999999999)</f>
        <v>8.22</v>
      </c>
      <c r="V1002" s="1" t="str">
        <f>IFERROR(__xludf.DUMMYFUNCTION("""COMPUTED_VALUE"""),"Gucci Nava")</f>
        <v>Gucci Nava</v>
      </c>
      <c r="W1002" s="1" t="str">
        <f>IFERROR(__xludf.DUMMYFUNCTION("""COMPUTED_VALUE"""),"Print Support PH")</f>
        <v>Print Support PH</v>
      </c>
    </row>
    <row r="1003">
      <c r="O1003" s="1" t="str">
        <f>IFERROR(__xludf.DUMMYFUNCTION("""COMPUTED_VALUE"""),"2025 Sep")</f>
        <v>2025 Sep</v>
      </c>
      <c r="P1003" s="1" t="str">
        <f>IFERROR(__xludf.DUMMYFUNCTION("""COMPUTED_VALUE"""),"Core Product Support")</f>
        <v>Core Product Support</v>
      </c>
      <c r="Q1003" s="1" t="str">
        <f>IFERROR(__xludf.DUMMYFUNCTION("""COMPUTED_VALUE"""),"josab@canva.com")</f>
        <v>josab@canva.com</v>
      </c>
      <c r="R1003" s="1" t="str">
        <f>IFERROR(__xludf.DUMMYFUNCTION("""COMPUTED_VALUE"""),"Josa Bernardino")</f>
        <v>Josa Bernardino</v>
      </c>
      <c r="S1003" s="1">
        <f>IFERROR(__xludf.DUMMYFUNCTION("""COMPUTED_VALUE"""),1.0)</f>
        <v>1</v>
      </c>
      <c r="T1003" s="1">
        <f>IFERROR(__xludf.DUMMYFUNCTION("""COMPUTED_VALUE"""),4.75)</f>
        <v>4.75</v>
      </c>
      <c r="U1003" s="2">
        <f>IFERROR(__xludf.DUMMYFUNCTION("""COMPUTED_VALUE"""),5.75)</f>
        <v>5.75</v>
      </c>
      <c r="V1003" s="1" t="str">
        <f>IFERROR(__xludf.DUMMYFUNCTION("""COMPUTED_VALUE"""),"Ellaine Estayo")</f>
        <v>Ellaine Estayo</v>
      </c>
      <c r="W1003" s="1" t="str">
        <f>IFERROR(__xludf.DUMMYFUNCTION("""COMPUTED_VALUE"""),"Core Product Support Escalation Team")</f>
        <v>Core Product Support Escalation Team</v>
      </c>
    </row>
    <row r="1004">
      <c r="O1004" s="1" t="str">
        <f>IFERROR(__xludf.DUMMYFUNCTION("""COMPUTED_VALUE"""),"2025 Sep")</f>
        <v>2025 Sep</v>
      </c>
      <c r="P1004" s="1" t="str">
        <f>IFERROR(__xludf.DUMMYFUNCTION("""COMPUTED_VALUE"""),"Print Support")</f>
        <v>Print Support</v>
      </c>
      <c r="Q1004" s="1" t="str">
        <f>IFERROR(__xludf.DUMMYFUNCTION("""COMPUTED_VALUE"""),"quin@canva.com")</f>
        <v>quin@canva.com</v>
      </c>
      <c r="R1004" s="1" t="str">
        <f>IFERROR(__xludf.DUMMYFUNCTION("""COMPUTED_VALUE"""),"Jose Antiquin")</f>
        <v>Jose Antiquin</v>
      </c>
      <c r="S1004" s="1">
        <f>IFERROR(__xludf.DUMMYFUNCTION("""COMPUTED_VALUE"""),6.08)</f>
        <v>6.08</v>
      </c>
      <c r="T1004" s="1">
        <f>IFERROR(__xludf.DUMMYFUNCTION("""COMPUTED_VALUE"""),40.92)</f>
        <v>40.92</v>
      </c>
      <c r="U1004" s="2">
        <f>IFERROR(__xludf.DUMMYFUNCTION("""COMPUTED_VALUE"""),47.0)</f>
        <v>47</v>
      </c>
      <c r="V1004" s="1" t="str">
        <f>IFERROR(__xludf.DUMMYFUNCTION("""COMPUTED_VALUE"""),"Jen Momo")</f>
        <v>Jen Momo</v>
      </c>
      <c r="W1004" s="1" t="str">
        <f>IFERROR(__xludf.DUMMYFUNCTION("""COMPUTED_VALUE"""),"Print Support PH")</f>
        <v>Print Support PH</v>
      </c>
    </row>
    <row r="1005">
      <c r="O1005" s="1" t="str">
        <f>IFERROR(__xludf.DUMMYFUNCTION("""COMPUTED_VALUE"""),"2025 Sep")</f>
        <v>2025 Sep</v>
      </c>
      <c r="P1005" s="1" t="str">
        <f>IFERROR(__xludf.DUMMYFUNCTION("""COMPUTED_VALUE"""),"Admin Support")</f>
        <v>Admin Support</v>
      </c>
      <c r="Q1005" s="1" t="str">
        <f>IFERROR(__xludf.DUMMYFUNCTION("""COMPUTED_VALUE"""),"joshid@canva.com")</f>
        <v>joshid@canva.com</v>
      </c>
      <c r="R1005" s="1" t="str">
        <f>IFERROR(__xludf.DUMMYFUNCTION("""COMPUTED_VALUE"""),"Joshua Dacanay")</f>
        <v>Joshua Dacanay</v>
      </c>
      <c r="S1005" s="1">
        <f>IFERROR(__xludf.DUMMYFUNCTION("""COMPUTED_VALUE"""),12.5)</f>
        <v>12.5</v>
      </c>
      <c r="T1005" s="1">
        <f>IFERROR(__xludf.DUMMYFUNCTION("""COMPUTED_VALUE"""),54.33)</f>
        <v>54.33</v>
      </c>
      <c r="U1005" s="2">
        <f>IFERROR(__xludf.DUMMYFUNCTION("""COMPUTED_VALUE"""),66.83)</f>
        <v>66.83</v>
      </c>
      <c r="V1005" s="1" t="str">
        <f>IFERROR(__xludf.DUMMYFUNCTION("""COMPUTED_VALUE"""),"AL Suarez")</f>
        <v>AL Suarez</v>
      </c>
      <c r="W1005" s="1" t="str">
        <f>IFERROR(__xludf.DUMMYFUNCTION("""COMPUTED_VALUE"""),"Admin Direct Support")</f>
        <v>Admin Direct Support</v>
      </c>
    </row>
    <row r="1006">
      <c r="O1006" s="1" t="str">
        <f>IFERROR(__xludf.DUMMYFUNCTION("""COMPUTED_VALUE"""),"2025 Sep")</f>
        <v>2025 Sep</v>
      </c>
      <c r="P1006" s="1" t="str">
        <f>IFERROR(__xludf.DUMMYFUNCTION("""COMPUTED_VALUE"""),"High Sensitivity Support")</f>
        <v>High Sensitivity Support</v>
      </c>
      <c r="Q1006" s="1" t="str">
        <f>IFERROR(__xludf.DUMMYFUNCTION("""COMPUTED_VALUE"""),"jpbasco@canva.com")</f>
        <v>jpbasco@canva.com</v>
      </c>
      <c r="R1006" s="1" t="str">
        <f>IFERROR(__xludf.DUMMYFUNCTION("""COMPUTED_VALUE"""),"JP Basco")</f>
        <v>JP Basco</v>
      </c>
      <c r="S1006" s="1">
        <f>IFERROR(__xludf.DUMMYFUNCTION("""COMPUTED_VALUE"""),11.25)</f>
        <v>11.25</v>
      </c>
      <c r="T1006" s="1">
        <f>IFERROR(__xludf.DUMMYFUNCTION("""COMPUTED_VALUE"""),2.25)</f>
        <v>2.25</v>
      </c>
      <c r="U1006" s="2">
        <f>IFERROR(__xludf.DUMMYFUNCTION("""COMPUTED_VALUE"""),13.5)</f>
        <v>13.5</v>
      </c>
      <c r="V1006" s="1" t="str">
        <f>IFERROR(__xludf.DUMMYFUNCTION("""COMPUTED_VALUE"""),"Rex Villamor")</f>
        <v>Rex Villamor</v>
      </c>
      <c r="W1006" s="1" t="str">
        <f>IFERROR(__xludf.DUMMYFUNCTION("""COMPUTED_VALUE"""),"High Sensitivity Support PH")</f>
        <v>High Sensitivity Support PH</v>
      </c>
    </row>
    <row r="1007">
      <c r="O1007" s="1" t="str">
        <f>IFERROR(__xludf.DUMMYFUNCTION("""COMPUTED_VALUE"""),"2025 Sep")</f>
        <v>2025 Sep</v>
      </c>
      <c r="P1007" s="1" t="str">
        <f>IFERROR(__xludf.DUMMYFUNCTION("""COMPUTED_VALUE"""),"Core Product Support")</f>
        <v>Core Product Support</v>
      </c>
      <c r="Q1007" s="1" t="str">
        <f>IFERROR(__xludf.DUMMYFUNCTION("""COMPUTED_VALUE"""),"mgonzalgo@canva.com")</f>
        <v>mgonzalgo@canva.com</v>
      </c>
      <c r="R1007" s="1" t="str">
        <f>IFERROR(__xludf.DUMMYFUNCTION("""COMPUTED_VALUE"""),"Juhrella Gonzalgo")</f>
        <v>Juhrella Gonzalgo</v>
      </c>
      <c r="S1007" s="1">
        <f>IFERROR(__xludf.DUMMYFUNCTION("""COMPUTED_VALUE"""),1.5)</f>
        <v>1.5</v>
      </c>
      <c r="T1007" s="1">
        <f>IFERROR(__xludf.DUMMYFUNCTION("""COMPUTED_VALUE"""),14.67)</f>
        <v>14.67</v>
      </c>
      <c r="U1007" s="2">
        <f>IFERROR(__xludf.DUMMYFUNCTION("""COMPUTED_VALUE"""),16.17)</f>
        <v>16.17</v>
      </c>
      <c r="V1007" s="1" t="str">
        <f>IFERROR(__xludf.DUMMYFUNCTION("""COMPUTED_VALUE"""),"Mikhaela Decangchon")</f>
        <v>Mikhaela Decangchon</v>
      </c>
      <c r="W1007" s="1" t="str">
        <f>IFERROR(__xludf.DUMMYFUNCTION("""COMPUTED_VALUE"""),"Advanced Product Support")</f>
        <v>Advanced Product Support</v>
      </c>
    </row>
    <row r="1008">
      <c r="O1008" s="1" t="str">
        <f>IFERROR(__xludf.DUMMYFUNCTION("""COMPUTED_VALUE"""),"2025 Sep")</f>
        <v>2025 Sep</v>
      </c>
      <c r="P1008" s="1" t="str">
        <f>IFERROR(__xludf.DUMMYFUNCTION("""COMPUTED_VALUE"""),"Admin Support")</f>
        <v>Admin Support</v>
      </c>
      <c r="Q1008" s="1" t="str">
        <f>IFERROR(__xludf.DUMMYFUNCTION("""COMPUTED_VALUE"""),"justinem@canva.com")</f>
        <v>justinem@canva.com</v>
      </c>
      <c r="R1008" s="1" t="str">
        <f>IFERROR(__xludf.DUMMYFUNCTION("""COMPUTED_VALUE"""),"Justine Valerie Meneses")</f>
        <v>Justine Valerie Meneses</v>
      </c>
      <c r="S1008" s="1">
        <f>IFERROR(__xludf.DUMMYFUNCTION("""COMPUTED_VALUE"""),14.25)</f>
        <v>14.25</v>
      </c>
      <c r="T1008" s="1">
        <f>IFERROR(__xludf.DUMMYFUNCTION("""COMPUTED_VALUE"""),0.75)</f>
        <v>0.75</v>
      </c>
      <c r="U1008" s="2">
        <f>IFERROR(__xludf.DUMMYFUNCTION("""COMPUTED_VALUE"""),15.0)</f>
        <v>15</v>
      </c>
      <c r="V1008" s="1" t="str">
        <f>IFERROR(__xludf.DUMMYFUNCTION("""COMPUTED_VALUE"""),"Karla Mananghaya")</f>
        <v>Karla Mananghaya</v>
      </c>
      <c r="W1008" s="1" t="str">
        <f>IFERROR(__xludf.DUMMYFUNCTION("""COMPUTED_VALUE"""),"Admin Support Service Escalation Team")</f>
        <v>Admin Support Service Escalation Team</v>
      </c>
    </row>
    <row r="1009">
      <c r="O1009" s="1" t="str">
        <f>IFERROR(__xludf.DUMMYFUNCTION("""COMPUTED_VALUE"""),"2025 Sep")</f>
        <v>2025 Sep</v>
      </c>
      <c r="P1009" s="1" t="str">
        <f>IFERROR(__xludf.DUMMYFUNCTION("""COMPUTED_VALUE"""),"Admin Support")</f>
        <v>Admin Support</v>
      </c>
      <c r="Q1009" s="1" t="str">
        <f>IFERROR(__xludf.DUMMYFUNCTION("""COMPUTED_VALUE"""),"kamilleb@canva.com")</f>
        <v>kamilleb@canva.com</v>
      </c>
      <c r="R1009" s="1" t="str">
        <f>IFERROR(__xludf.DUMMYFUNCTION("""COMPUTED_VALUE"""),"Kamille Batuyong")</f>
        <v>Kamille Batuyong</v>
      </c>
      <c r="S1009" s="1">
        <f>IFERROR(__xludf.DUMMYFUNCTION("""COMPUTED_VALUE"""),2.33)</f>
        <v>2.33</v>
      </c>
      <c r="T1009" s="1">
        <f>IFERROR(__xludf.DUMMYFUNCTION("""COMPUTED_VALUE"""),4.25)</f>
        <v>4.25</v>
      </c>
      <c r="U1009" s="2">
        <f>IFERROR(__xludf.DUMMYFUNCTION("""COMPUTED_VALUE"""),6.58)</f>
        <v>6.58</v>
      </c>
      <c r="V1009" s="1" t="str">
        <f>IFERROR(__xludf.DUMMYFUNCTION("""COMPUTED_VALUE"""),"AL Suarez")</f>
        <v>AL Suarez</v>
      </c>
      <c r="W1009" s="1" t="str">
        <f>IFERROR(__xludf.DUMMYFUNCTION("""COMPUTED_VALUE"""),"Print Support PH")</f>
        <v>Print Support PH</v>
      </c>
    </row>
    <row r="1010">
      <c r="O1010" s="1" t="str">
        <f>IFERROR(__xludf.DUMMYFUNCTION("""COMPUTED_VALUE"""),"2025 Sep")</f>
        <v>2025 Sep</v>
      </c>
      <c r="P1010" s="1" t="str">
        <f>IFERROR(__xludf.DUMMYFUNCTION("""COMPUTED_VALUE"""),"Core Product Support")</f>
        <v>Core Product Support</v>
      </c>
      <c r="Q1010" s="1" t="str">
        <f>IFERROR(__xludf.DUMMYFUNCTION("""COMPUTED_VALUE"""),"katcee@canva.com")</f>
        <v>katcee@canva.com</v>
      </c>
      <c r="R1010" s="1" t="str">
        <f>IFERROR(__xludf.DUMMYFUNCTION("""COMPUTED_VALUE"""),"Katrin Cebedo")</f>
        <v>Katrin Cebedo</v>
      </c>
      <c r="S1010" s="1">
        <f>IFERROR(__xludf.DUMMYFUNCTION("""COMPUTED_VALUE"""),0.5)</f>
        <v>0.5</v>
      </c>
      <c r="T1010" s="1">
        <f>IFERROR(__xludf.DUMMYFUNCTION("""COMPUTED_VALUE"""),20.59)</f>
        <v>20.59</v>
      </c>
      <c r="U1010" s="2">
        <f>IFERROR(__xludf.DUMMYFUNCTION("""COMPUTED_VALUE"""),21.09)</f>
        <v>21.09</v>
      </c>
      <c r="V1010" s="1" t="str">
        <f>IFERROR(__xludf.DUMMYFUNCTION("""COMPUTED_VALUE"""),"Ayza Marie Pascual")</f>
        <v>Ayza Marie Pascual</v>
      </c>
      <c r="W1010" s="1" t="str">
        <f>IFERROR(__xludf.DUMMYFUNCTION("""COMPUTED_VALUE"""),"Advanced Billing &amp; Subscriptions")</f>
        <v>Advanced Billing &amp; Subscriptions</v>
      </c>
    </row>
    <row r="1011">
      <c r="O1011" s="1" t="str">
        <f>IFERROR(__xludf.DUMMYFUNCTION("""COMPUTED_VALUE"""),"2025 Sep")</f>
        <v>2025 Sep</v>
      </c>
      <c r="P1011" s="1" t="str">
        <f>IFERROR(__xludf.DUMMYFUNCTION("""COMPUTED_VALUE"""),"Print Support")</f>
        <v>Print Support</v>
      </c>
      <c r="Q1011" s="1" t="str">
        <f>IFERROR(__xludf.DUMMYFUNCTION("""COMPUTED_VALUE"""),"katejoya@canva.com")</f>
        <v>katejoya@canva.com</v>
      </c>
      <c r="R1011" s="1" t="str">
        <f>IFERROR(__xludf.DUMMYFUNCTION("""COMPUTED_VALUE"""),"Katrina Joya")</f>
        <v>Katrina Joya</v>
      </c>
      <c r="S1011" s="1">
        <f>IFERROR(__xludf.DUMMYFUNCTION("""COMPUTED_VALUE"""),1.75)</f>
        <v>1.75</v>
      </c>
      <c r="T1011" s="1">
        <f>IFERROR(__xludf.DUMMYFUNCTION("""COMPUTED_VALUE"""),1.25)</f>
        <v>1.25</v>
      </c>
      <c r="U1011" s="2">
        <f>IFERROR(__xludf.DUMMYFUNCTION("""COMPUTED_VALUE"""),3.0)</f>
        <v>3</v>
      </c>
      <c r="V1011" s="1" t="str">
        <f>IFERROR(__xludf.DUMMYFUNCTION("""COMPUTED_VALUE"""),"Gem Agoncillo")</f>
        <v>Gem Agoncillo</v>
      </c>
      <c r="W1011" s="1" t="str">
        <f>IFERROR(__xludf.DUMMYFUNCTION("""COMPUTED_VALUE"""),"Print Design Support")</f>
        <v>Print Design Support</v>
      </c>
    </row>
    <row r="1012">
      <c r="O1012" s="1" t="str">
        <f>IFERROR(__xludf.DUMMYFUNCTION("""COMPUTED_VALUE"""),"2025 Sep")</f>
        <v>2025 Sep</v>
      </c>
      <c r="P1012" s="1" t="str">
        <f>IFERROR(__xludf.DUMMYFUNCTION("""COMPUTED_VALUE"""),"Core Product Support")</f>
        <v>Core Product Support</v>
      </c>
      <c r="Q1012" s="1" t="str">
        <f>IFERROR(__xludf.DUMMYFUNCTION("""COMPUTED_VALUE"""),"kayl@canva.com")</f>
        <v>kayl@canva.com</v>
      </c>
      <c r="R1012" s="1" t="str">
        <f>IFERROR(__xludf.DUMMYFUNCTION("""COMPUTED_VALUE"""),"Kayl Albonia")</f>
        <v>Kayl Albonia</v>
      </c>
      <c r="S1012" s="1">
        <f>IFERROR(__xludf.DUMMYFUNCTION("""COMPUTED_VALUE"""),1.0)</f>
        <v>1</v>
      </c>
      <c r="T1012" s="1">
        <f>IFERROR(__xludf.DUMMYFUNCTION("""COMPUTED_VALUE"""),12.08)</f>
        <v>12.08</v>
      </c>
      <c r="U1012" s="2">
        <f>IFERROR(__xludf.DUMMYFUNCTION("""COMPUTED_VALUE"""),13.08)</f>
        <v>13.08</v>
      </c>
      <c r="V1012" s="1" t="str">
        <f>IFERROR(__xludf.DUMMYFUNCTION("""COMPUTED_VALUE"""),"Marie Mordeno")</f>
        <v>Marie Mordeno</v>
      </c>
      <c r="W1012" s="1" t="str">
        <f>IFERROR(__xludf.DUMMYFUNCTION("""COMPUTED_VALUE"""),"Advanced Billing &amp; Subscriptions")</f>
        <v>Advanced Billing &amp; Subscriptions</v>
      </c>
    </row>
    <row r="1013">
      <c r="O1013" s="1" t="str">
        <f>IFERROR(__xludf.DUMMYFUNCTION("""COMPUTED_VALUE"""),"2025 Sep")</f>
        <v>2025 Sep</v>
      </c>
      <c r="P1013" s="1" t="str">
        <f>IFERROR(__xludf.DUMMYFUNCTION("""COMPUTED_VALUE"""),"High Sensitivity Support")</f>
        <v>High Sensitivity Support</v>
      </c>
      <c r="Q1013" s="1" t="str">
        <f>IFERROR(__xludf.DUMMYFUNCTION("""COMPUTED_VALUE"""),"kathlene@canva.com")</f>
        <v>kathlene@canva.com</v>
      </c>
      <c r="R1013" s="1" t="str">
        <f>IFERROR(__xludf.DUMMYFUNCTION("""COMPUTED_VALUE"""),"KC Cruz")</f>
        <v>KC Cruz</v>
      </c>
      <c r="S1013" s="1">
        <f>IFERROR(__xludf.DUMMYFUNCTION("""COMPUTED_VALUE"""),11.25)</f>
        <v>11.25</v>
      </c>
      <c r="T1013" s="1">
        <f>IFERROR(__xludf.DUMMYFUNCTION("""COMPUTED_VALUE"""),3.77)</f>
        <v>3.77</v>
      </c>
      <c r="U1013" s="2">
        <f>IFERROR(__xludf.DUMMYFUNCTION("""COMPUTED_VALUE"""),15.02)</f>
        <v>15.02</v>
      </c>
      <c r="V1013" s="1" t="str">
        <f>IFERROR(__xludf.DUMMYFUNCTION("""COMPUTED_VALUE"""),"Xandy Azarcon")</f>
        <v>Xandy Azarcon</v>
      </c>
      <c r="W1013" s="1" t="str">
        <f>IFERROR(__xludf.DUMMYFUNCTION("""COMPUTED_VALUE"""),"High Sensitivity Support PH")</f>
        <v>High Sensitivity Support PH</v>
      </c>
    </row>
    <row r="1014">
      <c r="O1014" s="1" t="str">
        <f>IFERROR(__xludf.DUMMYFUNCTION("""COMPUTED_VALUE"""),"2025 Sep")</f>
        <v>2025 Sep</v>
      </c>
      <c r="P1014" s="1" t="str">
        <f>IFERROR(__xludf.DUMMYFUNCTION("""COMPUTED_VALUE"""),"Admin Support")</f>
        <v>Admin Support</v>
      </c>
      <c r="Q1014" s="1" t="str">
        <f>IFERROR(__xludf.DUMMYFUNCTION("""COMPUTED_VALUE"""),"kc@canva.com")</f>
        <v>kc@canva.com</v>
      </c>
      <c r="R1014" s="1" t="str">
        <f>IFERROR(__xludf.DUMMYFUNCTION("""COMPUTED_VALUE"""),"KC Sacramento")</f>
        <v>KC Sacramento</v>
      </c>
      <c r="S1014" s="1">
        <f>IFERROR(__xludf.DUMMYFUNCTION("""COMPUTED_VALUE"""),1.0)</f>
        <v>1</v>
      </c>
      <c r="T1014" s="1">
        <f>IFERROR(__xludf.DUMMYFUNCTION("""COMPUTED_VALUE"""),21.43)</f>
        <v>21.43</v>
      </c>
      <c r="U1014" s="2">
        <f>IFERROR(__xludf.DUMMYFUNCTION("""COMPUTED_VALUE"""),22.43)</f>
        <v>22.43</v>
      </c>
      <c r="V1014" s="1" t="str">
        <f>IFERROR(__xludf.DUMMYFUNCTION("""COMPUTED_VALUE"""),"Kelden Laguting")</f>
        <v>Kelden Laguting</v>
      </c>
      <c r="W1014" s="1" t="str">
        <f>IFERROR(__xludf.DUMMYFUNCTION("""COMPUTED_VALUE"""),"Admin Omni Support")</f>
        <v>Admin Omni Support</v>
      </c>
    </row>
    <row r="1015">
      <c r="O1015" s="1" t="str">
        <f>IFERROR(__xludf.DUMMYFUNCTION("""COMPUTED_VALUE"""),"2025 Sep")</f>
        <v>2025 Sep</v>
      </c>
      <c r="P1015" s="1" t="str">
        <f>IFERROR(__xludf.DUMMYFUNCTION("""COMPUTED_VALUE"""),"Core Product Support")</f>
        <v>Core Product Support</v>
      </c>
      <c r="Q1015" s="1" t="str">
        <f>IFERROR(__xludf.DUMMYFUNCTION("""COMPUTED_VALUE"""),"keisalazar@canva.com")</f>
        <v>keisalazar@canva.com</v>
      </c>
      <c r="R1015" s="1" t="str">
        <f>IFERROR(__xludf.DUMMYFUNCTION("""COMPUTED_VALUE"""),"Kei Salazar")</f>
        <v>Kei Salazar</v>
      </c>
      <c r="S1015" s="1">
        <f>IFERROR(__xludf.DUMMYFUNCTION("""COMPUTED_VALUE"""),1.0)</f>
        <v>1</v>
      </c>
      <c r="T1015" s="1">
        <f>IFERROR(__xludf.DUMMYFUNCTION("""COMPUTED_VALUE"""),7.17)</f>
        <v>7.17</v>
      </c>
      <c r="U1015" s="2">
        <f>IFERROR(__xludf.DUMMYFUNCTION("""COMPUTED_VALUE"""),8.17)</f>
        <v>8.17</v>
      </c>
      <c r="V1015" s="1" t="str">
        <f>IFERROR(__xludf.DUMMYFUNCTION("""COMPUTED_VALUE"""),"Ayza Marie Pascual")</f>
        <v>Ayza Marie Pascual</v>
      </c>
      <c r="W1015" s="1" t="str">
        <f>IFERROR(__xludf.DUMMYFUNCTION("""COMPUTED_VALUE"""),"Advanced Billing &amp; Subscriptions")</f>
        <v>Advanced Billing &amp; Subscriptions</v>
      </c>
    </row>
    <row r="1016">
      <c r="O1016" s="1" t="str">
        <f>IFERROR(__xludf.DUMMYFUNCTION("""COMPUTED_VALUE"""),"2025 Sep")</f>
        <v>2025 Sep</v>
      </c>
      <c r="P1016" s="1" t="str">
        <f>IFERROR(__xludf.DUMMYFUNCTION("""COMPUTED_VALUE"""),"Print Support")</f>
        <v>Print Support</v>
      </c>
      <c r="Q1016" s="1" t="str">
        <f>IFERROR(__xludf.DUMMYFUNCTION("""COMPUTED_VALUE"""),"kennethgo@canva.com")</f>
        <v>kennethgo@canva.com</v>
      </c>
      <c r="R1016" s="1" t="str">
        <f>IFERROR(__xludf.DUMMYFUNCTION("""COMPUTED_VALUE"""),"Kenneth Go")</f>
        <v>Kenneth Go</v>
      </c>
      <c r="S1016" s="1">
        <f>IFERROR(__xludf.DUMMYFUNCTION("""COMPUTED_VALUE"""),6.5)</f>
        <v>6.5</v>
      </c>
      <c r="T1016" s="1">
        <f>IFERROR(__xludf.DUMMYFUNCTION("""COMPUTED_VALUE"""),2.25)</f>
        <v>2.25</v>
      </c>
      <c r="U1016" s="2">
        <f>IFERROR(__xludf.DUMMYFUNCTION("""COMPUTED_VALUE"""),8.75)</f>
        <v>8.75</v>
      </c>
      <c r="V1016" s="1" t="str">
        <f>IFERROR(__xludf.DUMMYFUNCTION("""COMPUTED_VALUE"""),"Jan Domingo")</f>
        <v>Jan Domingo</v>
      </c>
      <c r="W1016" s="1" t="str">
        <f>IFERROR(__xludf.DUMMYFUNCTION("""COMPUTED_VALUE"""),"Print Design Support")</f>
        <v>Print Design Support</v>
      </c>
    </row>
    <row r="1017">
      <c r="O1017" s="1" t="str">
        <f>IFERROR(__xludf.DUMMYFUNCTION("""COMPUTED_VALUE"""),"2025 Sep")</f>
        <v>2025 Sep</v>
      </c>
      <c r="P1017" s="1" t="str">
        <f>IFERROR(__xludf.DUMMYFUNCTION("""COMPUTED_VALUE"""),"Core Product Support")</f>
        <v>Core Product Support</v>
      </c>
      <c r="Q1017" s="1" t="str">
        <f>IFERROR(__xludf.DUMMYFUNCTION("""COMPUTED_VALUE"""),"kevingo@canva.com")</f>
        <v>kevingo@canva.com</v>
      </c>
      <c r="R1017" s="1" t="str">
        <f>IFERROR(__xludf.DUMMYFUNCTION("""COMPUTED_VALUE"""),"Kevin Go")</f>
        <v>Kevin Go</v>
      </c>
      <c r="S1017" s="1">
        <f>IFERROR(__xludf.DUMMYFUNCTION("""COMPUTED_VALUE"""),9.75)</f>
        <v>9.75</v>
      </c>
      <c r="T1017" s="1">
        <f>IFERROR(__xludf.DUMMYFUNCTION("""COMPUTED_VALUE"""),52.5)</f>
        <v>52.5</v>
      </c>
      <c r="U1017" s="2">
        <f>IFERROR(__xludf.DUMMYFUNCTION("""COMPUTED_VALUE"""),62.25)</f>
        <v>62.25</v>
      </c>
      <c r="V1017" s="1" t="str">
        <f>IFERROR(__xludf.DUMMYFUNCTION("""COMPUTED_VALUE"""),"Belle Bentazal")</f>
        <v>Belle Bentazal</v>
      </c>
      <c r="W1017" s="1" t="str">
        <f>IFERROR(__xludf.DUMMYFUNCTION("""COMPUTED_VALUE"""),"Advanced Product Support")</f>
        <v>Advanced Product Support</v>
      </c>
    </row>
    <row r="1018">
      <c r="O1018" s="1" t="str">
        <f>IFERROR(__xludf.DUMMYFUNCTION("""COMPUTED_VALUE"""),"2025 Sep")</f>
        <v>2025 Sep</v>
      </c>
      <c r="P1018" s="1" t="str">
        <f>IFERROR(__xludf.DUMMYFUNCTION("""COMPUTED_VALUE"""),"Core Product Support")</f>
        <v>Core Product Support</v>
      </c>
      <c r="Q1018" s="1" t="str">
        <f>IFERROR(__xludf.DUMMYFUNCTION("""COMPUTED_VALUE"""),"kevromuga@canva.com")</f>
        <v>kevromuga@canva.com</v>
      </c>
      <c r="R1018" s="1" t="str">
        <f>IFERROR(__xludf.DUMMYFUNCTION("""COMPUTED_VALUE"""),"Kevin John Romuga")</f>
        <v>Kevin John Romuga</v>
      </c>
      <c r="S1018" s="1">
        <f>IFERROR(__xludf.DUMMYFUNCTION("""COMPUTED_VALUE"""),1.0)</f>
        <v>1</v>
      </c>
      <c r="T1018" s="1">
        <f>IFERROR(__xludf.DUMMYFUNCTION("""COMPUTED_VALUE"""),11.5)</f>
        <v>11.5</v>
      </c>
      <c r="U1018" s="2">
        <f>IFERROR(__xludf.DUMMYFUNCTION("""COMPUTED_VALUE"""),12.5)</f>
        <v>12.5</v>
      </c>
      <c r="V1018" s="1" t="str">
        <f>IFERROR(__xludf.DUMMYFUNCTION("""COMPUTED_VALUE"""),"Renette Bok")</f>
        <v>Renette Bok</v>
      </c>
      <c r="W1018" s="1" t="str">
        <f>IFERROR(__xludf.DUMMYFUNCTION("""COMPUTED_VALUE"""),"Advanced Billing &amp; Subscriptions")</f>
        <v>Advanced Billing &amp; Subscriptions</v>
      </c>
    </row>
    <row r="1019">
      <c r="O1019" s="1" t="str">
        <f>IFERROR(__xludf.DUMMYFUNCTION("""COMPUTED_VALUE"""),"2025 Sep")</f>
        <v>2025 Sep</v>
      </c>
      <c r="P1019" s="1" t="str">
        <f>IFERROR(__xludf.DUMMYFUNCTION("""COMPUTED_VALUE"""),"Core Product Support")</f>
        <v>Core Product Support</v>
      </c>
      <c r="Q1019" s="1" t="str">
        <f>IFERROR(__xludf.DUMMYFUNCTION("""COMPUTED_VALUE"""),"kimmescallado@canva.com")</f>
        <v>kimmescallado@canva.com</v>
      </c>
      <c r="R1019" s="1" t="str">
        <f>IFERROR(__xludf.DUMMYFUNCTION("""COMPUTED_VALUE"""),"Kim Mescallado")</f>
        <v>Kim Mescallado</v>
      </c>
      <c r="S1019" s="1">
        <f>IFERROR(__xludf.DUMMYFUNCTION("""COMPUTED_VALUE"""),7.5)</f>
        <v>7.5</v>
      </c>
      <c r="T1019" s="1">
        <f>IFERROR(__xludf.DUMMYFUNCTION("""COMPUTED_VALUE"""),9.75)</f>
        <v>9.75</v>
      </c>
      <c r="U1019" s="2">
        <f>IFERROR(__xludf.DUMMYFUNCTION("""COMPUTED_VALUE"""),17.25)</f>
        <v>17.25</v>
      </c>
      <c r="V1019" s="1" t="str">
        <f>IFERROR(__xludf.DUMMYFUNCTION("""COMPUTED_VALUE"""),"Belle Bentazal")</f>
        <v>Belle Bentazal</v>
      </c>
      <c r="W1019" s="1" t="str">
        <f>IFERROR(__xludf.DUMMYFUNCTION("""COMPUTED_VALUE"""),"Advanced Product Support")</f>
        <v>Advanced Product Support</v>
      </c>
    </row>
    <row r="1020">
      <c r="O1020" s="1" t="str">
        <f>IFERROR(__xludf.DUMMYFUNCTION("""COMPUTED_VALUE"""),"2025 Sep")</f>
        <v>2025 Sep</v>
      </c>
      <c r="P1020" s="1" t="str">
        <f>IFERROR(__xludf.DUMMYFUNCTION("""COMPUTED_VALUE"""),"#N/A")</f>
        <v>#N/A</v>
      </c>
      <c r="Q1020" s="1" t="str">
        <f>IFERROR(__xludf.DUMMYFUNCTION("""COMPUTED_VALUE"""),"kimmi@canva.com")</f>
        <v>kimmi@canva.com</v>
      </c>
      <c r="R1020" s="1" t="str">
        <f>IFERROR(__xludf.DUMMYFUNCTION("""COMPUTED_VALUE"""),"Kim Mondala")</f>
        <v>Kim Mondala</v>
      </c>
      <c r="S1020" s="1"/>
      <c r="T1020" s="1">
        <f>IFERROR(__xludf.DUMMYFUNCTION("""COMPUTED_VALUE"""),48.0)</f>
        <v>48</v>
      </c>
      <c r="U1020" s="2">
        <f>IFERROR(__xludf.DUMMYFUNCTION("""COMPUTED_VALUE"""),48.0)</f>
        <v>48</v>
      </c>
      <c r="V1020" s="1" t="str">
        <f>IFERROR(__xludf.DUMMYFUNCTION("""COMPUTED_VALUE"""),"#N/A")</f>
        <v>#N/A</v>
      </c>
      <c r="W1020" s="1" t="str">
        <f>IFERROR(__xludf.DUMMYFUNCTION("""COMPUTED_VALUE"""),"Admin Omni Support")</f>
        <v>Admin Omni Support</v>
      </c>
    </row>
    <row r="1021">
      <c r="O1021" s="1" t="str">
        <f>IFERROR(__xludf.DUMMYFUNCTION("""COMPUTED_VALUE"""),"2025 Sep")</f>
        <v>2025 Sep</v>
      </c>
      <c r="P1021" s="1" t="str">
        <f>IFERROR(__xludf.DUMMYFUNCTION("""COMPUTED_VALUE"""),"Admin Support")</f>
        <v>Admin Support</v>
      </c>
      <c r="Q1021" s="1" t="str">
        <f>IFERROR(__xludf.DUMMYFUNCTION("""COMPUTED_VALUE"""),"kiro@canva.com")</f>
        <v>kiro@canva.com</v>
      </c>
      <c r="R1021" s="1" t="str">
        <f>IFERROR(__xludf.DUMMYFUNCTION("""COMPUTED_VALUE"""),"Kiro Mondala")</f>
        <v>Kiro Mondala</v>
      </c>
      <c r="S1021" s="1">
        <f>IFERROR(__xludf.DUMMYFUNCTION("""COMPUTED_VALUE"""),1.0)</f>
        <v>1</v>
      </c>
      <c r="T1021" s="1">
        <f>IFERROR(__xludf.DUMMYFUNCTION("""COMPUTED_VALUE"""),43.87)</f>
        <v>43.87</v>
      </c>
      <c r="U1021" s="2">
        <f>IFERROR(__xludf.DUMMYFUNCTION("""COMPUTED_VALUE"""),44.87)</f>
        <v>44.87</v>
      </c>
      <c r="V1021" s="1" t="str">
        <f>IFERROR(__xludf.DUMMYFUNCTION("""COMPUTED_VALUE"""),"Kelden Laguting")</f>
        <v>Kelden Laguting</v>
      </c>
      <c r="W1021" s="1" t="str">
        <f>IFERROR(__xludf.DUMMYFUNCTION("""COMPUTED_VALUE"""),"Admin Omni Support")</f>
        <v>Admin Omni Support</v>
      </c>
    </row>
    <row r="1022">
      <c r="O1022" s="1" t="str">
        <f>IFERROR(__xludf.DUMMYFUNCTION("""COMPUTED_VALUE"""),"2025 Sep")</f>
        <v>2025 Sep</v>
      </c>
      <c r="P1022" s="1" t="str">
        <f>IFERROR(__xludf.DUMMYFUNCTION("""COMPUTED_VALUE"""),"Core Product Support")</f>
        <v>Core Product Support</v>
      </c>
      <c r="Q1022" s="1" t="str">
        <f>IFERROR(__xludf.DUMMYFUNCTION("""COMPUTED_VALUE"""),"krisalava@canva.com")</f>
        <v>krisalava@canva.com</v>
      </c>
      <c r="R1022" s="1" t="str">
        <f>IFERROR(__xludf.DUMMYFUNCTION("""COMPUTED_VALUE"""),"Kris Alava")</f>
        <v>Kris Alava</v>
      </c>
      <c r="S1022" s="1"/>
      <c r="T1022" s="1">
        <f>IFERROR(__xludf.DUMMYFUNCTION("""COMPUTED_VALUE"""),2.25)</f>
        <v>2.25</v>
      </c>
      <c r="U1022" s="2">
        <f>IFERROR(__xludf.DUMMYFUNCTION("""COMPUTED_VALUE"""),2.25)</f>
        <v>2.25</v>
      </c>
      <c r="V1022" s="1" t="str">
        <f>IFERROR(__xludf.DUMMYFUNCTION("""COMPUTED_VALUE"""),"Sieg Ballelos")</f>
        <v>Sieg Ballelos</v>
      </c>
      <c r="W1022" s="1" t="str">
        <f>IFERROR(__xludf.DUMMYFUNCTION("""COMPUTED_VALUE"""),"Core Product Support Escalation Team")</f>
        <v>Core Product Support Escalation Team</v>
      </c>
    </row>
    <row r="1023">
      <c r="O1023" s="1" t="str">
        <f>IFERROR(__xludf.DUMMYFUNCTION("""COMPUTED_VALUE"""),"2025 Sep")</f>
        <v>2025 Sep</v>
      </c>
      <c r="P1023" s="1" t="str">
        <f>IFERROR(__xludf.DUMMYFUNCTION("""COMPUTED_VALUE"""),"Core Product Support")</f>
        <v>Core Product Support</v>
      </c>
      <c r="Q1023" s="1" t="str">
        <f>IFERROR(__xludf.DUMMYFUNCTION("""COMPUTED_VALUE"""),"kylep@canva.com")</f>
        <v>kylep@canva.com</v>
      </c>
      <c r="R1023" s="1" t="str">
        <f>IFERROR(__xludf.DUMMYFUNCTION("""COMPUTED_VALUE"""),"Kyle Pajarillo")</f>
        <v>Kyle Pajarillo</v>
      </c>
      <c r="S1023" s="1">
        <f>IFERROR(__xludf.DUMMYFUNCTION("""COMPUTED_VALUE"""),1.0)</f>
        <v>1</v>
      </c>
      <c r="T1023" s="1">
        <f>IFERROR(__xludf.DUMMYFUNCTION("""COMPUTED_VALUE"""),8.0)</f>
        <v>8</v>
      </c>
      <c r="U1023" s="2">
        <f>IFERROR(__xludf.DUMMYFUNCTION("""COMPUTED_VALUE"""),9.0)</f>
        <v>9</v>
      </c>
      <c r="V1023" s="1" t="str">
        <f>IFERROR(__xludf.DUMMYFUNCTION("""COMPUTED_VALUE"""),"Marie Mordeno")</f>
        <v>Marie Mordeno</v>
      </c>
      <c r="W1023" s="1" t="str">
        <f>IFERROR(__xludf.DUMMYFUNCTION("""COMPUTED_VALUE"""),"Advanced Billing &amp; Subscriptions")</f>
        <v>Advanced Billing &amp; Subscriptions</v>
      </c>
    </row>
    <row r="1024">
      <c r="O1024" s="1" t="str">
        <f>IFERROR(__xludf.DUMMYFUNCTION("""COMPUTED_VALUE"""),"2025 Sep")</f>
        <v>2025 Sep</v>
      </c>
      <c r="P1024" s="1" t="str">
        <f>IFERROR(__xludf.DUMMYFUNCTION("""COMPUTED_VALUE"""),"Core Product Support")</f>
        <v>Core Product Support</v>
      </c>
      <c r="Q1024" s="1" t="str">
        <f>IFERROR(__xludf.DUMMYFUNCTION("""COMPUTED_VALUE"""),"lailav@canva.com")</f>
        <v>lailav@canva.com</v>
      </c>
      <c r="R1024" s="1" t="str">
        <f>IFERROR(__xludf.DUMMYFUNCTION("""COMPUTED_VALUE"""),"Laila Villamor")</f>
        <v>Laila Villamor</v>
      </c>
      <c r="S1024" s="1"/>
      <c r="T1024" s="1">
        <f>IFERROR(__xludf.DUMMYFUNCTION("""COMPUTED_VALUE"""),9.25)</f>
        <v>9.25</v>
      </c>
      <c r="U1024" s="2">
        <f>IFERROR(__xludf.DUMMYFUNCTION("""COMPUTED_VALUE"""),9.25)</f>
        <v>9.25</v>
      </c>
      <c r="V1024" s="1" t="str">
        <f>IFERROR(__xludf.DUMMYFUNCTION("""COMPUTED_VALUE"""),"Jahmie Mae Barrameda")</f>
        <v>Jahmie Mae Barrameda</v>
      </c>
      <c r="W1024" s="1" t="str">
        <f>IFERROR(__xludf.DUMMYFUNCTION("""COMPUTED_VALUE"""),"Advanced Billing &amp; Subscriptions")</f>
        <v>Advanced Billing &amp; Subscriptions</v>
      </c>
    </row>
    <row r="1025">
      <c r="O1025" s="1" t="str">
        <f>IFERROR(__xludf.DUMMYFUNCTION("""COMPUTED_VALUE"""),"2025 Sep")</f>
        <v>2025 Sep</v>
      </c>
      <c r="P1025" s="1" t="str">
        <f>IFERROR(__xludf.DUMMYFUNCTION("""COMPUTED_VALUE"""),"Print Support")</f>
        <v>Print Support</v>
      </c>
      <c r="Q1025" s="1" t="str">
        <f>IFERROR(__xludf.DUMMYFUNCTION("""COMPUTED_VALUE"""),"lancer@canva.com")</f>
        <v>lancer@canva.com</v>
      </c>
      <c r="R1025" s="1" t="str">
        <f>IFERROR(__xludf.DUMMYFUNCTION("""COMPUTED_VALUE"""),"Lance Guevarra")</f>
        <v>Lance Guevarra</v>
      </c>
      <c r="S1025" s="1">
        <f>IFERROR(__xludf.DUMMYFUNCTION("""COMPUTED_VALUE"""),7.18)</f>
        <v>7.18</v>
      </c>
      <c r="T1025" s="1">
        <f>IFERROR(__xludf.DUMMYFUNCTION("""COMPUTED_VALUE"""),5.82)</f>
        <v>5.82</v>
      </c>
      <c r="U1025" s="2">
        <f>IFERROR(__xludf.DUMMYFUNCTION("""COMPUTED_VALUE"""),13.0)</f>
        <v>13</v>
      </c>
      <c r="V1025" s="1" t="str">
        <f>IFERROR(__xludf.DUMMYFUNCTION("""COMPUTED_VALUE"""),"Jen Momo")</f>
        <v>Jen Momo</v>
      </c>
      <c r="W1025" s="1" t="str">
        <f>IFERROR(__xludf.DUMMYFUNCTION("""COMPUTED_VALUE"""),"Print Support PH")</f>
        <v>Print Support PH</v>
      </c>
    </row>
    <row r="1026">
      <c r="O1026" s="1" t="str">
        <f>IFERROR(__xludf.DUMMYFUNCTION("""COMPUTED_VALUE"""),"2025 Sep")</f>
        <v>2025 Sep</v>
      </c>
      <c r="P1026" s="1" t="str">
        <f>IFERROR(__xludf.DUMMYFUNCTION("""COMPUTED_VALUE"""),"Segment-specific Support")</f>
        <v>Segment-specific Support</v>
      </c>
      <c r="Q1026" s="1" t="str">
        <f>IFERROR(__xludf.DUMMYFUNCTION("""COMPUTED_VALUE"""),"lance@canva.com")</f>
        <v>lance@canva.com</v>
      </c>
      <c r="R1026" s="1" t="str">
        <f>IFERROR(__xludf.DUMMYFUNCTION("""COMPUTED_VALUE"""),"Lance Reyes")</f>
        <v>Lance Reyes</v>
      </c>
      <c r="S1026" s="1"/>
      <c r="T1026" s="1">
        <f>IFERROR(__xludf.DUMMYFUNCTION("""COMPUTED_VALUE"""),0.0)</f>
        <v>0</v>
      </c>
      <c r="U1026" s="2">
        <f>IFERROR(__xludf.DUMMYFUNCTION("""COMPUTED_VALUE"""),0.0)</f>
        <v>0</v>
      </c>
      <c r="V1026" s="1" t="str">
        <f>IFERROR(__xludf.DUMMYFUNCTION("""COMPUTED_VALUE"""),"Gucci Nava")</f>
        <v>Gucci Nava</v>
      </c>
      <c r="W1026" s="1" t="str">
        <f>IFERROR(__xludf.DUMMYFUNCTION("""COMPUTED_VALUE"""),"Affinity Support")</f>
        <v>Affinity Support</v>
      </c>
    </row>
    <row r="1027">
      <c r="O1027" s="1" t="str">
        <f>IFERROR(__xludf.DUMMYFUNCTION("""COMPUTED_VALUE"""),"2025 Sep")</f>
        <v>2025 Sep</v>
      </c>
      <c r="P1027" s="1" t="str">
        <f>IFERROR(__xludf.DUMMYFUNCTION("""COMPUTED_VALUE"""),"Admin Support")</f>
        <v>Admin Support</v>
      </c>
      <c r="Q1027" s="1" t="str">
        <f>IFERROR(__xludf.DUMMYFUNCTION("""COMPUTED_VALUE"""),"le@canva.com")</f>
        <v>le@canva.com</v>
      </c>
      <c r="R1027" s="1" t="str">
        <f>IFERROR(__xludf.DUMMYFUNCTION("""COMPUTED_VALUE"""),"Lean Cruda")</f>
        <v>Lean Cruda</v>
      </c>
      <c r="S1027" s="1">
        <f>IFERROR(__xludf.DUMMYFUNCTION("""COMPUTED_VALUE"""),14.25)</f>
        <v>14.25</v>
      </c>
      <c r="T1027" s="1">
        <f>IFERROR(__xludf.DUMMYFUNCTION("""COMPUTED_VALUE"""),0.75)</f>
        <v>0.75</v>
      </c>
      <c r="U1027" s="2">
        <f>IFERROR(__xludf.DUMMYFUNCTION("""COMPUTED_VALUE"""),15.0)</f>
        <v>15</v>
      </c>
      <c r="V1027" s="1" t="str">
        <f>IFERROR(__xludf.DUMMYFUNCTION("""COMPUTED_VALUE"""),"Karla Mananghaya")</f>
        <v>Karla Mananghaya</v>
      </c>
      <c r="W1027" s="1" t="str">
        <f>IFERROR(__xludf.DUMMYFUNCTION("""COMPUTED_VALUE"""),"Admin Support Service Escalation Team")</f>
        <v>Admin Support Service Escalation Team</v>
      </c>
    </row>
    <row r="1028">
      <c r="O1028" s="1" t="str">
        <f>IFERROR(__xludf.DUMMYFUNCTION("""COMPUTED_VALUE"""),"2025 Sep")</f>
        <v>2025 Sep</v>
      </c>
      <c r="P1028" s="1" t="str">
        <f>IFERROR(__xludf.DUMMYFUNCTION("""COMPUTED_VALUE"""),"High Sensitivity Support")</f>
        <v>High Sensitivity Support</v>
      </c>
      <c r="Q1028" s="1" t="str">
        <f>IFERROR(__xludf.DUMMYFUNCTION("""COMPUTED_VALUE"""),"leanp@canva.com")</f>
        <v>leanp@canva.com</v>
      </c>
      <c r="R1028" s="1" t="str">
        <f>IFERROR(__xludf.DUMMYFUNCTION("""COMPUTED_VALUE"""),"Lean Reyes")</f>
        <v>Lean Reyes</v>
      </c>
      <c r="S1028" s="1"/>
      <c r="T1028" s="1">
        <f>IFERROR(__xludf.DUMMYFUNCTION("""COMPUTED_VALUE"""),2.5)</f>
        <v>2.5</v>
      </c>
      <c r="U1028" s="2">
        <f>IFERROR(__xludf.DUMMYFUNCTION("""COMPUTED_VALUE"""),2.5)</f>
        <v>2.5</v>
      </c>
      <c r="V1028" s="1" t="str">
        <f>IFERROR(__xludf.DUMMYFUNCTION("""COMPUTED_VALUE"""),"Issi Afable")</f>
        <v>Issi Afable</v>
      </c>
      <c r="W1028" s="1" t="str">
        <f>IFERROR(__xludf.DUMMYFUNCTION("""COMPUTED_VALUE"""),"High Sensitivity Support PH")</f>
        <v>High Sensitivity Support PH</v>
      </c>
    </row>
    <row r="1029">
      <c r="O1029" s="1" t="str">
        <f>IFERROR(__xludf.DUMMYFUNCTION("""COMPUTED_VALUE"""),"2025 Sep")</f>
        <v>2025 Sep</v>
      </c>
      <c r="P1029" s="1" t="str">
        <f>IFERROR(__xludf.DUMMYFUNCTION("""COMPUTED_VALUE"""),"Print Support")</f>
        <v>Print Support</v>
      </c>
      <c r="Q1029" s="1" t="str">
        <f>IFERROR(__xludf.DUMMYFUNCTION("""COMPUTED_VALUE"""),"larce@canva.com")</f>
        <v>larce@canva.com</v>
      </c>
      <c r="R1029" s="1" t="str">
        <f>IFERROR(__xludf.DUMMYFUNCTION("""COMPUTED_VALUE"""),"Lee Arce")</f>
        <v>Lee Arce</v>
      </c>
      <c r="S1029" s="1">
        <f>IFERROR(__xludf.DUMMYFUNCTION("""COMPUTED_VALUE"""),5.3)</f>
        <v>5.3</v>
      </c>
      <c r="T1029" s="1">
        <f>IFERROR(__xludf.DUMMYFUNCTION("""COMPUTED_VALUE"""),2.87)</f>
        <v>2.87</v>
      </c>
      <c r="U1029" s="2">
        <f>IFERROR(__xludf.DUMMYFUNCTION("""COMPUTED_VALUE"""),8.17)</f>
        <v>8.17</v>
      </c>
      <c r="V1029" s="1" t="str">
        <f>IFERROR(__xludf.DUMMYFUNCTION("""COMPUTED_VALUE"""),"Althea Mercado")</f>
        <v>Althea Mercado</v>
      </c>
      <c r="W1029" s="1" t="str">
        <f>IFERROR(__xludf.DUMMYFUNCTION("""COMPUTED_VALUE"""),"Print Support PH")</f>
        <v>Print Support PH</v>
      </c>
    </row>
    <row r="1030">
      <c r="O1030" s="1" t="str">
        <f>IFERROR(__xludf.DUMMYFUNCTION("""COMPUTED_VALUE"""),"2025 Sep")</f>
        <v>2025 Sep</v>
      </c>
      <c r="P1030" s="1" t="str">
        <f>IFERROR(__xludf.DUMMYFUNCTION("""COMPUTED_VALUE"""),"Core Product Support")</f>
        <v>Core Product Support</v>
      </c>
      <c r="Q1030" s="1" t="str">
        <f>IFERROR(__xludf.DUMMYFUNCTION("""COMPUTED_VALUE"""),"leilanie@canva.com")</f>
        <v>leilanie@canva.com</v>
      </c>
      <c r="R1030" s="1" t="str">
        <f>IFERROR(__xludf.DUMMYFUNCTION("""COMPUTED_VALUE"""),"Lei Gratuito")</f>
        <v>Lei Gratuito</v>
      </c>
      <c r="S1030" s="1">
        <f>IFERROR(__xludf.DUMMYFUNCTION("""COMPUTED_VALUE"""),0.25)</f>
        <v>0.25</v>
      </c>
      <c r="T1030" s="1">
        <f>IFERROR(__xludf.DUMMYFUNCTION("""COMPUTED_VALUE"""),11.5)</f>
        <v>11.5</v>
      </c>
      <c r="U1030" s="2">
        <f>IFERROR(__xludf.DUMMYFUNCTION("""COMPUTED_VALUE"""),11.75)</f>
        <v>11.75</v>
      </c>
      <c r="V1030" s="1" t="str">
        <f>IFERROR(__xludf.DUMMYFUNCTION("""COMPUTED_VALUE"""),"Renette Bok")</f>
        <v>Renette Bok</v>
      </c>
      <c r="W1030" s="1" t="str">
        <f>IFERROR(__xludf.DUMMYFUNCTION("""COMPUTED_VALUE"""),"Advanced Billing &amp; Subscriptions")</f>
        <v>Advanced Billing &amp; Subscriptions</v>
      </c>
    </row>
    <row r="1031">
      <c r="O1031" s="1" t="str">
        <f>IFERROR(__xludf.DUMMYFUNCTION("""COMPUTED_VALUE"""),"2025 Sep")</f>
        <v>2025 Sep</v>
      </c>
      <c r="P1031" s="1" t="str">
        <f>IFERROR(__xludf.DUMMYFUNCTION("""COMPUTED_VALUE"""),"#N/A")</f>
        <v>#N/A</v>
      </c>
      <c r="Q1031" s="1" t="str">
        <f>IFERROR(__xludf.DUMMYFUNCTION("""COMPUTED_VALUE"""),"lafernandez@canva.com")</f>
        <v>lafernandez@canva.com</v>
      </c>
      <c r="R1031" s="1" t="str">
        <f>IFERROR(__xludf.DUMMYFUNCTION("""COMPUTED_VALUE"""),"Lel Fernandez")</f>
        <v>Lel Fernandez</v>
      </c>
      <c r="S1031" s="1">
        <f>IFERROR(__xludf.DUMMYFUNCTION("""COMPUTED_VALUE"""),11.25)</f>
        <v>11.25</v>
      </c>
      <c r="T1031" s="1">
        <f>IFERROR(__xludf.DUMMYFUNCTION("""COMPUTED_VALUE"""),0.75)</f>
        <v>0.75</v>
      </c>
      <c r="U1031" s="2">
        <f>IFERROR(__xludf.DUMMYFUNCTION("""COMPUTED_VALUE"""),12.0)</f>
        <v>12</v>
      </c>
      <c r="V1031" s="1" t="str">
        <f>IFERROR(__xludf.DUMMYFUNCTION("""COMPUTED_VALUE"""),"#N/A")</f>
        <v>#N/A</v>
      </c>
      <c r="W1031" s="1" t="str">
        <f>IFERROR(__xludf.DUMMYFUNCTION("""COMPUTED_VALUE"""),"#N/A")</f>
        <v>#N/A</v>
      </c>
    </row>
    <row r="1032">
      <c r="O1032" s="1" t="str">
        <f>IFERROR(__xludf.DUMMYFUNCTION("""COMPUTED_VALUE"""),"2025 Sep")</f>
        <v>2025 Sep</v>
      </c>
      <c r="P1032" s="1" t="str">
        <f>IFERROR(__xludf.DUMMYFUNCTION("""COMPUTED_VALUE"""),"Core Product Support")</f>
        <v>Core Product Support</v>
      </c>
      <c r="Q1032" s="1" t="str">
        <f>IFERROR(__xludf.DUMMYFUNCTION("""COMPUTED_VALUE"""),"leonard@canva.com")</f>
        <v>leonard@canva.com</v>
      </c>
      <c r="R1032" s="1" t="str">
        <f>IFERROR(__xludf.DUMMYFUNCTION("""COMPUTED_VALUE"""),"Leonard Baguio")</f>
        <v>Leonard Baguio</v>
      </c>
      <c r="S1032" s="1">
        <f>IFERROR(__xludf.DUMMYFUNCTION("""COMPUTED_VALUE"""),0.5)</f>
        <v>0.5</v>
      </c>
      <c r="T1032" s="1">
        <f>IFERROR(__xludf.DUMMYFUNCTION("""COMPUTED_VALUE"""),1.5)</f>
        <v>1.5</v>
      </c>
      <c r="U1032" s="2">
        <f>IFERROR(__xludf.DUMMYFUNCTION("""COMPUTED_VALUE"""),2.0)</f>
        <v>2</v>
      </c>
      <c r="V1032" s="1" t="str">
        <f>IFERROR(__xludf.DUMMYFUNCTION("""COMPUTED_VALUE"""),"Jelyn Elmido")</f>
        <v>Jelyn Elmido</v>
      </c>
      <c r="W1032" s="1" t="str">
        <f>IFERROR(__xludf.DUMMYFUNCTION("""COMPUTED_VALUE"""),"Core Product Support Escalation Team")</f>
        <v>Core Product Support Escalation Team</v>
      </c>
    </row>
    <row r="1033">
      <c r="O1033" s="1" t="str">
        <f>IFERROR(__xludf.DUMMYFUNCTION("""COMPUTED_VALUE"""),"2025 Sep")</f>
        <v>2025 Sep</v>
      </c>
      <c r="P1033" s="1" t="str">
        <f>IFERROR(__xludf.DUMMYFUNCTION("""COMPUTED_VALUE"""),"Print Support")</f>
        <v>Print Support</v>
      </c>
      <c r="Q1033" s="1" t="str">
        <f>IFERROR(__xludf.DUMMYFUNCTION("""COMPUTED_VALUE"""),"anneharriet@canva.com")</f>
        <v>anneharriet@canva.com</v>
      </c>
      <c r="R1033" s="1" t="str">
        <f>IFERROR(__xludf.DUMMYFUNCTION("""COMPUTED_VALUE"""),"Leslie Anne Gilua")</f>
        <v>Leslie Anne Gilua</v>
      </c>
      <c r="S1033" s="1">
        <f>IFERROR(__xludf.DUMMYFUNCTION("""COMPUTED_VALUE"""),3.0)</f>
        <v>3</v>
      </c>
      <c r="T1033" s="1">
        <f>IFERROR(__xludf.DUMMYFUNCTION("""COMPUTED_VALUE"""),2.67)</f>
        <v>2.67</v>
      </c>
      <c r="U1033" s="2">
        <f>IFERROR(__xludf.DUMMYFUNCTION("""COMPUTED_VALUE"""),5.67)</f>
        <v>5.67</v>
      </c>
      <c r="V1033" s="1" t="str">
        <f>IFERROR(__xludf.DUMMYFUNCTION("""COMPUTED_VALUE"""),"Louise Dianne Estrella")</f>
        <v>Louise Dianne Estrella</v>
      </c>
      <c r="W1033" s="1" t="str">
        <f>IFERROR(__xludf.DUMMYFUNCTION("""COMPUTED_VALUE"""),"Print Support PH")</f>
        <v>Print Support PH</v>
      </c>
    </row>
    <row r="1034">
      <c r="O1034" s="1" t="str">
        <f>IFERROR(__xludf.DUMMYFUNCTION("""COMPUTED_VALUE"""),"2025 Sep")</f>
        <v>2025 Sep</v>
      </c>
      <c r="P1034" s="1" t="str">
        <f>IFERROR(__xludf.DUMMYFUNCTION("""COMPUTED_VALUE"""),"Core Product Support")</f>
        <v>Core Product Support</v>
      </c>
      <c r="Q1034" s="1" t="str">
        <f>IFERROR(__xludf.DUMMYFUNCTION("""COMPUTED_VALUE"""),"lewisjarvin@canva.com")</f>
        <v>lewisjarvin@canva.com</v>
      </c>
      <c r="R1034" s="1" t="str">
        <f>IFERROR(__xludf.DUMMYFUNCTION("""COMPUTED_VALUE"""),"Lewis Ramirez")</f>
        <v>Lewis Ramirez</v>
      </c>
      <c r="S1034" s="1">
        <f>IFERROR(__xludf.DUMMYFUNCTION("""COMPUTED_VALUE"""),3.5)</f>
        <v>3.5</v>
      </c>
      <c r="T1034" s="1">
        <f>IFERROR(__xludf.DUMMYFUNCTION("""COMPUTED_VALUE"""),14.5)</f>
        <v>14.5</v>
      </c>
      <c r="U1034" s="2">
        <f>IFERROR(__xludf.DUMMYFUNCTION("""COMPUTED_VALUE"""),18.0)</f>
        <v>18</v>
      </c>
      <c r="V1034" s="1" t="str">
        <f>IFERROR(__xludf.DUMMYFUNCTION("""COMPUTED_VALUE"""),"Mikhaela Decangchon")</f>
        <v>Mikhaela Decangchon</v>
      </c>
      <c r="W1034" s="1" t="str">
        <f>IFERROR(__xludf.DUMMYFUNCTION("""COMPUTED_VALUE"""),"Advanced Product Support")</f>
        <v>Advanced Product Support</v>
      </c>
    </row>
    <row r="1035">
      <c r="O1035" s="1" t="str">
        <f>IFERROR(__xludf.DUMMYFUNCTION("""COMPUTED_VALUE"""),"2025 Sep")</f>
        <v>2025 Sep</v>
      </c>
      <c r="P1035" s="1" t="str">
        <f>IFERROR(__xludf.DUMMYFUNCTION("""COMPUTED_VALUE"""),"Segment-specific Support")</f>
        <v>Segment-specific Support</v>
      </c>
      <c r="Q1035" s="1" t="str">
        <f>IFERROR(__xludf.DUMMYFUNCTION("""COMPUTED_VALUE"""),"liabaclay@canva.com")</f>
        <v>liabaclay@canva.com</v>
      </c>
      <c r="R1035" s="1" t="str">
        <f>IFERROR(__xludf.DUMMYFUNCTION("""COMPUTED_VALUE"""),"Lia Baclay")</f>
        <v>Lia Baclay</v>
      </c>
      <c r="S1035" s="1">
        <f>IFERROR(__xludf.DUMMYFUNCTION("""COMPUTED_VALUE"""),2.0)</f>
        <v>2</v>
      </c>
      <c r="T1035" s="1">
        <f>IFERROR(__xludf.DUMMYFUNCTION("""COMPUTED_VALUE"""),1.0)</f>
        <v>1</v>
      </c>
      <c r="U1035" s="2">
        <f>IFERROR(__xludf.DUMMYFUNCTION("""COMPUTED_VALUE"""),3.0)</f>
        <v>3</v>
      </c>
      <c r="V1035" s="1" t="str">
        <f>IFERROR(__xludf.DUMMYFUNCTION("""COMPUTED_VALUE"""),"Rose Gabilan")</f>
        <v>Rose Gabilan</v>
      </c>
      <c r="W1035" s="1" t="str">
        <f>IFERROR(__xludf.DUMMYFUNCTION("""COMPUTED_VALUE"""),"Affinity Support")</f>
        <v>Affinity Support</v>
      </c>
    </row>
    <row r="1036">
      <c r="O1036" s="1" t="str">
        <f>IFERROR(__xludf.DUMMYFUNCTION("""COMPUTED_VALUE"""),"2025 Sep")</f>
        <v>2025 Sep</v>
      </c>
      <c r="P1036" s="1" t="str">
        <f>IFERROR(__xludf.DUMMYFUNCTION("""COMPUTED_VALUE"""),"Segment-specific Support")</f>
        <v>Segment-specific Support</v>
      </c>
      <c r="Q1036" s="1" t="str">
        <f>IFERROR(__xludf.DUMMYFUNCTION("""COMPUTED_VALUE"""),"liberty@canva.com")</f>
        <v>liberty@canva.com</v>
      </c>
      <c r="R1036" s="1" t="str">
        <f>IFERROR(__xludf.DUMMYFUNCTION("""COMPUTED_VALUE"""),"Liberty Casala")</f>
        <v>Liberty Casala</v>
      </c>
      <c r="S1036" s="1">
        <f>IFERROR(__xludf.DUMMYFUNCTION("""COMPUTED_VALUE"""),5.25)</f>
        <v>5.25</v>
      </c>
      <c r="T1036" s="1">
        <f>IFERROR(__xludf.DUMMYFUNCTION("""COMPUTED_VALUE"""),1.25)</f>
        <v>1.25</v>
      </c>
      <c r="U1036" s="2">
        <f>IFERROR(__xludf.DUMMYFUNCTION("""COMPUTED_VALUE"""),6.5)</f>
        <v>6.5</v>
      </c>
      <c r="V1036" s="1" t="str">
        <f>IFERROR(__xludf.DUMMYFUNCTION("""COMPUTED_VALUE"""),"Gucci Nava")</f>
        <v>Gucci Nava</v>
      </c>
      <c r="W1036" s="1" t="str">
        <f>IFERROR(__xludf.DUMMYFUNCTION("""COMPUTED_VALUE"""),"Print Support PH")</f>
        <v>Print Support PH</v>
      </c>
    </row>
    <row r="1037">
      <c r="O1037" s="1" t="str">
        <f>IFERROR(__xludf.DUMMYFUNCTION("""COMPUTED_VALUE"""),"2025 Sep")</f>
        <v>2025 Sep</v>
      </c>
      <c r="P1037" s="1" t="str">
        <f>IFERROR(__xludf.DUMMYFUNCTION("""COMPUTED_VALUE"""),"Print Support")</f>
        <v>Print Support</v>
      </c>
      <c r="Q1037" s="1" t="str">
        <f>IFERROR(__xludf.DUMMYFUNCTION("""COMPUTED_VALUE"""),"loise@canva.com")</f>
        <v>loise@canva.com</v>
      </c>
      <c r="R1037" s="1" t="str">
        <f>IFERROR(__xludf.DUMMYFUNCTION("""COMPUTED_VALUE"""),"Loise Dela Cruz")</f>
        <v>Loise Dela Cruz</v>
      </c>
      <c r="S1037" s="1">
        <f>IFERROR(__xludf.DUMMYFUNCTION("""COMPUTED_VALUE"""),5.18)</f>
        <v>5.18</v>
      </c>
      <c r="T1037" s="1">
        <f>IFERROR(__xludf.DUMMYFUNCTION("""COMPUTED_VALUE"""),0.95)</f>
        <v>0.95</v>
      </c>
      <c r="U1037" s="2">
        <f>IFERROR(__xludf.DUMMYFUNCTION("""COMPUTED_VALUE"""),6.13)</f>
        <v>6.13</v>
      </c>
      <c r="V1037" s="1" t="str">
        <f>IFERROR(__xludf.DUMMYFUNCTION("""COMPUTED_VALUE"""),"Aliza Dote")</f>
        <v>Aliza Dote</v>
      </c>
      <c r="W1037" s="1" t="str">
        <f>IFERROR(__xludf.DUMMYFUNCTION("""COMPUTED_VALUE"""),"Print Design Support")</f>
        <v>Print Design Support</v>
      </c>
    </row>
    <row r="1038">
      <c r="O1038" s="1" t="str">
        <f>IFERROR(__xludf.DUMMYFUNCTION("""COMPUTED_VALUE"""),"2025 Sep")</f>
        <v>2025 Sep</v>
      </c>
      <c r="P1038" s="1" t="str">
        <f>IFERROR(__xludf.DUMMYFUNCTION("""COMPUTED_VALUE"""),"Core Product Support")</f>
        <v>Core Product Support</v>
      </c>
      <c r="Q1038" s="1" t="str">
        <f>IFERROR(__xludf.DUMMYFUNCTION("""COMPUTED_VALUE"""),"loudv@canva.com")</f>
        <v>loudv@canva.com</v>
      </c>
      <c r="R1038" s="1" t="str">
        <f>IFERROR(__xludf.DUMMYFUNCTION("""COMPUTED_VALUE"""),"Louieline Dela Vega")</f>
        <v>Louieline Dela Vega</v>
      </c>
      <c r="S1038" s="1">
        <f>IFERROR(__xludf.DUMMYFUNCTION("""COMPUTED_VALUE"""),1.0)</f>
        <v>1</v>
      </c>
      <c r="T1038" s="1">
        <f>IFERROR(__xludf.DUMMYFUNCTION("""COMPUTED_VALUE"""),4.17)</f>
        <v>4.17</v>
      </c>
      <c r="U1038" s="2">
        <f>IFERROR(__xludf.DUMMYFUNCTION("""COMPUTED_VALUE"""),5.17)</f>
        <v>5.17</v>
      </c>
      <c r="V1038" s="1" t="str">
        <f>IFERROR(__xludf.DUMMYFUNCTION("""COMPUTED_VALUE"""),"Jahmie Mae Barrameda")</f>
        <v>Jahmie Mae Barrameda</v>
      </c>
      <c r="W1038" s="1" t="str">
        <f>IFERROR(__xludf.DUMMYFUNCTION("""COMPUTED_VALUE"""),"Advanced Billing &amp; Subscriptions")</f>
        <v>Advanced Billing &amp; Subscriptions</v>
      </c>
    </row>
    <row r="1039">
      <c r="O1039" s="1" t="str">
        <f>IFERROR(__xludf.DUMMYFUNCTION("""COMPUTED_VALUE"""),"2025 Sep")</f>
        <v>2025 Sep</v>
      </c>
      <c r="P1039" s="1" t="str">
        <f>IFERROR(__xludf.DUMMYFUNCTION("""COMPUTED_VALUE"""),"Core Product Support")</f>
        <v>Core Product Support</v>
      </c>
      <c r="Q1039" s="1" t="str">
        <f>IFERROR(__xludf.DUMMYFUNCTION("""COMPUTED_VALUE"""),"lovejoyce@canva.com")</f>
        <v>lovejoyce@canva.com</v>
      </c>
      <c r="R1039" s="1" t="str">
        <f>IFERROR(__xludf.DUMMYFUNCTION("""COMPUTED_VALUE"""),"Love Joyce Pasagui")</f>
        <v>Love Joyce Pasagui</v>
      </c>
      <c r="S1039" s="1">
        <f>IFERROR(__xludf.DUMMYFUNCTION("""COMPUTED_VALUE"""),0.5)</f>
        <v>0.5</v>
      </c>
      <c r="T1039" s="1">
        <f>IFERROR(__xludf.DUMMYFUNCTION("""COMPUTED_VALUE"""),7.42)</f>
        <v>7.42</v>
      </c>
      <c r="U1039" s="2">
        <f>IFERROR(__xludf.DUMMYFUNCTION("""COMPUTED_VALUE"""),7.92)</f>
        <v>7.92</v>
      </c>
      <c r="V1039" s="1" t="str">
        <f>IFERROR(__xludf.DUMMYFUNCTION("""COMPUTED_VALUE"""),"Jelyn Elmido")</f>
        <v>Jelyn Elmido</v>
      </c>
      <c r="W1039" s="1" t="str">
        <f>IFERROR(__xludf.DUMMYFUNCTION("""COMPUTED_VALUE"""),"Core Product Support Escalation Team")</f>
        <v>Core Product Support Escalation Team</v>
      </c>
    </row>
    <row r="1040">
      <c r="O1040" s="1" t="str">
        <f>IFERROR(__xludf.DUMMYFUNCTION("""COMPUTED_VALUE"""),"2025 Sep")</f>
        <v>2025 Sep</v>
      </c>
      <c r="P1040" s="1" t="str">
        <f>IFERROR(__xludf.DUMMYFUNCTION("""COMPUTED_VALUE"""),"Print Support")</f>
        <v>Print Support</v>
      </c>
      <c r="Q1040" s="1" t="str">
        <f>IFERROR(__xludf.DUMMYFUNCTION("""COMPUTED_VALUE"""),"rlsalomia@canva.com")</f>
        <v>rlsalomia@canva.com</v>
      </c>
      <c r="R1040" s="1" t="str">
        <f>IFERROR(__xludf.DUMMYFUNCTION("""COMPUTED_VALUE"""),"Luis Salomia")</f>
        <v>Luis Salomia</v>
      </c>
      <c r="S1040" s="1">
        <f>IFERROR(__xludf.DUMMYFUNCTION("""COMPUTED_VALUE"""),7.0)</f>
        <v>7</v>
      </c>
      <c r="T1040" s="1">
        <f>IFERROR(__xludf.DUMMYFUNCTION("""COMPUTED_VALUE"""),3.93)</f>
        <v>3.93</v>
      </c>
      <c r="U1040" s="2">
        <f>IFERROR(__xludf.DUMMYFUNCTION("""COMPUTED_VALUE"""),10.93)</f>
        <v>10.93</v>
      </c>
      <c r="V1040" s="1" t="str">
        <f>IFERROR(__xludf.DUMMYFUNCTION("""COMPUTED_VALUE"""),"Louise Dianne Estrella")</f>
        <v>Louise Dianne Estrella</v>
      </c>
      <c r="W1040" s="1" t="str">
        <f>IFERROR(__xludf.DUMMYFUNCTION("""COMPUTED_VALUE"""),"Print Support PH")</f>
        <v>Print Support PH</v>
      </c>
    </row>
    <row r="1041">
      <c r="O1041" s="1" t="str">
        <f>IFERROR(__xludf.DUMMYFUNCTION("""COMPUTED_VALUE"""),"2025 Sep")</f>
        <v>2025 Sep</v>
      </c>
      <c r="P1041" s="1" t="str">
        <f>IFERROR(__xludf.DUMMYFUNCTION("""COMPUTED_VALUE"""),"#N/A")</f>
        <v>#N/A</v>
      </c>
      <c r="Q1041" s="1" t="str">
        <f>IFERROR(__xludf.DUMMYFUNCTION("""COMPUTED_VALUE"""),"luiza@canva.com")</f>
        <v>luiza@canva.com</v>
      </c>
      <c r="R1041" s="1" t="str">
        <f>IFERROR(__xludf.DUMMYFUNCTION("""COMPUTED_VALUE"""),"Luiza Abalos")</f>
        <v>Luiza Abalos</v>
      </c>
      <c r="S1041" s="1">
        <f>IFERROR(__xludf.DUMMYFUNCTION("""COMPUTED_VALUE"""),0.5)</f>
        <v>0.5</v>
      </c>
      <c r="T1041" s="1">
        <f>IFERROR(__xludf.DUMMYFUNCTION("""COMPUTED_VALUE"""),9.23)</f>
        <v>9.23</v>
      </c>
      <c r="U1041" s="2">
        <f>IFERROR(__xludf.DUMMYFUNCTION("""COMPUTED_VALUE"""),9.73)</f>
        <v>9.73</v>
      </c>
      <c r="V1041" s="1" t="str">
        <f>IFERROR(__xludf.DUMMYFUNCTION("""COMPUTED_VALUE"""),"#N/A")</f>
        <v>#N/A</v>
      </c>
      <c r="W1041" s="1" t="str">
        <f>IFERROR(__xludf.DUMMYFUNCTION("""COMPUTED_VALUE"""),"#N/A")</f>
        <v>#N/A</v>
      </c>
    </row>
    <row r="1042">
      <c r="O1042" s="1" t="str">
        <f>IFERROR(__xludf.DUMMYFUNCTION("""COMPUTED_VALUE"""),"2025 Sep")</f>
        <v>2025 Sep</v>
      </c>
      <c r="P1042" s="1" t="str">
        <f>IFERROR(__xludf.DUMMYFUNCTION("""COMPUTED_VALUE"""),"Admin Support")</f>
        <v>Admin Support</v>
      </c>
      <c r="Q1042" s="1" t="str">
        <f>IFERROR(__xludf.DUMMYFUNCTION("""COMPUTED_VALUE"""),"lyzdr@canva.com")</f>
        <v>lyzdr@canva.com</v>
      </c>
      <c r="R1042" s="1" t="str">
        <f>IFERROR(__xludf.DUMMYFUNCTION("""COMPUTED_VALUE"""),"Lyzza Del Rosario")</f>
        <v>Lyzza Del Rosario</v>
      </c>
      <c r="S1042" s="1">
        <f>IFERROR(__xludf.DUMMYFUNCTION("""COMPUTED_VALUE"""),2.5)</f>
        <v>2.5</v>
      </c>
      <c r="T1042" s="1">
        <f>IFERROR(__xludf.DUMMYFUNCTION("""COMPUTED_VALUE"""),19.33)</f>
        <v>19.33</v>
      </c>
      <c r="U1042" s="2">
        <f>IFERROR(__xludf.DUMMYFUNCTION("""COMPUTED_VALUE"""),21.83)</f>
        <v>21.83</v>
      </c>
      <c r="V1042" s="1" t="str">
        <f>IFERROR(__xludf.DUMMYFUNCTION("""COMPUTED_VALUE"""),"Ann Dumlao")</f>
        <v>Ann Dumlao</v>
      </c>
      <c r="W1042" s="1" t="str">
        <f>IFERROR(__xludf.DUMMYFUNCTION("""COMPUTED_VALUE"""),"Admin Omni Support")</f>
        <v>Admin Omni Support</v>
      </c>
    </row>
    <row r="1043">
      <c r="O1043" s="1" t="str">
        <f>IFERROR(__xludf.DUMMYFUNCTION("""COMPUTED_VALUE"""),"2025 Sep")</f>
        <v>2025 Sep</v>
      </c>
      <c r="P1043" s="1" t="str">
        <f>IFERROR(__xludf.DUMMYFUNCTION("""COMPUTED_VALUE"""),"Admin Support")</f>
        <v>Admin Support</v>
      </c>
      <c r="Q1043" s="1" t="str">
        <f>IFERROR(__xludf.DUMMYFUNCTION("""COMPUTED_VALUE"""),"mac@canva.com")</f>
        <v>mac@canva.com</v>
      </c>
      <c r="R1043" s="1" t="str">
        <f>IFERROR(__xludf.DUMMYFUNCTION("""COMPUTED_VALUE"""),"Mac Mendoza")</f>
        <v>Mac Mendoza</v>
      </c>
      <c r="S1043" s="1"/>
      <c r="T1043" s="1">
        <f>IFERROR(__xludf.DUMMYFUNCTION("""COMPUTED_VALUE"""),9.25)</f>
        <v>9.25</v>
      </c>
      <c r="U1043" s="2">
        <f>IFERROR(__xludf.DUMMYFUNCTION("""COMPUTED_VALUE"""),9.25)</f>
        <v>9.25</v>
      </c>
      <c r="V1043" s="1" t="str">
        <f>IFERROR(__xludf.DUMMYFUNCTION("""COMPUTED_VALUE"""),"Ann Dumlao")</f>
        <v>Ann Dumlao</v>
      </c>
      <c r="W1043" s="1" t="str">
        <f>IFERROR(__xludf.DUMMYFUNCTION("""COMPUTED_VALUE"""),"Admin Omni Support")</f>
        <v>Admin Omni Support</v>
      </c>
    </row>
    <row r="1044">
      <c r="O1044" s="1" t="str">
        <f>IFERROR(__xludf.DUMMYFUNCTION("""COMPUTED_VALUE"""),"2025 Sep")</f>
        <v>2025 Sep</v>
      </c>
      <c r="P1044" s="1" t="str">
        <f>IFERROR(__xludf.DUMMYFUNCTION("""COMPUTED_VALUE"""),"High Sensitivity Support")</f>
        <v>High Sensitivity Support</v>
      </c>
      <c r="Q1044" s="1" t="str">
        <f>IFERROR(__xludf.DUMMYFUNCTION("""COMPUTED_VALUE"""),"macie@canva.com")</f>
        <v>macie@canva.com</v>
      </c>
      <c r="R1044" s="1" t="str">
        <f>IFERROR(__xludf.DUMMYFUNCTION("""COMPUTED_VALUE"""),"Macie del Mundo")</f>
        <v>Macie del Mundo</v>
      </c>
      <c r="S1044" s="1">
        <f>IFERROR(__xludf.DUMMYFUNCTION("""COMPUTED_VALUE"""),12.25)</f>
        <v>12.25</v>
      </c>
      <c r="T1044" s="1">
        <f>IFERROR(__xludf.DUMMYFUNCTION("""COMPUTED_VALUE"""),2.25)</f>
        <v>2.25</v>
      </c>
      <c r="U1044" s="2">
        <f>IFERROR(__xludf.DUMMYFUNCTION("""COMPUTED_VALUE"""),14.5)</f>
        <v>14.5</v>
      </c>
      <c r="V1044" s="1" t="str">
        <f>IFERROR(__xludf.DUMMYFUNCTION("""COMPUTED_VALUE"""),"Rossheen Pura")</f>
        <v>Rossheen Pura</v>
      </c>
      <c r="W1044" s="1" t="str">
        <f>IFERROR(__xludf.DUMMYFUNCTION("""COMPUTED_VALUE"""),"High Sensitivity Support PH")</f>
        <v>High Sensitivity Support PH</v>
      </c>
    </row>
    <row r="1045">
      <c r="O1045" s="1" t="str">
        <f>IFERROR(__xludf.DUMMYFUNCTION("""COMPUTED_VALUE"""),"2025 Sep")</f>
        <v>2025 Sep</v>
      </c>
      <c r="P1045" s="1" t="str">
        <f>IFERROR(__xludf.DUMMYFUNCTION("""COMPUTED_VALUE"""),"Core Product Support")</f>
        <v>Core Product Support</v>
      </c>
      <c r="Q1045" s="1" t="str">
        <f>IFERROR(__xludf.DUMMYFUNCTION("""COMPUTED_VALUE"""),"mackievitacion@canva.com")</f>
        <v>mackievitacion@canva.com</v>
      </c>
      <c r="R1045" s="1" t="str">
        <f>IFERROR(__xludf.DUMMYFUNCTION("""COMPUTED_VALUE"""),"Mackie Vitacion")</f>
        <v>Mackie Vitacion</v>
      </c>
      <c r="S1045" s="1">
        <f>IFERROR(__xludf.DUMMYFUNCTION("""COMPUTED_VALUE"""),5.5)</f>
        <v>5.5</v>
      </c>
      <c r="T1045" s="1">
        <f>IFERROR(__xludf.DUMMYFUNCTION("""COMPUTED_VALUE"""),15.25)</f>
        <v>15.25</v>
      </c>
      <c r="U1045" s="2">
        <f>IFERROR(__xludf.DUMMYFUNCTION("""COMPUTED_VALUE"""),20.75)</f>
        <v>20.75</v>
      </c>
      <c r="V1045" s="1" t="str">
        <f>IFERROR(__xludf.DUMMYFUNCTION("""COMPUTED_VALUE"""),"Vinz Lazaro")</f>
        <v>Vinz Lazaro</v>
      </c>
      <c r="W1045" s="1" t="str">
        <f>IFERROR(__xludf.DUMMYFUNCTION("""COMPUTED_VALUE"""),"Advanced Product Support")</f>
        <v>Advanced Product Support</v>
      </c>
    </row>
    <row r="1046">
      <c r="O1046" s="1" t="str">
        <f>IFERROR(__xludf.DUMMYFUNCTION("""COMPUTED_VALUE"""),"2025 Sep")</f>
        <v>2025 Sep</v>
      </c>
      <c r="P1046" s="1" t="str">
        <f>IFERROR(__xludf.DUMMYFUNCTION("""COMPUTED_VALUE"""),"#N/A")</f>
        <v>#N/A</v>
      </c>
      <c r="Q1046" s="1" t="str">
        <f>IFERROR(__xludf.DUMMYFUNCTION("""COMPUTED_VALUE"""),"manee+test@canva.com")</f>
        <v>manee+test@canva.com</v>
      </c>
      <c r="R1046" s="1" t="str">
        <f>IFERROR(__xludf.DUMMYFUNCTION("""COMPUTED_VALUE"""),"Manee Test")</f>
        <v>Manee Test</v>
      </c>
      <c r="S1046" s="1"/>
      <c r="T1046" s="1">
        <f>IFERROR(__xludf.DUMMYFUNCTION("""COMPUTED_VALUE"""),0.0)</f>
        <v>0</v>
      </c>
      <c r="U1046" s="2">
        <f>IFERROR(__xludf.DUMMYFUNCTION("""COMPUTED_VALUE"""),0.0)</f>
        <v>0</v>
      </c>
      <c r="V1046" s="1" t="str">
        <f>IFERROR(__xludf.DUMMYFUNCTION("""COMPUTED_VALUE"""),"#N/A")</f>
        <v>#N/A</v>
      </c>
      <c r="W1046" s="1" t="str">
        <f>IFERROR(__xludf.DUMMYFUNCTION("""COMPUTED_VALUE"""),"#N/A")</f>
        <v>#N/A</v>
      </c>
    </row>
    <row r="1047">
      <c r="O1047" s="1" t="str">
        <f>IFERROR(__xludf.DUMMYFUNCTION("""COMPUTED_VALUE"""),"2025 Sep")</f>
        <v>2025 Sep</v>
      </c>
      <c r="P1047" s="1" t="str">
        <f>IFERROR(__xludf.DUMMYFUNCTION("""COMPUTED_VALUE"""),"High Sensitivity Support")</f>
        <v>High Sensitivity Support</v>
      </c>
      <c r="Q1047" s="1" t="str">
        <f>IFERROR(__xludf.DUMMYFUNCTION("""COMPUTED_VALUE"""),"mariav@canva.com")</f>
        <v>mariav@canva.com</v>
      </c>
      <c r="R1047" s="1" t="str">
        <f>IFERROR(__xludf.DUMMYFUNCTION("""COMPUTED_VALUE"""),"Maria Vergara")</f>
        <v>Maria Vergara</v>
      </c>
      <c r="S1047" s="1"/>
      <c r="T1047" s="1">
        <f>IFERROR(__xludf.DUMMYFUNCTION("""COMPUTED_VALUE"""),2.0)</f>
        <v>2</v>
      </c>
      <c r="U1047" s="2">
        <f>IFERROR(__xludf.DUMMYFUNCTION("""COMPUTED_VALUE"""),2.0)</f>
        <v>2</v>
      </c>
      <c r="V1047" s="1" t="str">
        <f>IFERROR(__xludf.DUMMYFUNCTION("""COMPUTED_VALUE"""),"Xandy Azarcon")</f>
        <v>Xandy Azarcon</v>
      </c>
      <c r="W1047" s="1" t="str">
        <f>IFERROR(__xludf.DUMMYFUNCTION("""COMPUTED_VALUE"""),"High Sensitivity Support PH")</f>
        <v>High Sensitivity Support PH</v>
      </c>
    </row>
    <row r="1048">
      <c r="O1048" s="1" t="str">
        <f>IFERROR(__xludf.DUMMYFUNCTION("""COMPUTED_VALUE"""),"2025 Sep")</f>
        <v>2025 Sep</v>
      </c>
      <c r="P1048" s="1" t="str">
        <f>IFERROR(__xludf.DUMMYFUNCTION("""COMPUTED_VALUE"""),"Print Support")</f>
        <v>Print Support</v>
      </c>
      <c r="Q1048" s="1" t="str">
        <f>IFERROR(__xludf.DUMMYFUNCTION("""COMPUTED_VALUE"""),"marieson@canva.com")</f>
        <v>marieson@canva.com</v>
      </c>
      <c r="R1048" s="1" t="str">
        <f>IFERROR(__xludf.DUMMYFUNCTION("""COMPUTED_VALUE"""),"Marieson Libunao (Parental Leave)")</f>
        <v>Marieson Libunao (Parental Leave)</v>
      </c>
      <c r="S1048" s="1">
        <f>IFERROR(__xludf.DUMMYFUNCTION("""COMPUTED_VALUE"""),3.75)</f>
        <v>3.75</v>
      </c>
      <c r="T1048" s="1">
        <f>IFERROR(__xludf.DUMMYFUNCTION("""COMPUTED_VALUE"""),4.42)</f>
        <v>4.42</v>
      </c>
      <c r="U1048" s="2">
        <f>IFERROR(__xludf.DUMMYFUNCTION("""COMPUTED_VALUE"""),8.17)</f>
        <v>8.17</v>
      </c>
      <c r="V1048" s="1" t="str">
        <f>IFERROR(__xludf.DUMMYFUNCTION("""COMPUTED_VALUE"""),"Althea Mercado")</f>
        <v>Althea Mercado</v>
      </c>
      <c r="W1048" s="1" t="str">
        <f>IFERROR(__xludf.DUMMYFUNCTION("""COMPUTED_VALUE"""),"Print Support PH")</f>
        <v>Print Support PH</v>
      </c>
    </row>
    <row r="1049">
      <c r="O1049" s="1" t="str">
        <f>IFERROR(__xludf.DUMMYFUNCTION("""COMPUTED_VALUE"""),"2025 Sep")</f>
        <v>2025 Sep</v>
      </c>
      <c r="P1049" s="1" t="str">
        <f>IFERROR(__xludf.DUMMYFUNCTION("""COMPUTED_VALUE"""),"Core Product Support")</f>
        <v>Core Product Support</v>
      </c>
      <c r="Q1049" s="1" t="str">
        <f>IFERROR(__xludf.DUMMYFUNCTION("""COMPUTED_VALUE"""),"mariz@canva.com")</f>
        <v>mariz@canva.com</v>
      </c>
      <c r="R1049" s="1" t="str">
        <f>IFERROR(__xludf.DUMMYFUNCTION("""COMPUTED_VALUE"""),"Mariz Gain")</f>
        <v>Mariz Gain</v>
      </c>
      <c r="S1049" s="1">
        <f>IFERROR(__xludf.DUMMYFUNCTION("""COMPUTED_VALUE"""),1.0)</f>
        <v>1</v>
      </c>
      <c r="T1049" s="1">
        <f>IFERROR(__xludf.DUMMYFUNCTION("""COMPUTED_VALUE"""),11.5)</f>
        <v>11.5</v>
      </c>
      <c r="U1049" s="2">
        <f>IFERROR(__xludf.DUMMYFUNCTION("""COMPUTED_VALUE"""),12.5)</f>
        <v>12.5</v>
      </c>
      <c r="V1049" s="1" t="str">
        <f>IFERROR(__xludf.DUMMYFUNCTION("""COMPUTED_VALUE"""),"Ana Lazaro")</f>
        <v>Ana Lazaro</v>
      </c>
      <c r="W1049" s="1" t="str">
        <f>IFERROR(__xludf.DUMMYFUNCTION("""COMPUTED_VALUE"""),"Advanced Billing &amp; Subscriptions")</f>
        <v>Advanced Billing &amp; Subscriptions</v>
      </c>
    </row>
    <row r="1050">
      <c r="O1050" s="1" t="str">
        <f>IFERROR(__xludf.DUMMYFUNCTION("""COMPUTED_VALUE"""),"2025 Sep")</f>
        <v>2025 Sep</v>
      </c>
      <c r="P1050" s="1" t="str">
        <f>IFERROR(__xludf.DUMMYFUNCTION("""COMPUTED_VALUE"""),"Print Support")</f>
        <v>Print Support</v>
      </c>
      <c r="Q1050" s="1" t="str">
        <f>IFERROR(__xludf.DUMMYFUNCTION("""COMPUTED_VALUE"""),"mpalermo@canva.com")</f>
        <v>mpalermo@canva.com</v>
      </c>
      <c r="R1050" s="1" t="str">
        <f>IFERROR(__xludf.DUMMYFUNCTION("""COMPUTED_VALUE"""),"Marjorie Tsao")</f>
        <v>Marjorie Tsao</v>
      </c>
      <c r="S1050" s="1">
        <f>IFERROR(__xludf.DUMMYFUNCTION("""COMPUTED_VALUE"""),3.5)</f>
        <v>3.5</v>
      </c>
      <c r="T1050" s="1">
        <f>IFERROR(__xludf.DUMMYFUNCTION("""COMPUTED_VALUE"""),2.25)</f>
        <v>2.25</v>
      </c>
      <c r="U1050" s="2">
        <f>IFERROR(__xludf.DUMMYFUNCTION("""COMPUTED_VALUE"""),5.75)</f>
        <v>5.75</v>
      </c>
      <c r="V1050" s="1" t="str">
        <f>IFERROR(__xludf.DUMMYFUNCTION("""COMPUTED_VALUE"""),"Louise Dianne Estrella")</f>
        <v>Louise Dianne Estrella</v>
      </c>
      <c r="W1050" s="1" t="str">
        <f>IFERROR(__xludf.DUMMYFUNCTION("""COMPUTED_VALUE"""),"Print Support PH")</f>
        <v>Print Support PH</v>
      </c>
    </row>
    <row r="1051">
      <c r="O1051" s="1" t="str">
        <f>IFERROR(__xludf.DUMMYFUNCTION("""COMPUTED_VALUE"""),"2025 Sep")</f>
        <v>2025 Sep</v>
      </c>
      <c r="P1051" s="1" t="str">
        <f>IFERROR(__xludf.DUMMYFUNCTION("""COMPUTED_VALUE"""),"Core Product Support")</f>
        <v>Core Product Support</v>
      </c>
      <c r="Q1051" s="1" t="str">
        <f>IFERROR(__xludf.DUMMYFUNCTION("""COMPUTED_VALUE"""),"martyl@canva.com")</f>
        <v>martyl@canva.com</v>
      </c>
      <c r="R1051" s="1" t="str">
        <f>IFERROR(__xludf.DUMMYFUNCTION("""COMPUTED_VALUE"""),"Marty Lozada")</f>
        <v>Marty Lozada</v>
      </c>
      <c r="S1051" s="1">
        <f>IFERROR(__xludf.DUMMYFUNCTION("""COMPUTED_VALUE"""),3.25)</f>
        <v>3.25</v>
      </c>
      <c r="T1051" s="1">
        <f>IFERROR(__xludf.DUMMYFUNCTION("""COMPUTED_VALUE"""),15.42)</f>
        <v>15.42</v>
      </c>
      <c r="U1051" s="2">
        <f>IFERROR(__xludf.DUMMYFUNCTION("""COMPUTED_VALUE"""),18.67)</f>
        <v>18.67</v>
      </c>
      <c r="V1051" s="1" t="str">
        <f>IFERROR(__xludf.DUMMYFUNCTION("""COMPUTED_VALUE"""),"Vinz Lazaro")</f>
        <v>Vinz Lazaro</v>
      </c>
      <c r="W1051" s="1" t="str">
        <f>IFERROR(__xludf.DUMMYFUNCTION("""COMPUTED_VALUE"""),"Advanced Product Support")</f>
        <v>Advanced Product Support</v>
      </c>
    </row>
    <row r="1052">
      <c r="O1052" s="1" t="str">
        <f>IFERROR(__xludf.DUMMYFUNCTION("""COMPUTED_VALUE"""),"2025 Sep")</f>
        <v>2025 Sep</v>
      </c>
      <c r="P1052" s="1" t="str">
        <f>IFERROR(__xludf.DUMMYFUNCTION("""COMPUTED_VALUE"""),"High Sensitivity Support")</f>
        <v>High Sensitivity Support</v>
      </c>
      <c r="Q1052" s="1" t="str">
        <f>IFERROR(__xludf.DUMMYFUNCTION("""COMPUTED_VALUE"""),"mayann@canva.com")</f>
        <v>mayann@canva.com</v>
      </c>
      <c r="R1052" s="1" t="str">
        <f>IFERROR(__xludf.DUMMYFUNCTION("""COMPUTED_VALUE"""),"May Ann Caguioa")</f>
        <v>May Ann Caguioa</v>
      </c>
      <c r="S1052" s="1">
        <f>IFERROR(__xludf.DUMMYFUNCTION("""COMPUTED_VALUE"""),14.25)</f>
        <v>14.25</v>
      </c>
      <c r="T1052" s="1">
        <f>IFERROR(__xludf.DUMMYFUNCTION("""COMPUTED_VALUE"""),5.25)</f>
        <v>5.25</v>
      </c>
      <c r="U1052" s="2">
        <f>IFERROR(__xludf.DUMMYFUNCTION("""COMPUTED_VALUE"""),19.5)</f>
        <v>19.5</v>
      </c>
      <c r="V1052" s="1" t="str">
        <f>IFERROR(__xludf.DUMMYFUNCTION("""COMPUTED_VALUE"""),"Rossheen Pura")</f>
        <v>Rossheen Pura</v>
      </c>
      <c r="W1052" s="1" t="str">
        <f>IFERROR(__xludf.DUMMYFUNCTION("""COMPUTED_VALUE"""),"High Sensitivity Support PH")</f>
        <v>High Sensitivity Support PH</v>
      </c>
    </row>
    <row r="1053">
      <c r="O1053" s="1" t="str">
        <f>IFERROR(__xludf.DUMMYFUNCTION("""COMPUTED_VALUE"""),"2025 Sep")</f>
        <v>2025 Sep</v>
      </c>
      <c r="P1053" s="1" t="str">
        <f>IFERROR(__xludf.DUMMYFUNCTION("""COMPUTED_VALUE"""),"Core Product Support")</f>
        <v>Core Product Support</v>
      </c>
      <c r="Q1053" s="1" t="str">
        <f>IFERROR(__xludf.DUMMYFUNCTION("""COMPUTED_VALUE"""),"mccoyc@canva.com")</f>
        <v>mccoyc@canva.com</v>
      </c>
      <c r="R1053" s="1" t="str">
        <f>IFERROR(__xludf.DUMMYFUNCTION("""COMPUTED_VALUE"""),"McCoy Cacanindin")</f>
        <v>McCoy Cacanindin</v>
      </c>
      <c r="S1053" s="1">
        <f>IFERROR(__xludf.DUMMYFUNCTION("""COMPUTED_VALUE"""),6.5)</f>
        <v>6.5</v>
      </c>
      <c r="T1053" s="1">
        <f>IFERROR(__xludf.DUMMYFUNCTION("""COMPUTED_VALUE"""),15.92)</f>
        <v>15.92</v>
      </c>
      <c r="U1053" s="2">
        <f>IFERROR(__xludf.DUMMYFUNCTION("""COMPUTED_VALUE"""),22.42)</f>
        <v>22.42</v>
      </c>
      <c r="V1053" s="1" t="str">
        <f>IFERROR(__xludf.DUMMYFUNCTION("""COMPUTED_VALUE"""),"Vinz Lazaro")</f>
        <v>Vinz Lazaro</v>
      </c>
      <c r="W1053" s="1" t="str">
        <f>IFERROR(__xludf.DUMMYFUNCTION("""COMPUTED_VALUE"""),"Advanced Product Support")</f>
        <v>Advanced Product Support</v>
      </c>
    </row>
    <row r="1054">
      <c r="O1054" s="1" t="str">
        <f>IFERROR(__xludf.DUMMYFUNCTION("""COMPUTED_VALUE"""),"2025 Sep")</f>
        <v>2025 Sep</v>
      </c>
      <c r="P1054" s="1" t="str">
        <f>IFERROR(__xludf.DUMMYFUNCTION("""COMPUTED_VALUE"""),"High Sensitivity Support")</f>
        <v>High Sensitivity Support</v>
      </c>
      <c r="Q1054" s="1" t="str">
        <f>IFERROR(__xludf.DUMMYFUNCTION("""COMPUTED_VALUE"""),"mlabio@canva.com")</f>
        <v>mlabio@canva.com</v>
      </c>
      <c r="R1054" s="1" t="str">
        <f>IFERROR(__xludf.DUMMYFUNCTION("""COMPUTED_VALUE"""),"Melanie Labio")</f>
        <v>Melanie Labio</v>
      </c>
      <c r="S1054" s="1">
        <f>IFERROR(__xludf.DUMMYFUNCTION("""COMPUTED_VALUE"""),8.0)</f>
        <v>8</v>
      </c>
      <c r="T1054" s="1">
        <f>IFERROR(__xludf.DUMMYFUNCTION("""COMPUTED_VALUE"""),2.0)</f>
        <v>2</v>
      </c>
      <c r="U1054" s="2">
        <f>IFERROR(__xludf.DUMMYFUNCTION("""COMPUTED_VALUE"""),10.0)</f>
        <v>10</v>
      </c>
      <c r="V1054" s="1" t="str">
        <f>IFERROR(__xludf.DUMMYFUNCTION("""COMPUTED_VALUE"""),"Xandy Azarcon")</f>
        <v>Xandy Azarcon</v>
      </c>
      <c r="W1054" s="1" t="str">
        <f>IFERROR(__xludf.DUMMYFUNCTION("""COMPUTED_VALUE"""),"High Sensitivity Support PH")</f>
        <v>High Sensitivity Support PH</v>
      </c>
    </row>
    <row r="1055">
      <c r="O1055" s="1" t="str">
        <f>IFERROR(__xludf.DUMMYFUNCTION("""COMPUTED_VALUE"""),"2025 Sep")</f>
        <v>2025 Sep</v>
      </c>
      <c r="P1055" s="1" t="str">
        <f>IFERROR(__xludf.DUMMYFUNCTION("""COMPUTED_VALUE"""),"Admin Support")</f>
        <v>Admin Support</v>
      </c>
      <c r="Q1055" s="1" t="str">
        <f>IFERROR(__xludf.DUMMYFUNCTION("""COMPUTED_VALUE"""),"mmicah@canva.com")</f>
        <v>mmicah@canva.com</v>
      </c>
      <c r="R1055" s="1" t="str">
        <f>IFERROR(__xludf.DUMMYFUNCTION("""COMPUTED_VALUE"""),"Micah Geneviv Marcos")</f>
        <v>Micah Geneviv Marcos</v>
      </c>
      <c r="S1055" s="1"/>
      <c r="T1055" s="1">
        <f>IFERROR(__xludf.DUMMYFUNCTION("""COMPUTED_VALUE"""),3.25)</f>
        <v>3.25</v>
      </c>
      <c r="U1055" s="2">
        <f>IFERROR(__xludf.DUMMYFUNCTION("""COMPUTED_VALUE"""),3.25)</f>
        <v>3.25</v>
      </c>
      <c r="V1055" s="1" t="str">
        <f>IFERROR(__xludf.DUMMYFUNCTION("""COMPUTED_VALUE"""),"Karla Mananghaya")</f>
        <v>Karla Mananghaya</v>
      </c>
      <c r="W1055" s="1" t="str">
        <f>IFERROR(__xludf.DUMMYFUNCTION("""COMPUTED_VALUE"""),"Admin Support Service Escalation Team")</f>
        <v>Admin Support Service Escalation Team</v>
      </c>
    </row>
    <row r="1056">
      <c r="O1056" s="1" t="str">
        <f>IFERROR(__xludf.DUMMYFUNCTION("""COMPUTED_VALUE"""),"2025 Sep")</f>
        <v>2025 Sep</v>
      </c>
      <c r="P1056" s="1" t="str">
        <f>IFERROR(__xludf.DUMMYFUNCTION("""COMPUTED_VALUE"""),"Core Product Support")</f>
        <v>Core Product Support</v>
      </c>
      <c r="Q1056" s="1" t="str">
        <f>IFERROR(__xludf.DUMMYFUNCTION("""COMPUTED_VALUE"""),"nas@canva.com")</f>
        <v>nas@canva.com</v>
      </c>
      <c r="R1056" s="1" t="str">
        <f>IFERROR(__xludf.DUMMYFUNCTION("""COMPUTED_VALUE"""),"Miggy De Vibar")</f>
        <v>Miggy De Vibar</v>
      </c>
      <c r="S1056" s="1">
        <f>IFERROR(__xludf.DUMMYFUNCTION("""COMPUTED_VALUE"""),11.25)</f>
        <v>11.25</v>
      </c>
      <c r="T1056" s="1">
        <f>IFERROR(__xludf.DUMMYFUNCTION("""COMPUTED_VALUE"""),52.83)</f>
        <v>52.83</v>
      </c>
      <c r="U1056" s="2">
        <f>IFERROR(__xludf.DUMMYFUNCTION("""COMPUTED_VALUE"""),64.08)</f>
        <v>64.08</v>
      </c>
      <c r="V1056" s="1" t="str">
        <f>IFERROR(__xludf.DUMMYFUNCTION("""COMPUTED_VALUE"""),"Belle Bentazal")</f>
        <v>Belle Bentazal</v>
      </c>
      <c r="W1056" s="1" t="str">
        <f>IFERROR(__xludf.DUMMYFUNCTION("""COMPUTED_VALUE"""),"Advanced Product Support")</f>
        <v>Advanced Product Support</v>
      </c>
    </row>
    <row r="1057">
      <c r="O1057" s="1" t="str">
        <f>IFERROR(__xludf.DUMMYFUNCTION("""COMPUTED_VALUE"""),"2025 Sep")</f>
        <v>2025 Sep</v>
      </c>
      <c r="P1057" s="1" t="str">
        <f>IFERROR(__xludf.DUMMYFUNCTION("""COMPUTED_VALUE"""),"Core Product Support")</f>
        <v>Core Product Support</v>
      </c>
      <c r="Q1057" s="1" t="str">
        <f>IFERROR(__xludf.DUMMYFUNCTION("""COMPUTED_VALUE"""),"mika@canva.com")</f>
        <v>mika@canva.com</v>
      </c>
      <c r="R1057" s="1" t="str">
        <f>IFERROR(__xludf.DUMMYFUNCTION("""COMPUTED_VALUE"""),"Mika Magpantay")</f>
        <v>Mika Magpantay</v>
      </c>
      <c r="S1057" s="1">
        <f>IFERROR(__xludf.DUMMYFUNCTION("""COMPUTED_VALUE"""),1.0)</f>
        <v>1</v>
      </c>
      <c r="T1057" s="1">
        <f>IFERROR(__xludf.DUMMYFUNCTION("""COMPUTED_VALUE"""),14.42)</f>
        <v>14.42</v>
      </c>
      <c r="U1057" s="2">
        <f>IFERROR(__xludf.DUMMYFUNCTION("""COMPUTED_VALUE"""),15.42)</f>
        <v>15.42</v>
      </c>
      <c r="V1057" s="1" t="str">
        <f>IFERROR(__xludf.DUMMYFUNCTION("""COMPUTED_VALUE"""),"Jem Mondoñedo")</f>
        <v>Jem Mondoñedo</v>
      </c>
      <c r="W1057" s="1" t="str">
        <f>IFERROR(__xludf.DUMMYFUNCTION("""COMPUTED_VALUE"""),"Advanced Billing &amp; Subscriptions")</f>
        <v>Advanced Billing &amp; Subscriptions</v>
      </c>
    </row>
    <row r="1058">
      <c r="O1058" s="1" t="str">
        <f>IFERROR(__xludf.DUMMYFUNCTION("""COMPUTED_VALUE"""),"2025 Sep")</f>
        <v>2025 Sep</v>
      </c>
      <c r="P1058" s="1" t="str">
        <f>IFERROR(__xludf.DUMMYFUNCTION("""COMPUTED_VALUE"""),"Core Product Support")</f>
        <v>Core Product Support</v>
      </c>
      <c r="Q1058" s="1" t="str">
        <f>IFERROR(__xludf.DUMMYFUNCTION("""COMPUTED_VALUE"""),"mirielle@canva.com")</f>
        <v>mirielle@canva.com</v>
      </c>
      <c r="R1058" s="1" t="str">
        <f>IFERROR(__xludf.DUMMYFUNCTION("""COMPUTED_VALUE"""),"Mirielle Frances de Lara")</f>
        <v>Mirielle Frances de Lara</v>
      </c>
      <c r="S1058" s="1">
        <f>IFERROR(__xludf.DUMMYFUNCTION("""COMPUTED_VALUE"""),7.72)</f>
        <v>7.72</v>
      </c>
      <c r="T1058" s="1">
        <f>IFERROR(__xludf.DUMMYFUNCTION("""COMPUTED_VALUE"""),11.62)</f>
        <v>11.62</v>
      </c>
      <c r="U1058" s="2">
        <f>IFERROR(__xludf.DUMMYFUNCTION("""COMPUTED_VALUE"""),19.34)</f>
        <v>19.34</v>
      </c>
      <c r="V1058" s="1" t="str">
        <f>IFERROR(__xludf.DUMMYFUNCTION("""COMPUTED_VALUE"""),"Belle Bentazal")</f>
        <v>Belle Bentazal</v>
      </c>
      <c r="W1058" s="1" t="str">
        <f>IFERROR(__xludf.DUMMYFUNCTION("""COMPUTED_VALUE"""),"Advanced Product Support")</f>
        <v>Advanced Product Support</v>
      </c>
    </row>
    <row r="1059">
      <c r="O1059" s="1" t="str">
        <f>IFERROR(__xludf.DUMMYFUNCTION("""COMPUTED_VALUE"""),"2025 Sep")</f>
        <v>2025 Sep</v>
      </c>
      <c r="P1059" s="1" t="str">
        <f>IFERROR(__xludf.DUMMYFUNCTION("""COMPUTED_VALUE"""),"Admin Support")</f>
        <v>Admin Support</v>
      </c>
      <c r="Q1059" s="1" t="str">
        <f>IFERROR(__xludf.DUMMYFUNCTION("""COMPUTED_VALUE"""),"mjb@canva.com")</f>
        <v>mjb@canva.com</v>
      </c>
      <c r="R1059" s="1" t="str">
        <f>IFERROR(__xludf.DUMMYFUNCTION("""COMPUTED_VALUE"""),"MJ Billon")</f>
        <v>MJ Billon</v>
      </c>
      <c r="S1059" s="1">
        <f>IFERROR(__xludf.DUMMYFUNCTION("""COMPUTED_VALUE"""),2.0)</f>
        <v>2</v>
      </c>
      <c r="T1059" s="1">
        <f>IFERROR(__xludf.DUMMYFUNCTION("""COMPUTED_VALUE"""),22.25)</f>
        <v>22.25</v>
      </c>
      <c r="U1059" s="2">
        <f>IFERROR(__xludf.DUMMYFUNCTION("""COMPUTED_VALUE"""),24.25)</f>
        <v>24.25</v>
      </c>
      <c r="V1059" s="1" t="str">
        <f>IFERROR(__xludf.DUMMYFUNCTION("""COMPUTED_VALUE"""),"Ann Dumlao")</f>
        <v>Ann Dumlao</v>
      </c>
      <c r="W1059" s="1" t="str">
        <f>IFERROR(__xludf.DUMMYFUNCTION("""COMPUTED_VALUE"""),"Admin Omni Support")</f>
        <v>Admin Omni Support</v>
      </c>
    </row>
    <row r="1060">
      <c r="O1060" s="1" t="str">
        <f>IFERROR(__xludf.DUMMYFUNCTION("""COMPUTED_VALUE"""),"2025 Sep")</f>
        <v>2025 Sep</v>
      </c>
      <c r="P1060" s="1" t="str">
        <f>IFERROR(__xludf.DUMMYFUNCTION("""COMPUTED_VALUE"""),"Segment-specific Support")</f>
        <v>Segment-specific Support</v>
      </c>
      <c r="Q1060" s="1" t="str">
        <f>IFERROR(__xludf.DUMMYFUNCTION("""COMPUTED_VALUE"""),"molli@canva.com")</f>
        <v>molli@canva.com</v>
      </c>
      <c r="R1060" s="1" t="str">
        <f>IFERROR(__xludf.DUMMYFUNCTION("""COMPUTED_VALUE"""),"MJ Sol")</f>
        <v>MJ Sol</v>
      </c>
      <c r="S1060" s="1">
        <f>IFERROR(__xludf.DUMMYFUNCTION("""COMPUTED_VALUE"""),2.1)</f>
        <v>2.1</v>
      </c>
      <c r="T1060" s="1">
        <f>IFERROR(__xludf.DUMMYFUNCTION("""COMPUTED_VALUE"""),1.0)</f>
        <v>1</v>
      </c>
      <c r="U1060" s="2">
        <f>IFERROR(__xludf.DUMMYFUNCTION("""COMPUTED_VALUE"""),3.1)</f>
        <v>3.1</v>
      </c>
      <c r="V1060" s="1" t="str">
        <f>IFERROR(__xludf.DUMMYFUNCTION("""COMPUTED_VALUE"""),"Aileen Dayanghirang")</f>
        <v>Aileen Dayanghirang</v>
      </c>
      <c r="W1060" s="1" t="str">
        <f>IFERROR(__xludf.DUMMYFUNCTION("""COMPUTED_VALUE"""),"Creators Support")</f>
        <v>Creators Support</v>
      </c>
    </row>
    <row r="1061">
      <c r="O1061" s="1" t="str">
        <f>IFERROR(__xludf.DUMMYFUNCTION("""COMPUTED_VALUE"""),"2025 Sep")</f>
        <v>2025 Sep</v>
      </c>
      <c r="P1061" s="1" t="str">
        <f>IFERROR(__xludf.DUMMYFUNCTION("""COMPUTED_VALUE"""),"Core Product Support")</f>
        <v>Core Product Support</v>
      </c>
      <c r="Q1061" s="1" t="str">
        <f>IFERROR(__xludf.DUMMYFUNCTION("""COMPUTED_VALUE"""),"raymondc@canva.com")</f>
        <v>raymondc@canva.com</v>
      </c>
      <c r="R1061" s="1" t="str">
        <f>IFERROR(__xludf.DUMMYFUNCTION("""COMPUTED_VALUE"""),"Mond Catimbang")</f>
        <v>Mond Catimbang</v>
      </c>
      <c r="S1061" s="1"/>
      <c r="T1061" s="1">
        <f>IFERROR(__xludf.DUMMYFUNCTION("""COMPUTED_VALUE"""),6.67)</f>
        <v>6.67</v>
      </c>
      <c r="U1061" s="2">
        <f>IFERROR(__xludf.DUMMYFUNCTION("""COMPUTED_VALUE"""),6.67)</f>
        <v>6.67</v>
      </c>
      <c r="V1061" s="1" t="str">
        <f>IFERROR(__xludf.DUMMYFUNCTION("""COMPUTED_VALUE"""),"Jem Mondoñedo")</f>
        <v>Jem Mondoñedo</v>
      </c>
      <c r="W1061" s="1" t="str">
        <f>IFERROR(__xludf.DUMMYFUNCTION("""COMPUTED_VALUE"""),"Advanced Billing &amp; Subscriptions")</f>
        <v>Advanced Billing &amp; Subscriptions</v>
      </c>
    </row>
    <row r="1062">
      <c r="O1062" s="1" t="str">
        <f>IFERROR(__xludf.DUMMYFUNCTION("""COMPUTED_VALUE"""),"2025 Sep")</f>
        <v>2025 Sep</v>
      </c>
      <c r="P1062" s="1" t="str">
        <f>IFERROR(__xludf.DUMMYFUNCTION("""COMPUTED_VALUE"""),"Core Product Support")</f>
        <v>Core Product Support</v>
      </c>
      <c r="Q1062" s="1" t="str">
        <f>IFERROR(__xludf.DUMMYFUNCTION("""COMPUTED_VALUE"""),"moxyarima@canva.com")</f>
        <v>moxyarima@canva.com</v>
      </c>
      <c r="R1062" s="1" t="str">
        <f>IFERROR(__xludf.DUMMYFUNCTION("""COMPUTED_VALUE"""),"Moxy Arima - Parental Leave")</f>
        <v>Moxy Arima - Parental Leave</v>
      </c>
      <c r="S1062" s="1">
        <f>IFERROR(__xludf.DUMMYFUNCTION("""COMPUTED_VALUE"""),1.0)</f>
        <v>1</v>
      </c>
      <c r="T1062" s="1">
        <f>IFERROR(__xludf.DUMMYFUNCTION("""COMPUTED_VALUE"""),3.58)</f>
        <v>3.58</v>
      </c>
      <c r="U1062" s="2">
        <f>IFERROR(__xludf.DUMMYFUNCTION("""COMPUTED_VALUE"""),4.58)</f>
        <v>4.58</v>
      </c>
      <c r="V1062" s="1" t="str">
        <f>IFERROR(__xludf.DUMMYFUNCTION("""COMPUTED_VALUE"""),"Jelyn Elmido")</f>
        <v>Jelyn Elmido</v>
      </c>
      <c r="W1062" s="1" t="str">
        <f>IFERROR(__xludf.DUMMYFUNCTION("""COMPUTED_VALUE"""),"Core Product Support Escalation Team")</f>
        <v>Core Product Support Escalation Team</v>
      </c>
    </row>
    <row r="1063">
      <c r="O1063" s="1" t="str">
        <f>IFERROR(__xludf.DUMMYFUNCTION("""COMPUTED_VALUE"""),"2025 Sep")</f>
        <v>2025 Sep</v>
      </c>
      <c r="P1063" s="1" t="str">
        <f>IFERROR(__xludf.DUMMYFUNCTION("""COMPUTED_VALUE"""),"Print Support")</f>
        <v>Print Support</v>
      </c>
      <c r="Q1063" s="1" t="str">
        <f>IFERROR(__xludf.DUMMYFUNCTION("""COMPUTED_VALUE"""),"natedc@canva.com")</f>
        <v>natedc@canva.com</v>
      </c>
      <c r="R1063" s="1" t="str">
        <f>IFERROR(__xludf.DUMMYFUNCTION("""COMPUTED_VALUE"""),"Nate De la Cruz")</f>
        <v>Nate De la Cruz</v>
      </c>
      <c r="S1063" s="1">
        <f>IFERROR(__xludf.DUMMYFUNCTION("""COMPUTED_VALUE"""),6.75)</f>
        <v>6.75</v>
      </c>
      <c r="T1063" s="1">
        <f>IFERROR(__xludf.DUMMYFUNCTION("""COMPUTED_VALUE"""),41.25)</f>
        <v>41.25</v>
      </c>
      <c r="U1063" s="2">
        <f>IFERROR(__xludf.DUMMYFUNCTION("""COMPUTED_VALUE"""),48.0)</f>
        <v>48</v>
      </c>
      <c r="V1063" s="1" t="str">
        <f>IFERROR(__xludf.DUMMYFUNCTION("""COMPUTED_VALUE"""),"Gem Agoncillo")</f>
        <v>Gem Agoncillo</v>
      </c>
      <c r="W1063" s="1" t="str">
        <f>IFERROR(__xludf.DUMMYFUNCTION("""COMPUTED_VALUE"""),"Print Design Support")</f>
        <v>Print Design Support</v>
      </c>
    </row>
    <row r="1064">
      <c r="O1064" s="1" t="str">
        <f>IFERROR(__xludf.DUMMYFUNCTION("""COMPUTED_VALUE"""),"2025 Sep")</f>
        <v>2025 Sep</v>
      </c>
      <c r="P1064" s="1" t="str">
        <f>IFERROR(__xludf.DUMMYFUNCTION("""COMPUTED_VALUE"""),"Admin Support")</f>
        <v>Admin Support</v>
      </c>
      <c r="Q1064" s="1" t="str">
        <f>IFERROR(__xludf.DUMMYFUNCTION("""COMPUTED_VALUE"""),"nsahagun@canva.com")</f>
        <v>nsahagun@canva.com</v>
      </c>
      <c r="R1064" s="1" t="str">
        <f>IFERROR(__xludf.DUMMYFUNCTION("""COMPUTED_VALUE"""),"Nathalie Sahagun")</f>
        <v>Nathalie Sahagun</v>
      </c>
      <c r="S1064" s="1">
        <f>IFERROR(__xludf.DUMMYFUNCTION("""COMPUTED_VALUE"""),1.5)</f>
        <v>1.5</v>
      </c>
      <c r="T1064" s="1">
        <f>IFERROR(__xludf.DUMMYFUNCTION("""COMPUTED_VALUE"""),2.25)</f>
        <v>2.25</v>
      </c>
      <c r="U1064" s="2">
        <f>IFERROR(__xludf.DUMMYFUNCTION("""COMPUTED_VALUE"""),3.75)</f>
        <v>3.75</v>
      </c>
      <c r="V1064" s="1" t="str">
        <f>IFERROR(__xludf.DUMMYFUNCTION("""COMPUTED_VALUE"""),"Nate Vela")</f>
        <v>Nate Vela</v>
      </c>
      <c r="W1064" s="1" t="str">
        <f>IFERROR(__xludf.DUMMYFUNCTION("""COMPUTED_VALUE"""),"Admin Support NA")</f>
        <v>Admin Support NA</v>
      </c>
    </row>
    <row r="1065">
      <c r="O1065" s="1" t="str">
        <f>IFERROR(__xludf.DUMMYFUNCTION("""COMPUTED_VALUE"""),"2025 Sep")</f>
        <v>2025 Sep</v>
      </c>
      <c r="P1065" s="1" t="str">
        <f>IFERROR(__xludf.DUMMYFUNCTION("""COMPUTED_VALUE"""),"#N/A")</f>
        <v>#N/A</v>
      </c>
      <c r="Q1065" s="1" t="str">
        <f>IFERROR(__xludf.DUMMYFUNCTION("""COMPUTED_VALUE"""),"naquiatan@canva.com")</f>
        <v>naquiatan@canva.com</v>
      </c>
      <c r="R1065" s="1" t="str">
        <f>IFERROR(__xludf.DUMMYFUNCTION("""COMPUTED_VALUE"""),"Nathaniel Aquiatan")</f>
        <v>Nathaniel Aquiatan</v>
      </c>
      <c r="S1065" s="1">
        <f>IFERROR(__xludf.DUMMYFUNCTION("""COMPUTED_VALUE"""),3.25)</f>
        <v>3.25</v>
      </c>
      <c r="T1065" s="1">
        <f>IFERROR(__xludf.DUMMYFUNCTION("""COMPUTED_VALUE"""),1.75)</f>
        <v>1.75</v>
      </c>
      <c r="U1065" s="2">
        <f>IFERROR(__xludf.DUMMYFUNCTION("""COMPUTED_VALUE"""),5.0)</f>
        <v>5</v>
      </c>
      <c r="V1065" s="1" t="str">
        <f>IFERROR(__xludf.DUMMYFUNCTION("""COMPUTED_VALUE"""),"#N/A")</f>
        <v>#N/A</v>
      </c>
      <c r="W1065" s="1" t="str">
        <f>IFERROR(__xludf.DUMMYFUNCTION("""COMPUTED_VALUE"""),"#N/A")</f>
        <v>#N/A</v>
      </c>
    </row>
    <row r="1066">
      <c r="O1066" s="1" t="str">
        <f>IFERROR(__xludf.DUMMYFUNCTION("""COMPUTED_VALUE"""),"2025 Sep")</f>
        <v>2025 Sep</v>
      </c>
      <c r="P1066" s="1" t="str">
        <f>IFERROR(__xludf.DUMMYFUNCTION("""COMPUTED_VALUE"""),"Core Product Support")</f>
        <v>Core Product Support</v>
      </c>
      <c r="Q1066" s="1" t="str">
        <f>IFERROR(__xludf.DUMMYFUNCTION("""COMPUTED_VALUE"""),"neeki@canva.com")</f>
        <v>neeki@canva.com</v>
      </c>
      <c r="R1066" s="1" t="str">
        <f>IFERROR(__xludf.DUMMYFUNCTION("""COMPUTED_VALUE"""),"Neeki Asido")</f>
        <v>Neeki Asido</v>
      </c>
      <c r="S1066" s="1">
        <f>IFERROR(__xludf.DUMMYFUNCTION("""COMPUTED_VALUE"""),1.0)</f>
        <v>1</v>
      </c>
      <c r="T1066" s="1">
        <f>IFERROR(__xludf.DUMMYFUNCTION("""COMPUTED_VALUE"""),18.5)</f>
        <v>18.5</v>
      </c>
      <c r="U1066" s="2">
        <f>IFERROR(__xludf.DUMMYFUNCTION("""COMPUTED_VALUE"""),19.5)</f>
        <v>19.5</v>
      </c>
      <c r="V1066" s="1" t="str">
        <f>IFERROR(__xludf.DUMMYFUNCTION("""COMPUTED_VALUE"""),"Jelyn Elmido")</f>
        <v>Jelyn Elmido</v>
      </c>
      <c r="W1066" s="1" t="str">
        <f>IFERROR(__xludf.DUMMYFUNCTION("""COMPUTED_VALUE"""),"Core Product Support Escalation Team")</f>
        <v>Core Product Support Escalation Team</v>
      </c>
    </row>
    <row r="1067">
      <c r="O1067" s="1" t="str">
        <f>IFERROR(__xludf.DUMMYFUNCTION("""COMPUTED_VALUE"""),"2025 Sep")</f>
        <v>2025 Sep</v>
      </c>
      <c r="P1067" s="1" t="str">
        <f>IFERROR(__xludf.DUMMYFUNCTION("""COMPUTED_VALUE"""),"Core Product Support")</f>
        <v>Core Product Support</v>
      </c>
      <c r="Q1067" s="1" t="str">
        <f>IFERROR(__xludf.DUMMYFUNCTION("""COMPUTED_VALUE"""),"nicholeb@canva.com")</f>
        <v>nicholeb@canva.com</v>
      </c>
      <c r="R1067" s="1" t="str">
        <f>IFERROR(__xludf.DUMMYFUNCTION("""COMPUTED_VALUE"""),"Nichole Braceliño")</f>
        <v>Nichole Braceliño</v>
      </c>
      <c r="S1067" s="1">
        <f>IFERROR(__xludf.DUMMYFUNCTION("""COMPUTED_VALUE"""),0.5)</f>
        <v>0.5</v>
      </c>
      <c r="T1067" s="1">
        <f>IFERROR(__xludf.DUMMYFUNCTION("""COMPUTED_VALUE"""),15.33)</f>
        <v>15.33</v>
      </c>
      <c r="U1067" s="2">
        <f>IFERROR(__xludf.DUMMYFUNCTION("""COMPUTED_VALUE"""),15.83)</f>
        <v>15.83</v>
      </c>
      <c r="V1067" s="1" t="str">
        <f>IFERROR(__xludf.DUMMYFUNCTION("""COMPUTED_VALUE"""),"Renette Bok")</f>
        <v>Renette Bok</v>
      </c>
      <c r="W1067" s="1" t="str">
        <f>IFERROR(__xludf.DUMMYFUNCTION("""COMPUTED_VALUE"""),"Advanced Billing &amp; Subscriptions")</f>
        <v>Advanced Billing &amp; Subscriptions</v>
      </c>
    </row>
    <row r="1068">
      <c r="O1068" s="1" t="str">
        <f>IFERROR(__xludf.DUMMYFUNCTION("""COMPUTED_VALUE"""),"2025 Sep")</f>
        <v>2025 Sep</v>
      </c>
      <c r="P1068" s="1" t="str">
        <f>IFERROR(__xludf.DUMMYFUNCTION("""COMPUTED_VALUE"""),"High Sensitivity Support")</f>
        <v>High Sensitivity Support</v>
      </c>
      <c r="Q1068" s="1" t="str">
        <f>IFERROR(__xludf.DUMMYFUNCTION("""COMPUTED_VALUE"""),"ncruz@canva.com")</f>
        <v>ncruz@canva.com</v>
      </c>
      <c r="R1068" s="1" t="str">
        <f>IFERROR(__xludf.DUMMYFUNCTION("""COMPUTED_VALUE"""),"Nikki Cruz")</f>
        <v>Nikki Cruz</v>
      </c>
      <c r="S1068" s="1"/>
      <c r="T1068" s="1">
        <f>IFERROR(__xludf.DUMMYFUNCTION("""COMPUTED_VALUE"""),4.13)</f>
        <v>4.13</v>
      </c>
      <c r="U1068" s="2">
        <f>IFERROR(__xludf.DUMMYFUNCTION("""COMPUTED_VALUE"""),4.13)</f>
        <v>4.13</v>
      </c>
      <c r="V1068" s="1" t="str">
        <f>IFERROR(__xludf.DUMMYFUNCTION("""COMPUTED_VALUE"""),"Issi Afable")</f>
        <v>Issi Afable</v>
      </c>
      <c r="W1068" s="1" t="str">
        <f>IFERROR(__xludf.DUMMYFUNCTION("""COMPUTED_VALUE"""),"High Sensitivity Support PH")</f>
        <v>High Sensitivity Support PH</v>
      </c>
    </row>
    <row r="1069">
      <c r="O1069" s="1" t="str">
        <f>IFERROR(__xludf.DUMMYFUNCTION("""COMPUTED_VALUE"""),"2025 Sep")</f>
        <v>2025 Sep</v>
      </c>
      <c r="P1069" s="1" t="str">
        <f>IFERROR(__xludf.DUMMYFUNCTION("""COMPUTED_VALUE"""),"Print Support")</f>
        <v>Print Support</v>
      </c>
      <c r="Q1069" s="1" t="str">
        <f>IFERROR(__xludf.DUMMYFUNCTION("""COMPUTED_VALUE"""),"nonoimboy@canva.com")</f>
        <v>nonoimboy@canva.com</v>
      </c>
      <c r="R1069" s="1" t="str">
        <f>IFERROR(__xludf.DUMMYFUNCTION("""COMPUTED_VALUE"""),"Noel Imboy")</f>
        <v>Noel Imboy</v>
      </c>
      <c r="S1069" s="1">
        <f>IFERROR(__xludf.DUMMYFUNCTION("""COMPUTED_VALUE"""),6.75)</f>
        <v>6.75</v>
      </c>
      <c r="T1069" s="1">
        <f>IFERROR(__xludf.DUMMYFUNCTION("""COMPUTED_VALUE"""),1.25)</f>
        <v>1.25</v>
      </c>
      <c r="U1069" s="2">
        <f>IFERROR(__xludf.DUMMYFUNCTION("""COMPUTED_VALUE"""),8.0)</f>
        <v>8</v>
      </c>
      <c r="V1069" s="1" t="str">
        <f>IFERROR(__xludf.DUMMYFUNCTION("""COMPUTED_VALUE"""),"Gem Agoncillo")</f>
        <v>Gem Agoncillo</v>
      </c>
      <c r="W1069" s="1" t="str">
        <f>IFERROR(__xludf.DUMMYFUNCTION("""COMPUTED_VALUE"""),"Print Design Support")</f>
        <v>Print Design Support</v>
      </c>
    </row>
    <row r="1070">
      <c r="O1070" s="1" t="str">
        <f>IFERROR(__xludf.DUMMYFUNCTION("""COMPUTED_VALUE"""),"2025 Sep")</f>
        <v>2025 Sep</v>
      </c>
      <c r="P1070" s="1" t="str">
        <f>IFERROR(__xludf.DUMMYFUNCTION("""COMPUTED_VALUE"""),"#N/A")</f>
        <v>#N/A</v>
      </c>
      <c r="Q1070" s="1" t="str">
        <f>IFERROR(__xludf.DUMMYFUNCTION("""COMPUTED_VALUE"""),"oliverr@canva.com")</f>
        <v>oliverr@canva.com</v>
      </c>
      <c r="R1070" s="1" t="str">
        <f>IFERROR(__xludf.DUMMYFUNCTION("""COMPUTED_VALUE"""),"Oliver Rempillo")</f>
        <v>Oliver Rempillo</v>
      </c>
      <c r="S1070" s="1"/>
      <c r="T1070" s="1">
        <f>IFERROR(__xludf.DUMMYFUNCTION("""COMPUTED_VALUE"""),0.0)</f>
        <v>0</v>
      </c>
      <c r="U1070" s="2">
        <f>IFERROR(__xludf.DUMMYFUNCTION("""COMPUTED_VALUE"""),0.0)</f>
        <v>0</v>
      </c>
      <c r="V1070" s="1" t="str">
        <f>IFERROR(__xludf.DUMMYFUNCTION("""COMPUTED_VALUE"""),"#N/A")</f>
        <v>#N/A</v>
      </c>
      <c r="W1070" s="1" t="str">
        <f>IFERROR(__xludf.DUMMYFUNCTION("""COMPUTED_VALUE"""),"#N/A")</f>
        <v>#N/A</v>
      </c>
    </row>
    <row r="1071">
      <c r="O1071" s="1" t="str">
        <f>IFERROR(__xludf.DUMMYFUNCTION("""COMPUTED_VALUE"""),"2025 Sep")</f>
        <v>2025 Sep</v>
      </c>
      <c r="P1071" s="1" t="str">
        <f>IFERROR(__xludf.DUMMYFUNCTION("""COMPUTED_VALUE"""),"Segment-specific Support")</f>
        <v>Segment-specific Support</v>
      </c>
      <c r="Q1071" s="1" t="str">
        <f>IFERROR(__xludf.DUMMYFUNCTION("""COMPUTED_VALUE"""),"pao@canva.com")</f>
        <v>pao@canva.com</v>
      </c>
      <c r="R1071" s="1" t="str">
        <f>IFERROR(__xludf.DUMMYFUNCTION("""COMPUTED_VALUE"""),"Pao Domanais")</f>
        <v>Pao Domanais</v>
      </c>
      <c r="S1071" s="1">
        <f>IFERROR(__xludf.DUMMYFUNCTION("""COMPUTED_VALUE"""),5.65)</f>
        <v>5.65</v>
      </c>
      <c r="T1071" s="1">
        <f>IFERROR(__xludf.DUMMYFUNCTION("""COMPUTED_VALUE"""),1.7)</f>
        <v>1.7</v>
      </c>
      <c r="U1071" s="2">
        <f>IFERROR(__xludf.DUMMYFUNCTION("""COMPUTED_VALUE"""),7.3500000000000005)</f>
        <v>7.35</v>
      </c>
      <c r="V1071" s="1" t="str">
        <f>IFERROR(__xludf.DUMMYFUNCTION("""COMPUTED_VALUE"""),"Rose Gabilan")</f>
        <v>Rose Gabilan</v>
      </c>
      <c r="W1071" s="1" t="str">
        <f>IFERROR(__xludf.DUMMYFUNCTION("""COMPUTED_VALUE"""),"Print Support PH")</f>
        <v>Print Support PH</v>
      </c>
    </row>
    <row r="1072">
      <c r="O1072" s="1" t="str">
        <f>IFERROR(__xludf.DUMMYFUNCTION("""COMPUTED_VALUE"""),"2025 Sep")</f>
        <v>2025 Sep</v>
      </c>
      <c r="P1072" s="1" t="str">
        <f>IFERROR(__xludf.DUMMYFUNCTION("""COMPUTED_VALUE"""),"Print Support")</f>
        <v>Print Support</v>
      </c>
      <c r="Q1072" s="1" t="str">
        <f>IFERROR(__xludf.DUMMYFUNCTION("""COMPUTED_VALUE"""),"paolonati@canva.com")</f>
        <v>paolonati@canva.com</v>
      </c>
      <c r="R1072" s="1" t="str">
        <f>IFERROR(__xludf.DUMMYFUNCTION("""COMPUTED_VALUE"""),"Paolo Natividad")</f>
        <v>Paolo Natividad</v>
      </c>
      <c r="S1072" s="1">
        <f>IFERROR(__xludf.DUMMYFUNCTION("""COMPUTED_VALUE"""),6.38)</f>
        <v>6.38</v>
      </c>
      <c r="T1072" s="1">
        <f>IFERROR(__xludf.DUMMYFUNCTION("""COMPUTED_VALUE"""),0.37)</f>
        <v>0.37</v>
      </c>
      <c r="U1072" s="2">
        <f>IFERROR(__xludf.DUMMYFUNCTION("""COMPUTED_VALUE"""),6.75)</f>
        <v>6.75</v>
      </c>
      <c r="V1072" s="1" t="str">
        <f>IFERROR(__xludf.DUMMYFUNCTION("""COMPUTED_VALUE"""),"Rei De Jesus")</f>
        <v>Rei De Jesus</v>
      </c>
      <c r="W1072" s="1" t="str">
        <f>IFERROR(__xludf.DUMMYFUNCTION("""COMPUTED_VALUE"""),"Print Design Support")</f>
        <v>Print Design Support</v>
      </c>
    </row>
    <row r="1073">
      <c r="O1073" s="1" t="str">
        <f>IFERROR(__xludf.DUMMYFUNCTION("""COMPUTED_VALUE"""),"2025 Sep")</f>
        <v>2025 Sep</v>
      </c>
      <c r="P1073" s="1" t="str">
        <f>IFERROR(__xludf.DUMMYFUNCTION("""COMPUTED_VALUE"""),"Core Product Support")</f>
        <v>Core Product Support</v>
      </c>
      <c r="Q1073" s="1" t="str">
        <f>IFERROR(__xludf.DUMMYFUNCTION("""COMPUTED_VALUE"""),"padelacruz@canva.com")</f>
        <v>padelacruz@canva.com</v>
      </c>
      <c r="R1073" s="1" t="str">
        <f>IFERROR(__xludf.DUMMYFUNCTION("""COMPUTED_VALUE"""),"Patrick Dela Cruz")</f>
        <v>Patrick Dela Cruz</v>
      </c>
      <c r="S1073" s="1">
        <f>IFERROR(__xludf.DUMMYFUNCTION("""COMPUTED_VALUE"""),5.75)</f>
        <v>5.75</v>
      </c>
      <c r="T1073" s="1">
        <f>IFERROR(__xludf.DUMMYFUNCTION("""COMPUTED_VALUE"""),10.0)</f>
        <v>10</v>
      </c>
      <c r="U1073" s="2">
        <f>IFERROR(__xludf.DUMMYFUNCTION("""COMPUTED_VALUE"""),15.75)</f>
        <v>15.75</v>
      </c>
      <c r="V1073" s="1" t="str">
        <f>IFERROR(__xludf.DUMMYFUNCTION("""COMPUTED_VALUE"""),"Cate Velasco")</f>
        <v>Cate Velasco</v>
      </c>
      <c r="W1073" s="1" t="str">
        <f>IFERROR(__xludf.DUMMYFUNCTION("""COMPUTED_VALUE"""),"Advanced Product Support")</f>
        <v>Advanced Product Support</v>
      </c>
    </row>
    <row r="1074">
      <c r="O1074" s="1" t="str">
        <f>IFERROR(__xludf.DUMMYFUNCTION("""COMPUTED_VALUE"""),"2025 Sep")</f>
        <v>2025 Sep</v>
      </c>
      <c r="P1074" s="1" t="str">
        <f>IFERROR(__xludf.DUMMYFUNCTION("""COMPUTED_VALUE"""),"#N/A")</f>
        <v>#N/A</v>
      </c>
      <c r="Q1074" s="1" t="str">
        <f>IFERROR(__xludf.DUMMYFUNCTION("""COMPUTED_VALUE"""),"patrickm@canva.com")</f>
        <v>patrickm@canva.com</v>
      </c>
      <c r="R1074" s="1" t="str">
        <f>IFERROR(__xludf.DUMMYFUNCTION("""COMPUTED_VALUE"""),"Patrick Mariano")</f>
        <v>Patrick Mariano</v>
      </c>
      <c r="S1074" s="1"/>
      <c r="T1074" s="1">
        <f>IFERROR(__xludf.DUMMYFUNCTION("""COMPUTED_VALUE"""),19.75)</f>
        <v>19.75</v>
      </c>
      <c r="U1074" s="2">
        <f>IFERROR(__xludf.DUMMYFUNCTION("""COMPUTED_VALUE"""),19.75)</f>
        <v>19.75</v>
      </c>
      <c r="V1074" s="1" t="str">
        <f>IFERROR(__xludf.DUMMYFUNCTION("""COMPUTED_VALUE"""),"#N/A")</f>
        <v>#N/A</v>
      </c>
      <c r="W1074" s="1" t="str">
        <f>IFERROR(__xludf.DUMMYFUNCTION("""COMPUTED_VALUE"""),"Advanced Billing &amp; Subscriptions")</f>
        <v>Advanced Billing &amp; Subscriptions</v>
      </c>
    </row>
    <row r="1075">
      <c r="O1075" s="1" t="str">
        <f>IFERROR(__xludf.DUMMYFUNCTION("""COMPUTED_VALUE"""),"2025 Sep")</f>
        <v>2025 Sep</v>
      </c>
      <c r="P1075" s="1" t="str">
        <f>IFERROR(__xludf.DUMMYFUNCTION("""COMPUTED_VALUE"""),"Core Product Support")</f>
        <v>Core Product Support</v>
      </c>
      <c r="Q1075" s="1" t="str">
        <f>IFERROR(__xludf.DUMMYFUNCTION("""COMPUTED_VALUE"""),"pathugo@canva.com")</f>
        <v>pathugo@canva.com</v>
      </c>
      <c r="R1075" s="1" t="str">
        <f>IFERROR(__xludf.DUMMYFUNCTION("""COMPUTED_VALUE"""),"Patriz Hugo")</f>
        <v>Patriz Hugo</v>
      </c>
      <c r="S1075" s="1">
        <f>IFERROR(__xludf.DUMMYFUNCTION("""COMPUTED_VALUE"""),1.0)</f>
        <v>1</v>
      </c>
      <c r="T1075" s="1">
        <f>IFERROR(__xludf.DUMMYFUNCTION("""COMPUTED_VALUE"""),2.25)</f>
        <v>2.25</v>
      </c>
      <c r="U1075" s="2">
        <f>IFERROR(__xludf.DUMMYFUNCTION("""COMPUTED_VALUE"""),3.25)</f>
        <v>3.25</v>
      </c>
      <c r="V1075" s="1" t="str">
        <f>IFERROR(__xludf.DUMMYFUNCTION("""COMPUTED_VALUE"""),"Sieg Ballelos")</f>
        <v>Sieg Ballelos</v>
      </c>
      <c r="W1075" s="1" t="str">
        <f>IFERROR(__xludf.DUMMYFUNCTION("""COMPUTED_VALUE"""),"Core Product Support Escalation Team")</f>
        <v>Core Product Support Escalation Team</v>
      </c>
    </row>
    <row r="1076">
      <c r="O1076" s="1" t="str">
        <f>IFERROR(__xludf.DUMMYFUNCTION("""COMPUTED_VALUE"""),"2025 Sep")</f>
        <v>2025 Sep</v>
      </c>
      <c r="P1076" s="1" t="str">
        <f>IFERROR(__xludf.DUMMYFUNCTION("""COMPUTED_VALUE"""),"Core Product Support")</f>
        <v>Core Product Support</v>
      </c>
      <c r="Q1076" s="1" t="str">
        <f>IFERROR(__xludf.DUMMYFUNCTION("""COMPUTED_VALUE"""),"paulv@canva.com")</f>
        <v>paulv@canva.com</v>
      </c>
      <c r="R1076" s="1" t="str">
        <f>IFERROR(__xludf.DUMMYFUNCTION("""COMPUTED_VALUE"""),"Paul Verdad")</f>
        <v>Paul Verdad</v>
      </c>
      <c r="S1076" s="1">
        <f>IFERROR(__xludf.DUMMYFUNCTION("""COMPUTED_VALUE"""),8.75)</f>
        <v>8.75</v>
      </c>
      <c r="T1076" s="1">
        <f>IFERROR(__xludf.DUMMYFUNCTION("""COMPUTED_VALUE"""),54.75)</f>
        <v>54.75</v>
      </c>
      <c r="U1076" s="2">
        <f>IFERROR(__xludf.DUMMYFUNCTION("""COMPUTED_VALUE"""),63.5)</f>
        <v>63.5</v>
      </c>
      <c r="V1076" s="1" t="str">
        <f>IFERROR(__xludf.DUMMYFUNCTION("""COMPUTED_VALUE"""),"Vinz Lazaro")</f>
        <v>Vinz Lazaro</v>
      </c>
      <c r="W1076" s="1" t="str">
        <f>IFERROR(__xludf.DUMMYFUNCTION("""COMPUTED_VALUE"""),"Advanced Product Support")</f>
        <v>Advanced Product Support</v>
      </c>
    </row>
    <row r="1077">
      <c r="O1077" s="1" t="str">
        <f>IFERROR(__xludf.DUMMYFUNCTION("""COMPUTED_VALUE"""),"2025 Sep")</f>
        <v>2025 Sep</v>
      </c>
      <c r="P1077" s="1" t="str">
        <f>IFERROR(__xludf.DUMMYFUNCTION("""COMPUTED_VALUE"""),"#N/A")</f>
        <v>#N/A</v>
      </c>
      <c r="Q1077" s="1" t="str">
        <f>IFERROR(__xludf.DUMMYFUNCTION("""COMPUTED_VALUE"""),"paul.y@canva.com")</f>
        <v>paul.y@canva.com</v>
      </c>
      <c r="R1077" s="1" t="str">
        <f>IFERROR(__xludf.DUMMYFUNCTION("""COMPUTED_VALUE"""),"Paul Yang")</f>
        <v>Paul Yang</v>
      </c>
      <c r="S1077" s="1">
        <f>IFERROR(__xludf.DUMMYFUNCTION("""COMPUTED_VALUE"""),1.0)</f>
        <v>1</v>
      </c>
      <c r="T1077" s="1">
        <f>IFERROR(__xludf.DUMMYFUNCTION("""COMPUTED_VALUE"""),2.25)</f>
        <v>2.25</v>
      </c>
      <c r="U1077" s="2">
        <f>IFERROR(__xludf.DUMMYFUNCTION("""COMPUTED_VALUE"""),3.25)</f>
        <v>3.25</v>
      </c>
      <c r="V1077" s="1" t="str">
        <f>IFERROR(__xludf.DUMMYFUNCTION("""COMPUTED_VALUE"""),"#N/A")</f>
        <v>#N/A</v>
      </c>
      <c r="W1077" s="1" t="str">
        <f>IFERROR(__xludf.DUMMYFUNCTION("""COMPUTED_VALUE"""),"#N/A")</f>
        <v>#N/A</v>
      </c>
    </row>
    <row r="1078">
      <c r="O1078" s="1" t="str">
        <f>IFERROR(__xludf.DUMMYFUNCTION("""COMPUTED_VALUE"""),"2025 Sep")</f>
        <v>2025 Sep</v>
      </c>
      <c r="P1078" s="1" t="str">
        <f>IFERROR(__xludf.DUMMYFUNCTION("""COMPUTED_VALUE"""),"High Sensitivity Support")</f>
        <v>High Sensitivity Support</v>
      </c>
      <c r="Q1078" s="1" t="str">
        <f>IFERROR(__xludf.DUMMYFUNCTION("""COMPUTED_VALUE"""),"phillipronquillo@canva.com")</f>
        <v>phillipronquillo@canva.com</v>
      </c>
      <c r="R1078" s="1" t="str">
        <f>IFERROR(__xludf.DUMMYFUNCTION("""COMPUTED_VALUE"""),"Phil Ronquillo")</f>
        <v>Phil Ronquillo</v>
      </c>
      <c r="S1078" s="1">
        <f>IFERROR(__xludf.DUMMYFUNCTION("""COMPUTED_VALUE"""),15.25)</f>
        <v>15.25</v>
      </c>
      <c r="T1078" s="1">
        <f>IFERROR(__xludf.DUMMYFUNCTION("""COMPUTED_VALUE"""),2.25)</f>
        <v>2.25</v>
      </c>
      <c r="U1078" s="2">
        <f>IFERROR(__xludf.DUMMYFUNCTION("""COMPUTED_VALUE"""),17.5)</f>
        <v>17.5</v>
      </c>
      <c r="V1078" s="1" t="str">
        <f>IFERROR(__xludf.DUMMYFUNCTION("""COMPUTED_VALUE"""),"Rossheen Pura")</f>
        <v>Rossheen Pura</v>
      </c>
      <c r="W1078" s="1" t="str">
        <f>IFERROR(__xludf.DUMMYFUNCTION("""COMPUTED_VALUE"""),"High Sensitivity Support PH")</f>
        <v>High Sensitivity Support PH</v>
      </c>
    </row>
    <row r="1079">
      <c r="O1079" s="1" t="str">
        <f>IFERROR(__xludf.DUMMYFUNCTION("""COMPUTED_VALUE"""),"2025 Sep")</f>
        <v>2025 Sep</v>
      </c>
      <c r="P1079" s="1" t="str">
        <f>IFERROR(__xludf.DUMMYFUNCTION("""COMPUTED_VALUE"""),"Core Product Support")</f>
        <v>Core Product Support</v>
      </c>
      <c r="Q1079" s="1" t="str">
        <f>IFERROR(__xludf.DUMMYFUNCTION("""COMPUTED_VALUE"""),"pnicolepescador@canva.com")</f>
        <v>pnicolepescador@canva.com</v>
      </c>
      <c r="R1079" s="1" t="str">
        <f>IFERROR(__xludf.DUMMYFUNCTION("""COMPUTED_VALUE"""),"Precious Pescador")</f>
        <v>Precious Pescador</v>
      </c>
      <c r="S1079" s="1">
        <f>IFERROR(__xludf.DUMMYFUNCTION("""COMPUTED_VALUE"""),0.25)</f>
        <v>0.25</v>
      </c>
      <c r="T1079" s="1">
        <f>IFERROR(__xludf.DUMMYFUNCTION("""COMPUTED_VALUE"""),18.5)</f>
        <v>18.5</v>
      </c>
      <c r="U1079" s="2">
        <f>IFERROR(__xludf.DUMMYFUNCTION("""COMPUTED_VALUE"""),18.75)</f>
        <v>18.75</v>
      </c>
      <c r="V1079" s="1" t="str">
        <f>IFERROR(__xludf.DUMMYFUNCTION("""COMPUTED_VALUE"""),"Ayza Marie Pascual")</f>
        <v>Ayza Marie Pascual</v>
      </c>
      <c r="W1079" s="1" t="str">
        <f>IFERROR(__xludf.DUMMYFUNCTION("""COMPUTED_VALUE"""),"Advanced Billing &amp; Subscriptions")</f>
        <v>Advanced Billing &amp; Subscriptions</v>
      </c>
    </row>
    <row r="1080">
      <c r="O1080" s="1" t="str">
        <f>IFERROR(__xludf.DUMMYFUNCTION("""COMPUTED_VALUE"""),"2025 Sep")</f>
        <v>2025 Sep</v>
      </c>
      <c r="P1080" s="1" t="str">
        <f>IFERROR(__xludf.DUMMYFUNCTION("""COMPUTED_VALUE"""),"High Sensitivity Support")</f>
        <v>High Sensitivity Support</v>
      </c>
      <c r="Q1080" s="1" t="str">
        <f>IFERROR(__xludf.DUMMYFUNCTION("""COMPUTED_VALUE"""),"quennie@canva.com")</f>
        <v>quennie@canva.com</v>
      </c>
      <c r="R1080" s="1" t="str">
        <f>IFERROR(__xludf.DUMMYFUNCTION("""COMPUTED_VALUE"""),"Quennie Quisel")</f>
        <v>Quennie Quisel</v>
      </c>
      <c r="S1080" s="1"/>
      <c r="T1080" s="1">
        <f>IFERROR(__xludf.DUMMYFUNCTION("""COMPUTED_VALUE"""),4.42)</f>
        <v>4.42</v>
      </c>
      <c r="U1080" s="2">
        <f>IFERROR(__xludf.DUMMYFUNCTION("""COMPUTED_VALUE"""),4.42)</f>
        <v>4.42</v>
      </c>
      <c r="V1080" s="1" t="str">
        <f>IFERROR(__xludf.DUMMYFUNCTION("""COMPUTED_VALUE"""),"Issi Afable")</f>
        <v>Issi Afable</v>
      </c>
      <c r="W1080" s="1" t="str">
        <f>IFERROR(__xludf.DUMMYFUNCTION("""COMPUTED_VALUE"""),"High Sensitivity Support PH")</f>
        <v>High Sensitivity Support PH</v>
      </c>
    </row>
    <row r="1081">
      <c r="O1081" s="1" t="str">
        <f>IFERROR(__xludf.DUMMYFUNCTION("""COMPUTED_VALUE"""),"2025 Sep")</f>
        <v>2025 Sep</v>
      </c>
      <c r="P1081" s="1" t="str">
        <f>IFERROR(__xludf.DUMMYFUNCTION("""COMPUTED_VALUE"""),"Core Product Support")</f>
        <v>Core Product Support</v>
      </c>
      <c r="Q1081" s="1" t="str">
        <f>IFERROR(__xludf.DUMMYFUNCTION("""COMPUTED_VALUE"""),"rachellynanne@canva.com")</f>
        <v>rachellynanne@canva.com</v>
      </c>
      <c r="R1081" s="1" t="str">
        <f>IFERROR(__xludf.DUMMYFUNCTION("""COMPUTED_VALUE"""),"Rachellyn Medina")</f>
        <v>Rachellyn Medina</v>
      </c>
      <c r="S1081" s="1">
        <f>IFERROR(__xludf.DUMMYFUNCTION("""COMPUTED_VALUE"""),0.5)</f>
        <v>0.5</v>
      </c>
      <c r="T1081" s="1">
        <f>IFERROR(__xludf.DUMMYFUNCTION("""COMPUTED_VALUE"""),7.02)</f>
        <v>7.02</v>
      </c>
      <c r="U1081" s="2">
        <f>IFERROR(__xludf.DUMMYFUNCTION("""COMPUTED_VALUE"""),7.52)</f>
        <v>7.52</v>
      </c>
      <c r="V1081" s="1" t="str">
        <f>IFERROR(__xludf.DUMMYFUNCTION("""COMPUTED_VALUE"""),"Jem Mondoñedo")</f>
        <v>Jem Mondoñedo</v>
      </c>
      <c r="W1081" s="1" t="str">
        <f>IFERROR(__xludf.DUMMYFUNCTION("""COMPUTED_VALUE"""),"Advanced Billing &amp; Subscriptions")</f>
        <v>Advanced Billing &amp; Subscriptions</v>
      </c>
    </row>
    <row r="1082">
      <c r="O1082" s="1" t="str">
        <f>IFERROR(__xludf.DUMMYFUNCTION("""COMPUTED_VALUE"""),"2025 Sep")</f>
        <v>2025 Sep</v>
      </c>
      <c r="P1082" s="1" t="str">
        <f>IFERROR(__xludf.DUMMYFUNCTION("""COMPUTED_VALUE"""),"Core Product Support")</f>
        <v>Core Product Support</v>
      </c>
      <c r="Q1082" s="1" t="str">
        <f>IFERROR(__xludf.DUMMYFUNCTION("""COMPUTED_VALUE"""),"alfredomillares@canva.com")</f>
        <v>alfredomillares@canva.com</v>
      </c>
      <c r="R1082" s="1" t="str">
        <f>IFERROR(__xludf.DUMMYFUNCTION("""COMPUTED_VALUE"""),"Rael Millares")</f>
        <v>Rael Millares</v>
      </c>
      <c r="S1082" s="1">
        <f>IFERROR(__xludf.DUMMYFUNCTION("""COMPUTED_VALUE"""),1.0)</f>
        <v>1</v>
      </c>
      <c r="T1082" s="1">
        <f>IFERROR(__xludf.DUMMYFUNCTION("""COMPUTED_VALUE"""),6.5)</f>
        <v>6.5</v>
      </c>
      <c r="U1082" s="2">
        <f>IFERROR(__xludf.DUMMYFUNCTION("""COMPUTED_VALUE"""),7.5)</f>
        <v>7.5</v>
      </c>
      <c r="V1082" s="1" t="str">
        <f>IFERROR(__xludf.DUMMYFUNCTION("""COMPUTED_VALUE"""),"Jahmie Mae Barrameda")</f>
        <v>Jahmie Mae Barrameda</v>
      </c>
      <c r="W1082" s="1" t="str">
        <f>IFERROR(__xludf.DUMMYFUNCTION("""COMPUTED_VALUE"""),"Advanced Billing &amp; Subscriptions")</f>
        <v>Advanced Billing &amp; Subscriptions</v>
      </c>
    </row>
    <row r="1083">
      <c r="O1083" s="1" t="str">
        <f>IFERROR(__xludf.DUMMYFUNCTION("""COMPUTED_VALUE"""),"2025 Sep")</f>
        <v>2025 Sep</v>
      </c>
      <c r="P1083" s="1" t="str">
        <f>IFERROR(__xludf.DUMMYFUNCTION("""COMPUTED_VALUE"""),"Multilingual Support")</f>
        <v>Multilingual Support</v>
      </c>
      <c r="Q1083" s="1" t="str">
        <f>IFERROR(__xludf.DUMMYFUNCTION("""COMPUTED_VALUE"""),"ranufre@canva.com")</f>
        <v>ranufre@canva.com</v>
      </c>
      <c r="R1083" s="1" t="str">
        <f>IFERROR(__xludf.DUMMYFUNCTION("""COMPUTED_VALUE"""),"Rafa Freitas")</f>
        <v>Rafa Freitas</v>
      </c>
      <c r="S1083" s="1">
        <f>IFERROR(__xludf.DUMMYFUNCTION("""COMPUTED_VALUE"""),1.5)</f>
        <v>1.5</v>
      </c>
      <c r="T1083" s="1">
        <f>IFERROR(__xludf.DUMMYFUNCTION("""COMPUTED_VALUE"""),3.25)</f>
        <v>3.25</v>
      </c>
      <c r="U1083" s="2">
        <f>IFERROR(__xludf.DUMMYFUNCTION("""COMPUTED_VALUE"""),4.75)</f>
        <v>4.75</v>
      </c>
      <c r="V1083" s="1" t="str">
        <f>IFERROR(__xludf.DUMMYFUNCTION("""COMPUTED_VALUE"""),"Arlene Maurillo")</f>
        <v>Arlene Maurillo</v>
      </c>
      <c r="W1083" s="1" t="str">
        <f>IFERROR(__xludf.DUMMYFUNCTION("""COMPUTED_VALUE"""),"PHL, Multilingual Support")</f>
        <v>PHL, Multilingual Support</v>
      </c>
    </row>
    <row r="1084">
      <c r="O1084" s="1" t="str">
        <f>IFERROR(__xludf.DUMMYFUNCTION("""COMPUTED_VALUE"""),"2025 Sep")</f>
        <v>2025 Sep</v>
      </c>
      <c r="P1084" s="1" t="str">
        <f>IFERROR(__xludf.DUMMYFUNCTION("""COMPUTED_VALUE"""),"Core Product Support")</f>
        <v>Core Product Support</v>
      </c>
      <c r="Q1084" s="1" t="str">
        <f>IFERROR(__xludf.DUMMYFUNCTION("""COMPUTED_VALUE"""),"rafaticzon@canva.com")</f>
        <v>rafaticzon@canva.com</v>
      </c>
      <c r="R1084" s="1" t="str">
        <f>IFERROR(__xludf.DUMMYFUNCTION("""COMPUTED_VALUE"""),"Rafa Ticzon")</f>
        <v>Rafa Ticzon</v>
      </c>
      <c r="S1084" s="1">
        <f>IFERROR(__xludf.DUMMYFUNCTION("""COMPUTED_VALUE"""),7.92)</f>
        <v>7.92</v>
      </c>
      <c r="T1084" s="1">
        <f>IFERROR(__xludf.DUMMYFUNCTION("""COMPUTED_VALUE"""),51.63)</f>
        <v>51.63</v>
      </c>
      <c r="U1084" s="2">
        <f>IFERROR(__xludf.DUMMYFUNCTION("""COMPUTED_VALUE"""),59.550000000000004)</f>
        <v>59.55</v>
      </c>
      <c r="V1084" s="1" t="str">
        <f>IFERROR(__xludf.DUMMYFUNCTION("""COMPUTED_VALUE"""),"Mikhaela Decangchon")</f>
        <v>Mikhaela Decangchon</v>
      </c>
      <c r="W1084" s="1" t="str">
        <f>IFERROR(__xludf.DUMMYFUNCTION("""COMPUTED_VALUE"""),"Advanced Product Support")</f>
        <v>Advanced Product Support</v>
      </c>
    </row>
    <row r="1085">
      <c r="O1085" s="1" t="str">
        <f>IFERROR(__xludf.DUMMYFUNCTION("""COMPUTED_VALUE"""),"2025 Sep")</f>
        <v>2025 Sep</v>
      </c>
      <c r="P1085" s="1" t="str">
        <f>IFERROR(__xludf.DUMMYFUNCTION("""COMPUTED_VALUE"""),"Core Product Support")</f>
        <v>Core Product Support</v>
      </c>
      <c r="Q1085" s="1" t="str">
        <f>IFERROR(__xludf.DUMMYFUNCTION("""COMPUTED_VALUE"""),"candace@canva.com")</f>
        <v>candace@canva.com</v>
      </c>
      <c r="R1085" s="1" t="str">
        <f>IFERROR(__xludf.DUMMYFUNCTION("""COMPUTED_VALUE"""),"Rainne Candace Llagas")</f>
        <v>Rainne Candace Llagas</v>
      </c>
      <c r="S1085" s="1">
        <f>IFERROR(__xludf.DUMMYFUNCTION("""COMPUTED_VALUE"""),11.0)</f>
        <v>11</v>
      </c>
      <c r="T1085" s="1">
        <f>IFERROR(__xludf.DUMMYFUNCTION("""COMPUTED_VALUE"""),11.0)</f>
        <v>11</v>
      </c>
      <c r="U1085" s="2">
        <f>IFERROR(__xludf.DUMMYFUNCTION("""COMPUTED_VALUE"""),22.0)</f>
        <v>22</v>
      </c>
      <c r="V1085" s="1" t="str">
        <f>IFERROR(__xludf.DUMMYFUNCTION("""COMPUTED_VALUE"""),"Belle Bentazal")</f>
        <v>Belle Bentazal</v>
      </c>
      <c r="W1085" s="1" t="str">
        <f>IFERROR(__xludf.DUMMYFUNCTION("""COMPUTED_VALUE"""),"Advanced Product Support")</f>
        <v>Advanced Product Support</v>
      </c>
    </row>
    <row r="1086">
      <c r="O1086" s="1" t="str">
        <f>IFERROR(__xludf.DUMMYFUNCTION("""COMPUTED_VALUE"""),"2025 Sep")</f>
        <v>2025 Sep</v>
      </c>
      <c r="P1086" s="1" t="str">
        <f>IFERROR(__xludf.DUMMYFUNCTION("""COMPUTED_VALUE"""),"Core Product Support")</f>
        <v>Core Product Support</v>
      </c>
      <c r="Q1086" s="1" t="str">
        <f>IFERROR(__xludf.DUMMYFUNCTION("""COMPUTED_VALUE"""),"rmercado@canva.com")</f>
        <v>rmercado@canva.com</v>
      </c>
      <c r="R1086" s="1" t="str">
        <f>IFERROR(__xludf.DUMMYFUNCTION("""COMPUTED_VALUE"""),"Ram Mercado")</f>
        <v>Ram Mercado</v>
      </c>
      <c r="S1086" s="1">
        <f>IFERROR(__xludf.DUMMYFUNCTION("""COMPUTED_VALUE"""),1.0)</f>
        <v>1</v>
      </c>
      <c r="T1086" s="1">
        <f>IFERROR(__xludf.DUMMYFUNCTION("""COMPUTED_VALUE"""),4.42)</f>
        <v>4.42</v>
      </c>
      <c r="U1086" s="2">
        <f>IFERROR(__xludf.DUMMYFUNCTION("""COMPUTED_VALUE"""),5.42)</f>
        <v>5.42</v>
      </c>
      <c r="V1086" s="1" t="str">
        <f>IFERROR(__xludf.DUMMYFUNCTION("""COMPUTED_VALUE"""),"Jelyn Elmido")</f>
        <v>Jelyn Elmido</v>
      </c>
      <c r="W1086" s="1" t="str">
        <f>IFERROR(__xludf.DUMMYFUNCTION("""COMPUTED_VALUE"""),"Core Product Support Escalation Team")</f>
        <v>Core Product Support Escalation Team</v>
      </c>
    </row>
    <row r="1087">
      <c r="O1087" s="1" t="str">
        <f>IFERROR(__xludf.DUMMYFUNCTION("""COMPUTED_VALUE"""),"2025 Sep")</f>
        <v>2025 Sep</v>
      </c>
      <c r="P1087" s="1" t="str">
        <f>IFERROR(__xludf.DUMMYFUNCTION("""COMPUTED_VALUE"""),"Core Product Support")</f>
        <v>Core Product Support</v>
      </c>
      <c r="Q1087" s="1" t="str">
        <f>IFERROR(__xludf.DUMMYFUNCTION("""COMPUTED_VALUE"""),"razelleroe@canva.com")</f>
        <v>razelleroe@canva.com</v>
      </c>
      <c r="R1087" s="1" t="str">
        <f>IFERROR(__xludf.DUMMYFUNCTION("""COMPUTED_VALUE"""),"Razelle Roe Garaza")</f>
        <v>Razelle Roe Garaza</v>
      </c>
      <c r="S1087" s="1">
        <f>IFERROR(__xludf.DUMMYFUNCTION("""COMPUTED_VALUE"""),2.25)</f>
        <v>2.25</v>
      </c>
      <c r="T1087" s="1">
        <f>IFERROR(__xludf.DUMMYFUNCTION("""COMPUTED_VALUE"""),12.5)</f>
        <v>12.5</v>
      </c>
      <c r="U1087" s="2">
        <f>IFERROR(__xludf.DUMMYFUNCTION("""COMPUTED_VALUE"""),14.75)</f>
        <v>14.75</v>
      </c>
      <c r="V1087" s="1" t="str">
        <f>IFERROR(__xludf.DUMMYFUNCTION("""COMPUTED_VALUE"""),"Ana Lazaro")</f>
        <v>Ana Lazaro</v>
      </c>
      <c r="W1087" s="1" t="str">
        <f>IFERROR(__xludf.DUMMYFUNCTION("""COMPUTED_VALUE"""),"Advanced Billing &amp; Subscriptions")</f>
        <v>Advanced Billing &amp; Subscriptions</v>
      </c>
    </row>
    <row r="1088">
      <c r="O1088" s="1" t="str">
        <f>IFERROR(__xludf.DUMMYFUNCTION("""COMPUTED_VALUE"""),"2025 Sep")</f>
        <v>2025 Sep</v>
      </c>
      <c r="P1088" s="1" t="str">
        <f>IFERROR(__xludf.DUMMYFUNCTION("""COMPUTED_VALUE"""),"Admin Support")</f>
        <v>Admin Support</v>
      </c>
      <c r="Q1088" s="1" t="str">
        <f>IFERROR(__xludf.DUMMYFUNCTION("""COMPUTED_VALUE"""),"rdolores@canva.com")</f>
        <v>rdolores@canva.com</v>
      </c>
      <c r="R1088" s="1" t="str">
        <f>IFERROR(__xludf.DUMMYFUNCTION("""COMPUTED_VALUE"""),"Rea Alexis Dolores")</f>
        <v>Rea Alexis Dolores</v>
      </c>
      <c r="S1088" s="1">
        <f>IFERROR(__xludf.DUMMYFUNCTION("""COMPUTED_VALUE"""),1.5)</f>
        <v>1.5</v>
      </c>
      <c r="T1088" s="1">
        <f>IFERROR(__xludf.DUMMYFUNCTION("""COMPUTED_VALUE"""),18.25)</f>
        <v>18.25</v>
      </c>
      <c r="U1088" s="2">
        <f>IFERROR(__xludf.DUMMYFUNCTION("""COMPUTED_VALUE"""),19.75)</f>
        <v>19.75</v>
      </c>
      <c r="V1088" s="1" t="str">
        <f>IFERROR(__xludf.DUMMYFUNCTION("""COMPUTED_VALUE"""),"Karla Mananghaya")</f>
        <v>Karla Mananghaya</v>
      </c>
      <c r="W1088" s="1" t="str">
        <f>IFERROR(__xludf.DUMMYFUNCTION("""COMPUTED_VALUE"""),"Admin Support Service Escalation Team")</f>
        <v>Admin Support Service Escalation Team</v>
      </c>
    </row>
    <row r="1089">
      <c r="O1089" s="1" t="str">
        <f>IFERROR(__xludf.DUMMYFUNCTION("""COMPUTED_VALUE"""),"2025 Sep")</f>
        <v>2025 Sep</v>
      </c>
      <c r="P1089" s="1" t="str">
        <f>IFERROR(__xludf.DUMMYFUNCTION("""COMPUTED_VALUE"""),"Admin Support")</f>
        <v>Admin Support</v>
      </c>
      <c r="Q1089" s="1" t="str">
        <f>IFERROR(__xludf.DUMMYFUNCTION("""COMPUTED_VALUE"""),"red@canva.com")</f>
        <v>red@canva.com</v>
      </c>
      <c r="R1089" s="1" t="str">
        <f>IFERROR(__xludf.DUMMYFUNCTION("""COMPUTED_VALUE"""),"Red Dela Rosa")</f>
        <v>Red Dela Rosa</v>
      </c>
      <c r="S1089" s="1">
        <f>IFERROR(__xludf.DUMMYFUNCTION("""COMPUTED_VALUE"""),2.5)</f>
        <v>2.5</v>
      </c>
      <c r="T1089" s="1">
        <f>IFERROR(__xludf.DUMMYFUNCTION("""COMPUTED_VALUE"""),16.92)</f>
        <v>16.92</v>
      </c>
      <c r="U1089" s="2">
        <f>IFERROR(__xludf.DUMMYFUNCTION("""COMPUTED_VALUE"""),19.42)</f>
        <v>19.42</v>
      </c>
      <c r="V1089" s="1" t="str">
        <f>IFERROR(__xludf.DUMMYFUNCTION("""COMPUTED_VALUE"""),"Pau Palmero")</f>
        <v>Pau Palmero</v>
      </c>
      <c r="W1089" s="1" t="str">
        <f>IFERROR(__xludf.DUMMYFUNCTION("""COMPUTED_VALUE"""),"Admin Omni Support")</f>
        <v>Admin Omni Support</v>
      </c>
    </row>
    <row r="1090">
      <c r="O1090" s="1" t="str">
        <f>IFERROR(__xludf.DUMMYFUNCTION("""COMPUTED_VALUE"""),"2025 Sep")</f>
        <v>2025 Sep</v>
      </c>
      <c r="P1090" s="1" t="str">
        <f>IFERROR(__xludf.DUMMYFUNCTION("""COMPUTED_VALUE"""),"Admin Support")</f>
        <v>Admin Support</v>
      </c>
      <c r="Q1090" s="1" t="str">
        <f>IFERROR(__xludf.DUMMYFUNCTION("""COMPUTED_VALUE"""),"regie@canva.com")</f>
        <v>regie@canva.com</v>
      </c>
      <c r="R1090" s="1" t="str">
        <f>IFERROR(__xludf.DUMMYFUNCTION("""COMPUTED_VALUE"""),"Regie Yambot")</f>
        <v>Regie Yambot</v>
      </c>
      <c r="S1090" s="1">
        <f>IFERROR(__xludf.DUMMYFUNCTION("""COMPUTED_VALUE"""),1.92)</f>
        <v>1.92</v>
      </c>
      <c r="T1090" s="1">
        <f>IFERROR(__xludf.DUMMYFUNCTION("""COMPUTED_VALUE"""),11.22)</f>
        <v>11.22</v>
      </c>
      <c r="U1090" s="2">
        <f>IFERROR(__xludf.DUMMYFUNCTION("""COMPUTED_VALUE"""),13.14)</f>
        <v>13.14</v>
      </c>
      <c r="V1090" s="1" t="str">
        <f>IFERROR(__xludf.DUMMYFUNCTION("""COMPUTED_VALUE"""),"Pau Palmero")</f>
        <v>Pau Palmero</v>
      </c>
      <c r="W1090" s="1" t="str">
        <f>IFERROR(__xludf.DUMMYFUNCTION("""COMPUTED_VALUE"""),"Admin Omni Support")</f>
        <v>Admin Omni Support</v>
      </c>
    </row>
    <row r="1091">
      <c r="O1091" s="1" t="str">
        <f>IFERROR(__xludf.DUMMYFUNCTION("""COMPUTED_VALUE"""),"2025 Sep")</f>
        <v>2025 Sep</v>
      </c>
      <c r="P1091" s="1" t="str">
        <f>IFERROR(__xludf.DUMMYFUNCTION("""COMPUTED_VALUE"""),"Core Product Support")</f>
        <v>Core Product Support</v>
      </c>
      <c r="Q1091" s="1" t="str">
        <f>IFERROR(__xludf.DUMMYFUNCTION("""COMPUTED_VALUE"""),"rej@canva.com")</f>
        <v>rej@canva.com</v>
      </c>
      <c r="R1091" s="1" t="str">
        <f>IFERROR(__xludf.DUMMYFUNCTION("""COMPUTED_VALUE"""),"Rej Benipayo")</f>
        <v>Rej Benipayo</v>
      </c>
      <c r="S1091" s="1">
        <f>IFERROR(__xludf.DUMMYFUNCTION("""COMPUTED_VALUE"""),0.5)</f>
        <v>0.5</v>
      </c>
      <c r="T1091" s="1">
        <f>IFERROR(__xludf.DUMMYFUNCTION("""COMPUTED_VALUE"""),18.25)</f>
        <v>18.25</v>
      </c>
      <c r="U1091" s="2">
        <f>IFERROR(__xludf.DUMMYFUNCTION("""COMPUTED_VALUE"""),18.75)</f>
        <v>18.75</v>
      </c>
      <c r="V1091" s="1" t="str">
        <f>IFERROR(__xludf.DUMMYFUNCTION("""COMPUTED_VALUE"""),"Renette Bok")</f>
        <v>Renette Bok</v>
      </c>
      <c r="W1091" s="1" t="str">
        <f>IFERROR(__xludf.DUMMYFUNCTION("""COMPUTED_VALUE"""),"Advanced Billing &amp; Subscriptions")</f>
        <v>Advanced Billing &amp; Subscriptions</v>
      </c>
    </row>
    <row r="1092">
      <c r="O1092" s="1" t="str">
        <f>IFERROR(__xludf.DUMMYFUNCTION("""COMPUTED_VALUE"""),"2025 Sep")</f>
        <v>2025 Sep</v>
      </c>
      <c r="P1092" s="1" t="str">
        <f>IFERROR(__xludf.DUMMYFUNCTION("""COMPUTED_VALUE"""),"Core Product Support")</f>
        <v>Core Product Support</v>
      </c>
      <c r="Q1092" s="1" t="str">
        <f>IFERROR(__xludf.DUMMYFUNCTION("""COMPUTED_VALUE"""),"revisuarez@canva.com")</f>
        <v>revisuarez@canva.com</v>
      </c>
      <c r="R1092" s="1" t="str">
        <f>IFERROR(__xludf.DUMMYFUNCTION("""COMPUTED_VALUE"""),"Revi Suarez")</f>
        <v>Revi Suarez</v>
      </c>
      <c r="S1092" s="1">
        <f>IFERROR(__xludf.DUMMYFUNCTION("""COMPUTED_VALUE"""),1.0)</f>
        <v>1</v>
      </c>
      <c r="T1092" s="1">
        <f>IFERROR(__xludf.DUMMYFUNCTION("""COMPUTED_VALUE"""),9.25)</f>
        <v>9.25</v>
      </c>
      <c r="U1092" s="2">
        <f>IFERROR(__xludf.DUMMYFUNCTION("""COMPUTED_VALUE"""),10.25)</f>
        <v>10.25</v>
      </c>
      <c r="V1092" s="1" t="str">
        <f>IFERROR(__xludf.DUMMYFUNCTION("""COMPUTED_VALUE"""),"Jelyn Elmido")</f>
        <v>Jelyn Elmido</v>
      </c>
      <c r="W1092" s="1" t="str">
        <f>IFERROR(__xludf.DUMMYFUNCTION("""COMPUTED_VALUE"""),"Core Product Support Escalation Team")</f>
        <v>Core Product Support Escalation Team</v>
      </c>
    </row>
    <row r="1093">
      <c r="O1093" s="1" t="str">
        <f>IFERROR(__xludf.DUMMYFUNCTION("""COMPUTED_VALUE"""),"2025 Sep")</f>
        <v>2025 Sep</v>
      </c>
      <c r="P1093" s="1" t="str">
        <f>IFERROR(__xludf.DUMMYFUNCTION("""COMPUTED_VALUE"""),"High Sensitivity Support")</f>
        <v>High Sensitivity Support</v>
      </c>
      <c r="Q1093" s="1" t="str">
        <f>IFERROR(__xludf.DUMMYFUNCTION("""COMPUTED_VALUE"""),"reya@canva.com")</f>
        <v>reya@canva.com</v>
      </c>
      <c r="R1093" s="1" t="str">
        <f>IFERROR(__xludf.DUMMYFUNCTION("""COMPUTED_VALUE"""),"Reya Joson")</f>
        <v>Reya Joson</v>
      </c>
      <c r="S1093" s="1"/>
      <c r="T1093" s="1">
        <f>IFERROR(__xludf.DUMMYFUNCTION("""COMPUTED_VALUE"""),7.63)</f>
        <v>7.63</v>
      </c>
      <c r="U1093" s="2">
        <f>IFERROR(__xludf.DUMMYFUNCTION("""COMPUTED_VALUE"""),7.63)</f>
        <v>7.63</v>
      </c>
      <c r="V1093" s="1" t="str">
        <f>IFERROR(__xludf.DUMMYFUNCTION("""COMPUTED_VALUE"""),"Issi Afable")</f>
        <v>Issi Afable</v>
      </c>
      <c r="W1093" s="1" t="str">
        <f>IFERROR(__xludf.DUMMYFUNCTION("""COMPUTED_VALUE"""),"High Sensitivity Support PH")</f>
        <v>High Sensitivity Support PH</v>
      </c>
    </row>
    <row r="1094">
      <c r="O1094" s="1" t="str">
        <f>IFERROR(__xludf.DUMMYFUNCTION("""COMPUTED_VALUE"""),"2025 Sep")</f>
        <v>2025 Sep</v>
      </c>
      <c r="P1094" s="1" t="str">
        <f>IFERROR(__xludf.DUMMYFUNCTION("""COMPUTED_VALUE"""),"Segment-specific Support")</f>
        <v>Segment-specific Support</v>
      </c>
      <c r="Q1094" s="1" t="str">
        <f>IFERROR(__xludf.DUMMYFUNCTION("""COMPUTED_VALUE"""),"rizzah@canva.com")</f>
        <v>rizzah@canva.com</v>
      </c>
      <c r="R1094" s="1" t="str">
        <f>IFERROR(__xludf.DUMMYFUNCTION("""COMPUTED_VALUE"""),"Rizzah Hope Anjao")</f>
        <v>Rizzah Hope Anjao</v>
      </c>
      <c r="S1094" s="1">
        <f>IFERROR(__xludf.DUMMYFUNCTION("""COMPUTED_VALUE"""),2.5)</f>
        <v>2.5</v>
      </c>
      <c r="T1094" s="1">
        <f>IFERROR(__xludf.DUMMYFUNCTION("""COMPUTED_VALUE"""),0.0)</f>
        <v>0</v>
      </c>
      <c r="U1094" s="2">
        <f>IFERROR(__xludf.DUMMYFUNCTION("""COMPUTED_VALUE"""),2.5)</f>
        <v>2.5</v>
      </c>
      <c r="V1094" s="1" t="str">
        <f>IFERROR(__xludf.DUMMYFUNCTION("""COMPUTED_VALUE"""),"Gucci Nava")</f>
        <v>Gucci Nava</v>
      </c>
      <c r="W1094" s="1" t="str">
        <f>IFERROR(__xludf.DUMMYFUNCTION("""COMPUTED_VALUE"""),"Affinity Support")</f>
        <v>Affinity Support</v>
      </c>
    </row>
    <row r="1095">
      <c r="O1095" s="1" t="str">
        <f>IFERROR(__xludf.DUMMYFUNCTION("""COMPUTED_VALUE"""),"2025 Sep")</f>
        <v>2025 Sep</v>
      </c>
      <c r="P1095" s="1" t="str">
        <f>IFERROR(__xludf.DUMMYFUNCTION("""COMPUTED_VALUE"""),"Print Support")</f>
        <v>Print Support</v>
      </c>
      <c r="Q1095" s="1" t="str">
        <f>IFERROR(__xludf.DUMMYFUNCTION("""COMPUTED_VALUE"""),"robsuico@canva.com")</f>
        <v>robsuico@canva.com</v>
      </c>
      <c r="R1095" s="1" t="str">
        <f>IFERROR(__xludf.DUMMYFUNCTION("""COMPUTED_VALUE"""),"Robin Suico")</f>
        <v>Robin Suico</v>
      </c>
      <c r="S1095" s="1">
        <f>IFERROR(__xludf.DUMMYFUNCTION("""COMPUTED_VALUE"""),8.58)</f>
        <v>8.58</v>
      </c>
      <c r="T1095" s="1">
        <f>IFERROR(__xludf.DUMMYFUNCTION("""COMPUTED_VALUE"""),0.92)</f>
        <v>0.92</v>
      </c>
      <c r="U1095" s="2">
        <f>IFERROR(__xludf.DUMMYFUNCTION("""COMPUTED_VALUE"""),9.5)</f>
        <v>9.5</v>
      </c>
      <c r="V1095" s="1" t="str">
        <f>IFERROR(__xludf.DUMMYFUNCTION("""COMPUTED_VALUE"""),"Aliza Dote")</f>
        <v>Aliza Dote</v>
      </c>
      <c r="W1095" s="1" t="str">
        <f>IFERROR(__xludf.DUMMYFUNCTION("""COMPUTED_VALUE"""),"Print Design Support")</f>
        <v>Print Design Support</v>
      </c>
    </row>
    <row r="1096">
      <c r="O1096" s="1" t="str">
        <f>IFERROR(__xludf.DUMMYFUNCTION("""COMPUTED_VALUE"""),"2025 Sep")</f>
        <v>2025 Sep</v>
      </c>
      <c r="P1096" s="1" t="str">
        <f>IFERROR(__xludf.DUMMYFUNCTION("""COMPUTED_VALUE"""),"Core Product Support")</f>
        <v>Core Product Support</v>
      </c>
      <c r="Q1096" s="1" t="str">
        <f>IFERROR(__xludf.DUMMYFUNCTION("""COMPUTED_VALUE"""),"ronally@canva.com")</f>
        <v>ronally@canva.com</v>
      </c>
      <c r="R1096" s="1" t="str">
        <f>IFERROR(__xludf.DUMMYFUNCTION("""COMPUTED_VALUE"""),"Ronally Romero")</f>
        <v>Ronally Romero</v>
      </c>
      <c r="S1096" s="1">
        <f>IFERROR(__xludf.DUMMYFUNCTION("""COMPUTED_VALUE"""),6.68)</f>
        <v>6.68</v>
      </c>
      <c r="T1096" s="1">
        <f>IFERROR(__xludf.DUMMYFUNCTION("""COMPUTED_VALUE"""),12.5)</f>
        <v>12.5</v>
      </c>
      <c r="U1096" s="2">
        <f>IFERROR(__xludf.DUMMYFUNCTION("""COMPUTED_VALUE"""),19.18)</f>
        <v>19.18</v>
      </c>
      <c r="V1096" s="1" t="str">
        <f>IFERROR(__xludf.DUMMYFUNCTION("""COMPUTED_VALUE"""),"Cate Velasco")</f>
        <v>Cate Velasco</v>
      </c>
      <c r="W1096" s="1" t="str">
        <f>IFERROR(__xludf.DUMMYFUNCTION("""COMPUTED_VALUE"""),"Advanced Product Support")</f>
        <v>Advanced Product Support</v>
      </c>
    </row>
    <row r="1097">
      <c r="O1097" s="1" t="str">
        <f>IFERROR(__xludf.DUMMYFUNCTION("""COMPUTED_VALUE"""),"2025 Sep")</f>
        <v>2025 Sep</v>
      </c>
      <c r="P1097" s="1" t="str">
        <f>IFERROR(__xludf.DUMMYFUNCTION("""COMPUTED_VALUE"""),"Core Product Support")</f>
        <v>Core Product Support</v>
      </c>
      <c r="Q1097" s="1" t="str">
        <f>IFERROR(__xludf.DUMMYFUNCTION("""COMPUTED_VALUE"""),"rvalderrama@canva.com")</f>
        <v>rvalderrama@canva.com</v>
      </c>
      <c r="R1097" s="1" t="str">
        <f>IFERROR(__xludf.DUMMYFUNCTION("""COMPUTED_VALUE"""),"Rony Valderrama")</f>
        <v>Rony Valderrama</v>
      </c>
      <c r="S1097" s="1"/>
      <c r="T1097" s="1">
        <f>IFERROR(__xludf.DUMMYFUNCTION("""COMPUTED_VALUE"""),16.0)</f>
        <v>16</v>
      </c>
      <c r="U1097" s="2">
        <f>IFERROR(__xludf.DUMMYFUNCTION("""COMPUTED_VALUE"""),16.0)</f>
        <v>16</v>
      </c>
      <c r="V1097" s="1" t="str">
        <f>IFERROR(__xludf.DUMMYFUNCTION("""COMPUTED_VALUE"""),"Renette Bok")</f>
        <v>Renette Bok</v>
      </c>
      <c r="W1097" s="1" t="str">
        <f>IFERROR(__xludf.DUMMYFUNCTION("""COMPUTED_VALUE"""),"Advanced Billing &amp; Subscriptions")</f>
        <v>Advanced Billing &amp; Subscriptions</v>
      </c>
    </row>
    <row r="1098">
      <c r="O1098" s="1" t="str">
        <f>IFERROR(__xludf.DUMMYFUNCTION("""COMPUTED_VALUE"""),"2025 Sep")</f>
        <v>2025 Sep</v>
      </c>
      <c r="P1098" s="1" t="str">
        <f>IFERROR(__xludf.DUMMYFUNCTION("""COMPUTED_VALUE"""),"Core Product Support")</f>
        <v>Core Product Support</v>
      </c>
      <c r="Q1098" s="1" t="str">
        <f>IFERROR(__xludf.DUMMYFUNCTION("""COMPUTED_VALUE"""),"ronyl@canva.com")</f>
        <v>ronyl@canva.com</v>
      </c>
      <c r="R1098" s="1" t="str">
        <f>IFERROR(__xludf.DUMMYFUNCTION("""COMPUTED_VALUE"""),"Ronyl Masilang")</f>
        <v>Ronyl Masilang</v>
      </c>
      <c r="S1098" s="1">
        <f>IFERROR(__xludf.DUMMYFUNCTION("""COMPUTED_VALUE"""),6.25)</f>
        <v>6.25</v>
      </c>
      <c r="T1098" s="1">
        <f>IFERROR(__xludf.DUMMYFUNCTION("""COMPUTED_VALUE"""),12.5)</f>
        <v>12.5</v>
      </c>
      <c r="U1098" s="2">
        <f>IFERROR(__xludf.DUMMYFUNCTION("""COMPUTED_VALUE"""),18.75)</f>
        <v>18.75</v>
      </c>
      <c r="V1098" s="1" t="str">
        <f>IFERROR(__xludf.DUMMYFUNCTION("""COMPUTED_VALUE"""),"Cate Velasco")</f>
        <v>Cate Velasco</v>
      </c>
      <c r="W1098" s="1" t="str">
        <f>IFERROR(__xludf.DUMMYFUNCTION("""COMPUTED_VALUE"""),"Advanced Product Support")</f>
        <v>Advanced Product Support</v>
      </c>
    </row>
    <row r="1099">
      <c r="O1099" s="1" t="str">
        <f>IFERROR(__xludf.DUMMYFUNCTION("""COMPUTED_VALUE"""),"2025 Sep")</f>
        <v>2025 Sep</v>
      </c>
      <c r="P1099" s="1" t="str">
        <f>IFERROR(__xludf.DUMMYFUNCTION("""COMPUTED_VALUE"""),"Core Product Support")</f>
        <v>Core Product Support</v>
      </c>
      <c r="Q1099" s="1" t="str">
        <f>IFERROR(__xludf.DUMMYFUNCTION("""COMPUTED_VALUE"""),"rounette@canva.com")</f>
        <v>rounette@canva.com</v>
      </c>
      <c r="R1099" s="1" t="str">
        <f>IFERROR(__xludf.DUMMYFUNCTION("""COMPUTED_VALUE"""),"Rounette Natividad")</f>
        <v>Rounette Natividad</v>
      </c>
      <c r="S1099" s="1">
        <f>IFERROR(__xludf.DUMMYFUNCTION("""COMPUTED_VALUE"""),1.25)</f>
        <v>1.25</v>
      </c>
      <c r="T1099" s="1">
        <f>IFERROR(__xludf.DUMMYFUNCTION("""COMPUTED_VALUE"""),15.25)</f>
        <v>15.25</v>
      </c>
      <c r="U1099" s="2">
        <f>IFERROR(__xludf.DUMMYFUNCTION("""COMPUTED_VALUE"""),16.5)</f>
        <v>16.5</v>
      </c>
      <c r="V1099" s="1" t="str">
        <f>IFERROR(__xludf.DUMMYFUNCTION("""COMPUTED_VALUE"""),"Mikhaela Decangchon")</f>
        <v>Mikhaela Decangchon</v>
      </c>
      <c r="W1099" s="1" t="str">
        <f>IFERROR(__xludf.DUMMYFUNCTION("""COMPUTED_VALUE"""),"Advanced Product Support")</f>
        <v>Advanced Product Support</v>
      </c>
    </row>
    <row r="1100">
      <c r="O1100" s="1" t="str">
        <f>IFERROR(__xludf.DUMMYFUNCTION("""COMPUTED_VALUE"""),"2025 Sep")</f>
        <v>2025 Sep</v>
      </c>
      <c r="P1100" s="1" t="str">
        <f>IFERROR(__xludf.DUMMYFUNCTION("""COMPUTED_VALUE"""),"Admin Support")</f>
        <v>Admin Support</v>
      </c>
      <c r="Q1100" s="1" t="str">
        <f>IFERROR(__xludf.DUMMYFUNCTION("""COMPUTED_VALUE"""),"rovie@canva.com")</f>
        <v>rovie@canva.com</v>
      </c>
      <c r="R1100" s="1" t="str">
        <f>IFERROR(__xludf.DUMMYFUNCTION("""COMPUTED_VALUE"""),"Rovie Hawang")</f>
        <v>Rovie Hawang</v>
      </c>
      <c r="S1100" s="1"/>
      <c r="T1100" s="1">
        <f>IFERROR(__xludf.DUMMYFUNCTION("""COMPUTED_VALUE"""),9.5)</f>
        <v>9.5</v>
      </c>
      <c r="U1100" s="2">
        <f>IFERROR(__xludf.DUMMYFUNCTION("""COMPUTED_VALUE"""),9.5)</f>
        <v>9.5</v>
      </c>
      <c r="V1100" s="1" t="str">
        <f>IFERROR(__xludf.DUMMYFUNCTION("""COMPUTED_VALUE"""),"Kelden Laguting")</f>
        <v>Kelden Laguting</v>
      </c>
      <c r="W1100" s="1" t="str">
        <f>IFERROR(__xludf.DUMMYFUNCTION("""COMPUTED_VALUE"""),"Admin Omni Support")</f>
        <v>Admin Omni Support</v>
      </c>
    </row>
    <row r="1101">
      <c r="O1101" s="1" t="str">
        <f>IFERROR(__xludf.DUMMYFUNCTION("""COMPUTED_VALUE"""),"2025 Sep")</f>
        <v>2025 Sep</v>
      </c>
      <c r="P1101" s="1" t="str">
        <f>IFERROR(__xludf.DUMMYFUNCTION("""COMPUTED_VALUE"""),"Admin Support")</f>
        <v>Admin Support</v>
      </c>
      <c r="Q1101" s="1" t="str">
        <f>IFERROR(__xludf.DUMMYFUNCTION("""COMPUTED_VALUE"""),"roxanne@canva.com")</f>
        <v>roxanne@canva.com</v>
      </c>
      <c r="R1101" s="1" t="str">
        <f>IFERROR(__xludf.DUMMYFUNCTION("""COMPUTED_VALUE"""),"Roxanne Joy Capunayan")</f>
        <v>Roxanne Joy Capunayan</v>
      </c>
      <c r="S1101" s="1">
        <f>IFERROR(__xludf.DUMMYFUNCTION("""COMPUTED_VALUE"""),2.17)</f>
        <v>2.17</v>
      </c>
      <c r="T1101" s="1">
        <f>IFERROR(__xludf.DUMMYFUNCTION("""COMPUTED_VALUE"""),5.83)</f>
        <v>5.83</v>
      </c>
      <c r="U1101" s="2">
        <f>IFERROR(__xludf.DUMMYFUNCTION("""COMPUTED_VALUE"""),8.0)</f>
        <v>8</v>
      </c>
      <c r="V1101" s="1" t="str">
        <f>IFERROR(__xludf.DUMMYFUNCTION("""COMPUTED_VALUE"""),"Ann Dumlao")</f>
        <v>Ann Dumlao</v>
      </c>
      <c r="W1101" s="1" t="str">
        <f>IFERROR(__xludf.DUMMYFUNCTION("""COMPUTED_VALUE"""),"Admin Omni Support")</f>
        <v>Admin Omni Support</v>
      </c>
    </row>
    <row r="1102">
      <c r="O1102" s="1" t="str">
        <f>IFERROR(__xludf.DUMMYFUNCTION("""COMPUTED_VALUE"""),"2025 Sep")</f>
        <v>2025 Sep</v>
      </c>
      <c r="P1102" s="1" t="str">
        <f>IFERROR(__xludf.DUMMYFUNCTION("""COMPUTED_VALUE"""),"Core Product Support")</f>
        <v>Core Product Support</v>
      </c>
      <c r="Q1102" s="1" t="str">
        <f>IFERROR(__xludf.DUMMYFUNCTION("""COMPUTED_VALUE"""),"rozelp@canva.com")</f>
        <v>rozelp@canva.com</v>
      </c>
      <c r="R1102" s="1" t="str">
        <f>IFERROR(__xludf.DUMMYFUNCTION("""COMPUTED_VALUE"""),"Rozel Punsalan")</f>
        <v>Rozel Punsalan</v>
      </c>
      <c r="S1102" s="1">
        <f>IFERROR(__xludf.DUMMYFUNCTION("""COMPUTED_VALUE"""),0.5)</f>
        <v>0.5</v>
      </c>
      <c r="T1102" s="1">
        <f>IFERROR(__xludf.DUMMYFUNCTION("""COMPUTED_VALUE"""),12.91)</f>
        <v>12.91</v>
      </c>
      <c r="U1102" s="2">
        <f>IFERROR(__xludf.DUMMYFUNCTION("""COMPUTED_VALUE"""),13.41)</f>
        <v>13.41</v>
      </c>
      <c r="V1102" s="1" t="str">
        <f>IFERROR(__xludf.DUMMYFUNCTION("""COMPUTED_VALUE"""),"Marie Mordeno")</f>
        <v>Marie Mordeno</v>
      </c>
      <c r="W1102" s="1" t="str">
        <f>IFERROR(__xludf.DUMMYFUNCTION("""COMPUTED_VALUE"""),"Advanced Billing &amp; Subscriptions")</f>
        <v>Advanced Billing &amp; Subscriptions</v>
      </c>
    </row>
    <row r="1103">
      <c r="O1103" s="1" t="str">
        <f>IFERROR(__xludf.DUMMYFUNCTION("""COMPUTED_VALUE"""),"2025 Sep")</f>
        <v>2025 Sep</v>
      </c>
      <c r="P1103" s="1" t="str">
        <f>IFERROR(__xludf.DUMMYFUNCTION("""COMPUTED_VALUE"""),"Core Product Support")</f>
        <v>Core Product Support</v>
      </c>
      <c r="Q1103" s="1" t="str">
        <f>IFERROR(__xludf.DUMMYFUNCTION("""COMPUTED_VALUE"""),"rozie@canva.com")</f>
        <v>rozie@canva.com</v>
      </c>
      <c r="R1103" s="1" t="str">
        <f>IFERROR(__xludf.DUMMYFUNCTION("""COMPUTED_VALUE"""),"Rozie Gumba - Flex Program Data Team")</f>
        <v>Rozie Gumba - Flex Program Data Team</v>
      </c>
      <c r="S1103" s="1"/>
      <c r="T1103" s="1">
        <f>IFERROR(__xludf.DUMMYFUNCTION("""COMPUTED_VALUE"""),18.83)</f>
        <v>18.83</v>
      </c>
      <c r="U1103" s="2">
        <f>IFERROR(__xludf.DUMMYFUNCTION("""COMPUTED_VALUE"""),18.83)</f>
        <v>18.83</v>
      </c>
      <c r="V1103" s="1" t="str">
        <f>IFERROR(__xludf.DUMMYFUNCTION("""COMPUTED_VALUE"""),"Ayza Marie Pascual")</f>
        <v>Ayza Marie Pascual</v>
      </c>
      <c r="W1103" s="1" t="str">
        <f>IFERROR(__xludf.DUMMYFUNCTION("""COMPUTED_VALUE"""),"Advanced Billing &amp; Subscriptions")</f>
        <v>Advanced Billing &amp; Subscriptions</v>
      </c>
    </row>
    <row r="1104">
      <c r="O1104" s="1" t="str">
        <f>IFERROR(__xludf.DUMMYFUNCTION("""COMPUTED_VALUE"""),"2025 Sep")</f>
        <v>2025 Sep</v>
      </c>
      <c r="P1104" s="1" t="str">
        <f>IFERROR(__xludf.DUMMYFUNCTION("""COMPUTED_VALUE"""),"Core Product Support")</f>
        <v>Core Product Support</v>
      </c>
      <c r="Q1104" s="1" t="str">
        <f>IFERROR(__xludf.DUMMYFUNCTION("""COMPUTED_VALUE"""),"ruzel@canva.com")</f>
        <v>ruzel@canva.com</v>
      </c>
      <c r="R1104" s="1" t="str">
        <f>IFERROR(__xludf.DUMMYFUNCTION("""COMPUTED_VALUE"""),"Ruzel Raqueno")</f>
        <v>Ruzel Raqueno</v>
      </c>
      <c r="S1104" s="1">
        <f>IFERROR(__xludf.DUMMYFUNCTION("""COMPUTED_VALUE"""),1.0)</f>
        <v>1</v>
      </c>
      <c r="T1104" s="1">
        <f>IFERROR(__xludf.DUMMYFUNCTION("""COMPUTED_VALUE"""),3.25)</f>
        <v>3.25</v>
      </c>
      <c r="U1104" s="2">
        <f>IFERROR(__xludf.DUMMYFUNCTION("""COMPUTED_VALUE"""),4.25)</f>
        <v>4.25</v>
      </c>
      <c r="V1104" s="1" t="str">
        <f>IFERROR(__xludf.DUMMYFUNCTION("""COMPUTED_VALUE"""),"Ellaine Estayo")</f>
        <v>Ellaine Estayo</v>
      </c>
      <c r="W1104" s="1" t="str">
        <f>IFERROR(__xludf.DUMMYFUNCTION("""COMPUTED_VALUE"""),"Core Product Support Escalation Team")</f>
        <v>Core Product Support Escalation Team</v>
      </c>
    </row>
    <row r="1105">
      <c r="O1105" s="1" t="str">
        <f>IFERROR(__xludf.DUMMYFUNCTION("""COMPUTED_VALUE"""),"2025 Sep")</f>
        <v>2025 Sep</v>
      </c>
      <c r="P1105" s="1" t="str">
        <f>IFERROR(__xludf.DUMMYFUNCTION("""COMPUTED_VALUE"""),"Print Support")</f>
        <v>Print Support</v>
      </c>
      <c r="Q1105" s="1" t="str">
        <f>IFERROR(__xludf.DUMMYFUNCTION("""COMPUTED_VALUE"""),"rdominick@canva.com")</f>
        <v>rdominick@canva.com</v>
      </c>
      <c r="R1105" s="1" t="str">
        <f>IFERROR(__xludf.DUMMYFUNCTION("""COMPUTED_VALUE"""),"Ryan Dominick Razon")</f>
        <v>Ryan Dominick Razon</v>
      </c>
      <c r="S1105" s="1">
        <f>IFERROR(__xludf.DUMMYFUNCTION("""COMPUTED_VALUE"""),3.75)</f>
        <v>3.75</v>
      </c>
      <c r="T1105" s="1">
        <f>IFERROR(__xludf.DUMMYFUNCTION("""COMPUTED_VALUE"""),2.68)</f>
        <v>2.68</v>
      </c>
      <c r="U1105" s="2">
        <f>IFERROR(__xludf.DUMMYFUNCTION("""COMPUTED_VALUE"""),6.43)</f>
        <v>6.43</v>
      </c>
      <c r="V1105" s="1" t="str">
        <f>IFERROR(__xludf.DUMMYFUNCTION("""COMPUTED_VALUE"""),"Jen Momo")</f>
        <v>Jen Momo</v>
      </c>
      <c r="W1105" s="1" t="str">
        <f>IFERROR(__xludf.DUMMYFUNCTION("""COMPUTED_VALUE"""),"Print Support PH")</f>
        <v>Print Support PH</v>
      </c>
    </row>
    <row r="1106">
      <c r="O1106" s="1" t="str">
        <f>IFERROR(__xludf.DUMMYFUNCTION("""COMPUTED_VALUE"""),"2025 Sep")</f>
        <v>2025 Sep</v>
      </c>
      <c r="P1106" s="1" t="str">
        <f>IFERROR(__xludf.DUMMYFUNCTION("""COMPUTED_VALUE"""),"Segment-specific Support")</f>
        <v>Segment-specific Support</v>
      </c>
      <c r="Q1106" s="1" t="str">
        <f>IFERROR(__xludf.DUMMYFUNCTION("""COMPUTED_VALUE"""),"sammiee@canva.com")</f>
        <v>sammiee@canva.com</v>
      </c>
      <c r="R1106" s="1" t="str">
        <f>IFERROR(__xludf.DUMMYFUNCTION("""COMPUTED_VALUE"""),"Sam Espelimbergo")</f>
        <v>Sam Espelimbergo</v>
      </c>
      <c r="S1106" s="1">
        <f>IFERROR(__xludf.DUMMYFUNCTION("""COMPUTED_VALUE"""),3.5)</f>
        <v>3.5</v>
      </c>
      <c r="T1106" s="1">
        <f>IFERROR(__xludf.DUMMYFUNCTION("""COMPUTED_VALUE"""),1.0)</f>
        <v>1</v>
      </c>
      <c r="U1106" s="2">
        <f>IFERROR(__xludf.DUMMYFUNCTION("""COMPUTED_VALUE"""),4.5)</f>
        <v>4.5</v>
      </c>
      <c r="V1106" s="1" t="str">
        <f>IFERROR(__xludf.DUMMYFUNCTION("""COMPUTED_VALUE"""),"Aileen Dayanghirang")</f>
        <v>Aileen Dayanghirang</v>
      </c>
      <c r="W1106" s="1" t="str">
        <f>IFERROR(__xludf.DUMMYFUNCTION("""COMPUTED_VALUE"""),"Creators Support")</f>
        <v>Creators Support</v>
      </c>
    </row>
    <row r="1107">
      <c r="O1107" s="1" t="str">
        <f>IFERROR(__xludf.DUMMYFUNCTION("""COMPUTED_VALUE"""),"2025 Sep")</f>
        <v>2025 Sep</v>
      </c>
      <c r="P1107" s="1" t="str">
        <f>IFERROR(__xludf.DUMMYFUNCTION("""COMPUTED_VALUE"""),"Admin Support")</f>
        <v>Admin Support</v>
      </c>
      <c r="Q1107" s="1" t="str">
        <f>IFERROR(__xludf.DUMMYFUNCTION("""COMPUTED_VALUE"""),"simber@canva.com")</f>
        <v>simber@canva.com</v>
      </c>
      <c r="R1107" s="1" t="str">
        <f>IFERROR(__xludf.DUMMYFUNCTION("""COMPUTED_VALUE"""),"Sean Imber")</f>
        <v>Sean Imber</v>
      </c>
      <c r="S1107" s="1"/>
      <c r="T1107" s="1">
        <f>IFERROR(__xludf.DUMMYFUNCTION("""COMPUTED_VALUE"""),2.25)</f>
        <v>2.25</v>
      </c>
      <c r="U1107" s="2">
        <f>IFERROR(__xludf.DUMMYFUNCTION("""COMPUTED_VALUE"""),2.25)</f>
        <v>2.25</v>
      </c>
      <c r="V1107" s="1" t="str">
        <f>IFERROR(__xludf.DUMMYFUNCTION("""COMPUTED_VALUE"""),"Elise Cesario Mendes")</f>
        <v>Elise Cesario Mendes</v>
      </c>
      <c r="W1107" s="1" t="str">
        <f>IFERROR(__xludf.DUMMYFUNCTION("""COMPUTED_VALUE"""),"Admin Support APJ")</f>
        <v>Admin Support APJ</v>
      </c>
    </row>
    <row r="1108">
      <c r="O1108" s="1" t="str">
        <f>IFERROR(__xludf.DUMMYFUNCTION("""COMPUTED_VALUE"""),"2025 Sep")</f>
        <v>2025 Sep</v>
      </c>
      <c r="P1108" s="1" t="str">
        <f>IFERROR(__xludf.DUMMYFUNCTION("""COMPUTED_VALUE"""),"#N/A")</f>
        <v>#N/A</v>
      </c>
      <c r="Q1108" s="1" t="str">
        <f>IFERROR(__xludf.DUMMYFUNCTION("""COMPUTED_VALUE"""),"selle@canva.com")</f>
        <v>selle@canva.com</v>
      </c>
      <c r="R1108" s="1" t="str">
        <f>IFERROR(__xludf.DUMMYFUNCTION("""COMPUTED_VALUE"""),"Selle Falculan")</f>
        <v>Selle Falculan</v>
      </c>
      <c r="S1108" s="1">
        <f>IFERROR(__xludf.DUMMYFUNCTION("""COMPUTED_VALUE"""),3.0)</f>
        <v>3</v>
      </c>
      <c r="T1108" s="1">
        <f>IFERROR(__xludf.DUMMYFUNCTION("""COMPUTED_VALUE"""),0.0)</f>
        <v>0</v>
      </c>
      <c r="U1108" s="2">
        <f>IFERROR(__xludf.DUMMYFUNCTION("""COMPUTED_VALUE"""),3.0)</f>
        <v>3</v>
      </c>
      <c r="V1108" s="1" t="str">
        <f>IFERROR(__xludf.DUMMYFUNCTION("""COMPUTED_VALUE"""),"#N/A")</f>
        <v>#N/A</v>
      </c>
      <c r="W1108" s="1" t="str">
        <f>IFERROR(__xludf.DUMMYFUNCTION("""COMPUTED_VALUE"""),"#N/A")</f>
        <v>#N/A</v>
      </c>
    </row>
    <row r="1109">
      <c r="O1109" s="1" t="str">
        <f>IFERROR(__xludf.DUMMYFUNCTION("""COMPUTED_VALUE"""),"2025 Sep")</f>
        <v>2025 Sep</v>
      </c>
      <c r="P1109" s="1" t="str">
        <f>IFERROR(__xludf.DUMMYFUNCTION("""COMPUTED_VALUE"""),"High Sensitivity Support")</f>
        <v>High Sensitivity Support</v>
      </c>
      <c r="Q1109" s="1" t="str">
        <f>IFERROR(__xludf.DUMMYFUNCTION("""COMPUTED_VALUE"""),"sbaldonado@canva.com")</f>
        <v>sbaldonado@canva.com</v>
      </c>
      <c r="R1109" s="1" t="str">
        <f>IFERROR(__xludf.DUMMYFUNCTION("""COMPUTED_VALUE"""),"Sheira Nicole Baldonado")</f>
        <v>Sheira Nicole Baldonado</v>
      </c>
      <c r="S1109" s="1">
        <f>IFERROR(__xludf.DUMMYFUNCTION("""COMPUTED_VALUE"""),11.15)</f>
        <v>11.15</v>
      </c>
      <c r="T1109" s="1">
        <f>IFERROR(__xludf.DUMMYFUNCTION("""COMPUTED_VALUE"""),0.25)</f>
        <v>0.25</v>
      </c>
      <c r="U1109" s="2">
        <f>IFERROR(__xludf.DUMMYFUNCTION("""COMPUTED_VALUE"""),11.4)</f>
        <v>11.4</v>
      </c>
      <c r="V1109" s="1" t="str">
        <f>IFERROR(__xludf.DUMMYFUNCTION("""COMPUTED_VALUE"""),"Rex Villamor")</f>
        <v>Rex Villamor</v>
      </c>
      <c r="W1109" s="1" t="str">
        <f>IFERROR(__xludf.DUMMYFUNCTION("""COMPUTED_VALUE"""),"High Sensitivity Support PH")</f>
        <v>High Sensitivity Support PH</v>
      </c>
    </row>
    <row r="1110">
      <c r="O1110" s="1" t="str">
        <f>IFERROR(__xludf.DUMMYFUNCTION("""COMPUTED_VALUE"""),"2025 Sep")</f>
        <v>2025 Sep</v>
      </c>
      <c r="P1110" s="1" t="str">
        <f>IFERROR(__xludf.DUMMYFUNCTION("""COMPUTED_VALUE"""),"Core Product Support")</f>
        <v>Core Product Support</v>
      </c>
      <c r="Q1110" s="1" t="str">
        <f>IFERROR(__xludf.DUMMYFUNCTION("""COMPUTED_VALUE"""),"sophiae@canva.com")</f>
        <v>sophiae@canva.com</v>
      </c>
      <c r="R1110" s="1" t="str">
        <f>IFERROR(__xludf.DUMMYFUNCTION("""COMPUTED_VALUE"""),"Sophia Ermac")</f>
        <v>Sophia Ermac</v>
      </c>
      <c r="S1110" s="1">
        <f>IFERROR(__xludf.DUMMYFUNCTION("""COMPUTED_VALUE"""),1.25)</f>
        <v>1.25</v>
      </c>
      <c r="T1110" s="1">
        <f>IFERROR(__xludf.DUMMYFUNCTION("""COMPUTED_VALUE"""),8.4)</f>
        <v>8.4</v>
      </c>
      <c r="U1110" s="2">
        <f>IFERROR(__xludf.DUMMYFUNCTION("""COMPUTED_VALUE"""),9.65)</f>
        <v>9.65</v>
      </c>
      <c r="V1110" s="1" t="str">
        <f>IFERROR(__xludf.DUMMYFUNCTION("""COMPUTED_VALUE"""),"Ana Lazaro")</f>
        <v>Ana Lazaro</v>
      </c>
      <c r="W1110" s="1" t="str">
        <f>IFERROR(__xludf.DUMMYFUNCTION("""COMPUTED_VALUE"""),"Advanced Billing &amp; Subscriptions")</f>
        <v>Advanced Billing &amp; Subscriptions</v>
      </c>
    </row>
    <row r="1111">
      <c r="O1111" s="1" t="str">
        <f>IFERROR(__xludf.DUMMYFUNCTION("""COMPUTED_VALUE"""),"2025 Sep")</f>
        <v>2025 Sep</v>
      </c>
      <c r="P1111" s="1" t="str">
        <f>IFERROR(__xludf.DUMMYFUNCTION("""COMPUTED_VALUE"""),"Admin Support")</f>
        <v>Admin Support</v>
      </c>
      <c r="Q1111" s="1" t="str">
        <f>IFERROR(__xludf.DUMMYFUNCTION("""COMPUTED_VALUE"""),"stephanie.t@canva.com")</f>
        <v>stephanie.t@canva.com</v>
      </c>
      <c r="R1111" s="1" t="str">
        <f>IFERROR(__xludf.DUMMYFUNCTION("""COMPUTED_VALUE"""),"Stephanie Lyn Tan")</f>
        <v>Stephanie Lyn Tan</v>
      </c>
      <c r="S1111" s="1"/>
      <c r="T1111" s="1">
        <f>IFERROR(__xludf.DUMMYFUNCTION("""COMPUTED_VALUE"""),9.25)</f>
        <v>9.25</v>
      </c>
      <c r="U1111" s="2">
        <f>IFERROR(__xludf.DUMMYFUNCTION("""COMPUTED_VALUE"""),9.25)</f>
        <v>9.25</v>
      </c>
      <c r="V1111" s="1" t="str">
        <f>IFERROR(__xludf.DUMMYFUNCTION("""COMPUTED_VALUE"""),"Pau Palmero")</f>
        <v>Pau Palmero</v>
      </c>
      <c r="W1111" s="1" t="str">
        <f>IFERROR(__xludf.DUMMYFUNCTION("""COMPUTED_VALUE"""),"Admin Omni Support")</f>
        <v>Admin Omni Support</v>
      </c>
    </row>
    <row r="1112">
      <c r="O1112" s="1" t="str">
        <f>IFERROR(__xludf.DUMMYFUNCTION("""COMPUTED_VALUE"""),"2025 Sep")</f>
        <v>2025 Sep</v>
      </c>
      <c r="P1112" s="1" t="str">
        <f>IFERROR(__xludf.DUMMYFUNCTION("""COMPUTED_VALUE"""),"Admin Support")</f>
        <v>Admin Support</v>
      </c>
      <c r="Q1112" s="1" t="str">
        <f>IFERROR(__xludf.DUMMYFUNCTION("""COMPUTED_VALUE"""),"stephen.k@canva.com")</f>
        <v>stephen.k@canva.com</v>
      </c>
      <c r="R1112" s="1" t="str">
        <f>IFERROR(__xludf.DUMMYFUNCTION("""COMPUTED_VALUE"""),"Stephen Kahanap")</f>
        <v>Stephen Kahanap</v>
      </c>
      <c r="S1112" s="1">
        <f>IFERROR(__xludf.DUMMYFUNCTION("""COMPUTED_VALUE"""),2.5)</f>
        <v>2.5</v>
      </c>
      <c r="T1112" s="1">
        <f>IFERROR(__xludf.DUMMYFUNCTION("""COMPUTED_VALUE"""),11.08)</f>
        <v>11.08</v>
      </c>
      <c r="U1112" s="2">
        <f>IFERROR(__xludf.DUMMYFUNCTION("""COMPUTED_VALUE"""),13.58)</f>
        <v>13.58</v>
      </c>
      <c r="V1112" s="1" t="str">
        <f>IFERROR(__xludf.DUMMYFUNCTION("""COMPUTED_VALUE"""),"Ann Dumlao")</f>
        <v>Ann Dumlao</v>
      </c>
      <c r="W1112" s="1" t="str">
        <f>IFERROR(__xludf.DUMMYFUNCTION("""COMPUTED_VALUE"""),"Admin Omni Support")</f>
        <v>Admin Omni Support</v>
      </c>
    </row>
    <row r="1113">
      <c r="O1113" s="1" t="str">
        <f>IFERROR(__xludf.DUMMYFUNCTION("""COMPUTED_VALUE"""),"2025 Sep")</f>
        <v>2025 Sep</v>
      </c>
      <c r="P1113" s="1" t="str">
        <f>IFERROR(__xludf.DUMMYFUNCTION("""COMPUTED_VALUE"""),"Segment-specific Support")</f>
        <v>Segment-specific Support</v>
      </c>
      <c r="Q1113" s="1" t="str">
        <f>IFERROR(__xludf.DUMMYFUNCTION("""COMPUTED_VALUE"""),"sremo@canva.com")</f>
        <v>sremo@canva.com</v>
      </c>
      <c r="R1113" s="1" t="str">
        <f>IFERROR(__xludf.DUMMYFUNCTION("""COMPUTED_VALUE"""),"Sunshine Remo")</f>
        <v>Sunshine Remo</v>
      </c>
      <c r="S1113" s="1">
        <f>IFERROR(__xludf.DUMMYFUNCTION("""COMPUTED_VALUE"""),3.0)</f>
        <v>3</v>
      </c>
      <c r="T1113" s="1">
        <f>IFERROR(__xludf.DUMMYFUNCTION("""COMPUTED_VALUE"""),1.0)</f>
        <v>1</v>
      </c>
      <c r="U1113" s="2">
        <f>IFERROR(__xludf.DUMMYFUNCTION("""COMPUTED_VALUE"""),4.0)</f>
        <v>4</v>
      </c>
      <c r="V1113" s="1" t="str">
        <f>IFERROR(__xludf.DUMMYFUNCTION("""COMPUTED_VALUE"""),"Rose Gabilan")</f>
        <v>Rose Gabilan</v>
      </c>
      <c r="W1113" s="1" t="str">
        <f>IFERROR(__xludf.DUMMYFUNCTION("""COMPUTED_VALUE"""),"Affinity Support")</f>
        <v>Affinity Support</v>
      </c>
    </row>
    <row r="1114">
      <c r="O1114" s="1" t="str">
        <f>IFERROR(__xludf.DUMMYFUNCTION("""COMPUTED_VALUE"""),"2025 Sep")</f>
        <v>2025 Sep</v>
      </c>
      <c r="P1114" s="1" t="str">
        <f>IFERROR(__xludf.DUMMYFUNCTION("""COMPUTED_VALUE"""),"Admin Support")</f>
        <v>Admin Support</v>
      </c>
      <c r="Q1114" s="1" t="str">
        <f>IFERROR(__xludf.DUMMYFUNCTION("""COMPUTED_VALUE"""),"susann@canva.com")</f>
        <v>susann@canva.com</v>
      </c>
      <c r="R1114" s="1" t="str">
        <f>IFERROR(__xludf.DUMMYFUNCTION("""COMPUTED_VALUE"""),"Susann Dierich")</f>
        <v>Susann Dierich</v>
      </c>
      <c r="S1114" s="1">
        <f>IFERROR(__xludf.DUMMYFUNCTION("""COMPUTED_VALUE"""),1.0)</f>
        <v>1</v>
      </c>
      <c r="T1114" s="1">
        <f>IFERROR(__xludf.DUMMYFUNCTION("""COMPUTED_VALUE"""),2.25)</f>
        <v>2.25</v>
      </c>
      <c r="U1114" s="2">
        <f>IFERROR(__xludf.DUMMYFUNCTION("""COMPUTED_VALUE"""),3.25)</f>
        <v>3.25</v>
      </c>
      <c r="V1114" s="1" t="str">
        <f>IFERROR(__xludf.DUMMYFUNCTION("""COMPUTED_VALUE"""),"Tash Kelly")</f>
        <v>Tash Kelly</v>
      </c>
      <c r="W1114" s="1" t="str">
        <f>IFERROR(__xludf.DUMMYFUNCTION("""COMPUTED_VALUE"""),"Admin Support EMEA")</f>
        <v>Admin Support EMEA</v>
      </c>
    </row>
    <row r="1115">
      <c r="O1115" s="1" t="str">
        <f>IFERROR(__xludf.DUMMYFUNCTION("""COMPUTED_VALUE"""),"2025 Sep")</f>
        <v>2025 Sep</v>
      </c>
      <c r="P1115" s="1" t="str">
        <f>IFERROR(__xludf.DUMMYFUNCTION("""COMPUTED_VALUE"""),"Admin Support")</f>
        <v>Admin Support</v>
      </c>
      <c r="Q1115" s="1" t="str">
        <f>IFERROR(__xludf.DUMMYFUNCTION("""COMPUTED_VALUE"""),"skyles@canva.com")</f>
        <v>skyles@canva.com</v>
      </c>
      <c r="R1115" s="1" t="str">
        <f>IFERROR(__xludf.DUMMYFUNCTION("""COMPUTED_VALUE"""),"Sylvia Kyles")</f>
        <v>Sylvia Kyles</v>
      </c>
      <c r="S1115" s="1">
        <f>IFERROR(__xludf.DUMMYFUNCTION("""COMPUTED_VALUE"""),1.5)</f>
        <v>1.5</v>
      </c>
      <c r="T1115" s="1">
        <f>IFERROR(__xludf.DUMMYFUNCTION("""COMPUTED_VALUE"""),1.5)</f>
        <v>1.5</v>
      </c>
      <c r="U1115" s="2">
        <f>IFERROR(__xludf.DUMMYFUNCTION("""COMPUTED_VALUE"""),3.0)</f>
        <v>3</v>
      </c>
      <c r="V1115" s="1" t="str">
        <f>IFERROR(__xludf.DUMMYFUNCTION("""COMPUTED_VALUE"""),"Nate Vela")</f>
        <v>Nate Vela</v>
      </c>
      <c r="W1115" s="1" t="str">
        <f>IFERROR(__xludf.DUMMYFUNCTION("""COMPUTED_VALUE"""),"Admin Support NA")</f>
        <v>Admin Support NA</v>
      </c>
    </row>
    <row r="1116">
      <c r="O1116" s="1" t="str">
        <f>IFERROR(__xludf.DUMMYFUNCTION("""COMPUTED_VALUE"""),"2025 Sep")</f>
        <v>2025 Sep</v>
      </c>
      <c r="P1116" s="1" t="str">
        <f>IFERROR(__xludf.DUMMYFUNCTION("""COMPUTED_VALUE"""),"#N/A")</f>
        <v>#N/A</v>
      </c>
      <c r="Q1116" s="1" t="str">
        <f>IFERROR(__xludf.DUMMYFUNCTION("""COMPUTED_VALUE"""),"tammy@canva.com")</f>
        <v>tammy@canva.com</v>
      </c>
      <c r="R1116" s="1" t="str">
        <f>IFERROR(__xludf.DUMMYFUNCTION("""COMPUTED_VALUE"""),"Tammy Lustre (Data Flex until 31 Jan 2026)")</f>
        <v>Tammy Lustre (Data Flex until 31 Jan 2026)</v>
      </c>
      <c r="S1116" s="1">
        <f>IFERROR(__xludf.DUMMYFUNCTION("""COMPUTED_VALUE"""),1.5)</f>
        <v>1.5</v>
      </c>
      <c r="T1116" s="1">
        <f>IFERROR(__xludf.DUMMYFUNCTION("""COMPUTED_VALUE"""),3.25)</f>
        <v>3.25</v>
      </c>
      <c r="U1116" s="2">
        <f>IFERROR(__xludf.DUMMYFUNCTION("""COMPUTED_VALUE"""),4.75)</f>
        <v>4.75</v>
      </c>
      <c r="V1116" s="1" t="str">
        <f>IFERROR(__xludf.DUMMYFUNCTION("""COMPUTED_VALUE"""),"#N/A")</f>
        <v>#N/A</v>
      </c>
      <c r="W1116" s="1" t="str">
        <f>IFERROR(__xludf.DUMMYFUNCTION("""COMPUTED_VALUE"""),"PHL, Multilingual Support")</f>
        <v>PHL, Multilingual Support</v>
      </c>
    </row>
    <row r="1117">
      <c r="O1117" s="1" t="str">
        <f>IFERROR(__xludf.DUMMYFUNCTION("""COMPUTED_VALUE"""),"2025 Sep")</f>
        <v>2025 Sep</v>
      </c>
      <c r="P1117" s="1" t="str">
        <f>IFERROR(__xludf.DUMMYFUNCTION("""COMPUTED_VALUE"""),"#N/A")</f>
        <v>#N/A</v>
      </c>
      <c r="Q1117" s="1" t="str">
        <f>IFERROR(__xludf.DUMMYFUNCTION("""COMPUTED_VALUE"""),"assembled-time-off-re-aaaam3hubupgpmtmxaetpextji@canva.org.slack.com")</f>
        <v>assembled-time-off-re-aaaam3hubupgpmtmxaetpextji@canva.org.slack.com</v>
      </c>
      <c r="R1117" s="1" t="str">
        <f>IFERROR(__xludf.DUMMYFUNCTION("""COMPUTED_VALUE"""),"Testing Bot")</f>
        <v>Testing Bot</v>
      </c>
      <c r="S1117" s="1"/>
      <c r="T1117" s="1">
        <f>IFERROR(__xludf.DUMMYFUNCTION("""COMPUTED_VALUE"""),0.0)</f>
        <v>0</v>
      </c>
      <c r="U1117" s="2">
        <f>IFERROR(__xludf.DUMMYFUNCTION("""COMPUTED_VALUE"""),0.0)</f>
        <v>0</v>
      </c>
      <c r="V1117" s="1" t="str">
        <f>IFERROR(__xludf.DUMMYFUNCTION("""COMPUTED_VALUE"""),"#N/A")</f>
        <v>#N/A</v>
      </c>
      <c r="W1117" s="1" t="str">
        <f>IFERROR(__xludf.DUMMYFUNCTION("""COMPUTED_VALUE"""),"#N/A")</f>
        <v>#N/A</v>
      </c>
    </row>
    <row r="1118">
      <c r="O1118" s="1" t="str">
        <f>IFERROR(__xludf.DUMMYFUNCTION("""COMPUTED_VALUE"""),"2025 Sep")</f>
        <v>2025 Sep</v>
      </c>
      <c r="P1118" s="1" t="str">
        <f>IFERROR(__xludf.DUMMYFUNCTION("""COMPUTED_VALUE"""),"Print Support")</f>
        <v>Print Support</v>
      </c>
      <c r="Q1118" s="1" t="str">
        <f>IFERROR(__xludf.DUMMYFUNCTION("""COMPUTED_VALUE"""),"theag@canva.com")</f>
        <v>theag@canva.com</v>
      </c>
      <c r="R1118" s="1" t="str">
        <f>IFERROR(__xludf.DUMMYFUNCTION("""COMPUTED_VALUE"""),"Thea Gelua")</f>
        <v>Thea Gelua</v>
      </c>
      <c r="S1118" s="1">
        <f>IFERROR(__xludf.DUMMYFUNCTION("""COMPUTED_VALUE"""),12.0)</f>
        <v>12</v>
      </c>
      <c r="T1118" s="1">
        <f>IFERROR(__xludf.DUMMYFUNCTION("""COMPUTED_VALUE"""),0.0)</f>
        <v>0</v>
      </c>
      <c r="U1118" s="2">
        <f>IFERROR(__xludf.DUMMYFUNCTION("""COMPUTED_VALUE"""),12.0)</f>
        <v>12</v>
      </c>
      <c r="V1118" s="1" t="str">
        <f>IFERROR(__xludf.DUMMYFUNCTION("""COMPUTED_VALUE"""),"Jen Momo")</f>
        <v>Jen Momo</v>
      </c>
      <c r="W1118" s="1" t="str">
        <f>IFERROR(__xludf.DUMMYFUNCTION("""COMPUTED_VALUE"""),"Print Support PH")</f>
        <v>Print Support PH</v>
      </c>
    </row>
    <row r="1119">
      <c r="O1119" s="1" t="str">
        <f>IFERROR(__xludf.DUMMYFUNCTION("""COMPUTED_VALUE"""),"2025 Sep")</f>
        <v>2025 Sep</v>
      </c>
      <c r="P1119" s="1" t="str">
        <f>IFERROR(__xludf.DUMMYFUNCTION("""COMPUTED_VALUE"""),"Print Support")</f>
        <v>Print Support</v>
      </c>
      <c r="Q1119" s="1" t="str">
        <f>IFERROR(__xludf.DUMMYFUNCTION("""COMPUTED_VALUE"""),"tia@canva.com")</f>
        <v>tia@canva.com</v>
      </c>
      <c r="R1119" s="1" t="str">
        <f>IFERROR(__xludf.DUMMYFUNCTION("""COMPUTED_VALUE"""),"Tia Tilanduca")</f>
        <v>Tia Tilanduca</v>
      </c>
      <c r="S1119" s="1">
        <f>IFERROR(__xludf.DUMMYFUNCTION("""COMPUTED_VALUE"""),8.0)</f>
        <v>8</v>
      </c>
      <c r="T1119" s="1">
        <f>IFERROR(__xludf.DUMMYFUNCTION("""COMPUTED_VALUE"""),1.5)</f>
        <v>1.5</v>
      </c>
      <c r="U1119" s="2">
        <f>IFERROR(__xludf.DUMMYFUNCTION("""COMPUTED_VALUE"""),9.5)</f>
        <v>9.5</v>
      </c>
      <c r="V1119" s="1" t="str">
        <f>IFERROR(__xludf.DUMMYFUNCTION("""COMPUTED_VALUE"""),"Louise Dianne Estrella")</f>
        <v>Louise Dianne Estrella</v>
      </c>
      <c r="W1119" s="1" t="str">
        <f>IFERROR(__xludf.DUMMYFUNCTION("""COMPUTED_VALUE"""),"Print Support PH")</f>
        <v>Print Support PH</v>
      </c>
    </row>
    <row r="1120">
      <c r="O1120" s="1" t="str">
        <f>IFERROR(__xludf.DUMMYFUNCTION("""COMPUTED_VALUE"""),"2025 Sep")</f>
        <v>2025 Sep</v>
      </c>
      <c r="P1120" s="1" t="str">
        <f>IFERROR(__xludf.DUMMYFUNCTION("""COMPUTED_VALUE"""),"Admin Support")</f>
        <v>Admin Support</v>
      </c>
      <c r="Q1120" s="1" t="str">
        <f>IFERROR(__xludf.DUMMYFUNCTION("""COMPUTED_VALUE"""),"tiara@canva.com")</f>
        <v>tiara@canva.com</v>
      </c>
      <c r="R1120" s="1" t="str">
        <f>IFERROR(__xludf.DUMMYFUNCTION("""COMPUTED_VALUE"""),"Tiara Samonte")</f>
        <v>Tiara Samonte</v>
      </c>
      <c r="S1120" s="1">
        <f>IFERROR(__xludf.DUMMYFUNCTION("""COMPUTED_VALUE"""),0.5)</f>
        <v>0.5</v>
      </c>
      <c r="T1120" s="1">
        <f>IFERROR(__xludf.DUMMYFUNCTION("""COMPUTED_VALUE"""),17.58)</f>
        <v>17.58</v>
      </c>
      <c r="U1120" s="2">
        <f>IFERROR(__xludf.DUMMYFUNCTION("""COMPUTED_VALUE"""),18.08)</f>
        <v>18.08</v>
      </c>
      <c r="V1120" s="1" t="str">
        <f>IFERROR(__xludf.DUMMYFUNCTION("""COMPUTED_VALUE"""),"AL Suarez")</f>
        <v>AL Suarez</v>
      </c>
      <c r="W1120" s="1" t="str">
        <f>IFERROR(__xludf.DUMMYFUNCTION("""COMPUTED_VALUE"""),"Advanced Billing &amp; Subscriptions")</f>
        <v>Advanced Billing &amp; Subscriptions</v>
      </c>
    </row>
    <row r="1121">
      <c r="O1121" s="1" t="str">
        <f>IFERROR(__xludf.DUMMYFUNCTION("""COMPUTED_VALUE"""),"2025 Sep")</f>
        <v>2025 Sep</v>
      </c>
      <c r="P1121" s="1" t="str">
        <f>IFERROR(__xludf.DUMMYFUNCTION("""COMPUTED_VALUE"""),"Segment-specific Support")</f>
        <v>Segment-specific Support</v>
      </c>
      <c r="Q1121" s="1" t="str">
        <f>IFERROR(__xludf.DUMMYFUNCTION("""COMPUTED_VALUE"""),"timdl@canva.com")</f>
        <v>timdl@canva.com</v>
      </c>
      <c r="R1121" s="1" t="str">
        <f>IFERROR(__xludf.DUMMYFUNCTION("""COMPUTED_VALUE"""),"Tim De Leon")</f>
        <v>Tim De Leon</v>
      </c>
      <c r="S1121" s="1">
        <f>IFERROR(__xludf.DUMMYFUNCTION("""COMPUTED_VALUE"""),3.5)</f>
        <v>3.5</v>
      </c>
      <c r="T1121" s="1">
        <f>IFERROR(__xludf.DUMMYFUNCTION("""COMPUTED_VALUE"""),0.0)</f>
        <v>0</v>
      </c>
      <c r="U1121" s="2">
        <f>IFERROR(__xludf.DUMMYFUNCTION("""COMPUTED_VALUE"""),3.5)</f>
        <v>3.5</v>
      </c>
      <c r="V1121" s="1" t="str">
        <f>IFERROR(__xludf.DUMMYFUNCTION("""COMPUTED_VALUE"""),"Aileen Dayanghirang")</f>
        <v>Aileen Dayanghirang</v>
      </c>
      <c r="W1121" s="1" t="str">
        <f>IFERROR(__xludf.DUMMYFUNCTION("""COMPUTED_VALUE"""),"Creators Support")</f>
        <v>Creators Support</v>
      </c>
    </row>
    <row r="1122">
      <c r="O1122" s="1" t="str">
        <f>IFERROR(__xludf.DUMMYFUNCTION("""COMPUTED_VALUE"""),"2025 Sep")</f>
        <v>2025 Sep</v>
      </c>
      <c r="P1122" s="1" t="str">
        <f>IFERROR(__xludf.DUMMYFUNCTION("""COMPUTED_VALUE"""),"Admin Support")</f>
        <v>Admin Support</v>
      </c>
      <c r="Q1122" s="1" t="str">
        <f>IFERROR(__xludf.DUMMYFUNCTION("""COMPUTED_VALUE"""),"cnuyda@canva.com")</f>
        <v>cnuyda@canva.com</v>
      </c>
      <c r="R1122" s="1" t="str">
        <f>IFERROR(__xludf.DUMMYFUNCTION("""COMPUTED_VALUE"""),"Toff Nuyda")</f>
        <v>Toff Nuyda</v>
      </c>
      <c r="S1122" s="1"/>
      <c r="T1122" s="1">
        <f>IFERROR(__xludf.DUMMYFUNCTION("""COMPUTED_VALUE"""),25.5)</f>
        <v>25.5</v>
      </c>
      <c r="U1122" s="2">
        <f>IFERROR(__xludf.DUMMYFUNCTION("""COMPUTED_VALUE"""),25.5)</f>
        <v>25.5</v>
      </c>
      <c r="V1122" s="1" t="str">
        <f>IFERROR(__xludf.DUMMYFUNCTION("""COMPUTED_VALUE"""),"Karla Mananghaya")</f>
        <v>Karla Mananghaya</v>
      </c>
      <c r="W1122" s="1" t="str">
        <f>IFERROR(__xludf.DUMMYFUNCTION("""COMPUTED_VALUE"""),"Admin Support Service Escalation Team")</f>
        <v>Admin Support Service Escalation Team</v>
      </c>
    </row>
    <row r="1123">
      <c r="O1123" s="1" t="str">
        <f>IFERROR(__xludf.DUMMYFUNCTION("""COMPUTED_VALUE"""),"2025 Sep")</f>
        <v>2025 Sep</v>
      </c>
      <c r="P1123" s="1" t="str">
        <f>IFERROR(__xludf.DUMMYFUNCTION("""COMPUTED_VALUE"""),"#N/A")</f>
        <v>#N/A</v>
      </c>
      <c r="Q1123" s="1" t="str">
        <f>IFERROR(__xludf.DUMMYFUNCTION("""COMPUTED_VALUE"""),"tofulajo@canva.com")</f>
        <v>tofulajo@canva.com</v>
      </c>
      <c r="R1123" s="1" t="str">
        <f>IFERROR(__xludf.DUMMYFUNCTION("""COMPUTED_VALUE"""),"Tofu Lajo Flex Program UV Data Team")</f>
        <v>Tofu Lajo Flex Program UV Data Team</v>
      </c>
      <c r="S1123" s="1">
        <f>IFERROR(__xludf.DUMMYFUNCTION("""COMPUTED_VALUE"""),14.25)</f>
        <v>14.25</v>
      </c>
      <c r="T1123" s="1">
        <f>IFERROR(__xludf.DUMMYFUNCTION("""COMPUTED_VALUE"""),2.25)</f>
        <v>2.25</v>
      </c>
      <c r="U1123" s="2">
        <f>IFERROR(__xludf.DUMMYFUNCTION("""COMPUTED_VALUE"""),16.5)</f>
        <v>16.5</v>
      </c>
      <c r="V1123" s="1" t="str">
        <f>IFERROR(__xludf.DUMMYFUNCTION("""COMPUTED_VALUE"""),"#N/A")</f>
        <v>#N/A</v>
      </c>
      <c r="W1123" s="1" t="str">
        <f>IFERROR(__xludf.DUMMYFUNCTION("""COMPUTED_VALUE"""),"High Sensitivity Support PH")</f>
        <v>High Sensitivity Support PH</v>
      </c>
    </row>
    <row r="1124">
      <c r="O1124" s="1" t="str">
        <f>IFERROR(__xludf.DUMMYFUNCTION("""COMPUTED_VALUE"""),"2025 Sep")</f>
        <v>2025 Sep</v>
      </c>
      <c r="P1124" s="1" t="str">
        <f>IFERROR(__xludf.DUMMYFUNCTION("""COMPUTED_VALUE"""),"Multilingual Support")</f>
        <v>Multilingual Support</v>
      </c>
      <c r="Q1124" s="1" t="str">
        <f>IFERROR(__xludf.DUMMYFUNCTION("""COMPUTED_VALUE"""),"tricia.p@canva.com")</f>
        <v>tricia.p@canva.com</v>
      </c>
      <c r="R1124" s="1" t="str">
        <f>IFERROR(__xludf.DUMMYFUNCTION("""COMPUTED_VALUE"""),"Tricia Pasagui")</f>
        <v>Tricia Pasagui</v>
      </c>
      <c r="S1124" s="1">
        <f>IFERROR(__xludf.DUMMYFUNCTION("""COMPUTED_VALUE"""),1.5)</f>
        <v>1.5</v>
      </c>
      <c r="T1124" s="1">
        <f>IFERROR(__xludf.DUMMYFUNCTION("""COMPUTED_VALUE"""),2.25)</f>
        <v>2.25</v>
      </c>
      <c r="U1124" s="2">
        <f>IFERROR(__xludf.DUMMYFUNCTION("""COMPUTED_VALUE"""),3.75)</f>
        <v>3.75</v>
      </c>
      <c r="V1124" s="1" t="str">
        <f>IFERROR(__xludf.DUMMYFUNCTION("""COMPUTED_VALUE"""),"Arlene Maurillo")</f>
        <v>Arlene Maurillo</v>
      </c>
      <c r="W1124" s="1" t="str">
        <f>IFERROR(__xludf.DUMMYFUNCTION("""COMPUTED_VALUE"""),"PHL, Multilingual Support")</f>
        <v>PHL, Multilingual Support</v>
      </c>
    </row>
    <row r="1125">
      <c r="O1125" s="1" t="str">
        <f>IFERROR(__xludf.DUMMYFUNCTION("""COMPUTED_VALUE"""),"2025 Sep")</f>
        <v>2025 Sep</v>
      </c>
      <c r="P1125" s="1" t="str">
        <f>IFERROR(__xludf.DUMMYFUNCTION("""COMPUTED_VALUE"""),"High Sensitivity Support")</f>
        <v>High Sensitivity Support</v>
      </c>
      <c r="Q1125" s="1" t="str">
        <f>IFERROR(__xludf.DUMMYFUNCTION("""COMPUTED_VALUE"""),"trina@canva.com")</f>
        <v>trina@canva.com</v>
      </c>
      <c r="R1125" s="1" t="str">
        <f>IFERROR(__xludf.DUMMYFUNCTION("""COMPUTED_VALUE"""),"Trina Salcedo")</f>
        <v>Trina Salcedo</v>
      </c>
      <c r="S1125" s="1">
        <f>IFERROR(__xludf.DUMMYFUNCTION("""COMPUTED_VALUE"""),13.0)</f>
        <v>13</v>
      </c>
      <c r="T1125" s="1">
        <f>IFERROR(__xludf.DUMMYFUNCTION("""COMPUTED_VALUE"""),3.75)</f>
        <v>3.75</v>
      </c>
      <c r="U1125" s="2">
        <f>IFERROR(__xludf.DUMMYFUNCTION("""COMPUTED_VALUE"""),16.75)</f>
        <v>16.75</v>
      </c>
      <c r="V1125" s="1" t="str">
        <f>IFERROR(__xludf.DUMMYFUNCTION("""COMPUTED_VALUE"""),"Xandy Azarcon")</f>
        <v>Xandy Azarcon</v>
      </c>
      <c r="W1125" s="1" t="str">
        <f>IFERROR(__xludf.DUMMYFUNCTION("""COMPUTED_VALUE"""),"High Sensitivity Support PH")</f>
        <v>High Sensitivity Support PH</v>
      </c>
    </row>
    <row r="1126">
      <c r="O1126" s="1" t="str">
        <f>IFERROR(__xludf.DUMMYFUNCTION("""COMPUTED_VALUE"""),"2025 Sep")</f>
        <v>2025 Sep</v>
      </c>
      <c r="P1126" s="1" t="str">
        <f>IFERROR(__xludf.DUMMYFUNCTION("""COMPUTED_VALUE"""),"High Sensitivity Support")</f>
        <v>High Sensitivity Support</v>
      </c>
      <c r="Q1126" s="1" t="str">
        <f>IFERROR(__xludf.DUMMYFUNCTION("""COMPUTED_VALUE"""),"trishlee@canva.com")</f>
        <v>trishlee@canva.com</v>
      </c>
      <c r="R1126" s="1" t="str">
        <f>IFERROR(__xludf.DUMMYFUNCTION("""COMPUTED_VALUE"""),"Trish Lee")</f>
        <v>Trish Lee</v>
      </c>
      <c r="S1126" s="1"/>
      <c r="T1126" s="1">
        <f>IFERROR(__xludf.DUMMYFUNCTION("""COMPUTED_VALUE"""),3.75)</f>
        <v>3.75</v>
      </c>
      <c r="U1126" s="2">
        <f>IFERROR(__xludf.DUMMYFUNCTION("""COMPUTED_VALUE"""),3.75)</f>
        <v>3.75</v>
      </c>
      <c r="V1126" s="1" t="str">
        <f>IFERROR(__xludf.DUMMYFUNCTION("""COMPUTED_VALUE"""),"Issi Afable")</f>
        <v>Issi Afable</v>
      </c>
      <c r="W1126" s="1" t="str">
        <f>IFERROR(__xludf.DUMMYFUNCTION("""COMPUTED_VALUE"""),"High Sensitivity Support PH")</f>
        <v>High Sensitivity Support PH</v>
      </c>
    </row>
    <row r="1127">
      <c r="O1127" s="1" t="str">
        <f>IFERROR(__xludf.DUMMYFUNCTION("""COMPUTED_VALUE"""),"2025 Sep")</f>
        <v>2025 Sep</v>
      </c>
      <c r="P1127" s="1" t="str">
        <f>IFERROR(__xludf.DUMMYFUNCTION("""COMPUTED_VALUE"""),"Print Support")</f>
        <v>Print Support</v>
      </c>
      <c r="Q1127" s="1" t="str">
        <f>IFERROR(__xludf.DUMMYFUNCTION("""COMPUTED_VALUE"""),"trissamiguel@canva.com")</f>
        <v>trissamiguel@canva.com</v>
      </c>
      <c r="R1127" s="1" t="str">
        <f>IFERROR(__xludf.DUMMYFUNCTION("""COMPUTED_VALUE"""),"Trissa Miguel")</f>
        <v>Trissa Miguel</v>
      </c>
      <c r="S1127" s="1">
        <f>IFERROR(__xludf.DUMMYFUNCTION("""COMPUTED_VALUE"""),7.75)</f>
        <v>7.75</v>
      </c>
      <c r="T1127" s="1">
        <f>IFERROR(__xludf.DUMMYFUNCTION("""COMPUTED_VALUE"""),0.25)</f>
        <v>0.25</v>
      </c>
      <c r="U1127" s="2">
        <f>IFERROR(__xludf.DUMMYFUNCTION("""COMPUTED_VALUE"""),8.0)</f>
        <v>8</v>
      </c>
      <c r="V1127" s="1" t="str">
        <f>IFERROR(__xludf.DUMMYFUNCTION("""COMPUTED_VALUE"""),"G-Anne Murillo")</f>
        <v>G-Anne Murillo</v>
      </c>
      <c r="W1127" s="1" t="str">
        <f>IFERROR(__xludf.DUMMYFUNCTION("""COMPUTED_VALUE"""),"Print Design Support")</f>
        <v>Print Design Support</v>
      </c>
    </row>
    <row r="1128">
      <c r="O1128" s="1" t="str">
        <f>IFERROR(__xludf.DUMMYFUNCTION("""COMPUTED_VALUE"""),"2025 Sep")</f>
        <v>2025 Sep</v>
      </c>
      <c r="P1128" s="1" t="str">
        <f>IFERROR(__xludf.DUMMYFUNCTION("""COMPUTED_VALUE"""),"Print Support")</f>
        <v>Print Support</v>
      </c>
      <c r="Q1128" s="1" t="str">
        <f>IFERROR(__xludf.DUMMYFUNCTION("""COMPUTED_VALUE"""),"vlad.b@canva.com")</f>
        <v>vlad.b@canva.com</v>
      </c>
      <c r="R1128" s="1" t="str">
        <f>IFERROR(__xludf.DUMMYFUNCTION("""COMPUTED_VALUE"""),"Vladimir Besana")</f>
        <v>Vladimir Besana</v>
      </c>
      <c r="S1128" s="1">
        <f>IFERROR(__xludf.DUMMYFUNCTION("""COMPUTED_VALUE"""),6.75)</f>
        <v>6.75</v>
      </c>
      <c r="T1128" s="1">
        <f>IFERROR(__xludf.DUMMYFUNCTION("""COMPUTED_VALUE"""),0.25)</f>
        <v>0.25</v>
      </c>
      <c r="U1128" s="2">
        <f>IFERROR(__xludf.DUMMYFUNCTION("""COMPUTED_VALUE"""),7.0)</f>
        <v>7</v>
      </c>
      <c r="V1128" s="1" t="str">
        <f>IFERROR(__xludf.DUMMYFUNCTION("""COMPUTED_VALUE"""),"Jan Domingo")</f>
        <v>Jan Domingo</v>
      </c>
      <c r="W1128" s="1" t="str">
        <f>IFERROR(__xludf.DUMMYFUNCTION("""COMPUTED_VALUE"""),"Print Design Support")</f>
        <v>Print Design Support</v>
      </c>
    </row>
    <row r="1129">
      <c r="O1129" s="1" t="str">
        <f>IFERROR(__xludf.DUMMYFUNCTION("""COMPUTED_VALUE"""),"2025 Sep")</f>
        <v>2025 Sep</v>
      </c>
      <c r="P1129" s="1" t="str">
        <f>IFERROR(__xludf.DUMMYFUNCTION("""COMPUTED_VALUE"""),"Print Support")</f>
        <v>Print Support</v>
      </c>
      <c r="Q1129" s="1" t="str">
        <f>IFERROR(__xludf.DUMMYFUNCTION("""COMPUTED_VALUE"""),"wesleyp@canva.com")</f>
        <v>wesleyp@canva.com</v>
      </c>
      <c r="R1129" s="1" t="str">
        <f>IFERROR(__xludf.DUMMYFUNCTION("""COMPUTED_VALUE"""),"Wes Paira")</f>
        <v>Wes Paira</v>
      </c>
      <c r="S1129" s="1">
        <f>IFERROR(__xludf.DUMMYFUNCTION("""COMPUTED_VALUE"""),12.0)</f>
        <v>12</v>
      </c>
      <c r="T1129" s="1">
        <f>IFERROR(__xludf.DUMMYFUNCTION("""COMPUTED_VALUE"""),0.0)</f>
        <v>0</v>
      </c>
      <c r="U1129" s="2">
        <f>IFERROR(__xludf.DUMMYFUNCTION("""COMPUTED_VALUE"""),12.0)</f>
        <v>12</v>
      </c>
      <c r="V1129" s="1" t="str">
        <f>IFERROR(__xludf.DUMMYFUNCTION("""COMPUTED_VALUE"""),"Memae Faustino")</f>
        <v>Memae Faustino</v>
      </c>
      <c r="W1129" s="1" t="str">
        <f>IFERROR(__xludf.DUMMYFUNCTION("""COMPUTED_VALUE"""),"Print Support PH")</f>
        <v>Print Support PH</v>
      </c>
    </row>
    <row r="1130">
      <c r="O1130" s="1" t="str">
        <f>IFERROR(__xludf.DUMMYFUNCTION("""COMPUTED_VALUE"""),"2025 Sep")</f>
        <v>2025 Sep</v>
      </c>
      <c r="P1130" s="1" t="str">
        <f>IFERROR(__xludf.DUMMYFUNCTION("""COMPUTED_VALUE"""),"Core Product Support")</f>
        <v>Core Product Support</v>
      </c>
      <c r="Q1130" s="1" t="str">
        <f>IFERROR(__xludf.DUMMYFUNCTION("""COMPUTED_VALUE"""),"xy@canva.com")</f>
        <v>xy@canva.com</v>
      </c>
      <c r="R1130" s="1" t="str">
        <f>IFERROR(__xludf.DUMMYFUNCTION("""COMPUTED_VALUE"""),"Xyren Bulan")</f>
        <v>Xyren Bulan</v>
      </c>
      <c r="S1130" s="1">
        <f>IFERROR(__xludf.DUMMYFUNCTION("""COMPUTED_VALUE"""),3.75)</f>
        <v>3.75</v>
      </c>
      <c r="T1130" s="1">
        <f>IFERROR(__xludf.DUMMYFUNCTION("""COMPUTED_VALUE"""),16.83)</f>
        <v>16.83</v>
      </c>
      <c r="U1130" s="2">
        <f>IFERROR(__xludf.DUMMYFUNCTION("""COMPUTED_VALUE"""),20.58)</f>
        <v>20.58</v>
      </c>
      <c r="V1130" s="1" t="str">
        <f>IFERROR(__xludf.DUMMYFUNCTION("""COMPUTED_VALUE"""),"Vinz Lazaro")</f>
        <v>Vinz Lazaro</v>
      </c>
      <c r="W1130" s="1" t="str">
        <f>IFERROR(__xludf.DUMMYFUNCTION("""COMPUTED_VALUE"""),"Advanced Product Support")</f>
        <v>Advanced Product Support</v>
      </c>
    </row>
    <row r="1131">
      <c r="O1131" s="1" t="str">
        <f>IFERROR(__xludf.DUMMYFUNCTION("""COMPUTED_VALUE"""),"2025 Sep")</f>
        <v>2025 Sep</v>
      </c>
      <c r="P1131" s="1" t="str">
        <f>IFERROR(__xludf.DUMMYFUNCTION("""COMPUTED_VALUE"""),"Core Product Support")</f>
        <v>Core Product Support</v>
      </c>
      <c r="Q1131" s="1" t="str">
        <f>IFERROR(__xludf.DUMMYFUNCTION("""COMPUTED_VALUE"""),"yanarel@canva.com")</f>
        <v>yanarel@canva.com</v>
      </c>
      <c r="R1131" s="1" t="str">
        <f>IFERROR(__xludf.DUMMYFUNCTION("""COMPUTED_VALUE"""),"Yana Religioso")</f>
        <v>Yana Religioso</v>
      </c>
      <c r="S1131" s="1">
        <f>IFERROR(__xludf.DUMMYFUNCTION("""COMPUTED_VALUE"""),0.5)</f>
        <v>0.5</v>
      </c>
      <c r="T1131" s="1">
        <f>IFERROR(__xludf.DUMMYFUNCTION("""COMPUTED_VALUE"""),2.75)</f>
        <v>2.75</v>
      </c>
      <c r="U1131" s="2">
        <f>IFERROR(__xludf.DUMMYFUNCTION("""COMPUTED_VALUE"""),3.25)</f>
        <v>3.25</v>
      </c>
      <c r="V1131" s="1" t="str">
        <f>IFERROR(__xludf.DUMMYFUNCTION("""COMPUTED_VALUE"""),"Bem Launte")</f>
        <v>Bem Launte</v>
      </c>
      <c r="W1131" s="1" t="str">
        <f>IFERROR(__xludf.DUMMYFUNCTION("""COMPUTED_VALUE"""),"Core Product Support Escalation Team")</f>
        <v>Core Product Support Escalation Team</v>
      </c>
    </row>
    <row r="1132">
      <c r="O1132" s="1" t="str">
        <f>IFERROR(__xludf.DUMMYFUNCTION("""COMPUTED_VALUE"""),"2025 Sep")</f>
        <v>2025 Sep</v>
      </c>
      <c r="P1132" s="1" t="str">
        <f>IFERROR(__xludf.DUMMYFUNCTION("""COMPUTED_VALUE"""),"Print Support")</f>
        <v>Print Support</v>
      </c>
      <c r="Q1132" s="1" t="str">
        <f>IFERROR(__xludf.DUMMYFUNCTION("""COMPUTED_VALUE"""),"ysabel@canva.com")</f>
        <v>ysabel@canva.com</v>
      </c>
      <c r="R1132" s="1" t="str">
        <f>IFERROR(__xludf.DUMMYFUNCTION("""COMPUTED_VALUE"""),"Ysabel Locsin")</f>
        <v>Ysabel Locsin</v>
      </c>
      <c r="S1132" s="1">
        <f>IFERROR(__xludf.DUMMYFUNCTION("""COMPUTED_VALUE"""),1.02)</f>
        <v>1.02</v>
      </c>
      <c r="T1132" s="1">
        <f>IFERROR(__xludf.DUMMYFUNCTION("""COMPUTED_VALUE"""),2.45)</f>
        <v>2.45</v>
      </c>
      <c r="U1132" s="2">
        <f>IFERROR(__xludf.DUMMYFUNCTION("""COMPUTED_VALUE"""),3.47)</f>
        <v>3.47</v>
      </c>
      <c r="V1132" s="1" t="str">
        <f>IFERROR(__xludf.DUMMYFUNCTION("""COMPUTED_VALUE"""),"Rei De Jesus")</f>
        <v>Rei De Jesus</v>
      </c>
      <c r="W1132" s="1" t="str">
        <f>IFERROR(__xludf.DUMMYFUNCTION("""COMPUTED_VALUE"""),"Print Design Support")</f>
        <v>Print Design Support</v>
      </c>
    </row>
    <row r="1133">
      <c r="O1133" s="1" t="str">
        <f>IFERROR(__xludf.DUMMYFUNCTION("""COMPUTED_VALUE"""),"2025 Sep")</f>
        <v>2025 Sep</v>
      </c>
      <c r="P1133" s="1" t="str">
        <f>IFERROR(__xludf.DUMMYFUNCTION("""COMPUTED_VALUE"""),"Core Product Support")</f>
        <v>Core Product Support</v>
      </c>
      <c r="Q1133" s="1" t="str">
        <f>IFERROR(__xludf.DUMMYFUNCTION("""COMPUTED_VALUE"""),"ymagno@canva.com")</f>
        <v>ymagno@canva.com</v>
      </c>
      <c r="R1133" s="1" t="str">
        <f>IFERROR(__xludf.DUMMYFUNCTION("""COMPUTED_VALUE"""),"Ysabel Magno")</f>
        <v>Ysabel Magno</v>
      </c>
      <c r="S1133" s="1"/>
      <c r="T1133" s="1">
        <f>IFERROR(__xludf.DUMMYFUNCTION("""COMPUTED_VALUE"""),22.59)</f>
        <v>22.59</v>
      </c>
      <c r="U1133" s="2">
        <f>IFERROR(__xludf.DUMMYFUNCTION("""COMPUTED_VALUE"""),22.59)</f>
        <v>22.59</v>
      </c>
      <c r="V1133" s="1" t="str">
        <f>IFERROR(__xludf.DUMMYFUNCTION("""COMPUTED_VALUE"""),"Renette Bok")</f>
        <v>Renette Bok</v>
      </c>
      <c r="W1133" s="1" t="str">
        <f>IFERROR(__xludf.DUMMYFUNCTION("""COMPUTED_VALUE"""),"Advanced Billing &amp; Subscriptions")</f>
        <v>Advanced Billing &amp; Subscriptions</v>
      </c>
    </row>
    <row r="1134">
      <c r="O1134" s="1" t="str">
        <f>IFERROR(__xludf.DUMMYFUNCTION("""COMPUTED_VALUE"""),"2025 Sep")</f>
        <v>2025 Sep</v>
      </c>
      <c r="P1134" s="1" t="str">
        <f>IFERROR(__xludf.DUMMYFUNCTION("""COMPUTED_VALUE"""),"Multilingual Support")</f>
        <v>Multilingual Support</v>
      </c>
      <c r="Q1134" s="1" t="str">
        <f>IFERROR(__xludf.DUMMYFUNCTION("""COMPUTED_VALUE"""),"iuliia@canva.com")</f>
        <v>iuliia@canva.com</v>
      </c>
      <c r="R1134" s="1" t="str">
        <f>IFERROR(__xludf.DUMMYFUNCTION("""COMPUTED_VALUE"""),"Yulya Shevkunova")</f>
        <v>Yulya Shevkunova</v>
      </c>
      <c r="S1134" s="1">
        <f>IFERROR(__xludf.DUMMYFUNCTION("""COMPUTED_VALUE"""),1.0)</f>
        <v>1</v>
      </c>
      <c r="T1134" s="1">
        <f>IFERROR(__xludf.DUMMYFUNCTION("""COMPUTED_VALUE"""),3.25)</f>
        <v>3.25</v>
      </c>
      <c r="U1134" s="2">
        <f>IFERROR(__xludf.DUMMYFUNCTION("""COMPUTED_VALUE"""),4.25)</f>
        <v>4.25</v>
      </c>
      <c r="V1134" s="1" t="str">
        <f>IFERROR(__xludf.DUMMYFUNCTION("""COMPUTED_VALUE"""),"Arlene Maurillo")</f>
        <v>Arlene Maurillo</v>
      </c>
      <c r="W1134" s="1" t="str">
        <f>IFERROR(__xludf.DUMMYFUNCTION("""COMPUTED_VALUE"""),"PHL, Multilingual Support")</f>
        <v>PHL, Multilingual Support</v>
      </c>
    </row>
    <row r="1135">
      <c r="O1135" s="1" t="str">
        <f>IFERROR(__xludf.DUMMYFUNCTION("""COMPUTED_VALUE"""),"2025 Sep")</f>
        <v>2025 Sep</v>
      </c>
      <c r="P1135" s="1" t="str">
        <f>IFERROR(__xludf.DUMMYFUNCTION("""COMPUTED_VALUE"""),"Core Product Support")</f>
        <v>Core Product Support</v>
      </c>
      <c r="Q1135" s="1" t="str">
        <f>IFERROR(__xludf.DUMMYFUNCTION("""COMPUTED_VALUE"""),"yumi@canva.com")</f>
        <v>yumi@canva.com</v>
      </c>
      <c r="R1135" s="1" t="str">
        <f>IFERROR(__xludf.DUMMYFUNCTION("""COMPUTED_VALUE"""),"Yumi Tominaga")</f>
        <v>Yumi Tominaga</v>
      </c>
      <c r="S1135" s="1">
        <f>IFERROR(__xludf.DUMMYFUNCTION("""COMPUTED_VALUE"""),0.17)</f>
        <v>0.17</v>
      </c>
      <c r="T1135" s="1">
        <f>IFERROR(__xludf.DUMMYFUNCTION("""COMPUTED_VALUE"""),13.75)</f>
        <v>13.75</v>
      </c>
      <c r="U1135" s="2">
        <f>IFERROR(__xludf.DUMMYFUNCTION("""COMPUTED_VALUE"""),13.92)</f>
        <v>13.92</v>
      </c>
      <c r="V1135" s="1" t="str">
        <f>IFERROR(__xludf.DUMMYFUNCTION("""COMPUTED_VALUE"""),"Ana Lazaro")</f>
        <v>Ana Lazaro</v>
      </c>
      <c r="W1135" s="1" t="str">
        <f>IFERROR(__xludf.DUMMYFUNCTION("""COMPUTED_VALUE"""),"Advanced Billing &amp; Subscriptions")</f>
        <v>Advanced Billing &amp; Subscriptions</v>
      </c>
    </row>
    <row r="1136">
      <c r="O1136" s="1" t="str">
        <f>IFERROR(__xludf.DUMMYFUNCTION("""COMPUTED_VALUE"""),"2025 Sep")</f>
        <v>2025 Sep</v>
      </c>
      <c r="P1136" s="1" t="str">
        <f>IFERROR(__xludf.DUMMYFUNCTION("""COMPUTED_VALUE"""),"Core Product Support")</f>
        <v>Core Product Support</v>
      </c>
      <c r="Q1136" s="1" t="str">
        <f>IFERROR(__xludf.DUMMYFUNCTION("""COMPUTED_VALUE"""),"yvette@canva.com")</f>
        <v>yvette@canva.com</v>
      </c>
      <c r="R1136" s="1" t="str">
        <f>IFERROR(__xludf.DUMMYFUNCTION("""COMPUTED_VALUE"""),"Yvette Nogoy")</f>
        <v>Yvette Nogoy</v>
      </c>
      <c r="S1136" s="1">
        <f>IFERROR(__xludf.DUMMYFUNCTION("""COMPUTED_VALUE"""),2.0)</f>
        <v>2</v>
      </c>
      <c r="T1136" s="1">
        <f>IFERROR(__xludf.DUMMYFUNCTION("""COMPUTED_VALUE"""),2.25)</f>
        <v>2.25</v>
      </c>
      <c r="U1136" s="2">
        <f>IFERROR(__xludf.DUMMYFUNCTION("""COMPUTED_VALUE"""),4.25)</f>
        <v>4.25</v>
      </c>
      <c r="V1136" s="1" t="str">
        <f>IFERROR(__xludf.DUMMYFUNCTION("""COMPUTED_VALUE"""),"Jelyn Elmido")</f>
        <v>Jelyn Elmido</v>
      </c>
      <c r="W1136" s="1" t="str">
        <f>IFERROR(__xludf.DUMMYFUNCTION("""COMPUTED_VALUE"""),"Core Product Support Escalation Team")</f>
        <v>Core Product Support Escalation Team</v>
      </c>
    </row>
    <row r="1137">
      <c r="O1137" s="1" t="str">
        <f>IFERROR(__xludf.DUMMYFUNCTION("""COMPUTED_VALUE"""),"2025 Sep")</f>
        <v>2025 Sep</v>
      </c>
      <c r="P1137" s="1" t="str">
        <f>IFERROR(__xludf.DUMMYFUNCTION("""COMPUTED_VALUE"""),"Admin Support")</f>
        <v>Admin Support</v>
      </c>
      <c r="Q1137" s="1" t="str">
        <f>IFERROR(__xludf.DUMMYFUNCTION("""COMPUTED_VALUE"""),"yvonne@canva.com")</f>
        <v>yvonne@canva.com</v>
      </c>
      <c r="R1137" s="1" t="str">
        <f>IFERROR(__xludf.DUMMYFUNCTION("""COMPUTED_VALUE"""),"Yvonne Romasanta")</f>
        <v>Yvonne Romasanta</v>
      </c>
      <c r="S1137" s="1"/>
      <c r="T1137" s="1">
        <f>IFERROR(__xludf.DUMMYFUNCTION("""COMPUTED_VALUE"""),18.23)</f>
        <v>18.23</v>
      </c>
      <c r="U1137" s="2">
        <f>IFERROR(__xludf.DUMMYFUNCTION("""COMPUTED_VALUE"""),18.23)</f>
        <v>18.23</v>
      </c>
      <c r="V1137" s="1" t="str">
        <f>IFERROR(__xludf.DUMMYFUNCTION("""COMPUTED_VALUE"""),"Pau Palmero")</f>
        <v>Pau Palmero</v>
      </c>
      <c r="W1137" s="1" t="str">
        <f>IFERROR(__xludf.DUMMYFUNCTION("""COMPUTED_VALUE"""),"Admin Omni Support")</f>
        <v>Admin Omni Support</v>
      </c>
    </row>
    <row r="1138">
      <c r="O1138" s="1" t="str">
        <f>IFERROR(__xludf.DUMMYFUNCTION("""COMPUTED_VALUE"""),"2025 Sep")</f>
        <v>2025 Sep</v>
      </c>
      <c r="P1138" s="1" t="str">
        <f>IFERROR(__xludf.DUMMYFUNCTION("""COMPUTED_VALUE"""),"Print Support")</f>
        <v>Print Support</v>
      </c>
      <c r="Q1138" s="1" t="str">
        <f>IFERROR(__xludf.DUMMYFUNCTION("""COMPUTED_VALUE"""),"zippy@canva.com")</f>
        <v>zippy@canva.com</v>
      </c>
      <c r="R1138" s="1" t="str">
        <f>IFERROR(__xludf.DUMMYFUNCTION("""COMPUTED_VALUE"""),"Zipporah Duque")</f>
        <v>Zipporah Duque</v>
      </c>
      <c r="S1138" s="1">
        <f>IFERROR(__xludf.DUMMYFUNCTION("""COMPUTED_VALUE"""),9.0)</f>
        <v>9</v>
      </c>
      <c r="T1138" s="1"/>
      <c r="U1138" s="2">
        <f>IFERROR(__xludf.DUMMYFUNCTION("""COMPUTED_VALUE"""),9.0)</f>
        <v>9</v>
      </c>
      <c r="V1138" s="1" t="str">
        <f>IFERROR(__xludf.DUMMYFUNCTION("""COMPUTED_VALUE"""),"Jen Momo")</f>
        <v>Jen Momo</v>
      </c>
      <c r="W1138" s="1" t="str">
        <f>IFERROR(__xludf.DUMMYFUNCTION("""COMPUTED_VALUE"""),"Print Support PH")</f>
        <v>Print Support PH</v>
      </c>
    </row>
    <row r="1139">
      <c r="O1139" s="1" t="str">
        <f>IFERROR(__xludf.DUMMYFUNCTION("""COMPUTED_VALUE"""),"2025 Oct")</f>
        <v>2025 Oct</v>
      </c>
      <c r="P1139" s="1" t="str">
        <f>IFERROR(__xludf.DUMMYFUNCTION("""COMPUTED_VALUE"""),"Segment-specific Support")</f>
        <v>Segment-specific Support</v>
      </c>
      <c r="Q1139" s="1" t="str">
        <f>IFERROR(__xludf.DUMMYFUNCTION("""COMPUTED_VALUE"""),"triplea@canva.com")</f>
        <v>triplea@canva.com</v>
      </c>
      <c r="R1139" s="1" t="str">
        <f>IFERROR(__xludf.DUMMYFUNCTION("""COMPUTED_VALUE"""),"AA Abong")</f>
        <v>AA Abong</v>
      </c>
      <c r="S1139" s="1">
        <f>IFERROR(__xludf.DUMMYFUNCTION("""COMPUTED_VALUE"""),2.0)</f>
        <v>2</v>
      </c>
      <c r="T1139" s="1">
        <f>IFERROR(__xludf.DUMMYFUNCTION("""COMPUTED_VALUE"""),1.5)</f>
        <v>1.5</v>
      </c>
      <c r="U1139" s="2">
        <f>IFERROR(__xludf.DUMMYFUNCTION("""COMPUTED_VALUE"""),3.5)</f>
        <v>3.5</v>
      </c>
      <c r="V1139" s="1" t="str">
        <f>IFERROR(__xludf.DUMMYFUNCTION("""COMPUTED_VALUE"""),"Jonathan Dimaculangan")</f>
        <v>Jonathan Dimaculangan</v>
      </c>
      <c r="W1139" s="1" t="str">
        <f>IFERROR(__xludf.DUMMYFUNCTION("""COMPUTED_VALUE"""),"Flourish Support")</f>
        <v>Flourish Support</v>
      </c>
    </row>
    <row r="1140">
      <c r="O1140" s="1" t="str">
        <f>IFERROR(__xludf.DUMMYFUNCTION("""COMPUTED_VALUE"""),"2025 Oct")</f>
        <v>2025 Oct</v>
      </c>
      <c r="P1140" s="1" t="str">
        <f>IFERROR(__xludf.DUMMYFUNCTION("""COMPUTED_VALUE"""),"Core Product Support")</f>
        <v>Core Product Support</v>
      </c>
      <c r="Q1140" s="1" t="str">
        <f>IFERROR(__xludf.DUMMYFUNCTION("""COMPUTED_VALUE"""),"adrielcarlosv@canva.com")</f>
        <v>adrielcarlosv@canva.com</v>
      </c>
      <c r="R1140" s="1" t="str">
        <f>IFERROR(__xludf.DUMMYFUNCTION("""COMPUTED_VALUE"""),"Adriel Vicencio")</f>
        <v>Adriel Vicencio</v>
      </c>
      <c r="S1140" s="1"/>
      <c r="T1140" s="1">
        <f>IFERROR(__xludf.DUMMYFUNCTION("""COMPUTED_VALUE"""),45.0)</f>
        <v>45</v>
      </c>
      <c r="U1140" s="2">
        <f>IFERROR(__xludf.DUMMYFUNCTION("""COMPUTED_VALUE"""),45.0)</f>
        <v>45</v>
      </c>
      <c r="V1140" s="1" t="str">
        <f>IFERROR(__xludf.DUMMYFUNCTION("""COMPUTED_VALUE"""),"Jem Mondoñedo")</f>
        <v>Jem Mondoñedo</v>
      </c>
      <c r="W1140" s="1" t="str">
        <f>IFERROR(__xludf.DUMMYFUNCTION("""COMPUTED_VALUE"""),"Advanced Billing &amp; Subscriptions")</f>
        <v>Advanced Billing &amp; Subscriptions</v>
      </c>
    </row>
    <row r="1141">
      <c r="O1141" s="1" t="str">
        <f>IFERROR(__xludf.DUMMYFUNCTION("""COMPUTED_VALUE"""),"2025 Oct")</f>
        <v>2025 Oct</v>
      </c>
      <c r="P1141" s="1" t="str">
        <f>IFERROR(__xludf.DUMMYFUNCTION("""COMPUTED_VALUE"""),"Admin Support")</f>
        <v>Admin Support</v>
      </c>
      <c r="Q1141" s="1" t="str">
        <f>IFERROR(__xludf.DUMMYFUNCTION("""COMPUTED_VALUE"""),"agathartt@canva.com")</f>
        <v>agathartt@canva.com</v>
      </c>
      <c r="R1141" s="1" t="str">
        <f>IFERROR(__xludf.DUMMYFUNCTION("""COMPUTED_VALUE"""),"Agatha Torres")</f>
        <v>Agatha Torres</v>
      </c>
      <c r="S1141" s="1">
        <f>IFERROR(__xludf.DUMMYFUNCTION("""COMPUTED_VALUE"""),2.0)</f>
        <v>2</v>
      </c>
      <c r="T1141" s="1">
        <f>IFERROR(__xludf.DUMMYFUNCTION("""COMPUTED_VALUE"""),5.5)</f>
        <v>5.5</v>
      </c>
      <c r="U1141" s="2">
        <f>IFERROR(__xludf.DUMMYFUNCTION("""COMPUTED_VALUE"""),7.5)</f>
        <v>7.5</v>
      </c>
      <c r="V1141" s="1" t="str">
        <f>IFERROR(__xludf.DUMMYFUNCTION("""COMPUTED_VALUE"""),"AL Suarez")</f>
        <v>AL Suarez</v>
      </c>
      <c r="W1141" s="1" t="str">
        <f>IFERROR(__xludf.DUMMYFUNCTION("""COMPUTED_VALUE"""),"Advanced Billing &amp; Subscriptions")</f>
        <v>Advanced Billing &amp; Subscriptions</v>
      </c>
    </row>
    <row r="1142">
      <c r="O1142" s="1" t="str">
        <f>IFERROR(__xludf.DUMMYFUNCTION("""COMPUTED_VALUE"""),"2025 Oct")</f>
        <v>2025 Oct</v>
      </c>
      <c r="P1142" s="1" t="str">
        <f>IFERROR(__xludf.DUMMYFUNCTION("""COMPUTED_VALUE"""),"Print Support")</f>
        <v>Print Support</v>
      </c>
      <c r="Q1142" s="1" t="str">
        <f>IFERROR(__xludf.DUMMYFUNCTION("""COMPUTED_VALUE"""),"aileen.a@canva.com")</f>
        <v>aileen.a@canva.com</v>
      </c>
      <c r="R1142" s="1" t="str">
        <f>IFERROR(__xludf.DUMMYFUNCTION("""COMPUTED_VALUE"""),"Aileen Alipio")</f>
        <v>Aileen Alipio</v>
      </c>
      <c r="S1142" s="1">
        <f>IFERROR(__xludf.DUMMYFUNCTION("""COMPUTED_VALUE"""),1.75)</f>
        <v>1.75</v>
      </c>
      <c r="T1142" s="1">
        <f>IFERROR(__xludf.DUMMYFUNCTION("""COMPUTED_VALUE"""),2.75)</f>
        <v>2.75</v>
      </c>
      <c r="U1142" s="2">
        <f>IFERROR(__xludf.DUMMYFUNCTION("""COMPUTED_VALUE"""),4.5)</f>
        <v>4.5</v>
      </c>
      <c r="V1142" s="1" t="str">
        <f>IFERROR(__xludf.DUMMYFUNCTION("""COMPUTED_VALUE"""),"Gem Agoncillo")</f>
        <v>Gem Agoncillo</v>
      </c>
      <c r="W1142" s="1" t="str">
        <f>IFERROR(__xludf.DUMMYFUNCTION("""COMPUTED_VALUE"""),"Print Design Support")</f>
        <v>Print Design Support</v>
      </c>
    </row>
    <row r="1143">
      <c r="O1143" s="1" t="str">
        <f>IFERROR(__xludf.DUMMYFUNCTION("""COMPUTED_VALUE"""),"2025 Oct")</f>
        <v>2025 Oct</v>
      </c>
      <c r="P1143" s="1" t="str">
        <f>IFERROR(__xludf.DUMMYFUNCTION("""COMPUTED_VALUE"""),"Core Product Support")</f>
        <v>Core Product Support</v>
      </c>
      <c r="Q1143" s="1" t="str">
        <f>IFERROR(__xludf.DUMMYFUNCTION("""COMPUTED_VALUE"""),"ailyn@canva.com")</f>
        <v>ailyn@canva.com</v>
      </c>
      <c r="R1143" s="1" t="str">
        <f>IFERROR(__xludf.DUMMYFUNCTION("""COMPUTED_VALUE"""),"Ailyn Grana")</f>
        <v>Ailyn Grana</v>
      </c>
      <c r="S1143" s="1">
        <f>IFERROR(__xludf.DUMMYFUNCTION("""COMPUTED_VALUE"""),1.0)</f>
        <v>1</v>
      </c>
      <c r="T1143" s="1">
        <f>IFERROR(__xludf.DUMMYFUNCTION("""COMPUTED_VALUE"""),7.25)</f>
        <v>7.25</v>
      </c>
      <c r="U1143" s="2">
        <f>IFERROR(__xludf.DUMMYFUNCTION("""COMPUTED_VALUE"""),8.25)</f>
        <v>8.25</v>
      </c>
      <c r="V1143" s="1" t="str">
        <f>IFERROR(__xludf.DUMMYFUNCTION("""COMPUTED_VALUE"""),"Belle Bentazal")</f>
        <v>Belle Bentazal</v>
      </c>
      <c r="W1143" s="1" t="str">
        <f>IFERROR(__xludf.DUMMYFUNCTION("""COMPUTED_VALUE"""),"Advanced Product Support")</f>
        <v>Advanced Product Support</v>
      </c>
    </row>
    <row r="1144">
      <c r="O1144" s="1" t="str">
        <f>IFERROR(__xludf.DUMMYFUNCTION("""COMPUTED_VALUE"""),"2025 Oct")</f>
        <v>2025 Oct</v>
      </c>
      <c r="P1144" s="1" t="str">
        <f>IFERROR(__xludf.DUMMYFUNCTION("""COMPUTED_VALUE"""),"Segment-specific Support")</f>
        <v>Segment-specific Support</v>
      </c>
      <c r="Q1144" s="1" t="str">
        <f>IFERROR(__xludf.DUMMYFUNCTION("""COMPUTED_VALUE"""),"andria@canva.com")</f>
        <v>andria@canva.com</v>
      </c>
      <c r="R1144" s="1" t="str">
        <f>IFERROR(__xludf.DUMMYFUNCTION("""COMPUTED_VALUE"""),"Alex Batusin")</f>
        <v>Alex Batusin</v>
      </c>
      <c r="S1144" s="1"/>
      <c r="T1144" s="1">
        <f>IFERROR(__xludf.DUMMYFUNCTION("""COMPUTED_VALUE"""),1.5)</f>
        <v>1.5</v>
      </c>
      <c r="U1144" s="2">
        <f>IFERROR(__xludf.DUMMYFUNCTION("""COMPUTED_VALUE"""),1.5)</f>
        <v>1.5</v>
      </c>
      <c r="V1144" s="1" t="str">
        <f>IFERROR(__xludf.DUMMYFUNCTION("""COMPUTED_VALUE"""),"Aileen Dayanghirang")</f>
        <v>Aileen Dayanghirang</v>
      </c>
      <c r="W1144" s="1" t="str">
        <f>IFERROR(__xludf.DUMMYFUNCTION("""COMPUTED_VALUE"""),"Creators Support")</f>
        <v>Creators Support</v>
      </c>
    </row>
    <row r="1145">
      <c r="O1145" s="1" t="str">
        <f>IFERROR(__xludf.DUMMYFUNCTION("""COMPUTED_VALUE"""),"2025 Oct")</f>
        <v>2025 Oct</v>
      </c>
      <c r="P1145" s="1" t="str">
        <f>IFERROR(__xludf.DUMMYFUNCTION("""COMPUTED_VALUE"""),"Segment-specific Support")</f>
        <v>Segment-specific Support</v>
      </c>
      <c r="Q1145" s="1" t="str">
        <f>IFERROR(__xludf.DUMMYFUNCTION("""COMPUTED_VALUE"""),"alexl@canva.com")</f>
        <v>alexl@canva.com</v>
      </c>
      <c r="R1145" s="1" t="str">
        <f>IFERROR(__xludf.DUMMYFUNCTION("""COMPUTED_VALUE"""),"Alex Lim")</f>
        <v>Alex Lim</v>
      </c>
      <c r="S1145" s="1">
        <f>IFERROR(__xludf.DUMMYFUNCTION("""COMPUTED_VALUE"""),0.5)</f>
        <v>0.5</v>
      </c>
      <c r="T1145" s="1">
        <f>IFERROR(__xludf.DUMMYFUNCTION("""COMPUTED_VALUE"""),1.5)</f>
        <v>1.5</v>
      </c>
      <c r="U1145" s="2">
        <f>IFERROR(__xludf.DUMMYFUNCTION("""COMPUTED_VALUE"""),2.0)</f>
        <v>2</v>
      </c>
      <c r="V1145" s="1" t="str">
        <f>IFERROR(__xludf.DUMMYFUNCTION("""COMPUTED_VALUE"""),"Gucci Nava")</f>
        <v>Gucci Nava</v>
      </c>
      <c r="W1145" s="1" t="str">
        <f>IFERROR(__xludf.DUMMYFUNCTION("""COMPUTED_VALUE"""),"Affinity Support")</f>
        <v>Affinity Support</v>
      </c>
    </row>
    <row r="1146">
      <c r="O1146" s="1" t="str">
        <f>IFERROR(__xludf.DUMMYFUNCTION("""COMPUTED_VALUE"""),"2025 Oct")</f>
        <v>2025 Oct</v>
      </c>
      <c r="P1146" s="1" t="str">
        <f>IFERROR(__xludf.DUMMYFUNCTION("""COMPUTED_VALUE"""),"Segment-specific Support")</f>
        <v>Segment-specific Support</v>
      </c>
      <c r="Q1146" s="1" t="str">
        <f>IFERROR(__xludf.DUMMYFUNCTION("""COMPUTED_VALUE"""),"adtolentino@canva.com")</f>
        <v>adtolentino@canva.com</v>
      </c>
      <c r="R1146" s="1" t="str">
        <f>IFERROR(__xludf.DUMMYFUNCTION("""COMPUTED_VALUE"""),"Alfred Devon Tolentino")</f>
        <v>Alfred Devon Tolentino</v>
      </c>
      <c r="S1146" s="1">
        <f>IFERROR(__xludf.DUMMYFUNCTION("""COMPUTED_VALUE"""),1.0)</f>
        <v>1</v>
      </c>
      <c r="T1146" s="1">
        <f>IFERROR(__xludf.DUMMYFUNCTION("""COMPUTED_VALUE"""),1.5)</f>
        <v>1.5</v>
      </c>
      <c r="U1146" s="2">
        <f>IFERROR(__xludf.DUMMYFUNCTION("""COMPUTED_VALUE"""),2.5)</f>
        <v>2.5</v>
      </c>
      <c r="V1146" s="1" t="str">
        <f>IFERROR(__xludf.DUMMYFUNCTION("""COMPUTED_VALUE"""),"Jonathan Dimaculangan")</f>
        <v>Jonathan Dimaculangan</v>
      </c>
      <c r="W1146" s="1" t="str">
        <f>IFERROR(__xludf.DUMMYFUNCTION("""COMPUTED_VALUE"""),"Flourish Support")</f>
        <v>Flourish Support</v>
      </c>
    </row>
    <row r="1147">
      <c r="O1147" s="1" t="str">
        <f>IFERROR(__xludf.DUMMYFUNCTION("""COMPUTED_VALUE"""),"2025 Oct")</f>
        <v>2025 Oct</v>
      </c>
      <c r="P1147" s="1" t="str">
        <f>IFERROR(__xludf.DUMMYFUNCTION("""COMPUTED_VALUE"""),"Admin Support")</f>
        <v>Admin Support</v>
      </c>
      <c r="Q1147" s="1" t="str">
        <f>IFERROR(__xludf.DUMMYFUNCTION("""COMPUTED_VALUE"""),"alicec@canva.com")</f>
        <v>alicec@canva.com</v>
      </c>
      <c r="R1147" s="1" t="str">
        <f>IFERROR(__xludf.DUMMYFUNCTION("""COMPUTED_VALUE"""),"Alice Creiser")</f>
        <v>Alice Creiser</v>
      </c>
      <c r="S1147" s="1"/>
      <c r="T1147" s="1">
        <f>IFERROR(__xludf.DUMMYFUNCTION("""COMPUTED_VALUE"""),14.0)</f>
        <v>14</v>
      </c>
      <c r="U1147" s="2">
        <f>IFERROR(__xludf.DUMMYFUNCTION("""COMPUTED_VALUE"""),14.0)</f>
        <v>14</v>
      </c>
      <c r="V1147" s="1" t="str">
        <f>IFERROR(__xludf.DUMMYFUNCTION("""COMPUTED_VALUE"""),"Tash Kelly")</f>
        <v>Tash Kelly</v>
      </c>
      <c r="W1147" s="1" t="str">
        <f>IFERROR(__xludf.DUMMYFUNCTION("""COMPUTED_VALUE"""),"Admin Support EMEA")</f>
        <v>Admin Support EMEA</v>
      </c>
    </row>
    <row r="1148">
      <c r="O1148" s="1" t="str">
        <f>IFERROR(__xludf.DUMMYFUNCTION("""COMPUTED_VALUE"""),"2025 Oct")</f>
        <v>2025 Oct</v>
      </c>
      <c r="P1148" s="1" t="str">
        <f>IFERROR(__xludf.DUMMYFUNCTION("""COMPUTED_VALUE"""),"Segment-specific Support")</f>
        <v>Segment-specific Support</v>
      </c>
      <c r="Q1148" s="1" t="str">
        <f>IFERROR(__xludf.DUMMYFUNCTION("""COMPUTED_VALUE"""),"alyanna@canva.com")</f>
        <v>alyanna@canva.com</v>
      </c>
      <c r="R1148" s="1" t="str">
        <f>IFERROR(__xludf.DUMMYFUNCTION("""COMPUTED_VALUE"""),"Alyanna Ramos")</f>
        <v>Alyanna Ramos</v>
      </c>
      <c r="S1148" s="1"/>
      <c r="T1148" s="1">
        <f>IFERROR(__xludf.DUMMYFUNCTION("""COMPUTED_VALUE"""),3.97)</f>
        <v>3.97</v>
      </c>
      <c r="U1148" s="2">
        <f>IFERROR(__xludf.DUMMYFUNCTION("""COMPUTED_VALUE"""),3.97)</f>
        <v>3.97</v>
      </c>
      <c r="V1148" s="1" t="str">
        <f>IFERROR(__xludf.DUMMYFUNCTION("""COMPUTED_VALUE"""),"Rose Gabilan")</f>
        <v>Rose Gabilan</v>
      </c>
      <c r="W1148" s="1" t="str">
        <f>IFERROR(__xludf.DUMMYFUNCTION("""COMPUTED_VALUE"""),"Affinity Support")</f>
        <v>Affinity Support</v>
      </c>
    </row>
    <row r="1149">
      <c r="O1149" s="1" t="str">
        <f>IFERROR(__xludf.DUMMYFUNCTION("""COMPUTED_VALUE"""),"2025 Oct")</f>
        <v>2025 Oct</v>
      </c>
      <c r="P1149" s="1" t="str">
        <f>IFERROR(__xludf.DUMMYFUNCTION("""COMPUTED_VALUE"""),"Core Product Support")</f>
        <v>Core Product Support</v>
      </c>
      <c r="Q1149" s="1" t="str">
        <f>IFERROR(__xludf.DUMMYFUNCTION("""COMPUTED_VALUE"""),"alyssakae@canva.com")</f>
        <v>alyssakae@canva.com</v>
      </c>
      <c r="R1149" s="1" t="str">
        <f>IFERROR(__xludf.DUMMYFUNCTION("""COMPUTED_VALUE"""),"Alyssa Kae Laranang")</f>
        <v>Alyssa Kae Laranang</v>
      </c>
      <c r="S1149" s="1">
        <f>IFERROR(__xludf.DUMMYFUNCTION("""COMPUTED_VALUE"""),1.5)</f>
        <v>1.5</v>
      </c>
      <c r="T1149" s="1">
        <f>IFERROR(__xludf.DUMMYFUNCTION("""COMPUTED_VALUE"""),15.5)</f>
        <v>15.5</v>
      </c>
      <c r="U1149" s="2">
        <f>IFERROR(__xludf.DUMMYFUNCTION("""COMPUTED_VALUE"""),17.0)</f>
        <v>17</v>
      </c>
      <c r="V1149" s="1" t="str">
        <f>IFERROR(__xludf.DUMMYFUNCTION("""COMPUTED_VALUE"""),"Ellaine Estayo")</f>
        <v>Ellaine Estayo</v>
      </c>
      <c r="W1149" s="1" t="str">
        <f>IFERROR(__xludf.DUMMYFUNCTION("""COMPUTED_VALUE"""),"Core Product Support Escalation Team")</f>
        <v>Core Product Support Escalation Team</v>
      </c>
    </row>
    <row r="1150">
      <c r="O1150" s="1" t="str">
        <f>IFERROR(__xludf.DUMMYFUNCTION("""COMPUTED_VALUE"""),"2025 Oct")</f>
        <v>2025 Oct</v>
      </c>
      <c r="P1150" s="1" t="str">
        <f>IFERROR(__xludf.DUMMYFUNCTION("""COMPUTED_VALUE"""),"Print Support")</f>
        <v>Print Support</v>
      </c>
      <c r="Q1150" s="1" t="str">
        <f>IFERROR(__xludf.DUMMYFUNCTION("""COMPUTED_VALUE"""),"alyssam@canva.com")</f>
        <v>alyssam@canva.com</v>
      </c>
      <c r="R1150" s="1" t="str">
        <f>IFERROR(__xludf.DUMMYFUNCTION("""COMPUTED_VALUE"""),"Alyssa Martin-Silao")</f>
        <v>Alyssa Martin-Silao</v>
      </c>
      <c r="S1150" s="1">
        <f>IFERROR(__xludf.DUMMYFUNCTION("""COMPUTED_VALUE"""),6.0)</f>
        <v>6</v>
      </c>
      <c r="T1150" s="1">
        <f>IFERROR(__xludf.DUMMYFUNCTION("""COMPUTED_VALUE"""),3.25)</f>
        <v>3.25</v>
      </c>
      <c r="U1150" s="2">
        <f>IFERROR(__xludf.DUMMYFUNCTION("""COMPUTED_VALUE"""),9.25)</f>
        <v>9.25</v>
      </c>
      <c r="V1150" s="1" t="str">
        <f>IFERROR(__xludf.DUMMYFUNCTION("""COMPUTED_VALUE"""),"Rae Erlano")</f>
        <v>Rae Erlano</v>
      </c>
      <c r="W1150" s="1" t="str">
        <f>IFERROR(__xludf.DUMMYFUNCTION("""COMPUTED_VALUE"""),"Print Support PH")</f>
        <v>Print Support PH</v>
      </c>
    </row>
    <row r="1151">
      <c r="O1151" s="1" t="str">
        <f>IFERROR(__xludf.DUMMYFUNCTION("""COMPUTED_VALUE"""),"2025 Oct")</f>
        <v>2025 Oct</v>
      </c>
      <c r="P1151" s="1" t="str">
        <f>IFERROR(__xludf.DUMMYFUNCTION("""COMPUTED_VALUE"""),"Print Support")</f>
        <v>Print Support</v>
      </c>
      <c r="Q1151" s="1" t="str">
        <f>IFERROR(__xludf.DUMMYFUNCTION("""COMPUTED_VALUE"""),"alyssas@canva.com")</f>
        <v>alyssas@canva.com</v>
      </c>
      <c r="R1151" s="1" t="str">
        <f>IFERROR(__xludf.DUMMYFUNCTION("""COMPUTED_VALUE"""),"Alyssa Sunga")</f>
        <v>Alyssa Sunga</v>
      </c>
      <c r="S1151" s="1">
        <f>IFERROR(__xludf.DUMMYFUNCTION("""COMPUTED_VALUE"""),0.33)</f>
        <v>0.33</v>
      </c>
      <c r="T1151" s="1">
        <f>IFERROR(__xludf.DUMMYFUNCTION("""COMPUTED_VALUE"""),4.27)</f>
        <v>4.27</v>
      </c>
      <c r="U1151" s="2">
        <f>IFERROR(__xludf.DUMMYFUNCTION("""COMPUTED_VALUE"""),4.6)</f>
        <v>4.6</v>
      </c>
      <c r="V1151" s="1" t="str">
        <f>IFERROR(__xludf.DUMMYFUNCTION("""COMPUTED_VALUE"""),"Althea Mercado")</f>
        <v>Althea Mercado</v>
      </c>
      <c r="W1151" s="1" t="str">
        <f>IFERROR(__xludf.DUMMYFUNCTION("""COMPUTED_VALUE"""),"Print Support PH")</f>
        <v>Print Support PH</v>
      </c>
    </row>
    <row r="1152">
      <c r="O1152" s="1" t="str">
        <f>IFERROR(__xludf.DUMMYFUNCTION("""COMPUTED_VALUE"""),"2025 Oct")</f>
        <v>2025 Oct</v>
      </c>
      <c r="P1152" s="1" t="str">
        <f>IFERROR(__xludf.DUMMYFUNCTION("""COMPUTED_VALUE"""),"Print Support")</f>
        <v>Print Support</v>
      </c>
      <c r="Q1152" s="1" t="str">
        <f>IFERROR(__xludf.DUMMYFUNCTION("""COMPUTED_VALUE"""),"andrea.g@canva.com")</f>
        <v>andrea.g@canva.com</v>
      </c>
      <c r="R1152" s="1" t="str">
        <f>IFERROR(__xludf.DUMMYFUNCTION("""COMPUTED_VALUE"""),"Andrea Gutierrez")</f>
        <v>Andrea Gutierrez</v>
      </c>
      <c r="S1152" s="1">
        <f>IFERROR(__xludf.DUMMYFUNCTION("""COMPUTED_VALUE"""),1.75)</f>
        <v>1.75</v>
      </c>
      <c r="T1152" s="1">
        <f>IFERROR(__xludf.DUMMYFUNCTION("""COMPUTED_VALUE"""),2.75)</f>
        <v>2.75</v>
      </c>
      <c r="U1152" s="2">
        <f>IFERROR(__xludf.DUMMYFUNCTION("""COMPUTED_VALUE"""),4.5)</f>
        <v>4.5</v>
      </c>
      <c r="V1152" s="1" t="str">
        <f>IFERROR(__xludf.DUMMYFUNCTION("""COMPUTED_VALUE"""),"G-Anne Murillo")</f>
        <v>G-Anne Murillo</v>
      </c>
      <c r="W1152" s="1" t="str">
        <f>IFERROR(__xludf.DUMMYFUNCTION("""COMPUTED_VALUE"""),"Print Design Support")</f>
        <v>Print Design Support</v>
      </c>
    </row>
    <row r="1153">
      <c r="O1153" s="1" t="str">
        <f>IFERROR(__xludf.DUMMYFUNCTION("""COMPUTED_VALUE"""),"2025 Oct")</f>
        <v>2025 Oct</v>
      </c>
      <c r="P1153" s="1" t="str">
        <f>IFERROR(__xludf.DUMMYFUNCTION("""COMPUTED_VALUE"""),"Print Support")</f>
        <v>Print Support</v>
      </c>
      <c r="Q1153" s="1" t="str">
        <f>IFERROR(__xludf.DUMMYFUNCTION("""COMPUTED_VALUE"""),"xandwea@canva.com")</f>
        <v>xandwea@canva.com</v>
      </c>
      <c r="R1153" s="1" t="str">
        <f>IFERROR(__xludf.DUMMYFUNCTION("""COMPUTED_VALUE"""),"Andrea Lugtu")</f>
        <v>Andrea Lugtu</v>
      </c>
      <c r="S1153" s="1"/>
      <c r="T1153" s="1">
        <f>IFERROR(__xludf.DUMMYFUNCTION("""COMPUTED_VALUE"""),2.75)</f>
        <v>2.75</v>
      </c>
      <c r="U1153" s="2">
        <f>IFERROR(__xludf.DUMMYFUNCTION("""COMPUTED_VALUE"""),2.75)</f>
        <v>2.75</v>
      </c>
      <c r="V1153" s="1" t="str">
        <f>IFERROR(__xludf.DUMMYFUNCTION("""COMPUTED_VALUE"""),"Manee Barrasa")</f>
        <v>Manee Barrasa</v>
      </c>
      <c r="W1153" s="1" t="str">
        <f>IFERROR(__xludf.DUMMYFUNCTION("""COMPUTED_VALUE"""),"Print Support PH")</f>
        <v>Print Support PH</v>
      </c>
    </row>
    <row r="1154">
      <c r="O1154" s="1" t="str">
        <f>IFERROR(__xludf.DUMMYFUNCTION("""COMPUTED_VALUE"""),"2025 Oct")</f>
        <v>2025 Oct</v>
      </c>
      <c r="P1154" s="1" t="str">
        <f>IFERROR(__xludf.DUMMYFUNCTION("""COMPUTED_VALUE"""),"High Sensitivity Support")</f>
        <v>High Sensitivity Support</v>
      </c>
      <c r="Q1154" s="1" t="str">
        <f>IFERROR(__xludf.DUMMYFUNCTION("""COMPUTED_VALUE"""),"andreimg@canva.com")</f>
        <v>andreimg@canva.com</v>
      </c>
      <c r="R1154" s="1" t="str">
        <f>IFERROR(__xludf.DUMMYFUNCTION("""COMPUTED_VALUE"""),"Andrei Galutan")</f>
        <v>Andrei Galutan</v>
      </c>
      <c r="S1154" s="1">
        <f>IFERROR(__xludf.DUMMYFUNCTION("""COMPUTED_VALUE"""),1.0)</f>
        <v>1</v>
      </c>
      <c r="T1154" s="1">
        <f>IFERROR(__xludf.DUMMYFUNCTION("""COMPUTED_VALUE"""),7.42)</f>
        <v>7.42</v>
      </c>
      <c r="U1154" s="2">
        <f>IFERROR(__xludf.DUMMYFUNCTION("""COMPUTED_VALUE"""),8.42)</f>
        <v>8.42</v>
      </c>
      <c r="V1154" s="1" t="str">
        <f>IFERROR(__xludf.DUMMYFUNCTION("""COMPUTED_VALUE"""),"Rex Villamor")</f>
        <v>Rex Villamor</v>
      </c>
      <c r="W1154" s="1" t="str">
        <f>IFERROR(__xludf.DUMMYFUNCTION("""COMPUTED_VALUE"""),"Advanced Product Support")</f>
        <v>Advanced Product Support</v>
      </c>
    </row>
    <row r="1155">
      <c r="O1155" s="1" t="str">
        <f>IFERROR(__xludf.DUMMYFUNCTION("""COMPUTED_VALUE"""),"2025 Oct")</f>
        <v>2025 Oct</v>
      </c>
      <c r="P1155" s="1" t="str">
        <f>IFERROR(__xludf.DUMMYFUNCTION("""COMPUTED_VALUE"""),"Core Product Support")</f>
        <v>Core Product Support</v>
      </c>
      <c r="Q1155" s="1" t="str">
        <f>IFERROR(__xludf.DUMMYFUNCTION("""COMPUTED_VALUE"""),"aalemania@canva.com")</f>
        <v>aalemania@canva.com</v>
      </c>
      <c r="R1155" s="1" t="str">
        <f>IFERROR(__xludf.DUMMYFUNCTION("""COMPUTED_VALUE"""),"Angel Alemania")</f>
        <v>Angel Alemania</v>
      </c>
      <c r="S1155" s="1"/>
      <c r="T1155" s="1">
        <f>IFERROR(__xludf.DUMMYFUNCTION("""COMPUTED_VALUE"""),20.75)</f>
        <v>20.75</v>
      </c>
      <c r="U1155" s="2">
        <f>IFERROR(__xludf.DUMMYFUNCTION("""COMPUTED_VALUE"""),20.75)</f>
        <v>20.75</v>
      </c>
      <c r="V1155" s="1" t="str">
        <f>IFERROR(__xludf.DUMMYFUNCTION("""COMPUTED_VALUE"""),"Sieg Ballelos")</f>
        <v>Sieg Ballelos</v>
      </c>
      <c r="W1155" s="1" t="str">
        <f>IFERROR(__xludf.DUMMYFUNCTION("""COMPUTED_VALUE"""),"Core Product Support Escalation Team")</f>
        <v>Core Product Support Escalation Team</v>
      </c>
    </row>
    <row r="1156">
      <c r="O1156" s="1" t="str">
        <f>IFERROR(__xludf.DUMMYFUNCTION("""COMPUTED_VALUE"""),"2025 Oct")</f>
        <v>2025 Oct</v>
      </c>
      <c r="P1156" s="1" t="str">
        <f>IFERROR(__xludf.DUMMYFUNCTION("""COMPUTED_VALUE"""),"Admin Support")</f>
        <v>Admin Support</v>
      </c>
      <c r="Q1156" s="1" t="str">
        <f>IFERROR(__xludf.DUMMYFUNCTION("""COMPUTED_VALUE"""),"angelc@canva.com")</f>
        <v>angelc@canva.com</v>
      </c>
      <c r="R1156" s="1" t="str">
        <f>IFERROR(__xludf.DUMMYFUNCTION("""COMPUTED_VALUE"""),"Angel Cabrera")</f>
        <v>Angel Cabrera</v>
      </c>
      <c r="S1156" s="1">
        <f>IFERROR(__xludf.DUMMYFUNCTION("""COMPUTED_VALUE"""),1.5)</f>
        <v>1.5</v>
      </c>
      <c r="T1156" s="1">
        <f>IFERROR(__xludf.DUMMYFUNCTION("""COMPUTED_VALUE"""),39.25)</f>
        <v>39.25</v>
      </c>
      <c r="U1156" s="2">
        <f>IFERROR(__xludf.DUMMYFUNCTION("""COMPUTED_VALUE"""),40.75)</f>
        <v>40.75</v>
      </c>
      <c r="V1156" s="1" t="str">
        <f>IFERROR(__xludf.DUMMYFUNCTION("""COMPUTED_VALUE"""),"Ann Dumlao")</f>
        <v>Ann Dumlao</v>
      </c>
      <c r="W1156" s="1" t="str">
        <f>IFERROR(__xludf.DUMMYFUNCTION("""COMPUTED_VALUE"""),"Admin Omni Support")</f>
        <v>Admin Omni Support</v>
      </c>
    </row>
    <row r="1157">
      <c r="O1157" s="1" t="str">
        <f>IFERROR(__xludf.DUMMYFUNCTION("""COMPUTED_VALUE"""),"2025 Oct")</f>
        <v>2025 Oct</v>
      </c>
      <c r="P1157" s="1" t="str">
        <f>IFERROR(__xludf.DUMMYFUNCTION("""COMPUTED_VALUE"""),"Segment-specific Support")</f>
        <v>Segment-specific Support</v>
      </c>
      <c r="Q1157" s="1" t="str">
        <f>IFERROR(__xludf.DUMMYFUNCTION("""COMPUTED_VALUE"""),"angelheart@canva.com")</f>
        <v>angelheart@canva.com</v>
      </c>
      <c r="R1157" s="1" t="str">
        <f>IFERROR(__xludf.DUMMYFUNCTION("""COMPUTED_VALUE"""),"Angel Heart Santos")</f>
        <v>Angel Heart Santos</v>
      </c>
      <c r="S1157" s="1">
        <f>IFERROR(__xludf.DUMMYFUNCTION("""COMPUTED_VALUE"""),1.5)</f>
        <v>1.5</v>
      </c>
      <c r="T1157" s="1">
        <f>IFERROR(__xludf.DUMMYFUNCTION("""COMPUTED_VALUE"""),1.5)</f>
        <v>1.5</v>
      </c>
      <c r="U1157" s="2">
        <f>IFERROR(__xludf.DUMMYFUNCTION("""COMPUTED_VALUE"""),3.0)</f>
        <v>3</v>
      </c>
      <c r="V1157" s="1" t="str">
        <f>IFERROR(__xludf.DUMMYFUNCTION("""COMPUTED_VALUE"""),"Jonathan Dimaculangan")</f>
        <v>Jonathan Dimaculangan</v>
      </c>
      <c r="W1157" s="1" t="str">
        <f>IFERROR(__xludf.DUMMYFUNCTION("""COMPUTED_VALUE"""),"Flourish Support")</f>
        <v>Flourish Support</v>
      </c>
    </row>
    <row r="1158">
      <c r="O1158" s="1" t="str">
        <f>IFERROR(__xludf.DUMMYFUNCTION("""COMPUTED_VALUE"""),"2025 Oct")</f>
        <v>2025 Oct</v>
      </c>
      <c r="P1158" s="1" t="str">
        <f>IFERROR(__xludf.DUMMYFUNCTION("""COMPUTED_VALUE"""),"Core Product Support")</f>
        <v>Core Product Support</v>
      </c>
      <c r="Q1158" s="1" t="str">
        <f>IFERROR(__xludf.DUMMYFUNCTION("""COMPUTED_VALUE"""),"angelm@canva.com")</f>
        <v>angelm@canva.com</v>
      </c>
      <c r="R1158" s="1" t="str">
        <f>IFERROR(__xludf.DUMMYFUNCTION("""COMPUTED_VALUE"""),"Angel Medina")</f>
        <v>Angel Medina</v>
      </c>
      <c r="S1158" s="1">
        <f>IFERROR(__xludf.DUMMYFUNCTION("""COMPUTED_VALUE"""),1.0)</f>
        <v>1</v>
      </c>
      <c r="T1158" s="1">
        <f>IFERROR(__xludf.DUMMYFUNCTION("""COMPUTED_VALUE"""),20.05)</f>
        <v>20.05</v>
      </c>
      <c r="U1158" s="2">
        <f>IFERROR(__xludf.DUMMYFUNCTION("""COMPUTED_VALUE"""),21.05)</f>
        <v>21.05</v>
      </c>
      <c r="V1158" s="1" t="str">
        <f>IFERROR(__xludf.DUMMYFUNCTION("""COMPUTED_VALUE"""),"Ellaine Estayo")</f>
        <v>Ellaine Estayo</v>
      </c>
      <c r="W1158" s="1" t="str">
        <f>IFERROR(__xludf.DUMMYFUNCTION("""COMPUTED_VALUE"""),"Core Product Support Escalation Team")</f>
        <v>Core Product Support Escalation Team</v>
      </c>
    </row>
    <row r="1159">
      <c r="O1159" s="1" t="str">
        <f>IFERROR(__xludf.DUMMYFUNCTION("""COMPUTED_VALUE"""),"2025 Oct")</f>
        <v>2025 Oct</v>
      </c>
      <c r="P1159" s="1" t="str">
        <f>IFERROR(__xludf.DUMMYFUNCTION("""COMPUTED_VALUE"""),"Print Support")</f>
        <v>Print Support</v>
      </c>
      <c r="Q1159" s="1" t="str">
        <f>IFERROR(__xludf.DUMMYFUNCTION("""COMPUTED_VALUE"""),"angelf@canva.com")</f>
        <v>angelf@canva.com</v>
      </c>
      <c r="R1159" s="1" t="str">
        <f>IFERROR(__xludf.DUMMYFUNCTION("""COMPUTED_VALUE"""),"Angel Merilleno")</f>
        <v>Angel Merilleno</v>
      </c>
      <c r="S1159" s="1">
        <f>IFERROR(__xludf.DUMMYFUNCTION("""COMPUTED_VALUE"""),1.83)</f>
        <v>1.83</v>
      </c>
      <c r="T1159" s="1">
        <f>IFERROR(__xludf.DUMMYFUNCTION("""COMPUTED_VALUE"""),3.25)</f>
        <v>3.25</v>
      </c>
      <c r="U1159" s="2">
        <f>IFERROR(__xludf.DUMMYFUNCTION("""COMPUTED_VALUE"""),5.08)</f>
        <v>5.08</v>
      </c>
      <c r="V1159" s="1" t="str">
        <f>IFERROR(__xludf.DUMMYFUNCTION("""COMPUTED_VALUE"""),"Louise Dianne Estrella")</f>
        <v>Louise Dianne Estrella</v>
      </c>
      <c r="W1159" s="1" t="str">
        <f>IFERROR(__xludf.DUMMYFUNCTION("""COMPUTED_VALUE"""),"Print Support PH")</f>
        <v>Print Support PH</v>
      </c>
    </row>
    <row r="1160">
      <c r="O1160" s="1" t="str">
        <f>IFERROR(__xludf.DUMMYFUNCTION("""COMPUTED_VALUE"""),"2025 Oct")</f>
        <v>2025 Oct</v>
      </c>
      <c r="P1160" s="1" t="str">
        <f>IFERROR(__xludf.DUMMYFUNCTION("""COMPUTED_VALUE"""),"Core Product Support")</f>
        <v>Core Product Support</v>
      </c>
      <c r="Q1160" s="1" t="str">
        <f>IFERROR(__xludf.DUMMYFUNCTION("""COMPUTED_VALUE"""),"angelic@canva.com")</f>
        <v>angelic@canva.com</v>
      </c>
      <c r="R1160" s="1" t="str">
        <f>IFERROR(__xludf.DUMMYFUNCTION("""COMPUTED_VALUE"""),"Angel Ramas")</f>
        <v>Angel Ramas</v>
      </c>
      <c r="S1160" s="1">
        <f>IFERROR(__xludf.DUMMYFUNCTION("""COMPUTED_VALUE"""),0.5)</f>
        <v>0.5</v>
      </c>
      <c r="T1160" s="1">
        <f>IFERROR(__xludf.DUMMYFUNCTION("""COMPUTED_VALUE"""),5.0)</f>
        <v>5</v>
      </c>
      <c r="U1160" s="2">
        <f>IFERROR(__xludf.DUMMYFUNCTION("""COMPUTED_VALUE"""),5.5)</f>
        <v>5.5</v>
      </c>
      <c r="V1160" s="1" t="str">
        <f>IFERROR(__xludf.DUMMYFUNCTION("""COMPUTED_VALUE"""),"Marie Mordeno")</f>
        <v>Marie Mordeno</v>
      </c>
      <c r="W1160" s="1" t="str">
        <f>IFERROR(__xludf.DUMMYFUNCTION("""COMPUTED_VALUE"""),"Advanced Billing &amp; Subscriptions")</f>
        <v>Advanced Billing &amp; Subscriptions</v>
      </c>
    </row>
    <row r="1161">
      <c r="O1161" s="1" t="str">
        <f>IFERROR(__xludf.DUMMYFUNCTION("""COMPUTED_VALUE"""),"2025 Oct")</f>
        <v>2025 Oct</v>
      </c>
      <c r="P1161" s="1" t="str">
        <f>IFERROR(__xludf.DUMMYFUNCTION("""COMPUTED_VALUE"""),"Segment-specific Support")</f>
        <v>Segment-specific Support</v>
      </c>
      <c r="Q1161" s="1" t="str">
        <f>IFERROR(__xludf.DUMMYFUNCTION("""COMPUTED_VALUE"""),"adflora@canva.com")</f>
        <v>adflora@canva.com</v>
      </c>
      <c r="R1161" s="1" t="str">
        <f>IFERROR(__xludf.DUMMYFUNCTION("""COMPUTED_VALUE"""),"Angela Flora")</f>
        <v>Angela Flora</v>
      </c>
      <c r="S1161" s="1">
        <f>IFERROR(__xludf.DUMMYFUNCTION("""COMPUTED_VALUE"""),1.5)</f>
        <v>1.5</v>
      </c>
      <c r="T1161" s="1">
        <f>IFERROR(__xludf.DUMMYFUNCTION("""COMPUTED_VALUE"""),4.12)</f>
        <v>4.12</v>
      </c>
      <c r="U1161" s="2">
        <f>IFERROR(__xludf.DUMMYFUNCTION("""COMPUTED_VALUE"""),5.62)</f>
        <v>5.62</v>
      </c>
      <c r="V1161" s="1" t="str">
        <f>IFERROR(__xludf.DUMMYFUNCTION("""COMPUTED_VALUE"""),"Gucci Nava")</f>
        <v>Gucci Nava</v>
      </c>
      <c r="W1161" s="1" t="str">
        <f>IFERROR(__xludf.DUMMYFUNCTION("""COMPUTED_VALUE"""),"Print Support PH")</f>
        <v>Print Support PH</v>
      </c>
    </row>
    <row r="1162">
      <c r="O1162" s="1" t="str">
        <f>IFERROR(__xludf.DUMMYFUNCTION("""COMPUTED_VALUE"""),"2025 Oct")</f>
        <v>2025 Oct</v>
      </c>
      <c r="P1162" s="1" t="str">
        <f>IFERROR(__xludf.DUMMYFUNCTION("""COMPUTED_VALUE"""),"Core Product Support")</f>
        <v>Core Product Support</v>
      </c>
      <c r="Q1162" s="1" t="str">
        <f>IFERROR(__xludf.DUMMYFUNCTION("""COMPUTED_VALUE"""),"annaalberto@canva.com")</f>
        <v>annaalberto@canva.com</v>
      </c>
      <c r="R1162" s="1" t="str">
        <f>IFERROR(__xludf.DUMMYFUNCTION("""COMPUTED_VALUE"""),"Anna Alberto-Felipe")</f>
        <v>Anna Alberto-Felipe</v>
      </c>
      <c r="S1162" s="1">
        <f>IFERROR(__xludf.DUMMYFUNCTION("""COMPUTED_VALUE"""),0.5)</f>
        <v>0.5</v>
      </c>
      <c r="T1162" s="1">
        <f>IFERROR(__xludf.DUMMYFUNCTION("""COMPUTED_VALUE"""),44.67)</f>
        <v>44.67</v>
      </c>
      <c r="U1162" s="2">
        <f>IFERROR(__xludf.DUMMYFUNCTION("""COMPUTED_VALUE"""),45.17)</f>
        <v>45.17</v>
      </c>
      <c r="V1162" s="1" t="str">
        <f>IFERROR(__xludf.DUMMYFUNCTION("""COMPUTED_VALUE"""),"Jahmie Mae Barrameda")</f>
        <v>Jahmie Mae Barrameda</v>
      </c>
      <c r="W1162" s="1" t="str">
        <f>IFERROR(__xludf.DUMMYFUNCTION("""COMPUTED_VALUE"""),"Advanced Billing &amp; Subscriptions")</f>
        <v>Advanced Billing &amp; Subscriptions</v>
      </c>
    </row>
    <row r="1163">
      <c r="O1163" s="1" t="str">
        <f>IFERROR(__xludf.DUMMYFUNCTION("""COMPUTED_VALUE"""),"2025 Oct")</f>
        <v>2025 Oct</v>
      </c>
      <c r="P1163" s="1" t="str">
        <f>IFERROR(__xludf.DUMMYFUNCTION("""COMPUTED_VALUE"""),"Print Support")</f>
        <v>Print Support</v>
      </c>
      <c r="Q1163" s="1" t="str">
        <f>IFERROR(__xludf.DUMMYFUNCTION("""COMPUTED_VALUE"""),"arcelie@canva.com")</f>
        <v>arcelie@canva.com</v>
      </c>
      <c r="R1163" s="1" t="str">
        <f>IFERROR(__xludf.DUMMYFUNCTION("""COMPUTED_VALUE"""),"Arcie San Pedro")</f>
        <v>Arcie San Pedro</v>
      </c>
      <c r="S1163" s="1">
        <f>IFERROR(__xludf.DUMMYFUNCTION("""COMPUTED_VALUE"""),5.25)</f>
        <v>5.25</v>
      </c>
      <c r="T1163" s="1">
        <f>IFERROR(__xludf.DUMMYFUNCTION("""COMPUTED_VALUE"""),2.75)</f>
        <v>2.75</v>
      </c>
      <c r="U1163" s="2">
        <f>IFERROR(__xludf.DUMMYFUNCTION("""COMPUTED_VALUE"""),8.0)</f>
        <v>8</v>
      </c>
      <c r="V1163" s="1" t="str">
        <f>IFERROR(__xludf.DUMMYFUNCTION("""COMPUTED_VALUE"""),"Rae Erlano")</f>
        <v>Rae Erlano</v>
      </c>
      <c r="W1163" s="1" t="str">
        <f>IFERROR(__xludf.DUMMYFUNCTION("""COMPUTED_VALUE"""),"Print Support PH")</f>
        <v>Print Support PH</v>
      </c>
    </row>
    <row r="1164">
      <c r="O1164" s="1" t="str">
        <f>IFERROR(__xludf.DUMMYFUNCTION("""COMPUTED_VALUE"""),"2025 Oct")</f>
        <v>2025 Oct</v>
      </c>
      <c r="P1164" s="1" t="str">
        <f>IFERROR(__xludf.DUMMYFUNCTION("""COMPUTED_VALUE"""),"Print Support")</f>
        <v>Print Support</v>
      </c>
      <c r="Q1164" s="1" t="str">
        <f>IFERROR(__xludf.DUMMYFUNCTION("""COMPUTED_VALUE"""),"arjane@canva.com")</f>
        <v>arjane@canva.com</v>
      </c>
      <c r="R1164" s="1" t="str">
        <f>IFERROR(__xludf.DUMMYFUNCTION("""COMPUTED_VALUE"""),"Arjane Oliva")</f>
        <v>Arjane Oliva</v>
      </c>
      <c r="S1164" s="1"/>
      <c r="T1164" s="1">
        <f>IFERROR(__xludf.DUMMYFUNCTION("""COMPUTED_VALUE"""),1.75)</f>
        <v>1.75</v>
      </c>
      <c r="U1164" s="2">
        <f>IFERROR(__xludf.DUMMYFUNCTION("""COMPUTED_VALUE"""),1.75)</f>
        <v>1.75</v>
      </c>
      <c r="V1164" s="1" t="str">
        <f>IFERROR(__xludf.DUMMYFUNCTION("""COMPUTED_VALUE"""),"Rei De Jesus")</f>
        <v>Rei De Jesus</v>
      </c>
      <c r="W1164" s="1" t="str">
        <f>IFERROR(__xludf.DUMMYFUNCTION("""COMPUTED_VALUE"""),"Print Design Support")</f>
        <v>Print Design Support</v>
      </c>
    </row>
    <row r="1165">
      <c r="O1165" s="1" t="str">
        <f>IFERROR(__xludf.DUMMYFUNCTION("""COMPUTED_VALUE"""),"2025 Oct")</f>
        <v>2025 Oct</v>
      </c>
      <c r="P1165" s="1" t="str">
        <f>IFERROR(__xludf.DUMMYFUNCTION("""COMPUTED_VALUE"""),"High Sensitivity Support")</f>
        <v>High Sensitivity Support</v>
      </c>
      <c r="Q1165" s="1" t="str">
        <f>IFERROR(__xludf.DUMMYFUNCTION("""COMPUTED_VALUE"""),"arodes@canva.com")</f>
        <v>arodes@canva.com</v>
      </c>
      <c r="R1165" s="1" t="str">
        <f>IFERROR(__xludf.DUMMYFUNCTION("""COMPUTED_VALUE"""),"Arriane Rodes")</f>
        <v>Arriane Rodes</v>
      </c>
      <c r="S1165" s="1">
        <f>IFERROR(__xludf.DUMMYFUNCTION("""COMPUTED_VALUE"""),10.0)</f>
        <v>10</v>
      </c>
      <c r="T1165" s="1">
        <f>IFERROR(__xludf.DUMMYFUNCTION("""COMPUTED_VALUE"""),4.2)</f>
        <v>4.2</v>
      </c>
      <c r="U1165" s="2">
        <f>IFERROR(__xludf.DUMMYFUNCTION("""COMPUTED_VALUE"""),14.2)</f>
        <v>14.2</v>
      </c>
      <c r="V1165" s="1" t="str">
        <f>IFERROR(__xludf.DUMMYFUNCTION("""COMPUTED_VALUE"""),"Xandy Azarcon")</f>
        <v>Xandy Azarcon</v>
      </c>
      <c r="W1165" s="1" t="str">
        <f>IFERROR(__xludf.DUMMYFUNCTION("""COMPUTED_VALUE"""),"High Sensitivity Support PH")</f>
        <v>High Sensitivity Support PH</v>
      </c>
    </row>
    <row r="1166">
      <c r="O1166" s="1" t="str">
        <f>IFERROR(__xludf.DUMMYFUNCTION("""COMPUTED_VALUE"""),"2025 Oct")</f>
        <v>2025 Oct</v>
      </c>
      <c r="P1166" s="1" t="str">
        <f>IFERROR(__xludf.DUMMYFUNCTION("""COMPUTED_VALUE"""),"Admin Support")</f>
        <v>Admin Support</v>
      </c>
      <c r="Q1166" s="1" t="str">
        <f>IFERROR(__xludf.DUMMYFUNCTION("""COMPUTED_VALUE"""),"ashli@canva.com")</f>
        <v>ashli@canva.com</v>
      </c>
      <c r="R1166" s="1" t="str">
        <f>IFERROR(__xludf.DUMMYFUNCTION("""COMPUTED_VALUE"""),"Ashli Hanson")</f>
        <v>Ashli Hanson</v>
      </c>
      <c r="S1166" s="1">
        <f>IFERROR(__xludf.DUMMYFUNCTION("""COMPUTED_VALUE"""),0.5)</f>
        <v>0.5</v>
      </c>
      <c r="T1166" s="1">
        <f>IFERROR(__xludf.DUMMYFUNCTION("""COMPUTED_VALUE"""),7.83)</f>
        <v>7.83</v>
      </c>
      <c r="U1166" s="2">
        <f>IFERROR(__xludf.DUMMYFUNCTION("""COMPUTED_VALUE"""),8.33)</f>
        <v>8.33</v>
      </c>
      <c r="V1166" s="1" t="str">
        <f>IFERROR(__xludf.DUMMYFUNCTION("""COMPUTED_VALUE"""),"Nate Vela")</f>
        <v>Nate Vela</v>
      </c>
      <c r="W1166" s="1" t="str">
        <f>IFERROR(__xludf.DUMMYFUNCTION("""COMPUTED_VALUE"""),"Admin Support NA")</f>
        <v>Admin Support NA</v>
      </c>
    </row>
    <row r="1167">
      <c r="O1167" s="1" t="str">
        <f>IFERROR(__xludf.DUMMYFUNCTION("""COMPUTED_VALUE"""),"2025 Oct")</f>
        <v>2025 Oct</v>
      </c>
      <c r="P1167" s="1" t="str">
        <f>IFERROR(__xludf.DUMMYFUNCTION("""COMPUTED_VALUE"""),"High Sensitivity Support")</f>
        <v>High Sensitivity Support</v>
      </c>
      <c r="Q1167" s="1" t="str">
        <f>IFERROR(__xludf.DUMMYFUNCTION("""COMPUTED_VALUE"""),"aubrey@canva.com")</f>
        <v>aubrey@canva.com</v>
      </c>
      <c r="R1167" s="1" t="str">
        <f>IFERROR(__xludf.DUMMYFUNCTION("""COMPUTED_VALUE"""),"Aubrey Jasme")</f>
        <v>Aubrey Jasme</v>
      </c>
      <c r="S1167" s="1"/>
      <c r="T1167" s="1">
        <f>IFERROR(__xludf.DUMMYFUNCTION("""COMPUTED_VALUE"""),14.92)</f>
        <v>14.92</v>
      </c>
      <c r="U1167" s="2">
        <f>IFERROR(__xludf.DUMMYFUNCTION("""COMPUTED_VALUE"""),14.92)</f>
        <v>14.92</v>
      </c>
      <c r="V1167" s="1" t="str">
        <f>IFERROR(__xludf.DUMMYFUNCTION("""COMPUTED_VALUE"""),"Rex Villamor")</f>
        <v>Rex Villamor</v>
      </c>
      <c r="W1167" s="1" t="str">
        <f>IFERROR(__xludf.DUMMYFUNCTION("""COMPUTED_VALUE"""),"High Sensitivity Support PH")</f>
        <v>High Sensitivity Support PH</v>
      </c>
    </row>
    <row r="1168">
      <c r="O1168" s="1" t="str">
        <f>IFERROR(__xludf.DUMMYFUNCTION("""COMPUTED_VALUE"""),"2025 Oct")</f>
        <v>2025 Oct</v>
      </c>
      <c r="P1168" s="1" t="str">
        <f>IFERROR(__xludf.DUMMYFUNCTION("""COMPUTED_VALUE"""),"Core Product Support")</f>
        <v>Core Product Support</v>
      </c>
      <c r="Q1168" s="1" t="str">
        <f>IFERROR(__xludf.DUMMYFUNCTION("""COMPUTED_VALUE"""),"ayen@canva.com")</f>
        <v>ayen@canva.com</v>
      </c>
      <c r="R1168" s="1" t="str">
        <f>IFERROR(__xludf.DUMMYFUNCTION("""COMPUTED_VALUE"""),"Ayen Realeza")</f>
        <v>Ayen Realeza</v>
      </c>
      <c r="S1168" s="1"/>
      <c r="T1168" s="1">
        <f>IFERROR(__xludf.DUMMYFUNCTION("""COMPUTED_VALUE"""),21.5)</f>
        <v>21.5</v>
      </c>
      <c r="U1168" s="2">
        <f>IFERROR(__xludf.DUMMYFUNCTION("""COMPUTED_VALUE"""),21.5)</f>
        <v>21.5</v>
      </c>
      <c r="V1168" s="1" t="str">
        <f>IFERROR(__xludf.DUMMYFUNCTION("""COMPUTED_VALUE"""),"Jelyn Elmido")</f>
        <v>Jelyn Elmido</v>
      </c>
      <c r="W1168" s="1" t="str">
        <f>IFERROR(__xludf.DUMMYFUNCTION("""COMPUTED_VALUE"""),"Core Product Support Escalation Team")</f>
        <v>Core Product Support Escalation Team</v>
      </c>
    </row>
    <row r="1169">
      <c r="O1169" s="1" t="str">
        <f>IFERROR(__xludf.DUMMYFUNCTION("""COMPUTED_VALUE"""),"2025 Oct")</f>
        <v>2025 Oct</v>
      </c>
      <c r="P1169" s="1" t="str">
        <f>IFERROR(__xludf.DUMMYFUNCTION("""COMPUTED_VALUE"""),"#N/A")</f>
        <v>#N/A</v>
      </c>
      <c r="Q1169" s="1" t="str">
        <f>IFERROR(__xludf.DUMMYFUNCTION("""COMPUTED_VALUE"""),"bamboo@canva.com")</f>
        <v>bamboo@canva.com</v>
      </c>
      <c r="R1169" s="1" t="str">
        <f>IFERROR(__xludf.DUMMYFUNCTION("""COMPUTED_VALUE"""),"Bamboo Reymundo")</f>
        <v>Bamboo Reymundo</v>
      </c>
      <c r="S1169" s="1"/>
      <c r="T1169" s="1">
        <f>IFERROR(__xludf.DUMMYFUNCTION("""COMPUTED_VALUE"""),5.0)</f>
        <v>5</v>
      </c>
      <c r="U1169" s="2">
        <f>IFERROR(__xludf.DUMMYFUNCTION("""COMPUTED_VALUE"""),5.0)</f>
        <v>5</v>
      </c>
      <c r="V1169" s="1" t="str">
        <f>IFERROR(__xludf.DUMMYFUNCTION("""COMPUTED_VALUE"""),"Marie Mordeno")</f>
        <v>Marie Mordeno</v>
      </c>
      <c r="W1169" s="1" t="str">
        <f>IFERROR(__xludf.DUMMYFUNCTION("""COMPUTED_VALUE"""),"Advanced Billing &amp; Subscriptions")</f>
        <v>Advanced Billing &amp; Subscriptions</v>
      </c>
    </row>
    <row r="1170">
      <c r="O1170" s="1" t="str">
        <f>IFERROR(__xludf.DUMMYFUNCTION("""COMPUTED_VALUE"""),"2025 Oct")</f>
        <v>2025 Oct</v>
      </c>
      <c r="P1170" s="1" t="str">
        <f>IFERROR(__xludf.DUMMYFUNCTION("""COMPUTED_VALUE"""),"Print Support")</f>
        <v>Print Support</v>
      </c>
      <c r="Q1170" s="1" t="str">
        <f>IFERROR(__xludf.DUMMYFUNCTION("""COMPUTED_VALUE"""),"jborreros@canva.com")</f>
        <v>jborreros@canva.com</v>
      </c>
      <c r="R1170" s="1" t="str">
        <f>IFERROR(__xludf.DUMMYFUNCTION("""COMPUTED_VALUE"""),"Bea Borreros")</f>
        <v>Bea Borreros</v>
      </c>
      <c r="S1170" s="1">
        <f>IFERROR(__xludf.DUMMYFUNCTION("""COMPUTED_VALUE"""),8.25)</f>
        <v>8.25</v>
      </c>
      <c r="T1170" s="1">
        <f>IFERROR(__xludf.DUMMYFUNCTION("""COMPUTED_VALUE"""),2.75)</f>
        <v>2.75</v>
      </c>
      <c r="U1170" s="2">
        <f>IFERROR(__xludf.DUMMYFUNCTION("""COMPUTED_VALUE"""),11.0)</f>
        <v>11</v>
      </c>
      <c r="V1170" s="1" t="str">
        <f>IFERROR(__xludf.DUMMYFUNCTION("""COMPUTED_VALUE"""),"Memae Faustino")</f>
        <v>Memae Faustino</v>
      </c>
      <c r="W1170" s="1" t="str">
        <f>IFERROR(__xludf.DUMMYFUNCTION("""COMPUTED_VALUE"""),"Print Support PH")</f>
        <v>Print Support PH</v>
      </c>
    </row>
    <row r="1171">
      <c r="O1171" s="1" t="str">
        <f>IFERROR(__xludf.DUMMYFUNCTION("""COMPUTED_VALUE"""),"2025 Oct")</f>
        <v>2025 Oct</v>
      </c>
      <c r="P1171" s="1" t="str">
        <f>IFERROR(__xludf.DUMMYFUNCTION("""COMPUTED_VALUE"""),"Print Support")</f>
        <v>Print Support</v>
      </c>
      <c r="Q1171" s="1" t="str">
        <f>IFERROR(__xludf.DUMMYFUNCTION("""COMPUTED_VALUE"""),"bea@canva.com")</f>
        <v>bea@canva.com</v>
      </c>
      <c r="R1171" s="1" t="str">
        <f>IFERROR(__xludf.DUMMYFUNCTION("""COMPUTED_VALUE"""),"Bea Mendoza")</f>
        <v>Bea Mendoza</v>
      </c>
      <c r="S1171" s="1"/>
      <c r="T1171" s="1">
        <f>IFERROR(__xludf.DUMMYFUNCTION("""COMPUTED_VALUE"""),2.75)</f>
        <v>2.75</v>
      </c>
      <c r="U1171" s="2">
        <f>IFERROR(__xludf.DUMMYFUNCTION("""COMPUTED_VALUE"""),2.75)</f>
        <v>2.75</v>
      </c>
      <c r="V1171" s="1" t="str">
        <f>IFERROR(__xludf.DUMMYFUNCTION("""COMPUTED_VALUE"""),"Aliza Dote")</f>
        <v>Aliza Dote</v>
      </c>
      <c r="W1171" s="1" t="str">
        <f>IFERROR(__xludf.DUMMYFUNCTION("""COMPUTED_VALUE"""),"Print Design Support")</f>
        <v>Print Design Support</v>
      </c>
    </row>
    <row r="1172">
      <c r="O1172" s="1" t="str">
        <f>IFERROR(__xludf.DUMMYFUNCTION("""COMPUTED_VALUE"""),"2025 Oct")</f>
        <v>2025 Oct</v>
      </c>
      <c r="P1172" s="1" t="str">
        <f>IFERROR(__xludf.DUMMYFUNCTION("""COMPUTED_VALUE"""),"Core Product Support")</f>
        <v>Core Product Support</v>
      </c>
      <c r="Q1172" s="1" t="str">
        <f>IFERROR(__xludf.DUMMYFUNCTION("""COMPUTED_VALUE"""),"beanyvince@canva.com")</f>
        <v>beanyvince@canva.com</v>
      </c>
      <c r="R1172" s="1" t="str">
        <f>IFERROR(__xludf.DUMMYFUNCTION("""COMPUTED_VALUE"""),"Beany Rodriguez")</f>
        <v>Beany Rodriguez</v>
      </c>
      <c r="S1172" s="1">
        <f>IFERROR(__xludf.DUMMYFUNCTION("""COMPUTED_VALUE"""),1.0)</f>
        <v>1</v>
      </c>
      <c r="T1172" s="1">
        <f>IFERROR(__xludf.DUMMYFUNCTION("""COMPUTED_VALUE"""),6.25)</f>
        <v>6.25</v>
      </c>
      <c r="U1172" s="2">
        <f>IFERROR(__xludf.DUMMYFUNCTION("""COMPUTED_VALUE"""),7.25)</f>
        <v>7.25</v>
      </c>
      <c r="V1172" s="1" t="str">
        <f>IFERROR(__xludf.DUMMYFUNCTION("""COMPUTED_VALUE"""),"Cate Velasco")</f>
        <v>Cate Velasco</v>
      </c>
      <c r="W1172" s="1" t="str">
        <f>IFERROR(__xludf.DUMMYFUNCTION("""COMPUTED_VALUE"""),"Advanced Product Support")</f>
        <v>Advanced Product Support</v>
      </c>
    </row>
    <row r="1173">
      <c r="O1173" s="1" t="str">
        <f>IFERROR(__xludf.DUMMYFUNCTION("""COMPUTED_VALUE"""),"2025 Oct")</f>
        <v>2025 Oct</v>
      </c>
      <c r="P1173" s="1" t="str">
        <f>IFERROR(__xludf.DUMMYFUNCTION("""COMPUTED_VALUE"""),"Print Support")</f>
        <v>Print Support</v>
      </c>
      <c r="Q1173" s="1" t="str">
        <f>IFERROR(__xludf.DUMMYFUNCTION("""COMPUTED_VALUE"""),"bembiellanza@canva.com")</f>
        <v>bembiellanza@canva.com</v>
      </c>
      <c r="R1173" s="1" t="str">
        <f>IFERROR(__xludf.DUMMYFUNCTION("""COMPUTED_VALUE"""),"Bembie Llanza")</f>
        <v>Bembie Llanza</v>
      </c>
      <c r="S1173" s="1">
        <f>IFERROR(__xludf.DUMMYFUNCTION("""COMPUTED_VALUE"""),2.0)</f>
        <v>2</v>
      </c>
      <c r="T1173" s="1">
        <f>IFERROR(__xludf.DUMMYFUNCTION("""COMPUTED_VALUE"""),5.0)</f>
        <v>5</v>
      </c>
      <c r="U1173" s="2">
        <f>IFERROR(__xludf.DUMMYFUNCTION("""COMPUTED_VALUE"""),7.0)</f>
        <v>7</v>
      </c>
      <c r="V1173" s="1" t="str">
        <f>IFERROR(__xludf.DUMMYFUNCTION("""COMPUTED_VALUE"""),"Althea Mercado")</f>
        <v>Althea Mercado</v>
      </c>
      <c r="W1173" s="1" t="str">
        <f>IFERROR(__xludf.DUMMYFUNCTION("""COMPUTED_VALUE"""),"Print Support PH")</f>
        <v>Print Support PH</v>
      </c>
    </row>
    <row r="1174">
      <c r="O1174" s="1" t="str">
        <f>IFERROR(__xludf.DUMMYFUNCTION("""COMPUTED_VALUE"""),"2025 Oct")</f>
        <v>2025 Oct</v>
      </c>
      <c r="P1174" s="1" t="str">
        <f>IFERROR(__xludf.DUMMYFUNCTION("""COMPUTED_VALUE"""),"Segment-specific Support")</f>
        <v>Segment-specific Support</v>
      </c>
      <c r="Q1174" s="1" t="str">
        <f>IFERROR(__xludf.DUMMYFUNCTION("""COMPUTED_VALUE"""),"bernice@canva.com")</f>
        <v>bernice@canva.com</v>
      </c>
      <c r="R1174" s="1" t="str">
        <f>IFERROR(__xludf.DUMMYFUNCTION("""COMPUTED_VALUE"""),"Bernice Talosig")</f>
        <v>Bernice Talosig</v>
      </c>
      <c r="S1174" s="1"/>
      <c r="T1174" s="1">
        <f>IFERROR(__xludf.DUMMYFUNCTION("""COMPUTED_VALUE"""),4.55)</f>
        <v>4.55</v>
      </c>
      <c r="U1174" s="2">
        <f>IFERROR(__xludf.DUMMYFUNCTION("""COMPUTED_VALUE"""),4.55)</f>
        <v>4.55</v>
      </c>
      <c r="V1174" s="1" t="str">
        <f>IFERROR(__xludf.DUMMYFUNCTION("""COMPUTED_VALUE"""),"Gucci Nava")</f>
        <v>Gucci Nava</v>
      </c>
      <c r="W1174" s="1" t="str">
        <f>IFERROR(__xludf.DUMMYFUNCTION("""COMPUTED_VALUE"""),"Affinity Support")</f>
        <v>Affinity Support</v>
      </c>
    </row>
    <row r="1175">
      <c r="O1175" s="1" t="str">
        <f>IFERROR(__xludf.DUMMYFUNCTION("""COMPUTED_VALUE"""),"2025 Oct")</f>
        <v>2025 Oct</v>
      </c>
      <c r="P1175" s="1" t="str">
        <f>IFERROR(__xludf.DUMMYFUNCTION("""COMPUTED_VALUE"""),"Core Product Support")</f>
        <v>Core Product Support</v>
      </c>
      <c r="Q1175" s="1" t="str">
        <f>IFERROR(__xludf.DUMMYFUNCTION("""COMPUTED_VALUE"""),"beverlymarie@canva.com")</f>
        <v>beverlymarie@canva.com</v>
      </c>
      <c r="R1175" s="1" t="str">
        <f>IFERROR(__xludf.DUMMYFUNCTION("""COMPUTED_VALUE"""),"Bev Dacanay")</f>
        <v>Bev Dacanay</v>
      </c>
      <c r="S1175" s="1"/>
      <c r="T1175" s="1">
        <f>IFERROR(__xludf.DUMMYFUNCTION("""COMPUTED_VALUE"""),5.25)</f>
        <v>5.25</v>
      </c>
      <c r="U1175" s="2">
        <f>IFERROR(__xludf.DUMMYFUNCTION("""COMPUTED_VALUE"""),5.25)</f>
        <v>5.25</v>
      </c>
      <c r="V1175" s="1" t="str">
        <f>IFERROR(__xludf.DUMMYFUNCTION("""COMPUTED_VALUE"""),"Ayza Marie Pascual")</f>
        <v>Ayza Marie Pascual</v>
      </c>
      <c r="W1175" s="1" t="str">
        <f>IFERROR(__xludf.DUMMYFUNCTION("""COMPUTED_VALUE"""),"Advanced Billing &amp; Subscriptions")</f>
        <v>Advanced Billing &amp; Subscriptions</v>
      </c>
    </row>
    <row r="1176">
      <c r="O1176" s="1" t="str">
        <f>IFERROR(__xludf.DUMMYFUNCTION("""COMPUTED_VALUE"""),"2025 Oct")</f>
        <v>2025 Oct</v>
      </c>
      <c r="P1176" s="1" t="str">
        <f>IFERROR(__xludf.DUMMYFUNCTION("""COMPUTED_VALUE"""),"Admin Support")</f>
        <v>Admin Support</v>
      </c>
      <c r="Q1176" s="1" t="str">
        <f>IFERROR(__xludf.DUMMYFUNCTION("""COMPUTED_VALUE"""),"bia@canva.com")</f>
        <v>bia@canva.com</v>
      </c>
      <c r="R1176" s="1" t="str">
        <f>IFERROR(__xludf.DUMMYFUNCTION("""COMPUTED_VALUE"""),"Bianca Santiago")</f>
        <v>Bianca Santiago</v>
      </c>
      <c r="S1176" s="1"/>
      <c r="T1176" s="1">
        <f>IFERROR(__xludf.DUMMYFUNCTION("""COMPUTED_VALUE"""),31.0)</f>
        <v>31</v>
      </c>
      <c r="U1176" s="2">
        <f>IFERROR(__xludf.DUMMYFUNCTION("""COMPUTED_VALUE"""),31.0)</f>
        <v>31</v>
      </c>
      <c r="V1176" s="1" t="str">
        <f>IFERROR(__xludf.DUMMYFUNCTION("""COMPUTED_VALUE"""),"Karla Mananghaya")</f>
        <v>Karla Mananghaya</v>
      </c>
      <c r="W1176" s="1" t="str">
        <f>IFERROR(__xludf.DUMMYFUNCTION("""COMPUTED_VALUE"""),"Admin Support Service Escalation Team")</f>
        <v>Admin Support Service Escalation Team</v>
      </c>
    </row>
    <row r="1177">
      <c r="O1177" s="1" t="str">
        <f>IFERROR(__xludf.DUMMYFUNCTION("""COMPUTED_VALUE"""),"2025 Oct")</f>
        <v>2025 Oct</v>
      </c>
      <c r="P1177" s="1" t="str">
        <f>IFERROR(__xludf.DUMMYFUNCTION("""COMPUTED_VALUE"""),"Core Product Support")</f>
        <v>Core Product Support</v>
      </c>
      <c r="Q1177" s="1" t="str">
        <f>IFERROR(__xludf.DUMMYFUNCTION("""COMPUTED_VALUE"""),"bryanb@canva.com")</f>
        <v>bryanb@canva.com</v>
      </c>
      <c r="R1177" s="1" t="str">
        <f>IFERROR(__xludf.DUMMYFUNCTION("""COMPUTED_VALUE"""),"Bryan Lemuel Britanico")</f>
        <v>Bryan Lemuel Britanico</v>
      </c>
      <c r="S1177" s="1"/>
      <c r="T1177" s="1">
        <f>IFERROR(__xludf.DUMMYFUNCTION("""COMPUTED_VALUE"""),5.5)</f>
        <v>5.5</v>
      </c>
      <c r="U1177" s="2">
        <f>IFERROR(__xludf.DUMMYFUNCTION("""COMPUTED_VALUE"""),5.5)</f>
        <v>5.5</v>
      </c>
      <c r="V1177" s="1" t="str">
        <f>IFERROR(__xludf.DUMMYFUNCTION("""COMPUTED_VALUE"""),"Jahmie Mae Barrameda")</f>
        <v>Jahmie Mae Barrameda</v>
      </c>
      <c r="W1177" s="1" t="str">
        <f>IFERROR(__xludf.DUMMYFUNCTION("""COMPUTED_VALUE"""),"Advanced Billing &amp; Subscriptions")</f>
        <v>Advanced Billing &amp; Subscriptions</v>
      </c>
    </row>
    <row r="1178">
      <c r="O1178" s="1" t="str">
        <f>IFERROR(__xludf.DUMMYFUNCTION("""COMPUTED_VALUE"""),"2025 Oct")</f>
        <v>2025 Oct</v>
      </c>
      <c r="P1178" s="1" t="str">
        <f>IFERROR(__xludf.DUMMYFUNCTION("""COMPUTED_VALUE"""),"Print Support")</f>
        <v>Print Support</v>
      </c>
      <c r="Q1178" s="1" t="str">
        <f>IFERROR(__xludf.DUMMYFUNCTION("""COMPUTED_VALUE"""),"caesar@canva.com")</f>
        <v>caesar@canva.com</v>
      </c>
      <c r="R1178" s="1" t="str">
        <f>IFERROR(__xludf.DUMMYFUNCTION("""COMPUTED_VALUE"""),"Caesar Bitudio")</f>
        <v>Caesar Bitudio</v>
      </c>
      <c r="S1178" s="1"/>
      <c r="T1178" s="1">
        <f>IFERROR(__xludf.DUMMYFUNCTION("""COMPUTED_VALUE"""),3.75)</f>
        <v>3.75</v>
      </c>
      <c r="U1178" s="2">
        <f>IFERROR(__xludf.DUMMYFUNCTION("""COMPUTED_VALUE"""),3.75)</f>
        <v>3.75</v>
      </c>
      <c r="V1178" s="1" t="str">
        <f>IFERROR(__xludf.DUMMYFUNCTION("""COMPUTED_VALUE"""),"G-Anne Murillo")</f>
        <v>G-Anne Murillo</v>
      </c>
      <c r="W1178" s="1" t="str">
        <f>IFERROR(__xludf.DUMMYFUNCTION("""COMPUTED_VALUE"""),"Print Design Support")</f>
        <v>Print Design Support</v>
      </c>
    </row>
    <row r="1179">
      <c r="O1179" s="1" t="str">
        <f>IFERROR(__xludf.DUMMYFUNCTION("""COMPUTED_VALUE"""),"2025 Oct")</f>
        <v>2025 Oct</v>
      </c>
      <c r="P1179" s="1" t="str">
        <f>IFERROR(__xludf.DUMMYFUNCTION("""COMPUTED_VALUE"""),"Core Product Support")</f>
        <v>Core Product Support</v>
      </c>
      <c r="Q1179" s="1" t="str">
        <f>IFERROR(__xludf.DUMMYFUNCTION("""COMPUTED_VALUE"""),"cae@canva.com")</f>
        <v>cae@canva.com</v>
      </c>
      <c r="R1179" s="1" t="str">
        <f>IFERROR(__xludf.DUMMYFUNCTION("""COMPUTED_VALUE"""),"Caevee Dizon")</f>
        <v>Caevee Dizon</v>
      </c>
      <c r="S1179" s="1">
        <f>IFERROR(__xludf.DUMMYFUNCTION("""COMPUTED_VALUE"""),1.0)</f>
        <v>1</v>
      </c>
      <c r="T1179" s="1">
        <f>IFERROR(__xludf.DUMMYFUNCTION("""COMPUTED_VALUE"""),5.0)</f>
        <v>5</v>
      </c>
      <c r="U1179" s="2">
        <f>IFERROR(__xludf.DUMMYFUNCTION("""COMPUTED_VALUE"""),6.0)</f>
        <v>6</v>
      </c>
      <c r="V1179" s="1" t="str">
        <f>IFERROR(__xludf.DUMMYFUNCTION("""COMPUTED_VALUE"""),"Jahmie Mae Barrameda")</f>
        <v>Jahmie Mae Barrameda</v>
      </c>
      <c r="W1179" s="1" t="str">
        <f>IFERROR(__xludf.DUMMYFUNCTION("""COMPUTED_VALUE"""),"Advanced Billing &amp; Subscriptions")</f>
        <v>Advanced Billing &amp; Subscriptions</v>
      </c>
    </row>
    <row r="1180">
      <c r="O1180" s="1" t="str">
        <f>IFERROR(__xludf.DUMMYFUNCTION("""COMPUTED_VALUE"""),"2025 Oct")</f>
        <v>2025 Oct</v>
      </c>
      <c r="P1180" s="1" t="str">
        <f>IFERROR(__xludf.DUMMYFUNCTION("""COMPUTED_VALUE"""),"#N/A")</f>
        <v>#N/A</v>
      </c>
      <c r="Q1180" s="1" t="str">
        <f>IFERROR(__xludf.DUMMYFUNCTION("""COMPUTED_VALUE"""),"cali@canva.com")</f>
        <v>cali@canva.com</v>
      </c>
      <c r="R1180" s="1" t="str">
        <f>IFERROR(__xludf.DUMMYFUNCTION("""COMPUTED_VALUE"""),"Cali Bermudo")</f>
        <v>Cali Bermudo</v>
      </c>
      <c r="S1180" s="1">
        <f>IFERROR(__xludf.DUMMYFUNCTION("""COMPUTED_VALUE"""),1.5)</f>
        <v>1.5</v>
      </c>
      <c r="T1180" s="1">
        <f>IFERROR(__xludf.DUMMYFUNCTION("""COMPUTED_VALUE"""),2.63)</f>
        <v>2.63</v>
      </c>
      <c r="U1180" s="2">
        <f>IFERROR(__xludf.DUMMYFUNCTION("""COMPUTED_VALUE"""),4.13)</f>
        <v>4.13</v>
      </c>
      <c r="V1180" s="1" t="str">
        <f>IFERROR(__xludf.DUMMYFUNCTION("""COMPUTED_VALUE"""),"#N/A")</f>
        <v>#N/A</v>
      </c>
      <c r="W1180" s="1" t="str">
        <f>IFERROR(__xludf.DUMMYFUNCTION("""COMPUTED_VALUE"""),"Print Design Support")</f>
        <v>Print Design Support</v>
      </c>
    </row>
    <row r="1181">
      <c r="O1181" s="1" t="str">
        <f>IFERROR(__xludf.DUMMYFUNCTION("""COMPUTED_VALUE"""),"2025 Oct")</f>
        <v>2025 Oct</v>
      </c>
      <c r="P1181" s="1" t="str">
        <f>IFERROR(__xludf.DUMMYFUNCTION("""COMPUTED_VALUE"""),"Admin Support")</f>
        <v>Admin Support</v>
      </c>
      <c r="Q1181" s="1" t="str">
        <f>IFERROR(__xludf.DUMMYFUNCTION("""COMPUTED_VALUE"""),"cbasilio@canva.com")</f>
        <v>cbasilio@canva.com</v>
      </c>
      <c r="R1181" s="1" t="str">
        <f>IFERROR(__xludf.DUMMYFUNCTION("""COMPUTED_VALUE"""),"Camille Basilio")</f>
        <v>Camille Basilio</v>
      </c>
      <c r="S1181" s="1">
        <f>IFERROR(__xludf.DUMMYFUNCTION("""COMPUTED_VALUE"""),1.5)</f>
        <v>1.5</v>
      </c>
      <c r="T1181" s="1">
        <f>IFERROR(__xludf.DUMMYFUNCTION("""COMPUTED_VALUE"""),14.18)</f>
        <v>14.18</v>
      </c>
      <c r="U1181" s="2">
        <f>IFERROR(__xludf.DUMMYFUNCTION("""COMPUTED_VALUE"""),15.68)</f>
        <v>15.68</v>
      </c>
      <c r="V1181" s="1" t="str">
        <f>IFERROR(__xludf.DUMMYFUNCTION("""COMPUTED_VALUE"""),"AL Suarez")</f>
        <v>AL Suarez</v>
      </c>
      <c r="W1181" s="1" t="str">
        <f>IFERROR(__xludf.DUMMYFUNCTION("""COMPUTED_VALUE"""),"Admin Direct Support")</f>
        <v>Admin Direct Support</v>
      </c>
    </row>
    <row r="1182">
      <c r="O1182" s="1" t="str">
        <f>IFERROR(__xludf.DUMMYFUNCTION("""COMPUTED_VALUE"""),"2025 Oct")</f>
        <v>2025 Oct</v>
      </c>
      <c r="P1182" s="1" t="str">
        <f>IFERROR(__xludf.DUMMYFUNCTION("""COMPUTED_VALUE"""),"Core Product Support")</f>
        <v>Core Product Support</v>
      </c>
      <c r="Q1182" s="1" t="str">
        <f>IFERROR(__xludf.DUMMYFUNCTION("""COMPUTED_VALUE"""),"camilleb@canva.com")</f>
        <v>camilleb@canva.com</v>
      </c>
      <c r="R1182" s="1" t="str">
        <f>IFERROR(__xludf.DUMMYFUNCTION("""COMPUTED_VALUE"""),"Camille Bucks")</f>
        <v>Camille Bucks</v>
      </c>
      <c r="S1182" s="1">
        <f>IFERROR(__xludf.DUMMYFUNCTION("""COMPUTED_VALUE"""),1.0)</f>
        <v>1</v>
      </c>
      <c r="T1182" s="1">
        <f>IFERROR(__xludf.DUMMYFUNCTION("""COMPUTED_VALUE"""),19.88)</f>
        <v>19.88</v>
      </c>
      <c r="U1182" s="2">
        <f>IFERROR(__xludf.DUMMYFUNCTION("""COMPUTED_VALUE"""),20.88)</f>
        <v>20.88</v>
      </c>
      <c r="V1182" s="1" t="str">
        <f>IFERROR(__xludf.DUMMYFUNCTION("""COMPUTED_VALUE"""),"Ellaine Estayo")</f>
        <v>Ellaine Estayo</v>
      </c>
      <c r="W1182" s="1" t="str">
        <f>IFERROR(__xludf.DUMMYFUNCTION("""COMPUTED_VALUE"""),"Core Product Support Escalation Team")</f>
        <v>Core Product Support Escalation Team</v>
      </c>
    </row>
    <row r="1183">
      <c r="O1183" s="1" t="str">
        <f>IFERROR(__xludf.DUMMYFUNCTION("""COMPUTED_VALUE"""),"2025 Oct")</f>
        <v>2025 Oct</v>
      </c>
      <c r="P1183" s="1" t="str">
        <f>IFERROR(__xludf.DUMMYFUNCTION("""COMPUTED_VALUE"""),"Admin Support")</f>
        <v>Admin Support</v>
      </c>
      <c r="Q1183" s="1" t="str">
        <f>IFERROR(__xludf.DUMMYFUNCTION("""COMPUTED_VALUE"""),"camille.n@canva.com")</f>
        <v>camille.n@canva.com</v>
      </c>
      <c r="R1183" s="1" t="str">
        <f>IFERROR(__xludf.DUMMYFUNCTION("""COMPUTED_VALUE"""),"Camille Neypes")</f>
        <v>Camille Neypes</v>
      </c>
      <c r="S1183" s="1"/>
      <c r="T1183" s="1">
        <f>IFERROR(__xludf.DUMMYFUNCTION("""COMPUTED_VALUE"""),8.0)</f>
        <v>8</v>
      </c>
      <c r="U1183" s="2">
        <f>IFERROR(__xludf.DUMMYFUNCTION("""COMPUTED_VALUE"""),8.0)</f>
        <v>8</v>
      </c>
      <c r="V1183" s="1" t="str">
        <f>IFERROR(__xludf.DUMMYFUNCTION("""COMPUTED_VALUE"""),"Kelden Laguting")</f>
        <v>Kelden Laguting</v>
      </c>
      <c r="W1183" s="1" t="str">
        <f>IFERROR(__xludf.DUMMYFUNCTION("""COMPUTED_VALUE"""),"Admin Omni Support")</f>
        <v>Admin Omni Support</v>
      </c>
    </row>
    <row r="1184">
      <c r="O1184" s="1" t="str">
        <f>IFERROR(__xludf.DUMMYFUNCTION("""COMPUTED_VALUE"""),"2025 Oct")</f>
        <v>2025 Oct</v>
      </c>
      <c r="P1184" s="1" t="str">
        <f>IFERROR(__xludf.DUMMYFUNCTION("""COMPUTED_VALUE"""),"Print Support")</f>
        <v>Print Support</v>
      </c>
      <c r="Q1184" s="1" t="str">
        <f>IFERROR(__xludf.DUMMYFUNCTION("""COMPUTED_VALUE"""),"cammy@canva.com")</f>
        <v>cammy@canva.com</v>
      </c>
      <c r="R1184" s="1" t="str">
        <f>IFERROR(__xludf.DUMMYFUNCTION("""COMPUTED_VALUE"""),"Camille Oriel")</f>
        <v>Camille Oriel</v>
      </c>
      <c r="S1184" s="1">
        <f>IFERROR(__xludf.DUMMYFUNCTION("""COMPUTED_VALUE"""),2.0)</f>
        <v>2</v>
      </c>
      <c r="T1184" s="1">
        <f>IFERROR(__xludf.DUMMYFUNCTION("""COMPUTED_VALUE"""),4.25)</f>
        <v>4.25</v>
      </c>
      <c r="U1184" s="2">
        <f>IFERROR(__xludf.DUMMYFUNCTION("""COMPUTED_VALUE"""),6.25)</f>
        <v>6.25</v>
      </c>
      <c r="V1184" s="1" t="str">
        <f>IFERROR(__xludf.DUMMYFUNCTION("""COMPUTED_VALUE"""),"Louise Dianne Estrella")</f>
        <v>Louise Dianne Estrella</v>
      </c>
      <c r="W1184" s="1" t="str">
        <f>IFERROR(__xludf.DUMMYFUNCTION("""COMPUTED_VALUE"""),"Print Support PH")</f>
        <v>Print Support PH</v>
      </c>
    </row>
    <row r="1185">
      <c r="O1185" s="1" t="str">
        <f>IFERROR(__xludf.DUMMYFUNCTION("""COMPUTED_VALUE"""),"2025 Oct")</f>
        <v>2025 Oct</v>
      </c>
      <c r="P1185" s="1" t="str">
        <f>IFERROR(__xludf.DUMMYFUNCTION("""COMPUTED_VALUE"""),"Admin Support")</f>
        <v>Admin Support</v>
      </c>
      <c r="Q1185" s="1" t="str">
        <f>IFERROR(__xludf.DUMMYFUNCTION("""COMPUTED_VALUE"""),"carloav@canva.com")</f>
        <v>carloav@canva.com</v>
      </c>
      <c r="R1185" s="1" t="str">
        <f>IFERROR(__xludf.DUMMYFUNCTION("""COMPUTED_VALUE"""),"Carlo Valentin")</f>
        <v>Carlo Valentin</v>
      </c>
      <c r="S1185" s="1">
        <f>IFERROR(__xludf.DUMMYFUNCTION("""COMPUTED_VALUE"""),2.25)</f>
        <v>2.25</v>
      </c>
      <c r="T1185" s="1">
        <f>IFERROR(__xludf.DUMMYFUNCTION("""COMPUTED_VALUE"""),32.08)</f>
        <v>32.08</v>
      </c>
      <c r="U1185" s="2">
        <f>IFERROR(__xludf.DUMMYFUNCTION("""COMPUTED_VALUE"""),34.33)</f>
        <v>34.33</v>
      </c>
      <c r="V1185" s="1" t="str">
        <f>IFERROR(__xludf.DUMMYFUNCTION("""COMPUTED_VALUE"""),"Kelden Laguting")</f>
        <v>Kelden Laguting</v>
      </c>
      <c r="W1185" s="1" t="str">
        <f>IFERROR(__xludf.DUMMYFUNCTION("""COMPUTED_VALUE"""),"Admin Omni Support")</f>
        <v>Admin Omni Support</v>
      </c>
    </row>
    <row r="1186">
      <c r="O1186" s="1" t="str">
        <f>IFERROR(__xludf.DUMMYFUNCTION("""COMPUTED_VALUE"""),"2025 Oct")</f>
        <v>2025 Oct</v>
      </c>
      <c r="P1186" s="1" t="str">
        <f>IFERROR(__xludf.DUMMYFUNCTION("""COMPUTED_VALUE"""),"Core Product Support")</f>
        <v>Core Product Support</v>
      </c>
      <c r="Q1186" s="1" t="str">
        <f>IFERROR(__xludf.DUMMYFUNCTION("""COMPUTED_VALUE"""),"carmeladc@canva.com")</f>
        <v>carmeladc@canva.com</v>
      </c>
      <c r="R1186" s="1" t="str">
        <f>IFERROR(__xludf.DUMMYFUNCTION("""COMPUTED_VALUE"""),"Carmela Dela Cruz")</f>
        <v>Carmela Dela Cruz</v>
      </c>
      <c r="S1186" s="1">
        <f>IFERROR(__xludf.DUMMYFUNCTION("""COMPUTED_VALUE"""),0.5)</f>
        <v>0.5</v>
      </c>
      <c r="T1186" s="1">
        <f>IFERROR(__xludf.DUMMYFUNCTION("""COMPUTED_VALUE"""),6.0)</f>
        <v>6</v>
      </c>
      <c r="U1186" s="2">
        <f>IFERROR(__xludf.DUMMYFUNCTION("""COMPUTED_VALUE"""),6.5)</f>
        <v>6.5</v>
      </c>
      <c r="V1186" s="1" t="str">
        <f>IFERROR(__xludf.DUMMYFUNCTION("""COMPUTED_VALUE"""),"Marie Mordeno")</f>
        <v>Marie Mordeno</v>
      </c>
      <c r="W1186" s="1" t="str">
        <f>IFERROR(__xludf.DUMMYFUNCTION("""COMPUTED_VALUE"""),"Advanced Billing &amp; Subscriptions")</f>
        <v>Advanced Billing &amp; Subscriptions</v>
      </c>
    </row>
    <row r="1187">
      <c r="O1187" s="1" t="str">
        <f>IFERROR(__xludf.DUMMYFUNCTION("""COMPUTED_VALUE"""),"2025 Oct")</f>
        <v>2025 Oct</v>
      </c>
      <c r="P1187" s="1" t="str">
        <f>IFERROR(__xludf.DUMMYFUNCTION("""COMPUTED_VALUE"""),"Print Support")</f>
        <v>Print Support</v>
      </c>
      <c r="Q1187" s="1" t="str">
        <f>IFERROR(__xludf.DUMMYFUNCTION("""COMPUTED_VALUE"""),"carms@canva.com")</f>
        <v>carms@canva.com</v>
      </c>
      <c r="R1187" s="1" t="str">
        <f>IFERROR(__xludf.DUMMYFUNCTION("""COMPUTED_VALUE"""),"Carms Merilles")</f>
        <v>Carms Merilles</v>
      </c>
      <c r="S1187" s="1">
        <f>IFERROR(__xludf.DUMMYFUNCTION("""COMPUTED_VALUE"""),1.75)</f>
        <v>1.75</v>
      </c>
      <c r="T1187" s="1">
        <f>IFERROR(__xludf.DUMMYFUNCTION("""COMPUTED_VALUE"""),1.75)</f>
        <v>1.75</v>
      </c>
      <c r="U1187" s="2">
        <f>IFERROR(__xludf.DUMMYFUNCTION("""COMPUTED_VALUE"""),3.5)</f>
        <v>3.5</v>
      </c>
      <c r="V1187" s="1" t="str">
        <f>IFERROR(__xludf.DUMMYFUNCTION("""COMPUTED_VALUE"""),"Gem Agoncillo")</f>
        <v>Gem Agoncillo</v>
      </c>
      <c r="W1187" s="1" t="str">
        <f>IFERROR(__xludf.DUMMYFUNCTION("""COMPUTED_VALUE"""),"Print Design Support")</f>
        <v>Print Design Support</v>
      </c>
    </row>
    <row r="1188">
      <c r="O1188" s="1" t="str">
        <f>IFERROR(__xludf.DUMMYFUNCTION("""COMPUTED_VALUE"""),"2025 Oct")</f>
        <v>2025 Oct</v>
      </c>
      <c r="P1188" s="1" t="str">
        <f>IFERROR(__xludf.DUMMYFUNCTION("""COMPUTED_VALUE"""),"High Sensitivity Support")</f>
        <v>High Sensitivity Support</v>
      </c>
      <c r="Q1188" s="1" t="str">
        <f>IFERROR(__xludf.DUMMYFUNCTION("""COMPUTED_VALUE"""),"cassie@canva.com")</f>
        <v>cassie@canva.com</v>
      </c>
      <c r="R1188" s="1" t="str">
        <f>IFERROR(__xludf.DUMMYFUNCTION("""COMPUTED_VALUE"""),"Cassie Eugenio")</f>
        <v>Cassie Eugenio</v>
      </c>
      <c r="S1188" s="1"/>
      <c r="T1188" s="1">
        <f>IFERROR(__xludf.DUMMYFUNCTION("""COMPUTED_VALUE"""),3.0)</f>
        <v>3</v>
      </c>
      <c r="U1188" s="2">
        <f>IFERROR(__xludf.DUMMYFUNCTION("""COMPUTED_VALUE"""),3.0)</f>
        <v>3</v>
      </c>
      <c r="V1188" s="1" t="str">
        <f>IFERROR(__xludf.DUMMYFUNCTION("""COMPUTED_VALUE"""),"Issi Afable")</f>
        <v>Issi Afable</v>
      </c>
      <c r="W1188" s="1" t="str">
        <f>IFERROR(__xludf.DUMMYFUNCTION("""COMPUTED_VALUE"""),"High Sensitivity Support PH")</f>
        <v>High Sensitivity Support PH</v>
      </c>
    </row>
    <row r="1189">
      <c r="O1189" s="1" t="str">
        <f>IFERROR(__xludf.DUMMYFUNCTION("""COMPUTED_VALUE"""),"2025 Oct")</f>
        <v>2025 Oct</v>
      </c>
      <c r="P1189" s="1" t="str">
        <f>IFERROR(__xludf.DUMMYFUNCTION("""COMPUTED_VALUE"""),"Print Support")</f>
        <v>Print Support</v>
      </c>
      <c r="Q1189" s="1" t="str">
        <f>IFERROR(__xludf.DUMMYFUNCTION("""COMPUTED_VALUE"""),"catherinenicole@canva.com")</f>
        <v>catherinenicole@canva.com</v>
      </c>
      <c r="R1189" s="1" t="str">
        <f>IFERROR(__xludf.DUMMYFUNCTION("""COMPUTED_VALUE"""),"Catherine Ledesma")</f>
        <v>Catherine Ledesma</v>
      </c>
      <c r="S1189" s="1"/>
      <c r="T1189" s="1">
        <f>IFERROR(__xludf.DUMMYFUNCTION("""COMPUTED_VALUE"""),3.67)</f>
        <v>3.67</v>
      </c>
      <c r="U1189" s="2">
        <f>IFERROR(__xludf.DUMMYFUNCTION("""COMPUTED_VALUE"""),3.67)</f>
        <v>3.67</v>
      </c>
      <c r="V1189" s="1" t="str">
        <f>IFERROR(__xludf.DUMMYFUNCTION("""COMPUTED_VALUE"""),"Jen Momo")</f>
        <v>Jen Momo</v>
      </c>
      <c r="W1189" s="1" t="str">
        <f>IFERROR(__xludf.DUMMYFUNCTION("""COMPUTED_VALUE"""),"Print Support PH")</f>
        <v>Print Support PH</v>
      </c>
    </row>
    <row r="1190">
      <c r="O1190" s="1" t="str">
        <f>IFERROR(__xludf.DUMMYFUNCTION("""COMPUTED_VALUE"""),"2025 Oct")</f>
        <v>2025 Oct</v>
      </c>
      <c r="P1190" s="1" t="str">
        <f>IFERROR(__xludf.DUMMYFUNCTION("""COMPUTED_VALUE"""),"Core Product Support")</f>
        <v>Core Product Support</v>
      </c>
      <c r="Q1190" s="1" t="str">
        <f>IFERROR(__xludf.DUMMYFUNCTION("""COMPUTED_VALUE"""),"laranang@canva.com")</f>
        <v>laranang@canva.com</v>
      </c>
      <c r="R1190" s="1" t="str">
        <f>IFERROR(__xludf.DUMMYFUNCTION("""COMPUTED_VALUE"""),"Cha Laranang")</f>
        <v>Cha Laranang</v>
      </c>
      <c r="S1190" s="1"/>
      <c r="T1190" s="1">
        <f>IFERROR(__xludf.DUMMYFUNCTION("""COMPUTED_VALUE"""),7.0)</f>
        <v>7</v>
      </c>
      <c r="U1190" s="2">
        <f>IFERROR(__xludf.DUMMYFUNCTION("""COMPUTED_VALUE"""),7.0)</f>
        <v>7</v>
      </c>
      <c r="V1190" s="1" t="str">
        <f>IFERROR(__xludf.DUMMYFUNCTION("""COMPUTED_VALUE"""),"Cate Velasco")</f>
        <v>Cate Velasco</v>
      </c>
      <c r="W1190" s="1" t="str">
        <f>IFERROR(__xludf.DUMMYFUNCTION("""COMPUTED_VALUE"""),"Advanced Product Support")</f>
        <v>Advanced Product Support</v>
      </c>
    </row>
    <row r="1191">
      <c r="O1191" s="1" t="str">
        <f>IFERROR(__xludf.DUMMYFUNCTION("""COMPUTED_VALUE"""),"2025 Oct")</f>
        <v>2025 Oct</v>
      </c>
      <c r="P1191" s="1" t="str">
        <f>IFERROR(__xludf.DUMMYFUNCTION("""COMPUTED_VALUE"""),"Core Product Support")</f>
        <v>Core Product Support</v>
      </c>
      <c r="Q1191" s="1" t="str">
        <f>IFERROR(__xludf.DUMMYFUNCTION("""COMPUTED_VALUE"""),"chace@canva.com")</f>
        <v>chace@canva.com</v>
      </c>
      <c r="R1191" s="1" t="str">
        <f>IFERROR(__xludf.DUMMYFUNCTION("""COMPUTED_VALUE"""),"Chace Ablaza")</f>
        <v>Chace Ablaza</v>
      </c>
      <c r="S1191" s="1"/>
      <c r="T1191" s="1">
        <f>IFERROR(__xludf.DUMMYFUNCTION("""COMPUTED_VALUE"""),25.5)</f>
        <v>25.5</v>
      </c>
      <c r="U1191" s="2">
        <f>IFERROR(__xludf.DUMMYFUNCTION("""COMPUTED_VALUE"""),25.5)</f>
        <v>25.5</v>
      </c>
      <c r="V1191" s="1" t="str">
        <f>IFERROR(__xludf.DUMMYFUNCTION("""COMPUTED_VALUE"""),"Ellaine Estayo")</f>
        <v>Ellaine Estayo</v>
      </c>
      <c r="W1191" s="1" t="str">
        <f>IFERROR(__xludf.DUMMYFUNCTION("""COMPUTED_VALUE"""),"Core Product Support Escalation Team")</f>
        <v>Core Product Support Escalation Team</v>
      </c>
    </row>
    <row r="1192">
      <c r="O1192" s="1" t="str">
        <f>IFERROR(__xludf.DUMMYFUNCTION("""COMPUTED_VALUE"""),"2025 Oct")</f>
        <v>2025 Oct</v>
      </c>
      <c r="P1192" s="1" t="str">
        <f>IFERROR(__xludf.DUMMYFUNCTION("""COMPUTED_VALUE"""),"Core Product Support")</f>
        <v>Core Product Support</v>
      </c>
      <c r="Q1192" s="1" t="str">
        <f>IFERROR(__xludf.DUMMYFUNCTION("""COMPUTED_VALUE"""),"charissa@canva.com")</f>
        <v>charissa@canva.com</v>
      </c>
      <c r="R1192" s="1" t="str">
        <f>IFERROR(__xludf.DUMMYFUNCTION("""COMPUTED_VALUE"""),"Charissa Goyena")</f>
        <v>Charissa Goyena</v>
      </c>
      <c r="S1192" s="1"/>
      <c r="T1192" s="1">
        <f>IFERROR(__xludf.DUMMYFUNCTION("""COMPUTED_VALUE"""),10.0)</f>
        <v>10</v>
      </c>
      <c r="U1192" s="2">
        <f>IFERROR(__xludf.DUMMYFUNCTION("""COMPUTED_VALUE"""),10.0)</f>
        <v>10</v>
      </c>
      <c r="V1192" s="1" t="str">
        <f>IFERROR(__xludf.DUMMYFUNCTION("""COMPUTED_VALUE"""),"Vinz Lazaro")</f>
        <v>Vinz Lazaro</v>
      </c>
      <c r="W1192" s="1" t="str">
        <f>IFERROR(__xludf.DUMMYFUNCTION("""COMPUTED_VALUE"""),"Advanced Product Support")</f>
        <v>Advanced Product Support</v>
      </c>
    </row>
    <row r="1193">
      <c r="O1193" s="1" t="str">
        <f>IFERROR(__xludf.DUMMYFUNCTION("""COMPUTED_VALUE"""),"2025 Oct")</f>
        <v>2025 Oct</v>
      </c>
      <c r="P1193" s="1" t="str">
        <f>IFERROR(__xludf.DUMMYFUNCTION("""COMPUTED_VALUE"""),"Segment-specific Support")</f>
        <v>Segment-specific Support</v>
      </c>
      <c r="Q1193" s="1" t="str">
        <f>IFERROR(__xludf.DUMMYFUNCTION("""COMPUTED_VALUE"""),"charizavargas@canva.com")</f>
        <v>charizavargas@canva.com</v>
      </c>
      <c r="R1193" s="1" t="str">
        <f>IFERROR(__xludf.DUMMYFUNCTION("""COMPUTED_VALUE"""),"Chariza Vargas")</f>
        <v>Chariza Vargas</v>
      </c>
      <c r="S1193" s="1"/>
      <c r="T1193" s="1">
        <f>IFERROR(__xludf.DUMMYFUNCTION("""COMPUTED_VALUE"""),1.5)</f>
        <v>1.5</v>
      </c>
      <c r="U1193" s="2">
        <f>IFERROR(__xludf.DUMMYFUNCTION("""COMPUTED_VALUE"""),1.5)</f>
        <v>1.5</v>
      </c>
      <c r="V1193" s="1" t="str">
        <f>IFERROR(__xludf.DUMMYFUNCTION("""COMPUTED_VALUE"""),"Aileen Dayanghirang")</f>
        <v>Aileen Dayanghirang</v>
      </c>
      <c r="W1193" s="1" t="str">
        <f>IFERROR(__xludf.DUMMYFUNCTION("""COMPUTED_VALUE"""),"Creators Support")</f>
        <v>Creators Support</v>
      </c>
    </row>
    <row r="1194">
      <c r="O1194" s="1" t="str">
        <f>IFERROR(__xludf.DUMMYFUNCTION("""COMPUTED_VALUE"""),"2025 Oct")</f>
        <v>2025 Oct</v>
      </c>
      <c r="P1194" s="1" t="str">
        <f>IFERROR(__xludf.DUMMYFUNCTION("""COMPUTED_VALUE"""),"Admin Support")</f>
        <v>Admin Support</v>
      </c>
      <c r="Q1194" s="1" t="str">
        <f>IFERROR(__xludf.DUMMYFUNCTION("""COMPUTED_VALUE"""),"charlest@canva.com")</f>
        <v>charlest@canva.com</v>
      </c>
      <c r="R1194" s="1" t="str">
        <f>IFERROR(__xludf.DUMMYFUNCTION("""COMPUTED_VALUE"""),"Charles Andrew Tan")</f>
        <v>Charles Andrew Tan</v>
      </c>
      <c r="S1194" s="1"/>
      <c r="T1194" s="1">
        <f>IFERROR(__xludf.DUMMYFUNCTION("""COMPUTED_VALUE"""),33.25)</f>
        <v>33.25</v>
      </c>
      <c r="U1194" s="2">
        <f>IFERROR(__xludf.DUMMYFUNCTION("""COMPUTED_VALUE"""),33.25)</f>
        <v>33.25</v>
      </c>
      <c r="V1194" s="1" t="str">
        <f>IFERROR(__xludf.DUMMYFUNCTION("""COMPUTED_VALUE"""),"Kelden Laguting")</f>
        <v>Kelden Laguting</v>
      </c>
      <c r="W1194" s="1" t="str">
        <f>IFERROR(__xludf.DUMMYFUNCTION("""COMPUTED_VALUE"""),"Admin Omni Support")</f>
        <v>Admin Omni Support</v>
      </c>
    </row>
    <row r="1195">
      <c r="O1195" s="1" t="str">
        <f>IFERROR(__xludf.DUMMYFUNCTION("""COMPUTED_VALUE"""),"2025 Oct")</f>
        <v>2025 Oct</v>
      </c>
      <c r="P1195" s="1" t="str">
        <f>IFERROR(__xludf.DUMMYFUNCTION("""COMPUTED_VALUE"""),"Core Product Support")</f>
        <v>Core Product Support</v>
      </c>
      <c r="Q1195" s="1" t="str">
        <f>IFERROR(__xludf.DUMMYFUNCTION("""COMPUTED_VALUE"""),"charmb@canva.com")</f>
        <v>charmb@canva.com</v>
      </c>
      <c r="R1195" s="1" t="str">
        <f>IFERROR(__xludf.DUMMYFUNCTION("""COMPUTED_VALUE"""),"Charm Bansil")</f>
        <v>Charm Bansil</v>
      </c>
      <c r="S1195" s="1">
        <f>IFERROR(__xludf.DUMMYFUNCTION("""COMPUTED_VALUE"""),1.5)</f>
        <v>1.5</v>
      </c>
      <c r="T1195" s="1">
        <f>IFERROR(__xludf.DUMMYFUNCTION("""COMPUTED_VALUE"""),6.5)</f>
        <v>6.5</v>
      </c>
      <c r="U1195" s="2">
        <f>IFERROR(__xludf.DUMMYFUNCTION("""COMPUTED_VALUE"""),8.0)</f>
        <v>8</v>
      </c>
      <c r="V1195" s="1" t="str">
        <f>IFERROR(__xludf.DUMMYFUNCTION("""COMPUTED_VALUE"""),"Ana Lazaro")</f>
        <v>Ana Lazaro</v>
      </c>
      <c r="W1195" s="1" t="str">
        <f>IFERROR(__xludf.DUMMYFUNCTION("""COMPUTED_VALUE"""),"Advanced Billing &amp; Subscriptions")</f>
        <v>Advanced Billing &amp; Subscriptions</v>
      </c>
    </row>
    <row r="1196">
      <c r="O1196" s="1" t="str">
        <f>IFERROR(__xludf.DUMMYFUNCTION("""COMPUTED_VALUE"""),"2025 Oct")</f>
        <v>2025 Oct</v>
      </c>
      <c r="P1196" s="1" t="str">
        <f>IFERROR(__xludf.DUMMYFUNCTION("""COMPUTED_VALUE"""),"Print Support")</f>
        <v>Print Support</v>
      </c>
      <c r="Q1196" s="1" t="str">
        <f>IFERROR(__xludf.DUMMYFUNCTION("""COMPUTED_VALUE"""),"catherine@canva.com")</f>
        <v>catherine@canva.com</v>
      </c>
      <c r="R1196" s="1" t="str">
        <f>IFERROR(__xludf.DUMMYFUNCTION("""COMPUTED_VALUE"""),"Cheche Ramirez")</f>
        <v>Cheche Ramirez</v>
      </c>
      <c r="S1196" s="1">
        <f>IFERROR(__xludf.DUMMYFUNCTION("""COMPUTED_VALUE"""),1.42)</f>
        <v>1.42</v>
      </c>
      <c r="T1196" s="1">
        <f>IFERROR(__xludf.DUMMYFUNCTION("""COMPUTED_VALUE"""),3.5)</f>
        <v>3.5</v>
      </c>
      <c r="U1196" s="2">
        <f>IFERROR(__xludf.DUMMYFUNCTION("""COMPUTED_VALUE"""),4.92)</f>
        <v>4.92</v>
      </c>
      <c r="V1196" s="1" t="str">
        <f>IFERROR(__xludf.DUMMYFUNCTION("""COMPUTED_VALUE"""),"Jen Momo")</f>
        <v>Jen Momo</v>
      </c>
      <c r="W1196" s="1" t="str">
        <f>IFERROR(__xludf.DUMMYFUNCTION("""COMPUTED_VALUE"""),"Print Support PH")</f>
        <v>Print Support PH</v>
      </c>
    </row>
    <row r="1197">
      <c r="O1197" s="1" t="str">
        <f>IFERROR(__xludf.DUMMYFUNCTION("""COMPUTED_VALUE"""),"2025 Oct")</f>
        <v>2025 Oct</v>
      </c>
      <c r="P1197" s="1" t="str">
        <f>IFERROR(__xludf.DUMMYFUNCTION("""COMPUTED_VALUE"""),"Core Product Support")</f>
        <v>Core Product Support</v>
      </c>
      <c r="Q1197" s="1" t="str">
        <f>IFERROR(__xludf.DUMMYFUNCTION("""COMPUTED_VALUE"""),"chesca@canva.com")</f>
        <v>chesca@canva.com</v>
      </c>
      <c r="R1197" s="1" t="str">
        <f>IFERROR(__xludf.DUMMYFUNCTION("""COMPUTED_VALUE"""),"Chesca Martos")</f>
        <v>Chesca Martos</v>
      </c>
      <c r="S1197" s="1">
        <f>IFERROR(__xludf.DUMMYFUNCTION("""COMPUTED_VALUE"""),0.5)</f>
        <v>0.5</v>
      </c>
      <c r="T1197" s="1">
        <f>IFERROR(__xludf.DUMMYFUNCTION("""COMPUTED_VALUE"""),6.75)</f>
        <v>6.75</v>
      </c>
      <c r="U1197" s="2">
        <f>IFERROR(__xludf.DUMMYFUNCTION("""COMPUTED_VALUE"""),7.25)</f>
        <v>7.25</v>
      </c>
      <c r="V1197" s="1" t="str">
        <f>IFERROR(__xludf.DUMMYFUNCTION("""COMPUTED_VALUE"""),"Ayza Marie Pascual")</f>
        <v>Ayza Marie Pascual</v>
      </c>
      <c r="W1197" s="1" t="str">
        <f>IFERROR(__xludf.DUMMYFUNCTION("""COMPUTED_VALUE"""),"Advanced Billing &amp; Subscriptions")</f>
        <v>Advanced Billing &amp; Subscriptions</v>
      </c>
    </row>
    <row r="1198">
      <c r="O1198" s="1" t="str">
        <f>IFERROR(__xludf.DUMMYFUNCTION("""COMPUTED_VALUE"""),"2025 Oct")</f>
        <v>2025 Oct</v>
      </c>
      <c r="P1198" s="1" t="str">
        <f>IFERROR(__xludf.DUMMYFUNCTION("""COMPUTED_VALUE"""),"Core Product Support")</f>
        <v>Core Product Support</v>
      </c>
      <c r="Q1198" s="1" t="str">
        <f>IFERROR(__xludf.DUMMYFUNCTION("""COMPUTED_VALUE"""),"chlgts@canva.com")</f>
        <v>chlgts@canva.com</v>
      </c>
      <c r="R1198" s="1" t="str">
        <f>IFERROR(__xludf.DUMMYFUNCTION("""COMPUTED_VALUE"""),"Cholo Ligtas")</f>
        <v>Cholo Ligtas</v>
      </c>
      <c r="S1198" s="1">
        <f>IFERROR(__xludf.DUMMYFUNCTION("""COMPUTED_VALUE"""),2.0)</f>
        <v>2</v>
      </c>
      <c r="T1198" s="1">
        <f>IFERROR(__xludf.DUMMYFUNCTION("""COMPUTED_VALUE"""),7.83)</f>
        <v>7.83</v>
      </c>
      <c r="U1198" s="2">
        <f>IFERROR(__xludf.DUMMYFUNCTION("""COMPUTED_VALUE"""),9.83)</f>
        <v>9.83</v>
      </c>
      <c r="V1198" s="1" t="str">
        <f>IFERROR(__xludf.DUMMYFUNCTION("""COMPUTED_VALUE"""),"Jahmie Mae Barrameda")</f>
        <v>Jahmie Mae Barrameda</v>
      </c>
      <c r="W1198" s="1" t="str">
        <f>IFERROR(__xludf.DUMMYFUNCTION("""COMPUTED_VALUE"""),"Advanced Billing &amp; Subscriptions")</f>
        <v>Advanced Billing &amp; Subscriptions</v>
      </c>
    </row>
    <row r="1199">
      <c r="O1199" s="1" t="str">
        <f>IFERROR(__xludf.DUMMYFUNCTION("""COMPUTED_VALUE"""),"2025 Oct")</f>
        <v>2025 Oct</v>
      </c>
      <c r="P1199" s="1" t="str">
        <f>IFERROR(__xludf.DUMMYFUNCTION("""COMPUTED_VALUE"""),"Core Product Support")</f>
        <v>Core Product Support</v>
      </c>
      <c r="Q1199" s="1" t="str">
        <f>IFERROR(__xludf.DUMMYFUNCTION("""COMPUTED_VALUE"""),"tintinmaxilom@canva.com")</f>
        <v>tintinmaxilom@canva.com</v>
      </c>
      <c r="R1199" s="1" t="str">
        <f>IFERROR(__xludf.DUMMYFUNCTION("""COMPUTED_VALUE"""),"Christine Araga")</f>
        <v>Christine Araga</v>
      </c>
      <c r="S1199" s="1">
        <f>IFERROR(__xludf.DUMMYFUNCTION("""COMPUTED_VALUE"""),1.0)</f>
        <v>1</v>
      </c>
      <c r="T1199" s="1">
        <f>IFERROR(__xludf.DUMMYFUNCTION("""COMPUTED_VALUE"""),15.05)</f>
        <v>15.05</v>
      </c>
      <c r="U1199" s="2">
        <f>IFERROR(__xludf.DUMMYFUNCTION("""COMPUTED_VALUE"""),16.05)</f>
        <v>16.05</v>
      </c>
      <c r="V1199" s="1" t="str">
        <f>IFERROR(__xludf.DUMMYFUNCTION("""COMPUTED_VALUE"""),"Jelyn Elmido")</f>
        <v>Jelyn Elmido</v>
      </c>
      <c r="W1199" s="1" t="str">
        <f>IFERROR(__xludf.DUMMYFUNCTION("""COMPUTED_VALUE"""),"Core Product Support Escalation Team")</f>
        <v>Core Product Support Escalation Team</v>
      </c>
    </row>
    <row r="1200">
      <c r="O1200" s="1" t="str">
        <f>IFERROR(__xludf.DUMMYFUNCTION("""COMPUTED_VALUE"""),"2025 Oct")</f>
        <v>2025 Oct</v>
      </c>
      <c r="P1200" s="1" t="str">
        <f>IFERROR(__xludf.DUMMYFUNCTION("""COMPUTED_VALUE"""),"Print Support")</f>
        <v>Print Support</v>
      </c>
      <c r="Q1200" s="1" t="str">
        <f>IFERROR(__xludf.DUMMYFUNCTION("""COMPUTED_VALUE"""),"cjlining@canva.com")</f>
        <v>cjlining@canva.com</v>
      </c>
      <c r="R1200" s="1" t="str">
        <f>IFERROR(__xludf.DUMMYFUNCTION("""COMPUTED_VALUE"""),"CJ Lining")</f>
        <v>CJ Lining</v>
      </c>
      <c r="S1200" s="1"/>
      <c r="T1200" s="1">
        <f>IFERROR(__xludf.DUMMYFUNCTION("""COMPUTED_VALUE"""),3.25)</f>
        <v>3.25</v>
      </c>
      <c r="U1200" s="2">
        <f>IFERROR(__xludf.DUMMYFUNCTION("""COMPUTED_VALUE"""),3.25)</f>
        <v>3.25</v>
      </c>
      <c r="V1200" s="1" t="str">
        <f>IFERROR(__xludf.DUMMYFUNCTION("""COMPUTED_VALUE"""),"Althea Mercado")</f>
        <v>Althea Mercado</v>
      </c>
      <c r="W1200" s="1" t="str">
        <f>IFERROR(__xludf.DUMMYFUNCTION("""COMPUTED_VALUE"""),"Print Support PH")</f>
        <v>Print Support PH</v>
      </c>
    </row>
    <row r="1201">
      <c r="O1201" s="1" t="str">
        <f>IFERROR(__xludf.DUMMYFUNCTION("""COMPUTED_VALUE"""),"2025 Oct")</f>
        <v>2025 Oct</v>
      </c>
      <c r="P1201" s="1" t="str">
        <f>IFERROR(__xludf.DUMMYFUNCTION("""COMPUTED_VALUE"""),"Admin Support")</f>
        <v>Admin Support</v>
      </c>
      <c r="Q1201" s="1" t="str">
        <f>IFERROR(__xludf.DUMMYFUNCTION("""COMPUTED_VALUE"""),"ckmg@canva.com")</f>
        <v>ckmg@canva.com</v>
      </c>
      <c r="R1201" s="1" t="str">
        <f>IFERROR(__xludf.DUMMYFUNCTION("""COMPUTED_VALUE"""),"CK Geronimo")</f>
        <v>CK Geronimo</v>
      </c>
      <c r="S1201" s="1"/>
      <c r="T1201" s="1">
        <f>IFERROR(__xludf.DUMMYFUNCTION("""COMPUTED_VALUE"""),34.75)</f>
        <v>34.75</v>
      </c>
      <c r="U1201" s="2">
        <f>IFERROR(__xludf.DUMMYFUNCTION("""COMPUTED_VALUE"""),34.75)</f>
        <v>34.75</v>
      </c>
      <c r="V1201" s="1" t="str">
        <f>IFERROR(__xludf.DUMMYFUNCTION("""COMPUTED_VALUE"""),"Pau Palmero")</f>
        <v>Pau Palmero</v>
      </c>
      <c r="W1201" s="1" t="str">
        <f>IFERROR(__xludf.DUMMYFUNCTION("""COMPUTED_VALUE"""),"Admin Omni Support")</f>
        <v>Admin Omni Support</v>
      </c>
    </row>
    <row r="1202">
      <c r="O1202" s="1" t="str">
        <f>IFERROR(__xludf.DUMMYFUNCTION("""COMPUTED_VALUE"""),"2025 Oct")</f>
        <v>2025 Oct</v>
      </c>
      <c r="P1202" s="1" t="str">
        <f>IFERROR(__xludf.DUMMYFUNCTION("""COMPUTED_VALUE"""),"Segment-specific Support")</f>
        <v>Segment-specific Support</v>
      </c>
      <c r="Q1202" s="1" t="str">
        <f>IFERROR(__xludf.DUMMYFUNCTION("""COMPUTED_VALUE"""),"magnumck@canva.com")</f>
        <v>magnumck@canva.com</v>
      </c>
      <c r="R1202" s="1" t="str">
        <f>IFERROR(__xludf.DUMMYFUNCTION("""COMPUTED_VALUE"""),"CK Lobaton")</f>
        <v>CK Lobaton</v>
      </c>
      <c r="S1202" s="1">
        <f>IFERROR(__xludf.DUMMYFUNCTION("""COMPUTED_VALUE"""),2.0)</f>
        <v>2</v>
      </c>
      <c r="T1202" s="1">
        <f>IFERROR(__xludf.DUMMYFUNCTION("""COMPUTED_VALUE"""),1.5)</f>
        <v>1.5</v>
      </c>
      <c r="U1202" s="2">
        <f>IFERROR(__xludf.DUMMYFUNCTION("""COMPUTED_VALUE"""),3.5)</f>
        <v>3.5</v>
      </c>
      <c r="V1202" s="1" t="str">
        <f>IFERROR(__xludf.DUMMYFUNCTION("""COMPUTED_VALUE"""),"Jonathan Dimaculangan")</f>
        <v>Jonathan Dimaculangan</v>
      </c>
      <c r="W1202" s="1" t="str">
        <f>IFERROR(__xludf.DUMMYFUNCTION("""COMPUTED_VALUE"""),"Flourish Support")</f>
        <v>Flourish Support</v>
      </c>
    </row>
    <row r="1203">
      <c r="O1203" s="1" t="str">
        <f>IFERROR(__xludf.DUMMYFUNCTION("""COMPUTED_VALUE"""),"2025 Oct")</f>
        <v>2025 Oct</v>
      </c>
      <c r="P1203" s="1" t="str">
        <f>IFERROR(__xludf.DUMMYFUNCTION("""COMPUTED_VALUE"""),"Core Product Support")</f>
        <v>Core Product Support</v>
      </c>
      <c r="Q1203" s="1" t="str">
        <f>IFERROR(__xludf.DUMMYFUNCTION("""COMPUTED_VALUE"""),"cladd@canva.com")</f>
        <v>cladd@canva.com</v>
      </c>
      <c r="R1203" s="1" t="str">
        <f>IFERROR(__xludf.DUMMYFUNCTION("""COMPUTED_VALUE"""),"Claddys Ann Bernaldez")</f>
        <v>Claddys Ann Bernaldez</v>
      </c>
      <c r="S1203" s="1">
        <f>IFERROR(__xludf.DUMMYFUNCTION("""COMPUTED_VALUE"""),1.0)</f>
        <v>1</v>
      </c>
      <c r="T1203" s="1">
        <f>IFERROR(__xludf.DUMMYFUNCTION("""COMPUTED_VALUE"""),18.07)</f>
        <v>18.07</v>
      </c>
      <c r="U1203" s="2">
        <f>IFERROR(__xludf.DUMMYFUNCTION("""COMPUTED_VALUE"""),19.07)</f>
        <v>19.07</v>
      </c>
      <c r="V1203" s="1" t="str">
        <f>IFERROR(__xludf.DUMMYFUNCTION("""COMPUTED_VALUE"""),"Jelyn Elmido")</f>
        <v>Jelyn Elmido</v>
      </c>
      <c r="W1203" s="1" t="str">
        <f>IFERROR(__xludf.DUMMYFUNCTION("""COMPUTED_VALUE"""),"Core Product Support Escalation Team")</f>
        <v>Core Product Support Escalation Team</v>
      </c>
    </row>
    <row r="1204">
      <c r="O1204" s="1" t="str">
        <f>IFERROR(__xludf.DUMMYFUNCTION("""COMPUTED_VALUE"""),"2025 Oct")</f>
        <v>2025 Oct</v>
      </c>
      <c r="P1204" s="1" t="str">
        <f>IFERROR(__xludf.DUMMYFUNCTION("""COMPUTED_VALUE"""),"Multilingual Support")</f>
        <v>Multilingual Support</v>
      </c>
      <c r="Q1204" s="1" t="str">
        <f>IFERROR(__xludf.DUMMYFUNCTION("""COMPUTED_VALUE"""),"claire.g@canva.com")</f>
        <v>claire.g@canva.com</v>
      </c>
      <c r="R1204" s="1" t="str">
        <f>IFERROR(__xludf.DUMMYFUNCTION("""COMPUTED_VALUE"""),"Claire Gado")</f>
        <v>Claire Gado</v>
      </c>
      <c r="S1204" s="1">
        <f>IFERROR(__xludf.DUMMYFUNCTION("""COMPUTED_VALUE"""),0.5)</f>
        <v>0.5</v>
      </c>
      <c r="T1204" s="1">
        <f>IFERROR(__xludf.DUMMYFUNCTION("""COMPUTED_VALUE"""),5.75)</f>
        <v>5.75</v>
      </c>
      <c r="U1204" s="2">
        <f>IFERROR(__xludf.DUMMYFUNCTION("""COMPUTED_VALUE"""),6.25)</f>
        <v>6.25</v>
      </c>
      <c r="V1204" s="1" t="str">
        <f>IFERROR(__xludf.DUMMYFUNCTION("""COMPUTED_VALUE"""),"Arlene Maurillo")</f>
        <v>Arlene Maurillo</v>
      </c>
      <c r="W1204" s="1" t="str">
        <f>IFERROR(__xludf.DUMMYFUNCTION("""COMPUTED_VALUE"""),"PHL, Multilingual Support")</f>
        <v>PHL, Multilingual Support</v>
      </c>
    </row>
    <row r="1205">
      <c r="O1205" s="1" t="str">
        <f>IFERROR(__xludf.DUMMYFUNCTION("""COMPUTED_VALUE"""),"2025 Oct")</f>
        <v>2025 Oct</v>
      </c>
      <c r="P1205" s="1" t="str">
        <f>IFERROR(__xludf.DUMMYFUNCTION("""COMPUTED_VALUE"""),"Print Support")</f>
        <v>Print Support</v>
      </c>
      <c r="Q1205" s="1" t="str">
        <f>IFERROR(__xludf.DUMMYFUNCTION("""COMPUTED_VALUE"""),"cyreengee@canva.com")</f>
        <v>cyreengee@canva.com</v>
      </c>
      <c r="R1205" s="1" t="str">
        <f>IFERROR(__xludf.DUMMYFUNCTION("""COMPUTED_VALUE"""),"Cye Gonzales")</f>
        <v>Cye Gonzales</v>
      </c>
      <c r="S1205" s="1">
        <f>IFERROR(__xludf.DUMMYFUNCTION("""COMPUTED_VALUE"""),2.25)</f>
        <v>2.25</v>
      </c>
      <c r="T1205" s="1">
        <f>IFERROR(__xludf.DUMMYFUNCTION("""COMPUTED_VALUE"""),2.75)</f>
        <v>2.75</v>
      </c>
      <c r="U1205" s="2">
        <f>IFERROR(__xludf.DUMMYFUNCTION("""COMPUTED_VALUE"""),5.0)</f>
        <v>5</v>
      </c>
      <c r="V1205" s="1" t="str">
        <f>IFERROR(__xludf.DUMMYFUNCTION("""COMPUTED_VALUE"""),"Althea Mercado")</f>
        <v>Althea Mercado</v>
      </c>
      <c r="W1205" s="1" t="str">
        <f>IFERROR(__xludf.DUMMYFUNCTION("""COMPUTED_VALUE"""),"Print Support PH")</f>
        <v>Print Support PH</v>
      </c>
    </row>
    <row r="1206">
      <c r="O1206" s="1" t="str">
        <f>IFERROR(__xludf.DUMMYFUNCTION("""COMPUTED_VALUE"""),"2025 Oct")</f>
        <v>2025 Oct</v>
      </c>
      <c r="P1206" s="1" t="str">
        <f>IFERROR(__xludf.DUMMYFUNCTION("""COMPUTED_VALUE"""),"Print Support")</f>
        <v>Print Support</v>
      </c>
      <c r="Q1206" s="1" t="str">
        <f>IFERROR(__xludf.DUMMYFUNCTION("""COMPUTED_VALUE"""),"dyter@canva.com")</f>
        <v>dyter@canva.com</v>
      </c>
      <c r="R1206" s="1" t="str">
        <f>IFERROR(__xludf.DUMMYFUNCTION("""COMPUTED_VALUE"""),"Daisy Tercenio")</f>
        <v>Daisy Tercenio</v>
      </c>
      <c r="S1206" s="1">
        <f>IFERROR(__xludf.DUMMYFUNCTION("""COMPUTED_VALUE"""),5.25)</f>
        <v>5.25</v>
      </c>
      <c r="T1206" s="1">
        <f>IFERROR(__xludf.DUMMYFUNCTION("""COMPUTED_VALUE"""),2.75)</f>
        <v>2.75</v>
      </c>
      <c r="U1206" s="2">
        <f>IFERROR(__xludf.DUMMYFUNCTION("""COMPUTED_VALUE"""),8.0)</f>
        <v>8</v>
      </c>
      <c r="V1206" s="1" t="str">
        <f>IFERROR(__xludf.DUMMYFUNCTION("""COMPUTED_VALUE"""),"Rae Erlano")</f>
        <v>Rae Erlano</v>
      </c>
      <c r="W1206" s="1" t="str">
        <f>IFERROR(__xludf.DUMMYFUNCTION("""COMPUTED_VALUE"""),"Print Support PH")</f>
        <v>Print Support PH</v>
      </c>
    </row>
    <row r="1207">
      <c r="O1207" s="1" t="str">
        <f>IFERROR(__xludf.DUMMYFUNCTION("""COMPUTED_VALUE"""),"2025 Oct")</f>
        <v>2025 Oct</v>
      </c>
      <c r="P1207" s="1" t="str">
        <f>IFERROR(__xludf.DUMMYFUNCTION("""COMPUTED_VALUE"""),"Core Product Support")</f>
        <v>Core Product Support</v>
      </c>
      <c r="Q1207" s="1" t="str">
        <f>IFERROR(__xludf.DUMMYFUNCTION("""COMPUTED_VALUE"""),"danortiz@canva.com")</f>
        <v>danortiz@canva.com</v>
      </c>
      <c r="R1207" s="1" t="str">
        <f>IFERROR(__xludf.DUMMYFUNCTION("""COMPUTED_VALUE"""),"Daniella Ortiz")</f>
        <v>Daniella Ortiz</v>
      </c>
      <c r="S1207" s="1">
        <f>IFERROR(__xludf.DUMMYFUNCTION("""COMPUTED_VALUE"""),2.0)</f>
        <v>2</v>
      </c>
      <c r="T1207" s="1">
        <f>IFERROR(__xludf.DUMMYFUNCTION("""COMPUTED_VALUE"""),11.75)</f>
        <v>11.75</v>
      </c>
      <c r="U1207" s="2">
        <f>IFERROR(__xludf.DUMMYFUNCTION("""COMPUTED_VALUE"""),13.75)</f>
        <v>13.75</v>
      </c>
      <c r="V1207" s="1" t="str">
        <f>IFERROR(__xludf.DUMMYFUNCTION("""COMPUTED_VALUE"""),"Cate Velasco")</f>
        <v>Cate Velasco</v>
      </c>
      <c r="W1207" s="1" t="str">
        <f>IFERROR(__xludf.DUMMYFUNCTION("""COMPUTED_VALUE"""),"Advanced Product Support")</f>
        <v>Advanced Product Support</v>
      </c>
    </row>
    <row r="1208">
      <c r="O1208" s="1" t="str">
        <f>IFERROR(__xludf.DUMMYFUNCTION("""COMPUTED_VALUE"""),"2025 Oct")</f>
        <v>2025 Oct</v>
      </c>
      <c r="P1208" s="1" t="str">
        <f>IFERROR(__xludf.DUMMYFUNCTION("""COMPUTED_VALUE"""),"Segment-specific Support")</f>
        <v>Segment-specific Support</v>
      </c>
      <c r="Q1208" s="1" t="str">
        <f>IFERROR(__xludf.DUMMYFUNCTION("""COMPUTED_VALUE"""),"daniellegrace@canva.com")</f>
        <v>daniellegrace@canva.com</v>
      </c>
      <c r="R1208" s="1" t="str">
        <f>IFERROR(__xludf.DUMMYFUNCTION("""COMPUTED_VALUE"""),"Danielle Marasigan")</f>
        <v>Danielle Marasigan</v>
      </c>
      <c r="S1208" s="1"/>
      <c r="T1208" s="1">
        <f>IFERROR(__xludf.DUMMYFUNCTION("""COMPUTED_VALUE"""),1.5)</f>
        <v>1.5</v>
      </c>
      <c r="U1208" s="2">
        <f>IFERROR(__xludf.DUMMYFUNCTION("""COMPUTED_VALUE"""),1.5)</f>
        <v>1.5</v>
      </c>
      <c r="V1208" s="1" t="str">
        <f>IFERROR(__xludf.DUMMYFUNCTION("""COMPUTED_VALUE"""),"Aileen Dayanghirang")</f>
        <v>Aileen Dayanghirang</v>
      </c>
      <c r="W1208" s="1" t="str">
        <f>IFERROR(__xludf.DUMMYFUNCTION("""COMPUTED_VALUE"""),"Creators Support")</f>
        <v>Creators Support</v>
      </c>
    </row>
    <row r="1209">
      <c r="O1209" s="1" t="str">
        <f>IFERROR(__xludf.DUMMYFUNCTION("""COMPUTED_VALUE"""),"2025 Oct")</f>
        <v>2025 Oct</v>
      </c>
      <c r="P1209" s="1" t="str">
        <f>IFERROR(__xludf.DUMMYFUNCTION("""COMPUTED_VALUE"""),"Admin Support")</f>
        <v>Admin Support</v>
      </c>
      <c r="Q1209" s="1" t="str">
        <f>IFERROR(__xludf.DUMMYFUNCTION("""COMPUTED_VALUE"""),"dannah@canva.com")</f>
        <v>dannah@canva.com</v>
      </c>
      <c r="R1209" s="1" t="str">
        <f>IFERROR(__xludf.DUMMYFUNCTION("""COMPUTED_VALUE"""),"Dannah Kate Dizon")</f>
        <v>Dannah Kate Dizon</v>
      </c>
      <c r="S1209" s="1"/>
      <c r="T1209" s="1">
        <f>IFERROR(__xludf.DUMMYFUNCTION("""COMPUTED_VALUE"""),38.5)</f>
        <v>38.5</v>
      </c>
      <c r="U1209" s="2">
        <f>IFERROR(__xludf.DUMMYFUNCTION("""COMPUTED_VALUE"""),38.5)</f>
        <v>38.5</v>
      </c>
      <c r="V1209" s="1" t="str">
        <f>IFERROR(__xludf.DUMMYFUNCTION("""COMPUTED_VALUE"""),"Karla Mananghaya")</f>
        <v>Karla Mananghaya</v>
      </c>
      <c r="W1209" s="1" t="str">
        <f>IFERROR(__xludf.DUMMYFUNCTION("""COMPUTED_VALUE"""),"Admin Support Service Escalation Team")</f>
        <v>Admin Support Service Escalation Team</v>
      </c>
    </row>
    <row r="1210">
      <c r="O1210" s="1" t="str">
        <f>IFERROR(__xludf.DUMMYFUNCTION("""COMPUTED_VALUE"""),"2025 Oct")</f>
        <v>2025 Oct</v>
      </c>
      <c r="P1210" s="1" t="str">
        <f>IFERROR(__xludf.DUMMYFUNCTION("""COMPUTED_VALUE"""),"High Sensitivity Support")</f>
        <v>High Sensitivity Support</v>
      </c>
      <c r="Q1210" s="1" t="str">
        <f>IFERROR(__xludf.DUMMYFUNCTION("""COMPUTED_VALUE"""),"danrev@canva.com")</f>
        <v>danrev@canva.com</v>
      </c>
      <c r="R1210" s="1" t="str">
        <f>IFERROR(__xludf.DUMMYFUNCTION("""COMPUTED_VALUE"""),"Danrev Bactad")</f>
        <v>Danrev Bactad</v>
      </c>
      <c r="S1210" s="1">
        <f>IFERROR(__xludf.DUMMYFUNCTION("""COMPUTED_VALUE"""),6.0)</f>
        <v>6</v>
      </c>
      <c r="T1210" s="1">
        <f>IFERROR(__xludf.DUMMYFUNCTION("""COMPUTED_VALUE"""),2.0)</f>
        <v>2</v>
      </c>
      <c r="U1210" s="2">
        <f>IFERROR(__xludf.DUMMYFUNCTION("""COMPUTED_VALUE"""),8.0)</f>
        <v>8</v>
      </c>
      <c r="V1210" s="1" t="str">
        <f>IFERROR(__xludf.DUMMYFUNCTION("""COMPUTED_VALUE"""),"Xandy Azarcon")</f>
        <v>Xandy Azarcon</v>
      </c>
      <c r="W1210" s="1" t="str">
        <f>IFERROR(__xludf.DUMMYFUNCTION("""COMPUTED_VALUE"""),"High Sensitivity Support PH")</f>
        <v>High Sensitivity Support PH</v>
      </c>
    </row>
    <row r="1211">
      <c r="O1211" s="1" t="str">
        <f>IFERROR(__xludf.DUMMYFUNCTION("""COMPUTED_VALUE"""),"2025 Oct")</f>
        <v>2025 Oct</v>
      </c>
      <c r="P1211" s="1" t="str">
        <f>IFERROR(__xludf.DUMMYFUNCTION("""COMPUTED_VALUE"""),"Print Support")</f>
        <v>Print Support</v>
      </c>
      <c r="Q1211" s="1" t="str">
        <f>IFERROR(__xludf.DUMMYFUNCTION("""COMPUTED_VALUE"""),"daphne@canva.com")</f>
        <v>daphne@canva.com</v>
      </c>
      <c r="R1211" s="1" t="str">
        <f>IFERROR(__xludf.DUMMYFUNCTION("""COMPUTED_VALUE"""),"Daphne Arboleda")</f>
        <v>Daphne Arboleda</v>
      </c>
      <c r="S1211" s="1">
        <f>IFERROR(__xludf.DUMMYFUNCTION("""COMPUTED_VALUE"""),9.25)</f>
        <v>9.25</v>
      </c>
      <c r="T1211" s="1">
        <f>IFERROR(__xludf.DUMMYFUNCTION("""COMPUTED_VALUE"""),4.5)</f>
        <v>4.5</v>
      </c>
      <c r="U1211" s="2">
        <f>IFERROR(__xludf.DUMMYFUNCTION("""COMPUTED_VALUE"""),13.75)</f>
        <v>13.75</v>
      </c>
      <c r="V1211" s="1" t="str">
        <f>IFERROR(__xludf.DUMMYFUNCTION("""COMPUTED_VALUE"""),"Memae Faustino")</f>
        <v>Memae Faustino</v>
      </c>
      <c r="W1211" s="1" t="str">
        <f>IFERROR(__xludf.DUMMYFUNCTION("""COMPUTED_VALUE"""),"Print Support PH")</f>
        <v>Print Support PH</v>
      </c>
    </row>
    <row r="1212">
      <c r="O1212" s="1" t="str">
        <f>IFERROR(__xludf.DUMMYFUNCTION("""COMPUTED_VALUE"""),"2025 Oct")</f>
        <v>2025 Oct</v>
      </c>
      <c r="P1212" s="1" t="str">
        <f>IFERROR(__xludf.DUMMYFUNCTION("""COMPUTED_VALUE"""),"High Sensitivity Support")</f>
        <v>High Sensitivity Support</v>
      </c>
      <c r="Q1212" s="1" t="str">
        <f>IFERROR(__xludf.DUMMYFUNCTION("""COMPUTED_VALUE"""),"darrelm@canva.com")</f>
        <v>darrelm@canva.com</v>
      </c>
      <c r="R1212" s="1" t="str">
        <f>IFERROR(__xludf.DUMMYFUNCTION("""COMPUTED_VALUE"""),"Darrel Marcelino")</f>
        <v>Darrel Marcelino</v>
      </c>
      <c r="S1212" s="1"/>
      <c r="T1212" s="1">
        <f>IFERROR(__xludf.DUMMYFUNCTION("""COMPUTED_VALUE"""),2.0)</f>
        <v>2</v>
      </c>
      <c r="U1212" s="2">
        <f>IFERROR(__xludf.DUMMYFUNCTION("""COMPUTED_VALUE"""),2.0)</f>
        <v>2</v>
      </c>
      <c r="V1212" s="1" t="str">
        <f>IFERROR(__xludf.DUMMYFUNCTION("""COMPUTED_VALUE"""),"Issi Afable")</f>
        <v>Issi Afable</v>
      </c>
      <c r="W1212" s="1" t="str">
        <f>IFERROR(__xludf.DUMMYFUNCTION("""COMPUTED_VALUE"""),"High Sensitivity Support PH")</f>
        <v>High Sensitivity Support PH</v>
      </c>
    </row>
    <row r="1213">
      <c r="O1213" s="1" t="str">
        <f>IFERROR(__xludf.DUMMYFUNCTION("""COMPUTED_VALUE"""),"2025 Oct")</f>
        <v>2025 Oct</v>
      </c>
      <c r="P1213" s="1" t="str">
        <f>IFERROR(__xludf.DUMMYFUNCTION("""COMPUTED_VALUE"""),"Core Product Support")</f>
        <v>Core Product Support</v>
      </c>
      <c r="Q1213" s="1" t="str">
        <f>IFERROR(__xludf.DUMMYFUNCTION("""COMPUTED_VALUE"""),"davecosteloii@canva.com")</f>
        <v>davecosteloii@canva.com</v>
      </c>
      <c r="R1213" s="1" t="str">
        <f>IFERROR(__xludf.DUMMYFUNCTION("""COMPUTED_VALUE"""),"Dave Costelo")</f>
        <v>Dave Costelo</v>
      </c>
      <c r="S1213" s="1">
        <f>IFERROR(__xludf.DUMMYFUNCTION("""COMPUTED_VALUE"""),0.33)</f>
        <v>0.33</v>
      </c>
      <c r="T1213" s="1">
        <f>IFERROR(__xludf.DUMMYFUNCTION("""COMPUTED_VALUE"""),45.67)</f>
        <v>45.67</v>
      </c>
      <c r="U1213" s="2">
        <f>IFERROR(__xludf.DUMMYFUNCTION("""COMPUTED_VALUE"""),46.0)</f>
        <v>46</v>
      </c>
      <c r="V1213" s="1" t="str">
        <f>IFERROR(__xludf.DUMMYFUNCTION("""COMPUTED_VALUE"""),"Jahmie Mae Barrameda")</f>
        <v>Jahmie Mae Barrameda</v>
      </c>
      <c r="W1213" s="1" t="str">
        <f>IFERROR(__xludf.DUMMYFUNCTION("""COMPUTED_VALUE"""),"Advanced Billing &amp; Subscriptions")</f>
        <v>Advanced Billing &amp; Subscriptions</v>
      </c>
    </row>
    <row r="1214">
      <c r="O1214" s="1" t="str">
        <f>IFERROR(__xludf.DUMMYFUNCTION("""COMPUTED_VALUE"""),"2025 Oct")</f>
        <v>2025 Oct</v>
      </c>
      <c r="P1214" s="1" t="str">
        <f>IFERROR(__xludf.DUMMYFUNCTION("""COMPUTED_VALUE"""),"Admin Support")</f>
        <v>Admin Support</v>
      </c>
      <c r="Q1214" s="1" t="str">
        <f>IFERROR(__xludf.DUMMYFUNCTION("""COMPUTED_VALUE"""),"davidfrancis@canva.com")</f>
        <v>davidfrancis@canva.com</v>
      </c>
      <c r="R1214" s="1" t="str">
        <f>IFERROR(__xludf.DUMMYFUNCTION("""COMPUTED_VALUE"""),"David Francis Dimatulac")</f>
        <v>David Francis Dimatulac</v>
      </c>
      <c r="S1214" s="1">
        <f>IFERROR(__xludf.DUMMYFUNCTION("""COMPUTED_VALUE"""),2.25)</f>
        <v>2.25</v>
      </c>
      <c r="T1214" s="1">
        <f>IFERROR(__xludf.DUMMYFUNCTION("""COMPUTED_VALUE"""),29.0)</f>
        <v>29</v>
      </c>
      <c r="U1214" s="2">
        <f>IFERROR(__xludf.DUMMYFUNCTION("""COMPUTED_VALUE"""),31.25)</f>
        <v>31.25</v>
      </c>
      <c r="V1214" s="1" t="str">
        <f>IFERROR(__xludf.DUMMYFUNCTION("""COMPUTED_VALUE"""),"Karla Mananghaya")</f>
        <v>Karla Mananghaya</v>
      </c>
      <c r="W1214" s="1" t="str">
        <f>IFERROR(__xludf.DUMMYFUNCTION("""COMPUTED_VALUE"""),"Admin Support Service Escalation Team")</f>
        <v>Admin Support Service Escalation Team</v>
      </c>
    </row>
    <row r="1215">
      <c r="O1215" s="1" t="str">
        <f>IFERROR(__xludf.DUMMYFUNCTION("""COMPUTED_VALUE"""),"2025 Oct")</f>
        <v>2025 Oct</v>
      </c>
      <c r="P1215" s="1" t="str">
        <f>IFERROR(__xludf.DUMMYFUNCTION("""COMPUTED_VALUE"""),"Core Product Support")</f>
        <v>Core Product Support</v>
      </c>
      <c r="Q1215" s="1" t="str">
        <f>IFERROR(__xludf.DUMMYFUNCTION("""COMPUTED_VALUE"""),"denden@canva.com")</f>
        <v>denden@canva.com</v>
      </c>
      <c r="R1215" s="1" t="str">
        <f>IFERROR(__xludf.DUMMYFUNCTION("""COMPUTED_VALUE"""),"Den Gutierrez")</f>
        <v>Den Gutierrez</v>
      </c>
      <c r="S1215" s="1"/>
      <c r="T1215" s="1">
        <f>IFERROR(__xludf.DUMMYFUNCTION("""COMPUTED_VALUE"""),9.5)</f>
        <v>9.5</v>
      </c>
      <c r="U1215" s="2">
        <f>IFERROR(__xludf.DUMMYFUNCTION("""COMPUTED_VALUE"""),9.5)</f>
        <v>9.5</v>
      </c>
      <c r="V1215" s="1" t="str">
        <f>IFERROR(__xludf.DUMMYFUNCTION("""COMPUTED_VALUE"""),"Sieg Ballelos")</f>
        <v>Sieg Ballelos</v>
      </c>
      <c r="W1215" s="1" t="str">
        <f>IFERROR(__xludf.DUMMYFUNCTION("""COMPUTED_VALUE"""),"Core Product Support Escalation Team")</f>
        <v>Core Product Support Escalation Team</v>
      </c>
    </row>
    <row r="1216">
      <c r="O1216" s="1" t="str">
        <f>IFERROR(__xludf.DUMMYFUNCTION("""COMPUTED_VALUE"""),"2025 Oct")</f>
        <v>2025 Oct</v>
      </c>
      <c r="P1216" s="1" t="str">
        <f>IFERROR(__xludf.DUMMYFUNCTION("""COMPUTED_VALUE"""),"Core Product Support")</f>
        <v>Core Product Support</v>
      </c>
      <c r="Q1216" s="1" t="str">
        <f>IFERROR(__xludf.DUMMYFUNCTION("""COMPUTED_VALUE"""),"deniseadrms@canva.com")</f>
        <v>deniseadrms@canva.com</v>
      </c>
      <c r="R1216" s="1" t="str">
        <f>IFERROR(__xludf.DUMMYFUNCTION("""COMPUTED_VALUE"""),"Denise Adoremos")</f>
        <v>Denise Adoremos</v>
      </c>
      <c r="S1216" s="1">
        <f>IFERROR(__xludf.DUMMYFUNCTION("""COMPUTED_VALUE"""),0.5)</f>
        <v>0.5</v>
      </c>
      <c r="T1216" s="1">
        <f>IFERROR(__xludf.DUMMYFUNCTION("""COMPUTED_VALUE"""),5.75)</f>
        <v>5.75</v>
      </c>
      <c r="U1216" s="2">
        <f>IFERROR(__xludf.DUMMYFUNCTION("""COMPUTED_VALUE"""),6.25)</f>
        <v>6.25</v>
      </c>
      <c r="V1216" s="1" t="str">
        <f>IFERROR(__xludf.DUMMYFUNCTION("""COMPUTED_VALUE"""),"Ana Lazaro")</f>
        <v>Ana Lazaro</v>
      </c>
      <c r="W1216" s="1" t="str">
        <f>IFERROR(__xludf.DUMMYFUNCTION("""COMPUTED_VALUE"""),"Advanced Billing &amp; Subscriptions")</f>
        <v>Advanced Billing &amp; Subscriptions</v>
      </c>
    </row>
    <row r="1217">
      <c r="O1217" s="1" t="str">
        <f>IFERROR(__xludf.DUMMYFUNCTION("""COMPUTED_VALUE"""),"2025 Oct")</f>
        <v>2025 Oct</v>
      </c>
      <c r="P1217" s="1" t="str">
        <f>IFERROR(__xludf.DUMMYFUNCTION("""COMPUTED_VALUE"""),"Segment-specific Support")</f>
        <v>Segment-specific Support</v>
      </c>
      <c r="Q1217" s="1" t="str">
        <f>IFERROR(__xludf.DUMMYFUNCTION("""COMPUTED_VALUE"""),"dymplem@canva.com")</f>
        <v>dymplem@canva.com</v>
      </c>
      <c r="R1217" s="1" t="str">
        <f>IFERROR(__xludf.DUMMYFUNCTION("""COMPUTED_VALUE"""),"Dymple Macaraeg")</f>
        <v>Dymple Macaraeg</v>
      </c>
      <c r="S1217" s="1">
        <f>IFERROR(__xludf.DUMMYFUNCTION("""COMPUTED_VALUE"""),1.5)</f>
        <v>1.5</v>
      </c>
      <c r="T1217" s="1">
        <f>IFERROR(__xludf.DUMMYFUNCTION("""COMPUTED_VALUE"""),7.25)</f>
        <v>7.25</v>
      </c>
      <c r="U1217" s="2">
        <f>IFERROR(__xludf.DUMMYFUNCTION("""COMPUTED_VALUE"""),8.75)</f>
        <v>8.75</v>
      </c>
      <c r="V1217" s="1" t="str">
        <f>IFERROR(__xludf.DUMMYFUNCTION("""COMPUTED_VALUE"""),"Rose Gabilan")</f>
        <v>Rose Gabilan</v>
      </c>
      <c r="W1217" s="1" t="str">
        <f>IFERROR(__xludf.DUMMYFUNCTION("""COMPUTED_VALUE"""),"Affinity Support")</f>
        <v>Affinity Support</v>
      </c>
    </row>
    <row r="1218">
      <c r="O1218" s="1" t="str">
        <f>IFERROR(__xludf.DUMMYFUNCTION("""COMPUTED_VALUE"""),"2025 Oct")</f>
        <v>2025 Oct</v>
      </c>
      <c r="P1218" s="1" t="str">
        <f>IFERROR(__xludf.DUMMYFUNCTION("""COMPUTED_VALUE"""),"Admin Support")</f>
        <v>Admin Support</v>
      </c>
      <c r="Q1218" s="1" t="str">
        <f>IFERROR(__xludf.DUMMYFUNCTION("""COMPUTED_VALUE"""),"edlico@canva.com")</f>
        <v>edlico@canva.com</v>
      </c>
      <c r="R1218" s="1" t="str">
        <f>IFERROR(__xludf.DUMMYFUNCTION("""COMPUTED_VALUE"""),"Ed Lico")</f>
        <v>Ed Lico</v>
      </c>
      <c r="S1218" s="1">
        <f>IFERROR(__xludf.DUMMYFUNCTION("""COMPUTED_VALUE"""),2.0)</f>
        <v>2</v>
      </c>
      <c r="T1218" s="1">
        <f>IFERROR(__xludf.DUMMYFUNCTION("""COMPUTED_VALUE"""),28.5)</f>
        <v>28.5</v>
      </c>
      <c r="U1218" s="2">
        <f>IFERROR(__xludf.DUMMYFUNCTION("""COMPUTED_VALUE"""),30.5)</f>
        <v>30.5</v>
      </c>
      <c r="V1218" s="1" t="str">
        <f>IFERROR(__xludf.DUMMYFUNCTION("""COMPUTED_VALUE"""),"Pau Palmero")</f>
        <v>Pau Palmero</v>
      </c>
      <c r="W1218" s="1" t="str">
        <f>IFERROR(__xludf.DUMMYFUNCTION("""COMPUTED_VALUE"""),"Admin Omni Support")</f>
        <v>Admin Omni Support</v>
      </c>
    </row>
    <row r="1219">
      <c r="O1219" s="1" t="str">
        <f>IFERROR(__xludf.DUMMYFUNCTION("""COMPUTED_VALUE"""),"2025 Oct")</f>
        <v>2025 Oct</v>
      </c>
      <c r="P1219" s="1" t="str">
        <f>IFERROR(__xludf.DUMMYFUNCTION("""COMPUTED_VALUE"""),"Multilingual Support")</f>
        <v>Multilingual Support</v>
      </c>
      <c r="Q1219" s="1" t="str">
        <f>IFERROR(__xludf.DUMMYFUNCTION("""COMPUTED_VALUE"""),"elmata@canva.com")</f>
        <v>elmata@canva.com</v>
      </c>
      <c r="R1219" s="1" t="str">
        <f>IFERROR(__xludf.DUMMYFUNCTION("""COMPUTED_VALUE"""),"Elmer Matarlo")</f>
        <v>Elmer Matarlo</v>
      </c>
      <c r="S1219" s="1">
        <f>IFERROR(__xludf.DUMMYFUNCTION("""COMPUTED_VALUE"""),0.5)</f>
        <v>0.5</v>
      </c>
      <c r="T1219" s="1">
        <f>IFERROR(__xludf.DUMMYFUNCTION("""COMPUTED_VALUE"""),5.0)</f>
        <v>5</v>
      </c>
      <c r="U1219" s="2">
        <f>IFERROR(__xludf.DUMMYFUNCTION("""COMPUTED_VALUE"""),5.5)</f>
        <v>5.5</v>
      </c>
      <c r="V1219" s="1" t="str">
        <f>IFERROR(__xludf.DUMMYFUNCTION("""COMPUTED_VALUE"""),"Arlene Maurillo")</f>
        <v>Arlene Maurillo</v>
      </c>
      <c r="W1219" s="1" t="str">
        <f>IFERROR(__xludf.DUMMYFUNCTION("""COMPUTED_VALUE"""),"PHL, Multilingual Support")</f>
        <v>PHL, Multilingual Support</v>
      </c>
    </row>
    <row r="1220">
      <c r="O1220" s="1" t="str">
        <f>IFERROR(__xludf.DUMMYFUNCTION("""COMPUTED_VALUE"""),"2025 Oct")</f>
        <v>2025 Oct</v>
      </c>
      <c r="P1220" s="1" t="str">
        <f>IFERROR(__xludf.DUMMYFUNCTION("""COMPUTED_VALUE"""),"#N/A")</f>
        <v>#N/A</v>
      </c>
      <c r="Q1220" s="1" t="str">
        <f>IFERROR(__xludf.DUMMYFUNCTION("""COMPUTED_VALUE"""),"emdavid@canva.com")</f>
        <v>emdavid@canva.com</v>
      </c>
      <c r="R1220" s="1" t="str">
        <f>IFERROR(__xludf.DUMMYFUNCTION("""COMPUTED_VALUE"""),"Em David")</f>
        <v>Em David</v>
      </c>
      <c r="S1220" s="1">
        <f>IFERROR(__xludf.DUMMYFUNCTION("""COMPUTED_VALUE"""),0.5)</f>
        <v>0.5</v>
      </c>
      <c r="T1220" s="1">
        <f>IFERROR(__xludf.DUMMYFUNCTION("""COMPUTED_VALUE"""),36.17)</f>
        <v>36.17</v>
      </c>
      <c r="U1220" s="2">
        <f>IFERROR(__xludf.DUMMYFUNCTION("""COMPUTED_VALUE"""),36.67)</f>
        <v>36.67</v>
      </c>
      <c r="V1220" s="1" t="str">
        <f>IFERROR(__xludf.DUMMYFUNCTION("""COMPUTED_VALUE"""),"Vianca De Jesus")</f>
        <v>Vianca De Jesus</v>
      </c>
      <c r="W1220" s="1" t="str">
        <f>IFERROR(__xludf.DUMMYFUNCTION("""COMPUTED_VALUE"""),"Advanced Chat Support")</f>
        <v>Advanced Chat Support</v>
      </c>
    </row>
    <row r="1221">
      <c r="O1221" s="1" t="str">
        <f>IFERROR(__xludf.DUMMYFUNCTION("""COMPUTED_VALUE"""),"2025 Oct")</f>
        <v>2025 Oct</v>
      </c>
      <c r="P1221" s="1" t="str">
        <f>IFERROR(__xludf.DUMMYFUNCTION("""COMPUTED_VALUE"""),"Core Product Support")</f>
        <v>Core Product Support</v>
      </c>
      <c r="Q1221" s="1" t="str">
        <f>IFERROR(__xludf.DUMMYFUNCTION("""COMPUTED_VALUE"""),"ena@canva.com")</f>
        <v>ena@canva.com</v>
      </c>
      <c r="R1221" s="1" t="str">
        <f>IFERROR(__xludf.DUMMYFUNCTION("""COMPUTED_VALUE"""),"Ena Reyes")</f>
        <v>Ena Reyes</v>
      </c>
      <c r="S1221" s="1">
        <f>IFERROR(__xludf.DUMMYFUNCTION("""COMPUTED_VALUE"""),0.5)</f>
        <v>0.5</v>
      </c>
      <c r="T1221" s="1">
        <f>IFERROR(__xludf.DUMMYFUNCTION("""COMPUTED_VALUE"""),45.5)</f>
        <v>45.5</v>
      </c>
      <c r="U1221" s="2">
        <f>IFERROR(__xludf.DUMMYFUNCTION("""COMPUTED_VALUE"""),46.0)</f>
        <v>46</v>
      </c>
      <c r="V1221" s="1" t="str">
        <f>IFERROR(__xludf.DUMMYFUNCTION("""COMPUTED_VALUE"""),"Jem Mondoñedo")</f>
        <v>Jem Mondoñedo</v>
      </c>
      <c r="W1221" s="1" t="str">
        <f>IFERROR(__xludf.DUMMYFUNCTION("""COMPUTED_VALUE"""),"Advanced Billing &amp; Subscriptions")</f>
        <v>Advanced Billing &amp; Subscriptions</v>
      </c>
    </row>
    <row r="1222">
      <c r="O1222" s="1" t="str">
        <f>IFERROR(__xludf.DUMMYFUNCTION("""COMPUTED_VALUE"""),"2025 Oct")</f>
        <v>2025 Oct</v>
      </c>
      <c r="P1222" s="1" t="str">
        <f>IFERROR(__xludf.DUMMYFUNCTION("""COMPUTED_VALUE"""),"Admin Support")</f>
        <v>Admin Support</v>
      </c>
      <c r="Q1222" s="1" t="str">
        <f>IFERROR(__xludf.DUMMYFUNCTION("""COMPUTED_VALUE"""),"enrique@canva.com")</f>
        <v>enrique@canva.com</v>
      </c>
      <c r="R1222" s="1" t="str">
        <f>IFERROR(__xludf.DUMMYFUNCTION("""COMPUTED_VALUE"""),"Enrique Paolo Catuncan")</f>
        <v>Enrique Paolo Catuncan</v>
      </c>
      <c r="S1222" s="1"/>
      <c r="T1222" s="1">
        <f>IFERROR(__xludf.DUMMYFUNCTION("""COMPUTED_VALUE"""),6.75)</f>
        <v>6.75</v>
      </c>
      <c r="U1222" s="2">
        <f>IFERROR(__xludf.DUMMYFUNCTION("""COMPUTED_VALUE"""),6.75)</f>
        <v>6.75</v>
      </c>
      <c r="V1222" s="1" t="str">
        <f>IFERROR(__xludf.DUMMYFUNCTION("""COMPUTED_VALUE"""),"AL Suarez")</f>
        <v>AL Suarez</v>
      </c>
      <c r="W1222" s="1" t="str">
        <f>IFERROR(__xludf.DUMMYFUNCTION("""COMPUTED_VALUE"""),"Admin Direct Support")</f>
        <v>Admin Direct Support</v>
      </c>
    </row>
    <row r="1223">
      <c r="O1223" s="1" t="str">
        <f>IFERROR(__xludf.DUMMYFUNCTION("""COMPUTED_VALUE"""),"2025 Oct")</f>
        <v>2025 Oct</v>
      </c>
      <c r="P1223" s="1" t="str">
        <f>IFERROR(__xludf.DUMMYFUNCTION("""COMPUTED_VALUE"""),"#N/A")</f>
        <v>#N/A</v>
      </c>
      <c r="Q1223" s="1" t="str">
        <f>IFERROR(__xludf.DUMMYFUNCTION("""COMPUTED_VALUE"""),"enicole@canva.com")</f>
        <v>enicole@canva.com</v>
      </c>
      <c r="R1223" s="1" t="str">
        <f>IFERROR(__xludf.DUMMYFUNCTION("""COMPUTED_VALUE"""),"Ericka Nicole Andrade")</f>
        <v>Ericka Nicole Andrade</v>
      </c>
      <c r="S1223" s="1">
        <f>IFERROR(__xludf.DUMMYFUNCTION("""COMPUTED_VALUE"""),1.0)</f>
        <v>1</v>
      </c>
      <c r="T1223" s="1">
        <f>IFERROR(__xludf.DUMMYFUNCTION("""COMPUTED_VALUE"""),1.25)</f>
        <v>1.25</v>
      </c>
      <c r="U1223" s="2">
        <f>IFERROR(__xludf.DUMMYFUNCTION("""COMPUTED_VALUE"""),2.25)</f>
        <v>2.25</v>
      </c>
      <c r="V1223" s="1" t="str">
        <f>IFERROR(__xludf.DUMMYFUNCTION("""COMPUTED_VALUE"""),"Cate Velasco")</f>
        <v>Cate Velasco</v>
      </c>
      <c r="W1223" s="1" t="str">
        <f>IFERROR(__xludf.DUMMYFUNCTION("""COMPUTED_VALUE"""),"Advanced Product Support")</f>
        <v>Advanced Product Support</v>
      </c>
    </row>
    <row r="1224">
      <c r="O1224" s="1" t="str">
        <f>IFERROR(__xludf.DUMMYFUNCTION("""COMPUTED_VALUE"""),"2025 Oct")</f>
        <v>2025 Oct</v>
      </c>
      <c r="P1224" s="1" t="str">
        <f>IFERROR(__xludf.DUMMYFUNCTION("""COMPUTED_VALUE"""),"Print Support")</f>
        <v>Print Support</v>
      </c>
      <c r="Q1224" s="1" t="str">
        <f>IFERROR(__xludf.DUMMYFUNCTION("""COMPUTED_VALUE"""),"erielle@canva.com")</f>
        <v>erielle@canva.com</v>
      </c>
      <c r="R1224" s="1" t="str">
        <f>IFERROR(__xludf.DUMMYFUNCTION("""COMPUTED_VALUE"""),"Erielle Singular")</f>
        <v>Erielle Singular</v>
      </c>
      <c r="S1224" s="1"/>
      <c r="T1224" s="1">
        <f>IFERROR(__xludf.DUMMYFUNCTION("""COMPUTED_VALUE"""),2.75)</f>
        <v>2.75</v>
      </c>
      <c r="U1224" s="2">
        <f>IFERROR(__xludf.DUMMYFUNCTION("""COMPUTED_VALUE"""),2.75)</f>
        <v>2.75</v>
      </c>
      <c r="V1224" s="1" t="str">
        <f>IFERROR(__xludf.DUMMYFUNCTION("""COMPUTED_VALUE"""),"Rei De Jesus")</f>
        <v>Rei De Jesus</v>
      </c>
      <c r="W1224" s="1" t="str">
        <f>IFERROR(__xludf.DUMMYFUNCTION("""COMPUTED_VALUE"""),"Print Design Support")</f>
        <v>Print Design Support</v>
      </c>
    </row>
    <row r="1225">
      <c r="O1225" s="1" t="str">
        <f>IFERROR(__xludf.DUMMYFUNCTION("""COMPUTED_VALUE"""),"2025 Oct")</f>
        <v>2025 Oct</v>
      </c>
      <c r="P1225" s="1" t="str">
        <f>IFERROR(__xludf.DUMMYFUNCTION("""COMPUTED_VALUE"""),"#N/A")</f>
        <v>#N/A</v>
      </c>
      <c r="Q1225" s="1" t="str">
        <f>IFERROR(__xludf.DUMMYFUNCTION("""COMPUTED_VALUE"""),"venturaestelle@canva.com")</f>
        <v>venturaestelle@canva.com</v>
      </c>
      <c r="R1225" s="1" t="str">
        <f>IFERROR(__xludf.DUMMYFUNCTION("""COMPUTED_VALUE"""),"Estelle Ventura")</f>
        <v>Estelle Ventura</v>
      </c>
      <c r="S1225" s="1">
        <f>IFERROR(__xludf.DUMMYFUNCTION("""COMPUTED_VALUE"""),1.0)</f>
        <v>1</v>
      </c>
      <c r="T1225" s="1"/>
      <c r="U1225" s="2">
        <f>IFERROR(__xludf.DUMMYFUNCTION("""COMPUTED_VALUE"""),1.0)</f>
        <v>1</v>
      </c>
      <c r="V1225" s="1" t="str">
        <f>IFERROR(__xludf.DUMMYFUNCTION("""COMPUTED_VALUE"""),"#N/A")</f>
        <v>#N/A</v>
      </c>
      <c r="W1225" s="1" t="str">
        <f>IFERROR(__xludf.DUMMYFUNCTION("""COMPUTED_VALUE"""),"#N/A")</f>
        <v>#N/A</v>
      </c>
    </row>
    <row r="1226">
      <c r="O1226" s="1" t="str">
        <f>IFERROR(__xludf.DUMMYFUNCTION("""COMPUTED_VALUE"""),"2025 Oct")</f>
        <v>2025 Oct</v>
      </c>
      <c r="P1226" s="1" t="str">
        <f>IFERROR(__xludf.DUMMYFUNCTION("""COMPUTED_VALUE"""),"Core Product Support")</f>
        <v>Core Product Support</v>
      </c>
      <c r="Q1226" s="1" t="str">
        <f>IFERROR(__xludf.DUMMYFUNCTION("""COMPUTED_VALUE"""),"euni@canva.com")</f>
        <v>euni@canva.com</v>
      </c>
      <c r="R1226" s="1" t="str">
        <f>IFERROR(__xludf.DUMMYFUNCTION("""COMPUTED_VALUE"""),"Eunice Hachero")</f>
        <v>Eunice Hachero</v>
      </c>
      <c r="S1226" s="1">
        <f>IFERROR(__xludf.DUMMYFUNCTION("""COMPUTED_VALUE"""),1.0)</f>
        <v>1</v>
      </c>
      <c r="T1226" s="1">
        <f>IFERROR(__xludf.DUMMYFUNCTION("""COMPUTED_VALUE"""),5.0)</f>
        <v>5</v>
      </c>
      <c r="U1226" s="2">
        <f>IFERROR(__xludf.DUMMYFUNCTION("""COMPUTED_VALUE"""),6.0)</f>
        <v>6</v>
      </c>
      <c r="V1226" s="1" t="str">
        <f>IFERROR(__xludf.DUMMYFUNCTION("""COMPUTED_VALUE"""),"Marie Mordeno")</f>
        <v>Marie Mordeno</v>
      </c>
      <c r="W1226" s="1" t="str">
        <f>IFERROR(__xludf.DUMMYFUNCTION("""COMPUTED_VALUE"""),"Advanced Billing &amp; Subscriptions")</f>
        <v>Advanced Billing &amp; Subscriptions</v>
      </c>
    </row>
    <row r="1227">
      <c r="O1227" s="1" t="str">
        <f>IFERROR(__xludf.DUMMYFUNCTION("""COMPUTED_VALUE"""),"2025 Oct")</f>
        <v>2025 Oct</v>
      </c>
      <c r="P1227" s="1" t="str">
        <f>IFERROR(__xludf.DUMMYFUNCTION("""COMPUTED_VALUE"""),"Admin Support")</f>
        <v>Admin Support</v>
      </c>
      <c r="Q1227" s="1" t="str">
        <f>IFERROR(__xludf.DUMMYFUNCTION("""COMPUTED_VALUE"""),"eziecl@canva.com")</f>
        <v>eziecl@canva.com</v>
      </c>
      <c r="R1227" s="1" t="str">
        <f>IFERROR(__xludf.DUMMYFUNCTION("""COMPUTED_VALUE"""),"Ezekiel Marlin Lacson")</f>
        <v>Ezekiel Marlin Lacson</v>
      </c>
      <c r="S1227" s="1"/>
      <c r="T1227" s="1">
        <f>IFERROR(__xludf.DUMMYFUNCTION("""COMPUTED_VALUE"""),22.75)</f>
        <v>22.75</v>
      </c>
      <c r="U1227" s="2">
        <f>IFERROR(__xludf.DUMMYFUNCTION("""COMPUTED_VALUE"""),22.75)</f>
        <v>22.75</v>
      </c>
      <c r="V1227" s="1" t="str">
        <f>IFERROR(__xludf.DUMMYFUNCTION("""COMPUTED_VALUE"""),"Pau Palmero")</f>
        <v>Pau Palmero</v>
      </c>
      <c r="W1227" s="1" t="str">
        <f>IFERROR(__xludf.DUMMYFUNCTION("""COMPUTED_VALUE"""),"Admin Omni Support")</f>
        <v>Admin Omni Support</v>
      </c>
    </row>
    <row r="1228">
      <c r="O1228" s="1" t="str">
        <f>IFERROR(__xludf.DUMMYFUNCTION("""COMPUTED_VALUE"""),"2025 Oct")</f>
        <v>2025 Oct</v>
      </c>
      <c r="P1228" s="1" t="str">
        <f>IFERROR(__xludf.DUMMYFUNCTION("""COMPUTED_VALUE"""),"Print Support")</f>
        <v>Print Support</v>
      </c>
      <c r="Q1228" s="1" t="str">
        <f>IFERROR(__xludf.DUMMYFUNCTION("""COMPUTED_VALUE"""),"faith@canva.com")</f>
        <v>faith@canva.com</v>
      </c>
      <c r="R1228" s="1" t="str">
        <f>IFERROR(__xludf.DUMMYFUNCTION("""COMPUTED_VALUE"""),"Faith Ytang")</f>
        <v>Faith Ytang</v>
      </c>
      <c r="S1228" s="1">
        <f>IFERROR(__xludf.DUMMYFUNCTION("""COMPUTED_VALUE"""),5.25)</f>
        <v>5.25</v>
      </c>
      <c r="T1228" s="1">
        <f>IFERROR(__xludf.DUMMYFUNCTION("""COMPUTED_VALUE"""),0.75)</f>
        <v>0.75</v>
      </c>
      <c r="U1228" s="2">
        <f>IFERROR(__xludf.DUMMYFUNCTION("""COMPUTED_VALUE"""),6.0)</f>
        <v>6</v>
      </c>
      <c r="V1228" s="1" t="str">
        <f>IFERROR(__xludf.DUMMYFUNCTION("""COMPUTED_VALUE"""),"Memae Faustino")</f>
        <v>Memae Faustino</v>
      </c>
      <c r="W1228" s="1" t="str">
        <f>IFERROR(__xludf.DUMMYFUNCTION("""COMPUTED_VALUE"""),"Print Support PH")</f>
        <v>Print Support PH</v>
      </c>
    </row>
    <row r="1229">
      <c r="O1229" s="1" t="str">
        <f>IFERROR(__xludf.DUMMYFUNCTION("""COMPUTED_VALUE"""),"2025 Oct")</f>
        <v>2025 Oct</v>
      </c>
      <c r="P1229" s="1" t="str">
        <f>IFERROR(__xludf.DUMMYFUNCTION("""COMPUTED_VALUE"""),"Multilingual Support")</f>
        <v>Multilingual Support</v>
      </c>
      <c r="Q1229" s="1" t="str">
        <f>IFERROR(__xludf.DUMMYFUNCTION("""COMPUTED_VALUE"""),"francescamat@canva.com")</f>
        <v>francescamat@canva.com</v>
      </c>
      <c r="R1229" s="1" t="str">
        <f>IFERROR(__xludf.DUMMYFUNCTION("""COMPUTED_VALUE"""),"Francesca Mat")</f>
        <v>Francesca Mat</v>
      </c>
      <c r="S1229" s="1">
        <f>IFERROR(__xludf.DUMMYFUNCTION("""COMPUTED_VALUE"""),1.0)</f>
        <v>1</v>
      </c>
      <c r="T1229" s="1">
        <f>IFERROR(__xludf.DUMMYFUNCTION("""COMPUTED_VALUE"""),5.0)</f>
        <v>5</v>
      </c>
      <c r="U1229" s="2">
        <f>IFERROR(__xludf.DUMMYFUNCTION("""COMPUTED_VALUE"""),6.0)</f>
        <v>6</v>
      </c>
      <c r="V1229" s="1" t="str">
        <f>IFERROR(__xludf.DUMMYFUNCTION("""COMPUTED_VALUE"""),"Arlene Maurillo")</f>
        <v>Arlene Maurillo</v>
      </c>
      <c r="W1229" s="1" t="str">
        <f>IFERROR(__xludf.DUMMYFUNCTION("""COMPUTED_VALUE"""),"PHL, Multilingual Support")</f>
        <v>PHL, Multilingual Support</v>
      </c>
    </row>
    <row r="1230">
      <c r="O1230" s="1" t="str">
        <f>IFERROR(__xludf.DUMMYFUNCTION("""COMPUTED_VALUE"""),"2025 Oct")</f>
        <v>2025 Oct</v>
      </c>
      <c r="P1230" s="1" t="str">
        <f>IFERROR(__xludf.DUMMYFUNCTION("""COMPUTED_VALUE"""),"Core Product Support")</f>
        <v>Core Product Support</v>
      </c>
      <c r="Q1230" s="1" t="str">
        <f>IFERROR(__xludf.DUMMYFUNCTION("""COMPUTED_VALUE"""),"fweill@canva.com")</f>
        <v>fweill@canva.com</v>
      </c>
      <c r="R1230" s="1" t="str">
        <f>IFERROR(__xludf.DUMMYFUNCTION("""COMPUTED_VALUE"""),"Frank Weill")</f>
        <v>Frank Weill</v>
      </c>
      <c r="S1230" s="1">
        <f>IFERROR(__xludf.DUMMYFUNCTION("""COMPUTED_VALUE"""),1.5)</f>
        <v>1.5</v>
      </c>
      <c r="T1230" s="1">
        <f>IFERROR(__xludf.DUMMYFUNCTION("""COMPUTED_VALUE"""),4.5)</f>
        <v>4.5</v>
      </c>
      <c r="U1230" s="2">
        <f>IFERROR(__xludf.DUMMYFUNCTION("""COMPUTED_VALUE"""),6.0)</f>
        <v>6</v>
      </c>
      <c r="V1230" s="1" t="str">
        <f>IFERROR(__xludf.DUMMYFUNCTION("""COMPUTED_VALUE"""),"Manee Barrasa")</f>
        <v>Manee Barrasa</v>
      </c>
      <c r="W1230" s="1" t="str">
        <f>IFERROR(__xludf.DUMMYFUNCTION("""COMPUTED_VALUE"""),"Advanced Billing &amp; Subscriptions")</f>
        <v>Advanced Billing &amp; Subscriptions</v>
      </c>
    </row>
    <row r="1231">
      <c r="O1231" s="1" t="str">
        <f>IFERROR(__xludf.DUMMYFUNCTION("""COMPUTED_VALUE"""),"2025 Oct")</f>
        <v>2025 Oct</v>
      </c>
      <c r="P1231" s="1" t="str">
        <f>IFERROR(__xludf.DUMMYFUNCTION("""COMPUTED_VALUE"""),"Print Support")</f>
        <v>Print Support</v>
      </c>
      <c r="Q1231" s="1" t="str">
        <f>IFERROR(__xludf.DUMMYFUNCTION("""COMPUTED_VALUE"""),"frencie@canva.com")</f>
        <v>frencie@canva.com</v>
      </c>
      <c r="R1231" s="1" t="str">
        <f>IFERROR(__xludf.DUMMYFUNCTION("""COMPUTED_VALUE"""),"Frencie Guzman")</f>
        <v>Frencie Guzman</v>
      </c>
      <c r="S1231" s="1"/>
      <c r="T1231" s="1">
        <f>IFERROR(__xludf.DUMMYFUNCTION("""COMPUTED_VALUE"""),2.75)</f>
        <v>2.75</v>
      </c>
      <c r="U1231" s="2">
        <f>IFERROR(__xludf.DUMMYFUNCTION("""COMPUTED_VALUE"""),2.75)</f>
        <v>2.75</v>
      </c>
      <c r="V1231" s="1" t="str">
        <f>IFERROR(__xludf.DUMMYFUNCTION("""COMPUTED_VALUE"""),"Aliza Dote")</f>
        <v>Aliza Dote</v>
      </c>
      <c r="W1231" s="1" t="str">
        <f>IFERROR(__xludf.DUMMYFUNCTION("""COMPUTED_VALUE"""),"Print Design Support")</f>
        <v>Print Design Support</v>
      </c>
    </row>
    <row r="1232">
      <c r="O1232" s="1" t="str">
        <f>IFERROR(__xludf.DUMMYFUNCTION("""COMPUTED_VALUE"""),"2025 Oct")</f>
        <v>2025 Oct</v>
      </c>
      <c r="P1232" s="1" t="str">
        <f>IFERROR(__xludf.DUMMYFUNCTION("""COMPUTED_VALUE"""),"Print Support")</f>
        <v>Print Support</v>
      </c>
      <c r="Q1232" s="1" t="str">
        <f>IFERROR(__xludf.DUMMYFUNCTION("""COMPUTED_VALUE"""),"gvr@canva.com")</f>
        <v>gvr@canva.com</v>
      </c>
      <c r="R1232" s="1" t="str">
        <f>IFERROR(__xludf.DUMMYFUNCTION("""COMPUTED_VALUE"""),"Gabriel Reyes")</f>
        <v>Gabriel Reyes</v>
      </c>
      <c r="S1232" s="1">
        <f>IFERROR(__xludf.DUMMYFUNCTION("""COMPUTED_VALUE"""),2.25)</f>
        <v>2.25</v>
      </c>
      <c r="T1232" s="1">
        <f>IFERROR(__xludf.DUMMYFUNCTION("""COMPUTED_VALUE"""),5.25)</f>
        <v>5.25</v>
      </c>
      <c r="U1232" s="2">
        <f>IFERROR(__xludf.DUMMYFUNCTION("""COMPUTED_VALUE"""),7.5)</f>
        <v>7.5</v>
      </c>
      <c r="V1232" s="1" t="str">
        <f>IFERROR(__xludf.DUMMYFUNCTION("""COMPUTED_VALUE"""),"Memae Faustino")</f>
        <v>Memae Faustino</v>
      </c>
      <c r="W1232" s="1" t="str">
        <f>IFERROR(__xludf.DUMMYFUNCTION("""COMPUTED_VALUE"""),"Print Support PH")</f>
        <v>Print Support PH</v>
      </c>
    </row>
    <row r="1233">
      <c r="O1233" s="1" t="str">
        <f>IFERROR(__xludf.DUMMYFUNCTION("""COMPUTED_VALUE"""),"2025 Oct")</f>
        <v>2025 Oct</v>
      </c>
      <c r="P1233" s="1" t="str">
        <f>IFERROR(__xludf.DUMMYFUNCTION("""COMPUTED_VALUE"""),"High Sensitivity Support")</f>
        <v>High Sensitivity Support</v>
      </c>
      <c r="Q1233" s="1" t="str">
        <f>IFERROR(__xludf.DUMMYFUNCTION("""COMPUTED_VALUE"""),"gsanandres@canva.com")</f>
        <v>gsanandres@canva.com</v>
      </c>
      <c r="R1233" s="1" t="str">
        <f>IFERROR(__xludf.DUMMYFUNCTION("""COMPUTED_VALUE"""),"Galvin San Andres")</f>
        <v>Galvin San Andres</v>
      </c>
      <c r="S1233" s="1">
        <f>IFERROR(__xludf.DUMMYFUNCTION("""COMPUTED_VALUE"""),14.0)</f>
        <v>14</v>
      </c>
      <c r="T1233" s="1">
        <f>IFERROR(__xludf.DUMMYFUNCTION("""COMPUTED_VALUE"""),4.0)</f>
        <v>4</v>
      </c>
      <c r="U1233" s="2">
        <f>IFERROR(__xludf.DUMMYFUNCTION("""COMPUTED_VALUE"""),18.0)</f>
        <v>18</v>
      </c>
      <c r="V1233" s="1" t="str">
        <f>IFERROR(__xludf.DUMMYFUNCTION("""COMPUTED_VALUE"""),"Xandy Azarcon")</f>
        <v>Xandy Azarcon</v>
      </c>
      <c r="W1233" s="1" t="str">
        <f>IFERROR(__xludf.DUMMYFUNCTION("""COMPUTED_VALUE"""),"High Sensitivity Support PH")</f>
        <v>High Sensitivity Support PH</v>
      </c>
    </row>
    <row r="1234">
      <c r="O1234" s="1" t="str">
        <f>IFERROR(__xludf.DUMMYFUNCTION("""COMPUTED_VALUE"""),"2025 Oct")</f>
        <v>2025 Oct</v>
      </c>
      <c r="P1234" s="1" t="str">
        <f>IFERROR(__xludf.DUMMYFUNCTION("""COMPUTED_VALUE"""),"Core Product Support")</f>
        <v>Core Product Support</v>
      </c>
      <c r="Q1234" s="1" t="str">
        <f>IFERROR(__xludf.DUMMYFUNCTION("""COMPUTED_VALUE"""),"gsauler@canva.com")</f>
        <v>gsauler@canva.com</v>
      </c>
      <c r="R1234" s="1" t="str">
        <f>IFERROR(__xludf.DUMMYFUNCTION("""COMPUTED_VALUE"""),"Gem Sauler")</f>
        <v>Gem Sauler</v>
      </c>
      <c r="S1234" s="1"/>
      <c r="T1234" s="1">
        <f>IFERROR(__xludf.DUMMYFUNCTION("""COMPUTED_VALUE"""),8.5)</f>
        <v>8.5</v>
      </c>
      <c r="U1234" s="2">
        <f>IFERROR(__xludf.DUMMYFUNCTION("""COMPUTED_VALUE"""),8.5)</f>
        <v>8.5</v>
      </c>
      <c r="V1234" s="1" t="str">
        <f>IFERROR(__xludf.DUMMYFUNCTION("""COMPUTED_VALUE"""),"Mikhaela Decangchon")</f>
        <v>Mikhaela Decangchon</v>
      </c>
      <c r="W1234" s="1" t="str">
        <f>IFERROR(__xludf.DUMMYFUNCTION("""COMPUTED_VALUE"""),"Advanced Product Support")</f>
        <v>Advanced Product Support</v>
      </c>
    </row>
    <row r="1235">
      <c r="O1235" s="1" t="str">
        <f>IFERROR(__xludf.DUMMYFUNCTION("""COMPUTED_VALUE"""),"2025 Oct")</f>
        <v>2025 Oct</v>
      </c>
      <c r="P1235" s="1" t="str">
        <f>IFERROR(__xludf.DUMMYFUNCTION("""COMPUTED_VALUE"""),"Core Product Support")</f>
        <v>Core Product Support</v>
      </c>
      <c r="Q1235" s="1" t="str">
        <f>IFERROR(__xludf.DUMMYFUNCTION("""COMPUTED_VALUE"""),"gemmalyn@canva.com")</f>
        <v>gemmalyn@canva.com</v>
      </c>
      <c r="R1235" s="1" t="str">
        <f>IFERROR(__xludf.DUMMYFUNCTION("""COMPUTED_VALUE"""),"Gemma Gaddi")</f>
        <v>Gemma Gaddi</v>
      </c>
      <c r="S1235" s="1">
        <f>IFERROR(__xludf.DUMMYFUNCTION("""COMPUTED_VALUE"""),1.5)</f>
        <v>1.5</v>
      </c>
      <c r="T1235" s="1">
        <f>IFERROR(__xludf.DUMMYFUNCTION("""COMPUTED_VALUE"""),5.0)</f>
        <v>5</v>
      </c>
      <c r="U1235" s="2">
        <f>IFERROR(__xludf.DUMMYFUNCTION("""COMPUTED_VALUE"""),6.5)</f>
        <v>6.5</v>
      </c>
      <c r="V1235" s="1" t="str">
        <f>IFERROR(__xludf.DUMMYFUNCTION("""COMPUTED_VALUE"""),"Jahmie Mae Barrameda")</f>
        <v>Jahmie Mae Barrameda</v>
      </c>
      <c r="W1235" s="1" t="str">
        <f>IFERROR(__xludf.DUMMYFUNCTION("""COMPUTED_VALUE"""),"Advanced Billing &amp; Subscriptions")</f>
        <v>Advanced Billing &amp; Subscriptions</v>
      </c>
    </row>
    <row r="1236">
      <c r="O1236" s="1" t="str">
        <f>IFERROR(__xludf.DUMMYFUNCTION("""COMPUTED_VALUE"""),"2025 Oct")</f>
        <v>2025 Oct</v>
      </c>
      <c r="P1236" s="1" t="str">
        <f>IFERROR(__xludf.DUMMYFUNCTION("""COMPUTED_VALUE"""),"Core Product Support")</f>
        <v>Core Product Support</v>
      </c>
      <c r="Q1236" s="1" t="str">
        <f>IFERROR(__xludf.DUMMYFUNCTION("""COMPUTED_VALUE"""),"evee@canva.com")</f>
        <v>evee@canva.com</v>
      </c>
      <c r="R1236" s="1" t="str">
        <f>IFERROR(__xludf.DUMMYFUNCTION("""COMPUTED_VALUE"""),"Gen Gingoyon")</f>
        <v>Gen Gingoyon</v>
      </c>
      <c r="S1236" s="1">
        <f>IFERROR(__xludf.DUMMYFUNCTION("""COMPUTED_VALUE"""),0.5)</f>
        <v>0.5</v>
      </c>
      <c r="T1236" s="1">
        <f>IFERROR(__xludf.DUMMYFUNCTION("""COMPUTED_VALUE"""),9.07)</f>
        <v>9.07</v>
      </c>
      <c r="U1236" s="2">
        <f>IFERROR(__xludf.DUMMYFUNCTION("""COMPUTED_VALUE"""),9.57)</f>
        <v>9.57</v>
      </c>
      <c r="V1236" s="1" t="str">
        <f>IFERROR(__xludf.DUMMYFUNCTION("""COMPUTED_VALUE"""),"Renette Bok")</f>
        <v>Renette Bok</v>
      </c>
      <c r="W1236" s="1" t="str">
        <f>IFERROR(__xludf.DUMMYFUNCTION("""COMPUTED_VALUE"""),"Advanced Billing &amp; Subscriptions")</f>
        <v>Advanced Billing &amp; Subscriptions</v>
      </c>
    </row>
    <row r="1237">
      <c r="O1237" s="1" t="str">
        <f>IFERROR(__xludf.DUMMYFUNCTION("""COMPUTED_VALUE"""),"2025 Oct")</f>
        <v>2025 Oct</v>
      </c>
      <c r="P1237" s="1" t="str">
        <f>IFERROR(__xludf.DUMMYFUNCTION("""COMPUTED_VALUE"""),"Core Product Support")</f>
        <v>Core Product Support</v>
      </c>
      <c r="Q1237" s="1" t="str">
        <f>IFERROR(__xludf.DUMMYFUNCTION("""COMPUTED_VALUE"""),"gpascua@canva.com")</f>
        <v>gpascua@canva.com</v>
      </c>
      <c r="R1237" s="1" t="str">
        <f>IFERROR(__xludf.DUMMYFUNCTION("""COMPUTED_VALUE"""),"Gernie Pascua")</f>
        <v>Gernie Pascua</v>
      </c>
      <c r="S1237" s="1">
        <f>IFERROR(__xludf.DUMMYFUNCTION("""COMPUTED_VALUE"""),0.5)</f>
        <v>0.5</v>
      </c>
      <c r="T1237" s="1">
        <f>IFERROR(__xludf.DUMMYFUNCTION("""COMPUTED_VALUE"""),14.5)</f>
        <v>14.5</v>
      </c>
      <c r="U1237" s="2">
        <f>IFERROR(__xludf.DUMMYFUNCTION("""COMPUTED_VALUE"""),15.0)</f>
        <v>15</v>
      </c>
      <c r="V1237" s="1" t="str">
        <f>IFERROR(__xludf.DUMMYFUNCTION("""COMPUTED_VALUE"""),"Ellaine Estayo")</f>
        <v>Ellaine Estayo</v>
      </c>
      <c r="W1237" s="1" t="str">
        <f>IFERROR(__xludf.DUMMYFUNCTION("""COMPUTED_VALUE"""),"Core Product Support Escalation Team")</f>
        <v>Core Product Support Escalation Team</v>
      </c>
    </row>
    <row r="1238">
      <c r="O1238" s="1" t="str">
        <f>IFERROR(__xludf.DUMMYFUNCTION("""COMPUTED_VALUE"""),"2025 Oct")</f>
        <v>2025 Oct</v>
      </c>
      <c r="P1238" s="1" t="str">
        <f>IFERROR(__xludf.DUMMYFUNCTION("""COMPUTED_VALUE"""),"Print Support")</f>
        <v>Print Support</v>
      </c>
      <c r="Q1238" s="1" t="str">
        <f>IFERROR(__xludf.DUMMYFUNCTION("""COMPUTED_VALUE"""),"giadacillo@canva.com")</f>
        <v>giadacillo@canva.com</v>
      </c>
      <c r="R1238" s="1" t="str">
        <f>IFERROR(__xludf.DUMMYFUNCTION("""COMPUTED_VALUE"""),"Gia Dacillo")</f>
        <v>Gia Dacillo</v>
      </c>
      <c r="S1238" s="1"/>
      <c r="T1238" s="1">
        <f>IFERROR(__xludf.DUMMYFUNCTION("""COMPUTED_VALUE"""),2.75)</f>
        <v>2.75</v>
      </c>
      <c r="U1238" s="2">
        <f>IFERROR(__xludf.DUMMYFUNCTION("""COMPUTED_VALUE"""),2.75)</f>
        <v>2.75</v>
      </c>
      <c r="V1238" s="1" t="str">
        <f>IFERROR(__xludf.DUMMYFUNCTION("""COMPUTED_VALUE"""),"Jan Domingo")</f>
        <v>Jan Domingo</v>
      </c>
      <c r="W1238" s="1" t="str">
        <f>IFERROR(__xludf.DUMMYFUNCTION("""COMPUTED_VALUE"""),"Print Design Support")</f>
        <v>Print Design Support</v>
      </c>
    </row>
    <row r="1239">
      <c r="O1239" s="1" t="str">
        <f>IFERROR(__xludf.DUMMYFUNCTION("""COMPUTED_VALUE"""),"2025 Oct")</f>
        <v>2025 Oct</v>
      </c>
      <c r="P1239" s="1" t="str">
        <f>IFERROR(__xludf.DUMMYFUNCTION("""COMPUTED_VALUE"""),"Core Product Support")</f>
        <v>Core Product Support</v>
      </c>
      <c r="Q1239" s="1" t="str">
        <f>IFERROR(__xludf.DUMMYFUNCTION("""COMPUTED_VALUE"""),"gieslnts@canva.com")</f>
        <v>gieslnts@canva.com</v>
      </c>
      <c r="R1239" s="1" t="str">
        <f>IFERROR(__xludf.DUMMYFUNCTION("""COMPUTED_VALUE"""),"Gieann Salantes")</f>
        <v>Gieann Salantes</v>
      </c>
      <c r="S1239" s="1"/>
      <c r="T1239" s="1">
        <f>IFERROR(__xludf.DUMMYFUNCTION("""COMPUTED_VALUE"""),19.55)</f>
        <v>19.55</v>
      </c>
      <c r="U1239" s="2">
        <f>IFERROR(__xludf.DUMMYFUNCTION("""COMPUTED_VALUE"""),19.55)</f>
        <v>19.55</v>
      </c>
      <c r="V1239" s="1" t="str">
        <f>IFERROR(__xludf.DUMMYFUNCTION("""COMPUTED_VALUE"""),"Sieg Ballelos")</f>
        <v>Sieg Ballelos</v>
      </c>
      <c r="W1239" s="1" t="str">
        <f>IFERROR(__xludf.DUMMYFUNCTION("""COMPUTED_VALUE"""),"Core Product Support Escalation Team")</f>
        <v>Core Product Support Escalation Team</v>
      </c>
    </row>
    <row r="1240">
      <c r="O1240" s="1" t="str">
        <f>IFERROR(__xludf.DUMMYFUNCTION("""COMPUTED_VALUE"""),"2025 Oct")</f>
        <v>2025 Oct</v>
      </c>
      <c r="P1240" s="1" t="str">
        <f>IFERROR(__xludf.DUMMYFUNCTION("""COMPUTED_VALUE"""),"Admin Support")</f>
        <v>Admin Support</v>
      </c>
      <c r="Q1240" s="1" t="str">
        <f>IFERROR(__xludf.DUMMYFUNCTION("""COMPUTED_VALUE"""),"glennford@canva.com")</f>
        <v>glennford@canva.com</v>
      </c>
      <c r="R1240" s="1" t="str">
        <f>IFERROR(__xludf.DUMMYFUNCTION("""COMPUTED_VALUE"""),"Glenn Gutierrez")</f>
        <v>Glenn Gutierrez</v>
      </c>
      <c r="S1240" s="1"/>
      <c r="T1240" s="1">
        <f>IFERROR(__xludf.DUMMYFUNCTION("""COMPUTED_VALUE"""),7.5)</f>
        <v>7.5</v>
      </c>
      <c r="U1240" s="2">
        <f>IFERROR(__xludf.DUMMYFUNCTION("""COMPUTED_VALUE"""),7.5)</f>
        <v>7.5</v>
      </c>
      <c r="V1240" s="1" t="str">
        <f>IFERROR(__xludf.DUMMYFUNCTION("""COMPUTED_VALUE"""),"Karla Mananghaya")</f>
        <v>Karla Mananghaya</v>
      </c>
      <c r="W1240" s="1" t="str">
        <f>IFERROR(__xludf.DUMMYFUNCTION("""COMPUTED_VALUE"""),"Admin Support Service Escalation Team")</f>
        <v>Admin Support Service Escalation Team</v>
      </c>
    </row>
    <row r="1241">
      <c r="O1241" s="1" t="str">
        <f>IFERROR(__xludf.DUMMYFUNCTION("""COMPUTED_VALUE"""),"2025 Oct")</f>
        <v>2025 Oct</v>
      </c>
      <c r="P1241" s="1" t="str">
        <f>IFERROR(__xludf.DUMMYFUNCTION("""COMPUTED_VALUE"""),"Core Product Support")</f>
        <v>Core Product Support</v>
      </c>
      <c r="Q1241" s="1" t="str">
        <f>IFERROR(__xludf.DUMMYFUNCTION("""COMPUTED_VALUE"""),"gracegarcia@canva.com")</f>
        <v>gracegarcia@canva.com</v>
      </c>
      <c r="R1241" s="1" t="str">
        <f>IFERROR(__xludf.DUMMYFUNCTION("""COMPUTED_VALUE"""),"Grace Garcia")</f>
        <v>Grace Garcia</v>
      </c>
      <c r="S1241" s="1">
        <f>IFERROR(__xludf.DUMMYFUNCTION("""COMPUTED_VALUE"""),0.5)</f>
        <v>0.5</v>
      </c>
      <c r="T1241" s="1">
        <f>IFERROR(__xludf.DUMMYFUNCTION("""COMPUTED_VALUE"""),5.0)</f>
        <v>5</v>
      </c>
      <c r="U1241" s="2">
        <f>IFERROR(__xludf.DUMMYFUNCTION("""COMPUTED_VALUE"""),5.5)</f>
        <v>5.5</v>
      </c>
      <c r="V1241" s="1" t="str">
        <f>IFERROR(__xludf.DUMMYFUNCTION("""COMPUTED_VALUE"""),"Marie Mordeno")</f>
        <v>Marie Mordeno</v>
      </c>
      <c r="W1241" s="1" t="str">
        <f>IFERROR(__xludf.DUMMYFUNCTION("""COMPUTED_VALUE"""),"Advanced Billing &amp; Subscriptions")</f>
        <v>Advanced Billing &amp; Subscriptions</v>
      </c>
    </row>
    <row r="1242">
      <c r="O1242" s="1" t="str">
        <f>IFERROR(__xludf.DUMMYFUNCTION("""COMPUTED_VALUE"""),"2025 Oct")</f>
        <v>2025 Oct</v>
      </c>
      <c r="P1242" s="1" t="str">
        <f>IFERROR(__xludf.DUMMYFUNCTION("""COMPUTED_VALUE"""),"Core Product Support")</f>
        <v>Core Product Support</v>
      </c>
      <c r="Q1242" s="1" t="str">
        <f>IFERROR(__xludf.DUMMYFUNCTION("""COMPUTED_VALUE"""),"hanni@canva.com")</f>
        <v>hanni@canva.com</v>
      </c>
      <c r="R1242" s="1" t="str">
        <f>IFERROR(__xludf.DUMMYFUNCTION("""COMPUTED_VALUE"""),"Hannah Bejo")</f>
        <v>Hannah Bejo</v>
      </c>
      <c r="S1242" s="1">
        <f>IFERROR(__xludf.DUMMYFUNCTION("""COMPUTED_VALUE"""),1.0)</f>
        <v>1</v>
      </c>
      <c r="T1242" s="1">
        <f>IFERROR(__xludf.DUMMYFUNCTION("""COMPUTED_VALUE"""),6.75)</f>
        <v>6.75</v>
      </c>
      <c r="U1242" s="2">
        <f>IFERROR(__xludf.DUMMYFUNCTION("""COMPUTED_VALUE"""),7.75)</f>
        <v>7.75</v>
      </c>
      <c r="V1242" s="1" t="str">
        <f>IFERROR(__xludf.DUMMYFUNCTION("""COMPUTED_VALUE"""),"Ayza Marie Pascual")</f>
        <v>Ayza Marie Pascual</v>
      </c>
      <c r="W1242" s="1" t="str">
        <f>IFERROR(__xludf.DUMMYFUNCTION("""COMPUTED_VALUE"""),"Advanced Billing &amp; Subscriptions")</f>
        <v>Advanced Billing &amp; Subscriptions</v>
      </c>
    </row>
    <row r="1243">
      <c r="O1243" s="1" t="str">
        <f>IFERROR(__xludf.DUMMYFUNCTION("""COMPUTED_VALUE"""),"2025 Oct")</f>
        <v>2025 Oct</v>
      </c>
      <c r="P1243" s="1" t="str">
        <f>IFERROR(__xludf.DUMMYFUNCTION("""COMPUTED_VALUE"""),"Core Product Support")</f>
        <v>Core Product Support</v>
      </c>
      <c r="Q1243" s="1" t="str">
        <f>IFERROR(__xludf.DUMMYFUNCTION("""COMPUTED_VALUE"""),"hdecena@canva.com")</f>
        <v>hdecena@canva.com</v>
      </c>
      <c r="R1243" s="1" t="str">
        <f>IFERROR(__xludf.DUMMYFUNCTION("""COMPUTED_VALUE"""),"Hannah Decena")</f>
        <v>Hannah Decena</v>
      </c>
      <c r="S1243" s="1">
        <f>IFERROR(__xludf.DUMMYFUNCTION("""COMPUTED_VALUE"""),1.0)</f>
        <v>1</v>
      </c>
      <c r="T1243" s="1">
        <f>IFERROR(__xludf.DUMMYFUNCTION("""COMPUTED_VALUE"""),6.25)</f>
        <v>6.25</v>
      </c>
      <c r="U1243" s="2">
        <f>IFERROR(__xludf.DUMMYFUNCTION("""COMPUTED_VALUE"""),7.25)</f>
        <v>7.25</v>
      </c>
      <c r="V1243" s="1" t="str">
        <f>IFERROR(__xludf.DUMMYFUNCTION("""COMPUTED_VALUE"""),"Ana Lazaro")</f>
        <v>Ana Lazaro</v>
      </c>
      <c r="W1243" s="1" t="str">
        <f>IFERROR(__xludf.DUMMYFUNCTION("""COMPUTED_VALUE"""),"Advanced Billing &amp; Subscriptions")</f>
        <v>Advanced Billing &amp; Subscriptions</v>
      </c>
    </row>
    <row r="1244">
      <c r="O1244" s="1" t="str">
        <f>IFERROR(__xludf.DUMMYFUNCTION("""COMPUTED_VALUE"""),"2025 Oct")</f>
        <v>2025 Oct</v>
      </c>
      <c r="P1244" s="1" t="str">
        <f>IFERROR(__xludf.DUMMYFUNCTION("""COMPUTED_VALUE"""),"High Sensitivity Support")</f>
        <v>High Sensitivity Support</v>
      </c>
      <c r="Q1244" s="1" t="str">
        <f>IFERROR(__xludf.DUMMYFUNCTION("""COMPUTED_VALUE"""),"hannahd@canva.com")</f>
        <v>hannahd@canva.com</v>
      </c>
      <c r="R1244" s="1" t="str">
        <f>IFERROR(__xludf.DUMMYFUNCTION("""COMPUTED_VALUE"""),"Hannah Dimayuga")</f>
        <v>Hannah Dimayuga</v>
      </c>
      <c r="S1244" s="1"/>
      <c r="T1244" s="1">
        <f>IFERROR(__xludf.DUMMYFUNCTION("""COMPUTED_VALUE"""),5.03)</f>
        <v>5.03</v>
      </c>
      <c r="U1244" s="2">
        <f>IFERROR(__xludf.DUMMYFUNCTION("""COMPUTED_VALUE"""),5.03)</f>
        <v>5.03</v>
      </c>
      <c r="V1244" s="1" t="str">
        <f>IFERROR(__xludf.DUMMYFUNCTION("""COMPUTED_VALUE"""),"Rex Villamor")</f>
        <v>Rex Villamor</v>
      </c>
      <c r="W1244" s="1" t="str">
        <f>IFERROR(__xludf.DUMMYFUNCTION("""COMPUTED_VALUE"""),"High Sensitivity Support PH")</f>
        <v>High Sensitivity Support PH</v>
      </c>
    </row>
    <row r="1245">
      <c r="O1245" s="1" t="str">
        <f>IFERROR(__xludf.DUMMYFUNCTION("""COMPUTED_VALUE"""),"2025 Oct")</f>
        <v>2025 Oct</v>
      </c>
      <c r="P1245" s="1" t="str">
        <f>IFERROR(__xludf.DUMMYFUNCTION("""COMPUTED_VALUE"""),"Core Product Support")</f>
        <v>Core Product Support</v>
      </c>
      <c r="Q1245" s="1" t="str">
        <f>IFERROR(__xludf.DUMMYFUNCTION("""COMPUTED_VALUE"""),"hazzel@canva.com")</f>
        <v>hazzel@canva.com</v>
      </c>
      <c r="R1245" s="1" t="str">
        <f>IFERROR(__xludf.DUMMYFUNCTION("""COMPUTED_VALUE"""),"Haze Rafon")</f>
        <v>Haze Rafon</v>
      </c>
      <c r="S1245" s="1">
        <f>IFERROR(__xludf.DUMMYFUNCTION("""COMPUTED_VALUE"""),1.0)</f>
        <v>1</v>
      </c>
      <c r="T1245" s="1">
        <f>IFERROR(__xludf.DUMMYFUNCTION("""COMPUTED_VALUE"""),14.0)</f>
        <v>14</v>
      </c>
      <c r="U1245" s="2">
        <f>IFERROR(__xludf.DUMMYFUNCTION("""COMPUTED_VALUE"""),15.0)</f>
        <v>15</v>
      </c>
      <c r="V1245" s="1" t="str">
        <f>IFERROR(__xludf.DUMMYFUNCTION("""COMPUTED_VALUE"""),"Sieg Ballelos")</f>
        <v>Sieg Ballelos</v>
      </c>
      <c r="W1245" s="1" t="str">
        <f>IFERROR(__xludf.DUMMYFUNCTION("""COMPUTED_VALUE"""),"Core Product Support Escalation Team")</f>
        <v>Core Product Support Escalation Team</v>
      </c>
    </row>
    <row r="1246">
      <c r="O1246" s="1" t="str">
        <f>IFERROR(__xludf.DUMMYFUNCTION("""COMPUTED_VALUE"""),"2025 Oct")</f>
        <v>2025 Oct</v>
      </c>
      <c r="P1246" s="1" t="str">
        <f>IFERROR(__xludf.DUMMYFUNCTION("""COMPUTED_VALUE"""),"Segment-specific Support")</f>
        <v>Segment-specific Support</v>
      </c>
      <c r="Q1246" s="1" t="str">
        <f>IFERROR(__xludf.DUMMYFUNCTION("""COMPUTED_VALUE"""),"icetamayo@canva.com")</f>
        <v>icetamayo@canva.com</v>
      </c>
      <c r="R1246" s="1" t="str">
        <f>IFERROR(__xludf.DUMMYFUNCTION("""COMPUTED_VALUE"""),"Ice Montecillo-Tamayo")</f>
        <v>Ice Montecillo-Tamayo</v>
      </c>
      <c r="S1246" s="1">
        <f>IFERROR(__xludf.DUMMYFUNCTION("""COMPUTED_VALUE"""),1.5)</f>
        <v>1.5</v>
      </c>
      <c r="T1246" s="1">
        <f>IFERROR(__xludf.DUMMYFUNCTION("""COMPUTED_VALUE"""),3.0)</f>
        <v>3</v>
      </c>
      <c r="U1246" s="2">
        <f>IFERROR(__xludf.DUMMYFUNCTION("""COMPUTED_VALUE"""),4.5)</f>
        <v>4.5</v>
      </c>
      <c r="V1246" s="1" t="str">
        <f>IFERROR(__xludf.DUMMYFUNCTION("""COMPUTED_VALUE"""),"Rose Gabilan")</f>
        <v>Rose Gabilan</v>
      </c>
      <c r="W1246" s="1" t="str">
        <f>IFERROR(__xludf.DUMMYFUNCTION("""COMPUTED_VALUE"""),"Affinity Support")</f>
        <v>Affinity Support</v>
      </c>
    </row>
    <row r="1247">
      <c r="O1247" s="1" t="str">
        <f>IFERROR(__xludf.DUMMYFUNCTION("""COMPUTED_VALUE"""),"2025 Oct")</f>
        <v>2025 Oct</v>
      </c>
      <c r="P1247" s="1" t="str">
        <f>IFERROR(__xludf.DUMMYFUNCTION("""COMPUTED_VALUE"""),"Core Product Support")</f>
        <v>Core Product Support</v>
      </c>
      <c r="Q1247" s="1" t="str">
        <f>IFERROR(__xludf.DUMMYFUNCTION("""COMPUTED_VALUE"""),"mrwong@canva.com")</f>
        <v>mrwong@canva.com</v>
      </c>
      <c r="R1247" s="1" t="str">
        <f>IFERROR(__xludf.DUMMYFUNCTION("""COMPUTED_VALUE"""),"Ino Wong")</f>
        <v>Ino Wong</v>
      </c>
      <c r="S1247" s="1"/>
      <c r="T1247" s="1">
        <f>IFERROR(__xludf.DUMMYFUNCTION("""COMPUTED_VALUE"""),46.0)</f>
        <v>46</v>
      </c>
      <c r="U1247" s="2">
        <f>IFERROR(__xludf.DUMMYFUNCTION("""COMPUTED_VALUE"""),46.0)</f>
        <v>46</v>
      </c>
      <c r="V1247" s="1" t="str">
        <f>IFERROR(__xludf.DUMMYFUNCTION("""COMPUTED_VALUE"""),"Jem Mondoñedo")</f>
        <v>Jem Mondoñedo</v>
      </c>
      <c r="W1247" s="1" t="str">
        <f>IFERROR(__xludf.DUMMYFUNCTION("""COMPUTED_VALUE"""),"Advanced Billing &amp; Subscriptions")</f>
        <v>Advanced Billing &amp; Subscriptions</v>
      </c>
    </row>
    <row r="1248">
      <c r="O1248" s="1" t="str">
        <f>IFERROR(__xludf.DUMMYFUNCTION("""COMPUTED_VALUE"""),"2025 Oct")</f>
        <v>2025 Oct</v>
      </c>
      <c r="P1248" s="1" t="str">
        <f>IFERROR(__xludf.DUMMYFUNCTION("""COMPUTED_VALUE"""),"Segment-specific Support")</f>
        <v>Segment-specific Support</v>
      </c>
      <c r="Q1248" s="1" t="str">
        <f>IFERROR(__xludf.DUMMYFUNCTION("""COMPUTED_VALUE"""),"ivy@canva.com")</f>
        <v>ivy@canva.com</v>
      </c>
      <c r="R1248" s="1" t="str">
        <f>IFERROR(__xludf.DUMMYFUNCTION("""COMPUTED_VALUE"""),"Ivy Sabado")</f>
        <v>Ivy Sabado</v>
      </c>
      <c r="S1248" s="1"/>
      <c r="T1248" s="1">
        <f>IFERROR(__xludf.DUMMYFUNCTION("""COMPUTED_VALUE"""),1.5)</f>
        <v>1.5</v>
      </c>
      <c r="U1248" s="2">
        <f>IFERROR(__xludf.DUMMYFUNCTION("""COMPUTED_VALUE"""),1.5)</f>
        <v>1.5</v>
      </c>
      <c r="V1248" s="1" t="str">
        <f>IFERROR(__xludf.DUMMYFUNCTION("""COMPUTED_VALUE"""),"Aileen Dayanghirang")</f>
        <v>Aileen Dayanghirang</v>
      </c>
      <c r="W1248" s="1" t="str">
        <f>IFERROR(__xludf.DUMMYFUNCTION("""COMPUTED_VALUE"""),"Creators Support")</f>
        <v>Creators Support</v>
      </c>
    </row>
    <row r="1249">
      <c r="O1249" s="1" t="str">
        <f>IFERROR(__xludf.DUMMYFUNCTION("""COMPUTED_VALUE"""),"2025 Oct")</f>
        <v>2025 Oct</v>
      </c>
      <c r="P1249" s="1" t="str">
        <f>IFERROR(__xludf.DUMMYFUNCTION("""COMPUTED_VALUE"""),"Core Product Support")</f>
        <v>Core Product Support</v>
      </c>
      <c r="Q1249" s="1" t="str">
        <f>IFERROR(__xludf.DUMMYFUNCTION("""COMPUTED_VALUE"""),"iyaacuyong@canva.com")</f>
        <v>iyaacuyong@canva.com</v>
      </c>
      <c r="R1249" s="1" t="str">
        <f>IFERROR(__xludf.DUMMYFUNCTION("""COMPUTED_VALUE"""),"Iya Acuyong")</f>
        <v>Iya Acuyong</v>
      </c>
      <c r="S1249" s="1">
        <f>IFERROR(__xludf.DUMMYFUNCTION("""COMPUTED_VALUE"""),0.5)</f>
        <v>0.5</v>
      </c>
      <c r="T1249" s="1">
        <f>IFERROR(__xludf.DUMMYFUNCTION("""COMPUTED_VALUE"""),12.0)</f>
        <v>12</v>
      </c>
      <c r="U1249" s="2">
        <f>IFERROR(__xludf.DUMMYFUNCTION("""COMPUTED_VALUE"""),12.5)</f>
        <v>12.5</v>
      </c>
      <c r="V1249" s="1" t="str">
        <f>IFERROR(__xludf.DUMMYFUNCTION("""COMPUTED_VALUE"""),"Mikhaela Decangchon")</f>
        <v>Mikhaela Decangchon</v>
      </c>
      <c r="W1249" s="1" t="str">
        <f>IFERROR(__xludf.DUMMYFUNCTION("""COMPUTED_VALUE"""),"Advanced Product Support")</f>
        <v>Advanced Product Support</v>
      </c>
    </row>
    <row r="1250">
      <c r="O1250" s="1" t="str">
        <f>IFERROR(__xludf.DUMMYFUNCTION("""COMPUTED_VALUE"""),"2025 Oct")</f>
        <v>2025 Oct</v>
      </c>
      <c r="P1250" s="1" t="str">
        <f>IFERROR(__xludf.DUMMYFUNCTION("""COMPUTED_VALUE"""),"Print Support")</f>
        <v>Print Support</v>
      </c>
      <c r="Q1250" s="1" t="str">
        <f>IFERROR(__xludf.DUMMYFUNCTION("""COMPUTED_VALUE"""),"jagumasing@canva.com")</f>
        <v>jagumasing@canva.com</v>
      </c>
      <c r="R1250" s="1" t="str">
        <f>IFERROR(__xludf.DUMMYFUNCTION("""COMPUTED_VALUE"""),"Ja Gumasing")</f>
        <v>Ja Gumasing</v>
      </c>
      <c r="S1250" s="1">
        <f>IFERROR(__xludf.DUMMYFUNCTION("""COMPUTED_VALUE"""),2.0)</f>
        <v>2</v>
      </c>
      <c r="T1250" s="1">
        <f>IFERROR(__xludf.DUMMYFUNCTION("""COMPUTED_VALUE"""),2.75)</f>
        <v>2.75</v>
      </c>
      <c r="U1250" s="2">
        <f>IFERROR(__xludf.DUMMYFUNCTION("""COMPUTED_VALUE"""),4.75)</f>
        <v>4.75</v>
      </c>
      <c r="V1250" s="1" t="str">
        <f>IFERROR(__xludf.DUMMYFUNCTION("""COMPUTED_VALUE"""),"Althea Mercado")</f>
        <v>Althea Mercado</v>
      </c>
      <c r="W1250" s="1" t="str">
        <f>IFERROR(__xludf.DUMMYFUNCTION("""COMPUTED_VALUE"""),"Print Support PH")</f>
        <v>Print Support PH</v>
      </c>
    </row>
    <row r="1251">
      <c r="O1251" s="1" t="str">
        <f>IFERROR(__xludf.DUMMYFUNCTION("""COMPUTED_VALUE"""),"2025 Oct")</f>
        <v>2025 Oct</v>
      </c>
      <c r="P1251" s="1" t="str">
        <f>IFERROR(__xludf.DUMMYFUNCTION("""COMPUTED_VALUE"""),"Admin Support")</f>
        <v>Admin Support</v>
      </c>
      <c r="Q1251" s="1" t="str">
        <f>IFERROR(__xludf.DUMMYFUNCTION("""COMPUTED_VALUE"""),"jacobgarza@canva.com")</f>
        <v>jacobgarza@canva.com</v>
      </c>
      <c r="R1251" s="1" t="str">
        <f>IFERROR(__xludf.DUMMYFUNCTION("""COMPUTED_VALUE"""),"Jacob Garza")</f>
        <v>Jacob Garza</v>
      </c>
      <c r="S1251" s="1">
        <f>IFERROR(__xludf.DUMMYFUNCTION("""COMPUTED_VALUE"""),5.0)</f>
        <v>5</v>
      </c>
      <c r="T1251" s="1">
        <f>IFERROR(__xludf.DUMMYFUNCTION("""COMPUTED_VALUE"""),2.0)</f>
        <v>2</v>
      </c>
      <c r="U1251" s="2">
        <f>IFERROR(__xludf.DUMMYFUNCTION("""COMPUTED_VALUE"""),7.0)</f>
        <v>7</v>
      </c>
      <c r="V1251" s="1" t="str">
        <f>IFERROR(__xludf.DUMMYFUNCTION("""COMPUTED_VALUE"""),"Nate Vela")</f>
        <v>Nate Vela</v>
      </c>
      <c r="W1251" s="1" t="str">
        <f>IFERROR(__xludf.DUMMYFUNCTION("""COMPUTED_VALUE"""),"Admin Support NA")</f>
        <v>Admin Support NA</v>
      </c>
    </row>
    <row r="1252">
      <c r="O1252" s="1" t="str">
        <f>IFERROR(__xludf.DUMMYFUNCTION("""COMPUTED_VALUE"""),"2025 Oct")</f>
        <v>2025 Oct</v>
      </c>
      <c r="P1252" s="1" t="str">
        <f>IFERROR(__xludf.DUMMYFUNCTION("""COMPUTED_VALUE"""),"Core Product Support")</f>
        <v>Core Product Support</v>
      </c>
      <c r="Q1252" s="1" t="str">
        <f>IFERROR(__xludf.DUMMYFUNCTION("""COMPUTED_VALUE"""),"jacque@canva.com")</f>
        <v>jacque@canva.com</v>
      </c>
      <c r="R1252" s="1" t="str">
        <f>IFERROR(__xludf.DUMMYFUNCTION("""COMPUTED_VALUE"""),"Jacqueline Gay")</f>
        <v>Jacqueline Gay</v>
      </c>
      <c r="S1252" s="1"/>
      <c r="T1252" s="1">
        <f>IFERROR(__xludf.DUMMYFUNCTION("""COMPUTED_VALUE"""),46.0)</f>
        <v>46</v>
      </c>
      <c r="U1252" s="2">
        <f>IFERROR(__xludf.DUMMYFUNCTION("""COMPUTED_VALUE"""),46.0)</f>
        <v>46</v>
      </c>
      <c r="V1252" s="1" t="str">
        <f>IFERROR(__xludf.DUMMYFUNCTION("""COMPUTED_VALUE"""),"Jem Mondoñedo")</f>
        <v>Jem Mondoñedo</v>
      </c>
      <c r="W1252" s="1" t="str">
        <f>IFERROR(__xludf.DUMMYFUNCTION("""COMPUTED_VALUE"""),"Advanced Billing &amp; Subscriptions")</f>
        <v>Advanced Billing &amp; Subscriptions</v>
      </c>
    </row>
    <row r="1253">
      <c r="O1253" s="1" t="str">
        <f>IFERROR(__xludf.DUMMYFUNCTION("""COMPUTED_VALUE"""),"2025 Oct")</f>
        <v>2025 Oct</v>
      </c>
      <c r="P1253" s="1" t="str">
        <f>IFERROR(__xludf.DUMMYFUNCTION("""COMPUTED_VALUE"""),"Print Support")</f>
        <v>Print Support</v>
      </c>
      <c r="Q1253" s="1" t="str">
        <f>IFERROR(__xludf.DUMMYFUNCTION("""COMPUTED_VALUE"""),"jadec@canva.com")</f>
        <v>jadec@canva.com</v>
      </c>
      <c r="R1253" s="1" t="str">
        <f>IFERROR(__xludf.DUMMYFUNCTION("""COMPUTED_VALUE"""),"Jade Curitana")</f>
        <v>Jade Curitana</v>
      </c>
      <c r="S1253" s="1"/>
      <c r="T1253" s="1">
        <f>IFERROR(__xludf.DUMMYFUNCTION("""COMPUTED_VALUE"""),3.25)</f>
        <v>3.25</v>
      </c>
      <c r="U1253" s="2">
        <f>IFERROR(__xludf.DUMMYFUNCTION("""COMPUTED_VALUE"""),3.25)</f>
        <v>3.25</v>
      </c>
      <c r="V1253" s="1" t="str">
        <f>IFERROR(__xludf.DUMMYFUNCTION("""COMPUTED_VALUE"""),"Louise Dianne Estrella")</f>
        <v>Louise Dianne Estrella</v>
      </c>
      <c r="W1253" s="1" t="str">
        <f>IFERROR(__xludf.DUMMYFUNCTION("""COMPUTED_VALUE"""),"Print Support PH")</f>
        <v>Print Support PH</v>
      </c>
    </row>
    <row r="1254">
      <c r="O1254" s="1" t="str">
        <f>IFERROR(__xludf.DUMMYFUNCTION("""COMPUTED_VALUE"""),"2025 Oct")</f>
        <v>2025 Oct</v>
      </c>
      <c r="P1254" s="1" t="str">
        <f>IFERROR(__xludf.DUMMYFUNCTION("""COMPUTED_VALUE"""),"High Sensitivity Support")</f>
        <v>High Sensitivity Support</v>
      </c>
      <c r="Q1254" s="1" t="str">
        <f>IFERROR(__xludf.DUMMYFUNCTION("""COMPUTED_VALUE"""),"jammyb@canva.com")</f>
        <v>jammyb@canva.com</v>
      </c>
      <c r="R1254" s="1" t="str">
        <f>IFERROR(__xludf.DUMMYFUNCTION("""COMPUTED_VALUE"""),"Jam Bacani")</f>
        <v>Jam Bacani</v>
      </c>
      <c r="S1254" s="1">
        <f>IFERROR(__xludf.DUMMYFUNCTION("""COMPUTED_VALUE"""),14.0)</f>
        <v>14</v>
      </c>
      <c r="T1254" s="1">
        <f>IFERROR(__xludf.DUMMYFUNCTION("""COMPUTED_VALUE"""),2.0)</f>
        <v>2</v>
      </c>
      <c r="U1254" s="2">
        <f>IFERROR(__xludf.DUMMYFUNCTION("""COMPUTED_VALUE"""),16.0)</f>
        <v>16</v>
      </c>
      <c r="V1254" s="1" t="str">
        <f>IFERROR(__xludf.DUMMYFUNCTION("""COMPUTED_VALUE"""),"Rossheen Pura")</f>
        <v>Rossheen Pura</v>
      </c>
      <c r="W1254" s="1" t="str">
        <f>IFERROR(__xludf.DUMMYFUNCTION("""COMPUTED_VALUE"""),"High Sensitivity Support PH")</f>
        <v>High Sensitivity Support PH</v>
      </c>
    </row>
    <row r="1255">
      <c r="O1255" s="1" t="str">
        <f>IFERROR(__xludf.DUMMYFUNCTION("""COMPUTED_VALUE"""),"2025 Oct")</f>
        <v>2025 Oct</v>
      </c>
      <c r="P1255" s="1" t="str">
        <f>IFERROR(__xludf.DUMMYFUNCTION("""COMPUTED_VALUE"""),"Segment-specific Support")</f>
        <v>Segment-specific Support</v>
      </c>
      <c r="Q1255" s="1" t="str">
        <f>IFERROR(__xludf.DUMMYFUNCTION("""COMPUTED_VALUE"""),"jgamboa@canva.com")</f>
        <v>jgamboa@canva.com</v>
      </c>
      <c r="R1255" s="1" t="str">
        <f>IFERROR(__xludf.DUMMYFUNCTION("""COMPUTED_VALUE"""),"James Marrion Gamboa")</f>
        <v>James Marrion Gamboa</v>
      </c>
      <c r="S1255" s="1">
        <f>IFERROR(__xludf.DUMMYFUNCTION("""COMPUTED_VALUE"""),0.5)</f>
        <v>0.5</v>
      </c>
      <c r="T1255" s="1">
        <f>IFERROR(__xludf.DUMMYFUNCTION("""COMPUTED_VALUE"""),3.0)</f>
        <v>3</v>
      </c>
      <c r="U1255" s="2">
        <f>IFERROR(__xludf.DUMMYFUNCTION("""COMPUTED_VALUE"""),3.5)</f>
        <v>3.5</v>
      </c>
      <c r="V1255" s="1" t="str">
        <f>IFERROR(__xludf.DUMMYFUNCTION("""COMPUTED_VALUE"""),"Rose Gabilan")</f>
        <v>Rose Gabilan</v>
      </c>
      <c r="W1255" s="1" t="str">
        <f>IFERROR(__xludf.DUMMYFUNCTION("""COMPUTED_VALUE"""),"Affinity Support")</f>
        <v>Affinity Support</v>
      </c>
    </row>
    <row r="1256">
      <c r="O1256" s="1" t="str">
        <f>IFERROR(__xludf.DUMMYFUNCTION("""COMPUTED_VALUE"""),"2025 Oct")</f>
        <v>2025 Oct</v>
      </c>
      <c r="P1256" s="1" t="str">
        <f>IFERROR(__xludf.DUMMYFUNCTION("""COMPUTED_VALUE"""),"Print Support")</f>
        <v>Print Support</v>
      </c>
      <c r="Q1256" s="1" t="str">
        <f>IFERROR(__xludf.DUMMYFUNCTION("""COMPUTED_VALUE"""),"janpaolopena@canva.com")</f>
        <v>janpaolopena@canva.com</v>
      </c>
      <c r="R1256" s="1" t="str">
        <f>IFERROR(__xludf.DUMMYFUNCTION("""COMPUTED_VALUE"""),"Jan Peña")</f>
        <v>Jan Peña</v>
      </c>
      <c r="S1256" s="1"/>
      <c r="T1256" s="1">
        <f>IFERROR(__xludf.DUMMYFUNCTION("""COMPUTED_VALUE"""),2.75)</f>
        <v>2.75</v>
      </c>
      <c r="U1256" s="2">
        <f>IFERROR(__xludf.DUMMYFUNCTION("""COMPUTED_VALUE"""),2.75)</f>
        <v>2.75</v>
      </c>
      <c r="V1256" s="1" t="str">
        <f>IFERROR(__xludf.DUMMYFUNCTION("""COMPUTED_VALUE"""),"Louise Dianne Estrella")</f>
        <v>Louise Dianne Estrella</v>
      </c>
      <c r="W1256" s="1" t="str">
        <f>IFERROR(__xludf.DUMMYFUNCTION("""COMPUTED_VALUE"""),"Print Support PH")</f>
        <v>Print Support PH</v>
      </c>
    </row>
    <row r="1257">
      <c r="O1257" s="1" t="str">
        <f>IFERROR(__xludf.DUMMYFUNCTION("""COMPUTED_VALUE"""),"2025 Oct")</f>
        <v>2025 Oct</v>
      </c>
      <c r="P1257" s="1" t="str">
        <f>IFERROR(__xludf.DUMMYFUNCTION("""COMPUTED_VALUE"""),"Admin Support")</f>
        <v>Admin Support</v>
      </c>
      <c r="Q1257" s="1" t="str">
        <f>IFERROR(__xludf.DUMMYFUNCTION("""COMPUTED_VALUE"""),"janis@canva.com")</f>
        <v>janis@canva.com</v>
      </c>
      <c r="R1257" s="1" t="str">
        <f>IFERROR(__xludf.DUMMYFUNCTION("""COMPUTED_VALUE"""),"Janis Esmas")</f>
        <v>Janis Esmas</v>
      </c>
      <c r="S1257" s="1"/>
      <c r="T1257" s="1">
        <f>IFERROR(__xludf.DUMMYFUNCTION("""COMPUTED_VALUE"""),4.0)</f>
        <v>4</v>
      </c>
      <c r="U1257" s="2">
        <f>IFERROR(__xludf.DUMMYFUNCTION("""COMPUTED_VALUE"""),4.0)</f>
        <v>4</v>
      </c>
      <c r="V1257" s="1" t="str">
        <f>IFERROR(__xludf.DUMMYFUNCTION("""COMPUTED_VALUE"""),"Karla Mananghaya")</f>
        <v>Karla Mananghaya</v>
      </c>
      <c r="W1257" s="1" t="str">
        <f>IFERROR(__xludf.DUMMYFUNCTION("""COMPUTED_VALUE"""),"Admin Support Service Escalation Team")</f>
        <v>Admin Support Service Escalation Team</v>
      </c>
    </row>
    <row r="1258">
      <c r="O1258" s="1" t="str">
        <f>IFERROR(__xludf.DUMMYFUNCTION("""COMPUTED_VALUE"""),"2025 Oct")</f>
        <v>2025 Oct</v>
      </c>
      <c r="P1258" s="1" t="str">
        <f>IFERROR(__xludf.DUMMYFUNCTION("""COMPUTED_VALUE"""),"Core Product Support")</f>
        <v>Core Product Support</v>
      </c>
      <c r="Q1258" s="1" t="str">
        <f>IFERROR(__xludf.DUMMYFUNCTION("""COMPUTED_VALUE"""),"jampangan@canva.com")</f>
        <v>jampangan@canva.com</v>
      </c>
      <c r="R1258" s="1" t="str">
        <f>IFERROR(__xludf.DUMMYFUNCTION("""COMPUTED_VALUE"""),"Jara Alexandra Mae Pangan")</f>
        <v>Jara Alexandra Mae Pangan</v>
      </c>
      <c r="S1258" s="1">
        <f>IFERROR(__xludf.DUMMYFUNCTION("""COMPUTED_VALUE"""),1.0)</f>
        <v>1</v>
      </c>
      <c r="T1258" s="1">
        <f>IFERROR(__xludf.DUMMYFUNCTION("""COMPUTED_VALUE"""),17.85)</f>
        <v>17.85</v>
      </c>
      <c r="U1258" s="2">
        <f>IFERROR(__xludf.DUMMYFUNCTION("""COMPUTED_VALUE"""),18.85)</f>
        <v>18.85</v>
      </c>
      <c r="V1258" s="1" t="str">
        <f>IFERROR(__xludf.DUMMYFUNCTION("""COMPUTED_VALUE"""),"Sieg Ballelos")</f>
        <v>Sieg Ballelos</v>
      </c>
      <c r="W1258" s="1" t="str">
        <f>IFERROR(__xludf.DUMMYFUNCTION("""COMPUTED_VALUE"""),"Core Product Support Escalation Team")</f>
        <v>Core Product Support Escalation Team</v>
      </c>
    </row>
    <row r="1259">
      <c r="O1259" s="1" t="str">
        <f>IFERROR(__xludf.DUMMYFUNCTION("""COMPUTED_VALUE"""),"2025 Oct")</f>
        <v>2025 Oct</v>
      </c>
      <c r="P1259" s="1" t="str">
        <f>IFERROR(__xludf.DUMMYFUNCTION("""COMPUTED_VALUE"""),"Core Product Support")</f>
        <v>Core Product Support</v>
      </c>
      <c r="Q1259" s="1" t="str">
        <f>IFERROR(__xludf.DUMMYFUNCTION("""COMPUTED_VALUE"""),"jaredc@canva.com")</f>
        <v>jaredc@canva.com</v>
      </c>
      <c r="R1259" s="1" t="str">
        <f>IFERROR(__xludf.DUMMYFUNCTION("""COMPUTED_VALUE"""),"Jared Carlin")</f>
        <v>Jared Carlin</v>
      </c>
      <c r="S1259" s="1">
        <f>IFERROR(__xludf.DUMMYFUNCTION("""COMPUTED_VALUE"""),0.5)</f>
        <v>0.5</v>
      </c>
      <c r="T1259" s="1">
        <f>IFERROR(__xludf.DUMMYFUNCTION("""COMPUTED_VALUE"""),8.5)</f>
        <v>8.5</v>
      </c>
      <c r="U1259" s="2">
        <f>IFERROR(__xludf.DUMMYFUNCTION("""COMPUTED_VALUE"""),9.0)</f>
        <v>9</v>
      </c>
      <c r="V1259" s="1" t="str">
        <f>IFERROR(__xludf.DUMMYFUNCTION("""COMPUTED_VALUE"""),"Ana Lazaro")</f>
        <v>Ana Lazaro</v>
      </c>
      <c r="W1259" s="1" t="str">
        <f>IFERROR(__xludf.DUMMYFUNCTION("""COMPUTED_VALUE"""),"Advanced Billing &amp; Subscriptions")</f>
        <v>Advanced Billing &amp; Subscriptions</v>
      </c>
    </row>
    <row r="1260">
      <c r="O1260" s="1" t="str">
        <f>IFERROR(__xludf.DUMMYFUNCTION("""COMPUTED_VALUE"""),"2025 Oct")</f>
        <v>2025 Oct</v>
      </c>
      <c r="P1260" s="1" t="str">
        <f>IFERROR(__xludf.DUMMYFUNCTION("""COMPUTED_VALUE"""),"Segment-specific Support")</f>
        <v>Segment-specific Support</v>
      </c>
      <c r="Q1260" s="1" t="str">
        <f>IFERROR(__xludf.DUMMYFUNCTION("""COMPUTED_VALUE"""),"jas@canva.com")</f>
        <v>jas@canva.com</v>
      </c>
      <c r="R1260" s="1" t="str">
        <f>IFERROR(__xludf.DUMMYFUNCTION("""COMPUTED_VALUE"""),"Jas Esperat")</f>
        <v>Jas Esperat</v>
      </c>
      <c r="S1260" s="1"/>
      <c r="T1260" s="1">
        <f>IFERROR(__xludf.DUMMYFUNCTION("""COMPUTED_VALUE"""),1.5)</f>
        <v>1.5</v>
      </c>
      <c r="U1260" s="2">
        <f>IFERROR(__xludf.DUMMYFUNCTION("""COMPUTED_VALUE"""),1.5)</f>
        <v>1.5</v>
      </c>
      <c r="V1260" s="1" t="str">
        <f>IFERROR(__xludf.DUMMYFUNCTION("""COMPUTED_VALUE"""),"Aileen Dayanghirang")</f>
        <v>Aileen Dayanghirang</v>
      </c>
      <c r="W1260" s="1" t="str">
        <f>IFERROR(__xludf.DUMMYFUNCTION("""COMPUTED_VALUE"""),"Creators Support")</f>
        <v>Creators Support</v>
      </c>
    </row>
    <row r="1261">
      <c r="O1261" s="1" t="str">
        <f>IFERROR(__xludf.DUMMYFUNCTION("""COMPUTED_VALUE"""),"2025 Oct")</f>
        <v>2025 Oct</v>
      </c>
      <c r="P1261" s="1" t="str">
        <f>IFERROR(__xludf.DUMMYFUNCTION("""COMPUTED_VALUE"""),"Print Support")</f>
        <v>Print Support</v>
      </c>
      <c r="Q1261" s="1" t="str">
        <f>IFERROR(__xludf.DUMMYFUNCTION("""COMPUTED_VALUE"""),"jayson@canva.com")</f>
        <v>jayson@canva.com</v>
      </c>
      <c r="R1261" s="1" t="str">
        <f>IFERROR(__xludf.DUMMYFUNCTION("""COMPUTED_VALUE"""),"Jayson Ferrer")</f>
        <v>Jayson Ferrer</v>
      </c>
      <c r="S1261" s="1">
        <f>IFERROR(__xludf.DUMMYFUNCTION("""COMPUTED_VALUE"""),2.0)</f>
        <v>2</v>
      </c>
      <c r="T1261" s="1">
        <f>IFERROR(__xludf.DUMMYFUNCTION("""COMPUTED_VALUE"""),2.75)</f>
        <v>2.75</v>
      </c>
      <c r="U1261" s="2">
        <f>IFERROR(__xludf.DUMMYFUNCTION("""COMPUTED_VALUE"""),4.75)</f>
        <v>4.75</v>
      </c>
      <c r="V1261" s="1" t="str">
        <f>IFERROR(__xludf.DUMMYFUNCTION("""COMPUTED_VALUE"""),"G-Anne Murillo")</f>
        <v>G-Anne Murillo</v>
      </c>
      <c r="W1261" s="1" t="str">
        <f>IFERROR(__xludf.DUMMYFUNCTION("""COMPUTED_VALUE"""),"Print Design Support")</f>
        <v>Print Design Support</v>
      </c>
    </row>
    <row r="1262">
      <c r="O1262" s="1" t="str">
        <f>IFERROR(__xludf.DUMMYFUNCTION("""COMPUTED_VALUE"""),"2025 Oct")</f>
        <v>2025 Oct</v>
      </c>
      <c r="P1262" s="1" t="str">
        <f>IFERROR(__xludf.DUMMYFUNCTION("""COMPUTED_VALUE"""),"Admin Support")</f>
        <v>Admin Support</v>
      </c>
      <c r="Q1262" s="1" t="str">
        <f>IFERROR(__xludf.DUMMYFUNCTION("""COMPUTED_VALUE"""),"jaz@canva.com")</f>
        <v>jaz@canva.com</v>
      </c>
      <c r="R1262" s="1" t="str">
        <f>IFERROR(__xludf.DUMMYFUNCTION("""COMPUTED_VALUE"""),"Jazmine San Pedro")</f>
        <v>Jazmine San Pedro</v>
      </c>
      <c r="S1262" s="1">
        <f>IFERROR(__xludf.DUMMYFUNCTION("""COMPUTED_VALUE"""),1.83)</f>
        <v>1.83</v>
      </c>
      <c r="T1262" s="1">
        <f>IFERROR(__xludf.DUMMYFUNCTION("""COMPUTED_VALUE"""),3.25)</f>
        <v>3.25</v>
      </c>
      <c r="U1262" s="2">
        <f>IFERROR(__xludf.DUMMYFUNCTION("""COMPUTED_VALUE"""),5.08)</f>
        <v>5.08</v>
      </c>
      <c r="V1262" s="1" t="str">
        <f>IFERROR(__xludf.DUMMYFUNCTION("""COMPUTED_VALUE"""),"AL Suarez")</f>
        <v>AL Suarez</v>
      </c>
      <c r="W1262" s="1" t="str">
        <f>IFERROR(__xludf.DUMMYFUNCTION("""COMPUTED_VALUE"""),"Print Support PH")</f>
        <v>Print Support PH</v>
      </c>
    </row>
    <row r="1263">
      <c r="O1263" s="1" t="str">
        <f>IFERROR(__xludf.DUMMYFUNCTION("""COMPUTED_VALUE"""),"2025 Oct")</f>
        <v>2025 Oct</v>
      </c>
      <c r="P1263" s="1" t="str">
        <f>IFERROR(__xludf.DUMMYFUNCTION("""COMPUTED_VALUE"""),"Core Product Support")</f>
        <v>Core Product Support</v>
      </c>
      <c r="Q1263" s="1" t="str">
        <f>IFERROR(__xludf.DUMMYFUNCTION("""COMPUTED_VALUE"""),"jasminechristel@canva.com")</f>
        <v>jasminechristel@canva.com</v>
      </c>
      <c r="R1263" s="1" t="str">
        <f>IFERROR(__xludf.DUMMYFUNCTION("""COMPUTED_VALUE"""),"Jazz Ragot - Flex Program UV Ops Team")</f>
        <v>Jazz Ragot - Flex Program UV Ops Team</v>
      </c>
      <c r="S1263" s="1"/>
      <c r="T1263" s="1"/>
      <c r="U1263" s="2">
        <f>IFERROR(__xludf.DUMMYFUNCTION("""COMPUTED_VALUE"""),0.0)</f>
        <v>0</v>
      </c>
      <c r="V1263" s="1" t="str">
        <f>IFERROR(__xludf.DUMMYFUNCTION("""COMPUTED_VALUE"""),"Jem Mondoñedo")</f>
        <v>Jem Mondoñedo</v>
      </c>
      <c r="W1263" s="1" t="str">
        <f>IFERROR(__xludf.DUMMYFUNCTION("""COMPUTED_VALUE"""),"Advanced Billing &amp; Subscriptions")</f>
        <v>Advanced Billing &amp; Subscriptions</v>
      </c>
    </row>
    <row r="1264">
      <c r="O1264" s="1" t="str">
        <f>IFERROR(__xludf.DUMMYFUNCTION("""COMPUTED_VALUE"""),"2025 Oct")</f>
        <v>2025 Oct</v>
      </c>
      <c r="P1264" s="1" t="str">
        <f>IFERROR(__xludf.DUMMYFUNCTION("""COMPUTED_VALUE"""),"Multilingual Support")</f>
        <v>Multilingual Support</v>
      </c>
      <c r="Q1264" s="1" t="str">
        <f>IFERROR(__xludf.DUMMYFUNCTION("""COMPUTED_VALUE"""),"jc@canva.com")</f>
        <v>jc@canva.com</v>
      </c>
      <c r="R1264" s="1" t="str">
        <f>IFERROR(__xludf.DUMMYFUNCTION("""COMPUTED_VALUE"""),"JC Evangelista")</f>
        <v>JC Evangelista</v>
      </c>
      <c r="S1264" s="1">
        <f>IFERROR(__xludf.DUMMYFUNCTION("""COMPUTED_VALUE"""),1.0)</f>
        <v>1</v>
      </c>
      <c r="T1264" s="1">
        <f>IFERROR(__xludf.DUMMYFUNCTION("""COMPUTED_VALUE"""),5.0)</f>
        <v>5</v>
      </c>
      <c r="U1264" s="2">
        <f>IFERROR(__xludf.DUMMYFUNCTION("""COMPUTED_VALUE"""),6.0)</f>
        <v>6</v>
      </c>
      <c r="V1264" s="1" t="str">
        <f>IFERROR(__xludf.DUMMYFUNCTION("""COMPUTED_VALUE"""),"Arlene Maurillo")</f>
        <v>Arlene Maurillo</v>
      </c>
      <c r="W1264" s="1" t="str">
        <f>IFERROR(__xludf.DUMMYFUNCTION("""COMPUTED_VALUE"""),"PHL, Multilingual Support")</f>
        <v>PHL, Multilingual Support</v>
      </c>
    </row>
    <row r="1265">
      <c r="O1265" s="1" t="str">
        <f>IFERROR(__xludf.DUMMYFUNCTION("""COMPUTED_VALUE"""),"2025 Oct")</f>
        <v>2025 Oct</v>
      </c>
      <c r="P1265" s="1" t="str">
        <f>IFERROR(__xludf.DUMMYFUNCTION("""COMPUTED_VALUE"""),"Core Product Support")</f>
        <v>Core Product Support</v>
      </c>
      <c r="Q1265" s="1" t="str">
        <f>IFERROR(__xludf.DUMMYFUNCTION("""COMPUTED_VALUE"""),"jea@canva.com")</f>
        <v>jea@canva.com</v>
      </c>
      <c r="R1265" s="1" t="str">
        <f>IFERROR(__xludf.DUMMYFUNCTION("""COMPUTED_VALUE"""),"Jea Silvestre")</f>
        <v>Jea Silvestre</v>
      </c>
      <c r="S1265" s="1">
        <f>IFERROR(__xludf.DUMMYFUNCTION("""COMPUTED_VALUE"""),1.0)</f>
        <v>1</v>
      </c>
      <c r="T1265" s="1">
        <f>IFERROR(__xludf.DUMMYFUNCTION("""COMPUTED_VALUE"""),6.25)</f>
        <v>6.25</v>
      </c>
      <c r="U1265" s="2">
        <f>IFERROR(__xludf.DUMMYFUNCTION("""COMPUTED_VALUE"""),7.25)</f>
        <v>7.25</v>
      </c>
      <c r="V1265" s="1" t="str">
        <f>IFERROR(__xludf.DUMMYFUNCTION("""COMPUTED_VALUE"""),"Marie Mordeno")</f>
        <v>Marie Mordeno</v>
      </c>
      <c r="W1265" s="1" t="str">
        <f>IFERROR(__xludf.DUMMYFUNCTION("""COMPUTED_VALUE"""),"Advanced Billing &amp; Subscriptions")</f>
        <v>Advanced Billing &amp; Subscriptions</v>
      </c>
    </row>
    <row r="1266">
      <c r="O1266" s="1" t="str">
        <f>IFERROR(__xludf.DUMMYFUNCTION("""COMPUTED_VALUE"""),"2025 Oct")</f>
        <v>2025 Oct</v>
      </c>
      <c r="P1266" s="1" t="str">
        <f>IFERROR(__xludf.DUMMYFUNCTION("""COMPUTED_VALUE"""),"Core Product Support")</f>
        <v>Core Product Support</v>
      </c>
      <c r="Q1266" s="1" t="str">
        <f>IFERROR(__xludf.DUMMYFUNCTION("""COMPUTED_VALUE"""),"jed@canva.com")</f>
        <v>jed@canva.com</v>
      </c>
      <c r="R1266" s="1" t="str">
        <f>IFERROR(__xludf.DUMMYFUNCTION("""COMPUTED_VALUE"""),"Jed Wenceslao")</f>
        <v>Jed Wenceslao</v>
      </c>
      <c r="S1266" s="1"/>
      <c r="T1266" s="1">
        <f>IFERROR(__xludf.DUMMYFUNCTION("""COMPUTED_VALUE"""),13.18)</f>
        <v>13.18</v>
      </c>
      <c r="U1266" s="2">
        <f>IFERROR(__xludf.DUMMYFUNCTION("""COMPUTED_VALUE"""),13.18)</f>
        <v>13.18</v>
      </c>
      <c r="V1266" s="1" t="str">
        <f>IFERROR(__xludf.DUMMYFUNCTION("""COMPUTED_VALUE"""),"Sieg Ballelos")</f>
        <v>Sieg Ballelos</v>
      </c>
      <c r="W1266" s="1" t="str">
        <f>IFERROR(__xludf.DUMMYFUNCTION("""COMPUTED_VALUE"""),"Core Product Support Escalation Team")</f>
        <v>Core Product Support Escalation Team</v>
      </c>
    </row>
    <row r="1267">
      <c r="O1267" s="1" t="str">
        <f>IFERROR(__xludf.DUMMYFUNCTION("""COMPUTED_VALUE"""),"2025 Oct")</f>
        <v>2025 Oct</v>
      </c>
      <c r="P1267" s="1" t="str">
        <f>IFERROR(__xludf.DUMMYFUNCTION("""COMPUTED_VALUE"""),"Core Product Support")</f>
        <v>Core Product Support</v>
      </c>
      <c r="Q1267" s="1" t="str">
        <f>IFERROR(__xludf.DUMMYFUNCTION("""COMPUTED_VALUE"""),"jen@canva.com")</f>
        <v>jen@canva.com</v>
      </c>
      <c r="R1267" s="1" t="str">
        <f>IFERROR(__xludf.DUMMYFUNCTION("""COMPUTED_VALUE"""),"Jenber Teves")</f>
        <v>Jenber Teves</v>
      </c>
      <c r="S1267" s="1">
        <f>IFERROR(__xludf.DUMMYFUNCTION("""COMPUTED_VALUE"""),0.48)</f>
        <v>0.48</v>
      </c>
      <c r="T1267" s="1">
        <f>IFERROR(__xludf.DUMMYFUNCTION("""COMPUTED_VALUE"""),17.87)</f>
        <v>17.87</v>
      </c>
      <c r="U1267" s="2">
        <f>IFERROR(__xludf.DUMMYFUNCTION("""COMPUTED_VALUE"""),18.35)</f>
        <v>18.35</v>
      </c>
      <c r="V1267" s="1" t="str">
        <f>IFERROR(__xludf.DUMMYFUNCTION("""COMPUTED_VALUE"""),"Ellaine Estayo")</f>
        <v>Ellaine Estayo</v>
      </c>
      <c r="W1267" s="1" t="str">
        <f>IFERROR(__xludf.DUMMYFUNCTION("""COMPUTED_VALUE"""),"Core Product Support Escalation Team")</f>
        <v>Core Product Support Escalation Team</v>
      </c>
    </row>
    <row r="1268">
      <c r="O1268" s="1" t="str">
        <f>IFERROR(__xludf.DUMMYFUNCTION("""COMPUTED_VALUE"""),"2025 Oct")</f>
        <v>2025 Oct</v>
      </c>
      <c r="P1268" s="1" t="str">
        <f>IFERROR(__xludf.DUMMYFUNCTION("""COMPUTED_VALUE"""),"#N/A")</f>
        <v>#N/A</v>
      </c>
      <c r="Q1268" s="1" t="str">
        <f>IFERROR(__xludf.DUMMYFUNCTION("""COMPUTED_VALUE"""),"jerica@canva.com")</f>
        <v>jerica@canva.com</v>
      </c>
      <c r="R1268" s="1" t="str">
        <f>IFERROR(__xludf.DUMMYFUNCTION("""COMPUTED_VALUE"""),"Jerica Tan")</f>
        <v>Jerica Tan</v>
      </c>
      <c r="S1268" s="1">
        <f>IFERROR(__xludf.DUMMYFUNCTION("""COMPUTED_VALUE"""),11.0)</f>
        <v>11</v>
      </c>
      <c r="T1268" s="1">
        <f>IFERROR(__xludf.DUMMYFUNCTION("""COMPUTED_VALUE"""),9.3)</f>
        <v>9.3</v>
      </c>
      <c r="U1268" s="2">
        <f>IFERROR(__xludf.DUMMYFUNCTION("""COMPUTED_VALUE"""),20.3)</f>
        <v>20.3</v>
      </c>
      <c r="V1268" s="1" t="str">
        <f>IFERROR(__xludf.DUMMYFUNCTION("""COMPUTED_VALUE"""),"#N/A")</f>
        <v>#N/A</v>
      </c>
      <c r="W1268" s="1" t="str">
        <f>IFERROR(__xludf.DUMMYFUNCTION("""COMPUTED_VALUE"""),"High Sensitivity Support PH")</f>
        <v>High Sensitivity Support PH</v>
      </c>
    </row>
    <row r="1269">
      <c r="O1269" s="1" t="str">
        <f>IFERROR(__xludf.DUMMYFUNCTION("""COMPUTED_VALUE"""),"2025 Oct")</f>
        <v>2025 Oct</v>
      </c>
      <c r="P1269" s="1" t="str">
        <f>IFERROR(__xludf.DUMMYFUNCTION("""COMPUTED_VALUE"""),"Print Support")</f>
        <v>Print Support</v>
      </c>
      <c r="Q1269" s="1" t="str">
        <f>IFERROR(__xludf.DUMMYFUNCTION("""COMPUTED_VALUE"""),"jesicamari@canva.com")</f>
        <v>jesicamari@canva.com</v>
      </c>
      <c r="R1269" s="1" t="str">
        <f>IFERROR(__xludf.DUMMYFUNCTION("""COMPUTED_VALUE"""),"Jesica Laureola")</f>
        <v>Jesica Laureola</v>
      </c>
      <c r="S1269" s="1">
        <f>IFERROR(__xludf.DUMMYFUNCTION("""COMPUTED_VALUE"""),1.75)</f>
        <v>1.75</v>
      </c>
      <c r="T1269" s="1">
        <f>IFERROR(__xludf.DUMMYFUNCTION("""COMPUTED_VALUE"""),2.75)</f>
        <v>2.75</v>
      </c>
      <c r="U1269" s="2">
        <f>IFERROR(__xludf.DUMMYFUNCTION("""COMPUTED_VALUE"""),4.5)</f>
        <v>4.5</v>
      </c>
      <c r="V1269" s="1" t="str">
        <f>IFERROR(__xludf.DUMMYFUNCTION("""COMPUTED_VALUE"""),"Rei De Jesus")</f>
        <v>Rei De Jesus</v>
      </c>
      <c r="W1269" s="1" t="str">
        <f>IFERROR(__xludf.DUMMYFUNCTION("""COMPUTED_VALUE"""),"Print Design Support")</f>
        <v>Print Design Support</v>
      </c>
    </row>
    <row r="1270">
      <c r="O1270" s="1" t="str">
        <f>IFERROR(__xludf.DUMMYFUNCTION("""COMPUTED_VALUE"""),"2025 Oct")</f>
        <v>2025 Oct</v>
      </c>
      <c r="P1270" s="1" t="str">
        <f>IFERROR(__xludf.DUMMYFUNCTION("""COMPUTED_VALUE"""),"Core Product Support")</f>
        <v>Core Product Support</v>
      </c>
      <c r="Q1270" s="1" t="str">
        <f>IFERROR(__xludf.DUMMYFUNCTION("""COMPUTED_VALUE"""),"jbrizuela@canva.com")</f>
        <v>jbrizuela@canva.com</v>
      </c>
      <c r="R1270" s="1" t="str">
        <f>IFERROR(__xludf.DUMMYFUNCTION("""COMPUTED_VALUE"""),"Jessa Brizuela")</f>
        <v>Jessa Brizuela</v>
      </c>
      <c r="S1270" s="1">
        <f>IFERROR(__xludf.DUMMYFUNCTION("""COMPUTED_VALUE"""),0.5)</f>
        <v>0.5</v>
      </c>
      <c r="T1270" s="1">
        <f>IFERROR(__xludf.DUMMYFUNCTION("""COMPUTED_VALUE"""),6.75)</f>
        <v>6.75</v>
      </c>
      <c r="U1270" s="2">
        <f>IFERROR(__xludf.DUMMYFUNCTION("""COMPUTED_VALUE"""),7.25)</f>
        <v>7.25</v>
      </c>
      <c r="V1270" s="1" t="str">
        <f>IFERROR(__xludf.DUMMYFUNCTION("""COMPUTED_VALUE"""),"Renette Bok")</f>
        <v>Renette Bok</v>
      </c>
      <c r="W1270" s="1" t="str">
        <f>IFERROR(__xludf.DUMMYFUNCTION("""COMPUTED_VALUE"""),"Advanced Billing &amp; Subscriptions")</f>
        <v>Advanced Billing &amp; Subscriptions</v>
      </c>
    </row>
    <row r="1271">
      <c r="O1271" s="1" t="str">
        <f>IFERROR(__xludf.DUMMYFUNCTION("""COMPUTED_VALUE"""),"2025 Oct")</f>
        <v>2025 Oct</v>
      </c>
      <c r="P1271" s="1" t="str">
        <f>IFERROR(__xludf.DUMMYFUNCTION("""COMPUTED_VALUE"""),"Core Product Support")</f>
        <v>Core Product Support</v>
      </c>
      <c r="Q1271" s="1" t="str">
        <f>IFERROR(__xludf.DUMMYFUNCTION("""COMPUTED_VALUE"""),"jian@canva.com")</f>
        <v>jian@canva.com</v>
      </c>
      <c r="R1271" s="1" t="str">
        <f>IFERROR(__xludf.DUMMYFUNCTION("""COMPUTED_VALUE"""),"Jian Paula Inocencio")</f>
        <v>Jian Paula Inocencio</v>
      </c>
      <c r="S1271" s="1">
        <f>IFERROR(__xludf.DUMMYFUNCTION("""COMPUTED_VALUE"""),1.0)</f>
        <v>1</v>
      </c>
      <c r="T1271" s="1">
        <f>IFERROR(__xludf.DUMMYFUNCTION("""COMPUTED_VALUE"""),7.67)</f>
        <v>7.67</v>
      </c>
      <c r="U1271" s="2">
        <f>IFERROR(__xludf.DUMMYFUNCTION("""COMPUTED_VALUE"""),8.67)</f>
        <v>8.67</v>
      </c>
      <c r="V1271" s="1" t="str">
        <f>IFERROR(__xludf.DUMMYFUNCTION("""COMPUTED_VALUE"""),"Vinz Lazaro")</f>
        <v>Vinz Lazaro</v>
      </c>
      <c r="W1271" s="1" t="str">
        <f>IFERROR(__xludf.DUMMYFUNCTION("""COMPUTED_VALUE"""),"Advanced Product Support")</f>
        <v>Advanced Product Support</v>
      </c>
    </row>
    <row r="1272">
      <c r="O1272" s="1" t="str">
        <f>IFERROR(__xludf.DUMMYFUNCTION("""COMPUTED_VALUE"""),"2025 Oct")</f>
        <v>2025 Oct</v>
      </c>
      <c r="P1272" s="1" t="str">
        <f>IFERROR(__xludf.DUMMYFUNCTION("""COMPUTED_VALUE"""),"Core Product Support")</f>
        <v>Core Product Support</v>
      </c>
      <c r="Q1272" s="1" t="str">
        <f>IFERROR(__xludf.DUMMYFUNCTION("""COMPUTED_VALUE"""),"jilll@canva.com")</f>
        <v>jilll@canva.com</v>
      </c>
      <c r="R1272" s="1" t="str">
        <f>IFERROR(__xludf.DUMMYFUNCTION("""COMPUTED_VALUE"""),"Jill Linco")</f>
        <v>Jill Linco</v>
      </c>
      <c r="S1272" s="1">
        <f>IFERROR(__xludf.DUMMYFUNCTION("""COMPUTED_VALUE"""),1.0)</f>
        <v>1</v>
      </c>
      <c r="T1272" s="1">
        <f>IFERROR(__xludf.DUMMYFUNCTION("""COMPUTED_VALUE"""),7.0)</f>
        <v>7</v>
      </c>
      <c r="U1272" s="2">
        <f>IFERROR(__xludf.DUMMYFUNCTION("""COMPUTED_VALUE"""),8.0)</f>
        <v>8</v>
      </c>
      <c r="V1272" s="1" t="str">
        <f>IFERROR(__xludf.DUMMYFUNCTION("""COMPUTED_VALUE"""),"Cate Velasco")</f>
        <v>Cate Velasco</v>
      </c>
      <c r="W1272" s="1" t="str">
        <f>IFERROR(__xludf.DUMMYFUNCTION("""COMPUTED_VALUE"""),"Advanced Product Support")</f>
        <v>Advanced Product Support</v>
      </c>
    </row>
    <row r="1273">
      <c r="O1273" s="1" t="str">
        <f>IFERROR(__xludf.DUMMYFUNCTION("""COMPUTED_VALUE"""),"2025 Oct")</f>
        <v>2025 Oct</v>
      </c>
      <c r="P1273" s="1" t="str">
        <f>IFERROR(__xludf.DUMMYFUNCTION("""COMPUTED_VALUE"""),"Segment-specific Support")</f>
        <v>Segment-specific Support</v>
      </c>
      <c r="Q1273" s="1" t="str">
        <f>IFERROR(__xludf.DUMMYFUNCTION("""COMPUTED_VALUE"""),"jillann@canva.com")</f>
        <v>jillann@canva.com</v>
      </c>
      <c r="R1273" s="1" t="str">
        <f>IFERROR(__xludf.DUMMYFUNCTION("""COMPUTED_VALUE"""),"Jill-Ann Reducindo")</f>
        <v>Jill-Ann Reducindo</v>
      </c>
      <c r="S1273" s="1"/>
      <c r="T1273" s="1">
        <f>IFERROR(__xludf.DUMMYFUNCTION("""COMPUTED_VALUE"""),47.0)</f>
        <v>47</v>
      </c>
      <c r="U1273" s="2">
        <f>IFERROR(__xludf.DUMMYFUNCTION("""COMPUTED_VALUE"""),47.0)</f>
        <v>47</v>
      </c>
      <c r="V1273" s="1" t="str">
        <f>IFERROR(__xludf.DUMMYFUNCTION("""COMPUTED_VALUE"""),"Rose Gabilan")</f>
        <v>Rose Gabilan</v>
      </c>
      <c r="W1273" s="1" t="str">
        <f>IFERROR(__xludf.DUMMYFUNCTION("""COMPUTED_VALUE"""),"Affinity Support")</f>
        <v>Affinity Support</v>
      </c>
    </row>
    <row r="1274">
      <c r="O1274" s="1" t="str">
        <f>IFERROR(__xludf.DUMMYFUNCTION("""COMPUTED_VALUE"""),"2025 Oct")</f>
        <v>2025 Oct</v>
      </c>
      <c r="P1274" s="1" t="str">
        <f>IFERROR(__xludf.DUMMYFUNCTION("""COMPUTED_VALUE"""),"Core Product Support")</f>
        <v>Core Product Support</v>
      </c>
      <c r="Q1274" s="1" t="str">
        <f>IFERROR(__xludf.DUMMYFUNCTION("""COMPUTED_VALUE"""),"jmfrial@canva.com")</f>
        <v>jmfrial@canva.com</v>
      </c>
      <c r="R1274" s="1" t="str">
        <f>IFERROR(__xludf.DUMMYFUNCTION("""COMPUTED_VALUE"""),"JM Frial")</f>
        <v>JM Frial</v>
      </c>
      <c r="S1274" s="1"/>
      <c r="T1274" s="1">
        <f>IFERROR(__xludf.DUMMYFUNCTION("""COMPUTED_VALUE"""),11.5)</f>
        <v>11.5</v>
      </c>
      <c r="U1274" s="2">
        <f>IFERROR(__xludf.DUMMYFUNCTION("""COMPUTED_VALUE"""),11.5)</f>
        <v>11.5</v>
      </c>
      <c r="V1274" s="1" t="str">
        <f>IFERROR(__xludf.DUMMYFUNCTION("""COMPUTED_VALUE"""),"Sieg Ballelos")</f>
        <v>Sieg Ballelos</v>
      </c>
      <c r="W1274" s="1" t="str">
        <f>IFERROR(__xludf.DUMMYFUNCTION("""COMPUTED_VALUE"""),"Core Product Support Escalation Team")</f>
        <v>Core Product Support Escalation Team</v>
      </c>
    </row>
    <row r="1275">
      <c r="O1275" s="1" t="str">
        <f>IFERROR(__xludf.DUMMYFUNCTION("""COMPUTED_VALUE"""),"2025 Oct")</f>
        <v>2025 Oct</v>
      </c>
      <c r="P1275" s="1" t="str">
        <f>IFERROR(__xludf.DUMMYFUNCTION("""COMPUTED_VALUE"""),"Core Product Support")</f>
        <v>Core Product Support</v>
      </c>
      <c r="Q1275" s="1" t="str">
        <f>IFERROR(__xludf.DUMMYFUNCTION("""COMPUTED_VALUE"""),"jmpascual@canva.com")</f>
        <v>jmpascual@canva.com</v>
      </c>
      <c r="R1275" s="1" t="str">
        <f>IFERROR(__xludf.DUMMYFUNCTION("""COMPUTED_VALUE"""),"JM Pascual")</f>
        <v>JM Pascual</v>
      </c>
      <c r="S1275" s="1"/>
      <c r="T1275" s="1">
        <f>IFERROR(__xludf.DUMMYFUNCTION("""COMPUTED_VALUE"""),10.0)</f>
        <v>10</v>
      </c>
      <c r="U1275" s="2">
        <f>IFERROR(__xludf.DUMMYFUNCTION("""COMPUTED_VALUE"""),10.0)</f>
        <v>10</v>
      </c>
      <c r="V1275" s="1" t="str">
        <f>IFERROR(__xludf.DUMMYFUNCTION("""COMPUTED_VALUE"""),"Belle Bentazal")</f>
        <v>Belle Bentazal</v>
      </c>
      <c r="W1275" s="1" t="str">
        <f>IFERROR(__xludf.DUMMYFUNCTION("""COMPUTED_VALUE"""),"Advanced Product Support")</f>
        <v>Advanced Product Support</v>
      </c>
    </row>
    <row r="1276">
      <c r="O1276" s="1" t="str">
        <f>IFERROR(__xludf.DUMMYFUNCTION("""COMPUTED_VALUE"""),"2025 Oct")</f>
        <v>2025 Oct</v>
      </c>
      <c r="P1276" s="1" t="str">
        <f>IFERROR(__xludf.DUMMYFUNCTION("""COMPUTED_VALUE"""),"Print Support")</f>
        <v>Print Support</v>
      </c>
      <c r="Q1276" s="1" t="str">
        <f>IFERROR(__xludf.DUMMYFUNCTION("""COMPUTED_VALUE"""),"joanmyle@canva.com")</f>
        <v>joanmyle@canva.com</v>
      </c>
      <c r="R1276" s="1" t="str">
        <f>IFERROR(__xludf.DUMMYFUNCTION("""COMPUTED_VALUE"""),"Joan Myle Dapog")</f>
        <v>Joan Myle Dapog</v>
      </c>
      <c r="S1276" s="1"/>
      <c r="T1276" s="1">
        <f>IFERROR(__xludf.DUMMYFUNCTION("""COMPUTED_VALUE"""),3.0)</f>
        <v>3</v>
      </c>
      <c r="U1276" s="2">
        <f>IFERROR(__xludf.DUMMYFUNCTION("""COMPUTED_VALUE"""),3.0)</f>
        <v>3</v>
      </c>
      <c r="V1276" s="1" t="str">
        <f>IFERROR(__xludf.DUMMYFUNCTION("""COMPUTED_VALUE"""),"Jen Momo")</f>
        <v>Jen Momo</v>
      </c>
      <c r="W1276" s="1" t="str">
        <f>IFERROR(__xludf.DUMMYFUNCTION("""COMPUTED_VALUE"""),"Print Support PH")</f>
        <v>Print Support PH</v>
      </c>
    </row>
    <row r="1277">
      <c r="O1277" s="1" t="str">
        <f>IFERROR(__xludf.DUMMYFUNCTION("""COMPUTED_VALUE"""),"2025 Oct")</f>
        <v>2025 Oct</v>
      </c>
      <c r="P1277" s="1" t="str">
        <f>IFERROR(__xludf.DUMMYFUNCTION("""COMPUTED_VALUE"""),"Print Support")</f>
        <v>Print Support</v>
      </c>
      <c r="Q1277" s="1" t="str">
        <f>IFERROR(__xludf.DUMMYFUNCTION("""COMPUTED_VALUE"""),"jmbeldua@canva.com")</f>
        <v>jmbeldua@canva.com</v>
      </c>
      <c r="R1277" s="1" t="str">
        <f>IFERROR(__xludf.DUMMYFUNCTION("""COMPUTED_VALUE"""),"Joane Beldua")</f>
        <v>Joane Beldua</v>
      </c>
      <c r="S1277" s="1">
        <f>IFERROR(__xludf.DUMMYFUNCTION("""COMPUTED_VALUE"""),0.75)</f>
        <v>0.75</v>
      </c>
      <c r="T1277" s="1">
        <f>IFERROR(__xludf.DUMMYFUNCTION("""COMPUTED_VALUE"""),4.25)</f>
        <v>4.25</v>
      </c>
      <c r="U1277" s="2">
        <f>IFERROR(__xludf.DUMMYFUNCTION("""COMPUTED_VALUE"""),5.0)</f>
        <v>5</v>
      </c>
      <c r="V1277" s="1" t="str">
        <f>IFERROR(__xludf.DUMMYFUNCTION("""COMPUTED_VALUE"""),"Louise Dianne Estrella")</f>
        <v>Louise Dianne Estrella</v>
      </c>
      <c r="W1277" s="1" t="str">
        <f>IFERROR(__xludf.DUMMYFUNCTION("""COMPUTED_VALUE"""),"Print Support PH")</f>
        <v>Print Support PH</v>
      </c>
    </row>
    <row r="1278">
      <c r="O1278" s="1" t="str">
        <f>IFERROR(__xludf.DUMMYFUNCTION("""COMPUTED_VALUE"""),"2025 Oct")</f>
        <v>2025 Oct</v>
      </c>
      <c r="P1278" s="1" t="str">
        <f>IFERROR(__xludf.DUMMYFUNCTION("""COMPUTED_VALUE"""),"Multilingual Support")</f>
        <v>Multilingual Support</v>
      </c>
      <c r="Q1278" s="1" t="str">
        <f>IFERROR(__xludf.DUMMYFUNCTION("""COMPUTED_VALUE"""),"joaqdivino@canva.com")</f>
        <v>joaqdivino@canva.com</v>
      </c>
      <c r="R1278" s="1" t="str">
        <f>IFERROR(__xludf.DUMMYFUNCTION("""COMPUTED_VALUE"""),"Joaquin Divino")</f>
        <v>Joaquin Divino</v>
      </c>
      <c r="S1278" s="1">
        <f>IFERROR(__xludf.DUMMYFUNCTION("""COMPUTED_VALUE"""),0.5)</f>
        <v>0.5</v>
      </c>
      <c r="T1278" s="1">
        <f>IFERROR(__xludf.DUMMYFUNCTION("""COMPUTED_VALUE"""),5.0)</f>
        <v>5</v>
      </c>
      <c r="U1278" s="2">
        <f>IFERROR(__xludf.DUMMYFUNCTION("""COMPUTED_VALUE"""),5.5)</f>
        <v>5.5</v>
      </c>
      <c r="V1278" s="1" t="str">
        <f>IFERROR(__xludf.DUMMYFUNCTION("""COMPUTED_VALUE"""),"Arlene Maurillo")</f>
        <v>Arlene Maurillo</v>
      </c>
      <c r="W1278" s="1" t="str">
        <f>IFERROR(__xludf.DUMMYFUNCTION("""COMPUTED_VALUE"""),"PHL, Multilingual Support")</f>
        <v>PHL, Multilingual Support</v>
      </c>
    </row>
    <row r="1279">
      <c r="O1279" s="1" t="str">
        <f>IFERROR(__xludf.DUMMYFUNCTION("""COMPUTED_VALUE"""),"2025 Oct")</f>
        <v>2025 Oct</v>
      </c>
      <c r="P1279" s="1" t="str">
        <f>IFERROR(__xludf.DUMMYFUNCTION("""COMPUTED_VALUE"""),"Core Product Support")</f>
        <v>Core Product Support</v>
      </c>
      <c r="Q1279" s="1" t="str">
        <f>IFERROR(__xludf.DUMMYFUNCTION("""COMPUTED_VALUE"""),"jocelynng@canva.com")</f>
        <v>jocelynng@canva.com</v>
      </c>
      <c r="R1279" s="1" t="str">
        <f>IFERROR(__xludf.DUMMYFUNCTION("""COMPUTED_VALUE"""),"Jocelyn Ng")</f>
        <v>Jocelyn Ng</v>
      </c>
      <c r="S1279" s="1"/>
      <c r="T1279" s="1">
        <f>IFERROR(__xludf.DUMMYFUNCTION("""COMPUTED_VALUE"""),33.03)</f>
        <v>33.03</v>
      </c>
      <c r="U1279" s="2">
        <f>IFERROR(__xludf.DUMMYFUNCTION("""COMPUTED_VALUE"""),33.03)</f>
        <v>33.03</v>
      </c>
      <c r="V1279" s="1" t="str">
        <f>IFERROR(__xludf.DUMMYFUNCTION("""COMPUTED_VALUE"""),"Sieg Ballelos")</f>
        <v>Sieg Ballelos</v>
      </c>
      <c r="W1279" s="1" t="str">
        <f>IFERROR(__xludf.DUMMYFUNCTION("""COMPUTED_VALUE"""),"Core Product Support Escalation Team")</f>
        <v>Core Product Support Escalation Team</v>
      </c>
    </row>
    <row r="1280">
      <c r="O1280" s="1" t="str">
        <f>IFERROR(__xludf.DUMMYFUNCTION("""COMPUTED_VALUE"""),"2025 Oct")</f>
        <v>2025 Oct</v>
      </c>
      <c r="P1280" s="1" t="str">
        <f>IFERROR(__xludf.DUMMYFUNCTION("""COMPUTED_VALUE"""),"Admin Support")</f>
        <v>Admin Support</v>
      </c>
      <c r="Q1280" s="1" t="str">
        <f>IFERROR(__xludf.DUMMYFUNCTION("""COMPUTED_VALUE"""),"cee@canva.com")</f>
        <v>cee@canva.com</v>
      </c>
      <c r="R1280" s="1" t="str">
        <f>IFERROR(__xludf.DUMMYFUNCTION("""COMPUTED_VALUE"""),"John Carlo Gonzales")</f>
        <v>John Carlo Gonzales</v>
      </c>
      <c r="S1280" s="1"/>
      <c r="T1280" s="1">
        <f>IFERROR(__xludf.DUMMYFUNCTION("""COMPUTED_VALUE"""),10.5)</f>
        <v>10.5</v>
      </c>
      <c r="U1280" s="2">
        <f>IFERROR(__xludf.DUMMYFUNCTION("""COMPUTED_VALUE"""),10.5)</f>
        <v>10.5</v>
      </c>
      <c r="V1280" s="1" t="str">
        <f>IFERROR(__xludf.DUMMYFUNCTION("""COMPUTED_VALUE"""),"AL Suarez")</f>
        <v>AL Suarez</v>
      </c>
      <c r="W1280" s="1" t="str">
        <f>IFERROR(__xludf.DUMMYFUNCTION("""COMPUTED_VALUE"""),"Admin Direct Support")</f>
        <v>Admin Direct Support</v>
      </c>
    </row>
    <row r="1281">
      <c r="O1281" s="1" t="str">
        <f>IFERROR(__xludf.DUMMYFUNCTION("""COMPUTED_VALUE"""),"2025 Oct")</f>
        <v>2025 Oct</v>
      </c>
      <c r="P1281" s="1" t="str">
        <f>IFERROR(__xludf.DUMMYFUNCTION("""COMPUTED_VALUE"""),"Core Product Support")</f>
        <v>Core Product Support</v>
      </c>
      <c r="Q1281" s="1" t="str">
        <f>IFERROR(__xludf.DUMMYFUNCTION("""COMPUTED_VALUE"""),"khael@canva.com")</f>
        <v>khael@canva.com</v>
      </c>
      <c r="R1281" s="1" t="str">
        <f>IFERROR(__xludf.DUMMYFUNCTION("""COMPUTED_VALUE"""),"John Pieda")</f>
        <v>John Pieda</v>
      </c>
      <c r="S1281" s="1"/>
      <c r="T1281" s="1">
        <f>IFERROR(__xludf.DUMMYFUNCTION("""COMPUTED_VALUE"""),6.75)</f>
        <v>6.75</v>
      </c>
      <c r="U1281" s="2">
        <f>IFERROR(__xludf.DUMMYFUNCTION("""COMPUTED_VALUE"""),6.75)</f>
        <v>6.75</v>
      </c>
      <c r="V1281" s="1" t="str">
        <f>IFERROR(__xludf.DUMMYFUNCTION("""COMPUTED_VALUE"""),"Ayza Marie Pascual")</f>
        <v>Ayza Marie Pascual</v>
      </c>
      <c r="W1281" s="1" t="str">
        <f>IFERROR(__xludf.DUMMYFUNCTION("""COMPUTED_VALUE"""),"Advanced Billing &amp; Subscriptions")</f>
        <v>Advanced Billing &amp; Subscriptions</v>
      </c>
    </row>
    <row r="1282">
      <c r="O1282" s="1" t="str">
        <f>IFERROR(__xludf.DUMMYFUNCTION("""COMPUTED_VALUE"""),"2025 Oct")</f>
        <v>2025 Oct</v>
      </c>
      <c r="P1282" s="1" t="str">
        <f>IFERROR(__xludf.DUMMYFUNCTION("""COMPUTED_VALUE"""),"Core Product Support")</f>
        <v>Core Product Support</v>
      </c>
      <c r="Q1282" s="1" t="str">
        <f>IFERROR(__xludf.DUMMYFUNCTION("""COMPUTED_VALUE"""),"jonahezra@canva.com")</f>
        <v>jonahezra@canva.com</v>
      </c>
      <c r="R1282" s="1" t="str">
        <f>IFERROR(__xludf.DUMMYFUNCTION("""COMPUTED_VALUE"""),"Jonah Ezra Vergara")</f>
        <v>Jonah Ezra Vergara</v>
      </c>
      <c r="S1282" s="1">
        <f>IFERROR(__xludf.DUMMYFUNCTION("""COMPUTED_VALUE"""),0.5)</f>
        <v>0.5</v>
      </c>
      <c r="T1282" s="1">
        <f>IFERROR(__xludf.DUMMYFUNCTION("""COMPUTED_VALUE"""),15.5)</f>
        <v>15.5</v>
      </c>
      <c r="U1282" s="2">
        <f>IFERROR(__xludf.DUMMYFUNCTION("""COMPUTED_VALUE"""),16.0)</f>
        <v>16</v>
      </c>
      <c r="V1282" s="1" t="str">
        <f>IFERROR(__xludf.DUMMYFUNCTION("""COMPUTED_VALUE"""),"Ellaine Estayo")</f>
        <v>Ellaine Estayo</v>
      </c>
      <c r="W1282" s="1" t="str">
        <f>IFERROR(__xludf.DUMMYFUNCTION("""COMPUTED_VALUE"""),"Core Product Support Escalation Team")</f>
        <v>Core Product Support Escalation Team</v>
      </c>
    </row>
    <row r="1283">
      <c r="O1283" s="1" t="str">
        <f>IFERROR(__xludf.DUMMYFUNCTION("""COMPUTED_VALUE"""),"2025 Oct")</f>
        <v>2025 Oct</v>
      </c>
      <c r="P1283" s="1" t="str">
        <f>IFERROR(__xludf.DUMMYFUNCTION("""COMPUTED_VALUE"""),"Core Product Support")</f>
        <v>Core Product Support</v>
      </c>
      <c r="Q1283" s="1" t="str">
        <f>IFERROR(__xludf.DUMMYFUNCTION("""COMPUTED_VALUE"""),"cjopphet@canva.com")</f>
        <v>cjopphet@canva.com</v>
      </c>
      <c r="R1283" s="1" t="str">
        <f>IFERROR(__xludf.DUMMYFUNCTION("""COMPUTED_VALUE"""),"Jopphet Villafuerte")</f>
        <v>Jopphet Villafuerte</v>
      </c>
      <c r="S1283" s="1">
        <f>IFERROR(__xludf.DUMMYFUNCTION("""COMPUTED_VALUE"""),1.0)</f>
        <v>1</v>
      </c>
      <c r="T1283" s="1">
        <f>IFERROR(__xludf.DUMMYFUNCTION("""COMPUTED_VALUE"""),5.75)</f>
        <v>5.75</v>
      </c>
      <c r="U1283" s="2">
        <f>IFERROR(__xludf.DUMMYFUNCTION("""COMPUTED_VALUE"""),6.75)</f>
        <v>6.75</v>
      </c>
      <c r="V1283" s="1" t="str">
        <f>IFERROR(__xludf.DUMMYFUNCTION("""COMPUTED_VALUE"""),"Ayza Marie Pascual")</f>
        <v>Ayza Marie Pascual</v>
      </c>
      <c r="W1283" s="1" t="str">
        <f>IFERROR(__xludf.DUMMYFUNCTION("""COMPUTED_VALUE"""),"Advanced Billing &amp; Subscriptions")</f>
        <v>Advanced Billing &amp; Subscriptions</v>
      </c>
    </row>
    <row r="1284">
      <c r="O1284" s="1" t="str">
        <f>IFERROR(__xludf.DUMMYFUNCTION("""COMPUTED_VALUE"""),"2025 Oct")</f>
        <v>2025 Oct</v>
      </c>
      <c r="P1284" s="1" t="str">
        <f>IFERROR(__xludf.DUMMYFUNCTION("""COMPUTED_VALUE"""),"Segment-specific Support")</f>
        <v>Segment-specific Support</v>
      </c>
      <c r="Q1284" s="1" t="str">
        <f>IFERROR(__xludf.DUMMYFUNCTION("""COMPUTED_VALUE"""),"jorell@canva.com")</f>
        <v>jorell@canva.com</v>
      </c>
      <c r="R1284" s="1" t="str">
        <f>IFERROR(__xludf.DUMMYFUNCTION("""COMPUTED_VALUE"""),"Jorell Bollozos")</f>
        <v>Jorell Bollozos</v>
      </c>
      <c r="S1284" s="1">
        <f>IFERROR(__xludf.DUMMYFUNCTION("""COMPUTED_VALUE"""),1.55)</f>
        <v>1.55</v>
      </c>
      <c r="T1284" s="1">
        <f>IFERROR(__xludf.DUMMYFUNCTION("""COMPUTED_VALUE"""),3.5)</f>
        <v>3.5</v>
      </c>
      <c r="U1284" s="2">
        <f>IFERROR(__xludf.DUMMYFUNCTION("""COMPUTED_VALUE"""),5.05)</f>
        <v>5.05</v>
      </c>
      <c r="V1284" s="1" t="str">
        <f>IFERROR(__xludf.DUMMYFUNCTION("""COMPUTED_VALUE"""),"Gucci Nava")</f>
        <v>Gucci Nava</v>
      </c>
      <c r="W1284" s="1" t="str">
        <f>IFERROR(__xludf.DUMMYFUNCTION("""COMPUTED_VALUE"""),"Print Support PH")</f>
        <v>Print Support PH</v>
      </c>
    </row>
    <row r="1285">
      <c r="O1285" s="1" t="str">
        <f>IFERROR(__xludf.DUMMYFUNCTION("""COMPUTED_VALUE"""),"2025 Oct")</f>
        <v>2025 Oct</v>
      </c>
      <c r="P1285" s="1" t="str">
        <f>IFERROR(__xludf.DUMMYFUNCTION("""COMPUTED_VALUE"""),"Core Product Support")</f>
        <v>Core Product Support</v>
      </c>
      <c r="Q1285" s="1" t="str">
        <f>IFERROR(__xludf.DUMMYFUNCTION("""COMPUTED_VALUE"""),"josab@canva.com")</f>
        <v>josab@canva.com</v>
      </c>
      <c r="R1285" s="1" t="str">
        <f>IFERROR(__xludf.DUMMYFUNCTION("""COMPUTED_VALUE"""),"Josa Bernardino")</f>
        <v>Josa Bernardino</v>
      </c>
      <c r="S1285" s="1">
        <f>IFERROR(__xludf.DUMMYFUNCTION("""COMPUTED_VALUE"""),0.5)</f>
        <v>0.5</v>
      </c>
      <c r="T1285" s="1">
        <f>IFERROR(__xludf.DUMMYFUNCTION("""COMPUTED_VALUE"""),18.78)</f>
        <v>18.78</v>
      </c>
      <c r="U1285" s="2">
        <f>IFERROR(__xludf.DUMMYFUNCTION("""COMPUTED_VALUE"""),19.28)</f>
        <v>19.28</v>
      </c>
      <c r="V1285" s="1" t="str">
        <f>IFERROR(__xludf.DUMMYFUNCTION("""COMPUTED_VALUE"""),"Ellaine Estayo")</f>
        <v>Ellaine Estayo</v>
      </c>
      <c r="W1285" s="1" t="str">
        <f>IFERROR(__xludf.DUMMYFUNCTION("""COMPUTED_VALUE"""),"Core Product Support Escalation Team")</f>
        <v>Core Product Support Escalation Team</v>
      </c>
    </row>
    <row r="1286">
      <c r="O1286" s="1" t="str">
        <f>IFERROR(__xludf.DUMMYFUNCTION("""COMPUTED_VALUE"""),"2025 Oct")</f>
        <v>2025 Oct</v>
      </c>
      <c r="P1286" s="1" t="str">
        <f>IFERROR(__xludf.DUMMYFUNCTION("""COMPUTED_VALUE"""),"Print Support")</f>
        <v>Print Support</v>
      </c>
      <c r="Q1286" s="1" t="str">
        <f>IFERROR(__xludf.DUMMYFUNCTION("""COMPUTED_VALUE"""),"quin@canva.com")</f>
        <v>quin@canva.com</v>
      </c>
      <c r="R1286" s="1" t="str">
        <f>IFERROR(__xludf.DUMMYFUNCTION("""COMPUTED_VALUE"""),"Jose Antiquin")</f>
        <v>Jose Antiquin</v>
      </c>
      <c r="S1286" s="1"/>
      <c r="T1286" s="1">
        <f>IFERROR(__xludf.DUMMYFUNCTION("""COMPUTED_VALUE"""),2.75)</f>
        <v>2.75</v>
      </c>
      <c r="U1286" s="2">
        <f>IFERROR(__xludf.DUMMYFUNCTION("""COMPUTED_VALUE"""),2.75)</f>
        <v>2.75</v>
      </c>
      <c r="V1286" s="1" t="str">
        <f>IFERROR(__xludf.DUMMYFUNCTION("""COMPUTED_VALUE"""),"Jen Momo")</f>
        <v>Jen Momo</v>
      </c>
      <c r="W1286" s="1" t="str">
        <f>IFERROR(__xludf.DUMMYFUNCTION("""COMPUTED_VALUE"""),"Print Support PH")</f>
        <v>Print Support PH</v>
      </c>
    </row>
    <row r="1287">
      <c r="O1287" s="1" t="str">
        <f>IFERROR(__xludf.DUMMYFUNCTION("""COMPUTED_VALUE"""),"2025 Oct")</f>
        <v>2025 Oct</v>
      </c>
      <c r="P1287" s="1" t="str">
        <f>IFERROR(__xludf.DUMMYFUNCTION("""COMPUTED_VALUE"""),"Admin Support")</f>
        <v>Admin Support</v>
      </c>
      <c r="Q1287" s="1" t="str">
        <f>IFERROR(__xludf.DUMMYFUNCTION("""COMPUTED_VALUE"""),"joshid@canva.com")</f>
        <v>joshid@canva.com</v>
      </c>
      <c r="R1287" s="1" t="str">
        <f>IFERROR(__xludf.DUMMYFUNCTION("""COMPUTED_VALUE"""),"Joshua Dacanay")</f>
        <v>Joshua Dacanay</v>
      </c>
      <c r="S1287" s="1">
        <f>IFERROR(__xludf.DUMMYFUNCTION("""COMPUTED_VALUE"""),1.0)</f>
        <v>1</v>
      </c>
      <c r="T1287" s="1">
        <f>IFERROR(__xludf.DUMMYFUNCTION("""COMPUTED_VALUE"""),7.25)</f>
        <v>7.25</v>
      </c>
      <c r="U1287" s="2">
        <f>IFERROR(__xludf.DUMMYFUNCTION("""COMPUTED_VALUE"""),8.25)</f>
        <v>8.25</v>
      </c>
      <c r="V1287" s="1" t="str">
        <f>IFERROR(__xludf.DUMMYFUNCTION("""COMPUTED_VALUE"""),"AL Suarez")</f>
        <v>AL Suarez</v>
      </c>
      <c r="W1287" s="1" t="str">
        <f>IFERROR(__xludf.DUMMYFUNCTION("""COMPUTED_VALUE"""),"Admin Direct Support")</f>
        <v>Admin Direct Support</v>
      </c>
    </row>
    <row r="1288">
      <c r="O1288" s="1" t="str">
        <f>IFERROR(__xludf.DUMMYFUNCTION("""COMPUTED_VALUE"""),"2025 Oct")</f>
        <v>2025 Oct</v>
      </c>
      <c r="P1288" s="1" t="str">
        <f>IFERROR(__xludf.DUMMYFUNCTION("""COMPUTED_VALUE"""),"High Sensitivity Support")</f>
        <v>High Sensitivity Support</v>
      </c>
      <c r="Q1288" s="1" t="str">
        <f>IFERROR(__xludf.DUMMYFUNCTION("""COMPUTED_VALUE"""),"jpbasco@canva.com")</f>
        <v>jpbasco@canva.com</v>
      </c>
      <c r="R1288" s="1" t="str">
        <f>IFERROR(__xludf.DUMMYFUNCTION("""COMPUTED_VALUE"""),"JP Basco")</f>
        <v>JP Basco</v>
      </c>
      <c r="S1288" s="1">
        <f>IFERROR(__xludf.DUMMYFUNCTION("""COMPUTED_VALUE"""),9.0)</f>
        <v>9</v>
      </c>
      <c r="T1288" s="1">
        <f>IFERROR(__xludf.DUMMYFUNCTION("""COMPUTED_VALUE"""),5.43)</f>
        <v>5.43</v>
      </c>
      <c r="U1288" s="2">
        <f>IFERROR(__xludf.DUMMYFUNCTION("""COMPUTED_VALUE"""),14.43)</f>
        <v>14.43</v>
      </c>
      <c r="V1288" s="1" t="str">
        <f>IFERROR(__xludf.DUMMYFUNCTION("""COMPUTED_VALUE"""),"Rex Villamor")</f>
        <v>Rex Villamor</v>
      </c>
      <c r="W1288" s="1" t="str">
        <f>IFERROR(__xludf.DUMMYFUNCTION("""COMPUTED_VALUE"""),"High Sensitivity Support PH")</f>
        <v>High Sensitivity Support PH</v>
      </c>
    </row>
    <row r="1289">
      <c r="O1289" s="1" t="str">
        <f>IFERROR(__xludf.DUMMYFUNCTION("""COMPUTED_VALUE"""),"2025 Oct")</f>
        <v>2025 Oct</v>
      </c>
      <c r="P1289" s="1" t="str">
        <f>IFERROR(__xludf.DUMMYFUNCTION("""COMPUTED_VALUE"""),"Core Product Support")</f>
        <v>Core Product Support</v>
      </c>
      <c r="Q1289" s="1" t="str">
        <f>IFERROR(__xludf.DUMMYFUNCTION("""COMPUTED_VALUE"""),"mgonzalgo@canva.com")</f>
        <v>mgonzalgo@canva.com</v>
      </c>
      <c r="R1289" s="1" t="str">
        <f>IFERROR(__xludf.DUMMYFUNCTION("""COMPUTED_VALUE"""),"Juhrella Gonzalgo")</f>
        <v>Juhrella Gonzalgo</v>
      </c>
      <c r="S1289" s="1"/>
      <c r="T1289" s="1">
        <f>IFERROR(__xludf.DUMMYFUNCTION("""COMPUTED_VALUE"""),11.2)</f>
        <v>11.2</v>
      </c>
      <c r="U1289" s="2">
        <f>IFERROR(__xludf.DUMMYFUNCTION("""COMPUTED_VALUE"""),11.2)</f>
        <v>11.2</v>
      </c>
      <c r="V1289" s="1" t="str">
        <f>IFERROR(__xludf.DUMMYFUNCTION("""COMPUTED_VALUE"""),"Mikhaela Decangchon")</f>
        <v>Mikhaela Decangchon</v>
      </c>
      <c r="W1289" s="1" t="str">
        <f>IFERROR(__xludf.DUMMYFUNCTION("""COMPUTED_VALUE"""),"Advanced Product Support")</f>
        <v>Advanced Product Support</v>
      </c>
    </row>
    <row r="1290">
      <c r="O1290" s="1" t="str">
        <f>IFERROR(__xludf.DUMMYFUNCTION("""COMPUTED_VALUE"""),"2025 Oct")</f>
        <v>2025 Oct</v>
      </c>
      <c r="P1290" s="1" t="str">
        <f>IFERROR(__xludf.DUMMYFUNCTION("""COMPUTED_VALUE"""),"Admin Support")</f>
        <v>Admin Support</v>
      </c>
      <c r="Q1290" s="1" t="str">
        <f>IFERROR(__xludf.DUMMYFUNCTION("""COMPUTED_VALUE"""),"justinem@canva.com")</f>
        <v>justinem@canva.com</v>
      </c>
      <c r="R1290" s="1" t="str">
        <f>IFERROR(__xludf.DUMMYFUNCTION("""COMPUTED_VALUE"""),"Justine Valerie Meneses")</f>
        <v>Justine Valerie Meneses</v>
      </c>
      <c r="S1290" s="1"/>
      <c r="T1290" s="1">
        <f>IFERROR(__xludf.DUMMYFUNCTION("""COMPUTED_VALUE"""),22.5)</f>
        <v>22.5</v>
      </c>
      <c r="U1290" s="2">
        <f>IFERROR(__xludf.DUMMYFUNCTION("""COMPUTED_VALUE"""),22.5)</f>
        <v>22.5</v>
      </c>
      <c r="V1290" s="1" t="str">
        <f>IFERROR(__xludf.DUMMYFUNCTION("""COMPUTED_VALUE"""),"Karla Mananghaya")</f>
        <v>Karla Mananghaya</v>
      </c>
      <c r="W1290" s="1" t="str">
        <f>IFERROR(__xludf.DUMMYFUNCTION("""COMPUTED_VALUE"""),"Admin Support Service Escalation Team")</f>
        <v>Admin Support Service Escalation Team</v>
      </c>
    </row>
    <row r="1291">
      <c r="O1291" s="1" t="str">
        <f>IFERROR(__xludf.DUMMYFUNCTION("""COMPUTED_VALUE"""),"2025 Oct")</f>
        <v>2025 Oct</v>
      </c>
      <c r="P1291" s="1" t="str">
        <f>IFERROR(__xludf.DUMMYFUNCTION("""COMPUTED_VALUE"""),"Admin Support")</f>
        <v>Admin Support</v>
      </c>
      <c r="Q1291" s="1" t="str">
        <f>IFERROR(__xludf.DUMMYFUNCTION("""COMPUTED_VALUE"""),"kamilleb@canva.com")</f>
        <v>kamilleb@canva.com</v>
      </c>
      <c r="R1291" s="1" t="str">
        <f>IFERROR(__xludf.DUMMYFUNCTION("""COMPUTED_VALUE"""),"Kamille Batuyong")</f>
        <v>Kamille Batuyong</v>
      </c>
      <c r="S1291" s="1">
        <f>IFERROR(__xludf.DUMMYFUNCTION("""COMPUTED_VALUE"""),2.0)</f>
        <v>2</v>
      </c>
      <c r="T1291" s="1">
        <f>IFERROR(__xludf.DUMMYFUNCTION("""COMPUTED_VALUE"""),2.58)</f>
        <v>2.58</v>
      </c>
      <c r="U1291" s="2">
        <f>IFERROR(__xludf.DUMMYFUNCTION("""COMPUTED_VALUE"""),4.58)</f>
        <v>4.58</v>
      </c>
      <c r="V1291" s="1" t="str">
        <f>IFERROR(__xludf.DUMMYFUNCTION("""COMPUTED_VALUE"""),"AL Suarez")</f>
        <v>AL Suarez</v>
      </c>
      <c r="W1291" s="1" t="str">
        <f>IFERROR(__xludf.DUMMYFUNCTION("""COMPUTED_VALUE"""),"Print Support PH")</f>
        <v>Print Support PH</v>
      </c>
    </row>
    <row r="1292">
      <c r="O1292" s="1" t="str">
        <f>IFERROR(__xludf.DUMMYFUNCTION("""COMPUTED_VALUE"""),"2025 Oct")</f>
        <v>2025 Oct</v>
      </c>
      <c r="P1292" s="1" t="str">
        <f>IFERROR(__xludf.DUMMYFUNCTION("""COMPUTED_VALUE"""),"Core Product Support")</f>
        <v>Core Product Support</v>
      </c>
      <c r="Q1292" s="1" t="str">
        <f>IFERROR(__xludf.DUMMYFUNCTION("""COMPUTED_VALUE"""),"katcee@canva.com")</f>
        <v>katcee@canva.com</v>
      </c>
      <c r="R1292" s="1" t="str">
        <f>IFERROR(__xludf.DUMMYFUNCTION("""COMPUTED_VALUE"""),"Katrin Cebedo")</f>
        <v>Katrin Cebedo</v>
      </c>
      <c r="S1292" s="1">
        <f>IFERROR(__xludf.DUMMYFUNCTION("""COMPUTED_VALUE"""),1.0)</f>
        <v>1</v>
      </c>
      <c r="T1292" s="1">
        <f>IFERROR(__xludf.DUMMYFUNCTION("""COMPUTED_VALUE"""),4.75)</f>
        <v>4.75</v>
      </c>
      <c r="U1292" s="2">
        <f>IFERROR(__xludf.DUMMYFUNCTION("""COMPUTED_VALUE"""),5.75)</f>
        <v>5.75</v>
      </c>
      <c r="V1292" s="1" t="str">
        <f>IFERROR(__xludf.DUMMYFUNCTION("""COMPUTED_VALUE"""),"Ayza Marie Pascual")</f>
        <v>Ayza Marie Pascual</v>
      </c>
      <c r="W1292" s="1" t="str">
        <f>IFERROR(__xludf.DUMMYFUNCTION("""COMPUTED_VALUE"""),"Advanced Billing &amp; Subscriptions")</f>
        <v>Advanced Billing &amp; Subscriptions</v>
      </c>
    </row>
    <row r="1293">
      <c r="O1293" s="1" t="str">
        <f>IFERROR(__xludf.DUMMYFUNCTION("""COMPUTED_VALUE"""),"2025 Oct")</f>
        <v>2025 Oct</v>
      </c>
      <c r="P1293" s="1" t="str">
        <f>IFERROR(__xludf.DUMMYFUNCTION("""COMPUTED_VALUE"""),"Print Support")</f>
        <v>Print Support</v>
      </c>
      <c r="Q1293" s="1" t="str">
        <f>IFERROR(__xludf.DUMMYFUNCTION("""COMPUTED_VALUE"""),"katejoya@canva.com")</f>
        <v>katejoya@canva.com</v>
      </c>
      <c r="R1293" s="1" t="str">
        <f>IFERROR(__xludf.DUMMYFUNCTION("""COMPUTED_VALUE"""),"Katrina Joya")</f>
        <v>Katrina Joya</v>
      </c>
      <c r="S1293" s="1"/>
      <c r="T1293" s="1">
        <f>IFERROR(__xludf.DUMMYFUNCTION("""COMPUTED_VALUE"""),2.75)</f>
        <v>2.75</v>
      </c>
      <c r="U1293" s="2">
        <f>IFERROR(__xludf.DUMMYFUNCTION("""COMPUTED_VALUE"""),2.75)</f>
        <v>2.75</v>
      </c>
      <c r="V1293" s="1" t="str">
        <f>IFERROR(__xludf.DUMMYFUNCTION("""COMPUTED_VALUE"""),"Gem Agoncillo")</f>
        <v>Gem Agoncillo</v>
      </c>
      <c r="W1293" s="1" t="str">
        <f>IFERROR(__xludf.DUMMYFUNCTION("""COMPUTED_VALUE"""),"Print Design Support")</f>
        <v>Print Design Support</v>
      </c>
    </row>
    <row r="1294">
      <c r="O1294" s="1" t="str">
        <f>IFERROR(__xludf.DUMMYFUNCTION("""COMPUTED_VALUE"""),"2025 Oct")</f>
        <v>2025 Oct</v>
      </c>
      <c r="P1294" s="1" t="str">
        <f>IFERROR(__xludf.DUMMYFUNCTION("""COMPUTED_VALUE"""),"Core Product Support")</f>
        <v>Core Product Support</v>
      </c>
      <c r="Q1294" s="1" t="str">
        <f>IFERROR(__xludf.DUMMYFUNCTION("""COMPUTED_VALUE"""),"kayl@canva.com")</f>
        <v>kayl@canva.com</v>
      </c>
      <c r="R1294" s="1" t="str">
        <f>IFERROR(__xludf.DUMMYFUNCTION("""COMPUTED_VALUE"""),"Kayl Albonia")</f>
        <v>Kayl Albonia</v>
      </c>
      <c r="S1294" s="1">
        <f>IFERROR(__xludf.DUMMYFUNCTION("""COMPUTED_VALUE"""),1.0)</f>
        <v>1</v>
      </c>
      <c r="T1294" s="1">
        <f>IFERROR(__xludf.DUMMYFUNCTION("""COMPUTED_VALUE"""),7.0)</f>
        <v>7</v>
      </c>
      <c r="U1294" s="2">
        <f>IFERROR(__xludf.DUMMYFUNCTION("""COMPUTED_VALUE"""),8.0)</f>
        <v>8</v>
      </c>
      <c r="V1294" s="1" t="str">
        <f>IFERROR(__xludf.DUMMYFUNCTION("""COMPUTED_VALUE"""),"Marie Mordeno")</f>
        <v>Marie Mordeno</v>
      </c>
      <c r="W1294" s="1" t="str">
        <f>IFERROR(__xludf.DUMMYFUNCTION("""COMPUTED_VALUE"""),"Advanced Billing &amp; Subscriptions")</f>
        <v>Advanced Billing &amp; Subscriptions</v>
      </c>
    </row>
    <row r="1295">
      <c r="O1295" s="1" t="str">
        <f>IFERROR(__xludf.DUMMYFUNCTION("""COMPUTED_VALUE"""),"2025 Oct")</f>
        <v>2025 Oct</v>
      </c>
      <c r="P1295" s="1" t="str">
        <f>IFERROR(__xludf.DUMMYFUNCTION("""COMPUTED_VALUE"""),"High Sensitivity Support")</f>
        <v>High Sensitivity Support</v>
      </c>
      <c r="Q1295" s="1" t="str">
        <f>IFERROR(__xludf.DUMMYFUNCTION("""COMPUTED_VALUE"""),"kathlene@canva.com")</f>
        <v>kathlene@canva.com</v>
      </c>
      <c r="R1295" s="1" t="str">
        <f>IFERROR(__xludf.DUMMYFUNCTION("""COMPUTED_VALUE"""),"KC Cruz")</f>
        <v>KC Cruz</v>
      </c>
      <c r="S1295" s="1">
        <f>IFERROR(__xludf.DUMMYFUNCTION("""COMPUTED_VALUE"""),10.0)</f>
        <v>10</v>
      </c>
      <c r="T1295" s="1">
        <f>IFERROR(__xludf.DUMMYFUNCTION("""COMPUTED_VALUE"""),6.05)</f>
        <v>6.05</v>
      </c>
      <c r="U1295" s="2">
        <f>IFERROR(__xludf.DUMMYFUNCTION("""COMPUTED_VALUE"""),16.05)</f>
        <v>16.05</v>
      </c>
      <c r="V1295" s="1" t="str">
        <f>IFERROR(__xludf.DUMMYFUNCTION("""COMPUTED_VALUE"""),"Xandy Azarcon")</f>
        <v>Xandy Azarcon</v>
      </c>
      <c r="W1295" s="1" t="str">
        <f>IFERROR(__xludf.DUMMYFUNCTION("""COMPUTED_VALUE"""),"High Sensitivity Support PH")</f>
        <v>High Sensitivity Support PH</v>
      </c>
    </row>
    <row r="1296">
      <c r="O1296" s="1" t="str">
        <f>IFERROR(__xludf.DUMMYFUNCTION("""COMPUTED_VALUE"""),"2025 Oct")</f>
        <v>2025 Oct</v>
      </c>
      <c r="P1296" s="1" t="str">
        <f>IFERROR(__xludf.DUMMYFUNCTION("""COMPUTED_VALUE"""),"Admin Support")</f>
        <v>Admin Support</v>
      </c>
      <c r="Q1296" s="1" t="str">
        <f>IFERROR(__xludf.DUMMYFUNCTION("""COMPUTED_VALUE"""),"kc@canva.com")</f>
        <v>kc@canva.com</v>
      </c>
      <c r="R1296" s="1" t="str">
        <f>IFERROR(__xludf.DUMMYFUNCTION("""COMPUTED_VALUE"""),"KC Sacramento")</f>
        <v>KC Sacramento</v>
      </c>
      <c r="S1296" s="1">
        <f>IFERROR(__xludf.DUMMYFUNCTION("""COMPUTED_VALUE"""),1.0)</f>
        <v>1</v>
      </c>
      <c r="T1296" s="1">
        <f>IFERROR(__xludf.DUMMYFUNCTION("""COMPUTED_VALUE"""),33.38)</f>
        <v>33.38</v>
      </c>
      <c r="U1296" s="2">
        <f>IFERROR(__xludf.DUMMYFUNCTION("""COMPUTED_VALUE"""),34.38)</f>
        <v>34.38</v>
      </c>
      <c r="V1296" s="1" t="str">
        <f>IFERROR(__xludf.DUMMYFUNCTION("""COMPUTED_VALUE"""),"Kelden Laguting")</f>
        <v>Kelden Laguting</v>
      </c>
      <c r="W1296" s="1" t="str">
        <f>IFERROR(__xludf.DUMMYFUNCTION("""COMPUTED_VALUE"""),"Admin Omni Support")</f>
        <v>Admin Omni Support</v>
      </c>
    </row>
    <row r="1297">
      <c r="O1297" s="1" t="str">
        <f>IFERROR(__xludf.DUMMYFUNCTION("""COMPUTED_VALUE"""),"2025 Oct")</f>
        <v>2025 Oct</v>
      </c>
      <c r="P1297" s="1" t="str">
        <f>IFERROR(__xludf.DUMMYFUNCTION("""COMPUTED_VALUE"""),"Core Product Support")</f>
        <v>Core Product Support</v>
      </c>
      <c r="Q1297" s="1" t="str">
        <f>IFERROR(__xludf.DUMMYFUNCTION("""COMPUTED_VALUE"""),"keisalazar@canva.com")</f>
        <v>keisalazar@canva.com</v>
      </c>
      <c r="R1297" s="1" t="str">
        <f>IFERROR(__xludf.DUMMYFUNCTION("""COMPUTED_VALUE"""),"Kei Salazar")</f>
        <v>Kei Salazar</v>
      </c>
      <c r="S1297" s="1"/>
      <c r="T1297" s="1">
        <f>IFERROR(__xludf.DUMMYFUNCTION("""COMPUTED_VALUE"""),45.17)</f>
        <v>45.17</v>
      </c>
      <c r="U1297" s="2">
        <f>IFERROR(__xludf.DUMMYFUNCTION("""COMPUTED_VALUE"""),45.17)</f>
        <v>45.17</v>
      </c>
      <c r="V1297" s="1" t="str">
        <f>IFERROR(__xludf.DUMMYFUNCTION("""COMPUTED_VALUE"""),"Ayza Marie Pascual")</f>
        <v>Ayza Marie Pascual</v>
      </c>
      <c r="W1297" s="1" t="str">
        <f>IFERROR(__xludf.DUMMYFUNCTION("""COMPUTED_VALUE"""),"Advanced Billing &amp; Subscriptions")</f>
        <v>Advanced Billing &amp; Subscriptions</v>
      </c>
    </row>
    <row r="1298">
      <c r="O1298" s="1" t="str">
        <f>IFERROR(__xludf.DUMMYFUNCTION("""COMPUTED_VALUE"""),"2025 Oct")</f>
        <v>2025 Oct</v>
      </c>
      <c r="P1298" s="1" t="str">
        <f>IFERROR(__xludf.DUMMYFUNCTION("""COMPUTED_VALUE"""),"Print Support")</f>
        <v>Print Support</v>
      </c>
      <c r="Q1298" s="1" t="str">
        <f>IFERROR(__xludf.DUMMYFUNCTION("""COMPUTED_VALUE"""),"kennethgo@canva.com")</f>
        <v>kennethgo@canva.com</v>
      </c>
      <c r="R1298" s="1" t="str">
        <f>IFERROR(__xludf.DUMMYFUNCTION("""COMPUTED_VALUE"""),"Kenneth Go")</f>
        <v>Kenneth Go</v>
      </c>
      <c r="S1298" s="1">
        <f>IFERROR(__xludf.DUMMYFUNCTION("""COMPUTED_VALUE"""),1.5)</f>
        <v>1.5</v>
      </c>
      <c r="T1298" s="1">
        <f>IFERROR(__xludf.DUMMYFUNCTION("""COMPUTED_VALUE"""),2.75)</f>
        <v>2.75</v>
      </c>
      <c r="U1298" s="2">
        <f>IFERROR(__xludf.DUMMYFUNCTION("""COMPUTED_VALUE"""),4.25)</f>
        <v>4.25</v>
      </c>
      <c r="V1298" s="1" t="str">
        <f>IFERROR(__xludf.DUMMYFUNCTION("""COMPUTED_VALUE"""),"Jan Domingo")</f>
        <v>Jan Domingo</v>
      </c>
      <c r="W1298" s="1" t="str">
        <f>IFERROR(__xludf.DUMMYFUNCTION("""COMPUTED_VALUE"""),"Print Design Support")</f>
        <v>Print Design Support</v>
      </c>
    </row>
    <row r="1299">
      <c r="O1299" s="1" t="str">
        <f>IFERROR(__xludf.DUMMYFUNCTION("""COMPUTED_VALUE"""),"2025 Oct")</f>
        <v>2025 Oct</v>
      </c>
      <c r="P1299" s="1" t="str">
        <f>IFERROR(__xludf.DUMMYFUNCTION("""COMPUTED_VALUE"""),"Core Product Support")</f>
        <v>Core Product Support</v>
      </c>
      <c r="Q1299" s="1" t="str">
        <f>IFERROR(__xludf.DUMMYFUNCTION("""COMPUTED_VALUE"""),"kevingo@canva.com")</f>
        <v>kevingo@canva.com</v>
      </c>
      <c r="R1299" s="1" t="str">
        <f>IFERROR(__xludf.DUMMYFUNCTION("""COMPUTED_VALUE"""),"Kevin Go")</f>
        <v>Kevin Go</v>
      </c>
      <c r="S1299" s="1">
        <f>IFERROR(__xludf.DUMMYFUNCTION("""COMPUTED_VALUE"""),0.5)</f>
        <v>0.5</v>
      </c>
      <c r="T1299" s="1">
        <f>IFERROR(__xludf.DUMMYFUNCTION("""COMPUTED_VALUE"""),11.25)</f>
        <v>11.25</v>
      </c>
      <c r="U1299" s="2">
        <f>IFERROR(__xludf.DUMMYFUNCTION("""COMPUTED_VALUE"""),11.75)</f>
        <v>11.75</v>
      </c>
      <c r="V1299" s="1" t="str">
        <f>IFERROR(__xludf.DUMMYFUNCTION("""COMPUTED_VALUE"""),"Belle Bentazal")</f>
        <v>Belle Bentazal</v>
      </c>
      <c r="W1299" s="1" t="str">
        <f>IFERROR(__xludf.DUMMYFUNCTION("""COMPUTED_VALUE"""),"Advanced Product Support")</f>
        <v>Advanced Product Support</v>
      </c>
    </row>
    <row r="1300">
      <c r="O1300" s="1" t="str">
        <f>IFERROR(__xludf.DUMMYFUNCTION("""COMPUTED_VALUE"""),"2025 Oct")</f>
        <v>2025 Oct</v>
      </c>
      <c r="P1300" s="1" t="str">
        <f>IFERROR(__xludf.DUMMYFUNCTION("""COMPUTED_VALUE"""),"Core Product Support")</f>
        <v>Core Product Support</v>
      </c>
      <c r="Q1300" s="1" t="str">
        <f>IFERROR(__xludf.DUMMYFUNCTION("""COMPUTED_VALUE"""),"kevromuga@canva.com")</f>
        <v>kevromuga@canva.com</v>
      </c>
      <c r="R1300" s="1" t="str">
        <f>IFERROR(__xludf.DUMMYFUNCTION("""COMPUTED_VALUE"""),"Kevin John Romuga")</f>
        <v>Kevin John Romuga</v>
      </c>
      <c r="S1300" s="1">
        <f>IFERROR(__xludf.DUMMYFUNCTION("""COMPUTED_VALUE"""),2.0)</f>
        <v>2</v>
      </c>
      <c r="T1300" s="1">
        <f>IFERROR(__xludf.DUMMYFUNCTION("""COMPUTED_VALUE"""),7.0)</f>
        <v>7</v>
      </c>
      <c r="U1300" s="2">
        <f>IFERROR(__xludf.DUMMYFUNCTION("""COMPUTED_VALUE"""),9.0)</f>
        <v>9</v>
      </c>
      <c r="V1300" s="1" t="str">
        <f>IFERROR(__xludf.DUMMYFUNCTION("""COMPUTED_VALUE"""),"Renette Bok")</f>
        <v>Renette Bok</v>
      </c>
      <c r="W1300" s="1" t="str">
        <f>IFERROR(__xludf.DUMMYFUNCTION("""COMPUTED_VALUE"""),"Advanced Billing &amp; Subscriptions")</f>
        <v>Advanced Billing &amp; Subscriptions</v>
      </c>
    </row>
    <row r="1301">
      <c r="O1301" s="1" t="str">
        <f>IFERROR(__xludf.DUMMYFUNCTION("""COMPUTED_VALUE"""),"2025 Oct")</f>
        <v>2025 Oct</v>
      </c>
      <c r="P1301" s="1" t="str">
        <f>IFERROR(__xludf.DUMMYFUNCTION("""COMPUTED_VALUE"""),"Core Product Support")</f>
        <v>Core Product Support</v>
      </c>
      <c r="Q1301" s="1" t="str">
        <f>IFERROR(__xludf.DUMMYFUNCTION("""COMPUTED_VALUE"""),"kimmescallado@canva.com")</f>
        <v>kimmescallado@canva.com</v>
      </c>
      <c r="R1301" s="1" t="str">
        <f>IFERROR(__xludf.DUMMYFUNCTION("""COMPUTED_VALUE"""),"Kim Mescallado")</f>
        <v>Kim Mescallado</v>
      </c>
      <c r="S1301" s="1">
        <f>IFERROR(__xludf.DUMMYFUNCTION("""COMPUTED_VALUE"""),1.0)</f>
        <v>1</v>
      </c>
      <c r="T1301" s="1">
        <f>IFERROR(__xludf.DUMMYFUNCTION("""COMPUTED_VALUE"""),5.0)</f>
        <v>5</v>
      </c>
      <c r="U1301" s="2">
        <f>IFERROR(__xludf.DUMMYFUNCTION("""COMPUTED_VALUE"""),6.0)</f>
        <v>6</v>
      </c>
      <c r="V1301" s="1" t="str">
        <f>IFERROR(__xludf.DUMMYFUNCTION("""COMPUTED_VALUE"""),"Belle Bentazal")</f>
        <v>Belle Bentazal</v>
      </c>
      <c r="W1301" s="1" t="str">
        <f>IFERROR(__xludf.DUMMYFUNCTION("""COMPUTED_VALUE"""),"Advanced Product Support")</f>
        <v>Advanced Product Support</v>
      </c>
    </row>
    <row r="1302">
      <c r="O1302" s="1" t="str">
        <f>IFERROR(__xludf.DUMMYFUNCTION("""COMPUTED_VALUE"""),"2025 Oct")</f>
        <v>2025 Oct</v>
      </c>
      <c r="P1302" s="1" t="str">
        <f>IFERROR(__xludf.DUMMYFUNCTION("""COMPUTED_VALUE"""),"#N/A")</f>
        <v>#N/A</v>
      </c>
      <c r="Q1302" s="1" t="str">
        <f>IFERROR(__xludf.DUMMYFUNCTION("""COMPUTED_VALUE"""),"kimmi@canva.com")</f>
        <v>kimmi@canva.com</v>
      </c>
      <c r="R1302" s="1" t="str">
        <f>IFERROR(__xludf.DUMMYFUNCTION("""COMPUTED_VALUE"""),"Kim Mondala")</f>
        <v>Kim Mondala</v>
      </c>
      <c r="S1302" s="1"/>
      <c r="T1302" s="1">
        <f>IFERROR(__xludf.DUMMYFUNCTION("""COMPUTED_VALUE"""),26.83)</f>
        <v>26.83</v>
      </c>
      <c r="U1302" s="2">
        <f>IFERROR(__xludf.DUMMYFUNCTION("""COMPUTED_VALUE"""),26.83)</f>
        <v>26.83</v>
      </c>
      <c r="V1302" s="1" t="str">
        <f>IFERROR(__xludf.DUMMYFUNCTION("""COMPUTED_VALUE"""),"#N/A")</f>
        <v>#N/A</v>
      </c>
      <c r="W1302" s="1" t="str">
        <f>IFERROR(__xludf.DUMMYFUNCTION("""COMPUTED_VALUE"""),"Admin Omni Support")</f>
        <v>Admin Omni Support</v>
      </c>
    </row>
    <row r="1303">
      <c r="O1303" s="1" t="str">
        <f>IFERROR(__xludf.DUMMYFUNCTION("""COMPUTED_VALUE"""),"2025 Oct")</f>
        <v>2025 Oct</v>
      </c>
      <c r="P1303" s="1" t="str">
        <f>IFERROR(__xludf.DUMMYFUNCTION("""COMPUTED_VALUE"""),"Admin Support")</f>
        <v>Admin Support</v>
      </c>
      <c r="Q1303" s="1" t="str">
        <f>IFERROR(__xludf.DUMMYFUNCTION("""COMPUTED_VALUE"""),"kiro@canva.com")</f>
        <v>kiro@canva.com</v>
      </c>
      <c r="R1303" s="1" t="str">
        <f>IFERROR(__xludf.DUMMYFUNCTION("""COMPUTED_VALUE"""),"Kiro Mondala")</f>
        <v>Kiro Mondala</v>
      </c>
      <c r="S1303" s="1">
        <f>IFERROR(__xludf.DUMMYFUNCTION("""COMPUTED_VALUE"""),2.0)</f>
        <v>2</v>
      </c>
      <c r="T1303" s="1">
        <f>IFERROR(__xludf.DUMMYFUNCTION("""COMPUTED_VALUE"""),20.0)</f>
        <v>20</v>
      </c>
      <c r="U1303" s="2">
        <f>IFERROR(__xludf.DUMMYFUNCTION("""COMPUTED_VALUE"""),22.0)</f>
        <v>22</v>
      </c>
      <c r="V1303" s="1" t="str">
        <f>IFERROR(__xludf.DUMMYFUNCTION("""COMPUTED_VALUE"""),"Kelden Laguting")</f>
        <v>Kelden Laguting</v>
      </c>
      <c r="W1303" s="1" t="str">
        <f>IFERROR(__xludf.DUMMYFUNCTION("""COMPUTED_VALUE"""),"Admin Omni Support")</f>
        <v>Admin Omni Support</v>
      </c>
    </row>
    <row r="1304">
      <c r="O1304" s="1" t="str">
        <f>IFERROR(__xludf.DUMMYFUNCTION("""COMPUTED_VALUE"""),"2025 Oct")</f>
        <v>2025 Oct</v>
      </c>
      <c r="P1304" s="1" t="str">
        <f>IFERROR(__xludf.DUMMYFUNCTION("""COMPUTED_VALUE"""),"Core Product Support")</f>
        <v>Core Product Support</v>
      </c>
      <c r="Q1304" s="1" t="str">
        <f>IFERROR(__xludf.DUMMYFUNCTION("""COMPUTED_VALUE"""),"krisalava@canva.com")</f>
        <v>krisalava@canva.com</v>
      </c>
      <c r="R1304" s="1" t="str">
        <f>IFERROR(__xludf.DUMMYFUNCTION("""COMPUTED_VALUE"""),"Kris Alava")</f>
        <v>Kris Alava</v>
      </c>
      <c r="S1304" s="1"/>
      <c r="T1304" s="1">
        <f>IFERROR(__xludf.DUMMYFUNCTION("""COMPUTED_VALUE"""),13.05)</f>
        <v>13.05</v>
      </c>
      <c r="U1304" s="2">
        <f>IFERROR(__xludf.DUMMYFUNCTION("""COMPUTED_VALUE"""),13.05)</f>
        <v>13.05</v>
      </c>
      <c r="V1304" s="1" t="str">
        <f>IFERROR(__xludf.DUMMYFUNCTION("""COMPUTED_VALUE"""),"Sieg Ballelos")</f>
        <v>Sieg Ballelos</v>
      </c>
      <c r="W1304" s="1" t="str">
        <f>IFERROR(__xludf.DUMMYFUNCTION("""COMPUTED_VALUE"""),"Core Product Support Escalation Team")</f>
        <v>Core Product Support Escalation Team</v>
      </c>
    </row>
    <row r="1305">
      <c r="O1305" s="1" t="str">
        <f>IFERROR(__xludf.DUMMYFUNCTION("""COMPUTED_VALUE"""),"2025 Oct")</f>
        <v>2025 Oct</v>
      </c>
      <c r="P1305" s="1" t="str">
        <f>IFERROR(__xludf.DUMMYFUNCTION("""COMPUTED_VALUE"""),"Core Product Support")</f>
        <v>Core Product Support</v>
      </c>
      <c r="Q1305" s="1" t="str">
        <f>IFERROR(__xludf.DUMMYFUNCTION("""COMPUTED_VALUE"""),"kylep@canva.com")</f>
        <v>kylep@canva.com</v>
      </c>
      <c r="R1305" s="1" t="str">
        <f>IFERROR(__xludf.DUMMYFUNCTION("""COMPUTED_VALUE"""),"Kyle Pajarillo")</f>
        <v>Kyle Pajarillo</v>
      </c>
      <c r="S1305" s="1">
        <f>IFERROR(__xludf.DUMMYFUNCTION("""COMPUTED_VALUE"""),1.5)</f>
        <v>1.5</v>
      </c>
      <c r="T1305" s="1">
        <f>IFERROR(__xludf.DUMMYFUNCTION("""COMPUTED_VALUE"""),6.5)</f>
        <v>6.5</v>
      </c>
      <c r="U1305" s="2">
        <f>IFERROR(__xludf.DUMMYFUNCTION("""COMPUTED_VALUE"""),8.0)</f>
        <v>8</v>
      </c>
      <c r="V1305" s="1" t="str">
        <f>IFERROR(__xludf.DUMMYFUNCTION("""COMPUTED_VALUE"""),"Marie Mordeno")</f>
        <v>Marie Mordeno</v>
      </c>
      <c r="W1305" s="1" t="str">
        <f>IFERROR(__xludf.DUMMYFUNCTION("""COMPUTED_VALUE"""),"Advanced Billing &amp; Subscriptions")</f>
        <v>Advanced Billing &amp; Subscriptions</v>
      </c>
    </row>
    <row r="1306">
      <c r="O1306" s="1" t="str">
        <f>IFERROR(__xludf.DUMMYFUNCTION("""COMPUTED_VALUE"""),"2025 Oct")</f>
        <v>2025 Oct</v>
      </c>
      <c r="P1306" s="1" t="str">
        <f>IFERROR(__xludf.DUMMYFUNCTION("""COMPUTED_VALUE"""),"Core Product Support")</f>
        <v>Core Product Support</v>
      </c>
      <c r="Q1306" s="1" t="str">
        <f>IFERROR(__xludf.DUMMYFUNCTION("""COMPUTED_VALUE"""),"lailav@canva.com")</f>
        <v>lailav@canva.com</v>
      </c>
      <c r="R1306" s="1" t="str">
        <f>IFERROR(__xludf.DUMMYFUNCTION("""COMPUTED_VALUE"""),"Laila Villamor")</f>
        <v>Laila Villamor</v>
      </c>
      <c r="S1306" s="1">
        <f>IFERROR(__xludf.DUMMYFUNCTION("""COMPUTED_VALUE"""),0.5)</f>
        <v>0.5</v>
      </c>
      <c r="T1306" s="1">
        <f>IFERROR(__xludf.DUMMYFUNCTION("""COMPUTED_VALUE"""),6.5)</f>
        <v>6.5</v>
      </c>
      <c r="U1306" s="2">
        <f>IFERROR(__xludf.DUMMYFUNCTION("""COMPUTED_VALUE"""),7.0)</f>
        <v>7</v>
      </c>
      <c r="V1306" s="1" t="str">
        <f>IFERROR(__xludf.DUMMYFUNCTION("""COMPUTED_VALUE"""),"Jahmie Mae Barrameda")</f>
        <v>Jahmie Mae Barrameda</v>
      </c>
      <c r="W1306" s="1" t="str">
        <f>IFERROR(__xludf.DUMMYFUNCTION("""COMPUTED_VALUE"""),"Advanced Billing &amp; Subscriptions")</f>
        <v>Advanced Billing &amp; Subscriptions</v>
      </c>
    </row>
    <row r="1307">
      <c r="O1307" s="1" t="str">
        <f>IFERROR(__xludf.DUMMYFUNCTION("""COMPUTED_VALUE"""),"2025 Oct")</f>
        <v>2025 Oct</v>
      </c>
      <c r="P1307" s="1" t="str">
        <f>IFERROR(__xludf.DUMMYFUNCTION("""COMPUTED_VALUE"""),"Print Support")</f>
        <v>Print Support</v>
      </c>
      <c r="Q1307" s="1" t="str">
        <f>IFERROR(__xludf.DUMMYFUNCTION("""COMPUTED_VALUE"""),"lancer@canva.com")</f>
        <v>lancer@canva.com</v>
      </c>
      <c r="R1307" s="1" t="str">
        <f>IFERROR(__xludf.DUMMYFUNCTION("""COMPUTED_VALUE"""),"Lance Guevarra")</f>
        <v>Lance Guevarra</v>
      </c>
      <c r="S1307" s="1"/>
      <c r="T1307" s="1">
        <f>IFERROR(__xludf.DUMMYFUNCTION("""COMPUTED_VALUE"""),3.0)</f>
        <v>3</v>
      </c>
      <c r="U1307" s="2">
        <f>IFERROR(__xludf.DUMMYFUNCTION("""COMPUTED_VALUE"""),3.0)</f>
        <v>3</v>
      </c>
      <c r="V1307" s="1" t="str">
        <f>IFERROR(__xludf.DUMMYFUNCTION("""COMPUTED_VALUE"""),"Jen Momo")</f>
        <v>Jen Momo</v>
      </c>
      <c r="W1307" s="1" t="str">
        <f>IFERROR(__xludf.DUMMYFUNCTION("""COMPUTED_VALUE"""),"Print Support PH")</f>
        <v>Print Support PH</v>
      </c>
    </row>
    <row r="1308">
      <c r="O1308" s="1" t="str">
        <f>IFERROR(__xludf.DUMMYFUNCTION("""COMPUTED_VALUE"""),"2025 Oct")</f>
        <v>2025 Oct</v>
      </c>
      <c r="P1308" s="1" t="str">
        <f>IFERROR(__xludf.DUMMYFUNCTION("""COMPUTED_VALUE"""),"Segment-specific Support")</f>
        <v>Segment-specific Support</v>
      </c>
      <c r="Q1308" s="1" t="str">
        <f>IFERROR(__xludf.DUMMYFUNCTION("""COMPUTED_VALUE"""),"lance@canva.com")</f>
        <v>lance@canva.com</v>
      </c>
      <c r="R1308" s="1" t="str">
        <f>IFERROR(__xludf.DUMMYFUNCTION("""COMPUTED_VALUE"""),"Lance Reyes")</f>
        <v>Lance Reyes</v>
      </c>
      <c r="S1308" s="1"/>
      <c r="T1308" s="1">
        <f>IFERROR(__xludf.DUMMYFUNCTION("""COMPUTED_VALUE"""),6.58)</f>
        <v>6.58</v>
      </c>
      <c r="U1308" s="2">
        <f>IFERROR(__xludf.DUMMYFUNCTION("""COMPUTED_VALUE"""),6.58)</f>
        <v>6.58</v>
      </c>
      <c r="V1308" s="1" t="str">
        <f>IFERROR(__xludf.DUMMYFUNCTION("""COMPUTED_VALUE"""),"Gucci Nava")</f>
        <v>Gucci Nava</v>
      </c>
      <c r="W1308" s="1" t="str">
        <f>IFERROR(__xludf.DUMMYFUNCTION("""COMPUTED_VALUE"""),"Affinity Support")</f>
        <v>Affinity Support</v>
      </c>
    </row>
    <row r="1309">
      <c r="O1309" s="1" t="str">
        <f>IFERROR(__xludf.DUMMYFUNCTION("""COMPUTED_VALUE"""),"2025 Oct")</f>
        <v>2025 Oct</v>
      </c>
      <c r="P1309" s="1" t="str">
        <f>IFERROR(__xludf.DUMMYFUNCTION("""COMPUTED_VALUE"""),"Admin Support")</f>
        <v>Admin Support</v>
      </c>
      <c r="Q1309" s="1" t="str">
        <f>IFERROR(__xludf.DUMMYFUNCTION("""COMPUTED_VALUE"""),"le@canva.com")</f>
        <v>le@canva.com</v>
      </c>
      <c r="R1309" s="1" t="str">
        <f>IFERROR(__xludf.DUMMYFUNCTION("""COMPUTED_VALUE"""),"Lean Cruda")</f>
        <v>Lean Cruda</v>
      </c>
      <c r="S1309" s="1"/>
      <c r="T1309" s="1">
        <f>IFERROR(__xludf.DUMMYFUNCTION("""COMPUTED_VALUE"""),9.0)</f>
        <v>9</v>
      </c>
      <c r="U1309" s="2">
        <f>IFERROR(__xludf.DUMMYFUNCTION("""COMPUTED_VALUE"""),9.0)</f>
        <v>9</v>
      </c>
      <c r="V1309" s="1" t="str">
        <f>IFERROR(__xludf.DUMMYFUNCTION("""COMPUTED_VALUE"""),"Karla Mananghaya")</f>
        <v>Karla Mananghaya</v>
      </c>
      <c r="W1309" s="1" t="str">
        <f>IFERROR(__xludf.DUMMYFUNCTION("""COMPUTED_VALUE"""),"Admin Support Service Escalation Team")</f>
        <v>Admin Support Service Escalation Team</v>
      </c>
    </row>
    <row r="1310">
      <c r="O1310" s="1" t="str">
        <f>IFERROR(__xludf.DUMMYFUNCTION("""COMPUTED_VALUE"""),"2025 Oct")</f>
        <v>2025 Oct</v>
      </c>
      <c r="P1310" s="1" t="str">
        <f>IFERROR(__xludf.DUMMYFUNCTION("""COMPUTED_VALUE"""),"High Sensitivity Support")</f>
        <v>High Sensitivity Support</v>
      </c>
      <c r="Q1310" s="1" t="str">
        <f>IFERROR(__xludf.DUMMYFUNCTION("""COMPUTED_VALUE"""),"leanp@canva.com")</f>
        <v>leanp@canva.com</v>
      </c>
      <c r="R1310" s="1" t="str">
        <f>IFERROR(__xludf.DUMMYFUNCTION("""COMPUTED_VALUE"""),"Lean Reyes")</f>
        <v>Lean Reyes</v>
      </c>
      <c r="S1310" s="1"/>
      <c r="T1310" s="1">
        <f>IFERROR(__xludf.DUMMYFUNCTION("""COMPUTED_VALUE"""),1.77)</f>
        <v>1.77</v>
      </c>
      <c r="U1310" s="2">
        <f>IFERROR(__xludf.DUMMYFUNCTION("""COMPUTED_VALUE"""),1.77)</f>
        <v>1.77</v>
      </c>
      <c r="V1310" s="1" t="str">
        <f>IFERROR(__xludf.DUMMYFUNCTION("""COMPUTED_VALUE"""),"Issi Afable")</f>
        <v>Issi Afable</v>
      </c>
      <c r="W1310" s="1" t="str">
        <f>IFERROR(__xludf.DUMMYFUNCTION("""COMPUTED_VALUE"""),"High Sensitivity Support PH")</f>
        <v>High Sensitivity Support PH</v>
      </c>
    </row>
    <row r="1311">
      <c r="O1311" s="1" t="str">
        <f>IFERROR(__xludf.DUMMYFUNCTION("""COMPUTED_VALUE"""),"2025 Oct")</f>
        <v>2025 Oct</v>
      </c>
      <c r="P1311" s="1" t="str">
        <f>IFERROR(__xludf.DUMMYFUNCTION("""COMPUTED_VALUE"""),"Print Support")</f>
        <v>Print Support</v>
      </c>
      <c r="Q1311" s="1" t="str">
        <f>IFERROR(__xludf.DUMMYFUNCTION("""COMPUTED_VALUE"""),"larce@canva.com")</f>
        <v>larce@canva.com</v>
      </c>
      <c r="R1311" s="1" t="str">
        <f>IFERROR(__xludf.DUMMYFUNCTION("""COMPUTED_VALUE"""),"Lee Arce")</f>
        <v>Lee Arce</v>
      </c>
      <c r="S1311" s="1">
        <f>IFERROR(__xludf.DUMMYFUNCTION("""COMPUTED_VALUE"""),2.0)</f>
        <v>2</v>
      </c>
      <c r="T1311" s="1">
        <f>IFERROR(__xludf.DUMMYFUNCTION("""COMPUTED_VALUE"""),3.42)</f>
        <v>3.42</v>
      </c>
      <c r="U1311" s="2">
        <f>IFERROR(__xludf.DUMMYFUNCTION("""COMPUTED_VALUE"""),5.42)</f>
        <v>5.42</v>
      </c>
      <c r="V1311" s="1" t="str">
        <f>IFERROR(__xludf.DUMMYFUNCTION("""COMPUTED_VALUE"""),"Althea Mercado")</f>
        <v>Althea Mercado</v>
      </c>
      <c r="W1311" s="1" t="str">
        <f>IFERROR(__xludf.DUMMYFUNCTION("""COMPUTED_VALUE"""),"Print Support PH")</f>
        <v>Print Support PH</v>
      </c>
    </row>
    <row r="1312">
      <c r="O1312" s="1" t="str">
        <f>IFERROR(__xludf.DUMMYFUNCTION("""COMPUTED_VALUE"""),"2025 Oct")</f>
        <v>2025 Oct</v>
      </c>
      <c r="P1312" s="1" t="str">
        <f>IFERROR(__xludf.DUMMYFUNCTION("""COMPUTED_VALUE"""),"Core Product Support")</f>
        <v>Core Product Support</v>
      </c>
      <c r="Q1312" s="1" t="str">
        <f>IFERROR(__xludf.DUMMYFUNCTION("""COMPUTED_VALUE"""),"leilanie@canva.com")</f>
        <v>leilanie@canva.com</v>
      </c>
      <c r="R1312" s="1" t="str">
        <f>IFERROR(__xludf.DUMMYFUNCTION("""COMPUTED_VALUE"""),"Lei Gratuito")</f>
        <v>Lei Gratuito</v>
      </c>
      <c r="S1312" s="1">
        <f>IFERROR(__xludf.DUMMYFUNCTION("""COMPUTED_VALUE"""),0.5)</f>
        <v>0.5</v>
      </c>
      <c r="T1312" s="1">
        <f>IFERROR(__xludf.DUMMYFUNCTION("""COMPUTED_VALUE"""),9.0)</f>
        <v>9</v>
      </c>
      <c r="U1312" s="2">
        <f>IFERROR(__xludf.DUMMYFUNCTION("""COMPUTED_VALUE"""),9.5)</f>
        <v>9.5</v>
      </c>
      <c r="V1312" s="1" t="str">
        <f>IFERROR(__xludf.DUMMYFUNCTION("""COMPUTED_VALUE"""),"Renette Bok")</f>
        <v>Renette Bok</v>
      </c>
      <c r="W1312" s="1" t="str">
        <f>IFERROR(__xludf.DUMMYFUNCTION("""COMPUTED_VALUE"""),"Advanced Billing &amp; Subscriptions")</f>
        <v>Advanced Billing &amp; Subscriptions</v>
      </c>
    </row>
    <row r="1313">
      <c r="O1313" s="1" t="str">
        <f>IFERROR(__xludf.DUMMYFUNCTION("""COMPUTED_VALUE"""),"2025 Oct")</f>
        <v>2025 Oct</v>
      </c>
      <c r="P1313" s="1" t="str">
        <f>IFERROR(__xludf.DUMMYFUNCTION("""COMPUTED_VALUE"""),"#N/A")</f>
        <v>#N/A</v>
      </c>
      <c r="Q1313" s="1" t="str">
        <f>IFERROR(__xludf.DUMMYFUNCTION("""COMPUTED_VALUE"""),"lafernandez@canva.com")</f>
        <v>lafernandez@canva.com</v>
      </c>
      <c r="R1313" s="1" t="str">
        <f>IFERROR(__xludf.DUMMYFUNCTION("""COMPUTED_VALUE"""),"Lel Fernandez")</f>
        <v>Lel Fernandez</v>
      </c>
      <c r="S1313" s="1">
        <f>IFERROR(__xludf.DUMMYFUNCTION("""COMPUTED_VALUE"""),8.0)</f>
        <v>8</v>
      </c>
      <c r="T1313" s="1"/>
      <c r="U1313" s="2">
        <f>IFERROR(__xludf.DUMMYFUNCTION("""COMPUTED_VALUE"""),8.0)</f>
        <v>8</v>
      </c>
      <c r="V1313" s="1" t="str">
        <f>IFERROR(__xludf.DUMMYFUNCTION("""COMPUTED_VALUE"""),"#N/A")</f>
        <v>#N/A</v>
      </c>
      <c r="W1313" s="1" t="str">
        <f>IFERROR(__xludf.DUMMYFUNCTION("""COMPUTED_VALUE"""),"#N/A")</f>
        <v>#N/A</v>
      </c>
    </row>
    <row r="1314">
      <c r="O1314" s="1" t="str">
        <f>IFERROR(__xludf.DUMMYFUNCTION("""COMPUTED_VALUE"""),"2025 Oct")</f>
        <v>2025 Oct</v>
      </c>
      <c r="P1314" s="1" t="str">
        <f>IFERROR(__xludf.DUMMYFUNCTION("""COMPUTED_VALUE"""),"Core Product Support")</f>
        <v>Core Product Support</v>
      </c>
      <c r="Q1314" s="1" t="str">
        <f>IFERROR(__xludf.DUMMYFUNCTION("""COMPUTED_VALUE"""),"leonard@canva.com")</f>
        <v>leonard@canva.com</v>
      </c>
      <c r="R1314" s="1" t="str">
        <f>IFERROR(__xludf.DUMMYFUNCTION("""COMPUTED_VALUE"""),"Leonard Baguio")</f>
        <v>Leonard Baguio</v>
      </c>
      <c r="S1314" s="1"/>
      <c r="T1314" s="1">
        <f>IFERROR(__xludf.DUMMYFUNCTION("""COMPUTED_VALUE"""),22.0)</f>
        <v>22</v>
      </c>
      <c r="U1314" s="2">
        <f>IFERROR(__xludf.DUMMYFUNCTION("""COMPUTED_VALUE"""),22.0)</f>
        <v>22</v>
      </c>
      <c r="V1314" s="1" t="str">
        <f>IFERROR(__xludf.DUMMYFUNCTION("""COMPUTED_VALUE"""),"Jelyn Elmido")</f>
        <v>Jelyn Elmido</v>
      </c>
      <c r="W1314" s="1" t="str">
        <f>IFERROR(__xludf.DUMMYFUNCTION("""COMPUTED_VALUE"""),"Core Product Support Escalation Team")</f>
        <v>Core Product Support Escalation Team</v>
      </c>
    </row>
    <row r="1315">
      <c r="O1315" s="1" t="str">
        <f>IFERROR(__xludf.DUMMYFUNCTION("""COMPUTED_VALUE"""),"2025 Oct")</f>
        <v>2025 Oct</v>
      </c>
      <c r="P1315" s="1" t="str">
        <f>IFERROR(__xludf.DUMMYFUNCTION("""COMPUTED_VALUE"""),"Print Support")</f>
        <v>Print Support</v>
      </c>
      <c r="Q1315" s="1" t="str">
        <f>IFERROR(__xludf.DUMMYFUNCTION("""COMPUTED_VALUE"""),"anneharriet@canva.com")</f>
        <v>anneharriet@canva.com</v>
      </c>
      <c r="R1315" s="1" t="str">
        <f>IFERROR(__xludf.DUMMYFUNCTION("""COMPUTED_VALUE"""),"Leslie Anne Gilua")</f>
        <v>Leslie Anne Gilua</v>
      </c>
      <c r="S1315" s="1">
        <f>IFERROR(__xludf.DUMMYFUNCTION("""COMPUTED_VALUE"""),2.0)</f>
        <v>2</v>
      </c>
      <c r="T1315" s="1">
        <f>IFERROR(__xludf.DUMMYFUNCTION("""COMPUTED_VALUE"""),3.5)</f>
        <v>3.5</v>
      </c>
      <c r="U1315" s="2">
        <f>IFERROR(__xludf.DUMMYFUNCTION("""COMPUTED_VALUE"""),5.5)</f>
        <v>5.5</v>
      </c>
      <c r="V1315" s="1" t="str">
        <f>IFERROR(__xludf.DUMMYFUNCTION("""COMPUTED_VALUE"""),"Louise Dianne Estrella")</f>
        <v>Louise Dianne Estrella</v>
      </c>
      <c r="W1315" s="1" t="str">
        <f>IFERROR(__xludf.DUMMYFUNCTION("""COMPUTED_VALUE"""),"Print Support PH")</f>
        <v>Print Support PH</v>
      </c>
    </row>
    <row r="1316">
      <c r="O1316" s="1" t="str">
        <f>IFERROR(__xludf.DUMMYFUNCTION("""COMPUTED_VALUE"""),"2025 Oct")</f>
        <v>2025 Oct</v>
      </c>
      <c r="P1316" s="1" t="str">
        <f>IFERROR(__xludf.DUMMYFUNCTION("""COMPUTED_VALUE"""),"Core Product Support")</f>
        <v>Core Product Support</v>
      </c>
      <c r="Q1316" s="1" t="str">
        <f>IFERROR(__xludf.DUMMYFUNCTION("""COMPUTED_VALUE"""),"lewisjarvin@canva.com")</f>
        <v>lewisjarvin@canva.com</v>
      </c>
      <c r="R1316" s="1" t="str">
        <f>IFERROR(__xludf.DUMMYFUNCTION("""COMPUTED_VALUE"""),"Lewis Ramirez")</f>
        <v>Lewis Ramirez</v>
      </c>
      <c r="S1316" s="1"/>
      <c r="T1316" s="1">
        <f>IFERROR(__xludf.DUMMYFUNCTION("""COMPUTED_VALUE"""),7.0)</f>
        <v>7</v>
      </c>
      <c r="U1316" s="2">
        <f>IFERROR(__xludf.DUMMYFUNCTION("""COMPUTED_VALUE"""),7.0)</f>
        <v>7</v>
      </c>
      <c r="V1316" s="1" t="str">
        <f>IFERROR(__xludf.DUMMYFUNCTION("""COMPUTED_VALUE"""),"Mikhaela Decangchon")</f>
        <v>Mikhaela Decangchon</v>
      </c>
      <c r="W1316" s="1" t="str">
        <f>IFERROR(__xludf.DUMMYFUNCTION("""COMPUTED_VALUE"""),"Advanced Product Support")</f>
        <v>Advanced Product Support</v>
      </c>
    </row>
    <row r="1317">
      <c r="O1317" s="1" t="str">
        <f>IFERROR(__xludf.DUMMYFUNCTION("""COMPUTED_VALUE"""),"2025 Oct")</f>
        <v>2025 Oct</v>
      </c>
      <c r="P1317" s="1" t="str">
        <f>IFERROR(__xludf.DUMMYFUNCTION("""COMPUTED_VALUE"""),"Segment-specific Support")</f>
        <v>Segment-specific Support</v>
      </c>
      <c r="Q1317" s="1" t="str">
        <f>IFERROR(__xludf.DUMMYFUNCTION("""COMPUTED_VALUE"""),"liabaclay@canva.com")</f>
        <v>liabaclay@canva.com</v>
      </c>
      <c r="R1317" s="1" t="str">
        <f>IFERROR(__xludf.DUMMYFUNCTION("""COMPUTED_VALUE"""),"Lia Baclay")</f>
        <v>Lia Baclay</v>
      </c>
      <c r="S1317" s="1">
        <f>IFERROR(__xludf.DUMMYFUNCTION("""COMPUTED_VALUE"""),1.5)</f>
        <v>1.5</v>
      </c>
      <c r="T1317" s="1">
        <f>IFERROR(__xludf.DUMMYFUNCTION("""COMPUTED_VALUE"""),2.0)</f>
        <v>2</v>
      </c>
      <c r="U1317" s="2">
        <f>IFERROR(__xludf.DUMMYFUNCTION("""COMPUTED_VALUE"""),3.5)</f>
        <v>3.5</v>
      </c>
      <c r="V1317" s="1" t="str">
        <f>IFERROR(__xludf.DUMMYFUNCTION("""COMPUTED_VALUE"""),"Rose Gabilan")</f>
        <v>Rose Gabilan</v>
      </c>
      <c r="W1317" s="1" t="str">
        <f>IFERROR(__xludf.DUMMYFUNCTION("""COMPUTED_VALUE"""),"Affinity Support")</f>
        <v>Affinity Support</v>
      </c>
    </row>
    <row r="1318">
      <c r="O1318" s="1" t="str">
        <f>IFERROR(__xludf.DUMMYFUNCTION("""COMPUTED_VALUE"""),"2025 Oct")</f>
        <v>2025 Oct</v>
      </c>
      <c r="P1318" s="1" t="str">
        <f>IFERROR(__xludf.DUMMYFUNCTION("""COMPUTED_VALUE"""),"Segment-specific Support")</f>
        <v>Segment-specific Support</v>
      </c>
      <c r="Q1318" s="1" t="str">
        <f>IFERROR(__xludf.DUMMYFUNCTION("""COMPUTED_VALUE"""),"liberty@canva.com")</f>
        <v>liberty@canva.com</v>
      </c>
      <c r="R1318" s="1" t="str">
        <f>IFERROR(__xludf.DUMMYFUNCTION("""COMPUTED_VALUE"""),"Liberty Casala")</f>
        <v>Liberty Casala</v>
      </c>
      <c r="S1318" s="1">
        <f>IFERROR(__xludf.DUMMYFUNCTION("""COMPUTED_VALUE"""),0.92)</f>
        <v>0.92</v>
      </c>
      <c r="T1318" s="1">
        <f>IFERROR(__xludf.DUMMYFUNCTION("""COMPUTED_VALUE"""),3.25)</f>
        <v>3.25</v>
      </c>
      <c r="U1318" s="2">
        <f>IFERROR(__xludf.DUMMYFUNCTION("""COMPUTED_VALUE"""),4.17)</f>
        <v>4.17</v>
      </c>
      <c r="V1318" s="1" t="str">
        <f>IFERROR(__xludf.DUMMYFUNCTION("""COMPUTED_VALUE"""),"Gucci Nava")</f>
        <v>Gucci Nava</v>
      </c>
      <c r="W1318" s="1" t="str">
        <f>IFERROR(__xludf.DUMMYFUNCTION("""COMPUTED_VALUE"""),"Print Support PH")</f>
        <v>Print Support PH</v>
      </c>
    </row>
    <row r="1319">
      <c r="O1319" s="1" t="str">
        <f>IFERROR(__xludf.DUMMYFUNCTION("""COMPUTED_VALUE"""),"2025 Oct")</f>
        <v>2025 Oct</v>
      </c>
      <c r="P1319" s="1" t="str">
        <f>IFERROR(__xludf.DUMMYFUNCTION("""COMPUTED_VALUE"""),"Print Support")</f>
        <v>Print Support</v>
      </c>
      <c r="Q1319" s="1" t="str">
        <f>IFERROR(__xludf.DUMMYFUNCTION("""COMPUTED_VALUE"""),"loise@canva.com")</f>
        <v>loise@canva.com</v>
      </c>
      <c r="R1319" s="1" t="str">
        <f>IFERROR(__xludf.DUMMYFUNCTION("""COMPUTED_VALUE"""),"Loise Dela Cruz")</f>
        <v>Loise Dela Cruz</v>
      </c>
      <c r="S1319" s="1">
        <f>IFERROR(__xludf.DUMMYFUNCTION("""COMPUTED_VALUE"""),2.0)</f>
        <v>2</v>
      </c>
      <c r="T1319" s="1">
        <f>IFERROR(__xludf.DUMMYFUNCTION("""COMPUTED_VALUE"""),2.75)</f>
        <v>2.75</v>
      </c>
      <c r="U1319" s="2">
        <f>IFERROR(__xludf.DUMMYFUNCTION("""COMPUTED_VALUE"""),4.75)</f>
        <v>4.75</v>
      </c>
      <c r="V1319" s="1" t="str">
        <f>IFERROR(__xludf.DUMMYFUNCTION("""COMPUTED_VALUE"""),"Aliza Dote")</f>
        <v>Aliza Dote</v>
      </c>
      <c r="W1319" s="1" t="str">
        <f>IFERROR(__xludf.DUMMYFUNCTION("""COMPUTED_VALUE"""),"Print Design Support")</f>
        <v>Print Design Support</v>
      </c>
    </row>
    <row r="1320">
      <c r="O1320" s="1" t="str">
        <f>IFERROR(__xludf.DUMMYFUNCTION("""COMPUTED_VALUE"""),"2025 Oct")</f>
        <v>2025 Oct</v>
      </c>
      <c r="P1320" s="1" t="str">
        <f>IFERROR(__xludf.DUMMYFUNCTION("""COMPUTED_VALUE"""),"Core Product Support")</f>
        <v>Core Product Support</v>
      </c>
      <c r="Q1320" s="1" t="str">
        <f>IFERROR(__xludf.DUMMYFUNCTION("""COMPUTED_VALUE"""),"loudv@canva.com")</f>
        <v>loudv@canva.com</v>
      </c>
      <c r="R1320" s="1" t="str">
        <f>IFERROR(__xludf.DUMMYFUNCTION("""COMPUTED_VALUE"""),"Louieline Dela Vega")</f>
        <v>Louieline Dela Vega</v>
      </c>
      <c r="S1320" s="1">
        <f>IFERROR(__xludf.DUMMYFUNCTION("""COMPUTED_VALUE"""),1.75)</f>
        <v>1.75</v>
      </c>
      <c r="T1320" s="1">
        <f>IFERROR(__xludf.DUMMYFUNCTION("""COMPUTED_VALUE"""),5.67)</f>
        <v>5.67</v>
      </c>
      <c r="U1320" s="2">
        <f>IFERROR(__xludf.DUMMYFUNCTION("""COMPUTED_VALUE"""),7.42)</f>
        <v>7.42</v>
      </c>
      <c r="V1320" s="1" t="str">
        <f>IFERROR(__xludf.DUMMYFUNCTION("""COMPUTED_VALUE"""),"Jahmie Mae Barrameda")</f>
        <v>Jahmie Mae Barrameda</v>
      </c>
      <c r="W1320" s="1" t="str">
        <f>IFERROR(__xludf.DUMMYFUNCTION("""COMPUTED_VALUE"""),"Advanced Billing &amp; Subscriptions")</f>
        <v>Advanced Billing &amp; Subscriptions</v>
      </c>
    </row>
    <row r="1321">
      <c r="O1321" s="1" t="str">
        <f>IFERROR(__xludf.DUMMYFUNCTION("""COMPUTED_VALUE"""),"2025 Oct")</f>
        <v>2025 Oct</v>
      </c>
      <c r="P1321" s="1" t="str">
        <f>IFERROR(__xludf.DUMMYFUNCTION("""COMPUTED_VALUE"""),"Core Product Support")</f>
        <v>Core Product Support</v>
      </c>
      <c r="Q1321" s="1" t="str">
        <f>IFERROR(__xludf.DUMMYFUNCTION("""COMPUTED_VALUE"""),"lovejoyce@canva.com")</f>
        <v>lovejoyce@canva.com</v>
      </c>
      <c r="R1321" s="1" t="str">
        <f>IFERROR(__xludf.DUMMYFUNCTION("""COMPUTED_VALUE"""),"Love Joyce Pasagui")</f>
        <v>Love Joyce Pasagui</v>
      </c>
      <c r="S1321" s="1">
        <f>IFERROR(__xludf.DUMMYFUNCTION("""COMPUTED_VALUE"""),0.67)</f>
        <v>0.67</v>
      </c>
      <c r="T1321" s="1">
        <f>IFERROR(__xludf.DUMMYFUNCTION("""COMPUTED_VALUE"""),16.83)</f>
        <v>16.83</v>
      </c>
      <c r="U1321" s="2">
        <f>IFERROR(__xludf.DUMMYFUNCTION("""COMPUTED_VALUE"""),17.5)</f>
        <v>17.5</v>
      </c>
      <c r="V1321" s="1" t="str">
        <f>IFERROR(__xludf.DUMMYFUNCTION("""COMPUTED_VALUE"""),"Jelyn Elmido")</f>
        <v>Jelyn Elmido</v>
      </c>
      <c r="W1321" s="1" t="str">
        <f>IFERROR(__xludf.DUMMYFUNCTION("""COMPUTED_VALUE"""),"Core Product Support Escalation Team")</f>
        <v>Core Product Support Escalation Team</v>
      </c>
    </row>
    <row r="1322">
      <c r="O1322" s="1" t="str">
        <f>IFERROR(__xludf.DUMMYFUNCTION("""COMPUTED_VALUE"""),"2025 Oct")</f>
        <v>2025 Oct</v>
      </c>
      <c r="P1322" s="1" t="str">
        <f>IFERROR(__xludf.DUMMYFUNCTION("""COMPUTED_VALUE"""),"Print Support")</f>
        <v>Print Support</v>
      </c>
      <c r="Q1322" s="1" t="str">
        <f>IFERROR(__xludf.DUMMYFUNCTION("""COMPUTED_VALUE"""),"rlsalomia@canva.com")</f>
        <v>rlsalomia@canva.com</v>
      </c>
      <c r="R1322" s="1" t="str">
        <f>IFERROR(__xludf.DUMMYFUNCTION("""COMPUTED_VALUE"""),"Luis Salomia")</f>
        <v>Luis Salomia</v>
      </c>
      <c r="S1322" s="1">
        <f>IFERROR(__xludf.DUMMYFUNCTION("""COMPUTED_VALUE"""),1.42)</f>
        <v>1.42</v>
      </c>
      <c r="T1322" s="1">
        <f>IFERROR(__xludf.DUMMYFUNCTION("""COMPUTED_VALUE"""),3.5)</f>
        <v>3.5</v>
      </c>
      <c r="U1322" s="2">
        <f>IFERROR(__xludf.DUMMYFUNCTION("""COMPUTED_VALUE"""),4.92)</f>
        <v>4.92</v>
      </c>
      <c r="V1322" s="1" t="str">
        <f>IFERROR(__xludf.DUMMYFUNCTION("""COMPUTED_VALUE"""),"Louise Dianne Estrella")</f>
        <v>Louise Dianne Estrella</v>
      </c>
      <c r="W1322" s="1" t="str">
        <f>IFERROR(__xludf.DUMMYFUNCTION("""COMPUTED_VALUE"""),"Print Support PH")</f>
        <v>Print Support PH</v>
      </c>
    </row>
    <row r="1323">
      <c r="O1323" s="1" t="str">
        <f>IFERROR(__xludf.DUMMYFUNCTION("""COMPUTED_VALUE"""),"2025 Oct")</f>
        <v>2025 Oct</v>
      </c>
      <c r="P1323" s="1" t="str">
        <f>IFERROR(__xludf.DUMMYFUNCTION("""COMPUTED_VALUE"""),"#N/A")</f>
        <v>#N/A</v>
      </c>
      <c r="Q1323" s="1" t="str">
        <f>IFERROR(__xludf.DUMMYFUNCTION("""COMPUTED_VALUE"""),"luiza@canva.com")</f>
        <v>luiza@canva.com</v>
      </c>
      <c r="R1323" s="1" t="str">
        <f>IFERROR(__xludf.DUMMYFUNCTION("""COMPUTED_VALUE"""),"Luiza Abalos (on Maternity Leave)")</f>
        <v>Luiza Abalos (on Maternity Leave)</v>
      </c>
      <c r="S1323" s="1">
        <f>IFERROR(__xludf.DUMMYFUNCTION("""COMPUTED_VALUE"""),1.0)</f>
        <v>1</v>
      </c>
      <c r="T1323" s="1">
        <f>IFERROR(__xludf.DUMMYFUNCTION("""COMPUTED_VALUE"""),2.75)</f>
        <v>2.75</v>
      </c>
      <c r="U1323" s="2">
        <f>IFERROR(__xludf.DUMMYFUNCTION("""COMPUTED_VALUE"""),3.75)</f>
        <v>3.75</v>
      </c>
      <c r="V1323" s="1" t="str">
        <f>IFERROR(__xludf.DUMMYFUNCTION("""COMPUTED_VALUE"""),"#N/A")</f>
        <v>#N/A</v>
      </c>
      <c r="W1323" s="1" t="str">
        <f>IFERROR(__xludf.DUMMYFUNCTION("""COMPUTED_VALUE"""),"#N/A")</f>
        <v>#N/A</v>
      </c>
    </row>
    <row r="1324">
      <c r="O1324" s="1" t="str">
        <f>IFERROR(__xludf.DUMMYFUNCTION("""COMPUTED_VALUE"""),"2025 Oct")</f>
        <v>2025 Oct</v>
      </c>
      <c r="P1324" s="1" t="str">
        <f>IFERROR(__xludf.DUMMYFUNCTION("""COMPUTED_VALUE"""),"Admin Support")</f>
        <v>Admin Support</v>
      </c>
      <c r="Q1324" s="1" t="str">
        <f>IFERROR(__xludf.DUMMYFUNCTION("""COMPUTED_VALUE"""),"lyzdr@canva.com")</f>
        <v>lyzdr@canva.com</v>
      </c>
      <c r="R1324" s="1" t="str">
        <f>IFERROR(__xludf.DUMMYFUNCTION("""COMPUTED_VALUE"""),"Lyzza Del Rosario")</f>
        <v>Lyzza Del Rosario</v>
      </c>
      <c r="S1324" s="1">
        <f>IFERROR(__xludf.DUMMYFUNCTION("""COMPUTED_VALUE"""),0.5)</f>
        <v>0.5</v>
      </c>
      <c r="T1324" s="1">
        <f>IFERROR(__xludf.DUMMYFUNCTION("""COMPUTED_VALUE"""),35.42)</f>
        <v>35.42</v>
      </c>
      <c r="U1324" s="2">
        <f>IFERROR(__xludf.DUMMYFUNCTION("""COMPUTED_VALUE"""),35.92)</f>
        <v>35.92</v>
      </c>
      <c r="V1324" s="1" t="str">
        <f>IFERROR(__xludf.DUMMYFUNCTION("""COMPUTED_VALUE"""),"Ann Dumlao")</f>
        <v>Ann Dumlao</v>
      </c>
      <c r="W1324" s="1" t="str">
        <f>IFERROR(__xludf.DUMMYFUNCTION("""COMPUTED_VALUE"""),"Admin Omni Support")</f>
        <v>Admin Omni Support</v>
      </c>
    </row>
    <row r="1325">
      <c r="O1325" s="1" t="str">
        <f>IFERROR(__xludf.DUMMYFUNCTION("""COMPUTED_VALUE"""),"2025 Oct")</f>
        <v>2025 Oct</v>
      </c>
      <c r="P1325" s="1" t="str">
        <f>IFERROR(__xludf.DUMMYFUNCTION("""COMPUTED_VALUE"""),"Admin Support")</f>
        <v>Admin Support</v>
      </c>
      <c r="Q1325" s="1" t="str">
        <f>IFERROR(__xludf.DUMMYFUNCTION("""COMPUTED_VALUE"""),"mac@canva.com")</f>
        <v>mac@canva.com</v>
      </c>
      <c r="R1325" s="1" t="str">
        <f>IFERROR(__xludf.DUMMYFUNCTION("""COMPUTED_VALUE"""),"Mac Mendoza")</f>
        <v>Mac Mendoza</v>
      </c>
      <c r="S1325" s="1"/>
      <c r="T1325" s="1">
        <f>IFERROR(__xludf.DUMMYFUNCTION("""COMPUTED_VALUE"""),10.0)</f>
        <v>10</v>
      </c>
      <c r="U1325" s="2">
        <f>IFERROR(__xludf.DUMMYFUNCTION("""COMPUTED_VALUE"""),10.0)</f>
        <v>10</v>
      </c>
      <c r="V1325" s="1" t="str">
        <f>IFERROR(__xludf.DUMMYFUNCTION("""COMPUTED_VALUE"""),"Ann Dumlao")</f>
        <v>Ann Dumlao</v>
      </c>
      <c r="W1325" s="1" t="str">
        <f>IFERROR(__xludf.DUMMYFUNCTION("""COMPUTED_VALUE"""),"Admin Omni Support")</f>
        <v>Admin Omni Support</v>
      </c>
    </row>
    <row r="1326">
      <c r="O1326" s="1" t="str">
        <f>IFERROR(__xludf.DUMMYFUNCTION("""COMPUTED_VALUE"""),"2025 Oct")</f>
        <v>2025 Oct</v>
      </c>
      <c r="P1326" s="1" t="str">
        <f>IFERROR(__xludf.DUMMYFUNCTION("""COMPUTED_VALUE"""),"High Sensitivity Support")</f>
        <v>High Sensitivity Support</v>
      </c>
      <c r="Q1326" s="1" t="str">
        <f>IFERROR(__xludf.DUMMYFUNCTION("""COMPUTED_VALUE"""),"macie@canva.com")</f>
        <v>macie@canva.com</v>
      </c>
      <c r="R1326" s="1" t="str">
        <f>IFERROR(__xludf.DUMMYFUNCTION("""COMPUTED_VALUE"""),"Macie del Mundo")</f>
        <v>Macie del Mundo</v>
      </c>
      <c r="S1326" s="1">
        <f>IFERROR(__xludf.DUMMYFUNCTION("""COMPUTED_VALUE"""),9.0)</f>
        <v>9</v>
      </c>
      <c r="T1326" s="1">
        <f>IFERROR(__xludf.DUMMYFUNCTION("""COMPUTED_VALUE"""),4.0)</f>
        <v>4</v>
      </c>
      <c r="U1326" s="2">
        <f>IFERROR(__xludf.DUMMYFUNCTION("""COMPUTED_VALUE"""),13.0)</f>
        <v>13</v>
      </c>
      <c r="V1326" s="1" t="str">
        <f>IFERROR(__xludf.DUMMYFUNCTION("""COMPUTED_VALUE"""),"Rossheen Pura")</f>
        <v>Rossheen Pura</v>
      </c>
      <c r="W1326" s="1" t="str">
        <f>IFERROR(__xludf.DUMMYFUNCTION("""COMPUTED_VALUE"""),"High Sensitivity Support PH")</f>
        <v>High Sensitivity Support PH</v>
      </c>
    </row>
    <row r="1327">
      <c r="O1327" s="1" t="str">
        <f>IFERROR(__xludf.DUMMYFUNCTION("""COMPUTED_VALUE"""),"2025 Oct")</f>
        <v>2025 Oct</v>
      </c>
      <c r="P1327" s="1" t="str">
        <f>IFERROR(__xludf.DUMMYFUNCTION("""COMPUTED_VALUE"""),"Core Product Support")</f>
        <v>Core Product Support</v>
      </c>
      <c r="Q1327" s="1" t="str">
        <f>IFERROR(__xludf.DUMMYFUNCTION("""COMPUTED_VALUE"""),"mackievitacion@canva.com")</f>
        <v>mackievitacion@canva.com</v>
      </c>
      <c r="R1327" s="1" t="str">
        <f>IFERROR(__xludf.DUMMYFUNCTION("""COMPUTED_VALUE"""),"Mackie Vitacion")</f>
        <v>Mackie Vitacion</v>
      </c>
      <c r="S1327" s="1">
        <f>IFERROR(__xludf.DUMMYFUNCTION("""COMPUTED_VALUE"""),1.0)</f>
        <v>1</v>
      </c>
      <c r="T1327" s="1">
        <f>IFERROR(__xludf.DUMMYFUNCTION("""COMPUTED_VALUE"""),7.0)</f>
        <v>7</v>
      </c>
      <c r="U1327" s="2">
        <f>IFERROR(__xludf.DUMMYFUNCTION("""COMPUTED_VALUE"""),8.0)</f>
        <v>8</v>
      </c>
      <c r="V1327" s="1" t="str">
        <f>IFERROR(__xludf.DUMMYFUNCTION("""COMPUTED_VALUE"""),"Vinz Lazaro")</f>
        <v>Vinz Lazaro</v>
      </c>
      <c r="W1327" s="1" t="str">
        <f>IFERROR(__xludf.DUMMYFUNCTION("""COMPUTED_VALUE"""),"Advanced Product Support")</f>
        <v>Advanced Product Support</v>
      </c>
    </row>
    <row r="1328">
      <c r="O1328" s="1" t="str">
        <f>IFERROR(__xludf.DUMMYFUNCTION("""COMPUTED_VALUE"""),"2025 Oct")</f>
        <v>2025 Oct</v>
      </c>
      <c r="P1328" s="1" t="str">
        <f>IFERROR(__xludf.DUMMYFUNCTION("""COMPUTED_VALUE"""),"High Sensitivity Support")</f>
        <v>High Sensitivity Support</v>
      </c>
      <c r="Q1328" s="1" t="str">
        <f>IFERROR(__xludf.DUMMYFUNCTION("""COMPUTED_VALUE"""),"mariav@canva.com")</f>
        <v>mariav@canva.com</v>
      </c>
      <c r="R1328" s="1" t="str">
        <f>IFERROR(__xludf.DUMMYFUNCTION("""COMPUTED_VALUE"""),"Maria Vergara")</f>
        <v>Maria Vergara</v>
      </c>
      <c r="S1328" s="1">
        <f>IFERROR(__xludf.DUMMYFUNCTION("""COMPUTED_VALUE"""),12.0)</f>
        <v>12</v>
      </c>
      <c r="T1328" s="1">
        <f>IFERROR(__xludf.DUMMYFUNCTION("""COMPUTED_VALUE"""),2.0)</f>
        <v>2</v>
      </c>
      <c r="U1328" s="2">
        <f>IFERROR(__xludf.DUMMYFUNCTION("""COMPUTED_VALUE"""),14.0)</f>
        <v>14</v>
      </c>
      <c r="V1328" s="1" t="str">
        <f>IFERROR(__xludf.DUMMYFUNCTION("""COMPUTED_VALUE"""),"Xandy Azarcon")</f>
        <v>Xandy Azarcon</v>
      </c>
      <c r="W1328" s="1" t="str">
        <f>IFERROR(__xludf.DUMMYFUNCTION("""COMPUTED_VALUE"""),"High Sensitivity Support PH")</f>
        <v>High Sensitivity Support PH</v>
      </c>
    </row>
    <row r="1329">
      <c r="O1329" s="1" t="str">
        <f>IFERROR(__xludf.DUMMYFUNCTION("""COMPUTED_VALUE"""),"2025 Oct")</f>
        <v>2025 Oct</v>
      </c>
      <c r="P1329" s="1" t="str">
        <f>IFERROR(__xludf.DUMMYFUNCTION("""COMPUTED_VALUE"""),"Core Product Support")</f>
        <v>Core Product Support</v>
      </c>
      <c r="Q1329" s="1" t="str">
        <f>IFERROR(__xludf.DUMMYFUNCTION("""COMPUTED_VALUE"""),"mariz@canva.com")</f>
        <v>mariz@canva.com</v>
      </c>
      <c r="R1329" s="1" t="str">
        <f>IFERROR(__xludf.DUMMYFUNCTION("""COMPUTED_VALUE"""),"Mariz Gain")</f>
        <v>Mariz Gain</v>
      </c>
      <c r="S1329" s="1">
        <f>IFERROR(__xludf.DUMMYFUNCTION("""COMPUTED_VALUE"""),0.5)</f>
        <v>0.5</v>
      </c>
      <c r="T1329" s="1">
        <f>IFERROR(__xludf.DUMMYFUNCTION("""COMPUTED_VALUE"""),5.0)</f>
        <v>5</v>
      </c>
      <c r="U1329" s="2">
        <f>IFERROR(__xludf.DUMMYFUNCTION("""COMPUTED_VALUE"""),5.5)</f>
        <v>5.5</v>
      </c>
      <c r="V1329" s="1" t="str">
        <f>IFERROR(__xludf.DUMMYFUNCTION("""COMPUTED_VALUE"""),"Ana Lazaro")</f>
        <v>Ana Lazaro</v>
      </c>
      <c r="W1329" s="1" t="str">
        <f>IFERROR(__xludf.DUMMYFUNCTION("""COMPUTED_VALUE"""),"Advanced Billing &amp; Subscriptions")</f>
        <v>Advanced Billing &amp; Subscriptions</v>
      </c>
    </row>
    <row r="1330">
      <c r="O1330" s="1" t="str">
        <f>IFERROR(__xludf.DUMMYFUNCTION("""COMPUTED_VALUE"""),"2025 Oct")</f>
        <v>2025 Oct</v>
      </c>
      <c r="P1330" s="1" t="str">
        <f>IFERROR(__xludf.DUMMYFUNCTION("""COMPUTED_VALUE"""),"Print Support")</f>
        <v>Print Support</v>
      </c>
      <c r="Q1330" s="1" t="str">
        <f>IFERROR(__xludf.DUMMYFUNCTION("""COMPUTED_VALUE"""),"mpalermo@canva.com")</f>
        <v>mpalermo@canva.com</v>
      </c>
      <c r="R1330" s="1" t="str">
        <f>IFERROR(__xludf.DUMMYFUNCTION("""COMPUTED_VALUE"""),"Marjorie Tsao")</f>
        <v>Marjorie Tsao</v>
      </c>
      <c r="S1330" s="1"/>
      <c r="T1330" s="1">
        <f>IFERROR(__xludf.DUMMYFUNCTION("""COMPUTED_VALUE"""),4.08)</f>
        <v>4.08</v>
      </c>
      <c r="U1330" s="2">
        <f>IFERROR(__xludf.DUMMYFUNCTION("""COMPUTED_VALUE"""),4.08)</f>
        <v>4.08</v>
      </c>
      <c r="V1330" s="1" t="str">
        <f>IFERROR(__xludf.DUMMYFUNCTION("""COMPUTED_VALUE"""),"Louise Dianne Estrella")</f>
        <v>Louise Dianne Estrella</v>
      </c>
      <c r="W1330" s="1" t="str">
        <f>IFERROR(__xludf.DUMMYFUNCTION("""COMPUTED_VALUE"""),"Print Support PH")</f>
        <v>Print Support PH</v>
      </c>
    </row>
    <row r="1331">
      <c r="O1331" s="1" t="str">
        <f>IFERROR(__xludf.DUMMYFUNCTION("""COMPUTED_VALUE"""),"2025 Oct")</f>
        <v>2025 Oct</v>
      </c>
      <c r="P1331" s="1" t="str">
        <f>IFERROR(__xludf.DUMMYFUNCTION("""COMPUTED_VALUE"""),"Core Product Support")</f>
        <v>Core Product Support</v>
      </c>
      <c r="Q1331" s="1" t="str">
        <f>IFERROR(__xludf.DUMMYFUNCTION("""COMPUTED_VALUE"""),"martyl@canva.com")</f>
        <v>martyl@canva.com</v>
      </c>
      <c r="R1331" s="1" t="str">
        <f>IFERROR(__xludf.DUMMYFUNCTION("""COMPUTED_VALUE"""),"Marty Lozada")</f>
        <v>Marty Lozada</v>
      </c>
      <c r="S1331" s="1"/>
      <c r="T1331" s="1">
        <f>IFERROR(__xludf.DUMMYFUNCTION("""COMPUTED_VALUE"""),4.92)</f>
        <v>4.92</v>
      </c>
      <c r="U1331" s="2">
        <f>IFERROR(__xludf.DUMMYFUNCTION("""COMPUTED_VALUE"""),4.92)</f>
        <v>4.92</v>
      </c>
      <c r="V1331" s="1" t="str">
        <f>IFERROR(__xludf.DUMMYFUNCTION("""COMPUTED_VALUE"""),"Vinz Lazaro")</f>
        <v>Vinz Lazaro</v>
      </c>
      <c r="W1331" s="1" t="str">
        <f>IFERROR(__xludf.DUMMYFUNCTION("""COMPUTED_VALUE"""),"Advanced Product Support")</f>
        <v>Advanced Product Support</v>
      </c>
    </row>
    <row r="1332">
      <c r="O1332" s="1" t="str">
        <f>IFERROR(__xludf.DUMMYFUNCTION("""COMPUTED_VALUE"""),"2025 Oct")</f>
        <v>2025 Oct</v>
      </c>
      <c r="P1332" s="1" t="str">
        <f>IFERROR(__xludf.DUMMYFUNCTION("""COMPUTED_VALUE"""),"High Sensitivity Support")</f>
        <v>High Sensitivity Support</v>
      </c>
      <c r="Q1332" s="1" t="str">
        <f>IFERROR(__xludf.DUMMYFUNCTION("""COMPUTED_VALUE"""),"mayann@canva.com")</f>
        <v>mayann@canva.com</v>
      </c>
      <c r="R1332" s="1" t="str">
        <f>IFERROR(__xludf.DUMMYFUNCTION("""COMPUTED_VALUE"""),"May Ann Caguioa")</f>
        <v>May Ann Caguioa</v>
      </c>
      <c r="S1332" s="1">
        <f>IFERROR(__xludf.DUMMYFUNCTION("""COMPUTED_VALUE"""),11.0)</f>
        <v>11</v>
      </c>
      <c r="T1332" s="1">
        <f>IFERROR(__xludf.DUMMYFUNCTION("""COMPUTED_VALUE"""),4.0)</f>
        <v>4</v>
      </c>
      <c r="U1332" s="2">
        <f>IFERROR(__xludf.DUMMYFUNCTION("""COMPUTED_VALUE"""),15.0)</f>
        <v>15</v>
      </c>
      <c r="V1332" s="1" t="str">
        <f>IFERROR(__xludf.DUMMYFUNCTION("""COMPUTED_VALUE"""),"Rossheen Pura")</f>
        <v>Rossheen Pura</v>
      </c>
      <c r="W1332" s="1" t="str">
        <f>IFERROR(__xludf.DUMMYFUNCTION("""COMPUTED_VALUE"""),"High Sensitivity Support PH")</f>
        <v>High Sensitivity Support PH</v>
      </c>
    </row>
    <row r="1333">
      <c r="O1333" s="1" t="str">
        <f>IFERROR(__xludf.DUMMYFUNCTION("""COMPUTED_VALUE"""),"2025 Oct")</f>
        <v>2025 Oct</v>
      </c>
      <c r="P1333" s="1" t="str">
        <f>IFERROR(__xludf.DUMMYFUNCTION("""COMPUTED_VALUE"""),"Core Product Support")</f>
        <v>Core Product Support</v>
      </c>
      <c r="Q1333" s="1" t="str">
        <f>IFERROR(__xludf.DUMMYFUNCTION("""COMPUTED_VALUE"""),"mccoyc@canva.com")</f>
        <v>mccoyc@canva.com</v>
      </c>
      <c r="R1333" s="1" t="str">
        <f>IFERROR(__xludf.DUMMYFUNCTION("""COMPUTED_VALUE"""),"McCoy Cacanindin")</f>
        <v>McCoy Cacanindin</v>
      </c>
      <c r="S1333" s="1"/>
      <c r="T1333" s="1">
        <f>IFERROR(__xludf.DUMMYFUNCTION("""COMPUTED_VALUE"""),7.0)</f>
        <v>7</v>
      </c>
      <c r="U1333" s="2">
        <f>IFERROR(__xludf.DUMMYFUNCTION("""COMPUTED_VALUE"""),7.0)</f>
        <v>7</v>
      </c>
      <c r="V1333" s="1" t="str">
        <f>IFERROR(__xludf.DUMMYFUNCTION("""COMPUTED_VALUE"""),"Vinz Lazaro")</f>
        <v>Vinz Lazaro</v>
      </c>
      <c r="W1333" s="1" t="str">
        <f>IFERROR(__xludf.DUMMYFUNCTION("""COMPUTED_VALUE"""),"Advanced Product Support")</f>
        <v>Advanced Product Support</v>
      </c>
    </row>
    <row r="1334">
      <c r="O1334" s="1" t="str">
        <f>IFERROR(__xludf.DUMMYFUNCTION("""COMPUTED_VALUE"""),"2025 Oct")</f>
        <v>2025 Oct</v>
      </c>
      <c r="P1334" s="1" t="str">
        <f>IFERROR(__xludf.DUMMYFUNCTION("""COMPUTED_VALUE"""),"High Sensitivity Support")</f>
        <v>High Sensitivity Support</v>
      </c>
      <c r="Q1334" s="1" t="str">
        <f>IFERROR(__xludf.DUMMYFUNCTION("""COMPUTED_VALUE"""),"mlabio@canva.com")</f>
        <v>mlabio@canva.com</v>
      </c>
      <c r="R1334" s="1" t="str">
        <f>IFERROR(__xludf.DUMMYFUNCTION("""COMPUTED_VALUE"""),"Melanie Labio")</f>
        <v>Melanie Labio</v>
      </c>
      <c r="S1334" s="1">
        <f>IFERROR(__xludf.DUMMYFUNCTION("""COMPUTED_VALUE"""),13.0)</f>
        <v>13</v>
      </c>
      <c r="T1334" s="1">
        <f>IFERROR(__xludf.DUMMYFUNCTION("""COMPUTED_VALUE"""),3.0)</f>
        <v>3</v>
      </c>
      <c r="U1334" s="2">
        <f>IFERROR(__xludf.DUMMYFUNCTION("""COMPUTED_VALUE"""),16.0)</f>
        <v>16</v>
      </c>
      <c r="V1334" s="1" t="str">
        <f>IFERROR(__xludf.DUMMYFUNCTION("""COMPUTED_VALUE"""),"Xandy Azarcon")</f>
        <v>Xandy Azarcon</v>
      </c>
      <c r="W1334" s="1" t="str">
        <f>IFERROR(__xludf.DUMMYFUNCTION("""COMPUTED_VALUE"""),"High Sensitivity Support PH")</f>
        <v>High Sensitivity Support PH</v>
      </c>
    </row>
    <row r="1335">
      <c r="O1335" s="1" t="str">
        <f>IFERROR(__xludf.DUMMYFUNCTION("""COMPUTED_VALUE"""),"2025 Oct")</f>
        <v>2025 Oct</v>
      </c>
      <c r="P1335" s="1" t="str">
        <f>IFERROR(__xludf.DUMMYFUNCTION("""COMPUTED_VALUE"""),"Admin Support")</f>
        <v>Admin Support</v>
      </c>
      <c r="Q1335" s="1" t="str">
        <f>IFERROR(__xludf.DUMMYFUNCTION("""COMPUTED_VALUE"""),"mmicah@canva.com")</f>
        <v>mmicah@canva.com</v>
      </c>
      <c r="R1335" s="1" t="str">
        <f>IFERROR(__xludf.DUMMYFUNCTION("""COMPUTED_VALUE"""),"Micah Geneviv Marcos")</f>
        <v>Micah Geneviv Marcos</v>
      </c>
      <c r="S1335" s="1"/>
      <c r="T1335" s="1">
        <f>IFERROR(__xludf.DUMMYFUNCTION("""COMPUTED_VALUE"""),4.0)</f>
        <v>4</v>
      </c>
      <c r="U1335" s="2">
        <f>IFERROR(__xludf.DUMMYFUNCTION("""COMPUTED_VALUE"""),4.0)</f>
        <v>4</v>
      </c>
      <c r="V1335" s="1" t="str">
        <f>IFERROR(__xludf.DUMMYFUNCTION("""COMPUTED_VALUE"""),"Karla Mananghaya")</f>
        <v>Karla Mananghaya</v>
      </c>
      <c r="W1335" s="1" t="str">
        <f>IFERROR(__xludf.DUMMYFUNCTION("""COMPUTED_VALUE"""),"Admin Support Service Escalation Team")</f>
        <v>Admin Support Service Escalation Team</v>
      </c>
    </row>
    <row r="1336">
      <c r="O1336" s="1" t="str">
        <f>IFERROR(__xludf.DUMMYFUNCTION("""COMPUTED_VALUE"""),"2025 Oct")</f>
        <v>2025 Oct</v>
      </c>
      <c r="P1336" s="1" t="str">
        <f>IFERROR(__xludf.DUMMYFUNCTION("""COMPUTED_VALUE"""),"Core Product Support")</f>
        <v>Core Product Support</v>
      </c>
      <c r="Q1336" s="1" t="str">
        <f>IFERROR(__xludf.DUMMYFUNCTION("""COMPUTED_VALUE"""),"nas@canva.com")</f>
        <v>nas@canva.com</v>
      </c>
      <c r="R1336" s="1" t="str">
        <f>IFERROR(__xludf.DUMMYFUNCTION("""COMPUTED_VALUE"""),"Miggy De Vibar")</f>
        <v>Miggy De Vibar</v>
      </c>
      <c r="S1336" s="1"/>
      <c r="T1336" s="1">
        <f>IFERROR(__xludf.DUMMYFUNCTION("""COMPUTED_VALUE"""),6.83)</f>
        <v>6.83</v>
      </c>
      <c r="U1336" s="2">
        <f>IFERROR(__xludf.DUMMYFUNCTION("""COMPUTED_VALUE"""),6.83)</f>
        <v>6.83</v>
      </c>
      <c r="V1336" s="1" t="str">
        <f>IFERROR(__xludf.DUMMYFUNCTION("""COMPUTED_VALUE"""),"Belle Bentazal")</f>
        <v>Belle Bentazal</v>
      </c>
      <c r="W1336" s="1" t="str">
        <f>IFERROR(__xludf.DUMMYFUNCTION("""COMPUTED_VALUE"""),"Advanced Product Support")</f>
        <v>Advanced Product Support</v>
      </c>
    </row>
    <row r="1337">
      <c r="O1337" s="1" t="str">
        <f>IFERROR(__xludf.DUMMYFUNCTION("""COMPUTED_VALUE"""),"2025 Oct")</f>
        <v>2025 Oct</v>
      </c>
      <c r="P1337" s="1" t="str">
        <f>IFERROR(__xludf.DUMMYFUNCTION("""COMPUTED_VALUE"""),"Core Product Support")</f>
        <v>Core Product Support</v>
      </c>
      <c r="Q1337" s="1" t="str">
        <f>IFERROR(__xludf.DUMMYFUNCTION("""COMPUTED_VALUE"""),"mika@canva.com")</f>
        <v>mika@canva.com</v>
      </c>
      <c r="R1337" s="1" t="str">
        <f>IFERROR(__xludf.DUMMYFUNCTION("""COMPUTED_VALUE"""),"Mika Magpantay")</f>
        <v>Mika Magpantay</v>
      </c>
      <c r="S1337" s="1"/>
      <c r="T1337" s="1">
        <f>IFERROR(__xludf.DUMMYFUNCTION("""COMPUTED_VALUE"""),45.22)</f>
        <v>45.22</v>
      </c>
      <c r="U1337" s="2">
        <f>IFERROR(__xludf.DUMMYFUNCTION("""COMPUTED_VALUE"""),45.22)</f>
        <v>45.22</v>
      </c>
      <c r="V1337" s="1" t="str">
        <f>IFERROR(__xludf.DUMMYFUNCTION("""COMPUTED_VALUE"""),"Jem Mondoñedo")</f>
        <v>Jem Mondoñedo</v>
      </c>
      <c r="W1337" s="1" t="str">
        <f>IFERROR(__xludf.DUMMYFUNCTION("""COMPUTED_VALUE"""),"Advanced Billing &amp; Subscriptions")</f>
        <v>Advanced Billing &amp; Subscriptions</v>
      </c>
    </row>
    <row r="1338">
      <c r="O1338" s="1" t="str">
        <f>IFERROR(__xludf.DUMMYFUNCTION("""COMPUTED_VALUE"""),"2025 Oct")</f>
        <v>2025 Oct</v>
      </c>
      <c r="P1338" s="1" t="str">
        <f>IFERROR(__xludf.DUMMYFUNCTION("""COMPUTED_VALUE"""),"Core Product Support")</f>
        <v>Core Product Support</v>
      </c>
      <c r="Q1338" s="1" t="str">
        <f>IFERROR(__xludf.DUMMYFUNCTION("""COMPUTED_VALUE"""),"mirielle@canva.com")</f>
        <v>mirielle@canva.com</v>
      </c>
      <c r="R1338" s="1" t="str">
        <f>IFERROR(__xludf.DUMMYFUNCTION("""COMPUTED_VALUE"""),"Mirielle Frances de Lara")</f>
        <v>Mirielle Frances de Lara</v>
      </c>
      <c r="S1338" s="1"/>
      <c r="T1338" s="1">
        <f>IFERROR(__xludf.DUMMYFUNCTION("""COMPUTED_VALUE"""),14.25)</f>
        <v>14.25</v>
      </c>
      <c r="U1338" s="2">
        <f>IFERROR(__xludf.DUMMYFUNCTION("""COMPUTED_VALUE"""),14.25)</f>
        <v>14.25</v>
      </c>
      <c r="V1338" s="1" t="str">
        <f>IFERROR(__xludf.DUMMYFUNCTION("""COMPUTED_VALUE"""),"Belle Bentazal")</f>
        <v>Belle Bentazal</v>
      </c>
      <c r="W1338" s="1" t="str">
        <f>IFERROR(__xludf.DUMMYFUNCTION("""COMPUTED_VALUE"""),"Advanced Product Support")</f>
        <v>Advanced Product Support</v>
      </c>
    </row>
    <row r="1339">
      <c r="O1339" s="1" t="str">
        <f>IFERROR(__xludf.DUMMYFUNCTION("""COMPUTED_VALUE"""),"2025 Oct")</f>
        <v>2025 Oct</v>
      </c>
      <c r="P1339" s="1" t="str">
        <f>IFERROR(__xludf.DUMMYFUNCTION("""COMPUTED_VALUE"""),"Admin Support")</f>
        <v>Admin Support</v>
      </c>
      <c r="Q1339" s="1" t="str">
        <f>IFERROR(__xludf.DUMMYFUNCTION("""COMPUTED_VALUE"""),"mjb@canva.com")</f>
        <v>mjb@canva.com</v>
      </c>
      <c r="R1339" s="1" t="str">
        <f>IFERROR(__xludf.DUMMYFUNCTION("""COMPUTED_VALUE"""),"MJ Billon")</f>
        <v>MJ Billon</v>
      </c>
      <c r="S1339" s="1">
        <f>IFERROR(__xludf.DUMMYFUNCTION("""COMPUTED_VALUE"""),2.0)</f>
        <v>2</v>
      </c>
      <c r="T1339" s="1">
        <f>IFERROR(__xludf.DUMMYFUNCTION("""COMPUTED_VALUE"""),24.5)</f>
        <v>24.5</v>
      </c>
      <c r="U1339" s="2">
        <f>IFERROR(__xludf.DUMMYFUNCTION("""COMPUTED_VALUE"""),26.5)</f>
        <v>26.5</v>
      </c>
      <c r="V1339" s="1" t="str">
        <f>IFERROR(__xludf.DUMMYFUNCTION("""COMPUTED_VALUE"""),"Ann Dumlao")</f>
        <v>Ann Dumlao</v>
      </c>
      <c r="W1339" s="1" t="str">
        <f>IFERROR(__xludf.DUMMYFUNCTION("""COMPUTED_VALUE"""),"Admin Omni Support")</f>
        <v>Admin Omni Support</v>
      </c>
    </row>
    <row r="1340">
      <c r="O1340" s="1" t="str">
        <f>IFERROR(__xludf.DUMMYFUNCTION("""COMPUTED_VALUE"""),"2025 Oct")</f>
        <v>2025 Oct</v>
      </c>
      <c r="P1340" s="1" t="str">
        <f>IFERROR(__xludf.DUMMYFUNCTION("""COMPUTED_VALUE"""),"Segment-specific Support")</f>
        <v>Segment-specific Support</v>
      </c>
      <c r="Q1340" s="1" t="str">
        <f>IFERROR(__xludf.DUMMYFUNCTION("""COMPUTED_VALUE"""),"molli@canva.com")</f>
        <v>molli@canva.com</v>
      </c>
      <c r="R1340" s="1" t="str">
        <f>IFERROR(__xludf.DUMMYFUNCTION("""COMPUTED_VALUE"""),"MJ Sol")</f>
        <v>MJ Sol</v>
      </c>
      <c r="S1340" s="1"/>
      <c r="T1340" s="1">
        <f>IFERROR(__xludf.DUMMYFUNCTION("""COMPUTED_VALUE"""),1.5)</f>
        <v>1.5</v>
      </c>
      <c r="U1340" s="2">
        <f>IFERROR(__xludf.DUMMYFUNCTION("""COMPUTED_VALUE"""),1.5)</f>
        <v>1.5</v>
      </c>
      <c r="V1340" s="1" t="str">
        <f>IFERROR(__xludf.DUMMYFUNCTION("""COMPUTED_VALUE"""),"Aileen Dayanghirang")</f>
        <v>Aileen Dayanghirang</v>
      </c>
      <c r="W1340" s="1" t="str">
        <f>IFERROR(__xludf.DUMMYFUNCTION("""COMPUTED_VALUE"""),"Creators Support")</f>
        <v>Creators Support</v>
      </c>
    </row>
    <row r="1341">
      <c r="O1341" s="1" t="str">
        <f>IFERROR(__xludf.DUMMYFUNCTION("""COMPUTED_VALUE"""),"2025 Oct")</f>
        <v>2025 Oct</v>
      </c>
      <c r="P1341" s="1" t="str">
        <f>IFERROR(__xludf.DUMMYFUNCTION("""COMPUTED_VALUE"""),"Core Product Support")</f>
        <v>Core Product Support</v>
      </c>
      <c r="Q1341" s="1" t="str">
        <f>IFERROR(__xludf.DUMMYFUNCTION("""COMPUTED_VALUE"""),"raymondc@canva.com")</f>
        <v>raymondc@canva.com</v>
      </c>
      <c r="R1341" s="1" t="str">
        <f>IFERROR(__xludf.DUMMYFUNCTION("""COMPUTED_VALUE"""),"Mond Catimbang")</f>
        <v>Mond Catimbang</v>
      </c>
      <c r="S1341" s="1">
        <f>IFERROR(__xludf.DUMMYFUNCTION("""COMPUTED_VALUE"""),0.5)</f>
        <v>0.5</v>
      </c>
      <c r="T1341" s="1">
        <f>IFERROR(__xludf.DUMMYFUNCTION("""COMPUTED_VALUE"""),46.07)</f>
        <v>46.07</v>
      </c>
      <c r="U1341" s="2">
        <f>IFERROR(__xludf.DUMMYFUNCTION("""COMPUTED_VALUE"""),46.57)</f>
        <v>46.57</v>
      </c>
      <c r="V1341" s="1" t="str">
        <f>IFERROR(__xludf.DUMMYFUNCTION("""COMPUTED_VALUE"""),"Jem Mondoñedo")</f>
        <v>Jem Mondoñedo</v>
      </c>
      <c r="W1341" s="1" t="str">
        <f>IFERROR(__xludf.DUMMYFUNCTION("""COMPUTED_VALUE"""),"Advanced Billing &amp; Subscriptions")</f>
        <v>Advanced Billing &amp; Subscriptions</v>
      </c>
    </row>
    <row r="1342">
      <c r="O1342" s="1" t="str">
        <f>IFERROR(__xludf.DUMMYFUNCTION("""COMPUTED_VALUE"""),"2025 Oct")</f>
        <v>2025 Oct</v>
      </c>
      <c r="P1342" s="1" t="str">
        <f>IFERROR(__xludf.DUMMYFUNCTION("""COMPUTED_VALUE"""),"Print Support")</f>
        <v>Print Support</v>
      </c>
      <c r="Q1342" s="1" t="str">
        <f>IFERROR(__xludf.DUMMYFUNCTION("""COMPUTED_VALUE"""),"natedc@canva.com")</f>
        <v>natedc@canva.com</v>
      </c>
      <c r="R1342" s="1" t="str">
        <f>IFERROR(__xludf.DUMMYFUNCTION("""COMPUTED_VALUE"""),"Nate De la Cruz")</f>
        <v>Nate De la Cruz</v>
      </c>
      <c r="S1342" s="1"/>
      <c r="T1342" s="1">
        <f>IFERROR(__xludf.DUMMYFUNCTION("""COMPUTED_VALUE"""),2.75)</f>
        <v>2.75</v>
      </c>
      <c r="U1342" s="2">
        <f>IFERROR(__xludf.DUMMYFUNCTION("""COMPUTED_VALUE"""),2.75)</f>
        <v>2.75</v>
      </c>
      <c r="V1342" s="1" t="str">
        <f>IFERROR(__xludf.DUMMYFUNCTION("""COMPUTED_VALUE"""),"Gem Agoncillo")</f>
        <v>Gem Agoncillo</v>
      </c>
      <c r="W1342" s="1" t="str">
        <f>IFERROR(__xludf.DUMMYFUNCTION("""COMPUTED_VALUE"""),"Print Design Support")</f>
        <v>Print Design Support</v>
      </c>
    </row>
    <row r="1343">
      <c r="O1343" s="1" t="str">
        <f>IFERROR(__xludf.DUMMYFUNCTION("""COMPUTED_VALUE"""),"2025 Oct")</f>
        <v>2025 Oct</v>
      </c>
      <c r="P1343" s="1" t="str">
        <f>IFERROR(__xludf.DUMMYFUNCTION("""COMPUTED_VALUE"""),"Admin Support")</f>
        <v>Admin Support</v>
      </c>
      <c r="Q1343" s="1" t="str">
        <f>IFERROR(__xludf.DUMMYFUNCTION("""COMPUTED_VALUE"""),"nsahagun@canva.com")</f>
        <v>nsahagun@canva.com</v>
      </c>
      <c r="R1343" s="1" t="str">
        <f>IFERROR(__xludf.DUMMYFUNCTION("""COMPUTED_VALUE"""),"Nathalie Sahagun")</f>
        <v>Nathalie Sahagun</v>
      </c>
      <c r="S1343" s="1">
        <f>IFERROR(__xludf.DUMMYFUNCTION("""COMPUTED_VALUE"""),1.0)</f>
        <v>1</v>
      </c>
      <c r="T1343" s="1">
        <f>IFERROR(__xludf.DUMMYFUNCTION("""COMPUTED_VALUE"""),5.0)</f>
        <v>5</v>
      </c>
      <c r="U1343" s="2">
        <f>IFERROR(__xludf.DUMMYFUNCTION("""COMPUTED_VALUE"""),6.0)</f>
        <v>6</v>
      </c>
      <c r="V1343" s="1" t="str">
        <f>IFERROR(__xludf.DUMMYFUNCTION("""COMPUTED_VALUE"""),"Nate Vela")</f>
        <v>Nate Vela</v>
      </c>
      <c r="W1343" s="1" t="str">
        <f>IFERROR(__xludf.DUMMYFUNCTION("""COMPUTED_VALUE"""),"Admin Support NA")</f>
        <v>Admin Support NA</v>
      </c>
    </row>
    <row r="1344">
      <c r="O1344" s="1" t="str">
        <f>IFERROR(__xludf.DUMMYFUNCTION("""COMPUTED_VALUE"""),"2025 Oct")</f>
        <v>2025 Oct</v>
      </c>
      <c r="P1344" s="1" t="str">
        <f>IFERROR(__xludf.DUMMYFUNCTION("""COMPUTED_VALUE"""),"#N/A")</f>
        <v>#N/A</v>
      </c>
      <c r="Q1344" s="1" t="str">
        <f>IFERROR(__xludf.DUMMYFUNCTION("""COMPUTED_VALUE"""),"naquiatan@canva.com")</f>
        <v>naquiatan@canva.com</v>
      </c>
      <c r="R1344" s="1" t="str">
        <f>IFERROR(__xludf.DUMMYFUNCTION("""COMPUTED_VALUE"""),"Nathaniel Aquiatan")</f>
        <v>Nathaniel Aquiatan</v>
      </c>
      <c r="S1344" s="1">
        <f>IFERROR(__xludf.DUMMYFUNCTION("""COMPUTED_VALUE"""),12.05)</f>
        <v>12.05</v>
      </c>
      <c r="T1344" s="1">
        <f>IFERROR(__xludf.DUMMYFUNCTION("""COMPUTED_VALUE"""),4.25)</f>
        <v>4.25</v>
      </c>
      <c r="U1344" s="2">
        <f>IFERROR(__xludf.DUMMYFUNCTION("""COMPUTED_VALUE"""),16.3)</f>
        <v>16.3</v>
      </c>
      <c r="V1344" s="1" t="str">
        <f>IFERROR(__xludf.DUMMYFUNCTION("""COMPUTED_VALUE"""),"#N/A")</f>
        <v>#N/A</v>
      </c>
      <c r="W1344" s="1" t="str">
        <f>IFERROR(__xludf.DUMMYFUNCTION("""COMPUTED_VALUE"""),"#N/A")</f>
        <v>#N/A</v>
      </c>
    </row>
    <row r="1345">
      <c r="O1345" s="1" t="str">
        <f>IFERROR(__xludf.DUMMYFUNCTION("""COMPUTED_VALUE"""),"2025 Oct")</f>
        <v>2025 Oct</v>
      </c>
      <c r="P1345" s="1" t="str">
        <f>IFERROR(__xludf.DUMMYFUNCTION("""COMPUTED_VALUE"""),"Core Product Support")</f>
        <v>Core Product Support</v>
      </c>
      <c r="Q1345" s="1" t="str">
        <f>IFERROR(__xludf.DUMMYFUNCTION("""COMPUTED_VALUE"""),"neeki@canva.com")</f>
        <v>neeki@canva.com</v>
      </c>
      <c r="R1345" s="1" t="str">
        <f>IFERROR(__xludf.DUMMYFUNCTION("""COMPUTED_VALUE"""),"Neeki Asido")</f>
        <v>Neeki Asido</v>
      </c>
      <c r="S1345" s="1">
        <f>IFERROR(__xludf.DUMMYFUNCTION("""COMPUTED_VALUE"""),0.5)</f>
        <v>0.5</v>
      </c>
      <c r="T1345" s="1">
        <f>IFERROR(__xludf.DUMMYFUNCTION("""COMPUTED_VALUE"""),24.25)</f>
        <v>24.25</v>
      </c>
      <c r="U1345" s="2">
        <f>IFERROR(__xludf.DUMMYFUNCTION("""COMPUTED_VALUE"""),24.75)</f>
        <v>24.75</v>
      </c>
      <c r="V1345" s="1" t="str">
        <f>IFERROR(__xludf.DUMMYFUNCTION("""COMPUTED_VALUE"""),"Jelyn Elmido")</f>
        <v>Jelyn Elmido</v>
      </c>
      <c r="W1345" s="1" t="str">
        <f>IFERROR(__xludf.DUMMYFUNCTION("""COMPUTED_VALUE"""),"Core Product Support Escalation Team")</f>
        <v>Core Product Support Escalation Team</v>
      </c>
    </row>
    <row r="1346">
      <c r="O1346" s="1" t="str">
        <f>IFERROR(__xludf.DUMMYFUNCTION("""COMPUTED_VALUE"""),"2025 Oct")</f>
        <v>2025 Oct</v>
      </c>
      <c r="P1346" s="1" t="str">
        <f>IFERROR(__xludf.DUMMYFUNCTION("""COMPUTED_VALUE"""),"Core Product Support")</f>
        <v>Core Product Support</v>
      </c>
      <c r="Q1346" s="1" t="str">
        <f>IFERROR(__xludf.DUMMYFUNCTION("""COMPUTED_VALUE"""),"nicholeb@canva.com")</f>
        <v>nicholeb@canva.com</v>
      </c>
      <c r="R1346" s="1" t="str">
        <f>IFERROR(__xludf.DUMMYFUNCTION("""COMPUTED_VALUE"""),"Nichole Braceliño")</f>
        <v>Nichole Braceliño</v>
      </c>
      <c r="S1346" s="1">
        <f>IFERROR(__xludf.DUMMYFUNCTION("""COMPUTED_VALUE"""),0.5)</f>
        <v>0.5</v>
      </c>
      <c r="T1346" s="1">
        <f>IFERROR(__xludf.DUMMYFUNCTION("""COMPUTED_VALUE"""),6.25)</f>
        <v>6.25</v>
      </c>
      <c r="U1346" s="2">
        <f>IFERROR(__xludf.DUMMYFUNCTION("""COMPUTED_VALUE"""),6.75)</f>
        <v>6.75</v>
      </c>
      <c r="V1346" s="1" t="str">
        <f>IFERROR(__xludf.DUMMYFUNCTION("""COMPUTED_VALUE"""),"Renette Bok")</f>
        <v>Renette Bok</v>
      </c>
      <c r="W1346" s="1" t="str">
        <f>IFERROR(__xludf.DUMMYFUNCTION("""COMPUTED_VALUE"""),"Advanced Billing &amp; Subscriptions")</f>
        <v>Advanced Billing &amp; Subscriptions</v>
      </c>
    </row>
    <row r="1347">
      <c r="O1347" s="1" t="str">
        <f>IFERROR(__xludf.DUMMYFUNCTION("""COMPUTED_VALUE"""),"2025 Oct")</f>
        <v>2025 Oct</v>
      </c>
      <c r="P1347" s="1" t="str">
        <f>IFERROR(__xludf.DUMMYFUNCTION("""COMPUTED_VALUE"""),"High Sensitivity Support")</f>
        <v>High Sensitivity Support</v>
      </c>
      <c r="Q1347" s="1" t="str">
        <f>IFERROR(__xludf.DUMMYFUNCTION("""COMPUTED_VALUE"""),"ncruz@canva.com")</f>
        <v>ncruz@canva.com</v>
      </c>
      <c r="R1347" s="1" t="str">
        <f>IFERROR(__xludf.DUMMYFUNCTION("""COMPUTED_VALUE"""),"Nikki Cruz")</f>
        <v>Nikki Cruz</v>
      </c>
      <c r="S1347" s="1"/>
      <c r="T1347" s="1">
        <f>IFERROR(__xludf.DUMMYFUNCTION("""COMPUTED_VALUE"""),1.58)</f>
        <v>1.58</v>
      </c>
      <c r="U1347" s="2">
        <f>IFERROR(__xludf.DUMMYFUNCTION("""COMPUTED_VALUE"""),1.58)</f>
        <v>1.58</v>
      </c>
      <c r="V1347" s="1" t="str">
        <f>IFERROR(__xludf.DUMMYFUNCTION("""COMPUTED_VALUE"""),"Issi Afable")</f>
        <v>Issi Afable</v>
      </c>
      <c r="W1347" s="1" t="str">
        <f>IFERROR(__xludf.DUMMYFUNCTION("""COMPUTED_VALUE"""),"High Sensitivity Support PH")</f>
        <v>High Sensitivity Support PH</v>
      </c>
    </row>
    <row r="1348">
      <c r="O1348" s="1" t="str">
        <f>IFERROR(__xludf.DUMMYFUNCTION("""COMPUTED_VALUE"""),"2025 Oct")</f>
        <v>2025 Oct</v>
      </c>
      <c r="P1348" s="1" t="str">
        <f>IFERROR(__xludf.DUMMYFUNCTION("""COMPUTED_VALUE"""),"Print Support")</f>
        <v>Print Support</v>
      </c>
      <c r="Q1348" s="1" t="str">
        <f>IFERROR(__xludf.DUMMYFUNCTION("""COMPUTED_VALUE"""),"nonoimboy@canva.com")</f>
        <v>nonoimboy@canva.com</v>
      </c>
      <c r="R1348" s="1" t="str">
        <f>IFERROR(__xludf.DUMMYFUNCTION("""COMPUTED_VALUE"""),"Noel Imboy")</f>
        <v>Noel Imboy</v>
      </c>
      <c r="S1348" s="1">
        <f>IFERROR(__xludf.DUMMYFUNCTION("""COMPUTED_VALUE"""),2.0)</f>
        <v>2</v>
      </c>
      <c r="T1348" s="1">
        <f>IFERROR(__xludf.DUMMYFUNCTION("""COMPUTED_VALUE"""),2.75)</f>
        <v>2.75</v>
      </c>
      <c r="U1348" s="2">
        <f>IFERROR(__xludf.DUMMYFUNCTION("""COMPUTED_VALUE"""),4.75)</f>
        <v>4.75</v>
      </c>
      <c r="V1348" s="1" t="str">
        <f>IFERROR(__xludf.DUMMYFUNCTION("""COMPUTED_VALUE"""),"Gem Agoncillo")</f>
        <v>Gem Agoncillo</v>
      </c>
      <c r="W1348" s="1" t="str">
        <f>IFERROR(__xludf.DUMMYFUNCTION("""COMPUTED_VALUE"""),"Print Design Support")</f>
        <v>Print Design Support</v>
      </c>
    </row>
    <row r="1349">
      <c r="O1349" s="1" t="str">
        <f>IFERROR(__xludf.DUMMYFUNCTION("""COMPUTED_VALUE"""),"2025 Oct")</f>
        <v>2025 Oct</v>
      </c>
      <c r="P1349" s="1" t="str">
        <f>IFERROR(__xludf.DUMMYFUNCTION("""COMPUTED_VALUE"""),"Segment-specific Support")</f>
        <v>Segment-specific Support</v>
      </c>
      <c r="Q1349" s="1" t="str">
        <f>IFERROR(__xludf.DUMMYFUNCTION("""COMPUTED_VALUE"""),"pao@canva.com")</f>
        <v>pao@canva.com</v>
      </c>
      <c r="R1349" s="1" t="str">
        <f>IFERROR(__xludf.DUMMYFUNCTION("""COMPUTED_VALUE"""),"Pao Domanais")</f>
        <v>Pao Domanais</v>
      </c>
      <c r="S1349" s="1">
        <f>IFERROR(__xludf.DUMMYFUNCTION("""COMPUTED_VALUE"""),0.63)</f>
        <v>0.63</v>
      </c>
      <c r="T1349" s="1">
        <f>IFERROR(__xludf.DUMMYFUNCTION("""COMPUTED_VALUE"""),3.5)</f>
        <v>3.5</v>
      </c>
      <c r="U1349" s="2">
        <f>IFERROR(__xludf.DUMMYFUNCTION("""COMPUTED_VALUE"""),4.13)</f>
        <v>4.13</v>
      </c>
      <c r="V1349" s="1" t="str">
        <f>IFERROR(__xludf.DUMMYFUNCTION("""COMPUTED_VALUE"""),"Rose Gabilan")</f>
        <v>Rose Gabilan</v>
      </c>
      <c r="W1349" s="1" t="str">
        <f>IFERROR(__xludf.DUMMYFUNCTION("""COMPUTED_VALUE"""),"Print Support PH")</f>
        <v>Print Support PH</v>
      </c>
    </row>
    <row r="1350">
      <c r="O1350" s="1" t="str">
        <f>IFERROR(__xludf.DUMMYFUNCTION("""COMPUTED_VALUE"""),"2025 Oct")</f>
        <v>2025 Oct</v>
      </c>
      <c r="P1350" s="1" t="str">
        <f>IFERROR(__xludf.DUMMYFUNCTION("""COMPUTED_VALUE"""),"Print Support")</f>
        <v>Print Support</v>
      </c>
      <c r="Q1350" s="1" t="str">
        <f>IFERROR(__xludf.DUMMYFUNCTION("""COMPUTED_VALUE"""),"paolonati@canva.com")</f>
        <v>paolonati@canva.com</v>
      </c>
      <c r="R1350" s="1" t="str">
        <f>IFERROR(__xludf.DUMMYFUNCTION("""COMPUTED_VALUE"""),"Paolo Natividad")</f>
        <v>Paolo Natividad</v>
      </c>
      <c r="S1350" s="1">
        <f>IFERROR(__xludf.DUMMYFUNCTION("""COMPUTED_VALUE"""),1.12)</f>
        <v>1.12</v>
      </c>
      <c r="T1350" s="1">
        <f>IFERROR(__xludf.DUMMYFUNCTION("""COMPUTED_VALUE"""),3.5)</f>
        <v>3.5</v>
      </c>
      <c r="U1350" s="2">
        <f>IFERROR(__xludf.DUMMYFUNCTION("""COMPUTED_VALUE"""),4.62)</f>
        <v>4.62</v>
      </c>
      <c r="V1350" s="1" t="str">
        <f>IFERROR(__xludf.DUMMYFUNCTION("""COMPUTED_VALUE"""),"Rei De Jesus")</f>
        <v>Rei De Jesus</v>
      </c>
      <c r="W1350" s="1" t="str">
        <f>IFERROR(__xludf.DUMMYFUNCTION("""COMPUTED_VALUE"""),"Print Design Support")</f>
        <v>Print Design Support</v>
      </c>
    </row>
    <row r="1351">
      <c r="O1351" s="1" t="str">
        <f>IFERROR(__xludf.DUMMYFUNCTION("""COMPUTED_VALUE"""),"2025 Oct")</f>
        <v>2025 Oct</v>
      </c>
      <c r="P1351" s="1" t="str">
        <f>IFERROR(__xludf.DUMMYFUNCTION("""COMPUTED_VALUE"""),"Core Product Support")</f>
        <v>Core Product Support</v>
      </c>
      <c r="Q1351" s="1" t="str">
        <f>IFERROR(__xludf.DUMMYFUNCTION("""COMPUTED_VALUE"""),"padelacruz@canva.com")</f>
        <v>padelacruz@canva.com</v>
      </c>
      <c r="R1351" s="1" t="str">
        <f>IFERROR(__xludf.DUMMYFUNCTION("""COMPUTED_VALUE"""),"Patrick Dela Cruz")</f>
        <v>Patrick Dela Cruz</v>
      </c>
      <c r="S1351" s="1"/>
      <c r="T1351" s="1">
        <f>IFERROR(__xludf.DUMMYFUNCTION("""COMPUTED_VALUE"""),8.0)</f>
        <v>8</v>
      </c>
      <c r="U1351" s="2">
        <f>IFERROR(__xludf.DUMMYFUNCTION("""COMPUTED_VALUE"""),8.0)</f>
        <v>8</v>
      </c>
      <c r="V1351" s="1" t="str">
        <f>IFERROR(__xludf.DUMMYFUNCTION("""COMPUTED_VALUE"""),"Cate Velasco")</f>
        <v>Cate Velasco</v>
      </c>
      <c r="W1351" s="1" t="str">
        <f>IFERROR(__xludf.DUMMYFUNCTION("""COMPUTED_VALUE"""),"Advanced Product Support")</f>
        <v>Advanced Product Support</v>
      </c>
    </row>
    <row r="1352">
      <c r="O1352" s="1" t="str">
        <f>IFERROR(__xludf.DUMMYFUNCTION("""COMPUTED_VALUE"""),"2025 Oct")</f>
        <v>2025 Oct</v>
      </c>
      <c r="P1352" s="1" t="str">
        <f>IFERROR(__xludf.DUMMYFUNCTION("""COMPUTED_VALUE"""),"#N/A")</f>
        <v>#N/A</v>
      </c>
      <c r="Q1352" s="1" t="str">
        <f>IFERROR(__xludf.DUMMYFUNCTION("""COMPUTED_VALUE"""),"patrickm@canva.com")</f>
        <v>patrickm@canva.com</v>
      </c>
      <c r="R1352" s="1" t="str">
        <f>IFERROR(__xludf.DUMMYFUNCTION("""COMPUTED_VALUE"""),"Patrick Mariano")</f>
        <v>Patrick Mariano</v>
      </c>
      <c r="S1352" s="1">
        <f>IFERROR(__xludf.DUMMYFUNCTION("""COMPUTED_VALUE"""),0.5)</f>
        <v>0.5</v>
      </c>
      <c r="T1352" s="1">
        <f>IFERROR(__xludf.DUMMYFUNCTION("""COMPUTED_VALUE"""),8.25)</f>
        <v>8.25</v>
      </c>
      <c r="U1352" s="2">
        <f>IFERROR(__xludf.DUMMYFUNCTION("""COMPUTED_VALUE"""),8.75)</f>
        <v>8.75</v>
      </c>
      <c r="V1352" s="1" t="str">
        <f>IFERROR(__xludf.DUMMYFUNCTION("""COMPUTED_VALUE"""),"#N/A")</f>
        <v>#N/A</v>
      </c>
      <c r="W1352" s="1" t="str">
        <f>IFERROR(__xludf.DUMMYFUNCTION("""COMPUTED_VALUE"""),"Advanced Billing &amp; Subscriptions")</f>
        <v>Advanced Billing &amp; Subscriptions</v>
      </c>
    </row>
    <row r="1353">
      <c r="O1353" s="1" t="str">
        <f>IFERROR(__xludf.DUMMYFUNCTION("""COMPUTED_VALUE"""),"2025 Oct")</f>
        <v>2025 Oct</v>
      </c>
      <c r="P1353" s="1" t="str">
        <f>IFERROR(__xludf.DUMMYFUNCTION("""COMPUTED_VALUE"""),"Core Product Support")</f>
        <v>Core Product Support</v>
      </c>
      <c r="Q1353" s="1" t="str">
        <f>IFERROR(__xludf.DUMMYFUNCTION("""COMPUTED_VALUE"""),"pathugo@canva.com")</f>
        <v>pathugo@canva.com</v>
      </c>
      <c r="R1353" s="1" t="str">
        <f>IFERROR(__xludf.DUMMYFUNCTION("""COMPUTED_VALUE"""),"Patriz Hugo")</f>
        <v>Patriz Hugo</v>
      </c>
      <c r="S1353" s="1">
        <f>IFERROR(__xludf.DUMMYFUNCTION("""COMPUTED_VALUE"""),0.5)</f>
        <v>0.5</v>
      </c>
      <c r="T1353" s="1">
        <f>IFERROR(__xludf.DUMMYFUNCTION("""COMPUTED_VALUE"""),12.0)</f>
        <v>12</v>
      </c>
      <c r="U1353" s="2">
        <f>IFERROR(__xludf.DUMMYFUNCTION("""COMPUTED_VALUE"""),12.5)</f>
        <v>12.5</v>
      </c>
      <c r="V1353" s="1" t="str">
        <f>IFERROR(__xludf.DUMMYFUNCTION("""COMPUTED_VALUE"""),"Sieg Ballelos")</f>
        <v>Sieg Ballelos</v>
      </c>
      <c r="W1353" s="1" t="str">
        <f>IFERROR(__xludf.DUMMYFUNCTION("""COMPUTED_VALUE"""),"Core Product Support Escalation Team")</f>
        <v>Core Product Support Escalation Team</v>
      </c>
    </row>
    <row r="1354">
      <c r="O1354" s="1" t="str">
        <f>IFERROR(__xludf.DUMMYFUNCTION("""COMPUTED_VALUE"""),"2025 Oct")</f>
        <v>2025 Oct</v>
      </c>
      <c r="P1354" s="1" t="str">
        <f>IFERROR(__xludf.DUMMYFUNCTION("""COMPUTED_VALUE"""),"Core Product Support")</f>
        <v>Core Product Support</v>
      </c>
      <c r="Q1354" s="1" t="str">
        <f>IFERROR(__xludf.DUMMYFUNCTION("""COMPUTED_VALUE"""),"paulv@canva.com")</f>
        <v>paulv@canva.com</v>
      </c>
      <c r="R1354" s="1" t="str">
        <f>IFERROR(__xludf.DUMMYFUNCTION("""COMPUTED_VALUE"""),"Paul Verdad")</f>
        <v>Paul Verdad</v>
      </c>
      <c r="S1354" s="1"/>
      <c r="T1354" s="1">
        <f>IFERROR(__xludf.DUMMYFUNCTION("""COMPUTED_VALUE"""),7.0)</f>
        <v>7</v>
      </c>
      <c r="U1354" s="2">
        <f>IFERROR(__xludf.DUMMYFUNCTION("""COMPUTED_VALUE"""),7.0)</f>
        <v>7</v>
      </c>
      <c r="V1354" s="1" t="str">
        <f>IFERROR(__xludf.DUMMYFUNCTION("""COMPUTED_VALUE"""),"Vinz Lazaro")</f>
        <v>Vinz Lazaro</v>
      </c>
      <c r="W1354" s="1" t="str">
        <f>IFERROR(__xludf.DUMMYFUNCTION("""COMPUTED_VALUE"""),"Advanced Product Support")</f>
        <v>Advanced Product Support</v>
      </c>
    </row>
    <row r="1355">
      <c r="O1355" s="1" t="str">
        <f>IFERROR(__xludf.DUMMYFUNCTION("""COMPUTED_VALUE"""),"2025 Oct")</f>
        <v>2025 Oct</v>
      </c>
      <c r="P1355" s="1" t="str">
        <f>IFERROR(__xludf.DUMMYFUNCTION("""COMPUTED_VALUE"""),"#N/A")</f>
        <v>#N/A</v>
      </c>
      <c r="Q1355" s="1" t="str">
        <f>IFERROR(__xludf.DUMMYFUNCTION("""COMPUTED_VALUE"""),"paul.y@canva.com")</f>
        <v>paul.y@canva.com</v>
      </c>
      <c r="R1355" s="1" t="str">
        <f>IFERROR(__xludf.DUMMYFUNCTION("""COMPUTED_VALUE"""),"Paul Yang")</f>
        <v>Paul Yang</v>
      </c>
      <c r="S1355" s="1">
        <f>IFERROR(__xludf.DUMMYFUNCTION("""COMPUTED_VALUE"""),0.5)</f>
        <v>0.5</v>
      </c>
      <c r="T1355" s="1">
        <f>IFERROR(__xludf.DUMMYFUNCTION("""COMPUTED_VALUE"""),11.0)</f>
        <v>11</v>
      </c>
      <c r="U1355" s="2">
        <f>IFERROR(__xludf.DUMMYFUNCTION("""COMPUTED_VALUE"""),11.5)</f>
        <v>11.5</v>
      </c>
      <c r="V1355" s="1" t="str">
        <f>IFERROR(__xludf.DUMMYFUNCTION("""COMPUTED_VALUE"""),"#N/A")</f>
        <v>#N/A</v>
      </c>
      <c r="W1355" s="1" t="str">
        <f>IFERROR(__xludf.DUMMYFUNCTION("""COMPUTED_VALUE"""),"#N/A")</f>
        <v>#N/A</v>
      </c>
    </row>
    <row r="1356">
      <c r="O1356" s="1" t="str">
        <f>IFERROR(__xludf.DUMMYFUNCTION("""COMPUTED_VALUE"""),"2025 Oct")</f>
        <v>2025 Oct</v>
      </c>
      <c r="P1356" s="1" t="str">
        <f>IFERROR(__xludf.DUMMYFUNCTION("""COMPUTED_VALUE"""),"High Sensitivity Support")</f>
        <v>High Sensitivity Support</v>
      </c>
      <c r="Q1356" s="1" t="str">
        <f>IFERROR(__xludf.DUMMYFUNCTION("""COMPUTED_VALUE"""),"phillipronquillo@canva.com")</f>
        <v>phillipronquillo@canva.com</v>
      </c>
      <c r="R1356" s="1" t="str">
        <f>IFERROR(__xludf.DUMMYFUNCTION("""COMPUTED_VALUE"""),"Phil Ronquillo")</f>
        <v>Phil Ronquillo</v>
      </c>
      <c r="S1356" s="1">
        <f>IFERROR(__xludf.DUMMYFUNCTION("""COMPUTED_VALUE"""),10.0)</f>
        <v>10</v>
      </c>
      <c r="T1356" s="1">
        <f>IFERROR(__xludf.DUMMYFUNCTION("""COMPUTED_VALUE"""),4.0)</f>
        <v>4</v>
      </c>
      <c r="U1356" s="2">
        <f>IFERROR(__xludf.DUMMYFUNCTION("""COMPUTED_VALUE"""),14.0)</f>
        <v>14</v>
      </c>
      <c r="V1356" s="1" t="str">
        <f>IFERROR(__xludf.DUMMYFUNCTION("""COMPUTED_VALUE"""),"Rossheen Pura")</f>
        <v>Rossheen Pura</v>
      </c>
      <c r="W1356" s="1" t="str">
        <f>IFERROR(__xludf.DUMMYFUNCTION("""COMPUTED_VALUE"""),"High Sensitivity Support PH")</f>
        <v>High Sensitivity Support PH</v>
      </c>
    </row>
    <row r="1357">
      <c r="O1357" s="1" t="str">
        <f>IFERROR(__xludf.DUMMYFUNCTION("""COMPUTED_VALUE"""),"2025 Oct")</f>
        <v>2025 Oct</v>
      </c>
      <c r="P1357" s="1" t="str">
        <f>IFERROR(__xludf.DUMMYFUNCTION("""COMPUTED_VALUE"""),"Core Product Support")</f>
        <v>Core Product Support</v>
      </c>
      <c r="Q1357" s="1" t="str">
        <f>IFERROR(__xludf.DUMMYFUNCTION("""COMPUTED_VALUE"""),"pnicolepescador@canva.com")</f>
        <v>pnicolepescador@canva.com</v>
      </c>
      <c r="R1357" s="1" t="str">
        <f>IFERROR(__xludf.DUMMYFUNCTION("""COMPUTED_VALUE"""),"Precious Pescador")</f>
        <v>Precious Pescador</v>
      </c>
      <c r="S1357" s="1">
        <f>IFERROR(__xludf.DUMMYFUNCTION("""COMPUTED_VALUE"""),0.5)</f>
        <v>0.5</v>
      </c>
      <c r="T1357" s="1">
        <f>IFERROR(__xludf.DUMMYFUNCTION("""COMPUTED_VALUE"""),6.25)</f>
        <v>6.25</v>
      </c>
      <c r="U1357" s="2">
        <f>IFERROR(__xludf.DUMMYFUNCTION("""COMPUTED_VALUE"""),6.75)</f>
        <v>6.75</v>
      </c>
      <c r="V1357" s="1" t="str">
        <f>IFERROR(__xludf.DUMMYFUNCTION("""COMPUTED_VALUE"""),"Ayza Marie Pascual")</f>
        <v>Ayza Marie Pascual</v>
      </c>
      <c r="W1357" s="1" t="str">
        <f>IFERROR(__xludf.DUMMYFUNCTION("""COMPUTED_VALUE"""),"Advanced Billing &amp; Subscriptions")</f>
        <v>Advanced Billing &amp; Subscriptions</v>
      </c>
    </row>
    <row r="1358">
      <c r="O1358" s="1" t="str">
        <f>IFERROR(__xludf.DUMMYFUNCTION("""COMPUTED_VALUE"""),"2025 Oct")</f>
        <v>2025 Oct</v>
      </c>
      <c r="P1358" s="1" t="str">
        <f>IFERROR(__xludf.DUMMYFUNCTION("""COMPUTED_VALUE"""),"Core Product Support")</f>
        <v>Core Product Support</v>
      </c>
      <c r="Q1358" s="1" t="str">
        <f>IFERROR(__xludf.DUMMYFUNCTION("""COMPUTED_VALUE"""),"rachellynanne@canva.com")</f>
        <v>rachellynanne@canva.com</v>
      </c>
      <c r="R1358" s="1" t="str">
        <f>IFERROR(__xludf.DUMMYFUNCTION("""COMPUTED_VALUE"""),"Rachellyn Medina")</f>
        <v>Rachellyn Medina</v>
      </c>
      <c r="S1358" s="1">
        <f>IFERROR(__xludf.DUMMYFUNCTION("""COMPUTED_VALUE"""),0.5)</f>
        <v>0.5</v>
      </c>
      <c r="T1358" s="1">
        <f>IFERROR(__xludf.DUMMYFUNCTION("""COMPUTED_VALUE"""),45.5)</f>
        <v>45.5</v>
      </c>
      <c r="U1358" s="2">
        <f>IFERROR(__xludf.DUMMYFUNCTION("""COMPUTED_VALUE"""),46.0)</f>
        <v>46</v>
      </c>
      <c r="V1358" s="1" t="str">
        <f>IFERROR(__xludf.DUMMYFUNCTION("""COMPUTED_VALUE"""),"Jem Mondoñedo")</f>
        <v>Jem Mondoñedo</v>
      </c>
      <c r="W1358" s="1" t="str">
        <f>IFERROR(__xludf.DUMMYFUNCTION("""COMPUTED_VALUE"""),"Advanced Billing &amp; Subscriptions")</f>
        <v>Advanced Billing &amp; Subscriptions</v>
      </c>
    </row>
    <row r="1359">
      <c r="O1359" s="1" t="str">
        <f>IFERROR(__xludf.DUMMYFUNCTION("""COMPUTED_VALUE"""),"2025 Oct")</f>
        <v>2025 Oct</v>
      </c>
      <c r="P1359" s="1" t="str">
        <f>IFERROR(__xludf.DUMMYFUNCTION("""COMPUTED_VALUE"""),"Core Product Support")</f>
        <v>Core Product Support</v>
      </c>
      <c r="Q1359" s="1" t="str">
        <f>IFERROR(__xludf.DUMMYFUNCTION("""COMPUTED_VALUE"""),"alfredomillares@canva.com")</f>
        <v>alfredomillares@canva.com</v>
      </c>
      <c r="R1359" s="1" t="str">
        <f>IFERROR(__xludf.DUMMYFUNCTION("""COMPUTED_VALUE"""),"Rael Millares")</f>
        <v>Rael Millares</v>
      </c>
      <c r="S1359" s="1">
        <f>IFERROR(__xludf.DUMMYFUNCTION("""COMPUTED_VALUE"""),0.5)</f>
        <v>0.5</v>
      </c>
      <c r="T1359" s="1">
        <f>IFERROR(__xludf.DUMMYFUNCTION("""COMPUTED_VALUE"""),6.25)</f>
        <v>6.25</v>
      </c>
      <c r="U1359" s="2">
        <f>IFERROR(__xludf.DUMMYFUNCTION("""COMPUTED_VALUE"""),6.75)</f>
        <v>6.75</v>
      </c>
      <c r="V1359" s="1" t="str">
        <f>IFERROR(__xludf.DUMMYFUNCTION("""COMPUTED_VALUE"""),"Jahmie Mae Barrameda")</f>
        <v>Jahmie Mae Barrameda</v>
      </c>
      <c r="W1359" s="1" t="str">
        <f>IFERROR(__xludf.DUMMYFUNCTION("""COMPUTED_VALUE"""),"Advanced Billing &amp; Subscriptions")</f>
        <v>Advanced Billing &amp; Subscriptions</v>
      </c>
    </row>
    <row r="1360">
      <c r="O1360" s="1" t="str">
        <f>IFERROR(__xludf.DUMMYFUNCTION("""COMPUTED_VALUE"""),"2025 Oct")</f>
        <v>2025 Oct</v>
      </c>
      <c r="P1360" s="1" t="str">
        <f>IFERROR(__xludf.DUMMYFUNCTION("""COMPUTED_VALUE"""),"Multilingual Support")</f>
        <v>Multilingual Support</v>
      </c>
      <c r="Q1360" s="1" t="str">
        <f>IFERROR(__xludf.DUMMYFUNCTION("""COMPUTED_VALUE"""),"ranufre@canva.com")</f>
        <v>ranufre@canva.com</v>
      </c>
      <c r="R1360" s="1" t="str">
        <f>IFERROR(__xludf.DUMMYFUNCTION("""COMPUTED_VALUE"""),"Rafa Freitas")</f>
        <v>Rafa Freitas</v>
      </c>
      <c r="S1360" s="1">
        <f>IFERROR(__xludf.DUMMYFUNCTION("""COMPUTED_VALUE"""),0.5)</f>
        <v>0.5</v>
      </c>
      <c r="T1360" s="1">
        <f>IFERROR(__xludf.DUMMYFUNCTION("""COMPUTED_VALUE"""),5.0)</f>
        <v>5</v>
      </c>
      <c r="U1360" s="2">
        <f>IFERROR(__xludf.DUMMYFUNCTION("""COMPUTED_VALUE"""),5.5)</f>
        <v>5.5</v>
      </c>
      <c r="V1360" s="1" t="str">
        <f>IFERROR(__xludf.DUMMYFUNCTION("""COMPUTED_VALUE"""),"Arlene Maurillo")</f>
        <v>Arlene Maurillo</v>
      </c>
      <c r="W1360" s="1" t="str">
        <f>IFERROR(__xludf.DUMMYFUNCTION("""COMPUTED_VALUE"""),"PHL, Multilingual Support")</f>
        <v>PHL, Multilingual Support</v>
      </c>
    </row>
    <row r="1361">
      <c r="O1361" s="1" t="str">
        <f>IFERROR(__xludf.DUMMYFUNCTION("""COMPUTED_VALUE"""),"2025 Oct")</f>
        <v>2025 Oct</v>
      </c>
      <c r="P1361" s="1" t="str">
        <f>IFERROR(__xludf.DUMMYFUNCTION("""COMPUTED_VALUE"""),"Core Product Support")</f>
        <v>Core Product Support</v>
      </c>
      <c r="Q1361" s="1" t="str">
        <f>IFERROR(__xludf.DUMMYFUNCTION("""COMPUTED_VALUE"""),"rafaticzon@canva.com")</f>
        <v>rafaticzon@canva.com</v>
      </c>
      <c r="R1361" s="1" t="str">
        <f>IFERROR(__xludf.DUMMYFUNCTION("""COMPUTED_VALUE"""),"Rafa Ticzon")</f>
        <v>Rafa Ticzon</v>
      </c>
      <c r="S1361" s="1"/>
      <c r="T1361" s="1">
        <f>IFERROR(__xludf.DUMMYFUNCTION("""COMPUTED_VALUE"""),7.0)</f>
        <v>7</v>
      </c>
      <c r="U1361" s="2">
        <f>IFERROR(__xludf.DUMMYFUNCTION("""COMPUTED_VALUE"""),7.0)</f>
        <v>7</v>
      </c>
      <c r="V1361" s="1" t="str">
        <f>IFERROR(__xludf.DUMMYFUNCTION("""COMPUTED_VALUE"""),"Mikhaela Decangchon")</f>
        <v>Mikhaela Decangchon</v>
      </c>
      <c r="W1361" s="1" t="str">
        <f>IFERROR(__xludf.DUMMYFUNCTION("""COMPUTED_VALUE"""),"Advanced Product Support")</f>
        <v>Advanced Product Support</v>
      </c>
    </row>
    <row r="1362">
      <c r="O1362" s="1" t="str">
        <f>IFERROR(__xludf.DUMMYFUNCTION("""COMPUTED_VALUE"""),"2025 Oct")</f>
        <v>2025 Oct</v>
      </c>
      <c r="P1362" s="1" t="str">
        <f>IFERROR(__xludf.DUMMYFUNCTION("""COMPUTED_VALUE"""),"Core Product Support")</f>
        <v>Core Product Support</v>
      </c>
      <c r="Q1362" s="1" t="str">
        <f>IFERROR(__xludf.DUMMYFUNCTION("""COMPUTED_VALUE"""),"candace@canva.com")</f>
        <v>candace@canva.com</v>
      </c>
      <c r="R1362" s="1" t="str">
        <f>IFERROR(__xludf.DUMMYFUNCTION("""COMPUTED_VALUE"""),"Rainne Candace Llagas")</f>
        <v>Rainne Candace Llagas</v>
      </c>
      <c r="S1362" s="1">
        <f>IFERROR(__xludf.DUMMYFUNCTION("""COMPUTED_VALUE"""),1.0)</f>
        <v>1</v>
      </c>
      <c r="T1362" s="1">
        <f>IFERROR(__xludf.DUMMYFUNCTION("""COMPUTED_VALUE"""),7.25)</f>
        <v>7.25</v>
      </c>
      <c r="U1362" s="2">
        <f>IFERROR(__xludf.DUMMYFUNCTION("""COMPUTED_VALUE"""),8.25)</f>
        <v>8.25</v>
      </c>
      <c r="V1362" s="1" t="str">
        <f>IFERROR(__xludf.DUMMYFUNCTION("""COMPUTED_VALUE"""),"Belle Bentazal")</f>
        <v>Belle Bentazal</v>
      </c>
      <c r="W1362" s="1" t="str">
        <f>IFERROR(__xludf.DUMMYFUNCTION("""COMPUTED_VALUE"""),"Advanced Product Support")</f>
        <v>Advanced Product Support</v>
      </c>
    </row>
    <row r="1363">
      <c r="O1363" s="1" t="str">
        <f>IFERROR(__xludf.DUMMYFUNCTION("""COMPUTED_VALUE"""),"2025 Oct")</f>
        <v>2025 Oct</v>
      </c>
      <c r="P1363" s="1" t="str">
        <f>IFERROR(__xludf.DUMMYFUNCTION("""COMPUTED_VALUE"""),"Core Product Support")</f>
        <v>Core Product Support</v>
      </c>
      <c r="Q1363" s="1" t="str">
        <f>IFERROR(__xludf.DUMMYFUNCTION("""COMPUTED_VALUE"""),"rmercado@canva.com")</f>
        <v>rmercado@canva.com</v>
      </c>
      <c r="R1363" s="1" t="str">
        <f>IFERROR(__xludf.DUMMYFUNCTION("""COMPUTED_VALUE"""),"Ram Mercado")</f>
        <v>Ram Mercado</v>
      </c>
      <c r="S1363" s="1">
        <f>IFERROR(__xludf.DUMMYFUNCTION("""COMPUTED_VALUE"""),1.0)</f>
        <v>1</v>
      </c>
      <c r="T1363" s="1">
        <f>IFERROR(__xludf.DUMMYFUNCTION("""COMPUTED_VALUE"""),18.92)</f>
        <v>18.92</v>
      </c>
      <c r="U1363" s="2">
        <f>IFERROR(__xludf.DUMMYFUNCTION("""COMPUTED_VALUE"""),19.92)</f>
        <v>19.92</v>
      </c>
      <c r="V1363" s="1" t="str">
        <f>IFERROR(__xludf.DUMMYFUNCTION("""COMPUTED_VALUE"""),"Jelyn Elmido")</f>
        <v>Jelyn Elmido</v>
      </c>
      <c r="W1363" s="1" t="str">
        <f>IFERROR(__xludf.DUMMYFUNCTION("""COMPUTED_VALUE"""),"Core Product Support Escalation Team")</f>
        <v>Core Product Support Escalation Team</v>
      </c>
    </row>
    <row r="1364">
      <c r="O1364" s="1" t="str">
        <f>IFERROR(__xludf.DUMMYFUNCTION("""COMPUTED_VALUE"""),"2025 Oct")</f>
        <v>2025 Oct</v>
      </c>
      <c r="P1364" s="1" t="str">
        <f>IFERROR(__xludf.DUMMYFUNCTION("""COMPUTED_VALUE"""),"Core Product Support")</f>
        <v>Core Product Support</v>
      </c>
      <c r="Q1364" s="1" t="str">
        <f>IFERROR(__xludf.DUMMYFUNCTION("""COMPUTED_VALUE"""),"razelleroe@canva.com")</f>
        <v>razelleroe@canva.com</v>
      </c>
      <c r="R1364" s="1" t="str">
        <f>IFERROR(__xludf.DUMMYFUNCTION("""COMPUTED_VALUE"""),"Razelle Roe Garaza")</f>
        <v>Razelle Roe Garaza</v>
      </c>
      <c r="S1364" s="1">
        <f>IFERROR(__xludf.DUMMYFUNCTION("""COMPUTED_VALUE"""),0.5)</f>
        <v>0.5</v>
      </c>
      <c r="T1364" s="1">
        <f>IFERROR(__xludf.DUMMYFUNCTION("""COMPUTED_VALUE"""),7.0)</f>
        <v>7</v>
      </c>
      <c r="U1364" s="2">
        <f>IFERROR(__xludf.DUMMYFUNCTION("""COMPUTED_VALUE"""),7.5)</f>
        <v>7.5</v>
      </c>
      <c r="V1364" s="1" t="str">
        <f>IFERROR(__xludf.DUMMYFUNCTION("""COMPUTED_VALUE"""),"Ana Lazaro")</f>
        <v>Ana Lazaro</v>
      </c>
      <c r="W1364" s="1" t="str">
        <f>IFERROR(__xludf.DUMMYFUNCTION("""COMPUTED_VALUE"""),"Advanced Billing &amp; Subscriptions")</f>
        <v>Advanced Billing &amp; Subscriptions</v>
      </c>
    </row>
    <row r="1365">
      <c r="O1365" s="1" t="str">
        <f>IFERROR(__xludf.DUMMYFUNCTION("""COMPUTED_VALUE"""),"2025 Oct")</f>
        <v>2025 Oct</v>
      </c>
      <c r="P1365" s="1" t="str">
        <f>IFERROR(__xludf.DUMMYFUNCTION("""COMPUTED_VALUE"""),"Admin Support")</f>
        <v>Admin Support</v>
      </c>
      <c r="Q1365" s="1" t="str">
        <f>IFERROR(__xludf.DUMMYFUNCTION("""COMPUTED_VALUE"""),"rdolores@canva.com")</f>
        <v>rdolores@canva.com</v>
      </c>
      <c r="R1365" s="1" t="str">
        <f>IFERROR(__xludf.DUMMYFUNCTION("""COMPUTED_VALUE"""),"Rea Alexis Dolores")</f>
        <v>Rea Alexis Dolores</v>
      </c>
      <c r="S1365" s="1">
        <f>IFERROR(__xludf.DUMMYFUNCTION("""COMPUTED_VALUE"""),0.5)</f>
        <v>0.5</v>
      </c>
      <c r="T1365" s="1">
        <f>IFERROR(__xludf.DUMMYFUNCTION("""COMPUTED_VALUE"""),22.75)</f>
        <v>22.75</v>
      </c>
      <c r="U1365" s="2">
        <f>IFERROR(__xludf.DUMMYFUNCTION("""COMPUTED_VALUE"""),23.25)</f>
        <v>23.25</v>
      </c>
      <c r="V1365" s="1" t="str">
        <f>IFERROR(__xludf.DUMMYFUNCTION("""COMPUTED_VALUE"""),"Karla Mananghaya")</f>
        <v>Karla Mananghaya</v>
      </c>
      <c r="W1365" s="1" t="str">
        <f>IFERROR(__xludf.DUMMYFUNCTION("""COMPUTED_VALUE"""),"Admin Support Service Escalation Team")</f>
        <v>Admin Support Service Escalation Team</v>
      </c>
    </row>
    <row r="1366">
      <c r="O1366" s="1" t="str">
        <f>IFERROR(__xludf.DUMMYFUNCTION("""COMPUTED_VALUE"""),"2025 Oct")</f>
        <v>2025 Oct</v>
      </c>
      <c r="P1366" s="1" t="str">
        <f>IFERROR(__xludf.DUMMYFUNCTION("""COMPUTED_VALUE"""),"Admin Support")</f>
        <v>Admin Support</v>
      </c>
      <c r="Q1366" s="1" t="str">
        <f>IFERROR(__xludf.DUMMYFUNCTION("""COMPUTED_VALUE"""),"red@canva.com")</f>
        <v>red@canva.com</v>
      </c>
      <c r="R1366" s="1" t="str">
        <f>IFERROR(__xludf.DUMMYFUNCTION("""COMPUTED_VALUE"""),"Red Dela Rosa")</f>
        <v>Red Dela Rosa</v>
      </c>
      <c r="S1366" s="1">
        <f>IFERROR(__xludf.DUMMYFUNCTION("""COMPUTED_VALUE"""),2.5)</f>
        <v>2.5</v>
      </c>
      <c r="T1366" s="1">
        <f>IFERROR(__xludf.DUMMYFUNCTION("""COMPUTED_VALUE"""),17.17)</f>
        <v>17.17</v>
      </c>
      <c r="U1366" s="2">
        <f>IFERROR(__xludf.DUMMYFUNCTION("""COMPUTED_VALUE"""),19.67)</f>
        <v>19.67</v>
      </c>
      <c r="V1366" s="1" t="str">
        <f>IFERROR(__xludf.DUMMYFUNCTION("""COMPUTED_VALUE"""),"Pau Palmero")</f>
        <v>Pau Palmero</v>
      </c>
      <c r="W1366" s="1" t="str">
        <f>IFERROR(__xludf.DUMMYFUNCTION("""COMPUTED_VALUE"""),"Admin Omni Support")</f>
        <v>Admin Omni Support</v>
      </c>
    </row>
    <row r="1367">
      <c r="O1367" s="1" t="str">
        <f>IFERROR(__xludf.DUMMYFUNCTION("""COMPUTED_VALUE"""),"2025 Oct")</f>
        <v>2025 Oct</v>
      </c>
      <c r="P1367" s="1" t="str">
        <f>IFERROR(__xludf.DUMMYFUNCTION("""COMPUTED_VALUE"""),"Admin Support")</f>
        <v>Admin Support</v>
      </c>
      <c r="Q1367" s="1" t="str">
        <f>IFERROR(__xludf.DUMMYFUNCTION("""COMPUTED_VALUE"""),"regie@canva.com")</f>
        <v>regie@canva.com</v>
      </c>
      <c r="R1367" s="1" t="str">
        <f>IFERROR(__xludf.DUMMYFUNCTION("""COMPUTED_VALUE"""),"Regie Yambot")</f>
        <v>Regie Yambot</v>
      </c>
      <c r="S1367" s="1">
        <f>IFERROR(__xludf.DUMMYFUNCTION("""COMPUTED_VALUE"""),1.0)</f>
        <v>1</v>
      </c>
      <c r="T1367" s="1">
        <f>IFERROR(__xludf.DUMMYFUNCTION("""COMPUTED_VALUE"""),14.75)</f>
        <v>14.75</v>
      </c>
      <c r="U1367" s="2">
        <f>IFERROR(__xludf.DUMMYFUNCTION("""COMPUTED_VALUE"""),15.75)</f>
        <v>15.75</v>
      </c>
      <c r="V1367" s="1" t="str">
        <f>IFERROR(__xludf.DUMMYFUNCTION("""COMPUTED_VALUE"""),"Pau Palmero")</f>
        <v>Pau Palmero</v>
      </c>
      <c r="W1367" s="1" t="str">
        <f>IFERROR(__xludf.DUMMYFUNCTION("""COMPUTED_VALUE"""),"Admin Omni Support")</f>
        <v>Admin Omni Support</v>
      </c>
    </row>
    <row r="1368">
      <c r="O1368" s="1" t="str">
        <f>IFERROR(__xludf.DUMMYFUNCTION("""COMPUTED_VALUE"""),"2025 Oct")</f>
        <v>2025 Oct</v>
      </c>
      <c r="P1368" s="1" t="str">
        <f>IFERROR(__xludf.DUMMYFUNCTION("""COMPUTED_VALUE"""),"Core Product Support")</f>
        <v>Core Product Support</v>
      </c>
      <c r="Q1368" s="1" t="str">
        <f>IFERROR(__xludf.DUMMYFUNCTION("""COMPUTED_VALUE"""),"rej@canva.com")</f>
        <v>rej@canva.com</v>
      </c>
      <c r="R1368" s="1" t="str">
        <f>IFERROR(__xludf.DUMMYFUNCTION("""COMPUTED_VALUE"""),"Rej Benipayo")</f>
        <v>Rej Benipayo</v>
      </c>
      <c r="S1368" s="1">
        <f>IFERROR(__xludf.DUMMYFUNCTION("""COMPUTED_VALUE"""),1.0)</f>
        <v>1</v>
      </c>
      <c r="T1368" s="1">
        <f>IFERROR(__xludf.DUMMYFUNCTION("""COMPUTED_VALUE"""),8.0)</f>
        <v>8</v>
      </c>
      <c r="U1368" s="2">
        <f>IFERROR(__xludf.DUMMYFUNCTION("""COMPUTED_VALUE"""),9.0)</f>
        <v>9</v>
      </c>
      <c r="V1368" s="1" t="str">
        <f>IFERROR(__xludf.DUMMYFUNCTION("""COMPUTED_VALUE"""),"Renette Bok")</f>
        <v>Renette Bok</v>
      </c>
      <c r="W1368" s="1" t="str">
        <f>IFERROR(__xludf.DUMMYFUNCTION("""COMPUTED_VALUE"""),"Advanced Billing &amp; Subscriptions")</f>
        <v>Advanced Billing &amp; Subscriptions</v>
      </c>
    </row>
    <row r="1369">
      <c r="O1369" s="1" t="str">
        <f>IFERROR(__xludf.DUMMYFUNCTION("""COMPUTED_VALUE"""),"2025 Oct")</f>
        <v>2025 Oct</v>
      </c>
      <c r="P1369" s="1" t="str">
        <f>IFERROR(__xludf.DUMMYFUNCTION("""COMPUTED_VALUE"""),"Core Product Support")</f>
        <v>Core Product Support</v>
      </c>
      <c r="Q1369" s="1" t="str">
        <f>IFERROR(__xludf.DUMMYFUNCTION("""COMPUTED_VALUE"""),"revisuarez@canva.com")</f>
        <v>revisuarez@canva.com</v>
      </c>
      <c r="R1369" s="1" t="str">
        <f>IFERROR(__xludf.DUMMYFUNCTION("""COMPUTED_VALUE"""),"Revi Suarez")</f>
        <v>Revi Suarez</v>
      </c>
      <c r="S1369" s="1"/>
      <c r="T1369" s="1">
        <f>IFERROR(__xludf.DUMMYFUNCTION("""COMPUTED_VALUE"""),29.17)</f>
        <v>29.17</v>
      </c>
      <c r="U1369" s="2">
        <f>IFERROR(__xludf.DUMMYFUNCTION("""COMPUTED_VALUE"""),29.17)</f>
        <v>29.17</v>
      </c>
      <c r="V1369" s="1" t="str">
        <f>IFERROR(__xludf.DUMMYFUNCTION("""COMPUTED_VALUE"""),"Jelyn Elmido")</f>
        <v>Jelyn Elmido</v>
      </c>
      <c r="W1369" s="1" t="str">
        <f>IFERROR(__xludf.DUMMYFUNCTION("""COMPUTED_VALUE"""),"Core Product Support Escalation Team")</f>
        <v>Core Product Support Escalation Team</v>
      </c>
    </row>
    <row r="1370">
      <c r="O1370" s="1" t="str">
        <f>IFERROR(__xludf.DUMMYFUNCTION("""COMPUTED_VALUE"""),"2025 Oct")</f>
        <v>2025 Oct</v>
      </c>
      <c r="P1370" s="1" t="str">
        <f>IFERROR(__xludf.DUMMYFUNCTION("""COMPUTED_VALUE"""),"High Sensitivity Support")</f>
        <v>High Sensitivity Support</v>
      </c>
      <c r="Q1370" s="1" t="str">
        <f>IFERROR(__xludf.DUMMYFUNCTION("""COMPUTED_VALUE"""),"reya@canva.com")</f>
        <v>reya@canva.com</v>
      </c>
      <c r="R1370" s="1" t="str">
        <f>IFERROR(__xludf.DUMMYFUNCTION("""COMPUTED_VALUE"""),"Reya Joson")</f>
        <v>Reya Joson</v>
      </c>
      <c r="S1370" s="1"/>
      <c r="T1370" s="1">
        <f>IFERROR(__xludf.DUMMYFUNCTION("""COMPUTED_VALUE"""),7.95)</f>
        <v>7.95</v>
      </c>
      <c r="U1370" s="2">
        <f>IFERROR(__xludf.DUMMYFUNCTION("""COMPUTED_VALUE"""),7.95)</f>
        <v>7.95</v>
      </c>
      <c r="V1370" s="1" t="str">
        <f>IFERROR(__xludf.DUMMYFUNCTION("""COMPUTED_VALUE"""),"Issi Afable")</f>
        <v>Issi Afable</v>
      </c>
      <c r="W1370" s="1" t="str">
        <f>IFERROR(__xludf.DUMMYFUNCTION("""COMPUTED_VALUE"""),"High Sensitivity Support PH")</f>
        <v>High Sensitivity Support PH</v>
      </c>
    </row>
    <row r="1371">
      <c r="O1371" s="1" t="str">
        <f>IFERROR(__xludf.DUMMYFUNCTION("""COMPUTED_VALUE"""),"2025 Oct")</f>
        <v>2025 Oct</v>
      </c>
      <c r="P1371" s="1" t="str">
        <f>IFERROR(__xludf.DUMMYFUNCTION("""COMPUTED_VALUE"""),"Segment-specific Support")</f>
        <v>Segment-specific Support</v>
      </c>
      <c r="Q1371" s="1" t="str">
        <f>IFERROR(__xludf.DUMMYFUNCTION("""COMPUTED_VALUE"""),"rizzah@canva.com")</f>
        <v>rizzah@canva.com</v>
      </c>
      <c r="R1371" s="1" t="str">
        <f>IFERROR(__xludf.DUMMYFUNCTION("""COMPUTED_VALUE"""),"Rizzah Hope Anjao")</f>
        <v>Rizzah Hope Anjao</v>
      </c>
      <c r="S1371" s="1">
        <f>IFERROR(__xludf.DUMMYFUNCTION("""COMPUTED_VALUE"""),1.0)</f>
        <v>1</v>
      </c>
      <c r="T1371" s="1">
        <f>IFERROR(__xludf.DUMMYFUNCTION("""COMPUTED_VALUE"""),3.0)</f>
        <v>3</v>
      </c>
      <c r="U1371" s="2">
        <f>IFERROR(__xludf.DUMMYFUNCTION("""COMPUTED_VALUE"""),4.0)</f>
        <v>4</v>
      </c>
      <c r="V1371" s="1" t="str">
        <f>IFERROR(__xludf.DUMMYFUNCTION("""COMPUTED_VALUE"""),"Gucci Nava")</f>
        <v>Gucci Nava</v>
      </c>
      <c r="W1371" s="1" t="str">
        <f>IFERROR(__xludf.DUMMYFUNCTION("""COMPUTED_VALUE"""),"Affinity Support")</f>
        <v>Affinity Support</v>
      </c>
    </row>
    <row r="1372">
      <c r="O1372" s="1" t="str">
        <f>IFERROR(__xludf.DUMMYFUNCTION("""COMPUTED_VALUE"""),"2025 Oct")</f>
        <v>2025 Oct</v>
      </c>
      <c r="P1372" s="1" t="str">
        <f>IFERROR(__xludf.DUMMYFUNCTION("""COMPUTED_VALUE"""),"Print Support")</f>
        <v>Print Support</v>
      </c>
      <c r="Q1372" s="1" t="str">
        <f>IFERROR(__xludf.DUMMYFUNCTION("""COMPUTED_VALUE"""),"robsuico@canva.com")</f>
        <v>robsuico@canva.com</v>
      </c>
      <c r="R1372" s="1" t="str">
        <f>IFERROR(__xludf.DUMMYFUNCTION("""COMPUTED_VALUE"""),"Robin Suico")</f>
        <v>Robin Suico</v>
      </c>
      <c r="S1372" s="1">
        <f>IFERROR(__xludf.DUMMYFUNCTION("""COMPUTED_VALUE"""),2.5)</f>
        <v>2.5</v>
      </c>
      <c r="T1372" s="1">
        <f>IFERROR(__xludf.DUMMYFUNCTION("""COMPUTED_VALUE"""),2.75)</f>
        <v>2.75</v>
      </c>
      <c r="U1372" s="2">
        <f>IFERROR(__xludf.DUMMYFUNCTION("""COMPUTED_VALUE"""),5.25)</f>
        <v>5.25</v>
      </c>
      <c r="V1372" s="1" t="str">
        <f>IFERROR(__xludf.DUMMYFUNCTION("""COMPUTED_VALUE"""),"Aliza Dote")</f>
        <v>Aliza Dote</v>
      </c>
      <c r="W1372" s="1" t="str">
        <f>IFERROR(__xludf.DUMMYFUNCTION("""COMPUTED_VALUE"""),"Print Design Support")</f>
        <v>Print Design Support</v>
      </c>
    </row>
    <row r="1373">
      <c r="O1373" s="1" t="str">
        <f>IFERROR(__xludf.DUMMYFUNCTION("""COMPUTED_VALUE"""),"2025 Oct")</f>
        <v>2025 Oct</v>
      </c>
      <c r="P1373" s="1" t="str">
        <f>IFERROR(__xludf.DUMMYFUNCTION("""COMPUTED_VALUE"""),"Core Product Support")</f>
        <v>Core Product Support</v>
      </c>
      <c r="Q1373" s="1" t="str">
        <f>IFERROR(__xludf.DUMMYFUNCTION("""COMPUTED_VALUE"""),"ronally@canva.com")</f>
        <v>ronally@canva.com</v>
      </c>
      <c r="R1373" s="1" t="str">
        <f>IFERROR(__xludf.DUMMYFUNCTION("""COMPUTED_VALUE"""),"Ronally Romero")</f>
        <v>Ronally Romero</v>
      </c>
      <c r="S1373" s="1">
        <f>IFERROR(__xludf.DUMMYFUNCTION("""COMPUTED_VALUE"""),0.5)</f>
        <v>0.5</v>
      </c>
      <c r="T1373" s="1">
        <f>IFERROR(__xludf.DUMMYFUNCTION("""COMPUTED_VALUE"""),9.5)</f>
        <v>9.5</v>
      </c>
      <c r="U1373" s="2">
        <f>IFERROR(__xludf.DUMMYFUNCTION("""COMPUTED_VALUE"""),10.0)</f>
        <v>10</v>
      </c>
      <c r="V1373" s="1" t="str">
        <f>IFERROR(__xludf.DUMMYFUNCTION("""COMPUTED_VALUE"""),"Cate Velasco")</f>
        <v>Cate Velasco</v>
      </c>
      <c r="W1373" s="1" t="str">
        <f>IFERROR(__xludf.DUMMYFUNCTION("""COMPUTED_VALUE"""),"Advanced Product Support")</f>
        <v>Advanced Product Support</v>
      </c>
    </row>
    <row r="1374">
      <c r="O1374" s="1" t="str">
        <f>IFERROR(__xludf.DUMMYFUNCTION("""COMPUTED_VALUE"""),"2025 Oct")</f>
        <v>2025 Oct</v>
      </c>
      <c r="P1374" s="1" t="str">
        <f>IFERROR(__xludf.DUMMYFUNCTION("""COMPUTED_VALUE"""),"Core Product Support")</f>
        <v>Core Product Support</v>
      </c>
      <c r="Q1374" s="1" t="str">
        <f>IFERROR(__xludf.DUMMYFUNCTION("""COMPUTED_VALUE"""),"rvalderrama@canva.com")</f>
        <v>rvalderrama@canva.com</v>
      </c>
      <c r="R1374" s="1" t="str">
        <f>IFERROR(__xludf.DUMMYFUNCTION("""COMPUTED_VALUE"""),"Rony Valderrama")</f>
        <v>Rony Valderrama</v>
      </c>
      <c r="S1374" s="1">
        <f>IFERROR(__xludf.DUMMYFUNCTION("""COMPUTED_VALUE"""),1.0)</f>
        <v>1</v>
      </c>
      <c r="T1374" s="1">
        <f>IFERROR(__xludf.DUMMYFUNCTION("""COMPUTED_VALUE"""),8.75)</f>
        <v>8.75</v>
      </c>
      <c r="U1374" s="2">
        <f>IFERROR(__xludf.DUMMYFUNCTION("""COMPUTED_VALUE"""),9.75)</f>
        <v>9.75</v>
      </c>
      <c r="V1374" s="1" t="str">
        <f>IFERROR(__xludf.DUMMYFUNCTION("""COMPUTED_VALUE"""),"Renette Bok")</f>
        <v>Renette Bok</v>
      </c>
      <c r="W1374" s="1" t="str">
        <f>IFERROR(__xludf.DUMMYFUNCTION("""COMPUTED_VALUE"""),"Advanced Billing &amp; Subscriptions")</f>
        <v>Advanced Billing &amp; Subscriptions</v>
      </c>
    </row>
    <row r="1375">
      <c r="O1375" s="1" t="str">
        <f>IFERROR(__xludf.DUMMYFUNCTION("""COMPUTED_VALUE"""),"2025 Oct")</f>
        <v>2025 Oct</v>
      </c>
      <c r="P1375" s="1" t="str">
        <f>IFERROR(__xludf.DUMMYFUNCTION("""COMPUTED_VALUE"""),"Core Product Support")</f>
        <v>Core Product Support</v>
      </c>
      <c r="Q1375" s="1" t="str">
        <f>IFERROR(__xludf.DUMMYFUNCTION("""COMPUTED_VALUE"""),"ronyl@canva.com")</f>
        <v>ronyl@canva.com</v>
      </c>
      <c r="R1375" s="1" t="str">
        <f>IFERROR(__xludf.DUMMYFUNCTION("""COMPUTED_VALUE"""),"Ronyl Masilang")</f>
        <v>Ronyl Masilang</v>
      </c>
      <c r="S1375" s="1">
        <f>IFERROR(__xludf.DUMMYFUNCTION("""COMPUTED_VALUE"""),1.0)</f>
        <v>1</v>
      </c>
      <c r="T1375" s="1">
        <f>IFERROR(__xludf.DUMMYFUNCTION("""COMPUTED_VALUE"""),8.25)</f>
        <v>8.25</v>
      </c>
      <c r="U1375" s="2">
        <f>IFERROR(__xludf.DUMMYFUNCTION("""COMPUTED_VALUE"""),9.25)</f>
        <v>9.25</v>
      </c>
      <c r="V1375" s="1" t="str">
        <f>IFERROR(__xludf.DUMMYFUNCTION("""COMPUTED_VALUE"""),"Cate Velasco")</f>
        <v>Cate Velasco</v>
      </c>
      <c r="W1375" s="1" t="str">
        <f>IFERROR(__xludf.DUMMYFUNCTION("""COMPUTED_VALUE"""),"Advanced Product Support")</f>
        <v>Advanced Product Support</v>
      </c>
    </row>
    <row r="1376">
      <c r="O1376" s="1" t="str">
        <f>IFERROR(__xludf.DUMMYFUNCTION("""COMPUTED_VALUE"""),"2025 Oct")</f>
        <v>2025 Oct</v>
      </c>
      <c r="P1376" s="1" t="str">
        <f>IFERROR(__xludf.DUMMYFUNCTION("""COMPUTED_VALUE"""),"Core Product Support")</f>
        <v>Core Product Support</v>
      </c>
      <c r="Q1376" s="1" t="str">
        <f>IFERROR(__xludf.DUMMYFUNCTION("""COMPUTED_VALUE"""),"rounette@canva.com")</f>
        <v>rounette@canva.com</v>
      </c>
      <c r="R1376" s="1" t="str">
        <f>IFERROR(__xludf.DUMMYFUNCTION("""COMPUTED_VALUE"""),"Rounette Natividad")</f>
        <v>Rounette Natividad</v>
      </c>
      <c r="S1376" s="1"/>
      <c r="T1376" s="1">
        <f>IFERROR(__xludf.DUMMYFUNCTION("""COMPUTED_VALUE"""),7.25)</f>
        <v>7.25</v>
      </c>
      <c r="U1376" s="2">
        <f>IFERROR(__xludf.DUMMYFUNCTION("""COMPUTED_VALUE"""),7.25)</f>
        <v>7.25</v>
      </c>
      <c r="V1376" s="1" t="str">
        <f>IFERROR(__xludf.DUMMYFUNCTION("""COMPUTED_VALUE"""),"Mikhaela Decangchon")</f>
        <v>Mikhaela Decangchon</v>
      </c>
      <c r="W1376" s="1" t="str">
        <f>IFERROR(__xludf.DUMMYFUNCTION("""COMPUTED_VALUE"""),"Advanced Product Support")</f>
        <v>Advanced Product Support</v>
      </c>
    </row>
    <row r="1377">
      <c r="O1377" s="1" t="str">
        <f>IFERROR(__xludf.DUMMYFUNCTION("""COMPUTED_VALUE"""),"2025 Oct")</f>
        <v>2025 Oct</v>
      </c>
      <c r="P1377" s="1" t="str">
        <f>IFERROR(__xludf.DUMMYFUNCTION("""COMPUTED_VALUE"""),"Admin Support")</f>
        <v>Admin Support</v>
      </c>
      <c r="Q1377" s="1" t="str">
        <f>IFERROR(__xludf.DUMMYFUNCTION("""COMPUTED_VALUE"""),"rovie@canva.com")</f>
        <v>rovie@canva.com</v>
      </c>
      <c r="R1377" s="1" t="str">
        <f>IFERROR(__xludf.DUMMYFUNCTION("""COMPUTED_VALUE"""),"Rovie Hawang")</f>
        <v>Rovie Hawang</v>
      </c>
      <c r="S1377" s="1"/>
      <c r="T1377" s="1">
        <f>IFERROR(__xludf.DUMMYFUNCTION("""COMPUTED_VALUE"""),6.0)</f>
        <v>6</v>
      </c>
      <c r="U1377" s="2">
        <f>IFERROR(__xludf.DUMMYFUNCTION("""COMPUTED_VALUE"""),6.0)</f>
        <v>6</v>
      </c>
      <c r="V1377" s="1" t="str">
        <f>IFERROR(__xludf.DUMMYFUNCTION("""COMPUTED_VALUE"""),"Kelden Laguting")</f>
        <v>Kelden Laguting</v>
      </c>
      <c r="W1377" s="1" t="str">
        <f>IFERROR(__xludf.DUMMYFUNCTION("""COMPUTED_VALUE"""),"Admin Omni Support")</f>
        <v>Admin Omni Support</v>
      </c>
    </row>
    <row r="1378">
      <c r="O1378" s="1" t="str">
        <f>IFERROR(__xludf.DUMMYFUNCTION("""COMPUTED_VALUE"""),"2025 Oct")</f>
        <v>2025 Oct</v>
      </c>
      <c r="P1378" s="1" t="str">
        <f>IFERROR(__xludf.DUMMYFUNCTION("""COMPUTED_VALUE"""),"Admin Support")</f>
        <v>Admin Support</v>
      </c>
      <c r="Q1378" s="1" t="str">
        <f>IFERROR(__xludf.DUMMYFUNCTION("""COMPUTED_VALUE"""),"roxanne@canva.com")</f>
        <v>roxanne@canva.com</v>
      </c>
      <c r="R1378" s="1" t="str">
        <f>IFERROR(__xludf.DUMMYFUNCTION("""COMPUTED_VALUE"""),"Roxanne Joy Capunayan")</f>
        <v>Roxanne Joy Capunayan</v>
      </c>
      <c r="S1378" s="1">
        <f>IFERROR(__xludf.DUMMYFUNCTION("""COMPUTED_VALUE"""),2.0)</f>
        <v>2</v>
      </c>
      <c r="T1378" s="1">
        <f>IFERROR(__xludf.DUMMYFUNCTION("""COMPUTED_VALUE"""),41.25)</f>
        <v>41.25</v>
      </c>
      <c r="U1378" s="2">
        <f>IFERROR(__xludf.DUMMYFUNCTION("""COMPUTED_VALUE"""),43.25)</f>
        <v>43.25</v>
      </c>
      <c r="V1378" s="1" t="str">
        <f>IFERROR(__xludf.DUMMYFUNCTION("""COMPUTED_VALUE"""),"Ann Dumlao")</f>
        <v>Ann Dumlao</v>
      </c>
      <c r="W1378" s="1" t="str">
        <f>IFERROR(__xludf.DUMMYFUNCTION("""COMPUTED_VALUE"""),"Admin Omni Support")</f>
        <v>Admin Omni Support</v>
      </c>
    </row>
    <row r="1379">
      <c r="O1379" s="1" t="str">
        <f>IFERROR(__xludf.DUMMYFUNCTION("""COMPUTED_VALUE"""),"2025 Oct")</f>
        <v>2025 Oct</v>
      </c>
      <c r="P1379" s="1" t="str">
        <f>IFERROR(__xludf.DUMMYFUNCTION("""COMPUTED_VALUE"""),"Core Product Support")</f>
        <v>Core Product Support</v>
      </c>
      <c r="Q1379" s="1" t="str">
        <f>IFERROR(__xludf.DUMMYFUNCTION("""COMPUTED_VALUE"""),"rozelp@canva.com")</f>
        <v>rozelp@canva.com</v>
      </c>
      <c r="R1379" s="1" t="str">
        <f>IFERROR(__xludf.DUMMYFUNCTION("""COMPUTED_VALUE"""),"Rozel Punsalan")</f>
        <v>Rozel Punsalan</v>
      </c>
      <c r="S1379" s="1">
        <f>IFERROR(__xludf.DUMMYFUNCTION("""COMPUTED_VALUE"""),0.5)</f>
        <v>0.5</v>
      </c>
      <c r="T1379" s="1">
        <f>IFERROR(__xludf.DUMMYFUNCTION("""COMPUTED_VALUE"""),6.0)</f>
        <v>6</v>
      </c>
      <c r="U1379" s="2">
        <f>IFERROR(__xludf.DUMMYFUNCTION("""COMPUTED_VALUE"""),6.5)</f>
        <v>6.5</v>
      </c>
      <c r="V1379" s="1" t="str">
        <f>IFERROR(__xludf.DUMMYFUNCTION("""COMPUTED_VALUE"""),"Marie Mordeno")</f>
        <v>Marie Mordeno</v>
      </c>
      <c r="W1379" s="1" t="str">
        <f>IFERROR(__xludf.DUMMYFUNCTION("""COMPUTED_VALUE"""),"Advanced Billing &amp; Subscriptions")</f>
        <v>Advanced Billing &amp; Subscriptions</v>
      </c>
    </row>
    <row r="1380">
      <c r="O1380" s="1" t="str">
        <f>IFERROR(__xludf.DUMMYFUNCTION("""COMPUTED_VALUE"""),"2025 Oct")</f>
        <v>2025 Oct</v>
      </c>
      <c r="P1380" s="1" t="str">
        <f>IFERROR(__xludf.DUMMYFUNCTION("""COMPUTED_VALUE"""),"Core Product Support")</f>
        <v>Core Product Support</v>
      </c>
      <c r="Q1380" s="1" t="str">
        <f>IFERROR(__xludf.DUMMYFUNCTION("""COMPUTED_VALUE"""),"rozie@canva.com")</f>
        <v>rozie@canva.com</v>
      </c>
      <c r="R1380" s="1" t="str">
        <f>IFERROR(__xludf.DUMMYFUNCTION("""COMPUTED_VALUE"""),"Rozie Gumba - Flex Program Data Team")</f>
        <v>Rozie Gumba - Flex Program Data Team</v>
      </c>
      <c r="S1380" s="1"/>
      <c r="T1380" s="1"/>
      <c r="U1380" s="2">
        <f>IFERROR(__xludf.DUMMYFUNCTION("""COMPUTED_VALUE"""),0.0)</f>
        <v>0</v>
      </c>
      <c r="V1380" s="1" t="str">
        <f>IFERROR(__xludf.DUMMYFUNCTION("""COMPUTED_VALUE"""),"Ayza Marie Pascual")</f>
        <v>Ayza Marie Pascual</v>
      </c>
      <c r="W1380" s="1" t="str">
        <f>IFERROR(__xludf.DUMMYFUNCTION("""COMPUTED_VALUE"""),"Advanced Billing &amp; Subscriptions")</f>
        <v>Advanced Billing &amp; Subscriptions</v>
      </c>
    </row>
    <row r="1381">
      <c r="O1381" s="1" t="str">
        <f>IFERROR(__xludf.DUMMYFUNCTION("""COMPUTED_VALUE"""),"2025 Oct")</f>
        <v>2025 Oct</v>
      </c>
      <c r="P1381" s="1" t="str">
        <f>IFERROR(__xludf.DUMMYFUNCTION("""COMPUTED_VALUE"""),"Core Product Support")</f>
        <v>Core Product Support</v>
      </c>
      <c r="Q1381" s="1" t="str">
        <f>IFERROR(__xludf.DUMMYFUNCTION("""COMPUTED_VALUE"""),"ruzel@canva.com")</f>
        <v>ruzel@canva.com</v>
      </c>
      <c r="R1381" s="1" t="str">
        <f>IFERROR(__xludf.DUMMYFUNCTION("""COMPUTED_VALUE"""),"Ruzel Raqueno")</f>
        <v>Ruzel Raqueno</v>
      </c>
      <c r="S1381" s="1">
        <f>IFERROR(__xludf.DUMMYFUNCTION("""COMPUTED_VALUE"""),0.5)</f>
        <v>0.5</v>
      </c>
      <c r="T1381" s="1">
        <f>IFERROR(__xludf.DUMMYFUNCTION("""COMPUTED_VALUE"""),15.75)</f>
        <v>15.75</v>
      </c>
      <c r="U1381" s="2">
        <f>IFERROR(__xludf.DUMMYFUNCTION("""COMPUTED_VALUE"""),16.25)</f>
        <v>16.25</v>
      </c>
      <c r="V1381" s="1" t="str">
        <f>IFERROR(__xludf.DUMMYFUNCTION("""COMPUTED_VALUE"""),"Ellaine Estayo")</f>
        <v>Ellaine Estayo</v>
      </c>
      <c r="W1381" s="1" t="str">
        <f>IFERROR(__xludf.DUMMYFUNCTION("""COMPUTED_VALUE"""),"Core Product Support Escalation Team")</f>
        <v>Core Product Support Escalation Team</v>
      </c>
    </row>
    <row r="1382">
      <c r="O1382" s="1" t="str">
        <f>IFERROR(__xludf.DUMMYFUNCTION("""COMPUTED_VALUE"""),"2025 Oct")</f>
        <v>2025 Oct</v>
      </c>
      <c r="P1382" s="1" t="str">
        <f>IFERROR(__xludf.DUMMYFUNCTION("""COMPUTED_VALUE"""),"Print Support")</f>
        <v>Print Support</v>
      </c>
      <c r="Q1382" s="1" t="str">
        <f>IFERROR(__xludf.DUMMYFUNCTION("""COMPUTED_VALUE"""),"rdominick@canva.com")</f>
        <v>rdominick@canva.com</v>
      </c>
      <c r="R1382" s="1" t="str">
        <f>IFERROR(__xludf.DUMMYFUNCTION("""COMPUTED_VALUE"""),"Ryan Dominick Razon")</f>
        <v>Ryan Dominick Razon</v>
      </c>
      <c r="S1382" s="1"/>
      <c r="T1382" s="1">
        <f>IFERROR(__xludf.DUMMYFUNCTION("""COMPUTED_VALUE"""),2.75)</f>
        <v>2.75</v>
      </c>
      <c r="U1382" s="2">
        <f>IFERROR(__xludf.DUMMYFUNCTION("""COMPUTED_VALUE"""),2.75)</f>
        <v>2.75</v>
      </c>
      <c r="V1382" s="1" t="str">
        <f>IFERROR(__xludf.DUMMYFUNCTION("""COMPUTED_VALUE"""),"Jen Momo")</f>
        <v>Jen Momo</v>
      </c>
      <c r="W1382" s="1" t="str">
        <f>IFERROR(__xludf.DUMMYFUNCTION("""COMPUTED_VALUE"""),"Print Support PH")</f>
        <v>Print Support PH</v>
      </c>
    </row>
    <row r="1383">
      <c r="O1383" s="1" t="str">
        <f>IFERROR(__xludf.DUMMYFUNCTION("""COMPUTED_VALUE"""),"2025 Oct")</f>
        <v>2025 Oct</v>
      </c>
      <c r="P1383" s="1" t="str">
        <f>IFERROR(__xludf.DUMMYFUNCTION("""COMPUTED_VALUE"""),"Segment-specific Support")</f>
        <v>Segment-specific Support</v>
      </c>
      <c r="Q1383" s="1" t="str">
        <f>IFERROR(__xludf.DUMMYFUNCTION("""COMPUTED_VALUE"""),"sammiee@canva.com")</f>
        <v>sammiee@canva.com</v>
      </c>
      <c r="R1383" s="1" t="str">
        <f>IFERROR(__xludf.DUMMYFUNCTION("""COMPUTED_VALUE"""),"Sam Espelimbergo")</f>
        <v>Sam Espelimbergo</v>
      </c>
      <c r="S1383" s="1"/>
      <c r="T1383" s="1">
        <f>IFERROR(__xludf.DUMMYFUNCTION("""COMPUTED_VALUE"""),1.5)</f>
        <v>1.5</v>
      </c>
      <c r="U1383" s="2">
        <f>IFERROR(__xludf.DUMMYFUNCTION("""COMPUTED_VALUE"""),1.5)</f>
        <v>1.5</v>
      </c>
      <c r="V1383" s="1" t="str">
        <f>IFERROR(__xludf.DUMMYFUNCTION("""COMPUTED_VALUE"""),"Aileen Dayanghirang")</f>
        <v>Aileen Dayanghirang</v>
      </c>
      <c r="W1383" s="1" t="str">
        <f>IFERROR(__xludf.DUMMYFUNCTION("""COMPUTED_VALUE"""),"Creators Support")</f>
        <v>Creators Support</v>
      </c>
    </row>
    <row r="1384">
      <c r="O1384" s="1" t="str">
        <f>IFERROR(__xludf.DUMMYFUNCTION("""COMPUTED_VALUE"""),"2025 Oct")</f>
        <v>2025 Oct</v>
      </c>
      <c r="P1384" s="1" t="str">
        <f>IFERROR(__xludf.DUMMYFUNCTION("""COMPUTED_VALUE"""),"Admin Support")</f>
        <v>Admin Support</v>
      </c>
      <c r="Q1384" s="1" t="str">
        <f>IFERROR(__xludf.DUMMYFUNCTION("""COMPUTED_VALUE"""),"simber@canva.com")</f>
        <v>simber@canva.com</v>
      </c>
      <c r="R1384" s="1" t="str">
        <f>IFERROR(__xludf.DUMMYFUNCTION("""COMPUTED_VALUE"""),"Sean Imber")</f>
        <v>Sean Imber</v>
      </c>
      <c r="S1384" s="1"/>
      <c r="T1384" s="1">
        <f>IFERROR(__xludf.DUMMYFUNCTION("""COMPUTED_VALUE"""),5.0)</f>
        <v>5</v>
      </c>
      <c r="U1384" s="2">
        <f>IFERROR(__xludf.DUMMYFUNCTION("""COMPUTED_VALUE"""),5.0)</f>
        <v>5</v>
      </c>
      <c r="V1384" s="1" t="str">
        <f>IFERROR(__xludf.DUMMYFUNCTION("""COMPUTED_VALUE"""),"Elise Cesario Mendes")</f>
        <v>Elise Cesario Mendes</v>
      </c>
      <c r="W1384" s="1" t="str">
        <f>IFERROR(__xludf.DUMMYFUNCTION("""COMPUTED_VALUE"""),"Admin Support APJ")</f>
        <v>Admin Support APJ</v>
      </c>
    </row>
    <row r="1385">
      <c r="O1385" s="1" t="str">
        <f>IFERROR(__xludf.DUMMYFUNCTION("""COMPUTED_VALUE"""),"2025 Oct")</f>
        <v>2025 Oct</v>
      </c>
      <c r="P1385" s="1" t="str">
        <f>IFERROR(__xludf.DUMMYFUNCTION("""COMPUTED_VALUE"""),"#N/A")</f>
        <v>#N/A</v>
      </c>
      <c r="Q1385" s="1" t="str">
        <f>IFERROR(__xludf.DUMMYFUNCTION("""COMPUTED_VALUE"""),"selle@canva.com")</f>
        <v>selle@canva.com</v>
      </c>
      <c r="R1385" s="1" t="str">
        <f>IFERROR(__xludf.DUMMYFUNCTION("""COMPUTED_VALUE"""),"Selle Falculan")</f>
        <v>Selle Falculan</v>
      </c>
      <c r="S1385" s="1">
        <f>IFERROR(__xludf.DUMMYFUNCTION("""COMPUTED_VALUE"""),2.5)</f>
        <v>2.5</v>
      </c>
      <c r="T1385" s="1">
        <f>IFERROR(__xludf.DUMMYFUNCTION("""COMPUTED_VALUE"""),3.0)</f>
        <v>3</v>
      </c>
      <c r="U1385" s="2">
        <f>IFERROR(__xludf.DUMMYFUNCTION("""COMPUTED_VALUE"""),5.5)</f>
        <v>5.5</v>
      </c>
      <c r="V1385" s="1" t="str">
        <f>IFERROR(__xludf.DUMMYFUNCTION("""COMPUTED_VALUE"""),"#N/A")</f>
        <v>#N/A</v>
      </c>
      <c r="W1385" s="1" t="str">
        <f>IFERROR(__xludf.DUMMYFUNCTION("""COMPUTED_VALUE"""),"#N/A")</f>
        <v>#N/A</v>
      </c>
    </row>
    <row r="1386">
      <c r="O1386" s="1" t="str">
        <f>IFERROR(__xludf.DUMMYFUNCTION("""COMPUTED_VALUE"""),"2025 Oct")</f>
        <v>2025 Oct</v>
      </c>
      <c r="P1386" s="1" t="str">
        <f>IFERROR(__xludf.DUMMYFUNCTION("""COMPUTED_VALUE"""),"High Sensitivity Support")</f>
        <v>High Sensitivity Support</v>
      </c>
      <c r="Q1386" s="1" t="str">
        <f>IFERROR(__xludf.DUMMYFUNCTION("""COMPUTED_VALUE"""),"sbaldonado@canva.com")</f>
        <v>sbaldonado@canva.com</v>
      </c>
      <c r="R1386" s="1" t="str">
        <f>IFERROR(__xludf.DUMMYFUNCTION("""COMPUTED_VALUE"""),"Sheira Nicole Baldonado")</f>
        <v>Sheira Nicole Baldonado</v>
      </c>
      <c r="S1386" s="1">
        <f>IFERROR(__xludf.DUMMYFUNCTION("""COMPUTED_VALUE"""),8.72)</f>
        <v>8.72</v>
      </c>
      <c r="T1386" s="1">
        <f>IFERROR(__xludf.DUMMYFUNCTION("""COMPUTED_VALUE"""),3.0)</f>
        <v>3</v>
      </c>
      <c r="U1386" s="2">
        <f>IFERROR(__xludf.DUMMYFUNCTION("""COMPUTED_VALUE"""),11.72)</f>
        <v>11.72</v>
      </c>
      <c r="V1386" s="1" t="str">
        <f>IFERROR(__xludf.DUMMYFUNCTION("""COMPUTED_VALUE"""),"Rex Villamor")</f>
        <v>Rex Villamor</v>
      </c>
      <c r="W1386" s="1" t="str">
        <f>IFERROR(__xludf.DUMMYFUNCTION("""COMPUTED_VALUE"""),"High Sensitivity Support PH")</f>
        <v>High Sensitivity Support PH</v>
      </c>
    </row>
    <row r="1387">
      <c r="O1387" s="1" t="str">
        <f>IFERROR(__xludf.DUMMYFUNCTION("""COMPUTED_VALUE"""),"2025 Oct")</f>
        <v>2025 Oct</v>
      </c>
      <c r="P1387" s="1" t="str">
        <f>IFERROR(__xludf.DUMMYFUNCTION("""COMPUTED_VALUE"""),"Core Product Support")</f>
        <v>Core Product Support</v>
      </c>
      <c r="Q1387" s="1" t="str">
        <f>IFERROR(__xludf.DUMMYFUNCTION("""COMPUTED_VALUE"""),"sophiae@canva.com")</f>
        <v>sophiae@canva.com</v>
      </c>
      <c r="R1387" s="1" t="str">
        <f>IFERROR(__xludf.DUMMYFUNCTION("""COMPUTED_VALUE"""),"Sophia Ermac")</f>
        <v>Sophia Ermac</v>
      </c>
      <c r="S1387" s="1">
        <f>IFERROR(__xludf.DUMMYFUNCTION("""COMPUTED_VALUE"""),1.75)</f>
        <v>1.75</v>
      </c>
      <c r="T1387" s="1">
        <f>IFERROR(__xludf.DUMMYFUNCTION("""COMPUTED_VALUE"""),3.0)</f>
        <v>3</v>
      </c>
      <c r="U1387" s="2">
        <f>IFERROR(__xludf.DUMMYFUNCTION("""COMPUTED_VALUE"""),4.75)</f>
        <v>4.75</v>
      </c>
      <c r="V1387" s="1" t="str">
        <f>IFERROR(__xludf.DUMMYFUNCTION("""COMPUTED_VALUE"""),"Ana Lazaro")</f>
        <v>Ana Lazaro</v>
      </c>
      <c r="W1387" s="1" t="str">
        <f>IFERROR(__xludf.DUMMYFUNCTION("""COMPUTED_VALUE"""),"Advanced Billing &amp; Subscriptions")</f>
        <v>Advanced Billing &amp; Subscriptions</v>
      </c>
    </row>
    <row r="1388">
      <c r="O1388" s="1" t="str">
        <f>IFERROR(__xludf.DUMMYFUNCTION("""COMPUTED_VALUE"""),"2025 Oct")</f>
        <v>2025 Oct</v>
      </c>
      <c r="P1388" s="1" t="str">
        <f>IFERROR(__xludf.DUMMYFUNCTION("""COMPUTED_VALUE"""),"Admin Support")</f>
        <v>Admin Support</v>
      </c>
      <c r="Q1388" s="1" t="str">
        <f>IFERROR(__xludf.DUMMYFUNCTION("""COMPUTED_VALUE"""),"stephanie.t@canva.com")</f>
        <v>stephanie.t@canva.com</v>
      </c>
      <c r="R1388" s="1" t="str">
        <f>IFERROR(__xludf.DUMMYFUNCTION("""COMPUTED_VALUE"""),"Stephanie Lyn Tan")</f>
        <v>Stephanie Lyn Tan</v>
      </c>
      <c r="S1388" s="1"/>
      <c r="T1388" s="1">
        <f>IFERROR(__xludf.DUMMYFUNCTION("""COMPUTED_VALUE"""),7.5)</f>
        <v>7.5</v>
      </c>
      <c r="U1388" s="2">
        <f>IFERROR(__xludf.DUMMYFUNCTION("""COMPUTED_VALUE"""),7.5)</f>
        <v>7.5</v>
      </c>
      <c r="V1388" s="1" t="str">
        <f>IFERROR(__xludf.DUMMYFUNCTION("""COMPUTED_VALUE"""),"Pau Palmero")</f>
        <v>Pau Palmero</v>
      </c>
      <c r="W1388" s="1" t="str">
        <f>IFERROR(__xludf.DUMMYFUNCTION("""COMPUTED_VALUE"""),"Admin Omni Support")</f>
        <v>Admin Omni Support</v>
      </c>
    </row>
    <row r="1389">
      <c r="O1389" s="1" t="str">
        <f>IFERROR(__xludf.DUMMYFUNCTION("""COMPUTED_VALUE"""),"2025 Oct")</f>
        <v>2025 Oct</v>
      </c>
      <c r="P1389" s="1" t="str">
        <f>IFERROR(__xludf.DUMMYFUNCTION("""COMPUTED_VALUE"""),"Admin Support")</f>
        <v>Admin Support</v>
      </c>
      <c r="Q1389" s="1" t="str">
        <f>IFERROR(__xludf.DUMMYFUNCTION("""COMPUTED_VALUE"""),"stephen.k@canva.com")</f>
        <v>stephen.k@canva.com</v>
      </c>
      <c r="R1389" s="1" t="str">
        <f>IFERROR(__xludf.DUMMYFUNCTION("""COMPUTED_VALUE"""),"Stephen Kahanap")</f>
        <v>Stephen Kahanap</v>
      </c>
      <c r="S1389" s="1">
        <f>IFERROR(__xludf.DUMMYFUNCTION("""COMPUTED_VALUE"""),1.0)</f>
        <v>1</v>
      </c>
      <c r="T1389" s="1">
        <f>IFERROR(__xludf.DUMMYFUNCTION("""COMPUTED_VALUE"""),14.17)</f>
        <v>14.17</v>
      </c>
      <c r="U1389" s="2">
        <f>IFERROR(__xludf.DUMMYFUNCTION("""COMPUTED_VALUE"""),15.17)</f>
        <v>15.17</v>
      </c>
      <c r="V1389" s="1" t="str">
        <f>IFERROR(__xludf.DUMMYFUNCTION("""COMPUTED_VALUE"""),"Ann Dumlao")</f>
        <v>Ann Dumlao</v>
      </c>
      <c r="W1389" s="1" t="str">
        <f>IFERROR(__xludf.DUMMYFUNCTION("""COMPUTED_VALUE"""),"Admin Omni Support")</f>
        <v>Admin Omni Support</v>
      </c>
    </row>
    <row r="1390">
      <c r="O1390" s="1" t="str">
        <f>IFERROR(__xludf.DUMMYFUNCTION("""COMPUTED_VALUE"""),"2025 Oct")</f>
        <v>2025 Oct</v>
      </c>
      <c r="P1390" s="1" t="str">
        <f>IFERROR(__xludf.DUMMYFUNCTION("""COMPUTED_VALUE"""),"Segment-specific Support")</f>
        <v>Segment-specific Support</v>
      </c>
      <c r="Q1390" s="1" t="str">
        <f>IFERROR(__xludf.DUMMYFUNCTION("""COMPUTED_VALUE"""),"sremo@canva.com")</f>
        <v>sremo@canva.com</v>
      </c>
      <c r="R1390" s="1" t="str">
        <f>IFERROR(__xludf.DUMMYFUNCTION("""COMPUTED_VALUE"""),"Sunshine Remo")</f>
        <v>Sunshine Remo</v>
      </c>
      <c r="S1390" s="1">
        <f>IFERROR(__xludf.DUMMYFUNCTION("""COMPUTED_VALUE"""),1.0)</f>
        <v>1</v>
      </c>
      <c r="T1390" s="1">
        <f>IFERROR(__xludf.DUMMYFUNCTION("""COMPUTED_VALUE"""),1.5)</f>
        <v>1.5</v>
      </c>
      <c r="U1390" s="2">
        <f>IFERROR(__xludf.DUMMYFUNCTION("""COMPUTED_VALUE"""),2.5)</f>
        <v>2.5</v>
      </c>
      <c r="V1390" s="1" t="str">
        <f>IFERROR(__xludf.DUMMYFUNCTION("""COMPUTED_VALUE"""),"Rose Gabilan")</f>
        <v>Rose Gabilan</v>
      </c>
      <c r="W1390" s="1" t="str">
        <f>IFERROR(__xludf.DUMMYFUNCTION("""COMPUTED_VALUE"""),"Affinity Support")</f>
        <v>Affinity Support</v>
      </c>
    </row>
    <row r="1391">
      <c r="O1391" s="1" t="str">
        <f>IFERROR(__xludf.DUMMYFUNCTION("""COMPUTED_VALUE"""),"2025 Oct")</f>
        <v>2025 Oct</v>
      </c>
      <c r="P1391" s="1" t="str">
        <f>IFERROR(__xludf.DUMMYFUNCTION("""COMPUTED_VALUE"""),"Admin Support")</f>
        <v>Admin Support</v>
      </c>
      <c r="Q1391" s="1" t="str">
        <f>IFERROR(__xludf.DUMMYFUNCTION("""COMPUTED_VALUE"""),"susann@canva.com")</f>
        <v>susann@canva.com</v>
      </c>
      <c r="R1391" s="1" t="str">
        <f>IFERROR(__xludf.DUMMYFUNCTION("""COMPUTED_VALUE"""),"Susann Dierich")</f>
        <v>Susann Dierich</v>
      </c>
      <c r="S1391" s="1"/>
      <c r="T1391" s="1">
        <f>IFERROR(__xludf.DUMMYFUNCTION("""COMPUTED_VALUE"""),5.0)</f>
        <v>5</v>
      </c>
      <c r="U1391" s="2">
        <f>IFERROR(__xludf.DUMMYFUNCTION("""COMPUTED_VALUE"""),5.0)</f>
        <v>5</v>
      </c>
      <c r="V1391" s="1" t="str">
        <f>IFERROR(__xludf.DUMMYFUNCTION("""COMPUTED_VALUE"""),"Tash Kelly")</f>
        <v>Tash Kelly</v>
      </c>
      <c r="W1391" s="1" t="str">
        <f>IFERROR(__xludf.DUMMYFUNCTION("""COMPUTED_VALUE"""),"Admin Support EMEA")</f>
        <v>Admin Support EMEA</v>
      </c>
    </row>
    <row r="1392">
      <c r="O1392" s="1" t="str">
        <f>IFERROR(__xludf.DUMMYFUNCTION("""COMPUTED_VALUE"""),"2025 Oct")</f>
        <v>2025 Oct</v>
      </c>
      <c r="P1392" s="1" t="str">
        <f>IFERROR(__xludf.DUMMYFUNCTION("""COMPUTED_VALUE"""),"Admin Support")</f>
        <v>Admin Support</v>
      </c>
      <c r="Q1392" s="1" t="str">
        <f>IFERROR(__xludf.DUMMYFUNCTION("""COMPUTED_VALUE"""),"skyles@canva.com")</f>
        <v>skyles@canva.com</v>
      </c>
      <c r="R1392" s="1" t="str">
        <f>IFERROR(__xludf.DUMMYFUNCTION("""COMPUTED_VALUE"""),"Sylvia Kyles")</f>
        <v>Sylvia Kyles</v>
      </c>
      <c r="S1392" s="1">
        <f>IFERROR(__xludf.DUMMYFUNCTION("""COMPUTED_VALUE"""),2.5)</f>
        <v>2.5</v>
      </c>
      <c r="T1392" s="1">
        <f>IFERROR(__xludf.DUMMYFUNCTION("""COMPUTED_VALUE"""),12.25)</f>
        <v>12.25</v>
      </c>
      <c r="U1392" s="2">
        <f>IFERROR(__xludf.DUMMYFUNCTION("""COMPUTED_VALUE"""),14.75)</f>
        <v>14.75</v>
      </c>
      <c r="V1392" s="1" t="str">
        <f>IFERROR(__xludf.DUMMYFUNCTION("""COMPUTED_VALUE"""),"Nate Vela")</f>
        <v>Nate Vela</v>
      </c>
      <c r="W1392" s="1" t="str">
        <f>IFERROR(__xludf.DUMMYFUNCTION("""COMPUTED_VALUE"""),"Admin Support NA")</f>
        <v>Admin Support NA</v>
      </c>
    </row>
    <row r="1393">
      <c r="O1393" s="1" t="str">
        <f>IFERROR(__xludf.DUMMYFUNCTION("""COMPUTED_VALUE"""),"2025 Oct")</f>
        <v>2025 Oct</v>
      </c>
      <c r="P1393" s="1" t="str">
        <f>IFERROR(__xludf.DUMMYFUNCTION("""COMPUTED_VALUE"""),"#N/A")</f>
        <v>#N/A</v>
      </c>
      <c r="Q1393" s="1" t="str">
        <f>IFERROR(__xludf.DUMMYFUNCTION("""COMPUTED_VALUE"""),"tammy@canva.com")</f>
        <v>tammy@canva.com</v>
      </c>
      <c r="R1393" s="1" t="str">
        <f>IFERROR(__xludf.DUMMYFUNCTION("""COMPUTED_VALUE"""),"Tammy Lustre (Data Flex until 31 Jan 2026)")</f>
        <v>Tammy Lustre (Data Flex until 31 Jan 2026)</v>
      </c>
      <c r="S1393" s="1"/>
      <c r="T1393" s="1"/>
      <c r="U1393" s="2">
        <f>IFERROR(__xludf.DUMMYFUNCTION("""COMPUTED_VALUE"""),0.0)</f>
        <v>0</v>
      </c>
      <c r="V1393" s="1" t="str">
        <f>IFERROR(__xludf.DUMMYFUNCTION("""COMPUTED_VALUE"""),"#N/A")</f>
        <v>#N/A</v>
      </c>
      <c r="W1393" s="1" t="str">
        <f>IFERROR(__xludf.DUMMYFUNCTION("""COMPUTED_VALUE"""),"PHL, Multilingual Support")</f>
        <v>PHL, Multilingual Support</v>
      </c>
    </row>
    <row r="1394">
      <c r="O1394" s="1" t="str">
        <f>IFERROR(__xludf.DUMMYFUNCTION("""COMPUTED_VALUE"""),"2025 Oct")</f>
        <v>2025 Oct</v>
      </c>
      <c r="P1394" s="1" t="str">
        <f>IFERROR(__xludf.DUMMYFUNCTION("""COMPUTED_VALUE"""),"Print Support")</f>
        <v>Print Support</v>
      </c>
      <c r="Q1394" s="1" t="str">
        <f>IFERROR(__xludf.DUMMYFUNCTION("""COMPUTED_VALUE"""),"theag@canva.com")</f>
        <v>theag@canva.com</v>
      </c>
      <c r="R1394" s="1" t="str">
        <f>IFERROR(__xludf.DUMMYFUNCTION("""COMPUTED_VALUE"""),"Thea Gelua")</f>
        <v>Thea Gelua</v>
      </c>
      <c r="S1394" s="1">
        <f>IFERROR(__xludf.DUMMYFUNCTION("""COMPUTED_VALUE"""),7.25)</f>
        <v>7.25</v>
      </c>
      <c r="T1394" s="1">
        <f>IFERROR(__xludf.DUMMYFUNCTION("""COMPUTED_VALUE"""),0.75)</f>
        <v>0.75</v>
      </c>
      <c r="U1394" s="2">
        <f>IFERROR(__xludf.DUMMYFUNCTION("""COMPUTED_VALUE"""),8.0)</f>
        <v>8</v>
      </c>
      <c r="V1394" s="1" t="str">
        <f>IFERROR(__xludf.DUMMYFUNCTION("""COMPUTED_VALUE"""),"Jen Momo")</f>
        <v>Jen Momo</v>
      </c>
      <c r="W1394" s="1" t="str">
        <f>IFERROR(__xludf.DUMMYFUNCTION("""COMPUTED_VALUE"""),"Print Support PH")</f>
        <v>Print Support PH</v>
      </c>
    </row>
    <row r="1395">
      <c r="O1395" s="1" t="str">
        <f>IFERROR(__xludf.DUMMYFUNCTION("""COMPUTED_VALUE"""),"2025 Oct")</f>
        <v>2025 Oct</v>
      </c>
      <c r="P1395" s="1" t="str">
        <f>IFERROR(__xludf.DUMMYFUNCTION("""COMPUTED_VALUE"""),"Print Support")</f>
        <v>Print Support</v>
      </c>
      <c r="Q1395" s="1" t="str">
        <f>IFERROR(__xludf.DUMMYFUNCTION("""COMPUTED_VALUE"""),"tia@canva.com")</f>
        <v>tia@canva.com</v>
      </c>
      <c r="R1395" s="1" t="str">
        <f>IFERROR(__xludf.DUMMYFUNCTION("""COMPUTED_VALUE"""),"Tia Tilanduca")</f>
        <v>Tia Tilanduca</v>
      </c>
      <c r="S1395" s="1"/>
      <c r="T1395" s="1">
        <f>IFERROR(__xludf.DUMMYFUNCTION("""COMPUTED_VALUE"""),3.5)</f>
        <v>3.5</v>
      </c>
      <c r="U1395" s="2">
        <f>IFERROR(__xludf.DUMMYFUNCTION("""COMPUTED_VALUE"""),3.5)</f>
        <v>3.5</v>
      </c>
      <c r="V1395" s="1" t="str">
        <f>IFERROR(__xludf.DUMMYFUNCTION("""COMPUTED_VALUE"""),"Louise Dianne Estrella")</f>
        <v>Louise Dianne Estrella</v>
      </c>
      <c r="W1395" s="1" t="str">
        <f>IFERROR(__xludf.DUMMYFUNCTION("""COMPUTED_VALUE"""),"Print Support PH")</f>
        <v>Print Support PH</v>
      </c>
    </row>
    <row r="1396">
      <c r="O1396" s="1" t="str">
        <f>IFERROR(__xludf.DUMMYFUNCTION("""COMPUTED_VALUE"""),"2025 Oct")</f>
        <v>2025 Oct</v>
      </c>
      <c r="P1396" s="1" t="str">
        <f>IFERROR(__xludf.DUMMYFUNCTION("""COMPUTED_VALUE"""),"Admin Support")</f>
        <v>Admin Support</v>
      </c>
      <c r="Q1396" s="1" t="str">
        <f>IFERROR(__xludf.DUMMYFUNCTION("""COMPUTED_VALUE"""),"tiara@canva.com")</f>
        <v>tiara@canva.com</v>
      </c>
      <c r="R1396" s="1" t="str">
        <f>IFERROR(__xludf.DUMMYFUNCTION("""COMPUTED_VALUE"""),"Tiara Samonte")</f>
        <v>Tiara Samonte</v>
      </c>
      <c r="S1396" s="1">
        <f>IFERROR(__xludf.DUMMYFUNCTION("""COMPUTED_VALUE"""),0.5)</f>
        <v>0.5</v>
      </c>
      <c r="T1396" s="1">
        <f>IFERROR(__xludf.DUMMYFUNCTION("""COMPUTED_VALUE"""),5.0)</f>
        <v>5</v>
      </c>
      <c r="U1396" s="2">
        <f>IFERROR(__xludf.DUMMYFUNCTION("""COMPUTED_VALUE"""),5.5)</f>
        <v>5.5</v>
      </c>
      <c r="V1396" s="1" t="str">
        <f>IFERROR(__xludf.DUMMYFUNCTION("""COMPUTED_VALUE"""),"AL Suarez")</f>
        <v>AL Suarez</v>
      </c>
      <c r="W1396" s="1" t="str">
        <f>IFERROR(__xludf.DUMMYFUNCTION("""COMPUTED_VALUE"""),"Advanced Billing &amp; Subscriptions")</f>
        <v>Advanced Billing &amp; Subscriptions</v>
      </c>
    </row>
    <row r="1397">
      <c r="O1397" s="1" t="str">
        <f>IFERROR(__xludf.DUMMYFUNCTION("""COMPUTED_VALUE"""),"2025 Oct")</f>
        <v>2025 Oct</v>
      </c>
      <c r="P1397" s="1" t="str">
        <f>IFERROR(__xludf.DUMMYFUNCTION("""COMPUTED_VALUE"""),"Segment-specific Support")</f>
        <v>Segment-specific Support</v>
      </c>
      <c r="Q1397" s="1" t="str">
        <f>IFERROR(__xludf.DUMMYFUNCTION("""COMPUTED_VALUE"""),"timdl@canva.com")</f>
        <v>timdl@canva.com</v>
      </c>
      <c r="R1397" s="1" t="str">
        <f>IFERROR(__xludf.DUMMYFUNCTION("""COMPUTED_VALUE"""),"Tim De Leon")</f>
        <v>Tim De Leon</v>
      </c>
      <c r="S1397" s="1"/>
      <c r="T1397" s="1">
        <f>IFERROR(__xludf.DUMMYFUNCTION("""COMPUTED_VALUE"""),1.5)</f>
        <v>1.5</v>
      </c>
      <c r="U1397" s="2">
        <f>IFERROR(__xludf.DUMMYFUNCTION("""COMPUTED_VALUE"""),1.5)</f>
        <v>1.5</v>
      </c>
      <c r="V1397" s="1" t="str">
        <f>IFERROR(__xludf.DUMMYFUNCTION("""COMPUTED_VALUE"""),"Aileen Dayanghirang")</f>
        <v>Aileen Dayanghirang</v>
      </c>
      <c r="W1397" s="1" t="str">
        <f>IFERROR(__xludf.DUMMYFUNCTION("""COMPUTED_VALUE"""),"Creators Support")</f>
        <v>Creators Support</v>
      </c>
    </row>
    <row r="1398">
      <c r="O1398" s="1" t="str">
        <f>IFERROR(__xludf.DUMMYFUNCTION("""COMPUTED_VALUE"""),"2025 Oct")</f>
        <v>2025 Oct</v>
      </c>
      <c r="P1398" s="1" t="str">
        <f>IFERROR(__xludf.DUMMYFUNCTION("""COMPUTED_VALUE"""),"Admin Support")</f>
        <v>Admin Support</v>
      </c>
      <c r="Q1398" s="1" t="str">
        <f>IFERROR(__xludf.DUMMYFUNCTION("""COMPUTED_VALUE"""),"cnuyda@canva.com")</f>
        <v>cnuyda@canva.com</v>
      </c>
      <c r="R1398" s="1" t="str">
        <f>IFERROR(__xludf.DUMMYFUNCTION("""COMPUTED_VALUE"""),"Toff Nuyda")</f>
        <v>Toff Nuyda</v>
      </c>
      <c r="S1398" s="1"/>
      <c r="T1398" s="1">
        <f>IFERROR(__xludf.DUMMYFUNCTION("""COMPUTED_VALUE"""),21.25)</f>
        <v>21.25</v>
      </c>
      <c r="U1398" s="2">
        <f>IFERROR(__xludf.DUMMYFUNCTION("""COMPUTED_VALUE"""),21.25)</f>
        <v>21.25</v>
      </c>
      <c r="V1398" s="1" t="str">
        <f>IFERROR(__xludf.DUMMYFUNCTION("""COMPUTED_VALUE"""),"Karla Mananghaya")</f>
        <v>Karla Mananghaya</v>
      </c>
      <c r="W1398" s="1" t="str">
        <f>IFERROR(__xludf.DUMMYFUNCTION("""COMPUTED_VALUE"""),"Admin Support Service Escalation Team")</f>
        <v>Admin Support Service Escalation Team</v>
      </c>
    </row>
    <row r="1399">
      <c r="O1399" s="1" t="str">
        <f>IFERROR(__xludf.DUMMYFUNCTION("""COMPUTED_VALUE"""),"2025 Oct")</f>
        <v>2025 Oct</v>
      </c>
      <c r="P1399" s="1" t="str">
        <f>IFERROR(__xludf.DUMMYFUNCTION("""COMPUTED_VALUE"""),"#N/A")</f>
        <v>#N/A</v>
      </c>
      <c r="Q1399" s="1" t="str">
        <f>IFERROR(__xludf.DUMMYFUNCTION("""COMPUTED_VALUE"""),"tofulajo@canva.com")</f>
        <v>tofulajo@canva.com</v>
      </c>
      <c r="R1399" s="1" t="str">
        <f>IFERROR(__xludf.DUMMYFUNCTION("""COMPUTED_VALUE"""),"Tofu Lajo Flex Program UV Data Team")</f>
        <v>Tofu Lajo Flex Program UV Data Team</v>
      </c>
      <c r="S1399" s="1"/>
      <c r="T1399" s="1"/>
      <c r="U1399" s="2">
        <f>IFERROR(__xludf.DUMMYFUNCTION("""COMPUTED_VALUE"""),0.0)</f>
        <v>0</v>
      </c>
      <c r="V1399" s="1" t="str">
        <f>IFERROR(__xludf.DUMMYFUNCTION("""COMPUTED_VALUE"""),"#N/A")</f>
        <v>#N/A</v>
      </c>
      <c r="W1399" s="1" t="str">
        <f>IFERROR(__xludf.DUMMYFUNCTION("""COMPUTED_VALUE"""),"High Sensitivity Support PH")</f>
        <v>High Sensitivity Support PH</v>
      </c>
    </row>
    <row r="1400">
      <c r="O1400" s="1" t="str">
        <f>IFERROR(__xludf.DUMMYFUNCTION("""COMPUTED_VALUE"""),"2025 Oct")</f>
        <v>2025 Oct</v>
      </c>
      <c r="P1400" s="1" t="str">
        <f>IFERROR(__xludf.DUMMYFUNCTION("""COMPUTED_VALUE"""),"Multilingual Support")</f>
        <v>Multilingual Support</v>
      </c>
      <c r="Q1400" s="1" t="str">
        <f>IFERROR(__xludf.DUMMYFUNCTION("""COMPUTED_VALUE"""),"tricia.p@canva.com")</f>
        <v>tricia.p@canva.com</v>
      </c>
      <c r="R1400" s="1" t="str">
        <f>IFERROR(__xludf.DUMMYFUNCTION("""COMPUTED_VALUE"""),"Tricia Pasagui")</f>
        <v>Tricia Pasagui</v>
      </c>
      <c r="S1400" s="1"/>
      <c r="T1400" s="1">
        <f>IFERROR(__xludf.DUMMYFUNCTION("""COMPUTED_VALUE"""),5.0)</f>
        <v>5</v>
      </c>
      <c r="U1400" s="2">
        <f>IFERROR(__xludf.DUMMYFUNCTION("""COMPUTED_VALUE"""),5.0)</f>
        <v>5</v>
      </c>
      <c r="V1400" s="1" t="str">
        <f>IFERROR(__xludf.DUMMYFUNCTION("""COMPUTED_VALUE"""),"Arlene Maurillo")</f>
        <v>Arlene Maurillo</v>
      </c>
      <c r="W1400" s="1" t="str">
        <f>IFERROR(__xludf.DUMMYFUNCTION("""COMPUTED_VALUE"""),"PHL, Multilingual Support")</f>
        <v>PHL, Multilingual Support</v>
      </c>
    </row>
    <row r="1401">
      <c r="O1401" s="1" t="str">
        <f>IFERROR(__xludf.DUMMYFUNCTION("""COMPUTED_VALUE"""),"2025 Oct")</f>
        <v>2025 Oct</v>
      </c>
      <c r="P1401" s="1" t="str">
        <f>IFERROR(__xludf.DUMMYFUNCTION("""COMPUTED_VALUE"""),"High Sensitivity Support")</f>
        <v>High Sensitivity Support</v>
      </c>
      <c r="Q1401" s="1" t="str">
        <f>IFERROR(__xludf.DUMMYFUNCTION("""COMPUTED_VALUE"""),"trina@canva.com")</f>
        <v>trina@canva.com</v>
      </c>
      <c r="R1401" s="1" t="str">
        <f>IFERROR(__xludf.DUMMYFUNCTION("""COMPUTED_VALUE"""),"Trina Salcedo")</f>
        <v>Trina Salcedo</v>
      </c>
      <c r="S1401" s="1">
        <f>IFERROR(__xludf.DUMMYFUNCTION("""COMPUTED_VALUE"""),13.0)</f>
        <v>13</v>
      </c>
      <c r="T1401" s="1">
        <f>IFERROR(__xludf.DUMMYFUNCTION("""COMPUTED_VALUE"""),3.0)</f>
        <v>3</v>
      </c>
      <c r="U1401" s="2">
        <f>IFERROR(__xludf.DUMMYFUNCTION("""COMPUTED_VALUE"""),16.0)</f>
        <v>16</v>
      </c>
      <c r="V1401" s="1" t="str">
        <f>IFERROR(__xludf.DUMMYFUNCTION("""COMPUTED_VALUE"""),"Xandy Azarcon")</f>
        <v>Xandy Azarcon</v>
      </c>
      <c r="W1401" s="1" t="str">
        <f>IFERROR(__xludf.DUMMYFUNCTION("""COMPUTED_VALUE"""),"High Sensitivity Support PH")</f>
        <v>High Sensitivity Support PH</v>
      </c>
    </row>
    <row r="1402">
      <c r="O1402" s="1" t="str">
        <f>IFERROR(__xludf.DUMMYFUNCTION("""COMPUTED_VALUE"""),"2025 Oct")</f>
        <v>2025 Oct</v>
      </c>
      <c r="P1402" s="1" t="str">
        <f>IFERROR(__xludf.DUMMYFUNCTION("""COMPUTED_VALUE"""),"High Sensitivity Support")</f>
        <v>High Sensitivity Support</v>
      </c>
      <c r="Q1402" s="1" t="str">
        <f>IFERROR(__xludf.DUMMYFUNCTION("""COMPUTED_VALUE"""),"trishlee@canva.com")</f>
        <v>trishlee@canva.com</v>
      </c>
      <c r="R1402" s="1" t="str">
        <f>IFERROR(__xludf.DUMMYFUNCTION("""COMPUTED_VALUE"""),"Trish Lee")</f>
        <v>Trish Lee</v>
      </c>
      <c r="S1402" s="1"/>
      <c r="T1402" s="1">
        <f>IFERROR(__xludf.DUMMYFUNCTION("""COMPUTED_VALUE"""),18.0)</f>
        <v>18</v>
      </c>
      <c r="U1402" s="2">
        <f>IFERROR(__xludf.DUMMYFUNCTION("""COMPUTED_VALUE"""),18.0)</f>
        <v>18</v>
      </c>
      <c r="V1402" s="1" t="str">
        <f>IFERROR(__xludf.DUMMYFUNCTION("""COMPUTED_VALUE"""),"Issi Afable")</f>
        <v>Issi Afable</v>
      </c>
      <c r="W1402" s="1" t="str">
        <f>IFERROR(__xludf.DUMMYFUNCTION("""COMPUTED_VALUE"""),"High Sensitivity Support PH")</f>
        <v>High Sensitivity Support PH</v>
      </c>
    </row>
    <row r="1403">
      <c r="O1403" s="1" t="str">
        <f>IFERROR(__xludf.DUMMYFUNCTION("""COMPUTED_VALUE"""),"2025 Oct")</f>
        <v>2025 Oct</v>
      </c>
      <c r="P1403" s="1" t="str">
        <f>IFERROR(__xludf.DUMMYFUNCTION("""COMPUTED_VALUE"""),"Print Support")</f>
        <v>Print Support</v>
      </c>
      <c r="Q1403" s="1" t="str">
        <f>IFERROR(__xludf.DUMMYFUNCTION("""COMPUTED_VALUE"""),"trissamiguel@canva.com")</f>
        <v>trissamiguel@canva.com</v>
      </c>
      <c r="R1403" s="1" t="str">
        <f>IFERROR(__xludf.DUMMYFUNCTION("""COMPUTED_VALUE"""),"Trissa Miguel")</f>
        <v>Trissa Miguel</v>
      </c>
      <c r="S1403" s="1">
        <f>IFERROR(__xludf.DUMMYFUNCTION("""COMPUTED_VALUE"""),2.0)</f>
        <v>2</v>
      </c>
      <c r="T1403" s="1">
        <f>IFERROR(__xludf.DUMMYFUNCTION("""COMPUTED_VALUE"""),2.75)</f>
        <v>2.75</v>
      </c>
      <c r="U1403" s="2">
        <f>IFERROR(__xludf.DUMMYFUNCTION("""COMPUTED_VALUE"""),4.75)</f>
        <v>4.75</v>
      </c>
      <c r="V1403" s="1" t="str">
        <f>IFERROR(__xludf.DUMMYFUNCTION("""COMPUTED_VALUE"""),"G-Anne Murillo")</f>
        <v>G-Anne Murillo</v>
      </c>
      <c r="W1403" s="1" t="str">
        <f>IFERROR(__xludf.DUMMYFUNCTION("""COMPUTED_VALUE"""),"Print Design Support")</f>
        <v>Print Design Support</v>
      </c>
    </row>
    <row r="1404">
      <c r="O1404" s="1" t="str">
        <f>IFERROR(__xludf.DUMMYFUNCTION("""COMPUTED_VALUE"""),"2025 Oct")</f>
        <v>2025 Oct</v>
      </c>
      <c r="P1404" s="1" t="str">
        <f>IFERROR(__xludf.DUMMYFUNCTION("""COMPUTED_VALUE"""),"Print Support")</f>
        <v>Print Support</v>
      </c>
      <c r="Q1404" s="1" t="str">
        <f>IFERROR(__xludf.DUMMYFUNCTION("""COMPUTED_VALUE"""),"vlad.b@canva.com")</f>
        <v>vlad.b@canva.com</v>
      </c>
      <c r="R1404" s="1" t="str">
        <f>IFERROR(__xludf.DUMMYFUNCTION("""COMPUTED_VALUE"""),"Vladimir Besana")</f>
        <v>Vladimir Besana</v>
      </c>
      <c r="S1404" s="1"/>
      <c r="T1404" s="1">
        <f>IFERROR(__xludf.DUMMYFUNCTION("""COMPUTED_VALUE"""),2.75)</f>
        <v>2.75</v>
      </c>
      <c r="U1404" s="2">
        <f>IFERROR(__xludf.DUMMYFUNCTION("""COMPUTED_VALUE"""),2.75)</f>
        <v>2.75</v>
      </c>
      <c r="V1404" s="1" t="str">
        <f>IFERROR(__xludf.DUMMYFUNCTION("""COMPUTED_VALUE"""),"Jan Domingo")</f>
        <v>Jan Domingo</v>
      </c>
      <c r="W1404" s="1" t="str">
        <f>IFERROR(__xludf.DUMMYFUNCTION("""COMPUTED_VALUE"""),"Print Design Support")</f>
        <v>Print Design Support</v>
      </c>
    </row>
    <row r="1405">
      <c r="O1405" s="1" t="str">
        <f>IFERROR(__xludf.DUMMYFUNCTION("""COMPUTED_VALUE"""),"2025 Oct")</f>
        <v>2025 Oct</v>
      </c>
      <c r="P1405" s="1" t="str">
        <f>IFERROR(__xludf.DUMMYFUNCTION("""COMPUTED_VALUE"""),"Print Support")</f>
        <v>Print Support</v>
      </c>
      <c r="Q1405" s="1" t="str">
        <f>IFERROR(__xludf.DUMMYFUNCTION("""COMPUTED_VALUE"""),"wesleyp@canva.com")</f>
        <v>wesleyp@canva.com</v>
      </c>
      <c r="R1405" s="1" t="str">
        <f>IFERROR(__xludf.DUMMYFUNCTION("""COMPUTED_VALUE"""),"Wes Paira")</f>
        <v>Wes Paira</v>
      </c>
      <c r="S1405" s="1">
        <f>IFERROR(__xludf.DUMMYFUNCTION("""COMPUTED_VALUE"""),9.25)</f>
        <v>9.25</v>
      </c>
      <c r="T1405" s="1">
        <f>IFERROR(__xludf.DUMMYFUNCTION("""COMPUTED_VALUE"""),2.75)</f>
        <v>2.75</v>
      </c>
      <c r="U1405" s="2">
        <f>IFERROR(__xludf.DUMMYFUNCTION("""COMPUTED_VALUE"""),12.0)</f>
        <v>12</v>
      </c>
      <c r="V1405" s="1" t="str">
        <f>IFERROR(__xludf.DUMMYFUNCTION("""COMPUTED_VALUE"""),"Memae Faustino")</f>
        <v>Memae Faustino</v>
      </c>
      <c r="W1405" s="1" t="str">
        <f>IFERROR(__xludf.DUMMYFUNCTION("""COMPUTED_VALUE"""),"Print Support PH")</f>
        <v>Print Support PH</v>
      </c>
    </row>
    <row r="1406">
      <c r="O1406" s="1" t="str">
        <f>IFERROR(__xludf.DUMMYFUNCTION("""COMPUTED_VALUE"""),"2025 Oct")</f>
        <v>2025 Oct</v>
      </c>
      <c r="P1406" s="1" t="str">
        <f>IFERROR(__xludf.DUMMYFUNCTION("""COMPUTED_VALUE"""),"Core Product Support")</f>
        <v>Core Product Support</v>
      </c>
      <c r="Q1406" s="1" t="str">
        <f>IFERROR(__xludf.DUMMYFUNCTION("""COMPUTED_VALUE"""),"xy@canva.com")</f>
        <v>xy@canva.com</v>
      </c>
      <c r="R1406" s="1" t="str">
        <f>IFERROR(__xludf.DUMMYFUNCTION("""COMPUTED_VALUE"""),"Xyren Bulan")</f>
        <v>Xyren Bulan</v>
      </c>
      <c r="S1406" s="1"/>
      <c r="T1406" s="1">
        <f>IFERROR(__xludf.DUMMYFUNCTION("""COMPUTED_VALUE"""),17.5)</f>
        <v>17.5</v>
      </c>
      <c r="U1406" s="2">
        <f>IFERROR(__xludf.DUMMYFUNCTION("""COMPUTED_VALUE"""),17.5)</f>
        <v>17.5</v>
      </c>
      <c r="V1406" s="1" t="str">
        <f>IFERROR(__xludf.DUMMYFUNCTION("""COMPUTED_VALUE"""),"Vinz Lazaro")</f>
        <v>Vinz Lazaro</v>
      </c>
      <c r="W1406" s="1" t="str">
        <f>IFERROR(__xludf.DUMMYFUNCTION("""COMPUTED_VALUE"""),"Advanced Product Support")</f>
        <v>Advanced Product Support</v>
      </c>
    </row>
    <row r="1407">
      <c r="O1407" s="1" t="str">
        <f>IFERROR(__xludf.DUMMYFUNCTION("""COMPUTED_VALUE"""),"2025 Oct")</f>
        <v>2025 Oct</v>
      </c>
      <c r="P1407" s="1" t="str">
        <f>IFERROR(__xludf.DUMMYFUNCTION("""COMPUTED_VALUE"""),"Core Product Support")</f>
        <v>Core Product Support</v>
      </c>
      <c r="Q1407" s="1" t="str">
        <f>IFERROR(__xludf.DUMMYFUNCTION("""COMPUTED_VALUE"""),"yanarel@canva.com")</f>
        <v>yanarel@canva.com</v>
      </c>
      <c r="R1407" s="1" t="str">
        <f>IFERROR(__xludf.DUMMYFUNCTION("""COMPUTED_VALUE"""),"Yana Religioso")</f>
        <v>Yana Religioso</v>
      </c>
      <c r="S1407" s="1"/>
      <c r="T1407" s="1">
        <f>IFERROR(__xludf.DUMMYFUNCTION("""COMPUTED_VALUE"""),1.0)</f>
        <v>1</v>
      </c>
      <c r="U1407" s="2">
        <f>IFERROR(__xludf.DUMMYFUNCTION("""COMPUTED_VALUE"""),1.0)</f>
        <v>1</v>
      </c>
      <c r="V1407" s="1" t="str">
        <f>IFERROR(__xludf.DUMMYFUNCTION("""COMPUTED_VALUE"""),"Bem Launte")</f>
        <v>Bem Launte</v>
      </c>
      <c r="W1407" s="1" t="str">
        <f>IFERROR(__xludf.DUMMYFUNCTION("""COMPUTED_VALUE"""),"Core Product Support Escalation Team")</f>
        <v>Core Product Support Escalation Team</v>
      </c>
    </row>
    <row r="1408">
      <c r="O1408" s="1" t="str">
        <f>IFERROR(__xludf.DUMMYFUNCTION("""COMPUTED_VALUE"""),"2025 Oct")</f>
        <v>2025 Oct</v>
      </c>
      <c r="P1408" s="1" t="str">
        <f>IFERROR(__xludf.DUMMYFUNCTION("""COMPUTED_VALUE"""),"Print Support")</f>
        <v>Print Support</v>
      </c>
      <c r="Q1408" s="1" t="str">
        <f>IFERROR(__xludf.DUMMYFUNCTION("""COMPUTED_VALUE"""),"ysabel@canva.com")</f>
        <v>ysabel@canva.com</v>
      </c>
      <c r="R1408" s="1" t="str">
        <f>IFERROR(__xludf.DUMMYFUNCTION("""COMPUTED_VALUE"""),"Ysabel Locsin")</f>
        <v>Ysabel Locsin</v>
      </c>
      <c r="S1408" s="1"/>
      <c r="T1408" s="1">
        <f>IFERROR(__xludf.DUMMYFUNCTION("""COMPUTED_VALUE"""),2.75)</f>
        <v>2.75</v>
      </c>
      <c r="U1408" s="2">
        <f>IFERROR(__xludf.DUMMYFUNCTION("""COMPUTED_VALUE"""),2.75)</f>
        <v>2.75</v>
      </c>
      <c r="V1408" s="1" t="str">
        <f>IFERROR(__xludf.DUMMYFUNCTION("""COMPUTED_VALUE"""),"Rei De Jesus")</f>
        <v>Rei De Jesus</v>
      </c>
      <c r="W1408" s="1" t="str">
        <f>IFERROR(__xludf.DUMMYFUNCTION("""COMPUTED_VALUE"""),"Print Design Support")</f>
        <v>Print Design Support</v>
      </c>
    </row>
    <row r="1409">
      <c r="O1409" s="1" t="str">
        <f>IFERROR(__xludf.DUMMYFUNCTION("""COMPUTED_VALUE"""),"2025 Oct")</f>
        <v>2025 Oct</v>
      </c>
      <c r="P1409" s="1" t="str">
        <f>IFERROR(__xludf.DUMMYFUNCTION("""COMPUTED_VALUE"""),"Core Product Support")</f>
        <v>Core Product Support</v>
      </c>
      <c r="Q1409" s="1" t="str">
        <f>IFERROR(__xludf.DUMMYFUNCTION("""COMPUTED_VALUE"""),"ymagno@canva.com")</f>
        <v>ymagno@canva.com</v>
      </c>
      <c r="R1409" s="1" t="str">
        <f>IFERROR(__xludf.DUMMYFUNCTION("""COMPUTED_VALUE"""),"Ysabel Magno")</f>
        <v>Ysabel Magno</v>
      </c>
      <c r="S1409" s="1">
        <f>IFERROR(__xludf.DUMMYFUNCTION("""COMPUTED_VALUE"""),0.5)</f>
        <v>0.5</v>
      </c>
      <c r="T1409" s="1">
        <f>IFERROR(__xludf.DUMMYFUNCTION("""COMPUTED_VALUE"""),8.0)</f>
        <v>8</v>
      </c>
      <c r="U1409" s="2">
        <f>IFERROR(__xludf.DUMMYFUNCTION("""COMPUTED_VALUE"""),8.5)</f>
        <v>8.5</v>
      </c>
      <c r="V1409" s="1" t="str">
        <f>IFERROR(__xludf.DUMMYFUNCTION("""COMPUTED_VALUE"""),"Renette Bok")</f>
        <v>Renette Bok</v>
      </c>
      <c r="W1409" s="1" t="str">
        <f>IFERROR(__xludf.DUMMYFUNCTION("""COMPUTED_VALUE"""),"Advanced Billing &amp; Subscriptions")</f>
        <v>Advanced Billing &amp; Subscriptions</v>
      </c>
    </row>
    <row r="1410">
      <c r="O1410" s="1" t="str">
        <f>IFERROR(__xludf.DUMMYFUNCTION("""COMPUTED_VALUE"""),"2025 Oct")</f>
        <v>2025 Oct</v>
      </c>
      <c r="P1410" s="1" t="str">
        <f>IFERROR(__xludf.DUMMYFUNCTION("""COMPUTED_VALUE"""),"Multilingual Support")</f>
        <v>Multilingual Support</v>
      </c>
      <c r="Q1410" s="1" t="str">
        <f>IFERROR(__xludf.DUMMYFUNCTION("""COMPUTED_VALUE"""),"iuliia@canva.com")</f>
        <v>iuliia@canva.com</v>
      </c>
      <c r="R1410" s="1" t="str">
        <f>IFERROR(__xludf.DUMMYFUNCTION("""COMPUTED_VALUE"""),"Yulya Shevkunova")</f>
        <v>Yulya Shevkunova</v>
      </c>
      <c r="S1410" s="1"/>
      <c r="T1410" s="1">
        <f>IFERROR(__xludf.DUMMYFUNCTION("""COMPUTED_VALUE"""),5.0)</f>
        <v>5</v>
      </c>
      <c r="U1410" s="2">
        <f>IFERROR(__xludf.DUMMYFUNCTION("""COMPUTED_VALUE"""),5.0)</f>
        <v>5</v>
      </c>
      <c r="V1410" s="1" t="str">
        <f>IFERROR(__xludf.DUMMYFUNCTION("""COMPUTED_VALUE"""),"Arlene Maurillo")</f>
        <v>Arlene Maurillo</v>
      </c>
      <c r="W1410" s="1" t="str">
        <f>IFERROR(__xludf.DUMMYFUNCTION("""COMPUTED_VALUE"""),"PHL, Multilingual Support")</f>
        <v>PHL, Multilingual Support</v>
      </c>
    </row>
    <row r="1411">
      <c r="O1411" s="1" t="str">
        <f>IFERROR(__xludf.DUMMYFUNCTION("""COMPUTED_VALUE"""),"2025 Oct")</f>
        <v>2025 Oct</v>
      </c>
      <c r="P1411" s="1" t="str">
        <f>IFERROR(__xludf.DUMMYFUNCTION("""COMPUTED_VALUE"""),"Core Product Support")</f>
        <v>Core Product Support</v>
      </c>
      <c r="Q1411" s="1" t="str">
        <f>IFERROR(__xludf.DUMMYFUNCTION("""COMPUTED_VALUE"""),"yumi@canva.com")</f>
        <v>yumi@canva.com</v>
      </c>
      <c r="R1411" s="1" t="str">
        <f>IFERROR(__xludf.DUMMYFUNCTION("""COMPUTED_VALUE"""),"Yumi Tominaga")</f>
        <v>Yumi Tominaga</v>
      </c>
      <c r="S1411" s="1">
        <f>IFERROR(__xludf.DUMMYFUNCTION("""COMPUTED_VALUE"""),1.0)</f>
        <v>1</v>
      </c>
      <c r="T1411" s="1">
        <f>IFERROR(__xludf.DUMMYFUNCTION("""COMPUTED_VALUE"""),5.0)</f>
        <v>5</v>
      </c>
      <c r="U1411" s="2">
        <f>IFERROR(__xludf.DUMMYFUNCTION("""COMPUTED_VALUE"""),6.0)</f>
        <v>6</v>
      </c>
      <c r="V1411" s="1" t="str">
        <f>IFERROR(__xludf.DUMMYFUNCTION("""COMPUTED_VALUE"""),"Ana Lazaro")</f>
        <v>Ana Lazaro</v>
      </c>
      <c r="W1411" s="1" t="str">
        <f>IFERROR(__xludf.DUMMYFUNCTION("""COMPUTED_VALUE"""),"Advanced Billing &amp; Subscriptions")</f>
        <v>Advanced Billing &amp; Subscriptions</v>
      </c>
    </row>
    <row r="1412">
      <c r="O1412" s="1" t="str">
        <f>IFERROR(__xludf.DUMMYFUNCTION("""COMPUTED_VALUE"""),"2025 Oct")</f>
        <v>2025 Oct</v>
      </c>
      <c r="P1412" s="1" t="str">
        <f>IFERROR(__xludf.DUMMYFUNCTION("""COMPUTED_VALUE"""),"Core Product Support")</f>
        <v>Core Product Support</v>
      </c>
      <c r="Q1412" s="1" t="str">
        <f>IFERROR(__xludf.DUMMYFUNCTION("""COMPUTED_VALUE"""),"yvette@canva.com")</f>
        <v>yvette@canva.com</v>
      </c>
      <c r="R1412" s="1" t="str">
        <f>IFERROR(__xludf.DUMMYFUNCTION("""COMPUTED_VALUE"""),"Yvette Nogoy")</f>
        <v>Yvette Nogoy</v>
      </c>
      <c r="S1412" s="1">
        <f>IFERROR(__xludf.DUMMYFUNCTION("""COMPUTED_VALUE"""),0.5)</f>
        <v>0.5</v>
      </c>
      <c r="T1412" s="1">
        <f>IFERROR(__xludf.DUMMYFUNCTION("""COMPUTED_VALUE"""),12.5)</f>
        <v>12.5</v>
      </c>
      <c r="U1412" s="2">
        <f>IFERROR(__xludf.DUMMYFUNCTION("""COMPUTED_VALUE"""),13.0)</f>
        <v>13</v>
      </c>
      <c r="V1412" s="1" t="str">
        <f>IFERROR(__xludf.DUMMYFUNCTION("""COMPUTED_VALUE"""),"Jelyn Elmido")</f>
        <v>Jelyn Elmido</v>
      </c>
      <c r="W1412" s="1" t="str">
        <f>IFERROR(__xludf.DUMMYFUNCTION("""COMPUTED_VALUE"""),"Core Product Support Escalation Team")</f>
        <v>Core Product Support Escalation Team</v>
      </c>
    </row>
    <row r="1413">
      <c r="O1413" s="1" t="str">
        <f>IFERROR(__xludf.DUMMYFUNCTION("""COMPUTED_VALUE"""),"2025 Oct")</f>
        <v>2025 Oct</v>
      </c>
      <c r="P1413" s="1" t="str">
        <f>IFERROR(__xludf.DUMMYFUNCTION("""COMPUTED_VALUE"""),"Admin Support")</f>
        <v>Admin Support</v>
      </c>
      <c r="Q1413" s="1" t="str">
        <f>IFERROR(__xludf.DUMMYFUNCTION("""COMPUTED_VALUE"""),"yvonne@canva.com")</f>
        <v>yvonne@canva.com</v>
      </c>
      <c r="R1413" s="1" t="str">
        <f>IFERROR(__xludf.DUMMYFUNCTION("""COMPUTED_VALUE"""),"Yvonne Romasanta")</f>
        <v>Yvonne Romasanta</v>
      </c>
      <c r="S1413" s="1"/>
      <c r="T1413" s="1">
        <f>IFERROR(__xludf.DUMMYFUNCTION("""COMPUTED_VALUE"""),24.08)</f>
        <v>24.08</v>
      </c>
      <c r="U1413" s="2">
        <f>IFERROR(__xludf.DUMMYFUNCTION("""COMPUTED_VALUE"""),24.08)</f>
        <v>24.08</v>
      </c>
      <c r="V1413" s="1" t="str">
        <f>IFERROR(__xludf.DUMMYFUNCTION("""COMPUTED_VALUE"""),"Pau Palmero")</f>
        <v>Pau Palmero</v>
      </c>
      <c r="W1413" s="1" t="str">
        <f>IFERROR(__xludf.DUMMYFUNCTION("""COMPUTED_VALUE"""),"Admin Omni Support")</f>
        <v>Admin Omni Support</v>
      </c>
    </row>
    <row r="1414">
      <c r="O1414" s="1" t="str">
        <f>IFERROR(__xludf.DUMMYFUNCTION("""COMPUTED_VALUE"""),"2025 Oct")</f>
        <v>2025 Oct</v>
      </c>
      <c r="P1414" s="1" t="str">
        <f>IFERROR(__xludf.DUMMYFUNCTION("""COMPUTED_VALUE"""),"Print Support")</f>
        <v>Print Support</v>
      </c>
      <c r="Q1414" s="1" t="str">
        <f>IFERROR(__xludf.DUMMYFUNCTION("""COMPUTED_VALUE"""),"zippy@canva.com")</f>
        <v>zippy@canva.com</v>
      </c>
      <c r="R1414" s="1" t="str">
        <f>IFERROR(__xludf.DUMMYFUNCTION("""COMPUTED_VALUE"""),"Zipporah Duque")</f>
        <v>Zipporah Duque</v>
      </c>
      <c r="S1414" s="1">
        <f>IFERROR(__xludf.DUMMYFUNCTION("""COMPUTED_VALUE"""),4.25)</f>
        <v>4.25</v>
      </c>
      <c r="T1414" s="1">
        <f>IFERROR(__xludf.DUMMYFUNCTION("""COMPUTED_VALUE"""),2.75)</f>
        <v>2.75</v>
      </c>
      <c r="U1414" s="2">
        <f>IFERROR(__xludf.DUMMYFUNCTION("""COMPUTED_VALUE"""),7.0)</f>
        <v>7</v>
      </c>
      <c r="V1414" s="1" t="str">
        <f>IFERROR(__xludf.DUMMYFUNCTION("""COMPUTED_VALUE"""),"Jen Momo")</f>
        <v>Jen Momo</v>
      </c>
      <c r="W1414" s="1" t="str">
        <f>IFERROR(__xludf.DUMMYFUNCTION("""COMPUTED_VALUE"""),"Print Support PH")</f>
        <v>Print Support PH</v>
      </c>
    </row>
    <row r="1415">
      <c r="O1415" s="1" t="str">
        <f>IFERROR(__xludf.DUMMYFUNCTION("""COMPUTED_VALUE"""),"2025 Nov")</f>
        <v>2025 Nov</v>
      </c>
      <c r="P1415" s="1" t="str">
        <f>IFERROR(__xludf.DUMMYFUNCTION("""COMPUTED_VALUE"""),"Segment-specific Support")</f>
        <v>Segment-specific Support</v>
      </c>
      <c r="Q1415" s="1" t="str">
        <f>IFERROR(__xludf.DUMMYFUNCTION("""COMPUTED_VALUE"""),"triplea@canva.com")</f>
        <v>triplea@canva.com</v>
      </c>
      <c r="R1415" s="1" t="str">
        <f>IFERROR(__xludf.DUMMYFUNCTION("""COMPUTED_VALUE"""),"AA Abong")</f>
        <v>AA Abong</v>
      </c>
      <c r="S1415" s="1">
        <f>IFERROR(__xludf.DUMMYFUNCTION("""COMPUTED_VALUE"""),1.5)</f>
        <v>1.5</v>
      </c>
      <c r="T1415" s="1">
        <f>IFERROR(__xludf.DUMMYFUNCTION("""COMPUTED_VALUE"""),0.75)</f>
        <v>0.75</v>
      </c>
      <c r="U1415" s="2">
        <f>IFERROR(__xludf.DUMMYFUNCTION("""COMPUTED_VALUE"""),2.25)</f>
        <v>2.25</v>
      </c>
      <c r="V1415" s="1" t="str">
        <f>IFERROR(__xludf.DUMMYFUNCTION("""COMPUTED_VALUE"""),"Jonathan Dimaculangan")</f>
        <v>Jonathan Dimaculangan</v>
      </c>
      <c r="W1415" s="1" t="str">
        <f>IFERROR(__xludf.DUMMYFUNCTION("""COMPUTED_VALUE"""),"Flourish Support")</f>
        <v>Flourish Support</v>
      </c>
    </row>
    <row r="1416">
      <c r="O1416" s="1" t="str">
        <f>IFERROR(__xludf.DUMMYFUNCTION("""COMPUTED_VALUE"""),"2025 Nov")</f>
        <v>2025 Nov</v>
      </c>
      <c r="P1416" s="1" t="str">
        <f>IFERROR(__xludf.DUMMYFUNCTION("""COMPUTED_VALUE"""),"Core Product Support")</f>
        <v>Core Product Support</v>
      </c>
      <c r="Q1416" s="1" t="str">
        <f>IFERROR(__xludf.DUMMYFUNCTION("""COMPUTED_VALUE"""),"adrielcarlosv@canva.com")</f>
        <v>adrielcarlosv@canva.com</v>
      </c>
      <c r="R1416" s="1" t="str">
        <f>IFERROR(__xludf.DUMMYFUNCTION("""COMPUTED_VALUE"""),"Adriel Vicencio")</f>
        <v>Adriel Vicencio</v>
      </c>
      <c r="S1416" s="1"/>
      <c r="T1416" s="1">
        <f>IFERROR(__xludf.DUMMYFUNCTION("""COMPUTED_VALUE"""),2.5)</f>
        <v>2.5</v>
      </c>
      <c r="U1416" s="2">
        <f>IFERROR(__xludf.DUMMYFUNCTION("""COMPUTED_VALUE"""),2.5)</f>
        <v>2.5</v>
      </c>
      <c r="V1416" s="1" t="str">
        <f>IFERROR(__xludf.DUMMYFUNCTION("""COMPUTED_VALUE"""),"Jem Mondoñedo")</f>
        <v>Jem Mondoñedo</v>
      </c>
      <c r="W1416" s="1" t="str">
        <f>IFERROR(__xludf.DUMMYFUNCTION("""COMPUTED_VALUE"""),"Advanced Billing &amp; Subscriptions")</f>
        <v>Advanced Billing &amp; Subscriptions</v>
      </c>
    </row>
    <row r="1417">
      <c r="O1417" s="1" t="str">
        <f>IFERROR(__xludf.DUMMYFUNCTION("""COMPUTED_VALUE"""),"2025 Nov")</f>
        <v>2025 Nov</v>
      </c>
      <c r="P1417" s="1" t="str">
        <f>IFERROR(__xludf.DUMMYFUNCTION("""COMPUTED_VALUE"""),"Admin Support")</f>
        <v>Admin Support</v>
      </c>
      <c r="Q1417" s="1" t="str">
        <f>IFERROR(__xludf.DUMMYFUNCTION("""COMPUTED_VALUE"""),"agathartt@canva.com")</f>
        <v>agathartt@canva.com</v>
      </c>
      <c r="R1417" s="1" t="str">
        <f>IFERROR(__xludf.DUMMYFUNCTION("""COMPUTED_VALUE"""),"Agatha Torres")</f>
        <v>Agatha Torres</v>
      </c>
      <c r="S1417" s="1"/>
      <c r="T1417" s="1">
        <f>IFERROR(__xludf.DUMMYFUNCTION("""COMPUTED_VALUE"""),2.75)</f>
        <v>2.75</v>
      </c>
      <c r="U1417" s="2">
        <f>IFERROR(__xludf.DUMMYFUNCTION("""COMPUTED_VALUE"""),2.75)</f>
        <v>2.75</v>
      </c>
      <c r="V1417" s="1" t="str">
        <f>IFERROR(__xludf.DUMMYFUNCTION("""COMPUTED_VALUE"""),"AL Suarez")</f>
        <v>AL Suarez</v>
      </c>
      <c r="W1417" s="1" t="str">
        <f>IFERROR(__xludf.DUMMYFUNCTION("""COMPUTED_VALUE"""),"Advanced Billing &amp; Subscriptions")</f>
        <v>Advanced Billing &amp; Subscriptions</v>
      </c>
    </row>
    <row r="1418">
      <c r="O1418" s="1" t="str">
        <f>IFERROR(__xludf.DUMMYFUNCTION("""COMPUTED_VALUE"""),"2025 Nov")</f>
        <v>2025 Nov</v>
      </c>
      <c r="P1418" s="1" t="str">
        <f>IFERROR(__xludf.DUMMYFUNCTION("""COMPUTED_VALUE"""),"Print Support")</f>
        <v>Print Support</v>
      </c>
      <c r="Q1418" s="1" t="str">
        <f>IFERROR(__xludf.DUMMYFUNCTION("""COMPUTED_VALUE"""),"aileen.a@canva.com")</f>
        <v>aileen.a@canva.com</v>
      </c>
      <c r="R1418" s="1" t="str">
        <f>IFERROR(__xludf.DUMMYFUNCTION("""COMPUTED_VALUE"""),"Aileen Alipio")</f>
        <v>Aileen Alipio</v>
      </c>
      <c r="S1418" s="1"/>
      <c r="T1418" s="1">
        <f>IFERROR(__xludf.DUMMYFUNCTION("""COMPUTED_VALUE"""),2.25)</f>
        <v>2.25</v>
      </c>
      <c r="U1418" s="2">
        <f>IFERROR(__xludf.DUMMYFUNCTION("""COMPUTED_VALUE"""),2.25)</f>
        <v>2.25</v>
      </c>
      <c r="V1418" s="1" t="str">
        <f>IFERROR(__xludf.DUMMYFUNCTION("""COMPUTED_VALUE"""),"Gem Agoncillo")</f>
        <v>Gem Agoncillo</v>
      </c>
      <c r="W1418" s="1" t="str">
        <f>IFERROR(__xludf.DUMMYFUNCTION("""COMPUTED_VALUE"""),"Print Design Support")</f>
        <v>Print Design Support</v>
      </c>
    </row>
    <row r="1419">
      <c r="O1419" s="1" t="str">
        <f>IFERROR(__xludf.DUMMYFUNCTION("""COMPUTED_VALUE"""),"2025 Nov")</f>
        <v>2025 Nov</v>
      </c>
      <c r="P1419" s="1" t="str">
        <f>IFERROR(__xludf.DUMMYFUNCTION("""COMPUTED_VALUE"""),"Core Product Support")</f>
        <v>Core Product Support</v>
      </c>
      <c r="Q1419" s="1" t="str">
        <f>IFERROR(__xludf.DUMMYFUNCTION("""COMPUTED_VALUE"""),"ailyn@canva.com")</f>
        <v>ailyn@canva.com</v>
      </c>
      <c r="R1419" s="1" t="str">
        <f>IFERROR(__xludf.DUMMYFUNCTION("""COMPUTED_VALUE"""),"Ailyn Grana")</f>
        <v>Ailyn Grana</v>
      </c>
      <c r="S1419" s="1">
        <f>IFERROR(__xludf.DUMMYFUNCTION("""COMPUTED_VALUE"""),0.5)</f>
        <v>0.5</v>
      </c>
      <c r="T1419" s="1">
        <f>IFERROR(__xludf.DUMMYFUNCTION("""COMPUTED_VALUE"""),4.0)</f>
        <v>4</v>
      </c>
      <c r="U1419" s="2">
        <f>IFERROR(__xludf.DUMMYFUNCTION("""COMPUTED_VALUE"""),4.5)</f>
        <v>4.5</v>
      </c>
      <c r="V1419" s="1" t="str">
        <f>IFERROR(__xludf.DUMMYFUNCTION("""COMPUTED_VALUE"""),"Belle Bentazal")</f>
        <v>Belle Bentazal</v>
      </c>
      <c r="W1419" s="1" t="str">
        <f>IFERROR(__xludf.DUMMYFUNCTION("""COMPUTED_VALUE"""),"Advanced Product Support")</f>
        <v>Advanced Product Support</v>
      </c>
    </row>
    <row r="1420">
      <c r="O1420" s="1" t="str">
        <f>IFERROR(__xludf.DUMMYFUNCTION("""COMPUTED_VALUE"""),"2025 Nov")</f>
        <v>2025 Nov</v>
      </c>
      <c r="P1420" s="1" t="str">
        <f>IFERROR(__xludf.DUMMYFUNCTION("""COMPUTED_VALUE"""),"Segment-specific Support")</f>
        <v>Segment-specific Support</v>
      </c>
      <c r="Q1420" s="1" t="str">
        <f>IFERROR(__xludf.DUMMYFUNCTION("""COMPUTED_VALUE"""),"andria@canva.com")</f>
        <v>andria@canva.com</v>
      </c>
      <c r="R1420" s="1" t="str">
        <f>IFERROR(__xludf.DUMMYFUNCTION("""COMPUTED_VALUE"""),"Alex Batusin")</f>
        <v>Alex Batusin</v>
      </c>
      <c r="S1420" s="1"/>
      <c r="T1420" s="1">
        <f>IFERROR(__xludf.DUMMYFUNCTION("""COMPUTED_VALUE"""),1.25)</f>
        <v>1.25</v>
      </c>
      <c r="U1420" s="2">
        <f>IFERROR(__xludf.DUMMYFUNCTION("""COMPUTED_VALUE"""),1.25)</f>
        <v>1.25</v>
      </c>
      <c r="V1420" s="1" t="str">
        <f>IFERROR(__xludf.DUMMYFUNCTION("""COMPUTED_VALUE"""),"Aileen Dayanghirang")</f>
        <v>Aileen Dayanghirang</v>
      </c>
      <c r="W1420" s="1" t="str">
        <f>IFERROR(__xludf.DUMMYFUNCTION("""COMPUTED_VALUE"""),"Creators Support")</f>
        <v>Creators Support</v>
      </c>
    </row>
    <row r="1421">
      <c r="O1421" s="1" t="str">
        <f>IFERROR(__xludf.DUMMYFUNCTION("""COMPUTED_VALUE"""),"2025 Nov")</f>
        <v>2025 Nov</v>
      </c>
      <c r="P1421" s="1" t="str">
        <f>IFERROR(__xludf.DUMMYFUNCTION("""COMPUTED_VALUE"""),"Segment-specific Support")</f>
        <v>Segment-specific Support</v>
      </c>
      <c r="Q1421" s="1" t="str">
        <f>IFERROR(__xludf.DUMMYFUNCTION("""COMPUTED_VALUE"""),"alexl@canva.com")</f>
        <v>alexl@canva.com</v>
      </c>
      <c r="R1421" s="1" t="str">
        <f>IFERROR(__xludf.DUMMYFUNCTION("""COMPUTED_VALUE"""),"Alex Lim")</f>
        <v>Alex Lim</v>
      </c>
      <c r="S1421" s="1">
        <f>IFERROR(__xludf.DUMMYFUNCTION("""COMPUTED_VALUE"""),1.0)</f>
        <v>1</v>
      </c>
      <c r="T1421" s="1">
        <f>IFERROR(__xludf.DUMMYFUNCTION("""COMPUTED_VALUE"""),0.75)</f>
        <v>0.75</v>
      </c>
      <c r="U1421" s="2">
        <f>IFERROR(__xludf.DUMMYFUNCTION("""COMPUTED_VALUE"""),1.75)</f>
        <v>1.75</v>
      </c>
      <c r="V1421" s="1" t="str">
        <f>IFERROR(__xludf.DUMMYFUNCTION("""COMPUTED_VALUE"""),"Gucci Nava")</f>
        <v>Gucci Nava</v>
      </c>
      <c r="W1421" s="1" t="str">
        <f>IFERROR(__xludf.DUMMYFUNCTION("""COMPUTED_VALUE"""),"Affinity Support")</f>
        <v>Affinity Support</v>
      </c>
    </row>
    <row r="1422">
      <c r="O1422" s="1" t="str">
        <f>IFERROR(__xludf.DUMMYFUNCTION("""COMPUTED_VALUE"""),"2025 Nov")</f>
        <v>2025 Nov</v>
      </c>
      <c r="P1422" s="1" t="str">
        <f>IFERROR(__xludf.DUMMYFUNCTION("""COMPUTED_VALUE"""),"Segment-specific Support")</f>
        <v>Segment-specific Support</v>
      </c>
      <c r="Q1422" s="1" t="str">
        <f>IFERROR(__xludf.DUMMYFUNCTION("""COMPUTED_VALUE"""),"adtolentino@canva.com")</f>
        <v>adtolentino@canva.com</v>
      </c>
      <c r="R1422" s="1" t="str">
        <f>IFERROR(__xludf.DUMMYFUNCTION("""COMPUTED_VALUE"""),"Alfred Devon Tolentino")</f>
        <v>Alfred Devon Tolentino</v>
      </c>
      <c r="S1422" s="1">
        <f>IFERROR(__xludf.DUMMYFUNCTION("""COMPUTED_VALUE"""),1.0)</f>
        <v>1</v>
      </c>
      <c r="T1422" s="1">
        <f>IFERROR(__xludf.DUMMYFUNCTION("""COMPUTED_VALUE"""),0.75)</f>
        <v>0.75</v>
      </c>
      <c r="U1422" s="2">
        <f>IFERROR(__xludf.DUMMYFUNCTION("""COMPUTED_VALUE"""),1.75)</f>
        <v>1.75</v>
      </c>
      <c r="V1422" s="1" t="str">
        <f>IFERROR(__xludf.DUMMYFUNCTION("""COMPUTED_VALUE"""),"Jonathan Dimaculangan")</f>
        <v>Jonathan Dimaculangan</v>
      </c>
      <c r="W1422" s="1" t="str">
        <f>IFERROR(__xludf.DUMMYFUNCTION("""COMPUTED_VALUE"""),"Flourish Support")</f>
        <v>Flourish Support</v>
      </c>
    </row>
    <row r="1423">
      <c r="O1423" s="1" t="str">
        <f>IFERROR(__xludf.DUMMYFUNCTION("""COMPUTED_VALUE"""),"2025 Nov")</f>
        <v>2025 Nov</v>
      </c>
      <c r="P1423" s="1" t="str">
        <f>IFERROR(__xludf.DUMMYFUNCTION("""COMPUTED_VALUE"""),"Admin Support")</f>
        <v>Admin Support</v>
      </c>
      <c r="Q1423" s="1" t="str">
        <f>IFERROR(__xludf.DUMMYFUNCTION("""COMPUTED_VALUE"""),"alicec@canva.com")</f>
        <v>alicec@canva.com</v>
      </c>
      <c r="R1423" s="1" t="str">
        <f>IFERROR(__xludf.DUMMYFUNCTION("""COMPUTED_VALUE"""),"Alice Creiser")</f>
        <v>Alice Creiser</v>
      </c>
      <c r="S1423" s="1"/>
      <c r="T1423" s="1">
        <f>IFERROR(__xludf.DUMMYFUNCTION("""COMPUTED_VALUE"""),15.0)</f>
        <v>15</v>
      </c>
      <c r="U1423" s="2">
        <f>IFERROR(__xludf.DUMMYFUNCTION("""COMPUTED_VALUE"""),15.0)</f>
        <v>15</v>
      </c>
      <c r="V1423" s="1" t="str">
        <f>IFERROR(__xludf.DUMMYFUNCTION("""COMPUTED_VALUE"""),"Tash Kelly")</f>
        <v>Tash Kelly</v>
      </c>
      <c r="W1423" s="1" t="str">
        <f>IFERROR(__xludf.DUMMYFUNCTION("""COMPUTED_VALUE"""),"Admin Support EMEA")</f>
        <v>Admin Support EMEA</v>
      </c>
    </row>
    <row r="1424">
      <c r="O1424" s="1" t="str">
        <f>IFERROR(__xludf.DUMMYFUNCTION("""COMPUTED_VALUE"""),"2025 Nov")</f>
        <v>2025 Nov</v>
      </c>
      <c r="P1424" s="1" t="str">
        <f>IFERROR(__xludf.DUMMYFUNCTION("""COMPUTED_VALUE"""),"Segment-specific Support")</f>
        <v>Segment-specific Support</v>
      </c>
      <c r="Q1424" s="1" t="str">
        <f>IFERROR(__xludf.DUMMYFUNCTION("""COMPUTED_VALUE"""),"alyanna@canva.com")</f>
        <v>alyanna@canva.com</v>
      </c>
      <c r="R1424" s="1" t="str">
        <f>IFERROR(__xludf.DUMMYFUNCTION("""COMPUTED_VALUE"""),"Alyanna Ramos")</f>
        <v>Alyanna Ramos</v>
      </c>
      <c r="S1424" s="1"/>
      <c r="T1424" s="1">
        <f>IFERROR(__xludf.DUMMYFUNCTION("""COMPUTED_VALUE"""),4.17)</f>
        <v>4.17</v>
      </c>
      <c r="U1424" s="2">
        <f>IFERROR(__xludf.DUMMYFUNCTION("""COMPUTED_VALUE"""),4.17)</f>
        <v>4.17</v>
      </c>
      <c r="V1424" s="1" t="str">
        <f>IFERROR(__xludf.DUMMYFUNCTION("""COMPUTED_VALUE"""),"Rose Gabilan")</f>
        <v>Rose Gabilan</v>
      </c>
      <c r="W1424" s="1" t="str">
        <f>IFERROR(__xludf.DUMMYFUNCTION("""COMPUTED_VALUE"""),"Affinity Support")</f>
        <v>Affinity Support</v>
      </c>
    </row>
    <row r="1425">
      <c r="O1425" s="1" t="str">
        <f>IFERROR(__xludf.DUMMYFUNCTION("""COMPUTED_VALUE"""),"2025 Nov")</f>
        <v>2025 Nov</v>
      </c>
      <c r="P1425" s="1" t="str">
        <f>IFERROR(__xludf.DUMMYFUNCTION("""COMPUTED_VALUE"""),"Core Product Support")</f>
        <v>Core Product Support</v>
      </c>
      <c r="Q1425" s="1" t="str">
        <f>IFERROR(__xludf.DUMMYFUNCTION("""COMPUTED_VALUE"""),"alyssakae@canva.com")</f>
        <v>alyssakae@canva.com</v>
      </c>
      <c r="R1425" s="1" t="str">
        <f>IFERROR(__xludf.DUMMYFUNCTION("""COMPUTED_VALUE"""),"Alyssa Kae Laranang")</f>
        <v>Alyssa Kae Laranang</v>
      </c>
      <c r="S1425" s="1">
        <f>IFERROR(__xludf.DUMMYFUNCTION("""COMPUTED_VALUE"""),2.5)</f>
        <v>2.5</v>
      </c>
      <c r="T1425" s="1">
        <f>IFERROR(__xludf.DUMMYFUNCTION("""COMPUTED_VALUE"""),8.0)</f>
        <v>8</v>
      </c>
      <c r="U1425" s="2">
        <f>IFERROR(__xludf.DUMMYFUNCTION("""COMPUTED_VALUE"""),10.5)</f>
        <v>10.5</v>
      </c>
      <c r="V1425" s="1" t="str">
        <f>IFERROR(__xludf.DUMMYFUNCTION("""COMPUTED_VALUE"""),"Ellaine Estayo")</f>
        <v>Ellaine Estayo</v>
      </c>
      <c r="W1425" s="1" t="str">
        <f>IFERROR(__xludf.DUMMYFUNCTION("""COMPUTED_VALUE"""),"Core Product Support Escalation Team")</f>
        <v>Core Product Support Escalation Team</v>
      </c>
    </row>
    <row r="1426">
      <c r="O1426" s="1" t="str">
        <f>IFERROR(__xludf.DUMMYFUNCTION("""COMPUTED_VALUE"""),"2025 Nov")</f>
        <v>2025 Nov</v>
      </c>
      <c r="P1426" s="1" t="str">
        <f>IFERROR(__xludf.DUMMYFUNCTION("""COMPUTED_VALUE"""),"Print Support")</f>
        <v>Print Support</v>
      </c>
      <c r="Q1426" s="1" t="str">
        <f>IFERROR(__xludf.DUMMYFUNCTION("""COMPUTED_VALUE"""),"alyssam@canva.com")</f>
        <v>alyssam@canva.com</v>
      </c>
      <c r="R1426" s="1" t="str">
        <f>IFERROR(__xludf.DUMMYFUNCTION("""COMPUTED_VALUE"""),"Alyssa Martin-Silao")</f>
        <v>Alyssa Martin-Silao</v>
      </c>
      <c r="S1426" s="1">
        <f>IFERROR(__xludf.DUMMYFUNCTION("""COMPUTED_VALUE"""),3.75)</f>
        <v>3.75</v>
      </c>
      <c r="T1426" s="1">
        <f>IFERROR(__xludf.DUMMYFUNCTION("""COMPUTED_VALUE"""),7.82)</f>
        <v>7.82</v>
      </c>
      <c r="U1426" s="2">
        <f>IFERROR(__xludf.DUMMYFUNCTION("""COMPUTED_VALUE"""),11.57)</f>
        <v>11.57</v>
      </c>
      <c r="V1426" s="1" t="str">
        <f>IFERROR(__xludf.DUMMYFUNCTION("""COMPUTED_VALUE"""),"Rae Erlano")</f>
        <v>Rae Erlano</v>
      </c>
      <c r="W1426" s="1" t="str">
        <f>IFERROR(__xludf.DUMMYFUNCTION("""COMPUTED_VALUE"""),"Print Support PH")</f>
        <v>Print Support PH</v>
      </c>
    </row>
    <row r="1427">
      <c r="O1427" s="1" t="str">
        <f>IFERROR(__xludf.DUMMYFUNCTION("""COMPUTED_VALUE"""),"2025 Nov")</f>
        <v>2025 Nov</v>
      </c>
      <c r="P1427" s="1" t="str">
        <f>IFERROR(__xludf.DUMMYFUNCTION("""COMPUTED_VALUE"""),"Print Support")</f>
        <v>Print Support</v>
      </c>
      <c r="Q1427" s="1" t="str">
        <f>IFERROR(__xludf.DUMMYFUNCTION("""COMPUTED_VALUE"""),"alyssas@canva.com")</f>
        <v>alyssas@canva.com</v>
      </c>
      <c r="R1427" s="1" t="str">
        <f>IFERROR(__xludf.DUMMYFUNCTION("""COMPUTED_VALUE"""),"Alyssa Sunga")</f>
        <v>Alyssa Sunga</v>
      </c>
      <c r="S1427" s="1"/>
      <c r="T1427" s="1">
        <f>IFERROR(__xludf.DUMMYFUNCTION("""COMPUTED_VALUE"""),2.5)</f>
        <v>2.5</v>
      </c>
      <c r="U1427" s="2">
        <f>IFERROR(__xludf.DUMMYFUNCTION("""COMPUTED_VALUE"""),2.5)</f>
        <v>2.5</v>
      </c>
      <c r="V1427" s="1" t="str">
        <f>IFERROR(__xludf.DUMMYFUNCTION("""COMPUTED_VALUE"""),"Althea Mercado")</f>
        <v>Althea Mercado</v>
      </c>
      <c r="W1427" s="1" t="str">
        <f>IFERROR(__xludf.DUMMYFUNCTION("""COMPUTED_VALUE"""),"Print Support PH")</f>
        <v>Print Support PH</v>
      </c>
    </row>
    <row r="1428">
      <c r="O1428" s="1" t="str">
        <f>IFERROR(__xludf.DUMMYFUNCTION("""COMPUTED_VALUE"""),"2025 Nov")</f>
        <v>2025 Nov</v>
      </c>
      <c r="P1428" s="1" t="str">
        <f>IFERROR(__xludf.DUMMYFUNCTION("""COMPUTED_VALUE"""),"Print Support")</f>
        <v>Print Support</v>
      </c>
      <c r="Q1428" s="1" t="str">
        <f>IFERROR(__xludf.DUMMYFUNCTION("""COMPUTED_VALUE"""),"andrea.g@canva.com")</f>
        <v>andrea.g@canva.com</v>
      </c>
      <c r="R1428" s="1" t="str">
        <f>IFERROR(__xludf.DUMMYFUNCTION("""COMPUTED_VALUE"""),"Andrea Gutierrez")</f>
        <v>Andrea Gutierrez</v>
      </c>
      <c r="S1428" s="1"/>
      <c r="T1428" s="1">
        <f>IFERROR(__xludf.DUMMYFUNCTION("""COMPUTED_VALUE"""),2.25)</f>
        <v>2.25</v>
      </c>
      <c r="U1428" s="2">
        <f>IFERROR(__xludf.DUMMYFUNCTION("""COMPUTED_VALUE"""),2.25)</f>
        <v>2.25</v>
      </c>
      <c r="V1428" s="1" t="str">
        <f>IFERROR(__xludf.DUMMYFUNCTION("""COMPUTED_VALUE"""),"G-Anne Murillo")</f>
        <v>G-Anne Murillo</v>
      </c>
      <c r="W1428" s="1" t="str">
        <f>IFERROR(__xludf.DUMMYFUNCTION("""COMPUTED_VALUE"""),"Print Design Support")</f>
        <v>Print Design Support</v>
      </c>
    </row>
    <row r="1429">
      <c r="O1429" s="1" t="str">
        <f>IFERROR(__xludf.DUMMYFUNCTION("""COMPUTED_VALUE"""),"2025 Nov")</f>
        <v>2025 Nov</v>
      </c>
      <c r="P1429" s="1" t="str">
        <f>IFERROR(__xludf.DUMMYFUNCTION("""COMPUTED_VALUE"""),"Print Support")</f>
        <v>Print Support</v>
      </c>
      <c r="Q1429" s="1" t="str">
        <f>IFERROR(__xludf.DUMMYFUNCTION("""COMPUTED_VALUE"""),"xandwea@canva.com")</f>
        <v>xandwea@canva.com</v>
      </c>
      <c r="R1429" s="1" t="str">
        <f>IFERROR(__xludf.DUMMYFUNCTION("""COMPUTED_VALUE"""),"Andrea Lugtu")</f>
        <v>Andrea Lugtu</v>
      </c>
      <c r="S1429" s="1"/>
      <c r="T1429" s="1">
        <f>IFERROR(__xludf.DUMMYFUNCTION("""COMPUTED_VALUE"""),5.68)</f>
        <v>5.68</v>
      </c>
      <c r="U1429" s="2">
        <f>IFERROR(__xludf.DUMMYFUNCTION("""COMPUTED_VALUE"""),5.68)</f>
        <v>5.68</v>
      </c>
      <c r="V1429" s="1" t="str">
        <f>IFERROR(__xludf.DUMMYFUNCTION("""COMPUTED_VALUE"""),"Manee Barrasa")</f>
        <v>Manee Barrasa</v>
      </c>
      <c r="W1429" s="1" t="str">
        <f>IFERROR(__xludf.DUMMYFUNCTION("""COMPUTED_VALUE"""),"Print Support PH")</f>
        <v>Print Support PH</v>
      </c>
    </row>
    <row r="1430">
      <c r="O1430" s="1" t="str">
        <f>IFERROR(__xludf.DUMMYFUNCTION("""COMPUTED_VALUE"""),"2025 Nov")</f>
        <v>2025 Nov</v>
      </c>
      <c r="P1430" s="1" t="str">
        <f>IFERROR(__xludf.DUMMYFUNCTION("""COMPUTED_VALUE"""),"High Sensitivity Support")</f>
        <v>High Sensitivity Support</v>
      </c>
      <c r="Q1430" s="1" t="str">
        <f>IFERROR(__xludf.DUMMYFUNCTION("""COMPUTED_VALUE"""),"andreimg@canva.com")</f>
        <v>andreimg@canva.com</v>
      </c>
      <c r="R1430" s="1" t="str">
        <f>IFERROR(__xludf.DUMMYFUNCTION("""COMPUTED_VALUE"""),"Andrei Galutan")</f>
        <v>Andrei Galutan</v>
      </c>
      <c r="S1430" s="1"/>
      <c r="T1430" s="1">
        <f>IFERROR(__xludf.DUMMYFUNCTION("""COMPUTED_VALUE"""),2.0)</f>
        <v>2</v>
      </c>
      <c r="U1430" s="2">
        <f>IFERROR(__xludf.DUMMYFUNCTION("""COMPUTED_VALUE"""),2.0)</f>
        <v>2</v>
      </c>
      <c r="V1430" s="1" t="str">
        <f>IFERROR(__xludf.DUMMYFUNCTION("""COMPUTED_VALUE"""),"Rex Villamor")</f>
        <v>Rex Villamor</v>
      </c>
      <c r="W1430" s="1" t="str">
        <f>IFERROR(__xludf.DUMMYFUNCTION("""COMPUTED_VALUE"""),"Advanced Product Support")</f>
        <v>Advanced Product Support</v>
      </c>
    </row>
    <row r="1431">
      <c r="O1431" s="1" t="str">
        <f>IFERROR(__xludf.DUMMYFUNCTION("""COMPUTED_VALUE"""),"2025 Nov")</f>
        <v>2025 Nov</v>
      </c>
      <c r="P1431" s="1" t="str">
        <f>IFERROR(__xludf.DUMMYFUNCTION("""COMPUTED_VALUE"""),"Core Product Support")</f>
        <v>Core Product Support</v>
      </c>
      <c r="Q1431" s="1" t="str">
        <f>IFERROR(__xludf.DUMMYFUNCTION("""COMPUTED_VALUE"""),"aalemania@canva.com")</f>
        <v>aalemania@canva.com</v>
      </c>
      <c r="R1431" s="1" t="str">
        <f>IFERROR(__xludf.DUMMYFUNCTION("""COMPUTED_VALUE"""),"Angel Alemania")</f>
        <v>Angel Alemania</v>
      </c>
      <c r="S1431" s="1"/>
      <c r="T1431" s="1">
        <f>IFERROR(__xludf.DUMMYFUNCTION("""COMPUTED_VALUE"""),14.75)</f>
        <v>14.75</v>
      </c>
      <c r="U1431" s="2">
        <f>IFERROR(__xludf.DUMMYFUNCTION("""COMPUTED_VALUE"""),14.75)</f>
        <v>14.75</v>
      </c>
      <c r="V1431" s="1" t="str">
        <f>IFERROR(__xludf.DUMMYFUNCTION("""COMPUTED_VALUE"""),"Sieg Ballelos")</f>
        <v>Sieg Ballelos</v>
      </c>
      <c r="W1431" s="1" t="str">
        <f>IFERROR(__xludf.DUMMYFUNCTION("""COMPUTED_VALUE"""),"Core Product Support Escalation Team")</f>
        <v>Core Product Support Escalation Team</v>
      </c>
    </row>
    <row r="1432">
      <c r="O1432" s="1" t="str">
        <f>IFERROR(__xludf.DUMMYFUNCTION("""COMPUTED_VALUE"""),"2025 Nov")</f>
        <v>2025 Nov</v>
      </c>
      <c r="P1432" s="1" t="str">
        <f>IFERROR(__xludf.DUMMYFUNCTION("""COMPUTED_VALUE"""),"Admin Support")</f>
        <v>Admin Support</v>
      </c>
      <c r="Q1432" s="1" t="str">
        <f>IFERROR(__xludf.DUMMYFUNCTION("""COMPUTED_VALUE"""),"angelc@canva.com")</f>
        <v>angelc@canva.com</v>
      </c>
      <c r="R1432" s="1" t="str">
        <f>IFERROR(__xludf.DUMMYFUNCTION("""COMPUTED_VALUE"""),"Angel Cabrera")</f>
        <v>Angel Cabrera</v>
      </c>
      <c r="S1432" s="1"/>
      <c r="T1432" s="1">
        <f>IFERROR(__xludf.DUMMYFUNCTION("""COMPUTED_VALUE"""),20.25)</f>
        <v>20.25</v>
      </c>
      <c r="U1432" s="2">
        <f>IFERROR(__xludf.DUMMYFUNCTION("""COMPUTED_VALUE"""),20.25)</f>
        <v>20.25</v>
      </c>
      <c r="V1432" s="1" t="str">
        <f>IFERROR(__xludf.DUMMYFUNCTION("""COMPUTED_VALUE"""),"Ann Dumlao")</f>
        <v>Ann Dumlao</v>
      </c>
      <c r="W1432" s="1" t="str">
        <f>IFERROR(__xludf.DUMMYFUNCTION("""COMPUTED_VALUE"""),"Admin Omni Support")</f>
        <v>Admin Omni Support</v>
      </c>
    </row>
    <row r="1433">
      <c r="O1433" s="1" t="str">
        <f>IFERROR(__xludf.DUMMYFUNCTION("""COMPUTED_VALUE"""),"2025 Nov")</f>
        <v>2025 Nov</v>
      </c>
      <c r="P1433" s="1" t="str">
        <f>IFERROR(__xludf.DUMMYFUNCTION("""COMPUTED_VALUE"""),"Segment-specific Support")</f>
        <v>Segment-specific Support</v>
      </c>
      <c r="Q1433" s="1" t="str">
        <f>IFERROR(__xludf.DUMMYFUNCTION("""COMPUTED_VALUE"""),"angelheart@canva.com")</f>
        <v>angelheart@canva.com</v>
      </c>
      <c r="R1433" s="1" t="str">
        <f>IFERROR(__xludf.DUMMYFUNCTION("""COMPUTED_VALUE"""),"Angel Heart Santos")</f>
        <v>Angel Heart Santos</v>
      </c>
      <c r="S1433" s="1">
        <f>IFERROR(__xludf.DUMMYFUNCTION("""COMPUTED_VALUE"""),1.5)</f>
        <v>1.5</v>
      </c>
      <c r="T1433" s="1">
        <f>IFERROR(__xludf.DUMMYFUNCTION("""COMPUTED_VALUE"""),0.75)</f>
        <v>0.75</v>
      </c>
      <c r="U1433" s="2">
        <f>IFERROR(__xludf.DUMMYFUNCTION("""COMPUTED_VALUE"""),2.25)</f>
        <v>2.25</v>
      </c>
      <c r="V1433" s="1" t="str">
        <f>IFERROR(__xludf.DUMMYFUNCTION("""COMPUTED_VALUE"""),"Jonathan Dimaculangan")</f>
        <v>Jonathan Dimaculangan</v>
      </c>
      <c r="W1433" s="1" t="str">
        <f>IFERROR(__xludf.DUMMYFUNCTION("""COMPUTED_VALUE"""),"Flourish Support")</f>
        <v>Flourish Support</v>
      </c>
    </row>
    <row r="1434">
      <c r="O1434" s="1" t="str">
        <f>IFERROR(__xludf.DUMMYFUNCTION("""COMPUTED_VALUE"""),"2025 Nov")</f>
        <v>2025 Nov</v>
      </c>
      <c r="P1434" s="1" t="str">
        <f>IFERROR(__xludf.DUMMYFUNCTION("""COMPUTED_VALUE"""),"Core Product Support")</f>
        <v>Core Product Support</v>
      </c>
      <c r="Q1434" s="1" t="str">
        <f>IFERROR(__xludf.DUMMYFUNCTION("""COMPUTED_VALUE"""),"angelm@canva.com")</f>
        <v>angelm@canva.com</v>
      </c>
      <c r="R1434" s="1" t="str">
        <f>IFERROR(__xludf.DUMMYFUNCTION("""COMPUTED_VALUE"""),"Angel Medina")</f>
        <v>Angel Medina</v>
      </c>
      <c r="S1434" s="1">
        <f>IFERROR(__xludf.DUMMYFUNCTION("""COMPUTED_VALUE"""),0.5)</f>
        <v>0.5</v>
      </c>
      <c r="T1434" s="1">
        <f>IFERROR(__xludf.DUMMYFUNCTION("""COMPUTED_VALUE"""),10.75)</f>
        <v>10.75</v>
      </c>
      <c r="U1434" s="2">
        <f>IFERROR(__xludf.DUMMYFUNCTION("""COMPUTED_VALUE"""),11.25)</f>
        <v>11.25</v>
      </c>
      <c r="V1434" s="1" t="str">
        <f>IFERROR(__xludf.DUMMYFUNCTION("""COMPUTED_VALUE"""),"Ellaine Estayo")</f>
        <v>Ellaine Estayo</v>
      </c>
      <c r="W1434" s="1" t="str">
        <f>IFERROR(__xludf.DUMMYFUNCTION("""COMPUTED_VALUE"""),"Core Product Support Escalation Team")</f>
        <v>Core Product Support Escalation Team</v>
      </c>
    </row>
    <row r="1435">
      <c r="O1435" s="1" t="str">
        <f>IFERROR(__xludf.DUMMYFUNCTION("""COMPUTED_VALUE"""),"2025 Nov")</f>
        <v>2025 Nov</v>
      </c>
      <c r="P1435" s="1" t="str">
        <f>IFERROR(__xludf.DUMMYFUNCTION("""COMPUTED_VALUE"""),"Print Support")</f>
        <v>Print Support</v>
      </c>
      <c r="Q1435" s="1" t="str">
        <f>IFERROR(__xludf.DUMMYFUNCTION("""COMPUTED_VALUE"""),"angelf@canva.com")</f>
        <v>angelf@canva.com</v>
      </c>
      <c r="R1435" s="1" t="str">
        <f>IFERROR(__xludf.DUMMYFUNCTION("""COMPUTED_VALUE"""),"Angel Merilleno")</f>
        <v>Angel Merilleno</v>
      </c>
      <c r="S1435" s="1"/>
      <c r="T1435" s="1">
        <f>IFERROR(__xludf.DUMMYFUNCTION("""COMPUTED_VALUE"""),2.83)</f>
        <v>2.83</v>
      </c>
      <c r="U1435" s="2">
        <f>IFERROR(__xludf.DUMMYFUNCTION("""COMPUTED_VALUE"""),2.83)</f>
        <v>2.83</v>
      </c>
      <c r="V1435" s="1" t="str">
        <f>IFERROR(__xludf.DUMMYFUNCTION("""COMPUTED_VALUE"""),"Louise Dianne Estrella")</f>
        <v>Louise Dianne Estrella</v>
      </c>
      <c r="W1435" s="1" t="str">
        <f>IFERROR(__xludf.DUMMYFUNCTION("""COMPUTED_VALUE"""),"Print Support PH")</f>
        <v>Print Support PH</v>
      </c>
    </row>
    <row r="1436">
      <c r="O1436" s="1" t="str">
        <f>IFERROR(__xludf.DUMMYFUNCTION("""COMPUTED_VALUE"""),"2025 Nov")</f>
        <v>2025 Nov</v>
      </c>
      <c r="P1436" s="1" t="str">
        <f>IFERROR(__xludf.DUMMYFUNCTION("""COMPUTED_VALUE"""),"Core Product Support")</f>
        <v>Core Product Support</v>
      </c>
      <c r="Q1436" s="1" t="str">
        <f>IFERROR(__xludf.DUMMYFUNCTION("""COMPUTED_VALUE"""),"angelic@canva.com")</f>
        <v>angelic@canva.com</v>
      </c>
      <c r="R1436" s="1" t="str">
        <f>IFERROR(__xludf.DUMMYFUNCTION("""COMPUTED_VALUE"""),"Angel Ramas")</f>
        <v>Angel Ramas</v>
      </c>
      <c r="S1436" s="1">
        <f>IFERROR(__xludf.DUMMYFUNCTION("""COMPUTED_VALUE"""),0.5)</f>
        <v>0.5</v>
      </c>
      <c r="T1436" s="1">
        <f>IFERROR(__xludf.DUMMYFUNCTION("""COMPUTED_VALUE"""),2.42)</f>
        <v>2.42</v>
      </c>
      <c r="U1436" s="2">
        <f>IFERROR(__xludf.DUMMYFUNCTION("""COMPUTED_VALUE"""),2.92)</f>
        <v>2.92</v>
      </c>
      <c r="V1436" s="1" t="str">
        <f>IFERROR(__xludf.DUMMYFUNCTION("""COMPUTED_VALUE"""),"Marie Mordeno")</f>
        <v>Marie Mordeno</v>
      </c>
      <c r="W1436" s="1" t="str">
        <f>IFERROR(__xludf.DUMMYFUNCTION("""COMPUTED_VALUE"""),"Advanced Billing &amp; Subscriptions")</f>
        <v>Advanced Billing &amp; Subscriptions</v>
      </c>
    </row>
    <row r="1437">
      <c r="O1437" s="1" t="str">
        <f>IFERROR(__xludf.DUMMYFUNCTION("""COMPUTED_VALUE"""),"2025 Nov")</f>
        <v>2025 Nov</v>
      </c>
      <c r="P1437" s="1" t="str">
        <f>IFERROR(__xludf.DUMMYFUNCTION("""COMPUTED_VALUE"""),"Segment-specific Support")</f>
        <v>Segment-specific Support</v>
      </c>
      <c r="Q1437" s="1" t="str">
        <f>IFERROR(__xludf.DUMMYFUNCTION("""COMPUTED_VALUE"""),"adflora@canva.com")</f>
        <v>adflora@canva.com</v>
      </c>
      <c r="R1437" s="1" t="str">
        <f>IFERROR(__xludf.DUMMYFUNCTION("""COMPUTED_VALUE"""),"Angela Flora")</f>
        <v>Angela Flora</v>
      </c>
      <c r="S1437" s="1"/>
      <c r="T1437" s="1">
        <f>IFERROR(__xludf.DUMMYFUNCTION("""COMPUTED_VALUE"""),7.28)</f>
        <v>7.28</v>
      </c>
      <c r="U1437" s="2">
        <f>IFERROR(__xludf.DUMMYFUNCTION("""COMPUTED_VALUE"""),7.28)</f>
        <v>7.28</v>
      </c>
      <c r="V1437" s="1" t="str">
        <f>IFERROR(__xludf.DUMMYFUNCTION("""COMPUTED_VALUE"""),"Gucci Nava")</f>
        <v>Gucci Nava</v>
      </c>
      <c r="W1437" s="1" t="str">
        <f>IFERROR(__xludf.DUMMYFUNCTION("""COMPUTED_VALUE"""),"Print Support PH")</f>
        <v>Print Support PH</v>
      </c>
    </row>
    <row r="1438">
      <c r="O1438" s="1" t="str">
        <f>IFERROR(__xludf.DUMMYFUNCTION("""COMPUTED_VALUE"""),"2025 Nov")</f>
        <v>2025 Nov</v>
      </c>
      <c r="P1438" s="1" t="str">
        <f>IFERROR(__xludf.DUMMYFUNCTION("""COMPUTED_VALUE"""),"Core Product Support")</f>
        <v>Core Product Support</v>
      </c>
      <c r="Q1438" s="1" t="str">
        <f>IFERROR(__xludf.DUMMYFUNCTION("""COMPUTED_VALUE"""),"annaalberto@canva.com")</f>
        <v>annaalberto@canva.com</v>
      </c>
      <c r="R1438" s="1" t="str">
        <f>IFERROR(__xludf.DUMMYFUNCTION("""COMPUTED_VALUE"""),"Anna Alberto-Felipe")</f>
        <v>Anna Alberto-Felipe</v>
      </c>
      <c r="S1438" s="1"/>
      <c r="T1438" s="1">
        <f>IFERROR(__xludf.DUMMYFUNCTION("""COMPUTED_VALUE"""),2.75)</f>
        <v>2.75</v>
      </c>
      <c r="U1438" s="2">
        <f>IFERROR(__xludf.DUMMYFUNCTION("""COMPUTED_VALUE"""),2.75)</f>
        <v>2.75</v>
      </c>
      <c r="V1438" s="1" t="str">
        <f>IFERROR(__xludf.DUMMYFUNCTION("""COMPUTED_VALUE"""),"Jahmie Mae Barrameda")</f>
        <v>Jahmie Mae Barrameda</v>
      </c>
      <c r="W1438" s="1" t="str">
        <f>IFERROR(__xludf.DUMMYFUNCTION("""COMPUTED_VALUE"""),"Advanced Billing &amp; Subscriptions")</f>
        <v>Advanced Billing &amp; Subscriptions</v>
      </c>
    </row>
    <row r="1439">
      <c r="O1439" s="1" t="str">
        <f>IFERROR(__xludf.DUMMYFUNCTION("""COMPUTED_VALUE"""),"2025 Nov")</f>
        <v>2025 Nov</v>
      </c>
      <c r="P1439" s="1" t="str">
        <f>IFERROR(__xludf.DUMMYFUNCTION("""COMPUTED_VALUE"""),"Print Support")</f>
        <v>Print Support</v>
      </c>
      <c r="Q1439" s="1" t="str">
        <f>IFERROR(__xludf.DUMMYFUNCTION("""COMPUTED_VALUE"""),"arcelie@canva.com")</f>
        <v>arcelie@canva.com</v>
      </c>
      <c r="R1439" s="1" t="str">
        <f>IFERROR(__xludf.DUMMYFUNCTION("""COMPUTED_VALUE"""),"Arcie San Pedro")</f>
        <v>Arcie San Pedro</v>
      </c>
      <c r="S1439" s="1">
        <f>IFERROR(__xludf.DUMMYFUNCTION("""COMPUTED_VALUE"""),6.25)</f>
        <v>6.25</v>
      </c>
      <c r="T1439" s="1">
        <f>IFERROR(__xludf.DUMMYFUNCTION("""COMPUTED_VALUE"""),1.75)</f>
        <v>1.75</v>
      </c>
      <c r="U1439" s="2">
        <f>IFERROR(__xludf.DUMMYFUNCTION("""COMPUTED_VALUE"""),8.0)</f>
        <v>8</v>
      </c>
      <c r="V1439" s="1" t="str">
        <f>IFERROR(__xludf.DUMMYFUNCTION("""COMPUTED_VALUE"""),"Rae Erlano")</f>
        <v>Rae Erlano</v>
      </c>
      <c r="W1439" s="1" t="str">
        <f>IFERROR(__xludf.DUMMYFUNCTION("""COMPUTED_VALUE"""),"Print Support PH")</f>
        <v>Print Support PH</v>
      </c>
    </row>
    <row r="1440">
      <c r="O1440" s="1" t="str">
        <f>IFERROR(__xludf.DUMMYFUNCTION("""COMPUTED_VALUE"""),"2025 Nov")</f>
        <v>2025 Nov</v>
      </c>
      <c r="P1440" s="1" t="str">
        <f>IFERROR(__xludf.DUMMYFUNCTION("""COMPUTED_VALUE"""),"Print Support")</f>
        <v>Print Support</v>
      </c>
      <c r="Q1440" s="1" t="str">
        <f>IFERROR(__xludf.DUMMYFUNCTION("""COMPUTED_VALUE"""),"arjane@canva.com")</f>
        <v>arjane@canva.com</v>
      </c>
      <c r="R1440" s="1" t="str">
        <f>IFERROR(__xludf.DUMMYFUNCTION("""COMPUTED_VALUE"""),"Arjane Oliva")</f>
        <v>Arjane Oliva</v>
      </c>
      <c r="S1440" s="1"/>
      <c r="T1440" s="1">
        <f>IFERROR(__xludf.DUMMYFUNCTION("""COMPUTED_VALUE"""),2.5)</f>
        <v>2.5</v>
      </c>
      <c r="U1440" s="2">
        <f>IFERROR(__xludf.DUMMYFUNCTION("""COMPUTED_VALUE"""),2.5)</f>
        <v>2.5</v>
      </c>
      <c r="V1440" s="1" t="str">
        <f>IFERROR(__xludf.DUMMYFUNCTION("""COMPUTED_VALUE"""),"Rei De Jesus")</f>
        <v>Rei De Jesus</v>
      </c>
      <c r="W1440" s="1" t="str">
        <f>IFERROR(__xludf.DUMMYFUNCTION("""COMPUTED_VALUE"""),"Print Design Support")</f>
        <v>Print Design Support</v>
      </c>
    </row>
    <row r="1441">
      <c r="O1441" s="1" t="str">
        <f>IFERROR(__xludf.DUMMYFUNCTION("""COMPUTED_VALUE"""),"2025 Nov")</f>
        <v>2025 Nov</v>
      </c>
      <c r="P1441" s="1" t="str">
        <f>IFERROR(__xludf.DUMMYFUNCTION("""COMPUTED_VALUE"""),"High Sensitivity Support")</f>
        <v>High Sensitivity Support</v>
      </c>
      <c r="Q1441" s="1" t="str">
        <f>IFERROR(__xludf.DUMMYFUNCTION("""COMPUTED_VALUE"""),"arodes@canva.com")</f>
        <v>arodes@canva.com</v>
      </c>
      <c r="R1441" s="1" t="str">
        <f>IFERROR(__xludf.DUMMYFUNCTION("""COMPUTED_VALUE"""),"Arriane Rodes")</f>
        <v>Arriane Rodes</v>
      </c>
      <c r="S1441" s="1">
        <f>IFERROR(__xludf.DUMMYFUNCTION("""COMPUTED_VALUE"""),7.25)</f>
        <v>7.25</v>
      </c>
      <c r="T1441" s="1">
        <f>IFERROR(__xludf.DUMMYFUNCTION("""COMPUTED_VALUE"""),3.75)</f>
        <v>3.75</v>
      </c>
      <c r="U1441" s="2">
        <f>IFERROR(__xludf.DUMMYFUNCTION("""COMPUTED_VALUE"""),11.0)</f>
        <v>11</v>
      </c>
      <c r="V1441" s="1" t="str">
        <f>IFERROR(__xludf.DUMMYFUNCTION("""COMPUTED_VALUE"""),"Xandy Azarcon")</f>
        <v>Xandy Azarcon</v>
      </c>
      <c r="W1441" s="1" t="str">
        <f>IFERROR(__xludf.DUMMYFUNCTION("""COMPUTED_VALUE"""),"High Sensitivity Support PH")</f>
        <v>High Sensitivity Support PH</v>
      </c>
    </row>
    <row r="1442">
      <c r="O1442" s="1" t="str">
        <f>IFERROR(__xludf.DUMMYFUNCTION("""COMPUTED_VALUE"""),"2025 Nov")</f>
        <v>2025 Nov</v>
      </c>
      <c r="P1442" s="1" t="str">
        <f>IFERROR(__xludf.DUMMYFUNCTION("""COMPUTED_VALUE"""),"Admin Support")</f>
        <v>Admin Support</v>
      </c>
      <c r="Q1442" s="1" t="str">
        <f>IFERROR(__xludf.DUMMYFUNCTION("""COMPUTED_VALUE"""),"ashli@canva.com")</f>
        <v>ashli@canva.com</v>
      </c>
      <c r="R1442" s="1" t="str">
        <f>IFERROR(__xludf.DUMMYFUNCTION("""COMPUTED_VALUE"""),"Ashli Hanson")</f>
        <v>Ashli Hanson</v>
      </c>
      <c r="S1442" s="1">
        <f>IFERROR(__xludf.DUMMYFUNCTION("""COMPUTED_VALUE"""),1.0)</f>
        <v>1</v>
      </c>
      <c r="T1442" s="1">
        <f>IFERROR(__xludf.DUMMYFUNCTION("""COMPUTED_VALUE"""),6.25)</f>
        <v>6.25</v>
      </c>
      <c r="U1442" s="2">
        <f>IFERROR(__xludf.DUMMYFUNCTION("""COMPUTED_VALUE"""),7.25)</f>
        <v>7.25</v>
      </c>
      <c r="V1442" s="1" t="str">
        <f>IFERROR(__xludf.DUMMYFUNCTION("""COMPUTED_VALUE"""),"Nate Vela")</f>
        <v>Nate Vela</v>
      </c>
      <c r="W1442" s="1" t="str">
        <f>IFERROR(__xludf.DUMMYFUNCTION("""COMPUTED_VALUE"""),"Admin Support NA")</f>
        <v>Admin Support NA</v>
      </c>
    </row>
    <row r="1443">
      <c r="O1443" s="1" t="str">
        <f>IFERROR(__xludf.DUMMYFUNCTION("""COMPUTED_VALUE"""),"2025 Nov")</f>
        <v>2025 Nov</v>
      </c>
      <c r="P1443" s="1" t="str">
        <f>IFERROR(__xludf.DUMMYFUNCTION("""COMPUTED_VALUE"""),"High Sensitivity Support")</f>
        <v>High Sensitivity Support</v>
      </c>
      <c r="Q1443" s="1" t="str">
        <f>IFERROR(__xludf.DUMMYFUNCTION("""COMPUTED_VALUE"""),"aubrey@canva.com")</f>
        <v>aubrey@canva.com</v>
      </c>
      <c r="R1443" s="1" t="str">
        <f>IFERROR(__xludf.DUMMYFUNCTION("""COMPUTED_VALUE"""),"Aubrey Jasme")</f>
        <v>Aubrey Jasme</v>
      </c>
      <c r="S1443" s="1"/>
      <c r="T1443" s="1">
        <f>IFERROR(__xludf.DUMMYFUNCTION("""COMPUTED_VALUE"""),6.35)</f>
        <v>6.35</v>
      </c>
      <c r="U1443" s="2">
        <f>IFERROR(__xludf.DUMMYFUNCTION("""COMPUTED_VALUE"""),6.35)</f>
        <v>6.35</v>
      </c>
      <c r="V1443" s="1" t="str">
        <f>IFERROR(__xludf.DUMMYFUNCTION("""COMPUTED_VALUE"""),"Rex Villamor")</f>
        <v>Rex Villamor</v>
      </c>
      <c r="W1443" s="1" t="str">
        <f>IFERROR(__xludf.DUMMYFUNCTION("""COMPUTED_VALUE"""),"High Sensitivity Support PH")</f>
        <v>High Sensitivity Support PH</v>
      </c>
    </row>
    <row r="1444">
      <c r="O1444" s="1" t="str">
        <f>IFERROR(__xludf.DUMMYFUNCTION("""COMPUTED_VALUE"""),"2025 Nov")</f>
        <v>2025 Nov</v>
      </c>
      <c r="P1444" s="1" t="str">
        <f>IFERROR(__xludf.DUMMYFUNCTION("""COMPUTED_VALUE"""),"Core Product Support")</f>
        <v>Core Product Support</v>
      </c>
      <c r="Q1444" s="1" t="str">
        <f>IFERROR(__xludf.DUMMYFUNCTION("""COMPUTED_VALUE"""),"ayen@canva.com")</f>
        <v>ayen@canva.com</v>
      </c>
      <c r="R1444" s="1" t="str">
        <f>IFERROR(__xludf.DUMMYFUNCTION("""COMPUTED_VALUE"""),"Ayen Realeza")</f>
        <v>Ayen Realeza</v>
      </c>
      <c r="S1444" s="1">
        <f>IFERROR(__xludf.DUMMYFUNCTION("""COMPUTED_VALUE"""),2.5)</f>
        <v>2.5</v>
      </c>
      <c r="T1444" s="1">
        <f>IFERROR(__xludf.DUMMYFUNCTION("""COMPUTED_VALUE"""),12.75)</f>
        <v>12.75</v>
      </c>
      <c r="U1444" s="2">
        <f>IFERROR(__xludf.DUMMYFUNCTION("""COMPUTED_VALUE"""),15.25)</f>
        <v>15.25</v>
      </c>
      <c r="V1444" s="1" t="str">
        <f>IFERROR(__xludf.DUMMYFUNCTION("""COMPUTED_VALUE"""),"Jelyn Elmido")</f>
        <v>Jelyn Elmido</v>
      </c>
      <c r="W1444" s="1" t="str">
        <f>IFERROR(__xludf.DUMMYFUNCTION("""COMPUTED_VALUE"""),"Core Product Support Escalation Team")</f>
        <v>Core Product Support Escalation Team</v>
      </c>
    </row>
    <row r="1445">
      <c r="O1445" s="1" t="str">
        <f>IFERROR(__xludf.DUMMYFUNCTION("""COMPUTED_VALUE"""),"2025 Nov")</f>
        <v>2025 Nov</v>
      </c>
      <c r="P1445" s="1" t="str">
        <f>IFERROR(__xludf.DUMMYFUNCTION("""COMPUTED_VALUE"""),"#N/A")</f>
        <v>#N/A</v>
      </c>
      <c r="Q1445" s="1" t="str">
        <f>IFERROR(__xludf.DUMMYFUNCTION("""COMPUTED_VALUE"""),"bamboo@canva.com")</f>
        <v>bamboo@canva.com</v>
      </c>
      <c r="R1445" s="1" t="str">
        <f>IFERROR(__xludf.DUMMYFUNCTION("""COMPUTED_VALUE"""),"Bamboo Reymundo")</f>
        <v>Bamboo Reymundo</v>
      </c>
      <c r="S1445" s="1"/>
      <c r="T1445" s="1">
        <f>IFERROR(__xludf.DUMMYFUNCTION("""COMPUTED_VALUE"""),1.75)</f>
        <v>1.75</v>
      </c>
      <c r="U1445" s="2">
        <f>IFERROR(__xludf.DUMMYFUNCTION("""COMPUTED_VALUE"""),1.75)</f>
        <v>1.75</v>
      </c>
      <c r="V1445" s="1" t="str">
        <f>IFERROR(__xludf.DUMMYFUNCTION("""COMPUTED_VALUE"""),"Marie Mordeno")</f>
        <v>Marie Mordeno</v>
      </c>
      <c r="W1445" s="1" t="str">
        <f>IFERROR(__xludf.DUMMYFUNCTION("""COMPUTED_VALUE"""),"Advanced Billing &amp; Subscriptions")</f>
        <v>Advanced Billing &amp; Subscriptions</v>
      </c>
    </row>
    <row r="1446">
      <c r="O1446" s="1" t="str">
        <f>IFERROR(__xludf.DUMMYFUNCTION("""COMPUTED_VALUE"""),"2025 Nov")</f>
        <v>2025 Nov</v>
      </c>
      <c r="P1446" s="1" t="str">
        <f>IFERROR(__xludf.DUMMYFUNCTION("""COMPUTED_VALUE"""),"Print Support")</f>
        <v>Print Support</v>
      </c>
      <c r="Q1446" s="1" t="str">
        <f>IFERROR(__xludf.DUMMYFUNCTION("""COMPUTED_VALUE"""),"jborreros@canva.com")</f>
        <v>jborreros@canva.com</v>
      </c>
      <c r="R1446" s="1" t="str">
        <f>IFERROR(__xludf.DUMMYFUNCTION("""COMPUTED_VALUE"""),"Bea Borreros")</f>
        <v>Bea Borreros</v>
      </c>
      <c r="S1446" s="1">
        <f>IFERROR(__xludf.DUMMYFUNCTION("""COMPUTED_VALUE"""),6.25)</f>
        <v>6.25</v>
      </c>
      <c r="T1446" s="1">
        <f>IFERROR(__xludf.DUMMYFUNCTION("""COMPUTED_VALUE"""),1.75)</f>
        <v>1.75</v>
      </c>
      <c r="U1446" s="2">
        <f>IFERROR(__xludf.DUMMYFUNCTION("""COMPUTED_VALUE"""),8.0)</f>
        <v>8</v>
      </c>
      <c r="V1446" s="1" t="str">
        <f>IFERROR(__xludf.DUMMYFUNCTION("""COMPUTED_VALUE"""),"Memae Faustino")</f>
        <v>Memae Faustino</v>
      </c>
      <c r="W1446" s="1" t="str">
        <f>IFERROR(__xludf.DUMMYFUNCTION("""COMPUTED_VALUE"""),"Print Support PH")</f>
        <v>Print Support PH</v>
      </c>
    </row>
    <row r="1447">
      <c r="O1447" s="1" t="str">
        <f>IFERROR(__xludf.DUMMYFUNCTION("""COMPUTED_VALUE"""),"2025 Nov")</f>
        <v>2025 Nov</v>
      </c>
      <c r="P1447" s="1" t="str">
        <f>IFERROR(__xludf.DUMMYFUNCTION("""COMPUTED_VALUE"""),"Print Support")</f>
        <v>Print Support</v>
      </c>
      <c r="Q1447" s="1" t="str">
        <f>IFERROR(__xludf.DUMMYFUNCTION("""COMPUTED_VALUE"""),"bea@canva.com")</f>
        <v>bea@canva.com</v>
      </c>
      <c r="R1447" s="1" t="str">
        <f>IFERROR(__xludf.DUMMYFUNCTION("""COMPUTED_VALUE"""),"Bea Mendoza")</f>
        <v>Bea Mendoza</v>
      </c>
      <c r="S1447" s="1"/>
      <c r="T1447" s="1">
        <f>IFERROR(__xludf.DUMMYFUNCTION("""COMPUTED_VALUE"""),2.75)</f>
        <v>2.75</v>
      </c>
      <c r="U1447" s="2">
        <f>IFERROR(__xludf.DUMMYFUNCTION("""COMPUTED_VALUE"""),2.75)</f>
        <v>2.75</v>
      </c>
      <c r="V1447" s="1" t="str">
        <f>IFERROR(__xludf.DUMMYFUNCTION("""COMPUTED_VALUE"""),"Aliza Dote")</f>
        <v>Aliza Dote</v>
      </c>
      <c r="W1447" s="1" t="str">
        <f>IFERROR(__xludf.DUMMYFUNCTION("""COMPUTED_VALUE"""),"Print Design Support")</f>
        <v>Print Design Support</v>
      </c>
    </row>
    <row r="1448">
      <c r="O1448" s="1" t="str">
        <f>IFERROR(__xludf.DUMMYFUNCTION("""COMPUTED_VALUE"""),"2025 Nov")</f>
        <v>2025 Nov</v>
      </c>
      <c r="P1448" s="1" t="str">
        <f>IFERROR(__xludf.DUMMYFUNCTION("""COMPUTED_VALUE"""),"Core Product Support")</f>
        <v>Core Product Support</v>
      </c>
      <c r="Q1448" s="1" t="str">
        <f>IFERROR(__xludf.DUMMYFUNCTION("""COMPUTED_VALUE"""),"beanyvince@canva.com")</f>
        <v>beanyvince@canva.com</v>
      </c>
      <c r="R1448" s="1" t="str">
        <f>IFERROR(__xludf.DUMMYFUNCTION("""COMPUTED_VALUE"""),"Beany Rodriguez")</f>
        <v>Beany Rodriguez</v>
      </c>
      <c r="S1448" s="1">
        <f>IFERROR(__xludf.DUMMYFUNCTION("""COMPUTED_VALUE"""),0.5)</f>
        <v>0.5</v>
      </c>
      <c r="T1448" s="1">
        <f>IFERROR(__xludf.DUMMYFUNCTION("""COMPUTED_VALUE"""),2.42)</f>
        <v>2.42</v>
      </c>
      <c r="U1448" s="2">
        <f>IFERROR(__xludf.DUMMYFUNCTION("""COMPUTED_VALUE"""),2.92)</f>
        <v>2.92</v>
      </c>
      <c r="V1448" s="1" t="str">
        <f>IFERROR(__xludf.DUMMYFUNCTION("""COMPUTED_VALUE"""),"Cate Velasco")</f>
        <v>Cate Velasco</v>
      </c>
      <c r="W1448" s="1" t="str">
        <f>IFERROR(__xludf.DUMMYFUNCTION("""COMPUTED_VALUE"""),"Advanced Product Support")</f>
        <v>Advanced Product Support</v>
      </c>
    </row>
    <row r="1449">
      <c r="O1449" s="1" t="str">
        <f>IFERROR(__xludf.DUMMYFUNCTION("""COMPUTED_VALUE"""),"2025 Nov")</f>
        <v>2025 Nov</v>
      </c>
      <c r="P1449" s="1" t="str">
        <f>IFERROR(__xludf.DUMMYFUNCTION("""COMPUTED_VALUE"""),"Print Support")</f>
        <v>Print Support</v>
      </c>
      <c r="Q1449" s="1" t="str">
        <f>IFERROR(__xludf.DUMMYFUNCTION("""COMPUTED_VALUE"""),"bembiellanza@canva.com")</f>
        <v>bembiellanza@canva.com</v>
      </c>
      <c r="R1449" s="1" t="str">
        <f>IFERROR(__xludf.DUMMYFUNCTION("""COMPUTED_VALUE"""),"Bembie Llanza")</f>
        <v>Bembie Llanza</v>
      </c>
      <c r="S1449" s="1"/>
      <c r="T1449" s="1">
        <f>IFERROR(__xludf.DUMMYFUNCTION("""COMPUTED_VALUE"""),4.67)</f>
        <v>4.67</v>
      </c>
      <c r="U1449" s="2">
        <f>IFERROR(__xludf.DUMMYFUNCTION("""COMPUTED_VALUE"""),4.67)</f>
        <v>4.67</v>
      </c>
      <c r="V1449" s="1" t="str">
        <f>IFERROR(__xludf.DUMMYFUNCTION("""COMPUTED_VALUE"""),"Althea Mercado")</f>
        <v>Althea Mercado</v>
      </c>
      <c r="W1449" s="1" t="str">
        <f>IFERROR(__xludf.DUMMYFUNCTION("""COMPUTED_VALUE"""),"Print Support PH")</f>
        <v>Print Support PH</v>
      </c>
    </row>
    <row r="1450">
      <c r="O1450" s="1" t="str">
        <f>IFERROR(__xludf.DUMMYFUNCTION("""COMPUTED_VALUE"""),"2025 Nov")</f>
        <v>2025 Nov</v>
      </c>
      <c r="P1450" s="1" t="str">
        <f>IFERROR(__xludf.DUMMYFUNCTION("""COMPUTED_VALUE"""),"Segment-specific Support")</f>
        <v>Segment-specific Support</v>
      </c>
      <c r="Q1450" s="1" t="str">
        <f>IFERROR(__xludf.DUMMYFUNCTION("""COMPUTED_VALUE"""),"bernice@canva.com")</f>
        <v>bernice@canva.com</v>
      </c>
      <c r="R1450" s="1" t="str">
        <f>IFERROR(__xludf.DUMMYFUNCTION("""COMPUTED_VALUE"""),"Bernice Talosig")</f>
        <v>Bernice Talosig</v>
      </c>
      <c r="S1450" s="1"/>
      <c r="T1450" s="1">
        <f>IFERROR(__xludf.DUMMYFUNCTION("""COMPUTED_VALUE"""),5.25)</f>
        <v>5.25</v>
      </c>
      <c r="U1450" s="2">
        <f>IFERROR(__xludf.DUMMYFUNCTION("""COMPUTED_VALUE"""),5.25)</f>
        <v>5.25</v>
      </c>
      <c r="V1450" s="1" t="str">
        <f>IFERROR(__xludf.DUMMYFUNCTION("""COMPUTED_VALUE"""),"Gucci Nava")</f>
        <v>Gucci Nava</v>
      </c>
      <c r="W1450" s="1" t="str">
        <f>IFERROR(__xludf.DUMMYFUNCTION("""COMPUTED_VALUE"""),"Affinity Support")</f>
        <v>Affinity Support</v>
      </c>
    </row>
    <row r="1451">
      <c r="O1451" s="1" t="str">
        <f>IFERROR(__xludf.DUMMYFUNCTION("""COMPUTED_VALUE"""),"2025 Nov")</f>
        <v>2025 Nov</v>
      </c>
      <c r="P1451" s="1" t="str">
        <f>IFERROR(__xludf.DUMMYFUNCTION("""COMPUTED_VALUE"""),"Core Product Support")</f>
        <v>Core Product Support</v>
      </c>
      <c r="Q1451" s="1" t="str">
        <f>IFERROR(__xludf.DUMMYFUNCTION("""COMPUTED_VALUE"""),"beverlymarie@canva.com")</f>
        <v>beverlymarie@canva.com</v>
      </c>
      <c r="R1451" s="1" t="str">
        <f>IFERROR(__xludf.DUMMYFUNCTION("""COMPUTED_VALUE"""),"Bev Dacanay")</f>
        <v>Bev Dacanay</v>
      </c>
      <c r="S1451" s="1">
        <f>IFERROR(__xludf.DUMMYFUNCTION("""COMPUTED_VALUE"""),0.5)</f>
        <v>0.5</v>
      </c>
      <c r="T1451" s="1">
        <f>IFERROR(__xludf.DUMMYFUNCTION("""COMPUTED_VALUE"""),3.75)</f>
        <v>3.75</v>
      </c>
      <c r="U1451" s="2">
        <f>IFERROR(__xludf.DUMMYFUNCTION("""COMPUTED_VALUE"""),4.25)</f>
        <v>4.25</v>
      </c>
      <c r="V1451" s="1" t="str">
        <f>IFERROR(__xludf.DUMMYFUNCTION("""COMPUTED_VALUE"""),"Ayza Marie Pascual")</f>
        <v>Ayza Marie Pascual</v>
      </c>
      <c r="W1451" s="1" t="str">
        <f>IFERROR(__xludf.DUMMYFUNCTION("""COMPUTED_VALUE"""),"Advanced Billing &amp; Subscriptions")</f>
        <v>Advanced Billing &amp; Subscriptions</v>
      </c>
    </row>
    <row r="1452">
      <c r="O1452" s="1" t="str">
        <f>IFERROR(__xludf.DUMMYFUNCTION("""COMPUTED_VALUE"""),"2025 Nov")</f>
        <v>2025 Nov</v>
      </c>
      <c r="P1452" s="1" t="str">
        <f>IFERROR(__xludf.DUMMYFUNCTION("""COMPUTED_VALUE"""),"Admin Support")</f>
        <v>Admin Support</v>
      </c>
      <c r="Q1452" s="1" t="str">
        <f>IFERROR(__xludf.DUMMYFUNCTION("""COMPUTED_VALUE"""),"bia@canva.com")</f>
        <v>bia@canva.com</v>
      </c>
      <c r="R1452" s="1" t="str">
        <f>IFERROR(__xludf.DUMMYFUNCTION("""COMPUTED_VALUE"""),"Bianca Santiago")</f>
        <v>Bianca Santiago</v>
      </c>
      <c r="S1452" s="1"/>
      <c r="T1452" s="1">
        <f>IFERROR(__xludf.DUMMYFUNCTION("""COMPUTED_VALUE"""),20.55)</f>
        <v>20.55</v>
      </c>
      <c r="U1452" s="2">
        <f>IFERROR(__xludf.DUMMYFUNCTION("""COMPUTED_VALUE"""),20.55)</f>
        <v>20.55</v>
      </c>
      <c r="V1452" s="1" t="str">
        <f>IFERROR(__xludf.DUMMYFUNCTION("""COMPUTED_VALUE"""),"Karla Mananghaya")</f>
        <v>Karla Mananghaya</v>
      </c>
      <c r="W1452" s="1" t="str">
        <f>IFERROR(__xludf.DUMMYFUNCTION("""COMPUTED_VALUE"""),"Admin Support Service Escalation Team")</f>
        <v>Admin Support Service Escalation Team</v>
      </c>
    </row>
    <row r="1453">
      <c r="O1453" s="1" t="str">
        <f>IFERROR(__xludf.DUMMYFUNCTION("""COMPUTED_VALUE"""),"2025 Nov")</f>
        <v>2025 Nov</v>
      </c>
      <c r="P1453" s="1" t="str">
        <f>IFERROR(__xludf.DUMMYFUNCTION("""COMPUTED_VALUE"""),"Core Product Support")</f>
        <v>Core Product Support</v>
      </c>
      <c r="Q1453" s="1" t="str">
        <f>IFERROR(__xludf.DUMMYFUNCTION("""COMPUTED_VALUE"""),"bryanb@canva.com")</f>
        <v>bryanb@canva.com</v>
      </c>
      <c r="R1453" s="1" t="str">
        <f>IFERROR(__xludf.DUMMYFUNCTION("""COMPUTED_VALUE"""),"Bryan Lemuel Britanico")</f>
        <v>Bryan Lemuel Britanico</v>
      </c>
      <c r="S1453" s="1">
        <f>IFERROR(__xludf.DUMMYFUNCTION("""COMPUTED_VALUE"""),1.0)</f>
        <v>1</v>
      </c>
      <c r="T1453" s="1">
        <f>IFERROR(__xludf.DUMMYFUNCTION("""COMPUTED_VALUE"""),2.75)</f>
        <v>2.75</v>
      </c>
      <c r="U1453" s="2">
        <f>IFERROR(__xludf.DUMMYFUNCTION("""COMPUTED_VALUE"""),3.75)</f>
        <v>3.75</v>
      </c>
      <c r="V1453" s="1" t="str">
        <f>IFERROR(__xludf.DUMMYFUNCTION("""COMPUTED_VALUE"""),"Jahmie Mae Barrameda")</f>
        <v>Jahmie Mae Barrameda</v>
      </c>
      <c r="W1453" s="1" t="str">
        <f>IFERROR(__xludf.DUMMYFUNCTION("""COMPUTED_VALUE"""),"Advanced Billing &amp; Subscriptions")</f>
        <v>Advanced Billing &amp; Subscriptions</v>
      </c>
    </row>
    <row r="1454">
      <c r="O1454" s="1" t="str">
        <f>IFERROR(__xludf.DUMMYFUNCTION("""COMPUTED_VALUE"""),"2025 Nov")</f>
        <v>2025 Nov</v>
      </c>
      <c r="P1454" s="1" t="str">
        <f>IFERROR(__xludf.DUMMYFUNCTION("""COMPUTED_VALUE"""),"Print Support")</f>
        <v>Print Support</v>
      </c>
      <c r="Q1454" s="1" t="str">
        <f>IFERROR(__xludf.DUMMYFUNCTION("""COMPUTED_VALUE"""),"caesar@canva.com")</f>
        <v>caesar@canva.com</v>
      </c>
      <c r="R1454" s="1" t="str">
        <f>IFERROR(__xludf.DUMMYFUNCTION("""COMPUTED_VALUE"""),"Caesar Bitudio")</f>
        <v>Caesar Bitudio</v>
      </c>
      <c r="S1454" s="1"/>
      <c r="T1454" s="1">
        <f>IFERROR(__xludf.DUMMYFUNCTION("""COMPUTED_VALUE"""),2.75)</f>
        <v>2.75</v>
      </c>
      <c r="U1454" s="2">
        <f>IFERROR(__xludf.DUMMYFUNCTION("""COMPUTED_VALUE"""),2.75)</f>
        <v>2.75</v>
      </c>
      <c r="V1454" s="1" t="str">
        <f>IFERROR(__xludf.DUMMYFUNCTION("""COMPUTED_VALUE"""),"G-Anne Murillo")</f>
        <v>G-Anne Murillo</v>
      </c>
      <c r="W1454" s="1" t="str">
        <f>IFERROR(__xludf.DUMMYFUNCTION("""COMPUTED_VALUE"""),"Print Design Support")</f>
        <v>Print Design Support</v>
      </c>
    </row>
    <row r="1455">
      <c r="O1455" s="1" t="str">
        <f>IFERROR(__xludf.DUMMYFUNCTION("""COMPUTED_VALUE"""),"2025 Nov")</f>
        <v>2025 Nov</v>
      </c>
      <c r="P1455" s="1" t="str">
        <f>IFERROR(__xludf.DUMMYFUNCTION("""COMPUTED_VALUE"""),"Core Product Support")</f>
        <v>Core Product Support</v>
      </c>
      <c r="Q1455" s="1" t="str">
        <f>IFERROR(__xludf.DUMMYFUNCTION("""COMPUTED_VALUE"""),"cae@canva.com")</f>
        <v>cae@canva.com</v>
      </c>
      <c r="R1455" s="1" t="str">
        <f>IFERROR(__xludf.DUMMYFUNCTION("""COMPUTED_VALUE"""),"Caevee Dizon")</f>
        <v>Caevee Dizon</v>
      </c>
      <c r="S1455" s="1">
        <f>IFERROR(__xludf.DUMMYFUNCTION("""COMPUTED_VALUE"""),1.0)</f>
        <v>1</v>
      </c>
      <c r="T1455" s="1">
        <f>IFERROR(__xludf.DUMMYFUNCTION("""COMPUTED_VALUE"""),3.25)</f>
        <v>3.25</v>
      </c>
      <c r="U1455" s="2">
        <f>IFERROR(__xludf.DUMMYFUNCTION("""COMPUTED_VALUE"""),4.25)</f>
        <v>4.25</v>
      </c>
      <c r="V1455" s="1" t="str">
        <f>IFERROR(__xludf.DUMMYFUNCTION("""COMPUTED_VALUE"""),"Jahmie Mae Barrameda")</f>
        <v>Jahmie Mae Barrameda</v>
      </c>
      <c r="W1455" s="1" t="str">
        <f>IFERROR(__xludf.DUMMYFUNCTION("""COMPUTED_VALUE"""),"Advanced Billing &amp; Subscriptions")</f>
        <v>Advanced Billing &amp; Subscriptions</v>
      </c>
    </row>
    <row r="1456">
      <c r="O1456" s="1" t="str">
        <f>IFERROR(__xludf.DUMMYFUNCTION("""COMPUTED_VALUE"""),"2025 Nov")</f>
        <v>2025 Nov</v>
      </c>
      <c r="P1456" s="1" t="str">
        <f>IFERROR(__xludf.DUMMYFUNCTION("""COMPUTED_VALUE"""),"#N/A")</f>
        <v>#N/A</v>
      </c>
      <c r="Q1456" s="1" t="str">
        <f>IFERROR(__xludf.DUMMYFUNCTION("""COMPUTED_VALUE"""),"cali@canva.com")</f>
        <v>cali@canva.com</v>
      </c>
      <c r="R1456" s="1" t="str">
        <f>IFERROR(__xludf.DUMMYFUNCTION("""COMPUTED_VALUE"""),"Cali Bermudo")</f>
        <v>Cali Bermudo</v>
      </c>
      <c r="S1456" s="1"/>
      <c r="T1456" s="1">
        <f>IFERROR(__xludf.DUMMYFUNCTION("""COMPUTED_VALUE"""),2.25)</f>
        <v>2.25</v>
      </c>
      <c r="U1456" s="2">
        <f>IFERROR(__xludf.DUMMYFUNCTION("""COMPUTED_VALUE"""),2.25)</f>
        <v>2.25</v>
      </c>
      <c r="V1456" s="1" t="str">
        <f>IFERROR(__xludf.DUMMYFUNCTION("""COMPUTED_VALUE"""),"#N/A")</f>
        <v>#N/A</v>
      </c>
      <c r="W1456" s="1" t="str">
        <f>IFERROR(__xludf.DUMMYFUNCTION("""COMPUTED_VALUE"""),"Print Design Support")</f>
        <v>Print Design Support</v>
      </c>
    </row>
    <row r="1457">
      <c r="O1457" s="1" t="str">
        <f>IFERROR(__xludf.DUMMYFUNCTION("""COMPUTED_VALUE"""),"2025 Nov")</f>
        <v>2025 Nov</v>
      </c>
      <c r="P1457" s="1" t="str">
        <f>IFERROR(__xludf.DUMMYFUNCTION("""COMPUTED_VALUE"""),"Admin Support")</f>
        <v>Admin Support</v>
      </c>
      <c r="Q1457" s="1" t="str">
        <f>IFERROR(__xludf.DUMMYFUNCTION("""COMPUTED_VALUE"""),"cbasilio@canva.com")</f>
        <v>cbasilio@canva.com</v>
      </c>
      <c r="R1457" s="1" t="str">
        <f>IFERROR(__xludf.DUMMYFUNCTION("""COMPUTED_VALUE"""),"Camille Basilio")</f>
        <v>Camille Basilio</v>
      </c>
      <c r="S1457" s="1"/>
      <c r="T1457" s="1">
        <f>IFERROR(__xludf.DUMMYFUNCTION("""COMPUTED_VALUE"""),8.25)</f>
        <v>8.25</v>
      </c>
      <c r="U1457" s="2">
        <f>IFERROR(__xludf.DUMMYFUNCTION("""COMPUTED_VALUE"""),8.25)</f>
        <v>8.25</v>
      </c>
      <c r="V1457" s="1" t="str">
        <f>IFERROR(__xludf.DUMMYFUNCTION("""COMPUTED_VALUE"""),"AL Suarez")</f>
        <v>AL Suarez</v>
      </c>
      <c r="W1457" s="1" t="str">
        <f>IFERROR(__xludf.DUMMYFUNCTION("""COMPUTED_VALUE"""),"Admin Direct Support")</f>
        <v>Admin Direct Support</v>
      </c>
    </row>
    <row r="1458">
      <c r="O1458" s="1" t="str">
        <f>IFERROR(__xludf.DUMMYFUNCTION("""COMPUTED_VALUE"""),"2025 Nov")</f>
        <v>2025 Nov</v>
      </c>
      <c r="P1458" s="1" t="str">
        <f>IFERROR(__xludf.DUMMYFUNCTION("""COMPUTED_VALUE"""),"Core Product Support")</f>
        <v>Core Product Support</v>
      </c>
      <c r="Q1458" s="1" t="str">
        <f>IFERROR(__xludf.DUMMYFUNCTION("""COMPUTED_VALUE"""),"camilleb@canva.com")</f>
        <v>camilleb@canva.com</v>
      </c>
      <c r="R1458" s="1" t="str">
        <f>IFERROR(__xludf.DUMMYFUNCTION("""COMPUTED_VALUE"""),"Camille Bucks")</f>
        <v>Camille Bucks</v>
      </c>
      <c r="S1458" s="1">
        <f>IFERROR(__xludf.DUMMYFUNCTION("""COMPUTED_VALUE"""),1.5)</f>
        <v>1.5</v>
      </c>
      <c r="T1458" s="1">
        <f>IFERROR(__xludf.DUMMYFUNCTION("""COMPUTED_VALUE"""),10.67)</f>
        <v>10.67</v>
      </c>
      <c r="U1458" s="2">
        <f>IFERROR(__xludf.DUMMYFUNCTION("""COMPUTED_VALUE"""),12.17)</f>
        <v>12.17</v>
      </c>
      <c r="V1458" s="1" t="str">
        <f>IFERROR(__xludf.DUMMYFUNCTION("""COMPUTED_VALUE"""),"Ellaine Estayo")</f>
        <v>Ellaine Estayo</v>
      </c>
      <c r="W1458" s="1" t="str">
        <f>IFERROR(__xludf.DUMMYFUNCTION("""COMPUTED_VALUE"""),"Core Product Support Escalation Team")</f>
        <v>Core Product Support Escalation Team</v>
      </c>
    </row>
    <row r="1459">
      <c r="O1459" s="1" t="str">
        <f>IFERROR(__xludf.DUMMYFUNCTION("""COMPUTED_VALUE"""),"2025 Nov")</f>
        <v>2025 Nov</v>
      </c>
      <c r="P1459" s="1" t="str">
        <f>IFERROR(__xludf.DUMMYFUNCTION("""COMPUTED_VALUE"""),"Admin Support")</f>
        <v>Admin Support</v>
      </c>
      <c r="Q1459" s="1" t="str">
        <f>IFERROR(__xludf.DUMMYFUNCTION("""COMPUTED_VALUE"""),"camille.n@canva.com")</f>
        <v>camille.n@canva.com</v>
      </c>
      <c r="R1459" s="1" t="str">
        <f>IFERROR(__xludf.DUMMYFUNCTION("""COMPUTED_VALUE"""),"Camille Neypes")</f>
        <v>Camille Neypes</v>
      </c>
      <c r="S1459" s="1"/>
      <c r="T1459" s="1">
        <f>IFERROR(__xludf.DUMMYFUNCTION("""COMPUTED_VALUE"""),18.5)</f>
        <v>18.5</v>
      </c>
      <c r="U1459" s="2">
        <f>IFERROR(__xludf.DUMMYFUNCTION("""COMPUTED_VALUE"""),18.5)</f>
        <v>18.5</v>
      </c>
      <c r="V1459" s="1" t="str">
        <f>IFERROR(__xludf.DUMMYFUNCTION("""COMPUTED_VALUE"""),"Kelden Laguting")</f>
        <v>Kelden Laguting</v>
      </c>
      <c r="W1459" s="1" t="str">
        <f>IFERROR(__xludf.DUMMYFUNCTION("""COMPUTED_VALUE"""),"Admin Omni Support")</f>
        <v>Admin Omni Support</v>
      </c>
    </row>
    <row r="1460">
      <c r="O1460" s="1" t="str">
        <f>IFERROR(__xludf.DUMMYFUNCTION("""COMPUTED_VALUE"""),"2025 Nov")</f>
        <v>2025 Nov</v>
      </c>
      <c r="P1460" s="1" t="str">
        <f>IFERROR(__xludf.DUMMYFUNCTION("""COMPUTED_VALUE"""),"Print Support")</f>
        <v>Print Support</v>
      </c>
      <c r="Q1460" s="1" t="str">
        <f>IFERROR(__xludf.DUMMYFUNCTION("""COMPUTED_VALUE"""),"cammy@canva.com")</f>
        <v>cammy@canva.com</v>
      </c>
      <c r="R1460" s="1" t="str">
        <f>IFERROR(__xludf.DUMMYFUNCTION("""COMPUTED_VALUE"""),"Camille Oriel")</f>
        <v>Camille Oriel</v>
      </c>
      <c r="S1460" s="1"/>
      <c r="T1460" s="1">
        <f>IFERROR(__xludf.DUMMYFUNCTION("""COMPUTED_VALUE"""),2.83)</f>
        <v>2.83</v>
      </c>
      <c r="U1460" s="2">
        <f>IFERROR(__xludf.DUMMYFUNCTION("""COMPUTED_VALUE"""),2.83)</f>
        <v>2.83</v>
      </c>
      <c r="V1460" s="1" t="str">
        <f>IFERROR(__xludf.DUMMYFUNCTION("""COMPUTED_VALUE"""),"Louise Dianne Estrella")</f>
        <v>Louise Dianne Estrella</v>
      </c>
      <c r="W1460" s="1" t="str">
        <f>IFERROR(__xludf.DUMMYFUNCTION("""COMPUTED_VALUE"""),"Print Support PH")</f>
        <v>Print Support PH</v>
      </c>
    </row>
    <row r="1461">
      <c r="O1461" s="1" t="str">
        <f>IFERROR(__xludf.DUMMYFUNCTION("""COMPUTED_VALUE"""),"2025 Nov")</f>
        <v>2025 Nov</v>
      </c>
      <c r="P1461" s="1" t="str">
        <f>IFERROR(__xludf.DUMMYFUNCTION("""COMPUTED_VALUE"""),"Admin Support")</f>
        <v>Admin Support</v>
      </c>
      <c r="Q1461" s="1" t="str">
        <f>IFERROR(__xludf.DUMMYFUNCTION("""COMPUTED_VALUE"""),"carloav@canva.com")</f>
        <v>carloav@canva.com</v>
      </c>
      <c r="R1461" s="1" t="str">
        <f>IFERROR(__xludf.DUMMYFUNCTION("""COMPUTED_VALUE"""),"Carlo Valentin")</f>
        <v>Carlo Valentin</v>
      </c>
      <c r="S1461" s="1"/>
      <c r="T1461" s="1">
        <f>IFERROR(__xludf.DUMMYFUNCTION("""COMPUTED_VALUE"""),6.0)</f>
        <v>6</v>
      </c>
      <c r="U1461" s="2">
        <f>IFERROR(__xludf.DUMMYFUNCTION("""COMPUTED_VALUE"""),6.0)</f>
        <v>6</v>
      </c>
      <c r="V1461" s="1" t="str">
        <f>IFERROR(__xludf.DUMMYFUNCTION("""COMPUTED_VALUE"""),"Kelden Laguting")</f>
        <v>Kelden Laguting</v>
      </c>
      <c r="W1461" s="1" t="str">
        <f>IFERROR(__xludf.DUMMYFUNCTION("""COMPUTED_VALUE"""),"Admin Omni Support")</f>
        <v>Admin Omni Support</v>
      </c>
    </row>
    <row r="1462">
      <c r="O1462" s="1" t="str">
        <f>IFERROR(__xludf.DUMMYFUNCTION("""COMPUTED_VALUE"""),"2025 Nov")</f>
        <v>2025 Nov</v>
      </c>
      <c r="P1462" s="1" t="str">
        <f>IFERROR(__xludf.DUMMYFUNCTION("""COMPUTED_VALUE"""),"Core Product Support")</f>
        <v>Core Product Support</v>
      </c>
      <c r="Q1462" s="1" t="str">
        <f>IFERROR(__xludf.DUMMYFUNCTION("""COMPUTED_VALUE"""),"carmeladc@canva.com")</f>
        <v>carmeladc@canva.com</v>
      </c>
      <c r="R1462" s="1" t="str">
        <f>IFERROR(__xludf.DUMMYFUNCTION("""COMPUTED_VALUE"""),"Carmela Dela Cruz")</f>
        <v>Carmela Dela Cruz</v>
      </c>
      <c r="S1462" s="1">
        <f>IFERROR(__xludf.DUMMYFUNCTION("""COMPUTED_VALUE"""),1.0)</f>
        <v>1</v>
      </c>
      <c r="T1462" s="1">
        <f>IFERROR(__xludf.DUMMYFUNCTION("""COMPUTED_VALUE"""),3.42)</f>
        <v>3.42</v>
      </c>
      <c r="U1462" s="2">
        <f>IFERROR(__xludf.DUMMYFUNCTION("""COMPUTED_VALUE"""),4.42)</f>
        <v>4.42</v>
      </c>
      <c r="V1462" s="1" t="str">
        <f>IFERROR(__xludf.DUMMYFUNCTION("""COMPUTED_VALUE"""),"Marie Mordeno")</f>
        <v>Marie Mordeno</v>
      </c>
      <c r="W1462" s="1" t="str">
        <f>IFERROR(__xludf.DUMMYFUNCTION("""COMPUTED_VALUE"""),"Advanced Billing &amp; Subscriptions")</f>
        <v>Advanced Billing &amp; Subscriptions</v>
      </c>
    </row>
    <row r="1463">
      <c r="O1463" s="1" t="str">
        <f>IFERROR(__xludf.DUMMYFUNCTION("""COMPUTED_VALUE"""),"2025 Nov")</f>
        <v>2025 Nov</v>
      </c>
      <c r="P1463" s="1" t="str">
        <f>IFERROR(__xludf.DUMMYFUNCTION("""COMPUTED_VALUE"""),"Print Support")</f>
        <v>Print Support</v>
      </c>
      <c r="Q1463" s="1" t="str">
        <f>IFERROR(__xludf.DUMMYFUNCTION("""COMPUTED_VALUE"""),"carms@canva.com")</f>
        <v>carms@canva.com</v>
      </c>
      <c r="R1463" s="1" t="str">
        <f>IFERROR(__xludf.DUMMYFUNCTION("""COMPUTED_VALUE"""),"Carms Merilles")</f>
        <v>Carms Merilles</v>
      </c>
      <c r="S1463" s="1"/>
      <c r="T1463" s="1">
        <f>IFERROR(__xludf.DUMMYFUNCTION("""COMPUTED_VALUE"""),2.75)</f>
        <v>2.75</v>
      </c>
      <c r="U1463" s="2">
        <f>IFERROR(__xludf.DUMMYFUNCTION("""COMPUTED_VALUE"""),2.75)</f>
        <v>2.75</v>
      </c>
      <c r="V1463" s="1" t="str">
        <f>IFERROR(__xludf.DUMMYFUNCTION("""COMPUTED_VALUE"""),"Gem Agoncillo")</f>
        <v>Gem Agoncillo</v>
      </c>
      <c r="W1463" s="1" t="str">
        <f>IFERROR(__xludf.DUMMYFUNCTION("""COMPUTED_VALUE"""),"Print Design Support")</f>
        <v>Print Design Support</v>
      </c>
    </row>
    <row r="1464">
      <c r="O1464" s="1" t="str">
        <f>IFERROR(__xludf.DUMMYFUNCTION("""COMPUTED_VALUE"""),"2025 Nov")</f>
        <v>2025 Nov</v>
      </c>
      <c r="P1464" s="1" t="str">
        <f>IFERROR(__xludf.DUMMYFUNCTION("""COMPUTED_VALUE"""),"High Sensitivity Support")</f>
        <v>High Sensitivity Support</v>
      </c>
      <c r="Q1464" s="1" t="str">
        <f>IFERROR(__xludf.DUMMYFUNCTION("""COMPUTED_VALUE"""),"cassie@canva.com")</f>
        <v>cassie@canva.com</v>
      </c>
      <c r="R1464" s="1" t="str">
        <f>IFERROR(__xludf.DUMMYFUNCTION("""COMPUTED_VALUE"""),"Cassie Eugenio")</f>
        <v>Cassie Eugenio</v>
      </c>
      <c r="S1464" s="1"/>
      <c r="T1464" s="1">
        <f>IFERROR(__xludf.DUMMYFUNCTION("""COMPUTED_VALUE"""),1.75)</f>
        <v>1.75</v>
      </c>
      <c r="U1464" s="2">
        <f>IFERROR(__xludf.DUMMYFUNCTION("""COMPUTED_VALUE"""),1.75)</f>
        <v>1.75</v>
      </c>
      <c r="V1464" s="1" t="str">
        <f>IFERROR(__xludf.DUMMYFUNCTION("""COMPUTED_VALUE"""),"Issi Afable")</f>
        <v>Issi Afable</v>
      </c>
      <c r="W1464" s="1" t="str">
        <f>IFERROR(__xludf.DUMMYFUNCTION("""COMPUTED_VALUE"""),"High Sensitivity Support PH")</f>
        <v>High Sensitivity Support PH</v>
      </c>
    </row>
    <row r="1465">
      <c r="O1465" s="1" t="str">
        <f>IFERROR(__xludf.DUMMYFUNCTION("""COMPUTED_VALUE"""),"2025 Nov")</f>
        <v>2025 Nov</v>
      </c>
      <c r="P1465" s="1" t="str">
        <f>IFERROR(__xludf.DUMMYFUNCTION("""COMPUTED_VALUE"""),"Print Support")</f>
        <v>Print Support</v>
      </c>
      <c r="Q1465" s="1" t="str">
        <f>IFERROR(__xludf.DUMMYFUNCTION("""COMPUTED_VALUE"""),"catherinenicole@canva.com")</f>
        <v>catherinenicole@canva.com</v>
      </c>
      <c r="R1465" s="1" t="str">
        <f>IFERROR(__xludf.DUMMYFUNCTION("""COMPUTED_VALUE"""),"Catherine Ledesma")</f>
        <v>Catherine Ledesma</v>
      </c>
      <c r="S1465" s="1"/>
      <c r="T1465" s="1">
        <f>IFERROR(__xludf.DUMMYFUNCTION("""COMPUTED_VALUE"""),2.42)</f>
        <v>2.42</v>
      </c>
      <c r="U1465" s="2">
        <f>IFERROR(__xludf.DUMMYFUNCTION("""COMPUTED_VALUE"""),2.42)</f>
        <v>2.42</v>
      </c>
      <c r="V1465" s="1" t="str">
        <f>IFERROR(__xludf.DUMMYFUNCTION("""COMPUTED_VALUE"""),"Jen Momo")</f>
        <v>Jen Momo</v>
      </c>
      <c r="W1465" s="1" t="str">
        <f>IFERROR(__xludf.DUMMYFUNCTION("""COMPUTED_VALUE"""),"Print Support PH")</f>
        <v>Print Support PH</v>
      </c>
    </row>
    <row r="1466">
      <c r="O1466" s="1" t="str">
        <f>IFERROR(__xludf.DUMMYFUNCTION("""COMPUTED_VALUE"""),"2025 Nov")</f>
        <v>2025 Nov</v>
      </c>
      <c r="P1466" s="1" t="str">
        <f>IFERROR(__xludf.DUMMYFUNCTION("""COMPUTED_VALUE"""),"Core Product Support")</f>
        <v>Core Product Support</v>
      </c>
      <c r="Q1466" s="1" t="str">
        <f>IFERROR(__xludf.DUMMYFUNCTION("""COMPUTED_VALUE"""),"laranang@canva.com")</f>
        <v>laranang@canva.com</v>
      </c>
      <c r="R1466" s="1" t="str">
        <f>IFERROR(__xludf.DUMMYFUNCTION("""COMPUTED_VALUE"""),"Cha Laranang")</f>
        <v>Cha Laranang</v>
      </c>
      <c r="S1466" s="1"/>
      <c r="T1466" s="1">
        <f>IFERROR(__xludf.DUMMYFUNCTION("""COMPUTED_VALUE"""),1.92)</f>
        <v>1.92</v>
      </c>
      <c r="U1466" s="2">
        <f>IFERROR(__xludf.DUMMYFUNCTION("""COMPUTED_VALUE"""),1.92)</f>
        <v>1.92</v>
      </c>
      <c r="V1466" s="1" t="str">
        <f>IFERROR(__xludf.DUMMYFUNCTION("""COMPUTED_VALUE"""),"Cate Velasco")</f>
        <v>Cate Velasco</v>
      </c>
      <c r="W1466" s="1" t="str">
        <f>IFERROR(__xludf.DUMMYFUNCTION("""COMPUTED_VALUE"""),"Advanced Product Support")</f>
        <v>Advanced Product Support</v>
      </c>
    </row>
    <row r="1467">
      <c r="O1467" s="1" t="str">
        <f>IFERROR(__xludf.DUMMYFUNCTION("""COMPUTED_VALUE"""),"2025 Nov")</f>
        <v>2025 Nov</v>
      </c>
      <c r="P1467" s="1" t="str">
        <f>IFERROR(__xludf.DUMMYFUNCTION("""COMPUTED_VALUE"""),"Core Product Support")</f>
        <v>Core Product Support</v>
      </c>
      <c r="Q1467" s="1" t="str">
        <f>IFERROR(__xludf.DUMMYFUNCTION("""COMPUTED_VALUE"""),"chace@canva.com")</f>
        <v>chace@canva.com</v>
      </c>
      <c r="R1467" s="1" t="str">
        <f>IFERROR(__xludf.DUMMYFUNCTION("""COMPUTED_VALUE"""),"Chace Ablaza")</f>
        <v>Chace Ablaza</v>
      </c>
      <c r="S1467" s="1">
        <f>IFERROR(__xludf.DUMMYFUNCTION("""COMPUTED_VALUE"""),0.5)</f>
        <v>0.5</v>
      </c>
      <c r="T1467" s="1">
        <f>IFERROR(__xludf.DUMMYFUNCTION("""COMPUTED_VALUE"""),4.5)</f>
        <v>4.5</v>
      </c>
      <c r="U1467" s="2">
        <f>IFERROR(__xludf.DUMMYFUNCTION("""COMPUTED_VALUE"""),5.0)</f>
        <v>5</v>
      </c>
      <c r="V1467" s="1" t="str">
        <f>IFERROR(__xludf.DUMMYFUNCTION("""COMPUTED_VALUE"""),"Ellaine Estayo")</f>
        <v>Ellaine Estayo</v>
      </c>
      <c r="W1467" s="1" t="str">
        <f>IFERROR(__xludf.DUMMYFUNCTION("""COMPUTED_VALUE"""),"Core Product Support Escalation Team")</f>
        <v>Core Product Support Escalation Team</v>
      </c>
    </row>
    <row r="1468">
      <c r="O1468" s="1" t="str">
        <f>IFERROR(__xludf.DUMMYFUNCTION("""COMPUTED_VALUE"""),"2025 Nov")</f>
        <v>2025 Nov</v>
      </c>
      <c r="P1468" s="1" t="str">
        <f>IFERROR(__xludf.DUMMYFUNCTION("""COMPUTED_VALUE"""),"Core Product Support")</f>
        <v>Core Product Support</v>
      </c>
      <c r="Q1468" s="1" t="str">
        <f>IFERROR(__xludf.DUMMYFUNCTION("""COMPUTED_VALUE"""),"charissa@canva.com")</f>
        <v>charissa@canva.com</v>
      </c>
      <c r="R1468" s="1" t="str">
        <f>IFERROR(__xludf.DUMMYFUNCTION("""COMPUTED_VALUE"""),"Charissa Goyena")</f>
        <v>Charissa Goyena</v>
      </c>
      <c r="S1468" s="1"/>
      <c r="T1468" s="1">
        <f>IFERROR(__xludf.DUMMYFUNCTION("""COMPUTED_VALUE"""),4.75)</f>
        <v>4.75</v>
      </c>
      <c r="U1468" s="2">
        <f>IFERROR(__xludf.DUMMYFUNCTION("""COMPUTED_VALUE"""),4.75)</f>
        <v>4.75</v>
      </c>
      <c r="V1468" s="1" t="str">
        <f>IFERROR(__xludf.DUMMYFUNCTION("""COMPUTED_VALUE"""),"Vinz Lazaro")</f>
        <v>Vinz Lazaro</v>
      </c>
      <c r="W1468" s="1" t="str">
        <f>IFERROR(__xludf.DUMMYFUNCTION("""COMPUTED_VALUE"""),"Advanced Product Support")</f>
        <v>Advanced Product Support</v>
      </c>
    </row>
    <row r="1469">
      <c r="O1469" s="1" t="str">
        <f>IFERROR(__xludf.DUMMYFUNCTION("""COMPUTED_VALUE"""),"2025 Nov")</f>
        <v>2025 Nov</v>
      </c>
      <c r="P1469" s="1" t="str">
        <f>IFERROR(__xludf.DUMMYFUNCTION("""COMPUTED_VALUE"""),"Segment-specific Support")</f>
        <v>Segment-specific Support</v>
      </c>
      <c r="Q1469" s="1" t="str">
        <f>IFERROR(__xludf.DUMMYFUNCTION("""COMPUTED_VALUE"""),"charizavargas@canva.com")</f>
        <v>charizavargas@canva.com</v>
      </c>
      <c r="R1469" s="1" t="str">
        <f>IFERROR(__xludf.DUMMYFUNCTION("""COMPUTED_VALUE"""),"Chariza Vargas")</f>
        <v>Chariza Vargas</v>
      </c>
      <c r="S1469" s="1"/>
      <c r="T1469" s="1">
        <f>IFERROR(__xludf.DUMMYFUNCTION("""COMPUTED_VALUE"""),1.25)</f>
        <v>1.25</v>
      </c>
      <c r="U1469" s="2">
        <f>IFERROR(__xludf.DUMMYFUNCTION("""COMPUTED_VALUE"""),1.25)</f>
        <v>1.25</v>
      </c>
      <c r="V1469" s="1" t="str">
        <f>IFERROR(__xludf.DUMMYFUNCTION("""COMPUTED_VALUE"""),"Aileen Dayanghirang")</f>
        <v>Aileen Dayanghirang</v>
      </c>
      <c r="W1469" s="1" t="str">
        <f>IFERROR(__xludf.DUMMYFUNCTION("""COMPUTED_VALUE"""),"Creators Support")</f>
        <v>Creators Support</v>
      </c>
    </row>
    <row r="1470">
      <c r="O1470" s="1" t="str">
        <f>IFERROR(__xludf.DUMMYFUNCTION("""COMPUTED_VALUE"""),"2025 Nov")</f>
        <v>2025 Nov</v>
      </c>
      <c r="P1470" s="1" t="str">
        <f>IFERROR(__xludf.DUMMYFUNCTION("""COMPUTED_VALUE"""),"Admin Support")</f>
        <v>Admin Support</v>
      </c>
      <c r="Q1470" s="1" t="str">
        <f>IFERROR(__xludf.DUMMYFUNCTION("""COMPUTED_VALUE"""),"charlest@canva.com")</f>
        <v>charlest@canva.com</v>
      </c>
      <c r="R1470" s="1" t="str">
        <f>IFERROR(__xludf.DUMMYFUNCTION("""COMPUTED_VALUE"""),"Charles Andrew Tan")</f>
        <v>Charles Andrew Tan</v>
      </c>
      <c r="S1470" s="1"/>
      <c r="T1470" s="1">
        <f>IFERROR(__xludf.DUMMYFUNCTION("""COMPUTED_VALUE"""),8.25)</f>
        <v>8.25</v>
      </c>
      <c r="U1470" s="2">
        <f>IFERROR(__xludf.DUMMYFUNCTION("""COMPUTED_VALUE"""),8.25)</f>
        <v>8.25</v>
      </c>
      <c r="V1470" s="1" t="str">
        <f>IFERROR(__xludf.DUMMYFUNCTION("""COMPUTED_VALUE"""),"Kelden Laguting")</f>
        <v>Kelden Laguting</v>
      </c>
      <c r="W1470" s="1" t="str">
        <f>IFERROR(__xludf.DUMMYFUNCTION("""COMPUTED_VALUE"""),"Admin Omni Support")</f>
        <v>Admin Omni Support</v>
      </c>
    </row>
    <row r="1471">
      <c r="O1471" s="1" t="str">
        <f>IFERROR(__xludf.DUMMYFUNCTION("""COMPUTED_VALUE"""),"2025 Nov")</f>
        <v>2025 Nov</v>
      </c>
      <c r="P1471" s="1" t="str">
        <f>IFERROR(__xludf.DUMMYFUNCTION("""COMPUTED_VALUE"""),"Core Product Support")</f>
        <v>Core Product Support</v>
      </c>
      <c r="Q1471" s="1" t="str">
        <f>IFERROR(__xludf.DUMMYFUNCTION("""COMPUTED_VALUE"""),"charmb@canva.com")</f>
        <v>charmb@canva.com</v>
      </c>
      <c r="R1471" s="1" t="str">
        <f>IFERROR(__xludf.DUMMYFUNCTION("""COMPUTED_VALUE"""),"Charm Bansil")</f>
        <v>Charm Bansil</v>
      </c>
      <c r="S1471" s="1">
        <f>IFERROR(__xludf.DUMMYFUNCTION("""COMPUTED_VALUE"""),0.5)</f>
        <v>0.5</v>
      </c>
      <c r="T1471" s="1">
        <f>IFERROR(__xludf.DUMMYFUNCTION("""COMPUTED_VALUE"""),2.25)</f>
        <v>2.25</v>
      </c>
      <c r="U1471" s="2">
        <f>IFERROR(__xludf.DUMMYFUNCTION("""COMPUTED_VALUE"""),2.75)</f>
        <v>2.75</v>
      </c>
      <c r="V1471" s="1" t="str">
        <f>IFERROR(__xludf.DUMMYFUNCTION("""COMPUTED_VALUE"""),"Ana Lazaro")</f>
        <v>Ana Lazaro</v>
      </c>
      <c r="W1471" s="1" t="str">
        <f>IFERROR(__xludf.DUMMYFUNCTION("""COMPUTED_VALUE"""),"Advanced Billing &amp; Subscriptions")</f>
        <v>Advanced Billing &amp; Subscriptions</v>
      </c>
    </row>
    <row r="1472">
      <c r="O1472" s="1" t="str">
        <f>IFERROR(__xludf.DUMMYFUNCTION("""COMPUTED_VALUE"""),"2025 Nov")</f>
        <v>2025 Nov</v>
      </c>
      <c r="P1472" s="1" t="str">
        <f>IFERROR(__xludf.DUMMYFUNCTION("""COMPUTED_VALUE"""),"Print Support")</f>
        <v>Print Support</v>
      </c>
      <c r="Q1472" s="1" t="str">
        <f>IFERROR(__xludf.DUMMYFUNCTION("""COMPUTED_VALUE"""),"catherine@canva.com")</f>
        <v>catherine@canva.com</v>
      </c>
      <c r="R1472" s="1" t="str">
        <f>IFERROR(__xludf.DUMMYFUNCTION("""COMPUTED_VALUE"""),"Cheche Ramirez")</f>
        <v>Cheche Ramirez</v>
      </c>
      <c r="S1472" s="1"/>
      <c r="T1472" s="1">
        <f>IFERROR(__xludf.DUMMYFUNCTION("""COMPUTED_VALUE"""),41.98)</f>
        <v>41.98</v>
      </c>
      <c r="U1472" s="2">
        <f>IFERROR(__xludf.DUMMYFUNCTION("""COMPUTED_VALUE"""),41.98)</f>
        <v>41.98</v>
      </c>
      <c r="V1472" s="1" t="str">
        <f>IFERROR(__xludf.DUMMYFUNCTION("""COMPUTED_VALUE"""),"Jen Momo")</f>
        <v>Jen Momo</v>
      </c>
      <c r="W1472" s="1" t="str">
        <f>IFERROR(__xludf.DUMMYFUNCTION("""COMPUTED_VALUE"""),"Print Support PH")</f>
        <v>Print Support PH</v>
      </c>
    </row>
    <row r="1473">
      <c r="O1473" s="1" t="str">
        <f>IFERROR(__xludf.DUMMYFUNCTION("""COMPUTED_VALUE"""),"2025 Nov")</f>
        <v>2025 Nov</v>
      </c>
      <c r="P1473" s="1" t="str">
        <f>IFERROR(__xludf.DUMMYFUNCTION("""COMPUTED_VALUE"""),"Core Product Support")</f>
        <v>Core Product Support</v>
      </c>
      <c r="Q1473" s="1" t="str">
        <f>IFERROR(__xludf.DUMMYFUNCTION("""COMPUTED_VALUE"""),"chesca@canva.com")</f>
        <v>chesca@canva.com</v>
      </c>
      <c r="R1473" s="1" t="str">
        <f>IFERROR(__xludf.DUMMYFUNCTION("""COMPUTED_VALUE"""),"Chesca Martos")</f>
        <v>Chesca Martos</v>
      </c>
      <c r="S1473" s="1">
        <f>IFERROR(__xludf.DUMMYFUNCTION("""COMPUTED_VALUE"""),1.0)</f>
        <v>1</v>
      </c>
      <c r="T1473" s="1">
        <f>IFERROR(__xludf.DUMMYFUNCTION("""COMPUTED_VALUE"""),1.75)</f>
        <v>1.75</v>
      </c>
      <c r="U1473" s="2">
        <f>IFERROR(__xludf.DUMMYFUNCTION("""COMPUTED_VALUE"""),2.75)</f>
        <v>2.75</v>
      </c>
      <c r="V1473" s="1" t="str">
        <f>IFERROR(__xludf.DUMMYFUNCTION("""COMPUTED_VALUE"""),"Ayza Marie Pascual")</f>
        <v>Ayza Marie Pascual</v>
      </c>
      <c r="W1473" s="1" t="str">
        <f>IFERROR(__xludf.DUMMYFUNCTION("""COMPUTED_VALUE"""),"Advanced Billing &amp; Subscriptions")</f>
        <v>Advanced Billing &amp; Subscriptions</v>
      </c>
    </row>
    <row r="1474">
      <c r="O1474" s="1" t="str">
        <f>IFERROR(__xludf.DUMMYFUNCTION("""COMPUTED_VALUE"""),"2025 Nov")</f>
        <v>2025 Nov</v>
      </c>
      <c r="P1474" s="1" t="str">
        <f>IFERROR(__xludf.DUMMYFUNCTION("""COMPUTED_VALUE"""),"Core Product Support")</f>
        <v>Core Product Support</v>
      </c>
      <c r="Q1474" s="1" t="str">
        <f>IFERROR(__xludf.DUMMYFUNCTION("""COMPUTED_VALUE"""),"chlgts@canva.com")</f>
        <v>chlgts@canva.com</v>
      </c>
      <c r="R1474" s="1" t="str">
        <f>IFERROR(__xludf.DUMMYFUNCTION("""COMPUTED_VALUE"""),"Cholo Ligtas")</f>
        <v>Cholo Ligtas</v>
      </c>
      <c r="S1474" s="1">
        <f>IFERROR(__xludf.DUMMYFUNCTION("""COMPUTED_VALUE"""),1.0)</f>
        <v>1</v>
      </c>
      <c r="T1474" s="1">
        <f>IFERROR(__xludf.DUMMYFUNCTION("""COMPUTED_VALUE"""),2.75)</f>
        <v>2.75</v>
      </c>
      <c r="U1474" s="2">
        <f>IFERROR(__xludf.DUMMYFUNCTION("""COMPUTED_VALUE"""),3.75)</f>
        <v>3.75</v>
      </c>
      <c r="V1474" s="1" t="str">
        <f>IFERROR(__xludf.DUMMYFUNCTION("""COMPUTED_VALUE"""),"Jahmie Mae Barrameda")</f>
        <v>Jahmie Mae Barrameda</v>
      </c>
      <c r="W1474" s="1" t="str">
        <f>IFERROR(__xludf.DUMMYFUNCTION("""COMPUTED_VALUE"""),"Advanced Billing &amp; Subscriptions")</f>
        <v>Advanced Billing &amp; Subscriptions</v>
      </c>
    </row>
    <row r="1475">
      <c r="O1475" s="1" t="str">
        <f>IFERROR(__xludf.DUMMYFUNCTION("""COMPUTED_VALUE"""),"2025 Nov")</f>
        <v>2025 Nov</v>
      </c>
      <c r="P1475" s="1" t="str">
        <f>IFERROR(__xludf.DUMMYFUNCTION("""COMPUTED_VALUE"""),"Core Product Support")</f>
        <v>Core Product Support</v>
      </c>
      <c r="Q1475" s="1" t="str">
        <f>IFERROR(__xludf.DUMMYFUNCTION("""COMPUTED_VALUE"""),"tintinmaxilom@canva.com")</f>
        <v>tintinmaxilom@canva.com</v>
      </c>
      <c r="R1475" s="1" t="str">
        <f>IFERROR(__xludf.DUMMYFUNCTION("""COMPUTED_VALUE"""),"Christine Araga")</f>
        <v>Christine Araga</v>
      </c>
      <c r="S1475" s="1">
        <f>IFERROR(__xludf.DUMMYFUNCTION("""COMPUTED_VALUE"""),0.5)</f>
        <v>0.5</v>
      </c>
      <c r="T1475" s="1">
        <f>IFERROR(__xludf.DUMMYFUNCTION("""COMPUTED_VALUE"""),11.5)</f>
        <v>11.5</v>
      </c>
      <c r="U1475" s="2">
        <f>IFERROR(__xludf.DUMMYFUNCTION("""COMPUTED_VALUE"""),12.0)</f>
        <v>12</v>
      </c>
      <c r="V1475" s="1" t="str">
        <f>IFERROR(__xludf.DUMMYFUNCTION("""COMPUTED_VALUE"""),"Jelyn Elmido")</f>
        <v>Jelyn Elmido</v>
      </c>
      <c r="W1475" s="1" t="str">
        <f>IFERROR(__xludf.DUMMYFUNCTION("""COMPUTED_VALUE"""),"Core Product Support Escalation Team")</f>
        <v>Core Product Support Escalation Team</v>
      </c>
    </row>
    <row r="1476">
      <c r="O1476" s="1" t="str">
        <f>IFERROR(__xludf.DUMMYFUNCTION("""COMPUTED_VALUE"""),"2025 Nov")</f>
        <v>2025 Nov</v>
      </c>
      <c r="P1476" s="1" t="str">
        <f>IFERROR(__xludf.DUMMYFUNCTION("""COMPUTED_VALUE"""),"Print Support")</f>
        <v>Print Support</v>
      </c>
      <c r="Q1476" s="1" t="str">
        <f>IFERROR(__xludf.DUMMYFUNCTION("""COMPUTED_VALUE"""),"cjlining@canva.com")</f>
        <v>cjlining@canva.com</v>
      </c>
      <c r="R1476" s="1" t="str">
        <f>IFERROR(__xludf.DUMMYFUNCTION("""COMPUTED_VALUE"""),"CJ Lining")</f>
        <v>CJ Lining</v>
      </c>
      <c r="S1476" s="1"/>
      <c r="T1476" s="1">
        <f>IFERROR(__xludf.DUMMYFUNCTION("""COMPUTED_VALUE"""),2.42)</f>
        <v>2.42</v>
      </c>
      <c r="U1476" s="2">
        <f>IFERROR(__xludf.DUMMYFUNCTION("""COMPUTED_VALUE"""),2.42)</f>
        <v>2.42</v>
      </c>
      <c r="V1476" s="1" t="str">
        <f>IFERROR(__xludf.DUMMYFUNCTION("""COMPUTED_VALUE"""),"Althea Mercado")</f>
        <v>Althea Mercado</v>
      </c>
      <c r="W1476" s="1" t="str">
        <f>IFERROR(__xludf.DUMMYFUNCTION("""COMPUTED_VALUE"""),"Print Support PH")</f>
        <v>Print Support PH</v>
      </c>
    </row>
    <row r="1477">
      <c r="O1477" s="1" t="str">
        <f>IFERROR(__xludf.DUMMYFUNCTION("""COMPUTED_VALUE"""),"2025 Nov")</f>
        <v>2025 Nov</v>
      </c>
      <c r="P1477" s="1" t="str">
        <f>IFERROR(__xludf.DUMMYFUNCTION("""COMPUTED_VALUE"""),"Admin Support")</f>
        <v>Admin Support</v>
      </c>
      <c r="Q1477" s="1" t="str">
        <f>IFERROR(__xludf.DUMMYFUNCTION("""COMPUTED_VALUE"""),"ckmg@canva.com")</f>
        <v>ckmg@canva.com</v>
      </c>
      <c r="R1477" s="1" t="str">
        <f>IFERROR(__xludf.DUMMYFUNCTION("""COMPUTED_VALUE"""),"CK Geronimo")</f>
        <v>CK Geronimo</v>
      </c>
      <c r="S1477" s="1"/>
      <c r="T1477" s="1">
        <f>IFERROR(__xludf.DUMMYFUNCTION("""COMPUTED_VALUE"""),5.75)</f>
        <v>5.75</v>
      </c>
      <c r="U1477" s="2">
        <f>IFERROR(__xludf.DUMMYFUNCTION("""COMPUTED_VALUE"""),5.75)</f>
        <v>5.75</v>
      </c>
      <c r="V1477" s="1" t="str">
        <f>IFERROR(__xludf.DUMMYFUNCTION("""COMPUTED_VALUE"""),"Pau Palmero")</f>
        <v>Pau Palmero</v>
      </c>
      <c r="W1477" s="1" t="str">
        <f>IFERROR(__xludf.DUMMYFUNCTION("""COMPUTED_VALUE"""),"Admin Omni Support")</f>
        <v>Admin Omni Support</v>
      </c>
    </row>
    <row r="1478">
      <c r="O1478" s="1" t="str">
        <f>IFERROR(__xludf.DUMMYFUNCTION("""COMPUTED_VALUE"""),"2025 Nov")</f>
        <v>2025 Nov</v>
      </c>
      <c r="P1478" s="1" t="str">
        <f>IFERROR(__xludf.DUMMYFUNCTION("""COMPUTED_VALUE"""),"Segment-specific Support")</f>
        <v>Segment-specific Support</v>
      </c>
      <c r="Q1478" s="1" t="str">
        <f>IFERROR(__xludf.DUMMYFUNCTION("""COMPUTED_VALUE"""),"magnumck@canva.com")</f>
        <v>magnumck@canva.com</v>
      </c>
      <c r="R1478" s="1" t="str">
        <f>IFERROR(__xludf.DUMMYFUNCTION("""COMPUTED_VALUE"""),"CK Lobaton")</f>
        <v>CK Lobaton</v>
      </c>
      <c r="S1478" s="1">
        <f>IFERROR(__xludf.DUMMYFUNCTION("""COMPUTED_VALUE"""),1.0)</f>
        <v>1</v>
      </c>
      <c r="T1478" s="1">
        <f>IFERROR(__xludf.DUMMYFUNCTION("""COMPUTED_VALUE"""),0.75)</f>
        <v>0.75</v>
      </c>
      <c r="U1478" s="2">
        <f>IFERROR(__xludf.DUMMYFUNCTION("""COMPUTED_VALUE"""),1.75)</f>
        <v>1.75</v>
      </c>
      <c r="V1478" s="1" t="str">
        <f>IFERROR(__xludf.DUMMYFUNCTION("""COMPUTED_VALUE"""),"Jonathan Dimaculangan")</f>
        <v>Jonathan Dimaculangan</v>
      </c>
      <c r="W1478" s="1" t="str">
        <f>IFERROR(__xludf.DUMMYFUNCTION("""COMPUTED_VALUE"""),"Flourish Support")</f>
        <v>Flourish Support</v>
      </c>
    </row>
    <row r="1479">
      <c r="O1479" s="1" t="str">
        <f>IFERROR(__xludf.DUMMYFUNCTION("""COMPUTED_VALUE"""),"2025 Nov")</f>
        <v>2025 Nov</v>
      </c>
      <c r="P1479" s="1" t="str">
        <f>IFERROR(__xludf.DUMMYFUNCTION("""COMPUTED_VALUE"""),"Core Product Support")</f>
        <v>Core Product Support</v>
      </c>
      <c r="Q1479" s="1" t="str">
        <f>IFERROR(__xludf.DUMMYFUNCTION("""COMPUTED_VALUE"""),"cladd@canva.com")</f>
        <v>cladd@canva.com</v>
      </c>
      <c r="R1479" s="1" t="str">
        <f>IFERROR(__xludf.DUMMYFUNCTION("""COMPUTED_VALUE"""),"Claddys Ann Bernaldez")</f>
        <v>Claddys Ann Bernaldez</v>
      </c>
      <c r="S1479" s="1">
        <f>IFERROR(__xludf.DUMMYFUNCTION("""COMPUTED_VALUE"""),1.5)</f>
        <v>1.5</v>
      </c>
      <c r="T1479" s="1">
        <f>IFERROR(__xludf.DUMMYFUNCTION("""COMPUTED_VALUE"""),6.5)</f>
        <v>6.5</v>
      </c>
      <c r="U1479" s="2">
        <f>IFERROR(__xludf.DUMMYFUNCTION("""COMPUTED_VALUE"""),8.0)</f>
        <v>8</v>
      </c>
      <c r="V1479" s="1" t="str">
        <f>IFERROR(__xludf.DUMMYFUNCTION("""COMPUTED_VALUE"""),"Jelyn Elmido")</f>
        <v>Jelyn Elmido</v>
      </c>
      <c r="W1479" s="1" t="str">
        <f>IFERROR(__xludf.DUMMYFUNCTION("""COMPUTED_VALUE"""),"Core Product Support Escalation Team")</f>
        <v>Core Product Support Escalation Team</v>
      </c>
    </row>
    <row r="1480">
      <c r="O1480" s="1" t="str">
        <f>IFERROR(__xludf.DUMMYFUNCTION("""COMPUTED_VALUE"""),"2025 Nov")</f>
        <v>2025 Nov</v>
      </c>
      <c r="P1480" s="1" t="str">
        <f>IFERROR(__xludf.DUMMYFUNCTION("""COMPUTED_VALUE"""),"Multilingual Support")</f>
        <v>Multilingual Support</v>
      </c>
      <c r="Q1480" s="1" t="str">
        <f>IFERROR(__xludf.DUMMYFUNCTION("""COMPUTED_VALUE"""),"claire.g@canva.com")</f>
        <v>claire.g@canva.com</v>
      </c>
      <c r="R1480" s="1" t="str">
        <f>IFERROR(__xludf.DUMMYFUNCTION("""COMPUTED_VALUE"""),"Claire Gado")</f>
        <v>Claire Gado</v>
      </c>
      <c r="S1480" s="1"/>
      <c r="T1480" s="1">
        <f>IFERROR(__xludf.DUMMYFUNCTION("""COMPUTED_VALUE"""),1.75)</f>
        <v>1.75</v>
      </c>
      <c r="U1480" s="2">
        <f>IFERROR(__xludf.DUMMYFUNCTION("""COMPUTED_VALUE"""),1.75)</f>
        <v>1.75</v>
      </c>
      <c r="V1480" s="1" t="str">
        <f>IFERROR(__xludf.DUMMYFUNCTION("""COMPUTED_VALUE"""),"Arlene Maurillo")</f>
        <v>Arlene Maurillo</v>
      </c>
      <c r="W1480" s="1" t="str">
        <f>IFERROR(__xludf.DUMMYFUNCTION("""COMPUTED_VALUE"""),"PHL, Multilingual Support")</f>
        <v>PHL, Multilingual Support</v>
      </c>
    </row>
    <row r="1481">
      <c r="O1481" s="1" t="str">
        <f>IFERROR(__xludf.DUMMYFUNCTION("""COMPUTED_VALUE"""),"2025 Nov")</f>
        <v>2025 Nov</v>
      </c>
      <c r="P1481" s="1" t="str">
        <f>IFERROR(__xludf.DUMMYFUNCTION("""COMPUTED_VALUE"""),"Print Support")</f>
        <v>Print Support</v>
      </c>
      <c r="Q1481" s="1" t="str">
        <f>IFERROR(__xludf.DUMMYFUNCTION("""COMPUTED_VALUE"""),"cyreengee@canva.com")</f>
        <v>cyreengee@canva.com</v>
      </c>
      <c r="R1481" s="1" t="str">
        <f>IFERROR(__xludf.DUMMYFUNCTION("""COMPUTED_VALUE"""),"Cye Gonzales")</f>
        <v>Cye Gonzales</v>
      </c>
      <c r="S1481" s="1"/>
      <c r="T1481" s="1">
        <f>IFERROR(__xludf.DUMMYFUNCTION("""COMPUTED_VALUE"""),2.27)</f>
        <v>2.27</v>
      </c>
      <c r="U1481" s="2">
        <f>IFERROR(__xludf.DUMMYFUNCTION("""COMPUTED_VALUE"""),2.27)</f>
        <v>2.27</v>
      </c>
      <c r="V1481" s="1" t="str">
        <f>IFERROR(__xludf.DUMMYFUNCTION("""COMPUTED_VALUE"""),"Althea Mercado")</f>
        <v>Althea Mercado</v>
      </c>
      <c r="W1481" s="1" t="str">
        <f>IFERROR(__xludf.DUMMYFUNCTION("""COMPUTED_VALUE"""),"Print Support PH")</f>
        <v>Print Support PH</v>
      </c>
    </row>
    <row r="1482">
      <c r="O1482" s="1" t="str">
        <f>IFERROR(__xludf.DUMMYFUNCTION("""COMPUTED_VALUE"""),"2025 Nov")</f>
        <v>2025 Nov</v>
      </c>
      <c r="P1482" s="1" t="str">
        <f>IFERROR(__xludf.DUMMYFUNCTION("""COMPUTED_VALUE"""),"Print Support")</f>
        <v>Print Support</v>
      </c>
      <c r="Q1482" s="1" t="str">
        <f>IFERROR(__xludf.DUMMYFUNCTION("""COMPUTED_VALUE"""),"dyter@canva.com")</f>
        <v>dyter@canva.com</v>
      </c>
      <c r="R1482" s="1" t="str">
        <f>IFERROR(__xludf.DUMMYFUNCTION("""COMPUTED_VALUE"""),"Daisy Tercenio")</f>
        <v>Daisy Tercenio</v>
      </c>
      <c r="S1482" s="1">
        <f>IFERROR(__xludf.DUMMYFUNCTION("""COMPUTED_VALUE"""),4.25)</f>
        <v>4.25</v>
      </c>
      <c r="T1482" s="1">
        <f>IFERROR(__xludf.DUMMYFUNCTION("""COMPUTED_VALUE"""),1.75)</f>
        <v>1.75</v>
      </c>
      <c r="U1482" s="2">
        <f>IFERROR(__xludf.DUMMYFUNCTION("""COMPUTED_VALUE"""),6.0)</f>
        <v>6</v>
      </c>
      <c r="V1482" s="1" t="str">
        <f>IFERROR(__xludf.DUMMYFUNCTION("""COMPUTED_VALUE"""),"Rae Erlano")</f>
        <v>Rae Erlano</v>
      </c>
      <c r="W1482" s="1" t="str">
        <f>IFERROR(__xludf.DUMMYFUNCTION("""COMPUTED_VALUE"""),"Print Support PH")</f>
        <v>Print Support PH</v>
      </c>
    </row>
    <row r="1483">
      <c r="O1483" s="1" t="str">
        <f>IFERROR(__xludf.DUMMYFUNCTION("""COMPUTED_VALUE"""),"2025 Nov")</f>
        <v>2025 Nov</v>
      </c>
      <c r="P1483" s="1" t="str">
        <f>IFERROR(__xludf.DUMMYFUNCTION("""COMPUTED_VALUE"""),"Core Product Support")</f>
        <v>Core Product Support</v>
      </c>
      <c r="Q1483" s="1" t="str">
        <f>IFERROR(__xludf.DUMMYFUNCTION("""COMPUTED_VALUE"""),"danortiz@canva.com")</f>
        <v>danortiz@canva.com</v>
      </c>
      <c r="R1483" s="1" t="str">
        <f>IFERROR(__xludf.DUMMYFUNCTION("""COMPUTED_VALUE"""),"Daniella Ortiz")</f>
        <v>Daniella Ortiz</v>
      </c>
      <c r="S1483" s="1"/>
      <c r="T1483" s="1">
        <f>IFERROR(__xludf.DUMMYFUNCTION("""COMPUTED_VALUE"""),1.92)</f>
        <v>1.92</v>
      </c>
      <c r="U1483" s="2">
        <f>IFERROR(__xludf.DUMMYFUNCTION("""COMPUTED_VALUE"""),1.92)</f>
        <v>1.92</v>
      </c>
      <c r="V1483" s="1" t="str">
        <f>IFERROR(__xludf.DUMMYFUNCTION("""COMPUTED_VALUE"""),"Cate Velasco")</f>
        <v>Cate Velasco</v>
      </c>
      <c r="W1483" s="1" t="str">
        <f>IFERROR(__xludf.DUMMYFUNCTION("""COMPUTED_VALUE"""),"Advanced Product Support")</f>
        <v>Advanced Product Support</v>
      </c>
    </row>
    <row r="1484">
      <c r="O1484" s="1" t="str">
        <f>IFERROR(__xludf.DUMMYFUNCTION("""COMPUTED_VALUE"""),"2025 Nov")</f>
        <v>2025 Nov</v>
      </c>
      <c r="P1484" s="1" t="str">
        <f>IFERROR(__xludf.DUMMYFUNCTION("""COMPUTED_VALUE"""),"Segment-specific Support")</f>
        <v>Segment-specific Support</v>
      </c>
      <c r="Q1484" s="1" t="str">
        <f>IFERROR(__xludf.DUMMYFUNCTION("""COMPUTED_VALUE"""),"daniellegrace@canva.com")</f>
        <v>daniellegrace@canva.com</v>
      </c>
      <c r="R1484" s="1" t="str">
        <f>IFERROR(__xludf.DUMMYFUNCTION("""COMPUTED_VALUE"""),"Danielle Marasigan")</f>
        <v>Danielle Marasigan</v>
      </c>
      <c r="S1484" s="1"/>
      <c r="T1484" s="1">
        <f>IFERROR(__xludf.DUMMYFUNCTION("""COMPUTED_VALUE"""),40.5)</f>
        <v>40.5</v>
      </c>
      <c r="U1484" s="2">
        <f>IFERROR(__xludf.DUMMYFUNCTION("""COMPUTED_VALUE"""),40.5)</f>
        <v>40.5</v>
      </c>
      <c r="V1484" s="1" t="str">
        <f>IFERROR(__xludf.DUMMYFUNCTION("""COMPUTED_VALUE"""),"Aileen Dayanghirang")</f>
        <v>Aileen Dayanghirang</v>
      </c>
      <c r="W1484" s="1" t="str">
        <f>IFERROR(__xludf.DUMMYFUNCTION("""COMPUTED_VALUE"""),"Creators Support")</f>
        <v>Creators Support</v>
      </c>
    </row>
    <row r="1485">
      <c r="O1485" s="1" t="str">
        <f>IFERROR(__xludf.DUMMYFUNCTION("""COMPUTED_VALUE"""),"2025 Nov")</f>
        <v>2025 Nov</v>
      </c>
      <c r="P1485" s="1" t="str">
        <f>IFERROR(__xludf.DUMMYFUNCTION("""COMPUTED_VALUE"""),"Admin Support")</f>
        <v>Admin Support</v>
      </c>
      <c r="Q1485" s="1" t="str">
        <f>IFERROR(__xludf.DUMMYFUNCTION("""COMPUTED_VALUE"""),"dannah@canva.com")</f>
        <v>dannah@canva.com</v>
      </c>
      <c r="R1485" s="1" t="str">
        <f>IFERROR(__xludf.DUMMYFUNCTION("""COMPUTED_VALUE"""),"Dannah Kate Dizon")</f>
        <v>Dannah Kate Dizon</v>
      </c>
      <c r="S1485" s="1"/>
      <c r="T1485" s="1">
        <f>IFERROR(__xludf.DUMMYFUNCTION("""COMPUTED_VALUE"""),22.75)</f>
        <v>22.75</v>
      </c>
      <c r="U1485" s="2">
        <f>IFERROR(__xludf.DUMMYFUNCTION("""COMPUTED_VALUE"""),22.75)</f>
        <v>22.75</v>
      </c>
      <c r="V1485" s="1" t="str">
        <f>IFERROR(__xludf.DUMMYFUNCTION("""COMPUTED_VALUE"""),"Karla Mananghaya")</f>
        <v>Karla Mananghaya</v>
      </c>
      <c r="W1485" s="1" t="str">
        <f>IFERROR(__xludf.DUMMYFUNCTION("""COMPUTED_VALUE"""),"Admin Support Service Escalation Team")</f>
        <v>Admin Support Service Escalation Team</v>
      </c>
    </row>
    <row r="1486">
      <c r="O1486" s="1" t="str">
        <f>IFERROR(__xludf.DUMMYFUNCTION("""COMPUTED_VALUE"""),"2025 Nov")</f>
        <v>2025 Nov</v>
      </c>
      <c r="P1486" s="1" t="str">
        <f>IFERROR(__xludf.DUMMYFUNCTION("""COMPUTED_VALUE"""),"High Sensitivity Support")</f>
        <v>High Sensitivity Support</v>
      </c>
      <c r="Q1486" s="1" t="str">
        <f>IFERROR(__xludf.DUMMYFUNCTION("""COMPUTED_VALUE"""),"danrev@canva.com")</f>
        <v>danrev@canva.com</v>
      </c>
      <c r="R1486" s="1" t="str">
        <f>IFERROR(__xludf.DUMMYFUNCTION("""COMPUTED_VALUE"""),"Danrev Bactad")</f>
        <v>Danrev Bactad</v>
      </c>
      <c r="S1486" s="1">
        <f>IFERROR(__xludf.DUMMYFUNCTION("""COMPUTED_VALUE"""),11.75)</f>
        <v>11.75</v>
      </c>
      <c r="T1486" s="1">
        <f>IFERROR(__xludf.DUMMYFUNCTION("""COMPUTED_VALUE"""),4.0)</f>
        <v>4</v>
      </c>
      <c r="U1486" s="2">
        <f>IFERROR(__xludf.DUMMYFUNCTION("""COMPUTED_VALUE"""),15.75)</f>
        <v>15.75</v>
      </c>
      <c r="V1486" s="1" t="str">
        <f>IFERROR(__xludf.DUMMYFUNCTION("""COMPUTED_VALUE"""),"Xandy Azarcon")</f>
        <v>Xandy Azarcon</v>
      </c>
      <c r="W1486" s="1" t="str">
        <f>IFERROR(__xludf.DUMMYFUNCTION("""COMPUTED_VALUE"""),"High Sensitivity Support PH")</f>
        <v>High Sensitivity Support PH</v>
      </c>
    </row>
    <row r="1487">
      <c r="O1487" s="1" t="str">
        <f>IFERROR(__xludf.DUMMYFUNCTION("""COMPUTED_VALUE"""),"2025 Nov")</f>
        <v>2025 Nov</v>
      </c>
      <c r="P1487" s="1" t="str">
        <f>IFERROR(__xludf.DUMMYFUNCTION("""COMPUTED_VALUE"""),"Print Support")</f>
        <v>Print Support</v>
      </c>
      <c r="Q1487" s="1" t="str">
        <f>IFERROR(__xludf.DUMMYFUNCTION("""COMPUTED_VALUE"""),"daphne@canva.com")</f>
        <v>daphne@canva.com</v>
      </c>
      <c r="R1487" s="1" t="str">
        <f>IFERROR(__xludf.DUMMYFUNCTION("""COMPUTED_VALUE"""),"Daphne Arboleda")</f>
        <v>Daphne Arboleda</v>
      </c>
      <c r="S1487" s="1">
        <f>IFERROR(__xludf.DUMMYFUNCTION("""COMPUTED_VALUE"""),5.0)</f>
        <v>5</v>
      </c>
      <c r="T1487" s="1">
        <f>IFERROR(__xludf.DUMMYFUNCTION("""COMPUTED_VALUE"""),3.5)</f>
        <v>3.5</v>
      </c>
      <c r="U1487" s="2">
        <f>IFERROR(__xludf.DUMMYFUNCTION("""COMPUTED_VALUE"""),8.5)</f>
        <v>8.5</v>
      </c>
      <c r="V1487" s="1" t="str">
        <f>IFERROR(__xludf.DUMMYFUNCTION("""COMPUTED_VALUE"""),"Memae Faustino")</f>
        <v>Memae Faustino</v>
      </c>
      <c r="W1487" s="1" t="str">
        <f>IFERROR(__xludf.DUMMYFUNCTION("""COMPUTED_VALUE"""),"Print Support PH")</f>
        <v>Print Support PH</v>
      </c>
    </row>
    <row r="1488">
      <c r="O1488" s="1" t="str">
        <f>IFERROR(__xludf.DUMMYFUNCTION("""COMPUTED_VALUE"""),"2025 Nov")</f>
        <v>2025 Nov</v>
      </c>
      <c r="P1488" s="1" t="str">
        <f>IFERROR(__xludf.DUMMYFUNCTION("""COMPUTED_VALUE"""),"High Sensitivity Support")</f>
        <v>High Sensitivity Support</v>
      </c>
      <c r="Q1488" s="1" t="str">
        <f>IFERROR(__xludf.DUMMYFUNCTION("""COMPUTED_VALUE"""),"darrelm@canva.com")</f>
        <v>darrelm@canva.com</v>
      </c>
      <c r="R1488" s="1" t="str">
        <f>IFERROR(__xludf.DUMMYFUNCTION("""COMPUTED_VALUE"""),"Darrel Marcelino")</f>
        <v>Darrel Marcelino</v>
      </c>
      <c r="S1488" s="1"/>
      <c r="T1488" s="1">
        <f>IFERROR(__xludf.DUMMYFUNCTION("""COMPUTED_VALUE"""),1.75)</f>
        <v>1.75</v>
      </c>
      <c r="U1488" s="2">
        <f>IFERROR(__xludf.DUMMYFUNCTION("""COMPUTED_VALUE"""),1.75)</f>
        <v>1.75</v>
      </c>
      <c r="V1488" s="1" t="str">
        <f>IFERROR(__xludf.DUMMYFUNCTION("""COMPUTED_VALUE"""),"Issi Afable")</f>
        <v>Issi Afable</v>
      </c>
      <c r="W1488" s="1" t="str">
        <f>IFERROR(__xludf.DUMMYFUNCTION("""COMPUTED_VALUE"""),"High Sensitivity Support PH")</f>
        <v>High Sensitivity Support PH</v>
      </c>
    </row>
    <row r="1489">
      <c r="O1489" s="1" t="str">
        <f>IFERROR(__xludf.DUMMYFUNCTION("""COMPUTED_VALUE"""),"2025 Nov")</f>
        <v>2025 Nov</v>
      </c>
      <c r="P1489" s="1" t="str">
        <f>IFERROR(__xludf.DUMMYFUNCTION("""COMPUTED_VALUE"""),"Core Product Support")</f>
        <v>Core Product Support</v>
      </c>
      <c r="Q1489" s="1" t="str">
        <f>IFERROR(__xludf.DUMMYFUNCTION("""COMPUTED_VALUE"""),"davecosteloii@canva.com")</f>
        <v>davecosteloii@canva.com</v>
      </c>
      <c r="R1489" s="1" t="str">
        <f>IFERROR(__xludf.DUMMYFUNCTION("""COMPUTED_VALUE"""),"Dave Costelo")</f>
        <v>Dave Costelo</v>
      </c>
      <c r="S1489" s="1">
        <f>IFERROR(__xludf.DUMMYFUNCTION("""COMPUTED_VALUE"""),0.5)</f>
        <v>0.5</v>
      </c>
      <c r="T1489" s="1">
        <f>IFERROR(__xludf.DUMMYFUNCTION("""COMPUTED_VALUE"""),2.75)</f>
        <v>2.75</v>
      </c>
      <c r="U1489" s="2">
        <f>IFERROR(__xludf.DUMMYFUNCTION("""COMPUTED_VALUE"""),3.25)</f>
        <v>3.25</v>
      </c>
      <c r="V1489" s="1" t="str">
        <f>IFERROR(__xludf.DUMMYFUNCTION("""COMPUTED_VALUE"""),"Jahmie Mae Barrameda")</f>
        <v>Jahmie Mae Barrameda</v>
      </c>
      <c r="W1489" s="1" t="str">
        <f>IFERROR(__xludf.DUMMYFUNCTION("""COMPUTED_VALUE"""),"Advanced Billing &amp; Subscriptions")</f>
        <v>Advanced Billing &amp; Subscriptions</v>
      </c>
    </row>
    <row r="1490">
      <c r="O1490" s="1" t="str">
        <f>IFERROR(__xludf.DUMMYFUNCTION("""COMPUTED_VALUE"""),"2025 Nov")</f>
        <v>2025 Nov</v>
      </c>
      <c r="P1490" s="1" t="str">
        <f>IFERROR(__xludf.DUMMYFUNCTION("""COMPUTED_VALUE"""),"Admin Support")</f>
        <v>Admin Support</v>
      </c>
      <c r="Q1490" s="1" t="str">
        <f>IFERROR(__xludf.DUMMYFUNCTION("""COMPUTED_VALUE"""),"davidfrancis@canva.com")</f>
        <v>davidfrancis@canva.com</v>
      </c>
      <c r="R1490" s="1" t="str">
        <f>IFERROR(__xludf.DUMMYFUNCTION("""COMPUTED_VALUE"""),"David Francis Dimatulac")</f>
        <v>David Francis Dimatulac</v>
      </c>
      <c r="S1490" s="1"/>
      <c r="T1490" s="1">
        <f>IFERROR(__xludf.DUMMYFUNCTION("""COMPUTED_VALUE"""),20.5)</f>
        <v>20.5</v>
      </c>
      <c r="U1490" s="2">
        <f>IFERROR(__xludf.DUMMYFUNCTION("""COMPUTED_VALUE"""),20.5)</f>
        <v>20.5</v>
      </c>
      <c r="V1490" s="1" t="str">
        <f>IFERROR(__xludf.DUMMYFUNCTION("""COMPUTED_VALUE"""),"Karla Mananghaya")</f>
        <v>Karla Mananghaya</v>
      </c>
      <c r="W1490" s="1" t="str">
        <f>IFERROR(__xludf.DUMMYFUNCTION("""COMPUTED_VALUE"""),"Admin Support Service Escalation Team")</f>
        <v>Admin Support Service Escalation Team</v>
      </c>
    </row>
    <row r="1491">
      <c r="O1491" s="1" t="str">
        <f>IFERROR(__xludf.DUMMYFUNCTION("""COMPUTED_VALUE"""),"2025 Nov")</f>
        <v>2025 Nov</v>
      </c>
      <c r="P1491" s="1" t="str">
        <f>IFERROR(__xludf.DUMMYFUNCTION("""COMPUTED_VALUE"""),"Core Product Support")</f>
        <v>Core Product Support</v>
      </c>
      <c r="Q1491" s="1" t="str">
        <f>IFERROR(__xludf.DUMMYFUNCTION("""COMPUTED_VALUE"""),"denden@canva.com")</f>
        <v>denden@canva.com</v>
      </c>
      <c r="R1491" s="1" t="str">
        <f>IFERROR(__xludf.DUMMYFUNCTION("""COMPUTED_VALUE"""),"Den Gutierrez")</f>
        <v>Den Gutierrez</v>
      </c>
      <c r="S1491" s="1">
        <f>IFERROR(__xludf.DUMMYFUNCTION("""COMPUTED_VALUE"""),1.0)</f>
        <v>1</v>
      </c>
      <c r="T1491" s="1">
        <f>IFERROR(__xludf.DUMMYFUNCTION("""COMPUTED_VALUE"""),12.42)</f>
        <v>12.42</v>
      </c>
      <c r="U1491" s="2">
        <f>IFERROR(__xludf.DUMMYFUNCTION("""COMPUTED_VALUE"""),13.42)</f>
        <v>13.42</v>
      </c>
      <c r="V1491" s="1" t="str">
        <f>IFERROR(__xludf.DUMMYFUNCTION("""COMPUTED_VALUE"""),"Sieg Ballelos")</f>
        <v>Sieg Ballelos</v>
      </c>
      <c r="W1491" s="1" t="str">
        <f>IFERROR(__xludf.DUMMYFUNCTION("""COMPUTED_VALUE"""),"Core Product Support Escalation Team")</f>
        <v>Core Product Support Escalation Team</v>
      </c>
    </row>
    <row r="1492">
      <c r="O1492" s="1" t="str">
        <f>IFERROR(__xludf.DUMMYFUNCTION("""COMPUTED_VALUE"""),"2025 Nov")</f>
        <v>2025 Nov</v>
      </c>
      <c r="P1492" s="1" t="str">
        <f>IFERROR(__xludf.DUMMYFUNCTION("""COMPUTED_VALUE"""),"Core Product Support")</f>
        <v>Core Product Support</v>
      </c>
      <c r="Q1492" s="1" t="str">
        <f>IFERROR(__xludf.DUMMYFUNCTION("""COMPUTED_VALUE"""),"deniseadrms@canva.com")</f>
        <v>deniseadrms@canva.com</v>
      </c>
      <c r="R1492" s="1" t="str">
        <f>IFERROR(__xludf.DUMMYFUNCTION("""COMPUTED_VALUE"""),"Denise Adoremos")</f>
        <v>Denise Adoremos</v>
      </c>
      <c r="S1492" s="1">
        <f>IFERROR(__xludf.DUMMYFUNCTION("""COMPUTED_VALUE"""),1.18)</f>
        <v>1.18</v>
      </c>
      <c r="T1492" s="1">
        <f>IFERROR(__xludf.DUMMYFUNCTION("""COMPUTED_VALUE"""),2.5)</f>
        <v>2.5</v>
      </c>
      <c r="U1492" s="2">
        <f>IFERROR(__xludf.DUMMYFUNCTION("""COMPUTED_VALUE"""),3.6799999999999997)</f>
        <v>3.68</v>
      </c>
      <c r="V1492" s="1" t="str">
        <f>IFERROR(__xludf.DUMMYFUNCTION("""COMPUTED_VALUE"""),"Ana Lazaro")</f>
        <v>Ana Lazaro</v>
      </c>
      <c r="W1492" s="1" t="str">
        <f>IFERROR(__xludf.DUMMYFUNCTION("""COMPUTED_VALUE"""),"Advanced Billing &amp; Subscriptions")</f>
        <v>Advanced Billing &amp; Subscriptions</v>
      </c>
    </row>
    <row r="1493">
      <c r="O1493" s="1" t="str">
        <f>IFERROR(__xludf.DUMMYFUNCTION("""COMPUTED_VALUE"""),"2025 Nov")</f>
        <v>2025 Nov</v>
      </c>
      <c r="P1493" s="1" t="str">
        <f>IFERROR(__xludf.DUMMYFUNCTION("""COMPUTED_VALUE"""),"Segment-specific Support")</f>
        <v>Segment-specific Support</v>
      </c>
      <c r="Q1493" s="1" t="str">
        <f>IFERROR(__xludf.DUMMYFUNCTION("""COMPUTED_VALUE"""),"dymplem@canva.com")</f>
        <v>dymplem@canva.com</v>
      </c>
      <c r="R1493" s="1" t="str">
        <f>IFERROR(__xludf.DUMMYFUNCTION("""COMPUTED_VALUE"""),"Dymple Macaraeg")</f>
        <v>Dymple Macaraeg</v>
      </c>
      <c r="S1493" s="1">
        <f>IFERROR(__xludf.DUMMYFUNCTION("""COMPUTED_VALUE"""),1.0)</f>
        <v>1</v>
      </c>
      <c r="T1493" s="1">
        <f>IFERROR(__xludf.DUMMYFUNCTION("""COMPUTED_VALUE"""),2.0)</f>
        <v>2</v>
      </c>
      <c r="U1493" s="2">
        <f>IFERROR(__xludf.DUMMYFUNCTION("""COMPUTED_VALUE"""),3.0)</f>
        <v>3</v>
      </c>
      <c r="V1493" s="1" t="str">
        <f>IFERROR(__xludf.DUMMYFUNCTION("""COMPUTED_VALUE"""),"Rose Gabilan")</f>
        <v>Rose Gabilan</v>
      </c>
      <c r="W1493" s="1" t="str">
        <f>IFERROR(__xludf.DUMMYFUNCTION("""COMPUTED_VALUE"""),"Affinity Support")</f>
        <v>Affinity Support</v>
      </c>
    </row>
    <row r="1494">
      <c r="O1494" s="1" t="str">
        <f>IFERROR(__xludf.DUMMYFUNCTION("""COMPUTED_VALUE"""),"2025 Nov")</f>
        <v>2025 Nov</v>
      </c>
      <c r="P1494" s="1" t="str">
        <f>IFERROR(__xludf.DUMMYFUNCTION("""COMPUTED_VALUE"""),"Admin Support")</f>
        <v>Admin Support</v>
      </c>
      <c r="Q1494" s="1" t="str">
        <f>IFERROR(__xludf.DUMMYFUNCTION("""COMPUTED_VALUE"""),"edlico@canva.com")</f>
        <v>edlico@canva.com</v>
      </c>
      <c r="R1494" s="1" t="str">
        <f>IFERROR(__xludf.DUMMYFUNCTION("""COMPUTED_VALUE"""),"Ed Lico")</f>
        <v>Ed Lico</v>
      </c>
      <c r="S1494" s="1">
        <f>IFERROR(__xludf.DUMMYFUNCTION("""COMPUTED_VALUE"""),1.0)</f>
        <v>1</v>
      </c>
      <c r="T1494" s="1">
        <f>IFERROR(__xludf.DUMMYFUNCTION("""COMPUTED_VALUE"""),21.5)</f>
        <v>21.5</v>
      </c>
      <c r="U1494" s="2">
        <f>IFERROR(__xludf.DUMMYFUNCTION("""COMPUTED_VALUE"""),22.5)</f>
        <v>22.5</v>
      </c>
      <c r="V1494" s="1" t="str">
        <f>IFERROR(__xludf.DUMMYFUNCTION("""COMPUTED_VALUE"""),"Pau Palmero")</f>
        <v>Pau Palmero</v>
      </c>
      <c r="W1494" s="1" t="str">
        <f>IFERROR(__xludf.DUMMYFUNCTION("""COMPUTED_VALUE"""),"Admin Omni Support")</f>
        <v>Admin Omni Support</v>
      </c>
    </row>
    <row r="1495">
      <c r="O1495" s="1" t="str">
        <f>IFERROR(__xludf.DUMMYFUNCTION("""COMPUTED_VALUE"""),"2025 Nov")</f>
        <v>2025 Nov</v>
      </c>
      <c r="P1495" s="1" t="str">
        <f>IFERROR(__xludf.DUMMYFUNCTION("""COMPUTED_VALUE"""),"Multilingual Support")</f>
        <v>Multilingual Support</v>
      </c>
      <c r="Q1495" s="1" t="str">
        <f>IFERROR(__xludf.DUMMYFUNCTION("""COMPUTED_VALUE"""),"elmata@canva.com")</f>
        <v>elmata@canva.com</v>
      </c>
      <c r="R1495" s="1" t="str">
        <f>IFERROR(__xludf.DUMMYFUNCTION("""COMPUTED_VALUE"""),"Elmer Matarlo")</f>
        <v>Elmer Matarlo</v>
      </c>
      <c r="S1495" s="1"/>
      <c r="T1495" s="1">
        <f>IFERROR(__xludf.DUMMYFUNCTION("""COMPUTED_VALUE"""),1.75)</f>
        <v>1.75</v>
      </c>
      <c r="U1495" s="2">
        <f>IFERROR(__xludf.DUMMYFUNCTION("""COMPUTED_VALUE"""),1.75)</f>
        <v>1.75</v>
      </c>
      <c r="V1495" s="1" t="str">
        <f>IFERROR(__xludf.DUMMYFUNCTION("""COMPUTED_VALUE"""),"Arlene Maurillo")</f>
        <v>Arlene Maurillo</v>
      </c>
      <c r="W1495" s="1" t="str">
        <f>IFERROR(__xludf.DUMMYFUNCTION("""COMPUTED_VALUE"""),"PHL, Multilingual Support")</f>
        <v>PHL, Multilingual Support</v>
      </c>
    </row>
    <row r="1496">
      <c r="O1496" s="1" t="str">
        <f>IFERROR(__xludf.DUMMYFUNCTION("""COMPUTED_VALUE"""),"2025 Nov")</f>
        <v>2025 Nov</v>
      </c>
      <c r="P1496" s="1" t="str">
        <f>IFERROR(__xludf.DUMMYFUNCTION("""COMPUTED_VALUE"""),"#N/A")</f>
        <v>#N/A</v>
      </c>
      <c r="Q1496" s="1" t="str">
        <f>IFERROR(__xludf.DUMMYFUNCTION("""COMPUTED_VALUE"""),"emdavid@canva.com")</f>
        <v>emdavid@canva.com</v>
      </c>
      <c r="R1496" s="1" t="str">
        <f>IFERROR(__xludf.DUMMYFUNCTION("""COMPUTED_VALUE"""),"Em David")</f>
        <v>Em David</v>
      </c>
      <c r="S1496" s="1">
        <f>IFERROR(__xludf.DUMMYFUNCTION("""COMPUTED_VALUE"""),1.0)</f>
        <v>1</v>
      </c>
      <c r="T1496" s="1">
        <f>IFERROR(__xludf.DUMMYFUNCTION("""COMPUTED_VALUE"""),2.75)</f>
        <v>2.75</v>
      </c>
      <c r="U1496" s="2">
        <f>IFERROR(__xludf.DUMMYFUNCTION("""COMPUTED_VALUE"""),3.75)</f>
        <v>3.75</v>
      </c>
      <c r="V1496" s="1" t="str">
        <f>IFERROR(__xludf.DUMMYFUNCTION("""COMPUTED_VALUE"""),"Vianca De Jesus")</f>
        <v>Vianca De Jesus</v>
      </c>
      <c r="W1496" s="1" t="str">
        <f>IFERROR(__xludf.DUMMYFUNCTION("""COMPUTED_VALUE"""),"Advanced Billing &amp; Subscriptions")</f>
        <v>Advanced Billing &amp; Subscriptions</v>
      </c>
    </row>
    <row r="1497">
      <c r="O1497" s="1" t="str">
        <f>IFERROR(__xludf.DUMMYFUNCTION("""COMPUTED_VALUE"""),"2025 Nov")</f>
        <v>2025 Nov</v>
      </c>
      <c r="P1497" s="1" t="str">
        <f>IFERROR(__xludf.DUMMYFUNCTION("""COMPUTED_VALUE"""),"Core Product Support")</f>
        <v>Core Product Support</v>
      </c>
      <c r="Q1497" s="1" t="str">
        <f>IFERROR(__xludf.DUMMYFUNCTION("""COMPUTED_VALUE"""),"ena@canva.com")</f>
        <v>ena@canva.com</v>
      </c>
      <c r="R1497" s="1" t="str">
        <f>IFERROR(__xludf.DUMMYFUNCTION("""COMPUTED_VALUE"""),"Ena Reyes")</f>
        <v>Ena Reyes</v>
      </c>
      <c r="S1497" s="1"/>
      <c r="T1497" s="1">
        <f>IFERROR(__xludf.DUMMYFUNCTION("""COMPUTED_VALUE"""),2.33)</f>
        <v>2.33</v>
      </c>
      <c r="U1497" s="2">
        <f>IFERROR(__xludf.DUMMYFUNCTION("""COMPUTED_VALUE"""),2.33)</f>
        <v>2.33</v>
      </c>
      <c r="V1497" s="1" t="str">
        <f>IFERROR(__xludf.DUMMYFUNCTION("""COMPUTED_VALUE"""),"Jem Mondoñedo")</f>
        <v>Jem Mondoñedo</v>
      </c>
      <c r="W1497" s="1" t="str">
        <f>IFERROR(__xludf.DUMMYFUNCTION("""COMPUTED_VALUE"""),"Advanced Billing &amp; Subscriptions")</f>
        <v>Advanced Billing &amp; Subscriptions</v>
      </c>
    </row>
    <row r="1498">
      <c r="O1498" s="1" t="str">
        <f>IFERROR(__xludf.DUMMYFUNCTION("""COMPUTED_VALUE"""),"2025 Nov")</f>
        <v>2025 Nov</v>
      </c>
      <c r="P1498" s="1" t="str">
        <f>IFERROR(__xludf.DUMMYFUNCTION("""COMPUTED_VALUE"""),"Admin Support")</f>
        <v>Admin Support</v>
      </c>
      <c r="Q1498" s="1" t="str">
        <f>IFERROR(__xludf.DUMMYFUNCTION("""COMPUTED_VALUE"""),"enrique@canva.com")</f>
        <v>enrique@canva.com</v>
      </c>
      <c r="R1498" s="1" t="str">
        <f>IFERROR(__xludf.DUMMYFUNCTION("""COMPUTED_VALUE"""),"Enrique Paolo Catuncan")</f>
        <v>Enrique Paolo Catuncan</v>
      </c>
      <c r="S1498" s="1"/>
      <c r="T1498" s="1">
        <f>IFERROR(__xludf.DUMMYFUNCTION("""COMPUTED_VALUE"""),19.75)</f>
        <v>19.75</v>
      </c>
      <c r="U1498" s="2">
        <f>IFERROR(__xludf.DUMMYFUNCTION("""COMPUTED_VALUE"""),19.75)</f>
        <v>19.75</v>
      </c>
      <c r="V1498" s="1" t="str">
        <f>IFERROR(__xludf.DUMMYFUNCTION("""COMPUTED_VALUE"""),"AL Suarez")</f>
        <v>AL Suarez</v>
      </c>
      <c r="W1498" s="1" t="str">
        <f>IFERROR(__xludf.DUMMYFUNCTION("""COMPUTED_VALUE"""),"Admin Direct Support")</f>
        <v>Admin Direct Support</v>
      </c>
    </row>
    <row r="1499">
      <c r="O1499" s="1" t="str">
        <f>IFERROR(__xludf.DUMMYFUNCTION("""COMPUTED_VALUE"""),"2025 Nov")</f>
        <v>2025 Nov</v>
      </c>
      <c r="P1499" s="1" t="str">
        <f>IFERROR(__xludf.DUMMYFUNCTION("""COMPUTED_VALUE"""),"Print Support")</f>
        <v>Print Support</v>
      </c>
      <c r="Q1499" s="1" t="str">
        <f>IFERROR(__xludf.DUMMYFUNCTION("""COMPUTED_VALUE"""),"erielle@canva.com")</f>
        <v>erielle@canva.com</v>
      </c>
      <c r="R1499" s="1" t="str">
        <f>IFERROR(__xludf.DUMMYFUNCTION("""COMPUTED_VALUE"""),"Erielle Singular")</f>
        <v>Erielle Singular</v>
      </c>
      <c r="S1499" s="1"/>
      <c r="T1499" s="1">
        <f>IFERROR(__xludf.DUMMYFUNCTION("""COMPUTED_VALUE"""),2.75)</f>
        <v>2.75</v>
      </c>
      <c r="U1499" s="2">
        <f>IFERROR(__xludf.DUMMYFUNCTION("""COMPUTED_VALUE"""),2.75)</f>
        <v>2.75</v>
      </c>
      <c r="V1499" s="1" t="str">
        <f>IFERROR(__xludf.DUMMYFUNCTION("""COMPUTED_VALUE"""),"Rei De Jesus")</f>
        <v>Rei De Jesus</v>
      </c>
      <c r="W1499" s="1" t="str">
        <f>IFERROR(__xludf.DUMMYFUNCTION("""COMPUTED_VALUE"""),"Print Design Support")</f>
        <v>Print Design Support</v>
      </c>
    </row>
    <row r="1500">
      <c r="O1500" s="1" t="str">
        <f>IFERROR(__xludf.DUMMYFUNCTION("""COMPUTED_VALUE"""),"2025 Nov")</f>
        <v>2025 Nov</v>
      </c>
      <c r="P1500" s="1" t="str">
        <f>IFERROR(__xludf.DUMMYFUNCTION("""COMPUTED_VALUE"""),"Core Product Support")</f>
        <v>Core Product Support</v>
      </c>
      <c r="Q1500" s="1" t="str">
        <f>IFERROR(__xludf.DUMMYFUNCTION("""COMPUTED_VALUE"""),"euni@canva.com")</f>
        <v>euni@canva.com</v>
      </c>
      <c r="R1500" s="1" t="str">
        <f>IFERROR(__xludf.DUMMYFUNCTION("""COMPUTED_VALUE"""),"Eunice Hachero")</f>
        <v>Eunice Hachero</v>
      </c>
      <c r="S1500" s="1">
        <f>IFERROR(__xludf.DUMMYFUNCTION("""COMPUTED_VALUE"""),1.0)</f>
        <v>1</v>
      </c>
      <c r="T1500" s="1">
        <f>IFERROR(__xludf.DUMMYFUNCTION("""COMPUTED_VALUE"""),3.42)</f>
        <v>3.42</v>
      </c>
      <c r="U1500" s="2">
        <f>IFERROR(__xludf.DUMMYFUNCTION("""COMPUTED_VALUE"""),4.42)</f>
        <v>4.42</v>
      </c>
      <c r="V1500" s="1" t="str">
        <f>IFERROR(__xludf.DUMMYFUNCTION("""COMPUTED_VALUE"""),"Marie Mordeno")</f>
        <v>Marie Mordeno</v>
      </c>
      <c r="W1500" s="1" t="str">
        <f>IFERROR(__xludf.DUMMYFUNCTION("""COMPUTED_VALUE"""),"Advanced Billing &amp; Subscriptions")</f>
        <v>Advanced Billing &amp; Subscriptions</v>
      </c>
    </row>
    <row r="1501">
      <c r="O1501" s="1" t="str">
        <f>IFERROR(__xludf.DUMMYFUNCTION("""COMPUTED_VALUE"""),"2025 Nov")</f>
        <v>2025 Nov</v>
      </c>
      <c r="P1501" s="1" t="str">
        <f>IFERROR(__xludf.DUMMYFUNCTION("""COMPUTED_VALUE"""),"Admin Support")</f>
        <v>Admin Support</v>
      </c>
      <c r="Q1501" s="1" t="str">
        <f>IFERROR(__xludf.DUMMYFUNCTION("""COMPUTED_VALUE"""),"eziecl@canva.com")</f>
        <v>eziecl@canva.com</v>
      </c>
      <c r="R1501" s="1" t="str">
        <f>IFERROR(__xludf.DUMMYFUNCTION("""COMPUTED_VALUE"""),"Ezekiel Marlin Lacson")</f>
        <v>Ezekiel Marlin Lacson</v>
      </c>
      <c r="S1501" s="1"/>
      <c r="T1501" s="1">
        <f>IFERROR(__xludf.DUMMYFUNCTION("""COMPUTED_VALUE"""),34.88)</f>
        <v>34.88</v>
      </c>
      <c r="U1501" s="2">
        <f>IFERROR(__xludf.DUMMYFUNCTION("""COMPUTED_VALUE"""),34.88)</f>
        <v>34.88</v>
      </c>
      <c r="V1501" s="1" t="str">
        <f>IFERROR(__xludf.DUMMYFUNCTION("""COMPUTED_VALUE"""),"Pau Palmero")</f>
        <v>Pau Palmero</v>
      </c>
      <c r="W1501" s="1" t="str">
        <f>IFERROR(__xludf.DUMMYFUNCTION("""COMPUTED_VALUE"""),"Admin Omni Support")</f>
        <v>Admin Omni Support</v>
      </c>
    </row>
    <row r="1502">
      <c r="O1502" s="1" t="str">
        <f>IFERROR(__xludf.DUMMYFUNCTION("""COMPUTED_VALUE"""),"2025 Nov")</f>
        <v>2025 Nov</v>
      </c>
      <c r="P1502" s="1" t="str">
        <f>IFERROR(__xludf.DUMMYFUNCTION("""COMPUTED_VALUE"""),"Print Support")</f>
        <v>Print Support</v>
      </c>
      <c r="Q1502" s="1" t="str">
        <f>IFERROR(__xludf.DUMMYFUNCTION("""COMPUTED_VALUE"""),"faith@canva.com")</f>
        <v>faith@canva.com</v>
      </c>
      <c r="R1502" s="1" t="str">
        <f>IFERROR(__xludf.DUMMYFUNCTION("""COMPUTED_VALUE"""),"Faith Ytang")</f>
        <v>Faith Ytang</v>
      </c>
      <c r="S1502" s="1">
        <f>IFERROR(__xludf.DUMMYFUNCTION("""COMPUTED_VALUE"""),3.25)</f>
        <v>3.25</v>
      </c>
      <c r="T1502" s="1">
        <f>IFERROR(__xludf.DUMMYFUNCTION("""COMPUTED_VALUE"""),1.5)</f>
        <v>1.5</v>
      </c>
      <c r="U1502" s="2">
        <f>IFERROR(__xludf.DUMMYFUNCTION("""COMPUTED_VALUE"""),4.75)</f>
        <v>4.75</v>
      </c>
      <c r="V1502" s="1" t="str">
        <f>IFERROR(__xludf.DUMMYFUNCTION("""COMPUTED_VALUE"""),"Memae Faustino")</f>
        <v>Memae Faustino</v>
      </c>
      <c r="W1502" s="1" t="str">
        <f>IFERROR(__xludf.DUMMYFUNCTION("""COMPUTED_VALUE"""),"Print Support PH")</f>
        <v>Print Support PH</v>
      </c>
    </row>
    <row r="1503">
      <c r="O1503" s="1" t="str">
        <f>IFERROR(__xludf.DUMMYFUNCTION("""COMPUTED_VALUE"""),"2025 Nov")</f>
        <v>2025 Nov</v>
      </c>
      <c r="P1503" s="1" t="str">
        <f>IFERROR(__xludf.DUMMYFUNCTION("""COMPUTED_VALUE"""),"Multilingual Support")</f>
        <v>Multilingual Support</v>
      </c>
      <c r="Q1503" s="1" t="str">
        <f>IFERROR(__xludf.DUMMYFUNCTION("""COMPUTED_VALUE"""),"francescamat@canva.com")</f>
        <v>francescamat@canva.com</v>
      </c>
      <c r="R1503" s="1" t="str">
        <f>IFERROR(__xludf.DUMMYFUNCTION("""COMPUTED_VALUE"""),"Francesca Mat")</f>
        <v>Francesca Mat</v>
      </c>
      <c r="S1503" s="1"/>
      <c r="T1503" s="1">
        <f>IFERROR(__xludf.DUMMYFUNCTION("""COMPUTED_VALUE"""),1.75)</f>
        <v>1.75</v>
      </c>
      <c r="U1503" s="2">
        <f>IFERROR(__xludf.DUMMYFUNCTION("""COMPUTED_VALUE"""),1.75)</f>
        <v>1.75</v>
      </c>
      <c r="V1503" s="1" t="str">
        <f>IFERROR(__xludf.DUMMYFUNCTION("""COMPUTED_VALUE"""),"Arlene Maurillo")</f>
        <v>Arlene Maurillo</v>
      </c>
      <c r="W1503" s="1" t="str">
        <f>IFERROR(__xludf.DUMMYFUNCTION("""COMPUTED_VALUE"""),"PHL, Multilingual Support")</f>
        <v>PHL, Multilingual Support</v>
      </c>
    </row>
    <row r="1504">
      <c r="O1504" s="1" t="str">
        <f>IFERROR(__xludf.DUMMYFUNCTION("""COMPUTED_VALUE"""),"2025 Nov")</f>
        <v>2025 Nov</v>
      </c>
      <c r="P1504" s="1" t="str">
        <f>IFERROR(__xludf.DUMMYFUNCTION("""COMPUTED_VALUE"""),"Core Product Support")</f>
        <v>Core Product Support</v>
      </c>
      <c r="Q1504" s="1" t="str">
        <f>IFERROR(__xludf.DUMMYFUNCTION("""COMPUTED_VALUE"""),"fweill@canva.com")</f>
        <v>fweill@canva.com</v>
      </c>
      <c r="R1504" s="1" t="str">
        <f>IFERROR(__xludf.DUMMYFUNCTION("""COMPUTED_VALUE"""),"Frank Weill")</f>
        <v>Frank Weill</v>
      </c>
      <c r="S1504" s="1">
        <f>IFERROR(__xludf.DUMMYFUNCTION("""COMPUTED_VALUE"""),0.5)</f>
        <v>0.5</v>
      </c>
      <c r="T1504" s="1">
        <f>IFERROR(__xludf.DUMMYFUNCTION("""COMPUTED_VALUE"""),2.0)</f>
        <v>2</v>
      </c>
      <c r="U1504" s="2">
        <f>IFERROR(__xludf.DUMMYFUNCTION("""COMPUTED_VALUE"""),2.5)</f>
        <v>2.5</v>
      </c>
      <c r="V1504" s="1" t="str">
        <f>IFERROR(__xludf.DUMMYFUNCTION("""COMPUTED_VALUE"""),"Manee Barrasa")</f>
        <v>Manee Barrasa</v>
      </c>
      <c r="W1504" s="1" t="str">
        <f>IFERROR(__xludf.DUMMYFUNCTION("""COMPUTED_VALUE"""),"Advanced Billing &amp; Subscriptions")</f>
        <v>Advanced Billing &amp; Subscriptions</v>
      </c>
    </row>
    <row r="1505">
      <c r="O1505" s="1" t="str">
        <f>IFERROR(__xludf.DUMMYFUNCTION("""COMPUTED_VALUE"""),"2025 Nov")</f>
        <v>2025 Nov</v>
      </c>
      <c r="P1505" s="1" t="str">
        <f>IFERROR(__xludf.DUMMYFUNCTION("""COMPUTED_VALUE"""),"Print Support")</f>
        <v>Print Support</v>
      </c>
      <c r="Q1505" s="1" t="str">
        <f>IFERROR(__xludf.DUMMYFUNCTION("""COMPUTED_VALUE"""),"frencie@canva.com")</f>
        <v>frencie@canva.com</v>
      </c>
      <c r="R1505" s="1" t="str">
        <f>IFERROR(__xludf.DUMMYFUNCTION("""COMPUTED_VALUE"""),"Frencie Guzman")</f>
        <v>Frencie Guzman</v>
      </c>
      <c r="S1505" s="1"/>
      <c r="T1505" s="1">
        <f>IFERROR(__xludf.DUMMYFUNCTION("""COMPUTED_VALUE"""),2.25)</f>
        <v>2.25</v>
      </c>
      <c r="U1505" s="2">
        <f>IFERROR(__xludf.DUMMYFUNCTION("""COMPUTED_VALUE"""),2.25)</f>
        <v>2.25</v>
      </c>
      <c r="V1505" s="1" t="str">
        <f>IFERROR(__xludf.DUMMYFUNCTION("""COMPUTED_VALUE"""),"Aliza Dote")</f>
        <v>Aliza Dote</v>
      </c>
      <c r="W1505" s="1" t="str">
        <f>IFERROR(__xludf.DUMMYFUNCTION("""COMPUTED_VALUE"""),"Print Design Support")</f>
        <v>Print Design Support</v>
      </c>
    </row>
    <row r="1506">
      <c r="O1506" s="1" t="str">
        <f>IFERROR(__xludf.DUMMYFUNCTION("""COMPUTED_VALUE"""),"2025 Nov")</f>
        <v>2025 Nov</v>
      </c>
      <c r="P1506" s="1" t="str">
        <f>IFERROR(__xludf.DUMMYFUNCTION("""COMPUTED_VALUE"""),"Print Support")</f>
        <v>Print Support</v>
      </c>
      <c r="Q1506" s="1" t="str">
        <f>IFERROR(__xludf.DUMMYFUNCTION("""COMPUTED_VALUE"""),"gvr@canva.com")</f>
        <v>gvr@canva.com</v>
      </c>
      <c r="R1506" s="1" t="str">
        <f>IFERROR(__xludf.DUMMYFUNCTION("""COMPUTED_VALUE"""),"Gabriel Reyes")</f>
        <v>Gabriel Reyes</v>
      </c>
      <c r="S1506" s="1">
        <f>IFERROR(__xludf.DUMMYFUNCTION("""COMPUTED_VALUE"""),2.0)</f>
        <v>2</v>
      </c>
      <c r="T1506" s="1">
        <f>IFERROR(__xludf.DUMMYFUNCTION("""COMPUTED_VALUE"""),3.25)</f>
        <v>3.25</v>
      </c>
      <c r="U1506" s="2">
        <f>IFERROR(__xludf.DUMMYFUNCTION("""COMPUTED_VALUE"""),5.25)</f>
        <v>5.25</v>
      </c>
      <c r="V1506" s="1" t="str">
        <f>IFERROR(__xludf.DUMMYFUNCTION("""COMPUTED_VALUE"""),"Memae Faustino")</f>
        <v>Memae Faustino</v>
      </c>
      <c r="W1506" s="1" t="str">
        <f>IFERROR(__xludf.DUMMYFUNCTION("""COMPUTED_VALUE"""),"Print Support PH")</f>
        <v>Print Support PH</v>
      </c>
    </row>
    <row r="1507">
      <c r="O1507" s="1" t="str">
        <f>IFERROR(__xludf.DUMMYFUNCTION("""COMPUTED_VALUE"""),"2025 Nov")</f>
        <v>2025 Nov</v>
      </c>
      <c r="P1507" s="1" t="str">
        <f>IFERROR(__xludf.DUMMYFUNCTION("""COMPUTED_VALUE"""),"High Sensitivity Support")</f>
        <v>High Sensitivity Support</v>
      </c>
      <c r="Q1507" s="1" t="str">
        <f>IFERROR(__xludf.DUMMYFUNCTION("""COMPUTED_VALUE"""),"gsanandres@canva.com")</f>
        <v>gsanandres@canva.com</v>
      </c>
      <c r="R1507" s="1" t="str">
        <f>IFERROR(__xludf.DUMMYFUNCTION("""COMPUTED_VALUE"""),"Galvin San Andres")</f>
        <v>Galvin San Andres</v>
      </c>
      <c r="S1507" s="1">
        <f>IFERROR(__xludf.DUMMYFUNCTION("""COMPUTED_VALUE"""),13.0)</f>
        <v>13</v>
      </c>
      <c r="T1507" s="1">
        <f>IFERROR(__xludf.DUMMYFUNCTION("""COMPUTED_VALUE"""),2.75)</f>
        <v>2.75</v>
      </c>
      <c r="U1507" s="2">
        <f>IFERROR(__xludf.DUMMYFUNCTION("""COMPUTED_VALUE"""),15.75)</f>
        <v>15.75</v>
      </c>
      <c r="V1507" s="1" t="str">
        <f>IFERROR(__xludf.DUMMYFUNCTION("""COMPUTED_VALUE"""),"Xandy Azarcon")</f>
        <v>Xandy Azarcon</v>
      </c>
      <c r="W1507" s="1" t="str">
        <f>IFERROR(__xludf.DUMMYFUNCTION("""COMPUTED_VALUE"""),"High Sensitivity Support PH")</f>
        <v>High Sensitivity Support PH</v>
      </c>
    </row>
    <row r="1508">
      <c r="O1508" s="1" t="str">
        <f>IFERROR(__xludf.DUMMYFUNCTION("""COMPUTED_VALUE"""),"2025 Nov")</f>
        <v>2025 Nov</v>
      </c>
      <c r="P1508" s="1" t="str">
        <f>IFERROR(__xludf.DUMMYFUNCTION("""COMPUTED_VALUE"""),"Core Product Support")</f>
        <v>Core Product Support</v>
      </c>
      <c r="Q1508" s="1" t="str">
        <f>IFERROR(__xludf.DUMMYFUNCTION("""COMPUTED_VALUE"""),"gsauler@canva.com")</f>
        <v>gsauler@canva.com</v>
      </c>
      <c r="R1508" s="1" t="str">
        <f>IFERROR(__xludf.DUMMYFUNCTION("""COMPUTED_VALUE"""),"Gem Sauler")</f>
        <v>Gem Sauler</v>
      </c>
      <c r="S1508" s="1"/>
      <c r="T1508" s="1">
        <f>IFERROR(__xludf.DUMMYFUNCTION("""COMPUTED_VALUE"""),2.75)</f>
        <v>2.75</v>
      </c>
      <c r="U1508" s="2">
        <f>IFERROR(__xludf.DUMMYFUNCTION("""COMPUTED_VALUE"""),2.75)</f>
        <v>2.75</v>
      </c>
      <c r="V1508" s="1" t="str">
        <f>IFERROR(__xludf.DUMMYFUNCTION("""COMPUTED_VALUE"""),"Mikhaela Decangchon")</f>
        <v>Mikhaela Decangchon</v>
      </c>
      <c r="W1508" s="1" t="str">
        <f>IFERROR(__xludf.DUMMYFUNCTION("""COMPUTED_VALUE"""),"Advanced Product Support")</f>
        <v>Advanced Product Support</v>
      </c>
    </row>
    <row r="1509">
      <c r="O1509" s="1" t="str">
        <f>IFERROR(__xludf.DUMMYFUNCTION("""COMPUTED_VALUE"""),"2025 Nov")</f>
        <v>2025 Nov</v>
      </c>
      <c r="P1509" s="1" t="str">
        <f>IFERROR(__xludf.DUMMYFUNCTION("""COMPUTED_VALUE"""),"Core Product Support")</f>
        <v>Core Product Support</v>
      </c>
      <c r="Q1509" s="1" t="str">
        <f>IFERROR(__xludf.DUMMYFUNCTION("""COMPUTED_VALUE"""),"gemmalyn@canva.com")</f>
        <v>gemmalyn@canva.com</v>
      </c>
      <c r="R1509" s="1" t="str">
        <f>IFERROR(__xludf.DUMMYFUNCTION("""COMPUTED_VALUE"""),"Gemma Gaddi")</f>
        <v>Gemma Gaddi</v>
      </c>
      <c r="S1509" s="1">
        <f>IFERROR(__xludf.DUMMYFUNCTION("""COMPUTED_VALUE"""),1.0)</f>
        <v>1</v>
      </c>
      <c r="T1509" s="1">
        <f>IFERROR(__xludf.DUMMYFUNCTION("""COMPUTED_VALUE"""),1.75)</f>
        <v>1.75</v>
      </c>
      <c r="U1509" s="2">
        <f>IFERROR(__xludf.DUMMYFUNCTION("""COMPUTED_VALUE"""),2.75)</f>
        <v>2.75</v>
      </c>
      <c r="V1509" s="1" t="str">
        <f>IFERROR(__xludf.DUMMYFUNCTION("""COMPUTED_VALUE"""),"Jahmie Mae Barrameda")</f>
        <v>Jahmie Mae Barrameda</v>
      </c>
      <c r="W1509" s="1" t="str">
        <f>IFERROR(__xludf.DUMMYFUNCTION("""COMPUTED_VALUE"""),"Advanced Billing &amp; Subscriptions")</f>
        <v>Advanced Billing &amp; Subscriptions</v>
      </c>
    </row>
    <row r="1510">
      <c r="O1510" s="1" t="str">
        <f>IFERROR(__xludf.DUMMYFUNCTION("""COMPUTED_VALUE"""),"2025 Nov")</f>
        <v>2025 Nov</v>
      </c>
      <c r="P1510" s="1" t="str">
        <f>IFERROR(__xludf.DUMMYFUNCTION("""COMPUTED_VALUE"""),"Core Product Support")</f>
        <v>Core Product Support</v>
      </c>
      <c r="Q1510" s="1" t="str">
        <f>IFERROR(__xludf.DUMMYFUNCTION("""COMPUTED_VALUE"""),"evee@canva.com")</f>
        <v>evee@canva.com</v>
      </c>
      <c r="R1510" s="1" t="str">
        <f>IFERROR(__xludf.DUMMYFUNCTION("""COMPUTED_VALUE"""),"Gen Gingoyon")</f>
        <v>Gen Gingoyon</v>
      </c>
      <c r="S1510" s="1">
        <f>IFERROR(__xludf.DUMMYFUNCTION("""COMPUTED_VALUE"""),0.5)</f>
        <v>0.5</v>
      </c>
      <c r="T1510" s="1">
        <f>IFERROR(__xludf.DUMMYFUNCTION("""COMPUTED_VALUE"""),7.85)</f>
        <v>7.85</v>
      </c>
      <c r="U1510" s="2">
        <f>IFERROR(__xludf.DUMMYFUNCTION("""COMPUTED_VALUE"""),8.35)</f>
        <v>8.35</v>
      </c>
      <c r="V1510" s="1" t="str">
        <f>IFERROR(__xludf.DUMMYFUNCTION("""COMPUTED_VALUE"""),"Renette Bok")</f>
        <v>Renette Bok</v>
      </c>
      <c r="W1510" s="1" t="str">
        <f>IFERROR(__xludf.DUMMYFUNCTION("""COMPUTED_VALUE"""),"Advanced Billing &amp; Subscriptions")</f>
        <v>Advanced Billing &amp; Subscriptions</v>
      </c>
    </row>
    <row r="1511">
      <c r="O1511" s="1" t="str">
        <f>IFERROR(__xludf.DUMMYFUNCTION("""COMPUTED_VALUE"""),"2025 Nov")</f>
        <v>2025 Nov</v>
      </c>
      <c r="P1511" s="1" t="str">
        <f>IFERROR(__xludf.DUMMYFUNCTION("""COMPUTED_VALUE"""),"Core Product Support")</f>
        <v>Core Product Support</v>
      </c>
      <c r="Q1511" s="1" t="str">
        <f>IFERROR(__xludf.DUMMYFUNCTION("""COMPUTED_VALUE"""),"gpascua@canva.com")</f>
        <v>gpascua@canva.com</v>
      </c>
      <c r="R1511" s="1" t="str">
        <f>IFERROR(__xludf.DUMMYFUNCTION("""COMPUTED_VALUE"""),"Gernie Pascua")</f>
        <v>Gernie Pascua</v>
      </c>
      <c r="S1511" s="1">
        <f>IFERROR(__xludf.DUMMYFUNCTION("""COMPUTED_VALUE"""),1.0)</f>
        <v>1</v>
      </c>
      <c r="T1511" s="1">
        <f>IFERROR(__xludf.DUMMYFUNCTION("""COMPUTED_VALUE"""),8.75)</f>
        <v>8.75</v>
      </c>
      <c r="U1511" s="2">
        <f>IFERROR(__xludf.DUMMYFUNCTION("""COMPUTED_VALUE"""),9.75)</f>
        <v>9.75</v>
      </c>
      <c r="V1511" s="1" t="str">
        <f>IFERROR(__xludf.DUMMYFUNCTION("""COMPUTED_VALUE"""),"Ellaine Estayo")</f>
        <v>Ellaine Estayo</v>
      </c>
      <c r="W1511" s="1" t="str">
        <f>IFERROR(__xludf.DUMMYFUNCTION("""COMPUTED_VALUE"""),"Core Product Support Escalation Team")</f>
        <v>Core Product Support Escalation Team</v>
      </c>
    </row>
    <row r="1512">
      <c r="O1512" s="1" t="str">
        <f>IFERROR(__xludf.DUMMYFUNCTION("""COMPUTED_VALUE"""),"2025 Nov")</f>
        <v>2025 Nov</v>
      </c>
      <c r="P1512" s="1" t="str">
        <f>IFERROR(__xludf.DUMMYFUNCTION("""COMPUTED_VALUE"""),"Print Support")</f>
        <v>Print Support</v>
      </c>
      <c r="Q1512" s="1" t="str">
        <f>IFERROR(__xludf.DUMMYFUNCTION("""COMPUTED_VALUE"""),"giadacillo@canva.com")</f>
        <v>giadacillo@canva.com</v>
      </c>
      <c r="R1512" s="1" t="str">
        <f>IFERROR(__xludf.DUMMYFUNCTION("""COMPUTED_VALUE"""),"Gia Dacillo")</f>
        <v>Gia Dacillo</v>
      </c>
      <c r="S1512" s="1"/>
      <c r="T1512" s="1">
        <f>IFERROR(__xludf.DUMMYFUNCTION("""COMPUTED_VALUE"""),1.25)</f>
        <v>1.25</v>
      </c>
      <c r="U1512" s="2">
        <f>IFERROR(__xludf.DUMMYFUNCTION("""COMPUTED_VALUE"""),1.25)</f>
        <v>1.25</v>
      </c>
      <c r="V1512" s="1" t="str">
        <f>IFERROR(__xludf.DUMMYFUNCTION("""COMPUTED_VALUE"""),"Jan Domingo")</f>
        <v>Jan Domingo</v>
      </c>
      <c r="W1512" s="1" t="str">
        <f>IFERROR(__xludf.DUMMYFUNCTION("""COMPUTED_VALUE"""),"Print Design Support")</f>
        <v>Print Design Support</v>
      </c>
    </row>
    <row r="1513">
      <c r="O1513" s="1" t="str">
        <f>IFERROR(__xludf.DUMMYFUNCTION("""COMPUTED_VALUE"""),"2025 Nov")</f>
        <v>2025 Nov</v>
      </c>
      <c r="P1513" s="1" t="str">
        <f>IFERROR(__xludf.DUMMYFUNCTION("""COMPUTED_VALUE"""),"Core Product Support")</f>
        <v>Core Product Support</v>
      </c>
      <c r="Q1513" s="1" t="str">
        <f>IFERROR(__xludf.DUMMYFUNCTION("""COMPUTED_VALUE"""),"gieslnts@canva.com")</f>
        <v>gieslnts@canva.com</v>
      </c>
      <c r="R1513" s="1" t="str">
        <f>IFERROR(__xludf.DUMMYFUNCTION("""COMPUTED_VALUE"""),"Gieann Salantes")</f>
        <v>Gieann Salantes</v>
      </c>
      <c r="S1513" s="1"/>
      <c r="T1513" s="1">
        <f>IFERROR(__xludf.DUMMYFUNCTION("""COMPUTED_VALUE"""),9.55)</f>
        <v>9.55</v>
      </c>
      <c r="U1513" s="2">
        <f>IFERROR(__xludf.DUMMYFUNCTION("""COMPUTED_VALUE"""),9.55)</f>
        <v>9.55</v>
      </c>
      <c r="V1513" s="1" t="str">
        <f>IFERROR(__xludf.DUMMYFUNCTION("""COMPUTED_VALUE"""),"Sieg Ballelos")</f>
        <v>Sieg Ballelos</v>
      </c>
      <c r="W1513" s="1" t="str">
        <f>IFERROR(__xludf.DUMMYFUNCTION("""COMPUTED_VALUE"""),"Core Product Support Escalation Team")</f>
        <v>Core Product Support Escalation Team</v>
      </c>
    </row>
    <row r="1514">
      <c r="O1514" s="1" t="str">
        <f>IFERROR(__xludf.DUMMYFUNCTION("""COMPUTED_VALUE"""),"2025 Nov")</f>
        <v>2025 Nov</v>
      </c>
      <c r="P1514" s="1" t="str">
        <f>IFERROR(__xludf.DUMMYFUNCTION("""COMPUTED_VALUE"""),"Admin Support")</f>
        <v>Admin Support</v>
      </c>
      <c r="Q1514" s="1" t="str">
        <f>IFERROR(__xludf.DUMMYFUNCTION("""COMPUTED_VALUE"""),"glennford@canva.com")</f>
        <v>glennford@canva.com</v>
      </c>
      <c r="R1514" s="1" t="str">
        <f>IFERROR(__xludf.DUMMYFUNCTION("""COMPUTED_VALUE"""),"Glenn Gutierrez")</f>
        <v>Glenn Gutierrez</v>
      </c>
      <c r="S1514" s="1"/>
      <c r="T1514" s="1">
        <f>IFERROR(__xludf.DUMMYFUNCTION("""COMPUTED_VALUE"""),1.75)</f>
        <v>1.75</v>
      </c>
      <c r="U1514" s="2">
        <f>IFERROR(__xludf.DUMMYFUNCTION("""COMPUTED_VALUE"""),1.75)</f>
        <v>1.75</v>
      </c>
      <c r="V1514" s="1" t="str">
        <f>IFERROR(__xludf.DUMMYFUNCTION("""COMPUTED_VALUE"""),"Karla Mananghaya")</f>
        <v>Karla Mananghaya</v>
      </c>
      <c r="W1514" s="1" t="str">
        <f>IFERROR(__xludf.DUMMYFUNCTION("""COMPUTED_VALUE"""),"Admin Support Service Escalation Team")</f>
        <v>Admin Support Service Escalation Team</v>
      </c>
    </row>
    <row r="1515">
      <c r="O1515" s="1" t="str">
        <f>IFERROR(__xludf.DUMMYFUNCTION("""COMPUTED_VALUE"""),"2025 Nov")</f>
        <v>2025 Nov</v>
      </c>
      <c r="P1515" s="1" t="str">
        <f>IFERROR(__xludf.DUMMYFUNCTION("""COMPUTED_VALUE"""),"Core Product Support")</f>
        <v>Core Product Support</v>
      </c>
      <c r="Q1515" s="1" t="str">
        <f>IFERROR(__xludf.DUMMYFUNCTION("""COMPUTED_VALUE"""),"gracegarcia@canva.com")</f>
        <v>gracegarcia@canva.com</v>
      </c>
      <c r="R1515" s="1" t="str">
        <f>IFERROR(__xludf.DUMMYFUNCTION("""COMPUTED_VALUE"""),"Grace Garcia")</f>
        <v>Grace Garcia</v>
      </c>
      <c r="S1515" s="1">
        <f>IFERROR(__xludf.DUMMYFUNCTION("""COMPUTED_VALUE"""),0.5)</f>
        <v>0.5</v>
      </c>
      <c r="T1515" s="1">
        <f>IFERROR(__xludf.DUMMYFUNCTION("""COMPUTED_VALUE"""),3.42)</f>
        <v>3.42</v>
      </c>
      <c r="U1515" s="2">
        <f>IFERROR(__xludf.DUMMYFUNCTION("""COMPUTED_VALUE"""),3.92)</f>
        <v>3.92</v>
      </c>
      <c r="V1515" s="1" t="str">
        <f>IFERROR(__xludf.DUMMYFUNCTION("""COMPUTED_VALUE"""),"Marie Mordeno")</f>
        <v>Marie Mordeno</v>
      </c>
      <c r="W1515" s="1" t="str">
        <f>IFERROR(__xludf.DUMMYFUNCTION("""COMPUTED_VALUE"""),"Advanced Billing &amp; Subscriptions")</f>
        <v>Advanced Billing &amp; Subscriptions</v>
      </c>
    </row>
    <row r="1516">
      <c r="O1516" s="1" t="str">
        <f>IFERROR(__xludf.DUMMYFUNCTION("""COMPUTED_VALUE"""),"2025 Nov")</f>
        <v>2025 Nov</v>
      </c>
      <c r="P1516" s="1" t="str">
        <f>IFERROR(__xludf.DUMMYFUNCTION("""COMPUTED_VALUE"""),"Core Product Support")</f>
        <v>Core Product Support</v>
      </c>
      <c r="Q1516" s="1" t="str">
        <f>IFERROR(__xludf.DUMMYFUNCTION("""COMPUTED_VALUE"""),"hanni@canva.com")</f>
        <v>hanni@canva.com</v>
      </c>
      <c r="R1516" s="1" t="str">
        <f>IFERROR(__xludf.DUMMYFUNCTION("""COMPUTED_VALUE"""),"Hannah Bejo")</f>
        <v>Hannah Bejo</v>
      </c>
      <c r="S1516" s="1">
        <f>IFERROR(__xludf.DUMMYFUNCTION("""COMPUTED_VALUE"""),1.5)</f>
        <v>1.5</v>
      </c>
      <c r="T1516" s="1">
        <f>IFERROR(__xludf.DUMMYFUNCTION("""COMPUTED_VALUE"""),3.25)</f>
        <v>3.25</v>
      </c>
      <c r="U1516" s="2">
        <f>IFERROR(__xludf.DUMMYFUNCTION("""COMPUTED_VALUE"""),4.75)</f>
        <v>4.75</v>
      </c>
      <c r="V1516" s="1" t="str">
        <f>IFERROR(__xludf.DUMMYFUNCTION("""COMPUTED_VALUE"""),"Ayza Marie Pascual")</f>
        <v>Ayza Marie Pascual</v>
      </c>
      <c r="W1516" s="1" t="str">
        <f>IFERROR(__xludf.DUMMYFUNCTION("""COMPUTED_VALUE"""),"Advanced Billing &amp; Subscriptions")</f>
        <v>Advanced Billing &amp; Subscriptions</v>
      </c>
    </row>
    <row r="1517">
      <c r="O1517" s="1" t="str">
        <f>IFERROR(__xludf.DUMMYFUNCTION("""COMPUTED_VALUE"""),"2025 Nov")</f>
        <v>2025 Nov</v>
      </c>
      <c r="P1517" s="1" t="str">
        <f>IFERROR(__xludf.DUMMYFUNCTION("""COMPUTED_VALUE"""),"Core Product Support")</f>
        <v>Core Product Support</v>
      </c>
      <c r="Q1517" s="1" t="str">
        <f>IFERROR(__xludf.DUMMYFUNCTION("""COMPUTED_VALUE"""),"hdecena@canva.com")</f>
        <v>hdecena@canva.com</v>
      </c>
      <c r="R1517" s="1" t="str">
        <f>IFERROR(__xludf.DUMMYFUNCTION("""COMPUTED_VALUE"""),"Hannah Decena")</f>
        <v>Hannah Decena</v>
      </c>
      <c r="S1517" s="1">
        <f>IFERROR(__xludf.DUMMYFUNCTION("""COMPUTED_VALUE"""),0.5)</f>
        <v>0.5</v>
      </c>
      <c r="T1517" s="1">
        <f>IFERROR(__xludf.DUMMYFUNCTION("""COMPUTED_VALUE"""),3.25)</f>
        <v>3.25</v>
      </c>
      <c r="U1517" s="2">
        <f>IFERROR(__xludf.DUMMYFUNCTION("""COMPUTED_VALUE"""),3.75)</f>
        <v>3.75</v>
      </c>
      <c r="V1517" s="1" t="str">
        <f>IFERROR(__xludf.DUMMYFUNCTION("""COMPUTED_VALUE"""),"Ana Lazaro")</f>
        <v>Ana Lazaro</v>
      </c>
      <c r="W1517" s="1" t="str">
        <f>IFERROR(__xludf.DUMMYFUNCTION("""COMPUTED_VALUE"""),"Advanced Billing &amp; Subscriptions")</f>
        <v>Advanced Billing &amp; Subscriptions</v>
      </c>
    </row>
    <row r="1518">
      <c r="O1518" s="1" t="str">
        <f>IFERROR(__xludf.DUMMYFUNCTION("""COMPUTED_VALUE"""),"2025 Nov")</f>
        <v>2025 Nov</v>
      </c>
      <c r="P1518" s="1" t="str">
        <f>IFERROR(__xludf.DUMMYFUNCTION("""COMPUTED_VALUE"""),"High Sensitivity Support")</f>
        <v>High Sensitivity Support</v>
      </c>
      <c r="Q1518" s="1" t="str">
        <f>IFERROR(__xludf.DUMMYFUNCTION("""COMPUTED_VALUE"""),"hannahd@canva.com")</f>
        <v>hannahd@canva.com</v>
      </c>
      <c r="R1518" s="1" t="str">
        <f>IFERROR(__xludf.DUMMYFUNCTION("""COMPUTED_VALUE"""),"Hannah Dimayuga")</f>
        <v>Hannah Dimayuga</v>
      </c>
      <c r="S1518" s="1"/>
      <c r="T1518" s="1">
        <f>IFERROR(__xludf.DUMMYFUNCTION("""COMPUTED_VALUE"""),6.67)</f>
        <v>6.67</v>
      </c>
      <c r="U1518" s="2">
        <f>IFERROR(__xludf.DUMMYFUNCTION("""COMPUTED_VALUE"""),6.67)</f>
        <v>6.67</v>
      </c>
      <c r="V1518" s="1" t="str">
        <f>IFERROR(__xludf.DUMMYFUNCTION("""COMPUTED_VALUE"""),"Rex Villamor")</f>
        <v>Rex Villamor</v>
      </c>
      <c r="W1518" s="1" t="str">
        <f>IFERROR(__xludf.DUMMYFUNCTION("""COMPUTED_VALUE"""),"High Sensitivity Support PH")</f>
        <v>High Sensitivity Support PH</v>
      </c>
    </row>
    <row r="1519">
      <c r="O1519" s="1" t="str">
        <f>IFERROR(__xludf.DUMMYFUNCTION("""COMPUTED_VALUE"""),"2025 Nov")</f>
        <v>2025 Nov</v>
      </c>
      <c r="P1519" s="1" t="str">
        <f>IFERROR(__xludf.DUMMYFUNCTION("""COMPUTED_VALUE"""),"Core Product Support")</f>
        <v>Core Product Support</v>
      </c>
      <c r="Q1519" s="1" t="str">
        <f>IFERROR(__xludf.DUMMYFUNCTION("""COMPUTED_VALUE"""),"hazzel@canva.com")</f>
        <v>hazzel@canva.com</v>
      </c>
      <c r="R1519" s="1" t="str">
        <f>IFERROR(__xludf.DUMMYFUNCTION("""COMPUTED_VALUE"""),"Haze Rafon")</f>
        <v>Haze Rafon</v>
      </c>
      <c r="S1519" s="1"/>
      <c r="T1519" s="1"/>
      <c r="U1519" s="2">
        <f>IFERROR(__xludf.DUMMYFUNCTION("""COMPUTED_VALUE"""),0.0)</f>
        <v>0</v>
      </c>
      <c r="V1519" s="1" t="str">
        <f>IFERROR(__xludf.DUMMYFUNCTION("""COMPUTED_VALUE"""),"Sieg Ballelos")</f>
        <v>Sieg Ballelos</v>
      </c>
      <c r="W1519" s="1" t="str">
        <f>IFERROR(__xludf.DUMMYFUNCTION("""COMPUTED_VALUE"""),"Core Product Support Escalation Team")</f>
        <v>Core Product Support Escalation Team</v>
      </c>
    </row>
    <row r="1520">
      <c r="O1520" s="1" t="str">
        <f>IFERROR(__xludf.DUMMYFUNCTION("""COMPUTED_VALUE"""),"2025 Nov")</f>
        <v>2025 Nov</v>
      </c>
      <c r="P1520" s="1" t="str">
        <f>IFERROR(__xludf.DUMMYFUNCTION("""COMPUTED_VALUE"""),"Segment-specific Support")</f>
        <v>Segment-specific Support</v>
      </c>
      <c r="Q1520" s="1" t="str">
        <f>IFERROR(__xludf.DUMMYFUNCTION("""COMPUTED_VALUE"""),"icetamayo@canva.com")</f>
        <v>icetamayo@canva.com</v>
      </c>
      <c r="R1520" s="1" t="str">
        <f>IFERROR(__xludf.DUMMYFUNCTION("""COMPUTED_VALUE"""),"Ice Montecillo-Tamayo")</f>
        <v>Ice Montecillo-Tamayo</v>
      </c>
      <c r="S1520" s="1">
        <f>IFERROR(__xludf.DUMMYFUNCTION("""COMPUTED_VALUE"""),0.5)</f>
        <v>0.5</v>
      </c>
      <c r="T1520" s="1">
        <f>IFERROR(__xludf.DUMMYFUNCTION("""COMPUTED_VALUE"""),0.75)</f>
        <v>0.75</v>
      </c>
      <c r="U1520" s="2">
        <f>IFERROR(__xludf.DUMMYFUNCTION("""COMPUTED_VALUE"""),1.25)</f>
        <v>1.25</v>
      </c>
      <c r="V1520" s="1" t="str">
        <f>IFERROR(__xludf.DUMMYFUNCTION("""COMPUTED_VALUE"""),"Rose Gabilan")</f>
        <v>Rose Gabilan</v>
      </c>
      <c r="W1520" s="1" t="str">
        <f>IFERROR(__xludf.DUMMYFUNCTION("""COMPUTED_VALUE"""),"Affinity Support")</f>
        <v>Affinity Support</v>
      </c>
    </row>
    <row r="1521">
      <c r="O1521" s="1" t="str">
        <f>IFERROR(__xludf.DUMMYFUNCTION("""COMPUTED_VALUE"""),"2025 Nov")</f>
        <v>2025 Nov</v>
      </c>
      <c r="P1521" s="1" t="str">
        <f>IFERROR(__xludf.DUMMYFUNCTION("""COMPUTED_VALUE"""),"Core Product Support")</f>
        <v>Core Product Support</v>
      </c>
      <c r="Q1521" s="1" t="str">
        <f>IFERROR(__xludf.DUMMYFUNCTION("""COMPUTED_VALUE"""),"mrwong@canva.com")</f>
        <v>mrwong@canva.com</v>
      </c>
      <c r="R1521" s="1" t="str">
        <f>IFERROR(__xludf.DUMMYFUNCTION("""COMPUTED_VALUE"""),"Ino Wong")</f>
        <v>Ino Wong</v>
      </c>
      <c r="S1521" s="1"/>
      <c r="T1521" s="1">
        <f>IFERROR(__xludf.DUMMYFUNCTION("""COMPUTED_VALUE"""),1.75)</f>
        <v>1.75</v>
      </c>
      <c r="U1521" s="2">
        <f>IFERROR(__xludf.DUMMYFUNCTION("""COMPUTED_VALUE"""),1.75)</f>
        <v>1.75</v>
      </c>
      <c r="V1521" s="1" t="str">
        <f>IFERROR(__xludf.DUMMYFUNCTION("""COMPUTED_VALUE"""),"Jem Mondoñedo")</f>
        <v>Jem Mondoñedo</v>
      </c>
      <c r="W1521" s="1" t="str">
        <f>IFERROR(__xludf.DUMMYFUNCTION("""COMPUTED_VALUE"""),"Advanced Billing &amp; Subscriptions")</f>
        <v>Advanced Billing &amp; Subscriptions</v>
      </c>
    </row>
    <row r="1522">
      <c r="O1522" s="1" t="str">
        <f>IFERROR(__xludf.DUMMYFUNCTION("""COMPUTED_VALUE"""),"2025 Nov")</f>
        <v>2025 Nov</v>
      </c>
      <c r="P1522" s="1" t="str">
        <f>IFERROR(__xludf.DUMMYFUNCTION("""COMPUTED_VALUE"""),"Segment-specific Support")</f>
        <v>Segment-specific Support</v>
      </c>
      <c r="Q1522" s="1" t="str">
        <f>IFERROR(__xludf.DUMMYFUNCTION("""COMPUTED_VALUE"""),"ivy@canva.com")</f>
        <v>ivy@canva.com</v>
      </c>
      <c r="R1522" s="1" t="str">
        <f>IFERROR(__xludf.DUMMYFUNCTION("""COMPUTED_VALUE"""),"Ivy Sabado")</f>
        <v>Ivy Sabado</v>
      </c>
      <c r="S1522" s="1"/>
      <c r="T1522" s="1">
        <f>IFERROR(__xludf.DUMMYFUNCTION("""COMPUTED_VALUE"""),1.25)</f>
        <v>1.25</v>
      </c>
      <c r="U1522" s="2">
        <f>IFERROR(__xludf.DUMMYFUNCTION("""COMPUTED_VALUE"""),1.25)</f>
        <v>1.25</v>
      </c>
      <c r="V1522" s="1" t="str">
        <f>IFERROR(__xludf.DUMMYFUNCTION("""COMPUTED_VALUE"""),"Aileen Dayanghirang")</f>
        <v>Aileen Dayanghirang</v>
      </c>
      <c r="W1522" s="1" t="str">
        <f>IFERROR(__xludf.DUMMYFUNCTION("""COMPUTED_VALUE"""),"Creators Support")</f>
        <v>Creators Support</v>
      </c>
    </row>
    <row r="1523">
      <c r="O1523" s="1" t="str">
        <f>IFERROR(__xludf.DUMMYFUNCTION("""COMPUTED_VALUE"""),"2025 Nov")</f>
        <v>2025 Nov</v>
      </c>
      <c r="P1523" s="1" t="str">
        <f>IFERROR(__xludf.DUMMYFUNCTION("""COMPUTED_VALUE"""),"Core Product Support")</f>
        <v>Core Product Support</v>
      </c>
      <c r="Q1523" s="1" t="str">
        <f>IFERROR(__xludf.DUMMYFUNCTION("""COMPUTED_VALUE"""),"iyaacuyong@canva.com")</f>
        <v>iyaacuyong@canva.com</v>
      </c>
      <c r="R1523" s="1" t="str">
        <f>IFERROR(__xludf.DUMMYFUNCTION("""COMPUTED_VALUE"""),"Iya Acuyong")</f>
        <v>Iya Acuyong</v>
      </c>
      <c r="S1523" s="1">
        <f>IFERROR(__xludf.DUMMYFUNCTION("""COMPUTED_VALUE"""),1.0)</f>
        <v>1</v>
      </c>
      <c r="T1523" s="1">
        <f>IFERROR(__xludf.DUMMYFUNCTION("""COMPUTED_VALUE"""),2.75)</f>
        <v>2.75</v>
      </c>
      <c r="U1523" s="2">
        <f>IFERROR(__xludf.DUMMYFUNCTION("""COMPUTED_VALUE"""),3.75)</f>
        <v>3.75</v>
      </c>
      <c r="V1523" s="1" t="str">
        <f>IFERROR(__xludf.DUMMYFUNCTION("""COMPUTED_VALUE"""),"Mikhaela Decangchon")</f>
        <v>Mikhaela Decangchon</v>
      </c>
      <c r="W1523" s="1" t="str">
        <f>IFERROR(__xludf.DUMMYFUNCTION("""COMPUTED_VALUE"""),"Advanced Product Support")</f>
        <v>Advanced Product Support</v>
      </c>
    </row>
    <row r="1524">
      <c r="O1524" s="1" t="str">
        <f>IFERROR(__xludf.DUMMYFUNCTION("""COMPUTED_VALUE"""),"2025 Nov")</f>
        <v>2025 Nov</v>
      </c>
      <c r="P1524" s="1" t="str">
        <f>IFERROR(__xludf.DUMMYFUNCTION("""COMPUTED_VALUE"""),"Print Support")</f>
        <v>Print Support</v>
      </c>
      <c r="Q1524" s="1" t="str">
        <f>IFERROR(__xludf.DUMMYFUNCTION("""COMPUTED_VALUE"""),"jagumasing@canva.com")</f>
        <v>jagumasing@canva.com</v>
      </c>
      <c r="R1524" s="1" t="str">
        <f>IFERROR(__xludf.DUMMYFUNCTION("""COMPUTED_VALUE"""),"Ja Gumasing")</f>
        <v>Ja Gumasing</v>
      </c>
      <c r="S1524" s="1"/>
      <c r="T1524" s="1">
        <f>IFERROR(__xludf.DUMMYFUNCTION("""COMPUTED_VALUE"""),2.25)</f>
        <v>2.25</v>
      </c>
      <c r="U1524" s="2">
        <f>IFERROR(__xludf.DUMMYFUNCTION("""COMPUTED_VALUE"""),2.25)</f>
        <v>2.25</v>
      </c>
      <c r="V1524" s="1" t="str">
        <f>IFERROR(__xludf.DUMMYFUNCTION("""COMPUTED_VALUE"""),"Althea Mercado")</f>
        <v>Althea Mercado</v>
      </c>
      <c r="W1524" s="1" t="str">
        <f>IFERROR(__xludf.DUMMYFUNCTION("""COMPUTED_VALUE"""),"Print Support PH")</f>
        <v>Print Support PH</v>
      </c>
    </row>
    <row r="1525">
      <c r="O1525" s="1" t="str">
        <f>IFERROR(__xludf.DUMMYFUNCTION("""COMPUTED_VALUE"""),"2025 Nov")</f>
        <v>2025 Nov</v>
      </c>
      <c r="P1525" s="1" t="str">
        <f>IFERROR(__xludf.DUMMYFUNCTION("""COMPUTED_VALUE"""),"Admin Support")</f>
        <v>Admin Support</v>
      </c>
      <c r="Q1525" s="1" t="str">
        <f>IFERROR(__xludf.DUMMYFUNCTION("""COMPUTED_VALUE"""),"jacobgarza@canva.com")</f>
        <v>jacobgarza@canva.com</v>
      </c>
      <c r="R1525" s="1" t="str">
        <f>IFERROR(__xludf.DUMMYFUNCTION("""COMPUTED_VALUE"""),"Jacob Garza")</f>
        <v>Jacob Garza</v>
      </c>
      <c r="S1525" s="1">
        <f>IFERROR(__xludf.DUMMYFUNCTION("""COMPUTED_VALUE"""),5.0)</f>
        <v>5</v>
      </c>
      <c r="T1525" s="1">
        <f>IFERROR(__xludf.DUMMYFUNCTION("""COMPUTED_VALUE"""),2.25)</f>
        <v>2.25</v>
      </c>
      <c r="U1525" s="2">
        <f>IFERROR(__xludf.DUMMYFUNCTION("""COMPUTED_VALUE"""),7.25)</f>
        <v>7.25</v>
      </c>
      <c r="V1525" s="1" t="str">
        <f>IFERROR(__xludf.DUMMYFUNCTION("""COMPUTED_VALUE"""),"Nate Vela")</f>
        <v>Nate Vela</v>
      </c>
      <c r="W1525" s="1" t="str">
        <f>IFERROR(__xludf.DUMMYFUNCTION("""COMPUTED_VALUE"""),"Admin Support NA")</f>
        <v>Admin Support NA</v>
      </c>
    </row>
    <row r="1526">
      <c r="O1526" s="1" t="str">
        <f>IFERROR(__xludf.DUMMYFUNCTION("""COMPUTED_VALUE"""),"2025 Nov")</f>
        <v>2025 Nov</v>
      </c>
      <c r="P1526" s="1" t="str">
        <f>IFERROR(__xludf.DUMMYFUNCTION("""COMPUTED_VALUE"""),"Core Product Support")</f>
        <v>Core Product Support</v>
      </c>
      <c r="Q1526" s="1" t="str">
        <f>IFERROR(__xludf.DUMMYFUNCTION("""COMPUTED_VALUE"""),"jacque@canva.com")</f>
        <v>jacque@canva.com</v>
      </c>
      <c r="R1526" s="1" t="str">
        <f>IFERROR(__xludf.DUMMYFUNCTION("""COMPUTED_VALUE"""),"Jacqueline Gay")</f>
        <v>Jacqueline Gay</v>
      </c>
      <c r="S1526" s="1"/>
      <c r="T1526" s="1">
        <f>IFERROR(__xludf.DUMMYFUNCTION("""COMPUTED_VALUE"""),2.08)</f>
        <v>2.08</v>
      </c>
      <c r="U1526" s="2">
        <f>IFERROR(__xludf.DUMMYFUNCTION("""COMPUTED_VALUE"""),2.08)</f>
        <v>2.08</v>
      </c>
      <c r="V1526" s="1" t="str">
        <f>IFERROR(__xludf.DUMMYFUNCTION("""COMPUTED_VALUE"""),"Jem Mondoñedo")</f>
        <v>Jem Mondoñedo</v>
      </c>
      <c r="W1526" s="1" t="str">
        <f>IFERROR(__xludf.DUMMYFUNCTION("""COMPUTED_VALUE"""),"Advanced Billing &amp; Subscriptions")</f>
        <v>Advanced Billing &amp; Subscriptions</v>
      </c>
    </row>
    <row r="1527">
      <c r="O1527" s="1" t="str">
        <f>IFERROR(__xludf.DUMMYFUNCTION("""COMPUTED_VALUE"""),"2025 Nov")</f>
        <v>2025 Nov</v>
      </c>
      <c r="P1527" s="1" t="str">
        <f>IFERROR(__xludf.DUMMYFUNCTION("""COMPUTED_VALUE"""),"Print Support")</f>
        <v>Print Support</v>
      </c>
      <c r="Q1527" s="1" t="str">
        <f>IFERROR(__xludf.DUMMYFUNCTION("""COMPUTED_VALUE"""),"jadec@canva.com")</f>
        <v>jadec@canva.com</v>
      </c>
      <c r="R1527" s="1" t="str">
        <f>IFERROR(__xludf.DUMMYFUNCTION("""COMPUTED_VALUE"""),"Jade Curitana")</f>
        <v>Jade Curitana</v>
      </c>
      <c r="S1527" s="1"/>
      <c r="T1527" s="1">
        <f>IFERROR(__xludf.DUMMYFUNCTION("""COMPUTED_VALUE"""),2.42)</f>
        <v>2.42</v>
      </c>
      <c r="U1527" s="2">
        <f>IFERROR(__xludf.DUMMYFUNCTION("""COMPUTED_VALUE"""),2.42)</f>
        <v>2.42</v>
      </c>
      <c r="V1527" s="1" t="str">
        <f>IFERROR(__xludf.DUMMYFUNCTION("""COMPUTED_VALUE"""),"Louise Dianne Estrella")</f>
        <v>Louise Dianne Estrella</v>
      </c>
      <c r="W1527" s="1" t="str">
        <f>IFERROR(__xludf.DUMMYFUNCTION("""COMPUTED_VALUE"""),"Print Support PH")</f>
        <v>Print Support PH</v>
      </c>
    </row>
    <row r="1528">
      <c r="O1528" s="1" t="str">
        <f>IFERROR(__xludf.DUMMYFUNCTION("""COMPUTED_VALUE"""),"2025 Nov")</f>
        <v>2025 Nov</v>
      </c>
      <c r="P1528" s="1" t="str">
        <f>IFERROR(__xludf.DUMMYFUNCTION("""COMPUTED_VALUE"""),"High Sensitivity Support")</f>
        <v>High Sensitivity Support</v>
      </c>
      <c r="Q1528" s="1" t="str">
        <f>IFERROR(__xludf.DUMMYFUNCTION("""COMPUTED_VALUE"""),"jammyb@canva.com")</f>
        <v>jammyb@canva.com</v>
      </c>
      <c r="R1528" s="1" t="str">
        <f>IFERROR(__xludf.DUMMYFUNCTION("""COMPUTED_VALUE"""),"Jam Bacani")</f>
        <v>Jam Bacani</v>
      </c>
      <c r="S1528" s="1">
        <f>IFERROR(__xludf.DUMMYFUNCTION("""COMPUTED_VALUE"""),9.25)</f>
        <v>9.25</v>
      </c>
      <c r="T1528" s="1">
        <f>IFERROR(__xludf.DUMMYFUNCTION("""COMPUTED_VALUE"""),2.75)</f>
        <v>2.75</v>
      </c>
      <c r="U1528" s="2">
        <f>IFERROR(__xludf.DUMMYFUNCTION("""COMPUTED_VALUE"""),12.0)</f>
        <v>12</v>
      </c>
      <c r="V1528" s="1" t="str">
        <f>IFERROR(__xludf.DUMMYFUNCTION("""COMPUTED_VALUE"""),"Rossheen Pura")</f>
        <v>Rossheen Pura</v>
      </c>
      <c r="W1528" s="1" t="str">
        <f>IFERROR(__xludf.DUMMYFUNCTION("""COMPUTED_VALUE"""),"High Sensitivity Support PH")</f>
        <v>High Sensitivity Support PH</v>
      </c>
    </row>
    <row r="1529">
      <c r="O1529" s="1" t="str">
        <f>IFERROR(__xludf.DUMMYFUNCTION("""COMPUTED_VALUE"""),"2025 Nov")</f>
        <v>2025 Nov</v>
      </c>
      <c r="P1529" s="1" t="str">
        <f>IFERROR(__xludf.DUMMYFUNCTION("""COMPUTED_VALUE"""),"Segment-specific Support")</f>
        <v>Segment-specific Support</v>
      </c>
      <c r="Q1529" s="1" t="str">
        <f>IFERROR(__xludf.DUMMYFUNCTION("""COMPUTED_VALUE"""),"jgamboa@canva.com")</f>
        <v>jgamboa@canva.com</v>
      </c>
      <c r="R1529" s="1" t="str">
        <f>IFERROR(__xludf.DUMMYFUNCTION("""COMPUTED_VALUE"""),"James Marrion Gamboa")</f>
        <v>James Marrion Gamboa</v>
      </c>
      <c r="S1529" s="1">
        <f>IFERROR(__xludf.DUMMYFUNCTION("""COMPUTED_VALUE"""),1.0)</f>
        <v>1</v>
      </c>
      <c r="T1529" s="1">
        <f>IFERROR(__xludf.DUMMYFUNCTION("""COMPUTED_VALUE"""),0.75)</f>
        <v>0.75</v>
      </c>
      <c r="U1529" s="2">
        <f>IFERROR(__xludf.DUMMYFUNCTION("""COMPUTED_VALUE"""),1.75)</f>
        <v>1.75</v>
      </c>
      <c r="V1529" s="1" t="str">
        <f>IFERROR(__xludf.DUMMYFUNCTION("""COMPUTED_VALUE"""),"Rose Gabilan")</f>
        <v>Rose Gabilan</v>
      </c>
      <c r="W1529" s="1" t="str">
        <f>IFERROR(__xludf.DUMMYFUNCTION("""COMPUTED_VALUE"""),"Affinity Support")</f>
        <v>Affinity Support</v>
      </c>
    </row>
    <row r="1530">
      <c r="O1530" s="1" t="str">
        <f>IFERROR(__xludf.DUMMYFUNCTION("""COMPUTED_VALUE"""),"2025 Nov")</f>
        <v>2025 Nov</v>
      </c>
      <c r="P1530" s="1" t="str">
        <f>IFERROR(__xludf.DUMMYFUNCTION("""COMPUTED_VALUE"""),"Print Support")</f>
        <v>Print Support</v>
      </c>
      <c r="Q1530" s="1" t="str">
        <f>IFERROR(__xludf.DUMMYFUNCTION("""COMPUTED_VALUE"""),"janpaolopena@canva.com")</f>
        <v>janpaolopena@canva.com</v>
      </c>
      <c r="R1530" s="1" t="str">
        <f>IFERROR(__xludf.DUMMYFUNCTION("""COMPUTED_VALUE"""),"Jan Peña")</f>
        <v>Jan Peña</v>
      </c>
      <c r="S1530" s="1"/>
      <c r="T1530" s="1">
        <f>IFERROR(__xludf.DUMMYFUNCTION("""COMPUTED_VALUE"""),6.75)</f>
        <v>6.75</v>
      </c>
      <c r="U1530" s="2">
        <f>IFERROR(__xludf.DUMMYFUNCTION("""COMPUTED_VALUE"""),6.75)</f>
        <v>6.75</v>
      </c>
      <c r="V1530" s="1" t="str">
        <f>IFERROR(__xludf.DUMMYFUNCTION("""COMPUTED_VALUE"""),"Louise Dianne Estrella")</f>
        <v>Louise Dianne Estrella</v>
      </c>
      <c r="W1530" s="1" t="str">
        <f>IFERROR(__xludf.DUMMYFUNCTION("""COMPUTED_VALUE"""),"Print Support PH")</f>
        <v>Print Support PH</v>
      </c>
    </row>
    <row r="1531">
      <c r="O1531" s="1" t="str">
        <f>IFERROR(__xludf.DUMMYFUNCTION("""COMPUTED_VALUE"""),"2025 Nov")</f>
        <v>2025 Nov</v>
      </c>
      <c r="P1531" s="1" t="str">
        <f>IFERROR(__xludf.DUMMYFUNCTION("""COMPUTED_VALUE"""),"Admin Support")</f>
        <v>Admin Support</v>
      </c>
      <c r="Q1531" s="1" t="str">
        <f>IFERROR(__xludf.DUMMYFUNCTION("""COMPUTED_VALUE"""),"janis@canva.com")</f>
        <v>janis@canva.com</v>
      </c>
      <c r="R1531" s="1" t="str">
        <f>IFERROR(__xludf.DUMMYFUNCTION("""COMPUTED_VALUE"""),"Janis Esmas")</f>
        <v>Janis Esmas</v>
      </c>
      <c r="S1531" s="1"/>
      <c r="T1531" s="1">
        <f>IFERROR(__xludf.DUMMYFUNCTION("""COMPUTED_VALUE"""),1.0)</f>
        <v>1</v>
      </c>
      <c r="U1531" s="2">
        <f>IFERROR(__xludf.DUMMYFUNCTION("""COMPUTED_VALUE"""),1.0)</f>
        <v>1</v>
      </c>
      <c r="V1531" s="1" t="str">
        <f>IFERROR(__xludf.DUMMYFUNCTION("""COMPUTED_VALUE"""),"Karla Mananghaya")</f>
        <v>Karla Mananghaya</v>
      </c>
      <c r="W1531" s="1" t="str">
        <f>IFERROR(__xludf.DUMMYFUNCTION("""COMPUTED_VALUE"""),"Admin Support Service Escalation Team")</f>
        <v>Admin Support Service Escalation Team</v>
      </c>
    </row>
    <row r="1532">
      <c r="O1532" s="1" t="str">
        <f>IFERROR(__xludf.DUMMYFUNCTION("""COMPUTED_VALUE"""),"2025 Nov")</f>
        <v>2025 Nov</v>
      </c>
      <c r="P1532" s="1" t="str">
        <f>IFERROR(__xludf.DUMMYFUNCTION("""COMPUTED_VALUE"""),"Core Product Support")</f>
        <v>Core Product Support</v>
      </c>
      <c r="Q1532" s="1" t="str">
        <f>IFERROR(__xludf.DUMMYFUNCTION("""COMPUTED_VALUE"""),"jampangan@canva.com")</f>
        <v>jampangan@canva.com</v>
      </c>
      <c r="R1532" s="1" t="str">
        <f>IFERROR(__xludf.DUMMYFUNCTION("""COMPUTED_VALUE"""),"Jara Alexandra Mae Pangan")</f>
        <v>Jara Alexandra Mae Pangan</v>
      </c>
      <c r="S1532" s="1">
        <f>IFERROR(__xludf.DUMMYFUNCTION("""COMPUTED_VALUE"""),2.0)</f>
        <v>2</v>
      </c>
      <c r="T1532" s="1">
        <f>IFERROR(__xludf.DUMMYFUNCTION("""COMPUTED_VALUE"""),13.13)</f>
        <v>13.13</v>
      </c>
      <c r="U1532" s="2">
        <f>IFERROR(__xludf.DUMMYFUNCTION("""COMPUTED_VALUE"""),15.13)</f>
        <v>15.13</v>
      </c>
      <c r="V1532" s="1" t="str">
        <f>IFERROR(__xludf.DUMMYFUNCTION("""COMPUTED_VALUE"""),"Sieg Ballelos")</f>
        <v>Sieg Ballelos</v>
      </c>
      <c r="W1532" s="1" t="str">
        <f>IFERROR(__xludf.DUMMYFUNCTION("""COMPUTED_VALUE"""),"Core Product Support Escalation Team")</f>
        <v>Core Product Support Escalation Team</v>
      </c>
    </row>
    <row r="1533">
      <c r="O1533" s="1" t="str">
        <f>IFERROR(__xludf.DUMMYFUNCTION("""COMPUTED_VALUE"""),"2025 Nov")</f>
        <v>2025 Nov</v>
      </c>
      <c r="P1533" s="1" t="str">
        <f>IFERROR(__xludf.DUMMYFUNCTION("""COMPUTED_VALUE"""),"Core Product Support")</f>
        <v>Core Product Support</v>
      </c>
      <c r="Q1533" s="1" t="str">
        <f>IFERROR(__xludf.DUMMYFUNCTION("""COMPUTED_VALUE"""),"jaredc@canva.com")</f>
        <v>jaredc@canva.com</v>
      </c>
      <c r="R1533" s="1" t="str">
        <f>IFERROR(__xludf.DUMMYFUNCTION("""COMPUTED_VALUE"""),"Jared Carlin")</f>
        <v>Jared Carlin</v>
      </c>
      <c r="S1533" s="1">
        <f>IFERROR(__xludf.DUMMYFUNCTION("""COMPUTED_VALUE"""),1.0)</f>
        <v>1</v>
      </c>
      <c r="T1533" s="1">
        <f>IFERROR(__xludf.DUMMYFUNCTION("""COMPUTED_VALUE"""),0.92)</f>
        <v>0.92</v>
      </c>
      <c r="U1533" s="2">
        <f>IFERROR(__xludf.DUMMYFUNCTION("""COMPUTED_VALUE"""),1.92)</f>
        <v>1.92</v>
      </c>
      <c r="V1533" s="1" t="str">
        <f>IFERROR(__xludf.DUMMYFUNCTION("""COMPUTED_VALUE"""),"Ana Lazaro")</f>
        <v>Ana Lazaro</v>
      </c>
      <c r="W1533" s="1" t="str">
        <f>IFERROR(__xludf.DUMMYFUNCTION("""COMPUTED_VALUE"""),"Advanced Billing &amp; Subscriptions")</f>
        <v>Advanced Billing &amp; Subscriptions</v>
      </c>
    </row>
    <row r="1534">
      <c r="O1534" s="1" t="str">
        <f>IFERROR(__xludf.DUMMYFUNCTION("""COMPUTED_VALUE"""),"2025 Nov")</f>
        <v>2025 Nov</v>
      </c>
      <c r="P1534" s="1" t="str">
        <f>IFERROR(__xludf.DUMMYFUNCTION("""COMPUTED_VALUE"""),"Segment-specific Support")</f>
        <v>Segment-specific Support</v>
      </c>
      <c r="Q1534" s="1" t="str">
        <f>IFERROR(__xludf.DUMMYFUNCTION("""COMPUTED_VALUE"""),"jas@canva.com")</f>
        <v>jas@canva.com</v>
      </c>
      <c r="R1534" s="1" t="str">
        <f>IFERROR(__xludf.DUMMYFUNCTION("""COMPUTED_VALUE"""),"Jas Esperat")</f>
        <v>Jas Esperat</v>
      </c>
      <c r="S1534" s="1"/>
      <c r="T1534" s="1">
        <f>IFERROR(__xludf.DUMMYFUNCTION("""COMPUTED_VALUE"""),1.25)</f>
        <v>1.25</v>
      </c>
      <c r="U1534" s="2">
        <f>IFERROR(__xludf.DUMMYFUNCTION("""COMPUTED_VALUE"""),1.25)</f>
        <v>1.25</v>
      </c>
      <c r="V1534" s="1" t="str">
        <f>IFERROR(__xludf.DUMMYFUNCTION("""COMPUTED_VALUE"""),"Aileen Dayanghirang")</f>
        <v>Aileen Dayanghirang</v>
      </c>
      <c r="W1534" s="1" t="str">
        <f>IFERROR(__xludf.DUMMYFUNCTION("""COMPUTED_VALUE"""),"Creators Support")</f>
        <v>Creators Support</v>
      </c>
    </row>
    <row r="1535">
      <c r="O1535" s="1" t="str">
        <f>IFERROR(__xludf.DUMMYFUNCTION("""COMPUTED_VALUE"""),"2025 Nov")</f>
        <v>2025 Nov</v>
      </c>
      <c r="P1535" s="1" t="str">
        <f>IFERROR(__xludf.DUMMYFUNCTION("""COMPUTED_VALUE"""),"Print Support")</f>
        <v>Print Support</v>
      </c>
      <c r="Q1535" s="1" t="str">
        <f>IFERROR(__xludf.DUMMYFUNCTION("""COMPUTED_VALUE"""),"jayson@canva.com")</f>
        <v>jayson@canva.com</v>
      </c>
      <c r="R1535" s="1" t="str">
        <f>IFERROR(__xludf.DUMMYFUNCTION("""COMPUTED_VALUE"""),"Jayson Ferrer")</f>
        <v>Jayson Ferrer</v>
      </c>
      <c r="S1535" s="1"/>
      <c r="T1535" s="1">
        <f>IFERROR(__xludf.DUMMYFUNCTION("""COMPUTED_VALUE"""),2.25)</f>
        <v>2.25</v>
      </c>
      <c r="U1535" s="2">
        <f>IFERROR(__xludf.DUMMYFUNCTION("""COMPUTED_VALUE"""),2.25)</f>
        <v>2.25</v>
      </c>
      <c r="V1535" s="1" t="str">
        <f>IFERROR(__xludf.DUMMYFUNCTION("""COMPUTED_VALUE"""),"G-Anne Murillo")</f>
        <v>G-Anne Murillo</v>
      </c>
      <c r="W1535" s="1" t="str">
        <f>IFERROR(__xludf.DUMMYFUNCTION("""COMPUTED_VALUE"""),"Print Design Support")</f>
        <v>Print Design Support</v>
      </c>
    </row>
    <row r="1536">
      <c r="O1536" s="1" t="str">
        <f>IFERROR(__xludf.DUMMYFUNCTION("""COMPUTED_VALUE"""),"2025 Nov")</f>
        <v>2025 Nov</v>
      </c>
      <c r="P1536" s="1" t="str">
        <f>IFERROR(__xludf.DUMMYFUNCTION("""COMPUTED_VALUE"""),"Admin Support")</f>
        <v>Admin Support</v>
      </c>
      <c r="Q1536" s="1" t="str">
        <f>IFERROR(__xludf.DUMMYFUNCTION("""COMPUTED_VALUE"""),"jaz@canva.com")</f>
        <v>jaz@canva.com</v>
      </c>
      <c r="R1536" s="1" t="str">
        <f>IFERROR(__xludf.DUMMYFUNCTION("""COMPUTED_VALUE"""),"Jazmine San Pedro")</f>
        <v>Jazmine San Pedro</v>
      </c>
      <c r="S1536" s="1"/>
      <c r="T1536" s="1">
        <f>IFERROR(__xludf.DUMMYFUNCTION("""COMPUTED_VALUE"""),3.25)</f>
        <v>3.25</v>
      </c>
      <c r="U1536" s="2">
        <f>IFERROR(__xludf.DUMMYFUNCTION("""COMPUTED_VALUE"""),3.25)</f>
        <v>3.25</v>
      </c>
      <c r="V1536" s="1" t="str">
        <f>IFERROR(__xludf.DUMMYFUNCTION("""COMPUTED_VALUE"""),"AL Suarez")</f>
        <v>AL Suarez</v>
      </c>
      <c r="W1536" s="1" t="str">
        <f>IFERROR(__xludf.DUMMYFUNCTION("""COMPUTED_VALUE"""),"Print Support PH")</f>
        <v>Print Support PH</v>
      </c>
    </row>
    <row r="1537">
      <c r="O1537" s="1" t="str">
        <f>IFERROR(__xludf.DUMMYFUNCTION("""COMPUTED_VALUE"""),"2025 Nov")</f>
        <v>2025 Nov</v>
      </c>
      <c r="P1537" s="1" t="str">
        <f>IFERROR(__xludf.DUMMYFUNCTION("""COMPUTED_VALUE"""),"Multilingual Support")</f>
        <v>Multilingual Support</v>
      </c>
      <c r="Q1537" s="1" t="str">
        <f>IFERROR(__xludf.DUMMYFUNCTION("""COMPUTED_VALUE"""),"jc@canva.com")</f>
        <v>jc@canva.com</v>
      </c>
      <c r="R1537" s="1" t="str">
        <f>IFERROR(__xludf.DUMMYFUNCTION("""COMPUTED_VALUE"""),"JC Evangelista")</f>
        <v>JC Evangelista</v>
      </c>
      <c r="S1537" s="1"/>
      <c r="T1537" s="1">
        <f>IFERROR(__xludf.DUMMYFUNCTION("""COMPUTED_VALUE"""),1.75)</f>
        <v>1.75</v>
      </c>
      <c r="U1537" s="2">
        <f>IFERROR(__xludf.DUMMYFUNCTION("""COMPUTED_VALUE"""),1.75)</f>
        <v>1.75</v>
      </c>
      <c r="V1537" s="1" t="str">
        <f>IFERROR(__xludf.DUMMYFUNCTION("""COMPUTED_VALUE"""),"Arlene Maurillo")</f>
        <v>Arlene Maurillo</v>
      </c>
      <c r="W1537" s="1" t="str">
        <f>IFERROR(__xludf.DUMMYFUNCTION("""COMPUTED_VALUE"""),"PHL, Multilingual Support")</f>
        <v>PHL, Multilingual Support</v>
      </c>
    </row>
    <row r="1538">
      <c r="O1538" s="1" t="str">
        <f>IFERROR(__xludf.DUMMYFUNCTION("""COMPUTED_VALUE"""),"2025 Nov")</f>
        <v>2025 Nov</v>
      </c>
      <c r="P1538" s="1" t="str">
        <f>IFERROR(__xludf.DUMMYFUNCTION("""COMPUTED_VALUE"""),"Core Product Support")</f>
        <v>Core Product Support</v>
      </c>
      <c r="Q1538" s="1" t="str">
        <f>IFERROR(__xludf.DUMMYFUNCTION("""COMPUTED_VALUE"""),"jea@canva.com")</f>
        <v>jea@canva.com</v>
      </c>
      <c r="R1538" s="1" t="str">
        <f>IFERROR(__xludf.DUMMYFUNCTION("""COMPUTED_VALUE"""),"Jea Silvestre")</f>
        <v>Jea Silvestre</v>
      </c>
      <c r="S1538" s="1"/>
      <c r="T1538" s="1">
        <f>IFERROR(__xludf.DUMMYFUNCTION("""COMPUTED_VALUE"""),0.75)</f>
        <v>0.75</v>
      </c>
      <c r="U1538" s="2">
        <f>IFERROR(__xludf.DUMMYFUNCTION("""COMPUTED_VALUE"""),0.75)</f>
        <v>0.75</v>
      </c>
      <c r="V1538" s="1" t="str">
        <f>IFERROR(__xludf.DUMMYFUNCTION("""COMPUTED_VALUE"""),"Marie Mordeno")</f>
        <v>Marie Mordeno</v>
      </c>
      <c r="W1538" s="1" t="str">
        <f>IFERROR(__xludf.DUMMYFUNCTION("""COMPUTED_VALUE"""),"Advanced Billing &amp; Subscriptions")</f>
        <v>Advanced Billing &amp; Subscriptions</v>
      </c>
    </row>
    <row r="1539">
      <c r="O1539" s="1" t="str">
        <f>IFERROR(__xludf.DUMMYFUNCTION("""COMPUTED_VALUE"""),"2025 Nov")</f>
        <v>2025 Nov</v>
      </c>
      <c r="P1539" s="1" t="str">
        <f>IFERROR(__xludf.DUMMYFUNCTION("""COMPUTED_VALUE"""),"Core Product Support")</f>
        <v>Core Product Support</v>
      </c>
      <c r="Q1539" s="1" t="str">
        <f>IFERROR(__xludf.DUMMYFUNCTION("""COMPUTED_VALUE"""),"jed@canva.com")</f>
        <v>jed@canva.com</v>
      </c>
      <c r="R1539" s="1" t="str">
        <f>IFERROR(__xludf.DUMMYFUNCTION("""COMPUTED_VALUE"""),"Jed Wenceslao")</f>
        <v>Jed Wenceslao</v>
      </c>
      <c r="S1539" s="1">
        <f>IFERROR(__xludf.DUMMYFUNCTION("""COMPUTED_VALUE"""),0.5)</f>
        <v>0.5</v>
      </c>
      <c r="T1539" s="1">
        <f>IFERROR(__xludf.DUMMYFUNCTION("""COMPUTED_VALUE"""),4.83)</f>
        <v>4.83</v>
      </c>
      <c r="U1539" s="2">
        <f>IFERROR(__xludf.DUMMYFUNCTION("""COMPUTED_VALUE"""),5.33)</f>
        <v>5.33</v>
      </c>
      <c r="V1539" s="1" t="str">
        <f>IFERROR(__xludf.DUMMYFUNCTION("""COMPUTED_VALUE"""),"Sieg Ballelos")</f>
        <v>Sieg Ballelos</v>
      </c>
      <c r="W1539" s="1" t="str">
        <f>IFERROR(__xludf.DUMMYFUNCTION("""COMPUTED_VALUE"""),"Core Product Support Escalation Team")</f>
        <v>Core Product Support Escalation Team</v>
      </c>
    </row>
    <row r="1540">
      <c r="O1540" s="1" t="str">
        <f>IFERROR(__xludf.DUMMYFUNCTION("""COMPUTED_VALUE"""),"2025 Nov")</f>
        <v>2025 Nov</v>
      </c>
      <c r="P1540" s="1" t="str">
        <f>IFERROR(__xludf.DUMMYFUNCTION("""COMPUTED_VALUE"""),"Core Product Support")</f>
        <v>Core Product Support</v>
      </c>
      <c r="Q1540" s="1" t="str">
        <f>IFERROR(__xludf.DUMMYFUNCTION("""COMPUTED_VALUE"""),"jen@canva.com")</f>
        <v>jen@canva.com</v>
      </c>
      <c r="R1540" s="1" t="str">
        <f>IFERROR(__xludf.DUMMYFUNCTION("""COMPUTED_VALUE"""),"Jenber Teves")</f>
        <v>Jenber Teves</v>
      </c>
      <c r="S1540" s="1">
        <f>IFERROR(__xludf.DUMMYFUNCTION("""COMPUTED_VALUE"""),1.5)</f>
        <v>1.5</v>
      </c>
      <c r="T1540" s="1">
        <f>IFERROR(__xludf.DUMMYFUNCTION("""COMPUTED_VALUE"""),7.52)</f>
        <v>7.52</v>
      </c>
      <c r="U1540" s="2">
        <f>IFERROR(__xludf.DUMMYFUNCTION("""COMPUTED_VALUE"""),9.02)</f>
        <v>9.02</v>
      </c>
      <c r="V1540" s="1" t="str">
        <f>IFERROR(__xludf.DUMMYFUNCTION("""COMPUTED_VALUE"""),"Ellaine Estayo")</f>
        <v>Ellaine Estayo</v>
      </c>
      <c r="W1540" s="1" t="str">
        <f>IFERROR(__xludf.DUMMYFUNCTION("""COMPUTED_VALUE"""),"Core Product Support Escalation Team")</f>
        <v>Core Product Support Escalation Team</v>
      </c>
    </row>
    <row r="1541">
      <c r="O1541" s="1" t="str">
        <f>IFERROR(__xludf.DUMMYFUNCTION("""COMPUTED_VALUE"""),"2025 Nov")</f>
        <v>2025 Nov</v>
      </c>
      <c r="P1541" s="1" t="str">
        <f>IFERROR(__xludf.DUMMYFUNCTION("""COMPUTED_VALUE"""),"#N/A")</f>
        <v>#N/A</v>
      </c>
      <c r="Q1541" s="1" t="str">
        <f>IFERROR(__xludf.DUMMYFUNCTION("""COMPUTED_VALUE"""),"jerica@canva.com")</f>
        <v>jerica@canva.com</v>
      </c>
      <c r="R1541" s="1" t="str">
        <f>IFERROR(__xludf.DUMMYFUNCTION("""COMPUTED_VALUE"""),"Jerica Tan")</f>
        <v>Jerica Tan</v>
      </c>
      <c r="S1541" s="1">
        <f>IFERROR(__xludf.DUMMYFUNCTION("""COMPUTED_VALUE"""),10.48)</f>
        <v>10.48</v>
      </c>
      <c r="T1541" s="1">
        <f>IFERROR(__xludf.DUMMYFUNCTION("""COMPUTED_VALUE"""),8.2)</f>
        <v>8.2</v>
      </c>
      <c r="U1541" s="2">
        <f>IFERROR(__xludf.DUMMYFUNCTION("""COMPUTED_VALUE"""),18.68)</f>
        <v>18.68</v>
      </c>
      <c r="V1541" s="1" t="str">
        <f>IFERROR(__xludf.DUMMYFUNCTION("""COMPUTED_VALUE"""),"#N/A")</f>
        <v>#N/A</v>
      </c>
      <c r="W1541" s="1" t="str">
        <f>IFERROR(__xludf.DUMMYFUNCTION("""COMPUTED_VALUE"""),"High Sensitivity Support PH")</f>
        <v>High Sensitivity Support PH</v>
      </c>
    </row>
    <row r="1542">
      <c r="O1542" s="1" t="str">
        <f>IFERROR(__xludf.DUMMYFUNCTION("""COMPUTED_VALUE"""),"2025 Nov")</f>
        <v>2025 Nov</v>
      </c>
      <c r="P1542" s="1" t="str">
        <f>IFERROR(__xludf.DUMMYFUNCTION("""COMPUTED_VALUE"""),"Print Support")</f>
        <v>Print Support</v>
      </c>
      <c r="Q1542" s="1" t="str">
        <f>IFERROR(__xludf.DUMMYFUNCTION("""COMPUTED_VALUE"""),"jesicamari@canva.com")</f>
        <v>jesicamari@canva.com</v>
      </c>
      <c r="R1542" s="1" t="str">
        <f>IFERROR(__xludf.DUMMYFUNCTION("""COMPUTED_VALUE"""),"Jesica Laureola")</f>
        <v>Jesica Laureola</v>
      </c>
      <c r="S1542" s="1"/>
      <c r="T1542" s="1">
        <f>IFERROR(__xludf.DUMMYFUNCTION("""COMPUTED_VALUE"""),2.25)</f>
        <v>2.25</v>
      </c>
      <c r="U1542" s="2">
        <f>IFERROR(__xludf.DUMMYFUNCTION("""COMPUTED_VALUE"""),2.25)</f>
        <v>2.25</v>
      </c>
      <c r="V1542" s="1" t="str">
        <f>IFERROR(__xludf.DUMMYFUNCTION("""COMPUTED_VALUE"""),"Rei De Jesus")</f>
        <v>Rei De Jesus</v>
      </c>
      <c r="W1542" s="1" t="str">
        <f>IFERROR(__xludf.DUMMYFUNCTION("""COMPUTED_VALUE"""),"Print Design Support")</f>
        <v>Print Design Support</v>
      </c>
    </row>
    <row r="1543">
      <c r="O1543" s="1" t="str">
        <f>IFERROR(__xludf.DUMMYFUNCTION("""COMPUTED_VALUE"""),"2025 Nov")</f>
        <v>2025 Nov</v>
      </c>
      <c r="P1543" s="1" t="str">
        <f>IFERROR(__xludf.DUMMYFUNCTION("""COMPUTED_VALUE"""),"Core Product Support")</f>
        <v>Core Product Support</v>
      </c>
      <c r="Q1543" s="1" t="str">
        <f>IFERROR(__xludf.DUMMYFUNCTION("""COMPUTED_VALUE"""),"jbrizuela@canva.com")</f>
        <v>jbrizuela@canva.com</v>
      </c>
      <c r="R1543" s="1" t="str">
        <f>IFERROR(__xludf.DUMMYFUNCTION("""COMPUTED_VALUE"""),"Jessa Brizuela")</f>
        <v>Jessa Brizuela</v>
      </c>
      <c r="S1543" s="1">
        <f>IFERROR(__xludf.DUMMYFUNCTION("""COMPUTED_VALUE"""),1.0)</f>
        <v>1</v>
      </c>
      <c r="T1543" s="1">
        <f>IFERROR(__xludf.DUMMYFUNCTION("""COMPUTED_VALUE"""),1.75)</f>
        <v>1.75</v>
      </c>
      <c r="U1543" s="2">
        <f>IFERROR(__xludf.DUMMYFUNCTION("""COMPUTED_VALUE"""),2.75)</f>
        <v>2.75</v>
      </c>
      <c r="V1543" s="1" t="str">
        <f>IFERROR(__xludf.DUMMYFUNCTION("""COMPUTED_VALUE"""),"Renette Bok")</f>
        <v>Renette Bok</v>
      </c>
      <c r="W1543" s="1" t="str">
        <f>IFERROR(__xludf.DUMMYFUNCTION("""COMPUTED_VALUE"""),"Advanced Billing &amp; Subscriptions")</f>
        <v>Advanced Billing &amp; Subscriptions</v>
      </c>
    </row>
    <row r="1544">
      <c r="O1544" s="1" t="str">
        <f>IFERROR(__xludf.DUMMYFUNCTION("""COMPUTED_VALUE"""),"2025 Nov")</f>
        <v>2025 Nov</v>
      </c>
      <c r="P1544" s="1" t="str">
        <f>IFERROR(__xludf.DUMMYFUNCTION("""COMPUTED_VALUE"""),"Core Product Support")</f>
        <v>Core Product Support</v>
      </c>
      <c r="Q1544" s="1" t="str">
        <f>IFERROR(__xludf.DUMMYFUNCTION("""COMPUTED_VALUE"""),"jian@canva.com")</f>
        <v>jian@canva.com</v>
      </c>
      <c r="R1544" s="1" t="str">
        <f>IFERROR(__xludf.DUMMYFUNCTION("""COMPUTED_VALUE"""),"Jian Paula Inocencio")</f>
        <v>Jian Paula Inocencio</v>
      </c>
      <c r="S1544" s="1">
        <f>IFERROR(__xludf.DUMMYFUNCTION("""COMPUTED_VALUE"""),0.42)</f>
        <v>0.42</v>
      </c>
      <c r="T1544" s="1">
        <f>IFERROR(__xludf.DUMMYFUNCTION("""COMPUTED_VALUE"""),1.0)</f>
        <v>1</v>
      </c>
      <c r="U1544" s="2">
        <f>IFERROR(__xludf.DUMMYFUNCTION("""COMPUTED_VALUE"""),1.42)</f>
        <v>1.42</v>
      </c>
      <c r="V1544" s="1" t="str">
        <f>IFERROR(__xludf.DUMMYFUNCTION("""COMPUTED_VALUE"""),"Vinz Lazaro")</f>
        <v>Vinz Lazaro</v>
      </c>
      <c r="W1544" s="1" t="str">
        <f>IFERROR(__xludf.DUMMYFUNCTION("""COMPUTED_VALUE"""),"Advanced Product Support")</f>
        <v>Advanced Product Support</v>
      </c>
    </row>
    <row r="1545">
      <c r="O1545" s="1" t="str">
        <f>IFERROR(__xludf.DUMMYFUNCTION("""COMPUTED_VALUE"""),"2025 Nov")</f>
        <v>2025 Nov</v>
      </c>
      <c r="P1545" s="1" t="str">
        <f>IFERROR(__xludf.DUMMYFUNCTION("""COMPUTED_VALUE"""),"Core Product Support")</f>
        <v>Core Product Support</v>
      </c>
      <c r="Q1545" s="1" t="str">
        <f>IFERROR(__xludf.DUMMYFUNCTION("""COMPUTED_VALUE"""),"jilll@canva.com")</f>
        <v>jilll@canva.com</v>
      </c>
      <c r="R1545" s="1" t="str">
        <f>IFERROR(__xludf.DUMMYFUNCTION("""COMPUTED_VALUE"""),"Jill Linco")</f>
        <v>Jill Linco</v>
      </c>
      <c r="S1545" s="1">
        <f>IFERROR(__xludf.DUMMYFUNCTION("""COMPUTED_VALUE"""),0.5)</f>
        <v>0.5</v>
      </c>
      <c r="T1545" s="1">
        <f>IFERROR(__xludf.DUMMYFUNCTION("""COMPUTED_VALUE"""),4.75)</f>
        <v>4.75</v>
      </c>
      <c r="U1545" s="2">
        <f>IFERROR(__xludf.DUMMYFUNCTION("""COMPUTED_VALUE"""),5.25)</f>
        <v>5.25</v>
      </c>
      <c r="V1545" s="1" t="str">
        <f>IFERROR(__xludf.DUMMYFUNCTION("""COMPUTED_VALUE"""),"Cate Velasco")</f>
        <v>Cate Velasco</v>
      </c>
      <c r="W1545" s="1" t="str">
        <f>IFERROR(__xludf.DUMMYFUNCTION("""COMPUTED_VALUE"""),"Advanced Product Support")</f>
        <v>Advanced Product Support</v>
      </c>
    </row>
    <row r="1546">
      <c r="O1546" s="1" t="str">
        <f>IFERROR(__xludf.DUMMYFUNCTION("""COMPUTED_VALUE"""),"2025 Nov")</f>
        <v>2025 Nov</v>
      </c>
      <c r="P1546" s="1" t="str">
        <f>IFERROR(__xludf.DUMMYFUNCTION("""COMPUTED_VALUE"""),"Segment-specific Support")</f>
        <v>Segment-specific Support</v>
      </c>
      <c r="Q1546" s="1" t="str">
        <f>IFERROR(__xludf.DUMMYFUNCTION("""COMPUTED_VALUE"""),"jillann@canva.com")</f>
        <v>jillann@canva.com</v>
      </c>
      <c r="R1546" s="1" t="str">
        <f>IFERROR(__xludf.DUMMYFUNCTION("""COMPUTED_VALUE"""),"Jill-Ann Reducindo")</f>
        <v>Jill-Ann Reducindo</v>
      </c>
      <c r="S1546" s="1"/>
      <c r="T1546" s="1">
        <f>IFERROR(__xludf.DUMMYFUNCTION("""COMPUTED_VALUE"""),2.33)</f>
        <v>2.33</v>
      </c>
      <c r="U1546" s="2">
        <f>IFERROR(__xludf.DUMMYFUNCTION("""COMPUTED_VALUE"""),2.33)</f>
        <v>2.33</v>
      </c>
      <c r="V1546" s="1" t="str">
        <f>IFERROR(__xludf.DUMMYFUNCTION("""COMPUTED_VALUE"""),"Rose Gabilan")</f>
        <v>Rose Gabilan</v>
      </c>
      <c r="W1546" s="1" t="str">
        <f>IFERROR(__xludf.DUMMYFUNCTION("""COMPUTED_VALUE"""),"Affinity Support")</f>
        <v>Affinity Support</v>
      </c>
    </row>
    <row r="1547">
      <c r="O1547" s="1" t="str">
        <f>IFERROR(__xludf.DUMMYFUNCTION("""COMPUTED_VALUE"""),"2025 Nov")</f>
        <v>2025 Nov</v>
      </c>
      <c r="P1547" s="1" t="str">
        <f>IFERROR(__xludf.DUMMYFUNCTION("""COMPUTED_VALUE"""),"Core Product Support")</f>
        <v>Core Product Support</v>
      </c>
      <c r="Q1547" s="1" t="str">
        <f>IFERROR(__xludf.DUMMYFUNCTION("""COMPUTED_VALUE"""),"jmfrial@canva.com")</f>
        <v>jmfrial@canva.com</v>
      </c>
      <c r="R1547" s="1" t="str">
        <f>IFERROR(__xludf.DUMMYFUNCTION("""COMPUTED_VALUE"""),"JM Frial")</f>
        <v>JM Frial</v>
      </c>
      <c r="S1547" s="1">
        <f>IFERROR(__xludf.DUMMYFUNCTION("""COMPUTED_VALUE"""),0.75)</f>
        <v>0.75</v>
      </c>
      <c r="T1547" s="1">
        <f>IFERROR(__xludf.DUMMYFUNCTION("""COMPUTED_VALUE"""),17.98)</f>
        <v>17.98</v>
      </c>
      <c r="U1547" s="2">
        <f>IFERROR(__xludf.DUMMYFUNCTION("""COMPUTED_VALUE"""),18.73)</f>
        <v>18.73</v>
      </c>
      <c r="V1547" s="1" t="str">
        <f>IFERROR(__xludf.DUMMYFUNCTION("""COMPUTED_VALUE"""),"Sieg Ballelos")</f>
        <v>Sieg Ballelos</v>
      </c>
      <c r="W1547" s="1" t="str">
        <f>IFERROR(__xludf.DUMMYFUNCTION("""COMPUTED_VALUE"""),"Core Product Support Escalation Team")</f>
        <v>Core Product Support Escalation Team</v>
      </c>
    </row>
    <row r="1548">
      <c r="O1548" s="1" t="str">
        <f>IFERROR(__xludf.DUMMYFUNCTION("""COMPUTED_VALUE"""),"2025 Nov")</f>
        <v>2025 Nov</v>
      </c>
      <c r="P1548" s="1" t="str">
        <f>IFERROR(__xludf.DUMMYFUNCTION("""COMPUTED_VALUE"""),"Core Product Support")</f>
        <v>Core Product Support</v>
      </c>
      <c r="Q1548" s="1" t="str">
        <f>IFERROR(__xludf.DUMMYFUNCTION("""COMPUTED_VALUE"""),"jmpascual@canva.com")</f>
        <v>jmpascual@canva.com</v>
      </c>
      <c r="R1548" s="1" t="str">
        <f>IFERROR(__xludf.DUMMYFUNCTION("""COMPUTED_VALUE"""),"JM Pascual")</f>
        <v>JM Pascual</v>
      </c>
      <c r="S1548" s="1">
        <f>IFERROR(__xludf.DUMMYFUNCTION("""COMPUTED_VALUE"""),0.5)</f>
        <v>0.5</v>
      </c>
      <c r="T1548" s="1">
        <f>IFERROR(__xludf.DUMMYFUNCTION("""COMPUTED_VALUE"""),1.75)</f>
        <v>1.75</v>
      </c>
      <c r="U1548" s="2">
        <f>IFERROR(__xludf.DUMMYFUNCTION("""COMPUTED_VALUE"""),2.25)</f>
        <v>2.25</v>
      </c>
      <c r="V1548" s="1" t="str">
        <f>IFERROR(__xludf.DUMMYFUNCTION("""COMPUTED_VALUE"""),"Belle Bentazal")</f>
        <v>Belle Bentazal</v>
      </c>
      <c r="W1548" s="1" t="str">
        <f>IFERROR(__xludf.DUMMYFUNCTION("""COMPUTED_VALUE"""),"Advanced Product Support")</f>
        <v>Advanced Product Support</v>
      </c>
    </row>
    <row r="1549">
      <c r="O1549" s="1" t="str">
        <f>IFERROR(__xludf.DUMMYFUNCTION("""COMPUTED_VALUE"""),"2025 Nov")</f>
        <v>2025 Nov</v>
      </c>
      <c r="P1549" s="1" t="str">
        <f>IFERROR(__xludf.DUMMYFUNCTION("""COMPUTED_VALUE"""),"Print Support")</f>
        <v>Print Support</v>
      </c>
      <c r="Q1549" s="1" t="str">
        <f>IFERROR(__xludf.DUMMYFUNCTION("""COMPUTED_VALUE"""),"joanmyle@canva.com")</f>
        <v>joanmyle@canva.com</v>
      </c>
      <c r="R1549" s="1" t="str">
        <f>IFERROR(__xludf.DUMMYFUNCTION("""COMPUTED_VALUE"""),"Joan Myle Dapog")</f>
        <v>Joan Myle Dapog</v>
      </c>
      <c r="S1549" s="1"/>
      <c r="T1549" s="1">
        <f>IFERROR(__xludf.DUMMYFUNCTION("""COMPUTED_VALUE"""),6.42)</f>
        <v>6.42</v>
      </c>
      <c r="U1549" s="2">
        <f>IFERROR(__xludf.DUMMYFUNCTION("""COMPUTED_VALUE"""),6.42)</f>
        <v>6.42</v>
      </c>
      <c r="V1549" s="1" t="str">
        <f>IFERROR(__xludf.DUMMYFUNCTION("""COMPUTED_VALUE"""),"Jen Momo")</f>
        <v>Jen Momo</v>
      </c>
      <c r="W1549" s="1" t="str">
        <f>IFERROR(__xludf.DUMMYFUNCTION("""COMPUTED_VALUE"""),"Print Support PH")</f>
        <v>Print Support PH</v>
      </c>
    </row>
    <row r="1550">
      <c r="O1550" s="1" t="str">
        <f>IFERROR(__xludf.DUMMYFUNCTION("""COMPUTED_VALUE"""),"2025 Nov")</f>
        <v>2025 Nov</v>
      </c>
      <c r="P1550" s="1" t="str">
        <f>IFERROR(__xludf.DUMMYFUNCTION("""COMPUTED_VALUE"""),"Print Support")</f>
        <v>Print Support</v>
      </c>
      <c r="Q1550" s="1" t="str">
        <f>IFERROR(__xludf.DUMMYFUNCTION("""COMPUTED_VALUE"""),"jmbeldua@canva.com")</f>
        <v>jmbeldua@canva.com</v>
      </c>
      <c r="R1550" s="1" t="str">
        <f>IFERROR(__xludf.DUMMYFUNCTION("""COMPUTED_VALUE"""),"Joane Beldua")</f>
        <v>Joane Beldua</v>
      </c>
      <c r="S1550" s="1"/>
      <c r="T1550" s="1">
        <f>IFERROR(__xludf.DUMMYFUNCTION("""COMPUTED_VALUE"""),46.08)</f>
        <v>46.08</v>
      </c>
      <c r="U1550" s="2">
        <f>IFERROR(__xludf.DUMMYFUNCTION("""COMPUTED_VALUE"""),46.08)</f>
        <v>46.08</v>
      </c>
      <c r="V1550" s="1" t="str">
        <f>IFERROR(__xludf.DUMMYFUNCTION("""COMPUTED_VALUE"""),"Louise Dianne Estrella")</f>
        <v>Louise Dianne Estrella</v>
      </c>
      <c r="W1550" s="1" t="str">
        <f>IFERROR(__xludf.DUMMYFUNCTION("""COMPUTED_VALUE"""),"Print Support PH")</f>
        <v>Print Support PH</v>
      </c>
    </row>
    <row r="1551">
      <c r="O1551" s="1" t="str">
        <f>IFERROR(__xludf.DUMMYFUNCTION("""COMPUTED_VALUE"""),"2025 Nov")</f>
        <v>2025 Nov</v>
      </c>
      <c r="P1551" s="1" t="str">
        <f>IFERROR(__xludf.DUMMYFUNCTION("""COMPUTED_VALUE"""),"Multilingual Support")</f>
        <v>Multilingual Support</v>
      </c>
      <c r="Q1551" s="1" t="str">
        <f>IFERROR(__xludf.DUMMYFUNCTION("""COMPUTED_VALUE"""),"joaqdivino@canva.com")</f>
        <v>joaqdivino@canva.com</v>
      </c>
      <c r="R1551" s="1" t="str">
        <f>IFERROR(__xludf.DUMMYFUNCTION("""COMPUTED_VALUE"""),"Joaquin Divino")</f>
        <v>Joaquin Divino</v>
      </c>
      <c r="S1551" s="1"/>
      <c r="T1551" s="1">
        <f>IFERROR(__xludf.DUMMYFUNCTION("""COMPUTED_VALUE"""),1.75)</f>
        <v>1.75</v>
      </c>
      <c r="U1551" s="2">
        <f>IFERROR(__xludf.DUMMYFUNCTION("""COMPUTED_VALUE"""),1.75)</f>
        <v>1.75</v>
      </c>
      <c r="V1551" s="1" t="str">
        <f>IFERROR(__xludf.DUMMYFUNCTION("""COMPUTED_VALUE"""),"Arlene Maurillo")</f>
        <v>Arlene Maurillo</v>
      </c>
      <c r="W1551" s="1" t="str">
        <f>IFERROR(__xludf.DUMMYFUNCTION("""COMPUTED_VALUE"""),"PHL, Multilingual Support")</f>
        <v>PHL, Multilingual Support</v>
      </c>
    </row>
    <row r="1552">
      <c r="O1552" s="1" t="str">
        <f>IFERROR(__xludf.DUMMYFUNCTION("""COMPUTED_VALUE"""),"2025 Nov")</f>
        <v>2025 Nov</v>
      </c>
      <c r="P1552" s="1" t="str">
        <f>IFERROR(__xludf.DUMMYFUNCTION("""COMPUTED_VALUE"""),"Core Product Support")</f>
        <v>Core Product Support</v>
      </c>
      <c r="Q1552" s="1" t="str">
        <f>IFERROR(__xludf.DUMMYFUNCTION("""COMPUTED_VALUE"""),"jocelynng@canva.com")</f>
        <v>jocelynng@canva.com</v>
      </c>
      <c r="R1552" s="1" t="str">
        <f>IFERROR(__xludf.DUMMYFUNCTION("""COMPUTED_VALUE"""),"Jocelyn Ng")</f>
        <v>Jocelyn Ng</v>
      </c>
      <c r="S1552" s="1">
        <f>IFERROR(__xludf.DUMMYFUNCTION("""COMPUTED_VALUE"""),0.92)</f>
        <v>0.92</v>
      </c>
      <c r="T1552" s="1">
        <f>IFERROR(__xludf.DUMMYFUNCTION("""COMPUTED_VALUE"""),11.0)</f>
        <v>11</v>
      </c>
      <c r="U1552" s="2">
        <f>IFERROR(__xludf.DUMMYFUNCTION("""COMPUTED_VALUE"""),11.92)</f>
        <v>11.92</v>
      </c>
      <c r="V1552" s="1" t="str">
        <f>IFERROR(__xludf.DUMMYFUNCTION("""COMPUTED_VALUE"""),"Sieg Ballelos")</f>
        <v>Sieg Ballelos</v>
      </c>
      <c r="W1552" s="1" t="str">
        <f>IFERROR(__xludf.DUMMYFUNCTION("""COMPUTED_VALUE"""),"Core Product Support Escalation Team")</f>
        <v>Core Product Support Escalation Team</v>
      </c>
    </row>
    <row r="1553">
      <c r="O1553" s="1" t="str">
        <f>IFERROR(__xludf.DUMMYFUNCTION("""COMPUTED_VALUE"""),"2025 Nov")</f>
        <v>2025 Nov</v>
      </c>
      <c r="P1553" s="1" t="str">
        <f>IFERROR(__xludf.DUMMYFUNCTION("""COMPUTED_VALUE"""),"Admin Support")</f>
        <v>Admin Support</v>
      </c>
      <c r="Q1553" s="1" t="str">
        <f>IFERROR(__xludf.DUMMYFUNCTION("""COMPUTED_VALUE"""),"cee@canva.com")</f>
        <v>cee@canva.com</v>
      </c>
      <c r="R1553" s="1" t="str">
        <f>IFERROR(__xludf.DUMMYFUNCTION("""COMPUTED_VALUE"""),"John Carlo Gonzales")</f>
        <v>John Carlo Gonzales</v>
      </c>
      <c r="S1553" s="1"/>
      <c r="T1553" s="1">
        <f>IFERROR(__xludf.DUMMYFUNCTION("""COMPUTED_VALUE"""),24.58)</f>
        <v>24.58</v>
      </c>
      <c r="U1553" s="2">
        <f>IFERROR(__xludf.DUMMYFUNCTION("""COMPUTED_VALUE"""),24.58)</f>
        <v>24.58</v>
      </c>
      <c r="V1553" s="1" t="str">
        <f>IFERROR(__xludf.DUMMYFUNCTION("""COMPUTED_VALUE"""),"AL Suarez")</f>
        <v>AL Suarez</v>
      </c>
      <c r="W1553" s="1" t="str">
        <f>IFERROR(__xludf.DUMMYFUNCTION("""COMPUTED_VALUE"""),"Admin Direct Support")</f>
        <v>Admin Direct Support</v>
      </c>
    </row>
    <row r="1554">
      <c r="O1554" s="1" t="str">
        <f>IFERROR(__xludf.DUMMYFUNCTION("""COMPUTED_VALUE"""),"2025 Nov")</f>
        <v>2025 Nov</v>
      </c>
      <c r="P1554" s="1" t="str">
        <f>IFERROR(__xludf.DUMMYFUNCTION("""COMPUTED_VALUE"""),"Core Product Support")</f>
        <v>Core Product Support</v>
      </c>
      <c r="Q1554" s="1" t="str">
        <f>IFERROR(__xludf.DUMMYFUNCTION("""COMPUTED_VALUE"""),"khael@canva.com")</f>
        <v>khael@canva.com</v>
      </c>
      <c r="R1554" s="1" t="str">
        <f>IFERROR(__xludf.DUMMYFUNCTION("""COMPUTED_VALUE"""),"John Pieda")</f>
        <v>John Pieda</v>
      </c>
      <c r="S1554" s="1">
        <f>IFERROR(__xludf.DUMMYFUNCTION("""COMPUTED_VALUE"""),0.5)</f>
        <v>0.5</v>
      </c>
      <c r="T1554" s="1">
        <f>IFERROR(__xludf.DUMMYFUNCTION("""COMPUTED_VALUE"""),1.75)</f>
        <v>1.75</v>
      </c>
      <c r="U1554" s="2">
        <f>IFERROR(__xludf.DUMMYFUNCTION("""COMPUTED_VALUE"""),2.25)</f>
        <v>2.25</v>
      </c>
      <c r="V1554" s="1" t="str">
        <f>IFERROR(__xludf.DUMMYFUNCTION("""COMPUTED_VALUE"""),"Ayza Marie Pascual")</f>
        <v>Ayza Marie Pascual</v>
      </c>
      <c r="W1554" s="1" t="str">
        <f>IFERROR(__xludf.DUMMYFUNCTION("""COMPUTED_VALUE"""),"Advanced Billing &amp; Subscriptions")</f>
        <v>Advanced Billing &amp; Subscriptions</v>
      </c>
    </row>
    <row r="1555">
      <c r="O1555" s="1" t="str">
        <f>IFERROR(__xludf.DUMMYFUNCTION("""COMPUTED_VALUE"""),"2025 Nov")</f>
        <v>2025 Nov</v>
      </c>
      <c r="P1555" s="1" t="str">
        <f>IFERROR(__xludf.DUMMYFUNCTION("""COMPUTED_VALUE"""),"Core Product Support")</f>
        <v>Core Product Support</v>
      </c>
      <c r="Q1555" s="1" t="str">
        <f>IFERROR(__xludf.DUMMYFUNCTION("""COMPUTED_VALUE"""),"jonahezra@canva.com")</f>
        <v>jonahezra@canva.com</v>
      </c>
      <c r="R1555" s="1" t="str">
        <f>IFERROR(__xludf.DUMMYFUNCTION("""COMPUTED_VALUE"""),"Jonah Ezra Vergara")</f>
        <v>Jonah Ezra Vergara</v>
      </c>
      <c r="S1555" s="1">
        <f>IFERROR(__xludf.DUMMYFUNCTION("""COMPUTED_VALUE"""),1.5)</f>
        <v>1.5</v>
      </c>
      <c r="T1555" s="1">
        <f>IFERROR(__xludf.DUMMYFUNCTION("""COMPUTED_VALUE"""),11.42)</f>
        <v>11.42</v>
      </c>
      <c r="U1555" s="2">
        <f>IFERROR(__xludf.DUMMYFUNCTION("""COMPUTED_VALUE"""),12.92)</f>
        <v>12.92</v>
      </c>
      <c r="V1555" s="1" t="str">
        <f>IFERROR(__xludf.DUMMYFUNCTION("""COMPUTED_VALUE"""),"Ellaine Estayo")</f>
        <v>Ellaine Estayo</v>
      </c>
      <c r="W1555" s="1" t="str">
        <f>IFERROR(__xludf.DUMMYFUNCTION("""COMPUTED_VALUE"""),"Core Product Support Escalation Team")</f>
        <v>Core Product Support Escalation Team</v>
      </c>
    </row>
    <row r="1556">
      <c r="O1556" s="1" t="str">
        <f>IFERROR(__xludf.DUMMYFUNCTION("""COMPUTED_VALUE"""),"2025 Nov")</f>
        <v>2025 Nov</v>
      </c>
      <c r="P1556" s="1" t="str">
        <f>IFERROR(__xludf.DUMMYFUNCTION("""COMPUTED_VALUE"""),"Core Product Support")</f>
        <v>Core Product Support</v>
      </c>
      <c r="Q1556" s="1" t="str">
        <f>IFERROR(__xludf.DUMMYFUNCTION("""COMPUTED_VALUE"""),"cjopphet@canva.com")</f>
        <v>cjopphet@canva.com</v>
      </c>
      <c r="R1556" s="1" t="str">
        <f>IFERROR(__xludf.DUMMYFUNCTION("""COMPUTED_VALUE"""),"Jopphet Villafuerte")</f>
        <v>Jopphet Villafuerte</v>
      </c>
      <c r="S1556" s="1">
        <f>IFERROR(__xludf.DUMMYFUNCTION("""COMPUTED_VALUE"""),0.5)</f>
        <v>0.5</v>
      </c>
      <c r="T1556" s="1">
        <f>IFERROR(__xludf.DUMMYFUNCTION("""COMPUTED_VALUE"""),3.75)</f>
        <v>3.75</v>
      </c>
      <c r="U1556" s="2">
        <f>IFERROR(__xludf.DUMMYFUNCTION("""COMPUTED_VALUE"""),4.25)</f>
        <v>4.25</v>
      </c>
      <c r="V1556" s="1" t="str">
        <f>IFERROR(__xludf.DUMMYFUNCTION("""COMPUTED_VALUE"""),"Ayza Marie Pascual")</f>
        <v>Ayza Marie Pascual</v>
      </c>
      <c r="W1556" s="1" t="str">
        <f>IFERROR(__xludf.DUMMYFUNCTION("""COMPUTED_VALUE"""),"Advanced Billing &amp; Subscriptions")</f>
        <v>Advanced Billing &amp; Subscriptions</v>
      </c>
    </row>
    <row r="1557">
      <c r="O1557" s="1" t="str">
        <f>IFERROR(__xludf.DUMMYFUNCTION("""COMPUTED_VALUE"""),"2025 Nov")</f>
        <v>2025 Nov</v>
      </c>
      <c r="P1557" s="1" t="str">
        <f>IFERROR(__xludf.DUMMYFUNCTION("""COMPUTED_VALUE"""),"Segment-specific Support")</f>
        <v>Segment-specific Support</v>
      </c>
      <c r="Q1557" s="1" t="str">
        <f>IFERROR(__xludf.DUMMYFUNCTION("""COMPUTED_VALUE"""),"jorell@canva.com")</f>
        <v>jorell@canva.com</v>
      </c>
      <c r="R1557" s="1" t="str">
        <f>IFERROR(__xludf.DUMMYFUNCTION("""COMPUTED_VALUE"""),"Jorell Bollozos")</f>
        <v>Jorell Bollozos</v>
      </c>
      <c r="S1557" s="1"/>
      <c r="T1557" s="1">
        <f>IFERROR(__xludf.DUMMYFUNCTION("""COMPUTED_VALUE"""),41.75)</f>
        <v>41.75</v>
      </c>
      <c r="U1557" s="2">
        <f>IFERROR(__xludf.DUMMYFUNCTION("""COMPUTED_VALUE"""),41.75)</f>
        <v>41.75</v>
      </c>
      <c r="V1557" s="1" t="str">
        <f>IFERROR(__xludf.DUMMYFUNCTION("""COMPUTED_VALUE"""),"Gucci Nava")</f>
        <v>Gucci Nava</v>
      </c>
      <c r="W1557" s="1" t="str">
        <f>IFERROR(__xludf.DUMMYFUNCTION("""COMPUTED_VALUE"""),"Print Support PH")</f>
        <v>Print Support PH</v>
      </c>
    </row>
    <row r="1558">
      <c r="O1558" s="1" t="str">
        <f>IFERROR(__xludf.DUMMYFUNCTION("""COMPUTED_VALUE"""),"2025 Nov")</f>
        <v>2025 Nov</v>
      </c>
      <c r="P1558" s="1" t="str">
        <f>IFERROR(__xludf.DUMMYFUNCTION("""COMPUTED_VALUE"""),"Core Product Support")</f>
        <v>Core Product Support</v>
      </c>
      <c r="Q1558" s="1" t="str">
        <f>IFERROR(__xludf.DUMMYFUNCTION("""COMPUTED_VALUE"""),"josab@canva.com")</f>
        <v>josab@canva.com</v>
      </c>
      <c r="R1558" s="1" t="str">
        <f>IFERROR(__xludf.DUMMYFUNCTION("""COMPUTED_VALUE"""),"Josa Bernardino")</f>
        <v>Josa Bernardino</v>
      </c>
      <c r="S1558" s="1">
        <f>IFERROR(__xludf.DUMMYFUNCTION("""COMPUTED_VALUE"""),1.0)</f>
        <v>1</v>
      </c>
      <c r="T1558" s="1">
        <f>IFERROR(__xludf.DUMMYFUNCTION("""COMPUTED_VALUE"""),8.0)</f>
        <v>8</v>
      </c>
      <c r="U1558" s="2">
        <f>IFERROR(__xludf.DUMMYFUNCTION("""COMPUTED_VALUE"""),9.0)</f>
        <v>9</v>
      </c>
      <c r="V1558" s="1" t="str">
        <f>IFERROR(__xludf.DUMMYFUNCTION("""COMPUTED_VALUE"""),"Ellaine Estayo")</f>
        <v>Ellaine Estayo</v>
      </c>
      <c r="W1558" s="1" t="str">
        <f>IFERROR(__xludf.DUMMYFUNCTION("""COMPUTED_VALUE"""),"Core Product Support Escalation Team")</f>
        <v>Core Product Support Escalation Team</v>
      </c>
    </row>
    <row r="1559">
      <c r="O1559" s="1" t="str">
        <f>IFERROR(__xludf.DUMMYFUNCTION("""COMPUTED_VALUE"""),"2025 Nov")</f>
        <v>2025 Nov</v>
      </c>
      <c r="P1559" s="1" t="str">
        <f>IFERROR(__xludf.DUMMYFUNCTION("""COMPUTED_VALUE"""),"Print Support")</f>
        <v>Print Support</v>
      </c>
      <c r="Q1559" s="1" t="str">
        <f>IFERROR(__xludf.DUMMYFUNCTION("""COMPUTED_VALUE"""),"quin@canva.com")</f>
        <v>quin@canva.com</v>
      </c>
      <c r="R1559" s="1" t="str">
        <f>IFERROR(__xludf.DUMMYFUNCTION("""COMPUTED_VALUE"""),"Jose Antiquin")</f>
        <v>Jose Antiquin</v>
      </c>
      <c r="S1559" s="1"/>
      <c r="T1559" s="1">
        <f>IFERROR(__xludf.DUMMYFUNCTION("""COMPUTED_VALUE"""),3.75)</f>
        <v>3.75</v>
      </c>
      <c r="U1559" s="2">
        <f>IFERROR(__xludf.DUMMYFUNCTION("""COMPUTED_VALUE"""),3.75)</f>
        <v>3.75</v>
      </c>
      <c r="V1559" s="1" t="str">
        <f>IFERROR(__xludf.DUMMYFUNCTION("""COMPUTED_VALUE"""),"Jen Momo")</f>
        <v>Jen Momo</v>
      </c>
      <c r="W1559" s="1" t="str">
        <f>IFERROR(__xludf.DUMMYFUNCTION("""COMPUTED_VALUE"""),"Print Support PH")</f>
        <v>Print Support PH</v>
      </c>
    </row>
    <row r="1560">
      <c r="O1560" s="1" t="str">
        <f>IFERROR(__xludf.DUMMYFUNCTION("""COMPUTED_VALUE"""),"2025 Nov")</f>
        <v>2025 Nov</v>
      </c>
      <c r="P1560" s="1" t="str">
        <f>IFERROR(__xludf.DUMMYFUNCTION("""COMPUTED_VALUE"""),"Admin Support")</f>
        <v>Admin Support</v>
      </c>
      <c r="Q1560" s="1" t="str">
        <f>IFERROR(__xludf.DUMMYFUNCTION("""COMPUTED_VALUE"""),"joshid@canva.com")</f>
        <v>joshid@canva.com</v>
      </c>
      <c r="R1560" s="1" t="str">
        <f>IFERROR(__xludf.DUMMYFUNCTION("""COMPUTED_VALUE"""),"Joshua Dacanay")</f>
        <v>Joshua Dacanay</v>
      </c>
      <c r="S1560" s="1"/>
      <c r="T1560" s="1">
        <f>IFERROR(__xludf.DUMMYFUNCTION("""COMPUTED_VALUE"""),99.08)</f>
        <v>99.08</v>
      </c>
      <c r="U1560" s="2">
        <f>IFERROR(__xludf.DUMMYFUNCTION("""COMPUTED_VALUE"""),99.08)</f>
        <v>99.08</v>
      </c>
      <c r="V1560" s="1" t="str">
        <f>IFERROR(__xludf.DUMMYFUNCTION("""COMPUTED_VALUE"""),"AL Suarez")</f>
        <v>AL Suarez</v>
      </c>
      <c r="W1560" s="1" t="str">
        <f>IFERROR(__xludf.DUMMYFUNCTION("""COMPUTED_VALUE"""),"Admin Direct Support")</f>
        <v>Admin Direct Support</v>
      </c>
    </row>
    <row r="1561">
      <c r="O1561" s="1" t="str">
        <f>IFERROR(__xludf.DUMMYFUNCTION("""COMPUTED_VALUE"""),"2025 Nov")</f>
        <v>2025 Nov</v>
      </c>
      <c r="P1561" s="1" t="str">
        <f>IFERROR(__xludf.DUMMYFUNCTION("""COMPUTED_VALUE"""),"High Sensitivity Support")</f>
        <v>High Sensitivity Support</v>
      </c>
      <c r="Q1561" s="1" t="str">
        <f>IFERROR(__xludf.DUMMYFUNCTION("""COMPUTED_VALUE"""),"jpbasco@canva.com")</f>
        <v>jpbasco@canva.com</v>
      </c>
      <c r="R1561" s="1" t="str">
        <f>IFERROR(__xludf.DUMMYFUNCTION("""COMPUTED_VALUE"""),"JP Basco")</f>
        <v>JP Basco</v>
      </c>
      <c r="S1561" s="1">
        <f>IFERROR(__xludf.DUMMYFUNCTION("""COMPUTED_VALUE"""),9.37)</f>
        <v>9.37</v>
      </c>
      <c r="T1561" s="1">
        <f>IFERROR(__xludf.DUMMYFUNCTION("""COMPUTED_VALUE"""),2.75)</f>
        <v>2.75</v>
      </c>
      <c r="U1561" s="2">
        <f>IFERROR(__xludf.DUMMYFUNCTION("""COMPUTED_VALUE"""),12.12)</f>
        <v>12.12</v>
      </c>
      <c r="V1561" s="1" t="str">
        <f>IFERROR(__xludf.DUMMYFUNCTION("""COMPUTED_VALUE"""),"Rex Villamor")</f>
        <v>Rex Villamor</v>
      </c>
      <c r="W1561" s="1" t="str">
        <f>IFERROR(__xludf.DUMMYFUNCTION("""COMPUTED_VALUE"""),"High Sensitivity Support PH")</f>
        <v>High Sensitivity Support PH</v>
      </c>
    </row>
    <row r="1562">
      <c r="O1562" s="1" t="str">
        <f>IFERROR(__xludf.DUMMYFUNCTION("""COMPUTED_VALUE"""),"2025 Nov")</f>
        <v>2025 Nov</v>
      </c>
      <c r="P1562" s="1" t="str">
        <f>IFERROR(__xludf.DUMMYFUNCTION("""COMPUTED_VALUE"""),"Core Product Support")</f>
        <v>Core Product Support</v>
      </c>
      <c r="Q1562" s="1" t="str">
        <f>IFERROR(__xludf.DUMMYFUNCTION("""COMPUTED_VALUE"""),"mgonzalgo@canva.com")</f>
        <v>mgonzalgo@canva.com</v>
      </c>
      <c r="R1562" s="1" t="str">
        <f>IFERROR(__xludf.DUMMYFUNCTION("""COMPUTED_VALUE"""),"Juhrella Gonzalgo")</f>
        <v>Juhrella Gonzalgo</v>
      </c>
      <c r="S1562" s="1">
        <f>IFERROR(__xludf.DUMMYFUNCTION("""COMPUTED_VALUE"""),0.5)</f>
        <v>0.5</v>
      </c>
      <c r="T1562" s="1">
        <f>IFERROR(__xludf.DUMMYFUNCTION("""COMPUTED_VALUE"""),2.75)</f>
        <v>2.75</v>
      </c>
      <c r="U1562" s="2">
        <f>IFERROR(__xludf.DUMMYFUNCTION("""COMPUTED_VALUE"""),3.25)</f>
        <v>3.25</v>
      </c>
      <c r="V1562" s="1" t="str">
        <f>IFERROR(__xludf.DUMMYFUNCTION("""COMPUTED_VALUE"""),"Mikhaela Decangchon")</f>
        <v>Mikhaela Decangchon</v>
      </c>
      <c r="W1562" s="1" t="str">
        <f>IFERROR(__xludf.DUMMYFUNCTION("""COMPUTED_VALUE"""),"Advanced Product Support")</f>
        <v>Advanced Product Support</v>
      </c>
    </row>
    <row r="1563">
      <c r="O1563" s="1" t="str">
        <f>IFERROR(__xludf.DUMMYFUNCTION("""COMPUTED_VALUE"""),"2025 Nov")</f>
        <v>2025 Nov</v>
      </c>
      <c r="P1563" s="1" t="str">
        <f>IFERROR(__xludf.DUMMYFUNCTION("""COMPUTED_VALUE"""),"Admin Support")</f>
        <v>Admin Support</v>
      </c>
      <c r="Q1563" s="1" t="str">
        <f>IFERROR(__xludf.DUMMYFUNCTION("""COMPUTED_VALUE"""),"justinem@canva.com")</f>
        <v>justinem@canva.com</v>
      </c>
      <c r="R1563" s="1" t="str">
        <f>IFERROR(__xludf.DUMMYFUNCTION("""COMPUTED_VALUE"""),"Justine Valerie Meneses")</f>
        <v>Justine Valerie Meneses</v>
      </c>
      <c r="S1563" s="1"/>
      <c r="T1563" s="1">
        <f>IFERROR(__xludf.DUMMYFUNCTION("""COMPUTED_VALUE"""),22.25)</f>
        <v>22.25</v>
      </c>
      <c r="U1563" s="2">
        <f>IFERROR(__xludf.DUMMYFUNCTION("""COMPUTED_VALUE"""),22.25)</f>
        <v>22.25</v>
      </c>
      <c r="V1563" s="1" t="str">
        <f>IFERROR(__xludf.DUMMYFUNCTION("""COMPUTED_VALUE"""),"Karla Mananghaya")</f>
        <v>Karla Mananghaya</v>
      </c>
      <c r="W1563" s="1" t="str">
        <f>IFERROR(__xludf.DUMMYFUNCTION("""COMPUTED_VALUE"""),"Admin Support Service Escalation Team")</f>
        <v>Admin Support Service Escalation Team</v>
      </c>
    </row>
    <row r="1564">
      <c r="O1564" s="1" t="str">
        <f>IFERROR(__xludf.DUMMYFUNCTION("""COMPUTED_VALUE"""),"2025 Nov")</f>
        <v>2025 Nov</v>
      </c>
      <c r="P1564" s="1" t="str">
        <f>IFERROR(__xludf.DUMMYFUNCTION("""COMPUTED_VALUE"""),"Admin Support")</f>
        <v>Admin Support</v>
      </c>
      <c r="Q1564" s="1" t="str">
        <f>IFERROR(__xludf.DUMMYFUNCTION("""COMPUTED_VALUE"""),"kamilleb@canva.com")</f>
        <v>kamilleb@canva.com</v>
      </c>
      <c r="R1564" s="1" t="str">
        <f>IFERROR(__xludf.DUMMYFUNCTION("""COMPUTED_VALUE"""),"Kamille Batuyong")</f>
        <v>Kamille Batuyong</v>
      </c>
      <c r="S1564" s="1"/>
      <c r="T1564" s="1">
        <f>IFERROR(__xludf.DUMMYFUNCTION("""COMPUTED_VALUE"""),2.75)</f>
        <v>2.75</v>
      </c>
      <c r="U1564" s="2">
        <f>IFERROR(__xludf.DUMMYFUNCTION("""COMPUTED_VALUE"""),2.75)</f>
        <v>2.75</v>
      </c>
      <c r="V1564" s="1" t="str">
        <f>IFERROR(__xludf.DUMMYFUNCTION("""COMPUTED_VALUE"""),"AL Suarez")</f>
        <v>AL Suarez</v>
      </c>
      <c r="W1564" s="1" t="str">
        <f>IFERROR(__xludf.DUMMYFUNCTION("""COMPUTED_VALUE"""),"Print Support PH")</f>
        <v>Print Support PH</v>
      </c>
    </row>
    <row r="1565">
      <c r="O1565" s="1" t="str">
        <f>IFERROR(__xludf.DUMMYFUNCTION("""COMPUTED_VALUE"""),"2025 Nov")</f>
        <v>2025 Nov</v>
      </c>
      <c r="P1565" s="1" t="str">
        <f>IFERROR(__xludf.DUMMYFUNCTION("""COMPUTED_VALUE"""),"Core Product Support")</f>
        <v>Core Product Support</v>
      </c>
      <c r="Q1565" s="1" t="str">
        <f>IFERROR(__xludf.DUMMYFUNCTION("""COMPUTED_VALUE"""),"katcee@canva.com")</f>
        <v>katcee@canva.com</v>
      </c>
      <c r="R1565" s="1" t="str">
        <f>IFERROR(__xludf.DUMMYFUNCTION("""COMPUTED_VALUE"""),"Katrin Cebedo")</f>
        <v>Katrin Cebedo</v>
      </c>
      <c r="S1565" s="1">
        <f>IFERROR(__xludf.DUMMYFUNCTION("""COMPUTED_VALUE"""),1.0)</f>
        <v>1</v>
      </c>
      <c r="T1565" s="1">
        <f>IFERROR(__xludf.DUMMYFUNCTION("""COMPUTED_VALUE"""),4.0)</f>
        <v>4</v>
      </c>
      <c r="U1565" s="2">
        <f>IFERROR(__xludf.DUMMYFUNCTION("""COMPUTED_VALUE"""),5.0)</f>
        <v>5</v>
      </c>
      <c r="V1565" s="1" t="str">
        <f>IFERROR(__xludf.DUMMYFUNCTION("""COMPUTED_VALUE"""),"Ayza Marie Pascual")</f>
        <v>Ayza Marie Pascual</v>
      </c>
      <c r="W1565" s="1" t="str">
        <f>IFERROR(__xludf.DUMMYFUNCTION("""COMPUTED_VALUE"""),"Advanced Billing &amp; Subscriptions")</f>
        <v>Advanced Billing &amp; Subscriptions</v>
      </c>
    </row>
    <row r="1566">
      <c r="O1566" s="1" t="str">
        <f>IFERROR(__xludf.DUMMYFUNCTION("""COMPUTED_VALUE"""),"2025 Nov")</f>
        <v>2025 Nov</v>
      </c>
      <c r="P1566" s="1" t="str">
        <f>IFERROR(__xludf.DUMMYFUNCTION("""COMPUTED_VALUE"""),"Print Support")</f>
        <v>Print Support</v>
      </c>
      <c r="Q1566" s="1" t="str">
        <f>IFERROR(__xludf.DUMMYFUNCTION("""COMPUTED_VALUE"""),"katejoya@canva.com")</f>
        <v>katejoya@canva.com</v>
      </c>
      <c r="R1566" s="1" t="str">
        <f>IFERROR(__xludf.DUMMYFUNCTION("""COMPUTED_VALUE"""),"Katrina Joya")</f>
        <v>Katrina Joya</v>
      </c>
      <c r="S1566" s="1"/>
      <c r="T1566" s="1">
        <f>IFERROR(__xludf.DUMMYFUNCTION("""COMPUTED_VALUE"""),1.75)</f>
        <v>1.75</v>
      </c>
      <c r="U1566" s="2">
        <f>IFERROR(__xludf.DUMMYFUNCTION("""COMPUTED_VALUE"""),1.75)</f>
        <v>1.75</v>
      </c>
      <c r="V1566" s="1" t="str">
        <f>IFERROR(__xludf.DUMMYFUNCTION("""COMPUTED_VALUE"""),"Gem Agoncillo")</f>
        <v>Gem Agoncillo</v>
      </c>
      <c r="W1566" s="1" t="str">
        <f>IFERROR(__xludf.DUMMYFUNCTION("""COMPUTED_VALUE"""),"Print Design Support")</f>
        <v>Print Design Support</v>
      </c>
    </row>
    <row r="1567">
      <c r="O1567" s="1" t="str">
        <f>IFERROR(__xludf.DUMMYFUNCTION("""COMPUTED_VALUE"""),"2025 Nov")</f>
        <v>2025 Nov</v>
      </c>
      <c r="P1567" s="1" t="str">
        <f>IFERROR(__xludf.DUMMYFUNCTION("""COMPUTED_VALUE"""),"Core Product Support")</f>
        <v>Core Product Support</v>
      </c>
      <c r="Q1567" s="1" t="str">
        <f>IFERROR(__xludf.DUMMYFUNCTION("""COMPUTED_VALUE"""),"kayl@canva.com")</f>
        <v>kayl@canva.com</v>
      </c>
      <c r="R1567" s="1" t="str">
        <f>IFERROR(__xludf.DUMMYFUNCTION("""COMPUTED_VALUE"""),"Kayl Albonia")</f>
        <v>Kayl Albonia</v>
      </c>
      <c r="S1567" s="1">
        <f>IFERROR(__xludf.DUMMYFUNCTION("""COMPUTED_VALUE"""),0.5)</f>
        <v>0.5</v>
      </c>
      <c r="T1567" s="1">
        <f>IFERROR(__xludf.DUMMYFUNCTION("""COMPUTED_VALUE"""),2.42)</f>
        <v>2.42</v>
      </c>
      <c r="U1567" s="2">
        <f>IFERROR(__xludf.DUMMYFUNCTION("""COMPUTED_VALUE"""),2.92)</f>
        <v>2.92</v>
      </c>
      <c r="V1567" s="1" t="str">
        <f>IFERROR(__xludf.DUMMYFUNCTION("""COMPUTED_VALUE"""),"Marie Mordeno")</f>
        <v>Marie Mordeno</v>
      </c>
      <c r="W1567" s="1" t="str">
        <f>IFERROR(__xludf.DUMMYFUNCTION("""COMPUTED_VALUE"""),"Advanced Billing &amp; Subscriptions")</f>
        <v>Advanced Billing &amp; Subscriptions</v>
      </c>
    </row>
    <row r="1568">
      <c r="O1568" s="1" t="str">
        <f>IFERROR(__xludf.DUMMYFUNCTION("""COMPUTED_VALUE"""),"2025 Nov")</f>
        <v>2025 Nov</v>
      </c>
      <c r="P1568" s="1" t="str">
        <f>IFERROR(__xludf.DUMMYFUNCTION("""COMPUTED_VALUE"""),"High Sensitivity Support")</f>
        <v>High Sensitivity Support</v>
      </c>
      <c r="Q1568" s="1" t="str">
        <f>IFERROR(__xludf.DUMMYFUNCTION("""COMPUTED_VALUE"""),"kathlene@canva.com")</f>
        <v>kathlene@canva.com</v>
      </c>
      <c r="R1568" s="1" t="str">
        <f>IFERROR(__xludf.DUMMYFUNCTION("""COMPUTED_VALUE"""),"KC Cruz")</f>
        <v>KC Cruz</v>
      </c>
      <c r="S1568" s="1">
        <f>IFERROR(__xludf.DUMMYFUNCTION("""COMPUTED_VALUE"""),6.42)</f>
        <v>6.42</v>
      </c>
      <c r="T1568" s="1">
        <f>IFERROR(__xludf.DUMMYFUNCTION("""COMPUTED_VALUE"""),3.75)</f>
        <v>3.75</v>
      </c>
      <c r="U1568" s="2">
        <f>IFERROR(__xludf.DUMMYFUNCTION("""COMPUTED_VALUE"""),10.17)</f>
        <v>10.17</v>
      </c>
      <c r="V1568" s="1" t="str">
        <f>IFERROR(__xludf.DUMMYFUNCTION("""COMPUTED_VALUE"""),"Xandy Azarcon")</f>
        <v>Xandy Azarcon</v>
      </c>
      <c r="W1568" s="1" t="str">
        <f>IFERROR(__xludf.DUMMYFUNCTION("""COMPUTED_VALUE"""),"High Sensitivity Support PH")</f>
        <v>High Sensitivity Support PH</v>
      </c>
    </row>
    <row r="1569">
      <c r="O1569" s="1" t="str">
        <f>IFERROR(__xludf.DUMMYFUNCTION("""COMPUTED_VALUE"""),"2025 Nov")</f>
        <v>2025 Nov</v>
      </c>
      <c r="P1569" s="1" t="str">
        <f>IFERROR(__xludf.DUMMYFUNCTION("""COMPUTED_VALUE"""),"Admin Support")</f>
        <v>Admin Support</v>
      </c>
      <c r="Q1569" s="1" t="str">
        <f>IFERROR(__xludf.DUMMYFUNCTION("""COMPUTED_VALUE"""),"kc@canva.com")</f>
        <v>kc@canva.com</v>
      </c>
      <c r="R1569" s="1" t="str">
        <f>IFERROR(__xludf.DUMMYFUNCTION("""COMPUTED_VALUE"""),"KC Sacramento")</f>
        <v>KC Sacramento</v>
      </c>
      <c r="S1569" s="1"/>
      <c r="T1569" s="1">
        <f>IFERROR(__xludf.DUMMYFUNCTION("""COMPUTED_VALUE"""),27.72)</f>
        <v>27.72</v>
      </c>
      <c r="U1569" s="2">
        <f>IFERROR(__xludf.DUMMYFUNCTION("""COMPUTED_VALUE"""),27.72)</f>
        <v>27.72</v>
      </c>
      <c r="V1569" s="1" t="str">
        <f>IFERROR(__xludf.DUMMYFUNCTION("""COMPUTED_VALUE"""),"Kelden Laguting")</f>
        <v>Kelden Laguting</v>
      </c>
      <c r="W1569" s="1" t="str">
        <f>IFERROR(__xludf.DUMMYFUNCTION("""COMPUTED_VALUE"""),"Admin Omni Support")</f>
        <v>Admin Omni Support</v>
      </c>
    </row>
    <row r="1570">
      <c r="O1570" s="1" t="str">
        <f>IFERROR(__xludf.DUMMYFUNCTION("""COMPUTED_VALUE"""),"2025 Nov")</f>
        <v>2025 Nov</v>
      </c>
      <c r="P1570" s="1" t="str">
        <f>IFERROR(__xludf.DUMMYFUNCTION("""COMPUTED_VALUE"""),"Core Product Support")</f>
        <v>Core Product Support</v>
      </c>
      <c r="Q1570" s="1" t="str">
        <f>IFERROR(__xludf.DUMMYFUNCTION("""COMPUTED_VALUE"""),"keisalazar@canva.com")</f>
        <v>keisalazar@canva.com</v>
      </c>
      <c r="R1570" s="1" t="str">
        <f>IFERROR(__xludf.DUMMYFUNCTION("""COMPUTED_VALUE"""),"Kei Salazar")</f>
        <v>Kei Salazar</v>
      </c>
      <c r="S1570" s="1"/>
      <c r="T1570" s="1">
        <f>IFERROR(__xludf.DUMMYFUNCTION("""COMPUTED_VALUE"""),1.0)</f>
        <v>1</v>
      </c>
      <c r="U1570" s="2">
        <f>IFERROR(__xludf.DUMMYFUNCTION("""COMPUTED_VALUE"""),1.0)</f>
        <v>1</v>
      </c>
      <c r="V1570" s="1" t="str">
        <f>IFERROR(__xludf.DUMMYFUNCTION("""COMPUTED_VALUE"""),"Ayza Marie Pascual")</f>
        <v>Ayza Marie Pascual</v>
      </c>
      <c r="W1570" s="1" t="str">
        <f>IFERROR(__xludf.DUMMYFUNCTION("""COMPUTED_VALUE"""),"Advanced Billing &amp; Subscriptions")</f>
        <v>Advanced Billing &amp; Subscriptions</v>
      </c>
    </row>
    <row r="1571">
      <c r="O1571" s="1" t="str">
        <f>IFERROR(__xludf.DUMMYFUNCTION("""COMPUTED_VALUE"""),"2025 Nov")</f>
        <v>2025 Nov</v>
      </c>
      <c r="P1571" s="1" t="str">
        <f>IFERROR(__xludf.DUMMYFUNCTION("""COMPUTED_VALUE"""),"Print Support")</f>
        <v>Print Support</v>
      </c>
      <c r="Q1571" s="1" t="str">
        <f>IFERROR(__xludf.DUMMYFUNCTION("""COMPUTED_VALUE"""),"kennethgo@canva.com")</f>
        <v>kennethgo@canva.com</v>
      </c>
      <c r="R1571" s="1" t="str">
        <f>IFERROR(__xludf.DUMMYFUNCTION("""COMPUTED_VALUE"""),"Kenneth Go")</f>
        <v>Kenneth Go</v>
      </c>
      <c r="S1571" s="1"/>
      <c r="T1571" s="1">
        <f>IFERROR(__xludf.DUMMYFUNCTION("""COMPUTED_VALUE"""),3.25)</f>
        <v>3.25</v>
      </c>
      <c r="U1571" s="2">
        <f>IFERROR(__xludf.DUMMYFUNCTION("""COMPUTED_VALUE"""),3.25)</f>
        <v>3.25</v>
      </c>
      <c r="V1571" s="1" t="str">
        <f>IFERROR(__xludf.DUMMYFUNCTION("""COMPUTED_VALUE"""),"Jan Domingo")</f>
        <v>Jan Domingo</v>
      </c>
      <c r="W1571" s="1" t="str">
        <f>IFERROR(__xludf.DUMMYFUNCTION("""COMPUTED_VALUE"""),"Print Design Support")</f>
        <v>Print Design Support</v>
      </c>
    </row>
    <row r="1572">
      <c r="O1572" s="1" t="str">
        <f>IFERROR(__xludf.DUMMYFUNCTION("""COMPUTED_VALUE"""),"2025 Nov")</f>
        <v>2025 Nov</v>
      </c>
      <c r="P1572" s="1" t="str">
        <f>IFERROR(__xludf.DUMMYFUNCTION("""COMPUTED_VALUE"""),"Core Product Support")</f>
        <v>Core Product Support</v>
      </c>
      <c r="Q1572" s="1" t="str">
        <f>IFERROR(__xludf.DUMMYFUNCTION("""COMPUTED_VALUE"""),"kevingo@canva.com")</f>
        <v>kevingo@canva.com</v>
      </c>
      <c r="R1572" s="1" t="str">
        <f>IFERROR(__xludf.DUMMYFUNCTION("""COMPUTED_VALUE"""),"Kevin Go")</f>
        <v>Kevin Go</v>
      </c>
      <c r="S1572" s="1">
        <f>IFERROR(__xludf.DUMMYFUNCTION("""COMPUTED_VALUE"""),0.5)</f>
        <v>0.5</v>
      </c>
      <c r="T1572" s="1"/>
      <c r="U1572" s="2">
        <f>IFERROR(__xludf.DUMMYFUNCTION("""COMPUTED_VALUE"""),0.5)</f>
        <v>0.5</v>
      </c>
      <c r="V1572" s="1" t="str">
        <f>IFERROR(__xludf.DUMMYFUNCTION("""COMPUTED_VALUE"""),"Belle Bentazal")</f>
        <v>Belle Bentazal</v>
      </c>
      <c r="W1572" s="1" t="str">
        <f>IFERROR(__xludf.DUMMYFUNCTION("""COMPUTED_VALUE"""),"Advanced Product Support")</f>
        <v>Advanced Product Support</v>
      </c>
    </row>
    <row r="1573">
      <c r="O1573" s="1" t="str">
        <f>IFERROR(__xludf.DUMMYFUNCTION("""COMPUTED_VALUE"""),"2025 Nov")</f>
        <v>2025 Nov</v>
      </c>
      <c r="P1573" s="1" t="str">
        <f>IFERROR(__xludf.DUMMYFUNCTION("""COMPUTED_VALUE"""),"Core Product Support")</f>
        <v>Core Product Support</v>
      </c>
      <c r="Q1573" s="1" t="str">
        <f>IFERROR(__xludf.DUMMYFUNCTION("""COMPUTED_VALUE"""),"kevromuga@canva.com")</f>
        <v>kevromuga@canva.com</v>
      </c>
      <c r="R1573" s="1" t="str">
        <f>IFERROR(__xludf.DUMMYFUNCTION("""COMPUTED_VALUE"""),"Kevin John Romuga")</f>
        <v>Kevin John Romuga</v>
      </c>
      <c r="S1573" s="1">
        <f>IFERROR(__xludf.DUMMYFUNCTION("""COMPUTED_VALUE"""),1.0)</f>
        <v>1</v>
      </c>
      <c r="T1573" s="1">
        <f>IFERROR(__xludf.DUMMYFUNCTION("""COMPUTED_VALUE"""),2.42)</f>
        <v>2.42</v>
      </c>
      <c r="U1573" s="2">
        <f>IFERROR(__xludf.DUMMYFUNCTION("""COMPUTED_VALUE"""),3.42)</f>
        <v>3.42</v>
      </c>
      <c r="V1573" s="1" t="str">
        <f>IFERROR(__xludf.DUMMYFUNCTION("""COMPUTED_VALUE"""),"Renette Bok")</f>
        <v>Renette Bok</v>
      </c>
      <c r="W1573" s="1" t="str">
        <f>IFERROR(__xludf.DUMMYFUNCTION("""COMPUTED_VALUE"""),"Advanced Billing &amp; Subscriptions")</f>
        <v>Advanced Billing &amp; Subscriptions</v>
      </c>
    </row>
    <row r="1574">
      <c r="O1574" s="1" t="str">
        <f>IFERROR(__xludf.DUMMYFUNCTION("""COMPUTED_VALUE"""),"2025 Nov")</f>
        <v>2025 Nov</v>
      </c>
      <c r="P1574" s="1" t="str">
        <f>IFERROR(__xludf.DUMMYFUNCTION("""COMPUTED_VALUE"""),"Core Product Support")</f>
        <v>Core Product Support</v>
      </c>
      <c r="Q1574" s="1" t="str">
        <f>IFERROR(__xludf.DUMMYFUNCTION("""COMPUTED_VALUE"""),"kimmescallado@canva.com")</f>
        <v>kimmescallado@canva.com</v>
      </c>
      <c r="R1574" s="1" t="str">
        <f>IFERROR(__xludf.DUMMYFUNCTION("""COMPUTED_VALUE"""),"Kim Mescallado")</f>
        <v>Kim Mescallado</v>
      </c>
      <c r="S1574" s="1">
        <f>IFERROR(__xludf.DUMMYFUNCTION("""COMPUTED_VALUE"""),1.0)</f>
        <v>1</v>
      </c>
      <c r="T1574" s="1">
        <f>IFERROR(__xludf.DUMMYFUNCTION("""COMPUTED_VALUE"""),3.75)</f>
        <v>3.75</v>
      </c>
      <c r="U1574" s="2">
        <f>IFERROR(__xludf.DUMMYFUNCTION("""COMPUTED_VALUE"""),4.75)</f>
        <v>4.75</v>
      </c>
      <c r="V1574" s="1" t="str">
        <f>IFERROR(__xludf.DUMMYFUNCTION("""COMPUTED_VALUE"""),"Belle Bentazal")</f>
        <v>Belle Bentazal</v>
      </c>
      <c r="W1574" s="1" t="str">
        <f>IFERROR(__xludf.DUMMYFUNCTION("""COMPUTED_VALUE"""),"Advanced Product Support")</f>
        <v>Advanced Product Support</v>
      </c>
    </row>
    <row r="1575">
      <c r="O1575" s="1" t="str">
        <f>IFERROR(__xludf.DUMMYFUNCTION("""COMPUTED_VALUE"""),"2025 Nov")</f>
        <v>2025 Nov</v>
      </c>
      <c r="P1575" s="1" t="str">
        <f>IFERROR(__xludf.DUMMYFUNCTION("""COMPUTED_VALUE"""),"#N/A")</f>
        <v>#N/A</v>
      </c>
      <c r="Q1575" s="1" t="str">
        <f>IFERROR(__xludf.DUMMYFUNCTION("""COMPUTED_VALUE"""),"kimmi@canva.com")</f>
        <v>kimmi@canva.com</v>
      </c>
      <c r="R1575" s="1" t="str">
        <f>IFERROR(__xludf.DUMMYFUNCTION("""COMPUTED_VALUE"""),"Kim Mondala")</f>
        <v>Kim Mondala</v>
      </c>
      <c r="S1575" s="1"/>
      <c r="T1575" s="1">
        <f>IFERROR(__xludf.DUMMYFUNCTION("""COMPUTED_VALUE"""),10.75)</f>
        <v>10.75</v>
      </c>
      <c r="U1575" s="2">
        <f>IFERROR(__xludf.DUMMYFUNCTION("""COMPUTED_VALUE"""),10.75)</f>
        <v>10.75</v>
      </c>
      <c r="V1575" s="1" t="str">
        <f>IFERROR(__xludf.DUMMYFUNCTION("""COMPUTED_VALUE"""),"#N/A")</f>
        <v>#N/A</v>
      </c>
      <c r="W1575" s="1" t="str">
        <f>IFERROR(__xludf.DUMMYFUNCTION("""COMPUTED_VALUE"""),"Admin Omni Support")</f>
        <v>Admin Omni Support</v>
      </c>
    </row>
    <row r="1576">
      <c r="O1576" s="1" t="str">
        <f>IFERROR(__xludf.DUMMYFUNCTION("""COMPUTED_VALUE"""),"2025 Nov")</f>
        <v>2025 Nov</v>
      </c>
      <c r="P1576" s="1" t="str">
        <f>IFERROR(__xludf.DUMMYFUNCTION("""COMPUTED_VALUE"""),"Admin Support")</f>
        <v>Admin Support</v>
      </c>
      <c r="Q1576" s="1" t="str">
        <f>IFERROR(__xludf.DUMMYFUNCTION("""COMPUTED_VALUE"""),"kiro@canva.com")</f>
        <v>kiro@canva.com</v>
      </c>
      <c r="R1576" s="1" t="str">
        <f>IFERROR(__xludf.DUMMYFUNCTION("""COMPUTED_VALUE"""),"Kiro Mondala")</f>
        <v>Kiro Mondala</v>
      </c>
      <c r="S1576" s="1">
        <f>IFERROR(__xludf.DUMMYFUNCTION("""COMPUTED_VALUE"""),1.0)</f>
        <v>1</v>
      </c>
      <c r="T1576" s="1">
        <f>IFERROR(__xludf.DUMMYFUNCTION("""COMPUTED_VALUE"""),8.75)</f>
        <v>8.75</v>
      </c>
      <c r="U1576" s="2">
        <f>IFERROR(__xludf.DUMMYFUNCTION("""COMPUTED_VALUE"""),9.75)</f>
        <v>9.75</v>
      </c>
      <c r="V1576" s="1" t="str">
        <f>IFERROR(__xludf.DUMMYFUNCTION("""COMPUTED_VALUE"""),"Kelden Laguting")</f>
        <v>Kelden Laguting</v>
      </c>
      <c r="W1576" s="1" t="str">
        <f>IFERROR(__xludf.DUMMYFUNCTION("""COMPUTED_VALUE"""),"Admin Omni Support")</f>
        <v>Admin Omni Support</v>
      </c>
    </row>
    <row r="1577">
      <c r="O1577" s="1" t="str">
        <f>IFERROR(__xludf.DUMMYFUNCTION("""COMPUTED_VALUE"""),"2025 Nov")</f>
        <v>2025 Nov</v>
      </c>
      <c r="P1577" s="1" t="str">
        <f>IFERROR(__xludf.DUMMYFUNCTION("""COMPUTED_VALUE"""),"Core Product Support")</f>
        <v>Core Product Support</v>
      </c>
      <c r="Q1577" s="1" t="str">
        <f>IFERROR(__xludf.DUMMYFUNCTION("""COMPUTED_VALUE"""),"krisalava@canva.com")</f>
        <v>krisalava@canva.com</v>
      </c>
      <c r="R1577" s="1" t="str">
        <f>IFERROR(__xludf.DUMMYFUNCTION("""COMPUTED_VALUE"""),"Kris Alava")</f>
        <v>Kris Alava</v>
      </c>
      <c r="S1577" s="1">
        <f>IFERROR(__xludf.DUMMYFUNCTION("""COMPUTED_VALUE"""),2.0)</f>
        <v>2</v>
      </c>
      <c r="T1577" s="1">
        <f>IFERROR(__xludf.DUMMYFUNCTION("""COMPUTED_VALUE"""),9.0)</f>
        <v>9</v>
      </c>
      <c r="U1577" s="2">
        <f>IFERROR(__xludf.DUMMYFUNCTION("""COMPUTED_VALUE"""),11.0)</f>
        <v>11</v>
      </c>
      <c r="V1577" s="1" t="str">
        <f>IFERROR(__xludf.DUMMYFUNCTION("""COMPUTED_VALUE"""),"Sieg Ballelos")</f>
        <v>Sieg Ballelos</v>
      </c>
      <c r="W1577" s="1" t="str">
        <f>IFERROR(__xludf.DUMMYFUNCTION("""COMPUTED_VALUE"""),"Core Product Support Escalation Team")</f>
        <v>Core Product Support Escalation Team</v>
      </c>
    </row>
    <row r="1578">
      <c r="O1578" s="1" t="str">
        <f>IFERROR(__xludf.DUMMYFUNCTION("""COMPUTED_VALUE"""),"2025 Nov")</f>
        <v>2025 Nov</v>
      </c>
      <c r="P1578" s="1" t="str">
        <f>IFERROR(__xludf.DUMMYFUNCTION("""COMPUTED_VALUE"""),"Core Product Support")</f>
        <v>Core Product Support</v>
      </c>
      <c r="Q1578" s="1" t="str">
        <f>IFERROR(__xludf.DUMMYFUNCTION("""COMPUTED_VALUE"""),"kylep@canva.com")</f>
        <v>kylep@canva.com</v>
      </c>
      <c r="R1578" s="1" t="str">
        <f>IFERROR(__xludf.DUMMYFUNCTION("""COMPUTED_VALUE"""),"Kyle Pajarillo")</f>
        <v>Kyle Pajarillo</v>
      </c>
      <c r="S1578" s="1">
        <f>IFERROR(__xludf.DUMMYFUNCTION("""COMPUTED_VALUE"""),1.0)</f>
        <v>1</v>
      </c>
      <c r="T1578" s="1">
        <f>IFERROR(__xludf.DUMMYFUNCTION("""COMPUTED_VALUE"""),2.25)</f>
        <v>2.25</v>
      </c>
      <c r="U1578" s="2">
        <f>IFERROR(__xludf.DUMMYFUNCTION("""COMPUTED_VALUE"""),3.25)</f>
        <v>3.25</v>
      </c>
      <c r="V1578" s="1" t="str">
        <f>IFERROR(__xludf.DUMMYFUNCTION("""COMPUTED_VALUE"""),"Marie Mordeno")</f>
        <v>Marie Mordeno</v>
      </c>
      <c r="W1578" s="1" t="str">
        <f>IFERROR(__xludf.DUMMYFUNCTION("""COMPUTED_VALUE"""),"Advanced Billing &amp; Subscriptions")</f>
        <v>Advanced Billing &amp; Subscriptions</v>
      </c>
    </row>
    <row r="1579">
      <c r="O1579" s="1" t="str">
        <f>IFERROR(__xludf.DUMMYFUNCTION("""COMPUTED_VALUE"""),"2025 Nov")</f>
        <v>2025 Nov</v>
      </c>
      <c r="P1579" s="1" t="str">
        <f>IFERROR(__xludf.DUMMYFUNCTION("""COMPUTED_VALUE"""),"Core Product Support")</f>
        <v>Core Product Support</v>
      </c>
      <c r="Q1579" s="1" t="str">
        <f>IFERROR(__xludf.DUMMYFUNCTION("""COMPUTED_VALUE"""),"lailav@canva.com")</f>
        <v>lailav@canva.com</v>
      </c>
      <c r="R1579" s="1" t="str">
        <f>IFERROR(__xludf.DUMMYFUNCTION("""COMPUTED_VALUE"""),"Laila Villamor")</f>
        <v>Laila Villamor</v>
      </c>
      <c r="S1579" s="1">
        <f>IFERROR(__xludf.DUMMYFUNCTION("""COMPUTED_VALUE"""),0.5)</f>
        <v>0.5</v>
      </c>
      <c r="T1579" s="1">
        <f>IFERROR(__xludf.DUMMYFUNCTION("""COMPUTED_VALUE"""),2.75)</f>
        <v>2.75</v>
      </c>
      <c r="U1579" s="2">
        <f>IFERROR(__xludf.DUMMYFUNCTION("""COMPUTED_VALUE"""),3.25)</f>
        <v>3.25</v>
      </c>
      <c r="V1579" s="1" t="str">
        <f>IFERROR(__xludf.DUMMYFUNCTION("""COMPUTED_VALUE"""),"Jahmie Mae Barrameda")</f>
        <v>Jahmie Mae Barrameda</v>
      </c>
      <c r="W1579" s="1" t="str">
        <f>IFERROR(__xludf.DUMMYFUNCTION("""COMPUTED_VALUE"""),"Advanced Billing &amp; Subscriptions")</f>
        <v>Advanced Billing &amp; Subscriptions</v>
      </c>
    </row>
    <row r="1580">
      <c r="O1580" s="1" t="str">
        <f>IFERROR(__xludf.DUMMYFUNCTION("""COMPUTED_VALUE"""),"2025 Nov")</f>
        <v>2025 Nov</v>
      </c>
      <c r="P1580" s="1" t="str">
        <f>IFERROR(__xludf.DUMMYFUNCTION("""COMPUTED_VALUE"""),"Print Support")</f>
        <v>Print Support</v>
      </c>
      <c r="Q1580" s="1" t="str">
        <f>IFERROR(__xludf.DUMMYFUNCTION("""COMPUTED_VALUE"""),"lancer@canva.com")</f>
        <v>lancer@canva.com</v>
      </c>
      <c r="R1580" s="1" t="str">
        <f>IFERROR(__xludf.DUMMYFUNCTION("""COMPUTED_VALUE"""),"Lance Guevarra")</f>
        <v>Lance Guevarra</v>
      </c>
      <c r="S1580" s="1"/>
      <c r="T1580" s="1">
        <f>IFERROR(__xludf.DUMMYFUNCTION("""COMPUTED_VALUE"""),45.75)</f>
        <v>45.75</v>
      </c>
      <c r="U1580" s="2">
        <f>IFERROR(__xludf.DUMMYFUNCTION("""COMPUTED_VALUE"""),45.75)</f>
        <v>45.75</v>
      </c>
      <c r="V1580" s="1" t="str">
        <f>IFERROR(__xludf.DUMMYFUNCTION("""COMPUTED_VALUE"""),"Jen Momo")</f>
        <v>Jen Momo</v>
      </c>
      <c r="W1580" s="1" t="str">
        <f>IFERROR(__xludf.DUMMYFUNCTION("""COMPUTED_VALUE"""),"Print Support PH")</f>
        <v>Print Support PH</v>
      </c>
    </row>
    <row r="1581">
      <c r="O1581" s="1" t="str">
        <f>IFERROR(__xludf.DUMMYFUNCTION("""COMPUTED_VALUE"""),"2025 Nov")</f>
        <v>2025 Nov</v>
      </c>
      <c r="P1581" s="1" t="str">
        <f>IFERROR(__xludf.DUMMYFUNCTION("""COMPUTED_VALUE"""),"Segment-specific Support")</f>
        <v>Segment-specific Support</v>
      </c>
      <c r="Q1581" s="1" t="str">
        <f>IFERROR(__xludf.DUMMYFUNCTION("""COMPUTED_VALUE"""),"lance@canva.com")</f>
        <v>lance@canva.com</v>
      </c>
      <c r="R1581" s="1" t="str">
        <f>IFERROR(__xludf.DUMMYFUNCTION("""COMPUTED_VALUE"""),"Lance Reyes")</f>
        <v>Lance Reyes</v>
      </c>
      <c r="S1581" s="1"/>
      <c r="T1581" s="1">
        <f>IFERROR(__xludf.DUMMYFUNCTION("""COMPUTED_VALUE"""),43.05)</f>
        <v>43.05</v>
      </c>
      <c r="U1581" s="2">
        <f>IFERROR(__xludf.DUMMYFUNCTION("""COMPUTED_VALUE"""),43.05)</f>
        <v>43.05</v>
      </c>
      <c r="V1581" s="1" t="str">
        <f>IFERROR(__xludf.DUMMYFUNCTION("""COMPUTED_VALUE"""),"Gucci Nava")</f>
        <v>Gucci Nava</v>
      </c>
      <c r="W1581" s="1" t="str">
        <f>IFERROR(__xludf.DUMMYFUNCTION("""COMPUTED_VALUE"""),"Affinity Support")</f>
        <v>Affinity Support</v>
      </c>
    </row>
    <row r="1582">
      <c r="O1582" s="1" t="str">
        <f>IFERROR(__xludf.DUMMYFUNCTION("""COMPUTED_VALUE"""),"2025 Nov")</f>
        <v>2025 Nov</v>
      </c>
      <c r="P1582" s="1" t="str">
        <f>IFERROR(__xludf.DUMMYFUNCTION("""COMPUTED_VALUE"""),"Admin Support")</f>
        <v>Admin Support</v>
      </c>
      <c r="Q1582" s="1" t="str">
        <f>IFERROR(__xludf.DUMMYFUNCTION("""COMPUTED_VALUE"""),"le@canva.com")</f>
        <v>le@canva.com</v>
      </c>
      <c r="R1582" s="1" t="str">
        <f>IFERROR(__xludf.DUMMYFUNCTION("""COMPUTED_VALUE"""),"Lean Cruda")</f>
        <v>Lean Cruda</v>
      </c>
      <c r="S1582" s="1"/>
      <c r="T1582" s="1">
        <f>IFERROR(__xludf.DUMMYFUNCTION("""COMPUTED_VALUE"""),1.75)</f>
        <v>1.75</v>
      </c>
      <c r="U1582" s="2">
        <f>IFERROR(__xludf.DUMMYFUNCTION("""COMPUTED_VALUE"""),1.75)</f>
        <v>1.75</v>
      </c>
      <c r="V1582" s="1" t="str">
        <f>IFERROR(__xludf.DUMMYFUNCTION("""COMPUTED_VALUE"""),"Karla Mananghaya")</f>
        <v>Karla Mananghaya</v>
      </c>
      <c r="W1582" s="1" t="str">
        <f>IFERROR(__xludf.DUMMYFUNCTION("""COMPUTED_VALUE"""),"Admin Support Service Escalation Team")</f>
        <v>Admin Support Service Escalation Team</v>
      </c>
    </row>
    <row r="1583">
      <c r="O1583" s="1" t="str">
        <f>IFERROR(__xludf.DUMMYFUNCTION("""COMPUTED_VALUE"""),"2025 Nov")</f>
        <v>2025 Nov</v>
      </c>
      <c r="P1583" s="1" t="str">
        <f>IFERROR(__xludf.DUMMYFUNCTION("""COMPUTED_VALUE"""),"High Sensitivity Support")</f>
        <v>High Sensitivity Support</v>
      </c>
      <c r="Q1583" s="1" t="str">
        <f>IFERROR(__xludf.DUMMYFUNCTION("""COMPUTED_VALUE"""),"leanp@canva.com")</f>
        <v>leanp@canva.com</v>
      </c>
      <c r="R1583" s="1" t="str">
        <f>IFERROR(__xludf.DUMMYFUNCTION("""COMPUTED_VALUE"""),"Lean Reyes")</f>
        <v>Lean Reyes</v>
      </c>
      <c r="S1583" s="1"/>
      <c r="T1583" s="1">
        <f>IFERROR(__xludf.DUMMYFUNCTION("""COMPUTED_VALUE"""),1.0)</f>
        <v>1</v>
      </c>
      <c r="U1583" s="2">
        <f>IFERROR(__xludf.DUMMYFUNCTION("""COMPUTED_VALUE"""),1.0)</f>
        <v>1</v>
      </c>
      <c r="V1583" s="1" t="str">
        <f>IFERROR(__xludf.DUMMYFUNCTION("""COMPUTED_VALUE"""),"Issi Afable")</f>
        <v>Issi Afable</v>
      </c>
      <c r="W1583" s="1" t="str">
        <f>IFERROR(__xludf.DUMMYFUNCTION("""COMPUTED_VALUE"""),"High Sensitivity Support PH")</f>
        <v>High Sensitivity Support PH</v>
      </c>
    </row>
    <row r="1584">
      <c r="O1584" s="1" t="str">
        <f>IFERROR(__xludf.DUMMYFUNCTION("""COMPUTED_VALUE"""),"2025 Nov")</f>
        <v>2025 Nov</v>
      </c>
      <c r="P1584" s="1" t="str">
        <f>IFERROR(__xludf.DUMMYFUNCTION("""COMPUTED_VALUE"""),"Print Support")</f>
        <v>Print Support</v>
      </c>
      <c r="Q1584" s="1" t="str">
        <f>IFERROR(__xludf.DUMMYFUNCTION("""COMPUTED_VALUE"""),"larce@canva.com")</f>
        <v>larce@canva.com</v>
      </c>
      <c r="R1584" s="1" t="str">
        <f>IFERROR(__xludf.DUMMYFUNCTION("""COMPUTED_VALUE"""),"Lee Arce")</f>
        <v>Lee Arce</v>
      </c>
      <c r="S1584" s="1"/>
      <c r="T1584" s="1">
        <f>IFERROR(__xludf.DUMMYFUNCTION("""COMPUTED_VALUE"""),2.42)</f>
        <v>2.42</v>
      </c>
      <c r="U1584" s="2">
        <f>IFERROR(__xludf.DUMMYFUNCTION("""COMPUTED_VALUE"""),2.42)</f>
        <v>2.42</v>
      </c>
      <c r="V1584" s="1" t="str">
        <f>IFERROR(__xludf.DUMMYFUNCTION("""COMPUTED_VALUE"""),"Althea Mercado")</f>
        <v>Althea Mercado</v>
      </c>
      <c r="W1584" s="1" t="str">
        <f>IFERROR(__xludf.DUMMYFUNCTION("""COMPUTED_VALUE"""),"Print Support PH")</f>
        <v>Print Support PH</v>
      </c>
    </row>
    <row r="1585">
      <c r="O1585" s="1" t="str">
        <f>IFERROR(__xludf.DUMMYFUNCTION("""COMPUTED_VALUE"""),"2025 Nov")</f>
        <v>2025 Nov</v>
      </c>
      <c r="P1585" s="1" t="str">
        <f>IFERROR(__xludf.DUMMYFUNCTION("""COMPUTED_VALUE"""),"Core Product Support")</f>
        <v>Core Product Support</v>
      </c>
      <c r="Q1585" s="1" t="str">
        <f>IFERROR(__xludf.DUMMYFUNCTION("""COMPUTED_VALUE"""),"leilanie@canva.com")</f>
        <v>leilanie@canva.com</v>
      </c>
      <c r="R1585" s="1" t="str">
        <f>IFERROR(__xludf.DUMMYFUNCTION("""COMPUTED_VALUE"""),"Lei Gratuito")</f>
        <v>Lei Gratuito</v>
      </c>
      <c r="S1585" s="1">
        <f>IFERROR(__xludf.DUMMYFUNCTION("""COMPUTED_VALUE"""),1.5)</f>
        <v>1.5</v>
      </c>
      <c r="T1585" s="1">
        <f>IFERROR(__xludf.DUMMYFUNCTION("""COMPUTED_VALUE"""),0.75)</f>
        <v>0.75</v>
      </c>
      <c r="U1585" s="2">
        <f>IFERROR(__xludf.DUMMYFUNCTION("""COMPUTED_VALUE"""),2.25)</f>
        <v>2.25</v>
      </c>
      <c r="V1585" s="1" t="str">
        <f>IFERROR(__xludf.DUMMYFUNCTION("""COMPUTED_VALUE"""),"Renette Bok")</f>
        <v>Renette Bok</v>
      </c>
      <c r="W1585" s="1" t="str">
        <f>IFERROR(__xludf.DUMMYFUNCTION("""COMPUTED_VALUE"""),"Advanced Billing &amp; Subscriptions")</f>
        <v>Advanced Billing &amp; Subscriptions</v>
      </c>
    </row>
    <row r="1586">
      <c r="O1586" s="1" t="str">
        <f>IFERROR(__xludf.DUMMYFUNCTION("""COMPUTED_VALUE"""),"2025 Nov")</f>
        <v>2025 Nov</v>
      </c>
      <c r="P1586" s="1" t="str">
        <f>IFERROR(__xludf.DUMMYFUNCTION("""COMPUTED_VALUE"""),"Core Product Support")</f>
        <v>Core Product Support</v>
      </c>
      <c r="Q1586" s="1" t="str">
        <f>IFERROR(__xludf.DUMMYFUNCTION("""COMPUTED_VALUE"""),"leonard@canva.com")</f>
        <v>leonard@canva.com</v>
      </c>
      <c r="R1586" s="1" t="str">
        <f>IFERROR(__xludf.DUMMYFUNCTION("""COMPUTED_VALUE"""),"Leonard Baguio")</f>
        <v>Leonard Baguio</v>
      </c>
      <c r="S1586" s="1">
        <f>IFERROR(__xludf.DUMMYFUNCTION("""COMPUTED_VALUE"""),1.5)</f>
        <v>1.5</v>
      </c>
      <c r="T1586" s="1">
        <f>IFERROR(__xludf.DUMMYFUNCTION("""COMPUTED_VALUE"""),8.5)</f>
        <v>8.5</v>
      </c>
      <c r="U1586" s="2">
        <f>IFERROR(__xludf.DUMMYFUNCTION("""COMPUTED_VALUE"""),10.0)</f>
        <v>10</v>
      </c>
      <c r="V1586" s="1" t="str">
        <f>IFERROR(__xludf.DUMMYFUNCTION("""COMPUTED_VALUE"""),"Jelyn Elmido")</f>
        <v>Jelyn Elmido</v>
      </c>
      <c r="W1586" s="1" t="str">
        <f>IFERROR(__xludf.DUMMYFUNCTION("""COMPUTED_VALUE"""),"Core Product Support Escalation Team")</f>
        <v>Core Product Support Escalation Team</v>
      </c>
    </row>
    <row r="1587">
      <c r="O1587" s="1" t="str">
        <f>IFERROR(__xludf.DUMMYFUNCTION("""COMPUTED_VALUE"""),"2025 Nov")</f>
        <v>2025 Nov</v>
      </c>
      <c r="P1587" s="1" t="str">
        <f>IFERROR(__xludf.DUMMYFUNCTION("""COMPUTED_VALUE"""),"Print Support")</f>
        <v>Print Support</v>
      </c>
      <c r="Q1587" s="1" t="str">
        <f>IFERROR(__xludf.DUMMYFUNCTION("""COMPUTED_VALUE"""),"anneharriet@canva.com")</f>
        <v>anneharriet@canva.com</v>
      </c>
      <c r="R1587" s="1" t="str">
        <f>IFERROR(__xludf.DUMMYFUNCTION("""COMPUTED_VALUE"""),"Leslie Anne Gilua")</f>
        <v>Leslie Anne Gilua</v>
      </c>
      <c r="S1587" s="1"/>
      <c r="T1587" s="1">
        <f>IFERROR(__xludf.DUMMYFUNCTION("""COMPUTED_VALUE"""),3.33)</f>
        <v>3.33</v>
      </c>
      <c r="U1587" s="2">
        <f>IFERROR(__xludf.DUMMYFUNCTION("""COMPUTED_VALUE"""),3.33)</f>
        <v>3.33</v>
      </c>
      <c r="V1587" s="1" t="str">
        <f>IFERROR(__xludf.DUMMYFUNCTION("""COMPUTED_VALUE"""),"Louise Dianne Estrella")</f>
        <v>Louise Dianne Estrella</v>
      </c>
      <c r="W1587" s="1" t="str">
        <f>IFERROR(__xludf.DUMMYFUNCTION("""COMPUTED_VALUE"""),"Print Support PH")</f>
        <v>Print Support PH</v>
      </c>
    </row>
    <row r="1588">
      <c r="O1588" s="1" t="str">
        <f>IFERROR(__xludf.DUMMYFUNCTION("""COMPUTED_VALUE"""),"2025 Nov")</f>
        <v>2025 Nov</v>
      </c>
      <c r="P1588" s="1" t="str">
        <f>IFERROR(__xludf.DUMMYFUNCTION("""COMPUTED_VALUE"""),"Core Product Support")</f>
        <v>Core Product Support</v>
      </c>
      <c r="Q1588" s="1" t="str">
        <f>IFERROR(__xludf.DUMMYFUNCTION("""COMPUTED_VALUE"""),"lewisjarvin@canva.com")</f>
        <v>lewisjarvin@canva.com</v>
      </c>
      <c r="R1588" s="1" t="str">
        <f>IFERROR(__xludf.DUMMYFUNCTION("""COMPUTED_VALUE"""),"Lewis Ramirez")</f>
        <v>Lewis Ramirez</v>
      </c>
      <c r="S1588" s="1"/>
      <c r="T1588" s="1">
        <f>IFERROR(__xludf.DUMMYFUNCTION("""COMPUTED_VALUE"""),2.75)</f>
        <v>2.75</v>
      </c>
      <c r="U1588" s="2">
        <f>IFERROR(__xludf.DUMMYFUNCTION("""COMPUTED_VALUE"""),2.75)</f>
        <v>2.75</v>
      </c>
      <c r="V1588" s="1" t="str">
        <f>IFERROR(__xludf.DUMMYFUNCTION("""COMPUTED_VALUE"""),"Mikhaela Decangchon")</f>
        <v>Mikhaela Decangchon</v>
      </c>
      <c r="W1588" s="1" t="str">
        <f>IFERROR(__xludf.DUMMYFUNCTION("""COMPUTED_VALUE"""),"Advanced Product Support")</f>
        <v>Advanced Product Support</v>
      </c>
    </row>
    <row r="1589">
      <c r="O1589" s="1" t="str">
        <f>IFERROR(__xludf.DUMMYFUNCTION("""COMPUTED_VALUE"""),"2025 Nov")</f>
        <v>2025 Nov</v>
      </c>
      <c r="P1589" s="1" t="str">
        <f>IFERROR(__xludf.DUMMYFUNCTION("""COMPUTED_VALUE"""),"Segment-specific Support")</f>
        <v>Segment-specific Support</v>
      </c>
      <c r="Q1589" s="1" t="str">
        <f>IFERROR(__xludf.DUMMYFUNCTION("""COMPUTED_VALUE"""),"liabaclay@canva.com")</f>
        <v>liabaclay@canva.com</v>
      </c>
      <c r="R1589" s="1" t="str">
        <f>IFERROR(__xludf.DUMMYFUNCTION("""COMPUTED_VALUE"""),"Lia Baclay")</f>
        <v>Lia Baclay</v>
      </c>
      <c r="S1589" s="1">
        <f>IFERROR(__xludf.DUMMYFUNCTION("""COMPUTED_VALUE"""),1.0)</f>
        <v>1</v>
      </c>
      <c r="T1589" s="1">
        <f>IFERROR(__xludf.DUMMYFUNCTION("""COMPUTED_VALUE"""),0.75)</f>
        <v>0.75</v>
      </c>
      <c r="U1589" s="2">
        <f>IFERROR(__xludf.DUMMYFUNCTION("""COMPUTED_VALUE"""),1.75)</f>
        <v>1.75</v>
      </c>
      <c r="V1589" s="1" t="str">
        <f>IFERROR(__xludf.DUMMYFUNCTION("""COMPUTED_VALUE"""),"Rose Gabilan")</f>
        <v>Rose Gabilan</v>
      </c>
      <c r="W1589" s="1" t="str">
        <f>IFERROR(__xludf.DUMMYFUNCTION("""COMPUTED_VALUE"""),"Affinity Support")</f>
        <v>Affinity Support</v>
      </c>
    </row>
    <row r="1590">
      <c r="O1590" s="1" t="str">
        <f>IFERROR(__xludf.DUMMYFUNCTION("""COMPUTED_VALUE"""),"2025 Nov")</f>
        <v>2025 Nov</v>
      </c>
      <c r="P1590" s="1" t="str">
        <f>IFERROR(__xludf.DUMMYFUNCTION("""COMPUTED_VALUE"""),"Segment-specific Support")</f>
        <v>Segment-specific Support</v>
      </c>
      <c r="Q1590" s="1" t="str">
        <f>IFERROR(__xludf.DUMMYFUNCTION("""COMPUTED_VALUE"""),"liberty@canva.com")</f>
        <v>liberty@canva.com</v>
      </c>
      <c r="R1590" s="1" t="str">
        <f>IFERROR(__xludf.DUMMYFUNCTION("""COMPUTED_VALUE"""),"Liberty Casala")</f>
        <v>Liberty Casala</v>
      </c>
      <c r="S1590" s="1"/>
      <c r="T1590" s="1">
        <f>IFERROR(__xludf.DUMMYFUNCTION("""COMPUTED_VALUE"""),2.42)</f>
        <v>2.42</v>
      </c>
      <c r="U1590" s="2">
        <f>IFERROR(__xludf.DUMMYFUNCTION("""COMPUTED_VALUE"""),2.42)</f>
        <v>2.42</v>
      </c>
      <c r="V1590" s="1" t="str">
        <f>IFERROR(__xludf.DUMMYFUNCTION("""COMPUTED_VALUE"""),"Gucci Nava")</f>
        <v>Gucci Nava</v>
      </c>
      <c r="W1590" s="1" t="str">
        <f>IFERROR(__xludf.DUMMYFUNCTION("""COMPUTED_VALUE"""),"Print Support PH")</f>
        <v>Print Support PH</v>
      </c>
    </row>
    <row r="1591">
      <c r="O1591" s="1" t="str">
        <f>IFERROR(__xludf.DUMMYFUNCTION("""COMPUTED_VALUE"""),"2025 Nov")</f>
        <v>2025 Nov</v>
      </c>
      <c r="P1591" s="1" t="str">
        <f>IFERROR(__xludf.DUMMYFUNCTION("""COMPUTED_VALUE"""),"Print Support")</f>
        <v>Print Support</v>
      </c>
      <c r="Q1591" s="1" t="str">
        <f>IFERROR(__xludf.DUMMYFUNCTION("""COMPUTED_VALUE"""),"loise@canva.com")</f>
        <v>loise@canva.com</v>
      </c>
      <c r="R1591" s="1" t="str">
        <f>IFERROR(__xludf.DUMMYFUNCTION("""COMPUTED_VALUE"""),"Loise Dela Cruz")</f>
        <v>Loise Dela Cruz</v>
      </c>
      <c r="S1591" s="1"/>
      <c r="T1591" s="1">
        <f>IFERROR(__xludf.DUMMYFUNCTION("""COMPUTED_VALUE"""),2.75)</f>
        <v>2.75</v>
      </c>
      <c r="U1591" s="2">
        <f>IFERROR(__xludf.DUMMYFUNCTION("""COMPUTED_VALUE"""),2.75)</f>
        <v>2.75</v>
      </c>
      <c r="V1591" s="1" t="str">
        <f>IFERROR(__xludf.DUMMYFUNCTION("""COMPUTED_VALUE"""),"Aliza Dote")</f>
        <v>Aliza Dote</v>
      </c>
      <c r="W1591" s="1" t="str">
        <f>IFERROR(__xludf.DUMMYFUNCTION("""COMPUTED_VALUE"""),"Print Design Support")</f>
        <v>Print Design Support</v>
      </c>
    </row>
    <row r="1592">
      <c r="O1592" s="1" t="str">
        <f>IFERROR(__xludf.DUMMYFUNCTION("""COMPUTED_VALUE"""),"2025 Nov")</f>
        <v>2025 Nov</v>
      </c>
      <c r="P1592" s="1" t="str">
        <f>IFERROR(__xludf.DUMMYFUNCTION("""COMPUTED_VALUE"""),"Core Product Support")</f>
        <v>Core Product Support</v>
      </c>
      <c r="Q1592" s="1" t="str">
        <f>IFERROR(__xludf.DUMMYFUNCTION("""COMPUTED_VALUE"""),"loudv@canva.com")</f>
        <v>loudv@canva.com</v>
      </c>
      <c r="R1592" s="1" t="str">
        <f>IFERROR(__xludf.DUMMYFUNCTION("""COMPUTED_VALUE"""),"Louieline Dela Vega")</f>
        <v>Louieline Dela Vega</v>
      </c>
      <c r="S1592" s="1">
        <f>IFERROR(__xludf.DUMMYFUNCTION("""COMPUTED_VALUE"""),1.0)</f>
        <v>1</v>
      </c>
      <c r="T1592" s="1">
        <f>IFERROR(__xludf.DUMMYFUNCTION("""COMPUTED_VALUE"""),2.75)</f>
        <v>2.75</v>
      </c>
      <c r="U1592" s="2">
        <f>IFERROR(__xludf.DUMMYFUNCTION("""COMPUTED_VALUE"""),3.75)</f>
        <v>3.75</v>
      </c>
      <c r="V1592" s="1" t="str">
        <f>IFERROR(__xludf.DUMMYFUNCTION("""COMPUTED_VALUE"""),"Jahmie Mae Barrameda")</f>
        <v>Jahmie Mae Barrameda</v>
      </c>
      <c r="W1592" s="1" t="str">
        <f>IFERROR(__xludf.DUMMYFUNCTION("""COMPUTED_VALUE"""),"Advanced Billing &amp; Subscriptions")</f>
        <v>Advanced Billing &amp; Subscriptions</v>
      </c>
    </row>
    <row r="1593">
      <c r="O1593" s="1" t="str">
        <f>IFERROR(__xludf.DUMMYFUNCTION("""COMPUTED_VALUE"""),"2025 Nov")</f>
        <v>2025 Nov</v>
      </c>
      <c r="P1593" s="1" t="str">
        <f>IFERROR(__xludf.DUMMYFUNCTION("""COMPUTED_VALUE"""),"Core Product Support")</f>
        <v>Core Product Support</v>
      </c>
      <c r="Q1593" s="1" t="str">
        <f>IFERROR(__xludf.DUMMYFUNCTION("""COMPUTED_VALUE"""),"lovejoyce@canva.com")</f>
        <v>lovejoyce@canva.com</v>
      </c>
      <c r="R1593" s="1" t="str">
        <f>IFERROR(__xludf.DUMMYFUNCTION("""COMPUTED_VALUE"""),"Love Joyce Pasagui")</f>
        <v>Love Joyce Pasagui</v>
      </c>
      <c r="S1593" s="1">
        <f>IFERROR(__xludf.DUMMYFUNCTION("""COMPUTED_VALUE"""),1.5)</f>
        <v>1.5</v>
      </c>
      <c r="T1593" s="1">
        <f>IFERROR(__xludf.DUMMYFUNCTION("""COMPUTED_VALUE"""),10.83)</f>
        <v>10.83</v>
      </c>
      <c r="U1593" s="2">
        <f>IFERROR(__xludf.DUMMYFUNCTION("""COMPUTED_VALUE"""),12.33)</f>
        <v>12.33</v>
      </c>
      <c r="V1593" s="1" t="str">
        <f>IFERROR(__xludf.DUMMYFUNCTION("""COMPUTED_VALUE"""),"Jelyn Elmido")</f>
        <v>Jelyn Elmido</v>
      </c>
      <c r="W1593" s="1" t="str">
        <f>IFERROR(__xludf.DUMMYFUNCTION("""COMPUTED_VALUE"""),"Core Product Support Escalation Team")</f>
        <v>Core Product Support Escalation Team</v>
      </c>
    </row>
    <row r="1594">
      <c r="O1594" s="1" t="str">
        <f>IFERROR(__xludf.DUMMYFUNCTION("""COMPUTED_VALUE"""),"2025 Nov")</f>
        <v>2025 Nov</v>
      </c>
      <c r="P1594" s="1" t="str">
        <f>IFERROR(__xludf.DUMMYFUNCTION("""COMPUTED_VALUE"""),"Print Support")</f>
        <v>Print Support</v>
      </c>
      <c r="Q1594" s="1" t="str">
        <f>IFERROR(__xludf.DUMMYFUNCTION("""COMPUTED_VALUE"""),"rlsalomia@canva.com")</f>
        <v>rlsalomia@canva.com</v>
      </c>
      <c r="R1594" s="1" t="str">
        <f>IFERROR(__xludf.DUMMYFUNCTION("""COMPUTED_VALUE"""),"Luis Salomia")</f>
        <v>Luis Salomia</v>
      </c>
      <c r="S1594" s="1"/>
      <c r="T1594" s="1">
        <f>IFERROR(__xludf.DUMMYFUNCTION("""COMPUTED_VALUE"""),1.42)</f>
        <v>1.42</v>
      </c>
      <c r="U1594" s="2">
        <f>IFERROR(__xludf.DUMMYFUNCTION("""COMPUTED_VALUE"""),1.42)</f>
        <v>1.42</v>
      </c>
      <c r="V1594" s="1" t="str">
        <f>IFERROR(__xludf.DUMMYFUNCTION("""COMPUTED_VALUE"""),"Louise Dianne Estrella")</f>
        <v>Louise Dianne Estrella</v>
      </c>
      <c r="W1594" s="1" t="str">
        <f>IFERROR(__xludf.DUMMYFUNCTION("""COMPUTED_VALUE"""),"Print Support PH")</f>
        <v>Print Support PH</v>
      </c>
    </row>
    <row r="1595">
      <c r="O1595" s="1" t="str">
        <f>IFERROR(__xludf.DUMMYFUNCTION("""COMPUTED_VALUE"""),"2025 Nov")</f>
        <v>2025 Nov</v>
      </c>
      <c r="P1595" s="1" t="str">
        <f>IFERROR(__xludf.DUMMYFUNCTION("""COMPUTED_VALUE"""),"Admin Support")</f>
        <v>Admin Support</v>
      </c>
      <c r="Q1595" s="1" t="str">
        <f>IFERROR(__xludf.DUMMYFUNCTION("""COMPUTED_VALUE"""),"lyzdr@canva.com")</f>
        <v>lyzdr@canva.com</v>
      </c>
      <c r="R1595" s="1" t="str">
        <f>IFERROR(__xludf.DUMMYFUNCTION("""COMPUTED_VALUE"""),"Lyzza Del Rosario")</f>
        <v>Lyzza Del Rosario</v>
      </c>
      <c r="S1595" s="1"/>
      <c r="T1595" s="1">
        <f>IFERROR(__xludf.DUMMYFUNCTION("""COMPUTED_VALUE"""),7.75)</f>
        <v>7.75</v>
      </c>
      <c r="U1595" s="2">
        <f>IFERROR(__xludf.DUMMYFUNCTION("""COMPUTED_VALUE"""),7.75)</f>
        <v>7.75</v>
      </c>
      <c r="V1595" s="1" t="str">
        <f>IFERROR(__xludf.DUMMYFUNCTION("""COMPUTED_VALUE"""),"Ann Dumlao")</f>
        <v>Ann Dumlao</v>
      </c>
      <c r="W1595" s="1" t="str">
        <f>IFERROR(__xludf.DUMMYFUNCTION("""COMPUTED_VALUE"""),"Admin Omni Support")</f>
        <v>Admin Omni Support</v>
      </c>
    </row>
    <row r="1596">
      <c r="O1596" s="1" t="str">
        <f>IFERROR(__xludf.DUMMYFUNCTION("""COMPUTED_VALUE"""),"2025 Nov")</f>
        <v>2025 Nov</v>
      </c>
      <c r="P1596" s="1" t="str">
        <f>IFERROR(__xludf.DUMMYFUNCTION("""COMPUTED_VALUE"""),"Admin Support")</f>
        <v>Admin Support</v>
      </c>
      <c r="Q1596" s="1" t="str">
        <f>IFERROR(__xludf.DUMMYFUNCTION("""COMPUTED_VALUE"""),"mac@canva.com")</f>
        <v>mac@canva.com</v>
      </c>
      <c r="R1596" s="1" t="str">
        <f>IFERROR(__xludf.DUMMYFUNCTION("""COMPUTED_VALUE"""),"Mac Mendoza")</f>
        <v>Mac Mendoza</v>
      </c>
      <c r="S1596" s="1"/>
      <c r="T1596" s="1">
        <f>IFERROR(__xludf.DUMMYFUNCTION("""COMPUTED_VALUE"""),16.75)</f>
        <v>16.75</v>
      </c>
      <c r="U1596" s="2">
        <f>IFERROR(__xludf.DUMMYFUNCTION("""COMPUTED_VALUE"""),16.75)</f>
        <v>16.75</v>
      </c>
      <c r="V1596" s="1" t="str">
        <f>IFERROR(__xludf.DUMMYFUNCTION("""COMPUTED_VALUE"""),"Ann Dumlao")</f>
        <v>Ann Dumlao</v>
      </c>
      <c r="W1596" s="1" t="str">
        <f>IFERROR(__xludf.DUMMYFUNCTION("""COMPUTED_VALUE"""),"Admin Omni Support")</f>
        <v>Admin Omni Support</v>
      </c>
    </row>
    <row r="1597">
      <c r="O1597" s="1" t="str">
        <f>IFERROR(__xludf.DUMMYFUNCTION("""COMPUTED_VALUE"""),"2025 Nov")</f>
        <v>2025 Nov</v>
      </c>
      <c r="P1597" s="1" t="str">
        <f>IFERROR(__xludf.DUMMYFUNCTION("""COMPUTED_VALUE"""),"High Sensitivity Support")</f>
        <v>High Sensitivity Support</v>
      </c>
      <c r="Q1597" s="1" t="str">
        <f>IFERROR(__xludf.DUMMYFUNCTION("""COMPUTED_VALUE"""),"macie@canva.com")</f>
        <v>macie@canva.com</v>
      </c>
      <c r="R1597" s="1" t="str">
        <f>IFERROR(__xludf.DUMMYFUNCTION("""COMPUTED_VALUE"""),"Macie del Mundo")</f>
        <v>Macie del Mundo</v>
      </c>
      <c r="S1597" s="1">
        <f>IFERROR(__xludf.DUMMYFUNCTION("""COMPUTED_VALUE"""),5.75)</f>
        <v>5.75</v>
      </c>
      <c r="T1597" s="1">
        <f>IFERROR(__xludf.DUMMYFUNCTION("""COMPUTED_VALUE"""),3.75)</f>
        <v>3.75</v>
      </c>
      <c r="U1597" s="2">
        <f>IFERROR(__xludf.DUMMYFUNCTION("""COMPUTED_VALUE"""),9.5)</f>
        <v>9.5</v>
      </c>
      <c r="V1597" s="1" t="str">
        <f>IFERROR(__xludf.DUMMYFUNCTION("""COMPUTED_VALUE"""),"Rossheen Pura")</f>
        <v>Rossheen Pura</v>
      </c>
      <c r="W1597" s="1" t="str">
        <f>IFERROR(__xludf.DUMMYFUNCTION("""COMPUTED_VALUE"""),"High Sensitivity Support PH")</f>
        <v>High Sensitivity Support PH</v>
      </c>
    </row>
    <row r="1598">
      <c r="O1598" s="1" t="str">
        <f>IFERROR(__xludf.DUMMYFUNCTION("""COMPUTED_VALUE"""),"2025 Nov")</f>
        <v>2025 Nov</v>
      </c>
      <c r="P1598" s="1" t="str">
        <f>IFERROR(__xludf.DUMMYFUNCTION("""COMPUTED_VALUE"""),"Core Product Support")</f>
        <v>Core Product Support</v>
      </c>
      <c r="Q1598" s="1" t="str">
        <f>IFERROR(__xludf.DUMMYFUNCTION("""COMPUTED_VALUE"""),"mackievitacion@canva.com")</f>
        <v>mackievitacion@canva.com</v>
      </c>
      <c r="R1598" s="1" t="str">
        <f>IFERROR(__xludf.DUMMYFUNCTION("""COMPUTED_VALUE"""),"Mackie Vitacion")</f>
        <v>Mackie Vitacion</v>
      </c>
      <c r="S1598" s="1">
        <f>IFERROR(__xludf.DUMMYFUNCTION("""COMPUTED_VALUE"""),0.5)</f>
        <v>0.5</v>
      </c>
      <c r="T1598" s="1">
        <f>IFERROR(__xludf.DUMMYFUNCTION("""COMPUTED_VALUE"""),1.75)</f>
        <v>1.75</v>
      </c>
      <c r="U1598" s="2">
        <f>IFERROR(__xludf.DUMMYFUNCTION("""COMPUTED_VALUE"""),2.25)</f>
        <v>2.25</v>
      </c>
      <c r="V1598" s="1" t="str">
        <f>IFERROR(__xludf.DUMMYFUNCTION("""COMPUTED_VALUE"""),"Vinz Lazaro")</f>
        <v>Vinz Lazaro</v>
      </c>
      <c r="W1598" s="1" t="str">
        <f>IFERROR(__xludf.DUMMYFUNCTION("""COMPUTED_VALUE"""),"Advanced Product Support")</f>
        <v>Advanced Product Support</v>
      </c>
    </row>
    <row r="1599">
      <c r="O1599" s="1" t="str">
        <f>IFERROR(__xludf.DUMMYFUNCTION("""COMPUTED_VALUE"""),"2025 Nov")</f>
        <v>2025 Nov</v>
      </c>
      <c r="P1599" s="1" t="str">
        <f>IFERROR(__xludf.DUMMYFUNCTION("""COMPUTED_VALUE"""),"High Sensitivity Support")</f>
        <v>High Sensitivity Support</v>
      </c>
      <c r="Q1599" s="1" t="str">
        <f>IFERROR(__xludf.DUMMYFUNCTION("""COMPUTED_VALUE"""),"mariav@canva.com")</f>
        <v>mariav@canva.com</v>
      </c>
      <c r="R1599" s="1" t="str">
        <f>IFERROR(__xludf.DUMMYFUNCTION("""COMPUTED_VALUE"""),"Maria Vergara")</f>
        <v>Maria Vergara</v>
      </c>
      <c r="S1599" s="1">
        <f>IFERROR(__xludf.DUMMYFUNCTION("""COMPUTED_VALUE"""),11.25)</f>
        <v>11.25</v>
      </c>
      <c r="T1599" s="1">
        <f>IFERROR(__xludf.DUMMYFUNCTION("""COMPUTED_VALUE"""),3.75)</f>
        <v>3.75</v>
      </c>
      <c r="U1599" s="2">
        <f>IFERROR(__xludf.DUMMYFUNCTION("""COMPUTED_VALUE"""),15.0)</f>
        <v>15</v>
      </c>
      <c r="V1599" s="1" t="str">
        <f>IFERROR(__xludf.DUMMYFUNCTION("""COMPUTED_VALUE"""),"Xandy Azarcon")</f>
        <v>Xandy Azarcon</v>
      </c>
      <c r="W1599" s="1" t="str">
        <f>IFERROR(__xludf.DUMMYFUNCTION("""COMPUTED_VALUE"""),"High Sensitivity Support PH")</f>
        <v>High Sensitivity Support PH</v>
      </c>
    </row>
    <row r="1600">
      <c r="O1600" s="1" t="str">
        <f>IFERROR(__xludf.DUMMYFUNCTION("""COMPUTED_VALUE"""),"2025 Nov")</f>
        <v>2025 Nov</v>
      </c>
      <c r="P1600" s="1" t="str">
        <f>IFERROR(__xludf.DUMMYFUNCTION("""COMPUTED_VALUE"""),"Core Product Support")</f>
        <v>Core Product Support</v>
      </c>
      <c r="Q1600" s="1" t="str">
        <f>IFERROR(__xludf.DUMMYFUNCTION("""COMPUTED_VALUE"""),"mariz@canva.com")</f>
        <v>mariz@canva.com</v>
      </c>
      <c r="R1600" s="1" t="str">
        <f>IFERROR(__xludf.DUMMYFUNCTION("""COMPUTED_VALUE"""),"Mariz Gain")</f>
        <v>Mariz Gain</v>
      </c>
      <c r="S1600" s="1">
        <f>IFERROR(__xludf.DUMMYFUNCTION("""COMPUTED_VALUE"""),0.5)</f>
        <v>0.5</v>
      </c>
      <c r="T1600" s="1">
        <f>IFERROR(__xludf.DUMMYFUNCTION("""COMPUTED_VALUE"""),3.25)</f>
        <v>3.25</v>
      </c>
      <c r="U1600" s="2">
        <f>IFERROR(__xludf.DUMMYFUNCTION("""COMPUTED_VALUE"""),3.75)</f>
        <v>3.75</v>
      </c>
      <c r="V1600" s="1" t="str">
        <f>IFERROR(__xludf.DUMMYFUNCTION("""COMPUTED_VALUE"""),"Ana Lazaro")</f>
        <v>Ana Lazaro</v>
      </c>
      <c r="W1600" s="1" t="str">
        <f>IFERROR(__xludf.DUMMYFUNCTION("""COMPUTED_VALUE"""),"Advanced Billing &amp; Subscriptions")</f>
        <v>Advanced Billing &amp; Subscriptions</v>
      </c>
    </row>
    <row r="1601">
      <c r="O1601" s="1" t="str">
        <f>IFERROR(__xludf.DUMMYFUNCTION("""COMPUTED_VALUE"""),"2025 Nov")</f>
        <v>2025 Nov</v>
      </c>
      <c r="P1601" s="1" t="str">
        <f>IFERROR(__xludf.DUMMYFUNCTION("""COMPUTED_VALUE"""),"Print Support")</f>
        <v>Print Support</v>
      </c>
      <c r="Q1601" s="1" t="str">
        <f>IFERROR(__xludf.DUMMYFUNCTION("""COMPUTED_VALUE"""),"mpalermo@canva.com")</f>
        <v>mpalermo@canva.com</v>
      </c>
      <c r="R1601" s="1" t="str">
        <f>IFERROR(__xludf.DUMMYFUNCTION("""COMPUTED_VALUE"""),"Marjorie Tsao")</f>
        <v>Marjorie Tsao</v>
      </c>
      <c r="S1601" s="1"/>
      <c r="T1601" s="1">
        <f>IFERROR(__xludf.DUMMYFUNCTION("""COMPUTED_VALUE"""),2.75)</f>
        <v>2.75</v>
      </c>
      <c r="U1601" s="2">
        <f>IFERROR(__xludf.DUMMYFUNCTION("""COMPUTED_VALUE"""),2.75)</f>
        <v>2.75</v>
      </c>
      <c r="V1601" s="1" t="str">
        <f>IFERROR(__xludf.DUMMYFUNCTION("""COMPUTED_VALUE"""),"Louise Dianne Estrella")</f>
        <v>Louise Dianne Estrella</v>
      </c>
      <c r="W1601" s="1" t="str">
        <f>IFERROR(__xludf.DUMMYFUNCTION("""COMPUTED_VALUE"""),"Print Support PH")</f>
        <v>Print Support PH</v>
      </c>
    </row>
    <row r="1602">
      <c r="O1602" s="1" t="str">
        <f>IFERROR(__xludf.DUMMYFUNCTION("""COMPUTED_VALUE"""),"2025 Nov")</f>
        <v>2025 Nov</v>
      </c>
      <c r="P1602" s="1" t="str">
        <f>IFERROR(__xludf.DUMMYFUNCTION("""COMPUTED_VALUE"""),"Core Product Support")</f>
        <v>Core Product Support</v>
      </c>
      <c r="Q1602" s="1" t="str">
        <f>IFERROR(__xludf.DUMMYFUNCTION("""COMPUTED_VALUE"""),"martyl@canva.com")</f>
        <v>martyl@canva.com</v>
      </c>
      <c r="R1602" s="1" t="str">
        <f>IFERROR(__xludf.DUMMYFUNCTION("""COMPUTED_VALUE"""),"Marty Lozada")</f>
        <v>Marty Lozada</v>
      </c>
      <c r="S1602" s="1"/>
      <c r="T1602" s="1">
        <f>IFERROR(__xludf.DUMMYFUNCTION("""COMPUTED_VALUE"""),3.75)</f>
        <v>3.75</v>
      </c>
      <c r="U1602" s="2">
        <f>IFERROR(__xludf.DUMMYFUNCTION("""COMPUTED_VALUE"""),3.75)</f>
        <v>3.75</v>
      </c>
      <c r="V1602" s="1" t="str">
        <f>IFERROR(__xludf.DUMMYFUNCTION("""COMPUTED_VALUE"""),"Vinz Lazaro")</f>
        <v>Vinz Lazaro</v>
      </c>
      <c r="W1602" s="1" t="str">
        <f>IFERROR(__xludf.DUMMYFUNCTION("""COMPUTED_VALUE"""),"Advanced Product Support")</f>
        <v>Advanced Product Support</v>
      </c>
    </row>
    <row r="1603">
      <c r="O1603" s="1" t="str">
        <f>IFERROR(__xludf.DUMMYFUNCTION("""COMPUTED_VALUE"""),"2025 Nov")</f>
        <v>2025 Nov</v>
      </c>
      <c r="P1603" s="1" t="str">
        <f>IFERROR(__xludf.DUMMYFUNCTION("""COMPUTED_VALUE"""),"High Sensitivity Support")</f>
        <v>High Sensitivity Support</v>
      </c>
      <c r="Q1603" s="1" t="str">
        <f>IFERROR(__xludf.DUMMYFUNCTION("""COMPUTED_VALUE"""),"mayann@canva.com")</f>
        <v>mayann@canva.com</v>
      </c>
      <c r="R1603" s="1" t="str">
        <f>IFERROR(__xludf.DUMMYFUNCTION("""COMPUTED_VALUE"""),"May Ann Caguioa")</f>
        <v>May Ann Caguioa</v>
      </c>
      <c r="S1603" s="1">
        <f>IFERROR(__xludf.DUMMYFUNCTION("""COMPUTED_VALUE"""),8.75)</f>
        <v>8.75</v>
      </c>
      <c r="T1603" s="1">
        <f>IFERROR(__xludf.DUMMYFUNCTION("""COMPUTED_VALUE"""),3.82)</f>
        <v>3.82</v>
      </c>
      <c r="U1603" s="2">
        <f>IFERROR(__xludf.DUMMYFUNCTION("""COMPUTED_VALUE"""),12.57)</f>
        <v>12.57</v>
      </c>
      <c r="V1603" s="1" t="str">
        <f>IFERROR(__xludf.DUMMYFUNCTION("""COMPUTED_VALUE"""),"Rossheen Pura")</f>
        <v>Rossheen Pura</v>
      </c>
      <c r="W1603" s="1" t="str">
        <f>IFERROR(__xludf.DUMMYFUNCTION("""COMPUTED_VALUE"""),"High Sensitivity Support PH")</f>
        <v>High Sensitivity Support PH</v>
      </c>
    </row>
    <row r="1604">
      <c r="O1604" s="1" t="str">
        <f>IFERROR(__xludf.DUMMYFUNCTION("""COMPUTED_VALUE"""),"2025 Nov")</f>
        <v>2025 Nov</v>
      </c>
      <c r="P1604" s="1" t="str">
        <f>IFERROR(__xludf.DUMMYFUNCTION("""COMPUTED_VALUE"""),"Core Product Support")</f>
        <v>Core Product Support</v>
      </c>
      <c r="Q1604" s="1" t="str">
        <f>IFERROR(__xludf.DUMMYFUNCTION("""COMPUTED_VALUE"""),"mccoyc@canva.com")</f>
        <v>mccoyc@canva.com</v>
      </c>
      <c r="R1604" s="1" t="str">
        <f>IFERROR(__xludf.DUMMYFUNCTION("""COMPUTED_VALUE"""),"McCoy Cacanindin")</f>
        <v>McCoy Cacanindin</v>
      </c>
      <c r="S1604" s="1">
        <f>IFERROR(__xludf.DUMMYFUNCTION("""COMPUTED_VALUE"""),0.5)</f>
        <v>0.5</v>
      </c>
      <c r="T1604" s="1">
        <f>IFERROR(__xludf.DUMMYFUNCTION("""COMPUTED_VALUE"""),1.75)</f>
        <v>1.75</v>
      </c>
      <c r="U1604" s="2">
        <f>IFERROR(__xludf.DUMMYFUNCTION("""COMPUTED_VALUE"""),2.25)</f>
        <v>2.25</v>
      </c>
      <c r="V1604" s="1" t="str">
        <f>IFERROR(__xludf.DUMMYFUNCTION("""COMPUTED_VALUE"""),"Vinz Lazaro")</f>
        <v>Vinz Lazaro</v>
      </c>
      <c r="W1604" s="1" t="str">
        <f>IFERROR(__xludf.DUMMYFUNCTION("""COMPUTED_VALUE"""),"Advanced Product Support")</f>
        <v>Advanced Product Support</v>
      </c>
    </row>
    <row r="1605">
      <c r="O1605" s="1" t="str">
        <f>IFERROR(__xludf.DUMMYFUNCTION("""COMPUTED_VALUE"""),"2025 Nov")</f>
        <v>2025 Nov</v>
      </c>
      <c r="P1605" s="1" t="str">
        <f>IFERROR(__xludf.DUMMYFUNCTION("""COMPUTED_VALUE"""),"High Sensitivity Support")</f>
        <v>High Sensitivity Support</v>
      </c>
      <c r="Q1605" s="1" t="str">
        <f>IFERROR(__xludf.DUMMYFUNCTION("""COMPUTED_VALUE"""),"mlabio@canva.com")</f>
        <v>mlabio@canva.com</v>
      </c>
      <c r="R1605" s="1" t="str">
        <f>IFERROR(__xludf.DUMMYFUNCTION("""COMPUTED_VALUE"""),"Melanie Labio")</f>
        <v>Melanie Labio</v>
      </c>
      <c r="S1605" s="1">
        <f>IFERROR(__xludf.DUMMYFUNCTION("""COMPUTED_VALUE"""),12.0)</f>
        <v>12</v>
      </c>
      <c r="T1605" s="1">
        <f>IFERROR(__xludf.DUMMYFUNCTION("""COMPUTED_VALUE"""),3.75)</f>
        <v>3.75</v>
      </c>
      <c r="U1605" s="2">
        <f>IFERROR(__xludf.DUMMYFUNCTION("""COMPUTED_VALUE"""),15.75)</f>
        <v>15.75</v>
      </c>
      <c r="V1605" s="1" t="str">
        <f>IFERROR(__xludf.DUMMYFUNCTION("""COMPUTED_VALUE"""),"Xandy Azarcon")</f>
        <v>Xandy Azarcon</v>
      </c>
      <c r="W1605" s="1" t="str">
        <f>IFERROR(__xludf.DUMMYFUNCTION("""COMPUTED_VALUE"""),"High Sensitivity Support PH")</f>
        <v>High Sensitivity Support PH</v>
      </c>
    </row>
    <row r="1606">
      <c r="O1606" s="1" t="str">
        <f>IFERROR(__xludf.DUMMYFUNCTION("""COMPUTED_VALUE"""),"2025 Nov")</f>
        <v>2025 Nov</v>
      </c>
      <c r="P1606" s="1" t="str">
        <f>IFERROR(__xludf.DUMMYFUNCTION("""COMPUTED_VALUE"""),"Admin Support")</f>
        <v>Admin Support</v>
      </c>
      <c r="Q1606" s="1" t="str">
        <f>IFERROR(__xludf.DUMMYFUNCTION("""COMPUTED_VALUE"""),"mmicah@canva.com")</f>
        <v>mmicah@canva.com</v>
      </c>
      <c r="R1606" s="1" t="str">
        <f>IFERROR(__xludf.DUMMYFUNCTION("""COMPUTED_VALUE"""),"Micah Geneviv Marcos")</f>
        <v>Micah Geneviv Marcos</v>
      </c>
      <c r="S1606" s="1"/>
      <c r="T1606" s="1">
        <f>IFERROR(__xludf.DUMMYFUNCTION("""COMPUTED_VALUE"""),1.0)</f>
        <v>1</v>
      </c>
      <c r="U1606" s="2">
        <f>IFERROR(__xludf.DUMMYFUNCTION("""COMPUTED_VALUE"""),1.0)</f>
        <v>1</v>
      </c>
      <c r="V1606" s="1" t="str">
        <f>IFERROR(__xludf.DUMMYFUNCTION("""COMPUTED_VALUE"""),"Karla Mananghaya")</f>
        <v>Karla Mananghaya</v>
      </c>
      <c r="W1606" s="1" t="str">
        <f>IFERROR(__xludf.DUMMYFUNCTION("""COMPUTED_VALUE"""),"Admin Support Service Escalation Team")</f>
        <v>Admin Support Service Escalation Team</v>
      </c>
    </row>
    <row r="1607">
      <c r="O1607" s="1" t="str">
        <f>IFERROR(__xludf.DUMMYFUNCTION("""COMPUTED_VALUE"""),"2025 Nov")</f>
        <v>2025 Nov</v>
      </c>
      <c r="P1607" s="1" t="str">
        <f>IFERROR(__xludf.DUMMYFUNCTION("""COMPUTED_VALUE"""),"Core Product Support")</f>
        <v>Core Product Support</v>
      </c>
      <c r="Q1607" s="1" t="str">
        <f>IFERROR(__xludf.DUMMYFUNCTION("""COMPUTED_VALUE"""),"nas@canva.com")</f>
        <v>nas@canva.com</v>
      </c>
      <c r="R1607" s="1" t="str">
        <f>IFERROR(__xludf.DUMMYFUNCTION("""COMPUTED_VALUE"""),"Miggy De Vibar")</f>
        <v>Miggy De Vibar</v>
      </c>
      <c r="S1607" s="1">
        <f>IFERROR(__xludf.DUMMYFUNCTION("""COMPUTED_VALUE"""),0.5)</f>
        <v>0.5</v>
      </c>
      <c r="T1607" s="1">
        <f>IFERROR(__xludf.DUMMYFUNCTION("""COMPUTED_VALUE"""),3.5)</f>
        <v>3.5</v>
      </c>
      <c r="U1607" s="2">
        <f>IFERROR(__xludf.DUMMYFUNCTION("""COMPUTED_VALUE"""),4.0)</f>
        <v>4</v>
      </c>
      <c r="V1607" s="1" t="str">
        <f>IFERROR(__xludf.DUMMYFUNCTION("""COMPUTED_VALUE"""),"Belle Bentazal")</f>
        <v>Belle Bentazal</v>
      </c>
      <c r="W1607" s="1" t="str">
        <f>IFERROR(__xludf.DUMMYFUNCTION("""COMPUTED_VALUE"""),"Advanced Product Support")</f>
        <v>Advanced Product Support</v>
      </c>
    </row>
    <row r="1608">
      <c r="O1608" s="1" t="str">
        <f>IFERROR(__xludf.DUMMYFUNCTION("""COMPUTED_VALUE"""),"2025 Nov")</f>
        <v>2025 Nov</v>
      </c>
      <c r="P1608" s="1" t="str">
        <f>IFERROR(__xludf.DUMMYFUNCTION("""COMPUTED_VALUE"""),"Core Product Support")</f>
        <v>Core Product Support</v>
      </c>
      <c r="Q1608" s="1" t="str">
        <f>IFERROR(__xludf.DUMMYFUNCTION("""COMPUTED_VALUE"""),"mika@canva.com")</f>
        <v>mika@canva.com</v>
      </c>
      <c r="R1608" s="1" t="str">
        <f>IFERROR(__xludf.DUMMYFUNCTION("""COMPUTED_VALUE"""),"Mika Magpantay")</f>
        <v>Mika Magpantay</v>
      </c>
      <c r="S1608" s="1">
        <f>IFERROR(__xludf.DUMMYFUNCTION("""COMPUTED_VALUE"""),1.0)</f>
        <v>1</v>
      </c>
      <c r="T1608" s="1">
        <f>IFERROR(__xludf.DUMMYFUNCTION("""COMPUTED_VALUE"""),2.75)</f>
        <v>2.75</v>
      </c>
      <c r="U1608" s="2">
        <f>IFERROR(__xludf.DUMMYFUNCTION("""COMPUTED_VALUE"""),3.75)</f>
        <v>3.75</v>
      </c>
      <c r="V1608" s="1" t="str">
        <f>IFERROR(__xludf.DUMMYFUNCTION("""COMPUTED_VALUE"""),"Jem Mondoñedo")</f>
        <v>Jem Mondoñedo</v>
      </c>
      <c r="W1608" s="1" t="str">
        <f>IFERROR(__xludf.DUMMYFUNCTION("""COMPUTED_VALUE"""),"Advanced Billing &amp; Subscriptions")</f>
        <v>Advanced Billing &amp; Subscriptions</v>
      </c>
    </row>
    <row r="1609">
      <c r="O1609" s="1" t="str">
        <f>IFERROR(__xludf.DUMMYFUNCTION("""COMPUTED_VALUE"""),"2025 Nov")</f>
        <v>2025 Nov</v>
      </c>
      <c r="P1609" s="1" t="str">
        <f>IFERROR(__xludf.DUMMYFUNCTION("""COMPUTED_VALUE"""),"Core Product Support")</f>
        <v>Core Product Support</v>
      </c>
      <c r="Q1609" s="1" t="str">
        <f>IFERROR(__xludf.DUMMYFUNCTION("""COMPUTED_VALUE"""),"mirielle@canva.com")</f>
        <v>mirielle@canva.com</v>
      </c>
      <c r="R1609" s="1" t="str">
        <f>IFERROR(__xludf.DUMMYFUNCTION("""COMPUTED_VALUE"""),"Mirielle Frances de Lara")</f>
        <v>Mirielle Frances de Lara</v>
      </c>
      <c r="S1609" s="1">
        <f>IFERROR(__xludf.DUMMYFUNCTION("""COMPUTED_VALUE"""),0.43)</f>
        <v>0.43</v>
      </c>
      <c r="T1609" s="1">
        <f>IFERROR(__xludf.DUMMYFUNCTION("""COMPUTED_VALUE"""),4.17)</f>
        <v>4.17</v>
      </c>
      <c r="U1609" s="2">
        <f>IFERROR(__xludf.DUMMYFUNCTION("""COMPUTED_VALUE"""),4.6)</f>
        <v>4.6</v>
      </c>
      <c r="V1609" s="1" t="str">
        <f>IFERROR(__xludf.DUMMYFUNCTION("""COMPUTED_VALUE"""),"Belle Bentazal")</f>
        <v>Belle Bentazal</v>
      </c>
      <c r="W1609" s="1" t="str">
        <f>IFERROR(__xludf.DUMMYFUNCTION("""COMPUTED_VALUE"""),"Advanced Product Support")</f>
        <v>Advanced Product Support</v>
      </c>
    </row>
    <row r="1610">
      <c r="O1610" s="1" t="str">
        <f>IFERROR(__xludf.DUMMYFUNCTION("""COMPUTED_VALUE"""),"2025 Nov")</f>
        <v>2025 Nov</v>
      </c>
      <c r="P1610" s="1" t="str">
        <f>IFERROR(__xludf.DUMMYFUNCTION("""COMPUTED_VALUE"""),"Admin Support")</f>
        <v>Admin Support</v>
      </c>
      <c r="Q1610" s="1" t="str">
        <f>IFERROR(__xludf.DUMMYFUNCTION("""COMPUTED_VALUE"""),"mjb@canva.com")</f>
        <v>mjb@canva.com</v>
      </c>
      <c r="R1610" s="1" t="str">
        <f>IFERROR(__xludf.DUMMYFUNCTION("""COMPUTED_VALUE"""),"MJ Billon")</f>
        <v>MJ Billon</v>
      </c>
      <c r="S1610" s="1"/>
      <c r="T1610" s="1">
        <f>IFERROR(__xludf.DUMMYFUNCTION("""COMPUTED_VALUE"""),21.0)</f>
        <v>21</v>
      </c>
      <c r="U1610" s="2">
        <f>IFERROR(__xludf.DUMMYFUNCTION("""COMPUTED_VALUE"""),21.0)</f>
        <v>21</v>
      </c>
      <c r="V1610" s="1" t="str">
        <f>IFERROR(__xludf.DUMMYFUNCTION("""COMPUTED_VALUE"""),"Ann Dumlao")</f>
        <v>Ann Dumlao</v>
      </c>
      <c r="W1610" s="1" t="str">
        <f>IFERROR(__xludf.DUMMYFUNCTION("""COMPUTED_VALUE"""),"Admin Omni Support")</f>
        <v>Admin Omni Support</v>
      </c>
    </row>
    <row r="1611">
      <c r="O1611" s="1" t="str">
        <f>IFERROR(__xludf.DUMMYFUNCTION("""COMPUTED_VALUE"""),"2025 Nov")</f>
        <v>2025 Nov</v>
      </c>
      <c r="P1611" s="1" t="str">
        <f>IFERROR(__xludf.DUMMYFUNCTION("""COMPUTED_VALUE"""),"Segment-specific Support")</f>
        <v>Segment-specific Support</v>
      </c>
      <c r="Q1611" s="1" t="str">
        <f>IFERROR(__xludf.DUMMYFUNCTION("""COMPUTED_VALUE"""),"molli@canva.com")</f>
        <v>molli@canva.com</v>
      </c>
      <c r="R1611" s="1" t="str">
        <f>IFERROR(__xludf.DUMMYFUNCTION("""COMPUTED_VALUE"""),"MJ Sol")</f>
        <v>MJ Sol</v>
      </c>
      <c r="S1611" s="1"/>
      <c r="T1611" s="1">
        <f>IFERROR(__xludf.DUMMYFUNCTION("""COMPUTED_VALUE"""),1.25)</f>
        <v>1.25</v>
      </c>
      <c r="U1611" s="2">
        <f>IFERROR(__xludf.DUMMYFUNCTION("""COMPUTED_VALUE"""),1.25)</f>
        <v>1.25</v>
      </c>
      <c r="V1611" s="1" t="str">
        <f>IFERROR(__xludf.DUMMYFUNCTION("""COMPUTED_VALUE"""),"Aileen Dayanghirang")</f>
        <v>Aileen Dayanghirang</v>
      </c>
      <c r="W1611" s="1" t="str">
        <f>IFERROR(__xludf.DUMMYFUNCTION("""COMPUTED_VALUE"""),"Creators Support")</f>
        <v>Creators Support</v>
      </c>
    </row>
    <row r="1612">
      <c r="O1612" s="1" t="str">
        <f>IFERROR(__xludf.DUMMYFUNCTION("""COMPUTED_VALUE"""),"2025 Nov")</f>
        <v>2025 Nov</v>
      </c>
      <c r="P1612" s="1" t="str">
        <f>IFERROR(__xludf.DUMMYFUNCTION("""COMPUTED_VALUE"""),"Core Product Support")</f>
        <v>Core Product Support</v>
      </c>
      <c r="Q1612" s="1" t="str">
        <f>IFERROR(__xludf.DUMMYFUNCTION("""COMPUTED_VALUE"""),"raymondc@canva.com")</f>
        <v>raymondc@canva.com</v>
      </c>
      <c r="R1612" s="1" t="str">
        <f>IFERROR(__xludf.DUMMYFUNCTION("""COMPUTED_VALUE"""),"Mond Catimbang")</f>
        <v>Mond Catimbang</v>
      </c>
      <c r="S1612" s="1">
        <f>IFERROR(__xludf.DUMMYFUNCTION("""COMPUTED_VALUE"""),0.5)</f>
        <v>0.5</v>
      </c>
      <c r="T1612" s="1">
        <f>IFERROR(__xludf.DUMMYFUNCTION("""COMPUTED_VALUE"""),2.75)</f>
        <v>2.75</v>
      </c>
      <c r="U1612" s="2">
        <f>IFERROR(__xludf.DUMMYFUNCTION("""COMPUTED_VALUE"""),3.25)</f>
        <v>3.25</v>
      </c>
      <c r="V1612" s="1" t="str">
        <f>IFERROR(__xludf.DUMMYFUNCTION("""COMPUTED_VALUE"""),"Jem Mondoñedo")</f>
        <v>Jem Mondoñedo</v>
      </c>
      <c r="W1612" s="1" t="str">
        <f>IFERROR(__xludf.DUMMYFUNCTION("""COMPUTED_VALUE"""),"Advanced Billing &amp; Subscriptions")</f>
        <v>Advanced Billing &amp; Subscriptions</v>
      </c>
    </row>
    <row r="1613">
      <c r="O1613" s="1" t="str">
        <f>IFERROR(__xludf.DUMMYFUNCTION("""COMPUTED_VALUE"""),"2025 Nov")</f>
        <v>2025 Nov</v>
      </c>
      <c r="P1613" s="1" t="str">
        <f>IFERROR(__xludf.DUMMYFUNCTION("""COMPUTED_VALUE"""),"Print Support")</f>
        <v>Print Support</v>
      </c>
      <c r="Q1613" s="1" t="str">
        <f>IFERROR(__xludf.DUMMYFUNCTION("""COMPUTED_VALUE"""),"natedc@canva.com")</f>
        <v>natedc@canva.com</v>
      </c>
      <c r="R1613" s="1" t="str">
        <f>IFERROR(__xludf.DUMMYFUNCTION("""COMPUTED_VALUE"""),"Nate De la Cruz")</f>
        <v>Nate De la Cruz</v>
      </c>
      <c r="S1613" s="1"/>
      <c r="T1613" s="1">
        <f>IFERROR(__xludf.DUMMYFUNCTION("""COMPUTED_VALUE"""),0.5)</f>
        <v>0.5</v>
      </c>
      <c r="U1613" s="2">
        <f>IFERROR(__xludf.DUMMYFUNCTION("""COMPUTED_VALUE"""),0.5)</f>
        <v>0.5</v>
      </c>
      <c r="V1613" s="1" t="str">
        <f>IFERROR(__xludf.DUMMYFUNCTION("""COMPUTED_VALUE"""),"Gem Agoncillo")</f>
        <v>Gem Agoncillo</v>
      </c>
      <c r="W1613" s="1" t="str">
        <f>IFERROR(__xludf.DUMMYFUNCTION("""COMPUTED_VALUE"""),"Print Design Support")</f>
        <v>Print Design Support</v>
      </c>
    </row>
    <row r="1614">
      <c r="O1614" s="1" t="str">
        <f>IFERROR(__xludf.DUMMYFUNCTION("""COMPUTED_VALUE"""),"2025 Nov")</f>
        <v>2025 Nov</v>
      </c>
      <c r="P1614" s="1" t="str">
        <f>IFERROR(__xludf.DUMMYFUNCTION("""COMPUTED_VALUE"""),"Admin Support")</f>
        <v>Admin Support</v>
      </c>
      <c r="Q1614" s="1" t="str">
        <f>IFERROR(__xludf.DUMMYFUNCTION("""COMPUTED_VALUE"""),"nsahagun@canva.com")</f>
        <v>nsahagun@canva.com</v>
      </c>
      <c r="R1614" s="1" t="str">
        <f>IFERROR(__xludf.DUMMYFUNCTION("""COMPUTED_VALUE"""),"Nathalie Sahagun")</f>
        <v>Nathalie Sahagun</v>
      </c>
      <c r="S1614" s="1">
        <f>IFERROR(__xludf.DUMMYFUNCTION("""COMPUTED_VALUE"""),1.0)</f>
        <v>1</v>
      </c>
      <c r="T1614" s="1">
        <f>IFERROR(__xludf.DUMMYFUNCTION("""COMPUTED_VALUE"""),5.75)</f>
        <v>5.75</v>
      </c>
      <c r="U1614" s="2">
        <f>IFERROR(__xludf.DUMMYFUNCTION("""COMPUTED_VALUE"""),6.75)</f>
        <v>6.75</v>
      </c>
      <c r="V1614" s="1" t="str">
        <f>IFERROR(__xludf.DUMMYFUNCTION("""COMPUTED_VALUE"""),"Nate Vela")</f>
        <v>Nate Vela</v>
      </c>
      <c r="W1614" s="1" t="str">
        <f>IFERROR(__xludf.DUMMYFUNCTION("""COMPUTED_VALUE"""),"Admin Support NA")</f>
        <v>Admin Support NA</v>
      </c>
    </row>
    <row r="1615">
      <c r="O1615" s="1" t="str">
        <f>IFERROR(__xludf.DUMMYFUNCTION("""COMPUTED_VALUE"""),"2025 Nov")</f>
        <v>2025 Nov</v>
      </c>
      <c r="P1615" s="1" t="str">
        <f>IFERROR(__xludf.DUMMYFUNCTION("""COMPUTED_VALUE"""),"#N/A")</f>
        <v>#N/A</v>
      </c>
      <c r="Q1615" s="1" t="str">
        <f>IFERROR(__xludf.DUMMYFUNCTION("""COMPUTED_VALUE"""),"naquiatan@canva.com")</f>
        <v>naquiatan@canva.com</v>
      </c>
      <c r="R1615" s="1" t="str">
        <f>IFERROR(__xludf.DUMMYFUNCTION("""COMPUTED_VALUE"""),"Nathaniel Aquiatan")</f>
        <v>Nathaniel Aquiatan</v>
      </c>
      <c r="S1615" s="1">
        <f>IFERROR(__xludf.DUMMYFUNCTION("""COMPUTED_VALUE"""),14.25)</f>
        <v>14.25</v>
      </c>
      <c r="T1615" s="1">
        <f>IFERROR(__xludf.DUMMYFUNCTION("""COMPUTED_VALUE"""),1.75)</f>
        <v>1.75</v>
      </c>
      <c r="U1615" s="2">
        <f>IFERROR(__xludf.DUMMYFUNCTION("""COMPUTED_VALUE"""),16.0)</f>
        <v>16</v>
      </c>
      <c r="V1615" s="1" t="str">
        <f>IFERROR(__xludf.DUMMYFUNCTION("""COMPUTED_VALUE"""),"#N/A")</f>
        <v>#N/A</v>
      </c>
      <c r="W1615" s="1" t="str">
        <f>IFERROR(__xludf.DUMMYFUNCTION("""COMPUTED_VALUE"""),"#N/A")</f>
        <v>#N/A</v>
      </c>
    </row>
    <row r="1616">
      <c r="O1616" s="1" t="str">
        <f>IFERROR(__xludf.DUMMYFUNCTION("""COMPUTED_VALUE"""),"2025 Nov")</f>
        <v>2025 Nov</v>
      </c>
      <c r="P1616" s="1" t="str">
        <f>IFERROR(__xludf.DUMMYFUNCTION("""COMPUTED_VALUE"""),"Core Product Support")</f>
        <v>Core Product Support</v>
      </c>
      <c r="Q1616" s="1" t="str">
        <f>IFERROR(__xludf.DUMMYFUNCTION("""COMPUTED_VALUE"""),"neeki@canva.com")</f>
        <v>neeki@canva.com</v>
      </c>
      <c r="R1616" s="1" t="str">
        <f>IFERROR(__xludf.DUMMYFUNCTION("""COMPUTED_VALUE"""),"Neeki Asido")</f>
        <v>Neeki Asido</v>
      </c>
      <c r="S1616" s="1">
        <f>IFERROR(__xludf.DUMMYFUNCTION("""COMPUTED_VALUE"""),1.5)</f>
        <v>1.5</v>
      </c>
      <c r="T1616" s="1">
        <f>IFERROR(__xludf.DUMMYFUNCTION("""COMPUTED_VALUE"""),14.67)</f>
        <v>14.67</v>
      </c>
      <c r="U1616" s="2">
        <f>IFERROR(__xludf.DUMMYFUNCTION("""COMPUTED_VALUE"""),16.17)</f>
        <v>16.17</v>
      </c>
      <c r="V1616" s="1" t="str">
        <f>IFERROR(__xludf.DUMMYFUNCTION("""COMPUTED_VALUE"""),"Jelyn Elmido")</f>
        <v>Jelyn Elmido</v>
      </c>
      <c r="W1616" s="1" t="str">
        <f>IFERROR(__xludf.DUMMYFUNCTION("""COMPUTED_VALUE"""),"Core Product Support Escalation Team")</f>
        <v>Core Product Support Escalation Team</v>
      </c>
    </row>
    <row r="1617">
      <c r="O1617" s="1" t="str">
        <f>IFERROR(__xludf.DUMMYFUNCTION("""COMPUTED_VALUE"""),"2025 Nov")</f>
        <v>2025 Nov</v>
      </c>
      <c r="P1617" s="1" t="str">
        <f>IFERROR(__xludf.DUMMYFUNCTION("""COMPUTED_VALUE"""),"Core Product Support")</f>
        <v>Core Product Support</v>
      </c>
      <c r="Q1617" s="1" t="str">
        <f>IFERROR(__xludf.DUMMYFUNCTION("""COMPUTED_VALUE"""),"nicholeb@canva.com")</f>
        <v>nicholeb@canva.com</v>
      </c>
      <c r="R1617" s="1" t="str">
        <f>IFERROR(__xludf.DUMMYFUNCTION("""COMPUTED_VALUE"""),"Nichole Braceliño")</f>
        <v>Nichole Braceliño</v>
      </c>
      <c r="S1617" s="1"/>
      <c r="T1617" s="1">
        <f>IFERROR(__xludf.DUMMYFUNCTION("""COMPUTED_VALUE"""),2.75)</f>
        <v>2.75</v>
      </c>
      <c r="U1617" s="2">
        <f>IFERROR(__xludf.DUMMYFUNCTION("""COMPUTED_VALUE"""),2.75)</f>
        <v>2.75</v>
      </c>
      <c r="V1617" s="1" t="str">
        <f>IFERROR(__xludf.DUMMYFUNCTION("""COMPUTED_VALUE"""),"Renette Bok")</f>
        <v>Renette Bok</v>
      </c>
      <c r="W1617" s="1" t="str">
        <f>IFERROR(__xludf.DUMMYFUNCTION("""COMPUTED_VALUE"""),"Advanced Billing &amp; Subscriptions")</f>
        <v>Advanced Billing &amp; Subscriptions</v>
      </c>
    </row>
    <row r="1618">
      <c r="O1618" s="1" t="str">
        <f>IFERROR(__xludf.DUMMYFUNCTION("""COMPUTED_VALUE"""),"2025 Nov")</f>
        <v>2025 Nov</v>
      </c>
      <c r="P1618" s="1" t="str">
        <f>IFERROR(__xludf.DUMMYFUNCTION("""COMPUTED_VALUE"""),"High Sensitivity Support")</f>
        <v>High Sensitivity Support</v>
      </c>
      <c r="Q1618" s="1" t="str">
        <f>IFERROR(__xludf.DUMMYFUNCTION("""COMPUTED_VALUE"""),"ncruz@canva.com")</f>
        <v>ncruz@canva.com</v>
      </c>
      <c r="R1618" s="1" t="str">
        <f>IFERROR(__xludf.DUMMYFUNCTION("""COMPUTED_VALUE"""),"Nikki Cruz")</f>
        <v>Nikki Cruz</v>
      </c>
      <c r="S1618" s="1"/>
      <c r="T1618" s="1">
        <f>IFERROR(__xludf.DUMMYFUNCTION("""COMPUTED_VALUE"""),1.75)</f>
        <v>1.75</v>
      </c>
      <c r="U1618" s="2">
        <f>IFERROR(__xludf.DUMMYFUNCTION("""COMPUTED_VALUE"""),1.75)</f>
        <v>1.75</v>
      </c>
      <c r="V1618" s="1" t="str">
        <f>IFERROR(__xludf.DUMMYFUNCTION("""COMPUTED_VALUE"""),"Issi Afable")</f>
        <v>Issi Afable</v>
      </c>
      <c r="W1618" s="1" t="str">
        <f>IFERROR(__xludf.DUMMYFUNCTION("""COMPUTED_VALUE"""),"High Sensitivity Support PH")</f>
        <v>High Sensitivity Support PH</v>
      </c>
    </row>
    <row r="1619">
      <c r="O1619" s="1" t="str">
        <f>IFERROR(__xludf.DUMMYFUNCTION("""COMPUTED_VALUE"""),"2025 Nov")</f>
        <v>2025 Nov</v>
      </c>
      <c r="P1619" s="1" t="str">
        <f>IFERROR(__xludf.DUMMYFUNCTION("""COMPUTED_VALUE"""),"Print Support")</f>
        <v>Print Support</v>
      </c>
      <c r="Q1619" s="1" t="str">
        <f>IFERROR(__xludf.DUMMYFUNCTION("""COMPUTED_VALUE"""),"nonoimboy@canva.com")</f>
        <v>nonoimboy@canva.com</v>
      </c>
      <c r="R1619" s="1" t="str">
        <f>IFERROR(__xludf.DUMMYFUNCTION("""COMPUTED_VALUE"""),"Noel Imboy")</f>
        <v>Noel Imboy</v>
      </c>
      <c r="S1619" s="1"/>
      <c r="T1619" s="1">
        <f>IFERROR(__xludf.DUMMYFUNCTION("""COMPUTED_VALUE"""),1.5)</f>
        <v>1.5</v>
      </c>
      <c r="U1619" s="2">
        <f>IFERROR(__xludf.DUMMYFUNCTION("""COMPUTED_VALUE"""),1.5)</f>
        <v>1.5</v>
      </c>
      <c r="V1619" s="1" t="str">
        <f>IFERROR(__xludf.DUMMYFUNCTION("""COMPUTED_VALUE"""),"Gem Agoncillo")</f>
        <v>Gem Agoncillo</v>
      </c>
      <c r="W1619" s="1" t="str">
        <f>IFERROR(__xludf.DUMMYFUNCTION("""COMPUTED_VALUE"""),"Print Design Support")</f>
        <v>Print Design Support</v>
      </c>
    </row>
    <row r="1620">
      <c r="O1620" s="1" t="str">
        <f>IFERROR(__xludf.DUMMYFUNCTION("""COMPUTED_VALUE"""),"2025 Nov")</f>
        <v>2025 Nov</v>
      </c>
      <c r="P1620" s="1" t="str">
        <f>IFERROR(__xludf.DUMMYFUNCTION("""COMPUTED_VALUE"""),"Segment-specific Support")</f>
        <v>Segment-specific Support</v>
      </c>
      <c r="Q1620" s="1" t="str">
        <f>IFERROR(__xludf.DUMMYFUNCTION("""COMPUTED_VALUE"""),"pao@canva.com")</f>
        <v>pao@canva.com</v>
      </c>
      <c r="R1620" s="1" t="str">
        <f>IFERROR(__xludf.DUMMYFUNCTION("""COMPUTED_VALUE"""),"Pao Domanais")</f>
        <v>Pao Domanais</v>
      </c>
      <c r="S1620" s="1"/>
      <c r="T1620" s="1">
        <f>IFERROR(__xludf.DUMMYFUNCTION("""COMPUTED_VALUE"""),42.67)</f>
        <v>42.67</v>
      </c>
      <c r="U1620" s="2">
        <f>IFERROR(__xludf.DUMMYFUNCTION("""COMPUTED_VALUE"""),42.67)</f>
        <v>42.67</v>
      </c>
      <c r="V1620" s="1" t="str">
        <f>IFERROR(__xludf.DUMMYFUNCTION("""COMPUTED_VALUE"""),"Rose Gabilan")</f>
        <v>Rose Gabilan</v>
      </c>
      <c r="W1620" s="1" t="str">
        <f>IFERROR(__xludf.DUMMYFUNCTION("""COMPUTED_VALUE"""),"Print Support PH")</f>
        <v>Print Support PH</v>
      </c>
    </row>
    <row r="1621">
      <c r="O1621" s="1" t="str">
        <f>IFERROR(__xludf.DUMMYFUNCTION("""COMPUTED_VALUE"""),"2025 Nov")</f>
        <v>2025 Nov</v>
      </c>
      <c r="P1621" s="1" t="str">
        <f>IFERROR(__xludf.DUMMYFUNCTION("""COMPUTED_VALUE"""),"Print Support")</f>
        <v>Print Support</v>
      </c>
      <c r="Q1621" s="1" t="str">
        <f>IFERROR(__xludf.DUMMYFUNCTION("""COMPUTED_VALUE"""),"paolonati@canva.com")</f>
        <v>paolonati@canva.com</v>
      </c>
      <c r="R1621" s="1" t="str">
        <f>IFERROR(__xludf.DUMMYFUNCTION("""COMPUTED_VALUE"""),"Paolo Natividad")</f>
        <v>Paolo Natividad</v>
      </c>
      <c r="S1621" s="1"/>
      <c r="T1621" s="1">
        <f>IFERROR(__xludf.DUMMYFUNCTION("""COMPUTED_VALUE"""),2.75)</f>
        <v>2.75</v>
      </c>
      <c r="U1621" s="2">
        <f>IFERROR(__xludf.DUMMYFUNCTION("""COMPUTED_VALUE"""),2.75)</f>
        <v>2.75</v>
      </c>
      <c r="V1621" s="1" t="str">
        <f>IFERROR(__xludf.DUMMYFUNCTION("""COMPUTED_VALUE"""),"Rei De Jesus")</f>
        <v>Rei De Jesus</v>
      </c>
      <c r="W1621" s="1" t="str">
        <f>IFERROR(__xludf.DUMMYFUNCTION("""COMPUTED_VALUE"""),"Print Design Support")</f>
        <v>Print Design Support</v>
      </c>
    </row>
    <row r="1622">
      <c r="O1622" s="1" t="str">
        <f>IFERROR(__xludf.DUMMYFUNCTION("""COMPUTED_VALUE"""),"2025 Nov")</f>
        <v>2025 Nov</v>
      </c>
      <c r="P1622" s="1" t="str">
        <f>IFERROR(__xludf.DUMMYFUNCTION("""COMPUTED_VALUE"""),"Core Product Support")</f>
        <v>Core Product Support</v>
      </c>
      <c r="Q1622" s="1" t="str">
        <f>IFERROR(__xludf.DUMMYFUNCTION("""COMPUTED_VALUE"""),"padelacruz@canva.com")</f>
        <v>padelacruz@canva.com</v>
      </c>
      <c r="R1622" s="1" t="str">
        <f>IFERROR(__xludf.DUMMYFUNCTION("""COMPUTED_VALUE"""),"Patrick Dela Cruz")</f>
        <v>Patrick Dela Cruz</v>
      </c>
      <c r="S1622" s="1">
        <f>IFERROR(__xludf.DUMMYFUNCTION("""COMPUTED_VALUE"""),0.5)</f>
        <v>0.5</v>
      </c>
      <c r="T1622" s="1">
        <f>IFERROR(__xludf.DUMMYFUNCTION("""COMPUTED_VALUE"""),1.0)</f>
        <v>1</v>
      </c>
      <c r="U1622" s="2">
        <f>IFERROR(__xludf.DUMMYFUNCTION("""COMPUTED_VALUE"""),1.5)</f>
        <v>1.5</v>
      </c>
      <c r="V1622" s="1" t="str">
        <f>IFERROR(__xludf.DUMMYFUNCTION("""COMPUTED_VALUE"""),"Cate Velasco")</f>
        <v>Cate Velasco</v>
      </c>
      <c r="W1622" s="1" t="str">
        <f>IFERROR(__xludf.DUMMYFUNCTION("""COMPUTED_VALUE"""),"Advanced Product Support")</f>
        <v>Advanced Product Support</v>
      </c>
    </row>
    <row r="1623">
      <c r="O1623" s="1" t="str">
        <f>IFERROR(__xludf.DUMMYFUNCTION("""COMPUTED_VALUE"""),"2025 Nov")</f>
        <v>2025 Nov</v>
      </c>
      <c r="P1623" s="1" t="str">
        <f>IFERROR(__xludf.DUMMYFUNCTION("""COMPUTED_VALUE"""),"#N/A")</f>
        <v>#N/A</v>
      </c>
      <c r="Q1623" s="1" t="str">
        <f>IFERROR(__xludf.DUMMYFUNCTION("""COMPUTED_VALUE"""),"patrickm@canva.com")</f>
        <v>patrickm@canva.com</v>
      </c>
      <c r="R1623" s="1" t="str">
        <f>IFERROR(__xludf.DUMMYFUNCTION("""COMPUTED_VALUE"""),"Patrick Mariano")</f>
        <v>Patrick Mariano</v>
      </c>
      <c r="S1623" s="1">
        <f>IFERROR(__xludf.DUMMYFUNCTION("""COMPUTED_VALUE"""),1.0)</f>
        <v>1</v>
      </c>
      <c r="T1623" s="1">
        <f>IFERROR(__xludf.DUMMYFUNCTION("""COMPUTED_VALUE"""),1.75)</f>
        <v>1.75</v>
      </c>
      <c r="U1623" s="2">
        <f>IFERROR(__xludf.DUMMYFUNCTION("""COMPUTED_VALUE"""),2.75)</f>
        <v>2.75</v>
      </c>
      <c r="V1623" s="1" t="str">
        <f>IFERROR(__xludf.DUMMYFUNCTION("""COMPUTED_VALUE"""),"#N/A")</f>
        <v>#N/A</v>
      </c>
      <c r="W1623" s="1" t="str">
        <f>IFERROR(__xludf.DUMMYFUNCTION("""COMPUTED_VALUE"""),"Advanced Billing &amp; Subscriptions")</f>
        <v>Advanced Billing &amp; Subscriptions</v>
      </c>
    </row>
    <row r="1624">
      <c r="O1624" s="1" t="str">
        <f>IFERROR(__xludf.DUMMYFUNCTION("""COMPUTED_VALUE"""),"2025 Nov")</f>
        <v>2025 Nov</v>
      </c>
      <c r="P1624" s="1" t="str">
        <f>IFERROR(__xludf.DUMMYFUNCTION("""COMPUTED_VALUE"""),"Core Product Support")</f>
        <v>Core Product Support</v>
      </c>
      <c r="Q1624" s="1" t="str">
        <f>IFERROR(__xludf.DUMMYFUNCTION("""COMPUTED_VALUE"""),"pathugo@canva.com")</f>
        <v>pathugo@canva.com</v>
      </c>
      <c r="R1624" s="1" t="str">
        <f>IFERROR(__xludf.DUMMYFUNCTION("""COMPUTED_VALUE"""),"Patriz Hugo")</f>
        <v>Patriz Hugo</v>
      </c>
      <c r="S1624" s="1">
        <f>IFERROR(__xludf.DUMMYFUNCTION("""COMPUTED_VALUE"""),2.0)</f>
        <v>2</v>
      </c>
      <c r="T1624" s="1">
        <f>IFERROR(__xludf.DUMMYFUNCTION("""COMPUTED_VALUE"""),11.0)</f>
        <v>11</v>
      </c>
      <c r="U1624" s="2">
        <f>IFERROR(__xludf.DUMMYFUNCTION("""COMPUTED_VALUE"""),13.0)</f>
        <v>13</v>
      </c>
      <c r="V1624" s="1" t="str">
        <f>IFERROR(__xludf.DUMMYFUNCTION("""COMPUTED_VALUE"""),"Sieg Ballelos")</f>
        <v>Sieg Ballelos</v>
      </c>
      <c r="W1624" s="1" t="str">
        <f>IFERROR(__xludf.DUMMYFUNCTION("""COMPUTED_VALUE"""),"Core Product Support Escalation Team")</f>
        <v>Core Product Support Escalation Team</v>
      </c>
    </row>
    <row r="1625">
      <c r="O1625" s="1" t="str">
        <f>IFERROR(__xludf.DUMMYFUNCTION("""COMPUTED_VALUE"""),"2025 Nov")</f>
        <v>2025 Nov</v>
      </c>
      <c r="P1625" s="1" t="str">
        <f>IFERROR(__xludf.DUMMYFUNCTION("""COMPUTED_VALUE"""),"High Sensitivity Support")</f>
        <v>High Sensitivity Support</v>
      </c>
      <c r="Q1625" s="1" t="str">
        <f>IFERROR(__xludf.DUMMYFUNCTION("""COMPUTED_VALUE"""),"paulwilbert@canva.com")</f>
        <v>paulwilbert@canva.com</v>
      </c>
      <c r="R1625" s="1" t="str">
        <f>IFERROR(__xludf.DUMMYFUNCTION("""COMPUTED_VALUE"""),"Paul Domingo")</f>
        <v>Paul Domingo</v>
      </c>
      <c r="S1625" s="1"/>
      <c r="T1625" s="1"/>
      <c r="U1625" s="2">
        <f>IFERROR(__xludf.DUMMYFUNCTION("""COMPUTED_VALUE"""),0.0)</f>
        <v>0</v>
      </c>
      <c r="V1625" s="1" t="str">
        <f>IFERROR(__xludf.DUMMYFUNCTION("""COMPUTED_VALUE"""),"Xandy Azarcon")</f>
        <v>Xandy Azarcon</v>
      </c>
      <c r="W1625" s="1" t="str">
        <f>IFERROR(__xludf.DUMMYFUNCTION("""COMPUTED_VALUE"""),"High Sensitivity Support PH")</f>
        <v>High Sensitivity Support PH</v>
      </c>
    </row>
    <row r="1626">
      <c r="O1626" s="1" t="str">
        <f>IFERROR(__xludf.DUMMYFUNCTION("""COMPUTED_VALUE"""),"2025 Nov")</f>
        <v>2025 Nov</v>
      </c>
      <c r="P1626" s="1" t="str">
        <f>IFERROR(__xludf.DUMMYFUNCTION("""COMPUTED_VALUE"""),"Core Product Support")</f>
        <v>Core Product Support</v>
      </c>
      <c r="Q1626" s="1" t="str">
        <f>IFERROR(__xludf.DUMMYFUNCTION("""COMPUTED_VALUE"""),"paulv@canva.com")</f>
        <v>paulv@canva.com</v>
      </c>
      <c r="R1626" s="1" t="str">
        <f>IFERROR(__xludf.DUMMYFUNCTION("""COMPUTED_VALUE"""),"Paul Verdad")</f>
        <v>Paul Verdad</v>
      </c>
      <c r="S1626" s="1">
        <f>IFERROR(__xludf.DUMMYFUNCTION("""COMPUTED_VALUE"""),0.5)</f>
        <v>0.5</v>
      </c>
      <c r="T1626" s="1">
        <f>IFERROR(__xludf.DUMMYFUNCTION("""COMPUTED_VALUE"""),1.75)</f>
        <v>1.75</v>
      </c>
      <c r="U1626" s="2">
        <f>IFERROR(__xludf.DUMMYFUNCTION("""COMPUTED_VALUE"""),2.25)</f>
        <v>2.25</v>
      </c>
      <c r="V1626" s="1" t="str">
        <f>IFERROR(__xludf.DUMMYFUNCTION("""COMPUTED_VALUE"""),"Vinz Lazaro")</f>
        <v>Vinz Lazaro</v>
      </c>
      <c r="W1626" s="1" t="str">
        <f>IFERROR(__xludf.DUMMYFUNCTION("""COMPUTED_VALUE"""),"Advanced Product Support")</f>
        <v>Advanced Product Support</v>
      </c>
    </row>
    <row r="1627">
      <c r="O1627" s="1" t="str">
        <f>IFERROR(__xludf.DUMMYFUNCTION("""COMPUTED_VALUE"""),"2025 Nov")</f>
        <v>2025 Nov</v>
      </c>
      <c r="P1627" s="1" t="str">
        <f>IFERROR(__xludf.DUMMYFUNCTION("""COMPUTED_VALUE"""),"#N/A")</f>
        <v>#N/A</v>
      </c>
      <c r="Q1627" s="1" t="str">
        <f>IFERROR(__xludf.DUMMYFUNCTION("""COMPUTED_VALUE"""),"paul.y@canva.com")</f>
        <v>paul.y@canva.com</v>
      </c>
      <c r="R1627" s="1" t="str">
        <f>IFERROR(__xludf.DUMMYFUNCTION("""COMPUTED_VALUE"""),"Paul Yang")</f>
        <v>Paul Yang</v>
      </c>
      <c r="S1627" s="1">
        <f>IFERROR(__xludf.DUMMYFUNCTION("""COMPUTED_VALUE"""),1.5)</f>
        <v>1.5</v>
      </c>
      <c r="T1627" s="1">
        <f>IFERROR(__xludf.DUMMYFUNCTION("""COMPUTED_VALUE"""),9.75)</f>
        <v>9.75</v>
      </c>
      <c r="U1627" s="2">
        <f>IFERROR(__xludf.DUMMYFUNCTION("""COMPUTED_VALUE"""),11.25)</f>
        <v>11.25</v>
      </c>
      <c r="V1627" s="1" t="str">
        <f>IFERROR(__xludf.DUMMYFUNCTION("""COMPUTED_VALUE"""),"#N/A")</f>
        <v>#N/A</v>
      </c>
      <c r="W1627" s="1" t="str">
        <f>IFERROR(__xludf.DUMMYFUNCTION("""COMPUTED_VALUE"""),"#N/A")</f>
        <v>#N/A</v>
      </c>
    </row>
    <row r="1628">
      <c r="O1628" s="1" t="str">
        <f>IFERROR(__xludf.DUMMYFUNCTION("""COMPUTED_VALUE"""),"2025 Nov")</f>
        <v>2025 Nov</v>
      </c>
      <c r="P1628" s="1" t="str">
        <f>IFERROR(__xludf.DUMMYFUNCTION("""COMPUTED_VALUE"""),"High Sensitivity Support")</f>
        <v>High Sensitivity Support</v>
      </c>
      <c r="Q1628" s="1" t="str">
        <f>IFERROR(__xludf.DUMMYFUNCTION("""COMPUTED_VALUE"""),"phillipronquillo@canva.com")</f>
        <v>phillipronquillo@canva.com</v>
      </c>
      <c r="R1628" s="1" t="str">
        <f>IFERROR(__xludf.DUMMYFUNCTION("""COMPUTED_VALUE"""),"Phil Ronquillo")</f>
        <v>Phil Ronquillo</v>
      </c>
      <c r="S1628" s="1">
        <f>IFERROR(__xludf.DUMMYFUNCTION("""COMPUTED_VALUE"""),8.48)</f>
        <v>8.48</v>
      </c>
      <c r="T1628" s="1">
        <f>IFERROR(__xludf.DUMMYFUNCTION("""COMPUTED_VALUE"""),3.75)</f>
        <v>3.75</v>
      </c>
      <c r="U1628" s="2">
        <f>IFERROR(__xludf.DUMMYFUNCTION("""COMPUTED_VALUE"""),12.23)</f>
        <v>12.23</v>
      </c>
      <c r="V1628" s="1" t="str">
        <f>IFERROR(__xludf.DUMMYFUNCTION("""COMPUTED_VALUE"""),"Rossheen Pura")</f>
        <v>Rossheen Pura</v>
      </c>
      <c r="W1628" s="1" t="str">
        <f>IFERROR(__xludf.DUMMYFUNCTION("""COMPUTED_VALUE"""),"High Sensitivity Support PH")</f>
        <v>High Sensitivity Support PH</v>
      </c>
    </row>
    <row r="1629">
      <c r="O1629" s="1" t="str">
        <f>IFERROR(__xludf.DUMMYFUNCTION("""COMPUTED_VALUE"""),"2025 Nov")</f>
        <v>2025 Nov</v>
      </c>
      <c r="P1629" s="1" t="str">
        <f>IFERROR(__xludf.DUMMYFUNCTION("""COMPUTED_VALUE"""),"Core Product Support")</f>
        <v>Core Product Support</v>
      </c>
      <c r="Q1629" s="1" t="str">
        <f>IFERROR(__xludf.DUMMYFUNCTION("""COMPUTED_VALUE"""),"pnicolepescador@canva.com")</f>
        <v>pnicolepescador@canva.com</v>
      </c>
      <c r="R1629" s="1" t="str">
        <f>IFERROR(__xludf.DUMMYFUNCTION("""COMPUTED_VALUE"""),"Precious Pescador")</f>
        <v>Precious Pescador</v>
      </c>
      <c r="S1629" s="1"/>
      <c r="T1629" s="1">
        <f>IFERROR(__xludf.DUMMYFUNCTION("""COMPUTED_VALUE"""),2.0)</f>
        <v>2</v>
      </c>
      <c r="U1629" s="2">
        <f>IFERROR(__xludf.DUMMYFUNCTION("""COMPUTED_VALUE"""),2.0)</f>
        <v>2</v>
      </c>
      <c r="V1629" s="1" t="str">
        <f>IFERROR(__xludf.DUMMYFUNCTION("""COMPUTED_VALUE"""),"Ayza Marie Pascual")</f>
        <v>Ayza Marie Pascual</v>
      </c>
      <c r="W1629" s="1" t="str">
        <f>IFERROR(__xludf.DUMMYFUNCTION("""COMPUTED_VALUE"""),"Advanced Billing &amp; Subscriptions")</f>
        <v>Advanced Billing &amp; Subscriptions</v>
      </c>
    </row>
    <row r="1630">
      <c r="O1630" s="1" t="str">
        <f>IFERROR(__xludf.DUMMYFUNCTION("""COMPUTED_VALUE"""),"2025 Nov")</f>
        <v>2025 Nov</v>
      </c>
      <c r="P1630" s="1" t="str">
        <f>IFERROR(__xludf.DUMMYFUNCTION("""COMPUTED_VALUE"""),"Core Product Support")</f>
        <v>Core Product Support</v>
      </c>
      <c r="Q1630" s="1" t="str">
        <f>IFERROR(__xludf.DUMMYFUNCTION("""COMPUTED_VALUE"""),"rachellynanne@canva.com")</f>
        <v>rachellynanne@canva.com</v>
      </c>
      <c r="R1630" s="1" t="str">
        <f>IFERROR(__xludf.DUMMYFUNCTION("""COMPUTED_VALUE"""),"Rachellyn Medina")</f>
        <v>Rachellyn Medina</v>
      </c>
      <c r="S1630" s="1">
        <f>IFERROR(__xludf.DUMMYFUNCTION("""COMPUTED_VALUE"""),0.5)</f>
        <v>0.5</v>
      </c>
      <c r="T1630" s="1">
        <f>IFERROR(__xludf.DUMMYFUNCTION("""COMPUTED_VALUE"""),2.33)</f>
        <v>2.33</v>
      </c>
      <c r="U1630" s="2">
        <f>IFERROR(__xludf.DUMMYFUNCTION("""COMPUTED_VALUE"""),2.83)</f>
        <v>2.83</v>
      </c>
      <c r="V1630" s="1" t="str">
        <f>IFERROR(__xludf.DUMMYFUNCTION("""COMPUTED_VALUE"""),"Jem Mondoñedo")</f>
        <v>Jem Mondoñedo</v>
      </c>
      <c r="W1630" s="1" t="str">
        <f>IFERROR(__xludf.DUMMYFUNCTION("""COMPUTED_VALUE"""),"Advanced Billing &amp; Subscriptions")</f>
        <v>Advanced Billing &amp; Subscriptions</v>
      </c>
    </row>
    <row r="1631">
      <c r="O1631" s="1" t="str">
        <f>IFERROR(__xludf.DUMMYFUNCTION("""COMPUTED_VALUE"""),"2025 Nov")</f>
        <v>2025 Nov</v>
      </c>
      <c r="P1631" s="1" t="str">
        <f>IFERROR(__xludf.DUMMYFUNCTION("""COMPUTED_VALUE"""),"Core Product Support")</f>
        <v>Core Product Support</v>
      </c>
      <c r="Q1631" s="1" t="str">
        <f>IFERROR(__xludf.DUMMYFUNCTION("""COMPUTED_VALUE"""),"alfredomillares@canva.com")</f>
        <v>alfredomillares@canva.com</v>
      </c>
      <c r="R1631" s="1" t="str">
        <f>IFERROR(__xludf.DUMMYFUNCTION("""COMPUTED_VALUE"""),"Rael Millares")</f>
        <v>Rael Millares</v>
      </c>
      <c r="S1631" s="1">
        <f>IFERROR(__xludf.DUMMYFUNCTION("""COMPUTED_VALUE"""),0.5)</f>
        <v>0.5</v>
      </c>
      <c r="T1631" s="1">
        <f>IFERROR(__xludf.DUMMYFUNCTION("""COMPUTED_VALUE"""),2.75)</f>
        <v>2.75</v>
      </c>
      <c r="U1631" s="2">
        <f>IFERROR(__xludf.DUMMYFUNCTION("""COMPUTED_VALUE"""),3.25)</f>
        <v>3.25</v>
      </c>
      <c r="V1631" s="1" t="str">
        <f>IFERROR(__xludf.DUMMYFUNCTION("""COMPUTED_VALUE"""),"Jahmie Mae Barrameda")</f>
        <v>Jahmie Mae Barrameda</v>
      </c>
      <c r="W1631" s="1" t="str">
        <f>IFERROR(__xludf.DUMMYFUNCTION("""COMPUTED_VALUE"""),"Advanced Billing &amp; Subscriptions")</f>
        <v>Advanced Billing &amp; Subscriptions</v>
      </c>
    </row>
    <row r="1632">
      <c r="O1632" s="1" t="str">
        <f>IFERROR(__xludf.DUMMYFUNCTION("""COMPUTED_VALUE"""),"2025 Nov")</f>
        <v>2025 Nov</v>
      </c>
      <c r="P1632" s="1" t="str">
        <f>IFERROR(__xludf.DUMMYFUNCTION("""COMPUTED_VALUE"""),"Multilingual Support")</f>
        <v>Multilingual Support</v>
      </c>
      <c r="Q1632" s="1" t="str">
        <f>IFERROR(__xludf.DUMMYFUNCTION("""COMPUTED_VALUE"""),"ranufre@canva.com")</f>
        <v>ranufre@canva.com</v>
      </c>
      <c r="R1632" s="1" t="str">
        <f>IFERROR(__xludf.DUMMYFUNCTION("""COMPUTED_VALUE"""),"Rafa Freitas")</f>
        <v>Rafa Freitas</v>
      </c>
      <c r="S1632" s="1"/>
      <c r="T1632" s="1">
        <f>IFERROR(__xludf.DUMMYFUNCTION("""COMPUTED_VALUE"""),1.75)</f>
        <v>1.75</v>
      </c>
      <c r="U1632" s="2">
        <f>IFERROR(__xludf.DUMMYFUNCTION("""COMPUTED_VALUE"""),1.75)</f>
        <v>1.75</v>
      </c>
      <c r="V1632" s="1" t="str">
        <f>IFERROR(__xludf.DUMMYFUNCTION("""COMPUTED_VALUE"""),"Arlene Maurillo")</f>
        <v>Arlene Maurillo</v>
      </c>
      <c r="W1632" s="1" t="str">
        <f>IFERROR(__xludf.DUMMYFUNCTION("""COMPUTED_VALUE"""),"PHL, Multilingual Support")</f>
        <v>PHL, Multilingual Support</v>
      </c>
    </row>
    <row r="1633">
      <c r="O1633" s="1" t="str">
        <f>IFERROR(__xludf.DUMMYFUNCTION("""COMPUTED_VALUE"""),"2025 Nov")</f>
        <v>2025 Nov</v>
      </c>
      <c r="P1633" s="1" t="str">
        <f>IFERROR(__xludf.DUMMYFUNCTION("""COMPUTED_VALUE"""),"Core Product Support")</f>
        <v>Core Product Support</v>
      </c>
      <c r="Q1633" s="1" t="str">
        <f>IFERROR(__xludf.DUMMYFUNCTION("""COMPUTED_VALUE"""),"rafaticzon@canva.com")</f>
        <v>rafaticzon@canva.com</v>
      </c>
      <c r="R1633" s="1" t="str">
        <f>IFERROR(__xludf.DUMMYFUNCTION("""COMPUTED_VALUE"""),"Rafa Ticzon")</f>
        <v>Rafa Ticzon</v>
      </c>
      <c r="S1633" s="1"/>
      <c r="T1633" s="1">
        <f>IFERROR(__xludf.DUMMYFUNCTION("""COMPUTED_VALUE"""),1.75)</f>
        <v>1.75</v>
      </c>
      <c r="U1633" s="2">
        <f>IFERROR(__xludf.DUMMYFUNCTION("""COMPUTED_VALUE"""),1.75)</f>
        <v>1.75</v>
      </c>
      <c r="V1633" s="1" t="str">
        <f>IFERROR(__xludf.DUMMYFUNCTION("""COMPUTED_VALUE"""),"Mikhaela Decangchon")</f>
        <v>Mikhaela Decangchon</v>
      </c>
      <c r="W1633" s="1" t="str">
        <f>IFERROR(__xludf.DUMMYFUNCTION("""COMPUTED_VALUE"""),"Advanced Product Support")</f>
        <v>Advanced Product Support</v>
      </c>
    </row>
    <row r="1634">
      <c r="O1634" s="1" t="str">
        <f>IFERROR(__xludf.DUMMYFUNCTION("""COMPUTED_VALUE"""),"2025 Nov")</f>
        <v>2025 Nov</v>
      </c>
      <c r="P1634" s="1" t="str">
        <f>IFERROR(__xludf.DUMMYFUNCTION("""COMPUTED_VALUE"""),"Core Product Support")</f>
        <v>Core Product Support</v>
      </c>
      <c r="Q1634" s="1" t="str">
        <f>IFERROR(__xludf.DUMMYFUNCTION("""COMPUTED_VALUE"""),"candace@canva.com")</f>
        <v>candace@canva.com</v>
      </c>
      <c r="R1634" s="1" t="str">
        <f>IFERROR(__xludf.DUMMYFUNCTION("""COMPUTED_VALUE"""),"Rainne Candace Llagas")</f>
        <v>Rainne Candace Llagas</v>
      </c>
      <c r="S1634" s="1">
        <f>IFERROR(__xludf.DUMMYFUNCTION("""COMPUTED_VALUE"""),0.5)</f>
        <v>0.5</v>
      </c>
      <c r="T1634" s="1">
        <f>IFERROR(__xludf.DUMMYFUNCTION("""COMPUTED_VALUE"""),3.0)</f>
        <v>3</v>
      </c>
      <c r="U1634" s="2">
        <f>IFERROR(__xludf.DUMMYFUNCTION("""COMPUTED_VALUE"""),3.5)</f>
        <v>3.5</v>
      </c>
      <c r="V1634" s="1" t="str">
        <f>IFERROR(__xludf.DUMMYFUNCTION("""COMPUTED_VALUE"""),"Belle Bentazal")</f>
        <v>Belle Bentazal</v>
      </c>
      <c r="W1634" s="1" t="str">
        <f>IFERROR(__xludf.DUMMYFUNCTION("""COMPUTED_VALUE"""),"Advanced Product Support")</f>
        <v>Advanced Product Support</v>
      </c>
    </row>
    <row r="1635">
      <c r="O1635" s="1" t="str">
        <f>IFERROR(__xludf.DUMMYFUNCTION("""COMPUTED_VALUE"""),"2025 Nov")</f>
        <v>2025 Nov</v>
      </c>
      <c r="P1635" s="1" t="str">
        <f>IFERROR(__xludf.DUMMYFUNCTION("""COMPUTED_VALUE"""),"Core Product Support")</f>
        <v>Core Product Support</v>
      </c>
      <c r="Q1635" s="1" t="str">
        <f>IFERROR(__xludf.DUMMYFUNCTION("""COMPUTED_VALUE"""),"rmercado@canva.com")</f>
        <v>rmercado@canva.com</v>
      </c>
      <c r="R1635" s="1" t="str">
        <f>IFERROR(__xludf.DUMMYFUNCTION("""COMPUTED_VALUE"""),"Ram Mercado")</f>
        <v>Ram Mercado</v>
      </c>
      <c r="S1635" s="1">
        <f>IFERROR(__xludf.DUMMYFUNCTION("""COMPUTED_VALUE"""),0.5)</f>
        <v>0.5</v>
      </c>
      <c r="T1635" s="1">
        <f>IFERROR(__xludf.DUMMYFUNCTION("""COMPUTED_VALUE"""),8.25)</f>
        <v>8.25</v>
      </c>
      <c r="U1635" s="2">
        <f>IFERROR(__xludf.DUMMYFUNCTION("""COMPUTED_VALUE"""),8.75)</f>
        <v>8.75</v>
      </c>
      <c r="V1635" s="1" t="str">
        <f>IFERROR(__xludf.DUMMYFUNCTION("""COMPUTED_VALUE"""),"Jelyn Elmido")</f>
        <v>Jelyn Elmido</v>
      </c>
      <c r="W1635" s="1" t="str">
        <f>IFERROR(__xludf.DUMMYFUNCTION("""COMPUTED_VALUE"""),"Core Product Support Escalation Team")</f>
        <v>Core Product Support Escalation Team</v>
      </c>
    </row>
    <row r="1636">
      <c r="O1636" s="1" t="str">
        <f>IFERROR(__xludf.DUMMYFUNCTION("""COMPUTED_VALUE"""),"2025 Nov")</f>
        <v>2025 Nov</v>
      </c>
      <c r="P1636" s="1" t="str">
        <f>IFERROR(__xludf.DUMMYFUNCTION("""COMPUTED_VALUE"""),"Core Product Support")</f>
        <v>Core Product Support</v>
      </c>
      <c r="Q1636" s="1" t="str">
        <f>IFERROR(__xludf.DUMMYFUNCTION("""COMPUTED_VALUE"""),"razelleroe@canva.com")</f>
        <v>razelleroe@canva.com</v>
      </c>
      <c r="R1636" s="1" t="str">
        <f>IFERROR(__xludf.DUMMYFUNCTION("""COMPUTED_VALUE"""),"Razelle Roe Garaza")</f>
        <v>Razelle Roe Garaza</v>
      </c>
      <c r="S1636" s="1">
        <f>IFERROR(__xludf.DUMMYFUNCTION("""COMPUTED_VALUE"""),1.0)</f>
        <v>1</v>
      </c>
      <c r="T1636" s="1">
        <f>IFERROR(__xludf.DUMMYFUNCTION("""COMPUTED_VALUE"""),2.25)</f>
        <v>2.25</v>
      </c>
      <c r="U1636" s="2">
        <f>IFERROR(__xludf.DUMMYFUNCTION("""COMPUTED_VALUE"""),3.25)</f>
        <v>3.25</v>
      </c>
      <c r="V1636" s="1" t="str">
        <f>IFERROR(__xludf.DUMMYFUNCTION("""COMPUTED_VALUE"""),"Ana Lazaro")</f>
        <v>Ana Lazaro</v>
      </c>
      <c r="W1636" s="1" t="str">
        <f>IFERROR(__xludf.DUMMYFUNCTION("""COMPUTED_VALUE"""),"Advanced Billing &amp; Subscriptions")</f>
        <v>Advanced Billing &amp; Subscriptions</v>
      </c>
    </row>
    <row r="1637">
      <c r="O1637" s="1" t="str">
        <f>IFERROR(__xludf.DUMMYFUNCTION("""COMPUTED_VALUE"""),"2025 Nov")</f>
        <v>2025 Nov</v>
      </c>
      <c r="P1637" s="1" t="str">
        <f>IFERROR(__xludf.DUMMYFUNCTION("""COMPUTED_VALUE"""),"Admin Support")</f>
        <v>Admin Support</v>
      </c>
      <c r="Q1637" s="1" t="str">
        <f>IFERROR(__xludf.DUMMYFUNCTION("""COMPUTED_VALUE"""),"rdolores@canva.com")</f>
        <v>rdolores@canva.com</v>
      </c>
      <c r="R1637" s="1" t="str">
        <f>IFERROR(__xludf.DUMMYFUNCTION("""COMPUTED_VALUE"""),"Rea Alexis Dolores")</f>
        <v>Rea Alexis Dolores</v>
      </c>
      <c r="S1637" s="1"/>
      <c r="T1637" s="1">
        <f>IFERROR(__xludf.DUMMYFUNCTION("""COMPUTED_VALUE"""),3.92)</f>
        <v>3.92</v>
      </c>
      <c r="U1637" s="2">
        <f>IFERROR(__xludf.DUMMYFUNCTION("""COMPUTED_VALUE"""),3.92)</f>
        <v>3.92</v>
      </c>
      <c r="V1637" s="1" t="str">
        <f>IFERROR(__xludf.DUMMYFUNCTION("""COMPUTED_VALUE"""),"Karla Mananghaya")</f>
        <v>Karla Mananghaya</v>
      </c>
      <c r="W1637" s="1" t="str">
        <f>IFERROR(__xludf.DUMMYFUNCTION("""COMPUTED_VALUE"""),"Admin Support Service Escalation Team")</f>
        <v>Admin Support Service Escalation Team</v>
      </c>
    </row>
    <row r="1638">
      <c r="O1638" s="1" t="str">
        <f>IFERROR(__xludf.DUMMYFUNCTION("""COMPUTED_VALUE"""),"2025 Nov")</f>
        <v>2025 Nov</v>
      </c>
      <c r="P1638" s="1" t="str">
        <f>IFERROR(__xludf.DUMMYFUNCTION("""COMPUTED_VALUE"""),"Admin Support")</f>
        <v>Admin Support</v>
      </c>
      <c r="Q1638" s="1" t="str">
        <f>IFERROR(__xludf.DUMMYFUNCTION("""COMPUTED_VALUE"""),"red@canva.com")</f>
        <v>red@canva.com</v>
      </c>
      <c r="R1638" s="1" t="str">
        <f>IFERROR(__xludf.DUMMYFUNCTION("""COMPUTED_VALUE"""),"Red Dela Rosa")</f>
        <v>Red Dela Rosa</v>
      </c>
      <c r="S1638" s="1"/>
      <c r="T1638" s="1">
        <f>IFERROR(__xludf.DUMMYFUNCTION("""COMPUTED_VALUE"""),0.75)</f>
        <v>0.75</v>
      </c>
      <c r="U1638" s="2">
        <f>IFERROR(__xludf.DUMMYFUNCTION("""COMPUTED_VALUE"""),0.75)</f>
        <v>0.75</v>
      </c>
      <c r="V1638" s="1" t="str">
        <f>IFERROR(__xludf.DUMMYFUNCTION("""COMPUTED_VALUE"""),"Pau Palmero")</f>
        <v>Pau Palmero</v>
      </c>
      <c r="W1638" s="1" t="str">
        <f>IFERROR(__xludf.DUMMYFUNCTION("""COMPUTED_VALUE"""),"Admin Omni Support")</f>
        <v>Admin Omni Support</v>
      </c>
    </row>
    <row r="1639">
      <c r="O1639" s="1" t="str">
        <f>IFERROR(__xludf.DUMMYFUNCTION("""COMPUTED_VALUE"""),"2025 Nov")</f>
        <v>2025 Nov</v>
      </c>
      <c r="P1639" s="1" t="str">
        <f>IFERROR(__xludf.DUMMYFUNCTION("""COMPUTED_VALUE"""),"Admin Support")</f>
        <v>Admin Support</v>
      </c>
      <c r="Q1639" s="1" t="str">
        <f>IFERROR(__xludf.DUMMYFUNCTION("""COMPUTED_VALUE"""),"regie@canva.com")</f>
        <v>regie@canva.com</v>
      </c>
      <c r="R1639" s="1" t="str">
        <f>IFERROR(__xludf.DUMMYFUNCTION("""COMPUTED_VALUE"""),"Regie Yambot")</f>
        <v>Regie Yambot</v>
      </c>
      <c r="S1639" s="1"/>
      <c r="T1639" s="1">
        <f>IFERROR(__xludf.DUMMYFUNCTION("""COMPUTED_VALUE"""),8.75)</f>
        <v>8.75</v>
      </c>
      <c r="U1639" s="2">
        <f>IFERROR(__xludf.DUMMYFUNCTION("""COMPUTED_VALUE"""),8.75)</f>
        <v>8.75</v>
      </c>
      <c r="V1639" s="1" t="str">
        <f>IFERROR(__xludf.DUMMYFUNCTION("""COMPUTED_VALUE"""),"Pau Palmero")</f>
        <v>Pau Palmero</v>
      </c>
      <c r="W1639" s="1" t="str">
        <f>IFERROR(__xludf.DUMMYFUNCTION("""COMPUTED_VALUE"""),"Admin Omni Support")</f>
        <v>Admin Omni Support</v>
      </c>
    </row>
    <row r="1640">
      <c r="O1640" s="1" t="str">
        <f>IFERROR(__xludf.DUMMYFUNCTION("""COMPUTED_VALUE"""),"2025 Nov")</f>
        <v>2025 Nov</v>
      </c>
      <c r="P1640" s="1" t="str">
        <f>IFERROR(__xludf.DUMMYFUNCTION("""COMPUTED_VALUE"""),"Core Product Support")</f>
        <v>Core Product Support</v>
      </c>
      <c r="Q1640" s="1" t="str">
        <f>IFERROR(__xludf.DUMMYFUNCTION("""COMPUTED_VALUE"""),"rej@canva.com")</f>
        <v>rej@canva.com</v>
      </c>
      <c r="R1640" s="1" t="str">
        <f>IFERROR(__xludf.DUMMYFUNCTION("""COMPUTED_VALUE"""),"Rej Benipayo")</f>
        <v>Rej Benipayo</v>
      </c>
      <c r="S1640" s="1">
        <f>IFERROR(__xludf.DUMMYFUNCTION("""COMPUTED_VALUE"""),0.5)</f>
        <v>0.5</v>
      </c>
      <c r="T1640" s="1">
        <f>IFERROR(__xludf.DUMMYFUNCTION("""COMPUTED_VALUE"""),3.58)</f>
        <v>3.58</v>
      </c>
      <c r="U1640" s="2">
        <f>IFERROR(__xludf.DUMMYFUNCTION("""COMPUTED_VALUE"""),4.08)</f>
        <v>4.08</v>
      </c>
      <c r="V1640" s="1" t="str">
        <f>IFERROR(__xludf.DUMMYFUNCTION("""COMPUTED_VALUE"""),"Renette Bok")</f>
        <v>Renette Bok</v>
      </c>
      <c r="W1640" s="1" t="str">
        <f>IFERROR(__xludf.DUMMYFUNCTION("""COMPUTED_VALUE"""),"Advanced Billing &amp; Subscriptions")</f>
        <v>Advanced Billing &amp; Subscriptions</v>
      </c>
    </row>
    <row r="1641">
      <c r="O1641" s="1" t="str">
        <f>IFERROR(__xludf.DUMMYFUNCTION("""COMPUTED_VALUE"""),"2025 Nov")</f>
        <v>2025 Nov</v>
      </c>
      <c r="P1641" s="1" t="str">
        <f>IFERROR(__xludf.DUMMYFUNCTION("""COMPUTED_VALUE"""),"Core Product Support")</f>
        <v>Core Product Support</v>
      </c>
      <c r="Q1641" s="1" t="str">
        <f>IFERROR(__xludf.DUMMYFUNCTION("""COMPUTED_VALUE"""),"revisuarez@canva.com")</f>
        <v>revisuarez@canva.com</v>
      </c>
      <c r="R1641" s="1" t="str">
        <f>IFERROR(__xludf.DUMMYFUNCTION("""COMPUTED_VALUE"""),"Revi Suarez")</f>
        <v>Revi Suarez</v>
      </c>
      <c r="S1641" s="1">
        <f>IFERROR(__xludf.DUMMYFUNCTION("""COMPUTED_VALUE"""),1.0)</f>
        <v>1</v>
      </c>
      <c r="T1641" s="1">
        <f>IFERROR(__xludf.DUMMYFUNCTION("""COMPUTED_VALUE"""),12.0)</f>
        <v>12</v>
      </c>
      <c r="U1641" s="2">
        <f>IFERROR(__xludf.DUMMYFUNCTION("""COMPUTED_VALUE"""),13.0)</f>
        <v>13</v>
      </c>
      <c r="V1641" s="1" t="str">
        <f>IFERROR(__xludf.DUMMYFUNCTION("""COMPUTED_VALUE"""),"Jelyn Elmido")</f>
        <v>Jelyn Elmido</v>
      </c>
      <c r="W1641" s="1" t="str">
        <f>IFERROR(__xludf.DUMMYFUNCTION("""COMPUTED_VALUE"""),"Core Product Support Escalation Team")</f>
        <v>Core Product Support Escalation Team</v>
      </c>
    </row>
    <row r="1642">
      <c r="O1642" s="1" t="str">
        <f>IFERROR(__xludf.DUMMYFUNCTION("""COMPUTED_VALUE"""),"2025 Nov")</f>
        <v>2025 Nov</v>
      </c>
      <c r="P1642" s="1" t="str">
        <f>IFERROR(__xludf.DUMMYFUNCTION("""COMPUTED_VALUE"""),"High Sensitivity Support")</f>
        <v>High Sensitivity Support</v>
      </c>
      <c r="Q1642" s="1" t="str">
        <f>IFERROR(__xludf.DUMMYFUNCTION("""COMPUTED_VALUE"""),"reya@canva.com")</f>
        <v>reya@canva.com</v>
      </c>
      <c r="R1642" s="1" t="str">
        <f>IFERROR(__xludf.DUMMYFUNCTION("""COMPUTED_VALUE"""),"Reya Joson")</f>
        <v>Reya Joson</v>
      </c>
      <c r="S1642" s="1"/>
      <c r="T1642" s="1">
        <f>IFERROR(__xludf.DUMMYFUNCTION("""COMPUTED_VALUE"""),5.95)</f>
        <v>5.95</v>
      </c>
      <c r="U1642" s="2">
        <f>IFERROR(__xludf.DUMMYFUNCTION("""COMPUTED_VALUE"""),5.95)</f>
        <v>5.95</v>
      </c>
      <c r="V1642" s="1" t="str">
        <f>IFERROR(__xludf.DUMMYFUNCTION("""COMPUTED_VALUE"""),"Issi Afable")</f>
        <v>Issi Afable</v>
      </c>
      <c r="W1642" s="1" t="str">
        <f>IFERROR(__xludf.DUMMYFUNCTION("""COMPUTED_VALUE"""),"High Sensitivity Support PH")</f>
        <v>High Sensitivity Support PH</v>
      </c>
    </row>
    <row r="1643">
      <c r="O1643" s="1" t="str">
        <f>IFERROR(__xludf.DUMMYFUNCTION("""COMPUTED_VALUE"""),"2025 Nov")</f>
        <v>2025 Nov</v>
      </c>
      <c r="P1643" s="1" t="str">
        <f>IFERROR(__xludf.DUMMYFUNCTION("""COMPUTED_VALUE"""),"Segment-specific Support")</f>
        <v>Segment-specific Support</v>
      </c>
      <c r="Q1643" s="1" t="str">
        <f>IFERROR(__xludf.DUMMYFUNCTION("""COMPUTED_VALUE"""),"rizzah@canva.com")</f>
        <v>rizzah@canva.com</v>
      </c>
      <c r="R1643" s="1" t="str">
        <f>IFERROR(__xludf.DUMMYFUNCTION("""COMPUTED_VALUE"""),"Rizzah Hope Anjao")</f>
        <v>Rizzah Hope Anjao</v>
      </c>
      <c r="S1643" s="1">
        <f>IFERROR(__xludf.DUMMYFUNCTION("""COMPUTED_VALUE"""),1.0)</f>
        <v>1</v>
      </c>
      <c r="T1643" s="1">
        <f>IFERROR(__xludf.DUMMYFUNCTION("""COMPUTED_VALUE"""),0.75)</f>
        <v>0.75</v>
      </c>
      <c r="U1643" s="2">
        <f>IFERROR(__xludf.DUMMYFUNCTION("""COMPUTED_VALUE"""),1.75)</f>
        <v>1.75</v>
      </c>
      <c r="V1643" s="1" t="str">
        <f>IFERROR(__xludf.DUMMYFUNCTION("""COMPUTED_VALUE"""),"Gucci Nava")</f>
        <v>Gucci Nava</v>
      </c>
      <c r="W1643" s="1" t="str">
        <f>IFERROR(__xludf.DUMMYFUNCTION("""COMPUTED_VALUE"""),"Affinity Support")</f>
        <v>Affinity Support</v>
      </c>
    </row>
    <row r="1644">
      <c r="O1644" s="1" t="str">
        <f>IFERROR(__xludf.DUMMYFUNCTION("""COMPUTED_VALUE"""),"2025 Nov")</f>
        <v>2025 Nov</v>
      </c>
      <c r="P1644" s="1" t="str">
        <f>IFERROR(__xludf.DUMMYFUNCTION("""COMPUTED_VALUE"""),"Print Support")</f>
        <v>Print Support</v>
      </c>
      <c r="Q1644" s="1" t="str">
        <f>IFERROR(__xludf.DUMMYFUNCTION("""COMPUTED_VALUE"""),"robsuico@canva.com")</f>
        <v>robsuico@canva.com</v>
      </c>
      <c r="R1644" s="1" t="str">
        <f>IFERROR(__xludf.DUMMYFUNCTION("""COMPUTED_VALUE"""),"Robin Suico")</f>
        <v>Robin Suico</v>
      </c>
      <c r="S1644" s="1"/>
      <c r="T1644" s="1">
        <f>IFERROR(__xludf.DUMMYFUNCTION("""COMPUTED_VALUE"""),2.75)</f>
        <v>2.75</v>
      </c>
      <c r="U1644" s="2">
        <f>IFERROR(__xludf.DUMMYFUNCTION("""COMPUTED_VALUE"""),2.75)</f>
        <v>2.75</v>
      </c>
      <c r="V1644" s="1" t="str">
        <f>IFERROR(__xludf.DUMMYFUNCTION("""COMPUTED_VALUE"""),"Aliza Dote")</f>
        <v>Aliza Dote</v>
      </c>
      <c r="W1644" s="1" t="str">
        <f>IFERROR(__xludf.DUMMYFUNCTION("""COMPUTED_VALUE"""),"Print Design Support")</f>
        <v>Print Design Support</v>
      </c>
    </row>
    <row r="1645">
      <c r="O1645" s="1" t="str">
        <f>IFERROR(__xludf.DUMMYFUNCTION("""COMPUTED_VALUE"""),"2025 Nov")</f>
        <v>2025 Nov</v>
      </c>
      <c r="P1645" s="1" t="str">
        <f>IFERROR(__xludf.DUMMYFUNCTION("""COMPUTED_VALUE"""),"Core Product Support")</f>
        <v>Core Product Support</v>
      </c>
      <c r="Q1645" s="1" t="str">
        <f>IFERROR(__xludf.DUMMYFUNCTION("""COMPUTED_VALUE"""),"ronally@canva.com")</f>
        <v>ronally@canva.com</v>
      </c>
      <c r="R1645" s="1" t="str">
        <f>IFERROR(__xludf.DUMMYFUNCTION("""COMPUTED_VALUE"""),"Ronally Romero")</f>
        <v>Ronally Romero</v>
      </c>
      <c r="S1645" s="1">
        <f>IFERROR(__xludf.DUMMYFUNCTION("""COMPUTED_VALUE"""),0.5)</f>
        <v>0.5</v>
      </c>
      <c r="T1645" s="1">
        <f>IFERROR(__xludf.DUMMYFUNCTION("""COMPUTED_VALUE"""),1.92)</f>
        <v>1.92</v>
      </c>
      <c r="U1645" s="2">
        <f>IFERROR(__xludf.DUMMYFUNCTION("""COMPUTED_VALUE"""),2.42)</f>
        <v>2.42</v>
      </c>
      <c r="V1645" s="1" t="str">
        <f>IFERROR(__xludf.DUMMYFUNCTION("""COMPUTED_VALUE"""),"Cate Velasco")</f>
        <v>Cate Velasco</v>
      </c>
      <c r="W1645" s="1" t="str">
        <f>IFERROR(__xludf.DUMMYFUNCTION("""COMPUTED_VALUE"""),"Advanced Product Support")</f>
        <v>Advanced Product Support</v>
      </c>
    </row>
    <row r="1646">
      <c r="O1646" s="1" t="str">
        <f>IFERROR(__xludf.DUMMYFUNCTION("""COMPUTED_VALUE"""),"2025 Nov")</f>
        <v>2025 Nov</v>
      </c>
      <c r="P1646" s="1" t="str">
        <f>IFERROR(__xludf.DUMMYFUNCTION("""COMPUTED_VALUE"""),"Core Product Support")</f>
        <v>Core Product Support</v>
      </c>
      <c r="Q1646" s="1" t="str">
        <f>IFERROR(__xludf.DUMMYFUNCTION("""COMPUTED_VALUE"""),"rvalderrama@canva.com")</f>
        <v>rvalderrama@canva.com</v>
      </c>
      <c r="R1646" s="1" t="str">
        <f>IFERROR(__xludf.DUMMYFUNCTION("""COMPUTED_VALUE"""),"Rony Valderrama")</f>
        <v>Rony Valderrama</v>
      </c>
      <c r="S1646" s="1"/>
      <c r="T1646" s="1">
        <f>IFERROR(__xludf.DUMMYFUNCTION("""COMPUTED_VALUE"""),4.25)</f>
        <v>4.25</v>
      </c>
      <c r="U1646" s="2">
        <f>IFERROR(__xludf.DUMMYFUNCTION("""COMPUTED_VALUE"""),4.25)</f>
        <v>4.25</v>
      </c>
      <c r="V1646" s="1" t="str">
        <f>IFERROR(__xludf.DUMMYFUNCTION("""COMPUTED_VALUE"""),"Renette Bok")</f>
        <v>Renette Bok</v>
      </c>
      <c r="W1646" s="1" t="str">
        <f>IFERROR(__xludf.DUMMYFUNCTION("""COMPUTED_VALUE"""),"Advanced Billing &amp; Subscriptions")</f>
        <v>Advanced Billing &amp; Subscriptions</v>
      </c>
    </row>
    <row r="1647">
      <c r="O1647" s="1" t="str">
        <f>IFERROR(__xludf.DUMMYFUNCTION("""COMPUTED_VALUE"""),"2025 Nov")</f>
        <v>2025 Nov</v>
      </c>
      <c r="P1647" s="1" t="str">
        <f>IFERROR(__xludf.DUMMYFUNCTION("""COMPUTED_VALUE"""),"Core Product Support")</f>
        <v>Core Product Support</v>
      </c>
      <c r="Q1647" s="1" t="str">
        <f>IFERROR(__xludf.DUMMYFUNCTION("""COMPUTED_VALUE"""),"ronyl@canva.com")</f>
        <v>ronyl@canva.com</v>
      </c>
      <c r="R1647" s="1" t="str">
        <f>IFERROR(__xludf.DUMMYFUNCTION("""COMPUTED_VALUE"""),"Ronyl Masilang")</f>
        <v>Ronyl Masilang</v>
      </c>
      <c r="S1647" s="1">
        <f>IFERROR(__xludf.DUMMYFUNCTION("""COMPUTED_VALUE"""),1.0)</f>
        <v>1</v>
      </c>
      <c r="T1647" s="1">
        <f>IFERROR(__xludf.DUMMYFUNCTION("""COMPUTED_VALUE"""),1.58)</f>
        <v>1.58</v>
      </c>
      <c r="U1647" s="2">
        <f>IFERROR(__xludf.DUMMYFUNCTION("""COMPUTED_VALUE"""),2.58)</f>
        <v>2.58</v>
      </c>
      <c r="V1647" s="1" t="str">
        <f>IFERROR(__xludf.DUMMYFUNCTION("""COMPUTED_VALUE"""),"Cate Velasco")</f>
        <v>Cate Velasco</v>
      </c>
      <c r="W1647" s="1" t="str">
        <f>IFERROR(__xludf.DUMMYFUNCTION("""COMPUTED_VALUE"""),"Advanced Product Support")</f>
        <v>Advanced Product Support</v>
      </c>
    </row>
    <row r="1648">
      <c r="O1648" s="1" t="str">
        <f>IFERROR(__xludf.DUMMYFUNCTION("""COMPUTED_VALUE"""),"2025 Nov")</f>
        <v>2025 Nov</v>
      </c>
      <c r="P1648" s="1" t="str">
        <f>IFERROR(__xludf.DUMMYFUNCTION("""COMPUTED_VALUE"""),"Core Product Support")</f>
        <v>Core Product Support</v>
      </c>
      <c r="Q1648" s="1" t="str">
        <f>IFERROR(__xludf.DUMMYFUNCTION("""COMPUTED_VALUE"""),"rounette@canva.com")</f>
        <v>rounette@canva.com</v>
      </c>
      <c r="R1648" s="1" t="str">
        <f>IFERROR(__xludf.DUMMYFUNCTION("""COMPUTED_VALUE"""),"Rounette Natividad")</f>
        <v>Rounette Natividad</v>
      </c>
      <c r="S1648" s="1">
        <f>IFERROR(__xludf.DUMMYFUNCTION("""COMPUTED_VALUE"""),0.5)</f>
        <v>0.5</v>
      </c>
      <c r="T1648" s="1">
        <f>IFERROR(__xludf.DUMMYFUNCTION("""COMPUTED_VALUE"""),3.5)</f>
        <v>3.5</v>
      </c>
      <c r="U1648" s="2">
        <f>IFERROR(__xludf.DUMMYFUNCTION("""COMPUTED_VALUE"""),4.0)</f>
        <v>4</v>
      </c>
      <c r="V1648" s="1" t="str">
        <f>IFERROR(__xludf.DUMMYFUNCTION("""COMPUTED_VALUE"""),"Mikhaela Decangchon")</f>
        <v>Mikhaela Decangchon</v>
      </c>
      <c r="W1648" s="1" t="str">
        <f>IFERROR(__xludf.DUMMYFUNCTION("""COMPUTED_VALUE"""),"Advanced Product Support")</f>
        <v>Advanced Product Support</v>
      </c>
    </row>
    <row r="1649">
      <c r="O1649" s="1" t="str">
        <f>IFERROR(__xludf.DUMMYFUNCTION("""COMPUTED_VALUE"""),"2025 Nov")</f>
        <v>2025 Nov</v>
      </c>
      <c r="P1649" s="1" t="str">
        <f>IFERROR(__xludf.DUMMYFUNCTION("""COMPUTED_VALUE"""),"Admin Support")</f>
        <v>Admin Support</v>
      </c>
      <c r="Q1649" s="1" t="str">
        <f>IFERROR(__xludf.DUMMYFUNCTION("""COMPUTED_VALUE"""),"rovie@canva.com")</f>
        <v>rovie@canva.com</v>
      </c>
      <c r="R1649" s="1" t="str">
        <f>IFERROR(__xludf.DUMMYFUNCTION("""COMPUTED_VALUE"""),"Rovie Hawang")</f>
        <v>Rovie Hawang</v>
      </c>
      <c r="S1649" s="1"/>
      <c r="T1649" s="1">
        <f>IFERROR(__xludf.DUMMYFUNCTION("""COMPUTED_VALUE"""),22.75)</f>
        <v>22.75</v>
      </c>
      <c r="U1649" s="2">
        <f>IFERROR(__xludf.DUMMYFUNCTION("""COMPUTED_VALUE"""),22.75)</f>
        <v>22.75</v>
      </c>
      <c r="V1649" s="1" t="str">
        <f>IFERROR(__xludf.DUMMYFUNCTION("""COMPUTED_VALUE"""),"Kelden Laguting")</f>
        <v>Kelden Laguting</v>
      </c>
      <c r="W1649" s="1" t="str">
        <f>IFERROR(__xludf.DUMMYFUNCTION("""COMPUTED_VALUE"""),"Admin Omni Support")</f>
        <v>Admin Omni Support</v>
      </c>
    </row>
    <row r="1650">
      <c r="O1650" s="1" t="str">
        <f>IFERROR(__xludf.DUMMYFUNCTION("""COMPUTED_VALUE"""),"2025 Nov")</f>
        <v>2025 Nov</v>
      </c>
      <c r="P1650" s="1" t="str">
        <f>IFERROR(__xludf.DUMMYFUNCTION("""COMPUTED_VALUE"""),"Admin Support")</f>
        <v>Admin Support</v>
      </c>
      <c r="Q1650" s="1" t="str">
        <f>IFERROR(__xludf.DUMMYFUNCTION("""COMPUTED_VALUE"""),"roxanne@canva.com")</f>
        <v>roxanne@canva.com</v>
      </c>
      <c r="R1650" s="1" t="str">
        <f>IFERROR(__xludf.DUMMYFUNCTION("""COMPUTED_VALUE"""),"Roxanne Joy Capunayan")</f>
        <v>Roxanne Joy Capunayan</v>
      </c>
      <c r="S1650" s="1"/>
      <c r="T1650" s="1">
        <f>IFERROR(__xludf.DUMMYFUNCTION("""COMPUTED_VALUE"""),2.67)</f>
        <v>2.67</v>
      </c>
      <c r="U1650" s="2">
        <f>IFERROR(__xludf.DUMMYFUNCTION("""COMPUTED_VALUE"""),2.67)</f>
        <v>2.67</v>
      </c>
      <c r="V1650" s="1" t="str">
        <f>IFERROR(__xludf.DUMMYFUNCTION("""COMPUTED_VALUE"""),"Ann Dumlao")</f>
        <v>Ann Dumlao</v>
      </c>
      <c r="W1650" s="1" t="str">
        <f>IFERROR(__xludf.DUMMYFUNCTION("""COMPUTED_VALUE"""),"Admin Omni Support")</f>
        <v>Admin Omni Support</v>
      </c>
    </row>
    <row r="1651">
      <c r="O1651" s="1" t="str">
        <f>IFERROR(__xludf.DUMMYFUNCTION("""COMPUTED_VALUE"""),"2025 Nov")</f>
        <v>2025 Nov</v>
      </c>
      <c r="P1651" s="1" t="str">
        <f>IFERROR(__xludf.DUMMYFUNCTION("""COMPUTED_VALUE"""),"Core Product Support")</f>
        <v>Core Product Support</v>
      </c>
      <c r="Q1651" s="1" t="str">
        <f>IFERROR(__xludf.DUMMYFUNCTION("""COMPUTED_VALUE"""),"rozelp@canva.com")</f>
        <v>rozelp@canva.com</v>
      </c>
      <c r="R1651" s="1" t="str">
        <f>IFERROR(__xludf.DUMMYFUNCTION("""COMPUTED_VALUE"""),"Rozel Punsalan")</f>
        <v>Rozel Punsalan</v>
      </c>
      <c r="S1651" s="1">
        <f>IFERROR(__xludf.DUMMYFUNCTION("""COMPUTED_VALUE"""),0.5)</f>
        <v>0.5</v>
      </c>
      <c r="T1651" s="1">
        <f>IFERROR(__xludf.DUMMYFUNCTION("""COMPUTED_VALUE"""),2.42)</f>
        <v>2.42</v>
      </c>
      <c r="U1651" s="2">
        <f>IFERROR(__xludf.DUMMYFUNCTION("""COMPUTED_VALUE"""),2.92)</f>
        <v>2.92</v>
      </c>
      <c r="V1651" s="1" t="str">
        <f>IFERROR(__xludf.DUMMYFUNCTION("""COMPUTED_VALUE"""),"Marie Mordeno")</f>
        <v>Marie Mordeno</v>
      </c>
      <c r="W1651" s="1" t="str">
        <f>IFERROR(__xludf.DUMMYFUNCTION("""COMPUTED_VALUE"""),"Advanced Billing &amp; Subscriptions")</f>
        <v>Advanced Billing &amp; Subscriptions</v>
      </c>
    </row>
    <row r="1652">
      <c r="O1652" s="1" t="str">
        <f>IFERROR(__xludf.DUMMYFUNCTION("""COMPUTED_VALUE"""),"2025 Nov")</f>
        <v>2025 Nov</v>
      </c>
      <c r="P1652" s="1" t="str">
        <f>IFERROR(__xludf.DUMMYFUNCTION("""COMPUTED_VALUE"""),"Core Product Support")</f>
        <v>Core Product Support</v>
      </c>
      <c r="Q1652" s="1" t="str">
        <f>IFERROR(__xludf.DUMMYFUNCTION("""COMPUTED_VALUE"""),"ruzel@canva.com")</f>
        <v>ruzel@canva.com</v>
      </c>
      <c r="R1652" s="1" t="str">
        <f>IFERROR(__xludf.DUMMYFUNCTION("""COMPUTED_VALUE"""),"Ruzel Raqueno")</f>
        <v>Ruzel Raqueno</v>
      </c>
      <c r="S1652" s="1">
        <f>IFERROR(__xludf.DUMMYFUNCTION("""COMPUTED_VALUE"""),1.5)</f>
        <v>1.5</v>
      </c>
      <c r="T1652" s="1">
        <f>IFERROR(__xludf.DUMMYFUNCTION("""COMPUTED_VALUE"""),9.92)</f>
        <v>9.92</v>
      </c>
      <c r="U1652" s="2">
        <f>IFERROR(__xludf.DUMMYFUNCTION("""COMPUTED_VALUE"""),11.42)</f>
        <v>11.42</v>
      </c>
      <c r="V1652" s="1" t="str">
        <f>IFERROR(__xludf.DUMMYFUNCTION("""COMPUTED_VALUE"""),"Ellaine Estayo")</f>
        <v>Ellaine Estayo</v>
      </c>
      <c r="W1652" s="1" t="str">
        <f>IFERROR(__xludf.DUMMYFUNCTION("""COMPUTED_VALUE"""),"Core Product Support Escalation Team")</f>
        <v>Core Product Support Escalation Team</v>
      </c>
    </row>
    <row r="1653">
      <c r="O1653" s="1" t="str">
        <f>IFERROR(__xludf.DUMMYFUNCTION("""COMPUTED_VALUE"""),"2025 Nov")</f>
        <v>2025 Nov</v>
      </c>
      <c r="P1653" s="1" t="str">
        <f>IFERROR(__xludf.DUMMYFUNCTION("""COMPUTED_VALUE"""),"Print Support")</f>
        <v>Print Support</v>
      </c>
      <c r="Q1653" s="1" t="str">
        <f>IFERROR(__xludf.DUMMYFUNCTION("""COMPUTED_VALUE"""),"rdominick@canva.com")</f>
        <v>rdominick@canva.com</v>
      </c>
      <c r="R1653" s="1" t="str">
        <f>IFERROR(__xludf.DUMMYFUNCTION("""COMPUTED_VALUE"""),"Ryan Dominick Razon")</f>
        <v>Ryan Dominick Razon</v>
      </c>
      <c r="S1653" s="1"/>
      <c r="T1653" s="1">
        <f>IFERROR(__xludf.DUMMYFUNCTION("""COMPUTED_VALUE"""),41.75)</f>
        <v>41.75</v>
      </c>
      <c r="U1653" s="2">
        <f>IFERROR(__xludf.DUMMYFUNCTION("""COMPUTED_VALUE"""),41.75)</f>
        <v>41.75</v>
      </c>
      <c r="V1653" s="1" t="str">
        <f>IFERROR(__xludf.DUMMYFUNCTION("""COMPUTED_VALUE"""),"Jen Momo")</f>
        <v>Jen Momo</v>
      </c>
      <c r="W1653" s="1" t="str">
        <f>IFERROR(__xludf.DUMMYFUNCTION("""COMPUTED_VALUE"""),"Print Support PH")</f>
        <v>Print Support PH</v>
      </c>
    </row>
    <row r="1654">
      <c r="O1654" s="1" t="str">
        <f>IFERROR(__xludf.DUMMYFUNCTION("""COMPUTED_VALUE"""),"2025 Nov")</f>
        <v>2025 Nov</v>
      </c>
      <c r="P1654" s="1" t="str">
        <f>IFERROR(__xludf.DUMMYFUNCTION("""COMPUTED_VALUE"""),"Segment-specific Support")</f>
        <v>Segment-specific Support</v>
      </c>
      <c r="Q1654" s="1" t="str">
        <f>IFERROR(__xludf.DUMMYFUNCTION("""COMPUTED_VALUE"""),"sammiee@canva.com")</f>
        <v>sammiee@canva.com</v>
      </c>
      <c r="R1654" s="1" t="str">
        <f>IFERROR(__xludf.DUMMYFUNCTION("""COMPUTED_VALUE"""),"Sam Espelimbergo")</f>
        <v>Sam Espelimbergo</v>
      </c>
      <c r="S1654" s="1"/>
      <c r="T1654" s="1">
        <f>IFERROR(__xludf.DUMMYFUNCTION("""COMPUTED_VALUE"""),41.25)</f>
        <v>41.25</v>
      </c>
      <c r="U1654" s="2">
        <f>IFERROR(__xludf.DUMMYFUNCTION("""COMPUTED_VALUE"""),41.25)</f>
        <v>41.25</v>
      </c>
      <c r="V1654" s="1" t="str">
        <f>IFERROR(__xludf.DUMMYFUNCTION("""COMPUTED_VALUE"""),"Aileen Dayanghirang")</f>
        <v>Aileen Dayanghirang</v>
      </c>
      <c r="W1654" s="1" t="str">
        <f>IFERROR(__xludf.DUMMYFUNCTION("""COMPUTED_VALUE"""),"Creators Support")</f>
        <v>Creators Support</v>
      </c>
    </row>
    <row r="1655">
      <c r="O1655" s="1" t="str">
        <f>IFERROR(__xludf.DUMMYFUNCTION("""COMPUTED_VALUE"""),"2025 Nov")</f>
        <v>2025 Nov</v>
      </c>
      <c r="P1655" s="1" t="str">
        <f>IFERROR(__xludf.DUMMYFUNCTION("""COMPUTED_VALUE"""),"Admin Support")</f>
        <v>Admin Support</v>
      </c>
      <c r="Q1655" s="1" t="str">
        <f>IFERROR(__xludf.DUMMYFUNCTION("""COMPUTED_VALUE"""),"simber@canva.com")</f>
        <v>simber@canva.com</v>
      </c>
      <c r="R1655" s="1" t="str">
        <f>IFERROR(__xludf.DUMMYFUNCTION("""COMPUTED_VALUE"""),"Sean Imber")</f>
        <v>Sean Imber</v>
      </c>
      <c r="S1655" s="1"/>
      <c r="T1655" s="1">
        <f>IFERROR(__xludf.DUMMYFUNCTION("""COMPUTED_VALUE"""),2.25)</f>
        <v>2.25</v>
      </c>
      <c r="U1655" s="2">
        <f>IFERROR(__xludf.DUMMYFUNCTION("""COMPUTED_VALUE"""),2.25)</f>
        <v>2.25</v>
      </c>
      <c r="V1655" s="1" t="str">
        <f>IFERROR(__xludf.DUMMYFUNCTION("""COMPUTED_VALUE"""),"Elise Cesario Mendes")</f>
        <v>Elise Cesario Mendes</v>
      </c>
      <c r="W1655" s="1" t="str">
        <f>IFERROR(__xludf.DUMMYFUNCTION("""COMPUTED_VALUE"""),"Admin Support APJ")</f>
        <v>Admin Support APJ</v>
      </c>
    </row>
    <row r="1656">
      <c r="O1656" s="1" t="str">
        <f>IFERROR(__xludf.DUMMYFUNCTION("""COMPUTED_VALUE"""),"2025 Nov")</f>
        <v>2025 Nov</v>
      </c>
      <c r="P1656" s="1" t="str">
        <f>IFERROR(__xludf.DUMMYFUNCTION("""COMPUTED_VALUE"""),"#N/A")</f>
        <v>#N/A</v>
      </c>
      <c r="Q1656" s="1" t="str">
        <f>IFERROR(__xludf.DUMMYFUNCTION("""COMPUTED_VALUE"""),"selle@canva.com")</f>
        <v>selle@canva.com</v>
      </c>
      <c r="R1656" s="1" t="str">
        <f>IFERROR(__xludf.DUMMYFUNCTION("""COMPUTED_VALUE"""),"Selle Falculan")</f>
        <v>Selle Falculan</v>
      </c>
      <c r="S1656" s="1">
        <f>IFERROR(__xludf.DUMMYFUNCTION("""COMPUTED_VALUE"""),1.0)</f>
        <v>1</v>
      </c>
      <c r="T1656" s="1">
        <f>IFERROR(__xludf.DUMMYFUNCTION("""COMPUTED_VALUE"""),0.75)</f>
        <v>0.75</v>
      </c>
      <c r="U1656" s="2">
        <f>IFERROR(__xludf.DUMMYFUNCTION("""COMPUTED_VALUE"""),1.75)</f>
        <v>1.75</v>
      </c>
      <c r="V1656" s="1" t="str">
        <f>IFERROR(__xludf.DUMMYFUNCTION("""COMPUTED_VALUE"""),"#N/A")</f>
        <v>#N/A</v>
      </c>
      <c r="W1656" s="1" t="str">
        <f>IFERROR(__xludf.DUMMYFUNCTION("""COMPUTED_VALUE"""),"#N/A")</f>
        <v>#N/A</v>
      </c>
    </row>
    <row r="1657">
      <c r="O1657" s="1" t="str">
        <f>IFERROR(__xludf.DUMMYFUNCTION("""COMPUTED_VALUE"""),"2025 Nov")</f>
        <v>2025 Nov</v>
      </c>
      <c r="P1657" s="1" t="str">
        <f>IFERROR(__xludf.DUMMYFUNCTION("""COMPUTED_VALUE"""),"High Sensitivity Support")</f>
        <v>High Sensitivity Support</v>
      </c>
      <c r="Q1657" s="1" t="str">
        <f>IFERROR(__xludf.DUMMYFUNCTION("""COMPUTED_VALUE"""),"sbaldonado@canva.com")</f>
        <v>sbaldonado@canva.com</v>
      </c>
      <c r="R1657" s="1" t="str">
        <f>IFERROR(__xludf.DUMMYFUNCTION("""COMPUTED_VALUE"""),"Sheira Nicole Baldonado")</f>
        <v>Sheira Nicole Baldonado</v>
      </c>
      <c r="S1657" s="1">
        <f>IFERROR(__xludf.DUMMYFUNCTION("""COMPUTED_VALUE"""),12.3)</f>
        <v>12.3</v>
      </c>
      <c r="T1657" s="1">
        <f>IFERROR(__xludf.DUMMYFUNCTION("""COMPUTED_VALUE"""),2.75)</f>
        <v>2.75</v>
      </c>
      <c r="U1657" s="2">
        <f>IFERROR(__xludf.DUMMYFUNCTION("""COMPUTED_VALUE"""),15.05)</f>
        <v>15.05</v>
      </c>
      <c r="V1657" s="1" t="str">
        <f>IFERROR(__xludf.DUMMYFUNCTION("""COMPUTED_VALUE"""),"Rex Villamor")</f>
        <v>Rex Villamor</v>
      </c>
      <c r="W1657" s="1" t="str">
        <f>IFERROR(__xludf.DUMMYFUNCTION("""COMPUTED_VALUE"""),"High Sensitivity Support PH")</f>
        <v>High Sensitivity Support PH</v>
      </c>
    </row>
    <row r="1658">
      <c r="O1658" s="1" t="str">
        <f>IFERROR(__xludf.DUMMYFUNCTION("""COMPUTED_VALUE"""),"2025 Nov")</f>
        <v>2025 Nov</v>
      </c>
      <c r="P1658" s="1" t="str">
        <f>IFERROR(__xludf.DUMMYFUNCTION("""COMPUTED_VALUE"""),"Core Product Support")</f>
        <v>Core Product Support</v>
      </c>
      <c r="Q1658" s="1" t="str">
        <f>IFERROR(__xludf.DUMMYFUNCTION("""COMPUTED_VALUE"""),"sophiae@canva.com")</f>
        <v>sophiae@canva.com</v>
      </c>
      <c r="R1658" s="1" t="str">
        <f>IFERROR(__xludf.DUMMYFUNCTION("""COMPUTED_VALUE"""),"Sophia Ermac")</f>
        <v>Sophia Ermac</v>
      </c>
      <c r="S1658" s="1">
        <f>IFERROR(__xludf.DUMMYFUNCTION("""COMPUTED_VALUE"""),0.25)</f>
        <v>0.25</v>
      </c>
      <c r="T1658" s="1">
        <f>IFERROR(__xludf.DUMMYFUNCTION("""COMPUTED_VALUE"""),3.67)</f>
        <v>3.67</v>
      </c>
      <c r="U1658" s="2">
        <f>IFERROR(__xludf.DUMMYFUNCTION("""COMPUTED_VALUE"""),3.92)</f>
        <v>3.92</v>
      </c>
      <c r="V1658" s="1" t="str">
        <f>IFERROR(__xludf.DUMMYFUNCTION("""COMPUTED_VALUE"""),"Ana Lazaro")</f>
        <v>Ana Lazaro</v>
      </c>
      <c r="W1658" s="1" t="str">
        <f>IFERROR(__xludf.DUMMYFUNCTION("""COMPUTED_VALUE"""),"Advanced Billing &amp; Subscriptions")</f>
        <v>Advanced Billing &amp; Subscriptions</v>
      </c>
    </row>
    <row r="1659">
      <c r="O1659" s="1" t="str">
        <f>IFERROR(__xludf.DUMMYFUNCTION("""COMPUTED_VALUE"""),"2025 Nov")</f>
        <v>2025 Nov</v>
      </c>
      <c r="P1659" s="1" t="str">
        <f>IFERROR(__xludf.DUMMYFUNCTION("""COMPUTED_VALUE"""),"Admin Support")</f>
        <v>Admin Support</v>
      </c>
      <c r="Q1659" s="1" t="str">
        <f>IFERROR(__xludf.DUMMYFUNCTION("""COMPUTED_VALUE"""),"stephanie.t@canva.com")</f>
        <v>stephanie.t@canva.com</v>
      </c>
      <c r="R1659" s="1" t="str">
        <f>IFERROR(__xludf.DUMMYFUNCTION("""COMPUTED_VALUE"""),"Stephanie Lyn Tan")</f>
        <v>Stephanie Lyn Tan</v>
      </c>
      <c r="S1659" s="1"/>
      <c r="T1659" s="1">
        <f>IFERROR(__xludf.DUMMYFUNCTION("""COMPUTED_VALUE"""),18.0)</f>
        <v>18</v>
      </c>
      <c r="U1659" s="2">
        <f>IFERROR(__xludf.DUMMYFUNCTION("""COMPUTED_VALUE"""),18.0)</f>
        <v>18</v>
      </c>
      <c r="V1659" s="1" t="str">
        <f>IFERROR(__xludf.DUMMYFUNCTION("""COMPUTED_VALUE"""),"Pau Palmero")</f>
        <v>Pau Palmero</v>
      </c>
      <c r="W1659" s="1" t="str">
        <f>IFERROR(__xludf.DUMMYFUNCTION("""COMPUTED_VALUE"""),"Admin Omni Support")</f>
        <v>Admin Omni Support</v>
      </c>
    </row>
    <row r="1660">
      <c r="O1660" s="1" t="str">
        <f>IFERROR(__xludf.DUMMYFUNCTION("""COMPUTED_VALUE"""),"2025 Nov")</f>
        <v>2025 Nov</v>
      </c>
      <c r="P1660" s="1" t="str">
        <f>IFERROR(__xludf.DUMMYFUNCTION("""COMPUTED_VALUE"""),"Admin Support")</f>
        <v>Admin Support</v>
      </c>
      <c r="Q1660" s="1" t="str">
        <f>IFERROR(__xludf.DUMMYFUNCTION("""COMPUTED_VALUE"""),"stephen.k@canva.com")</f>
        <v>stephen.k@canva.com</v>
      </c>
      <c r="R1660" s="1" t="str">
        <f>IFERROR(__xludf.DUMMYFUNCTION("""COMPUTED_VALUE"""),"Stephen Kahanap")</f>
        <v>Stephen Kahanap</v>
      </c>
      <c r="S1660" s="1"/>
      <c r="T1660" s="1">
        <f>IFERROR(__xludf.DUMMYFUNCTION("""COMPUTED_VALUE"""),8.75)</f>
        <v>8.75</v>
      </c>
      <c r="U1660" s="2">
        <f>IFERROR(__xludf.DUMMYFUNCTION("""COMPUTED_VALUE"""),8.75)</f>
        <v>8.75</v>
      </c>
      <c r="V1660" s="1" t="str">
        <f>IFERROR(__xludf.DUMMYFUNCTION("""COMPUTED_VALUE"""),"Ann Dumlao")</f>
        <v>Ann Dumlao</v>
      </c>
      <c r="W1660" s="1" t="str">
        <f>IFERROR(__xludf.DUMMYFUNCTION("""COMPUTED_VALUE"""),"Admin Omni Support")</f>
        <v>Admin Omni Support</v>
      </c>
    </row>
    <row r="1661">
      <c r="O1661" s="1" t="str">
        <f>IFERROR(__xludf.DUMMYFUNCTION("""COMPUTED_VALUE"""),"2025 Nov")</f>
        <v>2025 Nov</v>
      </c>
      <c r="P1661" s="1" t="str">
        <f>IFERROR(__xludf.DUMMYFUNCTION("""COMPUTED_VALUE"""),"Segment-specific Support")</f>
        <v>Segment-specific Support</v>
      </c>
      <c r="Q1661" s="1" t="str">
        <f>IFERROR(__xludf.DUMMYFUNCTION("""COMPUTED_VALUE"""),"sremo@canva.com")</f>
        <v>sremo@canva.com</v>
      </c>
      <c r="R1661" s="1" t="str">
        <f>IFERROR(__xludf.DUMMYFUNCTION("""COMPUTED_VALUE"""),"Sunshine Remo")</f>
        <v>Sunshine Remo</v>
      </c>
      <c r="S1661" s="1">
        <f>IFERROR(__xludf.DUMMYFUNCTION("""COMPUTED_VALUE"""),1.0)</f>
        <v>1</v>
      </c>
      <c r="T1661" s="1">
        <f>IFERROR(__xludf.DUMMYFUNCTION("""COMPUTED_VALUE"""),0.75)</f>
        <v>0.75</v>
      </c>
      <c r="U1661" s="2">
        <f>IFERROR(__xludf.DUMMYFUNCTION("""COMPUTED_VALUE"""),1.75)</f>
        <v>1.75</v>
      </c>
      <c r="V1661" s="1" t="str">
        <f>IFERROR(__xludf.DUMMYFUNCTION("""COMPUTED_VALUE"""),"Rose Gabilan")</f>
        <v>Rose Gabilan</v>
      </c>
      <c r="W1661" s="1" t="str">
        <f>IFERROR(__xludf.DUMMYFUNCTION("""COMPUTED_VALUE"""),"Affinity Support")</f>
        <v>Affinity Support</v>
      </c>
    </row>
    <row r="1662">
      <c r="O1662" s="1" t="str">
        <f>IFERROR(__xludf.DUMMYFUNCTION("""COMPUTED_VALUE"""),"2025 Nov")</f>
        <v>2025 Nov</v>
      </c>
      <c r="P1662" s="1" t="str">
        <f>IFERROR(__xludf.DUMMYFUNCTION("""COMPUTED_VALUE"""),"Admin Support")</f>
        <v>Admin Support</v>
      </c>
      <c r="Q1662" s="1" t="str">
        <f>IFERROR(__xludf.DUMMYFUNCTION("""COMPUTED_VALUE"""),"susann@canva.com")</f>
        <v>susann@canva.com</v>
      </c>
      <c r="R1662" s="1" t="str">
        <f>IFERROR(__xludf.DUMMYFUNCTION("""COMPUTED_VALUE"""),"Susann Dierich")</f>
        <v>Susann Dierich</v>
      </c>
      <c r="S1662" s="1"/>
      <c r="T1662" s="1">
        <f>IFERROR(__xludf.DUMMYFUNCTION("""COMPUTED_VALUE"""),2.25)</f>
        <v>2.25</v>
      </c>
      <c r="U1662" s="2">
        <f>IFERROR(__xludf.DUMMYFUNCTION("""COMPUTED_VALUE"""),2.25)</f>
        <v>2.25</v>
      </c>
      <c r="V1662" s="1" t="str">
        <f>IFERROR(__xludf.DUMMYFUNCTION("""COMPUTED_VALUE"""),"Tash Kelly")</f>
        <v>Tash Kelly</v>
      </c>
      <c r="W1662" s="1" t="str">
        <f>IFERROR(__xludf.DUMMYFUNCTION("""COMPUTED_VALUE"""),"Admin Support EMEA")</f>
        <v>Admin Support EMEA</v>
      </c>
    </row>
    <row r="1663">
      <c r="O1663" s="1" t="str">
        <f>IFERROR(__xludf.DUMMYFUNCTION("""COMPUTED_VALUE"""),"2025 Nov")</f>
        <v>2025 Nov</v>
      </c>
      <c r="P1663" s="1" t="str">
        <f>IFERROR(__xludf.DUMMYFUNCTION("""COMPUTED_VALUE"""),"Admin Support")</f>
        <v>Admin Support</v>
      </c>
      <c r="Q1663" s="1" t="str">
        <f>IFERROR(__xludf.DUMMYFUNCTION("""COMPUTED_VALUE"""),"skyles@canva.com")</f>
        <v>skyles@canva.com</v>
      </c>
      <c r="R1663" s="1" t="str">
        <f>IFERROR(__xludf.DUMMYFUNCTION("""COMPUTED_VALUE"""),"Sylvia Kyles")</f>
        <v>Sylvia Kyles</v>
      </c>
      <c r="S1663" s="1">
        <f>IFERROR(__xludf.DUMMYFUNCTION("""COMPUTED_VALUE"""),1.5)</f>
        <v>1.5</v>
      </c>
      <c r="T1663" s="1">
        <f>IFERROR(__xludf.DUMMYFUNCTION("""COMPUTED_VALUE"""),6.25)</f>
        <v>6.25</v>
      </c>
      <c r="U1663" s="2">
        <f>IFERROR(__xludf.DUMMYFUNCTION("""COMPUTED_VALUE"""),7.75)</f>
        <v>7.75</v>
      </c>
      <c r="V1663" s="1" t="str">
        <f>IFERROR(__xludf.DUMMYFUNCTION("""COMPUTED_VALUE"""),"Nate Vela")</f>
        <v>Nate Vela</v>
      </c>
      <c r="W1663" s="1" t="str">
        <f>IFERROR(__xludf.DUMMYFUNCTION("""COMPUTED_VALUE"""),"Admin Support NA")</f>
        <v>Admin Support NA</v>
      </c>
    </row>
    <row r="1664">
      <c r="O1664" s="1" t="str">
        <f>IFERROR(__xludf.DUMMYFUNCTION("""COMPUTED_VALUE"""),"2025 Nov")</f>
        <v>2025 Nov</v>
      </c>
      <c r="P1664" s="1" t="str">
        <f>IFERROR(__xludf.DUMMYFUNCTION("""COMPUTED_VALUE"""),"Print Support")</f>
        <v>Print Support</v>
      </c>
      <c r="Q1664" s="1" t="str">
        <f>IFERROR(__xludf.DUMMYFUNCTION("""COMPUTED_VALUE"""),"theag@canva.com")</f>
        <v>theag@canva.com</v>
      </c>
      <c r="R1664" s="1" t="str">
        <f>IFERROR(__xludf.DUMMYFUNCTION("""COMPUTED_VALUE"""),"Thea Gelua")</f>
        <v>Thea Gelua</v>
      </c>
      <c r="S1664" s="1">
        <f>IFERROR(__xludf.DUMMYFUNCTION("""COMPUTED_VALUE"""),5.25)</f>
        <v>5.25</v>
      </c>
      <c r="T1664" s="1">
        <f>IFERROR(__xludf.DUMMYFUNCTION("""COMPUTED_VALUE"""),1.75)</f>
        <v>1.75</v>
      </c>
      <c r="U1664" s="2">
        <f>IFERROR(__xludf.DUMMYFUNCTION("""COMPUTED_VALUE"""),7.0)</f>
        <v>7</v>
      </c>
      <c r="V1664" s="1" t="str">
        <f>IFERROR(__xludf.DUMMYFUNCTION("""COMPUTED_VALUE"""),"Jen Momo")</f>
        <v>Jen Momo</v>
      </c>
      <c r="W1664" s="1" t="str">
        <f>IFERROR(__xludf.DUMMYFUNCTION("""COMPUTED_VALUE"""),"Print Support PH")</f>
        <v>Print Support PH</v>
      </c>
    </row>
    <row r="1665">
      <c r="O1665" s="1" t="str">
        <f>IFERROR(__xludf.DUMMYFUNCTION("""COMPUTED_VALUE"""),"2025 Nov")</f>
        <v>2025 Nov</v>
      </c>
      <c r="P1665" s="1" t="str">
        <f>IFERROR(__xludf.DUMMYFUNCTION("""COMPUTED_VALUE"""),"Print Support")</f>
        <v>Print Support</v>
      </c>
      <c r="Q1665" s="1" t="str">
        <f>IFERROR(__xludf.DUMMYFUNCTION("""COMPUTED_VALUE"""),"tia@canva.com")</f>
        <v>tia@canva.com</v>
      </c>
      <c r="R1665" s="1" t="str">
        <f>IFERROR(__xludf.DUMMYFUNCTION("""COMPUTED_VALUE"""),"Tia Tilanduca")</f>
        <v>Tia Tilanduca</v>
      </c>
      <c r="S1665" s="1"/>
      <c r="T1665" s="1">
        <f>IFERROR(__xludf.DUMMYFUNCTION("""COMPUTED_VALUE"""),2.08)</f>
        <v>2.08</v>
      </c>
      <c r="U1665" s="2">
        <f>IFERROR(__xludf.DUMMYFUNCTION("""COMPUTED_VALUE"""),2.08)</f>
        <v>2.08</v>
      </c>
      <c r="V1665" s="1" t="str">
        <f>IFERROR(__xludf.DUMMYFUNCTION("""COMPUTED_VALUE"""),"Louise Dianne Estrella")</f>
        <v>Louise Dianne Estrella</v>
      </c>
      <c r="W1665" s="1" t="str">
        <f>IFERROR(__xludf.DUMMYFUNCTION("""COMPUTED_VALUE"""),"Print Support PH")</f>
        <v>Print Support PH</v>
      </c>
    </row>
    <row r="1666">
      <c r="O1666" s="1" t="str">
        <f>IFERROR(__xludf.DUMMYFUNCTION("""COMPUTED_VALUE"""),"2025 Nov")</f>
        <v>2025 Nov</v>
      </c>
      <c r="P1666" s="1" t="str">
        <f>IFERROR(__xludf.DUMMYFUNCTION("""COMPUTED_VALUE"""),"Admin Support")</f>
        <v>Admin Support</v>
      </c>
      <c r="Q1666" s="1" t="str">
        <f>IFERROR(__xludf.DUMMYFUNCTION("""COMPUTED_VALUE"""),"tiara@canva.com")</f>
        <v>tiara@canva.com</v>
      </c>
      <c r="R1666" s="1" t="str">
        <f>IFERROR(__xludf.DUMMYFUNCTION("""COMPUTED_VALUE"""),"Tiara Samonte")</f>
        <v>Tiara Samonte</v>
      </c>
      <c r="S1666" s="1">
        <f>IFERROR(__xludf.DUMMYFUNCTION("""COMPUTED_VALUE"""),1.0)</f>
        <v>1</v>
      </c>
      <c r="T1666" s="1">
        <f>IFERROR(__xludf.DUMMYFUNCTION("""COMPUTED_VALUE"""),3.25)</f>
        <v>3.25</v>
      </c>
      <c r="U1666" s="2">
        <f>IFERROR(__xludf.DUMMYFUNCTION("""COMPUTED_VALUE"""),4.25)</f>
        <v>4.25</v>
      </c>
      <c r="V1666" s="1" t="str">
        <f>IFERROR(__xludf.DUMMYFUNCTION("""COMPUTED_VALUE"""),"AL Suarez")</f>
        <v>AL Suarez</v>
      </c>
      <c r="W1666" s="1" t="str">
        <f>IFERROR(__xludf.DUMMYFUNCTION("""COMPUTED_VALUE"""),"Advanced Billing &amp; Subscriptions")</f>
        <v>Advanced Billing &amp; Subscriptions</v>
      </c>
    </row>
    <row r="1667">
      <c r="O1667" s="1" t="str">
        <f>IFERROR(__xludf.DUMMYFUNCTION("""COMPUTED_VALUE"""),"2025 Nov")</f>
        <v>2025 Nov</v>
      </c>
      <c r="P1667" s="1" t="str">
        <f>IFERROR(__xludf.DUMMYFUNCTION("""COMPUTED_VALUE"""),"Segment-specific Support")</f>
        <v>Segment-specific Support</v>
      </c>
      <c r="Q1667" s="1" t="str">
        <f>IFERROR(__xludf.DUMMYFUNCTION("""COMPUTED_VALUE"""),"timdl@canva.com")</f>
        <v>timdl@canva.com</v>
      </c>
      <c r="R1667" s="1" t="str">
        <f>IFERROR(__xludf.DUMMYFUNCTION("""COMPUTED_VALUE"""),"Tim De Leon")</f>
        <v>Tim De Leon</v>
      </c>
      <c r="S1667" s="1"/>
      <c r="T1667" s="1">
        <f>IFERROR(__xludf.DUMMYFUNCTION("""COMPUTED_VALUE"""),1.25)</f>
        <v>1.25</v>
      </c>
      <c r="U1667" s="2">
        <f>IFERROR(__xludf.DUMMYFUNCTION("""COMPUTED_VALUE"""),1.25)</f>
        <v>1.25</v>
      </c>
      <c r="V1667" s="1" t="str">
        <f>IFERROR(__xludf.DUMMYFUNCTION("""COMPUTED_VALUE"""),"Aileen Dayanghirang")</f>
        <v>Aileen Dayanghirang</v>
      </c>
      <c r="W1667" s="1" t="str">
        <f>IFERROR(__xludf.DUMMYFUNCTION("""COMPUTED_VALUE"""),"Creators Support")</f>
        <v>Creators Support</v>
      </c>
    </row>
    <row r="1668">
      <c r="O1668" s="1" t="str">
        <f>IFERROR(__xludf.DUMMYFUNCTION("""COMPUTED_VALUE"""),"2025 Nov")</f>
        <v>2025 Nov</v>
      </c>
      <c r="P1668" s="1" t="str">
        <f>IFERROR(__xludf.DUMMYFUNCTION("""COMPUTED_VALUE"""),"Admin Support")</f>
        <v>Admin Support</v>
      </c>
      <c r="Q1668" s="1" t="str">
        <f>IFERROR(__xludf.DUMMYFUNCTION("""COMPUTED_VALUE"""),"cnuyda@canva.com")</f>
        <v>cnuyda@canva.com</v>
      </c>
      <c r="R1668" s="1" t="str">
        <f>IFERROR(__xludf.DUMMYFUNCTION("""COMPUTED_VALUE"""),"Toff Nuyda")</f>
        <v>Toff Nuyda</v>
      </c>
      <c r="S1668" s="1"/>
      <c r="T1668" s="1">
        <f>IFERROR(__xludf.DUMMYFUNCTION("""COMPUTED_VALUE"""),11.5)</f>
        <v>11.5</v>
      </c>
      <c r="U1668" s="2">
        <f>IFERROR(__xludf.DUMMYFUNCTION("""COMPUTED_VALUE"""),11.5)</f>
        <v>11.5</v>
      </c>
      <c r="V1668" s="1" t="str">
        <f>IFERROR(__xludf.DUMMYFUNCTION("""COMPUTED_VALUE"""),"Karla Mananghaya")</f>
        <v>Karla Mananghaya</v>
      </c>
      <c r="W1668" s="1" t="str">
        <f>IFERROR(__xludf.DUMMYFUNCTION("""COMPUTED_VALUE"""),"Admin Support Service Escalation Team")</f>
        <v>Admin Support Service Escalation Team</v>
      </c>
    </row>
    <row r="1669">
      <c r="O1669" s="1" t="str">
        <f>IFERROR(__xludf.DUMMYFUNCTION("""COMPUTED_VALUE"""),"2025 Nov")</f>
        <v>2025 Nov</v>
      </c>
      <c r="P1669" s="1" t="str">
        <f>IFERROR(__xludf.DUMMYFUNCTION("""COMPUTED_VALUE"""),"Multilingual Support")</f>
        <v>Multilingual Support</v>
      </c>
      <c r="Q1669" s="1" t="str">
        <f>IFERROR(__xludf.DUMMYFUNCTION("""COMPUTED_VALUE"""),"tricia.p@canva.com")</f>
        <v>tricia.p@canva.com</v>
      </c>
      <c r="R1669" s="1" t="str">
        <f>IFERROR(__xludf.DUMMYFUNCTION("""COMPUTED_VALUE"""),"Tricia Pasagui")</f>
        <v>Tricia Pasagui</v>
      </c>
      <c r="S1669" s="1"/>
      <c r="T1669" s="1">
        <f>IFERROR(__xludf.DUMMYFUNCTION("""COMPUTED_VALUE"""),1.75)</f>
        <v>1.75</v>
      </c>
      <c r="U1669" s="2">
        <f>IFERROR(__xludf.DUMMYFUNCTION("""COMPUTED_VALUE"""),1.75)</f>
        <v>1.75</v>
      </c>
      <c r="V1669" s="1" t="str">
        <f>IFERROR(__xludf.DUMMYFUNCTION("""COMPUTED_VALUE"""),"Arlene Maurillo")</f>
        <v>Arlene Maurillo</v>
      </c>
      <c r="W1669" s="1" t="str">
        <f>IFERROR(__xludf.DUMMYFUNCTION("""COMPUTED_VALUE"""),"PHL, Multilingual Support")</f>
        <v>PHL, Multilingual Support</v>
      </c>
    </row>
    <row r="1670">
      <c r="O1670" s="1" t="str">
        <f>IFERROR(__xludf.DUMMYFUNCTION("""COMPUTED_VALUE"""),"2025 Nov")</f>
        <v>2025 Nov</v>
      </c>
      <c r="P1670" s="1" t="str">
        <f>IFERROR(__xludf.DUMMYFUNCTION("""COMPUTED_VALUE"""),"High Sensitivity Support")</f>
        <v>High Sensitivity Support</v>
      </c>
      <c r="Q1670" s="1" t="str">
        <f>IFERROR(__xludf.DUMMYFUNCTION("""COMPUTED_VALUE"""),"trina@canva.com")</f>
        <v>trina@canva.com</v>
      </c>
      <c r="R1670" s="1" t="str">
        <f>IFERROR(__xludf.DUMMYFUNCTION("""COMPUTED_VALUE"""),"Trina Salcedo")</f>
        <v>Trina Salcedo</v>
      </c>
      <c r="S1670" s="1">
        <f>IFERROR(__xludf.DUMMYFUNCTION("""COMPUTED_VALUE"""),9.25)</f>
        <v>9.25</v>
      </c>
      <c r="T1670" s="1">
        <f>IFERROR(__xludf.DUMMYFUNCTION("""COMPUTED_VALUE"""),2.75)</f>
        <v>2.75</v>
      </c>
      <c r="U1670" s="2">
        <f>IFERROR(__xludf.DUMMYFUNCTION("""COMPUTED_VALUE"""),12.0)</f>
        <v>12</v>
      </c>
      <c r="V1670" s="1" t="str">
        <f>IFERROR(__xludf.DUMMYFUNCTION("""COMPUTED_VALUE"""),"Xandy Azarcon")</f>
        <v>Xandy Azarcon</v>
      </c>
      <c r="W1670" s="1" t="str">
        <f>IFERROR(__xludf.DUMMYFUNCTION("""COMPUTED_VALUE"""),"High Sensitivity Support PH")</f>
        <v>High Sensitivity Support PH</v>
      </c>
    </row>
    <row r="1671">
      <c r="O1671" s="1" t="str">
        <f>IFERROR(__xludf.DUMMYFUNCTION("""COMPUTED_VALUE"""),"2025 Nov")</f>
        <v>2025 Nov</v>
      </c>
      <c r="P1671" s="1" t="str">
        <f>IFERROR(__xludf.DUMMYFUNCTION("""COMPUTED_VALUE"""),"High Sensitivity Support")</f>
        <v>High Sensitivity Support</v>
      </c>
      <c r="Q1671" s="1" t="str">
        <f>IFERROR(__xludf.DUMMYFUNCTION("""COMPUTED_VALUE"""),"trishlee@canva.com")</f>
        <v>trishlee@canva.com</v>
      </c>
      <c r="R1671" s="1" t="str">
        <f>IFERROR(__xludf.DUMMYFUNCTION("""COMPUTED_VALUE"""),"Trish Lee")</f>
        <v>Trish Lee</v>
      </c>
      <c r="S1671" s="1"/>
      <c r="T1671" s="1">
        <f>IFERROR(__xludf.DUMMYFUNCTION("""COMPUTED_VALUE"""),1.75)</f>
        <v>1.75</v>
      </c>
      <c r="U1671" s="2">
        <f>IFERROR(__xludf.DUMMYFUNCTION("""COMPUTED_VALUE"""),1.75)</f>
        <v>1.75</v>
      </c>
      <c r="V1671" s="1" t="str">
        <f>IFERROR(__xludf.DUMMYFUNCTION("""COMPUTED_VALUE"""),"Issi Afable")</f>
        <v>Issi Afable</v>
      </c>
      <c r="W1671" s="1" t="str">
        <f>IFERROR(__xludf.DUMMYFUNCTION("""COMPUTED_VALUE"""),"High Sensitivity Support PH")</f>
        <v>High Sensitivity Support PH</v>
      </c>
    </row>
    <row r="1672">
      <c r="O1672" s="1" t="str">
        <f>IFERROR(__xludf.DUMMYFUNCTION("""COMPUTED_VALUE"""),"2025 Nov")</f>
        <v>2025 Nov</v>
      </c>
      <c r="P1672" s="1" t="str">
        <f>IFERROR(__xludf.DUMMYFUNCTION("""COMPUTED_VALUE"""),"Print Support")</f>
        <v>Print Support</v>
      </c>
      <c r="Q1672" s="1" t="str">
        <f>IFERROR(__xludf.DUMMYFUNCTION("""COMPUTED_VALUE"""),"trissamiguel@canva.com")</f>
        <v>trissamiguel@canva.com</v>
      </c>
      <c r="R1672" s="1" t="str">
        <f>IFERROR(__xludf.DUMMYFUNCTION("""COMPUTED_VALUE"""),"Trissa Miguel")</f>
        <v>Trissa Miguel</v>
      </c>
      <c r="S1672" s="1"/>
      <c r="T1672" s="1">
        <f>IFERROR(__xludf.DUMMYFUNCTION("""COMPUTED_VALUE"""),1.25)</f>
        <v>1.25</v>
      </c>
      <c r="U1672" s="2">
        <f>IFERROR(__xludf.DUMMYFUNCTION("""COMPUTED_VALUE"""),1.25)</f>
        <v>1.25</v>
      </c>
      <c r="V1672" s="1" t="str">
        <f>IFERROR(__xludf.DUMMYFUNCTION("""COMPUTED_VALUE"""),"G-Anne Murillo")</f>
        <v>G-Anne Murillo</v>
      </c>
      <c r="W1672" s="1" t="str">
        <f>IFERROR(__xludf.DUMMYFUNCTION("""COMPUTED_VALUE"""),"Print Design Support")</f>
        <v>Print Design Support</v>
      </c>
    </row>
    <row r="1673">
      <c r="O1673" s="1" t="str">
        <f>IFERROR(__xludf.DUMMYFUNCTION("""COMPUTED_VALUE"""),"2025 Nov")</f>
        <v>2025 Nov</v>
      </c>
      <c r="P1673" s="1" t="str">
        <f>IFERROR(__xludf.DUMMYFUNCTION("""COMPUTED_VALUE"""),"Print Support")</f>
        <v>Print Support</v>
      </c>
      <c r="Q1673" s="1" t="str">
        <f>IFERROR(__xludf.DUMMYFUNCTION("""COMPUTED_VALUE"""),"vlad.b@canva.com")</f>
        <v>vlad.b@canva.com</v>
      </c>
      <c r="R1673" s="1" t="str">
        <f>IFERROR(__xludf.DUMMYFUNCTION("""COMPUTED_VALUE"""),"Vladimir Besana")</f>
        <v>Vladimir Besana</v>
      </c>
      <c r="S1673" s="1"/>
      <c r="T1673" s="1">
        <f>IFERROR(__xludf.DUMMYFUNCTION("""COMPUTED_VALUE"""),2.25)</f>
        <v>2.25</v>
      </c>
      <c r="U1673" s="2">
        <f>IFERROR(__xludf.DUMMYFUNCTION("""COMPUTED_VALUE"""),2.25)</f>
        <v>2.25</v>
      </c>
      <c r="V1673" s="1" t="str">
        <f>IFERROR(__xludf.DUMMYFUNCTION("""COMPUTED_VALUE"""),"Jan Domingo")</f>
        <v>Jan Domingo</v>
      </c>
      <c r="W1673" s="1" t="str">
        <f>IFERROR(__xludf.DUMMYFUNCTION("""COMPUTED_VALUE"""),"Print Design Support")</f>
        <v>Print Design Support</v>
      </c>
    </row>
    <row r="1674">
      <c r="O1674" s="1" t="str">
        <f>IFERROR(__xludf.DUMMYFUNCTION("""COMPUTED_VALUE"""),"2025 Nov")</f>
        <v>2025 Nov</v>
      </c>
      <c r="P1674" s="1" t="str">
        <f>IFERROR(__xludf.DUMMYFUNCTION("""COMPUTED_VALUE"""),"Print Support")</f>
        <v>Print Support</v>
      </c>
      <c r="Q1674" s="1" t="str">
        <f>IFERROR(__xludf.DUMMYFUNCTION("""COMPUTED_VALUE"""),"wesleyp@canva.com")</f>
        <v>wesleyp@canva.com</v>
      </c>
      <c r="R1674" s="1" t="str">
        <f>IFERROR(__xludf.DUMMYFUNCTION("""COMPUTED_VALUE"""),"Wes Paira")</f>
        <v>Wes Paira</v>
      </c>
      <c r="S1674" s="1">
        <f>IFERROR(__xludf.DUMMYFUNCTION("""COMPUTED_VALUE"""),5.25)</f>
        <v>5.25</v>
      </c>
      <c r="T1674" s="1">
        <f>IFERROR(__xludf.DUMMYFUNCTION("""COMPUTED_VALUE"""),0.75)</f>
        <v>0.75</v>
      </c>
      <c r="U1674" s="2">
        <f>IFERROR(__xludf.DUMMYFUNCTION("""COMPUTED_VALUE"""),6.0)</f>
        <v>6</v>
      </c>
      <c r="V1674" s="1" t="str">
        <f>IFERROR(__xludf.DUMMYFUNCTION("""COMPUTED_VALUE"""),"Memae Faustino")</f>
        <v>Memae Faustino</v>
      </c>
      <c r="W1674" s="1" t="str">
        <f>IFERROR(__xludf.DUMMYFUNCTION("""COMPUTED_VALUE"""),"Print Support PH")</f>
        <v>Print Support PH</v>
      </c>
    </row>
    <row r="1675">
      <c r="O1675" s="1" t="str">
        <f>IFERROR(__xludf.DUMMYFUNCTION("""COMPUTED_VALUE"""),"2025 Nov")</f>
        <v>2025 Nov</v>
      </c>
      <c r="P1675" s="1" t="str">
        <f>IFERROR(__xludf.DUMMYFUNCTION("""COMPUTED_VALUE"""),"Core Product Support")</f>
        <v>Core Product Support</v>
      </c>
      <c r="Q1675" s="1" t="str">
        <f>IFERROR(__xludf.DUMMYFUNCTION("""COMPUTED_VALUE"""),"xy@canva.com")</f>
        <v>xy@canva.com</v>
      </c>
      <c r="R1675" s="1" t="str">
        <f>IFERROR(__xludf.DUMMYFUNCTION("""COMPUTED_VALUE"""),"Xyren Bulan")</f>
        <v>Xyren Bulan</v>
      </c>
      <c r="S1675" s="1">
        <f>IFERROR(__xludf.DUMMYFUNCTION("""COMPUTED_VALUE"""),0.5)</f>
        <v>0.5</v>
      </c>
      <c r="T1675" s="1">
        <f>IFERROR(__xludf.DUMMYFUNCTION("""COMPUTED_VALUE"""),2.25)</f>
        <v>2.25</v>
      </c>
      <c r="U1675" s="2">
        <f>IFERROR(__xludf.DUMMYFUNCTION("""COMPUTED_VALUE"""),2.75)</f>
        <v>2.75</v>
      </c>
      <c r="V1675" s="1" t="str">
        <f>IFERROR(__xludf.DUMMYFUNCTION("""COMPUTED_VALUE"""),"Vinz Lazaro")</f>
        <v>Vinz Lazaro</v>
      </c>
      <c r="W1675" s="1" t="str">
        <f>IFERROR(__xludf.DUMMYFUNCTION("""COMPUTED_VALUE"""),"Advanced Product Support")</f>
        <v>Advanced Product Support</v>
      </c>
    </row>
    <row r="1676">
      <c r="O1676" s="1" t="str">
        <f>IFERROR(__xludf.DUMMYFUNCTION("""COMPUTED_VALUE"""),"2025 Nov")</f>
        <v>2025 Nov</v>
      </c>
      <c r="P1676" s="1" t="str">
        <f>IFERROR(__xludf.DUMMYFUNCTION("""COMPUTED_VALUE"""),"Print Support")</f>
        <v>Print Support</v>
      </c>
      <c r="Q1676" s="1" t="str">
        <f>IFERROR(__xludf.DUMMYFUNCTION("""COMPUTED_VALUE"""),"ysabel@canva.com")</f>
        <v>ysabel@canva.com</v>
      </c>
      <c r="R1676" s="1" t="str">
        <f>IFERROR(__xludf.DUMMYFUNCTION("""COMPUTED_VALUE"""),"Ysabel Locsin")</f>
        <v>Ysabel Locsin</v>
      </c>
      <c r="S1676" s="1"/>
      <c r="T1676" s="1">
        <f>IFERROR(__xludf.DUMMYFUNCTION("""COMPUTED_VALUE"""),5.75)</f>
        <v>5.75</v>
      </c>
      <c r="U1676" s="2">
        <f>IFERROR(__xludf.DUMMYFUNCTION("""COMPUTED_VALUE"""),5.75)</f>
        <v>5.75</v>
      </c>
      <c r="V1676" s="1" t="str">
        <f>IFERROR(__xludf.DUMMYFUNCTION("""COMPUTED_VALUE"""),"Rei De Jesus")</f>
        <v>Rei De Jesus</v>
      </c>
      <c r="W1676" s="1" t="str">
        <f>IFERROR(__xludf.DUMMYFUNCTION("""COMPUTED_VALUE"""),"Print Design Support")</f>
        <v>Print Design Support</v>
      </c>
    </row>
    <row r="1677">
      <c r="O1677" s="1" t="str">
        <f>IFERROR(__xludf.DUMMYFUNCTION("""COMPUTED_VALUE"""),"2025 Nov")</f>
        <v>2025 Nov</v>
      </c>
      <c r="P1677" s="1" t="str">
        <f>IFERROR(__xludf.DUMMYFUNCTION("""COMPUTED_VALUE"""),"Core Product Support")</f>
        <v>Core Product Support</v>
      </c>
      <c r="Q1677" s="1" t="str">
        <f>IFERROR(__xludf.DUMMYFUNCTION("""COMPUTED_VALUE"""),"ymagno@canva.com")</f>
        <v>ymagno@canva.com</v>
      </c>
      <c r="R1677" s="1" t="str">
        <f>IFERROR(__xludf.DUMMYFUNCTION("""COMPUTED_VALUE"""),"Ysabel Magno")</f>
        <v>Ysabel Magno</v>
      </c>
      <c r="S1677" s="1">
        <f>IFERROR(__xludf.DUMMYFUNCTION("""COMPUTED_VALUE"""),1.75)</f>
        <v>1.75</v>
      </c>
      <c r="T1677" s="1">
        <f>IFERROR(__xludf.DUMMYFUNCTION("""COMPUTED_VALUE"""),4.17)</f>
        <v>4.17</v>
      </c>
      <c r="U1677" s="2">
        <f>IFERROR(__xludf.DUMMYFUNCTION("""COMPUTED_VALUE"""),5.92)</f>
        <v>5.92</v>
      </c>
      <c r="V1677" s="1" t="str">
        <f>IFERROR(__xludf.DUMMYFUNCTION("""COMPUTED_VALUE"""),"Renette Bok")</f>
        <v>Renette Bok</v>
      </c>
      <c r="W1677" s="1" t="str">
        <f>IFERROR(__xludf.DUMMYFUNCTION("""COMPUTED_VALUE"""),"Advanced Billing &amp; Subscriptions")</f>
        <v>Advanced Billing &amp; Subscriptions</v>
      </c>
    </row>
    <row r="1678">
      <c r="O1678" s="1" t="str">
        <f>IFERROR(__xludf.DUMMYFUNCTION("""COMPUTED_VALUE"""),"2025 Nov")</f>
        <v>2025 Nov</v>
      </c>
      <c r="P1678" s="1" t="str">
        <f>IFERROR(__xludf.DUMMYFUNCTION("""COMPUTED_VALUE"""),"Multilingual Support")</f>
        <v>Multilingual Support</v>
      </c>
      <c r="Q1678" s="1" t="str">
        <f>IFERROR(__xludf.DUMMYFUNCTION("""COMPUTED_VALUE"""),"iuliia@canva.com")</f>
        <v>iuliia@canva.com</v>
      </c>
      <c r="R1678" s="1" t="str">
        <f>IFERROR(__xludf.DUMMYFUNCTION("""COMPUTED_VALUE"""),"Yulya Shevkunova")</f>
        <v>Yulya Shevkunova</v>
      </c>
      <c r="S1678" s="1"/>
      <c r="T1678" s="1">
        <f>IFERROR(__xludf.DUMMYFUNCTION("""COMPUTED_VALUE"""),1.75)</f>
        <v>1.75</v>
      </c>
      <c r="U1678" s="2">
        <f>IFERROR(__xludf.DUMMYFUNCTION("""COMPUTED_VALUE"""),1.75)</f>
        <v>1.75</v>
      </c>
      <c r="V1678" s="1" t="str">
        <f>IFERROR(__xludf.DUMMYFUNCTION("""COMPUTED_VALUE"""),"Arlene Maurillo")</f>
        <v>Arlene Maurillo</v>
      </c>
      <c r="W1678" s="1" t="str">
        <f>IFERROR(__xludf.DUMMYFUNCTION("""COMPUTED_VALUE"""),"PHL, Multilingual Support")</f>
        <v>PHL, Multilingual Support</v>
      </c>
    </row>
    <row r="1679">
      <c r="O1679" s="1" t="str">
        <f>IFERROR(__xludf.DUMMYFUNCTION("""COMPUTED_VALUE"""),"2025 Nov")</f>
        <v>2025 Nov</v>
      </c>
      <c r="P1679" s="1" t="str">
        <f>IFERROR(__xludf.DUMMYFUNCTION("""COMPUTED_VALUE"""),"Core Product Support")</f>
        <v>Core Product Support</v>
      </c>
      <c r="Q1679" s="1" t="str">
        <f>IFERROR(__xludf.DUMMYFUNCTION("""COMPUTED_VALUE"""),"yumi@canva.com")</f>
        <v>yumi@canva.com</v>
      </c>
      <c r="R1679" s="1" t="str">
        <f>IFERROR(__xludf.DUMMYFUNCTION("""COMPUTED_VALUE"""),"Yumi Tominaga")</f>
        <v>Yumi Tominaga</v>
      </c>
      <c r="S1679" s="1">
        <f>IFERROR(__xludf.DUMMYFUNCTION("""COMPUTED_VALUE"""),1.0)</f>
        <v>1</v>
      </c>
      <c r="T1679" s="1">
        <f>IFERROR(__xludf.DUMMYFUNCTION("""COMPUTED_VALUE"""),3.0)</f>
        <v>3</v>
      </c>
      <c r="U1679" s="2">
        <f>IFERROR(__xludf.DUMMYFUNCTION("""COMPUTED_VALUE"""),4.0)</f>
        <v>4</v>
      </c>
      <c r="V1679" s="1" t="str">
        <f>IFERROR(__xludf.DUMMYFUNCTION("""COMPUTED_VALUE"""),"Ana Lazaro")</f>
        <v>Ana Lazaro</v>
      </c>
      <c r="W1679" s="1" t="str">
        <f>IFERROR(__xludf.DUMMYFUNCTION("""COMPUTED_VALUE"""),"Advanced Billing &amp; Subscriptions")</f>
        <v>Advanced Billing &amp; Subscriptions</v>
      </c>
    </row>
    <row r="1680">
      <c r="O1680" s="1" t="str">
        <f>IFERROR(__xludf.DUMMYFUNCTION("""COMPUTED_VALUE"""),"2025 Nov")</f>
        <v>2025 Nov</v>
      </c>
      <c r="P1680" s="1" t="str">
        <f>IFERROR(__xludf.DUMMYFUNCTION("""COMPUTED_VALUE"""),"Core Product Support")</f>
        <v>Core Product Support</v>
      </c>
      <c r="Q1680" s="1" t="str">
        <f>IFERROR(__xludf.DUMMYFUNCTION("""COMPUTED_VALUE"""),"yvette@canva.com")</f>
        <v>yvette@canva.com</v>
      </c>
      <c r="R1680" s="1" t="str">
        <f>IFERROR(__xludf.DUMMYFUNCTION("""COMPUTED_VALUE"""),"Yvette Nogoy")</f>
        <v>Yvette Nogoy</v>
      </c>
      <c r="S1680" s="1">
        <f>IFERROR(__xludf.DUMMYFUNCTION("""COMPUTED_VALUE"""),2.0)</f>
        <v>2</v>
      </c>
      <c r="T1680" s="1">
        <f>IFERROR(__xludf.DUMMYFUNCTION("""COMPUTED_VALUE"""),9.0)</f>
        <v>9</v>
      </c>
      <c r="U1680" s="2">
        <f>IFERROR(__xludf.DUMMYFUNCTION("""COMPUTED_VALUE"""),11.0)</f>
        <v>11</v>
      </c>
      <c r="V1680" s="1" t="str">
        <f>IFERROR(__xludf.DUMMYFUNCTION("""COMPUTED_VALUE"""),"Jelyn Elmido")</f>
        <v>Jelyn Elmido</v>
      </c>
      <c r="W1680" s="1" t="str">
        <f>IFERROR(__xludf.DUMMYFUNCTION("""COMPUTED_VALUE"""),"Core Product Support Escalation Team")</f>
        <v>Core Product Support Escalation Team</v>
      </c>
    </row>
    <row r="1681">
      <c r="O1681" s="1" t="str">
        <f>IFERROR(__xludf.DUMMYFUNCTION("""COMPUTED_VALUE"""),"2025 Nov")</f>
        <v>2025 Nov</v>
      </c>
      <c r="P1681" s="1" t="str">
        <f>IFERROR(__xludf.DUMMYFUNCTION("""COMPUTED_VALUE"""),"Admin Support")</f>
        <v>Admin Support</v>
      </c>
      <c r="Q1681" s="1" t="str">
        <f>IFERROR(__xludf.DUMMYFUNCTION("""COMPUTED_VALUE"""),"yvonne@canva.com")</f>
        <v>yvonne@canva.com</v>
      </c>
      <c r="R1681" s="1" t="str">
        <f>IFERROR(__xludf.DUMMYFUNCTION("""COMPUTED_VALUE"""),"Yvonne Romasanta")</f>
        <v>Yvonne Romasanta</v>
      </c>
      <c r="S1681" s="1"/>
      <c r="T1681" s="1">
        <f>IFERROR(__xludf.DUMMYFUNCTION("""COMPUTED_VALUE"""),14.68)</f>
        <v>14.68</v>
      </c>
      <c r="U1681" s="2">
        <f>IFERROR(__xludf.DUMMYFUNCTION("""COMPUTED_VALUE"""),14.68)</f>
        <v>14.68</v>
      </c>
      <c r="V1681" s="1" t="str">
        <f>IFERROR(__xludf.DUMMYFUNCTION("""COMPUTED_VALUE"""),"Pau Palmero")</f>
        <v>Pau Palmero</v>
      </c>
      <c r="W1681" s="1" t="str">
        <f>IFERROR(__xludf.DUMMYFUNCTION("""COMPUTED_VALUE"""),"Admin Omni Support")</f>
        <v>Admin Omni Support</v>
      </c>
    </row>
    <row r="1682">
      <c r="O1682" s="1" t="str">
        <f>IFERROR(__xludf.DUMMYFUNCTION("""COMPUTED_VALUE"""),"2025 Nov")</f>
        <v>2025 Nov</v>
      </c>
      <c r="P1682" s="1" t="str">
        <f>IFERROR(__xludf.DUMMYFUNCTION("""COMPUTED_VALUE"""),"Print Support")</f>
        <v>Print Support</v>
      </c>
      <c r="Q1682" s="1" t="str">
        <f>IFERROR(__xludf.DUMMYFUNCTION("""COMPUTED_VALUE"""),"zippy@canva.com")</f>
        <v>zippy@canva.com</v>
      </c>
      <c r="R1682" s="1" t="str">
        <f>IFERROR(__xludf.DUMMYFUNCTION("""COMPUTED_VALUE"""),"Zipporah Duque")</f>
        <v>Zipporah Duque</v>
      </c>
      <c r="S1682" s="1">
        <f>IFERROR(__xludf.DUMMYFUNCTION("""COMPUTED_VALUE"""),2.25)</f>
        <v>2.25</v>
      </c>
      <c r="T1682" s="1">
        <f>IFERROR(__xludf.DUMMYFUNCTION("""COMPUTED_VALUE"""),1.75)</f>
        <v>1.75</v>
      </c>
      <c r="U1682" s="2">
        <f>IFERROR(__xludf.DUMMYFUNCTION("""COMPUTED_VALUE"""),4.0)</f>
        <v>4</v>
      </c>
      <c r="V1682" s="1" t="str">
        <f>IFERROR(__xludf.DUMMYFUNCTION("""COMPUTED_VALUE"""),"Jen Momo")</f>
        <v>Jen Momo</v>
      </c>
      <c r="W1682" s="1" t="str">
        <f>IFERROR(__xludf.DUMMYFUNCTION("""COMPUTED_VALUE"""),"Print Support PH")</f>
        <v>Print Support PH</v>
      </c>
    </row>
    <row r="1683">
      <c r="O1683" s="1" t="str">
        <f>IFERROR(__xludf.DUMMYFUNCTION("""COMPUTED_VALUE"""),"2025 Dec")</f>
        <v>2025 Dec</v>
      </c>
      <c r="P1683" s="1" t="str">
        <f>IFERROR(__xludf.DUMMYFUNCTION("""COMPUTED_VALUE"""),"Segment-specific Support")</f>
        <v>Segment-specific Support</v>
      </c>
      <c r="Q1683" s="1" t="str">
        <f>IFERROR(__xludf.DUMMYFUNCTION("""COMPUTED_VALUE"""),"triplea@canva.com")</f>
        <v>triplea@canva.com</v>
      </c>
      <c r="R1683" s="1" t="str">
        <f>IFERROR(__xludf.DUMMYFUNCTION("""COMPUTED_VALUE"""),"AA Abong")</f>
        <v>AA Abong</v>
      </c>
      <c r="S1683" s="1">
        <f>IFERROR(__xludf.DUMMYFUNCTION("""COMPUTED_VALUE"""),0.5)</f>
        <v>0.5</v>
      </c>
      <c r="T1683" s="1">
        <f>IFERROR(__xludf.DUMMYFUNCTION("""COMPUTED_VALUE"""),1.0)</f>
        <v>1</v>
      </c>
      <c r="U1683" s="2">
        <f>IFERROR(__xludf.DUMMYFUNCTION("""COMPUTED_VALUE"""),1.5)</f>
        <v>1.5</v>
      </c>
      <c r="V1683" s="1" t="str">
        <f>IFERROR(__xludf.DUMMYFUNCTION("""COMPUTED_VALUE"""),"Jonathan Dimaculangan")</f>
        <v>Jonathan Dimaculangan</v>
      </c>
      <c r="W1683" s="1" t="str">
        <f>IFERROR(__xludf.DUMMYFUNCTION("""COMPUTED_VALUE"""),"Flourish Support")</f>
        <v>Flourish Support</v>
      </c>
    </row>
    <row r="1684">
      <c r="O1684" s="1" t="str">
        <f>IFERROR(__xludf.DUMMYFUNCTION("""COMPUTED_VALUE"""),"2025 Dec")</f>
        <v>2025 Dec</v>
      </c>
      <c r="P1684" s="1" t="str">
        <f>IFERROR(__xludf.DUMMYFUNCTION("""COMPUTED_VALUE"""),"Core Product Support")</f>
        <v>Core Product Support</v>
      </c>
      <c r="Q1684" s="1" t="str">
        <f>IFERROR(__xludf.DUMMYFUNCTION("""COMPUTED_VALUE"""),"adrielcarlosv@canva.com")</f>
        <v>adrielcarlosv@canva.com</v>
      </c>
      <c r="R1684" s="1" t="str">
        <f>IFERROR(__xludf.DUMMYFUNCTION("""COMPUTED_VALUE"""),"Adriel Vicencio")</f>
        <v>Adriel Vicencio</v>
      </c>
      <c r="S1684" s="1">
        <f>IFERROR(__xludf.DUMMYFUNCTION("""COMPUTED_VALUE"""),1.5)</f>
        <v>1.5</v>
      </c>
      <c r="T1684" s="1">
        <f>IFERROR(__xludf.DUMMYFUNCTION("""COMPUTED_VALUE"""),4.0)</f>
        <v>4</v>
      </c>
      <c r="U1684" s="2">
        <f>IFERROR(__xludf.DUMMYFUNCTION("""COMPUTED_VALUE"""),5.5)</f>
        <v>5.5</v>
      </c>
      <c r="V1684" s="1" t="str">
        <f>IFERROR(__xludf.DUMMYFUNCTION("""COMPUTED_VALUE"""),"Jem Mondoñedo")</f>
        <v>Jem Mondoñedo</v>
      </c>
      <c r="W1684" s="1" t="str">
        <f>IFERROR(__xludf.DUMMYFUNCTION("""COMPUTED_VALUE"""),"Advanced Billing &amp; Subscriptions")</f>
        <v>Advanced Billing &amp; Subscriptions</v>
      </c>
    </row>
    <row r="1685">
      <c r="O1685" s="1" t="str">
        <f>IFERROR(__xludf.DUMMYFUNCTION("""COMPUTED_VALUE"""),"2025 Dec")</f>
        <v>2025 Dec</v>
      </c>
      <c r="P1685" s="1" t="str">
        <f>IFERROR(__xludf.DUMMYFUNCTION("""COMPUTED_VALUE"""),"Admin Support")</f>
        <v>Admin Support</v>
      </c>
      <c r="Q1685" s="1" t="str">
        <f>IFERROR(__xludf.DUMMYFUNCTION("""COMPUTED_VALUE"""),"agathartt@canva.com")</f>
        <v>agathartt@canva.com</v>
      </c>
      <c r="R1685" s="1" t="str">
        <f>IFERROR(__xludf.DUMMYFUNCTION("""COMPUTED_VALUE"""),"Agatha Torres")</f>
        <v>Agatha Torres</v>
      </c>
      <c r="S1685" s="1">
        <f>IFERROR(__xludf.DUMMYFUNCTION("""COMPUTED_VALUE"""),0.92)</f>
        <v>0.92</v>
      </c>
      <c r="T1685" s="1">
        <f>IFERROR(__xludf.DUMMYFUNCTION("""COMPUTED_VALUE"""),4.72)</f>
        <v>4.72</v>
      </c>
      <c r="U1685" s="2">
        <f>IFERROR(__xludf.DUMMYFUNCTION("""COMPUTED_VALUE"""),5.64)</f>
        <v>5.64</v>
      </c>
      <c r="V1685" s="1" t="str">
        <f>IFERROR(__xludf.DUMMYFUNCTION("""COMPUTED_VALUE"""),"AL Suarez")</f>
        <v>AL Suarez</v>
      </c>
      <c r="W1685" s="1" t="str">
        <f>IFERROR(__xludf.DUMMYFUNCTION("""COMPUTED_VALUE"""),"Advanced Billing &amp; Subscriptions")</f>
        <v>Advanced Billing &amp; Subscriptions</v>
      </c>
    </row>
    <row r="1686">
      <c r="O1686" s="1" t="str">
        <f>IFERROR(__xludf.DUMMYFUNCTION("""COMPUTED_VALUE"""),"2025 Dec")</f>
        <v>2025 Dec</v>
      </c>
      <c r="P1686" s="1" t="str">
        <f>IFERROR(__xludf.DUMMYFUNCTION("""COMPUTED_VALUE"""),"Print Support")</f>
        <v>Print Support</v>
      </c>
      <c r="Q1686" s="1" t="str">
        <f>IFERROR(__xludf.DUMMYFUNCTION("""COMPUTED_VALUE"""),"aileen.a@canva.com")</f>
        <v>aileen.a@canva.com</v>
      </c>
      <c r="R1686" s="1" t="str">
        <f>IFERROR(__xludf.DUMMYFUNCTION("""COMPUTED_VALUE"""),"Aileen Alipio")</f>
        <v>Aileen Alipio</v>
      </c>
      <c r="S1686" s="1"/>
      <c r="T1686" s="1">
        <f>IFERROR(__xludf.DUMMYFUNCTION("""COMPUTED_VALUE"""),2.0)</f>
        <v>2</v>
      </c>
      <c r="U1686" s="2">
        <f>IFERROR(__xludf.DUMMYFUNCTION("""COMPUTED_VALUE"""),2.0)</f>
        <v>2</v>
      </c>
      <c r="V1686" s="1" t="str">
        <f>IFERROR(__xludf.DUMMYFUNCTION("""COMPUTED_VALUE"""),"Gem Agoncillo")</f>
        <v>Gem Agoncillo</v>
      </c>
      <c r="W1686" s="1" t="str">
        <f>IFERROR(__xludf.DUMMYFUNCTION("""COMPUTED_VALUE"""),"Print Design Support")</f>
        <v>Print Design Support</v>
      </c>
    </row>
    <row r="1687">
      <c r="O1687" s="1" t="str">
        <f>IFERROR(__xludf.DUMMYFUNCTION("""COMPUTED_VALUE"""),"2025 Dec")</f>
        <v>2025 Dec</v>
      </c>
      <c r="P1687" s="1" t="str">
        <f>IFERROR(__xludf.DUMMYFUNCTION("""COMPUTED_VALUE"""),"Core Product Support")</f>
        <v>Core Product Support</v>
      </c>
      <c r="Q1687" s="1" t="str">
        <f>IFERROR(__xludf.DUMMYFUNCTION("""COMPUTED_VALUE"""),"ailyn@canva.com")</f>
        <v>ailyn@canva.com</v>
      </c>
      <c r="R1687" s="1" t="str">
        <f>IFERROR(__xludf.DUMMYFUNCTION("""COMPUTED_VALUE"""),"Ailyn Grana")</f>
        <v>Ailyn Grana</v>
      </c>
      <c r="S1687" s="1">
        <f>IFERROR(__xludf.DUMMYFUNCTION("""COMPUTED_VALUE"""),0.5)</f>
        <v>0.5</v>
      </c>
      <c r="T1687" s="1">
        <f>IFERROR(__xludf.DUMMYFUNCTION("""COMPUTED_VALUE"""),1.5)</f>
        <v>1.5</v>
      </c>
      <c r="U1687" s="2">
        <f>IFERROR(__xludf.DUMMYFUNCTION("""COMPUTED_VALUE"""),2.0)</f>
        <v>2</v>
      </c>
      <c r="V1687" s="1" t="str">
        <f>IFERROR(__xludf.DUMMYFUNCTION("""COMPUTED_VALUE"""),"Belle Bentazal")</f>
        <v>Belle Bentazal</v>
      </c>
      <c r="W1687" s="1" t="str">
        <f>IFERROR(__xludf.DUMMYFUNCTION("""COMPUTED_VALUE"""),"Advanced Product Support")</f>
        <v>Advanced Product Support</v>
      </c>
    </row>
    <row r="1688">
      <c r="O1688" s="1" t="str">
        <f>IFERROR(__xludf.DUMMYFUNCTION("""COMPUTED_VALUE"""),"2025 Dec")</f>
        <v>2025 Dec</v>
      </c>
      <c r="P1688" s="1" t="str">
        <f>IFERROR(__xludf.DUMMYFUNCTION("""COMPUTED_VALUE"""),"Print Support")</f>
        <v>Print Support</v>
      </c>
      <c r="Q1688" s="1" t="str">
        <f>IFERROR(__xludf.DUMMYFUNCTION("""COMPUTED_VALUE"""),"alaizaong@canva.com")</f>
        <v>alaizaong@canva.com</v>
      </c>
      <c r="R1688" s="1" t="str">
        <f>IFERROR(__xludf.DUMMYFUNCTION("""COMPUTED_VALUE"""),"Alaiza Ong")</f>
        <v>Alaiza Ong</v>
      </c>
      <c r="S1688" s="1"/>
      <c r="T1688" s="1"/>
      <c r="U1688" s="2">
        <f>IFERROR(__xludf.DUMMYFUNCTION("""COMPUTED_VALUE"""),0.0)</f>
        <v>0</v>
      </c>
      <c r="V1688" s="1" t="str">
        <f>IFERROR(__xludf.DUMMYFUNCTION("""COMPUTED_VALUE"""),"Rae Erlano")</f>
        <v>Rae Erlano</v>
      </c>
      <c r="W1688" s="1" t="str">
        <f>IFERROR(__xludf.DUMMYFUNCTION("""COMPUTED_VALUE"""),"Print Support PH")</f>
        <v>Print Support PH</v>
      </c>
    </row>
    <row r="1689">
      <c r="O1689" s="1" t="str">
        <f>IFERROR(__xludf.DUMMYFUNCTION("""COMPUTED_VALUE"""),"2025 Dec")</f>
        <v>2025 Dec</v>
      </c>
      <c r="P1689" s="1" t="str">
        <f>IFERROR(__xludf.DUMMYFUNCTION("""COMPUTED_VALUE"""),"Segment-specific Support")</f>
        <v>Segment-specific Support</v>
      </c>
      <c r="Q1689" s="1" t="str">
        <f>IFERROR(__xludf.DUMMYFUNCTION("""COMPUTED_VALUE"""),"andria@canva.com")</f>
        <v>andria@canva.com</v>
      </c>
      <c r="R1689" s="1" t="str">
        <f>IFERROR(__xludf.DUMMYFUNCTION("""COMPUTED_VALUE"""),"Alex Batusin")</f>
        <v>Alex Batusin</v>
      </c>
      <c r="S1689" s="1"/>
      <c r="T1689" s="1">
        <f>IFERROR(__xludf.DUMMYFUNCTION("""COMPUTED_VALUE"""),1.0)</f>
        <v>1</v>
      </c>
      <c r="U1689" s="2">
        <f>IFERROR(__xludf.DUMMYFUNCTION("""COMPUTED_VALUE"""),1.0)</f>
        <v>1</v>
      </c>
      <c r="V1689" s="1" t="str">
        <f>IFERROR(__xludf.DUMMYFUNCTION("""COMPUTED_VALUE"""),"Aileen Dayanghirang")</f>
        <v>Aileen Dayanghirang</v>
      </c>
      <c r="W1689" s="1" t="str">
        <f>IFERROR(__xludf.DUMMYFUNCTION("""COMPUTED_VALUE"""),"Creators Support")</f>
        <v>Creators Support</v>
      </c>
    </row>
    <row r="1690">
      <c r="O1690" s="1" t="str">
        <f>IFERROR(__xludf.DUMMYFUNCTION("""COMPUTED_VALUE"""),"2025 Dec")</f>
        <v>2025 Dec</v>
      </c>
      <c r="P1690" s="1" t="str">
        <f>IFERROR(__xludf.DUMMYFUNCTION("""COMPUTED_VALUE"""),"Segment-specific Support")</f>
        <v>Segment-specific Support</v>
      </c>
      <c r="Q1690" s="1" t="str">
        <f>IFERROR(__xludf.DUMMYFUNCTION("""COMPUTED_VALUE"""),"alexl@canva.com")</f>
        <v>alexl@canva.com</v>
      </c>
      <c r="R1690" s="1" t="str">
        <f>IFERROR(__xludf.DUMMYFUNCTION("""COMPUTED_VALUE"""),"Alex Lim")</f>
        <v>Alex Lim</v>
      </c>
      <c r="S1690" s="1"/>
      <c r="T1690" s="1"/>
      <c r="U1690" s="2">
        <f>IFERROR(__xludf.DUMMYFUNCTION("""COMPUTED_VALUE"""),0.0)</f>
        <v>0</v>
      </c>
      <c r="V1690" s="1" t="str">
        <f>IFERROR(__xludf.DUMMYFUNCTION("""COMPUTED_VALUE"""),"Gucci Nava")</f>
        <v>Gucci Nava</v>
      </c>
      <c r="W1690" s="1" t="str">
        <f>IFERROR(__xludf.DUMMYFUNCTION("""COMPUTED_VALUE"""),"Affinity Support")</f>
        <v>Affinity Support</v>
      </c>
    </row>
    <row r="1691">
      <c r="O1691" s="1" t="str">
        <f>IFERROR(__xludf.DUMMYFUNCTION("""COMPUTED_VALUE"""),"2025 Dec")</f>
        <v>2025 Dec</v>
      </c>
      <c r="P1691" s="1" t="str">
        <f>IFERROR(__xludf.DUMMYFUNCTION("""COMPUTED_VALUE"""),"Segment-specific Support")</f>
        <v>Segment-specific Support</v>
      </c>
      <c r="Q1691" s="1" t="str">
        <f>IFERROR(__xludf.DUMMYFUNCTION("""COMPUTED_VALUE"""),"adtolentino@canva.com")</f>
        <v>adtolentino@canva.com</v>
      </c>
      <c r="R1691" s="1" t="str">
        <f>IFERROR(__xludf.DUMMYFUNCTION("""COMPUTED_VALUE"""),"Alfred Devon Tolentino")</f>
        <v>Alfred Devon Tolentino</v>
      </c>
      <c r="S1691" s="1">
        <f>IFERROR(__xludf.DUMMYFUNCTION("""COMPUTED_VALUE"""),0.5)</f>
        <v>0.5</v>
      </c>
      <c r="T1691" s="1">
        <f>IFERROR(__xludf.DUMMYFUNCTION("""COMPUTED_VALUE"""),1.0)</f>
        <v>1</v>
      </c>
      <c r="U1691" s="2">
        <f>IFERROR(__xludf.DUMMYFUNCTION("""COMPUTED_VALUE"""),1.5)</f>
        <v>1.5</v>
      </c>
      <c r="V1691" s="1" t="str">
        <f>IFERROR(__xludf.DUMMYFUNCTION("""COMPUTED_VALUE"""),"Jonathan Dimaculangan")</f>
        <v>Jonathan Dimaculangan</v>
      </c>
      <c r="W1691" s="1" t="str">
        <f>IFERROR(__xludf.DUMMYFUNCTION("""COMPUTED_VALUE"""),"Flourish Support")</f>
        <v>Flourish Support</v>
      </c>
    </row>
    <row r="1692">
      <c r="O1692" s="1" t="str">
        <f>IFERROR(__xludf.DUMMYFUNCTION("""COMPUTED_VALUE"""),"2025 Dec")</f>
        <v>2025 Dec</v>
      </c>
      <c r="P1692" s="1" t="str">
        <f>IFERROR(__xludf.DUMMYFUNCTION("""COMPUTED_VALUE"""),"Admin Support")</f>
        <v>Admin Support</v>
      </c>
      <c r="Q1692" s="1" t="str">
        <f>IFERROR(__xludf.DUMMYFUNCTION("""COMPUTED_VALUE"""),"alicec@canva.com")</f>
        <v>alicec@canva.com</v>
      </c>
      <c r="R1692" s="1" t="str">
        <f>IFERROR(__xludf.DUMMYFUNCTION("""COMPUTED_VALUE"""),"Alice Creiser")</f>
        <v>Alice Creiser</v>
      </c>
      <c r="S1692" s="1"/>
      <c r="T1692" s="1">
        <f>IFERROR(__xludf.DUMMYFUNCTION("""COMPUTED_VALUE"""),6.5)</f>
        <v>6.5</v>
      </c>
      <c r="U1692" s="2">
        <f>IFERROR(__xludf.DUMMYFUNCTION("""COMPUTED_VALUE"""),6.5)</f>
        <v>6.5</v>
      </c>
      <c r="V1692" s="1" t="str">
        <f>IFERROR(__xludf.DUMMYFUNCTION("""COMPUTED_VALUE"""),"Tash Kelly")</f>
        <v>Tash Kelly</v>
      </c>
      <c r="W1692" s="1" t="str">
        <f>IFERROR(__xludf.DUMMYFUNCTION("""COMPUTED_VALUE"""),"Admin Support EMEA")</f>
        <v>Admin Support EMEA</v>
      </c>
    </row>
    <row r="1693">
      <c r="O1693" s="1" t="str">
        <f>IFERROR(__xludf.DUMMYFUNCTION("""COMPUTED_VALUE"""),"2025 Dec")</f>
        <v>2025 Dec</v>
      </c>
      <c r="P1693" s="1" t="str">
        <f>IFERROR(__xludf.DUMMYFUNCTION("""COMPUTED_VALUE"""),"Segment-specific Support")</f>
        <v>Segment-specific Support</v>
      </c>
      <c r="Q1693" s="1" t="str">
        <f>IFERROR(__xludf.DUMMYFUNCTION("""COMPUTED_VALUE"""),"alyanna@canva.com")</f>
        <v>alyanna@canva.com</v>
      </c>
      <c r="R1693" s="1" t="str">
        <f>IFERROR(__xludf.DUMMYFUNCTION("""COMPUTED_VALUE"""),"Alyanna Ramos")</f>
        <v>Alyanna Ramos</v>
      </c>
      <c r="S1693" s="1"/>
      <c r="T1693" s="1">
        <f>IFERROR(__xludf.DUMMYFUNCTION("""COMPUTED_VALUE"""),2.0)</f>
        <v>2</v>
      </c>
      <c r="U1693" s="2">
        <f>IFERROR(__xludf.DUMMYFUNCTION("""COMPUTED_VALUE"""),2.0)</f>
        <v>2</v>
      </c>
      <c r="V1693" s="1" t="str">
        <f>IFERROR(__xludf.DUMMYFUNCTION("""COMPUTED_VALUE"""),"Rose Gabilan")</f>
        <v>Rose Gabilan</v>
      </c>
      <c r="W1693" s="1" t="str">
        <f>IFERROR(__xludf.DUMMYFUNCTION("""COMPUTED_VALUE"""),"Affinity Support")</f>
        <v>Affinity Support</v>
      </c>
    </row>
    <row r="1694">
      <c r="O1694" s="1" t="str">
        <f>IFERROR(__xludf.DUMMYFUNCTION("""COMPUTED_VALUE"""),"2025 Dec")</f>
        <v>2025 Dec</v>
      </c>
      <c r="P1694" s="1" t="str">
        <f>IFERROR(__xludf.DUMMYFUNCTION("""COMPUTED_VALUE"""),"Core Product Support")</f>
        <v>Core Product Support</v>
      </c>
      <c r="Q1694" s="1" t="str">
        <f>IFERROR(__xludf.DUMMYFUNCTION("""COMPUTED_VALUE"""),"alyssakae@canva.com")</f>
        <v>alyssakae@canva.com</v>
      </c>
      <c r="R1694" s="1" t="str">
        <f>IFERROR(__xludf.DUMMYFUNCTION("""COMPUTED_VALUE"""),"Alyssa Kae Laranang")</f>
        <v>Alyssa Kae Laranang</v>
      </c>
      <c r="S1694" s="1"/>
      <c r="T1694" s="1">
        <f>IFERROR(__xludf.DUMMYFUNCTION("""COMPUTED_VALUE"""),7.17)</f>
        <v>7.17</v>
      </c>
      <c r="U1694" s="2">
        <f>IFERROR(__xludf.DUMMYFUNCTION("""COMPUTED_VALUE"""),7.17)</f>
        <v>7.17</v>
      </c>
      <c r="V1694" s="1" t="str">
        <f>IFERROR(__xludf.DUMMYFUNCTION("""COMPUTED_VALUE"""),"Ellaine Estayo")</f>
        <v>Ellaine Estayo</v>
      </c>
      <c r="W1694" s="1" t="str">
        <f>IFERROR(__xludf.DUMMYFUNCTION("""COMPUTED_VALUE"""),"Core Product Support Escalation Team")</f>
        <v>Core Product Support Escalation Team</v>
      </c>
    </row>
    <row r="1695">
      <c r="O1695" s="1" t="str">
        <f>IFERROR(__xludf.DUMMYFUNCTION("""COMPUTED_VALUE"""),"2025 Dec")</f>
        <v>2025 Dec</v>
      </c>
      <c r="P1695" s="1" t="str">
        <f>IFERROR(__xludf.DUMMYFUNCTION("""COMPUTED_VALUE"""),"Print Support")</f>
        <v>Print Support</v>
      </c>
      <c r="Q1695" s="1" t="str">
        <f>IFERROR(__xludf.DUMMYFUNCTION("""COMPUTED_VALUE"""),"alyssam@canva.com")</f>
        <v>alyssam@canva.com</v>
      </c>
      <c r="R1695" s="1" t="str">
        <f>IFERROR(__xludf.DUMMYFUNCTION("""COMPUTED_VALUE"""),"Alyssa Martin-Silao")</f>
        <v>Alyssa Martin-Silao</v>
      </c>
      <c r="S1695" s="1">
        <f>IFERROR(__xludf.DUMMYFUNCTION("""COMPUTED_VALUE"""),2.5)</f>
        <v>2.5</v>
      </c>
      <c r="T1695" s="1">
        <f>IFERROR(__xludf.DUMMYFUNCTION("""COMPUTED_VALUE"""),2.0)</f>
        <v>2</v>
      </c>
      <c r="U1695" s="2">
        <f>IFERROR(__xludf.DUMMYFUNCTION("""COMPUTED_VALUE"""),4.5)</f>
        <v>4.5</v>
      </c>
      <c r="V1695" s="1" t="str">
        <f>IFERROR(__xludf.DUMMYFUNCTION("""COMPUTED_VALUE"""),"Rae Erlano")</f>
        <v>Rae Erlano</v>
      </c>
      <c r="W1695" s="1" t="str">
        <f>IFERROR(__xludf.DUMMYFUNCTION("""COMPUTED_VALUE"""),"Print Support PH")</f>
        <v>Print Support PH</v>
      </c>
    </row>
    <row r="1696">
      <c r="O1696" s="1" t="str">
        <f>IFERROR(__xludf.DUMMYFUNCTION("""COMPUTED_VALUE"""),"2025 Dec")</f>
        <v>2025 Dec</v>
      </c>
      <c r="P1696" s="1" t="str">
        <f>IFERROR(__xludf.DUMMYFUNCTION("""COMPUTED_VALUE"""),"Print Support")</f>
        <v>Print Support</v>
      </c>
      <c r="Q1696" s="1" t="str">
        <f>IFERROR(__xludf.DUMMYFUNCTION("""COMPUTED_VALUE"""),"alyssas@canva.com")</f>
        <v>alyssas@canva.com</v>
      </c>
      <c r="R1696" s="1" t="str">
        <f>IFERROR(__xludf.DUMMYFUNCTION("""COMPUTED_VALUE"""),"Alyssa Sunga")</f>
        <v>Alyssa Sunga</v>
      </c>
      <c r="S1696" s="1"/>
      <c r="T1696" s="1">
        <f>IFERROR(__xludf.DUMMYFUNCTION("""COMPUTED_VALUE"""),2.25)</f>
        <v>2.25</v>
      </c>
      <c r="U1696" s="2">
        <f>IFERROR(__xludf.DUMMYFUNCTION("""COMPUTED_VALUE"""),2.25)</f>
        <v>2.25</v>
      </c>
      <c r="V1696" s="1" t="str">
        <f>IFERROR(__xludf.DUMMYFUNCTION("""COMPUTED_VALUE"""),"Althea Mercado")</f>
        <v>Althea Mercado</v>
      </c>
      <c r="W1696" s="1" t="str">
        <f>IFERROR(__xludf.DUMMYFUNCTION("""COMPUTED_VALUE"""),"Print Support PH")</f>
        <v>Print Support PH</v>
      </c>
    </row>
    <row r="1697">
      <c r="O1697" s="1" t="str">
        <f>IFERROR(__xludf.DUMMYFUNCTION("""COMPUTED_VALUE"""),"2025 Dec")</f>
        <v>2025 Dec</v>
      </c>
      <c r="P1697" s="1" t="str">
        <f>IFERROR(__xludf.DUMMYFUNCTION("""COMPUTED_VALUE"""),"Print Support")</f>
        <v>Print Support</v>
      </c>
      <c r="Q1697" s="1" t="str">
        <f>IFERROR(__xludf.DUMMYFUNCTION("""COMPUTED_VALUE"""),"andrea.g@canva.com")</f>
        <v>andrea.g@canva.com</v>
      </c>
      <c r="R1697" s="1" t="str">
        <f>IFERROR(__xludf.DUMMYFUNCTION("""COMPUTED_VALUE"""),"Andrea Gutierrez")</f>
        <v>Andrea Gutierrez</v>
      </c>
      <c r="S1697" s="1"/>
      <c r="T1697" s="1">
        <f>IFERROR(__xludf.DUMMYFUNCTION("""COMPUTED_VALUE"""),2.0)</f>
        <v>2</v>
      </c>
      <c r="U1697" s="2">
        <f>IFERROR(__xludf.DUMMYFUNCTION("""COMPUTED_VALUE"""),2.0)</f>
        <v>2</v>
      </c>
      <c r="V1697" s="1" t="str">
        <f>IFERROR(__xludf.DUMMYFUNCTION("""COMPUTED_VALUE"""),"G-Anne Murillo")</f>
        <v>G-Anne Murillo</v>
      </c>
      <c r="W1697" s="1" t="str">
        <f>IFERROR(__xludf.DUMMYFUNCTION("""COMPUTED_VALUE"""),"Print Design Support")</f>
        <v>Print Design Support</v>
      </c>
    </row>
    <row r="1698">
      <c r="O1698" s="1" t="str">
        <f>IFERROR(__xludf.DUMMYFUNCTION("""COMPUTED_VALUE"""),"2025 Dec")</f>
        <v>2025 Dec</v>
      </c>
      <c r="P1698" s="1" t="str">
        <f>IFERROR(__xludf.DUMMYFUNCTION("""COMPUTED_VALUE"""),"Print Support")</f>
        <v>Print Support</v>
      </c>
      <c r="Q1698" s="1" t="str">
        <f>IFERROR(__xludf.DUMMYFUNCTION("""COMPUTED_VALUE"""),"xandwea@canva.com")</f>
        <v>xandwea@canva.com</v>
      </c>
      <c r="R1698" s="1" t="str">
        <f>IFERROR(__xludf.DUMMYFUNCTION("""COMPUTED_VALUE"""),"Andrea Lugtu")</f>
        <v>Andrea Lugtu</v>
      </c>
      <c r="S1698" s="1"/>
      <c r="T1698" s="1">
        <f>IFERROR(__xludf.DUMMYFUNCTION("""COMPUTED_VALUE"""),1.33)</f>
        <v>1.33</v>
      </c>
      <c r="U1698" s="2">
        <f>IFERROR(__xludf.DUMMYFUNCTION("""COMPUTED_VALUE"""),1.33)</f>
        <v>1.33</v>
      </c>
      <c r="V1698" s="1" t="str">
        <f>IFERROR(__xludf.DUMMYFUNCTION("""COMPUTED_VALUE"""),"Manee Barrasa")</f>
        <v>Manee Barrasa</v>
      </c>
      <c r="W1698" s="1" t="str">
        <f>IFERROR(__xludf.DUMMYFUNCTION("""COMPUTED_VALUE"""),"Print Support PH")</f>
        <v>Print Support PH</v>
      </c>
    </row>
    <row r="1699">
      <c r="O1699" s="1" t="str">
        <f>IFERROR(__xludf.DUMMYFUNCTION("""COMPUTED_VALUE"""),"2025 Dec")</f>
        <v>2025 Dec</v>
      </c>
      <c r="P1699" s="1" t="str">
        <f>IFERROR(__xludf.DUMMYFUNCTION("""COMPUTED_VALUE"""),"High Sensitivity Support")</f>
        <v>High Sensitivity Support</v>
      </c>
      <c r="Q1699" s="1" t="str">
        <f>IFERROR(__xludf.DUMMYFUNCTION("""COMPUTED_VALUE"""),"andreimg@canva.com")</f>
        <v>andreimg@canva.com</v>
      </c>
      <c r="R1699" s="1" t="str">
        <f>IFERROR(__xludf.DUMMYFUNCTION("""COMPUTED_VALUE"""),"Andrei Galutan")</f>
        <v>Andrei Galutan</v>
      </c>
      <c r="S1699" s="1">
        <f>IFERROR(__xludf.DUMMYFUNCTION("""COMPUTED_VALUE"""),1.0)</f>
        <v>1</v>
      </c>
      <c r="T1699" s="1">
        <f>IFERROR(__xludf.DUMMYFUNCTION("""COMPUTED_VALUE"""),2.75)</f>
        <v>2.75</v>
      </c>
      <c r="U1699" s="2">
        <f>IFERROR(__xludf.DUMMYFUNCTION("""COMPUTED_VALUE"""),3.75)</f>
        <v>3.75</v>
      </c>
      <c r="V1699" s="1" t="str">
        <f>IFERROR(__xludf.DUMMYFUNCTION("""COMPUTED_VALUE"""),"Rex Villamor")</f>
        <v>Rex Villamor</v>
      </c>
      <c r="W1699" s="1" t="str">
        <f>IFERROR(__xludf.DUMMYFUNCTION("""COMPUTED_VALUE"""),"Advanced Product Support")</f>
        <v>Advanced Product Support</v>
      </c>
    </row>
    <row r="1700">
      <c r="O1700" s="1" t="str">
        <f>IFERROR(__xludf.DUMMYFUNCTION("""COMPUTED_VALUE"""),"2025 Dec")</f>
        <v>2025 Dec</v>
      </c>
      <c r="P1700" s="1" t="str">
        <f>IFERROR(__xludf.DUMMYFUNCTION("""COMPUTED_VALUE"""),"Core Product Support")</f>
        <v>Core Product Support</v>
      </c>
      <c r="Q1700" s="1" t="str">
        <f>IFERROR(__xludf.DUMMYFUNCTION("""COMPUTED_VALUE"""),"aalemania@canva.com")</f>
        <v>aalemania@canva.com</v>
      </c>
      <c r="R1700" s="1" t="str">
        <f>IFERROR(__xludf.DUMMYFUNCTION("""COMPUTED_VALUE"""),"Angel Alemania")</f>
        <v>Angel Alemania</v>
      </c>
      <c r="S1700" s="1">
        <f>IFERROR(__xludf.DUMMYFUNCTION("""COMPUTED_VALUE"""),0.5)</f>
        <v>0.5</v>
      </c>
      <c r="T1700" s="1">
        <f>IFERROR(__xludf.DUMMYFUNCTION("""COMPUTED_VALUE"""),24.92)</f>
        <v>24.92</v>
      </c>
      <c r="U1700" s="2">
        <f>IFERROR(__xludf.DUMMYFUNCTION("""COMPUTED_VALUE"""),25.42)</f>
        <v>25.42</v>
      </c>
      <c r="V1700" s="1" t="str">
        <f>IFERROR(__xludf.DUMMYFUNCTION("""COMPUTED_VALUE"""),"Sieg Ballelos")</f>
        <v>Sieg Ballelos</v>
      </c>
      <c r="W1700" s="1" t="str">
        <f>IFERROR(__xludf.DUMMYFUNCTION("""COMPUTED_VALUE"""),"Core Product Support Escalation Team")</f>
        <v>Core Product Support Escalation Team</v>
      </c>
    </row>
    <row r="1701">
      <c r="O1701" s="1" t="str">
        <f>IFERROR(__xludf.DUMMYFUNCTION("""COMPUTED_VALUE"""),"2025 Dec")</f>
        <v>2025 Dec</v>
      </c>
      <c r="P1701" s="1" t="str">
        <f>IFERROR(__xludf.DUMMYFUNCTION("""COMPUTED_VALUE"""),"Admin Support")</f>
        <v>Admin Support</v>
      </c>
      <c r="Q1701" s="1" t="str">
        <f>IFERROR(__xludf.DUMMYFUNCTION("""COMPUTED_VALUE"""),"angelc@canva.com")</f>
        <v>angelc@canva.com</v>
      </c>
      <c r="R1701" s="1" t="str">
        <f>IFERROR(__xludf.DUMMYFUNCTION("""COMPUTED_VALUE"""),"Angel Cabrera")</f>
        <v>Angel Cabrera</v>
      </c>
      <c r="S1701" s="1"/>
      <c r="T1701" s="1">
        <f>IFERROR(__xludf.DUMMYFUNCTION("""COMPUTED_VALUE"""),11.58)</f>
        <v>11.58</v>
      </c>
      <c r="U1701" s="2">
        <f>IFERROR(__xludf.DUMMYFUNCTION("""COMPUTED_VALUE"""),11.58)</f>
        <v>11.58</v>
      </c>
      <c r="V1701" s="1" t="str">
        <f>IFERROR(__xludf.DUMMYFUNCTION("""COMPUTED_VALUE"""),"Ann Dumlao")</f>
        <v>Ann Dumlao</v>
      </c>
      <c r="W1701" s="1" t="str">
        <f>IFERROR(__xludf.DUMMYFUNCTION("""COMPUTED_VALUE"""),"Admin Omni Support")</f>
        <v>Admin Omni Support</v>
      </c>
    </row>
    <row r="1702">
      <c r="O1702" s="1" t="str">
        <f>IFERROR(__xludf.DUMMYFUNCTION("""COMPUTED_VALUE"""),"2025 Dec")</f>
        <v>2025 Dec</v>
      </c>
      <c r="P1702" s="1" t="str">
        <f>IFERROR(__xludf.DUMMYFUNCTION("""COMPUTED_VALUE"""),"Segment-specific Support")</f>
        <v>Segment-specific Support</v>
      </c>
      <c r="Q1702" s="1" t="str">
        <f>IFERROR(__xludf.DUMMYFUNCTION("""COMPUTED_VALUE"""),"angelheart@canva.com")</f>
        <v>angelheart@canva.com</v>
      </c>
      <c r="R1702" s="1" t="str">
        <f>IFERROR(__xludf.DUMMYFUNCTION("""COMPUTED_VALUE"""),"Angel Heart Santos")</f>
        <v>Angel Heart Santos</v>
      </c>
      <c r="S1702" s="1">
        <f>IFERROR(__xludf.DUMMYFUNCTION("""COMPUTED_VALUE"""),1.5)</f>
        <v>1.5</v>
      </c>
      <c r="T1702" s="1">
        <f>IFERROR(__xludf.DUMMYFUNCTION("""COMPUTED_VALUE"""),1.0)</f>
        <v>1</v>
      </c>
      <c r="U1702" s="2">
        <f>IFERROR(__xludf.DUMMYFUNCTION("""COMPUTED_VALUE"""),2.5)</f>
        <v>2.5</v>
      </c>
      <c r="V1702" s="1" t="str">
        <f>IFERROR(__xludf.DUMMYFUNCTION("""COMPUTED_VALUE"""),"Jonathan Dimaculangan")</f>
        <v>Jonathan Dimaculangan</v>
      </c>
      <c r="W1702" s="1" t="str">
        <f>IFERROR(__xludf.DUMMYFUNCTION("""COMPUTED_VALUE"""),"Flourish Support")</f>
        <v>Flourish Support</v>
      </c>
    </row>
    <row r="1703">
      <c r="O1703" s="1" t="str">
        <f>IFERROR(__xludf.DUMMYFUNCTION("""COMPUTED_VALUE"""),"2025 Dec")</f>
        <v>2025 Dec</v>
      </c>
      <c r="P1703" s="1" t="str">
        <f>IFERROR(__xludf.DUMMYFUNCTION("""COMPUTED_VALUE"""),"Core Product Support")</f>
        <v>Core Product Support</v>
      </c>
      <c r="Q1703" s="1" t="str">
        <f>IFERROR(__xludf.DUMMYFUNCTION("""COMPUTED_VALUE"""),"angelm@canva.com")</f>
        <v>angelm@canva.com</v>
      </c>
      <c r="R1703" s="1" t="str">
        <f>IFERROR(__xludf.DUMMYFUNCTION("""COMPUTED_VALUE"""),"Angel Medina")</f>
        <v>Angel Medina</v>
      </c>
      <c r="S1703" s="1">
        <f>IFERROR(__xludf.DUMMYFUNCTION("""COMPUTED_VALUE"""),0.5)</f>
        <v>0.5</v>
      </c>
      <c r="T1703" s="1">
        <f>IFERROR(__xludf.DUMMYFUNCTION("""COMPUTED_VALUE"""),17.08)</f>
        <v>17.08</v>
      </c>
      <c r="U1703" s="2">
        <f>IFERROR(__xludf.DUMMYFUNCTION("""COMPUTED_VALUE"""),17.58)</f>
        <v>17.58</v>
      </c>
      <c r="V1703" s="1" t="str">
        <f>IFERROR(__xludf.DUMMYFUNCTION("""COMPUTED_VALUE"""),"Ellaine Estayo")</f>
        <v>Ellaine Estayo</v>
      </c>
      <c r="W1703" s="1" t="str">
        <f>IFERROR(__xludf.DUMMYFUNCTION("""COMPUTED_VALUE"""),"Core Product Support Escalation Team")</f>
        <v>Core Product Support Escalation Team</v>
      </c>
    </row>
    <row r="1704">
      <c r="O1704" s="1" t="str">
        <f>IFERROR(__xludf.DUMMYFUNCTION("""COMPUTED_VALUE"""),"2025 Dec")</f>
        <v>2025 Dec</v>
      </c>
      <c r="P1704" s="1" t="str">
        <f>IFERROR(__xludf.DUMMYFUNCTION("""COMPUTED_VALUE"""),"Print Support")</f>
        <v>Print Support</v>
      </c>
      <c r="Q1704" s="1" t="str">
        <f>IFERROR(__xludf.DUMMYFUNCTION("""COMPUTED_VALUE"""),"angelf@canva.com")</f>
        <v>angelf@canva.com</v>
      </c>
      <c r="R1704" s="1" t="str">
        <f>IFERROR(__xludf.DUMMYFUNCTION("""COMPUTED_VALUE"""),"Angel Merilleno")</f>
        <v>Angel Merilleno</v>
      </c>
      <c r="S1704" s="1"/>
      <c r="T1704" s="1">
        <f>IFERROR(__xludf.DUMMYFUNCTION("""COMPUTED_VALUE"""),2.48)</f>
        <v>2.48</v>
      </c>
      <c r="U1704" s="2">
        <f>IFERROR(__xludf.DUMMYFUNCTION("""COMPUTED_VALUE"""),2.48)</f>
        <v>2.48</v>
      </c>
      <c r="V1704" s="1" t="str">
        <f>IFERROR(__xludf.DUMMYFUNCTION("""COMPUTED_VALUE"""),"Louise Dianne Estrella")</f>
        <v>Louise Dianne Estrella</v>
      </c>
      <c r="W1704" s="1" t="str">
        <f>IFERROR(__xludf.DUMMYFUNCTION("""COMPUTED_VALUE"""),"Print Support PH")</f>
        <v>Print Support PH</v>
      </c>
    </row>
    <row r="1705">
      <c r="O1705" s="1" t="str">
        <f>IFERROR(__xludf.DUMMYFUNCTION("""COMPUTED_VALUE"""),"2025 Dec")</f>
        <v>2025 Dec</v>
      </c>
      <c r="P1705" s="1" t="str">
        <f>IFERROR(__xludf.DUMMYFUNCTION("""COMPUTED_VALUE"""),"Core Product Support")</f>
        <v>Core Product Support</v>
      </c>
      <c r="Q1705" s="1" t="str">
        <f>IFERROR(__xludf.DUMMYFUNCTION("""COMPUTED_VALUE"""),"angelic@canva.com")</f>
        <v>angelic@canva.com</v>
      </c>
      <c r="R1705" s="1" t="str">
        <f>IFERROR(__xludf.DUMMYFUNCTION("""COMPUTED_VALUE"""),"Angel Ramas")</f>
        <v>Angel Ramas</v>
      </c>
      <c r="S1705" s="1"/>
      <c r="T1705" s="1">
        <f>IFERROR(__xludf.DUMMYFUNCTION("""COMPUTED_VALUE"""),1.5)</f>
        <v>1.5</v>
      </c>
      <c r="U1705" s="2">
        <f>IFERROR(__xludf.DUMMYFUNCTION("""COMPUTED_VALUE"""),1.5)</f>
        <v>1.5</v>
      </c>
      <c r="V1705" s="1" t="str">
        <f>IFERROR(__xludf.DUMMYFUNCTION("""COMPUTED_VALUE"""),"Marie Mordeno")</f>
        <v>Marie Mordeno</v>
      </c>
      <c r="W1705" s="1" t="str">
        <f>IFERROR(__xludf.DUMMYFUNCTION("""COMPUTED_VALUE"""),"Advanced Billing &amp; Subscriptions")</f>
        <v>Advanced Billing &amp; Subscriptions</v>
      </c>
    </row>
    <row r="1706">
      <c r="O1706" s="1" t="str">
        <f>IFERROR(__xludf.DUMMYFUNCTION("""COMPUTED_VALUE"""),"2025 Dec")</f>
        <v>2025 Dec</v>
      </c>
      <c r="P1706" s="1" t="str">
        <f>IFERROR(__xludf.DUMMYFUNCTION("""COMPUTED_VALUE"""),"Segment-specific Support")</f>
        <v>Segment-specific Support</v>
      </c>
      <c r="Q1706" s="1" t="str">
        <f>IFERROR(__xludf.DUMMYFUNCTION("""COMPUTED_VALUE"""),"adflora@canva.com")</f>
        <v>adflora@canva.com</v>
      </c>
      <c r="R1706" s="1" t="str">
        <f>IFERROR(__xludf.DUMMYFUNCTION("""COMPUTED_VALUE"""),"Angela Flora")</f>
        <v>Angela Flora</v>
      </c>
      <c r="S1706" s="1"/>
      <c r="T1706" s="1">
        <f>IFERROR(__xludf.DUMMYFUNCTION("""COMPUTED_VALUE"""),0.5)</f>
        <v>0.5</v>
      </c>
      <c r="U1706" s="2">
        <f>IFERROR(__xludf.DUMMYFUNCTION("""COMPUTED_VALUE"""),0.5)</f>
        <v>0.5</v>
      </c>
      <c r="V1706" s="1" t="str">
        <f>IFERROR(__xludf.DUMMYFUNCTION("""COMPUTED_VALUE"""),"Gucci Nava")</f>
        <v>Gucci Nava</v>
      </c>
      <c r="W1706" s="1" t="str">
        <f>IFERROR(__xludf.DUMMYFUNCTION("""COMPUTED_VALUE"""),"Print Support PH")</f>
        <v>Print Support PH</v>
      </c>
    </row>
    <row r="1707">
      <c r="O1707" s="1" t="str">
        <f>IFERROR(__xludf.DUMMYFUNCTION("""COMPUTED_VALUE"""),"2025 Dec")</f>
        <v>2025 Dec</v>
      </c>
      <c r="P1707" s="1" t="str">
        <f>IFERROR(__xludf.DUMMYFUNCTION("""COMPUTED_VALUE"""),"Core Product Support")</f>
        <v>Core Product Support</v>
      </c>
      <c r="Q1707" s="1" t="str">
        <f>IFERROR(__xludf.DUMMYFUNCTION("""COMPUTED_VALUE"""),"annaalberto@canva.com")</f>
        <v>annaalberto@canva.com</v>
      </c>
      <c r="R1707" s="1" t="str">
        <f>IFERROR(__xludf.DUMMYFUNCTION("""COMPUTED_VALUE"""),"Anna Alberto-Felipe")</f>
        <v>Anna Alberto-Felipe</v>
      </c>
      <c r="S1707" s="1">
        <f>IFERROR(__xludf.DUMMYFUNCTION("""COMPUTED_VALUE"""),0.5)</f>
        <v>0.5</v>
      </c>
      <c r="T1707" s="1">
        <f>IFERROR(__xludf.DUMMYFUNCTION("""COMPUTED_VALUE"""),8.07)</f>
        <v>8.07</v>
      </c>
      <c r="U1707" s="2">
        <f>IFERROR(__xludf.DUMMYFUNCTION("""COMPUTED_VALUE"""),8.57)</f>
        <v>8.57</v>
      </c>
      <c r="V1707" s="1" t="str">
        <f>IFERROR(__xludf.DUMMYFUNCTION("""COMPUTED_VALUE"""),"Jahmie Mae Barrameda")</f>
        <v>Jahmie Mae Barrameda</v>
      </c>
      <c r="W1707" s="1" t="str">
        <f>IFERROR(__xludf.DUMMYFUNCTION("""COMPUTED_VALUE"""),"Advanced Billing &amp; Subscriptions")</f>
        <v>Advanced Billing &amp; Subscriptions</v>
      </c>
    </row>
    <row r="1708">
      <c r="O1708" s="1" t="str">
        <f>IFERROR(__xludf.DUMMYFUNCTION("""COMPUTED_VALUE"""),"2025 Dec")</f>
        <v>2025 Dec</v>
      </c>
      <c r="P1708" s="1" t="str">
        <f>IFERROR(__xludf.DUMMYFUNCTION("""COMPUTED_VALUE"""),"Print Support")</f>
        <v>Print Support</v>
      </c>
      <c r="Q1708" s="1" t="str">
        <f>IFERROR(__xludf.DUMMYFUNCTION("""COMPUTED_VALUE"""),"arcelie@canva.com")</f>
        <v>arcelie@canva.com</v>
      </c>
      <c r="R1708" s="1" t="str">
        <f>IFERROR(__xludf.DUMMYFUNCTION("""COMPUTED_VALUE"""),"Arcie San Pedro")</f>
        <v>Arcie San Pedro</v>
      </c>
      <c r="S1708" s="1">
        <f>IFERROR(__xludf.DUMMYFUNCTION("""COMPUTED_VALUE"""),7.0)</f>
        <v>7</v>
      </c>
      <c r="T1708" s="1">
        <f>IFERROR(__xludf.DUMMYFUNCTION("""COMPUTED_VALUE"""),2.0)</f>
        <v>2</v>
      </c>
      <c r="U1708" s="2">
        <f>IFERROR(__xludf.DUMMYFUNCTION("""COMPUTED_VALUE"""),9.0)</f>
        <v>9</v>
      </c>
      <c r="V1708" s="1" t="str">
        <f>IFERROR(__xludf.DUMMYFUNCTION("""COMPUTED_VALUE"""),"Rae Erlano")</f>
        <v>Rae Erlano</v>
      </c>
      <c r="W1708" s="1" t="str">
        <f>IFERROR(__xludf.DUMMYFUNCTION("""COMPUTED_VALUE"""),"Print Support PH")</f>
        <v>Print Support PH</v>
      </c>
    </row>
    <row r="1709">
      <c r="O1709" s="1" t="str">
        <f>IFERROR(__xludf.DUMMYFUNCTION("""COMPUTED_VALUE"""),"2025 Dec")</f>
        <v>2025 Dec</v>
      </c>
      <c r="P1709" s="1" t="str">
        <f>IFERROR(__xludf.DUMMYFUNCTION("""COMPUTED_VALUE"""),"Print Support")</f>
        <v>Print Support</v>
      </c>
      <c r="Q1709" s="1" t="str">
        <f>IFERROR(__xludf.DUMMYFUNCTION("""COMPUTED_VALUE"""),"arjane@canva.com")</f>
        <v>arjane@canva.com</v>
      </c>
      <c r="R1709" s="1" t="str">
        <f>IFERROR(__xludf.DUMMYFUNCTION("""COMPUTED_VALUE"""),"Arjane Oliva")</f>
        <v>Arjane Oliva</v>
      </c>
      <c r="S1709" s="1"/>
      <c r="T1709" s="1">
        <f>IFERROR(__xludf.DUMMYFUNCTION("""COMPUTED_VALUE"""),1.0)</f>
        <v>1</v>
      </c>
      <c r="U1709" s="2">
        <f>IFERROR(__xludf.DUMMYFUNCTION("""COMPUTED_VALUE"""),1.0)</f>
        <v>1</v>
      </c>
      <c r="V1709" s="1" t="str">
        <f>IFERROR(__xludf.DUMMYFUNCTION("""COMPUTED_VALUE"""),"Rei De Jesus")</f>
        <v>Rei De Jesus</v>
      </c>
      <c r="W1709" s="1" t="str">
        <f>IFERROR(__xludf.DUMMYFUNCTION("""COMPUTED_VALUE"""),"Print Design Support")</f>
        <v>Print Design Support</v>
      </c>
    </row>
    <row r="1710">
      <c r="O1710" s="1" t="str">
        <f>IFERROR(__xludf.DUMMYFUNCTION("""COMPUTED_VALUE"""),"2025 Dec")</f>
        <v>2025 Dec</v>
      </c>
      <c r="P1710" s="1" t="str">
        <f>IFERROR(__xludf.DUMMYFUNCTION("""COMPUTED_VALUE"""),"High Sensitivity Support")</f>
        <v>High Sensitivity Support</v>
      </c>
      <c r="Q1710" s="1" t="str">
        <f>IFERROR(__xludf.DUMMYFUNCTION("""COMPUTED_VALUE"""),"arodes@canva.com")</f>
        <v>arodes@canva.com</v>
      </c>
      <c r="R1710" s="1" t="str">
        <f>IFERROR(__xludf.DUMMYFUNCTION("""COMPUTED_VALUE"""),"Arriane Rodes")</f>
        <v>Arriane Rodes</v>
      </c>
      <c r="S1710" s="1">
        <f>IFERROR(__xludf.DUMMYFUNCTION("""COMPUTED_VALUE"""),7.18)</f>
        <v>7.18</v>
      </c>
      <c r="T1710" s="1">
        <f>IFERROR(__xludf.DUMMYFUNCTION("""COMPUTED_VALUE"""),1.15)</f>
        <v>1.15</v>
      </c>
      <c r="U1710" s="2">
        <f>IFERROR(__xludf.DUMMYFUNCTION("""COMPUTED_VALUE"""),8.33)</f>
        <v>8.33</v>
      </c>
      <c r="V1710" s="1" t="str">
        <f>IFERROR(__xludf.DUMMYFUNCTION("""COMPUTED_VALUE"""),"Xandy Azarcon")</f>
        <v>Xandy Azarcon</v>
      </c>
      <c r="W1710" s="1" t="str">
        <f>IFERROR(__xludf.DUMMYFUNCTION("""COMPUTED_VALUE"""),"High Sensitivity Support PH")</f>
        <v>High Sensitivity Support PH</v>
      </c>
    </row>
    <row r="1711">
      <c r="O1711" s="1" t="str">
        <f>IFERROR(__xludf.DUMMYFUNCTION("""COMPUTED_VALUE"""),"2025 Dec")</f>
        <v>2025 Dec</v>
      </c>
      <c r="P1711" s="1" t="str">
        <f>IFERROR(__xludf.DUMMYFUNCTION("""COMPUTED_VALUE"""),"Admin Support")</f>
        <v>Admin Support</v>
      </c>
      <c r="Q1711" s="1" t="str">
        <f>IFERROR(__xludf.DUMMYFUNCTION("""COMPUTED_VALUE"""),"ashli@canva.com")</f>
        <v>ashli@canva.com</v>
      </c>
      <c r="R1711" s="1" t="str">
        <f>IFERROR(__xludf.DUMMYFUNCTION("""COMPUTED_VALUE"""),"Ashli Hanson")</f>
        <v>Ashli Hanson</v>
      </c>
      <c r="S1711" s="1">
        <f>IFERROR(__xludf.DUMMYFUNCTION("""COMPUTED_VALUE"""),1.5)</f>
        <v>1.5</v>
      </c>
      <c r="T1711" s="1">
        <f>IFERROR(__xludf.DUMMYFUNCTION("""COMPUTED_VALUE"""),1.0)</f>
        <v>1</v>
      </c>
      <c r="U1711" s="2">
        <f>IFERROR(__xludf.DUMMYFUNCTION("""COMPUTED_VALUE"""),2.5)</f>
        <v>2.5</v>
      </c>
      <c r="V1711" s="1" t="str">
        <f>IFERROR(__xludf.DUMMYFUNCTION("""COMPUTED_VALUE"""),"Nate Vela")</f>
        <v>Nate Vela</v>
      </c>
      <c r="W1711" s="1" t="str">
        <f>IFERROR(__xludf.DUMMYFUNCTION("""COMPUTED_VALUE"""),"Admin Support NA")</f>
        <v>Admin Support NA</v>
      </c>
    </row>
    <row r="1712">
      <c r="O1712" s="1" t="str">
        <f>IFERROR(__xludf.DUMMYFUNCTION("""COMPUTED_VALUE"""),"2025 Dec")</f>
        <v>2025 Dec</v>
      </c>
      <c r="P1712" s="1" t="str">
        <f>IFERROR(__xludf.DUMMYFUNCTION("""COMPUTED_VALUE"""),"High Sensitivity Support")</f>
        <v>High Sensitivity Support</v>
      </c>
      <c r="Q1712" s="1" t="str">
        <f>IFERROR(__xludf.DUMMYFUNCTION("""COMPUTED_VALUE"""),"aubrey@canva.com")</f>
        <v>aubrey@canva.com</v>
      </c>
      <c r="R1712" s="1" t="str">
        <f>IFERROR(__xludf.DUMMYFUNCTION("""COMPUTED_VALUE"""),"Aubrey Jasme")</f>
        <v>Aubrey Jasme</v>
      </c>
      <c r="S1712" s="1"/>
      <c r="T1712" s="1">
        <f>IFERROR(__xludf.DUMMYFUNCTION("""COMPUTED_VALUE"""),5.93)</f>
        <v>5.93</v>
      </c>
      <c r="U1712" s="2">
        <f>IFERROR(__xludf.DUMMYFUNCTION("""COMPUTED_VALUE"""),5.93)</f>
        <v>5.93</v>
      </c>
      <c r="V1712" s="1" t="str">
        <f>IFERROR(__xludf.DUMMYFUNCTION("""COMPUTED_VALUE"""),"Rex Villamor")</f>
        <v>Rex Villamor</v>
      </c>
      <c r="W1712" s="1" t="str">
        <f>IFERROR(__xludf.DUMMYFUNCTION("""COMPUTED_VALUE"""),"High Sensitivity Support PH")</f>
        <v>High Sensitivity Support PH</v>
      </c>
    </row>
    <row r="1713">
      <c r="O1713" s="1" t="str">
        <f>IFERROR(__xludf.DUMMYFUNCTION("""COMPUTED_VALUE"""),"2025 Dec")</f>
        <v>2025 Dec</v>
      </c>
      <c r="P1713" s="1" t="str">
        <f>IFERROR(__xludf.DUMMYFUNCTION("""COMPUTED_VALUE"""),"Core Product Support")</f>
        <v>Core Product Support</v>
      </c>
      <c r="Q1713" s="1" t="str">
        <f>IFERROR(__xludf.DUMMYFUNCTION("""COMPUTED_VALUE"""),"ayen@canva.com")</f>
        <v>ayen@canva.com</v>
      </c>
      <c r="R1713" s="1" t="str">
        <f>IFERROR(__xludf.DUMMYFUNCTION("""COMPUTED_VALUE"""),"Ayen Realeza (on parental leave)")</f>
        <v>Ayen Realeza (on parental leave)</v>
      </c>
      <c r="S1713" s="1"/>
      <c r="T1713" s="1">
        <f>IFERROR(__xludf.DUMMYFUNCTION("""COMPUTED_VALUE"""),8.25)</f>
        <v>8.25</v>
      </c>
      <c r="U1713" s="2">
        <f>IFERROR(__xludf.DUMMYFUNCTION("""COMPUTED_VALUE"""),8.25)</f>
        <v>8.25</v>
      </c>
      <c r="V1713" s="1" t="str">
        <f>IFERROR(__xludf.DUMMYFUNCTION("""COMPUTED_VALUE"""),"Jelyn Elmido")</f>
        <v>Jelyn Elmido</v>
      </c>
      <c r="W1713" s="1" t="str">
        <f>IFERROR(__xludf.DUMMYFUNCTION("""COMPUTED_VALUE"""),"Core Product Support Escalation Team")</f>
        <v>Core Product Support Escalation Team</v>
      </c>
    </row>
    <row r="1714">
      <c r="O1714" s="1" t="str">
        <f>IFERROR(__xludf.DUMMYFUNCTION("""COMPUTED_VALUE"""),"2025 Dec")</f>
        <v>2025 Dec</v>
      </c>
      <c r="P1714" s="1" t="str">
        <f>IFERROR(__xludf.DUMMYFUNCTION("""COMPUTED_VALUE"""),"Print Support")</f>
        <v>Print Support</v>
      </c>
      <c r="Q1714" s="1" t="str">
        <f>IFERROR(__xludf.DUMMYFUNCTION("""COMPUTED_VALUE"""),"jborreros@canva.com")</f>
        <v>jborreros@canva.com</v>
      </c>
      <c r="R1714" s="1" t="str">
        <f>IFERROR(__xludf.DUMMYFUNCTION("""COMPUTED_VALUE"""),"Bea Borreros")</f>
        <v>Bea Borreros</v>
      </c>
      <c r="S1714" s="1">
        <f>IFERROR(__xludf.DUMMYFUNCTION("""COMPUTED_VALUE"""),6.0)</f>
        <v>6</v>
      </c>
      <c r="T1714" s="1">
        <f>IFERROR(__xludf.DUMMYFUNCTION("""COMPUTED_VALUE"""),2.0)</f>
        <v>2</v>
      </c>
      <c r="U1714" s="2">
        <f>IFERROR(__xludf.DUMMYFUNCTION("""COMPUTED_VALUE"""),8.0)</f>
        <v>8</v>
      </c>
      <c r="V1714" s="1" t="str">
        <f>IFERROR(__xludf.DUMMYFUNCTION("""COMPUTED_VALUE"""),"Memae Faustino")</f>
        <v>Memae Faustino</v>
      </c>
      <c r="W1714" s="1" t="str">
        <f>IFERROR(__xludf.DUMMYFUNCTION("""COMPUTED_VALUE"""),"Print Support PH")</f>
        <v>Print Support PH</v>
      </c>
    </row>
    <row r="1715">
      <c r="O1715" s="1" t="str">
        <f>IFERROR(__xludf.DUMMYFUNCTION("""COMPUTED_VALUE"""),"2025 Dec")</f>
        <v>2025 Dec</v>
      </c>
      <c r="P1715" s="1" t="str">
        <f>IFERROR(__xludf.DUMMYFUNCTION("""COMPUTED_VALUE"""),"Print Support")</f>
        <v>Print Support</v>
      </c>
      <c r="Q1715" s="1" t="str">
        <f>IFERROR(__xludf.DUMMYFUNCTION("""COMPUTED_VALUE"""),"bea@canva.com")</f>
        <v>bea@canva.com</v>
      </c>
      <c r="R1715" s="1" t="str">
        <f>IFERROR(__xludf.DUMMYFUNCTION("""COMPUTED_VALUE"""),"Bea Mendoza")</f>
        <v>Bea Mendoza</v>
      </c>
      <c r="S1715" s="1"/>
      <c r="T1715" s="1">
        <f>IFERROR(__xludf.DUMMYFUNCTION("""COMPUTED_VALUE"""),3.0)</f>
        <v>3</v>
      </c>
      <c r="U1715" s="2">
        <f>IFERROR(__xludf.DUMMYFUNCTION("""COMPUTED_VALUE"""),3.0)</f>
        <v>3</v>
      </c>
      <c r="V1715" s="1" t="str">
        <f>IFERROR(__xludf.DUMMYFUNCTION("""COMPUTED_VALUE"""),"Aliza Dote")</f>
        <v>Aliza Dote</v>
      </c>
      <c r="W1715" s="1" t="str">
        <f>IFERROR(__xludf.DUMMYFUNCTION("""COMPUTED_VALUE"""),"Print Design Support")</f>
        <v>Print Design Support</v>
      </c>
    </row>
    <row r="1716">
      <c r="O1716" s="1" t="str">
        <f>IFERROR(__xludf.DUMMYFUNCTION("""COMPUTED_VALUE"""),"2025 Dec")</f>
        <v>2025 Dec</v>
      </c>
      <c r="P1716" s="1" t="str">
        <f>IFERROR(__xludf.DUMMYFUNCTION("""COMPUTED_VALUE"""),"Core Product Support")</f>
        <v>Core Product Support</v>
      </c>
      <c r="Q1716" s="1" t="str">
        <f>IFERROR(__xludf.DUMMYFUNCTION("""COMPUTED_VALUE"""),"beanyvince@canva.com")</f>
        <v>beanyvince@canva.com</v>
      </c>
      <c r="R1716" s="1" t="str">
        <f>IFERROR(__xludf.DUMMYFUNCTION("""COMPUTED_VALUE"""),"Beany Rodriguez")</f>
        <v>Beany Rodriguez</v>
      </c>
      <c r="S1716" s="1">
        <f>IFERROR(__xludf.DUMMYFUNCTION("""COMPUTED_VALUE"""),1.0)</f>
        <v>1</v>
      </c>
      <c r="T1716" s="1">
        <f>IFERROR(__xludf.DUMMYFUNCTION("""COMPUTED_VALUE"""),1.83)</f>
        <v>1.83</v>
      </c>
      <c r="U1716" s="2">
        <f>IFERROR(__xludf.DUMMYFUNCTION("""COMPUTED_VALUE"""),2.83)</f>
        <v>2.83</v>
      </c>
      <c r="V1716" s="1" t="str">
        <f>IFERROR(__xludf.DUMMYFUNCTION("""COMPUTED_VALUE"""),"Cate Velasco")</f>
        <v>Cate Velasco</v>
      </c>
      <c r="W1716" s="1" t="str">
        <f>IFERROR(__xludf.DUMMYFUNCTION("""COMPUTED_VALUE"""),"Advanced Product Support")</f>
        <v>Advanced Product Support</v>
      </c>
    </row>
    <row r="1717">
      <c r="O1717" s="1" t="str">
        <f>IFERROR(__xludf.DUMMYFUNCTION("""COMPUTED_VALUE"""),"2025 Dec")</f>
        <v>2025 Dec</v>
      </c>
      <c r="P1717" s="1" t="str">
        <f>IFERROR(__xludf.DUMMYFUNCTION("""COMPUTED_VALUE"""),"Print Support")</f>
        <v>Print Support</v>
      </c>
      <c r="Q1717" s="1" t="str">
        <f>IFERROR(__xludf.DUMMYFUNCTION("""COMPUTED_VALUE"""),"bembiellanza@canva.com")</f>
        <v>bembiellanza@canva.com</v>
      </c>
      <c r="R1717" s="1" t="str">
        <f>IFERROR(__xludf.DUMMYFUNCTION("""COMPUTED_VALUE"""),"Bembie Llanza")</f>
        <v>Bembie Llanza</v>
      </c>
      <c r="S1717" s="1"/>
      <c r="T1717" s="1"/>
      <c r="U1717" s="2">
        <f>IFERROR(__xludf.DUMMYFUNCTION("""COMPUTED_VALUE"""),0.0)</f>
        <v>0</v>
      </c>
      <c r="V1717" s="1" t="str">
        <f>IFERROR(__xludf.DUMMYFUNCTION("""COMPUTED_VALUE"""),"Althea Mercado")</f>
        <v>Althea Mercado</v>
      </c>
      <c r="W1717" s="1" t="str">
        <f>IFERROR(__xludf.DUMMYFUNCTION("""COMPUTED_VALUE"""),"Print Support PH")</f>
        <v>Print Support PH</v>
      </c>
    </row>
    <row r="1718">
      <c r="O1718" s="1" t="str">
        <f>IFERROR(__xludf.DUMMYFUNCTION("""COMPUTED_VALUE"""),"2025 Dec")</f>
        <v>2025 Dec</v>
      </c>
      <c r="P1718" s="1" t="str">
        <f>IFERROR(__xludf.DUMMYFUNCTION("""COMPUTED_VALUE"""),"Segment-specific Support")</f>
        <v>Segment-specific Support</v>
      </c>
      <c r="Q1718" s="1" t="str">
        <f>IFERROR(__xludf.DUMMYFUNCTION("""COMPUTED_VALUE"""),"bernice@canva.com")</f>
        <v>bernice@canva.com</v>
      </c>
      <c r="R1718" s="1" t="str">
        <f>IFERROR(__xludf.DUMMYFUNCTION("""COMPUTED_VALUE"""),"Bernice Talosig")</f>
        <v>Bernice Talosig</v>
      </c>
      <c r="S1718" s="1"/>
      <c r="T1718" s="1">
        <f>IFERROR(__xludf.DUMMYFUNCTION("""COMPUTED_VALUE"""),2.0)</f>
        <v>2</v>
      </c>
      <c r="U1718" s="2">
        <f>IFERROR(__xludf.DUMMYFUNCTION("""COMPUTED_VALUE"""),2.0)</f>
        <v>2</v>
      </c>
      <c r="V1718" s="1" t="str">
        <f>IFERROR(__xludf.DUMMYFUNCTION("""COMPUTED_VALUE"""),"Gucci Nava")</f>
        <v>Gucci Nava</v>
      </c>
      <c r="W1718" s="1" t="str">
        <f>IFERROR(__xludf.DUMMYFUNCTION("""COMPUTED_VALUE"""),"Affinity Support")</f>
        <v>Affinity Support</v>
      </c>
    </row>
    <row r="1719">
      <c r="O1719" s="1" t="str">
        <f>IFERROR(__xludf.DUMMYFUNCTION("""COMPUTED_VALUE"""),"2025 Dec")</f>
        <v>2025 Dec</v>
      </c>
      <c r="P1719" s="1" t="str">
        <f>IFERROR(__xludf.DUMMYFUNCTION("""COMPUTED_VALUE"""),"Core Product Support")</f>
        <v>Core Product Support</v>
      </c>
      <c r="Q1719" s="1" t="str">
        <f>IFERROR(__xludf.DUMMYFUNCTION("""COMPUTED_VALUE"""),"beverlymarie@canva.com")</f>
        <v>beverlymarie@canva.com</v>
      </c>
      <c r="R1719" s="1" t="str">
        <f>IFERROR(__xludf.DUMMYFUNCTION("""COMPUTED_VALUE"""),"Bev Dacanay")</f>
        <v>Bev Dacanay</v>
      </c>
      <c r="S1719" s="1">
        <f>IFERROR(__xludf.DUMMYFUNCTION("""COMPUTED_VALUE"""),0.5)</f>
        <v>0.5</v>
      </c>
      <c r="T1719" s="1">
        <f>IFERROR(__xludf.DUMMYFUNCTION("""COMPUTED_VALUE"""),4.5)</f>
        <v>4.5</v>
      </c>
      <c r="U1719" s="2">
        <f>IFERROR(__xludf.DUMMYFUNCTION("""COMPUTED_VALUE"""),5.0)</f>
        <v>5</v>
      </c>
      <c r="V1719" s="1" t="str">
        <f>IFERROR(__xludf.DUMMYFUNCTION("""COMPUTED_VALUE"""),"Ayza Marie Pascual")</f>
        <v>Ayza Marie Pascual</v>
      </c>
      <c r="W1719" s="1" t="str">
        <f>IFERROR(__xludf.DUMMYFUNCTION("""COMPUTED_VALUE"""),"Advanced Billing &amp; Subscriptions")</f>
        <v>Advanced Billing &amp; Subscriptions</v>
      </c>
    </row>
    <row r="1720">
      <c r="O1720" s="1" t="str">
        <f>IFERROR(__xludf.DUMMYFUNCTION("""COMPUTED_VALUE"""),"2025 Dec")</f>
        <v>2025 Dec</v>
      </c>
      <c r="P1720" s="1" t="str">
        <f>IFERROR(__xludf.DUMMYFUNCTION("""COMPUTED_VALUE"""),"Admin Support")</f>
        <v>Admin Support</v>
      </c>
      <c r="Q1720" s="1" t="str">
        <f>IFERROR(__xludf.DUMMYFUNCTION("""COMPUTED_VALUE"""),"bia@canva.com")</f>
        <v>bia@canva.com</v>
      </c>
      <c r="R1720" s="1" t="str">
        <f>IFERROR(__xludf.DUMMYFUNCTION("""COMPUTED_VALUE"""),"Bianca Santiago")</f>
        <v>Bianca Santiago</v>
      </c>
      <c r="S1720" s="1"/>
      <c r="T1720" s="1">
        <f>IFERROR(__xludf.DUMMYFUNCTION("""COMPUTED_VALUE"""),2.25)</f>
        <v>2.25</v>
      </c>
      <c r="U1720" s="2">
        <f>IFERROR(__xludf.DUMMYFUNCTION("""COMPUTED_VALUE"""),2.25)</f>
        <v>2.25</v>
      </c>
      <c r="V1720" s="1" t="str">
        <f>IFERROR(__xludf.DUMMYFUNCTION("""COMPUTED_VALUE"""),"Karla Mananghaya")</f>
        <v>Karla Mananghaya</v>
      </c>
      <c r="W1720" s="1" t="str">
        <f>IFERROR(__xludf.DUMMYFUNCTION("""COMPUTED_VALUE"""),"Admin Support Service Escalation Team")</f>
        <v>Admin Support Service Escalation Team</v>
      </c>
    </row>
    <row r="1721">
      <c r="O1721" s="1" t="str">
        <f>IFERROR(__xludf.DUMMYFUNCTION("""COMPUTED_VALUE"""),"2025 Dec")</f>
        <v>2025 Dec</v>
      </c>
      <c r="P1721" s="1" t="str">
        <f>IFERROR(__xludf.DUMMYFUNCTION("""COMPUTED_VALUE"""),"Core Product Support")</f>
        <v>Core Product Support</v>
      </c>
      <c r="Q1721" s="1" t="str">
        <f>IFERROR(__xludf.DUMMYFUNCTION("""COMPUTED_VALUE"""),"bryanb@canva.com")</f>
        <v>bryanb@canva.com</v>
      </c>
      <c r="R1721" s="1" t="str">
        <f>IFERROR(__xludf.DUMMYFUNCTION("""COMPUTED_VALUE"""),"Bryan Lemuel Britanico")</f>
        <v>Bryan Lemuel Britanico</v>
      </c>
      <c r="S1721" s="1">
        <f>IFERROR(__xludf.DUMMYFUNCTION("""COMPUTED_VALUE"""),0.5)</f>
        <v>0.5</v>
      </c>
      <c r="T1721" s="1">
        <f>IFERROR(__xludf.DUMMYFUNCTION("""COMPUTED_VALUE"""),3.0)</f>
        <v>3</v>
      </c>
      <c r="U1721" s="2">
        <f>IFERROR(__xludf.DUMMYFUNCTION("""COMPUTED_VALUE"""),3.5)</f>
        <v>3.5</v>
      </c>
      <c r="V1721" s="1" t="str">
        <f>IFERROR(__xludf.DUMMYFUNCTION("""COMPUTED_VALUE"""),"Jahmie Mae Barrameda")</f>
        <v>Jahmie Mae Barrameda</v>
      </c>
      <c r="W1721" s="1" t="str">
        <f>IFERROR(__xludf.DUMMYFUNCTION("""COMPUTED_VALUE"""),"Advanced Billing &amp; Subscriptions")</f>
        <v>Advanced Billing &amp; Subscriptions</v>
      </c>
    </row>
    <row r="1722">
      <c r="O1722" s="1" t="str">
        <f>IFERROR(__xludf.DUMMYFUNCTION("""COMPUTED_VALUE"""),"2025 Dec")</f>
        <v>2025 Dec</v>
      </c>
      <c r="P1722" s="1" t="str">
        <f>IFERROR(__xludf.DUMMYFUNCTION("""COMPUTED_VALUE"""),"Print Support")</f>
        <v>Print Support</v>
      </c>
      <c r="Q1722" s="1" t="str">
        <f>IFERROR(__xludf.DUMMYFUNCTION("""COMPUTED_VALUE"""),"caesar@canva.com")</f>
        <v>caesar@canva.com</v>
      </c>
      <c r="R1722" s="1" t="str">
        <f>IFERROR(__xludf.DUMMYFUNCTION("""COMPUTED_VALUE"""),"Caesar Bitudio")</f>
        <v>Caesar Bitudio</v>
      </c>
      <c r="S1722" s="1"/>
      <c r="T1722" s="1">
        <f>IFERROR(__xludf.DUMMYFUNCTION("""COMPUTED_VALUE"""),2.0)</f>
        <v>2</v>
      </c>
      <c r="U1722" s="2">
        <f>IFERROR(__xludf.DUMMYFUNCTION("""COMPUTED_VALUE"""),2.0)</f>
        <v>2</v>
      </c>
      <c r="V1722" s="1" t="str">
        <f>IFERROR(__xludf.DUMMYFUNCTION("""COMPUTED_VALUE"""),"G-Anne Murillo")</f>
        <v>G-Anne Murillo</v>
      </c>
      <c r="W1722" s="1" t="str">
        <f>IFERROR(__xludf.DUMMYFUNCTION("""COMPUTED_VALUE"""),"Print Design Support")</f>
        <v>Print Design Support</v>
      </c>
    </row>
    <row r="1723">
      <c r="O1723" s="1" t="str">
        <f>IFERROR(__xludf.DUMMYFUNCTION("""COMPUTED_VALUE"""),"2025 Dec")</f>
        <v>2025 Dec</v>
      </c>
      <c r="P1723" s="1" t="str">
        <f>IFERROR(__xludf.DUMMYFUNCTION("""COMPUTED_VALUE"""),"Core Product Support")</f>
        <v>Core Product Support</v>
      </c>
      <c r="Q1723" s="1" t="str">
        <f>IFERROR(__xludf.DUMMYFUNCTION("""COMPUTED_VALUE"""),"cae@canva.com")</f>
        <v>cae@canva.com</v>
      </c>
      <c r="R1723" s="1" t="str">
        <f>IFERROR(__xludf.DUMMYFUNCTION("""COMPUTED_VALUE"""),"Caevee Dizon")</f>
        <v>Caevee Dizon</v>
      </c>
      <c r="S1723" s="1">
        <f>IFERROR(__xludf.DUMMYFUNCTION("""COMPUTED_VALUE"""),1.0)</f>
        <v>1</v>
      </c>
      <c r="T1723" s="1">
        <f>IFERROR(__xludf.DUMMYFUNCTION("""COMPUTED_VALUE"""),7.17)</f>
        <v>7.17</v>
      </c>
      <c r="U1723" s="2">
        <f>IFERROR(__xludf.DUMMYFUNCTION("""COMPUTED_VALUE"""),8.17)</f>
        <v>8.17</v>
      </c>
      <c r="V1723" s="1" t="str">
        <f>IFERROR(__xludf.DUMMYFUNCTION("""COMPUTED_VALUE"""),"Jahmie Mae Barrameda")</f>
        <v>Jahmie Mae Barrameda</v>
      </c>
      <c r="W1723" s="1" t="str">
        <f>IFERROR(__xludf.DUMMYFUNCTION("""COMPUTED_VALUE"""),"Advanced Billing &amp; Subscriptions")</f>
        <v>Advanced Billing &amp; Subscriptions</v>
      </c>
    </row>
    <row r="1724">
      <c r="O1724" s="1" t="str">
        <f>IFERROR(__xludf.DUMMYFUNCTION("""COMPUTED_VALUE"""),"2025 Dec")</f>
        <v>2025 Dec</v>
      </c>
      <c r="P1724" s="1" t="str">
        <f>IFERROR(__xludf.DUMMYFUNCTION("""COMPUTED_VALUE"""),"#N/A")</f>
        <v>#N/A</v>
      </c>
      <c r="Q1724" s="1" t="str">
        <f>IFERROR(__xludf.DUMMYFUNCTION("""COMPUTED_VALUE"""),"cali@canva.com")</f>
        <v>cali@canva.com</v>
      </c>
      <c r="R1724" s="1" t="str">
        <f>IFERROR(__xludf.DUMMYFUNCTION("""COMPUTED_VALUE"""),"Cali Bermudo")</f>
        <v>Cali Bermudo</v>
      </c>
      <c r="S1724" s="1"/>
      <c r="T1724" s="1">
        <f>IFERROR(__xludf.DUMMYFUNCTION("""COMPUTED_VALUE"""),2.5)</f>
        <v>2.5</v>
      </c>
      <c r="U1724" s="2">
        <f>IFERROR(__xludf.DUMMYFUNCTION("""COMPUTED_VALUE"""),2.5)</f>
        <v>2.5</v>
      </c>
      <c r="V1724" s="1" t="str">
        <f>IFERROR(__xludf.DUMMYFUNCTION("""COMPUTED_VALUE"""),"#N/A")</f>
        <v>#N/A</v>
      </c>
      <c r="W1724" s="1" t="str">
        <f>IFERROR(__xludf.DUMMYFUNCTION("""COMPUTED_VALUE"""),"Print Design Support")</f>
        <v>Print Design Support</v>
      </c>
    </row>
    <row r="1725">
      <c r="O1725" s="1" t="str">
        <f>IFERROR(__xludf.DUMMYFUNCTION("""COMPUTED_VALUE"""),"2025 Dec")</f>
        <v>2025 Dec</v>
      </c>
      <c r="P1725" s="1" t="str">
        <f>IFERROR(__xludf.DUMMYFUNCTION("""COMPUTED_VALUE"""),"Admin Support")</f>
        <v>Admin Support</v>
      </c>
      <c r="Q1725" s="1" t="str">
        <f>IFERROR(__xludf.DUMMYFUNCTION("""COMPUTED_VALUE"""),"cbasilio@canva.com")</f>
        <v>cbasilio@canva.com</v>
      </c>
      <c r="R1725" s="1" t="str">
        <f>IFERROR(__xludf.DUMMYFUNCTION("""COMPUTED_VALUE"""),"Camille Basilio")</f>
        <v>Camille Basilio</v>
      </c>
      <c r="S1725" s="1"/>
      <c r="T1725" s="1">
        <f>IFERROR(__xludf.DUMMYFUNCTION("""COMPUTED_VALUE"""),8.08)</f>
        <v>8.08</v>
      </c>
      <c r="U1725" s="2">
        <f>IFERROR(__xludf.DUMMYFUNCTION("""COMPUTED_VALUE"""),8.08)</f>
        <v>8.08</v>
      </c>
      <c r="V1725" s="1" t="str">
        <f>IFERROR(__xludf.DUMMYFUNCTION("""COMPUTED_VALUE"""),"AL Suarez")</f>
        <v>AL Suarez</v>
      </c>
      <c r="W1725" s="1" t="str">
        <f>IFERROR(__xludf.DUMMYFUNCTION("""COMPUTED_VALUE"""),"Admin Direct Support")</f>
        <v>Admin Direct Support</v>
      </c>
    </row>
    <row r="1726">
      <c r="O1726" s="1" t="str">
        <f>IFERROR(__xludf.DUMMYFUNCTION("""COMPUTED_VALUE"""),"2025 Dec")</f>
        <v>2025 Dec</v>
      </c>
      <c r="P1726" s="1" t="str">
        <f>IFERROR(__xludf.DUMMYFUNCTION("""COMPUTED_VALUE"""),"Core Product Support")</f>
        <v>Core Product Support</v>
      </c>
      <c r="Q1726" s="1" t="str">
        <f>IFERROR(__xludf.DUMMYFUNCTION("""COMPUTED_VALUE"""),"camilleb@canva.com")</f>
        <v>camilleb@canva.com</v>
      </c>
      <c r="R1726" s="1" t="str">
        <f>IFERROR(__xludf.DUMMYFUNCTION("""COMPUTED_VALUE"""),"Camille Bucks")</f>
        <v>Camille Bucks</v>
      </c>
      <c r="S1726" s="1">
        <f>IFERROR(__xludf.DUMMYFUNCTION("""COMPUTED_VALUE"""),0.5)</f>
        <v>0.5</v>
      </c>
      <c r="T1726" s="1">
        <f>IFERROR(__xludf.DUMMYFUNCTION("""COMPUTED_VALUE"""),20.25)</f>
        <v>20.25</v>
      </c>
      <c r="U1726" s="2">
        <f>IFERROR(__xludf.DUMMYFUNCTION("""COMPUTED_VALUE"""),20.75)</f>
        <v>20.75</v>
      </c>
      <c r="V1726" s="1" t="str">
        <f>IFERROR(__xludf.DUMMYFUNCTION("""COMPUTED_VALUE"""),"Ellaine Estayo")</f>
        <v>Ellaine Estayo</v>
      </c>
      <c r="W1726" s="1" t="str">
        <f>IFERROR(__xludf.DUMMYFUNCTION("""COMPUTED_VALUE"""),"Core Product Support Escalation Team")</f>
        <v>Core Product Support Escalation Team</v>
      </c>
    </row>
    <row r="1727">
      <c r="O1727" s="1" t="str">
        <f>IFERROR(__xludf.DUMMYFUNCTION("""COMPUTED_VALUE"""),"2025 Dec")</f>
        <v>2025 Dec</v>
      </c>
      <c r="P1727" s="1" t="str">
        <f>IFERROR(__xludf.DUMMYFUNCTION("""COMPUTED_VALUE"""),"Admin Support")</f>
        <v>Admin Support</v>
      </c>
      <c r="Q1727" s="1" t="str">
        <f>IFERROR(__xludf.DUMMYFUNCTION("""COMPUTED_VALUE"""),"camille.n@canva.com")</f>
        <v>camille.n@canva.com</v>
      </c>
      <c r="R1727" s="1" t="str">
        <f>IFERROR(__xludf.DUMMYFUNCTION("""COMPUTED_VALUE"""),"Camille Neypes")</f>
        <v>Camille Neypes</v>
      </c>
      <c r="S1727" s="1"/>
      <c r="T1727" s="1">
        <f>IFERROR(__xludf.DUMMYFUNCTION("""COMPUTED_VALUE"""),17.75)</f>
        <v>17.75</v>
      </c>
      <c r="U1727" s="2">
        <f>IFERROR(__xludf.DUMMYFUNCTION("""COMPUTED_VALUE"""),17.75)</f>
        <v>17.75</v>
      </c>
      <c r="V1727" s="1" t="str">
        <f>IFERROR(__xludf.DUMMYFUNCTION("""COMPUTED_VALUE"""),"Kelden Laguting")</f>
        <v>Kelden Laguting</v>
      </c>
      <c r="W1727" s="1" t="str">
        <f>IFERROR(__xludf.DUMMYFUNCTION("""COMPUTED_VALUE"""),"Admin Omni Support")</f>
        <v>Admin Omni Support</v>
      </c>
    </row>
    <row r="1728">
      <c r="O1728" s="1" t="str">
        <f>IFERROR(__xludf.DUMMYFUNCTION("""COMPUTED_VALUE"""),"2025 Dec")</f>
        <v>2025 Dec</v>
      </c>
      <c r="P1728" s="1" t="str">
        <f>IFERROR(__xludf.DUMMYFUNCTION("""COMPUTED_VALUE"""),"Print Support")</f>
        <v>Print Support</v>
      </c>
      <c r="Q1728" s="1" t="str">
        <f>IFERROR(__xludf.DUMMYFUNCTION("""COMPUTED_VALUE"""),"cammy@canva.com")</f>
        <v>cammy@canva.com</v>
      </c>
      <c r="R1728" s="1" t="str">
        <f>IFERROR(__xludf.DUMMYFUNCTION("""COMPUTED_VALUE"""),"Camille Oriel")</f>
        <v>Camille Oriel</v>
      </c>
      <c r="S1728" s="1"/>
      <c r="T1728" s="1">
        <f>IFERROR(__xludf.DUMMYFUNCTION("""COMPUTED_VALUE"""),2.25)</f>
        <v>2.25</v>
      </c>
      <c r="U1728" s="2">
        <f>IFERROR(__xludf.DUMMYFUNCTION("""COMPUTED_VALUE"""),2.25)</f>
        <v>2.25</v>
      </c>
      <c r="V1728" s="1" t="str">
        <f>IFERROR(__xludf.DUMMYFUNCTION("""COMPUTED_VALUE"""),"Louise Dianne Estrella")</f>
        <v>Louise Dianne Estrella</v>
      </c>
      <c r="W1728" s="1" t="str">
        <f>IFERROR(__xludf.DUMMYFUNCTION("""COMPUTED_VALUE"""),"Print Support PH")</f>
        <v>Print Support PH</v>
      </c>
    </row>
    <row r="1729">
      <c r="O1729" s="1" t="str">
        <f>IFERROR(__xludf.DUMMYFUNCTION("""COMPUTED_VALUE"""),"2025 Dec")</f>
        <v>2025 Dec</v>
      </c>
      <c r="P1729" s="1" t="str">
        <f>IFERROR(__xludf.DUMMYFUNCTION("""COMPUTED_VALUE"""),"Admin Support")</f>
        <v>Admin Support</v>
      </c>
      <c r="Q1729" s="1" t="str">
        <f>IFERROR(__xludf.DUMMYFUNCTION("""COMPUTED_VALUE"""),"carloav@canva.com")</f>
        <v>carloav@canva.com</v>
      </c>
      <c r="R1729" s="1" t="str">
        <f>IFERROR(__xludf.DUMMYFUNCTION("""COMPUTED_VALUE"""),"Carlo Valentin")</f>
        <v>Carlo Valentin</v>
      </c>
      <c r="S1729" s="1"/>
      <c r="T1729" s="1">
        <f>IFERROR(__xludf.DUMMYFUNCTION("""COMPUTED_VALUE"""),5.0)</f>
        <v>5</v>
      </c>
      <c r="U1729" s="2">
        <f>IFERROR(__xludf.DUMMYFUNCTION("""COMPUTED_VALUE"""),5.0)</f>
        <v>5</v>
      </c>
      <c r="V1729" s="1" t="str">
        <f>IFERROR(__xludf.DUMMYFUNCTION("""COMPUTED_VALUE"""),"Kelden Laguting")</f>
        <v>Kelden Laguting</v>
      </c>
      <c r="W1729" s="1" t="str">
        <f>IFERROR(__xludf.DUMMYFUNCTION("""COMPUTED_VALUE"""),"Admin Omni Support")</f>
        <v>Admin Omni Support</v>
      </c>
    </row>
    <row r="1730">
      <c r="O1730" s="1" t="str">
        <f>IFERROR(__xludf.DUMMYFUNCTION("""COMPUTED_VALUE"""),"2025 Dec")</f>
        <v>2025 Dec</v>
      </c>
      <c r="P1730" s="1" t="str">
        <f>IFERROR(__xludf.DUMMYFUNCTION("""COMPUTED_VALUE"""),"Core Product Support")</f>
        <v>Core Product Support</v>
      </c>
      <c r="Q1730" s="1" t="str">
        <f>IFERROR(__xludf.DUMMYFUNCTION("""COMPUTED_VALUE"""),"carmeladc@canva.com")</f>
        <v>carmeladc@canva.com</v>
      </c>
      <c r="R1730" s="1" t="str">
        <f>IFERROR(__xludf.DUMMYFUNCTION("""COMPUTED_VALUE"""),"Carmela Dela Cruz")</f>
        <v>Carmela Dela Cruz</v>
      </c>
      <c r="S1730" s="1">
        <f>IFERROR(__xludf.DUMMYFUNCTION("""COMPUTED_VALUE"""),0.75)</f>
        <v>0.75</v>
      </c>
      <c r="T1730" s="1">
        <f>IFERROR(__xludf.DUMMYFUNCTION("""COMPUTED_VALUE"""),2.0)</f>
        <v>2</v>
      </c>
      <c r="U1730" s="2">
        <f>IFERROR(__xludf.DUMMYFUNCTION("""COMPUTED_VALUE"""),2.75)</f>
        <v>2.75</v>
      </c>
      <c r="V1730" s="1" t="str">
        <f>IFERROR(__xludf.DUMMYFUNCTION("""COMPUTED_VALUE"""),"Marie Mordeno")</f>
        <v>Marie Mordeno</v>
      </c>
      <c r="W1730" s="1" t="str">
        <f>IFERROR(__xludf.DUMMYFUNCTION("""COMPUTED_VALUE"""),"Advanced Billing &amp; Subscriptions")</f>
        <v>Advanced Billing &amp; Subscriptions</v>
      </c>
    </row>
    <row r="1731">
      <c r="O1731" s="1" t="str">
        <f>IFERROR(__xludf.DUMMYFUNCTION("""COMPUTED_VALUE"""),"2025 Dec")</f>
        <v>2025 Dec</v>
      </c>
      <c r="P1731" s="1" t="str">
        <f>IFERROR(__xludf.DUMMYFUNCTION("""COMPUTED_VALUE"""),"Print Support")</f>
        <v>Print Support</v>
      </c>
      <c r="Q1731" s="1" t="str">
        <f>IFERROR(__xludf.DUMMYFUNCTION("""COMPUTED_VALUE"""),"carms@canva.com")</f>
        <v>carms@canva.com</v>
      </c>
      <c r="R1731" s="1" t="str">
        <f>IFERROR(__xludf.DUMMYFUNCTION("""COMPUTED_VALUE"""),"Carms Merilles")</f>
        <v>Carms Merilles</v>
      </c>
      <c r="S1731" s="1"/>
      <c r="T1731" s="1">
        <f>IFERROR(__xludf.DUMMYFUNCTION("""COMPUTED_VALUE"""),2.5)</f>
        <v>2.5</v>
      </c>
      <c r="U1731" s="2">
        <f>IFERROR(__xludf.DUMMYFUNCTION("""COMPUTED_VALUE"""),2.5)</f>
        <v>2.5</v>
      </c>
      <c r="V1731" s="1" t="str">
        <f>IFERROR(__xludf.DUMMYFUNCTION("""COMPUTED_VALUE"""),"Gem Agoncillo")</f>
        <v>Gem Agoncillo</v>
      </c>
      <c r="W1731" s="1" t="str">
        <f>IFERROR(__xludf.DUMMYFUNCTION("""COMPUTED_VALUE"""),"Print Design Support")</f>
        <v>Print Design Support</v>
      </c>
    </row>
    <row r="1732">
      <c r="O1732" s="1" t="str">
        <f>IFERROR(__xludf.DUMMYFUNCTION("""COMPUTED_VALUE"""),"2025 Dec")</f>
        <v>2025 Dec</v>
      </c>
      <c r="P1732" s="1" t="str">
        <f>IFERROR(__xludf.DUMMYFUNCTION("""COMPUTED_VALUE"""),"High Sensitivity Support")</f>
        <v>High Sensitivity Support</v>
      </c>
      <c r="Q1732" s="1" t="str">
        <f>IFERROR(__xludf.DUMMYFUNCTION("""COMPUTED_VALUE"""),"cassie@canva.com")</f>
        <v>cassie@canva.com</v>
      </c>
      <c r="R1732" s="1" t="str">
        <f>IFERROR(__xludf.DUMMYFUNCTION("""COMPUTED_VALUE"""),"Cassie Eugenio")</f>
        <v>Cassie Eugenio</v>
      </c>
      <c r="S1732" s="1"/>
      <c r="T1732" s="1">
        <f>IFERROR(__xludf.DUMMYFUNCTION("""COMPUTED_VALUE"""),1.0)</f>
        <v>1</v>
      </c>
      <c r="U1732" s="2">
        <f>IFERROR(__xludf.DUMMYFUNCTION("""COMPUTED_VALUE"""),1.0)</f>
        <v>1</v>
      </c>
      <c r="V1732" s="1" t="str">
        <f>IFERROR(__xludf.DUMMYFUNCTION("""COMPUTED_VALUE"""),"Issi Afable")</f>
        <v>Issi Afable</v>
      </c>
      <c r="W1732" s="1" t="str">
        <f>IFERROR(__xludf.DUMMYFUNCTION("""COMPUTED_VALUE"""),"High Sensitivity Support PH")</f>
        <v>High Sensitivity Support PH</v>
      </c>
    </row>
    <row r="1733">
      <c r="O1733" s="1" t="str">
        <f>IFERROR(__xludf.DUMMYFUNCTION("""COMPUTED_VALUE"""),"2025 Dec")</f>
        <v>2025 Dec</v>
      </c>
      <c r="P1733" s="1" t="str">
        <f>IFERROR(__xludf.DUMMYFUNCTION("""COMPUTED_VALUE"""),"Print Support")</f>
        <v>Print Support</v>
      </c>
      <c r="Q1733" s="1" t="str">
        <f>IFERROR(__xludf.DUMMYFUNCTION("""COMPUTED_VALUE"""),"catherinenicole@canva.com")</f>
        <v>catherinenicole@canva.com</v>
      </c>
      <c r="R1733" s="1" t="str">
        <f>IFERROR(__xludf.DUMMYFUNCTION("""COMPUTED_VALUE"""),"Catherine Ledesma")</f>
        <v>Catherine Ledesma</v>
      </c>
      <c r="S1733" s="1"/>
      <c r="T1733" s="1">
        <f>IFERROR(__xludf.DUMMYFUNCTION("""COMPUTED_VALUE"""),2.25)</f>
        <v>2.25</v>
      </c>
      <c r="U1733" s="2">
        <f>IFERROR(__xludf.DUMMYFUNCTION("""COMPUTED_VALUE"""),2.25)</f>
        <v>2.25</v>
      </c>
      <c r="V1733" s="1" t="str">
        <f>IFERROR(__xludf.DUMMYFUNCTION("""COMPUTED_VALUE"""),"Jen Momo")</f>
        <v>Jen Momo</v>
      </c>
      <c r="W1733" s="1" t="str">
        <f>IFERROR(__xludf.DUMMYFUNCTION("""COMPUTED_VALUE"""),"Print Support PH")</f>
        <v>Print Support PH</v>
      </c>
    </row>
    <row r="1734">
      <c r="O1734" s="1" t="str">
        <f>IFERROR(__xludf.DUMMYFUNCTION("""COMPUTED_VALUE"""),"2025 Dec")</f>
        <v>2025 Dec</v>
      </c>
      <c r="P1734" s="1" t="str">
        <f>IFERROR(__xludf.DUMMYFUNCTION("""COMPUTED_VALUE"""),"Core Product Support")</f>
        <v>Core Product Support</v>
      </c>
      <c r="Q1734" s="1" t="str">
        <f>IFERROR(__xludf.DUMMYFUNCTION("""COMPUTED_VALUE"""),"laranang@canva.com")</f>
        <v>laranang@canva.com</v>
      </c>
      <c r="R1734" s="1" t="str">
        <f>IFERROR(__xludf.DUMMYFUNCTION("""COMPUTED_VALUE"""),"Cha Laranang")</f>
        <v>Cha Laranang</v>
      </c>
      <c r="S1734" s="1">
        <f>IFERROR(__xludf.DUMMYFUNCTION("""COMPUTED_VALUE"""),1.5)</f>
        <v>1.5</v>
      </c>
      <c r="T1734" s="1">
        <f>IFERROR(__xludf.DUMMYFUNCTION("""COMPUTED_VALUE"""),1.0)</f>
        <v>1</v>
      </c>
      <c r="U1734" s="2">
        <f>IFERROR(__xludf.DUMMYFUNCTION("""COMPUTED_VALUE"""),2.5)</f>
        <v>2.5</v>
      </c>
      <c r="V1734" s="1" t="str">
        <f>IFERROR(__xludf.DUMMYFUNCTION("""COMPUTED_VALUE"""),"Cate Velasco")</f>
        <v>Cate Velasco</v>
      </c>
      <c r="W1734" s="1" t="str">
        <f>IFERROR(__xludf.DUMMYFUNCTION("""COMPUTED_VALUE"""),"Advanced Product Support")</f>
        <v>Advanced Product Support</v>
      </c>
    </row>
    <row r="1735">
      <c r="O1735" s="1" t="str">
        <f>IFERROR(__xludf.DUMMYFUNCTION("""COMPUTED_VALUE"""),"2025 Dec")</f>
        <v>2025 Dec</v>
      </c>
      <c r="P1735" s="1" t="str">
        <f>IFERROR(__xludf.DUMMYFUNCTION("""COMPUTED_VALUE"""),"Core Product Support")</f>
        <v>Core Product Support</v>
      </c>
      <c r="Q1735" s="1" t="str">
        <f>IFERROR(__xludf.DUMMYFUNCTION("""COMPUTED_VALUE"""),"chace@canva.com")</f>
        <v>chace@canva.com</v>
      </c>
      <c r="R1735" s="1" t="str">
        <f>IFERROR(__xludf.DUMMYFUNCTION("""COMPUTED_VALUE"""),"Chace Ablaza")</f>
        <v>Chace Ablaza</v>
      </c>
      <c r="S1735" s="1"/>
      <c r="T1735" s="1">
        <f>IFERROR(__xludf.DUMMYFUNCTION("""COMPUTED_VALUE"""),16.75)</f>
        <v>16.75</v>
      </c>
      <c r="U1735" s="2">
        <f>IFERROR(__xludf.DUMMYFUNCTION("""COMPUTED_VALUE"""),16.75)</f>
        <v>16.75</v>
      </c>
      <c r="V1735" s="1" t="str">
        <f>IFERROR(__xludf.DUMMYFUNCTION("""COMPUTED_VALUE"""),"Ellaine Estayo")</f>
        <v>Ellaine Estayo</v>
      </c>
      <c r="W1735" s="1" t="str">
        <f>IFERROR(__xludf.DUMMYFUNCTION("""COMPUTED_VALUE"""),"Core Product Support Escalation Team")</f>
        <v>Core Product Support Escalation Team</v>
      </c>
    </row>
    <row r="1736">
      <c r="O1736" s="1" t="str">
        <f>IFERROR(__xludf.DUMMYFUNCTION("""COMPUTED_VALUE"""),"2025 Dec")</f>
        <v>2025 Dec</v>
      </c>
      <c r="P1736" s="1" t="str">
        <f>IFERROR(__xludf.DUMMYFUNCTION("""COMPUTED_VALUE"""),"Core Product Support")</f>
        <v>Core Product Support</v>
      </c>
      <c r="Q1736" s="1" t="str">
        <f>IFERROR(__xludf.DUMMYFUNCTION("""COMPUTED_VALUE"""),"charissa@canva.com")</f>
        <v>charissa@canva.com</v>
      </c>
      <c r="R1736" s="1" t="str">
        <f>IFERROR(__xludf.DUMMYFUNCTION("""COMPUTED_VALUE"""),"Charissa Goyena")</f>
        <v>Charissa Goyena</v>
      </c>
      <c r="S1736" s="1">
        <f>IFERROR(__xludf.DUMMYFUNCTION("""COMPUTED_VALUE"""),1.5)</f>
        <v>1.5</v>
      </c>
      <c r="T1736" s="1">
        <f>IFERROR(__xludf.DUMMYFUNCTION("""COMPUTED_VALUE"""),1.0)</f>
        <v>1</v>
      </c>
      <c r="U1736" s="2">
        <f>IFERROR(__xludf.DUMMYFUNCTION("""COMPUTED_VALUE"""),2.5)</f>
        <v>2.5</v>
      </c>
      <c r="V1736" s="1" t="str">
        <f>IFERROR(__xludf.DUMMYFUNCTION("""COMPUTED_VALUE"""),"Vinz Lazaro")</f>
        <v>Vinz Lazaro</v>
      </c>
      <c r="W1736" s="1" t="str">
        <f>IFERROR(__xludf.DUMMYFUNCTION("""COMPUTED_VALUE"""),"Advanced Product Support")</f>
        <v>Advanced Product Support</v>
      </c>
    </row>
    <row r="1737">
      <c r="O1737" s="1" t="str">
        <f>IFERROR(__xludf.DUMMYFUNCTION("""COMPUTED_VALUE"""),"2025 Dec")</f>
        <v>2025 Dec</v>
      </c>
      <c r="P1737" s="1" t="str">
        <f>IFERROR(__xludf.DUMMYFUNCTION("""COMPUTED_VALUE"""),"Segment-specific Support")</f>
        <v>Segment-specific Support</v>
      </c>
      <c r="Q1737" s="1" t="str">
        <f>IFERROR(__xludf.DUMMYFUNCTION("""COMPUTED_VALUE"""),"charizavargas@canva.com")</f>
        <v>charizavargas@canva.com</v>
      </c>
      <c r="R1737" s="1" t="str">
        <f>IFERROR(__xludf.DUMMYFUNCTION("""COMPUTED_VALUE"""),"Chariza Vargas")</f>
        <v>Chariza Vargas</v>
      </c>
      <c r="S1737" s="1"/>
      <c r="T1737" s="1">
        <f>IFERROR(__xludf.DUMMYFUNCTION("""COMPUTED_VALUE"""),1.0)</f>
        <v>1</v>
      </c>
      <c r="U1737" s="2">
        <f>IFERROR(__xludf.DUMMYFUNCTION("""COMPUTED_VALUE"""),1.0)</f>
        <v>1</v>
      </c>
      <c r="V1737" s="1" t="str">
        <f>IFERROR(__xludf.DUMMYFUNCTION("""COMPUTED_VALUE"""),"Aileen Dayanghirang")</f>
        <v>Aileen Dayanghirang</v>
      </c>
      <c r="W1737" s="1" t="str">
        <f>IFERROR(__xludf.DUMMYFUNCTION("""COMPUTED_VALUE"""),"Creators Support")</f>
        <v>Creators Support</v>
      </c>
    </row>
    <row r="1738">
      <c r="O1738" s="1" t="str">
        <f>IFERROR(__xludf.DUMMYFUNCTION("""COMPUTED_VALUE"""),"2025 Dec")</f>
        <v>2025 Dec</v>
      </c>
      <c r="P1738" s="1" t="str">
        <f>IFERROR(__xludf.DUMMYFUNCTION("""COMPUTED_VALUE"""),"Admin Support")</f>
        <v>Admin Support</v>
      </c>
      <c r="Q1738" s="1" t="str">
        <f>IFERROR(__xludf.DUMMYFUNCTION("""COMPUTED_VALUE"""),"charlest@canva.com")</f>
        <v>charlest@canva.com</v>
      </c>
      <c r="R1738" s="1" t="str">
        <f>IFERROR(__xludf.DUMMYFUNCTION("""COMPUTED_VALUE"""),"Charles Andrew Tan")</f>
        <v>Charles Andrew Tan</v>
      </c>
      <c r="S1738" s="1"/>
      <c r="T1738" s="1">
        <f>IFERROR(__xludf.DUMMYFUNCTION("""COMPUTED_VALUE"""),11.5)</f>
        <v>11.5</v>
      </c>
      <c r="U1738" s="2">
        <f>IFERROR(__xludf.DUMMYFUNCTION("""COMPUTED_VALUE"""),11.5)</f>
        <v>11.5</v>
      </c>
      <c r="V1738" s="1" t="str">
        <f>IFERROR(__xludf.DUMMYFUNCTION("""COMPUTED_VALUE"""),"Kelden Laguting")</f>
        <v>Kelden Laguting</v>
      </c>
      <c r="W1738" s="1" t="str">
        <f>IFERROR(__xludf.DUMMYFUNCTION("""COMPUTED_VALUE"""),"Admin Omni Support")</f>
        <v>Admin Omni Support</v>
      </c>
    </row>
    <row r="1739">
      <c r="O1739" s="1" t="str">
        <f>IFERROR(__xludf.DUMMYFUNCTION("""COMPUTED_VALUE"""),"2025 Dec")</f>
        <v>2025 Dec</v>
      </c>
      <c r="P1739" s="1" t="str">
        <f>IFERROR(__xludf.DUMMYFUNCTION("""COMPUTED_VALUE"""),"Core Product Support")</f>
        <v>Core Product Support</v>
      </c>
      <c r="Q1739" s="1" t="str">
        <f>IFERROR(__xludf.DUMMYFUNCTION("""COMPUTED_VALUE"""),"charmb@canva.com")</f>
        <v>charmb@canva.com</v>
      </c>
      <c r="R1739" s="1" t="str">
        <f>IFERROR(__xludf.DUMMYFUNCTION("""COMPUTED_VALUE"""),"Charm Bansil")</f>
        <v>Charm Bansil</v>
      </c>
      <c r="S1739" s="1">
        <f>IFERROR(__xludf.DUMMYFUNCTION("""COMPUTED_VALUE"""),1.5)</f>
        <v>1.5</v>
      </c>
      <c r="T1739" s="1">
        <f>IFERROR(__xludf.DUMMYFUNCTION("""COMPUTED_VALUE"""),4.25)</f>
        <v>4.25</v>
      </c>
      <c r="U1739" s="2">
        <f>IFERROR(__xludf.DUMMYFUNCTION("""COMPUTED_VALUE"""),5.75)</f>
        <v>5.75</v>
      </c>
      <c r="V1739" s="1" t="str">
        <f>IFERROR(__xludf.DUMMYFUNCTION("""COMPUTED_VALUE"""),"Ana Lazaro")</f>
        <v>Ana Lazaro</v>
      </c>
      <c r="W1739" s="1" t="str">
        <f>IFERROR(__xludf.DUMMYFUNCTION("""COMPUTED_VALUE"""),"Advanced Billing &amp; Subscriptions")</f>
        <v>Advanced Billing &amp; Subscriptions</v>
      </c>
    </row>
    <row r="1740">
      <c r="O1740" s="1" t="str">
        <f>IFERROR(__xludf.DUMMYFUNCTION("""COMPUTED_VALUE"""),"2025 Dec")</f>
        <v>2025 Dec</v>
      </c>
      <c r="P1740" s="1" t="str">
        <f>IFERROR(__xludf.DUMMYFUNCTION("""COMPUTED_VALUE"""),"Print Support")</f>
        <v>Print Support</v>
      </c>
      <c r="Q1740" s="1" t="str">
        <f>IFERROR(__xludf.DUMMYFUNCTION("""COMPUTED_VALUE"""),"catherine@canva.com")</f>
        <v>catherine@canva.com</v>
      </c>
      <c r="R1740" s="1" t="str">
        <f>IFERROR(__xludf.DUMMYFUNCTION("""COMPUTED_VALUE"""),"Cheche Ramirez")</f>
        <v>Cheche Ramirez</v>
      </c>
      <c r="S1740" s="1"/>
      <c r="T1740" s="1">
        <f>IFERROR(__xludf.DUMMYFUNCTION("""COMPUTED_VALUE"""),3.25)</f>
        <v>3.25</v>
      </c>
      <c r="U1740" s="2">
        <f>IFERROR(__xludf.DUMMYFUNCTION("""COMPUTED_VALUE"""),3.25)</f>
        <v>3.25</v>
      </c>
      <c r="V1740" s="1" t="str">
        <f>IFERROR(__xludf.DUMMYFUNCTION("""COMPUTED_VALUE"""),"Jen Momo")</f>
        <v>Jen Momo</v>
      </c>
      <c r="W1740" s="1" t="str">
        <f>IFERROR(__xludf.DUMMYFUNCTION("""COMPUTED_VALUE"""),"Print Support PH")</f>
        <v>Print Support PH</v>
      </c>
    </row>
    <row r="1741">
      <c r="O1741" s="1" t="str">
        <f>IFERROR(__xludf.DUMMYFUNCTION("""COMPUTED_VALUE"""),"2025 Dec")</f>
        <v>2025 Dec</v>
      </c>
      <c r="P1741" s="1" t="str">
        <f>IFERROR(__xludf.DUMMYFUNCTION("""COMPUTED_VALUE"""),"Core Product Support")</f>
        <v>Core Product Support</v>
      </c>
      <c r="Q1741" s="1" t="str">
        <f>IFERROR(__xludf.DUMMYFUNCTION("""COMPUTED_VALUE"""),"chesca@canva.com")</f>
        <v>chesca@canva.com</v>
      </c>
      <c r="R1741" s="1" t="str">
        <f>IFERROR(__xludf.DUMMYFUNCTION("""COMPUTED_VALUE"""),"Chesca Martos")</f>
        <v>Chesca Martos</v>
      </c>
      <c r="S1741" s="1">
        <f>IFERROR(__xludf.DUMMYFUNCTION("""COMPUTED_VALUE"""),1.5)</f>
        <v>1.5</v>
      </c>
      <c r="T1741" s="1">
        <f>IFERROR(__xludf.DUMMYFUNCTION("""COMPUTED_VALUE"""),4.25)</f>
        <v>4.25</v>
      </c>
      <c r="U1741" s="2">
        <f>IFERROR(__xludf.DUMMYFUNCTION("""COMPUTED_VALUE"""),5.75)</f>
        <v>5.75</v>
      </c>
      <c r="V1741" s="1" t="str">
        <f>IFERROR(__xludf.DUMMYFUNCTION("""COMPUTED_VALUE"""),"Ayza Marie Pascual")</f>
        <v>Ayza Marie Pascual</v>
      </c>
      <c r="W1741" s="1" t="str">
        <f>IFERROR(__xludf.DUMMYFUNCTION("""COMPUTED_VALUE"""),"Advanced Billing &amp; Subscriptions")</f>
        <v>Advanced Billing &amp; Subscriptions</v>
      </c>
    </row>
    <row r="1742">
      <c r="O1742" s="1" t="str">
        <f>IFERROR(__xludf.DUMMYFUNCTION("""COMPUTED_VALUE"""),"2025 Dec")</f>
        <v>2025 Dec</v>
      </c>
      <c r="P1742" s="1" t="str">
        <f>IFERROR(__xludf.DUMMYFUNCTION("""COMPUTED_VALUE"""),"Core Product Support")</f>
        <v>Core Product Support</v>
      </c>
      <c r="Q1742" s="1" t="str">
        <f>IFERROR(__xludf.DUMMYFUNCTION("""COMPUTED_VALUE"""),"chlgts@canva.com")</f>
        <v>chlgts@canva.com</v>
      </c>
      <c r="R1742" s="1" t="str">
        <f>IFERROR(__xludf.DUMMYFUNCTION("""COMPUTED_VALUE"""),"Cholo Ligtas")</f>
        <v>Cholo Ligtas</v>
      </c>
      <c r="S1742" s="1">
        <f>IFERROR(__xludf.DUMMYFUNCTION("""COMPUTED_VALUE"""),1.5)</f>
        <v>1.5</v>
      </c>
      <c r="T1742" s="1">
        <f>IFERROR(__xludf.DUMMYFUNCTION("""COMPUTED_VALUE"""),10.25)</f>
        <v>10.25</v>
      </c>
      <c r="U1742" s="2">
        <f>IFERROR(__xludf.DUMMYFUNCTION("""COMPUTED_VALUE"""),11.75)</f>
        <v>11.75</v>
      </c>
      <c r="V1742" s="1" t="str">
        <f>IFERROR(__xludf.DUMMYFUNCTION("""COMPUTED_VALUE"""),"Jahmie Mae Barrameda")</f>
        <v>Jahmie Mae Barrameda</v>
      </c>
      <c r="W1742" s="1" t="str">
        <f>IFERROR(__xludf.DUMMYFUNCTION("""COMPUTED_VALUE"""),"Advanced Billing &amp; Subscriptions")</f>
        <v>Advanced Billing &amp; Subscriptions</v>
      </c>
    </row>
    <row r="1743">
      <c r="O1743" s="1" t="str">
        <f>IFERROR(__xludf.DUMMYFUNCTION("""COMPUTED_VALUE"""),"2025 Dec")</f>
        <v>2025 Dec</v>
      </c>
      <c r="P1743" s="1" t="str">
        <f>IFERROR(__xludf.DUMMYFUNCTION("""COMPUTED_VALUE"""),"Core Product Support")</f>
        <v>Core Product Support</v>
      </c>
      <c r="Q1743" s="1" t="str">
        <f>IFERROR(__xludf.DUMMYFUNCTION("""COMPUTED_VALUE"""),"tintinmaxilom@canva.com")</f>
        <v>tintinmaxilom@canva.com</v>
      </c>
      <c r="R1743" s="1" t="str">
        <f>IFERROR(__xludf.DUMMYFUNCTION("""COMPUTED_VALUE"""),"Christine Araga")</f>
        <v>Christine Araga</v>
      </c>
      <c r="S1743" s="1"/>
      <c r="T1743" s="1">
        <f>IFERROR(__xludf.DUMMYFUNCTION("""COMPUTED_VALUE"""),20.62)</f>
        <v>20.62</v>
      </c>
      <c r="U1743" s="2">
        <f>IFERROR(__xludf.DUMMYFUNCTION("""COMPUTED_VALUE"""),20.62)</f>
        <v>20.62</v>
      </c>
      <c r="V1743" s="1" t="str">
        <f>IFERROR(__xludf.DUMMYFUNCTION("""COMPUTED_VALUE"""),"Jelyn Elmido")</f>
        <v>Jelyn Elmido</v>
      </c>
      <c r="W1743" s="1" t="str">
        <f>IFERROR(__xludf.DUMMYFUNCTION("""COMPUTED_VALUE"""),"Core Product Support Escalation Team")</f>
        <v>Core Product Support Escalation Team</v>
      </c>
    </row>
    <row r="1744">
      <c r="O1744" s="1" t="str">
        <f>IFERROR(__xludf.DUMMYFUNCTION("""COMPUTED_VALUE"""),"2025 Dec")</f>
        <v>2025 Dec</v>
      </c>
      <c r="P1744" s="1" t="str">
        <f>IFERROR(__xludf.DUMMYFUNCTION("""COMPUTED_VALUE"""),"Print Support")</f>
        <v>Print Support</v>
      </c>
      <c r="Q1744" s="1" t="str">
        <f>IFERROR(__xludf.DUMMYFUNCTION("""COMPUTED_VALUE"""),"cjlining@canva.com")</f>
        <v>cjlining@canva.com</v>
      </c>
      <c r="R1744" s="1" t="str">
        <f>IFERROR(__xludf.DUMMYFUNCTION("""COMPUTED_VALUE"""),"CJ Lining")</f>
        <v>CJ Lining</v>
      </c>
      <c r="S1744" s="1"/>
      <c r="T1744" s="1">
        <f>IFERROR(__xludf.DUMMYFUNCTION("""COMPUTED_VALUE"""),2.0)</f>
        <v>2</v>
      </c>
      <c r="U1744" s="2">
        <f>IFERROR(__xludf.DUMMYFUNCTION("""COMPUTED_VALUE"""),2.0)</f>
        <v>2</v>
      </c>
      <c r="V1744" s="1" t="str">
        <f>IFERROR(__xludf.DUMMYFUNCTION("""COMPUTED_VALUE"""),"Althea Mercado")</f>
        <v>Althea Mercado</v>
      </c>
      <c r="W1744" s="1" t="str">
        <f>IFERROR(__xludf.DUMMYFUNCTION("""COMPUTED_VALUE"""),"Print Support PH")</f>
        <v>Print Support PH</v>
      </c>
    </row>
    <row r="1745">
      <c r="O1745" s="1" t="str">
        <f>IFERROR(__xludf.DUMMYFUNCTION("""COMPUTED_VALUE"""),"2025 Dec")</f>
        <v>2025 Dec</v>
      </c>
      <c r="P1745" s="1" t="str">
        <f>IFERROR(__xludf.DUMMYFUNCTION("""COMPUTED_VALUE"""),"Admin Support")</f>
        <v>Admin Support</v>
      </c>
      <c r="Q1745" s="1" t="str">
        <f>IFERROR(__xludf.DUMMYFUNCTION("""COMPUTED_VALUE"""),"ckmg@canva.com")</f>
        <v>ckmg@canva.com</v>
      </c>
      <c r="R1745" s="1" t="str">
        <f>IFERROR(__xludf.DUMMYFUNCTION("""COMPUTED_VALUE"""),"CK Geronimo")</f>
        <v>CK Geronimo</v>
      </c>
      <c r="S1745" s="1"/>
      <c r="T1745" s="1">
        <f>IFERROR(__xludf.DUMMYFUNCTION("""COMPUTED_VALUE"""),3.5)</f>
        <v>3.5</v>
      </c>
      <c r="U1745" s="2">
        <f>IFERROR(__xludf.DUMMYFUNCTION("""COMPUTED_VALUE"""),3.5)</f>
        <v>3.5</v>
      </c>
      <c r="V1745" s="1" t="str">
        <f>IFERROR(__xludf.DUMMYFUNCTION("""COMPUTED_VALUE"""),"Pau Palmero")</f>
        <v>Pau Palmero</v>
      </c>
      <c r="W1745" s="1" t="str">
        <f>IFERROR(__xludf.DUMMYFUNCTION("""COMPUTED_VALUE"""),"Admin Omni Support")</f>
        <v>Admin Omni Support</v>
      </c>
    </row>
    <row r="1746">
      <c r="O1746" s="1" t="str">
        <f>IFERROR(__xludf.DUMMYFUNCTION("""COMPUTED_VALUE"""),"2025 Dec")</f>
        <v>2025 Dec</v>
      </c>
      <c r="P1746" s="1" t="str">
        <f>IFERROR(__xludf.DUMMYFUNCTION("""COMPUTED_VALUE"""),"Segment-specific Support")</f>
        <v>Segment-specific Support</v>
      </c>
      <c r="Q1746" s="1" t="str">
        <f>IFERROR(__xludf.DUMMYFUNCTION("""COMPUTED_VALUE"""),"magnumck@canva.com")</f>
        <v>magnumck@canva.com</v>
      </c>
      <c r="R1746" s="1" t="str">
        <f>IFERROR(__xludf.DUMMYFUNCTION("""COMPUTED_VALUE"""),"CK Lobaton")</f>
        <v>CK Lobaton</v>
      </c>
      <c r="S1746" s="1">
        <f>IFERROR(__xludf.DUMMYFUNCTION("""COMPUTED_VALUE"""),1.0)</f>
        <v>1</v>
      </c>
      <c r="T1746" s="1">
        <f>IFERROR(__xludf.DUMMYFUNCTION("""COMPUTED_VALUE"""),1.0)</f>
        <v>1</v>
      </c>
      <c r="U1746" s="2">
        <f>IFERROR(__xludf.DUMMYFUNCTION("""COMPUTED_VALUE"""),2.0)</f>
        <v>2</v>
      </c>
      <c r="V1746" s="1" t="str">
        <f>IFERROR(__xludf.DUMMYFUNCTION("""COMPUTED_VALUE"""),"Jonathan Dimaculangan")</f>
        <v>Jonathan Dimaculangan</v>
      </c>
      <c r="W1746" s="1" t="str">
        <f>IFERROR(__xludf.DUMMYFUNCTION("""COMPUTED_VALUE"""),"Flourish Support")</f>
        <v>Flourish Support</v>
      </c>
    </row>
    <row r="1747">
      <c r="O1747" s="1" t="str">
        <f>IFERROR(__xludf.DUMMYFUNCTION("""COMPUTED_VALUE"""),"2025 Dec")</f>
        <v>2025 Dec</v>
      </c>
      <c r="P1747" s="1" t="str">
        <f>IFERROR(__xludf.DUMMYFUNCTION("""COMPUTED_VALUE"""),"Core Product Support")</f>
        <v>Core Product Support</v>
      </c>
      <c r="Q1747" s="1" t="str">
        <f>IFERROR(__xludf.DUMMYFUNCTION("""COMPUTED_VALUE"""),"cladd@canva.com")</f>
        <v>cladd@canva.com</v>
      </c>
      <c r="R1747" s="1" t="str">
        <f>IFERROR(__xludf.DUMMYFUNCTION("""COMPUTED_VALUE"""),"Claddys Ann Bernaldez")</f>
        <v>Claddys Ann Bernaldez</v>
      </c>
      <c r="S1747" s="1">
        <f>IFERROR(__xludf.DUMMYFUNCTION("""COMPUTED_VALUE"""),1.0)</f>
        <v>1</v>
      </c>
      <c r="T1747" s="1">
        <f>IFERROR(__xludf.DUMMYFUNCTION("""COMPUTED_VALUE"""),15.7)</f>
        <v>15.7</v>
      </c>
      <c r="U1747" s="2">
        <f>IFERROR(__xludf.DUMMYFUNCTION("""COMPUTED_VALUE"""),16.7)</f>
        <v>16.7</v>
      </c>
      <c r="V1747" s="1" t="str">
        <f>IFERROR(__xludf.DUMMYFUNCTION("""COMPUTED_VALUE"""),"Jelyn Elmido")</f>
        <v>Jelyn Elmido</v>
      </c>
      <c r="W1747" s="1" t="str">
        <f>IFERROR(__xludf.DUMMYFUNCTION("""COMPUTED_VALUE"""),"Core Product Support Escalation Team")</f>
        <v>Core Product Support Escalation Team</v>
      </c>
    </row>
    <row r="1748">
      <c r="O1748" s="1" t="str">
        <f>IFERROR(__xludf.DUMMYFUNCTION("""COMPUTED_VALUE"""),"2025 Dec")</f>
        <v>2025 Dec</v>
      </c>
      <c r="P1748" s="1" t="str">
        <f>IFERROR(__xludf.DUMMYFUNCTION("""COMPUTED_VALUE"""),"Multilingual Support")</f>
        <v>Multilingual Support</v>
      </c>
      <c r="Q1748" s="1" t="str">
        <f>IFERROR(__xludf.DUMMYFUNCTION("""COMPUTED_VALUE"""),"claire.g@canva.com")</f>
        <v>claire.g@canva.com</v>
      </c>
      <c r="R1748" s="1" t="str">
        <f>IFERROR(__xludf.DUMMYFUNCTION("""COMPUTED_VALUE"""),"Claire Gado")</f>
        <v>Claire Gado</v>
      </c>
      <c r="S1748" s="1"/>
      <c r="T1748" s="1"/>
      <c r="U1748" s="2">
        <f>IFERROR(__xludf.DUMMYFUNCTION("""COMPUTED_VALUE"""),0.0)</f>
        <v>0</v>
      </c>
      <c r="V1748" s="1" t="str">
        <f>IFERROR(__xludf.DUMMYFUNCTION("""COMPUTED_VALUE"""),"Arlene Maurillo")</f>
        <v>Arlene Maurillo</v>
      </c>
      <c r="W1748" s="1" t="str">
        <f>IFERROR(__xludf.DUMMYFUNCTION("""COMPUTED_VALUE"""),"PHL, Multilingual Support")</f>
        <v>PHL, Multilingual Support</v>
      </c>
    </row>
    <row r="1749">
      <c r="O1749" s="1" t="str">
        <f>IFERROR(__xludf.DUMMYFUNCTION("""COMPUTED_VALUE"""),"2025 Dec")</f>
        <v>2025 Dec</v>
      </c>
      <c r="P1749" s="1" t="str">
        <f>IFERROR(__xludf.DUMMYFUNCTION("""COMPUTED_VALUE"""),"Print Support")</f>
        <v>Print Support</v>
      </c>
      <c r="Q1749" s="1" t="str">
        <f>IFERROR(__xludf.DUMMYFUNCTION("""COMPUTED_VALUE"""),"cyreengee@canva.com")</f>
        <v>cyreengee@canva.com</v>
      </c>
      <c r="R1749" s="1" t="str">
        <f>IFERROR(__xludf.DUMMYFUNCTION("""COMPUTED_VALUE"""),"Cye Gonzales")</f>
        <v>Cye Gonzales</v>
      </c>
      <c r="S1749" s="1"/>
      <c r="T1749" s="1">
        <f>IFERROR(__xludf.DUMMYFUNCTION("""COMPUTED_VALUE"""),1.0)</f>
        <v>1</v>
      </c>
      <c r="U1749" s="2">
        <f>IFERROR(__xludf.DUMMYFUNCTION("""COMPUTED_VALUE"""),1.0)</f>
        <v>1</v>
      </c>
      <c r="V1749" s="1" t="str">
        <f>IFERROR(__xludf.DUMMYFUNCTION("""COMPUTED_VALUE"""),"Althea Mercado")</f>
        <v>Althea Mercado</v>
      </c>
      <c r="W1749" s="1" t="str">
        <f>IFERROR(__xludf.DUMMYFUNCTION("""COMPUTED_VALUE"""),"Print Support PH")</f>
        <v>Print Support PH</v>
      </c>
    </row>
    <row r="1750">
      <c r="O1750" s="1" t="str">
        <f>IFERROR(__xludf.DUMMYFUNCTION("""COMPUTED_VALUE"""),"2025 Dec")</f>
        <v>2025 Dec</v>
      </c>
      <c r="P1750" s="1" t="str">
        <f>IFERROR(__xludf.DUMMYFUNCTION("""COMPUTED_VALUE"""),"Print Support")</f>
        <v>Print Support</v>
      </c>
      <c r="Q1750" s="1" t="str">
        <f>IFERROR(__xludf.DUMMYFUNCTION("""COMPUTED_VALUE"""),"dyter@canva.com")</f>
        <v>dyter@canva.com</v>
      </c>
      <c r="R1750" s="1" t="str">
        <f>IFERROR(__xludf.DUMMYFUNCTION("""COMPUTED_VALUE"""),"Daisy Tercenio")</f>
        <v>Daisy Tercenio</v>
      </c>
      <c r="S1750" s="1">
        <f>IFERROR(__xludf.DUMMYFUNCTION("""COMPUTED_VALUE"""),9.0)</f>
        <v>9</v>
      </c>
      <c r="T1750" s="1">
        <f>IFERROR(__xludf.DUMMYFUNCTION("""COMPUTED_VALUE"""),2.0)</f>
        <v>2</v>
      </c>
      <c r="U1750" s="2">
        <f>IFERROR(__xludf.DUMMYFUNCTION("""COMPUTED_VALUE"""),11.0)</f>
        <v>11</v>
      </c>
      <c r="V1750" s="1" t="str">
        <f>IFERROR(__xludf.DUMMYFUNCTION("""COMPUTED_VALUE"""),"Rae Erlano")</f>
        <v>Rae Erlano</v>
      </c>
      <c r="W1750" s="1" t="str">
        <f>IFERROR(__xludf.DUMMYFUNCTION("""COMPUTED_VALUE"""),"Print Support PH")</f>
        <v>Print Support PH</v>
      </c>
    </row>
    <row r="1751">
      <c r="O1751" s="1" t="str">
        <f>IFERROR(__xludf.DUMMYFUNCTION("""COMPUTED_VALUE"""),"2025 Dec")</f>
        <v>2025 Dec</v>
      </c>
      <c r="P1751" s="1" t="str">
        <f>IFERROR(__xludf.DUMMYFUNCTION("""COMPUTED_VALUE"""),"Core Product Support")</f>
        <v>Core Product Support</v>
      </c>
      <c r="Q1751" s="1" t="str">
        <f>IFERROR(__xludf.DUMMYFUNCTION("""COMPUTED_VALUE"""),"danortiz@canva.com")</f>
        <v>danortiz@canva.com</v>
      </c>
      <c r="R1751" s="1" t="str">
        <f>IFERROR(__xludf.DUMMYFUNCTION("""COMPUTED_VALUE"""),"Daniella Ortiz")</f>
        <v>Daniella Ortiz</v>
      </c>
      <c r="S1751" s="1">
        <f>IFERROR(__xludf.DUMMYFUNCTION("""COMPUTED_VALUE"""),1.0)</f>
        <v>1</v>
      </c>
      <c r="T1751" s="1">
        <f>IFERROR(__xludf.DUMMYFUNCTION("""COMPUTED_VALUE"""),1.67)</f>
        <v>1.67</v>
      </c>
      <c r="U1751" s="2">
        <f>IFERROR(__xludf.DUMMYFUNCTION("""COMPUTED_VALUE"""),2.67)</f>
        <v>2.67</v>
      </c>
      <c r="V1751" s="1" t="str">
        <f>IFERROR(__xludf.DUMMYFUNCTION("""COMPUTED_VALUE"""),"Cate Velasco")</f>
        <v>Cate Velasco</v>
      </c>
      <c r="W1751" s="1" t="str">
        <f>IFERROR(__xludf.DUMMYFUNCTION("""COMPUTED_VALUE"""),"Advanced Product Support")</f>
        <v>Advanced Product Support</v>
      </c>
    </row>
    <row r="1752">
      <c r="O1752" s="1" t="str">
        <f>IFERROR(__xludf.DUMMYFUNCTION("""COMPUTED_VALUE"""),"2025 Dec")</f>
        <v>2025 Dec</v>
      </c>
      <c r="P1752" s="1" t="str">
        <f>IFERROR(__xludf.DUMMYFUNCTION("""COMPUTED_VALUE"""),"Segment-specific Support")</f>
        <v>Segment-specific Support</v>
      </c>
      <c r="Q1752" s="1" t="str">
        <f>IFERROR(__xludf.DUMMYFUNCTION("""COMPUTED_VALUE"""),"daniellegrace@canva.com")</f>
        <v>daniellegrace@canva.com</v>
      </c>
      <c r="R1752" s="1" t="str">
        <f>IFERROR(__xludf.DUMMYFUNCTION("""COMPUTED_VALUE"""),"Danielle Marasigan")</f>
        <v>Danielle Marasigan</v>
      </c>
      <c r="S1752" s="1"/>
      <c r="T1752" s="1">
        <f>IFERROR(__xludf.DUMMYFUNCTION("""COMPUTED_VALUE"""),1.0)</f>
        <v>1</v>
      </c>
      <c r="U1752" s="2">
        <f>IFERROR(__xludf.DUMMYFUNCTION("""COMPUTED_VALUE"""),1.0)</f>
        <v>1</v>
      </c>
      <c r="V1752" s="1" t="str">
        <f>IFERROR(__xludf.DUMMYFUNCTION("""COMPUTED_VALUE"""),"Aileen Dayanghirang")</f>
        <v>Aileen Dayanghirang</v>
      </c>
      <c r="W1752" s="1" t="str">
        <f>IFERROR(__xludf.DUMMYFUNCTION("""COMPUTED_VALUE"""),"Creators Support")</f>
        <v>Creators Support</v>
      </c>
    </row>
    <row r="1753">
      <c r="O1753" s="1" t="str">
        <f>IFERROR(__xludf.DUMMYFUNCTION("""COMPUTED_VALUE"""),"2025 Dec")</f>
        <v>2025 Dec</v>
      </c>
      <c r="P1753" s="1" t="str">
        <f>IFERROR(__xludf.DUMMYFUNCTION("""COMPUTED_VALUE"""),"Admin Support")</f>
        <v>Admin Support</v>
      </c>
      <c r="Q1753" s="1" t="str">
        <f>IFERROR(__xludf.DUMMYFUNCTION("""COMPUTED_VALUE"""),"dannah@canva.com")</f>
        <v>dannah@canva.com</v>
      </c>
      <c r="R1753" s="1" t="str">
        <f>IFERROR(__xludf.DUMMYFUNCTION("""COMPUTED_VALUE"""),"Dannah Kate Dizon")</f>
        <v>Dannah Kate Dizon</v>
      </c>
      <c r="S1753" s="1"/>
      <c r="T1753" s="1">
        <f>IFERROR(__xludf.DUMMYFUNCTION("""COMPUTED_VALUE"""),6.0)</f>
        <v>6</v>
      </c>
      <c r="U1753" s="2">
        <f>IFERROR(__xludf.DUMMYFUNCTION("""COMPUTED_VALUE"""),6.0)</f>
        <v>6</v>
      </c>
      <c r="V1753" s="1" t="str">
        <f>IFERROR(__xludf.DUMMYFUNCTION("""COMPUTED_VALUE"""),"Karla Mananghaya")</f>
        <v>Karla Mananghaya</v>
      </c>
      <c r="W1753" s="1" t="str">
        <f>IFERROR(__xludf.DUMMYFUNCTION("""COMPUTED_VALUE"""),"Admin Support Service Escalation Team")</f>
        <v>Admin Support Service Escalation Team</v>
      </c>
    </row>
    <row r="1754">
      <c r="O1754" s="1" t="str">
        <f>IFERROR(__xludf.DUMMYFUNCTION("""COMPUTED_VALUE"""),"2025 Dec")</f>
        <v>2025 Dec</v>
      </c>
      <c r="P1754" s="1" t="str">
        <f>IFERROR(__xludf.DUMMYFUNCTION("""COMPUTED_VALUE"""),"High Sensitivity Support")</f>
        <v>High Sensitivity Support</v>
      </c>
      <c r="Q1754" s="1" t="str">
        <f>IFERROR(__xludf.DUMMYFUNCTION("""COMPUTED_VALUE"""),"danrev@canva.com")</f>
        <v>danrev@canva.com</v>
      </c>
      <c r="R1754" s="1" t="str">
        <f>IFERROR(__xludf.DUMMYFUNCTION("""COMPUTED_VALUE"""),"Danrev Bactad")</f>
        <v>Danrev Bactad</v>
      </c>
      <c r="S1754" s="1">
        <f>IFERROR(__xludf.DUMMYFUNCTION("""COMPUTED_VALUE"""),11.67)</f>
        <v>11.67</v>
      </c>
      <c r="T1754" s="1">
        <f>IFERROR(__xludf.DUMMYFUNCTION("""COMPUTED_VALUE"""),1.67)</f>
        <v>1.67</v>
      </c>
      <c r="U1754" s="2">
        <f>IFERROR(__xludf.DUMMYFUNCTION("""COMPUTED_VALUE"""),13.34)</f>
        <v>13.34</v>
      </c>
      <c r="V1754" s="1" t="str">
        <f>IFERROR(__xludf.DUMMYFUNCTION("""COMPUTED_VALUE"""),"Xandy Azarcon")</f>
        <v>Xandy Azarcon</v>
      </c>
      <c r="W1754" s="1" t="str">
        <f>IFERROR(__xludf.DUMMYFUNCTION("""COMPUTED_VALUE"""),"High Sensitivity Support PH")</f>
        <v>High Sensitivity Support PH</v>
      </c>
    </row>
    <row r="1755">
      <c r="O1755" s="1" t="str">
        <f>IFERROR(__xludf.DUMMYFUNCTION("""COMPUTED_VALUE"""),"2025 Dec")</f>
        <v>2025 Dec</v>
      </c>
      <c r="P1755" s="1" t="str">
        <f>IFERROR(__xludf.DUMMYFUNCTION("""COMPUTED_VALUE"""),"Print Support")</f>
        <v>Print Support</v>
      </c>
      <c r="Q1755" s="1" t="str">
        <f>IFERROR(__xludf.DUMMYFUNCTION("""COMPUTED_VALUE"""),"daphne@canva.com")</f>
        <v>daphne@canva.com</v>
      </c>
      <c r="R1755" s="1" t="str">
        <f>IFERROR(__xludf.DUMMYFUNCTION("""COMPUTED_VALUE"""),"Daphne Arboleda")</f>
        <v>Daphne Arboleda</v>
      </c>
      <c r="S1755" s="1">
        <f>IFERROR(__xludf.DUMMYFUNCTION("""COMPUTED_VALUE"""),6.0)</f>
        <v>6</v>
      </c>
      <c r="T1755" s="1">
        <f>IFERROR(__xludf.DUMMYFUNCTION("""COMPUTED_VALUE"""),2.0)</f>
        <v>2</v>
      </c>
      <c r="U1755" s="2">
        <f>IFERROR(__xludf.DUMMYFUNCTION("""COMPUTED_VALUE"""),8.0)</f>
        <v>8</v>
      </c>
      <c r="V1755" s="1" t="str">
        <f>IFERROR(__xludf.DUMMYFUNCTION("""COMPUTED_VALUE"""),"Memae Faustino")</f>
        <v>Memae Faustino</v>
      </c>
      <c r="W1755" s="1" t="str">
        <f>IFERROR(__xludf.DUMMYFUNCTION("""COMPUTED_VALUE"""),"Print Support PH")</f>
        <v>Print Support PH</v>
      </c>
    </row>
    <row r="1756">
      <c r="O1756" s="1" t="str">
        <f>IFERROR(__xludf.DUMMYFUNCTION("""COMPUTED_VALUE"""),"2025 Dec")</f>
        <v>2025 Dec</v>
      </c>
      <c r="P1756" s="1" t="str">
        <f>IFERROR(__xludf.DUMMYFUNCTION("""COMPUTED_VALUE"""),"High Sensitivity Support")</f>
        <v>High Sensitivity Support</v>
      </c>
      <c r="Q1756" s="1" t="str">
        <f>IFERROR(__xludf.DUMMYFUNCTION("""COMPUTED_VALUE"""),"darrelm@canva.com")</f>
        <v>darrelm@canva.com</v>
      </c>
      <c r="R1756" s="1" t="str">
        <f>IFERROR(__xludf.DUMMYFUNCTION("""COMPUTED_VALUE"""),"Darrel Marcelino")</f>
        <v>Darrel Marcelino</v>
      </c>
      <c r="S1756" s="1"/>
      <c r="T1756" s="1">
        <f>IFERROR(__xludf.DUMMYFUNCTION("""COMPUTED_VALUE"""),1.47)</f>
        <v>1.47</v>
      </c>
      <c r="U1756" s="2">
        <f>IFERROR(__xludf.DUMMYFUNCTION("""COMPUTED_VALUE"""),1.47)</f>
        <v>1.47</v>
      </c>
      <c r="V1756" s="1" t="str">
        <f>IFERROR(__xludf.DUMMYFUNCTION("""COMPUTED_VALUE"""),"Issi Afable")</f>
        <v>Issi Afable</v>
      </c>
      <c r="W1756" s="1" t="str">
        <f>IFERROR(__xludf.DUMMYFUNCTION("""COMPUTED_VALUE"""),"High Sensitivity Support PH")</f>
        <v>High Sensitivity Support PH</v>
      </c>
    </row>
    <row r="1757">
      <c r="O1757" s="1" t="str">
        <f>IFERROR(__xludf.DUMMYFUNCTION("""COMPUTED_VALUE"""),"2025 Dec")</f>
        <v>2025 Dec</v>
      </c>
      <c r="P1757" s="1" t="str">
        <f>IFERROR(__xludf.DUMMYFUNCTION("""COMPUTED_VALUE"""),"Core Product Support")</f>
        <v>Core Product Support</v>
      </c>
      <c r="Q1757" s="1" t="str">
        <f>IFERROR(__xludf.DUMMYFUNCTION("""COMPUTED_VALUE"""),"davecosteloii@canva.com")</f>
        <v>davecosteloii@canva.com</v>
      </c>
      <c r="R1757" s="1" t="str">
        <f>IFERROR(__xludf.DUMMYFUNCTION("""COMPUTED_VALUE"""),"Dave Costelo")</f>
        <v>Dave Costelo</v>
      </c>
      <c r="S1757" s="1">
        <f>IFERROR(__xludf.DUMMYFUNCTION("""COMPUTED_VALUE"""),2.0)</f>
        <v>2</v>
      </c>
      <c r="T1757" s="1">
        <f>IFERROR(__xludf.DUMMYFUNCTION("""COMPUTED_VALUE"""),7.17)</f>
        <v>7.17</v>
      </c>
      <c r="U1757" s="2">
        <f>IFERROR(__xludf.DUMMYFUNCTION("""COMPUTED_VALUE"""),9.17)</f>
        <v>9.17</v>
      </c>
      <c r="V1757" s="1" t="str">
        <f>IFERROR(__xludf.DUMMYFUNCTION("""COMPUTED_VALUE"""),"Jahmie Mae Barrameda")</f>
        <v>Jahmie Mae Barrameda</v>
      </c>
      <c r="W1757" s="1" t="str">
        <f>IFERROR(__xludf.DUMMYFUNCTION("""COMPUTED_VALUE"""),"Advanced Billing &amp; Subscriptions")</f>
        <v>Advanced Billing &amp; Subscriptions</v>
      </c>
    </row>
    <row r="1758">
      <c r="O1758" s="1" t="str">
        <f>IFERROR(__xludf.DUMMYFUNCTION("""COMPUTED_VALUE"""),"2025 Dec")</f>
        <v>2025 Dec</v>
      </c>
      <c r="P1758" s="1" t="str">
        <f>IFERROR(__xludf.DUMMYFUNCTION("""COMPUTED_VALUE"""),"Admin Support")</f>
        <v>Admin Support</v>
      </c>
      <c r="Q1758" s="1" t="str">
        <f>IFERROR(__xludf.DUMMYFUNCTION("""COMPUTED_VALUE"""),"davidfrancis@canva.com")</f>
        <v>davidfrancis@canva.com</v>
      </c>
      <c r="R1758" s="1" t="str">
        <f>IFERROR(__xludf.DUMMYFUNCTION("""COMPUTED_VALUE"""),"David Francis Dimatulac")</f>
        <v>David Francis Dimatulac</v>
      </c>
      <c r="S1758" s="1"/>
      <c r="T1758" s="1">
        <f>IFERROR(__xludf.DUMMYFUNCTION("""COMPUTED_VALUE"""),8.25)</f>
        <v>8.25</v>
      </c>
      <c r="U1758" s="2">
        <f>IFERROR(__xludf.DUMMYFUNCTION("""COMPUTED_VALUE"""),8.25)</f>
        <v>8.25</v>
      </c>
      <c r="V1758" s="1" t="str">
        <f>IFERROR(__xludf.DUMMYFUNCTION("""COMPUTED_VALUE"""),"Karla Mananghaya")</f>
        <v>Karla Mananghaya</v>
      </c>
      <c r="W1758" s="1" t="str">
        <f>IFERROR(__xludf.DUMMYFUNCTION("""COMPUTED_VALUE"""),"Admin Support Service Escalation Team")</f>
        <v>Admin Support Service Escalation Team</v>
      </c>
    </row>
    <row r="1759">
      <c r="O1759" s="1" t="str">
        <f>IFERROR(__xludf.DUMMYFUNCTION("""COMPUTED_VALUE"""),"2025 Dec")</f>
        <v>2025 Dec</v>
      </c>
      <c r="P1759" s="1" t="str">
        <f>IFERROR(__xludf.DUMMYFUNCTION("""COMPUTED_VALUE"""),"Core Product Support")</f>
        <v>Core Product Support</v>
      </c>
      <c r="Q1759" s="1" t="str">
        <f>IFERROR(__xludf.DUMMYFUNCTION("""COMPUTED_VALUE"""),"denden@canva.com")</f>
        <v>denden@canva.com</v>
      </c>
      <c r="R1759" s="1" t="str">
        <f>IFERROR(__xludf.DUMMYFUNCTION("""COMPUTED_VALUE"""),"Den Gutierrez")</f>
        <v>Den Gutierrez</v>
      </c>
      <c r="S1759" s="1">
        <f>IFERROR(__xludf.DUMMYFUNCTION("""COMPUTED_VALUE"""),0.5)</f>
        <v>0.5</v>
      </c>
      <c r="T1759" s="1">
        <f>IFERROR(__xludf.DUMMYFUNCTION("""COMPUTED_VALUE"""),16.42)</f>
        <v>16.42</v>
      </c>
      <c r="U1759" s="2">
        <f>IFERROR(__xludf.DUMMYFUNCTION("""COMPUTED_VALUE"""),16.92)</f>
        <v>16.92</v>
      </c>
      <c r="V1759" s="1" t="str">
        <f>IFERROR(__xludf.DUMMYFUNCTION("""COMPUTED_VALUE"""),"Sieg Ballelos")</f>
        <v>Sieg Ballelos</v>
      </c>
      <c r="W1759" s="1" t="str">
        <f>IFERROR(__xludf.DUMMYFUNCTION("""COMPUTED_VALUE"""),"Core Product Support Escalation Team")</f>
        <v>Core Product Support Escalation Team</v>
      </c>
    </row>
    <row r="1760">
      <c r="O1760" s="1" t="str">
        <f>IFERROR(__xludf.DUMMYFUNCTION("""COMPUTED_VALUE"""),"2025 Dec")</f>
        <v>2025 Dec</v>
      </c>
      <c r="P1760" s="1" t="str">
        <f>IFERROR(__xludf.DUMMYFUNCTION("""COMPUTED_VALUE"""),"Core Product Support")</f>
        <v>Core Product Support</v>
      </c>
      <c r="Q1760" s="1" t="str">
        <f>IFERROR(__xludf.DUMMYFUNCTION("""COMPUTED_VALUE"""),"deniseadrms@canva.com")</f>
        <v>deniseadrms@canva.com</v>
      </c>
      <c r="R1760" s="1" t="str">
        <f>IFERROR(__xludf.DUMMYFUNCTION("""COMPUTED_VALUE"""),"Denise Adoremos")</f>
        <v>Denise Adoremos</v>
      </c>
      <c r="S1760" s="1">
        <f>IFERROR(__xludf.DUMMYFUNCTION("""COMPUTED_VALUE"""),1.5)</f>
        <v>1.5</v>
      </c>
      <c r="T1760" s="1">
        <f>IFERROR(__xludf.DUMMYFUNCTION("""COMPUTED_VALUE"""),2.25)</f>
        <v>2.25</v>
      </c>
      <c r="U1760" s="2">
        <f>IFERROR(__xludf.DUMMYFUNCTION("""COMPUTED_VALUE"""),3.75)</f>
        <v>3.75</v>
      </c>
      <c r="V1760" s="1" t="str">
        <f>IFERROR(__xludf.DUMMYFUNCTION("""COMPUTED_VALUE"""),"Ana Lazaro")</f>
        <v>Ana Lazaro</v>
      </c>
      <c r="W1760" s="1" t="str">
        <f>IFERROR(__xludf.DUMMYFUNCTION("""COMPUTED_VALUE"""),"Advanced Billing &amp; Subscriptions")</f>
        <v>Advanced Billing &amp; Subscriptions</v>
      </c>
    </row>
    <row r="1761">
      <c r="O1761" s="1" t="str">
        <f>IFERROR(__xludf.DUMMYFUNCTION("""COMPUTED_VALUE"""),"2025 Dec")</f>
        <v>2025 Dec</v>
      </c>
      <c r="P1761" s="1" t="str">
        <f>IFERROR(__xludf.DUMMYFUNCTION("""COMPUTED_VALUE"""),"Segment-specific Support")</f>
        <v>Segment-specific Support</v>
      </c>
      <c r="Q1761" s="1" t="str">
        <f>IFERROR(__xludf.DUMMYFUNCTION("""COMPUTED_VALUE"""),"dymplem@canva.com")</f>
        <v>dymplem@canva.com</v>
      </c>
      <c r="R1761" s="1" t="str">
        <f>IFERROR(__xludf.DUMMYFUNCTION("""COMPUTED_VALUE"""),"Dymple Macaraeg")</f>
        <v>Dymple Macaraeg</v>
      </c>
      <c r="S1761" s="1">
        <f>IFERROR(__xludf.DUMMYFUNCTION("""COMPUTED_VALUE"""),1.5)</f>
        <v>1.5</v>
      </c>
      <c r="T1761" s="1">
        <f>IFERROR(__xludf.DUMMYFUNCTION("""COMPUTED_VALUE"""),1.25)</f>
        <v>1.25</v>
      </c>
      <c r="U1761" s="2">
        <f>IFERROR(__xludf.DUMMYFUNCTION("""COMPUTED_VALUE"""),2.75)</f>
        <v>2.75</v>
      </c>
      <c r="V1761" s="1" t="str">
        <f>IFERROR(__xludf.DUMMYFUNCTION("""COMPUTED_VALUE"""),"Rose Gabilan")</f>
        <v>Rose Gabilan</v>
      </c>
      <c r="W1761" s="1" t="str">
        <f>IFERROR(__xludf.DUMMYFUNCTION("""COMPUTED_VALUE"""),"Affinity Support")</f>
        <v>Affinity Support</v>
      </c>
    </row>
    <row r="1762">
      <c r="O1762" s="1" t="str">
        <f>IFERROR(__xludf.DUMMYFUNCTION("""COMPUTED_VALUE"""),"2025 Dec")</f>
        <v>2025 Dec</v>
      </c>
      <c r="P1762" s="1" t="str">
        <f>IFERROR(__xludf.DUMMYFUNCTION("""COMPUTED_VALUE"""),"Admin Support")</f>
        <v>Admin Support</v>
      </c>
      <c r="Q1762" s="1" t="str">
        <f>IFERROR(__xludf.DUMMYFUNCTION("""COMPUTED_VALUE"""),"edlico@canva.com")</f>
        <v>edlico@canva.com</v>
      </c>
      <c r="R1762" s="1" t="str">
        <f>IFERROR(__xludf.DUMMYFUNCTION("""COMPUTED_VALUE"""),"Ed Lico")</f>
        <v>Ed Lico</v>
      </c>
      <c r="S1762" s="1"/>
      <c r="T1762" s="1">
        <f>IFERROR(__xludf.DUMMYFUNCTION("""COMPUTED_VALUE"""),11.58)</f>
        <v>11.58</v>
      </c>
      <c r="U1762" s="2">
        <f>IFERROR(__xludf.DUMMYFUNCTION("""COMPUTED_VALUE"""),11.58)</f>
        <v>11.58</v>
      </c>
      <c r="V1762" s="1" t="str">
        <f>IFERROR(__xludf.DUMMYFUNCTION("""COMPUTED_VALUE"""),"Pau Palmero")</f>
        <v>Pau Palmero</v>
      </c>
      <c r="W1762" s="1" t="str">
        <f>IFERROR(__xludf.DUMMYFUNCTION("""COMPUTED_VALUE"""),"Admin Omni Support")</f>
        <v>Admin Omni Support</v>
      </c>
    </row>
    <row r="1763">
      <c r="O1763" s="1" t="str">
        <f>IFERROR(__xludf.DUMMYFUNCTION("""COMPUTED_VALUE"""),"2025 Dec")</f>
        <v>2025 Dec</v>
      </c>
      <c r="P1763" s="1" t="str">
        <f>IFERROR(__xludf.DUMMYFUNCTION("""COMPUTED_VALUE"""),"Multilingual Support")</f>
        <v>Multilingual Support</v>
      </c>
      <c r="Q1763" s="1" t="str">
        <f>IFERROR(__xludf.DUMMYFUNCTION("""COMPUTED_VALUE"""),"elmata@canva.com")</f>
        <v>elmata@canva.com</v>
      </c>
      <c r="R1763" s="1" t="str">
        <f>IFERROR(__xludf.DUMMYFUNCTION("""COMPUTED_VALUE"""),"Elmer Matarlo")</f>
        <v>Elmer Matarlo</v>
      </c>
      <c r="S1763" s="1"/>
      <c r="T1763" s="1"/>
      <c r="U1763" s="2">
        <f>IFERROR(__xludf.DUMMYFUNCTION("""COMPUTED_VALUE"""),0.0)</f>
        <v>0</v>
      </c>
      <c r="V1763" s="1" t="str">
        <f>IFERROR(__xludf.DUMMYFUNCTION("""COMPUTED_VALUE"""),"Arlene Maurillo")</f>
        <v>Arlene Maurillo</v>
      </c>
      <c r="W1763" s="1" t="str">
        <f>IFERROR(__xludf.DUMMYFUNCTION("""COMPUTED_VALUE"""),"PHL, Multilingual Support")</f>
        <v>PHL, Multilingual Support</v>
      </c>
    </row>
    <row r="1764">
      <c r="O1764" s="1" t="str">
        <f>IFERROR(__xludf.DUMMYFUNCTION("""COMPUTED_VALUE"""),"2025 Dec")</f>
        <v>2025 Dec</v>
      </c>
      <c r="P1764" s="1" t="str">
        <f>IFERROR(__xludf.DUMMYFUNCTION("""COMPUTED_VALUE"""),"#N/A")</f>
        <v>#N/A</v>
      </c>
      <c r="Q1764" s="1" t="str">
        <f>IFERROR(__xludf.DUMMYFUNCTION("""COMPUTED_VALUE"""),"emdavid@canva.com")</f>
        <v>emdavid@canva.com</v>
      </c>
      <c r="R1764" s="1" t="str">
        <f>IFERROR(__xludf.DUMMYFUNCTION("""COMPUTED_VALUE"""),"Em David")</f>
        <v>Em David</v>
      </c>
      <c r="S1764" s="1"/>
      <c r="T1764" s="1"/>
      <c r="U1764" s="2">
        <f>IFERROR(__xludf.DUMMYFUNCTION("""COMPUTED_VALUE"""),0.0)</f>
        <v>0</v>
      </c>
      <c r="V1764" s="1" t="str">
        <f>IFERROR(__xludf.DUMMYFUNCTION("""COMPUTED_VALUE"""),"Vianca De Jesus")</f>
        <v>Vianca De Jesus</v>
      </c>
      <c r="W1764" s="1" t="str">
        <f>IFERROR(__xludf.DUMMYFUNCTION("""COMPUTED_VALUE"""),"Advanced Billing &amp; Subscriptions")</f>
        <v>Advanced Billing &amp; Subscriptions</v>
      </c>
    </row>
    <row r="1765">
      <c r="O1765" s="1" t="str">
        <f>IFERROR(__xludf.DUMMYFUNCTION("""COMPUTED_VALUE"""),"2025 Dec")</f>
        <v>2025 Dec</v>
      </c>
      <c r="P1765" s="1" t="str">
        <f>IFERROR(__xludf.DUMMYFUNCTION("""COMPUTED_VALUE"""),"Core Product Support")</f>
        <v>Core Product Support</v>
      </c>
      <c r="Q1765" s="1" t="str">
        <f>IFERROR(__xludf.DUMMYFUNCTION("""COMPUTED_VALUE"""),"ena@canva.com")</f>
        <v>ena@canva.com</v>
      </c>
      <c r="R1765" s="1" t="str">
        <f>IFERROR(__xludf.DUMMYFUNCTION("""COMPUTED_VALUE"""),"Ena Reyes")</f>
        <v>Ena Reyes</v>
      </c>
      <c r="S1765" s="1">
        <f>IFERROR(__xludf.DUMMYFUNCTION("""COMPUTED_VALUE"""),1.0)</f>
        <v>1</v>
      </c>
      <c r="T1765" s="1">
        <f>IFERROR(__xludf.DUMMYFUNCTION("""COMPUTED_VALUE"""),1.5)</f>
        <v>1.5</v>
      </c>
      <c r="U1765" s="2">
        <f>IFERROR(__xludf.DUMMYFUNCTION("""COMPUTED_VALUE"""),2.5)</f>
        <v>2.5</v>
      </c>
      <c r="V1765" s="1" t="str">
        <f>IFERROR(__xludf.DUMMYFUNCTION("""COMPUTED_VALUE"""),"Jem Mondoñedo")</f>
        <v>Jem Mondoñedo</v>
      </c>
      <c r="W1765" s="1" t="str">
        <f>IFERROR(__xludf.DUMMYFUNCTION("""COMPUTED_VALUE"""),"Advanced Billing &amp; Subscriptions")</f>
        <v>Advanced Billing &amp; Subscriptions</v>
      </c>
    </row>
    <row r="1766">
      <c r="O1766" s="1" t="str">
        <f>IFERROR(__xludf.DUMMYFUNCTION("""COMPUTED_VALUE"""),"2025 Dec")</f>
        <v>2025 Dec</v>
      </c>
      <c r="P1766" s="1" t="str">
        <f>IFERROR(__xludf.DUMMYFUNCTION("""COMPUTED_VALUE"""),"Admin Support")</f>
        <v>Admin Support</v>
      </c>
      <c r="Q1766" s="1" t="str">
        <f>IFERROR(__xludf.DUMMYFUNCTION("""COMPUTED_VALUE"""),"enrique@canva.com")</f>
        <v>enrique@canva.com</v>
      </c>
      <c r="R1766" s="1" t="str">
        <f>IFERROR(__xludf.DUMMYFUNCTION("""COMPUTED_VALUE"""),"Enrique Paolo Catuncan")</f>
        <v>Enrique Paolo Catuncan</v>
      </c>
      <c r="S1766" s="1"/>
      <c r="T1766" s="1">
        <f>IFERROR(__xludf.DUMMYFUNCTION("""COMPUTED_VALUE"""),15.5)</f>
        <v>15.5</v>
      </c>
      <c r="U1766" s="2">
        <f>IFERROR(__xludf.DUMMYFUNCTION("""COMPUTED_VALUE"""),15.5)</f>
        <v>15.5</v>
      </c>
      <c r="V1766" s="1" t="str">
        <f>IFERROR(__xludf.DUMMYFUNCTION("""COMPUTED_VALUE"""),"AL Suarez")</f>
        <v>AL Suarez</v>
      </c>
      <c r="W1766" s="1" t="str">
        <f>IFERROR(__xludf.DUMMYFUNCTION("""COMPUTED_VALUE"""),"Admin Direct Support")</f>
        <v>Admin Direct Support</v>
      </c>
    </row>
    <row r="1767">
      <c r="O1767" s="1" t="str">
        <f>IFERROR(__xludf.DUMMYFUNCTION("""COMPUTED_VALUE"""),"2025 Dec")</f>
        <v>2025 Dec</v>
      </c>
      <c r="P1767" s="1" t="str">
        <f>IFERROR(__xludf.DUMMYFUNCTION("""COMPUTED_VALUE"""),"Print Support")</f>
        <v>Print Support</v>
      </c>
      <c r="Q1767" s="1" t="str">
        <f>IFERROR(__xludf.DUMMYFUNCTION("""COMPUTED_VALUE"""),"erielle@canva.com")</f>
        <v>erielle@canva.com</v>
      </c>
      <c r="R1767" s="1" t="str">
        <f>IFERROR(__xludf.DUMMYFUNCTION("""COMPUTED_VALUE"""),"Erielle Singular")</f>
        <v>Erielle Singular</v>
      </c>
      <c r="S1767" s="1"/>
      <c r="T1767" s="1">
        <f>IFERROR(__xludf.DUMMYFUNCTION("""COMPUTED_VALUE"""),2.25)</f>
        <v>2.25</v>
      </c>
      <c r="U1767" s="2">
        <f>IFERROR(__xludf.DUMMYFUNCTION("""COMPUTED_VALUE"""),2.25)</f>
        <v>2.25</v>
      </c>
      <c r="V1767" s="1" t="str">
        <f>IFERROR(__xludf.DUMMYFUNCTION("""COMPUTED_VALUE"""),"Rei De Jesus")</f>
        <v>Rei De Jesus</v>
      </c>
      <c r="W1767" s="1" t="str">
        <f>IFERROR(__xludf.DUMMYFUNCTION("""COMPUTED_VALUE"""),"Print Design Support")</f>
        <v>Print Design Support</v>
      </c>
    </row>
    <row r="1768">
      <c r="O1768" s="1" t="str">
        <f>IFERROR(__xludf.DUMMYFUNCTION("""COMPUTED_VALUE"""),"2025 Dec")</f>
        <v>2025 Dec</v>
      </c>
      <c r="P1768" s="1" t="str">
        <f>IFERROR(__xludf.DUMMYFUNCTION("""COMPUTED_VALUE"""),"Core Product Support")</f>
        <v>Core Product Support</v>
      </c>
      <c r="Q1768" s="1" t="str">
        <f>IFERROR(__xludf.DUMMYFUNCTION("""COMPUTED_VALUE"""),"euni@canva.com")</f>
        <v>euni@canva.com</v>
      </c>
      <c r="R1768" s="1" t="str">
        <f>IFERROR(__xludf.DUMMYFUNCTION("""COMPUTED_VALUE"""),"Eunice Hachero")</f>
        <v>Eunice Hachero</v>
      </c>
      <c r="S1768" s="1">
        <f>IFERROR(__xludf.DUMMYFUNCTION("""COMPUTED_VALUE"""),1.5)</f>
        <v>1.5</v>
      </c>
      <c r="T1768" s="1">
        <f>IFERROR(__xludf.DUMMYFUNCTION("""COMPUTED_VALUE"""),1.0)</f>
        <v>1</v>
      </c>
      <c r="U1768" s="2">
        <f>IFERROR(__xludf.DUMMYFUNCTION("""COMPUTED_VALUE"""),2.5)</f>
        <v>2.5</v>
      </c>
      <c r="V1768" s="1" t="str">
        <f>IFERROR(__xludf.DUMMYFUNCTION("""COMPUTED_VALUE"""),"Marie Mordeno")</f>
        <v>Marie Mordeno</v>
      </c>
      <c r="W1768" s="1" t="str">
        <f>IFERROR(__xludf.DUMMYFUNCTION("""COMPUTED_VALUE"""),"Advanced Billing &amp; Subscriptions")</f>
        <v>Advanced Billing &amp; Subscriptions</v>
      </c>
    </row>
    <row r="1769">
      <c r="O1769" s="1" t="str">
        <f>IFERROR(__xludf.DUMMYFUNCTION("""COMPUTED_VALUE"""),"2025 Dec")</f>
        <v>2025 Dec</v>
      </c>
      <c r="P1769" s="1" t="str">
        <f>IFERROR(__xludf.DUMMYFUNCTION("""COMPUTED_VALUE"""),"Admin Support")</f>
        <v>Admin Support</v>
      </c>
      <c r="Q1769" s="1" t="str">
        <f>IFERROR(__xludf.DUMMYFUNCTION("""COMPUTED_VALUE"""),"eziecl@canva.com")</f>
        <v>eziecl@canva.com</v>
      </c>
      <c r="R1769" s="1" t="str">
        <f>IFERROR(__xludf.DUMMYFUNCTION("""COMPUTED_VALUE"""),"Ezekiel Marlin Lacson")</f>
        <v>Ezekiel Marlin Lacson</v>
      </c>
      <c r="S1769" s="1"/>
      <c r="T1769" s="1">
        <f>IFERROR(__xludf.DUMMYFUNCTION("""COMPUTED_VALUE"""),4.75)</f>
        <v>4.75</v>
      </c>
      <c r="U1769" s="2">
        <f>IFERROR(__xludf.DUMMYFUNCTION("""COMPUTED_VALUE"""),4.75)</f>
        <v>4.75</v>
      </c>
      <c r="V1769" s="1" t="str">
        <f>IFERROR(__xludf.DUMMYFUNCTION("""COMPUTED_VALUE"""),"Pau Palmero")</f>
        <v>Pau Palmero</v>
      </c>
      <c r="W1769" s="1" t="str">
        <f>IFERROR(__xludf.DUMMYFUNCTION("""COMPUTED_VALUE"""),"Admin Omni Support")</f>
        <v>Admin Omni Support</v>
      </c>
    </row>
    <row r="1770">
      <c r="O1770" s="1" t="str">
        <f>IFERROR(__xludf.DUMMYFUNCTION("""COMPUTED_VALUE"""),"2025 Dec")</f>
        <v>2025 Dec</v>
      </c>
      <c r="P1770" s="1" t="str">
        <f>IFERROR(__xludf.DUMMYFUNCTION("""COMPUTED_VALUE"""),"Print Support")</f>
        <v>Print Support</v>
      </c>
      <c r="Q1770" s="1" t="str">
        <f>IFERROR(__xludf.DUMMYFUNCTION("""COMPUTED_VALUE"""),"faith@canva.com")</f>
        <v>faith@canva.com</v>
      </c>
      <c r="R1770" s="1" t="str">
        <f>IFERROR(__xludf.DUMMYFUNCTION("""COMPUTED_VALUE"""),"Faith Ytang")</f>
        <v>Faith Ytang</v>
      </c>
      <c r="S1770" s="1">
        <f>IFERROR(__xludf.DUMMYFUNCTION("""COMPUTED_VALUE"""),9.0)</f>
        <v>9</v>
      </c>
      <c r="T1770" s="1">
        <f>IFERROR(__xludf.DUMMYFUNCTION("""COMPUTED_VALUE"""),2.0)</f>
        <v>2</v>
      </c>
      <c r="U1770" s="2">
        <f>IFERROR(__xludf.DUMMYFUNCTION("""COMPUTED_VALUE"""),11.0)</f>
        <v>11</v>
      </c>
      <c r="V1770" s="1" t="str">
        <f>IFERROR(__xludf.DUMMYFUNCTION("""COMPUTED_VALUE"""),"Memae Faustino")</f>
        <v>Memae Faustino</v>
      </c>
      <c r="W1770" s="1" t="str">
        <f>IFERROR(__xludf.DUMMYFUNCTION("""COMPUTED_VALUE"""),"Print Support PH")</f>
        <v>Print Support PH</v>
      </c>
    </row>
    <row r="1771">
      <c r="O1771" s="1" t="str">
        <f>IFERROR(__xludf.DUMMYFUNCTION("""COMPUTED_VALUE"""),"2025 Dec")</f>
        <v>2025 Dec</v>
      </c>
      <c r="P1771" s="1" t="str">
        <f>IFERROR(__xludf.DUMMYFUNCTION("""COMPUTED_VALUE"""),"Multilingual Support")</f>
        <v>Multilingual Support</v>
      </c>
      <c r="Q1771" s="1" t="str">
        <f>IFERROR(__xludf.DUMMYFUNCTION("""COMPUTED_VALUE"""),"francescamat@canva.com")</f>
        <v>francescamat@canva.com</v>
      </c>
      <c r="R1771" s="1" t="str">
        <f>IFERROR(__xludf.DUMMYFUNCTION("""COMPUTED_VALUE"""),"Francesca Mat")</f>
        <v>Francesca Mat</v>
      </c>
      <c r="S1771" s="1"/>
      <c r="T1771" s="1"/>
      <c r="U1771" s="2">
        <f>IFERROR(__xludf.DUMMYFUNCTION("""COMPUTED_VALUE"""),0.0)</f>
        <v>0</v>
      </c>
      <c r="V1771" s="1" t="str">
        <f>IFERROR(__xludf.DUMMYFUNCTION("""COMPUTED_VALUE"""),"Arlene Maurillo")</f>
        <v>Arlene Maurillo</v>
      </c>
      <c r="W1771" s="1" t="str">
        <f>IFERROR(__xludf.DUMMYFUNCTION("""COMPUTED_VALUE"""),"PHL, Multilingual Support")</f>
        <v>PHL, Multilingual Support</v>
      </c>
    </row>
    <row r="1772">
      <c r="O1772" s="1" t="str">
        <f>IFERROR(__xludf.DUMMYFUNCTION("""COMPUTED_VALUE"""),"2025 Dec")</f>
        <v>2025 Dec</v>
      </c>
      <c r="P1772" s="1" t="str">
        <f>IFERROR(__xludf.DUMMYFUNCTION("""COMPUTED_VALUE"""),"Core Product Support")</f>
        <v>Core Product Support</v>
      </c>
      <c r="Q1772" s="1" t="str">
        <f>IFERROR(__xludf.DUMMYFUNCTION("""COMPUTED_VALUE"""),"fweill@canva.com")</f>
        <v>fweill@canva.com</v>
      </c>
      <c r="R1772" s="1" t="str">
        <f>IFERROR(__xludf.DUMMYFUNCTION("""COMPUTED_VALUE"""),"Frank Weill")</f>
        <v>Frank Weill</v>
      </c>
      <c r="S1772" s="1">
        <f>IFERROR(__xludf.DUMMYFUNCTION("""COMPUTED_VALUE"""),1.25)</f>
        <v>1.25</v>
      </c>
      <c r="T1772" s="1">
        <f>IFERROR(__xludf.DUMMYFUNCTION("""COMPUTED_VALUE"""),1.5)</f>
        <v>1.5</v>
      </c>
      <c r="U1772" s="2">
        <f>IFERROR(__xludf.DUMMYFUNCTION("""COMPUTED_VALUE"""),2.75)</f>
        <v>2.75</v>
      </c>
      <c r="V1772" s="1" t="str">
        <f>IFERROR(__xludf.DUMMYFUNCTION("""COMPUTED_VALUE"""),"Manee Barrasa")</f>
        <v>Manee Barrasa</v>
      </c>
      <c r="W1772" s="1" t="str">
        <f>IFERROR(__xludf.DUMMYFUNCTION("""COMPUTED_VALUE"""),"Advanced Billing &amp; Subscriptions")</f>
        <v>Advanced Billing &amp; Subscriptions</v>
      </c>
    </row>
    <row r="1773">
      <c r="O1773" s="1" t="str">
        <f>IFERROR(__xludf.DUMMYFUNCTION("""COMPUTED_VALUE"""),"2025 Dec")</f>
        <v>2025 Dec</v>
      </c>
      <c r="P1773" s="1" t="str">
        <f>IFERROR(__xludf.DUMMYFUNCTION("""COMPUTED_VALUE"""),"Print Support")</f>
        <v>Print Support</v>
      </c>
      <c r="Q1773" s="1" t="str">
        <f>IFERROR(__xludf.DUMMYFUNCTION("""COMPUTED_VALUE"""),"frencie@canva.com")</f>
        <v>frencie@canva.com</v>
      </c>
      <c r="R1773" s="1" t="str">
        <f>IFERROR(__xludf.DUMMYFUNCTION("""COMPUTED_VALUE"""),"Frencie Guzman")</f>
        <v>Frencie Guzman</v>
      </c>
      <c r="S1773" s="1"/>
      <c r="T1773" s="1">
        <f>IFERROR(__xludf.DUMMYFUNCTION("""COMPUTED_VALUE"""),3.0)</f>
        <v>3</v>
      </c>
      <c r="U1773" s="2">
        <f>IFERROR(__xludf.DUMMYFUNCTION("""COMPUTED_VALUE"""),3.0)</f>
        <v>3</v>
      </c>
      <c r="V1773" s="1" t="str">
        <f>IFERROR(__xludf.DUMMYFUNCTION("""COMPUTED_VALUE"""),"Aliza Dote")</f>
        <v>Aliza Dote</v>
      </c>
      <c r="W1773" s="1" t="str">
        <f>IFERROR(__xludf.DUMMYFUNCTION("""COMPUTED_VALUE"""),"Print Design Support")</f>
        <v>Print Design Support</v>
      </c>
    </row>
    <row r="1774">
      <c r="O1774" s="1" t="str">
        <f>IFERROR(__xludf.DUMMYFUNCTION("""COMPUTED_VALUE"""),"2025 Dec")</f>
        <v>2025 Dec</v>
      </c>
      <c r="P1774" s="1" t="str">
        <f>IFERROR(__xludf.DUMMYFUNCTION("""COMPUTED_VALUE"""),"Print Support")</f>
        <v>Print Support</v>
      </c>
      <c r="Q1774" s="1" t="str">
        <f>IFERROR(__xludf.DUMMYFUNCTION("""COMPUTED_VALUE"""),"gvr@canva.com")</f>
        <v>gvr@canva.com</v>
      </c>
      <c r="R1774" s="1" t="str">
        <f>IFERROR(__xludf.DUMMYFUNCTION("""COMPUTED_VALUE"""),"Gabriel Reyes")</f>
        <v>Gabriel Reyes</v>
      </c>
      <c r="S1774" s="1">
        <f>IFERROR(__xludf.DUMMYFUNCTION("""COMPUTED_VALUE"""),8.0)</f>
        <v>8</v>
      </c>
      <c r="T1774" s="1">
        <f>IFERROR(__xludf.DUMMYFUNCTION("""COMPUTED_VALUE"""),3.0)</f>
        <v>3</v>
      </c>
      <c r="U1774" s="2">
        <f>IFERROR(__xludf.DUMMYFUNCTION("""COMPUTED_VALUE"""),11.0)</f>
        <v>11</v>
      </c>
      <c r="V1774" s="1" t="str">
        <f>IFERROR(__xludf.DUMMYFUNCTION("""COMPUTED_VALUE"""),"Memae Faustino")</f>
        <v>Memae Faustino</v>
      </c>
      <c r="W1774" s="1" t="str">
        <f>IFERROR(__xludf.DUMMYFUNCTION("""COMPUTED_VALUE"""),"Print Support PH")</f>
        <v>Print Support PH</v>
      </c>
    </row>
    <row r="1775">
      <c r="O1775" s="1" t="str">
        <f>IFERROR(__xludf.DUMMYFUNCTION("""COMPUTED_VALUE"""),"2025 Dec")</f>
        <v>2025 Dec</v>
      </c>
      <c r="P1775" s="1" t="str">
        <f>IFERROR(__xludf.DUMMYFUNCTION("""COMPUTED_VALUE"""),"High Sensitivity Support")</f>
        <v>High Sensitivity Support</v>
      </c>
      <c r="Q1775" s="1" t="str">
        <f>IFERROR(__xludf.DUMMYFUNCTION("""COMPUTED_VALUE"""),"gsanandres@canva.com")</f>
        <v>gsanandres@canva.com</v>
      </c>
      <c r="R1775" s="1" t="str">
        <f>IFERROR(__xludf.DUMMYFUNCTION("""COMPUTED_VALUE"""),"Galvin San Andres")</f>
        <v>Galvin San Andres</v>
      </c>
      <c r="S1775" s="1">
        <f>IFERROR(__xludf.DUMMYFUNCTION("""COMPUTED_VALUE"""),18.25)</f>
        <v>18.25</v>
      </c>
      <c r="T1775" s="1">
        <f>IFERROR(__xludf.DUMMYFUNCTION("""COMPUTED_VALUE"""),1.42)</f>
        <v>1.42</v>
      </c>
      <c r="U1775" s="2">
        <f>IFERROR(__xludf.DUMMYFUNCTION("""COMPUTED_VALUE"""),19.67)</f>
        <v>19.67</v>
      </c>
      <c r="V1775" s="1" t="str">
        <f>IFERROR(__xludf.DUMMYFUNCTION("""COMPUTED_VALUE"""),"Xandy Azarcon")</f>
        <v>Xandy Azarcon</v>
      </c>
      <c r="W1775" s="1" t="str">
        <f>IFERROR(__xludf.DUMMYFUNCTION("""COMPUTED_VALUE"""),"High Sensitivity Support PH")</f>
        <v>High Sensitivity Support PH</v>
      </c>
    </row>
    <row r="1776">
      <c r="O1776" s="1" t="str">
        <f>IFERROR(__xludf.DUMMYFUNCTION("""COMPUTED_VALUE"""),"2025 Dec")</f>
        <v>2025 Dec</v>
      </c>
      <c r="P1776" s="1" t="str">
        <f>IFERROR(__xludf.DUMMYFUNCTION("""COMPUTED_VALUE"""),"Core Product Support")</f>
        <v>Core Product Support</v>
      </c>
      <c r="Q1776" s="1" t="str">
        <f>IFERROR(__xludf.DUMMYFUNCTION("""COMPUTED_VALUE"""),"gsauler@canva.com")</f>
        <v>gsauler@canva.com</v>
      </c>
      <c r="R1776" s="1" t="str">
        <f>IFERROR(__xludf.DUMMYFUNCTION("""COMPUTED_VALUE"""),"Gem Sauler")</f>
        <v>Gem Sauler</v>
      </c>
      <c r="S1776" s="1">
        <f>IFERROR(__xludf.DUMMYFUNCTION("""COMPUTED_VALUE"""),0.5)</f>
        <v>0.5</v>
      </c>
      <c r="T1776" s="1">
        <f>IFERROR(__xludf.DUMMYFUNCTION("""COMPUTED_VALUE"""),3.25)</f>
        <v>3.25</v>
      </c>
      <c r="U1776" s="2">
        <f>IFERROR(__xludf.DUMMYFUNCTION("""COMPUTED_VALUE"""),3.75)</f>
        <v>3.75</v>
      </c>
      <c r="V1776" s="1" t="str">
        <f>IFERROR(__xludf.DUMMYFUNCTION("""COMPUTED_VALUE"""),"Mikhaela Decangchon")</f>
        <v>Mikhaela Decangchon</v>
      </c>
      <c r="W1776" s="1" t="str">
        <f>IFERROR(__xludf.DUMMYFUNCTION("""COMPUTED_VALUE"""),"Advanced Product Support")</f>
        <v>Advanced Product Support</v>
      </c>
    </row>
    <row r="1777">
      <c r="O1777" s="1" t="str">
        <f>IFERROR(__xludf.DUMMYFUNCTION("""COMPUTED_VALUE"""),"2025 Dec")</f>
        <v>2025 Dec</v>
      </c>
      <c r="P1777" s="1" t="str">
        <f>IFERROR(__xludf.DUMMYFUNCTION("""COMPUTED_VALUE"""),"Core Product Support")</f>
        <v>Core Product Support</v>
      </c>
      <c r="Q1777" s="1" t="str">
        <f>IFERROR(__xludf.DUMMYFUNCTION("""COMPUTED_VALUE"""),"gemmalyn@canva.com")</f>
        <v>gemmalyn@canva.com</v>
      </c>
      <c r="R1777" s="1" t="str">
        <f>IFERROR(__xludf.DUMMYFUNCTION("""COMPUTED_VALUE"""),"Gemma Gaddi")</f>
        <v>Gemma Gaddi</v>
      </c>
      <c r="S1777" s="1">
        <f>IFERROR(__xludf.DUMMYFUNCTION("""COMPUTED_VALUE"""),3.25)</f>
        <v>3.25</v>
      </c>
      <c r="T1777" s="1">
        <f>IFERROR(__xludf.DUMMYFUNCTION("""COMPUTED_VALUE"""),6.75)</f>
        <v>6.75</v>
      </c>
      <c r="U1777" s="2">
        <f>IFERROR(__xludf.DUMMYFUNCTION("""COMPUTED_VALUE"""),10.0)</f>
        <v>10</v>
      </c>
      <c r="V1777" s="1" t="str">
        <f>IFERROR(__xludf.DUMMYFUNCTION("""COMPUTED_VALUE"""),"Jahmie Mae Barrameda")</f>
        <v>Jahmie Mae Barrameda</v>
      </c>
      <c r="W1777" s="1" t="str">
        <f>IFERROR(__xludf.DUMMYFUNCTION("""COMPUTED_VALUE"""),"Advanced Billing &amp; Subscriptions")</f>
        <v>Advanced Billing &amp; Subscriptions</v>
      </c>
    </row>
    <row r="1778">
      <c r="O1778" s="1" t="str">
        <f>IFERROR(__xludf.DUMMYFUNCTION("""COMPUTED_VALUE"""),"2025 Dec")</f>
        <v>2025 Dec</v>
      </c>
      <c r="P1778" s="1" t="str">
        <f>IFERROR(__xludf.DUMMYFUNCTION("""COMPUTED_VALUE"""),"Core Product Support")</f>
        <v>Core Product Support</v>
      </c>
      <c r="Q1778" s="1" t="str">
        <f>IFERROR(__xludf.DUMMYFUNCTION("""COMPUTED_VALUE"""),"evee@canva.com")</f>
        <v>evee@canva.com</v>
      </c>
      <c r="R1778" s="1" t="str">
        <f>IFERROR(__xludf.DUMMYFUNCTION("""COMPUTED_VALUE"""),"Gen Gingoyon")</f>
        <v>Gen Gingoyon</v>
      </c>
      <c r="S1778" s="1">
        <f>IFERROR(__xludf.DUMMYFUNCTION("""COMPUTED_VALUE"""),0.5)</f>
        <v>0.5</v>
      </c>
      <c r="T1778" s="1">
        <f>IFERROR(__xludf.DUMMYFUNCTION("""COMPUTED_VALUE"""),3.92)</f>
        <v>3.92</v>
      </c>
      <c r="U1778" s="2">
        <f>IFERROR(__xludf.DUMMYFUNCTION("""COMPUTED_VALUE"""),4.42)</f>
        <v>4.42</v>
      </c>
      <c r="V1778" s="1" t="str">
        <f>IFERROR(__xludf.DUMMYFUNCTION("""COMPUTED_VALUE"""),"Renette Bok")</f>
        <v>Renette Bok</v>
      </c>
      <c r="W1778" s="1" t="str">
        <f>IFERROR(__xludf.DUMMYFUNCTION("""COMPUTED_VALUE"""),"Advanced Billing &amp; Subscriptions")</f>
        <v>Advanced Billing &amp; Subscriptions</v>
      </c>
    </row>
    <row r="1779">
      <c r="O1779" s="1" t="str">
        <f>IFERROR(__xludf.DUMMYFUNCTION("""COMPUTED_VALUE"""),"2025 Dec")</f>
        <v>2025 Dec</v>
      </c>
      <c r="P1779" s="1" t="str">
        <f>IFERROR(__xludf.DUMMYFUNCTION("""COMPUTED_VALUE"""),"Core Product Support")</f>
        <v>Core Product Support</v>
      </c>
      <c r="Q1779" s="1" t="str">
        <f>IFERROR(__xludf.DUMMYFUNCTION("""COMPUTED_VALUE"""),"gpascua@canva.com")</f>
        <v>gpascua@canva.com</v>
      </c>
      <c r="R1779" s="1" t="str">
        <f>IFERROR(__xludf.DUMMYFUNCTION("""COMPUTED_VALUE"""),"Gernie Pascua")</f>
        <v>Gernie Pascua</v>
      </c>
      <c r="S1779" s="1"/>
      <c r="T1779" s="1">
        <f>IFERROR(__xludf.DUMMYFUNCTION("""COMPUTED_VALUE"""),15.0)</f>
        <v>15</v>
      </c>
      <c r="U1779" s="2">
        <f>IFERROR(__xludf.DUMMYFUNCTION("""COMPUTED_VALUE"""),15.0)</f>
        <v>15</v>
      </c>
      <c r="V1779" s="1" t="str">
        <f>IFERROR(__xludf.DUMMYFUNCTION("""COMPUTED_VALUE"""),"Ellaine Estayo")</f>
        <v>Ellaine Estayo</v>
      </c>
      <c r="W1779" s="1" t="str">
        <f>IFERROR(__xludf.DUMMYFUNCTION("""COMPUTED_VALUE"""),"Core Product Support Escalation Team")</f>
        <v>Core Product Support Escalation Team</v>
      </c>
    </row>
    <row r="1780">
      <c r="O1780" s="1" t="str">
        <f>IFERROR(__xludf.DUMMYFUNCTION("""COMPUTED_VALUE"""),"2025 Dec")</f>
        <v>2025 Dec</v>
      </c>
      <c r="P1780" s="1" t="str">
        <f>IFERROR(__xludf.DUMMYFUNCTION("""COMPUTED_VALUE"""),"Print Support")</f>
        <v>Print Support</v>
      </c>
      <c r="Q1780" s="1" t="str">
        <f>IFERROR(__xludf.DUMMYFUNCTION("""COMPUTED_VALUE"""),"giadacillo@canva.com")</f>
        <v>giadacillo@canva.com</v>
      </c>
      <c r="R1780" s="1" t="str">
        <f>IFERROR(__xludf.DUMMYFUNCTION("""COMPUTED_VALUE"""),"Gia Dacillo")</f>
        <v>Gia Dacillo</v>
      </c>
      <c r="S1780" s="1"/>
      <c r="T1780" s="1">
        <f>IFERROR(__xludf.DUMMYFUNCTION("""COMPUTED_VALUE"""),2.0)</f>
        <v>2</v>
      </c>
      <c r="U1780" s="2">
        <f>IFERROR(__xludf.DUMMYFUNCTION("""COMPUTED_VALUE"""),2.0)</f>
        <v>2</v>
      </c>
      <c r="V1780" s="1" t="str">
        <f>IFERROR(__xludf.DUMMYFUNCTION("""COMPUTED_VALUE"""),"Jan Domingo")</f>
        <v>Jan Domingo</v>
      </c>
      <c r="W1780" s="1" t="str">
        <f>IFERROR(__xludf.DUMMYFUNCTION("""COMPUTED_VALUE"""),"Print Design Support")</f>
        <v>Print Design Support</v>
      </c>
    </row>
    <row r="1781">
      <c r="O1781" s="1" t="str">
        <f>IFERROR(__xludf.DUMMYFUNCTION("""COMPUTED_VALUE"""),"2025 Dec")</f>
        <v>2025 Dec</v>
      </c>
      <c r="P1781" s="1" t="str">
        <f>IFERROR(__xludf.DUMMYFUNCTION("""COMPUTED_VALUE"""),"Core Product Support")</f>
        <v>Core Product Support</v>
      </c>
      <c r="Q1781" s="1" t="str">
        <f>IFERROR(__xludf.DUMMYFUNCTION("""COMPUTED_VALUE"""),"gieslnts@canva.com")</f>
        <v>gieslnts@canva.com</v>
      </c>
      <c r="R1781" s="1" t="str">
        <f>IFERROR(__xludf.DUMMYFUNCTION("""COMPUTED_VALUE"""),"Gieann Salantes")</f>
        <v>Gieann Salantes</v>
      </c>
      <c r="S1781" s="1"/>
      <c r="T1781" s="1">
        <f>IFERROR(__xludf.DUMMYFUNCTION("""COMPUTED_VALUE"""),21.63)</f>
        <v>21.63</v>
      </c>
      <c r="U1781" s="2">
        <f>IFERROR(__xludf.DUMMYFUNCTION("""COMPUTED_VALUE"""),21.63)</f>
        <v>21.63</v>
      </c>
      <c r="V1781" s="1" t="str">
        <f>IFERROR(__xludf.DUMMYFUNCTION("""COMPUTED_VALUE"""),"Sieg Ballelos")</f>
        <v>Sieg Ballelos</v>
      </c>
      <c r="W1781" s="1" t="str">
        <f>IFERROR(__xludf.DUMMYFUNCTION("""COMPUTED_VALUE"""),"Core Product Support Escalation Team")</f>
        <v>Core Product Support Escalation Team</v>
      </c>
    </row>
    <row r="1782">
      <c r="O1782" s="1" t="str">
        <f>IFERROR(__xludf.DUMMYFUNCTION("""COMPUTED_VALUE"""),"2025 Dec")</f>
        <v>2025 Dec</v>
      </c>
      <c r="P1782" s="1" t="str">
        <f>IFERROR(__xludf.DUMMYFUNCTION("""COMPUTED_VALUE"""),"Admin Support")</f>
        <v>Admin Support</v>
      </c>
      <c r="Q1782" s="1" t="str">
        <f>IFERROR(__xludf.DUMMYFUNCTION("""COMPUTED_VALUE"""),"glennford@canva.com")</f>
        <v>glennford@canva.com</v>
      </c>
      <c r="R1782" s="1" t="str">
        <f>IFERROR(__xludf.DUMMYFUNCTION("""COMPUTED_VALUE"""),"Glenn Gutierrez")</f>
        <v>Glenn Gutierrez</v>
      </c>
      <c r="S1782" s="1"/>
      <c r="T1782" s="1"/>
      <c r="U1782" s="2">
        <f>IFERROR(__xludf.DUMMYFUNCTION("""COMPUTED_VALUE"""),0.0)</f>
        <v>0</v>
      </c>
      <c r="V1782" s="1" t="str">
        <f>IFERROR(__xludf.DUMMYFUNCTION("""COMPUTED_VALUE"""),"Karla Mananghaya")</f>
        <v>Karla Mananghaya</v>
      </c>
      <c r="W1782" s="1" t="str">
        <f>IFERROR(__xludf.DUMMYFUNCTION("""COMPUTED_VALUE"""),"Admin Support Service Escalation Team")</f>
        <v>Admin Support Service Escalation Team</v>
      </c>
    </row>
    <row r="1783">
      <c r="O1783" s="1" t="str">
        <f>IFERROR(__xludf.DUMMYFUNCTION("""COMPUTED_VALUE"""),"2025 Dec")</f>
        <v>2025 Dec</v>
      </c>
      <c r="P1783" s="1" t="str">
        <f>IFERROR(__xludf.DUMMYFUNCTION("""COMPUTED_VALUE"""),"Core Product Support")</f>
        <v>Core Product Support</v>
      </c>
      <c r="Q1783" s="1" t="str">
        <f>IFERROR(__xludf.DUMMYFUNCTION("""COMPUTED_VALUE"""),"gracegarcia@canva.com")</f>
        <v>gracegarcia@canva.com</v>
      </c>
      <c r="R1783" s="1" t="str">
        <f>IFERROR(__xludf.DUMMYFUNCTION("""COMPUTED_VALUE"""),"Grace Garcia")</f>
        <v>Grace Garcia</v>
      </c>
      <c r="S1783" s="1">
        <f>IFERROR(__xludf.DUMMYFUNCTION("""COMPUTED_VALUE"""),1.5)</f>
        <v>1.5</v>
      </c>
      <c r="T1783" s="1">
        <f>IFERROR(__xludf.DUMMYFUNCTION("""COMPUTED_VALUE"""),1.75)</f>
        <v>1.75</v>
      </c>
      <c r="U1783" s="2">
        <f>IFERROR(__xludf.DUMMYFUNCTION("""COMPUTED_VALUE"""),3.25)</f>
        <v>3.25</v>
      </c>
      <c r="V1783" s="1" t="str">
        <f>IFERROR(__xludf.DUMMYFUNCTION("""COMPUTED_VALUE"""),"Marie Mordeno")</f>
        <v>Marie Mordeno</v>
      </c>
      <c r="W1783" s="1" t="str">
        <f>IFERROR(__xludf.DUMMYFUNCTION("""COMPUTED_VALUE"""),"Advanced Billing &amp; Subscriptions")</f>
        <v>Advanced Billing &amp; Subscriptions</v>
      </c>
    </row>
    <row r="1784">
      <c r="O1784" s="1" t="str">
        <f>IFERROR(__xludf.DUMMYFUNCTION("""COMPUTED_VALUE"""),"2025 Dec")</f>
        <v>2025 Dec</v>
      </c>
      <c r="P1784" s="1" t="str">
        <f>IFERROR(__xludf.DUMMYFUNCTION("""COMPUTED_VALUE"""),"Core Product Support")</f>
        <v>Core Product Support</v>
      </c>
      <c r="Q1784" s="1" t="str">
        <f>IFERROR(__xludf.DUMMYFUNCTION("""COMPUTED_VALUE"""),"hanni@canva.com")</f>
        <v>hanni@canva.com</v>
      </c>
      <c r="R1784" s="1" t="str">
        <f>IFERROR(__xludf.DUMMYFUNCTION("""COMPUTED_VALUE"""),"Hannah Bejo")</f>
        <v>Hannah Bejo</v>
      </c>
      <c r="S1784" s="1">
        <f>IFERROR(__xludf.DUMMYFUNCTION("""COMPUTED_VALUE"""),1.0)</f>
        <v>1</v>
      </c>
      <c r="T1784" s="1">
        <f>IFERROR(__xludf.DUMMYFUNCTION("""COMPUTED_VALUE"""),1.75)</f>
        <v>1.75</v>
      </c>
      <c r="U1784" s="2">
        <f>IFERROR(__xludf.DUMMYFUNCTION("""COMPUTED_VALUE"""),2.75)</f>
        <v>2.75</v>
      </c>
      <c r="V1784" s="1" t="str">
        <f>IFERROR(__xludf.DUMMYFUNCTION("""COMPUTED_VALUE"""),"Ayza Marie Pascual")</f>
        <v>Ayza Marie Pascual</v>
      </c>
      <c r="W1784" s="1" t="str">
        <f>IFERROR(__xludf.DUMMYFUNCTION("""COMPUTED_VALUE"""),"Advanced Billing &amp; Subscriptions")</f>
        <v>Advanced Billing &amp; Subscriptions</v>
      </c>
    </row>
    <row r="1785">
      <c r="O1785" s="1" t="str">
        <f>IFERROR(__xludf.DUMMYFUNCTION("""COMPUTED_VALUE"""),"2025 Dec")</f>
        <v>2025 Dec</v>
      </c>
      <c r="P1785" s="1" t="str">
        <f>IFERROR(__xludf.DUMMYFUNCTION("""COMPUTED_VALUE"""),"Core Product Support")</f>
        <v>Core Product Support</v>
      </c>
      <c r="Q1785" s="1" t="str">
        <f>IFERROR(__xludf.DUMMYFUNCTION("""COMPUTED_VALUE"""),"hdecena@canva.com")</f>
        <v>hdecena@canva.com</v>
      </c>
      <c r="R1785" s="1" t="str">
        <f>IFERROR(__xludf.DUMMYFUNCTION("""COMPUTED_VALUE"""),"Hannah Decena")</f>
        <v>Hannah Decena</v>
      </c>
      <c r="S1785" s="1">
        <f>IFERROR(__xludf.DUMMYFUNCTION("""COMPUTED_VALUE"""),1.75)</f>
        <v>1.75</v>
      </c>
      <c r="T1785" s="1">
        <f>IFERROR(__xludf.DUMMYFUNCTION("""COMPUTED_VALUE"""),1.25)</f>
        <v>1.25</v>
      </c>
      <c r="U1785" s="2">
        <f>IFERROR(__xludf.DUMMYFUNCTION("""COMPUTED_VALUE"""),3.0)</f>
        <v>3</v>
      </c>
      <c r="V1785" s="1" t="str">
        <f>IFERROR(__xludf.DUMMYFUNCTION("""COMPUTED_VALUE"""),"Ana Lazaro")</f>
        <v>Ana Lazaro</v>
      </c>
      <c r="W1785" s="1" t="str">
        <f>IFERROR(__xludf.DUMMYFUNCTION("""COMPUTED_VALUE"""),"Advanced Billing &amp; Subscriptions")</f>
        <v>Advanced Billing &amp; Subscriptions</v>
      </c>
    </row>
    <row r="1786">
      <c r="O1786" s="1" t="str">
        <f>IFERROR(__xludf.DUMMYFUNCTION("""COMPUTED_VALUE"""),"2025 Dec")</f>
        <v>2025 Dec</v>
      </c>
      <c r="P1786" s="1" t="str">
        <f>IFERROR(__xludf.DUMMYFUNCTION("""COMPUTED_VALUE"""),"High Sensitivity Support")</f>
        <v>High Sensitivity Support</v>
      </c>
      <c r="Q1786" s="1" t="str">
        <f>IFERROR(__xludf.DUMMYFUNCTION("""COMPUTED_VALUE"""),"hannahd@canva.com")</f>
        <v>hannahd@canva.com</v>
      </c>
      <c r="R1786" s="1" t="str">
        <f>IFERROR(__xludf.DUMMYFUNCTION("""COMPUTED_VALUE"""),"Hannah Dimayuga")</f>
        <v>Hannah Dimayuga</v>
      </c>
      <c r="S1786" s="1"/>
      <c r="T1786" s="1">
        <f>IFERROR(__xludf.DUMMYFUNCTION("""COMPUTED_VALUE"""),4.63)</f>
        <v>4.63</v>
      </c>
      <c r="U1786" s="2">
        <f>IFERROR(__xludf.DUMMYFUNCTION("""COMPUTED_VALUE"""),4.63)</f>
        <v>4.63</v>
      </c>
      <c r="V1786" s="1" t="str">
        <f>IFERROR(__xludf.DUMMYFUNCTION("""COMPUTED_VALUE"""),"Rex Villamor")</f>
        <v>Rex Villamor</v>
      </c>
      <c r="W1786" s="1" t="str">
        <f>IFERROR(__xludf.DUMMYFUNCTION("""COMPUTED_VALUE"""),"High Sensitivity Support PH")</f>
        <v>High Sensitivity Support PH</v>
      </c>
    </row>
    <row r="1787">
      <c r="O1787" s="1" t="str">
        <f>IFERROR(__xludf.DUMMYFUNCTION("""COMPUTED_VALUE"""),"2025 Dec")</f>
        <v>2025 Dec</v>
      </c>
      <c r="P1787" s="1" t="str">
        <f>IFERROR(__xludf.DUMMYFUNCTION("""COMPUTED_VALUE"""),"Core Product Support")</f>
        <v>Core Product Support</v>
      </c>
      <c r="Q1787" s="1" t="str">
        <f>IFERROR(__xludf.DUMMYFUNCTION("""COMPUTED_VALUE"""),"hazzel@canva.com")</f>
        <v>hazzel@canva.com</v>
      </c>
      <c r="R1787" s="1" t="str">
        <f>IFERROR(__xludf.DUMMYFUNCTION("""COMPUTED_VALUE"""),"Haze Rafon")</f>
        <v>Haze Rafon</v>
      </c>
      <c r="S1787" s="1">
        <f>IFERROR(__xludf.DUMMYFUNCTION("""COMPUTED_VALUE"""),2.0)</f>
        <v>2</v>
      </c>
      <c r="T1787" s="1">
        <f>IFERROR(__xludf.DUMMYFUNCTION("""COMPUTED_VALUE"""),17.75)</f>
        <v>17.75</v>
      </c>
      <c r="U1787" s="2">
        <f>IFERROR(__xludf.DUMMYFUNCTION("""COMPUTED_VALUE"""),19.75)</f>
        <v>19.75</v>
      </c>
      <c r="V1787" s="1" t="str">
        <f>IFERROR(__xludf.DUMMYFUNCTION("""COMPUTED_VALUE"""),"Sieg Ballelos")</f>
        <v>Sieg Ballelos</v>
      </c>
      <c r="W1787" s="1" t="str">
        <f>IFERROR(__xludf.DUMMYFUNCTION("""COMPUTED_VALUE"""),"Core Product Support Escalation Team")</f>
        <v>Core Product Support Escalation Team</v>
      </c>
    </row>
    <row r="1788">
      <c r="O1788" s="1" t="str">
        <f>IFERROR(__xludf.DUMMYFUNCTION("""COMPUTED_VALUE"""),"2025 Dec")</f>
        <v>2025 Dec</v>
      </c>
      <c r="P1788" s="1" t="str">
        <f>IFERROR(__xludf.DUMMYFUNCTION("""COMPUTED_VALUE"""),"Segment-specific Support")</f>
        <v>Segment-specific Support</v>
      </c>
      <c r="Q1788" s="1" t="str">
        <f>IFERROR(__xludf.DUMMYFUNCTION("""COMPUTED_VALUE"""),"icetamayo@canva.com")</f>
        <v>icetamayo@canva.com</v>
      </c>
      <c r="R1788" s="1" t="str">
        <f>IFERROR(__xludf.DUMMYFUNCTION("""COMPUTED_VALUE"""),"Ice Montecillo-Tamayo")</f>
        <v>Ice Montecillo-Tamayo</v>
      </c>
      <c r="S1788" s="1"/>
      <c r="T1788" s="1">
        <f>IFERROR(__xludf.DUMMYFUNCTION("""COMPUTED_VALUE"""),1.0)</f>
        <v>1</v>
      </c>
      <c r="U1788" s="2">
        <f>IFERROR(__xludf.DUMMYFUNCTION("""COMPUTED_VALUE"""),1.0)</f>
        <v>1</v>
      </c>
      <c r="V1788" s="1" t="str">
        <f>IFERROR(__xludf.DUMMYFUNCTION("""COMPUTED_VALUE"""),"Rose Gabilan")</f>
        <v>Rose Gabilan</v>
      </c>
      <c r="W1788" s="1" t="str">
        <f>IFERROR(__xludf.DUMMYFUNCTION("""COMPUTED_VALUE"""),"Affinity Support")</f>
        <v>Affinity Support</v>
      </c>
    </row>
    <row r="1789">
      <c r="O1789" s="1" t="str">
        <f>IFERROR(__xludf.DUMMYFUNCTION("""COMPUTED_VALUE"""),"2025 Dec")</f>
        <v>2025 Dec</v>
      </c>
      <c r="P1789" s="1" t="str">
        <f>IFERROR(__xludf.DUMMYFUNCTION("""COMPUTED_VALUE"""),"Core Product Support")</f>
        <v>Core Product Support</v>
      </c>
      <c r="Q1789" s="1" t="str">
        <f>IFERROR(__xludf.DUMMYFUNCTION("""COMPUTED_VALUE"""),"mrwong@canva.com")</f>
        <v>mrwong@canva.com</v>
      </c>
      <c r="R1789" s="1" t="str">
        <f>IFERROR(__xludf.DUMMYFUNCTION("""COMPUTED_VALUE"""),"Ino Wong")</f>
        <v>Ino Wong</v>
      </c>
      <c r="S1789" s="1">
        <f>IFERROR(__xludf.DUMMYFUNCTION("""COMPUTED_VALUE"""),1.5)</f>
        <v>1.5</v>
      </c>
      <c r="T1789" s="1">
        <f>IFERROR(__xludf.DUMMYFUNCTION("""COMPUTED_VALUE"""),1.5)</f>
        <v>1.5</v>
      </c>
      <c r="U1789" s="2">
        <f>IFERROR(__xludf.DUMMYFUNCTION("""COMPUTED_VALUE"""),3.0)</f>
        <v>3</v>
      </c>
      <c r="V1789" s="1" t="str">
        <f>IFERROR(__xludf.DUMMYFUNCTION("""COMPUTED_VALUE"""),"Jem Mondoñedo")</f>
        <v>Jem Mondoñedo</v>
      </c>
      <c r="W1789" s="1" t="str">
        <f>IFERROR(__xludf.DUMMYFUNCTION("""COMPUTED_VALUE"""),"Advanced Billing &amp; Subscriptions")</f>
        <v>Advanced Billing &amp; Subscriptions</v>
      </c>
    </row>
    <row r="1790">
      <c r="O1790" s="1" t="str">
        <f>IFERROR(__xludf.DUMMYFUNCTION("""COMPUTED_VALUE"""),"2025 Dec")</f>
        <v>2025 Dec</v>
      </c>
      <c r="P1790" s="1" t="str">
        <f>IFERROR(__xludf.DUMMYFUNCTION("""COMPUTED_VALUE"""),"Segment-specific Support")</f>
        <v>Segment-specific Support</v>
      </c>
      <c r="Q1790" s="1" t="str">
        <f>IFERROR(__xludf.DUMMYFUNCTION("""COMPUTED_VALUE"""),"ivy@canva.com")</f>
        <v>ivy@canva.com</v>
      </c>
      <c r="R1790" s="1" t="str">
        <f>IFERROR(__xludf.DUMMYFUNCTION("""COMPUTED_VALUE"""),"Ivy Sabado")</f>
        <v>Ivy Sabado</v>
      </c>
      <c r="S1790" s="1"/>
      <c r="T1790" s="1">
        <f>IFERROR(__xludf.DUMMYFUNCTION("""COMPUTED_VALUE"""),1.0)</f>
        <v>1</v>
      </c>
      <c r="U1790" s="2">
        <f>IFERROR(__xludf.DUMMYFUNCTION("""COMPUTED_VALUE"""),1.0)</f>
        <v>1</v>
      </c>
      <c r="V1790" s="1" t="str">
        <f>IFERROR(__xludf.DUMMYFUNCTION("""COMPUTED_VALUE"""),"Aileen Dayanghirang")</f>
        <v>Aileen Dayanghirang</v>
      </c>
      <c r="W1790" s="1" t="str">
        <f>IFERROR(__xludf.DUMMYFUNCTION("""COMPUTED_VALUE"""),"Creators Support")</f>
        <v>Creators Support</v>
      </c>
    </row>
    <row r="1791">
      <c r="O1791" s="1" t="str">
        <f>IFERROR(__xludf.DUMMYFUNCTION("""COMPUTED_VALUE"""),"2025 Dec")</f>
        <v>2025 Dec</v>
      </c>
      <c r="P1791" s="1" t="str">
        <f>IFERROR(__xludf.DUMMYFUNCTION("""COMPUTED_VALUE"""),"Core Product Support")</f>
        <v>Core Product Support</v>
      </c>
      <c r="Q1791" s="1" t="str">
        <f>IFERROR(__xludf.DUMMYFUNCTION("""COMPUTED_VALUE"""),"iyaacuyong@canva.com")</f>
        <v>iyaacuyong@canva.com</v>
      </c>
      <c r="R1791" s="1" t="str">
        <f>IFERROR(__xludf.DUMMYFUNCTION("""COMPUTED_VALUE"""),"Iya Acuyong")</f>
        <v>Iya Acuyong</v>
      </c>
      <c r="S1791" s="1">
        <f>IFERROR(__xludf.DUMMYFUNCTION("""COMPUTED_VALUE"""),0.75)</f>
        <v>0.75</v>
      </c>
      <c r="T1791" s="1">
        <f>IFERROR(__xludf.DUMMYFUNCTION("""COMPUTED_VALUE"""),1.5)</f>
        <v>1.5</v>
      </c>
      <c r="U1791" s="2">
        <f>IFERROR(__xludf.DUMMYFUNCTION("""COMPUTED_VALUE"""),2.25)</f>
        <v>2.25</v>
      </c>
      <c r="V1791" s="1" t="str">
        <f>IFERROR(__xludf.DUMMYFUNCTION("""COMPUTED_VALUE"""),"Mikhaela Decangchon")</f>
        <v>Mikhaela Decangchon</v>
      </c>
      <c r="W1791" s="1" t="str">
        <f>IFERROR(__xludf.DUMMYFUNCTION("""COMPUTED_VALUE"""),"Advanced Product Support")</f>
        <v>Advanced Product Support</v>
      </c>
    </row>
    <row r="1792">
      <c r="O1792" s="1" t="str">
        <f>IFERROR(__xludf.DUMMYFUNCTION("""COMPUTED_VALUE"""),"2025 Dec")</f>
        <v>2025 Dec</v>
      </c>
      <c r="P1792" s="1" t="str">
        <f>IFERROR(__xludf.DUMMYFUNCTION("""COMPUTED_VALUE"""),"Print Support")</f>
        <v>Print Support</v>
      </c>
      <c r="Q1792" s="1" t="str">
        <f>IFERROR(__xludf.DUMMYFUNCTION("""COMPUTED_VALUE"""),"jagumasing@canva.com")</f>
        <v>jagumasing@canva.com</v>
      </c>
      <c r="R1792" s="1" t="str">
        <f>IFERROR(__xludf.DUMMYFUNCTION("""COMPUTED_VALUE"""),"Ja Gumasing")</f>
        <v>Ja Gumasing</v>
      </c>
      <c r="S1792" s="1"/>
      <c r="T1792" s="1">
        <f>IFERROR(__xludf.DUMMYFUNCTION("""COMPUTED_VALUE"""),2.17)</f>
        <v>2.17</v>
      </c>
      <c r="U1792" s="2">
        <f>IFERROR(__xludf.DUMMYFUNCTION("""COMPUTED_VALUE"""),2.17)</f>
        <v>2.17</v>
      </c>
      <c r="V1792" s="1" t="str">
        <f>IFERROR(__xludf.DUMMYFUNCTION("""COMPUTED_VALUE"""),"Althea Mercado")</f>
        <v>Althea Mercado</v>
      </c>
      <c r="W1792" s="1" t="str">
        <f>IFERROR(__xludf.DUMMYFUNCTION("""COMPUTED_VALUE"""),"Print Support PH")</f>
        <v>Print Support PH</v>
      </c>
    </row>
    <row r="1793">
      <c r="O1793" s="1" t="str">
        <f>IFERROR(__xludf.DUMMYFUNCTION("""COMPUTED_VALUE"""),"2025 Dec")</f>
        <v>2025 Dec</v>
      </c>
      <c r="P1793" s="1" t="str">
        <f>IFERROR(__xludf.DUMMYFUNCTION("""COMPUTED_VALUE"""),"Admin Support")</f>
        <v>Admin Support</v>
      </c>
      <c r="Q1793" s="1" t="str">
        <f>IFERROR(__xludf.DUMMYFUNCTION("""COMPUTED_VALUE"""),"jacobgarza@canva.com")</f>
        <v>jacobgarza@canva.com</v>
      </c>
      <c r="R1793" s="1" t="str">
        <f>IFERROR(__xludf.DUMMYFUNCTION("""COMPUTED_VALUE"""),"Jacob Garza")</f>
        <v>Jacob Garza</v>
      </c>
      <c r="S1793" s="1">
        <f>IFERROR(__xludf.DUMMYFUNCTION("""COMPUTED_VALUE"""),2.0)</f>
        <v>2</v>
      </c>
      <c r="T1793" s="1">
        <f>IFERROR(__xludf.DUMMYFUNCTION("""COMPUTED_VALUE"""),1.0)</f>
        <v>1</v>
      </c>
      <c r="U1793" s="2">
        <f>IFERROR(__xludf.DUMMYFUNCTION("""COMPUTED_VALUE"""),3.0)</f>
        <v>3</v>
      </c>
      <c r="V1793" s="1" t="str">
        <f>IFERROR(__xludf.DUMMYFUNCTION("""COMPUTED_VALUE"""),"Nate Vela")</f>
        <v>Nate Vela</v>
      </c>
      <c r="W1793" s="1" t="str">
        <f>IFERROR(__xludf.DUMMYFUNCTION("""COMPUTED_VALUE"""),"Admin Support NA")</f>
        <v>Admin Support NA</v>
      </c>
    </row>
    <row r="1794">
      <c r="O1794" s="1" t="str">
        <f>IFERROR(__xludf.DUMMYFUNCTION("""COMPUTED_VALUE"""),"2025 Dec")</f>
        <v>2025 Dec</v>
      </c>
      <c r="P1794" s="1" t="str">
        <f>IFERROR(__xludf.DUMMYFUNCTION("""COMPUTED_VALUE"""),"Core Product Support")</f>
        <v>Core Product Support</v>
      </c>
      <c r="Q1794" s="1" t="str">
        <f>IFERROR(__xludf.DUMMYFUNCTION("""COMPUTED_VALUE"""),"jacque@canva.com")</f>
        <v>jacque@canva.com</v>
      </c>
      <c r="R1794" s="1" t="str">
        <f>IFERROR(__xludf.DUMMYFUNCTION("""COMPUTED_VALUE"""),"Jacqueline Gay")</f>
        <v>Jacqueline Gay</v>
      </c>
      <c r="S1794" s="1">
        <f>IFERROR(__xludf.DUMMYFUNCTION("""COMPUTED_VALUE"""),1.5)</f>
        <v>1.5</v>
      </c>
      <c r="T1794" s="1">
        <f>IFERROR(__xludf.DUMMYFUNCTION("""COMPUTED_VALUE"""),1.5)</f>
        <v>1.5</v>
      </c>
      <c r="U1794" s="2">
        <f>IFERROR(__xludf.DUMMYFUNCTION("""COMPUTED_VALUE"""),3.0)</f>
        <v>3</v>
      </c>
      <c r="V1794" s="1" t="str">
        <f>IFERROR(__xludf.DUMMYFUNCTION("""COMPUTED_VALUE"""),"Jem Mondoñedo")</f>
        <v>Jem Mondoñedo</v>
      </c>
      <c r="W1794" s="1" t="str">
        <f>IFERROR(__xludf.DUMMYFUNCTION("""COMPUTED_VALUE"""),"Advanced Billing &amp; Subscriptions")</f>
        <v>Advanced Billing &amp; Subscriptions</v>
      </c>
    </row>
    <row r="1795">
      <c r="O1795" s="1" t="str">
        <f>IFERROR(__xludf.DUMMYFUNCTION("""COMPUTED_VALUE"""),"2025 Dec")</f>
        <v>2025 Dec</v>
      </c>
      <c r="P1795" s="1" t="str">
        <f>IFERROR(__xludf.DUMMYFUNCTION("""COMPUTED_VALUE"""),"Print Support")</f>
        <v>Print Support</v>
      </c>
      <c r="Q1795" s="1" t="str">
        <f>IFERROR(__xludf.DUMMYFUNCTION("""COMPUTED_VALUE"""),"jadec@canva.com")</f>
        <v>jadec@canva.com</v>
      </c>
      <c r="R1795" s="1" t="str">
        <f>IFERROR(__xludf.DUMMYFUNCTION("""COMPUTED_VALUE"""),"Jade Curitana")</f>
        <v>Jade Curitana</v>
      </c>
      <c r="S1795" s="1"/>
      <c r="T1795" s="1">
        <f>IFERROR(__xludf.DUMMYFUNCTION("""COMPUTED_VALUE"""),2.5)</f>
        <v>2.5</v>
      </c>
      <c r="U1795" s="2">
        <f>IFERROR(__xludf.DUMMYFUNCTION("""COMPUTED_VALUE"""),2.5)</f>
        <v>2.5</v>
      </c>
      <c r="V1795" s="1" t="str">
        <f>IFERROR(__xludf.DUMMYFUNCTION("""COMPUTED_VALUE"""),"Louise Dianne Estrella")</f>
        <v>Louise Dianne Estrella</v>
      </c>
      <c r="W1795" s="1" t="str">
        <f>IFERROR(__xludf.DUMMYFUNCTION("""COMPUTED_VALUE"""),"Print Support PH")</f>
        <v>Print Support PH</v>
      </c>
    </row>
    <row r="1796">
      <c r="O1796" s="1" t="str">
        <f>IFERROR(__xludf.DUMMYFUNCTION("""COMPUTED_VALUE"""),"2025 Dec")</f>
        <v>2025 Dec</v>
      </c>
      <c r="P1796" s="1" t="str">
        <f>IFERROR(__xludf.DUMMYFUNCTION("""COMPUTED_VALUE"""),"High Sensitivity Support")</f>
        <v>High Sensitivity Support</v>
      </c>
      <c r="Q1796" s="1" t="str">
        <f>IFERROR(__xludf.DUMMYFUNCTION("""COMPUTED_VALUE"""),"jammyb@canva.com")</f>
        <v>jammyb@canva.com</v>
      </c>
      <c r="R1796" s="1" t="str">
        <f>IFERROR(__xludf.DUMMYFUNCTION("""COMPUTED_VALUE"""),"Jam Bacani")</f>
        <v>Jam Bacani</v>
      </c>
      <c r="S1796" s="1">
        <f>IFERROR(__xludf.DUMMYFUNCTION("""COMPUTED_VALUE"""),14.0)</f>
        <v>14</v>
      </c>
      <c r="T1796" s="1">
        <f>IFERROR(__xludf.DUMMYFUNCTION("""COMPUTED_VALUE"""),2.55)</f>
        <v>2.55</v>
      </c>
      <c r="U1796" s="2">
        <f>IFERROR(__xludf.DUMMYFUNCTION("""COMPUTED_VALUE"""),16.55)</f>
        <v>16.55</v>
      </c>
      <c r="V1796" s="1" t="str">
        <f>IFERROR(__xludf.DUMMYFUNCTION("""COMPUTED_VALUE"""),"Rossheen Pura")</f>
        <v>Rossheen Pura</v>
      </c>
      <c r="W1796" s="1" t="str">
        <f>IFERROR(__xludf.DUMMYFUNCTION("""COMPUTED_VALUE"""),"High Sensitivity Support PH")</f>
        <v>High Sensitivity Support PH</v>
      </c>
    </row>
    <row r="1797">
      <c r="O1797" s="1" t="str">
        <f>IFERROR(__xludf.DUMMYFUNCTION("""COMPUTED_VALUE"""),"2025 Dec")</f>
        <v>2025 Dec</v>
      </c>
      <c r="P1797" s="1" t="str">
        <f>IFERROR(__xludf.DUMMYFUNCTION("""COMPUTED_VALUE"""),"Segment-specific Support")</f>
        <v>Segment-specific Support</v>
      </c>
      <c r="Q1797" s="1" t="str">
        <f>IFERROR(__xludf.DUMMYFUNCTION("""COMPUTED_VALUE"""),"jgamboa@canva.com")</f>
        <v>jgamboa@canva.com</v>
      </c>
      <c r="R1797" s="1" t="str">
        <f>IFERROR(__xludf.DUMMYFUNCTION("""COMPUTED_VALUE"""),"James Marrion Gamboa")</f>
        <v>James Marrion Gamboa</v>
      </c>
      <c r="S1797" s="1"/>
      <c r="T1797" s="1">
        <f>IFERROR(__xludf.DUMMYFUNCTION("""COMPUTED_VALUE"""),1.0)</f>
        <v>1</v>
      </c>
      <c r="U1797" s="2">
        <f>IFERROR(__xludf.DUMMYFUNCTION("""COMPUTED_VALUE"""),1.0)</f>
        <v>1</v>
      </c>
      <c r="V1797" s="1" t="str">
        <f>IFERROR(__xludf.DUMMYFUNCTION("""COMPUTED_VALUE"""),"Rose Gabilan")</f>
        <v>Rose Gabilan</v>
      </c>
      <c r="W1797" s="1" t="str">
        <f>IFERROR(__xludf.DUMMYFUNCTION("""COMPUTED_VALUE"""),"Affinity Support")</f>
        <v>Affinity Support</v>
      </c>
    </row>
    <row r="1798">
      <c r="O1798" s="1" t="str">
        <f>IFERROR(__xludf.DUMMYFUNCTION("""COMPUTED_VALUE"""),"2025 Dec")</f>
        <v>2025 Dec</v>
      </c>
      <c r="P1798" s="1" t="str">
        <f>IFERROR(__xludf.DUMMYFUNCTION("""COMPUTED_VALUE"""),"Print Support")</f>
        <v>Print Support</v>
      </c>
      <c r="Q1798" s="1" t="str">
        <f>IFERROR(__xludf.DUMMYFUNCTION("""COMPUTED_VALUE"""),"janpaolopena@canva.com")</f>
        <v>janpaolopena@canva.com</v>
      </c>
      <c r="R1798" s="1" t="str">
        <f>IFERROR(__xludf.DUMMYFUNCTION("""COMPUTED_VALUE"""),"Jan Peña")</f>
        <v>Jan Peña</v>
      </c>
      <c r="S1798" s="1"/>
      <c r="T1798" s="1">
        <f>IFERROR(__xludf.DUMMYFUNCTION("""COMPUTED_VALUE"""),2.5)</f>
        <v>2.5</v>
      </c>
      <c r="U1798" s="2">
        <f>IFERROR(__xludf.DUMMYFUNCTION("""COMPUTED_VALUE"""),2.5)</f>
        <v>2.5</v>
      </c>
      <c r="V1798" s="1" t="str">
        <f>IFERROR(__xludf.DUMMYFUNCTION("""COMPUTED_VALUE"""),"Louise Dianne Estrella")</f>
        <v>Louise Dianne Estrella</v>
      </c>
      <c r="W1798" s="1" t="str">
        <f>IFERROR(__xludf.DUMMYFUNCTION("""COMPUTED_VALUE"""),"Print Support PH")</f>
        <v>Print Support PH</v>
      </c>
    </row>
    <row r="1799">
      <c r="O1799" s="1" t="str">
        <f>IFERROR(__xludf.DUMMYFUNCTION("""COMPUTED_VALUE"""),"2025 Dec")</f>
        <v>2025 Dec</v>
      </c>
      <c r="P1799" s="1" t="str">
        <f>IFERROR(__xludf.DUMMYFUNCTION("""COMPUTED_VALUE"""),"Admin Support")</f>
        <v>Admin Support</v>
      </c>
      <c r="Q1799" s="1" t="str">
        <f>IFERROR(__xludf.DUMMYFUNCTION("""COMPUTED_VALUE"""),"janis@canva.com")</f>
        <v>janis@canva.com</v>
      </c>
      <c r="R1799" s="1" t="str">
        <f>IFERROR(__xludf.DUMMYFUNCTION("""COMPUTED_VALUE"""),"Janis Esmas")</f>
        <v>Janis Esmas</v>
      </c>
      <c r="S1799" s="1"/>
      <c r="T1799" s="1">
        <f>IFERROR(__xludf.DUMMYFUNCTION("""COMPUTED_VALUE"""),1.75)</f>
        <v>1.75</v>
      </c>
      <c r="U1799" s="2">
        <f>IFERROR(__xludf.DUMMYFUNCTION("""COMPUTED_VALUE"""),1.75)</f>
        <v>1.75</v>
      </c>
      <c r="V1799" s="1" t="str">
        <f>IFERROR(__xludf.DUMMYFUNCTION("""COMPUTED_VALUE"""),"Karla Mananghaya")</f>
        <v>Karla Mananghaya</v>
      </c>
      <c r="W1799" s="1" t="str">
        <f>IFERROR(__xludf.DUMMYFUNCTION("""COMPUTED_VALUE"""),"Admin Support Service Escalation Team")</f>
        <v>Admin Support Service Escalation Team</v>
      </c>
    </row>
    <row r="1800">
      <c r="O1800" s="1" t="str">
        <f>IFERROR(__xludf.DUMMYFUNCTION("""COMPUTED_VALUE"""),"2025 Dec")</f>
        <v>2025 Dec</v>
      </c>
      <c r="P1800" s="1" t="str">
        <f>IFERROR(__xludf.DUMMYFUNCTION("""COMPUTED_VALUE"""),"Core Product Support")</f>
        <v>Core Product Support</v>
      </c>
      <c r="Q1800" s="1" t="str">
        <f>IFERROR(__xludf.DUMMYFUNCTION("""COMPUTED_VALUE"""),"jampangan@canva.com")</f>
        <v>jampangan@canva.com</v>
      </c>
      <c r="R1800" s="1" t="str">
        <f>IFERROR(__xludf.DUMMYFUNCTION("""COMPUTED_VALUE"""),"Jara Alexandra Mae Pangan")</f>
        <v>Jara Alexandra Mae Pangan</v>
      </c>
      <c r="S1800" s="1">
        <f>IFERROR(__xludf.DUMMYFUNCTION("""COMPUTED_VALUE"""),1.0)</f>
        <v>1</v>
      </c>
      <c r="T1800" s="1">
        <f>IFERROR(__xludf.DUMMYFUNCTION("""COMPUTED_VALUE"""),19.08)</f>
        <v>19.08</v>
      </c>
      <c r="U1800" s="2">
        <f>IFERROR(__xludf.DUMMYFUNCTION("""COMPUTED_VALUE"""),20.08)</f>
        <v>20.08</v>
      </c>
      <c r="V1800" s="1" t="str">
        <f>IFERROR(__xludf.DUMMYFUNCTION("""COMPUTED_VALUE"""),"Sieg Ballelos")</f>
        <v>Sieg Ballelos</v>
      </c>
      <c r="W1800" s="1" t="str">
        <f>IFERROR(__xludf.DUMMYFUNCTION("""COMPUTED_VALUE"""),"Core Product Support Escalation Team")</f>
        <v>Core Product Support Escalation Team</v>
      </c>
    </row>
    <row r="1801">
      <c r="O1801" s="1" t="str">
        <f>IFERROR(__xludf.DUMMYFUNCTION("""COMPUTED_VALUE"""),"2025 Dec")</f>
        <v>2025 Dec</v>
      </c>
      <c r="P1801" s="1" t="str">
        <f>IFERROR(__xludf.DUMMYFUNCTION("""COMPUTED_VALUE"""),"Core Product Support")</f>
        <v>Core Product Support</v>
      </c>
      <c r="Q1801" s="1" t="str">
        <f>IFERROR(__xludf.DUMMYFUNCTION("""COMPUTED_VALUE"""),"jaredc@canva.com")</f>
        <v>jaredc@canva.com</v>
      </c>
      <c r="R1801" s="1" t="str">
        <f>IFERROR(__xludf.DUMMYFUNCTION("""COMPUTED_VALUE"""),"Jared Carlin")</f>
        <v>Jared Carlin</v>
      </c>
      <c r="S1801" s="1">
        <f>IFERROR(__xludf.DUMMYFUNCTION("""COMPUTED_VALUE"""),1.27)</f>
        <v>1.27</v>
      </c>
      <c r="T1801" s="1">
        <f>IFERROR(__xludf.DUMMYFUNCTION("""COMPUTED_VALUE"""),4.58)</f>
        <v>4.58</v>
      </c>
      <c r="U1801" s="2">
        <f>IFERROR(__xludf.DUMMYFUNCTION("""COMPUTED_VALUE"""),5.85)</f>
        <v>5.85</v>
      </c>
      <c r="V1801" s="1" t="str">
        <f>IFERROR(__xludf.DUMMYFUNCTION("""COMPUTED_VALUE"""),"Ana Lazaro")</f>
        <v>Ana Lazaro</v>
      </c>
      <c r="W1801" s="1" t="str">
        <f>IFERROR(__xludf.DUMMYFUNCTION("""COMPUTED_VALUE"""),"Advanced Billing &amp; Subscriptions")</f>
        <v>Advanced Billing &amp; Subscriptions</v>
      </c>
    </row>
    <row r="1802">
      <c r="O1802" s="1" t="str">
        <f>IFERROR(__xludf.DUMMYFUNCTION("""COMPUTED_VALUE"""),"2025 Dec")</f>
        <v>2025 Dec</v>
      </c>
      <c r="P1802" s="1" t="str">
        <f>IFERROR(__xludf.DUMMYFUNCTION("""COMPUTED_VALUE"""),"Segment-specific Support")</f>
        <v>Segment-specific Support</v>
      </c>
      <c r="Q1802" s="1" t="str">
        <f>IFERROR(__xludf.DUMMYFUNCTION("""COMPUTED_VALUE"""),"jas@canva.com")</f>
        <v>jas@canva.com</v>
      </c>
      <c r="R1802" s="1" t="str">
        <f>IFERROR(__xludf.DUMMYFUNCTION("""COMPUTED_VALUE"""),"Jas Esperat")</f>
        <v>Jas Esperat</v>
      </c>
      <c r="S1802" s="1"/>
      <c r="T1802" s="1">
        <f>IFERROR(__xludf.DUMMYFUNCTION("""COMPUTED_VALUE"""),1.0)</f>
        <v>1</v>
      </c>
      <c r="U1802" s="2">
        <f>IFERROR(__xludf.DUMMYFUNCTION("""COMPUTED_VALUE"""),1.0)</f>
        <v>1</v>
      </c>
      <c r="V1802" s="1" t="str">
        <f>IFERROR(__xludf.DUMMYFUNCTION("""COMPUTED_VALUE"""),"Aileen Dayanghirang")</f>
        <v>Aileen Dayanghirang</v>
      </c>
      <c r="W1802" s="1" t="str">
        <f>IFERROR(__xludf.DUMMYFUNCTION("""COMPUTED_VALUE"""),"Creators Support")</f>
        <v>Creators Support</v>
      </c>
    </row>
    <row r="1803">
      <c r="O1803" s="1" t="str">
        <f>IFERROR(__xludf.DUMMYFUNCTION("""COMPUTED_VALUE"""),"2025 Dec")</f>
        <v>2025 Dec</v>
      </c>
      <c r="P1803" s="1" t="str">
        <f>IFERROR(__xludf.DUMMYFUNCTION("""COMPUTED_VALUE"""),"Print Support")</f>
        <v>Print Support</v>
      </c>
      <c r="Q1803" s="1" t="str">
        <f>IFERROR(__xludf.DUMMYFUNCTION("""COMPUTED_VALUE"""),"jayson@canva.com")</f>
        <v>jayson@canva.com</v>
      </c>
      <c r="R1803" s="1" t="str">
        <f>IFERROR(__xludf.DUMMYFUNCTION("""COMPUTED_VALUE"""),"Jayson Ferrer")</f>
        <v>Jayson Ferrer</v>
      </c>
      <c r="S1803" s="1"/>
      <c r="T1803" s="1">
        <f>IFERROR(__xludf.DUMMYFUNCTION("""COMPUTED_VALUE"""),1.0)</f>
        <v>1</v>
      </c>
      <c r="U1803" s="2">
        <f>IFERROR(__xludf.DUMMYFUNCTION("""COMPUTED_VALUE"""),1.0)</f>
        <v>1</v>
      </c>
      <c r="V1803" s="1" t="str">
        <f>IFERROR(__xludf.DUMMYFUNCTION("""COMPUTED_VALUE"""),"G-Anne Murillo")</f>
        <v>G-Anne Murillo</v>
      </c>
      <c r="W1803" s="1" t="str">
        <f>IFERROR(__xludf.DUMMYFUNCTION("""COMPUTED_VALUE"""),"Print Design Support")</f>
        <v>Print Design Support</v>
      </c>
    </row>
    <row r="1804">
      <c r="O1804" s="1" t="str">
        <f>IFERROR(__xludf.DUMMYFUNCTION("""COMPUTED_VALUE"""),"2025 Dec")</f>
        <v>2025 Dec</v>
      </c>
      <c r="P1804" s="1" t="str">
        <f>IFERROR(__xludf.DUMMYFUNCTION("""COMPUTED_VALUE"""),"Admin Support")</f>
        <v>Admin Support</v>
      </c>
      <c r="Q1804" s="1" t="str">
        <f>IFERROR(__xludf.DUMMYFUNCTION("""COMPUTED_VALUE"""),"jaz@canva.com")</f>
        <v>jaz@canva.com</v>
      </c>
      <c r="R1804" s="1" t="str">
        <f>IFERROR(__xludf.DUMMYFUNCTION("""COMPUTED_VALUE"""),"Jazmine San Pedro")</f>
        <v>Jazmine San Pedro</v>
      </c>
      <c r="S1804" s="1"/>
      <c r="T1804" s="1">
        <f>IFERROR(__xludf.DUMMYFUNCTION("""COMPUTED_VALUE"""),0.25)</f>
        <v>0.25</v>
      </c>
      <c r="U1804" s="2">
        <f>IFERROR(__xludf.DUMMYFUNCTION("""COMPUTED_VALUE"""),0.25)</f>
        <v>0.25</v>
      </c>
      <c r="V1804" s="1" t="str">
        <f>IFERROR(__xludf.DUMMYFUNCTION("""COMPUTED_VALUE"""),"AL Suarez")</f>
        <v>AL Suarez</v>
      </c>
      <c r="W1804" s="1" t="str">
        <f>IFERROR(__xludf.DUMMYFUNCTION("""COMPUTED_VALUE"""),"Print Support PH")</f>
        <v>Print Support PH</v>
      </c>
    </row>
    <row r="1805">
      <c r="O1805" s="1" t="str">
        <f>IFERROR(__xludf.DUMMYFUNCTION("""COMPUTED_VALUE"""),"2025 Dec")</f>
        <v>2025 Dec</v>
      </c>
      <c r="P1805" s="1" t="str">
        <f>IFERROR(__xludf.DUMMYFUNCTION("""COMPUTED_VALUE"""),"Multilingual Support")</f>
        <v>Multilingual Support</v>
      </c>
      <c r="Q1805" s="1" t="str">
        <f>IFERROR(__xludf.DUMMYFUNCTION("""COMPUTED_VALUE"""),"jc@canva.com")</f>
        <v>jc@canva.com</v>
      </c>
      <c r="R1805" s="1" t="str">
        <f>IFERROR(__xludf.DUMMYFUNCTION("""COMPUTED_VALUE"""),"JC Evangelista")</f>
        <v>JC Evangelista</v>
      </c>
      <c r="S1805" s="1"/>
      <c r="T1805" s="1"/>
      <c r="U1805" s="2">
        <f>IFERROR(__xludf.DUMMYFUNCTION("""COMPUTED_VALUE"""),0.0)</f>
        <v>0</v>
      </c>
      <c r="V1805" s="1" t="str">
        <f>IFERROR(__xludf.DUMMYFUNCTION("""COMPUTED_VALUE"""),"Arlene Maurillo")</f>
        <v>Arlene Maurillo</v>
      </c>
      <c r="W1805" s="1" t="str">
        <f>IFERROR(__xludf.DUMMYFUNCTION("""COMPUTED_VALUE"""),"PHL, Multilingual Support")</f>
        <v>PHL, Multilingual Support</v>
      </c>
    </row>
    <row r="1806">
      <c r="O1806" s="1" t="str">
        <f>IFERROR(__xludf.DUMMYFUNCTION("""COMPUTED_VALUE"""),"2025 Dec")</f>
        <v>2025 Dec</v>
      </c>
      <c r="P1806" s="1" t="str">
        <f>IFERROR(__xludf.DUMMYFUNCTION("""COMPUTED_VALUE"""),"Core Product Support")</f>
        <v>Core Product Support</v>
      </c>
      <c r="Q1806" s="1" t="str">
        <f>IFERROR(__xludf.DUMMYFUNCTION("""COMPUTED_VALUE"""),"jea@canva.com")</f>
        <v>jea@canva.com</v>
      </c>
      <c r="R1806" s="1" t="str">
        <f>IFERROR(__xludf.DUMMYFUNCTION("""COMPUTED_VALUE"""),"Jea Silvestre")</f>
        <v>Jea Silvestre</v>
      </c>
      <c r="S1806" s="1">
        <f>IFERROR(__xludf.DUMMYFUNCTION("""COMPUTED_VALUE"""),1.5)</f>
        <v>1.5</v>
      </c>
      <c r="T1806" s="1">
        <f>IFERROR(__xludf.DUMMYFUNCTION("""COMPUTED_VALUE"""),2.67)</f>
        <v>2.67</v>
      </c>
      <c r="U1806" s="2">
        <f>IFERROR(__xludf.DUMMYFUNCTION("""COMPUTED_VALUE"""),4.17)</f>
        <v>4.17</v>
      </c>
      <c r="V1806" s="1" t="str">
        <f>IFERROR(__xludf.DUMMYFUNCTION("""COMPUTED_VALUE"""),"Marie Mordeno")</f>
        <v>Marie Mordeno</v>
      </c>
      <c r="W1806" s="1" t="str">
        <f>IFERROR(__xludf.DUMMYFUNCTION("""COMPUTED_VALUE"""),"Advanced Billing &amp; Subscriptions")</f>
        <v>Advanced Billing &amp; Subscriptions</v>
      </c>
    </row>
    <row r="1807">
      <c r="O1807" s="1" t="str">
        <f>IFERROR(__xludf.DUMMYFUNCTION("""COMPUTED_VALUE"""),"2025 Dec")</f>
        <v>2025 Dec</v>
      </c>
      <c r="P1807" s="1" t="str">
        <f>IFERROR(__xludf.DUMMYFUNCTION("""COMPUTED_VALUE"""),"Core Product Support")</f>
        <v>Core Product Support</v>
      </c>
      <c r="Q1807" s="1" t="str">
        <f>IFERROR(__xludf.DUMMYFUNCTION("""COMPUTED_VALUE"""),"jed@canva.com")</f>
        <v>jed@canva.com</v>
      </c>
      <c r="R1807" s="1" t="str">
        <f>IFERROR(__xludf.DUMMYFUNCTION("""COMPUTED_VALUE"""),"Jed Wenceslao")</f>
        <v>Jed Wenceslao</v>
      </c>
      <c r="S1807" s="1"/>
      <c r="T1807" s="1">
        <f>IFERROR(__xludf.DUMMYFUNCTION("""COMPUTED_VALUE"""),19.18)</f>
        <v>19.18</v>
      </c>
      <c r="U1807" s="2">
        <f>IFERROR(__xludf.DUMMYFUNCTION("""COMPUTED_VALUE"""),19.18)</f>
        <v>19.18</v>
      </c>
      <c r="V1807" s="1" t="str">
        <f>IFERROR(__xludf.DUMMYFUNCTION("""COMPUTED_VALUE"""),"Sieg Ballelos")</f>
        <v>Sieg Ballelos</v>
      </c>
      <c r="W1807" s="1" t="str">
        <f>IFERROR(__xludf.DUMMYFUNCTION("""COMPUTED_VALUE"""),"Core Product Support Escalation Team")</f>
        <v>Core Product Support Escalation Team</v>
      </c>
    </row>
    <row r="1808">
      <c r="O1808" s="1" t="str">
        <f>IFERROR(__xludf.DUMMYFUNCTION("""COMPUTED_VALUE"""),"2025 Dec")</f>
        <v>2025 Dec</v>
      </c>
      <c r="P1808" s="1" t="str">
        <f>IFERROR(__xludf.DUMMYFUNCTION("""COMPUTED_VALUE"""),"Core Product Support")</f>
        <v>Core Product Support</v>
      </c>
      <c r="Q1808" s="1" t="str">
        <f>IFERROR(__xludf.DUMMYFUNCTION("""COMPUTED_VALUE"""),"jen@canva.com")</f>
        <v>jen@canva.com</v>
      </c>
      <c r="R1808" s="1" t="str">
        <f>IFERROR(__xludf.DUMMYFUNCTION("""COMPUTED_VALUE"""),"Jenber Teves")</f>
        <v>Jenber Teves</v>
      </c>
      <c r="S1808" s="1">
        <f>IFERROR(__xludf.DUMMYFUNCTION("""COMPUTED_VALUE"""),0.5)</f>
        <v>0.5</v>
      </c>
      <c r="T1808" s="1">
        <f>IFERROR(__xludf.DUMMYFUNCTION("""COMPUTED_VALUE"""),18.75)</f>
        <v>18.75</v>
      </c>
      <c r="U1808" s="2">
        <f>IFERROR(__xludf.DUMMYFUNCTION("""COMPUTED_VALUE"""),19.25)</f>
        <v>19.25</v>
      </c>
      <c r="V1808" s="1" t="str">
        <f>IFERROR(__xludf.DUMMYFUNCTION("""COMPUTED_VALUE"""),"Ellaine Estayo")</f>
        <v>Ellaine Estayo</v>
      </c>
      <c r="W1808" s="1" t="str">
        <f>IFERROR(__xludf.DUMMYFUNCTION("""COMPUTED_VALUE"""),"Core Product Support Escalation Team")</f>
        <v>Core Product Support Escalation Team</v>
      </c>
    </row>
    <row r="1809">
      <c r="O1809" s="1" t="str">
        <f>IFERROR(__xludf.DUMMYFUNCTION("""COMPUTED_VALUE"""),"2025 Dec")</f>
        <v>2025 Dec</v>
      </c>
      <c r="P1809" s="1" t="str">
        <f>IFERROR(__xludf.DUMMYFUNCTION("""COMPUTED_VALUE"""),"#N/A")</f>
        <v>#N/A</v>
      </c>
      <c r="Q1809" s="1" t="str">
        <f>IFERROR(__xludf.DUMMYFUNCTION("""COMPUTED_VALUE"""),"jerica@canva.com")</f>
        <v>jerica@canva.com</v>
      </c>
      <c r="R1809" s="1" t="str">
        <f>IFERROR(__xludf.DUMMYFUNCTION("""COMPUTED_VALUE"""),"Jerica Tan")</f>
        <v>Jerica Tan</v>
      </c>
      <c r="S1809" s="1">
        <f>IFERROR(__xludf.DUMMYFUNCTION("""COMPUTED_VALUE"""),13.0)</f>
        <v>13</v>
      </c>
      <c r="T1809" s="1">
        <f>IFERROR(__xludf.DUMMYFUNCTION("""COMPUTED_VALUE"""),4.63)</f>
        <v>4.63</v>
      </c>
      <c r="U1809" s="2">
        <f>IFERROR(__xludf.DUMMYFUNCTION("""COMPUTED_VALUE"""),17.63)</f>
        <v>17.63</v>
      </c>
      <c r="V1809" s="1" t="str">
        <f>IFERROR(__xludf.DUMMYFUNCTION("""COMPUTED_VALUE"""),"#N/A")</f>
        <v>#N/A</v>
      </c>
      <c r="W1809" s="1" t="str">
        <f>IFERROR(__xludf.DUMMYFUNCTION("""COMPUTED_VALUE"""),"High Sensitivity Support PH")</f>
        <v>High Sensitivity Support PH</v>
      </c>
    </row>
    <row r="1810">
      <c r="O1810" s="1" t="str">
        <f>IFERROR(__xludf.DUMMYFUNCTION("""COMPUTED_VALUE"""),"2025 Dec")</f>
        <v>2025 Dec</v>
      </c>
      <c r="P1810" s="1" t="str">
        <f>IFERROR(__xludf.DUMMYFUNCTION("""COMPUTED_VALUE"""),"Print Support")</f>
        <v>Print Support</v>
      </c>
      <c r="Q1810" s="1" t="str">
        <f>IFERROR(__xludf.DUMMYFUNCTION("""COMPUTED_VALUE"""),"jesicamari@canva.com")</f>
        <v>jesicamari@canva.com</v>
      </c>
      <c r="R1810" s="1" t="str">
        <f>IFERROR(__xludf.DUMMYFUNCTION("""COMPUTED_VALUE"""),"Jesica Laureola")</f>
        <v>Jesica Laureola</v>
      </c>
      <c r="S1810" s="1"/>
      <c r="T1810" s="1">
        <f>IFERROR(__xludf.DUMMYFUNCTION("""COMPUTED_VALUE"""),2.0)</f>
        <v>2</v>
      </c>
      <c r="U1810" s="2">
        <f>IFERROR(__xludf.DUMMYFUNCTION("""COMPUTED_VALUE"""),2.0)</f>
        <v>2</v>
      </c>
      <c r="V1810" s="1" t="str">
        <f>IFERROR(__xludf.DUMMYFUNCTION("""COMPUTED_VALUE"""),"Rei De Jesus")</f>
        <v>Rei De Jesus</v>
      </c>
      <c r="W1810" s="1" t="str">
        <f>IFERROR(__xludf.DUMMYFUNCTION("""COMPUTED_VALUE"""),"Print Design Support")</f>
        <v>Print Design Support</v>
      </c>
    </row>
    <row r="1811">
      <c r="O1811" s="1" t="str">
        <f>IFERROR(__xludf.DUMMYFUNCTION("""COMPUTED_VALUE"""),"2025 Dec")</f>
        <v>2025 Dec</v>
      </c>
      <c r="P1811" s="1" t="str">
        <f>IFERROR(__xludf.DUMMYFUNCTION("""COMPUTED_VALUE"""),"Core Product Support")</f>
        <v>Core Product Support</v>
      </c>
      <c r="Q1811" s="1" t="str">
        <f>IFERROR(__xludf.DUMMYFUNCTION("""COMPUTED_VALUE"""),"jbrizuela@canva.com")</f>
        <v>jbrizuela@canva.com</v>
      </c>
      <c r="R1811" s="1" t="str">
        <f>IFERROR(__xludf.DUMMYFUNCTION("""COMPUTED_VALUE"""),"Jessa Brizuela")</f>
        <v>Jessa Brizuela</v>
      </c>
      <c r="S1811" s="1">
        <f>IFERROR(__xludf.DUMMYFUNCTION("""COMPUTED_VALUE"""),0.5)</f>
        <v>0.5</v>
      </c>
      <c r="T1811" s="1">
        <f>IFERROR(__xludf.DUMMYFUNCTION("""COMPUTED_VALUE"""),2.0)</f>
        <v>2</v>
      </c>
      <c r="U1811" s="2">
        <f>IFERROR(__xludf.DUMMYFUNCTION("""COMPUTED_VALUE"""),2.5)</f>
        <v>2.5</v>
      </c>
      <c r="V1811" s="1" t="str">
        <f>IFERROR(__xludf.DUMMYFUNCTION("""COMPUTED_VALUE"""),"Renette Bok")</f>
        <v>Renette Bok</v>
      </c>
      <c r="W1811" s="1" t="str">
        <f>IFERROR(__xludf.DUMMYFUNCTION("""COMPUTED_VALUE"""),"Advanced Billing &amp; Subscriptions")</f>
        <v>Advanced Billing &amp; Subscriptions</v>
      </c>
    </row>
    <row r="1812">
      <c r="O1812" s="1" t="str">
        <f>IFERROR(__xludf.DUMMYFUNCTION("""COMPUTED_VALUE"""),"2025 Dec")</f>
        <v>2025 Dec</v>
      </c>
      <c r="P1812" s="1" t="str">
        <f>IFERROR(__xludf.DUMMYFUNCTION("""COMPUTED_VALUE"""),"Core Product Support")</f>
        <v>Core Product Support</v>
      </c>
      <c r="Q1812" s="1" t="str">
        <f>IFERROR(__xludf.DUMMYFUNCTION("""COMPUTED_VALUE"""),"jian@canva.com")</f>
        <v>jian@canva.com</v>
      </c>
      <c r="R1812" s="1" t="str">
        <f>IFERROR(__xludf.DUMMYFUNCTION("""COMPUTED_VALUE"""),"Jian Paula Inocencio")</f>
        <v>Jian Paula Inocencio</v>
      </c>
      <c r="S1812" s="1"/>
      <c r="T1812" s="1">
        <f>IFERROR(__xludf.DUMMYFUNCTION("""COMPUTED_VALUE"""),3.75)</f>
        <v>3.75</v>
      </c>
      <c r="U1812" s="2">
        <f>IFERROR(__xludf.DUMMYFUNCTION("""COMPUTED_VALUE"""),3.75)</f>
        <v>3.75</v>
      </c>
      <c r="V1812" s="1" t="str">
        <f>IFERROR(__xludf.DUMMYFUNCTION("""COMPUTED_VALUE"""),"Vinz Lazaro")</f>
        <v>Vinz Lazaro</v>
      </c>
      <c r="W1812" s="1" t="str">
        <f>IFERROR(__xludf.DUMMYFUNCTION("""COMPUTED_VALUE"""),"Advanced Product Support")</f>
        <v>Advanced Product Support</v>
      </c>
    </row>
    <row r="1813">
      <c r="O1813" s="1" t="str">
        <f>IFERROR(__xludf.DUMMYFUNCTION("""COMPUTED_VALUE"""),"2025 Dec")</f>
        <v>2025 Dec</v>
      </c>
      <c r="P1813" s="1" t="str">
        <f>IFERROR(__xludf.DUMMYFUNCTION("""COMPUTED_VALUE"""),"Core Product Support")</f>
        <v>Core Product Support</v>
      </c>
      <c r="Q1813" s="1" t="str">
        <f>IFERROR(__xludf.DUMMYFUNCTION("""COMPUTED_VALUE"""),"jilll@canva.com")</f>
        <v>jilll@canva.com</v>
      </c>
      <c r="R1813" s="1" t="str">
        <f>IFERROR(__xludf.DUMMYFUNCTION("""COMPUTED_VALUE"""),"Jill Linco")</f>
        <v>Jill Linco</v>
      </c>
      <c r="S1813" s="1">
        <f>IFERROR(__xludf.DUMMYFUNCTION("""COMPUTED_VALUE"""),0.5)</f>
        <v>0.5</v>
      </c>
      <c r="T1813" s="1">
        <f>IFERROR(__xludf.DUMMYFUNCTION("""COMPUTED_VALUE"""),1.0)</f>
        <v>1</v>
      </c>
      <c r="U1813" s="2">
        <f>IFERROR(__xludf.DUMMYFUNCTION("""COMPUTED_VALUE"""),1.5)</f>
        <v>1.5</v>
      </c>
      <c r="V1813" s="1" t="str">
        <f>IFERROR(__xludf.DUMMYFUNCTION("""COMPUTED_VALUE"""),"Cate Velasco")</f>
        <v>Cate Velasco</v>
      </c>
      <c r="W1813" s="1" t="str">
        <f>IFERROR(__xludf.DUMMYFUNCTION("""COMPUTED_VALUE"""),"Advanced Product Support")</f>
        <v>Advanced Product Support</v>
      </c>
    </row>
    <row r="1814">
      <c r="O1814" s="1" t="str">
        <f>IFERROR(__xludf.DUMMYFUNCTION("""COMPUTED_VALUE"""),"2025 Dec")</f>
        <v>2025 Dec</v>
      </c>
      <c r="P1814" s="1" t="str">
        <f>IFERROR(__xludf.DUMMYFUNCTION("""COMPUTED_VALUE"""),"Segment-specific Support")</f>
        <v>Segment-specific Support</v>
      </c>
      <c r="Q1814" s="1" t="str">
        <f>IFERROR(__xludf.DUMMYFUNCTION("""COMPUTED_VALUE"""),"jillann@canva.com")</f>
        <v>jillann@canva.com</v>
      </c>
      <c r="R1814" s="1" t="str">
        <f>IFERROR(__xludf.DUMMYFUNCTION("""COMPUTED_VALUE"""),"Jill-Ann Reducindo")</f>
        <v>Jill-Ann Reducindo</v>
      </c>
      <c r="S1814" s="1"/>
      <c r="T1814" s="1"/>
      <c r="U1814" s="2">
        <f>IFERROR(__xludf.DUMMYFUNCTION("""COMPUTED_VALUE"""),0.0)</f>
        <v>0</v>
      </c>
      <c r="V1814" s="1" t="str">
        <f>IFERROR(__xludf.DUMMYFUNCTION("""COMPUTED_VALUE"""),"Rose Gabilan")</f>
        <v>Rose Gabilan</v>
      </c>
      <c r="W1814" s="1" t="str">
        <f>IFERROR(__xludf.DUMMYFUNCTION("""COMPUTED_VALUE"""),"Affinity Support")</f>
        <v>Affinity Support</v>
      </c>
    </row>
    <row r="1815">
      <c r="O1815" s="1" t="str">
        <f>IFERROR(__xludf.DUMMYFUNCTION("""COMPUTED_VALUE"""),"2025 Dec")</f>
        <v>2025 Dec</v>
      </c>
      <c r="P1815" s="1" t="str">
        <f>IFERROR(__xludf.DUMMYFUNCTION("""COMPUTED_VALUE"""),"Core Product Support")</f>
        <v>Core Product Support</v>
      </c>
      <c r="Q1815" s="1" t="str">
        <f>IFERROR(__xludf.DUMMYFUNCTION("""COMPUTED_VALUE"""),"jmfrial@canva.com")</f>
        <v>jmfrial@canva.com</v>
      </c>
      <c r="R1815" s="1" t="str">
        <f>IFERROR(__xludf.DUMMYFUNCTION("""COMPUTED_VALUE"""),"JM Frial")</f>
        <v>JM Frial</v>
      </c>
      <c r="S1815" s="1"/>
      <c r="T1815" s="1">
        <f>IFERROR(__xludf.DUMMYFUNCTION("""COMPUTED_VALUE"""),15.75)</f>
        <v>15.75</v>
      </c>
      <c r="U1815" s="2">
        <f>IFERROR(__xludf.DUMMYFUNCTION("""COMPUTED_VALUE"""),15.75)</f>
        <v>15.75</v>
      </c>
      <c r="V1815" s="1" t="str">
        <f>IFERROR(__xludf.DUMMYFUNCTION("""COMPUTED_VALUE"""),"Sieg Ballelos")</f>
        <v>Sieg Ballelos</v>
      </c>
      <c r="W1815" s="1" t="str">
        <f>IFERROR(__xludf.DUMMYFUNCTION("""COMPUTED_VALUE"""),"Core Product Support Escalation Team")</f>
        <v>Core Product Support Escalation Team</v>
      </c>
    </row>
    <row r="1816">
      <c r="O1816" s="1" t="str">
        <f>IFERROR(__xludf.DUMMYFUNCTION("""COMPUTED_VALUE"""),"2025 Dec")</f>
        <v>2025 Dec</v>
      </c>
      <c r="P1816" s="1" t="str">
        <f>IFERROR(__xludf.DUMMYFUNCTION("""COMPUTED_VALUE"""),"Core Product Support")</f>
        <v>Core Product Support</v>
      </c>
      <c r="Q1816" s="1" t="str">
        <f>IFERROR(__xludf.DUMMYFUNCTION("""COMPUTED_VALUE"""),"jmpascual@canva.com")</f>
        <v>jmpascual@canva.com</v>
      </c>
      <c r="R1816" s="1" t="str">
        <f>IFERROR(__xludf.DUMMYFUNCTION("""COMPUTED_VALUE"""),"JM Pascual")</f>
        <v>JM Pascual</v>
      </c>
      <c r="S1816" s="1">
        <f>IFERROR(__xludf.DUMMYFUNCTION("""COMPUTED_VALUE"""),1.5)</f>
        <v>1.5</v>
      </c>
      <c r="T1816" s="1">
        <f>IFERROR(__xludf.DUMMYFUNCTION("""COMPUTED_VALUE"""),1.0)</f>
        <v>1</v>
      </c>
      <c r="U1816" s="2">
        <f>IFERROR(__xludf.DUMMYFUNCTION("""COMPUTED_VALUE"""),2.5)</f>
        <v>2.5</v>
      </c>
      <c r="V1816" s="1" t="str">
        <f>IFERROR(__xludf.DUMMYFUNCTION("""COMPUTED_VALUE"""),"Belle Bentazal")</f>
        <v>Belle Bentazal</v>
      </c>
      <c r="W1816" s="1" t="str">
        <f>IFERROR(__xludf.DUMMYFUNCTION("""COMPUTED_VALUE"""),"Advanced Product Support")</f>
        <v>Advanced Product Support</v>
      </c>
    </row>
    <row r="1817">
      <c r="O1817" s="1" t="str">
        <f>IFERROR(__xludf.DUMMYFUNCTION("""COMPUTED_VALUE"""),"2025 Dec")</f>
        <v>2025 Dec</v>
      </c>
      <c r="P1817" s="1" t="str">
        <f>IFERROR(__xludf.DUMMYFUNCTION("""COMPUTED_VALUE"""),"Print Support")</f>
        <v>Print Support</v>
      </c>
      <c r="Q1817" s="1" t="str">
        <f>IFERROR(__xludf.DUMMYFUNCTION("""COMPUTED_VALUE"""),"joanmyle@canva.com")</f>
        <v>joanmyle@canva.com</v>
      </c>
      <c r="R1817" s="1" t="str">
        <f>IFERROR(__xludf.DUMMYFUNCTION("""COMPUTED_VALUE"""),"Joan Myle Dapog")</f>
        <v>Joan Myle Dapog</v>
      </c>
      <c r="S1817" s="1"/>
      <c r="T1817" s="1">
        <f>IFERROR(__xludf.DUMMYFUNCTION("""COMPUTED_VALUE"""),2.25)</f>
        <v>2.25</v>
      </c>
      <c r="U1817" s="2">
        <f>IFERROR(__xludf.DUMMYFUNCTION("""COMPUTED_VALUE"""),2.25)</f>
        <v>2.25</v>
      </c>
      <c r="V1817" s="1" t="str">
        <f>IFERROR(__xludf.DUMMYFUNCTION("""COMPUTED_VALUE"""),"Jen Momo")</f>
        <v>Jen Momo</v>
      </c>
      <c r="W1817" s="1" t="str">
        <f>IFERROR(__xludf.DUMMYFUNCTION("""COMPUTED_VALUE"""),"Print Support PH")</f>
        <v>Print Support PH</v>
      </c>
    </row>
    <row r="1818">
      <c r="O1818" s="1" t="str">
        <f>IFERROR(__xludf.DUMMYFUNCTION("""COMPUTED_VALUE"""),"2025 Dec")</f>
        <v>2025 Dec</v>
      </c>
      <c r="P1818" s="1" t="str">
        <f>IFERROR(__xludf.DUMMYFUNCTION("""COMPUTED_VALUE"""),"Print Support")</f>
        <v>Print Support</v>
      </c>
      <c r="Q1818" s="1" t="str">
        <f>IFERROR(__xludf.DUMMYFUNCTION("""COMPUTED_VALUE"""),"jmbeldua@canva.com")</f>
        <v>jmbeldua@canva.com</v>
      </c>
      <c r="R1818" s="1" t="str">
        <f>IFERROR(__xludf.DUMMYFUNCTION("""COMPUTED_VALUE"""),"Joane Beldua")</f>
        <v>Joane Beldua</v>
      </c>
      <c r="S1818" s="1"/>
      <c r="T1818" s="1">
        <f>IFERROR(__xludf.DUMMYFUNCTION("""COMPUTED_VALUE"""),2.25)</f>
        <v>2.25</v>
      </c>
      <c r="U1818" s="2">
        <f>IFERROR(__xludf.DUMMYFUNCTION("""COMPUTED_VALUE"""),2.25)</f>
        <v>2.25</v>
      </c>
      <c r="V1818" s="1" t="str">
        <f>IFERROR(__xludf.DUMMYFUNCTION("""COMPUTED_VALUE"""),"Louise Dianne Estrella")</f>
        <v>Louise Dianne Estrella</v>
      </c>
      <c r="W1818" s="1" t="str">
        <f>IFERROR(__xludf.DUMMYFUNCTION("""COMPUTED_VALUE"""),"Print Support PH")</f>
        <v>Print Support PH</v>
      </c>
    </row>
    <row r="1819">
      <c r="O1819" s="1" t="str">
        <f>IFERROR(__xludf.DUMMYFUNCTION("""COMPUTED_VALUE"""),"2025 Dec")</f>
        <v>2025 Dec</v>
      </c>
      <c r="P1819" s="1" t="str">
        <f>IFERROR(__xludf.DUMMYFUNCTION("""COMPUTED_VALUE"""),"Multilingual Support")</f>
        <v>Multilingual Support</v>
      </c>
      <c r="Q1819" s="1" t="str">
        <f>IFERROR(__xludf.DUMMYFUNCTION("""COMPUTED_VALUE"""),"joaqdivino@canva.com")</f>
        <v>joaqdivino@canva.com</v>
      </c>
      <c r="R1819" s="1" t="str">
        <f>IFERROR(__xludf.DUMMYFUNCTION("""COMPUTED_VALUE"""),"Joaquin Divino")</f>
        <v>Joaquin Divino</v>
      </c>
      <c r="S1819" s="1"/>
      <c r="T1819" s="1"/>
      <c r="U1819" s="2">
        <f>IFERROR(__xludf.DUMMYFUNCTION("""COMPUTED_VALUE"""),0.0)</f>
        <v>0</v>
      </c>
      <c r="V1819" s="1" t="str">
        <f>IFERROR(__xludf.DUMMYFUNCTION("""COMPUTED_VALUE"""),"Arlene Maurillo")</f>
        <v>Arlene Maurillo</v>
      </c>
      <c r="W1819" s="1" t="str">
        <f>IFERROR(__xludf.DUMMYFUNCTION("""COMPUTED_VALUE"""),"PHL, Multilingual Support")</f>
        <v>PHL, Multilingual Support</v>
      </c>
    </row>
    <row r="1820">
      <c r="O1820" s="1" t="str">
        <f>IFERROR(__xludf.DUMMYFUNCTION("""COMPUTED_VALUE"""),"2025 Dec")</f>
        <v>2025 Dec</v>
      </c>
      <c r="P1820" s="1" t="str">
        <f>IFERROR(__xludf.DUMMYFUNCTION("""COMPUTED_VALUE"""),"Core Product Support")</f>
        <v>Core Product Support</v>
      </c>
      <c r="Q1820" s="1" t="str">
        <f>IFERROR(__xludf.DUMMYFUNCTION("""COMPUTED_VALUE"""),"jocelynng@canva.com")</f>
        <v>jocelynng@canva.com</v>
      </c>
      <c r="R1820" s="1" t="str">
        <f>IFERROR(__xludf.DUMMYFUNCTION("""COMPUTED_VALUE"""),"Jocelyn Ng")</f>
        <v>Jocelyn Ng</v>
      </c>
      <c r="S1820" s="1">
        <f>IFERROR(__xludf.DUMMYFUNCTION("""COMPUTED_VALUE"""),0.03)</f>
        <v>0.03</v>
      </c>
      <c r="T1820" s="1">
        <f>IFERROR(__xludf.DUMMYFUNCTION("""COMPUTED_VALUE"""),19.32)</f>
        <v>19.32</v>
      </c>
      <c r="U1820" s="2">
        <f>IFERROR(__xludf.DUMMYFUNCTION("""COMPUTED_VALUE"""),19.35)</f>
        <v>19.35</v>
      </c>
      <c r="V1820" s="1" t="str">
        <f>IFERROR(__xludf.DUMMYFUNCTION("""COMPUTED_VALUE"""),"Sieg Ballelos")</f>
        <v>Sieg Ballelos</v>
      </c>
      <c r="W1820" s="1" t="str">
        <f>IFERROR(__xludf.DUMMYFUNCTION("""COMPUTED_VALUE"""),"Core Product Support Escalation Team")</f>
        <v>Core Product Support Escalation Team</v>
      </c>
    </row>
    <row r="1821">
      <c r="O1821" s="1" t="str">
        <f>IFERROR(__xludf.DUMMYFUNCTION("""COMPUTED_VALUE"""),"2025 Dec")</f>
        <v>2025 Dec</v>
      </c>
      <c r="P1821" s="1" t="str">
        <f>IFERROR(__xludf.DUMMYFUNCTION("""COMPUTED_VALUE"""),"Admin Support")</f>
        <v>Admin Support</v>
      </c>
      <c r="Q1821" s="1" t="str">
        <f>IFERROR(__xludf.DUMMYFUNCTION("""COMPUTED_VALUE"""),"cee@canva.com")</f>
        <v>cee@canva.com</v>
      </c>
      <c r="R1821" s="1" t="str">
        <f>IFERROR(__xludf.DUMMYFUNCTION("""COMPUTED_VALUE"""),"John Carlo Gonzales")</f>
        <v>John Carlo Gonzales</v>
      </c>
      <c r="S1821" s="1"/>
      <c r="T1821" s="1">
        <f>IFERROR(__xludf.DUMMYFUNCTION("""COMPUTED_VALUE"""),14.25)</f>
        <v>14.25</v>
      </c>
      <c r="U1821" s="2">
        <f>IFERROR(__xludf.DUMMYFUNCTION("""COMPUTED_VALUE"""),14.25)</f>
        <v>14.25</v>
      </c>
      <c r="V1821" s="1" t="str">
        <f>IFERROR(__xludf.DUMMYFUNCTION("""COMPUTED_VALUE"""),"AL Suarez")</f>
        <v>AL Suarez</v>
      </c>
      <c r="W1821" s="1" t="str">
        <f>IFERROR(__xludf.DUMMYFUNCTION("""COMPUTED_VALUE"""),"Admin Direct Support")</f>
        <v>Admin Direct Support</v>
      </c>
    </row>
    <row r="1822">
      <c r="O1822" s="1" t="str">
        <f>IFERROR(__xludf.DUMMYFUNCTION("""COMPUTED_VALUE"""),"2025 Dec")</f>
        <v>2025 Dec</v>
      </c>
      <c r="P1822" s="1" t="str">
        <f>IFERROR(__xludf.DUMMYFUNCTION("""COMPUTED_VALUE"""),"Core Product Support")</f>
        <v>Core Product Support</v>
      </c>
      <c r="Q1822" s="1" t="str">
        <f>IFERROR(__xludf.DUMMYFUNCTION("""COMPUTED_VALUE"""),"khael@canva.com")</f>
        <v>khael@canva.com</v>
      </c>
      <c r="R1822" s="1" t="str">
        <f>IFERROR(__xludf.DUMMYFUNCTION("""COMPUTED_VALUE"""),"John Pieda")</f>
        <v>John Pieda</v>
      </c>
      <c r="S1822" s="1">
        <f>IFERROR(__xludf.DUMMYFUNCTION("""COMPUTED_VALUE"""),1.5)</f>
        <v>1.5</v>
      </c>
      <c r="T1822" s="1">
        <f>IFERROR(__xludf.DUMMYFUNCTION("""COMPUTED_VALUE"""),3.25)</f>
        <v>3.25</v>
      </c>
      <c r="U1822" s="2">
        <f>IFERROR(__xludf.DUMMYFUNCTION("""COMPUTED_VALUE"""),4.75)</f>
        <v>4.75</v>
      </c>
      <c r="V1822" s="1" t="str">
        <f>IFERROR(__xludf.DUMMYFUNCTION("""COMPUTED_VALUE"""),"Ayza Marie Pascual")</f>
        <v>Ayza Marie Pascual</v>
      </c>
      <c r="W1822" s="1" t="str">
        <f>IFERROR(__xludf.DUMMYFUNCTION("""COMPUTED_VALUE"""),"Advanced Billing &amp; Subscriptions")</f>
        <v>Advanced Billing &amp; Subscriptions</v>
      </c>
    </row>
    <row r="1823">
      <c r="O1823" s="1" t="str">
        <f>IFERROR(__xludf.DUMMYFUNCTION("""COMPUTED_VALUE"""),"2025 Dec")</f>
        <v>2025 Dec</v>
      </c>
      <c r="P1823" s="1" t="str">
        <f>IFERROR(__xludf.DUMMYFUNCTION("""COMPUTED_VALUE"""),"Core Product Support")</f>
        <v>Core Product Support</v>
      </c>
      <c r="Q1823" s="1" t="str">
        <f>IFERROR(__xludf.DUMMYFUNCTION("""COMPUTED_VALUE"""),"jonahezra@canva.com")</f>
        <v>jonahezra@canva.com</v>
      </c>
      <c r="R1823" s="1" t="str">
        <f>IFERROR(__xludf.DUMMYFUNCTION("""COMPUTED_VALUE"""),"Jonah Ezra Vergara")</f>
        <v>Jonah Ezra Vergara</v>
      </c>
      <c r="S1823" s="1"/>
      <c r="T1823" s="1">
        <f>IFERROR(__xludf.DUMMYFUNCTION("""COMPUTED_VALUE"""),19.83)</f>
        <v>19.83</v>
      </c>
      <c r="U1823" s="2">
        <f>IFERROR(__xludf.DUMMYFUNCTION("""COMPUTED_VALUE"""),19.83)</f>
        <v>19.83</v>
      </c>
      <c r="V1823" s="1" t="str">
        <f>IFERROR(__xludf.DUMMYFUNCTION("""COMPUTED_VALUE"""),"Ellaine Estayo")</f>
        <v>Ellaine Estayo</v>
      </c>
      <c r="W1823" s="1" t="str">
        <f>IFERROR(__xludf.DUMMYFUNCTION("""COMPUTED_VALUE"""),"Core Product Support Escalation Team")</f>
        <v>Core Product Support Escalation Team</v>
      </c>
    </row>
    <row r="1824">
      <c r="O1824" s="1" t="str">
        <f>IFERROR(__xludf.DUMMYFUNCTION("""COMPUTED_VALUE"""),"2025 Dec")</f>
        <v>2025 Dec</v>
      </c>
      <c r="P1824" s="1" t="str">
        <f>IFERROR(__xludf.DUMMYFUNCTION("""COMPUTED_VALUE"""),"Core Product Support")</f>
        <v>Core Product Support</v>
      </c>
      <c r="Q1824" s="1" t="str">
        <f>IFERROR(__xludf.DUMMYFUNCTION("""COMPUTED_VALUE"""),"cjopphet@canva.com")</f>
        <v>cjopphet@canva.com</v>
      </c>
      <c r="R1824" s="1" t="str">
        <f>IFERROR(__xludf.DUMMYFUNCTION("""COMPUTED_VALUE"""),"Jopphet Villafuerte")</f>
        <v>Jopphet Villafuerte</v>
      </c>
      <c r="S1824" s="1">
        <f>IFERROR(__xludf.DUMMYFUNCTION("""COMPUTED_VALUE"""),1.0)</f>
        <v>1</v>
      </c>
      <c r="T1824" s="1">
        <f>IFERROR(__xludf.DUMMYFUNCTION("""COMPUTED_VALUE"""),5.0)</f>
        <v>5</v>
      </c>
      <c r="U1824" s="2">
        <f>IFERROR(__xludf.DUMMYFUNCTION("""COMPUTED_VALUE"""),6.0)</f>
        <v>6</v>
      </c>
      <c r="V1824" s="1" t="str">
        <f>IFERROR(__xludf.DUMMYFUNCTION("""COMPUTED_VALUE"""),"Ayza Marie Pascual")</f>
        <v>Ayza Marie Pascual</v>
      </c>
      <c r="W1824" s="1" t="str">
        <f>IFERROR(__xludf.DUMMYFUNCTION("""COMPUTED_VALUE"""),"Advanced Billing &amp; Subscriptions")</f>
        <v>Advanced Billing &amp; Subscriptions</v>
      </c>
    </row>
    <row r="1825">
      <c r="O1825" s="1" t="str">
        <f>IFERROR(__xludf.DUMMYFUNCTION("""COMPUTED_VALUE"""),"2025 Dec")</f>
        <v>2025 Dec</v>
      </c>
      <c r="P1825" s="1" t="str">
        <f>IFERROR(__xludf.DUMMYFUNCTION("""COMPUTED_VALUE"""),"Segment-specific Support")</f>
        <v>Segment-specific Support</v>
      </c>
      <c r="Q1825" s="1" t="str">
        <f>IFERROR(__xludf.DUMMYFUNCTION("""COMPUTED_VALUE"""),"jorell@canva.com")</f>
        <v>jorell@canva.com</v>
      </c>
      <c r="R1825" s="1" t="str">
        <f>IFERROR(__xludf.DUMMYFUNCTION("""COMPUTED_VALUE"""),"Jorell Bollozos")</f>
        <v>Jorell Bollozos</v>
      </c>
      <c r="S1825" s="1"/>
      <c r="T1825" s="1">
        <f>IFERROR(__xludf.DUMMYFUNCTION("""COMPUTED_VALUE"""),2.75)</f>
        <v>2.75</v>
      </c>
      <c r="U1825" s="2">
        <f>IFERROR(__xludf.DUMMYFUNCTION("""COMPUTED_VALUE"""),2.75)</f>
        <v>2.75</v>
      </c>
      <c r="V1825" s="1" t="str">
        <f>IFERROR(__xludf.DUMMYFUNCTION("""COMPUTED_VALUE"""),"Gucci Nava")</f>
        <v>Gucci Nava</v>
      </c>
      <c r="W1825" s="1" t="str">
        <f>IFERROR(__xludf.DUMMYFUNCTION("""COMPUTED_VALUE"""),"Print Support PH")</f>
        <v>Print Support PH</v>
      </c>
    </row>
    <row r="1826">
      <c r="O1826" s="1" t="str">
        <f>IFERROR(__xludf.DUMMYFUNCTION("""COMPUTED_VALUE"""),"2025 Dec")</f>
        <v>2025 Dec</v>
      </c>
      <c r="P1826" s="1" t="str">
        <f>IFERROR(__xludf.DUMMYFUNCTION("""COMPUTED_VALUE"""),"Core Product Support")</f>
        <v>Core Product Support</v>
      </c>
      <c r="Q1826" s="1" t="str">
        <f>IFERROR(__xludf.DUMMYFUNCTION("""COMPUTED_VALUE"""),"josab@canva.com")</f>
        <v>josab@canva.com</v>
      </c>
      <c r="R1826" s="1" t="str">
        <f>IFERROR(__xludf.DUMMYFUNCTION("""COMPUTED_VALUE"""),"Josa Bernardino")</f>
        <v>Josa Bernardino</v>
      </c>
      <c r="S1826" s="1"/>
      <c r="T1826" s="1">
        <f>IFERROR(__xludf.DUMMYFUNCTION("""COMPUTED_VALUE"""),13.25)</f>
        <v>13.25</v>
      </c>
      <c r="U1826" s="2">
        <f>IFERROR(__xludf.DUMMYFUNCTION("""COMPUTED_VALUE"""),13.25)</f>
        <v>13.25</v>
      </c>
      <c r="V1826" s="1" t="str">
        <f>IFERROR(__xludf.DUMMYFUNCTION("""COMPUTED_VALUE"""),"Ellaine Estayo")</f>
        <v>Ellaine Estayo</v>
      </c>
      <c r="W1826" s="1" t="str">
        <f>IFERROR(__xludf.DUMMYFUNCTION("""COMPUTED_VALUE"""),"Core Product Support Escalation Team")</f>
        <v>Core Product Support Escalation Team</v>
      </c>
    </row>
    <row r="1827">
      <c r="O1827" s="1" t="str">
        <f>IFERROR(__xludf.DUMMYFUNCTION("""COMPUTED_VALUE"""),"2025 Dec")</f>
        <v>2025 Dec</v>
      </c>
      <c r="P1827" s="1" t="str">
        <f>IFERROR(__xludf.DUMMYFUNCTION("""COMPUTED_VALUE"""),"Print Support")</f>
        <v>Print Support</v>
      </c>
      <c r="Q1827" s="1" t="str">
        <f>IFERROR(__xludf.DUMMYFUNCTION("""COMPUTED_VALUE"""),"quin@canva.com")</f>
        <v>quin@canva.com</v>
      </c>
      <c r="R1827" s="1" t="str">
        <f>IFERROR(__xludf.DUMMYFUNCTION("""COMPUTED_VALUE"""),"Jose Antiquin")</f>
        <v>Jose Antiquin</v>
      </c>
      <c r="S1827" s="1"/>
      <c r="T1827" s="1">
        <f>IFERROR(__xludf.DUMMYFUNCTION("""COMPUTED_VALUE"""),4.17)</f>
        <v>4.17</v>
      </c>
      <c r="U1827" s="2">
        <f>IFERROR(__xludf.DUMMYFUNCTION("""COMPUTED_VALUE"""),4.17)</f>
        <v>4.17</v>
      </c>
      <c r="V1827" s="1" t="str">
        <f>IFERROR(__xludf.DUMMYFUNCTION("""COMPUTED_VALUE"""),"Jen Momo")</f>
        <v>Jen Momo</v>
      </c>
      <c r="W1827" s="1" t="str">
        <f>IFERROR(__xludf.DUMMYFUNCTION("""COMPUTED_VALUE"""),"Print Support PH")</f>
        <v>Print Support PH</v>
      </c>
    </row>
    <row r="1828">
      <c r="O1828" s="1" t="str">
        <f>IFERROR(__xludf.DUMMYFUNCTION("""COMPUTED_VALUE"""),"2025 Dec")</f>
        <v>2025 Dec</v>
      </c>
      <c r="P1828" s="1" t="str">
        <f>IFERROR(__xludf.DUMMYFUNCTION("""COMPUTED_VALUE"""),"Admin Support")</f>
        <v>Admin Support</v>
      </c>
      <c r="Q1828" s="1" t="str">
        <f>IFERROR(__xludf.DUMMYFUNCTION("""COMPUTED_VALUE"""),"joshid@canva.com")</f>
        <v>joshid@canva.com</v>
      </c>
      <c r="R1828" s="1" t="str">
        <f>IFERROR(__xludf.DUMMYFUNCTION("""COMPUTED_VALUE"""),"Joshua Dacanay")</f>
        <v>Joshua Dacanay</v>
      </c>
      <c r="S1828" s="1"/>
      <c r="T1828" s="1">
        <f>IFERROR(__xludf.DUMMYFUNCTION("""COMPUTED_VALUE"""),8.42)</f>
        <v>8.42</v>
      </c>
      <c r="U1828" s="2">
        <f>IFERROR(__xludf.DUMMYFUNCTION("""COMPUTED_VALUE"""),8.42)</f>
        <v>8.42</v>
      </c>
      <c r="V1828" s="1" t="str">
        <f>IFERROR(__xludf.DUMMYFUNCTION("""COMPUTED_VALUE"""),"AL Suarez")</f>
        <v>AL Suarez</v>
      </c>
      <c r="W1828" s="1" t="str">
        <f>IFERROR(__xludf.DUMMYFUNCTION("""COMPUTED_VALUE"""),"Admin Direct Support")</f>
        <v>Admin Direct Support</v>
      </c>
    </row>
    <row r="1829">
      <c r="O1829" s="1" t="str">
        <f>IFERROR(__xludf.DUMMYFUNCTION("""COMPUTED_VALUE"""),"2025 Dec")</f>
        <v>2025 Dec</v>
      </c>
      <c r="P1829" s="1" t="str">
        <f>IFERROR(__xludf.DUMMYFUNCTION("""COMPUTED_VALUE"""),"High Sensitivity Support")</f>
        <v>High Sensitivity Support</v>
      </c>
      <c r="Q1829" s="1" t="str">
        <f>IFERROR(__xludf.DUMMYFUNCTION("""COMPUTED_VALUE"""),"jpbasco@canva.com")</f>
        <v>jpbasco@canva.com</v>
      </c>
      <c r="R1829" s="1" t="str">
        <f>IFERROR(__xludf.DUMMYFUNCTION("""COMPUTED_VALUE"""),"JP Basco")</f>
        <v>JP Basco</v>
      </c>
      <c r="S1829" s="1">
        <f>IFERROR(__xludf.DUMMYFUNCTION("""COMPUTED_VALUE"""),16.0)</f>
        <v>16</v>
      </c>
      <c r="T1829" s="1">
        <f>IFERROR(__xludf.DUMMYFUNCTION("""COMPUTED_VALUE"""),1.0)</f>
        <v>1</v>
      </c>
      <c r="U1829" s="2">
        <f>IFERROR(__xludf.DUMMYFUNCTION("""COMPUTED_VALUE"""),17.0)</f>
        <v>17</v>
      </c>
      <c r="V1829" s="1" t="str">
        <f>IFERROR(__xludf.DUMMYFUNCTION("""COMPUTED_VALUE"""),"Rex Villamor")</f>
        <v>Rex Villamor</v>
      </c>
      <c r="W1829" s="1" t="str">
        <f>IFERROR(__xludf.DUMMYFUNCTION("""COMPUTED_VALUE"""),"High Sensitivity Support PH")</f>
        <v>High Sensitivity Support PH</v>
      </c>
    </row>
    <row r="1830">
      <c r="O1830" s="1" t="str">
        <f>IFERROR(__xludf.DUMMYFUNCTION("""COMPUTED_VALUE"""),"2025 Dec")</f>
        <v>2025 Dec</v>
      </c>
      <c r="P1830" s="1" t="str">
        <f>IFERROR(__xludf.DUMMYFUNCTION("""COMPUTED_VALUE"""),"Core Product Support")</f>
        <v>Core Product Support</v>
      </c>
      <c r="Q1830" s="1" t="str">
        <f>IFERROR(__xludf.DUMMYFUNCTION("""COMPUTED_VALUE"""),"mgonzalgo@canva.com")</f>
        <v>mgonzalgo@canva.com</v>
      </c>
      <c r="R1830" s="1" t="str">
        <f>IFERROR(__xludf.DUMMYFUNCTION("""COMPUTED_VALUE"""),"Juhrella Gonzalgo")</f>
        <v>Juhrella Gonzalgo</v>
      </c>
      <c r="S1830" s="1">
        <f>IFERROR(__xludf.DUMMYFUNCTION("""COMPUTED_VALUE"""),0.5)</f>
        <v>0.5</v>
      </c>
      <c r="T1830" s="1">
        <f>IFERROR(__xludf.DUMMYFUNCTION("""COMPUTED_VALUE"""),1.67)</f>
        <v>1.67</v>
      </c>
      <c r="U1830" s="2">
        <f>IFERROR(__xludf.DUMMYFUNCTION("""COMPUTED_VALUE"""),2.17)</f>
        <v>2.17</v>
      </c>
      <c r="V1830" s="1" t="str">
        <f>IFERROR(__xludf.DUMMYFUNCTION("""COMPUTED_VALUE"""),"Mikhaela Decangchon")</f>
        <v>Mikhaela Decangchon</v>
      </c>
      <c r="W1830" s="1" t="str">
        <f>IFERROR(__xludf.DUMMYFUNCTION("""COMPUTED_VALUE"""),"Advanced Product Support")</f>
        <v>Advanced Product Support</v>
      </c>
    </row>
    <row r="1831">
      <c r="O1831" s="1" t="str">
        <f>IFERROR(__xludf.DUMMYFUNCTION("""COMPUTED_VALUE"""),"2025 Dec")</f>
        <v>2025 Dec</v>
      </c>
      <c r="P1831" s="1" t="str">
        <f>IFERROR(__xludf.DUMMYFUNCTION("""COMPUTED_VALUE"""),"Admin Support")</f>
        <v>Admin Support</v>
      </c>
      <c r="Q1831" s="1" t="str">
        <f>IFERROR(__xludf.DUMMYFUNCTION("""COMPUTED_VALUE"""),"justinem@canva.com")</f>
        <v>justinem@canva.com</v>
      </c>
      <c r="R1831" s="1" t="str">
        <f>IFERROR(__xludf.DUMMYFUNCTION("""COMPUTED_VALUE"""),"Justine Valerie Meneses")</f>
        <v>Justine Valerie Meneses</v>
      </c>
      <c r="S1831" s="1"/>
      <c r="T1831" s="1">
        <f>IFERROR(__xludf.DUMMYFUNCTION("""COMPUTED_VALUE"""),35.5)</f>
        <v>35.5</v>
      </c>
      <c r="U1831" s="2">
        <f>IFERROR(__xludf.DUMMYFUNCTION("""COMPUTED_VALUE"""),35.5)</f>
        <v>35.5</v>
      </c>
      <c r="V1831" s="1" t="str">
        <f>IFERROR(__xludf.DUMMYFUNCTION("""COMPUTED_VALUE"""),"Karla Mananghaya")</f>
        <v>Karla Mananghaya</v>
      </c>
      <c r="W1831" s="1" t="str">
        <f>IFERROR(__xludf.DUMMYFUNCTION("""COMPUTED_VALUE"""),"Admin Support Service Escalation Team")</f>
        <v>Admin Support Service Escalation Team</v>
      </c>
    </row>
    <row r="1832">
      <c r="O1832" s="1" t="str">
        <f>IFERROR(__xludf.DUMMYFUNCTION("""COMPUTED_VALUE"""),"2025 Dec")</f>
        <v>2025 Dec</v>
      </c>
      <c r="P1832" s="1" t="str">
        <f>IFERROR(__xludf.DUMMYFUNCTION("""COMPUTED_VALUE"""),"Admin Support")</f>
        <v>Admin Support</v>
      </c>
      <c r="Q1832" s="1" t="str">
        <f>IFERROR(__xludf.DUMMYFUNCTION("""COMPUTED_VALUE"""),"kamilleb@canva.com")</f>
        <v>kamilleb@canva.com</v>
      </c>
      <c r="R1832" s="1" t="str">
        <f>IFERROR(__xludf.DUMMYFUNCTION("""COMPUTED_VALUE"""),"Kamille Batuyong")</f>
        <v>Kamille Batuyong</v>
      </c>
      <c r="S1832" s="1"/>
      <c r="T1832" s="1">
        <f>IFERROR(__xludf.DUMMYFUNCTION("""COMPUTED_VALUE"""),2.25)</f>
        <v>2.25</v>
      </c>
      <c r="U1832" s="2">
        <f>IFERROR(__xludf.DUMMYFUNCTION("""COMPUTED_VALUE"""),2.25)</f>
        <v>2.25</v>
      </c>
      <c r="V1832" s="1" t="str">
        <f>IFERROR(__xludf.DUMMYFUNCTION("""COMPUTED_VALUE"""),"AL Suarez")</f>
        <v>AL Suarez</v>
      </c>
      <c r="W1832" s="1" t="str">
        <f>IFERROR(__xludf.DUMMYFUNCTION("""COMPUTED_VALUE"""),"Print Support PH")</f>
        <v>Print Support PH</v>
      </c>
    </row>
    <row r="1833">
      <c r="O1833" s="1" t="str">
        <f>IFERROR(__xludf.DUMMYFUNCTION("""COMPUTED_VALUE"""),"2025 Dec")</f>
        <v>2025 Dec</v>
      </c>
      <c r="P1833" s="1" t="str">
        <f>IFERROR(__xludf.DUMMYFUNCTION("""COMPUTED_VALUE"""),"Core Product Support")</f>
        <v>Core Product Support</v>
      </c>
      <c r="Q1833" s="1" t="str">
        <f>IFERROR(__xludf.DUMMYFUNCTION("""COMPUTED_VALUE"""),"katcee@canva.com")</f>
        <v>katcee@canva.com</v>
      </c>
      <c r="R1833" s="1" t="str">
        <f>IFERROR(__xludf.DUMMYFUNCTION("""COMPUTED_VALUE"""),"Katrin Cebedo")</f>
        <v>Katrin Cebedo</v>
      </c>
      <c r="S1833" s="1">
        <f>IFERROR(__xludf.DUMMYFUNCTION("""COMPUTED_VALUE"""),2.0)</f>
        <v>2</v>
      </c>
      <c r="T1833" s="1">
        <f>IFERROR(__xludf.DUMMYFUNCTION("""COMPUTED_VALUE"""),5.82)</f>
        <v>5.82</v>
      </c>
      <c r="U1833" s="2">
        <f>IFERROR(__xludf.DUMMYFUNCTION("""COMPUTED_VALUE"""),7.82)</f>
        <v>7.82</v>
      </c>
      <c r="V1833" s="1" t="str">
        <f>IFERROR(__xludf.DUMMYFUNCTION("""COMPUTED_VALUE"""),"Ayza Marie Pascual")</f>
        <v>Ayza Marie Pascual</v>
      </c>
      <c r="W1833" s="1" t="str">
        <f>IFERROR(__xludf.DUMMYFUNCTION("""COMPUTED_VALUE"""),"Advanced Billing &amp; Subscriptions")</f>
        <v>Advanced Billing &amp; Subscriptions</v>
      </c>
    </row>
    <row r="1834">
      <c r="O1834" s="1" t="str">
        <f>IFERROR(__xludf.DUMMYFUNCTION("""COMPUTED_VALUE"""),"2025 Dec")</f>
        <v>2025 Dec</v>
      </c>
      <c r="P1834" s="1" t="str">
        <f>IFERROR(__xludf.DUMMYFUNCTION("""COMPUTED_VALUE"""),"Print Support")</f>
        <v>Print Support</v>
      </c>
      <c r="Q1834" s="1" t="str">
        <f>IFERROR(__xludf.DUMMYFUNCTION("""COMPUTED_VALUE"""),"katejoya@canva.com")</f>
        <v>katejoya@canva.com</v>
      </c>
      <c r="R1834" s="1" t="str">
        <f>IFERROR(__xludf.DUMMYFUNCTION("""COMPUTED_VALUE"""),"Katrina Joya")</f>
        <v>Katrina Joya</v>
      </c>
      <c r="S1834" s="1"/>
      <c r="T1834" s="1">
        <f>IFERROR(__xludf.DUMMYFUNCTION("""COMPUTED_VALUE"""),2.0)</f>
        <v>2</v>
      </c>
      <c r="U1834" s="2">
        <f>IFERROR(__xludf.DUMMYFUNCTION("""COMPUTED_VALUE"""),2.0)</f>
        <v>2</v>
      </c>
      <c r="V1834" s="1" t="str">
        <f>IFERROR(__xludf.DUMMYFUNCTION("""COMPUTED_VALUE"""),"Gem Agoncillo")</f>
        <v>Gem Agoncillo</v>
      </c>
      <c r="W1834" s="1" t="str">
        <f>IFERROR(__xludf.DUMMYFUNCTION("""COMPUTED_VALUE"""),"Print Design Support")</f>
        <v>Print Design Support</v>
      </c>
    </row>
    <row r="1835">
      <c r="O1835" s="1" t="str">
        <f>IFERROR(__xludf.DUMMYFUNCTION("""COMPUTED_VALUE"""),"2025 Dec")</f>
        <v>2025 Dec</v>
      </c>
      <c r="P1835" s="1" t="str">
        <f>IFERROR(__xludf.DUMMYFUNCTION("""COMPUTED_VALUE"""),"Core Product Support")</f>
        <v>Core Product Support</v>
      </c>
      <c r="Q1835" s="1" t="str">
        <f>IFERROR(__xludf.DUMMYFUNCTION("""COMPUTED_VALUE"""),"kayl@canva.com")</f>
        <v>kayl@canva.com</v>
      </c>
      <c r="R1835" s="1" t="str">
        <f>IFERROR(__xludf.DUMMYFUNCTION("""COMPUTED_VALUE"""),"Kayl Albonia")</f>
        <v>Kayl Albonia</v>
      </c>
      <c r="S1835" s="1">
        <f>IFERROR(__xludf.DUMMYFUNCTION("""COMPUTED_VALUE"""),1.5)</f>
        <v>1.5</v>
      </c>
      <c r="T1835" s="1">
        <f>IFERROR(__xludf.DUMMYFUNCTION("""COMPUTED_VALUE"""),1.0)</f>
        <v>1</v>
      </c>
      <c r="U1835" s="2">
        <f>IFERROR(__xludf.DUMMYFUNCTION("""COMPUTED_VALUE"""),2.5)</f>
        <v>2.5</v>
      </c>
      <c r="V1835" s="1" t="str">
        <f>IFERROR(__xludf.DUMMYFUNCTION("""COMPUTED_VALUE"""),"Marie Mordeno")</f>
        <v>Marie Mordeno</v>
      </c>
      <c r="W1835" s="1" t="str">
        <f>IFERROR(__xludf.DUMMYFUNCTION("""COMPUTED_VALUE"""),"Advanced Billing &amp; Subscriptions")</f>
        <v>Advanced Billing &amp; Subscriptions</v>
      </c>
    </row>
    <row r="1836">
      <c r="O1836" s="1" t="str">
        <f>IFERROR(__xludf.DUMMYFUNCTION("""COMPUTED_VALUE"""),"2025 Dec")</f>
        <v>2025 Dec</v>
      </c>
      <c r="P1836" s="1" t="str">
        <f>IFERROR(__xludf.DUMMYFUNCTION("""COMPUTED_VALUE"""),"High Sensitivity Support")</f>
        <v>High Sensitivity Support</v>
      </c>
      <c r="Q1836" s="1" t="str">
        <f>IFERROR(__xludf.DUMMYFUNCTION("""COMPUTED_VALUE"""),"kathlene@canva.com")</f>
        <v>kathlene@canva.com</v>
      </c>
      <c r="R1836" s="1" t="str">
        <f>IFERROR(__xludf.DUMMYFUNCTION("""COMPUTED_VALUE"""),"KC Cruz")</f>
        <v>KC Cruz</v>
      </c>
      <c r="S1836" s="1">
        <f>IFERROR(__xludf.DUMMYFUNCTION("""COMPUTED_VALUE"""),18.18)</f>
        <v>18.18</v>
      </c>
      <c r="T1836" s="1">
        <f>IFERROR(__xludf.DUMMYFUNCTION("""COMPUTED_VALUE"""),1.0)</f>
        <v>1</v>
      </c>
      <c r="U1836" s="2">
        <f>IFERROR(__xludf.DUMMYFUNCTION("""COMPUTED_VALUE"""),19.18)</f>
        <v>19.18</v>
      </c>
      <c r="V1836" s="1" t="str">
        <f>IFERROR(__xludf.DUMMYFUNCTION("""COMPUTED_VALUE"""),"Xandy Azarcon")</f>
        <v>Xandy Azarcon</v>
      </c>
      <c r="W1836" s="1" t="str">
        <f>IFERROR(__xludf.DUMMYFUNCTION("""COMPUTED_VALUE"""),"High Sensitivity Support PH")</f>
        <v>High Sensitivity Support PH</v>
      </c>
    </row>
    <row r="1837">
      <c r="O1837" s="1" t="str">
        <f>IFERROR(__xludf.DUMMYFUNCTION("""COMPUTED_VALUE"""),"2025 Dec")</f>
        <v>2025 Dec</v>
      </c>
      <c r="P1837" s="1" t="str">
        <f>IFERROR(__xludf.DUMMYFUNCTION("""COMPUTED_VALUE"""),"Admin Support")</f>
        <v>Admin Support</v>
      </c>
      <c r="Q1837" s="1" t="str">
        <f>IFERROR(__xludf.DUMMYFUNCTION("""COMPUTED_VALUE"""),"kc@canva.com")</f>
        <v>kc@canva.com</v>
      </c>
      <c r="R1837" s="1" t="str">
        <f>IFERROR(__xludf.DUMMYFUNCTION("""COMPUTED_VALUE"""),"KC Sacramento")</f>
        <v>KC Sacramento</v>
      </c>
      <c r="S1837" s="1"/>
      <c r="T1837" s="1">
        <f>IFERROR(__xludf.DUMMYFUNCTION("""COMPUTED_VALUE"""),9.27)</f>
        <v>9.27</v>
      </c>
      <c r="U1837" s="2">
        <f>IFERROR(__xludf.DUMMYFUNCTION("""COMPUTED_VALUE"""),9.27)</f>
        <v>9.27</v>
      </c>
      <c r="V1837" s="1" t="str">
        <f>IFERROR(__xludf.DUMMYFUNCTION("""COMPUTED_VALUE"""),"Kelden Laguting")</f>
        <v>Kelden Laguting</v>
      </c>
      <c r="W1837" s="1" t="str">
        <f>IFERROR(__xludf.DUMMYFUNCTION("""COMPUTED_VALUE"""),"Admin Omni Support")</f>
        <v>Admin Omni Support</v>
      </c>
    </row>
    <row r="1838">
      <c r="O1838" s="1" t="str">
        <f>IFERROR(__xludf.DUMMYFUNCTION("""COMPUTED_VALUE"""),"2025 Dec")</f>
        <v>2025 Dec</v>
      </c>
      <c r="P1838" s="1" t="str">
        <f>IFERROR(__xludf.DUMMYFUNCTION("""COMPUTED_VALUE"""),"Core Product Support")</f>
        <v>Core Product Support</v>
      </c>
      <c r="Q1838" s="1" t="str">
        <f>IFERROR(__xludf.DUMMYFUNCTION("""COMPUTED_VALUE"""),"keisalazar@canva.com")</f>
        <v>keisalazar@canva.com</v>
      </c>
      <c r="R1838" s="1" t="str">
        <f>IFERROR(__xludf.DUMMYFUNCTION("""COMPUTED_VALUE"""),"Kei Salazar")</f>
        <v>Kei Salazar</v>
      </c>
      <c r="S1838" s="1">
        <f>IFERROR(__xludf.DUMMYFUNCTION("""COMPUTED_VALUE"""),0.5)</f>
        <v>0.5</v>
      </c>
      <c r="T1838" s="1">
        <f>IFERROR(__xludf.DUMMYFUNCTION("""COMPUTED_VALUE"""),1.28)</f>
        <v>1.28</v>
      </c>
      <c r="U1838" s="2">
        <f>IFERROR(__xludf.DUMMYFUNCTION("""COMPUTED_VALUE"""),1.78)</f>
        <v>1.78</v>
      </c>
      <c r="V1838" s="1" t="str">
        <f>IFERROR(__xludf.DUMMYFUNCTION("""COMPUTED_VALUE"""),"Ayza Marie Pascual")</f>
        <v>Ayza Marie Pascual</v>
      </c>
      <c r="W1838" s="1" t="str">
        <f>IFERROR(__xludf.DUMMYFUNCTION("""COMPUTED_VALUE"""),"Advanced Billing &amp; Subscriptions")</f>
        <v>Advanced Billing &amp; Subscriptions</v>
      </c>
    </row>
    <row r="1839">
      <c r="O1839" s="1" t="str">
        <f>IFERROR(__xludf.DUMMYFUNCTION("""COMPUTED_VALUE"""),"2025 Dec")</f>
        <v>2025 Dec</v>
      </c>
      <c r="P1839" s="1" t="str">
        <f>IFERROR(__xludf.DUMMYFUNCTION("""COMPUTED_VALUE"""),"Print Support")</f>
        <v>Print Support</v>
      </c>
      <c r="Q1839" s="1" t="str">
        <f>IFERROR(__xludf.DUMMYFUNCTION("""COMPUTED_VALUE"""),"kennethgo@canva.com")</f>
        <v>kennethgo@canva.com</v>
      </c>
      <c r="R1839" s="1" t="str">
        <f>IFERROR(__xludf.DUMMYFUNCTION("""COMPUTED_VALUE"""),"Kenneth Go")</f>
        <v>Kenneth Go</v>
      </c>
      <c r="S1839" s="1"/>
      <c r="T1839" s="1">
        <f>IFERROR(__xludf.DUMMYFUNCTION("""COMPUTED_VALUE"""),2.0)</f>
        <v>2</v>
      </c>
      <c r="U1839" s="2">
        <f>IFERROR(__xludf.DUMMYFUNCTION("""COMPUTED_VALUE"""),2.0)</f>
        <v>2</v>
      </c>
      <c r="V1839" s="1" t="str">
        <f>IFERROR(__xludf.DUMMYFUNCTION("""COMPUTED_VALUE"""),"Jan Domingo")</f>
        <v>Jan Domingo</v>
      </c>
      <c r="W1839" s="1" t="str">
        <f>IFERROR(__xludf.DUMMYFUNCTION("""COMPUTED_VALUE"""),"Print Design Support")</f>
        <v>Print Design Support</v>
      </c>
    </row>
    <row r="1840">
      <c r="O1840" s="1" t="str">
        <f>IFERROR(__xludf.DUMMYFUNCTION("""COMPUTED_VALUE"""),"2025 Dec")</f>
        <v>2025 Dec</v>
      </c>
      <c r="P1840" s="1" t="str">
        <f>IFERROR(__xludf.DUMMYFUNCTION("""COMPUTED_VALUE"""),"Core Product Support")</f>
        <v>Core Product Support</v>
      </c>
      <c r="Q1840" s="1" t="str">
        <f>IFERROR(__xludf.DUMMYFUNCTION("""COMPUTED_VALUE"""),"kevingo@canva.com")</f>
        <v>kevingo@canva.com</v>
      </c>
      <c r="R1840" s="1" t="str">
        <f>IFERROR(__xludf.DUMMYFUNCTION("""COMPUTED_VALUE"""),"Kevin Go")</f>
        <v>Kevin Go</v>
      </c>
      <c r="S1840" s="1">
        <f>IFERROR(__xludf.DUMMYFUNCTION("""COMPUTED_VALUE"""),2.0)</f>
        <v>2</v>
      </c>
      <c r="T1840" s="1">
        <f>IFERROR(__xludf.DUMMYFUNCTION("""COMPUTED_VALUE"""),1.0)</f>
        <v>1</v>
      </c>
      <c r="U1840" s="2">
        <f>IFERROR(__xludf.DUMMYFUNCTION("""COMPUTED_VALUE"""),3.0)</f>
        <v>3</v>
      </c>
      <c r="V1840" s="1" t="str">
        <f>IFERROR(__xludf.DUMMYFUNCTION("""COMPUTED_VALUE"""),"Belle Bentazal")</f>
        <v>Belle Bentazal</v>
      </c>
      <c r="W1840" s="1" t="str">
        <f>IFERROR(__xludf.DUMMYFUNCTION("""COMPUTED_VALUE"""),"Advanced Product Support")</f>
        <v>Advanced Product Support</v>
      </c>
    </row>
    <row r="1841">
      <c r="O1841" s="1" t="str">
        <f>IFERROR(__xludf.DUMMYFUNCTION("""COMPUTED_VALUE"""),"2025 Dec")</f>
        <v>2025 Dec</v>
      </c>
      <c r="P1841" s="1" t="str">
        <f>IFERROR(__xludf.DUMMYFUNCTION("""COMPUTED_VALUE"""),"Core Product Support")</f>
        <v>Core Product Support</v>
      </c>
      <c r="Q1841" s="1" t="str">
        <f>IFERROR(__xludf.DUMMYFUNCTION("""COMPUTED_VALUE"""),"kevromuga@canva.com")</f>
        <v>kevromuga@canva.com</v>
      </c>
      <c r="R1841" s="1" t="str">
        <f>IFERROR(__xludf.DUMMYFUNCTION("""COMPUTED_VALUE"""),"Kevin John Romuga")</f>
        <v>Kevin John Romuga</v>
      </c>
      <c r="S1841" s="1">
        <f>IFERROR(__xludf.DUMMYFUNCTION("""COMPUTED_VALUE"""),2.5)</f>
        <v>2.5</v>
      </c>
      <c r="T1841" s="1">
        <f>IFERROR(__xludf.DUMMYFUNCTION("""COMPUTED_VALUE"""),4.0)</f>
        <v>4</v>
      </c>
      <c r="U1841" s="2">
        <f>IFERROR(__xludf.DUMMYFUNCTION("""COMPUTED_VALUE"""),6.5)</f>
        <v>6.5</v>
      </c>
      <c r="V1841" s="1" t="str">
        <f>IFERROR(__xludf.DUMMYFUNCTION("""COMPUTED_VALUE"""),"Renette Bok")</f>
        <v>Renette Bok</v>
      </c>
      <c r="W1841" s="1" t="str">
        <f>IFERROR(__xludf.DUMMYFUNCTION("""COMPUTED_VALUE"""),"Advanced Billing &amp; Subscriptions")</f>
        <v>Advanced Billing &amp; Subscriptions</v>
      </c>
    </row>
    <row r="1842">
      <c r="O1842" s="1" t="str">
        <f>IFERROR(__xludf.DUMMYFUNCTION("""COMPUTED_VALUE"""),"2025 Dec")</f>
        <v>2025 Dec</v>
      </c>
      <c r="P1842" s="1" t="str">
        <f>IFERROR(__xludf.DUMMYFUNCTION("""COMPUTED_VALUE"""),"Core Product Support")</f>
        <v>Core Product Support</v>
      </c>
      <c r="Q1842" s="1" t="str">
        <f>IFERROR(__xludf.DUMMYFUNCTION("""COMPUTED_VALUE"""),"kimmescallado@canva.com")</f>
        <v>kimmescallado@canva.com</v>
      </c>
      <c r="R1842" s="1" t="str">
        <f>IFERROR(__xludf.DUMMYFUNCTION("""COMPUTED_VALUE"""),"Kim Mescallado")</f>
        <v>Kim Mescallado</v>
      </c>
      <c r="S1842" s="1">
        <f>IFERROR(__xludf.DUMMYFUNCTION("""COMPUTED_VALUE"""),1.5)</f>
        <v>1.5</v>
      </c>
      <c r="T1842" s="1">
        <f>IFERROR(__xludf.DUMMYFUNCTION("""COMPUTED_VALUE"""),0.5)</f>
        <v>0.5</v>
      </c>
      <c r="U1842" s="2">
        <f>IFERROR(__xludf.DUMMYFUNCTION("""COMPUTED_VALUE"""),2.0)</f>
        <v>2</v>
      </c>
      <c r="V1842" s="1" t="str">
        <f>IFERROR(__xludf.DUMMYFUNCTION("""COMPUTED_VALUE"""),"Belle Bentazal")</f>
        <v>Belle Bentazal</v>
      </c>
      <c r="W1842" s="1" t="str">
        <f>IFERROR(__xludf.DUMMYFUNCTION("""COMPUTED_VALUE"""),"Advanced Product Support")</f>
        <v>Advanced Product Support</v>
      </c>
    </row>
    <row r="1843">
      <c r="O1843" s="1" t="str">
        <f>IFERROR(__xludf.DUMMYFUNCTION("""COMPUTED_VALUE"""),"2025 Dec")</f>
        <v>2025 Dec</v>
      </c>
      <c r="P1843" s="1" t="str">
        <f>IFERROR(__xludf.DUMMYFUNCTION("""COMPUTED_VALUE"""),"#N/A")</f>
        <v>#N/A</v>
      </c>
      <c r="Q1843" s="1" t="str">
        <f>IFERROR(__xludf.DUMMYFUNCTION("""COMPUTED_VALUE"""),"kimmi@canva.com")</f>
        <v>kimmi@canva.com</v>
      </c>
      <c r="R1843" s="1" t="str">
        <f>IFERROR(__xludf.DUMMYFUNCTION("""COMPUTED_VALUE"""),"Kim Mondala")</f>
        <v>Kim Mondala</v>
      </c>
      <c r="S1843" s="1"/>
      <c r="T1843" s="1">
        <f>IFERROR(__xludf.DUMMYFUNCTION("""COMPUTED_VALUE"""),2.25)</f>
        <v>2.25</v>
      </c>
      <c r="U1843" s="2">
        <f>IFERROR(__xludf.DUMMYFUNCTION("""COMPUTED_VALUE"""),2.25)</f>
        <v>2.25</v>
      </c>
      <c r="V1843" s="1" t="str">
        <f>IFERROR(__xludf.DUMMYFUNCTION("""COMPUTED_VALUE"""),"#N/A")</f>
        <v>#N/A</v>
      </c>
      <c r="W1843" s="1" t="str">
        <f>IFERROR(__xludf.DUMMYFUNCTION("""COMPUTED_VALUE"""),"Admin Omni Support")</f>
        <v>Admin Omni Support</v>
      </c>
    </row>
    <row r="1844">
      <c r="O1844" s="1" t="str">
        <f>IFERROR(__xludf.DUMMYFUNCTION("""COMPUTED_VALUE"""),"2025 Dec")</f>
        <v>2025 Dec</v>
      </c>
      <c r="P1844" s="1" t="str">
        <f>IFERROR(__xludf.DUMMYFUNCTION("""COMPUTED_VALUE"""),"Admin Support")</f>
        <v>Admin Support</v>
      </c>
      <c r="Q1844" s="1" t="str">
        <f>IFERROR(__xludf.DUMMYFUNCTION("""COMPUTED_VALUE"""),"kiro@canva.com")</f>
        <v>kiro@canva.com</v>
      </c>
      <c r="R1844" s="1" t="str">
        <f>IFERROR(__xludf.DUMMYFUNCTION("""COMPUTED_VALUE"""),"Kiro Mondala")</f>
        <v>Kiro Mondala</v>
      </c>
      <c r="S1844" s="1"/>
      <c r="T1844" s="1">
        <f>IFERROR(__xludf.DUMMYFUNCTION("""COMPUTED_VALUE"""),6.5)</f>
        <v>6.5</v>
      </c>
      <c r="U1844" s="2">
        <f>IFERROR(__xludf.DUMMYFUNCTION("""COMPUTED_VALUE"""),6.5)</f>
        <v>6.5</v>
      </c>
      <c r="V1844" s="1" t="str">
        <f>IFERROR(__xludf.DUMMYFUNCTION("""COMPUTED_VALUE"""),"Kelden Laguting")</f>
        <v>Kelden Laguting</v>
      </c>
      <c r="W1844" s="1" t="str">
        <f>IFERROR(__xludf.DUMMYFUNCTION("""COMPUTED_VALUE"""),"Admin Omni Support")</f>
        <v>Admin Omni Support</v>
      </c>
    </row>
    <row r="1845">
      <c r="O1845" s="1" t="str">
        <f>IFERROR(__xludf.DUMMYFUNCTION("""COMPUTED_VALUE"""),"2025 Dec")</f>
        <v>2025 Dec</v>
      </c>
      <c r="P1845" s="1" t="str">
        <f>IFERROR(__xludf.DUMMYFUNCTION("""COMPUTED_VALUE"""),"Core Product Support")</f>
        <v>Core Product Support</v>
      </c>
      <c r="Q1845" s="1" t="str">
        <f>IFERROR(__xludf.DUMMYFUNCTION("""COMPUTED_VALUE"""),"krisalava@canva.com")</f>
        <v>krisalava@canva.com</v>
      </c>
      <c r="R1845" s="1" t="str">
        <f>IFERROR(__xludf.DUMMYFUNCTION("""COMPUTED_VALUE"""),"Kris Alava")</f>
        <v>Kris Alava</v>
      </c>
      <c r="S1845" s="1">
        <f>IFERROR(__xludf.DUMMYFUNCTION("""COMPUTED_VALUE"""),1.0)</f>
        <v>1</v>
      </c>
      <c r="T1845" s="1">
        <f>IFERROR(__xludf.DUMMYFUNCTION("""COMPUTED_VALUE"""),12.5)</f>
        <v>12.5</v>
      </c>
      <c r="U1845" s="2">
        <f>IFERROR(__xludf.DUMMYFUNCTION("""COMPUTED_VALUE"""),13.5)</f>
        <v>13.5</v>
      </c>
      <c r="V1845" s="1" t="str">
        <f>IFERROR(__xludf.DUMMYFUNCTION("""COMPUTED_VALUE"""),"Sieg Ballelos")</f>
        <v>Sieg Ballelos</v>
      </c>
      <c r="W1845" s="1" t="str">
        <f>IFERROR(__xludf.DUMMYFUNCTION("""COMPUTED_VALUE"""),"Core Product Support Escalation Team")</f>
        <v>Core Product Support Escalation Team</v>
      </c>
    </row>
    <row r="1846">
      <c r="O1846" s="1" t="str">
        <f>IFERROR(__xludf.DUMMYFUNCTION("""COMPUTED_VALUE"""),"2025 Dec")</f>
        <v>2025 Dec</v>
      </c>
      <c r="P1846" s="1" t="str">
        <f>IFERROR(__xludf.DUMMYFUNCTION("""COMPUTED_VALUE"""),"Core Product Support")</f>
        <v>Core Product Support</v>
      </c>
      <c r="Q1846" s="1" t="str">
        <f>IFERROR(__xludf.DUMMYFUNCTION("""COMPUTED_VALUE"""),"kylep@canva.com")</f>
        <v>kylep@canva.com</v>
      </c>
      <c r="R1846" s="1" t="str">
        <f>IFERROR(__xludf.DUMMYFUNCTION("""COMPUTED_VALUE"""),"Kyle Pajarillo")</f>
        <v>Kyle Pajarillo</v>
      </c>
      <c r="S1846" s="1">
        <f>IFERROR(__xludf.DUMMYFUNCTION("""COMPUTED_VALUE"""),2.25)</f>
        <v>2.25</v>
      </c>
      <c r="T1846" s="1">
        <f>IFERROR(__xludf.DUMMYFUNCTION("""COMPUTED_VALUE"""),1.42)</f>
        <v>1.42</v>
      </c>
      <c r="U1846" s="2">
        <f>IFERROR(__xludf.DUMMYFUNCTION("""COMPUTED_VALUE"""),3.67)</f>
        <v>3.67</v>
      </c>
      <c r="V1846" s="1" t="str">
        <f>IFERROR(__xludf.DUMMYFUNCTION("""COMPUTED_VALUE"""),"Marie Mordeno")</f>
        <v>Marie Mordeno</v>
      </c>
      <c r="W1846" s="1" t="str">
        <f>IFERROR(__xludf.DUMMYFUNCTION("""COMPUTED_VALUE"""),"Advanced Billing &amp; Subscriptions")</f>
        <v>Advanced Billing &amp; Subscriptions</v>
      </c>
    </row>
    <row r="1847">
      <c r="O1847" s="1" t="str">
        <f>IFERROR(__xludf.DUMMYFUNCTION("""COMPUTED_VALUE"""),"2025 Dec")</f>
        <v>2025 Dec</v>
      </c>
      <c r="P1847" s="1" t="str">
        <f>IFERROR(__xludf.DUMMYFUNCTION("""COMPUTED_VALUE"""),"Core Product Support")</f>
        <v>Core Product Support</v>
      </c>
      <c r="Q1847" s="1" t="str">
        <f>IFERROR(__xludf.DUMMYFUNCTION("""COMPUTED_VALUE"""),"lailav@canva.com")</f>
        <v>lailav@canva.com</v>
      </c>
      <c r="R1847" s="1" t="str">
        <f>IFERROR(__xludf.DUMMYFUNCTION("""COMPUTED_VALUE"""),"Laila Villamor")</f>
        <v>Laila Villamor</v>
      </c>
      <c r="S1847" s="1"/>
      <c r="T1847" s="1">
        <f>IFERROR(__xludf.DUMMYFUNCTION("""COMPUTED_VALUE"""),6.75)</f>
        <v>6.75</v>
      </c>
      <c r="U1847" s="2">
        <f>IFERROR(__xludf.DUMMYFUNCTION("""COMPUTED_VALUE"""),6.75)</f>
        <v>6.75</v>
      </c>
      <c r="V1847" s="1" t="str">
        <f>IFERROR(__xludf.DUMMYFUNCTION("""COMPUTED_VALUE"""),"Jahmie Mae Barrameda")</f>
        <v>Jahmie Mae Barrameda</v>
      </c>
      <c r="W1847" s="1" t="str">
        <f>IFERROR(__xludf.DUMMYFUNCTION("""COMPUTED_VALUE"""),"Advanced Billing &amp; Subscriptions")</f>
        <v>Advanced Billing &amp; Subscriptions</v>
      </c>
    </row>
    <row r="1848">
      <c r="O1848" s="1" t="str">
        <f>IFERROR(__xludf.DUMMYFUNCTION("""COMPUTED_VALUE"""),"2025 Dec")</f>
        <v>2025 Dec</v>
      </c>
      <c r="P1848" s="1" t="str">
        <f>IFERROR(__xludf.DUMMYFUNCTION("""COMPUTED_VALUE"""),"Print Support")</f>
        <v>Print Support</v>
      </c>
      <c r="Q1848" s="1" t="str">
        <f>IFERROR(__xludf.DUMMYFUNCTION("""COMPUTED_VALUE"""),"lancer@canva.com")</f>
        <v>lancer@canva.com</v>
      </c>
      <c r="R1848" s="1" t="str">
        <f>IFERROR(__xludf.DUMMYFUNCTION("""COMPUTED_VALUE"""),"Lance Guevarra")</f>
        <v>Lance Guevarra</v>
      </c>
      <c r="S1848" s="1"/>
      <c r="T1848" s="1">
        <f>IFERROR(__xludf.DUMMYFUNCTION("""COMPUTED_VALUE"""),3.25)</f>
        <v>3.25</v>
      </c>
      <c r="U1848" s="2">
        <f>IFERROR(__xludf.DUMMYFUNCTION("""COMPUTED_VALUE"""),3.25)</f>
        <v>3.25</v>
      </c>
      <c r="V1848" s="1" t="str">
        <f>IFERROR(__xludf.DUMMYFUNCTION("""COMPUTED_VALUE"""),"Jen Momo")</f>
        <v>Jen Momo</v>
      </c>
      <c r="W1848" s="1" t="str">
        <f>IFERROR(__xludf.DUMMYFUNCTION("""COMPUTED_VALUE"""),"Print Support PH")</f>
        <v>Print Support PH</v>
      </c>
    </row>
    <row r="1849">
      <c r="O1849" s="1" t="str">
        <f>IFERROR(__xludf.DUMMYFUNCTION("""COMPUTED_VALUE"""),"2025 Dec")</f>
        <v>2025 Dec</v>
      </c>
      <c r="P1849" s="1" t="str">
        <f>IFERROR(__xludf.DUMMYFUNCTION("""COMPUTED_VALUE"""),"Segment-specific Support")</f>
        <v>Segment-specific Support</v>
      </c>
      <c r="Q1849" s="1" t="str">
        <f>IFERROR(__xludf.DUMMYFUNCTION("""COMPUTED_VALUE"""),"lance@canva.com")</f>
        <v>lance@canva.com</v>
      </c>
      <c r="R1849" s="1" t="str">
        <f>IFERROR(__xludf.DUMMYFUNCTION("""COMPUTED_VALUE"""),"Lance Reyes")</f>
        <v>Lance Reyes</v>
      </c>
      <c r="S1849" s="1"/>
      <c r="T1849" s="1">
        <f>IFERROR(__xludf.DUMMYFUNCTION("""COMPUTED_VALUE"""),1.83)</f>
        <v>1.83</v>
      </c>
      <c r="U1849" s="2">
        <f>IFERROR(__xludf.DUMMYFUNCTION("""COMPUTED_VALUE"""),1.83)</f>
        <v>1.83</v>
      </c>
      <c r="V1849" s="1" t="str">
        <f>IFERROR(__xludf.DUMMYFUNCTION("""COMPUTED_VALUE"""),"Gucci Nava")</f>
        <v>Gucci Nava</v>
      </c>
      <c r="W1849" s="1" t="str">
        <f>IFERROR(__xludf.DUMMYFUNCTION("""COMPUTED_VALUE"""),"Affinity Support")</f>
        <v>Affinity Support</v>
      </c>
    </row>
    <row r="1850">
      <c r="O1850" s="1" t="str">
        <f>IFERROR(__xludf.DUMMYFUNCTION("""COMPUTED_VALUE"""),"2025 Dec")</f>
        <v>2025 Dec</v>
      </c>
      <c r="P1850" s="1" t="str">
        <f>IFERROR(__xludf.DUMMYFUNCTION("""COMPUTED_VALUE"""),"Admin Support")</f>
        <v>Admin Support</v>
      </c>
      <c r="Q1850" s="1" t="str">
        <f>IFERROR(__xludf.DUMMYFUNCTION("""COMPUTED_VALUE"""),"le@canva.com")</f>
        <v>le@canva.com</v>
      </c>
      <c r="R1850" s="1" t="str">
        <f>IFERROR(__xludf.DUMMYFUNCTION("""COMPUTED_VALUE"""),"Lean Cruda")</f>
        <v>Lean Cruda</v>
      </c>
      <c r="S1850" s="1"/>
      <c r="T1850" s="1"/>
      <c r="U1850" s="2">
        <f>IFERROR(__xludf.DUMMYFUNCTION("""COMPUTED_VALUE"""),0.0)</f>
        <v>0</v>
      </c>
      <c r="V1850" s="1" t="str">
        <f>IFERROR(__xludf.DUMMYFUNCTION("""COMPUTED_VALUE"""),"Karla Mananghaya")</f>
        <v>Karla Mananghaya</v>
      </c>
      <c r="W1850" s="1" t="str">
        <f>IFERROR(__xludf.DUMMYFUNCTION("""COMPUTED_VALUE"""),"Admin Support Service Escalation Team")</f>
        <v>Admin Support Service Escalation Team</v>
      </c>
    </row>
    <row r="1851">
      <c r="O1851" s="1" t="str">
        <f>IFERROR(__xludf.DUMMYFUNCTION("""COMPUTED_VALUE"""),"2025 Dec")</f>
        <v>2025 Dec</v>
      </c>
      <c r="P1851" s="1" t="str">
        <f>IFERROR(__xludf.DUMMYFUNCTION("""COMPUTED_VALUE"""),"High Sensitivity Support")</f>
        <v>High Sensitivity Support</v>
      </c>
      <c r="Q1851" s="1" t="str">
        <f>IFERROR(__xludf.DUMMYFUNCTION("""COMPUTED_VALUE"""),"leanp@canva.com")</f>
        <v>leanp@canva.com</v>
      </c>
      <c r="R1851" s="1" t="str">
        <f>IFERROR(__xludf.DUMMYFUNCTION("""COMPUTED_VALUE"""),"Lean Reyes")</f>
        <v>Lean Reyes</v>
      </c>
      <c r="S1851" s="1"/>
      <c r="T1851" s="1">
        <f>IFERROR(__xludf.DUMMYFUNCTION("""COMPUTED_VALUE"""),7.63)</f>
        <v>7.63</v>
      </c>
      <c r="U1851" s="2">
        <f>IFERROR(__xludf.DUMMYFUNCTION("""COMPUTED_VALUE"""),7.63)</f>
        <v>7.63</v>
      </c>
      <c r="V1851" s="1" t="str">
        <f>IFERROR(__xludf.DUMMYFUNCTION("""COMPUTED_VALUE"""),"Issi Afable")</f>
        <v>Issi Afable</v>
      </c>
      <c r="W1851" s="1" t="str">
        <f>IFERROR(__xludf.DUMMYFUNCTION("""COMPUTED_VALUE"""),"High Sensitivity Support PH")</f>
        <v>High Sensitivity Support PH</v>
      </c>
    </row>
    <row r="1852">
      <c r="O1852" s="1" t="str">
        <f>IFERROR(__xludf.DUMMYFUNCTION("""COMPUTED_VALUE"""),"2025 Dec")</f>
        <v>2025 Dec</v>
      </c>
      <c r="P1852" s="1" t="str">
        <f>IFERROR(__xludf.DUMMYFUNCTION("""COMPUTED_VALUE"""),"Print Support")</f>
        <v>Print Support</v>
      </c>
      <c r="Q1852" s="1" t="str">
        <f>IFERROR(__xludf.DUMMYFUNCTION("""COMPUTED_VALUE"""),"larce@canva.com")</f>
        <v>larce@canva.com</v>
      </c>
      <c r="R1852" s="1" t="str">
        <f>IFERROR(__xludf.DUMMYFUNCTION("""COMPUTED_VALUE"""),"Lee Arce")</f>
        <v>Lee Arce</v>
      </c>
      <c r="S1852" s="1"/>
      <c r="T1852" s="1">
        <f>IFERROR(__xludf.DUMMYFUNCTION("""COMPUTED_VALUE"""),1.0)</f>
        <v>1</v>
      </c>
      <c r="U1852" s="2">
        <f>IFERROR(__xludf.DUMMYFUNCTION("""COMPUTED_VALUE"""),1.0)</f>
        <v>1</v>
      </c>
      <c r="V1852" s="1" t="str">
        <f>IFERROR(__xludf.DUMMYFUNCTION("""COMPUTED_VALUE"""),"Althea Mercado")</f>
        <v>Althea Mercado</v>
      </c>
      <c r="W1852" s="1" t="str">
        <f>IFERROR(__xludf.DUMMYFUNCTION("""COMPUTED_VALUE"""),"Print Support PH")</f>
        <v>Print Support PH</v>
      </c>
    </row>
    <row r="1853">
      <c r="O1853" s="1" t="str">
        <f>IFERROR(__xludf.DUMMYFUNCTION("""COMPUTED_VALUE"""),"2025 Dec")</f>
        <v>2025 Dec</v>
      </c>
      <c r="P1853" s="1" t="str">
        <f>IFERROR(__xludf.DUMMYFUNCTION("""COMPUTED_VALUE"""),"Core Product Support")</f>
        <v>Core Product Support</v>
      </c>
      <c r="Q1853" s="1" t="str">
        <f>IFERROR(__xludf.DUMMYFUNCTION("""COMPUTED_VALUE"""),"leilanie@canva.com")</f>
        <v>leilanie@canva.com</v>
      </c>
      <c r="R1853" s="1" t="str">
        <f>IFERROR(__xludf.DUMMYFUNCTION("""COMPUTED_VALUE"""),"Lei Gratuito")</f>
        <v>Lei Gratuito</v>
      </c>
      <c r="S1853" s="1"/>
      <c r="T1853" s="1">
        <f>IFERROR(__xludf.DUMMYFUNCTION("""COMPUTED_VALUE"""),1.67)</f>
        <v>1.67</v>
      </c>
      <c r="U1853" s="2">
        <f>IFERROR(__xludf.DUMMYFUNCTION("""COMPUTED_VALUE"""),1.67)</f>
        <v>1.67</v>
      </c>
      <c r="V1853" s="1" t="str">
        <f>IFERROR(__xludf.DUMMYFUNCTION("""COMPUTED_VALUE"""),"Renette Bok")</f>
        <v>Renette Bok</v>
      </c>
      <c r="W1853" s="1" t="str">
        <f>IFERROR(__xludf.DUMMYFUNCTION("""COMPUTED_VALUE"""),"Advanced Billing &amp; Subscriptions")</f>
        <v>Advanced Billing &amp; Subscriptions</v>
      </c>
    </row>
    <row r="1854">
      <c r="O1854" s="1" t="str">
        <f>IFERROR(__xludf.DUMMYFUNCTION("""COMPUTED_VALUE"""),"2025 Dec")</f>
        <v>2025 Dec</v>
      </c>
      <c r="P1854" s="1" t="str">
        <f>IFERROR(__xludf.DUMMYFUNCTION("""COMPUTED_VALUE"""),"Core Product Support")</f>
        <v>Core Product Support</v>
      </c>
      <c r="Q1854" s="1" t="str">
        <f>IFERROR(__xludf.DUMMYFUNCTION("""COMPUTED_VALUE"""),"leonard@canva.com")</f>
        <v>leonard@canva.com</v>
      </c>
      <c r="R1854" s="1" t="str">
        <f>IFERROR(__xludf.DUMMYFUNCTION("""COMPUTED_VALUE"""),"Leonard Baguio")</f>
        <v>Leonard Baguio</v>
      </c>
      <c r="S1854" s="1">
        <f>IFERROR(__xludf.DUMMYFUNCTION("""COMPUTED_VALUE"""),1.0)</f>
        <v>1</v>
      </c>
      <c r="T1854" s="1">
        <f>IFERROR(__xludf.DUMMYFUNCTION("""COMPUTED_VALUE"""),12.75)</f>
        <v>12.75</v>
      </c>
      <c r="U1854" s="2">
        <f>IFERROR(__xludf.DUMMYFUNCTION("""COMPUTED_VALUE"""),13.75)</f>
        <v>13.75</v>
      </c>
      <c r="V1854" s="1" t="str">
        <f>IFERROR(__xludf.DUMMYFUNCTION("""COMPUTED_VALUE"""),"Jelyn Elmido")</f>
        <v>Jelyn Elmido</v>
      </c>
      <c r="W1854" s="1" t="str">
        <f>IFERROR(__xludf.DUMMYFUNCTION("""COMPUTED_VALUE"""),"Core Product Support Escalation Team")</f>
        <v>Core Product Support Escalation Team</v>
      </c>
    </row>
    <row r="1855">
      <c r="O1855" s="1" t="str">
        <f>IFERROR(__xludf.DUMMYFUNCTION("""COMPUTED_VALUE"""),"2025 Dec")</f>
        <v>2025 Dec</v>
      </c>
      <c r="P1855" s="1" t="str">
        <f>IFERROR(__xludf.DUMMYFUNCTION("""COMPUTED_VALUE"""),"Print Support")</f>
        <v>Print Support</v>
      </c>
      <c r="Q1855" s="1" t="str">
        <f>IFERROR(__xludf.DUMMYFUNCTION("""COMPUTED_VALUE"""),"anneharriet@canva.com")</f>
        <v>anneharriet@canva.com</v>
      </c>
      <c r="R1855" s="1" t="str">
        <f>IFERROR(__xludf.DUMMYFUNCTION("""COMPUTED_VALUE"""),"Leslie Anne Gilua")</f>
        <v>Leslie Anne Gilua</v>
      </c>
      <c r="S1855" s="1"/>
      <c r="T1855" s="1">
        <f>IFERROR(__xludf.DUMMYFUNCTION("""COMPUTED_VALUE"""),2.5)</f>
        <v>2.5</v>
      </c>
      <c r="U1855" s="2">
        <f>IFERROR(__xludf.DUMMYFUNCTION("""COMPUTED_VALUE"""),2.5)</f>
        <v>2.5</v>
      </c>
      <c r="V1855" s="1" t="str">
        <f>IFERROR(__xludf.DUMMYFUNCTION("""COMPUTED_VALUE"""),"Louise Dianne Estrella")</f>
        <v>Louise Dianne Estrella</v>
      </c>
      <c r="W1855" s="1" t="str">
        <f>IFERROR(__xludf.DUMMYFUNCTION("""COMPUTED_VALUE"""),"Print Support PH")</f>
        <v>Print Support PH</v>
      </c>
    </row>
    <row r="1856">
      <c r="O1856" s="1" t="str">
        <f>IFERROR(__xludf.DUMMYFUNCTION("""COMPUTED_VALUE"""),"2025 Dec")</f>
        <v>2025 Dec</v>
      </c>
      <c r="P1856" s="1" t="str">
        <f>IFERROR(__xludf.DUMMYFUNCTION("""COMPUTED_VALUE"""),"Core Product Support")</f>
        <v>Core Product Support</v>
      </c>
      <c r="Q1856" s="1" t="str">
        <f>IFERROR(__xludf.DUMMYFUNCTION("""COMPUTED_VALUE"""),"lewisjarvin@canva.com")</f>
        <v>lewisjarvin@canva.com</v>
      </c>
      <c r="R1856" s="1" t="str">
        <f>IFERROR(__xludf.DUMMYFUNCTION("""COMPUTED_VALUE"""),"Lewis Ramirez")</f>
        <v>Lewis Ramirez</v>
      </c>
      <c r="S1856" s="1"/>
      <c r="T1856" s="1">
        <f>IFERROR(__xludf.DUMMYFUNCTION("""COMPUTED_VALUE"""),1.75)</f>
        <v>1.75</v>
      </c>
      <c r="U1856" s="2">
        <f>IFERROR(__xludf.DUMMYFUNCTION("""COMPUTED_VALUE"""),1.75)</f>
        <v>1.75</v>
      </c>
      <c r="V1856" s="1" t="str">
        <f>IFERROR(__xludf.DUMMYFUNCTION("""COMPUTED_VALUE"""),"Mikhaela Decangchon")</f>
        <v>Mikhaela Decangchon</v>
      </c>
      <c r="W1856" s="1" t="str">
        <f>IFERROR(__xludf.DUMMYFUNCTION("""COMPUTED_VALUE"""),"Advanced Product Support")</f>
        <v>Advanced Product Support</v>
      </c>
    </row>
    <row r="1857">
      <c r="O1857" s="1" t="str">
        <f>IFERROR(__xludf.DUMMYFUNCTION("""COMPUTED_VALUE"""),"2025 Dec")</f>
        <v>2025 Dec</v>
      </c>
      <c r="P1857" s="1" t="str">
        <f>IFERROR(__xludf.DUMMYFUNCTION("""COMPUTED_VALUE"""),"Segment-specific Support")</f>
        <v>Segment-specific Support</v>
      </c>
      <c r="Q1857" s="1" t="str">
        <f>IFERROR(__xludf.DUMMYFUNCTION("""COMPUTED_VALUE"""),"liabaclay@canva.com")</f>
        <v>liabaclay@canva.com</v>
      </c>
      <c r="R1857" s="1" t="str">
        <f>IFERROR(__xludf.DUMMYFUNCTION("""COMPUTED_VALUE"""),"Lia Baclay")</f>
        <v>Lia Baclay</v>
      </c>
      <c r="S1857" s="1"/>
      <c r="T1857" s="1">
        <f>IFERROR(__xludf.DUMMYFUNCTION("""COMPUTED_VALUE"""),1.0)</f>
        <v>1</v>
      </c>
      <c r="U1857" s="2">
        <f>IFERROR(__xludf.DUMMYFUNCTION("""COMPUTED_VALUE"""),1.0)</f>
        <v>1</v>
      </c>
      <c r="V1857" s="1" t="str">
        <f>IFERROR(__xludf.DUMMYFUNCTION("""COMPUTED_VALUE"""),"Rose Gabilan")</f>
        <v>Rose Gabilan</v>
      </c>
      <c r="W1857" s="1" t="str">
        <f>IFERROR(__xludf.DUMMYFUNCTION("""COMPUTED_VALUE"""),"Affinity Support")</f>
        <v>Affinity Support</v>
      </c>
    </row>
    <row r="1858">
      <c r="O1858" s="1" t="str">
        <f>IFERROR(__xludf.DUMMYFUNCTION("""COMPUTED_VALUE"""),"2025 Dec")</f>
        <v>2025 Dec</v>
      </c>
      <c r="P1858" s="1" t="str">
        <f>IFERROR(__xludf.DUMMYFUNCTION("""COMPUTED_VALUE"""),"Segment-specific Support")</f>
        <v>Segment-specific Support</v>
      </c>
      <c r="Q1858" s="1" t="str">
        <f>IFERROR(__xludf.DUMMYFUNCTION("""COMPUTED_VALUE"""),"liberty@canva.com")</f>
        <v>liberty@canva.com</v>
      </c>
      <c r="R1858" s="1" t="str">
        <f>IFERROR(__xludf.DUMMYFUNCTION("""COMPUTED_VALUE"""),"Liberty Casala")</f>
        <v>Liberty Casala</v>
      </c>
      <c r="S1858" s="1"/>
      <c r="T1858" s="1">
        <f>IFERROR(__xludf.DUMMYFUNCTION("""COMPUTED_VALUE"""),2.5)</f>
        <v>2.5</v>
      </c>
      <c r="U1858" s="2">
        <f>IFERROR(__xludf.DUMMYFUNCTION("""COMPUTED_VALUE"""),2.5)</f>
        <v>2.5</v>
      </c>
      <c r="V1858" s="1" t="str">
        <f>IFERROR(__xludf.DUMMYFUNCTION("""COMPUTED_VALUE"""),"Gucci Nava")</f>
        <v>Gucci Nava</v>
      </c>
      <c r="W1858" s="1" t="str">
        <f>IFERROR(__xludf.DUMMYFUNCTION("""COMPUTED_VALUE"""),"Print Support PH")</f>
        <v>Print Support PH</v>
      </c>
    </row>
    <row r="1859">
      <c r="O1859" s="1" t="str">
        <f>IFERROR(__xludf.DUMMYFUNCTION("""COMPUTED_VALUE"""),"2025 Dec")</f>
        <v>2025 Dec</v>
      </c>
      <c r="P1859" s="1" t="str">
        <f>IFERROR(__xludf.DUMMYFUNCTION("""COMPUTED_VALUE"""),"Print Support")</f>
        <v>Print Support</v>
      </c>
      <c r="Q1859" s="1" t="str">
        <f>IFERROR(__xludf.DUMMYFUNCTION("""COMPUTED_VALUE"""),"loise@canva.com")</f>
        <v>loise@canva.com</v>
      </c>
      <c r="R1859" s="1" t="str">
        <f>IFERROR(__xludf.DUMMYFUNCTION("""COMPUTED_VALUE"""),"Loise Dela Cruz")</f>
        <v>Loise Dela Cruz</v>
      </c>
      <c r="S1859" s="1"/>
      <c r="T1859" s="1">
        <f>IFERROR(__xludf.DUMMYFUNCTION("""COMPUTED_VALUE"""),4.0)</f>
        <v>4</v>
      </c>
      <c r="U1859" s="2">
        <f>IFERROR(__xludf.DUMMYFUNCTION("""COMPUTED_VALUE"""),4.0)</f>
        <v>4</v>
      </c>
      <c r="V1859" s="1" t="str">
        <f>IFERROR(__xludf.DUMMYFUNCTION("""COMPUTED_VALUE"""),"Aliza Dote")</f>
        <v>Aliza Dote</v>
      </c>
      <c r="W1859" s="1" t="str">
        <f>IFERROR(__xludf.DUMMYFUNCTION("""COMPUTED_VALUE"""),"Print Design Support")</f>
        <v>Print Design Support</v>
      </c>
    </row>
    <row r="1860">
      <c r="O1860" s="1" t="str">
        <f>IFERROR(__xludf.DUMMYFUNCTION("""COMPUTED_VALUE"""),"2025 Dec")</f>
        <v>2025 Dec</v>
      </c>
      <c r="P1860" s="1" t="str">
        <f>IFERROR(__xludf.DUMMYFUNCTION("""COMPUTED_VALUE"""),"Core Product Support")</f>
        <v>Core Product Support</v>
      </c>
      <c r="Q1860" s="1" t="str">
        <f>IFERROR(__xludf.DUMMYFUNCTION("""COMPUTED_VALUE"""),"loudv@canva.com")</f>
        <v>loudv@canva.com</v>
      </c>
      <c r="R1860" s="1" t="str">
        <f>IFERROR(__xludf.DUMMYFUNCTION("""COMPUTED_VALUE"""),"Louieline Dela Vega")</f>
        <v>Louieline Dela Vega</v>
      </c>
      <c r="S1860" s="1">
        <f>IFERROR(__xludf.DUMMYFUNCTION("""COMPUTED_VALUE"""),1.75)</f>
        <v>1.75</v>
      </c>
      <c r="T1860" s="1">
        <f>IFERROR(__xludf.DUMMYFUNCTION("""COMPUTED_VALUE"""),5.8)</f>
        <v>5.8</v>
      </c>
      <c r="U1860" s="2">
        <f>IFERROR(__xludf.DUMMYFUNCTION("""COMPUTED_VALUE"""),7.55)</f>
        <v>7.55</v>
      </c>
      <c r="V1860" s="1" t="str">
        <f>IFERROR(__xludf.DUMMYFUNCTION("""COMPUTED_VALUE"""),"Jahmie Mae Barrameda")</f>
        <v>Jahmie Mae Barrameda</v>
      </c>
      <c r="W1860" s="1" t="str">
        <f>IFERROR(__xludf.DUMMYFUNCTION("""COMPUTED_VALUE"""),"Advanced Billing &amp; Subscriptions")</f>
        <v>Advanced Billing &amp; Subscriptions</v>
      </c>
    </row>
    <row r="1861">
      <c r="O1861" s="1" t="str">
        <f>IFERROR(__xludf.DUMMYFUNCTION("""COMPUTED_VALUE"""),"2025 Dec")</f>
        <v>2025 Dec</v>
      </c>
      <c r="P1861" s="1" t="str">
        <f>IFERROR(__xludf.DUMMYFUNCTION("""COMPUTED_VALUE"""),"Core Product Support")</f>
        <v>Core Product Support</v>
      </c>
      <c r="Q1861" s="1" t="str">
        <f>IFERROR(__xludf.DUMMYFUNCTION("""COMPUTED_VALUE"""),"lovejoyce@canva.com")</f>
        <v>lovejoyce@canva.com</v>
      </c>
      <c r="R1861" s="1" t="str">
        <f>IFERROR(__xludf.DUMMYFUNCTION("""COMPUTED_VALUE"""),"Love Joyce Pasagui")</f>
        <v>Love Joyce Pasagui</v>
      </c>
      <c r="S1861" s="1"/>
      <c r="T1861" s="1">
        <f>IFERROR(__xludf.DUMMYFUNCTION("""COMPUTED_VALUE"""),11.33)</f>
        <v>11.33</v>
      </c>
      <c r="U1861" s="2">
        <f>IFERROR(__xludf.DUMMYFUNCTION("""COMPUTED_VALUE"""),11.33)</f>
        <v>11.33</v>
      </c>
      <c r="V1861" s="1" t="str">
        <f>IFERROR(__xludf.DUMMYFUNCTION("""COMPUTED_VALUE"""),"Jelyn Elmido")</f>
        <v>Jelyn Elmido</v>
      </c>
      <c r="W1861" s="1" t="str">
        <f>IFERROR(__xludf.DUMMYFUNCTION("""COMPUTED_VALUE"""),"Core Product Support Escalation Team")</f>
        <v>Core Product Support Escalation Team</v>
      </c>
    </row>
    <row r="1862">
      <c r="O1862" s="1" t="str">
        <f>IFERROR(__xludf.DUMMYFUNCTION("""COMPUTED_VALUE"""),"2025 Dec")</f>
        <v>2025 Dec</v>
      </c>
      <c r="P1862" s="1" t="str">
        <f>IFERROR(__xludf.DUMMYFUNCTION("""COMPUTED_VALUE"""),"Print Support")</f>
        <v>Print Support</v>
      </c>
      <c r="Q1862" s="1" t="str">
        <f>IFERROR(__xludf.DUMMYFUNCTION("""COMPUTED_VALUE"""),"rlsalomia@canva.com")</f>
        <v>rlsalomia@canva.com</v>
      </c>
      <c r="R1862" s="1" t="str">
        <f>IFERROR(__xludf.DUMMYFUNCTION("""COMPUTED_VALUE"""),"Luis Salomia")</f>
        <v>Luis Salomia</v>
      </c>
      <c r="S1862" s="1"/>
      <c r="T1862" s="1">
        <f>IFERROR(__xludf.DUMMYFUNCTION("""COMPUTED_VALUE"""),3.75)</f>
        <v>3.75</v>
      </c>
      <c r="U1862" s="2">
        <f>IFERROR(__xludf.DUMMYFUNCTION("""COMPUTED_VALUE"""),3.75)</f>
        <v>3.75</v>
      </c>
      <c r="V1862" s="1" t="str">
        <f>IFERROR(__xludf.DUMMYFUNCTION("""COMPUTED_VALUE"""),"Louise Dianne Estrella")</f>
        <v>Louise Dianne Estrella</v>
      </c>
      <c r="W1862" s="1" t="str">
        <f>IFERROR(__xludf.DUMMYFUNCTION("""COMPUTED_VALUE"""),"Print Support PH")</f>
        <v>Print Support PH</v>
      </c>
    </row>
    <row r="1863">
      <c r="O1863" s="1" t="str">
        <f>IFERROR(__xludf.DUMMYFUNCTION("""COMPUTED_VALUE"""),"2025 Dec")</f>
        <v>2025 Dec</v>
      </c>
      <c r="P1863" s="1" t="str">
        <f>IFERROR(__xludf.DUMMYFUNCTION("""COMPUTED_VALUE"""),"Admin Support")</f>
        <v>Admin Support</v>
      </c>
      <c r="Q1863" s="1" t="str">
        <f>IFERROR(__xludf.DUMMYFUNCTION("""COMPUTED_VALUE"""),"lyzdr@canva.com")</f>
        <v>lyzdr@canva.com</v>
      </c>
      <c r="R1863" s="1" t="str">
        <f>IFERROR(__xludf.DUMMYFUNCTION("""COMPUTED_VALUE"""),"Lyzza Del Rosario")</f>
        <v>Lyzza Del Rosario</v>
      </c>
      <c r="S1863" s="1"/>
      <c r="T1863" s="1">
        <f>IFERROR(__xludf.DUMMYFUNCTION("""COMPUTED_VALUE"""),3.0)</f>
        <v>3</v>
      </c>
      <c r="U1863" s="2">
        <f>IFERROR(__xludf.DUMMYFUNCTION("""COMPUTED_VALUE"""),3.0)</f>
        <v>3</v>
      </c>
      <c r="V1863" s="1" t="str">
        <f>IFERROR(__xludf.DUMMYFUNCTION("""COMPUTED_VALUE"""),"Ann Dumlao")</f>
        <v>Ann Dumlao</v>
      </c>
      <c r="W1863" s="1" t="str">
        <f>IFERROR(__xludf.DUMMYFUNCTION("""COMPUTED_VALUE"""),"Admin Omni Support")</f>
        <v>Admin Omni Support</v>
      </c>
    </row>
    <row r="1864">
      <c r="O1864" s="1" t="str">
        <f>IFERROR(__xludf.DUMMYFUNCTION("""COMPUTED_VALUE"""),"2025 Dec")</f>
        <v>2025 Dec</v>
      </c>
      <c r="P1864" s="1" t="str">
        <f>IFERROR(__xludf.DUMMYFUNCTION("""COMPUTED_VALUE"""),"Admin Support")</f>
        <v>Admin Support</v>
      </c>
      <c r="Q1864" s="1" t="str">
        <f>IFERROR(__xludf.DUMMYFUNCTION("""COMPUTED_VALUE"""),"mac@canva.com")</f>
        <v>mac@canva.com</v>
      </c>
      <c r="R1864" s="1" t="str">
        <f>IFERROR(__xludf.DUMMYFUNCTION("""COMPUTED_VALUE"""),"Mac Mendoza")</f>
        <v>Mac Mendoza</v>
      </c>
      <c r="S1864" s="1"/>
      <c r="T1864" s="1">
        <f>IFERROR(__xludf.DUMMYFUNCTION("""COMPUTED_VALUE"""),15.42)</f>
        <v>15.42</v>
      </c>
      <c r="U1864" s="2">
        <f>IFERROR(__xludf.DUMMYFUNCTION("""COMPUTED_VALUE"""),15.42)</f>
        <v>15.42</v>
      </c>
      <c r="V1864" s="1" t="str">
        <f>IFERROR(__xludf.DUMMYFUNCTION("""COMPUTED_VALUE"""),"Ann Dumlao")</f>
        <v>Ann Dumlao</v>
      </c>
      <c r="W1864" s="1" t="str">
        <f>IFERROR(__xludf.DUMMYFUNCTION("""COMPUTED_VALUE"""),"Admin Omni Support")</f>
        <v>Admin Omni Support</v>
      </c>
    </row>
    <row r="1865">
      <c r="O1865" s="1" t="str">
        <f>IFERROR(__xludf.DUMMYFUNCTION("""COMPUTED_VALUE"""),"2025 Dec")</f>
        <v>2025 Dec</v>
      </c>
      <c r="P1865" s="1" t="str">
        <f>IFERROR(__xludf.DUMMYFUNCTION("""COMPUTED_VALUE"""),"High Sensitivity Support")</f>
        <v>High Sensitivity Support</v>
      </c>
      <c r="Q1865" s="1" t="str">
        <f>IFERROR(__xludf.DUMMYFUNCTION("""COMPUTED_VALUE"""),"macie@canva.com")</f>
        <v>macie@canva.com</v>
      </c>
      <c r="R1865" s="1" t="str">
        <f>IFERROR(__xludf.DUMMYFUNCTION("""COMPUTED_VALUE"""),"Macie del Mundo")</f>
        <v>Macie del Mundo</v>
      </c>
      <c r="S1865" s="1">
        <f>IFERROR(__xludf.DUMMYFUNCTION("""COMPUTED_VALUE"""),17.0)</f>
        <v>17</v>
      </c>
      <c r="T1865" s="1">
        <f>IFERROR(__xludf.DUMMYFUNCTION("""COMPUTED_VALUE"""),1.25)</f>
        <v>1.25</v>
      </c>
      <c r="U1865" s="2">
        <f>IFERROR(__xludf.DUMMYFUNCTION("""COMPUTED_VALUE"""),18.25)</f>
        <v>18.25</v>
      </c>
      <c r="V1865" s="1" t="str">
        <f>IFERROR(__xludf.DUMMYFUNCTION("""COMPUTED_VALUE"""),"Rossheen Pura")</f>
        <v>Rossheen Pura</v>
      </c>
      <c r="W1865" s="1" t="str">
        <f>IFERROR(__xludf.DUMMYFUNCTION("""COMPUTED_VALUE"""),"High Sensitivity Support PH")</f>
        <v>High Sensitivity Support PH</v>
      </c>
    </row>
    <row r="1866">
      <c r="O1866" s="1" t="str">
        <f>IFERROR(__xludf.DUMMYFUNCTION("""COMPUTED_VALUE"""),"2025 Dec")</f>
        <v>2025 Dec</v>
      </c>
      <c r="P1866" s="1" t="str">
        <f>IFERROR(__xludf.DUMMYFUNCTION("""COMPUTED_VALUE"""),"Core Product Support")</f>
        <v>Core Product Support</v>
      </c>
      <c r="Q1866" s="1" t="str">
        <f>IFERROR(__xludf.DUMMYFUNCTION("""COMPUTED_VALUE"""),"mackievitacion@canva.com")</f>
        <v>mackievitacion@canva.com</v>
      </c>
      <c r="R1866" s="1" t="str">
        <f>IFERROR(__xludf.DUMMYFUNCTION("""COMPUTED_VALUE"""),"Mackie Vitacion")</f>
        <v>Mackie Vitacion</v>
      </c>
      <c r="S1866" s="1">
        <f>IFERROR(__xludf.DUMMYFUNCTION("""COMPUTED_VALUE"""),2.0)</f>
        <v>2</v>
      </c>
      <c r="T1866" s="1">
        <f>IFERROR(__xludf.DUMMYFUNCTION("""COMPUTED_VALUE"""),1.0)</f>
        <v>1</v>
      </c>
      <c r="U1866" s="2">
        <f>IFERROR(__xludf.DUMMYFUNCTION("""COMPUTED_VALUE"""),3.0)</f>
        <v>3</v>
      </c>
      <c r="V1866" s="1" t="str">
        <f>IFERROR(__xludf.DUMMYFUNCTION("""COMPUTED_VALUE"""),"Vinz Lazaro")</f>
        <v>Vinz Lazaro</v>
      </c>
      <c r="W1866" s="1" t="str">
        <f>IFERROR(__xludf.DUMMYFUNCTION("""COMPUTED_VALUE"""),"Advanced Product Support")</f>
        <v>Advanced Product Support</v>
      </c>
    </row>
    <row r="1867">
      <c r="O1867" s="1" t="str">
        <f>IFERROR(__xludf.DUMMYFUNCTION("""COMPUTED_VALUE"""),"2025 Dec")</f>
        <v>2025 Dec</v>
      </c>
      <c r="P1867" s="1" t="str">
        <f>IFERROR(__xludf.DUMMYFUNCTION("""COMPUTED_VALUE"""),"High Sensitivity Support")</f>
        <v>High Sensitivity Support</v>
      </c>
      <c r="Q1867" s="1" t="str">
        <f>IFERROR(__xludf.DUMMYFUNCTION("""COMPUTED_VALUE"""),"mariav@canva.com")</f>
        <v>mariav@canva.com</v>
      </c>
      <c r="R1867" s="1" t="str">
        <f>IFERROR(__xludf.DUMMYFUNCTION("""COMPUTED_VALUE"""),"Maria Vergara")</f>
        <v>Maria Vergara</v>
      </c>
      <c r="S1867" s="1">
        <f>IFERROR(__xludf.DUMMYFUNCTION("""COMPUTED_VALUE"""),0.75)</f>
        <v>0.75</v>
      </c>
      <c r="T1867" s="1">
        <f>IFERROR(__xludf.DUMMYFUNCTION("""COMPUTED_VALUE"""),0.67)</f>
        <v>0.67</v>
      </c>
      <c r="U1867" s="2">
        <f>IFERROR(__xludf.DUMMYFUNCTION("""COMPUTED_VALUE"""),1.42)</f>
        <v>1.42</v>
      </c>
      <c r="V1867" s="1" t="str">
        <f>IFERROR(__xludf.DUMMYFUNCTION("""COMPUTED_VALUE"""),"Xandy Azarcon")</f>
        <v>Xandy Azarcon</v>
      </c>
      <c r="W1867" s="1" t="str">
        <f>IFERROR(__xludf.DUMMYFUNCTION("""COMPUTED_VALUE"""),"High Sensitivity Support PH")</f>
        <v>High Sensitivity Support PH</v>
      </c>
    </row>
    <row r="1868">
      <c r="O1868" s="1" t="str">
        <f>IFERROR(__xludf.DUMMYFUNCTION("""COMPUTED_VALUE"""),"2025 Dec")</f>
        <v>2025 Dec</v>
      </c>
      <c r="P1868" s="1" t="str">
        <f>IFERROR(__xludf.DUMMYFUNCTION("""COMPUTED_VALUE"""),"Core Product Support")</f>
        <v>Core Product Support</v>
      </c>
      <c r="Q1868" s="1" t="str">
        <f>IFERROR(__xludf.DUMMYFUNCTION("""COMPUTED_VALUE"""),"mariz@canva.com")</f>
        <v>mariz@canva.com</v>
      </c>
      <c r="R1868" s="1" t="str">
        <f>IFERROR(__xludf.DUMMYFUNCTION("""COMPUTED_VALUE"""),"Mariz Gain")</f>
        <v>Mariz Gain</v>
      </c>
      <c r="S1868" s="1">
        <f>IFERROR(__xludf.DUMMYFUNCTION("""COMPUTED_VALUE"""),1.0)</f>
        <v>1</v>
      </c>
      <c r="T1868" s="1">
        <f>IFERROR(__xludf.DUMMYFUNCTION("""COMPUTED_VALUE"""),1.75)</f>
        <v>1.75</v>
      </c>
      <c r="U1868" s="2">
        <f>IFERROR(__xludf.DUMMYFUNCTION("""COMPUTED_VALUE"""),2.75)</f>
        <v>2.75</v>
      </c>
      <c r="V1868" s="1" t="str">
        <f>IFERROR(__xludf.DUMMYFUNCTION("""COMPUTED_VALUE"""),"Ana Lazaro")</f>
        <v>Ana Lazaro</v>
      </c>
      <c r="W1868" s="1" t="str">
        <f>IFERROR(__xludf.DUMMYFUNCTION("""COMPUTED_VALUE"""),"Advanced Billing &amp; Subscriptions")</f>
        <v>Advanced Billing &amp; Subscriptions</v>
      </c>
    </row>
    <row r="1869">
      <c r="O1869" s="1" t="str">
        <f>IFERROR(__xludf.DUMMYFUNCTION("""COMPUTED_VALUE"""),"2025 Dec")</f>
        <v>2025 Dec</v>
      </c>
      <c r="P1869" s="1" t="str">
        <f>IFERROR(__xludf.DUMMYFUNCTION("""COMPUTED_VALUE"""),"Print Support")</f>
        <v>Print Support</v>
      </c>
      <c r="Q1869" s="1" t="str">
        <f>IFERROR(__xludf.DUMMYFUNCTION("""COMPUTED_VALUE"""),"mpalermo@canva.com")</f>
        <v>mpalermo@canva.com</v>
      </c>
      <c r="R1869" s="1" t="str">
        <f>IFERROR(__xludf.DUMMYFUNCTION("""COMPUTED_VALUE"""),"Marjorie Tsao")</f>
        <v>Marjorie Tsao</v>
      </c>
      <c r="S1869" s="1"/>
      <c r="T1869" s="1">
        <f>IFERROR(__xludf.DUMMYFUNCTION("""COMPUTED_VALUE"""),2.25)</f>
        <v>2.25</v>
      </c>
      <c r="U1869" s="2">
        <f>IFERROR(__xludf.DUMMYFUNCTION("""COMPUTED_VALUE"""),2.25)</f>
        <v>2.25</v>
      </c>
      <c r="V1869" s="1" t="str">
        <f>IFERROR(__xludf.DUMMYFUNCTION("""COMPUTED_VALUE"""),"Louise Dianne Estrella")</f>
        <v>Louise Dianne Estrella</v>
      </c>
      <c r="W1869" s="1" t="str">
        <f>IFERROR(__xludf.DUMMYFUNCTION("""COMPUTED_VALUE"""),"Print Support PH")</f>
        <v>Print Support PH</v>
      </c>
    </row>
    <row r="1870">
      <c r="O1870" s="1" t="str">
        <f>IFERROR(__xludf.DUMMYFUNCTION("""COMPUTED_VALUE"""),"2025 Dec")</f>
        <v>2025 Dec</v>
      </c>
      <c r="P1870" s="1" t="str">
        <f>IFERROR(__xludf.DUMMYFUNCTION("""COMPUTED_VALUE"""),"Core Product Support")</f>
        <v>Core Product Support</v>
      </c>
      <c r="Q1870" s="1" t="str">
        <f>IFERROR(__xludf.DUMMYFUNCTION("""COMPUTED_VALUE"""),"martyl@canva.com")</f>
        <v>martyl@canva.com</v>
      </c>
      <c r="R1870" s="1" t="str">
        <f>IFERROR(__xludf.DUMMYFUNCTION("""COMPUTED_VALUE"""),"Marty Lozada")</f>
        <v>Marty Lozada</v>
      </c>
      <c r="S1870" s="1">
        <f>IFERROR(__xludf.DUMMYFUNCTION("""COMPUTED_VALUE"""),0.5)</f>
        <v>0.5</v>
      </c>
      <c r="T1870" s="1">
        <f>IFERROR(__xludf.DUMMYFUNCTION("""COMPUTED_VALUE"""),2.0)</f>
        <v>2</v>
      </c>
      <c r="U1870" s="2">
        <f>IFERROR(__xludf.DUMMYFUNCTION("""COMPUTED_VALUE"""),2.5)</f>
        <v>2.5</v>
      </c>
      <c r="V1870" s="1" t="str">
        <f>IFERROR(__xludf.DUMMYFUNCTION("""COMPUTED_VALUE"""),"Vinz Lazaro")</f>
        <v>Vinz Lazaro</v>
      </c>
      <c r="W1870" s="1" t="str">
        <f>IFERROR(__xludf.DUMMYFUNCTION("""COMPUTED_VALUE"""),"Advanced Product Support")</f>
        <v>Advanced Product Support</v>
      </c>
    </row>
    <row r="1871">
      <c r="O1871" s="1" t="str">
        <f>IFERROR(__xludf.DUMMYFUNCTION("""COMPUTED_VALUE"""),"2025 Dec")</f>
        <v>2025 Dec</v>
      </c>
      <c r="P1871" s="1" t="str">
        <f>IFERROR(__xludf.DUMMYFUNCTION("""COMPUTED_VALUE"""),"High Sensitivity Support")</f>
        <v>High Sensitivity Support</v>
      </c>
      <c r="Q1871" s="1" t="str">
        <f>IFERROR(__xludf.DUMMYFUNCTION("""COMPUTED_VALUE"""),"mayann@canva.com")</f>
        <v>mayann@canva.com</v>
      </c>
      <c r="R1871" s="1" t="str">
        <f>IFERROR(__xludf.DUMMYFUNCTION("""COMPUTED_VALUE"""),"May Ann Caguioa")</f>
        <v>May Ann Caguioa</v>
      </c>
      <c r="S1871" s="1">
        <f>IFERROR(__xludf.DUMMYFUNCTION("""COMPUTED_VALUE"""),13.0)</f>
        <v>13</v>
      </c>
      <c r="T1871" s="1">
        <f>IFERROR(__xludf.DUMMYFUNCTION("""COMPUTED_VALUE"""),1.25)</f>
        <v>1.25</v>
      </c>
      <c r="U1871" s="2">
        <f>IFERROR(__xludf.DUMMYFUNCTION("""COMPUTED_VALUE"""),14.25)</f>
        <v>14.25</v>
      </c>
      <c r="V1871" s="1" t="str">
        <f>IFERROR(__xludf.DUMMYFUNCTION("""COMPUTED_VALUE"""),"Rossheen Pura")</f>
        <v>Rossheen Pura</v>
      </c>
      <c r="W1871" s="1" t="str">
        <f>IFERROR(__xludf.DUMMYFUNCTION("""COMPUTED_VALUE"""),"High Sensitivity Support PH")</f>
        <v>High Sensitivity Support PH</v>
      </c>
    </row>
    <row r="1872">
      <c r="O1872" s="1" t="str">
        <f>IFERROR(__xludf.DUMMYFUNCTION("""COMPUTED_VALUE"""),"2025 Dec")</f>
        <v>2025 Dec</v>
      </c>
      <c r="P1872" s="1" t="str">
        <f>IFERROR(__xludf.DUMMYFUNCTION("""COMPUTED_VALUE"""),"Core Product Support")</f>
        <v>Core Product Support</v>
      </c>
      <c r="Q1872" s="1" t="str">
        <f>IFERROR(__xludf.DUMMYFUNCTION("""COMPUTED_VALUE"""),"mccoyc@canva.com")</f>
        <v>mccoyc@canva.com</v>
      </c>
      <c r="R1872" s="1" t="str">
        <f>IFERROR(__xludf.DUMMYFUNCTION("""COMPUTED_VALUE"""),"McCoy Cacanindin")</f>
        <v>McCoy Cacanindin</v>
      </c>
      <c r="S1872" s="1"/>
      <c r="T1872" s="1">
        <f>IFERROR(__xludf.DUMMYFUNCTION("""COMPUTED_VALUE"""),1.25)</f>
        <v>1.25</v>
      </c>
      <c r="U1872" s="2">
        <f>IFERROR(__xludf.DUMMYFUNCTION("""COMPUTED_VALUE"""),1.25)</f>
        <v>1.25</v>
      </c>
      <c r="V1872" s="1" t="str">
        <f>IFERROR(__xludf.DUMMYFUNCTION("""COMPUTED_VALUE"""),"Vinz Lazaro")</f>
        <v>Vinz Lazaro</v>
      </c>
      <c r="W1872" s="1" t="str">
        <f>IFERROR(__xludf.DUMMYFUNCTION("""COMPUTED_VALUE"""),"Advanced Product Support")</f>
        <v>Advanced Product Support</v>
      </c>
    </row>
    <row r="1873">
      <c r="O1873" s="1" t="str">
        <f>IFERROR(__xludf.DUMMYFUNCTION("""COMPUTED_VALUE"""),"2025 Dec")</f>
        <v>2025 Dec</v>
      </c>
      <c r="P1873" s="1" t="str">
        <f>IFERROR(__xludf.DUMMYFUNCTION("""COMPUTED_VALUE"""),"High Sensitivity Support")</f>
        <v>High Sensitivity Support</v>
      </c>
      <c r="Q1873" s="1" t="str">
        <f>IFERROR(__xludf.DUMMYFUNCTION("""COMPUTED_VALUE"""),"mlabio@canva.com")</f>
        <v>mlabio@canva.com</v>
      </c>
      <c r="R1873" s="1" t="str">
        <f>IFERROR(__xludf.DUMMYFUNCTION("""COMPUTED_VALUE"""),"Melanie Labio")</f>
        <v>Melanie Labio</v>
      </c>
      <c r="S1873" s="1">
        <f>IFERROR(__xludf.DUMMYFUNCTION("""COMPUTED_VALUE"""),11.5)</f>
        <v>11.5</v>
      </c>
      <c r="T1873" s="1">
        <f>IFERROR(__xludf.DUMMYFUNCTION("""COMPUTED_VALUE"""),1.0)</f>
        <v>1</v>
      </c>
      <c r="U1873" s="2">
        <f>IFERROR(__xludf.DUMMYFUNCTION("""COMPUTED_VALUE"""),12.5)</f>
        <v>12.5</v>
      </c>
      <c r="V1873" s="1" t="str">
        <f>IFERROR(__xludf.DUMMYFUNCTION("""COMPUTED_VALUE"""),"Xandy Azarcon")</f>
        <v>Xandy Azarcon</v>
      </c>
      <c r="W1873" s="1" t="str">
        <f>IFERROR(__xludf.DUMMYFUNCTION("""COMPUTED_VALUE"""),"High Sensitivity Support PH")</f>
        <v>High Sensitivity Support PH</v>
      </c>
    </row>
    <row r="1874">
      <c r="O1874" s="1" t="str">
        <f>IFERROR(__xludf.DUMMYFUNCTION("""COMPUTED_VALUE"""),"2025 Dec")</f>
        <v>2025 Dec</v>
      </c>
      <c r="P1874" s="1" t="str">
        <f>IFERROR(__xludf.DUMMYFUNCTION("""COMPUTED_VALUE"""),"Admin Support")</f>
        <v>Admin Support</v>
      </c>
      <c r="Q1874" s="1" t="str">
        <f>IFERROR(__xludf.DUMMYFUNCTION("""COMPUTED_VALUE"""),"mmicah@canva.com")</f>
        <v>mmicah@canva.com</v>
      </c>
      <c r="R1874" s="1" t="str">
        <f>IFERROR(__xludf.DUMMYFUNCTION("""COMPUTED_VALUE"""),"Micah Geneviv Marcos")</f>
        <v>Micah Geneviv Marcos</v>
      </c>
      <c r="S1874" s="1"/>
      <c r="T1874" s="1">
        <f>IFERROR(__xludf.DUMMYFUNCTION("""COMPUTED_VALUE"""),1.75)</f>
        <v>1.75</v>
      </c>
      <c r="U1874" s="2">
        <f>IFERROR(__xludf.DUMMYFUNCTION("""COMPUTED_VALUE"""),1.75)</f>
        <v>1.75</v>
      </c>
      <c r="V1874" s="1" t="str">
        <f>IFERROR(__xludf.DUMMYFUNCTION("""COMPUTED_VALUE"""),"Karla Mananghaya")</f>
        <v>Karla Mananghaya</v>
      </c>
      <c r="W1874" s="1" t="str">
        <f>IFERROR(__xludf.DUMMYFUNCTION("""COMPUTED_VALUE"""),"Admin Support Service Escalation Team")</f>
        <v>Admin Support Service Escalation Team</v>
      </c>
    </row>
    <row r="1875">
      <c r="O1875" s="1" t="str">
        <f>IFERROR(__xludf.DUMMYFUNCTION("""COMPUTED_VALUE"""),"2025 Dec")</f>
        <v>2025 Dec</v>
      </c>
      <c r="P1875" s="1" t="str">
        <f>IFERROR(__xludf.DUMMYFUNCTION("""COMPUTED_VALUE"""),"Core Product Support")</f>
        <v>Core Product Support</v>
      </c>
      <c r="Q1875" s="1" t="str">
        <f>IFERROR(__xludf.DUMMYFUNCTION("""COMPUTED_VALUE"""),"nas@canva.com")</f>
        <v>nas@canva.com</v>
      </c>
      <c r="R1875" s="1" t="str">
        <f>IFERROR(__xludf.DUMMYFUNCTION("""COMPUTED_VALUE"""),"Miggy De Vibar")</f>
        <v>Miggy De Vibar</v>
      </c>
      <c r="S1875" s="1">
        <f>IFERROR(__xludf.DUMMYFUNCTION("""COMPUTED_VALUE"""),2.0)</f>
        <v>2</v>
      </c>
      <c r="T1875" s="1">
        <f>IFERROR(__xludf.DUMMYFUNCTION("""COMPUTED_VALUE"""),2.42)</f>
        <v>2.42</v>
      </c>
      <c r="U1875" s="2">
        <f>IFERROR(__xludf.DUMMYFUNCTION("""COMPUTED_VALUE"""),4.42)</f>
        <v>4.42</v>
      </c>
      <c r="V1875" s="1" t="str">
        <f>IFERROR(__xludf.DUMMYFUNCTION("""COMPUTED_VALUE"""),"Belle Bentazal")</f>
        <v>Belle Bentazal</v>
      </c>
      <c r="W1875" s="1" t="str">
        <f>IFERROR(__xludf.DUMMYFUNCTION("""COMPUTED_VALUE"""),"Advanced Product Support")</f>
        <v>Advanced Product Support</v>
      </c>
    </row>
    <row r="1876">
      <c r="O1876" s="1" t="str">
        <f>IFERROR(__xludf.DUMMYFUNCTION("""COMPUTED_VALUE"""),"2025 Dec")</f>
        <v>2025 Dec</v>
      </c>
      <c r="P1876" s="1" t="str">
        <f>IFERROR(__xludf.DUMMYFUNCTION("""COMPUTED_VALUE"""),"Core Product Support")</f>
        <v>Core Product Support</v>
      </c>
      <c r="Q1876" s="1" t="str">
        <f>IFERROR(__xludf.DUMMYFUNCTION("""COMPUTED_VALUE"""),"mika@canva.com")</f>
        <v>mika@canva.com</v>
      </c>
      <c r="R1876" s="1" t="str">
        <f>IFERROR(__xludf.DUMMYFUNCTION("""COMPUTED_VALUE"""),"Mika Magpantay")</f>
        <v>Mika Magpantay</v>
      </c>
      <c r="S1876" s="1">
        <f>IFERROR(__xludf.DUMMYFUNCTION("""COMPUTED_VALUE"""),1.5)</f>
        <v>1.5</v>
      </c>
      <c r="T1876" s="1">
        <f>IFERROR(__xludf.DUMMYFUNCTION("""COMPUTED_VALUE"""),3.0)</f>
        <v>3</v>
      </c>
      <c r="U1876" s="2">
        <f>IFERROR(__xludf.DUMMYFUNCTION("""COMPUTED_VALUE"""),4.5)</f>
        <v>4.5</v>
      </c>
      <c r="V1876" s="1" t="str">
        <f>IFERROR(__xludf.DUMMYFUNCTION("""COMPUTED_VALUE"""),"Jem Mondoñedo")</f>
        <v>Jem Mondoñedo</v>
      </c>
      <c r="W1876" s="1" t="str">
        <f>IFERROR(__xludf.DUMMYFUNCTION("""COMPUTED_VALUE"""),"Advanced Billing &amp; Subscriptions")</f>
        <v>Advanced Billing &amp; Subscriptions</v>
      </c>
    </row>
    <row r="1877">
      <c r="O1877" s="1" t="str">
        <f>IFERROR(__xludf.DUMMYFUNCTION("""COMPUTED_VALUE"""),"2025 Dec")</f>
        <v>2025 Dec</v>
      </c>
      <c r="P1877" s="1" t="str">
        <f>IFERROR(__xludf.DUMMYFUNCTION("""COMPUTED_VALUE"""),"Core Product Support")</f>
        <v>Core Product Support</v>
      </c>
      <c r="Q1877" s="1" t="str">
        <f>IFERROR(__xludf.DUMMYFUNCTION("""COMPUTED_VALUE"""),"mirielle@canva.com")</f>
        <v>mirielle@canva.com</v>
      </c>
      <c r="R1877" s="1" t="str">
        <f>IFERROR(__xludf.DUMMYFUNCTION("""COMPUTED_VALUE"""),"Mirielle Frances de Lara")</f>
        <v>Mirielle Frances de Lara</v>
      </c>
      <c r="S1877" s="1">
        <f>IFERROR(__xludf.DUMMYFUNCTION("""COMPUTED_VALUE"""),0.5)</f>
        <v>0.5</v>
      </c>
      <c r="T1877" s="1">
        <f>IFERROR(__xludf.DUMMYFUNCTION("""COMPUTED_VALUE"""),2.92)</f>
        <v>2.92</v>
      </c>
      <c r="U1877" s="2">
        <f>IFERROR(__xludf.DUMMYFUNCTION("""COMPUTED_VALUE"""),3.42)</f>
        <v>3.42</v>
      </c>
      <c r="V1877" s="1" t="str">
        <f>IFERROR(__xludf.DUMMYFUNCTION("""COMPUTED_VALUE"""),"Belle Bentazal")</f>
        <v>Belle Bentazal</v>
      </c>
      <c r="W1877" s="1" t="str">
        <f>IFERROR(__xludf.DUMMYFUNCTION("""COMPUTED_VALUE"""),"Advanced Product Support")</f>
        <v>Advanced Product Support</v>
      </c>
    </row>
    <row r="1878">
      <c r="O1878" s="1" t="str">
        <f>IFERROR(__xludf.DUMMYFUNCTION("""COMPUTED_VALUE"""),"2025 Dec")</f>
        <v>2025 Dec</v>
      </c>
      <c r="P1878" s="1" t="str">
        <f>IFERROR(__xludf.DUMMYFUNCTION("""COMPUTED_VALUE"""),"Admin Support")</f>
        <v>Admin Support</v>
      </c>
      <c r="Q1878" s="1" t="str">
        <f>IFERROR(__xludf.DUMMYFUNCTION("""COMPUTED_VALUE"""),"mjb@canva.com")</f>
        <v>mjb@canva.com</v>
      </c>
      <c r="R1878" s="1" t="str">
        <f>IFERROR(__xludf.DUMMYFUNCTION("""COMPUTED_VALUE"""),"MJ Billon")</f>
        <v>MJ Billon</v>
      </c>
      <c r="S1878" s="1"/>
      <c r="T1878" s="1">
        <f>IFERROR(__xludf.DUMMYFUNCTION("""COMPUTED_VALUE"""),12.58)</f>
        <v>12.58</v>
      </c>
      <c r="U1878" s="2">
        <f>IFERROR(__xludf.DUMMYFUNCTION("""COMPUTED_VALUE"""),12.58)</f>
        <v>12.58</v>
      </c>
      <c r="V1878" s="1" t="str">
        <f>IFERROR(__xludf.DUMMYFUNCTION("""COMPUTED_VALUE"""),"Ann Dumlao")</f>
        <v>Ann Dumlao</v>
      </c>
      <c r="W1878" s="1" t="str">
        <f>IFERROR(__xludf.DUMMYFUNCTION("""COMPUTED_VALUE"""),"Admin Omni Support")</f>
        <v>Admin Omni Support</v>
      </c>
    </row>
    <row r="1879">
      <c r="O1879" s="1" t="str">
        <f>IFERROR(__xludf.DUMMYFUNCTION("""COMPUTED_VALUE"""),"2025 Dec")</f>
        <v>2025 Dec</v>
      </c>
      <c r="P1879" s="1" t="str">
        <f>IFERROR(__xludf.DUMMYFUNCTION("""COMPUTED_VALUE"""),"Segment-specific Support")</f>
        <v>Segment-specific Support</v>
      </c>
      <c r="Q1879" s="1" t="str">
        <f>IFERROR(__xludf.DUMMYFUNCTION("""COMPUTED_VALUE"""),"molli@canva.com")</f>
        <v>molli@canva.com</v>
      </c>
      <c r="R1879" s="1" t="str">
        <f>IFERROR(__xludf.DUMMYFUNCTION("""COMPUTED_VALUE"""),"MJ Sol")</f>
        <v>MJ Sol</v>
      </c>
      <c r="S1879" s="1"/>
      <c r="T1879" s="1">
        <f>IFERROR(__xludf.DUMMYFUNCTION("""COMPUTED_VALUE"""),1.0)</f>
        <v>1</v>
      </c>
      <c r="U1879" s="2">
        <f>IFERROR(__xludf.DUMMYFUNCTION("""COMPUTED_VALUE"""),1.0)</f>
        <v>1</v>
      </c>
      <c r="V1879" s="1" t="str">
        <f>IFERROR(__xludf.DUMMYFUNCTION("""COMPUTED_VALUE"""),"Aileen Dayanghirang")</f>
        <v>Aileen Dayanghirang</v>
      </c>
      <c r="W1879" s="1" t="str">
        <f>IFERROR(__xludf.DUMMYFUNCTION("""COMPUTED_VALUE"""),"Creators Support")</f>
        <v>Creators Support</v>
      </c>
    </row>
    <row r="1880">
      <c r="O1880" s="1" t="str">
        <f>IFERROR(__xludf.DUMMYFUNCTION("""COMPUTED_VALUE"""),"2025 Dec")</f>
        <v>2025 Dec</v>
      </c>
      <c r="P1880" s="1" t="str">
        <f>IFERROR(__xludf.DUMMYFUNCTION("""COMPUTED_VALUE"""),"Core Product Support")</f>
        <v>Core Product Support</v>
      </c>
      <c r="Q1880" s="1" t="str">
        <f>IFERROR(__xludf.DUMMYFUNCTION("""COMPUTED_VALUE"""),"raymondc@canva.com")</f>
        <v>raymondc@canva.com</v>
      </c>
      <c r="R1880" s="1" t="str">
        <f>IFERROR(__xludf.DUMMYFUNCTION("""COMPUTED_VALUE"""),"Mond Catimbang")</f>
        <v>Mond Catimbang</v>
      </c>
      <c r="S1880" s="1">
        <f>IFERROR(__xludf.DUMMYFUNCTION("""COMPUTED_VALUE"""),0.12)</f>
        <v>0.12</v>
      </c>
      <c r="T1880" s="1">
        <f>IFERROR(__xludf.DUMMYFUNCTION("""COMPUTED_VALUE"""),2.75)</f>
        <v>2.75</v>
      </c>
      <c r="U1880" s="2">
        <f>IFERROR(__xludf.DUMMYFUNCTION("""COMPUTED_VALUE"""),2.87)</f>
        <v>2.87</v>
      </c>
      <c r="V1880" s="1" t="str">
        <f>IFERROR(__xludf.DUMMYFUNCTION("""COMPUTED_VALUE"""),"Jem Mondoñedo")</f>
        <v>Jem Mondoñedo</v>
      </c>
      <c r="W1880" s="1" t="str">
        <f>IFERROR(__xludf.DUMMYFUNCTION("""COMPUTED_VALUE"""),"Advanced Billing &amp; Subscriptions")</f>
        <v>Advanced Billing &amp; Subscriptions</v>
      </c>
    </row>
    <row r="1881">
      <c r="O1881" s="1" t="str">
        <f>IFERROR(__xludf.DUMMYFUNCTION("""COMPUTED_VALUE"""),"2025 Dec")</f>
        <v>2025 Dec</v>
      </c>
      <c r="P1881" s="1" t="str">
        <f>IFERROR(__xludf.DUMMYFUNCTION("""COMPUTED_VALUE"""),"Print Support")</f>
        <v>Print Support</v>
      </c>
      <c r="Q1881" s="1" t="str">
        <f>IFERROR(__xludf.DUMMYFUNCTION("""COMPUTED_VALUE"""),"natedc@canva.com")</f>
        <v>natedc@canva.com</v>
      </c>
      <c r="R1881" s="1" t="str">
        <f>IFERROR(__xludf.DUMMYFUNCTION("""COMPUTED_VALUE"""),"Nate De la Cruz")</f>
        <v>Nate De la Cruz</v>
      </c>
      <c r="S1881" s="1"/>
      <c r="T1881" s="1">
        <f>IFERROR(__xludf.DUMMYFUNCTION("""COMPUTED_VALUE"""),2.0)</f>
        <v>2</v>
      </c>
      <c r="U1881" s="2">
        <f>IFERROR(__xludf.DUMMYFUNCTION("""COMPUTED_VALUE"""),2.0)</f>
        <v>2</v>
      </c>
      <c r="V1881" s="1" t="str">
        <f>IFERROR(__xludf.DUMMYFUNCTION("""COMPUTED_VALUE"""),"Gem Agoncillo")</f>
        <v>Gem Agoncillo</v>
      </c>
      <c r="W1881" s="1" t="str">
        <f>IFERROR(__xludf.DUMMYFUNCTION("""COMPUTED_VALUE"""),"Print Design Support")</f>
        <v>Print Design Support</v>
      </c>
    </row>
    <row r="1882">
      <c r="O1882" s="1" t="str">
        <f>IFERROR(__xludf.DUMMYFUNCTION("""COMPUTED_VALUE"""),"2025 Dec")</f>
        <v>2025 Dec</v>
      </c>
      <c r="P1882" s="1" t="str">
        <f>IFERROR(__xludf.DUMMYFUNCTION("""COMPUTED_VALUE"""),"Admin Support")</f>
        <v>Admin Support</v>
      </c>
      <c r="Q1882" s="1" t="str">
        <f>IFERROR(__xludf.DUMMYFUNCTION("""COMPUTED_VALUE"""),"nsahagun@canva.com")</f>
        <v>nsahagun@canva.com</v>
      </c>
      <c r="R1882" s="1" t="str">
        <f>IFERROR(__xludf.DUMMYFUNCTION("""COMPUTED_VALUE"""),"Nathalie Sahagun")</f>
        <v>Nathalie Sahagun</v>
      </c>
      <c r="S1882" s="1">
        <f>IFERROR(__xludf.DUMMYFUNCTION("""COMPUTED_VALUE"""),2.5)</f>
        <v>2.5</v>
      </c>
      <c r="T1882" s="1">
        <f>IFERROR(__xludf.DUMMYFUNCTION("""COMPUTED_VALUE"""),1.0)</f>
        <v>1</v>
      </c>
      <c r="U1882" s="2">
        <f>IFERROR(__xludf.DUMMYFUNCTION("""COMPUTED_VALUE"""),3.5)</f>
        <v>3.5</v>
      </c>
      <c r="V1882" s="1" t="str">
        <f>IFERROR(__xludf.DUMMYFUNCTION("""COMPUTED_VALUE"""),"Nate Vela")</f>
        <v>Nate Vela</v>
      </c>
      <c r="W1882" s="1" t="str">
        <f>IFERROR(__xludf.DUMMYFUNCTION("""COMPUTED_VALUE"""),"Admin Support NA")</f>
        <v>Admin Support NA</v>
      </c>
    </row>
    <row r="1883">
      <c r="O1883" s="1" t="str">
        <f>IFERROR(__xludf.DUMMYFUNCTION("""COMPUTED_VALUE"""),"2025 Dec")</f>
        <v>2025 Dec</v>
      </c>
      <c r="P1883" s="1" t="str">
        <f>IFERROR(__xludf.DUMMYFUNCTION("""COMPUTED_VALUE"""),"#N/A")</f>
        <v>#N/A</v>
      </c>
      <c r="Q1883" s="1" t="str">
        <f>IFERROR(__xludf.DUMMYFUNCTION("""COMPUTED_VALUE"""),"naquiatan@canva.com")</f>
        <v>naquiatan@canva.com</v>
      </c>
      <c r="R1883" s="1" t="str">
        <f>IFERROR(__xludf.DUMMYFUNCTION("""COMPUTED_VALUE"""),"Nathaniel Aquiatan")</f>
        <v>Nathaniel Aquiatan</v>
      </c>
      <c r="S1883" s="1">
        <f>IFERROR(__xludf.DUMMYFUNCTION("""COMPUTED_VALUE"""),14.5)</f>
        <v>14.5</v>
      </c>
      <c r="T1883" s="1">
        <f>IFERROR(__xludf.DUMMYFUNCTION("""COMPUTED_VALUE"""),0.25)</f>
        <v>0.25</v>
      </c>
      <c r="U1883" s="2">
        <f>IFERROR(__xludf.DUMMYFUNCTION("""COMPUTED_VALUE"""),14.75)</f>
        <v>14.75</v>
      </c>
      <c r="V1883" s="1" t="str">
        <f>IFERROR(__xludf.DUMMYFUNCTION("""COMPUTED_VALUE"""),"#N/A")</f>
        <v>#N/A</v>
      </c>
      <c r="W1883" s="1" t="str">
        <f>IFERROR(__xludf.DUMMYFUNCTION("""COMPUTED_VALUE"""),"#N/A")</f>
        <v>#N/A</v>
      </c>
    </row>
    <row r="1884">
      <c r="O1884" s="1" t="str">
        <f>IFERROR(__xludf.DUMMYFUNCTION("""COMPUTED_VALUE"""),"2025 Dec")</f>
        <v>2025 Dec</v>
      </c>
      <c r="P1884" s="1" t="str">
        <f>IFERROR(__xludf.DUMMYFUNCTION("""COMPUTED_VALUE"""),"Core Product Support")</f>
        <v>Core Product Support</v>
      </c>
      <c r="Q1884" s="1" t="str">
        <f>IFERROR(__xludf.DUMMYFUNCTION("""COMPUTED_VALUE"""),"neeki@canva.com")</f>
        <v>neeki@canva.com</v>
      </c>
      <c r="R1884" s="1" t="str">
        <f>IFERROR(__xludf.DUMMYFUNCTION("""COMPUTED_VALUE"""),"Neeki Asido")</f>
        <v>Neeki Asido</v>
      </c>
      <c r="S1884" s="1"/>
      <c r="T1884" s="1">
        <f>IFERROR(__xludf.DUMMYFUNCTION("""COMPUTED_VALUE"""),15.25)</f>
        <v>15.25</v>
      </c>
      <c r="U1884" s="2">
        <f>IFERROR(__xludf.DUMMYFUNCTION("""COMPUTED_VALUE"""),15.25)</f>
        <v>15.25</v>
      </c>
      <c r="V1884" s="1" t="str">
        <f>IFERROR(__xludf.DUMMYFUNCTION("""COMPUTED_VALUE"""),"Jelyn Elmido")</f>
        <v>Jelyn Elmido</v>
      </c>
      <c r="W1884" s="1" t="str">
        <f>IFERROR(__xludf.DUMMYFUNCTION("""COMPUTED_VALUE"""),"Core Product Support Escalation Team")</f>
        <v>Core Product Support Escalation Team</v>
      </c>
    </row>
    <row r="1885">
      <c r="O1885" s="1" t="str">
        <f>IFERROR(__xludf.DUMMYFUNCTION("""COMPUTED_VALUE"""),"2025 Dec")</f>
        <v>2025 Dec</v>
      </c>
      <c r="P1885" s="1" t="str">
        <f>IFERROR(__xludf.DUMMYFUNCTION("""COMPUTED_VALUE"""),"Core Product Support")</f>
        <v>Core Product Support</v>
      </c>
      <c r="Q1885" s="1" t="str">
        <f>IFERROR(__xludf.DUMMYFUNCTION("""COMPUTED_VALUE"""),"nicholeb@canva.com")</f>
        <v>nicholeb@canva.com</v>
      </c>
      <c r="R1885" s="1" t="str">
        <f>IFERROR(__xludf.DUMMYFUNCTION("""COMPUTED_VALUE"""),"Nichole Braceliño")</f>
        <v>Nichole Braceliño</v>
      </c>
      <c r="S1885" s="1">
        <f>IFERROR(__xludf.DUMMYFUNCTION("""COMPUTED_VALUE"""),0.5)</f>
        <v>0.5</v>
      </c>
      <c r="T1885" s="1">
        <f>IFERROR(__xludf.DUMMYFUNCTION("""COMPUTED_VALUE"""),8.0)</f>
        <v>8</v>
      </c>
      <c r="U1885" s="2">
        <f>IFERROR(__xludf.DUMMYFUNCTION("""COMPUTED_VALUE"""),8.5)</f>
        <v>8.5</v>
      </c>
      <c r="V1885" s="1" t="str">
        <f>IFERROR(__xludf.DUMMYFUNCTION("""COMPUTED_VALUE"""),"Renette Bok")</f>
        <v>Renette Bok</v>
      </c>
      <c r="W1885" s="1" t="str">
        <f>IFERROR(__xludf.DUMMYFUNCTION("""COMPUTED_VALUE"""),"Advanced Billing &amp; Subscriptions")</f>
        <v>Advanced Billing &amp; Subscriptions</v>
      </c>
    </row>
    <row r="1886">
      <c r="O1886" s="1" t="str">
        <f>IFERROR(__xludf.DUMMYFUNCTION("""COMPUTED_VALUE"""),"2025 Dec")</f>
        <v>2025 Dec</v>
      </c>
      <c r="P1886" s="1" t="str">
        <f>IFERROR(__xludf.DUMMYFUNCTION("""COMPUTED_VALUE"""),"High Sensitivity Support")</f>
        <v>High Sensitivity Support</v>
      </c>
      <c r="Q1886" s="1" t="str">
        <f>IFERROR(__xludf.DUMMYFUNCTION("""COMPUTED_VALUE"""),"ncruz@canva.com")</f>
        <v>ncruz@canva.com</v>
      </c>
      <c r="R1886" s="1" t="str">
        <f>IFERROR(__xludf.DUMMYFUNCTION("""COMPUTED_VALUE"""),"Nikki Cruz")</f>
        <v>Nikki Cruz</v>
      </c>
      <c r="S1886" s="1"/>
      <c r="T1886" s="1">
        <f>IFERROR(__xludf.DUMMYFUNCTION("""COMPUTED_VALUE"""),3.0)</f>
        <v>3</v>
      </c>
      <c r="U1886" s="2">
        <f>IFERROR(__xludf.DUMMYFUNCTION("""COMPUTED_VALUE"""),3.0)</f>
        <v>3</v>
      </c>
      <c r="V1886" s="1" t="str">
        <f>IFERROR(__xludf.DUMMYFUNCTION("""COMPUTED_VALUE"""),"Issi Afable")</f>
        <v>Issi Afable</v>
      </c>
      <c r="W1886" s="1" t="str">
        <f>IFERROR(__xludf.DUMMYFUNCTION("""COMPUTED_VALUE"""),"High Sensitivity Support PH")</f>
        <v>High Sensitivity Support PH</v>
      </c>
    </row>
    <row r="1887">
      <c r="O1887" s="1" t="str">
        <f>IFERROR(__xludf.DUMMYFUNCTION("""COMPUTED_VALUE"""),"2025 Dec")</f>
        <v>2025 Dec</v>
      </c>
      <c r="P1887" s="1" t="str">
        <f>IFERROR(__xludf.DUMMYFUNCTION("""COMPUTED_VALUE"""),"Print Support")</f>
        <v>Print Support</v>
      </c>
      <c r="Q1887" s="1" t="str">
        <f>IFERROR(__xludf.DUMMYFUNCTION("""COMPUTED_VALUE"""),"nonoimboy@canva.com")</f>
        <v>nonoimboy@canva.com</v>
      </c>
      <c r="R1887" s="1" t="str">
        <f>IFERROR(__xludf.DUMMYFUNCTION("""COMPUTED_VALUE"""),"Noel Imboy")</f>
        <v>Noel Imboy</v>
      </c>
      <c r="S1887" s="1"/>
      <c r="T1887" s="1">
        <f>IFERROR(__xludf.DUMMYFUNCTION("""COMPUTED_VALUE"""),2.0)</f>
        <v>2</v>
      </c>
      <c r="U1887" s="2">
        <f>IFERROR(__xludf.DUMMYFUNCTION("""COMPUTED_VALUE"""),2.0)</f>
        <v>2</v>
      </c>
      <c r="V1887" s="1" t="str">
        <f>IFERROR(__xludf.DUMMYFUNCTION("""COMPUTED_VALUE"""),"Gem Agoncillo")</f>
        <v>Gem Agoncillo</v>
      </c>
      <c r="W1887" s="1" t="str">
        <f>IFERROR(__xludf.DUMMYFUNCTION("""COMPUTED_VALUE"""),"Print Design Support")</f>
        <v>Print Design Support</v>
      </c>
    </row>
    <row r="1888">
      <c r="O1888" s="1" t="str">
        <f>IFERROR(__xludf.DUMMYFUNCTION("""COMPUTED_VALUE"""),"2025 Dec")</f>
        <v>2025 Dec</v>
      </c>
      <c r="P1888" s="1" t="str">
        <f>IFERROR(__xludf.DUMMYFUNCTION("""COMPUTED_VALUE"""),"Segment-specific Support")</f>
        <v>Segment-specific Support</v>
      </c>
      <c r="Q1888" s="1" t="str">
        <f>IFERROR(__xludf.DUMMYFUNCTION("""COMPUTED_VALUE"""),"pao@canva.com")</f>
        <v>pao@canva.com</v>
      </c>
      <c r="R1888" s="1" t="str">
        <f>IFERROR(__xludf.DUMMYFUNCTION("""COMPUTED_VALUE"""),"Pao Domanais")</f>
        <v>Pao Domanais</v>
      </c>
      <c r="S1888" s="1"/>
      <c r="T1888" s="1">
        <f>IFERROR(__xludf.DUMMYFUNCTION("""COMPUTED_VALUE"""),1.0)</f>
        <v>1</v>
      </c>
      <c r="U1888" s="2">
        <f>IFERROR(__xludf.DUMMYFUNCTION("""COMPUTED_VALUE"""),1.0)</f>
        <v>1</v>
      </c>
      <c r="V1888" s="1" t="str">
        <f>IFERROR(__xludf.DUMMYFUNCTION("""COMPUTED_VALUE"""),"Rose Gabilan")</f>
        <v>Rose Gabilan</v>
      </c>
      <c r="W1888" s="1" t="str">
        <f>IFERROR(__xludf.DUMMYFUNCTION("""COMPUTED_VALUE"""),"Print Support PH")</f>
        <v>Print Support PH</v>
      </c>
    </row>
    <row r="1889">
      <c r="O1889" s="1" t="str">
        <f>IFERROR(__xludf.DUMMYFUNCTION("""COMPUTED_VALUE"""),"2025 Dec")</f>
        <v>2025 Dec</v>
      </c>
      <c r="P1889" s="1" t="str">
        <f>IFERROR(__xludf.DUMMYFUNCTION("""COMPUTED_VALUE"""),"Print Support")</f>
        <v>Print Support</v>
      </c>
      <c r="Q1889" s="1" t="str">
        <f>IFERROR(__xludf.DUMMYFUNCTION("""COMPUTED_VALUE"""),"paolonati@canva.com")</f>
        <v>paolonati@canva.com</v>
      </c>
      <c r="R1889" s="1" t="str">
        <f>IFERROR(__xludf.DUMMYFUNCTION("""COMPUTED_VALUE"""),"Paolo Natividad")</f>
        <v>Paolo Natividad</v>
      </c>
      <c r="S1889" s="1"/>
      <c r="T1889" s="1">
        <f>IFERROR(__xludf.DUMMYFUNCTION("""COMPUTED_VALUE"""),1.25)</f>
        <v>1.25</v>
      </c>
      <c r="U1889" s="2">
        <f>IFERROR(__xludf.DUMMYFUNCTION("""COMPUTED_VALUE"""),1.25)</f>
        <v>1.25</v>
      </c>
      <c r="V1889" s="1" t="str">
        <f>IFERROR(__xludf.DUMMYFUNCTION("""COMPUTED_VALUE"""),"Rei De Jesus")</f>
        <v>Rei De Jesus</v>
      </c>
      <c r="W1889" s="1" t="str">
        <f>IFERROR(__xludf.DUMMYFUNCTION("""COMPUTED_VALUE"""),"Print Design Support")</f>
        <v>Print Design Support</v>
      </c>
    </row>
    <row r="1890">
      <c r="O1890" s="1" t="str">
        <f>IFERROR(__xludf.DUMMYFUNCTION("""COMPUTED_VALUE"""),"2025 Dec")</f>
        <v>2025 Dec</v>
      </c>
      <c r="P1890" s="1" t="str">
        <f>IFERROR(__xludf.DUMMYFUNCTION("""COMPUTED_VALUE"""),"Core Product Support")</f>
        <v>Core Product Support</v>
      </c>
      <c r="Q1890" s="1" t="str">
        <f>IFERROR(__xludf.DUMMYFUNCTION("""COMPUTED_VALUE"""),"padelacruz@canva.com")</f>
        <v>padelacruz@canva.com</v>
      </c>
      <c r="R1890" s="1" t="str">
        <f>IFERROR(__xludf.DUMMYFUNCTION("""COMPUTED_VALUE"""),"Patrick Dela Cruz")</f>
        <v>Patrick Dela Cruz</v>
      </c>
      <c r="S1890" s="1">
        <f>IFERROR(__xludf.DUMMYFUNCTION("""COMPUTED_VALUE"""),1.5)</f>
        <v>1.5</v>
      </c>
      <c r="T1890" s="1">
        <f>IFERROR(__xludf.DUMMYFUNCTION("""COMPUTED_VALUE"""),1.83)</f>
        <v>1.83</v>
      </c>
      <c r="U1890" s="2">
        <f>IFERROR(__xludf.DUMMYFUNCTION("""COMPUTED_VALUE"""),3.33)</f>
        <v>3.33</v>
      </c>
      <c r="V1890" s="1" t="str">
        <f>IFERROR(__xludf.DUMMYFUNCTION("""COMPUTED_VALUE"""),"Cate Velasco")</f>
        <v>Cate Velasco</v>
      </c>
      <c r="W1890" s="1" t="str">
        <f>IFERROR(__xludf.DUMMYFUNCTION("""COMPUTED_VALUE"""),"Advanced Product Support")</f>
        <v>Advanced Product Support</v>
      </c>
    </row>
    <row r="1891">
      <c r="O1891" s="1" t="str">
        <f>IFERROR(__xludf.DUMMYFUNCTION("""COMPUTED_VALUE"""),"2025 Dec")</f>
        <v>2025 Dec</v>
      </c>
      <c r="P1891" s="1" t="str">
        <f>IFERROR(__xludf.DUMMYFUNCTION("""COMPUTED_VALUE"""),"#N/A")</f>
        <v>#N/A</v>
      </c>
      <c r="Q1891" s="1" t="str">
        <f>IFERROR(__xludf.DUMMYFUNCTION("""COMPUTED_VALUE"""),"patrickm@canva.com")</f>
        <v>patrickm@canva.com</v>
      </c>
      <c r="R1891" s="1" t="str">
        <f>IFERROR(__xludf.DUMMYFUNCTION("""COMPUTED_VALUE"""),"Patrick Mariano")</f>
        <v>Patrick Mariano</v>
      </c>
      <c r="S1891" s="1">
        <f>IFERROR(__xludf.DUMMYFUNCTION("""COMPUTED_VALUE"""),1.0)</f>
        <v>1</v>
      </c>
      <c r="T1891" s="1">
        <f>IFERROR(__xludf.DUMMYFUNCTION("""COMPUTED_VALUE"""),4.58)</f>
        <v>4.58</v>
      </c>
      <c r="U1891" s="2">
        <f>IFERROR(__xludf.DUMMYFUNCTION("""COMPUTED_VALUE"""),5.58)</f>
        <v>5.58</v>
      </c>
      <c r="V1891" s="1" t="str">
        <f>IFERROR(__xludf.DUMMYFUNCTION("""COMPUTED_VALUE"""),"#N/A")</f>
        <v>#N/A</v>
      </c>
      <c r="W1891" s="1" t="str">
        <f>IFERROR(__xludf.DUMMYFUNCTION("""COMPUTED_VALUE"""),"Advanced Billing &amp; Subscriptions")</f>
        <v>Advanced Billing &amp; Subscriptions</v>
      </c>
    </row>
    <row r="1892">
      <c r="O1892" s="1" t="str">
        <f>IFERROR(__xludf.DUMMYFUNCTION("""COMPUTED_VALUE"""),"2025 Dec")</f>
        <v>2025 Dec</v>
      </c>
      <c r="P1892" s="1" t="str">
        <f>IFERROR(__xludf.DUMMYFUNCTION("""COMPUTED_VALUE"""),"Core Product Support")</f>
        <v>Core Product Support</v>
      </c>
      <c r="Q1892" s="1" t="str">
        <f>IFERROR(__xludf.DUMMYFUNCTION("""COMPUTED_VALUE"""),"pathugo@canva.com")</f>
        <v>pathugo@canva.com</v>
      </c>
      <c r="R1892" s="1" t="str">
        <f>IFERROR(__xludf.DUMMYFUNCTION("""COMPUTED_VALUE"""),"Patriz Hugo")</f>
        <v>Patriz Hugo</v>
      </c>
      <c r="S1892" s="1"/>
      <c r="T1892" s="1">
        <f>IFERROR(__xludf.DUMMYFUNCTION("""COMPUTED_VALUE"""),7.0)</f>
        <v>7</v>
      </c>
      <c r="U1892" s="2">
        <f>IFERROR(__xludf.DUMMYFUNCTION("""COMPUTED_VALUE"""),7.0)</f>
        <v>7</v>
      </c>
      <c r="V1892" s="1" t="str">
        <f>IFERROR(__xludf.DUMMYFUNCTION("""COMPUTED_VALUE"""),"Sieg Ballelos")</f>
        <v>Sieg Ballelos</v>
      </c>
      <c r="W1892" s="1" t="str">
        <f>IFERROR(__xludf.DUMMYFUNCTION("""COMPUTED_VALUE"""),"Core Product Support Escalation Team")</f>
        <v>Core Product Support Escalation Team</v>
      </c>
    </row>
    <row r="1893">
      <c r="O1893" s="1" t="str">
        <f>IFERROR(__xludf.DUMMYFUNCTION("""COMPUTED_VALUE"""),"2025 Dec")</f>
        <v>2025 Dec</v>
      </c>
      <c r="P1893" s="1" t="str">
        <f>IFERROR(__xludf.DUMMYFUNCTION("""COMPUTED_VALUE"""),"High Sensitivity Support")</f>
        <v>High Sensitivity Support</v>
      </c>
      <c r="Q1893" s="1" t="str">
        <f>IFERROR(__xludf.DUMMYFUNCTION("""COMPUTED_VALUE"""),"paulwilbert@canva.com")</f>
        <v>paulwilbert@canva.com</v>
      </c>
      <c r="R1893" s="1" t="str">
        <f>IFERROR(__xludf.DUMMYFUNCTION("""COMPUTED_VALUE"""),"Paul Domingo")</f>
        <v>Paul Domingo</v>
      </c>
      <c r="S1893" s="1">
        <f>IFERROR(__xludf.DUMMYFUNCTION("""COMPUTED_VALUE"""),13.0)</f>
        <v>13</v>
      </c>
      <c r="T1893" s="1">
        <f>IFERROR(__xludf.DUMMYFUNCTION("""COMPUTED_VALUE"""),47.63)</f>
        <v>47.63</v>
      </c>
      <c r="U1893" s="2">
        <f>IFERROR(__xludf.DUMMYFUNCTION("""COMPUTED_VALUE"""),60.63)</f>
        <v>60.63</v>
      </c>
      <c r="V1893" s="1" t="str">
        <f>IFERROR(__xludf.DUMMYFUNCTION("""COMPUTED_VALUE"""),"Xandy Azarcon")</f>
        <v>Xandy Azarcon</v>
      </c>
      <c r="W1893" s="1" t="str">
        <f>IFERROR(__xludf.DUMMYFUNCTION("""COMPUTED_VALUE"""),"High Sensitivity Support PH")</f>
        <v>High Sensitivity Support PH</v>
      </c>
    </row>
    <row r="1894">
      <c r="O1894" s="1" t="str">
        <f>IFERROR(__xludf.DUMMYFUNCTION("""COMPUTED_VALUE"""),"2025 Dec")</f>
        <v>2025 Dec</v>
      </c>
      <c r="P1894" s="1" t="str">
        <f>IFERROR(__xludf.DUMMYFUNCTION("""COMPUTED_VALUE"""),"Core Product Support")</f>
        <v>Core Product Support</v>
      </c>
      <c r="Q1894" s="1" t="str">
        <f>IFERROR(__xludf.DUMMYFUNCTION("""COMPUTED_VALUE"""),"paulv@canva.com")</f>
        <v>paulv@canva.com</v>
      </c>
      <c r="R1894" s="1" t="str">
        <f>IFERROR(__xludf.DUMMYFUNCTION("""COMPUTED_VALUE"""),"Paul Verdad")</f>
        <v>Paul Verdad</v>
      </c>
      <c r="S1894" s="1">
        <f>IFERROR(__xludf.DUMMYFUNCTION("""COMPUTED_VALUE"""),1.0)</f>
        <v>1</v>
      </c>
      <c r="T1894" s="1">
        <f>IFERROR(__xludf.DUMMYFUNCTION("""COMPUTED_VALUE"""),2.75)</f>
        <v>2.75</v>
      </c>
      <c r="U1894" s="2">
        <f>IFERROR(__xludf.DUMMYFUNCTION("""COMPUTED_VALUE"""),3.75)</f>
        <v>3.75</v>
      </c>
      <c r="V1894" s="1" t="str">
        <f>IFERROR(__xludf.DUMMYFUNCTION("""COMPUTED_VALUE"""),"Vinz Lazaro")</f>
        <v>Vinz Lazaro</v>
      </c>
      <c r="W1894" s="1" t="str">
        <f>IFERROR(__xludf.DUMMYFUNCTION("""COMPUTED_VALUE"""),"Advanced Product Support")</f>
        <v>Advanced Product Support</v>
      </c>
    </row>
    <row r="1895">
      <c r="O1895" s="1" t="str">
        <f>IFERROR(__xludf.DUMMYFUNCTION("""COMPUTED_VALUE"""),"2025 Dec")</f>
        <v>2025 Dec</v>
      </c>
      <c r="P1895" s="1" t="str">
        <f>IFERROR(__xludf.DUMMYFUNCTION("""COMPUTED_VALUE"""),"#N/A")</f>
        <v>#N/A</v>
      </c>
      <c r="Q1895" s="1" t="str">
        <f>IFERROR(__xludf.DUMMYFUNCTION("""COMPUTED_VALUE"""),"paul.y@canva.com")</f>
        <v>paul.y@canva.com</v>
      </c>
      <c r="R1895" s="1" t="str">
        <f>IFERROR(__xludf.DUMMYFUNCTION("""COMPUTED_VALUE"""),"Paul Yang")</f>
        <v>Paul Yang</v>
      </c>
      <c r="S1895" s="1"/>
      <c r="T1895" s="1">
        <f>IFERROR(__xludf.DUMMYFUNCTION("""COMPUTED_VALUE"""),2.0)</f>
        <v>2</v>
      </c>
      <c r="U1895" s="2">
        <f>IFERROR(__xludf.DUMMYFUNCTION("""COMPUTED_VALUE"""),2.0)</f>
        <v>2</v>
      </c>
      <c r="V1895" s="1" t="str">
        <f>IFERROR(__xludf.DUMMYFUNCTION("""COMPUTED_VALUE"""),"#N/A")</f>
        <v>#N/A</v>
      </c>
      <c r="W1895" s="1" t="str">
        <f>IFERROR(__xludf.DUMMYFUNCTION("""COMPUTED_VALUE"""),"#N/A")</f>
        <v>#N/A</v>
      </c>
    </row>
    <row r="1896">
      <c r="O1896" s="1" t="str">
        <f>IFERROR(__xludf.DUMMYFUNCTION("""COMPUTED_VALUE"""),"2025 Dec")</f>
        <v>2025 Dec</v>
      </c>
      <c r="P1896" s="1" t="str">
        <f>IFERROR(__xludf.DUMMYFUNCTION("""COMPUTED_VALUE"""),"High Sensitivity Support")</f>
        <v>High Sensitivity Support</v>
      </c>
      <c r="Q1896" s="1" t="str">
        <f>IFERROR(__xludf.DUMMYFUNCTION("""COMPUTED_VALUE"""),"phillipronquillo@canva.com")</f>
        <v>phillipronquillo@canva.com</v>
      </c>
      <c r="R1896" s="1" t="str">
        <f>IFERROR(__xludf.DUMMYFUNCTION("""COMPUTED_VALUE"""),"Phil Ronquillo")</f>
        <v>Phil Ronquillo</v>
      </c>
      <c r="S1896" s="1">
        <f>IFERROR(__xludf.DUMMYFUNCTION("""COMPUTED_VALUE"""),11.0)</f>
        <v>11</v>
      </c>
      <c r="T1896" s="1">
        <f>IFERROR(__xludf.DUMMYFUNCTION("""COMPUTED_VALUE"""),1.25)</f>
        <v>1.25</v>
      </c>
      <c r="U1896" s="2">
        <f>IFERROR(__xludf.DUMMYFUNCTION("""COMPUTED_VALUE"""),12.25)</f>
        <v>12.25</v>
      </c>
      <c r="V1896" s="1" t="str">
        <f>IFERROR(__xludf.DUMMYFUNCTION("""COMPUTED_VALUE"""),"Rossheen Pura")</f>
        <v>Rossheen Pura</v>
      </c>
      <c r="W1896" s="1" t="str">
        <f>IFERROR(__xludf.DUMMYFUNCTION("""COMPUTED_VALUE"""),"High Sensitivity Support PH")</f>
        <v>High Sensitivity Support PH</v>
      </c>
    </row>
    <row r="1897">
      <c r="O1897" s="1" t="str">
        <f>IFERROR(__xludf.DUMMYFUNCTION("""COMPUTED_VALUE"""),"2025 Dec")</f>
        <v>2025 Dec</v>
      </c>
      <c r="P1897" s="1" t="str">
        <f>IFERROR(__xludf.DUMMYFUNCTION("""COMPUTED_VALUE"""),"Core Product Support")</f>
        <v>Core Product Support</v>
      </c>
      <c r="Q1897" s="1" t="str">
        <f>IFERROR(__xludf.DUMMYFUNCTION("""COMPUTED_VALUE"""),"pnicolepescador@canva.com")</f>
        <v>pnicolepescador@canva.com</v>
      </c>
      <c r="R1897" s="1" t="str">
        <f>IFERROR(__xludf.DUMMYFUNCTION("""COMPUTED_VALUE"""),"Precious Pescador")</f>
        <v>Precious Pescador</v>
      </c>
      <c r="S1897" s="1">
        <f>IFERROR(__xludf.DUMMYFUNCTION("""COMPUTED_VALUE"""),1.5)</f>
        <v>1.5</v>
      </c>
      <c r="T1897" s="1">
        <f>IFERROR(__xludf.DUMMYFUNCTION("""COMPUTED_VALUE"""),6.48)</f>
        <v>6.48</v>
      </c>
      <c r="U1897" s="2">
        <f>IFERROR(__xludf.DUMMYFUNCTION("""COMPUTED_VALUE"""),7.98)</f>
        <v>7.98</v>
      </c>
      <c r="V1897" s="1" t="str">
        <f>IFERROR(__xludf.DUMMYFUNCTION("""COMPUTED_VALUE"""),"Ayza Marie Pascual")</f>
        <v>Ayza Marie Pascual</v>
      </c>
      <c r="W1897" s="1" t="str">
        <f>IFERROR(__xludf.DUMMYFUNCTION("""COMPUTED_VALUE"""),"Advanced Billing &amp; Subscriptions")</f>
        <v>Advanced Billing &amp; Subscriptions</v>
      </c>
    </row>
    <row r="1898">
      <c r="O1898" s="1" t="str">
        <f>IFERROR(__xludf.DUMMYFUNCTION("""COMPUTED_VALUE"""),"2025 Dec")</f>
        <v>2025 Dec</v>
      </c>
      <c r="P1898" s="1" t="str">
        <f>IFERROR(__xludf.DUMMYFUNCTION("""COMPUTED_VALUE"""),"Core Product Support")</f>
        <v>Core Product Support</v>
      </c>
      <c r="Q1898" s="1" t="str">
        <f>IFERROR(__xludf.DUMMYFUNCTION("""COMPUTED_VALUE"""),"rachellynanne@canva.com")</f>
        <v>rachellynanne@canva.com</v>
      </c>
      <c r="R1898" s="1" t="str">
        <f>IFERROR(__xludf.DUMMYFUNCTION("""COMPUTED_VALUE"""),"Rachellyn Medina")</f>
        <v>Rachellyn Medina</v>
      </c>
      <c r="S1898" s="1">
        <f>IFERROR(__xludf.DUMMYFUNCTION("""COMPUTED_VALUE"""),1.25)</f>
        <v>1.25</v>
      </c>
      <c r="T1898" s="1">
        <f>IFERROR(__xludf.DUMMYFUNCTION("""COMPUTED_VALUE"""),1.25)</f>
        <v>1.25</v>
      </c>
      <c r="U1898" s="2">
        <f>IFERROR(__xludf.DUMMYFUNCTION("""COMPUTED_VALUE"""),2.5)</f>
        <v>2.5</v>
      </c>
      <c r="V1898" s="1" t="str">
        <f>IFERROR(__xludf.DUMMYFUNCTION("""COMPUTED_VALUE"""),"Jem Mondoñedo")</f>
        <v>Jem Mondoñedo</v>
      </c>
      <c r="W1898" s="1" t="str">
        <f>IFERROR(__xludf.DUMMYFUNCTION("""COMPUTED_VALUE"""),"Advanced Billing &amp; Subscriptions")</f>
        <v>Advanced Billing &amp; Subscriptions</v>
      </c>
    </row>
    <row r="1899">
      <c r="O1899" s="1" t="str">
        <f>IFERROR(__xludf.DUMMYFUNCTION("""COMPUTED_VALUE"""),"2025 Dec")</f>
        <v>2025 Dec</v>
      </c>
      <c r="P1899" s="1" t="str">
        <f>IFERROR(__xludf.DUMMYFUNCTION("""COMPUTED_VALUE"""),"Core Product Support")</f>
        <v>Core Product Support</v>
      </c>
      <c r="Q1899" s="1" t="str">
        <f>IFERROR(__xludf.DUMMYFUNCTION("""COMPUTED_VALUE"""),"alfredomillares@canva.com")</f>
        <v>alfredomillares@canva.com</v>
      </c>
      <c r="R1899" s="1" t="str">
        <f>IFERROR(__xludf.DUMMYFUNCTION("""COMPUTED_VALUE"""),"Rael Millares")</f>
        <v>Rael Millares</v>
      </c>
      <c r="S1899" s="1">
        <f>IFERROR(__xludf.DUMMYFUNCTION("""COMPUTED_VALUE"""),1.0)</f>
        <v>1</v>
      </c>
      <c r="T1899" s="1">
        <f>IFERROR(__xludf.DUMMYFUNCTION("""COMPUTED_VALUE"""),6.5)</f>
        <v>6.5</v>
      </c>
      <c r="U1899" s="2">
        <f>IFERROR(__xludf.DUMMYFUNCTION("""COMPUTED_VALUE"""),7.5)</f>
        <v>7.5</v>
      </c>
      <c r="V1899" s="1" t="str">
        <f>IFERROR(__xludf.DUMMYFUNCTION("""COMPUTED_VALUE"""),"Jahmie Mae Barrameda")</f>
        <v>Jahmie Mae Barrameda</v>
      </c>
      <c r="W1899" s="1" t="str">
        <f>IFERROR(__xludf.DUMMYFUNCTION("""COMPUTED_VALUE"""),"Advanced Billing &amp; Subscriptions")</f>
        <v>Advanced Billing &amp; Subscriptions</v>
      </c>
    </row>
    <row r="1900">
      <c r="O1900" s="1" t="str">
        <f>IFERROR(__xludf.DUMMYFUNCTION("""COMPUTED_VALUE"""),"2025 Dec")</f>
        <v>2025 Dec</v>
      </c>
      <c r="P1900" s="1" t="str">
        <f>IFERROR(__xludf.DUMMYFUNCTION("""COMPUTED_VALUE"""),"Multilingual Support")</f>
        <v>Multilingual Support</v>
      </c>
      <c r="Q1900" s="1" t="str">
        <f>IFERROR(__xludf.DUMMYFUNCTION("""COMPUTED_VALUE"""),"ranufre@canva.com")</f>
        <v>ranufre@canva.com</v>
      </c>
      <c r="R1900" s="1" t="str">
        <f>IFERROR(__xludf.DUMMYFUNCTION("""COMPUTED_VALUE"""),"Rafa Freitas")</f>
        <v>Rafa Freitas</v>
      </c>
      <c r="S1900" s="1"/>
      <c r="T1900" s="1"/>
      <c r="U1900" s="2">
        <f>IFERROR(__xludf.DUMMYFUNCTION("""COMPUTED_VALUE"""),0.0)</f>
        <v>0</v>
      </c>
      <c r="V1900" s="1" t="str">
        <f>IFERROR(__xludf.DUMMYFUNCTION("""COMPUTED_VALUE"""),"Arlene Maurillo")</f>
        <v>Arlene Maurillo</v>
      </c>
      <c r="W1900" s="1" t="str">
        <f>IFERROR(__xludf.DUMMYFUNCTION("""COMPUTED_VALUE"""),"PHL, Multilingual Support")</f>
        <v>PHL, Multilingual Support</v>
      </c>
    </row>
    <row r="1901">
      <c r="O1901" s="1" t="str">
        <f>IFERROR(__xludf.DUMMYFUNCTION("""COMPUTED_VALUE"""),"2025 Dec")</f>
        <v>2025 Dec</v>
      </c>
      <c r="P1901" s="1" t="str">
        <f>IFERROR(__xludf.DUMMYFUNCTION("""COMPUTED_VALUE"""),"Core Product Support")</f>
        <v>Core Product Support</v>
      </c>
      <c r="Q1901" s="1" t="str">
        <f>IFERROR(__xludf.DUMMYFUNCTION("""COMPUTED_VALUE"""),"rafaticzon@canva.com")</f>
        <v>rafaticzon@canva.com</v>
      </c>
      <c r="R1901" s="1" t="str">
        <f>IFERROR(__xludf.DUMMYFUNCTION("""COMPUTED_VALUE"""),"Rafa Ticzon")</f>
        <v>Rafa Ticzon</v>
      </c>
      <c r="S1901" s="1"/>
      <c r="T1901" s="1">
        <f>IFERROR(__xludf.DUMMYFUNCTION("""COMPUTED_VALUE"""),2.67)</f>
        <v>2.67</v>
      </c>
      <c r="U1901" s="2">
        <f>IFERROR(__xludf.DUMMYFUNCTION("""COMPUTED_VALUE"""),2.67)</f>
        <v>2.67</v>
      </c>
      <c r="V1901" s="1" t="str">
        <f>IFERROR(__xludf.DUMMYFUNCTION("""COMPUTED_VALUE"""),"Mikhaela Decangchon")</f>
        <v>Mikhaela Decangchon</v>
      </c>
      <c r="W1901" s="1" t="str">
        <f>IFERROR(__xludf.DUMMYFUNCTION("""COMPUTED_VALUE"""),"Advanced Product Support")</f>
        <v>Advanced Product Support</v>
      </c>
    </row>
    <row r="1902">
      <c r="O1902" s="1" t="str">
        <f>IFERROR(__xludf.DUMMYFUNCTION("""COMPUTED_VALUE"""),"2025 Dec")</f>
        <v>2025 Dec</v>
      </c>
      <c r="P1902" s="1" t="str">
        <f>IFERROR(__xludf.DUMMYFUNCTION("""COMPUTED_VALUE"""),"Core Product Support")</f>
        <v>Core Product Support</v>
      </c>
      <c r="Q1902" s="1" t="str">
        <f>IFERROR(__xludf.DUMMYFUNCTION("""COMPUTED_VALUE"""),"candace@canva.com")</f>
        <v>candace@canva.com</v>
      </c>
      <c r="R1902" s="1" t="str">
        <f>IFERROR(__xludf.DUMMYFUNCTION("""COMPUTED_VALUE"""),"Rainne Candace Llagas")</f>
        <v>Rainne Candace Llagas</v>
      </c>
      <c r="S1902" s="1">
        <f>IFERROR(__xludf.DUMMYFUNCTION("""COMPUTED_VALUE"""),1.0)</f>
        <v>1</v>
      </c>
      <c r="T1902" s="1">
        <f>IFERROR(__xludf.DUMMYFUNCTION("""COMPUTED_VALUE"""),2.15)</f>
        <v>2.15</v>
      </c>
      <c r="U1902" s="2">
        <f>IFERROR(__xludf.DUMMYFUNCTION("""COMPUTED_VALUE"""),3.15)</f>
        <v>3.15</v>
      </c>
      <c r="V1902" s="1" t="str">
        <f>IFERROR(__xludf.DUMMYFUNCTION("""COMPUTED_VALUE"""),"Belle Bentazal")</f>
        <v>Belle Bentazal</v>
      </c>
      <c r="W1902" s="1" t="str">
        <f>IFERROR(__xludf.DUMMYFUNCTION("""COMPUTED_VALUE"""),"Advanced Product Support")</f>
        <v>Advanced Product Support</v>
      </c>
    </row>
    <row r="1903">
      <c r="O1903" s="1" t="str">
        <f>IFERROR(__xludf.DUMMYFUNCTION("""COMPUTED_VALUE"""),"2025 Dec")</f>
        <v>2025 Dec</v>
      </c>
      <c r="P1903" s="1" t="str">
        <f>IFERROR(__xludf.DUMMYFUNCTION("""COMPUTED_VALUE"""),"Core Product Support")</f>
        <v>Core Product Support</v>
      </c>
      <c r="Q1903" s="1" t="str">
        <f>IFERROR(__xludf.DUMMYFUNCTION("""COMPUTED_VALUE"""),"rmercado@canva.com")</f>
        <v>rmercado@canva.com</v>
      </c>
      <c r="R1903" s="1" t="str">
        <f>IFERROR(__xludf.DUMMYFUNCTION("""COMPUTED_VALUE"""),"Ram Mercado")</f>
        <v>Ram Mercado</v>
      </c>
      <c r="S1903" s="1"/>
      <c r="T1903" s="1">
        <f>IFERROR(__xludf.DUMMYFUNCTION("""COMPUTED_VALUE"""),13.17)</f>
        <v>13.17</v>
      </c>
      <c r="U1903" s="2">
        <f>IFERROR(__xludf.DUMMYFUNCTION("""COMPUTED_VALUE"""),13.17)</f>
        <v>13.17</v>
      </c>
      <c r="V1903" s="1" t="str">
        <f>IFERROR(__xludf.DUMMYFUNCTION("""COMPUTED_VALUE"""),"Jelyn Elmido")</f>
        <v>Jelyn Elmido</v>
      </c>
      <c r="W1903" s="1" t="str">
        <f>IFERROR(__xludf.DUMMYFUNCTION("""COMPUTED_VALUE"""),"Core Product Support Escalation Team")</f>
        <v>Core Product Support Escalation Team</v>
      </c>
    </row>
    <row r="1904">
      <c r="O1904" s="1" t="str">
        <f>IFERROR(__xludf.DUMMYFUNCTION("""COMPUTED_VALUE"""),"2025 Dec")</f>
        <v>2025 Dec</v>
      </c>
      <c r="P1904" s="1" t="str">
        <f>IFERROR(__xludf.DUMMYFUNCTION("""COMPUTED_VALUE"""),"Core Product Support")</f>
        <v>Core Product Support</v>
      </c>
      <c r="Q1904" s="1" t="str">
        <f>IFERROR(__xludf.DUMMYFUNCTION("""COMPUTED_VALUE"""),"razelleroe@canva.com")</f>
        <v>razelleroe@canva.com</v>
      </c>
      <c r="R1904" s="1" t="str">
        <f>IFERROR(__xludf.DUMMYFUNCTION("""COMPUTED_VALUE"""),"Razelle Roe Garaza")</f>
        <v>Razelle Roe Garaza</v>
      </c>
      <c r="S1904" s="1">
        <f>IFERROR(__xludf.DUMMYFUNCTION("""COMPUTED_VALUE"""),1.0)</f>
        <v>1</v>
      </c>
      <c r="T1904" s="1">
        <f>IFERROR(__xludf.DUMMYFUNCTION("""COMPUTED_VALUE"""),3.83)</f>
        <v>3.83</v>
      </c>
      <c r="U1904" s="2">
        <f>IFERROR(__xludf.DUMMYFUNCTION("""COMPUTED_VALUE"""),4.83)</f>
        <v>4.83</v>
      </c>
      <c r="V1904" s="1" t="str">
        <f>IFERROR(__xludf.DUMMYFUNCTION("""COMPUTED_VALUE"""),"Ana Lazaro")</f>
        <v>Ana Lazaro</v>
      </c>
      <c r="W1904" s="1" t="str">
        <f>IFERROR(__xludf.DUMMYFUNCTION("""COMPUTED_VALUE"""),"Advanced Billing &amp; Subscriptions")</f>
        <v>Advanced Billing &amp; Subscriptions</v>
      </c>
    </row>
    <row r="1905">
      <c r="O1905" s="1" t="str">
        <f>IFERROR(__xludf.DUMMYFUNCTION("""COMPUTED_VALUE"""),"2025 Dec")</f>
        <v>2025 Dec</v>
      </c>
      <c r="P1905" s="1" t="str">
        <f>IFERROR(__xludf.DUMMYFUNCTION("""COMPUTED_VALUE"""),"Admin Support")</f>
        <v>Admin Support</v>
      </c>
      <c r="Q1905" s="1" t="str">
        <f>IFERROR(__xludf.DUMMYFUNCTION("""COMPUTED_VALUE"""),"rdolores@canva.com")</f>
        <v>rdolores@canva.com</v>
      </c>
      <c r="R1905" s="1" t="str">
        <f>IFERROR(__xludf.DUMMYFUNCTION("""COMPUTED_VALUE"""),"Rea Alexis Dolores")</f>
        <v>Rea Alexis Dolores</v>
      </c>
      <c r="S1905" s="1"/>
      <c r="T1905" s="1">
        <f>IFERROR(__xludf.DUMMYFUNCTION("""COMPUTED_VALUE"""),10.92)</f>
        <v>10.92</v>
      </c>
      <c r="U1905" s="2">
        <f>IFERROR(__xludf.DUMMYFUNCTION("""COMPUTED_VALUE"""),10.92)</f>
        <v>10.92</v>
      </c>
      <c r="V1905" s="1" t="str">
        <f>IFERROR(__xludf.DUMMYFUNCTION("""COMPUTED_VALUE"""),"Karla Mananghaya")</f>
        <v>Karla Mananghaya</v>
      </c>
      <c r="W1905" s="1" t="str">
        <f>IFERROR(__xludf.DUMMYFUNCTION("""COMPUTED_VALUE"""),"Admin Support Service Escalation Team")</f>
        <v>Admin Support Service Escalation Team</v>
      </c>
    </row>
    <row r="1906">
      <c r="O1906" s="1" t="str">
        <f>IFERROR(__xludf.DUMMYFUNCTION("""COMPUTED_VALUE"""),"2025 Dec")</f>
        <v>2025 Dec</v>
      </c>
      <c r="P1906" s="1" t="str">
        <f>IFERROR(__xludf.DUMMYFUNCTION("""COMPUTED_VALUE"""),"Admin Support")</f>
        <v>Admin Support</v>
      </c>
      <c r="Q1906" s="1" t="str">
        <f>IFERROR(__xludf.DUMMYFUNCTION("""COMPUTED_VALUE"""),"red@canva.com")</f>
        <v>red@canva.com</v>
      </c>
      <c r="R1906" s="1" t="str">
        <f>IFERROR(__xludf.DUMMYFUNCTION("""COMPUTED_VALUE"""),"Red Dela Rosa")</f>
        <v>Red Dela Rosa</v>
      </c>
      <c r="S1906" s="1"/>
      <c r="T1906" s="1"/>
      <c r="U1906" s="2">
        <f>IFERROR(__xludf.DUMMYFUNCTION("""COMPUTED_VALUE"""),0.0)</f>
        <v>0</v>
      </c>
      <c r="V1906" s="1" t="str">
        <f>IFERROR(__xludf.DUMMYFUNCTION("""COMPUTED_VALUE"""),"Pau Palmero")</f>
        <v>Pau Palmero</v>
      </c>
      <c r="W1906" s="1" t="str">
        <f>IFERROR(__xludf.DUMMYFUNCTION("""COMPUTED_VALUE"""),"Admin Omni Support")</f>
        <v>Admin Omni Support</v>
      </c>
    </row>
    <row r="1907">
      <c r="O1907" s="1" t="str">
        <f>IFERROR(__xludf.DUMMYFUNCTION("""COMPUTED_VALUE"""),"2025 Dec")</f>
        <v>2025 Dec</v>
      </c>
      <c r="P1907" s="1" t="str">
        <f>IFERROR(__xludf.DUMMYFUNCTION("""COMPUTED_VALUE"""),"Admin Support")</f>
        <v>Admin Support</v>
      </c>
      <c r="Q1907" s="1" t="str">
        <f>IFERROR(__xludf.DUMMYFUNCTION("""COMPUTED_VALUE"""),"regie@canva.com")</f>
        <v>regie@canva.com</v>
      </c>
      <c r="R1907" s="1" t="str">
        <f>IFERROR(__xludf.DUMMYFUNCTION("""COMPUTED_VALUE"""),"Regie Yambot")</f>
        <v>Regie Yambot</v>
      </c>
      <c r="S1907" s="1"/>
      <c r="T1907" s="1">
        <f>IFERROR(__xludf.DUMMYFUNCTION("""COMPUTED_VALUE"""),7.25)</f>
        <v>7.25</v>
      </c>
      <c r="U1907" s="2">
        <f>IFERROR(__xludf.DUMMYFUNCTION("""COMPUTED_VALUE"""),7.25)</f>
        <v>7.25</v>
      </c>
      <c r="V1907" s="1" t="str">
        <f>IFERROR(__xludf.DUMMYFUNCTION("""COMPUTED_VALUE"""),"Pau Palmero")</f>
        <v>Pau Palmero</v>
      </c>
      <c r="W1907" s="1" t="str">
        <f>IFERROR(__xludf.DUMMYFUNCTION("""COMPUTED_VALUE"""),"Admin Omni Support")</f>
        <v>Admin Omni Support</v>
      </c>
    </row>
    <row r="1908">
      <c r="O1908" s="1" t="str">
        <f>IFERROR(__xludf.DUMMYFUNCTION("""COMPUTED_VALUE"""),"2025 Dec")</f>
        <v>2025 Dec</v>
      </c>
      <c r="P1908" s="1" t="str">
        <f>IFERROR(__xludf.DUMMYFUNCTION("""COMPUTED_VALUE"""),"Core Product Support")</f>
        <v>Core Product Support</v>
      </c>
      <c r="Q1908" s="1" t="str">
        <f>IFERROR(__xludf.DUMMYFUNCTION("""COMPUTED_VALUE"""),"rej@canva.com")</f>
        <v>rej@canva.com</v>
      </c>
      <c r="R1908" s="1" t="str">
        <f>IFERROR(__xludf.DUMMYFUNCTION("""COMPUTED_VALUE"""),"Rej Benipayo")</f>
        <v>Rej Benipayo</v>
      </c>
      <c r="S1908" s="1">
        <f>IFERROR(__xludf.DUMMYFUNCTION("""COMPUTED_VALUE"""),1.0)</f>
        <v>1</v>
      </c>
      <c r="T1908" s="1">
        <f>IFERROR(__xludf.DUMMYFUNCTION("""COMPUTED_VALUE"""),3.5)</f>
        <v>3.5</v>
      </c>
      <c r="U1908" s="2">
        <f>IFERROR(__xludf.DUMMYFUNCTION("""COMPUTED_VALUE"""),4.5)</f>
        <v>4.5</v>
      </c>
      <c r="V1908" s="1" t="str">
        <f>IFERROR(__xludf.DUMMYFUNCTION("""COMPUTED_VALUE"""),"Renette Bok")</f>
        <v>Renette Bok</v>
      </c>
      <c r="W1908" s="1" t="str">
        <f>IFERROR(__xludf.DUMMYFUNCTION("""COMPUTED_VALUE"""),"Advanced Billing &amp; Subscriptions")</f>
        <v>Advanced Billing &amp; Subscriptions</v>
      </c>
    </row>
    <row r="1909">
      <c r="O1909" s="1" t="str">
        <f>IFERROR(__xludf.DUMMYFUNCTION("""COMPUTED_VALUE"""),"2025 Dec")</f>
        <v>2025 Dec</v>
      </c>
      <c r="P1909" s="1" t="str">
        <f>IFERROR(__xludf.DUMMYFUNCTION("""COMPUTED_VALUE"""),"Core Product Support")</f>
        <v>Core Product Support</v>
      </c>
      <c r="Q1909" s="1" t="str">
        <f>IFERROR(__xludf.DUMMYFUNCTION("""COMPUTED_VALUE"""),"revisuarez@canva.com")</f>
        <v>revisuarez@canva.com</v>
      </c>
      <c r="R1909" s="1" t="str">
        <f>IFERROR(__xludf.DUMMYFUNCTION("""COMPUTED_VALUE"""),"Revi Suarez")</f>
        <v>Revi Suarez</v>
      </c>
      <c r="S1909" s="1">
        <f>IFERROR(__xludf.DUMMYFUNCTION("""COMPUTED_VALUE"""),0.5)</f>
        <v>0.5</v>
      </c>
      <c r="T1909" s="1">
        <f>IFERROR(__xludf.DUMMYFUNCTION("""COMPUTED_VALUE"""),15.58)</f>
        <v>15.58</v>
      </c>
      <c r="U1909" s="2">
        <f>IFERROR(__xludf.DUMMYFUNCTION("""COMPUTED_VALUE"""),16.08)</f>
        <v>16.08</v>
      </c>
      <c r="V1909" s="1" t="str">
        <f>IFERROR(__xludf.DUMMYFUNCTION("""COMPUTED_VALUE"""),"Jelyn Elmido")</f>
        <v>Jelyn Elmido</v>
      </c>
      <c r="W1909" s="1" t="str">
        <f>IFERROR(__xludf.DUMMYFUNCTION("""COMPUTED_VALUE"""),"Core Product Support Escalation Team")</f>
        <v>Core Product Support Escalation Team</v>
      </c>
    </row>
    <row r="1910">
      <c r="O1910" s="1" t="str">
        <f>IFERROR(__xludf.DUMMYFUNCTION("""COMPUTED_VALUE"""),"2025 Dec")</f>
        <v>2025 Dec</v>
      </c>
      <c r="P1910" s="1" t="str">
        <f>IFERROR(__xludf.DUMMYFUNCTION("""COMPUTED_VALUE"""),"High Sensitivity Support")</f>
        <v>High Sensitivity Support</v>
      </c>
      <c r="Q1910" s="1" t="str">
        <f>IFERROR(__xludf.DUMMYFUNCTION("""COMPUTED_VALUE"""),"reya@canva.com")</f>
        <v>reya@canva.com</v>
      </c>
      <c r="R1910" s="1" t="str">
        <f>IFERROR(__xludf.DUMMYFUNCTION("""COMPUTED_VALUE"""),"Reya Joson")</f>
        <v>Reya Joson</v>
      </c>
      <c r="S1910" s="1"/>
      <c r="T1910" s="1">
        <f>IFERROR(__xludf.DUMMYFUNCTION("""COMPUTED_VALUE"""),11.63)</f>
        <v>11.63</v>
      </c>
      <c r="U1910" s="2">
        <f>IFERROR(__xludf.DUMMYFUNCTION("""COMPUTED_VALUE"""),11.63)</f>
        <v>11.63</v>
      </c>
      <c r="V1910" s="1" t="str">
        <f>IFERROR(__xludf.DUMMYFUNCTION("""COMPUTED_VALUE"""),"Issi Afable")</f>
        <v>Issi Afable</v>
      </c>
      <c r="W1910" s="1" t="str">
        <f>IFERROR(__xludf.DUMMYFUNCTION("""COMPUTED_VALUE"""),"High Sensitivity Support PH")</f>
        <v>High Sensitivity Support PH</v>
      </c>
    </row>
    <row r="1911">
      <c r="O1911" s="1" t="str">
        <f>IFERROR(__xludf.DUMMYFUNCTION("""COMPUTED_VALUE"""),"2025 Dec")</f>
        <v>2025 Dec</v>
      </c>
      <c r="P1911" s="1" t="str">
        <f>IFERROR(__xludf.DUMMYFUNCTION("""COMPUTED_VALUE"""),"Segment-specific Support")</f>
        <v>Segment-specific Support</v>
      </c>
      <c r="Q1911" s="1" t="str">
        <f>IFERROR(__xludf.DUMMYFUNCTION("""COMPUTED_VALUE"""),"rizzah@canva.com")</f>
        <v>rizzah@canva.com</v>
      </c>
      <c r="R1911" s="1" t="str">
        <f>IFERROR(__xludf.DUMMYFUNCTION("""COMPUTED_VALUE"""),"Rizzah Hope Anjao")</f>
        <v>Rizzah Hope Anjao</v>
      </c>
      <c r="S1911" s="1"/>
      <c r="T1911" s="1"/>
      <c r="U1911" s="2">
        <f>IFERROR(__xludf.DUMMYFUNCTION("""COMPUTED_VALUE"""),0.0)</f>
        <v>0</v>
      </c>
      <c r="V1911" s="1" t="str">
        <f>IFERROR(__xludf.DUMMYFUNCTION("""COMPUTED_VALUE"""),"Gucci Nava")</f>
        <v>Gucci Nava</v>
      </c>
      <c r="W1911" s="1" t="str">
        <f>IFERROR(__xludf.DUMMYFUNCTION("""COMPUTED_VALUE"""),"Affinity Support")</f>
        <v>Affinity Support</v>
      </c>
    </row>
    <row r="1912">
      <c r="O1912" s="1" t="str">
        <f>IFERROR(__xludf.DUMMYFUNCTION("""COMPUTED_VALUE"""),"2025 Dec")</f>
        <v>2025 Dec</v>
      </c>
      <c r="P1912" s="1" t="str">
        <f>IFERROR(__xludf.DUMMYFUNCTION("""COMPUTED_VALUE"""),"Print Support")</f>
        <v>Print Support</v>
      </c>
      <c r="Q1912" s="1" t="str">
        <f>IFERROR(__xludf.DUMMYFUNCTION("""COMPUTED_VALUE"""),"robsuico@canva.com")</f>
        <v>robsuico@canva.com</v>
      </c>
      <c r="R1912" s="1" t="str">
        <f>IFERROR(__xludf.DUMMYFUNCTION("""COMPUTED_VALUE"""),"Robin Suico")</f>
        <v>Robin Suico</v>
      </c>
      <c r="S1912" s="1"/>
      <c r="T1912" s="1">
        <f>IFERROR(__xludf.DUMMYFUNCTION("""COMPUTED_VALUE"""),3.0)</f>
        <v>3</v>
      </c>
      <c r="U1912" s="2">
        <f>IFERROR(__xludf.DUMMYFUNCTION("""COMPUTED_VALUE"""),3.0)</f>
        <v>3</v>
      </c>
      <c r="V1912" s="1" t="str">
        <f>IFERROR(__xludf.DUMMYFUNCTION("""COMPUTED_VALUE"""),"Aliza Dote")</f>
        <v>Aliza Dote</v>
      </c>
      <c r="W1912" s="1" t="str">
        <f>IFERROR(__xludf.DUMMYFUNCTION("""COMPUTED_VALUE"""),"Print Design Support")</f>
        <v>Print Design Support</v>
      </c>
    </row>
    <row r="1913">
      <c r="O1913" s="1" t="str">
        <f>IFERROR(__xludf.DUMMYFUNCTION("""COMPUTED_VALUE"""),"2025 Dec")</f>
        <v>2025 Dec</v>
      </c>
      <c r="P1913" s="1" t="str">
        <f>IFERROR(__xludf.DUMMYFUNCTION("""COMPUTED_VALUE"""),"Core Product Support")</f>
        <v>Core Product Support</v>
      </c>
      <c r="Q1913" s="1" t="str">
        <f>IFERROR(__xludf.DUMMYFUNCTION("""COMPUTED_VALUE"""),"ronally@canva.com")</f>
        <v>ronally@canva.com</v>
      </c>
      <c r="R1913" s="1" t="str">
        <f>IFERROR(__xludf.DUMMYFUNCTION("""COMPUTED_VALUE"""),"Ronally Romero")</f>
        <v>Ronally Romero</v>
      </c>
      <c r="S1913" s="1">
        <f>IFERROR(__xludf.DUMMYFUNCTION("""COMPUTED_VALUE"""),1.5)</f>
        <v>1.5</v>
      </c>
      <c r="T1913" s="1">
        <f>IFERROR(__xludf.DUMMYFUNCTION("""COMPUTED_VALUE"""),1.0)</f>
        <v>1</v>
      </c>
      <c r="U1913" s="2">
        <f>IFERROR(__xludf.DUMMYFUNCTION("""COMPUTED_VALUE"""),2.5)</f>
        <v>2.5</v>
      </c>
      <c r="V1913" s="1" t="str">
        <f>IFERROR(__xludf.DUMMYFUNCTION("""COMPUTED_VALUE"""),"Cate Velasco")</f>
        <v>Cate Velasco</v>
      </c>
      <c r="W1913" s="1" t="str">
        <f>IFERROR(__xludf.DUMMYFUNCTION("""COMPUTED_VALUE"""),"Advanced Product Support")</f>
        <v>Advanced Product Support</v>
      </c>
    </row>
    <row r="1914">
      <c r="O1914" s="1" t="str">
        <f>IFERROR(__xludf.DUMMYFUNCTION("""COMPUTED_VALUE"""),"2025 Dec")</f>
        <v>2025 Dec</v>
      </c>
      <c r="P1914" s="1" t="str">
        <f>IFERROR(__xludf.DUMMYFUNCTION("""COMPUTED_VALUE"""),"Core Product Support")</f>
        <v>Core Product Support</v>
      </c>
      <c r="Q1914" s="1" t="str">
        <f>IFERROR(__xludf.DUMMYFUNCTION("""COMPUTED_VALUE"""),"rvalderrama@canva.com")</f>
        <v>rvalderrama@canva.com</v>
      </c>
      <c r="R1914" s="1" t="str">
        <f>IFERROR(__xludf.DUMMYFUNCTION("""COMPUTED_VALUE"""),"Rony Valderrama")</f>
        <v>Rony Valderrama</v>
      </c>
      <c r="S1914" s="1"/>
      <c r="T1914" s="1">
        <f>IFERROR(__xludf.DUMMYFUNCTION("""COMPUTED_VALUE"""),6.67)</f>
        <v>6.67</v>
      </c>
      <c r="U1914" s="2">
        <f>IFERROR(__xludf.DUMMYFUNCTION("""COMPUTED_VALUE"""),6.67)</f>
        <v>6.67</v>
      </c>
      <c r="V1914" s="1" t="str">
        <f>IFERROR(__xludf.DUMMYFUNCTION("""COMPUTED_VALUE"""),"Renette Bok")</f>
        <v>Renette Bok</v>
      </c>
      <c r="W1914" s="1" t="str">
        <f>IFERROR(__xludf.DUMMYFUNCTION("""COMPUTED_VALUE"""),"Advanced Billing &amp; Subscriptions")</f>
        <v>Advanced Billing &amp; Subscriptions</v>
      </c>
    </row>
    <row r="1915">
      <c r="O1915" s="1" t="str">
        <f>IFERROR(__xludf.DUMMYFUNCTION("""COMPUTED_VALUE"""),"2025 Dec")</f>
        <v>2025 Dec</v>
      </c>
      <c r="P1915" s="1" t="str">
        <f>IFERROR(__xludf.DUMMYFUNCTION("""COMPUTED_VALUE"""),"Core Product Support")</f>
        <v>Core Product Support</v>
      </c>
      <c r="Q1915" s="1" t="str">
        <f>IFERROR(__xludf.DUMMYFUNCTION("""COMPUTED_VALUE"""),"ronyl@canva.com")</f>
        <v>ronyl@canva.com</v>
      </c>
      <c r="R1915" s="1" t="str">
        <f>IFERROR(__xludf.DUMMYFUNCTION("""COMPUTED_VALUE"""),"Ronyl Masilang")</f>
        <v>Ronyl Masilang</v>
      </c>
      <c r="S1915" s="1">
        <f>IFERROR(__xludf.DUMMYFUNCTION("""COMPUTED_VALUE"""),1.5)</f>
        <v>1.5</v>
      </c>
      <c r="T1915" s="1">
        <f>IFERROR(__xludf.DUMMYFUNCTION("""COMPUTED_VALUE"""),1.83)</f>
        <v>1.83</v>
      </c>
      <c r="U1915" s="2">
        <f>IFERROR(__xludf.DUMMYFUNCTION("""COMPUTED_VALUE"""),3.33)</f>
        <v>3.33</v>
      </c>
      <c r="V1915" s="1" t="str">
        <f>IFERROR(__xludf.DUMMYFUNCTION("""COMPUTED_VALUE"""),"Cate Velasco")</f>
        <v>Cate Velasco</v>
      </c>
      <c r="W1915" s="1" t="str">
        <f>IFERROR(__xludf.DUMMYFUNCTION("""COMPUTED_VALUE"""),"Advanced Product Support")</f>
        <v>Advanced Product Support</v>
      </c>
    </row>
    <row r="1916">
      <c r="O1916" s="1" t="str">
        <f>IFERROR(__xludf.DUMMYFUNCTION("""COMPUTED_VALUE"""),"2025 Dec")</f>
        <v>2025 Dec</v>
      </c>
      <c r="P1916" s="1" t="str">
        <f>IFERROR(__xludf.DUMMYFUNCTION("""COMPUTED_VALUE"""),"Core Product Support")</f>
        <v>Core Product Support</v>
      </c>
      <c r="Q1916" s="1" t="str">
        <f>IFERROR(__xludf.DUMMYFUNCTION("""COMPUTED_VALUE"""),"rounette@canva.com")</f>
        <v>rounette@canva.com</v>
      </c>
      <c r="R1916" s="1" t="str">
        <f>IFERROR(__xludf.DUMMYFUNCTION("""COMPUTED_VALUE"""),"Rounette Natividad")</f>
        <v>Rounette Natividad</v>
      </c>
      <c r="S1916" s="1"/>
      <c r="T1916" s="1">
        <f>IFERROR(__xludf.DUMMYFUNCTION("""COMPUTED_VALUE"""),2.0)</f>
        <v>2</v>
      </c>
      <c r="U1916" s="2">
        <f>IFERROR(__xludf.DUMMYFUNCTION("""COMPUTED_VALUE"""),2.0)</f>
        <v>2</v>
      </c>
      <c r="V1916" s="1" t="str">
        <f>IFERROR(__xludf.DUMMYFUNCTION("""COMPUTED_VALUE"""),"Mikhaela Decangchon")</f>
        <v>Mikhaela Decangchon</v>
      </c>
      <c r="W1916" s="1" t="str">
        <f>IFERROR(__xludf.DUMMYFUNCTION("""COMPUTED_VALUE"""),"Advanced Product Support")</f>
        <v>Advanced Product Support</v>
      </c>
    </row>
    <row r="1917">
      <c r="O1917" s="1" t="str">
        <f>IFERROR(__xludf.DUMMYFUNCTION("""COMPUTED_VALUE"""),"2025 Dec")</f>
        <v>2025 Dec</v>
      </c>
      <c r="P1917" s="1" t="str">
        <f>IFERROR(__xludf.DUMMYFUNCTION("""COMPUTED_VALUE"""),"Admin Support")</f>
        <v>Admin Support</v>
      </c>
      <c r="Q1917" s="1" t="str">
        <f>IFERROR(__xludf.DUMMYFUNCTION("""COMPUTED_VALUE"""),"rovie@canva.com")</f>
        <v>rovie@canva.com</v>
      </c>
      <c r="R1917" s="1" t="str">
        <f>IFERROR(__xludf.DUMMYFUNCTION("""COMPUTED_VALUE"""),"Rovie Hawang")</f>
        <v>Rovie Hawang</v>
      </c>
      <c r="S1917" s="1"/>
      <c r="T1917" s="1">
        <f>IFERROR(__xludf.DUMMYFUNCTION("""COMPUTED_VALUE"""),11.73)</f>
        <v>11.73</v>
      </c>
      <c r="U1917" s="2">
        <f>IFERROR(__xludf.DUMMYFUNCTION("""COMPUTED_VALUE"""),11.73)</f>
        <v>11.73</v>
      </c>
      <c r="V1917" s="1" t="str">
        <f>IFERROR(__xludf.DUMMYFUNCTION("""COMPUTED_VALUE"""),"Kelden Laguting")</f>
        <v>Kelden Laguting</v>
      </c>
      <c r="W1917" s="1" t="str">
        <f>IFERROR(__xludf.DUMMYFUNCTION("""COMPUTED_VALUE"""),"Admin Omni Support")</f>
        <v>Admin Omni Support</v>
      </c>
    </row>
    <row r="1918">
      <c r="O1918" s="1" t="str">
        <f>IFERROR(__xludf.DUMMYFUNCTION("""COMPUTED_VALUE"""),"2025 Dec")</f>
        <v>2025 Dec</v>
      </c>
      <c r="P1918" s="1" t="str">
        <f>IFERROR(__xludf.DUMMYFUNCTION("""COMPUTED_VALUE"""),"Admin Support")</f>
        <v>Admin Support</v>
      </c>
      <c r="Q1918" s="1" t="str">
        <f>IFERROR(__xludf.DUMMYFUNCTION("""COMPUTED_VALUE"""),"roxanne@canva.com")</f>
        <v>roxanne@canva.com</v>
      </c>
      <c r="R1918" s="1" t="str">
        <f>IFERROR(__xludf.DUMMYFUNCTION("""COMPUTED_VALUE"""),"Roxanne Joy Capunayan")</f>
        <v>Roxanne Joy Capunayan</v>
      </c>
      <c r="S1918" s="1"/>
      <c r="T1918" s="1">
        <f>IFERROR(__xludf.DUMMYFUNCTION("""COMPUTED_VALUE"""),14.75)</f>
        <v>14.75</v>
      </c>
      <c r="U1918" s="2">
        <f>IFERROR(__xludf.DUMMYFUNCTION("""COMPUTED_VALUE"""),14.75)</f>
        <v>14.75</v>
      </c>
      <c r="V1918" s="1" t="str">
        <f>IFERROR(__xludf.DUMMYFUNCTION("""COMPUTED_VALUE"""),"Ann Dumlao")</f>
        <v>Ann Dumlao</v>
      </c>
      <c r="W1918" s="1" t="str">
        <f>IFERROR(__xludf.DUMMYFUNCTION("""COMPUTED_VALUE"""),"Admin Omni Support")</f>
        <v>Admin Omni Support</v>
      </c>
    </row>
    <row r="1919">
      <c r="O1919" s="1" t="str">
        <f>IFERROR(__xludf.DUMMYFUNCTION("""COMPUTED_VALUE"""),"2025 Dec")</f>
        <v>2025 Dec</v>
      </c>
      <c r="P1919" s="1" t="str">
        <f>IFERROR(__xludf.DUMMYFUNCTION("""COMPUTED_VALUE"""),"Core Product Support")</f>
        <v>Core Product Support</v>
      </c>
      <c r="Q1919" s="1" t="str">
        <f>IFERROR(__xludf.DUMMYFUNCTION("""COMPUTED_VALUE"""),"rozelp@canva.com")</f>
        <v>rozelp@canva.com</v>
      </c>
      <c r="R1919" s="1" t="str">
        <f>IFERROR(__xludf.DUMMYFUNCTION("""COMPUTED_VALUE"""),"Rozel Punsalan")</f>
        <v>Rozel Punsalan</v>
      </c>
      <c r="S1919" s="1">
        <f>IFERROR(__xludf.DUMMYFUNCTION("""COMPUTED_VALUE"""),1.5)</f>
        <v>1.5</v>
      </c>
      <c r="T1919" s="1">
        <f>IFERROR(__xludf.DUMMYFUNCTION("""COMPUTED_VALUE"""),1.0)</f>
        <v>1</v>
      </c>
      <c r="U1919" s="2">
        <f>IFERROR(__xludf.DUMMYFUNCTION("""COMPUTED_VALUE"""),2.5)</f>
        <v>2.5</v>
      </c>
      <c r="V1919" s="1" t="str">
        <f>IFERROR(__xludf.DUMMYFUNCTION("""COMPUTED_VALUE"""),"Marie Mordeno")</f>
        <v>Marie Mordeno</v>
      </c>
      <c r="W1919" s="1" t="str">
        <f>IFERROR(__xludf.DUMMYFUNCTION("""COMPUTED_VALUE"""),"Advanced Billing &amp; Subscriptions")</f>
        <v>Advanced Billing &amp; Subscriptions</v>
      </c>
    </row>
    <row r="1920">
      <c r="O1920" s="1" t="str">
        <f>IFERROR(__xludf.DUMMYFUNCTION("""COMPUTED_VALUE"""),"2025 Dec")</f>
        <v>2025 Dec</v>
      </c>
      <c r="P1920" s="1" t="str">
        <f>IFERROR(__xludf.DUMMYFUNCTION("""COMPUTED_VALUE"""),"Core Product Support")</f>
        <v>Core Product Support</v>
      </c>
      <c r="Q1920" s="1" t="str">
        <f>IFERROR(__xludf.DUMMYFUNCTION("""COMPUTED_VALUE"""),"ruzel@canva.com")</f>
        <v>ruzel@canva.com</v>
      </c>
      <c r="R1920" s="1" t="str">
        <f>IFERROR(__xludf.DUMMYFUNCTION("""COMPUTED_VALUE"""),"Ruzel Raqueno")</f>
        <v>Ruzel Raqueno</v>
      </c>
      <c r="S1920" s="1"/>
      <c r="T1920" s="1">
        <f>IFERROR(__xludf.DUMMYFUNCTION("""COMPUTED_VALUE"""),16.75)</f>
        <v>16.75</v>
      </c>
      <c r="U1920" s="2">
        <f>IFERROR(__xludf.DUMMYFUNCTION("""COMPUTED_VALUE"""),16.75)</f>
        <v>16.75</v>
      </c>
      <c r="V1920" s="1" t="str">
        <f>IFERROR(__xludf.DUMMYFUNCTION("""COMPUTED_VALUE"""),"Ellaine Estayo")</f>
        <v>Ellaine Estayo</v>
      </c>
      <c r="W1920" s="1" t="str">
        <f>IFERROR(__xludf.DUMMYFUNCTION("""COMPUTED_VALUE"""),"Core Product Support Escalation Team")</f>
        <v>Core Product Support Escalation Team</v>
      </c>
    </row>
    <row r="1921">
      <c r="O1921" s="1" t="str">
        <f>IFERROR(__xludf.DUMMYFUNCTION("""COMPUTED_VALUE"""),"2025 Dec")</f>
        <v>2025 Dec</v>
      </c>
      <c r="P1921" s="1" t="str">
        <f>IFERROR(__xludf.DUMMYFUNCTION("""COMPUTED_VALUE"""),"Print Support")</f>
        <v>Print Support</v>
      </c>
      <c r="Q1921" s="1" t="str">
        <f>IFERROR(__xludf.DUMMYFUNCTION("""COMPUTED_VALUE"""),"rdominick@canva.com")</f>
        <v>rdominick@canva.com</v>
      </c>
      <c r="R1921" s="1" t="str">
        <f>IFERROR(__xludf.DUMMYFUNCTION("""COMPUTED_VALUE"""),"Ryan Dominick Razon")</f>
        <v>Ryan Dominick Razon</v>
      </c>
      <c r="S1921" s="1"/>
      <c r="T1921" s="1">
        <f>IFERROR(__xludf.DUMMYFUNCTION("""COMPUTED_VALUE"""),2.0)</f>
        <v>2</v>
      </c>
      <c r="U1921" s="2">
        <f>IFERROR(__xludf.DUMMYFUNCTION("""COMPUTED_VALUE"""),2.0)</f>
        <v>2</v>
      </c>
      <c r="V1921" s="1" t="str">
        <f>IFERROR(__xludf.DUMMYFUNCTION("""COMPUTED_VALUE"""),"Jen Momo")</f>
        <v>Jen Momo</v>
      </c>
      <c r="W1921" s="1" t="str">
        <f>IFERROR(__xludf.DUMMYFUNCTION("""COMPUTED_VALUE"""),"Print Support PH")</f>
        <v>Print Support PH</v>
      </c>
    </row>
    <row r="1922">
      <c r="O1922" s="1" t="str">
        <f>IFERROR(__xludf.DUMMYFUNCTION("""COMPUTED_VALUE"""),"2025 Dec")</f>
        <v>2025 Dec</v>
      </c>
      <c r="P1922" s="1" t="str">
        <f>IFERROR(__xludf.DUMMYFUNCTION("""COMPUTED_VALUE"""),"Segment-specific Support")</f>
        <v>Segment-specific Support</v>
      </c>
      <c r="Q1922" s="1" t="str">
        <f>IFERROR(__xludf.DUMMYFUNCTION("""COMPUTED_VALUE"""),"sammiee@canva.com")</f>
        <v>sammiee@canva.com</v>
      </c>
      <c r="R1922" s="1" t="str">
        <f>IFERROR(__xludf.DUMMYFUNCTION("""COMPUTED_VALUE"""),"Sam Espelimbergo")</f>
        <v>Sam Espelimbergo</v>
      </c>
      <c r="S1922" s="1"/>
      <c r="T1922" s="1">
        <f>IFERROR(__xludf.DUMMYFUNCTION("""COMPUTED_VALUE"""),1.0)</f>
        <v>1</v>
      </c>
      <c r="U1922" s="2">
        <f>IFERROR(__xludf.DUMMYFUNCTION("""COMPUTED_VALUE"""),1.0)</f>
        <v>1</v>
      </c>
      <c r="V1922" s="1" t="str">
        <f>IFERROR(__xludf.DUMMYFUNCTION("""COMPUTED_VALUE"""),"Aileen Dayanghirang")</f>
        <v>Aileen Dayanghirang</v>
      </c>
      <c r="W1922" s="1" t="str">
        <f>IFERROR(__xludf.DUMMYFUNCTION("""COMPUTED_VALUE"""),"Creators Support")</f>
        <v>Creators Support</v>
      </c>
    </row>
    <row r="1923">
      <c r="O1923" s="1" t="str">
        <f>IFERROR(__xludf.DUMMYFUNCTION("""COMPUTED_VALUE"""),"2025 Dec")</f>
        <v>2025 Dec</v>
      </c>
      <c r="P1923" s="1" t="str">
        <f>IFERROR(__xludf.DUMMYFUNCTION("""COMPUTED_VALUE"""),"Admin Support")</f>
        <v>Admin Support</v>
      </c>
      <c r="Q1923" s="1" t="str">
        <f>IFERROR(__xludf.DUMMYFUNCTION("""COMPUTED_VALUE"""),"simber@canva.com")</f>
        <v>simber@canva.com</v>
      </c>
      <c r="R1923" s="1" t="str">
        <f>IFERROR(__xludf.DUMMYFUNCTION("""COMPUTED_VALUE"""),"Sean Imber")</f>
        <v>Sean Imber</v>
      </c>
      <c r="S1923" s="1"/>
      <c r="T1923" s="1">
        <f>IFERROR(__xludf.DUMMYFUNCTION("""COMPUTED_VALUE"""),1.0)</f>
        <v>1</v>
      </c>
      <c r="U1923" s="2">
        <f>IFERROR(__xludf.DUMMYFUNCTION("""COMPUTED_VALUE"""),1.0)</f>
        <v>1</v>
      </c>
      <c r="V1923" s="1" t="str">
        <f>IFERROR(__xludf.DUMMYFUNCTION("""COMPUTED_VALUE"""),"Elise Cesario Mendes")</f>
        <v>Elise Cesario Mendes</v>
      </c>
      <c r="W1923" s="1" t="str">
        <f>IFERROR(__xludf.DUMMYFUNCTION("""COMPUTED_VALUE"""),"Admin Support APJ")</f>
        <v>Admin Support APJ</v>
      </c>
    </row>
    <row r="1924">
      <c r="O1924" s="1" t="str">
        <f>IFERROR(__xludf.DUMMYFUNCTION("""COMPUTED_VALUE"""),"2025 Dec")</f>
        <v>2025 Dec</v>
      </c>
      <c r="P1924" s="1" t="str">
        <f>IFERROR(__xludf.DUMMYFUNCTION("""COMPUTED_VALUE"""),"High Sensitivity Support")</f>
        <v>High Sensitivity Support</v>
      </c>
      <c r="Q1924" s="1" t="str">
        <f>IFERROR(__xludf.DUMMYFUNCTION("""COMPUTED_VALUE"""),"sbaldonado@canva.com")</f>
        <v>sbaldonado@canva.com</v>
      </c>
      <c r="R1924" s="1" t="str">
        <f>IFERROR(__xludf.DUMMYFUNCTION("""COMPUTED_VALUE"""),"Sheira Nicole Baldonado")</f>
        <v>Sheira Nicole Baldonado</v>
      </c>
      <c r="S1924" s="1">
        <f>IFERROR(__xludf.DUMMYFUNCTION("""COMPUTED_VALUE"""),14.18)</f>
        <v>14.18</v>
      </c>
      <c r="T1924" s="1">
        <f>IFERROR(__xludf.DUMMYFUNCTION("""COMPUTED_VALUE"""),1.48)</f>
        <v>1.48</v>
      </c>
      <c r="U1924" s="2">
        <f>IFERROR(__xludf.DUMMYFUNCTION("""COMPUTED_VALUE"""),15.66)</f>
        <v>15.66</v>
      </c>
      <c r="V1924" s="1" t="str">
        <f>IFERROR(__xludf.DUMMYFUNCTION("""COMPUTED_VALUE"""),"Rex Villamor")</f>
        <v>Rex Villamor</v>
      </c>
      <c r="W1924" s="1" t="str">
        <f>IFERROR(__xludf.DUMMYFUNCTION("""COMPUTED_VALUE"""),"High Sensitivity Support PH")</f>
        <v>High Sensitivity Support PH</v>
      </c>
    </row>
    <row r="1925">
      <c r="O1925" s="1" t="str">
        <f>IFERROR(__xludf.DUMMYFUNCTION("""COMPUTED_VALUE"""),"2025 Dec")</f>
        <v>2025 Dec</v>
      </c>
      <c r="P1925" s="1" t="str">
        <f>IFERROR(__xludf.DUMMYFUNCTION("""COMPUTED_VALUE"""),"Core Product Support")</f>
        <v>Core Product Support</v>
      </c>
      <c r="Q1925" s="1" t="str">
        <f>IFERROR(__xludf.DUMMYFUNCTION("""COMPUTED_VALUE"""),"sophiae@canva.com")</f>
        <v>sophiae@canva.com</v>
      </c>
      <c r="R1925" s="1" t="str">
        <f>IFERROR(__xludf.DUMMYFUNCTION("""COMPUTED_VALUE"""),"Sophia Ermac")</f>
        <v>Sophia Ermac</v>
      </c>
      <c r="S1925" s="1">
        <f>IFERROR(__xludf.DUMMYFUNCTION("""COMPUTED_VALUE"""),1.0)</f>
        <v>1</v>
      </c>
      <c r="T1925" s="1">
        <f>IFERROR(__xludf.DUMMYFUNCTION("""COMPUTED_VALUE"""),2.08)</f>
        <v>2.08</v>
      </c>
      <c r="U1925" s="2">
        <f>IFERROR(__xludf.DUMMYFUNCTION("""COMPUTED_VALUE"""),3.08)</f>
        <v>3.08</v>
      </c>
      <c r="V1925" s="1" t="str">
        <f>IFERROR(__xludf.DUMMYFUNCTION("""COMPUTED_VALUE"""),"Ana Lazaro")</f>
        <v>Ana Lazaro</v>
      </c>
      <c r="W1925" s="1" t="str">
        <f>IFERROR(__xludf.DUMMYFUNCTION("""COMPUTED_VALUE"""),"Advanced Billing &amp; Subscriptions")</f>
        <v>Advanced Billing &amp; Subscriptions</v>
      </c>
    </row>
    <row r="1926">
      <c r="O1926" s="1" t="str">
        <f>IFERROR(__xludf.DUMMYFUNCTION("""COMPUTED_VALUE"""),"2025 Dec")</f>
        <v>2025 Dec</v>
      </c>
      <c r="P1926" s="1" t="str">
        <f>IFERROR(__xludf.DUMMYFUNCTION("""COMPUTED_VALUE"""),"Admin Support")</f>
        <v>Admin Support</v>
      </c>
      <c r="Q1926" s="1" t="str">
        <f>IFERROR(__xludf.DUMMYFUNCTION("""COMPUTED_VALUE"""),"stephanie.t@canva.com")</f>
        <v>stephanie.t@canva.com</v>
      </c>
      <c r="R1926" s="1" t="str">
        <f>IFERROR(__xludf.DUMMYFUNCTION("""COMPUTED_VALUE"""),"Stephanie Lyn Tan")</f>
        <v>Stephanie Lyn Tan</v>
      </c>
      <c r="S1926" s="1"/>
      <c r="T1926" s="1">
        <f>IFERROR(__xludf.DUMMYFUNCTION("""COMPUTED_VALUE"""),22.5)</f>
        <v>22.5</v>
      </c>
      <c r="U1926" s="2">
        <f>IFERROR(__xludf.DUMMYFUNCTION("""COMPUTED_VALUE"""),22.5)</f>
        <v>22.5</v>
      </c>
      <c r="V1926" s="1" t="str">
        <f>IFERROR(__xludf.DUMMYFUNCTION("""COMPUTED_VALUE"""),"Pau Palmero")</f>
        <v>Pau Palmero</v>
      </c>
      <c r="W1926" s="1" t="str">
        <f>IFERROR(__xludf.DUMMYFUNCTION("""COMPUTED_VALUE"""),"Admin Omni Support")</f>
        <v>Admin Omni Support</v>
      </c>
    </row>
    <row r="1927">
      <c r="O1927" s="1" t="str">
        <f>IFERROR(__xludf.DUMMYFUNCTION("""COMPUTED_VALUE"""),"2025 Dec")</f>
        <v>2025 Dec</v>
      </c>
      <c r="P1927" s="1" t="str">
        <f>IFERROR(__xludf.DUMMYFUNCTION("""COMPUTED_VALUE"""),"Admin Support")</f>
        <v>Admin Support</v>
      </c>
      <c r="Q1927" s="1" t="str">
        <f>IFERROR(__xludf.DUMMYFUNCTION("""COMPUTED_VALUE"""),"stephen.k@canva.com")</f>
        <v>stephen.k@canva.com</v>
      </c>
      <c r="R1927" s="1" t="str">
        <f>IFERROR(__xludf.DUMMYFUNCTION("""COMPUTED_VALUE"""),"Stephen Kahanap")</f>
        <v>Stephen Kahanap</v>
      </c>
      <c r="S1927" s="1"/>
      <c r="T1927" s="1">
        <f>IFERROR(__xludf.DUMMYFUNCTION("""COMPUTED_VALUE"""),7.75)</f>
        <v>7.75</v>
      </c>
      <c r="U1927" s="2">
        <f>IFERROR(__xludf.DUMMYFUNCTION("""COMPUTED_VALUE"""),7.75)</f>
        <v>7.75</v>
      </c>
      <c r="V1927" s="1" t="str">
        <f>IFERROR(__xludf.DUMMYFUNCTION("""COMPUTED_VALUE"""),"Ann Dumlao")</f>
        <v>Ann Dumlao</v>
      </c>
      <c r="W1927" s="1" t="str">
        <f>IFERROR(__xludf.DUMMYFUNCTION("""COMPUTED_VALUE"""),"Admin Omni Support")</f>
        <v>Admin Omni Support</v>
      </c>
    </row>
    <row r="1928">
      <c r="O1928" s="1" t="str">
        <f>IFERROR(__xludf.DUMMYFUNCTION("""COMPUTED_VALUE"""),"2025 Dec")</f>
        <v>2025 Dec</v>
      </c>
      <c r="P1928" s="1" t="str">
        <f>IFERROR(__xludf.DUMMYFUNCTION("""COMPUTED_VALUE"""),"Segment-specific Support")</f>
        <v>Segment-specific Support</v>
      </c>
      <c r="Q1928" s="1" t="str">
        <f>IFERROR(__xludf.DUMMYFUNCTION("""COMPUTED_VALUE"""),"sremo@canva.com")</f>
        <v>sremo@canva.com</v>
      </c>
      <c r="R1928" s="1" t="str">
        <f>IFERROR(__xludf.DUMMYFUNCTION("""COMPUTED_VALUE"""),"Sunshine Remo")</f>
        <v>Sunshine Remo</v>
      </c>
      <c r="S1928" s="1"/>
      <c r="T1928" s="1">
        <f>IFERROR(__xludf.DUMMYFUNCTION("""COMPUTED_VALUE"""),2.0)</f>
        <v>2</v>
      </c>
      <c r="U1928" s="2">
        <f>IFERROR(__xludf.DUMMYFUNCTION("""COMPUTED_VALUE"""),2.0)</f>
        <v>2</v>
      </c>
      <c r="V1928" s="1" t="str">
        <f>IFERROR(__xludf.DUMMYFUNCTION("""COMPUTED_VALUE"""),"Rose Gabilan")</f>
        <v>Rose Gabilan</v>
      </c>
      <c r="W1928" s="1" t="str">
        <f>IFERROR(__xludf.DUMMYFUNCTION("""COMPUTED_VALUE"""),"Affinity Support")</f>
        <v>Affinity Support</v>
      </c>
    </row>
    <row r="1929">
      <c r="O1929" s="1" t="str">
        <f>IFERROR(__xludf.DUMMYFUNCTION("""COMPUTED_VALUE"""),"2025 Dec")</f>
        <v>2025 Dec</v>
      </c>
      <c r="P1929" s="1" t="str">
        <f>IFERROR(__xludf.DUMMYFUNCTION("""COMPUTED_VALUE"""),"Admin Support")</f>
        <v>Admin Support</v>
      </c>
      <c r="Q1929" s="1" t="str">
        <f>IFERROR(__xludf.DUMMYFUNCTION("""COMPUTED_VALUE"""),"susann@canva.com")</f>
        <v>susann@canva.com</v>
      </c>
      <c r="R1929" s="1" t="str">
        <f>IFERROR(__xludf.DUMMYFUNCTION("""COMPUTED_VALUE"""),"Susann Dierich")</f>
        <v>Susann Dierich</v>
      </c>
      <c r="S1929" s="1"/>
      <c r="T1929" s="1">
        <f>IFERROR(__xludf.DUMMYFUNCTION("""COMPUTED_VALUE"""),1.0)</f>
        <v>1</v>
      </c>
      <c r="U1929" s="2">
        <f>IFERROR(__xludf.DUMMYFUNCTION("""COMPUTED_VALUE"""),1.0)</f>
        <v>1</v>
      </c>
      <c r="V1929" s="1" t="str">
        <f>IFERROR(__xludf.DUMMYFUNCTION("""COMPUTED_VALUE"""),"Tash Kelly")</f>
        <v>Tash Kelly</v>
      </c>
      <c r="W1929" s="1" t="str">
        <f>IFERROR(__xludf.DUMMYFUNCTION("""COMPUTED_VALUE"""),"Admin Support EMEA")</f>
        <v>Admin Support EMEA</v>
      </c>
    </row>
    <row r="1930">
      <c r="O1930" s="1" t="str">
        <f>IFERROR(__xludf.DUMMYFUNCTION("""COMPUTED_VALUE"""),"2025 Dec")</f>
        <v>2025 Dec</v>
      </c>
      <c r="P1930" s="1" t="str">
        <f>IFERROR(__xludf.DUMMYFUNCTION("""COMPUTED_VALUE"""),"Admin Support")</f>
        <v>Admin Support</v>
      </c>
      <c r="Q1930" s="1" t="str">
        <f>IFERROR(__xludf.DUMMYFUNCTION("""COMPUTED_VALUE"""),"skyles@canva.com")</f>
        <v>skyles@canva.com</v>
      </c>
      <c r="R1930" s="1" t="str">
        <f>IFERROR(__xludf.DUMMYFUNCTION("""COMPUTED_VALUE"""),"Sylvia Kyles")</f>
        <v>Sylvia Kyles</v>
      </c>
      <c r="S1930" s="1">
        <f>IFERROR(__xludf.DUMMYFUNCTION("""COMPUTED_VALUE"""),0.5)</f>
        <v>0.5</v>
      </c>
      <c r="T1930" s="1">
        <f>IFERROR(__xludf.DUMMYFUNCTION("""COMPUTED_VALUE"""),1.5)</f>
        <v>1.5</v>
      </c>
      <c r="U1930" s="2">
        <f>IFERROR(__xludf.DUMMYFUNCTION("""COMPUTED_VALUE"""),2.0)</f>
        <v>2</v>
      </c>
      <c r="V1930" s="1" t="str">
        <f>IFERROR(__xludf.DUMMYFUNCTION("""COMPUTED_VALUE"""),"Nate Vela")</f>
        <v>Nate Vela</v>
      </c>
      <c r="W1930" s="1" t="str">
        <f>IFERROR(__xludf.DUMMYFUNCTION("""COMPUTED_VALUE"""),"Admin Support NA")</f>
        <v>Admin Support NA</v>
      </c>
    </row>
    <row r="1931">
      <c r="O1931" s="1" t="str">
        <f>IFERROR(__xludf.DUMMYFUNCTION("""COMPUTED_VALUE"""),"2025 Dec")</f>
        <v>2025 Dec</v>
      </c>
      <c r="P1931" s="1" t="str">
        <f>IFERROR(__xludf.DUMMYFUNCTION("""COMPUTED_VALUE"""),"Print Support")</f>
        <v>Print Support</v>
      </c>
      <c r="Q1931" s="1" t="str">
        <f>IFERROR(__xludf.DUMMYFUNCTION("""COMPUTED_VALUE"""),"theag@canva.com")</f>
        <v>theag@canva.com</v>
      </c>
      <c r="R1931" s="1" t="str">
        <f>IFERROR(__xludf.DUMMYFUNCTION("""COMPUTED_VALUE"""),"Thea Gelua")</f>
        <v>Thea Gelua</v>
      </c>
      <c r="S1931" s="1">
        <f>IFERROR(__xludf.DUMMYFUNCTION("""COMPUTED_VALUE"""),5.0)</f>
        <v>5</v>
      </c>
      <c r="T1931" s="1">
        <f>IFERROR(__xludf.DUMMYFUNCTION("""COMPUTED_VALUE"""),2.0)</f>
        <v>2</v>
      </c>
      <c r="U1931" s="2">
        <f>IFERROR(__xludf.DUMMYFUNCTION("""COMPUTED_VALUE"""),7.0)</f>
        <v>7</v>
      </c>
      <c r="V1931" s="1" t="str">
        <f>IFERROR(__xludf.DUMMYFUNCTION("""COMPUTED_VALUE"""),"Jen Momo")</f>
        <v>Jen Momo</v>
      </c>
      <c r="W1931" s="1" t="str">
        <f>IFERROR(__xludf.DUMMYFUNCTION("""COMPUTED_VALUE"""),"Print Support PH")</f>
        <v>Print Support PH</v>
      </c>
    </row>
    <row r="1932">
      <c r="O1932" s="1" t="str">
        <f>IFERROR(__xludf.DUMMYFUNCTION("""COMPUTED_VALUE"""),"2025 Dec")</f>
        <v>2025 Dec</v>
      </c>
      <c r="P1932" s="1" t="str">
        <f>IFERROR(__xludf.DUMMYFUNCTION("""COMPUTED_VALUE"""),"Print Support")</f>
        <v>Print Support</v>
      </c>
      <c r="Q1932" s="1" t="str">
        <f>IFERROR(__xludf.DUMMYFUNCTION("""COMPUTED_VALUE"""),"tia@canva.com")</f>
        <v>tia@canva.com</v>
      </c>
      <c r="R1932" s="1" t="str">
        <f>IFERROR(__xludf.DUMMYFUNCTION("""COMPUTED_VALUE"""),"Tia Tilanduca")</f>
        <v>Tia Tilanduca</v>
      </c>
      <c r="S1932" s="1"/>
      <c r="T1932" s="1">
        <f>IFERROR(__xludf.DUMMYFUNCTION("""COMPUTED_VALUE"""),2.5)</f>
        <v>2.5</v>
      </c>
      <c r="U1932" s="2">
        <f>IFERROR(__xludf.DUMMYFUNCTION("""COMPUTED_VALUE"""),2.5)</f>
        <v>2.5</v>
      </c>
      <c r="V1932" s="1" t="str">
        <f>IFERROR(__xludf.DUMMYFUNCTION("""COMPUTED_VALUE"""),"Louise Dianne Estrella")</f>
        <v>Louise Dianne Estrella</v>
      </c>
      <c r="W1932" s="1" t="str">
        <f>IFERROR(__xludf.DUMMYFUNCTION("""COMPUTED_VALUE"""),"Print Support PH")</f>
        <v>Print Support PH</v>
      </c>
    </row>
    <row r="1933">
      <c r="O1933" s="1" t="str">
        <f>IFERROR(__xludf.DUMMYFUNCTION("""COMPUTED_VALUE"""),"2025 Dec")</f>
        <v>2025 Dec</v>
      </c>
      <c r="P1933" s="1" t="str">
        <f>IFERROR(__xludf.DUMMYFUNCTION("""COMPUTED_VALUE"""),"Admin Support")</f>
        <v>Admin Support</v>
      </c>
      <c r="Q1933" s="1" t="str">
        <f>IFERROR(__xludf.DUMMYFUNCTION("""COMPUTED_VALUE"""),"tiara@canva.com")</f>
        <v>tiara@canva.com</v>
      </c>
      <c r="R1933" s="1" t="str">
        <f>IFERROR(__xludf.DUMMYFUNCTION("""COMPUTED_VALUE"""),"Tiara Samonte")</f>
        <v>Tiara Samonte</v>
      </c>
      <c r="S1933" s="1">
        <f>IFERROR(__xludf.DUMMYFUNCTION("""COMPUTED_VALUE"""),0.75)</f>
        <v>0.75</v>
      </c>
      <c r="T1933" s="1">
        <f>IFERROR(__xludf.DUMMYFUNCTION("""COMPUTED_VALUE"""),7.85)</f>
        <v>7.85</v>
      </c>
      <c r="U1933" s="2">
        <f>IFERROR(__xludf.DUMMYFUNCTION("""COMPUTED_VALUE"""),8.6)</f>
        <v>8.6</v>
      </c>
      <c r="V1933" s="1" t="str">
        <f>IFERROR(__xludf.DUMMYFUNCTION("""COMPUTED_VALUE"""),"AL Suarez")</f>
        <v>AL Suarez</v>
      </c>
      <c r="W1933" s="1" t="str">
        <f>IFERROR(__xludf.DUMMYFUNCTION("""COMPUTED_VALUE"""),"Advanced Billing &amp; Subscriptions")</f>
        <v>Advanced Billing &amp; Subscriptions</v>
      </c>
    </row>
    <row r="1934">
      <c r="O1934" s="1" t="str">
        <f>IFERROR(__xludf.DUMMYFUNCTION("""COMPUTED_VALUE"""),"2025 Dec")</f>
        <v>2025 Dec</v>
      </c>
      <c r="P1934" s="1" t="str">
        <f>IFERROR(__xludf.DUMMYFUNCTION("""COMPUTED_VALUE"""),"Segment-specific Support")</f>
        <v>Segment-specific Support</v>
      </c>
      <c r="Q1934" s="1" t="str">
        <f>IFERROR(__xludf.DUMMYFUNCTION("""COMPUTED_VALUE"""),"timdl@canva.com")</f>
        <v>timdl@canva.com</v>
      </c>
      <c r="R1934" s="1" t="str">
        <f>IFERROR(__xludf.DUMMYFUNCTION("""COMPUTED_VALUE"""),"Tim De Leon")</f>
        <v>Tim De Leon</v>
      </c>
      <c r="S1934" s="1"/>
      <c r="T1934" s="1">
        <f>IFERROR(__xludf.DUMMYFUNCTION("""COMPUTED_VALUE"""),1.0)</f>
        <v>1</v>
      </c>
      <c r="U1934" s="2">
        <f>IFERROR(__xludf.DUMMYFUNCTION("""COMPUTED_VALUE"""),1.0)</f>
        <v>1</v>
      </c>
      <c r="V1934" s="1" t="str">
        <f>IFERROR(__xludf.DUMMYFUNCTION("""COMPUTED_VALUE"""),"Aileen Dayanghirang")</f>
        <v>Aileen Dayanghirang</v>
      </c>
      <c r="W1934" s="1" t="str">
        <f>IFERROR(__xludf.DUMMYFUNCTION("""COMPUTED_VALUE"""),"Creators Support")</f>
        <v>Creators Support</v>
      </c>
    </row>
    <row r="1935">
      <c r="O1935" s="1" t="str">
        <f>IFERROR(__xludf.DUMMYFUNCTION("""COMPUTED_VALUE"""),"2025 Dec")</f>
        <v>2025 Dec</v>
      </c>
      <c r="P1935" s="1" t="str">
        <f>IFERROR(__xludf.DUMMYFUNCTION("""COMPUTED_VALUE"""),"Admin Support")</f>
        <v>Admin Support</v>
      </c>
      <c r="Q1935" s="1" t="str">
        <f>IFERROR(__xludf.DUMMYFUNCTION("""COMPUTED_VALUE"""),"cnuyda@canva.com")</f>
        <v>cnuyda@canva.com</v>
      </c>
      <c r="R1935" s="1" t="str">
        <f>IFERROR(__xludf.DUMMYFUNCTION("""COMPUTED_VALUE"""),"Toff Nuyda")</f>
        <v>Toff Nuyda</v>
      </c>
      <c r="S1935" s="1"/>
      <c r="T1935" s="1">
        <f>IFERROR(__xludf.DUMMYFUNCTION("""COMPUTED_VALUE"""),10.58)</f>
        <v>10.58</v>
      </c>
      <c r="U1935" s="2">
        <f>IFERROR(__xludf.DUMMYFUNCTION("""COMPUTED_VALUE"""),10.58)</f>
        <v>10.58</v>
      </c>
      <c r="V1935" s="1" t="str">
        <f>IFERROR(__xludf.DUMMYFUNCTION("""COMPUTED_VALUE"""),"Karla Mananghaya")</f>
        <v>Karla Mananghaya</v>
      </c>
      <c r="W1935" s="1" t="str">
        <f>IFERROR(__xludf.DUMMYFUNCTION("""COMPUTED_VALUE"""),"Admin Support Service Escalation Team")</f>
        <v>Admin Support Service Escalation Team</v>
      </c>
    </row>
    <row r="1936">
      <c r="O1936" s="1" t="str">
        <f>IFERROR(__xludf.DUMMYFUNCTION("""COMPUTED_VALUE"""),"2025 Dec")</f>
        <v>2025 Dec</v>
      </c>
      <c r="P1936" s="1" t="str">
        <f>IFERROR(__xludf.DUMMYFUNCTION("""COMPUTED_VALUE"""),"Multilingual Support")</f>
        <v>Multilingual Support</v>
      </c>
      <c r="Q1936" s="1" t="str">
        <f>IFERROR(__xludf.DUMMYFUNCTION("""COMPUTED_VALUE"""),"tricia.p@canva.com")</f>
        <v>tricia.p@canva.com</v>
      </c>
      <c r="R1936" s="1" t="str">
        <f>IFERROR(__xludf.DUMMYFUNCTION("""COMPUTED_VALUE"""),"Tricia Pasagui")</f>
        <v>Tricia Pasagui</v>
      </c>
      <c r="S1936" s="1"/>
      <c r="T1936" s="1">
        <f>IFERROR(__xludf.DUMMYFUNCTION("""COMPUTED_VALUE"""),1.0)</f>
        <v>1</v>
      </c>
      <c r="U1936" s="2">
        <f>IFERROR(__xludf.DUMMYFUNCTION("""COMPUTED_VALUE"""),1.0)</f>
        <v>1</v>
      </c>
      <c r="V1936" s="1" t="str">
        <f>IFERROR(__xludf.DUMMYFUNCTION("""COMPUTED_VALUE"""),"Arlene Maurillo")</f>
        <v>Arlene Maurillo</v>
      </c>
      <c r="W1936" s="1" t="str">
        <f>IFERROR(__xludf.DUMMYFUNCTION("""COMPUTED_VALUE"""),"PHL, Multilingual Support")</f>
        <v>PHL, Multilingual Support</v>
      </c>
    </row>
    <row r="1937">
      <c r="O1937" s="1" t="str">
        <f>IFERROR(__xludf.DUMMYFUNCTION("""COMPUTED_VALUE"""),"2025 Dec")</f>
        <v>2025 Dec</v>
      </c>
      <c r="P1937" s="1" t="str">
        <f>IFERROR(__xludf.DUMMYFUNCTION("""COMPUTED_VALUE"""),"High Sensitivity Support")</f>
        <v>High Sensitivity Support</v>
      </c>
      <c r="Q1937" s="1" t="str">
        <f>IFERROR(__xludf.DUMMYFUNCTION("""COMPUTED_VALUE"""),"trina@canva.com")</f>
        <v>trina@canva.com</v>
      </c>
      <c r="R1937" s="1" t="str">
        <f>IFERROR(__xludf.DUMMYFUNCTION("""COMPUTED_VALUE"""),"Trina Salcedo")</f>
        <v>Trina Salcedo</v>
      </c>
      <c r="S1937" s="1">
        <f>IFERROR(__xludf.DUMMYFUNCTION("""COMPUTED_VALUE"""),11.0)</f>
        <v>11</v>
      </c>
      <c r="T1937" s="1">
        <f>IFERROR(__xludf.DUMMYFUNCTION("""COMPUTED_VALUE"""),1.0)</f>
        <v>1</v>
      </c>
      <c r="U1937" s="2">
        <f>IFERROR(__xludf.DUMMYFUNCTION("""COMPUTED_VALUE"""),12.0)</f>
        <v>12</v>
      </c>
      <c r="V1937" s="1" t="str">
        <f>IFERROR(__xludf.DUMMYFUNCTION("""COMPUTED_VALUE"""),"Xandy Azarcon")</f>
        <v>Xandy Azarcon</v>
      </c>
      <c r="W1937" s="1" t="str">
        <f>IFERROR(__xludf.DUMMYFUNCTION("""COMPUTED_VALUE"""),"High Sensitivity Support PH")</f>
        <v>High Sensitivity Support PH</v>
      </c>
    </row>
    <row r="1938">
      <c r="O1938" s="1" t="str">
        <f>IFERROR(__xludf.DUMMYFUNCTION("""COMPUTED_VALUE"""),"2025 Dec")</f>
        <v>2025 Dec</v>
      </c>
      <c r="P1938" s="1" t="str">
        <f>IFERROR(__xludf.DUMMYFUNCTION("""COMPUTED_VALUE"""),"High Sensitivity Support")</f>
        <v>High Sensitivity Support</v>
      </c>
      <c r="Q1938" s="1" t="str">
        <f>IFERROR(__xludf.DUMMYFUNCTION("""COMPUTED_VALUE"""),"trishlee@canva.com")</f>
        <v>trishlee@canva.com</v>
      </c>
      <c r="R1938" s="1" t="str">
        <f>IFERROR(__xludf.DUMMYFUNCTION("""COMPUTED_VALUE"""),"Trish Lee")</f>
        <v>Trish Lee</v>
      </c>
      <c r="S1938" s="1"/>
      <c r="T1938" s="1">
        <f>IFERROR(__xludf.DUMMYFUNCTION("""COMPUTED_VALUE"""),1.0)</f>
        <v>1</v>
      </c>
      <c r="U1938" s="2">
        <f>IFERROR(__xludf.DUMMYFUNCTION("""COMPUTED_VALUE"""),1.0)</f>
        <v>1</v>
      </c>
      <c r="V1938" s="1" t="str">
        <f>IFERROR(__xludf.DUMMYFUNCTION("""COMPUTED_VALUE"""),"Issi Afable")</f>
        <v>Issi Afable</v>
      </c>
      <c r="W1938" s="1" t="str">
        <f>IFERROR(__xludf.DUMMYFUNCTION("""COMPUTED_VALUE"""),"High Sensitivity Support PH")</f>
        <v>High Sensitivity Support PH</v>
      </c>
    </row>
    <row r="1939">
      <c r="O1939" s="1" t="str">
        <f>IFERROR(__xludf.DUMMYFUNCTION("""COMPUTED_VALUE"""),"2025 Dec")</f>
        <v>2025 Dec</v>
      </c>
      <c r="P1939" s="1" t="str">
        <f>IFERROR(__xludf.DUMMYFUNCTION("""COMPUTED_VALUE"""),"Print Support")</f>
        <v>Print Support</v>
      </c>
      <c r="Q1939" s="1" t="str">
        <f>IFERROR(__xludf.DUMMYFUNCTION("""COMPUTED_VALUE"""),"trissamiguel@canva.com")</f>
        <v>trissamiguel@canva.com</v>
      </c>
      <c r="R1939" s="1" t="str">
        <f>IFERROR(__xludf.DUMMYFUNCTION("""COMPUTED_VALUE"""),"Trissa Miguel")</f>
        <v>Trissa Miguel</v>
      </c>
      <c r="S1939" s="1"/>
      <c r="T1939" s="1">
        <f>IFERROR(__xludf.DUMMYFUNCTION("""COMPUTED_VALUE"""),2.0)</f>
        <v>2</v>
      </c>
      <c r="U1939" s="2">
        <f>IFERROR(__xludf.DUMMYFUNCTION("""COMPUTED_VALUE"""),2.0)</f>
        <v>2</v>
      </c>
      <c r="V1939" s="1" t="str">
        <f>IFERROR(__xludf.DUMMYFUNCTION("""COMPUTED_VALUE"""),"G-Anne Murillo")</f>
        <v>G-Anne Murillo</v>
      </c>
      <c r="W1939" s="1" t="str">
        <f>IFERROR(__xludf.DUMMYFUNCTION("""COMPUTED_VALUE"""),"Print Design Support")</f>
        <v>Print Design Support</v>
      </c>
    </row>
    <row r="1940">
      <c r="O1940" s="1" t="str">
        <f>IFERROR(__xludf.DUMMYFUNCTION("""COMPUTED_VALUE"""),"2025 Dec")</f>
        <v>2025 Dec</v>
      </c>
      <c r="P1940" s="1" t="str">
        <f>IFERROR(__xludf.DUMMYFUNCTION("""COMPUTED_VALUE"""),"Print Support")</f>
        <v>Print Support</v>
      </c>
      <c r="Q1940" s="1" t="str">
        <f>IFERROR(__xludf.DUMMYFUNCTION("""COMPUTED_VALUE"""),"vlad.b@canva.com")</f>
        <v>vlad.b@canva.com</v>
      </c>
      <c r="R1940" s="1" t="str">
        <f>IFERROR(__xludf.DUMMYFUNCTION("""COMPUTED_VALUE"""),"Vladimir Besana")</f>
        <v>Vladimir Besana</v>
      </c>
      <c r="S1940" s="1"/>
      <c r="T1940" s="1">
        <f>IFERROR(__xludf.DUMMYFUNCTION("""COMPUTED_VALUE"""),2.0)</f>
        <v>2</v>
      </c>
      <c r="U1940" s="2">
        <f>IFERROR(__xludf.DUMMYFUNCTION("""COMPUTED_VALUE"""),2.0)</f>
        <v>2</v>
      </c>
      <c r="V1940" s="1" t="str">
        <f>IFERROR(__xludf.DUMMYFUNCTION("""COMPUTED_VALUE"""),"Jan Domingo")</f>
        <v>Jan Domingo</v>
      </c>
      <c r="W1940" s="1" t="str">
        <f>IFERROR(__xludf.DUMMYFUNCTION("""COMPUTED_VALUE"""),"Print Design Support")</f>
        <v>Print Design Support</v>
      </c>
    </row>
    <row r="1941">
      <c r="O1941" s="1" t="str">
        <f>IFERROR(__xludf.DUMMYFUNCTION("""COMPUTED_VALUE"""),"2025 Dec")</f>
        <v>2025 Dec</v>
      </c>
      <c r="P1941" s="1" t="str">
        <f>IFERROR(__xludf.DUMMYFUNCTION("""COMPUTED_VALUE"""),"Print Support")</f>
        <v>Print Support</v>
      </c>
      <c r="Q1941" s="1" t="str">
        <f>IFERROR(__xludf.DUMMYFUNCTION("""COMPUTED_VALUE"""),"wesleyp@canva.com")</f>
        <v>wesleyp@canva.com</v>
      </c>
      <c r="R1941" s="1" t="str">
        <f>IFERROR(__xludf.DUMMYFUNCTION("""COMPUTED_VALUE"""),"Wes Paira")</f>
        <v>Wes Paira</v>
      </c>
      <c r="S1941" s="1">
        <f>IFERROR(__xludf.DUMMYFUNCTION("""COMPUTED_VALUE"""),7.0)</f>
        <v>7</v>
      </c>
      <c r="T1941" s="1">
        <f>IFERROR(__xludf.DUMMYFUNCTION("""COMPUTED_VALUE"""),2.0)</f>
        <v>2</v>
      </c>
      <c r="U1941" s="2">
        <f>IFERROR(__xludf.DUMMYFUNCTION("""COMPUTED_VALUE"""),9.0)</f>
        <v>9</v>
      </c>
      <c r="V1941" s="1" t="str">
        <f>IFERROR(__xludf.DUMMYFUNCTION("""COMPUTED_VALUE"""),"Memae Faustino")</f>
        <v>Memae Faustino</v>
      </c>
      <c r="W1941" s="1" t="str">
        <f>IFERROR(__xludf.DUMMYFUNCTION("""COMPUTED_VALUE"""),"Print Support PH")</f>
        <v>Print Support PH</v>
      </c>
    </row>
    <row r="1942">
      <c r="O1942" s="1" t="str">
        <f>IFERROR(__xludf.DUMMYFUNCTION("""COMPUTED_VALUE"""),"2025 Dec")</f>
        <v>2025 Dec</v>
      </c>
      <c r="P1942" s="1" t="str">
        <f>IFERROR(__xludf.DUMMYFUNCTION("""COMPUTED_VALUE"""),"Core Product Support")</f>
        <v>Core Product Support</v>
      </c>
      <c r="Q1942" s="1" t="str">
        <f>IFERROR(__xludf.DUMMYFUNCTION("""COMPUTED_VALUE"""),"xy@canva.com")</f>
        <v>xy@canva.com</v>
      </c>
      <c r="R1942" s="1" t="str">
        <f>IFERROR(__xludf.DUMMYFUNCTION("""COMPUTED_VALUE"""),"Xyren Bulan")</f>
        <v>Xyren Bulan</v>
      </c>
      <c r="S1942" s="1">
        <f>IFERROR(__xludf.DUMMYFUNCTION("""COMPUTED_VALUE"""),0.5)</f>
        <v>0.5</v>
      </c>
      <c r="T1942" s="1">
        <f>IFERROR(__xludf.DUMMYFUNCTION("""COMPUTED_VALUE"""),2.0)</f>
        <v>2</v>
      </c>
      <c r="U1942" s="2">
        <f>IFERROR(__xludf.DUMMYFUNCTION("""COMPUTED_VALUE"""),2.5)</f>
        <v>2.5</v>
      </c>
      <c r="V1942" s="1" t="str">
        <f>IFERROR(__xludf.DUMMYFUNCTION("""COMPUTED_VALUE"""),"Vinz Lazaro")</f>
        <v>Vinz Lazaro</v>
      </c>
      <c r="W1942" s="1" t="str">
        <f>IFERROR(__xludf.DUMMYFUNCTION("""COMPUTED_VALUE"""),"Advanced Product Support")</f>
        <v>Advanced Product Support</v>
      </c>
    </row>
    <row r="1943">
      <c r="O1943" s="1" t="str">
        <f>IFERROR(__xludf.DUMMYFUNCTION("""COMPUTED_VALUE"""),"2025 Dec")</f>
        <v>2025 Dec</v>
      </c>
      <c r="P1943" s="1" t="str">
        <f>IFERROR(__xludf.DUMMYFUNCTION("""COMPUTED_VALUE"""),"Print Support")</f>
        <v>Print Support</v>
      </c>
      <c r="Q1943" s="1" t="str">
        <f>IFERROR(__xludf.DUMMYFUNCTION("""COMPUTED_VALUE"""),"ysabel@canva.com")</f>
        <v>ysabel@canva.com</v>
      </c>
      <c r="R1943" s="1" t="str">
        <f>IFERROR(__xludf.DUMMYFUNCTION("""COMPUTED_VALUE"""),"Ysabel Locsin")</f>
        <v>Ysabel Locsin</v>
      </c>
      <c r="S1943" s="1"/>
      <c r="T1943" s="1">
        <f>IFERROR(__xludf.DUMMYFUNCTION("""COMPUTED_VALUE"""),2.83)</f>
        <v>2.83</v>
      </c>
      <c r="U1943" s="2">
        <f>IFERROR(__xludf.DUMMYFUNCTION("""COMPUTED_VALUE"""),2.83)</f>
        <v>2.83</v>
      </c>
      <c r="V1943" s="1" t="str">
        <f>IFERROR(__xludf.DUMMYFUNCTION("""COMPUTED_VALUE"""),"Rei De Jesus")</f>
        <v>Rei De Jesus</v>
      </c>
      <c r="W1943" s="1" t="str">
        <f>IFERROR(__xludf.DUMMYFUNCTION("""COMPUTED_VALUE"""),"Print Design Support")</f>
        <v>Print Design Support</v>
      </c>
    </row>
    <row r="1944">
      <c r="O1944" s="1" t="str">
        <f>IFERROR(__xludf.DUMMYFUNCTION("""COMPUTED_VALUE"""),"2025 Dec")</f>
        <v>2025 Dec</v>
      </c>
      <c r="P1944" s="1" t="str">
        <f>IFERROR(__xludf.DUMMYFUNCTION("""COMPUTED_VALUE"""),"Core Product Support")</f>
        <v>Core Product Support</v>
      </c>
      <c r="Q1944" s="1" t="str">
        <f>IFERROR(__xludf.DUMMYFUNCTION("""COMPUTED_VALUE"""),"ymagno@canva.com")</f>
        <v>ymagno@canva.com</v>
      </c>
      <c r="R1944" s="1" t="str">
        <f>IFERROR(__xludf.DUMMYFUNCTION("""COMPUTED_VALUE"""),"Ysabel Magno")</f>
        <v>Ysabel Magno</v>
      </c>
      <c r="S1944" s="1">
        <f>IFERROR(__xludf.DUMMYFUNCTION("""COMPUTED_VALUE"""),1.0)</f>
        <v>1</v>
      </c>
      <c r="T1944" s="1">
        <f>IFERROR(__xludf.DUMMYFUNCTION("""COMPUTED_VALUE"""),4.5)</f>
        <v>4.5</v>
      </c>
      <c r="U1944" s="2">
        <f>IFERROR(__xludf.DUMMYFUNCTION("""COMPUTED_VALUE"""),5.5)</f>
        <v>5.5</v>
      </c>
      <c r="V1944" s="1" t="str">
        <f>IFERROR(__xludf.DUMMYFUNCTION("""COMPUTED_VALUE"""),"Renette Bok")</f>
        <v>Renette Bok</v>
      </c>
      <c r="W1944" s="1" t="str">
        <f>IFERROR(__xludf.DUMMYFUNCTION("""COMPUTED_VALUE"""),"Advanced Billing &amp; Subscriptions")</f>
        <v>Advanced Billing &amp; Subscriptions</v>
      </c>
    </row>
    <row r="1945">
      <c r="O1945" s="1" t="str">
        <f>IFERROR(__xludf.DUMMYFUNCTION("""COMPUTED_VALUE"""),"2025 Dec")</f>
        <v>2025 Dec</v>
      </c>
      <c r="P1945" s="1" t="str">
        <f>IFERROR(__xludf.DUMMYFUNCTION("""COMPUTED_VALUE"""),"Multilingual Support")</f>
        <v>Multilingual Support</v>
      </c>
      <c r="Q1945" s="1" t="str">
        <f>IFERROR(__xludf.DUMMYFUNCTION("""COMPUTED_VALUE"""),"iuliia@canva.com")</f>
        <v>iuliia@canva.com</v>
      </c>
      <c r="R1945" s="1" t="str">
        <f>IFERROR(__xludf.DUMMYFUNCTION("""COMPUTED_VALUE"""),"Yulya Shevkunova")</f>
        <v>Yulya Shevkunova</v>
      </c>
      <c r="S1945" s="1"/>
      <c r="T1945" s="1"/>
      <c r="U1945" s="2">
        <f>IFERROR(__xludf.DUMMYFUNCTION("""COMPUTED_VALUE"""),0.0)</f>
        <v>0</v>
      </c>
      <c r="V1945" s="1" t="str">
        <f>IFERROR(__xludf.DUMMYFUNCTION("""COMPUTED_VALUE"""),"Arlene Maurillo")</f>
        <v>Arlene Maurillo</v>
      </c>
      <c r="W1945" s="1" t="str">
        <f>IFERROR(__xludf.DUMMYFUNCTION("""COMPUTED_VALUE"""),"PHL, Multilingual Support")</f>
        <v>PHL, Multilingual Support</v>
      </c>
    </row>
    <row r="1946">
      <c r="O1946" s="1" t="str">
        <f>IFERROR(__xludf.DUMMYFUNCTION("""COMPUTED_VALUE"""),"2025 Dec")</f>
        <v>2025 Dec</v>
      </c>
      <c r="P1946" s="1" t="str">
        <f>IFERROR(__xludf.DUMMYFUNCTION("""COMPUTED_VALUE"""),"Core Product Support")</f>
        <v>Core Product Support</v>
      </c>
      <c r="Q1946" s="1" t="str">
        <f>IFERROR(__xludf.DUMMYFUNCTION("""COMPUTED_VALUE"""),"yumi@canva.com")</f>
        <v>yumi@canva.com</v>
      </c>
      <c r="R1946" s="1" t="str">
        <f>IFERROR(__xludf.DUMMYFUNCTION("""COMPUTED_VALUE"""),"Yumi Tominaga")</f>
        <v>Yumi Tominaga</v>
      </c>
      <c r="S1946" s="1">
        <f>IFERROR(__xludf.DUMMYFUNCTION("""COMPUTED_VALUE"""),2.0)</f>
        <v>2</v>
      </c>
      <c r="T1946" s="1">
        <f>IFERROR(__xludf.DUMMYFUNCTION("""COMPUTED_VALUE"""),1.25)</f>
        <v>1.25</v>
      </c>
      <c r="U1946" s="2">
        <f>IFERROR(__xludf.DUMMYFUNCTION("""COMPUTED_VALUE"""),3.25)</f>
        <v>3.25</v>
      </c>
      <c r="V1946" s="1" t="str">
        <f>IFERROR(__xludf.DUMMYFUNCTION("""COMPUTED_VALUE"""),"Ana Lazaro")</f>
        <v>Ana Lazaro</v>
      </c>
      <c r="W1946" s="1" t="str">
        <f>IFERROR(__xludf.DUMMYFUNCTION("""COMPUTED_VALUE"""),"Advanced Billing &amp; Subscriptions")</f>
        <v>Advanced Billing &amp; Subscriptions</v>
      </c>
    </row>
    <row r="1947">
      <c r="O1947" s="1" t="str">
        <f>IFERROR(__xludf.DUMMYFUNCTION("""COMPUTED_VALUE"""),"2025 Dec")</f>
        <v>2025 Dec</v>
      </c>
      <c r="P1947" s="1" t="str">
        <f>IFERROR(__xludf.DUMMYFUNCTION("""COMPUTED_VALUE"""),"Core Product Support")</f>
        <v>Core Product Support</v>
      </c>
      <c r="Q1947" s="1" t="str">
        <f>IFERROR(__xludf.DUMMYFUNCTION("""COMPUTED_VALUE"""),"yvette@canva.com")</f>
        <v>yvette@canva.com</v>
      </c>
      <c r="R1947" s="1" t="str">
        <f>IFERROR(__xludf.DUMMYFUNCTION("""COMPUTED_VALUE"""),"Yvette Nogoy")</f>
        <v>Yvette Nogoy</v>
      </c>
      <c r="S1947" s="1">
        <f>IFERROR(__xludf.DUMMYFUNCTION("""COMPUTED_VALUE"""),0.5)</f>
        <v>0.5</v>
      </c>
      <c r="T1947" s="1">
        <f>IFERROR(__xludf.DUMMYFUNCTION("""COMPUTED_VALUE"""),12.5)</f>
        <v>12.5</v>
      </c>
      <c r="U1947" s="2">
        <f>IFERROR(__xludf.DUMMYFUNCTION("""COMPUTED_VALUE"""),13.0)</f>
        <v>13</v>
      </c>
      <c r="V1947" s="1" t="str">
        <f>IFERROR(__xludf.DUMMYFUNCTION("""COMPUTED_VALUE"""),"Jelyn Elmido")</f>
        <v>Jelyn Elmido</v>
      </c>
      <c r="W1947" s="1" t="str">
        <f>IFERROR(__xludf.DUMMYFUNCTION("""COMPUTED_VALUE"""),"Core Product Support Escalation Team")</f>
        <v>Core Product Support Escalation Team</v>
      </c>
    </row>
    <row r="1948">
      <c r="O1948" s="1" t="str">
        <f>IFERROR(__xludf.DUMMYFUNCTION("""COMPUTED_VALUE"""),"2025 Dec")</f>
        <v>2025 Dec</v>
      </c>
      <c r="P1948" s="1" t="str">
        <f>IFERROR(__xludf.DUMMYFUNCTION("""COMPUTED_VALUE"""),"Admin Support")</f>
        <v>Admin Support</v>
      </c>
      <c r="Q1948" s="1" t="str">
        <f>IFERROR(__xludf.DUMMYFUNCTION("""COMPUTED_VALUE"""),"yvonne@canva.com")</f>
        <v>yvonne@canva.com</v>
      </c>
      <c r="R1948" s="1" t="str">
        <f>IFERROR(__xludf.DUMMYFUNCTION("""COMPUTED_VALUE"""),"Yvonne Romasanta")</f>
        <v>Yvonne Romasanta</v>
      </c>
      <c r="S1948" s="1"/>
      <c r="T1948" s="1">
        <f>IFERROR(__xludf.DUMMYFUNCTION("""COMPUTED_VALUE"""),9.33)</f>
        <v>9.33</v>
      </c>
      <c r="U1948" s="2">
        <f>IFERROR(__xludf.DUMMYFUNCTION("""COMPUTED_VALUE"""),9.33)</f>
        <v>9.33</v>
      </c>
      <c r="V1948" s="1" t="str">
        <f>IFERROR(__xludf.DUMMYFUNCTION("""COMPUTED_VALUE"""),"Pau Palmero")</f>
        <v>Pau Palmero</v>
      </c>
      <c r="W1948" s="1" t="str">
        <f>IFERROR(__xludf.DUMMYFUNCTION("""COMPUTED_VALUE"""),"Admin Omni Support")</f>
        <v>Admin Omni Support</v>
      </c>
    </row>
    <row r="1949">
      <c r="O1949" s="1" t="str">
        <f>IFERROR(__xludf.DUMMYFUNCTION("""COMPUTED_VALUE"""),"2025 Dec")</f>
        <v>2025 Dec</v>
      </c>
      <c r="P1949" s="1" t="str">
        <f>IFERROR(__xludf.DUMMYFUNCTION("""COMPUTED_VALUE"""),"Print Support")</f>
        <v>Print Support</v>
      </c>
      <c r="Q1949" s="1" t="str">
        <f>IFERROR(__xludf.DUMMYFUNCTION("""COMPUTED_VALUE"""),"zippy@canva.com")</f>
        <v>zippy@canva.com</v>
      </c>
      <c r="R1949" s="1" t="str">
        <f>IFERROR(__xludf.DUMMYFUNCTION("""COMPUTED_VALUE"""),"Zipporah Duque")</f>
        <v>Zipporah Duque</v>
      </c>
      <c r="S1949" s="1">
        <f>IFERROR(__xludf.DUMMYFUNCTION("""COMPUTED_VALUE"""),5.0)</f>
        <v>5</v>
      </c>
      <c r="T1949" s="1">
        <f>IFERROR(__xludf.DUMMYFUNCTION("""COMPUTED_VALUE"""),1.0)</f>
        <v>1</v>
      </c>
      <c r="U1949" s="2">
        <f>IFERROR(__xludf.DUMMYFUNCTION("""COMPUTED_VALUE"""),6.0)</f>
        <v>6</v>
      </c>
      <c r="V1949" s="1" t="str">
        <f>IFERROR(__xludf.DUMMYFUNCTION("""COMPUTED_VALUE"""),"Jen Momo")</f>
        <v>Jen Momo</v>
      </c>
      <c r="W1949" s="1" t="str">
        <f>IFERROR(__xludf.DUMMYFUNCTION("""COMPUTED_VALUE"""),"Print Support PH")</f>
        <v>Print Support PH</v>
      </c>
    </row>
    <row r="1950">
      <c r="O1950" s="1" t="str">
        <f>IFERROR(__xludf.DUMMYFUNCTION("""COMPUTED_VALUE"""),"2026 Jan")</f>
        <v>2026 Jan</v>
      </c>
      <c r="P1950" s="1" t="str">
        <f>IFERROR(__xludf.DUMMYFUNCTION("""COMPUTED_VALUE"""),"Segment-specific Support")</f>
        <v>Segment-specific Support</v>
      </c>
      <c r="Q1950" s="1" t="str">
        <f>IFERROR(__xludf.DUMMYFUNCTION("""COMPUTED_VALUE"""),"triplea@canva.com")</f>
        <v>triplea@canva.com</v>
      </c>
      <c r="R1950" s="1" t="str">
        <f>IFERROR(__xludf.DUMMYFUNCTION("""COMPUTED_VALUE"""),"AA Abong")</f>
        <v>AA Abong</v>
      </c>
      <c r="S1950" s="1">
        <f>IFERROR(__xludf.DUMMYFUNCTION("""COMPUTED_VALUE"""),1.5)</f>
        <v>1.5</v>
      </c>
      <c r="T1950" s="1">
        <f>IFERROR(__xludf.DUMMYFUNCTION("""COMPUTED_VALUE"""),0.5)</f>
        <v>0.5</v>
      </c>
      <c r="U1950" s="2">
        <f>IFERROR(__xludf.DUMMYFUNCTION("""COMPUTED_VALUE"""),2.0)</f>
        <v>2</v>
      </c>
      <c r="V1950" s="1" t="str">
        <f>IFERROR(__xludf.DUMMYFUNCTION("""COMPUTED_VALUE"""),"Jonathan Dimaculangan")</f>
        <v>Jonathan Dimaculangan</v>
      </c>
      <c r="W1950" s="1" t="str">
        <f>IFERROR(__xludf.DUMMYFUNCTION("""COMPUTED_VALUE"""),"Flourish Support")</f>
        <v>Flourish Support</v>
      </c>
    </row>
    <row r="1951">
      <c r="O1951" s="1" t="str">
        <f>IFERROR(__xludf.DUMMYFUNCTION("""COMPUTED_VALUE"""),"2026 Jan")</f>
        <v>2026 Jan</v>
      </c>
      <c r="P1951" s="1" t="str">
        <f>IFERROR(__xludf.DUMMYFUNCTION("""COMPUTED_VALUE"""),"Core Product Support")</f>
        <v>Core Product Support</v>
      </c>
      <c r="Q1951" s="1" t="str">
        <f>IFERROR(__xludf.DUMMYFUNCTION("""COMPUTED_VALUE"""),"adrielcarlosv@canva.com")</f>
        <v>adrielcarlosv@canva.com</v>
      </c>
      <c r="R1951" s="1" t="str">
        <f>IFERROR(__xludf.DUMMYFUNCTION("""COMPUTED_VALUE"""),"Adriel Vicencio")</f>
        <v>Adriel Vicencio</v>
      </c>
      <c r="S1951" s="1">
        <f>IFERROR(__xludf.DUMMYFUNCTION("""COMPUTED_VALUE"""),0.5)</f>
        <v>0.5</v>
      </c>
      <c r="T1951" s="1">
        <f>IFERROR(__xludf.DUMMYFUNCTION("""COMPUTED_VALUE"""),3.5)</f>
        <v>3.5</v>
      </c>
      <c r="U1951" s="2">
        <f>IFERROR(__xludf.DUMMYFUNCTION("""COMPUTED_VALUE"""),4.0)</f>
        <v>4</v>
      </c>
      <c r="V1951" s="1" t="str">
        <f>IFERROR(__xludf.DUMMYFUNCTION("""COMPUTED_VALUE"""),"Jem Mondoñedo")</f>
        <v>Jem Mondoñedo</v>
      </c>
      <c r="W1951" s="1" t="str">
        <f>IFERROR(__xludf.DUMMYFUNCTION("""COMPUTED_VALUE"""),"Advanced Billing &amp; Subscriptions")</f>
        <v>Advanced Billing &amp; Subscriptions</v>
      </c>
    </row>
    <row r="1952">
      <c r="O1952" s="1" t="str">
        <f>IFERROR(__xludf.DUMMYFUNCTION("""COMPUTED_VALUE"""),"2026 Jan")</f>
        <v>2026 Jan</v>
      </c>
      <c r="P1952" s="1" t="str">
        <f>IFERROR(__xludf.DUMMYFUNCTION("""COMPUTED_VALUE"""),"Admin Support")</f>
        <v>Admin Support</v>
      </c>
      <c r="Q1952" s="1" t="str">
        <f>IFERROR(__xludf.DUMMYFUNCTION("""COMPUTED_VALUE"""),"agathartt@canva.com")</f>
        <v>agathartt@canva.com</v>
      </c>
      <c r="R1952" s="1" t="str">
        <f>IFERROR(__xludf.DUMMYFUNCTION("""COMPUTED_VALUE"""),"Agatha Torres")</f>
        <v>Agatha Torres</v>
      </c>
      <c r="S1952" s="1">
        <f>IFERROR(__xludf.DUMMYFUNCTION("""COMPUTED_VALUE"""),1.5)</f>
        <v>1.5</v>
      </c>
      <c r="T1952" s="1">
        <f>IFERROR(__xludf.DUMMYFUNCTION("""COMPUTED_VALUE"""),45.75)</f>
        <v>45.75</v>
      </c>
      <c r="U1952" s="2">
        <f>IFERROR(__xludf.DUMMYFUNCTION("""COMPUTED_VALUE"""),47.25)</f>
        <v>47.25</v>
      </c>
      <c r="V1952" s="1" t="str">
        <f>IFERROR(__xludf.DUMMYFUNCTION("""COMPUTED_VALUE"""),"AL Suarez")</f>
        <v>AL Suarez</v>
      </c>
      <c r="W1952" s="1" t="str">
        <f>IFERROR(__xludf.DUMMYFUNCTION("""COMPUTED_VALUE"""),"Advanced Billing &amp; Subscriptions")</f>
        <v>Advanced Billing &amp; Subscriptions</v>
      </c>
    </row>
    <row r="1953">
      <c r="O1953" s="1" t="str">
        <f>IFERROR(__xludf.DUMMYFUNCTION("""COMPUTED_VALUE"""),"2026 Jan")</f>
        <v>2026 Jan</v>
      </c>
      <c r="P1953" s="1" t="str">
        <f>IFERROR(__xludf.DUMMYFUNCTION("""COMPUTED_VALUE"""),"Print Support")</f>
        <v>Print Support</v>
      </c>
      <c r="Q1953" s="1" t="str">
        <f>IFERROR(__xludf.DUMMYFUNCTION("""COMPUTED_VALUE"""),"aileen.a@canva.com")</f>
        <v>aileen.a@canva.com</v>
      </c>
      <c r="R1953" s="1" t="str">
        <f>IFERROR(__xludf.DUMMYFUNCTION("""COMPUTED_VALUE"""),"Aileen Alipio")</f>
        <v>Aileen Alipio</v>
      </c>
      <c r="S1953" s="1"/>
      <c r="T1953" s="1">
        <f>IFERROR(__xludf.DUMMYFUNCTION("""COMPUTED_VALUE"""),0.5)</f>
        <v>0.5</v>
      </c>
      <c r="U1953" s="2">
        <f>IFERROR(__xludf.DUMMYFUNCTION("""COMPUTED_VALUE"""),0.5)</f>
        <v>0.5</v>
      </c>
      <c r="V1953" s="1" t="str">
        <f>IFERROR(__xludf.DUMMYFUNCTION("""COMPUTED_VALUE"""),"Gem Agoncillo")</f>
        <v>Gem Agoncillo</v>
      </c>
      <c r="W1953" s="1" t="str">
        <f>IFERROR(__xludf.DUMMYFUNCTION("""COMPUTED_VALUE"""),"Print Design Support")</f>
        <v>Print Design Support</v>
      </c>
    </row>
    <row r="1954">
      <c r="O1954" s="1" t="str">
        <f>IFERROR(__xludf.DUMMYFUNCTION("""COMPUTED_VALUE"""),"2026 Jan")</f>
        <v>2026 Jan</v>
      </c>
      <c r="P1954" s="1" t="str">
        <f>IFERROR(__xludf.DUMMYFUNCTION("""COMPUTED_VALUE"""),"Core Product Support")</f>
        <v>Core Product Support</v>
      </c>
      <c r="Q1954" s="1" t="str">
        <f>IFERROR(__xludf.DUMMYFUNCTION("""COMPUTED_VALUE"""),"ailyn@canva.com")</f>
        <v>ailyn@canva.com</v>
      </c>
      <c r="R1954" s="1" t="str">
        <f>IFERROR(__xludf.DUMMYFUNCTION("""COMPUTED_VALUE"""),"Ailyn Grana")</f>
        <v>Ailyn Grana</v>
      </c>
      <c r="S1954" s="1">
        <f>IFERROR(__xludf.DUMMYFUNCTION("""COMPUTED_VALUE"""),2.0)</f>
        <v>2</v>
      </c>
      <c r="T1954" s="1">
        <f>IFERROR(__xludf.DUMMYFUNCTION("""COMPUTED_VALUE"""),3.75)</f>
        <v>3.75</v>
      </c>
      <c r="U1954" s="2">
        <f>IFERROR(__xludf.DUMMYFUNCTION("""COMPUTED_VALUE"""),5.75)</f>
        <v>5.75</v>
      </c>
      <c r="V1954" s="1" t="str">
        <f>IFERROR(__xludf.DUMMYFUNCTION("""COMPUTED_VALUE"""),"Belle Bentazal")</f>
        <v>Belle Bentazal</v>
      </c>
      <c r="W1954" s="1" t="str">
        <f>IFERROR(__xludf.DUMMYFUNCTION("""COMPUTED_VALUE"""),"Advanced Product Support")</f>
        <v>Advanced Product Support</v>
      </c>
    </row>
    <row r="1955">
      <c r="O1955" s="1" t="str">
        <f>IFERROR(__xludf.DUMMYFUNCTION("""COMPUTED_VALUE"""),"2026 Jan")</f>
        <v>2026 Jan</v>
      </c>
      <c r="P1955" s="1" t="str">
        <f>IFERROR(__xludf.DUMMYFUNCTION("""COMPUTED_VALUE"""),"Print Support")</f>
        <v>Print Support</v>
      </c>
      <c r="Q1955" s="1" t="str">
        <f>IFERROR(__xludf.DUMMYFUNCTION("""COMPUTED_VALUE"""),"alaizaong@canva.com")</f>
        <v>alaizaong@canva.com</v>
      </c>
      <c r="R1955" s="1" t="str">
        <f>IFERROR(__xludf.DUMMYFUNCTION("""COMPUTED_VALUE"""),"Alaiza Ong")</f>
        <v>Alaiza Ong</v>
      </c>
      <c r="S1955" s="1"/>
      <c r="T1955" s="1">
        <f>IFERROR(__xludf.DUMMYFUNCTION("""COMPUTED_VALUE"""),1.25)</f>
        <v>1.25</v>
      </c>
      <c r="U1955" s="2">
        <f>IFERROR(__xludf.DUMMYFUNCTION("""COMPUTED_VALUE"""),1.25)</f>
        <v>1.25</v>
      </c>
      <c r="V1955" s="1" t="str">
        <f>IFERROR(__xludf.DUMMYFUNCTION("""COMPUTED_VALUE"""),"Rae Erlano")</f>
        <v>Rae Erlano</v>
      </c>
      <c r="W1955" s="1" t="str">
        <f>IFERROR(__xludf.DUMMYFUNCTION("""COMPUTED_VALUE"""),"Print Support PH")</f>
        <v>Print Support PH</v>
      </c>
    </row>
    <row r="1956">
      <c r="O1956" s="1" t="str">
        <f>IFERROR(__xludf.DUMMYFUNCTION("""COMPUTED_VALUE"""),"2026 Jan")</f>
        <v>2026 Jan</v>
      </c>
      <c r="P1956" s="1" t="str">
        <f>IFERROR(__xludf.DUMMYFUNCTION("""COMPUTED_VALUE"""),"Segment-specific Support")</f>
        <v>Segment-specific Support</v>
      </c>
      <c r="Q1956" s="1" t="str">
        <f>IFERROR(__xludf.DUMMYFUNCTION("""COMPUTED_VALUE"""),"andria@canva.com")</f>
        <v>andria@canva.com</v>
      </c>
      <c r="R1956" s="1" t="str">
        <f>IFERROR(__xludf.DUMMYFUNCTION("""COMPUTED_VALUE"""),"Alex Batusin")</f>
        <v>Alex Batusin</v>
      </c>
      <c r="S1956" s="1"/>
      <c r="T1956" s="1"/>
      <c r="U1956" s="2">
        <f>IFERROR(__xludf.DUMMYFUNCTION("""COMPUTED_VALUE"""),0.0)</f>
        <v>0</v>
      </c>
      <c r="V1956" s="1" t="str">
        <f>IFERROR(__xludf.DUMMYFUNCTION("""COMPUTED_VALUE"""),"Aileen Dayanghirang")</f>
        <v>Aileen Dayanghirang</v>
      </c>
      <c r="W1956" s="1" t="str">
        <f>IFERROR(__xludf.DUMMYFUNCTION("""COMPUTED_VALUE"""),"Creators Support")</f>
        <v>Creators Support</v>
      </c>
    </row>
    <row r="1957">
      <c r="O1957" s="1" t="str">
        <f>IFERROR(__xludf.DUMMYFUNCTION("""COMPUTED_VALUE"""),"2026 Jan")</f>
        <v>2026 Jan</v>
      </c>
      <c r="P1957" s="1" t="str">
        <f>IFERROR(__xludf.DUMMYFUNCTION("""COMPUTED_VALUE"""),"Segment-specific Support")</f>
        <v>Segment-specific Support</v>
      </c>
      <c r="Q1957" s="1" t="str">
        <f>IFERROR(__xludf.DUMMYFUNCTION("""COMPUTED_VALUE"""),"adtolentino@canva.com")</f>
        <v>adtolentino@canva.com</v>
      </c>
      <c r="R1957" s="1" t="str">
        <f>IFERROR(__xludf.DUMMYFUNCTION("""COMPUTED_VALUE"""),"Alfred Devon Tolentino")</f>
        <v>Alfred Devon Tolentino</v>
      </c>
      <c r="S1957" s="1">
        <f>IFERROR(__xludf.DUMMYFUNCTION("""COMPUTED_VALUE"""),1.0)</f>
        <v>1</v>
      </c>
      <c r="T1957" s="1">
        <f>IFERROR(__xludf.DUMMYFUNCTION("""COMPUTED_VALUE"""),0.5)</f>
        <v>0.5</v>
      </c>
      <c r="U1957" s="2">
        <f>IFERROR(__xludf.DUMMYFUNCTION("""COMPUTED_VALUE"""),1.5)</f>
        <v>1.5</v>
      </c>
      <c r="V1957" s="1" t="str">
        <f>IFERROR(__xludf.DUMMYFUNCTION("""COMPUTED_VALUE"""),"Jonathan Dimaculangan")</f>
        <v>Jonathan Dimaculangan</v>
      </c>
      <c r="W1957" s="1" t="str">
        <f>IFERROR(__xludf.DUMMYFUNCTION("""COMPUTED_VALUE"""),"Flourish Support")</f>
        <v>Flourish Support</v>
      </c>
    </row>
    <row r="1958">
      <c r="O1958" s="1" t="str">
        <f>IFERROR(__xludf.DUMMYFUNCTION("""COMPUTED_VALUE"""),"2026 Jan")</f>
        <v>2026 Jan</v>
      </c>
      <c r="P1958" s="1" t="str">
        <f>IFERROR(__xludf.DUMMYFUNCTION("""COMPUTED_VALUE"""),"Admin Support")</f>
        <v>Admin Support</v>
      </c>
      <c r="Q1958" s="1" t="str">
        <f>IFERROR(__xludf.DUMMYFUNCTION("""COMPUTED_VALUE"""),"alicec@canva.com")</f>
        <v>alicec@canva.com</v>
      </c>
      <c r="R1958" s="1" t="str">
        <f>IFERROR(__xludf.DUMMYFUNCTION("""COMPUTED_VALUE"""),"Alice Creiser")</f>
        <v>Alice Creiser</v>
      </c>
      <c r="S1958" s="1"/>
      <c r="T1958" s="1"/>
      <c r="U1958" s="2">
        <f>IFERROR(__xludf.DUMMYFUNCTION("""COMPUTED_VALUE"""),0.0)</f>
        <v>0</v>
      </c>
      <c r="V1958" s="1" t="str">
        <f>IFERROR(__xludf.DUMMYFUNCTION("""COMPUTED_VALUE"""),"Tash Kelly")</f>
        <v>Tash Kelly</v>
      </c>
      <c r="W1958" s="1" t="str">
        <f>IFERROR(__xludf.DUMMYFUNCTION("""COMPUTED_VALUE"""),"Admin Support EMEA")</f>
        <v>Admin Support EMEA</v>
      </c>
    </row>
    <row r="1959">
      <c r="O1959" s="1" t="str">
        <f>IFERROR(__xludf.DUMMYFUNCTION("""COMPUTED_VALUE"""),"2026 Jan")</f>
        <v>2026 Jan</v>
      </c>
      <c r="P1959" s="1" t="str">
        <f>IFERROR(__xludf.DUMMYFUNCTION("""COMPUTED_VALUE"""),"Segment-specific Support")</f>
        <v>Segment-specific Support</v>
      </c>
      <c r="Q1959" s="1" t="str">
        <f>IFERROR(__xludf.DUMMYFUNCTION("""COMPUTED_VALUE"""),"alyanna@canva.com")</f>
        <v>alyanna@canva.com</v>
      </c>
      <c r="R1959" s="1" t="str">
        <f>IFERROR(__xludf.DUMMYFUNCTION("""COMPUTED_VALUE"""),"Alyanna Ramos")</f>
        <v>Alyanna Ramos</v>
      </c>
      <c r="S1959" s="1"/>
      <c r="T1959" s="1">
        <f>IFERROR(__xludf.DUMMYFUNCTION("""COMPUTED_VALUE"""),43.0)</f>
        <v>43</v>
      </c>
      <c r="U1959" s="2">
        <f>IFERROR(__xludf.DUMMYFUNCTION("""COMPUTED_VALUE"""),43.0)</f>
        <v>43</v>
      </c>
      <c r="V1959" s="1" t="str">
        <f>IFERROR(__xludf.DUMMYFUNCTION("""COMPUTED_VALUE"""),"Rose Gabilan")</f>
        <v>Rose Gabilan</v>
      </c>
      <c r="W1959" s="1" t="str">
        <f>IFERROR(__xludf.DUMMYFUNCTION("""COMPUTED_VALUE"""),"Affinity Support")</f>
        <v>Affinity Support</v>
      </c>
    </row>
    <row r="1960">
      <c r="O1960" s="1" t="str">
        <f>IFERROR(__xludf.DUMMYFUNCTION("""COMPUTED_VALUE"""),"2026 Jan")</f>
        <v>2026 Jan</v>
      </c>
      <c r="P1960" s="1" t="str">
        <f>IFERROR(__xludf.DUMMYFUNCTION("""COMPUTED_VALUE"""),"Print Support")</f>
        <v>Print Support</v>
      </c>
      <c r="Q1960" s="1" t="str">
        <f>IFERROR(__xludf.DUMMYFUNCTION("""COMPUTED_VALUE"""),"alyssam@canva.com")</f>
        <v>alyssam@canva.com</v>
      </c>
      <c r="R1960" s="1" t="str">
        <f>IFERROR(__xludf.DUMMYFUNCTION("""COMPUTED_VALUE"""),"Alyssa Martin-Silao")</f>
        <v>Alyssa Martin-Silao</v>
      </c>
      <c r="S1960" s="1">
        <f>IFERROR(__xludf.DUMMYFUNCTION("""COMPUTED_VALUE"""),2.0)</f>
        <v>2</v>
      </c>
      <c r="T1960" s="1">
        <f>IFERROR(__xludf.DUMMYFUNCTION("""COMPUTED_VALUE"""),1.5)</f>
        <v>1.5</v>
      </c>
      <c r="U1960" s="2">
        <f>IFERROR(__xludf.DUMMYFUNCTION("""COMPUTED_VALUE"""),3.5)</f>
        <v>3.5</v>
      </c>
      <c r="V1960" s="1" t="str">
        <f>IFERROR(__xludf.DUMMYFUNCTION("""COMPUTED_VALUE"""),"Rae Erlano")</f>
        <v>Rae Erlano</v>
      </c>
      <c r="W1960" s="1" t="str">
        <f>IFERROR(__xludf.DUMMYFUNCTION("""COMPUTED_VALUE"""),"Print Support PH")</f>
        <v>Print Support PH</v>
      </c>
    </row>
    <row r="1961">
      <c r="O1961" s="1" t="str">
        <f>IFERROR(__xludf.DUMMYFUNCTION("""COMPUTED_VALUE"""),"2026 Jan")</f>
        <v>2026 Jan</v>
      </c>
      <c r="P1961" s="1" t="str">
        <f>IFERROR(__xludf.DUMMYFUNCTION("""COMPUTED_VALUE"""),"Print Support")</f>
        <v>Print Support</v>
      </c>
      <c r="Q1961" s="1" t="str">
        <f>IFERROR(__xludf.DUMMYFUNCTION("""COMPUTED_VALUE"""),"alyssas@canva.com")</f>
        <v>alyssas@canva.com</v>
      </c>
      <c r="R1961" s="1" t="str">
        <f>IFERROR(__xludf.DUMMYFUNCTION("""COMPUTED_VALUE"""),"Alyssa Sunga")</f>
        <v>Alyssa Sunga</v>
      </c>
      <c r="S1961" s="1"/>
      <c r="T1961" s="1">
        <f>IFERROR(__xludf.DUMMYFUNCTION("""COMPUTED_VALUE"""),1.75)</f>
        <v>1.75</v>
      </c>
      <c r="U1961" s="2">
        <f>IFERROR(__xludf.DUMMYFUNCTION("""COMPUTED_VALUE"""),1.75)</f>
        <v>1.75</v>
      </c>
      <c r="V1961" s="1" t="str">
        <f>IFERROR(__xludf.DUMMYFUNCTION("""COMPUTED_VALUE"""),"Althea Mercado")</f>
        <v>Althea Mercado</v>
      </c>
      <c r="W1961" s="1" t="str">
        <f>IFERROR(__xludf.DUMMYFUNCTION("""COMPUTED_VALUE"""),"Print Support PH")</f>
        <v>Print Support PH</v>
      </c>
    </row>
    <row r="1962">
      <c r="O1962" s="1" t="str">
        <f>IFERROR(__xludf.DUMMYFUNCTION("""COMPUTED_VALUE"""),"2026 Jan")</f>
        <v>2026 Jan</v>
      </c>
      <c r="P1962" s="1" t="str">
        <f>IFERROR(__xludf.DUMMYFUNCTION("""COMPUTED_VALUE"""),"Print Support")</f>
        <v>Print Support</v>
      </c>
      <c r="Q1962" s="1" t="str">
        <f>IFERROR(__xludf.DUMMYFUNCTION("""COMPUTED_VALUE"""),"andrea.g@canva.com")</f>
        <v>andrea.g@canva.com</v>
      </c>
      <c r="R1962" s="1" t="str">
        <f>IFERROR(__xludf.DUMMYFUNCTION("""COMPUTED_VALUE"""),"Andrea Gutierrez")</f>
        <v>Andrea Gutierrez</v>
      </c>
      <c r="S1962" s="1"/>
      <c r="T1962" s="1">
        <f>IFERROR(__xludf.DUMMYFUNCTION("""COMPUTED_VALUE"""),0.5)</f>
        <v>0.5</v>
      </c>
      <c r="U1962" s="2">
        <f>IFERROR(__xludf.DUMMYFUNCTION("""COMPUTED_VALUE"""),0.5)</f>
        <v>0.5</v>
      </c>
      <c r="V1962" s="1" t="str">
        <f>IFERROR(__xludf.DUMMYFUNCTION("""COMPUTED_VALUE"""),"G-Anne Murillo")</f>
        <v>G-Anne Murillo</v>
      </c>
      <c r="W1962" s="1" t="str">
        <f>IFERROR(__xludf.DUMMYFUNCTION("""COMPUTED_VALUE"""),"Print Design Support")</f>
        <v>Print Design Support</v>
      </c>
    </row>
    <row r="1963">
      <c r="O1963" s="1" t="str">
        <f>IFERROR(__xludf.DUMMYFUNCTION("""COMPUTED_VALUE"""),"2026 Jan")</f>
        <v>2026 Jan</v>
      </c>
      <c r="P1963" s="1" t="str">
        <f>IFERROR(__xludf.DUMMYFUNCTION("""COMPUTED_VALUE"""),"Print Support")</f>
        <v>Print Support</v>
      </c>
      <c r="Q1963" s="1" t="str">
        <f>IFERROR(__xludf.DUMMYFUNCTION("""COMPUTED_VALUE"""),"xandwea@canva.com")</f>
        <v>xandwea@canva.com</v>
      </c>
      <c r="R1963" s="1" t="str">
        <f>IFERROR(__xludf.DUMMYFUNCTION("""COMPUTED_VALUE"""),"Andrea Lugtu")</f>
        <v>Andrea Lugtu</v>
      </c>
      <c r="S1963" s="1"/>
      <c r="T1963" s="1">
        <f>IFERROR(__xludf.DUMMYFUNCTION("""COMPUTED_VALUE"""),1.75)</f>
        <v>1.75</v>
      </c>
      <c r="U1963" s="2">
        <f>IFERROR(__xludf.DUMMYFUNCTION("""COMPUTED_VALUE"""),1.75)</f>
        <v>1.75</v>
      </c>
      <c r="V1963" s="1" t="str">
        <f>IFERROR(__xludf.DUMMYFUNCTION("""COMPUTED_VALUE"""),"Manee Barrasa")</f>
        <v>Manee Barrasa</v>
      </c>
      <c r="W1963" s="1" t="str">
        <f>IFERROR(__xludf.DUMMYFUNCTION("""COMPUTED_VALUE"""),"Print Support PH")</f>
        <v>Print Support PH</v>
      </c>
    </row>
    <row r="1964">
      <c r="O1964" s="1" t="str">
        <f>IFERROR(__xludf.DUMMYFUNCTION("""COMPUTED_VALUE"""),"2026 Jan")</f>
        <v>2026 Jan</v>
      </c>
      <c r="P1964" s="1" t="str">
        <f>IFERROR(__xludf.DUMMYFUNCTION("""COMPUTED_VALUE"""),"High Sensitivity Support")</f>
        <v>High Sensitivity Support</v>
      </c>
      <c r="Q1964" s="1" t="str">
        <f>IFERROR(__xludf.DUMMYFUNCTION("""COMPUTED_VALUE"""),"andreimg@canva.com")</f>
        <v>andreimg@canva.com</v>
      </c>
      <c r="R1964" s="1" t="str">
        <f>IFERROR(__xludf.DUMMYFUNCTION("""COMPUTED_VALUE"""),"Andrei Galutan")</f>
        <v>Andrei Galutan</v>
      </c>
      <c r="S1964" s="1">
        <f>IFERROR(__xludf.DUMMYFUNCTION("""COMPUTED_VALUE"""),1.5)</f>
        <v>1.5</v>
      </c>
      <c r="T1964" s="1">
        <f>IFERROR(__xludf.DUMMYFUNCTION("""COMPUTED_VALUE"""),41.75)</f>
        <v>41.75</v>
      </c>
      <c r="U1964" s="2">
        <f>IFERROR(__xludf.DUMMYFUNCTION("""COMPUTED_VALUE"""),43.25)</f>
        <v>43.25</v>
      </c>
      <c r="V1964" s="1" t="str">
        <f>IFERROR(__xludf.DUMMYFUNCTION("""COMPUTED_VALUE"""),"Rex Villamor")</f>
        <v>Rex Villamor</v>
      </c>
      <c r="W1964" s="1" t="str">
        <f>IFERROR(__xludf.DUMMYFUNCTION("""COMPUTED_VALUE"""),"Advanced Product Support")</f>
        <v>Advanced Product Support</v>
      </c>
    </row>
    <row r="1965">
      <c r="O1965" s="1" t="str">
        <f>IFERROR(__xludf.DUMMYFUNCTION("""COMPUTED_VALUE"""),"2026 Jan")</f>
        <v>2026 Jan</v>
      </c>
      <c r="P1965" s="1" t="str">
        <f>IFERROR(__xludf.DUMMYFUNCTION("""COMPUTED_VALUE"""),"Core Product Support")</f>
        <v>Core Product Support</v>
      </c>
      <c r="Q1965" s="1" t="str">
        <f>IFERROR(__xludf.DUMMYFUNCTION("""COMPUTED_VALUE"""),"aalemania@canva.com")</f>
        <v>aalemania@canva.com</v>
      </c>
      <c r="R1965" s="1" t="str">
        <f>IFERROR(__xludf.DUMMYFUNCTION("""COMPUTED_VALUE"""),"Angel Alemania")</f>
        <v>Angel Alemania</v>
      </c>
      <c r="S1965" s="1">
        <f>IFERROR(__xludf.DUMMYFUNCTION("""COMPUTED_VALUE"""),0.5)</f>
        <v>0.5</v>
      </c>
      <c r="T1965" s="1">
        <f>IFERROR(__xludf.DUMMYFUNCTION("""COMPUTED_VALUE"""),18.5)</f>
        <v>18.5</v>
      </c>
      <c r="U1965" s="2">
        <f>IFERROR(__xludf.DUMMYFUNCTION("""COMPUTED_VALUE"""),19.0)</f>
        <v>19</v>
      </c>
      <c r="V1965" s="1" t="str">
        <f>IFERROR(__xludf.DUMMYFUNCTION("""COMPUTED_VALUE"""),"Sieg Ballelos")</f>
        <v>Sieg Ballelos</v>
      </c>
      <c r="W1965" s="1" t="str">
        <f>IFERROR(__xludf.DUMMYFUNCTION("""COMPUTED_VALUE"""),"Core Product Support Escalation Team")</f>
        <v>Core Product Support Escalation Team</v>
      </c>
    </row>
    <row r="1966">
      <c r="O1966" s="1" t="str">
        <f>IFERROR(__xludf.DUMMYFUNCTION("""COMPUTED_VALUE"""),"2026 Jan")</f>
        <v>2026 Jan</v>
      </c>
      <c r="P1966" s="1" t="str">
        <f>IFERROR(__xludf.DUMMYFUNCTION("""COMPUTED_VALUE"""),"Admin Support")</f>
        <v>Admin Support</v>
      </c>
      <c r="Q1966" s="1" t="str">
        <f>IFERROR(__xludf.DUMMYFUNCTION("""COMPUTED_VALUE"""),"angelc@canva.com")</f>
        <v>angelc@canva.com</v>
      </c>
      <c r="R1966" s="1" t="str">
        <f>IFERROR(__xludf.DUMMYFUNCTION("""COMPUTED_VALUE"""),"Angel Cabrera")</f>
        <v>Angel Cabrera</v>
      </c>
      <c r="S1966" s="1"/>
      <c r="T1966" s="1">
        <f>IFERROR(__xludf.DUMMYFUNCTION("""COMPUTED_VALUE"""),1.5)</f>
        <v>1.5</v>
      </c>
      <c r="U1966" s="2">
        <f>IFERROR(__xludf.DUMMYFUNCTION("""COMPUTED_VALUE"""),1.5)</f>
        <v>1.5</v>
      </c>
      <c r="V1966" s="1" t="str">
        <f>IFERROR(__xludf.DUMMYFUNCTION("""COMPUTED_VALUE"""),"Ann Dumlao")</f>
        <v>Ann Dumlao</v>
      </c>
      <c r="W1966" s="1" t="str">
        <f>IFERROR(__xludf.DUMMYFUNCTION("""COMPUTED_VALUE"""),"Admin Omni Support")</f>
        <v>Admin Omni Support</v>
      </c>
    </row>
    <row r="1967">
      <c r="O1967" s="1" t="str">
        <f>IFERROR(__xludf.DUMMYFUNCTION("""COMPUTED_VALUE"""),"2026 Jan")</f>
        <v>2026 Jan</v>
      </c>
      <c r="P1967" s="1" t="str">
        <f>IFERROR(__xludf.DUMMYFUNCTION("""COMPUTED_VALUE"""),"Segment-specific Support")</f>
        <v>Segment-specific Support</v>
      </c>
      <c r="Q1967" s="1" t="str">
        <f>IFERROR(__xludf.DUMMYFUNCTION("""COMPUTED_VALUE"""),"angelheart@canva.com")</f>
        <v>angelheart@canva.com</v>
      </c>
      <c r="R1967" s="1" t="str">
        <f>IFERROR(__xludf.DUMMYFUNCTION("""COMPUTED_VALUE"""),"Angel Heart Santos")</f>
        <v>Angel Heart Santos</v>
      </c>
      <c r="S1967" s="1">
        <f>IFERROR(__xludf.DUMMYFUNCTION("""COMPUTED_VALUE"""),1.5)</f>
        <v>1.5</v>
      </c>
      <c r="T1967" s="1">
        <f>IFERROR(__xludf.DUMMYFUNCTION("""COMPUTED_VALUE"""),0.5)</f>
        <v>0.5</v>
      </c>
      <c r="U1967" s="2">
        <f>IFERROR(__xludf.DUMMYFUNCTION("""COMPUTED_VALUE"""),2.0)</f>
        <v>2</v>
      </c>
      <c r="V1967" s="1" t="str">
        <f>IFERROR(__xludf.DUMMYFUNCTION("""COMPUTED_VALUE"""),"Jonathan Dimaculangan")</f>
        <v>Jonathan Dimaculangan</v>
      </c>
      <c r="W1967" s="1" t="str">
        <f>IFERROR(__xludf.DUMMYFUNCTION("""COMPUTED_VALUE"""),"Flourish Support")</f>
        <v>Flourish Support</v>
      </c>
    </row>
    <row r="1968">
      <c r="O1968" s="1" t="str">
        <f>IFERROR(__xludf.DUMMYFUNCTION("""COMPUTED_VALUE"""),"2026 Jan")</f>
        <v>2026 Jan</v>
      </c>
      <c r="P1968" s="1" t="str">
        <f>IFERROR(__xludf.DUMMYFUNCTION("""COMPUTED_VALUE"""),"Core Product Support")</f>
        <v>Core Product Support</v>
      </c>
      <c r="Q1968" s="1" t="str">
        <f>IFERROR(__xludf.DUMMYFUNCTION("""COMPUTED_VALUE"""),"angelm@canva.com")</f>
        <v>angelm@canva.com</v>
      </c>
      <c r="R1968" s="1" t="str">
        <f>IFERROR(__xludf.DUMMYFUNCTION("""COMPUTED_VALUE"""),"Angel Medina")</f>
        <v>Angel Medina</v>
      </c>
      <c r="S1968" s="1">
        <f>IFERROR(__xludf.DUMMYFUNCTION("""COMPUTED_VALUE"""),0.5)</f>
        <v>0.5</v>
      </c>
      <c r="T1968" s="1">
        <f>IFERROR(__xludf.DUMMYFUNCTION("""COMPUTED_VALUE"""),10.42)</f>
        <v>10.42</v>
      </c>
      <c r="U1968" s="2">
        <f>IFERROR(__xludf.DUMMYFUNCTION("""COMPUTED_VALUE"""),10.92)</f>
        <v>10.92</v>
      </c>
      <c r="V1968" s="1" t="str">
        <f>IFERROR(__xludf.DUMMYFUNCTION("""COMPUTED_VALUE"""),"Ellaine Estayo")</f>
        <v>Ellaine Estayo</v>
      </c>
      <c r="W1968" s="1" t="str">
        <f>IFERROR(__xludf.DUMMYFUNCTION("""COMPUTED_VALUE"""),"Core Product Support Escalation Team")</f>
        <v>Core Product Support Escalation Team</v>
      </c>
    </row>
    <row r="1969">
      <c r="O1969" s="1" t="str">
        <f>IFERROR(__xludf.DUMMYFUNCTION("""COMPUTED_VALUE"""),"2026 Jan")</f>
        <v>2026 Jan</v>
      </c>
      <c r="P1969" s="1" t="str">
        <f>IFERROR(__xludf.DUMMYFUNCTION("""COMPUTED_VALUE"""),"Print Support")</f>
        <v>Print Support</v>
      </c>
      <c r="Q1969" s="1" t="str">
        <f>IFERROR(__xludf.DUMMYFUNCTION("""COMPUTED_VALUE"""),"angelf@canva.com")</f>
        <v>angelf@canva.com</v>
      </c>
      <c r="R1969" s="1" t="str">
        <f>IFERROR(__xludf.DUMMYFUNCTION("""COMPUTED_VALUE"""),"Angel Merilleno")</f>
        <v>Angel Merilleno</v>
      </c>
      <c r="S1969" s="1"/>
      <c r="T1969" s="1">
        <f>IFERROR(__xludf.DUMMYFUNCTION("""COMPUTED_VALUE"""),2.02)</f>
        <v>2.02</v>
      </c>
      <c r="U1969" s="2">
        <f>IFERROR(__xludf.DUMMYFUNCTION("""COMPUTED_VALUE"""),2.02)</f>
        <v>2.02</v>
      </c>
      <c r="V1969" s="1" t="str">
        <f>IFERROR(__xludf.DUMMYFUNCTION("""COMPUTED_VALUE"""),"Louise Dianne Estrella")</f>
        <v>Louise Dianne Estrella</v>
      </c>
      <c r="W1969" s="1" t="str">
        <f>IFERROR(__xludf.DUMMYFUNCTION("""COMPUTED_VALUE"""),"Print Support PH")</f>
        <v>Print Support PH</v>
      </c>
    </row>
    <row r="1970">
      <c r="O1970" s="1" t="str">
        <f>IFERROR(__xludf.DUMMYFUNCTION("""COMPUTED_VALUE"""),"2026 Jan")</f>
        <v>2026 Jan</v>
      </c>
      <c r="P1970" s="1" t="str">
        <f>IFERROR(__xludf.DUMMYFUNCTION("""COMPUTED_VALUE"""),"Core Product Support")</f>
        <v>Core Product Support</v>
      </c>
      <c r="Q1970" s="1" t="str">
        <f>IFERROR(__xludf.DUMMYFUNCTION("""COMPUTED_VALUE"""),"angelic@canva.com")</f>
        <v>angelic@canva.com</v>
      </c>
      <c r="R1970" s="1" t="str">
        <f>IFERROR(__xludf.DUMMYFUNCTION("""COMPUTED_VALUE"""),"Angel Ramas")</f>
        <v>Angel Ramas</v>
      </c>
      <c r="S1970" s="1">
        <f>IFERROR(__xludf.DUMMYFUNCTION("""COMPUTED_VALUE"""),1.5)</f>
        <v>1.5</v>
      </c>
      <c r="T1970" s="1">
        <f>IFERROR(__xludf.DUMMYFUNCTION("""COMPUTED_VALUE"""),3.5)</f>
        <v>3.5</v>
      </c>
      <c r="U1970" s="2">
        <f>IFERROR(__xludf.DUMMYFUNCTION("""COMPUTED_VALUE"""),5.0)</f>
        <v>5</v>
      </c>
      <c r="V1970" s="1" t="str">
        <f>IFERROR(__xludf.DUMMYFUNCTION("""COMPUTED_VALUE"""),"Marie Mordeno")</f>
        <v>Marie Mordeno</v>
      </c>
      <c r="W1970" s="1" t="str">
        <f>IFERROR(__xludf.DUMMYFUNCTION("""COMPUTED_VALUE"""),"Advanced Billing &amp; Subscriptions")</f>
        <v>Advanced Billing &amp; Subscriptions</v>
      </c>
    </row>
    <row r="1971">
      <c r="O1971" s="1" t="str">
        <f>IFERROR(__xludf.DUMMYFUNCTION("""COMPUTED_VALUE"""),"2026 Jan")</f>
        <v>2026 Jan</v>
      </c>
      <c r="P1971" s="1" t="str">
        <f>IFERROR(__xludf.DUMMYFUNCTION("""COMPUTED_VALUE"""),"Segment-specific Support")</f>
        <v>Segment-specific Support</v>
      </c>
      <c r="Q1971" s="1" t="str">
        <f>IFERROR(__xludf.DUMMYFUNCTION("""COMPUTED_VALUE"""),"adflora@canva.com")</f>
        <v>adflora@canva.com</v>
      </c>
      <c r="R1971" s="1" t="str">
        <f>IFERROR(__xludf.DUMMYFUNCTION("""COMPUTED_VALUE"""),"Angela Flora")</f>
        <v>Angela Flora</v>
      </c>
      <c r="S1971" s="1"/>
      <c r="T1971" s="1">
        <f>IFERROR(__xludf.DUMMYFUNCTION("""COMPUTED_VALUE"""),2.0)</f>
        <v>2</v>
      </c>
      <c r="U1971" s="2">
        <f>IFERROR(__xludf.DUMMYFUNCTION("""COMPUTED_VALUE"""),2.0)</f>
        <v>2</v>
      </c>
      <c r="V1971" s="1" t="str">
        <f>IFERROR(__xludf.DUMMYFUNCTION("""COMPUTED_VALUE"""),"Gucci Nava")</f>
        <v>Gucci Nava</v>
      </c>
      <c r="W1971" s="1" t="str">
        <f>IFERROR(__xludf.DUMMYFUNCTION("""COMPUTED_VALUE"""),"Print Support PH")</f>
        <v>Print Support PH</v>
      </c>
    </row>
    <row r="1972">
      <c r="O1972" s="1" t="str">
        <f>IFERROR(__xludf.DUMMYFUNCTION("""COMPUTED_VALUE"""),"2026 Jan")</f>
        <v>2026 Jan</v>
      </c>
      <c r="P1972" s="1" t="str">
        <f>IFERROR(__xludf.DUMMYFUNCTION("""COMPUTED_VALUE"""),"Core Product Support")</f>
        <v>Core Product Support</v>
      </c>
      <c r="Q1972" s="1" t="str">
        <f>IFERROR(__xludf.DUMMYFUNCTION("""COMPUTED_VALUE"""),"annaalberto@canva.com")</f>
        <v>annaalberto@canva.com</v>
      </c>
      <c r="R1972" s="1" t="str">
        <f>IFERROR(__xludf.DUMMYFUNCTION("""COMPUTED_VALUE"""),"Anna Alberto-Felipe")</f>
        <v>Anna Alberto-Felipe</v>
      </c>
      <c r="S1972" s="1">
        <f>IFERROR(__xludf.DUMMYFUNCTION("""COMPUTED_VALUE"""),1.5)</f>
        <v>1.5</v>
      </c>
      <c r="T1972" s="1">
        <f>IFERROR(__xludf.DUMMYFUNCTION("""COMPUTED_VALUE"""),4.5)</f>
        <v>4.5</v>
      </c>
      <c r="U1972" s="2">
        <f>IFERROR(__xludf.DUMMYFUNCTION("""COMPUTED_VALUE"""),6.0)</f>
        <v>6</v>
      </c>
      <c r="V1972" s="1" t="str">
        <f>IFERROR(__xludf.DUMMYFUNCTION("""COMPUTED_VALUE"""),"Jahmie Mae Barrameda")</f>
        <v>Jahmie Mae Barrameda</v>
      </c>
      <c r="W1972" s="1" t="str">
        <f>IFERROR(__xludf.DUMMYFUNCTION("""COMPUTED_VALUE"""),"Advanced Billing &amp; Subscriptions")</f>
        <v>Advanced Billing &amp; Subscriptions</v>
      </c>
    </row>
    <row r="1973">
      <c r="O1973" s="1" t="str">
        <f>IFERROR(__xludf.DUMMYFUNCTION("""COMPUTED_VALUE"""),"2026 Jan")</f>
        <v>2026 Jan</v>
      </c>
      <c r="P1973" s="1" t="str">
        <f>IFERROR(__xludf.DUMMYFUNCTION("""COMPUTED_VALUE"""),"Print Support")</f>
        <v>Print Support</v>
      </c>
      <c r="Q1973" s="1" t="str">
        <f>IFERROR(__xludf.DUMMYFUNCTION("""COMPUTED_VALUE"""),"arcelie@canva.com")</f>
        <v>arcelie@canva.com</v>
      </c>
      <c r="R1973" s="1" t="str">
        <f>IFERROR(__xludf.DUMMYFUNCTION("""COMPUTED_VALUE"""),"Arcie San Pedro")</f>
        <v>Arcie San Pedro</v>
      </c>
      <c r="S1973" s="1"/>
      <c r="T1973" s="1">
        <f>IFERROR(__xludf.DUMMYFUNCTION("""COMPUTED_VALUE"""),1.25)</f>
        <v>1.25</v>
      </c>
      <c r="U1973" s="2">
        <f>IFERROR(__xludf.DUMMYFUNCTION("""COMPUTED_VALUE"""),1.25)</f>
        <v>1.25</v>
      </c>
      <c r="V1973" s="1" t="str">
        <f>IFERROR(__xludf.DUMMYFUNCTION("""COMPUTED_VALUE"""),"Rae Erlano")</f>
        <v>Rae Erlano</v>
      </c>
      <c r="W1973" s="1" t="str">
        <f>IFERROR(__xludf.DUMMYFUNCTION("""COMPUTED_VALUE"""),"Print Support PH")</f>
        <v>Print Support PH</v>
      </c>
    </row>
    <row r="1974">
      <c r="O1974" s="1" t="str">
        <f>IFERROR(__xludf.DUMMYFUNCTION("""COMPUTED_VALUE"""),"2026 Jan")</f>
        <v>2026 Jan</v>
      </c>
      <c r="P1974" s="1" t="str">
        <f>IFERROR(__xludf.DUMMYFUNCTION("""COMPUTED_VALUE"""),"Print Support")</f>
        <v>Print Support</v>
      </c>
      <c r="Q1974" s="1" t="str">
        <f>IFERROR(__xludf.DUMMYFUNCTION("""COMPUTED_VALUE"""),"arjane@canva.com")</f>
        <v>arjane@canva.com</v>
      </c>
      <c r="R1974" s="1" t="str">
        <f>IFERROR(__xludf.DUMMYFUNCTION("""COMPUTED_VALUE"""),"Arjane Oliva")</f>
        <v>Arjane Oliva</v>
      </c>
      <c r="S1974" s="1"/>
      <c r="T1974" s="1"/>
      <c r="U1974" s="2">
        <f>IFERROR(__xludf.DUMMYFUNCTION("""COMPUTED_VALUE"""),0.0)</f>
        <v>0</v>
      </c>
      <c r="V1974" s="1" t="str">
        <f>IFERROR(__xludf.DUMMYFUNCTION("""COMPUTED_VALUE"""),"Rei De Jesus")</f>
        <v>Rei De Jesus</v>
      </c>
      <c r="W1974" s="1" t="str">
        <f>IFERROR(__xludf.DUMMYFUNCTION("""COMPUTED_VALUE"""),"Print Design Support")</f>
        <v>Print Design Support</v>
      </c>
    </row>
    <row r="1975">
      <c r="O1975" s="1" t="str">
        <f>IFERROR(__xludf.DUMMYFUNCTION("""COMPUTED_VALUE"""),"2026 Jan")</f>
        <v>2026 Jan</v>
      </c>
      <c r="P1975" s="1" t="str">
        <f>IFERROR(__xludf.DUMMYFUNCTION("""COMPUTED_VALUE"""),"High Sensitivity Support")</f>
        <v>High Sensitivity Support</v>
      </c>
      <c r="Q1975" s="1" t="str">
        <f>IFERROR(__xludf.DUMMYFUNCTION("""COMPUTED_VALUE"""),"arodes@canva.com")</f>
        <v>arodes@canva.com</v>
      </c>
      <c r="R1975" s="1" t="str">
        <f>IFERROR(__xludf.DUMMYFUNCTION("""COMPUTED_VALUE"""),"Arriane Rodes")</f>
        <v>Arriane Rodes</v>
      </c>
      <c r="S1975" s="1"/>
      <c r="T1975" s="1">
        <f>IFERROR(__xludf.DUMMYFUNCTION("""COMPUTED_VALUE"""),1.0)</f>
        <v>1</v>
      </c>
      <c r="U1975" s="2">
        <f>IFERROR(__xludf.DUMMYFUNCTION("""COMPUTED_VALUE"""),1.0)</f>
        <v>1</v>
      </c>
      <c r="V1975" s="1" t="str">
        <f>IFERROR(__xludf.DUMMYFUNCTION("""COMPUTED_VALUE"""),"Xandy Azarcon")</f>
        <v>Xandy Azarcon</v>
      </c>
      <c r="W1975" s="1" t="str">
        <f>IFERROR(__xludf.DUMMYFUNCTION("""COMPUTED_VALUE"""),"High Sensitivity Support PH")</f>
        <v>High Sensitivity Support PH</v>
      </c>
    </row>
    <row r="1976">
      <c r="O1976" s="1" t="str">
        <f>IFERROR(__xludf.DUMMYFUNCTION("""COMPUTED_VALUE"""),"2026 Jan")</f>
        <v>2026 Jan</v>
      </c>
      <c r="P1976" s="1" t="str">
        <f>IFERROR(__xludf.DUMMYFUNCTION("""COMPUTED_VALUE"""),"Admin Support")</f>
        <v>Admin Support</v>
      </c>
      <c r="Q1976" s="1" t="str">
        <f>IFERROR(__xludf.DUMMYFUNCTION("""COMPUTED_VALUE"""),"ashli@canva.com")</f>
        <v>ashli@canva.com</v>
      </c>
      <c r="R1976" s="1" t="str">
        <f>IFERROR(__xludf.DUMMYFUNCTION("""COMPUTED_VALUE"""),"Ashli Hanson")</f>
        <v>Ashli Hanson</v>
      </c>
      <c r="S1976" s="1"/>
      <c r="T1976" s="1"/>
      <c r="U1976" s="2">
        <f>IFERROR(__xludf.DUMMYFUNCTION("""COMPUTED_VALUE"""),0.0)</f>
        <v>0</v>
      </c>
      <c r="V1976" s="1" t="str">
        <f>IFERROR(__xludf.DUMMYFUNCTION("""COMPUTED_VALUE"""),"Nate Vela")</f>
        <v>Nate Vela</v>
      </c>
      <c r="W1976" s="1" t="str">
        <f>IFERROR(__xludf.DUMMYFUNCTION("""COMPUTED_VALUE"""),"Admin Support NA")</f>
        <v>Admin Support NA</v>
      </c>
    </row>
    <row r="1977">
      <c r="O1977" s="1" t="str">
        <f>IFERROR(__xludf.DUMMYFUNCTION("""COMPUTED_VALUE"""),"2026 Jan")</f>
        <v>2026 Jan</v>
      </c>
      <c r="P1977" s="1" t="str">
        <f>IFERROR(__xludf.DUMMYFUNCTION("""COMPUTED_VALUE"""),"High Sensitivity Support")</f>
        <v>High Sensitivity Support</v>
      </c>
      <c r="Q1977" s="1" t="str">
        <f>IFERROR(__xludf.DUMMYFUNCTION("""COMPUTED_VALUE"""),"aubrey@canva.com")</f>
        <v>aubrey@canva.com</v>
      </c>
      <c r="R1977" s="1" t="str">
        <f>IFERROR(__xludf.DUMMYFUNCTION("""COMPUTED_VALUE"""),"Aubrey Jasme")</f>
        <v>Aubrey Jasme</v>
      </c>
      <c r="S1977" s="1"/>
      <c r="T1977" s="1">
        <f>IFERROR(__xludf.DUMMYFUNCTION("""COMPUTED_VALUE"""),2.63)</f>
        <v>2.63</v>
      </c>
      <c r="U1977" s="2">
        <f>IFERROR(__xludf.DUMMYFUNCTION("""COMPUTED_VALUE"""),2.63)</f>
        <v>2.63</v>
      </c>
      <c r="V1977" s="1" t="str">
        <f>IFERROR(__xludf.DUMMYFUNCTION("""COMPUTED_VALUE"""),"Rex Villamor")</f>
        <v>Rex Villamor</v>
      </c>
      <c r="W1977" s="1" t="str">
        <f>IFERROR(__xludf.DUMMYFUNCTION("""COMPUTED_VALUE"""),"High Sensitivity Support PH")</f>
        <v>High Sensitivity Support PH</v>
      </c>
    </row>
    <row r="1978">
      <c r="O1978" s="1" t="str">
        <f>IFERROR(__xludf.DUMMYFUNCTION("""COMPUTED_VALUE"""),"2026 Jan")</f>
        <v>2026 Jan</v>
      </c>
      <c r="P1978" s="1" t="str">
        <f>IFERROR(__xludf.DUMMYFUNCTION("""COMPUTED_VALUE"""),"Print Support")</f>
        <v>Print Support</v>
      </c>
      <c r="Q1978" s="1" t="str">
        <f>IFERROR(__xludf.DUMMYFUNCTION("""COMPUTED_VALUE"""),"jborreros@canva.com")</f>
        <v>jborreros@canva.com</v>
      </c>
      <c r="R1978" s="1" t="str">
        <f>IFERROR(__xludf.DUMMYFUNCTION("""COMPUTED_VALUE"""),"Bea Borreros")</f>
        <v>Bea Borreros</v>
      </c>
      <c r="S1978" s="1">
        <f>IFERROR(__xludf.DUMMYFUNCTION("""COMPUTED_VALUE"""),2.0)</f>
        <v>2</v>
      </c>
      <c r="T1978" s="1">
        <f>IFERROR(__xludf.DUMMYFUNCTION("""COMPUTED_VALUE"""),1.25)</f>
        <v>1.25</v>
      </c>
      <c r="U1978" s="2">
        <f>IFERROR(__xludf.DUMMYFUNCTION("""COMPUTED_VALUE"""),3.25)</f>
        <v>3.25</v>
      </c>
      <c r="V1978" s="1" t="str">
        <f>IFERROR(__xludf.DUMMYFUNCTION("""COMPUTED_VALUE"""),"Memae Faustino")</f>
        <v>Memae Faustino</v>
      </c>
      <c r="W1978" s="1" t="str">
        <f>IFERROR(__xludf.DUMMYFUNCTION("""COMPUTED_VALUE"""),"Print Support PH")</f>
        <v>Print Support PH</v>
      </c>
    </row>
    <row r="1979">
      <c r="O1979" s="1" t="str">
        <f>IFERROR(__xludf.DUMMYFUNCTION("""COMPUTED_VALUE"""),"2026 Jan")</f>
        <v>2026 Jan</v>
      </c>
      <c r="P1979" s="1" t="str">
        <f>IFERROR(__xludf.DUMMYFUNCTION("""COMPUTED_VALUE"""),"Print Support")</f>
        <v>Print Support</v>
      </c>
      <c r="Q1979" s="1" t="str">
        <f>IFERROR(__xludf.DUMMYFUNCTION("""COMPUTED_VALUE"""),"bea@canva.com")</f>
        <v>bea@canva.com</v>
      </c>
      <c r="R1979" s="1" t="str">
        <f>IFERROR(__xludf.DUMMYFUNCTION("""COMPUTED_VALUE"""),"Bea Mendoza")</f>
        <v>Bea Mendoza</v>
      </c>
      <c r="S1979" s="1"/>
      <c r="T1979" s="1">
        <f>IFERROR(__xludf.DUMMYFUNCTION("""COMPUTED_VALUE"""),0.75)</f>
        <v>0.75</v>
      </c>
      <c r="U1979" s="2">
        <f>IFERROR(__xludf.DUMMYFUNCTION("""COMPUTED_VALUE"""),0.75)</f>
        <v>0.75</v>
      </c>
      <c r="V1979" s="1" t="str">
        <f>IFERROR(__xludf.DUMMYFUNCTION("""COMPUTED_VALUE"""),"Aliza Dote")</f>
        <v>Aliza Dote</v>
      </c>
      <c r="W1979" s="1" t="str">
        <f>IFERROR(__xludf.DUMMYFUNCTION("""COMPUTED_VALUE"""),"Print Design Support")</f>
        <v>Print Design Support</v>
      </c>
    </row>
    <row r="1980">
      <c r="O1980" s="1" t="str">
        <f>IFERROR(__xludf.DUMMYFUNCTION("""COMPUTED_VALUE"""),"2026 Jan")</f>
        <v>2026 Jan</v>
      </c>
      <c r="P1980" s="1" t="str">
        <f>IFERROR(__xludf.DUMMYFUNCTION("""COMPUTED_VALUE"""),"Core Product Support")</f>
        <v>Core Product Support</v>
      </c>
      <c r="Q1980" s="1" t="str">
        <f>IFERROR(__xludf.DUMMYFUNCTION("""COMPUTED_VALUE"""),"beanyvince@canva.com")</f>
        <v>beanyvince@canva.com</v>
      </c>
      <c r="R1980" s="1" t="str">
        <f>IFERROR(__xludf.DUMMYFUNCTION("""COMPUTED_VALUE"""),"Beany Rodriguez")</f>
        <v>Beany Rodriguez</v>
      </c>
      <c r="S1980" s="1">
        <f>IFERROR(__xludf.DUMMYFUNCTION("""COMPUTED_VALUE"""),1.0)</f>
        <v>1</v>
      </c>
      <c r="T1980" s="1">
        <f>IFERROR(__xludf.DUMMYFUNCTION("""COMPUTED_VALUE"""),3.75)</f>
        <v>3.75</v>
      </c>
      <c r="U1980" s="2">
        <f>IFERROR(__xludf.DUMMYFUNCTION("""COMPUTED_VALUE"""),4.75)</f>
        <v>4.75</v>
      </c>
      <c r="V1980" s="1" t="str">
        <f>IFERROR(__xludf.DUMMYFUNCTION("""COMPUTED_VALUE"""),"Cate Velasco")</f>
        <v>Cate Velasco</v>
      </c>
      <c r="W1980" s="1" t="str">
        <f>IFERROR(__xludf.DUMMYFUNCTION("""COMPUTED_VALUE"""),"Advanced Product Support")</f>
        <v>Advanced Product Support</v>
      </c>
    </row>
    <row r="1981">
      <c r="O1981" s="1" t="str">
        <f>IFERROR(__xludf.DUMMYFUNCTION("""COMPUTED_VALUE"""),"2026 Jan")</f>
        <v>2026 Jan</v>
      </c>
      <c r="P1981" s="1" t="str">
        <f>IFERROR(__xludf.DUMMYFUNCTION("""COMPUTED_VALUE"""),"Print Support")</f>
        <v>Print Support</v>
      </c>
      <c r="Q1981" s="1" t="str">
        <f>IFERROR(__xludf.DUMMYFUNCTION("""COMPUTED_VALUE"""),"bembiellanza@canva.com")</f>
        <v>bembiellanza@canva.com</v>
      </c>
      <c r="R1981" s="1" t="str">
        <f>IFERROR(__xludf.DUMMYFUNCTION("""COMPUTED_VALUE"""),"Bembie Llanza")</f>
        <v>Bembie Llanza</v>
      </c>
      <c r="S1981" s="1"/>
      <c r="T1981" s="1">
        <f>IFERROR(__xludf.DUMMYFUNCTION("""COMPUTED_VALUE"""),1.83)</f>
        <v>1.83</v>
      </c>
      <c r="U1981" s="2">
        <f>IFERROR(__xludf.DUMMYFUNCTION("""COMPUTED_VALUE"""),1.83)</f>
        <v>1.83</v>
      </c>
      <c r="V1981" s="1" t="str">
        <f>IFERROR(__xludf.DUMMYFUNCTION("""COMPUTED_VALUE"""),"Althea Mercado")</f>
        <v>Althea Mercado</v>
      </c>
      <c r="W1981" s="1" t="str">
        <f>IFERROR(__xludf.DUMMYFUNCTION("""COMPUTED_VALUE"""),"Print Support PH")</f>
        <v>Print Support PH</v>
      </c>
    </row>
    <row r="1982">
      <c r="O1982" s="1" t="str">
        <f>IFERROR(__xludf.DUMMYFUNCTION("""COMPUTED_VALUE"""),"2026 Jan")</f>
        <v>2026 Jan</v>
      </c>
      <c r="P1982" s="1" t="str">
        <f>IFERROR(__xludf.DUMMYFUNCTION("""COMPUTED_VALUE"""),"Segment-specific Support")</f>
        <v>Segment-specific Support</v>
      </c>
      <c r="Q1982" s="1" t="str">
        <f>IFERROR(__xludf.DUMMYFUNCTION("""COMPUTED_VALUE"""),"bernice@canva.com")</f>
        <v>bernice@canva.com</v>
      </c>
      <c r="R1982" s="1" t="str">
        <f>IFERROR(__xludf.DUMMYFUNCTION("""COMPUTED_VALUE"""),"Bernice Talosig")</f>
        <v>Bernice Talosig</v>
      </c>
      <c r="S1982" s="1"/>
      <c r="T1982" s="1">
        <f>IFERROR(__xludf.DUMMYFUNCTION("""COMPUTED_VALUE"""),42.75)</f>
        <v>42.75</v>
      </c>
      <c r="U1982" s="2">
        <f>IFERROR(__xludf.DUMMYFUNCTION("""COMPUTED_VALUE"""),42.75)</f>
        <v>42.75</v>
      </c>
      <c r="V1982" s="1" t="str">
        <f>IFERROR(__xludf.DUMMYFUNCTION("""COMPUTED_VALUE"""),"Gucci Nava")</f>
        <v>Gucci Nava</v>
      </c>
      <c r="W1982" s="1" t="str">
        <f>IFERROR(__xludf.DUMMYFUNCTION("""COMPUTED_VALUE"""),"Affinity Support")</f>
        <v>Affinity Support</v>
      </c>
    </row>
    <row r="1983">
      <c r="O1983" s="1" t="str">
        <f>IFERROR(__xludf.DUMMYFUNCTION("""COMPUTED_VALUE"""),"2026 Jan")</f>
        <v>2026 Jan</v>
      </c>
      <c r="P1983" s="1" t="str">
        <f>IFERROR(__xludf.DUMMYFUNCTION("""COMPUTED_VALUE"""),"Core Product Support")</f>
        <v>Core Product Support</v>
      </c>
      <c r="Q1983" s="1" t="str">
        <f>IFERROR(__xludf.DUMMYFUNCTION("""COMPUTED_VALUE"""),"beverlymarie@canva.com")</f>
        <v>beverlymarie@canva.com</v>
      </c>
      <c r="R1983" s="1" t="str">
        <f>IFERROR(__xludf.DUMMYFUNCTION("""COMPUTED_VALUE"""),"Bev Dacanay")</f>
        <v>Bev Dacanay</v>
      </c>
      <c r="S1983" s="1">
        <f>IFERROR(__xludf.DUMMYFUNCTION("""COMPUTED_VALUE"""),2.08)</f>
        <v>2.08</v>
      </c>
      <c r="T1983" s="1">
        <f>IFERROR(__xludf.DUMMYFUNCTION("""COMPUTED_VALUE"""),7.0)</f>
        <v>7</v>
      </c>
      <c r="U1983" s="2">
        <f>IFERROR(__xludf.DUMMYFUNCTION("""COMPUTED_VALUE"""),9.08)</f>
        <v>9.08</v>
      </c>
      <c r="V1983" s="1" t="str">
        <f>IFERROR(__xludf.DUMMYFUNCTION("""COMPUTED_VALUE"""),"Ayza Marie Pascual")</f>
        <v>Ayza Marie Pascual</v>
      </c>
      <c r="W1983" s="1" t="str">
        <f>IFERROR(__xludf.DUMMYFUNCTION("""COMPUTED_VALUE"""),"Advanced Billing &amp; Subscriptions")</f>
        <v>Advanced Billing &amp; Subscriptions</v>
      </c>
    </row>
    <row r="1984">
      <c r="O1984" s="1" t="str">
        <f>IFERROR(__xludf.DUMMYFUNCTION("""COMPUTED_VALUE"""),"2026 Jan")</f>
        <v>2026 Jan</v>
      </c>
      <c r="P1984" s="1" t="str">
        <f>IFERROR(__xludf.DUMMYFUNCTION("""COMPUTED_VALUE"""),"Admin Support")</f>
        <v>Admin Support</v>
      </c>
      <c r="Q1984" s="1" t="str">
        <f>IFERROR(__xludf.DUMMYFUNCTION("""COMPUTED_VALUE"""),"bia@canva.com")</f>
        <v>bia@canva.com</v>
      </c>
      <c r="R1984" s="1" t="str">
        <f>IFERROR(__xludf.DUMMYFUNCTION("""COMPUTED_VALUE"""),"Bianca Santiago")</f>
        <v>Bianca Santiago</v>
      </c>
      <c r="S1984" s="1"/>
      <c r="T1984" s="1">
        <f>IFERROR(__xludf.DUMMYFUNCTION("""COMPUTED_VALUE"""),37.5)</f>
        <v>37.5</v>
      </c>
      <c r="U1984" s="2">
        <f>IFERROR(__xludf.DUMMYFUNCTION("""COMPUTED_VALUE"""),37.5)</f>
        <v>37.5</v>
      </c>
      <c r="V1984" s="1" t="str">
        <f>IFERROR(__xludf.DUMMYFUNCTION("""COMPUTED_VALUE"""),"Karla Mananghaya")</f>
        <v>Karla Mananghaya</v>
      </c>
      <c r="W1984" s="1" t="str">
        <f>IFERROR(__xludf.DUMMYFUNCTION("""COMPUTED_VALUE"""),"Admin Support Service Escalation Team")</f>
        <v>Admin Support Service Escalation Team</v>
      </c>
    </row>
    <row r="1985">
      <c r="O1985" s="1" t="str">
        <f>IFERROR(__xludf.DUMMYFUNCTION("""COMPUTED_VALUE"""),"2026 Jan")</f>
        <v>2026 Jan</v>
      </c>
      <c r="P1985" s="1" t="str">
        <f>IFERROR(__xludf.DUMMYFUNCTION("""COMPUTED_VALUE"""),"Core Product Support")</f>
        <v>Core Product Support</v>
      </c>
      <c r="Q1985" s="1" t="str">
        <f>IFERROR(__xludf.DUMMYFUNCTION("""COMPUTED_VALUE"""),"bryanb@canva.com")</f>
        <v>bryanb@canva.com</v>
      </c>
      <c r="R1985" s="1" t="str">
        <f>IFERROR(__xludf.DUMMYFUNCTION("""COMPUTED_VALUE"""),"Bryan Lemuel Britanico")</f>
        <v>Bryan Lemuel Britanico</v>
      </c>
      <c r="S1985" s="1">
        <f>IFERROR(__xludf.DUMMYFUNCTION("""COMPUTED_VALUE"""),1.0)</f>
        <v>1</v>
      </c>
      <c r="T1985" s="1">
        <f>IFERROR(__xludf.DUMMYFUNCTION("""COMPUTED_VALUE"""),10.75)</f>
        <v>10.75</v>
      </c>
      <c r="U1985" s="2">
        <f>IFERROR(__xludf.DUMMYFUNCTION("""COMPUTED_VALUE"""),11.75)</f>
        <v>11.75</v>
      </c>
      <c r="V1985" s="1" t="str">
        <f>IFERROR(__xludf.DUMMYFUNCTION("""COMPUTED_VALUE"""),"Jahmie Mae Barrameda")</f>
        <v>Jahmie Mae Barrameda</v>
      </c>
      <c r="W1985" s="1" t="str">
        <f>IFERROR(__xludf.DUMMYFUNCTION("""COMPUTED_VALUE"""),"Advanced Billing &amp; Subscriptions")</f>
        <v>Advanced Billing &amp; Subscriptions</v>
      </c>
    </row>
    <row r="1986">
      <c r="O1986" s="1" t="str">
        <f>IFERROR(__xludf.DUMMYFUNCTION("""COMPUTED_VALUE"""),"2026 Jan")</f>
        <v>2026 Jan</v>
      </c>
      <c r="P1986" s="1" t="str">
        <f>IFERROR(__xludf.DUMMYFUNCTION("""COMPUTED_VALUE"""),"Print Support")</f>
        <v>Print Support</v>
      </c>
      <c r="Q1986" s="1" t="str">
        <f>IFERROR(__xludf.DUMMYFUNCTION("""COMPUTED_VALUE"""),"caesar@canva.com")</f>
        <v>caesar@canva.com</v>
      </c>
      <c r="R1986" s="1" t="str">
        <f>IFERROR(__xludf.DUMMYFUNCTION("""COMPUTED_VALUE"""),"Caesar Bitudio")</f>
        <v>Caesar Bitudio</v>
      </c>
      <c r="S1986" s="1"/>
      <c r="T1986" s="1">
        <f>IFERROR(__xludf.DUMMYFUNCTION("""COMPUTED_VALUE"""),0.5)</f>
        <v>0.5</v>
      </c>
      <c r="U1986" s="2">
        <f>IFERROR(__xludf.DUMMYFUNCTION("""COMPUTED_VALUE"""),0.5)</f>
        <v>0.5</v>
      </c>
      <c r="V1986" s="1" t="str">
        <f>IFERROR(__xludf.DUMMYFUNCTION("""COMPUTED_VALUE"""),"G-Anne Murillo")</f>
        <v>G-Anne Murillo</v>
      </c>
      <c r="W1986" s="1" t="str">
        <f>IFERROR(__xludf.DUMMYFUNCTION("""COMPUTED_VALUE"""),"Print Design Support")</f>
        <v>Print Design Support</v>
      </c>
    </row>
    <row r="1987">
      <c r="O1987" s="1" t="str">
        <f>IFERROR(__xludf.DUMMYFUNCTION("""COMPUTED_VALUE"""),"2026 Jan")</f>
        <v>2026 Jan</v>
      </c>
      <c r="P1987" s="1" t="str">
        <f>IFERROR(__xludf.DUMMYFUNCTION("""COMPUTED_VALUE"""),"Core Product Support")</f>
        <v>Core Product Support</v>
      </c>
      <c r="Q1987" s="1" t="str">
        <f>IFERROR(__xludf.DUMMYFUNCTION("""COMPUTED_VALUE"""),"cae@canva.com")</f>
        <v>cae@canva.com</v>
      </c>
      <c r="R1987" s="1" t="str">
        <f>IFERROR(__xludf.DUMMYFUNCTION("""COMPUTED_VALUE"""),"Caevee Dizon")</f>
        <v>Caevee Dizon</v>
      </c>
      <c r="S1987" s="1">
        <f>IFERROR(__xludf.DUMMYFUNCTION("""COMPUTED_VALUE"""),1.5)</f>
        <v>1.5</v>
      </c>
      <c r="T1987" s="1">
        <f>IFERROR(__xludf.DUMMYFUNCTION("""COMPUTED_VALUE"""),11.78)</f>
        <v>11.78</v>
      </c>
      <c r="U1987" s="2">
        <f>IFERROR(__xludf.DUMMYFUNCTION("""COMPUTED_VALUE"""),13.28)</f>
        <v>13.28</v>
      </c>
      <c r="V1987" s="1" t="str">
        <f>IFERROR(__xludf.DUMMYFUNCTION("""COMPUTED_VALUE"""),"Jahmie Mae Barrameda")</f>
        <v>Jahmie Mae Barrameda</v>
      </c>
      <c r="W1987" s="1" t="str">
        <f>IFERROR(__xludf.DUMMYFUNCTION("""COMPUTED_VALUE"""),"Advanced Billing &amp; Subscriptions")</f>
        <v>Advanced Billing &amp; Subscriptions</v>
      </c>
    </row>
    <row r="1988">
      <c r="O1988" s="1" t="str">
        <f>IFERROR(__xludf.DUMMYFUNCTION("""COMPUTED_VALUE"""),"2026 Jan")</f>
        <v>2026 Jan</v>
      </c>
      <c r="P1988" s="1" t="str">
        <f>IFERROR(__xludf.DUMMYFUNCTION("""COMPUTED_VALUE"""),"#N/A")</f>
        <v>#N/A</v>
      </c>
      <c r="Q1988" s="1" t="str">
        <f>IFERROR(__xludf.DUMMYFUNCTION("""COMPUTED_VALUE"""),"cali@canva.com")</f>
        <v>cali@canva.com</v>
      </c>
      <c r="R1988" s="1" t="str">
        <f>IFERROR(__xludf.DUMMYFUNCTION("""COMPUTED_VALUE"""),"Cali Bermudo")</f>
        <v>Cali Bermudo</v>
      </c>
      <c r="S1988" s="1"/>
      <c r="T1988" s="1">
        <f>IFERROR(__xludf.DUMMYFUNCTION("""COMPUTED_VALUE"""),0.75)</f>
        <v>0.75</v>
      </c>
      <c r="U1988" s="2">
        <f>IFERROR(__xludf.DUMMYFUNCTION("""COMPUTED_VALUE"""),0.75)</f>
        <v>0.75</v>
      </c>
      <c r="V1988" s="1" t="str">
        <f>IFERROR(__xludf.DUMMYFUNCTION("""COMPUTED_VALUE"""),"#N/A")</f>
        <v>#N/A</v>
      </c>
      <c r="W1988" s="1" t="str">
        <f>IFERROR(__xludf.DUMMYFUNCTION("""COMPUTED_VALUE"""),"Print Design Support")</f>
        <v>Print Design Support</v>
      </c>
    </row>
    <row r="1989">
      <c r="O1989" s="1" t="str">
        <f>IFERROR(__xludf.DUMMYFUNCTION("""COMPUTED_VALUE"""),"2026 Jan")</f>
        <v>2026 Jan</v>
      </c>
      <c r="P1989" s="1" t="str">
        <f>IFERROR(__xludf.DUMMYFUNCTION("""COMPUTED_VALUE"""),"Admin Support")</f>
        <v>Admin Support</v>
      </c>
      <c r="Q1989" s="1" t="str">
        <f>IFERROR(__xludf.DUMMYFUNCTION("""COMPUTED_VALUE"""),"cbasilio@canva.com")</f>
        <v>cbasilio@canva.com</v>
      </c>
      <c r="R1989" s="1" t="str">
        <f>IFERROR(__xludf.DUMMYFUNCTION("""COMPUTED_VALUE"""),"Camille Basilio")</f>
        <v>Camille Basilio</v>
      </c>
      <c r="S1989" s="1"/>
      <c r="T1989" s="1">
        <f>IFERROR(__xludf.DUMMYFUNCTION("""COMPUTED_VALUE"""),2.0)</f>
        <v>2</v>
      </c>
      <c r="U1989" s="2">
        <f>IFERROR(__xludf.DUMMYFUNCTION("""COMPUTED_VALUE"""),2.0)</f>
        <v>2</v>
      </c>
      <c r="V1989" s="1" t="str">
        <f>IFERROR(__xludf.DUMMYFUNCTION("""COMPUTED_VALUE"""),"AL Suarez")</f>
        <v>AL Suarez</v>
      </c>
      <c r="W1989" s="1" t="str">
        <f>IFERROR(__xludf.DUMMYFUNCTION("""COMPUTED_VALUE"""),"Admin Direct Support")</f>
        <v>Admin Direct Support</v>
      </c>
    </row>
    <row r="1990">
      <c r="O1990" s="1" t="str">
        <f>IFERROR(__xludf.DUMMYFUNCTION("""COMPUTED_VALUE"""),"2026 Jan")</f>
        <v>2026 Jan</v>
      </c>
      <c r="P1990" s="1" t="str">
        <f>IFERROR(__xludf.DUMMYFUNCTION("""COMPUTED_VALUE"""),"Core Product Support")</f>
        <v>Core Product Support</v>
      </c>
      <c r="Q1990" s="1" t="str">
        <f>IFERROR(__xludf.DUMMYFUNCTION("""COMPUTED_VALUE"""),"camilleb@canva.com")</f>
        <v>camilleb@canva.com</v>
      </c>
      <c r="R1990" s="1" t="str">
        <f>IFERROR(__xludf.DUMMYFUNCTION("""COMPUTED_VALUE"""),"Camille Bucks")</f>
        <v>Camille Bucks</v>
      </c>
      <c r="S1990" s="1">
        <f>IFERROR(__xludf.DUMMYFUNCTION("""COMPUTED_VALUE"""),1.0)</f>
        <v>1</v>
      </c>
      <c r="T1990" s="1">
        <f>IFERROR(__xludf.DUMMYFUNCTION("""COMPUTED_VALUE"""),12.5)</f>
        <v>12.5</v>
      </c>
      <c r="U1990" s="2">
        <f>IFERROR(__xludf.DUMMYFUNCTION("""COMPUTED_VALUE"""),13.5)</f>
        <v>13.5</v>
      </c>
      <c r="V1990" s="1" t="str">
        <f>IFERROR(__xludf.DUMMYFUNCTION("""COMPUTED_VALUE"""),"Ellaine Estayo")</f>
        <v>Ellaine Estayo</v>
      </c>
      <c r="W1990" s="1" t="str">
        <f>IFERROR(__xludf.DUMMYFUNCTION("""COMPUTED_VALUE"""),"Core Product Support Escalation Team")</f>
        <v>Core Product Support Escalation Team</v>
      </c>
    </row>
    <row r="1991">
      <c r="O1991" s="1" t="str">
        <f>IFERROR(__xludf.DUMMYFUNCTION("""COMPUTED_VALUE"""),"2026 Jan")</f>
        <v>2026 Jan</v>
      </c>
      <c r="P1991" s="1" t="str">
        <f>IFERROR(__xludf.DUMMYFUNCTION("""COMPUTED_VALUE"""),"Admin Support")</f>
        <v>Admin Support</v>
      </c>
      <c r="Q1991" s="1" t="str">
        <f>IFERROR(__xludf.DUMMYFUNCTION("""COMPUTED_VALUE"""),"camille.n@canva.com")</f>
        <v>camille.n@canva.com</v>
      </c>
      <c r="R1991" s="1" t="str">
        <f>IFERROR(__xludf.DUMMYFUNCTION("""COMPUTED_VALUE"""),"Camille Neypes")</f>
        <v>Camille Neypes</v>
      </c>
      <c r="S1991" s="1"/>
      <c r="T1991" s="1">
        <f>IFERROR(__xludf.DUMMYFUNCTION("""COMPUTED_VALUE"""),11.5)</f>
        <v>11.5</v>
      </c>
      <c r="U1991" s="2">
        <f>IFERROR(__xludf.DUMMYFUNCTION("""COMPUTED_VALUE"""),11.5)</f>
        <v>11.5</v>
      </c>
      <c r="V1991" s="1" t="str">
        <f>IFERROR(__xludf.DUMMYFUNCTION("""COMPUTED_VALUE"""),"Kelden Laguting")</f>
        <v>Kelden Laguting</v>
      </c>
      <c r="W1991" s="1" t="str">
        <f>IFERROR(__xludf.DUMMYFUNCTION("""COMPUTED_VALUE"""),"Admin Omni Support")</f>
        <v>Admin Omni Support</v>
      </c>
    </row>
    <row r="1992">
      <c r="O1992" s="1" t="str">
        <f>IFERROR(__xludf.DUMMYFUNCTION("""COMPUTED_VALUE"""),"2026 Jan")</f>
        <v>2026 Jan</v>
      </c>
      <c r="P1992" s="1" t="str">
        <f>IFERROR(__xludf.DUMMYFUNCTION("""COMPUTED_VALUE"""),"Print Support")</f>
        <v>Print Support</v>
      </c>
      <c r="Q1992" s="1" t="str">
        <f>IFERROR(__xludf.DUMMYFUNCTION("""COMPUTED_VALUE"""),"cammy@canva.com")</f>
        <v>cammy@canva.com</v>
      </c>
      <c r="R1992" s="1" t="str">
        <f>IFERROR(__xludf.DUMMYFUNCTION("""COMPUTED_VALUE"""),"Camille Oriel")</f>
        <v>Camille Oriel</v>
      </c>
      <c r="S1992" s="1"/>
      <c r="T1992" s="1">
        <f>IFERROR(__xludf.DUMMYFUNCTION("""COMPUTED_VALUE"""),2.0)</f>
        <v>2</v>
      </c>
      <c r="U1992" s="2">
        <f>IFERROR(__xludf.DUMMYFUNCTION("""COMPUTED_VALUE"""),2.0)</f>
        <v>2</v>
      </c>
      <c r="V1992" s="1" t="str">
        <f>IFERROR(__xludf.DUMMYFUNCTION("""COMPUTED_VALUE"""),"Louise Dianne Estrella")</f>
        <v>Louise Dianne Estrella</v>
      </c>
      <c r="W1992" s="1" t="str">
        <f>IFERROR(__xludf.DUMMYFUNCTION("""COMPUTED_VALUE"""),"Print Support PH")</f>
        <v>Print Support PH</v>
      </c>
    </row>
    <row r="1993">
      <c r="O1993" s="1" t="str">
        <f>IFERROR(__xludf.DUMMYFUNCTION("""COMPUTED_VALUE"""),"2026 Jan")</f>
        <v>2026 Jan</v>
      </c>
      <c r="P1993" s="1" t="str">
        <f>IFERROR(__xludf.DUMMYFUNCTION("""COMPUTED_VALUE"""),"Admin Support")</f>
        <v>Admin Support</v>
      </c>
      <c r="Q1993" s="1" t="str">
        <f>IFERROR(__xludf.DUMMYFUNCTION("""COMPUTED_VALUE"""),"carloav@canva.com")</f>
        <v>carloav@canva.com</v>
      </c>
      <c r="R1993" s="1" t="str">
        <f>IFERROR(__xludf.DUMMYFUNCTION("""COMPUTED_VALUE"""),"Carlo Valentin")</f>
        <v>Carlo Valentin</v>
      </c>
      <c r="S1993" s="1"/>
      <c r="T1993" s="1">
        <f>IFERROR(__xludf.DUMMYFUNCTION("""COMPUTED_VALUE"""),10.0)</f>
        <v>10</v>
      </c>
      <c r="U1993" s="2">
        <f>IFERROR(__xludf.DUMMYFUNCTION("""COMPUTED_VALUE"""),10.0)</f>
        <v>10</v>
      </c>
      <c r="V1993" s="1" t="str">
        <f>IFERROR(__xludf.DUMMYFUNCTION("""COMPUTED_VALUE"""),"Kelden Laguting")</f>
        <v>Kelden Laguting</v>
      </c>
      <c r="W1993" s="1" t="str">
        <f>IFERROR(__xludf.DUMMYFUNCTION("""COMPUTED_VALUE"""),"Admin Omni Support")</f>
        <v>Admin Omni Support</v>
      </c>
    </row>
    <row r="1994">
      <c r="O1994" s="1" t="str">
        <f>IFERROR(__xludf.DUMMYFUNCTION("""COMPUTED_VALUE"""),"2026 Jan")</f>
        <v>2026 Jan</v>
      </c>
      <c r="P1994" s="1" t="str">
        <f>IFERROR(__xludf.DUMMYFUNCTION("""COMPUTED_VALUE"""),"Core Product Support")</f>
        <v>Core Product Support</v>
      </c>
      <c r="Q1994" s="1" t="str">
        <f>IFERROR(__xludf.DUMMYFUNCTION("""COMPUTED_VALUE"""),"carmeladc@canva.com")</f>
        <v>carmeladc@canva.com</v>
      </c>
      <c r="R1994" s="1" t="str">
        <f>IFERROR(__xludf.DUMMYFUNCTION("""COMPUTED_VALUE"""),"Carmela Dela Cruz")</f>
        <v>Carmela Dela Cruz</v>
      </c>
      <c r="S1994" s="1">
        <f>IFERROR(__xludf.DUMMYFUNCTION("""COMPUTED_VALUE"""),0.5)</f>
        <v>0.5</v>
      </c>
      <c r="T1994" s="1">
        <f>IFERROR(__xludf.DUMMYFUNCTION("""COMPUTED_VALUE"""),3.0)</f>
        <v>3</v>
      </c>
      <c r="U1994" s="2">
        <f>IFERROR(__xludf.DUMMYFUNCTION("""COMPUTED_VALUE"""),3.5)</f>
        <v>3.5</v>
      </c>
      <c r="V1994" s="1" t="str">
        <f>IFERROR(__xludf.DUMMYFUNCTION("""COMPUTED_VALUE"""),"Marie Mordeno")</f>
        <v>Marie Mordeno</v>
      </c>
      <c r="W1994" s="1" t="str">
        <f>IFERROR(__xludf.DUMMYFUNCTION("""COMPUTED_VALUE"""),"Advanced Billing &amp; Subscriptions")</f>
        <v>Advanced Billing &amp; Subscriptions</v>
      </c>
    </row>
    <row r="1995">
      <c r="O1995" s="1" t="str">
        <f>IFERROR(__xludf.DUMMYFUNCTION("""COMPUTED_VALUE"""),"2026 Jan")</f>
        <v>2026 Jan</v>
      </c>
      <c r="P1995" s="1" t="str">
        <f>IFERROR(__xludf.DUMMYFUNCTION("""COMPUTED_VALUE"""),"Print Support")</f>
        <v>Print Support</v>
      </c>
      <c r="Q1995" s="1" t="str">
        <f>IFERROR(__xludf.DUMMYFUNCTION("""COMPUTED_VALUE"""),"carms@canva.com")</f>
        <v>carms@canva.com</v>
      </c>
      <c r="R1995" s="1" t="str">
        <f>IFERROR(__xludf.DUMMYFUNCTION("""COMPUTED_VALUE"""),"Carms Merilles")</f>
        <v>Carms Merilles</v>
      </c>
      <c r="S1995" s="1"/>
      <c r="T1995" s="1">
        <f>IFERROR(__xludf.DUMMYFUNCTION("""COMPUTED_VALUE"""),1.5)</f>
        <v>1.5</v>
      </c>
      <c r="U1995" s="2">
        <f>IFERROR(__xludf.DUMMYFUNCTION("""COMPUTED_VALUE"""),1.5)</f>
        <v>1.5</v>
      </c>
      <c r="V1995" s="1" t="str">
        <f>IFERROR(__xludf.DUMMYFUNCTION("""COMPUTED_VALUE"""),"Gem Agoncillo")</f>
        <v>Gem Agoncillo</v>
      </c>
      <c r="W1995" s="1" t="str">
        <f>IFERROR(__xludf.DUMMYFUNCTION("""COMPUTED_VALUE"""),"Print Design Support")</f>
        <v>Print Design Support</v>
      </c>
    </row>
    <row r="1996">
      <c r="O1996" s="1" t="str">
        <f>IFERROR(__xludf.DUMMYFUNCTION("""COMPUTED_VALUE"""),"2026 Jan")</f>
        <v>2026 Jan</v>
      </c>
      <c r="P1996" s="1" t="str">
        <f>IFERROR(__xludf.DUMMYFUNCTION("""COMPUTED_VALUE"""),"High Sensitivity Support")</f>
        <v>High Sensitivity Support</v>
      </c>
      <c r="Q1996" s="1" t="str">
        <f>IFERROR(__xludf.DUMMYFUNCTION("""COMPUTED_VALUE"""),"cassie@canva.com")</f>
        <v>cassie@canva.com</v>
      </c>
      <c r="R1996" s="1" t="str">
        <f>IFERROR(__xludf.DUMMYFUNCTION("""COMPUTED_VALUE"""),"Cassie Eugenio")</f>
        <v>Cassie Eugenio</v>
      </c>
      <c r="S1996" s="1"/>
      <c r="T1996" s="1">
        <f>IFERROR(__xludf.DUMMYFUNCTION("""COMPUTED_VALUE"""),1.0)</f>
        <v>1</v>
      </c>
      <c r="U1996" s="2">
        <f>IFERROR(__xludf.DUMMYFUNCTION("""COMPUTED_VALUE"""),1.0)</f>
        <v>1</v>
      </c>
      <c r="V1996" s="1" t="str">
        <f>IFERROR(__xludf.DUMMYFUNCTION("""COMPUTED_VALUE"""),"Issi Afable")</f>
        <v>Issi Afable</v>
      </c>
      <c r="W1996" s="1" t="str">
        <f>IFERROR(__xludf.DUMMYFUNCTION("""COMPUTED_VALUE"""),"High Sensitivity Support PH")</f>
        <v>High Sensitivity Support PH</v>
      </c>
    </row>
    <row r="1997">
      <c r="O1997" s="1" t="str">
        <f>IFERROR(__xludf.DUMMYFUNCTION("""COMPUTED_VALUE"""),"2026 Jan")</f>
        <v>2026 Jan</v>
      </c>
      <c r="P1997" s="1" t="str">
        <f>IFERROR(__xludf.DUMMYFUNCTION("""COMPUTED_VALUE"""),"Print Support")</f>
        <v>Print Support</v>
      </c>
      <c r="Q1997" s="1" t="str">
        <f>IFERROR(__xludf.DUMMYFUNCTION("""COMPUTED_VALUE"""),"catherinenicole@canva.com")</f>
        <v>catherinenicole@canva.com</v>
      </c>
      <c r="R1997" s="1" t="str">
        <f>IFERROR(__xludf.DUMMYFUNCTION("""COMPUTED_VALUE"""),"Catherine Ledesma")</f>
        <v>Catherine Ledesma</v>
      </c>
      <c r="S1997" s="1"/>
      <c r="T1997" s="1">
        <f>IFERROR(__xludf.DUMMYFUNCTION("""COMPUTED_VALUE"""),3.82)</f>
        <v>3.82</v>
      </c>
      <c r="U1997" s="2">
        <f>IFERROR(__xludf.DUMMYFUNCTION("""COMPUTED_VALUE"""),3.82)</f>
        <v>3.82</v>
      </c>
      <c r="V1997" s="1" t="str">
        <f>IFERROR(__xludf.DUMMYFUNCTION("""COMPUTED_VALUE"""),"Jen Momo")</f>
        <v>Jen Momo</v>
      </c>
      <c r="W1997" s="1" t="str">
        <f>IFERROR(__xludf.DUMMYFUNCTION("""COMPUTED_VALUE"""),"Print Support PH")</f>
        <v>Print Support PH</v>
      </c>
    </row>
    <row r="1998">
      <c r="O1998" s="1" t="str">
        <f>IFERROR(__xludf.DUMMYFUNCTION("""COMPUTED_VALUE"""),"2026 Jan")</f>
        <v>2026 Jan</v>
      </c>
      <c r="P1998" s="1" t="str">
        <f>IFERROR(__xludf.DUMMYFUNCTION("""COMPUTED_VALUE"""),"Core Product Support")</f>
        <v>Core Product Support</v>
      </c>
      <c r="Q1998" s="1" t="str">
        <f>IFERROR(__xludf.DUMMYFUNCTION("""COMPUTED_VALUE"""),"laranang@canva.com")</f>
        <v>laranang@canva.com</v>
      </c>
      <c r="R1998" s="1" t="str">
        <f>IFERROR(__xludf.DUMMYFUNCTION("""COMPUTED_VALUE"""),"Cha Laranang")</f>
        <v>Cha Laranang</v>
      </c>
      <c r="S1998" s="1">
        <f>IFERROR(__xludf.DUMMYFUNCTION("""COMPUTED_VALUE"""),1.5)</f>
        <v>1.5</v>
      </c>
      <c r="T1998" s="1">
        <f>IFERROR(__xludf.DUMMYFUNCTION("""COMPUTED_VALUE"""),3.25)</f>
        <v>3.25</v>
      </c>
      <c r="U1998" s="2">
        <f>IFERROR(__xludf.DUMMYFUNCTION("""COMPUTED_VALUE"""),4.75)</f>
        <v>4.75</v>
      </c>
      <c r="V1998" s="1" t="str">
        <f>IFERROR(__xludf.DUMMYFUNCTION("""COMPUTED_VALUE"""),"Cate Velasco")</f>
        <v>Cate Velasco</v>
      </c>
      <c r="W1998" s="1" t="str">
        <f>IFERROR(__xludf.DUMMYFUNCTION("""COMPUTED_VALUE"""),"Advanced Product Support")</f>
        <v>Advanced Product Support</v>
      </c>
    </row>
    <row r="1999">
      <c r="O1999" s="1" t="str">
        <f>IFERROR(__xludf.DUMMYFUNCTION("""COMPUTED_VALUE"""),"2026 Jan")</f>
        <v>2026 Jan</v>
      </c>
      <c r="P1999" s="1" t="str">
        <f>IFERROR(__xludf.DUMMYFUNCTION("""COMPUTED_VALUE"""),"Core Product Support")</f>
        <v>Core Product Support</v>
      </c>
      <c r="Q1999" s="1" t="str">
        <f>IFERROR(__xludf.DUMMYFUNCTION("""COMPUTED_VALUE"""),"chace@canva.com")</f>
        <v>chace@canva.com</v>
      </c>
      <c r="R1999" s="1" t="str">
        <f>IFERROR(__xludf.DUMMYFUNCTION("""COMPUTED_VALUE"""),"Chace Ablaza")</f>
        <v>Chace Ablaza</v>
      </c>
      <c r="S1999" s="1">
        <f>IFERROR(__xludf.DUMMYFUNCTION("""COMPUTED_VALUE"""),1.0)</f>
        <v>1</v>
      </c>
      <c r="T1999" s="1">
        <f>IFERROR(__xludf.DUMMYFUNCTION("""COMPUTED_VALUE"""),6.0)</f>
        <v>6</v>
      </c>
      <c r="U1999" s="2">
        <f>IFERROR(__xludf.DUMMYFUNCTION("""COMPUTED_VALUE"""),7.0)</f>
        <v>7</v>
      </c>
      <c r="V1999" s="1" t="str">
        <f>IFERROR(__xludf.DUMMYFUNCTION("""COMPUTED_VALUE"""),"Ellaine Estayo")</f>
        <v>Ellaine Estayo</v>
      </c>
      <c r="W1999" s="1" t="str">
        <f>IFERROR(__xludf.DUMMYFUNCTION("""COMPUTED_VALUE"""),"Core Product Support Escalation Team")</f>
        <v>Core Product Support Escalation Team</v>
      </c>
    </row>
    <row r="2000">
      <c r="O2000" s="1" t="str">
        <f>IFERROR(__xludf.DUMMYFUNCTION("""COMPUTED_VALUE"""),"2026 Jan")</f>
        <v>2026 Jan</v>
      </c>
      <c r="P2000" s="1" t="str">
        <f>IFERROR(__xludf.DUMMYFUNCTION("""COMPUTED_VALUE"""),"Core Product Support")</f>
        <v>Core Product Support</v>
      </c>
      <c r="Q2000" s="1" t="str">
        <f>IFERROR(__xludf.DUMMYFUNCTION("""COMPUTED_VALUE"""),"charissa@canva.com")</f>
        <v>charissa@canva.com</v>
      </c>
      <c r="R2000" s="1" t="str">
        <f>IFERROR(__xludf.DUMMYFUNCTION("""COMPUTED_VALUE"""),"Charissa Goyena")</f>
        <v>Charissa Goyena</v>
      </c>
      <c r="S2000" s="1">
        <f>IFERROR(__xludf.DUMMYFUNCTION("""COMPUTED_VALUE"""),2.0)</f>
        <v>2</v>
      </c>
      <c r="T2000" s="1">
        <f>IFERROR(__xludf.DUMMYFUNCTION("""COMPUTED_VALUE"""),3.5)</f>
        <v>3.5</v>
      </c>
      <c r="U2000" s="2">
        <f>IFERROR(__xludf.DUMMYFUNCTION("""COMPUTED_VALUE"""),5.5)</f>
        <v>5.5</v>
      </c>
      <c r="V2000" s="1" t="str">
        <f>IFERROR(__xludf.DUMMYFUNCTION("""COMPUTED_VALUE"""),"Vinz Lazaro")</f>
        <v>Vinz Lazaro</v>
      </c>
      <c r="W2000" s="1" t="str">
        <f>IFERROR(__xludf.DUMMYFUNCTION("""COMPUTED_VALUE"""),"Advanced Product Support")</f>
        <v>Advanced Product Support</v>
      </c>
    </row>
    <row r="2001">
      <c r="O2001" s="1" t="str">
        <f>IFERROR(__xludf.DUMMYFUNCTION("""COMPUTED_VALUE"""),"2026 Jan")</f>
        <v>2026 Jan</v>
      </c>
      <c r="P2001" s="1" t="str">
        <f>IFERROR(__xludf.DUMMYFUNCTION("""COMPUTED_VALUE"""),"Segment-specific Support")</f>
        <v>Segment-specific Support</v>
      </c>
      <c r="Q2001" s="1" t="str">
        <f>IFERROR(__xludf.DUMMYFUNCTION("""COMPUTED_VALUE"""),"charizavargas@canva.com")</f>
        <v>charizavargas@canva.com</v>
      </c>
      <c r="R2001" s="1" t="str">
        <f>IFERROR(__xludf.DUMMYFUNCTION("""COMPUTED_VALUE"""),"Chariza Vargas")</f>
        <v>Chariza Vargas</v>
      </c>
      <c r="S2001" s="1"/>
      <c r="T2001" s="1"/>
      <c r="U2001" s="2">
        <f>IFERROR(__xludf.DUMMYFUNCTION("""COMPUTED_VALUE"""),0.0)</f>
        <v>0</v>
      </c>
      <c r="V2001" s="1" t="str">
        <f>IFERROR(__xludf.DUMMYFUNCTION("""COMPUTED_VALUE"""),"Aileen Dayanghirang")</f>
        <v>Aileen Dayanghirang</v>
      </c>
      <c r="W2001" s="1" t="str">
        <f>IFERROR(__xludf.DUMMYFUNCTION("""COMPUTED_VALUE"""),"Creators Support")</f>
        <v>Creators Support</v>
      </c>
    </row>
    <row r="2002">
      <c r="O2002" s="1" t="str">
        <f>IFERROR(__xludf.DUMMYFUNCTION("""COMPUTED_VALUE"""),"2026 Jan")</f>
        <v>2026 Jan</v>
      </c>
      <c r="P2002" s="1" t="str">
        <f>IFERROR(__xludf.DUMMYFUNCTION("""COMPUTED_VALUE"""),"Admin Support")</f>
        <v>Admin Support</v>
      </c>
      <c r="Q2002" s="1" t="str">
        <f>IFERROR(__xludf.DUMMYFUNCTION("""COMPUTED_VALUE"""),"charlest@canva.com")</f>
        <v>charlest@canva.com</v>
      </c>
      <c r="R2002" s="1" t="str">
        <f>IFERROR(__xludf.DUMMYFUNCTION("""COMPUTED_VALUE"""),"Charles Andrew Tan")</f>
        <v>Charles Andrew Tan</v>
      </c>
      <c r="S2002" s="1"/>
      <c r="T2002" s="1">
        <f>IFERROR(__xludf.DUMMYFUNCTION("""COMPUTED_VALUE"""),2.0)</f>
        <v>2</v>
      </c>
      <c r="U2002" s="2">
        <f>IFERROR(__xludf.DUMMYFUNCTION("""COMPUTED_VALUE"""),2.0)</f>
        <v>2</v>
      </c>
      <c r="V2002" s="1" t="str">
        <f>IFERROR(__xludf.DUMMYFUNCTION("""COMPUTED_VALUE"""),"Kelden Laguting")</f>
        <v>Kelden Laguting</v>
      </c>
      <c r="W2002" s="1" t="str">
        <f>IFERROR(__xludf.DUMMYFUNCTION("""COMPUTED_VALUE"""),"Admin Omni Support")</f>
        <v>Admin Omni Support</v>
      </c>
    </row>
    <row r="2003">
      <c r="O2003" s="1" t="str">
        <f>IFERROR(__xludf.DUMMYFUNCTION("""COMPUTED_VALUE"""),"2026 Jan")</f>
        <v>2026 Jan</v>
      </c>
      <c r="P2003" s="1" t="str">
        <f>IFERROR(__xludf.DUMMYFUNCTION("""COMPUTED_VALUE"""),"Core Product Support")</f>
        <v>Core Product Support</v>
      </c>
      <c r="Q2003" s="1" t="str">
        <f>IFERROR(__xludf.DUMMYFUNCTION("""COMPUTED_VALUE"""),"charmb@canva.com")</f>
        <v>charmb@canva.com</v>
      </c>
      <c r="R2003" s="1" t="str">
        <f>IFERROR(__xludf.DUMMYFUNCTION("""COMPUTED_VALUE"""),"Charm Bansil")</f>
        <v>Charm Bansil</v>
      </c>
      <c r="S2003" s="1"/>
      <c r="T2003" s="1">
        <f>IFERROR(__xludf.DUMMYFUNCTION("""COMPUTED_VALUE"""),3.75)</f>
        <v>3.75</v>
      </c>
      <c r="U2003" s="2">
        <f>IFERROR(__xludf.DUMMYFUNCTION("""COMPUTED_VALUE"""),3.75)</f>
        <v>3.75</v>
      </c>
      <c r="V2003" s="1" t="str">
        <f>IFERROR(__xludf.DUMMYFUNCTION("""COMPUTED_VALUE"""),"Ana Lazaro")</f>
        <v>Ana Lazaro</v>
      </c>
      <c r="W2003" s="1" t="str">
        <f>IFERROR(__xludf.DUMMYFUNCTION("""COMPUTED_VALUE"""),"Advanced Billing &amp; Subscriptions")</f>
        <v>Advanced Billing &amp; Subscriptions</v>
      </c>
    </row>
    <row r="2004">
      <c r="O2004" s="1" t="str">
        <f>IFERROR(__xludf.DUMMYFUNCTION("""COMPUTED_VALUE"""),"2026 Jan")</f>
        <v>2026 Jan</v>
      </c>
      <c r="P2004" s="1" t="str">
        <f>IFERROR(__xludf.DUMMYFUNCTION("""COMPUTED_VALUE"""),"Print Support")</f>
        <v>Print Support</v>
      </c>
      <c r="Q2004" s="1" t="str">
        <f>IFERROR(__xludf.DUMMYFUNCTION("""COMPUTED_VALUE"""),"catherine@canva.com")</f>
        <v>catherine@canva.com</v>
      </c>
      <c r="R2004" s="1" t="str">
        <f>IFERROR(__xludf.DUMMYFUNCTION("""COMPUTED_VALUE"""),"Cheche Ramirez")</f>
        <v>Cheche Ramirez</v>
      </c>
      <c r="S2004" s="1"/>
      <c r="T2004" s="1">
        <f>IFERROR(__xludf.DUMMYFUNCTION("""COMPUTED_VALUE"""),2.57)</f>
        <v>2.57</v>
      </c>
      <c r="U2004" s="2">
        <f>IFERROR(__xludf.DUMMYFUNCTION("""COMPUTED_VALUE"""),2.57)</f>
        <v>2.57</v>
      </c>
      <c r="V2004" s="1" t="str">
        <f>IFERROR(__xludf.DUMMYFUNCTION("""COMPUTED_VALUE"""),"Jen Momo")</f>
        <v>Jen Momo</v>
      </c>
      <c r="W2004" s="1" t="str">
        <f>IFERROR(__xludf.DUMMYFUNCTION("""COMPUTED_VALUE"""),"Print Support PH")</f>
        <v>Print Support PH</v>
      </c>
    </row>
    <row r="2005">
      <c r="O2005" s="1" t="str">
        <f>IFERROR(__xludf.DUMMYFUNCTION("""COMPUTED_VALUE"""),"2026 Jan")</f>
        <v>2026 Jan</v>
      </c>
      <c r="P2005" s="1" t="str">
        <f>IFERROR(__xludf.DUMMYFUNCTION("""COMPUTED_VALUE"""),"Core Product Support")</f>
        <v>Core Product Support</v>
      </c>
      <c r="Q2005" s="1" t="str">
        <f>IFERROR(__xludf.DUMMYFUNCTION("""COMPUTED_VALUE"""),"chesca@canva.com")</f>
        <v>chesca@canva.com</v>
      </c>
      <c r="R2005" s="1" t="str">
        <f>IFERROR(__xludf.DUMMYFUNCTION("""COMPUTED_VALUE"""),"Chesca Martos")</f>
        <v>Chesca Martos</v>
      </c>
      <c r="S2005" s="1">
        <f>IFERROR(__xludf.DUMMYFUNCTION("""COMPUTED_VALUE"""),2.0)</f>
        <v>2</v>
      </c>
      <c r="T2005" s="1">
        <f>IFERROR(__xludf.DUMMYFUNCTION("""COMPUTED_VALUE"""),8.0)</f>
        <v>8</v>
      </c>
      <c r="U2005" s="2">
        <f>IFERROR(__xludf.DUMMYFUNCTION("""COMPUTED_VALUE"""),10.0)</f>
        <v>10</v>
      </c>
      <c r="V2005" s="1" t="str">
        <f>IFERROR(__xludf.DUMMYFUNCTION("""COMPUTED_VALUE"""),"Ayza Marie Pascual")</f>
        <v>Ayza Marie Pascual</v>
      </c>
      <c r="W2005" s="1" t="str">
        <f>IFERROR(__xludf.DUMMYFUNCTION("""COMPUTED_VALUE"""),"Advanced Billing &amp; Subscriptions")</f>
        <v>Advanced Billing &amp; Subscriptions</v>
      </c>
    </row>
    <row r="2006">
      <c r="O2006" s="1" t="str">
        <f>IFERROR(__xludf.DUMMYFUNCTION("""COMPUTED_VALUE"""),"2026 Jan")</f>
        <v>2026 Jan</v>
      </c>
      <c r="P2006" s="1" t="str">
        <f>IFERROR(__xludf.DUMMYFUNCTION("""COMPUTED_VALUE"""),"Core Product Support")</f>
        <v>Core Product Support</v>
      </c>
      <c r="Q2006" s="1" t="str">
        <f>IFERROR(__xludf.DUMMYFUNCTION("""COMPUTED_VALUE"""),"chlgts@canva.com")</f>
        <v>chlgts@canva.com</v>
      </c>
      <c r="R2006" s="1" t="str">
        <f>IFERROR(__xludf.DUMMYFUNCTION("""COMPUTED_VALUE"""),"Cholo Ligtas")</f>
        <v>Cholo Ligtas</v>
      </c>
      <c r="S2006" s="1">
        <f>IFERROR(__xludf.DUMMYFUNCTION("""COMPUTED_VALUE"""),1.5)</f>
        <v>1.5</v>
      </c>
      <c r="T2006" s="1">
        <f>IFERROR(__xludf.DUMMYFUNCTION("""COMPUTED_VALUE"""),8.75)</f>
        <v>8.75</v>
      </c>
      <c r="U2006" s="2">
        <f>IFERROR(__xludf.DUMMYFUNCTION("""COMPUTED_VALUE"""),10.25)</f>
        <v>10.25</v>
      </c>
      <c r="V2006" s="1" t="str">
        <f>IFERROR(__xludf.DUMMYFUNCTION("""COMPUTED_VALUE"""),"Jahmie Mae Barrameda")</f>
        <v>Jahmie Mae Barrameda</v>
      </c>
      <c r="W2006" s="1" t="str">
        <f>IFERROR(__xludf.DUMMYFUNCTION("""COMPUTED_VALUE"""),"Advanced Billing &amp; Subscriptions")</f>
        <v>Advanced Billing &amp; Subscriptions</v>
      </c>
    </row>
    <row r="2007">
      <c r="O2007" s="1" t="str">
        <f>IFERROR(__xludf.DUMMYFUNCTION("""COMPUTED_VALUE"""),"2026 Jan")</f>
        <v>2026 Jan</v>
      </c>
      <c r="P2007" s="1" t="str">
        <f>IFERROR(__xludf.DUMMYFUNCTION("""COMPUTED_VALUE"""),"Core Product Support")</f>
        <v>Core Product Support</v>
      </c>
      <c r="Q2007" s="1" t="str">
        <f>IFERROR(__xludf.DUMMYFUNCTION("""COMPUTED_VALUE"""),"tintinmaxilom@canva.com")</f>
        <v>tintinmaxilom@canva.com</v>
      </c>
      <c r="R2007" s="1" t="str">
        <f>IFERROR(__xludf.DUMMYFUNCTION("""COMPUTED_VALUE"""),"Christine Araga")</f>
        <v>Christine Araga</v>
      </c>
      <c r="S2007" s="1">
        <f>IFERROR(__xludf.DUMMYFUNCTION("""COMPUTED_VALUE"""),1.0)</f>
        <v>1</v>
      </c>
      <c r="T2007" s="1">
        <f>IFERROR(__xludf.DUMMYFUNCTION("""COMPUTED_VALUE"""),12.42)</f>
        <v>12.42</v>
      </c>
      <c r="U2007" s="2">
        <f>IFERROR(__xludf.DUMMYFUNCTION("""COMPUTED_VALUE"""),13.42)</f>
        <v>13.42</v>
      </c>
      <c r="V2007" s="1" t="str">
        <f>IFERROR(__xludf.DUMMYFUNCTION("""COMPUTED_VALUE"""),"Jelyn Elmido")</f>
        <v>Jelyn Elmido</v>
      </c>
      <c r="W2007" s="1" t="str">
        <f>IFERROR(__xludf.DUMMYFUNCTION("""COMPUTED_VALUE"""),"Core Product Support Escalation Team")</f>
        <v>Core Product Support Escalation Team</v>
      </c>
    </row>
    <row r="2008">
      <c r="O2008" s="1" t="str">
        <f>IFERROR(__xludf.DUMMYFUNCTION("""COMPUTED_VALUE"""),"2026 Jan")</f>
        <v>2026 Jan</v>
      </c>
      <c r="P2008" s="1" t="str">
        <f>IFERROR(__xludf.DUMMYFUNCTION("""COMPUTED_VALUE"""),"Print Support")</f>
        <v>Print Support</v>
      </c>
      <c r="Q2008" s="1" t="str">
        <f>IFERROR(__xludf.DUMMYFUNCTION("""COMPUTED_VALUE"""),"cjlining@canva.com")</f>
        <v>cjlining@canva.com</v>
      </c>
      <c r="R2008" s="1" t="str">
        <f>IFERROR(__xludf.DUMMYFUNCTION("""COMPUTED_VALUE"""),"CJ Lining")</f>
        <v>CJ Lining</v>
      </c>
      <c r="S2008" s="1"/>
      <c r="T2008" s="1">
        <f>IFERROR(__xludf.DUMMYFUNCTION("""COMPUTED_VALUE"""),1.75)</f>
        <v>1.75</v>
      </c>
      <c r="U2008" s="2">
        <f>IFERROR(__xludf.DUMMYFUNCTION("""COMPUTED_VALUE"""),1.75)</f>
        <v>1.75</v>
      </c>
      <c r="V2008" s="1" t="str">
        <f>IFERROR(__xludf.DUMMYFUNCTION("""COMPUTED_VALUE"""),"Althea Mercado")</f>
        <v>Althea Mercado</v>
      </c>
      <c r="W2008" s="1" t="str">
        <f>IFERROR(__xludf.DUMMYFUNCTION("""COMPUTED_VALUE"""),"Print Support PH")</f>
        <v>Print Support PH</v>
      </c>
    </row>
    <row r="2009">
      <c r="O2009" s="1" t="str">
        <f>IFERROR(__xludf.DUMMYFUNCTION("""COMPUTED_VALUE"""),"2026 Jan")</f>
        <v>2026 Jan</v>
      </c>
      <c r="P2009" s="1" t="str">
        <f>IFERROR(__xludf.DUMMYFUNCTION("""COMPUTED_VALUE"""),"Admin Support")</f>
        <v>Admin Support</v>
      </c>
      <c r="Q2009" s="1" t="str">
        <f>IFERROR(__xludf.DUMMYFUNCTION("""COMPUTED_VALUE"""),"ckmg@canva.com")</f>
        <v>ckmg@canva.com</v>
      </c>
      <c r="R2009" s="1" t="str">
        <f>IFERROR(__xludf.DUMMYFUNCTION("""COMPUTED_VALUE"""),"CK Geronimo")</f>
        <v>CK Geronimo</v>
      </c>
      <c r="S2009" s="1"/>
      <c r="T2009" s="1">
        <f>IFERROR(__xludf.DUMMYFUNCTION("""COMPUTED_VALUE"""),12.0)</f>
        <v>12</v>
      </c>
      <c r="U2009" s="2">
        <f>IFERROR(__xludf.DUMMYFUNCTION("""COMPUTED_VALUE"""),12.0)</f>
        <v>12</v>
      </c>
      <c r="V2009" s="1" t="str">
        <f>IFERROR(__xludf.DUMMYFUNCTION("""COMPUTED_VALUE"""),"Pau Palmero")</f>
        <v>Pau Palmero</v>
      </c>
      <c r="W2009" s="1" t="str">
        <f>IFERROR(__xludf.DUMMYFUNCTION("""COMPUTED_VALUE"""),"Admin Omni Support")</f>
        <v>Admin Omni Support</v>
      </c>
    </row>
    <row r="2010">
      <c r="O2010" s="1" t="str">
        <f>IFERROR(__xludf.DUMMYFUNCTION("""COMPUTED_VALUE"""),"2026 Jan")</f>
        <v>2026 Jan</v>
      </c>
      <c r="P2010" s="1" t="str">
        <f>IFERROR(__xludf.DUMMYFUNCTION("""COMPUTED_VALUE"""),"Segment-specific Support")</f>
        <v>Segment-specific Support</v>
      </c>
      <c r="Q2010" s="1" t="str">
        <f>IFERROR(__xludf.DUMMYFUNCTION("""COMPUTED_VALUE"""),"magnumck@canva.com")</f>
        <v>magnumck@canva.com</v>
      </c>
      <c r="R2010" s="1" t="str">
        <f>IFERROR(__xludf.DUMMYFUNCTION("""COMPUTED_VALUE"""),"CK Lobaton")</f>
        <v>CK Lobaton</v>
      </c>
      <c r="S2010" s="1">
        <f>IFERROR(__xludf.DUMMYFUNCTION("""COMPUTED_VALUE"""),1.5)</f>
        <v>1.5</v>
      </c>
      <c r="T2010" s="1">
        <f>IFERROR(__xludf.DUMMYFUNCTION("""COMPUTED_VALUE"""),0.5)</f>
        <v>0.5</v>
      </c>
      <c r="U2010" s="2">
        <f>IFERROR(__xludf.DUMMYFUNCTION("""COMPUTED_VALUE"""),2.0)</f>
        <v>2</v>
      </c>
      <c r="V2010" s="1" t="str">
        <f>IFERROR(__xludf.DUMMYFUNCTION("""COMPUTED_VALUE"""),"Jonathan Dimaculangan")</f>
        <v>Jonathan Dimaculangan</v>
      </c>
      <c r="W2010" s="1" t="str">
        <f>IFERROR(__xludf.DUMMYFUNCTION("""COMPUTED_VALUE"""),"Flourish Support")</f>
        <v>Flourish Support</v>
      </c>
    </row>
    <row r="2011">
      <c r="O2011" s="1" t="str">
        <f>IFERROR(__xludf.DUMMYFUNCTION("""COMPUTED_VALUE"""),"2026 Jan")</f>
        <v>2026 Jan</v>
      </c>
      <c r="P2011" s="1" t="str">
        <f>IFERROR(__xludf.DUMMYFUNCTION("""COMPUTED_VALUE"""),"Core Product Support")</f>
        <v>Core Product Support</v>
      </c>
      <c r="Q2011" s="1" t="str">
        <f>IFERROR(__xludf.DUMMYFUNCTION("""COMPUTED_VALUE"""),"cladd@canva.com")</f>
        <v>cladd@canva.com</v>
      </c>
      <c r="R2011" s="1" t="str">
        <f>IFERROR(__xludf.DUMMYFUNCTION("""COMPUTED_VALUE"""),"Claddys Ann Bernaldez")</f>
        <v>Claddys Ann Bernaldez</v>
      </c>
      <c r="S2011" s="1">
        <f>IFERROR(__xludf.DUMMYFUNCTION("""COMPUTED_VALUE"""),2.0)</f>
        <v>2</v>
      </c>
      <c r="T2011" s="1">
        <f>IFERROR(__xludf.DUMMYFUNCTION("""COMPUTED_VALUE"""),12.5)</f>
        <v>12.5</v>
      </c>
      <c r="U2011" s="2">
        <f>IFERROR(__xludf.DUMMYFUNCTION("""COMPUTED_VALUE"""),14.5)</f>
        <v>14.5</v>
      </c>
      <c r="V2011" s="1" t="str">
        <f>IFERROR(__xludf.DUMMYFUNCTION("""COMPUTED_VALUE"""),"Jelyn Elmido")</f>
        <v>Jelyn Elmido</v>
      </c>
      <c r="W2011" s="1" t="str">
        <f>IFERROR(__xludf.DUMMYFUNCTION("""COMPUTED_VALUE"""),"Core Product Support Escalation Team")</f>
        <v>Core Product Support Escalation Team</v>
      </c>
    </row>
    <row r="2012">
      <c r="O2012" s="1" t="str">
        <f>IFERROR(__xludf.DUMMYFUNCTION("""COMPUTED_VALUE"""),"2026 Jan")</f>
        <v>2026 Jan</v>
      </c>
      <c r="P2012" s="1" t="str">
        <f>IFERROR(__xludf.DUMMYFUNCTION("""COMPUTED_VALUE"""),"Multilingual Support")</f>
        <v>Multilingual Support</v>
      </c>
      <c r="Q2012" s="1" t="str">
        <f>IFERROR(__xludf.DUMMYFUNCTION("""COMPUTED_VALUE"""),"claire.g@canva.com")</f>
        <v>claire.g@canva.com</v>
      </c>
      <c r="R2012" s="1" t="str">
        <f>IFERROR(__xludf.DUMMYFUNCTION("""COMPUTED_VALUE"""),"Claire Gado")</f>
        <v>Claire Gado</v>
      </c>
      <c r="S2012" s="1"/>
      <c r="T2012" s="1"/>
      <c r="U2012" s="2">
        <f>IFERROR(__xludf.DUMMYFUNCTION("""COMPUTED_VALUE"""),0.0)</f>
        <v>0</v>
      </c>
      <c r="V2012" s="1" t="str">
        <f>IFERROR(__xludf.DUMMYFUNCTION("""COMPUTED_VALUE"""),"Arlene Maurillo")</f>
        <v>Arlene Maurillo</v>
      </c>
      <c r="W2012" s="1" t="str">
        <f>IFERROR(__xludf.DUMMYFUNCTION("""COMPUTED_VALUE"""),"PHL, Multilingual Support")</f>
        <v>PHL, Multilingual Support</v>
      </c>
    </row>
    <row r="2013">
      <c r="O2013" s="1" t="str">
        <f>IFERROR(__xludf.DUMMYFUNCTION("""COMPUTED_VALUE"""),"2026 Jan")</f>
        <v>2026 Jan</v>
      </c>
      <c r="P2013" s="1" t="str">
        <f>IFERROR(__xludf.DUMMYFUNCTION("""COMPUTED_VALUE"""),"Print Support")</f>
        <v>Print Support</v>
      </c>
      <c r="Q2013" s="1" t="str">
        <f>IFERROR(__xludf.DUMMYFUNCTION("""COMPUTED_VALUE"""),"cyreengee@canva.com")</f>
        <v>cyreengee@canva.com</v>
      </c>
      <c r="R2013" s="1" t="str">
        <f>IFERROR(__xludf.DUMMYFUNCTION("""COMPUTED_VALUE"""),"Cye Gonzales")</f>
        <v>Cye Gonzales</v>
      </c>
      <c r="S2013" s="1"/>
      <c r="T2013" s="1">
        <f>IFERROR(__xludf.DUMMYFUNCTION("""COMPUTED_VALUE"""),1.75)</f>
        <v>1.75</v>
      </c>
      <c r="U2013" s="2">
        <f>IFERROR(__xludf.DUMMYFUNCTION("""COMPUTED_VALUE"""),1.75)</f>
        <v>1.75</v>
      </c>
      <c r="V2013" s="1" t="str">
        <f>IFERROR(__xludf.DUMMYFUNCTION("""COMPUTED_VALUE"""),"Althea Mercado")</f>
        <v>Althea Mercado</v>
      </c>
      <c r="W2013" s="1" t="str">
        <f>IFERROR(__xludf.DUMMYFUNCTION("""COMPUTED_VALUE"""),"Print Support PH")</f>
        <v>Print Support PH</v>
      </c>
    </row>
    <row r="2014">
      <c r="O2014" s="1" t="str">
        <f>IFERROR(__xludf.DUMMYFUNCTION("""COMPUTED_VALUE"""),"2026 Jan")</f>
        <v>2026 Jan</v>
      </c>
      <c r="P2014" s="1" t="str">
        <f>IFERROR(__xludf.DUMMYFUNCTION("""COMPUTED_VALUE"""),"Print Support")</f>
        <v>Print Support</v>
      </c>
      <c r="Q2014" s="1" t="str">
        <f>IFERROR(__xludf.DUMMYFUNCTION("""COMPUTED_VALUE"""),"dyter@canva.com")</f>
        <v>dyter@canva.com</v>
      </c>
      <c r="R2014" s="1" t="str">
        <f>IFERROR(__xludf.DUMMYFUNCTION("""COMPUTED_VALUE"""),"Daisy Tercenio")</f>
        <v>Daisy Tercenio</v>
      </c>
      <c r="S2014" s="1"/>
      <c r="T2014" s="1"/>
      <c r="U2014" s="2">
        <f>IFERROR(__xludf.DUMMYFUNCTION("""COMPUTED_VALUE"""),0.0)</f>
        <v>0</v>
      </c>
      <c r="V2014" s="1" t="str">
        <f>IFERROR(__xludf.DUMMYFUNCTION("""COMPUTED_VALUE"""),"Rae Erlano")</f>
        <v>Rae Erlano</v>
      </c>
      <c r="W2014" s="1" t="str">
        <f>IFERROR(__xludf.DUMMYFUNCTION("""COMPUTED_VALUE"""),"Print Support PH")</f>
        <v>Print Support PH</v>
      </c>
    </row>
    <row r="2015">
      <c r="O2015" s="1" t="str">
        <f>IFERROR(__xludf.DUMMYFUNCTION("""COMPUTED_VALUE"""),"2026 Jan")</f>
        <v>2026 Jan</v>
      </c>
      <c r="P2015" s="1" t="str">
        <f>IFERROR(__xludf.DUMMYFUNCTION("""COMPUTED_VALUE"""),"Core Product Support")</f>
        <v>Core Product Support</v>
      </c>
      <c r="Q2015" s="1" t="str">
        <f>IFERROR(__xludf.DUMMYFUNCTION("""COMPUTED_VALUE"""),"danortiz@canva.com")</f>
        <v>danortiz@canva.com</v>
      </c>
      <c r="R2015" s="1" t="str">
        <f>IFERROR(__xludf.DUMMYFUNCTION("""COMPUTED_VALUE"""),"Daniella Ortiz")</f>
        <v>Daniella Ortiz</v>
      </c>
      <c r="S2015" s="1">
        <f>IFERROR(__xludf.DUMMYFUNCTION("""COMPUTED_VALUE"""),2.0)</f>
        <v>2</v>
      </c>
      <c r="T2015" s="1">
        <f>IFERROR(__xludf.DUMMYFUNCTION("""COMPUTED_VALUE"""),4.25)</f>
        <v>4.25</v>
      </c>
      <c r="U2015" s="2">
        <f>IFERROR(__xludf.DUMMYFUNCTION("""COMPUTED_VALUE"""),6.25)</f>
        <v>6.25</v>
      </c>
      <c r="V2015" s="1" t="str">
        <f>IFERROR(__xludf.DUMMYFUNCTION("""COMPUTED_VALUE"""),"Cate Velasco")</f>
        <v>Cate Velasco</v>
      </c>
      <c r="W2015" s="1" t="str">
        <f>IFERROR(__xludf.DUMMYFUNCTION("""COMPUTED_VALUE"""),"Advanced Product Support")</f>
        <v>Advanced Product Support</v>
      </c>
    </row>
    <row r="2016">
      <c r="O2016" s="1" t="str">
        <f>IFERROR(__xludf.DUMMYFUNCTION("""COMPUTED_VALUE"""),"2026 Jan")</f>
        <v>2026 Jan</v>
      </c>
      <c r="P2016" s="1" t="str">
        <f>IFERROR(__xludf.DUMMYFUNCTION("""COMPUTED_VALUE"""),"Segment-specific Support")</f>
        <v>Segment-specific Support</v>
      </c>
      <c r="Q2016" s="1" t="str">
        <f>IFERROR(__xludf.DUMMYFUNCTION("""COMPUTED_VALUE"""),"daniellegrace@canva.com")</f>
        <v>daniellegrace@canva.com</v>
      </c>
      <c r="R2016" s="1" t="str">
        <f>IFERROR(__xludf.DUMMYFUNCTION("""COMPUTED_VALUE"""),"Danielle Marasigan")</f>
        <v>Danielle Marasigan</v>
      </c>
      <c r="S2016" s="1"/>
      <c r="T2016" s="1"/>
      <c r="U2016" s="2">
        <f>IFERROR(__xludf.DUMMYFUNCTION("""COMPUTED_VALUE"""),0.0)</f>
        <v>0</v>
      </c>
      <c r="V2016" s="1" t="str">
        <f>IFERROR(__xludf.DUMMYFUNCTION("""COMPUTED_VALUE"""),"Aileen Dayanghirang")</f>
        <v>Aileen Dayanghirang</v>
      </c>
      <c r="W2016" s="1" t="str">
        <f>IFERROR(__xludf.DUMMYFUNCTION("""COMPUTED_VALUE"""),"Creators Support")</f>
        <v>Creators Support</v>
      </c>
    </row>
    <row r="2017">
      <c r="O2017" s="1" t="str">
        <f>IFERROR(__xludf.DUMMYFUNCTION("""COMPUTED_VALUE"""),"2026 Jan")</f>
        <v>2026 Jan</v>
      </c>
      <c r="P2017" s="1" t="str">
        <f>IFERROR(__xludf.DUMMYFUNCTION("""COMPUTED_VALUE"""),"Admin Support")</f>
        <v>Admin Support</v>
      </c>
      <c r="Q2017" s="1" t="str">
        <f>IFERROR(__xludf.DUMMYFUNCTION("""COMPUTED_VALUE"""),"dannah@canva.com")</f>
        <v>dannah@canva.com</v>
      </c>
      <c r="R2017" s="1" t="str">
        <f>IFERROR(__xludf.DUMMYFUNCTION("""COMPUTED_VALUE"""),"Dannah Kate Dizon")</f>
        <v>Dannah Kate Dizon</v>
      </c>
      <c r="S2017" s="1"/>
      <c r="T2017" s="1">
        <f>IFERROR(__xludf.DUMMYFUNCTION("""COMPUTED_VALUE"""),10.0)</f>
        <v>10</v>
      </c>
      <c r="U2017" s="2">
        <f>IFERROR(__xludf.DUMMYFUNCTION("""COMPUTED_VALUE"""),10.0)</f>
        <v>10</v>
      </c>
      <c r="V2017" s="1" t="str">
        <f>IFERROR(__xludf.DUMMYFUNCTION("""COMPUTED_VALUE"""),"Karla Mananghaya")</f>
        <v>Karla Mananghaya</v>
      </c>
      <c r="W2017" s="1" t="str">
        <f>IFERROR(__xludf.DUMMYFUNCTION("""COMPUTED_VALUE"""),"Admin Support Service Escalation Team")</f>
        <v>Admin Support Service Escalation Team</v>
      </c>
    </row>
    <row r="2018">
      <c r="O2018" s="1" t="str">
        <f>IFERROR(__xludf.DUMMYFUNCTION("""COMPUTED_VALUE"""),"2026 Jan")</f>
        <v>2026 Jan</v>
      </c>
      <c r="P2018" s="1" t="str">
        <f>IFERROR(__xludf.DUMMYFUNCTION("""COMPUTED_VALUE"""),"High Sensitivity Support")</f>
        <v>High Sensitivity Support</v>
      </c>
      <c r="Q2018" s="1" t="str">
        <f>IFERROR(__xludf.DUMMYFUNCTION("""COMPUTED_VALUE"""),"danrev@canva.com")</f>
        <v>danrev@canva.com</v>
      </c>
      <c r="R2018" s="1" t="str">
        <f>IFERROR(__xludf.DUMMYFUNCTION("""COMPUTED_VALUE"""),"Danrev Bactad")</f>
        <v>Danrev Bactad</v>
      </c>
      <c r="S2018" s="1"/>
      <c r="T2018" s="1">
        <f>IFERROR(__xludf.DUMMYFUNCTION("""COMPUTED_VALUE"""),1.5)</f>
        <v>1.5</v>
      </c>
      <c r="U2018" s="2">
        <f>IFERROR(__xludf.DUMMYFUNCTION("""COMPUTED_VALUE"""),1.5)</f>
        <v>1.5</v>
      </c>
      <c r="V2018" s="1" t="str">
        <f>IFERROR(__xludf.DUMMYFUNCTION("""COMPUTED_VALUE"""),"Xandy Azarcon")</f>
        <v>Xandy Azarcon</v>
      </c>
      <c r="W2018" s="1" t="str">
        <f>IFERROR(__xludf.DUMMYFUNCTION("""COMPUTED_VALUE"""),"High Sensitivity Support PH")</f>
        <v>High Sensitivity Support PH</v>
      </c>
    </row>
    <row r="2019">
      <c r="O2019" s="1" t="str">
        <f>IFERROR(__xludf.DUMMYFUNCTION("""COMPUTED_VALUE"""),"2026 Jan")</f>
        <v>2026 Jan</v>
      </c>
      <c r="P2019" s="1" t="str">
        <f>IFERROR(__xludf.DUMMYFUNCTION("""COMPUTED_VALUE"""),"Print Support")</f>
        <v>Print Support</v>
      </c>
      <c r="Q2019" s="1" t="str">
        <f>IFERROR(__xludf.DUMMYFUNCTION("""COMPUTED_VALUE"""),"daphne@canva.com")</f>
        <v>daphne@canva.com</v>
      </c>
      <c r="R2019" s="1" t="str">
        <f>IFERROR(__xludf.DUMMYFUNCTION("""COMPUTED_VALUE"""),"Daphne Arboleda")</f>
        <v>Daphne Arboleda</v>
      </c>
      <c r="S2019" s="1"/>
      <c r="T2019" s="1">
        <f>IFERROR(__xludf.DUMMYFUNCTION("""COMPUTED_VALUE"""),1.42)</f>
        <v>1.42</v>
      </c>
      <c r="U2019" s="2">
        <f>IFERROR(__xludf.DUMMYFUNCTION("""COMPUTED_VALUE"""),1.42)</f>
        <v>1.42</v>
      </c>
      <c r="V2019" s="1" t="str">
        <f>IFERROR(__xludf.DUMMYFUNCTION("""COMPUTED_VALUE"""),"Memae Faustino")</f>
        <v>Memae Faustino</v>
      </c>
      <c r="W2019" s="1" t="str">
        <f>IFERROR(__xludf.DUMMYFUNCTION("""COMPUTED_VALUE"""),"Print Support PH")</f>
        <v>Print Support PH</v>
      </c>
    </row>
    <row r="2020">
      <c r="O2020" s="1" t="str">
        <f>IFERROR(__xludf.DUMMYFUNCTION("""COMPUTED_VALUE"""),"2026 Jan")</f>
        <v>2026 Jan</v>
      </c>
      <c r="P2020" s="1" t="str">
        <f>IFERROR(__xludf.DUMMYFUNCTION("""COMPUTED_VALUE"""),"High Sensitivity Support")</f>
        <v>High Sensitivity Support</v>
      </c>
      <c r="Q2020" s="1" t="str">
        <f>IFERROR(__xludf.DUMMYFUNCTION("""COMPUTED_VALUE"""),"darrelm@canva.com")</f>
        <v>darrelm@canva.com</v>
      </c>
      <c r="R2020" s="1" t="str">
        <f>IFERROR(__xludf.DUMMYFUNCTION("""COMPUTED_VALUE"""),"Darrel Marcelino")</f>
        <v>Darrel Marcelino</v>
      </c>
      <c r="S2020" s="1"/>
      <c r="T2020" s="1">
        <f>IFERROR(__xludf.DUMMYFUNCTION("""COMPUTED_VALUE"""),2.5)</f>
        <v>2.5</v>
      </c>
      <c r="U2020" s="2">
        <f>IFERROR(__xludf.DUMMYFUNCTION("""COMPUTED_VALUE"""),2.5)</f>
        <v>2.5</v>
      </c>
      <c r="V2020" s="1" t="str">
        <f>IFERROR(__xludf.DUMMYFUNCTION("""COMPUTED_VALUE"""),"Issi Afable")</f>
        <v>Issi Afable</v>
      </c>
      <c r="W2020" s="1" t="str">
        <f>IFERROR(__xludf.DUMMYFUNCTION("""COMPUTED_VALUE"""),"High Sensitivity Support PH")</f>
        <v>High Sensitivity Support PH</v>
      </c>
    </row>
    <row r="2021">
      <c r="O2021" s="1" t="str">
        <f>IFERROR(__xludf.DUMMYFUNCTION("""COMPUTED_VALUE"""),"2026 Jan")</f>
        <v>2026 Jan</v>
      </c>
      <c r="P2021" s="1" t="str">
        <f>IFERROR(__xludf.DUMMYFUNCTION("""COMPUTED_VALUE"""),"Core Product Support")</f>
        <v>Core Product Support</v>
      </c>
      <c r="Q2021" s="1" t="str">
        <f>IFERROR(__xludf.DUMMYFUNCTION("""COMPUTED_VALUE"""),"davecosteloii@canva.com")</f>
        <v>davecosteloii@canva.com</v>
      </c>
      <c r="R2021" s="1" t="str">
        <f>IFERROR(__xludf.DUMMYFUNCTION("""COMPUTED_VALUE"""),"Dave Costelo")</f>
        <v>Dave Costelo</v>
      </c>
      <c r="S2021" s="1">
        <f>IFERROR(__xludf.DUMMYFUNCTION("""COMPUTED_VALUE"""),1.5)</f>
        <v>1.5</v>
      </c>
      <c r="T2021" s="1">
        <f>IFERROR(__xludf.DUMMYFUNCTION("""COMPUTED_VALUE"""),6.43)</f>
        <v>6.43</v>
      </c>
      <c r="U2021" s="2">
        <f>IFERROR(__xludf.DUMMYFUNCTION("""COMPUTED_VALUE"""),7.93)</f>
        <v>7.93</v>
      </c>
      <c r="V2021" s="1" t="str">
        <f>IFERROR(__xludf.DUMMYFUNCTION("""COMPUTED_VALUE"""),"Jahmie Mae Barrameda")</f>
        <v>Jahmie Mae Barrameda</v>
      </c>
      <c r="W2021" s="1" t="str">
        <f>IFERROR(__xludf.DUMMYFUNCTION("""COMPUTED_VALUE"""),"Advanced Billing &amp; Subscriptions")</f>
        <v>Advanced Billing &amp; Subscriptions</v>
      </c>
    </row>
    <row r="2022">
      <c r="O2022" s="1" t="str">
        <f>IFERROR(__xludf.DUMMYFUNCTION("""COMPUTED_VALUE"""),"2026 Jan")</f>
        <v>2026 Jan</v>
      </c>
      <c r="P2022" s="1" t="str">
        <f>IFERROR(__xludf.DUMMYFUNCTION("""COMPUTED_VALUE"""),"Admin Support")</f>
        <v>Admin Support</v>
      </c>
      <c r="Q2022" s="1" t="str">
        <f>IFERROR(__xludf.DUMMYFUNCTION("""COMPUTED_VALUE"""),"davidfrancis@canva.com")</f>
        <v>davidfrancis@canva.com</v>
      </c>
      <c r="R2022" s="1" t="str">
        <f>IFERROR(__xludf.DUMMYFUNCTION("""COMPUTED_VALUE"""),"David Francis Dimatulac")</f>
        <v>David Francis Dimatulac</v>
      </c>
      <c r="S2022" s="1"/>
      <c r="T2022" s="1">
        <f>IFERROR(__xludf.DUMMYFUNCTION("""COMPUTED_VALUE"""),41.5)</f>
        <v>41.5</v>
      </c>
      <c r="U2022" s="2">
        <f>IFERROR(__xludf.DUMMYFUNCTION("""COMPUTED_VALUE"""),41.5)</f>
        <v>41.5</v>
      </c>
      <c r="V2022" s="1" t="str">
        <f>IFERROR(__xludf.DUMMYFUNCTION("""COMPUTED_VALUE"""),"Karla Mananghaya")</f>
        <v>Karla Mananghaya</v>
      </c>
      <c r="W2022" s="1" t="str">
        <f>IFERROR(__xludf.DUMMYFUNCTION("""COMPUTED_VALUE"""),"Admin Support Service Escalation Team")</f>
        <v>Admin Support Service Escalation Team</v>
      </c>
    </row>
    <row r="2023">
      <c r="O2023" s="1" t="str">
        <f>IFERROR(__xludf.DUMMYFUNCTION("""COMPUTED_VALUE"""),"2026 Jan")</f>
        <v>2026 Jan</v>
      </c>
      <c r="P2023" s="1" t="str">
        <f>IFERROR(__xludf.DUMMYFUNCTION("""COMPUTED_VALUE"""),"Core Product Support")</f>
        <v>Core Product Support</v>
      </c>
      <c r="Q2023" s="1" t="str">
        <f>IFERROR(__xludf.DUMMYFUNCTION("""COMPUTED_VALUE"""),"denden@canva.com")</f>
        <v>denden@canva.com</v>
      </c>
      <c r="R2023" s="1" t="str">
        <f>IFERROR(__xludf.DUMMYFUNCTION("""COMPUTED_VALUE"""),"Den Gutierrez")</f>
        <v>Den Gutierrez</v>
      </c>
      <c r="S2023" s="1">
        <f>IFERROR(__xludf.DUMMYFUNCTION("""COMPUTED_VALUE"""),2.0)</f>
        <v>2</v>
      </c>
      <c r="T2023" s="1">
        <f>IFERROR(__xludf.DUMMYFUNCTION("""COMPUTED_VALUE"""),9.5)</f>
        <v>9.5</v>
      </c>
      <c r="U2023" s="2">
        <f>IFERROR(__xludf.DUMMYFUNCTION("""COMPUTED_VALUE"""),11.5)</f>
        <v>11.5</v>
      </c>
      <c r="V2023" s="1" t="str">
        <f>IFERROR(__xludf.DUMMYFUNCTION("""COMPUTED_VALUE"""),"Sieg Ballelos")</f>
        <v>Sieg Ballelos</v>
      </c>
      <c r="W2023" s="1" t="str">
        <f>IFERROR(__xludf.DUMMYFUNCTION("""COMPUTED_VALUE"""),"Core Product Support Escalation Team")</f>
        <v>Core Product Support Escalation Team</v>
      </c>
    </row>
    <row r="2024">
      <c r="O2024" s="1" t="str">
        <f>IFERROR(__xludf.DUMMYFUNCTION("""COMPUTED_VALUE"""),"2026 Jan")</f>
        <v>2026 Jan</v>
      </c>
      <c r="P2024" s="1" t="str">
        <f>IFERROR(__xludf.DUMMYFUNCTION("""COMPUTED_VALUE"""),"Core Product Support")</f>
        <v>Core Product Support</v>
      </c>
      <c r="Q2024" s="1" t="str">
        <f>IFERROR(__xludf.DUMMYFUNCTION("""COMPUTED_VALUE"""),"deniseadrms@canva.com")</f>
        <v>deniseadrms@canva.com</v>
      </c>
      <c r="R2024" s="1" t="str">
        <f>IFERROR(__xludf.DUMMYFUNCTION("""COMPUTED_VALUE"""),"Denise Adoremos")</f>
        <v>Denise Adoremos</v>
      </c>
      <c r="S2024" s="1">
        <f>IFERROR(__xludf.DUMMYFUNCTION("""COMPUTED_VALUE"""),2.0)</f>
        <v>2</v>
      </c>
      <c r="T2024" s="1">
        <f>IFERROR(__xludf.DUMMYFUNCTION("""COMPUTED_VALUE"""),5.0)</f>
        <v>5</v>
      </c>
      <c r="U2024" s="2">
        <f>IFERROR(__xludf.DUMMYFUNCTION("""COMPUTED_VALUE"""),7.0)</f>
        <v>7</v>
      </c>
      <c r="V2024" s="1" t="str">
        <f>IFERROR(__xludf.DUMMYFUNCTION("""COMPUTED_VALUE"""),"Ana Lazaro")</f>
        <v>Ana Lazaro</v>
      </c>
      <c r="W2024" s="1" t="str">
        <f>IFERROR(__xludf.DUMMYFUNCTION("""COMPUTED_VALUE"""),"Advanced Billing &amp; Subscriptions")</f>
        <v>Advanced Billing &amp; Subscriptions</v>
      </c>
    </row>
    <row r="2025">
      <c r="O2025" s="1" t="str">
        <f>IFERROR(__xludf.DUMMYFUNCTION("""COMPUTED_VALUE"""),"2026 Jan")</f>
        <v>2026 Jan</v>
      </c>
      <c r="P2025" s="1" t="str">
        <f>IFERROR(__xludf.DUMMYFUNCTION("""COMPUTED_VALUE"""),"Segment-specific Support")</f>
        <v>Segment-specific Support</v>
      </c>
      <c r="Q2025" s="1" t="str">
        <f>IFERROR(__xludf.DUMMYFUNCTION("""COMPUTED_VALUE"""),"dymplem@canva.com")</f>
        <v>dymplem@canva.com</v>
      </c>
      <c r="R2025" s="1" t="str">
        <f>IFERROR(__xludf.DUMMYFUNCTION("""COMPUTED_VALUE"""),"Dymple Macaraeg")</f>
        <v>Dymple Macaraeg</v>
      </c>
      <c r="S2025" s="1">
        <f>IFERROR(__xludf.DUMMYFUNCTION("""COMPUTED_VALUE"""),0.5)</f>
        <v>0.5</v>
      </c>
      <c r="T2025" s="1">
        <f>IFERROR(__xludf.DUMMYFUNCTION("""COMPUTED_VALUE"""),43.42)</f>
        <v>43.42</v>
      </c>
      <c r="U2025" s="2">
        <f>IFERROR(__xludf.DUMMYFUNCTION("""COMPUTED_VALUE"""),43.92)</f>
        <v>43.92</v>
      </c>
      <c r="V2025" s="1" t="str">
        <f>IFERROR(__xludf.DUMMYFUNCTION("""COMPUTED_VALUE"""),"Rose Gabilan")</f>
        <v>Rose Gabilan</v>
      </c>
      <c r="W2025" s="1" t="str">
        <f>IFERROR(__xludf.DUMMYFUNCTION("""COMPUTED_VALUE"""),"Affinity Support")</f>
        <v>Affinity Support</v>
      </c>
    </row>
    <row r="2026">
      <c r="O2026" s="1" t="str">
        <f>IFERROR(__xludf.DUMMYFUNCTION("""COMPUTED_VALUE"""),"2026 Jan")</f>
        <v>2026 Jan</v>
      </c>
      <c r="P2026" s="1" t="str">
        <f>IFERROR(__xludf.DUMMYFUNCTION("""COMPUTED_VALUE"""),"Admin Support")</f>
        <v>Admin Support</v>
      </c>
      <c r="Q2026" s="1" t="str">
        <f>IFERROR(__xludf.DUMMYFUNCTION("""COMPUTED_VALUE"""),"edlico@canva.com")</f>
        <v>edlico@canva.com</v>
      </c>
      <c r="R2026" s="1" t="str">
        <f>IFERROR(__xludf.DUMMYFUNCTION("""COMPUTED_VALUE"""),"Ed Lico")</f>
        <v>Ed Lico</v>
      </c>
      <c r="S2026" s="1"/>
      <c r="T2026" s="1">
        <f>IFERROR(__xludf.DUMMYFUNCTION("""COMPUTED_VALUE"""),2.25)</f>
        <v>2.25</v>
      </c>
      <c r="U2026" s="2">
        <f>IFERROR(__xludf.DUMMYFUNCTION("""COMPUTED_VALUE"""),2.25)</f>
        <v>2.25</v>
      </c>
      <c r="V2026" s="1" t="str">
        <f>IFERROR(__xludf.DUMMYFUNCTION("""COMPUTED_VALUE"""),"Pau Palmero")</f>
        <v>Pau Palmero</v>
      </c>
      <c r="W2026" s="1" t="str">
        <f>IFERROR(__xludf.DUMMYFUNCTION("""COMPUTED_VALUE"""),"Admin Omni Support")</f>
        <v>Admin Omni Support</v>
      </c>
    </row>
    <row r="2027">
      <c r="O2027" s="1" t="str">
        <f>IFERROR(__xludf.DUMMYFUNCTION("""COMPUTED_VALUE"""),"2026 Jan")</f>
        <v>2026 Jan</v>
      </c>
      <c r="P2027" s="1" t="str">
        <f>IFERROR(__xludf.DUMMYFUNCTION("""COMPUTED_VALUE"""),"Multilingual Support")</f>
        <v>Multilingual Support</v>
      </c>
      <c r="Q2027" s="1" t="str">
        <f>IFERROR(__xludf.DUMMYFUNCTION("""COMPUTED_VALUE"""),"elmata@canva.com")</f>
        <v>elmata@canva.com</v>
      </c>
      <c r="R2027" s="1" t="str">
        <f>IFERROR(__xludf.DUMMYFUNCTION("""COMPUTED_VALUE"""),"Elmer Matarlo")</f>
        <v>Elmer Matarlo</v>
      </c>
      <c r="S2027" s="1"/>
      <c r="T2027" s="1"/>
      <c r="U2027" s="2">
        <f>IFERROR(__xludf.DUMMYFUNCTION("""COMPUTED_VALUE"""),0.0)</f>
        <v>0</v>
      </c>
      <c r="V2027" s="1" t="str">
        <f>IFERROR(__xludf.DUMMYFUNCTION("""COMPUTED_VALUE"""),"Arlene Maurillo")</f>
        <v>Arlene Maurillo</v>
      </c>
      <c r="W2027" s="1" t="str">
        <f>IFERROR(__xludf.DUMMYFUNCTION("""COMPUTED_VALUE"""),"PHL, Multilingual Support")</f>
        <v>PHL, Multilingual Support</v>
      </c>
    </row>
    <row r="2028">
      <c r="O2028" s="1" t="str">
        <f>IFERROR(__xludf.DUMMYFUNCTION("""COMPUTED_VALUE"""),"2026 Jan")</f>
        <v>2026 Jan</v>
      </c>
      <c r="P2028" s="1" t="str">
        <f>IFERROR(__xludf.DUMMYFUNCTION("""COMPUTED_VALUE"""),"Core Product Support")</f>
        <v>Core Product Support</v>
      </c>
      <c r="Q2028" s="1" t="str">
        <f>IFERROR(__xludf.DUMMYFUNCTION("""COMPUTED_VALUE"""),"ena@canva.com")</f>
        <v>ena@canva.com</v>
      </c>
      <c r="R2028" s="1" t="str">
        <f>IFERROR(__xludf.DUMMYFUNCTION("""COMPUTED_VALUE"""),"Ena Reyes")</f>
        <v>Ena Reyes</v>
      </c>
      <c r="S2028" s="1">
        <f>IFERROR(__xludf.DUMMYFUNCTION("""COMPUTED_VALUE"""),1.5)</f>
        <v>1.5</v>
      </c>
      <c r="T2028" s="1">
        <f>IFERROR(__xludf.DUMMYFUNCTION("""COMPUTED_VALUE"""),3.5)</f>
        <v>3.5</v>
      </c>
      <c r="U2028" s="2">
        <f>IFERROR(__xludf.DUMMYFUNCTION("""COMPUTED_VALUE"""),5.0)</f>
        <v>5</v>
      </c>
      <c r="V2028" s="1" t="str">
        <f>IFERROR(__xludf.DUMMYFUNCTION("""COMPUTED_VALUE"""),"Jem Mondoñedo")</f>
        <v>Jem Mondoñedo</v>
      </c>
      <c r="W2028" s="1" t="str">
        <f>IFERROR(__xludf.DUMMYFUNCTION("""COMPUTED_VALUE"""),"Advanced Billing &amp; Subscriptions")</f>
        <v>Advanced Billing &amp; Subscriptions</v>
      </c>
    </row>
    <row r="2029">
      <c r="O2029" s="1" t="str">
        <f>IFERROR(__xludf.DUMMYFUNCTION("""COMPUTED_VALUE"""),"2026 Jan")</f>
        <v>2026 Jan</v>
      </c>
      <c r="P2029" s="1" t="str">
        <f>IFERROR(__xludf.DUMMYFUNCTION("""COMPUTED_VALUE"""),"Admin Support")</f>
        <v>Admin Support</v>
      </c>
      <c r="Q2029" s="1" t="str">
        <f>IFERROR(__xludf.DUMMYFUNCTION("""COMPUTED_VALUE"""),"enrique@canva.com")</f>
        <v>enrique@canva.com</v>
      </c>
      <c r="R2029" s="1" t="str">
        <f>IFERROR(__xludf.DUMMYFUNCTION("""COMPUTED_VALUE"""),"Enrique Paolo Catuncan")</f>
        <v>Enrique Paolo Catuncan</v>
      </c>
      <c r="S2029" s="1"/>
      <c r="T2029" s="1">
        <f>IFERROR(__xludf.DUMMYFUNCTION("""COMPUTED_VALUE"""),2.25)</f>
        <v>2.25</v>
      </c>
      <c r="U2029" s="2">
        <f>IFERROR(__xludf.DUMMYFUNCTION("""COMPUTED_VALUE"""),2.25)</f>
        <v>2.25</v>
      </c>
      <c r="V2029" s="1" t="str">
        <f>IFERROR(__xludf.DUMMYFUNCTION("""COMPUTED_VALUE"""),"AL Suarez")</f>
        <v>AL Suarez</v>
      </c>
      <c r="W2029" s="1" t="str">
        <f>IFERROR(__xludf.DUMMYFUNCTION("""COMPUTED_VALUE"""),"Admin Direct Support")</f>
        <v>Admin Direct Support</v>
      </c>
    </row>
    <row r="2030">
      <c r="O2030" s="1" t="str">
        <f>IFERROR(__xludf.DUMMYFUNCTION("""COMPUTED_VALUE"""),"2026 Jan")</f>
        <v>2026 Jan</v>
      </c>
      <c r="P2030" s="1" t="str">
        <f>IFERROR(__xludf.DUMMYFUNCTION("""COMPUTED_VALUE"""),"Print Support")</f>
        <v>Print Support</v>
      </c>
      <c r="Q2030" s="1" t="str">
        <f>IFERROR(__xludf.DUMMYFUNCTION("""COMPUTED_VALUE"""),"erielle@canva.com")</f>
        <v>erielle@canva.com</v>
      </c>
      <c r="R2030" s="1" t="str">
        <f>IFERROR(__xludf.DUMMYFUNCTION("""COMPUTED_VALUE"""),"Erielle Singular")</f>
        <v>Erielle Singular</v>
      </c>
      <c r="S2030" s="1"/>
      <c r="T2030" s="1"/>
      <c r="U2030" s="2">
        <f>IFERROR(__xludf.DUMMYFUNCTION("""COMPUTED_VALUE"""),0.0)</f>
        <v>0</v>
      </c>
      <c r="V2030" s="1" t="str">
        <f>IFERROR(__xludf.DUMMYFUNCTION("""COMPUTED_VALUE"""),"Rei De Jesus")</f>
        <v>Rei De Jesus</v>
      </c>
      <c r="W2030" s="1" t="str">
        <f>IFERROR(__xludf.DUMMYFUNCTION("""COMPUTED_VALUE"""),"Print Design Support")</f>
        <v>Print Design Support</v>
      </c>
    </row>
    <row r="2031">
      <c r="O2031" s="1" t="str">
        <f>IFERROR(__xludf.DUMMYFUNCTION("""COMPUTED_VALUE"""),"2026 Jan")</f>
        <v>2026 Jan</v>
      </c>
      <c r="P2031" s="1" t="str">
        <f>IFERROR(__xludf.DUMMYFUNCTION("""COMPUTED_VALUE"""),"Core Product Support")</f>
        <v>Core Product Support</v>
      </c>
      <c r="Q2031" s="1" t="str">
        <f>IFERROR(__xludf.DUMMYFUNCTION("""COMPUTED_VALUE"""),"euni@canva.com")</f>
        <v>euni@canva.com</v>
      </c>
      <c r="R2031" s="1" t="str">
        <f>IFERROR(__xludf.DUMMYFUNCTION("""COMPUTED_VALUE"""),"Eunice Hachero")</f>
        <v>Eunice Hachero</v>
      </c>
      <c r="S2031" s="1">
        <f>IFERROR(__xludf.DUMMYFUNCTION("""COMPUTED_VALUE"""),2.0)</f>
        <v>2</v>
      </c>
      <c r="T2031" s="1">
        <f>IFERROR(__xludf.DUMMYFUNCTION("""COMPUTED_VALUE"""),3.25)</f>
        <v>3.25</v>
      </c>
      <c r="U2031" s="2">
        <f>IFERROR(__xludf.DUMMYFUNCTION("""COMPUTED_VALUE"""),5.25)</f>
        <v>5.25</v>
      </c>
      <c r="V2031" s="1" t="str">
        <f>IFERROR(__xludf.DUMMYFUNCTION("""COMPUTED_VALUE"""),"Marie Mordeno")</f>
        <v>Marie Mordeno</v>
      </c>
      <c r="W2031" s="1" t="str">
        <f>IFERROR(__xludf.DUMMYFUNCTION("""COMPUTED_VALUE"""),"Advanced Billing &amp; Subscriptions")</f>
        <v>Advanced Billing &amp; Subscriptions</v>
      </c>
    </row>
    <row r="2032">
      <c r="O2032" s="1" t="str">
        <f>IFERROR(__xludf.DUMMYFUNCTION("""COMPUTED_VALUE"""),"2026 Jan")</f>
        <v>2026 Jan</v>
      </c>
      <c r="P2032" s="1" t="str">
        <f>IFERROR(__xludf.DUMMYFUNCTION("""COMPUTED_VALUE"""),"Admin Support")</f>
        <v>Admin Support</v>
      </c>
      <c r="Q2032" s="1" t="str">
        <f>IFERROR(__xludf.DUMMYFUNCTION("""COMPUTED_VALUE"""),"eziecl@canva.com")</f>
        <v>eziecl@canva.com</v>
      </c>
      <c r="R2032" s="1" t="str">
        <f>IFERROR(__xludf.DUMMYFUNCTION("""COMPUTED_VALUE"""),"Ezekiel Marlin Lacson")</f>
        <v>Ezekiel Marlin Lacson</v>
      </c>
      <c r="S2032" s="1"/>
      <c r="T2032" s="1">
        <f>IFERROR(__xludf.DUMMYFUNCTION("""COMPUTED_VALUE"""),3.33)</f>
        <v>3.33</v>
      </c>
      <c r="U2032" s="2">
        <f>IFERROR(__xludf.DUMMYFUNCTION("""COMPUTED_VALUE"""),3.33)</f>
        <v>3.33</v>
      </c>
      <c r="V2032" s="1" t="str">
        <f>IFERROR(__xludf.DUMMYFUNCTION("""COMPUTED_VALUE"""),"Pau Palmero")</f>
        <v>Pau Palmero</v>
      </c>
      <c r="W2032" s="1" t="str">
        <f>IFERROR(__xludf.DUMMYFUNCTION("""COMPUTED_VALUE"""),"Admin Omni Support")</f>
        <v>Admin Omni Support</v>
      </c>
    </row>
    <row r="2033">
      <c r="O2033" s="1" t="str">
        <f>IFERROR(__xludf.DUMMYFUNCTION("""COMPUTED_VALUE"""),"2026 Jan")</f>
        <v>2026 Jan</v>
      </c>
      <c r="P2033" s="1" t="str">
        <f>IFERROR(__xludf.DUMMYFUNCTION("""COMPUTED_VALUE"""),"Print Support")</f>
        <v>Print Support</v>
      </c>
      <c r="Q2033" s="1" t="str">
        <f>IFERROR(__xludf.DUMMYFUNCTION("""COMPUTED_VALUE"""),"faith@canva.com")</f>
        <v>faith@canva.com</v>
      </c>
      <c r="R2033" s="1" t="str">
        <f>IFERROR(__xludf.DUMMYFUNCTION("""COMPUTED_VALUE"""),"Faith Ytang")</f>
        <v>Faith Ytang</v>
      </c>
      <c r="S2033" s="1"/>
      <c r="T2033" s="1">
        <f>IFERROR(__xludf.DUMMYFUNCTION("""COMPUTED_VALUE"""),1.25)</f>
        <v>1.25</v>
      </c>
      <c r="U2033" s="2">
        <f>IFERROR(__xludf.DUMMYFUNCTION("""COMPUTED_VALUE"""),1.25)</f>
        <v>1.25</v>
      </c>
      <c r="V2033" s="1" t="str">
        <f>IFERROR(__xludf.DUMMYFUNCTION("""COMPUTED_VALUE"""),"Memae Faustino")</f>
        <v>Memae Faustino</v>
      </c>
      <c r="W2033" s="1" t="str">
        <f>IFERROR(__xludf.DUMMYFUNCTION("""COMPUTED_VALUE"""),"Print Support PH")</f>
        <v>Print Support PH</v>
      </c>
    </row>
    <row r="2034">
      <c r="O2034" s="1" t="str">
        <f>IFERROR(__xludf.DUMMYFUNCTION("""COMPUTED_VALUE"""),"2026 Jan")</f>
        <v>2026 Jan</v>
      </c>
      <c r="P2034" s="1" t="str">
        <f>IFERROR(__xludf.DUMMYFUNCTION("""COMPUTED_VALUE"""),"Multilingual Support")</f>
        <v>Multilingual Support</v>
      </c>
      <c r="Q2034" s="1" t="str">
        <f>IFERROR(__xludf.DUMMYFUNCTION("""COMPUTED_VALUE"""),"francescamat@canva.com")</f>
        <v>francescamat@canva.com</v>
      </c>
      <c r="R2034" s="1" t="str">
        <f>IFERROR(__xludf.DUMMYFUNCTION("""COMPUTED_VALUE"""),"Francesca Mat")</f>
        <v>Francesca Mat</v>
      </c>
      <c r="S2034" s="1"/>
      <c r="T2034" s="1"/>
      <c r="U2034" s="2">
        <f>IFERROR(__xludf.DUMMYFUNCTION("""COMPUTED_VALUE"""),0.0)</f>
        <v>0</v>
      </c>
      <c r="V2034" s="1" t="str">
        <f>IFERROR(__xludf.DUMMYFUNCTION("""COMPUTED_VALUE"""),"Arlene Maurillo")</f>
        <v>Arlene Maurillo</v>
      </c>
      <c r="W2034" s="1" t="str">
        <f>IFERROR(__xludf.DUMMYFUNCTION("""COMPUTED_VALUE"""),"PHL, Multilingual Support")</f>
        <v>PHL, Multilingual Support</v>
      </c>
    </row>
    <row r="2035">
      <c r="O2035" s="1" t="str">
        <f>IFERROR(__xludf.DUMMYFUNCTION("""COMPUTED_VALUE"""),"2026 Jan")</f>
        <v>2026 Jan</v>
      </c>
      <c r="P2035" s="1" t="str">
        <f>IFERROR(__xludf.DUMMYFUNCTION("""COMPUTED_VALUE"""),"Core Product Support")</f>
        <v>Core Product Support</v>
      </c>
      <c r="Q2035" s="1" t="str">
        <f>IFERROR(__xludf.DUMMYFUNCTION("""COMPUTED_VALUE"""),"fweill@canva.com")</f>
        <v>fweill@canva.com</v>
      </c>
      <c r="R2035" s="1" t="str">
        <f>IFERROR(__xludf.DUMMYFUNCTION("""COMPUTED_VALUE"""),"Frank Weill")</f>
        <v>Frank Weill</v>
      </c>
      <c r="S2035" s="1">
        <f>IFERROR(__xludf.DUMMYFUNCTION("""COMPUTED_VALUE"""),1.58)</f>
        <v>1.58</v>
      </c>
      <c r="T2035" s="1">
        <f>IFERROR(__xludf.DUMMYFUNCTION("""COMPUTED_VALUE"""),3.5)</f>
        <v>3.5</v>
      </c>
      <c r="U2035" s="2">
        <f>IFERROR(__xludf.DUMMYFUNCTION("""COMPUTED_VALUE"""),5.08)</f>
        <v>5.08</v>
      </c>
      <c r="V2035" s="1" t="str">
        <f>IFERROR(__xludf.DUMMYFUNCTION("""COMPUTED_VALUE"""),"Manee Barrasa")</f>
        <v>Manee Barrasa</v>
      </c>
      <c r="W2035" s="1" t="str">
        <f>IFERROR(__xludf.DUMMYFUNCTION("""COMPUTED_VALUE"""),"Advanced Billing &amp; Subscriptions")</f>
        <v>Advanced Billing &amp; Subscriptions</v>
      </c>
    </row>
    <row r="2036">
      <c r="O2036" s="1" t="str">
        <f>IFERROR(__xludf.DUMMYFUNCTION("""COMPUTED_VALUE"""),"2026 Jan")</f>
        <v>2026 Jan</v>
      </c>
      <c r="P2036" s="1" t="str">
        <f>IFERROR(__xludf.DUMMYFUNCTION("""COMPUTED_VALUE"""),"Print Support")</f>
        <v>Print Support</v>
      </c>
      <c r="Q2036" s="1" t="str">
        <f>IFERROR(__xludf.DUMMYFUNCTION("""COMPUTED_VALUE"""),"frencie@canva.com")</f>
        <v>frencie@canva.com</v>
      </c>
      <c r="R2036" s="1" t="str">
        <f>IFERROR(__xludf.DUMMYFUNCTION("""COMPUTED_VALUE"""),"Frencie Guzman")</f>
        <v>Frencie Guzman</v>
      </c>
      <c r="S2036" s="1"/>
      <c r="T2036" s="1">
        <f>IFERROR(__xludf.DUMMYFUNCTION("""COMPUTED_VALUE"""),0.75)</f>
        <v>0.75</v>
      </c>
      <c r="U2036" s="2">
        <f>IFERROR(__xludf.DUMMYFUNCTION("""COMPUTED_VALUE"""),0.75)</f>
        <v>0.75</v>
      </c>
      <c r="V2036" s="1" t="str">
        <f>IFERROR(__xludf.DUMMYFUNCTION("""COMPUTED_VALUE"""),"Aliza Dote")</f>
        <v>Aliza Dote</v>
      </c>
      <c r="W2036" s="1" t="str">
        <f>IFERROR(__xludf.DUMMYFUNCTION("""COMPUTED_VALUE"""),"Print Design Support")</f>
        <v>Print Design Support</v>
      </c>
    </row>
    <row r="2037">
      <c r="O2037" s="1" t="str">
        <f>IFERROR(__xludf.DUMMYFUNCTION("""COMPUTED_VALUE"""),"2026 Jan")</f>
        <v>2026 Jan</v>
      </c>
      <c r="P2037" s="1" t="str">
        <f>IFERROR(__xludf.DUMMYFUNCTION("""COMPUTED_VALUE"""),"Print Support")</f>
        <v>Print Support</v>
      </c>
      <c r="Q2037" s="1" t="str">
        <f>IFERROR(__xludf.DUMMYFUNCTION("""COMPUTED_VALUE"""),"gvr@canva.com")</f>
        <v>gvr@canva.com</v>
      </c>
      <c r="R2037" s="1" t="str">
        <f>IFERROR(__xludf.DUMMYFUNCTION("""COMPUTED_VALUE"""),"Gabriel Reyes")</f>
        <v>Gabriel Reyes</v>
      </c>
      <c r="S2037" s="1"/>
      <c r="T2037" s="1">
        <f>IFERROR(__xludf.DUMMYFUNCTION("""COMPUTED_VALUE"""),1.25)</f>
        <v>1.25</v>
      </c>
      <c r="U2037" s="2">
        <f>IFERROR(__xludf.DUMMYFUNCTION("""COMPUTED_VALUE"""),1.25)</f>
        <v>1.25</v>
      </c>
      <c r="V2037" s="1" t="str">
        <f>IFERROR(__xludf.DUMMYFUNCTION("""COMPUTED_VALUE"""),"Memae Faustino")</f>
        <v>Memae Faustino</v>
      </c>
      <c r="W2037" s="1" t="str">
        <f>IFERROR(__xludf.DUMMYFUNCTION("""COMPUTED_VALUE"""),"Print Support PH")</f>
        <v>Print Support PH</v>
      </c>
    </row>
    <row r="2038">
      <c r="O2038" s="1" t="str">
        <f>IFERROR(__xludf.DUMMYFUNCTION("""COMPUTED_VALUE"""),"2026 Jan")</f>
        <v>2026 Jan</v>
      </c>
      <c r="P2038" s="1" t="str">
        <f>IFERROR(__xludf.DUMMYFUNCTION("""COMPUTED_VALUE"""),"High Sensitivity Support")</f>
        <v>High Sensitivity Support</v>
      </c>
      <c r="Q2038" s="1" t="str">
        <f>IFERROR(__xludf.DUMMYFUNCTION("""COMPUTED_VALUE"""),"gsanandres@canva.com")</f>
        <v>gsanandres@canva.com</v>
      </c>
      <c r="R2038" s="1" t="str">
        <f>IFERROR(__xludf.DUMMYFUNCTION("""COMPUTED_VALUE"""),"Galvin San Andres")</f>
        <v>Galvin San Andres</v>
      </c>
      <c r="S2038" s="1"/>
      <c r="T2038" s="1">
        <f>IFERROR(__xludf.DUMMYFUNCTION("""COMPUTED_VALUE"""),1.0)</f>
        <v>1</v>
      </c>
      <c r="U2038" s="2">
        <f>IFERROR(__xludf.DUMMYFUNCTION("""COMPUTED_VALUE"""),1.0)</f>
        <v>1</v>
      </c>
      <c r="V2038" s="1" t="str">
        <f>IFERROR(__xludf.DUMMYFUNCTION("""COMPUTED_VALUE"""),"Xandy Azarcon")</f>
        <v>Xandy Azarcon</v>
      </c>
      <c r="W2038" s="1" t="str">
        <f>IFERROR(__xludf.DUMMYFUNCTION("""COMPUTED_VALUE"""),"High Sensitivity Support PH")</f>
        <v>High Sensitivity Support PH</v>
      </c>
    </row>
    <row r="2039">
      <c r="O2039" s="1" t="str">
        <f>IFERROR(__xludf.DUMMYFUNCTION("""COMPUTED_VALUE"""),"2026 Jan")</f>
        <v>2026 Jan</v>
      </c>
      <c r="P2039" s="1" t="str">
        <f>IFERROR(__xludf.DUMMYFUNCTION("""COMPUTED_VALUE"""),"Core Product Support")</f>
        <v>Core Product Support</v>
      </c>
      <c r="Q2039" s="1" t="str">
        <f>IFERROR(__xludf.DUMMYFUNCTION("""COMPUTED_VALUE"""),"gsauler@canva.com")</f>
        <v>gsauler@canva.com</v>
      </c>
      <c r="R2039" s="1" t="str">
        <f>IFERROR(__xludf.DUMMYFUNCTION("""COMPUTED_VALUE"""),"Gem Sauler")</f>
        <v>Gem Sauler</v>
      </c>
      <c r="S2039" s="1">
        <f>IFERROR(__xludf.DUMMYFUNCTION("""COMPUTED_VALUE"""),1.0)</f>
        <v>1</v>
      </c>
      <c r="T2039" s="1">
        <f>IFERROR(__xludf.DUMMYFUNCTION("""COMPUTED_VALUE"""),5.75)</f>
        <v>5.75</v>
      </c>
      <c r="U2039" s="2">
        <f>IFERROR(__xludf.DUMMYFUNCTION("""COMPUTED_VALUE"""),6.75)</f>
        <v>6.75</v>
      </c>
      <c r="V2039" s="1" t="str">
        <f>IFERROR(__xludf.DUMMYFUNCTION("""COMPUTED_VALUE"""),"Mikhaela Decangchon")</f>
        <v>Mikhaela Decangchon</v>
      </c>
      <c r="W2039" s="1" t="str">
        <f>IFERROR(__xludf.DUMMYFUNCTION("""COMPUTED_VALUE"""),"Advanced Product Support")</f>
        <v>Advanced Product Support</v>
      </c>
    </row>
    <row r="2040">
      <c r="O2040" s="1" t="str">
        <f>IFERROR(__xludf.DUMMYFUNCTION("""COMPUTED_VALUE"""),"2026 Jan")</f>
        <v>2026 Jan</v>
      </c>
      <c r="P2040" s="1" t="str">
        <f>IFERROR(__xludf.DUMMYFUNCTION("""COMPUTED_VALUE"""),"Core Product Support")</f>
        <v>Core Product Support</v>
      </c>
      <c r="Q2040" s="1" t="str">
        <f>IFERROR(__xludf.DUMMYFUNCTION("""COMPUTED_VALUE"""),"gemmalyn@canva.com")</f>
        <v>gemmalyn@canva.com</v>
      </c>
      <c r="R2040" s="1" t="str">
        <f>IFERROR(__xludf.DUMMYFUNCTION("""COMPUTED_VALUE"""),"Gemma Gaddi")</f>
        <v>Gemma Gaddi</v>
      </c>
      <c r="S2040" s="1"/>
      <c r="T2040" s="1">
        <f>IFERROR(__xludf.DUMMYFUNCTION("""COMPUTED_VALUE"""),9.67)</f>
        <v>9.67</v>
      </c>
      <c r="U2040" s="2">
        <f>IFERROR(__xludf.DUMMYFUNCTION("""COMPUTED_VALUE"""),9.67)</f>
        <v>9.67</v>
      </c>
      <c r="V2040" s="1" t="str">
        <f>IFERROR(__xludf.DUMMYFUNCTION("""COMPUTED_VALUE"""),"Jahmie Mae Barrameda")</f>
        <v>Jahmie Mae Barrameda</v>
      </c>
      <c r="W2040" s="1" t="str">
        <f>IFERROR(__xludf.DUMMYFUNCTION("""COMPUTED_VALUE"""),"Advanced Billing &amp; Subscriptions")</f>
        <v>Advanced Billing &amp; Subscriptions</v>
      </c>
    </row>
    <row r="2041">
      <c r="O2041" s="1" t="str">
        <f>IFERROR(__xludf.DUMMYFUNCTION("""COMPUTED_VALUE"""),"2026 Jan")</f>
        <v>2026 Jan</v>
      </c>
      <c r="P2041" s="1" t="str">
        <f>IFERROR(__xludf.DUMMYFUNCTION("""COMPUTED_VALUE"""),"Core Product Support")</f>
        <v>Core Product Support</v>
      </c>
      <c r="Q2041" s="1" t="str">
        <f>IFERROR(__xludf.DUMMYFUNCTION("""COMPUTED_VALUE"""),"evee@canva.com")</f>
        <v>evee@canva.com</v>
      </c>
      <c r="R2041" s="1" t="str">
        <f>IFERROR(__xludf.DUMMYFUNCTION("""COMPUTED_VALUE"""),"Gen Gingoyon")</f>
        <v>Gen Gingoyon</v>
      </c>
      <c r="S2041" s="1"/>
      <c r="T2041" s="1">
        <f>IFERROR(__xludf.DUMMYFUNCTION("""COMPUTED_VALUE"""),10.03)</f>
        <v>10.03</v>
      </c>
      <c r="U2041" s="2">
        <f>IFERROR(__xludf.DUMMYFUNCTION("""COMPUTED_VALUE"""),10.03)</f>
        <v>10.03</v>
      </c>
      <c r="V2041" s="1" t="str">
        <f>IFERROR(__xludf.DUMMYFUNCTION("""COMPUTED_VALUE"""),"Renette Bok")</f>
        <v>Renette Bok</v>
      </c>
      <c r="W2041" s="1" t="str">
        <f>IFERROR(__xludf.DUMMYFUNCTION("""COMPUTED_VALUE"""),"Advanced Billing &amp; Subscriptions")</f>
        <v>Advanced Billing &amp; Subscriptions</v>
      </c>
    </row>
    <row r="2042">
      <c r="O2042" s="1" t="str">
        <f>IFERROR(__xludf.DUMMYFUNCTION("""COMPUTED_VALUE"""),"2026 Jan")</f>
        <v>2026 Jan</v>
      </c>
      <c r="P2042" s="1" t="str">
        <f>IFERROR(__xludf.DUMMYFUNCTION("""COMPUTED_VALUE"""),"Core Product Support")</f>
        <v>Core Product Support</v>
      </c>
      <c r="Q2042" s="1" t="str">
        <f>IFERROR(__xludf.DUMMYFUNCTION("""COMPUTED_VALUE"""),"gpascua@canva.com")</f>
        <v>gpascua@canva.com</v>
      </c>
      <c r="R2042" s="1" t="str">
        <f>IFERROR(__xludf.DUMMYFUNCTION("""COMPUTED_VALUE"""),"Gernie Pascua")</f>
        <v>Gernie Pascua</v>
      </c>
      <c r="S2042" s="1">
        <f>IFERROR(__xludf.DUMMYFUNCTION("""COMPUTED_VALUE"""),1.5)</f>
        <v>1.5</v>
      </c>
      <c r="T2042" s="1">
        <f>IFERROR(__xludf.DUMMYFUNCTION("""COMPUTED_VALUE"""),8.0)</f>
        <v>8</v>
      </c>
      <c r="U2042" s="2">
        <f>IFERROR(__xludf.DUMMYFUNCTION("""COMPUTED_VALUE"""),9.5)</f>
        <v>9.5</v>
      </c>
      <c r="V2042" s="1" t="str">
        <f>IFERROR(__xludf.DUMMYFUNCTION("""COMPUTED_VALUE"""),"Ellaine Estayo")</f>
        <v>Ellaine Estayo</v>
      </c>
      <c r="W2042" s="1" t="str">
        <f>IFERROR(__xludf.DUMMYFUNCTION("""COMPUTED_VALUE"""),"Core Product Support Escalation Team")</f>
        <v>Core Product Support Escalation Team</v>
      </c>
    </row>
    <row r="2043">
      <c r="O2043" s="1" t="str">
        <f>IFERROR(__xludf.DUMMYFUNCTION("""COMPUTED_VALUE"""),"2026 Jan")</f>
        <v>2026 Jan</v>
      </c>
      <c r="P2043" s="1" t="str">
        <f>IFERROR(__xludf.DUMMYFUNCTION("""COMPUTED_VALUE"""),"Print Support")</f>
        <v>Print Support</v>
      </c>
      <c r="Q2043" s="1" t="str">
        <f>IFERROR(__xludf.DUMMYFUNCTION("""COMPUTED_VALUE"""),"giadacillo@canva.com")</f>
        <v>giadacillo@canva.com</v>
      </c>
      <c r="R2043" s="1" t="str">
        <f>IFERROR(__xludf.DUMMYFUNCTION("""COMPUTED_VALUE"""),"Gia Dacillo")</f>
        <v>Gia Dacillo</v>
      </c>
      <c r="S2043" s="1"/>
      <c r="T2043" s="1">
        <f>IFERROR(__xludf.DUMMYFUNCTION("""COMPUTED_VALUE"""),1.08)</f>
        <v>1.08</v>
      </c>
      <c r="U2043" s="2">
        <f>IFERROR(__xludf.DUMMYFUNCTION("""COMPUTED_VALUE"""),1.08)</f>
        <v>1.08</v>
      </c>
      <c r="V2043" s="1" t="str">
        <f>IFERROR(__xludf.DUMMYFUNCTION("""COMPUTED_VALUE"""),"Jan Domingo")</f>
        <v>Jan Domingo</v>
      </c>
      <c r="W2043" s="1" t="str">
        <f>IFERROR(__xludf.DUMMYFUNCTION("""COMPUTED_VALUE"""),"Print Design Support")</f>
        <v>Print Design Support</v>
      </c>
    </row>
    <row r="2044">
      <c r="O2044" s="1" t="str">
        <f>IFERROR(__xludf.DUMMYFUNCTION("""COMPUTED_VALUE"""),"2026 Jan")</f>
        <v>2026 Jan</v>
      </c>
      <c r="P2044" s="1" t="str">
        <f>IFERROR(__xludf.DUMMYFUNCTION("""COMPUTED_VALUE"""),"Core Product Support")</f>
        <v>Core Product Support</v>
      </c>
      <c r="Q2044" s="1" t="str">
        <f>IFERROR(__xludf.DUMMYFUNCTION("""COMPUTED_VALUE"""),"gieslnts@canva.com")</f>
        <v>gieslnts@canva.com</v>
      </c>
      <c r="R2044" s="1" t="str">
        <f>IFERROR(__xludf.DUMMYFUNCTION("""COMPUTED_VALUE"""),"Gieann Salantes")</f>
        <v>Gieann Salantes</v>
      </c>
      <c r="S2044" s="1"/>
      <c r="T2044" s="1">
        <f>IFERROR(__xludf.DUMMYFUNCTION("""COMPUTED_VALUE"""),13.84)</f>
        <v>13.84</v>
      </c>
      <c r="U2044" s="2">
        <f>IFERROR(__xludf.DUMMYFUNCTION("""COMPUTED_VALUE"""),13.84)</f>
        <v>13.84</v>
      </c>
      <c r="V2044" s="1" t="str">
        <f>IFERROR(__xludf.DUMMYFUNCTION("""COMPUTED_VALUE"""),"Sieg Ballelos")</f>
        <v>Sieg Ballelos</v>
      </c>
      <c r="W2044" s="1" t="str">
        <f>IFERROR(__xludf.DUMMYFUNCTION("""COMPUTED_VALUE"""),"Core Product Support Escalation Team")</f>
        <v>Core Product Support Escalation Team</v>
      </c>
    </row>
    <row r="2045">
      <c r="O2045" s="1" t="str">
        <f>IFERROR(__xludf.DUMMYFUNCTION("""COMPUTED_VALUE"""),"2026 Jan")</f>
        <v>2026 Jan</v>
      </c>
      <c r="P2045" s="1" t="str">
        <f>IFERROR(__xludf.DUMMYFUNCTION("""COMPUTED_VALUE"""),"Admin Support")</f>
        <v>Admin Support</v>
      </c>
      <c r="Q2045" s="1" t="str">
        <f>IFERROR(__xludf.DUMMYFUNCTION("""COMPUTED_VALUE"""),"glennford@canva.com")</f>
        <v>glennford@canva.com</v>
      </c>
      <c r="R2045" s="1" t="str">
        <f>IFERROR(__xludf.DUMMYFUNCTION("""COMPUTED_VALUE"""),"Glenn Gutierrez")</f>
        <v>Glenn Gutierrez</v>
      </c>
      <c r="S2045" s="1"/>
      <c r="T2045" s="1">
        <f>IFERROR(__xludf.DUMMYFUNCTION("""COMPUTED_VALUE"""),3.5)</f>
        <v>3.5</v>
      </c>
      <c r="U2045" s="2">
        <f>IFERROR(__xludf.DUMMYFUNCTION("""COMPUTED_VALUE"""),3.5)</f>
        <v>3.5</v>
      </c>
      <c r="V2045" s="1" t="str">
        <f>IFERROR(__xludf.DUMMYFUNCTION("""COMPUTED_VALUE"""),"Karla Mananghaya")</f>
        <v>Karla Mananghaya</v>
      </c>
      <c r="W2045" s="1" t="str">
        <f>IFERROR(__xludf.DUMMYFUNCTION("""COMPUTED_VALUE"""),"Admin Support Service Escalation Team")</f>
        <v>Admin Support Service Escalation Team</v>
      </c>
    </row>
    <row r="2046">
      <c r="O2046" s="1" t="str">
        <f>IFERROR(__xludf.DUMMYFUNCTION("""COMPUTED_VALUE"""),"2026 Jan")</f>
        <v>2026 Jan</v>
      </c>
      <c r="P2046" s="1" t="str">
        <f>IFERROR(__xludf.DUMMYFUNCTION("""COMPUTED_VALUE"""),"Core Product Support")</f>
        <v>Core Product Support</v>
      </c>
      <c r="Q2046" s="1" t="str">
        <f>IFERROR(__xludf.DUMMYFUNCTION("""COMPUTED_VALUE"""),"gracegarcia@canva.com")</f>
        <v>gracegarcia@canva.com</v>
      </c>
      <c r="R2046" s="1" t="str">
        <f>IFERROR(__xludf.DUMMYFUNCTION("""COMPUTED_VALUE"""),"Grace Garcia")</f>
        <v>Grace Garcia</v>
      </c>
      <c r="S2046" s="1">
        <f>IFERROR(__xludf.DUMMYFUNCTION("""COMPUTED_VALUE"""),0.5)</f>
        <v>0.5</v>
      </c>
      <c r="T2046" s="1">
        <f>IFERROR(__xludf.DUMMYFUNCTION("""COMPUTED_VALUE"""),1.75)</f>
        <v>1.75</v>
      </c>
      <c r="U2046" s="2">
        <f>IFERROR(__xludf.DUMMYFUNCTION("""COMPUTED_VALUE"""),2.25)</f>
        <v>2.25</v>
      </c>
      <c r="V2046" s="1" t="str">
        <f>IFERROR(__xludf.DUMMYFUNCTION("""COMPUTED_VALUE"""),"Marie Mordeno")</f>
        <v>Marie Mordeno</v>
      </c>
      <c r="W2046" s="1" t="str">
        <f>IFERROR(__xludf.DUMMYFUNCTION("""COMPUTED_VALUE"""),"Advanced Billing &amp; Subscriptions")</f>
        <v>Advanced Billing &amp; Subscriptions</v>
      </c>
    </row>
    <row r="2047">
      <c r="O2047" s="1" t="str">
        <f>IFERROR(__xludf.DUMMYFUNCTION("""COMPUTED_VALUE"""),"2026 Jan")</f>
        <v>2026 Jan</v>
      </c>
      <c r="P2047" s="1" t="str">
        <f>IFERROR(__xludf.DUMMYFUNCTION("""COMPUTED_VALUE"""),"Core Product Support")</f>
        <v>Core Product Support</v>
      </c>
      <c r="Q2047" s="1" t="str">
        <f>IFERROR(__xludf.DUMMYFUNCTION("""COMPUTED_VALUE"""),"hanni@canva.com")</f>
        <v>hanni@canva.com</v>
      </c>
      <c r="R2047" s="1" t="str">
        <f>IFERROR(__xludf.DUMMYFUNCTION("""COMPUTED_VALUE"""),"Hannah Bejo")</f>
        <v>Hannah Bejo</v>
      </c>
      <c r="S2047" s="1">
        <f>IFERROR(__xludf.DUMMYFUNCTION("""COMPUTED_VALUE"""),0.5)</f>
        <v>0.5</v>
      </c>
      <c r="T2047" s="1">
        <f>IFERROR(__xludf.DUMMYFUNCTION("""COMPUTED_VALUE"""),10.0)</f>
        <v>10</v>
      </c>
      <c r="U2047" s="2">
        <f>IFERROR(__xludf.DUMMYFUNCTION("""COMPUTED_VALUE"""),10.5)</f>
        <v>10.5</v>
      </c>
      <c r="V2047" s="1" t="str">
        <f>IFERROR(__xludf.DUMMYFUNCTION("""COMPUTED_VALUE"""),"Ayza Marie Pascual")</f>
        <v>Ayza Marie Pascual</v>
      </c>
      <c r="W2047" s="1" t="str">
        <f>IFERROR(__xludf.DUMMYFUNCTION("""COMPUTED_VALUE"""),"Advanced Billing &amp; Subscriptions")</f>
        <v>Advanced Billing &amp; Subscriptions</v>
      </c>
    </row>
    <row r="2048">
      <c r="O2048" s="1" t="str">
        <f>IFERROR(__xludf.DUMMYFUNCTION("""COMPUTED_VALUE"""),"2026 Jan")</f>
        <v>2026 Jan</v>
      </c>
      <c r="P2048" s="1" t="str">
        <f>IFERROR(__xludf.DUMMYFUNCTION("""COMPUTED_VALUE"""),"Core Product Support")</f>
        <v>Core Product Support</v>
      </c>
      <c r="Q2048" s="1" t="str">
        <f>IFERROR(__xludf.DUMMYFUNCTION("""COMPUTED_VALUE"""),"hdecena@canva.com")</f>
        <v>hdecena@canva.com</v>
      </c>
      <c r="R2048" s="1" t="str">
        <f>IFERROR(__xludf.DUMMYFUNCTION("""COMPUTED_VALUE"""),"Hannah Decena")</f>
        <v>Hannah Decena</v>
      </c>
      <c r="S2048" s="1">
        <f>IFERROR(__xludf.DUMMYFUNCTION("""COMPUTED_VALUE"""),1.75)</f>
        <v>1.75</v>
      </c>
      <c r="T2048" s="1">
        <f>IFERROR(__xludf.DUMMYFUNCTION("""COMPUTED_VALUE"""),4.0)</f>
        <v>4</v>
      </c>
      <c r="U2048" s="2">
        <f>IFERROR(__xludf.DUMMYFUNCTION("""COMPUTED_VALUE"""),5.75)</f>
        <v>5.75</v>
      </c>
      <c r="V2048" s="1" t="str">
        <f>IFERROR(__xludf.DUMMYFUNCTION("""COMPUTED_VALUE"""),"Ana Lazaro")</f>
        <v>Ana Lazaro</v>
      </c>
      <c r="W2048" s="1" t="str">
        <f>IFERROR(__xludf.DUMMYFUNCTION("""COMPUTED_VALUE"""),"Advanced Billing &amp; Subscriptions")</f>
        <v>Advanced Billing &amp; Subscriptions</v>
      </c>
    </row>
    <row r="2049">
      <c r="O2049" s="1" t="str">
        <f>IFERROR(__xludf.DUMMYFUNCTION("""COMPUTED_VALUE"""),"2026 Jan")</f>
        <v>2026 Jan</v>
      </c>
      <c r="P2049" s="1" t="str">
        <f>IFERROR(__xludf.DUMMYFUNCTION("""COMPUTED_VALUE"""),"High Sensitivity Support")</f>
        <v>High Sensitivity Support</v>
      </c>
      <c r="Q2049" s="1" t="str">
        <f>IFERROR(__xludf.DUMMYFUNCTION("""COMPUTED_VALUE"""),"hannahd@canva.com")</f>
        <v>hannahd@canva.com</v>
      </c>
      <c r="R2049" s="1" t="str">
        <f>IFERROR(__xludf.DUMMYFUNCTION("""COMPUTED_VALUE"""),"Hannah Dimayuga")</f>
        <v>Hannah Dimayuga</v>
      </c>
      <c r="S2049" s="1"/>
      <c r="T2049" s="1">
        <f>IFERROR(__xludf.DUMMYFUNCTION("""COMPUTED_VALUE"""),3.15)</f>
        <v>3.15</v>
      </c>
      <c r="U2049" s="2">
        <f>IFERROR(__xludf.DUMMYFUNCTION("""COMPUTED_VALUE"""),3.15)</f>
        <v>3.15</v>
      </c>
      <c r="V2049" s="1" t="str">
        <f>IFERROR(__xludf.DUMMYFUNCTION("""COMPUTED_VALUE"""),"Rex Villamor")</f>
        <v>Rex Villamor</v>
      </c>
      <c r="W2049" s="1" t="str">
        <f>IFERROR(__xludf.DUMMYFUNCTION("""COMPUTED_VALUE"""),"High Sensitivity Support PH")</f>
        <v>High Sensitivity Support PH</v>
      </c>
    </row>
    <row r="2050">
      <c r="O2050" s="1" t="str">
        <f>IFERROR(__xludf.DUMMYFUNCTION("""COMPUTED_VALUE"""),"2026 Jan")</f>
        <v>2026 Jan</v>
      </c>
      <c r="P2050" s="1" t="str">
        <f>IFERROR(__xludf.DUMMYFUNCTION("""COMPUTED_VALUE"""),"Core Product Support")</f>
        <v>Core Product Support</v>
      </c>
      <c r="Q2050" s="1" t="str">
        <f>IFERROR(__xludf.DUMMYFUNCTION("""COMPUTED_VALUE"""),"hazzel@canva.com")</f>
        <v>hazzel@canva.com</v>
      </c>
      <c r="R2050" s="1" t="str">
        <f>IFERROR(__xludf.DUMMYFUNCTION("""COMPUTED_VALUE"""),"Haze Rafon")</f>
        <v>Haze Rafon</v>
      </c>
      <c r="S2050" s="1">
        <f>IFERROR(__xludf.DUMMYFUNCTION("""COMPUTED_VALUE"""),4.0)</f>
        <v>4</v>
      </c>
      <c r="T2050" s="1">
        <f>IFERROR(__xludf.DUMMYFUNCTION("""COMPUTED_VALUE"""),11.75)</f>
        <v>11.75</v>
      </c>
      <c r="U2050" s="2">
        <f>IFERROR(__xludf.DUMMYFUNCTION("""COMPUTED_VALUE"""),15.75)</f>
        <v>15.75</v>
      </c>
      <c r="V2050" s="1" t="str">
        <f>IFERROR(__xludf.DUMMYFUNCTION("""COMPUTED_VALUE"""),"Sieg Ballelos")</f>
        <v>Sieg Ballelos</v>
      </c>
      <c r="W2050" s="1" t="str">
        <f>IFERROR(__xludf.DUMMYFUNCTION("""COMPUTED_VALUE"""),"Core Product Support Escalation Team")</f>
        <v>Core Product Support Escalation Team</v>
      </c>
    </row>
    <row r="2051">
      <c r="O2051" s="1" t="str">
        <f>IFERROR(__xludf.DUMMYFUNCTION("""COMPUTED_VALUE"""),"2026 Jan")</f>
        <v>2026 Jan</v>
      </c>
      <c r="P2051" s="1" t="str">
        <f>IFERROR(__xludf.DUMMYFUNCTION("""COMPUTED_VALUE"""),"Segment-specific Support")</f>
        <v>Segment-specific Support</v>
      </c>
      <c r="Q2051" s="1" t="str">
        <f>IFERROR(__xludf.DUMMYFUNCTION("""COMPUTED_VALUE"""),"icetamayo@canva.com")</f>
        <v>icetamayo@canva.com</v>
      </c>
      <c r="R2051" s="1" t="str">
        <f>IFERROR(__xludf.DUMMYFUNCTION("""COMPUTED_VALUE"""),"Ice Montecillo-Tamayo")</f>
        <v>Ice Montecillo-Tamayo</v>
      </c>
      <c r="S2051" s="1"/>
      <c r="T2051" s="1">
        <f>IFERROR(__xludf.DUMMYFUNCTION("""COMPUTED_VALUE"""),1.0)</f>
        <v>1</v>
      </c>
      <c r="U2051" s="2">
        <f>IFERROR(__xludf.DUMMYFUNCTION("""COMPUTED_VALUE"""),1.0)</f>
        <v>1</v>
      </c>
      <c r="V2051" s="1" t="str">
        <f>IFERROR(__xludf.DUMMYFUNCTION("""COMPUTED_VALUE"""),"Rose Gabilan")</f>
        <v>Rose Gabilan</v>
      </c>
      <c r="W2051" s="1" t="str">
        <f>IFERROR(__xludf.DUMMYFUNCTION("""COMPUTED_VALUE"""),"Affinity Support")</f>
        <v>Affinity Support</v>
      </c>
    </row>
    <row r="2052">
      <c r="O2052" s="1" t="str">
        <f>IFERROR(__xludf.DUMMYFUNCTION("""COMPUTED_VALUE"""),"2026 Jan")</f>
        <v>2026 Jan</v>
      </c>
      <c r="P2052" s="1" t="str">
        <f>IFERROR(__xludf.DUMMYFUNCTION("""COMPUTED_VALUE"""),"Core Product Support")</f>
        <v>Core Product Support</v>
      </c>
      <c r="Q2052" s="1" t="str">
        <f>IFERROR(__xludf.DUMMYFUNCTION("""COMPUTED_VALUE"""),"mrwong@canva.com")</f>
        <v>mrwong@canva.com</v>
      </c>
      <c r="R2052" s="1" t="str">
        <f>IFERROR(__xludf.DUMMYFUNCTION("""COMPUTED_VALUE"""),"Ino Wong")</f>
        <v>Ino Wong</v>
      </c>
      <c r="S2052" s="1">
        <f>IFERROR(__xludf.DUMMYFUNCTION("""COMPUTED_VALUE"""),1.0)</f>
        <v>1</v>
      </c>
      <c r="T2052" s="1">
        <f>IFERROR(__xludf.DUMMYFUNCTION("""COMPUTED_VALUE"""),3.0)</f>
        <v>3</v>
      </c>
      <c r="U2052" s="2">
        <f>IFERROR(__xludf.DUMMYFUNCTION("""COMPUTED_VALUE"""),4.0)</f>
        <v>4</v>
      </c>
      <c r="V2052" s="1" t="str">
        <f>IFERROR(__xludf.DUMMYFUNCTION("""COMPUTED_VALUE"""),"Jem Mondoñedo")</f>
        <v>Jem Mondoñedo</v>
      </c>
      <c r="W2052" s="1" t="str">
        <f>IFERROR(__xludf.DUMMYFUNCTION("""COMPUTED_VALUE"""),"Advanced Billing &amp; Subscriptions")</f>
        <v>Advanced Billing &amp; Subscriptions</v>
      </c>
    </row>
    <row r="2053">
      <c r="O2053" s="1" t="str">
        <f>IFERROR(__xludf.DUMMYFUNCTION("""COMPUTED_VALUE"""),"2026 Jan")</f>
        <v>2026 Jan</v>
      </c>
      <c r="P2053" s="1" t="str">
        <f>IFERROR(__xludf.DUMMYFUNCTION("""COMPUTED_VALUE"""),"Segment-specific Support")</f>
        <v>Segment-specific Support</v>
      </c>
      <c r="Q2053" s="1" t="str">
        <f>IFERROR(__xludf.DUMMYFUNCTION("""COMPUTED_VALUE"""),"ivy@canva.com")</f>
        <v>ivy@canva.com</v>
      </c>
      <c r="R2053" s="1" t="str">
        <f>IFERROR(__xludf.DUMMYFUNCTION("""COMPUTED_VALUE"""),"Ivy Sabado")</f>
        <v>Ivy Sabado</v>
      </c>
      <c r="S2053" s="1"/>
      <c r="T2053" s="1"/>
      <c r="U2053" s="2">
        <f>IFERROR(__xludf.DUMMYFUNCTION("""COMPUTED_VALUE"""),0.0)</f>
        <v>0</v>
      </c>
      <c r="V2053" s="1" t="str">
        <f>IFERROR(__xludf.DUMMYFUNCTION("""COMPUTED_VALUE"""),"Aileen Dayanghirang")</f>
        <v>Aileen Dayanghirang</v>
      </c>
      <c r="W2053" s="1" t="str">
        <f>IFERROR(__xludf.DUMMYFUNCTION("""COMPUTED_VALUE"""),"Creators Support")</f>
        <v>Creators Support</v>
      </c>
    </row>
    <row r="2054">
      <c r="O2054" s="1" t="str">
        <f>IFERROR(__xludf.DUMMYFUNCTION("""COMPUTED_VALUE"""),"2026 Jan")</f>
        <v>2026 Jan</v>
      </c>
      <c r="P2054" s="1" t="str">
        <f>IFERROR(__xludf.DUMMYFUNCTION("""COMPUTED_VALUE"""),"Core Product Support")</f>
        <v>Core Product Support</v>
      </c>
      <c r="Q2054" s="1" t="str">
        <f>IFERROR(__xludf.DUMMYFUNCTION("""COMPUTED_VALUE"""),"iyaacuyong@canva.com")</f>
        <v>iyaacuyong@canva.com</v>
      </c>
      <c r="R2054" s="1" t="str">
        <f>IFERROR(__xludf.DUMMYFUNCTION("""COMPUTED_VALUE"""),"Iya Acuyong")</f>
        <v>Iya Acuyong</v>
      </c>
      <c r="S2054" s="1">
        <f>IFERROR(__xludf.DUMMYFUNCTION("""COMPUTED_VALUE"""),1.5)</f>
        <v>1.5</v>
      </c>
      <c r="T2054" s="1">
        <f>IFERROR(__xludf.DUMMYFUNCTION("""COMPUTED_VALUE"""),3.92)</f>
        <v>3.92</v>
      </c>
      <c r="U2054" s="2">
        <f>IFERROR(__xludf.DUMMYFUNCTION("""COMPUTED_VALUE"""),5.42)</f>
        <v>5.42</v>
      </c>
      <c r="V2054" s="1" t="str">
        <f>IFERROR(__xludf.DUMMYFUNCTION("""COMPUTED_VALUE"""),"Mikhaela Decangchon")</f>
        <v>Mikhaela Decangchon</v>
      </c>
      <c r="W2054" s="1" t="str">
        <f>IFERROR(__xludf.DUMMYFUNCTION("""COMPUTED_VALUE"""),"Advanced Product Support")</f>
        <v>Advanced Product Support</v>
      </c>
    </row>
    <row r="2055">
      <c r="O2055" s="1" t="str">
        <f>IFERROR(__xludf.DUMMYFUNCTION("""COMPUTED_VALUE"""),"2026 Jan")</f>
        <v>2026 Jan</v>
      </c>
      <c r="P2055" s="1" t="str">
        <f>IFERROR(__xludf.DUMMYFUNCTION("""COMPUTED_VALUE"""),"Print Support")</f>
        <v>Print Support</v>
      </c>
      <c r="Q2055" s="1" t="str">
        <f>IFERROR(__xludf.DUMMYFUNCTION("""COMPUTED_VALUE"""),"jagumasing@canva.com")</f>
        <v>jagumasing@canva.com</v>
      </c>
      <c r="R2055" s="1" t="str">
        <f>IFERROR(__xludf.DUMMYFUNCTION("""COMPUTED_VALUE"""),"Ja Gumasing")</f>
        <v>Ja Gumasing</v>
      </c>
      <c r="S2055" s="1"/>
      <c r="T2055" s="1">
        <f>IFERROR(__xludf.DUMMYFUNCTION("""COMPUTED_VALUE"""),1.5)</f>
        <v>1.5</v>
      </c>
      <c r="U2055" s="2">
        <f>IFERROR(__xludf.DUMMYFUNCTION("""COMPUTED_VALUE"""),1.5)</f>
        <v>1.5</v>
      </c>
      <c r="V2055" s="1" t="str">
        <f>IFERROR(__xludf.DUMMYFUNCTION("""COMPUTED_VALUE"""),"Althea Mercado")</f>
        <v>Althea Mercado</v>
      </c>
      <c r="W2055" s="1" t="str">
        <f>IFERROR(__xludf.DUMMYFUNCTION("""COMPUTED_VALUE"""),"Print Support PH")</f>
        <v>Print Support PH</v>
      </c>
    </row>
    <row r="2056">
      <c r="O2056" s="1" t="str">
        <f>IFERROR(__xludf.DUMMYFUNCTION("""COMPUTED_VALUE"""),"2026 Jan")</f>
        <v>2026 Jan</v>
      </c>
      <c r="P2056" s="1" t="str">
        <f>IFERROR(__xludf.DUMMYFUNCTION("""COMPUTED_VALUE"""),"Admin Support")</f>
        <v>Admin Support</v>
      </c>
      <c r="Q2056" s="1" t="str">
        <f>IFERROR(__xludf.DUMMYFUNCTION("""COMPUTED_VALUE"""),"jacobgarza@canva.com")</f>
        <v>jacobgarza@canva.com</v>
      </c>
      <c r="R2056" s="1" t="str">
        <f>IFERROR(__xludf.DUMMYFUNCTION("""COMPUTED_VALUE"""),"Jacob Garza")</f>
        <v>Jacob Garza</v>
      </c>
      <c r="S2056" s="1"/>
      <c r="T2056" s="1"/>
      <c r="U2056" s="2">
        <f>IFERROR(__xludf.DUMMYFUNCTION("""COMPUTED_VALUE"""),0.0)</f>
        <v>0</v>
      </c>
      <c r="V2056" s="1" t="str">
        <f>IFERROR(__xludf.DUMMYFUNCTION("""COMPUTED_VALUE"""),"Nate Vela")</f>
        <v>Nate Vela</v>
      </c>
      <c r="W2056" s="1" t="str">
        <f>IFERROR(__xludf.DUMMYFUNCTION("""COMPUTED_VALUE"""),"Admin Support NA")</f>
        <v>Admin Support NA</v>
      </c>
    </row>
    <row r="2057">
      <c r="O2057" s="1" t="str">
        <f>IFERROR(__xludf.DUMMYFUNCTION("""COMPUTED_VALUE"""),"2026 Jan")</f>
        <v>2026 Jan</v>
      </c>
      <c r="P2057" s="1" t="str">
        <f>IFERROR(__xludf.DUMMYFUNCTION("""COMPUTED_VALUE"""),"Core Product Support")</f>
        <v>Core Product Support</v>
      </c>
      <c r="Q2057" s="1" t="str">
        <f>IFERROR(__xludf.DUMMYFUNCTION("""COMPUTED_VALUE"""),"jacque@canva.com")</f>
        <v>jacque@canva.com</v>
      </c>
      <c r="R2057" s="1" t="str">
        <f>IFERROR(__xludf.DUMMYFUNCTION("""COMPUTED_VALUE"""),"Jacqueline Gay")</f>
        <v>Jacqueline Gay</v>
      </c>
      <c r="S2057" s="1">
        <f>IFERROR(__xludf.DUMMYFUNCTION("""COMPUTED_VALUE"""),1.5)</f>
        <v>1.5</v>
      </c>
      <c r="T2057" s="1">
        <f>IFERROR(__xludf.DUMMYFUNCTION("""COMPUTED_VALUE"""),3.75)</f>
        <v>3.75</v>
      </c>
      <c r="U2057" s="2">
        <f>IFERROR(__xludf.DUMMYFUNCTION("""COMPUTED_VALUE"""),5.25)</f>
        <v>5.25</v>
      </c>
      <c r="V2057" s="1" t="str">
        <f>IFERROR(__xludf.DUMMYFUNCTION("""COMPUTED_VALUE"""),"Jem Mondoñedo")</f>
        <v>Jem Mondoñedo</v>
      </c>
      <c r="W2057" s="1" t="str">
        <f>IFERROR(__xludf.DUMMYFUNCTION("""COMPUTED_VALUE"""),"Advanced Billing &amp; Subscriptions")</f>
        <v>Advanced Billing &amp; Subscriptions</v>
      </c>
    </row>
    <row r="2058">
      <c r="O2058" s="1" t="str">
        <f>IFERROR(__xludf.DUMMYFUNCTION("""COMPUTED_VALUE"""),"2026 Jan")</f>
        <v>2026 Jan</v>
      </c>
      <c r="P2058" s="1" t="str">
        <f>IFERROR(__xludf.DUMMYFUNCTION("""COMPUTED_VALUE"""),"Print Support")</f>
        <v>Print Support</v>
      </c>
      <c r="Q2058" s="1" t="str">
        <f>IFERROR(__xludf.DUMMYFUNCTION("""COMPUTED_VALUE"""),"jadec@canva.com")</f>
        <v>jadec@canva.com</v>
      </c>
      <c r="R2058" s="1" t="str">
        <f>IFERROR(__xludf.DUMMYFUNCTION("""COMPUTED_VALUE"""),"Jade Curitana")</f>
        <v>Jade Curitana</v>
      </c>
      <c r="S2058" s="1"/>
      <c r="T2058" s="1">
        <f>IFERROR(__xludf.DUMMYFUNCTION("""COMPUTED_VALUE"""),2.0)</f>
        <v>2</v>
      </c>
      <c r="U2058" s="2">
        <f>IFERROR(__xludf.DUMMYFUNCTION("""COMPUTED_VALUE"""),2.0)</f>
        <v>2</v>
      </c>
      <c r="V2058" s="1" t="str">
        <f>IFERROR(__xludf.DUMMYFUNCTION("""COMPUTED_VALUE"""),"Louise Dianne Estrella")</f>
        <v>Louise Dianne Estrella</v>
      </c>
      <c r="W2058" s="1" t="str">
        <f>IFERROR(__xludf.DUMMYFUNCTION("""COMPUTED_VALUE"""),"Print Support PH")</f>
        <v>Print Support PH</v>
      </c>
    </row>
    <row r="2059">
      <c r="O2059" s="1" t="str">
        <f>IFERROR(__xludf.DUMMYFUNCTION("""COMPUTED_VALUE"""),"2026 Jan")</f>
        <v>2026 Jan</v>
      </c>
      <c r="P2059" s="1" t="str">
        <f>IFERROR(__xludf.DUMMYFUNCTION("""COMPUTED_VALUE"""),"High Sensitivity Support")</f>
        <v>High Sensitivity Support</v>
      </c>
      <c r="Q2059" s="1" t="str">
        <f>IFERROR(__xludf.DUMMYFUNCTION("""COMPUTED_VALUE"""),"jammyb@canva.com")</f>
        <v>jammyb@canva.com</v>
      </c>
      <c r="R2059" s="1" t="str">
        <f>IFERROR(__xludf.DUMMYFUNCTION("""COMPUTED_VALUE"""),"Jam Bacani")</f>
        <v>Jam Bacani</v>
      </c>
      <c r="S2059" s="1"/>
      <c r="T2059" s="1">
        <f>IFERROR(__xludf.DUMMYFUNCTION("""COMPUTED_VALUE"""),0.75)</f>
        <v>0.75</v>
      </c>
      <c r="U2059" s="2">
        <f>IFERROR(__xludf.DUMMYFUNCTION("""COMPUTED_VALUE"""),0.75)</f>
        <v>0.75</v>
      </c>
      <c r="V2059" s="1" t="str">
        <f>IFERROR(__xludf.DUMMYFUNCTION("""COMPUTED_VALUE"""),"Rossheen Pura")</f>
        <v>Rossheen Pura</v>
      </c>
      <c r="W2059" s="1" t="str">
        <f>IFERROR(__xludf.DUMMYFUNCTION("""COMPUTED_VALUE"""),"High Sensitivity Support PH")</f>
        <v>High Sensitivity Support PH</v>
      </c>
    </row>
    <row r="2060">
      <c r="O2060" s="1" t="str">
        <f>IFERROR(__xludf.DUMMYFUNCTION("""COMPUTED_VALUE"""),"2026 Jan")</f>
        <v>2026 Jan</v>
      </c>
      <c r="P2060" s="1" t="str">
        <f>IFERROR(__xludf.DUMMYFUNCTION("""COMPUTED_VALUE"""),"Segment-specific Support")</f>
        <v>Segment-specific Support</v>
      </c>
      <c r="Q2060" s="1" t="str">
        <f>IFERROR(__xludf.DUMMYFUNCTION("""COMPUTED_VALUE"""),"jgamboa@canva.com")</f>
        <v>jgamboa@canva.com</v>
      </c>
      <c r="R2060" s="1" t="str">
        <f>IFERROR(__xludf.DUMMYFUNCTION("""COMPUTED_VALUE"""),"James Marrion Gamboa")</f>
        <v>James Marrion Gamboa</v>
      </c>
      <c r="S2060" s="1"/>
      <c r="T2060" s="1">
        <f>IFERROR(__xludf.DUMMYFUNCTION("""COMPUTED_VALUE"""),1.0)</f>
        <v>1</v>
      </c>
      <c r="U2060" s="2">
        <f>IFERROR(__xludf.DUMMYFUNCTION("""COMPUTED_VALUE"""),1.0)</f>
        <v>1</v>
      </c>
      <c r="V2060" s="1" t="str">
        <f>IFERROR(__xludf.DUMMYFUNCTION("""COMPUTED_VALUE"""),"Rose Gabilan")</f>
        <v>Rose Gabilan</v>
      </c>
      <c r="W2060" s="1" t="str">
        <f>IFERROR(__xludf.DUMMYFUNCTION("""COMPUTED_VALUE"""),"Affinity Support")</f>
        <v>Affinity Support</v>
      </c>
    </row>
    <row r="2061">
      <c r="O2061" s="1" t="str">
        <f>IFERROR(__xludf.DUMMYFUNCTION("""COMPUTED_VALUE"""),"2026 Jan")</f>
        <v>2026 Jan</v>
      </c>
      <c r="P2061" s="1" t="str">
        <f>IFERROR(__xludf.DUMMYFUNCTION("""COMPUTED_VALUE"""),"Print Support")</f>
        <v>Print Support</v>
      </c>
      <c r="Q2061" s="1" t="str">
        <f>IFERROR(__xludf.DUMMYFUNCTION("""COMPUTED_VALUE"""),"janpaolopena@canva.com")</f>
        <v>janpaolopena@canva.com</v>
      </c>
      <c r="R2061" s="1" t="str">
        <f>IFERROR(__xludf.DUMMYFUNCTION("""COMPUTED_VALUE"""),"Jan Peña")</f>
        <v>Jan Peña</v>
      </c>
      <c r="S2061" s="1"/>
      <c r="T2061" s="1">
        <f>IFERROR(__xludf.DUMMYFUNCTION("""COMPUTED_VALUE"""),2.0)</f>
        <v>2</v>
      </c>
      <c r="U2061" s="2">
        <f>IFERROR(__xludf.DUMMYFUNCTION("""COMPUTED_VALUE"""),2.0)</f>
        <v>2</v>
      </c>
      <c r="V2061" s="1" t="str">
        <f>IFERROR(__xludf.DUMMYFUNCTION("""COMPUTED_VALUE"""),"Louise Dianne Estrella")</f>
        <v>Louise Dianne Estrella</v>
      </c>
      <c r="W2061" s="1" t="str">
        <f>IFERROR(__xludf.DUMMYFUNCTION("""COMPUTED_VALUE"""),"Print Support PH")</f>
        <v>Print Support PH</v>
      </c>
    </row>
    <row r="2062">
      <c r="O2062" s="1" t="str">
        <f>IFERROR(__xludf.DUMMYFUNCTION("""COMPUTED_VALUE"""),"2026 Jan")</f>
        <v>2026 Jan</v>
      </c>
      <c r="P2062" s="1" t="str">
        <f>IFERROR(__xludf.DUMMYFUNCTION("""COMPUTED_VALUE"""),"Admin Support")</f>
        <v>Admin Support</v>
      </c>
      <c r="Q2062" s="1" t="str">
        <f>IFERROR(__xludf.DUMMYFUNCTION("""COMPUTED_VALUE"""),"janis@canva.com")</f>
        <v>janis@canva.com</v>
      </c>
      <c r="R2062" s="1" t="str">
        <f>IFERROR(__xludf.DUMMYFUNCTION("""COMPUTED_VALUE"""),"Janis Esmas")</f>
        <v>Janis Esmas</v>
      </c>
      <c r="S2062" s="1"/>
      <c r="T2062" s="1">
        <f>IFERROR(__xludf.DUMMYFUNCTION("""COMPUTED_VALUE"""),9.5)</f>
        <v>9.5</v>
      </c>
      <c r="U2062" s="2">
        <f>IFERROR(__xludf.DUMMYFUNCTION("""COMPUTED_VALUE"""),9.5)</f>
        <v>9.5</v>
      </c>
      <c r="V2062" s="1" t="str">
        <f>IFERROR(__xludf.DUMMYFUNCTION("""COMPUTED_VALUE"""),"Karla Mananghaya")</f>
        <v>Karla Mananghaya</v>
      </c>
      <c r="W2062" s="1" t="str">
        <f>IFERROR(__xludf.DUMMYFUNCTION("""COMPUTED_VALUE"""),"Admin Support Service Escalation Team")</f>
        <v>Admin Support Service Escalation Team</v>
      </c>
    </row>
    <row r="2063">
      <c r="O2063" s="1" t="str">
        <f>IFERROR(__xludf.DUMMYFUNCTION("""COMPUTED_VALUE"""),"2026 Jan")</f>
        <v>2026 Jan</v>
      </c>
      <c r="P2063" s="1" t="str">
        <f>IFERROR(__xludf.DUMMYFUNCTION("""COMPUTED_VALUE"""),"Core Product Support")</f>
        <v>Core Product Support</v>
      </c>
      <c r="Q2063" s="1" t="str">
        <f>IFERROR(__xludf.DUMMYFUNCTION("""COMPUTED_VALUE"""),"jampangan@canva.com")</f>
        <v>jampangan@canva.com</v>
      </c>
      <c r="R2063" s="1" t="str">
        <f>IFERROR(__xludf.DUMMYFUNCTION("""COMPUTED_VALUE"""),"Jara Alexandra Mae Pangan")</f>
        <v>Jara Alexandra Mae Pangan</v>
      </c>
      <c r="S2063" s="1">
        <f>IFERROR(__xludf.DUMMYFUNCTION("""COMPUTED_VALUE"""),1.2)</f>
        <v>1.2</v>
      </c>
      <c r="T2063" s="1">
        <f>IFERROR(__xludf.DUMMYFUNCTION("""COMPUTED_VALUE"""),10.33)</f>
        <v>10.33</v>
      </c>
      <c r="U2063" s="2">
        <f>IFERROR(__xludf.DUMMYFUNCTION("""COMPUTED_VALUE"""),11.53)</f>
        <v>11.53</v>
      </c>
      <c r="V2063" s="1" t="str">
        <f>IFERROR(__xludf.DUMMYFUNCTION("""COMPUTED_VALUE"""),"Sieg Ballelos")</f>
        <v>Sieg Ballelos</v>
      </c>
      <c r="W2063" s="1" t="str">
        <f>IFERROR(__xludf.DUMMYFUNCTION("""COMPUTED_VALUE"""),"Core Product Support Escalation Team")</f>
        <v>Core Product Support Escalation Team</v>
      </c>
    </row>
    <row r="2064">
      <c r="O2064" s="1" t="str">
        <f>IFERROR(__xludf.DUMMYFUNCTION("""COMPUTED_VALUE"""),"2026 Jan")</f>
        <v>2026 Jan</v>
      </c>
      <c r="P2064" s="1" t="str">
        <f>IFERROR(__xludf.DUMMYFUNCTION("""COMPUTED_VALUE"""),"Core Product Support")</f>
        <v>Core Product Support</v>
      </c>
      <c r="Q2064" s="1" t="str">
        <f>IFERROR(__xludf.DUMMYFUNCTION("""COMPUTED_VALUE"""),"jaredc@canva.com")</f>
        <v>jaredc@canva.com</v>
      </c>
      <c r="R2064" s="1" t="str">
        <f>IFERROR(__xludf.DUMMYFUNCTION("""COMPUTED_VALUE"""),"Jared Carlin")</f>
        <v>Jared Carlin</v>
      </c>
      <c r="S2064" s="1">
        <f>IFERROR(__xludf.DUMMYFUNCTION("""COMPUTED_VALUE"""),1.5)</f>
        <v>1.5</v>
      </c>
      <c r="T2064" s="1">
        <f>IFERROR(__xludf.DUMMYFUNCTION("""COMPUTED_VALUE"""),3.0)</f>
        <v>3</v>
      </c>
      <c r="U2064" s="2">
        <f>IFERROR(__xludf.DUMMYFUNCTION("""COMPUTED_VALUE"""),4.5)</f>
        <v>4.5</v>
      </c>
      <c r="V2064" s="1" t="str">
        <f>IFERROR(__xludf.DUMMYFUNCTION("""COMPUTED_VALUE"""),"Ana Lazaro")</f>
        <v>Ana Lazaro</v>
      </c>
      <c r="W2064" s="1" t="str">
        <f>IFERROR(__xludf.DUMMYFUNCTION("""COMPUTED_VALUE"""),"Advanced Billing &amp; Subscriptions")</f>
        <v>Advanced Billing &amp; Subscriptions</v>
      </c>
    </row>
    <row r="2065">
      <c r="O2065" s="1" t="str">
        <f>IFERROR(__xludf.DUMMYFUNCTION("""COMPUTED_VALUE"""),"2026 Jan")</f>
        <v>2026 Jan</v>
      </c>
      <c r="P2065" s="1" t="str">
        <f>IFERROR(__xludf.DUMMYFUNCTION("""COMPUTED_VALUE"""),"Segment-specific Support")</f>
        <v>Segment-specific Support</v>
      </c>
      <c r="Q2065" s="1" t="str">
        <f>IFERROR(__xludf.DUMMYFUNCTION("""COMPUTED_VALUE"""),"jas@canva.com")</f>
        <v>jas@canva.com</v>
      </c>
      <c r="R2065" s="1" t="str">
        <f>IFERROR(__xludf.DUMMYFUNCTION("""COMPUTED_VALUE"""),"Jas Esperat")</f>
        <v>Jas Esperat</v>
      </c>
      <c r="S2065" s="1"/>
      <c r="T2065" s="1"/>
      <c r="U2065" s="2">
        <f>IFERROR(__xludf.DUMMYFUNCTION("""COMPUTED_VALUE"""),0.0)</f>
        <v>0</v>
      </c>
      <c r="V2065" s="1" t="str">
        <f>IFERROR(__xludf.DUMMYFUNCTION("""COMPUTED_VALUE"""),"Aileen Dayanghirang")</f>
        <v>Aileen Dayanghirang</v>
      </c>
      <c r="W2065" s="1" t="str">
        <f>IFERROR(__xludf.DUMMYFUNCTION("""COMPUTED_VALUE"""),"Creators Support")</f>
        <v>Creators Support</v>
      </c>
    </row>
    <row r="2066">
      <c r="O2066" s="1" t="str">
        <f>IFERROR(__xludf.DUMMYFUNCTION("""COMPUTED_VALUE"""),"2026 Jan")</f>
        <v>2026 Jan</v>
      </c>
      <c r="P2066" s="1" t="str">
        <f>IFERROR(__xludf.DUMMYFUNCTION("""COMPUTED_VALUE"""),"Print Support")</f>
        <v>Print Support</v>
      </c>
      <c r="Q2066" s="1" t="str">
        <f>IFERROR(__xludf.DUMMYFUNCTION("""COMPUTED_VALUE"""),"jayson@canva.com")</f>
        <v>jayson@canva.com</v>
      </c>
      <c r="R2066" s="1" t="str">
        <f>IFERROR(__xludf.DUMMYFUNCTION("""COMPUTED_VALUE"""),"Jayson Ferrer")</f>
        <v>Jayson Ferrer</v>
      </c>
      <c r="S2066" s="1"/>
      <c r="T2066" s="1">
        <f>IFERROR(__xludf.DUMMYFUNCTION("""COMPUTED_VALUE"""),0.5)</f>
        <v>0.5</v>
      </c>
      <c r="U2066" s="2">
        <f>IFERROR(__xludf.DUMMYFUNCTION("""COMPUTED_VALUE"""),0.5)</f>
        <v>0.5</v>
      </c>
      <c r="V2066" s="1" t="str">
        <f>IFERROR(__xludf.DUMMYFUNCTION("""COMPUTED_VALUE"""),"G-Anne Murillo")</f>
        <v>G-Anne Murillo</v>
      </c>
      <c r="W2066" s="1" t="str">
        <f>IFERROR(__xludf.DUMMYFUNCTION("""COMPUTED_VALUE"""),"Print Design Support")</f>
        <v>Print Design Support</v>
      </c>
    </row>
    <row r="2067">
      <c r="O2067" s="1" t="str">
        <f>IFERROR(__xludf.DUMMYFUNCTION("""COMPUTED_VALUE"""),"2026 Jan")</f>
        <v>2026 Jan</v>
      </c>
      <c r="P2067" s="1" t="str">
        <f>IFERROR(__xludf.DUMMYFUNCTION("""COMPUTED_VALUE"""),"Admin Support")</f>
        <v>Admin Support</v>
      </c>
      <c r="Q2067" s="1" t="str">
        <f>IFERROR(__xludf.DUMMYFUNCTION("""COMPUTED_VALUE"""),"jaz@canva.com")</f>
        <v>jaz@canva.com</v>
      </c>
      <c r="R2067" s="1" t="str">
        <f>IFERROR(__xludf.DUMMYFUNCTION("""COMPUTED_VALUE"""),"Jazmine San Pedro")</f>
        <v>Jazmine San Pedro</v>
      </c>
      <c r="S2067" s="1"/>
      <c r="T2067" s="1">
        <f>IFERROR(__xludf.DUMMYFUNCTION("""COMPUTED_VALUE"""),1.75)</f>
        <v>1.75</v>
      </c>
      <c r="U2067" s="2">
        <f>IFERROR(__xludf.DUMMYFUNCTION("""COMPUTED_VALUE"""),1.75)</f>
        <v>1.75</v>
      </c>
      <c r="V2067" s="1" t="str">
        <f>IFERROR(__xludf.DUMMYFUNCTION("""COMPUTED_VALUE"""),"AL Suarez")</f>
        <v>AL Suarez</v>
      </c>
      <c r="W2067" s="1" t="str">
        <f>IFERROR(__xludf.DUMMYFUNCTION("""COMPUTED_VALUE"""),"Print Support PH")</f>
        <v>Print Support PH</v>
      </c>
    </row>
    <row r="2068">
      <c r="O2068" s="1" t="str">
        <f>IFERROR(__xludf.DUMMYFUNCTION("""COMPUTED_VALUE"""),"2026 Jan")</f>
        <v>2026 Jan</v>
      </c>
      <c r="P2068" s="1" t="str">
        <f>IFERROR(__xludf.DUMMYFUNCTION("""COMPUTED_VALUE"""),"Core Product Support")</f>
        <v>Core Product Support</v>
      </c>
      <c r="Q2068" s="1" t="str">
        <f>IFERROR(__xludf.DUMMYFUNCTION("""COMPUTED_VALUE"""),"jasminechristel@canva.com")</f>
        <v>jasminechristel@canva.com</v>
      </c>
      <c r="R2068" s="1" t="str">
        <f>IFERROR(__xludf.DUMMYFUNCTION("""COMPUTED_VALUE"""),"Jazz Ragot")</f>
        <v>Jazz Ragot</v>
      </c>
      <c r="S2068" s="1"/>
      <c r="T2068" s="1"/>
      <c r="U2068" s="2">
        <f>IFERROR(__xludf.DUMMYFUNCTION("""COMPUTED_VALUE"""),0.0)</f>
        <v>0</v>
      </c>
      <c r="V2068" s="1" t="str">
        <f>IFERROR(__xludf.DUMMYFUNCTION("""COMPUTED_VALUE"""),"Jem Mondoñedo")</f>
        <v>Jem Mondoñedo</v>
      </c>
      <c r="W2068" s="1" t="str">
        <f>IFERROR(__xludf.DUMMYFUNCTION("""COMPUTED_VALUE"""),"Advanced Billing &amp; Subscriptions")</f>
        <v>Advanced Billing &amp; Subscriptions</v>
      </c>
    </row>
    <row r="2069">
      <c r="O2069" s="1" t="str">
        <f>IFERROR(__xludf.DUMMYFUNCTION("""COMPUTED_VALUE"""),"2026 Jan")</f>
        <v>2026 Jan</v>
      </c>
      <c r="P2069" s="1" t="str">
        <f>IFERROR(__xludf.DUMMYFUNCTION("""COMPUTED_VALUE"""),"Multilingual Support")</f>
        <v>Multilingual Support</v>
      </c>
      <c r="Q2069" s="1" t="str">
        <f>IFERROR(__xludf.DUMMYFUNCTION("""COMPUTED_VALUE"""),"jc@canva.com")</f>
        <v>jc@canva.com</v>
      </c>
      <c r="R2069" s="1" t="str">
        <f>IFERROR(__xludf.DUMMYFUNCTION("""COMPUTED_VALUE"""),"JC Evangelista")</f>
        <v>JC Evangelista</v>
      </c>
      <c r="S2069" s="1"/>
      <c r="T2069" s="1"/>
      <c r="U2069" s="2">
        <f>IFERROR(__xludf.DUMMYFUNCTION("""COMPUTED_VALUE"""),0.0)</f>
        <v>0</v>
      </c>
      <c r="V2069" s="1" t="str">
        <f>IFERROR(__xludf.DUMMYFUNCTION("""COMPUTED_VALUE"""),"Arlene Maurillo")</f>
        <v>Arlene Maurillo</v>
      </c>
      <c r="W2069" s="1" t="str">
        <f>IFERROR(__xludf.DUMMYFUNCTION("""COMPUTED_VALUE"""),"PHL, Multilingual Support")</f>
        <v>PHL, Multilingual Support</v>
      </c>
    </row>
    <row r="2070">
      <c r="O2070" s="1" t="str">
        <f>IFERROR(__xludf.DUMMYFUNCTION("""COMPUTED_VALUE"""),"2026 Jan")</f>
        <v>2026 Jan</v>
      </c>
      <c r="P2070" s="1" t="str">
        <f>IFERROR(__xludf.DUMMYFUNCTION("""COMPUTED_VALUE"""),"Core Product Support")</f>
        <v>Core Product Support</v>
      </c>
      <c r="Q2070" s="1" t="str">
        <f>IFERROR(__xludf.DUMMYFUNCTION("""COMPUTED_VALUE"""),"jea@canva.com")</f>
        <v>jea@canva.com</v>
      </c>
      <c r="R2070" s="1" t="str">
        <f>IFERROR(__xludf.DUMMYFUNCTION("""COMPUTED_VALUE"""),"Jea Silvestre")</f>
        <v>Jea Silvestre</v>
      </c>
      <c r="S2070" s="1">
        <f>IFERROR(__xludf.DUMMYFUNCTION("""COMPUTED_VALUE"""),1.5)</f>
        <v>1.5</v>
      </c>
      <c r="T2070" s="1">
        <f>IFERROR(__xludf.DUMMYFUNCTION("""COMPUTED_VALUE"""),4.33)</f>
        <v>4.33</v>
      </c>
      <c r="U2070" s="2">
        <f>IFERROR(__xludf.DUMMYFUNCTION("""COMPUTED_VALUE"""),5.83)</f>
        <v>5.83</v>
      </c>
      <c r="V2070" s="1" t="str">
        <f>IFERROR(__xludf.DUMMYFUNCTION("""COMPUTED_VALUE"""),"Marie Mordeno")</f>
        <v>Marie Mordeno</v>
      </c>
      <c r="W2070" s="1" t="str">
        <f>IFERROR(__xludf.DUMMYFUNCTION("""COMPUTED_VALUE"""),"Advanced Billing &amp; Subscriptions")</f>
        <v>Advanced Billing &amp; Subscriptions</v>
      </c>
    </row>
    <row r="2071">
      <c r="O2071" s="1" t="str">
        <f>IFERROR(__xludf.DUMMYFUNCTION("""COMPUTED_VALUE"""),"2026 Jan")</f>
        <v>2026 Jan</v>
      </c>
      <c r="P2071" s="1" t="str">
        <f>IFERROR(__xludf.DUMMYFUNCTION("""COMPUTED_VALUE"""),"Core Product Support")</f>
        <v>Core Product Support</v>
      </c>
      <c r="Q2071" s="1" t="str">
        <f>IFERROR(__xludf.DUMMYFUNCTION("""COMPUTED_VALUE"""),"jed@canva.com")</f>
        <v>jed@canva.com</v>
      </c>
      <c r="R2071" s="1" t="str">
        <f>IFERROR(__xludf.DUMMYFUNCTION("""COMPUTED_VALUE"""),"Jed Wenceslao")</f>
        <v>Jed Wenceslao</v>
      </c>
      <c r="S2071" s="1"/>
      <c r="T2071" s="1">
        <f>IFERROR(__xludf.DUMMYFUNCTION("""COMPUTED_VALUE"""),8.1)</f>
        <v>8.1</v>
      </c>
      <c r="U2071" s="2">
        <f>IFERROR(__xludf.DUMMYFUNCTION("""COMPUTED_VALUE"""),8.1)</f>
        <v>8.1</v>
      </c>
      <c r="V2071" s="1" t="str">
        <f>IFERROR(__xludf.DUMMYFUNCTION("""COMPUTED_VALUE"""),"Sieg Ballelos")</f>
        <v>Sieg Ballelos</v>
      </c>
      <c r="W2071" s="1" t="str">
        <f>IFERROR(__xludf.DUMMYFUNCTION("""COMPUTED_VALUE"""),"Core Product Support Escalation Team")</f>
        <v>Core Product Support Escalation Team</v>
      </c>
    </row>
    <row r="2072">
      <c r="O2072" s="1" t="str">
        <f>IFERROR(__xludf.DUMMYFUNCTION("""COMPUTED_VALUE"""),"2026 Jan")</f>
        <v>2026 Jan</v>
      </c>
      <c r="P2072" s="1" t="str">
        <f>IFERROR(__xludf.DUMMYFUNCTION("""COMPUTED_VALUE"""),"Core Product Support")</f>
        <v>Core Product Support</v>
      </c>
      <c r="Q2072" s="1" t="str">
        <f>IFERROR(__xludf.DUMMYFUNCTION("""COMPUTED_VALUE"""),"jen@canva.com")</f>
        <v>jen@canva.com</v>
      </c>
      <c r="R2072" s="1" t="str">
        <f>IFERROR(__xludf.DUMMYFUNCTION("""COMPUTED_VALUE"""),"Jenber Teves")</f>
        <v>Jenber Teves</v>
      </c>
      <c r="S2072" s="1">
        <f>IFERROR(__xludf.DUMMYFUNCTION("""COMPUTED_VALUE"""),1.0)</f>
        <v>1</v>
      </c>
      <c r="T2072" s="1">
        <f>IFERROR(__xludf.DUMMYFUNCTION("""COMPUTED_VALUE"""),7.5)</f>
        <v>7.5</v>
      </c>
      <c r="U2072" s="2">
        <f>IFERROR(__xludf.DUMMYFUNCTION("""COMPUTED_VALUE"""),8.5)</f>
        <v>8.5</v>
      </c>
      <c r="V2072" s="1" t="str">
        <f>IFERROR(__xludf.DUMMYFUNCTION("""COMPUTED_VALUE"""),"Ellaine Estayo")</f>
        <v>Ellaine Estayo</v>
      </c>
      <c r="W2072" s="1" t="str">
        <f>IFERROR(__xludf.DUMMYFUNCTION("""COMPUTED_VALUE"""),"Core Product Support Escalation Team")</f>
        <v>Core Product Support Escalation Team</v>
      </c>
    </row>
    <row r="2073">
      <c r="O2073" s="1" t="str">
        <f>IFERROR(__xludf.DUMMYFUNCTION("""COMPUTED_VALUE"""),"2026 Jan")</f>
        <v>2026 Jan</v>
      </c>
      <c r="P2073" s="1" t="str">
        <f>IFERROR(__xludf.DUMMYFUNCTION("""COMPUTED_VALUE"""),"#N/A")</f>
        <v>#N/A</v>
      </c>
      <c r="Q2073" s="1" t="str">
        <f>IFERROR(__xludf.DUMMYFUNCTION("""COMPUTED_VALUE"""),"jerica@canva.com")</f>
        <v>jerica@canva.com</v>
      </c>
      <c r="R2073" s="1" t="str">
        <f>IFERROR(__xludf.DUMMYFUNCTION("""COMPUTED_VALUE"""),"Jerica Tan")</f>
        <v>Jerica Tan</v>
      </c>
      <c r="S2073" s="1">
        <f>IFERROR(__xludf.DUMMYFUNCTION("""COMPUTED_VALUE"""),1.0)</f>
        <v>1</v>
      </c>
      <c r="T2073" s="1">
        <f>IFERROR(__xludf.DUMMYFUNCTION("""COMPUTED_VALUE"""),2.23)</f>
        <v>2.23</v>
      </c>
      <c r="U2073" s="2">
        <f>IFERROR(__xludf.DUMMYFUNCTION("""COMPUTED_VALUE"""),3.23)</f>
        <v>3.23</v>
      </c>
      <c r="V2073" s="1" t="str">
        <f>IFERROR(__xludf.DUMMYFUNCTION("""COMPUTED_VALUE"""),"#N/A")</f>
        <v>#N/A</v>
      </c>
      <c r="W2073" s="1" t="str">
        <f>IFERROR(__xludf.DUMMYFUNCTION("""COMPUTED_VALUE"""),"High Sensitivity Support PH")</f>
        <v>High Sensitivity Support PH</v>
      </c>
    </row>
    <row r="2074">
      <c r="O2074" s="1" t="str">
        <f>IFERROR(__xludf.DUMMYFUNCTION("""COMPUTED_VALUE"""),"2026 Jan")</f>
        <v>2026 Jan</v>
      </c>
      <c r="P2074" s="1" t="str">
        <f>IFERROR(__xludf.DUMMYFUNCTION("""COMPUTED_VALUE"""),"Print Support")</f>
        <v>Print Support</v>
      </c>
      <c r="Q2074" s="1" t="str">
        <f>IFERROR(__xludf.DUMMYFUNCTION("""COMPUTED_VALUE"""),"jesicamari@canva.com")</f>
        <v>jesicamari@canva.com</v>
      </c>
      <c r="R2074" s="1" t="str">
        <f>IFERROR(__xludf.DUMMYFUNCTION("""COMPUTED_VALUE"""),"Jesica Laureola")</f>
        <v>Jesica Laureola</v>
      </c>
      <c r="S2074" s="1"/>
      <c r="T2074" s="1"/>
      <c r="U2074" s="2">
        <f>IFERROR(__xludf.DUMMYFUNCTION("""COMPUTED_VALUE"""),0.0)</f>
        <v>0</v>
      </c>
      <c r="V2074" s="1" t="str">
        <f>IFERROR(__xludf.DUMMYFUNCTION("""COMPUTED_VALUE"""),"Rei De Jesus")</f>
        <v>Rei De Jesus</v>
      </c>
      <c r="W2074" s="1" t="str">
        <f>IFERROR(__xludf.DUMMYFUNCTION("""COMPUTED_VALUE"""),"Print Design Support")</f>
        <v>Print Design Support</v>
      </c>
    </row>
    <row r="2075">
      <c r="O2075" s="1" t="str">
        <f>IFERROR(__xludf.DUMMYFUNCTION("""COMPUTED_VALUE"""),"2026 Jan")</f>
        <v>2026 Jan</v>
      </c>
      <c r="P2075" s="1" t="str">
        <f>IFERROR(__xludf.DUMMYFUNCTION("""COMPUTED_VALUE"""),"Core Product Support")</f>
        <v>Core Product Support</v>
      </c>
      <c r="Q2075" s="1" t="str">
        <f>IFERROR(__xludf.DUMMYFUNCTION("""COMPUTED_VALUE"""),"jbrizuela@canva.com")</f>
        <v>jbrizuela@canva.com</v>
      </c>
      <c r="R2075" s="1" t="str">
        <f>IFERROR(__xludf.DUMMYFUNCTION("""COMPUTED_VALUE"""),"Jessa Brizuela")</f>
        <v>Jessa Brizuela</v>
      </c>
      <c r="S2075" s="1">
        <f>IFERROR(__xludf.DUMMYFUNCTION("""COMPUTED_VALUE"""),0.5)</f>
        <v>0.5</v>
      </c>
      <c r="T2075" s="1">
        <f>IFERROR(__xludf.DUMMYFUNCTION("""COMPUTED_VALUE"""),7.33)</f>
        <v>7.33</v>
      </c>
      <c r="U2075" s="2">
        <f>IFERROR(__xludf.DUMMYFUNCTION("""COMPUTED_VALUE"""),7.83)</f>
        <v>7.83</v>
      </c>
      <c r="V2075" s="1" t="str">
        <f>IFERROR(__xludf.DUMMYFUNCTION("""COMPUTED_VALUE"""),"Renette Bok")</f>
        <v>Renette Bok</v>
      </c>
      <c r="W2075" s="1" t="str">
        <f>IFERROR(__xludf.DUMMYFUNCTION("""COMPUTED_VALUE"""),"Advanced Billing &amp; Subscriptions")</f>
        <v>Advanced Billing &amp; Subscriptions</v>
      </c>
    </row>
    <row r="2076">
      <c r="O2076" s="1" t="str">
        <f>IFERROR(__xludf.DUMMYFUNCTION("""COMPUTED_VALUE"""),"2026 Jan")</f>
        <v>2026 Jan</v>
      </c>
      <c r="P2076" s="1" t="str">
        <f>IFERROR(__xludf.DUMMYFUNCTION("""COMPUTED_VALUE"""),"Core Product Support")</f>
        <v>Core Product Support</v>
      </c>
      <c r="Q2076" s="1" t="str">
        <f>IFERROR(__xludf.DUMMYFUNCTION("""COMPUTED_VALUE"""),"jian@canva.com")</f>
        <v>jian@canva.com</v>
      </c>
      <c r="R2076" s="1" t="str">
        <f>IFERROR(__xludf.DUMMYFUNCTION("""COMPUTED_VALUE"""),"Jian Paula Inocencio")</f>
        <v>Jian Paula Inocencio</v>
      </c>
      <c r="S2076" s="1">
        <f>IFERROR(__xludf.DUMMYFUNCTION("""COMPUTED_VALUE"""),1.0)</f>
        <v>1</v>
      </c>
      <c r="T2076" s="1">
        <f>IFERROR(__xludf.DUMMYFUNCTION("""COMPUTED_VALUE"""),2.0)</f>
        <v>2</v>
      </c>
      <c r="U2076" s="2">
        <f>IFERROR(__xludf.DUMMYFUNCTION("""COMPUTED_VALUE"""),3.0)</f>
        <v>3</v>
      </c>
      <c r="V2076" s="1" t="str">
        <f>IFERROR(__xludf.DUMMYFUNCTION("""COMPUTED_VALUE"""),"Vinz Lazaro")</f>
        <v>Vinz Lazaro</v>
      </c>
      <c r="W2076" s="1" t="str">
        <f>IFERROR(__xludf.DUMMYFUNCTION("""COMPUTED_VALUE"""),"Advanced Product Support")</f>
        <v>Advanced Product Support</v>
      </c>
    </row>
    <row r="2077">
      <c r="O2077" s="1" t="str">
        <f>IFERROR(__xludf.DUMMYFUNCTION("""COMPUTED_VALUE"""),"2026 Jan")</f>
        <v>2026 Jan</v>
      </c>
      <c r="P2077" s="1" t="str">
        <f>IFERROR(__xludf.DUMMYFUNCTION("""COMPUTED_VALUE"""),"Core Product Support")</f>
        <v>Core Product Support</v>
      </c>
      <c r="Q2077" s="1" t="str">
        <f>IFERROR(__xludf.DUMMYFUNCTION("""COMPUTED_VALUE"""),"jilll@canva.com")</f>
        <v>jilll@canva.com</v>
      </c>
      <c r="R2077" s="1" t="str">
        <f>IFERROR(__xludf.DUMMYFUNCTION("""COMPUTED_VALUE"""),"Jill Linco")</f>
        <v>Jill Linco</v>
      </c>
      <c r="S2077" s="1">
        <f>IFERROR(__xludf.DUMMYFUNCTION("""COMPUTED_VALUE"""),2.0)</f>
        <v>2</v>
      </c>
      <c r="T2077" s="1">
        <f>IFERROR(__xludf.DUMMYFUNCTION("""COMPUTED_VALUE"""),3.25)</f>
        <v>3.25</v>
      </c>
      <c r="U2077" s="2">
        <f>IFERROR(__xludf.DUMMYFUNCTION("""COMPUTED_VALUE"""),5.25)</f>
        <v>5.25</v>
      </c>
      <c r="V2077" s="1" t="str">
        <f>IFERROR(__xludf.DUMMYFUNCTION("""COMPUTED_VALUE"""),"Cate Velasco")</f>
        <v>Cate Velasco</v>
      </c>
      <c r="W2077" s="1" t="str">
        <f>IFERROR(__xludf.DUMMYFUNCTION("""COMPUTED_VALUE"""),"Advanced Product Support")</f>
        <v>Advanced Product Support</v>
      </c>
    </row>
    <row r="2078">
      <c r="O2078" s="1" t="str">
        <f>IFERROR(__xludf.DUMMYFUNCTION("""COMPUTED_VALUE"""),"2026 Jan")</f>
        <v>2026 Jan</v>
      </c>
      <c r="P2078" s="1" t="str">
        <f>IFERROR(__xludf.DUMMYFUNCTION("""COMPUTED_VALUE"""),"Segment-specific Support")</f>
        <v>Segment-specific Support</v>
      </c>
      <c r="Q2078" s="1" t="str">
        <f>IFERROR(__xludf.DUMMYFUNCTION("""COMPUTED_VALUE"""),"jillann@canva.com")</f>
        <v>jillann@canva.com</v>
      </c>
      <c r="R2078" s="1" t="str">
        <f>IFERROR(__xludf.DUMMYFUNCTION("""COMPUTED_VALUE"""),"Jill-Ann Reducindo")</f>
        <v>Jill-Ann Reducindo</v>
      </c>
      <c r="S2078" s="1"/>
      <c r="T2078" s="1">
        <f>IFERROR(__xludf.DUMMYFUNCTION("""COMPUTED_VALUE"""),43.58)</f>
        <v>43.58</v>
      </c>
      <c r="U2078" s="2">
        <f>IFERROR(__xludf.DUMMYFUNCTION("""COMPUTED_VALUE"""),43.58)</f>
        <v>43.58</v>
      </c>
      <c r="V2078" s="1" t="str">
        <f>IFERROR(__xludf.DUMMYFUNCTION("""COMPUTED_VALUE"""),"Rose Gabilan")</f>
        <v>Rose Gabilan</v>
      </c>
      <c r="W2078" s="1" t="str">
        <f>IFERROR(__xludf.DUMMYFUNCTION("""COMPUTED_VALUE"""),"Affinity Support")</f>
        <v>Affinity Support</v>
      </c>
    </row>
    <row r="2079">
      <c r="O2079" s="1" t="str">
        <f>IFERROR(__xludf.DUMMYFUNCTION("""COMPUTED_VALUE"""),"2026 Jan")</f>
        <v>2026 Jan</v>
      </c>
      <c r="P2079" s="1" t="str">
        <f>IFERROR(__xludf.DUMMYFUNCTION("""COMPUTED_VALUE"""),"Core Product Support")</f>
        <v>Core Product Support</v>
      </c>
      <c r="Q2079" s="1" t="str">
        <f>IFERROR(__xludf.DUMMYFUNCTION("""COMPUTED_VALUE"""),"jmfrial@canva.com")</f>
        <v>jmfrial@canva.com</v>
      </c>
      <c r="R2079" s="1" t="str">
        <f>IFERROR(__xludf.DUMMYFUNCTION("""COMPUTED_VALUE"""),"JM Frial")</f>
        <v>JM Frial</v>
      </c>
      <c r="S2079" s="1">
        <f>IFERROR(__xludf.DUMMYFUNCTION("""COMPUTED_VALUE"""),0.5)</f>
        <v>0.5</v>
      </c>
      <c r="T2079" s="1">
        <f>IFERROR(__xludf.DUMMYFUNCTION("""COMPUTED_VALUE"""),8.75)</f>
        <v>8.75</v>
      </c>
      <c r="U2079" s="2">
        <f>IFERROR(__xludf.DUMMYFUNCTION("""COMPUTED_VALUE"""),9.25)</f>
        <v>9.25</v>
      </c>
      <c r="V2079" s="1" t="str">
        <f>IFERROR(__xludf.DUMMYFUNCTION("""COMPUTED_VALUE"""),"Sieg Ballelos")</f>
        <v>Sieg Ballelos</v>
      </c>
      <c r="W2079" s="1" t="str">
        <f>IFERROR(__xludf.DUMMYFUNCTION("""COMPUTED_VALUE"""),"Core Product Support Escalation Team")</f>
        <v>Core Product Support Escalation Team</v>
      </c>
    </row>
    <row r="2080">
      <c r="O2080" s="1" t="str">
        <f>IFERROR(__xludf.DUMMYFUNCTION("""COMPUTED_VALUE"""),"2026 Jan")</f>
        <v>2026 Jan</v>
      </c>
      <c r="P2080" s="1" t="str">
        <f>IFERROR(__xludf.DUMMYFUNCTION("""COMPUTED_VALUE"""),"Core Product Support")</f>
        <v>Core Product Support</v>
      </c>
      <c r="Q2080" s="1" t="str">
        <f>IFERROR(__xludf.DUMMYFUNCTION("""COMPUTED_VALUE"""),"jmpascual@canva.com")</f>
        <v>jmpascual@canva.com</v>
      </c>
      <c r="R2080" s="1" t="str">
        <f>IFERROR(__xludf.DUMMYFUNCTION("""COMPUTED_VALUE"""),"JM Pascual")</f>
        <v>JM Pascual</v>
      </c>
      <c r="S2080" s="1">
        <f>IFERROR(__xludf.DUMMYFUNCTION("""COMPUTED_VALUE"""),2.0)</f>
        <v>2</v>
      </c>
      <c r="T2080" s="1">
        <f>IFERROR(__xludf.DUMMYFUNCTION("""COMPUTED_VALUE"""),3.25)</f>
        <v>3.25</v>
      </c>
      <c r="U2080" s="2">
        <f>IFERROR(__xludf.DUMMYFUNCTION("""COMPUTED_VALUE"""),5.25)</f>
        <v>5.25</v>
      </c>
      <c r="V2080" s="1" t="str">
        <f>IFERROR(__xludf.DUMMYFUNCTION("""COMPUTED_VALUE"""),"Belle Bentazal")</f>
        <v>Belle Bentazal</v>
      </c>
      <c r="W2080" s="1" t="str">
        <f>IFERROR(__xludf.DUMMYFUNCTION("""COMPUTED_VALUE"""),"Advanced Product Support")</f>
        <v>Advanced Product Support</v>
      </c>
    </row>
    <row r="2081">
      <c r="O2081" s="1" t="str">
        <f>IFERROR(__xludf.DUMMYFUNCTION("""COMPUTED_VALUE"""),"2026 Jan")</f>
        <v>2026 Jan</v>
      </c>
      <c r="P2081" s="1" t="str">
        <f>IFERROR(__xludf.DUMMYFUNCTION("""COMPUTED_VALUE"""),"Print Support")</f>
        <v>Print Support</v>
      </c>
      <c r="Q2081" s="1" t="str">
        <f>IFERROR(__xludf.DUMMYFUNCTION("""COMPUTED_VALUE"""),"joanmyle@canva.com")</f>
        <v>joanmyle@canva.com</v>
      </c>
      <c r="R2081" s="1" t="str">
        <f>IFERROR(__xludf.DUMMYFUNCTION("""COMPUTED_VALUE"""),"Joan Myle Dapog")</f>
        <v>Joan Myle Dapog</v>
      </c>
      <c r="S2081" s="1"/>
      <c r="T2081" s="1">
        <f>IFERROR(__xludf.DUMMYFUNCTION("""COMPUTED_VALUE"""),2.5)</f>
        <v>2.5</v>
      </c>
      <c r="U2081" s="2">
        <f>IFERROR(__xludf.DUMMYFUNCTION("""COMPUTED_VALUE"""),2.5)</f>
        <v>2.5</v>
      </c>
      <c r="V2081" s="1" t="str">
        <f>IFERROR(__xludf.DUMMYFUNCTION("""COMPUTED_VALUE"""),"Jen Momo")</f>
        <v>Jen Momo</v>
      </c>
      <c r="W2081" s="1" t="str">
        <f>IFERROR(__xludf.DUMMYFUNCTION("""COMPUTED_VALUE"""),"Print Support PH")</f>
        <v>Print Support PH</v>
      </c>
    </row>
    <row r="2082">
      <c r="O2082" s="1" t="str">
        <f>IFERROR(__xludf.DUMMYFUNCTION("""COMPUTED_VALUE"""),"2026 Jan")</f>
        <v>2026 Jan</v>
      </c>
      <c r="P2082" s="1" t="str">
        <f>IFERROR(__xludf.DUMMYFUNCTION("""COMPUTED_VALUE"""),"Print Support")</f>
        <v>Print Support</v>
      </c>
      <c r="Q2082" s="1" t="str">
        <f>IFERROR(__xludf.DUMMYFUNCTION("""COMPUTED_VALUE"""),"jmbeldua@canva.com")</f>
        <v>jmbeldua@canva.com</v>
      </c>
      <c r="R2082" s="1" t="str">
        <f>IFERROR(__xludf.DUMMYFUNCTION("""COMPUTED_VALUE"""),"Joane Beldua")</f>
        <v>Joane Beldua</v>
      </c>
      <c r="S2082" s="1"/>
      <c r="T2082" s="1">
        <f>IFERROR(__xludf.DUMMYFUNCTION("""COMPUTED_VALUE"""),2.0)</f>
        <v>2</v>
      </c>
      <c r="U2082" s="2">
        <f>IFERROR(__xludf.DUMMYFUNCTION("""COMPUTED_VALUE"""),2.0)</f>
        <v>2</v>
      </c>
      <c r="V2082" s="1" t="str">
        <f>IFERROR(__xludf.DUMMYFUNCTION("""COMPUTED_VALUE"""),"Louise Dianne Estrella")</f>
        <v>Louise Dianne Estrella</v>
      </c>
      <c r="W2082" s="1" t="str">
        <f>IFERROR(__xludf.DUMMYFUNCTION("""COMPUTED_VALUE"""),"Print Support PH")</f>
        <v>Print Support PH</v>
      </c>
    </row>
    <row r="2083">
      <c r="O2083" s="1" t="str">
        <f>IFERROR(__xludf.DUMMYFUNCTION("""COMPUTED_VALUE"""),"2026 Jan")</f>
        <v>2026 Jan</v>
      </c>
      <c r="P2083" s="1" t="str">
        <f>IFERROR(__xludf.DUMMYFUNCTION("""COMPUTED_VALUE"""),"Multilingual Support")</f>
        <v>Multilingual Support</v>
      </c>
      <c r="Q2083" s="1" t="str">
        <f>IFERROR(__xludf.DUMMYFUNCTION("""COMPUTED_VALUE"""),"joaqdivino@canva.com")</f>
        <v>joaqdivino@canva.com</v>
      </c>
      <c r="R2083" s="1" t="str">
        <f>IFERROR(__xludf.DUMMYFUNCTION("""COMPUTED_VALUE"""),"Joaquin Divino")</f>
        <v>Joaquin Divino</v>
      </c>
      <c r="S2083" s="1"/>
      <c r="T2083" s="1"/>
      <c r="U2083" s="2">
        <f>IFERROR(__xludf.DUMMYFUNCTION("""COMPUTED_VALUE"""),0.0)</f>
        <v>0</v>
      </c>
      <c r="V2083" s="1" t="str">
        <f>IFERROR(__xludf.DUMMYFUNCTION("""COMPUTED_VALUE"""),"Arlene Maurillo")</f>
        <v>Arlene Maurillo</v>
      </c>
      <c r="W2083" s="1" t="str">
        <f>IFERROR(__xludf.DUMMYFUNCTION("""COMPUTED_VALUE"""),"PHL, Multilingual Support")</f>
        <v>PHL, Multilingual Support</v>
      </c>
    </row>
    <row r="2084">
      <c r="O2084" s="1" t="str">
        <f>IFERROR(__xludf.DUMMYFUNCTION("""COMPUTED_VALUE"""),"2026 Jan")</f>
        <v>2026 Jan</v>
      </c>
      <c r="P2084" s="1" t="str">
        <f>IFERROR(__xludf.DUMMYFUNCTION("""COMPUTED_VALUE"""),"Core Product Support")</f>
        <v>Core Product Support</v>
      </c>
      <c r="Q2084" s="1" t="str">
        <f>IFERROR(__xludf.DUMMYFUNCTION("""COMPUTED_VALUE"""),"jocelynng@canva.com")</f>
        <v>jocelynng@canva.com</v>
      </c>
      <c r="R2084" s="1" t="str">
        <f>IFERROR(__xludf.DUMMYFUNCTION("""COMPUTED_VALUE"""),"Jocelyn Ng")</f>
        <v>Jocelyn Ng</v>
      </c>
      <c r="S2084" s="1">
        <f>IFERROR(__xludf.DUMMYFUNCTION("""COMPUTED_VALUE"""),1.12)</f>
        <v>1.12</v>
      </c>
      <c r="T2084" s="1">
        <f>IFERROR(__xludf.DUMMYFUNCTION("""COMPUTED_VALUE"""),13.63)</f>
        <v>13.63</v>
      </c>
      <c r="U2084" s="2">
        <f>IFERROR(__xludf.DUMMYFUNCTION("""COMPUTED_VALUE"""),14.75)</f>
        <v>14.75</v>
      </c>
      <c r="V2084" s="1" t="str">
        <f>IFERROR(__xludf.DUMMYFUNCTION("""COMPUTED_VALUE"""),"Sieg Ballelos")</f>
        <v>Sieg Ballelos</v>
      </c>
      <c r="W2084" s="1" t="str">
        <f>IFERROR(__xludf.DUMMYFUNCTION("""COMPUTED_VALUE"""),"Core Product Support Escalation Team")</f>
        <v>Core Product Support Escalation Team</v>
      </c>
    </row>
    <row r="2085">
      <c r="O2085" s="1" t="str">
        <f>IFERROR(__xludf.DUMMYFUNCTION("""COMPUTED_VALUE"""),"2026 Jan")</f>
        <v>2026 Jan</v>
      </c>
      <c r="P2085" s="1" t="str">
        <f>IFERROR(__xludf.DUMMYFUNCTION("""COMPUTED_VALUE"""),"Admin Support")</f>
        <v>Admin Support</v>
      </c>
      <c r="Q2085" s="1" t="str">
        <f>IFERROR(__xludf.DUMMYFUNCTION("""COMPUTED_VALUE"""),"cee@canva.com")</f>
        <v>cee@canva.com</v>
      </c>
      <c r="R2085" s="1" t="str">
        <f>IFERROR(__xludf.DUMMYFUNCTION("""COMPUTED_VALUE"""),"John Carlo Gonzales")</f>
        <v>John Carlo Gonzales</v>
      </c>
      <c r="S2085" s="1"/>
      <c r="T2085" s="1">
        <f>IFERROR(__xludf.DUMMYFUNCTION("""COMPUTED_VALUE"""),2.17)</f>
        <v>2.17</v>
      </c>
      <c r="U2085" s="2">
        <f>IFERROR(__xludf.DUMMYFUNCTION("""COMPUTED_VALUE"""),2.17)</f>
        <v>2.17</v>
      </c>
      <c r="V2085" s="1" t="str">
        <f>IFERROR(__xludf.DUMMYFUNCTION("""COMPUTED_VALUE"""),"AL Suarez")</f>
        <v>AL Suarez</v>
      </c>
      <c r="W2085" s="1" t="str">
        <f>IFERROR(__xludf.DUMMYFUNCTION("""COMPUTED_VALUE"""),"Admin Direct Support")</f>
        <v>Admin Direct Support</v>
      </c>
    </row>
    <row r="2086">
      <c r="O2086" s="1" t="str">
        <f>IFERROR(__xludf.DUMMYFUNCTION("""COMPUTED_VALUE"""),"2026 Jan")</f>
        <v>2026 Jan</v>
      </c>
      <c r="P2086" s="1" t="str">
        <f>IFERROR(__xludf.DUMMYFUNCTION("""COMPUTED_VALUE"""),"Core Product Support")</f>
        <v>Core Product Support</v>
      </c>
      <c r="Q2086" s="1" t="str">
        <f>IFERROR(__xludf.DUMMYFUNCTION("""COMPUTED_VALUE"""),"khael@canva.com")</f>
        <v>khael@canva.com</v>
      </c>
      <c r="R2086" s="1" t="str">
        <f>IFERROR(__xludf.DUMMYFUNCTION("""COMPUTED_VALUE"""),"John Pieda")</f>
        <v>John Pieda</v>
      </c>
      <c r="S2086" s="1">
        <f>IFERROR(__xludf.DUMMYFUNCTION("""COMPUTED_VALUE"""),1.5)</f>
        <v>1.5</v>
      </c>
      <c r="T2086" s="1">
        <f>IFERROR(__xludf.DUMMYFUNCTION("""COMPUTED_VALUE"""),8.0)</f>
        <v>8</v>
      </c>
      <c r="U2086" s="2">
        <f>IFERROR(__xludf.DUMMYFUNCTION("""COMPUTED_VALUE"""),9.5)</f>
        <v>9.5</v>
      </c>
      <c r="V2086" s="1" t="str">
        <f>IFERROR(__xludf.DUMMYFUNCTION("""COMPUTED_VALUE"""),"Ayza Marie Pascual")</f>
        <v>Ayza Marie Pascual</v>
      </c>
      <c r="W2086" s="1" t="str">
        <f>IFERROR(__xludf.DUMMYFUNCTION("""COMPUTED_VALUE"""),"Advanced Billing &amp; Subscriptions")</f>
        <v>Advanced Billing &amp; Subscriptions</v>
      </c>
    </row>
    <row r="2087">
      <c r="O2087" s="1" t="str">
        <f>IFERROR(__xludf.DUMMYFUNCTION("""COMPUTED_VALUE"""),"2026 Jan")</f>
        <v>2026 Jan</v>
      </c>
      <c r="P2087" s="1" t="str">
        <f>IFERROR(__xludf.DUMMYFUNCTION("""COMPUTED_VALUE"""),"Core Product Support")</f>
        <v>Core Product Support</v>
      </c>
      <c r="Q2087" s="1" t="str">
        <f>IFERROR(__xludf.DUMMYFUNCTION("""COMPUTED_VALUE"""),"jonahezra@canva.com")</f>
        <v>jonahezra@canva.com</v>
      </c>
      <c r="R2087" s="1" t="str">
        <f>IFERROR(__xludf.DUMMYFUNCTION("""COMPUTED_VALUE"""),"Jonah Ezra Vergara")</f>
        <v>Jonah Ezra Vergara</v>
      </c>
      <c r="S2087" s="1"/>
      <c r="T2087" s="1">
        <f>IFERROR(__xludf.DUMMYFUNCTION("""COMPUTED_VALUE"""),9.0)</f>
        <v>9</v>
      </c>
      <c r="U2087" s="2">
        <f>IFERROR(__xludf.DUMMYFUNCTION("""COMPUTED_VALUE"""),9.0)</f>
        <v>9</v>
      </c>
      <c r="V2087" s="1" t="str">
        <f>IFERROR(__xludf.DUMMYFUNCTION("""COMPUTED_VALUE"""),"Ellaine Estayo")</f>
        <v>Ellaine Estayo</v>
      </c>
      <c r="W2087" s="1" t="str">
        <f>IFERROR(__xludf.DUMMYFUNCTION("""COMPUTED_VALUE"""),"Core Product Support Escalation Team")</f>
        <v>Core Product Support Escalation Team</v>
      </c>
    </row>
    <row r="2088">
      <c r="O2088" s="1" t="str">
        <f>IFERROR(__xludf.DUMMYFUNCTION("""COMPUTED_VALUE"""),"2026 Jan")</f>
        <v>2026 Jan</v>
      </c>
      <c r="P2088" s="1" t="str">
        <f>IFERROR(__xludf.DUMMYFUNCTION("""COMPUTED_VALUE"""),"Core Product Support")</f>
        <v>Core Product Support</v>
      </c>
      <c r="Q2088" s="1" t="str">
        <f>IFERROR(__xludf.DUMMYFUNCTION("""COMPUTED_VALUE"""),"cjopphet@canva.com")</f>
        <v>cjopphet@canva.com</v>
      </c>
      <c r="R2088" s="1" t="str">
        <f>IFERROR(__xludf.DUMMYFUNCTION("""COMPUTED_VALUE"""),"Jopphet Villafuerte")</f>
        <v>Jopphet Villafuerte</v>
      </c>
      <c r="S2088" s="1">
        <f>IFERROR(__xludf.DUMMYFUNCTION("""COMPUTED_VALUE"""),2.25)</f>
        <v>2.25</v>
      </c>
      <c r="T2088" s="1">
        <f>IFERROR(__xludf.DUMMYFUNCTION("""COMPUTED_VALUE"""),9.25)</f>
        <v>9.25</v>
      </c>
      <c r="U2088" s="2">
        <f>IFERROR(__xludf.DUMMYFUNCTION("""COMPUTED_VALUE"""),11.5)</f>
        <v>11.5</v>
      </c>
      <c r="V2088" s="1" t="str">
        <f>IFERROR(__xludf.DUMMYFUNCTION("""COMPUTED_VALUE"""),"Ayza Marie Pascual")</f>
        <v>Ayza Marie Pascual</v>
      </c>
      <c r="W2088" s="1" t="str">
        <f>IFERROR(__xludf.DUMMYFUNCTION("""COMPUTED_VALUE"""),"Advanced Billing &amp; Subscriptions")</f>
        <v>Advanced Billing &amp; Subscriptions</v>
      </c>
    </row>
    <row r="2089">
      <c r="O2089" s="1" t="str">
        <f>IFERROR(__xludf.DUMMYFUNCTION("""COMPUTED_VALUE"""),"2026 Jan")</f>
        <v>2026 Jan</v>
      </c>
      <c r="P2089" s="1" t="str">
        <f>IFERROR(__xludf.DUMMYFUNCTION("""COMPUTED_VALUE"""),"Segment-specific Support")</f>
        <v>Segment-specific Support</v>
      </c>
      <c r="Q2089" s="1" t="str">
        <f>IFERROR(__xludf.DUMMYFUNCTION("""COMPUTED_VALUE"""),"jorell@canva.com")</f>
        <v>jorell@canva.com</v>
      </c>
      <c r="R2089" s="1" t="str">
        <f>IFERROR(__xludf.DUMMYFUNCTION("""COMPUTED_VALUE"""),"Jorell Bollozos")</f>
        <v>Jorell Bollozos</v>
      </c>
      <c r="S2089" s="1"/>
      <c r="T2089" s="1">
        <f>IFERROR(__xludf.DUMMYFUNCTION("""COMPUTED_VALUE"""),1.75)</f>
        <v>1.75</v>
      </c>
      <c r="U2089" s="2">
        <f>IFERROR(__xludf.DUMMYFUNCTION("""COMPUTED_VALUE"""),1.75)</f>
        <v>1.75</v>
      </c>
      <c r="V2089" s="1" t="str">
        <f>IFERROR(__xludf.DUMMYFUNCTION("""COMPUTED_VALUE"""),"Gucci Nava")</f>
        <v>Gucci Nava</v>
      </c>
      <c r="W2089" s="1" t="str">
        <f>IFERROR(__xludf.DUMMYFUNCTION("""COMPUTED_VALUE"""),"Print Support PH")</f>
        <v>Print Support PH</v>
      </c>
    </row>
    <row r="2090">
      <c r="O2090" s="1" t="str">
        <f>IFERROR(__xludf.DUMMYFUNCTION("""COMPUTED_VALUE"""),"2026 Jan")</f>
        <v>2026 Jan</v>
      </c>
      <c r="P2090" s="1" t="str">
        <f>IFERROR(__xludf.DUMMYFUNCTION("""COMPUTED_VALUE"""),"Core Product Support")</f>
        <v>Core Product Support</v>
      </c>
      <c r="Q2090" s="1" t="str">
        <f>IFERROR(__xludf.DUMMYFUNCTION("""COMPUTED_VALUE"""),"josab@canva.com")</f>
        <v>josab@canva.com</v>
      </c>
      <c r="R2090" s="1" t="str">
        <f>IFERROR(__xludf.DUMMYFUNCTION("""COMPUTED_VALUE"""),"Josa Bernardino")</f>
        <v>Josa Bernardino</v>
      </c>
      <c r="S2090" s="1">
        <f>IFERROR(__xludf.DUMMYFUNCTION("""COMPUTED_VALUE"""),1.0)</f>
        <v>1</v>
      </c>
      <c r="T2090" s="1">
        <f>IFERROR(__xludf.DUMMYFUNCTION("""COMPUTED_VALUE"""),35.83)</f>
        <v>35.83</v>
      </c>
      <c r="U2090" s="2">
        <f>IFERROR(__xludf.DUMMYFUNCTION("""COMPUTED_VALUE"""),36.83)</f>
        <v>36.83</v>
      </c>
      <c r="V2090" s="1" t="str">
        <f>IFERROR(__xludf.DUMMYFUNCTION("""COMPUTED_VALUE"""),"Ellaine Estayo")</f>
        <v>Ellaine Estayo</v>
      </c>
      <c r="W2090" s="1" t="str">
        <f>IFERROR(__xludf.DUMMYFUNCTION("""COMPUTED_VALUE"""),"Core Product Support Escalation Team")</f>
        <v>Core Product Support Escalation Team</v>
      </c>
    </row>
    <row r="2091">
      <c r="O2091" s="1" t="str">
        <f>IFERROR(__xludf.DUMMYFUNCTION("""COMPUTED_VALUE"""),"2026 Jan")</f>
        <v>2026 Jan</v>
      </c>
      <c r="P2091" s="1" t="str">
        <f>IFERROR(__xludf.DUMMYFUNCTION("""COMPUTED_VALUE"""),"Print Support")</f>
        <v>Print Support</v>
      </c>
      <c r="Q2091" s="1" t="str">
        <f>IFERROR(__xludf.DUMMYFUNCTION("""COMPUTED_VALUE"""),"quin@canva.com")</f>
        <v>quin@canva.com</v>
      </c>
      <c r="R2091" s="1" t="str">
        <f>IFERROR(__xludf.DUMMYFUNCTION("""COMPUTED_VALUE"""),"Jose Antiquin")</f>
        <v>Jose Antiquin</v>
      </c>
      <c r="S2091" s="1"/>
      <c r="T2091" s="1">
        <f>IFERROR(__xludf.DUMMYFUNCTION("""COMPUTED_VALUE"""),0.17)</f>
        <v>0.17</v>
      </c>
      <c r="U2091" s="2">
        <f>IFERROR(__xludf.DUMMYFUNCTION("""COMPUTED_VALUE"""),0.17)</f>
        <v>0.17</v>
      </c>
      <c r="V2091" s="1" t="str">
        <f>IFERROR(__xludf.DUMMYFUNCTION("""COMPUTED_VALUE"""),"Jen Momo")</f>
        <v>Jen Momo</v>
      </c>
      <c r="W2091" s="1" t="str">
        <f>IFERROR(__xludf.DUMMYFUNCTION("""COMPUTED_VALUE"""),"Print Support PH")</f>
        <v>Print Support PH</v>
      </c>
    </row>
    <row r="2092">
      <c r="O2092" s="1" t="str">
        <f>IFERROR(__xludf.DUMMYFUNCTION("""COMPUTED_VALUE"""),"2026 Jan")</f>
        <v>2026 Jan</v>
      </c>
      <c r="P2092" s="1" t="str">
        <f>IFERROR(__xludf.DUMMYFUNCTION("""COMPUTED_VALUE"""),"Admin Support")</f>
        <v>Admin Support</v>
      </c>
      <c r="Q2092" s="1" t="str">
        <f>IFERROR(__xludf.DUMMYFUNCTION("""COMPUTED_VALUE"""),"joshid@canva.com")</f>
        <v>joshid@canva.com</v>
      </c>
      <c r="R2092" s="1" t="str">
        <f>IFERROR(__xludf.DUMMYFUNCTION("""COMPUTED_VALUE"""),"Joshua Dacanay")</f>
        <v>Joshua Dacanay</v>
      </c>
      <c r="S2092" s="1"/>
      <c r="T2092" s="1">
        <f>IFERROR(__xludf.DUMMYFUNCTION("""COMPUTED_VALUE"""),2.75)</f>
        <v>2.75</v>
      </c>
      <c r="U2092" s="2">
        <f>IFERROR(__xludf.DUMMYFUNCTION("""COMPUTED_VALUE"""),2.75)</f>
        <v>2.75</v>
      </c>
      <c r="V2092" s="1" t="str">
        <f>IFERROR(__xludf.DUMMYFUNCTION("""COMPUTED_VALUE"""),"AL Suarez")</f>
        <v>AL Suarez</v>
      </c>
      <c r="W2092" s="1" t="str">
        <f>IFERROR(__xludf.DUMMYFUNCTION("""COMPUTED_VALUE"""),"Admin Direct Support")</f>
        <v>Admin Direct Support</v>
      </c>
    </row>
    <row r="2093">
      <c r="O2093" s="1" t="str">
        <f>IFERROR(__xludf.DUMMYFUNCTION("""COMPUTED_VALUE"""),"2026 Jan")</f>
        <v>2026 Jan</v>
      </c>
      <c r="P2093" s="1" t="str">
        <f>IFERROR(__xludf.DUMMYFUNCTION("""COMPUTED_VALUE"""),"High Sensitivity Support")</f>
        <v>High Sensitivity Support</v>
      </c>
      <c r="Q2093" s="1" t="str">
        <f>IFERROR(__xludf.DUMMYFUNCTION("""COMPUTED_VALUE"""),"jpbasco@canva.com")</f>
        <v>jpbasco@canva.com</v>
      </c>
      <c r="R2093" s="1" t="str">
        <f>IFERROR(__xludf.DUMMYFUNCTION("""COMPUTED_VALUE"""),"JP Basco")</f>
        <v>JP Basco</v>
      </c>
      <c r="S2093" s="1"/>
      <c r="T2093" s="1">
        <f>IFERROR(__xludf.DUMMYFUNCTION("""COMPUTED_VALUE"""),4.05)</f>
        <v>4.05</v>
      </c>
      <c r="U2093" s="2">
        <f>IFERROR(__xludf.DUMMYFUNCTION("""COMPUTED_VALUE"""),4.05)</f>
        <v>4.05</v>
      </c>
      <c r="V2093" s="1" t="str">
        <f>IFERROR(__xludf.DUMMYFUNCTION("""COMPUTED_VALUE"""),"Rex Villamor")</f>
        <v>Rex Villamor</v>
      </c>
      <c r="W2093" s="1" t="str">
        <f>IFERROR(__xludf.DUMMYFUNCTION("""COMPUTED_VALUE"""),"High Sensitivity Support PH")</f>
        <v>High Sensitivity Support PH</v>
      </c>
    </row>
    <row r="2094">
      <c r="O2094" s="1" t="str">
        <f>IFERROR(__xludf.DUMMYFUNCTION("""COMPUTED_VALUE"""),"2026 Jan")</f>
        <v>2026 Jan</v>
      </c>
      <c r="P2094" s="1" t="str">
        <f>IFERROR(__xludf.DUMMYFUNCTION("""COMPUTED_VALUE"""),"Core Product Support")</f>
        <v>Core Product Support</v>
      </c>
      <c r="Q2094" s="1" t="str">
        <f>IFERROR(__xludf.DUMMYFUNCTION("""COMPUTED_VALUE"""),"mgonzalgo@canva.com")</f>
        <v>mgonzalgo@canva.com</v>
      </c>
      <c r="R2094" s="1" t="str">
        <f>IFERROR(__xludf.DUMMYFUNCTION("""COMPUTED_VALUE"""),"Juhrella Gonzalgo")</f>
        <v>Juhrella Gonzalgo</v>
      </c>
      <c r="S2094" s="1">
        <f>IFERROR(__xludf.DUMMYFUNCTION("""COMPUTED_VALUE"""),1.0)</f>
        <v>1</v>
      </c>
      <c r="T2094" s="1">
        <f>IFERROR(__xludf.DUMMYFUNCTION("""COMPUTED_VALUE"""),4.33)</f>
        <v>4.33</v>
      </c>
      <c r="U2094" s="2">
        <f>IFERROR(__xludf.DUMMYFUNCTION("""COMPUTED_VALUE"""),5.33)</f>
        <v>5.33</v>
      </c>
      <c r="V2094" s="1" t="str">
        <f>IFERROR(__xludf.DUMMYFUNCTION("""COMPUTED_VALUE"""),"Mikhaela Decangchon")</f>
        <v>Mikhaela Decangchon</v>
      </c>
      <c r="W2094" s="1" t="str">
        <f>IFERROR(__xludf.DUMMYFUNCTION("""COMPUTED_VALUE"""),"Advanced Product Support")</f>
        <v>Advanced Product Support</v>
      </c>
    </row>
    <row r="2095">
      <c r="O2095" s="1" t="str">
        <f>IFERROR(__xludf.DUMMYFUNCTION("""COMPUTED_VALUE"""),"2026 Jan")</f>
        <v>2026 Jan</v>
      </c>
      <c r="P2095" s="1" t="str">
        <f>IFERROR(__xludf.DUMMYFUNCTION("""COMPUTED_VALUE"""),"Admin Support")</f>
        <v>Admin Support</v>
      </c>
      <c r="Q2095" s="1" t="str">
        <f>IFERROR(__xludf.DUMMYFUNCTION("""COMPUTED_VALUE"""),"justinem@canva.com")</f>
        <v>justinem@canva.com</v>
      </c>
      <c r="R2095" s="1" t="str">
        <f>IFERROR(__xludf.DUMMYFUNCTION("""COMPUTED_VALUE"""),"Justine Valerie Meneses")</f>
        <v>Justine Valerie Meneses</v>
      </c>
      <c r="S2095" s="1"/>
      <c r="T2095" s="1"/>
      <c r="U2095" s="2">
        <f>IFERROR(__xludf.DUMMYFUNCTION("""COMPUTED_VALUE"""),0.0)</f>
        <v>0</v>
      </c>
      <c r="V2095" s="1" t="str">
        <f>IFERROR(__xludf.DUMMYFUNCTION("""COMPUTED_VALUE"""),"Karla Mananghaya")</f>
        <v>Karla Mananghaya</v>
      </c>
      <c r="W2095" s="1" t="str">
        <f>IFERROR(__xludf.DUMMYFUNCTION("""COMPUTED_VALUE"""),"Admin Support Service Escalation Team")</f>
        <v>Admin Support Service Escalation Team</v>
      </c>
    </row>
    <row r="2096">
      <c r="O2096" s="1" t="str">
        <f>IFERROR(__xludf.DUMMYFUNCTION("""COMPUTED_VALUE"""),"2026 Jan")</f>
        <v>2026 Jan</v>
      </c>
      <c r="P2096" s="1" t="str">
        <f>IFERROR(__xludf.DUMMYFUNCTION("""COMPUTED_VALUE"""),"Admin Support")</f>
        <v>Admin Support</v>
      </c>
      <c r="Q2096" s="1" t="str">
        <f>IFERROR(__xludf.DUMMYFUNCTION("""COMPUTED_VALUE"""),"kamilleb@canva.com")</f>
        <v>kamilleb@canva.com</v>
      </c>
      <c r="R2096" s="1" t="str">
        <f>IFERROR(__xludf.DUMMYFUNCTION("""COMPUTED_VALUE"""),"Kamille Batuyong")</f>
        <v>Kamille Batuyong</v>
      </c>
      <c r="S2096" s="1"/>
      <c r="T2096" s="1">
        <f>IFERROR(__xludf.DUMMYFUNCTION("""COMPUTED_VALUE"""),2.08)</f>
        <v>2.08</v>
      </c>
      <c r="U2096" s="2">
        <f>IFERROR(__xludf.DUMMYFUNCTION("""COMPUTED_VALUE"""),2.08)</f>
        <v>2.08</v>
      </c>
      <c r="V2096" s="1" t="str">
        <f>IFERROR(__xludf.DUMMYFUNCTION("""COMPUTED_VALUE"""),"AL Suarez")</f>
        <v>AL Suarez</v>
      </c>
      <c r="W2096" s="1" t="str">
        <f>IFERROR(__xludf.DUMMYFUNCTION("""COMPUTED_VALUE"""),"Print Support PH")</f>
        <v>Print Support PH</v>
      </c>
    </row>
    <row r="2097">
      <c r="O2097" s="1" t="str">
        <f>IFERROR(__xludf.DUMMYFUNCTION("""COMPUTED_VALUE"""),"2026 Jan")</f>
        <v>2026 Jan</v>
      </c>
      <c r="P2097" s="1" t="str">
        <f>IFERROR(__xludf.DUMMYFUNCTION("""COMPUTED_VALUE"""),"Core Product Support")</f>
        <v>Core Product Support</v>
      </c>
      <c r="Q2097" s="1" t="str">
        <f>IFERROR(__xludf.DUMMYFUNCTION("""COMPUTED_VALUE"""),"katcee@canva.com")</f>
        <v>katcee@canva.com</v>
      </c>
      <c r="R2097" s="1" t="str">
        <f>IFERROR(__xludf.DUMMYFUNCTION("""COMPUTED_VALUE"""),"Katrin Cebedo")</f>
        <v>Katrin Cebedo</v>
      </c>
      <c r="S2097" s="1">
        <f>IFERROR(__xludf.DUMMYFUNCTION("""COMPUTED_VALUE"""),1.5)</f>
        <v>1.5</v>
      </c>
      <c r="T2097" s="1">
        <f>IFERROR(__xludf.DUMMYFUNCTION("""COMPUTED_VALUE"""),8.0)</f>
        <v>8</v>
      </c>
      <c r="U2097" s="2">
        <f>IFERROR(__xludf.DUMMYFUNCTION("""COMPUTED_VALUE"""),9.5)</f>
        <v>9.5</v>
      </c>
      <c r="V2097" s="1" t="str">
        <f>IFERROR(__xludf.DUMMYFUNCTION("""COMPUTED_VALUE"""),"Ayza Marie Pascual")</f>
        <v>Ayza Marie Pascual</v>
      </c>
      <c r="W2097" s="1" t="str">
        <f>IFERROR(__xludf.DUMMYFUNCTION("""COMPUTED_VALUE"""),"Advanced Billing &amp; Subscriptions")</f>
        <v>Advanced Billing &amp; Subscriptions</v>
      </c>
    </row>
    <row r="2098">
      <c r="O2098" s="1" t="str">
        <f>IFERROR(__xludf.DUMMYFUNCTION("""COMPUTED_VALUE"""),"2026 Jan")</f>
        <v>2026 Jan</v>
      </c>
      <c r="P2098" s="1" t="str">
        <f>IFERROR(__xludf.DUMMYFUNCTION("""COMPUTED_VALUE"""),"Print Support")</f>
        <v>Print Support</v>
      </c>
      <c r="Q2098" s="1" t="str">
        <f>IFERROR(__xludf.DUMMYFUNCTION("""COMPUTED_VALUE"""),"katejoya@canva.com")</f>
        <v>katejoya@canva.com</v>
      </c>
      <c r="R2098" s="1" t="str">
        <f>IFERROR(__xludf.DUMMYFUNCTION("""COMPUTED_VALUE"""),"Katrina Joya")</f>
        <v>Katrina Joya</v>
      </c>
      <c r="S2098" s="1"/>
      <c r="T2098" s="1"/>
      <c r="U2098" s="2">
        <f>IFERROR(__xludf.DUMMYFUNCTION("""COMPUTED_VALUE"""),0.0)</f>
        <v>0</v>
      </c>
      <c r="V2098" s="1" t="str">
        <f>IFERROR(__xludf.DUMMYFUNCTION("""COMPUTED_VALUE"""),"Gem Agoncillo")</f>
        <v>Gem Agoncillo</v>
      </c>
      <c r="W2098" s="1" t="str">
        <f>IFERROR(__xludf.DUMMYFUNCTION("""COMPUTED_VALUE"""),"Print Design Support")</f>
        <v>Print Design Support</v>
      </c>
    </row>
    <row r="2099">
      <c r="O2099" s="1" t="str">
        <f>IFERROR(__xludf.DUMMYFUNCTION("""COMPUTED_VALUE"""),"2026 Jan")</f>
        <v>2026 Jan</v>
      </c>
      <c r="P2099" s="1" t="str">
        <f>IFERROR(__xludf.DUMMYFUNCTION("""COMPUTED_VALUE"""),"Core Product Support")</f>
        <v>Core Product Support</v>
      </c>
      <c r="Q2099" s="1" t="str">
        <f>IFERROR(__xludf.DUMMYFUNCTION("""COMPUTED_VALUE"""),"kayl@canva.com")</f>
        <v>kayl@canva.com</v>
      </c>
      <c r="R2099" s="1" t="str">
        <f>IFERROR(__xludf.DUMMYFUNCTION("""COMPUTED_VALUE"""),"Kayl Albonia")</f>
        <v>Kayl Albonia</v>
      </c>
      <c r="S2099" s="1">
        <f>IFERROR(__xludf.DUMMYFUNCTION("""COMPUTED_VALUE"""),1.0)</f>
        <v>1</v>
      </c>
      <c r="T2099" s="1">
        <f>IFERROR(__xludf.DUMMYFUNCTION("""COMPUTED_VALUE"""),2.5)</f>
        <v>2.5</v>
      </c>
      <c r="U2099" s="2">
        <f>IFERROR(__xludf.DUMMYFUNCTION("""COMPUTED_VALUE"""),3.5)</f>
        <v>3.5</v>
      </c>
      <c r="V2099" s="1" t="str">
        <f>IFERROR(__xludf.DUMMYFUNCTION("""COMPUTED_VALUE"""),"Marie Mordeno")</f>
        <v>Marie Mordeno</v>
      </c>
      <c r="W2099" s="1" t="str">
        <f>IFERROR(__xludf.DUMMYFUNCTION("""COMPUTED_VALUE"""),"Advanced Billing &amp; Subscriptions")</f>
        <v>Advanced Billing &amp; Subscriptions</v>
      </c>
    </row>
    <row r="2100">
      <c r="O2100" s="1" t="str">
        <f>IFERROR(__xludf.DUMMYFUNCTION("""COMPUTED_VALUE"""),"2026 Jan")</f>
        <v>2026 Jan</v>
      </c>
      <c r="P2100" s="1" t="str">
        <f>IFERROR(__xludf.DUMMYFUNCTION("""COMPUTED_VALUE"""),"High Sensitivity Support")</f>
        <v>High Sensitivity Support</v>
      </c>
      <c r="Q2100" s="1" t="str">
        <f>IFERROR(__xludf.DUMMYFUNCTION("""COMPUTED_VALUE"""),"kathlene@canva.com")</f>
        <v>kathlene@canva.com</v>
      </c>
      <c r="R2100" s="1" t="str">
        <f>IFERROR(__xludf.DUMMYFUNCTION("""COMPUTED_VALUE"""),"KC Cruz")</f>
        <v>KC Cruz</v>
      </c>
      <c r="S2100" s="1"/>
      <c r="T2100" s="1">
        <f>IFERROR(__xludf.DUMMYFUNCTION("""COMPUTED_VALUE"""),0.5)</f>
        <v>0.5</v>
      </c>
      <c r="U2100" s="2">
        <f>IFERROR(__xludf.DUMMYFUNCTION("""COMPUTED_VALUE"""),0.5)</f>
        <v>0.5</v>
      </c>
      <c r="V2100" s="1" t="str">
        <f>IFERROR(__xludf.DUMMYFUNCTION("""COMPUTED_VALUE"""),"Xandy Azarcon")</f>
        <v>Xandy Azarcon</v>
      </c>
      <c r="W2100" s="1" t="str">
        <f>IFERROR(__xludf.DUMMYFUNCTION("""COMPUTED_VALUE"""),"High Sensitivity Support PH")</f>
        <v>High Sensitivity Support PH</v>
      </c>
    </row>
    <row r="2101">
      <c r="O2101" s="1" t="str">
        <f>IFERROR(__xludf.DUMMYFUNCTION("""COMPUTED_VALUE"""),"2026 Jan")</f>
        <v>2026 Jan</v>
      </c>
      <c r="P2101" s="1" t="str">
        <f>IFERROR(__xludf.DUMMYFUNCTION("""COMPUTED_VALUE"""),"Admin Support")</f>
        <v>Admin Support</v>
      </c>
      <c r="Q2101" s="1" t="str">
        <f>IFERROR(__xludf.DUMMYFUNCTION("""COMPUTED_VALUE"""),"kc@canva.com")</f>
        <v>kc@canva.com</v>
      </c>
      <c r="R2101" s="1" t="str">
        <f>IFERROR(__xludf.DUMMYFUNCTION("""COMPUTED_VALUE"""),"KC Sacramento")</f>
        <v>KC Sacramento</v>
      </c>
      <c r="S2101" s="1"/>
      <c r="T2101" s="1">
        <f>IFERROR(__xludf.DUMMYFUNCTION("""COMPUTED_VALUE"""),5.0)</f>
        <v>5</v>
      </c>
      <c r="U2101" s="2">
        <f>IFERROR(__xludf.DUMMYFUNCTION("""COMPUTED_VALUE"""),5.0)</f>
        <v>5</v>
      </c>
      <c r="V2101" s="1" t="str">
        <f>IFERROR(__xludf.DUMMYFUNCTION("""COMPUTED_VALUE"""),"Kelden Laguting")</f>
        <v>Kelden Laguting</v>
      </c>
      <c r="W2101" s="1" t="str">
        <f>IFERROR(__xludf.DUMMYFUNCTION("""COMPUTED_VALUE"""),"Admin Omni Support")</f>
        <v>Admin Omni Support</v>
      </c>
    </row>
    <row r="2102">
      <c r="O2102" s="1" t="str">
        <f>IFERROR(__xludf.DUMMYFUNCTION("""COMPUTED_VALUE"""),"2026 Jan")</f>
        <v>2026 Jan</v>
      </c>
      <c r="P2102" s="1" t="str">
        <f>IFERROR(__xludf.DUMMYFUNCTION("""COMPUTED_VALUE"""),"Print Support")</f>
        <v>Print Support</v>
      </c>
      <c r="Q2102" s="1" t="str">
        <f>IFERROR(__xludf.DUMMYFUNCTION("""COMPUTED_VALUE"""),"kennethgo@canva.com")</f>
        <v>kennethgo@canva.com</v>
      </c>
      <c r="R2102" s="1" t="str">
        <f>IFERROR(__xludf.DUMMYFUNCTION("""COMPUTED_VALUE"""),"Kenneth Go")</f>
        <v>Kenneth Go</v>
      </c>
      <c r="S2102" s="1"/>
      <c r="T2102" s="1">
        <f>IFERROR(__xludf.DUMMYFUNCTION("""COMPUTED_VALUE"""),1.08)</f>
        <v>1.08</v>
      </c>
      <c r="U2102" s="2">
        <f>IFERROR(__xludf.DUMMYFUNCTION("""COMPUTED_VALUE"""),1.08)</f>
        <v>1.08</v>
      </c>
      <c r="V2102" s="1" t="str">
        <f>IFERROR(__xludf.DUMMYFUNCTION("""COMPUTED_VALUE"""),"Jan Domingo")</f>
        <v>Jan Domingo</v>
      </c>
      <c r="W2102" s="1" t="str">
        <f>IFERROR(__xludf.DUMMYFUNCTION("""COMPUTED_VALUE"""),"Print Design Support")</f>
        <v>Print Design Support</v>
      </c>
    </row>
    <row r="2103">
      <c r="O2103" s="1" t="str">
        <f>IFERROR(__xludf.DUMMYFUNCTION("""COMPUTED_VALUE"""),"2026 Jan")</f>
        <v>2026 Jan</v>
      </c>
      <c r="P2103" s="1" t="str">
        <f>IFERROR(__xludf.DUMMYFUNCTION("""COMPUTED_VALUE"""),"Core Product Support")</f>
        <v>Core Product Support</v>
      </c>
      <c r="Q2103" s="1" t="str">
        <f>IFERROR(__xludf.DUMMYFUNCTION("""COMPUTED_VALUE"""),"kevingo@canva.com")</f>
        <v>kevingo@canva.com</v>
      </c>
      <c r="R2103" s="1" t="str">
        <f>IFERROR(__xludf.DUMMYFUNCTION("""COMPUTED_VALUE"""),"Kevin Go")</f>
        <v>Kevin Go</v>
      </c>
      <c r="S2103" s="1">
        <f>IFERROR(__xludf.DUMMYFUNCTION("""COMPUTED_VALUE"""),2.0)</f>
        <v>2</v>
      </c>
      <c r="T2103" s="1">
        <f>IFERROR(__xludf.DUMMYFUNCTION("""COMPUTED_VALUE"""),3.75)</f>
        <v>3.75</v>
      </c>
      <c r="U2103" s="2">
        <f>IFERROR(__xludf.DUMMYFUNCTION("""COMPUTED_VALUE"""),5.75)</f>
        <v>5.75</v>
      </c>
      <c r="V2103" s="1" t="str">
        <f>IFERROR(__xludf.DUMMYFUNCTION("""COMPUTED_VALUE"""),"Belle Bentazal")</f>
        <v>Belle Bentazal</v>
      </c>
      <c r="W2103" s="1" t="str">
        <f>IFERROR(__xludf.DUMMYFUNCTION("""COMPUTED_VALUE"""),"Advanced Product Support")</f>
        <v>Advanced Product Support</v>
      </c>
    </row>
    <row r="2104">
      <c r="O2104" s="1" t="str">
        <f>IFERROR(__xludf.DUMMYFUNCTION("""COMPUTED_VALUE"""),"2026 Jan")</f>
        <v>2026 Jan</v>
      </c>
      <c r="P2104" s="1" t="str">
        <f>IFERROR(__xludf.DUMMYFUNCTION("""COMPUTED_VALUE"""),"Core Product Support")</f>
        <v>Core Product Support</v>
      </c>
      <c r="Q2104" s="1" t="str">
        <f>IFERROR(__xludf.DUMMYFUNCTION("""COMPUTED_VALUE"""),"kevromuga@canva.com")</f>
        <v>kevromuga@canva.com</v>
      </c>
      <c r="R2104" s="1" t="str">
        <f>IFERROR(__xludf.DUMMYFUNCTION("""COMPUTED_VALUE"""),"Kevin John Romuga")</f>
        <v>Kevin John Romuga</v>
      </c>
      <c r="S2104" s="1"/>
      <c r="T2104" s="1">
        <f>IFERROR(__xludf.DUMMYFUNCTION("""COMPUTED_VALUE"""),8.25)</f>
        <v>8.25</v>
      </c>
      <c r="U2104" s="2">
        <f>IFERROR(__xludf.DUMMYFUNCTION("""COMPUTED_VALUE"""),8.25)</f>
        <v>8.25</v>
      </c>
      <c r="V2104" s="1" t="str">
        <f>IFERROR(__xludf.DUMMYFUNCTION("""COMPUTED_VALUE"""),"Renette Bok")</f>
        <v>Renette Bok</v>
      </c>
      <c r="W2104" s="1" t="str">
        <f>IFERROR(__xludf.DUMMYFUNCTION("""COMPUTED_VALUE"""),"Advanced Billing &amp; Subscriptions")</f>
        <v>Advanced Billing &amp; Subscriptions</v>
      </c>
    </row>
    <row r="2105">
      <c r="O2105" s="1" t="str">
        <f>IFERROR(__xludf.DUMMYFUNCTION("""COMPUTED_VALUE"""),"2026 Jan")</f>
        <v>2026 Jan</v>
      </c>
      <c r="P2105" s="1" t="str">
        <f>IFERROR(__xludf.DUMMYFUNCTION("""COMPUTED_VALUE"""),"Core Product Support")</f>
        <v>Core Product Support</v>
      </c>
      <c r="Q2105" s="1" t="str">
        <f>IFERROR(__xludf.DUMMYFUNCTION("""COMPUTED_VALUE"""),"kimmescallado@canva.com")</f>
        <v>kimmescallado@canva.com</v>
      </c>
      <c r="R2105" s="1" t="str">
        <f>IFERROR(__xludf.DUMMYFUNCTION("""COMPUTED_VALUE"""),"Kim Mescallado")</f>
        <v>Kim Mescallado</v>
      </c>
      <c r="S2105" s="1">
        <f>IFERROR(__xludf.DUMMYFUNCTION("""COMPUTED_VALUE"""),3.0)</f>
        <v>3</v>
      </c>
      <c r="T2105" s="1">
        <f>IFERROR(__xludf.DUMMYFUNCTION("""COMPUTED_VALUE"""),3.5)</f>
        <v>3.5</v>
      </c>
      <c r="U2105" s="2">
        <f>IFERROR(__xludf.DUMMYFUNCTION("""COMPUTED_VALUE"""),6.5)</f>
        <v>6.5</v>
      </c>
      <c r="V2105" s="1" t="str">
        <f>IFERROR(__xludf.DUMMYFUNCTION("""COMPUTED_VALUE"""),"Belle Bentazal")</f>
        <v>Belle Bentazal</v>
      </c>
      <c r="W2105" s="1" t="str">
        <f>IFERROR(__xludf.DUMMYFUNCTION("""COMPUTED_VALUE"""),"Advanced Product Support")</f>
        <v>Advanced Product Support</v>
      </c>
    </row>
    <row r="2106">
      <c r="O2106" s="1" t="str">
        <f>IFERROR(__xludf.DUMMYFUNCTION("""COMPUTED_VALUE"""),"2026 Jan")</f>
        <v>2026 Jan</v>
      </c>
      <c r="P2106" s="1" t="str">
        <f>IFERROR(__xludf.DUMMYFUNCTION("""COMPUTED_VALUE"""),"#N/A")</f>
        <v>#N/A</v>
      </c>
      <c r="Q2106" s="1" t="str">
        <f>IFERROR(__xludf.DUMMYFUNCTION("""COMPUTED_VALUE"""),"kimmi@canva.com")</f>
        <v>kimmi@canva.com</v>
      </c>
      <c r="R2106" s="1" t="str">
        <f>IFERROR(__xludf.DUMMYFUNCTION("""COMPUTED_VALUE"""),"Kim Mondala")</f>
        <v>Kim Mondala</v>
      </c>
      <c r="S2106" s="1"/>
      <c r="T2106" s="1">
        <f>IFERROR(__xludf.DUMMYFUNCTION("""COMPUTED_VALUE"""),11.75)</f>
        <v>11.75</v>
      </c>
      <c r="U2106" s="2">
        <f>IFERROR(__xludf.DUMMYFUNCTION("""COMPUTED_VALUE"""),11.75)</f>
        <v>11.75</v>
      </c>
      <c r="V2106" s="1" t="str">
        <f>IFERROR(__xludf.DUMMYFUNCTION("""COMPUTED_VALUE"""),"#N/A")</f>
        <v>#N/A</v>
      </c>
      <c r="W2106" s="1" t="str">
        <f>IFERROR(__xludf.DUMMYFUNCTION("""COMPUTED_VALUE"""),"Admin Omni Support")</f>
        <v>Admin Omni Support</v>
      </c>
    </row>
    <row r="2107">
      <c r="O2107" s="1" t="str">
        <f>IFERROR(__xludf.DUMMYFUNCTION("""COMPUTED_VALUE"""),"2026 Jan")</f>
        <v>2026 Jan</v>
      </c>
      <c r="P2107" s="1" t="str">
        <f>IFERROR(__xludf.DUMMYFUNCTION("""COMPUTED_VALUE"""),"Admin Support")</f>
        <v>Admin Support</v>
      </c>
      <c r="Q2107" s="1" t="str">
        <f>IFERROR(__xludf.DUMMYFUNCTION("""COMPUTED_VALUE"""),"kiro@canva.com")</f>
        <v>kiro@canva.com</v>
      </c>
      <c r="R2107" s="1" t="str">
        <f>IFERROR(__xludf.DUMMYFUNCTION("""COMPUTED_VALUE"""),"Kiro Mondala")</f>
        <v>Kiro Mondala</v>
      </c>
      <c r="S2107" s="1"/>
      <c r="T2107" s="1">
        <f>IFERROR(__xludf.DUMMYFUNCTION("""COMPUTED_VALUE"""),16.5)</f>
        <v>16.5</v>
      </c>
      <c r="U2107" s="2">
        <f>IFERROR(__xludf.DUMMYFUNCTION("""COMPUTED_VALUE"""),16.5)</f>
        <v>16.5</v>
      </c>
      <c r="V2107" s="1" t="str">
        <f>IFERROR(__xludf.DUMMYFUNCTION("""COMPUTED_VALUE"""),"Kelden Laguting")</f>
        <v>Kelden Laguting</v>
      </c>
      <c r="W2107" s="1" t="str">
        <f>IFERROR(__xludf.DUMMYFUNCTION("""COMPUTED_VALUE"""),"Admin Omni Support")</f>
        <v>Admin Omni Support</v>
      </c>
    </row>
    <row r="2108">
      <c r="O2108" s="1" t="str">
        <f>IFERROR(__xludf.DUMMYFUNCTION("""COMPUTED_VALUE"""),"2026 Jan")</f>
        <v>2026 Jan</v>
      </c>
      <c r="P2108" s="1" t="str">
        <f>IFERROR(__xludf.DUMMYFUNCTION("""COMPUTED_VALUE"""),"Core Product Support")</f>
        <v>Core Product Support</v>
      </c>
      <c r="Q2108" s="1" t="str">
        <f>IFERROR(__xludf.DUMMYFUNCTION("""COMPUTED_VALUE"""),"krisalava@canva.com")</f>
        <v>krisalava@canva.com</v>
      </c>
      <c r="R2108" s="1" t="str">
        <f>IFERROR(__xludf.DUMMYFUNCTION("""COMPUTED_VALUE"""),"Kris Alava")</f>
        <v>Kris Alava</v>
      </c>
      <c r="S2108" s="1">
        <f>IFERROR(__xludf.DUMMYFUNCTION("""COMPUTED_VALUE"""),1.0)</f>
        <v>1</v>
      </c>
      <c r="T2108" s="1">
        <f>IFERROR(__xludf.DUMMYFUNCTION("""COMPUTED_VALUE"""),5.5)</f>
        <v>5.5</v>
      </c>
      <c r="U2108" s="2">
        <f>IFERROR(__xludf.DUMMYFUNCTION("""COMPUTED_VALUE"""),6.5)</f>
        <v>6.5</v>
      </c>
      <c r="V2108" s="1" t="str">
        <f>IFERROR(__xludf.DUMMYFUNCTION("""COMPUTED_VALUE"""),"Sieg Ballelos")</f>
        <v>Sieg Ballelos</v>
      </c>
      <c r="W2108" s="1" t="str">
        <f>IFERROR(__xludf.DUMMYFUNCTION("""COMPUTED_VALUE"""),"Core Product Support Escalation Team")</f>
        <v>Core Product Support Escalation Team</v>
      </c>
    </row>
    <row r="2109">
      <c r="O2109" s="1" t="str">
        <f>IFERROR(__xludf.DUMMYFUNCTION("""COMPUTED_VALUE"""),"2026 Jan")</f>
        <v>2026 Jan</v>
      </c>
      <c r="P2109" s="1" t="str">
        <f>IFERROR(__xludf.DUMMYFUNCTION("""COMPUTED_VALUE"""),"Core Product Support")</f>
        <v>Core Product Support</v>
      </c>
      <c r="Q2109" s="1" t="str">
        <f>IFERROR(__xludf.DUMMYFUNCTION("""COMPUTED_VALUE"""),"kylep@canva.com")</f>
        <v>kylep@canva.com</v>
      </c>
      <c r="R2109" s="1" t="str">
        <f>IFERROR(__xludf.DUMMYFUNCTION("""COMPUTED_VALUE"""),"Kyle Pajarillo")</f>
        <v>Kyle Pajarillo</v>
      </c>
      <c r="S2109" s="1">
        <f>IFERROR(__xludf.DUMMYFUNCTION("""COMPUTED_VALUE"""),1.0)</f>
        <v>1</v>
      </c>
      <c r="T2109" s="1">
        <f>IFERROR(__xludf.DUMMYFUNCTION("""COMPUTED_VALUE"""),4.5)</f>
        <v>4.5</v>
      </c>
      <c r="U2109" s="2">
        <f>IFERROR(__xludf.DUMMYFUNCTION("""COMPUTED_VALUE"""),5.5)</f>
        <v>5.5</v>
      </c>
      <c r="V2109" s="1" t="str">
        <f>IFERROR(__xludf.DUMMYFUNCTION("""COMPUTED_VALUE"""),"Marie Mordeno")</f>
        <v>Marie Mordeno</v>
      </c>
      <c r="W2109" s="1" t="str">
        <f>IFERROR(__xludf.DUMMYFUNCTION("""COMPUTED_VALUE"""),"Advanced Billing &amp; Subscriptions")</f>
        <v>Advanced Billing &amp; Subscriptions</v>
      </c>
    </row>
    <row r="2110">
      <c r="O2110" s="1" t="str">
        <f>IFERROR(__xludf.DUMMYFUNCTION("""COMPUTED_VALUE"""),"2026 Jan")</f>
        <v>2026 Jan</v>
      </c>
      <c r="P2110" s="1" t="str">
        <f>IFERROR(__xludf.DUMMYFUNCTION("""COMPUTED_VALUE"""),"Core Product Support")</f>
        <v>Core Product Support</v>
      </c>
      <c r="Q2110" s="1" t="str">
        <f>IFERROR(__xludf.DUMMYFUNCTION("""COMPUTED_VALUE"""),"lailav@canva.com")</f>
        <v>lailav@canva.com</v>
      </c>
      <c r="R2110" s="1" t="str">
        <f>IFERROR(__xludf.DUMMYFUNCTION("""COMPUTED_VALUE"""),"Laila Villamor")</f>
        <v>Laila Villamor</v>
      </c>
      <c r="S2110" s="1">
        <f>IFERROR(__xludf.DUMMYFUNCTION("""COMPUTED_VALUE"""),1.0)</f>
        <v>1</v>
      </c>
      <c r="T2110" s="1">
        <f>IFERROR(__xludf.DUMMYFUNCTION("""COMPUTED_VALUE"""),10.42)</f>
        <v>10.42</v>
      </c>
      <c r="U2110" s="2">
        <f>IFERROR(__xludf.DUMMYFUNCTION("""COMPUTED_VALUE"""),11.42)</f>
        <v>11.42</v>
      </c>
      <c r="V2110" s="1" t="str">
        <f>IFERROR(__xludf.DUMMYFUNCTION("""COMPUTED_VALUE"""),"Jahmie Mae Barrameda")</f>
        <v>Jahmie Mae Barrameda</v>
      </c>
      <c r="W2110" s="1" t="str">
        <f>IFERROR(__xludf.DUMMYFUNCTION("""COMPUTED_VALUE"""),"Advanced Billing &amp; Subscriptions")</f>
        <v>Advanced Billing &amp; Subscriptions</v>
      </c>
    </row>
    <row r="2111">
      <c r="O2111" s="1" t="str">
        <f>IFERROR(__xludf.DUMMYFUNCTION("""COMPUTED_VALUE"""),"2026 Jan")</f>
        <v>2026 Jan</v>
      </c>
      <c r="P2111" s="1" t="str">
        <f>IFERROR(__xludf.DUMMYFUNCTION("""COMPUTED_VALUE"""),"Print Support")</f>
        <v>Print Support</v>
      </c>
      <c r="Q2111" s="1" t="str">
        <f>IFERROR(__xludf.DUMMYFUNCTION("""COMPUTED_VALUE"""),"lancer@canva.com")</f>
        <v>lancer@canva.com</v>
      </c>
      <c r="R2111" s="1" t="str">
        <f>IFERROR(__xludf.DUMMYFUNCTION("""COMPUTED_VALUE"""),"Lance Guevarra")</f>
        <v>Lance Guevarra</v>
      </c>
      <c r="S2111" s="1"/>
      <c r="T2111" s="1">
        <f>IFERROR(__xludf.DUMMYFUNCTION("""COMPUTED_VALUE"""),2.0)</f>
        <v>2</v>
      </c>
      <c r="U2111" s="2">
        <f>IFERROR(__xludf.DUMMYFUNCTION("""COMPUTED_VALUE"""),2.0)</f>
        <v>2</v>
      </c>
      <c r="V2111" s="1" t="str">
        <f>IFERROR(__xludf.DUMMYFUNCTION("""COMPUTED_VALUE"""),"Jen Momo")</f>
        <v>Jen Momo</v>
      </c>
      <c r="W2111" s="1" t="str">
        <f>IFERROR(__xludf.DUMMYFUNCTION("""COMPUTED_VALUE"""),"Print Support PH")</f>
        <v>Print Support PH</v>
      </c>
    </row>
    <row r="2112">
      <c r="O2112" s="1" t="str">
        <f>IFERROR(__xludf.DUMMYFUNCTION("""COMPUTED_VALUE"""),"2026 Jan")</f>
        <v>2026 Jan</v>
      </c>
      <c r="P2112" s="1" t="str">
        <f>IFERROR(__xludf.DUMMYFUNCTION("""COMPUTED_VALUE"""),"Segment-specific Support")</f>
        <v>Segment-specific Support</v>
      </c>
      <c r="Q2112" s="1" t="str">
        <f>IFERROR(__xludf.DUMMYFUNCTION("""COMPUTED_VALUE"""),"lance@canva.com")</f>
        <v>lance@canva.com</v>
      </c>
      <c r="R2112" s="1" t="str">
        <f>IFERROR(__xludf.DUMMYFUNCTION("""COMPUTED_VALUE"""),"Lance Reyes")</f>
        <v>Lance Reyes</v>
      </c>
      <c r="S2112" s="1"/>
      <c r="T2112" s="1">
        <f>IFERROR(__xludf.DUMMYFUNCTION("""COMPUTED_VALUE"""),42.5)</f>
        <v>42.5</v>
      </c>
      <c r="U2112" s="2">
        <f>IFERROR(__xludf.DUMMYFUNCTION("""COMPUTED_VALUE"""),42.5)</f>
        <v>42.5</v>
      </c>
      <c r="V2112" s="1" t="str">
        <f>IFERROR(__xludf.DUMMYFUNCTION("""COMPUTED_VALUE"""),"Gucci Nava")</f>
        <v>Gucci Nava</v>
      </c>
      <c r="W2112" s="1" t="str">
        <f>IFERROR(__xludf.DUMMYFUNCTION("""COMPUTED_VALUE"""),"Affinity Support")</f>
        <v>Affinity Support</v>
      </c>
    </row>
    <row r="2113">
      <c r="O2113" s="1" t="str">
        <f>IFERROR(__xludf.DUMMYFUNCTION("""COMPUTED_VALUE"""),"2026 Jan")</f>
        <v>2026 Jan</v>
      </c>
      <c r="P2113" s="1" t="str">
        <f>IFERROR(__xludf.DUMMYFUNCTION("""COMPUTED_VALUE"""),"Admin Support")</f>
        <v>Admin Support</v>
      </c>
      <c r="Q2113" s="1" t="str">
        <f>IFERROR(__xludf.DUMMYFUNCTION("""COMPUTED_VALUE"""),"le@canva.com")</f>
        <v>le@canva.com</v>
      </c>
      <c r="R2113" s="1" t="str">
        <f>IFERROR(__xludf.DUMMYFUNCTION("""COMPUTED_VALUE"""),"Lean Cruda")</f>
        <v>Lean Cruda</v>
      </c>
      <c r="S2113" s="1"/>
      <c r="T2113" s="1"/>
      <c r="U2113" s="2">
        <f>IFERROR(__xludf.DUMMYFUNCTION("""COMPUTED_VALUE"""),0.0)</f>
        <v>0</v>
      </c>
      <c r="V2113" s="1" t="str">
        <f>IFERROR(__xludf.DUMMYFUNCTION("""COMPUTED_VALUE"""),"Karla Mananghaya")</f>
        <v>Karla Mananghaya</v>
      </c>
      <c r="W2113" s="1" t="str">
        <f>IFERROR(__xludf.DUMMYFUNCTION("""COMPUTED_VALUE"""),"Admin Support Service Escalation Team")</f>
        <v>Admin Support Service Escalation Team</v>
      </c>
    </row>
    <row r="2114">
      <c r="O2114" s="1" t="str">
        <f>IFERROR(__xludf.DUMMYFUNCTION("""COMPUTED_VALUE"""),"2026 Jan")</f>
        <v>2026 Jan</v>
      </c>
      <c r="P2114" s="1" t="str">
        <f>IFERROR(__xludf.DUMMYFUNCTION("""COMPUTED_VALUE"""),"High Sensitivity Support")</f>
        <v>High Sensitivity Support</v>
      </c>
      <c r="Q2114" s="1" t="str">
        <f>IFERROR(__xludf.DUMMYFUNCTION("""COMPUTED_VALUE"""),"leanp@canva.com")</f>
        <v>leanp@canva.com</v>
      </c>
      <c r="R2114" s="1" t="str">
        <f>IFERROR(__xludf.DUMMYFUNCTION("""COMPUTED_VALUE"""),"Lean Reyes")</f>
        <v>Lean Reyes</v>
      </c>
      <c r="S2114" s="1"/>
      <c r="T2114" s="1">
        <f>IFERROR(__xludf.DUMMYFUNCTION("""COMPUTED_VALUE"""),9.43)</f>
        <v>9.43</v>
      </c>
      <c r="U2114" s="2">
        <f>IFERROR(__xludf.DUMMYFUNCTION("""COMPUTED_VALUE"""),9.43)</f>
        <v>9.43</v>
      </c>
      <c r="V2114" s="1" t="str">
        <f>IFERROR(__xludf.DUMMYFUNCTION("""COMPUTED_VALUE"""),"Issi Afable")</f>
        <v>Issi Afable</v>
      </c>
      <c r="W2114" s="1" t="str">
        <f>IFERROR(__xludf.DUMMYFUNCTION("""COMPUTED_VALUE"""),"High Sensitivity Support PH")</f>
        <v>High Sensitivity Support PH</v>
      </c>
    </row>
    <row r="2115">
      <c r="O2115" s="1" t="str">
        <f>IFERROR(__xludf.DUMMYFUNCTION("""COMPUTED_VALUE"""),"2026 Jan")</f>
        <v>2026 Jan</v>
      </c>
      <c r="P2115" s="1" t="str">
        <f>IFERROR(__xludf.DUMMYFUNCTION("""COMPUTED_VALUE"""),"Print Support")</f>
        <v>Print Support</v>
      </c>
      <c r="Q2115" s="1" t="str">
        <f>IFERROR(__xludf.DUMMYFUNCTION("""COMPUTED_VALUE"""),"larce@canva.com")</f>
        <v>larce@canva.com</v>
      </c>
      <c r="R2115" s="1" t="str">
        <f>IFERROR(__xludf.DUMMYFUNCTION("""COMPUTED_VALUE"""),"Lee Arce")</f>
        <v>Lee Arce</v>
      </c>
      <c r="S2115" s="1"/>
      <c r="T2115" s="1">
        <f>IFERROR(__xludf.DUMMYFUNCTION("""COMPUTED_VALUE"""),1.25)</f>
        <v>1.25</v>
      </c>
      <c r="U2115" s="2">
        <f>IFERROR(__xludf.DUMMYFUNCTION("""COMPUTED_VALUE"""),1.25)</f>
        <v>1.25</v>
      </c>
      <c r="V2115" s="1" t="str">
        <f>IFERROR(__xludf.DUMMYFUNCTION("""COMPUTED_VALUE"""),"Althea Mercado")</f>
        <v>Althea Mercado</v>
      </c>
      <c r="W2115" s="1" t="str">
        <f>IFERROR(__xludf.DUMMYFUNCTION("""COMPUTED_VALUE"""),"Print Support PH")</f>
        <v>Print Support PH</v>
      </c>
    </row>
    <row r="2116">
      <c r="O2116" s="1" t="str">
        <f>IFERROR(__xludf.DUMMYFUNCTION("""COMPUTED_VALUE"""),"2026 Jan")</f>
        <v>2026 Jan</v>
      </c>
      <c r="P2116" s="1" t="str">
        <f>IFERROR(__xludf.DUMMYFUNCTION("""COMPUTED_VALUE"""),"Core Product Support")</f>
        <v>Core Product Support</v>
      </c>
      <c r="Q2116" s="1" t="str">
        <f>IFERROR(__xludf.DUMMYFUNCTION("""COMPUTED_VALUE"""),"leilanie@canva.com")</f>
        <v>leilanie@canva.com</v>
      </c>
      <c r="R2116" s="1" t="str">
        <f>IFERROR(__xludf.DUMMYFUNCTION("""COMPUTED_VALUE"""),"Lei Gratuito")</f>
        <v>Lei Gratuito</v>
      </c>
      <c r="S2116" s="1">
        <f>IFERROR(__xludf.DUMMYFUNCTION("""COMPUTED_VALUE"""),0.5)</f>
        <v>0.5</v>
      </c>
      <c r="T2116" s="1">
        <f>IFERROR(__xludf.DUMMYFUNCTION("""COMPUTED_VALUE"""),10.33)</f>
        <v>10.33</v>
      </c>
      <c r="U2116" s="2">
        <f>IFERROR(__xludf.DUMMYFUNCTION("""COMPUTED_VALUE"""),10.83)</f>
        <v>10.83</v>
      </c>
      <c r="V2116" s="1" t="str">
        <f>IFERROR(__xludf.DUMMYFUNCTION("""COMPUTED_VALUE"""),"Renette Bok")</f>
        <v>Renette Bok</v>
      </c>
      <c r="W2116" s="1" t="str">
        <f>IFERROR(__xludf.DUMMYFUNCTION("""COMPUTED_VALUE"""),"Advanced Billing &amp; Subscriptions")</f>
        <v>Advanced Billing &amp; Subscriptions</v>
      </c>
    </row>
    <row r="2117">
      <c r="O2117" s="1" t="str">
        <f>IFERROR(__xludf.DUMMYFUNCTION("""COMPUTED_VALUE"""),"2026 Jan")</f>
        <v>2026 Jan</v>
      </c>
      <c r="P2117" s="1" t="str">
        <f>IFERROR(__xludf.DUMMYFUNCTION("""COMPUTED_VALUE"""),"Core Product Support")</f>
        <v>Core Product Support</v>
      </c>
      <c r="Q2117" s="1" t="str">
        <f>IFERROR(__xludf.DUMMYFUNCTION("""COMPUTED_VALUE"""),"leonard@canva.com")</f>
        <v>leonard@canva.com</v>
      </c>
      <c r="R2117" s="1" t="str">
        <f>IFERROR(__xludf.DUMMYFUNCTION("""COMPUTED_VALUE"""),"Leonard Baguio")</f>
        <v>Leonard Baguio</v>
      </c>
      <c r="S2117" s="1">
        <f>IFERROR(__xludf.DUMMYFUNCTION("""COMPUTED_VALUE"""),1.5)</f>
        <v>1.5</v>
      </c>
      <c r="T2117" s="1">
        <f>IFERROR(__xludf.DUMMYFUNCTION("""COMPUTED_VALUE"""),9.0)</f>
        <v>9</v>
      </c>
      <c r="U2117" s="2">
        <f>IFERROR(__xludf.DUMMYFUNCTION("""COMPUTED_VALUE"""),10.5)</f>
        <v>10.5</v>
      </c>
      <c r="V2117" s="1" t="str">
        <f>IFERROR(__xludf.DUMMYFUNCTION("""COMPUTED_VALUE"""),"Jelyn Elmido")</f>
        <v>Jelyn Elmido</v>
      </c>
      <c r="W2117" s="1" t="str">
        <f>IFERROR(__xludf.DUMMYFUNCTION("""COMPUTED_VALUE"""),"Core Product Support Escalation Team")</f>
        <v>Core Product Support Escalation Team</v>
      </c>
    </row>
    <row r="2118">
      <c r="O2118" s="1" t="str">
        <f>IFERROR(__xludf.DUMMYFUNCTION("""COMPUTED_VALUE"""),"2026 Jan")</f>
        <v>2026 Jan</v>
      </c>
      <c r="P2118" s="1" t="str">
        <f>IFERROR(__xludf.DUMMYFUNCTION("""COMPUTED_VALUE"""),"Print Support")</f>
        <v>Print Support</v>
      </c>
      <c r="Q2118" s="1" t="str">
        <f>IFERROR(__xludf.DUMMYFUNCTION("""COMPUTED_VALUE"""),"anneharriet@canva.com")</f>
        <v>anneharriet@canva.com</v>
      </c>
      <c r="R2118" s="1" t="str">
        <f>IFERROR(__xludf.DUMMYFUNCTION("""COMPUTED_VALUE"""),"Leslie Anne Gilua")</f>
        <v>Leslie Anne Gilua</v>
      </c>
      <c r="S2118" s="1"/>
      <c r="T2118" s="1">
        <f>IFERROR(__xludf.DUMMYFUNCTION("""COMPUTED_VALUE"""),2.0)</f>
        <v>2</v>
      </c>
      <c r="U2118" s="2">
        <f>IFERROR(__xludf.DUMMYFUNCTION("""COMPUTED_VALUE"""),2.0)</f>
        <v>2</v>
      </c>
      <c r="V2118" s="1" t="str">
        <f>IFERROR(__xludf.DUMMYFUNCTION("""COMPUTED_VALUE"""),"Louise Dianne Estrella")</f>
        <v>Louise Dianne Estrella</v>
      </c>
      <c r="W2118" s="1" t="str">
        <f>IFERROR(__xludf.DUMMYFUNCTION("""COMPUTED_VALUE"""),"Print Support PH")</f>
        <v>Print Support PH</v>
      </c>
    </row>
    <row r="2119">
      <c r="O2119" s="1" t="str">
        <f>IFERROR(__xludf.DUMMYFUNCTION("""COMPUTED_VALUE"""),"2026 Jan")</f>
        <v>2026 Jan</v>
      </c>
      <c r="P2119" s="1" t="str">
        <f>IFERROR(__xludf.DUMMYFUNCTION("""COMPUTED_VALUE"""),"Core Product Support")</f>
        <v>Core Product Support</v>
      </c>
      <c r="Q2119" s="1" t="str">
        <f>IFERROR(__xludf.DUMMYFUNCTION("""COMPUTED_VALUE"""),"lewisjarvin@canva.com")</f>
        <v>lewisjarvin@canva.com</v>
      </c>
      <c r="R2119" s="1" t="str">
        <f>IFERROR(__xludf.DUMMYFUNCTION("""COMPUTED_VALUE"""),"Lewis Ramirez")</f>
        <v>Lewis Ramirez</v>
      </c>
      <c r="S2119" s="1">
        <f>IFERROR(__xludf.DUMMYFUNCTION("""COMPUTED_VALUE"""),0.5)</f>
        <v>0.5</v>
      </c>
      <c r="T2119" s="1">
        <f>IFERROR(__xludf.DUMMYFUNCTION("""COMPUTED_VALUE"""),3.5)</f>
        <v>3.5</v>
      </c>
      <c r="U2119" s="2">
        <f>IFERROR(__xludf.DUMMYFUNCTION("""COMPUTED_VALUE"""),4.0)</f>
        <v>4</v>
      </c>
      <c r="V2119" s="1" t="str">
        <f>IFERROR(__xludf.DUMMYFUNCTION("""COMPUTED_VALUE"""),"Mikhaela Decangchon")</f>
        <v>Mikhaela Decangchon</v>
      </c>
      <c r="W2119" s="1" t="str">
        <f>IFERROR(__xludf.DUMMYFUNCTION("""COMPUTED_VALUE"""),"Advanced Product Support")</f>
        <v>Advanced Product Support</v>
      </c>
    </row>
    <row r="2120">
      <c r="O2120" s="1" t="str">
        <f>IFERROR(__xludf.DUMMYFUNCTION("""COMPUTED_VALUE"""),"2026 Jan")</f>
        <v>2026 Jan</v>
      </c>
      <c r="P2120" s="1" t="str">
        <f>IFERROR(__xludf.DUMMYFUNCTION("""COMPUTED_VALUE"""),"Segment-specific Support")</f>
        <v>Segment-specific Support</v>
      </c>
      <c r="Q2120" s="1" t="str">
        <f>IFERROR(__xludf.DUMMYFUNCTION("""COMPUTED_VALUE"""),"liabaclay@canva.com")</f>
        <v>liabaclay@canva.com</v>
      </c>
      <c r="R2120" s="1" t="str">
        <f>IFERROR(__xludf.DUMMYFUNCTION("""COMPUTED_VALUE"""),"Lia Baclay")</f>
        <v>Lia Baclay</v>
      </c>
      <c r="S2120" s="1"/>
      <c r="T2120" s="1">
        <f>IFERROR(__xludf.DUMMYFUNCTION("""COMPUTED_VALUE"""),0.5)</f>
        <v>0.5</v>
      </c>
      <c r="U2120" s="2">
        <f>IFERROR(__xludf.DUMMYFUNCTION("""COMPUTED_VALUE"""),0.5)</f>
        <v>0.5</v>
      </c>
      <c r="V2120" s="1" t="str">
        <f>IFERROR(__xludf.DUMMYFUNCTION("""COMPUTED_VALUE"""),"Rose Gabilan")</f>
        <v>Rose Gabilan</v>
      </c>
      <c r="W2120" s="1" t="str">
        <f>IFERROR(__xludf.DUMMYFUNCTION("""COMPUTED_VALUE"""),"Affinity Support")</f>
        <v>Affinity Support</v>
      </c>
    </row>
    <row r="2121">
      <c r="O2121" s="1" t="str">
        <f>IFERROR(__xludf.DUMMYFUNCTION("""COMPUTED_VALUE"""),"2026 Jan")</f>
        <v>2026 Jan</v>
      </c>
      <c r="P2121" s="1" t="str">
        <f>IFERROR(__xludf.DUMMYFUNCTION("""COMPUTED_VALUE"""),"Segment-specific Support")</f>
        <v>Segment-specific Support</v>
      </c>
      <c r="Q2121" s="1" t="str">
        <f>IFERROR(__xludf.DUMMYFUNCTION("""COMPUTED_VALUE"""),"liberty@canva.com")</f>
        <v>liberty@canva.com</v>
      </c>
      <c r="R2121" s="1" t="str">
        <f>IFERROR(__xludf.DUMMYFUNCTION("""COMPUTED_VALUE"""),"Liberty Casala")</f>
        <v>Liberty Casala</v>
      </c>
      <c r="S2121" s="1"/>
      <c r="T2121" s="1">
        <f>IFERROR(__xludf.DUMMYFUNCTION("""COMPUTED_VALUE"""),1.75)</f>
        <v>1.75</v>
      </c>
      <c r="U2121" s="2">
        <f>IFERROR(__xludf.DUMMYFUNCTION("""COMPUTED_VALUE"""),1.75)</f>
        <v>1.75</v>
      </c>
      <c r="V2121" s="1" t="str">
        <f>IFERROR(__xludf.DUMMYFUNCTION("""COMPUTED_VALUE"""),"Gucci Nava")</f>
        <v>Gucci Nava</v>
      </c>
      <c r="W2121" s="1" t="str">
        <f>IFERROR(__xludf.DUMMYFUNCTION("""COMPUTED_VALUE"""),"Print Support PH")</f>
        <v>Print Support PH</v>
      </c>
    </row>
    <row r="2122">
      <c r="O2122" s="1" t="str">
        <f>IFERROR(__xludf.DUMMYFUNCTION("""COMPUTED_VALUE"""),"2026 Jan")</f>
        <v>2026 Jan</v>
      </c>
      <c r="P2122" s="1" t="str">
        <f>IFERROR(__xludf.DUMMYFUNCTION("""COMPUTED_VALUE"""),"Print Support")</f>
        <v>Print Support</v>
      </c>
      <c r="Q2122" s="1" t="str">
        <f>IFERROR(__xludf.DUMMYFUNCTION("""COMPUTED_VALUE"""),"loise@canva.com")</f>
        <v>loise@canva.com</v>
      </c>
      <c r="R2122" s="1" t="str">
        <f>IFERROR(__xludf.DUMMYFUNCTION("""COMPUTED_VALUE"""),"Loise Dela Cruz")</f>
        <v>Loise Dela Cruz</v>
      </c>
      <c r="S2122" s="1"/>
      <c r="T2122" s="1">
        <f>IFERROR(__xludf.DUMMYFUNCTION("""COMPUTED_VALUE"""),1.5)</f>
        <v>1.5</v>
      </c>
      <c r="U2122" s="2">
        <f>IFERROR(__xludf.DUMMYFUNCTION("""COMPUTED_VALUE"""),1.5)</f>
        <v>1.5</v>
      </c>
      <c r="V2122" s="1" t="str">
        <f>IFERROR(__xludf.DUMMYFUNCTION("""COMPUTED_VALUE"""),"Aliza Dote")</f>
        <v>Aliza Dote</v>
      </c>
      <c r="W2122" s="1" t="str">
        <f>IFERROR(__xludf.DUMMYFUNCTION("""COMPUTED_VALUE"""),"Print Design Support")</f>
        <v>Print Design Support</v>
      </c>
    </row>
    <row r="2123">
      <c r="O2123" s="1" t="str">
        <f>IFERROR(__xludf.DUMMYFUNCTION("""COMPUTED_VALUE"""),"2026 Jan")</f>
        <v>2026 Jan</v>
      </c>
      <c r="P2123" s="1" t="str">
        <f>IFERROR(__xludf.DUMMYFUNCTION("""COMPUTED_VALUE"""),"Core Product Support")</f>
        <v>Core Product Support</v>
      </c>
      <c r="Q2123" s="1" t="str">
        <f>IFERROR(__xludf.DUMMYFUNCTION("""COMPUTED_VALUE"""),"loudv@canva.com")</f>
        <v>loudv@canva.com</v>
      </c>
      <c r="R2123" s="1" t="str">
        <f>IFERROR(__xludf.DUMMYFUNCTION("""COMPUTED_VALUE"""),"Louieline Dela Vega")</f>
        <v>Louieline Dela Vega</v>
      </c>
      <c r="S2123" s="1">
        <f>IFERROR(__xludf.DUMMYFUNCTION("""COMPUTED_VALUE"""),1.0)</f>
        <v>1</v>
      </c>
      <c r="T2123" s="1">
        <f>IFERROR(__xludf.DUMMYFUNCTION("""COMPUTED_VALUE"""),5.25)</f>
        <v>5.25</v>
      </c>
      <c r="U2123" s="2">
        <f>IFERROR(__xludf.DUMMYFUNCTION("""COMPUTED_VALUE"""),6.25)</f>
        <v>6.25</v>
      </c>
      <c r="V2123" s="1" t="str">
        <f>IFERROR(__xludf.DUMMYFUNCTION("""COMPUTED_VALUE"""),"Jahmie Mae Barrameda")</f>
        <v>Jahmie Mae Barrameda</v>
      </c>
      <c r="W2123" s="1" t="str">
        <f>IFERROR(__xludf.DUMMYFUNCTION("""COMPUTED_VALUE"""),"Advanced Billing &amp; Subscriptions")</f>
        <v>Advanced Billing &amp; Subscriptions</v>
      </c>
    </row>
    <row r="2124">
      <c r="O2124" s="1" t="str">
        <f>IFERROR(__xludf.DUMMYFUNCTION("""COMPUTED_VALUE"""),"2026 Jan")</f>
        <v>2026 Jan</v>
      </c>
      <c r="P2124" s="1" t="str">
        <f>IFERROR(__xludf.DUMMYFUNCTION("""COMPUTED_VALUE"""),"Core Product Support")</f>
        <v>Core Product Support</v>
      </c>
      <c r="Q2124" s="1" t="str">
        <f>IFERROR(__xludf.DUMMYFUNCTION("""COMPUTED_VALUE"""),"lovejoyce@canva.com")</f>
        <v>lovejoyce@canva.com</v>
      </c>
      <c r="R2124" s="1" t="str">
        <f>IFERROR(__xludf.DUMMYFUNCTION("""COMPUTED_VALUE"""),"Love Joyce Pasagui")</f>
        <v>Love Joyce Pasagui</v>
      </c>
      <c r="S2124" s="1">
        <f>IFERROR(__xludf.DUMMYFUNCTION("""COMPUTED_VALUE"""),2.0)</f>
        <v>2</v>
      </c>
      <c r="T2124" s="1">
        <f>IFERROR(__xludf.DUMMYFUNCTION("""COMPUTED_VALUE"""),14.75)</f>
        <v>14.75</v>
      </c>
      <c r="U2124" s="2">
        <f>IFERROR(__xludf.DUMMYFUNCTION("""COMPUTED_VALUE"""),16.75)</f>
        <v>16.75</v>
      </c>
      <c r="V2124" s="1" t="str">
        <f>IFERROR(__xludf.DUMMYFUNCTION("""COMPUTED_VALUE"""),"Jelyn Elmido")</f>
        <v>Jelyn Elmido</v>
      </c>
      <c r="W2124" s="1" t="str">
        <f>IFERROR(__xludf.DUMMYFUNCTION("""COMPUTED_VALUE"""),"Core Product Support Escalation Team")</f>
        <v>Core Product Support Escalation Team</v>
      </c>
    </row>
    <row r="2125">
      <c r="O2125" s="1" t="str">
        <f>IFERROR(__xludf.DUMMYFUNCTION("""COMPUTED_VALUE"""),"2026 Jan")</f>
        <v>2026 Jan</v>
      </c>
      <c r="P2125" s="1" t="str">
        <f>IFERROR(__xludf.DUMMYFUNCTION("""COMPUTED_VALUE"""),"Print Support")</f>
        <v>Print Support</v>
      </c>
      <c r="Q2125" s="1" t="str">
        <f>IFERROR(__xludf.DUMMYFUNCTION("""COMPUTED_VALUE"""),"rlsalomia@canva.com")</f>
        <v>rlsalomia@canva.com</v>
      </c>
      <c r="R2125" s="1" t="str">
        <f>IFERROR(__xludf.DUMMYFUNCTION("""COMPUTED_VALUE"""),"Luis Salomia")</f>
        <v>Luis Salomia</v>
      </c>
      <c r="S2125" s="1"/>
      <c r="T2125" s="1">
        <f>IFERROR(__xludf.DUMMYFUNCTION("""COMPUTED_VALUE"""),1.75)</f>
        <v>1.75</v>
      </c>
      <c r="U2125" s="2">
        <f>IFERROR(__xludf.DUMMYFUNCTION("""COMPUTED_VALUE"""),1.75)</f>
        <v>1.75</v>
      </c>
      <c r="V2125" s="1" t="str">
        <f>IFERROR(__xludf.DUMMYFUNCTION("""COMPUTED_VALUE"""),"Louise Dianne Estrella")</f>
        <v>Louise Dianne Estrella</v>
      </c>
      <c r="W2125" s="1" t="str">
        <f>IFERROR(__xludf.DUMMYFUNCTION("""COMPUTED_VALUE"""),"Print Support PH")</f>
        <v>Print Support PH</v>
      </c>
    </row>
    <row r="2126">
      <c r="O2126" s="1" t="str">
        <f>IFERROR(__xludf.DUMMYFUNCTION("""COMPUTED_VALUE"""),"2026 Jan")</f>
        <v>2026 Jan</v>
      </c>
      <c r="P2126" s="1" t="str">
        <f>IFERROR(__xludf.DUMMYFUNCTION("""COMPUTED_VALUE"""),"Admin Support")</f>
        <v>Admin Support</v>
      </c>
      <c r="Q2126" s="1" t="str">
        <f>IFERROR(__xludf.DUMMYFUNCTION("""COMPUTED_VALUE"""),"lyzdr@canva.com")</f>
        <v>lyzdr@canva.com</v>
      </c>
      <c r="R2126" s="1" t="str">
        <f>IFERROR(__xludf.DUMMYFUNCTION("""COMPUTED_VALUE"""),"Lyzza Del Rosario")</f>
        <v>Lyzza Del Rosario</v>
      </c>
      <c r="S2126" s="1"/>
      <c r="T2126" s="1">
        <f>IFERROR(__xludf.DUMMYFUNCTION("""COMPUTED_VALUE"""),10.0)</f>
        <v>10</v>
      </c>
      <c r="U2126" s="2">
        <f>IFERROR(__xludf.DUMMYFUNCTION("""COMPUTED_VALUE"""),10.0)</f>
        <v>10</v>
      </c>
      <c r="V2126" s="1" t="str">
        <f>IFERROR(__xludf.DUMMYFUNCTION("""COMPUTED_VALUE"""),"Ann Dumlao")</f>
        <v>Ann Dumlao</v>
      </c>
      <c r="W2126" s="1" t="str">
        <f>IFERROR(__xludf.DUMMYFUNCTION("""COMPUTED_VALUE"""),"Admin Omni Support")</f>
        <v>Admin Omni Support</v>
      </c>
    </row>
    <row r="2127">
      <c r="O2127" s="1" t="str">
        <f>IFERROR(__xludf.DUMMYFUNCTION("""COMPUTED_VALUE"""),"2026 Jan")</f>
        <v>2026 Jan</v>
      </c>
      <c r="P2127" s="1" t="str">
        <f>IFERROR(__xludf.DUMMYFUNCTION("""COMPUTED_VALUE"""),"Admin Support")</f>
        <v>Admin Support</v>
      </c>
      <c r="Q2127" s="1" t="str">
        <f>IFERROR(__xludf.DUMMYFUNCTION("""COMPUTED_VALUE"""),"mac@canva.com")</f>
        <v>mac@canva.com</v>
      </c>
      <c r="R2127" s="1" t="str">
        <f>IFERROR(__xludf.DUMMYFUNCTION("""COMPUTED_VALUE"""),"Mac Mendoza")</f>
        <v>Mac Mendoza</v>
      </c>
      <c r="S2127" s="1"/>
      <c r="T2127" s="1">
        <f>IFERROR(__xludf.DUMMYFUNCTION("""COMPUTED_VALUE"""),11.75)</f>
        <v>11.75</v>
      </c>
      <c r="U2127" s="2">
        <f>IFERROR(__xludf.DUMMYFUNCTION("""COMPUTED_VALUE"""),11.75)</f>
        <v>11.75</v>
      </c>
      <c r="V2127" s="1" t="str">
        <f>IFERROR(__xludf.DUMMYFUNCTION("""COMPUTED_VALUE"""),"Ann Dumlao")</f>
        <v>Ann Dumlao</v>
      </c>
      <c r="W2127" s="1" t="str">
        <f>IFERROR(__xludf.DUMMYFUNCTION("""COMPUTED_VALUE"""),"Admin Omni Support")</f>
        <v>Admin Omni Support</v>
      </c>
    </row>
    <row r="2128">
      <c r="O2128" s="1" t="str">
        <f>IFERROR(__xludf.DUMMYFUNCTION("""COMPUTED_VALUE"""),"2026 Jan")</f>
        <v>2026 Jan</v>
      </c>
      <c r="P2128" s="1" t="str">
        <f>IFERROR(__xludf.DUMMYFUNCTION("""COMPUTED_VALUE"""),"High Sensitivity Support")</f>
        <v>High Sensitivity Support</v>
      </c>
      <c r="Q2128" s="1" t="str">
        <f>IFERROR(__xludf.DUMMYFUNCTION("""COMPUTED_VALUE"""),"macie@canva.com")</f>
        <v>macie@canva.com</v>
      </c>
      <c r="R2128" s="1" t="str">
        <f>IFERROR(__xludf.DUMMYFUNCTION("""COMPUTED_VALUE"""),"Macie del Mundo")</f>
        <v>Macie del Mundo</v>
      </c>
      <c r="S2128" s="1"/>
      <c r="T2128" s="1">
        <f>IFERROR(__xludf.DUMMYFUNCTION("""COMPUTED_VALUE"""),0.25)</f>
        <v>0.25</v>
      </c>
      <c r="U2128" s="2">
        <f>IFERROR(__xludf.DUMMYFUNCTION("""COMPUTED_VALUE"""),0.25)</f>
        <v>0.25</v>
      </c>
      <c r="V2128" s="1" t="str">
        <f>IFERROR(__xludf.DUMMYFUNCTION("""COMPUTED_VALUE"""),"Rossheen Pura")</f>
        <v>Rossheen Pura</v>
      </c>
      <c r="W2128" s="1" t="str">
        <f>IFERROR(__xludf.DUMMYFUNCTION("""COMPUTED_VALUE"""),"High Sensitivity Support PH")</f>
        <v>High Sensitivity Support PH</v>
      </c>
    </row>
    <row r="2129">
      <c r="O2129" s="1" t="str">
        <f>IFERROR(__xludf.DUMMYFUNCTION("""COMPUTED_VALUE"""),"2026 Jan")</f>
        <v>2026 Jan</v>
      </c>
      <c r="P2129" s="1" t="str">
        <f>IFERROR(__xludf.DUMMYFUNCTION("""COMPUTED_VALUE"""),"Core Product Support")</f>
        <v>Core Product Support</v>
      </c>
      <c r="Q2129" s="1" t="str">
        <f>IFERROR(__xludf.DUMMYFUNCTION("""COMPUTED_VALUE"""),"mackievitacion@canva.com")</f>
        <v>mackievitacion@canva.com</v>
      </c>
      <c r="R2129" s="1" t="str">
        <f>IFERROR(__xludf.DUMMYFUNCTION("""COMPUTED_VALUE"""),"Mackie Vitacion")</f>
        <v>Mackie Vitacion</v>
      </c>
      <c r="S2129" s="1">
        <f>IFERROR(__xludf.DUMMYFUNCTION("""COMPUTED_VALUE"""),1.5)</f>
        <v>1.5</v>
      </c>
      <c r="T2129" s="1">
        <f>IFERROR(__xludf.DUMMYFUNCTION("""COMPUTED_VALUE"""),3.25)</f>
        <v>3.25</v>
      </c>
      <c r="U2129" s="2">
        <f>IFERROR(__xludf.DUMMYFUNCTION("""COMPUTED_VALUE"""),4.75)</f>
        <v>4.75</v>
      </c>
      <c r="V2129" s="1" t="str">
        <f>IFERROR(__xludf.DUMMYFUNCTION("""COMPUTED_VALUE"""),"Vinz Lazaro")</f>
        <v>Vinz Lazaro</v>
      </c>
      <c r="W2129" s="1" t="str">
        <f>IFERROR(__xludf.DUMMYFUNCTION("""COMPUTED_VALUE"""),"Advanced Product Support")</f>
        <v>Advanced Product Support</v>
      </c>
    </row>
    <row r="2130">
      <c r="O2130" s="1" t="str">
        <f>IFERROR(__xludf.DUMMYFUNCTION("""COMPUTED_VALUE"""),"2026 Jan")</f>
        <v>2026 Jan</v>
      </c>
      <c r="P2130" s="1" t="str">
        <f>IFERROR(__xludf.DUMMYFUNCTION("""COMPUTED_VALUE"""),"High Sensitivity Support")</f>
        <v>High Sensitivity Support</v>
      </c>
      <c r="Q2130" s="1" t="str">
        <f>IFERROR(__xludf.DUMMYFUNCTION("""COMPUTED_VALUE"""),"mariav@canva.com")</f>
        <v>mariav@canva.com</v>
      </c>
      <c r="R2130" s="1" t="str">
        <f>IFERROR(__xludf.DUMMYFUNCTION("""COMPUTED_VALUE"""),"Maria Vergara")</f>
        <v>Maria Vergara</v>
      </c>
      <c r="S2130" s="1"/>
      <c r="T2130" s="1">
        <f>IFERROR(__xludf.DUMMYFUNCTION("""COMPUTED_VALUE"""),1.0)</f>
        <v>1</v>
      </c>
      <c r="U2130" s="2">
        <f>IFERROR(__xludf.DUMMYFUNCTION("""COMPUTED_VALUE"""),1.0)</f>
        <v>1</v>
      </c>
      <c r="V2130" s="1" t="str">
        <f>IFERROR(__xludf.DUMMYFUNCTION("""COMPUTED_VALUE"""),"Xandy Azarcon")</f>
        <v>Xandy Azarcon</v>
      </c>
      <c r="W2130" s="1" t="str">
        <f>IFERROR(__xludf.DUMMYFUNCTION("""COMPUTED_VALUE"""),"High Sensitivity Support PH")</f>
        <v>High Sensitivity Support PH</v>
      </c>
    </row>
    <row r="2131">
      <c r="O2131" s="1" t="str">
        <f>IFERROR(__xludf.DUMMYFUNCTION("""COMPUTED_VALUE"""),"2026 Jan")</f>
        <v>2026 Jan</v>
      </c>
      <c r="P2131" s="1" t="str">
        <f>IFERROR(__xludf.DUMMYFUNCTION("""COMPUTED_VALUE"""),"Print Support")</f>
        <v>Print Support</v>
      </c>
      <c r="Q2131" s="1" t="str">
        <f>IFERROR(__xludf.DUMMYFUNCTION("""COMPUTED_VALUE"""),"marieson@canva.com")</f>
        <v>marieson@canva.com</v>
      </c>
      <c r="R2131" s="1" t="str">
        <f>IFERROR(__xludf.DUMMYFUNCTION("""COMPUTED_VALUE"""),"Marieson Libunao (Parental Leave)")</f>
        <v>Marieson Libunao (Parental Leave)</v>
      </c>
      <c r="S2131" s="1"/>
      <c r="T2131" s="1"/>
      <c r="U2131" s="2">
        <f>IFERROR(__xludf.DUMMYFUNCTION("""COMPUTED_VALUE"""),0.0)</f>
        <v>0</v>
      </c>
      <c r="V2131" s="1" t="str">
        <f>IFERROR(__xludf.DUMMYFUNCTION("""COMPUTED_VALUE"""),"Althea Mercado")</f>
        <v>Althea Mercado</v>
      </c>
      <c r="W2131" s="1" t="str">
        <f>IFERROR(__xludf.DUMMYFUNCTION("""COMPUTED_VALUE"""),"Print Support PH")</f>
        <v>Print Support PH</v>
      </c>
    </row>
    <row r="2132">
      <c r="O2132" s="1" t="str">
        <f>IFERROR(__xludf.DUMMYFUNCTION("""COMPUTED_VALUE"""),"2026 Jan")</f>
        <v>2026 Jan</v>
      </c>
      <c r="P2132" s="1" t="str">
        <f>IFERROR(__xludf.DUMMYFUNCTION("""COMPUTED_VALUE"""),"Core Product Support")</f>
        <v>Core Product Support</v>
      </c>
      <c r="Q2132" s="1" t="str">
        <f>IFERROR(__xludf.DUMMYFUNCTION("""COMPUTED_VALUE"""),"mariz@canva.com")</f>
        <v>mariz@canva.com</v>
      </c>
      <c r="R2132" s="1" t="str">
        <f>IFERROR(__xludf.DUMMYFUNCTION("""COMPUTED_VALUE"""),"Mariz Gain")</f>
        <v>Mariz Gain</v>
      </c>
      <c r="S2132" s="1">
        <f>IFERROR(__xludf.DUMMYFUNCTION("""COMPUTED_VALUE"""),2.0)</f>
        <v>2</v>
      </c>
      <c r="T2132" s="1">
        <f>IFERROR(__xludf.DUMMYFUNCTION("""COMPUTED_VALUE"""),2.75)</f>
        <v>2.75</v>
      </c>
      <c r="U2132" s="2">
        <f>IFERROR(__xludf.DUMMYFUNCTION("""COMPUTED_VALUE"""),4.75)</f>
        <v>4.75</v>
      </c>
      <c r="V2132" s="1" t="str">
        <f>IFERROR(__xludf.DUMMYFUNCTION("""COMPUTED_VALUE"""),"Ana Lazaro")</f>
        <v>Ana Lazaro</v>
      </c>
      <c r="W2132" s="1" t="str">
        <f>IFERROR(__xludf.DUMMYFUNCTION("""COMPUTED_VALUE"""),"Advanced Billing &amp; Subscriptions")</f>
        <v>Advanced Billing &amp; Subscriptions</v>
      </c>
    </row>
    <row r="2133">
      <c r="O2133" s="1" t="str">
        <f>IFERROR(__xludf.DUMMYFUNCTION("""COMPUTED_VALUE"""),"2026 Jan")</f>
        <v>2026 Jan</v>
      </c>
      <c r="P2133" s="1" t="str">
        <f>IFERROR(__xludf.DUMMYFUNCTION("""COMPUTED_VALUE"""),"Print Support")</f>
        <v>Print Support</v>
      </c>
      <c r="Q2133" s="1" t="str">
        <f>IFERROR(__xludf.DUMMYFUNCTION("""COMPUTED_VALUE"""),"mpalermo@canva.com")</f>
        <v>mpalermo@canva.com</v>
      </c>
      <c r="R2133" s="1" t="str">
        <f>IFERROR(__xludf.DUMMYFUNCTION("""COMPUTED_VALUE"""),"Marjorie Tsao")</f>
        <v>Marjorie Tsao</v>
      </c>
      <c r="S2133" s="1"/>
      <c r="T2133" s="1">
        <f>IFERROR(__xludf.DUMMYFUNCTION("""COMPUTED_VALUE"""),1.75)</f>
        <v>1.75</v>
      </c>
      <c r="U2133" s="2">
        <f>IFERROR(__xludf.DUMMYFUNCTION("""COMPUTED_VALUE"""),1.75)</f>
        <v>1.75</v>
      </c>
      <c r="V2133" s="1" t="str">
        <f>IFERROR(__xludf.DUMMYFUNCTION("""COMPUTED_VALUE"""),"Louise Dianne Estrella")</f>
        <v>Louise Dianne Estrella</v>
      </c>
      <c r="W2133" s="1" t="str">
        <f>IFERROR(__xludf.DUMMYFUNCTION("""COMPUTED_VALUE"""),"Print Support PH")</f>
        <v>Print Support PH</v>
      </c>
    </row>
    <row r="2134">
      <c r="O2134" s="1" t="str">
        <f>IFERROR(__xludf.DUMMYFUNCTION("""COMPUTED_VALUE"""),"2026 Jan")</f>
        <v>2026 Jan</v>
      </c>
      <c r="P2134" s="1" t="str">
        <f>IFERROR(__xludf.DUMMYFUNCTION("""COMPUTED_VALUE"""),"Core Product Support")</f>
        <v>Core Product Support</v>
      </c>
      <c r="Q2134" s="1" t="str">
        <f>IFERROR(__xludf.DUMMYFUNCTION("""COMPUTED_VALUE"""),"martyl@canva.com")</f>
        <v>martyl@canva.com</v>
      </c>
      <c r="R2134" s="1" t="str">
        <f>IFERROR(__xludf.DUMMYFUNCTION("""COMPUTED_VALUE"""),"Marty Lozada")</f>
        <v>Marty Lozada</v>
      </c>
      <c r="S2134" s="1">
        <f>IFERROR(__xludf.DUMMYFUNCTION("""COMPUTED_VALUE"""),2.5)</f>
        <v>2.5</v>
      </c>
      <c r="T2134" s="1">
        <f>IFERROR(__xludf.DUMMYFUNCTION("""COMPUTED_VALUE"""),5.42)</f>
        <v>5.42</v>
      </c>
      <c r="U2134" s="2">
        <f>IFERROR(__xludf.DUMMYFUNCTION("""COMPUTED_VALUE"""),7.92)</f>
        <v>7.92</v>
      </c>
      <c r="V2134" s="1" t="str">
        <f>IFERROR(__xludf.DUMMYFUNCTION("""COMPUTED_VALUE"""),"Vinz Lazaro")</f>
        <v>Vinz Lazaro</v>
      </c>
      <c r="W2134" s="1" t="str">
        <f>IFERROR(__xludf.DUMMYFUNCTION("""COMPUTED_VALUE"""),"Advanced Product Support")</f>
        <v>Advanced Product Support</v>
      </c>
    </row>
    <row r="2135">
      <c r="O2135" s="1" t="str">
        <f>IFERROR(__xludf.DUMMYFUNCTION("""COMPUTED_VALUE"""),"2026 Jan")</f>
        <v>2026 Jan</v>
      </c>
      <c r="P2135" s="1" t="str">
        <f>IFERROR(__xludf.DUMMYFUNCTION("""COMPUTED_VALUE"""),"High Sensitivity Support")</f>
        <v>High Sensitivity Support</v>
      </c>
      <c r="Q2135" s="1" t="str">
        <f>IFERROR(__xludf.DUMMYFUNCTION("""COMPUTED_VALUE"""),"mayann@canva.com")</f>
        <v>mayann@canva.com</v>
      </c>
      <c r="R2135" s="1" t="str">
        <f>IFERROR(__xludf.DUMMYFUNCTION("""COMPUTED_VALUE"""),"May Ann Caguioa")</f>
        <v>May Ann Caguioa</v>
      </c>
      <c r="S2135" s="1"/>
      <c r="T2135" s="1">
        <f>IFERROR(__xludf.DUMMYFUNCTION("""COMPUTED_VALUE"""),0.75)</f>
        <v>0.75</v>
      </c>
      <c r="U2135" s="2">
        <f>IFERROR(__xludf.DUMMYFUNCTION("""COMPUTED_VALUE"""),0.75)</f>
        <v>0.75</v>
      </c>
      <c r="V2135" s="1" t="str">
        <f>IFERROR(__xludf.DUMMYFUNCTION("""COMPUTED_VALUE"""),"Rossheen Pura")</f>
        <v>Rossheen Pura</v>
      </c>
      <c r="W2135" s="1" t="str">
        <f>IFERROR(__xludf.DUMMYFUNCTION("""COMPUTED_VALUE"""),"High Sensitivity Support PH")</f>
        <v>High Sensitivity Support PH</v>
      </c>
    </row>
    <row r="2136">
      <c r="O2136" s="1" t="str">
        <f>IFERROR(__xludf.DUMMYFUNCTION("""COMPUTED_VALUE"""),"2026 Jan")</f>
        <v>2026 Jan</v>
      </c>
      <c r="P2136" s="1" t="str">
        <f>IFERROR(__xludf.DUMMYFUNCTION("""COMPUTED_VALUE"""),"Core Product Support")</f>
        <v>Core Product Support</v>
      </c>
      <c r="Q2136" s="1" t="str">
        <f>IFERROR(__xludf.DUMMYFUNCTION("""COMPUTED_VALUE"""),"mccoyc@canva.com")</f>
        <v>mccoyc@canva.com</v>
      </c>
      <c r="R2136" s="1" t="str">
        <f>IFERROR(__xludf.DUMMYFUNCTION("""COMPUTED_VALUE"""),"McCoy Cacanindin")</f>
        <v>McCoy Cacanindin</v>
      </c>
      <c r="S2136" s="1">
        <f>IFERROR(__xludf.DUMMYFUNCTION("""COMPUTED_VALUE"""),1.5)</f>
        <v>1.5</v>
      </c>
      <c r="T2136" s="1">
        <f>IFERROR(__xludf.DUMMYFUNCTION("""COMPUTED_VALUE"""),4.0)</f>
        <v>4</v>
      </c>
      <c r="U2136" s="2">
        <f>IFERROR(__xludf.DUMMYFUNCTION("""COMPUTED_VALUE"""),5.5)</f>
        <v>5.5</v>
      </c>
      <c r="V2136" s="1" t="str">
        <f>IFERROR(__xludf.DUMMYFUNCTION("""COMPUTED_VALUE"""),"Vinz Lazaro")</f>
        <v>Vinz Lazaro</v>
      </c>
      <c r="W2136" s="1" t="str">
        <f>IFERROR(__xludf.DUMMYFUNCTION("""COMPUTED_VALUE"""),"Advanced Product Support")</f>
        <v>Advanced Product Support</v>
      </c>
    </row>
    <row r="2137">
      <c r="O2137" s="1" t="str">
        <f>IFERROR(__xludf.DUMMYFUNCTION("""COMPUTED_VALUE"""),"2026 Jan")</f>
        <v>2026 Jan</v>
      </c>
      <c r="P2137" s="1" t="str">
        <f>IFERROR(__xludf.DUMMYFUNCTION("""COMPUTED_VALUE"""),"High Sensitivity Support")</f>
        <v>High Sensitivity Support</v>
      </c>
      <c r="Q2137" s="1" t="str">
        <f>IFERROR(__xludf.DUMMYFUNCTION("""COMPUTED_VALUE"""),"mlabio@canva.com")</f>
        <v>mlabio@canva.com</v>
      </c>
      <c r="R2137" s="1" t="str">
        <f>IFERROR(__xludf.DUMMYFUNCTION("""COMPUTED_VALUE"""),"Melanie Labio")</f>
        <v>Melanie Labio</v>
      </c>
      <c r="S2137" s="1"/>
      <c r="T2137" s="1">
        <f>IFERROR(__xludf.DUMMYFUNCTION("""COMPUTED_VALUE"""),1.0)</f>
        <v>1</v>
      </c>
      <c r="U2137" s="2">
        <f>IFERROR(__xludf.DUMMYFUNCTION("""COMPUTED_VALUE"""),1.0)</f>
        <v>1</v>
      </c>
      <c r="V2137" s="1" t="str">
        <f>IFERROR(__xludf.DUMMYFUNCTION("""COMPUTED_VALUE"""),"Xandy Azarcon")</f>
        <v>Xandy Azarcon</v>
      </c>
      <c r="W2137" s="1" t="str">
        <f>IFERROR(__xludf.DUMMYFUNCTION("""COMPUTED_VALUE"""),"High Sensitivity Support PH")</f>
        <v>High Sensitivity Support PH</v>
      </c>
    </row>
    <row r="2138">
      <c r="O2138" s="1" t="str">
        <f>IFERROR(__xludf.DUMMYFUNCTION("""COMPUTED_VALUE"""),"2026 Jan")</f>
        <v>2026 Jan</v>
      </c>
      <c r="P2138" s="1" t="str">
        <f>IFERROR(__xludf.DUMMYFUNCTION("""COMPUTED_VALUE"""),"Admin Support")</f>
        <v>Admin Support</v>
      </c>
      <c r="Q2138" s="1" t="str">
        <f>IFERROR(__xludf.DUMMYFUNCTION("""COMPUTED_VALUE"""),"mmicah@canva.com")</f>
        <v>mmicah@canva.com</v>
      </c>
      <c r="R2138" s="1" t="str">
        <f>IFERROR(__xludf.DUMMYFUNCTION("""COMPUTED_VALUE"""),"Micah Geneviv Marcos")</f>
        <v>Micah Geneviv Marcos</v>
      </c>
      <c r="S2138" s="1"/>
      <c r="T2138" s="1">
        <f>IFERROR(__xludf.DUMMYFUNCTION("""COMPUTED_VALUE"""),12.75)</f>
        <v>12.75</v>
      </c>
      <c r="U2138" s="2">
        <f>IFERROR(__xludf.DUMMYFUNCTION("""COMPUTED_VALUE"""),12.75)</f>
        <v>12.75</v>
      </c>
      <c r="V2138" s="1" t="str">
        <f>IFERROR(__xludf.DUMMYFUNCTION("""COMPUTED_VALUE"""),"Karla Mananghaya")</f>
        <v>Karla Mananghaya</v>
      </c>
      <c r="W2138" s="1" t="str">
        <f>IFERROR(__xludf.DUMMYFUNCTION("""COMPUTED_VALUE"""),"Admin Support Service Escalation Team")</f>
        <v>Admin Support Service Escalation Team</v>
      </c>
    </row>
    <row r="2139">
      <c r="O2139" s="1" t="str">
        <f>IFERROR(__xludf.DUMMYFUNCTION("""COMPUTED_VALUE"""),"2026 Jan")</f>
        <v>2026 Jan</v>
      </c>
      <c r="P2139" s="1" t="str">
        <f>IFERROR(__xludf.DUMMYFUNCTION("""COMPUTED_VALUE"""),"Core Product Support")</f>
        <v>Core Product Support</v>
      </c>
      <c r="Q2139" s="1" t="str">
        <f>IFERROR(__xludf.DUMMYFUNCTION("""COMPUTED_VALUE"""),"nas@canva.com")</f>
        <v>nas@canva.com</v>
      </c>
      <c r="R2139" s="1" t="str">
        <f>IFERROR(__xludf.DUMMYFUNCTION("""COMPUTED_VALUE"""),"Miggy De Vibar")</f>
        <v>Miggy De Vibar</v>
      </c>
      <c r="S2139" s="1">
        <f>IFERROR(__xludf.DUMMYFUNCTION("""COMPUTED_VALUE"""),2.0)</f>
        <v>2</v>
      </c>
      <c r="T2139" s="1">
        <f>IFERROR(__xludf.DUMMYFUNCTION("""COMPUTED_VALUE"""),4.25)</f>
        <v>4.25</v>
      </c>
      <c r="U2139" s="2">
        <f>IFERROR(__xludf.DUMMYFUNCTION("""COMPUTED_VALUE"""),6.25)</f>
        <v>6.25</v>
      </c>
      <c r="V2139" s="1" t="str">
        <f>IFERROR(__xludf.DUMMYFUNCTION("""COMPUTED_VALUE"""),"Belle Bentazal")</f>
        <v>Belle Bentazal</v>
      </c>
      <c r="W2139" s="1" t="str">
        <f>IFERROR(__xludf.DUMMYFUNCTION("""COMPUTED_VALUE"""),"Advanced Product Support")</f>
        <v>Advanced Product Support</v>
      </c>
    </row>
    <row r="2140">
      <c r="O2140" s="1" t="str">
        <f>IFERROR(__xludf.DUMMYFUNCTION("""COMPUTED_VALUE"""),"2026 Jan")</f>
        <v>2026 Jan</v>
      </c>
      <c r="P2140" s="1" t="str">
        <f>IFERROR(__xludf.DUMMYFUNCTION("""COMPUTED_VALUE"""),"Core Product Support")</f>
        <v>Core Product Support</v>
      </c>
      <c r="Q2140" s="1" t="str">
        <f>IFERROR(__xludf.DUMMYFUNCTION("""COMPUTED_VALUE"""),"mika@canva.com")</f>
        <v>mika@canva.com</v>
      </c>
      <c r="R2140" s="1" t="str">
        <f>IFERROR(__xludf.DUMMYFUNCTION("""COMPUTED_VALUE"""),"Mika Magpantay")</f>
        <v>Mika Magpantay</v>
      </c>
      <c r="S2140" s="1">
        <f>IFERROR(__xludf.DUMMYFUNCTION("""COMPUTED_VALUE"""),2.0)</f>
        <v>2</v>
      </c>
      <c r="T2140" s="1">
        <f>IFERROR(__xludf.DUMMYFUNCTION("""COMPUTED_VALUE"""),7.0)</f>
        <v>7</v>
      </c>
      <c r="U2140" s="2">
        <f>IFERROR(__xludf.DUMMYFUNCTION("""COMPUTED_VALUE"""),9.0)</f>
        <v>9</v>
      </c>
      <c r="V2140" s="1" t="str">
        <f>IFERROR(__xludf.DUMMYFUNCTION("""COMPUTED_VALUE"""),"Jem Mondoñedo")</f>
        <v>Jem Mondoñedo</v>
      </c>
      <c r="W2140" s="1" t="str">
        <f>IFERROR(__xludf.DUMMYFUNCTION("""COMPUTED_VALUE"""),"Advanced Billing &amp; Subscriptions")</f>
        <v>Advanced Billing &amp; Subscriptions</v>
      </c>
    </row>
    <row r="2141">
      <c r="O2141" s="1" t="str">
        <f>IFERROR(__xludf.DUMMYFUNCTION("""COMPUTED_VALUE"""),"2026 Jan")</f>
        <v>2026 Jan</v>
      </c>
      <c r="P2141" s="1" t="str">
        <f>IFERROR(__xludf.DUMMYFUNCTION("""COMPUTED_VALUE"""),"Core Product Support")</f>
        <v>Core Product Support</v>
      </c>
      <c r="Q2141" s="1" t="str">
        <f>IFERROR(__xludf.DUMMYFUNCTION("""COMPUTED_VALUE"""),"mirielle@canva.com")</f>
        <v>mirielle@canva.com</v>
      </c>
      <c r="R2141" s="1" t="str">
        <f>IFERROR(__xludf.DUMMYFUNCTION("""COMPUTED_VALUE"""),"Mirielle Frances de Lara")</f>
        <v>Mirielle Frances de Lara</v>
      </c>
      <c r="S2141" s="1">
        <f>IFERROR(__xludf.DUMMYFUNCTION("""COMPUTED_VALUE"""),2.0)</f>
        <v>2</v>
      </c>
      <c r="T2141" s="1">
        <f>IFERROR(__xludf.DUMMYFUNCTION("""COMPUTED_VALUE"""),4.12)</f>
        <v>4.12</v>
      </c>
      <c r="U2141" s="2">
        <f>IFERROR(__xludf.DUMMYFUNCTION("""COMPUTED_VALUE"""),6.12)</f>
        <v>6.12</v>
      </c>
      <c r="V2141" s="1" t="str">
        <f>IFERROR(__xludf.DUMMYFUNCTION("""COMPUTED_VALUE"""),"Belle Bentazal")</f>
        <v>Belle Bentazal</v>
      </c>
      <c r="W2141" s="1" t="str">
        <f>IFERROR(__xludf.DUMMYFUNCTION("""COMPUTED_VALUE"""),"Advanced Product Support")</f>
        <v>Advanced Product Support</v>
      </c>
    </row>
    <row r="2142">
      <c r="O2142" s="1" t="str">
        <f>IFERROR(__xludf.DUMMYFUNCTION("""COMPUTED_VALUE"""),"2026 Jan")</f>
        <v>2026 Jan</v>
      </c>
      <c r="P2142" s="1" t="str">
        <f>IFERROR(__xludf.DUMMYFUNCTION("""COMPUTED_VALUE"""),"Admin Support")</f>
        <v>Admin Support</v>
      </c>
      <c r="Q2142" s="1" t="str">
        <f>IFERROR(__xludf.DUMMYFUNCTION("""COMPUTED_VALUE"""),"mjb@canva.com")</f>
        <v>mjb@canva.com</v>
      </c>
      <c r="R2142" s="1" t="str">
        <f>IFERROR(__xludf.DUMMYFUNCTION("""COMPUTED_VALUE"""),"MJ Billon")</f>
        <v>MJ Billon</v>
      </c>
      <c r="S2142" s="1"/>
      <c r="T2142" s="1">
        <f>IFERROR(__xludf.DUMMYFUNCTION("""COMPUTED_VALUE"""),2.5)</f>
        <v>2.5</v>
      </c>
      <c r="U2142" s="2">
        <f>IFERROR(__xludf.DUMMYFUNCTION("""COMPUTED_VALUE"""),2.5)</f>
        <v>2.5</v>
      </c>
      <c r="V2142" s="1" t="str">
        <f>IFERROR(__xludf.DUMMYFUNCTION("""COMPUTED_VALUE"""),"Ann Dumlao")</f>
        <v>Ann Dumlao</v>
      </c>
      <c r="W2142" s="1" t="str">
        <f>IFERROR(__xludf.DUMMYFUNCTION("""COMPUTED_VALUE"""),"Admin Omni Support")</f>
        <v>Admin Omni Support</v>
      </c>
    </row>
    <row r="2143">
      <c r="O2143" s="1" t="str">
        <f>IFERROR(__xludf.DUMMYFUNCTION("""COMPUTED_VALUE"""),"2026 Jan")</f>
        <v>2026 Jan</v>
      </c>
      <c r="P2143" s="1" t="str">
        <f>IFERROR(__xludf.DUMMYFUNCTION("""COMPUTED_VALUE"""),"Segment-specific Support")</f>
        <v>Segment-specific Support</v>
      </c>
      <c r="Q2143" s="1" t="str">
        <f>IFERROR(__xludf.DUMMYFUNCTION("""COMPUTED_VALUE"""),"molli@canva.com")</f>
        <v>molli@canva.com</v>
      </c>
      <c r="R2143" s="1" t="str">
        <f>IFERROR(__xludf.DUMMYFUNCTION("""COMPUTED_VALUE"""),"MJ Sol")</f>
        <v>MJ Sol</v>
      </c>
      <c r="S2143" s="1"/>
      <c r="T2143" s="1"/>
      <c r="U2143" s="2">
        <f>IFERROR(__xludf.DUMMYFUNCTION("""COMPUTED_VALUE"""),0.0)</f>
        <v>0</v>
      </c>
      <c r="V2143" s="1" t="str">
        <f>IFERROR(__xludf.DUMMYFUNCTION("""COMPUTED_VALUE"""),"Aileen Dayanghirang")</f>
        <v>Aileen Dayanghirang</v>
      </c>
      <c r="W2143" s="1" t="str">
        <f>IFERROR(__xludf.DUMMYFUNCTION("""COMPUTED_VALUE"""),"Creators Support")</f>
        <v>Creators Support</v>
      </c>
    </row>
    <row r="2144">
      <c r="O2144" s="1" t="str">
        <f>IFERROR(__xludf.DUMMYFUNCTION("""COMPUTED_VALUE"""),"2026 Jan")</f>
        <v>2026 Jan</v>
      </c>
      <c r="P2144" s="1" t="str">
        <f>IFERROR(__xludf.DUMMYFUNCTION("""COMPUTED_VALUE"""),"Core Product Support")</f>
        <v>Core Product Support</v>
      </c>
      <c r="Q2144" s="1" t="str">
        <f>IFERROR(__xludf.DUMMYFUNCTION("""COMPUTED_VALUE"""),"raymondc@canva.com")</f>
        <v>raymondc@canva.com</v>
      </c>
      <c r="R2144" s="1" t="str">
        <f>IFERROR(__xludf.DUMMYFUNCTION("""COMPUTED_VALUE"""),"Mond Catimbang")</f>
        <v>Mond Catimbang</v>
      </c>
      <c r="S2144" s="1">
        <f>IFERROR(__xludf.DUMMYFUNCTION("""COMPUTED_VALUE"""),1.5)</f>
        <v>1.5</v>
      </c>
      <c r="T2144" s="1">
        <f>IFERROR(__xludf.DUMMYFUNCTION("""COMPUTED_VALUE"""),4.0)</f>
        <v>4</v>
      </c>
      <c r="U2144" s="2">
        <f>IFERROR(__xludf.DUMMYFUNCTION("""COMPUTED_VALUE"""),5.5)</f>
        <v>5.5</v>
      </c>
      <c r="V2144" s="1" t="str">
        <f>IFERROR(__xludf.DUMMYFUNCTION("""COMPUTED_VALUE"""),"Jem Mondoñedo")</f>
        <v>Jem Mondoñedo</v>
      </c>
      <c r="W2144" s="1" t="str">
        <f>IFERROR(__xludf.DUMMYFUNCTION("""COMPUTED_VALUE"""),"Advanced Billing &amp; Subscriptions")</f>
        <v>Advanced Billing &amp; Subscriptions</v>
      </c>
    </row>
    <row r="2145">
      <c r="O2145" s="1" t="str">
        <f>IFERROR(__xludf.DUMMYFUNCTION("""COMPUTED_VALUE"""),"2026 Jan")</f>
        <v>2026 Jan</v>
      </c>
      <c r="P2145" s="1" t="str">
        <f>IFERROR(__xludf.DUMMYFUNCTION("""COMPUTED_VALUE"""),"Print Support")</f>
        <v>Print Support</v>
      </c>
      <c r="Q2145" s="1" t="str">
        <f>IFERROR(__xludf.DUMMYFUNCTION("""COMPUTED_VALUE"""),"natedc@canva.com")</f>
        <v>natedc@canva.com</v>
      </c>
      <c r="R2145" s="1" t="str">
        <f>IFERROR(__xludf.DUMMYFUNCTION("""COMPUTED_VALUE"""),"Nate De la Cruz")</f>
        <v>Nate De la Cruz</v>
      </c>
      <c r="S2145" s="1"/>
      <c r="T2145" s="1">
        <f>IFERROR(__xludf.DUMMYFUNCTION("""COMPUTED_VALUE"""),0.5)</f>
        <v>0.5</v>
      </c>
      <c r="U2145" s="2">
        <f>IFERROR(__xludf.DUMMYFUNCTION("""COMPUTED_VALUE"""),0.5)</f>
        <v>0.5</v>
      </c>
      <c r="V2145" s="1" t="str">
        <f>IFERROR(__xludf.DUMMYFUNCTION("""COMPUTED_VALUE"""),"Gem Agoncillo")</f>
        <v>Gem Agoncillo</v>
      </c>
      <c r="W2145" s="1" t="str">
        <f>IFERROR(__xludf.DUMMYFUNCTION("""COMPUTED_VALUE"""),"Print Design Support")</f>
        <v>Print Design Support</v>
      </c>
    </row>
    <row r="2146">
      <c r="O2146" s="1" t="str">
        <f>IFERROR(__xludf.DUMMYFUNCTION("""COMPUTED_VALUE"""),"2026 Jan")</f>
        <v>2026 Jan</v>
      </c>
      <c r="P2146" s="1" t="str">
        <f>IFERROR(__xludf.DUMMYFUNCTION("""COMPUTED_VALUE"""),"Admin Support")</f>
        <v>Admin Support</v>
      </c>
      <c r="Q2146" s="1" t="str">
        <f>IFERROR(__xludf.DUMMYFUNCTION("""COMPUTED_VALUE"""),"nsahagun@canva.com")</f>
        <v>nsahagun@canva.com</v>
      </c>
      <c r="R2146" s="1" t="str">
        <f>IFERROR(__xludf.DUMMYFUNCTION("""COMPUTED_VALUE"""),"Nathalie Sahagun")</f>
        <v>Nathalie Sahagun</v>
      </c>
      <c r="S2146" s="1"/>
      <c r="T2146" s="1"/>
      <c r="U2146" s="2">
        <f>IFERROR(__xludf.DUMMYFUNCTION("""COMPUTED_VALUE"""),0.0)</f>
        <v>0</v>
      </c>
      <c r="V2146" s="1" t="str">
        <f>IFERROR(__xludf.DUMMYFUNCTION("""COMPUTED_VALUE"""),"Nate Vela")</f>
        <v>Nate Vela</v>
      </c>
      <c r="W2146" s="1" t="str">
        <f>IFERROR(__xludf.DUMMYFUNCTION("""COMPUTED_VALUE"""),"Admin Support NA")</f>
        <v>Admin Support NA</v>
      </c>
    </row>
    <row r="2147">
      <c r="O2147" s="1" t="str">
        <f>IFERROR(__xludf.DUMMYFUNCTION("""COMPUTED_VALUE"""),"2026 Jan")</f>
        <v>2026 Jan</v>
      </c>
      <c r="P2147" s="1" t="str">
        <f>IFERROR(__xludf.DUMMYFUNCTION("""COMPUTED_VALUE"""),"#N/A")</f>
        <v>#N/A</v>
      </c>
      <c r="Q2147" s="1" t="str">
        <f>IFERROR(__xludf.DUMMYFUNCTION("""COMPUTED_VALUE"""),"naquiatan@canva.com")</f>
        <v>naquiatan@canva.com</v>
      </c>
      <c r="R2147" s="1" t="str">
        <f>IFERROR(__xludf.DUMMYFUNCTION("""COMPUTED_VALUE"""),"Nathaniel Aquiatan")</f>
        <v>Nathaniel Aquiatan</v>
      </c>
      <c r="S2147" s="1"/>
      <c r="T2147" s="1"/>
      <c r="U2147" s="2">
        <f>IFERROR(__xludf.DUMMYFUNCTION("""COMPUTED_VALUE"""),0.0)</f>
        <v>0</v>
      </c>
      <c r="V2147" s="1" t="str">
        <f>IFERROR(__xludf.DUMMYFUNCTION("""COMPUTED_VALUE"""),"#N/A")</f>
        <v>#N/A</v>
      </c>
      <c r="W2147" s="1" t="str">
        <f>IFERROR(__xludf.DUMMYFUNCTION("""COMPUTED_VALUE"""),"#N/A")</f>
        <v>#N/A</v>
      </c>
    </row>
    <row r="2148">
      <c r="O2148" s="1" t="str">
        <f>IFERROR(__xludf.DUMMYFUNCTION("""COMPUTED_VALUE"""),"2026 Jan")</f>
        <v>2026 Jan</v>
      </c>
      <c r="P2148" s="1" t="str">
        <f>IFERROR(__xludf.DUMMYFUNCTION("""COMPUTED_VALUE"""),"Core Product Support")</f>
        <v>Core Product Support</v>
      </c>
      <c r="Q2148" s="1" t="str">
        <f>IFERROR(__xludf.DUMMYFUNCTION("""COMPUTED_VALUE"""),"neeki@canva.com")</f>
        <v>neeki@canva.com</v>
      </c>
      <c r="R2148" s="1" t="str">
        <f>IFERROR(__xludf.DUMMYFUNCTION("""COMPUTED_VALUE"""),"Neeki Asido")</f>
        <v>Neeki Asido</v>
      </c>
      <c r="S2148" s="1">
        <f>IFERROR(__xludf.DUMMYFUNCTION("""COMPUTED_VALUE"""),1.0)</f>
        <v>1</v>
      </c>
      <c r="T2148" s="1">
        <f>IFERROR(__xludf.DUMMYFUNCTION("""COMPUTED_VALUE"""),11.75)</f>
        <v>11.75</v>
      </c>
      <c r="U2148" s="2">
        <f>IFERROR(__xludf.DUMMYFUNCTION("""COMPUTED_VALUE"""),12.75)</f>
        <v>12.75</v>
      </c>
      <c r="V2148" s="1" t="str">
        <f>IFERROR(__xludf.DUMMYFUNCTION("""COMPUTED_VALUE"""),"Jelyn Elmido")</f>
        <v>Jelyn Elmido</v>
      </c>
      <c r="W2148" s="1" t="str">
        <f>IFERROR(__xludf.DUMMYFUNCTION("""COMPUTED_VALUE"""),"Core Product Support Escalation Team")</f>
        <v>Core Product Support Escalation Team</v>
      </c>
    </row>
    <row r="2149">
      <c r="O2149" s="1" t="str">
        <f>IFERROR(__xludf.DUMMYFUNCTION("""COMPUTED_VALUE"""),"2026 Jan")</f>
        <v>2026 Jan</v>
      </c>
      <c r="P2149" s="1" t="str">
        <f>IFERROR(__xludf.DUMMYFUNCTION("""COMPUTED_VALUE"""),"Core Product Support")</f>
        <v>Core Product Support</v>
      </c>
      <c r="Q2149" s="1" t="str">
        <f>IFERROR(__xludf.DUMMYFUNCTION("""COMPUTED_VALUE"""),"nicholeb@canva.com")</f>
        <v>nicholeb@canva.com</v>
      </c>
      <c r="R2149" s="1" t="str">
        <f>IFERROR(__xludf.DUMMYFUNCTION("""COMPUTED_VALUE"""),"Nichole Braceliño")</f>
        <v>Nichole Braceliño</v>
      </c>
      <c r="S2149" s="1">
        <f>IFERROR(__xludf.DUMMYFUNCTION("""COMPUTED_VALUE"""),0.5)</f>
        <v>0.5</v>
      </c>
      <c r="T2149" s="1">
        <f>IFERROR(__xludf.DUMMYFUNCTION("""COMPUTED_VALUE"""),10.58)</f>
        <v>10.58</v>
      </c>
      <c r="U2149" s="2">
        <f>IFERROR(__xludf.DUMMYFUNCTION("""COMPUTED_VALUE"""),11.08)</f>
        <v>11.08</v>
      </c>
      <c r="V2149" s="1" t="str">
        <f>IFERROR(__xludf.DUMMYFUNCTION("""COMPUTED_VALUE"""),"Renette Bok")</f>
        <v>Renette Bok</v>
      </c>
      <c r="W2149" s="1" t="str">
        <f>IFERROR(__xludf.DUMMYFUNCTION("""COMPUTED_VALUE"""),"Advanced Billing &amp; Subscriptions")</f>
        <v>Advanced Billing &amp; Subscriptions</v>
      </c>
    </row>
    <row r="2150">
      <c r="O2150" s="1" t="str">
        <f>IFERROR(__xludf.DUMMYFUNCTION("""COMPUTED_VALUE"""),"2026 Jan")</f>
        <v>2026 Jan</v>
      </c>
      <c r="P2150" s="1" t="str">
        <f>IFERROR(__xludf.DUMMYFUNCTION("""COMPUTED_VALUE"""),"High Sensitivity Support")</f>
        <v>High Sensitivity Support</v>
      </c>
      <c r="Q2150" s="1" t="str">
        <f>IFERROR(__xludf.DUMMYFUNCTION("""COMPUTED_VALUE"""),"ncruz@canva.com")</f>
        <v>ncruz@canva.com</v>
      </c>
      <c r="R2150" s="1" t="str">
        <f>IFERROR(__xludf.DUMMYFUNCTION("""COMPUTED_VALUE"""),"Nikki Cruz")</f>
        <v>Nikki Cruz</v>
      </c>
      <c r="S2150" s="1"/>
      <c r="T2150" s="1">
        <f>IFERROR(__xludf.DUMMYFUNCTION("""COMPUTED_VALUE"""),2.0)</f>
        <v>2</v>
      </c>
      <c r="U2150" s="2">
        <f>IFERROR(__xludf.DUMMYFUNCTION("""COMPUTED_VALUE"""),2.0)</f>
        <v>2</v>
      </c>
      <c r="V2150" s="1" t="str">
        <f>IFERROR(__xludf.DUMMYFUNCTION("""COMPUTED_VALUE"""),"Issi Afable")</f>
        <v>Issi Afable</v>
      </c>
      <c r="W2150" s="1" t="str">
        <f>IFERROR(__xludf.DUMMYFUNCTION("""COMPUTED_VALUE"""),"High Sensitivity Support PH")</f>
        <v>High Sensitivity Support PH</v>
      </c>
    </row>
    <row r="2151">
      <c r="O2151" s="1" t="str">
        <f>IFERROR(__xludf.DUMMYFUNCTION("""COMPUTED_VALUE"""),"2026 Jan")</f>
        <v>2026 Jan</v>
      </c>
      <c r="P2151" s="1" t="str">
        <f>IFERROR(__xludf.DUMMYFUNCTION("""COMPUTED_VALUE"""),"Print Support")</f>
        <v>Print Support</v>
      </c>
      <c r="Q2151" s="1" t="str">
        <f>IFERROR(__xludf.DUMMYFUNCTION("""COMPUTED_VALUE"""),"nonoimboy@canva.com")</f>
        <v>nonoimboy@canva.com</v>
      </c>
      <c r="R2151" s="1" t="str">
        <f>IFERROR(__xludf.DUMMYFUNCTION("""COMPUTED_VALUE"""),"Noel Imboy")</f>
        <v>Noel Imboy</v>
      </c>
      <c r="S2151" s="1"/>
      <c r="T2151" s="1">
        <f>IFERROR(__xludf.DUMMYFUNCTION("""COMPUTED_VALUE"""),0.5)</f>
        <v>0.5</v>
      </c>
      <c r="U2151" s="2">
        <f>IFERROR(__xludf.DUMMYFUNCTION("""COMPUTED_VALUE"""),0.5)</f>
        <v>0.5</v>
      </c>
      <c r="V2151" s="1" t="str">
        <f>IFERROR(__xludf.DUMMYFUNCTION("""COMPUTED_VALUE"""),"Gem Agoncillo")</f>
        <v>Gem Agoncillo</v>
      </c>
      <c r="W2151" s="1" t="str">
        <f>IFERROR(__xludf.DUMMYFUNCTION("""COMPUTED_VALUE"""),"Print Design Support")</f>
        <v>Print Design Support</v>
      </c>
    </row>
    <row r="2152">
      <c r="O2152" s="1" t="str">
        <f>IFERROR(__xludf.DUMMYFUNCTION("""COMPUTED_VALUE"""),"2026 Jan")</f>
        <v>2026 Jan</v>
      </c>
      <c r="P2152" s="1" t="str">
        <f>IFERROR(__xludf.DUMMYFUNCTION("""COMPUTED_VALUE"""),"Segment-specific Support")</f>
        <v>Segment-specific Support</v>
      </c>
      <c r="Q2152" s="1" t="str">
        <f>IFERROR(__xludf.DUMMYFUNCTION("""COMPUTED_VALUE"""),"pao@canva.com")</f>
        <v>pao@canva.com</v>
      </c>
      <c r="R2152" s="1" t="str">
        <f>IFERROR(__xludf.DUMMYFUNCTION("""COMPUTED_VALUE"""),"Pao Domanais")</f>
        <v>Pao Domanais</v>
      </c>
      <c r="S2152" s="1"/>
      <c r="T2152" s="1">
        <f>IFERROR(__xludf.DUMMYFUNCTION("""COMPUTED_VALUE"""),1.75)</f>
        <v>1.75</v>
      </c>
      <c r="U2152" s="2">
        <f>IFERROR(__xludf.DUMMYFUNCTION("""COMPUTED_VALUE"""),1.75)</f>
        <v>1.75</v>
      </c>
      <c r="V2152" s="1" t="str">
        <f>IFERROR(__xludf.DUMMYFUNCTION("""COMPUTED_VALUE"""),"Rose Gabilan")</f>
        <v>Rose Gabilan</v>
      </c>
      <c r="W2152" s="1" t="str">
        <f>IFERROR(__xludf.DUMMYFUNCTION("""COMPUTED_VALUE"""),"Print Support PH")</f>
        <v>Print Support PH</v>
      </c>
    </row>
    <row r="2153">
      <c r="O2153" s="1" t="str">
        <f>IFERROR(__xludf.DUMMYFUNCTION("""COMPUTED_VALUE"""),"2026 Jan")</f>
        <v>2026 Jan</v>
      </c>
      <c r="P2153" s="1" t="str">
        <f>IFERROR(__xludf.DUMMYFUNCTION("""COMPUTED_VALUE"""),"Print Support")</f>
        <v>Print Support</v>
      </c>
      <c r="Q2153" s="1" t="str">
        <f>IFERROR(__xludf.DUMMYFUNCTION("""COMPUTED_VALUE"""),"paolonati@canva.com")</f>
        <v>paolonati@canva.com</v>
      </c>
      <c r="R2153" s="1" t="str">
        <f>IFERROR(__xludf.DUMMYFUNCTION("""COMPUTED_VALUE"""),"Paolo Natividad")</f>
        <v>Paolo Natividad</v>
      </c>
      <c r="S2153" s="1"/>
      <c r="T2153" s="1"/>
      <c r="U2153" s="2">
        <f>IFERROR(__xludf.DUMMYFUNCTION("""COMPUTED_VALUE"""),0.0)</f>
        <v>0</v>
      </c>
      <c r="V2153" s="1" t="str">
        <f>IFERROR(__xludf.DUMMYFUNCTION("""COMPUTED_VALUE"""),"Rei De Jesus")</f>
        <v>Rei De Jesus</v>
      </c>
      <c r="W2153" s="1" t="str">
        <f>IFERROR(__xludf.DUMMYFUNCTION("""COMPUTED_VALUE"""),"Print Design Support")</f>
        <v>Print Design Support</v>
      </c>
    </row>
    <row r="2154">
      <c r="O2154" s="1" t="str">
        <f>IFERROR(__xludf.DUMMYFUNCTION("""COMPUTED_VALUE"""),"2026 Jan")</f>
        <v>2026 Jan</v>
      </c>
      <c r="P2154" s="1" t="str">
        <f>IFERROR(__xludf.DUMMYFUNCTION("""COMPUTED_VALUE"""),"Core Product Support")</f>
        <v>Core Product Support</v>
      </c>
      <c r="Q2154" s="1" t="str">
        <f>IFERROR(__xludf.DUMMYFUNCTION("""COMPUTED_VALUE"""),"padelacruz@canva.com")</f>
        <v>padelacruz@canva.com</v>
      </c>
      <c r="R2154" s="1" t="str">
        <f>IFERROR(__xludf.DUMMYFUNCTION("""COMPUTED_VALUE"""),"Patrick Dela Cruz")</f>
        <v>Patrick Dela Cruz</v>
      </c>
      <c r="S2154" s="1">
        <f>IFERROR(__xludf.DUMMYFUNCTION("""COMPUTED_VALUE"""),1.5)</f>
        <v>1.5</v>
      </c>
      <c r="T2154" s="1">
        <f>IFERROR(__xludf.DUMMYFUNCTION("""COMPUTED_VALUE"""),4.75)</f>
        <v>4.75</v>
      </c>
      <c r="U2154" s="2">
        <f>IFERROR(__xludf.DUMMYFUNCTION("""COMPUTED_VALUE"""),6.25)</f>
        <v>6.25</v>
      </c>
      <c r="V2154" s="1" t="str">
        <f>IFERROR(__xludf.DUMMYFUNCTION("""COMPUTED_VALUE"""),"Cate Velasco")</f>
        <v>Cate Velasco</v>
      </c>
      <c r="W2154" s="1" t="str">
        <f>IFERROR(__xludf.DUMMYFUNCTION("""COMPUTED_VALUE"""),"Advanced Product Support")</f>
        <v>Advanced Product Support</v>
      </c>
    </row>
    <row r="2155">
      <c r="O2155" s="1" t="str">
        <f>IFERROR(__xludf.DUMMYFUNCTION("""COMPUTED_VALUE"""),"2026 Jan")</f>
        <v>2026 Jan</v>
      </c>
      <c r="P2155" s="1" t="str">
        <f>IFERROR(__xludf.DUMMYFUNCTION("""COMPUTED_VALUE"""),"#N/A")</f>
        <v>#N/A</v>
      </c>
      <c r="Q2155" s="1" t="str">
        <f>IFERROR(__xludf.DUMMYFUNCTION("""COMPUTED_VALUE"""),"patrickm@canva.com")</f>
        <v>patrickm@canva.com</v>
      </c>
      <c r="R2155" s="1" t="str">
        <f>IFERROR(__xludf.DUMMYFUNCTION("""COMPUTED_VALUE"""),"Patrick Mariano")</f>
        <v>Patrick Mariano</v>
      </c>
      <c r="S2155" s="1"/>
      <c r="T2155" s="1">
        <f>IFERROR(__xludf.DUMMYFUNCTION("""COMPUTED_VALUE"""),12.58)</f>
        <v>12.58</v>
      </c>
      <c r="U2155" s="2">
        <f>IFERROR(__xludf.DUMMYFUNCTION("""COMPUTED_VALUE"""),12.58)</f>
        <v>12.58</v>
      </c>
      <c r="V2155" s="1" t="str">
        <f>IFERROR(__xludf.DUMMYFUNCTION("""COMPUTED_VALUE"""),"#N/A")</f>
        <v>#N/A</v>
      </c>
      <c r="W2155" s="1" t="str">
        <f>IFERROR(__xludf.DUMMYFUNCTION("""COMPUTED_VALUE"""),"Advanced Billing &amp; Subscriptions")</f>
        <v>Advanced Billing &amp; Subscriptions</v>
      </c>
    </row>
    <row r="2156">
      <c r="O2156" s="1" t="str">
        <f>IFERROR(__xludf.DUMMYFUNCTION("""COMPUTED_VALUE"""),"2026 Jan")</f>
        <v>2026 Jan</v>
      </c>
      <c r="P2156" s="1" t="str">
        <f>IFERROR(__xludf.DUMMYFUNCTION("""COMPUTED_VALUE"""),"Core Product Support")</f>
        <v>Core Product Support</v>
      </c>
      <c r="Q2156" s="1" t="str">
        <f>IFERROR(__xludf.DUMMYFUNCTION("""COMPUTED_VALUE"""),"pathugo@canva.com")</f>
        <v>pathugo@canva.com</v>
      </c>
      <c r="R2156" s="1" t="str">
        <f>IFERROR(__xludf.DUMMYFUNCTION("""COMPUTED_VALUE"""),"Patriz Hugo")</f>
        <v>Patriz Hugo</v>
      </c>
      <c r="S2156" s="1">
        <f>IFERROR(__xludf.DUMMYFUNCTION("""COMPUTED_VALUE"""),1.5)</f>
        <v>1.5</v>
      </c>
      <c r="T2156" s="1">
        <f>IFERROR(__xludf.DUMMYFUNCTION("""COMPUTED_VALUE"""),10.0)</f>
        <v>10</v>
      </c>
      <c r="U2156" s="2">
        <f>IFERROR(__xludf.DUMMYFUNCTION("""COMPUTED_VALUE"""),11.5)</f>
        <v>11.5</v>
      </c>
      <c r="V2156" s="1" t="str">
        <f>IFERROR(__xludf.DUMMYFUNCTION("""COMPUTED_VALUE"""),"Sieg Ballelos")</f>
        <v>Sieg Ballelos</v>
      </c>
      <c r="W2156" s="1" t="str">
        <f>IFERROR(__xludf.DUMMYFUNCTION("""COMPUTED_VALUE"""),"Core Product Support Escalation Team")</f>
        <v>Core Product Support Escalation Team</v>
      </c>
    </row>
    <row r="2157">
      <c r="O2157" s="1" t="str">
        <f>IFERROR(__xludf.DUMMYFUNCTION("""COMPUTED_VALUE"""),"2026 Jan")</f>
        <v>2026 Jan</v>
      </c>
      <c r="P2157" s="1" t="str">
        <f>IFERROR(__xludf.DUMMYFUNCTION("""COMPUTED_VALUE"""),"High Sensitivity Support")</f>
        <v>High Sensitivity Support</v>
      </c>
      <c r="Q2157" s="1" t="str">
        <f>IFERROR(__xludf.DUMMYFUNCTION("""COMPUTED_VALUE"""),"paulwilbert@canva.com")</f>
        <v>paulwilbert@canva.com</v>
      </c>
      <c r="R2157" s="1" t="str">
        <f>IFERROR(__xludf.DUMMYFUNCTION("""COMPUTED_VALUE"""),"Paul Domingo")</f>
        <v>Paul Domingo</v>
      </c>
      <c r="S2157" s="1"/>
      <c r="T2157" s="1">
        <f>IFERROR(__xludf.DUMMYFUNCTION("""COMPUTED_VALUE"""),1.0)</f>
        <v>1</v>
      </c>
      <c r="U2157" s="2">
        <f>IFERROR(__xludf.DUMMYFUNCTION("""COMPUTED_VALUE"""),1.0)</f>
        <v>1</v>
      </c>
      <c r="V2157" s="1" t="str">
        <f>IFERROR(__xludf.DUMMYFUNCTION("""COMPUTED_VALUE"""),"Xandy Azarcon")</f>
        <v>Xandy Azarcon</v>
      </c>
      <c r="W2157" s="1" t="str">
        <f>IFERROR(__xludf.DUMMYFUNCTION("""COMPUTED_VALUE"""),"High Sensitivity Support PH")</f>
        <v>High Sensitivity Support PH</v>
      </c>
    </row>
    <row r="2158">
      <c r="O2158" s="1" t="str">
        <f>IFERROR(__xludf.DUMMYFUNCTION("""COMPUTED_VALUE"""),"2026 Jan")</f>
        <v>2026 Jan</v>
      </c>
      <c r="P2158" s="1" t="str">
        <f>IFERROR(__xludf.DUMMYFUNCTION("""COMPUTED_VALUE"""),"Core Product Support")</f>
        <v>Core Product Support</v>
      </c>
      <c r="Q2158" s="1" t="str">
        <f>IFERROR(__xludf.DUMMYFUNCTION("""COMPUTED_VALUE"""),"paulv@canva.com")</f>
        <v>paulv@canva.com</v>
      </c>
      <c r="R2158" s="1" t="str">
        <f>IFERROR(__xludf.DUMMYFUNCTION("""COMPUTED_VALUE"""),"Paul Verdad")</f>
        <v>Paul Verdad</v>
      </c>
      <c r="S2158" s="1">
        <f>IFERROR(__xludf.DUMMYFUNCTION("""COMPUTED_VALUE"""),2.0)</f>
        <v>2</v>
      </c>
      <c r="T2158" s="1">
        <f>IFERROR(__xludf.DUMMYFUNCTION("""COMPUTED_VALUE"""),2.25)</f>
        <v>2.25</v>
      </c>
      <c r="U2158" s="2">
        <f>IFERROR(__xludf.DUMMYFUNCTION("""COMPUTED_VALUE"""),4.25)</f>
        <v>4.25</v>
      </c>
      <c r="V2158" s="1" t="str">
        <f>IFERROR(__xludf.DUMMYFUNCTION("""COMPUTED_VALUE"""),"Vinz Lazaro")</f>
        <v>Vinz Lazaro</v>
      </c>
      <c r="W2158" s="1" t="str">
        <f>IFERROR(__xludf.DUMMYFUNCTION("""COMPUTED_VALUE"""),"Advanced Product Support")</f>
        <v>Advanced Product Support</v>
      </c>
    </row>
    <row r="2159">
      <c r="O2159" s="1" t="str">
        <f>IFERROR(__xludf.DUMMYFUNCTION("""COMPUTED_VALUE"""),"2026 Jan")</f>
        <v>2026 Jan</v>
      </c>
      <c r="P2159" s="1" t="str">
        <f>IFERROR(__xludf.DUMMYFUNCTION("""COMPUTED_VALUE"""),"High Sensitivity Support")</f>
        <v>High Sensitivity Support</v>
      </c>
      <c r="Q2159" s="1" t="str">
        <f>IFERROR(__xludf.DUMMYFUNCTION("""COMPUTED_VALUE"""),"phillipronquillo@canva.com")</f>
        <v>phillipronquillo@canva.com</v>
      </c>
      <c r="R2159" s="1" t="str">
        <f>IFERROR(__xludf.DUMMYFUNCTION("""COMPUTED_VALUE"""),"Phil Ronquillo")</f>
        <v>Phil Ronquillo</v>
      </c>
      <c r="S2159" s="1">
        <f>IFERROR(__xludf.DUMMYFUNCTION("""COMPUTED_VALUE"""),1.0)</f>
        <v>1</v>
      </c>
      <c r="T2159" s="1">
        <f>IFERROR(__xludf.DUMMYFUNCTION("""COMPUTED_VALUE"""),0.75)</f>
        <v>0.75</v>
      </c>
      <c r="U2159" s="2">
        <f>IFERROR(__xludf.DUMMYFUNCTION("""COMPUTED_VALUE"""),1.75)</f>
        <v>1.75</v>
      </c>
      <c r="V2159" s="1" t="str">
        <f>IFERROR(__xludf.DUMMYFUNCTION("""COMPUTED_VALUE"""),"Rossheen Pura")</f>
        <v>Rossheen Pura</v>
      </c>
      <c r="W2159" s="1" t="str">
        <f>IFERROR(__xludf.DUMMYFUNCTION("""COMPUTED_VALUE"""),"High Sensitivity Support PH")</f>
        <v>High Sensitivity Support PH</v>
      </c>
    </row>
    <row r="2160">
      <c r="O2160" s="1" t="str">
        <f>IFERROR(__xludf.DUMMYFUNCTION("""COMPUTED_VALUE"""),"2026 Jan")</f>
        <v>2026 Jan</v>
      </c>
      <c r="P2160" s="1" t="str">
        <f>IFERROR(__xludf.DUMMYFUNCTION("""COMPUTED_VALUE"""),"Core Product Support")</f>
        <v>Core Product Support</v>
      </c>
      <c r="Q2160" s="1" t="str">
        <f>IFERROR(__xludf.DUMMYFUNCTION("""COMPUTED_VALUE"""),"pnicolepescador@canva.com")</f>
        <v>pnicolepescador@canva.com</v>
      </c>
      <c r="R2160" s="1" t="str">
        <f>IFERROR(__xludf.DUMMYFUNCTION("""COMPUTED_VALUE"""),"Precious Pescador")</f>
        <v>Precious Pescador</v>
      </c>
      <c r="S2160" s="1">
        <f>IFERROR(__xludf.DUMMYFUNCTION("""COMPUTED_VALUE"""),2.0)</f>
        <v>2</v>
      </c>
      <c r="T2160" s="1">
        <f>IFERROR(__xludf.DUMMYFUNCTION("""COMPUTED_VALUE"""),7.25)</f>
        <v>7.25</v>
      </c>
      <c r="U2160" s="2">
        <f>IFERROR(__xludf.DUMMYFUNCTION("""COMPUTED_VALUE"""),9.25)</f>
        <v>9.25</v>
      </c>
      <c r="V2160" s="1" t="str">
        <f>IFERROR(__xludf.DUMMYFUNCTION("""COMPUTED_VALUE"""),"Ayza Marie Pascual")</f>
        <v>Ayza Marie Pascual</v>
      </c>
      <c r="W2160" s="1" t="str">
        <f>IFERROR(__xludf.DUMMYFUNCTION("""COMPUTED_VALUE"""),"Advanced Billing &amp; Subscriptions")</f>
        <v>Advanced Billing &amp; Subscriptions</v>
      </c>
    </row>
    <row r="2161">
      <c r="O2161" s="1" t="str">
        <f>IFERROR(__xludf.DUMMYFUNCTION("""COMPUTED_VALUE"""),"2026 Jan")</f>
        <v>2026 Jan</v>
      </c>
      <c r="P2161" s="1" t="str">
        <f>IFERROR(__xludf.DUMMYFUNCTION("""COMPUTED_VALUE"""),"Core Product Support")</f>
        <v>Core Product Support</v>
      </c>
      <c r="Q2161" s="1" t="str">
        <f>IFERROR(__xludf.DUMMYFUNCTION("""COMPUTED_VALUE"""),"rachellynanne@canva.com")</f>
        <v>rachellynanne@canva.com</v>
      </c>
      <c r="R2161" s="1" t="str">
        <f>IFERROR(__xludf.DUMMYFUNCTION("""COMPUTED_VALUE"""),"Rachellyn Medina")</f>
        <v>Rachellyn Medina</v>
      </c>
      <c r="S2161" s="1">
        <f>IFERROR(__xludf.DUMMYFUNCTION("""COMPUTED_VALUE"""),1.5)</f>
        <v>1.5</v>
      </c>
      <c r="T2161" s="1">
        <f>IFERROR(__xludf.DUMMYFUNCTION("""COMPUTED_VALUE"""),3.5)</f>
        <v>3.5</v>
      </c>
      <c r="U2161" s="2">
        <f>IFERROR(__xludf.DUMMYFUNCTION("""COMPUTED_VALUE"""),5.0)</f>
        <v>5</v>
      </c>
      <c r="V2161" s="1" t="str">
        <f>IFERROR(__xludf.DUMMYFUNCTION("""COMPUTED_VALUE"""),"Jem Mondoñedo")</f>
        <v>Jem Mondoñedo</v>
      </c>
      <c r="W2161" s="1" t="str">
        <f>IFERROR(__xludf.DUMMYFUNCTION("""COMPUTED_VALUE"""),"Advanced Billing &amp; Subscriptions")</f>
        <v>Advanced Billing &amp; Subscriptions</v>
      </c>
    </row>
    <row r="2162">
      <c r="O2162" s="1" t="str">
        <f>IFERROR(__xludf.DUMMYFUNCTION("""COMPUTED_VALUE"""),"2026 Jan")</f>
        <v>2026 Jan</v>
      </c>
      <c r="P2162" s="1" t="str">
        <f>IFERROR(__xludf.DUMMYFUNCTION("""COMPUTED_VALUE"""),"Core Product Support")</f>
        <v>Core Product Support</v>
      </c>
      <c r="Q2162" s="1" t="str">
        <f>IFERROR(__xludf.DUMMYFUNCTION("""COMPUTED_VALUE"""),"alfredomillares@canva.com")</f>
        <v>alfredomillares@canva.com</v>
      </c>
      <c r="R2162" s="1" t="str">
        <f>IFERROR(__xludf.DUMMYFUNCTION("""COMPUTED_VALUE"""),"Rael Millares")</f>
        <v>Rael Millares</v>
      </c>
      <c r="S2162" s="1">
        <f>IFERROR(__xludf.DUMMYFUNCTION("""COMPUTED_VALUE"""),0.5)</f>
        <v>0.5</v>
      </c>
      <c r="T2162" s="1">
        <f>IFERROR(__xludf.DUMMYFUNCTION("""COMPUTED_VALUE"""),11.67)</f>
        <v>11.67</v>
      </c>
      <c r="U2162" s="2">
        <f>IFERROR(__xludf.DUMMYFUNCTION("""COMPUTED_VALUE"""),12.17)</f>
        <v>12.17</v>
      </c>
      <c r="V2162" s="1" t="str">
        <f>IFERROR(__xludf.DUMMYFUNCTION("""COMPUTED_VALUE"""),"Jahmie Mae Barrameda")</f>
        <v>Jahmie Mae Barrameda</v>
      </c>
      <c r="W2162" s="1" t="str">
        <f>IFERROR(__xludf.DUMMYFUNCTION("""COMPUTED_VALUE"""),"Advanced Billing &amp; Subscriptions")</f>
        <v>Advanced Billing &amp; Subscriptions</v>
      </c>
    </row>
    <row r="2163">
      <c r="O2163" s="1" t="str">
        <f>IFERROR(__xludf.DUMMYFUNCTION("""COMPUTED_VALUE"""),"2026 Jan")</f>
        <v>2026 Jan</v>
      </c>
      <c r="P2163" s="1" t="str">
        <f>IFERROR(__xludf.DUMMYFUNCTION("""COMPUTED_VALUE"""),"Multilingual Support")</f>
        <v>Multilingual Support</v>
      </c>
      <c r="Q2163" s="1" t="str">
        <f>IFERROR(__xludf.DUMMYFUNCTION("""COMPUTED_VALUE"""),"ranufre@canva.com")</f>
        <v>ranufre@canva.com</v>
      </c>
      <c r="R2163" s="1" t="str">
        <f>IFERROR(__xludf.DUMMYFUNCTION("""COMPUTED_VALUE"""),"Rafa Freitas")</f>
        <v>Rafa Freitas</v>
      </c>
      <c r="S2163" s="1"/>
      <c r="T2163" s="1"/>
      <c r="U2163" s="2">
        <f>IFERROR(__xludf.DUMMYFUNCTION("""COMPUTED_VALUE"""),0.0)</f>
        <v>0</v>
      </c>
      <c r="V2163" s="1" t="str">
        <f>IFERROR(__xludf.DUMMYFUNCTION("""COMPUTED_VALUE"""),"Arlene Maurillo")</f>
        <v>Arlene Maurillo</v>
      </c>
      <c r="W2163" s="1" t="str">
        <f>IFERROR(__xludf.DUMMYFUNCTION("""COMPUTED_VALUE"""),"PHL, Multilingual Support")</f>
        <v>PHL, Multilingual Support</v>
      </c>
    </row>
    <row r="2164">
      <c r="O2164" s="1" t="str">
        <f>IFERROR(__xludf.DUMMYFUNCTION("""COMPUTED_VALUE"""),"2026 Jan")</f>
        <v>2026 Jan</v>
      </c>
      <c r="P2164" s="1" t="str">
        <f>IFERROR(__xludf.DUMMYFUNCTION("""COMPUTED_VALUE"""),"Core Product Support")</f>
        <v>Core Product Support</v>
      </c>
      <c r="Q2164" s="1" t="str">
        <f>IFERROR(__xludf.DUMMYFUNCTION("""COMPUTED_VALUE"""),"rafaticzon@canva.com")</f>
        <v>rafaticzon@canva.com</v>
      </c>
      <c r="R2164" s="1" t="str">
        <f>IFERROR(__xludf.DUMMYFUNCTION("""COMPUTED_VALUE"""),"Rafa Ticzon")</f>
        <v>Rafa Ticzon</v>
      </c>
      <c r="S2164" s="1">
        <f>IFERROR(__xludf.DUMMYFUNCTION("""COMPUTED_VALUE"""),0.5)</f>
        <v>0.5</v>
      </c>
      <c r="T2164" s="1">
        <f>IFERROR(__xludf.DUMMYFUNCTION("""COMPUTED_VALUE"""),6.17)</f>
        <v>6.17</v>
      </c>
      <c r="U2164" s="2">
        <f>IFERROR(__xludf.DUMMYFUNCTION("""COMPUTED_VALUE"""),6.67)</f>
        <v>6.67</v>
      </c>
      <c r="V2164" s="1" t="str">
        <f>IFERROR(__xludf.DUMMYFUNCTION("""COMPUTED_VALUE"""),"Mikhaela Decangchon")</f>
        <v>Mikhaela Decangchon</v>
      </c>
      <c r="W2164" s="1" t="str">
        <f>IFERROR(__xludf.DUMMYFUNCTION("""COMPUTED_VALUE"""),"Advanced Product Support")</f>
        <v>Advanced Product Support</v>
      </c>
    </row>
    <row r="2165">
      <c r="O2165" s="1" t="str">
        <f>IFERROR(__xludf.DUMMYFUNCTION("""COMPUTED_VALUE"""),"2026 Jan")</f>
        <v>2026 Jan</v>
      </c>
      <c r="P2165" s="1" t="str">
        <f>IFERROR(__xludf.DUMMYFUNCTION("""COMPUTED_VALUE"""),"Core Product Support")</f>
        <v>Core Product Support</v>
      </c>
      <c r="Q2165" s="1" t="str">
        <f>IFERROR(__xludf.DUMMYFUNCTION("""COMPUTED_VALUE"""),"candace@canva.com")</f>
        <v>candace@canva.com</v>
      </c>
      <c r="R2165" s="1" t="str">
        <f>IFERROR(__xludf.DUMMYFUNCTION("""COMPUTED_VALUE"""),"Rainne Candace Llagas")</f>
        <v>Rainne Candace Llagas</v>
      </c>
      <c r="S2165" s="1">
        <f>IFERROR(__xludf.DUMMYFUNCTION("""COMPUTED_VALUE"""),1.5)</f>
        <v>1.5</v>
      </c>
      <c r="T2165" s="1">
        <f>IFERROR(__xludf.DUMMYFUNCTION("""COMPUTED_VALUE"""),4.0)</f>
        <v>4</v>
      </c>
      <c r="U2165" s="2">
        <f>IFERROR(__xludf.DUMMYFUNCTION("""COMPUTED_VALUE"""),5.5)</f>
        <v>5.5</v>
      </c>
      <c r="V2165" s="1" t="str">
        <f>IFERROR(__xludf.DUMMYFUNCTION("""COMPUTED_VALUE"""),"Belle Bentazal")</f>
        <v>Belle Bentazal</v>
      </c>
      <c r="W2165" s="1" t="str">
        <f>IFERROR(__xludf.DUMMYFUNCTION("""COMPUTED_VALUE"""),"Advanced Product Support")</f>
        <v>Advanced Product Support</v>
      </c>
    </row>
    <row r="2166">
      <c r="O2166" s="1" t="str">
        <f>IFERROR(__xludf.DUMMYFUNCTION("""COMPUTED_VALUE"""),"2026 Jan")</f>
        <v>2026 Jan</v>
      </c>
      <c r="P2166" s="1" t="str">
        <f>IFERROR(__xludf.DUMMYFUNCTION("""COMPUTED_VALUE"""),"Core Product Support")</f>
        <v>Core Product Support</v>
      </c>
      <c r="Q2166" s="1" t="str">
        <f>IFERROR(__xludf.DUMMYFUNCTION("""COMPUTED_VALUE"""),"rmercado@canva.com")</f>
        <v>rmercado@canva.com</v>
      </c>
      <c r="R2166" s="1" t="str">
        <f>IFERROR(__xludf.DUMMYFUNCTION("""COMPUTED_VALUE"""),"Ram Mercado")</f>
        <v>Ram Mercado</v>
      </c>
      <c r="S2166" s="1">
        <f>IFERROR(__xludf.DUMMYFUNCTION("""COMPUTED_VALUE"""),2.0)</f>
        <v>2</v>
      </c>
      <c r="T2166" s="1">
        <f>IFERROR(__xludf.DUMMYFUNCTION("""COMPUTED_VALUE"""),13.87)</f>
        <v>13.87</v>
      </c>
      <c r="U2166" s="2">
        <f>IFERROR(__xludf.DUMMYFUNCTION("""COMPUTED_VALUE"""),15.87)</f>
        <v>15.87</v>
      </c>
      <c r="V2166" s="1" t="str">
        <f>IFERROR(__xludf.DUMMYFUNCTION("""COMPUTED_VALUE"""),"Jelyn Elmido")</f>
        <v>Jelyn Elmido</v>
      </c>
      <c r="W2166" s="1" t="str">
        <f>IFERROR(__xludf.DUMMYFUNCTION("""COMPUTED_VALUE"""),"Core Product Support Escalation Team")</f>
        <v>Core Product Support Escalation Team</v>
      </c>
    </row>
    <row r="2167">
      <c r="O2167" s="1" t="str">
        <f>IFERROR(__xludf.DUMMYFUNCTION("""COMPUTED_VALUE"""),"2026 Jan")</f>
        <v>2026 Jan</v>
      </c>
      <c r="P2167" s="1" t="str">
        <f>IFERROR(__xludf.DUMMYFUNCTION("""COMPUTED_VALUE"""),"Core Product Support")</f>
        <v>Core Product Support</v>
      </c>
      <c r="Q2167" s="1" t="str">
        <f>IFERROR(__xludf.DUMMYFUNCTION("""COMPUTED_VALUE"""),"razelleroe@canva.com")</f>
        <v>razelleroe@canva.com</v>
      </c>
      <c r="R2167" s="1" t="str">
        <f>IFERROR(__xludf.DUMMYFUNCTION("""COMPUTED_VALUE"""),"Razelle Roe Garaza")</f>
        <v>Razelle Roe Garaza</v>
      </c>
      <c r="S2167" s="1">
        <f>IFERROR(__xludf.DUMMYFUNCTION("""COMPUTED_VALUE"""),1.5)</f>
        <v>1.5</v>
      </c>
      <c r="T2167" s="1">
        <f>IFERROR(__xludf.DUMMYFUNCTION("""COMPUTED_VALUE"""),2.5)</f>
        <v>2.5</v>
      </c>
      <c r="U2167" s="2">
        <f>IFERROR(__xludf.DUMMYFUNCTION("""COMPUTED_VALUE"""),4.0)</f>
        <v>4</v>
      </c>
      <c r="V2167" s="1" t="str">
        <f>IFERROR(__xludf.DUMMYFUNCTION("""COMPUTED_VALUE"""),"Ana Lazaro")</f>
        <v>Ana Lazaro</v>
      </c>
      <c r="W2167" s="1" t="str">
        <f>IFERROR(__xludf.DUMMYFUNCTION("""COMPUTED_VALUE"""),"Advanced Billing &amp; Subscriptions")</f>
        <v>Advanced Billing &amp; Subscriptions</v>
      </c>
    </row>
    <row r="2168">
      <c r="O2168" s="1" t="str">
        <f>IFERROR(__xludf.DUMMYFUNCTION("""COMPUTED_VALUE"""),"2026 Jan")</f>
        <v>2026 Jan</v>
      </c>
      <c r="P2168" s="1" t="str">
        <f>IFERROR(__xludf.DUMMYFUNCTION("""COMPUTED_VALUE"""),"Admin Support")</f>
        <v>Admin Support</v>
      </c>
      <c r="Q2168" s="1" t="str">
        <f>IFERROR(__xludf.DUMMYFUNCTION("""COMPUTED_VALUE"""),"rdolores@canva.com")</f>
        <v>rdolores@canva.com</v>
      </c>
      <c r="R2168" s="1" t="str">
        <f>IFERROR(__xludf.DUMMYFUNCTION("""COMPUTED_VALUE"""),"Rea Alexis Dolores")</f>
        <v>Rea Alexis Dolores</v>
      </c>
      <c r="S2168" s="1"/>
      <c r="T2168" s="1">
        <f>IFERROR(__xludf.DUMMYFUNCTION("""COMPUTED_VALUE"""),52.75)</f>
        <v>52.75</v>
      </c>
      <c r="U2168" s="2">
        <f>IFERROR(__xludf.DUMMYFUNCTION("""COMPUTED_VALUE"""),52.75)</f>
        <v>52.75</v>
      </c>
      <c r="V2168" s="1" t="str">
        <f>IFERROR(__xludf.DUMMYFUNCTION("""COMPUTED_VALUE"""),"Karla Mananghaya")</f>
        <v>Karla Mananghaya</v>
      </c>
      <c r="W2168" s="1" t="str">
        <f>IFERROR(__xludf.DUMMYFUNCTION("""COMPUTED_VALUE"""),"Admin Support Service Escalation Team")</f>
        <v>Admin Support Service Escalation Team</v>
      </c>
    </row>
    <row r="2169">
      <c r="O2169" s="1" t="str">
        <f>IFERROR(__xludf.DUMMYFUNCTION("""COMPUTED_VALUE"""),"2026 Jan")</f>
        <v>2026 Jan</v>
      </c>
      <c r="P2169" s="1" t="str">
        <f>IFERROR(__xludf.DUMMYFUNCTION("""COMPUTED_VALUE"""),"Admin Support")</f>
        <v>Admin Support</v>
      </c>
      <c r="Q2169" s="1" t="str">
        <f>IFERROR(__xludf.DUMMYFUNCTION("""COMPUTED_VALUE"""),"red@canva.com")</f>
        <v>red@canva.com</v>
      </c>
      <c r="R2169" s="1" t="str">
        <f>IFERROR(__xludf.DUMMYFUNCTION("""COMPUTED_VALUE"""),"Red Dela Rosa")</f>
        <v>Red Dela Rosa</v>
      </c>
      <c r="S2169" s="1"/>
      <c r="T2169" s="1">
        <f>IFERROR(__xludf.DUMMYFUNCTION("""COMPUTED_VALUE"""),59.0)</f>
        <v>59</v>
      </c>
      <c r="U2169" s="2">
        <f>IFERROR(__xludf.DUMMYFUNCTION("""COMPUTED_VALUE"""),59.0)</f>
        <v>59</v>
      </c>
      <c r="V2169" s="1" t="str">
        <f>IFERROR(__xludf.DUMMYFUNCTION("""COMPUTED_VALUE"""),"Pau Palmero")</f>
        <v>Pau Palmero</v>
      </c>
      <c r="W2169" s="1" t="str">
        <f>IFERROR(__xludf.DUMMYFUNCTION("""COMPUTED_VALUE"""),"Admin Omni Support")</f>
        <v>Admin Omni Support</v>
      </c>
    </row>
    <row r="2170">
      <c r="O2170" s="1" t="str">
        <f>IFERROR(__xludf.DUMMYFUNCTION("""COMPUTED_VALUE"""),"2026 Jan")</f>
        <v>2026 Jan</v>
      </c>
      <c r="P2170" s="1" t="str">
        <f>IFERROR(__xludf.DUMMYFUNCTION("""COMPUTED_VALUE"""),"Admin Support")</f>
        <v>Admin Support</v>
      </c>
      <c r="Q2170" s="1" t="str">
        <f>IFERROR(__xludf.DUMMYFUNCTION("""COMPUTED_VALUE"""),"regie@canva.com")</f>
        <v>regie@canva.com</v>
      </c>
      <c r="R2170" s="1" t="str">
        <f>IFERROR(__xludf.DUMMYFUNCTION("""COMPUTED_VALUE"""),"Regie Yambot")</f>
        <v>Regie Yambot</v>
      </c>
      <c r="S2170" s="1"/>
      <c r="T2170" s="1">
        <f>IFERROR(__xludf.DUMMYFUNCTION("""COMPUTED_VALUE"""),20.0)</f>
        <v>20</v>
      </c>
      <c r="U2170" s="2">
        <f>IFERROR(__xludf.DUMMYFUNCTION("""COMPUTED_VALUE"""),20.0)</f>
        <v>20</v>
      </c>
      <c r="V2170" s="1" t="str">
        <f>IFERROR(__xludf.DUMMYFUNCTION("""COMPUTED_VALUE"""),"Pau Palmero")</f>
        <v>Pau Palmero</v>
      </c>
      <c r="W2170" s="1" t="str">
        <f>IFERROR(__xludf.DUMMYFUNCTION("""COMPUTED_VALUE"""),"Admin Omni Support")</f>
        <v>Admin Omni Support</v>
      </c>
    </row>
    <row r="2171">
      <c r="O2171" s="1" t="str">
        <f>IFERROR(__xludf.DUMMYFUNCTION("""COMPUTED_VALUE"""),"2026 Jan")</f>
        <v>2026 Jan</v>
      </c>
      <c r="P2171" s="1" t="str">
        <f>IFERROR(__xludf.DUMMYFUNCTION("""COMPUTED_VALUE"""),"Core Product Support")</f>
        <v>Core Product Support</v>
      </c>
      <c r="Q2171" s="1" t="str">
        <f>IFERROR(__xludf.DUMMYFUNCTION("""COMPUTED_VALUE"""),"rej@canva.com")</f>
        <v>rej@canva.com</v>
      </c>
      <c r="R2171" s="1" t="str">
        <f>IFERROR(__xludf.DUMMYFUNCTION("""COMPUTED_VALUE"""),"Rej Benipayo")</f>
        <v>Rej Benipayo</v>
      </c>
      <c r="S2171" s="1">
        <f>IFERROR(__xludf.DUMMYFUNCTION("""COMPUTED_VALUE"""),0.5)</f>
        <v>0.5</v>
      </c>
      <c r="T2171" s="1">
        <f>IFERROR(__xludf.DUMMYFUNCTION("""COMPUTED_VALUE"""),10.42)</f>
        <v>10.42</v>
      </c>
      <c r="U2171" s="2">
        <f>IFERROR(__xludf.DUMMYFUNCTION("""COMPUTED_VALUE"""),10.92)</f>
        <v>10.92</v>
      </c>
      <c r="V2171" s="1" t="str">
        <f>IFERROR(__xludf.DUMMYFUNCTION("""COMPUTED_VALUE"""),"Renette Bok")</f>
        <v>Renette Bok</v>
      </c>
      <c r="W2171" s="1" t="str">
        <f>IFERROR(__xludf.DUMMYFUNCTION("""COMPUTED_VALUE"""),"Advanced Billing &amp; Subscriptions")</f>
        <v>Advanced Billing &amp; Subscriptions</v>
      </c>
    </row>
    <row r="2172">
      <c r="O2172" s="1" t="str">
        <f>IFERROR(__xludf.DUMMYFUNCTION("""COMPUTED_VALUE"""),"2026 Jan")</f>
        <v>2026 Jan</v>
      </c>
      <c r="P2172" s="1" t="str">
        <f>IFERROR(__xludf.DUMMYFUNCTION("""COMPUTED_VALUE"""),"Core Product Support")</f>
        <v>Core Product Support</v>
      </c>
      <c r="Q2172" s="1" t="str">
        <f>IFERROR(__xludf.DUMMYFUNCTION("""COMPUTED_VALUE"""),"revisuarez@canva.com")</f>
        <v>revisuarez@canva.com</v>
      </c>
      <c r="R2172" s="1" t="str">
        <f>IFERROR(__xludf.DUMMYFUNCTION("""COMPUTED_VALUE"""),"Revi Suarez")</f>
        <v>Revi Suarez</v>
      </c>
      <c r="S2172" s="1">
        <f>IFERROR(__xludf.DUMMYFUNCTION("""COMPUTED_VALUE"""),2.0)</f>
        <v>2</v>
      </c>
      <c r="T2172" s="1">
        <f>IFERROR(__xludf.DUMMYFUNCTION("""COMPUTED_VALUE"""),21.0)</f>
        <v>21</v>
      </c>
      <c r="U2172" s="2">
        <f>IFERROR(__xludf.DUMMYFUNCTION("""COMPUTED_VALUE"""),23.0)</f>
        <v>23</v>
      </c>
      <c r="V2172" s="1" t="str">
        <f>IFERROR(__xludf.DUMMYFUNCTION("""COMPUTED_VALUE"""),"Jelyn Elmido")</f>
        <v>Jelyn Elmido</v>
      </c>
      <c r="W2172" s="1" t="str">
        <f>IFERROR(__xludf.DUMMYFUNCTION("""COMPUTED_VALUE"""),"Core Product Support Escalation Team")</f>
        <v>Core Product Support Escalation Team</v>
      </c>
    </row>
    <row r="2173">
      <c r="O2173" s="1" t="str">
        <f>IFERROR(__xludf.DUMMYFUNCTION("""COMPUTED_VALUE"""),"2026 Jan")</f>
        <v>2026 Jan</v>
      </c>
      <c r="P2173" s="1" t="str">
        <f>IFERROR(__xludf.DUMMYFUNCTION("""COMPUTED_VALUE"""),"High Sensitivity Support")</f>
        <v>High Sensitivity Support</v>
      </c>
      <c r="Q2173" s="1" t="str">
        <f>IFERROR(__xludf.DUMMYFUNCTION("""COMPUTED_VALUE"""),"reya@canva.com")</f>
        <v>reya@canva.com</v>
      </c>
      <c r="R2173" s="1" t="str">
        <f>IFERROR(__xludf.DUMMYFUNCTION("""COMPUTED_VALUE"""),"Reya Joson")</f>
        <v>Reya Joson</v>
      </c>
      <c r="S2173" s="1"/>
      <c r="T2173" s="1">
        <f>IFERROR(__xludf.DUMMYFUNCTION("""COMPUTED_VALUE"""),7.73)</f>
        <v>7.73</v>
      </c>
      <c r="U2173" s="2">
        <f>IFERROR(__xludf.DUMMYFUNCTION("""COMPUTED_VALUE"""),7.73)</f>
        <v>7.73</v>
      </c>
      <c r="V2173" s="1" t="str">
        <f>IFERROR(__xludf.DUMMYFUNCTION("""COMPUTED_VALUE"""),"Issi Afable")</f>
        <v>Issi Afable</v>
      </c>
      <c r="W2173" s="1" t="str">
        <f>IFERROR(__xludf.DUMMYFUNCTION("""COMPUTED_VALUE"""),"High Sensitivity Support PH")</f>
        <v>High Sensitivity Support PH</v>
      </c>
    </row>
    <row r="2174">
      <c r="O2174" s="1" t="str">
        <f>IFERROR(__xludf.DUMMYFUNCTION("""COMPUTED_VALUE"""),"2026 Jan")</f>
        <v>2026 Jan</v>
      </c>
      <c r="P2174" s="1" t="str">
        <f>IFERROR(__xludf.DUMMYFUNCTION("""COMPUTED_VALUE"""),"Segment-specific Support")</f>
        <v>Segment-specific Support</v>
      </c>
      <c r="Q2174" s="1" t="str">
        <f>IFERROR(__xludf.DUMMYFUNCTION("""COMPUTED_VALUE"""),"rizzah@canva.com")</f>
        <v>rizzah@canva.com</v>
      </c>
      <c r="R2174" s="1" t="str">
        <f>IFERROR(__xludf.DUMMYFUNCTION("""COMPUTED_VALUE"""),"Rizzah Hope Anjao")</f>
        <v>Rizzah Hope Anjao</v>
      </c>
      <c r="S2174" s="1"/>
      <c r="T2174" s="1">
        <f>IFERROR(__xludf.DUMMYFUNCTION("""COMPUTED_VALUE"""),0.5)</f>
        <v>0.5</v>
      </c>
      <c r="U2174" s="2">
        <f>IFERROR(__xludf.DUMMYFUNCTION("""COMPUTED_VALUE"""),0.5)</f>
        <v>0.5</v>
      </c>
      <c r="V2174" s="1" t="str">
        <f>IFERROR(__xludf.DUMMYFUNCTION("""COMPUTED_VALUE"""),"Gucci Nava")</f>
        <v>Gucci Nava</v>
      </c>
      <c r="W2174" s="1" t="str">
        <f>IFERROR(__xludf.DUMMYFUNCTION("""COMPUTED_VALUE"""),"Affinity Support")</f>
        <v>Affinity Support</v>
      </c>
    </row>
    <row r="2175">
      <c r="O2175" s="1" t="str">
        <f>IFERROR(__xludf.DUMMYFUNCTION("""COMPUTED_VALUE"""),"2026 Jan")</f>
        <v>2026 Jan</v>
      </c>
      <c r="P2175" s="1" t="str">
        <f>IFERROR(__xludf.DUMMYFUNCTION("""COMPUTED_VALUE"""),"Print Support")</f>
        <v>Print Support</v>
      </c>
      <c r="Q2175" s="1" t="str">
        <f>IFERROR(__xludf.DUMMYFUNCTION("""COMPUTED_VALUE"""),"robsuico@canva.com")</f>
        <v>robsuico@canva.com</v>
      </c>
      <c r="R2175" s="1" t="str">
        <f>IFERROR(__xludf.DUMMYFUNCTION("""COMPUTED_VALUE"""),"Robin Suico")</f>
        <v>Robin Suico</v>
      </c>
      <c r="S2175" s="1"/>
      <c r="T2175" s="1">
        <f>IFERROR(__xludf.DUMMYFUNCTION("""COMPUTED_VALUE"""),0.75)</f>
        <v>0.75</v>
      </c>
      <c r="U2175" s="2">
        <f>IFERROR(__xludf.DUMMYFUNCTION("""COMPUTED_VALUE"""),0.75)</f>
        <v>0.75</v>
      </c>
      <c r="V2175" s="1" t="str">
        <f>IFERROR(__xludf.DUMMYFUNCTION("""COMPUTED_VALUE"""),"Aliza Dote")</f>
        <v>Aliza Dote</v>
      </c>
      <c r="W2175" s="1" t="str">
        <f>IFERROR(__xludf.DUMMYFUNCTION("""COMPUTED_VALUE"""),"Print Design Support")</f>
        <v>Print Design Support</v>
      </c>
    </row>
    <row r="2176">
      <c r="O2176" s="1" t="str">
        <f>IFERROR(__xludf.DUMMYFUNCTION("""COMPUTED_VALUE"""),"2026 Jan")</f>
        <v>2026 Jan</v>
      </c>
      <c r="P2176" s="1" t="str">
        <f>IFERROR(__xludf.DUMMYFUNCTION("""COMPUTED_VALUE"""),"Core Product Support")</f>
        <v>Core Product Support</v>
      </c>
      <c r="Q2176" s="1" t="str">
        <f>IFERROR(__xludf.DUMMYFUNCTION("""COMPUTED_VALUE"""),"ronally@canva.com")</f>
        <v>ronally@canva.com</v>
      </c>
      <c r="R2176" s="1" t="str">
        <f>IFERROR(__xludf.DUMMYFUNCTION("""COMPUTED_VALUE"""),"Ronally Romero")</f>
        <v>Ronally Romero</v>
      </c>
      <c r="S2176" s="1">
        <f>IFERROR(__xludf.DUMMYFUNCTION("""COMPUTED_VALUE"""),1.5)</f>
        <v>1.5</v>
      </c>
      <c r="T2176" s="1">
        <f>IFERROR(__xludf.DUMMYFUNCTION("""COMPUTED_VALUE"""),4.82)</f>
        <v>4.82</v>
      </c>
      <c r="U2176" s="2">
        <f>IFERROR(__xludf.DUMMYFUNCTION("""COMPUTED_VALUE"""),6.32)</f>
        <v>6.32</v>
      </c>
      <c r="V2176" s="1" t="str">
        <f>IFERROR(__xludf.DUMMYFUNCTION("""COMPUTED_VALUE"""),"Cate Velasco")</f>
        <v>Cate Velasco</v>
      </c>
      <c r="W2176" s="1" t="str">
        <f>IFERROR(__xludf.DUMMYFUNCTION("""COMPUTED_VALUE"""),"Advanced Product Support")</f>
        <v>Advanced Product Support</v>
      </c>
    </row>
    <row r="2177">
      <c r="O2177" s="1" t="str">
        <f>IFERROR(__xludf.DUMMYFUNCTION("""COMPUTED_VALUE"""),"2026 Jan")</f>
        <v>2026 Jan</v>
      </c>
      <c r="P2177" s="1" t="str">
        <f>IFERROR(__xludf.DUMMYFUNCTION("""COMPUTED_VALUE"""),"Core Product Support")</f>
        <v>Core Product Support</v>
      </c>
      <c r="Q2177" s="1" t="str">
        <f>IFERROR(__xludf.DUMMYFUNCTION("""COMPUTED_VALUE"""),"rvalderrama@canva.com")</f>
        <v>rvalderrama@canva.com</v>
      </c>
      <c r="R2177" s="1" t="str">
        <f>IFERROR(__xludf.DUMMYFUNCTION("""COMPUTED_VALUE"""),"Rony Valderrama")</f>
        <v>Rony Valderrama</v>
      </c>
      <c r="S2177" s="1">
        <f>IFERROR(__xludf.DUMMYFUNCTION("""COMPUTED_VALUE"""),2.0)</f>
        <v>2</v>
      </c>
      <c r="T2177" s="1">
        <f>IFERROR(__xludf.DUMMYFUNCTION("""COMPUTED_VALUE"""),9.83)</f>
        <v>9.83</v>
      </c>
      <c r="U2177" s="2">
        <f>IFERROR(__xludf.DUMMYFUNCTION("""COMPUTED_VALUE"""),11.83)</f>
        <v>11.83</v>
      </c>
      <c r="V2177" s="1" t="str">
        <f>IFERROR(__xludf.DUMMYFUNCTION("""COMPUTED_VALUE"""),"Renette Bok")</f>
        <v>Renette Bok</v>
      </c>
      <c r="W2177" s="1" t="str">
        <f>IFERROR(__xludf.DUMMYFUNCTION("""COMPUTED_VALUE"""),"Advanced Billing &amp; Subscriptions")</f>
        <v>Advanced Billing &amp; Subscriptions</v>
      </c>
    </row>
    <row r="2178">
      <c r="O2178" s="1" t="str">
        <f>IFERROR(__xludf.DUMMYFUNCTION("""COMPUTED_VALUE"""),"2026 Jan")</f>
        <v>2026 Jan</v>
      </c>
      <c r="P2178" s="1" t="str">
        <f>IFERROR(__xludf.DUMMYFUNCTION("""COMPUTED_VALUE"""),"Core Product Support")</f>
        <v>Core Product Support</v>
      </c>
      <c r="Q2178" s="1" t="str">
        <f>IFERROR(__xludf.DUMMYFUNCTION("""COMPUTED_VALUE"""),"ronyl@canva.com")</f>
        <v>ronyl@canva.com</v>
      </c>
      <c r="R2178" s="1" t="str">
        <f>IFERROR(__xludf.DUMMYFUNCTION("""COMPUTED_VALUE"""),"Ronyl Masilang")</f>
        <v>Ronyl Masilang</v>
      </c>
      <c r="S2178" s="1">
        <f>IFERROR(__xludf.DUMMYFUNCTION("""COMPUTED_VALUE"""),1.5)</f>
        <v>1.5</v>
      </c>
      <c r="T2178" s="1">
        <f>IFERROR(__xludf.DUMMYFUNCTION("""COMPUTED_VALUE"""),2.5)</f>
        <v>2.5</v>
      </c>
      <c r="U2178" s="2">
        <f>IFERROR(__xludf.DUMMYFUNCTION("""COMPUTED_VALUE"""),4.0)</f>
        <v>4</v>
      </c>
      <c r="V2178" s="1" t="str">
        <f>IFERROR(__xludf.DUMMYFUNCTION("""COMPUTED_VALUE"""),"Cate Velasco")</f>
        <v>Cate Velasco</v>
      </c>
      <c r="W2178" s="1" t="str">
        <f>IFERROR(__xludf.DUMMYFUNCTION("""COMPUTED_VALUE"""),"Advanced Product Support")</f>
        <v>Advanced Product Support</v>
      </c>
    </row>
    <row r="2179">
      <c r="O2179" s="1" t="str">
        <f>IFERROR(__xludf.DUMMYFUNCTION("""COMPUTED_VALUE"""),"2026 Jan")</f>
        <v>2026 Jan</v>
      </c>
      <c r="P2179" s="1" t="str">
        <f>IFERROR(__xludf.DUMMYFUNCTION("""COMPUTED_VALUE"""),"Core Product Support")</f>
        <v>Core Product Support</v>
      </c>
      <c r="Q2179" s="1" t="str">
        <f>IFERROR(__xludf.DUMMYFUNCTION("""COMPUTED_VALUE"""),"rounette@canva.com")</f>
        <v>rounette@canva.com</v>
      </c>
      <c r="R2179" s="1" t="str">
        <f>IFERROR(__xludf.DUMMYFUNCTION("""COMPUTED_VALUE"""),"Rounette Natividad")</f>
        <v>Rounette Natividad</v>
      </c>
      <c r="S2179" s="1">
        <f>IFERROR(__xludf.DUMMYFUNCTION("""COMPUTED_VALUE"""),0.5)</f>
        <v>0.5</v>
      </c>
      <c r="T2179" s="1">
        <f>IFERROR(__xludf.DUMMYFUNCTION("""COMPUTED_VALUE"""),5.58)</f>
        <v>5.58</v>
      </c>
      <c r="U2179" s="2">
        <f>IFERROR(__xludf.DUMMYFUNCTION("""COMPUTED_VALUE"""),6.08)</f>
        <v>6.08</v>
      </c>
      <c r="V2179" s="1" t="str">
        <f>IFERROR(__xludf.DUMMYFUNCTION("""COMPUTED_VALUE"""),"Mikhaela Decangchon")</f>
        <v>Mikhaela Decangchon</v>
      </c>
      <c r="W2179" s="1" t="str">
        <f>IFERROR(__xludf.DUMMYFUNCTION("""COMPUTED_VALUE"""),"Advanced Product Support")</f>
        <v>Advanced Product Support</v>
      </c>
    </row>
    <row r="2180">
      <c r="O2180" s="1" t="str">
        <f>IFERROR(__xludf.DUMMYFUNCTION("""COMPUTED_VALUE"""),"2026 Jan")</f>
        <v>2026 Jan</v>
      </c>
      <c r="P2180" s="1" t="str">
        <f>IFERROR(__xludf.DUMMYFUNCTION("""COMPUTED_VALUE"""),"Admin Support")</f>
        <v>Admin Support</v>
      </c>
      <c r="Q2180" s="1" t="str">
        <f>IFERROR(__xludf.DUMMYFUNCTION("""COMPUTED_VALUE"""),"rovie@canva.com")</f>
        <v>rovie@canva.com</v>
      </c>
      <c r="R2180" s="1" t="str">
        <f>IFERROR(__xludf.DUMMYFUNCTION("""COMPUTED_VALUE"""),"Rovie Hawang")</f>
        <v>Rovie Hawang</v>
      </c>
      <c r="S2180" s="1"/>
      <c r="T2180" s="1">
        <f>IFERROR(__xludf.DUMMYFUNCTION("""COMPUTED_VALUE"""),12.0)</f>
        <v>12</v>
      </c>
      <c r="U2180" s="2">
        <f>IFERROR(__xludf.DUMMYFUNCTION("""COMPUTED_VALUE"""),12.0)</f>
        <v>12</v>
      </c>
      <c r="V2180" s="1" t="str">
        <f>IFERROR(__xludf.DUMMYFUNCTION("""COMPUTED_VALUE"""),"Kelden Laguting")</f>
        <v>Kelden Laguting</v>
      </c>
      <c r="W2180" s="1" t="str">
        <f>IFERROR(__xludf.DUMMYFUNCTION("""COMPUTED_VALUE"""),"Admin Omni Support")</f>
        <v>Admin Omni Support</v>
      </c>
    </row>
    <row r="2181">
      <c r="O2181" s="1" t="str">
        <f>IFERROR(__xludf.DUMMYFUNCTION("""COMPUTED_VALUE"""),"2026 Jan")</f>
        <v>2026 Jan</v>
      </c>
      <c r="P2181" s="1" t="str">
        <f>IFERROR(__xludf.DUMMYFUNCTION("""COMPUTED_VALUE"""),"Admin Support")</f>
        <v>Admin Support</v>
      </c>
      <c r="Q2181" s="1" t="str">
        <f>IFERROR(__xludf.DUMMYFUNCTION("""COMPUTED_VALUE"""),"roxanne@canva.com")</f>
        <v>roxanne@canva.com</v>
      </c>
      <c r="R2181" s="1" t="str">
        <f>IFERROR(__xludf.DUMMYFUNCTION("""COMPUTED_VALUE"""),"Roxanne Joy Capunayan")</f>
        <v>Roxanne Joy Capunayan</v>
      </c>
      <c r="S2181" s="1"/>
      <c r="T2181" s="1">
        <f>IFERROR(__xludf.DUMMYFUNCTION("""COMPUTED_VALUE"""),1.0)</f>
        <v>1</v>
      </c>
      <c r="U2181" s="2">
        <f>IFERROR(__xludf.DUMMYFUNCTION("""COMPUTED_VALUE"""),1.0)</f>
        <v>1</v>
      </c>
      <c r="V2181" s="1" t="str">
        <f>IFERROR(__xludf.DUMMYFUNCTION("""COMPUTED_VALUE"""),"Ann Dumlao")</f>
        <v>Ann Dumlao</v>
      </c>
      <c r="W2181" s="1" t="str">
        <f>IFERROR(__xludf.DUMMYFUNCTION("""COMPUTED_VALUE"""),"Admin Omni Support")</f>
        <v>Admin Omni Support</v>
      </c>
    </row>
    <row r="2182">
      <c r="O2182" s="1" t="str">
        <f>IFERROR(__xludf.DUMMYFUNCTION("""COMPUTED_VALUE"""),"2026 Jan")</f>
        <v>2026 Jan</v>
      </c>
      <c r="P2182" s="1" t="str">
        <f>IFERROR(__xludf.DUMMYFUNCTION("""COMPUTED_VALUE"""),"Core Product Support")</f>
        <v>Core Product Support</v>
      </c>
      <c r="Q2182" s="1" t="str">
        <f>IFERROR(__xludf.DUMMYFUNCTION("""COMPUTED_VALUE"""),"rozelp@canva.com")</f>
        <v>rozelp@canva.com</v>
      </c>
      <c r="R2182" s="1" t="str">
        <f>IFERROR(__xludf.DUMMYFUNCTION("""COMPUTED_VALUE"""),"Rozel Punsalan")</f>
        <v>Rozel Punsalan</v>
      </c>
      <c r="S2182" s="1">
        <f>IFERROR(__xludf.DUMMYFUNCTION("""COMPUTED_VALUE"""),2.0)</f>
        <v>2</v>
      </c>
      <c r="T2182" s="1">
        <f>IFERROR(__xludf.DUMMYFUNCTION("""COMPUTED_VALUE"""),3.5)</f>
        <v>3.5</v>
      </c>
      <c r="U2182" s="2">
        <f>IFERROR(__xludf.DUMMYFUNCTION("""COMPUTED_VALUE"""),5.5)</f>
        <v>5.5</v>
      </c>
      <c r="V2182" s="1" t="str">
        <f>IFERROR(__xludf.DUMMYFUNCTION("""COMPUTED_VALUE"""),"Marie Mordeno")</f>
        <v>Marie Mordeno</v>
      </c>
      <c r="W2182" s="1" t="str">
        <f>IFERROR(__xludf.DUMMYFUNCTION("""COMPUTED_VALUE"""),"Advanced Billing &amp; Subscriptions")</f>
        <v>Advanced Billing &amp; Subscriptions</v>
      </c>
    </row>
    <row r="2183">
      <c r="O2183" s="1" t="str">
        <f>IFERROR(__xludf.DUMMYFUNCTION("""COMPUTED_VALUE"""),"2026 Jan")</f>
        <v>2026 Jan</v>
      </c>
      <c r="P2183" s="1" t="str">
        <f>IFERROR(__xludf.DUMMYFUNCTION("""COMPUTED_VALUE"""),"Core Product Support")</f>
        <v>Core Product Support</v>
      </c>
      <c r="Q2183" s="1" t="str">
        <f>IFERROR(__xludf.DUMMYFUNCTION("""COMPUTED_VALUE"""),"rozie@canva.com")</f>
        <v>rozie@canva.com</v>
      </c>
      <c r="R2183" s="1" t="str">
        <f>IFERROR(__xludf.DUMMYFUNCTION("""COMPUTED_VALUE"""),"Rozie Gumba")</f>
        <v>Rozie Gumba</v>
      </c>
      <c r="S2183" s="1"/>
      <c r="T2183" s="1"/>
      <c r="U2183" s="2">
        <f>IFERROR(__xludf.DUMMYFUNCTION("""COMPUTED_VALUE"""),0.0)</f>
        <v>0</v>
      </c>
      <c r="V2183" s="1" t="str">
        <f>IFERROR(__xludf.DUMMYFUNCTION("""COMPUTED_VALUE"""),"Ayza Marie Pascual")</f>
        <v>Ayza Marie Pascual</v>
      </c>
      <c r="W2183" s="1" t="str">
        <f>IFERROR(__xludf.DUMMYFUNCTION("""COMPUTED_VALUE"""),"Advanced Billing &amp; Subscriptions")</f>
        <v>Advanced Billing &amp; Subscriptions</v>
      </c>
    </row>
    <row r="2184">
      <c r="O2184" s="1" t="str">
        <f>IFERROR(__xludf.DUMMYFUNCTION("""COMPUTED_VALUE"""),"2026 Jan")</f>
        <v>2026 Jan</v>
      </c>
      <c r="P2184" s="1" t="str">
        <f>IFERROR(__xludf.DUMMYFUNCTION("""COMPUTED_VALUE"""),"Core Product Support")</f>
        <v>Core Product Support</v>
      </c>
      <c r="Q2184" s="1" t="str">
        <f>IFERROR(__xludf.DUMMYFUNCTION("""COMPUTED_VALUE"""),"ruzel@canva.com")</f>
        <v>ruzel@canva.com</v>
      </c>
      <c r="R2184" s="1" t="str">
        <f>IFERROR(__xludf.DUMMYFUNCTION("""COMPUTED_VALUE"""),"Ruzel Raqueno")</f>
        <v>Ruzel Raqueno</v>
      </c>
      <c r="S2184" s="1">
        <f>IFERROR(__xludf.DUMMYFUNCTION("""COMPUTED_VALUE"""),1.0)</f>
        <v>1</v>
      </c>
      <c r="T2184" s="1">
        <f>IFERROR(__xludf.DUMMYFUNCTION("""COMPUTED_VALUE"""),10.25)</f>
        <v>10.25</v>
      </c>
      <c r="U2184" s="2">
        <f>IFERROR(__xludf.DUMMYFUNCTION("""COMPUTED_VALUE"""),11.25)</f>
        <v>11.25</v>
      </c>
      <c r="V2184" s="1" t="str">
        <f>IFERROR(__xludf.DUMMYFUNCTION("""COMPUTED_VALUE"""),"Ellaine Estayo")</f>
        <v>Ellaine Estayo</v>
      </c>
      <c r="W2184" s="1" t="str">
        <f>IFERROR(__xludf.DUMMYFUNCTION("""COMPUTED_VALUE"""),"Core Product Support Escalation Team")</f>
        <v>Core Product Support Escalation Team</v>
      </c>
    </row>
    <row r="2185">
      <c r="O2185" s="1" t="str">
        <f>IFERROR(__xludf.DUMMYFUNCTION("""COMPUTED_VALUE"""),"2026 Jan")</f>
        <v>2026 Jan</v>
      </c>
      <c r="P2185" s="1" t="str">
        <f>IFERROR(__xludf.DUMMYFUNCTION("""COMPUTED_VALUE"""),"Print Support")</f>
        <v>Print Support</v>
      </c>
      <c r="Q2185" s="1" t="str">
        <f>IFERROR(__xludf.DUMMYFUNCTION("""COMPUTED_VALUE"""),"rdominick@canva.com")</f>
        <v>rdominick@canva.com</v>
      </c>
      <c r="R2185" s="1" t="str">
        <f>IFERROR(__xludf.DUMMYFUNCTION("""COMPUTED_VALUE"""),"Ryan Dominick Razon")</f>
        <v>Ryan Dominick Razon</v>
      </c>
      <c r="S2185" s="1"/>
      <c r="T2185" s="1">
        <f>IFERROR(__xludf.DUMMYFUNCTION("""COMPUTED_VALUE"""),1.75)</f>
        <v>1.75</v>
      </c>
      <c r="U2185" s="2">
        <f>IFERROR(__xludf.DUMMYFUNCTION("""COMPUTED_VALUE"""),1.75)</f>
        <v>1.75</v>
      </c>
      <c r="V2185" s="1" t="str">
        <f>IFERROR(__xludf.DUMMYFUNCTION("""COMPUTED_VALUE"""),"Jen Momo")</f>
        <v>Jen Momo</v>
      </c>
      <c r="W2185" s="1" t="str">
        <f>IFERROR(__xludf.DUMMYFUNCTION("""COMPUTED_VALUE"""),"Print Support PH")</f>
        <v>Print Support PH</v>
      </c>
    </row>
    <row r="2186">
      <c r="O2186" s="1" t="str">
        <f>IFERROR(__xludf.DUMMYFUNCTION("""COMPUTED_VALUE"""),"2026 Jan")</f>
        <v>2026 Jan</v>
      </c>
      <c r="P2186" s="1" t="str">
        <f>IFERROR(__xludf.DUMMYFUNCTION("""COMPUTED_VALUE"""),"Segment-specific Support")</f>
        <v>Segment-specific Support</v>
      </c>
      <c r="Q2186" s="1" t="str">
        <f>IFERROR(__xludf.DUMMYFUNCTION("""COMPUTED_VALUE"""),"sammiee@canva.com")</f>
        <v>sammiee@canva.com</v>
      </c>
      <c r="R2186" s="1" t="str">
        <f>IFERROR(__xludf.DUMMYFUNCTION("""COMPUTED_VALUE"""),"Sam Espelimbergo")</f>
        <v>Sam Espelimbergo</v>
      </c>
      <c r="S2186" s="1"/>
      <c r="T2186" s="1"/>
      <c r="U2186" s="2">
        <f>IFERROR(__xludf.DUMMYFUNCTION("""COMPUTED_VALUE"""),0.0)</f>
        <v>0</v>
      </c>
      <c r="V2186" s="1" t="str">
        <f>IFERROR(__xludf.DUMMYFUNCTION("""COMPUTED_VALUE"""),"Aileen Dayanghirang")</f>
        <v>Aileen Dayanghirang</v>
      </c>
      <c r="W2186" s="1" t="str">
        <f>IFERROR(__xludf.DUMMYFUNCTION("""COMPUTED_VALUE"""),"Creators Support")</f>
        <v>Creators Support</v>
      </c>
    </row>
    <row r="2187">
      <c r="O2187" s="1" t="str">
        <f>IFERROR(__xludf.DUMMYFUNCTION("""COMPUTED_VALUE"""),"2026 Jan")</f>
        <v>2026 Jan</v>
      </c>
      <c r="P2187" s="1" t="str">
        <f>IFERROR(__xludf.DUMMYFUNCTION("""COMPUTED_VALUE"""),"Admin Support")</f>
        <v>Admin Support</v>
      </c>
      <c r="Q2187" s="1" t="str">
        <f>IFERROR(__xludf.DUMMYFUNCTION("""COMPUTED_VALUE"""),"simber@canva.com")</f>
        <v>simber@canva.com</v>
      </c>
      <c r="R2187" s="1" t="str">
        <f>IFERROR(__xludf.DUMMYFUNCTION("""COMPUTED_VALUE"""),"Sean Imber")</f>
        <v>Sean Imber</v>
      </c>
      <c r="S2187" s="1"/>
      <c r="T2187" s="1"/>
      <c r="U2187" s="2">
        <f>IFERROR(__xludf.DUMMYFUNCTION("""COMPUTED_VALUE"""),0.0)</f>
        <v>0</v>
      </c>
      <c r="V2187" s="1" t="str">
        <f>IFERROR(__xludf.DUMMYFUNCTION("""COMPUTED_VALUE"""),"Elise Cesario Mendes")</f>
        <v>Elise Cesario Mendes</v>
      </c>
      <c r="W2187" s="1" t="str">
        <f>IFERROR(__xludf.DUMMYFUNCTION("""COMPUTED_VALUE"""),"Admin Support APJ")</f>
        <v>Admin Support APJ</v>
      </c>
    </row>
    <row r="2188">
      <c r="O2188" s="1" t="str">
        <f>IFERROR(__xludf.DUMMYFUNCTION("""COMPUTED_VALUE"""),"2026 Jan")</f>
        <v>2026 Jan</v>
      </c>
      <c r="P2188" s="1" t="str">
        <f>IFERROR(__xludf.DUMMYFUNCTION("""COMPUTED_VALUE"""),"High Sensitivity Support")</f>
        <v>High Sensitivity Support</v>
      </c>
      <c r="Q2188" s="1" t="str">
        <f>IFERROR(__xludf.DUMMYFUNCTION("""COMPUTED_VALUE"""),"sbaldonado@canva.com")</f>
        <v>sbaldonado@canva.com</v>
      </c>
      <c r="R2188" s="1" t="str">
        <f>IFERROR(__xludf.DUMMYFUNCTION("""COMPUTED_VALUE"""),"Sheira Nicole Baldonado")</f>
        <v>Sheira Nicole Baldonado</v>
      </c>
      <c r="S2188" s="1"/>
      <c r="T2188" s="1">
        <f>IFERROR(__xludf.DUMMYFUNCTION("""COMPUTED_VALUE"""),0.57)</f>
        <v>0.57</v>
      </c>
      <c r="U2188" s="2">
        <f>IFERROR(__xludf.DUMMYFUNCTION("""COMPUTED_VALUE"""),0.57)</f>
        <v>0.57</v>
      </c>
      <c r="V2188" s="1" t="str">
        <f>IFERROR(__xludf.DUMMYFUNCTION("""COMPUTED_VALUE"""),"Rex Villamor")</f>
        <v>Rex Villamor</v>
      </c>
      <c r="W2188" s="1" t="str">
        <f>IFERROR(__xludf.DUMMYFUNCTION("""COMPUTED_VALUE"""),"High Sensitivity Support PH")</f>
        <v>High Sensitivity Support PH</v>
      </c>
    </row>
    <row r="2189">
      <c r="O2189" s="1" t="str">
        <f>IFERROR(__xludf.DUMMYFUNCTION("""COMPUTED_VALUE"""),"2026 Jan")</f>
        <v>2026 Jan</v>
      </c>
      <c r="P2189" s="1" t="str">
        <f>IFERROR(__xludf.DUMMYFUNCTION("""COMPUTED_VALUE"""),"Core Product Support")</f>
        <v>Core Product Support</v>
      </c>
      <c r="Q2189" s="1" t="str">
        <f>IFERROR(__xludf.DUMMYFUNCTION("""COMPUTED_VALUE"""),"sophiae@canva.com")</f>
        <v>sophiae@canva.com</v>
      </c>
      <c r="R2189" s="1" t="str">
        <f>IFERROR(__xludf.DUMMYFUNCTION("""COMPUTED_VALUE"""),"Sophia Ermac")</f>
        <v>Sophia Ermac</v>
      </c>
      <c r="S2189" s="1">
        <f>IFERROR(__xludf.DUMMYFUNCTION("""COMPUTED_VALUE"""),3.8)</f>
        <v>3.8</v>
      </c>
      <c r="T2189" s="1">
        <f>IFERROR(__xludf.DUMMYFUNCTION("""COMPUTED_VALUE"""),4.0)</f>
        <v>4</v>
      </c>
      <c r="U2189" s="2">
        <f>IFERROR(__xludf.DUMMYFUNCTION("""COMPUTED_VALUE"""),7.8)</f>
        <v>7.8</v>
      </c>
      <c r="V2189" s="1" t="str">
        <f>IFERROR(__xludf.DUMMYFUNCTION("""COMPUTED_VALUE"""),"Ana Lazaro")</f>
        <v>Ana Lazaro</v>
      </c>
      <c r="W2189" s="1" t="str">
        <f>IFERROR(__xludf.DUMMYFUNCTION("""COMPUTED_VALUE"""),"Advanced Billing &amp; Subscriptions")</f>
        <v>Advanced Billing &amp; Subscriptions</v>
      </c>
    </row>
    <row r="2190">
      <c r="O2190" s="1" t="str">
        <f>IFERROR(__xludf.DUMMYFUNCTION("""COMPUTED_VALUE"""),"2026 Jan")</f>
        <v>2026 Jan</v>
      </c>
      <c r="P2190" s="1" t="str">
        <f>IFERROR(__xludf.DUMMYFUNCTION("""COMPUTED_VALUE"""),"High Sensitivity Support")</f>
        <v>High Sensitivity Support</v>
      </c>
      <c r="Q2190" s="1" t="str">
        <f>IFERROR(__xludf.DUMMYFUNCTION("""COMPUTED_VALUE"""),"ssroxas@canva.com")</f>
        <v>ssroxas@canva.com</v>
      </c>
      <c r="R2190" s="1" t="str">
        <f>IFERROR(__xludf.DUMMYFUNCTION("""COMPUTED_VALUE"""),"Steph Roxas")</f>
        <v>Steph Roxas</v>
      </c>
      <c r="S2190" s="1"/>
      <c r="T2190" s="1"/>
      <c r="U2190" s="2">
        <f>IFERROR(__xludf.DUMMYFUNCTION("""COMPUTED_VALUE"""),0.0)</f>
        <v>0</v>
      </c>
      <c r="V2190" s="1" t="str">
        <f>IFERROR(__xludf.DUMMYFUNCTION("""COMPUTED_VALUE"""),"Rex Villamor")</f>
        <v>Rex Villamor</v>
      </c>
      <c r="W2190" s="1" t="str">
        <f>IFERROR(__xludf.DUMMYFUNCTION("""COMPUTED_VALUE"""),"High Sensitivity Support PH")</f>
        <v>High Sensitivity Support PH</v>
      </c>
    </row>
    <row r="2191">
      <c r="O2191" s="1" t="str">
        <f>IFERROR(__xludf.DUMMYFUNCTION("""COMPUTED_VALUE"""),"2026 Jan")</f>
        <v>2026 Jan</v>
      </c>
      <c r="P2191" s="1" t="str">
        <f>IFERROR(__xludf.DUMMYFUNCTION("""COMPUTED_VALUE"""),"Admin Support")</f>
        <v>Admin Support</v>
      </c>
      <c r="Q2191" s="1" t="str">
        <f>IFERROR(__xludf.DUMMYFUNCTION("""COMPUTED_VALUE"""),"stephanie.t@canva.com")</f>
        <v>stephanie.t@canva.com</v>
      </c>
      <c r="R2191" s="1" t="str">
        <f>IFERROR(__xludf.DUMMYFUNCTION("""COMPUTED_VALUE"""),"Stephanie Lyn Tan")</f>
        <v>Stephanie Lyn Tan</v>
      </c>
      <c r="S2191" s="1"/>
      <c r="T2191" s="1">
        <f>IFERROR(__xludf.DUMMYFUNCTION("""COMPUTED_VALUE"""),3.5)</f>
        <v>3.5</v>
      </c>
      <c r="U2191" s="2">
        <f>IFERROR(__xludf.DUMMYFUNCTION("""COMPUTED_VALUE"""),3.5)</f>
        <v>3.5</v>
      </c>
      <c r="V2191" s="1" t="str">
        <f>IFERROR(__xludf.DUMMYFUNCTION("""COMPUTED_VALUE"""),"Pau Palmero")</f>
        <v>Pau Palmero</v>
      </c>
      <c r="W2191" s="1" t="str">
        <f>IFERROR(__xludf.DUMMYFUNCTION("""COMPUTED_VALUE"""),"Admin Omni Support")</f>
        <v>Admin Omni Support</v>
      </c>
    </row>
    <row r="2192">
      <c r="O2192" s="1" t="str">
        <f>IFERROR(__xludf.DUMMYFUNCTION("""COMPUTED_VALUE"""),"2026 Jan")</f>
        <v>2026 Jan</v>
      </c>
      <c r="P2192" s="1" t="str">
        <f>IFERROR(__xludf.DUMMYFUNCTION("""COMPUTED_VALUE"""),"Admin Support")</f>
        <v>Admin Support</v>
      </c>
      <c r="Q2192" s="1" t="str">
        <f>IFERROR(__xludf.DUMMYFUNCTION("""COMPUTED_VALUE"""),"stephen.k@canva.com")</f>
        <v>stephen.k@canva.com</v>
      </c>
      <c r="R2192" s="1" t="str">
        <f>IFERROR(__xludf.DUMMYFUNCTION("""COMPUTED_VALUE"""),"Stephen Kahanap")</f>
        <v>Stephen Kahanap</v>
      </c>
      <c r="S2192" s="1"/>
      <c r="T2192" s="1">
        <f>IFERROR(__xludf.DUMMYFUNCTION("""COMPUTED_VALUE"""),17.5)</f>
        <v>17.5</v>
      </c>
      <c r="U2192" s="2">
        <f>IFERROR(__xludf.DUMMYFUNCTION("""COMPUTED_VALUE"""),17.5)</f>
        <v>17.5</v>
      </c>
      <c r="V2192" s="1" t="str">
        <f>IFERROR(__xludf.DUMMYFUNCTION("""COMPUTED_VALUE"""),"Ann Dumlao")</f>
        <v>Ann Dumlao</v>
      </c>
      <c r="W2192" s="1" t="str">
        <f>IFERROR(__xludf.DUMMYFUNCTION("""COMPUTED_VALUE"""),"Admin Omni Support")</f>
        <v>Admin Omni Support</v>
      </c>
    </row>
    <row r="2193">
      <c r="O2193" s="1" t="str">
        <f>IFERROR(__xludf.DUMMYFUNCTION("""COMPUTED_VALUE"""),"2026 Jan")</f>
        <v>2026 Jan</v>
      </c>
      <c r="P2193" s="1" t="str">
        <f>IFERROR(__xludf.DUMMYFUNCTION("""COMPUTED_VALUE"""),"Segment-specific Support")</f>
        <v>Segment-specific Support</v>
      </c>
      <c r="Q2193" s="1" t="str">
        <f>IFERROR(__xludf.DUMMYFUNCTION("""COMPUTED_VALUE"""),"sremo@canva.com")</f>
        <v>sremo@canva.com</v>
      </c>
      <c r="R2193" s="1" t="str">
        <f>IFERROR(__xludf.DUMMYFUNCTION("""COMPUTED_VALUE"""),"Sunshine Remo")</f>
        <v>Sunshine Remo</v>
      </c>
      <c r="S2193" s="1"/>
      <c r="T2193" s="1">
        <f>IFERROR(__xludf.DUMMYFUNCTION("""COMPUTED_VALUE"""),0.5)</f>
        <v>0.5</v>
      </c>
      <c r="U2193" s="2">
        <f>IFERROR(__xludf.DUMMYFUNCTION("""COMPUTED_VALUE"""),0.5)</f>
        <v>0.5</v>
      </c>
      <c r="V2193" s="1" t="str">
        <f>IFERROR(__xludf.DUMMYFUNCTION("""COMPUTED_VALUE"""),"Rose Gabilan")</f>
        <v>Rose Gabilan</v>
      </c>
      <c r="W2193" s="1" t="str">
        <f>IFERROR(__xludf.DUMMYFUNCTION("""COMPUTED_VALUE"""),"Affinity Support")</f>
        <v>Affinity Support</v>
      </c>
    </row>
    <row r="2194">
      <c r="O2194" s="1" t="str">
        <f>IFERROR(__xludf.DUMMYFUNCTION("""COMPUTED_VALUE"""),"2026 Jan")</f>
        <v>2026 Jan</v>
      </c>
      <c r="P2194" s="1" t="str">
        <f>IFERROR(__xludf.DUMMYFUNCTION("""COMPUTED_VALUE"""),"Admin Support")</f>
        <v>Admin Support</v>
      </c>
      <c r="Q2194" s="1" t="str">
        <f>IFERROR(__xludf.DUMMYFUNCTION("""COMPUTED_VALUE"""),"susann@canva.com")</f>
        <v>susann@canva.com</v>
      </c>
      <c r="R2194" s="1" t="str">
        <f>IFERROR(__xludf.DUMMYFUNCTION("""COMPUTED_VALUE"""),"Susann Dierich")</f>
        <v>Susann Dierich</v>
      </c>
      <c r="S2194" s="1"/>
      <c r="T2194" s="1"/>
      <c r="U2194" s="2">
        <f>IFERROR(__xludf.DUMMYFUNCTION("""COMPUTED_VALUE"""),0.0)</f>
        <v>0</v>
      </c>
      <c r="V2194" s="1" t="str">
        <f>IFERROR(__xludf.DUMMYFUNCTION("""COMPUTED_VALUE"""),"Tash Kelly")</f>
        <v>Tash Kelly</v>
      </c>
      <c r="W2194" s="1" t="str">
        <f>IFERROR(__xludf.DUMMYFUNCTION("""COMPUTED_VALUE"""),"Admin Support EMEA")</f>
        <v>Admin Support EMEA</v>
      </c>
    </row>
    <row r="2195">
      <c r="O2195" s="1" t="str">
        <f>IFERROR(__xludf.DUMMYFUNCTION("""COMPUTED_VALUE"""),"2026 Jan")</f>
        <v>2026 Jan</v>
      </c>
      <c r="P2195" s="1" t="str">
        <f>IFERROR(__xludf.DUMMYFUNCTION("""COMPUTED_VALUE"""),"Admin Support")</f>
        <v>Admin Support</v>
      </c>
      <c r="Q2195" s="1" t="str">
        <f>IFERROR(__xludf.DUMMYFUNCTION("""COMPUTED_VALUE"""),"skyles@canva.com")</f>
        <v>skyles@canva.com</v>
      </c>
      <c r="R2195" s="1" t="str">
        <f>IFERROR(__xludf.DUMMYFUNCTION("""COMPUTED_VALUE"""),"Sylvia Kyles")</f>
        <v>Sylvia Kyles</v>
      </c>
      <c r="S2195" s="1"/>
      <c r="T2195" s="1"/>
      <c r="U2195" s="2">
        <f>IFERROR(__xludf.DUMMYFUNCTION("""COMPUTED_VALUE"""),0.0)</f>
        <v>0</v>
      </c>
      <c r="V2195" s="1" t="str">
        <f>IFERROR(__xludf.DUMMYFUNCTION("""COMPUTED_VALUE"""),"Nate Vela")</f>
        <v>Nate Vela</v>
      </c>
      <c r="W2195" s="1" t="str">
        <f>IFERROR(__xludf.DUMMYFUNCTION("""COMPUTED_VALUE"""),"Admin Support NA")</f>
        <v>Admin Support NA</v>
      </c>
    </row>
    <row r="2196">
      <c r="O2196" s="1" t="str">
        <f>IFERROR(__xludf.DUMMYFUNCTION("""COMPUTED_VALUE"""),"2026 Jan")</f>
        <v>2026 Jan</v>
      </c>
      <c r="P2196" s="1" t="str">
        <f>IFERROR(__xludf.DUMMYFUNCTION("""COMPUTED_VALUE"""),"Print Support")</f>
        <v>Print Support</v>
      </c>
      <c r="Q2196" s="1" t="str">
        <f>IFERROR(__xludf.DUMMYFUNCTION("""COMPUTED_VALUE"""),"theag@canva.com")</f>
        <v>theag@canva.com</v>
      </c>
      <c r="R2196" s="1" t="str">
        <f>IFERROR(__xludf.DUMMYFUNCTION("""COMPUTED_VALUE"""),"Thea Gelua")</f>
        <v>Thea Gelua</v>
      </c>
      <c r="S2196" s="1"/>
      <c r="T2196" s="1">
        <f>IFERROR(__xludf.DUMMYFUNCTION("""COMPUTED_VALUE"""),2.25)</f>
        <v>2.25</v>
      </c>
      <c r="U2196" s="2">
        <f>IFERROR(__xludf.DUMMYFUNCTION("""COMPUTED_VALUE"""),2.25)</f>
        <v>2.25</v>
      </c>
      <c r="V2196" s="1" t="str">
        <f>IFERROR(__xludf.DUMMYFUNCTION("""COMPUTED_VALUE"""),"Jen Momo")</f>
        <v>Jen Momo</v>
      </c>
      <c r="W2196" s="1" t="str">
        <f>IFERROR(__xludf.DUMMYFUNCTION("""COMPUTED_VALUE"""),"Print Support PH")</f>
        <v>Print Support PH</v>
      </c>
    </row>
    <row r="2197">
      <c r="O2197" s="1" t="str">
        <f>IFERROR(__xludf.DUMMYFUNCTION("""COMPUTED_VALUE"""),"2026 Jan")</f>
        <v>2026 Jan</v>
      </c>
      <c r="P2197" s="1" t="str">
        <f>IFERROR(__xludf.DUMMYFUNCTION("""COMPUTED_VALUE"""),"Print Support")</f>
        <v>Print Support</v>
      </c>
      <c r="Q2197" s="1" t="str">
        <f>IFERROR(__xludf.DUMMYFUNCTION("""COMPUTED_VALUE"""),"tia@canva.com")</f>
        <v>tia@canva.com</v>
      </c>
      <c r="R2197" s="1" t="str">
        <f>IFERROR(__xludf.DUMMYFUNCTION("""COMPUTED_VALUE"""),"Tia Tilanduca")</f>
        <v>Tia Tilanduca</v>
      </c>
      <c r="S2197" s="1"/>
      <c r="T2197" s="1">
        <f>IFERROR(__xludf.DUMMYFUNCTION("""COMPUTED_VALUE"""),2.0)</f>
        <v>2</v>
      </c>
      <c r="U2197" s="2">
        <f>IFERROR(__xludf.DUMMYFUNCTION("""COMPUTED_VALUE"""),2.0)</f>
        <v>2</v>
      </c>
      <c r="V2197" s="1" t="str">
        <f>IFERROR(__xludf.DUMMYFUNCTION("""COMPUTED_VALUE"""),"Louise Dianne Estrella")</f>
        <v>Louise Dianne Estrella</v>
      </c>
      <c r="W2197" s="1" t="str">
        <f>IFERROR(__xludf.DUMMYFUNCTION("""COMPUTED_VALUE"""),"Print Support PH")</f>
        <v>Print Support PH</v>
      </c>
    </row>
    <row r="2198">
      <c r="O2198" s="1" t="str">
        <f>IFERROR(__xludf.DUMMYFUNCTION("""COMPUTED_VALUE"""),"2026 Jan")</f>
        <v>2026 Jan</v>
      </c>
      <c r="P2198" s="1" t="str">
        <f>IFERROR(__xludf.DUMMYFUNCTION("""COMPUTED_VALUE"""),"Admin Support")</f>
        <v>Admin Support</v>
      </c>
      <c r="Q2198" s="1" t="str">
        <f>IFERROR(__xludf.DUMMYFUNCTION("""COMPUTED_VALUE"""),"tiara@canva.com")</f>
        <v>tiara@canva.com</v>
      </c>
      <c r="R2198" s="1" t="str">
        <f>IFERROR(__xludf.DUMMYFUNCTION("""COMPUTED_VALUE"""),"Tiara Samonte")</f>
        <v>Tiara Samonte</v>
      </c>
      <c r="S2198" s="1">
        <f>IFERROR(__xludf.DUMMYFUNCTION("""COMPUTED_VALUE"""),1.0)</f>
        <v>1</v>
      </c>
      <c r="T2198" s="1">
        <f>IFERROR(__xludf.DUMMYFUNCTION("""COMPUTED_VALUE"""),44.5)</f>
        <v>44.5</v>
      </c>
      <c r="U2198" s="2">
        <f>IFERROR(__xludf.DUMMYFUNCTION("""COMPUTED_VALUE"""),45.5)</f>
        <v>45.5</v>
      </c>
      <c r="V2198" s="1" t="str">
        <f>IFERROR(__xludf.DUMMYFUNCTION("""COMPUTED_VALUE"""),"AL Suarez")</f>
        <v>AL Suarez</v>
      </c>
      <c r="W2198" s="1" t="str">
        <f>IFERROR(__xludf.DUMMYFUNCTION("""COMPUTED_VALUE"""),"Advanced Billing &amp; Subscriptions")</f>
        <v>Advanced Billing &amp; Subscriptions</v>
      </c>
    </row>
    <row r="2199">
      <c r="O2199" s="1" t="str">
        <f>IFERROR(__xludf.DUMMYFUNCTION("""COMPUTED_VALUE"""),"2026 Jan")</f>
        <v>2026 Jan</v>
      </c>
      <c r="P2199" s="1" t="str">
        <f>IFERROR(__xludf.DUMMYFUNCTION("""COMPUTED_VALUE"""),"Segment-specific Support")</f>
        <v>Segment-specific Support</v>
      </c>
      <c r="Q2199" s="1" t="str">
        <f>IFERROR(__xludf.DUMMYFUNCTION("""COMPUTED_VALUE"""),"timdl@canva.com")</f>
        <v>timdl@canva.com</v>
      </c>
      <c r="R2199" s="1" t="str">
        <f>IFERROR(__xludf.DUMMYFUNCTION("""COMPUTED_VALUE"""),"Tim De Leon")</f>
        <v>Tim De Leon</v>
      </c>
      <c r="S2199" s="1"/>
      <c r="T2199" s="1"/>
      <c r="U2199" s="2">
        <f>IFERROR(__xludf.DUMMYFUNCTION("""COMPUTED_VALUE"""),0.0)</f>
        <v>0</v>
      </c>
      <c r="V2199" s="1" t="str">
        <f>IFERROR(__xludf.DUMMYFUNCTION("""COMPUTED_VALUE"""),"Aileen Dayanghirang")</f>
        <v>Aileen Dayanghirang</v>
      </c>
      <c r="W2199" s="1" t="str">
        <f>IFERROR(__xludf.DUMMYFUNCTION("""COMPUTED_VALUE"""),"Creators Support")</f>
        <v>Creators Support</v>
      </c>
    </row>
    <row r="2200">
      <c r="O2200" s="1" t="str">
        <f>IFERROR(__xludf.DUMMYFUNCTION("""COMPUTED_VALUE"""),"2026 Jan")</f>
        <v>2026 Jan</v>
      </c>
      <c r="P2200" s="1" t="str">
        <f>IFERROR(__xludf.DUMMYFUNCTION("""COMPUTED_VALUE"""),"Admin Support")</f>
        <v>Admin Support</v>
      </c>
      <c r="Q2200" s="1" t="str">
        <f>IFERROR(__xludf.DUMMYFUNCTION("""COMPUTED_VALUE"""),"cnuyda@canva.com")</f>
        <v>cnuyda@canva.com</v>
      </c>
      <c r="R2200" s="1" t="str">
        <f>IFERROR(__xludf.DUMMYFUNCTION("""COMPUTED_VALUE"""),"Toff Nuyda")</f>
        <v>Toff Nuyda</v>
      </c>
      <c r="S2200" s="1"/>
      <c r="T2200" s="1">
        <f>IFERROR(__xludf.DUMMYFUNCTION("""COMPUTED_VALUE"""),44.5)</f>
        <v>44.5</v>
      </c>
      <c r="U2200" s="2">
        <f>IFERROR(__xludf.DUMMYFUNCTION("""COMPUTED_VALUE"""),44.5)</f>
        <v>44.5</v>
      </c>
      <c r="V2200" s="1" t="str">
        <f>IFERROR(__xludf.DUMMYFUNCTION("""COMPUTED_VALUE"""),"Karla Mananghaya")</f>
        <v>Karla Mananghaya</v>
      </c>
      <c r="W2200" s="1" t="str">
        <f>IFERROR(__xludf.DUMMYFUNCTION("""COMPUTED_VALUE"""),"Admin Support Service Escalation Team")</f>
        <v>Admin Support Service Escalation Team</v>
      </c>
    </row>
    <row r="2201">
      <c r="O2201" s="1" t="str">
        <f>IFERROR(__xludf.DUMMYFUNCTION("""COMPUTED_VALUE"""),"2026 Jan")</f>
        <v>2026 Jan</v>
      </c>
      <c r="P2201" s="1" t="str">
        <f>IFERROR(__xludf.DUMMYFUNCTION("""COMPUTED_VALUE"""),"#N/A")</f>
        <v>#N/A</v>
      </c>
      <c r="Q2201" s="1" t="str">
        <f>IFERROR(__xludf.DUMMYFUNCTION("""COMPUTED_VALUE"""),"tofulajo@canva.com")</f>
        <v>tofulajo@canva.com</v>
      </c>
      <c r="R2201" s="1" t="str">
        <f>IFERROR(__xludf.DUMMYFUNCTION("""COMPUTED_VALUE"""),"Tofu Lajo")</f>
        <v>Tofu Lajo</v>
      </c>
      <c r="S2201" s="1"/>
      <c r="T2201" s="1"/>
      <c r="U2201" s="2">
        <f>IFERROR(__xludf.DUMMYFUNCTION("""COMPUTED_VALUE"""),0.0)</f>
        <v>0</v>
      </c>
      <c r="V2201" s="1" t="str">
        <f>IFERROR(__xludf.DUMMYFUNCTION("""COMPUTED_VALUE"""),"#N/A")</f>
        <v>#N/A</v>
      </c>
      <c r="W2201" s="1" t="str">
        <f>IFERROR(__xludf.DUMMYFUNCTION("""COMPUTED_VALUE"""),"High Sensitivity Support PH")</f>
        <v>High Sensitivity Support PH</v>
      </c>
    </row>
    <row r="2202">
      <c r="O2202" s="1" t="str">
        <f>IFERROR(__xludf.DUMMYFUNCTION("""COMPUTED_VALUE"""),"2026 Jan")</f>
        <v>2026 Jan</v>
      </c>
      <c r="P2202" s="1" t="str">
        <f>IFERROR(__xludf.DUMMYFUNCTION("""COMPUTED_VALUE"""),"Multilingual Support")</f>
        <v>Multilingual Support</v>
      </c>
      <c r="Q2202" s="1" t="str">
        <f>IFERROR(__xludf.DUMMYFUNCTION("""COMPUTED_VALUE"""),"tricia.p@canva.com")</f>
        <v>tricia.p@canva.com</v>
      </c>
      <c r="R2202" s="1" t="str">
        <f>IFERROR(__xludf.DUMMYFUNCTION("""COMPUTED_VALUE"""),"Tricia Pasagui")</f>
        <v>Tricia Pasagui</v>
      </c>
      <c r="S2202" s="1"/>
      <c r="T2202" s="1"/>
      <c r="U2202" s="2">
        <f>IFERROR(__xludf.DUMMYFUNCTION("""COMPUTED_VALUE"""),0.0)</f>
        <v>0</v>
      </c>
      <c r="V2202" s="1" t="str">
        <f>IFERROR(__xludf.DUMMYFUNCTION("""COMPUTED_VALUE"""),"Arlene Maurillo")</f>
        <v>Arlene Maurillo</v>
      </c>
      <c r="W2202" s="1" t="str">
        <f>IFERROR(__xludf.DUMMYFUNCTION("""COMPUTED_VALUE"""),"PHL, Multilingual Support")</f>
        <v>PHL, Multilingual Support</v>
      </c>
    </row>
    <row r="2203">
      <c r="O2203" s="1" t="str">
        <f>IFERROR(__xludf.DUMMYFUNCTION("""COMPUTED_VALUE"""),"2026 Jan")</f>
        <v>2026 Jan</v>
      </c>
      <c r="P2203" s="1" t="str">
        <f>IFERROR(__xludf.DUMMYFUNCTION("""COMPUTED_VALUE"""),"High Sensitivity Support")</f>
        <v>High Sensitivity Support</v>
      </c>
      <c r="Q2203" s="1" t="str">
        <f>IFERROR(__xludf.DUMMYFUNCTION("""COMPUTED_VALUE"""),"trina@canva.com")</f>
        <v>trina@canva.com</v>
      </c>
      <c r="R2203" s="1" t="str">
        <f>IFERROR(__xludf.DUMMYFUNCTION("""COMPUTED_VALUE"""),"Trina Salcedo")</f>
        <v>Trina Salcedo</v>
      </c>
      <c r="S2203" s="1"/>
      <c r="T2203" s="1">
        <f>IFERROR(__xludf.DUMMYFUNCTION("""COMPUTED_VALUE"""),1.0)</f>
        <v>1</v>
      </c>
      <c r="U2203" s="2">
        <f>IFERROR(__xludf.DUMMYFUNCTION("""COMPUTED_VALUE"""),1.0)</f>
        <v>1</v>
      </c>
      <c r="V2203" s="1" t="str">
        <f>IFERROR(__xludf.DUMMYFUNCTION("""COMPUTED_VALUE"""),"Xandy Azarcon")</f>
        <v>Xandy Azarcon</v>
      </c>
      <c r="W2203" s="1" t="str">
        <f>IFERROR(__xludf.DUMMYFUNCTION("""COMPUTED_VALUE"""),"High Sensitivity Support PH")</f>
        <v>High Sensitivity Support PH</v>
      </c>
    </row>
    <row r="2204">
      <c r="O2204" s="1" t="str">
        <f>IFERROR(__xludf.DUMMYFUNCTION("""COMPUTED_VALUE"""),"2026 Jan")</f>
        <v>2026 Jan</v>
      </c>
      <c r="P2204" s="1" t="str">
        <f>IFERROR(__xludf.DUMMYFUNCTION("""COMPUTED_VALUE"""),"High Sensitivity Support")</f>
        <v>High Sensitivity Support</v>
      </c>
      <c r="Q2204" s="1" t="str">
        <f>IFERROR(__xludf.DUMMYFUNCTION("""COMPUTED_VALUE"""),"trishlee@canva.com")</f>
        <v>trishlee@canva.com</v>
      </c>
      <c r="R2204" s="1" t="str">
        <f>IFERROR(__xludf.DUMMYFUNCTION("""COMPUTED_VALUE"""),"Trish Lee")</f>
        <v>Trish Lee</v>
      </c>
      <c r="S2204" s="1"/>
      <c r="T2204" s="1">
        <f>IFERROR(__xludf.DUMMYFUNCTION("""COMPUTED_VALUE"""),2.0)</f>
        <v>2</v>
      </c>
      <c r="U2204" s="2">
        <f>IFERROR(__xludf.DUMMYFUNCTION("""COMPUTED_VALUE"""),2.0)</f>
        <v>2</v>
      </c>
      <c r="V2204" s="1" t="str">
        <f>IFERROR(__xludf.DUMMYFUNCTION("""COMPUTED_VALUE"""),"Issi Afable")</f>
        <v>Issi Afable</v>
      </c>
      <c r="W2204" s="1" t="str">
        <f>IFERROR(__xludf.DUMMYFUNCTION("""COMPUTED_VALUE"""),"High Sensitivity Support PH")</f>
        <v>High Sensitivity Support PH</v>
      </c>
    </row>
    <row r="2205">
      <c r="O2205" s="1" t="str">
        <f>IFERROR(__xludf.DUMMYFUNCTION("""COMPUTED_VALUE"""),"2026 Jan")</f>
        <v>2026 Jan</v>
      </c>
      <c r="P2205" s="1" t="str">
        <f>IFERROR(__xludf.DUMMYFUNCTION("""COMPUTED_VALUE"""),"Print Support")</f>
        <v>Print Support</v>
      </c>
      <c r="Q2205" s="1" t="str">
        <f>IFERROR(__xludf.DUMMYFUNCTION("""COMPUTED_VALUE"""),"trissamiguel@canva.com")</f>
        <v>trissamiguel@canva.com</v>
      </c>
      <c r="R2205" s="1" t="str">
        <f>IFERROR(__xludf.DUMMYFUNCTION("""COMPUTED_VALUE"""),"Trissa Miguel")</f>
        <v>Trissa Miguel</v>
      </c>
      <c r="S2205" s="1"/>
      <c r="T2205" s="1">
        <f>IFERROR(__xludf.DUMMYFUNCTION("""COMPUTED_VALUE"""),0.5)</f>
        <v>0.5</v>
      </c>
      <c r="U2205" s="2">
        <f>IFERROR(__xludf.DUMMYFUNCTION("""COMPUTED_VALUE"""),0.5)</f>
        <v>0.5</v>
      </c>
      <c r="V2205" s="1" t="str">
        <f>IFERROR(__xludf.DUMMYFUNCTION("""COMPUTED_VALUE"""),"G-Anne Murillo")</f>
        <v>G-Anne Murillo</v>
      </c>
      <c r="W2205" s="1" t="str">
        <f>IFERROR(__xludf.DUMMYFUNCTION("""COMPUTED_VALUE"""),"Print Design Support")</f>
        <v>Print Design Support</v>
      </c>
    </row>
    <row r="2206">
      <c r="O2206" s="1" t="str">
        <f>IFERROR(__xludf.DUMMYFUNCTION("""COMPUTED_VALUE"""),"2026 Jan")</f>
        <v>2026 Jan</v>
      </c>
      <c r="P2206" s="1" t="str">
        <f>IFERROR(__xludf.DUMMYFUNCTION("""COMPUTED_VALUE"""),"Print Support")</f>
        <v>Print Support</v>
      </c>
      <c r="Q2206" s="1" t="str">
        <f>IFERROR(__xludf.DUMMYFUNCTION("""COMPUTED_VALUE"""),"vlad.b@canva.com")</f>
        <v>vlad.b@canva.com</v>
      </c>
      <c r="R2206" s="1" t="str">
        <f>IFERROR(__xludf.DUMMYFUNCTION("""COMPUTED_VALUE"""),"Vladimir Besana")</f>
        <v>Vladimir Besana</v>
      </c>
      <c r="S2206" s="1"/>
      <c r="T2206" s="1">
        <f>IFERROR(__xludf.DUMMYFUNCTION("""COMPUTED_VALUE"""),1.08)</f>
        <v>1.08</v>
      </c>
      <c r="U2206" s="2">
        <f>IFERROR(__xludf.DUMMYFUNCTION("""COMPUTED_VALUE"""),1.08)</f>
        <v>1.08</v>
      </c>
      <c r="V2206" s="1" t="str">
        <f>IFERROR(__xludf.DUMMYFUNCTION("""COMPUTED_VALUE"""),"Jan Domingo")</f>
        <v>Jan Domingo</v>
      </c>
      <c r="W2206" s="1" t="str">
        <f>IFERROR(__xludf.DUMMYFUNCTION("""COMPUTED_VALUE"""),"Print Design Support")</f>
        <v>Print Design Support</v>
      </c>
    </row>
    <row r="2207">
      <c r="O2207" s="1" t="str">
        <f>IFERROR(__xludf.DUMMYFUNCTION("""COMPUTED_VALUE"""),"2026 Jan")</f>
        <v>2026 Jan</v>
      </c>
      <c r="P2207" s="1" t="str">
        <f>IFERROR(__xludf.DUMMYFUNCTION("""COMPUTED_VALUE"""),"Print Support")</f>
        <v>Print Support</v>
      </c>
      <c r="Q2207" s="1" t="str">
        <f>IFERROR(__xludf.DUMMYFUNCTION("""COMPUTED_VALUE"""),"wesleyp@canva.com")</f>
        <v>wesleyp@canva.com</v>
      </c>
      <c r="R2207" s="1" t="str">
        <f>IFERROR(__xludf.DUMMYFUNCTION("""COMPUTED_VALUE"""),"Wes Paira")</f>
        <v>Wes Paira</v>
      </c>
      <c r="S2207" s="1"/>
      <c r="T2207" s="1">
        <f>IFERROR(__xludf.DUMMYFUNCTION("""COMPUTED_VALUE"""),1.25)</f>
        <v>1.25</v>
      </c>
      <c r="U2207" s="2">
        <f>IFERROR(__xludf.DUMMYFUNCTION("""COMPUTED_VALUE"""),1.25)</f>
        <v>1.25</v>
      </c>
      <c r="V2207" s="1" t="str">
        <f>IFERROR(__xludf.DUMMYFUNCTION("""COMPUTED_VALUE"""),"Memae Faustino")</f>
        <v>Memae Faustino</v>
      </c>
      <c r="W2207" s="1" t="str">
        <f>IFERROR(__xludf.DUMMYFUNCTION("""COMPUTED_VALUE"""),"Print Support PH")</f>
        <v>Print Support PH</v>
      </c>
    </row>
    <row r="2208">
      <c r="O2208" s="1" t="str">
        <f>IFERROR(__xludf.DUMMYFUNCTION("""COMPUTED_VALUE"""),"2026 Jan")</f>
        <v>2026 Jan</v>
      </c>
      <c r="P2208" s="1" t="str">
        <f>IFERROR(__xludf.DUMMYFUNCTION("""COMPUTED_VALUE"""),"Core Product Support")</f>
        <v>Core Product Support</v>
      </c>
      <c r="Q2208" s="1" t="str">
        <f>IFERROR(__xludf.DUMMYFUNCTION("""COMPUTED_VALUE"""),"xy@canva.com")</f>
        <v>xy@canva.com</v>
      </c>
      <c r="R2208" s="1" t="str">
        <f>IFERROR(__xludf.DUMMYFUNCTION("""COMPUTED_VALUE"""),"Xyren Bulan")</f>
        <v>Xyren Bulan</v>
      </c>
      <c r="S2208" s="1">
        <f>IFERROR(__xludf.DUMMYFUNCTION("""COMPUTED_VALUE"""),2.0)</f>
        <v>2</v>
      </c>
      <c r="T2208" s="1">
        <f>IFERROR(__xludf.DUMMYFUNCTION("""COMPUTED_VALUE"""),4.97)</f>
        <v>4.97</v>
      </c>
      <c r="U2208" s="2">
        <f>IFERROR(__xludf.DUMMYFUNCTION("""COMPUTED_VALUE"""),6.97)</f>
        <v>6.97</v>
      </c>
      <c r="V2208" s="1" t="str">
        <f>IFERROR(__xludf.DUMMYFUNCTION("""COMPUTED_VALUE"""),"Vinz Lazaro")</f>
        <v>Vinz Lazaro</v>
      </c>
      <c r="W2208" s="1" t="str">
        <f>IFERROR(__xludf.DUMMYFUNCTION("""COMPUTED_VALUE"""),"Advanced Product Support")</f>
        <v>Advanced Product Support</v>
      </c>
    </row>
    <row r="2209">
      <c r="O2209" s="1" t="str">
        <f>IFERROR(__xludf.DUMMYFUNCTION("""COMPUTED_VALUE"""),"2026 Jan")</f>
        <v>2026 Jan</v>
      </c>
      <c r="P2209" s="1" t="str">
        <f>IFERROR(__xludf.DUMMYFUNCTION("""COMPUTED_VALUE"""),"Print Support")</f>
        <v>Print Support</v>
      </c>
      <c r="Q2209" s="1" t="str">
        <f>IFERROR(__xludf.DUMMYFUNCTION("""COMPUTED_VALUE"""),"ysabel@canva.com")</f>
        <v>ysabel@canva.com</v>
      </c>
      <c r="R2209" s="1" t="str">
        <f>IFERROR(__xludf.DUMMYFUNCTION("""COMPUTED_VALUE"""),"Ysabel Locsin")</f>
        <v>Ysabel Locsin</v>
      </c>
      <c r="S2209" s="1"/>
      <c r="T2209" s="1"/>
      <c r="U2209" s="2">
        <f>IFERROR(__xludf.DUMMYFUNCTION("""COMPUTED_VALUE"""),0.0)</f>
        <v>0</v>
      </c>
      <c r="V2209" s="1" t="str">
        <f>IFERROR(__xludf.DUMMYFUNCTION("""COMPUTED_VALUE"""),"Rei De Jesus")</f>
        <v>Rei De Jesus</v>
      </c>
      <c r="W2209" s="1" t="str">
        <f>IFERROR(__xludf.DUMMYFUNCTION("""COMPUTED_VALUE"""),"Print Design Support")</f>
        <v>Print Design Support</v>
      </c>
    </row>
    <row r="2210">
      <c r="O2210" s="1" t="str">
        <f>IFERROR(__xludf.DUMMYFUNCTION("""COMPUTED_VALUE"""),"2026 Jan")</f>
        <v>2026 Jan</v>
      </c>
      <c r="P2210" s="1" t="str">
        <f>IFERROR(__xludf.DUMMYFUNCTION("""COMPUTED_VALUE"""),"Core Product Support")</f>
        <v>Core Product Support</v>
      </c>
      <c r="Q2210" s="1" t="str">
        <f>IFERROR(__xludf.DUMMYFUNCTION("""COMPUTED_VALUE"""),"ymagno@canva.com")</f>
        <v>ymagno@canva.com</v>
      </c>
      <c r="R2210" s="1" t="str">
        <f>IFERROR(__xludf.DUMMYFUNCTION("""COMPUTED_VALUE"""),"Ysabel Magno")</f>
        <v>Ysabel Magno</v>
      </c>
      <c r="S2210" s="1">
        <f>IFERROR(__xludf.DUMMYFUNCTION("""COMPUTED_VALUE"""),0.5)</f>
        <v>0.5</v>
      </c>
      <c r="T2210" s="1">
        <f>IFERROR(__xludf.DUMMYFUNCTION("""COMPUTED_VALUE"""),10.42)</f>
        <v>10.42</v>
      </c>
      <c r="U2210" s="2">
        <f>IFERROR(__xludf.DUMMYFUNCTION("""COMPUTED_VALUE"""),10.92)</f>
        <v>10.92</v>
      </c>
      <c r="V2210" s="1" t="str">
        <f>IFERROR(__xludf.DUMMYFUNCTION("""COMPUTED_VALUE"""),"Renette Bok")</f>
        <v>Renette Bok</v>
      </c>
      <c r="W2210" s="1" t="str">
        <f>IFERROR(__xludf.DUMMYFUNCTION("""COMPUTED_VALUE"""),"Advanced Billing &amp; Subscriptions")</f>
        <v>Advanced Billing &amp; Subscriptions</v>
      </c>
    </row>
    <row r="2211">
      <c r="O2211" s="1" t="str">
        <f>IFERROR(__xludf.DUMMYFUNCTION("""COMPUTED_VALUE"""),"2026 Jan")</f>
        <v>2026 Jan</v>
      </c>
      <c r="P2211" s="1" t="str">
        <f>IFERROR(__xludf.DUMMYFUNCTION("""COMPUTED_VALUE"""),"Multilingual Support")</f>
        <v>Multilingual Support</v>
      </c>
      <c r="Q2211" s="1" t="str">
        <f>IFERROR(__xludf.DUMMYFUNCTION("""COMPUTED_VALUE"""),"iuliia@canva.com")</f>
        <v>iuliia@canva.com</v>
      </c>
      <c r="R2211" s="1" t="str">
        <f>IFERROR(__xludf.DUMMYFUNCTION("""COMPUTED_VALUE"""),"Yulya Shevkunova")</f>
        <v>Yulya Shevkunova</v>
      </c>
      <c r="S2211" s="1"/>
      <c r="T2211" s="1"/>
      <c r="U2211" s="2">
        <f>IFERROR(__xludf.DUMMYFUNCTION("""COMPUTED_VALUE"""),0.0)</f>
        <v>0</v>
      </c>
      <c r="V2211" s="1" t="str">
        <f>IFERROR(__xludf.DUMMYFUNCTION("""COMPUTED_VALUE"""),"Arlene Maurillo")</f>
        <v>Arlene Maurillo</v>
      </c>
      <c r="W2211" s="1" t="str">
        <f>IFERROR(__xludf.DUMMYFUNCTION("""COMPUTED_VALUE"""),"PHL, Multilingual Support")</f>
        <v>PHL, Multilingual Support</v>
      </c>
    </row>
    <row r="2212">
      <c r="O2212" s="1" t="str">
        <f>IFERROR(__xludf.DUMMYFUNCTION("""COMPUTED_VALUE"""),"2026 Jan")</f>
        <v>2026 Jan</v>
      </c>
      <c r="P2212" s="1" t="str">
        <f>IFERROR(__xludf.DUMMYFUNCTION("""COMPUTED_VALUE"""),"Core Product Support")</f>
        <v>Core Product Support</v>
      </c>
      <c r="Q2212" s="1" t="str">
        <f>IFERROR(__xludf.DUMMYFUNCTION("""COMPUTED_VALUE"""),"yumi@canva.com")</f>
        <v>yumi@canva.com</v>
      </c>
      <c r="R2212" s="1" t="str">
        <f>IFERROR(__xludf.DUMMYFUNCTION("""COMPUTED_VALUE"""),"Yumi Tominaga")</f>
        <v>Yumi Tominaga</v>
      </c>
      <c r="S2212" s="1">
        <f>IFERROR(__xludf.DUMMYFUNCTION("""COMPUTED_VALUE"""),2.0)</f>
        <v>2</v>
      </c>
      <c r="T2212" s="1">
        <f>IFERROR(__xludf.DUMMYFUNCTION("""COMPUTED_VALUE"""),3.5)</f>
        <v>3.5</v>
      </c>
      <c r="U2212" s="2">
        <f>IFERROR(__xludf.DUMMYFUNCTION("""COMPUTED_VALUE"""),5.5)</f>
        <v>5.5</v>
      </c>
      <c r="V2212" s="1" t="str">
        <f>IFERROR(__xludf.DUMMYFUNCTION("""COMPUTED_VALUE"""),"Ana Lazaro")</f>
        <v>Ana Lazaro</v>
      </c>
      <c r="W2212" s="1" t="str">
        <f>IFERROR(__xludf.DUMMYFUNCTION("""COMPUTED_VALUE"""),"Advanced Billing &amp; Subscriptions")</f>
        <v>Advanced Billing &amp; Subscriptions</v>
      </c>
    </row>
    <row r="2213">
      <c r="O2213" s="1" t="str">
        <f>IFERROR(__xludf.DUMMYFUNCTION("""COMPUTED_VALUE"""),"2026 Jan")</f>
        <v>2026 Jan</v>
      </c>
      <c r="P2213" s="1" t="str">
        <f>IFERROR(__xludf.DUMMYFUNCTION("""COMPUTED_VALUE"""),"Core Product Support")</f>
        <v>Core Product Support</v>
      </c>
      <c r="Q2213" s="1" t="str">
        <f>IFERROR(__xludf.DUMMYFUNCTION("""COMPUTED_VALUE"""),"yvette@canva.com")</f>
        <v>yvette@canva.com</v>
      </c>
      <c r="R2213" s="1" t="str">
        <f>IFERROR(__xludf.DUMMYFUNCTION("""COMPUTED_VALUE"""),"Yvette Nogoy")</f>
        <v>Yvette Nogoy</v>
      </c>
      <c r="S2213" s="1">
        <f>IFERROR(__xludf.DUMMYFUNCTION("""COMPUTED_VALUE"""),1.5)</f>
        <v>1.5</v>
      </c>
      <c r="T2213" s="1">
        <f>IFERROR(__xludf.DUMMYFUNCTION("""COMPUTED_VALUE"""),7.5)</f>
        <v>7.5</v>
      </c>
      <c r="U2213" s="2">
        <f>IFERROR(__xludf.DUMMYFUNCTION("""COMPUTED_VALUE"""),9.0)</f>
        <v>9</v>
      </c>
      <c r="V2213" s="1" t="str">
        <f>IFERROR(__xludf.DUMMYFUNCTION("""COMPUTED_VALUE"""),"Jelyn Elmido")</f>
        <v>Jelyn Elmido</v>
      </c>
      <c r="W2213" s="1" t="str">
        <f>IFERROR(__xludf.DUMMYFUNCTION("""COMPUTED_VALUE"""),"Core Product Support Escalation Team")</f>
        <v>Core Product Support Escalation Team</v>
      </c>
    </row>
    <row r="2214">
      <c r="O2214" s="1" t="str">
        <f>IFERROR(__xludf.DUMMYFUNCTION("""COMPUTED_VALUE"""),"2026 Jan")</f>
        <v>2026 Jan</v>
      </c>
      <c r="P2214" s="1" t="str">
        <f>IFERROR(__xludf.DUMMYFUNCTION("""COMPUTED_VALUE"""),"Admin Support")</f>
        <v>Admin Support</v>
      </c>
      <c r="Q2214" s="1" t="str">
        <f>IFERROR(__xludf.DUMMYFUNCTION("""COMPUTED_VALUE"""),"yvonne@canva.com")</f>
        <v>yvonne@canva.com</v>
      </c>
      <c r="R2214" s="1" t="str">
        <f>IFERROR(__xludf.DUMMYFUNCTION("""COMPUTED_VALUE"""),"Yvonne Romasanta")</f>
        <v>Yvonne Romasanta</v>
      </c>
      <c r="S2214" s="1"/>
      <c r="T2214" s="1">
        <f>IFERROR(__xludf.DUMMYFUNCTION("""COMPUTED_VALUE"""),1.0)</f>
        <v>1</v>
      </c>
      <c r="U2214" s="2">
        <f>IFERROR(__xludf.DUMMYFUNCTION("""COMPUTED_VALUE"""),1.0)</f>
        <v>1</v>
      </c>
      <c r="V2214" s="1" t="str">
        <f>IFERROR(__xludf.DUMMYFUNCTION("""COMPUTED_VALUE"""),"Pau Palmero")</f>
        <v>Pau Palmero</v>
      </c>
      <c r="W2214" s="1" t="str">
        <f>IFERROR(__xludf.DUMMYFUNCTION("""COMPUTED_VALUE"""),"Admin Omni Support")</f>
        <v>Admin Omni Support</v>
      </c>
    </row>
    <row r="2215">
      <c r="O2215" s="1" t="str">
        <f>IFERROR(__xludf.DUMMYFUNCTION("""COMPUTED_VALUE"""),"2026 Jan")</f>
        <v>2026 Jan</v>
      </c>
      <c r="P2215" s="1" t="str">
        <f>IFERROR(__xludf.DUMMYFUNCTION("""COMPUTED_VALUE"""),"Print Support")</f>
        <v>Print Support</v>
      </c>
      <c r="Q2215" s="1" t="str">
        <f>IFERROR(__xludf.DUMMYFUNCTION("""COMPUTED_VALUE"""),"zippy@canva.com")</f>
        <v>zippy@canva.com</v>
      </c>
      <c r="R2215" s="1" t="str">
        <f>IFERROR(__xludf.DUMMYFUNCTION("""COMPUTED_VALUE"""),"Zipporah Duque")</f>
        <v>Zipporah Duque</v>
      </c>
      <c r="S2215" s="1"/>
      <c r="T2215" s="1">
        <f>IFERROR(__xludf.DUMMYFUNCTION("""COMPUTED_VALUE"""),2.75)</f>
        <v>2.75</v>
      </c>
      <c r="U2215" s="2">
        <f>IFERROR(__xludf.DUMMYFUNCTION("""COMPUTED_VALUE"""),2.75)</f>
        <v>2.75</v>
      </c>
      <c r="V2215" s="1" t="str">
        <f>IFERROR(__xludf.DUMMYFUNCTION("""COMPUTED_VALUE"""),"Jen Momo")</f>
        <v>Jen Momo</v>
      </c>
      <c r="W2215" s="1" t="str">
        <f>IFERROR(__xludf.DUMMYFUNCTION("""COMPUTED_VALUE"""),"Print Support PH")</f>
        <v>Print Support PH</v>
      </c>
    </row>
    <row r="2216">
      <c r="O2216" s="1" t="str">
        <f>IFERROR(__xludf.DUMMYFUNCTION("""COMPUTED_VALUE"""),"2026 Feb")</f>
        <v>2026 Feb</v>
      </c>
      <c r="P2216" s="1" t="str">
        <f>IFERROR(__xludf.DUMMYFUNCTION("""COMPUTED_VALUE"""),"Segment-specific Support")</f>
        <v>Segment-specific Support</v>
      </c>
      <c r="Q2216" s="1" t="str">
        <f>IFERROR(__xludf.DUMMYFUNCTION("""COMPUTED_VALUE"""),"triplea@canva.com")</f>
        <v>triplea@canva.com</v>
      </c>
      <c r="R2216" s="1" t="str">
        <f>IFERROR(__xludf.DUMMYFUNCTION("""COMPUTED_VALUE"""),"AA Abong")</f>
        <v>AA Abong</v>
      </c>
      <c r="S2216" s="1"/>
      <c r="T2216" s="1">
        <f>IFERROR(__xludf.DUMMYFUNCTION("""COMPUTED_VALUE"""),1.0)</f>
        <v>1</v>
      </c>
      <c r="U2216" s="2">
        <f>IFERROR(__xludf.DUMMYFUNCTION("""COMPUTED_VALUE"""),1.0)</f>
        <v>1</v>
      </c>
      <c r="V2216" s="1" t="str">
        <f>IFERROR(__xludf.DUMMYFUNCTION("""COMPUTED_VALUE"""),"Jonathan Dimaculangan")</f>
        <v>Jonathan Dimaculangan</v>
      </c>
      <c r="W2216" s="1" t="str">
        <f>IFERROR(__xludf.DUMMYFUNCTION("""COMPUTED_VALUE"""),"Flourish Support")</f>
        <v>Flourish Support</v>
      </c>
    </row>
    <row r="2217">
      <c r="O2217" s="1" t="str">
        <f>IFERROR(__xludf.DUMMYFUNCTION("""COMPUTED_VALUE"""),"2026 Feb")</f>
        <v>2026 Feb</v>
      </c>
      <c r="P2217" s="1" t="str">
        <f>IFERROR(__xludf.DUMMYFUNCTION("""COMPUTED_VALUE"""),"Core Product Support")</f>
        <v>Core Product Support</v>
      </c>
      <c r="Q2217" s="1" t="str">
        <f>IFERROR(__xludf.DUMMYFUNCTION("""COMPUTED_VALUE"""),"adrielcarlosv@canva.com")</f>
        <v>adrielcarlosv@canva.com</v>
      </c>
      <c r="R2217" s="1" t="str">
        <f>IFERROR(__xludf.DUMMYFUNCTION("""COMPUTED_VALUE"""),"Adriel Vicencio")</f>
        <v>Adriel Vicencio</v>
      </c>
      <c r="S2217" s="1">
        <f>IFERROR(__xludf.DUMMYFUNCTION("""COMPUTED_VALUE"""),0.5)</f>
        <v>0.5</v>
      </c>
      <c r="T2217" s="1">
        <f>IFERROR(__xludf.DUMMYFUNCTION("""COMPUTED_VALUE"""),14.58)</f>
        <v>14.58</v>
      </c>
      <c r="U2217" s="2">
        <f>IFERROR(__xludf.DUMMYFUNCTION("""COMPUTED_VALUE"""),15.08)</f>
        <v>15.08</v>
      </c>
      <c r="V2217" s="1" t="str">
        <f>IFERROR(__xludf.DUMMYFUNCTION("""COMPUTED_VALUE"""),"Jem Mondoñedo")</f>
        <v>Jem Mondoñedo</v>
      </c>
      <c r="W2217" s="1" t="str">
        <f>IFERROR(__xludf.DUMMYFUNCTION("""COMPUTED_VALUE"""),"Advanced Billing &amp; Subscriptions")</f>
        <v>Advanced Billing &amp; Subscriptions</v>
      </c>
    </row>
    <row r="2218">
      <c r="O2218" s="1" t="str">
        <f>IFERROR(__xludf.DUMMYFUNCTION("""COMPUTED_VALUE"""),"2026 Feb")</f>
        <v>2026 Feb</v>
      </c>
      <c r="P2218" s="1" t="str">
        <f>IFERROR(__xludf.DUMMYFUNCTION("""COMPUTED_VALUE"""),"Admin Support")</f>
        <v>Admin Support</v>
      </c>
      <c r="Q2218" s="1" t="str">
        <f>IFERROR(__xludf.DUMMYFUNCTION("""COMPUTED_VALUE"""),"agathartt@canva.com")</f>
        <v>agathartt@canva.com</v>
      </c>
      <c r="R2218" s="1" t="str">
        <f>IFERROR(__xludf.DUMMYFUNCTION("""COMPUTED_VALUE"""),"Agatha Torres")</f>
        <v>Agatha Torres</v>
      </c>
      <c r="S2218" s="1"/>
      <c r="T2218" s="1">
        <f>IFERROR(__xludf.DUMMYFUNCTION("""COMPUTED_VALUE"""),98.75)</f>
        <v>98.75</v>
      </c>
      <c r="U2218" s="2">
        <f>IFERROR(__xludf.DUMMYFUNCTION("""COMPUTED_VALUE"""),98.75)</f>
        <v>98.75</v>
      </c>
      <c r="V2218" s="1" t="str">
        <f>IFERROR(__xludf.DUMMYFUNCTION("""COMPUTED_VALUE"""),"AL Suarez")</f>
        <v>AL Suarez</v>
      </c>
      <c r="W2218" s="1" t="str">
        <f>IFERROR(__xludf.DUMMYFUNCTION("""COMPUTED_VALUE"""),"Advanced Billing &amp; Subscriptions")</f>
        <v>Advanced Billing &amp; Subscriptions</v>
      </c>
    </row>
    <row r="2219">
      <c r="O2219" s="1" t="str">
        <f>IFERROR(__xludf.DUMMYFUNCTION("""COMPUTED_VALUE"""),"2026 Feb")</f>
        <v>2026 Feb</v>
      </c>
      <c r="P2219" s="1" t="str">
        <f>IFERROR(__xludf.DUMMYFUNCTION("""COMPUTED_VALUE"""),"Print Support")</f>
        <v>Print Support</v>
      </c>
      <c r="Q2219" s="1" t="str">
        <f>IFERROR(__xludf.DUMMYFUNCTION("""COMPUTED_VALUE"""),"aileen.a@canva.com")</f>
        <v>aileen.a@canva.com</v>
      </c>
      <c r="R2219" s="1" t="str">
        <f>IFERROR(__xludf.DUMMYFUNCTION("""COMPUTED_VALUE"""),"Aileen Alipio")</f>
        <v>Aileen Alipio</v>
      </c>
      <c r="S2219" s="1"/>
      <c r="T2219" s="1">
        <f>IFERROR(__xludf.DUMMYFUNCTION("""COMPUTED_VALUE"""),1.5)</f>
        <v>1.5</v>
      </c>
      <c r="U2219" s="2">
        <f>IFERROR(__xludf.DUMMYFUNCTION("""COMPUTED_VALUE"""),1.5)</f>
        <v>1.5</v>
      </c>
      <c r="V2219" s="1" t="str">
        <f>IFERROR(__xludf.DUMMYFUNCTION("""COMPUTED_VALUE"""),"Gem Agoncillo")</f>
        <v>Gem Agoncillo</v>
      </c>
      <c r="W2219" s="1" t="str">
        <f>IFERROR(__xludf.DUMMYFUNCTION("""COMPUTED_VALUE"""),"Print Design Support")</f>
        <v>Print Design Support</v>
      </c>
    </row>
    <row r="2220">
      <c r="O2220" s="1" t="str">
        <f>IFERROR(__xludf.DUMMYFUNCTION("""COMPUTED_VALUE"""),"2026 Feb")</f>
        <v>2026 Feb</v>
      </c>
      <c r="P2220" s="1" t="str">
        <f>IFERROR(__xludf.DUMMYFUNCTION("""COMPUTED_VALUE"""),"Core Product Support")</f>
        <v>Core Product Support</v>
      </c>
      <c r="Q2220" s="1" t="str">
        <f>IFERROR(__xludf.DUMMYFUNCTION("""COMPUTED_VALUE"""),"ailyn@canva.com")</f>
        <v>ailyn@canva.com</v>
      </c>
      <c r="R2220" s="1" t="str">
        <f>IFERROR(__xludf.DUMMYFUNCTION("""COMPUTED_VALUE"""),"Ailyn Grana")</f>
        <v>Ailyn Grana</v>
      </c>
      <c r="S2220" s="1"/>
      <c r="T2220" s="1">
        <f>IFERROR(__xludf.DUMMYFUNCTION("""COMPUTED_VALUE"""),14.53)</f>
        <v>14.53</v>
      </c>
      <c r="U2220" s="2">
        <f>IFERROR(__xludf.DUMMYFUNCTION("""COMPUTED_VALUE"""),14.53)</f>
        <v>14.53</v>
      </c>
      <c r="V2220" s="1" t="str">
        <f>IFERROR(__xludf.DUMMYFUNCTION("""COMPUTED_VALUE"""),"Belle Bentazal")</f>
        <v>Belle Bentazal</v>
      </c>
      <c r="W2220" s="1" t="str">
        <f>IFERROR(__xludf.DUMMYFUNCTION("""COMPUTED_VALUE"""),"Advanced Product Support")</f>
        <v>Advanced Product Support</v>
      </c>
    </row>
    <row r="2221">
      <c r="O2221" s="1" t="str">
        <f>IFERROR(__xludf.DUMMYFUNCTION("""COMPUTED_VALUE"""),"2026 Feb")</f>
        <v>2026 Feb</v>
      </c>
      <c r="P2221" s="1" t="str">
        <f>IFERROR(__xludf.DUMMYFUNCTION("""COMPUTED_VALUE"""),"Print Support")</f>
        <v>Print Support</v>
      </c>
      <c r="Q2221" s="1" t="str">
        <f>IFERROR(__xludf.DUMMYFUNCTION("""COMPUTED_VALUE"""),"alaizaong@canva.com")</f>
        <v>alaizaong@canva.com</v>
      </c>
      <c r="R2221" s="1" t="str">
        <f>IFERROR(__xludf.DUMMYFUNCTION("""COMPUTED_VALUE"""),"Alaiza Ong")</f>
        <v>Alaiza Ong</v>
      </c>
      <c r="S2221" s="1"/>
      <c r="T2221" s="1">
        <f>IFERROR(__xludf.DUMMYFUNCTION("""COMPUTED_VALUE"""),10.75)</f>
        <v>10.75</v>
      </c>
      <c r="U2221" s="2">
        <f>IFERROR(__xludf.DUMMYFUNCTION("""COMPUTED_VALUE"""),10.75)</f>
        <v>10.75</v>
      </c>
      <c r="V2221" s="1" t="str">
        <f>IFERROR(__xludf.DUMMYFUNCTION("""COMPUTED_VALUE"""),"Rae Erlano")</f>
        <v>Rae Erlano</v>
      </c>
      <c r="W2221" s="1" t="str">
        <f>IFERROR(__xludf.DUMMYFUNCTION("""COMPUTED_VALUE"""),"Print Support PH")</f>
        <v>Print Support PH</v>
      </c>
    </row>
    <row r="2222">
      <c r="O2222" s="1" t="str">
        <f>IFERROR(__xludf.DUMMYFUNCTION("""COMPUTED_VALUE"""),"2026 Feb")</f>
        <v>2026 Feb</v>
      </c>
      <c r="P2222" s="1" t="str">
        <f>IFERROR(__xludf.DUMMYFUNCTION("""COMPUTED_VALUE"""),"Segment-specific Support")</f>
        <v>Segment-specific Support</v>
      </c>
      <c r="Q2222" s="1" t="str">
        <f>IFERROR(__xludf.DUMMYFUNCTION("""COMPUTED_VALUE"""),"andria@canva.com")</f>
        <v>andria@canva.com</v>
      </c>
      <c r="R2222" s="1" t="str">
        <f>IFERROR(__xludf.DUMMYFUNCTION("""COMPUTED_VALUE"""),"Alex Batusin")</f>
        <v>Alex Batusin</v>
      </c>
      <c r="S2222" s="1"/>
      <c r="T2222" s="1">
        <f>IFERROR(__xludf.DUMMYFUNCTION("""COMPUTED_VALUE"""),1.0)</f>
        <v>1</v>
      </c>
      <c r="U2222" s="2">
        <f>IFERROR(__xludf.DUMMYFUNCTION("""COMPUTED_VALUE"""),1.0)</f>
        <v>1</v>
      </c>
      <c r="V2222" s="1" t="str">
        <f>IFERROR(__xludf.DUMMYFUNCTION("""COMPUTED_VALUE"""),"Aileen Dayanghirang")</f>
        <v>Aileen Dayanghirang</v>
      </c>
      <c r="W2222" s="1" t="str">
        <f>IFERROR(__xludf.DUMMYFUNCTION("""COMPUTED_VALUE"""),"Creators Support")</f>
        <v>Creators Support</v>
      </c>
    </row>
    <row r="2223">
      <c r="O2223" s="1" t="str">
        <f>IFERROR(__xludf.DUMMYFUNCTION("""COMPUTED_VALUE"""),"2026 Feb")</f>
        <v>2026 Feb</v>
      </c>
      <c r="P2223" s="1" t="str">
        <f>IFERROR(__xludf.DUMMYFUNCTION("""COMPUTED_VALUE"""),"Segment-specific Support")</f>
        <v>Segment-specific Support</v>
      </c>
      <c r="Q2223" s="1" t="str">
        <f>IFERROR(__xludf.DUMMYFUNCTION("""COMPUTED_VALUE"""),"adtolentino@canva.com")</f>
        <v>adtolentino@canva.com</v>
      </c>
      <c r="R2223" s="1" t="str">
        <f>IFERROR(__xludf.DUMMYFUNCTION("""COMPUTED_VALUE"""),"Alfred Devon Tolentino")</f>
        <v>Alfred Devon Tolentino</v>
      </c>
      <c r="S2223" s="1"/>
      <c r="T2223" s="1">
        <f>IFERROR(__xludf.DUMMYFUNCTION("""COMPUTED_VALUE"""),1.0)</f>
        <v>1</v>
      </c>
      <c r="U2223" s="2">
        <f>IFERROR(__xludf.DUMMYFUNCTION("""COMPUTED_VALUE"""),1.0)</f>
        <v>1</v>
      </c>
      <c r="V2223" s="1" t="str">
        <f>IFERROR(__xludf.DUMMYFUNCTION("""COMPUTED_VALUE"""),"Jonathan Dimaculangan")</f>
        <v>Jonathan Dimaculangan</v>
      </c>
      <c r="W2223" s="1" t="str">
        <f>IFERROR(__xludf.DUMMYFUNCTION("""COMPUTED_VALUE"""),"Flourish Support")</f>
        <v>Flourish Support</v>
      </c>
    </row>
    <row r="2224">
      <c r="O2224" s="1" t="str">
        <f>IFERROR(__xludf.DUMMYFUNCTION("""COMPUTED_VALUE"""),"2026 Feb")</f>
        <v>2026 Feb</v>
      </c>
      <c r="P2224" s="1" t="str">
        <f>IFERROR(__xludf.DUMMYFUNCTION("""COMPUTED_VALUE"""),"Admin Support")</f>
        <v>Admin Support</v>
      </c>
      <c r="Q2224" s="1" t="str">
        <f>IFERROR(__xludf.DUMMYFUNCTION("""COMPUTED_VALUE"""),"alicec@canva.com")</f>
        <v>alicec@canva.com</v>
      </c>
      <c r="R2224" s="1" t="str">
        <f>IFERROR(__xludf.DUMMYFUNCTION("""COMPUTED_VALUE"""),"Alice Creiser")</f>
        <v>Alice Creiser</v>
      </c>
      <c r="S2224" s="1"/>
      <c r="T2224" s="1">
        <f>IFERROR(__xludf.DUMMYFUNCTION("""COMPUTED_VALUE"""),1.0)</f>
        <v>1</v>
      </c>
      <c r="U2224" s="2">
        <f>IFERROR(__xludf.DUMMYFUNCTION("""COMPUTED_VALUE"""),1.0)</f>
        <v>1</v>
      </c>
      <c r="V2224" s="1" t="str">
        <f>IFERROR(__xludf.DUMMYFUNCTION("""COMPUTED_VALUE"""),"Tash Kelly")</f>
        <v>Tash Kelly</v>
      </c>
      <c r="W2224" s="1" t="str">
        <f>IFERROR(__xludf.DUMMYFUNCTION("""COMPUTED_VALUE"""),"Admin Support EMEA")</f>
        <v>Admin Support EMEA</v>
      </c>
    </row>
    <row r="2225">
      <c r="O2225" s="1" t="str">
        <f>IFERROR(__xludf.DUMMYFUNCTION("""COMPUTED_VALUE"""),"2026 Feb")</f>
        <v>2026 Feb</v>
      </c>
      <c r="P2225" s="1" t="str">
        <f>IFERROR(__xludf.DUMMYFUNCTION("""COMPUTED_VALUE"""),"Segment-specific Support")</f>
        <v>Segment-specific Support</v>
      </c>
      <c r="Q2225" s="1" t="str">
        <f>IFERROR(__xludf.DUMMYFUNCTION("""COMPUTED_VALUE"""),"alyanna@canva.com")</f>
        <v>alyanna@canva.com</v>
      </c>
      <c r="R2225" s="1" t="str">
        <f>IFERROR(__xludf.DUMMYFUNCTION("""COMPUTED_VALUE"""),"Alyanna Ramos")</f>
        <v>Alyanna Ramos</v>
      </c>
      <c r="S2225" s="1"/>
      <c r="T2225" s="1">
        <f>IFERROR(__xludf.DUMMYFUNCTION("""COMPUTED_VALUE"""),1.0)</f>
        <v>1</v>
      </c>
      <c r="U2225" s="2">
        <f>IFERROR(__xludf.DUMMYFUNCTION("""COMPUTED_VALUE"""),1.0)</f>
        <v>1</v>
      </c>
      <c r="V2225" s="1" t="str">
        <f>IFERROR(__xludf.DUMMYFUNCTION("""COMPUTED_VALUE"""),"Rose Gabilan")</f>
        <v>Rose Gabilan</v>
      </c>
      <c r="W2225" s="1" t="str">
        <f>IFERROR(__xludf.DUMMYFUNCTION("""COMPUTED_VALUE"""),"Affinity Support")</f>
        <v>Affinity Support</v>
      </c>
    </row>
    <row r="2226">
      <c r="O2226" s="1" t="str">
        <f>IFERROR(__xludf.DUMMYFUNCTION("""COMPUTED_VALUE"""),"2026 Feb")</f>
        <v>2026 Feb</v>
      </c>
      <c r="P2226" s="1" t="str">
        <f>IFERROR(__xludf.DUMMYFUNCTION("""COMPUTED_VALUE"""),"Print Support")</f>
        <v>Print Support</v>
      </c>
      <c r="Q2226" s="1" t="str">
        <f>IFERROR(__xludf.DUMMYFUNCTION("""COMPUTED_VALUE"""),"alyssam@canva.com")</f>
        <v>alyssam@canva.com</v>
      </c>
      <c r="R2226" s="1" t="str">
        <f>IFERROR(__xludf.DUMMYFUNCTION("""COMPUTED_VALUE"""),"Alyssa Martin-Silao")</f>
        <v>Alyssa Martin-Silao</v>
      </c>
      <c r="S2226" s="1"/>
      <c r="T2226" s="1">
        <f>IFERROR(__xludf.DUMMYFUNCTION("""COMPUTED_VALUE"""),10.75)</f>
        <v>10.75</v>
      </c>
      <c r="U2226" s="2">
        <f>IFERROR(__xludf.DUMMYFUNCTION("""COMPUTED_VALUE"""),10.75)</f>
        <v>10.75</v>
      </c>
      <c r="V2226" s="1" t="str">
        <f>IFERROR(__xludf.DUMMYFUNCTION("""COMPUTED_VALUE"""),"Rae Erlano")</f>
        <v>Rae Erlano</v>
      </c>
      <c r="W2226" s="1" t="str">
        <f>IFERROR(__xludf.DUMMYFUNCTION("""COMPUTED_VALUE"""),"Print Support PH")</f>
        <v>Print Support PH</v>
      </c>
    </row>
    <row r="2227">
      <c r="O2227" s="1" t="str">
        <f>IFERROR(__xludf.DUMMYFUNCTION("""COMPUTED_VALUE"""),"2026 Feb")</f>
        <v>2026 Feb</v>
      </c>
      <c r="P2227" s="1" t="str">
        <f>IFERROR(__xludf.DUMMYFUNCTION("""COMPUTED_VALUE"""),"Print Support")</f>
        <v>Print Support</v>
      </c>
      <c r="Q2227" s="1" t="str">
        <f>IFERROR(__xludf.DUMMYFUNCTION("""COMPUTED_VALUE"""),"alyssas@canva.com")</f>
        <v>alyssas@canva.com</v>
      </c>
      <c r="R2227" s="1" t="str">
        <f>IFERROR(__xludf.DUMMYFUNCTION("""COMPUTED_VALUE"""),"Alyssa Sunga")</f>
        <v>Alyssa Sunga</v>
      </c>
      <c r="S2227" s="1"/>
      <c r="T2227" s="1">
        <f>IFERROR(__xludf.DUMMYFUNCTION("""COMPUTED_VALUE"""),11.38)</f>
        <v>11.38</v>
      </c>
      <c r="U2227" s="2">
        <f>IFERROR(__xludf.DUMMYFUNCTION("""COMPUTED_VALUE"""),11.38)</f>
        <v>11.38</v>
      </c>
      <c r="V2227" s="1" t="str">
        <f>IFERROR(__xludf.DUMMYFUNCTION("""COMPUTED_VALUE"""),"Althea Mercado")</f>
        <v>Althea Mercado</v>
      </c>
      <c r="W2227" s="1" t="str">
        <f>IFERROR(__xludf.DUMMYFUNCTION("""COMPUTED_VALUE"""),"Print Support PH")</f>
        <v>Print Support PH</v>
      </c>
    </row>
    <row r="2228">
      <c r="O2228" s="1" t="str">
        <f>IFERROR(__xludf.DUMMYFUNCTION("""COMPUTED_VALUE"""),"2026 Feb")</f>
        <v>2026 Feb</v>
      </c>
      <c r="P2228" s="1" t="str">
        <f>IFERROR(__xludf.DUMMYFUNCTION("""COMPUTED_VALUE"""),"Print Support")</f>
        <v>Print Support</v>
      </c>
      <c r="Q2228" s="1" t="str">
        <f>IFERROR(__xludf.DUMMYFUNCTION("""COMPUTED_VALUE"""),"andrea.g@canva.com")</f>
        <v>andrea.g@canva.com</v>
      </c>
      <c r="R2228" s="1" t="str">
        <f>IFERROR(__xludf.DUMMYFUNCTION("""COMPUTED_VALUE"""),"Andrea Gutierrez")</f>
        <v>Andrea Gutierrez</v>
      </c>
      <c r="S2228" s="1"/>
      <c r="T2228" s="1">
        <f>IFERROR(__xludf.DUMMYFUNCTION("""COMPUTED_VALUE"""),1.0)</f>
        <v>1</v>
      </c>
      <c r="U2228" s="2">
        <f>IFERROR(__xludf.DUMMYFUNCTION("""COMPUTED_VALUE"""),1.0)</f>
        <v>1</v>
      </c>
      <c r="V2228" s="1" t="str">
        <f>IFERROR(__xludf.DUMMYFUNCTION("""COMPUTED_VALUE"""),"G-Anne Murillo")</f>
        <v>G-Anne Murillo</v>
      </c>
      <c r="W2228" s="1" t="str">
        <f>IFERROR(__xludf.DUMMYFUNCTION("""COMPUTED_VALUE"""),"Print Design Support")</f>
        <v>Print Design Support</v>
      </c>
    </row>
    <row r="2229">
      <c r="O2229" s="1" t="str">
        <f>IFERROR(__xludf.DUMMYFUNCTION("""COMPUTED_VALUE"""),"2026 Feb")</f>
        <v>2026 Feb</v>
      </c>
      <c r="P2229" s="1" t="str">
        <f>IFERROR(__xludf.DUMMYFUNCTION("""COMPUTED_VALUE"""),"Print Support")</f>
        <v>Print Support</v>
      </c>
      <c r="Q2229" s="1" t="str">
        <f>IFERROR(__xludf.DUMMYFUNCTION("""COMPUTED_VALUE"""),"xandwea@canva.com")</f>
        <v>xandwea@canva.com</v>
      </c>
      <c r="R2229" s="1" t="str">
        <f>IFERROR(__xludf.DUMMYFUNCTION("""COMPUTED_VALUE"""),"Andrea Lugtu")</f>
        <v>Andrea Lugtu</v>
      </c>
      <c r="S2229" s="1"/>
      <c r="T2229" s="1">
        <f>IFERROR(__xludf.DUMMYFUNCTION("""COMPUTED_VALUE"""),10.75)</f>
        <v>10.75</v>
      </c>
      <c r="U2229" s="2">
        <f>IFERROR(__xludf.DUMMYFUNCTION("""COMPUTED_VALUE"""),10.75)</f>
        <v>10.75</v>
      </c>
      <c r="V2229" s="1" t="str">
        <f>IFERROR(__xludf.DUMMYFUNCTION("""COMPUTED_VALUE"""),"Manee Barrasa")</f>
        <v>Manee Barrasa</v>
      </c>
      <c r="W2229" s="1" t="str">
        <f>IFERROR(__xludf.DUMMYFUNCTION("""COMPUTED_VALUE"""),"Print Support PH")</f>
        <v>Print Support PH</v>
      </c>
    </row>
    <row r="2230">
      <c r="O2230" s="1" t="str">
        <f>IFERROR(__xludf.DUMMYFUNCTION("""COMPUTED_VALUE"""),"2026 Feb")</f>
        <v>2026 Feb</v>
      </c>
      <c r="P2230" s="1" t="str">
        <f>IFERROR(__xludf.DUMMYFUNCTION("""COMPUTED_VALUE"""),"High Sensitivity Support")</f>
        <v>High Sensitivity Support</v>
      </c>
      <c r="Q2230" s="1" t="str">
        <f>IFERROR(__xludf.DUMMYFUNCTION("""COMPUTED_VALUE"""),"andreimg@canva.com")</f>
        <v>andreimg@canva.com</v>
      </c>
      <c r="R2230" s="1" t="str">
        <f>IFERROR(__xludf.DUMMYFUNCTION("""COMPUTED_VALUE"""),"Andrei Galutan")</f>
        <v>Andrei Galutan</v>
      </c>
      <c r="S2230" s="1"/>
      <c r="T2230" s="1">
        <f>IFERROR(__xludf.DUMMYFUNCTION("""COMPUTED_VALUE"""),30.82)</f>
        <v>30.82</v>
      </c>
      <c r="U2230" s="2">
        <f>IFERROR(__xludf.DUMMYFUNCTION("""COMPUTED_VALUE"""),30.82)</f>
        <v>30.82</v>
      </c>
      <c r="V2230" s="1" t="str">
        <f>IFERROR(__xludf.DUMMYFUNCTION("""COMPUTED_VALUE"""),"Rex Villamor")</f>
        <v>Rex Villamor</v>
      </c>
      <c r="W2230" s="1" t="str">
        <f>IFERROR(__xludf.DUMMYFUNCTION("""COMPUTED_VALUE"""),"Advanced Product Support")</f>
        <v>Advanced Product Support</v>
      </c>
    </row>
    <row r="2231">
      <c r="O2231" s="1" t="str">
        <f>IFERROR(__xludf.DUMMYFUNCTION("""COMPUTED_VALUE"""),"2026 Feb")</f>
        <v>2026 Feb</v>
      </c>
      <c r="P2231" s="1" t="str">
        <f>IFERROR(__xludf.DUMMYFUNCTION("""COMPUTED_VALUE"""),"Core Product Support")</f>
        <v>Core Product Support</v>
      </c>
      <c r="Q2231" s="1" t="str">
        <f>IFERROR(__xludf.DUMMYFUNCTION("""COMPUTED_VALUE"""),"aalemania@canva.com")</f>
        <v>aalemania@canva.com</v>
      </c>
      <c r="R2231" s="1" t="str">
        <f>IFERROR(__xludf.DUMMYFUNCTION("""COMPUTED_VALUE"""),"Angel Alemania")</f>
        <v>Angel Alemania</v>
      </c>
      <c r="S2231" s="1">
        <f>IFERROR(__xludf.DUMMYFUNCTION("""COMPUTED_VALUE"""),0.5)</f>
        <v>0.5</v>
      </c>
      <c r="T2231" s="1">
        <f>IFERROR(__xludf.DUMMYFUNCTION("""COMPUTED_VALUE"""),17.75)</f>
        <v>17.75</v>
      </c>
      <c r="U2231" s="2">
        <f>IFERROR(__xludf.DUMMYFUNCTION("""COMPUTED_VALUE"""),18.25)</f>
        <v>18.25</v>
      </c>
      <c r="V2231" s="1" t="str">
        <f>IFERROR(__xludf.DUMMYFUNCTION("""COMPUTED_VALUE"""),"Sieg Ballelos")</f>
        <v>Sieg Ballelos</v>
      </c>
      <c r="W2231" s="1" t="str">
        <f>IFERROR(__xludf.DUMMYFUNCTION("""COMPUTED_VALUE"""),"Core Product Support Escalation Team")</f>
        <v>Core Product Support Escalation Team</v>
      </c>
    </row>
    <row r="2232">
      <c r="O2232" s="1" t="str">
        <f>IFERROR(__xludf.DUMMYFUNCTION("""COMPUTED_VALUE"""),"2026 Feb")</f>
        <v>2026 Feb</v>
      </c>
      <c r="P2232" s="1" t="str">
        <f>IFERROR(__xludf.DUMMYFUNCTION("""COMPUTED_VALUE"""),"Admin Support")</f>
        <v>Admin Support</v>
      </c>
      <c r="Q2232" s="1" t="str">
        <f>IFERROR(__xludf.DUMMYFUNCTION("""COMPUTED_VALUE"""),"angelc@canva.com")</f>
        <v>angelc@canva.com</v>
      </c>
      <c r="R2232" s="1" t="str">
        <f>IFERROR(__xludf.DUMMYFUNCTION("""COMPUTED_VALUE"""),"Angel Cabrera")</f>
        <v>Angel Cabrera</v>
      </c>
      <c r="S2232" s="1"/>
      <c r="T2232" s="1">
        <f>IFERROR(__xludf.DUMMYFUNCTION("""COMPUTED_VALUE"""),4.58)</f>
        <v>4.58</v>
      </c>
      <c r="U2232" s="2">
        <f>IFERROR(__xludf.DUMMYFUNCTION("""COMPUTED_VALUE"""),4.58)</f>
        <v>4.58</v>
      </c>
      <c r="V2232" s="1" t="str">
        <f>IFERROR(__xludf.DUMMYFUNCTION("""COMPUTED_VALUE"""),"Ann Dumlao")</f>
        <v>Ann Dumlao</v>
      </c>
      <c r="W2232" s="1" t="str">
        <f>IFERROR(__xludf.DUMMYFUNCTION("""COMPUTED_VALUE"""),"Admin Omni Support")</f>
        <v>Admin Omni Support</v>
      </c>
    </row>
    <row r="2233">
      <c r="O2233" s="1" t="str">
        <f>IFERROR(__xludf.DUMMYFUNCTION("""COMPUTED_VALUE"""),"2026 Feb")</f>
        <v>2026 Feb</v>
      </c>
      <c r="P2233" s="1" t="str">
        <f>IFERROR(__xludf.DUMMYFUNCTION("""COMPUTED_VALUE"""),"Segment-specific Support")</f>
        <v>Segment-specific Support</v>
      </c>
      <c r="Q2233" s="1" t="str">
        <f>IFERROR(__xludf.DUMMYFUNCTION("""COMPUTED_VALUE"""),"angelheart@canva.com")</f>
        <v>angelheart@canva.com</v>
      </c>
      <c r="R2233" s="1" t="str">
        <f>IFERROR(__xludf.DUMMYFUNCTION("""COMPUTED_VALUE"""),"Angel Heart Santos")</f>
        <v>Angel Heart Santos</v>
      </c>
      <c r="S2233" s="1"/>
      <c r="T2233" s="1">
        <f>IFERROR(__xludf.DUMMYFUNCTION("""COMPUTED_VALUE"""),1.0)</f>
        <v>1</v>
      </c>
      <c r="U2233" s="2">
        <f>IFERROR(__xludf.DUMMYFUNCTION("""COMPUTED_VALUE"""),1.0)</f>
        <v>1</v>
      </c>
      <c r="V2233" s="1" t="str">
        <f>IFERROR(__xludf.DUMMYFUNCTION("""COMPUTED_VALUE"""),"Jonathan Dimaculangan")</f>
        <v>Jonathan Dimaculangan</v>
      </c>
      <c r="W2233" s="1" t="str">
        <f>IFERROR(__xludf.DUMMYFUNCTION("""COMPUTED_VALUE"""),"Flourish Support")</f>
        <v>Flourish Support</v>
      </c>
    </row>
    <row r="2234">
      <c r="O2234" s="1" t="str">
        <f>IFERROR(__xludf.DUMMYFUNCTION("""COMPUTED_VALUE"""),"2026 Feb")</f>
        <v>2026 Feb</v>
      </c>
      <c r="P2234" s="1" t="str">
        <f>IFERROR(__xludf.DUMMYFUNCTION("""COMPUTED_VALUE"""),"Core Product Support")</f>
        <v>Core Product Support</v>
      </c>
      <c r="Q2234" s="1" t="str">
        <f>IFERROR(__xludf.DUMMYFUNCTION("""COMPUTED_VALUE"""),"angelm@canva.com")</f>
        <v>angelm@canva.com</v>
      </c>
      <c r="R2234" s="1" t="str">
        <f>IFERROR(__xludf.DUMMYFUNCTION("""COMPUTED_VALUE"""),"Angel Medina")</f>
        <v>Angel Medina</v>
      </c>
      <c r="S2234" s="1"/>
      <c r="T2234" s="1">
        <f>IFERROR(__xludf.DUMMYFUNCTION("""COMPUTED_VALUE"""),6.75)</f>
        <v>6.75</v>
      </c>
      <c r="U2234" s="2">
        <f>IFERROR(__xludf.DUMMYFUNCTION("""COMPUTED_VALUE"""),6.75)</f>
        <v>6.75</v>
      </c>
      <c r="V2234" s="1" t="str">
        <f>IFERROR(__xludf.DUMMYFUNCTION("""COMPUTED_VALUE"""),"Ellaine Estayo")</f>
        <v>Ellaine Estayo</v>
      </c>
      <c r="W2234" s="1" t="str">
        <f>IFERROR(__xludf.DUMMYFUNCTION("""COMPUTED_VALUE"""),"Core Product Support Escalation Team")</f>
        <v>Core Product Support Escalation Team</v>
      </c>
    </row>
    <row r="2235">
      <c r="O2235" s="1" t="str">
        <f>IFERROR(__xludf.DUMMYFUNCTION("""COMPUTED_VALUE"""),"2026 Feb")</f>
        <v>2026 Feb</v>
      </c>
      <c r="P2235" s="1" t="str">
        <f>IFERROR(__xludf.DUMMYFUNCTION("""COMPUTED_VALUE"""),"Print Support")</f>
        <v>Print Support</v>
      </c>
      <c r="Q2235" s="1" t="str">
        <f>IFERROR(__xludf.DUMMYFUNCTION("""COMPUTED_VALUE"""),"angelf@canva.com")</f>
        <v>angelf@canva.com</v>
      </c>
      <c r="R2235" s="1" t="str">
        <f>IFERROR(__xludf.DUMMYFUNCTION("""COMPUTED_VALUE"""),"Angel Merilleno")</f>
        <v>Angel Merilleno</v>
      </c>
      <c r="S2235" s="1"/>
      <c r="T2235" s="1">
        <f>IFERROR(__xludf.DUMMYFUNCTION("""COMPUTED_VALUE"""),11.82)</f>
        <v>11.82</v>
      </c>
      <c r="U2235" s="2">
        <f>IFERROR(__xludf.DUMMYFUNCTION("""COMPUTED_VALUE"""),11.82)</f>
        <v>11.82</v>
      </c>
      <c r="V2235" s="1" t="str">
        <f>IFERROR(__xludf.DUMMYFUNCTION("""COMPUTED_VALUE"""),"Louise Dianne Estrella")</f>
        <v>Louise Dianne Estrella</v>
      </c>
      <c r="W2235" s="1" t="str">
        <f>IFERROR(__xludf.DUMMYFUNCTION("""COMPUTED_VALUE"""),"Print Support PH")</f>
        <v>Print Support PH</v>
      </c>
    </row>
    <row r="2236">
      <c r="O2236" s="1" t="str">
        <f>IFERROR(__xludf.DUMMYFUNCTION("""COMPUTED_VALUE"""),"2026 Feb")</f>
        <v>2026 Feb</v>
      </c>
      <c r="P2236" s="1" t="str">
        <f>IFERROR(__xludf.DUMMYFUNCTION("""COMPUTED_VALUE"""),"Core Product Support")</f>
        <v>Core Product Support</v>
      </c>
      <c r="Q2236" s="1" t="str">
        <f>IFERROR(__xludf.DUMMYFUNCTION("""COMPUTED_VALUE"""),"angelic@canva.com")</f>
        <v>angelic@canva.com</v>
      </c>
      <c r="R2236" s="1" t="str">
        <f>IFERROR(__xludf.DUMMYFUNCTION("""COMPUTED_VALUE"""),"Angel Ramas")</f>
        <v>Angel Ramas</v>
      </c>
      <c r="S2236" s="1">
        <f>IFERROR(__xludf.DUMMYFUNCTION("""COMPUTED_VALUE"""),0.5)</f>
        <v>0.5</v>
      </c>
      <c r="T2236" s="1">
        <f>IFERROR(__xludf.DUMMYFUNCTION("""COMPUTED_VALUE"""),15.0)</f>
        <v>15</v>
      </c>
      <c r="U2236" s="2">
        <f>IFERROR(__xludf.DUMMYFUNCTION("""COMPUTED_VALUE"""),15.5)</f>
        <v>15.5</v>
      </c>
      <c r="V2236" s="1" t="str">
        <f>IFERROR(__xludf.DUMMYFUNCTION("""COMPUTED_VALUE"""),"Marie Mordeno")</f>
        <v>Marie Mordeno</v>
      </c>
      <c r="W2236" s="1" t="str">
        <f>IFERROR(__xludf.DUMMYFUNCTION("""COMPUTED_VALUE"""),"Advanced Billing &amp; Subscriptions")</f>
        <v>Advanced Billing &amp; Subscriptions</v>
      </c>
    </row>
    <row r="2237">
      <c r="O2237" s="1" t="str">
        <f>IFERROR(__xludf.DUMMYFUNCTION("""COMPUTED_VALUE"""),"2026 Feb")</f>
        <v>2026 Feb</v>
      </c>
      <c r="P2237" s="1" t="str">
        <f>IFERROR(__xludf.DUMMYFUNCTION("""COMPUTED_VALUE"""),"Segment-specific Support")</f>
        <v>Segment-specific Support</v>
      </c>
      <c r="Q2237" s="1" t="str">
        <f>IFERROR(__xludf.DUMMYFUNCTION("""COMPUTED_VALUE"""),"adflora@canva.com")</f>
        <v>adflora@canva.com</v>
      </c>
      <c r="R2237" s="1" t="str">
        <f>IFERROR(__xludf.DUMMYFUNCTION("""COMPUTED_VALUE"""),"Angela Flora")</f>
        <v>Angela Flora</v>
      </c>
      <c r="S2237" s="1"/>
      <c r="T2237" s="1">
        <f>IFERROR(__xludf.DUMMYFUNCTION("""COMPUTED_VALUE"""),47.25)</f>
        <v>47.25</v>
      </c>
      <c r="U2237" s="2">
        <f>IFERROR(__xludf.DUMMYFUNCTION("""COMPUTED_VALUE"""),47.25)</f>
        <v>47.25</v>
      </c>
      <c r="V2237" s="1" t="str">
        <f>IFERROR(__xludf.DUMMYFUNCTION("""COMPUTED_VALUE"""),"Gucci Nava")</f>
        <v>Gucci Nava</v>
      </c>
      <c r="W2237" s="1" t="str">
        <f>IFERROR(__xludf.DUMMYFUNCTION("""COMPUTED_VALUE"""),"Print Support PH")</f>
        <v>Print Support PH</v>
      </c>
    </row>
    <row r="2238">
      <c r="O2238" s="1" t="str">
        <f>IFERROR(__xludf.DUMMYFUNCTION("""COMPUTED_VALUE"""),"2026 Feb")</f>
        <v>2026 Feb</v>
      </c>
      <c r="P2238" s="1" t="str">
        <f>IFERROR(__xludf.DUMMYFUNCTION("""COMPUTED_VALUE"""),"Core Product Support")</f>
        <v>Core Product Support</v>
      </c>
      <c r="Q2238" s="1" t="str">
        <f>IFERROR(__xludf.DUMMYFUNCTION("""COMPUTED_VALUE"""),"annaalberto@canva.com")</f>
        <v>annaalberto@canva.com</v>
      </c>
      <c r="R2238" s="1" t="str">
        <f>IFERROR(__xludf.DUMMYFUNCTION("""COMPUTED_VALUE"""),"Anna Alberto-Felipe")</f>
        <v>Anna Alberto-Felipe</v>
      </c>
      <c r="S2238" s="1"/>
      <c r="T2238" s="1">
        <f>IFERROR(__xludf.DUMMYFUNCTION("""COMPUTED_VALUE"""),12.97)</f>
        <v>12.97</v>
      </c>
      <c r="U2238" s="2">
        <f>IFERROR(__xludf.DUMMYFUNCTION("""COMPUTED_VALUE"""),12.97)</f>
        <v>12.97</v>
      </c>
      <c r="V2238" s="1" t="str">
        <f>IFERROR(__xludf.DUMMYFUNCTION("""COMPUTED_VALUE"""),"Jahmie Mae Barrameda")</f>
        <v>Jahmie Mae Barrameda</v>
      </c>
      <c r="W2238" s="1" t="str">
        <f>IFERROR(__xludf.DUMMYFUNCTION("""COMPUTED_VALUE"""),"Advanced Billing &amp; Subscriptions")</f>
        <v>Advanced Billing &amp; Subscriptions</v>
      </c>
    </row>
    <row r="2239">
      <c r="O2239" s="1" t="str">
        <f>IFERROR(__xludf.DUMMYFUNCTION("""COMPUTED_VALUE"""),"2026 Feb")</f>
        <v>2026 Feb</v>
      </c>
      <c r="P2239" s="1" t="str">
        <f>IFERROR(__xludf.DUMMYFUNCTION("""COMPUTED_VALUE"""),"Print Support")</f>
        <v>Print Support</v>
      </c>
      <c r="Q2239" s="1" t="str">
        <f>IFERROR(__xludf.DUMMYFUNCTION("""COMPUTED_VALUE"""),"arcelie@canva.com")</f>
        <v>arcelie@canva.com</v>
      </c>
      <c r="R2239" s="1" t="str">
        <f>IFERROR(__xludf.DUMMYFUNCTION("""COMPUTED_VALUE"""),"Arcie San Pedro")</f>
        <v>Arcie San Pedro</v>
      </c>
      <c r="S2239" s="1"/>
      <c r="T2239" s="1">
        <f>IFERROR(__xludf.DUMMYFUNCTION("""COMPUTED_VALUE"""),10.75)</f>
        <v>10.75</v>
      </c>
      <c r="U2239" s="2">
        <f>IFERROR(__xludf.DUMMYFUNCTION("""COMPUTED_VALUE"""),10.75)</f>
        <v>10.75</v>
      </c>
      <c r="V2239" s="1" t="str">
        <f>IFERROR(__xludf.DUMMYFUNCTION("""COMPUTED_VALUE"""),"Rae Erlano")</f>
        <v>Rae Erlano</v>
      </c>
      <c r="W2239" s="1" t="str">
        <f>IFERROR(__xludf.DUMMYFUNCTION("""COMPUTED_VALUE"""),"Print Support PH")</f>
        <v>Print Support PH</v>
      </c>
    </row>
    <row r="2240">
      <c r="O2240" s="1" t="str">
        <f>IFERROR(__xludf.DUMMYFUNCTION("""COMPUTED_VALUE"""),"2026 Feb")</f>
        <v>2026 Feb</v>
      </c>
      <c r="P2240" s="1" t="str">
        <f>IFERROR(__xludf.DUMMYFUNCTION("""COMPUTED_VALUE"""),"Print Support")</f>
        <v>Print Support</v>
      </c>
      <c r="Q2240" s="1" t="str">
        <f>IFERROR(__xludf.DUMMYFUNCTION("""COMPUTED_VALUE"""),"arjane@canva.com")</f>
        <v>arjane@canva.com</v>
      </c>
      <c r="R2240" s="1" t="str">
        <f>IFERROR(__xludf.DUMMYFUNCTION("""COMPUTED_VALUE"""),"Arjane Oliva")</f>
        <v>Arjane Oliva</v>
      </c>
      <c r="S2240" s="1"/>
      <c r="T2240" s="1">
        <f>IFERROR(__xludf.DUMMYFUNCTION("""COMPUTED_VALUE"""),1.0)</f>
        <v>1</v>
      </c>
      <c r="U2240" s="2">
        <f>IFERROR(__xludf.DUMMYFUNCTION("""COMPUTED_VALUE"""),1.0)</f>
        <v>1</v>
      </c>
      <c r="V2240" s="1" t="str">
        <f>IFERROR(__xludf.DUMMYFUNCTION("""COMPUTED_VALUE"""),"Rei De Jesus")</f>
        <v>Rei De Jesus</v>
      </c>
      <c r="W2240" s="1" t="str">
        <f>IFERROR(__xludf.DUMMYFUNCTION("""COMPUTED_VALUE"""),"Print Design Support")</f>
        <v>Print Design Support</v>
      </c>
    </row>
    <row r="2241">
      <c r="O2241" s="1" t="str">
        <f>IFERROR(__xludf.DUMMYFUNCTION("""COMPUTED_VALUE"""),"2026 Feb")</f>
        <v>2026 Feb</v>
      </c>
      <c r="P2241" s="1" t="str">
        <f>IFERROR(__xludf.DUMMYFUNCTION("""COMPUTED_VALUE"""),"High Sensitivity Support")</f>
        <v>High Sensitivity Support</v>
      </c>
      <c r="Q2241" s="1" t="str">
        <f>IFERROR(__xludf.DUMMYFUNCTION("""COMPUTED_VALUE"""),"arodes@canva.com")</f>
        <v>arodes@canva.com</v>
      </c>
      <c r="R2241" s="1" t="str">
        <f>IFERROR(__xludf.DUMMYFUNCTION("""COMPUTED_VALUE"""),"Arriane Rodes")</f>
        <v>Arriane Rodes</v>
      </c>
      <c r="S2241" s="1"/>
      <c r="T2241" s="1">
        <f>IFERROR(__xludf.DUMMYFUNCTION("""COMPUTED_VALUE"""),1.75)</f>
        <v>1.75</v>
      </c>
      <c r="U2241" s="2">
        <f>IFERROR(__xludf.DUMMYFUNCTION("""COMPUTED_VALUE"""),1.75)</f>
        <v>1.75</v>
      </c>
      <c r="V2241" s="1" t="str">
        <f>IFERROR(__xludf.DUMMYFUNCTION("""COMPUTED_VALUE"""),"Xandy Azarcon")</f>
        <v>Xandy Azarcon</v>
      </c>
      <c r="W2241" s="1" t="str">
        <f>IFERROR(__xludf.DUMMYFUNCTION("""COMPUTED_VALUE"""),"High Sensitivity Support PH")</f>
        <v>High Sensitivity Support PH</v>
      </c>
    </row>
    <row r="2242">
      <c r="O2242" s="1" t="str">
        <f>IFERROR(__xludf.DUMMYFUNCTION("""COMPUTED_VALUE"""),"2026 Feb")</f>
        <v>2026 Feb</v>
      </c>
      <c r="P2242" s="1" t="str">
        <f>IFERROR(__xludf.DUMMYFUNCTION("""COMPUTED_VALUE"""),"Admin Support")</f>
        <v>Admin Support</v>
      </c>
      <c r="Q2242" s="1" t="str">
        <f>IFERROR(__xludf.DUMMYFUNCTION("""COMPUTED_VALUE"""),"ashli@canva.com")</f>
        <v>ashli@canva.com</v>
      </c>
      <c r="R2242" s="1" t="str">
        <f>IFERROR(__xludf.DUMMYFUNCTION("""COMPUTED_VALUE"""),"Ashli Hanson")</f>
        <v>Ashli Hanson</v>
      </c>
      <c r="S2242" s="1"/>
      <c r="T2242" s="1">
        <f>IFERROR(__xludf.DUMMYFUNCTION("""COMPUTED_VALUE"""),1.0)</f>
        <v>1</v>
      </c>
      <c r="U2242" s="2">
        <f>IFERROR(__xludf.DUMMYFUNCTION("""COMPUTED_VALUE"""),1.0)</f>
        <v>1</v>
      </c>
      <c r="V2242" s="1" t="str">
        <f>IFERROR(__xludf.DUMMYFUNCTION("""COMPUTED_VALUE"""),"Nate Vela")</f>
        <v>Nate Vela</v>
      </c>
      <c r="W2242" s="1" t="str">
        <f>IFERROR(__xludf.DUMMYFUNCTION("""COMPUTED_VALUE"""),"Admin Support NA")</f>
        <v>Admin Support NA</v>
      </c>
    </row>
    <row r="2243">
      <c r="O2243" s="1" t="str">
        <f>IFERROR(__xludf.DUMMYFUNCTION("""COMPUTED_VALUE"""),"2026 Feb")</f>
        <v>2026 Feb</v>
      </c>
      <c r="P2243" s="1" t="str">
        <f>IFERROR(__xludf.DUMMYFUNCTION("""COMPUTED_VALUE"""),"High Sensitivity Support")</f>
        <v>High Sensitivity Support</v>
      </c>
      <c r="Q2243" s="1" t="str">
        <f>IFERROR(__xludf.DUMMYFUNCTION("""COMPUTED_VALUE"""),"aubrey@canva.com")</f>
        <v>aubrey@canva.com</v>
      </c>
      <c r="R2243" s="1" t="str">
        <f>IFERROR(__xludf.DUMMYFUNCTION("""COMPUTED_VALUE"""),"Aubrey Jasme - Maternity Leave until Apr 17")</f>
        <v>Aubrey Jasme - Maternity Leave until Apr 17</v>
      </c>
      <c r="S2243" s="1"/>
      <c r="T2243" s="1">
        <f>IFERROR(__xludf.DUMMYFUNCTION("""COMPUTED_VALUE"""),2.0)</f>
        <v>2</v>
      </c>
      <c r="U2243" s="2">
        <f>IFERROR(__xludf.DUMMYFUNCTION("""COMPUTED_VALUE"""),2.0)</f>
        <v>2</v>
      </c>
      <c r="V2243" s="1" t="str">
        <f>IFERROR(__xludf.DUMMYFUNCTION("""COMPUTED_VALUE"""),"Rex Villamor")</f>
        <v>Rex Villamor</v>
      </c>
      <c r="W2243" s="1" t="str">
        <f>IFERROR(__xludf.DUMMYFUNCTION("""COMPUTED_VALUE"""),"High Sensitivity Support PH")</f>
        <v>High Sensitivity Support PH</v>
      </c>
    </row>
    <row r="2244">
      <c r="O2244" s="1" t="str">
        <f>IFERROR(__xludf.DUMMYFUNCTION("""COMPUTED_VALUE"""),"2026 Feb")</f>
        <v>2026 Feb</v>
      </c>
      <c r="P2244" s="1" t="str">
        <f>IFERROR(__xludf.DUMMYFUNCTION("""COMPUTED_VALUE"""),"Print Support")</f>
        <v>Print Support</v>
      </c>
      <c r="Q2244" s="1" t="str">
        <f>IFERROR(__xludf.DUMMYFUNCTION("""COMPUTED_VALUE"""),"jborreros@canva.com")</f>
        <v>jborreros@canva.com</v>
      </c>
      <c r="R2244" s="1" t="str">
        <f>IFERROR(__xludf.DUMMYFUNCTION("""COMPUTED_VALUE"""),"Bea Borreros")</f>
        <v>Bea Borreros</v>
      </c>
      <c r="S2244" s="1"/>
      <c r="T2244" s="1">
        <f>IFERROR(__xludf.DUMMYFUNCTION("""COMPUTED_VALUE"""),8.25)</f>
        <v>8.25</v>
      </c>
      <c r="U2244" s="2">
        <f>IFERROR(__xludf.DUMMYFUNCTION("""COMPUTED_VALUE"""),8.25)</f>
        <v>8.25</v>
      </c>
      <c r="V2244" s="1" t="str">
        <f>IFERROR(__xludf.DUMMYFUNCTION("""COMPUTED_VALUE"""),"Memae Faustino")</f>
        <v>Memae Faustino</v>
      </c>
      <c r="W2244" s="1" t="str">
        <f>IFERROR(__xludf.DUMMYFUNCTION("""COMPUTED_VALUE"""),"Print Support PH")</f>
        <v>Print Support PH</v>
      </c>
    </row>
    <row r="2245">
      <c r="O2245" s="1" t="str">
        <f>IFERROR(__xludf.DUMMYFUNCTION("""COMPUTED_VALUE"""),"2026 Feb")</f>
        <v>2026 Feb</v>
      </c>
      <c r="P2245" s="1" t="str">
        <f>IFERROR(__xludf.DUMMYFUNCTION("""COMPUTED_VALUE"""),"Print Support")</f>
        <v>Print Support</v>
      </c>
      <c r="Q2245" s="1" t="str">
        <f>IFERROR(__xludf.DUMMYFUNCTION("""COMPUTED_VALUE"""),"bea@canva.com")</f>
        <v>bea@canva.com</v>
      </c>
      <c r="R2245" s="1" t="str">
        <f>IFERROR(__xludf.DUMMYFUNCTION("""COMPUTED_VALUE"""),"Bea Mendoza")</f>
        <v>Bea Mendoza</v>
      </c>
      <c r="S2245" s="1"/>
      <c r="T2245" s="1">
        <f>IFERROR(__xludf.DUMMYFUNCTION("""COMPUTED_VALUE"""),1.33)</f>
        <v>1.33</v>
      </c>
      <c r="U2245" s="2">
        <f>IFERROR(__xludf.DUMMYFUNCTION("""COMPUTED_VALUE"""),1.33)</f>
        <v>1.33</v>
      </c>
      <c r="V2245" s="1" t="str">
        <f>IFERROR(__xludf.DUMMYFUNCTION("""COMPUTED_VALUE"""),"Aliza Dote")</f>
        <v>Aliza Dote</v>
      </c>
      <c r="W2245" s="1" t="str">
        <f>IFERROR(__xludf.DUMMYFUNCTION("""COMPUTED_VALUE"""),"Print Design Support")</f>
        <v>Print Design Support</v>
      </c>
    </row>
    <row r="2246">
      <c r="O2246" s="1" t="str">
        <f>IFERROR(__xludf.DUMMYFUNCTION("""COMPUTED_VALUE"""),"2026 Feb")</f>
        <v>2026 Feb</v>
      </c>
      <c r="P2246" s="1" t="str">
        <f>IFERROR(__xludf.DUMMYFUNCTION("""COMPUTED_VALUE"""),"Core Product Support")</f>
        <v>Core Product Support</v>
      </c>
      <c r="Q2246" s="1" t="str">
        <f>IFERROR(__xludf.DUMMYFUNCTION("""COMPUTED_VALUE"""),"beanyvince@canva.com")</f>
        <v>beanyvince@canva.com</v>
      </c>
      <c r="R2246" s="1" t="str">
        <f>IFERROR(__xludf.DUMMYFUNCTION("""COMPUTED_VALUE"""),"Beany Rodriguez")</f>
        <v>Beany Rodriguez</v>
      </c>
      <c r="S2246" s="1"/>
      <c r="T2246" s="1">
        <f>IFERROR(__xludf.DUMMYFUNCTION("""COMPUTED_VALUE"""),11.75)</f>
        <v>11.75</v>
      </c>
      <c r="U2246" s="2">
        <f>IFERROR(__xludf.DUMMYFUNCTION("""COMPUTED_VALUE"""),11.75)</f>
        <v>11.75</v>
      </c>
      <c r="V2246" s="1" t="str">
        <f>IFERROR(__xludf.DUMMYFUNCTION("""COMPUTED_VALUE"""),"Cate Velasco")</f>
        <v>Cate Velasco</v>
      </c>
      <c r="W2246" s="1" t="str">
        <f>IFERROR(__xludf.DUMMYFUNCTION("""COMPUTED_VALUE"""),"Advanced Product Support")</f>
        <v>Advanced Product Support</v>
      </c>
    </row>
    <row r="2247">
      <c r="O2247" s="1" t="str">
        <f>IFERROR(__xludf.DUMMYFUNCTION("""COMPUTED_VALUE"""),"2026 Feb")</f>
        <v>2026 Feb</v>
      </c>
      <c r="P2247" s="1" t="str">
        <f>IFERROR(__xludf.DUMMYFUNCTION("""COMPUTED_VALUE"""),"Print Support")</f>
        <v>Print Support</v>
      </c>
      <c r="Q2247" s="1" t="str">
        <f>IFERROR(__xludf.DUMMYFUNCTION("""COMPUTED_VALUE"""),"bembiellanza@canva.com")</f>
        <v>bembiellanza@canva.com</v>
      </c>
      <c r="R2247" s="1" t="str">
        <f>IFERROR(__xludf.DUMMYFUNCTION("""COMPUTED_VALUE"""),"Bembie Llanza")</f>
        <v>Bembie Llanza</v>
      </c>
      <c r="S2247" s="1"/>
      <c r="T2247" s="1">
        <f>IFERROR(__xludf.DUMMYFUNCTION("""COMPUTED_VALUE"""),9.2)</f>
        <v>9.2</v>
      </c>
      <c r="U2247" s="2">
        <f>IFERROR(__xludf.DUMMYFUNCTION("""COMPUTED_VALUE"""),9.2)</f>
        <v>9.2</v>
      </c>
      <c r="V2247" s="1" t="str">
        <f>IFERROR(__xludf.DUMMYFUNCTION("""COMPUTED_VALUE"""),"Althea Mercado")</f>
        <v>Althea Mercado</v>
      </c>
      <c r="W2247" s="1" t="str">
        <f>IFERROR(__xludf.DUMMYFUNCTION("""COMPUTED_VALUE"""),"Print Support PH")</f>
        <v>Print Support PH</v>
      </c>
    </row>
    <row r="2248">
      <c r="O2248" s="1" t="str">
        <f>IFERROR(__xludf.DUMMYFUNCTION("""COMPUTED_VALUE"""),"2026 Feb")</f>
        <v>2026 Feb</v>
      </c>
      <c r="P2248" s="1" t="str">
        <f>IFERROR(__xludf.DUMMYFUNCTION("""COMPUTED_VALUE"""),"Segment-specific Support")</f>
        <v>Segment-specific Support</v>
      </c>
      <c r="Q2248" s="1" t="str">
        <f>IFERROR(__xludf.DUMMYFUNCTION("""COMPUTED_VALUE"""),"bernice@canva.com")</f>
        <v>bernice@canva.com</v>
      </c>
      <c r="R2248" s="1" t="str">
        <f>IFERROR(__xludf.DUMMYFUNCTION("""COMPUTED_VALUE"""),"Bernice Talosig")</f>
        <v>Bernice Talosig</v>
      </c>
      <c r="S2248" s="1"/>
      <c r="T2248" s="1">
        <f>IFERROR(__xludf.DUMMYFUNCTION("""COMPUTED_VALUE"""),1.33)</f>
        <v>1.33</v>
      </c>
      <c r="U2248" s="2">
        <f>IFERROR(__xludf.DUMMYFUNCTION("""COMPUTED_VALUE"""),1.33)</f>
        <v>1.33</v>
      </c>
      <c r="V2248" s="1" t="str">
        <f>IFERROR(__xludf.DUMMYFUNCTION("""COMPUTED_VALUE"""),"Gucci Nava")</f>
        <v>Gucci Nava</v>
      </c>
      <c r="W2248" s="1" t="str">
        <f>IFERROR(__xludf.DUMMYFUNCTION("""COMPUTED_VALUE"""),"Affinity Support")</f>
        <v>Affinity Support</v>
      </c>
    </row>
    <row r="2249">
      <c r="O2249" s="1" t="str">
        <f>IFERROR(__xludf.DUMMYFUNCTION("""COMPUTED_VALUE"""),"2026 Feb")</f>
        <v>2026 Feb</v>
      </c>
      <c r="P2249" s="1" t="str">
        <f>IFERROR(__xludf.DUMMYFUNCTION("""COMPUTED_VALUE"""),"Core Product Support")</f>
        <v>Core Product Support</v>
      </c>
      <c r="Q2249" s="1" t="str">
        <f>IFERROR(__xludf.DUMMYFUNCTION("""COMPUTED_VALUE"""),"beverlymarie@canva.com")</f>
        <v>beverlymarie@canva.com</v>
      </c>
      <c r="R2249" s="1" t="str">
        <f>IFERROR(__xludf.DUMMYFUNCTION("""COMPUTED_VALUE"""),"Bev Dacanay")</f>
        <v>Bev Dacanay</v>
      </c>
      <c r="S2249" s="1">
        <f>IFERROR(__xludf.DUMMYFUNCTION("""COMPUTED_VALUE"""),0.03)</f>
        <v>0.03</v>
      </c>
      <c r="T2249" s="1">
        <f>IFERROR(__xludf.DUMMYFUNCTION("""COMPUTED_VALUE"""),11.65)</f>
        <v>11.65</v>
      </c>
      <c r="U2249" s="2">
        <f>IFERROR(__xludf.DUMMYFUNCTION("""COMPUTED_VALUE"""),11.68)</f>
        <v>11.68</v>
      </c>
      <c r="V2249" s="1" t="str">
        <f>IFERROR(__xludf.DUMMYFUNCTION("""COMPUTED_VALUE"""),"Ayza Marie Pascual")</f>
        <v>Ayza Marie Pascual</v>
      </c>
      <c r="W2249" s="1" t="str">
        <f>IFERROR(__xludf.DUMMYFUNCTION("""COMPUTED_VALUE"""),"Advanced Billing &amp; Subscriptions")</f>
        <v>Advanced Billing &amp; Subscriptions</v>
      </c>
    </row>
    <row r="2250">
      <c r="O2250" s="1" t="str">
        <f>IFERROR(__xludf.DUMMYFUNCTION("""COMPUTED_VALUE"""),"2026 Feb")</f>
        <v>2026 Feb</v>
      </c>
      <c r="P2250" s="1" t="str">
        <f>IFERROR(__xludf.DUMMYFUNCTION("""COMPUTED_VALUE"""),"Admin Support")</f>
        <v>Admin Support</v>
      </c>
      <c r="Q2250" s="1" t="str">
        <f>IFERROR(__xludf.DUMMYFUNCTION("""COMPUTED_VALUE"""),"bia@canva.com")</f>
        <v>bia@canva.com</v>
      </c>
      <c r="R2250" s="1" t="str">
        <f>IFERROR(__xludf.DUMMYFUNCTION("""COMPUTED_VALUE"""),"Bianca Santiago")</f>
        <v>Bianca Santiago</v>
      </c>
      <c r="S2250" s="1"/>
      <c r="T2250" s="1">
        <f>IFERROR(__xludf.DUMMYFUNCTION("""COMPUTED_VALUE"""),1.0)</f>
        <v>1</v>
      </c>
      <c r="U2250" s="2">
        <f>IFERROR(__xludf.DUMMYFUNCTION("""COMPUTED_VALUE"""),1.0)</f>
        <v>1</v>
      </c>
      <c r="V2250" s="1" t="str">
        <f>IFERROR(__xludf.DUMMYFUNCTION("""COMPUTED_VALUE"""),"Karla Mananghaya")</f>
        <v>Karla Mananghaya</v>
      </c>
      <c r="W2250" s="1" t="str">
        <f>IFERROR(__xludf.DUMMYFUNCTION("""COMPUTED_VALUE"""),"Admin Support Service Escalation Team")</f>
        <v>Admin Support Service Escalation Team</v>
      </c>
    </row>
    <row r="2251">
      <c r="O2251" s="1" t="str">
        <f>IFERROR(__xludf.DUMMYFUNCTION("""COMPUTED_VALUE"""),"2026 Feb")</f>
        <v>2026 Feb</v>
      </c>
      <c r="P2251" s="1" t="str">
        <f>IFERROR(__xludf.DUMMYFUNCTION("""COMPUTED_VALUE"""),"Core Product Support")</f>
        <v>Core Product Support</v>
      </c>
      <c r="Q2251" s="1" t="str">
        <f>IFERROR(__xludf.DUMMYFUNCTION("""COMPUTED_VALUE"""),"bryanb@canva.com")</f>
        <v>bryanb@canva.com</v>
      </c>
      <c r="R2251" s="1" t="str">
        <f>IFERROR(__xludf.DUMMYFUNCTION("""COMPUTED_VALUE"""),"Bryan Lemuel Britanico")</f>
        <v>Bryan Lemuel Britanico</v>
      </c>
      <c r="S2251" s="1">
        <f>IFERROR(__xludf.DUMMYFUNCTION("""COMPUTED_VALUE"""),0.5)</f>
        <v>0.5</v>
      </c>
      <c r="T2251" s="1">
        <f>IFERROR(__xludf.DUMMYFUNCTION("""COMPUTED_VALUE"""),6.75)</f>
        <v>6.75</v>
      </c>
      <c r="U2251" s="2">
        <f>IFERROR(__xludf.DUMMYFUNCTION("""COMPUTED_VALUE"""),7.25)</f>
        <v>7.25</v>
      </c>
      <c r="V2251" s="1" t="str">
        <f>IFERROR(__xludf.DUMMYFUNCTION("""COMPUTED_VALUE"""),"Jahmie Mae Barrameda")</f>
        <v>Jahmie Mae Barrameda</v>
      </c>
      <c r="W2251" s="1" t="str">
        <f>IFERROR(__xludf.DUMMYFUNCTION("""COMPUTED_VALUE"""),"Advanced Billing &amp; Subscriptions")</f>
        <v>Advanced Billing &amp; Subscriptions</v>
      </c>
    </row>
    <row r="2252">
      <c r="O2252" s="1" t="str">
        <f>IFERROR(__xludf.DUMMYFUNCTION("""COMPUTED_VALUE"""),"2026 Feb")</f>
        <v>2026 Feb</v>
      </c>
      <c r="P2252" s="1" t="str">
        <f>IFERROR(__xludf.DUMMYFUNCTION("""COMPUTED_VALUE"""),"Print Support")</f>
        <v>Print Support</v>
      </c>
      <c r="Q2252" s="1" t="str">
        <f>IFERROR(__xludf.DUMMYFUNCTION("""COMPUTED_VALUE"""),"caesar@canva.com")</f>
        <v>caesar@canva.com</v>
      </c>
      <c r="R2252" s="1" t="str">
        <f>IFERROR(__xludf.DUMMYFUNCTION("""COMPUTED_VALUE"""),"Caesar Bitudio")</f>
        <v>Caesar Bitudio</v>
      </c>
      <c r="S2252" s="1"/>
      <c r="T2252" s="1">
        <f>IFERROR(__xludf.DUMMYFUNCTION("""COMPUTED_VALUE"""),1.0)</f>
        <v>1</v>
      </c>
      <c r="U2252" s="2">
        <f>IFERROR(__xludf.DUMMYFUNCTION("""COMPUTED_VALUE"""),1.0)</f>
        <v>1</v>
      </c>
      <c r="V2252" s="1" t="str">
        <f>IFERROR(__xludf.DUMMYFUNCTION("""COMPUTED_VALUE"""),"G-Anne Murillo")</f>
        <v>G-Anne Murillo</v>
      </c>
      <c r="W2252" s="1" t="str">
        <f>IFERROR(__xludf.DUMMYFUNCTION("""COMPUTED_VALUE"""),"Print Design Support")</f>
        <v>Print Design Support</v>
      </c>
    </row>
    <row r="2253">
      <c r="O2253" s="1" t="str">
        <f>IFERROR(__xludf.DUMMYFUNCTION("""COMPUTED_VALUE"""),"2026 Feb")</f>
        <v>2026 Feb</v>
      </c>
      <c r="P2253" s="1" t="str">
        <f>IFERROR(__xludf.DUMMYFUNCTION("""COMPUTED_VALUE"""),"Core Product Support")</f>
        <v>Core Product Support</v>
      </c>
      <c r="Q2253" s="1" t="str">
        <f>IFERROR(__xludf.DUMMYFUNCTION("""COMPUTED_VALUE"""),"cae@canva.com")</f>
        <v>cae@canva.com</v>
      </c>
      <c r="R2253" s="1" t="str">
        <f>IFERROR(__xludf.DUMMYFUNCTION("""COMPUTED_VALUE"""),"Caevee Dizon")</f>
        <v>Caevee Dizon</v>
      </c>
      <c r="S2253" s="1">
        <f>IFERROR(__xludf.DUMMYFUNCTION("""COMPUTED_VALUE"""),0.5)</f>
        <v>0.5</v>
      </c>
      <c r="T2253" s="1">
        <f>IFERROR(__xludf.DUMMYFUNCTION("""COMPUTED_VALUE"""),7.0)</f>
        <v>7</v>
      </c>
      <c r="U2253" s="2">
        <f>IFERROR(__xludf.DUMMYFUNCTION("""COMPUTED_VALUE"""),7.5)</f>
        <v>7.5</v>
      </c>
      <c r="V2253" s="1" t="str">
        <f>IFERROR(__xludf.DUMMYFUNCTION("""COMPUTED_VALUE"""),"Jahmie Mae Barrameda")</f>
        <v>Jahmie Mae Barrameda</v>
      </c>
      <c r="W2253" s="1" t="str">
        <f>IFERROR(__xludf.DUMMYFUNCTION("""COMPUTED_VALUE"""),"Advanced Billing &amp; Subscriptions")</f>
        <v>Advanced Billing &amp; Subscriptions</v>
      </c>
    </row>
    <row r="2254">
      <c r="O2254" s="1" t="str">
        <f>IFERROR(__xludf.DUMMYFUNCTION("""COMPUTED_VALUE"""),"2026 Feb")</f>
        <v>2026 Feb</v>
      </c>
      <c r="P2254" s="1" t="str">
        <f>IFERROR(__xludf.DUMMYFUNCTION("""COMPUTED_VALUE"""),"Admin Support")</f>
        <v>Admin Support</v>
      </c>
      <c r="Q2254" s="1" t="str">
        <f>IFERROR(__xludf.DUMMYFUNCTION("""COMPUTED_VALUE"""),"cbasilio@canva.com")</f>
        <v>cbasilio@canva.com</v>
      </c>
      <c r="R2254" s="1" t="str">
        <f>IFERROR(__xludf.DUMMYFUNCTION("""COMPUTED_VALUE"""),"Camille Basilio")</f>
        <v>Camille Basilio</v>
      </c>
      <c r="S2254" s="1"/>
      <c r="T2254" s="1">
        <f>IFERROR(__xludf.DUMMYFUNCTION("""COMPUTED_VALUE"""),12.5)</f>
        <v>12.5</v>
      </c>
      <c r="U2254" s="2">
        <f>IFERROR(__xludf.DUMMYFUNCTION("""COMPUTED_VALUE"""),12.5)</f>
        <v>12.5</v>
      </c>
      <c r="V2254" s="1" t="str">
        <f>IFERROR(__xludf.DUMMYFUNCTION("""COMPUTED_VALUE"""),"AL Suarez")</f>
        <v>AL Suarez</v>
      </c>
      <c r="W2254" s="1" t="str">
        <f>IFERROR(__xludf.DUMMYFUNCTION("""COMPUTED_VALUE"""),"Admin Direct Support")</f>
        <v>Admin Direct Support</v>
      </c>
    </row>
    <row r="2255">
      <c r="O2255" s="1" t="str">
        <f>IFERROR(__xludf.DUMMYFUNCTION("""COMPUTED_VALUE"""),"2026 Feb")</f>
        <v>2026 Feb</v>
      </c>
      <c r="P2255" s="1" t="str">
        <f>IFERROR(__xludf.DUMMYFUNCTION("""COMPUTED_VALUE"""),"Core Product Support")</f>
        <v>Core Product Support</v>
      </c>
      <c r="Q2255" s="1" t="str">
        <f>IFERROR(__xludf.DUMMYFUNCTION("""COMPUTED_VALUE"""),"camilleb@canva.com")</f>
        <v>camilleb@canva.com</v>
      </c>
      <c r="R2255" s="1" t="str">
        <f>IFERROR(__xludf.DUMMYFUNCTION("""COMPUTED_VALUE"""),"Camille Bucks")</f>
        <v>Camille Bucks</v>
      </c>
      <c r="S2255" s="1">
        <f>IFERROR(__xludf.DUMMYFUNCTION("""COMPUTED_VALUE"""),0.5)</f>
        <v>0.5</v>
      </c>
      <c r="T2255" s="1">
        <f>IFERROR(__xludf.DUMMYFUNCTION("""COMPUTED_VALUE"""),8.75)</f>
        <v>8.75</v>
      </c>
      <c r="U2255" s="2">
        <f>IFERROR(__xludf.DUMMYFUNCTION("""COMPUTED_VALUE"""),9.25)</f>
        <v>9.25</v>
      </c>
      <c r="V2255" s="1" t="str">
        <f>IFERROR(__xludf.DUMMYFUNCTION("""COMPUTED_VALUE"""),"Ellaine Estayo")</f>
        <v>Ellaine Estayo</v>
      </c>
      <c r="W2255" s="1" t="str">
        <f>IFERROR(__xludf.DUMMYFUNCTION("""COMPUTED_VALUE"""),"Core Product Support Escalation Team")</f>
        <v>Core Product Support Escalation Team</v>
      </c>
    </row>
    <row r="2256">
      <c r="O2256" s="1" t="str">
        <f>IFERROR(__xludf.DUMMYFUNCTION("""COMPUTED_VALUE"""),"2026 Feb")</f>
        <v>2026 Feb</v>
      </c>
      <c r="P2256" s="1" t="str">
        <f>IFERROR(__xludf.DUMMYFUNCTION("""COMPUTED_VALUE"""),"Admin Support")</f>
        <v>Admin Support</v>
      </c>
      <c r="Q2256" s="1" t="str">
        <f>IFERROR(__xludf.DUMMYFUNCTION("""COMPUTED_VALUE"""),"camille.n@canva.com")</f>
        <v>camille.n@canva.com</v>
      </c>
      <c r="R2256" s="1" t="str">
        <f>IFERROR(__xludf.DUMMYFUNCTION("""COMPUTED_VALUE"""),"Camille Neypes")</f>
        <v>Camille Neypes</v>
      </c>
      <c r="S2256" s="1"/>
      <c r="T2256" s="1">
        <f>IFERROR(__xludf.DUMMYFUNCTION("""COMPUTED_VALUE"""),4.0)</f>
        <v>4</v>
      </c>
      <c r="U2256" s="2">
        <f>IFERROR(__xludf.DUMMYFUNCTION("""COMPUTED_VALUE"""),4.0)</f>
        <v>4</v>
      </c>
      <c r="V2256" s="1" t="str">
        <f>IFERROR(__xludf.DUMMYFUNCTION("""COMPUTED_VALUE"""),"Kelden Laguting")</f>
        <v>Kelden Laguting</v>
      </c>
      <c r="W2256" s="1" t="str">
        <f>IFERROR(__xludf.DUMMYFUNCTION("""COMPUTED_VALUE"""),"Admin Omni Support")</f>
        <v>Admin Omni Support</v>
      </c>
    </row>
    <row r="2257">
      <c r="O2257" s="1" t="str">
        <f>IFERROR(__xludf.DUMMYFUNCTION("""COMPUTED_VALUE"""),"2026 Feb")</f>
        <v>2026 Feb</v>
      </c>
      <c r="P2257" s="1" t="str">
        <f>IFERROR(__xludf.DUMMYFUNCTION("""COMPUTED_VALUE"""),"Print Support")</f>
        <v>Print Support</v>
      </c>
      <c r="Q2257" s="1" t="str">
        <f>IFERROR(__xludf.DUMMYFUNCTION("""COMPUTED_VALUE"""),"cammy@canva.com")</f>
        <v>cammy@canva.com</v>
      </c>
      <c r="R2257" s="1" t="str">
        <f>IFERROR(__xludf.DUMMYFUNCTION("""COMPUTED_VALUE"""),"Camille Oriel")</f>
        <v>Camille Oriel</v>
      </c>
      <c r="S2257" s="1"/>
      <c r="T2257" s="1">
        <f>IFERROR(__xludf.DUMMYFUNCTION("""COMPUTED_VALUE"""),10.08)</f>
        <v>10.08</v>
      </c>
      <c r="U2257" s="2">
        <f>IFERROR(__xludf.DUMMYFUNCTION("""COMPUTED_VALUE"""),10.08)</f>
        <v>10.08</v>
      </c>
      <c r="V2257" s="1" t="str">
        <f>IFERROR(__xludf.DUMMYFUNCTION("""COMPUTED_VALUE"""),"Louise Dianne Estrella")</f>
        <v>Louise Dianne Estrella</v>
      </c>
      <c r="W2257" s="1" t="str">
        <f>IFERROR(__xludf.DUMMYFUNCTION("""COMPUTED_VALUE"""),"Print Support PH")</f>
        <v>Print Support PH</v>
      </c>
    </row>
    <row r="2258">
      <c r="O2258" s="1" t="str">
        <f>IFERROR(__xludf.DUMMYFUNCTION("""COMPUTED_VALUE"""),"2026 Feb")</f>
        <v>2026 Feb</v>
      </c>
      <c r="P2258" s="1" t="str">
        <f>IFERROR(__xludf.DUMMYFUNCTION("""COMPUTED_VALUE"""),"Admin Support")</f>
        <v>Admin Support</v>
      </c>
      <c r="Q2258" s="1" t="str">
        <f>IFERROR(__xludf.DUMMYFUNCTION("""COMPUTED_VALUE"""),"carloav@canva.com")</f>
        <v>carloav@canva.com</v>
      </c>
      <c r="R2258" s="1" t="str">
        <f>IFERROR(__xludf.DUMMYFUNCTION("""COMPUTED_VALUE"""),"Carlo Valentin")</f>
        <v>Carlo Valentin</v>
      </c>
      <c r="S2258" s="1"/>
      <c r="T2258" s="1">
        <f>IFERROR(__xludf.DUMMYFUNCTION("""COMPUTED_VALUE"""),3.33)</f>
        <v>3.33</v>
      </c>
      <c r="U2258" s="2">
        <f>IFERROR(__xludf.DUMMYFUNCTION("""COMPUTED_VALUE"""),3.33)</f>
        <v>3.33</v>
      </c>
      <c r="V2258" s="1" t="str">
        <f>IFERROR(__xludf.DUMMYFUNCTION("""COMPUTED_VALUE"""),"Kelden Laguting")</f>
        <v>Kelden Laguting</v>
      </c>
      <c r="W2258" s="1" t="str">
        <f>IFERROR(__xludf.DUMMYFUNCTION("""COMPUTED_VALUE"""),"Admin Omni Support")</f>
        <v>Admin Omni Support</v>
      </c>
    </row>
    <row r="2259">
      <c r="O2259" s="1" t="str">
        <f>IFERROR(__xludf.DUMMYFUNCTION("""COMPUTED_VALUE"""),"2026 Feb")</f>
        <v>2026 Feb</v>
      </c>
      <c r="P2259" s="1" t="str">
        <f>IFERROR(__xludf.DUMMYFUNCTION("""COMPUTED_VALUE"""),"Core Product Support")</f>
        <v>Core Product Support</v>
      </c>
      <c r="Q2259" s="1" t="str">
        <f>IFERROR(__xludf.DUMMYFUNCTION("""COMPUTED_VALUE"""),"carmeladc@canva.com")</f>
        <v>carmeladc@canva.com</v>
      </c>
      <c r="R2259" s="1" t="str">
        <f>IFERROR(__xludf.DUMMYFUNCTION("""COMPUTED_VALUE"""),"Carmela Dela Cruz")</f>
        <v>Carmela Dela Cruz</v>
      </c>
      <c r="S2259" s="1"/>
      <c r="T2259" s="1">
        <f>IFERROR(__xludf.DUMMYFUNCTION("""COMPUTED_VALUE"""),13.25)</f>
        <v>13.25</v>
      </c>
      <c r="U2259" s="2">
        <f>IFERROR(__xludf.DUMMYFUNCTION("""COMPUTED_VALUE"""),13.25)</f>
        <v>13.25</v>
      </c>
      <c r="V2259" s="1" t="str">
        <f>IFERROR(__xludf.DUMMYFUNCTION("""COMPUTED_VALUE"""),"Marie Mordeno")</f>
        <v>Marie Mordeno</v>
      </c>
      <c r="W2259" s="1" t="str">
        <f>IFERROR(__xludf.DUMMYFUNCTION("""COMPUTED_VALUE"""),"Advanced Billing &amp; Subscriptions")</f>
        <v>Advanced Billing &amp; Subscriptions</v>
      </c>
    </row>
    <row r="2260">
      <c r="O2260" s="1" t="str">
        <f>IFERROR(__xludf.DUMMYFUNCTION("""COMPUTED_VALUE"""),"2026 Feb")</f>
        <v>2026 Feb</v>
      </c>
      <c r="P2260" s="1" t="str">
        <f>IFERROR(__xludf.DUMMYFUNCTION("""COMPUTED_VALUE"""),"Print Support")</f>
        <v>Print Support</v>
      </c>
      <c r="Q2260" s="1" t="str">
        <f>IFERROR(__xludf.DUMMYFUNCTION("""COMPUTED_VALUE"""),"carms@canva.com")</f>
        <v>carms@canva.com</v>
      </c>
      <c r="R2260" s="1" t="str">
        <f>IFERROR(__xludf.DUMMYFUNCTION("""COMPUTED_VALUE"""),"Carms Merilles")</f>
        <v>Carms Merilles</v>
      </c>
      <c r="S2260" s="1"/>
      <c r="T2260" s="1">
        <f>IFERROR(__xludf.DUMMYFUNCTION("""COMPUTED_VALUE"""),2.5)</f>
        <v>2.5</v>
      </c>
      <c r="U2260" s="2">
        <f>IFERROR(__xludf.DUMMYFUNCTION("""COMPUTED_VALUE"""),2.5)</f>
        <v>2.5</v>
      </c>
      <c r="V2260" s="1" t="str">
        <f>IFERROR(__xludf.DUMMYFUNCTION("""COMPUTED_VALUE"""),"Gem Agoncillo")</f>
        <v>Gem Agoncillo</v>
      </c>
      <c r="W2260" s="1" t="str">
        <f>IFERROR(__xludf.DUMMYFUNCTION("""COMPUTED_VALUE"""),"Print Design Support")</f>
        <v>Print Design Support</v>
      </c>
    </row>
    <row r="2261">
      <c r="O2261" s="1" t="str">
        <f>IFERROR(__xludf.DUMMYFUNCTION("""COMPUTED_VALUE"""),"2026 Feb")</f>
        <v>2026 Feb</v>
      </c>
      <c r="P2261" s="1" t="str">
        <f>IFERROR(__xludf.DUMMYFUNCTION("""COMPUTED_VALUE"""),"High Sensitivity Support")</f>
        <v>High Sensitivity Support</v>
      </c>
      <c r="Q2261" s="1" t="str">
        <f>IFERROR(__xludf.DUMMYFUNCTION("""COMPUTED_VALUE"""),"cassie@canva.com")</f>
        <v>cassie@canva.com</v>
      </c>
      <c r="R2261" s="1" t="str">
        <f>IFERROR(__xludf.DUMMYFUNCTION("""COMPUTED_VALUE"""),"Cassie Eugenio")</f>
        <v>Cassie Eugenio</v>
      </c>
      <c r="S2261" s="1"/>
      <c r="T2261" s="1">
        <f>IFERROR(__xludf.DUMMYFUNCTION("""COMPUTED_VALUE"""),7.5)</f>
        <v>7.5</v>
      </c>
      <c r="U2261" s="2">
        <f>IFERROR(__xludf.DUMMYFUNCTION("""COMPUTED_VALUE"""),7.5)</f>
        <v>7.5</v>
      </c>
      <c r="V2261" s="1" t="str">
        <f>IFERROR(__xludf.DUMMYFUNCTION("""COMPUTED_VALUE"""),"Issi Afable")</f>
        <v>Issi Afable</v>
      </c>
      <c r="W2261" s="1" t="str">
        <f>IFERROR(__xludf.DUMMYFUNCTION("""COMPUTED_VALUE"""),"High Sensitivity Support PH")</f>
        <v>High Sensitivity Support PH</v>
      </c>
    </row>
    <row r="2262">
      <c r="O2262" s="1" t="str">
        <f>IFERROR(__xludf.DUMMYFUNCTION("""COMPUTED_VALUE"""),"2026 Feb")</f>
        <v>2026 Feb</v>
      </c>
      <c r="P2262" s="1" t="str">
        <f>IFERROR(__xludf.DUMMYFUNCTION("""COMPUTED_VALUE"""),"Print Support")</f>
        <v>Print Support</v>
      </c>
      <c r="Q2262" s="1" t="str">
        <f>IFERROR(__xludf.DUMMYFUNCTION("""COMPUTED_VALUE"""),"catherinenicole@canva.com")</f>
        <v>catherinenicole@canva.com</v>
      </c>
      <c r="R2262" s="1" t="str">
        <f>IFERROR(__xludf.DUMMYFUNCTION("""COMPUTED_VALUE"""),"Catherine Ledesma")</f>
        <v>Catherine Ledesma</v>
      </c>
      <c r="S2262" s="1"/>
      <c r="T2262" s="1">
        <f>IFERROR(__xludf.DUMMYFUNCTION("""COMPUTED_VALUE"""),10.75)</f>
        <v>10.75</v>
      </c>
      <c r="U2262" s="2">
        <f>IFERROR(__xludf.DUMMYFUNCTION("""COMPUTED_VALUE"""),10.75)</f>
        <v>10.75</v>
      </c>
      <c r="V2262" s="1" t="str">
        <f>IFERROR(__xludf.DUMMYFUNCTION("""COMPUTED_VALUE"""),"Jen Momo")</f>
        <v>Jen Momo</v>
      </c>
      <c r="W2262" s="1" t="str">
        <f>IFERROR(__xludf.DUMMYFUNCTION("""COMPUTED_VALUE"""),"Print Support PH")</f>
        <v>Print Support PH</v>
      </c>
    </row>
    <row r="2263">
      <c r="O2263" s="1" t="str">
        <f>IFERROR(__xludf.DUMMYFUNCTION("""COMPUTED_VALUE"""),"2026 Feb")</f>
        <v>2026 Feb</v>
      </c>
      <c r="P2263" s="1" t="str">
        <f>IFERROR(__xludf.DUMMYFUNCTION("""COMPUTED_VALUE"""),"Core Product Support")</f>
        <v>Core Product Support</v>
      </c>
      <c r="Q2263" s="1" t="str">
        <f>IFERROR(__xludf.DUMMYFUNCTION("""COMPUTED_VALUE"""),"laranang@canva.com")</f>
        <v>laranang@canva.com</v>
      </c>
      <c r="R2263" s="1" t="str">
        <f>IFERROR(__xludf.DUMMYFUNCTION("""COMPUTED_VALUE"""),"Cha Laranang")</f>
        <v>Cha Laranang</v>
      </c>
      <c r="S2263" s="1">
        <f>IFERROR(__xludf.DUMMYFUNCTION("""COMPUTED_VALUE"""),0.5)</f>
        <v>0.5</v>
      </c>
      <c r="T2263" s="1">
        <f>IFERROR(__xludf.DUMMYFUNCTION("""COMPUTED_VALUE"""),6.67)</f>
        <v>6.67</v>
      </c>
      <c r="U2263" s="2">
        <f>IFERROR(__xludf.DUMMYFUNCTION("""COMPUTED_VALUE"""),7.17)</f>
        <v>7.17</v>
      </c>
      <c r="V2263" s="1" t="str">
        <f>IFERROR(__xludf.DUMMYFUNCTION("""COMPUTED_VALUE"""),"Cate Velasco")</f>
        <v>Cate Velasco</v>
      </c>
      <c r="W2263" s="1" t="str">
        <f>IFERROR(__xludf.DUMMYFUNCTION("""COMPUTED_VALUE"""),"Advanced Product Support")</f>
        <v>Advanced Product Support</v>
      </c>
    </row>
    <row r="2264">
      <c r="O2264" s="1" t="str">
        <f>IFERROR(__xludf.DUMMYFUNCTION("""COMPUTED_VALUE"""),"2026 Feb")</f>
        <v>2026 Feb</v>
      </c>
      <c r="P2264" s="1" t="str">
        <f>IFERROR(__xludf.DUMMYFUNCTION("""COMPUTED_VALUE"""),"Core Product Support")</f>
        <v>Core Product Support</v>
      </c>
      <c r="Q2264" s="1" t="str">
        <f>IFERROR(__xludf.DUMMYFUNCTION("""COMPUTED_VALUE"""),"chace@canva.com")</f>
        <v>chace@canva.com</v>
      </c>
      <c r="R2264" s="1" t="str">
        <f>IFERROR(__xludf.DUMMYFUNCTION("""COMPUTED_VALUE"""),"Chace Ablaza")</f>
        <v>Chace Ablaza</v>
      </c>
      <c r="S2264" s="1">
        <f>IFERROR(__xludf.DUMMYFUNCTION("""COMPUTED_VALUE"""),1.0)</f>
        <v>1</v>
      </c>
      <c r="T2264" s="1">
        <f>IFERROR(__xludf.DUMMYFUNCTION("""COMPUTED_VALUE"""),7.75)</f>
        <v>7.75</v>
      </c>
      <c r="U2264" s="2">
        <f>IFERROR(__xludf.DUMMYFUNCTION("""COMPUTED_VALUE"""),8.75)</f>
        <v>8.75</v>
      </c>
      <c r="V2264" s="1" t="str">
        <f>IFERROR(__xludf.DUMMYFUNCTION("""COMPUTED_VALUE"""),"Ellaine Estayo")</f>
        <v>Ellaine Estayo</v>
      </c>
      <c r="W2264" s="1" t="str">
        <f>IFERROR(__xludf.DUMMYFUNCTION("""COMPUTED_VALUE"""),"Core Product Support Escalation Team")</f>
        <v>Core Product Support Escalation Team</v>
      </c>
    </row>
    <row r="2265">
      <c r="O2265" s="1" t="str">
        <f>IFERROR(__xludf.DUMMYFUNCTION("""COMPUTED_VALUE"""),"2026 Feb")</f>
        <v>2026 Feb</v>
      </c>
      <c r="P2265" s="1" t="str">
        <f>IFERROR(__xludf.DUMMYFUNCTION("""COMPUTED_VALUE"""),"Core Product Support")</f>
        <v>Core Product Support</v>
      </c>
      <c r="Q2265" s="1" t="str">
        <f>IFERROR(__xludf.DUMMYFUNCTION("""COMPUTED_VALUE"""),"charissa@canva.com")</f>
        <v>charissa@canva.com</v>
      </c>
      <c r="R2265" s="1" t="str">
        <f>IFERROR(__xludf.DUMMYFUNCTION("""COMPUTED_VALUE"""),"Charissa Goyena")</f>
        <v>Charissa Goyena</v>
      </c>
      <c r="S2265" s="1"/>
      <c r="T2265" s="1">
        <f>IFERROR(__xludf.DUMMYFUNCTION("""COMPUTED_VALUE"""),11.75)</f>
        <v>11.75</v>
      </c>
      <c r="U2265" s="2">
        <f>IFERROR(__xludf.DUMMYFUNCTION("""COMPUTED_VALUE"""),11.75)</f>
        <v>11.75</v>
      </c>
      <c r="V2265" s="1" t="str">
        <f>IFERROR(__xludf.DUMMYFUNCTION("""COMPUTED_VALUE"""),"Vinz Lazaro")</f>
        <v>Vinz Lazaro</v>
      </c>
      <c r="W2265" s="1" t="str">
        <f>IFERROR(__xludf.DUMMYFUNCTION("""COMPUTED_VALUE"""),"Advanced Product Support")</f>
        <v>Advanced Product Support</v>
      </c>
    </row>
    <row r="2266">
      <c r="O2266" s="1" t="str">
        <f>IFERROR(__xludf.DUMMYFUNCTION("""COMPUTED_VALUE"""),"2026 Feb")</f>
        <v>2026 Feb</v>
      </c>
      <c r="P2266" s="1" t="str">
        <f>IFERROR(__xludf.DUMMYFUNCTION("""COMPUTED_VALUE"""),"Segment-specific Support")</f>
        <v>Segment-specific Support</v>
      </c>
      <c r="Q2266" s="1" t="str">
        <f>IFERROR(__xludf.DUMMYFUNCTION("""COMPUTED_VALUE"""),"charizavargas@canva.com")</f>
        <v>charizavargas@canva.com</v>
      </c>
      <c r="R2266" s="1" t="str">
        <f>IFERROR(__xludf.DUMMYFUNCTION("""COMPUTED_VALUE"""),"Chariza Vargas")</f>
        <v>Chariza Vargas</v>
      </c>
      <c r="S2266" s="1"/>
      <c r="T2266" s="1">
        <f>IFERROR(__xludf.DUMMYFUNCTION("""COMPUTED_VALUE"""),1.0)</f>
        <v>1</v>
      </c>
      <c r="U2266" s="2">
        <f>IFERROR(__xludf.DUMMYFUNCTION("""COMPUTED_VALUE"""),1.0)</f>
        <v>1</v>
      </c>
      <c r="V2266" s="1" t="str">
        <f>IFERROR(__xludf.DUMMYFUNCTION("""COMPUTED_VALUE"""),"Aileen Dayanghirang")</f>
        <v>Aileen Dayanghirang</v>
      </c>
      <c r="W2266" s="1" t="str">
        <f>IFERROR(__xludf.DUMMYFUNCTION("""COMPUTED_VALUE"""),"Creators Support")</f>
        <v>Creators Support</v>
      </c>
    </row>
    <row r="2267">
      <c r="O2267" s="1" t="str">
        <f>IFERROR(__xludf.DUMMYFUNCTION("""COMPUTED_VALUE"""),"2026 Feb")</f>
        <v>2026 Feb</v>
      </c>
      <c r="P2267" s="1" t="str">
        <f>IFERROR(__xludf.DUMMYFUNCTION("""COMPUTED_VALUE"""),"Admin Support")</f>
        <v>Admin Support</v>
      </c>
      <c r="Q2267" s="1" t="str">
        <f>IFERROR(__xludf.DUMMYFUNCTION("""COMPUTED_VALUE"""),"charlest@canva.com")</f>
        <v>charlest@canva.com</v>
      </c>
      <c r="R2267" s="1" t="str">
        <f>IFERROR(__xludf.DUMMYFUNCTION("""COMPUTED_VALUE"""),"Charles Andrew Tan")</f>
        <v>Charles Andrew Tan</v>
      </c>
      <c r="S2267" s="1"/>
      <c r="T2267" s="1">
        <f>IFERROR(__xludf.DUMMYFUNCTION("""COMPUTED_VALUE"""),2.25)</f>
        <v>2.25</v>
      </c>
      <c r="U2267" s="2">
        <f>IFERROR(__xludf.DUMMYFUNCTION("""COMPUTED_VALUE"""),2.25)</f>
        <v>2.25</v>
      </c>
      <c r="V2267" s="1" t="str">
        <f>IFERROR(__xludf.DUMMYFUNCTION("""COMPUTED_VALUE"""),"Kelden Laguting")</f>
        <v>Kelden Laguting</v>
      </c>
      <c r="W2267" s="1" t="str">
        <f>IFERROR(__xludf.DUMMYFUNCTION("""COMPUTED_VALUE"""),"Admin Omni Support")</f>
        <v>Admin Omni Support</v>
      </c>
    </row>
    <row r="2268">
      <c r="O2268" s="1" t="str">
        <f>IFERROR(__xludf.DUMMYFUNCTION("""COMPUTED_VALUE"""),"2026 Feb")</f>
        <v>2026 Feb</v>
      </c>
      <c r="P2268" s="1" t="str">
        <f>IFERROR(__xludf.DUMMYFUNCTION("""COMPUTED_VALUE"""),"Core Product Support")</f>
        <v>Core Product Support</v>
      </c>
      <c r="Q2268" s="1" t="str">
        <f>IFERROR(__xludf.DUMMYFUNCTION("""COMPUTED_VALUE"""),"charmb@canva.com")</f>
        <v>charmb@canva.com</v>
      </c>
      <c r="R2268" s="1" t="str">
        <f>IFERROR(__xludf.DUMMYFUNCTION("""COMPUTED_VALUE"""),"Charm Bansil")</f>
        <v>Charm Bansil</v>
      </c>
      <c r="S2268" s="1">
        <f>IFERROR(__xludf.DUMMYFUNCTION("""COMPUTED_VALUE"""),1.5)</f>
        <v>1.5</v>
      </c>
      <c r="T2268" s="1">
        <f>IFERROR(__xludf.DUMMYFUNCTION("""COMPUTED_VALUE"""),15.83)</f>
        <v>15.83</v>
      </c>
      <c r="U2268" s="2">
        <f>IFERROR(__xludf.DUMMYFUNCTION("""COMPUTED_VALUE"""),17.33)</f>
        <v>17.33</v>
      </c>
      <c r="V2268" s="1" t="str">
        <f>IFERROR(__xludf.DUMMYFUNCTION("""COMPUTED_VALUE"""),"Ana Lazaro")</f>
        <v>Ana Lazaro</v>
      </c>
      <c r="W2268" s="1" t="str">
        <f>IFERROR(__xludf.DUMMYFUNCTION("""COMPUTED_VALUE"""),"Advanced Billing &amp; Subscriptions")</f>
        <v>Advanced Billing &amp; Subscriptions</v>
      </c>
    </row>
    <row r="2269">
      <c r="O2269" s="1" t="str">
        <f>IFERROR(__xludf.DUMMYFUNCTION("""COMPUTED_VALUE"""),"2026 Feb")</f>
        <v>2026 Feb</v>
      </c>
      <c r="P2269" s="1" t="str">
        <f>IFERROR(__xludf.DUMMYFUNCTION("""COMPUTED_VALUE"""),"Print Support")</f>
        <v>Print Support</v>
      </c>
      <c r="Q2269" s="1" t="str">
        <f>IFERROR(__xludf.DUMMYFUNCTION("""COMPUTED_VALUE"""),"catherine@canva.com")</f>
        <v>catherine@canva.com</v>
      </c>
      <c r="R2269" s="1" t="str">
        <f>IFERROR(__xludf.DUMMYFUNCTION("""COMPUTED_VALUE"""),"Cheche Ramirez")</f>
        <v>Cheche Ramirez</v>
      </c>
      <c r="S2269" s="1"/>
      <c r="T2269" s="1">
        <f>IFERROR(__xludf.DUMMYFUNCTION("""COMPUTED_VALUE"""),10.92)</f>
        <v>10.92</v>
      </c>
      <c r="U2269" s="2">
        <f>IFERROR(__xludf.DUMMYFUNCTION("""COMPUTED_VALUE"""),10.92)</f>
        <v>10.92</v>
      </c>
      <c r="V2269" s="1" t="str">
        <f>IFERROR(__xludf.DUMMYFUNCTION("""COMPUTED_VALUE"""),"Jen Momo")</f>
        <v>Jen Momo</v>
      </c>
      <c r="W2269" s="1" t="str">
        <f>IFERROR(__xludf.DUMMYFUNCTION("""COMPUTED_VALUE"""),"Print Support PH")</f>
        <v>Print Support PH</v>
      </c>
    </row>
    <row r="2270">
      <c r="O2270" s="1" t="str">
        <f>IFERROR(__xludf.DUMMYFUNCTION("""COMPUTED_VALUE"""),"2026 Feb")</f>
        <v>2026 Feb</v>
      </c>
      <c r="P2270" s="1" t="str">
        <f>IFERROR(__xludf.DUMMYFUNCTION("""COMPUTED_VALUE"""),"Core Product Support")</f>
        <v>Core Product Support</v>
      </c>
      <c r="Q2270" s="1" t="str">
        <f>IFERROR(__xludf.DUMMYFUNCTION("""COMPUTED_VALUE"""),"chesca@canva.com")</f>
        <v>chesca@canva.com</v>
      </c>
      <c r="R2270" s="1" t="str">
        <f>IFERROR(__xludf.DUMMYFUNCTION("""COMPUTED_VALUE"""),"Chesca Martos")</f>
        <v>Chesca Martos</v>
      </c>
      <c r="S2270" s="1"/>
      <c r="T2270" s="1">
        <f>IFERROR(__xludf.DUMMYFUNCTION("""COMPUTED_VALUE"""),15.17)</f>
        <v>15.17</v>
      </c>
      <c r="U2270" s="2">
        <f>IFERROR(__xludf.DUMMYFUNCTION("""COMPUTED_VALUE"""),15.17)</f>
        <v>15.17</v>
      </c>
      <c r="V2270" s="1" t="str">
        <f>IFERROR(__xludf.DUMMYFUNCTION("""COMPUTED_VALUE"""),"Ayza Marie Pascual")</f>
        <v>Ayza Marie Pascual</v>
      </c>
      <c r="W2270" s="1" t="str">
        <f>IFERROR(__xludf.DUMMYFUNCTION("""COMPUTED_VALUE"""),"Advanced Billing &amp; Subscriptions")</f>
        <v>Advanced Billing &amp; Subscriptions</v>
      </c>
    </row>
    <row r="2271">
      <c r="O2271" s="1" t="str">
        <f>IFERROR(__xludf.DUMMYFUNCTION("""COMPUTED_VALUE"""),"2026 Feb")</f>
        <v>2026 Feb</v>
      </c>
      <c r="P2271" s="1" t="str">
        <f>IFERROR(__xludf.DUMMYFUNCTION("""COMPUTED_VALUE"""),"Core Product Support")</f>
        <v>Core Product Support</v>
      </c>
      <c r="Q2271" s="1" t="str">
        <f>IFERROR(__xludf.DUMMYFUNCTION("""COMPUTED_VALUE"""),"chlgts@canva.com")</f>
        <v>chlgts@canva.com</v>
      </c>
      <c r="R2271" s="1" t="str">
        <f>IFERROR(__xludf.DUMMYFUNCTION("""COMPUTED_VALUE"""),"Cholo Ligtas")</f>
        <v>Cholo Ligtas</v>
      </c>
      <c r="S2271" s="1"/>
      <c r="T2271" s="1">
        <f>IFERROR(__xludf.DUMMYFUNCTION("""COMPUTED_VALUE"""),5.58)</f>
        <v>5.58</v>
      </c>
      <c r="U2271" s="2">
        <f>IFERROR(__xludf.DUMMYFUNCTION("""COMPUTED_VALUE"""),5.58)</f>
        <v>5.58</v>
      </c>
      <c r="V2271" s="1" t="str">
        <f>IFERROR(__xludf.DUMMYFUNCTION("""COMPUTED_VALUE"""),"Jahmie Mae Barrameda")</f>
        <v>Jahmie Mae Barrameda</v>
      </c>
      <c r="W2271" s="1" t="str">
        <f>IFERROR(__xludf.DUMMYFUNCTION("""COMPUTED_VALUE"""),"Advanced Billing &amp; Subscriptions")</f>
        <v>Advanced Billing &amp; Subscriptions</v>
      </c>
    </row>
    <row r="2272">
      <c r="O2272" s="1" t="str">
        <f>IFERROR(__xludf.DUMMYFUNCTION("""COMPUTED_VALUE"""),"2026 Feb")</f>
        <v>2026 Feb</v>
      </c>
      <c r="P2272" s="1" t="str">
        <f>IFERROR(__xludf.DUMMYFUNCTION("""COMPUTED_VALUE"""),"Core Product Support")</f>
        <v>Core Product Support</v>
      </c>
      <c r="Q2272" s="1" t="str">
        <f>IFERROR(__xludf.DUMMYFUNCTION("""COMPUTED_VALUE"""),"tintinmaxilom@canva.com")</f>
        <v>tintinmaxilom@canva.com</v>
      </c>
      <c r="R2272" s="1" t="str">
        <f>IFERROR(__xludf.DUMMYFUNCTION("""COMPUTED_VALUE"""),"Christine Araga")</f>
        <v>Christine Araga</v>
      </c>
      <c r="S2272" s="1">
        <f>IFERROR(__xludf.DUMMYFUNCTION("""COMPUTED_VALUE"""),1.0)</f>
        <v>1</v>
      </c>
      <c r="T2272" s="1">
        <f>IFERROR(__xludf.DUMMYFUNCTION("""COMPUTED_VALUE"""),10.5)</f>
        <v>10.5</v>
      </c>
      <c r="U2272" s="2">
        <f>IFERROR(__xludf.DUMMYFUNCTION("""COMPUTED_VALUE"""),11.5)</f>
        <v>11.5</v>
      </c>
      <c r="V2272" s="1" t="str">
        <f>IFERROR(__xludf.DUMMYFUNCTION("""COMPUTED_VALUE"""),"Jelyn Elmido")</f>
        <v>Jelyn Elmido</v>
      </c>
      <c r="W2272" s="1" t="str">
        <f>IFERROR(__xludf.DUMMYFUNCTION("""COMPUTED_VALUE"""),"Core Product Support Escalation Team")</f>
        <v>Core Product Support Escalation Team</v>
      </c>
    </row>
    <row r="2273">
      <c r="O2273" s="1" t="str">
        <f>IFERROR(__xludf.DUMMYFUNCTION("""COMPUTED_VALUE"""),"2026 Feb")</f>
        <v>2026 Feb</v>
      </c>
      <c r="P2273" s="1" t="str">
        <f>IFERROR(__xludf.DUMMYFUNCTION("""COMPUTED_VALUE"""),"Print Support")</f>
        <v>Print Support</v>
      </c>
      <c r="Q2273" s="1" t="str">
        <f>IFERROR(__xludf.DUMMYFUNCTION("""COMPUTED_VALUE"""),"cjlining@canva.com")</f>
        <v>cjlining@canva.com</v>
      </c>
      <c r="R2273" s="1" t="str">
        <f>IFERROR(__xludf.DUMMYFUNCTION("""COMPUTED_VALUE"""),"CJ Lining")</f>
        <v>CJ Lining</v>
      </c>
      <c r="S2273" s="1"/>
      <c r="T2273" s="1">
        <f>IFERROR(__xludf.DUMMYFUNCTION("""COMPUTED_VALUE"""),10.58)</f>
        <v>10.58</v>
      </c>
      <c r="U2273" s="2">
        <f>IFERROR(__xludf.DUMMYFUNCTION("""COMPUTED_VALUE"""),10.58)</f>
        <v>10.58</v>
      </c>
      <c r="V2273" s="1" t="str">
        <f>IFERROR(__xludf.DUMMYFUNCTION("""COMPUTED_VALUE"""),"Althea Mercado")</f>
        <v>Althea Mercado</v>
      </c>
      <c r="W2273" s="1" t="str">
        <f>IFERROR(__xludf.DUMMYFUNCTION("""COMPUTED_VALUE"""),"Print Support PH")</f>
        <v>Print Support PH</v>
      </c>
    </row>
    <row r="2274">
      <c r="O2274" s="1" t="str">
        <f>IFERROR(__xludf.DUMMYFUNCTION("""COMPUTED_VALUE"""),"2026 Feb")</f>
        <v>2026 Feb</v>
      </c>
      <c r="P2274" s="1" t="str">
        <f>IFERROR(__xludf.DUMMYFUNCTION("""COMPUTED_VALUE"""),"Admin Support")</f>
        <v>Admin Support</v>
      </c>
      <c r="Q2274" s="1" t="str">
        <f>IFERROR(__xludf.DUMMYFUNCTION("""COMPUTED_VALUE"""),"ckmg@canva.com")</f>
        <v>ckmg@canva.com</v>
      </c>
      <c r="R2274" s="1" t="str">
        <f>IFERROR(__xludf.DUMMYFUNCTION("""COMPUTED_VALUE"""),"CK Geronimo")</f>
        <v>CK Geronimo</v>
      </c>
      <c r="S2274" s="1"/>
      <c r="T2274" s="1">
        <f>IFERROR(__xludf.DUMMYFUNCTION("""COMPUTED_VALUE"""),3.58)</f>
        <v>3.58</v>
      </c>
      <c r="U2274" s="2">
        <f>IFERROR(__xludf.DUMMYFUNCTION("""COMPUTED_VALUE"""),3.58)</f>
        <v>3.58</v>
      </c>
      <c r="V2274" s="1" t="str">
        <f>IFERROR(__xludf.DUMMYFUNCTION("""COMPUTED_VALUE"""),"Pau Palmero")</f>
        <v>Pau Palmero</v>
      </c>
      <c r="W2274" s="1" t="str">
        <f>IFERROR(__xludf.DUMMYFUNCTION("""COMPUTED_VALUE"""),"Admin Omni Support")</f>
        <v>Admin Omni Support</v>
      </c>
    </row>
    <row r="2275">
      <c r="O2275" s="1" t="str">
        <f>IFERROR(__xludf.DUMMYFUNCTION("""COMPUTED_VALUE"""),"2026 Feb")</f>
        <v>2026 Feb</v>
      </c>
      <c r="P2275" s="1" t="str">
        <f>IFERROR(__xludf.DUMMYFUNCTION("""COMPUTED_VALUE"""),"Segment-specific Support")</f>
        <v>Segment-specific Support</v>
      </c>
      <c r="Q2275" s="1" t="str">
        <f>IFERROR(__xludf.DUMMYFUNCTION("""COMPUTED_VALUE"""),"magnumck@canva.com")</f>
        <v>magnumck@canva.com</v>
      </c>
      <c r="R2275" s="1" t="str">
        <f>IFERROR(__xludf.DUMMYFUNCTION("""COMPUTED_VALUE"""),"CK Lobaton")</f>
        <v>CK Lobaton</v>
      </c>
      <c r="S2275" s="1"/>
      <c r="T2275" s="1">
        <f>IFERROR(__xludf.DUMMYFUNCTION("""COMPUTED_VALUE"""),1.0)</f>
        <v>1</v>
      </c>
      <c r="U2275" s="2">
        <f>IFERROR(__xludf.DUMMYFUNCTION("""COMPUTED_VALUE"""),1.0)</f>
        <v>1</v>
      </c>
      <c r="V2275" s="1" t="str">
        <f>IFERROR(__xludf.DUMMYFUNCTION("""COMPUTED_VALUE"""),"Jonathan Dimaculangan")</f>
        <v>Jonathan Dimaculangan</v>
      </c>
      <c r="W2275" s="1" t="str">
        <f>IFERROR(__xludf.DUMMYFUNCTION("""COMPUTED_VALUE"""),"Flourish Support")</f>
        <v>Flourish Support</v>
      </c>
    </row>
    <row r="2276">
      <c r="O2276" s="1" t="str">
        <f>IFERROR(__xludf.DUMMYFUNCTION("""COMPUTED_VALUE"""),"2026 Feb")</f>
        <v>2026 Feb</v>
      </c>
      <c r="P2276" s="1" t="str">
        <f>IFERROR(__xludf.DUMMYFUNCTION("""COMPUTED_VALUE"""),"Core Product Support")</f>
        <v>Core Product Support</v>
      </c>
      <c r="Q2276" s="1" t="str">
        <f>IFERROR(__xludf.DUMMYFUNCTION("""COMPUTED_VALUE"""),"cladd@canva.com")</f>
        <v>cladd@canva.com</v>
      </c>
      <c r="R2276" s="1" t="str">
        <f>IFERROR(__xludf.DUMMYFUNCTION("""COMPUTED_VALUE"""),"Claddys Ann Bernaldez")</f>
        <v>Claddys Ann Bernaldez</v>
      </c>
      <c r="S2276" s="1">
        <f>IFERROR(__xludf.DUMMYFUNCTION("""COMPUTED_VALUE"""),1.0)</f>
        <v>1</v>
      </c>
      <c r="T2276" s="1">
        <f>IFERROR(__xludf.DUMMYFUNCTION("""COMPUTED_VALUE"""),12.0)</f>
        <v>12</v>
      </c>
      <c r="U2276" s="2">
        <f>IFERROR(__xludf.DUMMYFUNCTION("""COMPUTED_VALUE"""),13.0)</f>
        <v>13</v>
      </c>
      <c r="V2276" s="1" t="str">
        <f>IFERROR(__xludf.DUMMYFUNCTION("""COMPUTED_VALUE"""),"Jelyn Elmido")</f>
        <v>Jelyn Elmido</v>
      </c>
      <c r="W2276" s="1" t="str">
        <f>IFERROR(__xludf.DUMMYFUNCTION("""COMPUTED_VALUE"""),"Core Product Support Escalation Team")</f>
        <v>Core Product Support Escalation Team</v>
      </c>
    </row>
    <row r="2277">
      <c r="O2277" s="1" t="str">
        <f>IFERROR(__xludf.DUMMYFUNCTION("""COMPUTED_VALUE"""),"2026 Feb")</f>
        <v>2026 Feb</v>
      </c>
      <c r="P2277" s="1" t="str">
        <f>IFERROR(__xludf.DUMMYFUNCTION("""COMPUTED_VALUE"""),"Multilingual Support")</f>
        <v>Multilingual Support</v>
      </c>
      <c r="Q2277" s="1" t="str">
        <f>IFERROR(__xludf.DUMMYFUNCTION("""COMPUTED_VALUE"""),"claire.g@canva.com")</f>
        <v>claire.g@canva.com</v>
      </c>
      <c r="R2277" s="1" t="str">
        <f>IFERROR(__xludf.DUMMYFUNCTION("""COMPUTED_VALUE"""),"Claire Gado")</f>
        <v>Claire Gado</v>
      </c>
      <c r="S2277" s="1"/>
      <c r="T2277" s="1">
        <f>IFERROR(__xludf.DUMMYFUNCTION("""COMPUTED_VALUE"""),24.0)</f>
        <v>24</v>
      </c>
      <c r="U2277" s="2">
        <f>IFERROR(__xludf.DUMMYFUNCTION("""COMPUTED_VALUE"""),24.0)</f>
        <v>24</v>
      </c>
      <c r="V2277" s="1" t="str">
        <f>IFERROR(__xludf.DUMMYFUNCTION("""COMPUTED_VALUE"""),"Arlene Maurillo")</f>
        <v>Arlene Maurillo</v>
      </c>
      <c r="W2277" s="1" t="str">
        <f>IFERROR(__xludf.DUMMYFUNCTION("""COMPUTED_VALUE"""),"PHL, Multilingual Support")</f>
        <v>PHL, Multilingual Support</v>
      </c>
    </row>
    <row r="2278">
      <c r="O2278" s="1" t="str">
        <f>IFERROR(__xludf.DUMMYFUNCTION("""COMPUTED_VALUE"""),"2026 Feb")</f>
        <v>2026 Feb</v>
      </c>
      <c r="P2278" s="1" t="str">
        <f>IFERROR(__xludf.DUMMYFUNCTION("""COMPUTED_VALUE"""),"Print Support")</f>
        <v>Print Support</v>
      </c>
      <c r="Q2278" s="1" t="str">
        <f>IFERROR(__xludf.DUMMYFUNCTION("""COMPUTED_VALUE"""),"cyreengee@canva.com")</f>
        <v>cyreengee@canva.com</v>
      </c>
      <c r="R2278" s="1" t="str">
        <f>IFERROR(__xludf.DUMMYFUNCTION("""COMPUTED_VALUE"""),"Cye Gonzales")</f>
        <v>Cye Gonzales</v>
      </c>
      <c r="S2278" s="1"/>
      <c r="T2278" s="1">
        <f>IFERROR(__xludf.DUMMYFUNCTION("""COMPUTED_VALUE"""),10.75)</f>
        <v>10.75</v>
      </c>
      <c r="U2278" s="2">
        <f>IFERROR(__xludf.DUMMYFUNCTION("""COMPUTED_VALUE"""),10.75)</f>
        <v>10.75</v>
      </c>
      <c r="V2278" s="1" t="str">
        <f>IFERROR(__xludf.DUMMYFUNCTION("""COMPUTED_VALUE"""),"Althea Mercado")</f>
        <v>Althea Mercado</v>
      </c>
      <c r="W2278" s="1" t="str">
        <f>IFERROR(__xludf.DUMMYFUNCTION("""COMPUTED_VALUE"""),"Print Support PH")</f>
        <v>Print Support PH</v>
      </c>
    </row>
    <row r="2279">
      <c r="O2279" s="1" t="str">
        <f>IFERROR(__xludf.DUMMYFUNCTION("""COMPUTED_VALUE"""),"2026 Feb")</f>
        <v>2026 Feb</v>
      </c>
      <c r="P2279" s="1" t="str">
        <f>IFERROR(__xludf.DUMMYFUNCTION("""COMPUTED_VALUE"""),"Print Support")</f>
        <v>Print Support</v>
      </c>
      <c r="Q2279" s="1" t="str">
        <f>IFERROR(__xludf.DUMMYFUNCTION("""COMPUTED_VALUE"""),"dyter@canva.com")</f>
        <v>dyter@canva.com</v>
      </c>
      <c r="R2279" s="1" t="str">
        <f>IFERROR(__xludf.DUMMYFUNCTION("""COMPUTED_VALUE"""),"Daisy Tercenio")</f>
        <v>Daisy Tercenio</v>
      </c>
      <c r="S2279" s="1"/>
      <c r="T2279" s="1">
        <f>IFERROR(__xludf.DUMMYFUNCTION("""COMPUTED_VALUE"""),12.5)</f>
        <v>12.5</v>
      </c>
      <c r="U2279" s="2">
        <f>IFERROR(__xludf.DUMMYFUNCTION("""COMPUTED_VALUE"""),12.5)</f>
        <v>12.5</v>
      </c>
      <c r="V2279" s="1" t="str">
        <f>IFERROR(__xludf.DUMMYFUNCTION("""COMPUTED_VALUE"""),"Rae Erlano")</f>
        <v>Rae Erlano</v>
      </c>
      <c r="W2279" s="1" t="str">
        <f>IFERROR(__xludf.DUMMYFUNCTION("""COMPUTED_VALUE"""),"Print Support PH")</f>
        <v>Print Support PH</v>
      </c>
    </row>
    <row r="2280">
      <c r="O2280" s="1" t="str">
        <f>IFERROR(__xludf.DUMMYFUNCTION("""COMPUTED_VALUE"""),"2026 Feb")</f>
        <v>2026 Feb</v>
      </c>
      <c r="P2280" s="1" t="str">
        <f>IFERROR(__xludf.DUMMYFUNCTION("""COMPUTED_VALUE"""),"Core Product Support")</f>
        <v>Core Product Support</v>
      </c>
      <c r="Q2280" s="1" t="str">
        <f>IFERROR(__xludf.DUMMYFUNCTION("""COMPUTED_VALUE"""),"danortiz@canva.com")</f>
        <v>danortiz@canva.com</v>
      </c>
      <c r="R2280" s="1" t="str">
        <f>IFERROR(__xludf.DUMMYFUNCTION("""COMPUTED_VALUE"""),"Daniella Ortiz")</f>
        <v>Daniella Ortiz</v>
      </c>
      <c r="S2280" s="1"/>
      <c r="T2280" s="1">
        <f>IFERROR(__xludf.DUMMYFUNCTION("""COMPUTED_VALUE"""),13.42)</f>
        <v>13.42</v>
      </c>
      <c r="U2280" s="2">
        <f>IFERROR(__xludf.DUMMYFUNCTION("""COMPUTED_VALUE"""),13.42)</f>
        <v>13.42</v>
      </c>
      <c r="V2280" s="1" t="str">
        <f>IFERROR(__xludf.DUMMYFUNCTION("""COMPUTED_VALUE"""),"Cate Velasco")</f>
        <v>Cate Velasco</v>
      </c>
      <c r="W2280" s="1" t="str">
        <f>IFERROR(__xludf.DUMMYFUNCTION("""COMPUTED_VALUE"""),"Advanced Product Support")</f>
        <v>Advanced Product Support</v>
      </c>
    </row>
    <row r="2281">
      <c r="O2281" s="1" t="str">
        <f>IFERROR(__xludf.DUMMYFUNCTION("""COMPUTED_VALUE"""),"2026 Feb")</f>
        <v>2026 Feb</v>
      </c>
      <c r="P2281" s="1" t="str">
        <f>IFERROR(__xludf.DUMMYFUNCTION("""COMPUTED_VALUE"""),"Segment-specific Support")</f>
        <v>Segment-specific Support</v>
      </c>
      <c r="Q2281" s="1" t="str">
        <f>IFERROR(__xludf.DUMMYFUNCTION("""COMPUTED_VALUE"""),"daniellegrace@canva.com")</f>
        <v>daniellegrace@canva.com</v>
      </c>
      <c r="R2281" s="1" t="str">
        <f>IFERROR(__xludf.DUMMYFUNCTION("""COMPUTED_VALUE"""),"Danielle Marasigan")</f>
        <v>Danielle Marasigan</v>
      </c>
      <c r="S2281" s="1"/>
      <c r="T2281" s="1">
        <f>IFERROR(__xludf.DUMMYFUNCTION("""COMPUTED_VALUE"""),1.0)</f>
        <v>1</v>
      </c>
      <c r="U2281" s="2">
        <f>IFERROR(__xludf.DUMMYFUNCTION("""COMPUTED_VALUE"""),1.0)</f>
        <v>1</v>
      </c>
      <c r="V2281" s="1" t="str">
        <f>IFERROR(__xludf.DUMMYFUNCTION("""COMPUTED_VALUE"""),"Aileen Dayanghirang")</f>
        <v>Aileen Dayanghirang</v>
      </c>
      <c r="W2281" s="1" t="str">
        <f>IFERROR(__xludf.DUMMYFUNCTION("""COMPUTED_VALUE"""),"Creators Support")</f>
        <v>Creators Support</v>
      </c>
    </row>
    <row r="2282">
      <c r="O2282" s="1" t="str">
        <f>IFERROR(__xludf.DUMMYFUNCTION("""COMPUTED_VALUE"""),"2026 Feb")</f>
        <v>2026 Feb</v>
      </c>
      <c r="P2282" s="1" t="str">
        <f>IFERROR(__xludf.DUMMYFUNCTION("""COMPUTED_VALUE"""),"Admin Support")</f>
        <v>Admin Support</v>
      </c>
      <c r="Q2282" s="1" t="str">
        <f>IFERROR(__xludf.DUMMYFUNCTION("""COMPUTED_VALUE"""),"dannah@canva.com")</f>
        <v>dannah@canva.com</v>
      </c>
      <c r="R2282" s="1" t="str">
        <f>IFERROR(__xludf.DUMMYFUNCTION("""COMPUTED_VALUE"""),"Dannah Kate Dizon")</f>
        <v>Dannah Kate Dizon</v>
      </c>
      <c r="S2282" s="1"/>
      <c r="T2282" s="1"/>
      <c r="U2282" s="2">
        <f>IFERROR(__xludf.DUMMYFUNCTION("""COMPUTED_VALUE"""),0.0)</f>
        <v>0</v>
      </c>
      <c r="V2282" s="1" t="str">
        <f>IFERROR(__xludf.DUMMYFUNCTION("""COMPUTED_VALUE"""),"Karla Mananghaya")</f>
        <v>Karla Mananghaya</v>
      </c>
      <c r="W2282" s="1" t="str">
        <f>IFERROR(__xludf.DUMMYFUNCTION("""COMPUTED_VALUE"""),"Admin Support Service Escalation Team")</f>
        <v>Admin Support Service Escalation Team</v>
      </c>
    </row>
    <row r="2283">
      <c r="O2283" s="1" t="str">
        <f>IFERROR(__xludf.DUMMYFUNCTION("""COMPUTED_VALUE"""),"2026 Feb")</f>
        <v>2026 Feb</v>
      </c>
      <c r="P2283" s="1" t="str">
        <f>IFERROR(__xludf.DUMMYFUNCTION("""COMPUTED_VALUE"""),"High Sensitivity Support")</f>
        <v>High Sensitivity Support</v>
      </c>
      <c r="Q2283" s="1" t="str">
        <f>IFERROR(__xludf.DUMMYFUNCTION("""COMPUTED_VALUE"""),"danrev@canva.com")</f>
        <v>danrev@canva.com</v>
      </c>
      <c r="R2283" s="1" t="str">
        <f>IFERROR(__xludf.DUMMYFUNCTION("""COMPUTED_VALUE"""),"Danrev Bactad")</f>
        <v>Danrev Bactad</v>
      </c>
      <c r="S2283" s="1"/>
      <c r="T2283" s="1">
        <f>IFERROR(__xludf.DUMMYFUNCTION("""COMPUTED_VALUE"""),2.75)</f>
        <v>2.75</v>
      </c>
      <c r="U2283" s="2">
        <f>IFERROR(__xludf.DUMMYFUNCTION("""COMPUTED_VALUE"""),2.75)</f>
        <v>2.75</v>
      </c>
      <c r="V2283" s="1" t="str">
        <f>IFERROR(__xludf.DUMMYFUNCTION("""COMPUTED_VALUE"""),"Xandy Azarcon")</f>
        <v>Xandy Azarcon</v>
      </c>
      <c r="W2283" s="1" t="str">
        <f>IFERROR(__xludf.DUMMYFUNCTION("""COMPUTED_VALUE"""),"High Sensitivity Support PH")</f>
        <v>High Sensitivity Support PH</v>
      </c>
    </row>
    <row r="2284">
      <c r="O2284" s="1" t="str">
        <f>IFERROR(__xludf.DUMMYFUNCTION("""COMPUTED_VALUE"""),"2026 Feb")</f>
        <v>2026 Feb</v>
      </c>
      <c r="P2284" s="1" t="str">
        <f>IFERROR(__xludf.DUMMYFUNCTION("""COMPUTED_VALUE"""),"Print Support")</f>
        <v>Print Support</v>
      </c>
      <c r="Q2284" s="1" t="str">
        <f>IFERROR(__xludf.DUMMYFUNCTION("""COMPUTED_VALUE"""),"daphne@canva.com")</f>
        <v>daphne@canva.com</v>
      </c>
      <c r="R2284" s="1" t="str">
        <f>IFERROR(__xludf.DUMMYFUNCTION("""COMPUTED_VALUE"""),"Daphne Arboleda")</f>
        <v>Daphne Arboleda</v>
      </c>
      <c r="S2284" s="1"/>
      <c r="T2284" s="1">
        <f>IFERROR(__xludf.DUMMYFUNCTION("""COMPUTED_VALUE"""),10.75)</f>
        <v>10.75</v>
      </c>
      <c r="U2284" s="2">
        <f>IFERROR(__xludf.DUMMYFUNCTION("""COMPUTED_VALUE"""),10.75)</f>
        <v>10.75</v>
      </c>
      <c r="V2284" s="1" t="str">
        <f>IFERROR(__xludf.DUMMYFUNCTION("""COMPUTED_VALUE"""),"Memae Faustino")</f>
        <v>Memae Faustino</v>
      </c>
      <c r="W2284" s="1" t="str">
        <f>IFERROR(__xludf.DUMMYFUNCTION("""COMPUTED_VALUE"""),"Print Support PH")</f>
        <v>Print Support PH</v>
      </c>
    </row>
    <row r="2285">
      <c r="O2285" s="1" t="str">
        <f>IFERROR(__xludf.DUMMYFUNCTION("""COMPUTED_VALUE"""),"2026 Feb")</f>
        <v>2026 Feb</v>
      </c>
      <c r="P2285" s="1" t="str">
        <f>IFERROR(__xludf.DUMMYFUNCTION("""COMPUTED_VALUE"""),"High Sensitivity Support")</f>
        <v>High Sensitivity Support</v>
      </c>
      <c r="Q2285" s="1" t="str">
        <f>IFERROR(__xludf.DUMMYFUNCTION("""COMPUTED_VALUE"""),"darrelm@canva.com")</f>
        <v>darrelm@canva.com</v>
      </c>
      <c r="R2285" s="1" t="str">
        <f>IFERROR(__xludf.DUMMYFUNCTION("""COMPUTED_VALUE"""),"Darrel Marcelino")</f>
        <v>Darrel Marcelino</v>
      </c>
      <c r="S2285" s="1"/>
      <c r="T2285" s="1">
        <f>IFERROR(__xludf.DUMMYFUNCTION("""COMPUTED_VALUE"""),7.5)</f>
        <v>7.5</v>
      </c>
      <c r="U2285" s="2">
        <f>IFERROR(__xludf.DUMMYFUNCTION("""COMPUTED_VALUE"""),7.5)</f>
        <v>7.5</v>
      </c>
      <c r="V2285" s="1" t="str">
        <f>IFERROR(__xludf.DUMMYFUNCTION("""COMPUTED_VALUE"""),"Issi Afable")</f>
        <v>Issi Afable</v>
      </c>
      <c r="W2285" s="1" t="str">
        <f>IFERROR(__xludf.DUMMYFUNCTION("""COMPUTED_VALUE"""),"High Sensitivity Support PH")</f>
        <v>High Sensitivity Support PH</v>
      </c>
    </row>
    <row r="2286">
      <c r="O2286" s="1" t="str">
        <f>IFERROR(__xludf.DUMMYFUNCTION("""COMPUTED_VALUE"""),"2026 Feb")</f>
        <v>2026 Feb</v>
      </c>
      <c r="P2286" s="1" t="str">
        <f>IFERROR(__xludf.DUMMYFUNCTION("""COMPUTED_VALUE"""),"Core Product Support")</f>
        <v>Core Product Support</v>
      </c>
      <c r="Q2286" s="1" t="str">
        <f>IFERROR(__xludf.DUMMYFUNCTION("""COMPUTED_VALUE"""),"davecosteloii@canva.com")</f>
        <v>davecosteloii@canva.com</v>
      </c>
      <c r="R2286" s="1" t="str">
        <f>IFERROR(__xludf.DUMMYFUNCTION("""COMPUTED_VALUE"""),"Dave Costelo")</f>
        <v>Dave Costelo</v>
      </c>
      <c r="S2286" s="1"/>
      <c r="T2286" s="1">
        <f>IFERROR(__xludf.DUMMYFUNCTION("""COMPUTED_VALUE"""),15.63)</f>
        <v>15.63</v>
      </c>
      <c r="U2286" s="2">
        <f>IFERROR(__xludf.DUMMYFUNCTION("""COMPUTED_VALUE"""),15.63)</f>
        <v>15.63</v>
      </c>
      <c r="V2286" s="1" t="str">
        <f>IFERROR(__xludf.DUMMYFUNCTION("""COMPUTED_VALUE"""),"Jahmie Mae Barrameda")</f>
        <v>Jahmie Mae Barrameda</v>
      </c>
      <c r="W2286" s="1" t="str">
        <f>IFERROR(__xludf.DUMMYFUNCTION("""COMPUTED_VALUE"""),"Advanced Billing &amp; Subscriptions")</f>
        <v>Advanced Billing &amp; Subscriptions</v>
      </c>
    </row>
    <row r="2287">
      <c r="O2287" s="1" t="str">
        <f>IFERROR(__xludf.DUMMYFUNCTION("""COMPUTED_VALUE"""),"2026 Feb")</f>
        <v>2026 Feb</v>
      </c>
      <c r="P2287" s="1" t="str">
        <f>IFERROR(__xludf.DUMMYFUNCTION("""COMPUTED_VALUE"""),"Admin Support")</f>
        <v>Admin Support</v>
      </c>
      <c r="Q2287" s="1" t="str">
        <f>IFERROR(__xludf.DUMMYFUNCTION("""COMPUTED_VALUE"""),"davidfrancis@canva.com")</f>
        <v>davidfrancis@canva.com</v>
      </c>
      <c r="R2287" s="1" t="str">
        <f>IFERROR(__xludf.DUMMYFUNCTION("""COMPUTED_VALUE"""),"David Francis Dimatulac")</f>
        <v>David Francis Dimatulac</v>
      </c>
      <c r="S2287" s="1"/>
      <c r="T2287" s="1">
        <f>IFERROR(__xludf.DUMMYFUNCTION("""COMPUTED_VALUE"""),1.0)</f>
        <v>1</v>
      </c>
      <c r="U2287" s="2">
        <f>IFERROR(__xludf.DUMMYFUNCTION("""COMPUTED_VALUE"""),1.0)</f>
        <v>1</v>
      </c>
      <c r="V2287" s="1" t="str">
        <f>IFERROR(__xludf.DUMMYFUNCTION("""COMPUTED_VALUE"""),"Karla Mananghaya")</f>
        <v>Karla Mananghaya</v>
      </c>
      <c r="W2287" s="1" t="str">
        <f>IFERROR(__xludf.DUMMYFUNCTION("""COMPUTED_VALUE"""),"Admin Support Service Escalation Team")</f>
        <v>Admin Support Service Escalation Team</v>
      </c>
    </row>
    <row r="2288">
      <c r="O2288" s="1" t="str">
        <f>IFERROR(__xludf.DUMMYFUNCTION("""COMPUTED_VALUE"""),"2026 Feb")</f>
        <v>2026 Feb</v>
      </c>
      <c r="P2288" s="1" t="str">
        <f>IFERROR(__xludf.DUMMYFUNCTION("""COMPUTED_VALUE"""),"Core Product Support")</f>
        <v>Core Product Support</v>
      </c>
      <c r="Q2288" s="1" t="str">
        <f>IFERROR(__xludf.DUMMYFUNCTION("""COMPUTED_VALUE"""),"denden@canva.com")</f>
        <v>denden@canva.com</v>
      </c>
      <c r="R2288" s="1" t="str">
        <f>IFERROR(__xludf.DUMMYFUNCTION("""COMPUTED_VALUE"""),"Den Gutierrez")</f>
        <v>Den Gutierrez</v>
      </c>
      <c r="S2288" s="1">
        <f>IFERROR(__xludf.DUMMYFUNCTION("""COMPUTED_VALUE"""),0.5)</f>
        <v>0.5</v>
      </c>
      <c r="T2288" s="1">
        <f>IFERROR(__xludf.DUMMYFUNCTION("""COMPUTED_VALUE"""),8.92)</f>
        <v>8.92</v>
      </c>
      <c r="U2288" s="2">
        <f>IFERROR(__xludf.DUMMYFUNCTION("""COMPUTED_VALUE"""),9.42)</f>
        <v>9.42</v>
      </c>
      <c r="V2288" s="1" t="str">
        <f>IFERROR(__xludf.DUMMYFUNCTION("""COMPUTED_VALUE"""),"Sieg Ballelos")</f>
        <v>Sieg Ballelos</v>
      </c>
      <c r="W2288" s="1" t="str">
        <f>IFERROR(__xludf.DUMMYFUNCTION("""COMPUTED_VALUE"""),"Core Product Support Escalation Team")</f>
        <v>Core Product Support Escalation Team</v>
      </c>
    </row>
    <row r="2289">
      <c r="O2289" s="1" t="str">
        <f>IFERROR(__xludf.DUMMYFUNCTION("""COMPUTED_VALUE"""),"2026 Feb")</f>
        <v>2026 Feb</v>
      </c>
      <c r="P2289" s="1" t="str">
        <f>IFERROR(__xludf.DUMMYFUNCTION("""COMPUTED_VALUE"""),"Core Product Support")</f>
        <v>Core Product Support</v>
      </c>
      <c r="Q2289" s="1" t="str">
        <f>IFERROR(__xludf.DUMMYFUNCTION("""COMPUTED_VALUE"""),"deniseadrms@canva.com")</f>
        <v>deniseadrms@canva.com</v>
      </c>
      <c r="R2289" s="1" t="str">
        <f>IFERROR(__xludf.DUMMYFUNCTION("""COMPUTED_VALUE"""),"Denise Adoremos")</f>
        <v>Denise Adoremos</v>
      </c>
      <c r="S2289" s="1">
        <f>IFERROR(__xludf.DUMMYFUNCTION("""COMPUTED_VALUE"""),1.0)</f>
        <v>1</v>
      </c>
      <c r="T2289" s="1">
        <f>IFERROR(__xludf.DUMMYFUNCTION("""COMPUTED_VALUE"""),15.5)</f>
        <v>15.5</v>
      </c>
      <c r="U2289" s="2">
        <f>IFERROR(__xludf.DUMMYFUNCTION("""COMPUTED_VALUE"""),16.5)</f>
        <v>16.5</v>
      </c>
      <c r="V2289" s="1" t="str">
        <f>IFERROR(__xludf.DUMMYFUNCTION("""COMPUTED_VALUE"""),"Ana Lazaro")</f>
        <v>Ana Lazaro</v>
      </c>
      <c r="W2289" s="1" t="str">
        <f>IFERROR(__xludf.DUMMYFUNCTION("""COMPUTED_VALUE"""),"Advanced Billing &amp; Subscriptions")</f>
        <v>Advanced Billing &amp; Subscriptions</v>
      </c>
    </row>
    <row r="2290">
      <c r="O2290" s="1" t="str">
        <f>IFERROR(__xludf.DUMMYFUNCTION("""COMPUTED_VALUE"""),"2026 Feb")</f>
        <v>2026 Feb</v>
      </c>
      <c r="P2290" s="1" t="str">
        <f>IFERROR(__xludf.DUMMYFUNCTION("""COMPUTED_VALUE"""),"Segment-specific Support")</f>
        <v>Segment-specific Support</v>
      </c>
      <c r="Q2290" s="1" t="str">
        <f>IFERROR(__xludf.DUMMYFUNCTION("""COMPUTED_VALUE"""),"dymplem@canva.com")</f>
        <v>dymplem@canva.com</v>
      </c>
      <c r="R2290" s="1" t="str">
        <f>IFERROR(__xludf.DUMMYFUNCTION("""COMPUTED_VALUE"""),"Dymple Macaraeg")</f>
        <v>Dymple Macaraeg</v>
      </c>
      <c r="S2290" s="1"/>
      <c r="T2290" s="1">
        <f>IFERROR(__xludf.DUMMYFUNCTION("""COMPUTED_VALUE"""),1.0)</f>
        <v>1</v>
      </c>
      <c r="U2290" s="2">
        <f>IFERROR(__xludf.DUMMYFUNCTION("""COMPUTED_VALUE"""),1.0)</f>
        <v>1</v>
      </c>
      <c r="V2290" s="1" t="str">
        <f>IFERROR(__xludf.DUMMYFUNCTION("""COMPUTED_VALUE"""),"Rose Gabilan")</f>
        <v>Rose Gabilan</v>
      </c>
      <c r="W2290" s="1" t="str">
        <f>IFERROR(__xludf.DUMMYFUNCTION("""COMPUTED_VALUE"""),"Affinity Support")</f>
        <v>Affinity Support</v>
      </c>
    </row>
    <row r="2291">
      <c r="O2291" s="1" t="str">
        <f>IFERROR(__xludf.DUMMYFUNCTION("""COMPUTED_VALUE"""),"2026 Feb")</f>
        <v>2026 Feb</v>
      </c>
      <c r="P2291" s="1" t="str">
        <f>IFERROR(__xludf.DUMMYFUNCTION("""COMPUTED_VALUE"""),"Admin Support")</f>
        <v>Admin Support</v>
      </c>
      <c r="Q2291" s="1" t="str">
        <f>IFERROR(__xludf.DUMMYFUNCTION("""COMPUTED_VALUE"""),"edlico@canva.com")</f>
        <v>edlico@canva.com</v>
      </c>
      <c r="R2291" s="1" t="str">
        <f>IFERROR(__xludf.DUMMYFUNCTION("""COMPUTED_VALUE"""),"Ed Lico")</f>
        <v>Ed Lico</v>
      </c>
      <c r="S2291" s="1"/>
      <c r="T2291" s="1">
        <f>IFERROR(__xludf.DUMMYFUNCTION("""COMPUTED_VALUE"""),3.0)</f>
        <v>3</v>
      </c>
      <c r="U2291" s="2">
        <f>IFERROR(__xludf.DUMMYFUNCTION("""COMPUTED_VALUE"""),3.0)</f>
        <v>3</v>
      </c>
      <c r="V2291" s="1" t="str">
        <f>IFERROR(__xludf.DUMMYFUNCTION("""COMPUTED_VALUE"""),"Pau Palmero")</f>
        <v>Pau Palmero</v>
      </c>
      <c r="W2291" s="1" t="str">
        <f>IFERROR(__xludf.DUMMYFUNCTION("""COMPUTED_VALUE"""),"Admin Omni Support")</f>
        <v>Admin Omni Support</v>
      </c>
    </row>
    <row r="2292">
      <c r="O2292" s="1" t="str">
        <f>IFERROR(__xludf.DUMMYFUNCTION("""COMPUTED_VALUE"""),"2026 Feb")</f>
        <v>2026 Feb</v>
      </c>
      <c r="P2292" s="1" t="str">
        <f>IFERROR(__xludf.DUMMYFUNCTION("""COMPUTED_VALUE"""),"Multilingual Support")</f>
        <v>Multilingual Support</v>
      </c>
      <c r="Q2292" s="1" t="str">
        <f>IFERROR(__xludf.DUMMYFUNCTION("""COMPUTED_VALUE"""),"elmata@canva.com")</f>
        <v>elmata@canva.com</v>
      </c>
      <c r="R2292" s="1" t="str">
        <f>IFERROR(__xludf.DUMMYFUNCTION("""COMPUTED_VALUE"""),"Elmer Matarlo")</f>
        <v>Elmer Matarlo</v>
      </c>
      <c r="S2292" s="1"/>
      <c r="T2292" s="1">
        <f>IFERROR(__xludf.DUMMYFUNCTION("""COMPUTED_VALUE"""),40.0)</f>
        <v>40</v>
      </c>
      <c r="U2292" s="2">
        <f>IFERROR(__xludf.DUMMYFUNCTION("""COMPUTED_VALUE"""),40.0)</f>
        <v>40</v>
      </c>
      <c r="V2292" s="1" t="str">
        <f>IFERROR(__xludf.DUMMYFUNCTION("""COMPUTED_VALUE"""),"Arlene Maurillo")</f>
        <v>Arlene Maurillo</v>
      </c>
      <c r="W2292" s="1" t="str">
        <f>IFERROR(__xludf.DUMMYFUNCTION("""COMPUTED_VALUE"""),"PHL, Multilingual Support")</f>
        <v>PHL, Multilingual Support</v>
      </c>
    </row>
    <row r="2293">
      <c r="O2293" s="1" t="str">
        <f>IFERROR(__xludf.DUMMYFUNCTION("""COMPUTED_VALUE"""),"2026 Feb")</f>
        <v>2026 Feb</v>
      </c>
      <c r="P2293" s="1" t="str">
        <f>IFERROR(__xludf.DUMMYFUNCTION("""COMPUTED_VALUE"""),"Core Product Support")</f>
        <v>Core Product Support</v>
      </c>
      <c r="Q2293" s="1" t="str">
        <f>IFERROR(__xludf.DUMMYFUNCTION("""COMPUTED_VALUE"""),"ena@canva.com")</f>
        <v>ena@canva.com</v>
      </c>
      <c r="R2293" s="1" t="str">
        <f>IFERROR(__xludf.DUMMYFUNCTION("""COMPUTED_VALUE"""),"Ena Reyes")</f>
        <v>Ena Reyes</v>
      </c>
      <c r="S2293" s="1"/>
      <c r="T2293" s="1">
        <f>IFERROR(__xludf.DUMMYFUNCTION("""COMPUTED_VALUE"""),14.83)</f>
        <v>14.83</v>
      </c>
      <c r="U2293" s="2">
        <f>IFERROR(__xludf.DUMMYFUNCTION("""COMPUTED_VALUE"""),14.83)</f>
        <v>14.83</v>
      </c>
      <c r="V2293" s="1" t="str">
        <f>IFERROR(__xludf.DUMMYFUNCTION("""COMPUTED_VALUE"""),"Jem Mondoñedo")</f>
        <v>Jem Mondoñedo</v>
      </c>
      <c r="W2293" s="1" t="str">
        <f>IFERROR(__xludf.DUMMYFUNCTION("""COMPUTED_VALUE"""),"Advanced Billing &amp; Subscriptions")</f>
        <v>Advanced Billing &amp; Subscriptions</v>
      </c>
    </row>
    <row r="2294">
      <c r="O2294" s="1" t="str">
        <f>IFERROR(__xludf.DUMMYFUNCTION("""COMPUTED_VALUE"""),"2026 Feb")</f>
        <v>2026 Feb</v>
      </c>
      <c r="P2294" s="1" t="str">
        <f>IFERROR(__xludf.DUMMYFUNCTION("""COMPUTED_VALUE"""),"Admin Support")</f>
        <v>Admin Support</v>
      </c>
      <c r="Q2294" s="1" t="str">
        <f>IFERROR(__xludf.DUMMYFUNCTION("""COMPUTED_VALUE"""),"enrique@canva.com")</f>
        <v>enrique@canva.com</v>
      </c>
      <c r="R2294" s="1" t="str">
        <f>IFERROR(__xludf.DUMMYFUNCTION("""COMPUTED_VALUE"""),"Enrique Paolo Catuncan")</f>
        <v>Enrique Paolo Catuncan</v>
      </c>
      <c r="S2294" s="1"/>
      <c r="T2294" s="1">
        <f>IFERROR(__xludf.DUMMYFUNCTION("""COMPUTED_VALUE"""),2.67)</f>
        <v>2.67</v>
      </c>
      <c r="U2294" s="2">
        <f>IFERROR(__xludf.DUMMYFUNCTION("""COMPUTED_VALUE"""),2.67)</f>
        <v>2.67</v>
      </c>
      <c r="V2294" s="1" t="str">
        <f>IFERROR(__xludf.DUMMYFUNCTION("""COMPUTED_VALUE"""),"AL Suarez")</f>
        <v>AL Suarez</v>
      </c>
      <c r="W2294" s="1" t="str">
        <f>IFERROR(__xludf.DUMMYFUNCTION("""COMPUTED_VALUE"""),"Admin Direct Support")</f>
        <v>Admin Direct Support</v>
      </c>
    </row>
    <row r="2295">
      <c r="O2295" s="1" t="str">
        <f>IFERROR(__xludf.DUMMYFUNCTION("""COMPUTED_VALUE"""),"2026 Feb")</f>
        <v>2026 Feb</v>
      </c>
      <c r="P2295" s="1" t="str">
        <f>IFERROR(__xludf.DUMMYFUNCTION("""COMPUTED_VALUE"""),"Print Support")</f>
        <v>Print Support</v>
      </c>
      <c r="Q2295" s="1" t="str">
        <f>IFERROR(__xludf.DUMMYFUNCTION("""COMPUTED_VALUE"""),"erielle@canva.com")</f>
        <v>erielle@canva.com</v>
      </c>
      <c r="R2295" s="1" t="str">
        <f>IFERROR(__xludf.DUMMYFUNCTION("""COMPUTED_VALUE"""),"Erielle Singular")</f>
        <v>Erielle Singular</v>
      </c>
      <c r="S2295" s="1"/>
      <c r="T2295" s="1">
        <f>IFERROR(__xludf.DUMMYFUNCTION("""COMPUTED_VALUE"""),1.0)</f>
        <v>1</v>
      </c>
      <c r="U2295" s="2">
        <f>IFERROR(__xludf.DUMMYFUNCTION("""COMPUTED_VALUE"""),1.0)</f>
        <v>1</v>
      </c>
      <c r="V2295" s="1" t="str">
        <f>IFERROR(__xludf.DUMMYFUNCTION("""COMPUTED_VALUE"""),"Rei De Jesus")</f>
        <v>Rei De Jesus</v>
      </c>
      <c r="W2295" s="1" t="str">
        <f>IFERROR(__xludf.DUMMYFUNCTION("""COMPUTED_VALUE"""),"Print Design Support")</f>
        <v>Print Design Support</v>
      </c>
    </row>
    <row r="2296">
      <c r="O2296" s="1" t="str">
        <f>IFERROR(__xludf.DUMMYFUNCTION("""COMPUTED_VALUE"""),"2026 Feb")</f>
        <v>2026 Feb</v>
      </c>
      <c r="P2296" s="1" t="str">
        <f>IFERROR(__xludf.DUMMYFUNCTION("""COMPUTED_VALUE"""),"Core Product Support")</f>
        <v>Core Product Support</v>
      </c>
      <c r="Q2296" s="1" t="str">
        <f>IFERROR(__xludf.DUMMYFUNCTION("""COMPUTED_VALUE"""),"euni@canva.com")</f>
        <v>euni@canva.com</v>
      </c>
      <c r="R2296" s="1" t="str">
        <f>IFERROR(__xludf.DUMMYFUNCTION("""COMPUTED_VALUE"""),"Eunice Hachero")</f>
        <v>Eunice Hachero</v>
      </c>
      <c r="S2296" s="1"/>
      <c r="T2296" s="1">
        <f>IFERROR(__xludf.DUMMYFUNCTION("""COMPUTED_VALUE"""),10.83)</f>
        <v>10.83</v>
      </c>
      <c r="U2296" s="2">
        <f>IFERROR(__xludf.DUMMYFUNCTION("""COMPUTED_VALUE"""),10.83)</f>
        <v>10.83</v>
      </c>
      <c r="V2296" s="1" t="str">
        <f>IFERROR(__xludf.DUMMYFUNCTION("""COMPUTED_VALUE"""),"Marie Mordeno")</f>
        <v>Marie Mordeno</v>
      </c>
      <c r="W2296" s="1" t="str">
        <f>IFERROR(__xludf.DUMMYFUNCTION("""COMPUTED_VALUE"""),"Advanced Billing &amp; Subscriptions")</f>
        <v>Advanced Billing &amp; Subscriptions</v>
      </c>
    </row>
    <row r="2297">
      <c r="O2297" s="1" t="str">
        <f>IFERROR(__xludf.DUMMYFUNCTION("""COMPUTED_VALUE"""),"2026 Feb")</f>
        <v>2026 Feb</v>
      </c>
      <c r="P2297" s="1" t="str">
        <f>IFERROR(__xludf.DUMMYFUNCTION("""COMPUTED_VALUE"""),"Admin Support")</f>
        <v>Admin Support</v>
      </c>
      <c r="Q2297" s="1" t="str">
        <f>IFERROR(__xludf.DUMMYFUNCTION("""COMPUTED_VALUE"""),"eziecl@canva.com")</f>
        <v>eziecl@canva.com</v>
      </c>
      <c r="R2297" s="1" t="str">
        <f>IFERROR(__xludf.DUMMYFUNCTION("""COMPUTED_VALUE"""),"Ezekiel Marlin Lacson")</f>
        <v>Ezekiel Marlin Lacson</v>
      </c>
      <c r="S2297" s="1"/>
      <c r="T2297" s="1">
        <f>IFERROR(__xludf.DUMMYFUNCTION("""COMPUTED_VALUE"""),9.25)</f>
        <v>9.25</v>
      </c>
      <c r="U2297" s="2">
        <f>IFERROR(__xludf.DUMMYFUNCTION("""COMPUTED_VALUE"""),9.25)</f>
        <v>9.25</v>
      </c>
      <c r="V2297" s="1" t="str">
        <f>IFERROR(__xludf.DUMMYFUNCTION("""COMPUTED_VALUE"""),"Pau Palmero")</f>
        <v>Pau Palmero</v>
      </c>
      <c r="W2297" s="1" t="str">
        <f>IFERROR(__xludf.DUMMYFUNCTION("""COMPUTED_VALUE"""),"Admin Omni Support")</f>
        <v>Admin Omni Support</v>
      </c>
    </row>
    <row r="2298">
      <c r="O2298" s="1" t="str">
        <f>IFERROR(__xludf.DUMMYFUNCTION("""COMPUTED_VALUE"""),"2026 Feb")</f>
        <v>2026 Feb</v>
      </c>
      <c r="P2298" s="1" t="str">
        <f>IFERROR(__xludf.DUMMYFUNCTION("""COMPUTED_VALUE"""),"Print Support")</f>
        <v>Print Support</v>
      </c>
      <c r="Q2298" s="1" t="str">
        <f>IFERROR(__xludf.DUMMYFUNCTION("""COMPUTED_VALUE"""),"faith@canva.com")</f>
        <v>faith@canva.com</v>
      </c>
      <c r="R2298" s="1" t="str">
        <f>IFERROR(__xludf.DUMMYFUNCTION("""COMPUTED_VALUE"""),"Faith Ytang")</f>
        <v>Faith Ytang</v>
      </c>
      <c r="S2298" s="1"/>
      <c r="T2298" s="1">
        <f>IFERROR(__xludf.DUMMYFUNCTION("""COMPUTED_VALUE"""),8.25)</f>
        <v>8.25</v>
      </c>
      <c r="U2298" s="2">
        <f>IFERROR(__xludf.DUMMYFUNCTION("""COMPUTED_VALUE"""),8.25)</f>
        <v>8.25</v>
      </c>
      <c r="V2298" s="1" t="str">
        <f>IFERROR(__xludf.DUMMYFUNCTION("""COMPUTED_VALUE"""),"Memae Faustino")</f>
        <v>Memae Faustino</v>
      </c>
      <c r="W2298" s="1" t="str">
        <f>IFERROR(__xludf.DUMMYFUNCTION("""COMPUTED_VALUE"""),"Print Support PH")</f>
        <v>Print Support PH</v>
      </c>
    </row>
    <row r="2299">
      <c r="O2299" s="1" t="str">
        <f>IFERROR(__xludf.DUMMYFUNCTION("""COMPUTED_VALUE"""),"2026 Feb")</f>
        <v>2026 Feb</v>
      </c>
      <c r="P2299" s="1" t="str">
        <f>IFERROR(__xludf.DUMMYFUNCTION("""COMPUTED_VALUE"""),"Multilingual Support")</f>
        <v>Multilingual Support</v>
      </c>
      <c r="Q2299" s="1" t="str">
        <f>IFERROR(__xludf.DUMMYFUNCTION("""COMPUTED_VALUE"""),"francescamat@canva.com")</f>
        <v>francescamat@canva.com</v>
      </c>
      <c r="R2299" s="1" t="str">
        <f>IFERROR(__xludf.DUMMYFUNCTION("""COMPUTED_VALUE"""),"Francesca Mat")</f>
        <v>Francesca Mat</v>
      </c>
      <c r="S2299" s="1"/>
      <c r="T2299" s="1">
        <f>IFERROR(__xludf.DUMMYFUNCTION("""COMPUTED_VALUE"""),40.0)</f>
        <v>40</v>
      </c>
      <c r="U2299" s="2">
        <f>IFERROR(__xludf.DUMMYFUNCTION("""COMPUTED_VALUE"""),40.0)</f>
        <v>40</v>
      </c>
      <c r="V2299" s="1" t="str">
        <f>IFERROR(__xludf.DUMMYFUNCTION("""COMPUTED_VALUE"""),"Arlene Maurillo")</f>
        <v>Arlene Maurillo</v>
      </c>
      <c r="W2299" s="1" t="str">
        <f>IFERROR(__xludf.DUMMYFUNCTION("""COMPUTED_VALUE"""),"PHL, Multilingual Support")</f>
        <v>PHL, Multilingual Support</v>
      </c>
    </row>
    <row r="2300">
      <c r="O2300" s="1" t="str">
        <f>IFERROR(__xludf.DUMMYFUNCTION("""COMPUTED_VALUE"""),"2026 Feb")</f>
        <v>2026 Feb</v>
      </c>
      <c r="P2300" s="1" t="str">
        <f>IFERROR(__xludf.DUMMYFUNCTION("""COMPUTED_VALUE"""),"Core Product Support")</f>
        <v>Core Product Support</v>
      </c>
      <c r="Q2300" s="1" t="str">
        <f>IFERROR(__xludf.DUMMYFUNCTION("""COMPUTED_VALUE"""),"fweill@canva.com")</f>
        <v>fweill@canva.com</v>
      </c>
      <c r="R2300" s="1" t="str">
        <f>IFERROR(__xludf.DUMMYFUNCTION("""COMPUTED_VALUE"""),"Frank Weill")</f>
        <v>Frank Weill</v>
      </c>
      <c r="S2300" s="1"/>
      <c r="T2300" s="1">
        <f>IFERROR(__xludf.DUMMYFUNCTION("""COMPUTED_VALUE"""),14.75)</f>
        <v>14.75</v>
      </c>
      <c r="U2300" s="2">
        <f>IFERROR(__xludf.DUMMYFUNCTION("""COMPUTED_VALUE"""),14.75)</f>
        <v>14.75</v>
      </c>
      <c r="V2300" s="1" t="str">
        <f>IFERROR(__xludf.DUMMYFUNCTION("""COMPUTED_VALUE"""),"Manee Barrasa")</f>
        <v>Manee Barrasa</v>
      </c>
      <c r="W2300" s="1" t="str">
        <f>IFERROR(__xludf.DUMMYFUNCTION("""COMPUTED_VALUE"""),"Advanced Billing &amp; Subscriptions")</f>
        <v>Advanced Billing &amp; Subscriptions</v>
      </c>
    </row>
    <row r="2301">
      <c r="O2301" s="1" t="str">
        <f>IFERROR(__xludf.DUMMYFUNCTION("""COMPUTED_VALUE"""),"2026 Feb")</f>
        <v>2026 Feb</v>
      </c>
      <c r="P2301" s="1" t="str">
        <f>IFERROR(__xludf.DUMMYFUNCTION("""COMPUTED_VALUE"""),"Print Support")</f>
        <v>Print Support</v>
      </c>
      <c r="Q2301" s="1" t="str">
        <f>IFERROR(__xludf.DUMMYFUNCTION("""COMPUTED_VALUE"""),"frencie@canva.com")</f>
        <v>frencie@canva.com</v>
      </c>
      <c r="R2301" s="1" t="str">
        <f>IFERROR(__xludf.DUMMYFUNCTION("""COMPUTED_VALUE"""),"Frencie Guzman")</f>
        <v>Frencie Guzman</v>
      </c>
      <c r="S2301" s="1"/>
      <c r="T2301" s="1">
        <f>IFERROR(__xludf.DUMMYFUNCTION("""COMPUTED_VALUE"""),1.33)</f>
        <v>1.33</v>
      </c>
      <c r="U2301" s="2">
        <f>IFERROR(__xludf.DUMMYFUNCTION("""COMPUTED_VALUE"""),1.33)</f>
        <v>1.33</v>
      </c>
      <c r="V2301" s="1" t="str">
        <f>IFERROR(__xludf.DUMMYFUNCTION("""COMPUTED_VALUE"""),"Aliza Dote")</f>
        <v>Aliza Dote</v>
      </c>
      <c r="W2301" s="1" t="str">
        <f>IFERROR(__xludf.DUMMYFUNCTION("""COMPUTED_VALUE"""),"Print Design Support")</f>
        <v>Print Design Support</v>
      </c>
    </row>
    <row r="2302">
      <c r="O2302" s="1" t="str">
        <f>IFERROR(__xludf.DUMMYFUNCTION("""COMPUTED_VALUE"""),"2026 Feb")</f>
        <v>2026 Feb</v>
      </c>
      <c r="P2302" s="1" t="str">
        <f>IFERROR(__xludf.DUMMYFUNCTION("""COMPUTED_VALUE"""),"Print Support")</f>
        <v>Print Support</v>
      </c>
      <c r="Q2302" s="1" t="str">
        <f>IFERROR(__xludf.DUMMYFUNCTION("""COMPUTED_VALUE"""),"gvr@canva.com")</f>
        <v>gvr@canva.com</v>
      </c>
      <c r="R2302" s="1" t="str">
        <f>IFERROR(__xludf.DUMMYFUNCTION("""COMPUTED_VALUE"""),"Gabriel Reyes")</f>
        <v>Gabriel Reyes</v>
      </c>
      <c r="S2302" s="1"/>
      <c r="T2302" s="1">
        <f>IFERROR(__xludf.DUMMYFUNCTION("""COMPUTED_VALUE"""),11.75)</f>
        <v>11.75</v>
      </c>
      <c r="U2302" s="2">
        <f>IFERROR(__xludf.DUMMYFUNCTION("""COMPUTED_VALUE"""),11.75)</f>
        <v>11.75</v>
      </c>
      <c r="V2302" s="1" t="str">
        <f>IFERROR(__xludf.DUMMYFUNCTION("""COMPUTED_VALUE"""),"Memae Faustino")</f>
        <v>Memae Faustino</v>
      </c>
      <c r="W2302" s="1" t="str">
        <f>IFERROR(__xludf.DUMMYFUNCTION("""COMPUTED_VALUE"""),"Print Support PH")</f>
        <v>Print Support PH</v>
      </c>
    </row>
    <row r="2303">
      <c r="O2303" s="1" t="str">
        <f>IFERROR(__xludf.DUMMYFUNCTION("""COMPUTED_VALUE"""),"2026 Feb")</f>
        <v>2026 Feb</v>
      </c>
      <c r="P2303" s="1" t="str">
        <f>IFERROR(__xludf.DUMMYFUNCTION("""COMPUTED_VALUE"""),"High Sensitivity Support")</f>
        <v>High Sensitivity Support</v>
      </c>
      <c r="Q2303" s="1" t="str">
        <f>IFERROR(__xludf.DUMMYFUNCTION("""COMPUTED_VALUE"""),"gsanandres@canva.com")</f>
        <v>gsanandres@canva.com</v>
      </c>
      <c r="R2303" s="1" t="str">
        <f>IFERROR(__xludf.DUMMYFUNCTION("""COMPUTED_VALUE"""),"Galvin San Andres")</f>
        <v>Galvin San Andres</v>
      </c>
      <c r="S2303" s="1"/>
      <c r="T2303" s="1">
        <f>IFERROR(__xludf.DUMMYFUNCTION("""COMPUTED_VALUE"""),3.25)</f>
        <v>3.25</v>
      </c>
      <c r="U2303" s="2">
        <f>IFERROR(__xludf.DUMMYFUNCTION("""COMPUTED_VALUE"""),3.25)</f>
        <v>3.25</v>
      </c>
      <c r="V2303" s="1" t="str">
        <f>IFERROR(__xludf.DUMMYFUNCTION("""COMPUTED_VALUE"""),"Xandy Azarcon")</f>
        <v>Xandy Azarcon</v>
      </c>
      <c r="W2303" s="1" t="str">
        <f>IFERROR(__xludf.DUMMYFUNCTION("""COMPUTED_VALUE"""),"High Sensitivity Support PH")</f>
        <v>High Sensitivity Support PH</v>
      </c>
    </row>
    <row r="2304">
      <c r="O2304" s="1" t="str">
        <f>IFERROR(__xludf.DUMMYFUNCTION("""COMPUTED_VALUE"""),"2026 Feb")</f>
        <v>2026 Feb</v>
      </c>
      <c r="P2304" s="1" t="str">
        <f>IFERROR(__xludf.DUMMYFUNCTION("""COMPUTED_VALUE"""),"Core Product Support")</f>
        <v>Core Product Support</v>
      </c>
      <c r="Q2304" s="1" t="str">
        <f>IFERROR(__xludf.DUMMYFUNCTION("""COMPUTED_VALUE"""),"gsauler@canva.com")</f>
        <v>gsauler@canva.com</v>
      </c>
      <c r="R2304" s="1" t="str">
        <f>IFERROR(__xludf.DUMMYFUNCTION("""COMPUTED_VALUE"""),"Gem Sauler")</f>
        <v>Gem Sauler</v>
      </c>
      <c r="S2304" s="1"/>
      <c r="T2304" s="1">
        <f>IFERROR(__xludf.DUMMYFUNCTION("""COMPUTED_VALUE"""),11.42)</f>
        <v>11.42</v>
      </c>
      <c r="U2304" s="2">
        <f>IFERROR(__xludf.DUMMYFUNCTION("""COMPUTED_VALUE"""),11.42)</f>
        <v>11.42</v>
      </c>
      <c r="V2304" s="1" t="str">
        <f>IFERROR(__xludf.DUMMYFUNCTION("""COMPUTED_VALUE"""),"Mikhaela Decangchon")</f>
        <v>Mikhaela Decangchon</v>
      </c>
      <c r="W2304" s="1" t="str">
        <f>IFERROR(__xludf.DUMMYFUNCTION("""COMPUTED_VALUE"""),"Advanced Product Support")</f>
        <v>Advanced Product Support</v>
      </c>
    </row>
    <row r="2305">
      <c r="O2305" s="1" t="str">
        <f>IFERROR(__xludf.DUMMYFUNCTION("""COMPUTED_VALUE"""),"2026 Feb")</f>
        <v>2026 Feb</v>
      </c>
      <c r="P2305" s="1" t="str">
        <f>IFERROR(__xludf.DUMMYFUNCTION("""COMPUTED_VALUE"""),"Core Product Support")</f>
        <v>Core Product Support</v>
      </c>
      <c r="Q2305" s="1" t="str">
        <f>IFERROR(__xludf.DUMMYFUNCTION("""COMPUTED_VALUE"""),"gemmalyn@canva.com")</f>
        <v>gemmalyn@canva.com</v>
      </c>
      <c r="R2305" s="1" t="str">
        <f>IFERROR(__xludf.DUMMYFUNCTION("""COMPUTED_VALUE"""),"Gemma Gaddi")</f>
        <v>Gemma Gaddi</v>
      </c>
      <c r="S2305" s="1">
        <f>IFERROR(__xludf.DUMMYFUNCTION("""COMPUTED_VALUE"""),1.0)</f>
        <v>1</v>
      </c>
      <c r="T2305" s="1">
        <f>IFERROR(__xludf.DUMMYFUNCTION("""COMPUTED_VALUE"""),4.0)</f>
        <v>4</v>
      </c>
      <c r="U2305" s="2">
        <f>IFERROR(__xludf.DUMMYFUNCTION("""COMPUTED_VALUE"""),5.0)</f>
        <v>5</v>
      </c>
      <c r="V2305" s="1" t="str">
        <f>IFERROR(__xludf.DUMMYFUNCTION("""COMPUTED_VALUE"""),"Jahmie Mae Barrameda")</f>
        <v>Jahmie Mae Barrameda</v>
      </c>
      <c r="W2305" s="1" t="str">
        <f>IFERROR(__xludf.DUMMYFUNCTION("""COMPUTED_VALUE"""),"Advanced Billing &amp; Subscriptions")</f>
        <v>Advanced Billing &amp; Subscriptions</v>
      </c>
    </row>
    <row r="2306">
      <c r="O2306" s="1" t="str">
        <f>IFERROR(__xludf.DUMMYFUNCTION("""COMPUTED_VALUE"""),"2026 Feb")</f>
        <v>2026 Feb</v>
      </c>
      <c r="P2306" s="1" t="str">
        <f>IFERROR(__xludf.DUMMYFUNCTION("""COMPUTED_VALUE"""),"Core Product Support")</f>
        <v>Core Product Support</v>
      </c>
      <c r="Q2306" s="1" t="str">
        <f>IFERROR(__xludf.DUMMYFUNCTION("""COMPUTED_VALUE"""),"evee@canva.com")</f>
        <v>evee@canva.com</v>
      </c>
      <c r="R2306" s="1" t="str">
        <f>IFERROR(__xludf.DUMMYFUNCTION("""COMPUTED_VALUE"""),"Gen Gingoyon")</f>
        <v>Gen Gingoyon</v>
      </c>
      <c r="S2306" s="1"/>
      <c r="T2306" s="1">
        <f>IFERROR(__xludf.DUMMYFUNCTION("""COMPUTED_VALUE"""),7.25)</f>
        <v>7.25</v>
      </c>
      <c r="U2306" s="2">
        <f>IFERROR(__xludf.DUMMYFUNCTION("""COMPUTED_VALUE"""),7.25)</f>
        <v>7.25</v>
      </c>
      <c r="V2306" s="1" t="str">
        <f>IFERROR(__xludf.DUMMYFUNCTION("""COMPUTED_VALUE"""),"Renette Bok")</f>
        <v>Renette Bok</v>
      </c>
      <c r="W2306" s="1" t="str">
        <f>IFERROR(__xludf.DUMMYFUNCTION("""COMPUTED_VALUE"""),"Advanced Billing &amp; Subscriptions")</f>
        <v>Advanced Billing &amp; Subscriptions</v>
      </c>
    </row>
    <row r="2307">
      <c r="O2307" s="1" t="str">
        <f>IFERROR(__xludf.DUMMYFUNCTION("""COMPUTED_VALUE"""),"2026 Feb")</f>
        <v>2026 Feb</v>
      </c>
      <c r="P2307" s="1" t="str">
        <f>IFERROR(__xludf.DUMMYFUNCTION("""COMPUTED_VALUE"""),"Core Product Support")</f>
        <v>Core Product Support</v>
      </c>
      <c r="Q2307" s="1" t="str">
        <f>IFERROR(__xludf.DUMMYFUNCTION("""COMPUTED_VALUE"""),"gpascua@canva.com")</f>
        <v>gpascua@canva.com</v>
      </c>
      <c r="R2307" s="1" t="str">
        <f>IFERROR(__xludf.DUMMYFUNCTION("""COMPUTED_VALUE"""),"Gernie Pascua")</f>
        <v>Gernie Pascua</v>
      </c>
      <c r="S2307" s="1">
        <f>IFERROR(__xludf.DUMMYFUNCTION("""COMPUTED_VALUE"""),0.5)</f>
        <v>0.5</v>
      </c>
      <c r="T2307" s="1">
        <f>IFERROR(__xludf.DUMMYFUNCTION("""COMPUTED_VALUE"""),10.5)</f>
        <v>10.5</v>
      </c>
      <c r="U2307" s="2">
        <f>IFERROR(__xludf.DUMMYFUNCTION("""COMPUTED_VALUE"""),11.0)</f>
        <v>11</v>
      </c>
      <c r="V2307" s="1" t="str">
        <f>IFERROR(__xludf.DUMMYFUNCTION("""COMPUTED_VALUE"""),"Ellaine Estayo")</f>
        <v>Ellaine Estayo</v>
      </c>
      <c r="W2307" s="1" t="str">
        <f>IFERROR(__xludf.DUMMYFUNCTION("""COMPUTED_VALUE"""),"Core Product Support Escalation Team")</f>
        <v>Core Product Support Escalation Team</v>
      </c>
    </row>
    <row r="2308">
      <c r="O2308" s="1" t="str">
        <f>IFERROR(__xludf.DUMMYFUNCTION("""COMPUTED_VALUE"""),"2026 Feb")</f>
        <v>2026 Feb</v>
      </c>
      <c r="P2308" s="1" t="str">
        <f>IFERROR(__xludf.DUMMYFUNCTION("""COMPUTED_VALUE"""),"Print Support")</f>
        <v>Print Support</v>
      </c>
      <c r="Q2308" s="1" t="str">
        <f>IFERROR(__xludf.DUMMYFUNCTION("""COMPUTED_VALUE"""),"giadacillo@canva.com")</f>
        <v>giadacillo@canva.com</v>
      </c>
      <c r="R2308" s="1" t="str">
        <f>IFERROR(__xludf.DUMMYFUNCTION("""COMPUTED_VALUE"""),"Gia Dacillo")</f>
        <v>Gia Dacillo</v>
      </c>
      <c r="S2308" s="1"/>
      <c r="T2308" s="1">
        <f>IFERROR(__xludf.DUMMYFUNCTION("""COMPUTED_VALUE"""),1.0)</f>
        <v>1</v>
      </c>
      <c r="U2308" s="2">
        <f>IFERROR(__xludf.DUMMYFUNCTION("""COMPUTED_VALUE"""),1.0)</f>
        <v>1</v>
      </c>
      <c r="V2308" s="1" t="str">
        <f>IFERROR(__xludf.DUMMYFUNCTION("""COMPUTED_VALUE"""),"Jan Domingo")</f>
        <v>Jan Domingo</v>
      </c>
      <c r="W2308" s="1" t="str">
        <f>IFERROR(__xludf.DUMMYFUNCTION("""COMPUTED_VALUE"""),"Print Design Support")</f>
        <v>Print Design Support</v>
      </c>
    </row>
    <row r="2309">
      <c r="O2309" s="1" t="str">
        <f>IFERROR(__xludf.DUMMYFUNCTION("""COMPUTED_VALUE"""),"2026 Feb")</f>
        <v>2026 Feb</v>
      </c>
      <c r="P2309" s="1" t="str">
        <f>IFERROR(__xludf.DUMMYFUNCTION("""COMPUTED_VALUE"""),"Core Product Support")</f>
        <v>Core Product Support</v>
      </c>
      <c r="Q2309" s="1" t="str">
        <f>IFERROR(__xludf.DUMMYFUNCTION("""COMPUTED_VALUE"""),"gieslnts@canva.com")</f>
        <v>gieslnts@canva.com</v>
      </c>
      <c r="R2309" s="1" t="str">
        <f>IFERROR(__xludf.DUMMYFUNCTION("""COMPUTED_VALUE"""),"Gieann Salantes")</f>
        <v>Gieann Salantes</v>
      </c>
      <c r="S2309" s="1">
        <f>IFERROR(__xludf.DUMMYFUNCTION("""COMPUTED_VALUE"""),0.5)</f>
        <v>0.5</v>
      </c>
      <c r="T2309" s="1">
        <f>IFERROR(__xludf.DUMMYFUNCTION("""COMPUTED_VALUE"""),12.09)</f>
        <v>12.09</v>
      </c>
      <c r="U2309" s="2">
        <f>IFERROR(__xludf.DUMMYFUNCTION("""COMPUTED_VALUE"""),12.59)</f>
        <v>12.59</v>
      </c>
      <c r="V2309" s="1" t="str">
        <f>IFERROR(__xludf.DUMMYFUNCTION("""COMPUTED_VALUE"""),"Sieg Ballelos")</f>
        <v>Sieg Ballelos</v>
      </c>
      <c r="W2309" s="1" t="str">
        <f>IFERROR(__xludf.DUMMYFUNCTION("""COMPUTED_VALUE"""),"Core Product Support Escalation Team")</f>
        <v>Core Product Support Escalation Team</v>
      </c>
    </row>
    <row r="2310">
      <c r="O2310" s="1" t="str">
        <f>IFERROR(__xludf.DUMMYFUNCTION("""COMPUTED_VALUE"""),"2026 Feb")</f>
        <v>2026 Feb</v>
      </c>
      <c r="P2310" s="1" t="str">
        <f>IFERROR(__xludf.DUMMYFUNCTION("""COMPUTED_VALUE"""),"Admin Support")</f>
        <v>Admin Support</v>
      </c>
      <c r="Q2310" s="1" t="str">
        <f>IFERROR(__xludf.DUMMYFUNCTION("""COMPUTED_VALUE"""),"glennford@canva.com")</f>
        <v>glennford@canva.com</v>
      </c>
      <c r="R2310" s="1" t="str">
        <f>IFERROR(__xludf.DUMMYFUNCTION("""COMPUTED_VALUE"""),"Glenn Gutierrez")</f>
        <v>Glenn Gutierrez</v>
      </c>
      <c r="S2310" s="1"/>
      <c r="T2310" s="1">
        <f>IFERROR(__xludf.DUMMYFUNCTION("""COMPUTED_VALUE"""),1.0)</f>
        <v>1</v>
      </c>
      <c r="U2310" s="2">
        <f>IFERROR(__xludf.DUMMYFUNCTION("""COMPUTED_VALUE"""),1.0)</f>
        <v>1</v>
      </c>
      <c r="V2310" s="1" t="str">
        <f>IFERROR(__xludf.DUMMYFUNCTION("""COMPUTED_VALUE"""),"Karla Mananghaya")</f>
        <v>Karla Mananghaya</v>
      </c>
      <c r="W2310" s="1" t="str">
        <f>IFERROR(__xludf.DUMMYFUNCTION("""COMPUTED_VALUE"""),"Admin Support Service Escalation Team")</f>
        <v>Admin Support Service Escalation Team</v>
      </c>
    </row>
    <row r="2311">
      <c r="O2311" s="1" t="str">
        <f>IFERROR(__xludf.DUMMYFUNCTION("""COMPUTED_VALUE"""),"2026 Feb")</f>
        <v>2026 Feb</v>
      </c>
      <c r="P2311" s="1" t="str">
        <f>IFERROR(__xludf.DUMMYFUNCTION("""COMPUTED_VALUE"""),"Core Product Support")</f>
        <v>Core Product Support</v>
      </c>
      <c r="Q2311" s="1" t="str">
        <f>IFERROR(__xludf.DUMMYFUNCTION("""COMPUTED_VALUE"""),"gracegarcia@canva.com")</f>
        <v>gracegarcia@canva.com</v>
      </c>
      <c r="R2311" s="1" t="str">
        <f>IFERROR(__xludf.DUMMYFUNCTION("""COMPUTED_VALUE"""),"Grace Garcia")</f>
        <v>Grace Garcia</v>
      </c>
      <c r="S2311" s="1"/>
      <c r="T2311" s="1">
        <f>IFERROR(__xludf.DUMMYFUNCTION("""COMPUTED_VALUE"""),16.25)</f>
        <v>16.25</v>
      </c>
      <c r="U2311" s="2">
        <f>IFERROR(__xludf.DUMMYFUNCTION("""COMPUTED_VALUE"""),16.25)</f>
        <v>16.25</v>
      </c>
      <c r="V2311" s="1" t="str">
        <f>IFERROR(__xludf.DUMMYFUNCTION("""COMPUTED_VALUE"""),"Marie Mordeno")</f>
        <v>Marie Mordeno</v>
      </c>
      <c r="W2311" s="1" t="str">
        <f>IFERROR(__xludf.DUMMYFUNCTION("""COMPUTED_VALUE"""),"Advanced Billing &amp; Subscriptions")</f>
        <v>Advanced Billing &amp; Subscriptions</v>
      </c>
    </row>
    <row r="2312">
      <c r="O2312" s="1" t="str">
        <f>IFERROR(__xludf.DUMMYFUNCTION("""COMPUTED_VALUE"""),"2026 Feb")</f>
        <v>2026 Feb</v>
      </c>
      <c r="P2312" s="1" t="str">
        <f>IFERROR(__xludf.DUMMYFUNCTION("""COMPUTED_VALUE"""),"Core Product Support")</f>
        <v>Core Product Support</v>
      </c>
      <c r="Q2312" s="1" t="str">
        <f>IFERROR(__xludf.DUMMYFUNCTION("""COMPUTED_VALUE"""),"hanni@canva.com")</f>
        <v>hanni@canva.com</v>
      </c>
      <c r="R2312" s="1" t="str">
        <f>IFERROR(__xludf.DUMMYFUNCTION("""COMPUTED_VALUE"""),"Hannah Bejo")</f>
        <v>Hannah Bejo</v>
      </c>
      <c r="S2312" s="1">
        <f>IFERROR(__xludf.DUMMYFUNCTION("""COMPUTED_VALUE"""),0.5)</f>
        <v>0.5</v>
      </c>
      <c r="T2312" s="1">
        <f>IFERROR(__xludf.DUMMYFUNCTION("""COMPUTED_VALUE"""),14.92)</f>
        <v>14.92</v>
      </c>
      <c r="U2312" s="2">
        <f>IFERROR(__xludf.DUMMYFUNCTION("""COMPUTED_VALUE"""),15.42)</f>
        <v>15.42</v>
      </c>
      <c r="V2312" s="1" t="str">
        <f>IFERROR(__xludf.DUMMYFUNCTION("""COMPUTED_VALUE"""),"Ayza Marie Pascual")</f>
        <v>Ayza Marie Pascual</v>
      </c>
      <c r="W2312" s="1" t="str">
        <f>IFERROR(__xludf.DUMMYFUNCTION("""COMPUTED_VALUE"""),"Advanced Billing &amp; Subscriptions")</f>
        <v>Advanced Billing &amp; Subscriptions</v>
      </c>
    </row>
    <row r="2313">
      <c r="O2313" s="1" t="str">
        <f>IFERROR(__xludf.DUMMYFUNCTION("""COMPUTED_VALUE"""),"2026 Feb")</f>
        <v>2026 Feb</v>
      </c>
      <c r="P2313" s="1" t="str">
        <f>IFERROR(__xludf.DUMMYFUNCTION("""COMPUTED_VALUE"""),"Core Product Support")</f>
        <v>Core Product Support</v>
      </c>
      <c r="Q2313" s="1" t="str">
        <f>IFERROR(__xludf.DUMMYFUNCTION("""COMPUTED_VALUE"""),"hdecena@canva.com")</f>
        <v>hdecena@canva.com</v>
      </c>
      <c r="R2313" s="1" t="str">
        <f>IFERROR(__xludf.DUMMYFUNCTION("""COMPUTED_VALUE"""),"Hannah Decena")</f>
        <v>Hannah Decena</v>
      </c>
      <c r="S2313" s="1"/>
      <c r="T2313" s="1">
        <f>IFERROR(__xludf.DUMMYFUNCTION("""COMPUTED_VALUE"""),15.95)</f>
        <v>15.95</v>
      </c>
      <c r="U2313" s="2">
        <f>IFERROR(__xludf.DUMMYFUNCTION("""COMPUTED_VALUE"""),15.95)</f>
        <v>15.95</v>
      </c>
      <c r="V2313" s="1" t="str">
        <f>IFERROR(__xludf.DUMMYFUNCTION("""COMPUTED_VALUE"""),"Ana Lazaro")</f>
        <v>Ana Lazaro</v>
      </c>
      <c r="W2313" s="1" t="str">
        <f>IFERROR(__xludf.DUMMYFUNCTION("""COMPUTED_VALUE"""),"Advanced Billing &amp; Subscriptions")</f>
        <v>Advanced Billing &amp; Subscriptions</v>
      </c>
    </row>
    <row r="2314">
      <c r="O2314" s="1" t="str">
        <f>IFERROR(__xludf.DUMMYFUNCTION("""COMPUTED_VALUE"""),"2026 Feb")</f>
        <v>2026 Feb</v>
      </c>
      <c r="P2314" s="1" t="str">
        <f>IFERROR(__xludf.DUMMYFUNCTION("""COMPUTED_VALUE"""),"High Sensitivity Support")</f>
        <v>High Sensitivity Support</v>
      </c>
      <c r="Q2314" s="1" t="str">
        <f>IFERROR(__xludf.DUMMYFUNCTION("""COMPUTED_VALUE"""),"hannahd@canva.com")</f>
        <v>hannahd@canva.com</v>
      </c>
      <c r="R2314" s="1" t="str">
        <f>IFERROR(__xludf.DUMMYFUNCTION("""COMPUTED_VALUE"""),"Hannah Dimayuga")</f>
        <v>Hannah Dimayuga</v>
      </c>
      <c r="S2314" s="1"/>
      <c r="T2314" s="1">
        <f>IFERROR(__xludf.DUMMYFUNCTION("""COMPUTED_VALUE"""),2.33)</f>
        <v>2.33</v>
      </c>
      <c r="U2314" s="2">
        <f>IFERROR(__xludf.DUMMYFUNCTION("""COMPUTED_VALUE"""),2.33)</f>
        <v>2.33</v>
      </c>
      <c r="V2314" s="1" t="str">
        <f>IFERROR(__xludf.DUMMYFUNCTION("""COMPUTED_VALUE"""),"Rex Villamor")</f>
        <v>Rex Villamor</v>
      </c>
      <c r="W2314" s="1" t="str">
        <f>IFERROR(__xludf.DUMMYFUNCTION("""COMPUTED_VALUE"""),"High Sensitivity Support PH")</f>
        <v>High Sensitivity Support PH</v>
      </c>
    </row>
    <row r="2315">
      <c r="O2315" s="1" t="str">
        <f>IFERROR(__xludf.DUMMYFUNCTION("""COMPUTED_VALUE"""),"2026 Feb")</f>
        <v>2026 Feb</v>
      </c>
      <c r="P2315" s="1" t="str">
        <f>IFERROR(__xludf.DUMMYFUNCTION("""COMPUTED_VALUE"""),"Core Product Support")</f>
        <v>Core Product Support</v>
      </c>
      <c r="Q2315" s="1" t="str">
        <f>IFERROR(__xludf.DUMMYFUNCTION("""COMPUTED_VALUE"""),"hazzel@canva.com")</f>
        <v>hazzel@canva.com</v>
      </c>
      <c r="R2315" s="1" t="str">
        <f>IFERROR(__xludf.DUMMYFUNCTION("""COMPUTED_VALUE"""),"Haze Rafon")</f>
        <v>Haze Rafon</v>
      </c>
      <c r="S2315" s="1">
        <f>IFERROR(__xludf.DUMMYFUNCTION("""COMPUTED_VALUE"""),1.0)</f>
        <v>1</v>
      </c>
      <c r="T2315" s="1">
        <f>IFERROR(__xludf.DUMMYFUNCTION("""COMPUTED_VALUE"""),11.0)</f>
        <v>11</v>
      </c>
      <c r="U2315" s="2">
        <f>IFERROR(__xludf.DUMMYFUNCTION("""COMPUTED_VALUE"""),12.0)</f>
        <v>12</v>
      </c>
      <c r="V2315" s="1" t="str">
        <f>IFERROR(__xludf.DUMMYFUNCTION("""COMPUTED_VALUE"""),"Sieg Ballelos")</f>
        <v>Sieg Ballelos</v>
      </c>
      <c r="W2315" s="1" t="str">
        <f>IFERROR(__xludf.DUMMYFUNCTION("""COMPUTED_VALUE"""),"Core Product Support Escalation Team")</f>
        <v>Core Product Support Escalation Team</v>
      </c>
    </row>
    <row r="2316">
      <c r="O2316" s="1" t="str">
        <f>IFERROR(__xludf.DUMMYFUNCTION("""COMPUTED_VALUE"""),"2026 Feb")</f>
        <v>2026 Feb</v>
      </c>
      <c r="P2316" s="1" t="str">
        <f>IFERROR(__xludf.DUMMYFUNCTION("""COMPUTED_VALUE"""),"Segment-specific Support")</f>
        <v>Segment-specific Support</v>
      </c>
      <c r="Q2316" s="1" t="str">
        <f>IFERROR(__xludf.DUMMYFUNCTION("""COMPUTED_VALUE"""),"icetamayo@canva.com")</f>
        <v>icetamayo@canva.com</v>
      </c>
      <c r="R2316" s="1" t="str">
        <f>IFERROR(__xludf.DUMMYFUNCTION("""COMPUTED_VALUE"""),"Ice Montecillo-Tamayo")</f>
        <v>Ice Montecillo-Tamayo</v>
      </c>
      <c r="S2316" s="1"/>
      <c r="T2316" s="1">
        <f>IFERROR(__xludf.DUMMYFUNCTION("""COMPUTED_VALUE"""),10.33)</f>
        <v>10.33</v>
      </c>
      <c r="U2316" s="2">
        <f>IFERROR(__xludf.DUMMYFUNCTION("""COMPUTED_VALUE"""),10.33)</f>
        <v>10.33</v>
      </c>
      <c r="V2316" s="1" t="str">
        <f>IFERROR(__xludf.DUMMYFUNCTION("""COMPUTED_VALUE"""),"Rose Gabilan")</f>
        <v>Rose Gabilan</v>
      </c>
      <c r="W2316" s="1" t="str">
        <f>IFERROR(__xludf.DUMMYFUNCTION("""COMPUTED_VALUE"""),"Affinity Support")</f>
        <v>Affinity Support</v>
      </c>
    </row>
    <row r="2317">
      <c r="O2317" s="1" t="str">
        <f>IFERROR(__xludf.DUMMYFUNCTION("""COMPUTED_VALUE"""),"2026 Feb")</f>
        <v>2026 Feb</v>
      </c>
      <c r="P2317" s="1" t="str">
        <f>IFERROR(__xludf.DUMMYFUNCTION("""COMPUTED_VALUE"""),"Core Product Support")</f>
        <v>Core Product Support</v>
      </c>
      <c r="Q2317" s="1" t="str">
        <f>IFERROR(__xludf.DUMMYFUNCTION("""COMPUTED_VALUE"""),"mrwong@canva.com")</f>
        <v>mrwong@canva.com</v>
      </c>
      <c r="R2317" s="1" t="str">
        <f>IFERROR(__xludf.DUMMYFUNCTION("""COMPUTED_VALUE"""),"Ino Wong")</f>
        <v>Ino Wong</v>
      </c>
      <c r="S2317" s="1">
        <f>IFERROR(__xludf.DUMMYFUNCTION("""COMPUTED_VALUE"""),0.5)</f>
        <v>0.5</v>
      </c>
      <c r="T2317" s="1">
        <f>IFERROR(__xludf.DUMMYFUNCTION("""COMPUTED_VALUE"""),15.0)</f>
        <v>15</v>
      </c>
      <c r="U2317" s="2">
        <f>IFERROR(__xludf.DUMMYFUNCTION("""COMPUTED_VALUE"""),15.5)</f>
        <v>15.5</v>
      </c>
      <c r="V2317" s="1" t="str">
        <f>IFERROR(__xludf.DUMMYFUNCTION("""COMPUTED_VALUE"""),"Jem Mondoñedo")</f>
        <v>Jem Mondoñedo</v>
      </c>
      <c r="W2317" s="1" t="str">
        <f>IFERROR(__xludf.DUMMYFUNCTION("""COMPUTED_VALUE"""),"Advanced Billing &amp; Subscriptions")</f>
        <v>Advanced Billing &amp; Subscriptions</v>
      </c>
    </row>
    <row r="2318">
      <c r="O2318" s="1" t="str">
        <f>IFERROR(__xludf.DUMMYFUNCTION("""COMPUTED_VALUE"""),"2026 Feb")</f>
        <v>2026 Feb</v>
      </c>
      <c r="P2318" s="1" t="str">
        <f>IFERROR(__xludf.DUMMYFUNCTION("""COMPUTED_VALUE"""),"Segment-specific Support")</f>
        <v>Segment-specific Support</v>
      </c>
      <c r="Q2318" s="1" t="str">
        <f>IFERROR(__xludf.DUMMYFUNCTION("""COMPUTED_VALUE"""),"ivy@canva.com")</f>
        <v>ivy@canva.com</v>
      </c>
      <c r="R2318" s="1" t="str">
        <f>IFERROR(__xludf.DUMMYFUNCTION("""COMPUTED_VALUE"""),"Ivy Sabado")</f>
        <v>Ivy Sabado</v>
      </c>
      <c r="S2318" s="1"/>
      <c r="T2318" s="1">
        <f>IFERROR(__xludf.DUMMYFUNCTION("""COMPUTED_VALUE"""),1.0)</f>
        <v>1</v>
      </c>
      <c r="U2318" s="2">
        <f>IFERROR(__xludf.DUMMYFUNCTION("""COMPUTED_VALUE"""),1.0)</f>
        <v>1</v>
      </c>
      <c r="V2318" s="1" t="str">
        <f>IFERROR(__xludf.DUMMYFUNCTION("""COMPUTED_VALUE"""),"Aileen Dayanghirang")</f>
        <v>Aileen Dayanghirang</v>
      </c>
      <c r="W2318" s="1" t="str">
        <f>IFERROR(__xludf.DUMMYFUNCTION("""COMPUTED_VALUE"""),"Creators Support")</f>
        <v>Creators Support</v>
      </c>
    </row>
    <row r="2319">
      <c r="O2319" s="1" t="str">
        <f>IFERROR(__xludf.DUMMYFUNCTION("""COMPUTED_VALUE"""),"2026 Feb")</f>
        <v>2026 Feb</v>
      </c>
      <c r="P2319" s="1" t="str">
        <f>IFERROR(__xludf.DUMMYFUNCTION("""COMPUTED_VALUE"""),"Core Product Support")</f>
        <v>Core Product Support</v>
      </c>
      <c r="Q2319" s="1" t="str">
        <f>IFERROR(__xludf.DUMMYFUNCTION("""COMPUTED_VALUE"""),"iyaacuyong@canva.com")</f>
        <v>iyaacuyong@canva.com</v>
      </c>
      <c r="R2319" s="1" t="str">
        <f>IFERROR(__xludf.DUMMYFUNCTION("""COMPUTED_VALUE"""),"Iya Acuyong")</f>
        <v>Iya Acuyong</v>
      </c>
      <c r="S2319" s="1"/>
      <c r="T2319" s="1">
        <f>IFERROR(__xludf.DUMMYFUNCTION("""COMPUTED_VALUE"""),20.5)</f>
        <v>20.5</v>
      </c>
      <c r="U2319" s="2">
        <f>IFERROR(__xludf.DUMMYFUNCTION("""COMPUTED_VALUE"""),20.5)</f>
        <v>20.5</v>
      </c>
      <c r="V2319" s="1" t="str">
        <f>IFERROR(__xludf.DUMMYFUNCTION("""COMPUTED_VALUE"""),"Mikhaela Decangchon")</f>
        <v>Mikhaela Decangchon</v>
      </c>
      <c r="W2319" s="1" t="str">
        <f>IFERROR(__xludf.DUMMYFUNCTION("""COMPUTED_VALUE"""),"Advanced Product Support")</f>
        <v>Advanced Product Support</v>
      </c>
    </row>
    <row r="2320">
      <c r="O2320" s="1" t="str">
        <f>IFERROR(__xludf.DUMMYFUNCTION("""COMPUTED_VALUE"""),"2026 Feb")</f>
        <v>2026 Feb</v>
      </c>
      <c r="P2320" s="1" t="str">
        <f>IFERROR(__xludf.DUMMYFUNCTION("""COMPUTED_VALUE"""),"Print Support")</f>
        <v>Print Support</v>
      </c>
      <c r="Q2320" s="1" t="str">
        <f>IFERROR(__xludf.DUMMYFUNCTION("""COMPUTED_VALUE"""),"jagumasing@canva.com")</f>
        <v>jagumasing@canva.com</v>
      </c>
      <c r="R2320" s="1" t="str">
        <f>IFERROR(__xludf.DUMMYFUNCTION("""COMPUTED_VALUE"""),"Ja Gumasing")</f>
        <v>Ja Gumasing</v>
      </c>
      <c r="S2320" s="1"/>
      <c r="T2320" s="1">
        <f>IFERROR(__xludf.DUMMYFUNCTION("""COMPUTED_VALUE"""),17.42)</f>
        <v>17.42</v>
      </c>
      <c r="U2320" s="2">
        <f>IFERROR(__xludf.DUMMYFUNCTION("""COMPUTED_VALUE"""),17.42)</f>
        <v>17.42</v>
      </c>
      <c r="V2320" s="1" t="str">
        <f>IFERROR(__xludf.DUMMYFUNCTION("""COMPUTED_VALUE"""),"Althea Mercado")</f>
        <v>Althea Mercado</v>
      </c>
      <c r="W2320" s="1" t="str">
        <f>IFERROR(__xludf.DUMMYFUNCTION("""COMPUTED_VALUE"""),"Print Support PH")</f>
        <v>Print Support PH</v>
      </c>
    </row>
    <row r="2321">
      <c r="O2321" s="1" t="str">
        <f>IFERROR(__xludf.DUMMYFUNCTION("""COMPUTED_VALUE"""),"2026 Feb")</f>
        <v>2026 Feb</v>
      </c>
      <c r="P2321" s="1" t="str">
        <f>IFERROR(__xludf.DUMMYFUNCTION("""COMPUTED_VALUE"""),"Admin Support")</f>
        <v>Admin Support</v>
      </c>
      <c r="Q2321" s="1" t="str">
        <f>IFERROR(__xludf.DUMMYFUNCTION("""COMPUTED_VALUE"""),"jacobgarza@canva.com")</f>
        <v>jacobgarza@canva.com</v>
      </c>
      <c r="R2321" s="1" t="str">
        <f>IFERROR(__xludf.DUMMYFUNCTION("""COMPUTED_VALUE"""),"Jacob Garza")</f>
        <v>Jacob Garza</v>
      </c>
      <c r="S2321" s="1"/>
      <c r="T2321" s="1">
        <f>IFERROR(__xludf.DUMMYFUNCTION("""COMPUTED_VALUE"""),1.0)</f>
        <v>1</v>
      </c>
      <c r="U2321" s="2">
        <f>IFERROR(__xludf.DUMMYFUNCTION("""COMPUTED_VALUE"""),1.0)</f>
        <v>1</v>
      </c>
      <c r="V2321" s="1" t="str">
        <f>IFERROR(__xludf.DUMMYFUNCTION("""COMPUTED_VALUE"""),"Nate Vela")</f>
        <v>Nate Vela</v>
      </c>
      <c r="W2321" s="1" t="str">
        <f>IFERROR(__xludf.DUMMYFUNCTION("""COMPUTED_VALUE"""),"Admin Support NA")</f>
        <v>Admin Support NA</v>
      </c>
    </row>
    <row r="2322">
      <c r="O2322" s="1" t="str">
        <f>IFERROR(__xludf.DUMMYFUNCTION("""COMPUTED_VALUE"""),"2026 Feb")</f>
        <v>2026 Feb</v>
      </c>
      <c r="P2322" s="1" t="str">
        <f>IFERROR(__xludf.DUMMYFUNCTION("""COMPUTED_VALUE"""),"Core Product Support")</f>
        <v>Core Product Support</v>
      </c>
      <c r="Q2322" s="1" t="str">
        <f>IFERROR(__xludf.DUMMYFUNCTION("""COMPUTED_VALUE"""),"jacque@canva.com")</f>
        <v>jacque@canva.com</v>
      </c>
      <c r="R2322" s="1" t="str">
        <f>IFERROR(__xludf.DUMMYFUNCTION("""COMPUTED_VALUE"""),"Jacqueline Gay")</f>
        <v>Jacqueline Gay</v>
      </c>
      <c r="S2322" s="1"/>
      <c r="T2322" s="1">
        <f>IFERROR(__xludf.DUMMYFUNCTION("""COMPUTED_VALUE"""),14.75)</f>
        <v>14.75</v>
      </c>
      <c r="U2322" s="2">
        <f>IFERROR(__xludf.DUMMYFUNCTION("""COMPUTED_VALUE"""),14.75)</f>
        <v>14.75</v>
      </c>
      <c r="V2322" s="1" t="str">
        <f>IFERROR(__xludf.DUMMYFUNCTION("""COMPUTED_VALUE"""),"Jem Mondoñedo")</f>
        <v>Jem Mondoñedo</v>
      </c>
      <c r="W2322" s="1" t="str">
        <f>IFERROR(__xludf.DUMMYFUNCTION("""COMPUTED_VALUE"""),"Advanced Billing &amp; Subscriptions")</f>
        <v>Advanced Billing &amp; Subscriptions</v>
      </c>
    </row>
    <row r="2323">
      <c r="O2323" s="1" t="str">
        <f>IFERROR(__xludf.DUMMYFUNCTION("""COMPUTED_VALUE"""),"2026 Feb")</f>
        <v>2026 Feb</v>
      </c>
      <c r="P2323" s="1" t="str">
        <f>IFERROR(__xludf.DUMMYFUNCTION("""COMPUTED_VALUE"""),"Print Support")</f>
        <v>Print Support</v>
      </c>
      <c r="Q2323" s="1" t="str">
        <f>IFERROR(__xludf.DUMMYFUNCTION("""COMPUTED_VALUE"""),"jadec@canva.com")</f>
        <v>jadec@canva.com</v>
      </c>
      <c r="R2323" s="1" t="str">
        <f>IFERROR(__xludf.DUMMYFUNCTION("""COMPUTED_VALUE"""),"Jade Curitana")</f>
        <v>Jade Curitana</v>
      </c>
      <c r="S2323" s="1"/>
      <c r="T2323" s="1">
        <f>IFERROR(__xludf.DUMMYFUNCTION("""COMPUTED_VALUE"""),11.08)</f>
        <v>11.08</v>
      </c>
      <c r="U2323" s="2">
        <f>IFERROR(__xludf.DUMMYFUNCTION("""COMPUTED_VALUE"""),11.08)</f>
        <v>11.08</v>
      </c>
      <c r="V2323" s="1" t="str">
        <f>IFERROR(__xludf.DUMMYFUNCTION("""COMPUTED_VALUE"""),"Louise Dianne Estrella")</f>
        <v>Louise Dianne Estrella</v>
      </c>
      <c r="W2323" s="1" t="str">
        <f>IFERROR(__xludf.DUMMYFUNCTION("""COMPUTED_VALUE"""),"Print Support PH")</f>
        <v>Print Support PH</v>
      </c>
    </row>
    <row r="2324">
      <c r="O2324" s="1" t="str">
        <f>IFERROR(__xludf.DUMMYFUNCTION("""COMPUTED_VALUE"""),"2026 Feb")</f>
        <v>2026 Feb</v>
      </c>
      <c r="P2324" s="1" t="str">
        <f>IFERROR(__xludf.DUMMYFUNCTION("""COMPUTED_VALUE"""),"High Sensitivity Support")</f>
        <v>High Sensitivity Support</v>
      </c>
      <c r="Q2324" s="1" t="str">
        <f>IFERROR(__xludf.DUMMYFUNCTION("""COMPUTED_VALUE"""),"jammyb@canva.com")</f>
        <v>jammyb@canva.com</v>
      </c>
      <c r="R2324" s="1" t="str">
        <f>IFERROR(__xludf.DUMMYFUNCTION("""COMPUTED_VALUE"""),"Jam Bacani")</f>
        <v>Jam Bacani</v>
      </c>
      <c r="S2324" s="1"/>
      <c r="T2324" s="1">
        <f>IFERROR(__xludf.DUMMYFUNCTION("""COMPUTED_VALUE"""),1.73)</f>
        <v>1.73</v>
      </c>
      <c r="U2324" s="2">
        <f>IFERROR(__xludf.DUMMYFUNCTION("""COMPUTED_VALUE"""),1.73)</f>
        <v>1.73</v>
      </c>
      <c r="V2324" s="1" t="str">
        <f>IFERROR(__xludf.DUMMYFUNCTION("""COMPUTED_VALUE"""),"Rossheen Pura")</f>
        <v>Rossheen Pura</v>
      </c>
      <c r="W2324" s="1" t="str">
        <f>IFERROR(__xludf.DUMMYFUNCTION("""COMPUTED_VALUE"""),"High Sensitivity Support PH")</f>
        <v>High Sensitivity Support PH</v>
      </c>
    </row>
    <row r="2325">
      <c r="O2325" s="1" t="str">
        <f>IFERROR(__xludf.DUMMYFUNCTION("""COMPUTED_VALUE"""),"2026 Feb")</f>
        <v>2026 Feb</v>
      </c>
      <c r="P2325" s="1" t="str">
        <f>IFERROR(__xludf.DUMMYFUNCTION("""COMPUTED_VALUE"""),"Segment-specific Support")</f>
        <v>Segment-specific Support</v>
      </c>
      <c r="Q2325" s="1" t="str">
        <f>IFERROR(__xludf.DUMMYFUNCTION("""COMPUTED_VALUE"""),"jgamboa@canva.com")</f>
        <v>jgamboa@canva.com</v>
      </c>
      <c r="R2325" s="1" t="str">
        <f>IFERROR(__xludf.DUMMYFUNCTION("""COMPUTED_VALUE"""),"James Marrion Gamboa")</f>
        <v>James Marrion Gamboa</v>
      </c>
      <c r="S2325" s="1"/>
      <c r="T2325" s="1">
        <f>IFERROR(__xludf.DUMMYFUNCTION("""COMPUTED_VALUE"""),1.0)</f>
        <v>1</v>
      </c>
      <c r="U2325" s="2">
        <f>IFERROR(__xludf.DUMMYFUNCTION("""COMPUTED_VALUE"""),1.0)</f>
        <v>1</v>
      </c>
      <c r="V2325" s="1" t="str">
        <f>IFERROR(__xludf.DUMMYFUNCTION("""COMPUTED_VALUE"""),"Rose Gabilan")</f>
        <v>Rose Gabilan</v>
      </c>
      <c r="W2325" s="1" t="str">
        <f>IFERROR(__xludf.DUMMYFUNCTION("""COMPUTED_VALUE"""),"Affinity Support")</f>
        <v>Affinity Support</v>
      </c>
    </row>
    <row r="2326">
      <c r="O2326" s="1" t="str">
        <f>IFERROR(__xludf.DUMMYFUNCTION("""COMPUTED_VALUE"""),"2026 Feb")</f>
        <v>2026 Feb</v>
      </c>
      <c r="P2326" s="1" t="str">
        <f>IFERROR(__xludf.DUMMYFUNCTION("""COMPUTED_VALUE"""),"Print Support")</f>
        <v>Print Support</v>
      </c>
      <c r="Q2326" s="1" t="str">
        <f>IFERROR(__xludf.DUMMYFUNCTION("""COMPUTED_VALUE"""),"janpaolopena@canva.com")</f>
        <v>janpaolopena@canva.com</v>
      </c>
      <c r="R2326" s="1" t="str">
        <f>IFERROR(__xludf.DUMMYFUNCTION("""COMPUTED_VALUE"""),"Jan Peña")</f>
        <v>Jan Peña</v>
      </c>
      <c r="S2326" s="1"/>
      <c r="T2326" s="1">
        <f>IFERROR(__xludf.DUMMYFUNCTION("""COMPUTED_VALUE"""),11.08)</f>
        <v>11.08</v>
      </c>
      <c r="U2326" s="2">
        <f>IFERROR(__xludf.DUMMYFUNCTION("""COMPUTED_VALUE"""),11.08)</f>
        <v>11.08</v>
      </c>
      <c r="V2326" s="1" t="str">
        <f>IFERROR(__xludf.DUMMYFUNCTION("""COMPUTED_VALUE"""),"Louise Dianne Estrella")</f>
        <v>Louise Dianne Estrella</v>
      </c>
      <c r="W2326" s="1" t="str">
        <f>IFERROR(__xludf.DUMMYFUNCTION("""COMPUTED_VALUE"""),"Print Support PH")</f>
        <v>Print Support PH</v>
      </c>
    </row>
    <row r="2327">
      <c r="O2327" s="1" t="str">
        <f>IFERROR(__xludf.DUMMYFUNCTION("""COMPUTED_VALUE"""),"2026 Feb")</f>
        <v>2026 Feb</v>
      </c>
      <c r="P2327" s="1" t="str">
        <f>IFERROR(__xludf.DUMMYFUNCTION("""COMPUTED_VALUE"""),"Admin Support")</f>
        <v>Admin Support</v>
      </c>
      <c r="Q2327" s="1" t="str">
        <f>IFERROR(__xludf.DUMMYFUNCTION("""COMPUTED_VALUE"""),"janis@canva.com")</f>
        <v>janis@canva.com</v>
      </c>
      <c r="R2327" s="1" t="str">
        <f>IFERROR(__xludf.DUMMYFUNCTION("""COMPUTED_VALUE"""),"Janis Esmas")</f>
        <v>Janis Esmas</v>
      </c>
      <c r="S2327" s="1"/>
      <c r="T2327" s="1">
        <f>IFERROR(__xludf.DUMMYFUNCTION("""COMPUTED_VALUE"""),1.0)</f>
        <v>1</v>
      </c>
      <c r="U2327" s="2">
        <f>IFERROR(__xludf.DUMMYFUNCTION("""COMPUTED_VALUE"""),1.0)</f>
        <v>1</v>
      </c>
      <c r="V2327" s="1" t="str">
        <f>IFERROR(__xludf.DUMMYFUNCTION("""COMPUTED_VALUE"""),"Karla Mananghaya")</f>
        <v>Karla Mananghaya</v>
      </c>
      <c r="W2327" s="1" t="str">
        <f>IFERROR(__xludf.DUMMYFUNCTION("""COMPUTED_VALUE"""),"Admin Support Service Escalation Team")</f>
        <v>Admin Support Service Escalation Team</v>
      </c>
    </row>
    <row r="2328">
      <c r="O2328" s="1" t="str">
        <f>IFERROR(__xludf.DUMMYFUNCTION("""COMPUTED_VALUE"""),"2026 Feb")</f>
        <v>2026 Feb</v>
      </c>
      <c r="P2328" s="1" t="str">
        <f>IFERROR(__xludf.DUMMYFUNCTION("""COMPUTED_VALUE"""),"Core Product Support")</f>
        <v>Core Product Support</v>
      </c>
      <c r="Q2328" s="1" t="str">
        <f>IFERROR(__xludf.DUMMYFUNCTION("""COMPUTED_VALUE"""),"jampangan@canva.com")</f>
        <v>jampangan@canva.com</v>
      </c>
      <c r="R2328" s="1" t="str">
        <f>IFERROR(__xludf.DUMMYFUNCTION("""COMPUTED_VALUE"""),"Jara Alexandra Mae Pangan")</f>
        <v>Jara Alexandra Mae Pangan</v>
      </c>
      <c r="S2328" s="1">
        <f>IFERROR(__xludf.DUMMYFUNCTION("""COMPUTED_VALUE"""),1.0)</f>
        <v>1</v>
      </c>
      <c r="T2328" s="1">
        <f>IFERROR(__xludf.DUMMYFUNCTION("""COMPUTED_VALUE"""),9.5)</f>
        <v>9.5</v>
      </c>
      <c r="U2328" s="2">
        <f>IFERROR(__xludf.DUMMYFUNCTION("""COMPUTED_VALUE"""),10.5)</f>
        <v>10.5</v>
      </c>
      <c r="V2328" s="1" t="str">
        <f>IFERROR(__xludf.DUMMYFUNCTION("""COMPUTED_VALUE"""),"Sieg Ballelos")</f>
        <v>Sieg Ballelos</v>
      </c>
      <c r="W2328" s="1" t="str">
        <f>IFERROR(__xludf.DUMMYFUNCTION("""COMPUTED_VALUE"""),"Core Product Support Escalation Team")</f>
        <v>Core Product Support Escalation Team</v>
      </c>
    </row>
    <row r="2329">
      <c r="O2329" s="1" t="str">
        <f>IFERROR(__xludf.DUMMYFUNCTION("""COMPUTED_VALUE"""),"2026 Feb")</f>
        <v>2026 Feb</v>
      </c>
      <c r="P2329" s="1" t="str">
        <f>IFERROR(__xludf.DUMMYFUNCTION("""COMPUTED_VALUE"""),"Core Product Support")</f>
        <v>Core Product Support</v>
      </c>
      <c r="Q2329" s="1" t="str">
        <f>IFERROR(__xludf.DUMMYFUNCTION("""COMPUTED_VALUE"""),"jaredc@canva.com")</f>
        <v>jaredc@canva.com</v>
      </c>
      <c r="R2329" s="1" t="str">
        <f>IFERROR(__xludf.DUMMYFUNCTION("""COMPUTED_VALUE"""),"Jared Carlin")</f>
        <v>Jared Carlin</v>
      </c>
      <c r="S2329" s="1"/>
      <c r="T2329" s="1">
        <f>IFERROR(__xludf.DUMMYFUNCTION("""COMPUTED_VALUE"""),14.5)</f>
        <v>14.5</v>
      </c>
      <c r="U2329" s="2">
        <f>IFERROR(__xludf.DUMMYFUNCTION("""COMPUTED_VALUE"""),14.5)</f>
        <v>14.5</v>
      </c>
      <c r="V2329" s="1" t="str">
        <f>IFERROR(__xludf.DUMMYFUNCTION("""COMPUTED_VALUE"""),"Ana Lazaro")</f>
        <v>Ana Lazaro</v>
      </c>
      <c r="W2329" s="1" t="str">
        <f>IFERROR(__xludf.DUMMYFUNCTION("""COMPUTED_VALUE"""),"Advanced Billing &amp; Subscriptions")</f>
        <v>Advanced Billing &amp; Subscriptions</v>
      </c>
    </row>
    <row r="2330">
      <c r="O2330" s="1" t="str">
        <f>IFERROR(__xludf.DUMMYFUNCTION("""COMPUTED_VALUE"""),"2026 Feb")</f>
        <v>2026 Feb</v>
      </c>
      <c r="P2330" s="1" t="str">
        <f>IFERROR(__xludf.DUMMYFUNCTION("""COMPUTED_VALUE"""),"Segment-specific Support")</f>
        <v>Segment-specific Support</v>
      </c>
      <c r="Q2330" s="1" t="str">
        <f>IFERROR(__xludf.DUMMYFUNCTION("""COMPUTED_VALUE"""),"jas@canva.com")</f>
        <v>jas@canva.com</v>
      </c>
      <c r="R2330" s="1" t="str">
        <f>IFERROR(__xludf.DUMMYFUNCTION("""COMPUTED_VALUE"""),"Jas Esperat")</f>
        <v>Jas Esperat</v>
      </c>
      <c r="S2330" s="1"/>
      <c r="T2330" s="1">
        <f>IFERROR(__xludf.DUMMYFUNCTION("""COMPUTED_VALUE"""),1.0)</f>
        <v>1</v>
      </c>
      <c r="U2330" s="2">
        <f>IFERROR(__xludf.DUMMYFUNCTION("""COMPUTED_VALUE"""),1.0)</f>
        <v>1</v>
      </c>
      <c r="V2330" s="1" t="str">
        <f>IFERROR(__xludf.DUMMYFUNCTION("""COMPUTED_VALUE"""),"Aileen Dayanghirang")</f>
        <v>Aileen Dayanghirang</v>
      </c>
      <c r="W2330" s="1" t="str">
        <f>IFERROR(__xludf.DUMMYFUNCTION("""COMPUTED_VALUE"""),"Creators Support")</f>
        <v>Creators Support</v>
      </c>
    </row>
    <row r="2331">
      <c r="O2331" s="1" t="str">
        <f>IFERROR(__xludf.DUMMYFUNCTION("""COMPUTED_VALUE"""),"2026 Feb")</f>
        <v>2026 Feb</v>
      </c>
      <c r="P2331" s="1" t="str">
        <f>IFERROR(__xludf.DUMMYFUNCTION("""COMPUTED_VALUE"""),"Print Support")</f>
        <v>Print Support</v>
      </c>
      <c r="Q2331" s="1" t="str">
        <f>IFERROR(__xludf.DUMMYFUNCTION("""COMPUTED_VALUE"""),"jayson@canva.com")</f>
        <v>jayson@canva.com</v>
      </c>
      <c r="R2331" s="1" t="str">
        <f>IFERROR(__xludf.DUMMYFUNCTION("""COMPUTED_VALUE"""),"Jayson Ferrer")</f>
        <v>Jayson Ferrer</v>
      </c>
      <c r="S2331" s="1"/>
      <c r="T2331" s="1">
        <f>IFERROR(__xludf.DUMMYFUNCTION("""COMPUTED_VALUE"""),1.25)</f>
        <v>1.25</v>
      </c>
      <c r="U2331" s="2">
        <f>IFERROR(__xludf.DUMMYFUNCTION("""COMPUTED_VALUE"""),1.25)</f>
        <v>1.25</v>
      </c>
      <c r="V2331" s="1" t="str">
        <f>IFERROR(__xludf.DUMMYFUNCTION("""COMPUTED_VALUE"""),"G-Anne Murillo")</f>
        <v>G-Anne Murillo</v>
      </c>
      <c r="W2331" s="1" t="str">
        <f>IFERROR(__xludf.DUMMYFUNCTION("""COMPUTED_VALUE"""),"Print Design Support")</f>
        <v>Print Design Support</v>
      </c>
    </row>
    <row r="2332">
      <c r="O2332" s="1" t="str">
        <f>IFERROR(__xludf.DUMMYFUNCTION("""COMPUTED_VALUE"""),"2026 Feb")</f>
        <v>2026 Feb</v>
      </c>
      <c r="P2332" s="1" t="str">
        <f>IFERROR(__xludf.DUMMYFUNCTION("""COMPUTED_VALUE"""),"Admin Support")</f>
        <v>Admin Support</v>
      </c>
      <c r="Q2332" s="1" t="str">
        <f>IFERROR(__xludf.DUMMYFUNCTION("""COMPUTED_VALUE"""),"jaz@canva.com")</f>
        <v>jaz@canva.com</v>
      </c>
      <c r="R2332" s="1" t="str">
        <f>IFERROR(__xludf.DUMMYFUNCTION("""COMPUTED_VALUE"""),"Jazmine San Pedro")</f>
        <v>Jazmine San Pedro</v>
      </c>
      <c r="S2332" s="1"/>
      <c r="T2332" s="1">
        <f>IFERROR(__xludf.DUMMYFUNCTION("""COMPUTED_VALUE"""),122.75)</f>
        <v>122.75</v>
      </c>
      <c r="U2332" s="2">
        <f>IFERROR(__xludf.DUMMYFUNCTION("""COMPUTED_VALUE"""),122.75)</f>
        <v>122.75</v>
      </c>
      <c r="V2332" s="1" t="str">
        <f>IFERROR(__xludf.DUMMYFUNCTION("""COMPUTED_VALUE"""),"AL Suarez")</f>
        <v>AL Suarez</v>
      </c>
      <c r="W2332" s="1" t="str">
        <f>IFERROR(__xludf.DUMMYFUNCTION("""COMPUTED_VALUE"""),"Print Support PH")</f>
        <v>Print Support PH</v>
      </c>
    </row>
    <row r="2333">
      <c r="O2333" s="1" t="str">
        <f>IFERROR(__xludf.DUMMYFUNCTION("""COMPUTED_VALUE"""),"2026 Feb")</f>
        <v>2026 Feb</v>
      </c>
      <c r="P2333" s="1" t="str">
        <f>IFERROR(__xludf.DUMMYFUNCTION("""COMPUTED_VALUE"""),"Core Product Support")</f>
        <v>Core Product Support</v>
      </c>
      <c r="Q2333" s="1" t="str">
        <f>IFERROR(__xludf.DUMMYFUNCTION("""COMPUTED_VALUE"""),"jasminechristel@canva.com")</f>
        <v>jasminechristel@canva.com</v>
      </c>
      <c r="R2333" s="1" t="str">
        <f>IFERROR(__xludf.DUMMYFUNCTION("""COMPUTED_VALUE"""),"Jazz Ragot")</f>
        <v>Jazz Ragot</v>
      </c>
      <c r="S2333" s="1"/>
      <c r="T2333" s="1">
        <f>IFERROR(__xludf.DUMMYFUNCTION("""COMPUTED_VALUE"""),22.75)</f>
        <v>22.75</v>
      </c>
      <c r="U2333" s="2">
        <f>IFERROR(__xludf.DUMMYFUNCTION("""COMPUTED_VALUE"""),22.75)</f>
        <v>22.75</v>
      </c>
      <c r="V2333" s="1" t="str">
        <f>IFERROR(__xludf.DUMMYFUNCTION("""COMPUTED_VALUE"""),"Jem Mondoñedo")</f>
        <v>Jem Mondoñedo</v>
      </c>
      <c r="W2333" s="1" t="str">
        <f>IFERROR(__xludf.DUMMYFUNCTION("""COMPUTED_VALUE"""),"Advanced Billing &amp; Subscriptions")</f>
        <v>Advanced Billing &amp; Subscriptions</v>
      </c>
    </row>
    <row r="2334">
      <c r="O2334" s="1" t="str">
        <f>IFERROR(__xludf.DUMMYFUNCTION("""COMPUTED_VALUE"""),"2026 Feb")</f>
        <v>2026 Feb</v>
      </c>
      <c r="P2334" s="1" t="str">
        <f>IFERROR(__xludf.DUMMYFUNCTION("""COMPUTED_VALUE"""),"Multilingual Support")</f>
        <v>Multilingual Support</v>
      </c>
      <c r="Q2334" s="1" t="str">
        <f>IFERROR(__xludf.DUMMYFUNCTION("""COMPUTED_VALUE"""),"jc@canva.com")</f>
        <v>jc@canva.com</v>
      </c>
      <c r="R2334" s="1" t="str">
        <f>IFERROR(__xludf.DUMMYFUNCTION("""COMPUTED_VALUE"""),"JC Evangelista")</f>
        <v>JC Evangelista</v>
      </c>
      <c r="S2334" s="1"/>
      <c r="T2334" s="1">
        <f>IFERROR(__xludf.DUMMYFUNCTION("""COMPUTED_VALUE"""),32.0)</f>
        <v>32</v>
      </c>
      <c r="U2334" s="2">
        <f>IFERROR(__xludf.DUMMYFUNCTION("""COMPUTED_VALUE"""),32.0)</f>
        <v>32</v>
      </c>
      <c r="V2334" s="1" t="str">
        <f>IFERROR(__xludf.DUMMYFUNCTION("""COMPUTED_VALUE"""),"Arlene Maurillo")</f>
        <v>Arlene Maurillo</v>
      </c>
      <c r="W2334" s="1" t="str">
        <f>IFERROR(__xludf.DUMMYFUNCTION("""COMPUTED_VALUE"""),"PHL, Multilingual Support")</f>
        <v>PHL, Multilingual Support</v>
      </c>
    </row>
    <row r="2335">
      <c r="O2335" s="1" t="str">
        <f>IFERROR(__xludf.DUMMYFUNCTION("""COMPUTED_VALUE"""),"2026 Feb")</f>
        <v>2026 Feb</v>
      </c>
      <c r="P2335" s="1" t="str">
        <f>IFERROR(__xludf.DUMMYFUNCTION("""COMPUTED_VALUE"""),"Core Product Support")</f>
        <v>Core Product Support</v>
      </c>
      <c r="Q2335" s="1" t="str">
        <f>IFERROR(__xludf.DUMMYFUNCTION("""COMPUTED_VALUE"""),"jea@canva.com")</f>
        <v>jea@canva.com</v>
      </c>
      <c r="R2335" s="1" t="str">
        <f>IFERROR(__xludf.DUMMYFUNCTION("""COMPUTED_VALUE"""),"Jea Silvestre")</f>
        <v>Jea Silvestre</v>
      </c>
      <c r="S2335" s="1">
        <f>IFERROR(__xludf.DUMMYFUNCTION("""COMPUTED_VALUE"""),0.5)</f>
        <v>0.5</v>
      </c>
      <c r="T2335" s="1">
        <f>IFERROR(__xludf.DUMMYFUNCTION("""COMPUTED_VALUE"""),10.5)</f>
        <v>10.5</v>
      </c>
      <c r="U2335" s="2">
        <f>IFERROR(__xludf.DUMMYFUNCTION("""COMPUTED_VALUE"""),11.0)</f>
        <v>11</v>
      </c>
      <c r="V2335" s="1" t="str">
        <f>IFERROR(__xludf.DUMMYFUNCTION("""COMPUTED_VALUE"""),"Marie Mordeno")</f>
        <v>Marie Mordeno</v>
      </c>
      <c r="W2335" s="1" t="str">
        <f>IFERROR(__xludf.DUMMYFUNCTION("""COMPUTED_VALUE"""),"Advanced Billing &amp; Subscriptions")</f>
        <v>Advanced Billing &amp; Subscriptions</v>
      </c>
    </row>
    <row r="2336">
      <c r="O2336" s="1" t="str">
        <f>IFERROR(__xludf.DUMMYFUNCTION("""COMPUTED_VALUE"""),"2026 Feb")</f>
        <v>2026 Feb</v>
      </c>
      <c r="P2336" s="1" t="str">
        <f>IFERROR(__xludf.DUMMYFUNCTION("""COMPUTED_VALUE"""),"Core Product Support")</f>
        <v>Core Product Support</v>
      </c>
      <c r="Q2336" s="1" t="str">
        <f>IFERROR(__xludf.DUMMYFUNCTION("""COMPUTED_VALUE"""),"jed@canva.com")</f>
        <v>jed@canva.com</v>
      </c>
      <c r="R2336" s="1" t="str">
        <f>IFERROR(__xludf.DUMMYFUNCTION("""COMPUTED_VALUE"""),"Jed Wenceslao")</f>
        <v>Jed Wenceslao</v>
      </c>
      <c r="S2336" s="1">
        <f>IFERROR(__xludf.DUMMYFUNCTION("""COMPUTED_VALUE"""),0.5)</f>
        <v>0.5</v>
      </c>
      <c r="T2336" s="1">
        <f>IFERROR(__xludf.DUMMYFUNCTION("""COMPUTED_VALUE"""),10.37)</f>
        <v>10.37</v>
      </c>
      <c r="U2336" s="2">
        <f>IFERROR(__xludf.DUMMYFUNCTION("""COMPUTED_VALUE"""),10.87)</f>
        <v>10.87</v>
      </c>
      <c r="V2336" s="1" t="str">
        <f>IFERROR(__xludf.DUMMYFUNCTION("""COMPUTED_VALUE"""),"Sieg Ballelos")</f>
        <v>Sieg Ballelos</v>
      </c>
      <c r="W2336" s="1" t="str">
        <f>IFERROR(__xludf.DUMMYFUNCTION("""COMPUTED_VALUE"""),"Core Product Support Escalation Team")</f>
        <v>Core Product Support Escalation Team</v>
      </c>
    </row>
    <row r="2337">
      <c r="O2337" s="1" t="str">
        <f>IFERROR(__xludf.DUMMYFUNCTION("""COMPUTED_VALUE"""),"2026 Feb")</f>
        <v>2026 Feb</v>
      </c>
      <c r="P2337" s="1" t="str">
        <f>IFERROR(__xludf.DUMMYFUNCTION("""COMPUTED_VALUE"""),"Core Product Support")</f>
        <v>Core Product Support</v>
      </c>
      <c r="Q2337" s="1" t="str">
        <f>IFERROR(__xludf.DUMMYFUNCTION("""COMPUTED_VALUE"""),"jen@canva.com")</f>
        <v>jen@canva.com</v>
      </c>
      <c r="R2337" s="1" t="str">
        <f>IFERROR(__xludf.DUMMYFUNCTION("""COMPUTED_VALUE"""),"Jenber Teves")</f>
        <v>Jenber Teves</v>
      </c>
      <c r="S2337" s="1">
        <f>IFERROR(__xludf.DUMMYFUNCTION("""COMPUTED_VALUE"""),0.5)</f>
        <v>0.5</v>
      </c>
      <c r="T2337" s="1">
        <f>IFERROR(__xludf.DUMMYFUNCTION("""COMPUTED_VALUE"""),8.0)</f>
        <v>8</v>
      </c>
      <c r="U2337" s="2">
        <f>IFERROR(__xludf.DUMMYFUNCTION("""COMPUTED_VALUE"""),8.5)</f>
        <v>8.5</v>
      </c>
      <c r="V2337" s="1" t="str">
        <f>IFERROR(__xludf.DUMMYFUNCTION("""COMPUTED_VALUE"""),"Ellaine Estayo")</f>
        <v>Ellaine Estayo</v>
      </c>
      <c r="W2337" s="1" t="str">
        <f>IFERROR(__xludf.DUMMYFUNCTION("""COMPUTED_VALUE"""),"Core Product Support Escalation Team")</f>
        <v>Core Product Support Escalation Team</v>
      </c>
    </row>
    <row r="2338">
      <c r="O2338" s="1" t="str">
        <f>IFERROR(__xludf.DUMMYFUNCTION("""COMPUTED_VALUE"""),"2026 Feb")</f>
        <v>2026 Feb</v>
      </c>
      <c r="P2338" s="1" t="str">
        <f>IFERROR(__xludf.DUMMYFUNCTION("""COMPUTED_VALUE"""),"#N/A")</f>
        <v>#N/A</v>
      </c>
      <c r="Q2338" s="1" t="str">
        <f>IFERROR(__xludf.DUMMYFUNCTION("""COMPUTED_VALUE"""),"jerica@canva.com")</f>
        <v>jerica@canva.com</v>
      </c>
      <c r="R2338" s="1" t="str">
        <f>IFERROR(__xludf.DUMMYFUNCTION("""COMPUTED_VALUE"""),"Jerica Tan")</f>
        <v>Jerica Tan</v>
      </c>
      <c r="S2338" s="1"/>
      <c r="T2338" s="1">
        <f>IFERROR(__xludf.DUMMYFUNCTION("""COMPUTED_VALUE"""),2.85)</f>
        <v>2.85</v>
      </c>
      <c r="U2338" s="2">
        <f>IFERROR(__xludf.DUMMYFUNCTION("""COMPUTED_VALUE"""),2.85)</f>
        <v>2.85</v>
      </c>
      <c r="V2338" s="1" t="str">
        <f>IFERROR(__xludf.DUMMYFUNCTION("""COMPUTED_VALUE"""),"#N/A")</f>
        <v>#N/A</v>
      </c>
      <c r="W2338" s="1" t="str">
        <f>IFERROR(__xludf.DUMMYFUNCTION("""COMPUTED_VALUE"""),"High Sensitivity Support PH")</f>
        <v>High Sensitivity Support PH</v>
      </c>
    </row>
    <row r="2339">
      <c r="O2339" s="1" t="str">
        <f>IFERROR(__xludf.DUMMYFUNCTION("""COMPUTED_VALUE"""),"2026 Feb")</f>
        <v>2026 Feb</v>
      </c>
      <c r="P2339" s="1" t="str">
        <f>IFERROR(__xludf.DUMMYFUNCTION("""COMPUTED_VALUE"""),"Print Support")</f>
        <v>Print Support</v>
      </c>
      <c r="Q2339" s="1" t="str">
        <f>IFERROR(__xludf.DUMMYFUNCTION("""COMPUTED_VALUE"""),"jesicamari@canva.com")</f>
        <v>jesicamari@canva.com</v>
      </c>
      <c r="R2339" s="1" t="str">
        <f>IFERROR(__xludf.DUMMYFUNCTION("""COMPUTED_VALUE"""),"Jesica Laureola")</f>
        <v>Jesica Laureola</v>
      </c>
      <c r="S2339" s="1"/>
      <c r="T2339" s="1">
        <f>IFERROR(__xludf.DUMMYFUNCTION("""COMPUTED_VALUE"""),1.0)</f>
        <v>1</v>
      </c>
      <c r="U2339" s="2">
        <f>IFERROR(__xludf.DUMMYFUNCTION("""COMPUTED_VALUE"""),1.0)</f>
        <v>1</v>
      </c>
      <c r="V2339" s="1" t="str">
        <f>IFERROR(__xludf.DUMMYFUNCTION("""COMPUTED_VALUE"""),"Rei De Jesus")</f>
        <v>Rei De Jesus</v>
      </c>
      <c r="W2339" s="1" t="str">
        <f>IFERROR(__xludf.DUMMYFUNCTION("""COMPUTED_VALUE"""),"Print Design Support")</f>
        <v>Print Design Support</v>
      </c>
    </row>
    <row r="2340">
      <c r="O2340" s="1" t="str">
        <f>IFERROR(__xludf.DUMMYFUNCTION("""COMPUTED_VALUE"""),"2026 Feb")</f>
        <v>2026 Feb</v>
      </c>
      <c r="P2340" s="1" t="str">
        <f>IFERROR(__xludf.DUMMYFUNCTION("""COMPUTED_VALUE"""),"Core Product Support")</f>
        <v>Core Product Support</v>
      </c>
      <c r="Q2340" s="1" t="str">
        <f>IFERROR(__xludf.DUMMYFUNCTION("""COMPUTED_VALUE"""),"jbrizuela@canva.com")</f>
        <v>jbrizuela@canva.com</v>
      </c>
      <c r="R2340" s="1" t="str">
        <f>IFERROR(__xludf.DUMMYFUNCTION("""COMPUTED_VALUE"""),"Jessa Brizuela")</f>
        <v>Jessa Brizuela</v>
      </c>
      <c r="S2340" s="1">
        <f>IFERROR(__xludf.DUMMYFUNCTION("""COMPUTED_VALUE"""),1.5)</f>
        <v>1.5</v>
      </c>
      <c r="T2340" s="1">
        <f>IFERROR(__xludf.DUMMYFUNCTION("""COMPUTED_VALUE"""),4.75)</f>
        <v>4.75</v>
      </c>
      <c r="U2340" s="2">
        <f>IFERROR(__xludf.DUMMYFUNCTION("""COMPUTED_VALUE"""),6.25)</f>
        <v>6.25</v>
      </c>
      <c r="V2340" s="1" t="str">
        <f>IFERROR(__xludf.DUMMYFUNCTION("""COMPUTED_VALUE"""),"Renette Bok")</f>
        <v>Renette Bok</v>
      </c>
      <c r="W2340" s="1" t="str">
        <f>IFERROR(__xludf.DUMMYFUNCTION("""COMPUTED_VALUE"""),"Advanced Billing &amp; Subscriptions")</f>
        <v>Advanced Billing &amp; Subscriptions</v>
      </c>
    </row>
    <row r="2341">
      <c r="O2341" s="1" t="str">
        <f>IFERROR(__xludf.DUMMYFUNCTION("""COMPUTED_VALUE"""),"2026 Feb")</f>
        <v>2026 Feb</v>
      </c>
      <c r="P2341" s="1" t="str">
        <f>IFERROR(__xludf.DUMMYFUNCTION("""COMPUTED_VALUE"""),"Core Product Support")</f>
        <v>Core Product Support</v>
      </c>
      <c r="Q2341" s="1" t="str">
        <f>IFERROR(__xludf.DUMMYFUNCTION("""COMPUTED_VALUE"""),"jian@canva.com")</f>
        <v>jian@canva.com</v>
      </c>
      <c r="R2341" s="1" t="str">
        <f>IFERROR(__xludf.DUMMYFUNCTION("""COMPUTED_VALUE"""),"Jian Paula Inocencio")</f>
        <v>Jian Paula Inocencio</v>
      </c>
      <c r="S2341" s="1">
        <f>IFERROR(__xludf.DUMMYFUNCTION("""COMPUTED_VALUE"""),1.08)</f>
        <v>1.08</v>
      </c>
      <c r="T2341" s="1">
        <f>IFERROR(__xludf.DUMMYFUNCTION("""COMPUTED_VALUE"""),11.0)</f>
        <v>11</v>
      </c>
      <c r="U2341" s="2">
        <f>IFERROR(__xludf.DUMMYFUNCTION("""COMPUTED_VALUE"""),12.08)</f>
        <v>12.08</v>
      </c>
      <c r="V2341" s="1" t="str">
        <f>IFERROR(__xludf.DUMMYFUNCTION("""COMPUTED_VALUE"""),"Vinz Lazaro")</f>
        <v>Vinz Lazaro</v>
      </c>
      <c r="W2341" s="1" t="str">
        <f>IFERROR(__xludf.DUMMYFUNCTION("""COMPUTED_VALUE"""),"Advanced Product Support")</f>
        <v>Advanced Product Support</v>
      </c>
    </row>
    <row r="2342">
      <c r="O2342" s="1" t="str">
        <f>IFERROR(__xludf.DUMMYFUNCTION("""COMPUTED_VALUE"""),"2026 Feb")</f>
        <v>2026 Feb</v>
      </c>
      <c r="P2342" s="1" t="str">
        <f>IFERROR(__xludf.DUMMYFUNCTION("""COMPUTED_VALUE"""),"Core Product Support")</f>
        <v>Core Product Support</v>
      </c>
      <c r="Q2342" s="1" t="str">
        <f>IFERROR(__xludf.DUMMYFUNCTION("""COMPUTED_VALUE"""),"jilll@canva.com")</f>
        <v>jilll@canva.com</v>
      </c>
      <c r="R2342" s="1" t="str">
        <f>IFERROR(__xludf.DUMMYFUNCTION("""COMPUTED_VALUE"""),"Jill Linco")</f>
        <v>Jill Linco</v>
      </c>
      <c r="S2342" s="1"/>
      <c r="T2342" s="1">
        <f>IFERROR(__xludf.DUMMYFUNCTION("""COMPUTED_VALUE"""),11.5)</f>
        <v>11.5</v>
      </c>
      <c r="U2342" s="2">
        <f>IFERROR(__xludf.DUMMYFUNCTION("""COMPUTED_VALUE"""),11.5)</f>
        <v>11.5</v>
      </c>
      <c r="V2342" s="1" t="str">
        <f>IFERROR(__xludf.DUMMYFUNCTION("""COMPUTED_VALUE"""),"Cate Velasco")</f>
        <v>Cate Velasco</v>
      </c>
      <c r="W2342" s="1" t="str">
        <f>IFERROR(__xludf.DUMMYFUNCTION("""COMPUTED_VALUE"""),"Advanced Product Support")</f>
        <v>Advanced Product Support</v>
      </c>
    </row>
    <row r="2343">
      <c r="O2343" s="1" t="str">
        <f>IFERROR(__xludf.DUMMYFUNCTION("""COMPUTED_VALUE"""),"2026 Feb")</f>
        <v>2026 Feb</v>
      </c>
      <c r="P2343" s="1" t="str">
        <f>IFERROR(__xludf.DUMMYFUNCTION("""COMPUTED_VALUE"""),"Segment-specific Support")</f>
        <v>Segment-specific Support</v>
      </c>
      <c r="Q2343" s="1" t="str">
        <f>IFERROR(__xludf.DUMMYFUNCTION("""COMPUTED_VALUE"""),"jillann@canva.com")</f>
        <v>jillann@canva.com</v>
      </c>
      <c r="R2343" s="1" t="str">
        <f>IFERROR(__xludf.DUMMYFUNCTION("""COMPUTED_VALUE"""),"Jill-Ann Reducindo")</f>
        <v>Jill-Ann Reducindo</v>
      </c>
      <c r="S2343" s="1"/>
      <c r="T2343" s="1">
        <f>IFERROR(__xludf.DUMMYFUNCTION("""COMPUTED_VALUE"""),1.0)</f>
        <v>1</v>
      </c>
      <c r="U2343" s="2">
        <f>IFERROR(__xludf.DUMMYFUNCTION("""COMPUTED_VALUE"""),1.0)</f>
        <v>1</v>
      </c>
      <c r="V2343" s="1" t="str">
        <f>IFERROR(__xludf.DUMMYFUNCTION("""COMPUTED_VALUE"""),"Rose Gabilan")</f>
        <v>Rose Gabilan</v>
      </c>
      <c r="W2343" s="1" t="str">
        <f>IFERROR(__xludf.DUMMYFUNCTION("""COMPUTED_VALUE"""),"Affinity Support")</f>
        <v>Affinity Support</v>
      </c>
    </row>
    <row r="2344">
      <c r="O2344" s="1" t="str">
        <f>IFERROR(__xludf.DUMMYFUNCTION("""COMPUTED_VALUE"""),"2026 Feb")</f>
        <v>2026 Feb</v>
      </c>
      <c r="P2344" s="1" t="str">
        <f>IFERROR(__xludf.DUMMYFUNCTION("""COMPUTED_VALUE"""),"Core Product Support")</f>
        <v>Core Product Support</v>
      </c>
      <c r="Q2344" s="1" t="str">
        <f>IFERROR(__xludf.DUMMYFUNCTION("""COMPUTED_VALUE"""),"jmfrial@canva.com")</f>
        <v>jmfrial@canva.com</v>
      </c>
      <c r="R2344" s="1" t="str">
        <f>IFERROR(__xludf.DUMMYFUNCTION("""COMPUTED_VALUE"""),"JM Frial")</f>
        <v>JM Frial</v>
      </c>
      <c r="S2344" s="1">
        <f>IFERROR(__xludf.DUMMYFUNCTION("""COMPUTED_VALUE"""),0.5)</f>
        <v>0.5</v>
      </c>
      <c r="T2344" s="1">
        <f>IFERROR(__xludf.DUMMYFUNCTION("""COMPUTED_VALUE"""),16.03)</f>
        <v>16.03</v>
      </c>
      <c r="U2344" s="2">
        <f>IFERROR(__xludf.DUMMYFUNCTION("""COMPUTED_VALUE"""),16.53)</f>
        <v>16.53</v>
      </c>
      <c r="V2344" s="1" t="str">
        <f>IFERROR(__xludf.DUMMYFUNCTION("""COMPUTED_VALUE"""),"Sieg Ballelos")</f>
        <v>Sieg Ballelos</v>
      </c>
      <c r="W2344" s="1" t="str">
        <f>IFERROR(__xludf.DUMMYFUNCTION("""COMPUTED_VALUE"""),"Core Product Support Escalation Team")</f>
        <v>Core Product Support Escalation Team</v>
      </c>
    </row>
    <row r="2345">
      <c r="O2345" s="1" t="str">
        <f>IFERROR(__xludf.DUMMYFUNCTION("""COMPUTED_VALUE"""),"2026 Feb")</f>
        <v>2026 Feb</v>
      </c>
      <c r="P2345" s="1" t="str">
        <f>IFERROR(__xludf.DUMMYFUNCTION("""COMPUTED_VALUE"""),"Core Product Support")</f>
        <v>Core Product Support</v>
      </c>
      <c r="Q2345" s="1" t="str">
        <f>IFERROR(__xludf.DUMMYFUNCTION("""COMPUTED_VALUE"""),"jmpascual@canva.com")</f>
        <v>jmpascual@canva.com</v>
      </c>
      <c r="R2345" s="1" t="str">
        <f>IFERROR(__xludf.DUMMYFUNCTION("""COMPUTED_VALUE"""),"JM Pascual")</f>
        <v>JM Pascual</v>
      </c>
      <c r="S2345" s="1"/>
      <c r="T2345" s="1">
        <f>IFERROR(__xludf.DUMMYFUNCTION("""COMPUTED_VALUE"""),15.33)</f>
        <v>15.33</v>
      </c>
      <c r="U2345" s="2">
        <f>IFERROR(__xludf.DUMMYFUNCTION("""COMPUTED_VALUE"""),15.33)</f>
        <v>15.33</v>
      </c>
      <c r="V2345" s="1" t="str">
        <f>IFERROR(__xludf.DUMMYFUNCTION("""COMPUTED_VALUE"""),"Belle Bentazal")</f>
        <v>Belle Bentazal</v>
      </c>
      <c r="W2345" s="1" t="str">
        <f>IFERROR(__xludf.DUMMYFUNCTION("""COMPUTED_VALUE"""),"Advanced Product Support")</f>
        <v>Advanced Product Support</v>
      </c>
    </row>
    <row r="2346">
      <c r="O2346" s="1" t="str">
        <f>IFERROR(__xludf.DUMMYFUNCTION("""COMPUTED_VALUE"""),"2026 Feb")</f>
        <v>2026 Feb</v>
      </c>
      <c r="P2346" s="1" t="str">
        <f>IFERROR(__xludf.DUMMYFUNCTION("""COMPUTED_VALUE"""),"Print Support")</f>
        <v>Print Support</v>
      </c>
      <c r="Q2346" s="1" t="str">
        <f>IFERROR(__xludf.DUMMYFUNCTION("""COMPUTED_VALUE"""),"joanmyle@canva.com")</f>
        <v>joanmyle@canva.com</v>
      </c>
      <c r="R2346" s="1" t="str">
        <f>IFERROR(__xludf.DUMMYFUNCTION("""COMPUTED_VALUE"""),"Joan Myle Dapog")</f>
        <v>Joan Myle Dapog</v>
      </c>
      <c r="S2346" s="1"/>
      <c r="T2346" s="1">
        <f>IFERROR(__xludf.DUMMYFUNCTION("""COMPUTED_VALUE"""),15.85)</f>
        <v>15.85</v>
      </c>
      <c r="U2346" s="2">
        <f>IFERROR(__xludf.DUMMYFUNCTION("""COMPUTED_VALUE"""),15.85)</f>
        <v>15.85</v>
      </c>
      <c r="V2346" s="1" t="str">
        <f>IFERROR(__xludf.DUMMYFUNCTION("""COMPUTED_VALUE"""),"Jen Momo")</f>
        <v>Jen Momo</v>
      </c>
      <c r="W2346" s="1" t="str">
        <f>IFERROR(__xludf.DUMMYFUNCTION("""COMPUTED_VALUE"""),"Print Support PH")</f>
        <v>Print Support PH</v>
      </c>
    </row>
    <row r="2347">
      <c r="O2347" s="1" t="str">
        <f>IFERROR(__xludf.DUMMYFUNCTION("""COMPUTED_VALUE"""),"2026 Feb")</f>
        <v>2026 Feb</v>
      </c>
      <c r="P2347" s="1" t="str">
        <f>IFERROR(__xludf.DUMMYFUNCTION("""COMPUTED_VALUE"""),"Print Support")</f>
        <v>Print Support</v>
      </c>
      <c r="Q2347" s="1" t="str">
        <f>IFERROR(__xludf.DUMMYFUNCTION("""COMPUTED_VALUE"""),"jmbeldua@canva.com")</f>
        <v>jmbeldua@canva.com</v>
      </c>
      <c r="R2347" s="1" t="str">
        <f>IFERROR(__xludf.DUMMYFUNCTION("""COMPUTED_VALUE"""),"Joane Beldua")</f>
        <v>Joane Beldua</v>
      </c>
      <c r="S2347" s="1"/>
      <c r="T2347" s="1">
        <f>IFERROR(__xludf.DUMMYFUNCTION("""COMPUTED_VALUE"""),16.38)</f>
        <v>16.38</v>
      </c>
      <c r="U2347" s="2">
        <f>IFERROR(__xludf.DUMMYFUNCTION("""COMPUTED_VALUE"""),16.38)</f>
        <v>16.38</v>
      </c>
      <c r="V2347" s="1" t="str">
        <f>IFERROR(__xludf.DUMMYFUNCTION("""COMPUTED_VALUE"""),"Louise Dianne Estrella")</f>
        <v>Louise Dianne Estrella</v>
      </c>
      <c r="W2347" s="1" t="str">
        <f>IFERROR(__xludf.DUMMYFUNCTION("""COMPUTED_VALUE"""),"Print Support PH")</f>
        <v>Print Support PH</v>
      </c>
    </row>
    <row r="2348">
      <c r="O2348" s="1" t="str">
        <f>IFERROR(__xludf.DUMMYFUNCTION("""COMPUTED_VALUE"""),"2026 Feb")</f>
        <v>2026 Feb</v>
      </c>
      <c r="P2348" s="1" t="str">
        <f>IFERROR(__xludf.DUMMYFUNCTION("""COMPUTED_VALUE"""),"Multilingual Support")</f>
        <v>Multilingual Support</v>
      </c>
      <c r="Q2348" s="1" t="str">
        <f>IFERROR(__xludf.DUMMYFUNCTION("""COMPUTED_VALUE"""),"joaqdivino@canva.com")</f>
        <v>joaqdivino@canva.com</v>
      </c>
      <c r="R2348" s="1" t="str">
        <f>IFERROR(__xludf.DUMMYFUNCTION("""COMPUTED_VALUE"""),"Joaquin Divino")</f>
        <v>Joaquin Divino</v>
      </c>
      <c r="S2348" s="1"/>
      <c r="T2348" s="1">
        <f>IFERROR(__xludf.DUMMYFUNCTION("""COMPUTED_VALUE"""),40.0)</f>
        <v>40</v>
      </c>
      <c r="U2348" s="2">
        <f>IFERROR(__xludf.DUMMYFUNCTION("""COMPUTED_VALUE"""),40.0)</f>
        <v>40</v>
      </c>
      <c r="V2348" s="1" t="str">
        <f>IFERROR(__xludf.DUMMYFUNCTION("""COMPUTED_VALUE"""),"Arlene Maurillo")</f>
        <v>Arlene Maurillo</v>
      </c>
      <c r="W2348" s="1" t="str">
        <f>IFERROR(__xludf.DUMMYFUNCTION("""COMPUTED_VALUE"""),"PHL, Multilingual Support")</f>
        <v>PHL, Multilingual Support</v>
      </c>
    </row>
    <row r="2349">
      <c r="O2349" s="1" t="str">
        <f>IFERROR(__xludf.DUMMYFUNCTION("""COMPUTED_VALUE"""),"2026 Feb")</f>
        <v>2026 Feb</v>
      </c>
      <c r="P2349" s="1" t="str">
        <f>IFERROR(__xludf.DUMMYFUNCTION("""COMPUTED_VALUE"""),"Core Product Support")</f>
        <v>Core Product Support</v>
      </c>
      <c r="Q2349" s="1" t="str">
        <f>IFERROR(__xludf.DUMMYFUNCTION("""COMPUTED_VALUE"""),"jocelynng@canva.com")</f>
        <v>jocelynng@canva.com</v>
      </c>
      <c r="R2349" s="1" t="str">
        <f>IFERROR(__xludf.DUMMYFUNCTION("""COMPUTED_VALUE"""),"Jocelyn Ng")</f>
        <v>Jocelyn Ng</v>
      </c>
      <c r="S2349" s="1">
        <f>IFERROR(__xludf.DUMMYFUNCTION("""COMPUTED_VALUE"""),1.0)</f>
        <v>1</v>
      </c>
      <c r="T2349" s="1">
        <f>IFERROR(__xludf.DUMMYFUNCTION("""COMPUTED_VALUE"""),14.22)</f>
        <v>14.22</v>
      </c>
      <c r="U2349" s="2">
        <f>IFERROR(__xludf.DUMMYFUNCTION("""COMPUTED_VALUE"""),15.22)</f>
        <v>15.22</v>
      </c>
      <c r="V2349" s="1" t="str">
        <f>IFERROR(__xludf.DUMMYFUNCTION("""COMPUTED_VALUE"""),"Sieg Ballelos")</f>
        <v>Sieg Ballelos</v>
      </c>
      <c r="W2349" s="1" t="str">
        <f>IFERROR(__xludf.DUMMYFUNCTION("""COMPUTED_VALUE"""),"Core Product Support Escalation Team")</f>
        <v>Core Product Support Escalation Team</v>
      </c>
    </row>
    <row r="2350">
      <c r="O2350" s="1" t="str">
        <f>IFERROR(__xludf.DUMMYFUNCTION("""COMPUTED_VALUE"""),"2026 Feb")</f>
        <v>2026 Feb</v>
      </c>
      <c r="P2350" s="1" t="str">
        <f>IFERROR(__xludf.DUMMYFUNCTION("""COMPUTED_VALUE"""),"Admin Support")</f>
        <v>Admin Support</v>
      </c>
      <c r="Q2350" s="1" t="str">
        <f>IFERROR(__xludf.DUMMYFUNCTION("""COMPUTED_VALUE"""),"cee@canva.com")</f>
        <v>cee@canva.com</v>
      </c>
      <c r="R2350" s="1" t="str">
        <f>IFERROR(__xludf.DUMMYFUNCTION("""COMPUTED_VALUE"""),"John Carlo Gonzales")</f>
        <v>John Carlo Gonzales</v>
      </c>
      <c r="S2350" s="1"/>
      <c r="T2350" s="1">
        <f>IFERROR(__xludf.DUMMYFUNCTION("""COMPUTED_VALUE"""),4.58)</f>
        <v>4.58</v>
      </c>
      <c r="U2350" s="2">
        <f>IFERROR(__xludf.DUMMYFUNCTION("""COMPUTED_VALUE"""),4.58)</f>
        <v>4.58</v>
      </c>
      <c r="V2350" s="1" t="str">
        <f>IFERROR(__xludf.DUMMYFUNCTION("""COMPUTED_VALUE"""),"AL Suarez")</f>
        <v>AL Suarez</v>
      </c>
      <c r="W2350" s="1" t="str">
        <f>IFERROR(__xludf.DUMMYFUNCTION("""COMPUTED_VALUE"""),"Admin Direct Support")</f>
        <v>Admin Direct Support</v>
      </c>
    </row>
    <row r="2351">
      <c r="O2351" s="1" t="str">
        <f>IFERROR(__xludf.DUMMYFUNCTION("""COMPUTED_VALUE"""),"2026 Feb")</f>
        <v>2026 Feb</v>
      </c>
      <c r="P2351" s="1" t="str">
        <f>IFERROR(__xludf.DUMMYFUNCTION("""COMPUTED_VALUE"""),"Core Product Support")</f>
        <v>Core Product Support</v>
      </c>
      <c r="Q2351" s="1" t="str">
        <f>IFERROR(__xludf.DUMMYFUNCTION("""COMPUTED_VALUE"""),"khael@canva.com")</f>
        <v>khael@canva.com</v>
      </c>
      <c r="R2351" s="1" t="str">
        <f>IFERROR(__xludf.DUMMYFUNCTION("""COMPUTED_VALUE"""),"John Pieda")</f>
        <v>John Pieda</v>
      </c>
      <c r="S2351" s="1"/>
      <c r="T2351" s="1">
        <f>IFERROR(__xludf.DUMMYFUNCTION("""COMPUTED_VALUE"""),14.0)</f>
        <v>14</v>
      </c>
      <c r="U2351" s="2">
        <f>IFERROR(__xludf.DUMMYFUNCTION("""COMPUTED_VALUE"""),14.0)</f>
        <v>14</v>
      </c>
      <c r="V2351" s="1" t="str">
        <f>IFERROR(__xludf.DUMMYFUNCTION("""COMPUTED_VALUE"""),"Ayza Marie Pascual")</f>
        <v>Ayza Marie Pascual</v>
      </c>
      <c r="W2351" s="1" t="str">
        <f>IFERROR(__xludf.DUMMYFUNCTION("""COMPUTED_VALUE"""),"Advanced Billing &amp; Subscriptions")</f>
        <v>Advanced Billing &amp; Subscriptions</v>
      </c>
    </row>
    <row r="2352">
      <c r="O2352" s="1" t="str">
        <f>IFERROR(__xludf.DUMMYFUNCTION("""COMPUTED_VALUE"""),"2026 Feb")</f>
        <v>2026 Feb</v>
      </c>
      <c r="P2352" s="1" t="str">
        <f>IFERROR(__xludf.DUMMYFUNCTION("""COMPUTED_VALUE"""),"Core Product Support")</f>
        <v>Core Product Support</v>
      </c>
      <c r="Q2352" s="1" t="str">
        <f>IFERROR(__xludf.DUMMYFUNCTION("""COMPUTED_VALUE"""),"jonahezra@canva.com")</f>
        <v>jonahezra@canva.com</v>
      </c>
      <c r="R2352" s="1" t="str">
        <f>IFERROR(__xludf.DUMMYFUNCTION("""COMPUTED_VALUE"""),"Jonah Ezra Vergara")</f>
        <v>Jonah Ezra Vergara</v>
      </c>
      <c r="S2352" s="1">
        <f>IFERROR(__xludf.DUMMYFUNCTION("""COMPUTED_VALUE"""),0.5)</f>
        <v>0.5</v>
      </c>
      <c r="T2352" s="1">
        <f>IFERROR(__xludf.DUMMYFUNCTION("""COMPUTED_VALUE"""),10.25)</f>
        <v>10.25</v>
      </c>
      <c r="U2352" s="2">
        <f>IFERROR(__xludf.DUMMYFUNCTION("""COMPUTED_VALUE"""),10.75)</f>
        <v>10.75</v>
      </c>
      <c r="V2352" s="1" t="str">
        <f>IFERROR(__xludf.DUMMYFUNCTION("""COMPUTED_VALUE"""),"Ellaine Estayo")</f>
        <v>Ellaine Estayo</v>
      </c>
      <c r="W2352" s="1" t="str">
        <f>IFERROR(__xludf.DUMMYFUNCTION("""COMPUTED_VALUE"""),"Core Product Support Escalation Team")</f>
        <v>Core Product Support Escalation Team</v>
      </c>
    </row>
    <row r="2353">
      <c r="O2353" s="1" t="str">
        <f>IFERROR(__xludf.DUMMYFUNCTION("""COMPUTED_VALUE"""),"2026 Feb")</f>
        <v>2026 Feb</v>
      </c>
      <c r="P2353" s="1" t="str">
        <f>IFERROR(__xludf.DUMMYFUNCTION("""COMPUTED_VALUE"""),"Core Product Support")</f>
        <v>Core Product Support</v>
      </c>
      <c r="Q2353" s="1" t="str">
        <f>IFERROR(__xludf.DUMMYFUNCTION("""COMPUTED_VALUE"""),"cjopphet@canva.com")</f>
        <v>cjopphet@canva.com</v>
      </c>
      <c r="R2353" s="1" t="str">
        <f>IFERROR(__xludf.DUMMYFUNCTION("""COMPUTED_VALUE"""),"Jopphet Villafuerte")</f>
        <v>Jopphet Villafuerte</v>
      </c>
      <c r="S2353" s="1">
        <f>IFERROR(__xludf.DUMMYFUNCTION("""COMPUTED_VALUE"""),0.5)</f>
        <v>0.5</v>
      </c>
      <c r="T2353" s="1">
        <f>IFERROR(__xludf.DUMMYFUNCTION("""COMPUTED_VALUE"""),12.92)</f>
        <v>12.92</v>
      </c>
      <c r="U2353" s="2">
        <f>IFERROR(__xludf.DUMMYFUNCTION("""COMPUTED_VALUE"""),13.42)</f>
        <v>13.42</v>
      </c>
      <c r="V2353" s="1" t="str">
        <f>IFERROR(__xludf.DUMMYFUNCTION("""COMPUTED_VALUE"""),"Ayza Marie Pascual")</f>
        <v>Ayza Marie Pascual</v>
      </c>
      <c r="W2353" s="1" t="str">
        <f>IFERROR(__xludf.DUMMYFUNCTION("""COMPUTED_VALUE"""),"Advanced Billing &amp; Subscriptions")</f>
        <v>Advanced Billing &amp; Subscriptions</v>
      </c>
    </row>
    <row r="2354">
      <c r="O2354" s="1" t="str">
        <f>IFERROR(__xludf.DUMMYFUNCTION("""COMPUTED_VALUE"""),"2026 Feb")</f>
        <v>2026 Feb</v>
      </c>
      <c r="P2354" s="1" t="str">
        <f>IFERROR(__xludf.DUMMYFUNCTION("""COMPUTED_VALUE"""),"Segment-specific Support")</f>
        <v>Segment-specific Support</v>
      </c>
      <c r="Q2354" s="1" t="str">
        <f>IFERROR(__xludf.DUMMYFUNCTION("""COMPUTED_VALUE"""),"jorell@canva.com")</f>
        <v>jorell@canva.com</v>
      </c>
      <c r="R2354" s="1" t="str">
        <f>IFERROR(__xludf.DUMMYFUNCTION("""COMPUTED_VALUE"""),"Jorell Bollozos")</f>
        <v>Jorell Bollozos</v>
      </c>
      <c r="S2354" s="1"/>
      <c r="T2354" s="1">
        <f>IFERROR(__xludf.DUMMYFUNCTION("""COMPUTED_VALUE"""),43.0)</f>
        <v>43</v>
      </c>
      <c r="U2354" s="2">
        <f>IFERROR(__xludf.DUMMYFUNCTION("""COMPUTED_VALUE"""),43.0)</f>
        <v>43</v>
      </c>
      <c r="V2354" s="1" t="str">
        <f>IFERROR(__xludf.DUMMYFUNCTION("""COMPUTED_VALUE"""),"Gucci Nava")</f>
        <v>Gucci Nava</v>
      </c>
      <c r="W2354" s="1" t="str">
        <f>IFERROR(__xludf.DUMMYFUNCTION("""COMPUTED_VALUE"""),"Print Support PH")</f>
        <v>Print Support PH</v>
      </c>
    </row>
    <row r="2355">
      <c r="O2355" s="1" t="str">
        <f>IFERROR(__xludf.DUMMYFUNCTION("""COMPUTED_VALUE"""),"2026 Feb")</f>
        <v>2026 Feb</v>
      </c>
      <c r="P2355" s="1" t="str">
        <f>IFERROR(__xludf.DUMMYFUNCTION("""COMPUTED_VALUE"""),"Core Product Support")</f>
        <v>Core Product Support</v>
      </c>
      <c r="Q2355" s="1" t="str">
        <f>IFERROR(__xludf.DUMMYFUNCTION("""COMPUTED_VALUE"""),"josab@canva.com")</f>
        <v>josab@canva.com</v>
      </c>
      <c r="R2355" s="1" t="str">
        <f>IFERROR(__xludf.DUMMYFUNCTION("""COMPUTED_VALUE"""),"Josa Bernardino")</f>
        <v>Josa Bernardino</v>
      </c>
      <c r="S2355" s="1">
        <f>IFERROR(__xludf.DUMMYFUNCTION("""COMPUTED_VALUE"""),1.0)</f>
        <v>1</v>
      </c>
      <c r="T2355" s="1">
        <f>IFERROR(__xludf.DUMMYFUNCTION("""COMPUTED_VALUE"""),9.0)</f>
        <v>9</v>
      </c>
      <c r="U2355" s="2">
        <f>IFERROR(__xludf.DUMMYFUNCTION("""COMPUTED_VALUE"""),10.0)</f>
        <v>10</v>
      </c>
      <c r="V2355" s="1" t="str">
        <f>IFERROR(__xludf.DUMMYFUNCTION("""COMPUTED_VALUE"""),"Ellaine Estayo")</f>
        <v>Ellaine Estayo</v>
      </c>
      <c r="W2355" s="1" t="str">
        <f>IFERROR(__xludf.DUMMYFUNCTION("""COMPUTED_VALUE"""),"Core Product Support Escalation Team")</f>
        <v>Core Product Support Escalation Team</v>
      </c>
    </row>
    <row r="2356">
      <c r="O2356" s="1" t="str">
        <f>IFERROR(__xludf.DUMMYFUNCTION("""COMPUTED_VALUE"""),"2026 Feb")</f>
        <v>2026 Feb</v>
      </c>
      <c r="P2356" s="1" t="str">
        <f>IFERROR(__xludf.DUMMYFUNCTION("""COMPUTED_VALUE"""),"Print Support")</f>
        <v>Print Support</v>
      </c>
      <c r="Q2356" s="1" t="str">
        <f>IFERROR(__xludf.DUMMYFUNCTION("""COMPUTED_VALUE"""),"quin@canva.com")</f>
        <v>quin@canva.com</v>
      </c>
      <c r="R2356" s="1" t="str">
        <f>IFERROR(__xludf.DUMMYFUNCTION("""COMPUTED_VALUE"""),"Jose Antiquin")</f>
        <v>Jose Antiquin</v>
      </c>
      <c r="S2356" s="1"/>
      <c r="T2356" s="1">
        <f>IFERROR(__xludf.DUMMYFUNCTION("""COMPUTED_VALUE"""),12.0)</f>
        <v>12</v>
      </c>
      <c r="U2356" s="2">
        <f>IFERROR(__xludf.DUMMYFUNCTION("""COMPUTED_VALUE"""),12.0)</f>
        <v>12</v>
      </c>
      <c r="V2356" s="1" t="str">
        <f>IFERROR(__xludf.DUMMYFUNCTION("""COMPUTED_VALUE"""),"Jen Momo")</f>
        <v>Jen Momo</v>
      </c>
      <c r="W2356" s="1" t="str">
        <f>IFERROR(__xludf.DUMMYFUNCTION("""COMPUTED_VALUE"""),"Print Support PH")</f>
        <v>Print Support PH</v>
      </c>
    </row>
    <row r="2357">
      <c r="O2357" s="1" t="str">
        <f>IFERROR(__xludf.DUMMYFUNCTION("""COMPUTED_VALUE"""),"2026 Feb")</f>
        <v>2026 Feb</v>
      </c>
      <c r="P2357" s="1" t="str">
        <f>IFERROR(__xludf.DUMMYFUNCTION("""COMPUTED_VALUE"""),"Admin Support")</f>
        <v>Admin Support</v>
      </c>
      <c r="Q2357" s="1" t="str">
        <f>IFERROR(__xludf.DUMMYFUNCTION("""COMPUTED_VALUE"""),"joshid@canva.com")</f>
        <v>joshid@canva.com</v>
      </c>
      <c r="R2357" s="1" t="str">
        <f>IFERROR(__xludf.DUMMYFUNCTION("""COMPUTED_VALUE"""),"Joshua Dacanay")</f>
        <v>Joshua Dacanay</v>
      </c>
      <c r="S2357" s="1"/>
      <c r="T2357" s="1">
        <f>IFERROR(__xludf.DUMMYFUNCTION("""COMPUTED_VALUE"""),7.67)</f>
        <v>7.67</v>
      </c>
      <c r="U2357" s="2">
        <f>IFERROR(__xludf.DUMMYFUNCTION("""COMPUTED_VALUE"""),7.67)</f>
        <v>7.67</v>
      </c>
      <c r="V2357" s="1" t="str">
        <f>IFERROR(__xludf.DUMMYFUNCTION("""COMPUTED_VALUE"""),"AL Suarez")</f>
        <v>AL Suarez</v>
      </c>
      <c r="W2357" s="1" t="str">
        <f>IFERROR(__xludf.DUMMYFUNCTION("""COMPUTED_VALUE"""),"Admin Direct Support")</f>
        <v>Admin Direct Support</v>
      </c>
    </row>
    <row r="2358">
      <c r="O2358" s="1" t="str">
        <f>IFERROR(__xludf.DUMMYFUNCTION("""COMPUTED_VALUE"""),"2026 Feb")</f>
        <v>2026 Feb</v>
      </c>
      <c r="P2358" s="1" t="str">
        <f>IFERROR(__xludf.DUMMYFUNCTION("""COMPUTED_VALUE"""),"High Sensitivity Support")</f>
        <v>High Sensitivity Support</v>
      </c>
      <c r="Q2358" s="1" t="str">
        <f>IFERROR(__xludf.DUMMYFUNCTION("""COMPUTED_VALUE"""),"jpbasco@canva.com")</f>
        <v>jpbasco@canva.com</v>
      </c>
      <c r="R2358" s="1" t="str">
        <f>IFERROR(__xludf.DUMMYFUNCTION("""COMPUTED_VALUE"""),"JP Basco")</f>
        <v>JP Basco</v>
      </c>
      <c r="S2358" s="1"/>
      <c r="T2358" s="1">
        <f>IFERROR(__xludf.DUMMYFUNCTION("""COMPUTED_VALUE"""),1.0)</f>
        <v>1</v>
      </c>
      <c r="U2358" s="2">
        <f>IFERROR(__xludf.DUMMYFUNCTION("""COMPUTED_VALUE"""),1.0)</f>
        <v>1</v>
      </c>
      <c r="V2358" s="1" t="str">
        <f>IFERROR(__xludf.DUMMYFUNCTION("""COMPUTED_VALUE"""),"Rex Villamor")</f>
        <v>Rex Villamor</v>
      </c>
      <c r="W2358" s="1" t="str">
        <f>IFERROR(__xludf.DUMMYFUNCTION("""COMPUTED_VALUE"""),"High Sensitivity Support PH")</f>
        <v>High Sensitivity Support PH</v>
      </c>
    </row>
    <row r="2359">
      <c r="O2359" s="1" t="str">
        <f>IFERROR(__xludf.DUMMYFUNCTION("""COMPUTED_VALUE"""),"2026 Feb")</f>
        <v>2026 Feb</v>
      </c>
      <c r="P2359" s="1" t="str">
        <f>IFERROR(__xludf.DUMMYFUNCTION("""COMPUTED_VALUE"""),"Core Product Support")</f>
        <v>Core Product Support</v>
      </c>
      <c r="Q2359" s="1" t="str">
        <f>IFERROR(__xludf.DUMMYFUNCTION("""COMPUTED_VALUE"""),"mgonzalgo@canva.com")</f>
        <v>mgonzalgo@canva.com</v>
      </c>
      <c r="R2359" s="1" t="str">
        <f>IFERROR(__xludf.DUMMYFUNCTION("""COMPUTED_VALUE"""),"Juhrella Gonzalgo")</f>
        <v>Juhrella Gonzalgo</v>
      </c>
      <c r="S2359" s="1">
        <f>IFERROR(__xludf.DUMMYFUNCTION("""COMPUTED_VALUE"""),0.5)</f>
        <v>0.5</v>
      </c>
      <c r="T2359" s="1">
        <f>IFERROR(__xludf.DUMMYFUNCTION("""COMPUTED_VALUE"""),15.27)</f>
        <v>15.27</v>
      </c>
      <c r="U2359" s="2">
        <f>IFERROR(__xludf.DUMMYFUNCTION("""COMPUTED_VALUE"""),15.77)</f>
        <v>15.77</v>
      </c>
      <c r="V2359" s="1" t="str">
        <f>IFERROR(__xludf.DUMMYFUNCTION("""COMPUTED_VALUE"""),"Mikhaela Decangchon")</f>
        <v>Mikhaela Decangchon</v>
      </c>
      <c r="W2359" s="1" t="str">
        <f>IFERROR(__xludf.DUMMYFUNCTION("""COMPUTED_VALUE"""),"Advanced Product Support")</f>
        <v>Advanced Product Support</v>
      </c>
    </row>
    <row r="2360">
      <c r="O2360" s="1" t="str">
        <f>IFERROR(__xludf.DUMMYFUNCTION("""COMPUTED_VALUE"""),"2026 Feb")</f>
        <v>2026 Feb</v>
      </c>
      <c r="P2360" s="1" t="str">
        <f>IFERROR(__xludf.DUMMYFUNCTION("""COMPUTED_VALUE"""),"Admin Support")</f>
        <v>Admin Support</v>
      </c>
      <c r="Q2360" s="1" t="str">
        <f>IFERROR(__xludf.DUMMYFUNCTION("""COMPUTED_VALUE"""),"kamilleb@canva.com")</f>
        <v>kamilleb@canva.com</v>
      </c>
      <c r="R2360" s="1" t="str">
        <f>IFERROR(__xludf.DUMMYFUNCTION("""COMPUTED_VALUE"""),"Kamille Batuyong")</f>
        <v>Kamille Batuyong</v>
      </c>
      <c r="S2360" s="1"/>
      <c r="T2360" s="1">
        <f>IFERROR(__xludf.DUMMYFUNCTION("""COMPUTED_VALUE"""),114.75)</f>
        <v>114.75</v>
      </c>
      <c r="U2360" s="2">
        <f>IFERROR(__xludf.DUMMYFUNCTION("""COMPUTED_VALUE"""),114.75)</f>
        <v>114.75</v>
      </c>
      <c r="V2360" s="1" t="str">
        <f>IFERROR(__xludf.DUMMYFUNCTION("""COMPUTED_VALUE"""),"AL Suarez")</f>
        <v>AL Suarez</v>
      </c>
      <c r="W2360" s="1" t="str">
        <f>IFERROR(__xludf.DUMMYFUNCTION("""COMPUTED_VALUE"""),"Print Support PH")</f>
        <v>Print Support PH</v>
      </c>
    </row>
    <row r="2361">
      <c r="O2361" s="1" t="str">
        <f>IFERROR(__xludf.DUMMYFUNCTION("""COMPUTED_VALUE"""),"2026 Feb")</f>
        <v>2026 Feb</v>
      </c>
      <c r="P2361" s="1" t="str">
        <f>IFERROR(__xludf.DUMMYFUNCTION("""COMPUTED_VALUE"""),"Admin Support")</f>
        <v>Admin Support</v>
      </c>
      <c r="Q2361" s="1" t="str">
        <f>IFERROR(__xludf.DUMMYFUNCTION("""COMPUTED_VALUE"""),"klazam@canva.com")</f>
        <v>klazam@canva.com</v>
      </c>
      <c r="R2361" s="1" t="str">
        <f>IFERROR(__xludf.DUMMYFUNCTION("""COMPUTED_VALUE"""),"Kath Lazam")</f>
        <v>Kath Lazam</v>
      </c>
      <c r="S2361" s="1"/>
      <c r="T2361" s="1">
        <f>IFERROR(__xludf.DUMMYFUNCTION("""COMPUTED_VALUE"""),84.25)</f>
        <v>84.25</v>
      </c>
      <c r="U2361" s="2">
        <f>IFERROR(__xludf.DUMMYFUNCTION("""COMPUTED_VALUE"""),84.25)</f>
        <v>84.25</v>
      </c>
      <c r="V2361" s="1" t="str">
        <f>IFERROR(__xludf.DUMMYFUNCTION("""COMPUTED_VALUE"""),"AL Suarez")</f>
        <v>AL Suarez</v>
      </c>
      <c r="W2361" s="1" t="str">
        <f>IFERROR(__xludf.DUMMYFUNCTION("""COMPUTED_VALUE"""),"Admin Direct Support")</f>
        <v>Admin Direct Support</v>
      </c>
    </row>
    <row r="2362">
      <c r="O2362" s="1" t="str">
        <f>IFERROR(__xludf.DUMMYFUNCTION("""COMPUTED_VALUE"""),"2026 Feb")</f>
        <v>2026 Feb</v>
      </c>
      <c r="P2362" s="1" t="str">
        <f>IFERROR(__xludf.DUMMYFUNCTION("""COMPUTED_VALUE"""),"Core Product Support")</f>
        <v>Core Product Support</v>
      </c>
      <c r="Q2362" s="1" t="str">
        <f>IFERROR(__xludf.DUMMYFUNCTION("""COMPUTED_VALUE"""),"katcee@canva.com")</f>
        <v>katcee@canva.com</v>
      </c>
      <c r="R2362" s="1" t="str">
        <f>IFERROR(__xludf.DUMMYFUNCTION("""COMPUTED_VALUE"""),"Katrin Cebedo")</f>
        <v>Katrin Cebedo</v>
      </c>
      <c r="S2362" s="1">
        <f>IFERROR(__xludf.DUMMYFUNCTION("""COMPUTED_VALUE"""),0.5)</f>
        <v>0.5</v>
      </c>
      <c r="T2362" s="1">
        <f>IFERROR(__xludf.DUMMYFUNCTION("""COMPUTED_VALUE"""),14.5)</f>
        <v>14.5</v>
      </c>
      <c r="U2362" s="2">
        <f>IFERROR(__xludf.DUMMYFUNCTION("""COMPUTED_VALUE"""),15.0)</f>
        <v>15</v>
      </c>
      <c r="V2362" s="1" t="str">
        <f>IFERROR(__xludf.DUMMYFUNCTION("""COMPUTED_VALUE"""),"Ayza Marie Pascual")</f>
        <v>Ayza Marie Pascual</v>
      </c>
      <c r="W2362" s="1" t="str">
        <f>IFERROR(__xludf.DUMMYFUNCTION("""COMPUTED_VALUE"""),"Advanced Billing &amp; Subscriptions")</f>
        <v>Advanced Billing &amp; Subscriptions</v>
      </c>
    </row>
    <row r="2363">
      <c r="O2363" s="1" t="str">
        <f>IFERROR(__xludf.DUMMYFUNCTION("""COMPUTED_VALUE"""),"2026 Feb")</f>
        <v>2026 Feb</v>
      </c>
      <c r="P2363" s="1" t="str">
        <f>IFERROR(__xludf.DUMMYFUNCTION("""COMPUTED_VALUE"""),"Print Support")</f>
        <v>Print Support</v>
      </c>
      <c r="Q2363" s="1" t="str">
        <f>IFERROR(__xludf.DUMMYFUNCTION("""COMPUTED_VALUE"""),"katejoya@canva.com")</f>
        <v>katejoya@canva.com</v>
      </c>
      <c r="R2363" s="1" t="str">
        <f>IFERROR(__xludf.DUMMYFUNCTION("""COMPUTED_VALUE"""),"Katrina Joya")</f>
        <v>Katrina Joya</v>
      </c>
      <c r="S2363" s="1"/>
      <c r="T2363" s="1">
        <f>IFERROR(__xludf.DUMMYFUNCTION("""COMPUTED_VALUE"""),1.0)</f>
        <v>1</v>
      </c>
      <c r="U2363" s="2">
        <f>IFERROR(__xludf.DUMMYFUNCTION("""COMPUTED_VALUE"""),1.0)</f>
        <v>1</v>
      </c>
      <c r="V2363" s="1" t="str">
        <f>IFERROR(__xludf.DUMMYFUNCTION("""COMPUTED_VALUE"""),"Gem Agoncillo")</f>
        <v>Gem Agoncillo</v>
      </c>
      <c r="W2363" s="1" t="str">
        <f>IFERROR(__xludf.DUMMYFUNCTION("""COMPUTED_VALUE"""),"Print Design Support")</f>
        <v>Print Design Support</v>
      </c>
    </row>
    <row r="2364">
      <c r="O2364" s="1" t="str">
        <f>IFERROR(__xludf.DUMMYFUNCTION("""COMPUTED_VALUE"""),"2026 Feb")</f>
        <v>2026 Feb</v>
      </c>
      <c r="P2364" s="1" t="str">
        <f>IFERROR(__xludf.DUMMYFUNCTION("""COMPUTED_VALUE"""),"Core Product Support")</f>
        <v>Core Product Support</v>
      </c>
      <c r="Q2364" s="1" t="str">
        <f>IFERROR(__xludf.DUMMYFUNCTION("""COMPUTED_VALUE"""),"kayl@canva.com")</f>
        <v>kayl@canva.com</v>
      </c>
      <c r="R2364" s="1" t="str">
        <f>IFERROR(__xludf.DUMMYFUNCTION("""COMPUTED_VALUE"""),"Kayl Albonia")</f>
        <v>Kayl Albonia</v>
      </c>
      <c r="S2364" s="1">
        <f>IFERROR(__xludf.DUMMYFUNCTION("""COMPUTED_VALUE"""),0.25)</f>
        <v>0.25</v>
      </c>
      <c r="T2364" s="1">
        <f>IFERROR(__xludf.DUMMYFUNCTION("""COMPUTED_VALUE"""),12.5)</f>
        <v>12.5</v>
      </c>
      <c r="U2364" s="2">
        <f>IFERROR(__xludf.DUMMYFUNCTION("""COMPUTED_VALUE"""),12.75)</f>
        <v>12.75</v>
      </c>
      <c r="V2364" s="1" t="str">
        <f>IFERROR(__xludf.DUMMYFUNCTION("""COMPUTED_VALUE"""),"Marie Mordeno")</f>
        <v>Marie Mordeno</v>
      </c>
      <c r="W2364" s="1" t="str">
        <f>IFERROR(__xludf.DUMMYFUNCTION("""COMPUTED_VALUE"""),"Advanced Billing &amp; Subscriptions")</f>
        <v>Advanced Billing &amp; Subscriptions</v>
      </c>
    </row>
    <row r="2365">
      <c r="O2365" s="1" t="str">
        <f>IFERROR(__xludf.DUMMYFUNCTION("""COMPUTED_VALUE"""),"2026 Feb")</f>
        <v>2026 Feb</v>
      </c>
      <c r="P2365" s="1" t="str">
        <f>IFERROR(__xludf.DUMMYFUNCTION("""COMPUTED_VALUE"""),"High Sensitivity Support")</f>
        <v>High Sensitivity Support</v>
      </c>
      <c r="Q2365" s="1" t="str">
        <f>IFERROR(__xludf.DUMMYFUNCTION("""COMPUTED_VALUE"""),"kathlene@canva.com")</f>
        <v>kathlene@canva.com</v>
      </c>
      <c r="R2365" s="1" t="str">
        <f>IFERROR(__xludf.DUMMYFUNCTION("""COMPUTED_VALUE"""),"KC Cruz")</f>
        <v>KC Cruz</v>
      </c>
      <c r="S2365" s="1"/>
      <c r="T2365" s="1">
        <f>IFERROR(__xludf.DUMMYFUNCTION("""COMPUTED_VALUE"""),1.75)</f>
        <v>1.75</v>
      </c>
      <c r="U2365" s="2">
        <f>IFERROR(__xludf.DUMMYFUNCTION("""COMPUTED_VALUE"""),1.75)</f>
        <v>1.75</v>
      </c>
      <c r="V2365" s="1" t="str">
        <f>IFERROR(__xludf.DUMMYFUNCTION("""COMPUTED_VALUE"""),"Xandy Azarcon")</f>
        <v>Xandy Azarcon</v>
      </c>
      <c r="W2365" s="1" t="str">
        <f>IFERROR(__xludf.DUMMYFUNCTION("""COMPUTED_VALUE"""),"High Sensitivity Support PH")</f>
        <v>High Sensitivity Support PH</v>
      </c>
    </row>
    <row r="2366">
      <c r="O2366" s="1" t="str">
        <f>IFERROR(__xludf.DUMMYFUNCTION("""COMPUTED_VALUE"""),"2026 Feb")</f>
        <v>2026 Feb</v>
      </c>
      <c r="P2366" s="1" t="str">
        <f>IFERROR(__xludf.DUMMYFUNCTION("""COMPUTED_VALUE"""),"Admin Support")</f>
        <v>Admin Support</v>
      </c>
      <c r="Q2366" s="1" t="str">
        <f>IFERROR(__xludf.DUMMYFUNCTION("""COMPUTED_VALUE"""),"kc@canva.com")</f>
        <v>kc@canva.com</v>
      </c>
      <c r="R2366" s="1" t="str">
        <f>IFERROR(__xludf.DUMMYFUNCTION("""COMPUTED_VALUE"""),"KC Sacramento")</f>
        <v>KC Sacramento</v>
      </c>
      <c r="S2366" s="1"/>
      <c r="T2366" s="1">
        <f>IFERROR(__xludf.DUMMYFUNCTION("""COMPUTED_VALUE"""),5.5)</f>
        <v>5.5</v>
      </c>
      <c r="U2366" s="2">
        <f>IFERROR(__xludf.DUMMYFUNCTION("""COMPUTED_VALUE"""),5.5)</f>
        <v>5.5</v>
      </c>
      <c r="V2366" s="1" t="str">
        <f>IFERROR(__xludf.DUMMYFUNCTION("""COMPUTED_VALUE"""),"Kelden Laguting")</f>
        <v>Kelden Laguting</v>
      </c>
      <c r="W2366" s="1" t="str">
        <f>IFERROR(__xludf.DUMMYFUNCTION("""COMPUTED_VALUE"""),"Admin Omni Support")</f>
        <v>Admin Omni Support</v>
      </c>
    </row>
    <row r="2367">
      <c r="O2367" s="1" t="str">
        <f>IFERROR(__xludf.DUMMYFUNCTION("""COMPUTED_VALUE"""),"2026 Feb")</f>
        <v>2026 Feb</v>
      </c>
      <c r="P2367" s="1" t="str">
        <f>IFERROR(__xludf.DUMMYFUNCTION("""COMPUTED_VALUE"""),"Core Product Support")</f>
        <v>Core Product Support</v>
      </c>
      <c r="Q2367" s="1" t="str">
        <f>IFERROR(__xludf.DUMMYFUNCTION("""COMPUTED_VALUE"""),"keisalazar@canva.com")</f>
        <v>keisalazar@canva.com</v>
      </c>
      <c r="R2367" s="1" t="str">
        <f>IFERROR(__xludf.DUMMYFUNCTION("""COMPUTED_VALUE"""),"Kei Salazar")</f>
        <v>Kei Salazar</v>
      </c>
      <c r="S2367" s="1"/>
      <c r="T2367" s="1">
        <f>IFERROR(__xludf.DUMMYFUNCTION("""COMPUTED_VALUE"""),41.25)</f>
        <v>41.25</v>
      </c>
      <c r="U2367" s="2">
        <f>IFERROR(__xludf.DUMMYFUNCTION("""COMPUTED_VALUE"""),41.25)</f>
        <v>41.25</v>
      </c>
      <c r="V2367" s="1" t="str">
        <f>IFERROR(__xludf.DUMMYFUNCTION("""COMPUTED_VALUE"""),"Ayza Marie Pascual")</f>
        <v>Ayza Marie Pascual</v>
      </c>
      <c r="W2367" s="1" t="str">
        <f>IFERROR(__xludf.DUMMYFUNCTION("""COMPUTED_VALUE"""),"Advanced Billing &amp; Subscriptions")</f>
        <v>Advanced Billing &amp; Subscriptions</v>
      </c>
    </row>
    <row r="2368">
      <c r="O2368" s="1" t="str">
        <f>IFERROR(__xludf.DUMMYFUNCTION("""COMPUTED_VALUE"""),"2026 Feb")</f>
        <v>2026 Feb</v>
      </c>
      <c r="P2368" s="1" t="str">
        <f>IFERROR(__xludf.DUMMYFUNCTION("""COMPUTED_VALUE"""),"Print Support")</f>
        <v>Print Support</v>
      </c>
      <c r="Q2368" s="1" t="str">
        <f>IFERROR(__xludf.DUMMYFUNCTION("""COMPUTED_VALUE"""),"kennethgo@canva.com")</f>
        <v>kennethgo@canva.com</v>
      </c>
      <c r="R2368" s="1" t="str">
        <f>IFERROR(__xludf.DUMMYFUNCTION("""COMPUTED_VALUE"""),"Kenneth Go")</f>
        <v>Kenneth Go</v>
      </c>
      <c r="S2368" s="1"/>
      <c r="T2368" s="1">
        <f>IFERROR(__xludf.DUMMYFUNCTION("""COMPUTED_VALUE"""),1.0)</f>
        <v>1</v>
      </c>
      <c r="U2368" s="2">
        <f>IFERROR(__xludf.DUMMYFUNCTION("""COMPUTED_VALUE"""),1.0)</f>
        <v>1</v>
      </c>
      <c r="V2368" s="1" t="str">
        <f>IFERROR(__xludf.DUMMYFUNCTION("""COMPUTED_VALUE"""),"Jan Domingo")</f>
        <v>Jan Domingo</v>
      </c>
      <c r="W2368" s="1" t="str">
        <f>IFERROR(__xludf.DUMMYFUNCTION("""COMPUTED_VALUE"""),"Print Design Support")</f>
        <v>Print Design Support</v>
      </c>
    </row>
    <row r="2369">
      <c r="O2369" s="1" t="str">
        <f>IFERROR(__xludf.DUMMYFUNCTION("""COMPUTED_VALUE"""),"2026 Feb")</f>
        <v>2026 Feb</v>
      </c>
      <c r="P2369" s="1" t="str">
        <f>IFERROR(__xludf.DUMMYFUNCTION("""COMPUTED_VALUE"""),"Core Product Support")</f>
        <v>Core Product Support</v>
      </c>
      <c r="Q2369" s="1" t="str">
        <f>IFERROR(__xludf.DUMMYFUNCTION("""COMPUTED_VALUE"""),"kevingo@canva.com")</f>
        <v>kevingo@canva.com</v>
      </c>
      <c r="R2369" s="1" t="str">
        <f>IFERROR(__xludf.DUMMYFUNCTION("""COMPUTED_VALUE"""),"Kevin Go")</f>
        <v>Kevin Go</v>
      </c>
      <c r="S2369" s="1"/>
      <c r="T2369" s="1">
        <f>IFERROR(__xludf.DUMMYFUNCTION("""COMPUTED_VALUE"""),15.08)</f>
        <v>15.08</v>
      </c>
      <c r="U2369" s="2">
        <f>IFERROR(__xludf.DUMMYFUNCTION("""COMPUTED_VALUE"""),15.08)</f>
        <v>15.08</v>
      </c>
      <c r="V2369" s="1" t="str">
        <f>IFERROR(__xludf.DUMMYFUNCTION("""COMPUTED_VALUE"""),"Belle Bentazal")</f>
        <v>Belle Bentazal</v>
      </c>
      <c r="W2369" s="1" t="str">
        <f>IFERROR(__xludf.DUMMYFUNCTION("""COMPUTED_VALUE"""),"Advanced Product Support")</f>
        <v>Advanced Product Support</v>
      </c>
    </row>
    <row r="2370">
      <c r="O2370" s="1" t="str">
        <f>IFERROR(__xludf.DUMMYFUNCTION("""COMPUTED_VALUE"""),"2026 Feb")</f>
        <v>2026 Feb</v>
      </c>
      <c r="P2370" s="1" t="str">
        <f>IFERROR(__xludf.DUMMYFUNCTION("""COMPUTED_VALUE"""),"Core Product Support")</f>
        <v>Core Product Support</v>
      </c>
      <c r="Q2370" s="1" t="str">
        <f>IFERROR(__xludf.DUMMYFUNCTION("""COMPUTED_VALUE"""),"kevromuga@canva.com")</f>
        <v>kevromuga@canva.com</v>
      </c>
      <c r="R2370" s="1" t="str">
        <f>IFERROR(__xludf.DUMMYFUNCTION("""COMPUTED_VALUE"""),"Kevin John Romuga")</f>
        <v>Kevin John Romuga</v>
      </c>
      <c r="S2370" s="1">
        <f>IFERROR(__xludf.DUMMYFUNCTION("""COMPUTED_VALUE"""),0.5)</f>
        <v>0.5</v>
      </c>
      <c r="T2370" s="1">
        <f>IFERROR(__xludf.DUMMYFUNCTION("""COMPUTED_VALUE"""),7.25)</f>
        <v>7.25</v>
      </c>
      <c r="U2370" s="2">
        <f>IFERROR(__xludf.DUMMYFUNCTION("""COMPUTED_VALUE"""),7.75)</f>
        <v>7.75</v>
      </c>
      <c r="V2370" s="1" t="str">
        <f>IFERROR(__xludf.DUMMYFUNCTION("""COMPUTED_VALUE"""),"Renette Bok")</f>
        <v>Renette Bok</v>
      </c>
      <c r="W2370" s="1" t="str">
        <f>IFERROR(__xludf.DUMMYFUNCTION("""COMPUTED_VALUE"""),"Advanced Billing &amp; Subscriptions")</f>
        <v>Advanced Billing &amp; Subscriptions</v>
      </c>
    </row>
    <row r="2371">
      <c r="O2371" s="1" t="str">
        <f>IFERROR(__xludf.DUMMYFUNCTION("""COMPUTED_VALUE"""),"2026 Feb")</f>
        <v>2026 Feb</v>
      </c>
      <c r="P2371" s="1" t="str">
        <f>IFERROR(__xludf.DUMMYFUNCTION("""COMPUTED_VALUE"""),"Core Product Support")</f>
        <v>Core Product Support</v>
      </c>
      <c r="Q2371" s="1" t="str">
        <f>IFERROR(__xludf.DUMMYFUNCTION("""COMPUTED_VALUE"""),"kimmescallado@canva.com")</f>
        <v>kimmescallado@canva.com</v>
      </c>
      <c r="R2371" s="1" t="str">
        <f>IFERROR(__xludf.DUMMYFUNCTION("""COMPUTED_VALUE"""),"Kim Mescallado")</f>
        <v>Kim Mescallado</v>
      </c>
      <c r="S2371" s="1"/>
      <c r="T2371" s="1">
        <f>IFERROR(__xludf.DUMMYFUNCTION("""COMPUTED_VALUE"""),15.33)</f>
        <v>15.33</v>
      </c>
      <c r="U2371" s="2">
        <f>IFERROR(__xludf.DUMMYFUNCTION("""COMPUTED_VALUE"""),15.33)</f>
        <v>15.33</v>
      </c>
      <c r="V2371" s="1" t="str">
        <f>IFERROR(__xludf.DUMMYFUNCTION("""COMPUTED_VALUE"""),"Belle Bentazal")</f>
        <v>Belle Bentazal</v>
      </c>
      <c r="W2371" s="1" t="str">
        <f>IFERROR(__xludf.DUMMYFUNCTION("""COMPUTED_VALUE"""),"Advanced Product Support")</f>
        <v>Advanced Product Support</v>
      </c>
    </row>
    <row r="2372">
      <c r="O2372" s="1" t="str">
        <f>IFERROR(__xludf.DUMMYFUNCTION("""COMPUTED_VALUE"""),"2026 Feb")</f>
        <v>2026 Feb</v>
      </c>
      <c r="P2372" s="1" t="str">
        <f>IFERROR(__xludf.DUMMYFUNCTION("""COMPUTED_VALUE"""),"Admin Support")</f>
        <v>Admin Support</v>
      </c>
      <c r="Q2372" s="1" t="str">
        <f>IFERROR(__xludf.DUMMYFUNCTION("""COMPUTED_VALUE"""),"kiro@canva.com")</f>
        <v>kiro@canva.com</v>
      </c>
      <c r="R2372" s="1" t="str">
        <f>IFERROR(__xludf.DUMMYFUNCTION("""COMPUTED_VALUE"""),"Kiro Mondala")</f>
        <v>Kiro Mondala</v>
      </c>
      <c r="S2372" s="1"/>
      <c r="T2372" s="1">
        <f>IFERROR(__xludf.DUMMYFUNCTION("""COMPUTED_VALUE"""),2.75)</f>
        <v>2.75</v>
      </c>
      <c r="U2372" s="2">
        <f>IFERROR(__xludf.DUMMYFUNCTION("""COMPUTED_VALUE"""),2.75)</f>
        <v>2.75</v>
      </c>
      <c r="V2372" s="1" t="str">
        <f>IFERROR(__xludf.DUMMYFUNCTION("""COMPUTED_VALUE"""),"Kelden Laguting")</f>
        <v>Kelden Laguting</v>
      </c>
      <c r="W2372" s="1" t="str">
        <f>IFERROR(__xludf.DUMMYFUNCTION("""COMPUTED_VALUE"""),"Admin Omni Support")</f>
        <v>Admin Omni Support</v>
      </c>
    </row>
    <row r="2373">
      <c r="O2373" s="1" t="str">
        <f>IFERROR(__xludf.DUMMYFUNCTION("""COMPUTED_VALUE"""),"2026 Feb")</f>
        <v>2026 Feb</v>
      </c>
      <c r="P2373" s="1" t="str">
        <f>IFERROR(__xludf.DUMMYFUNCTION("""COMPUTED_VALUE"""),"Core Product Support")</f>
        <v>Core Product Support</v>
      </c>
      <c r="Q2373" s="1" t="str">
        <f>IFERROR(__xludf.DUMMYFUNCTION("""COMPUTED_VALUE"""),"krisalava@canva.com")</f>
        <v>krisalava@canva.com</v>
      </c>
      <c r="R2373" s="1" t="str">
        <f>IFERROR(__xludf.DUMMYFUNCTION("""COMPUTED_VALUE"""),"Kris Alava")</f>
        <v>Kris Alava</v>
      </c>
      <c r="S2373" s="1">
        <f>IFERROR(__xludf.DUMMYFUNCTION("""COMPUTED_VALUE"""),1.0)</f>
        <v>1</v>
      </c>
      <c r="T2373" s="1">
        <f>IFERROR(__xludf.DUMMYFUNCTION("""COMPUTED_VALUE"""),9.5)</f>
        <v>9.5</v>
      </c>
      <c r="U2373" s="2">
        <f>IFERROR(__xludf.DUMMYFUNCTION("""COMPUTED_VALUE"""),10.5)</f>
        <v>10.5</v>
      </c>
      <c r="V2373" s="1" t="str">
        <f>IFERROR(__xludf.DUMMYFUNCTION("""COMPUTED_VALUE"""),"Sieg Ballelos")</f>
        <v>Sieg Ballelos</v>
      </c>
      <c r="W2373" s="1" t="str">
        <f>IFERROR(__xludf.DUMMYFUNCTION("""COMPUTED_VALUE"""),"Core Product Support Escalation Team")</f>
        <v>Core Product Support Escalation Team</v>
      </c>
    </row>
    <row r="2374">
      <c r="O2374" s="1" t="str">
        <f>IFERROR(__xludf.DUMMYFUNCTION("""COMPUTED_VALUE"""),"2026 Feb")</f>
        <v>2026 Feb</v>
      </c>
      <c r="P2374" s="1" t="str">
        <f>IFERROR(__xludf.DUMMYFUNCTION("""COMPUTED_VALUE"""),"Core Product Support")</f>
        <v>Core Product Support</v>
      </c>
      <c r="Q2374" s="1" t="str">
        <f>IFERROR(__xludf.DUMMYFUNCTION("""COMPUTED_VALUE"""),"kylep@canva.com")</f>
        <v>kylep@canva.com</v>
      </c>
      <c r="R2374" s="1" t="str">
        <f>IFERROR(__xludf.DUMMYFUNCTION("""COMPUTED_VALUE"""),"Kyle Pajarillo")</f>
        <v>Kyle Pajarillo</v>
      </c>
      <c r="S2374" s="1">
        <f>IFERROR(__xludf.DUMMYFUNCTION("""COMPUTED_VALUE"""),0.5)</f>
        <v>0.5</v>
      </c>
      <c r="T2374" s="1">
        <f>IFERROR(__xludf.DUMMYFUNCTION("""COMPUTED_VALUE"""),1.5)</f>
        <v>1.5</v>
      </c>
      <c r="U2374" s="2">
        <f>IFERROR(__xludf.DUMMYFUNCTION("""COMPUTED_VALUE"""),2.0)</f>
        <v>2</v>
      </c>
      <c r="V2374" s="1" t="str">
        <f>IFERROR(__xludf.DUMMYFUNCTION("""COMPUTED_VALUE"""),"Marie Mordeno")</f>
        <v>Marie Mordeno</v>
      </c>
      <c r="W2374" s="1" t="str">
        <f>IFERROR(__xludf.DUMMYFUNCTION("""COMPUTED_VALUE"""),"Advanced Billing &amp; Subscriptions")</f>
        <v>Advanced Billing &amp; Subscriptions</v>
      </c>
    </row>
    <row r="2375">
      <c r="O2375" s="1" t="str">
        <f>IFERROR(__xludf.DUMMYFUNCTION("""COMPUTED_VALUE"""),"2026 Feb")</f>
        <v>2026 Feb</v>
      </c>
      <c r="P2375" s="1" t="str">
        <f>IFERROR(__xludf.DUMMYFUNCTION("""COMPUTED_VALUE"""),"Core Product Support")</f>
        <v>Core Product Support</v>
      </c>
      <c r="Q2375" s="1" t="str">
        <f>IFERROR(__xludf.DUMMYFUNCTION("""COMPUTED_VALUE"""),"lailav@canva.com")</f>
        <v>lailav@canva.com</v>
      </c>
      <c r="R2375" s="1" t="str">
        <f>IFERROR(__xludf.DUMMYFUNCTION("""COMPUTED_VALUE"""),"Laila Villamor")</f>
        <v>Laila Villamor</v>
      </c>
      <c r="S2375" s="1">
        <f>IFERROR(__xludf.DUMMYFUNCTION("""COMPUTED_VALUE"""),0.5)</f>
        <v>0.5</v>
      </c>
      <c r="T2375" s="1">
        <f>IFERROR(__xludf.DUMMYFUNCTION("""COMPUTED_VALUE"""),5.75)</f>
        <v>5.75</v>
      </c>
      <c r="U2375" s="2">
        <f>IFERROR(__xludf.DUMMYFUNCTION("""COMPUTED_VALUE"""),6.25)</f>
        <v>6.25</v>
      </c>
      <c r="V2375" s="1" t="str">
        <f>IFERROR(__xludf.DUMMYFUNCTION("""COMPUTED_VALUE"""),"Jahmie Mae Barrameda")</f>
        <v>Jahmie Mae Barrameda</v>
      </c>
      <c r="W2375" s="1" t="str">
        <f>IFERROR(__xludf.DUMMYFUNCTION("""COMPUTED_VALUE"""),"Advanced Billing &amp; Subscriptions")</f>
        <v>Advanced Billing &amp; Subscriptions</v>
      </c>
    </row>
    <row r="2376">
      <c r="O2376" s="1" t="str">
        <f>IFERROR(__xludf.DUMMYFUNCTION("""COMPUTED_VALUE"""),"2026 Feb")</f>
        <v>2026 Feb</v>
      </c>
      <c r="P2376" s="1" t="str">
        <f>IFERROR(__xludf.DUMMYFUNCTION("""COMPUTED_VALUE"""),"Print Support")</f>
        <v>Print Support</v>
      </c>
      <c r="Q2376" s="1" t="str">
        <f>IFERROR(__xludf.DUMMYFUNCTION("""COMPUTED_VALUE"""),"lancer@canva.com")</f>
        <v>lancer@canva.com</v>
      </c>
      <c r="R2376" s="1" t="str">
        <f>IFERROR(__xludf.DUMMYFUNCTION("""COMPUTED_VALUE"""),"Lance Guevarra")</f>
        <v>Lance Guevarra</v>
      </c>
      <c r="S2376" s="1"/>
      <c r="T2376" s="1">
        <f>IFERROR(__xludf.DUMMYFUNCTION("""COMPUTED_VALUE"""),10.5)</f>
        <v>10.5</v>
      </c>
      <c r="U2376" s="2">
        <f>IFERROR(__xludf.DUMMYFUNCTION("""COMPUTED_VALUE"""),10.5)</f>
        <v>10.5</v>
      </c>
      <c r="V2376" s="1" t="str">
        <f>IFERROR(__xludf.DUMMYFUNCTION("""COMPUTED_VALUE"""),"Jen Momo")</f>
        <v>Jen Momo</v>
      </c>
      <c r="W2376" s="1" t="str">
        <f>IFERROR(__xludf.DUMMYFUNCTION("""COMPUTED_VALUE"""),"Print Support PH")</f>
        <v>Print Support PH</v>
      </c>
    </row>
    <row r="2377">
      <c r="O2377" s="1" t="str">
        <f>IFERROR(__xludf.DUMMYFUNCTION("""COMPUTED_VALUE"""),"2026 Feb")</f>
        <v>2026 Feb</v>
      </c>
      <c r="P2377" s="1" t="str">
        <f>IFERROR(__xludf.DUMMYFUNCTION("""COMPUTED_VALUE"""),"Segment-specific Support")</f>
        <v>Segment-specific Support</v>
      </c>
      <c r="Q2377" s="1" t="str">
        <f>IFERROR(__xludf.DUMMYFUNCTION("""COMPUTED_VALUE"""),"lance@canva.com")</f>
        <v>lance@canva.com</v>
      </c>
      <c r="R2377" s="1" t="str">
        <f>IFERROR(__xludf.DUMMYFUNCTION("""COMPUTED_VALUE"""),"Lance Reyes")</f>
        <v>Lance Reyes</v>
      </c>
      <c r="S2377" s="1"/>
      <c r="T2377" s="1">
        <f>IFERROR(__xludf.DUMMYFUNCTION("""COMPUTED_VALUE"""),1.0)</f>
        <v>1</v>
      </c>
      <c r="U2377" s="2">
        <f>IFERROR(__xludf.DUMMYFUNCTION("""COMPUTED_VALUE"""),1.0)</f>
        <v>1</v>
      </c>
      <c r="V2377" s="1" t="str">
        <f>IFERROR(__xludf.DUMMYFUNCTION("""COMPUTED_VALUE"""),"Gucci Nava")</f>
        <v>Gucci Nava</v>
      </c>
      <c r="W2377" s="1" t="str">
        <f>IFERROR(__xludf.DUMMYFUNCTION("""COMPUTED_VALUE"""),"Affinity Support")</f>
        <v>Affinity Support</v>
      </c>
    </row>
    <row r="2378">
      <c r="O2378" s="1" t="str">
        <f>IFERROR(__xludf.DUMMYFUNCTION("""COMPUTED_VALUE"""),"2026 Feb")</f>
        <v>2026 Feb</v>
      </c>
      <c r="P2378" s="1" t="str">
        <f>IFERROR(__xludf.DUMMYFUNCTION("""COMPUTED_VALUE"""),"High Sensitivity Support")</f>
        <v>High Sensitivity Support</v>
      </c>
      <c r="Q2378" s="1" t="str">
        <f>IFERROR(__xludf.DUMMYFUNCTION("""COMPUTED_VALUE"""),"leanp@canva.com")</f>
        <v>leanp@canva.com</v>
      </c>
      <c r="R2378" s="1" t="str">
        <f>IFERROR(__xludf.DUMMYFUNCTION("""COMPUTED_VALUE"""),"Lean Reyes")</f>
        <v>Lean Reyes</v>
      </c>
      <c r="S2378" s="1"/>
      <c r="T2378" s="1">
        <f>IFERROR(__xludf.DUMMYFUNCTION("""COMPUTED_VALUE"""),6.5)</f>
        <v>6.5</v>
      </c>
      <c r="U2378" s="2">
        <f>IFERROR(__xludf.DUMMYFUNCTION("""COMPUTED_VALUE"""),6.5)</f>
        <v>6.5</v>
      </c>
      <c r="V2378" s="1" t="str">
        <f>IFERROR(__xludf.DUMMYFUNCTION("""COMPUTED_VALUE"""),"Issi Afable")</f>
        <v>Issi Afable</v>
      </c>
      <c r="W2378" s="1" t="str">
        <f>IFERROR(__xludf.DUMMYFUNCTION("""COMPUTED_VALUE"""),"High Sensitivity Support PH")</f>
        <v>High Sensitivity Support PH</v>
      </c>
    </row>
    <row r="2379">
      <c r="O2379" s="1" t="str">
        <f>IFERROR(__xludf.DUMMYFUNCTION("""COMPUTED_VALUE"""),"2026 Feb")</f>
        <v>2026 Feb</v>
      </c>
      <c r="P2379" s="1" t="str">
        <f>IFERROR(__xludf.DUMMYFUNCTION("""COMPUTED_VALUE"""),"Print Support")</f>
        <v>Print Support</v>
      </c>
      <c r="Q2379" s="1" t="str">
        <f>IFERROR(__xludf.DUMMYFUNCTION("""COMPUTED_VALUE"""),"larce@canva.com")</f>
        <v>larce@canva.com</v>
      </c>
      <c r="R2379" s="1" t="str">
        <f>IFERROR(__xludf.DUMMYFUNCTION("""COMPUTED_VALUE"""),"Lee Arce")</f>
        <v>Lee Arce</v>
      </c>
      <c r="S2379" s="1"/>
      <c r="T2379" s="1">
        <f>IFERROR(__xludf.DUMMYFUNCTION("""COMPUTED_VALUE"""),8.25)</f>
        <v>8.25</v>
      </c>
      <c r="U2379" s="2">
        <f>IFERROR(__xludf.DUMMYFUNCTION("""COMPUTED_VALUE"""),8.25)</f>
        <v>8.25</v>
      </c>
      <c r="V2379" s="1" t="str">
        <f>IFERROR(__xludf.DUMMYFUNCTION("""COMPUTED_VALUE"""),"Althea Mercado")</f>
        <v>Althea Mercado</v>
      </c>
      <c r="W2379" s="1" t="str">
        <f>IFERROR(__xludf.DUMMYFUNCTION("""COMPUTED_VALUE"""),"Print Support PH")</f>
        <v>Print Support PH</v>
      </c>
    </row>
    <row r="2380">
      <c r="O2380" s="1" t="str">
        <f>IFERROR(__xludf.DUMMYFUNCTION("""COMPUTED_VALUE"""),"2026 Feb")</f>
        <v>2026 Feb</v>
      </c>
      <c r="P2380" s="1" t="str">
        <f>IFERROR(__xludf.DUMMYFUNCTION("""COMPUTED_VALUE"""),"Core Product Support")</f>
        <v>Core Product Support</v>
      </c>
      <c r="Q2380" s="1" t="str">
        <f>IFERROR(__xludf.DUMMYFUNCTION("""COMPUTED_VALUE"""),"leilanie@canva.com")</f>
        <v>leilanie@canva.com</v>
      </c>
      <c r="R2380" s="1" t="str">
        <f>IFERROR(__xludf.DUMMYFUNCTION("""COMPUTED_VALUE"""),"Lei Gratuito")</f>
        <v>Lei Gratuito</v>
      </c>
      <c r="S2380" s="1">
        <f>IFERROR(__xludf.DUMMYFUNCTION("""COMPUTED_VALUE"""),1.5)</f>
        <v>1.5</v>
      </c>
      <c r="T2380" s="1">
        <f>IFERROR(__xludf.DUMMYFUNCTION("""COMPUTED_VALUE"""),6.25)</f>
        <v>6.25</v>
      </c>
      <c r="U2380" s="2">
        <f>IFERROR(__xludf.DUMMYFUNCTION("""COMPUTED_VALUE"""),7.75)</f>
        <v>7.75</v>
      </c>
      <c r="V2380" s="1" t="str">
        <f>IFERROR(__xludf.DUMMYFUNCTION("""COMPUTED_VALUE"""),"Renette Bok")</f>
        <v>Renette Bok</v>
      </c>
      <c r="W2380" s="1" t="str">
        <f>IFERROR(__xludf.DUMMYFUNCTION("""COMPUTED_VALUE"""),"Advanced Billing &amp; Subscriptions")</f>
        <v>Advanced Billing &amp; Subscriptions</v>
      </c>
    </row>
    <row r="2381">
      <c r="O2381" s="1" t="str">
        <f>IFERROR(__xludf.DUMMYFUNCTION("""COMPUTED_VALUE"""),"2026 Feb")</f>
        <v>2026 Feb</v>
      </c>
      <c r="P2381" s="1" t="str">
        <f>IFERROR(__xludf.DUMMYFUNCTION("""COMPUTED_VALUE"""),"Core Product Support")</f>
        <v>Core Product Support</v>
      </c>
      <c r="Q2381" s="1" t="str">
        <f>IFERROR(__xludf.DUMMYFUNCTION("""COMPUTED_VALUE"""),"leonard@canva.com")</f>
        <v>leonard@canva.com</v>
      </c>
      <c r="R2381" s="1" t="str">
        <f>IFERROR(__xludf.DUMMYFUNCTION("""COMPUTED_VALUE"""),"Leonard Baguio")</f>
        <v>Leonard Baguio</v>
      </c>
      <c r="S2381" s="1">
        <f>IFERROR(__xludf.DUMMYFUNCTION("""COMPUTED_VALUE"""),1.0)</f>
        <v>1</v>
      </c>
      <c r="T2381" s="1">
        <f>IFERROR(__xludf.DUMMYFUNCTION("""COMPUTED_VALUE"""),11.0)</f>
        <v>11</v>
      </c>
      <c r="U2381" s="2">
        <f>IFERROR(__xludf.DUMMYFUNCTION("""COMPUTED_VALUE"""),12.0)</f>
        <v>12</v>
      </c>
      <c r="V2381" s="1" t="str">
        <f>IFERROR(__xludf.DUMMYFUNCTION("""COMPUTED_VALUE"""),"Jelyn Elmido")</f>
        <v>Jelyn Elmido</v>
      </c>
      <c r="W2381" s="1" t="str">
        <f>IFERROR(__xludf.DUMMYFUNCTION("""COMPUTED_VALUE"""),"Core Product Support Escalation Team")</f>
        <v>Core Product Support Escalation Team</v>
      </c>
    </row>
    <row r="2382">
      <c r="O2382" s="1" t="str">
        <f>IFERROR(__xludf.DUMMYFUNCTION("""COMPUTED_VALUE"""),"2026 Feb")</f>
        <v>2026 Feb</v>
      </c>
      <c r="P2382" s="1" t="str">
        <f>IFERROR(__xludf.DUMMYFUNCTION("""COMPUTED_VALUE"""),"Print Support")</f>
        <v>Print Support</v>
      </c>
      <c r="Q2382" s="1" t="str">
        <f>IFERROR(__xludf.DUMMYFUNCTION("""COMPUTED_VALUE"""),"anneharriet@canva.com")</f>
        <v>anneharriet@canva.com</v>
      </c>
      <c r="R2382" s="1" t="str">
        <f>IFERROR(__xludf.DUMMYFUNCTION("""COMPUTED_VALUE"""),"Leslie Anne Gilua")</f>
        <v>Leslie Anne Gilua</v>
      </c>
      <c r="S2382" s="1"/>
      <c r="T2382" s="1">
        <f>IFERROR(__xludf.DUMMYFUNCTION("""COMPUTED_VALUE"""),11.2)</f>
        <v>11.2</v>
      </c>
      <c r="U2382" s="2">
        <f>IFERROR(__xludf.DUMMYFUNCTION("""COMPUTED_VALUE"""),11.2)</f>
        <v>11.2</v>
      </c>
      <c r="V2382" s="1" t="str">
        <f>IFERROR(__xludf.DUMMYFUNCTION("""COMPUTED_VALUE"""),"Louise Dianne Estrella")</f>
        <v>Louise Dianne Estrella</v>
      </c>
      <c r="W2382" s="1" t="str">
        <f>IFERROR(__xludf.DUMMYFUNCTION("""COMPUTED_VALUE"""),"Print Support PH")</f>
        <v>Print Support PH</v>
      </c>
    </row>
    <row r="2383">
      <c r="O2383" s="1" t="str">
        <f>IFERROR(__xludf.DUMMYFUNCTION("""COMPUTED_VALUE"""),"2026 Feb")</f>
        <v>2026 Feb</v>
      </c>
      <c r="P2383" s="1" t="str">
        <f>IFERROR(__xludf.DUMMYFUNCTION("""COMPUTED_VALUE"""),"Core Product Support")</f>
        <v>Core Product Support</v>
      </c>
      <c r="Q2383" s="1" t="str">
        <f>IFERROR(__xludf.DUMMYFUNCTION("""COMPUTED_VALUE"""),"lewisjarvin@canva.com")</f>
        <v>lewisjarvin@canva.com</v>
      </c>
      <c r="R2383" s="1" t="str">
        <f>IFERROR(__xludf.DUMMYFUNCTION("""COMPUTED_VALUE"""),"Lewis Ramirez")</f>
        <v>Lewis Ramirez</v>
      </c>
      <c r="S2383" s="1"/>
      <c r="T2383" s="1">
        <f>IFERROR(__xludf.DUMMYFUNCTION("""COMPUTED_VALUE"""),14.92)</f>
        <v>14.92</v>
      </c>
      <c r="U2383" s="2">
        <f>IFERROR(__xludf.DUMMYFUNCTION("""COMPUTED_VALUE"""),14.92)</f>
        <v>14.92</v>
      </c>
      <c r="V2383" s="1" t="str">
        <f>IFERROR(__xludf.DUMMYFUNCTION("""COMPUTED_VALUE"""),"Mikhaela Decangchon")</f>
        <v>Mikhaela Decangchon</v>
      </c>
      <c r="W2383" s="1" t="str">
        <f>IFERROR(__xludf.DUMMYFUNCTION("""COMPUTED_VALUE"""),"Advanced Product Support")</f>
        <v>Advanced Product Support</v>
      </c>
    </row>
    <row r="2384">
      <c r="O2384" s="1" t="str">
        <f>IFERROR(__xludf.DUMMYFUNCTION("""COMPUTED_VALUE"""),"2026 Feb")</f>
        <v>2026 Feb</v>
      </c>
      <c r="P2384" s="1" t="str">
        <f>IFERROR(__xludf.DUMMYFUNCTION("""COMPUTED_VALUE"""),"Segment-specific Support")</f>
        <v>Segment-specific Support</v>
      </c>
      <c r="Q2384" s="1" t="str">
        <f>IFERROR(__xludf.DUMMYFUNCTION("""COMPUTED_VALUE"""),"liabaclay@canva.com")</f>
        <v>liabaclay@canva.com</v>
      </c>
      <c r="R2384" s="1" t="str">
        <f>IFERROR(__xludf.DUMMYFUNCTION("""COMPUTED_VALUE"""),"Lia Baclay")</f>
        <v>Lia Baclay</v>
      </c>
      <c r="S2384" s="1"/>
      <c r="T2384" s="1">
        <f>IFERROR(__xludf.DUMMYFUNCTION("""COMPUTED_VALUE"""),10.25)</f>
        <v>10.25</v>
      </c>
      <c r="U2384" s="2">
        <f>IFERROR(__xludf.DUMMYFUNCTION("""COMPUTED_VALUE"""),10.25)</f>
        <v>10.25</v>
      </c>
      <c r="V2384" s="1" t="str">
        <f>IFERROR(__xludf.DUMMYFUNCTION("""COMPUTED_VALUE"""),"Rose Gabilan")</f>
        <v>Rose Gabilan</v>
      </c>
      <c r="W2384" s="1" t="str">
        <f>IFERROR(__xludf.DUMMYFUNCTION("""COMPUTED_VALUE"""),"Affinity Support")</f>
        <v>Affinity Support</v>
      </c>
    </row>
    <row r="2385">
      <c r="O2385" s="1" t="str">
        <f>IFERROR(__xludf.DUMMYFUNCTION("""COMPUTED_VALUE"""),"2026 Feb")</f>
        <v>2026 Feb</v>
      </c>
      <c r="P2385" s="1" t="str">
        <f>IFERROR(__xludf.DUMMYFUNCTION("""COMPUTED_VALUE"""),"Segment-specific Support")</f>
        <v>Segment-specific Support</v>
      </c>
      <c r="Q2385" s="1" t="str">
        <f>IFERROR(__xludf.DUMMYFUNCTION("""COMPUTED_VALUE"""),"liberty@canva.com")</f>
        <v>liberty@canva.com</v>
      </c>
      <c r="R2385" s="1" t="str">
        <f>IFERROR(__xludf.DUMMYFUNCTION("""COMPUTED_VALUE"""),"Liberty Casala")</f>
        <v>Liberty Casala</v>
      </c>
      <c r="S2385" s="1"/>
      <c r="T2385" s="1">
        <f>IFERROR(__xludf.DUMMYFUNCTION("""COMPUTED_VALUE"""),42.0)</f>
        <v>42</v>
      </c>
      <c r="U2385" s="2">
        <f>IFERROR(__xludf.DUMMYFUNCTION("""COMPUTED_VALUE"""),42.0)</f>
        <v>42</v>
      </c>
      <c r="V2385" s="1" t="str">
        <f>IFERROR(__xludf.DUMMYFUNCTION("""COMPUTED_VALUE"""),"Gucci Nava")</f>
        <v>Gucci Nava</v>
      </c>
      <c r="W2385" s="1" t="str">
        <f>IFERROR(__xludf.DUMMYFUNCTION("""COMPUTED_VALUE"""),"Print Support PH")</f>
        <v>Print Support PH</v>
      </c>
    </row>
    <row r="2386">
      <c r="O2386" s="1" t="str">
        <f>IFERROR(__xludf.DUMMYFUNCTION("""COMPUTED_VALUE"""),"2026 Feb")</f>
        <v>2026 Feb</v>
      </c>
      <c r="P2386" s="1" t="str">
        <f>IFERROR(__xludf.DUMMYFUNCTION("""COMPUTED_VALUE"""),"Print Support")</f>
        <v>Print Support</v>
      </c>
      <c r="Q2386" s="1" t="str">
        <f>IFERROR(__xludf.DUMMYFUNCTION("""COMPUTED_VALUE"""),"loise@canva.com")</f>
        <v>loise@canva.com</v>
      </c>
      <c r="R2386" s="1" t="str">
        <f>IFERROR(__xludf.DUMMYFUNCTION("""COMPUTED_VALUE"""),"Loise Dela Cruz")</f>
        <v>Loise Dela Cruz</v>
      </c>
      <c r="S2386" s="1"/>
      <c r="T2386" s="1">
        <f>IFERROR(__xludf.DUMMYFUNCTION("""COMPUTED_VALUE"""),1.33)</f>
        <v>1.33</v>
      </c>
      <c r="U2386" s="2">
        <f>IFERROR(__xludf.DUMMYFUNCTION("""COMPUTED_VALUE"""),1.33)</f>
        <v>1.33</v>
      </c>
      <c r="V2386" s="1" t="str">
        <f>IFERROR(__xludf.DUMMYFUNCTION("""COMPUTED_VALUE"""),"Aliza Dote")</f>
        <v>Aliza Dote</v>
      </c>
      <c r="W2386" s="1" t="str">
        <f>IFERROR(__xludf.DUMMYFUNCTION("""COMPUTED_VALUE"""),"Print Design Support")</f>
        <v>Print Design Support</v>
      </c>
    </row>
    <row r="2387">
      <c r="O2387" s="1" t="str">
        <f>IFERROR(__xludf.DUMMYFUNCTION("""COMPUTED_VALUE"""),"2026 Feb")</f>
        <v>2026 Feb</v>
      </c>
      <c r="P2387" s="1" t="str">
        <f>IFERROR(__xludf.DUMMYFUNCTION("""COMPUTED_VALUE"""),"Core Product Support")</f>
        <v>Core Product Support</v>
      </c>
      <c r="Q2387" s="1" t="str">
        <f>IFERROR(__xludf.DUMMYFUNCTION("""COMPUTED_VALUE"""),"loudv@canva.com")</f>
        <v>loudv@canva.com</v>
      </c>
      <c r="R2387" s="1" t="str">
        <f>IFERROR(__xludf.DUMMYFUNCTION("""COMPUTED_VALUE"""),"Louieline Dela Vega")</f>
        <v>Louieline Dela Vega</v>
      </c>
      <c r="S2387" s="1"/>
      <c r="T2387" s="1">
        <f>IFERROR(__xludf.DUMMYFUNCTION("""COMPUTED_VALUE"""),11.27)</f>
        <v>11.27</v>
      </c>
      <c r="U2387" s="2">
        <f>IFERROR(__xludf.DUMMYFUNCTION("""COMPUTED_VALUE"""),11.27)</f>
        <v>11.27</v>
      </c>
      <c r="V2387" s="1" t="str">
        <f>IFERROR(__xludf.DUMMYFUNCTION("""COMPUTED_VALUE"""),"Jahmie Mae Barrameda")</f>
        <v>Jahmie Mae Barrameda</v>
      </c>
      <c r="W2387" s="1" t="str">
        <f>IFERROR(__xludf.DUMMYFUNCTION("""COMPUTED_VALUE"""),"Advanced Billing &amp; Subscriptions")</f>
        <v>Advanced Billing &amp; Subscriptions</v>
      </c>
    </row>
    <row r="2388">
      <c r="O2388" s="1" t="str">
        <f>IFERROR(__xludf.DUMMYFUNCTION("""COMPUTED_VALUE"""),"2026 Feb")</f>
        <v>2026 Feb</v>
      </c>
      <c r="P2388" s="1" t="str">
        <f>IFERROR(__xludf.DUMMYFUNCTION("""COMPUTED_VALUE"""),"Core Product Support")</f>
        <v>Core Product Support</v>
      </c>
      <c r="Q2388" s="1" t="str">
        <f>IFERROR(__xludf.DUMMYFUNCTION("""COMPUTED_VALUE"""),"lovejoyce@canva.com")</f>
        <v>lovejoyce@canva.com</v>
      </c>
      <c r="R2388" s="1" t="str">
        <f>IFERROR(__xludf.DUMMYFUNCTION("""COMPUTED_VALUE"""),"Love Joyce Pasagui")</f>
        <v>Love Joyce Pasagui</v>
      </c>
      <c r="S2388" s="1">
        <f>IFERROR(__xludf.DUMMYFUNCTION("""COMPUTED_VALUE"""),1.0)</f>
        <v>1</v>
      </c>
      <c r="T2388" s="1">
        <f>IFERROR(__xludf.DUMMYFUNCTION("""COMPUTED_VALUE"""),11.5)</f>
        <v>11.5</v>
      </c>
      <c r="U2388" s="2">
        <f>IFERROR(__xludf.DUMMYFUNCTION("""COMPUTED_VALUE"""),12.5)</f>
        <v>12.5</v>
      </c>
      <c r="V2388" s="1" t="str">
        <f>IFERROR(__xludf.DUMMYFUNCTION("""COMPUTED_VALUE"""),"Jelyn Elmido")</f>
        <v>Jelyn Elmido</v>
      </c>
      <c r="W2388" s="1" t="str">
        <f>IFERROR(__xludf.DUMMYFUNCTION("""COMPUTED_VALUE"""),"Core Product Support Escalation Team")</f>
        <v>Core Product Support Escalation Team</v>
      </c>
    </row>
    <row r="2389">
      <c r="O2389" s="1" t="str">
        <f>IFERROR(__xludf.DUMMYFUNCTION("""COMPUTED_VALUE"""),"2026 Feb")</f>
        <v>2026 Feb</v>
      </c>
      <c r="P2389" s="1" t="str">
        <f>IFERROR(__xludf.DUMMYFUNCTION("""COMPUTED_VALUE"""),"Print Support")</f>
        <v>Print Support</v>
      </c>
      <c r="Q2389" s="1" t="str">
        <f>IFERROR(__xludf.DUMMYFUNCTION("""COMPUTED_VALUE"""),"rlsalomia@canva.com")</f>
        <v>rlsalomia@canva.com</v>
      </c>
      <c r="R2389" s="1" t="str">
        <f>IFERROR(__xludf.DUMMYFUNCTION("""COMPUTED_VALUE"""),"Luis Salomia")</f>
        <v>Luis Salomia</v>
      </c>
      <c r="S2389" s="1"/>
      <c r="T2389" s="1">
        <f>IFERROR(__xludf.DUMMYFUNCTION("""COMPUTED_VALUE"""),11.08)</f>
        <v>11.08</v>
      </c>
      <c r="U2389" s="2">
        <f>IFERROR(__xludf.DUMMYFUNCTION("""COMPUTED_VALUE"""),11.08)</f>
        <v>11.08</v>
      </c>
      <c r="V2389" s="1" t="str">
        <f>IFERROR(__xludf.DUMMYFUNCTION("""COMPUTED_VALUE"""),"Louise Dianne Estrella")</f>
        <v>Louise Dianne Estrella</v>
      </c>
      <c r="W2389" s="1" t="str">
        <f>IFERROR(__xludf.DUMMYFUNCTION("""COMPUTED_VALUE"""),"Print Support PH")</f>
        <v>Print Support PH</v>
      </c>
    </row>
    <row r="2390">
      <c r="O2390" s="1" t="str">
        <f>IFERROR(__xludf.DUMMYFUNCTION("""COMPUTED_VALUE"""),"2026 Feb")</f>
        <v>2026 Feb</v>
      </c>
      <c r="P2390" s="1" t="str">
        <f>IFERROR(__xludf.DUMMYFUNCTION("""COMPUTED_VALUE"""),"Admin Support")</f>
        <v>Admin Support</v>
      </c>
      <c r="Q2390" s="1" t="str">
        <f>IFERROR(__xludf.DUMMYFUNCTION("""COMPUTED_VALUE"""),"lyzdr@canva.com")</f>
        <v>lyzdr@canva.com</v>
      </c>
      <c r="R2390" s="1" t="str">
        <f>IFERROR(__xludf.DUMMYFUNCTION("""COMPUTED_VALUE"""),"Lyzza Del Rosario")</f>
        <v>Lyzza Del Rosario</v>
      </c>
      <c r="S2390" s="1"/>
      <c r="T2390" s="1">
        <f>IFERROR(__xludf.DUMMYFUNCTION("""COMPUTED_VALUE"""),3.67)</f>
        <v>3.67</v>
      </c>
      <c r="U2390" s="2">
        <f>IFERROR(__xludf.DUMMYFUNCTION("""COMPUTED_VALUE"""),3.67)</f>
        <v>3.67</v>
      </c>
      <c r="V2390" s="1" t="str">
        <f>IFERROR(__xludf.DUMMYFUNCTION("""COMPUTED_VALUE"""),"Ann Dumlao")</f>
        <v>Ann Dumlao</v>
      </c>
      <c r="W2390" s="1" t="str">
        <f>IFERROR(__xludf.DUMMYFUNCTION("""COMPUTED_VALUE"""),"Admin Omni Support")</f>
        <v>Admin Omni Support</v>
      </c>
    </row>
    <row r="2391">
      <c r="O2391" s="1" t="str">
        <f>IFERROR(__xludf.DUMMYFUNCTION("""COMPUTED_VALUE"""),"2026 Feb")</f>
        <v>2026 Feb</v>
      </c>
      <c r="P2391" s="1" t="str">
        <f>IFERROR(__xludf.DUMMYFUNCTION("""COMPUTED_VALUE"""),"Admin Support")</f>
        <v>Admin Support</v>
      </c>
      <c r="Q2391" s="1" t="str">
        <f>IFERROR(__xludf.DUMMYFUNCTION("""COMPUTED_VALUE"""),"mac@canva.com")</f>
        <v>mac@canva.com</v>
      </c>
      <c r="R2391" s="1" t="str">
        <f>IFERROR(__xludf.DUMMYFUNCTION("""COMPUTED_VALUE"""),"Mac Mendoza")</f>
        <v>Mac Mendoza</v>
      </c>
      <c r="S2391" s="1"/>
      <c r="T2391" s="1">
        <f>IFERROR(__xludf.DUMMYFUNCTION("""COMPUTED_VALUE"""),2.83)</f>
        <v>2.83</v>
      </c>
      <c r="U2391" s="2">
        <f>IFERROR(__xludf.DUMMYFUNCTION("""COMPUTED_VALUE"""),2.83)</f>
        <v>2.83</v>
      </c>
      <c r="V2391" s="1" t="str">
        <f>IFERROR(__xludf.DUMMYFUNCTION("""COMPUTED_VALUE"""),"Ann Dumlao")</f>
        <v>Ann Dumlao</v>
      </c>
      <c r="W2391" s="1" t="str">
        <f>IFERROR(__xludf.DUMMYFUNCTION("""COMPUTED_VALUE"""),"Admin Omni Support")</f>
        <v>Admin Omni Support</v>
      </c>
    </row>
    <row r="2392">
      <c r="O2392" s="1" t="str">
        <f>IFERROR(__xludf.DUMMYFUNCTION("""COMPUTED_VALUE"""),"2026 Feb")</f>
        <v>2026 Feb</v>
      </c>
      <c r="P2392" s="1" t="str">
        <f>IFERROR(__xludf.DUMMYFUNCTION("""COMPUTED_VALUE"""),"High Sensitivity Support")</f>
        <v>High Sensitivity Support</v>
      </c>
      <c r="Q2392" s="1" t="str">
        <f>IFERROR(__xludf.DUMMYFUNCTION("""COMPUTED_VALUE"""),"macie@canva.com")</f>
        <v>macie@canva.com</v>
      </c>
      <c r="R2392" s="1" t="str">
        <f>IFERROR(__xludf.DUMMYFUNCTION("""COMPUTED_VALUE"""),"Macie del Mundo")</f>
        <v>Macie del Mundo</v>
      </c>
      <c r="S2392" s="1"/>
      <c r="T2392" s="1">
        <f>IFERROR(__xludf.DUMMYFUNCTION("""COMPUTED_VALUE"""),2.25)</f>
        <v>2.25</v>
      </c>
      <c r="U2392" s="2">
        <f>IFERROR(__xludf.DUMMYFUNCTION("""COMPUTED_VALUE"""),2.25)</f>
        <v>2.25</v>
      </c>
      <c r="V2392" s="1" t="str">
        <f>IFERROR(__xludf.DUMMYFUNCTION("""COMPUTED_VALUE"""),"Rossheen Pura")</f>
        <v>Rossheen Pura</v>
      </c>
      <c r="W2392" s="1" t="str">
        <f>IFERROR(__xludf.DUMMYFUNCTION("""COMPUTED_VALUE"""),"High Sensitivity Support PH")</f>
        <v>High Sensitivity Support PH</v>
      </c>
    </row>
    <row r="2393">
      <c r="O2393" s="1" t="str">
        <f>IFERROR(__xludf.DUMMYFUNCTION("""COMPUTED_VALUE"""),"2026 Feb")</f>
        <v>2026 Feb</v>
      </c>
      <c r="P2393" s="1" t="str">
        <f>IFERROR(__xludf.DUMMYFUNCTION("""COMPUTED_VALUE"""),"Core Product Support")</f>
        <v>Core Product Support</v>
      </c>
      <c r="Q2393" s="1" t="str">
        <f>IFERROR(__xludf.DUMMYFUNCTION("""COMPUTED_VALUE"""),"mackievitacion@canva.com")</f>
        <v>mackievitacion@canva.com</v>
      </c>
      <c r="R2393" s="1" t="str">
        <f>IFERROR(__xludf.DUMMYFUNCTION("""COMPUTED_VALUE"""),"Mackie Vitacion")</f>
        <v>Mackie Vitacion</v>
      </c>
      <c r="S2393" s="1">
        <f>IFERROR(__xludf.DUMMYFUNCTION("""COMPUTED_VALUE"""),0.5)</f>
        <v>0.5</v>
      </c>
      <c r="T2393" s="1">
        <f>IFERROR(__xludf.DUMMYFUNCTION("""COMPUTED_VALUE"""),10.5)</f>
        <v>10.5</v>
      </c>
      <c r="U2393" s="2">
        <f>IFERROR(__xludf.DUMMYFUNCTION("""COMPUTED_VALUE"""),11.0)</f>
        <v>11</v>
      </c>
      <c r="V2393" s="1" t="str">
        <f>IFERROR(__xludf.DUMMYFUNCTION("""COMPUTED_VALUE"""),"Vinz Lazaro")</f>
        <v>Vinz Lazaro</v>
      </c>
      <c r="W2393" s="1" t="str">
        <f>IFERROR(__xludf.DUMMYFUNCTION("""COMPUTED_VALUE"""),"Advanced Product Support")</f>
        <v>Advanced Product Support</v>
      </c>
    </row>
    <row r="2394">
      <c r="O2394" s="1" t="str">
        <f>IFERROR(__xludf.DUMMYFUNCTION("""COMPUTED_VALUE"""),"2026 Feb")</f>
        <v>2026 Feb</v>
      </c>
      <c r="P2394" s="1" t="str">
        <f>IFERROR(__xludf.DUMMYFUNCTION("""COMPUTED_VALUE"""),"High Sensitivity Support")</f>
        <v>High Sensitivity Support</v>
      </c>
      <c r="Q2394" s="1" t="str">
        <f>IFERROR(__xludf.DUMMYFUNCTION("""COMPUTED_VALUE"""),"mariav@canva.com")</f>
        <v>mariav@canva.com</v>
      </c>
      <c r="R2394" s="1" t="str">
        <f>IFERROR(__xludf.DUMMYFUNCTION("""COMPUTED_VALUE"""),"Maria Vergara")</f>
        <v>Maria Vergara</v>
      </c>
      <c r="S2394" s="1"/>
      <c r="T2394" s="1">
        <f>IFERROR(__xludf.DUMMYFUNCTION("""COMPUTED_VALUE"""),1.75)</f>
        <v>1.75</v>
      </c>
      <c r="U2394" s="2">
        <f>IFERROR(__xludf.DUMMYFUNCTION("""COMPUTED_VALUE"""),1.75)</f>
        <v>1.75</v>
      </c>
      <c r="V2394" s="1" t="str">
        <f>IFERROR(__xludf.DUMMYFUNCTION("""COMPUTED_VALUE"""),"Xandy Azarcon")</f>
        <v>Xandy Azarcon</v>
      </c>
      <c r="W2394" s="1" t="str">
        <f>IFERROR(__xludf.DUMMYFUNCTION("""COMPUTED_VALUE"""),"High Sensitivity Support PH")</f>
        <v>High Sensitivity Support PH</v>
      </c>
    </row>
    <row r="2395">
      <c r="O2395" s="1" t="str">
        <f>IFERROR(__xludf.DUMMYFUNCTION("""COMPUTED_VALUE"""),"2026 Feb")</f>
        <v>2026 Feb</v>
      </c>
      <c r="P2395" s="1" t="str">
        <f>IFERROR(__xludf.DUMMYFUNCTION("""COMPUTED_VALUE"""),"Print Support")</f>
        <v>Print Support</v>
      </c>
      <c r="Q2395" s="1" t="str">
        <f>IFERROR(__xludf.DUMMYFUNCTION("""COMPUTED_VALUE"""),"marieson@canva.com")</f>
        <v>marieson@canva.com</v>
      </c>
      <c r="R2395" s="1" t="str">
        <f>IFERROR(__xludf.DUMMYFUNCTION("""COMPUTED_VALUE"""),"Marieson Libunao")</f>
        <v>Marieson Libunao</v>
      </c>
      <c r="S2395" s="1"/>
      <c r="T2395" s="1">
        <f>IFERROR(__xludf.DUMMYFUNCTION("""COMPUTED_VALUE"""),26.58)</f>
        <v>26.58</v>
      </c>
      <c r="U2395" s="2">
        <f>IFERROR(__xludf.DUMMYFUNCTION("""COMPUTED_VALUE"""),26.58)</f>
        <v>26.58</v>
      </c>
      <c r="V2395" s="1" t="str">
        <f>IFERROR(__xludf.DUMMYFUNCTION("""COMPUTED_VALUE"""),"Althea Mercado")</f>
        <v>Althea Mercado</v>
      </c>
      <c r="W2395" s="1" t="str">
        <f>IFERROR(__xludf.DUMMYFUNCTION("""COMPUTED_VALUE"""),"Print Support PH")</f>
        <v>Print Support PH</v>
      </c>
    </row>
    <row r="2396">
      <c r="O2396" s="1" t="str">
        <f>IFERROR(__xludf.DUMMYFUNCTION("""COMPUTED_VALUE"""),"2026 Feb")</f>
        <v>2026 Feb</v>
      </c>
      <c r="P2396" s="1" t="str">
        <f>IFERROR(__xludf.DUMMYFUNCTION("""COMPUTED_VALUE"""),"Core Product Support")</f>
        <v>Core Product Support</v>
      </c>
      <c r="Q2396" s="1" t="str">
        <f>IFERROR(__xludf.DUMMYFUNCTION("""COMPUTED_VALUE"""),"mariz@canva.com")</f>
        <v>mariz@canva.com</v>
      </c>
      <c r="R2396" s="1" t="str">
        <f>IFERROR(__xludf.DUMMYFUNCTION("""COMPUTED_VALUE"""),"Mariz Gain")</f>
        <v>Mariz Gain</v>
      </c>
      <c r="S2396" s="1"/>
      <c r="T2396" s="1">
        <f>IFERROR(__xludf.DUMMYFUNCTION("""COMPUTED_VALUE"""),14.67)</f>
        <v>14.67</v>
      </c>
      <c r="U2396" s="2">
        <f>IFERROR(__xludf.DUMMYFUNCTION("""COMPUTED_VALUE"""),14.67)</f>
        <v>14.67</v>
      </c>
      <c r="V2396" s="1" t="str">
        <f>IFERROR(__xludf.DUMMYFUNCTION("""COMPUTED_VALUE"""),"Ana Lazaro")</f>
        <v>Ana Lazaro</v>
      </c>
      <c r="W2396" s="1" t="str">
        <f>IFERROR(__xludf.DUMMYFUNCTION("""COMPUTED_VALUE"""),"Advanced Billing &amp; Subscriptions")</f>
        <v>Advanced Billing &amp; Subscriptions</v>
      </c>
    </row>
    <row r="2397">
      <c r="O2397" s="1" t="str">
        <f>IFERROR(__xludf.DUMMYFUNCTION("""COMPUTED_VALUE"""),"2026 Feb")</f>
        <v>2026 Feb</v>
      </c>
      <c r="P2397" s="1" t="str">
        <f>IFERROR(__xludf.DUMMYFUNCTION("""COMPUTED_VALUE"""),"Print Support")</f>
        <v>Print Support</v>
      </c>
      <c r="Q2397" s="1" t="str">
        <f>IFERROR(__xludf.DUMMYFUNCTION("""COMPUTED_VALUE"""),"mpalermo@canva.com")</f>
        <v>mpalermo@canva.com</v>
      </c>
      <c r="R2397" s="1" t="str">
        <f>IFERROR(__xludf.DUMMYFUNCTION("""COMPUTED_VALUE"""),"Marjorie Tsao")</f>
        <v>Marjorie Tsao</v>
      </c>
      <c r="S2397" s="1"/>
      <c r="T2397" s="1">
        <f>IFERROR(__xludf.DUMMYFUNCTION("""COMPUTED_VALUE"""),10.08)</f>
        <v>10.08</v>
      </c>
      <c r="U2397" s="2">
        <f>IFERROR(__xludf.DUMMYFUNCTION("""COMPUTED_VALUE"""),10.08)</f>
        <v>10.08</v>
      </c>
      <c r="V2397" s="1" t="str">
        <f>IFERROR(__xludf.DUMMYFUNCTION("""COMPUTED_VALUE"""),"Louise Dianne Estrella")</f>
        <v>Louise Dianne Estrella</v>
      </c>
      <c r="W2397" s="1" t="str">
        <f>IFERROR(__xludf.DUMMYFUNCTION("""COMPUTED_VALUE"""),"Print Support PH")</f>
        <v>Print Support PH</v>
      </c>
    </row>
    <row r="2398">
      <c r="O2398" s="1" t="str">
        <f>IFERROR(__xludf.DUMMYFUNCTION("""COMPUTED_VALUE"""),"2026 Feb")</f>
        <v>2026 Feb</v>
      </c>
      <c r="P2398" s="1" t="str">
        <f>IFERROR(__xludf.DUMMYFUNCTION("""COMPUTED_VALUE"""),"Core Product Support")</f>
        <v>Core Product Support</v>
      </c>
      <c r="Q2398" s="1" t="str">
        <f>IFERROR(__xludf.DUMMYFUNCTION("""COMPUTED_VALUE"""),"martyl@canva.com")</f>
        <v>martyl@canva.com</v>
      </c>
      <c r="R2398" s="1" t="str">
        <f>IFERROR(__xludf.DUMMYFUNCTION("""COMPUTED_VALUE"""),"Marty Lozada")</f>
        <v>Marty Lozada</v>
      </c>
      <c r="S2398" s="1"/>
      <c r="T2398" s="1">
        <f>IFERROR(__xludf.DUMMYFUNCTION("""COMPUTED_VALUE"""),11.0)</f>
        <v>11</v>
      </c>
      <c r="U2398" s="2">
        <f>IFERROR(__xludf.DUMMYFUNCTION("""COMPUTED_VALUE"""),11.0)</f>
        <v>11</v>
      </c>
      <c r="V2398" s="1" t="str">
        <f>IFERROR(__xludf.DUMMYFUNCTION("""COMPUTED_VALUE"""),"Vinz Lazaro")</f>
        <v>Vinz Lazaro</v>
      </c>
      <c r="W2398" s="1" t="str">
        <f>IFERROR(__xludf.DUMMYFUNCTION("""COMPUTED_VALUE"""),"Advanced Product Support")</f>
        <v>Advanced Product Support</v>
      </c>
    </row>
    <row r="2399">
      <c r="O2399" s="1" t="str">
        <f>IFERROR(__xludf.DUMMYFUNCTION("""COMPUTED_VALUE"""),"2026 Feb")</f>
        <v>2026 Feb</v>
      </c>
      <c r="P2399" s="1" t="str">
        <f>IFERROR(__xludf.DUMMYFUNCTION("""COMPUTED_VALUE"""),"High Sensitivity Support")</f>
        <v>High Sensitivity Support</v>
      </c>
      <c r="Q2399" s="1" t="str">
        <f>IFERROR(__xludf.DUMMYFUNCTION("""COMPUTED_VALUE"""),"mayann@canva.com")</f>
        <v>mayann@canva.com</v>
      </c>
      <c r="R2399" s="1" t="str">
        <f>IFERROR(__xludf.DUMMYFUNCTION("""COMPUTED_VALUE"""),"May Ann Caguioa")</f>
        <v>May Ann Caguioa</v>
      </c>
      <c r="S2399" s="1"/>
      <c r="T2399" s="1">
        <f>IFERROR(__xludf.DUMMYFUNCTION("""COMPUTED_VALUE"""),1.87)</f>
        <v>1.87</v>
      </c>
      <c r="U2399" s="2">
        <f>IFERROR(__xludf.DUMMYFUNCTION("""COMPUTED_VALUE"""),1.87)</f>
        <v>1.87</v>
      </c>
      <c r="V2399" s="1" t="str">
        <f>IFERROR(__xludf.DUMMYFUNCTION("""COMPUTED_VALUE"""),"Rossheen Pura")</f>
        <v>Rossheen Pura</v>
      </c>
      <c r="W2399" s="1" t="str">
        <f>IFERROR(__xludf.DUMMYFUNCTION("""COMPUTED_VALUE"""),"High Sensitivity Support PH")</f>
        <v>High Sensitivity Support PH</v>
      </c>
    </row>
    <row r="2400">
      <c r="O2400" s="1" t="str">
        <f>IFERROR(__xludf.DUMMYFUNCTION("""COMPUTED_VALUE"""),"2026 Feb")</f>
        <v>2026 Feb</v>
      </c>
      <c r="P2400" s="1" t="str">
        <f>IFERROR(__xludf.DUMMYFUNCTION("""COMPUTED_VALUE"""),"Core Product Support")</f>
        <v>Core Product Support</v>
      </c>
      <c r="Q2400" s="1" t="str">
        <f>IFERROR(__xludf.DUMMYFUNCTION("""COMPUTED_VALUE"""),"mccoyc@canva.com")</f>
        <v>mccoyc@canva.com</v>
      </c>
      <c r="R2400" s="1" t="str">
        <f>IFERROR(__xludf.DUMMYFUNCTION("""COMPUTED_VALUE"""),"McCoy Cacanindin")</f>
        <v>McCoy Cacanindin</v>
      </c>
      <c r="S2400" s="1">
        <f>IFERROR(__xludf.DUMMYFUNCTION("""COMPUTED_VALUE"""),0.5)</f>
        <v>0.5</v>
      </c>
      <c r="T2400" s="1">
        <f>IFERROR(__xludf.DUMMYFUNCTION("""COMPUTED_VALUE"""),10.75)</f>
        <v>10.75</v>
      </c>
      <c r="U2400" s="2">
        <f>IFERROR(__xludf.DUMMYFUNCTION("""COMPUTED_VALUE"""),11.25)</f>
        <v>11.25</v>
      </c>
      <c r="V2400" s="1" t="str">
        <f>IFERROR(__xludf.DUMMYFUNCTION("""COMPUTED_VALUE"""),"Vinz Lazaro")</f>
        <v>Vinz Lazaro</v>
      </c>
      <c r="W2400" s="1" t="str">
        <f>IFERROR(__xludf.DUMMYFUNCTION("""COMPUTED_VALUE"""),"Advanced Product Support")</f>
        <v>Advanced Product Support</v>
      </c>
    </row>
    <row r="2401">
      <c r="O2401" s="1" t="str">
        <f>IFERROR(__xludf.DUMMYFUNCTION("""COMPUTED_VALUE"""),"2026 Feb")</f>
        <v>2026 Feb</v>
      </c>
      <c r="P2401" s="1" t="str">
        <f>IFERROR(__xludf.DUMMYFUNCTION("""COMPUTED_VALUE"""),"High Sensitivity Support")</f>
        <v>High Sensitivity Support</v>
      </c>
      <c r="Q2401" s="1" t="str">
        <f>IFERROR(__xludf.DUMMYFUNCTION("""COMPUTED_VALUE"""),"mlabio@canva.com")</f>
        <v>mlabio@canva.com</v>
      </c>
      <c r="R2401" s="1" t="str">
        <f>IFERROR(__xludf.DUMMYFUNCTION("""COMPUTED_VALUE"""),"Melanie Labio")</f>
        <v>Melanie Labio</v>
      </c>
      <c r="S2401" s="1"/>
      <c r="T2401" s="1">
        <f>IFERROR(__xludf.DUMMYFUNCTION("""COMPUTED_VALUE"""),2.0)</f>
        <v>2</v>
      </c>
      <c r="U2401" s="2">
        <f>IFERROR(__xludf.DUMMYFUNCTION("""COMPUTED_VALUE"""),2.0)</f>
        <v>2</v>
      </c>
      <c r="V2401" s="1" t="str">
        <f>IFERROR(__xludf.DUMMYFUNCTION("""COMPUTED_VALUE"""),"Xandy Azarcon")</f>
        <v>Xandy Azarcon</v>
      </c>
      <c r="W2401" s="1" t="str">
        <f>IFERROR(__xludf.DUMMYFUNCTION("""COMPUTED_VALUE"""),"High Sensitivity Support PH")</f>
        <v>High Sensitivity Support PH</v>
      </c>
    </row>
    <row r="2402">
      <c r="O2402" s="1" t="str">
        <f>IFERROR(__xludf.DUMMYFUNCTION("""COMPUTED_VALUE"""),"2026 Feb")</f>
        <v>2026 Feb</v>
      </c>
      <c r="P2402" s="1" t="str">
        <f>IFERROR(__xludf.DUMMYFUNCTION("""COMPUTED_VALUE"""),"Admin Support")</f>
        <v>Admin Support</v>
      </c>
      <c r="Q2402" s="1" t="str">
        <f>IFERROR(__xludf.DUMMYFUNCTION("""COMPUTED_VALUE"""),"mmicah@canva.com")</f>
        <v>mmicah@canva.com</v>
      </c>
      <c r="R2402" s="1" t="str">
        <f>IFERROR(__xludf.DUMMYFUNCTION("""COMPUTED_VALUE"""),"Micah Geneviv Marcos")</f>
        <v>Micah Geneviv Marcos</v>
      </c>
      <c r="S2402" s="1"/>
      <c r="T2402" s="1">
        <f>IFERROR(__xludf.DUMMYFUNCTION("""COMPUTED_VALUE"""),1.0)</f>
        <v>1</v>
      </c>
      <c r="U2402" s="2">
        <f>IFERROR(__xludf.DUMMYFUNCTION("""COMPUTED_VALUE"""),1.0)</f>
        <v>1</v>
      </c>
      <c r="V2402" s="1" t="str">
        <f>IFERROR(__xludf.DUMMYFUNCTION("""COMPUTED_VALUE"""),"Karla Mananghaya")</f>
        <v>Karla Mananghaya</v>
      </c>
      <c r="W2402" s="1" t="str">
        <f>IFERROR(__xludf.DUMMYFUNCTION("""COMPUTED_VALUE"""),"Admin Support Service Escalation Team")</f>
        <v>Admin Support Service Escalation Team</v>
      </c>
    </row>
    <row r="2403">
      <c r="O2403" s="1" t="str">
        <f>IFERROR(__xludf.DUMMYFUNCTION("""COMPUTED_VALUE"""),"2026 Feb")</f>
        <v>2026 Feb</v>
      </c>
      <c r="P2403" s="1" t="str">
        <f>IFERROR(__xludf.DUMMYFUNCTION("""COMPUTED_VALUE"""),"Core Product Support")</f>
        <v>Core Product Support</v>
      </c>
      <c r="Q2403" s="1" t="str">
        <f>IFERROR(__xludf.DUMMYFUNCTION("""COMPUTED_VALUE"""),"nas@canva.com")</f>
        <v>nas@canva.com</v>
      </c>
      <c r="R2403" s="1" t="str">
        <f>IFERROR(__xludf.DUMMYFUNCTION("""COMPUTED_VALUE"""),"Miggy De Vibar")</f>
        <v>Miggy De Vibar</v>
      </c>
      <c r="S2403" s="1"/>
      <c r="T2403" s="1">
        <f>IFERROR(__xludf.DUMMYFUNCTION("""COMPUTED_VALUE"""),11.7)</f>
        <v>11.7</v>
      </c>
      <c r="U2403" s="2">
        <f>IFERROR(__xludf.DUMMYFUNCTION("""COMPUTED_VALUE"""),11.7)</f>
        <v>11.7</v>
      </c>
      <c r="V2403" s="1" t="str">
        <f>IFERROR(__xludf.DUMMYFUNCTION("""COMPUTED_VALUE"""),"Belle Bentazal")</f>
        <v>Belle Bentazal</v>
      </c>
      <c r="W2403" s="1" t="str">
        <f>IFERROR(__xludf.DUMMYFUNCTION("""COMPUTED_VALUE"""),"Advanced Product Support")</f>
        <v>Advanced Product Support</v>
      </c>
    </row>
    <row r="2404">
      <c r="O2404" s="1" t="str">
        <f>IFERROR(__xludf.DUMMYFUNCTION("""COMPUTED_VALUE"""),"2026 Feb")</f>
        <v>2026 Feb</v>
      </c>
      <c r="P2404" s="1" t="str">
        <f>IFERROR(__xludf.DUMMYFUNCTION("""COMPUTED_VALUE"""),"Core Product Support")</f>
        <v>Core Product Support</v>
      </c>
      <c r="Q2404" s="1" t="str">
        <f>IFERROR(__xludf.DUMMYFUNCTION("""COMPUTED_VALUE"""),"mika@canva.com")</f>
        <v>mika@canva.com</v>
      </c>
      <c r="R2404" s="1" t="str">
        <f>IFERROR(__xludf.DUMMYFUNCTION("""COMPUTED_VALUE"""),"Mika Magpantay")</f>
        <v>Mika Magpantay</v>
      </c>
      <c r="S2404" s="1"/>
      <c r="T2404" s="1">
        <f>IFERROR(__xludf.DUMMYFUNCTION("""COMPUTED_VALUE"""),13.03)</f>
        <v>13.03</v>
      </c>
      <c r="U2404" s="2">
        <f>IFERROR(__xludf.DUMMYFUNCTION("""COMPUTED_VALUE"""),13.03)</f>
        <v>13.03</v>
      </c>
      <c r="V2404" s="1" t="str">
        <f>IFERROR(__xludf.DUMMYFUNCTION("""COMPUTED_VALUE"""),"Jem Mondoñedo")</f>
        <v>Jem Mondoñedo</v>
      </c>
      <c r="W2404" s="1" t="str">
        <f>IFERROR(__xludf.DUMMYFUNCTION("""COMPUTED_VALUE"""),"Advanced Billing &amp; Subscriptions")</f>
        <v>Advanced Billing &amp; Subscriptions</v>
      </c>
    </row>
    <row r="2405">
      <c r="O2405" s="1" t="str">
        <f>IFERROR(__xludf.DUMMYFUNCTION("""COMPUTED_VALUE"""),"2026 Feb")</f>
        <v>2026 Feb</v>
      </c>
      <c r="P2405" s="1" t="str">
        <f>IFERROR(__xludf.DUMMYFUNCTION("""COMPUTED_VALUE"""),"Core Product Support")</f>
        <v>Core Product Support</v>
      </c>
      <c r="Q2405" s="1" t="str">
        <f>IFERROR(__xludf.DUMMYFUNCTION("""COMPUTED_VALUE"""),"mirielle@canva.com")</f>
        <v>mirielle@canva.com</v>
      </c>
      <c r="R2405" s="1" t="str">
        <f>IFERROR(__xludf.DUMMYFUNCTION("""COMPUTED_VALUE"""),"Mirielle Frances de Lara")</f>
        <v>Mirielle Frances de Lara</v>
      </c>
      <c r="S2405" s="1"/>
      <c r="T2405" s="1">
        <f>IFERROR(__xludf.DUMMYFUNCTION("""COMPUTED_VALUE"""),13.0)</f>
        <v>13</v>
      </c>
      <c r="U2405" s="2">
        <f>IFERROR(__xludf.DUMMYFUNCTION("""COMPUTED_VALUE"""),13.0)</f>
        <v>13</v>
      </c>
      <c r="V2405" s="1" t="str">
        <f>IFERROR(__xludf.DUMMYFUNCTION("""COMPUTED_VALUE"""),"Belle Bentazal")</f>
        <v>Belle Bentazal</v>
      </c>
      <c r="W2405" s="1" t="str">
        <f>IFERROR(__xludf.DUMMYFUNCTION("""COMPUTED_VALUE"""),"Advanced Product Support")</f>
        <v>Advanced Product Support</v>
      </c>
    </row>
    <row r="2406">
      <c r="O2406" s="1" t="str">
        <f>IFERROR(__xludf.DUMMYFUNCTION("""COMPUTED_VALUE"""),"2026 Feb")</f>
        <v>2026 Feb</v>
      </c>
      <c r="P2406" s="1" t="str">
        <f>IFERROR(__xludf.DUMMYFUNCTION("""COMPUTED_VALUE"""),"Admin Support")</f>
        <v>Admin Support</v>
      </c>
      <c r="Q2406" s="1" t="str">
        <f>IFERROR(__xludf.DUMMYFUNCTION("""COMPUTED_VALUE"""),"mjb@canva.com")</f>
        <v>mjb@canva.com</v>
      </c>
      <c r="R2406" s="1" t="str">
        <f>IFERROR(__xludf.DUMMYFUNCTION("""COMPUTED_VALUE"""),"MJ Billon")</f>
        <v>MJ Billon</v>
      </c>
      <c r="S2406" s="1"/>
      <c r="T2406" s="1">
        <f>IFERROR(__xludf.DUMMYFUNCTION("""COMPUTED_VALUE"""),4.08)</f>
        <v>4.08</v>
      </c>
      <c r="U2406" s="2">
        <f>IFERROR(__xludf.DUMMYFUNCTION("""COMPUTED_VALUE"""),4.08)</f>
        <v>4.08</v>
      </c>
      <c r="V2406" s="1" t="str">
        <f>IFERROR(__xludf.DUMMYFUNCTION("""COMPUTED_VALUE"""),"Ann Dumlao")</f>
        <v>Ann Dumlao</v>
      </c>
      <c r="W2406" s="1" t="str">
        <f>IFERROR(__xludf.DUMMYFUNCTION("""COMPUTED_VALUE"""),"Admin Omni Support")</f>
        <v>Admin Omni Support</v>
      </c>
    </row>
    <row r="2407">
      <c r="O2407" s="1" t="str">
        <f>IFERROR(__xludf.DUMMYFUNCTION("""COMPUTED_VALUE"""),"2026 Feb")</f>
        <v>2026 Feb</v>
      </c>
      <c r="P2407" s="1" t="str">
        <f>IFERROR(__xludf.DUMMYFUNCTION("""COMPUTED_VALUE"""),"Segment-specific Support")</f>
        <v>Segment-specific Support</v>
      </c>
      <c r="Q2407" s="1" t="str">
        <f>IFERROR(__xludf.DUMMYFUNCTION("""COMPUTED_VALUE"""),"molli@canva.com")</f>
        <v>molli@canva.com</v>
      </c>
      <c r="R2407" s="1" t="str">
        <f>IFERROR(__xludf.DUMMYFUNCTION("""COMPUTED_VALUE"""),"MJ Sol")</f>
        <v>MJ Sol</v>
      </c>
      <c r="S2407" s="1"/>
      <c r="T2407" s="1">
        <f>IFERROR(__xludf.DUMMYFUNCTION("""COMPUTED_VALUE"""),1.0)</f>
        <v>1</v>
      </c>
      <c r="U2407" s="2">
        <f>IFERROR(__xludf.DUMMYFUNCTION("""COMPUTED_VALUE"""),1.0)</f>
        <v>1</v>
      </c>
      <c r="V2407" s="1" t="str">
        <f>IFERROR(__xludf.DUMMYFUNCTION("""COMPUTED_VALUE"""),"Aileen Dayanghirang")</f>
        <v>Aileen Dayanghirang</v>
      </c>
      <c r="W2407" s="1" t="str">
        <f>IFERROR(__xludf.DUMMYFUNCTION("""COMPUTED_VALUE"""),"Creators Support")</f>
        <v>Creators Support</v>
      </c>
    </row>
    <row r="2408">
      <c r="O2408" s="1" t="str">
        <f>IFERROR(__xludf.DUMMYFUNCTION("""COMPUTED_VALUE"""),"2026 Feb")</f>
        <v>2026 Feb</v>
      </c>
      <c r="P2408" s="1" t="str">
        <f>IFERROR(__xludf.DUMMYFUNCTION("""COMPUTED_VALUE"""),"Core Product Support")</f>
        <v>Core Product Support</v>
      </c>
      <c r="Q2408" s="1" t="str">
        <f>IFERROR(__xludf.DUMMYFUNCTION("""COMPUTED_VALUE"""),"raymondc@canva.com")</f>
        <v>raymondc@canva.com</v>
      </c>
      <c r="R2408" s="1" t="str">
        <f>IFERROR(__xludf.DUMMYFUNCTION("""COMPUTED_VALUE"""),"Mond Catimbang")</f>
        <v>Mond Catimbang</v>
      </c>
      <c r="S2408" s="1"/>
      <c r="T2408" s="1">
        <f>IFERROR(__xludf.DUMMYFUNCTION("""COMPUTED_VALUE"""),12.42)</f>
        <v>12.42</v>
      </c>
      <c r="U2408" s="2">
        <f>IFERROR(__xludf.DUMMYFUNCTION("""COMPUTED_VALUE"""),12.42)</f>
        <v>12.42</v>
      </c>
      <c r="V2408" s="1" t="str">
        <f>IFERROR(__xludf.DUMMYFUNCTION("""COMPUTED_VALUE"""),"Jem Mondoñedo")</f>
        <v>Jem Mondoñedo</v>
      </c>
      <c r="W2408" s="1" t="str">
        <f>IFERROR(__xludf.DUMMYFUNCTION("""COMPUTED_VALUE"""),"Advanced Billing &amp; Subscriptions")</f>
        <v>Advanced Billing &amp; Subscriptions</v>
      </c>
    </row>
    <row r="2409">
      <c r="O2409" s="1" t="str">
        <f>IFERROR(__xludf.DUMMYFUNCTION("""COMPUTED_VALUE"""),"2026 Feb")</f>
        <v>2026 Feb</v>
      </c>
      <c r="P2409" s="1" t="str">
        <f>IFERROR(__xludf.DUMMYFUNCTION("""COMPUTED_VALUE"""),"Core Product Support")</f>
        <v>Core Product Support</v>
      </c>
      <c r="Q2409" s="1" t="str">
        <f>IFERROR(__xludf.DUMMYFUNCTION("""COMPUTED_VALUE"""),"moxyarima@canva.com")</f>
        <v>moxyarima@canva.com</v>
      </c>
      <c r="R2409" s="1" t="str">
        <f>IFERROR(__xludf.DUMMYFUNCTION("""COMPUTED_VALUE"""),"Moxy Arima")</f>
        <v>Moxy Arima</v>
      </c>
      <c r="S2409" s="1">
        <f>IFERROR(__xludf.DUMMYFUNCTION("""COMPUTED_VALUE"""),0.5)</f>
        <v>0.5</v>
      </c>
      <c r="T2409" s="1">
        <f>IFERROR(__xludf.DUMMYFUNCTION("""COMPUTED_VALUE"""),28.5)</f>
        <v>28.5</v>
      </c>
      <c r="U2409" s="2">
        <f>IFERROR(__xludf.DUMMYFUNCTION("""COMPUTED_VALUE"""),29.0)</f>
        <v>29</v>
      </c>
      <c r="V2409" s="1" t="str">
        <f>IFERROR(__xludf.DUMMYFUNCTION("""COMPUTED_VALUE"""),"Jelyn Elmido")</f>
        <v>Jelyn Elmido</v>
      </c>
      <c r="W2409" s="1" t="str">
        <f>IFERROR(__xludf.DUMMYFUNCTION("""COMPUTED_VALUE"""),"Core Product Support Escalation Team")</f>
        <v>Core Product Support Escalation Team</v>
      </c>
    </row>
    <row r="2410">
      <c r="O2410" s="1" t="str">
        <f>IFERROR(__xludf.DUMMYFUNCTION("""COMPUTED_VALUE"""),"2026 Feb")</f>
        <v>2026 Feb</v>
      </c>
      <c r="P2410" s="1" t="str">
        <f>IFERROR(__xludf.DUMMYFUNCTION("""COMPUTED_VALUE"""),"Print Support")</f>
        <v>Print Support</v>
      </c>
      <c r="Q2410" s="1" t="str">
        <f>IFERROR(__xludf.DUMMYFUNCTION("""COMPUTED_VALUE"""),"natedc@canva.com")</f>
        <v>natedc@canva.com</v>
      </c>
      <c r="R2410" s="1" t="str">
        <f>IFERROR(__xludf.DUMMYFUNCTION("""COMPUTED_VALUE"""),"Nate De la Cruz")</f>
        <v>Nate De la Cruz</v>
      </c>
      <c r="S2410" s="1"/>
      <c r="T2410" s="1">
        <f>IFERROR(__xludf.DUMMYFUNCTION("""COMPUTED_VALUE"""),1.0)</f>
        <v>1</v>
      </c>
      <c r="U2410" s="2">
        <f>IFERROR(__xludf.DUMMYFUNCTION("""COMPUTED_VALUE"""),1.0)</f>
        <v>1</v>
      </c>
      <c r="V2410" s="1" t="str">
        <f>IFERROR(__xludf.DUMMYFUNCTION("""COMPUTED_VALUE"""),"Gem Agoncillo")</f>
        <v>Gem Agoncillo</v>
      </c>
      <c r="W2410" s="1" t="str">
        <f>IFERROR(__xludf.DUMMYFUNCTION("""COMPUTED_VALUE"""),"Print Design Support")</f>
        <v>Print Design Support</v>
      </c>
    </row>
    <row r="2411">
      <c r="O2411" s="1" t="str">
        <f>IFERROR(__xludf.DUMMYFUNCTION("""COMPUTED_VALUE"""),"2026 Feb")</f>
        <v>2026 Feb</v>
      </c>
      <c r="P2411" s="1" t="str">
        <f>IFERROR(__xludf.DUMMYFUNCTION("""COMPUTED_VALUE"""),"Admin Support")</f>
        <v>Admin Support</v>
      </c>
      <c r="Q2411" s="1" t="str">
        <f>IFERROR(__xludf.DUMMYFUNCTION("""COMPUTED_VALUE"""),"nsahagun@canva.com")</f>
        <v>nsahagun@canva.com</v>
      </c>
      <c r="R2411" s="1" t="str">
        <f>IFERROR(__xludf.DUMMYFUNCTION("""COMPUTED_VALUE"""),"Nathalie Sahagun")</f>
        <v>Nathalie Sahagun</v>
      </c>
      <c r="S2411" s="1"/>
      <c r="T2411" s="1"/>
      <c r="U2411" s="2">
        <f>IFERROR(__xludf.DUMMYFUNCTION("""COMPUTED_VALUE"""),0.0)</f>
        <v>0</v>
      </c>
      <c r="V2411" s="1" t="str">
        <f>IFERROR(__xludf.DUMMYFUNCTION("""COMPUTED_VALUE"""),"Nate Vela")</f>
        <v>Nate Vela</v>
      </c>
      <c r="W2411" s="1" t="str">
        <f>IFERROR(__xludf.DUMMYFUNCTION("""COMPUTED_VALUE"""),"Admin Support NA")</f>
        <v>Admin Support NA</v>
      </c>
    </row>
    <row r="2412">
      <c r="O2412" s="1" t="str">
        <f>IFERROR(__xludf.DUMMYFUNCTION("""COMPUTED_VALUE"""),"2026 Feb")</f>
        <v>2026 Feb</v>
      </c>
      <c r="P2412" s="1" t="str">
        <f>IFERROR(__xludf.DUMMYFUNCTION("""COMPUTED_VALUE"""),"Core Product Support")</f>
        <v>Core Product Support</v>
      </c>
      <c r="Q2412" s="1" t="str">
        <f>IFERROR(__xludf.DUMMYFUNCTION("""COMPUTED_VALUE"""),"neeki@canva.com")</f>
        <v>neeki@canva.com</v>
      </c>
      <c r="R2412" s="1" t="str">
        <f>IFERROR(__xludf.DUMMYFUNCTION("""COMPUTED_VALUE"""),"Neeki Asido")</f>
        <v>Neeki Asido</v>
      </c>
      <c r="S2412" s="1">
        <f>IFERROR(__xludf.DUMMYFUNCTION("""COMPUTED_VALUE"""),1.0)</f>
        <v>1</v>
      </c>
      <c r="T2412" s="1">
        <f>IFERROR(__xludf.DUMMYFUNCTION("""COMPUTED_VALUE"""),11.5)</f>
        <v>11.5</v>
      </c>
      <c r="U2412" s="2">
        <f>IFERROR(__xludf.DUMMYFUNCTION("""COMPUTED_VALUE"""),12.5)</f>
        <v>12.5</v>
      </c>
      <c r="V2412" s="1" t="str">
        <f>IFERROR(__xludf.DUMMYFUNCTION("""COMPUTED_VALUE"""),"Jelyn Elmido")</f>
        <v>Jelyn Elmido</v>
      </c>
      <c r="W2412" s="1" t="str">
        <f>IFERROR(__xludf.DUMMYFUNCTION("""COMPUTED_VALUE"""),"Core Product Support Escalation Team")</f>
        <v>Core Product Support Escalation Team</v>
      </c>
    </row>
    <row r="2413">
      <c r="O2413" s="1" t="str">
        <f>IFERROR(__xludf.DUMMYFUNCTION("""COMPUTED_VALUE"""),"2026 Feb")</f>
        <v>2026 Feb</v>
      </c>
      <c r="P2413" s="1" t="str">
        <f>IFERROR(__xludf.DUMMYFUNCTION("""COMPUTED_VALUE"""),"Core Product Support")</f>
        <v>Core Product Support</v>
      </c>
      <c r="Q2413" s="1" t="str">
        <f>IFERROR(__xludf.DUMMYFUNCTION("""COMPUTED_VALUE"""),"nicholeb@canva.com")</f>
        <v>nicholeb@canva.com</v>
      </c>
      <c r="R2413" s="1" t="str">
        <f>IFERROR(__xludf.DUMMYFUNCTION("""COMPUTED_VALUE"""),"Nichole Braceliño")</f>
        <v>Nichole Braceliño</v>
      </c>
      <c r="S2413" s="1">
        <f>IFERROR(__xludf.DUMMYFUNCTION("""COMPUTED_VALUE"""),0.5)</f>
        <v>0.5</v>
      </c>
      <c r="T2413" s="1">
        <f>IFERROR(__xludf.DUMMYFUNCTION("""COMPUTED_VALUE"""),4.75)</f>
        <v>4.75</v>
      </c>
      <c r="U2413" s="2">
        <f>IFERROR(__xludf.DUMMYFUNCTION("""COMPUTED_VALUE"""),5.25)</f>
        <v>5.25</v>
      </c>
      <c r="V2413" s="1" t="str">
        <f>IFERROR(__xludf.DUMMYFUNCTION("""COMPUTED_VALUE"""),"Renette Bok")</f>
        <v>Renette Bok</v>
      </c>
      <c r="W2413" s="1" t="str">
        <f>IFERROR(__xludf.DUMMYFUNCTION("""COMPUTED_VALUE"""),"Advanced Billing &amp; Subscriptions")</f>
        <v>Advanced Billing &amp; Subscriptions</v>
      </c>
    </row>
    <row r="2414">
      <c r="O2414" s="1" t="str">
        <f>IFERROR(__xludf.DUMMYFUNCTION("""COMPUTED_VALUE"""),"2026 Feb")</f>
        <v>2026 Feb</v>
      </c>
      <c r="P2414" s="1" t="str">
        <f>IFERROR(__xludf.DUMMYFUNCTION("""COMPUTED_VALUE"""),"High Sensitivity Support")</f>
        <v>High Sensitivity Support</v>
      </c>
      <c r="Q2414" s="1" t="str">
        <f>IFERROR(__xludf.DUMMYFUNCTION("""COMPUTED_VALUE"""),"ncruz@canva.com")</f>
        <v>ncruz@canva.com</v>
      </c>
      <c r="R2414" s="1" t="str">
        <f>IFERROR(__xludf.DUMMYFUNCTION("""COMPUTED_VALUE"""),"Nikki Cruz")</f>
        <v>Nikki Cruz</v>
      </c>
      <c r="S2414" s="1"/>
      <c r="T2414" s="1">
        <f>IFERROR(__xludf.DUMMYFUNCTION("""COMPUTED_VALUE"""),9.72)</f>
        <v>9.72</v>
      </c>
      <c r="U2414" s="2">
        <f>IFERROR(__xludf.DUMMYFUNCTION("""COMPUTED_VALUE"""),9.72)</f>
        <v>9.72</v>
      </c>
      <c r="V2414" s="1" t="str">
        <f>IFERROR(__xludf.DUMMYFUNCTION("""COMPUTED_VALUE"""),"Issi Afable")</f>
        <v>Issi Afable</v>
      </c>
      <c r="W2414" s="1" t="str">
        <f>IFERROR(__xludf.DUMMYFUNCTION("""COMPUTED_VALUE"""),"High Sensitivity Support PH")</f>
        <v>High Sensitivity Support PH</v>
      </c>
    </row>
    <row r="2415">
      <c r="O2415" s="1" t="str">
        <f>IFERROR(__xludf.DUMMYFUNCTION("""COMPUTED_VALUE"""),"2026 Feb")</f>
        <v>2026 Feb</v>
      </c>
      <c r="P2415" s="1" t="str">
        <f>IFERROR(__xludf.DUMMYFUNCTION("""COMPUTED_VALUE"""),"Print Support")</f>
        <v>Print Support</v>
      </c>
      <c r="Q2415" s="1" t="str">
        <f>IFERROR(__xludf.DUMMYFUNCTION("""COMPUTED_VALUE"""),"nonoimboy@canva.com")</f>
        <v>nonoimboy@canva.com</v>
      </c>
      <c r="R2415" s="1" t="str">
        <f>IFERROR(__xludf.DUMMYFUNCTION("""COMPUTED_VALUE"""),"Noel Imboy")</f>
        <v>Noel Imboy</v>
      </c>
      <c r="S2415" s="1"/>
      <c r="T2415" s="1">
        <f>IFERROR(__xludf.DUMMYFUNCTION("""COMPUTED_VALUE"""),1.0)</f>
        <v>1</v>
      </c>
      <c r="U2415" s="2">
        <f>IFERROR(__xludf.DUMMYFUNCTION("""COMPUTED_VALUE"""),1.0)</f>
        <v>1</v>
      </c>
      <c r="V2415" s="1" t="str">
        <f>IFERROR(__xludf.DUMMYFUNCTION("""COMPUTED_VALUE"""),"Gem Agoncillo")</f>
        <v>Gem Agoncillo</v>
      </c>
      <c r="W2415" s="1" t="str">
        <f>IFERROR(__xludf.DUMMYFUNCTION("""COMPUTED_VALUE"""),"Print Design Support")</f>
        <v>Print Design Support</v>
      </c>
    </row>
    <row r="2416">
      <c r="O2416" s="1" t="str">
        <f>IFERROR(__xludf.DUMMYFUNCTION("""COMPUTED_VALUE"""),"2026 Feb")</f>
        <v>2026 Feb</v>
      </c>
      <c r="P2416" s="1" t="str">
        <f>IFERROR(__xludf.DUMMYFUNCTION("""COMPUTED_VALUE"""),"Segment-specific Support")</f>
        <v>Segment-specific Support</v>
      </c>
      <c r="Q2416" s="1" t="str">
        <f>IFERROR(__xludf.DUMMYFUNCTION("""COMPUTED_VALUE"""),"pao@canva.com")</f>
        <v>pao@canva.com</v>
      </c>
      <c r="R2416" s="1" t="str">
        <f>IFERROR(__xludf.DUMMYFUNCTION("""COMPUTED_VALUE"""),"Pao Domanais")</f>
        <v>Pao Domanais</v>
      </c>
      <c r="S2416" s="1"/>
      <c r="T2416" s="1">
        <f>IFERROR(__xludf.DUMMYFUNCTION("""COMPUTED_VALUE"""),41.0)</f>
        <v>41</v>
      </c>
      <c r="U2416" s="2">
        <f>IFERROR(__xludf.DUMMYFUNCTION("""COMPUTED_VALUE"""),41.0)</f>
        <v>41</v>
      </c>
      <c r="V2416" s="1" t="str">
        <f>IFERROR(__xludf.DUMMYFUNCTION("""COMPUTED_VALUE"""),"Rose Gabilan")</f>
        <v>Rose Gabilan</v>
      </c>
      <c r="W2416" s="1" t="str">
        <f>IFERROR(__xludf.DUMMYFUNCTION("""COMPUTED_VALUE"""),"Print Support PH")</f>
        <v>Print Support PH</v>
      </c>
    </row>
    <row r="2417">
      <c r="O2417" s="1" t="str">
        <f>IFERROR(__xludf.DUMMYFUNCTION("""COMPUTED_VALUE"""),"2026 Feb")</f>
        <v>2026 Feb</v>
      </c>
      <c r="P2417" s="1" t="str">
        <f>IFERROR(__xludf.DUMMYFUNCTION("""COMPUTED_VALUE"""),"Print Support")</f>
        <v>Print Support</v>
      </c>
      <c r="Q2417" s="1" t="str">
        <f>IFERROR(__xludf.DUMMYFUNCTION("""COMPUTED_VALUE"""),"paolonati@canva.com")</f>
        <v>paolonati@canva.com</v>
      </c>
      <c r="R2417" s="1" t="str">
        <f>IFERROR(__xludf.DUMMYFUNCTION("""COMPUTED_VALUE"""),"Paolo Natividad")</f>
        <v>Paolo Natividad</v>
      </c>
      <c r="S2417" s="1"/>
      <c r="T2417" s="1">
        <f>IFERROR(__xludf.DUMMYFUNCTION("""COMPUTED_VALUE"""),1.0)</f>
        <v>1</v>
      </c>
      <c r="U2417" s="2">
        <f>IFERROR(__xludf.DUMMYFUNCTION("""COMPUTED_VALUE"""),1.0)</f>
        <v>1</v>
      </c>
      <c r="V2417" s="1" t="str">
        <f>IFERROR(__xludf.DUMMYFUNCTION("""COMPUTED_VALUE"""),"Rei De Jesus")</f>
        <v>Rei De Jesus</v>
      </c>
      <c r="W2417" s="1" t="str">
        <f>IFERROR(__xludf.DUMMYFUNCTION("""COMPUTED_VALUE"""),"Print Design Support")</f>
        <v>Print Design Support</v>
      </c>
    </row>
    <row r="2418">
      <c r="O2418" s="1" t="str">
        <f>IFERROR(__xludf.DUMMYFUNCTION("""COMPUTED_VALUE"""),"2026 Feb")</f>
        <v>2026 Feb</v>
      </c>
      <c r="P2418" s="1" t="str">
        <f>IFERROR(__xludf.DUMMYFUNCTION("""COMPUTED_VALUE"""),"Core Product Support")</f>
        <v>Core Product Support</v>
      </c>
      <c r="Q2418" s="1" t="str">
        <f>IFERROR(__xludf.DUMMYFUNCTION("""COMPUTED_VALUE"""),"padelacruz@canva.com")</f>
        <v>padelacruz@canva.com</v>
      </c>
      <c r="R2418" s="1" t="str">
        <f>IFERROR(__xludf.DUMMYFUNCTION("""COMPUTED_VALUE"""),"Patrick Dela Cruz")</f>
        <v>Patrick Dela Cruz</v>
      </c>
      <c r="S2418" s="1"/>
      <c r="T2418" s="1">
        <f>IFERROR(__xludf.DUMMYFUNCTION("""COMPUTED_VALUE"""),13.58)</f>
        <v>13.58</v>
      </c>
      <c r="U2418" s="2">
        <f>IFERROR(__xludf.DUMMYFUNCTION("""COMPUTED_VALUE"""),13.58)</f>
        <v>13.58</v>
      </c>
      <c r="V2418" s="1" t="str">
        <f>IFERROR(__xludf.DUMMYFUNCTION("""COMPUTED_VALUE"""),"Cate Velasco")</f>
        <v>Cate Velasco</v>
      </c>
      <c r="W2418" s="1" t="str">
        <f>IFERROR(__xludf.DUMMYFUNCTION("""COMPUTED_VALUE"""),"Advanced Product Support")</f>
        <v>Advanced Product Support</v>
      </c>
    </row>
    <row r="2419">
      <c r="O2419" s="1" t="str">
        <f>IFERROR(__xludf.DUMMYFUNCTION("""COMPUTED_VALUE"""),"2026 Feb")</f>
        <v>2026 Feb</v>
      </c>
      <c r="P2419" s="1" t="str">
        <f>IFERROR(__xludf.DUMMYFUNCTION("""COMPUTED_VALUE"""),"#N/A")</f>
        <v>#N/A</v>
      </c>
      <c r="Q2419" s="1" t="str">
        <f>IFERROR(__xludf.DUMMYFUNCTION("""COMPUTED_VALUE"""),"patrickm@canva.com")</f>
        <v>patrickm@canva.com</v>
      </c>
      <c r="R2419" s="1" t="str">
        <f>IFERROR(__xludf.DUMMYFUNCTION("""COMPUTED_VALUE"""),"Patrick Mariano")</f>
        <v>Patrick Mariano</v>
      </c>
      <c r="S2419" s="1">
        <f>IFERROR(__xludf.DUMMYFUNCTION("""COMPUTED_VALUE"""),0.5)</f>
        <v>0.5</v>
      </c>
      <c r="T2419" s="1">
        <f>IFERROR(__xludf.DUMMYFUNCTION("""COMPUTED_VALUE"""),3.5)</f>
        <v>3.5</v>
      </c>
      <c r="U2419" s="2">
        <f>IFERROR(__xludf.DUMMYFUNCTION("""COMPUTED_VALUE"""),4.0)</f>
        <v>4</v>
      </c>
      <c r="V2419" s="1" t="str">
        <f>IFERROR(__xludf.DUMMYFUNCTION("""COMPUTED_VALUE"""),"#N/A")</f>
        <v>#N/A</v>
      </c>
      <c r="W2419" s="1" t="str">
        <f>IFERROR(__xludf.DUMMYFUNCTION("""COMPUTED_VALUE"""),"Advanced Billing &amp; Subscriptions")</f>
        <v>Advanced Billing &amp; Subscriptions</v>
      </c>
    </row>
    <row r="2420">
      <c r="O2420" s="1" t="str">
        <f>IFERROR(__xludf.DUMMYFUNCTION("""COMPUTED_VALUE"""),"2026 Feb")</f>
        <v>2026 Feb</v>
      </c>
      <c r="P2420" s="1" t="str">
        <f>IFERROR(__xludf.DUMMYFUNCTION("""COMPUTED_VALUE"""),"Core Product Support")</f>
        <v>Core Product Support</v>
      </c>
      <c r="Q2420" s="1" t="str">
        <f>IFERROR(__xludf.DUMMYFUNCTION("""COMPUTED_VALUE"""),"pathugo@canva.com")</f>
        <v>pathugo@canva.com</v>
      </c>
      <c r="R2420" s="1" t="str">
        <f>IFERROR(__xludf.DUMMYFUNCTION("""COMPUTED_VALUE"""),"Patriz Hugo")</f>
        <v>Patriz Hugo</v>
      </c>
      <c r="S2420" s="1">
        <f>IFERROR(__xludf.DUMMYFUNCTION("""COMPUTED_VALUE"""),0.5)</f>
        <v>0.5</v>
      </c>
      <c r="T2420" s="1">
        <f>IFERROR(__xludf.DUMMYFUNCTION("""COMPUTED_VALUE"""),8.5)</f>
        <v>8.5</v>
      </c>
      <c r="U2420" s="2">
        <f>IFERROR(__xludf.DUMMYFUNCTION("""COMPUTED_VALUE"""),9.0)</f>
        <v>9</v>
      </c>
      <c r="V2420" s="1" t="str">
        <f>IFERROR(__xludf.DUMMYFUNCTION("""COMPUTED_VALUE"""),"Sieg Ballelos")</f>
        <v>Sieg Ballelos</v>
      </c>
      <c r="W2420" s="1" t="str">
        <f>IFERROR(__xludf.DUMMYFUNCTION("""COMPUTED_VALUE"""),"Core Product Support Escalation Team")</f>
        <v>Core Product Support Escalation Team</v>
      </c>
    </row>
    <row r="2421">
      <c r="O2421" s="1" t="str">
        <f>IFERROR(__xludf.DUMMYFUNCTION("""COMPUTED_VALUE"""),"2026 Feb")</f>
        <v>2026 Feb</v>
      </c>
      <c r="P2421" s="1" t="str">
        <f>IFERROR(__xludf.DUMMYFUNCTION("""COMPUTED_VALUE"""),"High Sensitivity Support")</f>
        <v>High Sensitivity Support</v>
      </c>
      <c r="Q2421" s="1" t="str">
        <f>IFERROR(__xludf.DUMMYFUNCTION("""COMPUTED_VALUE"""),"paulwilbert@canva.com")</f>
        <v>paulwilbert@canva.com</v>
      </c>
      <c r="R2421" s="1" t="str">
        <f>IFERROR(__xludf.DUMMYFUNCTION("""COMPUTED_VALUE"""),"Paul Domingo")</f>
        <v>Paul Domingo</v>
      </c>
      <c r="S2421" s="1"/>
      <c r="T2421" s="1">
        <f>IFERROR(__xludf.DUMMYFUNCTION("""COMPUTED_VALUE"""),1.75)</f>
        <v>1.75</v>
      </c>
      <c r="U2421" s="2">
        <f>IFERROR(__xludf.DUMMYFUNCTION("""COMPUTED_VALUE"""),1.75)</f>
        <v>1.75</v>
      </c>
      <c r="V2421" s="1" t="str">
        <f>IFERROR(__xludf.DUMMYFUNCTION("""COMPUTED_VALUE"""),"Xandy Azarcon")</f>
        <v>Xandy Azarcon</v>
      </c>
      <c r="W2421" s="1" t="str">
        <f>IFERROR(__xludf.DUMMYFUNCTION("""COMPUTED_VALUE"""),"High Sensitivity Support PH")</f>
        <v>High Sensitivity Support PH</v>
      </c>
    </row>
    <row r="2422">
      <c r="O2422" s="1" t="str">
        <f>IFERROR(__xludf.DUMMYFUNCTION("""COMPUTED_VALUE"""),"2026 Feb")</f>
        <v>2026 Feb</v>
      </c>
      <c r="P2422" s="1" t="str">
        <f>IFERROR(__xludf.DUMMYFUNCTION("""COMPUTED_VALUE"""),"Core Product Support")</f>
        <v>Core Product Support</v>
      </c>
      <c r="Q2422" s="1" t="str">
        <f>IFERROR(__xludf.DUMMYFUNCTION("""COMPUTED_VALUE"""),"paulv@canva.com")</f>
        <v>paulv@canva.com</v>
      </c>
      <c r="R2422" s="1" t="str">
        <f>IFERROR(__xludf.DUMMYFUNCTION("""COMPUTED_VALUE"""),"Paul Verdad")</f>
        <v>Paul Verdad</v>
      </c>
      <c r="S2422" s="1">
        <f>IFERROR(__xludf.DUMMYFUNCTION("""COMPUTED_VALUE"""),0.5)</f>
        <v>0.5</v>
      </c>
      <c r="T2422" s="1">
        <f>IFERROR(__xludf.DUMMYFUNCTION("""COMPUTED_VALUE"""),12.5)</f>
        <v>12.5</v>
      </c>
      <c r="U2422" s="2">
        <f>IFERROR(__xludf.DUMMYFUNCTION("""COMPUTED_VALUE"""),13.0)</f>
        <v>13</v>
      </c>
      <c r="V2422" s="1" t="str">
        <f>IFERROR(__xludf.DUMMYFUNCTION("""COMPUTED_VALUE"""),"Vinz Lazaro")</f>
        <v>Vinz Lazaro</v>
      </c>
      <c r="W2422" s="1" t="str">
        <f>IFERROR(__xludf.DUMMYFUNCTION("""COMPUTED_VALUE"""),"Advanced Product Support")</f>
        <v>Advanced Product Support</v>
      </c>
    </row>
    <row r="2423">
      <c r="O2423" s="1" t="str">
        <f>IFERROR(__xludf.DUMMYFUNCTION("""COMPUTED_VALUE"""),"2026 Feb")</f>
        <v>2026 Feb</v>
      </c>
      <c r="P2423" s="1" t="str">
        <f>IFERROR(__xludf.DUMMYFUNCTION("""COMPUTED_VALUE"""),"High Sensitivity Support")</f>
        <v>High Sensitivity Support</v>
      </c>
      <c r="Q2423" s="1" t="str">
        <f>IFERROR(__xludf.DUMMYFUNCTION("""COMPUTED_VALUE"""),"phillipronquillo@canva.com")</f>
        <v>phillipronquillo@canva.com</v>
      </c>
      <c r="R2423" s="1" t="str">
        <f>IFERROR(__xludf.DUMMYFUNCTION("""COMPUTED_VALUE"""),"Phil Ronquillo")</f>
        <v>Phil Ronquillo</v>
      </c>
      <c r="S2423" s="1"/>
      <c r="T2423" s="1">
        <f>IFERROR(__xludf.DUMMYFUNCTION("""COMPUTED_VALUE"""),1.25)</f>
        <v>1.25</v>
      </c>
      <c r="U2423" s="2">
        <f>IFERROR(__xludf.DUMMYFUNCTION("""COMPUTED_VALUE"""),1.25)</f>
        <v>1.25</v>
      </c>
      <c r="V2423" s="1" t="str">
        <f>IFERROR(__xludf.DUMMYFUNCTION("""COMPUTED_VALUE"""),"Rossheen Pura")</f>
        <v>Rossheen Pura</v>
      </c>
      <c r="W2423" s="1" t="str">
        <f>IFERROR(__xludf.DUMMYFUNCTION("""COMPUTED_VALUE"""),"High Sensitivity Support PH")</f>
        <v>High Sensitivity Support PH</v>
      </c>
    </row>
    <row r="2424">
      <c r="O2424" s="1" t="str">
        <f>IFERROR(__xludf.DUMMYFUNCTION("""COMPUTED_VALUE"""),"2026 Feb")</f>
        <v>2026 Feb</v>
      </c>
      <c r="P2424" s="1" t="str">
        <f>IFERROR(__xludf.DUMMYFUNCTION("""COMPUTED_VALUE"""),"Core Product Support")</f>
        <v>Core Product Support</v>
      </c>
      <c r="Q2424" s="1" t="str">
        <f>IFERROR(__xludf.DUMMYFUNCTION("""COMPUTED_VALUE"""),"pnicolepescador@canva.com")</f>
        <v>pnicolepescador@canva.com</v>
      </c>
      <c r="R2424" s="1" t="str">
        <f>IFERROR(__xludf.DUMMYFUNCTION("""COMPUTED_VALUE"""),"Precious Pescador")</f>
        <v>Precious Pescador</v>
      </c>
      <c r="S2424" s="1"/>
      <c r="T2424" s="1">
        <f>IFERROR(__xludf.DUMMYFUNCTION("""COMPUTED_VALUE"""),15.0)</f>
        <v>15</v>
      </c>
      <c r="U2424" s="2">
        <f>IFERROR(__xludf.DUMMYFUNCTION("""COMPUTED_VALUE"""),15.0)</f>
        <v>15</v>
      </c>
      <c r="V2424" s="1" t="str">
        <f>IFERROR(__xludf.DUMMYFUNCTION("""COMPUTED_VALUE"""),"Ayza Marie Pascual")</f>
        <v>Ayza Marie Pascual</v>
      </c>
      <c r="W2424" s="1" t="str">
        <f>IFERROR(__xludf.DUMMYFUNCTION("""COMPUTED_VALUE"""),"Advanced Billing &amp; Subscriptions")</f>
        <v>Advanced Billing &amp; Subscriptions</v>
      </c>
    </row>
    <row r="2425">
      <c r="O2425" s="1" t="str">
        <f>IFERROR(__xludf.DUMMYFUNCTION("""COMPUTED_VALUE"""),"2026 Feb")</f>
        <v>2026 Feb</v>
      </c>
      <c r="P2425" s="1" t="str">
        <f>IFERROR(__xludf.DUMMYFUNCTION("""COMPUTED_VALUE"""),"Core Product Support")</f>
        <v>Core Product Support</v>
      </c>
      <c r="Q2425" s="1" t="str">
        <f>IFERROR(__xludf.DUMMYFUNCTION("""COMPUTED_VALUE"""),"rachellynanne@canva.com")</f>
        <v>rachellynanne@canva.com</v>
      </c>
      <c r="R2425" s="1" t="str">
        <f>IFERROR(__xludf.DUMMYFUNCTION("""COMPUTED_VALUE"""),"Rachellyn Medina")</f>
        <v>Rachellyn Medina</v>
      </c>
      <c r="S2425" s="1"/>
      <c r="T2425" s="1">
        <f>IFERROR(__xludf.DUMMYFUNCTION("""COMPUTED_VALUE"""),14.5)</f>
        <v>14.5</v>
      </c>
      <c r="U2425" s="2">
        <f>IFERROR(__xludf.DUMMYFUNCTION("""COMPUTED_VALUE"""),14.5)</f>
        <v>14.5</v>
      </c>
      <c r="V2425" s="1" t="str">
        <f>IFERROR(__xludf.DUMMYFUNCTION("""COMPUTED_VALUE"""),"Jem Mondoñedo")</f>
        <v>Jem Mondoñedo</v>
      </c>
      <c r="W2425" s="1" t="str">
        <f>IFERROR(__xludf.DUMMYFUNCTION("""COMPUTED_VALUE"""),"Advanced Billing &amp; Subscriptions")</f>
        <v>Advanced Billing &amp; Subscriptions</v>
      </c>
    </row>
    <row r="2426">
      <c r="O2426" s="1" t="str">
        <f>IFERROR(__xludf.DUMMYFUNCTION("""COMPUTED_VALUE"""),"2026 Feb")</f>
        <v>2026 Feb</v>
      </c>
      <c r="P2426" s="1" t="str">
        <f>IFERROR(__xludf.DUMMYFUNCTION("""COMPUTED_VALUE"""),"Core Product Support")</f>
        <v>Core Product Support</v>
      </c>
      <c r="Q2426" s="1" t="str">
        <f>IFERROR(__xludf.DUMMYFUNCTION("""COMPUTED_VALUE"""),"alfredomillares@canva.com")</f>
        <v>alfredomillares@canva.com</v>
      </c>
      <c r="R2426" s="1" t="str">
        <f>IFERROR(__xludf.DUMMYFUNCTION("""COMPUTED_VALUE"""),"Rael Millares")</f>
        <v>Rael Millares</v>
      </c>
      <c r="S2426" s="1">
        <f>IFERROR(__xludf.DUMMYFUNCTION("""COMPUTED_VALUE"""),0.5)</f>
        <v>0.5</v>
      </c>
      <c r="T2426" s="1">
        <f>IFERROR(__xludf.DUMMYFUNCTION("""COMPUTED_VALUE"""),3.5)</f>
        <v>3.5</v>
      </c>
      <c r="U2426" s="2">
        <f>IFERROR(__xludf.DUMMYFUNCTION("""COMPUTED_VALUE"""),4.0)</f>
        <v>4</v>
      </c>
      <c r="V2426" s="1" t="str">
        <f>IFERROR(__xludf.DUMMYFUNCTION("""COMPUTED_VALUE"""),"Jahmie Mae Barrameda")</f>
        <v>Jahmie Mae Barrameda</v>
      </c>
      <c r="W2426" s="1" t="str">
        <f>IFERROR(__xludf.DUMMYFUNCTION("""COMPUTED_VALUE"""),"Advanced Billing &amp; Subscriptions")</f>
        <v>Advanced Billing &amp; Subscriptions</v>
      </c>
    </row>
    <row r="2427">
      <c r="O2427" s="1" t="str">
        <f>IFERROR(__xludf.DUMMYFUNCTION("""COMPUTED_VALUE"""),"2026 Feb")</f>
        <v>2026 Feb</v>
      </c>
      <c r="P2427" s="1" t="str">
        <f>IFERROR(__xludf.DUMMYFUNCTION("""COMPUTED_VALUE"""),"Multilingual Support")</f>
        <v>Multilingual Support</v>
      </c>
      <c r="Q2427" s="1" t="str">
        <f>IFERROR(__xludf.DUMMYFUNCTION("""COMPUTED_VALUE"""),"ranufre@canva.com")</f>
        <v>ranufre@canva.com</v>
      </c>
      <c r="R2427" s="1" t="str">
        <f>IFERROR(__xludf.DUMMYFUNCTION("""COMPUTED_VALUE"""),"Rafa Freitas")</f>
        <v>Rafa Freitas</v>
      </c>
      <c r="S2427" s="1"/>
      <c r="T2427" s="1">
        <f>IFERROR(__xludf.DUMMYFUNCTION("""COMPUTED_VALUE"""),40.0)</f>
        <v>40</v>
      </c>
      <c r="U2427" s="2">
        <f>IFERROR(__xludf.DUMMYFUNCTION("""COMPUTED_VALUE"""),40.0)</f>
        <v>40</v>
      </c>
      <c r="V2427" s="1" t="str">
        <f>IFERROR(__xludf.DUMMYFUNCTION("""COMPUTED_VALUE"""),"Arlene Maurillo")</f>
        <v>Arlene Maurillo</v>
      </c>
      <c r="W2427" s="1" t="str">
        <f>IFERROR(__xludf.DUMMYFUNCTION("""COMPUTED_VALUE"""),"PHL, Multilingual Support")</f>
        <v>PHL, Multilingual Support</v>
      </c>
    </row>
    <row r="2428">
      <c r="O2428" s="1" t="str">
        <f>IFERROR(__xludf.DUMMYFUNCTION("""COMPUTED_VALUE"""),"2026 Feb")</f>
        <v>2026 Feb</v>
      </c>
      <c r="P2428" s="1" t="str">
        <f>IFERROR(__xludf.DUMMYFUNCTION("""COMPUTED_VALUE"""),"Core Product Support")</f>
        <v>Core Product Support</v>
      </c>
      <c r="Q2428" s="1" t="str">
        <f>IFERROR(__xludf.DUMMYFUNCTION("""COMPUTED_VALUE"""),"rafaticzon@canva.com")</f>
        <v>rafaticzon@canva.com</v>
      </c>
      <c r="R2428" s="1" t="str">
        <f>IFERROR(__xludf.DUMMYFUNCTION("""COMPUTED_VALUE"""),"Rafa Ticzon")</f>
        <v>Rafa Ticzon</v>
      </c>
      <c r="S2428" s="1"/>
      <c r="T2428" s="1">
        <f>IFERROR(__xludf.DUMMYFUNCTION("""COMPUTED_VALUE"""),13.83)</f>
        <v>13.83</v>
      </c>
      <c r="U2428" s="2">
        <f>IFERROR(__xludf.DUMMYFUNCTION("""COMPUTED_VALUE"""),13.83)</f>
        <v>13.83</v>
      </c>
      <c r="V2428" s="1" t="str">
        <f>IFERROR(__xludf.DUMMYFUNCTION("""COMPUTED_VALUE"""),"Mikhaela Decangchon")</f>
        <v>Mikhaela Decangchon</v>
      </c>
      <c r="W2428" s="1" t="str">
        <f>IFERROR(__xludf.DUMMYFUNCTION("""COMPUTED_VALUE"""),"Advanced Product Support")</f>
        <v>Advanced Product Support</v>
      </c>
    </row>
    <row r="2429">
      <c r="O2429" s="1" t="str">
        <f>IFERROR(__xludf.DUMMYFUNCTION("""COMPUTED_VALUE"""),"2026 Feb")</f>
        <v>2026 Feb</v>
      </c>
      <c r="P2429" s="1" t="str">
        <f>IFERROR(__xludf.DUMMYFUNCTION("""COMPUTED_VALUE"""),"Core Product Support")</f>
        <v>Core Product Support</v>
      </c>
      <c r="Q2429" s="1" t="str">
        <f>IFERROR(__xludf.DUMMYFUNCTION("""COMPUTED_VALUE"""),"candace@canva.com")</f>
        <v>candace@canva.com</v>
      </c>
      <c r="R2429" s="1" t="str">
        <f>IFERROR(__xludf.DUMMYFUNCTION("""COMPUTED_VALUE"""),"Rainne Candace Llagas")</f>
        <v>Rainne Candace Llagas</v>
      </c>
      <c r="S2429" s="1"/>
      <c r="T2429" s="1">
        <f>IFERROR(__xludf.DUMMYFUNCTION("""COMPUTED_VALUE"""),15.28)</f>
        <v>15.28</v>
      </c>
      <c r="U2429" s="2">
        <f>IFERROR(__xludf.DUMMYFUNCTION("""COMPUTED_VALUE"""),15.28)</f>
        <v>15.28</v>
      </c>
      <c r="V2429" s="1" t="str">
        <f>IFERROR(__xludf.DUMMYFUNCTION("""COMPUTED_VALUE"""),"Belle Bentazal")</f>
        <v>Belle Bentazal</v>
      </c>
      <c r="W2429" s="1" t="str">
        <f>IFERROR(__xludf.DUMMYFUNCTION("""COMPUTED_VALUE"""),"Advanced Product Support")</f>
        <v>Advanced Product Support</v>
      </c>
    </row>
    <row r="2430">
      <c r="O2430" s="1" t="str">
        <f>IFERROR(__xludf.DUMMYFUNCTION("""COMPUTED_VALUE"""),"2026 Feb")</f>
        <v>2026 Feb</v>
      </c>
      <c r="P2430" s="1" t="str">
        <f>IFERROR(__xludf.DUMMYFUNCTION("""COMPUTED_VALUE"""),"Core Product Support")</f>
        <v>Core Product Support</v>
      </c>
      <c r="Q2430" s="1" t="str">
        <f>IFERROR(__xludf.DUMMYFUNCTION("""COMPUTED_VALUE"""),"rmercado@canva.com")</f>
        <v>rmercado@canva.com</v>
      </c>
      <c r="R2430" s="1" t="str">
        <f>IFERROR(__xludf.DUMMYFUNCTION("""COMPUTED_VALUE"""),"Ram Mercado")</f>
        <v>Ram Mercado</v>
      </c>
      <c r="S2430" s="1">
        <f>IFERROR(__xludf.DUMMYFUNCTION("""COMPUTED_VALUE"""),0.5)</f>
        <v>0.5</v>
      </c>
      <c r="T2430" s="1">
        <f>IFERROR(__xludf.DUMMYFUNCTION("""COMPUTED_VALUE"""),10.0)</f>
        <v>10</v>
      </c>
      <c r="U2430" s="2">
        <f>IFERROR(__xludf.DUMMYFUNCTION("""COMPUTED_VALUE"""),10.5)</f>
        <v>10.5</v>
      </c>
      <c r="V2430" s="1" t="str">
        <f>IFERROR(__xludf.DUMMYFUNCTION("""COMPUTED_VALUE"""),"Jelyn Elmido")</f>
        <v>Jelyn Elmido</v>
      </c>
      <c r="W2430" s="1" t="str">
        <f>IFERROR(__xludf.DUMMYFUNCTION("""COMPUTED_VALUE"""),"Core Product Support Escalation Team")</f>
        <v>Core Product Support Escalation Team</v>
      </c>
    </row>
    <row r="2431">
      <c r="O2431" s="1" t="str">
        <f>IFERROR(__xludf.DUMMYFUNCTION("""COMPUTED_VALUE"""),"2026 Feb")</f>
        <v>2026 Feb</v>
      </c>
      <c r="P2431" s="1" t="str">
        <f>IFERROR(__xludf.DUMMYFUNCTION("""COMPUTED_VALUE"""),"Core Product Support")</f>
        <v>Core Product Support</v>
      </c>
      <c r="Q2431" s="1" t="str">
        <f>IFERROR(__xludf.DUMMYFUNCTION("""COMPUTED_VALUE"""),"razelleroe@canva.com")</f>
        <v>razelleroe@canva.com</v>
      </c>
      <c r="R2431" s="1" t="str">
        <f>IFERROR(__xludf.DUMMYFUNCTION("""COMPUTED_VALUE"""),"Razelle Roe Garaza")</f>
        <v>Razelle Roe Garaza</v>
      </c>
      <c r="S2431" s="1"/>
      <c r="T2431" s="1">
        <f>IFERROR(__xludf.DUMMYFUNCTION("""COMPUTED_VALUE"""),11.42)</f>
        <v>11.42</v>
      </c>
      <c r="U2431" s="2">
        <f>IFERROR(__xludf.DUMMYFUNCTION("""COMPUTED_VALUE"""),11.42)</f>
        <v>11.42</v>
      </c>
      <c r="V2431" s="1" t="str">
        <f>IFERROR(__xludf.DUMMYFUNCTION("""COMPUTED_VALUE"""),"Ana Lazaro")</f>
        <v>Ana Lazaro</v>
      </c>
      <c r="W2431" s="1" t="str">
        <f>IFERROR(__xludf.DUMMYFUNCTION("""COMPUTED_VALUE"""),"Advanced Billing &amp; Subscriptions")</f>
        <v>Advanced Billing &amp; Subscriptions</v>
      </c>
    </row>
    <row r="2432">
      <c r="O2432" s="1" t="str">
        <f>IFERROR(__xludf.DUMMYFUNCTION("""COMPUTED_VALUE"""),"2026 Feb")</f>
        <v>2026 Feb</v>
      </c>
      <c r="P2432" s="1" t="str">
        <f>IFERROR(__xludf.DUMMYFUNCTION("""COMPUTED_VALUE"""),"Admin Support")</f>
        <v>Admin Support</v>
      </c>
      <c r="Q2432" s="1" t="str">
        <f>IFERROR(__xludf.DUMMYFUNCTION("""COMPUTED_VALUE"""),"rdolores@canva.com")</f>
        <v>rdolores@canva.com</v>
      </c>
      <c r="R2432" s="1" t="str">
        <f>IFERROR(__xludf.DUMMYFUNCTION("""COMPUTED_VALUE"""),"Rea Alexis Dolores")</f>
        <v>Rea Alexis Dolores</v>
      </c>
      <c r="S2432" s="1"/>
      <c r="T2432" s="1">
        <f>IFERROR(__xludf.DUMMYFUNCTION("""COMPUTED_VALUE"""),1.0)</f>
        <v>1</v>
      </c>
      <c r="U2432" s="2">
        <f>IFERROR(__xludf.DUMMYFUNCTION("""COMPUTED_VALUE"""),1.0)</f>
        <v>1</v>
      </c>
      <c r="V2432" s="1" t="str">
        <f>IFERROR(__xludf.DUMMYFUNCTION("""COMPUTED_VALUE"""),"Karla Mananghaya")</f>
        <v>Karla Mananghaya</v>
      </c>
      <c r="W2432" s="1" t="str">
        <f>IFERROR(__xludf.DUMMYFUNCTION("""COMPUTED_VALUE"""),"Admin Support Service Escalation Team")</f>
        <v>Admin Support Service Escalation Team</v>
      </c>
    </row>
    <row r="2433">
      <c r="O2433" s="1" t="str">
        <f>IFERROR(__xludf.DUMMYFUNCTION("""COMPUTED_VALUE"""),"2026 Feb")</f>
        <v>2026 Feb</v>
      </c>
      <c r="P2433" s="1" t="str">
        <f>IFERROR(__xludf.DUMMYFUNCTION("""COMPUTED_VALUE"""),"Admin Support")</f>
        <v>Admin Support</v>
      </c>
      <c r="Q2433" s="1" t="str">
        <f>IFERROR(__xludf.DUMMYFUNCTION("""COMPUTED_VALUE"""),"red@canva.com")</f>
        <v>red@canva.com</v>
      </c>
      <c r="R2433" s="1" t="str">
        <f>IFERROR(__xludf.DUMMYFUNCTION("""COMPUTED_VALUE"""),"Red Dela Rosa")</f>
        <v>Red Dela Rosa</v>
      </c>
      <c r="S2433" s="1"/>
      <c r="T2433" s="1">
        <f>IFERROR(__xludf.DUMMYFUNCTION("""COMPUTED_VALUE"""),8.67)</f>
        <v>8.67</v>
      </c>
      <c r="U2433" s="2">
        <f>IFERROR(__xludf.DUMMYFUNCTION("""COMPUTED_VALUE"""),8.67)</f>
        <v>8.67</v>
      </c>
      <c r="V2433" s="1" t="str">
        <f>IFERROR(__xludf.DUMMYFUNCTION("""COMPUTED_VALUE"""),"Pau Palmero")</f>
        <v>Pau Palmero</v>
      </c>
      <c r="W2433" s="1" t="str">
        <f>IFERROR(__xludf.DUMMYFUNCTION("""COMPUTED_VALUE"""),"Admin Omni Support")</f>
        <v>Admin Omni Support</v>
      </c>
    </row>
    <row r="2434">
      <c r="O2434" s="1" t="str">
        <f>IFERROR(__xludf.DUMMYFUNCTION("""COMPUTED_VALUE"""),"2026 Feb")</f>
        <v>2026 Feb</v>
      </c>
      <c r="P2434" s="1" t="str">
        <f>IFERROR(__xludf.DUMMYFUNCTION("""COMPUTED_VALUE"""),"Admin Support")</f>
        <v>Admin Support</v>
      </c>
      <c r="Q2434" s="1" t="str">
        <f>IFERROR(__xludf.DUMMYFUNCTION("""COMPUTED_VALUE"""),"regie@canva.com")</f>
        <v>regie@canva.com</v>
      </c>
      <c r="R2434" s="1" t="str">
        <f>IFERROR(__xludf.DUMMYFUNCTION("""COMPUTED_VALUE"""),"Regie Yambot")</f>
        <v>Regie Yambot</v>
      </c>
      <c r="S2434" s="1"/>
      <c r="T2434" s="1">
        <f>IFERROR(__xludf.DUMMYFUNCTION("""COMPUTED_VALUE"""),2.0)</f>
        <v>2</v>
      </c>
      <c r="U2434" s="2">
        <f>IFERROR(__xludf.DUMMYFUNCTION("""COMPUTED_VALUE"""),2.0)</f>
        <v>2</v>
      </c>
      <c r="V2434" s="1" t="str">
        <f>IFERROR(__xludf.DUMMYFUNCTION("""COMPUTED_VALUE"""),"Pau Palmero")</f>
        <v>Pau Palmero</v>
      </c>
      <c r="W2434" s="1" t="str">
        <f>IFERROR(__xludf.DUMMYFUNCTION("""COMPUTED_VALUE"""),"Admin Omni Support")</f>
        <v>Admin Omni Support</v>
      </c>
    </row>
    <row r="2435">
      <c r="O2435" s="1" t="str">
        <f>IFERROR(__xludf.DUMMYFUNCTION("""COMPUTED_VALUE"""),"2026 Feb")</f>
        <v>2026 Feb</v>
      </c>
      <c r="P2435" s="1" t="str">
        <f>IFERROR(__xludf.DUMMYFUNCTION("""COMPUTED_VALUE"""),"Core Product Support")</f>
        <v>Core Product Support</v>
      </c>
      <c r="Q2435" s="1" t="str">
        <f>IFERROR(__xludf.DUMMYFUNCTION("""COMPUTED_VALUE"""),"rej@canva.com")</f>
        <v>rej@canva.com</v>
      </c>
      <c r="R2435" s="1" t="str">
        <f>IFERROR(__xludf.DUMMYFUNCTION("""COMPUTED_VALUE"""),"Rej Benipayo")</f>
        <v>Rej Benipayo</v>
      </c>
      <c r="S2435" s="1">
        <f>IFERROR(__xludf.DUMMYFUNCTION("""COMPUTED_VALUE"""),1.0)</f>
        <v>1</v>
      </c>
      <c r="T2435" s="1">
        <f>IFERROR(__xludf.DUMMYFUNCTION("""COMPUTED_VALUE"""),5.75)</f>
        <v>5.75</v>
      </c>
      <c r="U2435" s="2">
        <f>IFERROR(__xludf.DUMMYFUNCTION("""COMPUTED_VALUE"""),6.75)</f>
        <v>6.75</v>
      </c>
      <c r="V2435" s="1" t="str">
        <f>IFERROR(__xludf.DUMMYFUNCTION("""COMPUTED_VALUE"""),"Renette Bok")</f>
        <v>Renette Bok</v>
      </c>
      <c r="W2435" s="1" t="str">
        <f>IFERROR(__xludf.DUMMYFUNCTION("""COMPUTED_VALUE"""),"Advanced Billing &amp; Subscriptions")</f>
        <v>Advanced Billing &amp; Subscriptions</v>
      </c>
    </row>
    <row r="2436">
      <c r="O2436" s="1" t="str">
        <f>IFERROR(__xludf.DUMMYFUNCTION("""COMPUTED_VALUE"""),"2026 Feb")</f>
        <v>2026 Feb</v>
      </c>
      <c r="P2436" s="1" t="str">
        <f>IFERROR(__xludf.DUMMYFUNCTION("""COMPUTED_VALUE"""),"Core Product Support")</f>
        <v>Core Product Support</v>
      </c>
      <c r="Q2436" s="1" t="str">
        <f>IFERROR(__xludf.DUMMYFUNCTION("""COMPUTED_VALUE"""),"revisuarez@canva.com")</f>
        <v>revisuarez@canva.com</v>
      </c>
      <c r="R2436" s="1" t="str">
        <f>IFERROR(__xludf.DUMMYFUNCTION("""COMPUTED_VALUE"""),"Revi Suarez")</f>
        <v>Revi Suarez</v>
      </c>
      <c r="S2436" s="1">
        <f>IFERROR(__xludf.DUMMYFUNCTION("""COMPUTED_VALUE"""),0.5)</f>
        <v>0.5</v>
      </c>
      <c r="T2436" s="1">
        <f>IFERROR(__xludf.DUMMYFUNCTION("""COMPUTED_VALUE"""),9.0)</f>
        <v>9</v>
      </c>
      <c r="U2436" s="2">
        <f>IFERROR(__xludf.DUMMYFUNCTION("""COMPUTED_VALUE"""),9.5)</f>
        <v>9.5</v>
      </c>
      <c r="V2436" s="1" t="str">
        <f>IFERROR(__xludf.DUMMYFUNCTION("""COMPUTED_VALUE"""),"Jelyn Elmido")</f>
        <v>Jelyn Elmido</v>
      </c>
      <c r="W2436" s="1" t="str">
        <f>IFERROR(__xludf.DUMMYFUNCTION("""COMPUTED_VALUE"""),"Core Product Support Escalation Team")</f>
        <v>Core Product Support Escalation Team</v>
      </c>
    </row>
    <row r="2437">
      <c r="O2437" s="1" t="str">
        <f>IFERROR(__xludf.DUMMYFUNCTION("""COMPUTED_VALUE"""),"2026 Feb")</f>
        <v>2026 Feb</v>
      </c>
      <c r="P2437" s="1" t="str">
        <f>IFERROR(__xludf.DUMMYFUNCTION("""COMPUTED_VALUE"""),"High Sensitivity Support")</f>
        <v>High Sensitivity Support</v>
      </c>
      <c r="Q2437" s="1" t="str">
        <f>IFERROR(__xludf.DUMMYFUNCTION("""COMPUTED_VALUE"""),"reya@canva.com")</f>
        <v>reya@canva.com</v>
      </c>
      <c r="R2437" s="1" t="str">
        <f>IFERROR(__xludf.DUMMYFUNCTION("""COMPUTED_VALUE"""),"Reya Joson")</f>
        <v>Reya Joson</v>
      </c>
      <c r="S2437" s="1"/>
      <c r="T2437" s="1">
        <f>IFERROR(__xludf.DUMMYFUNCTION("""COMPUTED_VALUE"""),8.0)</f>
        <v>8</v>
      </c>
      <c r="U2437" s="2">
        <f>IFERROR(__xludf.DUMMYFUNCTION("""COMPUTED_VALUE"""),8.0)</f>
        <v>8</v>
      </c>
      <c r="V2437" s="1" t="str">
        <f>IFERROR(__xludf.DUMMYFUNCTION("""COMPUTED_VALUE"""),"Issi Afable")</f>
        <v>Issi Afable</v>
      </c>
      <c r="W2437" s="1" t="str">
        <f>IFERROR(__xludf.DUMMYFUNCTION("""COMPUTED_VALUE"""),"High Sensitivity Support PH")</f>
        <v>High Sensitivity Support PH</v>
      </c>
    </row>
    <row r="2438">
      <c r="O2438" s="1" t="str">
        <f>IFERROR(__xludf.DUMMYFUNCTION("""COMPUTED_VALUE"""),"2026 Feb")</f>
        <v>2026 Feb</v>
      </c>
      <c r="P2438" s="1" t="str">
        <f>IFERROR(__xludf.DUMMYFUNCTION("""COMPUTED_VALUE"""),"Segment-specific Support")</f>
        <v>Segment-specific Support</v>
      </c>
      <c r="Q2438" s="1" t="str">
        <f>IFERROR(__xludf.DUMMYFUNCTION("""COMPUTED_VALUE"""),"rizzah@canva.com")</f>
        <v>rizzah@canva.com</v>
      </c>
      <c r="R2438" s="1" t="str">
        <f>IFERROR(__xludf.DUMMYFUNCTION("""COMPUTED_VALUE"""),"Rizzah Hope Anjao")</f>
        <v>Rizzah Hope Anjao</v>
      </c>
      <c r="S2438" s="1"/>
      <c r="T2438" s="1">
        <f>IFERROR(__xludf.DUMMYFUNCTION("""COMPUTED_VALUE"""),1.0)</f>
        <v>1</v>
      </c>
      <c r="U2438" s="2">
        <f>IFERROR(__xludf.DUMMYFUNCTION("""COMPUTED_VALUE"""),1.0)</f>
        <v>1</v>
      </c>
      <c r="V2438" s="1" t="str">
        <f>IFERROR(__xludf.DUMMYFUNCTION("""COMPUTED_VALUE"""),"Gucci Nava")</f>
        <v>Gucci Nava</v>
      </c>
      <c r="W2438" s="1" t="str">
        <f>IFERROR(__xludf.DUMMYFUNCTION("""COMPUTED_VALUE"""),"Affinity Support")</f>
        <v>Affinity Support</v>
      </c>
    </row>
    <row r="2439">
      <c r="O2439" s="1" t="str">
        <f>IFERROR(__xludf.DUMMYFUNCTION("""COMPUTED_VALUE"""),"2026 Feb")</f>
        <v>2026 Feb</v>
      </c>
      <c r="P2439" s="1" t="str">
        <f>IFERROR(__xludf.DUMMYFUNCTION("""COMPUTED_VALUE"""),"Print Support")</f>
        <v>Print Support</v>
      </c>
      <c r="Q2439" s="1" t="str">
        <f>IFERROR(__xludf.DUMMYFUNCTION("""COMPUTED_VALUE"""),"robsuico@canva.com")</f>
        <v>robsuico@canva.com</v>
      </c>
      <c r="R2439" s="1" t="str">
        <f>IFERROR(__xludf.DUMMYFUNCTION("""COMPUTED_VALUE"""),"Robin Suico")</f>
        <v>Robin Suico</v>
      </c>
      <c r="S2439" s="1"/>
      <c r="T2439" s="1">
        <f>IFERROR(__xludf.DUMMYFUNCTION("""COMPUTED_VALUE"""),1.33)</f>
        <v>1.33</v>
      </c>
      <c r="U2439" s="2">
        <f>IFERROR(__xludf.DUMMYFUNCTION("""COMPUTED_VALUE"""),1.33)</f>
        <v>1.33</v>
      </c>
      <c r="V2439" s="1" t="str">
        <f>IFERROR(__xludf.DUMMYFUNCTION("""COMPUTED_VALUE"""),"Aliza Dote")</f>
        <v>Aliza Dote</v>
      </c>
      <c r="W2439" s="1" t="str">
        <f>IFERROR(__xludf.DUMMYFUNCTION("""COMPUTED_VALUE"""),"Print Design Support")</f>
        <v>Print Design Support</v>
      </c>
    </row>
    <row r="2440">
      <c r="O2440" s="1" t="str">
        <f>IFERROR(__xludf.DUMMYFUNCTION("""COMPUTED_VALUE"""),"2026 Feb")</f>
        <v>2026 Feb</v>
      </c>
      <c r="P2440" s="1" t="str">
        <f>IFERROR(__xludf.DUMMYFUNCTION("""COMPUTED_VALUE"""),"Core Product Support")</f>
        <v>Core Product Support</v>
      </c>
      <c r="Q2440" s="1" t="str">
        <f>IFERROR(__xludf.DUMMYFUNCTION("""COMPUTED_VALUE"""),"ronally@canva.com")</f>
        <v>ronally@canva.com</v>
      </c>
      <c r="R2440" s="1" t="str">
        <f>IFERROR(__xludf.DUMMYFUNCTION("""COMPUTED_VALUE"""),"Ronally Romero")</f>
        <v>Ronally Romero</v>
      </c>
      <c r="S2440" s="1"/>
      <c r="T2440" s="1">
        <f>IFERROR(__xludf.DUMMYFUNCTION("""COMPUTED_VALUE"""),12.25)</f>
        <v>12.25</v>
      </c>
      <c r="U2440" s="2">
        <f>IFERROR(__xludf.DUMMYFUNCTION("""COMPUTED_VALUE"""),12.25)</f>
        <v>12.25</v>
      </c>
      <c r="V2440" s="1" t="str">
        <f>IFERROR(__xludf.DUMMYFUNCTION("""COMPUTED_VALUE"""),"Cate Velasco")</f>
        <v>Cate Velasco</v>
      </c>
      <c r="W2440" s="1" t="str">
        <f>IFERROR(__xludf.DUMMYFUNCTION("""COMPUTED_VALUE"""),"Advanced Product Support")</f>
        <v>Advanced Product Support</v>
      </c>
    </row>
    <row r="2441">
      <c r="O2441" s="1" t="str">
        <f>IFERROR(__xludf.DUMMYFUNCTION("""COMPUTED_VALUE"""),"2026 Feb")</f>
        <v>2026 Feb</v>
      </c>
      <c r="P2441" s="1" t="str">
        <f>IFERROR(__xludf.DUMMYFUNCTION("""COMPUTED_VALUE"""),"Core Product Support")</f>
        <v>Core Product Support</v>
      </c>
      <c r="Q2441" s="1" t="str">
        <f>IFERROR(__xludf.DUMMYFUNCTION("""COMPUTED_VALUE"""),"rvalderrama@canva.com")</f>
        <v>rvalderrama@canva.com</v>
      </c>
      <c r="R2441" s="1" t="str">
        <f>IFERROR(__xludf.DUMMYFUNCTION("""COMPUTED_VALUE"""),"Rony Valderrama")</f>
        <v>Rony Valderrama</v>
      </c>
      <c r="S2441" s="1"/>
      <c r="T2441" s="1">
        <f>IFERROR(__xludf.DUMMYFUNCTION("""COMPUTED_VALUE"""),6.03)</f>
        <v>6.03</v>
      </c>
      <c r="U2441" s="2">
        <f>IFERROR(__xludf.DUMMYFUNCTION("""COMPUTED_VALUE"""),6.03)</f>
        <v>6.03</v>
      </c>
      <c r="V2441" s="1" t="str">
        <f>IFERROR(__xludf.DUMMYFUNCTION("""COMPUTED_VALUE"""),"Renette Bok")</f>
        <v>Renette Bok</v>
      </c>
      <c r="W2441" s="1" t="str">
        <f>IFERROR(__xludf.DUMMYFUNCTION("""COMPUTED_VALUE"""),"Advanced Billing &amp; Subscriptions")</f>
        <v>Advanced Billing &amp; Subscriptions</v>
      </c>
    </row>
    <row r="2442">
      <c r="O2442" s="1" t="str">
        <f>IFERROR(__xludf.DUMMYFUNCTION("""COMPUTED_VALUE"""),"2026 Feb")</f>
        <v>2026 Feb</v>
      </c>
      <c r="P2442" s="1" t="str">
        <f>IFERROR(__xludf.DUMMYFUNCTION("""COMPUTED_VALUE"""),"Core Product Support")</f>
        <v>Core Product Support</v>
      </c>
      <c r="Q2442" s="1" t="str">
        <f>IFERROR(__xludf.DUMMYFUNCTION("""COMPUTED_VALUE"""),"ronyl@canva.com")</f>
        <v>ronyl@canva.com</v>
      </c>
      <c r="R2442" s="1" t="str">
        <f>IFERROR(__xludf.DUMMYFUNCTION("""COMPUTED_VALUE"""),"Ronyl Masilang")</f>
        <v>Ronyl Masilang</v>
      </c>
      <c r="S2442" s="1"/>
      <c r="T2442" s="1">
        <f>IFERROR(__xludf.DUMMYFUNCTION("""COMPUTED_VALUE"""),12.75)</f>
        <v>12.75</v>
      </c>
      <c r="U2442" s="2">
        <f>IFERROR(__xludf.DUMMYFUNCTION("""COMPUTED_VALUE"""),12.75)</f>
        <v>12.75</v>
      </c>
      <c r="V2442" s="1" t="str">
        <f>IFERROR(__xludf.DUMMYFUNCTION("""COMPUTED_VALUE"""),"Cate Velasco")</f>
        <v>Cate Velasco</v>
      </c>
      <c r="W2442" s="1" t="str">
        <f>IFERROR(__xludf.DUMMYFUNCTION("""COMPUTED_VALUE"""),"Advanced Product Support")</f>
        <v>Advanced Product Support</v>
      </c>
    </row>
    <row r="2443">
      <c r="O2443" s="1" t="str">
        <f>IFERROR(__xludf.DUMMYFUNCTION("""COMPUTED_VALUE"""),"2026 Feb")</f>
        <v>2026 Feb</v>
      </c>
      <c r="P2443" s="1" t="str">
        <f>IFERROR(__xludf.DUMMYFUNCTION("""COMPUTED_VALUE"""),"Core Product Support")</f>
        <v>Core Product Support</v>
      </c>
      <c r="Q2443" s="1" t="str">
        <f>IFERROR(__xludf.DUMMYFUNCTION("""COMPUTED_VALUE"""),"rounette@canva.com")</f>
        <v>rounette@canva.com</v>
      </c>
      <c r="R2443" s="1" t="str">
        <f>IFERROR(__xludf.DUMMYFUNCTION("""COMPUTED_VALUE"""),"Rounette Natividad")</f>
        <v>Rounette Natividad</v>
      </c>
      <c r="S2443" s="1"/>
      <c r="T2443" s="1">
        <f>IFERROR(__xludf.DUMMYFUNCTION("""COMPUTED_VALUE"""),14.25)</f>
        <v>14.25</v>
      </c>
      <c r="U2443" s="2">
        <f>IFERROR(__xludf.DUMMYFUNCTION("""COMPUTED_VALUE"""),14.25)</f>
        <v>14.25</v>
      </c>
      <c r="V2443" s="1" t="str">
        <f>IFERROR(__xludf.DUMMYFUNCTION("""COMPUTED_VALUE"""),"Mikhaela Decangchon")</f>
        <v>Mikhaela Decangchon</v>
      </c>
      <c r="W2443" s="1" t="str">
        <f>IFERROR(__xludf.DUMMYFUNCTION("""COMPUTED_VALUE"""),"Advanced Product Support")</f>
        <v>Advanced Product Support</v>
      </c>
    </row>
    <row r="2444">
      <c r="O2444" s="1" t="str">
        <f>IFERROR(__xludf.DUMMYFUNCTION("""COMPUTED_VALUE"""),"2026 Feb")</f>
        <v>2026 Feb</v>
      </c>
      <c r="P2444" s="1" t="str">
        <f>IFERROR(__xludf.DUMMYFUNCTION("""COMPUTED_VALUE"""),"Admin Support")</f>
        <v>Admin Support</v>
      </c>
      <c r="Q2444" s="1" t="str">
        <f>IFERROR(__xludf.DUMMYFUNCTION("""COMPUTED_VALUE"""),"rovie@canva.com")</f>
        <v>rovie@canva.com</v>
      </c>
      <c r="R2444" s="1" t="str">
        <f>IFERROR(__xludf.DUMMYFUNCTION("""COMPUTED_VALUE"""),"Rovie Hawang")</f>
        <v>Rovie Hawang</v>
      </c>
      <c r="S2444" s="1"/>
      <c r="T2444" s="1">
        <f>IFERROR(__xludf.DUMMYFUNCTION("""COMPUTED_VALUE"""),2.75)</f>
        <v>2.75</v>
      </c>
      <c r="U2444" s="2">
        <f>IFERROR(__xludf.DUMMYFUNCTION("""COMPUTED_VALUE"""),2.75)</f>
        <v>2.75</v>
      </c>
      <c r="V2444" s="1" t="str">
        <f>IFERROR(__xludf.DUMMYFUNCTION("""COMPUTED_VALUE"""),"Kelden Laguting")</f>
        <v>Kelden Laguting</v>
      </c>
      <c r="W2444" s="1" t="str">
        <f>IFERROR(__xludf.DUMMYFUNCTION("""COMPUTED_VALUE"""),"Admin Omni Support")</f>
        <v>Admin Omni Support</v>
      </c>
    </row>
    <row r="2445">
      <c r="O2445" s="1" t="str">
        <f>IFERROR(__xludf.DUMMYFUNCTION("""COMPUTED_VALUE"""),"2026 Feb")</f>
        <v>2026 Feb</v>
      </c>
      <c r="P2445" s="1" t="str">
        <f>IFERROR(__xludf.DUMMYFUNCTION("""COMPUTED_VALUE"""),"Admin Support")</f>
        <v>Admin Support</v>
      </c>
      <c r="Q2445" s="1" t="str">
        <f>IFERROR(__xludf.DUMMYFUNCTION("""COMPUTED_VALUE"""),"roxanne@canva.com")</f>
        <v>roxanne@canva.com</v>
      </c>
      <c r="R2445" s="1" t="str">
        <f>IFERROR(__xludf.DUMMYFUNCTION("""COMPUTED_VALUE"""),"Roxanne Joy Capunayan")</f>
        <v>Roxanne Joy Capunayan</v>
      </c>
      <c r="S2445" s="1"/>
      <c r="T2445" s="1">
        <f>IFERROR(__xludf.DUMMYFUNCTION("""COMPUTED_VALUE"""),3.67)</f>
        <v>3.67</v>
      </c>
      <c r="U2445" s="2">
        <f>IFERROR(__xludf.DUMMYFUNCTION("""COMPUTED_VALUE"""),3.67)</f>
        <v>3.67</v>
      </c>
      <c r="V2445" s="1" t="str">
        <f>IFERROR(__xludf.DUMMYFUNCTION("""COMPUTED_VALUE"""),"Ann Dumlao")</f>
        <v>Ann Dumlao</v>
      </c>
      <c r="W2445" s="1" t="str">
        <f>IFERROR(__xludf.DUMMYFUNCTION("""COMPUTED_VALUE"""),"Admin Omni Support")</f>
        <v>Admin Omni Support</v>
      </c>
    </row>
    <row r="2446">
      <c r="O2446" s="1" t="str">
        <f>IFERROR(__xludf.DUMMYFUNCTION("""COMPUTED_VALUE"""),"2026 Feb")</f>
        <v>2026 Feb</v>
      </c>
      <c r="P2446" s="1" t="str">
        <f>IFERROR(__xludf.DUMMYFUNCTION("""COMPUTED_VALUE"""),"Core Product Support")</f>
        <v>Core Product Support</v>
      </c>
      <c r="Q2446" s="1" t="str">
        <f>IFERROR(__xludf.DUMMYFUNCTION("""COMPUTED_VALUE"""),"rozelp@canva.com")</f>
        <v>rozelp@canva.com</v>
      </c>
      <c r="R2446" s="1" t="str">
        <f>IFERROR(__xludf.DUMMYFUNCTION("""COMPUTED_VALUE"""),"Rozel Punsalan")</f>
        <v>Rozel Punsalan</v>
      </c>
      <c r="S2446" s="1">
        <f>IFERROR(__xludf.DUMMYFUNCTION("""COMPUTED_VALUE"""),1.0)</f>
        <v>1</v>
      </c>
      <c r="T2446" s="1">
        <f>IFERROR(__xludf.DUMMYFUNCTION("""COMPUTED_VALUE"""),4.25)</f>
        <v>4.25</v>
      </c>
      <c r="U2446" s="2">
        <f>IFERROR(__xludf.DUMMYFUNCTION("""COMPUTED_VALUE"""),5.25)</f>
        <v>5.25</v>
      </c>
      <c r="V2446" s="1" t="str">
        <f>IFERROR(__xludf.DUMMYFUNCTION("""COMPUTED_VALUE"""),"Marie Mordeno")</f>
        <v>Marie Mordeno</v>
      </c>
      <c r="W2446" s="1" t="str">
        <f>IFERROR(__xludf.DUMMYFUNCTION("""COMPUTED_VALUE"""),"Advanced Billing &amp; Subscriptions")</f>
        <v>Advanced Billing &amp; Subscriptions</v>
      </c>
    </row>
    <row r="2447">
      <c r="O2447" s="1" t="str">
        <f>IFERROR(__xludf.DUMMYFUNCTION("""COMPUTED_VALUE"""),"2026 Feb")</f>
        <v>2026 Feb</v>
      </c>
      <c r="P2447" s="1" t="str">
        <f>IFERROR(__xludf.DUMMYFUNCTION("""COMPUTED_VALUE"""),"Core Product Support")</f>
        <v>Core Product Support</v>
      </c>
      <c r="Q2447" s="1" t="str">
        <f>IFERROR(__xludf.DUMMYFUNCTION("""COMPUTED_VALUE"""),"rozie@canva.com")</f>
        <v>rozie@canva.com</v>
      </c>
      <c r="R2447" s="1" t="str">
        <f>IFERROR(__xludf.DUMMYFUNCTION("""COMPUTED_VALUE"""),"Rozie Gumba")</f>
        <v>Rozie Gumba</v>
      </c>
      <c r="S2447" s="1"/>
      <c r="T2447" s="1">
        <f>IFERROR(__xludf.DUMMYFUNCTION("""COMPUTED_VALUE"""),54.42)</f>
        <v>54.42</v>
      </c>
      <c r="U2447" s="2">
        <f>IFERROR(__xludf.DUMMYFUNCTION("""COMPUTED_VALUE"""),54.42)</f>
        <v>54.42</v>
      </c>
      <c r="V2447" s="1" t="str">
        <f>IFERROR(__xludf.DUMMYFUNCTION("""COMPUTED_VALUE"""),"Ayza Marie Pascual")</f>
        <v>Ayza Marie Pascual</v>
      </c>
      <c r="W2447" s="1" t="str">
        <f>IFERROR(__xludf.DUMMYFUNCTION("""COMPUTED_VALUE"""),"Advanced Billing &amp; Subscriptions")</f>
        <v>Advanced Billing &amp; Subscriptions</v>
      </c>
    </row>
    <row r="2448">
      <c r="O2448" s="1" t="str">
        <f>IFERROR(__xludf.DUMMYFUNCTION("""COMPUTED_VALUE"""),"2026 Feb")</f>
        <v>2026 Feb</v>
      </c>
      <c r="P2448" s="1" t="str">
        <f>IFERROR(__xludf.DUMMYFUNCTION("""COMPUTED_VALUE"""),"Core Product Support")</f>
        <v>Core Product Support</v>
      </c>
      <c r="Q2448" s="1" t="str">
        <f>IFERROR(__xludf.DUMMYFUNCTION("""COMPUTED_VALUE"""),"ruzel@canva.com")</f>
        <v>ruzel@canva.com</v>
      </c>
      <c r="R2448" s="1" t="str">
        <f>IFERROR(__xludf.DUMMYFUNCTION("""COMPUTED_VALUE"""),"Ruzel Raqueno")</f>
        <v>Ruzel Raqueno</v>
      </c>
      <c r="S2448" s="1">
        <f>IFERROR(__xludf.DUMMYFUNCTION("""COMPUTED_VALUE"""),0.5)</f>
        <v>0.5</v>
      </c>
      <c r="T2448" s="1">
        <f>IFERROR(__xludf.DUMMYFUNCTION("""COMPUTED_VALUE"""),9.25)</f>
        <v>9.25</v>
      </c>
      <c r="U2448" s="2">
        <f>IFERROR(__xludf.DUMMYFUNCTION("""COMPUTED_VALUE"""),9.75)</f>
        <v>9.75</v>
      </c>
      <c r="V2448" s="1" t="str">
        <f>IFERROR(__xludf.DUMMYFUNCTION("""COMPUTED_VALUE"""),"Ellaine Estayo")</f>
        <v>Ellaine Estayo</v>
      </c>
      <c r="W2448" s="1" t="str">
        <f>IFERROR(__xludf.DUMMYFUNCTION("""COMPUTED_VALUE"""),"Core Product Support Escalation Team")</f>
        <v>Core Product Support Escalation Team</v>
      </c>
    </row>
    <row r="2449">
      <c r="O2449" s="1" t="str">
        <f>IFERROR(__xludf.DUMMYFUNCTION("""COMPUTED_VALUE"""),"2026 Feb")</f>
        <v>2026 Feb</v>
      </c>
      <c r="P2449" s="1" t="str">
        <f>IFERROR(__xludf.DUMMYFUNCTION("""COMPUTED_VALUE"""),"Print Support")</f>
        <v>Print Support</v>
      </c>
      <c r="Q2449" s="1" t="str">
        <f>IFERROR(__xludf.DUMMYFUNCTION("""COMPUTED_VALUE"""),"rdominick@canva.com")</f>
        <v>rdominick@canva.com</v>
      </c>
      <c r="R2449" s="1" t="str">
        <f>IFERROR(__xludf.DUMMYFUNCTION("""COMPUTED_VALUE"""),"Ryan Dominick Razon")</f>
        <v>Ryan Dominick Razon</v>
      </c>
      <c r="S2449" s="1"/>
      <c r="T2449" s="1">
        <f>IFERROR(__xludf.DUMMYFUNCTION("""COMPUTED_VALUE"""),10.5)</f>
        <v>10.5</v>
      </c>
      <c r="U2449" s="2">
        <f>IFERROR(__xludf.DUMMYFUNCTION("""COMPUTED_VALUE"""),10.5)</f>
        <v>10.5</v>
      </c>
      <c r="V2449" s="1" t="str">
        <f>IFERROR(__xludf.DUMMYFUNCTION("""COMPUTED_VALUE"""),"Jen Momo")</f>
        <v>Jen Momo</v>
      </c>
      <c r="W2449" s="1" t="str">
        <f>IFERROR(__xludf.DUMMYFUNCTION("""COMPUTED_VALUE"""),"Print Support PH")</f>
        <v>Print Support PH</v>
      </c>
    </row>
    <row r="2450">
      <c r="O2450" s="1" t="str">
        <f>IFERROR(__xludf.DUMMYFUNCTION("""COMPUTED_VALUE"""),"2026 Feb")</f>
        <v>2026 Feb</v>
      </c>
      <c r="P2450" s="1" t="str">
        <f>IFERROR(__xludf.DUMMYFUNCTION("""COMPUTED_VALUE"""),"Segment-specific Support")</f>
        <v>Segment-specific Support</v>
      </c>
      <c r="Q2450" s="1" t="str">
        <f>IFERROR(__xludf.DUMMYFUNCTION("""COMPUTED_VALUE"""),"sammiee@canva.com")</f>
        <v>sammiee@canva.com</v>
      </c>
      <c r="R2450" s="1" t="str">
        <f>IFERROR(__xludf.DUMMYFUNCTION("""COMPUTED_VALUE"""),"Sam Espelimbergo")</f>
        <v>Sam Espelimbergo</v>
      </c>
      <c r="S2450" s="1"/>
      <c r="T2450" s="1"/>
      <c r="U2450" s="2">
        <f>IFERROR(__xludf.DUMMYFUNCTION("""COMPUTED_VALUE"""),0.0)</f>
        <v>0</v>
      </c>
      <c r="V2450" s="1" t="str">
        <f>IFERROR(__xludf.DUMMYFUNCTION("""COMPUTED_VALUE"""),"Aileen Dayanghirang")</f>
        <v>Aileen Dayanghirang</v>
      </c>
      <c r="W2450" s="1" t="str">
        <f>IFERROR(__xludf.DUMMYFUNCTION("""COMPUTED_VALUE"""),"Creators Support")</f>
        <v>Creators Support</v>
      </c>
    </row>
    <row r="2451">
      <c r="O2451" s="1" t="str">
        <f>IFERROR(__xludf.DUMMYFUNCTION("""COMPUTED_VALUE"""),"2026 Feb")</f>
        <v>2026 Feb</v>
      </c>
      <c r="P2451" s="1" t="str">
        <f>IFERROR(__xludf.DUMMYFUNCTION("""COMPUTED_VALUE"""),"Admin Support")</f>
        <v>Admin Support</v>
      </c>
      <c r="Q2451" s="1" t="str">
        <f>IFERROR(__xludf.DUMMYFUNCTION("""COMPUTED_VALUE"""),"simber@canva.com")</f>
        <v>simber@canva.com</v>
      </c>
      <c r="R2451" s="1" t="str">
        <f>IFERROR(__xludf.DUMMYFUNCTION("""COMPUTED_VALUE"""),"Sean Imber")</f>
        <v>Sean Imber</v>
      </c>
      <c r="S2451" s="1"/>
      <c r="T2451" s="1">
        <f>IFERROR(__xludf.DUMMYFUNCTION("""COMPUTED_VALUE"""),1.0)</f>
        <v>1</v>
      </c>
      <c r="U2451" s="2">
        <f>IFERROR(__xludf.DUMMYFUNCTION("""COMPUTED_VALUE"""),1.0)</f>
        <v>1</v>
      </c>
      <c r="V2451" s="1" t="str">
        <f>IFERROR(__xludf.DUMMYFUNCTION("""COMPUTED_VALUE"""),"Elise Cesario Mendes")</f>
        <v>Elise Cesario Mendes</v>
      </c>
      <c r="W2451" s="1" t="str">
        <f>IFERROR(__xludf.DUMMYFUNCTION("""COMPUTED_VALUE"""),"Admin Support APJ")</f>
        <v>Admin Support APJ</v>
      </c>
    </row>
    <row r="2452">
      <c r="O2452" s="1" t="str">
        <f>IFERROR(__xludf.DUMMYFUNCTION("""COMPUTED_VALUE"""),"2026 Feb")</f>
        <v>2026 Feb</v>
      </c>
      <c r="P2452" s="1" t="str">
        <f>IFERROR(__xludf.DUMMYFUNCTION("""COMPUTED_VALUE"""),"High Sensitivity Support")</f>
        <v>High Sensitivity Support</v>
      </c>
      <c r="Q2452" s="1" t="str">
        <f>IFERROR(__xludf.DUMMYFUNCTION("""COMPUTED_VALUE"""),"sbaldonado@canva.com")</f>
        <v>sbaldonado@canva.com</v>
      </c>
      <c r="R2452" s="1" t="str">
        <f>IFERROR(__xludf.DUMMYFUNCTION("""COMPUTED_VALUE"""),"Sheira Nicole Baldonado")</f>
        <v>Sheira Nicole Baldonado</v>
      </c>
      <c r="S2452" s="1"/>
      <c r="T2452" s="1">
        <f>IFERROR(__xludf.DUMMYFUNCTION("""COMPUTED_VALUE"""),1.25)</f>
        <v>1.25</v>
      </c>
      <c r="U2452" s="2">
        <f>IFERROR(__xludf.DUMMYFUNCTION("""COMPUTED_VALUE"""),1.25)</f>
        <v>1.25</v>
      </c>
      <c r="V2452" s="1" t="str">
        <f>IFERROR(__xludf.DUMMYFUNCTION("""COMPUTED_VALUE"""),"Rex Villamor")</f>
        <v>Rex Villamor</v>
      </c>
      <c r="W2452" s="1" t="str">
        <f>IFERROR(__xludf.DUMMYFUNCTION("""COMPUTED_VALUE"""),"High Sensitivity Support PH")</f>
        <v>High Sensitivity Support PH</v>
      </c>
    </row>
    <row r="2453">
      <c r="O2453" s="1" t="str">
        <f>IFERROR(__xludf.DUMMYFUNCTION("""COMPUTED_VALUE"""),"2026 Feb")</f>
        <v>2026 Feb</v>
      </c>
      <c r="P2453" s="1" t="str">
        <f>IFERROR(__xludf.DUMMYFUNCTION("""COMPUTED_VALUE"""),"Core Product Support")</f>
        <v>Core Product Support</v>
      </c>
      <c r="Q2453" s="1" t="str">
        <f>IFERROR(__xludf.DUMMYFUNCTION("""COMPUTED_VALUE"""),"sophiae@canva.com")</f>
        <v>sophiae@canva.com</v>
      </c>
      <c r="R2453" s="1" t="str">
        <f>IFERROR(__xludf.DUMMYFUNCTION("""COMPUTED_VALUE"""),"Sophia Ermac")</f>
        <v>Sophia Ermac</v>
      </c>
      <c r="S2453" s="1">
        <f>IFERROR(__xludf.DUMMYFUNCTION("""COMPUTED_VALUE"""),0.25)</f>
        <v>0.25</v>
      </c>
      <c r="T2453" s="1">
        <f>IFERROR(__xludf.DUMMYFUNCTION("""COMPUTED_VALUE"""),15.28)</f>
        <v>15.28</v>
      </c>
      <c r="U2453" s="2">
        <f>IFERROR(__xludf.DUMMYFUNCTION("""COMPUTED_VALUE"""),15.53)</f>
        <v>15.53</v>
      </c>
      <c r="V2453" s="1" t="str">
        <f>IFERROR(__xludf.DUMMYFUNCTION("""COMPUTED_VALUE"""),"Ana Lazaro")</f>
        <v>Ana Lazaro</v>
      </c>
      <c r="W2453" s="1" t="str">
        <f>IFERROR(__xludf.DUMMYFUNCTION("""COMPUTED_VALUE"""),"Advanced Billing &amp; Subscriptions")</f>
        <v>Advanced Billing &amp; Subscriptions</v>
      </c>
    </row>
    <row r="2454">
      <c r="O2454" s="1" t="str">
        <f>IFERROR(__xludf.DUMMYFUNCTION("""COMPUTED_VALUE"""),"2026 Feb")</f>
        <v>2026 Feb</v>
      </c>
      <c r="P2454" s="1" t="str">
        <f>IFERROR(__xludf.DUMMYFUNCTION("""COMPUTED_VALUE"""),"High Sensitivity Support")</f>
        <v>High Sensitivity Support</v>
      </c>
      <c r="Q2454" s="1" t="str">
        <f>IFERROR(__xludf.DUMMYFUNCTION("""COMPUTED_VALUE"""),"ssroxas@canva.com")</f>
        <v>ssroxas@canva.com</v>
      </c>
      <c r="R2454" s="1" t="str">
        <f>IFERROR(__xludf.DUMMYFUNCTION("""COMPUTED_VALUE"""),"Steph Roxas")</f>
        <v>Steph Roxas</v>
      </c>
      <c r="S2454" s="1"/>
      <c r="T2454" s="1">
        <f>IFERROR(__xludf.DUMMYFUNCTION("""COMPUTED_VALUE"""),22.75)</f>
        <v>22.75</v>
      </c>
      <c r="U2454" s="2">
        <f>IFERROR(__xludf.DUMMYFUNCTION("""COMPUTED_VALUE"""),22.75)</f>
        <v>22.75</v>
      </c>
      <c r="V2454" s="1" t="str">
        <f>IFERROR(__xludf.DUMMYFUNCTION("""COMPUTED_VALUE"""),"Rex Villamor")</f>
        <v>Rex Villamor</v>
      </c>
      <c r="W2454" s="1" t="str">
        <f>IFERROR(__xludf.DUMMYFUNCTION("""COMPUTED_VALUE"""),"High Sensitivity Support PH")</f>
        <v>High Sensitivity Support PH</v>
      </c>
    </row>
    <row r="2455">
      <c r="O2455" s="1" t="str">
        <f>IFERROR(__xludf.DUMMYFUNCTION("""COMPUTED_VALUE"""),"2026 Feb")</f>
        <v>2026 Feb</v>
      </c>
      <c r="P2455" s="1" t="str">
        <f>IFERROR(__xludf.DUMMYFUNCTION("""COMPUTED_VALUE"""),"Admin Support")</f>
        <v>Admin Support</v>
      </c>
      <c r="Q2455" s="1" t="str">
        <f>IFERROR(__xludf.DUMMYFUNCTION("""COMPUTED_VALUE"""),"stephanie.t@canva.com")</f>
        <v>stephanie.t@canva.com</v>
      </c>
      <c r="R2455" s="1" t="str">
        <f>IFERROR(__xludf.DUMMYFUNCTION("""COMPUTED_VALUE"""),"Stephanie Lyn Tan")</f>
        <v>Stephanie Lyn Tan</v>
      </c>
      <c r="S2455" s="1"/>
      <c r="T2455" s="1">
        <f>IFERROR(__xludf.DUMMYFUNCTION("""COMPUTED_VALUE"""),5.25)</f>
        <v>5.25</v>
      </c>
      <c r="U2455" s="2">
        <f>IFERROR(__xludf.DUMMYFUNCTION("""COMPUTED_VALUE"""),5.25)</f>
        <v>5.25</v>
      </c>
      <c r="V2455" s="1" t="str">
        <f>IFERROR(__xludf.DUMMYFUNCTION("""COMPUTED_VALUE"""),"Pau Palmero")</f>
        <v>Pau Palmero</v>
      </c>
      <c r="W2455" s="1" t="str">
        <f>IFERROR(__xludf.DUMMYFUNCTION("""COMPUTED_VALUE"""),"Admin Omni Support")</f>
        <v>Admin Omni Support</v>
      </c>
    </row>
    <row r="2456">
      <c r="O2456" s="1" t="str">
        <f>IFERROR(__xludf.DUMMYFUNCTION("""COMPUTED_VALUE"""),"2026 Feb")</f>
        <v>2026 Feb</v>
      </c>
      <c r="P2456" s="1" t="str">
        <f>IFERROR(__xludf.DUMMYFUNCTION("""COMPUTED_VALUE"""),"Admin Support")</f>
        <v>Admin Support</v>
      </c>
      <c r="Q2456" s="1" t="str">
        <f>IFERROR(__xludf.DUMMYFUNCTION("""COMPUTED_VALUE"""),"stephen.k@canva.com")</f>
        <v>stephen.k@canva.com</v>
      </c>
      <c r="R2456" s="1" t="str">
        <f>IFERROR(__xludf.DUMMYFUNCTION("""COMPUTED_VALUE"""),"Stephen Kahanap")</f>
        <v>Stephen Kahanap</v>
      </c>
      <c r="S2456" s="1"/>
      <c r="T2456" s="1">
        <f>IFERROR(__xludf.DUMMYFUNCTION("""COMPUTED_VALUE"""),2.75)</f>
        <v>2.75</v>
      </c>
      <c r="U2456" s="2">
        <f>IFERROR(__xludf.DUMMYFUNCTION("""COMPUTED_VALUE"""),2.75)</f>
        <v>2.75</v>
      </c>
      <c r="V2456" s="1" t="str">
        <f>IFERROR(__xludf.DUMMYFUNCTION("""COMPUTED_VALUE"""),"Ann Dumlao")</f>
        <v>Ann Dumlao</v>
      </c>
      <c r="W2456" s="1" t="str">
        <f>IFERROR(__xludf.DUMMYFUNCTION("""COMPUTED_VALUE"""),"Admin Omni Support")</f>
        <v>Admin Omni Support</v>
      </c>
    </row>
    <row r="2457">
      <c r="O2457" s="1" t="str">
        <f>IFERROR(__xludf.DUMMYFUNCTION("""COMPUTED_VALUE"""),"2026 Feb")</f>
        <v>2026 Feb</v>
      </c>
      <c r="P2457" s="1" t="str">
        <f>IFERROR(__xludf.DUMMYFUNCTION("""COMPUTED_VALUE"""),"Segment-specific Support")</f>
        <v>Segment-specific Support</v>
      </c>
      <c r="Q2457" s="1" t="str">
        <f>IFERROR(__xludf.DUMMYFUNCTION("""COMPUTED_VALUE"""),"sremo@canva.com")</f>
        <v>sremo@canva.com</v>
      </c>
      <c r="R2457" s="1" t="str">
        <f>IFERROR(__xludf.DUMMYFUNCTION("""COMPUTED_VALUE"""),"Sunshine Remo")</f>
        <v>Sunshine Remo</v>
      </c>
      <c r="S2457" s="1"/>
      <c r="T2457" s="1">
        <f>IFERROR(__xludf.DUMMYFUNCTION("""COMPUTED_VALUE"""),1.0)</f>
        <v>1</v>
      </c>
      <c r="U2457" s="2">
        <f>IFERROR(__xludf.DUMMYFUNCTION("""COMPUTED_VALUE"""),1.0)</f>
        <v>1</v>
      </c>
      <c r="V2457" s="1" t="str">
        <f>IFERROR(__xludf.DUMMYFUNCTION("""COMPUTED_VALUE"""),"Rose Gabilan")</f>
        <v>Rose Gabilan</v>
      </c>
      <c r="W2457" s="1" t="str">
        <f>IFERROR(__xludf.DUMMYFUNCTION("""COMPUTED_VALUE"""),"Affinity Support")</f>
        <v>Affinity Support</v>
      </c>
    </row>
    <row r="2458">
      <c r="O2458" s="1" t="str">
        <f>IFERROR(__xludf.DUMMYFUNCTION("""COMPUTED_VALUE"""),"2026 Feb")</f>
        <v>2026 Feb</v>
      </c>
      <c r="P2458" s="1" t="str">
        <f>IFERROR(__xludf.DUMMYFUNCTION("""COMPUTED_VALUE"""),"Admin Support")</f>
        <v>Admin Support</v>
      </c>
      <c r="Q2458" s="1" t="str">
        <f>IFERROR(__xludf.DUMMYFUNCTION("""COMPUTED_VALUE"""),"susann@canva.com")</f>
        <v>susann@canva.com</v>
      </c>
      <c r="R2458" s="1" t="str">
        <f>IFERROR(__xludf.DUMMYFUNCTION("""COMPUTED_VALUE"""),"Susann Dierich")</f>
        <v>Susann Dierich</v>
      </c>
      <c r="S2458" s="1"/>
      <c r="T2458" s="1">
        <f>IFERROR(__xludf.DUMMYFUNCTION("""COMPUTED_VALUE"""),1.0)</f>
        <v>1</v>
      </c>
      <c r="U2458" s="2">
        <f>IFERROR(__xludf.DUMMYFUNCTION("""COMPUTED_VALUE"""),1.0)</f>
        <v>1</v>
      </c>
      <c r="V2458" s="1" t="str">
        <f>IFERROR(__xludf.DUMMYFUNCTION("""COMPUTED_VALUE"""),"Tash Kelly")</f>
        <v>Tash Kelly</v>
      </c>
      <c r="W2458" s="1" t="str">
        <f>IFERROR(__xludf.DUMMYFUNCTION("""COMPUTED_VALUE"""),"Admin Support EMEA")</f>
        <v>Admin Support EMEA</v>
      </c>
    </row>
    <row r="2459">
      <c r="O2459" s="1" t="str">
        <f>IFERROR(__xludf.DUMMYFUNCTION("""COMPUTED_VALUE"""),"2026 Feb")</f>
        <v>2026 Feb</v>
      </c>
      <c r="P2459" s="1" t="str">
        <f>IFERROR(__xludf.DUMMYFUNCTION("""COMPUTED_VALUE"""),"Admin Support")</f>
        <v>Admin Support</v>
      </c>
      <c r="Q2459" s="1" t="str">
        <f>IFERROR(__xludf.DUMMYFUNCTION("""COMPUTED_VALUE"""),"skyles@canva.com")</f>
        <v>skyles@canva.com</v>
      </c>
      <c r="R2459" s="1" t="str">
        <f>IFERROR(__xludf.DUMMYFUNCTION("""COMPUTED_VALUE"""),"Sylvia Kyles")</f>
        <v>Sylvia Kyles</v>
      </c>
      <c r="S2459" s="1"/>
      <c r="T2459" s="1">
        <f>IFERROR(__xludf.DUMMYFUNCTION("""COMPUTED_VALUE"""),1.0)</f>
        <v>1</v>
      </c>
      <c r="U2459" s="2">
        <f>IFERROR(__xludf.DUMMYFUNCTION("""COMPUTED_VALUE"""),1.0)</f>
        <v>1</v>
      </c>
      <c r="V2459" s="1" t="str">
        <f>IFERROR(__xludf.DUMMYFUNCTION("""COMPUTED_VALUE"""),"Nate Vela")</f>
        <v>Nate Vela</v>
      </c>
      <c r="W2459" s="1" t="str">
        <f>IFERROR(__xludf.DUMMYFUNCTION("""COMPUTED_VALUE"""),"Admin Support NA")</f>
        <v>Admin Support NA</v>
      </c>
    </row>
    <row r="2460">
      <c r="O2460" s="1" t="str">
        <f>IFERROR(__xludf.DUMMYFUNCTION("""COMPUTED_VALUE"""),"2026 Feb")</f>
        <v>2026 Feb</v>
      </c>
      <c r="P2460" s="1" t="str">
        <f>IFERROR(__xludf.DUMMYFUNCTION("""COMPUTED_VALUE"""),"#N/A")</f>
        <v>#N/A</v>
      </c>
      <c r="Q2460" s="1" t="str">
        <f>IFERROR(__xludf.DUMMYFUNCTION("""COMPUTED_VALUE"""),"tammy@canva.com")</f>
        <v>tammy@canva.com</v>
      </c>
      <c r="R2460" s="1" t="str">
        <f>IFERROR(__xludf.DUMMYFUNCTION("""COMPUTED_VALUE"""),"Tammy Lustre")</f>
        <v>Tammy Lustre</v>
      </c>
      <c r="S2460" s="1"/>
      <c r="T2460" s="1">
        <f>IFERROR(__xludf.DUMMYFUNCTION("""COMPUTED_VALUE"""),72.0)</f>
        <v>72</v>
      </c>
      <c r="U2460" s="2">
        <f>IFERROR(__xludf.DUMMYFUNCTION("""COMPUTED_VALUE"""),72.0)</f>
        <v>72</v>
      </c>
      <c r="V2460" s="1" t="str">
        <f>IFERROR(__xludf.DUMMYFUNCTION("""COMPUTED_VALUE"""),"#N/A")</f>
        <v>#N/A</v>
      </c>
      <c r="W2460" s="1" t="str">
        <f>IFERROR(__xludf.DUMMYFUNCTION("""COMPUTED_VALUE"""),"PHL, Multilingual Support")</f>
        <v>PHL, Multilingual Support</v>
      </c>
    </row>
    <row r="2461">
      <c r="O2461" s="1" t="str">
        <f>IFERROR(__xludf.DUMMYFUNCTION("""COMPUTED_VALUE"""),"2026 Feb")</f>
        <v>2026 Feb</v>
      </c>
      <c r="P2461" s="1" t="str">
        <f>IFERROR(__xludf.DUMMYFUNCTION("""COMPUTED_VALUE"""),"Print Support")</f>
        <v>Print Support</v>
      </c>
      <c r="Q2461" s="1" t="str">
        <f>IFERROR(__xludf.DUMMYFUNCTION("""COMPUTED_VALUE"""),"theag@canva.com")</f>
        <v>theag@canva.com</v>
      </c>
      <c r="R2461" s="1" t="str">
        <f>IFERROR(__xludf.DUMMYFUNCTION("""COMPUTED_VALUE"""),"Thea Gelua")</f>
        <v>Thea Gelua</v>
      </c>
      <c r="S2461" s="1"/>
      <c r="T2461" s="1">
        <f>IFERROR(__xludf.DUMMYFUNCTION("""COMPUTED_VALUE"""),11.5)</f>
        <v>11.5</v>
      </c>
      <c r="U2461" s="2">
        <f>IFERROR(__xludf.DUMMYFUNCTION("""COMPUTED_VALUE"""),11.5)</f>
        <v>11.5</v>
      </c>
      <c r="V2461" s="1" t="str">
        <f>IFERROR(__xludf.DUMMYFUNCTION("""COMPUTED_VALUE"""),"Jen Momo")</f>
        <v>Jen Momo</v>
      </c>
      <c r="W2461" s="1" t="str">
        <f>IFERROR(__xludf.DUMMYFUNCTION("""COMPUTED_VALUE"""),"Print Support PH")</f>
        <v>Print Support PH</v>
      </c>
    </row>
    <row r="2462">
      <c r="O2462" s="1" t="str">
        <f>IFERROR(__xludf.DUMMYFUNCTION("""COMPUTED_VALUE"""),"2026 Feb")</f>
        <v>2026 Feb</v>
      </c>
      <c r="P2462" s="1" t="str">
        <f>IFERROR(__xludf.DUMMYFUNCTION("""COMPUTED_VALUE"""),"Print Support")</f>
        <v>Print Support</v>
      </c>
      <c r="Q2462" s="1" t="str">
        <f>IFERROR(__xludf.DUMMYFUNCTION("""COMPUTED_VALUE"""),"tia@canva.com")</f>
        <v>tia@canva.com</v>
      </c>
      <c r="R2462" s="1" t="str">
        <f>IFERROR(__xludf.DUMMYFUNCTION("""COMPUTED_VALUE"""),"Tia Tilanduca")</f>
        <v>Tia Tilanduca</v>
      </c>
      <c r="S2462" s="1"/>
      <c r="T2462" s="1">
        <f>IFERROR(__xludf.DUMMYFUNCTION("""COMPUTED_VALUE"""),11.08)</f>
        <v>11.08</v>
      </c>
      <c r="U2462" s="2">
        <f>IFERROR(__xludf.DUMMYFUNCTION("""COMPUTED_VALUE"""),11.08)</f>
        <v>11.08</v>
      </c>
      <c r="V2462" s="1" t="str">
        <f>IFERROR(__xludf.DUMMYFUNCTION("""COMPUTED_VALUE"""),"Louise Dianne Estrella")</f>
        <v>Louise Dianne Estrella</v>
      </c>
      <c r="W2462" s="1" t="str">
        <f>IFERROR(__xludf.DUMMYFUNCTION("""COMPUTED_VALUE"""),"Print Support PH")</f>
        <v>Print Support PH</v>
      </c>
    </row>
    <row r="2463">
      <c r="O2463" s="1" t="str">
        <f>IFERROR(__xludf.DUMMYFUNCTION("""COMPUTED_VALUE"""),"2026 Feb")</f>
        <v>2026 Feb</v>
      </c>
      <c r="P2463" s="1" t="str">
        <f>IFERROR(__xludf.DUMMYFUNCTION("""COMPUTED_VALUE"""),"Admin Support")</f>
        <v>Admin Support</v>
      </c>
      <c r="Q2463" s="1" t="str">
        <f>IFERROR(__xludf.DUMMYFUNCTION("""COMPUTED_VALUE"""),"tiara@canva.com")</f>
        <v>tiara@canva.com</v>
      </c>
      <c r="R2463" s="1" t="str">
        <f>IFERROR(__xludf.DUMMYFUNCTION("""COMPUTED_VALUE"""),"Tiara Samonte")</f>
        <v>Tiara Samonte</v>
      </c>
      <c r="S2463" s="1"/>
      <c r="T2463" s="1">
        <f>IFERROR(__xludf.DUMMYFUNCTION("""COMPUTED_VALUE"""),108.0)</f>
        <v>108</v>
      </c>
      <c r="U2463" s="2">
        <f>IFERROR(__xludf.DUMMYFUNCTION("""COMPUTED_VALUE"""),108.0)</f>
        <v>108</v>
      </c>
      <c r="V2463" s="1" t="str">
        <f>IFERROR(__xludf.DUMMYFUNCTION("""COMPUTED_VALUE"""),"AL Suarez")</f>
        <v>AL Suarez</v>
      </c>
      <c r="W2463" s="1" t="str">
        <f>IFERROR(__xludf.DUMMYFUNCTION("""COMPUTED_VALUE"""),"Advanced Billing &amp; Subscriptions")</f>
        <v>Advanced Billing &amp; Subscriptions</v>
      </c>
    </row>
    <row r="2464">
      <c r="O2464" s="1" t="str">
        <f>IFERROR(__xludf.DUMMYFUNCTION("""COMPUTED_VALUE"""),"2026 Feb")</f>
        <v>2026 Feb</v>
      </c>
      <c r="P2464" s="1" t="str">
        <f>IFERROR(__xludf.DUMMYFUNCTION("""COMPUTED_VALUE"""),"Segment-specific Support")</f>
        <v>Segment-specific Support</v>
      </c>
      <c r="Q2464" s="1" t="str">
        <f>IFERROR(__xludf.DUMMYFUNCTION("""COMPUTED_VALUE"""),"timdl@canva.com")</f>
        <v>timdl@canva.com</v>
      </c>
      <c r="R2464" s="1" t="str">
        <f>IFERROR(__xludf.DUMMYFUNCTION("""COMPUTED_VALUE"""),"Tim De Leon")</f>
        <v>Tim De Leon</v>
      </c>
      <c r="S2464" s="1"/>
      <c r="T2464" s="1"/>
      <c r="U2464" s="2">
        <f>IFERROR(__xludf.DUMMYFUNCTION("""COMPUTED_VALUE"""),0.0)</f>
        <v>0</v>
      </c>
      <c r="V2464" s="1" t="str">
        <f>IFERROR(__xludf.DUMMYFUNCTION("""COMPUTED_VALUE"""),"Aileen Dayanghirang")</f>
        <v>Aileen Dayanghirang</v>
      </c>
      <c r="W2464" s="1" t="str">
        <f>IFERROR(__xludf.DUMMYFUNCTION("""COMPUTED_VALUE"""),"Creators Support")</f>
        <v>Creators Support</v>
      </c>
    </row>
    <row r="2465">
      <c r="O2465" s="1" t="str">
        <f>IFERROR(__xludf.DUMMYFUNCTION("""COMPUTED_VALUE"""),"2026 Feb")</f>
        <v>2026 Feb</v>
      </c>
      <c r="P2465" s="1" t="str">
        <f>IFERROR(__xludf.DUMMYFUNCTION("""COMPUTED_VALUE"""),"Admin Support")</f>
        <v>Admin Support</v>
      </c>
      <c r="Q2465" s="1" t="str">
        <f>IFERROR(__xludf.DUMMYFUNCTION("""COMPUTED_VALUE"""),"cnuyda@canva.com")</f>
        <v>cnuyda@canva.com</v>
      </c>
      <c r="R2465" s="1" t="str">
        <f>IFERROR(__xludf.DUMMYFUNCTION("""COMPUTED_VALUE"""),"Toff Nuyda")</f>
        <v>Toff Nuyda</v>
      </c>
      <c r="S2465" s="1"/>
      <c r="T2465" s="1">
        <f>IFERROR(__xludf.DUMMYFUNCTION("""COMPUTED_VALUE"""),1.0)</f>
        <v>1</v>
      </c>
      <c r="U2465" s="2">
        <f>IFERROR(__xludf.DUMMYFUNCTION("""COMPUTED_VALUE"""),1.0)</f>
        <v>1</v>
      </c>
      <c r="V2465" s="1" t="str">
        <f>IFERROR(__xludf.DUMMYFUNCTION("""COMPUTED_VALUE"""),"Karla Mananghaya")</f>
        <v>Karla Mananghaya</v>
      </c>
      <c r="W2465" s="1" t="str">
        <f>IFERROR(__xludf.DUMMYFUNCTION("""COMPUTED_VALUE"""),"Admin Support Service Escalation Team")</f>
        <v>Admin Support Service Escalation Team</v>
      </c>
    </row>
    <row r="2466">
      <c r="O2466" s="1" t="str">
        <f>IFERROR(__xludf.DUMMYFUNCTION("""COMPUTED_VALUE"""),"2026 Feb")</f>
        <v>2026 Feb</v>
      </c>
      <c r="P2466" s="1" t="str">
        <f>IFERROR(__xludf.DUMMYFUNCTION("""COMPUTED_VALUE"""),"#N/A")</f>
        <v>#N/A</v>
      </c>
      <c r="Q2466" s="1" t="str">
        <f>IFERROR(__xludf.DUMMYFUNCTION("""COMPUTED_VALUE"""),"tofulajo@canva.com")</f>
        <v>tofulajo@canva.com</v>
      </c>
      <c r="R2466" s="1" t="str">
        <f>IFERROR(__xludf.DUMMYFUNCTION("""COMPUTED_VALUE"""),"Tofu Lajo")</f>
        <v>Tofu Lajo</v>
      </c>
      <c r="S2466" s="1"/>
      <c r="T2466" s="1">
        <f>IFERROR(__xludf.DUMMYFUNCTION("""COMPUTED_VALUE"""),36.57)</f>
        <v>36.57</v>
      </c>
      <c r="U2466" s="2">
        <f>IFERROR(__xludf.DUMMYFUNCTION("""COMPUTED_VALUE"""),36.57)</f>
        <v>36.57</v>
      </c>
      <c r="V2466" s="1" t="str">
        <f>IFERROR(__xludf.DUMMYFUNCTION("""COMPUTED_VALUE"""),"#N/A")</f>
        <v>#N/A</v>
      </c>
      <c r="W2466" s="1" t="str">
        <f>IFERROR(__xludf.DUMMYFUNCTION("""COMPUTED_VALUE"""),"High Sensitivity Support PH")</f>
        <v>High Sensitivity Support PH</v>
      </c>
    </row>
    <row r="2467">
      <c r="O2467" s="1" t="str">
        <f>IFERROR(__xludf.DUMMYFUNCTION("""COMPUTED_VALUE"""),"2026 Feb")</f>
        <v>2026 Feb</v>
      </c>
      <c r="P2467" s="1" t="str">
        <f>IFERROR(__xludf.DUMMYFUNCTION("""COMPUTED_VALUE"""),"Multilingual Support")</f>
        <v>Multilingual Support</v>
      </c>
      <c r="Q2467" s="1" t="str">
        <f>IFERROR(__xludf.DUMMYFUNCTION("""COMPUTED_VALUE"""),"tricia.p@canva.com")</f>
        <v>tricia.p@canva.com</v>
      </c>
      <c r="R2467" s="1" t="str">
        <f>IFERROR(__xludf.DUMMYFUNCTION("""COMPUTED_VALUE"""),"Tricia Pasagui")</f>
        <v>Tricia Pasagui</v>
      </c>
      <c r="S2467" s="1"/>
      <c r="T2467" s="1">
        <f>IFERROR(__xludf.DUMMYFUNCTION("""COMPUTED_VALUE"""),35.33)</f>
        <v>35.33</v>
      </c>
      <c r="U2467" s="2">
        <f>IFERROR(__xludf.DUMMYFUNCTION("""COMPUTED_VALUE"""),35.33)</f>
        <v>35.33</v>
      </c>
      <c r="V2467" s="1" t="str">
        <f>IFERROR(__xludf.DUMMYFUNCTION("""COMPUTED_VALUE"""),"Arlene Maurillo")</f>
        <v>Arlene Maurillo</v>
      </c>
      <c r="W2467" s="1" t="str">
        <f>IFERROR(__xludf.DUMMYFUNCTION("""COMPUTED_VALUE"""),"PHL, Multilingual Support")</f>
        <v>PHL, Multilingual Support</v>
      </c>
    </row>
    <row r="2468">
      <c r="O2468" s="1" t="str">
        <f>IFERROR(__xludf.DUMMYFUNCTION("""COMPUTED_VALUE"""),"2026 Feb")</f>
        <v>2026 Feb</v>
      </c>
      <c r="P2468" s="1" t="str">
        <f>IFERROR(__xludf.DUMMYFUNCTION("""COMPUTED_VALUE"""),"High Sensitivity Support")</f>
        <v>High Sensitivity Support</v>
      </c>
      <c r="Q2468" s="1" t="str">
        <f>IFERROR(__xludf.DUMMYFUNCTION("""COMPUTED_VALUE"""),"trina@canva.com")</f>
        <v>trina@canva.com</v>
      </c>
      <c r="R2468" s="1" t="str">
        <f>IFERROR(__xludf.DUMMYFUNCTION("""COMPUTED_VALUE"""),"Trina Salcedo")</f>
        <v>Trina Salcedo</v>
      </c>
      <c r="S2468" s="1"/>
      <c r="T2468" s="1">
        <f>IFERROR(__xludf.DUMMYFUNCTION("""COMPUTED_VALUE"""),3.25)</f>
        <v>3.25</v>
      </c>
      <c r="U2468" s="2">
        <f>IFERROR(__xludf.DUMMYFUNCTION("""COMPUTED_VALUE"""),3.25)</f>
        <v>3.25</v>
      </c>
      <c r="V2468" s="1" t="str">
        <f>IFERROR(__xludf.DUMMYFUNCTION("""COMPUTED_VALUE"""),"Xandy Azarcon")</f>
        <v>Xandy Azarcon</v>
      </c>
      <c r="W2468" s="1" t="str">
        <f>IFERROR(__xludf.DUMMYFUNCTION("""COMPUTED_VALUE"""),"High Sensitivity Support PH")</f>
        <v>High Sensitivity Support PH</v>
      </c>
    </row>
    <row r="2469">
      <c r="O2469" s="1" t="str">
        <f>IFERROR(__xludf.DUMMYFUNCTION("""COMPUTED_VALUE"""),"2026 Feb")</f>
        <v>2026 Feb</v>
      </c>
      <c r="P2469" s="1" t="str">
        <f>IFERROR(__xludf.DUMMYFUNCTION("""COMPUTED_VALUE"""),"High Sensitivity Support")</f>
        <v>High Sensitivity Support</v>
      </c>
      <c r="Q2469" s="1" t="str">
        <f>IFERROR(__xludf.DUMMYFUNCTION("""COMPUTED_VALUE"""),"trishlee@canva.com")</f>
        <v>trishlee@canva.com</v>
      </c>
      <c r="R2469" s="1" t="str">
        <f>IFERROR(__xludf.DUMMYFUNCTION("""COMPUTED_VALUE"""),"Trish Lee")</f>
        <v>Trish Lee</v>
      </c>
      <c r="S2469" s="1"/>
      <c r="T2469" s="1">
        <f>IFERROR(__xludf.DUMMYFUNCTION("""COMPUTED_VALUE"""),6.5)</f>
        <v>6.5</v>
      </c>
      <c r="U2469" s="2">
        <f>IFERROR(__xludf.DUMMYFUNCTION("""COMPUTED_VALUE"""),6.5)</f>
        <v>6.5</v>
      </c>
      <c r="V2469" s="1" t="str">
        <f>IFERROR(__xludf.DUMMYFUNCTION("""COMPUTED_VALUE"""),"Issi Afable")</f>
        <v>Issi Afable</v>
      </c>
      <c r="W2469" s="1" t="str">
        <f>IFERROR(__xludf.DUMMYFUNCTION("""COMPUTED_VALUE"""),"High Sensitivity Support PH")</f>
        <v>High Sensitivity Support PH</v>
      </c>
    </row>
    <row r="2470">
      <c r="O2470" s="1" t="str">
        <f>IFERROR(__xludf.DUMMYFUNCTION("""COMPUTED_VALUE"""),"2026 Feb")</f>
        <v>2026 Feb</v>
      </c>
      <c r="P2470" s="1" t="str">
        <f>IFERROR(__xludf.DUMMYFUNCTION("""COMPUTED_VALUE"""),"Print Support")</f>
        <v>Print Support</v>
      </c>
      <c r="Q2470" s="1" t="str">
        <f>IFERROR(__xludf.DUMMYFUNCTION("""COMPUTED_VALUE"""),"trissamiguel@canva.com")</f>
        <v>trissamiguel@canva.com</v>
      </c>
      <c r="R2470" s="1" t="str">
        <f>IFERROR(__xludf.DUMMYFUNCTION("""COMPUTED_VALUE"""),"Trissa Miguel")</f>
        <v>Trissa Miguel</v>
      </c>
      <c r="S2470" s="1"/>
      <c r="T2470" s="1">
        <f>IFERROR(__xludf.DUMMYFUNCTION("""COMPUTED_VALUE"""),1.0)</f>
        <v>1</v>
      </c>
      <c r="U2470" s="2">
        <f>IFERROR(__xludf.DUMMYFUNCTION("""COMPUTED_VALUE"""),1.0)</f>
        <v>1</v>
      </c>
      <c r="V2470" s="1" t="str">
        <f>IFERROR(__xludf.DUMMYFUNCTION("""COMPUTED_VALUE"""),"G-Anne Murillo")</f>
        <v>G-Anne Murillo</v>
      </c>
      <c r="W2470" s="1" t="str">
        <f>IFERROR(__xludf.DUMMYFUNCTION("""COMPUTED_VALUE"""),"Print Design Support")</f>
        <v>Print Design Support</v>
      </c>
    </row>
    <row r="2471">
      <c r="O2471" s="1" t="str">
        <f>IFERROR(__xludf.DUMMYFUNCTION("""COMPUTED_VALUE"""),"2026 Feb")</f>
        <v>2026 Feb</v>
      </c>
      <c r="P2471" s="1" t="str">
        <f>IFERROR(__xludf.DUMMYFUNCTION("""COMPUTED_VALUE"""),"Print Support")</f>
        <v>Print Support</v>
      </c>
      <c r="Q2471" s="1" t="str">
        <f>IFERROR(__xludf.DUMMYFUNCTION("""COMPUTED_VALUE"""),"vlad.b@canva.com")</f>
        <v>vlad.b@canva.com</v>
      </c>
      <c r="R2471" s="1" t="str">
        <f>IFERROR(__xludf.DUMMYFUNCTION("""COMPUTED_VALUE"""),"Vladimir Besana")</f>
        <v>Vladimir Besana</v>
      </c>
      <c r="S2471" s="1"/>
      <c r="T2471" s="1">
        <f>IFERROR(__xludf.DUMMYFUNCTION("""COMPUTED_VALUE"""),1.0)</f>
        <v>1</v>
      </c>
      <c r="U2471" s="2">
        <f>IFERROR(__xludf.DUMMYFUNCTION("""COMPUTED_VALUE"""),1.0)</f>
        <v>1</v>
      </c>
      <c r="V2471" s="1" t="str">
        <f>IFERROR(__xludf.DUMMYFUNCTION("""COMPUTED_VALUE"""),"Jan Domingo")</f>
        <v>Jan Domingo</v>
      </c>
      <c r="W2471" s="1" t="str">
        <f>IFERROR(__xludf.DUMMYFUNCTION("""COMPUTED_VALUE"""),"Print Design Support")</f>
        <v>Print Design Support</v>
      </c>
    </row>
    <row r="2472">
      <c r="O2472" s="1" t="str">
        <f>IFERROR(__xludf.DUMMYFUNCTION("""COMPUTED_VALUE"""),"2026 Feb")</f>
        <v>2026 Feb</v>
      </c>
      <c r="P2472" s="1" t="str">
        <f>IFERROR(__xludf.DUMMYFUNCTION("""COMPUTED_VALUE"""),"Print Support")</f>
        <v>Print Support</v>
      </c>
      <c r="Q2472" s="1" t="str">
        <f>IFERROR(__xludf.DUMMYFUNCTION("""COMPUTED_VALUE"""),"wesleyp@canva.com")</f>
        <v>wesleyp@canva.com</v>
      </c>
      <c r="R2472" s="1" t="str">
        <f>IFERROR(__xludf.DUMMYFUNCTION("""COMPUTED_VALUE"""),"Wes Paira")</f>
        <v>Wes Paira</v>
      </c>
      <c r="S2472" s="1"/>
      <c r="T2472" s="1">
        <f>IFERROR(__xludf.DUMMYFUNCTION("""COMPUTED_VALUE"""),9.75)</f>
        <v>9.75</v>
      </c>
      <c r="U2472" s="2">
        <f>IFERROR(__xludf.DUMMYFUNCTION("""COMPUTED_VALUE"""),9.75)</f>
        <v>9.75</v>
      </c>
      <c r="V2472" s="1" t="str">
        <f>IFERROR(__xludf.DUMMYFUNCTION("""COMPUTED_VALUE"""),"Memae Faustino")</f>
        <v>Memae Faustino</v>
      </c>
      <c r="W2472" s="1" t="str">
        <f>IFERROR(__xludf.DUMMYFUNCTION("""COMPUTED_VALUE"""),"Print Support PH")</f>
        <v>Print Support PH</v>
      </c>
    </row>
    <row r="2473">
      <c r="O2473" s="1" t="str">
        <f>IFERROR(__xludf.DUMMYFUNCTION("""COMPUTED_VALUE"""),"2026 Feb")</f>
        <v>2026 Feb</v>
      </c>
      <c r="P2473" s="1" t="str">
        <f>IFERROR(__xludf.DUMMYFUNCTION("""COMPUTED_VALUE"""),"Core Product Support")</f>
        <v>Core Product Support</v>
      </c>
      <c r="Q2473" s="1" t="str">
        <f>IFERROR(__xludf.DUMMYFUNCTION("""COMPUTED_VALUE"""),"xy@canva.com")</f>
        <v>xy@canva.com</v>
      </c>
      <c r="R2473" s="1" t="str">
        <f>IFERROR(__xludf.DUMMYFUNCTION("""COMPUTED_VALUE"""),"Xyren Bulan")</f>
        <v>Xyren Bulan</v>
      </c>
      <c r="S2473" s="1">
        <f>IFERROR(__xludf.DUMMYFUNCTION("""COMPUTED_VALUE"""),0.5)</f>
        <v>0.5</v>
      </c>
      <c r="T2473" s="1">
        <f>IFERROR(__xludf.DUMMYFUNCTION("""COMPUTED_VALUE"""),10.58)</f>
        <v>10.58</v>
      </c>
      <c r="U2473" s="2">
        <f>IFERROR(__xludf.DUMMYFUNCTION("""COMPUTED_VALUE"""),11.08)</f>
        <v>11.08</v>
      </c>
      <c r="V2473" s="1" t="str">
        <f>IFERROR(__xludf.DUMMYFUNCTION("""COMPUTED_VALUE"""),"Vinz Lazaro")</f>
        <v>Vinz Lazaro</v>
      </c>
      <c r="W2473" s="1" t="str">
        <f>IFERROR(__xludf.DUMMYFUNCTION("""COMPUTED_VALUE"""),"Advanced Product Support")</f>
        <v>Advanced Product Support</v>
      </c>
    </row>
    <row r="2474">
      <c r="O2474" s="1" t="str">
        <f>IFERROR(__xludf.DUMMYFUNCTION("""COMPUTED_VALUE"""),"2026 Feb")</f>
        <v>2026 Feb</v>
      </c>
      <c r="P2474" s="1" t="str">
        <f>IFERROR(__xludf.DUMMYFUNCTION("""COMPUTED_VALUE"""),"Print Support")</f>
        <v>Print Support</v>
      </c>
      <c r="Q2474" s="1" t="str">
        <f>IFERROR(__xludf.DUMMYFUNCTION("""COMPUTED_VALUE"""),"ysabel@canva.com")</f>
        <v>ysabel@canva.com</v>
      </c>
      <c r="R2474" s="1" t="str">
        <f>IFERROR(__xludf.DUMMYFUNCTION("""COMPUTED_VALUE"""),"Ysabel Locsin")</f>
        <v>Ysabel Locsin</v>
      </c>
      <c r="S2474" s="1"/>
      <c r="T2474" s="1">
        <f>IFERROR(__xludf.DUMMYFUNCTION("""COMPUTED_VALUE"""),1.0)</f>
        <v>1</v>
      </c>
      <c r="U2474" s="2">
        <f>IFERROR(__xludf.DUMMYFUNCTION("""COMPUTED_VALUE"""),1.0)</f>
        <v>1</v>
      </c>
      <c r="V2474" s="1" t="str">
        <f>IFERROR(__xludf.DUMMYFUNCTION("""COMPUTED_VALUE"""),"Rei De Jesus")</f>
        <v>Rei De Jesus</v>
      </c>
      <c r="W2474" s="1" t="str">
        <f>IFERROR(__xludf.DUMMYFUNCTION("""COMPUTED_VALUE"""),"Print Design Support")</f>
        <v>Print Design Support</v>
      </c>
    </row>
    <row r="2475">
      <c r="O2475" s="1" t="str">
        <f>IFERROR(__xludf.DUMMYFUNCTION("""COMPUTED_VALUE"""),"2026 Feb")</f>
        <v>2026 Feb</v>
      </c>
      <c r="P2475" s="1" t="str">
        <f>IFERROR(__xludf.DUMMYFUNCTION("""COMPUTED_VALUE"""),"Core Product Support")</f>
        <v>Core Product Support</v>
      </c>
      <c r="Q2475" s="1" t="str">
        <f>IFERROR(__xludf.DUMMYFUNCTION("""COMPUTED_VALUE"""),"ymagno@canva.com")</f>
        <v>ymagno@canva.com</v>
      </c>
      <c r="R2475" s="1" t="str">
        <f>IFERROR(__xludf.DUMMYFUNCTION("""COMPUTED_VALUE"""),"Ysabel Magno")</f>
        <v>Ysabel Magno</v>
      </c>
      <c r="S2475" s="1"/>
      <c r="T2475" s="1">
        <f>IFERROR(__xludf.DUMMYFUNCTION("""COMPUTED_VALUE"""),6.75)</f>
        <v>6.75</v>
      </c>
      <c r="U2475" s="2">
        <f>IFERROR(__xludf.DUMMYFUNCTION("""COMPUTED_VALUE"""),6.75)</f>
        <v>6.75</v>
      </c>
      <c r="V2475" s="1" t="str">
        <f>IFERROR(__xludf.DUMMYFUNCTION("""COMPUTED_VALUE"""),"Renette Bok")</f>
        <v>Renette Bok</v>
      </c>
      <c r="W2475" s="1" t="str">
        <f>IFERROR(__xludf.DUMMYFUNCTION("""COMPUTED_VALUE"""),"Advanced Billing &amp; Subscriptions")</f>
        <v>Advanced Billing &amp; Subscriptions</v>
      </c>
    </row>
    <row r="2476">
      <c r="O2476" s="1" t="str">
        <f>IFERROR(__xludf.DUMMYFUNCTION("""COMPUTED_VALUE"""),"2026 Feb")</f>
        <v>2026 Feb</v>
      </c>
      <c r="P2476" s="1" t="str">
        <f>IFERROR(__xludf.DUMMYFUNCTION("""COMPUTED_VALUE"""),"Multilingual Support")</f>
        <v>Multilingual Support</v>
      </c>
      <c r="Q2476" s="1" t="str">
        <f>IFERROR(__xludf.DUMMYFUNCTION("""COMPUTED_VALUE"""),"iuliia@canva.com")</f>
        <v>iuliia@canva.com</v>
      </c>
      <c r="R2476" s="1" t="str">
        <f>IFERROR(__xludf.DUMMYFUNCTION("""COMPUTED_VALUE"""),"Yulya Shevkunova")</f>
        <v>Yulya Shevkunova</v>
      </c>
      <c r="S2476" s="1"/>
      <c r="T2476" s="1">
        <f>IFERROR(__xludf.DUMMYFUNCTION("""COMPUTED_VALUE"""),40.0)</f>
        <v>40</v>
      </c>
      <c r="U2476" s="2">
        <f>IFERROR(__xludf.DUMMYFUNCTION("""COMPUTED_VALUE"""),40.0)</f>
        <v>40</v>
      </c>
      <c r="V2476" s="1" t="str">
        <f>IFERROR(__xludf.DUMMYFUNCTION("""COMPUTED_VALUE"""),"Arlene Maurillo")</f>
        <v>Arlene Maurillo</v>
      </c>
      <c r="W2476" s="1" t="str">
        <f>IFERROR(__xludf.DUMMYFUNCTION("""COMPUTED_VALUE"""),"PHL, Multilingual Support")</f>
        <v>PHL, Multilingual Support</v>
      </c>
    </row>
    <row r="2477">
      <c r="O2477" s="1" t="str">
        <f>IFERROR(__xludf.DUMMYFUNCTION("""COMPUTED_VALUE"""),"2026 Feb")</f>
        <v>2026 Feb</v>
      </c>
      <c r="P2477" s="1" t="str">
        <f>IFERROR(__xludf.DUMMYFUNCTION("""COMPUTED_VALUE"""),"Core Product Support")</f>
        <v>Core Product Support</v>
      </c>
      <c r="Q2477" s="1" t="str">
        <f>IFERROR(__xludf.DUMMYFUNCTION("""COMPUTED_VALUE"""),"yumi@canva.com")</f>
        <v>yumi@canva.com</v>
      </c>
      <c r="R2477" s="1" t="str">
        <f>IFERROR(__xludf.DUMMYFUNCTION("""COMPUTED_VALUE"""),"Yumi Tominaga")</f>
        <v>Yumi Tominaga</v>
      </c>
      <c r="S2477" s="1"/>
      <c r="T2477" s="1">
        <f>IFERROR(__xludf.DUMMYFUNCTION("""COMPUTED_VALUE"""),16.92)</f>
        <v>16.92</v>
      </c>
      <c r="U2477" s="2">
        <f>IFERROR(__xludf.DUMMYFUNCTION("""COMPUTED_VALUE"""),16.92)</f>
        <v>16.92</v>
      </c>
      <c r="V2477" s="1" t="str">
        <f>IFERROR(__xludf.DUMMYFUNCTION("""COMPUTED_VALUE"""),"Ana Lazaro")</f>
        <v>Ana Lazaro</v>
      </c>
      <c r="W2477" s="1" t="str">
        <f>IFERROR(__xludf.DUMMYFUNCTION("""COMPUTED_VALUE"""),"Advanced Billing &amp; Subscriptions")</f>
        <v>Advanced Billing &amp; Subscriptions</v>
      </c>
    </row>
    <row r="2478">
      <c r="O2478" s="1" t="str">
        <f>IFERROR(__xludf.DUMMYFUNCTION("""COMPUTED_VALUE"""),"2026 Feb")</f>
        <v>2026 Feb</v>
      </c>
      <c r="P2478" s="1" t="str">
        <f>IFERROR(__xludf.DUMMYFUNCTION("""COMPUTED_VALUE"""),"Core Product Support")</f>
        <v>Core Product Support</v>
      </c>
      <c r="Q2478" s="1" t="str">
        <f>IFERROR(__xludf.DUMMYFUNCTION("""COMPUTED_VALUE"""),"yvette@canva.com")</f>
        <v>yvette@canva.com</v>
      </c>
      <c r="R2478" s="1" t="str">
        <f>IFERROR(__xludf.DUMMYFUNCTION("""COMPUTED_VALUE"""),"Yvette Nogoy")</f>
        <v>Yvette Nogoy</v>
      </c>
      <c r="S2478" s="1">
        <f>IFERROR(__xludf.DUMMYFUNCTION("""COMPUTED_VALUE"""),1.5)</f>
        <v>1.5</v>
      </c>
      <c r="T2478" s="1">
        <f>IFERROR(__xludf.DUMMYFUNCTION("""COMPUTED_VALUE"""),9.25)</f>
        <v>9.25</v>
      </c>
      <c r="U2478" s="2">
        <f>IFERROR(__xludf.DUMMYFUNCTION("""COMPUTED_VALUE"""),10.75)</f>
        <v>10.75</v>
      </c>
      <c r="V2478" s="1" t="str">
        <f>IFERROR(__xludf.DUMMYFUNCTION("""COMPUTED_VALUE"""),"Jelyn Elmido")</f>
        <v>Jelyn Elmido</v>
      </c>
      <c r="W2478" s="1" t="str">
        <f>IFERROR(__xludf.DUMMYFUNCTION("""COMPUTED_VALUE"""),"Core Product Support Escalation Team")</f>
        <v>Core Product Support Escalation Team</v>
      </c>
    </row>
    <row r="2479">
      <c r="O2479" s="1" t="str">
        <f>IFERROR(__xludf.DUMMYFUNCTION("""COMPUTED_VALUE"""),"2026 Feb")</f>
        <v>2026 Feb</v>
      </c>
      <c r="P2479" s="1" t="str">
        <f>IFERROR(__xludf.DUMMYFUNCTION("""COMPUTED_VALUE"""),"Admin Support")</f>
        <v>Admin Support</v>
      </c>
      <c r="Q2479" s="1" t="str">
        <f>IFERROR(__xludf.DUMMYFUNCTION("""COMPUTED_VALUE"""),"yvonne@canva.com")</f>
        <v>yvonne@canva.com</v>
      </c>
      <c r="R2479" s="1" t="str">
        <f>IFERROR(__xludf.DUMMYFUNCTION("""COMPUTED_VALUE"""),"Yvonne Romasanta")</f>
        <v>Yvonne Romasanta</v>
      </c>
      <c r="S2479" s="1"/>
      <c r="T2479" s="1">
        <f>IFERROR(__xludf.DUMMYFUNCTION("""COMPUTED_VALUE"""),2.75)</f>
        <v>2.75</v>
      </c>
      <c r="U2479" s="2">
        <f>IFERROR(__xludf.DUMMYFUNCTION("""COMPUTED_VALUE"""),2.75)</f>
        <v>2.75</v>
      </c>
      <c r="V2479" s="1" t="str">
        <f>IFERROR(__xludf.DUMMYFUNCTION("""COMPUTED_VALUE"""),"Pau Palmero")</f>
        <v>Pau Palmero</v>
      </c>
      <c r="W2479" s="1" t="str">
        <f>IFERROR(__xludf.DUMMYFUNCTION("""COMPUTED_VALUE"""),"Admin Omni Support")</f>
        <v>Admin Omni Support</v>
      </c>
    </row>
    <row r="2480">
      <c r="O2480" s="1" t="str">
        <f>IFERROR(__xludf.DUMMYFUNCTION("""COMPUTED_VALUE"""),"2026 Feb")</f>
        <v>2026 Feb</v>
      </c>
      <c r="P2480" s="1" t="str">
        <f>IFERROR(__xludf.DUMMYFUNCTION("""COMPUTED_VALUE"""),"Print Support")</f>
        <v>Print Support</v>
      </c>
      <c r="Q2480" s="1" t="str">
        <f>IFERROR(__xludf.DUMMYFUNCTION("""COMPUTED_VALUE"""),"zippy@canva.com")</f>
        <v>zippy@canva.com</v>
      </c>
      <c r="R2480" s="1" t="str">
        <f>IFERROR(__xludf.DUMMYFUNCTION("""COMPUTED_VALUE"""),"Zipporah Duque")</f>
        <v>Zipporah Duque</v>
      </c>
      <c r="S2480" s="1"/>
      <c r="T2480" s="1">
        <f>IFERROR(__xludf.DUMMYFUNCTION("""COMPUTED_VALUE"""),10.75)</f>
        <v>10.75</v>
      </c>
      <c r="U2480" s="2">
        <f>IFERROR(__xludf.DUMMYFUNCTION("""COMPUTED_VALUE"""),10.75)</f>
        <v>10.75</v>
      </c>
      <c r="V2480" s="1" t="str">
        <f>IFERROR(__xludf.DUMMYFUNCTION("""COMPUTED_VALUE"""),"Jen Momo")</f>
        <v>Jen Momo</v>
      </c>
      <c r="W2480" s="1" t="str">
        <f>IFERROR(__xludf.DUMMYFUNCTION("""COMPUTED_VALUE"""),"Print Support PH")</f>
        <v>Print Support PH</v>
      </c>
    </row>
    <row r="2481">
      <c r="O2481" s="1" t="str">
        <f>IFERROR(__xludf.DUMMYFUNCTION("""COMPUTED_VALUE"""),"2026 Mar")</f>
        <v>2026 Mar</v>
      </c>
      <c r="P2481" s="1" t="str">
        <f>IFERROR(__xludf.DUMMYFUNCTION("""COMPUTED_VALUE"""),"Segment-specific Support")</f>
        <v>Segment-specific Support</v>
      </c>
      <c r="Q2481" s="1" t="str">
        <f>IFERROR(__xludf.DUMMYFUNCTION("""COMPUTED_VALUE"""),"triplea@canva.com")</f>
        <v>triplea@canva.com</v>
      </c>
      <c r="R2481" s="1" t="str">
        <f>IFERROR(__xludf.DUMMYFUNCTION("""COMPUTED_VALUE"""),"AA Abong")</f>
        <v>AA Abong</v>
      </c>
      <c r="S2481" s="1"/>
      <c r="T2481" s="1"/>
      <c r="U2481" s="2">
        <f>IFERROR(__xludf.DUMMYFUNCTION("""COMPUTED_VALUE"""),0.0)</f>
        <v>0</v>
      </c>
      <c r="V2481" s="1" t="str">
        <f>IFERROR(__xludf.DUMMYFUNCTION("""COMPUTED_VALUE"""),"Jonathan Dimaculangan")</f>
        <v>Jonathan Dimaculangan</v>
      </c>
      <c r="W2481" s="1" t="str">
        <f>IFERROR(__xludf.DUMMYFUNCTION("""COMPUTED_VALUE"""),"Flourish Support")</f>
        <v>Flourish Support</v>
      </c>
    </row>
    <row r="2482">
      <c r="O2482" s="1" t="str">
        <f>IFERROR(__xludf.DUMMYFUNCTION("""COMPUTED_VALUE"""),"2026 Mar")</f>
        <v>2026 Mar</v>
      </c>
      <c r="P2482" s="1" t="str">
        <f>IFERROR(__xludf.DUMMYFUNCTION("""COMPUTED_VALUE"""),"Core Product Support")</f>
        <v>Core Product Support</v>
      </c>
      <c r="Q2482" s="1" t="str">
        <f>IFERROR(__xludf.DUMMYFUNCTION("""COMPUTED_VALUE"""),"adrielcarlosv@canva.com")</f>
        <v>adrielcarlosv@canva.com</v>
      </c>
      <c r="R2482" s="1" t="str">
        <f>IFERROR(__xludf.DUMMYFUNCTION("""COMPUTED_VALUE"""),"Adriel Vicencio")</f>
        <v>Adriel Vicencio</v>
      </c>
      <c r="S2482" s="1">
        <f>IFERROR(__xludf.DUMMYFUNCTION("""COMPUTED_VALUE"""),1.0)</f>
        <v>1</v>
      </c>
      <c r="T2482" s="1">
        <f>IFERROR(__xludf.DUMMYFUNCTION("""COMPUTED_VALUE"""),6.75)</f>
        <v>6.75</v>
      </c>
      <c r="U2482" s="2">
        <f>IFERROR(__xludf.DUMMYFUNCTION("""COMPUTED_VALUE"""),7.75)</f>
        <v>7.75</v>
      </c>
      <c r="V2482" s="1" t="str">
        <f>IFERROR(__xludf.DUMMYFUNCTION("""COMPUTED_VALUE"""),"Jem Mondoñedo")</f>
        <v>Jem Mondoñedo</v>
      </c>
      <c r="W2482" s="1" t="str">
        <f>IFERROR(__xludf.DUMMYFUNCTION("""COMPUTED_VALUE"""),"Advanced Billing &amp; Subscriptions")</f>
        <v>Advanced Billing &amp; Subscriptions</v>
      </c>
    </row>
    <row r="2483">
      <c r="O2483" s="1" t="str">
        <f>IFERROR(__xludf.DUMMYFUNCTION("""COMPUTED_VALUE"""),"2026 Mar")</f>
        <v>2026 Mar</v>
      </c>
      <c r="P2483" s="1" t="str">
        <f>IFERROR(__xludf.DUMMYFUNCTION("""COMPUTED_VALUE"""),"Admin Support")</f>
        <v>Admin Support</v>
      </c>
      <c r="Q2483" s="1" t="str">
        <f>IFERROR(__xludf.DUMMYFUNCTION("""COMPUTED_VALUE"""),"agathartt@canva.com")</f>
        <v>agathartt@canva.com</v>
      </c>
      <c r="R2483" s="1" t="str">
        <f>IFERROR(__xludf.DUMMYFUNCTION("""COMPUTED_VALUE"""),"Agatha Torres")</f>
        <v>Agatha Torres</v>
      </c>
      <c r="S2483" s="1"/>
      <c r="T2483" s="1">
        <f>IFERROR(__xludf.DUMMYFUNCTION("""COMPUTED_VALUE"""),4.0)</f>
        <v>4</v>
      </c>
      <c r="U2483" s="2">
        <f>IFERROR(__xludf.DUMMYFUNCTION("""COMPUTED_VALUE"""),4.0)</f>
        <v>4</v>
      </c>
      <c r="V2483" s="1" t="str">
        <f>IFERROR(__xludf.DUMMYFUNCTION("""COMPUTED_VALUE"""),"AL Suarez")</f>
        <v>AL Suarez</v>
      </c>
      <c r="W2483" s="1" t="str">
        <f>IFERROR(__xludf.DUMMYFUNCTION("""COMPUTED_VALUE"""),"Advanced Billing &amp; Subscriptions")</f>
        <v>Advanced Billing &amp; Subscriptions</v>
      </c>
    </row>
    <row r="2484">
      <c r="O2484" s="1" t="str">
        <f>IFERROR(__xludf.DUMMYFUNCTION("""COMPUTED_VALUE"""),"2026 Mar")</f>
        <v>2026 Mar</v>
      </c>
      <c r="P2484" s="1" t="str">
        <f>IFERROR(__xludf.DUMMYFUNCTION("""COMPUTED_VALUE"""),"Print Support")</f>
        <v>Print Support</v>
      </c>
      <c r="Q2484" s="1" t="str">
        <f>IFERROR(__xludf.DUMMYFUNCTION("""COMPUTED_VALUE"""),"aileen.a@canva.com")</f>
        <v>aileen.a@canva.com</v>
      </c>
      <c r="R2484" s="1" t="str">
        <f>IFERROR(__xludf.DUMMYFUNCTION("""COMPUTED_VALUE"""),"Aileen Alipio")</f>
        <v>Aileen Alipio</v>
      </c>
      <c r="S2484" s="1"/>
      <c r="T2484" s="1">
        <f>IFERROR(__xludf.DUMMYFUNCTION("""COMPUTED_VALUE"""),18.0)</f>
        <v>18</v>
      </c>
      <c r="U2484" s="2">
        <f>IFERROR(__xludf.DUMMYFUNCTION("""COMPUTED_VALUE"""),18.0)</f>
        <v>18</v>
      </c>
      <c r="V2484" s="1" t="str">
        <f>IFERROR(__xludf.DUMMYFUNCTION("""COMPUTED_VALUE"""),"Gem Agoncillo")</f>
        <v>Gem Agoncillo</v>
      </c>
      <c r="W2484" s="1" t="str">
        <f>IFERROR(__xludf.DUMMYFUNCTION("""COMPUTED_VALUE"""),"Print Design Support")</f>
        <v>Print Design Support</v>
      </c>
    </row>
    <row r="2485">
      <c r="O2485" s="1" t="str">
        <f>IFERROR(__xludf.DUMMYFUNCTION("""COMPUTED_VALUE"""),"2026 Mar")</f>
        <v>2026 Mar</v>
      </c>
      <c r="P2485" s="1" t="str">
        <f>IFERROR(__xludf.DUMMYFUNCTION("""COMPUTED_VALUE"""),"Core Product Support")</f>
        <v>Core Product Support</v>
      </c>
      <c r="Q2485" s="1" t="str">
        <f>IFERROR(__xludf.DUMMYFUNCTION("""COMPUTED_VALUE"""),"ailyn@canva.com")</f>
        <v>ailyn@canva.com</v>
      </c>
      <c r="R2485" s="1" t="str">
        <f>IFERROR(__xludf.DUMMYFUNCTION("""COMPUTED_VALUE"""),"Ailyn Grana")</f>
        <v>Ailyn Grana</v>
      </c>
      <c r="S2485" s="1">
        <f>IFERROR(__xludf.DUMMYFUNCTION("""COMPUTED_VALUE"""),0.5)</f>
        <v>0.5</v>
      </c>
      <c r="T2485" s="1">
        <f>IFERROR(__xludf.DUMMYFUNCTION("""COMPUTED_VALUE"""),6.75)</f>
        <v>6.75</v>
      </c>
      <c r="U2485" s="2">
        <f>IFERROR(__xludf.DUMMYFUNCTION("""COMPUTED_VALUE"""),7.25)</f>
        <v>7.25</v>
      </c>
      <c r="V2485" s="1" t="str">
        <f>IFERROR(__xludf.DUMMYFUNCTION("""COMPUTED_VALUE"""),"Belle Bentazal")</f>
        <v>Belle Bentazal</v>
      </c>
      <c r="W2485" s="1" t="str">
        <f>IFERROR(__xludf.DUMMYFUNCTION("""COMPUTED_VALUE"""),"Advanced Product Support")</f>
        <v>Advanced Product Support</v>
      </c>
    </row>
    <row r="2486">
      <c r="O2486" s="1" t="str">
        <f>IFERROR(__xludf.DUMMYFUNCTION("""COMPUTED_VALUE"""),"2026 Mar")</f>
        <v>2026 Mar</v>
      </c>
      <c r="P2486" s="1" t="str">
        <f>IFERROR(__xludf.DUMMYFUNCTION("""COMPUTED_VALUE"""),"Print Support")</f>
        <v>Print Support</v>
      </c>
      <c r="Q2486" s="1" t="str">
        <f>IFERROR(__xludf.DUMMYFUNCTION("""COMPUTED_VALUE"""),"alaizaong@canva.com")</f>
        <v>alaizaong@canva.com</v>
      </c>
      <c r="R2486" s="1" t="str">
        <f>IFERROR(__xludf.DUMMYFUNCTION("""COMPUTED_VALUE"""),"Alaiza Ong")</f>
        <v>Alaiza Ong</v>
      </c>
      <c r="S2486" s="1"/>
      <c r="T2486" s="1"/>
      <c r="U2486" s="2">
        <f>IFERROR(__xludf.DUMMYFUNCTION("""COMPUTED_VALUE"""),0.0)</f>
        <v>0</v>
      </c>
      <c r="V2486" s="1" t="str">
        <f>IFERROR(__xludf.DUMMYFUNCTION("""COMPUTED_VALUE"""),"Rae Erlano")</f>
        <v>Rae Erlano</v>
      </c>
      <c r="W2486" s="1" t="str">
        <f>IFERROR(__xludf.DUMMYFUNCTION("""COMPUTED_VALUE"""),"Print Support PH")</f>
        <v>Print Support PH</v>
      </c>
    </row>
    <row r="2487">
      <c r="O2487" s="1" t="str">
        <f>IFERROR(__xludf.DUMMYFUNCTION("""COMPUTED_VALUE"""),"2026 Mar")</f>
        <v>2026 Mar</v>
      </c>
      <c r="P2487" s="1" t="str">
        <f>IFERROR(__xludf.DUMMYFUNCTION("""COMPUTED_VALUE"""),"Segment-specific Support")</f>
        <v>Segment-specific Support</v>
      </c>
      <c r="Q2487" s="1" t="str">
        <f>IFERROR(__xludf.DUMMYFUNCTION("""COMPUTED_VALUE"""),"andria@canva.com")</f>
        <v>andria@canva.com</v>
      </c>
      <c r="R2487" s="1" t="str">
        <f>IFERROR(__xludf.DUMMYFUNCTION("""COMPUTED_VALUE"""),"Alex Batusin")</f>
        <v>Alex Batusin</v>
      </c>
      <c r="S2487" s="1"/>
      <c r="T2487" s="1"/>
      <c r="U2487" s="2">
        <f>IFERROR(__xludf.DUMMYFUNCTION("""COMPUTED_VALUE"""),0.0)</f>
        <v>0</v>
      </c>
      <c r="V2487" s="1" t="str">
        <f>IFERROR(__xludf.DUMMYFUNCTION("""COMPUTED_VALUE"""),"Aileen Dayanghirang")</f>
        <v>Aileen Dayanghirang</v>
      </c>
      <c r="W2487" s="1" t="str">
        <f>IFERROR(__xludf.DUMMYFUNCTION("""COMPUTED_VALUE"""),"Creators Support")</f>
        <v>Creators Support</v>
      </c>
    </row>
    <row r="2488">
      <c r="O2488" s="1" t="str">
        <f>IFERROR(__xludf.DUMMYFUNCTION("""COMPUTED_VALUE"""),"2026 Mar")</f>
        <v>2026 Mar</v>
      </c>
      <c r="P2488" s="1" t="str">
        <f>IFERROR(__xludf.DUMMYFUNCTION("""COMPUTED_VALUE"""),"Segment-specific Support")</f>
        <v>Segment-specific Support</v>
      </c>
      <c r="Q2488" s="1" t="str">
        <f>IFERROR(__xludf.DUMMYFUNCTION("""COMPUTED_VALUE"""),"adtolentino@canva.com")</f>
        <v>adtolentino@canva.com</v>
      </c>
      <c r="R2488" s="1" t="str">
        <f>IFERROR(__xludf.DUMMYFUNCTION("""COMPUTED_VALUE"""),"Alfred Devon Tolentino")</f>
        <v>Alfred Devon Tolentino</v>
      </c>
      <c r="S2488" s="1"/>
      <c r="T2488" s="1"/>
      <c r="U2488" s="2">
        <f>IFERROR(__xludf.DUMMYFUNCTION("""COMPUTED_VALUE"""),0.0)</f>
        <v>0</v>
      </c>
      <c r="V2488" s="1" t="str">
        <f>IFERROR(__xludf.DUMMYFUNCTION("""COMPUTED_VALUE"""),"Jonathan Dimaculangan")</f>
        <v>Jonathan Dimaculangan</v>
      </c>
      <c r="W2488" s="1" t="str">
        <f>IFERROR(__xludf.DUMMYFUNCTION("""COMPUTED_VALUE"""),"Flourish Support")</f>
        <v>Flourish Support</v>
      </c>
    </row>
    <row r="2489">
      <c r="O2489" s="1" t="str">
        <f>IFERROR(__xludf.DUMMYFUNCTION("""COMPUTED_VALUE"""),"2026 Mar")</f>
        <v>2026 Mar</v>
      </c>
      <c r="P2489" s="1" t="str">
        <f>IFERROR(__xludf.DUMMYFUNCTION("""COMPUTED_VALUE"""),"Admin Support")</f>
        <v>Admin Support</v>
      </c>
      <c r="Q2489" s="1" t="str">
        <f>IFERROR(__xludf.DUMMYFUNCTION("""COMPUTED_VALUE"""),"alicec@canva.com")</f>
        <v>alicec@canva.com</v>
      </c>
      <c r="R2489" s="1" t="str">
        <f>IFERROR(__xludf.DUMMYFUNCTION("""COMPUTED_VALUE"""),"Alice Creiser")</f>
        <v>Alice Creiser</v>
      </c>
      <c r="S2489" s="1"/>
      <c r="T2489" s="1"/>
      <c r="U2489" s="2">
        <f>IFERROR(__xludf.DUMMYFUNCTION("""COMPUTED_VALUE"""),0.0)</f>
        <v>0</v>
      </c>
      <c r="V2489" s="1" t="str">
        <f>IFERROR(__xludf.DUMMYFUNCTION("""COMPUTED_VALUE"""),"Tash Kelly")</f>
        <v>Tash Kelly</v>
      </c>
      <c r="W2489" s="1" t="str">
        <f>IFERROR(__xludf.DUMMYFUNCTION("""COMPUTED_VALUE"""),"Admin Support EMEA")</f>
        <v>Admin Support EMEA</v>
      </c>
    </row>
    <row r="2490">
      <c r="O2490" s="1" t="str">
        <f>IFERROR(__xludf.DUMMYFUNCTION("""COMPUTED_VALUE"""),"2026 Mar")</f>
        <v>2026 Mar</v>
      </c>
      <c r="P2490" s="1" t="str">
        <f>IFERROR(__xludf.DUMMYFUNCTION("""COMPUTED_VALUE"""),"Segment-specific Support")</f>
        <v>Segment-specific Support</v>
      </c>
      <c r="Q2490" s="1" t="str">
        <f>IFERROR(__xludf.DUMMYFUNCTION("""COMPUTED_VALUE"""),"alyanna@canva.com")</f>
        <v>alyanna@canva.com</v>
      </c>
      <c r="R2490" s="1" t="str">
        <f>IFERROR(__xludf.DUMMYFUNCTION("""COMPUTED_VALUE"""),"Alyanna Ramos")</f>
        <v>Alyanna Ramos</v>
      </c>
      <c r="S2490" s="1"/>
      <c r="T2490" s="1">
        <f>IFERROR(__xludf.DUMMYFUNCTION("""COMPUTED_VALUE"""),2.08)</f>
        <v>2.08</v>
      </c>
      <c r="U2490" s="2">
        <f>IFERROR(__xludf.DUMMYFUNCTION("""COMPUTED_VALUE"""),2.08)</f>
        <v>2.08</v>
      </c>
      <c r="V2490" s="1" t="str">
        <f>IFERROR(__xludf.DUMMYFUNCTION("""COMPUTED_VALUE"""),"Rose Gabilan")</f>
        <v>Rose Gabilan</v>
      </c>
      <c r="W2490" s="1" t="str">
        <f>IFERROR(__xludf.DUMMYFUNCTION("""COMPUTED_VALUE"""),"Affinity Support")</f>
        <v>Affinity Support</v>
      </c>
    </row>
    <row r="2491">
      <c r="O2491" s="1" t="str">
        <f>IFERROR(__xludf.DUMMYFUNCTION("""COMPUTED_VALUE"""),"2026 Mar")</f>
        <v>2026 Mar</v>
      </c>
      <c r="P2491" s="1" t="str">
        <f>IFERROR(__xludf.DUMMYFUNCTION("""COMPUTED_VALUE"""),"Print Support")</f>
        <v>Print Support</v>
      </c>
      <c r="Q2491" s="1" t="str">
        <f>IFERROR(__xludf.DUMMYFUNCTION("""COMPUTED_VALUE"""),"alyssam@canva.com")</f>
        <v>alyssam@canva.com</v>
      </c>
      <c r="R2491" s="1" t="str">
        <f>IFERROR(__xludf.DUMMYFUNCTION("""COMPUTED_VALUE"""),"Alyssa Martin-Silao")</f>
        <v>Alyssa Martin-Silao</v>
      </c>
      <c r="S2491" s="1"/>
      <c r="T2491" s="1"/>
      <c r="U2491" s="2">
        <f>IFERROR(__xludf.DUMMYFUNCTION("""COMPUTED_VALUE"""),0.0)</f>
        <v>0</v>
      </c>
      <c r="V2491" s="1" t="str">
        <f>IFERROR(__xludf.DUMMYFUNCTION("""COMPUTED_VALUE"""),"Rae Erlano")</f>
        <v>Rae Erlano</v>
      </c>
      <c r="W2491" s="1" t="str">
        <f>IFERROR(__xludf.DUMMYFUNCTION("""COMPUTED_VALUE"""),"Print Support PH")</f>
        <v>Print Support PH</v>
      </c>
    </row>
    <row r="2492">
      <c r="O2492" s="1" t="str">
        <f>IFERROR(__xludf.DUMMYFUNCTION("""COMPUTED_VALUE"""),"2026 Mar")</f>
        <v>2026 Mar</v>
      </c>
      <c r="P2492" s="1" t="str">
        <f>IFERROR(__xludf.DUMMYFUNCTION("""COMPUTED_VALUE"""),"Print Support")</f>
        <v>Print Support</v>
      </c>
      <c r="Q2492" s="1" t="str">
        <f>IFERROR(__xludf.DUMMYFUNCTION("""COMPUTED_VALUE"""),"alyssas@canva.com")</f>
        <v>alyssas@canva.com</v>
      </c>
      <c r="R2492" s="1" t="str">
        <f>IFERROR(__xludf.DUMMYFUNCTION("""COMPUTED_VALUE"""),"Alyssa Sunga")</f>
        <v>Alyssa Sunga</v>
      </c>
      <c r="S2492" s="1"/>
      <c r="T2492" s="1">
        <f>IFERROR(__xludf.DUMMYFUNCTION("""COMPUTED_VALUE"""),0.17)</f>
        <v>0.17</v>
      </c>
      <c r="U2492" s="2">
        <f>IFERROR(__xludf.DUMMYFUNCTION("""COMPUTED_VALUE"""),0.17)</f>
        <v>0.17</v>
      </c>
      <c r="V2492" s="1" t="str">
        <f>IFERROR(__xludf.DUMMYFUNCTION("""COMPUTED_VALUE"""),"Althea Mercado")</f>
        <v>Althea Mercado</v>
      </c>
      <c r="W2492" s="1" t="str">
        <f>IFERROR(__xludf.DUMMYFUNCTION("""COMPUTED_VALUE"""),"Print Support PH")</f>
        <v>Print Support PH</v>
      </c>
    </row>
    <row r="2493">
      <c r="O2493" s="1" t="str">
        <f>IFERROR(__xludf.DUMMYFUNCTION("""COMPUTED_VALUE"""),"2026 Mar")</f>
        <v>2026 Mar</v>
      </c>
      <c r="P2493" s="1" t="str">
        <f>IFERROR(__xludf.DUMMYFUNCTION("""COMPUTED_VALUE"""),"Print Support")</f>
        <v>Print Support</v>
      </c>
      <c r="Q2493" s="1" t="str">
        <f>IFERROR(__xludf.DUMMYFUNCTION("""COMPUTED_VALUE"""),"andrea.g@canva.com")</f>
        <v>andrea.g@canva.com</v>
      </c>
      <c r="R2493" s="1" t="str">
        <f>IFERROR(__xludf.DUMMYFUNCTION("""COMPUTED_VALUE"""),"Andrea Gutierrez")</f>
        <v>Andrea Gutierrez</v>
      </c>
      <c r="S2493" s="1"/>
      <c r="T2493" s="1">
        <f>IFERROR(__xludf.DUMMYFUNCTION("""COMPUTED_VALUE"""),36.0)</f>
        <v>36</v>
      </c>
      <c r="U2493" s="2">
        <f>IFERROR(__xludf.DUMMYFUNCTION("""COMPUTED_VALUE"""),36.0)</f>
        <v>36</v>
      </c>
      <c r="V2493" s="1" t="str">
        <f>IFERROR(__xludf.DUMMYFUNCTION("""COMPUTED_VALUE"""),"G-Anne Murillo")</f>
        <v>G-Anne Murillo</v>
      </c>
      <c r="W2493" s="1" t="str">
        <f>IFERROR(__xludf.DUMMYFUNCTION("""COMPUTED_VALUE"""),"Print Design Support")</f>
        <v>Print Design Support</v>
      </c>
    </row>
    <row r="2494">
      <c r="O2494" s="1" t="str">
        <f>IFERROR(__xludf.DUMMYFUNCTION("""COMPUTED_VALUE"""),"2026 Mar")</f>
        <v>2026 Mar</v>
      </c>
      <c r="P2494" s="1" t="str">
        <f>IFERROR(__xludf.DUMMYFUNCTION("""COMPUTED_VALUE"""),"Print Support")</f>
        <v>Print Support</v>
      </c>
      <c r="Q2494" s="1" t="str">
        <f>IFERROR(__xludf.DUMMYFUNCTION("""COMPUTED_VALUE"""),"xandwea@canva.com")</f>
        <v>xandwea@canva.com</v>
      </c>
      <c r="R2494" s="1" t="str">
        <f>IFERROR(__xludf.DUMMYFUNCTION("""COMPUTED_VALUE"""),"Andrea Lugtu")</f>
        <v>Andrea Lugtu</v>
      </c>
      <c r="S2494" s="1"/>
      <c r="T2494" s="1"/>
      <c r="U2494" s="2">
        <f>IFERROR(__xludf.DUMMYFUNCTION("""COMPUTED_VALUE"""),0.0)</f>
        <v>0</v>
      </c>
      <c r="V2494" s="1" t="str">
        <f>IFERROR(__xludf.DUMMYFUNCTION("""COMPUTED_VALUE"""),"Manee Barrasa")</f>
        <v>Manee Barrasa</v>
      </c>
      <c r="W2494" s="1" t="str">
        <f>IFERROR(__xludf.DUMMYFUNCTION("""COMPUTED_VALUE"""),"Print Support PH")</f>
        <v>Print Support PH</v>
      </c>
    </row>
    <row r="2495">
      <c r="O2495" s="1" t="str">
        <f>IFERROR(__xludf.DUMMYFUNCTION("""COMPUTED_VALUE"""),"2026 Mar")</f>
        <v>2026 Mar</v>
      </c>
      <c r="P2495" s="1" t="str">
        <f>IFERROR(__xludf.DUMMYFUNCTION("""COMPUTED_VALUE"""),"High Sensitivity Support")</f>
        <v>High Sensitivity Support</v>
      </c>
      <c r="Q2495" s="1" t="str">
        <f>IFERROR(__xludf.DUMMYFUNCTION("""COMPUTED_VALUE"""),"andreimg@canva.com")</f>
        <v>andreimg@canva.com</v>
      </c>
      <c r="R2495" s="1" t="str">
        <f>IFERROR(__xludf.DUMMYFUNCTION("""COMPUTED_VALUE"""),"Andrei Galutan")</f>
        <v>Andrei Galutan</v>
      </c>
      <c r="S2495" s="1"/>
      <c r="T2495" s="1">
        <f>IFERROR(__xludf.DUMMYFUNCTION("""COMPUTED_VALUE"""),7.75)</f>
        <v>7.75</v>
      </c>
      <c r="U2495" s="2">
        <f>IFERROR(__xludf.DUMMYFUNCTION("""COMPUTED_VALUE"""),7.75)</f>
        <v>7.75</v>
      </c>
      <c r="V2495" s="1" t="str">
        <f>IFERROR(__xludf.DUMMYFUNCTION("""COMPUTED_VALUE"""),"Rex Villamor")</f>
        <v>Rex Villamor</v>
      </c>
      <c r="W2495" s="1" t="str">
        <f>IFERROR(__xludf.DUMMYFUNCTION("""COMPUTED_VALUE"""),"Advanced Product Support")</f>
        <v>Advanced Product Support</v>
      </c>
    </row>
    <row r="2496">
      <c r="O2496" s="1" t="str">
        <f>IFERROR(__xludf.DUMMYFUNCTION("""COMPUTED_VALUE"""),"2026 Mar")</f>
        <v>2026 Mar</v>
      </c>
      <c r="P2496" s="1" t="str">
        <f>IFERROR(__xludf.DUMMYFUNCTION("""COMPUTED_VALUE"""),"Core Product Support")</f>
        <v>Core Product Support</v>
      </c>
      <c r="Q2496" s="1" t="str">
        <f>IFERROR(__xludf.DUMMYFUNCTION("""COMPUTED_VALUE"""),"aalemania@canva.com")</f>
        <v>aalemania@canva.com</v>
      </c>
      <c r="R2496" s="1" t="str">
        <f>IFERROR(__xludf.DUMMYFUNCTION("""COMPUTED_VALUE"""),"Angel Alemania")</f>
        <v>Angel Alemania</v>
      </c>
      <c r="S2496" s="1"/>
      <c r="T2496" s="1">
        <f>IFERROR(__xludf.DUMMYFUNCTION("""COMPUTED_VALUE"""),7.25)</f>
        <v>7.25</v>
      </c>
      <c r="U2496" s="2">
        <f>IFERROR(__xludf.DUMMYFUNCTION("""COMPUTED_VALUE"""),7.25)</f>
        <v>7.25</v>
      </c>
      <c r="V2496" s="1" t="str">
        <f>IFERROR(__xludf.DUMMYFUNCTION("""COMPUTED_VALUE"""),"Sieg Ballelos")</f>
        <v>Sieg Ballelos</v>
      </c>
      <c r="W2496" s="1" t="str">
        <f>IFERROR(__xludf.DUMMYFUNCTION("""COMPUTED_VALUE"""),"Core Product Support Escalation Team")</f>
        <v>Core Product Support Escalation Team</v>
      </c>
    </row>
    <row r="2497">
      <c r="O2497" s="1" t="str">
        <f>IFERROR(__xludf.DUMMYFUNCTION("""COMPUTED_VALUE"""),"2026 Mar")</f>
        <v>2026 Mar</v>
      </c>
      <c r="P2497" s="1" t="str">
        <f>IFERROR(__xludf.DUMMYFUNCTION("""COMPUTED_VALUE"""),"Admin Support")</f>
        <v>Admin Support</v>
      </c>
      <c r="Q2497" s="1" t="str">
        <f>IFERROR(__xludf.DUMMYFUNCTION("""COMPUTED_VALUE"""),"angelc@canva.com")</f>
        <v>angelc@canva.com</v>
      </c>
      <c r="R2497" s="1" t="str">
        <f>IFERROR(__xludf.DUMMYFUNCTION("""COMPUTED_VALUE"""),"Angel Cabrera")</f>
        <v>Angel Cabrera</v>
      </c>
      <c r="S2497" s="1"/>
      <c r="T2497" s="1">
        <f>IFERROR(__xludf.DUMMYFUNCTION("""COMPUTED_VALUE"""),5.08)</f>
        <v>5.08</v>
      </c>
      <c r="U2497" s="2">
        <f>IFERROR(__xludf.DUMMYFUNCTION("""COMPUTED_VALUE"""),5.08)</f>
        <v>5.08</v>
      </c>
      <c r="V2497" s="1" t="str">
        <f>IFERROR(__xludf.DUMMYFUNCTION("""COMPUTED_VALUE"""),"Ann Dumlao")</f>
        <v>Ann Dumlao</v>
      </c>
      <c r="W2497" s="1" t="str">
        <f>IFERROR(__xludf.DUMMYFUNCTION("""COMPUTED_VALUE"""),"Admin Omni Support")</f>
        <v>Admin Omni Support</v>
      </c>
    </row>
    <row r="2498">
      <c r="O2498" s="1" t="str">
        <f>IFERROR(__xludf.DUMMYFUNCTION("""COMPUTED_VALUE"""),"2026 Mar")</f>
        <v>2026 Mar</v>
      </c>
      <c r="P2498" s="1" t="str">
        <f>IFERROR(__xludf.DUMMYFUNCTION("""COMPUTED_VALUE"""),"Segment-specific Support")</f>
        <v>Segment-specific Support</v>
      </c>
      <c r="Q2498" s="1" t="str">
        <f>IFERROR(__xludf.DUMMYFUNCTION("""COMPUTED_VALUE"""),"angelheart@canva.com")</f>
        <v>angelheart@canva.com</v>
      </c>
      <c r="R2498" s="1" t="str">
        <f>IFERROR(__xludf.DUMMYFUNCTION("""COMPUTED_VALUE"""),"Angel Heart Santos")</f>
        <v>Angel Heart Santos</v>
      </c>
      <c r="S2498" s="1"/>
      <c r="T2498" s="1"/>
      <c r="U2498" s="2">
        <f>IFERROR(__xludf.DUMMYFUNCTION("""COMPUTED_VALUE"""),0.0)</f>
        <v>0</v>
      </c>
      <c r="V2498" s="1" t="str">
        <f>IFERROR(__xludf.DUMMYFUNCTION("""COMPUTED_VALUE"""),"Jonathan Dimaculangan")</f>
        <v>Jonathan Dimaculangan</v>
      </c>
      <c r="W2498" s="1" t="str">
        <f>IFERROR(__xludf.DUMMYFUNCTION("""COMPUTED_VALUE"""),"Flourish Support")</f>
        <v>Flourish Support</v>
      </c>
    </row>
    <row r="2499">
      <c r="O2499" s="1" t="str">
        <f>IFERROR(__xludf.DUMMYFUNCTION("""COMPUTED_VALUE"""),"2026 Mar")</f>
        <v>2026 Mar</v>
      </c>
      <c r="P2499" s="1" t="str">
        <f>IFERROR(__xludf.DUMMYFUNCTION("""COMPUTED_VALUE"""),"Core Product Support")</f>
        <v>Core Product Support</v>
      </c>
      <c r="Q2499" s="1" t="str">
        <f>IFERROR(__xludf.DUMMYFUNCTION("""COMPUTED_VALUE"""),"angelm@canva.com")</f>
        <v>angelm@canva.com</v>
      </c>
      <c r="R2499" s="1" t="str">
        <f>IFERROR(__xludf.DUMMYFUNCTION("""COMPUTED_VALUE"""),"Angel Medina")</f>
        <v>Angel Medina</v>
      </c>
      <c r="S2499" s="1">
        <f>IFERROR(__xludf.DUMMYFUNCTION("""COMPUTED_VALUE"""),1.0)</f>
        <v>1</v>
      </c>
      <c r="T2499" s="1">
        <f>IFERROR(__xludf.DUMMYFUNCTION("""COMPUTED_VALUE"""),11.75)</f>
        <v>11.75</v>
      </c>
      <c r="U2499" s="2">
        <f>IFERROR(__xludf.DUMMYFUNCTION("""COMPUTED_VALUE"""),12.75)</f>
        <v>12.75</v>
      </c>
      <c r="V2499" s="1" t="str">
        <f>IFERROR(__xludf.DUMMYFUNCTION("""COMPUTED_VALUE"""),"Ellaine Estayo")</f>
        <v>Ellaine Estayo</v>
      </c>
      <c r="W2499" s="1" t="str">
        <f>IFERROR(__xludf.DUMMYFUNCTION("""COMPUTED_VALUE"""),"Core Product Support Escalation Team")</f>
        <v>Core Product Support Escalation Team</v>
      </c>
    </row>
    <row r="2500">
      <c r="O2500" s="1" t="str">
        <f>IFERROR(__xludf.DUMMYFUNCTION("""COMPUTED_VALUE"""),"2026 Mar")</f>
        <v>2026 Mar</v>
      </c>
      <c r="P2500" s="1" t="str">
        <f>IFERROR(__xludf.DUMMYFUNCTION("""COMPUTED_VALUE"""),"Print Support")</f>
        <v>Print Support</v>
      </c>
      <c r="Q2500" s="1" t="str">
        <f>IFERROR(__xludf.DUMMYFUNCTION("""COMPUTED_VALUE"""),"angelf@canva.com")</f>
        <v>angelf@canva.com</v>
      </c>
      <c r="R2500" s="1" t="str">
        <f>IFERROR(__xludf.DUMMYFUNCTION("""COMPUTED_VALUE"""),"Angel Merilleno")</f>
        <v>Angel Merilleno</v>
      </c>
      <c r="S2500" s="1"/>
      <c r="T2500" s="1">
        <f>IFERROR(__xludf.DUMMYFUNCTION("""COMPUTED_VALUE"""),0.17)</f>
        <v>0.17</v>
      </c>
      <c r="U2500" s="2">
        <f>IFERROR(__xludf.DUMMYFUNCTION("""COMPUTED_VALUE"""),0.17)</f>
        <v>0.17</v>
      </c>
      <c r="V2500" s="1" t="str">
        <f>IFERROR(__xludf.DUMMYFUNCTION("""COMPUTED_VALUE"""),"Louise Dianne Estrella")</f>
        <v>Louise Dianne Estrella</v>
      </c>
      <c r="W2500" s="1" t="str">
        <f>IFERROR(__xludf.DUMMYFUNCTION("""COMPUTED_VALUE"""),"Print Support PH")</f>
        <v>Print Support PH</v>
      </c>
    </row>
    <row r="2501">
      <c r="O2501" s="1" t="str">
        <f>IFERROR(__xludf.DUMMYFUNCTION("""COMPUTED_VALUE"""),"2026 Mar")</f>
        <v>2026 Mar</v>
      </c>
      <c r="P2501" s="1" t="str">
        <f>IFERROR(__xludf.DUMMYFUNCTION("""COMPUTED_VALUE"""),"Core Product Support")</f>
        <v>Core Product Support</v>
      </c>
      <c r="Q2501" s="1" t="str">
        <f>IFERROR(__xludf.DUMMYFUNCTION("""COMPUTED_VALUE"""),"angelic@canva.com")</f>
        <v>angelic@canva.com</v>
      </c>
      <c r="R2501" s="1" t="str">
        <f>IFERROR(__xludf.DUMMYFUNCTION("""COMPUTED_VALUE"""),"Angel Ramas")</f>
        <v>Angel Ramas</v>
      </c>
      <c r="S2501" s="1">
        <f>IFERROR(__xludf.DUMMYFUNCTION("""COMPUTED_VALUE"""),1.0)</f>
        <v>1</v>
      </c>
      <c r="T2501" s="1">
        <f>IFERROR(__xludf.DUMMYFUNCTION("""COMPUTED_VALUE"""),7.5)</f>
        <v>7.5</v>
      </c>
      <c r="U2501" s="2">
        <f>IFERROR(__xludf.DUMMYFUNCTION("""COMPUTED_VALUE"""),8.5)</f>
        <v>8.5</v>
      </c>
      <c r="V2501" s="1" t="str">
        <f>IFERROR(__xludf.DUMMYFUNCTION("""COMPUTED_VALUE"""),"Marie Mordeno")</f>
        <v>Marie Mordeno</v>
      </c>
      <c r="W2501" s="1" t="str">
        <f>IFERROR(__xludf.DUMMYFUNCTION("""COMPUTED_VALUE"""),"Advanced Billing &amp; Subscriptions")</f>
        <v>Advanced Billing &amp; Subscriptions</v>
      </c>
    </row>
    <row r="2502">
      <c r="O2502" s="1" t="str">
        <f>IFERROR(__xludf.DUMMYFUNCTION("""COMPUTED_VALUE"""),"2026 Mar")</f>
        <v>2026 Mar</v>
      </c>
      <c r="P2502" s="1" t="str">
        <f>IFERROR(__xludf.DUMMYFUNCTION("""COMPUTED_VALUE"""),"Segment-specific Support")</f>
        <v>Segment-specific Support</v>
      </c>
      <c r="Q2502" s="1" t="str">
        <f>IFERROR(__xludf.DUMMYFUNCTION("""COMPUTED_VALUE"""),"adflora@canva.com")</f>
        <v>adflora@canva.com</v>
      </c>
      <c r="R2502" s="1" t="str">
        <f>IFERROR(__xludf.DUMMYFUNCTION("""COMPUTED_VALUE"""),"Angela Flora")</f>
        <v>Angela Flora</v>
      </c>
      <c r="S2502" s="1"/>
      <c r="T2502" s="1">
        <f>IFERROR(__xludf.DUMMYFUNCTION("""COMPUTED_VALUE"""),9.58)</f>
        <v>9.58</v>
      </c>
      <c r="U2502" s="2">
        <f>IFERROR(__xludf.DUMMYFUNCTION("""COMPUTED_VALUE"""),9.58)</f>
        <v>9.58</v>
      </c>
      <c r="V2502" s="1" t="str">
        <f>IFERROR(__xludf.DUMMYFUNCTION("""COMPUTED_VALUE"""),"Gucci Nava")</f>
        <v>Gucci Nava</v>
      </c>
      <c r="W2502" s="1" t="str">
        <f>IFERROR(__xludf.DUMMYFUNCTION("""COMPUTED_VALUE"""),"Print Support PH")</f>
        <v>Print Support PH</v>
      </c>
    </row>
    <row r="2503">
      <c r="O2503" s="1" t="str">
        <f>IFERROR(__xludf.DUMMYFUNCTION("""COMPUTED_VALUE"""),"2026 Mar")</f>
        <v>2026 Mar</v>
      </c>
      <c r="P2503" s="1" t="str">
        <f>IFERROR(__xludf.DUMMYFUNCTION("""COMPUTED_VALUE"""),"Core Product Support")</f>
        <v>Core Product Support</v>
      </c>
      <c r="Q2503" s="1" t="str">
        <f>IFERROR(__xludf.DUMMYFUNCTION("""COMPUTED_VALUE"""),"annaalberto@canva.com")</f>
        <v>annaalberto@canva.com</v>
      </c>
      <c r="R2503" s="1" t="str">
        <f>IFERROR(__xludf.DUMMYFUNCTION("""COMPUTED_VALUE"""),"Anna Alberto-Felipe")</f>
        <v>Anna Alberto-Felipe</v>
      </c>
      <c r="S2503" s="1">
        <f>IFERROR(__xludf.DUMMYFUNCTION("""COMPUTED_VALUE"""),0.5)</f>
        <v>0.5</v>
      </c>
      <c r="T2503" s="1">
        <f>IFERROR(__xludf.DUMMYFUNCTION("""COMPUTED_VALUE"""),14.67)</f>
        <v>14.67</v>
      </c>
      <c r="U2503" s="2">
        <f>IFERROR(__xludf.DUMMYFUNCTION("""COMPUTED_VALUE"""),15.17)</f>
        <v>15.17</v>
      </c>
      <c r="V2503" s="1" t="str">
        <f>IFERROR(__xludf.DUMMYFUNCTION("""COMPUTED_VALUE"""),"Jahmie Mae Barrameda")</f>
        <v>Jahmie Mae Barrameda</v>
      </c>
      <c r="W2503" s="1" t="str">
        <f>IFERROR(__xludf.DUMMYFUNCTION("""COMPUTED_VALUE"""),"Advanced Billing &amp; Subscriptions")</f>
        <v>Advanced Billing &amp; Subscriptions</v>
      </c>
    </row>
    <row r="2504">
      <c r="O2504" s="1" t="str">
        <f>IFERROR(__xludf.DUMMYFUNCTION("""COMPUTED_VALUE"""),"2026 Mar")</f>
        <v>2026 Mar</v>
      </c>
      <c r="P2504" s="1" t="str">
        <f>IFERROR(__xludf.DUMMYFUNCTION("""COMPUTED_VALUE"""),"Print Support")</f>
        <v>Print Support</v>
      </c>
      <c r="Q2504" s="1" t="str">
        <f>IFERROR(__xludf.DUMMYFUNCTION("""COMPUTED_VALUE"""),"arcelie@canva.com")</f>
        <v>arcelie@canva.com</v>
      </c>
      <c r="R2504" s="1" t="str">
        <f>IFERROR(__xludf.DUMMYFUNCTION("""COMPUTED_VALUE"""),"Arcie San Pedro")</f>
        <v>Arcie San Pedro</v>
      </c>
      <c r="S2504" s="1"/>
      <c r="T2504" s="1"/>
      <c r="U2504" s="2">
        <f>IFERROR(__xludf.DUMMYFUNCTION("""COMPUTED_VALUE"""),0.0)</f>
        <v>0</v>
      </c>
      <c r="V2504" s="1" t="str">
        <f>IFERROR(__xludf.DUMMYFUNCTION("""COMPUTED_VALUE"""),"Rae Erlano")</f>
        <v>Rae Erlano</v>
      </c>
      <c r="W2504" s="1" t="str">
        <f>IFERROR(__xludf.DUMMYFUNCTION("""COMPUTED_VALUE"""),"Print Support PH")</f>
        <v>Print Support PH</v>
      </c>
    </row>
    <row r="2505">
      <c r="O2505" s="1" t="str">
        <f>IFERROR(__xludf.DUMMYFUNCTION("""COMPUTED_VALUE"""),"2026 Mar")</f>
        <v>2026 Mar</v>
      </c>
      <c r="P2505" s="1" t="str">
        <f>IFERROR(__xludf.DUMMYFUNCTION("""COMPUTED_VALUE"""),"Print Support")</f>
        <v>Print Support</v>
      </c>
      <c r="Q2505" s="1" t="str">
        <f>IFERROR(__xludf.DUMMYFUNCTION("""COMPUTED_VALUE"""),"arjane@canva.com")</f>
        <v>arjane@canva.com</v>
      </c>
      <c r="R2505" s="1" t="str">
        <f>IFERROR(__xludf.DUMMYFUNCTION("""COMPUTED_VALUE"""),"Arjane Oliva")</f>
        <v>Arjane Oliva</v>
      </c>
      <c r="S2505" s="1"/>
      <c r="T2505" s="1">
        <f>IFERROR(__xludf.DUMMYFUNCTION("""COMPUTED_VALUE"""),18.0)</f>
        <v>18</v>
      </c>
      <c r="U2505" s="2">
        <f>IFERROR(__xludf.DUMMYFUNCTION("""COMPUTED_VALUE"""),18.0)</f>
        <v>18</v>
      </c>
      <c r="V2505" s="1" t="str">
        <f>IFERROR(__xludf.DUMMYFUNCTION("""COMPUTED_VALUE"""),"Rei De Jesus")</f>
        <v>Rei De Jesus</v>
      </c>
      <c r="W2505" s="1" t="str">
        <f>IFERROR(__xludf.DUMMYFUNCTION("""COMPUTED_VALUE"""),"Print Design Support")</f>
        <v>Print Design Support</v>
      </c>
    </row>
    <row r="2506">
      <c r="O2506" s="1" t="str">
        <f>IFERROR(__xludf.DUMMYFUNCTION("""COMPUTED_VALUE"""),"2026 Mar")</f>
        <v>2026 Mar</v>
      </c>
      <c r="P2506" s="1" t="str">
        <f>IFERROR(__xludf.DUMMYFUNCTION("""COMPUTED_VALUE"""),"High Sensitivity Support")</f>
        <v>High Sensitivity Support</v>
      </c>
      <c r="Q2506" s="1" t="str">
        <f>IFERROR(__xludf.DUMMYFUNCTION("""COMPUTED_VALUE"""),"arodes@canva.com")</f>
        <v>arodes@canva.com</v>
      </c>
      <c r="R2506" s="1" t="str">
        <f>IFERROR(__xludf.DUMMYFUNCTION("""COMPUTED_VALUE"""),"Arriane Rodes")</f>
        <v>Arriane Rodes</v>
      </c>
      <c r="S2506" s="1"/>
      <c r="T2506" s="1">
        <f>IFERROR(__xludf.DUMMYFUNCTION("""COMPUTED_VALUE"""),6.0)</f>
        <v>6</v>
      </c>
      <c r="U2506" s="2">
        <f>IFERROR(__xludf.DUMMYFUNCTION("""COMPUTED_VALUE"""),6.0)</f>
        <v>6</v>
      </c>
      <c r="V2506" s="1" t="str">
        <f>IFERROR(__xludf.DUMMYFUNCTION("""COMPUTED_VALUE"""),"Xandy Azarcon")</f>
        <v>Xandy Azarcon</v>
      </c>
      <c r="W2506" s="1" t="str">
        <f>IFERROR(__xludf.DUMMYFUNCTION("""COMPUTED_VALUE"""),"High Sensitivity Support PH")</f>
        <v>High Sensitivity Support PH</v>
      </c>
    </row>
    <row r="2507">
      <c r="O2507" s="1" t="str">
        <f>IFERROR(__xludf.DUMMYFUNCTION("""COMPUTED_VALUE"""),"2026 Mar")</f>
        <v>2026 Mar</v>
      </c>
      <c r="P2507" s="1" t="str">
        <f>IFERROR(__xludf.DUMMYFUNCTION("""COMPUTED_VALUE"""),"Admin Support")</f>
        <v>Admin Support</v>
      </c>
      <c r="Q2507" s="1" t="str">
        <f>IFERROR(__xludf.DUMMYFUNCTION("""COMPUTED_VALUE"""),"ashli@canva.com")</f>
        <v>ashli@canva.com</v>
      </c>
      <c r="R2507" s="1" t="str">
        <f>IFERROR(__xludf.DUMMYFUNCTION("""COMPUTED_VALUE"""),"Ashli Hanson")</f>
        <v>Ashli Hanson</v>
      </c>
      <c r="S2507" s="1"/>
      <c r="T2507" s="1"/>
      <c r="U2507" s="2">
        <f>IFERROR(__xludf.DUMMYFUNCTION("""COMPUTED_VALUE"""),0.0)</f>
        <v>0</v>
      </c>
      <c r="V2507" s="1" t="str">
        <f>IFERROR(__xludf.DUMMYFUNCTION("""COMPUTED_VALUE"""),"Nate Vela")</f>
        <v>Nate Vela</v>
      </c>
      <c r="W2507" s="1" t="str">
        <f>IFERROR(__xludf.DUMMYFUNCTION("""COMPUTED_VALUE"""),"Admin Support NA")</f>
        <v>Admin Support NA</v>
      </c>
    </row>
    <row r="2508">
      <c r="O2508" s="1" t="str">
        <f>IFERROR(__xludf.DUMMYFUNCTION("""COMPUTED_VALUE"""),"2026 Mar")</f>
        <v>2026 Mar</v>
      </c>
      <c r="P2508" s="1" t="str">
        <f>IFERROR(__xludf.DUMMYFUNCTION("""COMPUTED_VALUE"""),"Print Support")</f>
        <v>Print Support</v>
      </c>
      <c r="Q2508" s="1" t="str">
        <f>IFERROR(__xludf.DUMMYFUNCTION("""COMPUTED_VALUE"""),"jborreros@canva.com")</f>
        <v>jborreros@canva.com</v>
      </c>
      <c r="R2508" s="1" t="str">
        <f>IFERROR(__xludf.DUMMYFUNCTION("""COMPUTED_VALUE"""),"Bea Borreros")</f>
        <v>Bea Borreros</v>
      </c>
      <c r="S2508" s="1"/>
      <c r="T2508" s="1"/>
      <c r="U2508" s="2">
        <f>IFERROR(__xludf.DUMMYFUNCTION("""COMPUTED_VALUE"""),0.0)</f>
        <v>0</v>
      </c>
      <c r="V2508" s="1" t="str">
        <f>IFERROR(__xludf.DUMMYFUNCTION("""COMPUTED_VALUE"""),"Memae Faustino")</f>
        <v>Memae Faustino</v>
      </c>
      <c r="W2508" s="1" t="str">
        <f>IFERROR(__xludf.DUMMYFUNCTION("""COMPUTED_VALUE"""),"Print Support PH")</f>
        <v>Print Support PH</v>
      </c>
    </row>
    <row r="2509">
      <c r="O2509" s="1" t="str">
        <f>IFERROR(__xludf.DUMMYFUNCTION("""COMPUTED_VALUE"""),"2026 Mar")</f>
        <v>2026 Mar</v>
      </c>
      <c r="P2509" s="1" t="str">
        <f>IFERROR(__xludf.DUMMYFUNCTION("""COMPUTED_VALUE"""),"Print Support")</f>
        <v>Print Support</v>
      </c>
      <c r="Q2509" s="1" t="str">
        <f>IFERROR(__xludf.DUMMYFUNCTION("""COMPUTED_VALUE"""),"bea@canva.com")</f>
        <v>bea@canva.com</v>
      </c>
      <c r="R2509" s="1" t="str">
        <f>IFERROR(__xludf.DUMMYFUNCTION("""COMPUTED_VALUE"""),"Bea Mendoza")</f>
        <v>Bea Mendoza</v>
      </c>
      <c r="S2509" s="1"/>
      <c r="T2509" s="1">
        <f>IFERROR(__xludf.DUMMYFUNCTION("""COMPUTED_VALUE"""),32.25)</f>
        <v>32.25</v>
      </c>
      <c r="U2509" s="2">
        <f>IFERROR(__xludf.DUMMYFUNCTION("""COMPUTED_VALUE"""),32.25)</f>
        <v>32.25</v>
      </c>
      <c r="V2509" s="1" t="str">
        <f>IFERROR(__xludf.DUMMYFUNCTION("""COMPUTED_VALUE"""),"Aliza Dote")</f>
        <v>Aliza Dote</v>
      </c>
      <c r="W2509" s="1" t="str">
        <f>IFERROR(__xludf.DUMMYFUNCTION("""COMPUTED_VALUE"""),"Print Design Support")</f>
        <v>Print Design Support</v>
      </c>
    </row>
    <row r="2510">
      <c r="O2510" s="1" t="str">
        <f>IFERROR(__xludf.DUMMYFUNCTION("""COMPUTED_VALUE"""),"2026 Mar")</f>
        <v>2026 Mar</v>
      </c>
      <c r="P2510" s="1" t="str">
        <f>IFERROR(__xludf.DUMMYFUNCTION("""COMPUTED_VALUE"""),"Core Product Support")</f>
        <v>Core Product Support</v>
      </c>
      <c r="Q2510" s="1" t="str">
        <f>IFERROR(__xludf.DUMMYFUNCTION("""COMPUTED_VALUE"""),"beanyvince@canva.com")</f>
        <v>beanyvince@canva.com</v>
      </c>
      <c r="R2510" s="1" t="str">
        <f>IFERROR(__xludf.DUMMYFUNCTION("""COMPUTED_VALUE"""),"Beany Rodriguez")</f>
        <v>Beany Rodriguez</v>
      </c>
      <c r="S2510" s="1"/>
      <c r="T2510" s="1">
        <f>IFERROR(__xludf.DUMMYFUNCTION("""COMPUTED_VALUE"""),8.08)</f>
        <v>8.08</v>
      </c>
      <c r="U2510" s="2">
        <f>IFERROR(__xludf.DUMMYFUNCTION("""COMPUTED_VALUE"""),8.08)</f>
        <v>8.08</v>
      </c>
      <c r="V2510" s="1" t="str">
        <f>IFERROR(__xludf.DUMMYFUNCTION("""COMPUTED_VALUE"""),"Cate Velasco")</f>
        <v>Cate Velasco</v>
      </c>
      <c r="W2510" s="1" t="str">
        <f>IFERROR(__xludf.DUMMYFUNCTION("""COMPUTED_VALUE"""),"Advanced Product Support")</f>
        <v>Advanced Product Support</v>
      </c>
    </row>
    <row r="2511">
      <c r="O2511" s="1" t="str">
        <f>IFERROR(__xludf.DUMMYFUNCTION("""COMPUTED_VALUE"""),"2026 Mar")</f>
        <v>2026 Mar</v>
      </c>
      <c r="P2511" s="1" t="str">
        <f>IFERROR(__xludf.DUMMYFUNCTION("""COMPUTED_VALUE"""),"Print Support")</f>
        <v>Print Support</v>
      </c>
      <c r="Q2511" s="1" t="str">
        <f>IFERROR(__xludf.DUMMYFUNCTION("""COMPUTED_VALUE"""),"bembiellanza@canva.com")</f>
        <v>bembiellanza@canva.com</v>
      </c>
      <c r="R2511" s="1" t="str">
        <f>IFERROR(__xludf.DUMMYFUNCTION("""COMPUTED_VALUE"""),"Bembie Llanza")</f>
        <v>Bembie Llanza</v>
      </c>
      <c r="S2511" s="1"/>
      <c r="T2511" s="1"/>
      <c r="U2511" s="2">
        <f>IFERROR(__xludf.DUMMYFUNCTION("""COMPUTED_VALUE"""),0.0)</f>
        <v>0</v>
      </c>
      <c r="V2511" s="1" t="str">
        <f>IFERROR(__xludf.DUMMYFUNCTION("""COMPUTED_VALUE"""),"Althea Mercado")</f>
        <v>Althea Mercado</v>
      </c>
      <c r="W2511" s="1" t="str">
        <f>IFERROR(__xludf.DUMMYFUNCTION("""COMPUTED_VALUE"""),"Print Support PH")</f>
        <v>Print Support PH</v>
      </c>
    </row>
    <row r="2512">
      <c r="O2512" s="1" t="str">
        <f>IFERROR(__xludf.DUMMYFUNCTION("""COMPUTED_VALUE"""),"2026 Mar")</f>
        <v>2026 Mar</v>
      </c>
      <c r="P2512" s="1" t="str">
        <f>IFERROR(__xludf.DUMMYFUNCTION("""COMPUTED_VALUE"""),"Segment-specific Support")</f>
        <v>Segment-specific Support</v>
      </c>
      <c r="Q2512" s="1" t="str">
        <f>IFERROR(__xludf.DUMMYFUNCTION("""COMPUTED_VALUE"""),"bernice@canva.com")</f>
        <v>bernice@canva.com</v>
      </c>
      <c r="R2512" s="1" t="str">
        <f>IFERROR(__xludf.DUMMYFUNCTION("""COMPUTED_VALUE"""),"Bernice Talosig")</f>
        <v>Bernice Talosig</v>
      </c>
      <c r="S2512" s="1"/>
      <c r="T2512" s="1">
        <f>IFERROR(__xludf.DUMMYFUNCTION("""COMPUTED_VALUE"""),2.08)</f>
        <v>2.08</v>
      </c>
      <c r="U2512" s="2">
        <f>IFERROR(__xludf.DUMMYFUNCTION("""COMPUTED_VALUE"""),2.08)</f>
        <v>2.08</v>
      </c>
      <c r="V2512" s="1" t="str">
        <f>IFERROR(__xludf.DUMMYFUNCTION("""COMPUTED_VALUE"""),"Gucci Nava")</f>
        <v>Gucci Nava</v>
      </c>
      <c r="W2512" s="1" t="str">
        <f>IFERROR(__xludf.DUMMYFUNCTION("""COMPUTED_VALUE"""),"Affinity Support")</f>
        <v>Affinity Support</v>
      </c>
    </row>
    <row r="2513">
      <c r="O2513" s="1" t="str">
        <f>IFERROR(__xludf.DUMMYFUNCTION("""COMPUTED_VALUE"""),"2026 Mar")</f>
        <v>2026 Mar</v>
      </c>
      <c r="P2513" s="1" t="str">
        <f>IFERROR(__xludf.DUMMYFUNCTION("""COMPUTED_VALUE"""),"Core Product Support")</f>
        <v>Core Product Support</v>
      </c>
      <c r="Q2513" s="1" t="str">
        <f>IFERROR(__xludf.DUMMYFUNCTION("""COMPUTED_VALUE"""),"beverlymarie@canva.com")</f>
        <v>beverlymarie@canva.com</v>
      </c>
      <c r="R2513" s="1" t="str">
        <f>IFERROR(__xludf.DUMMYFUNCTION("""COMPUTED_VALUE"""),"Bev Dacanay")</f>
        <v>Bev Dacanay</v>
      </c>
      <c r="S2513" s="1">
        <f>IFERROR(__xludf.DUMMYFUNCTION("""COMPUTED_VALUE"""),0.28)</f>
        <v>0.28</v>
      </c>
      <c r="T2513" s="1">
        <f>IFERROR(__xludf.DUMMYFUNCTION("""COMPUTED_VALUE"""),9.0)</f>
        <v>9</v>
      </c>
      <c r="U2513" s="2">
        <f>IFERROR(__xludf.DUMMYFUNCTION("""COMPUTED_VALUE"""),9.28)</f>
        <v>9.28</v>
      </c>
      <c r="V2513" s="1" t="str">
        <f>IFERROR(__xludf.DUMMYFUNCTION("""COMPUTED_VALUE"""),"Ayza Marie Pascual")</f>
        <v>Ayza Marie Pascual</v>
      </c>
      <c r="W2513" s="1" t="str">
        <f>IFERROR(__xludf.DUMMYFUNCTION("""COMPUTED_VALUE"""),"Advanced Billing &amp; Subscriptions")</f>
        <v>Advanced Billing &amp; Subscriptions</v>
      </c>
    </row>
    <row r="2514">
      <c r="O2514" s="1" t="str">
        <f>IFERROR(__xludf.DUMMYFUNCTION("""COMPUTED_VALUE"""),"2026 Mar")</f>
        <v>2026 Mar</v>
      </c>
      <c r="P2514" s="1" t="str">
        <f>IFERROR(__xludf.DUMMYFUNCTION("""COMPUTED_VALUE"""),"Admin Support")</f>
        <v>Admin Support</v>
      </c>
      <c r="Q2514" s="1" t="str">
        <f>IFERROR(__xludf.DUMMYFUNCTION("""COMPUTED_VALUE"""),"bia@canva.com")</f>
        <v>bia@canva.com</v>
      </c>
      <c r="R2514" s="1" t="str">
        <f>IFERROR(__xludf.DUMMYFUNCTION("""COMPUTED_VALUE"""),"Bianca Santiago")</f>
        <v>Bianca Santiago</v>
      </c>
      <c r="S2514" s="1"/>
      <c r="T2514" s="1">
        <f>IFERROR(__xludf.DUMMYFUNCTION("""COMPUTED_VALUE"""),2.0)</f>
        <v>2</v>
      </c>
      <c r="U2514" s="2">
        <f>IFERROR(__xludf.DUMMYFUNCTION("""COMPUTED_VALUE"""),2.0)</f>
        <v>2</v>
      </c>
      <c r="V2514" s="1" t="str">
        <f>IFERROR(__xludf.DUMMYFUNCTION("""COMPUTED_VALUE"""),"Karla Mananghaya")</f>
        <v>Karla Mananghaya</v>
      </c>
      <c r="W2514" s="1" t="str">
        <f>IFERROR(__xludf.DUMMYFUNCTION("""COMPUTED_VALUE"""),"Admin Support Service Escalation Team")</f>
        <v>Admin Support Service Escalation Team</v>
      </c>
    </row>
    <row r="2515">
      <c r="O2515" s="1" t="str">
        <f>IFERROR(__xludf.DUMMYFUNCTION("""COMPUTED_VALUE"""),"2026 Mar")</f>
        <v>2026 Mar</v>
      </c>
      <c r="P2515" s="1" t="str">
        <f>IFERROR(__xludf.DUMMYFUNCTION("""COMPUTED_VALUE"""),"Core Product Support")</f>
        <v>Core Product Support</v>
      </c>
      <c r="Q2515" s="1" t="str">
        <f>IFERROR(__xludf.DUMMYFUNCTION("""COMPUTED_VALUE"""),"bryanb@canva.com")</f>
        <v>bryanb@canva.com</v>
      </c>
      <c r="R2515" s="1" t="str">
        <f>IFERROR(__xludf.DUMMYFUNCTION("""COMPUTED_VALUE"""),"Bryan Lemuel Britanico")</f>
        <v>Bryan Lemuel Britanico</v>
      </c>
      <c r="S2515" s="1">
        <f>IFERROR(__xludf.DUMMYFUNCTION("""COMPUTED_VALUE"""),1.0)</f>
        <v>1</v>
      </c>
      <c r="T2515" s="1">
        <f>IFERROR(__xludf.DUMMYFUNCTION("""COMPUTED_VALUE"""),7.5)</f>
        <v>7.5</v>
      </c>
      <c r="U2515" s="2">
        <f>IFERROR(__xludf.DUMMYFUNCTION("""COMPUTED_VALUE"""),8.5)</f>
        <v>8.5</v>
      </c>
      <c r="V2515" s="1" t="str">
        <f>IFERROR(__xludf.DUMMYFUNCTION("""COMPUTED_VALUE"""),"Jahmie Mae Barrameda")</f>
        <v>Jahmie Mae Barrameda</v>
      </c>
      <c r="W2515" s="1" t="str">
        <f>IFERROR(__xludf.DUMMYFUNCTION("""COMPUTED_VALUE"""),"Advanced Billing &amp; Subscriptions")</f>
        <v>Advanced Billing &amp; Subscriptions</v>
      </c>
    </row>
    <row r="2516">
      <c r="O2516" s="1" t="str">
        <f>IFERROR(__xludf.DUMMYFUNCTION("""COMPUTED_VALUE"""),"2026 Mar")</f>
        <v>2026 Mar</v>
      </c>
      <c r="P2516" s="1" t="str">
        <f>IFERROR(__xludf.DUMMYFUNCTION("""COMPUTED_VALUE"""),"Print Support")</f>
        <v>Print Support</v>
      </c>
      <c r="Q2516" s="1" t="str">
        <f>IFERROR(__xludf.DUMMYFUNCTION("""COMPUTED_VALUE"""),"caesar@canva.com")</f>
        <v>caesar@canva.com</v>
      </c>
      <c r="R2516" s="1" t="str">
        <f>IFERROR(__xludf.DUMMYFUNCTION("""COMPUTED_VALUE"""),"Caesar Bitudio")</f>
        <v>Caesar Bitudio</v>
      </c>
      <c r="S2516" s="1"/>
      <c r="T2516" s="1"/>
      <c r="U2516" s="2">
        <f>IFERROR(__xludf.DUMMYFUNCTION("""COMPUTED_VALUE"""),0.0)</f>
        <v>0</v>
      </c>
      <c r="V2516" s="1" t="str">
        <f>IFERROR(__xludf.DUMMYFUNCTION("""COMPUTED_VALUE"""),"G-Anne Murillo")</f>
        <v>G-Anne Murillo</v>
      </c>
      <c r="W2516" s="1" t="str">
        <f>IFERROR(__xludf.DUMMYFUNCTION("""COMPUTED_VALUE"""),"Print Design Support")</f>
        <v>Print Design Support</v>
      </c>
    </row>
    <row r="2517">
      <c r="O2517" s="1" t="str">
        <f>IFERROR(__xludf.DUMMYFUNCTION("""COMPUTED_VALUE"""),"2026 Mar")</f>
        <v>2026 Mar</v>
      </c>
      <c r="P2517" s="1" t="str">
        <f>IFERROR(__xludf.DUMMYFUNCTION("""COMPUTED_VALUE"""),"Core Product Support")</f>
        <v>Core Product Support</v>
      </c>
      <c r="Q2517" s="1" t="str">
        <f>IFERROR(__xludf.DUMMYFUNCTION("""COMPUTED_VALUE"""),"cae@canva.com")</f>
        <v>cae@canva.com</v>
      </c>
      <c r="R2517" s="1" t="str">
        <f>IFERROR(__xludf.DUMMYFUNCTION("""COMPUTED_VALUE"""),"Caevee Dizon")</f>
        <v>Caevee Dizon</v>
      </c>
      <c r="S2517" s="1">
        <f>IFERROR(__xludf.DUMMYFUNCTION("""COMPUTED_VALUE"""),1.5)</f>
        <v>1.5</v>
      </c>
      <c r="T2517" s="1">
        <f>IFERROR(__xludf.DUMMYFUNCTION("""COMPUTED_VALUE"""),9.0)</f>
        <v>9</v>
      </c>
      <c r="U2517" s="2">
        <f>IFERROR(__xludf.DUMMYFUNCTION("""COMPUTED_VALUE"""),10.5)</f>
        <v>10.5</v>
      </c>
      <c r="V2517" s="1" t="str">
        <f>IFERROR(__xludf.DUMMYFUNCTION("""COMPUTED_VALUE"""),"Jahmie Mae Barrameda")</f>
        <v>Jahmie Mae Barrameda</v>
      </c>
      <c r="W2517" s="1" t="str">
        <f>IFERROR(__xludf.DUMMYFUNCTION("""COMPUTED_VALUE"""),"Advanced Billing &amp; Subscriptions")</f>
        <v>Advanced Billing &amp; Subscriptions</v>
      </c>
    </row>
    <row r="2518">
      <c r="O2518" s="1" t="str">
        <f>IFERROR(__xludf.DUMMYFUNCTION("""COMPUTED_VALUE"""),"2026 Mar")</f>
        <v>2026 Mar</v>
      </c>
      <c r="P2518" s="1" t="str">
        <f>IFERROR(__xludf.DUMMYFUNCTION("""COMPUTED_VALUE"""),"Admin Support")</f>
        <v>Admin Support</v>
      </c>
      <c r="Q2518" s="1" t="str">
        <f>IFERROR(__xludf.DUMMYFUNCTION("""COMPUTED_VALUE"""),"cbasilio@canva.com")</f>
        <v>cbasilio@canva.com</v>
      </c>
      <c r="R2518" s="1" t="str">
        <f>IFERROR(__xludf.DUMMYFUNCTION("""COMPUTED_VALUE"""),"Camille Basilio")</f>
        <v>Camille Basilio</v>
      </c>
      <c r="S2518" s="1"/>
      <c r="T2518" s="1">
        <f>IFERROR(__xludf.DUMMYFUNCTION("""COMPUTED_VALUE"""),5.25)</f>
        <v>5.25</v>
      </c>
      <c r="U2518" s="2">
        <f>IFERROR(__xludf.DUMMYFUNCTION("""COMPUTED_VALUE"""),5.25)</f>
        <v>5.25</v>
      </c>
      <c r="V2518" s="1" t="str">
        <f>IFERROR(__xludf.DUMMYFUNCTION("""COMPUTED_VALUE"""),"AL Suarez")</f>
        <v>AL Suarez</v>
      </c>
      <c r="W2518" s="1" t="str">
        <f>IFERROR(__xludf.DUMMYFUNCTION("""COMPUTED_VALUE"""),"Admin Direct Support")</f>
        <v>Admin Direct Support</v>
      </c>
    </row>
    <row r="2519">
      <c r="O2519" s="1" t="str">
        <f>IFERROR(__xludf.DUMMYFUNCTION("""COMPUTED_VALUE"""),"2026 Mar")</f>
        <v>2026 Mar</v>
      </c>
      <c r="P2519" s="1" t="str">
        <f>IFERROR(__xludf.DUMMYFUNCTION("""COMPUTED_VALUE"""),"Core Product Support")</f>
        <v>Core Product Support</v>
      </c>
      <c r="Q2519" s="1" t="str">
        <f>IFERROR(__xludf.DUMMYFUNCTION("""COMPUTED_VALUE"""),"camilleb@canva.com")</f>
        <v>camilleb@canva.com</v>
      </c>
      <c r="R2519" s="1" t="str">
        <f>IFERROR(__xludf.DUMMYFUNCTION("""COMPUTED_VALUE"""),"Camille Bucks")</f>
        <v>Camille Bucks</v>
      </c>
      <c r="S2519" s="1">
        <f>IFERROR(__xludf.DUMMYFUNCTION("""COMPUTED_VALUE"""),0.5)</f>
        <v>0.5</v>
      </c>
      <c r="T2519" s="1">
        <f>IFERROR(__xludf.DUMMYFUNCTION("""COMPUTED_VALUE"""),12.0)</f>
        <v>12</v>
      </c>
      <c r="U2519" s="2">
        <f>IFERROR(__xludf.DUMMYFUNCTION("""COMPUTED_VALUE"""),12.5)</f>
        <v>12.5</v>
      </c>
      <c r="V2519" s="1" t="str">
        <f>IFERROR(__xludf.DUMMYFUNCTION("""COMPUTED_VALUE"""),"Ellaine Estayo")</f>
        <v>Ellaine Estayo</v>
      </c>
      <c r="W2519" s="1" t="str">
        <f>IFERROR(__xludf.DUMMYFUNCTION("""COMPUTED_VALUE"""),"Core Product Support Escalation Team")</f>
        <v>Core Product Support Escalation Team</v>
      </c>
    </row>
    <row r="2520">
      <c r="O2520" s="1" t="str">
        <f>IFERROR(__xludf.DUMMYFUNCTION("""COMPUTED_VALUE"""),"2026 Mar")</f>
        <v>2026 Mar</v>
      </c>
      <c r="P2520" s="1" t="str">
        <f>IFERROR(__xludf.DUMMYFUNCTION("""COMPUTED_VALUE"""),"Admin Support")</f>
        <v>Admin Support</v>
      </c>
      <c r="Q2520" s="1" t="str">
        <f>IFERROR(__xludf.DUMMYFUNCTION("""COMPUTED_VALUE"""),"camille.n@canva.com")</f>
        <v>camille.n@canva.com</v>
      </c>
      <c r="R2520" s="1" t="str">
        <f>IFERROR(__xludf.DUMMYFUNCTION("""COMPUTED_VALUE"""),"Camille Neypes")</f>
        <v>Camille Neypes</v>
      </c>
      <c r="S2520" s="1"/>
      <c r="T2520" s="1">
        <f>IFERROR(__xludf.DUMMYFUNCTION("""COMPUTED_VALUE"""),4.0)</f>
        <v>4</v>
      </c>
      <c r="U2520" s="2">
        <f>IFERROR(__xludf.DUMMYFUNCTION("""COMPUTED_VALUE"""),4.0)</f>
        <v>4</v>
      </c>
      <c r="V2520" s="1" t="str">
        <f>IFERROR(__xludf.DUMMYFUNCTION("""COMPUTED_VALUE"""),"Kelden Laguting")</f>
        <v>Kelden Laguting</v>
      </c>
      <c r="W2520" s="1" t="str">
        <f>IFERROR(__xludf.DUMMYFUNCTION("""COMPUTED_VALUE"""),"Admin Omni Support")</f>
        <v>Admin Omni Support</v>
      </c>
    </row>
    <row r="2521">
      <c r="O2521" s="1" t="str">
        <f>IFERROR(__xludf.DUMMYFUNCTION("""COMPUTED_VALUE"""),"2026 Mar")</f>
        <v>2026 Mar</v>
      </c>
      <c r="P2521" s="1" t="str">
        <f>IFERROR(__xludf.DUMMYFUNCTION("""COMPUTED_VALUE"""),"Print Support")</f>
        <v>Print Support</v>
      </c>
      <c r="Q2521" s="1" t="str">
        <f>IFERROR(__xludf.DUMMYFUNCTION("""COMPUTED_VALUE"""),"cammy@canva.com")</f>
        <v>cammy@canva.com</v>
      </c>
      <c r="R2521" s="1" t="str">
        <f>IFERROR(__xludf.DUMMYFUNCTION("""COMPUTED_VALUE"""),"Camille Oriel")</f>
        <v>Camille Oriel</v>
      </c>
      <c r="S2521" s="1"/>
      <c r="T2521" s="1">
        <f>IFERROR(__xludf.DUMMYFUNCTION("""COMPUTED_VALUE"""),0.17)</f>
        <v>0.17</v>
      </c>
      <c r="U2521" s="2">
        <f>IFERROR(__xludf.DUMMYFUNCTION("""COMPUTED_VALUE"""),0.17)</f>
        <v>0.17</v>
      </c>
      <c r="V2521" s="1" t="str">
        <f>IFERROR(__xludf.DUMMYFUNCTION("""COMPUTED_VALUE"""),"Louise Dianne Estrella")</f>
        <v>Louise Dianne Estrella</v>
      </c>
      <c r="W2521" s="1" t="str">
        <f>IFERROR(__xludf.DUMMYFUNCTION("""COMPUTED_VALUE"""),"Print Support PH")</f>
        <v>Print Support PH</v>
      </c>
    </row>
    <row r="2522">
      <c r="O2522" s="1" t="str">
        <f>IFERROR(__xludf.DUMMYFUNCTION("""COMPUTED_VALUE"""),"2026 Mar")</f>
        <v>2026 Mar</v>
      </c>
      <c r="P2522" s="1" t="str">
        <f>IFERROR(__xludf.DUMMYFUNCTION("""COMPUTED_VALUE"""),"Admin Support")</f>
        <v>Admin Support</v>
      </c>
      <c r="Q2522" s="1" t="str">
        <f>IFERROR(__xludf.DUMMYFUNCTION("""COMPUTED_VALUE"""),"carloav@canva.com")</f>
        <v>carloav@canva.com</v>
      </c>
      <c r="R2522" s="1" t="str">
        <f>IFERROR(__xludf.DUMMYFUNCTION("""COMPUTED_VALUE"""),"Carlo Valentin")</f>
        <v>Carlo Valentin</v>
      </c>
      <c r="S2522" s="1"/>
      <c r="T2522" s="1">
        <f>IFERROR(__xludf.DUMMYFUNCTION("""COMPUTED_VALUE"""),3.25)</f>
        <v>3.25</v>
      </c>
      <c r="U2522" s="2">
        <f>IFERROR(__xludf.DUMMYFUNCTION("""COMPUTED_VALUE"""),3.25)</f>
        <v>3.25</v>
      </c>
      <c r="V2522" s="1" t="str">
        <f>IFERROR(__xludf.DUMMYFUNCTION("""COMPUTED_VALUE"""),"Kelden Laguting")</f>
        <v>Kelden Laguting</v>
      </c>
      <c r="W2522" s="1" t="str">
        <f>IFERROR(__xludf.DUMMYFUNCTION("""COMPUTED_VALUE"""),"Admin Omni Support")</f>
        <v>Admin Omni Support</v>
      </c>
    </row>
    <row r="2523">
      <c r="O2523" s="1" t="str">
        <f>IFERROR(__xludf.DUMMYFUNCTION("""COMPUTED_VALUE"""),"2026 Mar")</f>
        <v>2026 Mar</v>
      </c>
      <c r="P2523" s="1" t="str">
        <f>IFERROR(__xludf.DUMMYFUNCTION("""COMPUTED_VALUE"""),"Core Product Support")</f>
        <v>Core Product Support</v>
      </c>
      <c r="Q2523" s="1" t="str">
        <f>IFERROR(__xludf.DUMMYFUNCTION("""COMPUTED_VALUE"""),"carmeladc@canva.com")</f>
        <v>carmeladc@canva.com</v>
      </c>
      <c r="R2523" s="1" t="str">
        <f>IFERROR(__xludf.DUMMYFUNCTION("""COMPUTED_VALUE"""),"Carmela Dela Cruz")</f>
        <v>Carmela Dela Cruz</v>
      </c>
      <c r="S2523" s="1">
        <f>IFERROR(__xludf.DUMMYFUNCTION("""COMPUTED_VALUE"""),0.5)</f>
        <v>0.5</v>
      </c>
      <c r="T2523" s="1">
        <f>IFERROR(__xludf.DUMMYFUNCTION("""COMPUTED_VALUE"""),8.75)</f>
        <v>8.75</v>
      </c>
      <c r="U2523" s="2">
        <f>IFERROR(__xludf.DUMMYFUNCTION("""COMPUTED_VALUE"""),9.25)</f>
        <v>9.25</v>
      </c>
      <c r="V2523" s="1" t="str">
        <f>IFERROR(__xludf.DUMMYFUNCTION("""COMPUTED_VALUE"""),"Marie Mordeno")</f>
        <v>Marie Mordeno</v>
      </c>
      <c r="W2523" s="1" t="str">
        <f>IFERROR(__xludf.DUMMYFUNCTION("""COMPUTED_VALUE"""),"Advanced Billing &amp; Subscriptions")</f>
        <v>Advanced Billing &amp; Subscriptions</v>
      </c>
    </row>
    <row r="2524">
      <c r="O2524" s="1" t="str">
        <f>IFERROR(__xludf.DUMMYFUNCTION("""COMPUTED_VALUE"""),"2026 Mar")</f>
        <v>2026 Mar</v>
      </c>
      <c r="P2524" s="1" t="str">
        <f>IFERROR(__xludf.DUMMYFUNCTION("""COMPUTED_VALUE"""),"Print Support")</f>
        <v>Print Support</v>
      </c>
      <c r="Q2524" s="1" t="str">
        <f>IFERROR(__xludf.DUMMYFUNCTION("""COMPUTED_VALUE"""),"carms@canva.com")</f>
        <v>carms@canva.com</v>
      </c>
      <c r="R2524" s="1" t="str">
        <f>IFERROR(__xludf.DUMMYFUNCTION("""COMPUTED_VALUE"""),"Carms Merilles")</f>
        <v>Carms Merilles</v>
      </c>
      <c r="S2524" s="1"/>
      <c r="T2524" s="1">
        <f>IFERROR(__xludf.DUMMYFUNCTION("""COMPUTED_VALUE"""),0.25)</f>
        <v>0.25</v>
      </c>
      <c r="U2524" s="2">
        <f>IFERROR(__xludf.DUMMYFUNCTION("""COMPUTED_VALUE"""),0.25)</f>
        <v>0.25</v>
      </c>
      <c r="V2524" s="1" t="str">
        <f>IFERROR(__xludf.DUMMYFUNCTION("""COMPUTED_VALUE"""),"Gem Agoncillo")</f>
        <v>Gem Agoncillo</v>
      </c>
      <c r="W2524" s="1" t="str">
        <f>IFERROR(__xludf.DUMMYFUNCTION("""COMPUTED_VALUE"""),"Print Design Support")</f>
        <v>Print Design Support</v>
      </c>
    </row>
    <row r="2525">
      <c r="O2525" s="1" t="str">
        <f>IFERROR(__xludf.DUMMYFUNCTION("""COMPUTED_VALUE"""),"2026 Mar")</f>
        <v>2026 Mar</v>
      </c>
      <c r="P2525" s="1" t="str">
        <f>IFERROR(__xludf.DUMMYFUNCTION("""COMPUTED_VALUE"""),"High Sensitivity Support")</f>
        <v>High Sensitivity Support</v>
      </c>
      <c r="Q2525" s="1" t="str">
        <f>IFERROR(__xludf.DUMMYFUNCTION("""COMPUTED_VALUE"""),"cassie@canva.com")</f>
        <v>cassie@canva.com</v>
      </c>
      <c r="R2525" s="1" t="str">
        <f>IFERROR(__xludf.DUMMYFUNCTION("""COMPUTED_VALUE"""),"Cassie Eugenio")</f>
        <v>Cassie Eugenio</v>
      </c>
      <c r="S2525" s="1"/>
      <c r="T2525" s="1">
        <f>IFERROR(__xludf.DUMMYFUNCTION("""COMPUTED_VALUE"""),3.0)</f>
        <v>3</v>
      </c>
      <c r="U2525" s="2">
        <f>IFERROR(__xludf.DUMMYFUNCTION("""COMPUTED_VALUE"""),3.0)</f>
        <v>3</v>
      </c>
      <c r="V2525" s="1" t="str">
        <f>IFERROR(__xludf.DUMMYFUNCTION("""COMPUTED_VALUE"""),"Issi Afable")</f>
        <v>Issi Afable</v>
      </c>
      <c r="W2525" s="1" t="str">
        <f>IFERROR(__xludf.DUMMYFUNCTION("""COMPUTED_VALUE"""),"High Sensitivity Support PH")</f>
        <v>High Sensitivity Support PH</v>
      </c>
    </row>
    <row r="2526">
      <c r="O2526" s="1" t="str">
        <f>IFERROR(__xludf.DUMMYFUNCTION("""COMPUTED_VALUE"""),"2026 Mar")</f>
        <v>2026 Mar</v>
      </c>
      <c r="P2526" s="1" t="str">
        <f>IFERROR(__xludf.DUMMYFUNCTION("""COMPUTED_VALUE"""),"Print Support")</f>
        <v>Print Support</v>
      </c>
      <c r="Q2526" s="1" t="str">
        <f>IFERROR(__xludf.DUMMYFUNCTION("""COMPUTED_VALUE"""),"catherinenicole@canva.com")</f>
        <v>catherinenicole@canva.com</v>
      </c>
      <c r="R2526" s="1" t="str">
        <f>IFERROR(__xludf.DUMMYFUNCTION("""COMPUTED_VALUE"""),"Catherine Ledesma")</f>
        <v>Catherine Ledesma</v>
      </c>
      <c r="S2526" s="1"/>
      <c r="T2526" s="1">
        <f>IFERROR(__xludf.DUMMYFUNCTION("""COMPUTED_VALUE"""),0.67)</f>
        <v>0.67</v>
      </c>
      <c r="U2526" s="2">
        <f>IFERROR(__xludf.DUMMYFUNCTION("""COMPUTED_VALUE"""),0.67)</f>
        <v>0.67</v>
      </c>
      <c r="V2526" s="1" t="str">
        <f>IFERROR(__xludf.DUMMYFUNCTION("""COMPUTED_VALUE"""),"Jen Momo")</f>
        <v>Jen Momo</v>
      </c>
      <c r="W2526" s="1" t="str">
        <f>IFERROR(__xludf.DUMMYFUNCTION("""COMPUTED_VALUE"""),"Print Support PH")</f>
        <v>Print Support PH</v>
      </c>
    </row>
    <row r="2527">
      <c r="O2527" s="1" t="str">
        <f>IFERROR(__xludf.DUMMYFUNCTION("""COMPUTED_VALUE"""),"2026 Mar")</f>
        <v>2026 Mar</v>
      </c>
      <c r="P2527" s="1" t="str">
        <f>IFERROR(__xludf.DUMMYFUNCTION("""COMPUTED_VALUE"""),"Core Product Support")</f>
        <v>Core Product Support</v>
      </c>
      <c r="Q2527" s="1" t="str">
        <f>IFERROR(__xludf.DUMMYFUNCTION("""COMPUTED_VALUE"""),"chace@canva.com")</f>
        <v>chace@canva.com</v>
      </c>
      <c r="R2527" s="1" t="str">
        <f>IFERROR(__xludf.DUMMYFUNCTION("""COMPUTED_VALUE"""),"Chace Ablaza")</f>
        <v>Chace Ablaza</v>
      </c>
      <c r="S2527" s="1">
        <f>IFERROR(__xludf.DUMMYFUNCTION("""COMPUTED_VALUE"""),1.5)</f>
        <v>1.5</v>
      </c>
      <c r="T2527" s="1">
        <f>IFERROR(__xludf.DUMMYFUNCTION("""COMPUTED_VALUE"""),9.0)</f>
        <v>9</v>
      </c>
      <c r="U2527" s="2">
        <f>IFERROR(__xludf.DUMMYFUNCTION("""COMPUTED_VALUE"""),10.5)</f>
        <v>10.5</v>
      </c>
      <c r="V2527" s="1" t="str">
        <f>IFERROR(__xludf.DUMMYFUNCTION("""COMPUTED_VALUE"""),"Ellaine Estayo")</f>
        <v>Ellaine Estayo</v>
      </c>
      <c r="W2527" s="1" t="str">
        <f>IFERROR(__xludf.DUMMYFUNCTION("""COMPUTED_VALUE"""),"Core Product Support Escalation Team")</f>
        <v>Core Product Support Escalation Team</v>
      </c>
    </row>
    <row r="2528">
      <c r="O2528" s="1" t="str">
        <f>IFERROR(__xludf.DUMMYFUNCTION("""COMPUTED_VALUE"""),"2026 Mar")</f>
        <v>2026 Mar</v>
      </c>
      <c r="P2528" s="1" t="str">
        <f>IFERROR(__xludf.DUMMYFUNCTION("""COMPUTED_VALUE"""),"Core Product Support")</f>
        <v>Core Product Support</v>
      </c>
      <c r="Q2528" s="1" t="str">
        <f>IFERROR(__xludf.DUMMYFUNCTION("""COMPUTED_VALUE"""),"charissa@canva.com")</f>
        <v>charissa@canva.com</v>
      </c>
      <c r="R2528" s="1" t="str">
        <f>IFERROR(__xludf.DUMMYFUNCTION("""COMPUTED_VALUE"""),"Charissa Goyena")</f>
        <v>Charissa Goyena</v>
      </c>
      <c r="S2528" s="1">
        <f>IFERROR(__xludf.DUMMYFUNCTION("""COMPUTED_VALUE"""),1.0)</f>
        <v>1</v>
      </c>
      <c r="T2528" s="1">
        <f>IFERROR(__xludf.DUMMYFUNCTION("""COMPUTED_VALUE"""),10.0)</f>
        <v>10</v>
      </c>
      <c r="U2528" s="2">
        <f>IFERROR(__xludf.DUMMYFUNCTION("""COMPUTED_VALUE"""),11.0)</f>
        <v>11</v>
      </c>
      <c r="V2528" s="1" t="str">
        <f>IFERROR(__xludf.DUMMYFUNCTION("""COMPUTED_VALUE"""),"Vinz Lazaro")</f>
        <v>Vinz Lazaro</v>
      </c>
      <c r="W2528" s="1" t="str">
        <f>IFERROR(__xludf.DUMMYFUNCTION("""COMPUTED_VALUE"""),"Advanced Product Support")</f>
        <v>Advanced Product Support</v>
      </c>
    </row>
    <row r="2529">
      <c r="O2529" s="1" t="str">
        <f>IFERROR(__xludf.DUMMYFUNCTION("""COMPUTED_VALUE"""),"2026 Mar")</f>
        <v>2026 Mar</v>
      </c>
      <c r="P2529" s="1" t="str">
        <f>IFERROR(__xludf.DUMMYFUNCTION("""COMPUTED_VALUE"""),"Segment-specific Support")</f>
        <v>Segment-specific Support</v>
      </c>
      <c r="Q2529" s="1" t="str">
        <f>IFERROR(__xludf.DUMMYFUNCTION("""COMPUTED_VALUE"""),"charizavargas@canva.com")</f>
        <v>charizavargas@canva.com</v>
      </c>
      <c r="R2529" s="1" t="str">
        <f>IFERROR(__xludf.DUMMYFUNCTION("""COMPUTED_VALUE"""),"Chariza Vargas")</f>
        <v>Chariza Vargas</v>
      </c>
      <c r="S2529" s="1"/>
      <c r="T2529" s="1"/>
      <c r="U2529" s="2">
        <f>IFERROR(__xludf.DUMMYFUNCTION("""COMPUTED_VALUE"""),0.0)</f>
        <v>0</v>
      </c>
      <c r="V2529" s="1" t="str">
        <f>IFERROR(__xludf.DUMMYFUNCTION("""COMPUTED_VALUE"""),"Aileen Dayanghirang")</f>
        <v>Aileen Dayanghirang</v>
      </c>
      <c r="W2529" s="1" t="str">
        <f>IFERROR(__xludf.DUMMYFUNCTION("""COMPUTED_VALUE"""),"Creators Support")</f>
        <v>Creators Support</v>
      </c>
    </row>
    <row r="2530">
      <c r="O2530" s="1" t="str">
        <f>IFERROR(__xludf.DUMMYFUNCTION("""COMPUTED_VALUE"""),"2026 Mar")</f>
        <v>2026 Mar</v>
      </c>
      <c r="P2530" s="1" t="str">
        <f>IFERROR(__xludf.DUMMYFUNCTION("""COMPUTED_VALUE"""),"Admin Support")</f>
        <v>Admin Support</v>
      </c>
      <c r="Q2530" s="1" t="str">
        <f>IFERROR(__xludf.DUMMYFUNCTION("""COMPUTED_VALUE"""),"charlest@canva.com")</f>
        <v>charlest@canva.com</v>
      </c>
      <c r="R2530" s="1" t="str">
        <f>IFERROR(__xludf.DUMMYFUNCTION("""COMPUTED_VALUE"""),"Charles Andrew Tan")</f>
        <v>Charles Andrew Tan</v>
      </c>
      <c r="S2530" s="1"/>
      <c r="T2530" s="1">
        <f>IFERROR(__xludf.DUMMYFUNCTION("""COMPUTED_VALUE"""),4.5)</f>
        <v>4.5</v>
      </c>
      <c r="U2530" s="2">
        <f>IFERROR(__xludf.DUMMYFUNCTION("""COMPUTED_VALUE"""),4.5)</f>
        <v>4.5</v>
      </c>
      <c r="V2530" s="1" t="str">
        <f>IFERROR(__xludf.DUMMYFUNCTION("""COMPUTED_VALUE"""),"Kelden Laguting")</f>
        <v>Kelden Laguting</v>
      </c>
      <c r="W2530" s="1" t="str">
        <f>IFERROR(__xludf.DUMMYFUNCTION("""COMPUTED_VALUE"""),"Admin Omni Support")</f>
        <v>Admin Omni Support</v>
      </c>
    </row>
    <row r="2531">
      <c r="O2531" s="1" t="str">
        <f>IFERROR(__xludf.DUMMYFUNCTION("""COMPUTED_VALUE"""),"2026 Mar")</f>
        <v>2026 Mar</v>
      </c>
      <c r="P2531" s="1" t="str">
        <f>IFERROR(__xludf.DUMMYFUNCTION("""COMPUTED_VALUE"""),"Core Product Support")</f>
        <v>Core Product Support</v>
      </c>
      <c r="Q2531" s="1" t="str">
        <f>IFERROR(__xludf.DUMMYFUNCTION("""COMPUTED_VALUE"""),"charmb@canva.com")</f>
        <v>charmb@canva.com</v>
      </c>
      <c r="R2531" s="1" t="str">
        <f>IFERROR(__xludf.DUMMYFUNCTION("""COMPUTED_VALUE"""),"Charm Bansil")</f>
        <v>Charm Bansil</v>
      </c>
      <c r="S2531" s="1">
        <f>IFERROR(__xludf.DUMMYFUNCTION("""COMPUTED_VALUE"""),2.0)</f>
        <v>2</v>
      </c>
      <c r="T2531" s="1">
        <f>IFERROR(__xludf.DUMMYFUNCTION("""COMPUTED_VALUE"""),5.75)</f>
        <v>5.75</v>
      </c>
      <c r="U2531" s="2">
        <f>IFERROR(__xludf.DUMMYFUNCTION("""COMPUTED_VALUE"""),7.75)</f>
        <v>7.75</v>
      </c>
      <c r="V2531" s="1" t="str">
        <f>IFERROR(__xludf.DUMMYFUNCTION("""COMPUTED_VALUE"""),"Ana Lazaro")</f>
        <v>Ana Lazaro</v>
      </c>
      <c r="W2531" s="1" t="str">
        <f>IFERROR(__xludf.DUMMYFUNCTION("""COMPUTED_VALUE"""),"Advanced Billing &amp; Subscriptions")</f>
        <v>Advanced Billing &amp; Subscriptions</v>
      </c>
    </row>
    <row r="2532">
      <c r="O2532" s="1" t="str">
        <f>IFERROR(__xludf.DUMMYFUNCTION("""COMPUTED_VALUE"""),"2026 Mar")</f>
        <v>2026 Mar</v>
      </c>
      <c r="P2532" s="1" t="str">
        <f>IFERROR(__xludf.DUMMYFUNCTION("""COMPUTED_VALUE"""),"Print Support")</f>
        <v>Print Support</v>
      </c>
      <c r="Q2532" s="1" t="str">
        <f>IFERROR(__xludf.DUMMYFUNCTION("""COMPUTED_VALUE"""),"catherine@canva.com")</f>
        <v>catherine@canva.com</v>
      </c>
      <c r="R2532" s="1" t="str">
        <f>IFERROR(__xludf.DUMMYFUNCTION("""COMPUTED_VALUE"""),"Cheche Ramirez")</f>
        <v>Cheche Ramirez</v>
      </c>
      <c r="S2532" s="1"/>
      <c r="T2532" s="1"/>
      <c r="U2532" s="2">
        <f>IFERROR(__xludf.DUMMYFUNCTION("""COMPUTED_VALUE"""),0.0)</f>
        <v>0</v>
      </c>
      <c r="V2532" s="1" t="str">
        <f>IFERROR(__xludf.DUMMYFUNCTION("""COMPUTED_VALUE"""),"Jen Momo")</f>
        <v>Jen Momo</v>
      </c>
      <c r="W2532" s="1" t="str">
        <f>IFERROR(__xludf.DUMMYFUNCTION("""COMPUTED_VALUE"""),"Print Support PH")</f>
        <v>Print Support PH</v>
      </c>
    </row>
    <row r="2533">
      <c r="O2533" s="1" t="str">
        <f>IFERROR(__xludf.DUMMYFUNCTION("""COMPUTED_VALUE"""),"2026 Mar")</f>
        <v>2026 Mar</v>
      </c>
      <c r="P2533" s="1" t="str">
        <f>IFERROR(__xludf.DUMMYFUNCTION("""COMPUTED_VALUE"""),"Core Product Support")</f>
        <v>Core Product Support</v>
      </c>
      <c r="Q2533" s="1" t="str">
        <f>IFERROR(__xludf.DUMMYFUNCTION("""COMPUTED_VALUE"""),"chesca@canva.com")</f>
        <v>chesca@canva.com</v>
      </c>
      <c r="R2533" s="1" t="str">
        <f>IFERROR(__xludf.DUMMYFUNCTION("""COMPUTED_VALUE"""),"Chesca Martos")</f>
        <v>Chesca Martos</v>
      </c>
      <c r="S2533" s="1">
        <f>IFERROR(__xludf.DUMMYFUNCTION("""COMPUTED_VALUE"""),1.0)</f>
        <v>1</v>
      </c>
      <c r="T2533" s="1">
        <f>IFERROR(__xludf.DUMMYFUNCTION("""COMPUTED_VALUE"""),7.25)</f>
        <v>7.25</v>
      </c>
      <c r="U2533" s="2">
        <f>IFERROR(__xludf.DUMMYFUNCTION("""COMPUTED_VALUE"""),8.25)</f>
        <v>8.25</v>
      </c>
      <c r="V2533" s="1" t="str">
        <f>IFERROR(__xludf.DUMMYFUNCTION("""COMPUTED_VALUE"""),"Ayza Marie Pascual")</f>
        <v>Ayza Marie Pascual</v>
      </c>
      <c r="W2533" s="1" t="str">
        <f>IFERROR(__xludf.DUMMYFUNCTION("""COMPUTED_VALUE"""),"Advanced Billing &amp; Subscriptions")</f>
        <v>Advanced Billing &amp; Subscriptions</v>
      </c>
    </row>
    <row r="2534">
      <c r="O2534" s="1" t="str">
        <f>IFERROR(__xludf.DUMMYFUNCTION("""COMPUTED_VALUE"""),"2026 Mar")</f>
        <v>2026 Mar</v>
      </c>
      <c r="P2534" s="1" t="str">
        <f>IFERROR(__xludf.DUMMYFUNCTION("""COMPUTED_VALUE"""),"Core Product Support")</f>
        <v>Core Product Support</v>
      </c>
      <c r="Q2534" s="1" t="str">
        <f>IFERROR(__xludf.DUMMYFUNCTION("""COMPUTED_VALUE"""),"chlgts@canva.com")</f>
        <v>chlgts@canva.com</v>
      </c>
      <c r="R2534" s="1" t="str">
        <f>IFERROR(__xludf.DUMMYFUNCTION("""COMPUTED_VALUE"""),"Cholo Ligtas")</f>
        <v>Cholo Ligtas</v>
      </c>
      <c r="S2534" s="1">
        <f>IFERROR(__xludf.DUMMYFUNCTION("""COMPUTED_VALUE"""),0.5)</f>
        <v>0.5</v>
      </c>
      <c r="T2534" s="1">
        <f>IFERROR(__xludf.DUMMYFUNCTION("""COMPUTED_VALUE"""),9.25)</f>
        <v>9.25</v>
      </c>
      <c r="U2534" s="2">
        <f>IFERROR(__xludf.DUMMYFUNCTION("""COMPUTED_VALUE"""),9.75)</f>
        <v>9.75</v>
      </c>
      <c r="V2534" s="1" t="str">
        <f>IFERROR(__xludf.DUMMYFUNCTION("""COMPUTED_VALUE"""),"Jahmie Mae Barrameda")</f>
        <v>Jahmie Mae Barrameda</v>
      </c>
      <c r="W2534" s="1" t="str">
        <f>IFERROR(__xludf.DUMMYFUNCTION("""COMPUTED_VALUE"""),"Advanced Billing &amp; Subscriptions")</f>
        <v>Advanced Billing &amp; Subscriptions</v>
      </c>
    </row>
    <row r="2535">
      <c r="O2535" s="1" t="str">
        <f>IFERROR(__xludf.DUMMYFUNCTION("""COMPUTED_VALUE"""),"2026 Mar")</f>
        <v>2026 Mar</v>
      </c>
      <c r="P2535" s="1" t="str">
        <f>IFERROR(__xludf.DUMMYFUNCTION("""COMPUTED_VALUE"""),"Core Product Support")</f>
        <v>Core Product Support</v>
      </c>
      <c r="Q2535" s="1" t="str">
        <f>IFERROR(__xludf.DUMMYFUNCTION("""COMPUTED_VALUE"""),"tintinmaxilom@canva.com")</f>
        <v>tintinmaxilom@canva.com</v>
      </c>
      <c r="R2535" s="1" t="str">
        <f>IFERROR(__xludf.DUMMYFUNCTION("""COMPUTED_VALUE"""),"Christine Araga")</f>
        <v>Christine Araga</v>
      </c>
      <c r="S2535" s="1"/>
      <c r="T2535" s="1">
        <f>IFERROR(__xludf.DUMMYFUNCTION("""COMPUTED_VALUE"""),9.33)</f>
        <v>9.33</v>
      </c>
      <c r="U2535" s="2">
        <f>IFERROR(__xludf.DUMMYFUNCTION("""COMPUTED_VALUE"""),9.33)</f>
        <v>9.33</v>
      </c>
      <c r="V2535" s="1" t="str">
        <f>IFERROR(__xludf.DUMMYFUNCTION("""COMPUTED_VALUE"""),"Jelyn Elmido")</f>
        <v>Jelyn Elmido</v>
      </c>
      <c r="W2535" s="1" t="str">
        <f>IFERROR(__xludf.DUMMYFUNCTION("""COMPUTED_VALUE"""),"Core Product Support Escalation Team")</f>
        <v>Core Product Support Escalation Team</v>
      </c>
    </row>
    <row r="2536">
      <c r="O2536" s="1" t="str">
        <f>IFERROR(__xludf.DUMMYFUNCTION("""COMPUTED_VALUE"""),"2026 Mar")</f>
        <v>2026 Mar</v>
      </c>
      <c r="P2536" s="1" t="str">
        <f>IFERROR(__xludf.DUMMYFUNCTION("""COMPUTED_VALUE"""),"Print Support")</f>
        <v>Print Support</v>
      </c>
      <c r="Q2536" s="1" t="str">
        <f>IFERROR(__xludf.DUMMYFUNCTION("""COMPUTED_VALUE"""),"cjlining@canva.com")</f>
        <v>cjlining@canva.com</v>
      </c>
      <c r="R2536" s="1" t="str">
        <f>IFERROR(__xludf.DUMMYFUNCTION("""COMPUTED_VALUE"""),"CJ Lining")</f>
        <v>CJ Lining</v>
      </c>
      <c r="S2536" s="1"/>
      <c r="T2536" s="1">
        <f>IFERROR(__xludf.DUMMYFUNCTION("""COMPUTED_VALUE"""),0.75)</f>
        <v>0.75</v>
      </c>
      <c r="U2536" s="2">
        <f>IFERROR(__xludf.DUMMYFUNCTION("""COMPUTED_VALUE"""),0.75)</f>
        <v>0.75</v>
      </c>
      <c r="V2536" s="1" t="str">
        <f>IFERROR(__xludf.DUMMYFUNCTION("""COMPUTED_VALUE"""),"Althea Mercado")</f>
        <v>Althea Mercado</v>
      </c>
      <c r="W2536" s="1" t="str">
        <f>IFERROR(__xludf.DUMMYFUNCTION("""COMPUTED_VALUE"""),"Print Support PH")</f>
        <v>Print Support PH</v>
      </c>
    </row>
    <row r="2537">
      <c r="O2537" s="1" t="str">
        <f>IFERROR(__xludf.DUMMYFUNCTION("""COMPUTED_VALUE"""),"2026 Mar")</f>
        <v>2026 Mar</v>
      </c>
      <c r="P2537" s="1" t="str">
        <f>IFERROR(__xludf.DUMMYFUNCTION("""COMPUTED_VALUE"""),"Admin Support")</f>
        <v>Admin Support</v>
      </c>
      <c r="Q2537" s="1" t="str">
        <f>IFERROR(__xludf.DUMMYFUNCTION("""COMPUTED_VALUE"""),"ckmg@canva.com")</f>
        <v>ckmg@canva.com</v>
      </c>
      <c r="R2537" s="1" t="str">
        <f>IFERROR(__xludf.DUMMYFUNCTION("""COMPUTED_VALUE"""),"CK Geronimo")</f>
        <v>CK Geronimo</v>
      </c>
      <c r="S2537" s="1"/>
      <c r="T2537" s="1">
        <f>IFERROR(__xludf.DUMMYFUNCTION("""COMPUTED_VALUE"""),6.17)</f>
        <v>6.17</v>
      </c>
      <c r="U2537" s="2">
        <f>IFERROR(__xludf.DUMMYFUNCTION("""COMPUTED_VALUE"""),6.17)</f>
        <v>6.17</v>
      </c>
      <c r="V2537" s="1" t="str">
        <f>IFERROR(__xludf.DUMMYFUNCTION("""COMPUTED_VALUE"""),"Pau Palmero")</f>
        <v>Pau Palmero</v>
      </c>
      <c r="W2537" s="1" t="str">
        <f>IFERROR(__xludf.DUMMYFUNCTION("""COMPUTED_VALUE"""),"Admin Omni Support")</f>
        <v>Admin Omni Support</v>
      </c>
    </row>
    <row r="2538">
      <c r="O2538" s="1" t="str">
        <f>IFERROR(__xludf.DUMMYFUNCTION("""COMPUTED_VALUE"""),"2026 Mar")</f>
        <v>2026 Mar</v>
      </c>
      <c r="P2538" s="1" t="str">
        <f>IFERROR(__xludf.DUMMYFUNCTION("""COMPUTED_VALUE"""),"Segment-specific Support")</f>
        <v>Segment-specific Support</v>
      </c>
      <c r="Q2538" s="1" t="str">
        <f>IFERROR(__xludf.DUMMYFUNCTION("""COMPUTED_VALUE"""),"magnumck@canva.com")</f>
        <v>magnumck@canva.com</v>
      </c>
      <c r="R2538" s="1" t="str">
        <f>IFERROR(__xludf.DUMMYFUNCTION("""COMPUTED_VALUE"""),"CK Lobaton")</f>
        <v>CK Lobaton</v>
      </c>
      <c r="S2538" s="1"/>
      <c r="T2538" s="1"/>
      <c r="U2538" s="2">
        <f>IFERROR(__xludf.DUMMYFUNCTION("""COMPUTED_VALUE"""),0.0)</f>
        <v>0</v>
      </c>
      <c r="V2538" s="1" t="str">
        <f>IFERROR(__xludf.DUMMYFUNCTION("""COMPUTED_VALUE"""),"Jonathan Dimaculangan")</f>
        <v>Jonathan Dimaculangan</v>
      </c>
      <c r="W2538" s="1" t="str">
        <f>IFERROR(__xludf.DUMMYFUNCTION("""COMPUTED_VALUE"""),"Flourish Support")</f>
        <v>Flourish Support</v>
      </c>
    </row>
    <row r="2539">
      <c r="O2539" s="1" t="str">
        <f>IFERROR(__xludf.DUMMYFUNCTION("""COMPUTED_VALUE"""),"2026 Mar")</f>
        <v>2026 Mar</v>
      </c>
      <c r="P2539" s="1" t="str">
        <f>IFERROR(__xludf.DUMMYFUNCTION("""COMPUTED_VALUE"""),"Core Product Support")</f>
        <v>Core Product Support</v>
      </c>
      <c r="Q2539" s="1" t="str">
        <f>IFERROR(__xludf.DUMMYFUNCTION("""COMPUTED_VALUE"""),"cladd@canva.com")</f>
        <v>cladd@canva.com</v>
      </c>
      <c r="R2539" s="1" t="str">
        <f>IFERROR(__xludf.DUMMYFUNCTION("""COMPUTED_VALUE"""),"Claddys Ann Bernaldez")</f>
        <v>Claddys Ann Bernaldez</v>
      </c>
      <c r="S2539" s="1">
        <f>IFERROR(__xludf.DUMMYFUNCTION("""COMPUTED_VALUE"""),1.0)</f>
        <v>1</v>
      </c>
      <c r="T2539" s="1">
        <f>IFERROR(__xludf.DUMMYFUNCTION("""COMPUTED_VALUE"""),14.5)</f>
        <v>14.5</v>
      </c>
      <c r="U2539" s="2">
        <f>IFERROR(__xludf.DUMMYFUNCTION("""COMPUTED_VALUE"""),15.5)</f>
        <v>15.5</v>
      </c>
      <c r="V2539" s="1" t="str">
        <f>IFERROR(__xludf.DUMMYFUNCTION("""COMPUTED_VALUE"""),"Jelyn Elmido")</f>
        <v>Jelyn Elmido</v>
      </c>
      <c r="W2539" s="1" t="str">
        <f>IFERROR(__xludf.DUMMYFUNCTION("""COMPUTED_VALUE"""),"Core Product Support Escalation Team")</f>
        <v>Core Product Support Escalation Team</v>
      </c>
    </row>
    <row r="2540">
      <c r="O2540" s="1" t="str">
        <f>IFERROR(__xludf.DUMMYFUNCTION("""COMPUTED_VALUE"""),"2026 Mar")</f>
        <v>2026 Mar</v>
      </c>
      <c r="P2540" s="1" t="str">
        <f>IFERROR(__xludf.DUMMYFUNCTION("""COMPUTED_VALUE"""),"Multilingual Support")</f>
        <v>Multilingual Support</v>
      </c>
      <c r="Q2540" s="1" t="str">
        <f>IFERROR(__xludf.DUMMYFUNCTION("""COMPUTED_VALUE"""),"claire.g@canva.com")</f>
        <v>claire.g@canva.com</v>
      </c>
      <c r="R2540" s="1" t="str">
        <f>IFERROR(__xludf.DUMMYFUNCTION("""COMPUTED_VALUE"""),"Claire Gado")</f>
        <v>Claire Gado</v>
      </c>
      <c r="S2540" s="1"/>
      <c r="T2540" s="1">
        <f>IFERROR(__xludf.DUMMYFUNCTION("""COMPUTED_VALUE"""),10.5)</f>
        <v>10.5</v>
      </c>
      <c r="U2540" s="2">
        <f>IFERROR(__xludf.DUMMYFUNCTION("""COMPUTED_VALUE"""),10.5)</f>
        <v>10.5</v>
      </c>
      <c r="V2540" s="1" t="str">
        <f>IFERROR(__xludf.DUMMYFUNCTION("""COMPUTED_VALUE"""),"Arlene Maurillo")</f>
        <v>Arlene Maurillo</v>
      </c>
      <c r="W2540" s="1" t="str">
        <f>IFERROR(__xludf.DUMMYFUNCTION("""COMPUTED_VALUE"""),"PHL, Multilingual Support")</f>
        <v>PHL, Multilingual Support</v>
      </c>
    </row>
    <row r="2541">
      <c r="O2541" s="1" t="str">
        <f>IFERROR(__xludf.DUMMYFUNCTION("""COMPUTED_VALUE"""),"2026 Mar")</f>
        <v>2026 Mar</v>
      </c>
      <c r="P2541" s="1" t="str">
        <f>IFERROR(__xludf.DUMMYFUNCTION("""COMPUTED_VALUE"""),"Print Support")</f>
        <v>Print Support</v>
      </c>
      <c r="Q2541" s="1" t="str">
        <f>IFERROR(__xludf.DUMMYFUNCTION("""COMPUTED_VALUE"""),"cyreengee@canva.com")</f>
        <v>cyreengee@canva.com</v>
      </c>
      <c r="R2541" s="1" t="str">
        <f>IFERROR(__xludf.DUMMYFUNCTION("""COMPUTED_VALUE"""),"Cye Gonzales")</f>
        <v>Cye Gonzales</v>
      </c>
      <c r="S2541" s="1"/>
      <c r="T2541" s="1"/>
      <c r="U2541" s="2">
        <f>IFERROR(__xludf.DUMMYFUNCTION("""COMPUTED_VALUE"""),0.0)</f>
        <v>0</v>
      </c>
      <c r="V2541" s="1" t="str">
        <f>IFERROR(__xludf.DUMMYFUNCTION("""COMPUTED_VALUE"""),"Althea Mercado")</f>
        <v>Althea Mercado</v>
      </c>
      <c r="W2541" s="1" t="str">
        <f>IFERROR(__xludf.DUMMYFUNCTION("""COMPUTED_VALUE"""),"Print Support PH")</f>
        <v>Print Support PH</v>
      </c>
    </row>
    <row r="2542">
      <c r="O2542" s="1" t="str">
        <f>IFERROR(__xludf.DUMMYFUNCTION("""COMPUTED_VALUE"""),"2026 Mar")</f>
        <v>2026 Mar</v>
      </c>
      <c r="P2542" s="1" t="str">
        <f>IFERROR(__xludf.DUMMYFUNCTION("""COMPUTED_VALUE"""),"Print Support")</f>
        <v>Print Support</v>
      </c>
      <c r="Q2542" s="1" t="str">
        <f>IFERROR(__xludf.DUMMYFUNCTION("""COMPUTED_VALUE"""),"dyter@canva.com")</f>
        <v>dyter@canva.com</v>
      </c>
      <c r="R2542" s="1" t="str">
        <f>IFERROR(__xludf.DUMMYFUNCTION("""COMPUTED_VALUE"""),"Daisy Tercenio")</f>
        <v>Daisy Tercenio</v>
      </c>
      <c r="S2542" s="1"/>
      <c r="T2542" s="1"/>
      <c r="U2542" s="2">
        <f>IFERROR(__xludf.DUMMYFUNCTION("""COMPUTED_VALUE"""),0.0)</f>
        <v>0</v>
      </c>
      <c r="V2542" s="1" t="str">
        <f>IFERROR(__xludf.DUMMYFUNCTION("""COMPUTED_VALUE"""),"Rae Erlano")</f>
        <v>Rae Erlano</v>
      </c>
      <c r="W2542" s="1" t="str">
        <f>IFERROR(__xludf.DUMMYFUNCTION("""COMPUTED_VALUE"""),"Print Support PH")</f>
        <v>Print Support PH</v>
      </c>
    </row>
    <row r="2543">
      <c r="O2543" s="1" t="str">
        <f>IFERROR(__xludf.DUMMYFUNCTION("""COMPUTED_VALUE"""),"2026 Mar")</f>
        <v>2026 Mar</v>
      </c>
      <c r="P2543" s="1" t="str">
        <f>IFERROR(__xludf.DUMMYFUNCTION("""COMPUTED_VALUE"""),"Core Product Support")</f>
        <v>Core Product Support</v>
      </c>
      <c r="Q2543" s="1" t="str">
        <f>IFERROR(__xludf.DUMMYFUNCTION("""COMPUTED_VALUE"""),"danortiz@canva.com")</f>
        <v>danortiz@canva.com</v>
      </c>
      <c r="R2543" s="1" t="str">
        <f>IFERROR(__xludf.DUMMYFUNCTION("""COMPUTED_VALUE"""),"Daniella Ortiz")</f>
        <v>Daniella Ortiz</v>
      </c>
      <c r="S2543" s="1">
        <f>IFERROR(__xludf.DUMMYFUNCTION("""COMPUTED_VALUE"""),1.0)</f>
        <v>1</v>
      </c>
      <c r="T2543" s="1">
        <f>IFERROR(__xludf.DUMMYFUNCTION("""COMPUTED_VALUE"""),9.83)</f>
        <v>9.83</v>
      </c>
      <c r="U2543" s="2">
        <f>IFERROR(__xludf.DUMMYFUNCTION("""COMPUTED_VALUE"""),10.83)</f>
        <v>10.83</v>
      </c>
      <c r="V2543" s="1" t="str">
        <f>IFERROR(__xludf.DUMMYFUNCTION("""COMPUTED_VALUE"""),"Cate Velasco")</f>
        <v>Cate Velasco</v>
      </c>
      <c r="W2543" s="1" t="str">
        <f>IFERROR(__xludf.DUMMYFUNCTION("""COMPUTED_VALUE"""),"Advanced Product Support")</f>
        <v>Advanced Product Support</v>
      </c>
    </row>
    <row r="2544">
      <c r="O2544" s="1" t="str">
        <f>IFERROR(__xludf.DUMMYFUNCTION("""COMPUTED_VALUE"""),"2026 Mar")</f>
        <v>2026 Mar</v>
      </c>
      <c r="P2544" s="1" t="str">
        <f>IFERROR(__xludf.DUMMYFUNCTION("""COMPUTED_VALUE"""),"Segment-specific Support")</f>
        <v>Segment-specific Support</v>
      </c>
      <c r="Q2544" s="1" t="str">
        <f>IFERROR(__xludf.DUMMYFUNCTION("""COMPUTED_VALUE"""),"daniellegrace@canva.com")</f>
        <v>daniellegrace@canva.com</v>
      </c>
      <c r="R2544" s="1" t="str">
        <f>IFERROR(__xludf.DUMMYFUNCTION("""COMPUTED_VALUE"""),"Danielle Marasigan")</f>
        <v>Danielle Marasigan</v>
      </c>
      <c r="S2544" s="1"/>
      <c r="T2544" s="1"/>
      <c r="U2544" s="2">
        <f>IFERROR(__xludf.DUMMYFUNCTION("""COMPUTED_VALUE"""),0.0)</f>
        <v>0</v>
      </c>
      <c r="V2544" s="1" t="str">
        <f>IFERROR(__xludf.DUMMYFUNCTION("""COMPUTED_VALUE"""),"Aileen Dayanghirang")</f>
        <v>Aileen Dayanghirang</v>
      </c>
      <c r="W2544" s="1" t="str">
        <f>IFERROR(__xludf.DUMMYFUNCTION("""COMPUTED_VALUE"""),"Creators Support")</f>
        <v>Creators Support</v>
      </c>
    </row>
    <row r="2545">
      <c r="O2545" s="1" t="str">
        <f>IFERROR(__xludf.DUMMYFUNCTION("""COMPUTED_VALUE"""),"2026 Mar")</f>
        <v>2026 Mar</v>
      </c>
      <c r="P2545" s="1" t="str">
        <f>IFERROR(__xludf.DUMMYFUNCTION("""COMPUTED_VALUE"""),"Admin Support")</f>
        <v>Admin Support</v>
      </c>
      <c r="Q2545" s="1" t="str">
        <f>IFERROR(__xludf.DUMMYFUNCTION("""COMPUTED_VALUE"""),"dannah@canva.com")</f>
        <v>dannah@canva.com</v>
      </c>
      <c r="R2545" s="1" t="str">
        <f>IFERROR(__xludf.DUMMYFUNCTION("""COMPUTED_VALUE"""),"Dannah Kate Dizon")</f>
        <v>Dannah Kate Dizon</v>
      </c>
      <c r="S2545" s="1"/>
      <c r="T2545" s="1">
        <f>IFERROR(__xludf.DUMMYFUNCTION("""COMPUTED_VALUE"""),3.0)</f>
        <v>3</v>
      </c>
      <c r="U2545" s="2">
        <f>IFERROR(__xludf.DUMMYFUNCTION("""COMPUTED_VALUE"""),3.0)</f>
        <v>3</v>
      </c>
      <c r="V2545" s="1" t="str">
        <f>IFERROR(__xludf.DUMMYFUNCTION("""COMPUTED_VALUE"""),"Karla Mananghaya")</f>
        <v>Karla Mananghaya</v>
      </c>
      <c r="W2545" s="1" t="str">
        <f>IFERROR(__xludf.DUMMYFUNCTION("""COMPUTED_VALUE"""),"Admin Support Service Escalation Team")</f>
        <v>Admin Support Service Escalation Team</v>
      </c>
    </row>
    <row r="2546">
      <c r="O2546" s="1" t="str">
        <f>IFERROR(__xludf.DUMMYFUNCTION("""COMPUTED_VALUE"""),"2026 Mar")</f>
        <v>2026 Mar</v>
      </c>
      <c r="P2546" s="1" t="str">
        <f>IFERROR(__xludf.DUMMYFUNCTION("""COMPUTED_VALUE"""),"High Sensitivity Support")</f>
        <v>High Sensitivity Support</v>
      </c>
      <c r="Q2546" s="1" t="str">
        <f>IFERROR(__xludf.DUMMYFUNCTION("""COMPUTED_VALUE"""),"danrev@canva.com")</f>
        <v>danrev@canva.com</v>
      </c>
      <c r="R2546" s="1" t="str">
        <f>IFERROR(__xludf.DUMMYFUNCTION("""COMPUTED_VALUE"""),"Danrev Bactad")</f>
        <v>Danrev Bactad</v>
      </c>
      <c r="S2546" s="1"/>
      <c r="T2546" s="1">
        <f>IFERROR(__xludf.DUMMYFUNCTION("""COMPUTED_VALUE"""),4.0)</f>
        <v>4</v>
      </c>
      <c r="U2546" s="2">
        <f>IFERROR(__xludf.DUMMYFUNCTION("""COMPUTED_VALUE"""),4.0)</f>
        <v>4</v>
      </c>
      <c r="V2546" s="1" t="str">
        <f>IFERROR(__xludf.DUMMYFUNCTION("""COMPUTED_VALUE"""),"Xandy Azarcon")</f>
        <v>Xandy Azarcon</v>
      </c>
      <c r="W2546" s="1" t="str">
        <f>IFERROR(__xludf.DUMMYFUNCTION("""COMPUTED_VALUE"""),"High Sensitivity Support PH")</f>
        <v>High Sensitivity Support PH</v>
      </c>
    </row>
    <row r="2547">
      <c r="O2547" s="1" t="str">
        <f>IFERROR(__xludf.DUMMYFUNCTION("""COMPUTED_VALUE"""),"2026 Mar")</f>
        <v>2026 Mar</v>
      </c>
      <c r="P2547" s="1" t="str">
        <f>IFERROR(__xludf.DUMMYFUNCTION("""COMPUTED_VALUE"""),"Print Support")</f>
        <v>Print Support</v>
      </c>
      <c r="Q2547" s="1" t="str">
        <f>IFERROR(__xludf.DUMMYFUNCTION("""COMPUTED_VALUE"""),"daphne@canva.com")</f>
        <v>daphne@canva.com</v>
      </c>
      <c r="R2547" s="1" t="str">
        <f>IFERROR(__xludf.DUMMYFUNCTION("""COMPUTED_VALUE"""),"Daphne Arboleda")</f>
        <v>Daphne Arboleda</v>
      </c>
      <c r="S2547" s="1"/>
      <c r="T2547" s="1"/>
      <c r="U2547" s="2">
        <f>IFERROR(__xludf.DUMMYFUNCTION("""COMPUTED_VALUE"""),0.0)</f>
        <v>0</v>
      </c>
      <c r="V2547" s="1" t="str">
        <f>IFERROR(__xludf.DUMMYFUNCTION("""COMPUTED_VALUE"""),"Memae Faustino")</f>
        <v>Memae Faustino</v>
      </c>
      <c r="W2547" s="1" t="str">
        <f>IFERROR(__xludf.DUMMYFUNCTION("""COMPUTED_VALUE"""),"Print Support PH")</f>
        <v>Print Support PH</v>
      </c>
    </row>
    <row r="2548">
      <c r="O2548" s="1" t="str">
        <f>IFERROR(__xludf.DUMMYFUNCTION("""COMPUTED_VALUE"""),"2026 Mar")</f>
        <v>2026 Mar</v>
      </c>
      <c r="P2548" s="1" t="str">
        <f>IFERROR(__xludf.DUMMYFUNCTION("""COMPUTED_VALUE"""),"High Sensitivity Support")</f>
        <v>High Sensitivity Support</v>
      </c>
      <c r="Q2548" s="1" t="str">
        <f>IFERROR(__xludf.DUMMYFUNCTION("""COMPUTED_VALUE"""),"darrelm@canva.com")</f>
        <v>darrelm@canva.com</v>
      </c>
      <c r="R2548" s="1" t="str">
        <f>IFERROR(__xludf.DUMMYFUNCTION("""COMPUTED_VALUE"""),"Darrel Marcelino")</f>
        <v>Darrel Marcelino</v>
      </c>
      <c r="S2548" s="1"/>
      <c r="T2548" s="1">
        <f>IFERROR(__xludf.DUMMYFUNCTION("""COMPUTED_VALUE"""),5.0)</f>
        <v>5</v>
      </c>
      <c r="U2548" s="2">
        <f>IFERROR(__xludf.DUMMYFUNCTION("""COMPUTED_VALUE"""),5.0)</f>
        <v>5</v>
      </c>
      <c r="V2548" s="1" t="str">
        <f>IFERROR(__xludf.DUMMYFUNCTION("""COMPUTED_VALUE"""),"Issi Afable")</f>
        <v>Issi Afable</v>
      </c>
      <c r="W2548" s="1" t="str">
        <f>IFERROR(__xludf.DUMMYFUNCTION("""COMPUTED_VALUE"""),"High Sensitivity Support PH")</f>
        <v>High Sensitivity Support PH</v>
      </c>
    </row>
    <row r="2549">
      <c r="O2549" s="1" t="str">
        <f>IFERROR(__xludf.DUMMYFUNCTION("""COMPUTED_VALUE"""),"2026 Mar")</f>
        <v>2026 Mar</v>
      </c>
      <c r="P2549" s="1" t="str">
        <f>IFERROR(__xludf.DUMMYFUNCTION("""COMPUTED_VALUE"""),"Core Product Support")</f>
        <v>Core Product Support</v>
      </c>
      <c r="Q2549" s="1" t="str">
        <f>IFERROR(__xludf.DUMMYFUNCTION("""COMPUTED_VALUE"""),"davecosteloii@canva.com")</f>
        <v>davecosteloii@canva.com</v>
      </c>
      <c r="R2549" s="1" t="str">
        <f>IFERROR(__xludf.DUMMYFUNCTION("""COMPUTED_VALUE"""),"Dave Costelo")</f>
        <v>Dave Costelo</v>
      </c>
      <c r="S2549" s="1">
        <f>IFERROR(__xludf.DUMMYFUNCTION("""COMPUTED_VALUE"""),0.5)</f>
        <v>0.5</v>
      </c>
      <c r="T2549" s="1">
        <f>IFERROR(__xludf.DUMMYFUNCTION("""COMPUTED_VALUE"""),7.0)</f>
        <v>7</v>
      </c>
      <c r="U2549" s="2">
        <f>IFERROR(__xludf.DUMMYFUNCTION("""COMPUTED_VALUE"""),7.5)</f>
        <v>7.5</v>
      </c>
      <c r="V2549" s="1" t="str">
        <f>IFERROR(__xludf.DUMMYFUNCTION("""COMPUTED_VALUE"""),"Jahmie Mae Barrameda")</f>
        <v>Jahmie Mae Barrameda</v>
      </c>
      <c r="W2549" s="1" t="str">
        <f>IFERROR(__xludf.DUMMYFUNCTION("""COMPUTED_VALUE"""),"Advanced Billing &amp; Subscriptions")</f>
        <v>Advanced Billing &amp; Subscriptions</v>
      </c>
    </row>
    <row r="2550">
      <c r="O2550" s="1" t="str">
        <f>IFERROR(__xludf.DUMMYFUNCTION("""COMPUTED_VALUE"""),"2026 Mar")</f>
        <v>2026 Mar</v>
      </c>
      <c r="P2550" s="1" t="str">
        <f>IFERROR(__xludf.DUMMYFUNCTION("""COMPUTED_VALUE"""),"Admin Support")</f>
        <v>Admin Support</v>
      </c>
      <c r="Q2550" s="1" t="str">
        <f>IFERROR(__xludf.DUMMYFUNCTION("""COMPUTED_VALUE"""),"davidfrancis@canva.com")</f>
        <v>davidfrancis@canva.com</v>
      </c>
      <c r="R2550" s="1" t="str">
        <f>IFERROR(__xludf.DUMMYFUNCTION("""COMPUTED_VALUE"""),"David Francis Dimatulac")</f>
        <v>David Francis Dimatulac</v>
      </c>
      <c r="S2550" s="1"/>
      <c r="T2550" s="1">
        <f>IFERROR(__xludf.DUMMYFUNCTION("""COMPUTED_VALUE"""),2.0)</f>
        <v>2</v>
      </c>
      <c r="U2550" s="2">
        <f>IFERROR(__xludf.DUMMYFUNCTION("""COMPUTED_VALUE"""),2.0)</f>
        <v>2</v>
      </c>
      <c r="V2550" s="1" t="str">
        <f>IFERROR(__xludf.DUMMYFUNCTION("""COMPUTED_VALUE"""),"Karla Mananghaya")</f>
        <v>Karla Mananghaya</v>
      </c>
      <c r="W2550" s="1" t="str">
        <f>IFERROR(__xludf.DUMMYFUNCTION("""COMPUTED_VALUE"""),"Admin Support Service Escalation Team")</f>
        <v>Admin Support Service Escalation Team</v>
      </c>
    </row>
    <row r="2551">
      <c r="O2551" s="1" t="str">
        <f>IFERROR(__xludf.DUMMYFUNCTION("""COMPUTED_VALUE"""),"2026 Mar")</f>
        <v>2026 Mar</v>
      </c>
      <c r="P2551" s="1" t="str">
        <f>IFERROR(__xludf.DUMMYFUNCTION("""COMPUTED_VALUE"""),"Core Product Support")</f>
        <v>Core Product Support</v>
      </c>
      <c r="Q2551" s="1" t="str">
        <f>IFERROR(__xludf.DUMMYFUNCTION("""COMPUTED_VALUE"""),"denden@canva.com")</f>
        <v>denden@canva.com</v>
      </c>
      <c r="R2551" s="1" t="str">
        <f>IFERROR(__xludf.DUMMYFUNCTION("""COMPUTED_VALUE"""),"Den Gutierrez")</f>
        <v>Den Gutierrez</v>
      </c>
      <c r="S2551" s="1">
        <f>IFERROR(__xludf.DUMMYFUNCTION("""COMPUTED_VALUE"""),1.0)</f>
        <v>1</v>
      </c>
      <c r="T2551" s="1">
        <f>IFERROR(__xludf.DUMMYFUNCTION("""COMPUTED_VALUE"""),10.5)</f>
        <v>10.5</v>
      </c>
      <c r="U2551" s="2">
        <f>IFERROR(__xludf.DUMMYFUNCTION("""COMPUTED_VALUE"""),11.5)</f>
        <v>11.5</v>
      </c>
      <c r="V2551" s="1" t="str">
        <f>IFERROR(__xludf.DUMMYFUNCTION("""COMPUTED_VALUE"""),"Sieg Ballelos")</f>
        <v>Sieg Ballelos</v>
      </c>
      <c r="W2551" s="1" t="str">
        <f>IFERROR(__xludf.DUMMYFUNCTION("""COMPUTED_VALUE"""),"Core Product Support Escalation Team")</f>
        <v>Core Product Support Escalation Team</v>
      </c>
    </row>
    <row r="2552">
      <c r="O2552" s="1" t="str">
        <f>IFERROR(__xludf.DUMMYFUNCTION("""COMPUTED_VALUE"""),"2026 Mar")</f>
        <v>2026 Mar</v>
      </c>
      <c r="P2552" s="1" t="str">
        <f>IFERROR(__xludf.DUMMYFUNCTION("""COMPUTED_VALUE"""),"Core Product Support")</f>
        <v>Core Product Support</v>
      </c>
      <c r="Q2552" s="1" t="str">
        <f>IFERROR(__xludf.DUMMYFUNCTION("""COMPUTED_VALUE"""),"deniseadrms@canva.com")</f>
        <v>deniseadrms@canva.com</v>
      </c>
      <c r="R2552" s="1" t="str">
        <f>IFERROR(__xludf.DUMMYFUNCTION("""COMPUTED_VALUE"""),"Denise Adoremos")</f>
        <v>Denise Adoremos</v>
      </c>
      <c r="S2552" s="1"/>
      <c r="T2552" s="1">
        <f>IFERROR(__xludf.DUMMYFUNCTION("""COMPUTED_VALUE"""),6.0)</f>
        <v>6</v>
      </c>
      <c r="U2552" s="2">
        <f>IFERROR(__xludf.DUMMYFUNCTION("""COMPUTED_VALUE"""),6.0)</f>
        <v>6</v>
      </c>
      <c r="V2552" s="1" t="str">
        <f>IFERROR(__xludf.DUMMYFUNCTION("""COMPUTED_VALUE"""),"Ana Lazaro")</f>
        <v>Ana Lazaro</v>
      </c>
      <c r="W2552" s="1" t="str">
        <f>IFERROR(__xludf.DUMMYFUNCTION("""COMPUTED_VALUE"""),"Advanced Billing &amp; Subscriptions")</f>
        <v>Advanced Billing &amp; Subscriptions</v>
      </c>
    </row>
    <row r="2553">
      <c r="O2553" s="1" t="str">
        <f>IFERROR(__xludf.DUMMYFUNCTION("""COMPUTED_VALUE"""),"2026 Mar")</f>
        <v>2026 Mar</v>
      </c>
      <c r="P2553" s="1" t="str">
        <f>IFERROR(__xludf.DUMMYFUNCTION("""COMPUTED_VALUE"""),"Segment-specific Support")</f>
        <v>Segment-specific Support</v>
      </c>
      <c r="Q2553" s="1" t="str">
        <f>IFERROR(__xludf.DUMMYFUNCTION("""COMPUTED_VALUE"""),"dymplem@canva.com")</f>
        <v>dymplem@canva.com</v>
      </c>
      <c r="R2553" s="1" t="str">
        <f>IFERROR(__xludf.DUMMYFUNCTION("""COMPUTED_VALUE"""),"Dymple Macaraeg")</f>
        <v>Dymple Macaraeg</v>
      </c>
      <c r="S2553" s="1"/>
      <c r="T2553" s="1">
        <f>IFERROR(__xludf.DUMMYFUNCTION("""COMPUTED_VALUE"""),3.45)</f>
        <v>3.45</v>
      </c>
      <c r="U2553" s="2">
        <f>IFERROR(__xludf.DUMMYFUNCTION("""COMPUTED_VALUE"""),3.45)</f>
        <v>3.45</v>
      </c>
      <c r="V2553" s="1" t="str">
        <f>IFERROR(__xludf.DUMMYFUNCTION("""COMPUTED_VALUE"""),"Rose Gabilan")</f>
        <v>Rose Gabilan</v>
      </c>
      <c r="W2553" s="1" t="str">
        <f>IFERROR(__xludf.DUMMYFUNCTION("""COMPUTED_VALUE"""),"Affinity Support")</f>
        <v>Affinity Support</v>
      </c>
    </row>
    <row r="2554">
      <c r="O2554" s="1" t="str">
        <f>IFERROR(__xludf.DUMMYFUNCTION("""COMPUTED_VALUE"""),"2026 Mar")</f>
        <v>2026 Mar</v>
      </c>
      <c r="P2554" s="1" t="str">
        <f>IFERROR(__xludf.DUMMYFUNCTION("""COMPUTED_VALUE"""),"Admin Support")</f>
        <v>Admin Support</v>
      </c>
      <c r="Q2554" s="1" t="str">
        <f>IFERROR(__xludf.DUMMYFUNCTION("""COMPUTED_VALUE"""),"edlico@canva.com")</f>
        <v>edlico@canva.com</v>
      </c>
      <c r="R2554" s="1" t="str">
        <f>IFERROR(__xludf.DUMMYFUNCTION("""COMPUTED_VALUE"""),"Ed Lico")</f>
        <v>Ed Lico</v>
      </c>
      <c r="S2554" s="1"/>
      <c r="T2554" s="1">
        <f>IFERROR(__xludf.DUMMYFUNCTION("""COMPUTED_VALUE"""),5.17)</f>
        <v>5.17</v>
      </c>
      <c r="U2554" s="2">
        <f>IFERROR(__xludf.DUMMYFUNCTION("""COMPUTED_VALUE"""),5.17)</f>
        <v>5.17</v>
      </c>
      <c r="V2554" s="1" t="str">
        <f>IFERROR(__xludf.DUMMYFUNCTION("""COMPUTED_VALUE"""),"Pau Palmero")</f>
        <v>Pau Palmero</v>
      </c>
      <c r="W2554" s="1" t="str">
        <f>IFERROR(__xludf.DUMMYFUNCTION("""COMPUTED_VALUE"""),"Admin Omni Support")</f>
        <v>Admin Omni Support</v>
      </c>
    </row>
    <row r="2555">
      <c r="O2555" s="1" t="str">
        <f>IFERROR(__xludf.DUMMYFUNCTION("""COMPUTED_VALUE"""),"2026 Mar")</f>
        <v>2026 Mar</v>
      </c>
      <c r="P2555" s="1" t="str">
        <f>IFERROR(__xludf.DUMMYFUNCTION("""COMPUTED_VALUE"""),"Multilingual Support")</f>
        <v>Multilingual Support</v>
      </c>
      <c r="Q2555" s="1" t="str">
        <f>IFERROR(__xludf.DUMMYFUNCTION("""COMPUTED_VALUE"""),"elmata@canva.com")</f>
        <v>elmata@canva.com</v>
      </c>
      <c r="R2555" s="1" t="str">
        <f>IFERROR(__xludf.DUMMYFUNCTION("""COMPUTED_VALUE"""),"Elmer Matarlo")</f>
        <v>Elmer Matarlo</v>
      </c>
      <c r="S2555" s="1"/>
      <c r="T2555" s="1">
        <f>IFERROR(__xludf.DUMMYFUNCTION("""COMPUTED_VALUE"""),5.5)</f>
        <v>5.5</v>
      </c>
      <c r="U2555" s="2">
        <f>IFERROR(__xludf.DUMMYFUNCTION("""COMPUTED_VALUE"""),5.5)</f>
        <v>5.5</v>
      </c>
      <c r="V2555" s="1" t="str">
        <f>IFERROR(__xludf.DUMMYFUNCTION("""COMPUTED_VALUE"""),"Arlene Maurillo")</f>
        <v>Arlene Maurillo</v>
      </c>
      <c r="W2555" s="1" t="str">
        <f>IFERROR(__xludf.DUMMYFUNCTION("""COMPUTED_VALUE"""),"PHL, Multilingual Support")</f>
        <v>PHL, Multilingual Support</v>
      </c>
    </row>
    <row r="2556">
      <c r="O2556" s="1" t="str">
        <f>IFERROR(__xludf.DUMMYFUNCTION("""COMPUTED_VALUE"""),"2026 Mar")</f>
        <v>2026 Mar</v>
      </c>
      <c r="P2556" s="1" t="str">
        <f>IFERROR(__xludf.DUMMYFUNCTION("""COMPUTED_VALUE"""),"Core Product Support")</f>
        <v>Core Product Support</v>
      </c>
      <c r="Q2556" s="1" t="str">
        <f>IFERROR(__xludf.DUMMYFUNCTION("""COMPUTED_VALUE"""),"ena@canva.com")</f>
        <v>ena@canva.com</v>
      </c>
      <c r="R2556" s="1" t="str">
        <f>IFERROR(__xludf.DUMMYFUNCTION("""COMPUTED_VALUE"""),"Ena Reyes")</f>
        <v>Ena Reyes</v>
      </c>
      <c r="S2556" s="1">
        <f>IFERROR(__xludf.DUMMYFUNCTION("""COMPUTED_VALUE"""),0.5)</f>
        <v>0.5</v>
      </c>
      <c r="T2556" s="1">
        <f>IFERROR(__xludf.DUMMYFUNCTION("""COMPUTED_VALUE"""),7.75)</f>
        <v>7.75</v>
      </c>
      <c r="U2556" s="2">
        <f>IFERROR(__xludf.DUMMYFUNCTION("""COMPUTED_VALUE"""),8.25)</f>
        <v>8.25</v>
      </c>
      <c r="V2556" s="1" t="str">
        <f>IFERROR(__xludf.DUMMYFUNCTION("""COMPUTED_VALUE"""),"Jem Mondoñedo")</f>
        <v>Jem Mondoñedo</v>
      </c>
      <c r="W2556" s="1" t="str">
        <f>IFERROR(__xludf.DUMMYFUNCTION("""COMPUTED_VALUE"""),"Advanced Billing &amp; Subscriptions")</f>
        <v>Advanced Billing &amp; Subscriptions</v>
      </c>
    </row>
    <row r="2557">
      <c r="O2557" s="1" t="str">
        <f>IFERROR(__xludf.DUMMYFUNCTION("""COMPUTED_VALUE"""),"2026 Mar")</f>
        <v>2026 Mar</v>
      </c>
      <c r="P2557" s="1" t="str">
        <f>IFERROR(__xludf.DUMMYFUNCTION("""COMPUTED_VALUE"""),"Admin Support")</f>
        <v>Admin Support</v>
      </c>
      <c r="Q2557" s="1" t="str">
        <f>IFERROR(__xludf.DUMMYFUNCTION("""COMPUTED_VALUE"""),"enrique@canva.com")</f>
        <v>enrique@canva.com</v>
      </c>
      <c r="R2557" s="1" t="str">
        <f>IFERROR(__xludf.DUMMYFUNCTION("""COMPUTED_VALUE"""),"Enrique Paolo Catuncan")</f>
        <v>Enrique Paolo Catuncan</v>
      </c>
      <c r="S2557" s="1"/>
      <c r="T2557" s="1">
        <f>IFERROR(__xludf.DUMMYFUNCTION("""COMPUTED_VALUE"""),5.75)</f>
        <v>5.75</v>
      </c>
      <c r="U2557" s="2">
        <f>IFERROR(__xludf.DUMMYFUNCTION("""COMPUTED_VALUE"""),5.75)</f>
        <v>5.75</v>
      </c>
      <c r="V2557" s="1" t="str">
        <f>IFERROR(__xludf.DUMMYFUNCTION("""COMPUTED_VALUE"""),"AL Suarez")</f>
        <v>AL Suarez</v>
      </c>
      <c r="W2557" s="1" t="str">
        <f>IFERROR(__xludf.DUMMYFUNCTION("""COMPUTED_VALUE"""),"Admin Direct Support")</f>
        <v>Admin Direct Support</v>
      </c>
    </row>
    <row r="2558">
      <c r="O2558" s="1" t="str">
        <f>IFERROR(__xludf.DUMMYFUNCTION("""COMPUTED_VALUE"""),"2026 Mar")</f>
        <v>2026 Mar</v>
      </c>
      <c r="P2558" s="1" t="str">
        <f>IFERROR(__xludf.DUMMYFUNCTION("""COMPUTED_VALUE"""),"Print Support")</f>
        <v>Print Support</v>
      </c>
      <c r="Q2558" s="1" t="str">
        <f>IFERROR(__xludf.DUMMYFUNCTION("""COMPUTED_VALUE"""),"erielle@canva.com")</f>
        <v>erielle@canva.com</v>
      </c>
      <c r="R2558" s="1" t="str">
        <f>IFERROR(__xludf.DUMMYFUNCTION("""COMPUTED_VALUE"""),"Erielle Singular")</f>
        <v>Erielle Singular</v>
      </c>
      <c r="S2558" s="1"/>
      <c r="T2558" s="1">
        <f>IFERROR(__xludf.DUMMYFUNCTION("""COMPUTED_VALUE"""),45.0)</f>
        <v>45</v>
      </c>
      <c r="U2558" s="2">
        <f>IFERROR(__xludf.DUMMYFUNCTION("""COMPUTED_VALUE"""),45.0)</f>
        <v>45</v>
      </c>
      <c r="V2558" s="1" t="str">
        <f>IFERROR(__xludf.DUMMYFUNCTION("""COMPUTED_VALUE"""),"Rei De Jesus")</f>
        <v>Rei De Jesus</v>
      </c>
      <c r="W2558" s="1" t="str">
        <f>IFERROR(__xludf.DUMMYFUNCTION("""COMPUTED_VALUE"""),"Print Design Support")</f>
        <v>Print Design Support</v>
      </c>
    </row>
    <row r="2559">
      <c r="O2559" s="1" t="str">
        <f>IFERROR(__xludf.DUMMYFUNCTION("""COMPUTED_VALUE"""),"2026 Mar")</f>
        <v>2026 Mar</v>
      </c>
      <c r="P2559" s="1" t="str">
        <f>IFERROR(__xludf.DUMMYFUNCTION("""COMPUTED_VALUE"""),"Core Product Support")</f>
        <v>Core Product Support</v>
      </c>
      <c r="Q2559" s="1" t="str">
        <f>IFERROR(__xludf.DUMMYFUNCTION("""COMPUTED_VALUE"""),"euni@canva.com")</f>
        <v>euni@canva.com</v>
      </c>
      <c r="R2559" s="1" t="str">
        <f>IFERROR(__xludf.DUMMYFUNCTION("""COMPUTED_VALUE"""),"Eunice Hachero")</f>
        <v>Eunice Hachero</v>
      </c>
      <c r="S2559" s="1"/>
      <c r="T2559" s="1">
        <f>IFERROR(__xludf.DUMMYFUNCTION("""COMPUTED_VALUE"""),9.25)</f>
        <v>9.25</v>
      </c>
      <c r="U2559" s="2">
        <f>IFERROR(__xludf.DUMMYFUNCTION("""COMPUTED_VALUE"""),9.25)</f>
        <v>9.25</v>
      </c>
      <c r="V2559" s="1" t="str">
        <f>IFERROR(__xludf.DUMMYFUNCTION("""COMPUTED_VALUE"""),"Marie Mordeno")</f>
        <v>Marie Mordeno</v>
      </c>
      <c r="W2559" s="1" t="str">
        <f>IFERROR(__xludf.DUMMYFUNCTION("""COMPUTED_VALUE"""),"Advanced Billing &amp; Subscriptions")</f>
        <v>Advanced Billing &amp; Subscriptions</v>
      </c>
    </row>
    <row r="2560">
      <c r="O2560" s="1" t="str">
        <f>IFERROR(__xludf.DUMMYFUNCTION("""COMPUTED_VALUE"""),"2026 Mar")</f>
        <v>2026 Mar</v>
      </c>
      <c r="P2560" s="1" t="str">
        <f>IFERROR(__xludf.DUMMYFUNCTION("""COMPUTED_VALUE"""),"Admin Support")</f>
        <v>Admin Support</v>
      </c>
      <c r="Q2560" s="1" t="str">
        <f>IFERROR(__xludf.DUMMYFUNCTION("""COMPUTED_VALUE"""),"eziecl@canva.com")</f>
        <v>eziecl@canva.com</v>
      </c>
      <c r="R2560" s="1" t="str">
        <f>IFERROR(__xludf.DUMMYFUNCTION("""COMPUTED_VALUE"""),"Ezekiel Marlin Lacson")</f>
        <v>Ezekiel Marlin Lacson</v>
      </c>
      <c r="S2560" s="1"/>
      <c r="T2560" s="1">
        <f>IFERROR(__xludf.DUMMYFUNCTION("""COMPUTED_VALUE"""),7.5)</f>
        <v>7.5</v>
      </c>
      <c r="U2560" s="2">
        <f>IFERROR(__xludf.DUMMYFUNCTION("""COMPUTED_VALUE"""),7.5)</f>
        <v>7.5</v>
      </c>
      <c r="V2560" s="1" t="str">
        <f>IFERROR(__xludf.DUMMYFUNCTION("""COMPUTED_VALUE"""),"Pau Palmero")</f>
        <v>Pau Palmero</v>
      </c>
      <c r="W2560" s="1" t="str">
        <f>IFERROR(__xludf.DUMMYFUNCTION("""COMPUTED_VALUE"""),"Admin Omni Support")</f>
        <v>Admin Omni Support</v>
      </c>
    </row>
    <row r="2561">
      <c r="O2561" s="1" t="str">
        <f>IFERROR(__xludf.DUMMYFUNCTION("""COMPUTED_VALUE"""),"2026 Mar")</f>
        <v>2026 Mar</v>
      </c>
      <c r="P2561" s="1" t="str">
        <f>IFERROR(__xludf.DUMMYFUNCTION("""COMPUTED_VALUE"""),"Print Support")</f>
        <v>Print Support</v>
      </c>
      <c r="Q2561" s="1" t="str">
        <f>IFERROR(__xludf.DUMMYFUNCTION("""COMPUTED_VALUE"""),"faith@canva.com")</f>
        <v>faith@canva.com</v>
      </c>
      <c r="R2561" s="1" t="str">
        <f>IFERROR(__xludf.DUMMYFUNCTION("""COMPUTED_VALUE"""),"Faith Ytang")</f>
        <v>Faith Ytang</v>
      </c>
      <c r="S2561" s="1"/>
      <c r="T2561" s="1"/>
      <c r="U2561" s="2">
        <f>IFERROR(__xludf.DUMMYFUNCTION("""COMPUTED_VALUE"""),0.0)</f>
        <v>0</v>
      </c>
      <c r="V2561" s="1" t="str">
        <f>IFERROR(__xludf.DUMMYFUNCTION("""COMPUTED_VALUE"""),"Memae Faustino")</f>
        <v>Memae Faustino</v>
      </c>
      <c r="W2561" s="1" t="str">
        <f>IFERROR(__xludf.DUMMYFUNCTION("""COMPUTED_VALUE"""),"Print Support PH")</f>
        <v>Print Support PH</v>
      </c>
    </row>
    <row r="2562">
      <c r="O2562" s="1" t="str">
        <f>IFERROR(__xludf.DUMMYFUNCTION("""COMPUTED_VALUE"""),"2026 Mar")</f>
        <v>2026 Mar</v>
      </c>
      <c r="P2562" s="1" t="str">
        <f>IFERROR(__xludf.DUMMYFUNCTION("""COMPUTED_VALUE"""),"Multilingual Support")</f>
        <v>Multilingual Support</v>
      </c>
      <c r="Q2562" s="1" t="str">
        <f>IFERROR(__xludf.DUMMYFUNCTION("""COMPUTED_VALUE"""),"francescamat@canva.com")</f>
        <v>francescamat@canva.com</v>
      </c>
      <c r="R2562" s="1" t="str">
        <f>IFERROR(__xludf.DUMMYFUNCTION("""COMPUTED_VALUE"""),"Francesca Mat")</f>
        <v>Francesca Mat</v>
      </c>
      <c r="S2562" s="1"/>
      <c r="T2562" s="1">
        <f>IFERROR(__xludf.DUMMYFUNCTION("""COMPUTED_VALUE"""),10.5)</f>
        <v>10.5</v>
      </c>
      <c r="U2562" s="2">
        <f>IFERROR(__xludf.DUMMYFUNCTION("""COMPUTED_VALUE"""),10.5)</f>
        <v>10.5</v>
      </c>
      <c r="V2562" s="1" t="str">
        <f>IFERROR(__xludf.DUMMYFUNCTION("""COMPUTED_VALUE"""),"Arlene Maurillo")</f>
        <v>Arlene Maurillo</v>
      </c>
      <c r="W2562" s="1" t="str">
        <f>IFERROR(__xludf.DUMMYFUNCTION("""COMPUTED_VALUE"""),"PHL, Multilingual Support")</f>
        <v>PHL, Multilingual Support</v>
      </c>
    </row>
    <row r="2563">
      <c r="O2563" s="1" t="str">
        <f>IFERROR(__xludf.DUMMYFUNCTION("""COMPUTED_VALUE"""),"2026 Mar")</f>
        <v>2026 Mar</v>
      </c>
      <c r="P2563" s="1" t="str">
        <f>IFERROR(__xludf.DUMMYFUNCTION("""COMPUTED_VALUE"""),"Core Product Support")</f>
        <v>Core Product Support</v>
      </c>
      <c r="Q2563" s="1" t="str">
        <f>IFERROR(__xludf.DUMMYFUNCTION("""COMPUTED_VALUE"""),"fweill@canva.com")</f>
        <v>fweill@canva.com</v>
      </c>
      <c r="R2563" s="1" t="str">
        <f>IFERROR(__xludf.DUMMYFUNCTION("""COMPUTED_VALUE"""),"Frank Weill")</f>
        <v>Frank Weill</v>
      </c>
      <c r="S2563" s="1"/>
      <c r="T2563" s="1"/>
      <c r="U2563" s="2">
        <f>IFERROR(__xludf.DUMMYFUNCTION("""COMPUTED_VALUE"""),0.0)</f>
        <v>0</v>
      </c>
      <c r="V2563" s="1" t="str">
        <f>IFERROR(__xludf.DUMMYFUNCTION("""COMPUTED_VALUE"""),"Manee Barrasa")</f>
        <v>Manee Barrasa</v>
      </c>
      <c r="W2563" s="1" t="str">
        <f>IFERROR(__xludf.DUMMYFUNCTION("""COMPUTED_VALUE"""),"Advanced Billing &amp; Subscriptions")</f>
        <v>Advanced Billing &amp; Subscriptions</v>
      </c>
    </row>
    <row r="2564">
      <c r="O2564" s="1" t="str">
        <f>IFERROR(__xludf.DUMMYFUNCTION("""COMPUTED_VALUE"""),"2026 Mar")</f>
        <v>2026 Mar</v>
      </c>
      <c r="P2564" s="1" t="str">
        <f>IFERROR(__xludf.DUMMYFUNCTION("""COMPUTED_VALUE"""),"Print Support")</f>
        <v>Print Support</v>
      </c>
      <c r="Q2564" s="1" t="str">
        <f>IFERROR(__xludf.DUMMYFUNCTION("""COMPUTED_VALUE"""),"frencie@canva.com")</f>
        <v>frencie@canva.com</v>
      </c>
      <c r="R2564" s="1" t="str">
        <f>IFERROR(__xludf.DUMMYFUNCTION("""COMPUTED_VALUE"""),"Frencie Guzman")</f>
        <v>Frencie Guzman</v>
      </c>
      <c r="S2564" s="1"/>
      <c r="T2564" s="1">
        <f>IFERROR(__xludf.DUMMYFUNCTION("""COMPUTED_VALUE"""),45.25)</f>
        <v>45.25</v>
      </c>
      <c r="U2564" s="2">
        <f>IFERROR(__xludf.DUMMYFUNCTION("""COMPUTED_VALUE"""),45.25)</f>
        <v>45.25</v>
      </c>
      <c r="V2564" s="1" t="str">
        <f>IFERROR(__xludf.DUMMYFUNCTION("""COMPUTED_VALUE"""),"Aliza Dote")</f>
        <v>Aliza Dote</v>
      </c>
      <c r="W2564" s="1" t="str">
        <f>IFERROR(__xludf.DUMMYFUNCTION("""COMPUTED_VALUE"""),"Print Design Support")</f>
        <v>Print Design Support</v>
      </c>
    </row>
    <row r="2565">
      <c r="O2565" s="1" t="str">
        <f>IFERROR(__xludf.DUMMYFUNCTION("""COMPUTED_VALUE"""),"2026 Mar")</f>
        <v>2026 Mar</v>
      </c>
      <c r="P2565" s="1" t="str">
        <f>IFERROR(__xludf.DUMMYFUNCTION("""COMPUTED_VALUE"""),"Print Support")</f>
        <v>Print Support</v>
      </c>
      <c r="Q2565" s="1" t="str">
        <f>IFERROR(__xludf.DUMMYFUNCTION("""COMPUTED_VALUE"""),"gvr@canva.com")</f>
        <v>gvr@canva.com</v>
      </c>
      <c r="R2565" s="1" t="str">
        <f>IFERROR(__xludf.DUMMYFUNCTION("""COMPUTED_VALUE"""),"Gabriel Reyes")</f>
        <v>Gabriel Reyes</v>
      </c>
      <c r="S2565" s="1"/>
      <c r="T2565" s="1"/>
      <c r="U2565" s="2">
        <f>IFERROR(__xludf.DUMMYFUNCTION("""COMPUTED_VALUE"""),0.0)</f>
        <v>0</v>
      </c>
      <c r="V2565" s="1" t="str">
        <f>IFERROR(__xludf.DUMMYFUNCTION("""COMPUTED_VALUE"""),"Memae Faustino")</f>
        <v>Memae Faustino</v>
      </c>
      <c r="W2565" s="1" t="str">
        <f>IFERROR(__xludf.DUMMYFUNCTION("""COMPUTED_VALUE"""),"Print Support PH")</f>
        <v>Print Support PH</v>
      </c>
    </row>
    <row r="2566">
      <c r="O2566" s="1" t="str">
        <f>IFERROR(__xludf.DUMMYFUNCTION("""COMPUTED_VALUE"""),"2026 Mar")</f>
        <v>2026 Mar</v>
      </c>
      <c r="P2566" s="1" t="str">
        <f>IFERROR(__xludf.DUMMYFUNCTION("""COMPUTED_VALUE"""),"High Sensitivity Support")</f>
        <v>High Sensitivity Support</v>
      </c>
      <c r="Q2566" s="1" t="str">
        <f>IFERROR(__xludf.DUMMYFUNCTION("""COMPUTED_VALUE"""),"gsanandres@canva.com")</f>
        <v>gsanandres@canva.com</v>
      </c>
      <c r="R2566" s="1" t="str">
        <f>IFERROR(__xludf.DUMMYFUNCTION("""COMPUTED_VALUE"""),"Galvin San Andres")</f>
        <v>Galvin San Andres</v>
      </c>
      <c r="S2566" s="1"/>
      <c r="T2566" s="1">
        <f>IFERROR(__xludf.DUMMYFUNCTION("""COMPUTED_VALUE"""),4.0)</f>
        <v>4</v>
      </c>
      <c r="U2566" s="2">
        <f>IFERROR(__xludf.DUMMYFUNCTION("""COMPUTED_VALUE"""),4.0)</f>
        <v>4</v>
      </c>
      <c r="V2566" s="1" t="str">
        <f>IFERROR(__xludf.DUMMYFUNCTION("""COMPUTED_VALUE"""),"Xandy Azarcon")</f>
        <v>Xandy Azarcon</v>
      </c>
      <c r="W2566" s="1" t="str">
        <f>IFERROR(__xludf.DUMMYFUNCTION("""COMPUTED_VALUE"""),"High Sensitivity Support PH")</f>
        <v>High Sensitivity Support PH</v>
      </c>
    </row>
    <row r="2567">
      <c r="O2567" s="1" t="str">
        <f>IFERROR(__xludf.DUMMYFUNCTION("""COMPUTED_VALUE"""),"2026 Mar")</f>
        <v>2026 Mar</v>
      </c>
      <c r="P2567" s="1" t="str">
        <f>IFERROR(__xludf.DUMMYFUNCTION("""COMPUTED_VALUE"""),"Core Product Support")</f>
        <v>Core Product Support</v>
      </c>
      <c r="Q2567" s="1" t="str">
        <f>IFERROR(__xludf.DUMMYFUNCTION("""COMPUTED_VALUE"""),"gsauler@canva.com")</f>
        <v>gsauler@canva.com</v>
      </c>
      <c r="R2567" s="1" t="str">
        <f>IFERROR(__xludf.DUMMYFUNCTION("""COMPUTED_VALUE"""),"Gem Sauler")</f>
        <v>Gem Sauler</v>
      </c>
      <c r="S2567" s="1">
        <f>IFERROR(__xludf.DUMMYFUNCTION("""COMPUTED_VALUE"""),0.5)</f>
        <v>0.5</v>
      </c>
      <c r="T2567" s="1">
        <f>IFERROR(__xludf.DUMMYFUNCTION("""COMPUTED_VALUE"""),10.25)</f>
        <v>10.25</v>
      </c>
      <c r="U2567" s="2">
        <f>IFERROR(__xludf.DUMMYFUNCTION("""COMPUTED_VALUE"""),10.75)</f>
        <v>10.75</v>
      </c>
      <c r="V2567" s="1" t="str">
        <f>IFERROR(__xludf.DUMMYFUNCTION("""COMPUTED_VALUE"""),"Mikhaela Decangchon")</f>
        <v>Mikhaela Decangchon</v>
      </c>
      <c r="W2567" s="1" t="str">
        <f>IFERROR(__xludf.DUMMYFUNCTION("""COMPUTED_VALUE"""),"Advanced Product Support")</f>
        <v>Advanced Product Support</v>
      </c>
    </row>
    <row r="2568">
      <c r="O2568" s="1" t="str">
        <f>IFERROR(__xludf.DUMMYFUNCTION("""COMPUTED_VALUE"""),"2026 Mar")</f>
        <v>2026 Mar</v>
      </c>
      <c r="P2568" s="1" t="str">
        <f>IFERROR(__xludf.DUMMYFUNCTION("""COMPUTED_VALUE"""),"Core Product Support")</f>
        <v>Core Product Support</v>
      </c>
      <c r="Q2568" s="1" t="str">
        <f>IFERROR(__xludf.DUMMYFUNCTION("""COMPUTED_VALUE"""),"gemmalyn@canva.com")</f>
        <v>gemmalyn@canva.com</v>
      </c>
      <c r="R2568" s="1" t="str">
        <f>IFERROR(__xludf.DUMMYFUNCTION("""COMPUTED_VALUE"""),"Gemma Gaddi")</f>
        <v>Gemma Gaddi</v>
      </c>
      <c r="S2568" s="1">
        <f>IFERROR(__xludf.DUMMYFUNCTION("""COMPUTED_VALUE"""),0.5)</f>
        <v>0.5</v>
      </c>
      <c r="T2568" s="1">
        <f>IFERROR(__xludf.DUMMYFUNCTION("""COMPUTED_VALUE"""),9.58)</f>
        <v>9.58</v>
      </c>
      <c r="U2568" s="2">
        <f>IFERROR(__xludf.DUMMYFUNCTION("""COMPUTED_VALUE"""),10.08)</f>
        <v>10.08</v>
      </c>
      <c r="V2568" s="1" t="str">
        <f>IFERROR(__xludf.DUMMYFUNCTION("""COMPUTED_VALUE"""),"Jahmie Mae Barrameda")</f>
        <v>Jahmie Mae Barrameda</v>
      </c>
      <c r="W2568" s="1" t="str">
        <f>IFERROR(__xludf.DUMMYFUNCTION("""COMPUTED_VALUE"""),"Advanced Billing &amp; Subscriptions")</f>
        <v>Advanced Billing &amp; Subscriptions</v>
      </c>
    </row>
    <row r="2569">
      <c r="O2569" s="1" t="str">
        <f>IFERROR(__xludf.DUMMYFUNCTION("""COMPUTED_VALUE"""),"2026 Mar")</f>
        <v>2026 Mar</v>
      </c>
      <c r="P2569" s="1" t="str">
        <f>IFERROR(__xludf.DUMMYFUNCTION("""COMPUTED_VALUE"""),"Core Product Support")</f>
        <v>Core Product Support</v>
      </c>
      <c r="Q2569" s="1" t="str">
        <f>IFERROR(__xludf.DUMMYFUNCTION("""COMPUTED_VALUE"""),"evee@canva.com")</f>
        <v>evee@canva.com</v>
      </c>
      <c r="R2569" s="1" t="str">
        <f>IFERROR(__xludf.DUMMYFUNCTION("""COMPUTED_VALUE"""),"Gen Gingoyon")</f>
        <v>Gen Gingoyon</v>
      </c>
      <c r="S2569" s="1"/>
      <c r="T2569" s="1">
        <f>IFERROR(__xludf.DUMMYFUNCTION("""COMPUTED_VALUE"""),8.35)</f>
        <v>8.35</v>
      </c>
      <c r="U2569" s="2">
        <f>IFERROR(__xludf.DUMMYFUNCTION("""COMPUTED_VALUE"""),8.35)</f>
        <v>8.35</v>
      </c>
      <c r="V2569" s="1" t="str">
        <f>IFERROR(__xludf.DUMMYFUNCTION("""COMPUTED_VALUE"""),"Renette Bok")</f>
        <v>Renette Bok</v>
      </c>
      <c r="W2569" s="1" t="str">
        <f>IFERROR(__xludf.DUMMYFUNCTION("""COMPUTED_VALUE"""),"Advanced Billing &amp; Subscriptions")</f>
        <v>Advanced Billing &amp; Subscriptions</v>
      </c>
    </row>
    <row r="2570">
      <c r="O2570" s="1" t="str">
        <f>IFERROR(__xludf.DUMMYFUNCTION("""COMPUTED_VALUE"""),"2026 Mar")</f>
        <v>2026 Mar</v>
      </c>
      <c r="P2570" s="1" t="str">
        <f>IFERROR(__xludf.DUMMYFUNCTION("""COMPUTED_VALUE"""),"Core Product Support")</f>
        <v>Core Product Support</v>
      </c>
      <c r="Q2570" s="1" t="str">
        <f>IFERROR(__xludf.DUMMYFUNCTION("""COMPUTED_VALUE"""),"gpascua@canva.com")</f>
        <v>gpascua@canva.com</v>
      </c>
      <c r="R2570" s="1" t="str">
        <f>IFERROR(__xludf.DUMMYFUNCTION("""COMPUTED_VALUE"""),"Gernie Pascua")</f>
        <v>Gernie Pascua</v>
      </c>
      <c r="S2570" s="1">
        <f>IFERROR(__xludf.DUMMYFUNCTION("""COMPUTED_VALUE"""),0.5)</f>
        <v>0.5</v>
      </c>
      <c r="T2570" s="1">
        <f>IFERROR(__xludf.DUMMYFUNCTION("""COMPUTED_VALUE"""),11.5)</f>
        <v>11.5</v>
      </c>
      <c r="U2570" s="2">
        <f>IFERROR(__xludf.DUMMYFUNCTION("""COMPUTED_VALUE"""),12.0)</f>
        <v>12</v>
      </c>
      <c r="V2570" s="1" t="str">
        <f>IFERROR(__xludf.DUMMYFUNCTION("""COMPUTED_VALUE"""),"Ellaine Estayo")</f>
        <v>Ellaine Estayo</v>
      </c>
      <c r="W2570" s="1" t="str">
        <f>IFERROR(__xludf.DUMMYFUNCTION("""COMPUTED_VALUE"""),"Core Product Support Escalation Team")</f>
        <v>Core Product Support Escalation Team</v>
      </c>
    </row>
    <row r="2571">
      <c r="O2571" s="1" t="str">
        <f>IFERROR(__xludf.DUMMYFUNCTION("""COMPUTED_VALUE"""),"2026 Mar")</f>
        <v>2026 Mar</v>
      </c>
      <c r="P2571" s="1" t="str">
        <f>IFERROR(__xludf.DUMMYFUNCTION("""COMPUTED_VALUE"""),"Print Support")</f>
        <v>Print Support</v>
      </c>
      <c r="Q2571" s="1" t="str">
        <f>IFERROR(__xludf.DUMMYFUNCTION("""COMPUTED_VALUE"""),"giadacillo@canva.com")</f>
        <v>giadacillo@canva.com</v>
      </c>
      <c r="R2571" s="1" t="str">
        <f>IFERROR(__xludf.DUMMYFUNCTION("""COMPUTED_VALUE"""),"Gia Dacillo")</f>
        <v>Gia Dacillo</v>
      </c>
      <c r="S2571" s="1"/>
      <c r="T2571" s="1">
        <f>IFERROR(__xludf.DUMMYFUNCTION("""COMPUTED_VALUE"""),18.0)</f>
        <v>18</v>
      </c>
      <c r="U2571" s="2">
        <f>IFERROR(__xludf.DUMMYFUNCTION("""COMPUTED_VALUE"""),18.0)</f>
        <v>18</v>
      </c>
      <c r="V2571" s="1" t="str">
        <f>IFERROR(__xludf.DUMMYFUNCTION("""COMPUTED_VALUE"""),"Jan Domingo")</f>
        <v>Jan Domingo</v>
      </c>
      <c r="W2571" s="1" t="str">
        <f>IFERROR(__xludf.DUMMYFUNCTION("""COMPUTED_VALUE"""),"Print Design Support")</f>
        <v>Print Design Support</v>
      </c>
    </row>
    <row r="2572">
      <c r="O2572" s="1" t="str">
        <f>IFERROR(__xludf.DUMMYFUNCTION("""COMPUTED_VALUE"""),"2026 Mar")</f>
        <v>2026 Mar</v>
      </c>
      <c r="P2572" s="1" t="str">
        <f>IFERROR(__xludf.DUMMYFUNCTION("""COMPUTED_VALUE"""),"Core Product Support")</f>
        <v>Core Product Support</v>
      </c>
      <c r="Q2572" s="1" t="str">
        <f>IFERROR(__xludf.DUMMYFUNCTION("""COMPUTED_VALUE"""),"gieslnts@canva.com")</f>
        <v>gieslnts@canva.com</v>
      </c>
      <c r="R2572" s="1" t="str">
        <f>IFERROR(__xludf.DUMMYFUNCTION("""COMPUTED_VALUE"""),"Gieann Salantes")</f>
        <v>Gieann Salantes</v>
      </c>
      <c r="S2572" s="1">
        <f>IFERROR(__xludf.DUMMYFUNCTION("""COMPUTED_VALUE"""),1.0)</f>
        <v>1</v>
      </c>
      <c r="T2572" s="1">
        <f>IFERROR(__xludf.DUMMYFUNCTION("""COMPUTED_VALUE"""),12.26)</f>
        <v>12.26</v>
      </c>
      <c r="U2572" s="2">
        <f>IFERROR(__xludf.DUMMYFUNCTION("""COMPUTED_VALUE"""),13.26)</f>
        <v>13.26</v>
      </c>
      <c r="V2572" s="1" t="str">
        <f>IFERROR(__xludf.DUMMYFUNCTION("""COMPUTED_VALUE"""),"Sieg Ballelos")</f>
        <v>Sieg Ballelos</v>
      </c>
      <c r="W2572" s="1" t="str">
        <f>IFERROR(__xludf.DUMMYFUNCTION("""COMPUTED_VALUE"""),"Core Product Support Escalation Team")</f>
        <v>Core Product Support Escalation Team</v>
      </c>
    </row>
    <row r="2573">
      <c r="O2573" s="1" t="str">
        <f>IFERROR(__xludf.DUMMYFUNCTION("""COMPUTED_VALUE"""),"2026 Mar")</f>
        <v>2026 Mar</v>
      </c>
      <c r="P2573" s="1" t="str">
        <f>IFERROR(__xludf.DUMMYFUNCTION("""COMPUTED_VALUE"""),"Admin Support")</f>
        <v>Admin Support</v>
      </c>
      <c r="Q2573" s="1" t="str">
        <f>IFERROR(__xludf.DUMMYFUNCTION("""COMPUTED_VALUE"""),"glennford@canva.com")</f>
        <v>glennford@canva.com</v>
      </c>
      <c r="R2573" s="1" t="str">
        <f>IFERROR(__xludf.DUMMYFUNCTION("""COMPUTED_VALUE"""),"Glenn Gutierrez")</f>
        <v>Glenn Gutierrez</v>
      </c>
      <c r="S2573" s="1"/>
      <c r="T2573" s="1">
        <f>IFERROR(__xludf.DUMMYFUNCTION("""COMPUTED_VALUE"""),2.0)</f>
        <v>2</v>
      </c>
      <c r="U2573" s="2">
        <f>IFERROR(__xludf.DUMMYFUNCTION("""COMPUTED_VALUE"""),2.0)</f>
        <v>2</v>
      </c>
      <c r="V2573" s="1" t="str">
        <f>IFERROR(__xludf.DUMMYFUNCTION("""COMPUTED_VALUE"""),"Karla Mananghaya")</f>
        <v>Karla Mananghaya</v>
      </c>
      <c r="W2573" s="1" t="str">
        <f>IFERROR(__xludf.DUMMYFUNCTION("""COMPUTED_VALUE"""),"Admin Support Service Escalation Team")</f>
        <v>Admin Support Service Escalation Team</v>
      </c>
    </row>
    <row r="2574">
      <c r="O2574" s="1" t="str">
        <f>IFERROR(__xludf.DUMMYFUNCTION("""COMPUTED_VALUE"""),"2026 Mar")</f>
        <v>2026 Mar</v>
      </c>
      <c r="P2574" s="1" t="str">
        <f>IFERROR(__xludf.DUMMYFUNCTION("""COMPUTED_VALUE"""),"Core Product Support")</f>
        <v>Core Product Support</v>
      </c>
      <c r="Q2574" s="1" t="str">
        <f>IFERROR(__xludf.DUMMYFUNCTION("""COMPUTED_VALUE"""),"gracegarcia@canva.com")</f>
        <v>gracegarcia@canva.com</v>
      </c>
      <c r="R2574" s="1" t="str">
        <f>IFERROR(__xludf.DUMMYFUNCTION("""COMPUTED_VALUE"""),"Grace Garcia")</f>
        <v>Grace Garcia</v>
      </c>
      <c r="S2574" s="1">
        <f>IFERROR(__xludf.DUMMYFUNCTION("""COMPUTED_VALUE"""),0.5)</f>
        <v>0.5</v>
      </c>
      <c r="T2574" s="1">
        <f>IFERROR(__xludf.DUMMYFUNCTION("""COMPUTED_VALUE"""),8.0)</f>
        <v>8</v>
      </c>
      <c r="U2574" s="2">
        <f>IFERROR(__xludf.DUMMYFUNCTION("""COMPUTED_VALUE"""),8.5)</f>
        <v>8.5</v>
      </c>
      <c r="V2574" s="1" t="str">
        <f>IFERROR(__xludf.DUMMYFUNCTION("""COMPUTED_VALUE"""),"Marie Mordeno")</f>
        <v>Marie Mordeno</v>
      </c>
      <c r="W2574" s="1" t="str">
        <f>IFERROR(__xludf.DUMMYFUNCTION("""COMPUTED_VALUE"""),"Advanced Billing &amp; Subscriptions")</f>
        <v>Advanced Billing &amp; Subscriptions</v>
      </c>
    </row>
    <row r="2575">
      <c r="O2575" s="1" t="str">
        <f>IFERROR(__xludf.DUMMYFUNCTION("""COMPUTED_VALUE"""),"2026 Mar")</f>
        <v>2026 Mar</v>
      </c>
      <c r="P2575" s="1" t="str">
        <f>IFERROR(__xludf.DUMMYFUNCTION("""COMPUTED_VALUE"""),"Core Product Support")</f>
        <v>Core Product Support</v>
      </c>
      <c r="Q2575" s="1" t="str">
        <f>IFERROR(__xludf.DUMMYFUNCTION("""COMPUTED_VALUE"""),"hanni@canva.com")</f>
        <v>hanni@canva.com</v>
      </c>
      <c r="R2575" s="1" t="str">
        <f>IFERROR(__xludf.DUMMYFUNCTION("""COMPUTED_VALUE"""),"Hannah Bejo")</f>
        <v>Hannah Bejo</v>
      </c>
      <c r="S2575" s="1">
        <f>IFERROR(__xludf.DUMMYFUNCTION("""COMPUTED_VALUE"""),0.5)</f>
        <v>0.5</v>
      </c>
      <c r="T2575" s="1">
        <f>IFERROR(__xludf.DUMMYFUNCTION("""COMPUTED_VALUE"""),7.0)</f>
        <v>7</v>
      </c>
      <c r="U2575" s="2">
        <f>IFERROR(__xludf.DUMMYFUNCTION("""COMPUTED_VALUE"""),7.5)</f>
        <v>7.5</v>
      </c>
      <c r="V2575" s="1" t="str">
        <f>IFERROR(__xludf.DUMMYFUNCTION("""COMPUTED_VALUE"""),"Ayza Marie Pascual")</f>
        <v>Ayza Marie Pascual</v>
      </c>
      <c r="W2575" s="1" t="str">
        <f>IFERROR(__xludf.DUMMYFUNCTION("""COMPUTED_VALUE"""),"Advanced Billing &amp; Subscriptions")</f>
        <v>Advanced Billing &amp; Subscriptions</v>
      </c>
    </row>
    <row r="2576">
      <c r="O2576" s="1" t="str">
        <f>IFERROR(__xludf.DUMMYFUNCTION("""COMPUTED_VALUE"""),"2026 Mar")</f>
        <v>2026 Mar</v>
      </c>
      <c r="P2576" s="1" t="str">
        <f>IFERROR(__xludf.DUMMYFUNCTION("""COMPUTED_VALUE"""),"Core Product Support")</f>
        <v>Core Product Support</v>
      </c>
      <c r="Q2576" s="1" t="str">
        <f>IFERROR(__xludf.DUMMYFUNCTION("""COMPUTED_VALUE"""),"hdecena@canva.com")</f>
        <v>hdecena@canva.com</v>
      </c>
      <c r="R2576" s="1" t="str">
        <f>IFERROR(__xludf.DUMMYFUNCTION("""COMPUTED_VALUE"""),"Hannah Decena")</f>
        <v>Hannah Decena</v>
      </c>
      <c r="S2576" s="1"/>
      <c r="T2576" s="1">
        <f>IFERROR(__xludf.DUMMYFUNCTION("""COMPUTED_VALUE"""),10.83)</f>
        <v>10.83</v>
      </c>
      <c r="U2576" s="2">
        <f>IFERROR(__xludf.DUMMYFUNCTION("""COMPUTED_VALUE"""),10.83)</f>
        <v>10.83</v>
      </c>
      <c r="V2576" s="1" t="str">
        <f>IFERROR(__xludf.DUMMYFUNCTION("""COMPUTED_VALUE"""),"Ana Lazaro")</f>
        <v>Ana Lazaro</v>
      </c>
      <c r="W2576" s="1" t="str">
        <f>IFERROR(__xludf.DUMMYFUNCTION("""COMPUTED_VALUE"""),"Advanced Billing &amp; Subscriptions")</f>
        <v>Advanced Billing &amp; Subscriptions</v>
      </c>
    </row>
    <row r="2577">
      <c r="O2577" s="1" t="str">
        <f>IFERROR(__xludf.DUMMYFUNCTION("""COMPUTED_VALUE"""),"2026 Mar")</f>
        <v>2026 Mar</v>
      </c>
      <c r="P2577" s="1" t="str">
        <f>IFERROR(__xludf.DUMMYFUNCTION("""COMPUTED_VALUE"""),"High Sensitivity Support")</f>
        <v>High Sensitivity Support</v>
      </c>
      <c r="Q2577" s="1" t="str">
        <f>IFERROR(__xludf.DUMMYFUNCTION("""COMPUTED_VALUE"""),"hannahd@canva.com")</f>
        <v>hannahd@canva.com</v>
      </c>
      <c r="R2577" s="1" t="str">
        <f>IFERROR(__xludf.DUMMYFUNCTION("""COMPUTED_VALUE"""),"Hannah Dimayuga")</f>
        <v>Hannah Dimayuga</v>
      </c>
      <c r="S2577" s="1"/>
      <c r="T2577" s="1">
        <f>IFERROR(__xludf.DUMMYFUNCTION("""COMPUTED_VALUE"""),7.27)</f>
        <v>7.27</v>
      </c>
      <c r="U2577" s="2">
        <f>IFERROR(__xludf.DUMMYFUNCTION("""COMPUTED_VALUE"""),7.27)</f>
        <v>7.27</v>
      </c>
      <c r="V2577" s="1" t="str">
        <f>IFERROR(__xludf.DUMMYFUNCTION("""COMPUTED_VALUE"""),"Rex Villamor")</f>
        <v>Rex Villamor</v>
      </c>
      <c r="W2577" s="1" t="str">
        <f>IFERROR(__xludf.DUMMYFUNCTION("""COMPUTED_VALUE"""),"High Sensitivity Support PH")</f>
        <v>High Sensitivity Support PH</v>
      </c>
    </row>
    <row r="2578">
      <c r="O2578" s="1" t="str">
        <f>IFERROR(__xludf.DUMMYFUNCTION("""COMPUTED_VALUE"""),"2026 Mar")</f>
        <v>2026 Mar</v>
      </c>
      <c r="P2578" s="1" t="str">
        <f>IFERROR(__xludf.DUMMYFUNCTION("""COMPUTED_VALUE"""),"Core Product Support")</f>
        <v>Core Product Support</v>
      </c>
      <c r="Q2578" s="1" t="str">
        <f>IFERROR(__xludf.DUMMYFUNCTION("""COMPUTED_VALUE"""),"hazzel@canva.com")</f>
        <v>hazzel@canva.com</v>
      </c>
      <c r="R2578" s="1" t="str">
        <f>IFERROR(__xludf.DUMMYFUNCTION("""COMPUTED_VALUE"""),"Haze Rafon")</f>
        <v>Haze Rafon</v>
      </c>
      <c r="S2578" s="1">
        <f>IFERROR(__xludf.DUMMYFUNCTION("""COMPUTED_VALUE"""),0.5)</f>
        <v>0.5</v>
      </c>
      <c r="T2578" s="1">
        <f>IFERROR(__xludf.DUMMYFUNCTION("""COMPUTED_VALUE"""),8.75)</f>
        <v>8.75</v>
      </c>
      <c r="U2578" s="2">
        <f>IFERROR(__xludf.DUMMYFUNCTION("""COMPUTED_VALUE"""),9.25)</f>
        <v>9.25</v>
      </c>
      <c r="V2578" s="1" t="str">
        <f>IFERROR(__xludf.DUMMYFUNCTION("""COMPUTED_VALUE"""),"Sieg Ballelos")</f>
        <v>Sieg Ballelos</v>
      </c>
      <c r="W2578" s="1" t="str">
        <f>IFERROR(__xludf.DUMMYFUNCTION("""COMPUTED_VALUE"""),"Core Product Support Escalation Team")</f>
        <v>Core Product Support Escalation Team</v>
      </c>
    </row>
    <row r="2579">
      <c r="O2579" s="1" t="str">
        <f>IFERROR(__xludf.DUMMYFUNCTION("""COMPUTED_VALUE"""),"2026 Mar")</f>
        <v>2026 Mar</v>
      </c>
      <c r="P2579" s="1" t="str">
        <f>IFERROR(__xludf.DUMMYFUNCTION("""COMPUTED_VALUE"""),"Segment-specific Support")</f>
        <v>Segment-specific Support</v>
      </c>
      <c r="Q2579" s="1" t="str">
        <f>IFERROR(__xludf.DUMMYFUNCTION("""COMPUTED_VALUE"""),"icetamayo@canva.com")</f>
        <v>icetamayo@canva.com</v>
      </c>
      <c r="R2579" s="1" t="str">
        <f>IFERROR(__xludf.DUMMYFUNCTION("""COMPUTED_VALUE"""),"Ice Montecillo-Tamayo")</f>
        <v>Ice Montecillo-Tamayo</v>
      </c>
      <c r="S2579" s="1"/>
      <c r="T2579" s="1">
        <f>IFERROR(__xludf.DUMMYFUNCTION("""COMPUTED_VALUE"""),10.42)</f>
        <v>10.42</v>
      </c>
      <c r="U2579" s="2">
        <f>IFERROR(__xludf.DUMMYFUNCTION("""COMPUTED_VALUE"""),10.42)</f>
        <v>10.42</v>
      </c>
      <c r="V2579" s="1" t="str">
        <f>IFERROR(__xludf.DUMMYFUNCTION("""COMPUTED_VALUE"""),"Rose Gabilan")</f>
        <v>Rose Gabilan</v>
      </c>
      <c r="W2579" s="1" t="str">
        <f>IFERROR(__xludf.DUMMYFUNCTION("""COMPUTED_VALUE"""),"Affinity Support")</f>
        <v>Affinity Support</v>
      </c>
    </row>
    <row r="2580">
      <c r="O2580" s="1" t="str">
        <f>IFERROR(__xludf.DUMMYFUNCTION("""COMPUTED_VALUE"""),"2026 Mar")</f>
        <v>2026 Mar</v>
      </c>
      <c r="P2580" s="1" t="str">
        <f>IFERROR(__xludf.DUMMYFUNCTION("""COMPUTED_VALUE"""),"Core Product Support")</f>
        <v>Core Product Support</v>
      </c>
      <c r="Q2580" s="1" t="str">
        <f>IFERROR(__xludf.DUMMYFUNCTION("""COMPUTED_VALUE"""),"mrwong@canva.com")</f>
        <v>mrwong@canva.com</v>
      </c>
      <c r="R2580" s="1" t="str">
        <f>IFERROR(__xludf.DUMMYFUNCTION("""COMPUTED_VALUE"""),"Ino Wong")</f>
        <v>Ino Wong</v>
      </c>
      <c r="S2580" s="1">
        <f>IFERROR(__xludf.DUMMYFUNCTION("""COMPUTED_VALUE"""),0.5)</f>
        <v>0.5</v>
      </c>
      <c r="T2580" s="1">
        <f>IFERROR(__xludf.DUMMYFUNCTION("""COMPUTED_VALUE"""),7.5)</f>
        <v>7.5</v>
      </c>
      <c r="U2580" s="2">
        <f>IFERROR(__xludf.DUMMYFUNCTION("""COMPUTED_VALUE"""),8.0)</f>
        <v>8</v>
      </c>
      <c r="V2580" s="1" t="str">
        <f>IFERROR(__xludf.DUMMYFUNCTION("""COMPUTED_VALUE"""),"Jem Mondoñedo")</f>
        <v>Jem Mondoñedo</v>
      </c>
      <c r="W2580" s="1" t="str">
        <f>IFERROR(__xludf.DUMMYFUNCTION("""COMPUTED_VALUE"""),"Advanced Billing &amp; Subscriptions")</f>
        <v>Advanced Billing &amp; Subscriptions</v>
      </c>
    </row>
    <row r="2581">
      <c r="O2581" s="1" t="str">
        <f>IFERROR(__xludf.DUMMYFUNCTION("""COMPUTED_VALUE"""),"2026 Mar")</f>
        <v>2026 Mar</v>
      </c>
      <c r="P2581" s="1" t="str">
        <f>IFERROR(__xludf.DUMMYFUNCTION("""COMPUTED_VALUE"""),"Segment-specific Support")</f>
        <v>Segment-specific Support</v>
      </c>
      <c r="Q2581" s="1" t="str">
        <f>IFERROR(__xludf.DUMMYFUNCTION("""COMPUTED_VALUE"""),"ivy@canva.com")</f>
        <v>ivy@canva.com</v>
      </c>
      <c r="R2581" s="1" t="str">
        <f>IFERROR(__xludf.DUMMYFUNCTION("""COMPUTED_VALUE"""),"Ivy Sabado")</f>
        <v>Ivy Sabado</v>
      </c>
      <c r="S2581" s="1"/>
      <c r="T2581" s="1"/>
      <c r="U2581" s="2">
        <f>IFERROR(__xludf.DUMMYFUNCTION("""COMPUTED_VALUE"""),0.0)</f>
        <v>0</v>
      </c>
      <c r="V2581" s="1" t="str">
        <f>IFERROR(__xludf.DUMMYFUNCTION("""COMPUTED_VALUE"""),"Aileen Dayanghirang")</f>
        <v>Aileen Dayanghirang</v>
      </c>
      <c r="W2581" s="1" t="str">
        <f>IFERROR(__xludf.DUMMYFUNCTION("""COMPUTED_VALUE"""),"Creators Support")</f>
        <v>Creators Support</v>
      </c>
    </row>
    <row r="2582">
      <c r="O2582" s="1" t="str">
        <f>IFERROR(__xludf.DUMMYFUNCTION("""COMPUTED_VALUE"""),"2026 Mar")</f>
        <v>2026 Mar</v>
      </c>
      <c r="P2582" s="1" t="str">
        <f>IFERROR(__xludf.DUMMYFUNCTION("""COMPUTED_VALUE"""),"Core Product Support")</f>
        <v>Core Product Support</v>
      </c>
      <c r="Q2582" s="1" t="str">
        <f>IFERROR(__xludf.DUMMYFUNCTION("""COMPUTED_VALUE"""),"iyaacuyong@canva.com")</f>
        <v>iyaacuyong@canva.com</v>
      </c>
      <c r="R2582" s="1" t="str">
        <f>IFERROR(__xludf.DUMMYFUNCTION("""COMPUTED_VALUE"""),"Iya Acuyong")</f>
        <v>Iya Acuyong</v>
      </c>
      <c r="S2582" s="1">
        <f>IFERROR(__xludf.DUMMYFUNCTION("""COMPUTED_VALUE"""),0.5)</f>
        <v>0.5</v>
      </c>
      <c r="T2582" s="1">
        <f>IFERROR(__xludf.DUMMYFUNCTION("""COMPUTED_VALUE"""),14.25)</f>
        <v>14.25</v>
      </c>
      <c r="U2582" s="2">
        <f>IFERROR(__xludf.DUMMYFUNCTION("""COMPUTED_VALUE"""),14.75)</f>
        <v>14.75</v>
      </c>
      <c r="V2582" s="1" t="str">
        <f>IFERROR(__xludf.DUMMYFUNCTION("""COMPUTED_VALUE"""),"Mikhaela Decangchon")</f>
        <v>Mikhaela Decangchon</v>
      </c>
      <c r="W2582" s="1" t="str">
        <f>IFERROR(__xludf.DUMMYFUNCTION("""COMPUTED_VALUE"""),"Advanced Product Support")</f>
        <v>Advanced Product Support</v>
      </c>
    </row>
    <row r="2583">
      <c r="O2583" s="1" t="str">
        <f>IFERROR(__xludf.DUMMYFUNCTION("""COMPUTED_VALUE"""),"2026 Mar")</f>
        <v>2026 Mar</v>
      </c>
      <c r="P2583" s="1" t="str">
        <f>IFERROR(__xludf.DUMMYFUNCTION("""COMPUTED_VALUE"""),"Print Support")</f>
        <v>Print Support</v>
      </c>
      <c r="Q2583" s="1" t="str">
        <f>IFERROR(__xludf.DUMMYFUNCTION("""COMPUTED_VALUE"""),"jagumasing@canva.com")</f>
        <v>jagumasing@canva.com</v>
      </c>
      <c r="R2583" s="1" t="str">
        <f>IFERROR(__xludf.DUMMYFUNCTION("""COMPUTED_VALUE"""),"Ja Gumasing")</f>
        <v>Ja Gumasing</v>
      </c>
      <c r="S2583" s="1"/>
      <c r="T2583" s="1"/>
      <c r="U2583" s="2">
        <f>IFERROR(__xludf.DUMMYFUNCTION("""COMPUTED_VALUE"""),0.0)</f>
        <v>0</v>
      </c>
      <c r="V2583" s="1" t="str">
        <f>IFERROR(__xludf.DUMMYFUNCTION("""COMPUTED_VALUE"""),"Althea Mercado")</f>
        <v>Althea Mercado</v>
      </c>
      <c r="W2583" s="1" t="str">
        <f>IFERROR(__xludf.DUMMYFUNCTION("""COMPUTED_VALUE"""),"Print Support PH")</f>
        <v>Print Support PH</v>
      </c>
    </row>
    <row r="2584">
      <c r="O2584" s="1" t="str">
        <f>IFERROR(__xludf.DUMMYFUNCTION("""COMPUTED_VALUE"""),"2026 Mar")</f>
        <v>2026 Mar</v>
      </c>
      <c r="P2584" s="1" t="str">
        <f>IFERROR(__xludf.DUMMYFUNCTION("""COMPUTED_VALUE"""),"Admin Support")</f>
        <v>Admin Support</v>
      </c>
      <c r="Q2584" s="1" t="str">
        <f>IFERROR(__xludf.DUMMYFUNCTION("""COMPUTED_VALUE"""),"jacobgarza@canva.com")</f>
        <v>jacobgarza@canva.com</v>
      </c>
      <c r="R2584" s="1" t="str">
        <f>IFERROR(__xludf.DUMMYFUNCTION("""COMPUTED_VALUE"""),"Jacob Garza")</f>
        <v>Jacob Garza</v>
      </c>
      <c r="S2584" s="1"/>
      <c r="T2584" s="1"/>
      <c r="U2584" s="2">
        <f>IFERROR(__xludf.DUMMYFUNCTION("""COMPUTED_VALUE"""),0.0)</f>
        <v>0</v>
      </c>
      <c r="V2584" s="1" t="str">
        <f>IFERROR(__xludf.DUMMYFUNCTION("""COMPUTED_VALUE"""),"Nate Vela")</f>
        <v>Nate Vela</v>
      </c>
      <c r="W2584" s="1" t="str">
        <f>IFERROR(__xludf.DUMMYFUNCTION("""COMPUTED_VALUE"""),"Admin Support NA")</f>
        <v>Admin Support NA</v>
      </c>
    </row>
    <row r="2585">
      <c r="O2585" s="1" t="str">
        <f>IFERROR(__xludf.DUMMYFUNCTION("""COMPUTED_VALUE"""),"2026 Mar")</f>
        <v>2026 Mar</v>
      </c>
      <c r="P2585" s="1" t="str">
        <f>IFERROR(__xludf.DUMMYFUNCTION("""COMPUTED_VALUE"""),"Core Product Support")</f>
        <v>Core Product Support</v>
      </c>
      <c r="Q2585" s="1" t="str">
        <f>IFERROR(__xludf.DUMMYFUNCTION("""COMPUTED_VALUE"""),"jacque@canva.com")</f>
        <v>jacque@canva.com</v>
      </c>
      <c r="R2585" s="1" t="str">
        <f>IFERROR(__xludf.DUMMYFUNCTION("""COMPUTED_VALUE"""),"Jacqueline Gay")</f>
        <v>Jacqueline Gay</v>
      </c>
      <c r="S2585" s="1">
        <f>IFERROR(__xludf.DUMMYFUNCTION("""COMPUTED_VALUE"""),0.5)</f>
        <v>0.5</v>
      </c>
      <c r="T2585" s="1">
        <f>IFERROR(__xludf.DUMMYFUNCTION("""COMPUTED_VALUE"""),7.5)</f>
        <v>7.5</v>
      </c>
      <c r="U2585" s="2">
        <f>IFERROR(__xludf.DUMMYFUNCTION("""COMPUTED_VALUE"""),8.0)</f>
        <v>8</v>
      </c>
      <c r="V2585" s="1" t="str">
        <f>IFERROR(__xludf.DUMMYFUNCTION("""COMPUTED_VALUE"""),"Jem Mondoñedo")</f>
        <v>Jem Mondoñedo</v>
      </c>
      <c r="W2585" s="1" t="str">
        <f>IFERROR(__xludf.DUMMYFUNCTION("""COMPUTED_VALUE"""),"Advanced Billing &amp; Subscriptions")</f>
        <v>Advanced Billing &amp; Subscriptions</v>
      </c>
    </row>
    <row r="2586">
      <c r="O2586" s="1" t="str">
        <f>IFERROR(__xludf.DUMMYFUNCTION("""COMPUTED_VALUE"""),"2026 Mar")</f>
        <v>2026 Mar</v>
      </c>
      <c r="P2586" s="1" t="str">
        <f>IFERROR(__xludf.DUMMYFUNCTION("""COMPUTED_VALUE"""),"Print Support")</f>
        <v>Print Support</v>
      </c>
      <c r="Q2586" s="1" t="str">
        <f>IFERROR(__xludf.DUMMYFUNCTION("""COMPUTED_VALUE"""),"jadec@canva.com")</f>
        <v>jadec@canva.com</v>
      </c>
      <c r="R2586" s="1" t="str">
        <f>IFERROR(__xludf.DUMMYFUNCTION("""COMPUTED_VALUE"""),"Jade Curitana")</f>
        <v>Jade Curitana</v>
      </c>
      <c r="S2586" s="1"/>
      <c r="T2586" s="1">
        <f>IFERROR(__xludf.DUMMYFUNCTION("""COMPUTED_VALUE"""),0.17)</f>
        <v>0.17</v>
      </c>
      <c r="U2586" s="2">
        <f>IFERROR(__xludf.DUMMYFUNCTION("""COMPUTED_VALUE"""),0.17)</f>
        <v>0.17</v>
      </c>
      <c r="V2586" s="1" t="str">
        <f>IFERROR(__xludf.DUMMYFUNCTION("""COMPUTED_VALUE"""),"Louise Dianne Estrella")</f>
        <v>Louise Dianne Estrella</v>
      </c>
      <c r="W2586" s="1" t="str">
        <f>IFERROR(__xludf.DUMMYFUNCTION("""COMPUTED_VALUE"""),"Print Support PH")</f>
        <v>Print Support PH</v>
      </c>
    </row>
    <row r="2587">
      <c r="O2587" s="1" t="str">
        <f>IFERROR(__xludf.DUMMYFUNCTION("""COMPUTED_VALUE"""),"2026 Mar")</f>
        <v>2026 Mar</v>
      </c>
      <c r="P2587" s="1" t="str">
        <f>IFERROR(__xludf.DUMMYFUNCTION("""COMPUTED_VALUE"""),"High Sensitivity Support")</f>
        <v>High Sensitivity Support</v>
      </c>
      <c r="Q2587" s="1" t="str">
        <f>IFERROR(__xludf.DUMMYFUNCTION("""COMPUTED_VALUE"""),"jammyb@canva.com")</f>
        <v>jammyb@canva.com</v>
      </c>
      <c r="R2587" s="1" t="str">
        <f>IFERROR(__xludf.DUMMYFUNCTION("""COMPUTED_VALUE"""),"Jam Bacani")</f>
        <v>Jam Bacani</v>
      </c>
      <c r="S2587" s="1"/>
      <c r="T2587" s="1">
        <f>IFERROR(__xludf.DUMMYFUNCTION("""COMPUTED_VALUE"""),5.75)</f>
        <v>5.75</v>
      </c>
      <c r="U2587" s="2">
        <f>IFERROR(__xludf.DUMMYFUNCTION("""COMPUTED_VALUE"""),5.75)</f>
        <v>5.75</v>
      </c>
      <c r="V2587" s="1" t="str">
        <f>IFERROR(__xludf.DUMMYFUNCTION("""COMPUTED_VALUE"""),"Rossheen Pura")</f>
        <v>Rossheen Pura</v>
      </c>
      <c r="W2587" s="1" t="str">
        <f>IFERROR(__xludf.DUMMYFUNCTION("""COMPUTED_VALUE"""),"High Sensitivity Support PH")</f>
        <v>High Sensitivity Support PH</v>
      </c>
    </row>
    <row r="2588">
      <c r="O2588" s="1" t="str">
        <f>IFERROR(__xludf.DUMMYFUNCTION("""COMPUTED_VALUE"""),"2026 Mar")</f>
        <v>2026 Mar</v>
      </c>
      <c r="P2588" s="1" t="str">
        <f>IFERROR(__xludf.DUMMYFUNCTION("""COMPUTED_VALUE"""),"Segment-specific Support")</f>
        <v>Segment-specific Support</v>
      </c>
      <c r="Q2588" s="1" t="str">
        <f>IFERROR(__xludf.DUMMYFUNCTION("""COMPUTED_VALUE"""),"jgamboa@canva.com")</f>
        <v>jgamboa@canva.com</v>
      </c>
      <c r="R2588" s="1" t="str">
        <f>IFERROR(__xludf.DUMMYFUNCTION("""COMPUTED_VALUE"""),"James Marrion Gamboa")</f>
        <v>James Marrion Gamboa</v>
      </c>
      <c r="S2588" s="1"/>
      <c r="T2588" s="1">
        <f>IFERROR(__xludf.DUMMYFUNCTION("""COMPUTED_VALUE"""),2.42)</f>
        <v>2.42</v>
      </c>
      <c r="U2588" s="2">
        <f>IFERROR(__xludf.DUMMYFUNCTION("""COMPUTED_VALUE"""),2.42)</f>
        <v>2.42</v>
      </c>
      <c r="V2588" s="1" t="str">
        <f>IFERROR(__xludf.DUMMYFUNCTION("""COMPUTED_VALUE"""),"Rose Gabilan")</f>
        <v>Rose Gabilan</v>
      </c>
      <c r="W2588" s="1" t="str">
        <f>IFERROR(__xludf.DUMMYFUNCTION("""COMPUTED_VALUE"""),"Affinity Support")</f>
        <v>Affinity Support</v>
      </c>
    </row>
    <row r="2589">
      <c r="O2589" s="1" t="str">
        <f>IFERROR(__xludf.DUMMYFUNCTION("""COMPUTED_VALUE"""),"2026 Mar")</f>
        <v>2026 Mar</v>
      </c>
      <c r="P2589" s="1" t="str">
        <f>IFERROR(__xludf.DUMMYFUNCTION("""COMPUTED_VALUE"""),"Print Support")</f>
        <v>Print Support</v>
      </c>
      <c r="Q2589" s="1" t="str">
        <f>IFERROR(__xludf.DUMMYFUNCTION("""COMPUTED_VALUE"""),"janpaolopena@canva.com")</f>
        <v>janpaolopena@canva.com</v>
      </c>
      <c r="R2589" s="1" t="str">
        <f>IFERROR(__xludf.DUMMYFUNCTION("""COMPUTED_VALUE"""),"Jan Peña")</f>
        <v>Jan Peña</v>
      </c>
      <c r="S2589" s="1"/>
      <c r="T2589" s="1">
        <f>IFERROR(__xludf.DUMMYFUNCTION("""COMPUTED_VALUE"""),0.17)</f>
        <v>0.17</v>
      </c>
      <c r="U2589" s="2">
        <f>IFERROR(__xludf.DUMMYFUNCTION("""COMPUTED_VALUE"""),0.17)</f>
        <v>0.17</v>
      </c>
      <c r="V2589" s="1" t="str">
        <f>IFERROR(__xludf.DUMMYFUNCTION("""COMPUTED_VALUE"""),"Louise Dianne Estrella")</f>
        <v>Louise Dianne Estrella</v>
      </c>
      <c r="W2589" s="1" t="str">
        <f>IFERROR(__xludf.DUMMYFUNCTION("""COMPUTED_VALUE"""),"Print Support PH")</f>
        <v>Print Support PH</v>
      </c>
    </row>
    <row r="2590">
      <c r="O2590" s="1" t="str">
        <f>IFERROR(__xludf.DUMMYFUNCTION("""COMPUTED_VALUE"""),"2026 Mar")</f>
        <v>2026 Mar</v>
      </c>
      <c r="P2590" s="1" t="str">
        <f>IFERROR(__xludf.DUMMYFUNCTION("""COMPUTED_VALUE"""),"Admin Support")</f>
        <v>Admin Support</v>
      </c>
      <c r="Q2590" s="1" t="str">
        <f>IFERROR(__xludf.DUMMYFUNCTION("""COMPUTED_VALUE"""),"janis@canva.com")</f>
        <v>janis@canva.com</v>
      </c>
      <c r="R2590" s="1" t="str">
        <f>IFERROR(__xludf.DUMMYFUNCTION("""COMPUTED_VALUE"""),"Janis Esmas")</f>
        <v>Janis Esmas</v>
      </c>
      <c r="S2590" s="1"/>
      <c r="T2590" s="1">
        <f>IFERROR(__xludf.DUMMYFUNCTION("""COMPUTED_VALUE"""),2.0)</f>
        <v>2</v>
      </c>
      <c r="U2590" s="2">
        <f>IFERROR(__xludf.DUMMYFUNCTION("""COMPUTED_VALUE"""),2.0)</f>
        <v>2</v>
      </c>
      <c r="V2590" s="1" t="str">
        <f>IFERROR(__xludf.DUMMYFUNCTION("""COMPUTED_VALUE"""),"Karla Mananghaya")</f>
        <v>Karla Mananghaya</v>
      </c>
      <c r="W2590" s="1" t="str">
        <f>IFERROR(__xludf.DUMMYFUNCTION("""COMPUTED_VALUE"""),"Admin Support Service Escalation Team")</f>
        <v>Admin Support Service Escalation Team</v>
      </c>
    </row>
    <row r="2591">
      <c r="O2591" s="1" t="str">
        <f>IFERROR(__xludf.DUMMYFUNCTION("""COMPUTED_VALUE"""),"2026 Mar")</f>
        <v>2026 Mar</v>
      </c>
      <c r="P2591" s="1" t="str">
        <f>IFERROR(__xludf.DUMMYFUNCTION("""COMPUTED_VALUE"""),"Core Product Support")</f>
        <v>Core Product Support</v>
      </c>
      <c r="Q2591" s="1" t="str">
        <f>IFERROR(__xludf.DUMMYFUNCTION("""COMPUTED_VALUE"""),"jampangan@canva.com")</f>
        <v>jampangan@canva.com</v>
      </c>
      <c r="R2591" s="1" t="str">
        <f>IFERROR(__xludf.DUMMYFUNCTION("""COMPUTED_VALUE"""),"Jara Alexandra Mae Pangan")</f>
        <v>Jara Alexandra Mae Pangan</v>
      </c>
      <c r="S2591" s="1">
        <f>IFERROR(__xludf.DUMMYFUNCTION("""COMPUTED_VALUE"""),0.5)</f>
        <v>0.5</v>
      </c>
      <c r="T2591" s="1">
        <f>IFERROR(__xludf.DUMMYFUNCTION("""COMPUTED_VALUE"""),14.58)</f>
        <v>14.58</v>
      </c>
      <c r="U2591" s="2">
        <f>IFERROR(__xludf.DUMMYFUNCTION("""COMPUTED_VALUE"""),15.08)</f>
        <v>15.08</v>
      </c>
      <c r="V2591" s="1" t="str">
        <f>IFERROR(__xludf.DUMMYFUNCTION("""COMPUTED_VALUE"""),"Sieg Ballelos")</f>
        <v>Sieg Ballelos</v>
      </c>
      <c r="W2591" s="1" t="str">
        <f>IFERROR(__xludf.DUMMYFUNCTION("""COMPUTED_VALUE"""),"Core Product Support Escalation Team")</f>
        <v>Core Product Support Escalation Team</v>
      </c>
    </row>
    <row r="2592">
      <c r="O2592" s="1" t="str">
        <f>IFERROR(__xludf.DUMMYFUNCTION("""COMPUTED_VALUE"""),"2026 Mar")</f>
        <v>2026 Mar</v>
      </c>
      <c r="P2592" s="1" t="str">
        <f>IFERROR(__xludf.DUMMYFUNCTION("""COMPUTED_VALUE"""),"Core Product Support")</f>
        <v>Core Product Support</v>
      </c>
      <c r="Q2592" s="1" t="str">
        <f>IFERROR(__xludf.DUMMYFUNCTION("""COMPUTED_VALUE"""),"jaredc@canva.com")</f>
        <v>jaredc@canva.com</v>
      </c>
      <c r="R2592" s="1" t="str">
        <f>IFERROR(__xludf.DUMMYFUNCTION("""COMPUTED_VALUE"""),"Jared Carlin")</f>
        <v>Jared Carlin</v>
      </c>
      <c r="S2592" s="1">
        <f>IFERROR(__xludf.DUMMYFUNCTION("""COMPUTED_VALUE"""),0.5)</f>
        <v>0.5</v>
      </c>
      <c r="T2592" s="1">
        <f>IFERROR(__xludf.DUMMYFUNCTION("""COMPUTED_VALUE"""),11.08)</f>
        <v>11.08</v>
      </c>
      <c r="U2592" s="2">
        <f>IFERROR(__xludf.DUMMYFUNCTION("""COMPUTED_VALUE"""),11.58)</f>
        <v>11.58</v>
      </c>
      <c r="V2592" s="1" t="str">
        <f>IFERROR(__xludf.DUMMYFUNCTION("""COMPUTED_VALUE"""),"Ana Lazaro")</f>
        <v>Ana Lazaro</v>
      </c>
      <c r="W2592" s="1" t="str">
        <f>IFERROR(__xludf.DUMMYFUNCTION("""COMPUTED_VALUE"""),"Advanced Billing &amp; Subscriptions")</f>
        <v>Advanced Billing &amp; Subscriptions</v>
      </c>
    </row>
    <row r="2593">
      <c r="O2593" s="1" t="str">
        <f>IFERROR(__xludf.DUMMYFUNCTION("""COMPUTED_VALUE"""),"2026 Mar")</f>
        <v>2026 Mar</v>
      </c>
      <c r="P2593" s="1" t="str">
        <f>IFERROR(__xludf.DUMMYFUNCTION("""COMPUTED_VALUE"""),"Segment-specific Support")</f>
        <v>Segment-specific Support</v>
      </c>
      <c r="Q2593" s="1" t="str">
        <f>IFERROR(__xludf.DUMMYFUNCTION("""COMPUTED_VALUE"""),"jas@canva.com")</f>
        <v>jas@canva.com</v>
      </c>
      <c r="R2593" s="1" t="str">
        <f>IFERROR(__xludf.DUMMYFUNCTION("""COMPUTED_VALUE"""),"Jas Esperat")</f>
        <v>Jas Esperat</v>
      </c>
      <c r="S2593" s="1"/>
      <c r="T2593" s="1"/>
      <c r="U2593" s="2">
        <f>IFERROR(__xludf.DUMMYFUNCTION("""COMPUTED_VALUE"""),0.0)</f>
        <v>0</v>
      </c>
      <c r="V2593" s="1" t="str">
        <f>IFERROR(__xludf.DUMMYFUNCTION("""COMPUTED_VALUE"""),"Aileen Dayanghirang")</f>
        <v>Aileen Dayanghirang</v>
      </c>
      <c r="W2593" s="1" t="str">
        <f>IFERROR(__xludf.DUMMYFUNCTION("""COMPUTED_VALUE"""),"Creators Support")</f>
        <v>Creators Support</v>
      </c>
    </row>
    <row r="2594">
      <c r="O2594" s="1" t="str">
        <f>IFERROR(__xludf.DUMMYFUNCTION("""COMPUTED_VALUE"""),"2026 Mar")</f>
        <v>2026 Mar</v>
      </c>
      <c r="P2594" s="1" t="str">
        <f>IFERROR(__xludf.DUMMYFUNCTION("""COMPUTED_VALUE"""),"Print Support")</f>
        <v>Print Support</v>
      </c>
      <c r="Q2594" s="1" t="str">
        <f>IFERROR(__xludf.DUMMYFUNCTION("""COMPUTED_VALUE"""),"jayson@canva.com")</f>
        <v>jayson@canva.com</v>
      </c>
      <c r="R2594" s="1" t="str">
        <f>IFERROR(__xludf.DUMMYFUNCTION("""COMPUTED_VALUE"""),"Jayson Ferrer")</f>
        <v>Jayson Ferrer</v>
      </c>
      <c r="S2594" s="1"/>
      <c r="T2594" s="1"/>
      <c r="U2594" s="2">
        <f>IFERROR(__xludf.DUMMYFUNCTION("""COMPUTED_VALUE"""),0.0)</f>
        <v>0</v>
      </c>
      <c r="V2594" s="1" t="str">
        <f>IFERROR(__xludf.DUMMYFUNCTION("""COMPUTED_VALUE"""),"G-Anne Murillo")</f>
        <v>G-Anne Murillo</v>
      </c>
      <c r="W2594" s="1" t="str">
        <f>IFERROR(__xludf.DUMMYFUNCTION("""COMPUTED_VALUE"""),"Print Design Support")</f>
        <v>Print Design Support</v>
      </c>
    </row>
    <row r="2595">
      <c r="O2595" s="1" t="str">
        <f>IFERROR(__xludf.DUMMYFUNCTION("""COMPUTED_VALUE"""),"2026 Mar")</f>
        <v>2026 Mar</v>
      </c>
      <c r="P2595" s="1" t="str">
        <f>IFERROR(__xludf.DUMMYFUNCTION("""COMPUTED_VALUE"""),"Admin Support")</f>
        <v>Admin Support</v>
      </c>
      <c r="Q2595" s="1" t="str">
        <f>IFERROR(__xludf.DUMMYFUNCTION("""COMPUTED_VALUE"""),"jaz@canva.com")</f>
        <v>jaz@canva.com</v>
      </c>
      <c r="R2595" s="1" t="str">
        <f>IFERROR(__xludf.DUMMYFUNCTION("""COMPUTED_VALUE"""),"Jazmine San Pedro")</f>
        <v>Jazmine San Pedro</v>
      </c>
      <c r="S2595" s="1"/>
      <c r="T2595" s="1">
        <f>IFERROR(__xludf.DUMMYFUNCTION("""COMPUTED_VALUE"""),6.0)</f>
        <v>6</v>
      </c>
      <c r="U2595" s="2">
        <f>IFERROR(__xludf.DUMMYFUNCTION("""COMPUTED_VALUE"""),6.0)</f>
        <v>6</v>
      </c>
      <c r="V2595" s="1" t="str">
        <f>IFERROR(__xludf.DUMMYFUNCTION("""COMPUTED_VALUE"""),"AL Suarez")</f>
        <v>AL Suarez</v>
      </c>
      <c r="W2595" s="1" t="str">
        <f>IFERROR(__xludf.DUMMYFUNCTION("""COMPUTED_VALUE"""),"Print Support PH")</f>
        <v>Print Support PH</v>
      </c>
    </row>
    <row r="2596">
      <c r="O2596" s="1" t="str">
        <f>IFERROR(__xludf.DUMMYFUNCTION("""COMPUTED_VALUE"""),"2026 Mar")</f>
        <v>2026 Mar</v>
      </c>
      <c r="P2596" s="1" t="str">
        <f>IFERROR(__xludf.DUMMYFUNCTION("""COMPUTED_VALUE"""),"Core Product Support")</f>
        <v>Core Product Support</v>
      </c>
      <c r="Q2596" s="1" t="str">
        <f>IFERROR(__xludf.DUMMYFUNCTION("""COMPUTED_VALUE"""),"jasminechristel@canva.com")</f>
        <v>jasminechristel@canva.com</v>
      </c>
      <c r="R2596" s="1" t="str">
        <f>IFERROR(__xludf.DUMMYFUNCTION("""COMPUTED_VALUE"""),"Jazz Ragot")</f>
        <v>Jazz Ragot</v>
      </c>
      <c r="S2596" s="1"/>
      <c r="T2596" s="1">
        <f>IFERROR(__xludf.DUMMYFUNCTION("""COMPUTED_VALUE"""),8.0)</f>
        <v>8</v>
      </c>
      <c r="U2596" s="2">
        <f>IFERROR(__xludf.DUMMYFUNCTION("""COMPUTED_VALUE"""),8.0)</f>
        <v>8</v>
      </c>
      <c r="V2596" s="1" t="str">
        <f>IFERROR(__xludf.DUMMYFUNCTION("""COMPUTED_VALUE"""),"Jem Mondoñedo")</f>
        <v>Jem Mondoñedo</v>
      </c>
      <c r="W2596" s="1" t="str">
        <f>IFERROR(__xludf.DUMMYFUNCTION("""COMPUTED_VALUE"""),"Advanced Billing &amp; Subscriptions")</f>
        <v>Advanced Billing &amp; Subscriptions</v>
      </c>
    </row>
    <row r="2597">
      <c r="O2597" s="1" t="str">
        <f>IFERROR(__xludf.DUMMYFUNCTION("""COMPUTED_VALUE"""),"2026 Mar")</f>
        <v>2026 Mar</v>
      </c>
      <c r="P2597" s="1" t="str">
        <f>IFERROR(__xludf.DUMMYFUNCTION("""COMPUTED_VALUE"""),"Multilingual Support")</f>
        <v>Multilingual Support</v>
      </c>
      <c r="Q2597" s="1" t="str">
        <f>IFERROR(__xludf.DUMMYFUNCTION("""COMPUTED_VALUE"""),"jc@canva.com")</f>
        <v>jc@canva.com</v>
      </c>
      <c r="R2597" s="1" t="str">
        <f>IFERROR(__xludf.DUMMYFUNCTION("""COMPUTED_VALUE"""),"JC Evangelista")</f>
        <v>JC Evangelista</v>
      </c>
      <c r="S2597" s="1"/>
      <c r="T2597" s="1">
        <f>IFERROR(__xludf.DUMMYFUNCTION("""COMPUTED_VALUE"""),10.5)</f>
        <v>10.5</v>
      </c>
      <c r="U2597" s="2">
        <f>IFERROR(__xludf.DUMMYFUNCTION("""COMPUTED_VALUE"""),10.5)</f>
        <v>10.5</v>
      </c>
      <c r="V2597" s="1" t="str">
        <f>IFERROR(__xludf.DUMMYFUNCTION("""COMPUTED_VALUE"""),"Arlene Maurillo")</f>
        <v>Arlene Maurillo</v>
      </c>
      <c r="W2597" s="1" t="str">
        <f>IFERROR(__xludf.DUMMYFUNCTION("""COMPUTED_VALUE"""),"PHL, Multilingual Support")</f>
        <v>PHL, Multilingual Support</v>
      </c>
    </row>
    <row r="2598">
      <c r="O2598" s="1" t="str">
        <f>IFERROR(__xludf.DUMMYFUNCTION("""COMPUTED_VALUE"""),"2026 Mar")</f>
        <v>2026 Mar</v>
      </c>
      <c r="P2598" s="1" t="str">
        <f>IFERROR(__xludf.DUMMYFUNCTION("""COMPUTED_VALUE"""),"Core Product Support")</f>
        <v>Core Product Support</v>
      </c>
      <c r="Q2598" s="1" t="str">
        <f>IFERROR(__xludf.DUMMYFUNCTION("""COMPUTED_VALUE"""),"jea@canva.com")</f>
        <v>jea@canva.com</v>
      </c>
      <c r="R2598" s="1" t="str">
        <f>IFERROR(__xludf.DUMMYFUNCTION("""COMPUTED_VALUE"""),"Jea Silvestre")</f>
        <v>Jea Silvestre</v>
      </c>
      <c r="S2598" s="1"/>
      <c r="T2598" s="1">
        <f>IFERROR(__xludf.DUMMYFUNCTION("""COMPUTED_VALUE"""),9.75)</f>
        <v>9.75</v>
      </c>
      <c r="U2598" s="2">
        <f>IFERROR(__xludf.DUMMYFUNCTION("""COMPUTED_VALUE"""),9.75)</f>
        <v>9.75</v>
      </c>
      <c r="V2598" s="1" t="str">
        <f>IFERROR(__xludf.DUMMYFUNCTION("""COMPUTED_VALUE"""),"Marie Mordeno")</f>
        <v>Marie Mordeno</v>
      </c>
      <c r="W2598" s="1" t="str">
        <f>IFERROR(__xludf.DUMMYFUNCTION("""COMPUTED_VALUE"""),"Advanced Billing &amp; Subscriptions")</f>
        <v>Advanced Billing &amp; Subscriptions</v>
      </c>
    </row>
    <row r="2599">
      <c r="O2599" s="1" t="str">
        <f>IFERROR(__xludf.DUMMYFUNCTION("""COMPUTED_VALUE"""),"2026 Mar")</f>
        <v>2026 Mar</v>
      </c>
      <c r="P2599" s="1" t="str">
        <f>IFERROR(__xludf.DUMMYFUNCTION("""COMPUTED_VALUE"""),"Core Product Support")</f>
        <v>Core Product Support</v>
      </c>
      <c r="Q2599" s="1" t="str">
        <f>IFERROR(__xludf.DUMMYFUNCTION("""COMPUTED_VALUE"""),"jed@canva.com")</f>
        <v>jed@canva.com</v>
      </c>
      <c r="R2599" s="1" t="str">
        <f>IFERROR(__xludf.DUMMYFUNCTION("""COMPUTED_VALUE"""),"Jed Wenceslao")</f>
        <v>Jed Wenceslao</v>
      </c>
      <c r="S2599" s="1">
        <f>IFERROR(__xludf.DUMMYFUNCTION("""COMPUTED_VALUE"""),0.5)</f>
        <v>0.5</v>
      </c>
      <c r="T2599" s="1">
        <f>IFERROR(__xludf.DUMMYFUNCTION("""COMPUTED_VALUE"""),13.05)</f>
        <v>13.05</v>
      </c>
      <c r="U2599" s="2">
        <f>IFERROR(__xludf.DUMMYFUNCTION("""COMPUTED_VALUE"""),13.55)</f>
        <v>13.55</v>
      </c>
      <c r="V2599" s="1" t="str">
        <f>IFERROR(__xludf.DUMMYFUNCTION("""COMPUTED_VALUE"""),"Sieg Ballelos")</f>
        <v>Sieg Ballelos</v>
      </c>
      <c r="W2599" s="1" t="str">
        <f>IFERROR(__xludf.DUMMYFUNCTION("""COMPUTED_VALUE"""),"Core Product Support Escalation Team")</f>
        <v>Core Product Support Escalation Team</v>
      </c>
    </row>
    <row r="2600">
      <c r="O2600" s="1" t="str">
        <f>IFERROR(__xludf.DUMMYFUNCTION("""COMPUTED_VALUE"""),"2026 Mar")</f>
        <v>2026 Mar</v>
      </c>
      <c r="P2600" s="1" t="str">
        <f>IFERROR(__xludf.DUMMYFUNCTION("""COMPUTED_VALUE"""),"Core Product Support")</f>
        <v>Core Product Support</v>
      </c>
      <c r="Q2600" s="1" t="str">
        <f>IFERROR(__xludf.DUMMYFUNCTION("""COMPUTED_VALUE"""),"jen@canva.com")</f>
        <v>jen@canva.com</v>
      </c>
      <c r="R2600" s="1" t="str">
        <f>IFERROR(__xludf.DUMMYFUNCTION("""COMPUTED_VALUE"""),"Jenber Teves")</f>
        <v>Jenber Teves</v>
      </c>
      <c r="S2600" s="1"/>
      <c r="T2600" s="1">
        <f>IFERROR(__xludf.DUMMYFUNCTION("""COMPUTED_VALUE"""),90.4)</f>
        <v>90.4</v>
      </c>
      <c r="U2600" s="2">
        <f>IFERROR(__xludf.DUMMYFUNCTION("""COMPUTED_VALUE"""),90.4)</f>
        <v>90.4</v>
      </c>
      <c r="V2600" s="1" t="str">
        <f>IFERROR(__xludf.DUMMYFUNCTION("""COMPUTED_VALUE"""),"Ellaine Estayo")</f>
        <v>Ellaine Estayo</v>
      </c>
      <c r="W2600" s="1" t="str">
        <f>IFERROR(__xludf.DUMMYFUNCTION("""COMPUTED_VALUE"""),"Core Product Support Escalation Team")</f>
        <v>Core Product Support Escalation Team</v>
      </c>
    </row>
    <row r="2601">
      <c r="O2601" s="1" t="str">
        <f>IFERROR(__xludf.DUMMYFUNCTION("""COMPUTED_VALUE"""),"2026 Mar")</f>
        <v>2026 Mar</v>
      </c>
      <c r="P2601" s="1" t="str">
        <f>IFERROR(__xludf.DUMMYFUNCTION("""COMPUTED_VALUE"""),"Print Support")</f>
        <v>Print Support</v>
      </c>
      <c r="Q2601" s="1" t="str">
        <f>IFERROR(__xludf.DUMMYFUNCTION("""COMPUTED_VALUE"""),"jesicamari@canva.com")</f>
        <v>jesicamari@canva.com</v>
      </c>
      <c r="R2601" s="1" t="str">
        <f>IFERROR(__xludf.DUMMYFUNCTION("""COMPUTED_VALUE"""),"Jesica Laureola")</f>
        <v>Jesica Laureola</v>
      </c>
      <c r="S2601" s="1"/>
      <c r="T2601" s="1"/>
      <c r="U2601" s="2">
        <f>IFERROR(__xludf.DUMMYFUNCTION("""COMPUTED_VALUE"""),0.0)</f>
        <v>0</v>
      </c>
      <c r="V2601" s="1" t="str">
        <f>IFERROR(__xludf.DUMMYFUNCTION("""COMPUTED_VALUE"""),"Rei De Jesus")</f>
        <v>Rei De Jesus</v>
      </c>
      <c r="W2601" s="1" t="str">
        <f>IFERROR(__xludf.DUMMYFUNCTION("""COMPUTED_VALUE"""),"Print Design Support")</f>
        <v>Print Design Support</v>
      </c>
    </row>
    <row r="2602">
      <c r="O2602" s="1" t="str">
        <f>IFERROR(__xludf.DUMMYFUNCTION("""COMPUTED_VALUE"""),"2026 Mar")</f>
        <v>2026 Mar</v>
      </c>
      <c r="P2602" s="1" t="str">
        <f>IFERROR(__xludf.DUMMYFUNCTION("""COMPUTED_VALUE"""),"Core Product Support")</f>
        <v>Core Product Support</v>
      </c>
      <c r="Q2602" s="1" t="str">
        <f>IFERROR(__xludf.DUMMYFUNCTION("""COMPUTED_VALUE"""),"jbrizuela@canva.com")</f>
        <v>jbrizuela@canva.com</v>
      </c>
      <c r="R2602" s="1" t="str">
        <f>IFERROR(__xludf.DUMMYFUNCTION("""COMPUTED_VALUE"""),"Jessa Brizuela")</f>
        <v>Jessa Brizuela</v>
      </c>
      <c r="S2602" s="1">
        <f>IFERROR(__xludf.DUMMYFUNCTION("""COMPUTED_VALUE"""),0.5)</f>
        <v>0.5</v>
      </c>
      <c r="T2602" s="1">
        <f>IFERROR(__xludf.DUMMYFUNCTION("""COMPUTED_VALUE"""),6.25)</f>
        <v>6.25</v>
      </c>
      <c r="U2602" s="2">
        <f>IFERROR(__xludf.DUMMYFUNCTION("""COMPUTED_VALUE"""),6.75)</f>
        <v>6.75</v>
      </c>
      <c r="V2602" s="1" t="str">
        <f>IFERROR(__xludf.DUMMYFUNCTION("""COMPUTED_VALUE"""),"Renette Bok")</f>
        <v>Renette Bok</v>
      </c>
      <c r="W2602" s="1" t="str">
        <f>IFERROR(__xludf.DUMMYFUNCTION("""COMPUTED_VALUE"""),"Advanced Billing &amp; Subscriptions")</f>
        <v>Advanced Billing &amp; Subscriptions</v>
      </c>
    </row>
    <row r="2603">
      <c r="O2603" s="1" t="str">
        <f>IFERROR(__xludf.DUMMYFUNCTION("""COMPUTED_VALUE"""),"2026 Mar")</f>
        <v>2026 Mar</v>
      </c>
      <c r="P2603" s="1" t="str">
        <f>IFERROR(__xludf.DUMMYFUNCTION("""COMPUTED_VALUE"""),"Core Product Support")</f>
        <v>Core Product Support</v>
      </c>
      <c r="Q2603" s="1" t="str">
        <f>IFERROR(__xludf.DUMMYFUNCTION("""COMPUTED_VALUE"""),"jian@canva.com")</f>
        <v>jian@canva.com</v>
      </c>
      <c r="R2603" s="1" t="str">
        <f>IFERROR(__xludf.DUMMYFUNCTION("""COMPUTED_VALUE"""),"Jian Paula Inocencio")</f>
        <v>Jian Paula Inocencio</v>
      </c>
      <c r="S2603" s="1">
        <f>IFERROR(__xludf.DUMMYFUNCTION("""COMPUTED_VALUE"""),0.5)</f>
        <v>0.5</v>
      </c>
      <c r="T2603" s="1">
        <f>IFERROR(__xludf.DUMMYFUNCTION("""COMPUTED_VALUE"""),8.75)</f>
        <v>8.75</v>
      </c>
      <c r="U2603" s="2">
        <f>IFERROR(__xludf.DUMMYFUNCTION("""COMPUTED_VALUE"""),9.25)</f>
        <v>9.25</v>
      </c>
      <c r="V2603" s="1" t="str">
        <f>IFERROR(__xludf.DUMMYFUNCTION("""COMPUTED_VALUE"""),"Vinz Lazaro")</f>
        <v>Vinz Lazaro</v>
      </c>
      <c r="W2603" s="1" t="str">
        <f>IFERROR(__xludf.DUMMYFUNCTION("""COMPUTED_VALUE"""),"Advanced Product Support")</f>
        <v>Advanced Product Support</v>
      </c>
    </row>
    <row r="2604">
      <c r="O2604" s="1" t="str">
        <f>IFERROR(__xludf.DUMMYFUNCTION("""COMPUTED_VALUE"""),"2026 Mar")</f>
        <v>2026 Mar</v>
      </c>
      <c r="P2604" s="1" t="str">
        <f>IFERROR(__xludf.DUMMYFUNCTION("""COMPUTED_VALUE"""),"Core Product Support")</f>
        <v>Core Product Support</v>
      </c>
      <c r="Q2604" s="1" t="str">
        <f>IFERROR(__xludf.DUMMYFUNCTION("""COMPUTED_VALUE"""),"jilll@canva.com")</f>
        <v>jilll@canva.com</v>
      </c>
      <c r="R2604" s="1" t="str">
        <f>IFERROR(__xludf.DUMMYFUNCTION("""COMPUTED_VALUE"""),"Jill Linco")</f>
        <v>Jill Linco</v>
      </c>
      <c r="S2604" s="1">
        <f>IFERROR(__xludf.DUMMYFUNCTION("""COMPUTED_VALUE"""),0.5)</f>
        <v>0.5</v>
      </c>
      <c r="T2604" s="1">
        <f>IFERROR(__xludf.DUMMYFUNCTION("""COMPUTED_VALUE"""),10.75)</f>
        <v>10.75</v>
      </c>
      <c r="U2604" s="2">
        <f>IFERROR(__xludf.DUMMYFUNCTION("""COMPUTED_VALUE"""),11.25)</f>
        <v>11.25</v>
      </c>
      <c r="V2604" s="1" t="str">
        <f>IFERROR(__xludf.DUMMYFUNCTION("""COMPUTED_VALUE"""),"Cate Velasco")</f>
        <v>Cate Velasco</v>
      </c>
      <c r="W2604" s="1" t="str">
        <f>IFERROR(__xludf.DUMMYFUNCTION("""COMPUTED_VALUE"""),"Advanced Product Support")</f>
        <v>Advanced Product Support</v>
      </c>
    </row>
    <row r="2605">
      <c r="O2605" s="1" t="str">
        <f>IFERROR(__xludf.DUMMYFUNCTION("""COMPUTED_VALUE"""),"2026 Mar")</f>
        <v>2026 Mar</v>
      </c>
      <c r="P2605" s="1" t="str">
        <f>IFERROR(__xludf.DUMMYFUNCTION("""COMPUTED_VALUE"""),"Segment-specific Support")</f>
        <v>Segment-specific Support</v>
      </c>
      <c r="Q2605" s="1" t="str">
        <f>IFERROR(__xludf.DUMMYFUNCTION("""COMPUTED_VALUE"""),"jillann@canva.com")</f>
        <v>jillann@canva.com</v>
      </c>
      <c r="R2605" s="1" t="str">
        <f>IFERROR(__xludf.DUMMYFUNCTION("""COMPUTED_VALUE"""),"Jill-Ann Reducindo")</f>
        <v>Jill-Ann Reducindo</v>
      </c>
      <c r="S2605" s="1"/>
      <c r="T2605" s="1">
        <f>IFERROR(__xludf.DUMMYFUNCTION("""COMPUTED_VALUE"""),2.25)</f>
        <v>2.25</v>
      </c>
      <c r="U2605" s="2">
        <f>IFERROR(__xludf.DUMMYFUNCTION("""COMPUTED_VALUE"""),2.25)</f>
        <v>2.25</v>
      </c>
      <c r="V2605" s="1" t="str">
        <f>IFERROR(__xludf.DUMMYFUNCTION("""COMPUTED_VALUE"""),"Rose Gabilan")</f>
        <v>Rose Gabilan</v>
      </c>
      <c r="W2605" s="1" t="str">
        <f>IFERROR(__xludf.DUMMYFUNCTION("""COMPUTED_VALUE"""),"Affinity Support")</f>
        <v>Affinity Support</v>
      </c>
    </row>
    <row r="2606">
      <c r="O2606" s="1" t="str">
        <f>IFERROR(__xludf.DUMMYFUNCTION("""COMPUTED_VALUE"""),"2026 Mar")</f>
        <v>2026 Mar</v>
      </c>
      <c r="P2606" s="1" t="str">
        <f>IFERROR(__xludf.DUMMYFUNCTION("""COMPUTED_VALUE"""),"Core Product Support")</f>
        <v>Core Product Support</v>
      </c>
      <c r="Q2606" s="1" t="str">
        <f>IFERROR(__xludf.DUMMYFUNCTION("""COMPUTED_VALUE"""),"jmfrial@canva.com")</f>
        <v>jmfrial@canva.com</v>
      </c>
      <c r="R2606" s="1" t="str">
        <f>IFERROR(__xludf.DUMMYFUNCTION("""COMPUTED_VALUE"""),"JM Frial")</f>
        <v>JM Frial</v>
      </c>
      <c r="S2606" s="1">
        <f>IFERROR(__xludf.DUMMYFUNCTION("""COMPUTED_VALUE"""),0.5)</f>
        <v>0.5</v>
      </c>
      <c r="T2606" s="1">
        <f>IFERROR(__xludf.DUMMYFUNCTION("""COMPUTED_VALUE"""),12.42)</f>
        <v>12.42</v>
      </c>
      <c r="U2606" s="2">
        <f>IFERROR(__xludf.DUMMYFUNCTION("""COMPUTED_VALUE"""),12.92)</f>
        <v>12.92</v>
      </c>
      <c r="V2606" s="1" t="str">
        <f>IFERROR(__xludf.DUMMYFUNCTION("""COMPUTED_VALUE"""),"Sieg Ballelos")</f>
        <v>Sieg Ballelos</v>
      </c>
      <c r="W2606" s="1" t="str">
        <f>IFERROR(__xludf.DUMMYFUNCTION("""COMPUTED_VALUE"""),"Core Product Support Escalation Team")</f>
        <v>Core Product Support Escalation Team</v>
      </c>
    </row>
    <row r="2607">
      <c r="O2607" s="1" t="str">
        <f>IFERROR(__xludf.DUMMYFUNCTION("""COMPUTED_VALUE"""),"2026 Mar")</f>
        <v>2026 Mar</v>
      </c>
      <c r="P2607" s="1" t="str">
        <f>IFERROR(__xludf.DUMMYFUNCTION("""COMPUTED_VALUE"""),"Core Product Support")</f>
        <v>Core Product Support</v>
      </c>
      <c r="Q2607" s="1" t="str">
        <f>IFERROR(__xludf.DUMMYFUNCTION("""COMPUTED_VALUE"""),"jmpascual@canva.com")</f>
        <v>jmpascual@canva.com</v>
      </c>
      <c r="R2607" s="1" t="str">
        <f>IFERROR(__xludf.DUMMYFUNCTION("""COMPUTED_VALUE"""),"JM Pascual")</f>
        <v>JM Pascual</v>
      </c>
      <c r="S2607" s="1">
        <f>IFERROR(__xludf.DUMMYFUNCTION("""COMPUTED_VALUE"""),0.5)</f>
        <v>0.5</v>
      </c>
      <c r="T2607" s="1">
        <f>IFERROR(__xludf.DUMMYFUNCTION("""COMPUTED_VALUE"""),6.75)</f>
        <v>6.75</v>
      </c>
      <c r="U2607" s="2">
        <f>IFERROR(__xludf.DUMMYFUNCTION("""COMPUTED_VALUE"""),7.25)</f>
        <v>7.25</v>
      </c>
      <c r="V2607" s="1" t="str">
        <f>IFERROR(__xludf.DUMMYFUNCTION("""COMPUTED_VALUE"""),"Belle Bentazal")</f>
        <v>Belle Bentazal</v>
      </c>
      <c r="W2607" s="1" t="str">
        <f>IFERROR(__xludf.DUMMYFUNCTION("""COMPUTED_VALUE"""),"Advanced Product Support")</f>
        <v>Advanced Product Support</v>
      </c>
    </row>
    <row r="2608">
      <c r="O2608" s="1" t="str">
        <f>IFERROR(__xludf.DUMMYFUNCTION("""COMPUTED_VALUE"""),"2026 Mar")</f>
        <v>2026 Mar</v>
      </c>
      <c r="P2608" s="1" t="str">
        <f>IFERROR(__xludf.DUMMYFUNCTION("""COMPUTED_VALUE"""),"Print Support")</f>
        <v>Print Support</v>
      </c>
      <c r="Q2608" s="1" t="str">
        <f>IFERROR(__xludf.DUMMYFUNCTION("""COMPUTED_VALUE"""),"joanmyle@canva.com")</f>
        <v>joanmyle@canva.com</v>
      </c>
      <c r="R2608" s="1" t="str">
        <f>IFERROR(__xludf.DUMMYFUNCTION("""COMPUTED_VALUE"""),"Joan Myle Dapog")</f>
        <v>Joan Myle Dapog</v>
      </c>
      <c r="S2608" s="1"/>
      <c r="T2608" s="1">
        <f>IFERROR(__xludf.DUMMYFUNCTION("""COMPUTED_VALUE"""),27.22)</f>
        <v>27.22</v>
      </c>
      <c r="U2608" s="2">
        <f>IFERROR(__xludf.DUMMYFUNCTION("""COMPUTED_VALUE"""),27.22)</f>
        <v>27.22</v>
      </c>
      <c r="V2608" s="1" t="str">
        <f>IFERROR(__xludf.DUMMYFUNCTION("""COMPUTED_VALUE"""),"Jen Momo")</f>
        <v>Jen Momo</v>
      </c>
      <c r="W2608" s="1" t="str">
        <f>IFERROR(__xludf.DUMMYFUNCTION("""COMPUTED_VALUE"""),"Print Support PH")</f>
        <v>Print Support PH</v>
      </c>
    </row>
    <row r="2609">
      <c r="O2609" s="1" t="str">
        <f>IFERROR(__xludf.DUMMYFUNCTION("""COMPUTED_VALUE"""),"2026 Mar")</f>
        <v>2026 Mar</v>
      </c>
      <c r="P2609" s="1" t="str">
        <f>IFERROR(__xludf.DUMMYFUNCTION("""COMPUTED_VALUE"""),"Print Support")</f>
        <v>Print Support</v>
      </c>
      <c r="Q2609" s="1" t="str">
        <f>IFERROR(__xludf.DUMMYFUNCTION("""COMPUTED_VALUE"""),"jmbeldua@canva.com")</f>
        <v>jmbeldua@canva.com</v>
      </c>
      <c r="R2609" s="1" t="str">
        <f>IFERROR(__xludf.DUMMYFUNCTION("""COMPUTED_VALUE"""),"Joane Beldua")</f>
        <v>Joane Beldua</v>
      </c>
      <c r="S2609" s="1"/>
      <c r="T2609" s="1">
        <f>IFERROR(__xludf.DUMMYFUNCTION("""COMPUTED_VALUE"""),7.67)</f>
        <v>7.67</v>
      </c>
      <c r="U2609" s="2">
        <f>IFERROR(__xludf.DUMMYFUNCTION("""COMPUTED_VALUE"""),7.67)</f>
        <v>7.67</v>
      </c>
      <c r="V2609" s="1" t="str">
        <f>IFERROR(__xludf.DUMMYFUNCTION("""COMPUTED_VALUE"""),"Louise Dianne Estrella")</f>
        <v>Louise Dianne Estrella</v>
      </c>
      <c r="W2609" s="1" t="str">
        <f>IFERROR(__xludf.DUMMYFUNCTION("""COMPUTED_VALUE"""),"Print Support PH")</f>
        <v>Print Support PH</v>
      </c>
    </row>
    <row r="2610">
      <c r="O2610" s="1" t="str">
        <f>IFERROR(__xludf.DUMMYFUNCTION("""COMPUTED_VALUE"""),"2026 Mar")</f>
        <v>2026 Mar</v>
      </c>
      <c r="P2610" s="1" t="str">
        <f>IFERROR(__xludf.DUMMYFUNCTION("""COMPUTED_VALUE"""),"Multilingual Support")</f>
        <v>Multilingual Support</v>
      </c>
      <c r="Q2610" s="1" t="str">
        <f>IFERROR(__xludf.DUMMYFUNCTION("""COMPUTED_VALUE"""),"joaqdivino@canva.com")</f>
        <v>joaqdivino@canva.com</v>
      </c>
      <c r="R2610" s="1" t="str">
        <f>IFERROR(__xludf.DUMMYFUNCTION("""COMPUTED_VALUE"""),"Joaquin Divino")</f>
        <v>Joaquin Divino</v>
      </c>
      <c r="S2610" s="1"/>
      <c r="T2610" s="1">
        <f>IFERROR(__xludf.DUMMYFUNCTION("""COMPUTED_VALUE"""),10.5)</f>
        <v>10.5</v>
      </c>
      <c r="U2610" s="2">
        <f>IFERROR(__xludf.DUMMYFUNCTION("""COMPUTED_VALUE"""),10.5)</f>
        <v>10.5</v>
      </c>
      <c r="V2610" s="1" t="str">
        <f>IFERROR(__xludf.DUMMYFUNCTION("""COMPUTED_VALUE"""),"Arlene Maurillo")</f>
        <v>Arlene Maurillo</v>
      </c>
      <c r="W2610" s="1" t="str">
        <f>IFERROR(__xludf.DUMMYFUNCTION("""COMPUTED_VALUE"""),"PHL, Multilingual Support")</f>
        <v>PHL, Multilingual Support</v>
      </c>
    </row>
    <row r="2611">
      <c r="O2611" s="1" t="str">
        <f>IFERROR(__xludf.DUMMYFUNCTION("""COMPUTED_VALUE"""),"2026 Mar")</f>
        <v>2026 Mar</v>
      </c>
      <c r="P2611" s="1" t="str">
        <f>IFERROR(__xludf.DUMMYFUNCTION("""COMPUTED_VALUE"""),"Core Product Support")</f>
        <v>Core Product Support</v>
      </c>
      <c r="Q2611" s="1" t="str">
        <f>IFERROR(__xludf.DUMMYFUNCTION("""COMPUTED_VALUE"""),"jocelynng@canva.com")</f>
        <v>jocelynng@canva.com</v>
      </c>
      <c r="R2611" s="1" t="str">
        <f>IFERROR(__xludf.DUMMYFUNCTION("""COMPUTED_VALUE"""),"Jocelyn Ng")</f>
        <v>Jocelyn Ng</v>
      </c>
      <c r="S2611" s="1">
        <f>IFERROR(__xludf.DUMMYFUNCTION("""COMPUTED_VALUE"""),0.02)</f>
        <v>0.02</v>
      </c>
      <c r="T2611" s="1">
        <f>IFERROR(__xludf.DUMMYFUNCTION("""COMPUTED_VALUE"""),85.32)</f>
        <v>85.32</v>
      </c>
      <c r="U2611" s="2">
        <f>IFERROR(__xludf.DUMMYFUNCTION("""COMPUTED_VALUE"""),85.33999999999999)</f>
        <v>85.34</v>
      </c>
      <c r="V2611" s="1" t="str">
        <f>IFERROR(__xludf.DUMMYFUNCTION("""COMPUTED_VALUE"""),"Sieg Ballelos")</f>
        <v>Sieg Ballelos</v>
      </c>
      <c r="W2611" s="1" t="str">
        <f>IFERROR(__xludf.DUMMYFUNCTION("""COMPUTED_VALUE"""),"Core Product Support Escalation Team")</f>
        <v>Core Product Support Escalation Team</v>
      </c>
    </row>
    <row r="2612">
      <c r="O2612" s="1" t="str">
        <f>IFERROR(__xludf.DUMMYFUNCTION("""COMPUTED_VALUE"""),"2026 Mar")</f>
        <v>2026 Mar</v>
      </c>
      <c r="P2612" s="1" t="str">
        <f>IFERROR(__xludf.DUMMYFUNCTION("""COMPUTED_VALUE"""),"Admin Support")</f>
        <v>Admin Support</v>
      </c>
      <c r="Q2612" s="1" t="str">
        <f>IFERROR(__xludf.DUMMYFUNCTION("""COMPUTED_VALUE"""),"cee@canva.com")</f>
        <v>cee@canva.com</v>
      </c>
      <c r="R2612" s="1" t="str">
        <f>IFERROR(__xludf.DUMMYFUNCTION("""COMPUTED_VALUE"""),"John Carlo Gonzales")</f>
        <v>John Carlo Gonzales</v>
      </c>
      <c r="S2612" s="1"/>
      <c r="T2612" s="1">
        <f>IFERROR(__xludf.DUMMYFUNCTION("""COMPUTED_VALUE"""),5.25)</f>
        <v>5.25</v>
      </c>
      <c r="U2612" s="2">
        <f>IFERROR(__xludf.DUMMYFUNCTION("""COMPUTED_VALUE"""),5.25)</f>
        <v>5.25</v>
      </c>
      <c r="V2612" s="1" t="str">
        <f>IFERROR(__xludf.DUMMYFUNCTION("""COMPUTED_VALUE"""),"AL Suarez")</f>
        <v>AL Suarez</v>
      </c>
      <c r="W2612" s="1" t="str">
        <f>IFERROR(__xludf.DUMMYFUNCTION("""COMPUTED_VALUE"""),"Admin Direct Support")</f>
        <v>Admin Direct Support</v>
      </c>
    </row>
    <row r="2613">
      <c r="O2613" s="1" t="str">
        <f>IFERROR(__xludf.DUMMYFUNCTION("""COMPUTED_VALUE"""),"2026 Mar")</f>
        <v>2026 Mar</v>
      </c>
      <c r="P2613" s="1" t="str">
        <f>IFERROR(__xludf.DUMMYFUNCTION("""COMPUTED_VALUE"""),"Core Product Support")</f>
        <v>Core Product Support</v>
      </c>
      <c r="Q2613" s="1" t="str">
        <f>IFERROR(__xludf.DUMMYFUNCTION("""COMPUTED_VALUE"""),"khael@canva.com")</f>
        <v>khael@canva.com</v>
      </c>
      <c r="R2613" s="1" t="str">
        <f>IFERROR(__xludf.DUMMYFUNCTION("""COMPUTED_VALUE"""),"John Pieda")</f>
        <v>John Pieda</v>
      </c>
      <c r="S2613" s="1">
        <f>IFERROR(__xludf.DUMMYFUNCTION("""COMPUTED_VALUE"""),0.45)</f>
        <v>0.45</v>
      </c>
      <c r="T2613" s="1">
        <f>IFERROR(__xludf.DUMMYFUNCTION("""COMPUTED_VALUE"""),5.75)</f>
        <v>5.75</v>
      </c>
      <c r="U2613" s="2">
        <f>IFERROR(__xludf.DUMMYFUNCTION("""COMPUTED_VALUE"""),6.2)</f>
        <v>6.2</v>
      </c>
      <c r="V2613" s="1" t="str">
        <f>IFERROR(__xludf.DUMMYFUNCTION("""COMPUTED_VALUE"""),"Ayza Marie Pascual")</f>
        <v>Ayza Marie Pascual</v>
      </c>
      <c r="W2613" s="1" t="str">
        <f>IFERROR(__xludf.DUMMYFUNCTION("""COMPUTED_VALUE"""),"Advanced Billing &amp; Subscriptions")</f>
        <v>Advanced Billing &amp; Subscriptions</v>
      </c>
    </row>
    <row r="2614">
      <c r="O2614" s="1" t="str">
        <f>IFERROR(__xludf.DUMMYFUNCTION("""COMPUTED_VALUE"""),"2026 Mar")</f>
        <v>2026 Mar</v>
      </c>
      <c r="P2614" s="1" t="str">
        <f>IFERROR(__xludf.DUMMYFUNCTION("""COMPUTED_VALUE"""),"Core Product Support")</f>
        <v>Core Product Support</v>
      </c>
      <c r="Q2614" s="1" t="str">
        <f>IFERROR(__xludf.DUMMYFUNCTION("""COMPUTED_VALUE"""),"jonahezra@canva.com")</f>
        <v>jonahezra@canva.com</v>
      </c>
      <c r="R2614" s="1" t="str">
        <f>IFERROR(__xludf.DUMMYFUNCTION("""COMPUTED_VALUE"""),"Jonah Ezra Vergara")</f>
        <v>Jonah Ezra Vergara</v>
      </c>
      <c r="S2614" s="1"/>
      <c r="T2614" s="1">
        <f>IFERROR(__xludf.DUMMYFUNCTION("""COMPUTED_VALUE"""),10.0)</f>
        <v>10</v>
      </c>
      <c r="U2614" s="2">
        <f>IFERROR(__xludf.DUMMYFUNCTION("""COMPUTED_VALUE"""),10.0)</f>
        <v>10</v>
      </c>
      <c r="V2614" s="1" t="str">
        <f>IFERROR(__xludf.DUMMYFUNCTION("""COMPUTED_VALUE"""),"Ellaine Estayo")</f>
        <v>Ellaine Estayo</v>
      </c>
      <c r="W2614" s="1" t="str">
        <f>IFERROR(__xludf.DUMMYFUNCTION("""COMPUTED_VALUE"""),"Core Product Support Escalation Team")</f>
        <v>Core Product Support Escalation Team</v>
      </c>
    </row>
    <row r="2615">
      <c r="O2615" s="1" t="str">
        <f>IFERROR(__xludf.DUMMYFUNCTION("""COMPUTED_VALUE"""),"2026 Mar")</f>
        <v>2026 Mar</v>
      </c>
      <c r="P2615" s="1" t="str">
        <f>IFERROR(__xludf.DUMMYFUNCTION("""COMPUTED_VALUE"""),"Core Product Support")</f>
        <v>Core Product Support</v>
      </c>
      <c r="Q2615" s="1" t="str">
        <f>IFERROR(__xludf.DUMMYFUNCTION("""COMPUTED_VALUE"""),"cjopphet@canva.com")</f>
        <v>cjopphet@canva.com</v>
      </c>
      <c r="R2615" s="1" t="str">
        <f>IFERROR(__xludf.DUMMYFUNCTION("""COMPUTED_VALUE"""),"Jopphet Villafuerte")</f>
        <v>Jopphet Villafuerte</v>
      </c>
      <c r="S2615" s="1"/>
      <c r="T2615" s="1">
        <f>IFERROR(__xludf.DUMMYFUNCTION("""COMPUTED_VALUE"""),6.75)</f>
        <v>6.75</v>
      </c>
      <c r="U2615" s="2">
        <f>IFERROR(__xludf.DUMMYFUNCTION("""COMPUTED_VALUE"""),6.75)</f>
        <v>6.75</v>
      </c>
      <c r="V2615" s="1" t="str">
        <f>IFERROR(__xludf.DUMMYFUNCTION("""COMPUTED_VALUE"""),"Ayza Marie Pascual")</f>
        <v>Ayza Marie Pascual</v>
      </c>
      <c r="W2615" s="1" t="str">
        <f>IFERROR(__xludf.DUMMYFUNCTION("""COMPUTED_VALUE"""),"Advanced Billing &amp; Subscriptions")</f>
        <v>Advanced Billing &amp; Subscriptions</v>
      </c>
    </row>
    <row r="2616">
      <c r="O2616" s="1" t="str">
        <f>IFERROR(__xludf.DUMMYFUNCTION("""COMPUTED_VALUE"""),"2026 Mar")</f>
        <v>2026 Mar</v>
      </c>
      <c r="P2616" s="1" t="str">
        <f>IFERROR(__xludf.DUMMYFUNCTION("""COMPUTED_VALUE"""),"Segment-specific Support")</f>
        <v>Segment-specific Support</v>
      </c>
      <c r="Q2616" s="1" t="str">
        <f>IFERROR(__xludf.DUMMYFUNCTION("""COMPUTED_VALUE"""),"jorell@canva.com")</f>
        <v>jorell@canva.com</v>
      </c>
      <c r="R2616" s="1" t="str">
        <f>IFERROR(__xludf.DUMMYFUNCTION("""COMPUTED_VALUE"""),"Jorell Bollozos")</f>
        <v>Jorell Bollozos</v>
      </c>
      <c r="S2616" s="1"/>
      <c r="T2616" s="1">
        <f>IFERROR(__xludf.DUMMYFUNCTION("""COMPUTED_VALUE"""),6.87)</f>
        <v>6.87</v>
      </c>
      <c r="U2616" s="2">
        <f>IFERROR(__xludf.DUMMYFUNCTION("""COMPUTED_VALUE"""),6.87)</f>
        <v>6.87</v>
      </c>
      <c r="V2616" s="1" t="str">
        <f>IFERROR(__xludf.DUMMYFUNCTION("""COMPUTED_VALUE"""),"Gucci Nava")</f>
        <v>Gucci Nava</v>
      </c>
      <c r="W2616" s="1" t="str">
        <f>IFERROR(__xludf.DUMMYFUNCTION("""COMPUTED_VALUE"""),"Print Support PH")</f>
        <v>Print Support PH</v>
      </c>
    </row>
    <row r="2617">
      <c r="O2617" s="1" t="str">
        <f>IFERROR(__xludf.DUMMYFUNCTION("""COMPUTED_VALUE"""),"2026 Mar")</f>
        <v>2026 Mar</v>
      </c>
      <c r="P2617" s="1" t="str">
        <f>IFERROR(__xludf.DUMMYFUNCTION("""COMPUTED_VALUE"""),"Core Product Support")</f>
        <v>Core Product Support</v>
      </c>
      <c r="Q2617" s="1" t="str">
        <f>IFERROR(__xludf.DUMMYFUNCTION("""COMPUTED_VALUE"""),"josab@canva.com")</f>
        <v>josab@canva.com</v>
      </c>
      <c r="R2617" s="1" t="str">
        <f>IFERROR(__xludf.DUMMYFUNCTION("""COMPUTED_VALUE"""),"Josa Bernardino")</f>
        <v>Josa Bernardino</v>
      </c>
      <c r="S2617" s="1"/>
      <c r="T2617" s="1">
        <f>IFERROR(__xludf.DUMMYFUNCTION("""COMPUTED_VALUE"""),89.17)</f>
        <v>89.17</v>
      </c>
      <c r="U2617" s="2">
        <f>IFERROR(__xludf.DUMMYFUNCTION("""COMPUTED_VALUE"""),89.17)</f>
        <v>89.17</v>
      </c>
      <c r="V2617" s="1" t="str">
        <f>IFERROR(__xludf.DUMMYFUNCTION("""COMPUTED_VALUE"""),"Ellaine Estayo")</f>
        <v>Ellaine Estayo</v>
      </c>
      <c r="W2617" s="1" t="str">
        <f>IFERROR(__xludf.DUMMYFUNCTION("""COMPUTED_VALUE"""),"Core Product Support Escalation Team")</f>
        <v>Core Product Support Escalation Team</v>
      </c>
    </row>
    <row r="2618">
      <c r="O2618" s="1" t="str">
        <f>IFERROR(__xludf.DUMMYFUNCTION("""COMPUTED_VALUE"""),"2026 Mar")</f>
        <v>2026 Mar</v>
      </c>
      <c r="P2618" s="1" t="str">
        <f>IFERROR(__xludf.DUMMYFUNCTION("""COMPUTED_VALUE"""),"Print Support")</f>
        <v>Print Support</v>
      </c>
      <c r="Q2618" s="1" t="str">
        <f>IFERROR(__xludf.DUMMYFUNCTION("""COMPUTED_VALUE"""),"quin@canva.com")</f>
        <v>quin@canva.com</v>
      </c>
      <c r="R2618" s="1" t="str">
        <f>IFERROR(__xludf.DUMMYFUNCTION("""COMPUTED_VALUE"""),"Jose Antiquin")</f>
        <v>Jose Antiquin</v>
      </c>
      <c r="S2618" s="1"/>
      <c r="T2618" s="1"/>
      <c r="U2618" s="2">
        <f>IFERROR(__xludf.DUMMYFUNCTION("""COMPUTED_VALUE"""),0.0)</f>
        <v>0</v>
      </c>
      <c r="V2618" s="1" t="str">
        <f>IFERROR(__xludf.DUMMYFUNCTION("""COMPUTED_VALUE"""),"Jen Momo")</f>
        <v>Jen Momo</v>
      </c>
      <c r="W2618" s="1" t="str">
        <f>IFERROR(__xludf.DUMMYFUNCTION("""COMPUTED_VALUE"""),"Print Support PH")</f>
        <v>Print Support PH</v>
      </c>
    </row>
    <row r="2619">
      <c r="O2619" s="1" t="str">
        <f>IFERROR(__xludf.DUMMYFUNCTION("""COMPUTED_VALUE"""),"2026 Mar")</f>
        <v>2026 Mar</v>
      </c>
      <c r="P2619" s="1" t="str">
        <f>IFERROR(__xludf.DUMMYFUNCTION("""COMPUTED_VALUE"""),"#N/A")</f>
        <v>#N/A</v>
      </c>
      <c r="Q2619" s="1" t="str">
        <f>IFERROR(__xludf.DUMMYFUNCTION("""COMPUTED_VALUE"""),"joshflores@canva.com")</f>
        <v>joshflores@canva.com</v>
      </c>
      <c r="R2619" s="1" t="str">
        <f>IFERROR(__xludf.DUMMYFUNCTION("""COMPUTED_VALUE"""),"Josh Flores")</f>
        <v>Josh Flores</v>
      </c>
      <c r="S2619" s="1"/>
      <c r="T2619" s="1"/>
      <c r="U2619" s="2">
        <f>IFERROR(__xludf.DUMMYFUNCTION("""COMPUTED_VALUE"""),0.0)</f>
        <v>0</v>
      </c>
      <c r="V2619" s="1" t="str">
        <f>IFERROR(__xludf.DUMMYFUNCTION("""COMPUTED_VALUE"""),"#N/A")</f>
        <v>#N/A</v>
      </c>
      <c r="W2619" s="1" t="str">
        <f>IFERROR(__xludf.DUMMYFUNCTION("""COMPUTED_VALUE"""),"#N/A")</f>
        <v>#N/A</v>
      </c>
    </row>
    <row r="2620">
      <c r="O2620" s="1" t="str">
        <f>IFERROR(__xludf.DUMMYFUNCTION("""COMPUTED_VALUE"""),"2026 Mar")</f>
        <v>2026 Mar</v>
      </c>
      <c r="P2620" s="1" t="str">
        <f>IFERROR(__xludf.DUMMYFUNCTION("""COMPUTED_VALUE"""),"Admin Support")</f>
        <v>Admin Support</v>
      </c>
      <c r="Q2620" s="1" t="str">
        <f>IFERROR(__xludf.DUMMYFUNCTION("""COMPUTED_VALUE"""),"joshid@canva.com")</f>
        <v>joshid@canva.com</v>
      </c>
      <c r="R2620" s="1" t="str">
        <f>IFERROR(__xludf.DUMMYFUNCTION("""COMPUTED_VALUE"""),"Joshua Dacanay")</f>
        <v>Joshua Dacanay</v>
      </c>
      <c r="S2620" s="1"/>
      <c r="T2620" s="1">
        <f>IFERROR(__xludf.DUMMYFUNCTION("""COMPUTED_VALUE"""),5.5)</f>
        <v>5.5</v>
      </c>
      <c r="U2620" s="2">
        <f>IFERROR(__xludf.DUMMYFUNCTION("""COMPUTED_VALUE"""),5.5)</f>
        <v>5.5</v>
      </c>
      <c r="V2620" s="1" t="str">
        <f>IFERROR(__xludf.DUMMYFUNCTION("""COMPUTED_VALUE"""),"AL Suarez")</f>
        <v>AL Suarez</v>
      </c>
      <c r="W2620" s="1" t="str">
        <f>IFERROR(__xludf.DUMMYFUNCTION("""COMPUTED_VALUE"""),"Admin Direct Support")</f>
        <v>Admin Direct Support</v>
      </c>
    </row>
    <row r="2621">
      <c r="O2621" s="1" t="str">
        <f>IFERROR(__xludf.DUMMYFUNCTION("""COMPUTED_VALUE"""),"2026 Mar")</f>
        <v>2026 Mar</v>
      </c>
      <c r="P2621" s="1" t="str">
        <f>IFERROR(__xludf.DUMMYFUNCTION("""COMPUTED_VALUE"""),"High Sensitivity Support")</f>
        <v>High Sensitivity Support</v>
      </c>
      <c r="Q2621" s="1" t="str">
        <f>IFERROR(__xludf.DUMMYFUNCTION("""COMPUTED_VALUE"""),"jpbasco@canva.com")</f>
        <v>jpbasco@canva.com</v>
      </c>
      <c r="R2621" s="1" t="str">
        <f>IFERROR(__xludf.DUMMYFUNCTION("""COMPUTED_VALUE"""),"JP Basco")</f>
        <v>JP Basco</v>
      </c>
      <c r="S2621" s="1"/>
      <c r="T2621" s="1">
        <f>IFERROR(__xludf.DUMMYFUNCTION("""COMPUTED_VALUE"""),7.75)</f>
        <v>7.75</v>
      </c>
      <c r="U2621" s="2">
        <f>IFERROR(__xludf.DUMMYFUNCTION("""COMPUTED_VALUE"""),7.75)</f>
        <v>7.75</v>
      </c>
      <c r="V2621" s="1" t="str">
        <f>IFERROR(__xludf.DUMMYFUNCTION("""COMPUTED_VALUE"""),"Rex Villamor")</f>
        <v>Rex Villamor</v>
      </c>
      <c r="W2621" s="1" t="str">
        <f>IFERROR(__xludf.DUMMYFUNCTION("""COMPUTED_VALUE"""),"High Sensitivity Support PH")</f>
        <v>High Sensitivity Support PH</v>
      </c>
    </row>
    <row r="2622">
      <c r="O2622" s="1" t="str">
        <f>IFERROR(__xludf.DUMMYFUNCTION("""COMPUTED_VALUE"""),"2026 Mar")</f>
        <v>2026 Mar</v>
      </c>
      <c r="P2622" s="1" t="str">
        <f>IFERROR(__xludf.DUMMYFUNCTION("""COMPUTED_VALUE"""),"Core Product Support")</f>
        <v>Core Product Support</v>
      </c>
      <c r="Q2622" s="1" t="str">
        <f>IFERROR(__xludf.DUMMYFUNCTION("""COMPUTED_VALUE"""),"mgonzalgo@canva.com")</f>
        <v>mgonzalgo@canva.com</v>
      </c>
      <c r="R2622" s="1" t="str">
        <f>IFERROR(__xludf.DUMMYFUNCTION("""COMPUTED_VALUE"""),"Juhrella Gonzalgo")</f>
        <v>Juhrella Gonzalgo</v>
      </c>
      <c r="S2622" s="1">
        <f>IFERROR(__xludf.DUMMYFUNCTION("""COMPUTED_VALUE"""),0.5)</f>
        <v>0.5</v>
      </c>
      <c r="T2622" s="1">
        <f>IFERROR(__xludf.DUMMYFUNCTION("""COMPUTED_VALUE"""),7.08)</f>
        <v>7.08</v>
      </c>
      <c r="U2622" s="2">
        <f>IFERROR(__xludf.DUMMYFUNCTION("""COMPUTED_VALUE"""),7.58)</f>
        <v>7.58</v>
      </c>
      <c r="V2622" s="1" t="str">
        <f>IFERROR(__xludf.DUMMYFUNCTION("""COMPUTED_VALUE"""),"Mikhaela Decangchon")</f>
        <v>Mikhaela Decangchon</v>
      </c>
      <c r="W2622" s="1" t="str">
        <f>IFERROR(__xludf.DUMMYFUNCTION("""COMPUTED_VALUE"""),"Advanced Product Support")</f>
        <v>Advanced Product Support</v>
      </c>
    </row>
    <row r="2623">
      <c r="O2623" s="1" t="str">
        <f>IFERROR(__xludf.DUMMYFUNCTION("""COMPUTED_VALUE"""),"2026 Mar")</f>
        <v>2026 Mar</v>
      </c>
      <c r="P2623" s="1" t="str">
        <f>IFERROR(__xludf.DUMMYFUNCTION("""COMPUTED_VALUE"""),"Admin Support")</f>
        <v>Admin Support</v>
      </c>
      <c r="Q2623" s="1" t="str">
        <f>IFERROR(__xludf.DUMMYFUNCTION("""COMPUTED_VALUE"""),"kamilleb@canva.com")</f>
        <v>kamilleb@canva.com</v>
      </c>
      <c r="R2623" s="1" t="str">
        <f>IFERROR(__xludf.DUMMYFUNCTION("""COMPUTED_VALUE"""),"Kamille Batuyong")</f>
        <v>Kamille Batuyong</v>
      </c>
      <c r="S2623" s="1"/>
      <c r="T2623" s="1">
        <f>IFERROR(__xludf.DUMMYFUNCTION("""COMPUTED_VALUE"""),6.83)</f>
        <v>6.83</v>
      </c>
      <c r="U2623" s="2">
        <f>IFERROR(__xludf.DUMMYFUNCTION("""COMPUTED_VALUE"""),6.83)</f>
        <v>6.83</v>
      </c>
      <c r="V2623" s="1" t="str">
        <f>IFERROR(__xludf.DUMMYFUNCTION("""COMPUTED_VALUE"""),"AL Suarez")</f>
        <v>AL Suarez</v>
      </c>
      <c r="W2623" s="1" t="str">
        <f>IFERROR(__xludf.DUMMYFUNCTION("""COMPUTED_VALUE"""),"Print Support PH")</f>
        <v>Print Support PH</v>
      </c>
    </row>
    <row r="2624">
      <c r="O2624" s="1" t="str">
        <f>IFERROR(__xludf.DUMMYFUNCTION("""COMPUTED_VALUE"""),"2026 Mar")</f>
        <v>2026 Mar</v>
      </c>
      <c r="P2624" s="1" t="str">
        <f>IFERROR(__xludf.DUMMYFUNCTION("""COMPUTED_VALUE"""),"Admin Support")</f>
        <v>Admin Support</v>
      </c>
      <c r="Q2624" s="1" t="str">
        <f>IFERROR(__xludf.DUMMYFUNCTION("""COMPUTED_VALUE"""),"klazam@canva.com")</f>
        <v>klazam@canva.com</v>
      </c>
      <c r="R2624" s="1" t="str">
        <f>IFERROR(__xludf.DUMMYFUNCTION("""COMPUTED_VALUE"""),"Kath Lazam")</f>
        <v>Kath Lazam</v>
      </c>
      <c r="S2624" s="1"/>
      <c r="T2624" s="1">
        <f>IFERROR(__xludf.DUMMYFUNCTION("""COMPUTED_VALUE"""),21.0)</f>
        <v>21</v>
      </c>
      <c r="U2624" s="2">
        <f>IFERROR(__xludf.DUMMYFUNCTION("""COMPUTED_VALUE"""),21.0)</f>
        <v>21</v>
      </c>
      <c r="V2624" s="1" t="str">
        <f>IFERROR(__xludf.DUMMYFUNCTION("""COMPUTED_VALUE"""),"AL Suarez")</f>
        <v>AL Suarez</v>
      </c>
      <c r="W2624" s="1" t="str">
        <f>IFERROR(__xludf.DUMMYFUNCTION("""COMPUTED_VALUE"""),"Admin Direct Support")</f>
        <v>Admin Direct Support</v>
      </c>
    </row>
    <row r="2625">
      <c r="O2625" s="1" t="str">
        <f>IFERROR(__xludf.DUMMYFUNCTION("""COMPUTED_VALUE"""),"2026 Mar")</f>
        <v>2026 Mar</v>
      </c>
      <c r="P2625" s="1" t="str">
        <f>IFERROR(__xludf.DUMMYFUNCTION("""COMPUTED_VALUE"""),"Core Product Support")</f>
        <v>Core Product Support</v>
      </c>
      <c r="Q2625" s="1" t="str">
        <f>IFERROR(__xludf.DUMMYFUNCTION("""COMPUTED_VALUE"""),"katcee@canva.com")</f>
        <v>katcee@canva.com</v>
      </c>
      <c r="R2625" s="1" t="str">
        <f>IFERROR(__xludf.DUMMYFUNCTION("""COMPUTED_VALUE"""),"Katrin Cebedo")</f>
        <v>Katrin Cebedo</v>
      </c>
      <c r="S2625" s="1">
        <f>IFERROR(__xludf.DUMMYFUNCTION("""COMPUTED_VALUE"""),0.5)</f>
        <v>0.5</v>
      </c>
      <c r="T2625" s="1">
        <f>IFERROR(__xludf.DUMMYFUNCTION("""COMPUTED_VALUE"""),6.75)</f>
        <v>6.75</v>
      </c>
      <c r="U2625" s="2">
        <f>IFERROR(__xludf.DUMMYFUNCTION("""COMPUTED_VALUE"""),7.25)</f>
        <v>7.25</v>
      </c>
      <c r="V2625" s="1" t="str">
        <f>IFERROR(__xludf.DUMMYFUNCTION("""COMPUTED_VALUE"""),"Ayza Marie Pascual")</f>
        <v>Ayza Marie Pascual</v>
      </c>
      <c r="W2625" s="1" t="str">
        <f>IFERROR(__xludf.DUMMYFUNCTION("""COMPUTED_VALUE"""),"Advanced Billing &amp; Subscriptions")</f>
        <v>Advanced Billing &amp; Subscriptions</v>
      </c>
    </row>
    <row r="2626">
      <c r="O2626" s="1" t="str">
        <f>IFERROR(__xludf.DUMMYFUNCTION("""COMPUTED_VALUE"""),"2026 Mar")</f>
        <v>2026 Mar</v>
      </c>
      <c r="P2626" s="1" t="str">
        <f>IFERROR(__xludf.DUMMYFUNCTION("""COMPUTED_VALUE"""),"Print Support")</f>
        <v>Print Support</v>
      </c>
      <c r="Q2626" s="1" t="str">
        <f>IFERROR(__xludf.DUMMYFUNCTION("""COMPUTED_VALUE"""),"katejoya@canva.com")</f>
        <v>katejoya@canva.com</v>
      </c>
      <c r="R2626" s="1" t="str">
        <f>IFERROR(__xludf.DUMMYFUNCTION("""COMPUTED_VALUE"""),"Katrina Joya")</f>
        <v>Katrina Joya</v>
      </c>
      <c r="S2626" s="1"/>
      <c r="T2626" s="1">
        <f>IFERROR(__xludf.DUMMYFUNCTION("""COMPUTED_VALUE"""),0.25)</f>
        <v>0.25</v>
      </c>
      <c r="U2626" s="2">
        <f>IFERROR(__xludf.DUMMYFUNCTION("""COMPUTED_VALUE"""),0.25)</f>
        <v>0.25</v>
      </c>
      <c r="V2626" s="1" t="str">
        <f>IFERROR(__xludf.DUMMYFUNCTION("""COMPUTED_VALUE"""),"Gem Agoncillo")</f>
        <v>Gem Agoncillo</v>
      </c>
      <c r="W2626" s="1" t="str">
        <f>IFERROR(__xludf.DUMMYFUNCTION("""COMPUTED_VALUE"""),"Print Design Support")</f>
        <v>Print Design Support</v>
      </c>
    </row>
    <row r="2627">
      <c r="O2627" s="1" t="str">
        <f>IFERROR(__xludf.DUMMYFUNCTION("""COMPUTED_VALUE"""),"2026 Mar")</f>
        <v>2026 Mar</v>
      </c>
      <c r="P2627" s="1" t="str">
        <f>IFERROR(__xludf.DUMMYFUNCTION("""COMPUTED_VALUE"""),"Core Product Support")</f>
        <v>Core Product Support</v>
      </c>
      <c r="Q2627" s="1" t="str">
        <f>IFERROR(__xludf.DUMMYFUNCTION("""COMPUTED_VALUE"""),"kayl@canva.com")</f>
        <v>kayl@canva.com</v>
      </c>
      <c r="R2627" s="1" t="str">
        <f>IFERROR(__xludf.DUMMYFUNCTION("""COMPUTED_VALUE"""),"Kayl Albonia")</f>
        <v>Kayl Albonia</v>
      </c>
      <c r="S2627" s="1">
        <f>IFERROR(__xludf.DUMMYFUNCTION("""COMPUTED_VALUE"""),1.0)</f>
        <v>1</v>
      </c>
      <c r="T2627" s="1">
        <f>IFERROR(__xludf.DUMMYFUNCTION("""COMPUTED_VALUE"""),9.75)</f>
        <v>9.75</v>
      </c>
      <c r="U2627" s="2">
        <f>IFERROR(__xludf.DUMMYFUNCTION("""COMPUTED_VALUE"""),10.75)</f>
        <v>10.75</v>
      </c>
      <c r="V2627" s="1" t="str">
        <f>IFERROR(__xludf.DUMMYFUNCTION("""COMPUTED_VALUE"""),"Marie Mordeno")</f>
        <v>Marie Mordeno</v>
      </c>
      <c r="W2627" s="1" t="str">
        <f>IFERROR(__xludf.DUMMYFUNCTION("""COMPUTED_VALUE"""),"Advanced Billing &amp; Subscriptions")</f>
        <v>Advanced Billing &amp; Subscriptions</v>
      </c>
    </row>
    <row r="2628">
      <c r="O2628" s="1" t="str">
        <f>IFERROR(__xludf.DUMMYFUNCTION("""COMPUTED_VALUE"""),"2026 Mar")</f>
        <v>2026 Mar</v>
      </c>
      <c r="P2628" s="1" t="str">
        <f>IFERROR(__xludf.DUMMYFUNCTION("""COMPUTED_VALUE"""),"High Sensitivity Support")</f>
        <v>High Sensitivity Support</v>
      </c>
      <c r="Q2628" s="1" t="str">
        <f>IFERROR(__xludf.DUMMYFUNCTION("""COMPUTED_VALUE"""),"kathlene@canva.com")</f>
        <v>kathlene@canva.com</v>
      </c>
      <c r="R2628" s="1" t="str">
        <f>IFERROR(__xludf.DUMMYFUNCTION("""COMPUTED_VALUE"""),"KC Cruz")</f>
        <v>KC Cruz</v>
      </c>
      <c r="S2628" s="1"/>
      <c r="T2628" s="1">
        <f>IFERROR(__xludf.DUMMYFUNCTION("""COMPUTED_VALUE"""),6.0)</f>
        <v>6</v>
      </c>
      <c r="U2628" s="2">
        <f>IFERROR(__xludf.DUMMYFUNCTION("""COMPUTED_VALUE"""),6.0)</f>
        <v>6</v>
      </c>
      <c r="V2628" s="1" t="str">
        <f>IFERROR(__xludf.DUMMYFUNCTION("""COMPUTED_VALUE"""),"Xandy Azarcon")</f>
        <v>Xandy Azarcon</v>
      </c>
      <c r="W2628" s="1" t="str">
        <f>IFERROR(__xludf.DUMMYFUNCTION("""COMPUTED_VALUE"""),"High Sensitivity Support PH")</f>
        <v>High Sensitivity Support PH</v>
      </c>
    </row>
    <row r="2629">
      <c r="O2629" s="1" t="str">
        <f>IFERROR(__xludf.DUMMYFUNCTION("""COMPUTED_VALUE"""),"2026 Mar")</f>
        <v>2026 Mar</v>
      </c>
      <c r="P2629" s="1" t="str">
        <f>IFERROR(__xludf.DUMMYFUNCTION("""COMPUTED_VALUE"""),"Admin Support")</f>
        <v>Admin Support</v>
      </c>
      <c r="Q2629" s="1" t="str">
        <f>IFERROR(__xludf.DUMMYFUNCTION("""COMPUTED_VALUE"""),"kc@canva.com")</f>
        <v>kc@canva.com</v>
      </c>
      <c r="R2629" s="1" t="str">
        <f>IFERROR(__xludf.DUMMYFUNCTION("""COMPUTED_VALUE"""),"KC Sacramento")</f>
        <v>KC Sacramento</v>
      </c>
      <c r="S2629" s="1"/>
      <c r="T2629" s="1">
        <f>IFERROR(__xludf.DUMMYFUNCTION("""COMPUTED_VALUE"""),6.75)</f>
        <v>6.75</v>
      </c>
      <c r="U2629" s="2">
        <f>IFERROR(__xludf.DUMMYFUNCTION("""COMPUTED_VALUE"""),6.75)</f>
        <v>6.75</v>
      </c>
      <c r="V2629" s="1" t="str">
        <f>IFERROR(__xludf.DUMMYFUNCTION("""COMPUTED_VALUE"""),"Kelden Laguting")</f>
        <v>Kelden Laguting</v>
      </c>
      <c r="W2629" s="1" t="str">
        <f>IFERROR(__xludf.DUMMYFUNCTION("""COMPUTED_VALUE"""),"Admin Omni Support")</f>
        <v>Admin Omni Support</v>
      </c>
    </row>
    <row r="2630">
      <c r="O2630" s="1" t="str">
        <f>IFERROR(__xludf.DUMMYFUNCTION("""COMPUTED_VALUE"""),"2026 Mar")</f>
        <v>2026 Mar</v>
      </c>
      <c r="P2630" s="1" t="str">
        <f>IFERROR(__xludf.DUMMYFUNCTION("""COMPUTED_VALUE"""),"Core Product Support")</f>
        <v>Core Product Support</v>
      </c>
      <c r="Q2630" s="1" t="str">
        <f>IFERROR(__xludf.DUMMYFUNCTION("""COMPUTED_VALUE"""),"keisalazar@canva.com")</f>
        <v>keisalazar@canva.com</v>
      </c>
      <c r="R2630" s="1" t="str">
        <f>IFERROR(__xludf.DUMMYFUNCTION("""COMPUTED_VALUE"""),"Kei Salazar")</f>
        <v>Kei Salazar</v>
      </c>
      <c r="S2630" s="1">
        <f>IFERROR(__xludf.DUMMYFUNCTION("""COMPUTED_VALUE"""),0.5)</f>
        <v>0.5</v>
      </c>
      <c r="T2630" s="1">
        <f>IFERROR(__xludf.DUMMYFUNCTION("""COMPUTED_VALUE"""),15.42)</f>
        <v>15.42</v>
      </c>
      <c r="U2630" s="2">
        <f>IFERROR(__xludf.DUMMYFUNCTION("""COMPUTED_VALUE"""),15.92)</f>
        <v>15.92</v>
      </c>
      <c r="V2630" s="1" t="str">
        <f>IFERROR(__xludf.DUMMYFUNCTION("""COMPUTED_VALUE"""),"Ayza Marie Pascual")</f>
        <v>Ayza Marie Pascual</v>
      </c>
      <c r="W2630" s="1" t="str">
        <f>IFERROR(__xludf.DUMMYFUNCTION("""COMPUTED_VALUE"""),"Advanced Billing &amp; Subscriptions")</f>
        <v>Advanced Billing &amp; Subscriptions</v>
      </c>
    </row>
    <row r="2631">
      <c r="O2631" s="1" t="str">
        <f>IFERROR(__xludf.DUMMYFUNCTION("""COMPUTED_VALUE"""),"2026 Mar")</f>
        <v>2026 Mar</v>
      </c>
      <c r="P2631" s="1" t="str">
        <f>IFERROR(__xludf.DUMMYFUNCTION("""COMPUTED_VALUE"""),"Print Support")</f>
        <v>Print Support</v>
      </c>
      <c r="Q2631" s="1" t="str">
        <f>IFERROR(__xludf.DUMMYFUNCTION("""COMPUTED_VALUE"""),"kennethgo@canva.com")</f>
        <v>kennethgo@canva.com</v>
      </c>
      <c r="R2631" s="1" t="str">
        <f>IFERROR(__xludf.DUMMYFUNCTION("""COMPUTED_VALUE"""),"Kenneth Go")</f>
        <v>Kenneth Go</v>
      </c>
      <c r="S2631" s="1"/>
      <c r="T2631" s="1"/>
      <c r="U2631" s="2">
        <f>IFERROR(__xludf.DUMMYFUNCTION("""COMPUTED_VALUE"""),0.0)</f>
        <v>0</v>
      </c>
      <c r="V2631" s="1" t="str">
        <f>IFERROR(__xludf.DUMMYFUNCTION("""COMPUTED_VALUE"""),"Jan Domingo")</f>
        <v>Jan Domingo</v>
      </c>
      <c r="W2631" s="1" t="str">
        <f>IFERROR(__xludf.DUMMYFUNCTION("""COMPUTED_VALUE"""),"Print Design Support")</f>
        <v>Print Design Support</v>
      </c>
    </row>
    <row r="2632">
      <c r="O2632" s="1" t="str">
        <f>IFERROR(__xludf.DUMMYFUNCTION("""COMPUTED_VALUE"""),"2026 Mar")</f>
        <v>2026 Mar</v>
      </c>
      <c r="P2632" s="1" t="str">
        <f>IFERROR(__xludf.DUMMYFUNCTION("""COMPUTED_VALUE"""),"Core Product Support")</f>
        <v>Core Product Support</v>
      </c>
      <c r="Q2632" s="1" t="str">
        <f>IFERROR(__xludf.DUMMYFUNCTION("""COMPUTED_VALUE"""),"kevingo@canva.com")</f>
        <v>kevingo@canva.com</v>
      </c>
      <c r="R2632" s="1" t="str">
        <f>IFERROR(__xludf.DUMMYFUNCTION("""COMPUTED_VALUE"""),"Kevin Go")</f>
        <v>Kevin Go</v>
      </c>
      <c r="S2632" s="1"/>
      <c r="T2632" s="1">
        <f>IFERROR(__xludf.DUMMYFUNCTION("""COMPUTED_VALUE"""),7.0)</f>
        <v>7</v>
      </c>
      <c r="U2632" s="2">
        <f>IFERROR(__xludf.DUMMYFUNCTION("""COMPUTED_VALUE"""),7.0)</f>
        <v>7</v>
      </c>
      <c r="V2632" s="1" t="str">
        <f>IFERROR(__xludf.DUMMYFUNCTION("""COMPUTED_VALUE"""),"Belle Bentazal")</f>
        <v>Belle Bentazal</v>
      </c>
      <c r="W2632" s="1" t="str">
        <f>IFERROR(__xludf.DUMMYFUNCTION("""COMPUTED_VALUE"""),"Advanced Product Support")</f>
        <v>Advanced Product Support</v>
      </c>
    </row>
    <row r="2633">
      <c r="O2633" s="1" t="str">
        <f>IFERROR(__xludf.DUMMYFUNCTION("""COMPUTED_VALUE"""),"2026 Mar")</f>
        <v>2026 Mar</v>
      </c>
      <c r="P2633" s="1" t="str">
        <f>IFERROR(__xludf.DUMMYFUNCTION("""COMPUTED_VALUE"""),"Core Product Support")</f>
        <v>Core Product Support</v>
      </c>
      <c r="Q2633" s="1" t="str">
        <f>IFERROR(__xludf.DUMMYFUNCTION("""COMPUTED_VALUE"""),"kevromuga@canva.com")</f>
        <v>kevromuga@canva.com</v>
      </c>
      <c r="R2633" s="1" t="str">
        <f>IFERROR(__xludf.DUMMYFUNCTION("""COMPUTED_VALUE"""),"Kevin John Romuga")</f>
        <v>Kevin John Romuga</v>
      </c>
      <c r="S2633" s="1">
        <f>IFERROR(__xludf.DUMMYFUNCTION("""COMPUTED_VALUE"""),1.0)</f>
        <v>1</v>
      </c>
      <c r="T2633" s="1">
        <f>IFERROR(__xludf.DUMMYFUNCTION("""COMPUTED_VALUE"""),7.25)</f>
        <v>7.25</v>
      </c>
      <c r="U2633" s="2">
        <f>IFERROR(__xludf.DUMMYFUNCTION("""COMPUTED_VALUE"""),8.25)</f>
        <v>8.25</v>
      </c>
      <c r="V2633" s="1" t="str">
        <f>IFERROR(__xludf.DUMMYFUNCTION("""COMPUTED_VALUE"""),"Renette Bok")</f>
        <v>Renette Bok</v>
      </c>
      <c r="W2633" s="1" t="str">
        <f>IFERROR(__xludf.DUMMYFUNCTION("""COMPUTED_VALUE"""),"Advanced Billing &amp; Subscriptions")</f>
        <v>Advanced Billing &amp; Subscriptions</v>
      </c>
    </row>
    <row r="2634">
      <c r="O2634" s="1" t="str">
        <f>IFERROR(__xludf.DUMMYFUNCTION("""COMPUTED_VALUE"""),"2026 Mar")</f>
        <v>2026 Mar</v>
      </c>
      <c r="P2634" s="1" t="str">
        <f>IFERROR(__xludf.DUMMYFUNCTION("""COMPUTED_VALUE"""),"Core Product Support")</f>
        <v>Core Product Support</v>
      </c>
      <c r="Q2634" s="1" t="str">
        <f>IFERROR(__xludf.DUMMYFUNCTION("""COMPUTED_VALUE"""),"kimmescallado@canva.com")</f>
        <v>kimmescallado@canva.com</v>
      </c>
      <c r="R2634" s="1" t="str">
        <f>IFERROR(__xludf.DUMMYFUNCTION("""COMPUTED_VALUE"""),"Kim Mescallado")</f>
        <v>Kim Mescallado</v>
      </c>
      <c r="S2634" s="1">
        <f>IFERROR(__xludf.DUMMYFUNCTION("""COMPUTED_VALUE"""),1.0)</f>
        <v>1</v>
      </c>
      <c r="T2634" s="1">
        <f>IFERROR(__xludf.DUMMYFUNCTION("""COMPUTED_VALUE"""),6.5)</f>
        <v>6.5</v>
      </c>
      <c r="U2634" s="2">
        <f>IFERROR(__xludf.DUMMYFUNCTION("""COMPUTED_VALUE"""),7.5)</f>
        <v>7.5</v>
      </c>
      <c r="V2634" s="1" t="str">
        <f>IFERROR(__xludf.DUMMYFUNCTION("""COMPUTED_VALUE"""),"Belle Bentazal")</f>
        <v>Belle Bentazal</v>
      </c>
      <c r="W2634" s="1" t="str">
        <f>IFERROR(__xludf.DUMMYFUNCTION("""COMPUTED_VALUE"""),"Advanced Product Support")</f>
        <v>Advanced Product Support</v>
      </c>
    </row>
    <row r="2635">
      <c r="O2635" s="1" t="str">
        <f>IFERROR(__xludf.DUMMYFUNCTION("""COMPUTED_VALUE"""),"2026 Mar")</f>
        <v>2026 Mar</v>
      </c>
      <c r="P2635" s="1" t="str">
        <f>IFERROR(__xludf.DUMMYFUNCTION("""COMPUTED_VALUE"""),"Admin Support")</f>
        <v>Admin Support</v>
      </c>
      <c r="Q2635" s="1" t="str">
        <f>IFERROR(__xludf.DUMMYFUNCTION("""COMPUTED_VALUE"""),"kiro@canva.com")</f>
        <v>kiro@canva.com</v>
      </c>
      <c r="R2635" s="1" t="str">
        <f>IFERROR(__xludf.DUMMYFUNCTION("""COMPUTED_VALUE"""),"Kiro Mondala")</f>
        <v>Kiro Mondala</v>
      </c>
      <c r="S2635" s="1"/>
      <c r="T2635" s="1">
        <f>IFERROR(__xludf.DUMMYFUNCTION("""COMPUTED_VALUE"""),3.33)</f>
        <v>3.33</v>
      </c>
      <c r="U2635" s="2">
        <f>IFERROR(__xludf.DUMMYFUNCTION("""COMPUTED_VALUE"""),3.33)</f>
        <v>3.33</v>
      </c>
      <c r="V2635" s="1" t="str">
        <f>IFERROR(__xludf.DUMMYFUNCTION("""COMPUTED_VALUE"""),"Kelden Laguting")</f>
        <v>Kelden Laguting</v>
      </c>
      <c r="W2635" s="1" t="str">
        <f>IFERROR(__xludf.DUMMYFUNCTION("""COMPUTED_VALUE"""),"Admin Omni Support")</f>
        <v>Admin Omni Support</v>
      </c>
    </row>
    <row r="2636">
      <c r="O2636" s="1" t="str">
        <f>IFERROR(__xludf.DUMMYFUNCTION("""COMPUTED_VALUE"""),"2026 Mar")</f>
        <v>2026 Mar</v>
      </c>
      <c r="P2636" s="1" t="str">
        <f>IFERROR(__xludf.DUMMYFUNCTION("""COMPUTED_VALUE"""),"Core Product Support")</f>
        <v>Core Product Support</v>
      </c>
      <c r="Q2636" s="1" t="str">
        <f>IFERROR(__xludf.DUMMYFUNCTION("""COMPUTED_VALUE"""),"krisalava@canva.com")</f>
        <v>krisalava@canva.com</v>
      </c>
      <c r="R2636" s="1" t="str">
        <f>IFERROR(__xludf.DUMMYFUNCTION("""COMPUTED_VALUE"""),"Kris Alava")</f>
        <v>Kris Alava</v>
      </c>
      <c r="S2636" s="1"/>
      <c r="T2636" s="1">
        <f>IFERROR(__xludf.DUMMYFUNCTION("""COMPUTED_VALUE"""),9.0)</f>
        <v>9</v>
      </c>
      <c r="U2636" s="2">
        <f>IFERROR(__xludf.DUMMYFUNCTION("""COMPUTED_VALUE"""),9.0)</f>
        <v>9</v>
      </c>
      <c r="V2636" s="1" t="str">
        <f>IFERROR(__xludf.DUMMYFUNCTION("""COMPUTED_VALUE"""),"Sieg Ballelos")</f>
        <v>Sieg Ballelos</v>
      </c>
      <c r="W2636" s="1" t="str">
        <f>IFERROR(__xludf.DUMMYFUNCTION("""COMPUTED_VALUE"""),"Core Product Support Escalation Team")</f>
        <v>Core Product Support Escalation Team</v>
      </c>
    </row>
    <row r="2637">
      <c r="O2637" s="1" t="str">
        <f>IFERROR(__xludf.DUMMYFUNCTION("""COMPUTED_VALUE"""),"2026 Mar")</f>
        <v>2026 Mar</v>
      </c>
      <c r="P2637" s="1" t="str">
        <f>IFERROR(__xludf.DUMMYFUNCTION("""COMPUTED_VALUE"""),"Core Product Support")</f>
        <v>Core Product Support</v>
      </c>
      <c r="Q2637" s="1" t="str">
        <f>IFERROR(__xludf.DUMMYFUNCTION("""COMPUTED_VALUE"""),"kylep@canva.com")</f>
        <v>kylep@canva.com</v>
      </c>
      <c r="R2637" s="1" t="str">
        <f>IFERROR(__xludf.DUMMYFUNCTION("""COMPUTED_VALUE"""),"Kyle Pajarillo")</f>
        <v>Kyle Pajarillo</v>
      </c>
      <c r="S2637" s="1">
        <f>IFERROR(__xludf.DUMMYFUNCTION("""COMPUTED_VALUE"""),0.5)</f>
        <v>0.5</v>
      </c>
      <c r="T2637" s="1">
        <f>IFERROR(__xludf.DUMMYFUNCTION("""COMPUTED_VALUE"""),14.0)</f>
        <v>14</v>
      </c>
      <c r="U2637" s="2">
        <f>IFERROR(__xludf.DUMMYFUNCTION("""COMPUTED_VALUE"""),14.5)</f>
        <v>14.5</v>
      </c>
      <c r="V2637" s="1" t="str">
        <f>IFERROR(__xludf.DUMMYFUNCTION("""COMPUTED_VALUE"""),"Marie Mordeno")</f>
        <v>Marie Mordeno</v>
      </c>
      <c r="W2637" s="1" t="str">
        <f>IFERROR(__xludf.DUMMYFUNCTION("""COMPUTED_VALUE"""),"Advanced Billing &amp; Subscriptions")</f>
        <v>Advanced Billing &amp; Subscriptions</v>
      </c>
    </row>
    <row r="2638">
      <c r="O2638" s="1" t="str">
        <f>IFERROR(__xludf.DUMMYFUNCTION("""COMPUTED_VALUE"""),"2026 Mar")</f>
        <v>2026 Mar</v>
      </c>
      <c r="P2638" s="1" t="str">
        <f>IFERROR(__xludf.DUMMYFUNCTION("""COMPUTED_VALUE"""),"Core Product Support")</f>
        <v>Core Product Support</v>
      </c>
      <c r="Q2638" s="1" t="str">
        <f>IFERROR(__xludf.DUMMYFUNCTION("""COMPUTED_VALUE"""),"lailav@canva.com")</f>
        <v>lailav@canva.com</v>
      </c>
      <c r="R2638" s="1" t="str">
        <f>IFERROR(__xludf.DUMMYFUNCTION("""COMPUTED_VALUE"""),"Laila Villamor")</f>
        <v>Laila Villamor</v>
      </c>
      <c r="S2638" s="1">
        <f>IFERROR(__xludf.DUMMYFUNCTION("""COMPUTED_VALUE"""),0.5)</f>
        <v>0.5</v>
      </c>
      <c r="T2638" s="1">
        <f>IFERROR(__xludf.DUMMYFUNCTION("""COMPUTED_VALUE"""),8.0)</f>
        <v>8</v>
      </c>
      <c r="U2638" s="2">
        <f>IFERROR(__xludf.DUMMYFUNCTION("""COMPUTED_VALUE"""),8.5)</f>
        <v>8.5</v>
      </c>
      <c r="V2638" s="1" t="str">
        <f>IFERROR(__xludf.DUMMYFUNCTION("""COMPUTED_VALUE"""),"Jahmie Mae Barrameda")</f>
        <v>Jahmie Mae Barrameda</v>
      </c>
      <c r="W2638" s="1" t="str">
        <f>IFERROR(__xludf.DUMMYFUNCTION("""COMPUTED_VALUE"""),"Advanced Billing &amp; Subscriptions")</f>
        <v>Advanced Billing &amp; Subscriptions</v>
      </c>
    </row>
    <row r="2639">
      <c r="O2639" s="1" t="str">
        <f>IFERROR(__xludf.DUMMYFUNCTION("""COMPUTED_VALUE"""),"2026 Mar")</f>
        <v>2026 Mar</v>
      </c>
      <c r="P2639" s="1" t="str">
        <f>IFERROR(__xludf.DUMMYFUNCTION("""COMPUTED_VALUE"""),"Print Support")</f>
        <v>Print Support</v>
      </c>
      <c r="Q2639" s="1" t="str">
        <f>IFERROR(__xludf.DUMMYFUNCTION("""COMPUTED_VALUE"""),"lancer@canva.com")</f>
        <v>lancer@canva.com</v>
      </c>
      <c r="R2639" s="1" t="str">
        <f>IFERROR(__xludf.DUMMYFUNCTION("""COMPUTED_VALUE"""),"Lance Guevarra")</f>
        <v>Lance Guevarra</v>
      </c>
      <c r="S2639" s="1"/>
      <c r="T2639" s="1">
        <f>IFERROR(__xludf.DUMMYFUNCTION("""COMPUTED_VALUE"""),0.5)</f>
        <v>0.5</v>
      </c>
      <c r="U2639" s="2">
        <f>IFERROR(__xludf.DUMMYFUNCTION("""COMPUTED_VALUE"""),0.5)</f>
        <v>0.5</v>
      </c>
      <c r="V2639" s="1" t="str">
        <f>IFERROR(__xludf.DUMMYFUNCTION("""COMPUTED_VALUE"""),"Jen Momo")</f>
        <v>Jen Momo</v>
      </c>
      <c r="W2639" s="1" t="str">
        <f>IFERROR(__xludf.DUMMYFUNCTION("""COMPUTED_VALUE"""),"Print Support PH")</f>
        <v>Print Support PH</v>
      </c>
    </row>
    <row r="2640">
      <c r="O2640" s="1" t="str">
        <f>IFERROR(__xludf.DUMMYFUNCTION("""COMPUTED_VALUE"""),"2026 Mar")</f>
        <v>2026 Mar</v>
      </c>
      <c r="P2640" s="1" t="str">
        <f>IFERROR(__xludf.DUMMYFUNCTION("""COMPUTED_VALUE"""),"Segment-specific Support")</f>
        <v>Segment-specific Support</v>
      </c>
      <c r="Q2640" s="1" t="str">
        <f>IFERROR(__xludf.DUMMYFUNCTION("""COMPUTED_VALUE"""),"lance@canva.com")</f>
        <v>lance@canva.com</v>
      </c>
      <c r="R2640" s="1" t="str">
        <f>IFERROR(__xludf.DUMMYFUNCTION("""COMPUTED_VALUE"""),"Lance Reyes")</f>
        <v>Lance Reyes</v>
      </c>
      <c r="S2640" s="1"/>
      <c r="T2640" s="1">
        <f>IFERROR(__xludf.DUMMYFUNCTION("""COMPUTED_VALUE"""),2.25)</f>
        <v>2.25</v>
      </c>
      <c r="U2640" s="2">
        <f>IFERROR(__xludf.DUMMYFUNCTION("""COMPUTED_VALUE"""),2.25)</f>
        <v>2.25</v>
      </c>
      <c r="V2640" s="1" t="str">
        <f>IFERROR(__xludf.DUMMYFUNCTION("""COMPUTED_VALUE"""),"Gucci Nava")</f>
        <v>Gucci Nava</v>
      </c>
      <c r="W2640" s="1" t="str">
        <f>IFERROR(__xludf.DUMMYFUNCTION("""COMPUTED_VALUE"""),"Affinity Support")</f>
        <v>Affinity Support</v>
      </c>
    </row>
    <row r="2641">
      <c r="O2641" s="1" t="str">
        <f>IFERROR(__xludf.DUMMYFUNCTION("""COMPUTED_VALUE"""),"2026 Mar")</f>
        <v>2026 Mar</v>
      </c>
      <c r="P2641" s="1" t="str">
        <f>IFERROR(__xludf.DUMMYFUNCTION("""COMPUTED_VALUE"""),"High Sensitivity Support")</f>
        <v>High Sensitivity Support</v>
      </c>
      <c r="Q2641" s="1" t="str">
        <f>IFERROR(__xludf.DUMMYFUNCTION("""COMPUTED_VALUE"""),"leanp@canva.com")</f>
        <v>leanp@canva.com</v>
      </c>
      <c r="R2641" s="1" t="str">
        <f>IFERROR(__xludf.DUMMYFUNCTION("""COMPUTED_VALUE"""),"Lean Reyes")</f>
        <v>Lean Reyes</v>
      </c>
      <c r="S2641" s="1"/>
      <c r="T2641" s="1">
        <f>IFERROR(__xludf.DUMMYFUNCTION("""COMPUTED_VALUE"""),3.0)</f>
        <v>3</v>
      </c>
      <c r="U2641" s="2">
        <f>IFERROR(__xludf.DUMMYFUNCTION("""COMPUTED_VALUE"""),3.0)</f>
        <v>3</v>
      </c>
      <c r="V2641" s="1" t="str">
        <f>IFERROR(__xludf.DUMMYFUNCTION("""COMPUTED_VALUE"""),"Issi Afable")</f>
        <v>Issi Afable</v>
      </c>
      <c r="W2641" s="1" t="str">
        <f>IFERROR(__xludf.DUMMYFUNCTION("""COMPUTED_VALUE"""),"High Sensitivity Support PH")</f>
        <v>High Sensitivity Support PH</v>
      </c>
    </row>
    <row r="2642">
      <c r="O2642" s="1" t="str">
        <f>IFERROR(__xludf.DUMMYFUNCTION("""COMPUTED_VALUE"""),"2026 Mar")</f>
        <v>2026 Mar</v>
      </c>
      <c r="P2642" s="1" t="str">
        <f>IFERROR(__xludf.DUMMYFUNCTION("""COMPUTED_VALUE"""),"Print Support")</f>
        <v>Print Support</v>
      </c>
      <c r="Q2642" s="1" t="str">
        <f>IFERROR(__xludf.DUMMYFUNCTION("""COMPUTED_VALUE"""),"larce@canva.com")</f>
        <v>larce@canva.com</v>
      </c>
      <c r="R2642" s="1" t="str">
        <f>IFERROR(__xludf.DUMMYFUNCTION("""COMPUTED_VALUE"""),"Lee Arce")</f>
        <v>Lee Arce</v>
      </c>
      <c r="S2642" s="1"/>
      <c r="T2642" s="1">
        <f>IFERROR(__xludf.DUMMYFUNCTION("""COMPUTED_VALUE"""),0.17)</f>
        <v>0.17</v>
      </c>
      <c r="U2642" s="2">
        <f>IFERROR(__xludf.DUMMYFUNCTION("""COMPUTED_VALUE"""),0.17)</f>
        <v>0.17</v>
      </c>
      <c r="V2642" s="1" t="str">
        <f>IFERROR(__xludf.DUMMYFUNCTION("""COMPUTED_VALUE"""),"Althea Mercado")</f>
        <v>Althea Mercado</v>
      </c>
      <c r="W2642" s="1" t="str">
        <f>IFERROR(__xludf.DUMMYFUNCTION("""COMPUTED_VALUE"""),"Print Support PH")</f>
        <v>Print Support PH</v>
      </c>
    </row>
    <row r="2643">
      <c r="O2643" s="1" t="str">
        <f>IFERROR(__xludf.DUMMYFUNCTION("""COMPUTED_VALUE"""),"2026 Mar")</f>
        <v>2026 Mar</v>
      </c>
      <c r="P2643" s="1" t="str">
        <f>IFERROR(__xludf.DUMMYFUNCTION("""COMPUTED_VALUE"""),"Core Product Support")</f>
        <v>Core Product Support</v>
      </c>
      <c r="Q2643" s="1" t="str">
        <f>IFERROR(__xludf.DUMMYFUNCTION("""COMPUTED_VALUE"""),"leilanie@canva.com")</f>
        <v>leilanie@canva.com</v>
      </c>
      <c r="R2643" s="1" t="str">
        <f>IFERROR(__xludf.DUMMYFUNCTION("""COMPUTED_VALUE"""),"Lei Gratuito")</f>
        <v>Lei Gratuito</v>
      </c>
      <c r="S2643" s="1">
        <f>IFERROR(__xludf.DUMMYFUNCTION("""COMPUTED_VALUE"""),0.5)</f>
        <v>0.5</v>
      </c>
      <c r="T2643" s="1">
        <f>IFERROR(__xludf.DUMMYFUNCTION("""COMPUTED_VALUE"""),7.5)</f>
        <v>7.5</v>
      </c>
      <c r="U2643" s="2">
        <f>IFERROR(__xludf.DUMMYFUNCTION("""COMPUTED_VALUE"""),8.0)</f>
        <v>8</v>
      </c>
      <c r="V2643" s="1" t="str">
        <f>IFERROR(__xludf.DUMMYFUNCTION("""COMPUTED_VALUE"""),"Renette Bok")</f>
        <v>Renette Bok</v>
      </c>
      <c r="W2643" s="1" t="str">
        <f>IFERROR(__xludf.DUMMYFUNCTION("""COMPUTED_VALUE"""),"Advanced Billing &amp; Subscriptions")</f>
        <v>Advanced Billing &amp; Subscriptions</v>
      </c>
    </row>
    <row r="2644">
      <c r="O2644" s="1" t="str">
        <f>IFERROR(__xludf.DUMMYFUNCTION("""COMPUTED_VALUE"""),"2026 Mar")</f>
        <v>2026 Mar</v>
      </c>
      <c r="P2644" s="1" t="str">
        <f>IFERROR(__xludf.DUMMYFUNCTION("""COMPUTED_VALUE"""),"Core Product Support")</f>
        <v>Core Product Support</v>
      </c>
      <c r="Q2644" s="1" t="str">
        <f>IFERROR(__xludf.DUMMYFUNCTION("""COMPUTED_VALUE"""),"leonard@canva.com")</f>
        <v>leonard@canva.com</v>
      </c>
      <c r="R2644" s="1" t="str">
        <f>IFERROR(__xludf.DUMMYFUNCTION("""COMPUTED_VALUE"""),"Leonard Baguio")</f>
        <v>Leonard Baguio</v>
      </c>
      <c r="S2644" s="1">
        <f>IFERROR(__xludf.DUMMYFUNCTION("""COMPUTED_VALUE"""),1.0)</f>
        <v>1</v>
      </c>
      <c r="T2644" s="1">
        <f>IFERROR(__xludf.DUMMYFUNCTION("""COMPUTED_VALUE"""),14.0)</f>
        <v>14</v>
      </c>
      <c r="U2644" s="2">
        <f>IFERROR(__xludf.DUMMYFUNCTION("""COMPUTED_VALUE"""),15.0)</f>
        <v>15</v>
      </c>
      <c r="V2644" s="1" t="str">
        <f>IFERROR(__xludf.DUMMYFUNCTION("""COMPUTED_VALUE"""),"Jelyn Elmido")</f>
        <v>Jelyn Elmido</v>
      </c>
      <c r="W2644" s="1" t="str">
        <f>IFERROR(__xludf.DUMMYFUNCTION("""COMPUTED_VALUE"""),"Core Product Support Escalation Team")</f>
        <v>Core Product Support Escalation Team</v>
      </c>
    </row>
    <row r="2645">
      <c r="O2645" s="1" t="str">
        <f>IFERROR(__xludf.DUMMYFUNCTION("""COMPUTED_VALUE"""),"2026 Mar")</f>
        <v>2026 Mar</v>
      </c>
      <c r="P2645" s="1" t="str">
        <f>IFERROR(__xludf.DUMMYFUNCTION("""COMPUTED_VALUE"""),"Print Support")</f>
        <v>Print Support</v>
      </c>
      <c r="Q2645" s="1" t="str">
        <f>IFERROR(__xludf.DUMMYFUNCTION("""COMPUTED_VALUE"""),"anneharriet@canva.com")</f>
        <v>anneharriet@canva.com</v>
      </c>
      <c r="R2645" s="1" t="str">
        <f>IFERROR(__xludf.DUMMYFUNCTION("""COMPUTED_VALUE"""),"Leslie Anne Gilua")</f>
        <v>Leslie Anne Gilua</v>
      </c>
      <c r="S2645" s="1"/>
      <c r="T2645" s="1">
        <f>IFERROR(__xludf.DUMMYFUNCTION("""COMPUTED_VALUE"""),0.17)</f>
        <v>0.17</v>
      </c>
      <c r="U2645" s="2">
        <f>IFERROR(__xludf.DUMMYFUNCTION("""COMPUTED_VALUE"""),0.17)</f>
        <v>0.17</v>
      </c>
      <c r="V2645" s="1" t="str">
        <f>IFERROR(__xludf.DUMMYFUNCTION("""COMPUTED_VALUE"""),"Louise Dianne Estrella")</f>
        <v>Louise Dianne Estrella</v>
      </c>
      <c r="W2645" s="1" t="str">
        <f>IFERROR(__xludf.DUMMYFUNCTION("""COMPUTED_VALUE"""),"Print Support PH")</f>
        <v>Print Support PH</v>
      </c>
    </row>
    <row r="2646">
      <c r="O2646" s="1" t="str">
        <f>IFERROR(__xludf.DUMMYFUNCTION("""COMPUTED_VALUE"""),"2026 Mar")</f>
        <v>2026 Mar</v>
      </c>
      <c r="P2646" s="1" t="str">
        <f>IFERROR(__xludf.DUMMYFUNCTION("""COMPUTED_VALUE"""),"Core Product Support")</f>
        <v>Core Product Support</v>
      </c>
      <c r="Q2646" s="1" t="str">
        <f>IFERROR(__xludf.DUMMYFUNCTION("""COMPUTED_VALUE"""),"lewisjarvin@canva.com")</f>
        <v>lewisjarvin@canva.com</v>
      </c>
      <c r="R2646" s="1" t="str">
        <f>IFERROR(__xludf.DUMMYFUNCTION("""COMPUTED_VALUE"""),"Lewis Ramirez")</f>
        <v>Lewis Ramirez</v>
      </c>
      <c r="S2646" s="1">
        <f>IFERROR(__xludf.DUMMYFUNCTION("""COMPUTED_VALUE"""),1.0)</f>
        <v>1</v>
      </c>
      <c r="T2646" s="1">
        <f>IFERROR(__xludf.DUMMYFUNCTION("""COMPUTED_VALUE"""),6.75)</f>
        <v>6.75</v>
      </c>
      <c r="U2646" s="2">
        <f>IFERROR(__xludf.DUMMYFUNCTION("""COMPUTED_VALUE"""),7.75)</f>
        <v>7.75</v>
      </c>
      <c r="V2646" s="1" t="str">
        <f>IFERROR(__xludf.DUMMYFUNCTION("""COMPUTED_VALUE"""),"Mikhaela Decangchon")</f>
        <v>Mikhaela Decangchon</v>
      </c>
      <c r="W2646" s="1" t="str">
        <f>IFERROR(__xludf.DUMMYFUNCTION("""COMPUTED_VALUE"""),"Advanced Product Support")</f>
        <v>Advanced Product Support</v>
      </c>
    </row>
    <row r="2647">
      <c r="O2647" s="1" t="str">
        <f>IFERROR(__xludf.DUMMYFUNCTION("""COMPUTED_VALUE"""),"2026 Mar")</f>
        <v>2026 Mar</v>
      </c>
      <c r="P2647" s="1" t="str">
        <f>IFERROR(__xludf.DUMMYFUNCTION("""COMPUTED_VALUE"""),"Segment-specific Support")</f>
        <v>Segment-specific Support</v>
      </c>
      <c r="Q2647" s="1" t="str">
        <f>IFERROR(__xludf.DUMMYFUNCTION("""COMPUTED_VALUE"""),"liabaclay@canva.com")</f>
        <v>liabaclay@canva.com</v>
      </c>
      <c r="R2647" s="1" t="str">
        <f>IFERROR(__xludf.DUMMYFUNCTION("""COMPUTED_VALUE"""),"Lia Baclay")</f>
        <v>Lia Baclay</v>
      </c>
      <c r="S2647" s="1"/>
      <c r="T2647" s="1">
        <f>IFERROR(__xludf.DUMMYFUNCTION("""COMPUTED_VALUE"""),11.27)</f>
        <v>11.27</v>
      </c>
      <c r="U2647" s="2">
        <f>IFERROR(__xludf.DUMMYFUNCTION("""COMPUTED_VALUE"""),11.27)</f>
        <v>11.27</v>
      </c>
      <c r="V2647" s="1" t="str">
        <f>IFERROR(__xludf.DUMMYFUNCTION("""COMPUTED_VALUE"""),"Rose Gabilan")</f>
        <v>Rose Gabilan</v>
      </c>
      <c r="W2647" s="1" t="str">
        <f>IFERROR(__xludf.DUMMYFUNCTION("""COMPUTED_VALUE"""),"Affinity Support")</f>
        <v>Affinity Support</v>
      </c>
    </row>
    <row r="2648">
      <c r="O2648" s="1" t="str">
        <f>IFERROR(__xludf.DUMMYFUNCTION("""COMPUTED_VALUE"""),"2026 Mar")</f>
        <v>2026 Mar</v>
      </c>
      <c r="P2648" s="1" t="str">
        <f>IFERROR(__xludf.DUMMYFUNCTION("""COMPUTED_VALUE"""),"Segment-specific Support")</f>
        <v>Segment-specific Support</v>
      </c>
      <c r="Q2648" s="1" t="str">
        <f>IFERROR(__xludf.DUMMYFUNCTION("""COMPUTED_VALUE"""),"liberty@canva.com")</f>
        <v>liberty@canva.com</v>
      </c>
      <c r="R2648" s="1" t="str">
        <f>IFERROR(__xludf.DUMMYFUNCTION("""COMPUTED_VALUE"""),"Liberty Casala")</f>
        <v>Liberty Casala</v>
      </c>
      <c r="S2648" s="1"/>
      <c r="T2648" s="1">
        <f>IFERROR(__xludf.DUMMYFUNCTION("""COMPUTED_VALUE"""),2.08)</f>
        <v>2.08</v>
      </c>
      <c r="U2648" s="2">
        <f>IFERROR(__xludf.DUMMYFUNCTION("""COMPUTED_VALUE"""),2.08)</f>
        <v>2.08</v>
      </c>
      <c r="V2648" s="1" t="str">
        <f>IFERROR(__xludf.DUMMYFUNCTION("""COMPUTED_VALUE"""),"Gucci Nava")</f>
        <v>Gucci Nava</v>
      </c>
      <c r="W2648" s="1" t="str">
        <f>IFERROR(__xludf.DUMMYFUNCTION("""COMPUTED_VALUE"""),"Print Support PH")</f>
        <v>Print Support PH</v>
      </c>
    </row>
    <row r="2649">
      <c r="O2649" s="1" t="str">
        <f>IFERROR(__xludf.DUMMYFUNCTION("""COMPUTED_VALUE"""),"2026 Mar")</f>
        <v>2026 Mar</v>
      </c>
      <c r="P2649" s="1" t="str">
        <f>IFERROR(__xludf.DUMMYFUNCTION("""COMPUTED_VALUE"""),"Print Support")</f>
        <v>Print Support</v>
      </c>
      <c r="Q2649" s="1" t="str">
        <f>IFERROR(__xludf.DUMMYFUNCTION("""COMPUTED_VALUE"""),"loise@canva.com")</f>
        <v>loise@canva.com</v>
      </c>
      <c r="R2649" s="1" t="str">
        <f>IFERROR(__xludf.DUMMYFUNCTION("""COMPUTED_VALUE"""),"Loise Dela Cruz")</f>
        <v>Loise Dela Cruz</v>
      </c>
      <c r="S2649" s="1"/>
      <c r="T2649" s="1">
        <f>IFERROR(__xludf.DUMMYFUNCTION("""COMPUTED_VALUE"""),18.25)</f>
        <v>18.25</v>
      </c>
      <c r="U2649" s="2">
        <f>IFERROR(__xludf.DUMMYFUNCTION("""COMPUTED_VALUE"""),18.25)</f>
        <v>18.25</v>
      </c>
      <c r="V2649" s="1" t="str">
        <f>IFERROR(__xludf.DUMMYFUNCTION("""COMPUTED_VALUE"""),"Aliza Dote")</f>
        <v>Aliza Dote</v>
      </c>
      <c r="W2649" s="1" t="str">
        <f>IFERROR(__xludf.DUMMYFUNCTION("""COMPUTED_VALUE"""),"Print Design Support")</f>
        <v>Print Design Support</v>
      </c>
    </row>
    <row r="2650">
      <c r="O2650" s="1" t="str">
        <f>IFERROR(__xludf.DUMMYFUNCTION("""COMPUTED_VALUE"""),"2026 Mar")</f>
        <v>2026 Mar</v>
      </c>
      <c r="P2650" s="1" t="str">
        <f>IFERROR(__xludf.DUMMYFUNCTION("""COMPUTED_VALUE"""),"Core Product Support")</f>
        <v>Core Product Support</v>
      </c>
      <c r="Q2650" s="1" t="str">
        <f>IFERROR(__xludf.DUMMYFUNCTION("""COMPUTED_VALUE"""),"loudv@canva.com")</f>
        <v>loudv@canva.com</v>
      </c>
      <c r="R2650" s="1" t="str">
        <f>IFERROR(__xludf.DUMMYFUNCTION("""COMPUTED_VALUE"""),"Louieline Dela Vega")</f>
        <v>Louieline Dela Vega</v>
      </c>
      <c r="S2650" s="1">
        <f>IFERROR(__xludf.DUMMYFUNCTION("""COMPUTED_VALUE"""),1.0)</f>
        <v>1</v>
      </c>
      <c r="T2650" s="1">
        <f>IFERROR(__xludf.DUMMYFUNCTION("""COMPUTED_VALUE"""),8.83)</f>
        <v>8.83</v>
      </c>
      <c r="U2650" s="2">
        <f>IFERROR(__xludf.DUMMYFUNCTION("""COMPUTED_VALUE"""),9.83)</f>
        <v>9.83</v>
      </c>
      <c r="V2650" s="1" t="str">
        <f>IFERROR(__xludf.DUMMYFUNCTION("""COMPUTED_VALUE"""),"Jahmie Mae Barrameda")</f>
        <v>Jahmie Mae Barrameda</v>
      </c>
      <c r="W2650" s="1" t="str">
        <f>IFERROR(__xludf.DUMMYFUNCTION("""COMPUTED_VALUE"""),"Advanced Billing &amp; Subscriptions")</f>
        <v>Advanced Billing &amp; Subscriptions</v>
      </c>
    </row>
    <row r="2651">
      <c r="O2651" s="1" t="str">
        <f>IFERROR(__xludf.DUMMYFUNCTION("""COMPUTED_VALUE"""),"2026 Mar")</f>
        <v>2026 Mar</v>
      </c>
      <c r="P2651" s="1" t="str">
        <f>IFERROR(__xludf.DUMMYFUNCTION("""COMPUTED_VALUE"""),"Core Product Support")</f>
        <v>Core Product Support</v>
      </c>
      <c r="Q2651" s="1" t="str">
        <f>IFERROR(__xludf.DUMMYFUNCTION("""COMPUTED_VALUE"""),"lovejoyce@canva.com")</f>
        <v>lovejoyce@canva.com</v>
      </c>
      <c r="R2651" s="1" t="str">
        <f>IFERROR(__xludf.DUMMYFUNCTION("""COMPUTED_VALUE"""),"Love Joyce Pasagui")</f>
        <v>Love Joyce Pasagui</v>
      </c>
      <c r="S2651" s="1"/>
      <c r="T2651" s="1">
        <f>IFERROR(__xludf.DUMMYFUNCTION("""COMPUTED_VALUE"""),11.5)</f>
        <v>11.5</v>
      </c>
      <c r="U2651" s="2">
        <f>IFERROR(__xludf.DUMMYFUNCTION("""COMPUTED_VALUE"""),11.5)</f>
        <v>11.5</v>
      </c>
      <c r="V2651" s="1" t="str">
        <f>IFERROR(__xludf.DUMMYFUNCTION("""COMPUTED_VALUE"""),"Jelyn Elmido")</f>
        <v>Jelyn Elmido</v>
      </c>
      <c r="W2651" s="1" t="str">
        <f>IFERROR(__xludf.DUMMYFUNCTION("""COMPUTED_VALUE"""),"Core Product Support Escalation Team")</f>
        <v>Core Product Support Escalation Team</v>
      </c>
    </row>
    <row r="2652">
      <c r="O2652" s="1" t="str">
        <f>IFERROR(__xludf.DUMMYFUNCTION("""COMPUTED_VALUE"""),"2026 Mar")</f>
        <v>2026 Mar</v>
      </c>
      <c r="P2652" s="1" t="str">
        <f>IFERROR(__xludf.DUMMYFUNCTION("""COMPUTED_VALUE"""),"Print Support")</f>
        <v>Print Support</v>
      </c>
      <c r="Q2652" s="1" t="str">
        <f>IFERROR(__xludf.DUMMYFUNCTION("""COMPUTED_VALUE"""),"rlsalomia@canva.com")</f>
        <v>rlsalomia@canva.com</v>
      </c>
      <c r="R2652" s="1" t="str">
        <f>IFERROR(__xludf.DUMMYFUNCTION("""COMPUTED_VALUE"""),"Luis Salomia")</f>
        <v>Luis Salomia</v>
      </c>
      <c r="S2652" s="1"/>
      <c r="T2652" s="1">
        <f>IFERROR(__xludf.DUMMYFUNCTION("""COMPUTED_VALUE"""),0.17)</f>
        <v>0.17</v>
      </c>
      <c r="U2652" s="2">
        <f>IFERROR(__xludf.DUMMYFUNCTION("""COMPUTED_VALUE"""),0.17)</f>
        <v>0.17</v>
      </c>
      <c r="V2652" s="1" t="str">
        <f>IFERROR(__xludf.DUMMYFUNCTION("""COMPUTED_VALUE"""),"Louise Dianne Estrella")</f>
        <v>Louise Dianne Estrella</v>
      </c>
      <c r="W2652" s="1" t="str">
        <f>IFERROR(__xludf.DUMMYFUNCTION("""COMPUTED_VALUE"""),"Print Support PH")</f>
        <v>Print Support PH</v>
      </c>
    </row>
    <row r="2653">
      <c r="O2653" s="1" t="str">
        <f>IFERROR(__xludf.DUMMYFUNCTION("""COMPUTED_VALUE"""),"2026 Mar")</f>
        <v>2026 Mar</v>
      </c>
      <c r="P2653" s="1" t="str">
        <f>IFERROR(__xludf.DUMMYFUNCTION("""COMPUTED_VALUE"""),"Admin Support")</f>
        <v>Admin Support</v>
      </c>
      <c r="Q2653" s="1" t="str">
        <f>IFERROR(__xludf.DUMMYFUNCTION("""COMPUTED_VALUE"""),"lyzdr@canva.com")</f>
        <v>lyzdr@canva.com</v>
      </c>
      <c r="R2653" s="1" t="str">
        <f>IFERROR(__xludf.DUMMYFUNCTION("""COMPUTED_VALUE"""),"Lyzza Del Rosario")</f>
        <v>Lyzza Del Rosario</v>
      </c>
      <c r="S2653" s="1"/>
      <c r="T2653" s="1">
        <f>IFERROR(__xludf.DUMMYFUNCTION("""COMPUTED_VALUE"""),3.58)</f>
        <v>3.58</v>
      </c>
      <c r="U2653" s="2">
        <f>IFERROR(__xludf.DUMMYFUNCTION("""COMPUTED_VALUE"""),3.58)</f>
        <v>3.58</v>
      </c>
      <c r="V2653" s="1" t="str">
        <f>IFERROR(__xludf.DUMMYFUNCTION("""COMPUTED_VALUE"""),"Ann Dumlao")</f>
        <v>Ann Dumlao</v>
      </c>
      <c r="W2653" s="1" t="str">
        <f>IFERROR(__xludf.DUMMYFUNCTION("""COMPUTED_VALUE"""),"Admin Omni Support")</f>
        <v>Admin Omni Support</v>
      </c>
    </row>
    <row r="2654">
      <c r="O2654" s="1" t="str">
        <f>IFERROR(__xludf.DUMMYFUNCTION("""COMPUTED_VALUE"""),"2026 Mar")</f>
        <v>2026 Mar</v>
      </c>
      <c r="P2654" s="1" t="str">
        <f>IFERROR(__xludf.DUMMYFUNCTION("""COMPUTED_VALUE"""),"Admin Support")</f>
        <v>Admin Support</v>
      </c>
      <c r="Q2654" s="1" t="str">
        <f>IFERROR(__xludf.DUMMYFUNCTION("""COMPUTED_VALUE"""),"mac@canva.com")</f>
        <v>mac@canva.com</v>
      </c>
      <c r="R2654" s="1" t="str">
        <f>IFERROR(__xludf.DUMMYFUNCTION("""COMPUTED_VALUE"""),"Mac Mendoza")</f>
        <v>Mac Mendoza</v>
      </c>
      <c r="S2654" s="1"/>
      <c r="T2654" s="1">
        <f>IFERROR(__xludf.DUMMYFUNCTION("""COMPUTED_VALUE"""),2.83)</f>
        <v>2.83</v>
      </c>
      <c r="U2654" s="2">
        <f>IFERROR(__xludf.DUMMYFUNCTION("""COMPUTED_VALUE"""),2.83)</f>
        <v>2.83</v>
      </c>
      <c r="V2654" s="1" t="str">
        <f>IFERROR(__xludf.DUMMYFUNCTION("""COMPUTED_VALUE"""),"Ann Dumlao")</f>
        <v>Ann Dumlao</v>
      </c>
      <c r="W2654" s="1" t="str">
        <f>IFERROR(__xludf.DUMMYFUNCTION("""COMPUTED_VALUE"""),"Admin Omni Support")</f>
        <v>Admin Omni Support</v>
      </c>
    </row>
    <row r="2655">
      <c r="O2655" s="1" t="str">
        <f>IFERROR(__xludf.DUMMYFUNCTION("""COMPUTED_VALUE"""),"2026 Mar")</f>
        <v>2026 Mar</v>
      </c>
      <c r="P2655" s="1" t="str">
        <f>IFERROR(__xludf.DUMMYFUNCTION("""COMPUTED_VALUE"""),"High Sensitivity Support")</f>
        <v>High Sensitivity Support</v>
      </c>
      <c r="Q2655" s="1" t="str">
        <f>IFERROR(__xludf.DUMMYFUNCTION("""COMPUTED_VALUE"""),"macie@canva.com")</f>
        <v>macie@canva.com</v>
      </c>
      <c r="R2655" s="1" t="str">
        <f>IFERROR(__xludf.DUMMYFUNCTION("""COMPUTED_VALUE"""),"Macie del Mundo")</f>
        <v>Macie del Mundo</v>
      </c>
      <c r="S2655" s="1"/>
      <c r="T2655" s="1">
        <f>IFERROR(__xludf.DUMMYFUNCTION("""COMPUTED_VALUE"""),7.75)</f>
        <v>7.75</v>
      </c>
      <c r="U2655" s="2">
        <f>IFERROR(__xludf.DUMMYFUNCTION("""COMPUTED_VALUE"""),7.75)</f>
        <v>7.75</v>
      </c>
      <c r="V2655" s="1" t="str">
        <f>IFERROR(__xludf.DUMMYFUNCTION("""COMPUTED_VALUE"""),"Rossheen Pura")</f>
        <v>Rossheen Pura</v>
      </c>
      <c r="W2655" s="1" t="str">
        <f>IFERROR(__xludf.DUMMYFUNCTION("""COMPUTED_VALUE"""),"High Sensitivity Support PH")</f>
        <v>High Sensitivity Support PH</v>
      </c>
    </row>
    <row r="2656">
      <c r="O2656" s="1" t="str">
        <f>IFERROR(__xludf.DUMMYFUNCTION("""COMPUTED_VALUE"""),"2026 Mar")</f>
        <v>2026 Mar</v>
      </c>
      <c r="P2656" s="1" t="str">
        <f>IFERROR(__xludf.DUMMYFUNCTION("""COMPUTED_VALUE"""),"Core Product Support")</f>
        <v>Core Product Support</v>
      </c>
      <c r="Q2656" s="1" t="str">
        <f>IFERROR(__xludf.DUMMYFUNCTION("""COMPUTED_VALUE"""),"mackievitacion@canva.com")</f>
        <v>mackievitacion@canva.com</v>
      </c>
      <c r="R2656" s="1" t="str">
        <f>IFERROR(__xludf.DUMMYFUNCTION("""COMPUTED_VALUE"""),"Mackie Vitacion")</f>
        <v>Mackie Vitacion</v>
      </c>
      <c r="S2656" s="1"/>
      <c r="T2656" s="1">
        <f>IFERROR(__xludf.DUMMYFUNCTION("""COMPUTED_VALUE"""),9.25)</f>
        <v>9.25</v>
      </c>
      <c r="U2656" s="2">
        <f>IFERROR(__xludf.DUMMYFUNCTION("""COMPUTED_VALUE"""),9.25)</f>
        <v>9.25</v>
      </c>
      <c r="V2656" s="1" t="str">
        <f>IFERROR(__xludf.DUMMYFUNCTION("""COMPUTED_VALUE"""),"Vinz Lazaro")</f>
        <v>Vinz Lazaro</v>
      </c>
      <c r="W2656" s="1" t="str">
        <f>IFERROR(__xludf.DUMMYFUNCTION("""COMPUTED_VALUE"""),"Advanced Product Support")</f>
        <v>Advanced Product Support</v>
      </c>
    </row>
    <row r="2657">
      <c r="O2657" s="1" t="str">
        <f>IFERROR(__xludf.DUMMYFUNCTION("""COMPUTED_VALUE"""),"2026 Mar")</f>
        <v>2026 Mar</v>
      </c>
      <c r="P2657" s="1" t="str">
        <f>IFERROR(__xludf.DUMMYFUNCTION("""COMPUTED_VALUE"""),"High Sensitivity Support")</f>
        <v>High Sensitivity Support</v>
      </c>
      <c r="Q2657" s="1" t="str">
        <f>IFERROR(__xludf.DUMMYFUNCTION("""COMPUTED_VALUE"""),"mariav@canva.com")</f>
        <v>mariav@canva.com</v>
      </c>
      <c r="R2657" s="1" t="str">
        <f>IFERROR(__xludf.DUMMYFUNCTION("""COMPUTED_VALUE"""),"Maria Vergara")</f>
        <v>Maria Vergara</v>
      </c>
      <c r="S2657" s="1"/>
      <c r="T2657" s="1">
        <f>IFERROR(__xludf.DUMMYFUNCTION("""COMPUTED_VALUE"""),6.0)</f>
        <v>6</v>
      </c>
      <c r="U2657" s="2">
        <f>IFERROR(__xludf.DUMMYFUNCTION("""COMPUTED_VALUE"""),6.0)</f>
        <v>6</v>
      </c>
      <c r="V2657" s="1" t="str">
        <f>IFERROR(__xludf.DUMMYFUNCTION("""COMPUTED_VALUE"""),"Xandy Azarcon")</f>
        <v>Xandy Azarcon</v>
      </c>
      <c r="W2657" s="1" t="str">
        <f>IFERROR(__xludf.DUMMYFUNCTION("""COMPUTED_VALUE"""),"High Sensitivity Support PH")</f>
        <v>High Sensitivity Support PH</v>
      </c>
    </row>
    <row r="2658">
      <c r="O2658" s="1" t="str">
        <f>IFERROR(__xludf.DUMMYFUNCTION("""COMPUTED_VALUE"""),"2026 Mar")</f>
        <v>2026 Mar</v>
      </c>
      <c r="P2658" s="1" t="str">
        <f>IFERROR(__xludf.DUMMYFUNCTION("""COMPUTED_VALUE"""),"Print Support")</f>
        <v>Print Support</v>
      </c>
      <c r="Q2658" s="1" t="str">
        <f>IFERROR(__xludf.DUMMYFUNCTION("""COMPUTED_VALUE"""),"marieson@canva.com")</f>
        <v>marieson@canva.com</v>
      </c>
      <c r="R2658" s="1" t="str">
        <f>IFERROR(__xludf.DUMMYFUNCTION("""COMPUTED_VALUE"""),"Marieson Libunao")</f>
        <v>Marieson Libunao</v>
      </c>
      <c r="S2658" s="1"/>
      <c r="T2658" s="1"/>
      <c r="U2658" s="2">
        <f>IFERROR(__xludf.DUMMYFUNCTION("""COMPUTED_VALUE"""),0.0)</f>
        <v>0</v>
      </c>
      <c r="V2658" s="1" t="str">
        <f>IFERROR(__xludf.DUMMYFUNCTION("""COMPUTED_VALUE"""),"Althea Mercado")</f>
        <v>Althea Mercado</v>
      </c>
      <c r="W2658" s="1" t="str">
        <f>IFERROR(__xludf.DUMMYFUNCTION("""COMPUTED_VALUE"""),"Print Support PH")</f>
        <v>Print Support PH</v>
      </c>
    </row>
    <row r="2659">
      <c r="O2659" s="1" t="str">
        <f>IFERROR(__xludf.DUMMYFUNCTION("""COMPUTED_VALUE"""),"2026 Mar")</f>
        <v>2026 Mar</v>
      </c>
      <c r="P2659" s="1" t="str">
        <f>IFERROR(__xludf.DUMMYFUNCTION("""COMPUTED_VALUE"""),"Core Product Support")</f>
        <v>Core Product Support</v>
      </c>
      <c r="Q2659" s="1" t="str">
        <f>IFERROR(__xludf.DUMMYFUNCTION("""COMPUTED_VALUE"""),"mariz@canva.com")</f>
        <v>mariz@canva.com</v>
      </c>
      <c r="R2659" s="1" t="str">
        <f>IFERROR(__xludf.DUMMYFUNCTION("""COMPUTED_VALUE"""),"Mariz Gain")</f>
        <v>Mariz Gain</v>
      </c>
      <c r="S2659" s="1">
        <f>IFERROR(__xludf.DUMMYFUNCTION("""COMPUTED_VALUE"""),0.5)</f>
        <v>0.5</v>
      </c>
      <c r="T2659" s="1">
        <f>IFERROR(__xludf.DUMMYFUNCTION("""COMPUTED_VALUE"""),12.25)</f>
        <v>12.25</v>
      </c>
      <c r="U2659" s="2">
        <f>IFERROR(__xludf.DUMMYFUNCTION("""COMPUTED_VALUE"""),12.75)</f>
        <v>12.75</v>
      </c>
      <c r="V2659" s="1" t="str">
        <f>IFERROR(__xludf.DUMMYFUNCTION("""COMPUTED_VALUE"""),"Ana Lazaro")</f>
        <v>Ana Lazaro</v>
      </c>
      <c r="W2659" s="1" t="str">
        <f>IFERROR(__xludf.DUMMYFUNCTION("""COMPUTED_VALUE"""),"Advanced Billing &amp; Subscriptions")</f>
        <v>Advanced Billing &amp; Subscriptions</v>
      </c>
    </row>
    <row r="2660">
      <c r="O2660" s="1" t="str">
        <f>IFERROR(__xludf.DUMMYFUNCTION("""COMPUTED_VALUE"""),"2026 Mar")</f>
        <v>2026 Mar</v>
      </c>
      <c r="P2660" s="1" t="str">
        <f>IFERROR(__xludf.DUMMYFUNCTION("""COMPUTED_VALUE"""),"Print Support")</f>
        <v>Print Support</v>
      </c>
      <c r="Q2660" s="1" t="str">
        <f>IFERROR(__xludf.DUMMYFUNCTION("""COMPUTED_VALUE"""),"mpalermo@canva.com")</f>
        <v>mpalermo@canva.com</v>
      </c>
      <c r="R2660" s="1" t="str">
        <f>IFERROR(__xludf.DUMMYFUNCTION("""COMPUTED_VALUE"""),"Marjorie Tsao")</f>
        <v>Marjorie Tsao</v>
      </c>
      <c r="S2660" s="1"/>
      <c r="T2660" s="1">
        <f>IFERROR(__xludf.DUMMYFUNCTION("""COMPUTED_VALUE"""),0.17)</f>
        <v>0.17</v>
      </c>
      <c r="U2660" s="2">
        <f>IFERROR(__xludf.DUMMYFUNCTION("""COMPUTED_VALUE"""),0.17)</f>
        <v>0.17</v>
      </c>
      <c r="V2660" s="1" t="str">
        <f>IFERROR(__xludf.DUMMYFUNCTION("""COMPUTED_VALUE"""),"Louise Dianne Estrella")</f>
        <v>Louise Dianne Estrella</v>
      </c>
      <c r="W2660" s="1" t="str">
        <f>IFERROR(__xludf.DUMMYFUNCTION("""COMPUTED_VALUE"""),"Print Support PH")</f>
        <v>Print Support PH</v>
      </c>
    </row>
    <row r="2661">
      <c r="O2661" s="1" t="str">
        <f>IFERROR(__xludf.DUMMYFUNCTION("""COMPUTED_VALUE"""),"2026 Mar")</f>
        <v>2026 Mar</v>
      </c>
      <c r="P2661" s="1" t="str">
        <f>IFERROR(__xludf.DUMMYFUNCTION("""COMPUTED_VALUE"""),"Core Product Support")</f>
        <v>Core Product Support</v>
      </c>
      <c r="Q2661" s="1" t="str">
        <f>IFERROR(__xludf.DUMMYFUNCTION("""COMPUTED_VALUE"""),"martyl@canva.com")</f>
        <v>martyl@canva.com</v>
      </c>
      <c r="R2661" s="1" t="str">
        <f>IFERROR(__xludf.DUMMYFUNCTION("""COMPUTED_VALUE"""),"Marty Lozada")</f>
        <v>Marty Lozada</v>
      </c>
      <c r="S2661" s="1">
        <f>IFERROR(__xludf.DUMMYFUNCTION("""COMPUTED_VALUE"""),0.5)</f>
        <v>0.5</v>
      </c>
      <c r="T2661" s="1">
        <f>IFERROR(__xludf.DUMMYFUNCTION("""COMPUTED_VALUE"""),5.75)</f>
        <v>5.75</v>
      </c>
      <c r="U2661" s="2">
        <f>IFERROR(__xludf.DUMMYFUNCTION("""COMPUTED_VALUE"""),6.25)</f>
        <v>6.25</v>
      </c>
      <c r="V2661" s="1" t="str">
        <f>IFERROR(__xludf.DUMMYFUNCTION("""COMPUTED_VALUE"""),"Vinz Lazaro")</f>
        <v>Vinz Lazaro</v>
      </c>
      <c r="W2661" s="1" t="str">
        <f>IFERROR(__xludf.DUMMYFUNCTION("""COMPUTED_VALUE"""),"Advanced Product Support")</f>
        <v>Advanced Product Support</v>
      </c>
    </row>
    <row r="2662">
      <c r="O2662" s="1" t="str">
        <f>IFERROR(__xludf.DUMMYFUNCTION("""COMPUTED_VALUE"""),"2026 Mar")</f>
        <v>2026 Mar</v>
      </c>
      <c r="P2662" s="1" t="str">
        <f>IFERROR(__xludf.DUMMYFUNCTION("""COMPUTED_VALUE"""),"High Sensitivity Support")</f>
        <v>High Sensitivity Support</v>
      </c>
      <c r="Q2662" s="1" t="str">
        <f>IFERROR(__xludf.DUMMYFUNCTION("""COMPUTED_VALUE"""),"mayann@canva.com")</f>
        <v>mayann@canva.com</v>
      </c>
      <c r="R2662" s="1" t="str">
        <f>IFERROR(__xludf.DUMMYFUNCTION("""COMPUTED_VALUE"""),"May Ann Caguioa")</f>
        <v>May Ann Caguioa</v>
      </c>
      <c r="S2662" s="1"/>
      <c r="T2662" s="1">
        <f>IFERROR(__xludf.DUMMYFUNCTION("""COMPUTED_VALUE"""),5.75)</f>
        <v>5.75</v>
      </c>
      <c r="U2662" s="2">
        <f>IFERROR(__xludf.DUMMYFUNCTION("""COMPUTED_VALUE"""),5.75)</f>
        <v>5.75</v>
      </c>
      <c r="V2662" s="1" t="str">
        <f>IFERROR(__xludf.DUMMYFUNCTION("""COMPUTED_VALUE"""),"Rossheen Pura")</f>
        <v>Rossheen Pura</v>
      </c>
      <c r="W2662" s="1" t="str">
        <f>IFERROR(__xludf.DUMMYFUNCTION("""COMPUTED_VALUE"""),"High Sensitivity Support PH")</f>
        <v>High Sensitivity Support PH</v>
      </c>
    </row>
    <row r="2663">
      <c r="O2663" s="1" t="str">
        <f>IFERROR(__xludf.DUMMYFUNCTION("""COMPUTED_VALUE"""),"2026 Mar")</f>
        <v>2026 Mar</v>
      </c>
      <c r="P2663" s="1" t="str">
        <f>IFERROR(__xludf.DUMMYFUNCTION("""COMPUTED_VALUE"""),"Core Product Support")</f>
        <v>Core Product Support</v>
      </c>
      <c r="Q2663" s="1" t="str">
        <f>IFERROR(__xludf.DUMMYFUNCTION("""COMPUTED_VALUE"""),"mccoyc@canva.com")</f>
        <v>mccoyc@canva.com</v>
      </c>
      <c r="R2663" s="1" t="str">
        <f>IFERROR(__xludf.DUMMYFUNCTION("""COMPUTED_VALUE"""),"McCoy Cacanindin")</f>
        <v>McCoy Cacanindin</v>
      </c>
      <c r="S2663" s="1"/>
      <c r="T2663" s="1">
        <f>IFERROR(__xludf.DUMMYFUNCTION("""COMPUTED_VALUE"""),8.5)</f>
        <v>8.5</v>
      </c>
      <c r="U2663" s="2">
        <f>IFERROR(__xludf.DUMMYFUNCTION("""COMPUTED_VALUE"""),8.5)</f>
        <v>8.5</v>
      </c>
      <c r="V2663" s="1" t="str">
        <f>IFERROR(__xludf.DUMMYFUNCTION("""COMPUTED_VALUE"""),"Vinz Lazaro")</f>
        <v>Vinz Lazaro</v>
      </c>
      <c r="W2663" s="1" t="str">
        <f>IFERROR(__xludf.DUMMYFUNCTION("""COMPUTED_VALUE"""),"Advanced Product Support")</f>
        <v>Advanced Product Support</v>
      </c>
    </row>
    <row r="2664">
      <c r="O2664" s="1" t="str">
        <f>IFERROR(__xludf.DUMMYFUNCTION("""COMPUTED_VALUE"""),"2026 Mar")</f>
        <v>2026 Mar</v>
      </c>
      <c r="P2664" s="1" t="str">
        <f>IFERROR(__xludf.DUMMYFUNCTION("""COMPUTED_VALUE"""),"High Sensitivity Support")</f>
        <v>High Sensitivity Support</v>
      </c>
      <c r="Q2664" s="1" t="str">
        <f>IFERROR(__xludf.DUMMYFUNCTION("""COMPUTED_VALUE"""),"mlabio@canva.com")</f>
        <v>mlabio@canva.com</v>
      </c>
      <c r="R2664" s="1" t="str">
        <f>IFERROR(__xludf.DUMMYFUNCTION("""COMPUTED_VALUE"""),"Melanie Labio")</f>
        <v>Melanie Labio</v>
      </c>
      <c r="S2664" s="1"/>
      <c r="T2664" s="1">
        <f>IFERROR(__xludf.DUMMYFUNCTION("""COMPUTED_VALUE"""),6.0)</f>
        <v>6</v>
      </c>
      <c r="U2664" s="2">
        <f>IFERROR(__xludf.DUMMYFUNCTION("""COMPUTED_VALUE"""),6.0)</f>
        <v>6</v>
      </c>
      <c r="V2664" s="1" t="str">
        <f>IFERROR(__xludf.DUMMYFUNCTION("""COMPUTED_VALUE"""),"Xandy Azarcon")</f>
        <v>Xandy Azarcon</v>
      </c>
      <c r="W2664" s="1" t="str">
        <f>IFERROR(__xludf.DUMMYFUNCTION("""COMPUTED_VALUE"""),"High Sensitivity Support PH")</f>
        <v>High Sensitivity Support PH</v>
      </c>
    </row>
    <row r="2665">
      <c r="O2665" s="1" t="str">
        <f>IFERROR(__xludf.DUMMYFUNCTION("""COMPUTED_VALUE"""),"2026 Mar")</f>
        <v>2026 Mar</v>
      </c>
      <c r="P2665" s="1" t="str">
        <f>IFERROR(__xludf.DUMMYFUNCTION("""COMPUTED_VALUE"""),"Admin Support")</f>
        <v>Admin Support</v>
      </c>
      <c r="Q2665" s="1" t="str">
        <f>IFERROR(__xludf.DUMMYFUNCTION("""COMPUTED_VALUE"""),"mmicah@canva.com")</f>
        <v>mmicah@canva.com</v>
      </c>
      <c r="R2665" s="1" t="str">
        <f>IFERROR(__xludf.DUMMYFUNCTION("""COMPUTED_VALUE"""),"Micah Geneviv Marcos")</f>
        <v>Micah Geneviv Marcos</v>
      </c>
      <c r="S2665" s="1"/>
      <c r="T2665" s="1">
        <f>IFERROR(__xludf.DUMMYFUNCTION("""COMPUTED_VALUE"""),2.0)</f>
        <v>2</v>
      </c>
      <c r="U2665" s="2">
        <f>IFERROR(__xludf.DUMMYFUNCTION("""COMPUTED_VALUE"""),2.0)</f>
        <v>2</v>
      </c>
      <c r="V2665" s="1" t="str">
        <f>IFERROR(__xludf.DUMMYFUNCTION("""COMPUTED_VALUE"""),"Karla Mananghaya")</f>
        <v>Karla Mananghaya</v>
      </c>
      <c r="W2665" s="1" t="str">
        <f>IFERROR(__xludf.DUMMYFUNCTION("""COMPUTED_VALUE"""),"Admin Support Service Escalation Team")</f>
        <v>Admin Support Service Escalation Team</v>
      </c>
    </row>
    <row r="2666">
      <c r="O2666" s="1" t="str">
        <f>IFERROR(__xludf.DUMMYFUNCTION("""COMPUTED_VALUE"""),"2026 Mar")</f>
        <v>2026 Mar</v>
      </c>
      <c r="P2666" s="1" t="str">
        <f>IFERROR(__xludf.DUMMYFUNCTION("""COMPUTED_VALUE"""),"Core Product Support")</f>
        <v>Core Product Support</v>
      </c>
      <c r="Q2666" s="1" t="str">
        <f>IFERROR(__xludf.DUMMYFUNCTION("""COMPUTED_VALUE"""),"nas@canva.com")</f>
        <v>nas@canva.com</v>
      </c>
      <c r="R2666" s="1" t="str">
        <f>IFERROR(__xludf.DUMMYFUNCTION("""COMPUTED_VALUE"""),"Miggy De Vibar")</f>
        <v>Miggy De Vibar</v>
      </c>
      <c r="S2666" s="1"/>
      <c r="T2666" s="1">
        <f>IFERROR(__xludf.DUMMYFUNCTION("""COMPUTED_VALUE"""),8.82)</f>
        <v>8.82</v>
      </c>
      <c r="U2666" s="2">
        <f>IFERROR(__xludf.DUMMYFUNCTION("""COMPUTED_VALUE"""),8.82)</f>
        <v>8.82</v>
      </c>
      <c r="V2666" s="1" t="str">
        <f>IFERROR(__xludf.DUMMYFUNCTION("""COMPUTED_VALUE"""),"Belle Bentazal")</f>
        <v>Belle Bentazal</v>
      </c>
      <c r="W2666" s="1" t="str">
        <f>IFERROR(__xludf.DUMMYFUNCTION("""COMPUTED_VALUE"""),"Advanced Product Support")</f>
        <v>Advanced Product Support</v>
      </c>
    </row>
    <row r="2667">
      <c r="O2667" s="1" t="str">
        <f>IFERROR(__xludf.DUMMYFUNCTION("""COMPUTED_VALUE"""),"2026 Mar")</f>
        <v>2026 Mar</v>
      </c>
      <c r="P2667" s="1" t="str">
        <f>IFERROR(__xludf.DUMMYFUNCTION("""COMPUTED_VALUE"""),"Core Product Support")</f>
        <v>Core Product Support</v>
      </c>
      <c r="Q2667" s="1" t="str">
        <f>IFERROR(__xludf.DUMMYFUNCTION("""COMPUTED_VALUE"""),"mika@canva.com")</f>
        <v>mika@canva.com</v>
      </c>
      <c r="R2667" s="1" t="str">
        <f>IFERROR(__xludf.DUMMYFUNCTION("""COMPUTED_VALUE"""),"Mika Magpantay")</f>
        <v>Mika Magpantay</v>
      </c>
      <c r="S2667" s="1">
        <f>IFERROR(__xludf.DUMMYFUNCTION("""COMPUTED_VALUE"""),0.5)</f>
        <v>0.5</v>
      </c>
      <c r="T2667" s="1">
        <f>IFERROR(__xludf.DUMMYFUNCTION("""COMPUTED_VALUE"""),10.08)</f>
        <v>10.08</v>
      </c>
      <c r="U2667" s="2">
        <f>IFERROR(__xludf.DUMMYFUNCTION("""COMPUTED_VALUE"""),10.58)</f>
        <v>10.58</v>
      </c>
      <c r="V2667" s="1" t="str">
        <f>IFERROR(__xludf.DUMMYFUNCTION("""COMPUTED_VALUE"""),"Jem Mondoñedo")</f>
        <v>Jem Mondoñedo</v>
      </c>
      <c r="W2667" s="1" t="str">
        <f>IFERROR(__xludf.DUMMYFUNCTION("""COMPUTED_VALUE"""),"Advanced Billing &amp; Subscriptions")</f>
        <v>Advanced Billing &amp; Subscriptions</v>
      </c>
    </row>
    <row r="2668">
      <c r="O2668" s="1" t="str">
        <f>IFERROR(__xludf.DUMMYFUNCTION("""COMPUTED_VALUE"""),"2026 Mar")</f>
        <v>2026 Mar</v>
      </c>
      <c r="P2668" s="1" t="str">
        <f>IFERROR(__xludf.DUMMYFUNCTION("""COMPUTED_VALUE"""),"Core Product Support")</f>
        <v>Core Product Support</v>
      </c>
      <c r="Q2668" s="1" t="str">
        <f>IFERROR(__xludf.DUMMYFUNCTION("""COMPUTED_VALUE"""),"mirielle@canva.com")</f>
        <v>mirielle@canva.com</v>
      </c>
      <c r="R2668" s="1" t="str">
        <f>IFERROR(__xludf.DUMMYFUNCTION("""COMPUTED_VALUE"""),"Mirielle Frances de Lara")</f>
        <v>Mirielle Frances de Lara</v>
      </c>
      <c r="S2668" s="1">
        <f>IFERROR(__xludf.DUMMYFUNCTION("""COMPUTED_VALUE"""),0.5)</f>
        <v>0.5</v>
      </c>
      <c r="T2668" s="1">
        <f>IFERROR(__xludf.DUMMYFUNCTION("""COMPUTED_VALUE"""),8.75)</f>
        <v>8.75</v>
      </c>
      <c r="U2668" s="2">
        <f>IFERROR(__xludf.DUMMYFUNCTION("""COMPUTED_VALUE"""),9.25)</f>
        <v>9.25</v>
      </c>
      <c r="V2668" s="1" t="str">
        <f>IFERROR(__xludf.DUMMYFUNCTION("""COMPUTED_VALUE"""),"Belle Bentazal")</f>
        <v>Belle Bentazal</v>
      </c>
      <c r="W2668" s="1" t="str">
        <f>IFERROR(__xludf.DUMMYFUNCTION("""COMPUTED_VALUE"""),"Advanced Product Support")</f>
        <v>Advanced Product Support</v>
      </c>
    </row>
    <row r="2669">
      <c r="O2669" s="1" t="str">
        <f>IFERROR(__xludf.DUMMYFUNCTION("""COMPUTED_VALUE"""),"2026 Mar")</f>
        <v>2026 Mar</v>
      </c>
      <c r="P2669" s="1" t="str">
        <f>IFERROR(__xludf.DUMMYFUNCTION("""COMPUTED_VALUE"""),"Admin Support")</f>
        <v>Admin Support</v>
      </c>
      <c r="Q2669" s="1" t="str">
        <f>IFERROR(__xludf.DUMMYFUNCTION("""COMPUTED_VALUE"""),"mjb@canva.com")</f>
        <v>mjb@canva.com</v>
      </c>
      <c r="R2669" s="1" t="str">
        <f>IFERROR(__xludf.DUMMYFUNCTION("""COMPUTED_VALUE"""),"MJ Billon")</f>
        <v>MJ Billon</v>
      </c>
      <c r="S2669" s="1"/>
      <c r="T2669" s="1">
        <f>IFERROR(__xludf.DUMMYFUNCTION("""COMPUTED_VALUE"""),3.08)</f>
        <v>3.08</v>
      </c>
      <c r="U2669" s="2">
        <f>IFERROR(__xludf.DUMMYFUNCTION("""COMPUTED_VALUE"""),3.08)</f>
        <v>3.08</v>
      </c>
      <c r="V2669" s="1" t="str">
        <f>IFERROR(__xludf.DUMMYFUNCTION("""COMPUTED_VALUE"""),"Ann Dumlao")</f>
        <v>Ann Dumlao</v>
      </c>
      <c r="W2669" s="1" t="str">
        <f>IFERROR(__xludf.DUMMYFUNCTION("""COMPUTED_VALUE"""),"Admin Omni Support")</f>
        <v>Admin Omni Support</v>
      </c>
    </row>
    <row r="2670">
      <c r="O2670" s="1" t="str">
        <f>IFERROR(__xludf.DUMMYFUNCTION("""COMPUTED_VALUE"""),"2026 Mar")</f>
        <v>2026 Mar</v>
      </c>
      <c r="P2670" s="1" t="str">
        <f>IFERROR(__xludf.DUMMYFUNCTION("""COMPUTED_VALUE"""),"Segment-specific Support")</f>
        <v>Segment-specific Support</v>
      </c>
      <c r="Q2670" s="1" t="str">
        <f>IFERROR(__xludf.DUMMYFUNCTION("""COMPUTED_VALUE"""),"molli@canva.com")</f>
        <v>molli@canva.com</v>
      </c>
      <c r="R2670" s="1" t="str">
        <f>IFERROR(__xludf.DUMMYFUNCTION("""COMPUTED_VALUE"""),"MJ Sol")</f>
        <v>MJ Sol</v>
      </c>
      <c r="S2670" s="1"/>
      <c r="T2670" s="1"/>
      <c r="U2670" s="2">
        <f>IFERROR(__xludf.DUMMYFUNCTION("""COMPUTED_VALUE"""),0.0)</f>
        <v>0</v>
      </c>
      <c r="V2670" s="1" t="str">
        <f>IFERROR(__xludf.DUMMYFUNCTION("""COMPUTED_VALUE"""),"Aileen Dayanghirang")</f>
        <v>Aileen Dayanghirang</v>
      </c>
      <c r="W2670" s="1" t="str">
        <f>IFERROR(__xludf.DUMMYFUNCTION("""COMPUTED_VALUE"""),"Creators Support")</f>
        <v>Creators Support</v>
      </c>
    </row>
    <row r="2671">
      <c r="O2671" s="1" t="str">
        <f>IFERROR(__xludf.DUMMYFUNCTION("""COMPUTED_VALUE"""),"2026 Mar")</f>
        <v>2026 Mar</v>
      </c>
      <c r="P2671" s="1" t="str">
        <f>IFERROR(__xludf.DUMMYFUNCTION("""COMPUTED_VALUE"""),"Core Product Support")</f>
        <v>Core Product Support</v>
      </c>
      <c r="Q2671" s="1" t="str">
        <f>IFERROR(__xludf.DUMMYFUNCTION("""COMPUTED_VALUE"""),"raymondc@canva.com")</f>
        <v>raymondc@canva.com</v>
      </c>
      <c r="R2671" s="1" t="str">
        <f>IFERROR(__xludf.DUMMYFUNCTION("""COMPUTED_VALUE"""),"Mond Catimbang")</f>
        <v>Mond Catimbang</v>
      </c>
      <c r="S2671" s="1">
        <f>IFERROR(__xludf.DUMMYFUNCTION("""COMPUTED_VALUE"""),0.5)</f>
        <v>0.5</v>
      </c>
      <c r="T2671" s="1">
        <f>IFERROR(__xludf.DUMMYFUNCTION("""COMPUTED_VALUE"""),10.08)</f>
        <v>10.08</v>
      </c>
      <c r="U2671" s="2">
        <f>IFERROR(__xludf.DUMMYFUNCTION("""COMPUTED_VALUE"""),10.58)</f>
        <v>10.58</v>
      </c>
      <c r="V2671" s="1" t="str">
        <f>IFERROR(__xludf.DUMMYFUNCTION("""COMPUTED_VALUE"""),"Jem Mondoñedo")</f>
        <v>Jem Mondoñedo</v>
      </c>
      <c r="W2671" s="1" t="str">
        <f>IFERROR(__xludf.DUMMYFUNCTION("""COMPUTED_VALUE"""),"Advanced Billing &amp; Subscriptions")</f>
        <v>Advanced Billing &amp; Subscriptions</v>
      </c>
    </row>
    <row r="2672">
      <c r="O2672" s="1" t="str">
        <f>IFERROR(__xludf.DUMMYFUNCTION("""COMPUTED_VALUE"""),"2026 Mar")</f>
        <v>2026 Mar</v>
      </c>
      <c r="P2672" s="1" t="str">
        <f>IFERROR(__xludf.DUMMYFUNCTION("""COMPUTED_VALUE"""),"Core Product Support")</f>
        <v>Core Product Support</v>
      </c>
      <c r="Q2672" s="1" t="str">
        <f>IFERROR(__xludf.DUMMYFUNCTION("""COMPUTED_VALUE"""),"moxyarima@canva.com")</f>
        <v>moxyarima@canva.com</v>
      </c>
      <c r="R2672" s="1" t="str">
        <f>IFERROR(__xludf.DUMMYFUNCTION("""COMPUTED_VALUE"""),"Moxy Arima")</f>
        <v>Moxy Arima</v>
      </c>
      <c r="S2672" s="1"/>
      <c r="T2672" s="1">
        <f>IFERROR(__xludf.DUMMYFUNCTION("""COMPUTED_VALUE"""),19.5)</f>
        <v>19.5</v>
      </c>
      <c r="U2672" s="2">
        <f>IFERROR(__xludf.DUMMYFUNCTION("""COMPUTED_VALUE"""),19.5)</f>
        <v>19.5</v>
      </c>
      <c r="V2672" s="1" t="str">
        <f>IFERROR(__xludf.DUMMYFUNCTION("""COMPUTED_VALUE"""),"Jelyn Elmido")</f>
        <v>Jelyn Elmido</v>
      </c>
      <c r="W2672" s="1" t="str">
        <f>IFERROR(__xludf.DUMMYFUNCTION("""COMPUTED_VALUE"""),"Core Product Support Escalation Team")</f>
        <v>Core Product Support Escalation Team</v>
      </c>
    </row>
    <row r="2673">
      <c r="O2673" s="1" t="str">
        <f>IFERROR(__xludf.DUMMYFUNCTION("""COMPUTED_VALUE"""),"2026 Mar")</f>
        <v>2026 Mar</v>
      </c>
      <c r="P2673" s="1" t="str">
        <f>IFERROR(__xludf.DUMMYFUNCTION("""COMPUTED_VALUE"""),"Print Support")</f>
        <v>Print Support</v>
      </c>
      <c r="Q2673" s="1" t="str">
        <f>IFERROR(__xludf.DUMMYFUNCTION("""COMPUTED_VALUE"""),"natedc@canva.com")</f>
        <v>natedc@canva.com</v>
      </c>
      <c r="R2673" s="1" t="str">
        <f>IFERROR(__xludf.DUMMYFUNCTION("""COMPUTED_VALUE"""),"Nate De la Cruz")</f>
        <v>Nate De la Cruz</v>
      </c>
      <c r="S2673" s="1"/>
      <c r="T2673" s="1">
        <f>IFERROR(__xludf.DUMMYFUNCTION("""COMPUTED_VALUE"""),18.0)</f>
        <v>18</v>
      </c>
      <c r="U2673" s="2">
        <f>IFERROR(__xludf.DUMMYFUNCTION("""COMPUTED_VALUE"""),18.0)</f>
        <v>18</v>
      </c>
      <c r="V2673" s="1" t="str">
        <f>IFERROR(__xludf.DUMMYFUNCTION("""COMPUTED_VALUE"""),"Gem Agoncillo")</f>
        <v>Gem Agoncillo</v>
      </c>
      <c r="W2673" s="1" t="str">
        <f>IFERROR(__xludf.DUMMYFUNCTION("""COMPUTED_VALUE"""),"Print Design Support")</f>
        <v>Print Design Support</v>
      </c>
    </row>
    <row r="2674">
      <c r="O2674" s="1" t="str">
        <f>IFERROR(__xludf.DUMMYFUNCTION("""COMPUTED_VALUE"""),"2026 Mar")</f>
        <v>2026 Mar</v>
      </c>
      <c r="P2674" s="1" t="str">
        <f>IFERROR(__xludf.DUMMYFUNCTION("""COMPUTED_VALUE"""),"Admin Support")</f>
        <v>Admin Support</v>
      </c>
      <c r="Q2674" s="1" t="str">
        <f>IFERROR(__xludf.DUMMYFUNCTION("""COMPUTED_VALUE"""),"nsahagun@canva.com")</f>
        <v>nsahagun@canva.com</v>
      </c>
      <c r="R2674" s="1" t="str">
        <f>IFERROR(__xludf.DUMMYFUNCTION("""COMPUTED_VALUE"""),"Nathalie Sahagun")</f>
        <v>Nathalie Sahagun</v>
      </c>
      <c r="S2674" s="1"/>
      <c r="T2674" s="1"/>
      <c r="U2674" s="2">
        <f>IFERROR(__xludf.DUMMYFUNCTION("""COMPUTED_VALUE"""),0.0)</f>
        <v>0</v>
      </c>
      <c r="V2674" s="1" t="str">
        <f>IFERROR(__xludf.DUMMYFUNCTION("""COMPUTED_VALUE"""),"Nate Vela")</f>
        <v>Nate Vela</v>
      </c>
      <c r="W2674" s="1" t="str">
        <f>IFERROR(__xludf.DUMMYFUNCTION("""COMPUTED_VALUE"""),"Admin Support NA")</f>
        <v>Admin Support NA</v>
      </c>
    </row>
    <row r="2675">
      <c r="O2675" s="1" t="str">
        <f>IFERROR(__xludf.DUMMYFUNCTION("""COMPUTED_VALUE"""),"2026 Mar")</f>
        <v>2026 Mar</v>
      </c>
      <c r="P2675" s="1" t="str">
        <f>IFERROR(__xludf.DUMMYFUNCTION("""COMPUTED_VALUE"""),"Core Product Support")</f>
        <v>Core Product Support</v>
      </c>
      <c r="Q2675" s="1" t="str">
        <f>IFERROR(__xludf.DUMMYFUNCTION("""COMPUTED_VALUE"""),"neeki@canva.com")</f>
        <v>neeki@canva.com</v>
      </c>
      <c r="R2675" s="1" t="str">
        <f>IFERROR(__xludf.DUMMYFUNCTION("""COMPUTED_VALUE"""),"Neeki Asido")</f>
        <v>Neeki Asido</v>
      </c>
      <c r="S2675" s="1"/>
      <c r="T2675" s="1">
        <f>IFERROR(__xludf.DUMMYFUNCTION("""COMPUTED_VALUE"""),11.75)</f>
        <v>11.75</v>
      </c>
      <c r="U2675" s="2">
        <f>IFERROR(__xludf.DUMMYFUNCTION("""COMPUTED_VALUE"""),11.75)</f>
        <v>11.75</v>
      </c>
      <c r="V2675" s="1" t="str">
        <f>IFERROR(__xludf.DUMMYFUNCTION("""COMPUTED_VALUE"""),"Jelyn Elmido")</f>
        <v>Jelyn Elmido</v>
      </c>
      <c r="W2675" s="1" t="str">
        <f>IFERROR(__xludf.DUMMYFUNCTION("""COMPUTED_VALUE"""),"Core Product Support Escalation Team")</f>
        <v>Core Product Support Escalation Team</v>
      </c>
    </row>
    <row r="2676">
      <c r="O2676" s="1" t="str">
        <f>IFERROR(__xludf.DUMMYFUNCTION("""COMPUTED_VALUE"""),"2026 Mar")</f>
        <v>2026 Mar</v>
      </c>
      <c r="P2676" s="1" t="str">
        <f>IFERROR(__xludf.DUMMYFUNCTION("""COMPUTED_VALUE"""),"Core Product Support")</f>
        <v>Core Product Support</v>
      </c>
      <c r="Q2676" s="1" t="str">
        <f>IFERROR(__xludf.DUMMYFUNCTION("""COMPUTED_VALUE"""),"nicholeb@canva.com")</f>
        <v>nicholeb@canva.com</v>
      </c>
      <c r="R2676" s="1" t="str">
        <f>IFERROR(__xludf.DUMMYFUNCTION("""COMPUTED_VALUE"""),"Nichole Braceliño")</f>
        <v>Nichole Braceliño</v>
      </c>
      <c r="S2676" s="1">
        <f>IFERROR(__xludf.DUMMYFUNCTION("""COMPUTED_VALUE"""),0.5)</f>
        <v>0.5</v>
      </c>
      <c r="T2676" s="1">
        <f>IFERROR(__xludf.DUMMYFUNCTION("""COMPUTED_VALUE"""),7.0)</f>
        <v>7</v>
      </c>
      <c r="U2676" s="2">
        <f>IFERROR(__xludf.DUMMYFUNCTION("""COMPUTED_VALUE"""),7.5)</f>
        <v>7.5</v>
      </c>
      <c r="V2676" s="1" t="str">
        <f>IFERROR(__xludf.DUMMYFUNCTION("""COMPUTED_VALUE"""),"Renette Bok")</f>
        <v>Renette Bok</v>
      </c>
      <c r="W2676" s="1" t="str">
        <f>IFERROR(__xludf.DUMMYFUNCTION("""COMPUTED_VALUE"""),"Advanced Billing &amp; Subscriptions")</f>
        <v>Advanced Billing &amp; Subscriptions</v>
      </c>
    </row>
    <row r="2677">
      <c r="O2677" s="1" t="str">
        <f>IFERROR(__xludf.DUMMYFUNCTION("""COMPUTED_VALUE"""),"2026 Mar")</f>
        <v>2026 Mar</v>
      </c>
      <c r="P2677" s="1" t="str">
        <f>IFERROR(__xludf.DUMMYFUNCTION("""COMPUTED_VALUE"""),"High Sensitivity Support")</f>
        <v>High Sensitivity Support</v>
      </c>
      <c r="Q2677" s="1" t="str">
        <f>IFERROR(__xludf.DUMMYFUNCTION("""COMPUTED_VALUE"""),"ncruz@canva.com")</f>
        <v>ncruz@canva.com</v>
      </c>
      <c r="R2677" s="1" t="str">
        <f>IFERROR(__xludf.DUMMYFUNCTION("""COMPUTED_VALUE"""),"Nikki Cruz")</f>
        <v>Nikki Cruz</v>
      </c>
      <c r="S2677" s="1"/>
      <c r="T2677" s="1">
        <f>IFERROR(__xludf.DUMMYFUNCTION("""COMPUTED_VALUE"""),8.0)</f>
        <v>8</v>
      </c>
      <c r="U2677" s="2">
        <f>IFERROR(__xludf.DUMMYFUNCTION("""COMPUTED_VALUE"""),8.0)</f>
        <v>8</v>
      </c>
      <c r="V2677" s="1" t="str">
        <f>IFERROR(__xludf.DUMMYFUNCTION("""COMPUTED_VALUE"""),"Issi Afable")</f>
        <v>Issi Afable</v>
      </c>
      <c r="W2677" s="1" t="str">
        <f>IFERROR(__xludf.DUMMYFUNCTION("""COMPUTED_VALUE"""),"High Sensitivity Support PH")</f>
        <v>High Sensitivity Support PH</v>
      </c>
    </row>
    <row r="2678">
      <c r="O2678" s="1" t="str">
        <f>IFERROR(__xludf.DUMMYFUNCTION("""COMPUTED_VALUE"""),"2026 Mar")</f>
        <v>2026 Mar</v>
      </c>
      <c r="P2678" s="1" t="str">
        <f>IFERROR(__xludf.DUMMYFUNCTION("""COMPUTED_VALUE"""),"Print Support")</f>
        <v>Print Support</v>
      </c>
      <c r="Q2678" s="1" t="str">
        <f>IFERROR(__xludf.DUMMYFUNCTION("""COMPUTED_VALUE"""),"nonoimboy@canva.com")</f>
        <v>nonoimboy@canva.com</v>
      </c>
      <c r="R2678" s="1" t="str">
        <f>IFERROR(__xludf.DUMMYFUNCTION("""COMPUTED_VALUE"""),"Noel Imboy")</f>
        <v>Noel Imboy</v>
      </c>
      <c r="S2678" s="1"/>
      <c r="T2678" s="1"/>
      <c r="U2678" s="2">
        <f>IFERROR(__xludf.DUMMYFUNCTION("""COMPUTED_VALUE"""),0.0)</f>
        <v>0</v>
      </c>
      <c r="V2678" s="1" t="str">
        <f>IFERROR(__xludf.DUMMYFUNCTION("""COMPUTED_VALUE"""),"Gem Agoncillo")</f>
        <v>Gem Agoncillo</v>
      </c>
      <c r="W2678" s="1" t="str">
        <f>IFERROR(__xludf.DUMMYFUNCTION("""COMPUTED_VALUE"""),"Print Design Support")</f>
        <v>Print Design Support</v>
      </c>
    </row>
    <row r="2679">
      <c r="O2679" s="1" t="str">
        <f>IFERROR(__xludf.DUMMYFUNCTION("""COMPUTED_VALUE"""),"2026 Mar")</f>
        <v>2026 Mar</v>
      </c>
      <c r="P2679" s="1" t="str">
        <f>IFERROR(__xludf.DUMMYFUNCTION("""COMPUTED_VALUE"""),"Segment-specific Support")</f>
        <v>Segment-specific Support</v>
      </c>
      <c r="Q2679" s="1" t="str">
        <f>IFERROR(__xludf.DUMMYFUNCTION("""COMPUTED_VALUE"""),"pao@canva.com")</f>
        <v>pao@canva.com</v>
      </c>
      <c r="R2679" s="1" t="str">
        <f>IFERROR(__xludf.DUMMYFUNCTION("""COMPUTED_VALUE"""),"Pao Domanais")</f>
        <v>Pao Domanais</v>
      </c>
      <c r="S2679" s="1"/>
      <c r="T2679" s="1">
        <f>IFERROR(__xludf.DUMMYFUNCTION("""COMPUTED_VALUE"""),1.92)</f>
        <v>1.92</v>
      </c>
      <c r="U2679" s="2">
        <f>IFERROR(__xludf.DUMMYFUNCTION("""COMPUTED_VALUE"""),1.92)</f>
        <v>1.92</v>
      </c>
      <c r="V2679" s="1" t="str">
        <f>IFERROR(__xludf.DUMMYFUNCTION("""COMPUTED_VALUE"""),"Rose Gabilan")</f>
        <v>Rose Gabilan</v>
      </c>
      <c r="W2679" s="1" t="str">
        <f>IFERROR(__xludf.DUMMYFUNCTION("""COMPUTED_VALUE"""),"Print Support PH")</f>
        <v>Print Support PH</v>
      </c>
    </row>
    <row r="2680">
      <c r="O2680" s="1" t="str">
        <f>IFERROR(__xludf.DUMMYFUNCTION("""COMPUTED_VALUE"""),"2026 Mar")</f>
        <v>2026 Mar</v>
      </c>
      <c r="P2680" s="1" t="str">
        <f>IFERROR(__xludf.DUMMYFUNCTION("""COMPUTED_VALUE"""),"Print Support")</f>
        <v>Print Support</v>
      </c>
      <c r="Q2680" s="1" t="str">
        <f>IFERROR(__xludf.DUMMYFUNCTION("""COMPUTED_VALUE"""),"paolonati@canva.com")</f>
        <v>paolonati@canva.com</v>
      </c>
      <c r="R2680" s="1" t="str">
        <f>IFERROR(__xludf.DUMMYFUNCTION("""COMPUTED_VALUE"""),"Paolo Natividad")</f>
        <v>Paolo Natividad</v>
      </c>
      <c r="S2680" s="1"/>
      <c r="T2680" s="1">
        <f>IFERROR(__xludf.DUMMYFUNCTION("""COMPUTED_VALUE"""),38.15)</f>
        <v>38.15</v>
      </c>
      <c r="U2680" s="2">
        <f>IFERROR(__xludf.DUMMYFUNCTION("""COMPUTED_VALUE"""),38.15)</f>
        <v>38.15</v>
      </c>
      <c r="V2680" s="1" t="str">
        <f>IFERROR(__xludf.DUMMYFUNCTION("""COMPUTED_VALUE"""),"Rei De Jesus")</f>
        <v>Rei De Jesus</v>
      </c>
      <c r="W2680" s="1" t="str">
        <f>IFERROR(__xludf.DUMMYFUNCTION("""COMPUTED_VALUE"""),"Print Design Support")</f>
        <v>Print Design Support</v>
      </c>
    </row>
    <row r="2681">
      <c r="O2681" s="1" t="str">
        <f>IFERROR(__xludf.DUMMYFUNCTION("""COMPUTED_VALUE"""),"2026 Mar")</f>
        <v>2026 Mar</v>
      </c>
      <c r="P2681" s="1" t="str">
        <f>IFERROR(__xludf.DUMMYFUNCTION("""COMPUTED_VALUE"""),"Core Product Support")</f>
        <v>Core Product Support</v>
      </c>
      <c r="Q2681" s="1" t="str">
        <f>IFERROR(__xludf.DUMMYFUNCTION("""COMPUTED_VALUE"""),"padelacruz@canva.com")</f>
        <v>padelacruz@canva.com</v>
      </c>
      <c r="R2681" s="1" t="str">
        <f>IFERROR(__xludf.DUMMYFUNCTION("""COMPUTED_VALUE"""),"Patrick Dela Cruz")</f>
        <v>Patrick Dela Cruz</v>
      </c>
      <c r="S2681" s="1"/>
      <c r="T2681" s="1">
        <f>IFERROR(__xludf.DUMMYFUNCTION("""COMPUTED_VALUE"""),9.83)</f>
        <v>9.83</v>
      </c>
      <c r="U2681" s="2">
        <f>IFERROR(__xludf.DUMMYFUNCTION("""COMPUTED_VALUE"""),9.83)</f>
        <v>9.83</v>
      </c>
      <c r="V2681" s="1" t="str">
        <f>IFERROR(__xludf.DUMMYFUNCTION("""COMPUTED_VALUE"""),"Cate Velasco")</f>
        <v>Cate Velasco</v>
      </c>
      <c r="W2681" s="1" t="str">
        <f>IFERROR(__xludf.DUMMYFUNCTION("""COMPUTED_VALUE"""),"Advanced Product Support")</f>
        <v>Advanced Product Support</v>
      </c>
    </row>
    <row r="2682">
      <c r="O2682" s="1" t="str">
        <f>IFERROR(__xludf.DUMMYFUNCTION("""COMPUTED_VALUE"""),"2026 Mar")</f>
        <v>2026 Mar</v>
      </c>
      <c r="P2682" s="1" t="str">
        <f>IFERROR(__xludf.DUMMYFUNCTION("""COMPUTED_VALUE"""),"Core Product Support")</f>
        <v>Core Product Support</v>
      </c>
      <c r="Q2682" s="1" t="str">
        <f>IFERROR(__xludf.DUMMYFUNCTION("""COMPUTED_VALUE"""),"pathugo@canva.com")</f>
        <v>pathugo@canva.com</v>
      </c>
      <c r="R2682" s="1" t="str">
        <f>IFERROR(__xludf.DUMMYFUNCTION("""COMPUTED_VALUE"""),"Patriz Hugo")</f>
        <v>Patriz Hugo</v>
      </c>
      <c r="S2682" s="1">
        <f>IFERROR(__xludf.DUMMYFUNCTION("""COMPUTED_VALUE"""),0.5)</f>
        <v>0.5</v>
      </c>
      <c r="T2682" s="1">
        <f>IFERROR(__xludf.DUMMYFUNCTION("""COMPUTED_VALUE"""),9.5)</f>
        <v>9.5</v>
      </c>
      <c r="U2682" s="2">
        <f>IFERROR(__xludf.DUMMYFUNCTION("""COMPUTED_VALUE"""),10.0)</f>
        <v>10</v>
      </c>
      <c r="V2682" s="1" t="str">
        <f>IFERROR(__xludf.DUMMYFUNCTION("""COMPUTED_VALUE"""),"Sieg Ballelos")</f>
        <v>Sieg Ballelos</v>
      </c>
      <c r="W2682" s="1" t="str">
        <f>IFERROR(__xludf.DUMMYFUNCTION("""COMPUTED_VALUE"""),"Core Product Support Escalation Team")</f>
        <v>Core Product Support Escalation Team</v>
      </c>
    </row>
    <row r="2683">
      <c r="O2683" s="1" t="str">
        <f>IFERROR(__xludf.DUMMYFUNCTION("""COMPUTED_VALUE"""),"2026 Mar")</f>
        <v>2026 Mar</v>
      </c>
      <c r="P2683" s="1" t="str">
        <f>IFERROR(__xludf.DUMMYFUNCTION("""COMPUTED_VALUE"""),"High Sensitivity Support")</f>
        <v>High Sensitivity Support</v>
      </c>
      <c r="Q2683" s="1" t="str">
        <f>IFERROR(__xludf.DUMMYFUNCTION("""COMPUTED_VALUE"""),"paulwilbert@canva.com")</f>
        <v>paulwilbert@canva.com</v>
      </c>
      <c r="R2683" s="1" t="str">
        <f>IFERROR(__xludf.DUMMYFUNCTION("""COMPUTED_VALUE"""),"Paul Domingo")</f>
        <v>Paul Domingo</v>
      </c>
      <c r="S2683" s="1"/>
      <c r="T2683" s="1">
        <f>IFERROR(__xludf.DUMMYFUNCTION("""COMPUTED_VALUE"""),3.75)</f>
        <v>3.75</v>
      </c>
      <c r="U2683" s="2">
        <f>IFERROR(__xludf.DUMMYFUNCTION("""COMPUTED_VALUE"""),3.75)</f>
        <v>3.75</v>
      </c>
      <c r="V2683" s="1" t="str">
        <f>IFERROR(__xludf.DUMMYFUNCTION("""COMPUTED_VALUE"""),"Xandy Azarcon")</f>
        <v>Xandy Azarcon</v>
      </c>
      <c r="W2683" s="1" t="str">
        <f>IFERROR(__xludf.DUMMYFUNCTION("""COMPUTED_VALUE"""),"High Sensitivity Support PH")</f>
        <v>High Sensitivity Support PH</v>
      </c>
    </row>
    <row r="2684">
      <c r="O2684" s="1" t="str">
        <f>IFERROR(__xludf.DUMMYFUNCTION("""COMPUTED_VALUE"""),"2026 Mar")</f>
        <v>2026 Mar</v>
      </c>
      <c r="P2684" s="1" t="str">
        <f>IFERROR(__xludf.DUMMYFUNCTION("""COMPUTED_VALUE"""),"Core Product Support")</f>
        <v>Core Product Support</v>
      </c>
      <c r="Q2684" s="1" t="str">
        <f>IFERROR(__xludf.DUMMYFUNCTION("""COMPUTED_VALUE"""),"paulv@canva.com")</f>
        <v>paulv@canva.com</v>
      </c>
      <c r="R2684" s="1" t="str">
        <f>IFERROR(__xludf.DUMMYFUNCTION("""COMPUTED_VALUE"""),"Paul Verdad")</f>
        <v>Paul Verdad</v>
      </c>
      <c r="S2684" s="1">
        <f>IFERROR(__xludf.DUMMYFUNCTION("""COMPUTED_VALUE"""),0.5)</f>
        <v>0.5</v>
      </c>
      <c r="T2684" s="1">
        <f>IFERROR(__xludf.DUMMYFUNCTION("""COMPUTED_VALUE"""),4.5)</f>
        <v>4.5</v>
      </c>
      <c r="U2684" s="2">
        <f>IFERROR(__xludf.DUMMYFUNCTION("""COMPUTED_VALUE"""),5.0)</f>
        <v>5</v>
      </c>
      <c r="V2684" s="1" t="str">
        <f>IFERROR(__xludf.DUMMYFUNCTION("""COMPUTED_VALUE"""),"Vinz Lazaro")</f>
        <v>Vinz Lazaro</v>
      </c>
      <c r="W2684" s="1" t="str">
        <f>IFERROR(__xludf.DUMMYFUNCTION("""COMPUTED_VALUE"""),"Advanced Product Support")</f>
        <v>Advanced Product Support</v>
      </c>
    </row>
    <row r="2685">
      <c r="O2685" s="1" t="str">
        <f>IFERROR(__xludf.DUMMYFUNCTION("""COMPUTED_VALUE"""),"2026 Mar")</f>
        <v>2026 Mar</v>
      </c>
      <c r="P2685" s="1" t="str">
        <f>IFERROR(__xludf.DUMMYFUNCTION("""COMPUTED_VALUE"""),"High Sensitivity Support")</f>
        <v>High Sensitivity Support</v>
      </c>
      <c r="Q2685" s="1" t="str">
        <f>IFERROR(__xludf.DUMMYFUNCTION("""COMPUTED_VALUE"""),"phillipronquillo@canva.com")</f>
        <v>phillipronquillo@canva.com</v>
      </c>
      <c r="R2685" s="1" t="str">
        <f>IFERROR(__xludf.DUMMYFUNCTION("""COMPUTED_VALUE"""),"Phil Ronquillo")</f>
        <v>Phil Ronquillo</v>
      </c>
      <c r="S2685" s="1"/>
      <c r="T2685" s="1">
        <f>IFERROR(__xludf.DUMMYFUNCTION("""COMPUTED_VALUE"""),7.75)</f>
        <v>7.75</v>
      </c>
      <c r="U2685" s="2">
        <f>IFERROR(__xludf.DUMMYFUNCTION("""COMPUTED_VALUE"""),7.75)</f>
        <v>7.75</v>
      </c>
      <c r="V2685" s="1" t="str">
        <f>IFERROR(__xludf.DUMMYFUNCTION("""COMPUTED_VALUE"""),"Rossheen Pura")</f>
        <v>Rossheen Pura</v>
      </c>
      <c r="W2685" s="1" t="str">
        <f>IFERROR(__xludf.DUMMYFUNCTION("""COMPUTED_VALUE"""),"High Sensitivity Support PH")</f>
        <v>High Sensitivity Support PH</v>
      </c>
    </row>
    <row r="2686">
      <c r="O2686" s="1" t="str">
        <f>IFERROR(__xludf.DUMMYFUNCTION("""COMPUTED_VALUE"""),"2026 Mar")</f>
        <v>2026 Mar</v>
      </c>
      <c r="P2686" s="1" t="str">
        <f>IFERROR(__xludf.DUMMYFUNCTION("""COMPUTED_VALUE"""),"Core Product Support")</f>
        <v>Core Product Support</v>
      </c>
      <c r="Q2686" s="1" t="str">
        <f>IFERROR(__xludf.DUMMYFUNCTION("""COMPUTED_VALUE"""),"pnicolepescador@canva.com")</f>
        <v>pnicolepescador@canva.com</v>
      </c>
      <c r="R2686" s="1" t="str">
        <f>IFERROR(__xludf.DUMMYFUNCTION("""COMPUTED_VALUE"""),"Precious Pescador")</f>
        <v>Precious Pescador</v>
      </c>
      <c r="S2686" s="1">
        <f>IFERROR(__xludf.DUMMYFUNCTION("""COMPUTED_VALUE"""),0.5)</f>
        <v>0.5</v>
      </c>
      <c r="T2686" s="1">
        <f>IFERROR(__xludf.DUMMYFUNCTION("""COMPUTED_VALUE"""),6.25)</f>
        <v>6.25</v>
      </c>
      <c r="U2686" s="2">
        <f>IFERROR(__xludf.DUMMYFUNCTION("""COMPUTED_VALUE"""),6.75)</f>
        <v>6.75</v>
      </c>
      <c r="V2686" s="1" t="str">
        <f>IFERROR(__xludf.DUMMYFUNCTION("""COMPUTED_VALUE"""),"Ayza Marie Pascual")</f>
        <v>Ayza Marie Pascual</v>
      </c>
      <c r="W2686" s="1" t="str">
        <f>IFERROR(__xludf.DUMMYFUNCTION("""COMPUTED_VALUE"""),"Advanced Billing &amp; Subscriptions")</f>
        <v>Advanced Billing &amp; Subscriptions</v>
      </c>
    </row>
    <row r="2687">
      <c r="O2687" s="1" t="str">
        <f>IFERROR(__xludf.DUMMYFUNCTION("""COMPUTED_VALUE"""),"2026 Mar")</f>
        <v>2026 Mar</v>
      </c>
      <c r="P2687" s="1" t="str">
        <f>IFERROR(__xludf.DUMMYFUNCTION("""COMPUTED_VALUE"""),"Core Product Support")</f>
        <v>Core Product Support</v>
      </c>
      <c r="Q2687" s="1" t="str">
        <f>IFERROR(__xludf.DUMMYFUNCTION("""COMPUTED_VALUE"""),"rachellynanne@canva.com")</f>
        <v>rachellynanne@canva.com</v>
      </c>
      <c r="R2687" s="1" t="str">
        <f>IFERROR(__xludf.DUMMYFUNCTION("""COMPUTED_VALUE"""),"Rachellyn Medina")</f>
        <v>Rachellyn Medina</v>
      </c>
      <c r="S2687" s="1">
        <f>IFERROR(__xludf.DUMMYFUNCTION("""COMPUTED_VALUE"""),0.5)</f>
        <v>0.5</v>
      </c>
      <c r="T2687" s="1">
        <f>IFERROR(__xludf.DUMMYFUNCTION("""COMPUTED_VALUE"""),6.75)</f>
        <v>6.75</v>
      </c>
      <c r="U2687" s="2">
        <f>IFERROR(__xludf.DUMMYFUNCTION("""COMPUTED_VALUE"""),7.25)</f>
        <v>7.25</v>
      </c>
      <c r="V2687" s="1" t="str">
        <f>IFERROR(__xludf.DUMMYFUNCTION("""COMPUTED_VALUE"""),"Jem Mondoñedo")</f>
        <v>Jem Mondoñedo</v>
      </c>
      <c r="W2687" s="1" t="str">
        <f>IFERROR(__xludf.DUMMYFUNCTION("""COMPUTED_VALUE"""),"Advanced Billing &amp; Subscriptions")</f>
        <v>Advanced Billing &amp; Subscriptions</v>
      </c>
    </row>
    <row r="2688">
      <c r="O2688" s="1" t="str">
        <f>IFERROR(__xludf.DUMMYFUNCTION("""COMPUTED_VALUE"""),"2026 Mar")</f>
        <v>2026 Mar</v>
      </c>
      <c r="P2688" s="1" t="str">
        <f>IFERROR(__xludf.DUMMYFUNCTION("""COMPUTED_VALUE"""),"Core Product Support")</f>
        <v>Core Product Support</v>
      </c>
      <c r="Q2688" s="1" t="str">
        <f>IFERROR(__xludf.DUMMYFUNCTION("""COMPUTED_VALUE"""),"alfredomillares@canva.com")</f>
        <v>alfredomillares@canva.com</v>
      </c>
      <c r="R2688" s="1" t="str">
        <f>IFERROR(__xludf.DUMMYFUNCTION("""COMPUTED_VALUE"""),"Rael Millares")</f>
        <v>Rael Millares</v>
      </c>
      <c r="S2688" s="1">
        <f>IFERROR(__xludf.DUMMYFUNCTION("""COMPUTED_VALUE"""),0.5)</f>
        <v>0.5</v>
      </c>
      <c r="T2688" s="1">
        <f>IFERROR(__xludf.DUMMYFUNCTION("""COMPUTED_VALUE"""),6.0)</f>
        <v>6</v>
      </c>
      <c r="U2688" s="2">
        <f>IFERROR(__xludf.DUMMYFUNCTION("""COMPUTED_VALUE"""),6.5)</f>
        <v>6.5</v>
      </c>
      <c r="V2688" s="1" t="str">
        <f>IFERROR(__xludf.DUMMYFUNCTION("""COMPUTED_VALUE"""),"Jahmie Mae Barrameda")</f>
        <v>Jahmie Mae Barrameda</v>
      </c>
      <c r="W2688" s="1" t="str">
        <f>IFERROR(__xludf.DUMMYFUNCTION("""COMPUTED_VALUE"""),"Advanced Billing &amp; Subscriptions")</f>
        <v>Advanced Billing &amp; Subscriptions</v>
      </c>
    </row>
    <row r="2689">
      <c r="O2689" s="1" t="str">
        <f>IFERROR(__xludf.DUMMYFUNCTION("""COMPUTED_VALUE"""),"2026 Mar")</f>
        <v>2026 Mar</v>
      </c>
      <c r="P2689" s="1" t="str">
        <f>IFERROR(__xludf.DUMMYFUNCTION("""COMPUTED_VALUE"""),"Multilingual Support")</f>
        <v>Multilingual Support</v>
      </c>
      <c r="Q2689" s="1" t="str">
        <f>IFERROR(__xludf.DUMMYFUNCTION("""COMPUTED_VALUE"""),"ranufre@canva.com")</f>
        <v>ranufre@canva.com</v>
      </c>
      <c r="R2689" s="1" t="str">
        <f>IFERROR(__xludf.DUMMYFUNCTION("""COMPUTED_VALUE"""),"Rafa Freitas")</f>
        <v>Rafa Freitas</v>
      </c>
      <c r="S2689" s="1"/>
      <c r="T2689" s="1">
        <f>IFERROR(__xludf.DUMMYFUNCTION("""COMPUTED_VALUE"""),10.5)</f>
        <v>10.5</v>
      </c>
      <c r="U2689" s="2">
        <f>IFERROR(__xludf.DUMMYFUNCTION("""COMPUTED_VALUE"""),10.5)</f>
        <v>10.5</v>
      </c>
      <c r="V2689" s="1" t="str">
        <f>IFERROR(__xludf.DUMMYFUNCTION("""COMPUTED_VALUE"""),"Arlene Maurillo")</f>
        <v>Arlene Maurillo</v>
      </c>
      <c r="W2689" s="1" t="str">
        <f>IFERROR(__xludf.DUMMYFUNCTION("""COMPUTED_VALUE"""),"PHL, Multilingual Support")</f>
        <v>PHL, Multilingual Support</v>
      </c>
    </row>
    <row r="2690">
      <c r="O2690" s="1" t="str">
        <f>IFERROR(__xludf.DUMMYFUNCTION("""COMPUTED_VALUE"""),"2026 Mar")</f>
        <v>2026 Mar</v>
      </c>
      <c r="P2690" s="1" t="str">
        <f>IFERROR(__xludf.DUMMYFUNCTION("""COMPUTED_VALUE"""),"Core Product Support")</f>
        <v>Core Product Support</v>
      </c>
      <c r="Q2690" s="1" t="str">
        <f>IFERROR(__xludf.DUMMYFUNCTION("""COMPUTED_VALUE"""),"rafaticzon@canva.com")</f>
        <v>rafaticzon@canva.com</v>
      </c>
      <c r="R2690" s="1" t="str">
        <f>IFERROR(__xludf.DUMMYFUNCTION("""COMPUTED_VALUE"""),"Rafa Ticzon")</f>
        <v>Rafa Ticzon</v>
      </c>
      <c r="S2690" s="1">
        <f>IFERROR(__xludf.DUMMYFUNCTION("""COMPUTED_VALUE"""),1.0)</f>
        <v>1</v>
      </c>
      <c r="T2690" s="1">
        <f>IFERROR(__xludf.DUMMYFUNCTION("""COMPUTED_VALUE"""),9.5)</f>
        <v>9.5</v>
      </c>
      <c r="U2690" s="2">
        <f>IFERROR(__xludf.DUMMYFUNCTION("""COMPUTED_VALUE"""),10.5)</f>
        <v>10.5</v>
      </c>
      <c r="V2690" s="1" t="str">
        <f>IFERROR(__xludf.DUMMYFUNCTION("""COMPUTED_VALUE"""),"Mikhaela Decangchon")</f>
        <v>Mikhaela Decangchon</v>
      </c>
      <c r="W2690" s="1" t="str">
        <f>IFERROR(__xludf.DUMMYFUNCTION("""COMPUTED_VALUE"""),"Advanced Product Support")</f>
        <v>Advanced Product Support</v>
      </c>
    </row>
    <row r="2691">
      <c r="O2691" s="1" t="str">
        <f>IFERROR(__xludf.DUMMYFUNCTION("""COMPUTED_VALUE"""),"2026 Mar")</f>
        <v>2026 Mar</v>
      </c>
      <c r="P2691" s="1" t="str">
        <f>IFERROR(__xludf.DUMMYFUNCTION("""COMPUTED_VALUE"""),"Core Product Support")</f>
        <v>Core Product Support</v>
      </c>
      <c r="Q2691" s="1" t="str">
        <f>IFERROR(__xludf.DUMMYFUNCTION("""COMPUTED_VALUE"""),"candace@canva.com")</f>
        <v>candace@canva.com</v>
      </c>
      <c r="R2691" s="1" t="str">
        <f>IFERROR(__xludf.DUMMYFUNCTION("""COMPUTED_VALUE"""),"Rainne Candace Llagas")</f>
        <v>Rainne Candace Llagas</v>
      </c>
      <c r="S2691" s="1">
        <f>IFERROR(__xludf.DUMMYFUNCTION("""COMPUTED_VALUE"""),0.5)</f>
        <v>0.5</v>
      </c>
      <c r="T2691" s="1">
        <f>IFERROR(__xludf.DUMMYFUNCTION("""COMPUTED_VALUE"""),6.25)</f>
        <v>6.25</v>
      </c>
      <c r="U2691" s="2">
        <f>IFERROR(__xludf.DUMMYFUNCTION("""COMPUTED_VALUE"""),6.75)</f>
        <v>6.75</v>
      </c>
      <c r="V2691" s="1" t="str">
        <f>IFERROR(__xludf.DUMMYFUNCTION("""COMPUTED_VALUE"""),"Belle Bentazal")</f>
        <v>Belle Bentazal</v>
      </c>
      <c r="W2691" s="1" t="str">
        <f>IFERROR(__xludf.DUMMYFUNCTION("""COMPUTED_VALUE"""),"Advanced Product Support")</f>
        <v>Advanced Product Support</v>
      </c>
    </row>
    <row r="2692">
      <c r="O2692" s="1" t="str">
        <f>IFERROR(__xludf.DUMMYFUNCTION("""COMPUTED_VALUE"""),"2026 Mar")</f>
        <v>2026 Mar</v>
      </c>
      <c r="P2692" s="1" t="str">
        <f>IFERROR(__xludf.DUMMYFUNCTION("""COMPUTED_VALUE"""),"Core Product Support")</f>
        <v>Core Product Support</v>
      </c>
      <c r="Q2692" s="1" t="str">
        <f>IFERROR(__xludf.DUMMYFUNCTION("""COMPUTED_VALUE"""),"rmercado@canva.com")</f>
        <v>rmercado@canva.com</v>
      </c>
      <c r="R2692" s="1" t="str">
        <f>IFERROR(__xludf.DUMMYFUNCTION("""COMPUTED_VALUE"""),"Ram Mercado")</f>
        <v>Ram Mercado</v>
      </c>
      <c r="S2692" s="1"/>
      <c r="T2692" s="1">
        <f>IFERROR(__xludf.DUMMYFUNCTION("""COMPUTED_VALUE"""),12.0)</f>
        <v>12</v>
      </c>
      <c r="U2692" s="2">
        <f>IFERROR(__xludf.DUMMYFUNCTION("""COMPUTED_VALUE"""),12.0)</f>
        <v>12</v>
      </c>
      <c r="V2692" s="1" t="str">
        <f>IFERROR(__xludf.DUMMYFUNCTION("""COMPUTED_VALUE"""),"Jelyn Elmido")</f>
        <v>Jelyn Elmido</v>
      </c>
      <c r="W2692" s="1" t="str">
        <f>IFERROR(__xludf.DUMMYFUNCTION("""COMPUTED_VALUE"""),"Core Product Support Escalation Team")</f>
        <v>Core Product Support Escalation Team</v>
      </c>
    </row>
    <row r="2693">
      <c r="O2693" s="1" t="str">
        <f>IFERROR(__xludf.DUMMYFUNCTION("""COMPUTED_VALUE"""),"2026 Mar")</f>
        <v>2026 Mar</v>
      </c>
      <c r="P2693" s="1" t="str">
        <f>IFERROR(__xludf.DUMMYFUNCTION("""COMPUTED_VALUE"""),"Core Product Support")</f>
        <v>Core Product Support</v>
      </c>
      <c r="Q2693" s="1" t="str">
        <f>IFERROR(__xludf.DUMMYFUNCTION("""COMPUTED_VALUE"""),"razelleroe@canva.com")</f>
        <v>razelleroe@canva.com</v>
      </c>
      <c r="R2693" s="1" t="str">
        <f>IFERROR(__xludf.DUMMYFUNCTION("""COMPUTED_VALUE"""),"Razelle Roe Garaza")</f>
        <v>Razelle Roe Garaza</v>
      </c>
      <c r="S2693" s="1">
        <f>IFERROR(__xludf.DUMMYFUNCTION("""COMPUTED_VALUE"""),1.0)</f>
        <v>1</v>
      </c>
      <c r="T2693" s="1">
        <f>IFERROR(__xludf.DUMMYFUNCTION("""COMPUTED_VALUE"""),10.25)</f>
        <v>10.25</v>
      </c>
      <c r="U2693" s="2">
        <f>IFERROR(__xludf.DUMMYFUNCTION("""COMPUTED_VALUE"""),11.25)</f>
        <v>11.25</v>
      </c>
      <c r="V2693" s="1" t="str">
        <f>IFERROR(__xludf.DUMMYFUNCTION("""COMPUTED_VALUE"""),"Ana Lazaro")</f>
        <v>Ana Lazaro</v>
      </c>
      <c r="W2693" s="1" t="str">
        <f>IFERROR(__xludf.DUMMYFUNCTION("""COMPUTED_VALUE"""),"Advanced Billing &amp; Subscriptions")</f>
        <v>Advanced Billing &amp; Subscriptions</v>
      </c>
    </row>
    <row r="2694">
      <c r="O2694" s="1" t="str">
        <f>IFERROR(__xludf.DUMMYFUNCTION("""COMPUTED_VALUE"""),"2026 Mar")</f>
        <v>2026 Mar</v>
      </c>
      <c r="P2694" s="1" t="str">
        <f>IFERROR(__xludf.DUMMYFUNCTION("""COMPUTED_VALUE"""),"Admin Support")</f>
        <v>Admin Support</v>
      </c>
      <c r="Q2694" s="1" t="str">
        <f>IFERROR(__xludf.DUMMYFUNCTION("""COMPUTED_VALUE"""),"rdolores@canva.com")</f>
        <v>rdolores@canva.com</v>
      </c>
      <c r="R2694" s="1" t="str">
        <f>IFERROR(__xludf.DUMMYFUNCTION("""COMPUTED_VALUE"""),"Rea Alexis Dolores")</f>
        <v>Rea Alexis Dolores</v>
      </c>
      <c r="S2694" s="1"/>
      <c r="T2694" s="1">
        <f>IFERROR(__xludf.DUMMYFUNCTION("""COMPUTED_VALUE"""),2.0)</f>
        <v>2</v>
      </c>
      <c r="U2694" s="2">
        <f>IFERROR(__xludf.DUMMYFUNCTION("""COMPUTED_VALUE"""),2.0)</f>
        <v>2</v>
      </c>
      <c r="V2694" s="1" t="str">
        <f>IFERROR(__xludf.DUMMYFUNCTION("""COMPUTED_VALUE"""),"Karla Mananghaya")</f>
        <v>Karla Mananghaya</v>
      </c>
      <c r="W2694" s="1" t="str">
        <f>IFERROR(__xludf.DUMMYFUNCTION("""COMPUTED_VALUE"""),"Admin Support Service Escalation Team")</f>
        <v>Admin Support Service Escalation Team</v>
      </c>
    </row>
    <row r="2695">
      <c r="O2695" s="1" t="str">
        <f>IFERROR(__xludf.DUMMYFUNCTION("""COMPUTED_VALUE"""),"2026 Mar")</f>
        <v>2026 Mar</v>
      </c>
      <c r="P2695" s="1" t="str">
        <f>IFERROR(__xludf.DUMMYFUNCTION("""COMPUTED_VALUE"""),"Admin Support")</f>
        <v>Admin Support</v>
      </c>
      <c r="Q2695" s="1" t="str">
        <f>IFERROR(__xludf.DUMMYFUNCTION("""COMPUTED_VALUE"""),"red@canva.com")</f>
        <v>red@canva.com</v>
      </c>
      <c r="R2695" s="1" t="str">
        <f>IFERROR(__xludf.DUMMYFUNCTION("""COMPUTED_VALUE"""),"Red Dela Rosa")</f>
        <v>Red Dela Rosa</v>
      </c>
      <c r="S2695" s="1"/>
      <c r="T2695" s="1">
        <f>IFERROR(__xludf.DUMMYFUNCTION("""COMPUTED_VALUE"""),3.42)</f>
        <v>3.42</v>
      </c>
      <c r="U2695" s="2">
        <f>IFERROR(__xludf.DUMMYFUNCTION("""COMPUTED_VALUE"""),3.42)</f>
        <v>3.42</v>
      </c>
      <c r="V2695" s="1" t="str">
        <f>IFERROR(__xludf.DUMMYFUNCTION("""COMPUTED_VALUE"""),"Pau Palmero")</f>
        <v>Pau Palmero</v>
      </c>
      <c r="W2695" s="1" t="str">
        <f>IFERROR(__xludf.DUMMYFUNCTION("""COMPUTED_VALUE"""),"Admin Omni Support")</f>
        <v>Admin Omni Support</v>
      </c>
    </row>
    <row r="2696">
      <c r="O2696" s="1" t="str">
        <f>IFERROR(__xludf.DUMMYFUNCTION("""COMPUTED_VALUE"""),"2026 Mar")</f>
        <v>2026 Mar</v>
      </c>
      <c r="P2696" s="1" t="str">
        <f>IFERROR(__xludf.DUMMYFUNCTION("""COMPUTED_VALUE"""),"Admin Support")</f>
        <v>Admin Support</v>
      </c>
      <c r="Q2696" s="1" t="str">
        <f>IFERROR(__xludf.DUMMYFUNCTION("""COMPUTED_VALUE"""),"regie@canva.com")</f>
        <v>regie@canva.com</v>
      </c>
      <c r="R2696" s="1" t="str">
        <f>IFERROR(__xludf.DUMMYFUNCTION("""COMPUTED_VALUE"""),"Regie Yambot")</f>
        <v>Regie Yambot</v>
      </c>
      <c r="S2696" s="1"/>
      <c r="T2696" s="1">
        <f>IFERROR(__xludf.DUMMYFUNCTION("""COMPUTED_VALUE"""),4.75)</f>
        <v>4.75</v>
      </c>
      <c r="U2696" s="2">
        <f>IFERROR(__xludf.DUMMYFUNCTION("""COMPUTED_VALUE"""),4.75)</f>
        <v>4.75</v>
      </c>
      <c r="V2696" s="1" t="str">
        <f>IFERROR(__xludf.DUMMYFUNCTION("""COMPUTED_VALUE"""),"Pau Palmero")</f>
        <v>Pau Palmero</v>
      </c>
      <c r="W2696" s="1" t="str">
        <f>IFERROR(__xludf.DUMMYFUNCTION("""COMPUTED_VALUE"""),"Admin Omni Support")</f>
        <v>Admin Omni Support</v>
      </c>
    </row>
    <row r="2697">
      <c r="O2697" s="1" t="str">
        <f>IFERROR(__xludf.DUMMYFUNCTION("""COMPUTED_VALUE"""),"2026 Mar")</f>
        <v>2026 Mar</v>
      </c>
      <c r="P2697" s="1" t="str">
        <f>IFERROR(__xludf.DUMMYFUNCTION("""COMPUTED_VALUE"""),"Core Product Support")</f>
        <v>Core Product Support</v>
      </c>
      <c r="Q2697" s="1" t="str">
        <f>IFERROR(__xludf.DUMMYFUNCTION("""COMPUTED_VALUE"""),"rej@canva.com")</f>
        <v>rej@canva.com</v>
      </c>
      <c r="R2697" s="1" t="str">
        <f>IFERROR(__xludf.DUMMYFUNCTION("""COMPUTED_VALUE"""),"Rej Benipayo")</f>
        <v>Rej Benipayo</v>
      </c>
      <c r="S2697" s="1">
        <f>IFERROR(__xludf.DUMMYFUNCTION("""COMPUTED_VALUE"""),0.5)</f>
        <v>0.5</v>
      </c>
      <c r="T2697" s="1">
        <f>IFERROR(__xludf.DUMMYFUNCTION("""COMPUTED_VALUE"""),5.25)</f>
        <v>5.25</v>
      </c>
      <c r="U2697" s="2">
        <f>IFERROR(__xludf.DUMMYFUNCTION("""COMPUTED_VALUE"""),5.75)</f>
        <v>5.75</v>
      </c>
      <c r="V2697" s="1" t="str">
        <f>IFERROR(__xludf.DUMMYFUNCTION("""COMPUTED_VALUE"""),"Renette Bok")</f>
        <v>Renette Bok</v>
      </c>
      <c r="W2697" s="1" t="str">
        <f>IFERROR(__xludf.DUMMYFUNCTION("""COMPUTED_VALUE"""),"Advanced Billing &amp; Subscriptions")</f>
        <v>Advanced Billing &amp; Subscriptions</v>
      </c>
    </row>
    <row r="2698">
      <c r="O2698" s="1" t="str">
        <f>IFERROR(__xludf.DUMMYFUNCTION("""COMPUTED_VALUE"""),"2026 Mar")</f>
        <v>2026 Mar</v>
      </c>
      <c r="P2698" s="1" t="str">
        <f>IFERROR(__xludf.DUMMYFUNCTION("""COMPUTED_VALUE"""),"Core Product Support")</f>
        <v>Core Product Support</v>
      </c>
      <c r="Q2698" s="1" t="str">
        <f>IFERROR(__xludf.DUMMYFUNCTION("""COMPUTED_VALUE"""),"revisuarez@canva.com")</f>
        <v>revisuarez@canva.com</v>
      </c>
      <c r="R2698" s="1" t="str">
        <f>IFERROR(__xludf.DUMMYFUNCTION("""COMPUTED_VALUE"""),"Revi Suarez")</f>
        <v>Revi Suarez</v>
      </c>
      <c r="S2698" s="1"/>
      <c r="T2698" s="1">
        <f>IFERROR(__xludf.DUMMYFUNCTION("""COMPUTED_VALUE"""),13.83)</f>
        <v>13.83</v>
      </c>
      <c r="U2698" s="2">
        <f>IFERROR(__xludf.DUMMYFUNCTION("""COMPUTED_VALUE"""),13.83)</f>
        <v>13.83</v>
      </c>
      <c r="V2698" s="1" t="str">
        <f>IFERROR(__xludf.DUMMYFUNCTION("""COMPUTED_VALUE"""),"Jelyn Elmido")</f>
        <v>Jelyn Elmido</v>
      </c>
      <c r="W2698" s="1" t="str">
        <f>IFERROR(__xludf.DUMMYFUNCTION("""COMPUTED_VALUE"""),"Core Product Support Escalation Team")</f>
        <v>Core Product Support Escalation Team</v>
      </c>
    </row>
    <row r="2699">
      <c r="O2699" s="1" t="str">
        <f>IFERROR(__xludf.DUMMYFUNCTION("""COMPUTED_VALUE"""),"2026 Mar")</f>
        <v>2026 Mar</v>
      </c>
      <c r="P2699" s="1" t="str">
        <f>IFERROR(__xludf.DUMMYFUNCTION("""COMPUTED_VALUE"""),"High Sensitivity Support")</f>
        <v>High Sensitivity Support</v>
      </c>
      <c r="Q2699" s="1" t="str">
        <f>IFERROR(__xludf.DUMMYFUNCTION("""COMPUTED_VALUE"""),"reya@canva.com")</f>
        <v>reya@canva.com</v>
      </c>
      <c r="R2699" s="1" t="str">
        <f>IFERROR(__xludf.DUMMYFUNCTION("""COMPUTED_VALUE"""),"Reya Joson")</f>
        <v>Reya Joson</v>
      </c>
      <c r="S2699" s="1"/>
      <c r="T2699" s="1">
        <f>IFERROR(__xludf.DUMMYFUNCTION("""COMPUTED_VALUE"""),4.92)</f>
        <v>4.92</v>
      </c>
      <c r="U2699" s="2">
        <f>IFERROR(__xludf.DUMMYFUNCTION("""COMPUTED_VALUE"""),4.92)</f>
        <v>4.92</v>
      </c>
      <c r="V2699" s="1" t="str">
        <f>IFERROR(__xludf.DUMMYFUNCTION("""COMPUTED_VALUE"""),"Issi Afable")</f>
        <v>Issi Afable</v>
      </c>
      <c r="W2699" s="1" t="str">
        <f>IFERROR(__xludf.DUMMYFUNCTION("""COMPUTED_VALUE"""),"High Sensitivity Support PH")</f>
        <v>High Sensitivity Support PH</v>
      </c>
    </row>
    <row r="2700">
      <c r="O2700" s="1" t="str">
        <f>IFERROR(__xludf.DUMMYFUNCTION("""COMPUTED_VALUE"""),"2026 Mar")</f>
        <v>2026 Mar</v>
      </c>
      <c r="P2700" s="1" t="str">
        <f>IFERROR(__xludf.DUMMYFUNCTION("""COMPUTED_VALUE"""),"Segment-specific Support")</f>
        <v>Segment-specific Support</v>
      </c>
      <c r="Q2700" s="1" t="str">
        <f>IFERROR(__xludf.DUMMYFUNCTION("""COMPUTED_VALUE"""),"rizzah@canva.com")</f>
        <v>rizzah@canva.com</v>
      </c>
      <c r="R2700" s="1" t="str">
        <f>IFERROR(__xludf.DUMMYFUNCTION("""COMPUTED_VALUE"""),"Rizzah Hope Anjao")</f>
        <v>Rizzah Hope Anjao</v>
      </c>
      <c r="S2700" s="1"/>
      <c r="T2700" s="1">
        <f>IFERROR(__xludf.DUMMYFUNCTION("""COMPUTED_VALUE"""),2.08)</f>
        <v>2.08</v>
      </c>
      <c r="U2700" s="2">
        <f>IFERROR(__xludf.DUMMYFUNCTION("""COMPUTED_VALUE"""),2.08)</f>
        <v>2.08</v>
      </c>
      <c r="V2700" s="1" t="str">
        <f>IFERROR(__xludf.DUMMYFUNCTION("""COMPUTED_VALUE"""),"Gucci Nava")</f>
        <v>Gucci Nava</v>
      </c>
      <c r="W2700" s="1" t="str">
        <f>IFERROR(__xludf.DUMMYFUNCTION("""COMPUTED_VALUE"""),"Affinity Support")</f>
        <v>Affinity Support</v>
      </c>
    </row>
    <row r="2701">
      <c r="O2701" s="1" t="str">
        <f>IFERROR(__xludf.DUMMYFUNCTION("""COMPUTED_VALUE"""),"2026 Mar")</f>
        <v>2026 Mar</v>
      </c>
      <c r="P2701" s="1" t="str">
        <f>IFERROR(__xludf.DUMMYFUNCTION("""COMPUTED_VALUE"""),"Print Support")</f>
        <v>Print Support</v>
      </c>
      <c r="Q2701" s="1" t="str">
        <f>IFERROR(__xludf.DUMMYFUNCTION("""COMPUTED_VALUE"""),"robsuico@canva.com")</f>
        <v>robsuico@canva.com</v>
      </c>
      <c r="R2701" s="1" t="str">
        <f>IFERROR(__xludf.DUMMYFUNCTION("""COMPUTED_VALUE"""),"Robin Suico")</f>
        <v>Robin Suico</v>
      </c>
      <c r="S2701" s="1"/>
      <c r="T2701" s="1">
        <f>IFERROR(__xludf.DUMMYFUNCTION("""COMPUTED_VALUE"""),45.25)</f>
        <v>45.25</v>
      </c>
      <c r="U2701" s="2">
        <f>IFERROR(__xludf.DUMMYFUNCTION("""COMPUTED_VALUE"""),45.25)</f>
        <v>45.25</v>
      </c>
      <c r="V2701" s="1" t="str">
        <f>IFERROR(__xludf.DUMMYFUNCTION("""COMPUTED_VALUE"""),"Aliza Dote")</f>
        <v>Aliza Dote</v>
      </c>
      <c r="W2701" s="1" t="str">
        <f>IFERROR(__xludf.DUMMYFUNCTION("""COMPUTED_VALUE"""),"Print Design Support")</f>
        <v>Print Design Support</v>
      </c>
    </row>
    <row r="2702">
      <c r="O2702" s="1" t="str">
        <f>IFERROR(__xludf.DUMMYFUNCTION("""COMPUTED_VALUE"""),"2026 Mar")</f>
        <v>2026 Mar</v>
      </c>
      <c r="P2702" s="1" t="str">
        <f>IFERROR(__xludf.DUMMYFUNCTION("""COMPUTED_VALUE"""),"Core Product Support")</f>
        <v>Core Product Support</v>
      </c>
      <c r="Q2702" s="1" t="str">
        <f>IFERROR(__xludf.DUMMYFUNCTION("""COMPUTED_VALUE"""),"ronally@canva.com")</f>
        <v>ronally@canva.com</v>
      </c>
      <c r="R2702" s="1" t="str">
        <f>IFERROR(__xludf.DUMMYFUNCTION("""COMPUTED_VALUE"""),"Ronally Romero")</f>
        <v>Ronally Romero</v>
      </c>
      <c r="S2702" s="1"/>
      <c r="T2702" s="1">
        <f>IFERROR(__xludf.DUMMYFUNCTION("""COMPUTED_VALUE"""),8.58)</f>
        <v>8.58</v>
      </c>
      <c r="U2702" s="2">
        <f>IFERROR(__xludf.DUMMYFUNCTION("""COMPUTED_VALUE"""),8.58)</f>
        <v>8.58</v>
      </c>
      <c r="V2702" s="1" t="str">
        <f>IFERROR(__xludf.DUMMYFUNCTION("""COMPUTED_VALUE"""),"Cate Velasco")</f>
        <v>Cate Velasco</v>
      </c>
      <c r="W2702" s="1" t="str">
        <f>IFERROR(__xludf.DUMMYFUNCTION("""COMPUTED_VALUE"""),"Advanced Product Support")</f>
        <v>Advanced Product Support</v>
      </c>
    </row>
    <row r="2703">
      <c r="O2703" s="1" t="str">
        <f>IFERROR(__xludf.DUMMYFUNCTION("""COMPUTED_VALUE"""),"2026 Mar")</f>
        <v>2026 Mar</v>
      </c>
      <c r="P2703" s="1" t="str">
        <f>IFERROR(__xludf.DUMMYFUNCTION("""COMPUTED_VALUE"""),"Core Product Support")</f>
        <v>Core Product Support</v>
      </c>
      <c r="Q2703" s="1" t="str">
        <f>IFERROR(__xludf.DUMMYFUNCTION("""COMPUTED_VALUE"""),"rvalderrama@canva.com")</f>
        <v>rvalderrama@canva.com</v>
      </c>
      <c r="R2703" s="1" t="str">
        <f>IFERROR(__xludf.DUMMYFUNCTION("""COMPUTED_VALUE"""),"Rony Valderrama")</f>
        <v>Rony Valderrama</v>
      </c>
      <c r="S2703" s="1"/>
      <c r="T2703" s="1">
        <f>IFERROR(__xludf.DUMMYFUNCTION("""COMPUTED_VALUE"""),7.25)</f>
        <v>7.25</v>
      </c>
      <c r="U2703" s="2">
        <f>IFERROR(__xludf.DUMMYFUNCTION("""COMPUTED_VALUE"""),7.25)</f>
        <v>7.25</v>
      </c>
      <c r="V2703" s="1" t="str">
        <f>IFERROR(__xludf.DUMMYFUNCTION("""COMPUTED_VALUE"""),"Renette Bok")</f>
        <v>Renette Bok</v>
      </c>
      <c r="W2703" s="1" t="str">
        <f>IFERROR(__xludf.DUMMYFUNCTION("""COMPUTED_VALUE"""),"Advanced Billing &amp; Subscriptions")</f>
        <v>Advanced Billing &amp; Subscriptions</v>
      </c>
    </row>
    <row r="2704">
      <c r="O2704" s="1" t="str">
        <f>IFERROR(__xludf.DUMMYFUNCTION("""COMPUTED_VALUE"""),"2026 Mar")</f>
        <v>2026 Mar</v>
      </c>
      <c r="P2704" s="1" t="str">
        <f>IFERROR(__xludf.DUMMYFUNCTION("""COMPUTED_VALUE"""),"Core Product Support")</f>
        <v>Core Product Support</v>
      </c>
      <c r="Q2704" s="1" t="str">
        <f>IFERROR(__xludf.DUMMYFUNCTION("""COMPUTED_VALUE"""),"ronyl@canva.com")</f>
        <v>ronyl@canva.com</v>
      </c>
      <c r="R2704" s="1" t="str">
        <f>IFERROR(__xludf.DUMMYFUNCTION("""COMPUTED_VALUE"""),"Ronyl Masilang")</f>
        <v>Ronyl Masilang</v>
      </c>
      <c r="S2704" s="1">
        <f>IFERROR(__xludf.DUMMYFUNCTION("""COMPUTED_VALUE"""),0.5)</f>
        <v>0.5</v>
      </c>
      <c r="T2704" s="1">
        <f>IFERROR(__xludf.DUMMYFUNCTION("""COMPUTED_VALUE"""),8.5)</f>
        <v>8.5</v>
      </c>
      <c r="U2704" s="2">
        <f>IFERROR(__xludf.DUMMYFUNCTION("""COMPUTED_VALUE"""),9.0)</f>
        <v>9</v>
      </c>
      <c r="V2704" s="1" t="str">
        <f>IFERROR(__xludf.DUMMYFUNCTION("""COMPUTED_VALUE"""),"Cate Velasco")</f>
        <v>Cate Velasco</v>
      </c>
      <c r="W2704" s="1" t="str">
        <f>IFERROR(__xludf.DUMMYFUNCTION("""COMPUTED_VALUE"""),"Advanced Product Support")</f>
        <v>Advanced Product Support</v>
      </c>
    </row>
    <row r="2705">
      <c r="O2705" s="1" t="str">
        <f>IFERROR(__xludf.DUMMYFUNCTION("""COMPUTED_VALUE"""),"2026 Mar")</f>
        <v>2026 Mar</v>
      </c>
      <c r="P2705" s="1" t="str">
        <f>IFERROR(__xludf.DUMMYFUNCTION("""COMPUTED_VALUE"""),"Core Product Support")</f>
        <v>Core Product Support</v>
      </c>
      <c r="Q2705" s="1" t="str">
        <f>IFERROR(__xludf.DUMMYFUNCTION("""COMPUTED_VALUE"""),"rounette@canva.com")</f>
        <v>rounette@canva.com</v>
      </c>
      <c r="R2705" s="1" t="str">
        <f>IFERROR(__xludf.DUMMYFUNCTION("""COMPUTED_VALUE"""),"Rounette Natividad")</f>
        <v>Rounette Natividad</v>
      </c>
      <c r="S2705" s="1"/>
      <c r="T2705" s="1">
        <f>IFERROR(__xludf.DUMMYFUNCTION("""COMPUTED_VALUE"""),10.0)</f>
        <v>10</v>
      </c>
      <c r="U2705" s="2">
        <f>IFERROR(__xludf.DUMMYFUNCTION("""COMPUTED_VALUE"""),10.0)</f>
        <v>10</v>
      </c>
      <c r="V2705" s="1" t="str">
        <f>IFERROR(__xludf.DUMMYFUNCTION("""COMPUTED_VALUE"""),"Mikhaela Decangchon")</f>
        <v>Mikhaela Decangchon</v>
      </c>
      <c r="W2705" s="1" t="str">
        <f>IFERROR(__xludf.DUMMYFUNCTION("""COMPUTED_VALUE"""),"Advanced Product Support")</f>
        <v>Advanced Product Support</v>
      </c>
    </row>
    <row r="2706">
      <c r="O2706" s="1" t="str">
        <f>IFERROR(__xludf.DUMMYFUNCTION("""COMPUTED_VALUE"""),"2026 Mar")</f>
        <v>2026 Mar</v>
      </c>
      <c r="P2706" s="1" t="str">
        <f>IFERROR(__xludf.DUMMYFUNCTION("""COMPUTED_VALUE"""),"Admin Support")</f>
        <v>Admin Support</v>
      </c>
      <c r="Q2706" s="1" t="str">
        <f>IFERROR(__xludf.DUMMYFUNCTION("""COMPUTED_VALUE"""),"rovie@canva.com")</f>
        <v>rovie@canva.com</v>
      </c>
      <c r="R2706" s="1" t="str">
        <f>IFERROR(__xludf.DUMMYFUNCTION("""COMPUTED_VALUE"""),"Rovie Hawang")</f>
        <v>Rovie Hawang</v>
      </c>
      <c r="S2706" s="1"/>
      <c r="T2706" s="1">
        <f>IFERROR(__xludf.DUMMYFUNCTION("""COMPUTED_VALUE"""),5.0)</f>
        <v>5</v>
      </c>
      <c r="U2706" s="2">
        <f>IFERROR(__xludf.DUMMYFUNCTION("""COMPUTED_VALUE"""),5.0)</f>
        <v>5</v>
      </c>
      <c r="V2706" s="1" t="str">
        <f>IFERROR(__xludf.DUMMYFUNCTION("""COMPUTED_VALUE"""),"Kelden Laguting")</f>
        <v>Kelden Laguting</v>
      </c>
      <c r="W2706" s="1" t="str">
        <f>IFERROR(__xludf.DUMMYFUNCTION("""COMPUTED_VALUE"""),"Admin Omni Support")</f>
        <v>Admin Omni Support</v>
      </c>
    </row>
    <row r="2707">
      <c r="O2707" s="1" t="str">
        <f>IFERROR(__xludf.DUMMYFUNCTION("""COMPUTED_VALUE"""),"2026 Mar")</f>
        <v>2026 Mar</v>
      </c>
      <c r="P2707" s="1" t="str">
        <f>IFERROR(__xludf.DUMMYFUNCTION("""COMPUTED_VALUE"""),"Admin Support")</f>
        <v>Admin Support</v>
      </c>
      <c r="Q2707" s="1" t="str">
        <f>IFERROR(__xludf.DUMMYFUNCTION("""COMPUTED_VALUE"""),"roxanne@canva.com")</f>
        <v>roxanne@canva.com</v>
      </c>
      <c r="R2707" s="1" t="str">
        <f>IFERROR(__xludf.DUMMYFUNCTION("""COMPUTED_VALUE"""),"Roxanne Joy Capunayan")</f>
        <v>Roxanne Joy Capunayan</v>
      </c>
      <c r="S2707" s="1"/>
      <c r="T2707" s="1">
        <f>IFERROR(__xludf.DUMMYFUNCTION("""COMPUTED_VALUE"""),4.42)</f>
        <v>4.42</v>
      </c>
      <c r="U2707" s="2">
        <f>IFERROR(__xludf.DUMMYFUNCTION("""COMPUTED_VALUE"""),4.42)</f>
        <v>4.42</v>
      </c>
      <c r="V2707" s="1" t="str">
        <f>IFERROR(__xludf.DUMMYFUNCTION("""COMPUTED_VALUE"""),"Ann Dumlao")</f>
        <v>Ann Dumlao</v>
      </c>
      <c r="W2707" s="1" t="str">
        <f>IFERROR(__xludf.DUMMYFUNCTION("""COMPUTED_VALUE"""),"Admin Omni Support")</f>
        <v>Admin Omni Support</v>
      </c>
    </row>
    <row r="2708">
      <c r="O2708" s="1" t="str">
        <f>IFERROR(__xludf.DUMMYFUNCTION("""COMPUTED_VALUE"""),"2026 Mar")</f>
        <v>2026 Mar</v>
      </c>
      <c r="P2708" s="1" t="str">
        <f>IFERROR(__xludf.DUMMYFUNCTION("""COMPUTED_VALUE"""),"Core Product Support")</f>
        <v>Core Product Support</v>
      </c>
      <c r="Q2708" s="1" t="str">
        <f>IFERROR(__xludf.DUMMYFUNCTION("""COMPUTED_VALUE"""),"rozelp@canva.com")</f>
        <v>rozelp@canva.com</v>
      </c>
      <c r="R2708" s="1" t="str">
        <f>IFERROR(__xludf.DUMMYFUNCTION("""COMPUTED_VALUE"""),"Rozel Punsalan")</f>
        <v>Rozel Punsalan</v>
      </c>
      <c r="S2708" s="1">
        <f>IFERROR(__xludf.DUMMYFUNCTION("""COMPUTED_VALUE"""),0.5)</f>
        <v>0.5</v>
      </c>
      <c r="T2708" s="1">
        <f>IFERROR(__xludf.DUMMYFUNCTION("""COMPUTED_VALUE"""),14.92)</f>
        <v>14.92</v>
      </c>
      <c r="U2708" s="2">
        <f>IFERROR(__xludf.DUMMYFUNCTION("""COMPUTED_VALUE"""),15.42)</f>
        <v>15.42</v>
      </c>
      <c r="V2708" s="1" t="str">
        <f>IFERROR(__xludf.DUMMYFUNCTION("""COMPUTED_VALUE"""),"Marie Mordeno")</f>
        <v>Marie Mordeno</v>
      </c>
      <c r="W2708" s="1" t="str">
        <f>IFERROR(__xludf.DUMMYFUNCTION("""COMPUTED_VALUE"""),"Advanced Billing &amp; Subscriptions")</f>
        <v>Advanced Billing &amp; Subscriptions</v>
      </c>
    </row>
    <row r="2709">
      <c r="O2709" s="1" t="str">
        <f>IFERROR(__xludf.DUMMYFUNCTION("""COMPUTED_VALUE"""),"2026 Mar")</f>
        <v>2026 Mar</v>
      </c>
      <c r="P2709" s="1" t="str">
        <f>IFERROR(__xludf.DUMMYFUNCTION("""COMPUTED_VALUE"""),"Core Product Support")</f>
        <v>Core Product Support</v>
      </c>
      <c r="Q2709" s="1" t="str">
        <f>IFERROR(__xludf.DUMMYFUNCTION("""COMPUTED_VALUE"""),"rozie@canva.com")</f>
        <v>rozie@canva.com</v>
      </c>
      <c r="R2709" s="1" t="str">
        <f>IFERROR(__xludf.DUMMYFUNCTION("""COMPUTED_VALUE"""),"Rozie Laviña")</f>
        <v>Rozie Laviña</v>
      </c>
      <c r="S2709" s="1"/>
      <c r="T2709" s="1">
        <f>IFERROR(__xludf.DUMMYFUNCTION("""COMPUTED_VALUE"""),4.5)</f>
        <v>4.5</v>
      </c>
      <c r="U2709" s="2">
        <f>IFERROR(__xludf.DUMMYFUNCTION("""COMPUTED_VALUE"""),4.5)</f>
        <v>4.5</v>
      </c>
      <c r="V2709" s="1" t="str">
        <f>IFERROR(__xludf.DUMMYFUNCTION("""COMPUTED_VALUE"""),"Ayza Marie Pascual")</f>
        <v>Ayza Marie Pascual</v>
      </c>
      <c r="W2709" s="1" t="str">
        <f>IFERROR(__xludf.DUMMYFUNCTION("""COMPUTED_VALUE"""),"Advanced Billing &amp; Subscriptions")</f>
        <v>Advanced Billing &amp; Subscriptions</v>
      </c>
    </row>
    <row r="2710">
      <c r="O2710" s="1" t="str">
        <f>IFERROR(__xludf.DUMMYFUNCTION("""COMPUTED_VALUE"""),"2026 Mar")</f>
        <v>2026 Mar</v>
      </c>
      <c r="P2710" s="1" t="str">
        <f>IFERROR(__xludf.DUMMYFUNCTION("""COMPUTED_VALUE"""),"Core Product Support")</f>
        <v>Core Product Support</v>
      </c>
      <c r="Q2710" s="1" t="str">
        <f>IFERROR(__xludf.DUMMYFUNCTION("""COMPUTED_VALUE"""),"ruzel@canva.com")</f>
        <v>ruzel@canva.com</v>
      </c>
      <c r="R2710" s="1" t="str">
        <f>IFERROR(__xludf.DUMMYFUNCTION("""COMPUTED_VALUE"""),"Ruzel Raqueno")</f>
        <v>Ruzel Raqueno</v>
      </c>
      <c r="S2710" s="1"/>
      <c r="T2710" s="1">
        <f>IFERROR(__xludf.DUMMYFUNCTION("""COMPUTED_VALUE"""),8.0)</f>
        <v>8</v>
      </c>
      <c r="U2710" s="2">
        <f>IFERROR(__xludf.DUMMYFUNCTION("""COMPUTED_VALUE"""),8.0)</f>
        <v>8</v>
      </c>
      <c r="V2710" s="1" t="str">
        <f>IFERROR(__xludf.DUMMYFUNCTION("""COMPUTED_VALUE"""),"Ellaine Estayo")</f>
        <v>Ellaine Estayo</v>
      </c>
      <c r="W2710" s="1" t="str">
        <f>IFERROR(__xludf.DUMMYFUNCTION("""COMPUTED_VALUE"""),"Core Product Support Escalation Team")</f>
        <v>Core Product Support Escalation Team</v>
      </c>
    </row>
    <row r="2711">
      <c r="O2711" s="1" t="str">
        <f>IFERROR(__xludf.DUMMYFUNCTION("""COMPUTED_VALUE"""),"2026 Mar")</f>
        <v>2026 Mar</v>
      </c>
      <c r="P2711" s="1" t="str">
        <f>IFERROR(__xludf.DUMMYFUNCTION("""COMPUTED_VALUE"""),"Print Support")</f>
        <v>Print Support</v>
      </c>
      <c r="Q2711" s="1" t="str">
        <f>IFERROR(__xludf.DUMMYFUNCTION("""COMPUTED_VALUE"""),"rdominick@canva.com")</f>
        <v>rdominick@canva.com</v>
      </c>
      <c r="R2711" s="1" t="str">
        <f>IFERROR(__xludf.DUMMYFUNCTION("""COMPUTED_VALUE"""),"Ryan Dominick Razon")</f>
        <v>Ryan Dominick Razon</v>
      </c>
      <c r="S2711" s="1"/>
      <c r="T2711" s="1"/>
      <c r="U2711" s="2">
        <f>IFERROR(__xludf.DUMMYFUNCTION("""COMPUTED_VALUE"""),0.0)</f>
        <v>0</v>
      </c>
      <c r="V2711" s="1" t="str">
        <f>IFERROR(__xludf.DUMMYFUNCTION("""COMPUTED_VALUE"""),"Jen Momo")</f>
        <v>Jen Momo</v>
      </c>
      <c r="W2711" s="1" t="str">
        <f>IFERROR(__xludf.DUMMYFUNCTION("""COMPUTED_VALUE"""),"Print Support PH")</f>
        <v>Print Support PH</v>
      </c>
    </row>
    <row r="2712">
      <c r="O2712" s="1" t="str">
        <f>IFERROR(__xludf.DUMMYFUNCTION("""COMPUTED_VALUE"""),"2026 Mar")</f>
        <v>2026 Mar</v>
      </c>
      <c r="P2712" s="1" t="str">
        <f>IFERROR(__xludf.DUMMYFUNCTION("""COMPUTED_VALUE"""),"Segment-specific Support")</f>
        <v>Segment-specific Support</v>
      </c>
      <c r="Q2712" s="1" t="str">
        <f>IFERROR(__xludf.DUMMYFUNCTION("""COMPUTED_VALUE"""),"sammiee@canva.com")</f>
        <v>sammiee@canva.com</v>
      </c>
      <c r="R2712" s="1" t="str">
        <f>IFERROR(__xludf.DUMMYFUNCTION("""COMPUTED_VALUE"""),"Sam Espelimbergo")</f>
        <v>Sam Espelimbergo</v>
      </c>
      <c r="S2712" s="1"/>
      <c r="T2712" s="1"/>
      <c r="U2712" s="2">
        <f>IFERROR(__xludf.DUMMYFUNCTION("""COMPUTED_VALUE"""),0.0)</f>
        <v>0</v>
      </c>
      <c r="V2712" s="1" t="str">
        <f>IFERROR(__xludf.DUMMYFUNCTION("""COMPUTED_VALUE"""),"Aileen Dayanghirang")</f>
        <v>Aileen Dayanghirang</v>
      </c>
      <c r="W2712" s="1" t="str">
        <f>IFERROR(__xludf.DUMMYFUNCTION("""COMPUTED_VALUE"""),"Creators Support")</f>
        <v>Creators Support</v>
      </c>
    </row>
    <row r="2713">
      <c r="O2713" s="1" t="str">
        <f>IFERROR(__xludf.DUMMYFUNCTION("""COMPUTED_VALUE"""),"2026 Mar")</f>
        <v>2026 Mar</v>
      </c>
      <c r="P2713" s="1" t="str">
        <f>IFERROR(__xludf.DUMMYFUNCTION("""COMPUTED_VALUE"""),"Admin Support")</f>
        <v>Admin Support</v>
      </c>
      <c r="Q2713" s="1" t="str">
        <f>IFERROR(__xludf.DUMMYFUNCTION("""COMPUTED_VALUE"""),"simber@canva.com")</f>
        <v>simber@canva.com</v>
      </c>
      <c r="R2713" s="1" t="str">
        <f>IFERROR(__xludf.DUMMYFUNCTION("""COMPUTED_VALUE"""),"Sean Imber")</f>
        <v>Sean Imber</v>
      </c>
      <c r="S2713" s="1"/>
      <c r="T2713" s="1"/>
      <c r="U2713" s="2">
        <f>IFERROR(__xludf.DUMMYFUNCTION("""COMPUTED_VALUE"""),0.0)</f>
        <v>0</v>
      </c>
      <c r="V2713" s="1" t="str">
        <f>IFERROR(__xludf.DUMMYFUNCTION("""COMPUTED_VALUE"""),"Elise Cesario Mendes")</f>
        <v>Elise Cesario Mendes</v>
      </c>
      <c r="W2713" s="1" t="str">
        <f>IFERROR(__xludf.DUMMYFUNCTION("""COMPUTED_VALUE"""),"Admin Support APJ")</f>
        <v>Admin Support APJ</v>
      </c>
    </row>
    <row r="2714">
      <c r="O2714" s="1" t="str">
        <f>IFERROR(__xludf.DUMMYFUNCTION("""COMPUTED_VALUE"""),"2026 Mar")</f>
        <v>2026 Mar</v>
      </c>
      <c r="P2714" s="1" t="str">
        <f>IFERROR(__xludf.DUMMYFUNCTION("""COMPUTED_VALUE"""),"High Sensitivity Support")</f>
        <v>High Sensitivity Support</v>
      </c>
      <c r="Q2714" s="1" t="str">
        <f>IFERROR(__xludf.DUMMYFUNCTION("""COMPUTED_VALUE"""),"sbaldonado@canva.com")</f>
        <v>sbaldonado@canva.com</v>
      </c>
      <c r="R2714" s="1" t="str">
        <f>IFERROR(__xludf.DUMMYFUNCTION("""COMPUTED_VALUE"""),"Sheira Nicole Baldonado")</f>
        <v>Sheira Nicole Baldonado</v>
      </c>
      <c r="S2714" s="1"/>
      <c r="T2714" s="1">
        <f>IFERROR(__xludf.DUMMYFUNCTION("""COMPUTED_VALUE"""),8.0)</f>
        <v>8</v>
      </c>
      <c r="U2714" s="2">
        <f>IFERROR(__xludf.DUMMYFUNCTION("""COMPUTED_VALUE"""),8.0)</f>
        <v>8</v>
      </c>
      <c r="V2714" s="1" t="str">
        <f>IFERROR(__xludf.DUMMYFUNCTION("""COMPUTED_VALUE"""),"Rex Villamor")</f>
        <v>Rex Villamor</v>
      </c>
      <c r="W2714" s="1" t="str">
        <f>IFERROR(__xludf.DUMMYFUNCTION("""COMPUTED_VALUE"""),"High Sensitivity Support PH")</f>
        <v>High Sensitivity Support PH</v>
      </c>
    </row>
    <row r="2715">
      <c r="O2715" s="1" t="str">
        <f>IFERROR(__xludf.DUMMYFUNCTION("""COMPUTED_VALUE"""),"2026 Mar")</f>
        <v>2026 Mar</v>
      </c>
      <c r="P2715" s="1" t="str">
        <f>IFERROR(__xludf.DUMMYFUNCTION("""COMPUTED_VALUE"""),"Core Product Support")</f>
        <v>Core Product Support</v>
      </c>
      <c r="Q2715" s="1" t="str">
        <f>IFERROR(__xludf.DUMMYFUNCTION("""COMPUTED_VALUE"""),"sophiae@canva.com")</f>
        <v>sophiae@canva.com</v>
      </c>
      <c r="R2715" s="1" t="str">
        <f>IFERROR(__xludf.DUMMYFUNCTION("""COMPUTED_VALUE"""),"Sophia Ermac")</f>
        <v>Sophia Ermac</v>
      </c>
      <c r="S2715" s="1"/>
      <c r="T2715" s="1">
        <f>IFERROR(__xludf.DUMMYFUNCTION("""COMPUTED_VALUE"""),7.25)</f>
        <v>7.25</v>
      </c>
      <c r="U2715" s="2">
        <f>IFERROR(__xludf.DUMMYFUNCTION("""COMPUTED_VALUE"""),7.25)</f>
        <v>7.25</v>
      </c>
      <c r="V2715" s="1" t="str">
        <f>IFERROR(__xludf.DUMMYFUNCTION("""COMPUTED_VALUE"""),"Ana Lazaro")</f>
        <v>Ana Lazaro</v>
      </c>
      <c r="W2715" s="1" t="str">
        <f>IFERROR(__xludf.DUMMYFUNCTION("""COMPUTED_VALUE"""),"Advanced Billing &amp; Subscriptions")</f>
        <v>Advanced Billing &amp; Subscriptions</v>
      </c>
    </row>
    <row r="2716">
      <c r="O2716" s="1" t="str">
        <f>IFERROR(__xludf.DUMMYFUNCTION("""COMPUTED_VALUE"""),"2026 Mar")</f>
        <v>2026 Mar</v>
      </c>
      <c r="P2716" s="1" t="str">
        <f>IFERROR(__xludf.DUMMYFUNCTION("""COMPUTED_VALUE"""),"High Sensitivity Support")</f>
        <v>High Sensitivity Support</v>
      </c>
      <c r="Q2716" s="1" t="str">
        <f>IFERROR(__xludf.DUMMYFUNCTION("""COMPUTED_VALUE"""),"ssroxas@canva.com")</f>
        <v>ssroxas@canva.com</v>
      </c>
      <c r="R2716" s="1" t="str">
        <f>IFERROR(__xludf.DUMMYFUNCTION("""COMPUTED_VALUE"""),"Steph Roxas")</f>
        <v>Steph Roxas</v>
      </c>
      <c r="S2716" s="1"/>
      <c r="T2716" s="1">
        <f>IFERROR(__xludf.DUMMYFUNCTION("""COMPUTED_VALUE"""),5.75)</f>
        <v>5.75</v>
      </c>
      <c r="U2716" s="2">
        <f>IFERROR(__xludf.DUMMYFUNCTION("""COMPUTED_VALUE"""),5.75)</f>
        <v>5.75</v>
      </c>
      <c r="V2716" s="1" t="str">
        <f>IFERROR(__xludf.DUMMYFUNCTION("""COMPUTED_VALUE"""),"Rex Villamor")</f>
        <v>Rex Villamor</v>
      </c>
      <c r="W2716" s="1" t="str">
        <f>IFERROR(__xludf.DUMMYFUNCTION("""COMPUTED_VALUE"""),"High Sensitivity Support PH")</f>
        <v>High Sensitivity Support PH</v>
      </c>
    </row>
    <row r="2717">
      <c r="O2717" s="1" t="str">
        <f>IFERROR(__xludf.DUMMYFUNCTION("""COMPUTED_VALUE"""),"2026 Mar")</f>
        <v>2026 Mar</v>
      </c>
      <c r="P2717" s="1" t="str">
        <f>IFERROR(__xludf.DUMMYFUNCTION("""COMPUTED_VALUE"""),"Admin Support")</f>
        <v>Admin Support</v>
      </c>
      <c r="Q2717" s="1" t="str">
        <f>IFERROR(__xludf.DUMMYFUNCTION("""COMPUTED_VALUE"""),"stephanie.t@canva.com")</f>
        <v>stephanie.t@canva.com</v>
      </c>
      <c r="R2717" s="1" t="str">
        <f>IFERROR(__xludf.DUMMYFUNCTION("""COMPUTED_VALUE"""),"Stephanie Lyn Tan")</f>
        <v>Stephanie Lyn Tan</v>
      </c>
      <c r="S2717" s="1"/>
      <c r="T2717" s="1">
        <f>IFERROR(__xludf.DUMMYFUNCTION("""COMPUTED_VALUE"""),5.83)</f>
        <v>5.83</v>
      </c>
      <c r="U2717" s="2">
        <f>IFERROR(__xludf.DUMMYFUNCTION("""COMPUTED_VALUE"""),5.83)</f>
        <v>5.83</v>
      </c>
      <c r="V2717" s="1" t="str">
        <f>IFERROR(__xludf.DUMMYFUNCTION("""COMPUTED_VALUE"""),"Pau Palmero")</f>
        <v>Pau Palmero</v>
      </c>
      <c r="W2717" s="1" t="str">
        <f>IFERROR(__xludf.DUMMYFUNCTION("""COMPUTED_VALUE"""),"Admin Omni Support")</f>
        <v>Admin Omni Support</v>
      </c>
    </row>
    <row r="2718">
      <c r="O2718" s="1" t="str">
        <f>IFERROR(__xludf.DUMMYFUNCTION("""COMPUTED_VALUE"""),"2026 Mar")</f>
        <v>2026 Mar</v>
      </c>
      <c r="P2718" s="1" t="str">
        <f>IFERROR(__xludf.DUMMYFUNCTION("""COMPUTED_VALUE"""),"Admin Support")</f>
        <v>Admin Support</v>
      </c>
      <c r="Q2718" s="1" t="str">
        <f>IFERROR(__xludf.DUMMYFUNCTION("""COMPUTED_VALUE"""),"stephen.k@canva.com")</f>
        <v>stephen.k@canva.com</v>
      </c>
      <c r="R2718" s="1" t="str">
        <f>IFERROR(__xludf.DUMMYFUNCTION("""COMPUTED_VALUE"""),"Stephen Kahanap")</f>
        <v>Stephen Kahanap</v>
      </c>
      <c r="S2718" s="1"/>
      <c r="T2718" s="1">
        <f>IFERROR(__xludf.DUMMYFUNCTION("""COMPUTED_VALUE"""),3.33)</f>
        <v>3.33</v>
      </c>
      <c r="U2718" s="2">
        <f>IFERROR(__xludf.DUMMYFUNCTION("""COMPUTED_VALUE"""),3.33)</f>
        <v>3.33</v>
      </c>
      <c r="V2718" s="1" t="str">
        <f>IFERROR(__xludf.DUMMYFUNCTION("""COMPUTED_VALUE"""),"Ann Dumlao")</f>
        <v>Ann Dumlao</v>
      </c>
      <c r="W2718" s="1" t="str">
        <f>IFERROR(__xludf.DUMMYFUNCTION("""COMPUTED_VALUE"""),"Admin Omni Support")</f>
        <v>Admin Omni Support</v>
      </c>
    </row>
    <row r="2719">
      <c r="O2719" s="1" t="str">
        <f>IFERROR(__xludf.DUMMYFUNCTION("""COMPUTED_VALUE"""),"2026 Mar")</f>
        <v>2026 Mar</v>
      </c>
      <c r="P2719" s="1" t="str">
        <f>IFERROR(__xludf.DUMMYFUNCTION("""COMPUTED_VALUE"""),"Segment-specific Support")</f>
        <v>Segment-specific Support</v>
      </c>
      <c r="Q2719" s="1" t="str">
        <f>IFERROR(__xludf.DUMMYFUNCTION("""COMPUTED_VALUE"""),"sremo@canva.com")</f>
        <v>sremo@canva.com</v>
      </c>
      <c r="R2719" s="1" t="str">
        <f>IFERROR(__xludf.DUMMYFUNCTION("""COMPUTED_VALUE"""),"Sunshine Remo")</f>
        <v>Sunshine Remo</v>
      </c>
      <c r="S2719" s="1"/>
      <c r="T2719" s="1">
        <f>IFERROR(__xludf.DUMMYFUNCTION("""COMPUTED_VALUE"""),2.25)</f>
        <v>2.25</v>
      </c>
      <c r="U2719" s="2">
        <f>IFERROR(__xludf.DUMMYFUNCTION("""COMPUTED_VALUE"""),2.25)</f>
        <v>2.25</v>
      </c>
      <c r="V2719" s="1" t="str">
        <f>IFERROR(__xludf.DUMMYFUNCTION("""COMPUTED_VALUE"""),"Rose Gabilan")</f>
        <v>Rose Gabilan</v>
      </c>
      <c r="W2719" s="1" t="str">
        <f>IFERROR(__xludf.DUMMYFUNCTION("""COMPUTED_VALUE"""),"Affinity Support")</f>
        <v>Affinity Support</v>
      </c>
    </row>
    <row r="2720">
      <c r="O2720" s="1" t="str">
        <f>IFERROR(__xludf.DUMMYFUNCTION("""COMPUTED_VALUE"""),"2026 Mar")</f>
        <v>2026 Mar</v>
      </c>
      <c r="P2720" s="1" t="str">
        <f>IFERROR(__xludf.DUMMYFUNCTION("""COMPUTED_VALUE"""),"Admin Support")</f>
        <v>Admin Support</v>
      </c>
      <c r="Q2720" s="1" t="str">
        <f>IFERROR(__xludf.DUMMYFUNCTION("""COMPUTED_VALUE"""),"susann@canva.com")</f>
        <v>susann@canva.com</v>
      </c>
      <c r="R2720" s="1" t="str">
        <f>IFERROR(__xludf.DUMMYFUNCTION("""COMPUTED_VALUE"""),"Susann Dierich")</f>
        <v>Susann Dierich</v>
      </c>
      <c r="S2720" s="1"/>
      <c r="T2720" s="1"/>
      <c r="U2720" s="2">
        <f>IFERROR(__xludf.DUMMYFUNCTION("""COMPUTED_VALUE"""),0.0)</f>
        <v>0</v>
      </c>
      <c r="V2720" s="1" t="str">
        <f>IFERROR(__xludf.DUMMYFUNCTION("""COMPUTED_VALUE"""),"Tash Kelly")</f>
        <v>Tash Kelly</v>
      </c>
      <c r="W2720" s="1" t="str">
        <f>IFERROR(__xludf.DUMMYFUNCTION("""COMPUTED_VALUE"""),"Admin Support EMEA")</f>
        <v>Admin Support EMEA</v>
      </c>
    </row>
    <row r="2721">
      <c r="O2721" s="1" t="str">
        <f>IFERROR(__xludf.DUMMYFUNCTION("""COMPUTED_VALUE"""),"2026 Mar")</f>
        <v>2026 Mar</v>
      </c>
      <c r="P2721" s="1" t="str">
        <f>IFERROR(__xludf.DUMMYFUNCTION("""COMPUTED_VALUE"""),"Admin Support")</f>
        <v>Admin Support</v>
      </c>
      <c r="Q2721" s="1" t="str">
        <f>IFERROR(__xludf.DUMMYFUNCTION("""COMPUTED_VALUE"""),"skyles@canva.com")</f>
        <v>skyles@canva.com</v>
      </c>
      <c r="R2721" s="1" t="str">
        <f>IFERROR(__xludf.DUMMYFUNCTION("""COMPUTED_VALUE"""),"Sylvia Kyles")</f>
        <v>Sylvia Kyles</v>
      </c>
      <c r="S2721" s="1"/>
      <c r="T2721" s="1">
        <f>IFERROR(__xludf.DUMMYFUNCTION("""COMPUTED_VALUE"""),0.5)</f>
        <v>0.5</v>
      </c>
      <c r="U2721" s="2">
        <f>IFERROR(__xludf.DUMMYFUNCTION("""COMPUTED_VALUE"""),0.5)</f>
        <v>0.5</v>
      </c>
      <c r="V2721" s="1" t="str">
        <f>IFERROR(__xludf.DUMMYFUNCTION("""COMPUTED_VALUE"""),"Nate Vela")</f>
        <v>Nate Vela</v>
      </c>
      <c r="W2721" s="1" t="str">
        <f>IFERROR(__xludf.DUMMYFUNCTION("""COMPUTED_VALUE"""),"Admin Support NA")</f>
        <v>Admin Support NA</v>
      </c>
    </row>
    <row r="2722">
      <c r="O2722" s="1" t="str">
        <f>IFERROR(__xludf.DUMMYFUNCTION("""COMPUTED_VALUE"""),"2026 Mar")</f>
        <v>2026 Mar</v>
      </c>
      <c r="P2722" s="1" t="str">
        <f>IFERROR(__xludf.DUMMYFUNCTION("""COMPUTED_VALUE"""),"Print Support")</f>
        <v>Print Support</v>
      </c>
      <c r="Q2722" s="1" t="str">
        <f>IFERROR(__xludf.DUMMYFUNCTION("""COMPUTED_VALUE"""),"theag@canva.com")</f>
        <v>theag@canva.com</v>
      </c>
      <c r="R2722" s="1" t="str">
        <f>IFERROR(__xludf.DUMMYFUNCTION("""COMPUTED_VALUE"""),"Thea Gelua")</f>
        <v>Thea Gelua</v>
      </c>
      <c r="S2722" s="1"/>
      <c r="T2722" s="1">
        <f>IFERROR(__xludf.DUMMYFUNCTION("""COMPUTED_VALUE"""),0.5)</f>
        <v>0.5</v>
      </c>
      <c r="U2722" s="2">
        <f>IFERROR(__xludf.DUMMYFUNCTION("""COMPUTED_VALUE"""),0.5)</f>
        <v>0.5</v>
      </c>
      <c r="V2722" s="1" t="str">
        <f>IFERROR(__xludf.DUMMYFUNCTION("""COMPUTED_VALUE"""),"Jen Momo")</f>
        <v>Jen Momo</v>
      </c>
      <c r="W2722" s="1" t="str">
        <f>IFERROR(__xludf.DUMMYFUNCTION("""COMPUTED_VALUE"""),"Print Support PH")</f>
        <v>Print Support PH</v>
      </c>
    </row>
    <row r="2723">
      <c r="O2723" s="1" t="str">
        <f>IFERROR(__xludf.DUMMYFUNCTION("""COMPUTED_VALUE"""),"2026 Mar")</f>
        <v>2026 Mar</v>
      </c>
      <c r="P2723" s="1" t="str">
        <f>IFERROR(__xludf.DUMMYFUNCTION("""COMPUTED_VALUE"""),"Print Support")</f>
        <v>Print Support</v>
      </c>
      <c r="Q2723" s="1" t="str">
        <f>IFERROR(__xludf.DUMMYFUNCTION("""COMPUTED_VALUE"""),"tia@canva.com")</f>
        <v>tia@canva.com</v>
      </c>
      <c r="R2723" s="1" t="str">
        <f>IFERROR(__xludf.DUMMYFUNCTION("""COMPUTED_VALUE"""),"Tia Tilanduca")</f>
        <v>Tia Tilanduca</v>
      </c>
      <c r="S2723" s="1"/>
      <c r="T2723" s="1">
        <f>IFERROR(__xludf.DUMMYFUNCTION("""COMPUTED_VALUE"""),0.17)</f>
        <v>0.17</v>
      </c>
      <c r="U2723" s="2">
        <f>IFERROR(__xludf.DUMMYFUNCTION("""COMPUTED_VALUE"""),0.17)</f>
        <v>0.17</v>
      </c>
      <c r="V2723" s="1" t="str">
        <f>IFERROR(__xludf.DUMMYFUNCTION("""COMPUTED_VALUE"""),"Louise Dianne Estrella")</f>
        <v>Louise Dianne Estrella</v>
      </c>
      <c r="W2723" s="1" t="str">
        <f>IFERROR(__xludf.DUMMYFUNCTION("""COMPUTED_VALUE"""),"Print Support PH")</f>
        <v>Print Support PH</v>
      </c>
    </row>
    <row r="2724">
      <c r="O2724" s="1" t="str">
        <f>IFERROR(__xludf.DUMMYFUNCTION("""COMPUTED_VALUE"""),"2026 Mar")</f>
        <v>2026 Mar</v>
      </c>
      <c r="P2724" s="1" t="str">
        <f>IFERROR(__xludf.DUMMYFUNCTION("""COMPUTED_VALUE"""),"Admin Support")</f>
        <v>Admin Support</v>
      </c>
      <c r="Q2724" s="1" t="str">
        <f>IFERROR(__xludf.DUMMYFUNCTION("""COMPUTED_VALUE"""),"tiara@canva.com")</f>
        <v>tiara@canva.com</v>
      </c>
      <c r="R2724" s="1" t="str">
        <f>IFERROR(__xludf.DUMMYFUNCTION("""COMPUTED_VALUE"""),"Tiara Samonte")</f>
        <v>Tiara Samonte</v>
      </c>
      <c r="S2724" s="1"/>
      <c r="T2724" s="1">
        <f>IFERROR(__xludf.DUMMYFUNCTION("""COMPUTED_VALUE"""),22.0)</f>
        <v>22</v>
      </c>
      <c r="U2724" s="2">
        <f>IFERROR(__xludf.DUMMYFUNCTION("""COMPUTED_VALUE"""),22.0)</f>
        <v>22</v>
      </c>
      <c r="V2724" s="1" t="str">
        <f>IFERROR(__xludf.DUMMYFUNCTION("""COMPUTED_VALUE"""),"AL Suarez")</f>
        <v>AL Suarez</v>
      </c>
      <c r="W2724" s="1" t="str">
        <f>IFERROR(__xludf.DUMMYFUNCTION("""COMPUTED_VALUE"""),"Advanced Billing &amp; Subscriptions")</f>
        <v>Advanced Billing &amp; Subscriptions</v>
      </c>
    </row>
    <row r="2725">
      <c r="O2725" s="1" t="str">
        <f>IFERROR(__xludf.DUMMYFUNCTION("""COMPUTED_VALUE"""),"2026 Mar")</f>
        <v>2026 Mar</v>
      </c>
      <c r="P2725" s="1" t="str">
        <f>IFERROR(__xludf.DUMMYFUNCTION("""COMPUTED_VALUE"""),"Segment-specific Support")</f>
        <v>Segment-specific Support</v>
      </c>
      <c r="Q2725" s="1" t="str">
        <f>IFERROR(__xludf.DUMMYFUNCTION("""COMPUTED_VALUE"""),"timdl@canva.com")</f>
        <v>timdl@canva.com</v>
      </c>
      <c r="R2725" s="1" t="str">
        <f>IFERROR(__xludf.DUMMYFUNCTION("""COMPUTED_VALUE"""),"Tim De Leon")</f>
        <v>Tim De Leon</v>
      </c>
      <c r="S2725" s="1"/>
      <c r="T2725" s="1"/>
      <c r="U2725" s="2">
        <f>IFERROR(__xludf.DUMMYFUNCTION("""COMPUTED_VALUE"""),0.0)</f>
        <v>0</v>
      </c>
      <c r="V2725" s="1" t="str">
        <f>IFERROR(__xludf.DUMMYFUNCTION("""COMPUTED_VALUE"""),"Aileen Dayanghirang")</f>
        <v>Aileen Dayanghirang</v>
      </c>
      <c r="W2725" s="1" t="str">
        <f>IFERROR(__xludf.DUMMYFUNCTION("""COMPUTED_VALUE"""),"Creators Support")</f>
        <v>Creators Support</v>
      </c>
    </row>
    <row r="2726">
      <c r="O2726" s="1" t="str">
        <f>IFERROR(__xludf.DUMMYFUNCTION("""COMPUTED_VALUE"""),"2026 Mar")</f>
        <v>2026 Mar</v>
      </c>
      <c r="P2726" s="1" t="str">
        <f>IFERROR(__xludf.DUMMYFUNCTION("""COMPUTED_VALUE"""),"Admin Support")</f>
        <v>Admin Support</v>
      </c>
      <c r="Q2726" s="1" t="str">
        <f>IFERROR(__xludf.DUMMYFUNCTION("""COMPUTED_VALUE"""),"cnuyda@canva.com")</f>
        <v>cnuyda@canva.com</v>
      </c>
      <c r="R2726" s="1" t="str">
        <f>IFERROR(__xludf.DUMMYFUNCTION("""COMPUTED_VALUE"""),"Toff Nuyda")</f>
        <v>Toff Nuyda</v>
      </c>
      <c r="S2726" s="1"/>
      <c r="T2726" s="1">
        <f>IFERROR(__xludf.DUMMYFUNCTION("""COMPUTED_VALUE"""),2.0)</f>
        <v>2</v>
      </c>
      <c r="U2726" s="2">
        <f>IFERROR(__xludf.DUMMYFUNCTION("""COMPUTED_VALUE"""),2.0)</f>
        <v>2</v>
      </c>
      <c r="V2726" s="1" t="str">
        <f>IFERROR(__xludf.DUMMYFUNCTION("""COMPUTED_VALUE"""),"Karla Mananghaya")</f>
        <v>Karla Mananghaya</v>
      </c>
      <c r="W2726" s="1" t="str">
        <f>IFERROR(__xludf.DUMMYFUNCTION("""COMPUTED_VALUE"""),"Admin Support Service Escalation Team")</f>
        <v>Admin Support Service Escalation Team</v>
      </c>
    </row>
    <row r="2727">
      <c r="O2727" s="1" t="str">
        <f>IFERROR(__xludf.DUMMYFUNCTION("""COMPUTED_VALUE"""),"2026 Mar")</f>
        <v>2026 Mar</v>
      </c>
      <c r="P2727" s="1" t="str">
        <f>IFERROR(__xludf.DUMMYFUNCTION("""COMPUTED_VALUE"""),"Multilingual Support")</f>
        <v>Multilingual Support</v>
      </c>
      <c r="Q2727" s="1" t="str">
        <f>IFERROR(__xludf.DUMMYFUNCTION("""COMPUTED_VALUE"""),"tricia.p@canva.com")</f>
        <v>tricia.p@canva.com</v>
      </c>
      <c r="R2727" s="1" t="str">
        <f>IFERROR(__xludf.DUMMYFUNCTION("""COMPUTED_VALUE"""),"Tricia Pasagui")</f>
        <v>Tricia Pasagui</v>
      </c>
      <c r="S2727" s="1"/>
      <c r="T2727" s="1">
        <f>IFERROR(__xludf.DUMMYFUNCTION("""COMPUTED_VALUE"""),10.5)</f>
        <v>10.5</v>
      </c>
      <c r="U2727" s="2">
        <f>IFERROR(__xludf.DUMMYFUNCTION("""COMPUTED_VALUE"""),10.5)</f>
        <v>10.5</v>
      </c>
      <c r="V2727" s="1" t="str">
        <f>IFERROR(__xludf.DUMMYFUNCTION("""COMPUTED_VALUE"""),"Arlene Maurillo")</f>
        <v>Arlene Maurillo</v>
      </c>
      <c r="W2727" s="1" t="str">
        <f>IFERROR(__xludf.DUMMYFUNCTION("""COMPUTED_VALUE"""),"PHL, Multilingual Support")</f>
        <v>PHL, Multilingual Support</v>
      </c>
    </row>
    <row r="2728">
      <c r="O2728" s="1" t="str">
        <f>IFERROR(__xludf.DUMMYFUNCTION("""COMPUTED_VALUE"""),"2026 Mar")</f>
        <v>2026 Mar</v>
      </c>
      <c r="P2728" s="1" t="str">
        <f>IFERROR(__xludf.DUMMYFUNCTION("""COMPUTED_VALUE"""),"High Sensitivity Support")</f>
        <v>High Sensitivity Support</v>
      </c>
      <c r="Q2728" s="1" t="str">
        <f>IFERROR(__xludf.DUMMYFUNCTION("""COMPUTED_VALUE"""),"trina@canva.com")</f>
        <v>trina@canva.com</v>
      </c>
      <c r="R2728" s="1" t="str">
        <f>IFERROR(__xludf.DUMMYFUNCTION("""COMPUTED_VALUE"""),"Trina Salcedo")</f>
        <v>Trina Salcedo</v>
      </c>
      <c r="S2728" s="1"/>
      <c r="T2728" s="1">
        <f>IFERROR(__xludf.DUMMYFUNCTION("""COMPUTED_VALUE"""),4.0)</f>
        <v>4</v>
      </c>
      <c r="U2728" s="2">
        <f>IFERROR(__xludf.DUMMYFUNCTION("""COMPUTED_VALUE"""),4.0)</f>
        <v>4</v>
      </c>
      <c r="V2728" s="1" t="str">
        <f>IFERROR(__xludf.DUMMYFUNCTION("""COMPUTED_VALUE"""),"Xandy Azarcon")</f>
        <v>Xandy Azarcon</v>
      </c>
      <c r="W2728" s="1" t="str">
        <f>IFERROR(__xludf.DUMMYFUNCTION("""COMPUTED_VALUE"""),"High Sensitivity Support PH")</f>
        <v>High Sensitivity Support PH</v>
      </c>
    </row>
    <row r="2729">
      <c r="O2729" s="1" t="str">
        <f>IFERROR(__xludf.DUMMYFUNCTION("""COMPUTED_VALUE"""),"2026 Mar")</f>
        <v>2026 Mar</v>
      </c>
      <c r="P2729" s="1" t="str">
        <f>IFERROR(__xludf.DUMMYFUNCTION("""COMPUTED_VALUE"""),"High Sensitivity Support")</f>
        <v>High Sensitivity Support</v>
      </c>
      <c r="Q2729" s="1" t="str">
        <f>IFERROR(__xludf.DUMMYFUNCTION("""COMPUTED_VALUE"""),"trishlee@canva.com")</f>
        <v>trishlee@canva.com</v>
      </c>
      <c r="R2729" s="1" t="str">
        <f>IFERROR(__xludf.DUMMYFUNCTION("""COMPUTED_VALUE"""),"Trish Lee")</f>
        <v>Trish Lee</v>
      </c>
      <c r="S2729" s="1"/>
      <c r="T2729" s="1">
        <f>IFERROR(__xludf.DUMMYFUNCTION("""COMPUTED_VALUE"""),3.0)</f>
        <v>3</v>
      </c>
      <c r="U2729" s="2">
        <f>IFERROR(__xludf.DUMMYFUNCTION("""COMPUTED_VALUE"""),3.0)</f>
        <v>3</v>
      </c>
      <c r="V2729" s="1" t="str">
        <f>IFERROR(__xludf.DUMMYFUNCTION("""COMPUTED_VALUE"""),"Issi Afable")</f>
        <v>Issi Afable</v>
      </c>
      <c r="W2729" s="1" t="str">
        <f>IFERROR(__xludf.DUMMYFUNCTION("""COMPUTED_VALUE"""),"High Sensitivity Support PH")</f>
        <v>High Sensitivity Support PH</v>
      </c>
    </row>
    <row r="2730">
      <c r="O2730" s="1" t="str">
        <f>IFERROR(__xludf.DUMMYFUNCTION("""COMPUTED_VALUE"""),"2026 Mar")</f>
        <v>2026 Mar</v>
      </c>
      <c r="P2730" s="1" t="str">
        <f>IFERROR(__xludf.DUMMYFUNCTION("""COMPUTED_VALUE"""),"Print Support")</f>
        <v>Print Support</v>
      </c>
      <c r="Q2730" s="1" t="str">
        <f>IFERROR(__xludf.DUMMYFUNCTION("""COMPUTED_VALUE"""),"trissamiguel@canva.com")</f>
        <v>trissamiguel@canva.com</v>
      </c>
      <c r="R2730" s="1" t="str">
        <f>IFERROR(__xludf.DUMMYFUNCTION("""COMPUTED_VALUE"""),"Trissa Miguel")</f>
        <v>Trissa Miguel</v>
      </c>
      <c r="S2730" s="1"/>
      <c r="T2730" s="1">
        <f>IFERROR(__xludf.DUMMYFUNCTION("""COMPUTED_VALUE"""),18.0)</f>
        <v>18</v>
      </c>
      <c r="U2730" s="2">
        <f>IFERROR(__xludf.DUMMYFUNCTION("""COMPUTED_VALUE"""),18.0)</f>
        <v>18</v>
      </c>
      <c r="V2730" s="1" t="str">
        <f>IFERROR(__xludf.DUMMYFUNCTION("""COMPUTED_VALUE"""),"G-Anne Murillo")</f>
        <v>G-Anne Murillo</v>
      </c>
      <c r="W2730" s="1" t="str">
        <f>IFERROR(__xludf.DUMMYFUNCTION("""COMPUTED_VALUE"""),"Print Design Support")</f>
        <v>Print Design Support</v>
      </c>
    </row>
    <row r="2731">
      <c r="O2731" s="1" t="str">
        <f>IFERROR(__xludf.DUMMYFUNCTION("""COMPUTED_VALUE"""),"2026 Mar")</f>
        <v>2026 Mar</v>
      </c>
      <c r="P2731" s="1" t="str">
        <f>IFERROR(__xludf.DUMMYFUNCTION("""COMPUTED_VALUE"""),"Print Support")</f>
        <v>Print Support</v>
      </c>
      <c r="Q2731" s="1" t="str">
        <f>IFERROR(__xludf.DUMMYFUNCTION("""COMPUTED_VALUE"""),"vlad.b@canva.com")</f>
        <v>vlad.b@canva.com</v>
      </c>
      <c r="R2731" s="1" t="str">
        <f>IFERROR(__xludf.DUMMYFUNCTION("""COMPUTED_VALUE"""),"Vladimir Besana")</f>
        <v>Vladimir Besana</v>
      </c>
      <c r="S2731" s="1"/>
      <c r="T2731" s="1">
        <f>IFERROR(__xludf.DUMMYFUNCTION("""COMPUTED_VALUE"""),38.17)</f>
        <v>38.17</v>
      </c>
      <c r="U2731" s="2">
        <f>IFERROR(__xludf.DUMMYFUNCTION("""COMPUTED_VALUE"""),38.17)</f>
        <v>38.17</v>
      </c>
      <c r="V2731" s="1" t="str">
        <f>IFERROR(__xludf.DUMMYFUNCTION("""COMPUTED_VALUE"""),"Jan Domingo")</f>
        <v>Jan Domingo</v>
      </c>
      <c r="W2731" s="1" t="str">
        <f>IFERROR(__xludf.DUMMYFUNCTION("""COMPUTED_VALUE"""),"Print Design Support")</f>
        <v>Print Design Support</v>
      </c>
    </row>
    <row r="2732">
      <c r="O2732" s="1" t="str">
        <f>IFERROR(__xludf.DUMMYFUNCTION("""COMPUTED_VALUE"""),"2026 Mar")</f>
        <v>2026 Mar</v>
      </c>
      <c r="P2732" s="1" t="str">
        <f>IFERROR(__xludf.DUMMYFUNCTION("""COMPUTED_VALUE"""),"Print Support")</f>
        <v>Print Support</v>
      </c>
      <c r="Q2732" s="1" t="str">
        <f>IFERROR(__xludf.DUMMYFUNCTION("""COMPUTED_VALUE"""),"wesleyp@canva.com")</f>
        <v>wesleyp@canva.com</v>
      </c>
      <c r="R2732" s="1" t="str">
        <f>IFERROR(__xludf.DUMMYFUNCTION("""COMPUTED_VALUE"""),"Wes Paira")</f>
        <v>Wes Paira</v>
      </c>
      <c r="S2732" s="1"/>
      <c r="T2732" s="1"/>
      <c r="U2732" s="2">
        <f>IFERROR(__xludf.DUMMYFUNCTION("""COMPUTED_VALUE"""),0.0)</f>
        <v>0</v>
      </c>
      <c r="V2732" s="1" t="str">
        <f>IFERROR(__xludf.DUMMYFUNCTION("""COMPUTED_VALUE"""),"Memae Faustino")</f>
        <v>Memae Faustino</v>
      </c>
      <c r="W2732" s="1" t="str">
        <f>IFERROR(__xludf.DUMMYFUNCTION("""COMPUTED_VALUE"""),"Print Support PH")</f>
        <v>Print Support PH</v>
      </c>
    </row>
    <row r="2733">
      <c r="O2733" s="1" t="str">
        <f>IFERROR(__xludf.DUMMYFUNCTION("""COMPUTED_VALUE"""),"2026 Mar")</f>
        <v>2026 Mar</v>
      </c>
      <c r="P2733" s="1" t="str">
        <f>IFERROR(__xludf.DUMMYFUNCTION("""COMPUTED_VALUE"""),"Core Product Support")</f>
        <v>Core Product Support</v>
      </c>
      <c r="Q2733" s="1" t="str">
        <f>IFERROR(__xludf.DUMMYFUNCTION("""COMPUTED_VALUE"""),"xy@canva.com")</f>
        <v>xy@canva.com</v>
      </c>
      <c r="R2733" s="1" t="str">
        <f>IFERROR(__xludf.DUMMYFUNCTION("""COMPUTED_VALUE"""),"Xyren Bulan")</f>
        <v>Xyren Bulan</v>
      </c>
      <c r="S2733" s="1">
        <f>IFERROR(__xludf.DUMMYFUNCTION("""COMPUTED_VALUE"""),0.5)</f>
        <v>0.5</v>
      </c>
      <c r="T2733" s="1">
        <f>IFERROR(__xludf.DUMMYFUNCTION("""COMPUTED_VALUE"""),8.5)</f>
        <v>8.5</v>
      </c>
      <c r="U2733" s="2">
        <f>IFERROR(__xludf.DUMMYFUNCTION("""COMPUTED_VALUE"""),9.0)</f>
        <v>9</v>
      </c>
      <c r="V2733" s="1" t="str">
        <f>IFERROR(__xludf.DUMMYFUNCTION("""COMPUTED_VALUE"""),"Vinz Lazaro")</f>
        <v>Vinz Lazaro</v>
      </c>
      <c r="W2733" s="1" t="str">
        <f>IFERROR(__xludf.DUMMYFUNCTION("""COMPUTED_VALUE"""),"Advanced Product Support")</f>
        <v>Advanced Product Support</v>
      </c>
    </row>
    <row r="2734">
      <c r="O2734" s="1" t="str">
        <f>IFERROR(__xludf.DUMMYFUNCTION("""COMPUTED_VALUE"""),"2026 Mar")</f>
        <v>2026 Mar</v>
      </c>
      <c r="P2734" s="1" t="str">
        <f>IFERROR(__xludf.DUMMYFUNCTION("""COMPUTED_VALUE"""),"Print Support")</f>
        <v>Print Support</v>
      </c>
      <c r="Q2734" s="1" t="str">
        <f>IFERROR(__xludf.DUMMYFUNCTION("""COMPUTED_VALUE"""),"ysabel@canva.com")</f>
        <v>ysabel@canva.com</v>
      </c>
      <c r="R2734" s="1" t="str">
        <f>IFERROR(__xludf.DUMMYFUNCTION("""COMPUTED_VALUE"""),"Ysabel Locsin")</f>
        <v>Ysabel Locsin</v>
      </c>
      <c r="S2734" s="1"/>
      <c r="T2734" s="1"/>
      <c r="U2734" s="2">
        <f>IFERROR(__xludf.DUMMYFUNCTION("""COMPUTED_VALUE"""),0.0)</f>
        <v>0</v>
      </c>
      <c r="V2734" s="1" t="str">
        <f>IFERROR(__xludf.DUMMYFUNCTION("""COMPUTED_VALUE"""),"Rei De Jesus")</f>
        <v>Rei De Jesus</v>
      </c>
      <c r="W2734" s="1" t="str">
        <f>IFERROR(__xludf.DUMMYFUNCTION("""COMPUTED_VALUE"""),"Print Design Support")</f>
        <v>Print Design Support</v>
      </c>
    </row>
    <row r="2735">
      <c r="O2735" s="1" t="str">
        <f>IFERROR(__xludf.DUMMYFUNCTION("""COMPUTED_VALUE"""),"2026 Mar")</f>
        <v>2026 Mar</v>
      </c>
      <c r="P2735" s="1" t="str">
        <f>IFERROR(__xludf.DUMMYFUNCTION("""COMPUTED_VALUE"""),"Core Product Support")</f>
        <v>Core Product Support</v>
      </c>
      <c r="Q2735" s="1" t="str">
        <f>IFERROR(__xludf.DUMMYFUNCTION("""COMPUTED_VALUE"""),"ymagno@canva.com")</f>
        <v>ymagno@canva.com</v>
      </c>
      <c r="R2735" s="1" t="str">
        <f>IFERROR(__xludf.DUMMYFUNCTION("""COMPUTED_VALUE"""),"Ysabel Magno")</f>
        <v>Ysabel Magno</v>
      </c>
      <c r="S2735" s="1">
        <f>IFERROR(__xludf.DUMMYFUNCTION("""COMPUTED_VALUE"""),0.5)</f>
        <v>0.5</v>
      </c>
      <c r="T2735" s="1">
        <f>IFERROR(__xludf.DUMMYFUNCTION("""COMPUTED_VALUE"""),8.0)</f>
        <v>8</v>
      </c>
      <c r="U2735" s="2">
        <f>IFERROR(__xludf.DUMMYFUNCTION("""COMPUTED_VALUE"""),8.5)</f>
        <v>8.5</v>
      </c>
      <c r="V2735" s="1" t="str">
        <f>IFERROR(__xludf.DUMMYFUNCTION("""COMPUTED_VALUE"""),"Renette Bok")</f>
        <v>Renette Bok</v>
      </c>
      <c r="W2735" s="1" t="str">
        <f>IFERROR(__xludf.DUMMYFUNCTION("""COMPUTED_VALUE"""),"Advanced Billing &amp; Subscriptions")</f>
        <v>Advanced Billing &amp; Subscriptions</v>
      </c>
    </row>
    <row r="2736">
      <c r="O2736" s="1" t="str">
        <f>IFERROR(__xludf.DUMMYFUNCTION("""COMPUTED_VALUE"""),"2026 Mar")</f>
        <v>2026 Mar</v>
      </c>
      <c r="P2736" s="1" t="str">
        <f>IFERROR(__xludf.DUMMYFUNCTION("""COMPUTED_VALUE"""),"Multilingual Support")</f>
        <v>Multilingual Support</v>
      </c>
      <c r="Q2736" s="1" t="str">
        <f>IFERROR(__xludf.DUMMYFUNCTION("""COMPUTED_VALUE"""),"iuliia@canva.com")</f>
        <v>iuliia@canva.com</v>
      </c>
      <c r="R2736" s="1" t="str">
        <f>IFERROR(__xludf.DUMMYFUNCTION("""COMPUTED_VALUE"""),"Yulya Shevkunova")</f>
        <v>Yulya Shevkunova</v>
      </c>
      <c r="S2736" s="1"/>
      <c r="T2736" s="1">
        <f>IFERROR(__xludf.DUMMYFUNCTION("""COMPUTED_VALUE"""),10.5)</f>
        <v>10.5</v>
      </c>
      <c r="U2736" s="2">
        <f>IFERROR(__xludf.DUMMYFUNCTION("""COMPUTED_VALUE"""),10.5)</f>
        <v>10.5</v>
      </c>
      <c r="V2736" s="1" t="str">
        <f>IFERROR(__xludf.DUMMYFUNCTION("""COMPUTED_VALUE"""),"Arlene Maurillo")</f>
        <v>Arlene Maurillo</v>
      </c>
      <c r="W2736" s="1" t="str">
        <f>IFERROR(__xludf.DUMMYFUNCTION("""COMPUTED_VALUE"""),"PHL, Multilingual Support")</f>
        <v>PHL, Multilingual Support</v>
      </c>
    </row>
    <row r="2737">
      <c r="O2737" s="1" t="str">
        <f>IFERROR(__xludf.DUMMYFUNCTION("""COMPUTED_VALUE"""),"2026 Mar")</f>
        <v>2026 Mar</v>
      </c>
      <c r="P2737" s="1" t="str">
        <f>IFERROR(__xludf.DUMMYFUNCTION("""COMPUTED_VALUE"""),"Core Product Support")</f>
        <v>Core Product Support</v>
      </c>
      <c r="Q2737" s="1" t="str">
        <f>IFERROR(__xludf.DUMMYFUNCTION("""COMPUTED_VALUE"""),"yumi@canva.com")</f>
        <v>yumi@canva.com</v>
      </c>
      <c r="R2737" s="1" t="str">
        <f>IFERROR(__xludf.DUMMYFUNCTION("""COMPUTED_VALUE"""),"Yumi Tominaga")</f>
        <v>Yumi Tominaga</v>
      </c>
      <c r="S2737" s="1"/>
      <c r="T2737" s="1">
        <f>IFERROR(__xludf.DUMMYFUNCTION("""COMPUTED_VALUE"""),6.5)</f>
        <v>6.5</v>
      </c>
      <c r="U2737" s="2">
        <f>IFERROR(__xludf.DUMMYFUNCTION("""COMPUTED_VALUE"""),6.5)</f>
        <v>6.5</v>
      </c>
      <c r="V2737" s="1" t="str">
        <f>IFERROR(__xludf.DUMMYFUNCTION("""COMPUTED_VALUE"""),"Ana Lazaro")</f>
        <v>Ana Lazaro</v>
      </c>
      <c r="W2737" s="1" t="str">
        <f>IFERROR(__xludf.DUMMYFUNCTION("""COMPUTED_VALUE"""),"Advanced Billing &amp; Subscriptions")</f>
        <v>Advanced Billing &amp; Subscriptions</v>
      </c>
    </row>
    <row r="2738">
      <c r="O2738" s="1" t="str">
        <f>IFERROR(__xludf.DUMMYFUNCTION("""COMPUTED_VALUE"""),"2026 Mar")</f>
        <v>2026 Mar</v>
      </c>
      <c r="P2738" s="1" t="str">
        <f>IFERROR(__xludf.DUMMYFUNCTION("""COMPUTED_VALUE"""),"Core Product Support")</f>
        <v>Core Product Support</v>
      </c>
      <c r="Q2738" s="1" t="str">
        <f>IFERROR(__xludf.DUMMYFUNCTION("""COMPUTED_VALUE"""),"yvette@canva.com")</f>
        <v>yvette@canva.com</v>
      </c>
      <c r="R2738" s="1" t="str">
        <f>IFERROR(__xludf.DUMMYFUNCTION("""COMPUTED_VALUE"""),"Yvette Nogoy")</f>
        <v>Yvette Nogoy</v>
      </c>
      <c r="S2738" s="1"/>
      <c r="T2738" s="1">
        <f>IFERROR(__xludf.DUMMYFUNCTION("""COMPUTED_VALUE"""),12.0)</f>
        <v>12</v>
      </c>
      <c r="U2738" s="2">
        <f>IFERROR(__xludf.DUMMYFUNCTION("""COMPUTED_VALUE"""),12.0)</f>
        <v>12</v>
      </c>
      <c r="V2738" s="1" t="str">
        <f>IFERROR(__xludf.DUMMYFUNCTION("""COMPUTED_VALUE"""),"Jelyn Elmido")</f>
        <v>Jelyn Elmido</v>
      </c>
      <c r="W2738" s="1" t="str">
        <f>IFERROR(__xludf.DUMMYFUNCTION("""COMPUTED_VALUE"""),"Core Product Support Escalation Team")</f>
        <v>Core Product Support Escalation Team</v>
      </c>
    </row>
    <row r="2739">
      <c r="O2739" s="1" t="str">
        <f>IFERROR(__xludf.DUMMYFUNCTION("""COMPUTED_VALUE"""),"2026 Mar")</f>
        <v>2026 Mar</v>
      </c>
      <c r="P2739" s="1" t="str">
        <f>IFERROR(__xludf.DUMMYFUNCTION("""COMPUTED_VALUE"""),"Admin Support")</f>
        <v>Admin Support</v>
      </c>
      <c r="Q2739" s="1" t="str">
        <f>IFERROR(__xludf.DUMMYFUNCTION("""COMPUTED_VALUE"""),"yvonne@canva.com")</f>
        <v>yvonne@canva.com</v>
      </c>
      <c r="R2739" s="1" t="str">
        <f>IFERROR(__xludf.DUMMYFUNCTION("""COMPUTED_VALUE"""),"Yvonne Romasanta")</f>
        <v>Yvonne Romasanta</v>
      </c>
      <c r="S2739" s="1"/>
      <c r="T2739" s="1">
        <f>IFERROR(__xludf.DUMMYFUNCTION("""COMPUTED_VALUE"""),5.5)</f>
        <v>5.5</v>
      </c>
      <c r="U2739" s="2">
        <f>IFERROR(__xludf.DUMMYFUNCTION("""COMPUTED_VALUE"""),5.5)</f>
        <v>5.5</v>
      </c>
      <c r="V2739" s="1" t="str">
        <f>IFERROR(__xludf.DUMMYFUNCTION("""COMPUTED_VALUE"""),"Pau Palmero")</f>
        <v>Pau Palmero</v>
      </c>
      <c r="W2739" s="1" t="str">
        <f>IFERROR(__xludf.DUMMYFUNCTION("""COMPUTED_VALUE"""),"Admin Omni Support")</f>
        <v>Admin Omni Support</v>
      </c>
    </row>
    <row r="2740">
      <c r="O2740" s="1" t="str">
        <f>IFERROR(__xludf.DUMMYFUNCTION("""COMPUTED_VALUE"""),"2026 Mar")</f>
        <v>2026 Mar</v>
      </c>
      <c r="P2740" s="1" t="str">
        <f>IFERROR(__xludf.DUMMYFUNCTION("""COMPUTED_VALUE"""),"Print Support")</f>
        <v>Print Support</v>
      </c>
      <c r="Q2740" s="1" t="str">
        <f>IFERROR(__xludf.DUMMYFUNCTION("""COMPUTED_VALUE"""),"zippy@canva.com")</f>
        <v>zippy@canva.com</v>
      </c>
      <c r="R2740" s="1" t="str">
        <f>IFERROR(__xludf.DUMMYFUNCTION("""COMPUTED_VALUE"""),"Zipporah Duque")</f>
        <v>Zipporah Duque</v>
      </c>
      <c r="S2740" s="1"/>
      <c r="T2740" s="1"/>
      <c r="U2740" s="2">
        <f>IFERROR(__xludf.DUMMYFUNCTION("""COMPUTED_VALUE"""),0.0)</f>
        <v>0</v>
      </c>
      <c r="V2740" s="1" t="str">
        <f>IFERROR(__xludf.DUMMYFUNCTION("""COMPUTED_VALUE"""),"Jen Momo")</f>
        <v>Jen Momo</v>
      </c>
      <c r="W2740" s="1" t="str">
        <f>IFERROR(__xludf.DUMMYFUNCTION("""COMPUTED_VALUE"""),"Print Support PH")</f>
        <v>Print Support PH</v>
      </c>
    </row>
    <row r="2741">
      <c r="O2741" s="1" t="str">
        <f>IFERROR(__xludf.DUMMYFUNCTION("""COMPUTED_VALUE"""),"2026 Apr")</f>
        <v>2026 Apr</v>
      </c>
      <c r="P2741" s="1" t="str">
        <f>IFERROR(__xludf.DUMMYFUNCTION("""COMPUTED_VALUE"""),"Segment-specific Support")</f>
        <v>Segment-specific Support</v>
      </c>
      <c r="Q2741" s="1" t="str">
        <f>IFERROR(__xludf.DUMMYFUNCTION("""COMPUTED_VALUE"""),"triplea@canva.com")</f>
        <v>triplea@canva.com</v>
      </c>
      <c r="R2741" s="1" t="str">
        <f>IFERROR(__xludf.DUMMYFUNCTION("""COMPUTED_VALUE"""),"AA Abong")</f>
        <v>AA Abong</v>
      </c>
      <c r="S2741" s="1"/>
      <c r="T2741" s="1"/>
      <c r="U2741" s="2">
        <f>IFERROR(__xludf.DUMMYFUNCTION("""COMPUTED_VALUE"""),0.0)</f>
        <v>0</v>
      </c>
      <c r="V2741" s="1" t="str">
        <f>IFERROR(__xludf.DUMMYFUNCTION("""COMPUTED_VALUE"""),"Jonathan Dimaculangan")</f>
        <v>Jonathan Dimaculangan</v>
      </c>
      <c r="W2741" s="1" t="str">
        <f>IFERROR(__xludf.DUMMYFUNCTION("""COMPUTED_VALUE"""),"Flourish Support")</f>
        <v>Flourish Support</v>
      </c>
    </row>
    <row r="2742">
      <c r="O2742" s="1" t="str">
        <f>IFERROR(__xludf.DUMMYFUNCTION("""COMPUTED_VALUE"""),"2026 Apr")</f>
        <v>2026 Apr</v>
      </c>
      <c r="P2742" s="1" t="str">
        <f>IFERROR(__xludf.DUMMYFUNCTION("""COMPUTED_VALUE"""),"Core Product Support")</f>
        <v>Core Product Support</v>
      </c>
      <c r="Q2742" s="1" t="str">
        <f>IFERROR(__xludf.DUMMYFUNCTION("""COMPUTED_VALUE"""),"adrielcarlosv@canva.com")</f>
        <v>adrielcarlosv@canva.com</v>
      </c>
      <c r="R2742" s="1" t="str">
        <f>IFERROR(__xludf.DUMMYFUNCTION("""COMPUTED_VALUE"""),"Adriel Vicencio")</f>
        <v>Adriel Vicencio</v>
      </c>
      <c r="S2742" s="1">
        <f>IFERROR(__xludf.DUMMYFUNCTION("""COMPUTED_VALUE"""),1.0)</f>
        <v>1</v>
      </c>
      <c r="T2742" s="1">
        <f>IFERROR(__xludf.DUMMYFUNCTION("""COMPUTED_VALUE"""),2.0)</f>
        <v>2</v>
      </c>
      <c r="U2742" s="2">
        <f>IFERROR(__xludf.DUMMYFUNCTION("""COMPUTED_VALUE"""),3.0)</f>
        <v>3</v>
      </c>
      <c r="V2742" s="1" t="str">
        <f>IFERROR(__xludf.DUMMYFUNCTION("""COMPUTED_VALUE"""),"Jem Mondoñedo")</f>
        <v>Jem Mondoñedo</v>
      </c>
      <c r="W2742" s="1" t="str">
        <f>IFERROR(__xludf.DUMMYFUNCTION("""COMPUTED_VALUE"""),"Advanced Billing &amp; Subscriptions")</f>
        <v>Advanced Billing &amp; Subscriptions</v>
      </c>
    </row>
    <row r="2743">
      <c r="O2743" s="1" t="str">
        <f>IFERROR(__xludf.DUMMYFUNCTION("""COMPUTED_VALUE"""),"2026 Apr")</f>
        <v>2026 Apr</v>
      </c>
      <c r="P2743" s="1" t="str">
        <f>IFERROR(__xludf.DUMMYFUNCTION("""COMPUTED_VALUE"""),"Admin Support")</f>
        <v>Admin Support</v>
      </c>
      <c r="Q2743" s="1" t="str">
        <f>IFERROR(__xludf.DUMMYFUNCTION("""COMPUTED_VALUE"""),"agathartt@canva.com")</f>
        <v>agathartt@canva.com</v>
      </c>
      <c r="R2743" s="1" t="str">
        <f>IFERROR(__xludf.DUMMYFUNCTION("""COMPUTED_VALUE"""),"Agatha Torres")</f>
        <v>Agatha Torres</v>
      </c>
      <c r="S2743" s="1"/>
      <c r="T2743" s="1"/>
      <c r="U2743" s="2">
        <f>IFERROR(__xludf.DUMMYFUNCTION("""COMPUTED_VALUE"""),0.0)</f>
        <v>0</v>
      </c>
      <c r="V2743" s="1" t="str">
        <f>IFERROR(__xludf.DUMMYFUNCTION("""COMPUTED_VALUE"""),"AL Suarez")</f>
        <v>AL Suarez</v>
      </c>
      <c r="W2743" s="1" t="str">
        <f>IFERROR(__xludf.DUMMYFUNCTION("""COMPUTED_VALUE"""),"Advanced Billing &amp; Subscriptions")</f>
        <v>Advanced Billing &amp; Subscriptions</v>
      </c>
    </row>
    <row r="2744">
      <c r="O2744" s="1" t="str">
        <f>IFERROR(__xludf.DUMMYFUNCTION("""COMPUTED_VALUE"""),"2026 Apr")</f>
        <v>2026 Apr</v>
      </c>
      <c r="P2744" s="1" t="str">
        <f>IFERROR(__xludf.DUMMYFUNCTION("""COMPUTED_VALUE"""),"Print Support")</f>
        <v>Print Support</v>
      </c>
      <c r="Q2744" s="1" t="str">
        <f>IFERROR(__xludf.DUMMYFUNCTION("""COMPUTED_VALUE"""),"aileen.a@canva.com")</f>
        <v>aileen.a@canva.com</v>
      </c>
      <c r="R2744" s="1" t="str">
        <f>IFERROR(__xludf.DUMMYFUNCTION("""COMPUTED_VALUE"""),"Aileen Alipio")</f>
        <v>Aileen Alipio</v>
      </c>
      <c r="S2744" s="1"/>
      <c r="T2744" s="1">
        <f>IFERROR(__xludf.DUMMYFUNCTION("""COMPUTED_VALUE"""),27.0)</f>
        <v>27</v>
      </c>
      <c r="U2744" s="2">
        <f>IFERROR(__xludf.DUMMYFUNCTION("""COMPUTED_VALUE"""),27.0)</f>
        <v>27</v>
      </c>
      <c r="V2744" s="1" t="str">
        <f>IFERROR(__xludf.DUMMYFUNCTION("""COMPUTED_VALUE"""),"Gem Agoncillo")</f>
        <v>Gem Agoncillo</v>
      </c>
      <c r="W2744" s="1" t="str">
        <f>IFERROR(__xludf.DUMMYFUNCTION("""COMPUTED_VALUE"""),"Print Design Support")</f>
        <v>Print Design Support</v>
      </c>
    </row>
    <row r="2745">
      <c r="O2745" s="1" t="str">
        <f>IFERROR(__xludf.DUMMYFUNCTION("""COMPUTED_VALUE"""),"2026 Apr")</f>
        <v>2026 Apr</v>
      </c>
      <c r="P2745" s="1" t="str">
        <f>IFERROR(__xludf.DUMMYFUNCTION("""COMPUTED_VALUE"""),"Core Product Support")</f>
        <v>Core Product Support</v>
      </c>
      <c r="Q2745" s="1" t="str">
        <f>IFERROR(__xludf.DUMMYFUNCTION("""COMPUTED_VALUE"""),"ailyn@canva.com")</f>
        <v>ailyn@canva.com</v>
      </c>
      <c r="R2745" s="1" t="str">
        <f>IFERROR(__xludf.DUMMYFUNCTION("""COMPUTED_VALUE"""),"Ailyn Grana")</f>
        <v>Ailyn Grana</v>
      </c>
      <c r="S2745" s="1">
        <f>IFERROR(__xludf.DUMMYFUNCTION("""COMPUTED_VALUE"""),1.0)</f>
        <v>1</v>
      </c>
      <c r="T2745" s="1">
        <f>IFERROR(__xludf.DUMMYFUNCTION("""COMPUTED_VALUE"""),2.25)</f>
        <v>2.25</v>
      </c>
      <c r="U2745" s="2">
        <f>IFERROR(__xludf.DUMMYFUNCTION("""COMPUTED_VALUE"""),3.25)</f>
        <v>3.25</v>
      </c>
      <c r="V2745" s="1" t="str">
        <f>IFERROR(__xludf.DUMMYFUNCTION("""COMPUTED_VALUE"""),"Belle Bentazal")</f>
        <v>Belle Bentazal</v>
      </c>
      <c r="W2745" s="1" t="str">
        <f>IFERROR(__xludf.DUMMYFUNCTION("""COMPUTED_VALUE"""),"Advanced Product Support")</f>
        <v>Advanced Product Support</v>
      </c>
    </row>
    <row r="2746">
      <c r="O2746" s="1" t="str">
        <f>IFERROR(__xludf.DUMMYFUNCTION("""COMPUTED_VALUE"""),"2026 Apr")</f>
        <v>2026 Apr</v>
      </c>
      <c r="P2746" s="1" t="str">
        <f>IFERROR(__xludf.DUMMYFUNCTION("""COMPUTED_VALUE"""),"Segment-specific Support")</f>
        <v>Segment-specific Support</v>
      </c>
      <c r="Q2746" s="1" t="str">
        <f>IFERROR(__xludf.DUMMYFUNCTION("""COMPUTED_VALUE"""),"andria@canva.com")</f>
        <v>andria@canva.com</v>
      </c>
      <c r="R2746" s="1" t="str">
        <f>IFERROR(__xludf.DUMMYFUNCTION("""COMPUTED_VALUE"""),"Alex Batusin")</f>
        <v>Alex Batusin</v>
      </c>
      <c r="S2746" s="1"/>
      <c r="T2746" s="1"/>
      <c r="U2746" s="2">
        <f>IFERROR(__xludf.DUMMYFUNCTION("""COMPUTED_VALUE"""),0.0)</f>
        <v>0</v>
      </c>
      <c r="V2746" s="1" t="str">
        <f>IFERROR(__xludf.DUMMYFUNCTION("""COMPUTED_VALUE"""),"Aileen Dayanghirang")</f>
        <v>Aileen Dayanghirang</v>
      </c>
      <c r="W2746" s="1" t="str">
        <f>IFERROR(__xludf.DUMMYFUNCTION("""COMPUTED_VALUE"""),"Creators Support")</f>
        <v>Creators Support</v>
      </c>
    </row>
    <row r="2747">
      <c r="O2747" s="1" t="str">
        <f>IFERROR(__xludf.DUMMYFUNCTION("""COMPUTED_VALUE"""),"2026 Apr")</f>
        <v>2026 Apr</v>
      </c>
      <c r="P2747" s="1" t="str">
        <f>IFERROR(__xludf.DUMMYFUNCTION("""COMPUTED_VALUE"""),"Segment-specific Support")</f>
        <v>Segment-specific Support</v>
      </c>
      <c r="Q2747" s="1" t="str">
        <f>IFERROR(__xludf.DUMMYFUNCTION("""COMPUTED_VALUE"""),"adtolentino@canva.com")</f>
        <v>adtolentino@canva.com</v>
      </c>
      <c r="R2747" s="1" t="str">
        <f>IFERROR(__xludf.DUMMYFUNCTION("""COMPUTED_VALUE"""),"Alfred Devon Tolentino")</f>
        <v>Alfred Devon Tolentino</v>
      </c>
      <c r="S2747" s="1"/>
      <c r="T2747" s="1"/>
      <c r="U2747" s="2">
        <f>IFERROR(__xludf.DUMMYFUNCTION("""COMPUTED_VALUE"""),0.0)</f>
        <v>0</v>
      </c>
      <c r="V2747" s="1" t="str">
        <f>IFERROR(__xludf.DUMMYFUNCTION("""COMPUTED_VALUE"""),"Jonathan Dimaculangan")</f>
        <v>Jonathan Dimaculangan</v>
      </c>
      <c r="W2747" s="1" t="str">
        <f>IFERROR(__xludf.DUMMYFUNCTION("""COMPUTED_VALUE"""),"Flourish Support")</f>
        <v>Flourish Support</v>
      </c>
    </row>
    <row r="2748">
      <c r="O2748" s="1" t="str">
        <f>IFERROR(__xludf.DUMMYFUNCTION("""COMPUTED_VALUE"""),"2026 Apr")</f>
        <v>2026 Apr</v>
      </c>
      <c r="P2748" s="1" t="str">
        <f>IFERROR(__xludf.DUMMYFUNCTION("""COMPUTED_VALUE"""),"Admin Support")</f>
        <v>Admin Support</v>
      </c>
      <c r="Q2748" s="1" t="str">
        <f>IFERROR(__xludf.DUMMYFUNCTION("""COMPUTED_VALUE"""),"alicec@canva.com")</f>
        <v>alicec@canva.com</v>
      </c>
      <c r="R2748" s="1" t="str">
        <f>IFERROR(__xludf.DUMMYFUNCTION("""COMPUTED_VALUE"""),"Alice Creiser")</f>
        <v>Alice Creiser</v>
      </c>
      <c r="S2748" s="1"/>
      <c r="T2748" s="1"/>
      <c r="U2748" s="2">
        <f>IFERROR(__xludf.DUMMYFUNCTION("""COMPUTED_VALUE"""),0.0)</f>
        <v>0</v>
      </c>
      <c r="V2748" s="1" t="str">
        <f>IFERROR(__xludf.DUMMYFUNCTION("""COMPUTED_VALUE"""),"Tash Kelly")</f>
        <v>Tash Kelly</v>
      </c>
      <c r="W2748" s="1" t="str">
        <f>IFERROR(__xludf.DUMMYFUNCTION("""COMPUTED_VALUE"""),"Admin Support EMEA")</f>
        <v>Admin Support EMEA</v>
      </c>
    </row>
    <row r="2749">
      <c r="O2749" s="1" t="str">
        <f>IFERROR(__xludf.DUMMYFUNCTION("""COMPUTED_VALUE"""),"2026 Apr")</f>
        <v>2026 Apr</v>
      </c>
      <c r="P2749" s="1" t="str">
        <f>IFERROR(__xludf.DUMMYFUNCTION("""COMPUTED_VALUE"""),"Segment-specific Support")</f>
        <v>Segment-specific Support</v>
      </c>
      <c r="Q2749" s="1" t="str">
        <f>IFERROR(__xludf.DUMMYFUNCTION("""COMPUTED_VALUE"""),"alyanna@canva.com")</f>
        <v>alyanna@canva.com</v>
      </c>
      <c r="R2749" s="1" t="str">
        <f>IFERROR(__xludf.DUMMYFUNCTION("""COMPUTED_VALUE"""),"Alyanna Ramos")</f>
        <v>Alyanna Ramos</v>
      </c>
      <c r="S2749" s="1"/>
      <c r="T2749" s="1">
        <f>IFERROR(__xludf.DUMMYFUNCTION("""COMPUTED_VALUE"""),0.17)</f>
        <v>0.17</v>
      </c>
      <c r="U2749" s="2">
        <f>IFERROR(__xludf.DUMMYFUNCTION("""COMPUTED_VALUE"""),0.17)</f>
        <v>0.17</v>
      </c>
      <c r="V2749" s="1" t="str">
        <f>IFERROR(__xludf.DUMMYFUNCTION("""COMPUTED_VALUE"""),"Rose Gabilan")</f>
        <v>Rose Gabilan</v>
      </c>
      <c r="W2749" s="1" t="str">
        <f>IFERROR(__xludf.DUMMYFUNCTION("""COMPUTED_VALUE"""),"Affinity Support")</f>
        <v>Affinity Support</v>
      </c>
    </row>
    <row r="2750">
      <c r="O2750" s="1" t="str">
        <f>IFERROR(__xludf.DUMMYFUNCTION("""COMPUTED_VALUE"""),"2026 Apr")</f>
        <v>2026 Apr</v>
      </c>
      <c r="P2750" s="1" t="str">
        <f>IFERROR(__xludf.DUMMYFUNCTION("""COMPUTED_VALUE"""),"Print Support")</f>
        <v>Print Support</v>
      </c>
      <c r="Q2750" s="1" t="str">
        <f>IFERROR(__xludf.DUMMYFUNCTION("""COMPUTED_VALUE"""),"alyssam@canva.com")</f>
        <v>alyssam@canva.com</v>
      </c>
      <c r="R2750" s="1" t="str">
        <f>IFERROR(__xludf.DUMMYFUNCTION("""COMPUTED_VALUE"""),"Alyssa Martin-Silao")</f>
        <v>Alyssa Martin-Silao</v>
      </c>
      <c r="S2750" s="1"/>
      <c r="T2750" s="1"/>
      <c r="U2750" s="2">
        <f>IFERROR(__xludf.DUMMYFUNCTION("""COMPUTED_VALUE"""),0.0)</f>
        <v>0</v>
      </c>
      <c r="V2750" s="1" t="str">
        <f>IFERROR(__xludf.DUMMYFUNCTION("""COMPUTED_VALUE"""),"Rae Erlano")</f>
        <v>Rae Erlano</v>
      </c>
      <c r="W2750" s="1" t="str">
        <f>IFERROR(__xludf.DUMMYFUNCTION("""COMPUTED_VALUE"""),"Print Support PH")</f>
        <v>Print Support PH</v>
      </c>
    </row>
    <row r="2751">
      <c r="O2751" s="1" t="str">
        <f>IFERROR(__xludf.DUMMYFUNCTION("""COMPUTED_VALUE"""),"2026 Apr")</f>
        <v>2026 Apr</v>
      </c>
      <c r="P2751" s="1" t="str">
        <f>IFERROR(__xludf.DUMMYFUNCTION("""COMPUTED_VALUE"""),"Print Support")</f>
        <v>Print Support</v>
      </c>
      <c r="Q2751" s="1" t="str">
        <f>IFERROR(__xludf.DUMMYFUNCTION("""COMPUTED_VALUE"""),"alyssas@canva.com")</f>
        <v>alyssas@canva.com</v>
      </c>
      <c r="R2751" s="1" t="str">
        <f>IFERROR(__xludf.DUMMYFUNCTION("""COMPUTED_VALUE"""),"Alyssa Sunga")</f>
        <v>Alyssa Sunga</v>
      </c>
      <c r="S2751" s="1"/>
      <c r="T2751" s="1"/>
      <c r="U2751" s="2">
        <f>IFERROR(__xludf.DUMMYFUNCTION("""COMPUTED_VALUE"""),0.0)</f>
        <v>0</v>
      </c>
      <c r="V2751" s="1" t="str">
        <f>IFERROR(__xludf.DUMMYFUNCTION("""COMPUTED_VALUE"""),"Althea Mercado")</f>
        <v>Althea Mercado</v>
      </c>
      <c r="W2751" s="1" t="str">
        <f>IFERROR(__xludf.DUMMYFUNCTION("""COMPUTED_VALUE"""),"Print Support PH")</f>
        <v>Print Support PH</v>
      </c>
    </row>
    <row r="2752">
      <c r="O2752" s="1" t="str">
        <f>IFERROR(__xludf.DUMMYFUNCTION("""COMPUTED_VALUE"""),"2026 Apr")</f>
        <v>2026 Apr</v>
      </c>
      <c r="P2752" s="1" t="str">
        <f>IFERROR(__xludf.DUMMYFUNCTION("""COMPUTED_VALUE"""),"Print Support")</f>
        <v>Print Support</v>
      </c>
      <c r="Q2752" s="1" t="str">
        <f>IFERROR(__xludf.DUMMYFUNCTION("""COMPUTED_VALUE"""),"andrea.g@canva.com")</f>
        <v>andrea.g@canva.com</v>
      </c>
      <c r="R2752" s="1" t="str">
        <f>IFERROR(__xludf.DUMMYFUNCTION("""COMPUTED_VALUE"""),"Andrea Gutierrez")</f>
        <v>Andrea Gutierrez</v>
      </c>
      <c r="S2752" s="1"/>
      <c r="T2752" s="1"/>
      <c r="U2752" s="2">
        <f>IFERROR(__xludf.DUMMYFUNCTION("""COMPUTED_VALUE"""),0.0)</f>
        <v>0</v>
      </c>
      <c r="V2752" s="1" t="str">
        <f>IFERROR(__xludf.DUMMYFUNCTION("""COMPUTED_VALUE"""),"G-Anne Murillo")</f>
        <v>G-Anne Murillo</v>
      </c>
      <c r="W2752" s="1" t="str">
        <f>IFERROR(__xludf.DUMMYFUNCTION("""COMPUTED_VALUE"""),"Print Design Support")</f>
        <v>Print Design Support</v>
      </c>
    </row>
    <row r="2753">
      <c r="O2753" s="1" t="str">
        <f>IFERROR(__xludf.DUMMYFUNCTION("""COMPUTED_VALUE"""),"2026 Apr")</f>
        <v>2026 Apr</v>
      </c>
      <c r="P2753" s="1" t="str">
        <f>IFERROR(__xludf.DUMMYFUNCTION("""COMPUTED_VALUE"""),"High Sensitivity Support")</f>
        <v>High Sensitivity Support</v>
      </c>
      <c r="Q2753" s="1" t="str">
        <f>IFERROR(__xludf.DUMMYFUNCTION("""COMPUTED_VALUE"""),"andreimg@canva.com")</f>
        <v>andreimg@canva.com</v>
      </c>
      <c r="R2753" s="1" t="str">
        <f>IFERROR(__xludf.DUMMYFUNCTION("""COMPUTED_VALUE"""),"Andrei Galutan")</f>
        <v>Andrei Galutan</v>
      </c>
      <c r="S2753" s="1"/>
      <c r="T2753" s="1"/>
      <c r="U2753" s="2">
        <f>IFERROR(__xludf.DUMMYFUNCTION("""COMPUTED_VALUE"""),0.0)</f>
        <v>0</v>
      </c>
      <c r="V2753" s="1" t="str">
        <f>IFERROR(__xludf.DUMMYFUNCTION("""COMPUTED_VALUE"""),"Rex Villamor")</f>
        <v>Rex Villamor</v>
      </c>
      <c r="W2753" s="1" t="str">
        <f>IFERROR(__xludf.DUMMYFUNCTION("""COMPUTED_VALUE"""),"Advanced Product Support")</f>
        <v>Advanced Product Support</v>
      </c>
    </row>
    <row r="2754">
      <c r="O2754" s="1" t="str">
        <f>IFERROR(__xludf.DUMMYFUNCTION("""COMPUTED_VALUE"""),"2026 Apr")</f>
        <v>2026 Apr</v>
      </c>
      <c r="P2754" s="1" t="str">
        <f>IFERROR(__xludf.DUMMYFUNCTION("""COMPUTED_VALUE"""),"Core Product Support")</f>
        <v>Core Product Support</v>
      </c>
      <c r="Q2754" s="1" t="str">
        <f>IFERROR(__xludf.DUMMYFUNCTION("""COMPUTED_VALUE"""),"aalemania@canva.com")</f>
        <v>aalemania@canva.com</v>
      </c>
      <c r="R2754" s="1" t="str">
        <f>IFERROR(__xludf.DUMMYFUNCTION("""COMPUTED_VALUE"""),"Angel Alemania")</f>
        <v>Angel Alemania</v>
      </c>
      <c r="S2754" s="1">
        <f>IFERROR(__xludf.DUMMYFUNCTION("""COMPUTED_VALUE"""),0.5)</f>
        <v>0.5</v>
      </c>
      <c r="T2754" s="1">
        <f>IFERROR(__xludf.DUMMYFUNCTION("""COMPUTED_VALUE"""),5.25)</f>
        <v>5.25</v>
      </c>
      <c r="U2754" s="2">
        <f>IFERROR(__xludf.DUMMYFUNCTION("""COMPUTED_VALUE"""),5.75)</f>
        <v>5.75</v>
      </c>
      <c r="V2754" s="1" t="str">
        <f>IFERROR(__xludf.DUMMYFUNCTION("""COMPUTED_VALUE"""),"Sieg Ballelos")</f>
        <v>Sieg Ballelos</v>
      </c>
      <c r="W2754" s="1" t="str">
        <f>IFERROR(__xludf.DUMMYFUNCTION("""COMPUTED_VALUE"""),"Core Product Support Escalation Team")</f>
        <v>Core Product Support Escalation Team</v>
      </c>
    </row>
    <row r="2755">
      <c r="O2755" s="1" t="str">
        <f>IFERROR(__xludf.DUMMYFUNCTION("""COMPUTED_VALUE"""),"2026 Apr")</f>
        <v>2026 Apr</v>
      </c>
      <c r="P2755" s="1" t="str">
        <f>IFERROR(__xludf.DUMMYFUNCTION("""COMPUTED_VALUE"""),"Admin Support")</f>
        <v>Admin Support</v>
      </c>
      <c r="Q2755" s="1" t="str">
        <f>IFERROR(__xludf.DUMMYFUNCTION("""COMPUTED_VALUE"""),"angelc@canva.com")</f>
        <v>angelc@canva.com</v>
      </c>
      <c r="R2755" s="1" t="str">
        <f>IFERROR(__xludf.DUMMYFUNCTION("""COMPUTED_VALUE"""),"Angel Cabrera")</f>
        <v>Angel Cabrera</v>
      </c>
      <c r="S2755" s="1"/>
      <c r="T2755" s="1">
        <f>IFERROR(__xludf.DUMMYFUNCTION("""COMPUTED_VALUE"""),0.75)</f>
        <v>0.75</v>
      </c>
      <c r="U2755" s="2">
        <f>IFERROR(__xludf.DUMMYFUNCTION("""COMPUTED_VALUE"""),0.75)</f>
        <v>0.75</v>
      </c>
      <c r="V2755" s="1" t="str">
        <f>IFERROR(__xludf.DUMMYFUNCTION("""COMPUTED_VALUE"""),"Ann Dumlao")</f>
        <v>Ann Dumlao</v>
      </c>
      <c r="W2755" s="1" t="str">
        <f>IFERROR(__xludf.DUMMYFUNCTION("""COMPUTED_VALUE"""),"Admin Omni Support")</f>
        <v>Admin Omni Support</v>
      </c>
    </row>
    <row r="2756">
      <c r="O2756" s="1" t="str">
        <f>IFERROR(__xludf.DUMMYFUNCTION("""COMPUTED_VALUE"""),"2026 Apr")</f>
        <v>2026 Apr</v>
      </c>
      <c r="P2756" s="1" t="str">
        <f>IFERROR(__xludf.DUMMYFUNCTION("""COMPUTED_VALUE"""),"Segment-specific Support")</f>
        <v>Segment-specific Support</v>
      </c>
      <c r="Q2756" s="1" t="str">
        <f>IFERROR(__xludf.DUMMYFUNCTION("""COMPUTED_VALUE"""),"angelheart@canva.com")</f>
        <v>angelheart@canva.com</v>
      </c>
      <c r="R2756" s="1" t="str">
        <f>IFERROR(__xludf.DUMMYFUNCTION("""COMPUTED_VALUE"""),"Angel Heart Santos")</f>
        <v>Angel Heart Santos</v>
      </c>
      <c r="S2756" s="1"/>
      <c r="T2756" s="1"/>
      <c r="U2756" s="2">
        <f>IFERROR(__xludf.DUMMYFUNCTION("""COMPUTED_VALUE"""),0.0)</f>
        <v>0</v>
      </c>
      <c r="V2756" s="1" t="str">
        <f>IFERROR(__xludf.DUMMYFUNCTION("""COMPUTED_VALUE"""),"Jonathan Dimaculangan")</f>
        <v>Jonathan Dimaculangan</v>
      </c>
      <c r="W2756" s="1" t="str">
        <f>IFERROR(__xludf.DUMMYFUNCTION("""COMPUTED_VALUE"""),"Flourish Support")</f>
        <v>Flourish Support</v>
      </c>
    </row>
    <row r="2757">
      <c r="O2757" s="1" t="str">
        <f>IFERROR(__xludf.DUMMYFUNCTION("""COMPUTED_VALUE"""),"2026 Apr")</f>
        <v>2026 Apr</v>
      </c>
      <c r="P2757" s="1" t="str">
        <f>IFERROR(__xludf.DUMMYFUNCTION("""COMPUTED_VALUE"""),"Core Product Support")</f>
        <v>Core Product Support</v>
      </c>
      <c r="Q2757" s="1" t="str">
        <f>IFERROR(__xludf.DUMMYFUNCTION("""COMPUTED_VALUE"""),"angelm@canva.com")</f>
        <v>angelm@canva.com</v>
      </c>
      <c r="R2757" s="1" t="str">
        <f>IFERROR(__xludf.DUMMYFUNCTION("""COMPUTED_VALUE"""),"Angel Medina")</f>
        <v>Angel Medina</v>
      </c>
      <c r="S2757" s="1">
        <f>IFERROR(__xludf.DUMMYFUNCTION("""COMPUTED_VALUE"""),0.5)</f>
        <v>0.5</v>
      </c>
      <c r="T2757" s="1">
        <f>IFERROR(__xludf.DUMMYFUNCTION("""COMPUTED_VALUE"""),4.0)</f>
        <v>4</v>
      </c>
      <c r="U2757" s="2">
        <f>IFERROR(__xludf.DUMMYFUNCTION("""COMPUTED_VALUE"""),4.5)</f>
        <v>4.5</v>
      </c>
      <c r="V2757" s="1" t="str">
        <f>IFERROR(__xludf.DUMMYFUNCTION("""COMPUTED_VALUE"""),"Ellaine Estayo")</f>
        <v>Ellaine Estayo</v>
      </c>
      <c r="W2757" s="1" t="str">
        <f>IFERROR(__xludf.DUMMYFUNCTION("""COMPUTED_VALUE"""),"Core Product Support Escalation Team")</f>
        <v>Core Product Support Escalation Team</v>
      </c>
    </row>
    <row r="2758">
      <c r="O2758" s="1" t="str">
        <f>IFERROR(__xludf.DUMMYFUNCTION("""COMPUTED_VALUE"""),"2026 Apr")</f>
        <v>2026 Apr</v>
      </c>
      <c r="P2758" s="1" t="str">
        <f>IFERROR(__xludf.DUMMYFUNCTION("""COMPUTED_VALUE"""),"Print Support")</f>
        <v>Print Support</v>
      </c>
      <c r="Q2758" s="1" t="str">
        <f>IFERROR(__xludf.DUMMYFUNCTION("""COMPUTED_VALUE"""),"angelf@canva.com")</f>
        <v>angelf@canva.com</v>
      </c>
      <c r="R2758" s="1" t="str">
        <f>IFERROR(__xludf.DUMMYFUNCTION("""COMPUTED_VALUE"""),"Angel Merilleno")</f>
        <v>Angel Merilleno</v>
      </c>
      <c r="S2758" s="1"/>
      <c r="T2758" s="1"/>
      <c r="U2758" s="2">
        <f>IFERROR(__xludf.DUMMYFUNCTION("""COMPUTED_VALUE"""),0.0)</f>
        <v>0</v>
      </c>
      <c r="V2758" s="1" t="str">
        <f>IFERROR(__xludf.DUMMYFUNCTION("""COMPUTED_VALUE"""),"Louise Dianne Estrella")</f>
        <v>Louise Dianne Estrella</v>
      </c>
      <c r="W2758" s="1" t="str">
        <f>IFERROR(__xludf.DUMMYFUNCTION("""COMPUTED_VALUE"""),"Print Support PH")</f>
        <v>Print Support PH</v>
      </c>
    </row>
    <row r="2759">
      <c r="O2759" s="1" t="str">
        <f>IFERROR(__xludf.DUMMYFUNCTION("""COMPUTED_VALUE"""),"2026 Apr")</f>
        <v>2026 Apr</v>
      </c>
      <c r="P2759" s="1" t="str">
        <f>IFERROR(__xludf.DUMMYFUNCTION("""COMPUTED_VALUE"""),"Core Product Support")</f>
        <v>Core Product Support</v>
      </c>
      <c r="Q2759" s="1" t="str">
        <f>IFERROR(__xludf.DUMMYFUNCTION("""COMPUTED_VALUE"""),"angelic@canva.com")</f>
        <v>angelic@canva.com</v>
      </c>
      <c r="R2759" s="1" t="str">
        <f>IFERROR(__xludf.DUMMYFUNCTION("""COMPUTED_VALUE"""),"Angel Ramas")</f>
        <v>Angel Ramas</v>
      </c>
      <c r="S2759" s="1">
        <f>IFERROR(__xludf.DUMMYFUNCTION("""COMPUTED_VALUE"""),1.0)</f>
        <v>1</v>
      </c>
      <c r="T2759" s="1">
        <f>IFERROR(__xludf.DUMMYFUNCTION("""COMPUTED_VALUE"""),2.0)</f>
        <v>2</v>
      </c>
      <c r="U2759" s="2">
        <f>IFERROR(__xludf.DUMMYFUNCTION("""COMPUTED_VALUE"""),3.0)</f>
        <v>3</v>
      </c>
      <c r="V2759" s="1" t="str">
        <f>IFERROR(__xludf.DUMMYFUNCTION("""COMPUTED_VALUE"""),"Marie Mordeno")</f>
        <v>Marie Mordeno</v>
      </c>
      <c r="W2759" s="1" t="str">
        <f>IFERROR(__xludf.DUMMYFUNCTION("""COMPUTED_VALUE"""),"Advanced Billing &amp; Subscriptions")</f>
        <v>Advanced Billing &amp; Subscriptions</v>
      </c>
    </row>
    <row r="2760">
      <c r="O2760" s="1" t="str">
        <f>IFERROR(__xludf.DUMMYFUNCTION("""COMPUTED_VALUE"""),"2026 Apr")</f>
        <v>2026 Apr</v>
      </c>
      <c r="P2760" s="1" t="str">
        <f>IFERROR(__xludf.DUMMYFUNCTION("""COMPUTED_VALUE"""),"Segment-specific Support")</f>
        <v>Segment-specific Support</v>
      </c>
      <c r="Q2760" s="1" t="str">
        <f>IFERROR(__xludf.DUMMYFUNCTION("""COMPUTED_VALUE"""),"adflora@canva.com")</f>
        <v>adflora@canva.com</v>
      </c>
      <c r="R2760" s="1" t="str">
        <f>IFERROR(__xludf.DUMMYFUNCTION("""COMPUTED_VALUE"""),"Angela Flora")</f>
        <v>Angela Flora</v>
      </c>
      <c r="S2760" s="1"/>
      <c r="T2760" s="1">
        <f>IFERROR(__xludf.DUMMYFUNCTION("""COMPUTED_VALUE"""),0.17)</f>
        <v>0.17</v>
      </c>
      <c r="U2760" s="2">
        <f>IFERROR(__xludf.DUMMYFUNCTION("""COMPUTED_VALUE"""),0.17)</f>
        <v>0.17</v>
      </c>
      <c r="V2760" s="1" t="str">
        <f>IFERROR(__xludf.DUMMYFUNCTION("""COMPUTED_VALUE"""),"Gucci Nava")</f>
        <v>Gucci Nava</v>
      </c>
      <c r="W2760" s="1" t="str">
        <f>IFERROR(__xludf.DUMMYFUNCTION("""COMPUTED_VALUE"""),"Print Support PH")</f>
        <v>Print Support PH</v>
      </c>
    </row>
    <row r="2761">
      <c r="O2761" s="1" t="str">
        <f>IFERROR(__xludf.DUMMYFUNCTION("""COMPUTED_VALUE"""),"2026 Apr")</f>
        <v>2026 Apr</v>
      </c>
      <c r="P2761" s="1" t="str">
        <f>IFERROR(__xludf.DUMMYFUNCTION("""COMPUTED_VALUE"""),"Core Product Support")</f>
        <v>Core Product Support</v>
      </c>
      <c r="Q2761" s="1" t="str">
        <f>IFERROR(__xludf.DUMMYFUNCTION("""COMPUTED_VALUE"""),"annaalberto@canva.com")</f>
        <v>annaalberto@canva.com</v>
      </c>
      <c r="R2761" s="1" t="str">
        <f>IFERROR(__xludf.DUMMYFUNCTION("""COMPUTED_VALUE"""),"Anna Alberto-Felipe")</f>
        <v>Anna Alberto-Felipe</v>
      </c>
      <c r="S2761" s="1">
        <f>IFERROR(__xludf.DUMMYFUNCTION("""COMPUTED_VALUE"""),1.0)</f>
        <v>1</v>
      </c>
      <c r="T2761" s="1">
        <f>IFERROR(__xludf.DUMMYFUNCTION("""COMPUTED_VALUE"""),2.25)</f>
        <v>2.25</v>
      </c>
      <c r="U2761" s="2">
        <f>IFERROR(__xludf.DUMMYFUNCTION("""COMPUTED_VALUE"""),3.25)</f>
        <v>3.25</v>
      </c>
      <c r="V2761" s="1" t="str">
        <f>IFERROR(__xludf.DUMMYFUNCTION("""COMPUTED_VALUE"""),"Jahmie Mae Barrameda")</f>
        <v>Jahmie Mae Barrameda</v>
      </c>
      <c r="W2761" s="1" t="str">
        <f>IFERROR(__xludf.DUMMYFUNCTION("""COMPUTED_VALUE"""),"Advanced Billing &amp; Subscriptions")</f>
        <v>Advanced Billing &amp; Subscriptions</v>
      </c>
    </row>
    <row r="2762">
      <c r="O2762" s="1" t="str">
        <f>IFERROR(__xludf.DUMMYFUNCTION("""COMPUTED_VALUE"""),"2026 Apr")</f>
        <v>2026 Apr</v>
      </c>
      <c r="P2762" s="1" t="str">
        <f>IFERROR(__xludf.DUMMYFUNCTION("""COMPUTED_VALUE"""),"Print Support")</f>
        <v>Print Support</v>
      </c>
      <c r="Q2762" s="1" t="str">
        <f>IFERROR(__xludf.DUMMYFUNCTION("""COMPUTED_VALUE"""),"arcelie@canva.com")</f>
        <v>arcelie@canva.com</v>
      </c>
      <c r="R2762" s="1" t="str">
        <f>IFERROR(__xludf.DUMMYFUNCTION("""COMPUTED_VALUE"""),"Arcie San Pedro")</f>
        <v>Arcie San Pedro</v>
      </c>
      <c r="S2762" s="1"/>
      <c r="T2762" s="1"/>
      <c r="U2762" s="2">
        <f>IFERROR(__xludf.DUMMYFUNCTION("""COMPUTED_VALUE"""),0.0)</f>
        <v>0</v>
      </c>
      <c r="V2762" s="1" t="str">
        <f>IFERROR(__xludf.DUMMYFUNCTION("""COMPUTED_VALUE"""),"Rae Erlano")</f>
        <v>Rae Erlano</v>
      </c>
      <c r="W2762" s="1" t="str">
        <f>IFERROR(__xludf.DUMMYFUNCTION("""COMPUTED_VALUE"""),"Print Support PH")</f>
        <v>Print Support PH</v>
      </c>
    </row>
    <row r="2763">
      <c r="O2763" s="1" t="str">
        <f>IFERROR(__xludf.DUMMYFUNCTION("""COMPUTED_VALUE"""),"2026 Apr")</f>
        <v>2026 Apr</v>
      </c>
      <c r="P2763" s="1" t="str">
        <f>IFERROR(__xludf.DUMMYFUNCTION("""COMPUTED_VALUE"""),"Print Support")</f>
        <v>Print Support</v>
      </c>
      <c r="Q2763" s="1" t="str">
        <f>IFERROR(__xludf.DUMMYFUNCTION("""COMPUTED_VALUE"""),"arjane@canva.com")</f>
        <v>arjane@canva.com</v>
      </c>
      <c r="R2763" s="1" t="str">
        <f>IFERROR(__xludf.DUMMYFUNCTION("""COMPUTED_VALUE"""),"Arjane Oliva")</f>
        <v>Arjane Oliva</v>
      </c>
      <c r="S2763" s="1"/>
      <c r="T2763" s="1">
        <f>IFERROR(__xludf.DUMMYFUNCTION("""COMPUTED_VALUE"""),27.0)</f>
        <v>27</v>
      </c>
      <c r="U2763" s="2">
        <f>IFERROR(__xludf.DUMMYFUNCTION("""COMPUTED_VALUE"""),27.0)</f>
        <v>27</v>
      </c>
      <c r="V2763" s="1" t="str">
        <f>IFERROR(__xludf.DUMMYFUNCTION("""COMPUTED_VALUE"""),"Rei De Jesus")</f>
        <v>Rei De Jesus</v>
      </c>
      <c r="W2763" s="1" t="str">
        <f>IFERROR(__xludf.DUMMYFUNCTION("""COMPUTED_VALUE"""),"Print Design Support")</f>
        <v>Print Design Support</v>
      </c>
    </row>
    <row r="2764">
      <c r="O2764" s="1" t="str">
        <f>IFERROR(__xludf.DUMMYFUNCTION("""COMPUTED_VALUE"""),"2026 Apr")</f>
        <v>2026 Apr</v>
      </c>
      <c r="P2764" s="1" t="str">
        <f>IFERROR(__xludf.DUMMYFUNCTION("""COMPUTED_VALUE"""),"High Sensitivity Support")</f>
        <v>High Sensitivity Support</v>
      </c>
      <c r="Q2764" s="1" t="str">
        <f>IFERROR(__xludf.DUMMYFUNCTION("""COMPUTED_VALUE"""),"arodes@canva.com")</f>
        <v>arodes@canva.com</v>
      </c>
      <c r="R2764" s="1" t="str">
        <f>IFERROR(__xludf.DUMMYFUNCTION("""COMPUTED_VALUE"""),"Arriane Rodes")</f>
        <v>Arriane Rodes</v>
      </c>
      <c r="S2764" s="1"/>
      <c r="T2764" s="1">
        <f>IFERROR(__xludf.DUMMYFUNCTION("""COMPUTED_VALUE"""),2.0)</f>
        <v>2</v>
      </c>
      <c r="U2764" s="2">
        <f>IFERROR(__xludf.DUMMYFUNCTION("""COMPUTED_VALUE"""),2.0)</f>
        <v>2</v>
      </c>
      <c r="V2764" s="1" t="str">
        <f>IFERROR(__xludf.DUMMYFUNCTION("""COMPUTED_VALUE"""),"Xandy Azarcon")</f>
        <v>Xandy Azarcon</v>
      </c>
      <c r="W2764" s="1" t="str">
        <f>IFERROR(__xludf.DUMMYFUNCTION("""COMPUTED_VALUE"""),"High Sensitivity Support PH")</f>
        <v>High Sensitivity Support PH</v>
      </c>
    </row>
    <row r="2765">
      <c r="O2765" s="1" t="str">
        <f>IFERROR(__xludf.DUMMYFUNCTION("""COMPUTED_VALUE"""),"2026 Apr")</f>
        <v>2026 Apr</v>
      </c>
      <c r="P2765" s="1" t="str">
        <f>IFERROR(__xludf.DUMMYFUNCTION("""COMPUTED_VALUE"""),"Admin Support")</f>
        <v>Admin Support</v>
      </c>
      <c r="Q2765" s="1" t="str">
        <f>IFERROR(__xludf.DUMMYFUNCTION("""COMPUTED_VALUE"""),"ashli@canva.com")</f>
        <v>ashli@canva.com</v>
      </c>
      <c r="R2765" s="1" t="str">
        <f>IFERROR(__xludf.DUMMYFUNCTION("""COMPUTED_VALUE"""),"Ashli Hanson")</f>
        <v>Ashli Hanson</v>
      </c>
      <c r="S2765" s="1"/>
      <c r="T2765" s="1"/>
      <c r="U2765" s="2">
        <f>IFERROR(__xludf.DUMMYFUNCTION("""COMPUTED_VALUE"""),0.0)</f>
        <v>0</v>
      </c>
      <c r="V2765" s="1" t="str">
        <f>IFERROR(__xludf.DUMMYFUNCTION("""COMPUTED_VALUE"""),"Nate Vela")</f>
        <v>Nate Vela</v>
      </c>
      <c r="W2765" s="1" t="str">
        <f>IFERROR(__xludf.DUMMYFUNCTION("""COMPUTED_VALUE"""),"Admin Support NA")</f>
        <v>Admin Support NA</v>
      </c>
    </row>
    <row r="2766">
      <c r="O2766" s="1" t="str">
        <f>IFERROR(__xludf.DUMMYFUNCTION("""COMPUTED_VALUE"""),"2026 Apr")</f>
        <v>2026 Apr</v>
      </c>
      <c r="P2766" s="1" t="str">
        <f>IFERROR(__xludf.DUMMYFUNCTION("""COMPUTED_VALUE"""),"Print Support")</f>
        <v>Print Support</v>
      </c>
      <c r="Q2766" s="1" t="str">
        <f>IFERROR(__xludf.DUMMYFUNCTION("""COMPUTED_VALUE"""),"jborreros@canva.com")</f>
        <v>jborreros@canva.com</v>
      </c>
      <c r="R2766" s="1" t="str">
        <f>IFERROR(__xludf.DUMMYFUNCTION("""COMPUTED_VALUE"""),"Bea Borreros")</f>
        <v>Bea Borreros</v>
      </c>
      <c r="S2766" s="1"/>
      <c r="T2766" s="1"/>
      <c r="U2766" s="2">
        <f>IFERROR(__xludf.DUMMYFUNCTION("""COMPUTED_VALUE"""),0.0)</f>
        <v>0</v>
      </c>
      <c r="V2766" s="1" t="str">
        <f>IFERROR(__xludf.DUMMYFUNCTION("""COMPUTED_VALUE"""),"Memae Faustino")</f>
        <v>Memae Faustino</v>
      </c>
      <c r="W2766" s="1" t="str">
        <f>IFERROR(__xludf.DUMMYFUNCTION("""COMPUTED_VALUE"""),"Print Support PH")</f>
        <v>Print Support PH</v>
      </c>
    </row>
    <row r="2767">
      <c r="O2767" s="1" t="str">
        <f>IFERROR(__xludf.DUMMYFUNCTION("""COMPUTED_VALUE"""),"2026 Apr")</f>
        <v>2026 Apr</v>
      </c>
      <c r="P2767" s="1" t="str">
        <f>IFERROR(__xludf.DUMMYFUNCTION("""COMPUTED_VALUE"""),"Print Support")</f>
        <v>Print Support</v>
      </c>
      <c r="Q2767" s="1" t="str">
        <f>IFERROR(__xludf.DUMMYFUNCTION("""COMPUTED_VALUE"""),"bea@canva.com")</f>
        <v>bea@canva.com</v>
      </c>
      <c r="R2767" s="1" t="str">
        <f>IFERROR(__xludf.DUMMYFUNCTION("""COMPUTED_VALUE"""),"Bea Mendoza")</f>
        <v>Bea Mendoza</v>
      </c>
      <c r="S2767" s="1"/>
      <c r="T2767" s="1"/>
      <c r="U2767" s="2">
        <f>IFERROR(__xludf.DUMMYFUNCTION("""COMPUTED_VALUE"""),0.0)</f>
        <v>0</v>
      </c>
      <c r="V2767" s="1" t="str">
        <f>IFERROR(__xludf.DUMMYFUNCTION("""COMPUTED_VALUE"""),"Aliza Dote")</f>
        <v>Aliza Dote</v>
      </c>
      <c r="W2767" s="1" t="str">
        <f>IFERROR(__xludf.DUMMYFUNCTION("""COMPUTED_VALUE"""),"Print Design Support")</f>
        <v>Print Design Support</v>
      </c>
    </row>
    <row r="2768">
      <c r="O2768" s="1" t="str">
        <f>IFERROR(__xludf.DUMMYFUNCTION("""COMPUTED_VALUE"""),"2026 Apr")</f>
        <v>2026 Apr</v>
      </c>
      <c r="P2768" s="1" t="str">
        <f>IFERROR(__xludf.DUMMYFUNCTION("""COMPUTED_VALUE"""),"Core Product Support")</f>
        <v>Core Product Support</v>
      </c>
      <c r="Q2768" s="1" t="str">
        <f>IFERROR(__xludf.DUMMYFUNCTION("""COMPUTED_VALUE"""),"beanyvince@canva.com")</f>
        <v>beanyvince@canva.com</v>
      </c>
      <c r="R2768" s="1" t="str">
        <f>IFERROR(__xludf.DUMMYFUNCTION("""COMPUTED_VALUE"""),"Beany Rodriguez")</f>
        <v>Beany Rodriguez</v>
      </c>
      <c r="S2768" s="1">
        <f>IFERROR(__xludf.DUMMYFUNCTION("""COMPUTED_VALUE"""),0.5)</f>
        <v>0.5</v>
      </c>
      <c r="T2768" s="1">
        <f>IFERROR(__xludf.DUMMYFUNCTION("""COMPUTED_VALUE"""),1.0)</f>
        <v>1</v>
      </c>
      <c r="U2768" s="2">
        <f>IFERROR(__xludf.DUMMYFUNCTION("""COMPUTED_VALUE"""),1.5)</f>
        <v>1.5</v>
      </c>
      <c r="V2768" s="1" t="str">
        <f>IFERROR(__xludf.DUMMYFUNCTION("""COMPUTED_VALUE"""),"Cate Velasco")</f>
        <v>Cate Velasco</v>
      </c>
      <c r="W2768" s="1" t="str">
        <f>IFERROR(__xludf.DUMMYFUNCTION("""COMPUTED_VALUE"""),"Advanced Product Support")</f>
        <v>Advanced Product Support</v>
      </c>
    </row>
    <row r="2769">
      <c r="O2769" s="1" t="str">
        <f>IFERROR(__xludf.DUMMYFUNCTION("""COMPUTED_VALUE"""),"2026 Apr")</f>
        <v>2026 Apr</v>
      </c>
      <c r="P2769" s="1" t="str">
        <f>IFERROR(__xludf.DUMMYFUNCTION("""COMPUTED_VALUE"""),"Print Support")</f>
        <v>Print Support</v>
      </c>
      <c r="Q2769" s="1" t="str">
        <f>IFERROR(__xludf.DUMMYFUNCTION("""COMPUTED_VALUE"""),"bembiellanza@canva.com")</f>
        <v>bembiellanza@canva.com</v>
      </c>
      <c r="R2769" s="1" t="str">
        <f>IFERROR(__xludf.DUMMYFUNCTION("""COMPUTED_VALUE"""),"Bembie Llanza")</f>
        <v>Bembie Llanza</v>
      </c>
      <c r="S2769" s="1"/>
      <c r="T2769" s="1"/>
      <c r="U2769" s="2">
        <f>IFERROR(__xludf.DUMMYFUNCTION("""COMPUTED_VALUE"""),0.0)</f>
        <v>0</v>
      </c>
      <c r="V2769" s="1" t="str">
        <f>IFERROR(__xludf.DUMMYFUNCTION("""COMPUTED_VALUE"""),"Althea Mercado")</f>
        <v>Althea Mercado</v>
      </c>
      <c r="W2769" s="1" t="str">
        <f>IFERROR(__xludf.DUMMYFUNCTION("""COMPUTED_VALUE"""),"Print Support PH")</f>
        <v>Print Support PH</v>
      </c>
    </row>
    <row r="2770">
      <c r="O2770" s="1" t="str">
        <f>IFERROR(__xludf.DUMMYFUNCTION("""COMPUTED_VALUE"""),"2026 Apr")</f>
        <v>2026 Apr</v>
      </c>
      <c r="P2770" s="1" t="str">
        <f>IFERROR(__xludf.DUMMYFUNCTION("""COMPUTED_VALUE"""),"Segment-specific Support")</f>
        <v>Segment-specific Support</v>
      </c>
      <c r="Q2770" s="1" t="str">
        <f>IFERROR(__xludf.DUMMYFUNCTION("""COMPUTED_VALUE"""),"bernice@canva.com")</f>
        <v>bernice@canva.com</v>
      </c>
      <c r="R2770" s="1" t="str">
        <f>IFERROR(__xludf.DUMMYFUNCTION("""COMPUTED_VALUE"""),"Bernice Talosig")</f>
        <v>Bernice Talosig</v>
      </c>
      <c r="S2770" s="1"/>
      <c r="T2770" s="1">
        <f>IFERROR(__xludf.DUMMYFUNCTION("""COMPUTED_VALUE"""),0.17)</f>
        <v>0.17</v>
      </c>
      <c r="U2770" s="2">
        <f>IFERROR(__xludf.DUMMYFUNCTION("""COMPUTED_VALUE"""),0.17)</f>
        <v>0.17</v>
      </c>
      <c r="V2770" s="1" t="str">
        <f>IFERROR(__xludf.DUMMYFUNCTION("""COMPUTED_VALUE"""),"Gucci Nava")</f>
        <v>Gucci Nava</v>
      </c>
      <c r="W2770" s="1" t="str">
        <f>IFERROR(__xludf.DUMMYFUNCTION("""COMPUTED_VALUE"""),"Affinity Support")</f>
        <v>Affinity Support</v>
      </c>
    </row>
    <row r="2771">
      <c r="O2771" s="1" t="str">
        <f>IFERROR(__xludf.DUMMYFUNCTION("""COMPUTED_VALUE"""),"2026 Apr")</f>
        <v>2026 Apr</v>
      </c>
      <c r="P2771" s="1" t="str">
        <f>IFERROR(__xludf.DUMMYFUNCTION("""COMPUTED_VALUE"""),"Core Product Support")</f>
        <v>Core Product Support</v>
      </c>
      <c r="Q2771" s="1" t="str">
        <f>IFERROR(__xludf.DUMMYFUNCTION("""COMPUTED_VALUE"""),"beverlymarie@canva.com")</f>
        <v>beverlymarie@canva.com</v>
      </c>
      <c r="R2771" s="1" t="str">
        <f>IFERROR(__xludf.DUMMYFUNCTION("""COMPUTED_VALUE"""),"Bev Dacanay")</f>
        <v>Bev Dacanay</v>
      </c>
      <c r="S2771" s="1">
        <f>IFERROR(__xludf.DUMMYFUNCTION("""COMPUTED_VALUE"""),0.5)</f>
        <v>0.5</v>
      </c>
      <c r="T2771" s="1">
        <f>IFERROR(__xludf.DUMMYFUNCTION("""COMPUTED_VALUE"""),1.5)</f>
        <v>1.5</v>
      </c>
      <c r="U2771" s="2">
        <f>IFERROR(__xludf.DUMMYFUNCTION("""COMPUTED_VALUE"""),2.0)</f>
        <v>2</v>
      </c>
      <c r="V2771" s="1" t="str">
        <f>IFERROR(__xludf.DUMMYFUNCTION("""COMPUTED_VALUE"""),"Ayza Marie Pascual")</f>
        <v>Ayza Marie Pascual</v>
      </c>
      <c r="W2771" s="1" t="str">
        <f>IFERROR(__xludf.DUMMYFUNCTION("""COMPUTED_VALUE"""),"Advanced Billing &amp; Subscriptions")</f>
        <v>Advanced Billing &amp; Subscriptions</v>
      </c>
    </row>
    <row r="2772">
      <c r="O2772" s="1" t="str">
        <f>IFERROR(__xludf.DUMMYFUNCTION("""COMPUTED_VALUE"""),"2026 Apr")</f>
        <v>2026 Apr</v>
      </c>
      <c r="P2772" s="1" t="str">
        <f>IFERROR(__xludf.DUMMYFUNCTION("""COMPUTED_VALUE"""),"Admin Support")</f>
        <v>Admin Support</v>
      </c>
      <c r="Q2772" s="1" t="str">
        <f>IFERROR(__xludf.DUMMYFUNCTION("""COMPUTED_VALUE"""),"bia@canva.com")</f>
        <v>bia@canva.com</v>
      </c>
      <c r="R2772" s="1" t="str">
        <f>IFERROR(__xludf.DUMMYFUNCTION("""COMPUTED_VALUE"""),"Bianca Santiago")</f>
        <v>Bianca Santiago</v>
      </c>
      <c r="S2772" s="1"/>
      <c r="T2772" s="1"/>
      <c r="U2772" s="2">
        <f>IFERROR(__xludf.DUMMYFUNCTION("""COMPUTED_VALUE"""),0.0)</f>
        <v>0</v>
      </c>
      <c r="V2772" s="1" t="str">
        <f>IFERROR(__xludf.DUMMYFUNCTION("""COMPUTED_VALUE"""),"Karla Mananghaya")</f>
        <v>Karla Mananghaya</v>
      </c>
      <c r="W2772" s="1" t="str">
        <f>IFERROR(__xludf.DUMMYFUNCTION("""COMPUTED_VALUE"""),"Admin Support Service Escalation Team")</f>
        <v>Admin Support Service Escalation Team</v>
      </c>
    </row>
    <row r="2773">
      <c r="O2773" s="1" t="str">
        <f>IFERROR(__xludf.DUMMYFUNCTION("""COMPUTED_VALUE"""),"2026 Apr")</f>
        <v>2026 Apr</v>
      </c>
      <c r="P2773" s="1" t="str">
        <f>IFERROR(__xludf.DUMMYFUNCTION("""COMPUTED_VALUE"""),"Core Product Support")</f>
        <v>Core Product Support</v>
      </c>
      <c r="Q2773" s="1" t="str">
        <f>IFERROR(__xludf.DUMMYFUNCTION("""COMPUTED_VALUE"""),"bryanb@canva.com")</f>
        <v>bryanb@canva.com</v>
      </c>
      <c r="R2773" s="1" t="str">
        <f>IFERROR(__xludf.DUMMYFUNCTION("""COMPUTED_VALUE"""),"Bryan Lemuel Britanico")</f>
        <v>Bryan Lemuel Britanico</v>
      </c>
      <c r="S2773" s="1">
        <f>IFERROR(__xludf.DUMMYFUNCTION("""COMPUTED_VALUE"""),0.5)</f>
        <v>0.5</v>
      </c>
      <c r="T2773" s="1">
        <f>IFERROR(__xludf.DUMMYFUNCTION("""COMPUTED_VALUE"""),2.0)</f>
        <v>2</v>
      </c>
      <c r="U2773" s="2">
        <f>IFERROR(__xludf.DUMMYFUNCTION("""COMPUTED_VALUE"""),2.5)</f>
        <v>2.5</v>
      </c>
      <c r="V2773" s="1" t="str">
        <f>IFERROR(__xludf.DUMMYFUNCTION("""COMPUTED_VALUE"""),"Jahmie Mae Barrameda")</f>
        <v>Jahmie Mae Barrameda</v>
      </c>
      <c r="W2773" s="1" t="str">
        <f>IFERROR(__xludf.DUMMYFUNCTION("""COMPUTED_VALUE"""),"Advanced Billing &amp; Subscriptions")</f>
        <v>Advanced Billing &amp; Subscriptions</v>
      </c>
    </row>
    <row r="2774">
      <c r="O2774" s="1" t="str">
        <f>IFERROR(__xludf.DUMMYFUNCTION("""COMPUTED_VALUE"""),"2026 Apr")</f>
        <v>2026 Apr</v>
      </c>
      <c r="P2774" s="1" t="str">
        <f>IFERROR(__xludf.DUMMYFUNCTION("""COMPUTED_VALUE"""),"Print Support")</f>
        <v>Print Support</v>
      </c>
      <c r="Q2774" s="1" t="str">
        <f>IFERROR(__xludf.DUMMYFUNCTION("""COMPUTED_VALUE"""),"caesar@canva.com")</f>
        <v>caesar@canva.com</v>
      </c>
      <c r="R2774" s="1" t="str">
        <f>IFERROR(__xludf.DUMMYFUNCTION("""COMPUTED_VALUE"""),"Caesar Bitudio")</f>
        <v>Caesar Bitudio</v>
      </c>
      <c r="S2774" s="1"/>
      <c r="T2774" s="1">
        <f>IFERROR(__xludf.DUMMYFUNCTION("""COMPUTED_VALUE"""),45.0)</f>
        <v>45</v>
      </c>
      <c r="U2774" s="2">
        <f>IFERROR(__xludf.DUMMYFUNCTION("""COMPUTED_VALUE"""),45.0)</f>
        <v>45</v>
      </c>
      <c r="V2774" s="1" t="str">
        <f>IFERROR(__xludf.DUMMYFUNCTION("""COMPUTED_VALUE"""),"G-Anne Murillo")</f>
        <v>G-Anne Murillo</v>
      </c>
      <c r="W2774" s="1" t="str">
        <f>IFERROR(__xludf.DUMMYFUNCTION("""COMPUTED_VALUE"""),"Print Design Support")</f>
        <v>Print Design Support</v>
      </c>
    </row>
    <row r="2775">
      <c r="O2775" s="1" t="str">
        <f>IFERROR(__xludf.DUMMYFUNCTION("""COMPUTED_VALUE"""),"2026 Apr")</f>
        <v>2026 Apr</v>
      </c>
      <c r="P2775" s="1" t="str">
        <f>IFERROR(__xludf.DUMMYFUNCTION("""COMPUTED_VALUE"""),"Core Product Support")</f>
        <v>Core Product Support</v>
      </c>
      <c r="Q2775" s="1" t="str">
        <f>IFERROR(__xludf.DUMMYFUNCTION("""COMPUTED_VALUE"""),"cae@canva.com")</f>
        <v>cae@canva.com</v>
      </c>
      <c r="R2775" s="1" t="str">
        <f>IFERROR(__xludf.DUMMYFUNCTION("""COMPUTED_VALUE"""),"Caevee Dizon")</f>
        <v>Caevee Dizon</v>
      </c>
      <c r="S2775" s="1">
        <f>IFERROR(__xludf.DUMMYFUNCTION("""COMPUTED_VALUE"""),1.0)</f>
        <v>1</v>
      </c>
      <c r="T2775" s="1">
        <f>IFERROR(__xludf.DUMMYFUNCTION("""COMPUTED_VALUE"""),2.5)</f>
        <v>2.5</v>
      </c>
      <c r="U2775" s="2">
        <f>IFERROR(__xludf.DUMMYFUNCTION("""COMPUTED_VALUE"""),3.5)</f>
        <v>3.5</v>
      </c>
      <c r="V2775" s="1" t="str">
        <f>IFERROR(__xludf.DUMMYFUNCTION("""COMPUTED_VALUE"""),"Jahmie Mae Barrameda")</f>
        <v>Jahmie Mae Barrameda</v>
      </c>
      <c r="W2775" s="1" t="str">
        <f>IFERROR(__xludf.DUMMYFUNCTION("""COMPUTED_VALUE"""),"Advanced Billing &amp; Subscriptions")</f>
        <v>Advanced Billing &amp; Subscriptions</v>
      </c>
    </row>
    <row r="2776">
      <c r="O2776" s="1" t="str">
        <f>IFERROR(__xludf.DUMMYFUNCTION("""COMPUTED_VALUE"""),"2026 Apr")</f>
        <v>2026 Apr</v>
      </c>
      <c r="P2776" s="1" t="str">
        <f>IFERROR(__xludf.DUMMYFUNCTION("""COMPUTED_VALUE"""),"Admin Support")</f>
        <v>Admin Support</v>
      </c>
      <c r="Q2776" s="1" t="str">
        <f>IFERROR(__xludf.DUMMYFUNCTION("""COMPUTED_VALUE"""),"cbasilio@canva.com")</f>
        <v>cbasilio@canva.com</v>
      </c>
      <c r="R2776" s="1" t="str">
        <f>IFERROR(__xludf.DUMMYFUNCTION("""COMPUTED_VALUE"""),"Camille Basilio")</f>
        <v>Camille Basilio</v>
      </c>
      <c r="S2776" s="1"/>
      <c r="T2776" s="1">
        <f>IFERROR(__xludf.DUMMYFUNCTION("""COMPUTED_VALUE"""),0.75)</f>
        <v>0.75</v>
      </c>
      <c r="U2776" s="2">
        <f>IFERROR(__xludf.DUMMYFUNCTION("""COMPUTED_VALUE"""),0.75)</f>
        <v>0.75</v>
      </c>
      <c r="V2776" s="1" t="str">
        <f>IFERROR(__xludf.DUMMYFUNCTION("""COMPUTED_VALUE"""),"AL Suarez")</f>
        <v>AL Suarez</v>
      </c>
      <c r="W2776" s="1" t="str">
        <f>IFERROR(__xludf.DUMMYFUNCTION("""COMPUTED_VALUE"""),"Admin Direct Support")</f>
        <v>Admin Direct Support</v>
      </c>
    </row>
    <row r="2777">
      <c r="O2777" s="1" t="str">
        <f>IFERROR(__xludf.DUMMYFUNCTION("""COMPUTED_VALUE"""),"2026 Apr")</f>
        <v>2026 Apr</v>
      </c>
      <c r="P2777" s="1" t="str">
        <f>IFERROR(__xludf.DUMMYFUNCTION("""COMPUTED_VALUE"""),"Core Product Support")</f>
        <v>Core Product Support</v>
      </c>
      <c r="Q2777" s="1" t="str">
        <f>IFERROR(__xludf.DUMMYFUNCTION("""COMPUTED_VALUE"""),"camilleb@canva.com")</f>
        <v>camilleb@canva.com</v>
      </c>
      <c r="R2777" s="1" t="str">
        <f>IFERROR(__xludf.DUMMYFUNCTION("""COMPUTED_VALUE"""),"Camille Bucks")</f>
        <v>Camille Bucks</v>
      </c>
      <c r="S2777" s="1">
        <f>IFERROR(__xludf.DUMMYFUNCTION("""COMPUTED_VALUE"""),0.5)</f>
        <v>0.5</v>
      </c>
      <c r="T2777" s="1">
        <f>IFERROR(__xludf.DUMMYFUNCTION("""COMPUTED_VALUE"""),4.5)</f>
        <v>4.5</v>
      </c>
      <c r="U2777" s="2">
        <f>IFERROR(__xludf.DUMMYFUNCTION("""COMPUTED_VALUE"""),5.0)</f>
        <v>5</v>
      </c>
      <c r="V2777" s="1" t="str">
        <f>IFERROR(__xludf.DUMMYFUNCTION("""COMPUTED_VALUE"""),"Ellaine Estayo")</f>
        <v>Ellaine Estayo</v>
      </c>
      <c r="W2777" s="1" t="str">
        <f>IFERROR(__xludf.DUMMYFUNCTION("""COMPUTED_VALUE"""),"Core Product Support Escalation Team")</f>
        <v>Core Product Support Escalation Team</v>
      </c>
    </row>
    <row r="2778">
      <c r="O2778" s="1" t="str">
        <f>IFERROR(__xludf.DUMMYFUNCTION("""COMPUTED_VALUE"""),"2026 Apr")</f>
        <v>2026 Apr</v>
      </c>
      <c r="P2778" s="1" t="str">
        <f>IFERROR(__xludf.DUMMYFUNCTION("""COMPUTED_VALUE"""),"Admin Support")</f>
        <v>Admin Support</v>
      </c>
      <c r="Q2778" s="1" t="str">
        <f>IFERROR(__xludf.DUMMYFUNCTION("""COMPUTED_VALUE"""),"camille.n@canva.com")</f>
        <v>camille.n@canva.com</v>
      </c>
      <c r="R2778" s="1" t="str">
        <f>IFERROR(__xludf.DUMMYFUNCTION("""COMPUTED_VALUE"""),"Camille Neypes")</f>
        <v>Camille Neypes</v>
      </c>
      <c r="S2778" s="1"/>
      <c r="T2778" s="1">
        <f>IFERROR(__xludf.DUMMYFUNCTION("""COMPUTED_VALUE"""),0.75)</f>
        <v>0.75</v>
      </c>
      <c r="U2778" s="2">
        <f>IFERROR(__xludf.DUMMYFUNCTION("""COMPUTED_VALUE"""),0.75)</f>
        <v>0.75</v>
      </c>
      <c r="V2778" s="1" t="str">
        <f>IFERROR(__xludf.DUMMYFUNCTION("""COMPUTED_VALUE"""),"Kelden Laguting")</f>
        <v>Kelden Laguting</v>
      </c>
      <c r="W2778" s="1" t="str">
        <f>IFERROR(__xludf.DUMMYFUNCTION("""COMPUTED_VALUE"""),"Admin Omni Support")</f>
        <v>Admin Omni Support</v>
      </c>
    </row>
    <row r="2779">
      <c r="O2779" s="1" t="str">
        <f>IFERROR(__xludf.DUMMYFUNCTION("""COMPUTED_VALUE"""),"2026 Apr")</f>
        <v>2026 Apr</v>
      </c>
      <c r="P2779" s="1" t="str">
        <f>IFERROR(__xludf.DUMMYFUNCTION("""COMPUTED_VALUE"""),"Print Support")</f>
        <v>Print Support</v>
      </c>
      <c r="Q2779" s="1" t="str">
        <f>IFERROR(__xludf.DUMMYFUNCTION("""COMPUTED_VALUE"""),"cammy@canva.com")</f>
        <v>cammy@canva.com</v>
      </c>
      <c r="R2779" s="1" t="str">
        <f>IFERROR(__xludf.DUMMYFUNCTION("""COMPUTED_VALUE"""),"Camille Oriel")</f>
        <v>Camille Oriel</v>
      </c>
      <c r="S2779" s="1"/>
      <c r="T2779" s="1"/>
      <c r="U2779" s="2">
        <f>IFERROR(__xludf.DUMMYFUNCTION("""COMPUTED_VALUE"""),0.0)</f>
        <v>0</v>
      </c>
      <c r="V2779" s="1" t="str">
        <f>IFERROR(__xludf.DUMMYFUNCTION("""COMPUTED_VALUE"""),"Louise Dianne Estrella")</f>
        <v>Louise Dianne Estrella</v>
      </c>
      <c r="W2779" s="1" t="str">
        <f>IFERROR(__xludf.DUMMYFUNCTION("""COMPUTED_VALUE"""),"Print Support PH")</f>
        <v>Print Support PH</v>
      </c>
    </row>
    <row r="2780">
      <c r="O2780" s="1" t="str">
        <f>IFERROR(__xludf.DUMMYFUNCTION("""COMPUTED_VALUE"""),"2026 Apr")</f>
        <v>2026 Apr</v>
      </c>
      <c r="P2780" s="1" t="str">
        <f>IFERROR(__xludf.DUMMYFUNCTION("""COMPUTED_VALUE"""),"Admin Support")</f>
        <v>Admin Support</v>
      </c>
      <c r="Q2780" s="1" t="str">
        <f>IFERROR(__xludf.DUMMYFUNCTION("""COMPUTED_VALUE"""),"carloav@canva.com")</f>
        <v>carloav@canva.com</v>
      </c>
      <c r="R2780" s="1" t="str">
        <f>IFERROR(__xludf.DUMMYFUNCTION("""COMPUTED_VALUE"""),"Carlo Valentin")</f>
        <v>Carlo Valentin</v>
      </c>
      <c r="S2780" s="1"/>
      <c r="T2780" s="1">
        <f>IFERROR(__xludf.DUMMYFUNCTION("""COMPUTED_VALUE"""),0.75)</f>
        <v>0.75</v>
      </c>
      <c r="U2780" s="2">
        <f>IFERROR(__xludf.DUMMYFUNCTION("""COMPUTED_VALUE"""),0.75)</f>
        <v>0.75</v>
      </c>
      <c r="V2780" s="1" t="str">
        <f>IFERROR(__xludf.DUMMYFUNCTION("""COMPUTED_VALUE"""),"Kelden Laguting")</f>
        <v>Kelden Laguting</v>
      </c>
      <c r="W2780" s="1" t="str">
        <f>IFERROR(__xludf.DUMMYFUNCTION("""COMPUTED_VALUE"""),"Admin Omni Support")</f>
        <v>Admin Omni Support</v>
      </c>
    </row>
    <row r="2781">
      <c r="O2781" s="1" t="str">
        <f>IFERROR(__xludf.DUMMYFUNCTION("""COMPUTED_VALUE"""),"2026 Apr")</f>
        <v>2026 Apr</v>
      </c>
      <c r="P2781" s="1" t="str">
        <f>IFERROR(__xludf.DUMMYFUNCTION("""COMPUTED_VALUE"""),"Core Product Support")</f>
        <v>Core Product Support</v>
      </c>
      <c r="Q2781" s="1" t="str">
        <f>IFERROR(__xludf.DUMMYFUNCTION("""COMPUTED_VALUE"""),"carmeladc@canva.com")</f>
        <v>carmeladc@canva.com</v>
      </c>
      <c r="R2781" s="1" t="str">
        <f>IFERROR(__xludf.DUMMYFUNCTION("""COMPUTED_VALUE"""),"Carmela Dela Cruz")</f>
        <v>Carmela Dela Cruz</v>
      </c>
      <c r="S2781" s="1">
        <f>IFERROR(__xludf.DUMMYFUNCTION("""COMPUTED_VALUE"""),1.0)</f>
        <v>1</v>
      </c>
      <c r="T2781" s="1">
        <f>IFERROR(__xludf.DUMMYFUNCTION("""COMPUTED_VALUE"""),1.75)</f>
        <v>1.75</v>
      </c>
      <c r="U2781" s="2">
        <f>IFERROR(__xludf.DUMMYFUNCTION("""COMPUTED_VALUE"""),2.75)</f>
        <v>2.75</v>
      </c>
      <c r="V2781" s="1" t="str">
        <f>IFERROR(__xludf.DUMMYFUNCTION("""COMPUTED_VALUE"""),"Marie Mordeno")</f>
        <v>Marie Mordeno</v>
      </c>
      <c r="W2781" s="1" t="str">
        <f>IFERROR(__xludf.DUMMYFUNCTION("""COMPUTED_VALUE"""),"Advanced Billing &amp; Subscriptions")</f>
        <v>Advanced Billing &amp; Subscriptions</v>
      </c>
    </row>
    <row r="2782">
      <c r="O2782" s="1" t="str">
        <f>IFERROR(__xludf.DUMMYFUNCTION("""COMPUTED_VALUE"""),"2026 Apr")</f>
        <v>2026 Apr</v>
      </c>
      <c r="P2782" s="1" t="str">
        <f>IFERROR(__xludf.DUMMYFUNCTION("""COMPUTED_VALUE"""),"Print Support")</f>
        <v>Print Support</v>
      </c>
      <c r="Q2782" s="1" t="str">
        <f>IFERROR(__xludf.DUMMYFUNCTION("""COMPUTED_VALUE"""),"carms@canva.com")</f>
        <v>carms@canva.com</v>
      </c>
      <c r="R2782" s="1" t="str">
        <f>IFERROR(__xludf.DUMMYFUNCTION("""COMPUTED_VALUE"""),"Carms Merilles")</f>
        <v>Carms Merilles</v>
      </c>
      <c r="S2782" s="1"/>
      <c r="T2782" s="1">
        <f>IFERROR(__xludf.DUMMYFUNCTION("""COMPUTED_VALUE"""),45.0)</f>
        <v>45</v>
      </c>
      <c r="U2782" s="2">
        <f>IFERROR(__xludf.DUMMYFUNCTION("""COMPUTED_VALUE"""),45.0)</f>
        <v>45</v>
      </c>
      <c r="V2782" s="1" t="str">
        <f>IFERROR(__xludf.DUMMYFUNCTION("""COMPUTED_VALUE"""),"Gem Agoncillo")</f>
        <v>Gem Agoncillo</v>
      </c>
      <c r="W2782" s="1" t="str">
        <f>IFERROR(__xludf.DUMMYFUNCTION("""COMPUTED_VALUE"""),"Print Design Support")</f>
        <v>Print Design Support</v>
      </c>
    </row>
    <row r="2783">
      <c r="O2783" s="1" t="str">
        <f>IFERROR(__xludf.DUMMYFUNCTION("""COMPUTED_VALUE"""),"2026 Apr")</f>
        <v>2026 Apr</v>
      </c>
      <c r="P2783" s="1" t="str">
        <f>IFERROR(__xludf.DUMMYFUNCTION("""COMPUTED_VALUE"""),"High Sensitivity Support")</f>
        <v>High Sensitivity Support</v>
      </c>
      <c r="Q2783" s="1" t="str">
        <f>IFERROR(__xludf.DUMMYFUNCTION("""COMPUTED_VALUE"""),"cassie@canva.com")</f>
        <v>cassie@canva.com</v>
      </c>
      <c r="R2783" s="1" t="str">
        <f>IFERROR(__xludf.DUMMYFUNCTION("""COMPUTED_VALUE"""),"Cassie Eugenio")</f>
        <v>Cassie Eugenio</v>
      </c>
      <c r="S2783" s="1"/>
      <c r="T2783" s="1"/>
      <c r="U2783" s="2">
        <f>IFERROR(__xludf.DUMMYFUNCTION("""COMPUTED_VALUE"""),0.0)</f>
        <v>0</v>
      </c>
      <c r="V2783" s="1" t="str">
        <f>IFERROR(__xludf.DUMMYFUNCTION("""COMPUTED_VALUE"""),"Issi Afable")</f>
        <v>Issi Afable</v>
      </c>
      <c r="W2783" s="1" t="str">
        <f>IFERROR(__xludf.DUMMYFUNCTION("""COMPUTED_VALUE"""),"High Sensitivity Support PH")</f>
        <v>High Sensitivity Support PH</v>
      </c>
    </row>
    <row r="2784">
      <c r="O2784" s="1" t="str">
        <f>IFERROR(__xludf.DUMMYFUNCTION("""COMPUTED_VALUE"""),"2026 Apr")</f>
        <v>2026 Apr</v>
      </c>
      <c r="P2784" s="1" t="str">
        <f>IFERROR(__xludf.DUMMYFUNCTION("""COMPUTED_VALUE"""),"Print Support")</f>
        <v>Print Support</v>
      </c>
      <c r="Q2784" s="1" t="str">
        <f>IFERROR(__xludf.DUMMYFUNCTION("""COMPUTED_VALUE"""),"catherinenicole@canva.com")</f>
        <v>catherinenicole@canva.com</v>
      </c>
      <c r="R2784" s="1" t="str">
        <f>IFERROR(__xludf.DUMMYFUNCTION("""COMPUTED_VALUE"""),"Catherine Ledesma")</f>
        <v>Catherine Ledesma</v>
      </c>
      <c r="S2784" s="1"/>
      <c r="T2784" s="1"/>
      <c r="U2784" s="2">
        <f>IFERROR(__xludf.DUMMYFUNCTION("""COMPUTED_VALUE"""),0.0)</f>
        <v>0</v>
      </c>
      <c r="V2784" s="1" t="str">
        <f>IFERROR(__xludf.DUMMYFUNCTION("""COMPUTED_VALUE"""),"Jen Momo")</f>
        <v>Jen Momo</v>
      </c>
      <c r="W2784" s="1" t="str">
        <f>IFERROR(__xludf.DUMMYFUNCTION("""COMPUTED_VALUE"""),"Print Support PH")</f>
        <v>Print Support PH</v>
      </c>
    </row>
    <row r="2785">
      <c r="O2785" s="1" t="str">
        <f>IFERROR(__xludf.DUMMYFUNCTION("""COMPUTED_VALUE"""),"2026 Apr")</f>
        <v>2026 Apr</v>
      </c>
      <c r="P2785" s="1" t="str">
        <f>IFERROR(__xludf.DUMMYFUNCTION("""COMPUTED_VALUE"""),"Core Product Support")</f>
        <v>Core Product Support</v>
      </c>
      <c r="Q2785" s="1" t="str">
        <f>IFERROR(__xludf.DUMMYFUNCTION("""COMPUTED_VALUE"""),"chace@canva.com")</f>
        <v>chace@canva.com</v>
      </c>
      <c r="R2785" s="1" t="str">
        <f>IFERROR(__xludf.DUMMYFUNCTION("""COMPUTED_VALUE"""),"Chace Ablaza")</f>
        <v>Chace Ablaza</v>
      </c>
      <c r="S2785" s="1">
        <f>IFERROR(__xludf.DUMMYFUNCTION("""COMPUTED_VALUE"""),0.5)</f>
        <v>0.5</v>
      </c>
      <c r="T2785" s="1">
        <f>IFERROR(__xludf.DUMMYFUNCTION("""COMPUTED_VALUE"""),3.0)</f>
        <v>3</v>
      </c>
      <c r="U2785" s="2">
        <f>IFERROR(__xludf.DUMMYFUNCTION("""COMPUTED_VALUE"""),3.5)</f>
        <v>3.5</v>
      </c>
      <c r="V2785" s="1" t="str">
        <f>IFERROR(__xludf.DUMMYFUNCTION("""COMPUTED_VALUE"""),"Ellaine Estayo")</f>
        <v>Ellaine Estayo</v>
      </c>
      <c r="W2785" s="1" t="str">
        <f>IFERROR(__xludf.DUMMYFUNCTION("""COMPUTED_VALUE"""),"Core Product Support Escalation Team")</f>
        <v>Core Product Support Escalation Team</v>
      </c>
    </row>
    <row r="2786">
      <c r="O2786" s="1" t="str">
        <f>IFERROR(__xludf.DUMMYFUNCTION("""COMPUTED_VALUE"""),"2026 Apr")</f>
        <v>2026 Apr</v>
      </c>
      <c r="P2786" s="1" t="str">
        <f>IFERROR(__xludf.DUMMYFUNCTION("""COMPUTED_VALUE"""),"Core Product Support")</f>
        <v>Core Product Support</v>
      </c>
      <c r="Q2786" s="1" t="str">
        <f>IFERROR(__xludf.DUMMYFUNCTION("""COMPUTED_VALUE"""),"charissa@canva.com")</f>
        <v>charissa@canva.com</v>
      </c>
      <c r="R2786" s="1" t="str">
        <f>IFERROR(__xludf.DUMMYFUNCTION("""COMPUTED_VALUE"""),"Charissa Goyena")</f>
        <v>Charissa Goyena</v>
      </c>
      <c r="S2786" s="1">
        <f>IFERROR(__xludf.DUMMYFUNCTION("""COMPUTED_VALUE"""),1.0)</f>
        <v>1</v>
      </c>
      <c r="T2786" s="1">
        <f>IFERROR(__xludf.DUMMYFUNCTION("""COMPUTED_VALUE"""),2.0)</f>
        <v>2</v>
      </c>
      <c r="U2786" s="2">
        <f>IFERROR(__xludf.DUMMYFUNCTION("""COMPUTED_VALUE"""),3.0)</f>
        <v>3</v>
      </c>
      <c r="V2786" s="1" t="str">
        <f>IFERROR(__xludf.DUMMYFUNCTION("""COMPUTED_VALUE"""),"Vinz Lazaro")</f>
        <v>Vinz Lazaro</v>
      </c>
      <c r="W2786" s="1" t="str">
        <f>IFERROR(__xludf.DUMMYFUNCTION("""COMPUTED_VALUE"""),"Advanced Product Support")</f>
        <v>Advanced Product Support</v>
      </c>
    </row>
    <row r="2787">
      <c r="O2787" s="1" t="str">
        <f>IFERROR(__xludf.DUMMYFUNCTION("""COMPUTED_VALUE"""),"2026 Apr")</f>
        <v>2026 Apr</v>
      </c>
      <c r="P2787" s="1" t="str">
        <f>IFERROR(__xludf.DUMMYFUNCTION("""COMPUTED_VALUE"""),"Segment-specific Support")</f>
        <v>Segment-specific Support</v>
      </c>
      <c r="Q2787" s="1" t="str">
        <f>IFERROR(__xludf.DUMMYFUNCTION("""COMPUTED_VALUE"""),"charizavargas@canva.com")</f>
        <v>charizavargas@canva.com</v>
      </c>
      <c r="R2787" s="1" t="str">
        <f>IFERROR(__xludf.DUMMYFUNCTION("""COMPUTED_VALUE"""),"Chariza Vargas")</f>
        <v>Chariza Vargas</v>
      </c>
      <c r="S2787" s="1"/>
      <c r="T2787" s="1"/>
      <c r="U2787" s="2">
        <f>IFERROR(__xludf.DUMMYFUNCTION("""COMPUTED_VALUE"""),0.0)</f>
        <v>0</v>
      </c>
      <c r="V2787" s="1" t="str">
        <f>IFERROR(__xludf.DUMMYFUNCTION("""COMPUTED_VALUE"""),"Aileen Dayanghirang")</f>
        <v>Aileen Dayanghirang</v>
      </c>
      <c r="W2787" s="1" t="str">
        <f>IFERROR(__xludf.DUMMYFUNCTION("""COMPUTED_VALUE"""),"Creators Support")</f>
        <v>Creators Support</v>
      </c>
    </row>
    <row r="2788">
      <c r="O2788" s="1" t="str">
        <f>IFERROR(__xludf.DUMMYFUNCTION("""COMPUTED_VALUE"""),"2026 Apr")</f>
        <v>2026 Apr</v>
      </c>
      <c r="P2788" s="1" t="str">
        <f>IFERROR(__xludf.DUMMYFUNCTION("""COMPUTED_VALUE"""),"Admin Support")</f>
        <v>Admin Support</v>
      </c>
      <c r="Q2788" s="1" t="str">
        <f>IFERROR(__xludf.DUMMYFUNCTION("""COMPUTED_VALUE"""),"charlest@canva.com")</f>
        <v>charlest@canva.com</v>
      </c>
      <c r="R2788" s="1" t="str">
        <f>IFERROR(__xludf.DUMMYFUNCTION("""COMPUTED_VALUE"""),"Charles Andrew Tan")</f>
        <v>Charles Andrew Tan</v>
      </c>
      <c r="S2788" s="1"/>
      <c r="T2788" s="1">
        <f>IFERROR(__xludf.DUMMYFUNCTION("""COMPUTED_VALUE"""),1.0)</f>
        <v>1</v>
      </c>
      <c r="U2788" s="2">
        <f>IFERROR(__xludf.DUMMYFUNCTION("""COMPUTED_VALUE"""),1.0)</f>
        <v>1</v>
      </c>
      <c r="V2788" s="1" t="str">
        <f>IFERROR(__xludf.DUMMYFUNCTION("""COMPUTED_VALUE"""),"Kelden Laguting")</f>
        <v>Kelden Laguting</v>
      </c>
      <c r="W2788" s="1" t="str">
        <f>IFERROR(__xludf.DUMMYFUNCTION("""COMPUTED_VALUE"""),"Admin Omni Support")</f>
        <v>Admin Omni Support</v>
      </c>
    </row>
    <row r="2789">
      <c r="O2789" s="1" t="str">
        <f>IFERROR(__xludf.DUMMYFUNCTION("""COMPUTED_VALUE"""),"2026 Apr")</f>
        <v>2026 Apr</v>
      </c>
      <c r="P2789" s="1" t="str">
        <f>IFERROR(__xludf.DUMMYFUNCTION("""COMPUTED_VALUE"""),"Core Product Support")</f>
        <v>Core Product Support</v>
      </c>
      <c r="Q2789" s="1" t="str">
        <f>IFERROR(__xludf.DUMMYFUNCTION("""COMPUTED_VALUE"""),"charmb@canva.com")</f>
        <v>charmb@canva.com</v>
      </c>
      <c r="R2789" s="1" t="str">
        <f>IFERROR(__xludf.DUMMYFUNCTION("""COMPUTED_VALUE"""),"Charm Bansil")</f>
        <v>Charm Bansil</v>
      </c>
      <c r="S2789" s="1">
        <f>IFERROR(__xludf.DUMMYFUNCTION("""COMPUTED_VALUE"""),0.5)</f>
        <v>0.5</v>
      </c>
      <c r="T2789" s="1">
        <f>IFERROR(__xludf.DUMMYFUNCTION("""COMPUTED_VALUE"""),2.0)</f>
        <v>2</v>
      </c>
      <c r="U2789" s="2">
        <f>IFERROR(__xludf.DUMMYFUNCTION("""COMPUTED_VALUE"""),2.5)</f>
        <v>2.5</v>
      </c>
      <c r="V2789" s="1" t="str">
        <f>IFERROR(__xludf.DUMMYFUNCTION("""COMPUTED_VALUE"""),"Ana Lazaro")</f>
        <v>Ana Lazaro</v>
      </c>
      <c r="W2789" s="1" t="str">
        <f>IFERROR(__xludf.DUMMYFUNCTION("""COMPUTED_VALUE"""),"Advanced Billing &amp; Subscriptions")</f>
        <v>Advanced Billing &amp; Subscriptions</v>
      </c>
    </row>
    <row r="2790">
      <c r="O2790" s="1" t="str">
        <f>IFERROR(__xludf.DUMMYFUNCTION("""COMPUTED_VALUE"""),"2026 Apr")</f>
        <v>2026 Apr</v>
      </c>
      <c r="P2790" s="1" t="str">
        <f>IFERROR(__xludf.DUMMYFUNCTION("""COMPUTED_VALUE"""),"Print Support")</f>
        <v>Print Support</v>
      </c>
      <c r="Q2790" s="1" t="str">
        <f>IFERROR(__xludf.DUMMYFUNCTION("""COMPUTED_VALUE"""),"catherine@canva.com")</f>
        <v>catherine@canva.com</v>
      </c>
      <c r="R2790" s="1" t="str">
        <f>IFERROR(__xludf.DUMMYFUNCTION("""COMPUTED_VALUE"""),"Cheche Ramirez")</f>
        <v>Cheche Ramirez</v>
      </c>
      <c r="S2790" s="1"/>
      <c r="T2790" s="1"/>
      <c r="U2790" s="2">
        <f>IFERROR(__xludf.DUMMYFUNCTION("""COMPUTED_VALUE"""),0.0)</f>
        <v>0</v>
      </c>
      <c r="V2790" s="1" t="str">
        <f>IFERROR(__xludf.DUMMYFUNCTION("""COMPUTED_VALUE"""),"Jen Momo")</f>
        <v>Jen Momo</v>
      </c>
      <c r="W2790" s="1" t="str">
        <f>IFERROR(__xludf.DUMMYFUNCTION("""COMPUTED_VALUE"""),"Print Support PH")</f>
        <v>Print Support PH</v>
      </c>
    </row>
    <row r="2791">
      <c r="O2791" s="1" t="str">
        <f>IFERROR(__xludf.DUMMYFUNCTION("""COMPUTED_VALUE"""),"2026 Apr")</f>
        <v>2026 Apr</v>
      </c>
      <c r="P2791" s="1" t="str">
        <f>IFERROR(__xludf.DUMMYFUNCTION("""COMPUTED_VALUE"""),"Core Product Support")</f>
        <v>Core Product Support</v>
      </c>
      <c r="Q2791" s="1" t="str">
        <f>IFERROR(__xludf.DUMMYFUNCTION("""COMPUTED_VALUE"""),"chesca@canva.com")</f>
        <v>chesca@canva.com</v>
      </c>
      <c r="R2791" s="1" t="str">
        <f>IFERROR(__xludf.DUMMYFUNCTION("""COMPUTED_VALUE"""),"Chesca Martos")</f>
        <v>Chesca Martos</v>
      </c>
      <c r="S2791" s="1">
        <f>IFERROR(__xludf.DUMMYFUNCTION("""COMPUTED_VALUE"""),0.5)</f>
        <v>0.5</v>
      </c>
      <c r="T2791" s="1">
        <f>IFERROR(__xludf.DUMMYFUNCTION("""COMPUTED_VALUE"""),2.0)</f>
        <v>2</v>
      </c>
      <c r="U2791" s="2">
        <f>IFERROR(__xludf.DUMMYFUNCTION("""COMPUTED_VALUE"""),2.5)</f>
        <v>2.5</v>
      </c>
      <c r="V2791" s="1" t="str">
        <f>IFERROR(__xludf.DUMMYFUNCTION("""COMPUTED_VALUE"""),"Ayza Marie Pascual")</f>
        <v>Ayza Marie Pascual</v>
      </c>
      <c r="W2791" s="1" t="str">
        <f>IFERROR(__xludf.DUMMYFUNCTION("""COMPUTED_VALUE"""),"Advanced Billing &amp; Subscriptions")</f>
        <v>Advanced Billing &amp; Subscriptions</v>
      </c>
    </row>
    <row r="2792">
      <c r="O2792" s="1" t="str">
        <f>IFERROR(__xludf.DUMMYFUNCTION("""COMPUTED_VALUE"""),"2026 Apr")</f>
        <v>2026 Apr</v>
      </c>
      <c r="P2792" s="1" t="str">
        <f>IFERROR(__xludf.DUMMYFUNCTION("""COMPUTED_VALUE"""),"Core Product Support")</f>
        <v>Core Product Support</v>
      </c>
      <c r="Q2792" s="1" t="str">
        <f>IFERROR(__xludf.DUMMYFUNCTION("""COMPUTED_VALUE"""),"chlgts@canva.com")</f>
        <v>chlgts@canva.com</v>
      </c>
      <c r="R2792" s="1" t="str">
        <f>IFERROR(__xludf.DUMMYFUNCTION("""COMPUTED_VALUE"""),"Cholo Ligtas")</f>
        <v>Cholo Ligtas</v>
      </c>
      <c r="S2792" s="1">
        <f>IFERROR(__xludf.DUMMYFUNCTION("""COMPUTED_VALUE"""),0.5)</f>
        <v>0.5</v>
      </c>
      <c r="T2792" s="1">
        <f>IFERROR(__xludf.DUMMYFUNCTION("""COMPUTED_VALUE"""),2.0)</f>
        <v>2</v>
      </c>
      <c r="U2792" s="2">
        <f>IFERROR(__xludf.DUMMYFUNCTION("""COMPUTED_VALUE"""),2.5)</f>
        <v>2.5</v>
      </c>
      <c r="V2792" s="1" t="str">
        <f>IFERROR(__xludf.DUMMYFUNCTION("""COMPUTED_VALUE"""),"Jahmie Mae Barrameda")</f>
        <v>Jahmie Mae Barrameda</v>
      </c>
      <c r="W2792" s="1" t="str">
        <f>IFERROR(__xludf.DUMMYFUNCTION("""COMPUTED_VALUE"""),"Advanced Billing &amp; Subscriptions")</f>
        <v>Advanced Billing &amp; Subscriptions</v>
      </c>
    </row>
    <row r="2793">
      <c r="O2793" s="1" t="str">
        <f>IFERROR(__xludf.DUMMYFUNCTION("""COMPUTED_VALUE"""),"2026 Apr")</f>
        <v>2026 Apr</v>
      </c>
      <c r="P2793" s="1" t="str">
        <f>IFERROR(__xludf.DUMMYFUNCTION("""COMPUTED_VALUE"""),"Core Product Support")</f>
        <v>Core Product Support</v>
      </c>
      <c r="Q2793" s="1" t="str">
        <f>IFERROR(__xludf.DUMMYFUNCTION("""COMPUTED_VALUE"""),"tintinmaxilom@canva.com")</f>
        <v>tintinmaxilom@canva.com</v>
      </c>
      <c r="R2793" s="1" t="str">
        <f>IFERROR(__xludf.DUMMYFUNCTION("""COMPUTED_VALUE"""),"Christine Araga")</f>
        <v>Christine Araga</v>
      </c>
      <c r="S2793" s="1">
        <f>IFERROR(__xludf.DUMMYFUNCTION("""COMPUTED_VALUE"""),0.5)</f>
        <v>0.5</v>
      </c>
      <c r="T2793" s="1">
        <f>IFERROR(__xludf.DUMMYFUNCTION("""COMPUTED_VALUE"""),4.0)</f>
        <v>4</v>
      </c>
      <c r="U2793" s="2">
        <f>IFERROR(__xludf.DUMMYFUNCTION("""COMPUTED_VALUE"""),4.5)</f>
        <v>4.5</v>
      </c>
      <c r="V2793" s="1" t="str">
        <f>IFERROR(__xludf.DUMMYFUNCTION("""COMPUTED_VALUE"""),"Jelyn Elmido")</f>
        <v>Jelyn Elmido</v>
      </c>
      <c r="W2793" s="1" t="str">
        <f>IFERROR(__xludf.DUMMYFUNCTION("""COMPUTED_VALUE"""),"Core Product Support Escalation Team")</f>
        <v>Core Product Support Escalation Team</v>
      </c>
    </row>
    <row r="2794">
      <c r="O2794" s="1" t="str">
        <f>IFERROR(__xludf.DUMMYFUNCTION("""COMPUTED_VALUE"""),"2026 Apr")</f>
        <v>2026 Apr</v>
      </c>
      <c r="P2794" s="1" t="str">
        <f>IFERROR(__xludf.DUMMYFUNCTION("""COMPUTED_VALUE"""),"Print Support")</f>
        <v>Print Support</v>
      </c>
      <c r="Q2794" s="1" t="str">
        <f>IFERROR(__xludf.DUMMYFUNCTION("""COMPUTED_VALUE"""),"cjlining@canva.com")</f>
        <v>cjlining@canva.com</v>
      </c>
      <c r="R2794" s="1" t="str">
        <f>IFERROR(__xludf.DUMMYFUNCTION("""COMPUTED_VALUE"""),"CJ Lining")</f>
        <v>CJ Lining</v>
      </c>
      <c r="S2794" s="1"/>
      <c r="T2794" s="1"/>
      <c r="U2794" s="2">
        <f>IFERROR(__xludf.DUMMYFUNCTION("""COMPUTED_VALUE"""),0.0)</f>
        <v>0</v>
      </c>
      <c r="V2794" s="1" t="str">
        <f>IFERROR(__xludf.DUMMYFUNCTION("""COMPUTED_VALUE"""),"Althea Mercado")</f>
        <v>Althea Mercado</v>
      </c>
      <c r="W2794" s="1" t="str">
        <f>IFERROR(__xludf.DUMMYFUNCTION("""COMPUTED_VALUE"""),"Print Support PH")</f>
        <v>Print Support PH</v>
      </c>
    </row>
    <row r="2795">
      <c r="O2795" s="1" t="str">
        <f>IFERROR(__xludf.DUMMYFUNCTION("""COMPUTED_VALUE"""),"2026 Apr")</f>
        <v>2026 Apr</v>
      </c>
      <c r="P2795" s="1" t="str">
        <f>IFERROR(__xludf.DUMMYFUNCTION("""COMPUTED_VALUE"""),"Admin Support")</f>
        <v>Admin Support</v>
      </c>
      <c r="Q2795" s="1" t="str">
        <f>IFERROR(__xludf.DUMMYFUNCTION("""COMPUTED_VALUE"""),"ckmg@canva.com")</f>
        <v>ckmg@canva.com</v>
      </c>
      <c r="R2795" s="1" t="str">
        <f>IFERROR(__xludf.DUMMYFUNCTION("""COMPUTED_VALUE"""),"CK Geronimo")</f>
        <v>CK Geronimo</v>
      </c>
      <c r="S2795" s="1"/>
      <c r="T2795" s="1">
        <f>IFERROR(__xludf.DUMMYFUNCTION("""COMPUTED_VALUE"""),1.0)</f>
        <v>1</v>
      </c>
      <c r="U2795" s="2">
        <f>IFERROR(__xludf.DUMMYFUNCTION("""COMPUTED_VALUE"""),1.0)</f>
        <v>1</v>
      </c>
      <c r="V2795" s="1" t="str">
        <f>IFERROR(__xludf.DUMMYFUNCTION("""COMPUTED_VALUE"""),"Pau Palmero")</f>
        <v>Pau Palmero</v>
      </c>
      <c r="W2795" s="1" t="str">
        <f>IFERROR(__xludf.DUMMYFUNCTION("""COMPUTED_VALUE"""),"Admin Omni Support")</f>
        <v>Admin Omni Support</v>
      </c>
    </row>
    <row r="2796">
      <c r="O2796" s="1" t="str">
        <f>IFERROR(__xludf.DUMMYFUNCTION("""COMPUTED_VALUE"""),"2026 Apr")</f>
        <v>2026 Apr</v>
      </c>
      <c r="P2796" s="1" t="str">
        <f>IFERROR(__xludf.DUMMYFUNCTION("""COMPUTED_VALUE"""),"Segment-specific Support")</f>
        <v>Segment-specific Support</v>
      </c>
      <c r="Q2796" s="1" t="str">
        <f>IFERROR(__xludf.DUMMYFUNCTION("""COMPUTED_VALUE"""),"magnumck@canva.com")</f>
        <v>magnumck@canva.com</v>
      </c>
      <c r="R2796" s="1" t="str">
        <f>IFERROR(__xludf.DUMMYFUNCTION("""COMPUTED_VALUE"""),"CK Lobaton")</f>
        <v>CK Lobaton</v>
      </c>
      <c r="S2796" s="1"/>
      <c r="T2796" s="1"/>
      <c r="U2796" s="2">
        <f>IFERROR(__xludf.DUMMYFUNCTION("""COMPUTED_VALUE"""),0.0)</f>
        <v>0</v>
      </c>
      <c r="V2796" s="1" t="str">
        <f>IFERROR(__xludf.DUMMYFUNCTION("""COMPUTED_VALUE"""),"Jonathan Dimaculangan")</f>
        <v>Jonathan Dimaculangan</v>
      </c>
      <c r="W2796" s="1" t="str">
        <f>IFERROR(__xludf.DUMMYFUNCTION("""COMPUTED_VALUE"""),"Flourish Support")</f>
        <v>Flourish Support</v>
      </c>
    </row>
    <row r="2797">
      <c r="O2797" s="1" t="str">
        <f>IFERROR(__xludf.DUMMYFUNCTION("""COMPUTED_VALUE"""),"2026 Apr")</f>
        <v>2026 Apr</v>
      </c>
      <c r="P2797" s="1" t="str">
        <f>IFERROR(__xludf.DUMMYFUNCTION("""COMPUTED_VALUE"""),"Core Product Support")</f>
        <v>Core Product Support</v>
      </c>
      <c r="Q2797" s="1" t="str">
        <f>IFERROR(__xludf.DUMMYFUNCTION("""COMPUTED_VALUE"""),"cladd@canva.com")</f>
        <v>cladd@canva.com</v>
      </c>
      <c r="R2797" s="1" t="str">
        <f>IFERROR(__xludf.DUMMYFUNCTION("""COMPUTED_VALUE"""),"Claddys Ann Bernaldez")</f>
        <v>Claddys Ann Bernaldez</v>
      </c>
      <c r="S2797" s="1">
        <f>IFERROR(__xludf.DUMMYFUNCTION("""COMPUTED_VALUE"""),0.5)</f>
        <v>0.5</v>
      </c>
      <c r="T2797" s="1">
        <f>IFERROR(__xludf.DUMMYFUNCTION("""COMPUTED_VALUE"""),4.5)</f>
        <v>4.5</v>
      </c>
      <c r="U2797" s="2">
        <f>IFERROR(__xludf.DUMMYFUNCTION("""COMPUTED_VALUE"""),5.0)</f>
        <v>5</v>
      </c>
      <c r="V2797" s="1" t="str">
        <f>IFERROR(__xludf.DUMMYFUNCTION("""COMPUTED_VALUE"""),"Jelyn Elmido")</f>
        <v>Jelyn Elmido</v>
      </c>
      <c r="W2797" s="1" t="str">
        <f>IFERROR(__xludf.DUMMYFUNCTION("""COMPUTED_VALUE"""),"Core Product Support Escalation Team")</f>
        <v>Core Product Support Escalation Team</v>
      </c>
    </row>
    <row r="2798">
      <c r="O2798" s="1" t="str">
        <f>IFERROR(__xludf.DUMMYFUNCTION("""COMPUTED_VALUE"""),"2026 Apr")</f>
        <v>2026 Apr</v>
      </c>
      <c r="P2798" s="1" t="str">
        <f>IFERROR(__xludf.DUMMYFUNCTION("""COMPUTED_VALUE"""),"Multilingual Support")</f>
        <v>Multilingual Support</v>
      </c>
      <c r="Q2798" s="1" t="str">
        <f>IFERROR(__xludf.DUMMYFUNCTION("""COMPUTED_VALUE"""),"claire.g@canva.com")</f>
        <v>claire.g@canva.com</v>
      </c>
      <c r="R2798" s="1" t="str">
        <f>IFERROR(__xludf.DUMMYFUNCTION("""COMPUTED_VALUE"""),"Claire Gado")</f>
        <v>Claire Gado</v>
      </c>
      <c r="S2798" s="1"/>
      <c r="T2798" s="1"/>
      <c r="U2798" s="2">
        <f>IFERROR(__xludf.DUMMYFUNCTION("""COMPUTED_VALUE"""),0.0)</f>
        <v>0</v>
      </c>
      <c r="V2798" s="1" t="str">
        <f>IFERROR(__xludf.DUMMYFUNCTION("""COMPUTED_VALUE"""),"Arlene Maurillo")</f>
        <v>Arlene Maurillo</v>
      </c>
      <c r="W2798" s="1" t="str">
        <f>IFERROR(__xludf.DUMMYFUNCTION("""COMPUTED_VALUE"""),"PHL, Multilingual Support")</f>
        <v>PHL, Multilingual Support</v>
      </c>
    </row>
    <row r="2799">
      <c r="O2799" s="1" t="str">
        <f>IFERROR(__xludf.DUMMYFUNCTION("""COMPUTED_VALUE"""),"2026 Apr")</f>
        <v>2026 Apr</v>
      </c>
      <c r="P2799" s="1" t="str">
        <f>IFERROR(__xludf.DUMMYFUNCTION("""COMPUTED_VALUE"""),"Print Support")</f>
        <v>Print Support</v>
      </c>
      <c r="Q2799" s="1" t="str">
        <f>IFERROR(__xludf.DUMMYFUNCTION("""COMPUTED_VALUE"""),"cyreengee@canva.com")</f>
        <v>cyreengee@canva.com</v>
      </c>
      <c r="R2799" s="1" t="str">
        <f>IFERROR(__xludf.DUMMYFUNCTION("""COMPUTED_VALUE"""),"Cye Gonzales")</f>
        <v>Cye Gonzales</v>
      </c>
      <c r="S2799" s="1"/>
      <c r="T2799" s="1"/>
      <c r="U2799" s="2">
        <f>IFERROR(__xludf.DUMMYFUNCTION("""COMPUTED_VALUE"""),0.0)</f>
        <v>0</v>
      </c>
      <c r="V2799" s="1" t="str">
        <f>IFERROR(__xludf.DUMMYFUNCTION("""COMPUTED_VALUE"""),"Althea Mercado")</f>
        <v>Althea Mercado</v>
      </c>
      <c r="W2799" s="1" t="str">
        <f>IFERROR(__xludf.DUMMYFUNCTION("""COMPUTED_VALUE"""),"Print Support PH")</f>
        <v>Print Support PH</v>
      </c>
    </row>
    <row r="2800">
      <c r="O2800" s="1" t="str">
        <f>IFERROR(__xludf.DUMMYFUNCTION("""COMPUTED_VALUE"""),"2026 Apr")</f>
        <v>2026 Apr</v>
      </c>
      <c r="P2800" s="1" t="str">
        <f>IFERROR(__xludf.DUMMYFUNCTION("""COMPUTED_VALUE"""),"Print Support")</f>
        <v>Print Support</v>
      </c>
      <c r="Q2800" s="1" t="str">
        <f>IFERROR(__xludf.DUMMYFUNCTION("""COMPUTED_VALUE"""),"dyter@canva.com")</f>
        <v>dyter@canva.com</v>
      </c>
      <c r="R2800" s="1" t="str">
        <f>IFERROR(__xludf.DUMMYFUNCTION("""COMPUTED_VALUE"""),"Daisy Tercenio")</f>
        <v>Daisy Tercenio</v>
      </c>
      <c r="S2800" s="1"/>
      <c r="T2800" s="1"/>
      <c r="U2800" s="2">
        <f>IFERROR(__xludf.DUMMYFUNCTION("""COMPUTED_VALUE"""),0.0)</f>
        <v>0</v>
      </c>
      <c r="V2800" s="1" t="str">
        <f>IFERROR(__xludf.DUMMYFUNCTION("""COMPUTED_VALUE"""),"Rae Erlano")</f>
        <v>Rae Erlano</v>
      </c>
      <c r="W2800" s="1" t="str">
        <f>IFERROR(__xludf.DUMMYFUNCTION("""COMPUTED_VALUE"""),"Print Support PH")</f>
        <v>Print Support PH</v>
      </c>
    </row>
    <row r="2801">
      <c r="O2801" s="1" t="str">
        <f>IFERROR(__xludf.DUMMYFUNCTION("""COMPUTED_VALUE"""),"2026 Apr")</f>
        <v>2026 Apr</v>
      </c>
      <c r="P2801" s="1" t="str">
        <f>IFERROR(__xludf.DUMMYFUNCTION("""COMPUTED_VALUE"""),"Core Product Support")</f>
        <v>Core Product Support</v>
      </c>
      <c r="Q2801" s="1" t="str">
        <f>IFERROR(__xludf.DUMMYFUNCTION("""COMPUTED_VALUE"""),"danortiz@canva.com")</f>
        <v>danortiz@canva.com</v>
      </c>
      <c r="R2801" s="1" t="str">
        <f>IFERROR(__xludf.DUMMYFUNCTION("""COMPUTED_VALUE"""),"Daniella Ortiz")</f>
        <v>Daniella Ortiz</v>
      </c>
      <c r="S2801" s="1">
        <f>IFERROR(__xludf.DUMMYFUNCTION("""COMPUTED_VALUE"""),0.5)</f>
        <v>0.5</v>
      </c>
      <c r="T2801" s="1">
        <f>IFERROR(__xludf.DUMMYFUNCTION("""COMPUTED_VALUE"""),2.25)</f>
        <v>2.25</v>
      </c>
      <c r="U2801" s="2">
        <f>IFERROR(__xludf.DUMMYFUNCTION("""COMPUTED_VALUE"""),2.75)</f>
        <v>2.75</v>
      </c>
      <c r="V2801" s="1" t="str">
        <f>IFERROR(__xludf.DUMMYFUNCTION("""COMPUTED_VALUE"""),"Cate Velasco")</f>
        <v>Cate Velasco</v>
      </c>
      <c r="W2801" s="1" t="str">
        <f>IFERROR(__xludf.DUMMYFUNCTION("""COMPUTED_VALUE"""),"Advanced Product Support")</f>
        <v>Advanced Product Support</v>
      </c>
    </row>
    <row r="2802">
      <c r="O2802" s="1" t="str">
        <f>IFERROR(__xludf.DUMMYFUNCTION("""COMPUTED_VALUE"""),"2026 Apr")</f>
        <v>2026 Apr</v>
      </c>
      <c r="P2802" s="1" t="str">
        <f>IFERROR(__xludf.DUMMYFUNCTION("""COMPUTED_VALUE"""),"Segment-specific Support")</f>
        <v>Segment-specific Support</v>
      </c>
      <c r="Q2802" s="1" t="str">
        <f>IFERROR(__xludf.DUMMYFUNCTION("""COMPUTED_VALUE"""),"daniellegrace@canva.com")</f>
        <v>daniellegrace@canva.com</v>
      </c>
      <c r="R2802" s="1" t="str">
        <f>IFERROR(__xludf.DUMMYFUNCTION("""COMPUTED_VALUE"""),"Danielle Marasigan")</f>
        <v>Danielle Marasigan</v>
      </c>
      <c r="S2802" s="1"/>
      <c r="T2802" s="1"/>
      <c r="U2802" s="2">
        <f>IFERROR(__xludf.DUMMYFUNCTION("""COMPUTED_VALUE"""),0.0)</f>
        <v>0</v>
      </c>
      <c r="V2802" s="1" t="str">
        <f>IFERROR(__xludf.DUMMYFUNCTION("""COMPUTED_VALUE"""),"Aileen Dayanghirang")</f>
        <v>Aileen Dayanghirang</v>
      </c>
      <c r="W2802" s="1" t="str">
        <f>IFERROR(__xludf.DUMMYFUNCTION("""COMPUTED_VALUE"""),"Creators Support")</f>
        <v>Creators Support</v>
      </c>
    </row>
    <row r="2803">
      <c r="O2803" s="1" t="str">
        <f>IFERROR(__xludf.DUMMYFUNCTION("""COMPUTED_VALUE"""),"2026 Apr")</f>
        <v>2026 Apr</v>
      </c>
      <c r="P2803" s="1" t="str">
        <f>IFERROR(__xludf.DUMMYFUNCTION("""COMPUTED_VALUE"""),"Admin Support")</f>
        <v>Admin Support</v>
      </c>
      <c r="Q2803" s="1" t="str">
        <f>IFERROR(__xludf.DUMMYFUNCTION("""COMPUTED_VALUE"""),"dannah@canva.com")</f>
        <v>dannah@canva.com</v>
      </c>
      <c r="R2803" s="1" t="str">
        <f>IFERROR(__xludf.DUMMYFUNCTION("""COMPUTED_VALUE"""),"Dannah Kate Dizon")</f>
        <v>Dannah Kate Dizon</v>
      </c>
      <c r="S2803" s="1"/>
      <c r="T2803" s="1"/>
      <c r="U2803" s="2">
        <f>IFERROR(__xludf.DUMMYFUNCTION("""COMPUTED_VALUE"""),0.0)</f>
        <v>0</v>
      </c>
      <c r="V2803" s="1" t="str">
        <f>IFERROR(__xludf.DUMMYFUNCTION("""COMPUTED_VALUE"""),"Karla Mananghaya")</f>
        <v>Karla Mananghaya</v>
      </c>
      <c r="W2803" s="1" t="str">
        <f>IFERROR(__xludf.DUMMYFUNCTION("""COMPUTED_VALUE"""),"Admin Support Service Escalation Team")</f>
        <v>Admin Support Service Escalation Team</v>
      </c>
    </row>
    <row r="2804">
      <c r="O2804" s="1" t="str">
        <f>IFERROR(__xludf.DUMMYFUNCTION("""COMPUTED_VALUE"""),"2026 Apr")</f>
        <v>2026 Apr</v>
      </c>
      <c r="P2804" s="1" t="str">
        <f>IFERROR(__xludf.DUMMYFUNCTION("""COMPUTED_VALUE"""),"High Sensitivity Support")</f>
        <v>High Sensitivity Support</v>
      </c>
      <c r="Q2804" s="1" t="str">
        <f>IFERROR(__xludf.DUMMYFUNCTION("""COMPUTED_VALUE"""),"danrev@canva.com")</f>
        <v>danrev@canva.com</v>
      </c>
      <c r="R2804" s="1" t="str">
        <f>IFERROR(__xludf.DUMMYFUNCTION("""COMPUTED_VALUE"""),"Danrev Bactad")</f>
        <v>Danrev Bactad</v>
      </c>
      <c r="S2804" s="1"/>
      <c r="T2804" s="1">
        <f>IFERROR(__xludf.DUMMYFUNCTION("""COMPUTED_VALUE"""),2.0)</f>
        <v>2</v>
      </c>
      <c r="U2804" s="2">
        <f>IFERROR(__xludf.DUMMYFUNCTION("""COMPUTED_VALUE"""),2.0)</f>
        <v>2</v>
      </c>
      <c r="V2804" s="1" t="str">
        <f>IFERROR(__xludf.DUMMYFUNCTION("""COMPUTED_VALUE"""),"Xandy Azarcon")</f>
        <v>Xandy Azarcon</v>
      </c>
      <c r="W2804" s="1" t="str">
        <f>IFERROR(__xludf.DUMMYFUNCTION("""COMPUTED_VALUE"""),"High Sensitivity Support PH")</f>
        <v>High Sensitivity Support PH</v>
      </c>
    </row>
    <row r="2805">
      <c r="O2805" s="1" t="str">
        <f>IFERROR(__xludf.DUMMYFUNCTION("""COMPUTED_VALUE"""),"2026 Apr")</f>
        <v>2026 Apr</v>
      </c>
      <c r="P2805" s="1" t="str">
        <f>IFERROR(__xludf.DUMMYFUNCTION("""COMPUTED_VALUE"""),"Print Support")</f>
        <v>Print Support</v>
      </c>
      <c r="Q2805" s="1" t="str">
        <f>IFERROR(__xludf.DUMMYFUNCTION("""COMPUTED_VALUE"""),"daphne@canva.com")</f>
        <v>daphne@canva.com</v>
      </c>
      <c r="R2805" s="1" t="str">
        <f>IFERROR(__xludf.DUMMYFUNCTION("""COMPUTED_VALUE"""),"Daphne Arboleda")</f>
        <v>Daphne Arboleda</v>
      </c>
      <c r="S2805" s="1"/>
      <c r="T2805" s="1"/>
      <c r="U2805" s="2">
        <f>IFERROR(__xludf.DUMMYFUNCTION("""COMPUTED_VALUE"""),0.0)</f>
        <v>0</v>
      </c>
      <c r="V2805" s="1" t="str">
        <f>IFERROR(__xludf.DUMMYFUNCTION("""COMPUTED_VALUE"""),"Memae Faustino")</f>
        <v>Memae Faustino</v>
      </c>
      <c r="W2805" s="1" t="str">
        <f>IFERROR(__xludf.DUMMYFUNCTION("""COMPUTED_VALUE"""),"Print Support PH")</f>
        <v>Print Support PH</v>
      </c>
    </row>
    <row r="2806">
      <c r="O2806" s="1" t="str">
        <f>IFERROR(__xludf.DUMMYFUNCTION("""COMPUTED_VALUE"""),"2026 Apr")</f>
        <v>2026 Apr</v>
      </c>
      <c r="P2806" s="1" t="str">
        <f>IFERROR(__xludf.DUMMYFUNCTION("""COMPUTED_VALUE"""),"High Sensitivity Support")</f>
        <v>High Sensitivity Support</v>
      </c>
      <c r="Q2806" s="1" t="str">
        <f>IFERROR(__xludf.DUMMYFUNCTION("""COMPUTED_VALUE"""),"darrelm@canva.com")</f>
        <v>darrelm@canva.com</v>
      </c>
      <c r="R2806" s="1" t="str">
        <f>IFERROR(__xludf.DUMMYFUNCTION("""COMPUTED_VALUE"""),"Darrel Marcelino")</f>
        <v>Darrel Marcelino</v>
      </c>
      <c r="S2806" s="1"/>
      <c r="T2806" s="1"/>
      <c r="U2806" s="2">
        <f>IFERROR(__xludf.DUMMYFUNCTION("""COMPUTED_VALUE"""),0.0)</f>
        <v>0</v>
      </c>
      <c r="V2806" s="1" t="str">
        <f>IFERROR(__xludf.DUMMYFUNCTION("""COMPUTED_VALUE"""),"Issi Afable")</f>
        <v>Issi Afable</v>
      </c>
      <c r="W2806" s="1" t="str">
        <f>IFERROR(__xludf.DUMMYFUNCTION("""COMPUTED_VALUE"""),"High Sensitivity Support PH")</f>
        <v>High Sensitivity Support PH</v>
      </c>
    </row>
    <row r="2807">
      <c r="O2807" s="1" t="str">
        <f>IFERROR(__xludf.DUMMYFUNCTION("""COMPUTED_VALUE"""),"2026 Apr")</f>
        <v>2026 Apr</v>
      </c>
      <c r="P2807" s="1" t="str">
        <f>IFERROR(__xludf.DUMMYFUNCTION("""COMPUTED_VALUE"""),"Core Product Support")</f>
        <v>Core Product Support</v>
      </c>
      <c r="Q2807" s="1" t="str">
        <f>IFERROR(__xludf.DUMMYFUNCTION("""COMPUTED_VALUE"""),"davecosteloii@canva.com")</f>
        <v>davecosteloii@canva.com</v>
      </c>
      <c r="R2807" s="1" t="str">
        <f>IFERROR(__xludf.DUMMYFUNCTION("""COMPUTED_VALUE"""),"Dave Costelo")</f>
        <v>Dave Costelo</v>
      </c>
      <c r="S2807" s="1">
        <f>IFERROR(__xludf.DUMMYFUNCTION("""COMPUTED_VALUE"""),0.5)</f>
        <v>0.5</v>
      </c>
      <c r="T2807" s="1">
        <f>IFERROR(__xludf.DUMMYFUNCTION("""COMPUTED_VALUE"""),2.0)</f>
        <v>2</v>
      </c>
      <c r="U2807" s="2">
        <f>IFERROR(__xludf.DUMMYFUNCTION("""COMPUTED_VALUE"""),2.5)</f>
        <v>2.5</v>
      </c>
      <c r="V2807" s="1" t="str">
        <f>IFERROR(__xludf.DUMMYFUNCTION("""COMPUTED_VALUE"""),"Jahmie Mae Barrameda")</f>
        <v>Jahmie Mae Barrameda</v>
      </c>
      <c r="W2807" s="1" t="str">
        <f>IFERROR(__xludf.DUMMYFUNCTION("""COMPUTED_VALUE"""),"Advanced Billing &amp; Subscriptions")</f>
        <v>Advanced Billing &amp; Subscriptions</v>
      </c>
    </row>
    <row r="2808">
      <c r="O2808" s="1" t="str">
        <f>IFERROR(__xludf.DUMMYFUNCTION("""COMPUTED_VALUE"""),"2026 Apr")</f>
        <v>2026 Apr</v>
      </c>
      <c r="P2808" s="1" t="str">
        <f>IFERROR(__xludf.DUMMYFUNCTION("""COMPUTED_VALUE"""),"Admin Support")</f>
        <v>Admin Support</v>
      </c>
      <c r="Q2808" s="1" t="str">
        <f>IFERROR(__xludf.DUMMYFUNCTION("""COMPUTED_VALUE"""),"davidfrancis@canva.com")</f>
        <v>davidfrancis@canva.com</v>
      </c>
      <c r="R2808" s="1" t="str">
        <f>IFERROR(__xludf.DUMMYFUNCTION("""COMPUTED_VALUE"""),"David Francis Dimatulac")</f>
        <v>David Francis Dimatulac</v>
      </c>
      <c r="S2808" s="1"/>
      <c r="T2808" s="1"/>
      <c r="U2808" s="2">
        <f>IFERROR(__xludf.DUMMYFUNCTION("""COMPUTED_VALUE"""),0.0)</f>
        <v>0</v>
      </c>
      <c r="V2808" s="1" t="str">
        <f>IFERROR(__xludf.DUMMYFUNCTION("""COMPUTED_VALUE"""),"Karla Mananghaya")</f>
        <v>Karla Mananghaya</v>
      </c>
      <c r="W2808" s="1" t="str">
        <f>IFERROR(__xludf.DUMMYFUNCTION("""COMPUTED_VALUE"""),"Admin Support Service Escalation Team")</f>
        <v>Admin Support Service Escalation Team</v>
      </c>
    </row>
    <row r="2809">
      <c r="O2809" s="1" t="str">
        <f>IFERROR(__xludf.DUMMYFUNCTION("""COMPUTED_VALUE"""),"2026 Apr")</f>
        <v>2026 Apr</v>
      </c>
      <c r="P2809" s="1" t="str">
        <f>IFERROR(__xludf.DUMMYFUNCTION("""COMPUTED_VALUE"""),"Core Product Support")</f>
        <v>Core Product Support</v>
      </c>
      <c r="Q2809" s="1" t="str">
        <f>IFERROR(__xludf.DUMMYFUNCTION("""COMPUTED_VALUE"""),"denden@canva.com")</f>
        <v>denden@canva.com</v>
      </c>
      <c r="R2809" s="1" t="str">
        <f>IFERROR(__xludf.DUMMYFUNCTION("""COMPUTED_VALUE"""),"Den Gutierrez")</f>
        <v>Den Gutierrez</v>
      </c>
      <c r="S2809" s="1">
        <f>IFERROR(__xludf.DUMMYFUNCTION("""COMPUTED_VALUE"""),0.5)</f>
        <v>0.5</v>
      </c>
      <c r="T2809" s="1">
        <f>IFERROR(__xludf.DUMMYFUNCTION("""COMPUTED_VALUE"""),4.5)</f>
        <v>4.5</v>
      </c>
      <c r="U2809" s="2">
        <f>IFERROR(__xludf.DUMMYFUNCTION("""COMPUTED_VALUE"""),5.0)</f>
        <v>5</v>
      </c>
      <c r="V2809" s="1" t="str">
        <f>IFERROR(__xludf.DUMMYFUNCTION("""COMPUTED_VALUE"""),"Sieg Ballelos")</f>
        <v>Sieg Ballelos</v>
      </c>
      <c r="W2809" s="1" t="str">
        <f>IFERROR(__xludf.DUMMYFUNCTION("""COMPUTED_VALUE"""),"Core Product Support Escalation Team")</f>
        <v>Core Product Support Escalation Team</v>
      </c>
    </row>
    <row r="2810">
      <c r="O2810" s="1" t="str">
        <f>IFERROR(__xludf.DUMMYFUNCTION("""COMPUTED_VALUE"""),"2026 Apr")</f>
        <v>2026 Apr</v>
      </c>
      <c r="P2810" s="1" t="str">
        <f>IFERROR(__xludf.DUMMYFUNCTION("""COMPUTED_VALUE"""),"Core Product Support")</f>
        <v>Core Product Support</v>
      </c>
      <c r="Q2810" s="1" t="str">
        <f>IFERROR(__xludf.DUMMYFUNCTION("""COMPUTED_VALUE"""),"deniseadrms@canva.com")</f>
        <v>deniseadrms@canva.com</v>
      </c>
      <c r="R2810" s="1" t="str">
        <f>IFERROR(__xludf.DUMMYFUNCTION("""COMPUTED_VALUE"""),"Denise Adoremos")</f>
        <v>Denise Adoremos</v>
      </c>
      <c r="S2810" s="1">
        <f>IFERROR(__xludf.DUMMYFUNCTION("""COMPUTED_VALUE"""),1.0)</f>
        <v>1</v>
      </c>
      <c r="T2810" s="1">
        <f>IFERROR(__xludf.DUMMYFUNCTION("""COMPUTED_VALUE"""),2.25)</f>
        <v>2.25</v>
      </c>
      <c r="U2810" s="2">
        <f>IFERROR(__xludf.DUMMYFUNCTION("""COMPUTED_VALUE"""),3.25)</f>
        <v>3.25</v>
      </c>
      <c r="V2810" s="1" t="str">
        <f>IFERROR(__xludf.DUMMYFUNCTION("""COMPUTED_VALUE"""),"Ana Lazaro")</f>
        <v>Ana Lazaro</v>
      </c>
      <c r="W2810" s="1" t="str">
        <f>IFERROR(__xludf.DUMMYFUNCTION("""COMPUTED_VALUE"""),"Advanced Billing &amp; Subscriptions")</f>
        <v>Advanced Billing &amp; Subscriptions</v>
      </c>
    </row>
    <row r="2811">
      <c r="O2811" s="1" t="str">
        <f>IFERROR(__xludf.DUMMYFUNCTION("""COMPUTED_VALUE"""),"2026 Apr")</f>
        <v>2026 Apr</v>
      </c>
      <c r="P2811" s="1" t="str">
        <f>IFERROR(__xludf.DUMMYFUNCTION("""COMPUTED_VALUE"""),"Segment-specific Support")</f>
        <v>Segment-specific Support</v>
      </c>
      <c r="Q2811" s="1" t="str">
        <f>IFERROR(__xludf.DUMMYFUNCTION("""COMPUTED_VALUE"""),"dymplem@canva.com")</f>
        <v>dymplem@canva.com</v>
      </c>
      <c r="R2811" s="1" t="str">
        <f>IFERROR(__xludf.DUMMYFUNCTION("""COMPUTED_VALUE"""),"Dymple Macaraeg")</f>
        <v>Dymple Macaraeg</v>
      </c>
      <c r="S2811" s="1"/>
      <c r="T2811" s="1"/>
      <c r="U2811" s="2">
        <f>IFERROR(__xludf.DUMMYFUNCTION("""COMPUTED_VALUE"""),0.0)</f>
        <v>0</v>
      </c>
      <c r="V2811" s="1" t="str">
        <f>IFERROR(__xludf.DUMMYFUNCTION("""COMPUTED_VALUE"""),"Rose Gabilan")</f>
        <v>Rose Gabilan</v>
      </c>
      <c r="W2811" s="1" t="str">
        <f>IFERROR(__xludf.DUMMYFUNCTION("""COMPUTED_VALUE"""),"Affinity Support")</f>
        <v>Affinity Support</v>
      </c>
    </row>
    <row r="2812">
      <c r="O2812" s="1" t="str">
        <f>IFERROR(__xludf.DUMMYFUNCTION("""COMPUTED_VALUE"""),"2026 Apr")</f>
        <v>2026 Apr</v>
      </c>
      <c r="P2812" s="1" t="str">
        <f>IFERROR(__xludf.DUMMYFUNCTION("""COMPUTED_VALUE"""),"Admin Support")</f>
        <v>Admin Support</v>
      </c>
      <c r="Q2812" s="1" t="str">
        <f>IFERROR(__xludf.DUMMYFUNCTION("""COMPUTED_VALUE"""),"edlico@canva.com")</f>
        <v>edlico@canva.com</v>
      </c>
      <c r="R2812" s="1" t="str">
        <f>IFERROR(__xludf.DUMMYFUNCTION("""COMPUTED_VALUE"""),"Ed Lico")</f>
        <v>Ed Lico</v>
      </c>
      <c r="S2812" s="1"/>
      <c r="T2812" s="1">
        <f>IFERROR(__xludf.DUMMYFUNCTION("""COMPUTED_VALUE"""),1.0)</f>
        <v>1</v>
      </c>
      <c r="U2812" s="2">
        <f>IFERROR(__xludf.DUMMYFUNCTION("""COMPUTED_VALUE"""),1.0)</f>
        <v>1</v>
      </c>
      <c r="V2812" s="1" t="str">
        <f>IFERROR(__xludf.DUMMYFUNCTION("""COMPUTED_VALUE"""),"Pau Palmero")</f>
        <v>Pau Palmero</v>
      </c>
      <c r="W2812" s="1" t="str">
        <f>IFERROR(__xludf.DUMMYFUNCTION("""COMPUTED_VALUE"""),"Admin Omni Support")</f>
        <v>Admin Omni Support</v>
      </c>
    </row>
    <row r="2813">
      <c r="O2813" s="1" t="str">
        <f>IFERROR(__xludf.DUMMYFUNCTION("""COMPUTED_VALUE"""),"2026 Apr")</f>
        <v>2026 Apr</v>
      </c>
      <c r="P2813" s="1" t="str">
        <f>IFERROR(__xludf.DUMMYFUNCTION("""COMPUTED_VALUE"""),"Multilingual Support")</f>
        <v>Multilingual Support</v>
      </c>
      <c r="Q2813" s="1" t="str">
        <f>IFERROR(__xludf.DUMMYFUNCTION("""COMPUTED_VALUE"""),"elmata@canva.com")</f>
        <v>elmata@canva.com</v>
      </c>
      <c r="R2813" s="1" t="str">
        <f>IFERROR(__xludf.DUMMYFUNCTION("""COMPUTED_VALUE"""),"Elmer Matarlo")</f>
        <v>Elmer Matarlo</v>
      </c>
      <c r="S2813" s="1"/>
      <c r="T2813" s="1"/>
      <c r="U2813" s="2">
        <f>IFERROR(__xludf.DUMMYFUNCTION("""COMPUTED_VALUE"""),0.0)</f>
        <v>0</v>
      </c>
      <c r="V2813" s="1" t="str">
        <f>IFERROR(__xludf.DUMMYFUNCTION("""COMPUTED_VALUE"""),"Arlene Maurillo")</f>
        <v>Arlene Maurillo</v>
      </c>
      <c r="W2813" s="1" t="str">
        <f>IFERROR(__xludf.DUMMYFUNCTION("""COMPUTED_VALUE"""),"PHL, Multilingual Support")</f>
        <v>PHL, Multilingual Support</v>
      </c>
    </row>
    <row r="2814">
      <c r="O2814" s="1" t="str">
        <f>IFERROR(__xludf.DUMMYFUNCTION("""COMPUTED_VALUE"""),"2026 Apr")</f>
        <v>2026 Apr</v>
      </c>
      <c r="P2814" s="1" t="str">
        <f>IFERROR(__xludf.DUMMYFUNCTION("""COMPUTED_VALUE"""),"Core Product Support")</f>
        <v>Core Product Support</v>
      </c>
      <c r="Q2814" s="1" t="str">
        <f>IFERROR(__xludf.DUMMYFUNCTION("""COMPUTED_VALUE"""),"ena@canva.com")</f>
        <v>ena@canva.com</v>
      </c>
      <c r="R2814" s="1" t="str">
        <f>IFERROR(__xludf.DUMMYFUNCTION("""COMPUTED_VALUE"""),"Ena Reyes")</f>
        <v>Ena Reyes</v>
      </c>
      <c r="S2814" s="1">
        <f>IFERROR(__xludf.DUMMYFUNCTION("""COMPUTED_VALUE"""),0.5)</f>
        <v>0.5</v>
      </c>
      <c r="T2814" s="1">
        <f>IFERROR(__xludf.DUMMYFUNCTION("""COMPUTED_VALUE"""),2.0)</f>
        <v>2</v>
      </c>
      <c r="U2814" s="2">
        <f>IFERROR(__xludf.DUMMYFUNCTION("""COMPUTED_VALUE"""),2.5)</f>
        <v>2.5</v>
      </c>
      <c r="V2814" s="1" t="str">
        <f>IFERROR(__xludf.DUMMYFUNCTION("""COMPUTED_VALUE"""),"Jem Mondoñedo")</f>
        <v>Jem Mondoñedo</v>
      </c>
      <c r="W2814" s="1" t="str">
        <f>IFERROR(__xludf.DUMMYFUNCTION("""COMPUTED_VALUE"""),"Advanced Billing &amp; Subscriptions")</f>
        <v>Advanced Billing &amp; Subscriptions</v>
      </c>
    </row>
    <row r="2815">
      <c r="O2815" s="1" t="str">
        <f>IFERROR(__xludf.DUMMYFUNCTION("""COMPUTED_VALUE"""),"2026 Apr")</f>
        <v>2026 Apr</v>
      </c>
      <c r="P2815" s="1" t="str">
        <f>IFERROR(__xludf.DUMMYFUNCTION("""COMPUTED_VALUE"""),"Admin Support")</f>
        <v>Admin Support</v>
      </c>
      <c r="Q2815" s="1" t="str">
        <f>IFERROR(__xludf.DUMMYFUNCTION("""COMPUTED_VALUE"""),"enrique@canva.com")</f>
        <v>enrique@canva.com</v>
      </c>
      <c r="R2815" s="1" t="str">
        <f>IFERROR(__xludf.DUMMYFUNCTION("""COMPUTED_VALUE"""),"Enrique Paolo Catuncan")</f>
        <v>Enrique Paolo Catuncan</v>
      </c>
      <c r="S2815" s="1"/>
      <c r="T2815" s="1">
        <f>IFERROR(__xludf.DUMMYFUNCTION("""COMPUTED_VALUE"""),0.75)</f>
        <v>0.75</v>
      </c>
      <c r="U2815" s="2">
        <f>IFERROR(__xludf.DUMMYFUNCTION("""COMPUTED_VALUE"""),0.75)</f>
        <v>0.75</v>
      </c>
      <c r="V2815" s="1" t="str">
        <f>IFERROR(__xludf.DUMMYFUNCTION("""COMPUTED_VALUE"""),"AL Suarez")</f>
        <v>AL Suarez</v>
      </c>
      <c r="W2815" s="1" t="str">
        <f>IFERROR(__xludf.DUMMYFUNCTION("""COMPUTED_VALUE"""),"Admin Direct Support")</f>
        <v>Admin Direct Support</v>
      </c>
    </row>
    <row r="2816">
      <c r="O2816" s="1" t="str">
        <f>IFERROR(__xludf.DUMMYFUNCTION("""COMPUTED_VALUE"""),"2026 Apr")</f>
        <v>2026 Apr</v>
      </c>
      <c r="P2816" s="1" t="str">
        <f>IFERROR(__xludf.DUMMYFUNCTION("""COMPUTED_VALUE"""),"Print Support")</f>
        <v>Print Support</v>
      </c>
      <c r="Q2816" s="1" t="str">
        <f>IFERROR(__xludf.DUMMYFUNCTION("""COMPUTED_VALUE"""),"erielle@canva.com")</f>
        <v>erielle@canva.com</v>
      </c>
      <c r="R2816" s="1" t="str">
        <f>IFERROR(__xludf.DUMMYFUNCTION("""COMPUTED_VALUE"""),"Erielle Singular")</f>
        <v>Erielle Singular</v>
      </c>
      <c r="S2816" s="1"/>
      <c r="T2816" s="1"/>
      <c r="U2816" s="2">
        <f>IFERROR(__xludf.DUMMYFUNCTION("""COMPUTED_VALUE"""),0.0)</f>
        <v>0</v>
      </c>
      <c r="V2816" s="1" t="str">
        <f>IFERROR(__xludf.DUMMYFUNCTION("""COMPUTED_VALUE"""),"Rei De Jesus")</f>
        <v>Rei De Jesus</v>
      </c>
      <c r="W2816" s="1" t="str">
        <f>IFERROR(__xludf.DUMMYFUNCTION("""COMPUTED_VALUE"""),"Print Design Support")</f>
        <v>Print Design Support</v>
      </c>
    </row>
    <row r="2817">
      <c r="O2817" s="1" t="str">
        <f>IFERROR(__xludf.DUMMYFUNCTION("""COMPUTED_VALUE"""),"2026 Apr")</f>
        <v>2026 Apr</v>
      </c>
      <c r="P2817" s="1" t="str">
        <f>IFERROR(__xludf.DUMMYFUNCTION("""COMPUTED_VALUE"""),"Core Product Support")</f>
        <v>Core Product Support</v>
      </c>
      <c r="Q2817" s="1" t="str">
        <f>IFERROR(__xludf.DUMMYFUNCTION("""COMPUTED_VALUE"""),"euni@canva.com")</f>
        <v>euni@canva.com</v>
      </c>
      <c r="R2817" s="1" t="str">
        <f>IFERROR(__xludf.DUMMYFUNCTION("""COMPUTED_VALUE"""),"Eunice Hachero")</f>
        <v>Eunice Hachero</v>
      </c>
      <c r="S2817" s="1">
        <f>IFERROR(__xludf.DUMMYFUNCTION("""COMPUTED_VALUE"""),0.5)</f>
        <v>0.5</v>
      </c>
      <c r="T2817" s="1">
        <f>IFERROR(__xludf.DUMMYFUNCTION("""COMPUTED_VALUE"""),2.0)</f>
        <v>2</v>
      </c>
      <c r="U2817" s="2">
        <f>IFERROR(__xludf.DUMMYFUNCTION("""COMPUTED_VALUE"""),2.5)</f>
        <v>2.5</v>
      </c>
      <c r="V2817" s="1" t="str">
        <f>IFERROR(__xludf.DUMMYFUNCTION("""COMPUTED_VALUE"""),"Marie Mordeno")</f>
        <v>Marie Mordeno</v>
      </c>
      <c r="W2817" s="1" t="str">
        <f>IFERROR(__xludf.DUMMYFUNCTION("""COMPUTED_VALUE"""),"Advanced Billing &amp; Subscriptions")</f>
        <v>Advanced Billing &amp; Subscriptions</v>
      </c>
    </row>
    <row r="2818">
      <c r="O2818" s="1" t="str">
        <f>IFERROR(__xludf.DUMMYFUNCTION("""COMPUTED_VALUE"""),"2026 Apr")</f>
        <v>2026 Apr</v>
      </c>
      <c r="P2818" s="1" t="str">
        <f>IFERROR(__xludf.DUMMYFUNCTION("""COMPUTED_VALUE"""),"Admin Support")</f>
        <v>Admin Support</v>
      </c>
      <c r="Q2818" s="1" t="str">
        <f>IFERROR(__xludf.DUMMYFUNCTION("""COMPUTED_VALUE"""),"eziecl@canva.com")</f>
        <v>eziecl@canva.com</v>
      </c>
      <c r="R2818" s="1" t="str">
        <f>IFERROR(__xludf.DUMMYFUNCTION("""COMPUTED_VALUE"""),"Ezekiel Marlin Lacson")</f>
        <v>Ezekiel Marlin Lacson</v>
      </c>
      <c r="S2818" s="1"/>
      <c r="T2818" s="1">
        <f>IFERROR(__xludf.DUMMYFUNCTION("""COMPUTED_VALUE"""),1.0)</f>
        <v>1</v>
      </c>
      <c r="U2818" s="2">
        <f>IFERROR(__xludf.DUMMYFUNCTION("""COMPUTED_VALUE"""),1.0)</f>
        <v>1</v>
      </c>
      <c r="V2818" s="1" t="str">
        <f>IFERROR(__xludf.DUMMYFUNCTION("""COMPUTED_VALUE"""),"Pau Palmero")</f>
        <v>Pau Palmero</v>
      </c>
      <c r="W2818" s="1" t="str">
        <f>IFERROR(__xludf.DUMMYFUNCTION("""COMPUTED_VALUE"""),"Admin Omni Support")</f>
        <v>Admin Omni Support</v>
      </c>
    </row>
    <row r="2819">
      <c r="O2819" s="1" t="str">
        <f>IFERROR(__xludf.DUMMYFUNCTION("""COMPUTED_VALUE"""),"2026 Apr")</f>
        <v>2026 Apr</v>
      </c>
      <c r="P2819" s="1" t="str">
        <f>IFERROR(__xludf.DUMMYFUNCTION("""COMPUTED_VALUE"""),"Print Support")</f>
        <v>Print Support</v>
      </c>
      <c r="Q2819" s="1" t="str">
        <f>IFERROR(__xludf.DUMMYFUNCTION("""COMPUTED_VALUE"""),"faith@canva.com")</f>
        <v>faith@canva.com</v>
      </c>
      <c r="R2819" s="1" t="str">
        <f>IFERROR(__xludf.DUMMYFUNCTION("""COMPUTED_VALUE"""),"Faith Ytang")</f>
        <v>Faith Ytang</v>
      </c>
      <c r="S2819" s="1"/>
      <c r="T2819" s="1"/>
      <c r="U2819" s="2">
        <f>IFERROR(__xludf.DUMMYFUNCTION("""COMPUTED_VALUE"""),0.0)</f>
        <v>0</v>
      </c>
      <c r="V2819" s="1" t="str">
        <f>IFERROR(__xludf.DUMMYFUNCTION("""COMPUTED_VALUE"""),"Memae Faustino")</f>
        <v>Memae Faustino</v>
      </c>
      <c r="W2819" s="1" t="str">
        <f>IFERROR(__xludf.DUMMYFUNCTION("""COMPUTED_VALUE"""),"Print Support PH")</f>
        <v>Print Support PH</v>
      </c>
    </row>
    <row r="2820">
      <c r="O2820" s="1" t="str">
        <f>IFERROR(__xludf.DUMMYFUNCTION("""COMPUTED_VALUE"""),"2026 Apr")</f>
        <v>2026 Apr</v>
      </c>
      <c r="P2820" s="1" t="str">
        <f>IFERROR(__xludf.DUMMYFUNCTION("""COMPUTED_VALUE"""),"Multilingual Support")</f>
        <v>Multilingual Support</v>
      </c>
      <c r="Q2820" s="1" t="str">
        <f>IFERROR(__xludf.DUMMYFUNCTION("""COMPUTED_VALUE"""),"francescamat@canva.com")</f>
        <v>francescamat@canva.com</v>
      </c>
      <c r="R2820" s="1" t="str">
        <f>IFERROR(__xludf.DUMMYFUNCTION("""COMPUTED_VALUE"""),"Francesca Mat")</f>
        <v>Francesca Mat</v>
      </c>
      <c r="S2820" s="1"/>
      <c r="T2820" s="1"/>
      <c r="U2820" s="2">
        <f>IFERROR(__xludf.DUMMYFUNCTION("""COMPUTED_VALUE"""),0.0)</f>
        <v>0</v>
      </c>
      <c r="V2820" s="1" t="str">
        <f>IFERROR(__xludf.DUMMYFUNCTION("""COMPUTED_VALUE"""),"Arlene Maurillo")</f>
        <v>Arlene Maurillo</v>
      </c>
      <c r="W2820" s="1" t="str">
        <f>IFERROR(__xludf.DUMMYFUNCTION("""COMPUTED_VALUE"""),"PHL, Multilingual Support")</f>
        <v>PHL, Multilingual Support</v>
      </c>
    </row>
    <row r="2821">
      <c r="O2821" s="1" t="str">
        <f>IFERROR(__xludf.DUMMYFUNCTION("""COMPUTED_VALUE"""),"2026 Apr")</f>
        <v>2026 Apr</v>
      </c>
      <c r="P2821" s="1" t="str">
        <f>IFERROR(__xludf.DUMMYFUNCTION("""COMPUTED_VALUE"""),"Print Support")</f>
        <v>Print Support</v>
      </c>
      <c r="Q2821" s="1" t="str">
        <f>IFERROR(__xludf.DUMMYFUNCTION("""COMPUTED_VALUE"""),"frencie@canva.com")</f>
        <v>frencie@canva.com</v>
      </c>
      <c r="R2821" s="1" t="str">
        <f>IFERROR(__xludf.DUMMYFUNCTION("""COMPUTED_VALUE"""),"Frencie Guzman")</f>
        <v>Frencie Guzman</v>
      </c>
      <c r="S2821" s="1"/>
      <c r="T2821" s="1"/>
      <c r="U2821" s="2">
        <f>IFERROR(__xludf.DUMMYFUNCTION("""COMPUTED_VALUE"""),0.0)</f>
        <v>0</v>
      </c>
      <c r="V2821" s="1" t="str">
        <f>IFERROR(__xludf.DUMMYFUNCTION("""COMPUTED_VALUE"""),"Aliza Dote")</f>
        <v>Aliza Dote</v>
      </c>
      <c r="W2821" s="1" t="str">
        <f>IFERROR(__xludf.DUMMYFUNCTION("""COMPUTED_VALUE"""),"Print Design Support")</f>
        <v>Print Design Support</v>
      </c>
    </row>
    <row r="2822">
      <c r="O2822" s="1" t="str">
        <f>IFERROR(__xludf.DUMMYFUNCTION("""COMPUTED_VALUE"""),"2026 Apr")</f>
        <v>2026 Apr</v>
      </c>
      <c r="P2822" s="1" t="str">
        <f>IFERROR(__xludf.DUMMYFUNCTION("""COMPUTED_VALUE"""),"Print Support")</f>
        <v>Print Support</v>
      </c>
      <c r="Q2822" s="1" t="str">
        <f>IFERROR(__xludf.DUMMYFUNCTION("""COMPUTED_VALUE"""),"gvr@canva.com")</f>
        <v>gvr@canva.com</v>
      </c>
      <c r="R2822" s="1" t="str">
        <f>IFERROR(__xludf.DUMMYFUNCTION("""COMPUTED_VALUE"""),"Gabriel Reyes")</f>
        <v>Gabriel Reyes</v>
      </c>
      <c r="S2822" s="1"/>
      <c r="T2822" s="1"/>
      <c r="U2822" s="2">
        <f>IFERROR(__xludf.DUMMYFUNCTION("""COMPUTED_VALUE"""),0.0)</f>
        <v>0</v>
      </c>
      <c r="V2822" s="1" t="str">
        <f>IFERROR(__xludf.DUMMYFUNCTION("""COMPUTED_VALUE"""),"Memae Faustino")</f>
        <v>Memae Faustino</v>
      </c>
      <c r="W2822" s="1" t="str">
        <f>IFERROR(__xludf.DUMMYFUNCTION("""COMPUTED_VALUE"""),"Print Support PH")</f>
        <v>Print Support PH</v>
      </c>
    </row>
    <row r="2823">
      <c r="O2823" s="1" t="str">
        <f>IFERROR(__xludf.DUMMYFUNCTION("""COMPUTED_VALUE"""),"2026 Apr")</f>
        <v>2026 Apr</v>
      </c>
      <c r="P2823" s="1" t="str">
        <f>IFERROR(__xludf.DUMMYFUNCTION("""COMPUTED_VALUE"""),"High Sensitivity Support")</f>
        <v>High Sensitivity Support</v>
      </c>
      <c r="Q2823" s="1" t="str">
        <f>IFERROR(__xludf.DUMMYFUNCTION("""COMPUTED_VALUE"""),"gsanandres@canva.com")</f>
        <v>gsanandres@canva.com</v>
      </c>
      <c r="R2823" s="1" t="str">
        <f>IFERROR(__xludf.DUMMYFUNCTION("""COMPUTED_VALUE"""),"Galvin San Andres")</f>
        <v>Galvin San Andres</v>
      </c>
      <c r="S2823" s="1"/>
      <c r="T2823" s="1">
        <f>IFERROR(__xludf.DUMMYFUNCTION("""COMPUTED_VALUE"""),2.0)</f>
        <v>2</v>
      </c>
      <c r="U2823" s="2">
        <f>IFERROR(__xludf.DUMMYFUNCTION("""COMPUTED_VALUE"""),2.0)</f>
        <v>2</v>
      </c>
      <c r="V2823" s="1" t="str">
        <f>IFERROR(__xludf.DUMMYFUNCTION("""COMPUTED_VALUE"""),"Xandy Azarcon")</f>
        <v>Xandy Azarcon</v>
      </c>
      <c r="W2823" s="1" t="str">
        <f>IFERROR(__xludf.DUMMYFUNCTION("""COMPUTED_VALUE"""),"High Sensitivity Support PH")</f>
        <v>High Sensitivity Support PH</v>
      </c>
    </row>
    <row r="2824">
      <c r="O2824" s="1" t="str">
        <f>IFERROR(__xludf.DUMMYFUNCTION("""COMPUTED_VALUE"""),"2026 Apr")</f>
        <v>2026 Apr</v>
      </c>
      <c r="P2824" s="1" t="str">
        <f>IFERROR(__xludf.DUMMYFUNCTION("""COMPUTED_VALUE"""),"Core Product Support")</f>
        <v>Core Product Support</v>
      </c>
      <c r="Q2824" s="1" t="str">
        <f>IFERROR(__xludf.DUMMYFUNCTION("""COMPUTED_VALUE"""),"gsauler@canva.com")</f>
        <v>gsauler@canva.com</v>
      </c>
      <c r="R2824" s="1" t="str">
        <f>IFERROR(__xludf.DUMMYFUNCTION("""COMPUTED_VALUE"""),"Gem Sauler")</f>
        <v>Gem Sauler</v>
      </c>
      <c r="S2824" s="1">
        <f>IFERROR(__xludf.DUMMYFUNCTION("""COMPUTED_VALUE"""),0.5)</f>
        <v>0.5</v>
      </c>
      <c r="T2824" s="1">
        <f>IFERROR(__xludf.DUMMYFUNCTION("""COMPUTED_VALUE"""),2.0)</f>
        <v>2</v>
      </c>
      <c r="U2824" s="2">
        <f>IFERROR(__xludf.DUMMYFUNCTION("""COMPUTED_VALUE"""),2.5)</f>
        <v>2.5</v>
      </c>
      <c r="V2824" s="1" t="str">
        <f>IFERROR(__xludf.DUMMYFUNCTION("""COMPUTED_VALUE"""),"Mikhaela Decangchon")</f>
        <v>Mikhaela Decangchon</v>
      </c>
      <c r="W2824" s="1" t="str">
        <f>IFERROR(__xludf.DUMMYFUNCTION("""COMPUTED_VALUE"""),"Advanced Product Support")</f>
        <v>Advanced Product Support</v>
      </c>
    </row>
    <row r="2825">
      <c r="O2825" s="1" t="str">
        <f>IFERROR(__xludf.DUMMYFUNCTION("""COMPUTED_VALUE"""),"2026 Apr")</f>
        <v>2026 Apr</v>
      </c>
      <c r="P2825" s="1" t="str">
        <f>IFERROR(__xludf.DUMMYFUNCTION("""COMPUTED_VALUE"""),"Core Product Support")</f>
        <v>Core Product Support</v>
      </c>
      <c r="Q2825" s="1" t="str">
        <f>IFERROR(__xludf.DUMMYFUNCTION("""COMPUTED_VALUE"""),"gemmalyn@canva.com")</f>
        <v>gemmalyn@canva.com</v>
      </c>
      <c r="R2825" s="1" t="str">
        <f>IFERROR(__xludf.DUMMYFUNCTION("""COMPUTED_VALUE"""),"Gemma Gaddi")</f>
        <v>Gemma Gaddi</v>
      </c>
      <c r="S2825" s="1">
        <f>IFERROR(__xludf.DUMMYFUNCTION("""COMPUTED_VALUE"""),1.0)</f>
        <v>1</v>
      </c>
      <c r="T2825" s="1">
        <f>IFERROR(__xludf.DUMMYFUNCTION("""COMPUTED_VALUE"""),1.75)</f>
        <v>1.75</v>
      </c>
      <c r="U2825" s="2">
        <f>IFERROR(__xludf.DUMMYFUNCTION("""COMPUTED_VALUE"""),2.75)</f>
        <v>2.75</v>
      </c>
      <c r="V2825" s="1" t="str">
        <f>IFERROR(__xludf.DUMMYFUNCTION("""COMPUTED_VALUE"""),"Jahmie Mae Barrameda")</f>
        <v>Jahmie Mae Barrameda</v>
      </c>
      <c r="W2825" s="1" t="str">
        <f>IFERROR(__xludf.DUMMYFUNCTION("""COMPUTED_VALUE"""),"Advanced Billing &amp; Subscriptions")</f>
        <v>Advanced Billing &amp; Subscriptions</v>
      </c>
    </row>
    <row r="2826">
      <c r="O2826" s="1" t="str">
        <f>IFERROR(__xludf.DUMMYFUNCTION("""COMPUTED_VALUE"""),"2026 Apr")</f>
        <v>2026 Apr</v>
      </c>
      <c r="P2826" s="1" t="str">
        <f>IFERROR(__xludf.DUMMYFUNCTION("""COMPUTED_VALUE"""),"Core Product Support")</f>
        <v>Core Product Support</v>
      </c>
      <c r="Q2826" s="1" t="str">
        <f>IFERROR(__xludf.DUMMYFUNCTION("""COMPUTED_VALUE"""),"evee@canva.com")</f>
        <v>evee@canva.com</v>
      </c>
      <c r="R2826" s="1" t="str">
        <f>IFERROR(__xludf.DUMMYFUNCTION("""COMPUTED_VALUE"""),"Gen Gingoyon")</f>
        <v>Gen Gingoyon</v>
      </c>
      <c r="S2826" s="1">
        <f>IFERROR(__xludf.DUMMYFUNCTION("""COMPUTED_VALUE"""),1.0)</f>
        <v>1</v>
      </c>
      <c r="T2826" s="1">
        <f>IFERROR(__xludf.DUMMYFUNCTION("""COMPUTED_VALUE"""),2.25)</f>
        <v>2.25</v>
      </c>
      <c r="U2826" s="2">
        <f>IFERROR(__xludf.DUMMYFUNCTION("""COMPUTED_VALUE"""),3.25)</f>
        <v>3.25</v>
      </c>
      <c r="V2826" s="1" t="str">
        <f>IFERROR(__xludf.DUMMYFUNCTION("""COMPUTED_VALUE"""),"Renette Bok")</f>
        <v>Renette Bok</v>
      </c>
      <c r="W2826" s="1" t="str">
        <f>IFERROR(__xludf.DUMMYFUNCTION("""COMPUTED_VALUE"""),"Advanced Billing &amp; Subscriptions")</f>
        <v>Advanced Billing &amp; Subscriptions</v>
      </c>
    </row>
    <row r="2827">
      <c r="O2827" s="1" t="str">
        <f>IFERROR(__xludf.DUMMYFUNCTION("""COMPUTED_VALUE"""),"2026 Apr")</f>
        <v>2026 Apr</v>
      </c>
      <c r="P2827" s="1" t="str">
        <f>IFERROR(__xludf.DUMMYFUNCTION("""COMPUTED_VALUE"""),"Core Product Support")</f>
        <v>Core Product Support</v>
      </c>
      <c r="Q2827" s="1" t="str">
        <f>IFERROR(__xludf.DUMMYFUNCTION("""COMPUTED_VALUE"""),"gpascua@canva.com")</f>
        <v>gpascua@canva.com</v>
      </c>
      <c r="R2827" s="1" t="str">
        <f>IFERROR(__xludf.DUMMYFUNCTION("""COMPUTED_VALUE"""),"Gernie Pascua")</f>
        <v>Gernie Pascua</v>
      </c>
      <c r="S2827" s="1">
        <f>IFERROR(__xludf.DUMMYFUNCTION("""COMPUTED_VALUE"""),1.0)</f>
        <v>1</v>
      </c>
      <c r="T2827" s="1">
        <f>IFERROR(__xludf.DUMMYFUNCTION("""COMPUTED_VALUE"""),3.5)</f>
        <v>3.5</v>
      </c>
      <c r="U2827" s="2">
        <f>IFERROR(__xludf.DUMMYFUNCTION("""COMPUTED_VALUE"""),4.5)</f>
        <v>4.5</v>
      </c>
      <c r="V2827" s="1" t="str">
        <f>IFERROR(__xludf.DUMMYFUNCTION("""COMPUTED_VALUE"""),"Ellaine Estayo")</f>
        <v>Ellaine Estayo</v>
      </c>
      <c r="W2827" s="1" t="str">
        <f>IFERROR(__xludf.DUMMYFUNCTION("""COMPUTED_VALUE"""),"Core Product Support Escalation Team")</f>
        <v>Core Product Support Escalation Team</v>
      </c>
    </row>
    <row r="2828">
      <c r="O2828" s="1" t="str">
        <f>IFERROR(__xludf.DUMMYFUNCTION("""COMPUTED_VALUE"""),"2026 Apr")</f>
        <v>2026 Apr</v>
      </c>
      <c r="P2828" s="1" t="str">
        <f>IFERROR(__xludf.DUMMYFUNCTION("""COMPUTED_VALUE"""),"Print Support")</f>
        <v>Print Support</v>
      </c>
      <c r="Q2828" s="1" t="str">
        <f>IFERROR(__xludf.DUMMYFUNCTION("""COMPUTED_VALUE"""),"giadacillo@canva.com")</f>
        <v>giadacillo@canva.com</v>
      </c>
      <c r="R2828" s="1" t="str">
        <f>IFERROR(__xludf.DUMMYFUNCTION("""COMPUTED_VALUE"""),"Gia Dacillo")</f>
        <v>Gia Dacillo</v>
      </c>
      <c r="S2828" s="1"/>
      <c r="T2828" s="1">
        <f>IFERROR(__xludf.DUMMYFUNCTION("""COMPUTED_VALUE"""),27.0)</f>
        <v>27</v>
      </c>
      <c r="U2828" s="2">
        <f>IFERROR(__xludf.DUMMYFUNCTION("""COMPUTED_VALUE"""),27.0)</f>
        <v>27</v>
      </c>
      <c r="V2828" s="1" t="str">
        <f>IFERROR(__xludf.DUMMYFUNCTION("""COMPUTED_VALUE"""),"Jan Domingo")</f>
        <v>Jan Domingo</v>
      </c>
      <c r="W2828" s="1" t="str">
        <f>IFERROR(__xludf.DUMMYFUNCTION("""COMPUTED_VALUE"""),"Print Design Support")</f>
        <v>Print Design Support</v>
      </c>
    </row>
    <row r="2829">
      <c r="O2829" s="1" t="str">
        <f>IFERROR(__xludf.DUMMYFUNCTION("""COMPUTED_VALUE"""),"2026 Apr")</f>
        <v>2026 Apr</v>
      </c>
      <c r="P2829" s="1" t="str">
        <f>IFERROR(__xludf.DUMMYFUNCTION("""COMPUTED_VALUE"""),"Core Product Support")</f>
        <v>Core Product Support</v>
      </c>
      <c r="Q2829" s="1" t="str">
        <f>IFERROR(__xludf.DUMMYFUNCTION("""COMPUTED_VALUE"""),"gieslnts@canva.com")</f>
        <v>gieslnts@canva.com</v>
      </c>
      <c r="R2829" s="1" t="str">
        <f>IFERROR(__xludf.DUMMYFUNCTION("""COMPUTED_VALUE"""),"Gieann Salantes")</f>
        <v>Gieann Salantes</v>
      </c>
      <c r="S2829" s="1">
        <f>IFERROR(__xludf.DUMMYFUNCTION("""COMPUTED_VALUE"""),0.5)</f>
        <v>0.5</v>
      </c>
      <c r="T2829" s="1">
        <f>IFERROR(__xludf.DUMMYFUNCTION("""COMPUTED_VALUE"""),3.5)</f>
        <v>3.5</v>
      </c>
      <c r="U2829" s="2">
        <f>IFERROR(__xludf.DUMMYFUNCTION("""COMPUTED_VALUE"""),4.0)</f>
        <v>4</v>
      </c>
      <c r="V2829" s="1" t="str">
        <f>IFERROR(__xludf.DUMMYFUNCTION("""COMPUTED_VALUE"""),"Sieg Ballelos")</f>
        <v>Sieg Ballelos</v>
      </c>
      <c r="W2829" s="1" t="str">
        <f>IFERROR(__xludf.DUMMYFUNCTION("""COMPUTED_VALUE"""),"Core Product Support Escalation Team")</f>
        <v>Core Product Support Escalation Team</v>
      </c>
    </row>
    <row r="2830">
      <c r="O2830" s="1" t="str">
        <f>IFERROR(__xludf.DUMMYFUNCTION("""COMPUTED_VALUE"""),"2026 Apr")</f>
        <v>2026 Apr</v>
      </c>
      <c r="P2830" s="1" t="str">
        <f>IFERROR(__xludf.DUMMYFUNCTION("""COMPUTED_VALUE"""),"Admin Support")</f>
        <v>Admin Support</v>
      </c>
      <c r="Q2830" s="1" t="str">
        <f>IFERROR(__xludf.DUMMYFUNCTION("""COMPUTED_VALUE"""),"glennford@canva.com")</f>
        <v>glennford@canva.com</v>
      </c>
      <c r="R2830" s="1" t="str">
        <f>IFERROR(__xludf.DUMMYFUNCTION("""COMPUTED_VALUE"""),"Glenn Gutierrez")</f>
        <v>Glenn Gutierrez</v>
      </c>
      <c r="S2830" s="1"/>
      <c r="T2830" s="1"/>
      <c r="U2830" s="2">
        <f>IFERROR(__xludf.DUMMYFUNCTION("""COMPUTED_VALUE"""),0.0)</f>
        <v>0</v>
      </c>
      <c r="V2830" s="1" t="str">
        <f>IFERROR(__xludf.DUMMYFUNCTION("""COMPUTED_VALUE"""),"Karla Mananghaya")</f>
        <v>Karla Mananghaya</v>
      </c>
      <c r="W2830" s="1" t="str">
        <f>IFERROR(__xludf.DUMMYFUNCTION("""COMPUTED_VALUE"""),"Admin Support Service Escalation Team")</f>
        <v>Admin Support Service Escalation Team</v>
      </c>
    </row>
    <row r="2831">
      <c r="O2831" s="1" t="str">
        <f>IFERROR(__xludf.DUMMYFUNCTION("""COMPUTED_VALUE"""),"2026 Apr")</f>
        <v>2026 Apr</v>
      </c>
      <c r="P2831" s="1" t="str">
        <f>IFERROR(__xludf.DUMMYFUNCTION("""COMPUTED_VALUE"""),"Core Product Support")</f>
        <v>Core Product Support</v>
      </c>
      <c r="Q2831" s="1" t="str">
        <f>IFERROR(__xludf.DUMMYFUNCTION("""COMPUTED_VALUE"""),"gracegarcia@canva.com")</f>
        <v>gracegarcia@canva.com</v>
      </c>
      <c r="R2831" s="1" t="str">
        <f>IFERROR(__xludf.DUMMYFUNCTION("""COMPUTED_VALUE"""),"Grace Garcia")</f>
        <v>Grace Garcia</v>
      </c>
      <c r="S2831" s="1">
        <f>IFERROR(__xludf.DUMMYFUNCTION("""COMPUTED_VALUE"""),0.5)</f>
        <v>0.5</v>
      </c>
      <c r="T2831" s="1">
        <f>IFERROR(__xludf.DUMMYFUNCTION("""COMPUTED_VALUE"""),2.0)</f>
        <v>2</v>
      </c>
      <c r="U2831" s="2">
        <f>IFERROR(__xludf.DUMMYFUNCTION("""COMPUTED_VALUE"""),2.5)</f>
        <v>2.5</v>
      </c>
      <c r="V2831" s="1" t="str">
        <f>IFERROR(__xludf.DUMMYFUNCTION("""COMPUTED_VALUE"""),"Marie Mordeno")</f>
        <v>Marie Mordeno</v>
      </c>
      <c r="W2831" s="1" t="str">
        <f>IFERROR(__xludf.DUMMYFUNCTION("""COMPUTED_VALUE"""),"Advanced Billing &amp; Subscriptions")</f>
        <v>Advanced Billing &amp; Subscriptions</v>
      </c>
    </row>
    <row r="2832">
      <c r="O2832" s="1" t="str">
        <f>IFERROR(__xludf.DUMMYFUNCTION("""COMPUTED_VALUE"""),"2026 Apr")</f>
        <v>2026 Apr</v>
      </c>
      <c r="P2832" s="1" t="str">
        <f>IFERROR(__xludf.DUMMYFUNCTION("""COMPUTED_VALUE"""),"Core Product Support")</f>
        <v>Core Product Support</v>
      </c>
      <c r="Q2832" s="1" t="str">
        <f>IFERROR(__xludf.DUMMYFUNCTION("""COMPUTED_VALUE"""),"hanni@canva.com")</f>
        <v>hanni@canva.com</v>
      </c>
      <c r="R2832" s="1" t="str">
        <f>IFERROR(__xludf.DUMMYFUNCTION("""COMPUTED_VALUE"""),"Hannah Bejo")</f>
        <v>Hannah Bejo</v>
      </c>
      <c r="S2832" s="1">
        <f>IFERROR(__xludf.DUMMYFUNCTION("""COMPUTED_VALUE"""),1.0)</f>
        <v>1</v>
      </c>
      <c r="T2832" s="1">
        <f>IFERROR(__xludf.DUMMYFUNCTION("""COMPUTED_VALUE"""),1.75)</f>
        <v>1.75</v>
      </c>
      <c r="U2832" s="2">
        <f>IFERROR(__xludf.DUMMYFUNCTION("""COMPUTED_VALUE"""),2.75)</f>
        <v>2.75</v>
      </c>
      <c r="V2832" s="1" t="str">
        <f>IFERROR(__xludf.DUMMYFUNCTION("""COMPUTED_VALUE"""),"Ayza Marie Pascual")</f>
        <v>Ayza Marie Pascual</v>
      </c>
      <c r="W2832" s="1" t="str">
        <f>IFERROR(__xludf.DUMMYFUNCTION("""COMPUTED_VALUE"""),"Advanced Billing &amp; Subscriptions")</f>
        <v>Advanced Billing &amp; Subscriptions</v>
      </c>
    </row>
    <row r="2833">
      <c r="O2833" s="1" t="str">
        <f>IFERROR(__xludf.DUMMYFUNCTION("""COMPUTED_VALUE"""),"2026 Apr")</f>
        <v>2026 Apr</v>
      </c>
      <c r="P2833" s="1" t="str">
        <f>IFERROR(__xludf.DUMMYFUNCTION("""COMPUTED_VALUE"""),"Core Product Support")</f>
        <v>Core Product Support</v>
      </c>
      <c r="Q2833" s="1" t="str">
        <f>IFERROR(__xludf.DUMMYFUNCTION("""COMPUTED_VALUE"""),"hdecena@canva.com")</f>
        <v>hdecena@canva.com</v>
      </c>
      <c r="R2833" s="1" t="str">
        <f>IFERROR(__xludf.DUMMYFUNCTION("""COMPUTED_VALUE"""),"Hannah Decena")</f>
        <v>Hannah Decena</v>
      </c>
      <c r="S2833" s="1">
        <f>IFERROR(__xludf.DUMMYFUNCTION("""COMPUTED_VALUE"""),1.0)</f>
        <v>1</v>
      </c>
      <c r="T2833" s="1">
        <f>IFERROR(__xludf.DUMMYFUNCTION("""COMPUTED_VALUE"""),2.5)</f>
        <v>2.5</v>
      </c>
      <c r="U2833" s="2">
        <f>IFERROR(__xludf.DUMMYFUNCTION("""COMPUTED_VALUE"""),3.5)</f>
        <v>3.5</v>
      </c>
      <c r="V2833" s="1" t="str">
        <f>IFERROR(__xludf.DUMMYFUNCTION("""COMPUTED_VALUE"""),"Ana Lazaro")</f>
        <v>Ana Lazaro</v>
      </c>
      <c r="W2833" s="1" t="str">
        <f>IFERROR(__xludf.DUMMYFUNCTION("""COMPUTED_VALUE"""),"Advanced Billing &amp; Subscriptions")</f>
        <v>Advanced Billing &amp; Subscriptions</v>
      </c>
    </row>
    <row r="2834">
      <c r="O2834" s="1" t="str">
        <f>IFERROR(__xludf.DUMMYFUNCTION("""COMPUTED_VALUE"""),"2026 Apr")</f>
        <v>2026 Apr</v>
      </c>
      <c r="P2834" s="1" t="str">
        <f>IFERROR(__xludf.DUMMYFUNCTION("""COMPUTED_VALUE"""),"High Sensitivity Support")</f>
        <v>High Sensitivity Support</v>
      </c>
      <c r="Q2834" s="1" t="str">
        <f>IFERROR(__xludf.DUMMYFUNCTION("""COMPUTED_VALUE"""),"hannahd@canva.com")</f>
        <v>hannahd@canva.com</v>
      </c>
      <c r="R2834" s="1" t="str">
        <f>IFERROR(__xludf.DUMMYFUNCTION("""COMPUTED_VALUE"""),"Hannah Dimayuga")</f>
        <v>Hannah Dimayuga</v>
      </c>
      <c r="S2834" s="1"/>
      <c r="T2834" s="1">
        <f>IFERROR(__xludf.DUMMYFUNCTION("""COMPUTED_VALUE"""),2.0)</f>
        <v>2</v>
      </c>
      <c r="U2834" s="2">
        <f>IFERROR(__xludf.DUMMYFUNCTION("""COMPUTED_VALUE"""),2.0)</f>
        <v>2</v>
      </c>
      <c r="V2834" s="1" t="str">
        <f>IFERROR(__xludf.DUMMYFUNCTION("""COMPUTED_VALUE"""),"Rex Villamor")</f>
        <v>Rex Villamor</v>
      </c>
      <c r="W2834" s="1" t="str">
        <f>IFERROR(__xludf.DUMMYFUNCTION("""COMPUTED_VALUE"""),"High Sensitivity Support PH")</f>
        <v>High Sensitivity Support PH</v>
      </c>
    </row>
    <row r="2835">
      <c r="O2835" s="1" t="str">
        <f>IFERROR(__xludf.DUMMYFUNCTION("""COMPUTED_VALUE"""),"2026 Apr")</f>
        <v>2026 Apr</v>
      </c>
      <c r="P2835" s="1" t="str">
        <f>IFERROR(__xludf.DUMMYFUNCTION("""COMPUTED_VALUE"""),"Core Product Support")</f>
        <v>Core Product Support</v>
      </c>
      <c r="Q2835" s="1" t="str">
        <f>IFERROR(__xludf.DUMMYFUNCTION("""COMPUTED_VALUE"""),"hazzel@canva.com")</f>
        <v>hazzel@canva.com</v>
      </c>
      <c r="R2835" s="1" t="str">
        <f>IFERROR(__xludf.DUMMYFUNCTION("""COMPUTED_VALUE"""),"Haze Rafon")</f>
        <v>Haze Rafon</v>
      </c>
      <c r="S2835" s="1">
        <f>IFERROR(__xludf.DUMMYFUNCTION("""COMPUTED_VALUE"""),0.5)</f>
        <v>0.5</v>
      </c>
      <c r="T2835" s="1">
        <f>IFERROR(__xludf.DUMMYFUNCTION("""COMPUTED_VALUE"""),4.5)</f>
        <v>4.5</v>
      </c>
      <c r="U2835" s="2">
        <f>IFERROR(__xludf.DUMMYFUNCTION("""COMPUTED_VALUE"""),5.0)</f>
        <v>5</v>
      </c>
      <c r="V2835" s="1" t="str">
        <f>IFERROR(__xludf.DUMMYFUNCTION("""COMPUTED_VALUE"""),"Sieg Ballelos")</f>
        <v>Sieg Ballelos</v>
      </c>
      <c r="W2835" s="1" t="str">
        <f>IFERROR(__xludf.DUMMYFUNCTION("""COMPUTED_VALUE"""),"Core Product Support Escalation Team")</f>
        <v>Core Product Support Escalation Team</v>
      </c>
    </row>
    <row r="2836">
      <c r="O2836" s="1" t="str">
        <f>IFERROR(__xludf.DUMMYFUNCTION("""COMPUTED_VALUE"""),"2026 Apr")</f>
        <v>2026 Apr</v>
      </c>
      <c r="P2836" s="1" t="str">
        <f>IFERROR(__xludf.DUMMYFUNCTION("""COMPUTED_VALUE"""),"Segment-specific Support")</f>
        <v>Segment-specific Support</v>
      </c>
      <c r="Q2836" s="1" t="str">
        <f>IFERROR(__xludf.DUMMYFUNCTION("""COMPUTED_VALUE"""),"icetamayo@canva.com")</f>
        <v>icetamayo@canva.com</v>
      </c>
      <c r="R2836" s="1" t="str">
        <f>IFERROR(__xludf.DUMMYFUNCTION("""COMPUTED_VALUE"""),"Ice Montecillo-Tamayo")</f>
        <v>Ice Montecillo-Tamayo</v>
      </c>
      <c r="S2836" s="1"/>
      <c r="T2836" s="1"/>
      <c r="U2836" s="2">
        <f>IFERROR(__xludf.DUMMYFUNCTION("""COMPUTED_VALUE"""),0.0)</f>
        <v>0</v>
      </c>
      <c r="V2836" s="1" t="str">
        <f>IFERROR(__xludf.DUMMYFUNCTION("""COMPUTED_VALUE"""),"Rose Gabilan")</f>
        <v>Rose Gabilan</v>
      </c>
      <c r="W2836" s="1" t="str">
        <f>IFERROR(__xludf.DUMMYFUNCTION("""COMPUTED_VALUE"""),"Affinity Support")</f>
        <v>Affinity Support</v>
      </c>
    </row>
    <row r="2837">
      <c r="O2837" s="1" t="str">
        <f>IFERROR(__xludf.DUMMYFUNCTION("""COMPUTED_VALUE"""),"2026 Apr")</f>
        <v>2026 Apr</v>
      </c>
      <c r="P2837" s="1" t="str">
        <f>IFERROR(__xludf.DUMMYFUNCTION("""COMPUTED_VALUE"""),"Core Product Support")</f>
        <v>Core Product Support</v>
      </c>
      <c r="Q2837" s="1" t="str">
        <f>IFERROR(__xludf.DUMMYFUNCTION("""COMPUTED_VALUE"""),"mrwong@canva.com")</f>
        <v>mrwong@canva.com</v>
      </c>
      <c r="R2837" s="1" t="str">
        <f>IFERROR(__xludf.DUMMYFUNCTION("""COMPUTED_VALUE"""),"Ino Wong")</f>
        <v>Ino Wong</v>
      </c>
      <c r="S2837" s="1">
        <f>IFERROR(__xludf.DUMMYFUNCTION("""COMPUTED_VALUE"""),1.0)</f>
        <v>1</v>
      </c>
      <c r="T2837" s="1">
        <f>IFERROR(__xludf.DUMMYFUNCTION("""COMPUTED_VALUE"""),2.0)</f>
        <v>2</v>
      </c>
      <c r="U2837" s="2">
        <f>IFERROR(__xludf.DUMMYFUNCTION("""COMPUTED_VALUE"""),3.0)</f>
        <v>3</v>
      </c>
      <c r="V2837" s="1" t="str">
        <f>IFERROR(__xludf.DUMMYFUNCTION("""COMPUTED_VALUE"""),"Jem Mondoñedo")</f>
        <v>Jem Mondoñedo</v>
      </c>
      <c r="W2837" s="1" t="str">
        <f>IFERROR(__xludf.DUMMYFUNCTION("""COMPUTED_VALUE"""),"Advanced Billing &amp; Subscriptions")</f>
        <v>Advanced Billing &amp; Subscriptions</v>
      </c>
    </row>
    <row r="2838">
      <c r="O2838" s="1" t="str">
        <f>IFERROR(__xludf.DUMMYFUNCTION("""COMPUTED_VALUE"""),"2026 Apr")</f>
        <v>2026 Apr</v>
      </c>
      <c r="P2838" s="1" t="str">
        <f>IFERROR(__xludf.DUMMYFUNCTION("""COMPUTED_VALUE"""),"Segment-specific Support")</f>
        <v>Segment-specific Support</v>
      </c>
      <c r="Q2838" s="1" t="str">
        <f>IFERROR(__xludf.DUMMYFUNCTION("""COMPUTED_VALUE"""),"ivy@canva.com")</f>
        <v>ivy@canva.com</v>
      </c>
      <c r="R2838" s="1" t="str">
        <f>IFERROR(__xludf.DUMMYFUNCTION("""COMPUTED_VALUE"""),"Ivy Sabado")</f>
        <v>Ivy Sabado</v>
      </c>
      <c r="S2838" s="1"/>
      <c r="T2838" s="1"/>
      <c r="U2838" s="2">
        <f>IFERROR(__xludf.DUMMYFUNCTION("""COMPUTED_VALUE"""),0.0)</f>
        <v>0</v>
      </c>
      <c r="V2838" s="1" t="str">
        <f>IFERROR(__xludf.DUMMYFUNCTION("""COMPUTED_VALUE"""),"Aileen Dayanghirang")</f>
        <v>Aileen Dayanghirang</v>
      </c>
      <c r="W2838" s="1" t="str">
        <f>IFERROR(__xludf.DUMMYFUNCTION("""COMPUTED_VALUE"""),"Creators Support")</f>
        <v>Creators Support</v>
      </c>
    </row>
    <row r="2839">
      <c r="O2839" s="1" t="str">
        <f>IFERROR(__xludf.DUMMYFUNCTION("""COMPUTED_VALUE"""),"2026 Apr")</f>
        <v>2026 Apr</v>
      </c>
      <c r="P2839" s="1" t="str">
        <f>IFERROR(__xludf.DUMMYFUNCTION("""COMPUTED_VALUE"""),"Core Product Support")</f>
        <v>Core Product Support</v>
      </c>
      <c r="Q2839" s="1" t="str">
        <f>IFERROR(__xludf.DUMMYFUNCTION("""COMPUTED_VALUE"""),"iyaacuyong@canva.com")</f>
        <v>iyaacuyong@canva.com</v>
      </c>
      <c r="R2839" s="1" t="str">
        <f>IFERROR(__xludf.DUMMYFUNCTION("""COMPUTED_VALUE"""),"Iya Acuyong")</f>
        <v>Iya Acuyong</v>
      </c>
      <c r="S2839" s="1">
        <f>IFERROR(__xludf.DUMMYFUNCTION("""COMPUTED_VALUE"""),0.5)</f>
        <v>0.5</v>
      </c>
      <c r="T2839" s="1">
        <f>IFERROR(__xludf.DUMMYFUNCTION("""COMPUTED_VALUE"""),4.75)</f>
        <v>4.75</v>
      </c>
      <c r="U2839" s="2">
        <f>IFERROR(__xludf.DUMMYFUNCTION("""COMPUTED_VALUE"""),5.25)</f>
        <v>5.25</v>
      </c>
      <c r="V2839" s="1" t="str">
        <f>IFERROR(__xludf.DUMMYFUNCTION("""COMPUTED_VALUE"""),"Mikhaela Decangchon")</f>
        <v>Mikhaela Decangchon</v>
      </c>
      <c r="W2839" s="1" t="str">
        <f>IFERROR(__xludf.DUMMYFUNCTION("""COMPUTED_VALUE"""),"Advanced Product Support")</f>
        <v>Advanced Product Support</v>
      </c>
    </row>
    <row r="2840">
      <c r="O2840" s="1" t="str">
        <f>IFERROR(__xludf.DUMMYFUNCTION("""COMPUTED_VALUE"""),"2026 Apr")</f>
        <v>2026 Apr</v>
      </c>
      <c r="P2840" s="1" t="str">
        <f>IFERROR(__xludf.DUMMYFUNCTION("""COMPUTED_VALUE"""),"Print Support")</f>
        <v>Print Support</v>
      </c>
      <c r="Q2840" s="1" t="str">
        <f>IFERROR(__xludf.DUMMYFUNCTION("""COMPUTED_VALUE"""),"jagumasing@canva.com")</f>
        <v>jagumasing@canva.com</v>
      </c>
      <c r="R2840" s="1" t="str">
        <f>IFERROR(__xludf.DUMMYFUNCTION("""COMPUTED_VALUE"""),"Ja Gumasing")</f>
        <v>Ja Gumasing</v>
      </c>
      <c r="S2840" s="1"/>
      <c r="T2840" s="1"/>
      <c r="U2840" s="2">
        <f>IFERROR(__xludf.DUMMYFUNCTION("""COMPUTED_VALUE"""),0.0)</f>
        <v>0</v>
      </c>
      <c r="V2840" s="1" t="str">
        <f>IFERROR(__xludf.DUMMYFUNCTION("""COMPUTED_VALUE"""),"Althea Mercado")</f>
        <v>Althea Mercado</v>
      </c>
      <c r="W2840" s="1" t="str">
        <f>IFERROR(__xludf.DUMMYFUNCTION("""COMPUTED_VALUE"""),"Print Support PH")</f>
        <v>Print Support PH</v>
      </c>
    </row>
    <row r="2841">
      <c r="O2841" s="1" t="str">
        <f>IFERROR(__xludf.DUMMYFUNCTION("""COMPUTED_VALUE"""),"2026 Apr")</f>
        <v>2026 Apr</v>
      </c>
      <c r="P2841" s="1" t="str">
        <f>IFERROR(__xludf.DUMMYFUNCTION("""COMPUTED_VALUE"""),"Admin Support")</f>
        <v>Admin Support</v>
      </c>
      <c r="Q2841" s="1" t="str">
        <f>IFERROR(__xludf.DUMMYFUNCTION("""COMPUTED_VALUE"""),"jacobgarza@canva.com")</f>
        <v>jacobgarza@canva.com</v>
      </c>
      <c r="R2841" s="1" t="str">
        <f>IFERROR(__xludf.DUMMYFUNCTION("""COMPUTED_VALUE"""),"Jacob Garza")</f>
        <v>Jacob Garza</v>
      </c>
      <c r="S2841" s="1"/>
      <c r="T2841" s="1"/>
      <c r="U2841" s="2">
        <f>IFERROR(__xludf.DUMMYFUNCTION("""COMPUTED_VALUE"""),0.0)</f>
        <v>0</v>
      </c>
      <c r="V2841" s="1" t="str">
        <f>IFERROR(__xludf.DUMMYFUNCTION("""COMPUTED_VALUE"""),"Nate Vela")</f>
        <v>Nate Vela</v>
      </c>
      <c r="W2841" s="1" t="str">
        <f>IFERROR(__xludf.DUMMYFUNCTION("""COMPUTED_VALUE"""),"Admin Support NA")</f>
        <v>Admin Support NA</v>
      </c>
    </row>
    <row r="2842">
      <c r="O2842" s="1" t="str">
        <f>IFERROR(__xludf.DUMMYFUNCTION("""COMPUTED_VALUE"""),"2026 Apr")</f>
        <v>2026 Apr</v>
      </c>
      <c r="P2842" s="1" t="str">
        <f>IFERROR(__xludf.DUMMYFUNCTION("""COMPUTED_VALUE"""),"Core Product Support")</f>
        <v>Core Product Support</v>
      </c>
      <c r="Q2842" s="1" t="str">
        <f>IFERROR(__xludf.DUMMYFUNCTION("""COMPUTED_VALUE"""),"jacque@canva.com")</f>
        <v>jacque@canva.com</v>
      </c>
      <c r="R2842" s="1" t="str">
        <f>IFERROR(__xludf.DUMMYFUNCTION("""COMPUTED_VALUE"""),"Jacqueline Gay")</f>
        <v>Jacqueline Gay</v>
      </c>
      <c r="S2842" s="1">
        <f>IFERROR(__xludf.DUMMYFUNCTION("""COMPUTED_VALUE"""),1.0)</f>
        <v>1</v>
      </c>
      <c r="T2842" s="1">
        <f>IFERROR(__xludf.DUMMYFUNCTION("""COMPUTED_VALUE"""),2.25)</f>
        <v>2.25</v>
      </c>
      <c r="U2842" s="2">
        <f>IFERROR(__xludf.DUMMYFUNCTION("""COMPUTED_VALUE"""),3.25)</f>
        <v>3.25</v>
      </c>
      <c r="V2842" s="1" t="str">
        <f>IFERROR(__xludf.DUMMYFUNCTION("""COMPUTED_VALUE"""),"Jem Mondoñedo")</f>
        <v>Jem Mondoñedo</v>
      </c>
      <c r="W2842" s="1" t="str">
        <f>IFERROR(__xludf.DUMMYFUNCTION("""COMPUTED_VALUE"""),"Advanced Billing &amp; Subscriptions")</f>
        <v>Advanced Billing &amp; Subscriptions</v>
      </c>
    </row>
    <row r="2843">
      <c r="O2843" s="1" t="str">
        <f>IFERROR(__xludf.DUMMYFUNCTION("""COMPUTED_VALUE"""),"2026 Apr")</f>
        <v>2026 Apr</v>
      </c>
      <c r="P2843" s="1" t="str">
        <f>IFERROR(__xludf.DUMMYFUNCTION("""COMPUTED_VALUE"""),"Print Support")</f>
        <v>Print Support</v>
      </c>
      <c r="Q2843" s="1" t="str">
        <f>IFERROR(__xludf.DUMMYFUNCTION("""COMPUTED_VALUE"""),"jadec@canva.com")</f>
        <v>jadec@canva.com</v>
      </c>
      <c r="R2843" s="1" t="str">
        <f>IFERROR(__xludf.DUMMYFUNCTION("""COMPUTED_VALUE"""),"Jade Curitana")</f>
        <v>Jade Curitana</v>
      </c>
      <c r="S2843" s="1"/>
      <c r="T2843" s="1"/>
      <c r="U2843" s="2">
        <f>IFERROR(__xludf.DUMMYFUNCTION("""COMPUTED_VALUE"""),0.0)</f>
        <v>0</v>
      </c>
      <c r="V2843" s="1" t="str">
        <f>IFERROR(__xludf.DUMMYFUNCTION("""COMPUTED_VALUE"""),"Louise Dianne Estrella")</f>
        <v>Louise Dianne Estrella</v>
      </c>
      <c r="W2843" s="1" t="str">
        <f>IFERROR(__xludf.DUMMYFUNCTION("""COMPUTED_VALUE"""),"Print Support PH")</f>
        <v>Print Support PH</v>
      </c>
    </row>
    <row r="2844">
      <c r="O2844" s="1" t="str">
        <f>IFERROR(__xludf.DUMMYFUNCTION("""COMPUTED_VALUE"""),"2026 Apr")</f>
        <v>2026 Apr</v>
      </c>
      <c r="P2844" s="1" t="str">
        <f>IFERROR(__xludf.DUMMYFUNCTION("""COMPUTED_VALUE"""),"High Sensitivity Support")</f>
        <v>High Sensitivity Support</v>
      </c>
      <c r="Q2844" s="1" t="str">
        <f>IFERROR(__xludf.DUMMYFUNCTION("""COMPUTED_VALUE"""),"jammyb@canva.com")</f>
        <v>jammyb@canva.com</v>
      </c>
      <c r="R2844" s="1" t="str">
        <f>IFERROR(__xludf.DUMMYFUNCTION("""COMPUTED_VALUE"""),"Jam Bacani")</f>
        <v>Jam Bacani</v>
      </c>
      <c r="S2844" s="1"/>
      <c r="T2844" s="1">
        <f>IFERROR(__xludf.DUMMYFUNCTION("""COMPUTED_VALUE"""),2.0)</f>
        <v>2</v>
      </c>
      <c r="U2844" s="2">
        <f>IFERROR(__xludf.DUMMYFUNCTION("""COMPUTED_VALUE"""),2.0)</f>
        <v>2</v>
      </c>
      <c r="V2844" s="1" t="str">
        <f>IFERROR(__xludf.DUMMYFUNCTION("""COMPUTED_VALUE"""),"Rossheen Pura")</f>
        <v>Rossheen Pura</v>
      </c>
      <c r="W2844" s="1" t="str">
        <f>IFERROR(__xludf.DUMMYFUNCTION("""COMPUTED_VALUE"""),"High Sensitivity Support PH")</f>
        <v>High Sensitivity Support PH</v>
      </c>
    </row>
    <row r="2845">
      <c r="O2845" s="1" t="str">
        <f>IFERROR(__xludf.DUMMYFUNCTION("""COMPUTED_VALUE"""),"2026 Apr")</f>
        <v>2026 Apr</v>
      </c>
      <c r="P2845" s="1" t="str">
        <f>IFERROR(__xludf.DUMMYFUNCTION("""COMPUTED_VALUE"""),"Segment-specific Support")</f>
        <v>Segment-specific Support</v>
      </c>
      <c r="Q2845" s="1" t="str">
        <f>IFERROR(__xludf.DUMMYFUNCTION("""COMPUTED_VALUE"""),"jgamboa@canva.com")</f>
        <v>jgamboa@canva.com</v>
      </c>
      <c r="R2845" s="1" t="str">
        <f>IFERROR(__xludf.DUMMYFUNCTION("""COMPUTED_VALUE"""),"James Marrion Gamboa")</f>
        <v>James Marrion Gamboa</v>
      </c>
      <c r="S2845" s="1"/>
      <c r="T2845" s="1"/>
      <c r="U2845" s="2">
        <f>IFERROR(__xludf.DUMMYFUNCTION("""COMPUTED_VALUE"""),0.0)</f>
        <v>0</v>
      </c>
      <c r="V2845" s="1" t="str">
        <f>IFERROR(__xludf.DUMMYFUNCTION("""COMPUTED_VALUE"""),"Rose Gabilan")</f>
        <v>Rose Gabilan</v>
      </c>
      <c r="W2845" s="1" t="str">
        <f>IFERROR(__xludf.DUMMYFUNCTION("""COMPUTED_VALUE"""),"Affinity Support")</f>
        <v>Affinity Support</v>
      </c>
    </row>
    <row r="2846">
      <c r="O2846" s="1" t="str">
        <f>IFERROR(__xludf.DUMMYFUNCTION("""COMPUTED_VALUE"""),"2026 Apr")</f>
        <v>2026 Apr</v>
      </c>
      <c r="P2846" s="1" t="str">
        <f>IFERROR(__xludf.DUMMYFUNCTION("""COMPUTED_VALUE"""),"Print Support")</f>
        <v>Print Support</v>
      </c>
      <c r="Q2846" s="1" t="str">
        <f>IFERROR(__xludf.DUMMYFUNCTION("""COMPUTED_VALUE"""),"janpaolopena@canva.com")</f>
        <v>janpaolopena@canva.com</v>
      </c>
      <c r="R2846" s="1" t="str">
        <f>IFERROR(__xludf.DUMMYFUNCTION("""COMPUTED_VALUE"""),"Jan Peña")</f>
        <v>Jan Peña</v>
      </c>
      <c r="S2846" s="1"/>
      <c r="T2846" s="1"/>
      <c r="U2846" s="2">
        <f>IFERROR(__xludf.DUMMYFUNCTION("""COMPUTED_VALUE"""),0.0)</f>
        <v>0</v>
      </c>
      <c r="V2846" s="1" t="str">
        <f>IFERROR(__xludf.DUMMYFUNCTION("""COMPUTED_VALUE"""),"Louise Dianne Estrella")</f>
        <v>Louise Dianne Estrella</v>
      </c>
      <c r="W2846" s="1" t="str">
        <f>IFERROR(__xludf.DUMMYFUNCTION("""COMPUTED_VALUE"""),"Print Support PH")</f>
        <v>Print Support PH</v>
      </c>
    </row>
    <row r="2847">
      <c r="O2847" s="1" t="str">
        <f>IFERROR(__xludf.DUMMYFUNCTION("""COMPUTED_VALUE"""),"2026 Apr")</f>
        <v>2026 Apr</v>
      </c>
      <c r="P2847" s="1" t="str">
        <f>IFERROR(__xludf.DUMMYFUNCTION("""COMPUTED_VALUE"""),"Admin Support")</f>
        <v>Admin Support</v>
      </c>
      <c r="Q2847" s="1" t="str">
        <f>IFERROR(__xludf.DUMMYFUNCTION("""COMPUTED_VALUE"""),"janis@canva.com")</f>
        <v>janis@canva.com</v>
      </c>
      <c r="R2847" s="1" t="str">
        <f>IFERROR(__xludf.DUMMYFUNCTION("""COMPUTED_VALUE"""),"Janis Esmas")</f>
        <v>Janis Esmas</v>
      </c>
      <c r="S2847" s="1"/>
      <c r="T2847" s="1"/>
      <c r="U2847" s="2">
        <f>IFERROR(__xludf.DUMMYFUNCTION("""COMPUTED_VALUE"""),0.0)</f>
        <v>0</v>
      </c>
      <c r="V2847" s="1" t="str">
        <f>IFERROR(__xludf.DUMMYFUNCTION("""COMPUTED_VALUE"""),"Karla Mananghaya")</f>
        <v>Karla Mananghaya</v>
      </c>
      <c r="W2847" s="1" t="str">
        <f>IFERROR(__xludf.DUMMYFUNCTION("""COMPUTED_VALUE"""),"Admin Support Service Escalation Team")</f>
        <v>Admin Support Service Escalation Team</v>
      </c>
    </row>
    <row r="2848">
      <c r="O2848" s="1" t="str">
        <f>IFERROR(__xludf.DUMMYFUNCTION("""COMPUTED_VALUE"""),"2026 Apr")</f>
        <v>2026 Apr</v>
      </c>
      <c r="P2848" s="1" t="str">
        <f>IFERROR(__xludf.DUMMYFUNCTION("""COMPUTED_VALUE"""),"Core Product Support")</f>
        <v>Core Product Support</v>
      </c>
      <c r="Q2848" s="1" t="str">
        <f>IFERROR(__xludf.DUMMYFUNCTION("""COMPUTED_VALUE"""),"jampangan@canva.com")</f>
        <v>jampangan@canva.com</v>
      </c>
      <c r="R2848" s="1" t="str">
        <f>IFERROR(__xludf.DUMMYFUNCTION("""COMPUTED_VALUE"""),"Jara Alexandra Mae Pangan")</f>
        <v>Jara Alexandra Mae Pangan</v>
      </c>
      <c r="S2848" s="1">
        <f>IFERROR(__xludf.DUMMYFUNCTION("""COMPUTED_VALUE"""),1.0)</f>
        <v>1</v>
      </c>
      <c r="T2848" s="1">
        <f>IFERROR(__xludf.DUMMYFUNCTION("""COMPUTED_VALUE"""),4.0)</f>
        <v>4</v>
      </c>
      <c r="U2848" s="2">
        <f>IFERROR(__xludf.DUMMYFUNCTION("""COMPUTED_VALUE"""),5.0)</f>
        <v>5</v>
      </c>
      <c r="V2848" s="1" t="str">
        <f>IFERROR(__xludf.DUMMYFUNCTION("""COMPUTED_VALUE"""),"Sieg Ballelos")</f>
        <v>Sieg Ballelos</v>
      </c>
      <c r="W2848" s="1" t="str">
        <f>IFERROR(__xludf.DUMMYFUNCTION("""COMPUTED_VALUE"""),"Core Product Support Escalation Team")</f>
        <v>Core Product Support Escalation Team</v>
      </c>
    </row>
    <row r="2849">
      <c r="O2849" s="1" t="str">
        <f>IFERROR(__xludf.DUMMYFUNCTION("""COMPUTED_VALUE"""),"2026 Apr")</f>
        <v>2026 Apr</v>
      </c>
      <c r="P2849" s="1" t="str">
        <f>IFERROR(__xludf.DUMMYFUNCTION("""COMPUTED_VALUE"""),"Core Product Support")</f>
        <v>Core Product Support</v>
      </c>
      <c r="Q2849" s="1" t="str">
        <f>IFERROR(__xludf.DUMMYFUNCTION("""COMPUTED_VALUE"""),"jaredc@canva.com")</f>
        <v>jaredc@canva.com</v>
      </c>
      <c r="R2849" s="1" t="str">
        <f>IFERROR(__xludf.DUMMYFUNCTION("""COMPUTED_VALUE"""),"Jared Carlin")</f>
        <v>Jared Carlin</v>
      </c>
      <c r="S2849" s="1">
        <f>IFERROR(__xludf.DUMMYFUNCTION("""COMPUTED_VALUE"""),0.5)</f>
        <v>0.5</v>
      </c>
      <c r="T2849" s="1">
        <f>IFERROR(__xludf.DUMMYFUNCTION("""COMPUTED_VALUE"""),2.0)</f>
        <v>2</v>
      </c>
      <c r="U2849" s="2">
        <f>IFERROR(__xludf.DUMMYFUNCTION("""COMPUTED_VALUE"""),2.5)</f>
        <v>2.5</v>
      </c>
      <c r="V2849" s="1" t="str">
        <f>IFERROR(__xludf.DUMMYFUNCTION("""COMPUTED_VALUE"""),"Ana Lazaro")</f>
        <v>Ana Lazaro</v>
      </c>
      <c r="W2849" s="1" t="str">
        <f>IFERROR(__xludf.DUMMYFUNCTION("""COMPUTED_VALUE"""),"Advanced Billing &amp; Subscriptions")</f>
        <v>Advanced Billing &amp; Subscriptions</v>
      </c>
    </row>
    <row r="2850">
      <c r="O2850" s="1" t="str">
        <f>IFERROR(__xludf.DUMMYFUNCTION("""COMPUTED_VALUE"""),"2026 Apr")</f>
        <v>2026 Apr</v>
      </c>
      <c r="P2850" s="1" t="str">
        <f>IFERROR(__xludf.DUMMYFUNCTION("""COMPUTED_VALUE"""),"Segment-specific Support")</f>
        <v>Segment-specific Support</v>
      </c>
      <c r="Q2850" s="1" t="str">
        <f>IFERROR(__xludf.DUMMYFUNCTION("""COMPUTED_VALUE"""),"jas@canva.com")</f>
        <v>jas@canva.com</v>
      </c>
      <c r="R2850" s="1" t="str">
        <f>IFERROR(__xludf.DUMMYFUNCTION("""COMPUTED_VALUE"""),"Jas Esperat")</f>
        <v>Jas Esperat</v>
      </c>
      <c r="S2850" s="1"/>
      <c r="T2850" s="1"/>
      <c r="U2850" s="2">
        <f>IFERROR(__xludf.DUMMYFUNCTION("""COMPUTED_VALUE"""),0.0)</f>
        <v>0</v>
      </c>
      <c r="V2850" s="1" t="str">
        <f>IFERROR(__xludf.DUMMYFUNCTION("""COMPUTED_VALUE"""),"Aileen Dayanghirang")</f>
        <v>Aileen Dayanghirang</v>
      </c>
      <c r="W2850" s="1" t="str">
        <f>IFERROR(__xludf.DUMMYFUNCTION("""COMPUTED_VALUE"""),"Creators Support")</f>
        <v>Creators Support</v>
      </c>
    </row>
    <row r="2851">
      <c r="O2851" s="1" t="str">
        <f>IFERROR(__xludf.DUMMYFUNCTION("""COMPUTED_VALUE"""),"2026 Apr")</f>
        <v>2026 Apr</v>
      </c>
      <c r="P2851" s="1" t="str">
        <f>IFERROR(__xludf.DUMMYFUNCTION("""COMPUTED_VALUE"""),"Print Support")</f>
        <v>Print Support</v>
      </c>
      <c r="Q2851" s="1" t="str">
        <f>IFERROR(__xludf.DUMMYFUNCTION("""COMPUTED_VALUE"""),"jayson@canva.com")</f>
        <v>jayson@canva.com</v>
      </c>
      <c r="R2851" s="1" t="str">
        <f>IFERROR(__xludf.DUMMYFUNCTION("""COMPUTED_VALUE"""),"Jayson Ferrer")</f>
        <v>Jayson Ferrer</v>
      </c>
      <c r="S2851" s="1"/>
      <c r="T2851" s="1">
        <f>IFERROR(__xludf.DUMMYFUNCTION("""COMPUTED_VALUE"""),45.0)</f>
        <v>45</v>
      </c>
      <c r="U2851" s="2">
        <f>IFERROR(__xludf.DUMMYFUNCTION("""COMPUTED_VALUE"""),45.0)</f>
        <v>45</v>
      </c>
      <c r="V2851" s="1" t="str">
        <f>IFERROR(__xludf.DUMMYFUNCTION("""COMPUTED_VALUE"""),"G-Anne Murillo")</f>
        <v>G-Anne Murillo</v>
      </c>
      <c r="W2851" s="1" t="str">
        <f>IFERROR(__xludf.DUMMYFUNCTION("""COMPUTED_VALUE"""),"Print Design Support")</f>
        <v>Print Design Support</v>
      </c>
    </row>
    <row r="2852">
      <c r="O2852" s="1" t="str">
        <f>IFERROR(__xludf.DUMMYFUNCTION("""COMPUTED_VALUE"""),"2026 Apr")</f>
        <v>2026 Apr</v>
      </c>
      <c r="P2852" s="1" t="str">
        <f>IFERROR(__xludf.DUMMYFUNCTION("""COMPUTED_VALUE"""),"Admin Support")</f>
        <v>Admin Support</v>
      </c>
      <c r="Q2852" s="1" t="str">
        <f>IFERROR(__xludf.DUMMYFUNCTION("""COMPUTED_VALUE"""),"jaz@canva.com")</f>
        <v>jaz@canva.com</v>
      </c>
      <c r="R2852" s="1" t="str">
        <f>IFERROR(__xludf.DUMMYFUNCTION("""COMPUTED_VALUE"""),"Jazmine San Pedro")</f>
        <v>Jazmine San Pedro</v>
      </c>
      <c r="S2852" s="1"/>
      <c r="T2852" s="1"/>
      <c r="U2852" s="2">
        <f>IFERROR(__xludf.DUMMYFUNCTION("""COMPUTED_VALUE"""),0.0)</f>
        <v>0</v>
      </c>
      <c r="V2852" s="1" t="str">
        <f>IFERROR(__xludf.DUMMYFUNCTION("""COMPUTED_VALUE"""),"AL Suarez")</f>
        <v>AL Suarez</v>
      </c>
      <c r="W2852" s="1" t="str">
        <f>IFERROR(__xludf.DUMMYFUNCTION("""COMPUTED_VALUE"""),"Print Support PH")</f>
        <v>Print Support PH</v>
      </c>
    </row>
    <row r="2853">
      <c r="O2853" s="1" t="str">
        <f>IFERROR(__xludf.DUMMYFUNCTION("""COMPUTED_VALUE"""),"2026 Apr")</f>
        <v>2026 Apr</v>
      </c>
      <c r="P2853" s="1" t="str">
        <f>IFERROR(__xludf.DUMMYFUNCTION("""COMPUTED_VALUE"""),"Core Product Support")</f>
        <v>Core Product Support</v>
      </c>
      <c r="Q2853" s="1" t="str">
        <f>IFERROR(__xludf.DUMMYFUNCTION("""COMPUTED_VALUE"""),"jasminechristel@canva.com")</f>
        <v>jasminechristel@canva.com</v>
      </c>
      <c r="R2853" s="1" t="str">
        <f>IFERROR(__xludf.DUMMYFUNCTION("""COMPUTED_VALUE"""),"Jazz Ragot")</f>
        <v>Jazz Ragot</v>
      </c>
      <c r="S2853" s="1">
        <f>IFERROR(__xludf.DUMMYFUNCTION("""COMPUTED_VALUE"""),0.5)</f>
        <v>0.5</v>
      </c>
      <c r="T2853" s="1">
        <f>IFERROR(__xludf.DUMMYFUNCTION("""COMPUTED_VALUE"""),2.25)</f>
        <v>2.25</v>
      </c>
      <c r="U2853" s="2">
        <f>IFERROR(__xludf.DUMMYFUNCTION("""COMPUTED_VALUE"""),2.75)</f>
        <v>2.75</v>
      </c>
      <c r="V2853" s="1" t="str">
        <f>IFERROR(__xludf.DUMMYFUNCTION("""COMPUTED_VALUE"""),"Jem Mondoñedo")</f>
        <v>Jem Mondoñedo</v>
      </c>
      <c r="W2853" s="1" t="str">
        <f>IFERROR(__xludf.DUMMYFUNCTION("""COMPUTED_VALUE"""),"Advanced Billing &amp; Subscriptions")</f>
        <v>Advanced Billing &amp; Subscriptions</v>
      </c>
    </row>
    <row r="2854">
      <c r="O2854" s="1" t="str">
        <f>IFERROR(__xludf.DUMMYFUNCTION("""COMPUTED_VALUE"""),"2026 Apr")</f>
        <v>2026 Apr</v>
      </c>
      <c r="P2854" s="1" t="str">
        <f>IFERROR(__xludf.DUMMYFUNCTION("""COMPUTED_VALUE"""),"Multilingual Support")</f>
        <v>Multilingual Support</v>
      </c>
      <c r="Q2854" s="1" t="str">
        <f>IFERROR(__xludf.DUMMYFUNCTION("""COMPUTED_VALUE"""),"jc@canva.com")</f>
        <v>jc@canva.com</v>
      </c>
      <c r="R2854" s="1" t="str">
        <f>IFERROR(__xludf.DUMMYFUNCTION("""COMPUTED_VALUE"""),"JC Evangelista")</f>
        <v>JC Evangelista</v>
      </c>
      <c r="S2854" s="1"/>
      <c r="T2854" s="1"/>
      <c r="U2854" s="2">
        <f>IFERROR(__xludf.DUMMYFUNCTION("""COMPUTED_VALUE"""),0.0)</f>
        <v>0</v>
      </c>
      <c r="V2854" s="1" t="str">
        <f>IFERROR(__xludf.DUMMYFUNCTION("""COMPUTED_VALUE"""),"Arlene Maurillo")</f>
        <v>Arlene Maurillo</v>
      </c>
      <c r="W2854" s="1" t="str">
        <f>IFERROR(__xludf.DUMMYFUNCTION("""COMPUTED_VALUE"""),"PHL, Multilingual Support")</f>
        <v>PHL, Multilingual Support</v>
      </c>
    </row>
    <row r="2855">
      <c r="O2855" s="1" t="str">
        <f>IFERROR(__xludf.DUMMYFUNCTION("""COMPUTED_VALUE"""),"2026 Apr")</f>
        <v>2026 Apr</v>
      </c>
      <c r="P2855" s="1" t="str">
        <f>IFERROR(__xludf.DUMMYFUNCTION("""COMPUTED_VALUE"""),"Core Product Support")</f>
        <v>Core Product Support</v>
      </c>
      <c r="Q2855" s="1" t="str">
        <f>IFERROR(__xludf.DUMMYFUNCTION("""COMPUTED_VALUE"""),"jea@canva.com")</f>
        <v>jea@canva.com</v>
      </c>
      <c r="R2855" s="1" t="str">
        <f>IFERROR(__xludf.DUMMYFUNCTION("""COMPUTED_VALUE"""),"Jea Silvestre")</f>
        <v>Jea Silvestre</v>
      </c>
      <c r="S2855" s="1">
        <f>IFERROR(__xludf.DUMMYFUNCTION("""COMPUTED_VALUE"""),0.5)</f>
        <v>0.5</v>
      </c>
      <c r="T2855" s="1">
        <f>IFERROR(__xludf.DUMMYFUNCTION("""COMPUTED_VALUE"""),2.0)</f>
        <v>2</v>
      </c>
      <c r="U2855" s="2">
        <f>IFERROR(__xludf.DUMMYFUNCTION("""COMPUTED_VALUE"""),2.5)</f>
        <v>2.5</v>
      </c>
      <c r="V2855" s="1" t="str">
        <f>IFERROR(__xludf.DUMMYFUNCTION("""COMPUTED_VALUE"""),"Marie Mordeno")</f>
        <v>Marie Mordeno</v>
      </c>
      <c r="W2855" s="1" t="str">
        <f>IFERROR(__xludf.DUMMYFUNCTION("""COMPUTED_VALUE"""),"Advanced Billing &amp; Subscriptions")</f>
        <v>Advanced Billing &amp; Subscriptions</v>
      </c>
    </row>
    <row r="2856">
      <c r="O2856" s="1" t="str">
        <f>IFERROR(__xludf.DUMMYFUNCTION("""COMPUTED_VALUE"""),"2026 Apr")</f>
        <v>2026 Apr</v>
      </c>
      <c r="P2856" s="1" t="str">
        <f>IFERROR(__xludf.DUMMYFUNCTION("""COMPUTED_VALUE"""),"Core Product Support")</f>
        <v>Core Product Support</v>
      </c>
      <c r="Q2856" s="1" t="str">
        <f>IFERROR(__xludf.DUMMYFUNCTION("""COMPUTED_VALUE"""),"jed@canva.com")</f>
        <v>jed@canva.com</v>
      </c>
      <c r="R2856" s="1" t="str">
        <f>IFERROR(__xludf.DUMMYFUNCTION("""COMPUTED_VALUE"""),"Jed Wenceslao")</f>
        <v>Jed Wenceslao</v>
      </c>
      <c r="S2856" s="1">
        <f>IFERROR(__xludf.DUMMYFUNCTION("""COMPUTED_VALUE"""),0.5)</f>
        <v>0.5</v>
      </c>
      <c r="T2856" s="1">
        <f>IFERROR(__xludf.DUMMYFUNCTION("""COMPUTED_VALUE"""),4.0)</f>
        <v>4</v>
      </c>
      <c r="U2856" s="2">
        <f>IFERROR(__xludf.DUMMYFUNCTION("""COMPUTED_VALUE"""),4.5)</f>
        <v>4.5</v>
      </c>
      <c r="V2856" s="1" t="str">
        <f>IFERROR(__xludf.DUMMYFUNCTION("""COMPUTED_VALUE"""),"Sieg Ballelos")</f>
        <v>Sieg Ballelos</v>
      </c>
      <c r="W2856" s="1" t="str">
        <f>IFERROR(__xludf.DUMMYFUNCTION("""COMPUTED_VALUE"""),"Core Product Support Escalation Team")</f>
        <v>Core Product Support Escalation Team</v>
      </c>
    </row>
    <row r="2857">
      <c r="O2857" s="1" t="str">
        <f>IFERROR(__xludf.DUMMYFUNCTION("""COMPUTED_VALUE"""),"2026 Apr")</f>
        <v>2026 Apr</v>
      </c>
      <c r="P2857" s="1" t="str">
        <f>IFERROR(__xludf.DUMMYFUNCTION("""COMPUTED_VALUE"""),"Core Product Support")</f>
        <v>Core Product Support</v>
      </c>
      <c r="Q2857" s="1" t="str">
        <f>IFERROR(__xludf.DUMMYFUNCTION("""COMPUTED_VALUE"""),"jen@canva.com")</f>
        <v>jen@canva.com</v>
      </c>
      <c r="R2857" s="1" t="str">
        <f>IFERROR(__xludf.DUMMYFUNCTION("""COMPUTED_VALUE"""),"Jenber Teves")</f>
        <v>Jenber Teves</v>
      </c>
      <c r="S2857" s="1">
        <f>IFERROR(__xludf.DUMMYFUNCTION("""COMPUTED_VALUE"""),1.0)</f>
        <v>1</v>
      </c>
      <c r="T2857" s="1">
        <f>IFERROR(__xludf.DUMMYFUNCTION("""COMPUTED_VALUE"""),4.0)</f>
        <v>4</v>
      </c>
      <c r="U2857" s="2">
        <f>IFERROR(__xludf.DUMMYFUNCTION("""COMPUTED_VALUE"""),5.0)</f>
        <v>5</v>
      </c>
      <c r="V2857" s="1" t="str">
        <f>IFERROR(__xludf.DUMMYFUNCTION("""COMPUTED_VALUE"""),"Ellaine Estayo")</f>
        <v>Ellaine Estayo</v>
      </c>
      <c r="W2857" s="1" t="str">
        <f>IFERROR(__xludf.DUMMYFUNCTION("""COMPUTED_VALUE"""),"Core Product Support Escalation Team")</f>
        <v>Core Product Support Escalation Team</v>
      </c>
    </row>
    <row r="2858">
      <c r="O2858" s="1" t="str">
        <f>IFERROR(__xludf.DUMMYFUNCTION("""COMPUTED_VALUE"""),"2026 Apr")</f>
        <v>2026 Apr</v>
      </c>
      <c r="P2858" s="1" t="str">
        <f>IFERROR(__xludf.DUMMYFUNCTION("""COMPUTED_VALUE"""),"Print Support")</f>
        <v>Print Support</v>
      </c>
      <c r="Q2858" s="1" t="str">
        <f>IFERROR(__xludf.DUMMYFUNCTION("""COMPUTED_VALUE"""),"jesicamari@canva.com")</f>
        <v>jesicamari@canva.com</v>
      </c>
      <c r="R2858" s="1" t="str">
        <f>IFERROR(__xludf.DUMMYFUNCTION("""COMPUTED_VALUE"""),"Jesica Laureola")</f>
        <v>Jesica Laureola</v>
      </c>
      <c r="S2858" s="1"/>
      <c r="T2858" s="1">
        <f>IFERROR(__xludf.DUMMYFUNCTION("""COMPUTED_VALUE"""),45.0)</f>
        <v>45</v>
      </c>
      <c r="U2858" s="2">
        <f>IFERROR(__xludf.DUMMYFUNCTION("""COMPUTED_VALUE"""),45.0)</f>
        <v>45</v>
      </c>
      <c r="V2858" s="1" t="str">
        <f>IFERROR(__xludf.DUMMYFUNCTION("""COMPUTED_VALUE"""),"Rei De Jesus")</f>
        <v>Rei De Jesus</v>
      </c>
      <c r="W2858" s="1" t="str">
        <f>IFERROR(__xludf.DUMMYFUNCTION("""COMPUTED_VALUE"""),"Print Design Support")</f>
        <v>Print Design Support</v>
      </c>
    </row>
    <row r="2859">
      <c r="O2859" s="1" t="str">
        <f>IFERROR(__xludf.DUMMYFUNCTION("""COMPUTED_VALUE"""),"2026 Apr")</f>
        <v>2026 Apr</v>
      </c>
      <c r="P2859" s="1" t="str">
        <f>IFERROR(__xludf.DUMMYFUNCTION("""COMPUTED_VALUE"""),"Core Product Support")</f>
        <v>Core Product Support</v>
      </c>
      <c r="Q2859" s="1" t="str">
        <f>IFERROR(__xludf.DUMMYFUNCTION("""COMPUTED_VALUE"""),"jbrizuela@canva.com")</f>
        <v>jbrizuela@canva.com</v>
      </c>
      <c r="R2859" s="1" t="str">
        <f>IFERROR(__xludf.DUMMYFUNCTION("""COMPUTED_VALUE"""),"Jessa Brizuela")</f>
        <v>Jessa Brizuela</v>
      </c>
      <c r="S2859" s="1">
        <f>IFERROR(__xludf.DUMMYFUNCTION("""COMPUTED_VALUE"""),1.0)</f>
        <v>1</v>
      </c>
      <c r="T2859" s="1">
        <f>IFERROR(__xludf.DUMMYFUNCTION("""COMPUTED_VALUE"""),2.0)</f>
        <v>2</v>
      </c>
      <c r="U2859" s="2">
        <f>IFERROR(__xludf.DUMMYFUNCTION("""COMPUTED_VALUE"""),3.0)</f>
        <v>3</v>
      </c>
      <c r="V2859" s="1" t="str">
        <f>IFERROR(__xludf.DUMMYFUNCTION("""COMPUTED_VALUE"""),"Renette Bok")</f>
        <v>Renette Bok</v>
      </c>
      <c r="W2859" s="1" t="str">
        <f>IFERROR(__xludf.DUMMYFUNCTION("""COMPUTED_VALUE"""),"Advanced Billing &amp; Subscriptions")</f>
        <v>Advanced Billing &amp; Subscriptions</v>
      </c>
    </row>
    <row r="2860">
      <c r="O2860" s="1" t="str">
        <f>IFERROR(__xludf.DUMMYFUNCTION("""COMPUTED_VALUE"""),"2026 Apr")</f>
        <v>2026 Apr</v>
      </c>
      <c r="P2860" s="1" t="str">
        <f>IFERROR(__xludf.DUMMYFUNCTION("""COMPUTED_VALUE"""),"Core Product Support")</f>
        <v>Core Product Support</v>
      </c>
      <c r="Q2860" s="1" t="str">
        <f>IFERROR(__xludf.DUMMYFUNCTION("""COMPUTED_VALUE"""),"jian@canva.com")</f>
        <v>jian@canva.com</v>
      </c>
      <c r="R2860" s="1" t="str">
        <f>IFERROR(__xludf.DUMMYFUNCTION("""COMPUTED_VALUE"""),"Jian Paula Inocencio")</f>
        <v>Jian Paula Inocencio</v>
      </c>
      <c r="S2860" s="1">
        <f>IFERROR(__xludf.DUMMYFUNCTION("""COMPUTED_VALUE"""),0.5)</f>
        <v>0.5</v>
      </c>
      <c r="T2860" s="1">
        <f>IFERROR(__xludf.DUMMYFUNCTION("""COMPUTED_VALUE"""),2.0)</f>
        <v>2</v>
      </c>
      <c r="U2860" s="2">
        <f>IFERROR(__xludf.DUMMYFUNCTION("""COMPUTED_VALUE"""),2.5)</f>
        <v>2.5</v>
      </c>
      <c r="V2860" s="1" t="str">
        <f>IFERROR(__xludf.DUMMYFUNCTION("""COMPUTED_VALUE"""),"Vinz Lazaro")</f>
        <v>Vinz Lazaro</v>
      </c>
      <c r="W2860" s="1" t="str">
        <f>IFERROR(__xludf.DUMMYFUNCTION("""COMPUTED_VALUE"""),"Advanced Product Support")</f>
        <v>Advanced Product Support</v>
      </c>
    </row>
    <row r="2861">
      <c r="O2861" s="1" t="str">
        <f>IFERROR(__xludf.DUMMYFUNCTION("""COMPUTED_VALUE"""),"2026 Apr")</f>
        <v>2026 Apr</v>
      </c>
      <c r="P2861" s="1" t="str">
        <f>IFERROR(__xludf.DUMMYFUNCTION("""COMPUTED_VALUE"""),"Core Product Support")</f>
        <v>Core Product Support</v>
      </c>
      <c r="Q2861" s="1" t="str">
        <f>IFERROR(__xludf.DUMMYFUNCTION("""COMPUTED_VALUE"""),"jilll@canva.com")</f>
        <v>jilll@canva.com</v>
      </c>
      <c r="R2861" s="1" t="str">
        <f>IFERROR(__xludf.DUMMYFUNCTION("""COMPUTED_VALUE"""),"Jill Linco")</f>
        <v>Jill Linco</v>
      </c>
      <c r="S2861" s="1">
        <f>IFERROR(__xludf.DUMMYFUNCTION("""COMPUTED_VALUE"""),0.5)</f>
        <v>0.5</v>
      </c>
      <c r="T2861" s="1">
        <f>IFERROR(__xludf.DUMMYFUNCTION("""COMPUTED_VALUE"""),1.75)</f>
        <v>1.75</v>
      </c>
      <c r="U2861" s="2">
        <f>IFERROR(__xludf.DUMMYFUNCTION("""COMPUTED_VALUE"""),2.25)</f>
        <v>2.25</v>
      </c>
      <c r="V2861" s="1" t="str">
        <f>IFERROR(__xludf.DUMMYFUNCTION("""COMPUTED_VALUE"""),"Cate Velasco")</f>
        <v>Cate Velasco</v>
      </c>
      <c r="W2861" s="1" t="str">
        <f>IFERROR(__xludf.DUMMYFUNCTION("""COMPUTED_VALUE"""),"Advanced Product Support")</f>
        <v>Advanced Product Support</v>
      </c>
    </row>
    <row r="2862">
      <c r="O2862" s="1" t="str">
        <f>IFERROR(__xludf.DUMMYFUNCTION("""COMPUTED_VALUE"""),"2026 Apr")</f>
        <v>2026 Apr</v>
      </c>
      <c r="P2862" s="1" t="str">
        <f>IFERROR(__xludf.DUMMYFUNCTION("""COMPUTED_VALUE"""),"Segment-specific Support")</f>
        <v>Segment-specific Support</v>
      </c>
      <c r="Q2862" s="1" t="str">
        <f>IFERROR(__xludf.DUMMYFUNCTION("""COMPUTED_VALUE"""),"jillann@canva.com")</f>
        <v>jillann@canva.com</v>
      </c>
      <c r="R2862" s="1" t="str">
        <f>IFERROR(__xludf.DUMMYFUNCTION("""COMPUTED_VALUE"""),"Jill-Ann Reducindo")</f>
        <v>Jill-Ann Reducindo</v>
      </c>
      <c r="S2862" s="1"/>
      <c r="T2862" s="1">
        <f>IFERROR(__xludf.DUMMYFUNCTION("""COMPUTED_VALUE"""),0.17)</f>
        <v>0.17</v>
      </c>
      <c r="U2862" s="2">
        <f>IFERROR(__xludf.DUMMYFUNCTION("""COMPUTED_VALUE"""),0.17)</f>
        <v>0.17</v>
      </c>
      <c r="V2862" s="1" t="str">
        <f>IFERROR(__xludf.DUMMYFUNCTION("""COMPUTED_VALUE"""),"Rose Gabilan")</f>
        <v>Rose Gabilan</v>
      </c>
      <c r="W2862" s="1" t="str">
        <f>IFERROR(__xludf.DUMMYFUNCTION("""COMPUTED_VALUE"""),"Affinity Support")</f>
        <v>Affinity Support</v>
      </c>
    </row>
    <row r="2863">
      <c r="O2863" s="1" t="str">
        <f>IFERROR(__xludf.DUMMYFUNCTION("""COMPUTED_VALUE"""),"2026 Apr")</f>
        <v>2026 Apr</v>
      </c>
      <c r="P2863" s="1" t="str">
        <f>IFERROR(__xludf.DUMMYFUNCTION("""COMPUTED_VALUE"""),"Core Product Support")</f>
        <v>Core Product Support</v>
      </c>
      <c r="Q2863" s="1" t="str">
        <f>IFERROR(__xludf.DUMMYFUNCTION("""COMPUTED_VALUE"""),"jmfrial@canva.com")</f>
        <v>jmfrial@canva.com</v>
      </c>
      <c r="R2863" s="1" t="str">
        <f>IFERROR(__xludf.DUMMYFUNCTION("""COMPUTED_VALUE"""),"JM Frial")</f>
        <v>JM Frial</v>
      </c>
      <c r="S2863" s="1">
        <f>IFERROR(__xludf.DUMMYFUNCTION("""COMPUTED_VALUE"""),1.0)</f>
        <v>1</v>
      </c>
      <c r="T2863" s="1">
        <f>IFERROR(__xludf.DUMMYFUNCTION("""COMPUTED_VALUE"""),4.0)</f>
        <v>4</v>
      </c>
      <c r="U2863" s="2">
        <f>IFERROR(__xludf.DUMMYFUNCTION("""COMPUTED_VALUE"""),5.0)</f>
        <v>5</v>
      </c>
      <c r="V2863" s="1" t="str">
        <f>IFERROR(__xludf.DUMMYFUNCTION("""COMPUTED_VALUE"""),"Sieg Ballelos")</f>
        <v>Sieg Ballelos</v>
      </c>
      <c r="W2863" s="1" t="str">
        <f>IFERROR(__xludf.DUMMYFUNCTION("""COMPUTED_VALUE"""),"Core Product Support Escalation Team")</f>
        <v>Core Product Support Escalation Team</v>
      </c>
    </row>
    <row r="2864">
      <c r="O2864" s="1" t="str">
        <f>IFERROR(__xludf.DUMMYFUNCTION("""COMPUTED_VALUE"""),"2026 Apr")</f>
        <v>2026 Apr</v>
      </c>
      <c r="P2864" s="1" t="str">
        <f>IFERROR(__xludf.DUMMYFUNCTION("""COMPUTED_VALUE"""),"Core Product Support")</f>
        <v>Core Product Support</v>
      </c>
      <c r="Q2864" s="1" t="str">
        <f>IFERROR(__xludf.DUMMYFUNCTION("""COMPUTED_VALUE"""),"jmpascual@canva.com")</f>
        <v>jmpascual@canva.com</v>
      </c>
      <c r="R2864" s="1" t="str">
        <f>IFERROR(__xludf.DUMMYFUNCTION("""COMPUTED_VALUE"""),"JM Pascual")</f>
        <v>JM Pascual</v>
      </c>
      <c r="S2864" s="1">
        <f>IFERROR(__xludf.DUMMYFUNCTION("""COMPUTED_VALUE"""),1.0)</f>
        <v>1</v>
      </c>
      <c r="T2864" s="1">
        <f>IFERROR(__xludf.DUMMYFUNCTION("""COMPUTED_VALUE"""),2.25)</f>
        <v>2.25</v>
      </c>
      <c r="U2864" s="2">
        <f>IFERROR(__xludf.DUMMYFUNCTION("""COMPUTED_VALUE"""),3.25)</f>
        <v>3.25</v>
      </c>
      <c r="V2864" s="1" t="str">
        <f>IFERROR(__xludf.DUMMYFUNCTION("""COMPUTED_VALUE"""),"Belle Bentazal")</f>
        <v>Belle Bentazal</v>
      </c>
      <c r="W2864" s="1" t="str">
        <f>IFERROR(__xludf.DUMMYFUNCTION("""COMPUTED_VALUE"""),"Advanced Product Support")</f>
        <v>Advanced Product Support</v>
      </c>
    </row>
    <row r="2865">
      <c r="O2865" s="1" t="str">
        <f>IFERROR(__xludf.DUMMYFUNCTION("""COMPUTED_VALUE"""),"2026 Apr")</f>
        <v>2026 Apr</v>
      </c>
      <c r="P2865" s="1" t="str">
        <f>IFERROR(__xludf.DUMMYFUNCTION("""COMPUTED_VALUE"""),"Print Support")</f>
        <v>Print Support</v>
      </c>
      <c r="Q2865" s="1" t="str">
        <f>IFERROR(__xludf.DUMMYFUNCTION("""COMPUTED_VALUE"""),"joanmyle@canva.com")</f>
        <v>joanmyle@canva.com</v>
      </c>
      <c r="R2865" s="1" t="str">
        <f>IFERROR(__xludf.DUMMYFUNCTION("""COMPUTED_VALUE"""),"Joan Myle Dapog")</f>
        <v>Joan Myle Dapog</v>
      </c>
      <c r="S2865" s="1"/>
      <c r="T2865" s="1"/>
      <c r="U2865" s="2">
        <f>IFERROR(__xludf.DUMMYFUNCTION("""COMPUTED_VALUE"""),0.0)</f>
        <v>0</v>
      </c>
      <c r="V2865" s="1" t="str">
        <f>IFERROR(__xludf.DUMMYFUNCTION("""COMPUTED_VALUE"""),"Jen Momo")</f>
        <v>Jen Momo</v>
      </c>
      <c r="W2865" s="1" t="str">
        <f>IFERROR(__xludf.DUMMYFUNCTION("""COMPUTED_VALUE"""),"Print Support PH")</f>
        <v>Print Support PH</v>
      </c>
    </row>
    <row r="2866">
      <c r="O2866" s="1" t="str">
        <f>IFERROR(__xludf.DUMMYFUNCTION("""COMPUTED_VALUE"""),"2026 Apr")</f>
        <v>2026 Apr</v>
      </c>
      <c r="P2866" s="1" t="str">
        <f>IFERROR(__xludf.DUMMYFUNCTION("""COMPUTED_VALUE"""),"Print Support")</f>
        <v>Print Support</v>
      </c>
      <c r="Q2866" s="1" t="str">
        <f>IFERROR(__xludf.DUMMYFUNCTION("""COMPUTED_VALUE"""),"jmbeldua@canva.com")</f>
        <v>jmbeldua@canva.com</v>
      </c>
      <c r="R2866" s="1" t="str">
        <f>IFERROR(__xludf.DUMMYFUNCTION("""COMPUTED_VALUE"""),"Joane Beldua")</f>
        <v>Joane Beldua</v>
      </c>
      <c r="S2866" s="1"/>
      <c r="T2866" s="1"/>
      <c r="U2866" s="2">
        <f>IFERROR(__xludf.DUMMYFUNCTION("""COMPUTED_VALUE"""),0.0)</f>
        <v>0</v>
      </c>
      <c r="V2866" s="1" t="str">
        <f>IFERROR(__xludf.DUMMYFUNCTION("""COMPUTED_VALUE"""),"Louise Dianne Estrella")</f>
        <v>Louise Dianne Estrella</v>
      </c>
      <c r="W2866" s="1" t="str">
        <f>IFERROR(__xludf.DUMMYFUNCTION("""COMPUTED_VALUE"""),"Print Support PH")</f>
        <v>Print Support PH</v>
      </c>
    </row>
    <row r="2867">
      <c r="O2867" s="1" t="str">
        <f>IFERROR(__xludf.DUMMYFUNCTION("""COMPUTED_VALUE"""),"2026 Apr")</f>
        <v>2026 Apr</v>
      </c>
      <c r="P2867" s="1" t="str">
        <f>IFERROR(__xludf.DUMMYFUNCTION("""COMPUTED_VALUE"""),"Multilingual Support")</f>
        <v>Multilingual Support</v>
      </c>
      <c r="Q2867" s="1" t="str">
        <f>IFERROR(__xludf.DUMMYFUNCTION("""COMPUTED_VALUE"""),"joaqdivino@canva.com")</f>
        <v>joaqdivino@canva.com</v>
      </c>
      <c r="R2867" s="1" t="str">
        <f>IFERROR(__xludf.DUMMYFUNCTION("""COMPUTED_VALUE"""),"Joaquin Divino")</f>
        <v>Joaquin Divino</v>
      </c>
      <c r="S2867" s="1"/>
      <c r="T2867" s="1"/>
      <c r="U2867" s="2">
        <f>IFERROR(__xludf.DUMMYFUNCTION("""COMPUTED_VALUE"""),0.0)</f>
        <v>0</v>
      </c>
      <c r="V2867" s="1" t="str">
        <f>IFERROR(__xludf.DUMMYFUNCTION("""COMPUTED_VALUE"""),"Arlene Maurillo")</f>
        <v>Arlene Maurillo</v>
      </c>
      <c r="W2867" s="1" t="str">
        <f>IFERROR(__xludf.DUMMYFUNCTION("""COMPUTED_VALUE"""),"PHL, Multilingual Support")</f>
        <v>PHL, Multilingual Support</v>
      </c>
    </row>
    <row r="2868">
      <c r="O2868" s="1" t="str">
        <f>IFERROR(__xludf.DUMMYFUNCTION("""COMPUTED_VALUE"""),"2026 Apr")</f>
        <v>2026 Apr</v>
      </c>
      <c r="P2868" s="1" t="str">
        <f>IFERROR(__xludf.DUMMYFUNCTION("""COMPUTED_VALUE"""),"Core Product Support")</f>
        <v>Core Product Support</v>
      </c>
      <c r="Q2868" s="1" t="str">
        <f>IFERROR(__xludf.DUMMYFUNCTION("""COMPUTED_VALUE"""),"jocelynng@canva.com")</f>
        <v>jocelynng@canva.com</v>
      </c>
      <c r="R2868" s="1" t="str">
        <f>IFERROR(__xludf.DUMMYFUNCTION("""COMPUTED_VALUE"""),"Jocelyn Ng")</f>
        <v>Jocelyn Ng</v>
      </c>
      <c r="S2868" s="1">
        <f>IFERROR(__xludf.DUMMYFUNCTION("""COMPUTED_VALUE"""),1.0)</f>
        <v>1</v>
      </c>
      <c r="T2868" s="1">
        <f>IFERROR(__xludf.DUMMYFUNCTION("""COMPUTED_VALUE"""),4.0)</f>
        <v>4</v>
      </c>
      <c r="U2868" s="2">
        <f>IFERROR(__xludf.DUMMYFUNCTION("""COMPUTED_VALUE"""),5.0)</f>
        <v>5</v>
      </c>
      <c r="V2868" s="1" t="str">
        <f>IFERROR(__xludf.DUMMYFUNCTION("""COMPUTED_VALUE"""),"Sieg Ballelos")</f>
        <v>Sieg Ballelos</v>
      </c>
      <c r="W2868" s="1" t="str">
        <f>IFERROR(__xludf.DUMMYFUNCTION("""COMPUTED_VALUE"""),"Core Product Support Escalation Team")</f>
        <v>Core Product Support Escalation Team</v>
      </c>
    </row>
    <row r="2869">
      <c r="O2869" s="1" t="str">
        <f>IFERROR(__xludf.DUMMYFUNCTION("""COMPUTED_VALUE"""),"2026 Apr")</f>
        <v>2026 Apr</v>
      </c>
      <c r="P2869" s="1" t="str">
        <f>IFERROR(__xludf.DUMMYFUNCTION("""COMPUTED_VALUE"""),"Admin Support")</f>
        <v>Admin Support</v>
      </c>
      <c r="Q2869" s="1" t="str">
        <f>IFERROR(__xludf.DUMMYFUNCTION("""COMPUTED_VALUE"""),"cee@canva.com")</f>
        <v>cee@canva.com</v>
      </c>
      <c r="R2869" s="1" t="str">
        <f>IFERROR(__xludf.DUMMYFUNCTION("""COMPUTED_VALUE"""),"John Carlo Gonzales")</f>
        <v>John Carlo Gonzales</v>
      </c>
      <c r="S2869" s="1"/>
      <c r="T2869" s="1">
        <f>IFERROR(__xludf.DUMMYFUNCTION("""COMPUTED_VALUE"""),0.5)</f>
        <v>0.5</v>
      </c>
      <c r="U2869" s="2">
        <f>IFERROR(__xludf.DUMMYFUNCTION("""COMPUTED_VALUE"""),0.5)</f>
        <v>0.5</v>
      </c>
      <c r="V2869" s="1" t="str">
        <f>IFERROR(__xludf.DUMMYFUNCTION("""COMPUTED_VALUE"""),"AL Suarez")</f>
        <v>AL Suarez</v>
      </c>
      <c r="W2869" s="1" t="str">
        <f>IFERROR(__xludf.DUMMYFUNCTION("""COMPUTED_VALUE"""),"Admin Direct Support")</f>
        <v>Admin Direct Support</v>
      </c>
    </row>
    <row r="2870">
      <c r="O2870" s="1" t="str">
        <f>IFERROR(__xludf.DUMMYFUNCTION("""COMPUTED_VALUE"""),"2026 Apr")</f>
        <v>2026 Apr</v>
      </c>
      <c r="P2870" s="1" t="str">
        <f>IFERROR(__xludf.DUMMYFUNCTION("""COMPUTED_VALUE"""),"Core Product Support")</f>
        <v>Core Product Support</v>
      </c>
      <c r="Q2870" s="1" t="str">
        <f>IFERROR(__xludf.DUMMYFUNCTION("""COMPUTED_VALUE"""),"khael@canva.com")</f>
        <v>khael@canva.com</v>
      </c>
      <c r="R2870" s="1" t="str">
        <f>IFERROR(__xludf.DUMMYFUNCTION("""COMPUTED_VALUE"""),"John Pieda")</f>
        <v>John Pieda</v>
      </c>
      <c r="S2870" s="1">
        <f>IFERROR(__xludf.DUMMYFUNCTION("""COMPUTED_VALUE"""),1.0)</f>
        <v>1</v>
      </c>
      <c r="T2870" s="1">
        <f>IFERROR(__xludf.DUMMYFUNCTION("""COMPUTED_VALUE"""),2.25)</f>
        <v>2.25</v>
      </c>
      <c r="U2870" s="2">
        <f>IFERROR(__xludf.DUMMYFUNCTION("""COMPUTED_VALUE"""),3.25)</f>
        <v>3.25</v>
      </c>
      <c r="V2870" s="1" t="str">
        <f>IFERROR(__xludf.DUMMYFUNCTION("""COMPUTED_VALUE"""),"Ayza Marie Pascual")</f>
        <v>Ayza Marie Pascual</v>
      </c>
      <c r="W2870" s="1" t="str">
        <f>IFERROR(__xludf.DUMMYFUNCTION("""COMPUTED_VALUE"""),"Advanced Billing &amp; Subscriptions")</f>
        <v>Advanced Billing &amp; Subscriptions</v>
      </c>
    </row>
    <row r="2871">
      <c r="O2871" s="1" t="str">
        <f>IFERROR(__xludf.DUMMYFUNCTION("""COMPUTED_VALUE"""),"2026 Apr")</f>
        <v>2026 Apr</v>
      </c>
      <c r="P2871" s="1" t="str">
        <f>IFERROR(__xludf.DUMMYFUNCTION("""COMPUTED_VALUE"""),"Core Product Support")</f>
        <v>Core Product Support</v>
      </c>
      <c r="Q2871" s="1" t="str">
        <f>IFERROR(__xludf.DUMMYFUNCTION("""COMPUTED_VALUE"""),"jonahezra@canva.com")</f>
        <v>jonahezra@canva.com</v>
      </c>
      <c r="R2871" s="1" t="str">
        <f>IFERROR(__xludf.DUMMYFUNCTION("""COMPUTED_VALUE"""),"Jonah Ezra Vergara")</f>
        <v>Jonah Ezra Vergara</v>
      </c>
      <c r="S2871" s="1">
        <f>IFERROR(__xludf.DUMMYFUNCTION("""COMPUTED_VALUE"""),1.0)</f>
        <v>1</v>
      </c>
      <c r="T2871" s="1">
        <f>IFERROR(__xludf.DUMMYFUNCTION("""COMPUTED_VALUE"""),3.5)</f>
        <v>3.5</v>
      </c>
      <c r="U2871" s="2">
        <f>IFERROR(__xludf.DUMMYFUNCTION("""COMPUTED_VALUE"""),4.5)</f>
        <v>4.5</v>
      </c>
      <c r="V2871" s="1" t="str">
        <f>IFERROR(__xludf.DUMMYFUNCTION("""COMPUTED_VALUE"""),"Ellaine Estayo")</f>
        <v>Ellaine Estayo</v>
      </c>
      <c r="W2871" s="1" t="str">
        <f>IFERROR(__xludf.DUMMYFUNCTION("""COMPUTED_VALUE"""),"Core Product Support Escalation Team")</f>
        <v>Core Product Support Escalation Team</v>
      </c>
    </row>
    <row r="2872">
      <c r="O2872" s="1" t="str">
        <f>IFERROR(__xludf.DUMMYFUNCTION("""COMPUTED_VALUE"""),"2026 Apr")</f>
        <v>2026 Apr</v>
      </c>
      <c r="P2872" s="1" t="str">
        <f>IFERROR(__xludf.DUMMYFUNCTION("""COMPUTED_VALUE"""),"Core Product Support")</f>
        <v>Core Product Support</v>
      </c>
      <c r="Q2872" s="1" t="str">
        <f>IFERROR(__xludf.DUMMYFUNCTION("""COMPUTED_VALUE"""),"cjopphet@canva.com")</f>
        <v>cjopphet@canva.com</v>
      </c>
      <c r="R2872" s="1" t="str">
        <f>IFERROR(__xludf.DUMMYFUNCTION("""COMPUTED_VALUE"""),"Jopphet Villafuerte")</f>
        <v>Jopphet Villafuerte</v>
      </c>
      <c r="S2872" s="1">
        <f>IFERROR(__xludf.DUMMYFUNCTION("""COMPUTED_VALUE"""),0.5)</f>
        <v>0.5</v>
      </c>
      <c r="T2872" s="1">
        <f>IFERROR(__xludf.DUMMYFUNCTION("""COMPUTED_VALUE"""),1.0)</f>
        <v>1</v>
      </c>
      <c r="U2872" s="2">
        <f>IFERROR(__xludf.DUMMYFUNCTION("""COMPUTED_VALUE"""),1.5)</f>
        <v>1.5</v>
      </c>
      <c r="V2872" s="1" t="str">
        <f>IFERROR(__xludf.DUMMYFUNCTION("""COMPUTED_VALUE"""),"Ayza Marie Pascual")</f>
        <v>Ayza Marie Pascual</v>
      </c>
      <c r="W2872" s="1" t="str">
        <f>IFERROR(__xludf.DUMMYFUNCTION("""COMPUTED_VALUE"""),"Advanced Billing &amp; Subscriptions")</f>
        <v>Advanced Billing &amp; Subscriptions</v>
      </c>
    </row>
    <row r="2873">
      <c r="O2873" s="1" t="str">
        <f>IFERROR(__xludf.DUMMYFUNCTION("""COMPUTED_VALUE"""),"2026 Apr")</f>
        <v>2026 Apr</v>
      </c>
      <c r="P2873" s="1" t="str">
        <f>IFERROR(__xludf.DUMMYFUNCTION("""COMPUTED_VALUE"""),"Segment-specific Support")</f>
        <v>Segment-specific Support</v>
      </c>
      <c r="Q2873" s="1" t="str">
        <f>IFERROR(__xludf.DUMMYFUNCTION("""COMPUTED_VALUE"""),"jorell@canva.com")</f>
        <v>jorell@canva.com</v>
      </c>
      <c r="R2873" s="1" t="str">
        <f>IFERROR(__xludf.DUMMYFUNCTION("""COMPUTED_VALUE"""),"Jorell Bollozos")</f>
        <v>Jorell Bollozos</v>
      </c>
      <c r="S2873" s="1"/>
      <c r="T2873" s="1"/>
      <c r="U2873" s="2">
        <f>IFERROR(__xludf.DUMMYFUNCTION("""COMPUTED_VALUE"""),0.0)</f>
        <v>0</v>
      </c>
      <c r="V2873" s="1" t="str">
        <f>IFERROR(__xludf.DUMMYFUNCTION("""COMPUTED_VALUE"""),"Gucci Nava")</f>
        <v>Gucci Nava</v>
      </c>
      <c r="W2873" s="1" t="str">
        <f>IFERROR(__xludf.DUMMYFUNCTION("""COMPUTED_VALUE"""),"Print Support PH")</f>
        <v>Print Support PH</v>
      </c>
    </row>
    <row r="2874">
      <c r="O2874" s="1" t="str">
        <f>IFERROR(__xludf.DUMMYFUNCTION("""COMPUTED_VALUE"""),"2026 Apr")</f>
        <v>2026 Apr</v>
      </c>
      <c r="P2874" s="1" t="str">
        <f>IFERROR(__xludf.DUMMYFUNCTION("""COMPUTED_VALUE"""),"Core Product Support")</f>
        <v>Core Product Support</v>
      </c>
      <c r="Q2874" s="1" t="str">
        <f>IFERROR(__xludf.DUMMYFUNCTION("""COMPUTED_VALUE"""),"josab@canva.com")</f>
        <v>josab@canva.com</v>
      </c>
      <c r="R2874" s="1" t="str">
        <f>IFERROR(__xludf.DUMMYFUNCTION("""COMPUTED_VALUE"""),"Josa Bernardino")</f>
        <v>Josa Bernardino</v>
      </c>
      <c r="S2874" s="1">
        <f>IFERROR(__xludf.DUMMYFUNCTION("""COMPUTED_VALUE"""),1.0)</f>
        <v>1</v>
      </c>
      <c r="T2874" s="1">
        <f>IFERROR(__xludf.DUMMYFUNCTION("""COMPUTED_VALUE"""),3.0)</f>
        <v>3</v>
      </c>
      <c r="U2874" s="2">
        <f>IFERROR(__xludf.DUMMYFUNCTION("""COMPUTED_VALUE"""),4.0)</f>
        <v>4</v>
      </c>
      <c r="V2874" s="1" t="str">
        <f>IFERROR(__xludf.DUMMYFUNCTION("""COMPUTED_VALUE"""),"Ellaine Estayo")</f>
        <v>Ellaine Estayo</v>
      </c>
      <c r="W2874" s="1" t="str">
        <f>IFERROR(__xludf.DUMMYFUNCTION("""COMPUTED_VALUE"""),"Core Product Support Escalation Team")</f>
        <v>Core Product Support Escalation Team</v>
      </c>
    </row>
    <row r="2875">
      <c r="O2875" s="1" t="str">
        <f>IFERROR(__xludf.DUMMYFUNCTION("""COMPUTED_VALUE"""),"2026 Apr")</f>
        <v>2026 Apr</v>
      </c>
      <c r="P2875" s="1" t="str">
        <f>IFERROR(__xludf.DUMMYFUNCTION("""COMPUTED_VALUE"""),"Print Support")</f>
        <v>Print Support</v>
      </c>
      <c r="Q2875" s="1" t="str">
        <f>IFERROR(__xludf.DUMMYFUNCTION("""COMPUTED_VALUE"""),"quin@canva.com")</f>
        <v>quin@canva.com</v>
      </c>
      <c r="R2875" s="1" t="str">
        <f>IFERROR(__xludf.DUMMYFUNCTION("""COMPUTED_VALUE"""),"Jose Antiquin")</f>
        <v>Jose Antiquin</v>
      </c>
      <c r="S2875" s="1"/>
      <c r="T2875" s="1"/>
      <c r="U2875" s="2">
        <f>IFERROR(__xludf.DUMMYFUNCTION("""COMPUTED_VALUE"""),0.0)</f>
        <v>0</v>
      </c>
      <c r="V2875" s="1" t="str">
        <f>IFERROR(__xludf.DUMMYFUNCTION("""COMPUTED_VALUE"""),"Jen Momo")</f>
        <v>Jen Momo</v>
      </c>
      <c r="W2875" s="1" t="str">
        <f>IFERROR(__xludf.DUMMYFUNCTION("""COMPUTED_VALUE"""),"Print Support PH")</f>
        <v>Print Support PH</v>
      </c>
    </row>
    <row r="2876">
      <c r="O2876" s="1" t="str">
        <f>IFERROR(__xludf.DUMMYFUNCTION("""COMPUTED_VALUE"""),"2026 Apr")</f>
        <v>2026 Apr</v>
      </c>
      <c r="P2876" s="1" t="str">
        <f>IFERROR(__xludf.DUMMYFUNCTION("""COMPUTED_VALUE"""),"#N/A")</f>
        <v>#N/A</v>
      </c>
      <c r="Q2876" s="1" t="str">
        <f>IFERROR(__xludf.DUMMYFUNCTION("""COMPUTED_VALUE"""),"joshflores@canva.com")</f>
        <v>joshflores@canva.com</v>
      </c>
      <c r="R2876" s="1" t="str">
        <f>IFERROR(__xludf.DUMMYFUNCTION("""COMPUTED_VALUE"""),"Josh Flores")</f>
        <v>Josh Flores</v>
      </c>
      <c r="S2876" s="1"/>
      <c r="T2876" s="1"/>
      <c r="U2876" s="2">
        <f>IFERROR(__xludf.DUMMYFUNCTION("""COMPUTED_VALUE"""),0.0)</f>
        <v>0</v>
      </c>
      <c r="V2876" s="1" t="str">
        <f>IFERROR(__xludf.DUMMYFUNCTION("""COMPUTED_VALUE"""),"#N/A")</f>
        <v>#N/A</v>
      </c>
      <c r="W2876" s="1" t="str">
        <f>IFERROR(__xludf.DUMMYFUNCTION("""COMPUTED_VALUE"""),"#N/A")</f>
        <v>#N/A</v>
      </c>
    </row>
    <row r="2877">
      <c r="O2877" s="1" t="str">
        <f>IFERROR(__xludf.DUMMYFUNCTION("""COMPUTED_VALUE"""),"2026 Apr")</f>
        <v>2026 Apr</v>
      </c>
      <c r="P2877" s="1" t="str">
        <f>IFERROR(__xludf.DUMMYFUNCTION("""COMPUTED_VALUE"""),"Admin Support")</f>
        <v>Admin Support</v>
      </c>
      <c r="Q2877" s="1" t="str">
        <f>IFERROR(__xludf.DUMMYFUNCTION("""COMPUTED_VALUE"""),"joshid@canva.com")</f>
        <v>joshid@canva.com</v>
      </c>
      <c r="R2877" s="1" t="str">
        <f>IFERROR(__xludf.DUMMYFUNCTION("""COMPUTED_VALUE"""),"Joshua Dacanay")</f>
        <v>Joshua Dacanay</v>
      </c>
      <c r="S2877" s="1"/>
      <c r="T2877" s="1">
        <f>IFERROR(__xludf.DUMMYFUNCTION("""COMPUTED_VALUE"""),0.75)</f>
        <v>0.75</v>
      </c>
      <c r="U2877" s="2">
        <f>IFERROR(__xludf.DUMMYFUNCTION("""COMPUTED_VALUE"""),0.75)</f>
        <v>0.75</v>
      </c>
      <c r="V2877" s="1" t="str">
        <f>IFERROR(__xludf.DUMMYFUNCTION("""COMPUTED_VALUE"""),"AL Suarez")</f>
        <v>AL Suarez</v>
      </c>
      <c r="W2877" s="1" t="str">
        <f>IFERROR(__xludf.DUMMYFUNCTION("""COMPUTED_VALUE"""),"Admin Direct Support")</f>
        <v>Admin Direct Support</v>
      </c>
    </row>
    <row r="2878">
      <c r="O2878" s="1" t="str">
        <f>IFERROR(__xludf.DUMMYFUNCTION("""COMPUTED_VALUE"""),"2026 Apr")</f>
        <v>2026 Apr</v>
      </c>
      <c r="P2878" s="1" t="str">
        <f>IFERROR(__xludf.DUMMYFUNCTION("""COMPUTED_VALUE"""),"High Sensitivity Support")</f>
        <v>High Sensitivity Support</v>
      </c>
      <c r="Q2878" s="1" t="str">
        <f>IFERROR(__xludf.DUMMYFUNCTION("""COMPUTED_VALUE"""),"jpbasco@canva.com")</f>
        <v>jpbasco@canva.com</v>
      </c>
      <c r="R2878" s="1" t="str">
        <f>IFERROR(__xludf.DUMMYFUNCTION("""COMPUTED_VALUE"""),"JP Basco")</f>
        <v>JP Basco</v>
      </c>
      <c r="S2878" s="1"/>
      <c r="T2878" s="1"/>
      <c r="U2878" s="2">
        <f>IFERROR(__xludf.DUMMYFUNCTION("""COMPUTED_VALUE"""),0.0)</f>
        <v>0</v>
      </c>
      <c r="V2878" s="1" t="str">
        <f>IFERROR(__xludf.DUMMYFUNCTION("""COMPUTED_VALUE"""),"Rex Villamor")</f>
        <v>Rex Villamor</v>
      </c>
      <c r="W2878" s="1" t="str">
        <f>IFERROR(__xludf.DUMMYFUNCTION("""COMPUTED_VALUE"""),"High Sensitivity Support PH")</f>
        <v>High Sensitivity Support PH</v>
      </c>
    </row>
    <row r="2879">
      <c r="O2879" s="1" t="str">
        <f>IFERROR(__xludf.DUMMYFUNCTION("""COMPUTED_VALUE"""),"2026 Apr")</f>
        <v>2026 Apr</v>
      </c>
      <c r="P2879" s="1" t="str">
        <f>IFERROR(__xludf.DUMMYFUNCTION("""COMPUTED_VALUE"""),"Core Product Support")</f>
        <v>Core Product Support</v>
      </c>
      <c r="Q2879" s="1" t="str">
        <f>IFERROR(__xludf.DUMMYFUNCTION("""COMPUTED_VALUE"""),"mgonzalgo@canva.com")</f>
        <v>mgonzalgo@canva.com</v>
      </c>
      <c r="R2879" s="1" t="str">
        <f>IFERROR(__xludf.DUMMYFUNCTION("""COMPUTED_VALUE"""),"Juhrella Gonzalgo")</f>
        <v>Juhrella Gonzalgo</v>
      </c>
      <c r="S2879" s="1">
        <f>IFERROR(__xludf.DUMMYFUNCTION("""COMPUTED_VALUE"""),1.0)</f>
        <v>1</v>
      </c>
      <c r="T2879" s="1">
        <f>IFERROR(__xludf.DUMMYFUNCTION("""COMPUTED_VALUE"""),2.0)</f>
        <v>2</v>
      </c>
      <c r="U2879" s="2">
        <f>IFERROR(__xludf.DUMMYFUNCTION("""COMPUTED_VALUE"""),3.0)</f>
        <v>3</v>
      </c>
      <c r="V2879" s="1" t="str">
        <f>IFERROR(__xludf.DUMMYFUNCTION("""COMPUTED_VALUE"""),"Mikhaela Decangchon")</f>
        <v>Mikhaela Decangchon</v>
      </c>
      <c r="W2879" s="1" t="str">
        <f>IFERROR(__xludf.DUMMYFUNCTION("""COMPUTED_VALUE"""),"Advanced Product Support")</f>
        <v>Advanced Product Support</v>
      </c>
    </row>
    <row r="2880">
      <c r="O2880" s="1" t="str">
        <f>IFERROR(__xludf.DUMMYFUNCTION("""COMPUTED_VALUE"""),"2026 Apr")</f>
        <v>2026 Apr</v>
      </c>
      <c r="P2880" s="1" t="str">
        <f>IFERROR(__xludf.DUMMYFUNCTION("""COMPUTED_VALUE"""),"Admin Support")</f>
        <v>Admin Support</v>
      </c>
      <c r="Q2880" s="1" t="str">
        <f>IFERROR(__xludf.DUMMYFUNCTION("""COMPUTED_VALUE"""),"kamilleb@canva.com")</f>
        <v>kamilleb@canva.com</v>
      </c>
      <c r="R2880" s="1" t="str">
        <f>IFERROR(__xludf.DUMMYFUNCTION("""COMPUTED_VALUE"""),"Kamille Batuyong")</f>
        <v>Kamille Batuyong</v>
      </c>
      <c r="S2880" s="1"/>
      <c r="T2880" s="1"/>
      <c r="U2880" s="2">
        <f>IFERROR(__xludf.DUMMYFUNCTION("""COMPUTED_VALUE"""),0.0)</f>
        <v>0</v>
      </c>
      <c r="V2880" s="1" t="str">
        <f>IFERROR(__xludf.DUMMYFUNCTION("""COMPUTED_VALUE"""),"AL Suarez")</f>
        <v>AL Suarez</v>
      </c>
      <c r="W2880" s="1" t="str">
        <f>IFERROR(__xludf.DUMMYFUNCTION("""COMPUTED_VALUE"""),"Print Support PH")</f>
        <v>Print Support PH</v>
      </c>
    </row>
    <row r="2881">
      <c r="O2881" s="1" t="str">
        <f>IFERROR(__xludf.DUMMYFUNCTION("""COMPUTED_VALUE"""),"2026 Apr")</f>
        <v>2026 Apr</v>
      </c>
      <c r="P2881" s="1" t="str">
        <f>IFERROR(__xludf.DUMMYFUNCTION("""COMPUTED_VALUE"""),"Admin Support")</f>
        <v>Admin Support</v>
      </c>
      <c r="Q2881" s="1" t="str">
        <f>IFERROR(__xludf.DUMMYFUNCTION("""COMPUTED_VALUE"""),"klazam@canva.com")</f>
        <v>klazam@canva.com</v>
      </c>
      <c r="R2881" s="1" t="str">
        <f>IFERROR(__xludf.DUMMYFUNCTION("""COMPUTED_VALUE"""),"Kath Lazam")</f>
        <v>Kath Lazam</v>
      </c>
      <c r="S2881" s="1"/>
      <c r="T2881" s="1"/>
      <c r="U2881" s="2">
        <f>IFERROR(__xludf.DUMMYFUNCTION("""COMPUTED_VALUE"""),0.0)</f>
        <v>0</v>
      </c>
      <c r="V2881" s="1" t="str">
        <f>IFERROR(__xludf.DUMMYFUNCTION("""COMPUTED_VALUE"""),"AL Suarez")</f>
        <v>AL Suarez</v>
      </c>
      <c r="W2881" s="1" t="str">
        <f>IFERROR(__xludf.DUMMYFUNCTION("""COMPUTED_VALUE"""),"Admin Direct Support")</f>
        <v>Admin Direct Support</v>
      </c>
    </row>
    <row r="2882">
      <c r="O2882" s="1" t="str">
        <f>IFERROR(__xludf.DUMMYFUNCTION("""COMPUTED_VALUE"""),"2026 Apr")</f>
        <v>2026 Apr</v>
      </c>
      <c r="P2882" s="1" t="str">
        <f>IFERROR(__xludf.DUMMYFUNCTION("""COMPUTED_VALUE"""),"Core Product Support")</f>
        <v>Core Product Support</v>
      </c>
      <c r="Q2882" s="1" t="str">
        <f>IFERROR(__xludf.DUMMYFUNCTION("""COMPUTED_VALUE"""),"katcee@canva.com")</f>
        <v>katcee@canva.com</v>
      </c>
      <c r="R2882" s="1" t="str">
        <f>IFERROR(__xludf.DUMMYFUNCTION("""COMPUTED_VALUE"""),"Katrin Cebedo")</f>
        <v>Katrin Cebedo</v>
      </c>
      <c r="S2882" s="1">
        <f>IFERROR(__xludf.DUMMYFUNCTION("""COMPUTED_VALUE"""),1.0)</f>
        <v>1</v>
      </c>
      <c r="T2882" s="1">
        <f>IFERROR(__xludf.DUMMYFUNCTION("""COMPUTED_VALUE"""),2.0)</f>
        <v>2</v>
      </c>
      <c r="U2882" s="2">
        <f>IFERROR(__xludf.DUMMYFUNCTION("""COMPUTED_VALUE"""),3.0)</f>
        <v>3</v>
      </c>
      <c r="V2882" s="1" t="str">
        <f>IFERROR(__xludf.DUMMYFUNCTION("""COMPUTED_VALUE"""),"Ayza Marie Pascual")</f>
        <v>Ayza Marie Pascual</v>
      </c>
      <c r="W2882" s="1" t="str">
        <f>IFERROR(__xludf.DUMMYFUNCTION("""COMPUTED_VALUE"""),"Advanced Billing &amp; Subscriptions")</f>
        <v>Advanced Billing &amp; Subscriptions</v>
      </c>
    </row>
    <row r="2883">
      <c r="O2883" s="1" t="str">
        <f>IFERROR(__xludf.DUMMYFUNCTION("""COMPUTED_VALUE"""),"2026 Apr")</f>
        <v>2026 Apr</v>
      </c>
      <c r="P2883" s="1" t="str">
        <f>IFERROR(__xludf.DUMMYFUNCTION("""COMPUTED_VALUE"""),"Print Support")</f>
        <v>Print Support</v>
      </c>
      <c r="Q2883" s="1" t="str">
        <f>IFERROR(__xludf.DUMMYFUNCTION("""COMPUTED_VALUE"""),"katejoya@canva.com")</f>
        <v>katejoya@canva.com</v>
      </c>
      <c r="R2883" s="1" t="str">
        <f>IFERROR(__xludf.DUMMYFUNCTION("""COMPUTED_VALUE"""),"Katrina Joya")</f>
        <v>Katrina Joya</v>
      </c>
      <c r="S2883" s="1"/>
      <c r="T2883" s="1">
        <f>IFERROR(__xludf.DUMMYFUNCTION("""COMPUTED_VALUE"""),45.0)</f>
        <v>45</v>
      </c>
      <c r="U2883" s="2">
        <f>IFERROR(__xludf.DUMMYFUNCTION("""COMPUTED_VALUE"""),45.0)</f>
        <v>45</v>
      </c>
      <c r="V2883" s="1" t="str">
        <f>IFERROR(__xludf.DUMMYFUNCTION("""COMPUTED_VALUE"""),"Gem Agoncillo")</f>
        <v>Gem Agoncillo</v>
      </c>
      <c r="W2883" s="1" t="str">
        <f>IFERROR(__xludf.DUMMYFUNCTION("""COMPUTED_VALUE"""),"Print Design Support")</f>
        <v>Print Design Support</v>
      </c>
    </row>
    <row r="2884">
      <c r="O2884" s="1" t="str">
        <f>IFERROR(__xludf.DUMMYFUNCTION("""COMPUTED_VALUE"""),"2026 Apr")</f>
        <v>2026 Apr</v>
      </c>
      <c r="P2884" s="1" t="str">
        <f>IFERROR(__xludf.DUMMYFUNCTION("""COMPUTED_VALUE"""),"Core Product Support")</f>
        <v>Core Product Support</v>
      </c>
      <c r="Q2884" s="1" t="str">
        <f>IFERROR(__xludf.DUMMYFUNCTION("""COMPUTED_VALUE"""),"kayl@canva.com")</f>
        <v>kayl@canva.com</v>
      </c>
      <c r="R2884" s="1" t="str">
        <f>IFERROR(__xludf.DUMMYFUNCTION("""COMPUTED_VALUE"""),"Kayl Albonia")</f>
        <v>Kayl Albonia</v>
      </c>
      <c r="S2884" s="1">
        <f>IFERROR(__xludf.DUMMYFUNCTION("""COMPUTED_VALUE"""),1.0)</f>
        <v>1</v>
      </c>
      <c r="T2884" s="1">
        <f>IFERROR(__xludf.DUMMYFUNCTION("""COMPUTED_VALUE"""),2.0)</f>
        <v>2</v>
      </c>
      <c r="U2884" s="2">
        <f>IFERROR(__xludf.DUMMYFUNCTION("""COMPUTED_VALUE"""),3.0)</f>
        <v>3</v>
      </c>
      <c r="V2884" s="1" t="str">
        <f>IFERROR(__xludf.DUMMYFUNCTION("""COMPUTED_VALUE"""),"Marie Mordeno")</f>
        <v>Marie Mordeno</v>
      </c>
      <c r="W2884" s="1" t="str">
        <f>IFERROR(__xludf.DUMMYFUNCTION("""COMPUTED_VALUE"""),"Advanced Billing &amp; Subscriptions")</f>
        <v>Advanced Billing &amp; Subscriptions</v>
      </c>
    </row>
    <row r="2885">
      <c r="O2885" s="1" t="str">
        <f>IFERROR(__xludf.DUMMYFUNCTION("""COMPUTED_VALUE"""),"2026 Apr")</f>
        <v>2026 Apr</v>
      </c>
      <c r="P2885" s="1" t="str">
        <f>IFERROR(__xludf.DUMMYFUNCTION("""COMPUTED_VALUE"""),"High Sensitivity Support")</f>
        <v>High Sensitivity Support</v>
      </c>
      <c r="Q2885" s="1" t="str">
        <f>IFERROR(__xludf.DUMMYFUNCTION("""COMPUTED_VALUE"""),"kathlene@canva.com")</f>
        <v>kathlene@canva.com</v>
      </c>
      <c r="R2885" s="1" t="str">
        <f>IFERROR(__xludf.DUMMYFUNCTION("""COMPUTED_VALUE"""),"KC Cruz")</f>
        <v>KC Cruz</v>
      </c>
      <c r="S2885" s="1"/>
      <c r="T2885" s="1">
        <f>IFERROR(__xludf.DUMMYFUNCTION("""COMPUTED_VALUE"""),2.0)</f>
        <v>2</v>
      </c>
      <c r="U2885" s="2">
        <f>IFERROR(__xludf.DUMMYFUNCTION("""COMPUTED_VALUE"""),2.0)</f>
        <v>2</v>
      </c>
      <c r="V2885" s="1" t="str">
        <f>IFERROR(__xludf.DUMMYFUNCTION("""COMPUTED_VALUE"""),"Xandy Azarcon")</f>
        <v>Xandy Azarcon</v>
      </c>
      <c r="W2885" s="1" t="str">
        <f>IFERROR(__xludf.DUMMYFUNCTION("""COMPUTED_VALUE"""),"High Sensitivity Support PH")</f>
        <v>High Sensitivity Support PH</v>
      </c>
    </row>
    <row r="2886">
      <c r="O2886" s="1" t="str">
        <f>IFERROR(__xludf.DUMMYFUNCTION("""COMPUTED_VALUE"""),"2026 Apr")</f>
        <v>2026 Apr</v>
      </c>
      <c r="P2886" s="1" t="str">
        <f>IFERROR(__xludf.DUMMYFUNCTION("""COMPUTED_VALUE"""),"Admin Support")</f>
        <v>Admin Support</v>
      </c>
      <c r="Q2886" s="1" t="str">
        <f>IFERROR(__xludf.DUMMYFUNCTION("""COMPUTED_VALUE"""),"kc@canva.com")</f>
        <v>kc@canva.com</v>
      </c>
      <c r="R2886" s="1" t="str">
        <f>IFERROR(__xludf.DUMMYFUNCTION("""COMPUTED_VALUE"""),"KC Sacramento")</f>
        <v>KC Sacramento</v>
      </c>
      <c r="S2886" s="1"/>
      <c r="T2886" s="1">
        <f>IFERROR(__xludf.DUMMYFUNCTION("""COMPUTED_VALUE"""),0.75)</f>
        <v>0.75</v>
      </c>
      <c r="U2886" s="2">
        <f>IFERROR(__xludf.DUMMYFUNCTION("""COMPUTED_VALUE"""),0.75)</f>
        <v>0.75</v>
      </c>
      <c r="V2886" s="1" t="str">
        <f>IFERROR(__xludf.DUMMYFUNCTION("""COMPUTED_VALUE"""),"Kelden Laguting")</f>
        <v>Kelden Laguting</v>
      </c>
      <c r="W2886" s="1" t="str">
        <f>IFERROR(__xludf.DUMMYFUNCTION("""COMPUTED_VALUE"""),"Admin Omni Support")</f>
        <v>Admin Omni Support</v>
      </c>
    </row>
    <row r="2887">
      <c r="O2887" s="1" t="str">
        <f>IFERROR(__xludf.DUMMYFUNCTION("""COMPUTED_VALUE"""),"2026 Apr")</f>
        <v>2026 Apr</v>
      </c>
      <c r="P2887" s="1" t="str">
        <f>IFERROR(__xludf.DUMMYFUNCTION("""COMPUTED_VALUE"""),"Core Product Support")</f>
        <v>Core Product Support</v>
      </c>
      <c r="Q2887" s="1" t="str">
        <f>IFERROR(__xludf.DUMMYFUNCTION("""COMPUTED_VALUE"""),"keisalazar@canva.com")</f>
        <v>keisalazar@canva.com</v>
      </c>
      <c r="R2887" s="1" t="str">
        <f>IFERROR(__xludf.DUMMYFUNCTION("""COMPUTED_VALUE"""),"Kei Salazar")</f>
        <v>Kei Salazar</v>
      </c>
      <c r="S2887" s="1">
        <f>IFERROR(__xludf.DUMMYFUNCTION("""COMPUTED_VALUE"""),0.5)</f>
        <v>0.5</v>
      </c>
      <c r="T2887" s="1">
        <f>IFERROR(__xludf.DUMMYFUNCTION("""COMPUTED_VALUE"""),1.25)</f>
        <v>1.25</v>
      </c>
      <c r="U2887" s="2">
        <f>IFERROR(__xludf.DUMMYFUNCTION("""COMPUTED_VALUE"""),1.75)</f>
        <v>1.75</v>
      </c>
      <c r="V2887" s="1" t="str">
        <f>IFERROR(__xludf.DUMMYFUNCTION("""COMPUTED_VALUE"""),"Ayza Marie Pascual")</f>
        <v>Ayza Marie Pascual</v>
      </c>
      <c r="W2887" s="1" t="str">
        <f>IFERROR(__xludf.DUMMYFUNCTION("""COMPUTED_VALUE"""),"Advanced Billing &amp; Subscriptions")</f>
        <v>Advanced Billing &amp; Subscriptions</v>
      </c>
    </row>
    <row r="2888">
      <c r="O2888" s="1" t="str">
        <f>IFERROR(__xludf.DUMMYFUNCTION("""COMPUTED_VALUE"""),"2026 Apr")</f>
        <v>2026 Apr</v>
      </c>
      <c r="P2888" s="1" t="str">
        <f>IFERROR(__xludf.DUMMYFUNCTION("""COMPUTED_VALUE"""),"Print Support")</f>
        <v>Print Support</v>
      </c>
      <c r="Q2888" s="1" t="str">
        <f>IFERROR(__xludf.DUMMYFUNCTION("""COMPUTED_VALUE"""),"kennethgo@canva.com")</f>
        <v>kennethgo@canva.com</v>
      </c>
      <c r="R2888" s="1" t="str">
        <f>IFERROR(__xludf.DUMMYFUNCTION("""COMPUTED_VALUE"""),"Kenneth Go")</f>
        <v>Kenneth Go</v>
      </c>
      <c r="S2888" s="1"/>
      <c r="T2888" s="1">
        <f>IFERROR(__xludf.DUMMYFUNCTION("""COMPUTED_VALUE"""),45.0)</f>
        <v>45</v>
      </c>
      <c r="U2888" s="2">
        <f>IFERROR(__xludf.DUMMYFUNCTION("""COMPUTED_VALUE"""),45.0)</f>
        <v>45</v>
      </c>
      <c r="V2888" s="1" t="str">
        <f>IFERROR(__xludf.DUMMYFUNCTION("""COMPUTED_VALUE"""),"Jan Domingo")</f>
        <v>Jan Domingo</v>
      </c>
      <c r="W2888" s="1" t="str">
        <f>IFERROR(__xludf.DUMMYFUNCTION("""COMPUTED_VALUE"""),"Print Design Support")</f>
        <v>Print Design Support</v>
      </c>
    </row>
    <row r="2889">
      <c r="O2889" s="1" t="str">
        <f>IFERROR(__xludf.DUMMYFUNCTION("""COMPUTED_VALUE"""),"2026 Apr")</f>
        <v>2026 Apr</v>
      </c>
      <c r="P2889" s="1" t="str">
        <f>IFERROR(__xludf.DUMMYFUNCTION("""COMPUTED_VALUE"""),"Core Product Support")</f>
        <v>Core Product Support</v>
      </c>
      <c r="Q2889" s="1" t="str">
        <f>IFERROR(__xludf.DUMMYFUNCTION("""COMPUTED_VALUE"""),"kevingo@canva.com")</f>
        <v>kevingo@canva.com</v>
      </c>
      <c r="R2889" s="1" t="str">
        <f>IFERROR(__xludf.DUMMYFUNCTION("""COMPUTED_VALUE"""),"Kevin Go")</f>
        <v>Kevin Go</v>
      </c>
      <c r="S2889" s="1">
        <f>IFERROR(__xludf.DUMMYFUNCTION("""COMPUTED_VALUE"""),1.0)</f>
        <v>1</v>
      </c>
      <c r="T2889" s="1">
        <f>IFERROR(__xludf.DUMMYFUNCTION("""COMPUTED_VALUE"""),2.0)</f>
        <v>2</v>
      </c>
      <c r="U2889" s="2">
        <f>IFERROR(__xludf.DUMMYFUNCTION("""COMPUTED_VALUE"""),3.0)</f>
        <v>3</v>
      </c>
      <c r="V2889" s="1" t="str">
        <f>IFERROR(__xludf.DUMMYFUNCTION("""COMPUTED_VALUE"""),"Belle Bentazal")</f>
        <v>Belle Bentazal</v>
      </c>
      <c r="W2889" s="1" t="str">
        <f>IFERROR(__xludf.DUMMYFUNCTION("""COMPUTED_VALUE"""),"Advanced Product Support")</f>
        <v>Advanced Product Support</v>
      </c>
    </row>
    <row r="2890">
      <c r="O2890" s="1" t="str">
        <f>IFERROR(__xludf.DUMMYFUNCTION("""COMPUTED_VALUE"""),"2026 Apr")</f>
        <v>2026 Apr</v>
      </c>
      <c r="P2890" s="1" t="str">
        <f>IFERROR(__xludf.DUMMYFUNCTION("""COMPUTED_VALUE"""),"Core Product Support")</f>
        <v>Core Product Support</v>
      </c>
      <c r="Q2890" s="1" t="str">
        <f>IFERROR(__xludf.DUMMYFUNCTION("""COMPUTED_VALUE"""),"kevromuga@canva.com")</f>
        <v>kevromuga@canva.com</v>
      </c>
      <c r="R2890" s="1" t="str">
        <f>IFERROR(__xludf.DUMMYFUNCTION("""COMPUTED_VALUE"""),"Kevin John Romuga")</f>
        <v>Kevin John Romuga</v>
      </c>
      <c r="S2890" s="1">
        <f>IFERROR(__xludf.DUMMYFUNCTION("""COMPUTED_VALUE"""),1.0)</f>
        <v>1</v>
      </c>
      <c r="T2890" s="1">
        <f>IFERROR(__xludf.DUMMYFUNCTION("""COMPUTED_VALUE"""),2.0)</f>
        <v>2</v>
      </c>
      <c r="U2890" s="2">
        <f>IFERROR(__xludf.DUMMYFUNCTION("""COMPUTED_VALUE"""),3.0)</f>
        <v>3</v>
      </c>
      <c r="V2890" s="1" t="str">
        <f>IFERROR(__xludf.DUMMYFUNCTION("""COMPUTED_VALUE"""),"Renette Bok")</f>
        <v>Renette Bok</v>
      </c>
      <c r="W2890" s="1" t="str">
        <f>IFERROR(__xludf.DUMMYFUNCTION("""COMPUTED_VALUE"""),"Advanced Billing &amp; Subscriptions")</f>
        <v>Advanced Billing &amp; Subscriptions</v>
      </c>
    </row>
    <row r="2891">
      <c r="O2891" s="1" t="str">
        <f>IFERROR(__xludf.DUMMYFUNCTION("""COMPUTED_VALUE"""),"2026 Apr")</f>
        <v>2026 Apr</v>
      </c>
      <c r="P2891" s="1" t="str">
        <f>IFERROR(__xludf.DUMMYFUNCTION("""COMPUTED_VALUE"""),"Core Product Support")</f>
        <v>Core Product Support</v>
      </c>
      <c r="Q2891" s="1" t="str">
        <f>IFERROR(__xludf.DUMMYFUNCTION("""COMPUTED_VALUE"""),"kimmescallado@canva.com")</f>
        <v>kimmescallado@canva.com</v>
      </c>
      <c r="R2891" s="1" t="str">
        <f>IFERROR(__xludf.DUMMYFUNCTION("""COMPUTED_VALUE"""),"Kim Mescallado")</f>
        <v>Kim Mescallado</v>
      </c>
      <c r="S2891" s="1">
        <f>IFERROR(__xludf.DUMMYFUNCTION("""COMPUTED_VALUE"""),2.0)</f>
        <v>2</v>
      </c>
      <c r="T2891" s="1">
        <f>IFERROR(__xludf.DUMMYFUNCTION("""COMPUTED_VALUE"""),2.25)</f>
        <v>2.25</v>
      </c>
      <c r="U2891" s="2">
        <f>IFERROR(__xludf.DUMMYFUNCTION("""COMPUTED_VALUE"""),4.25)</f>
        <v>4.25</v>
      </c>
      <c r="V2891" s="1" t="str">
        <f>IFERROR(__xludf.DUMMYFUNCTION("""COMPUTED_VALUE"""),"Belle Bentazal")</f>
        <v>Belle Bentazal</v>
      </c>
      <c r="W2891" s="1" t="str">
        <f>IFERROR(__xludf.DUMMYFUNCTION("""COMPUTED_VALUE"""),"Advanced Product Support")</f>
        <v>Advanced Product Support</v>
      </c>
    </row>
    <row r="2892">
      <c r="O2892" s="1" t="str">
        <f>IFERROR(__xludf.DUMMYFUNCTION("""COMPUTED_VALUE"""),"2026 Apr")</f>
        <v>2026 Apr</v>
      </c>
      <c r="P2892" s="1" t="str">
        <f>IFERROR(__xludf.DUMMYFUNCTION("""COMPUTED_VALUE"""),"Admin Support")</f>
        <v>Admin Support</v>
      </c>
      <c r="Q2892" s="1" t="str">
        <f>IFERROR(__xludf.DUMMYFUNCTION("""COMPUTED_VALUE"""),"kiro@canva.com")</f>
        <v>kiro@canva.com</v>
      </c>
      <c r="R2892" s="1" t="str">
        <f>IFERROR(__xludf.DUMMYFUNCTION("""COMPUTED_VALUE"""),"Kiro Mondala")</f>
        <v>Kiro Mondala</v>
      </c>
      <c r="S2892" s="1"/>
      <c r="T2892" s="1">
        <f>IFERROR(__xludf.DUMMYFUNCTION("""COMPUTED_VALUE"""),1.0)</f>
        <v>1</v>
      </c>
      <c r="U2892" s="2">
        <f>IFERROR(__xludf.DUMMYFUNCTION("""COMPUTED_VALUE"""),1.0)</f>
        <v>1</v>
      </c>
      <c r="V2892" s="1" t="str">
        <f>IFERROR(__xludf.DUMMYFUNCTION("""COMPUTED_VALUE"""),"Kelden Laguting")</f>
        <v>Kelden Laguting</v>
      </c>
      <c r="W2892" s="1" t="str">
        <f>IFERROR(__xludf.DUMMYFUNCTION("""COMPUTED_VALUE"""),"Admin Omni Support")</f>
        <v>Admin Omni Support</v>
      </c>
    </row>
    <row r="2893">
      <c r="O2893" s="1" t="str">
        <f>IFERROR(__xludf.DUMMYFUNCTION("""COMPUTED_VALUE"""),"2026 Apr")</f>
        <v>2026 Apr</v>
      </c>
      <c r="P2893" s="1" t="str">
        <f>IFERROR(__xludf.DUMMYFUNCTION("""COMPUTED_VALUE"""),"Core Product Support")</f>
        <v>Core Product Support</v>
      </c>
      <c r="Q2893" s="1" t="str">
        <f>IFERROR(__xludf.DUMMYFUNCTION("""COMPUTED_VALUE"""),"krisalava@canva.com")</f>
        <v>krisalava@canva.com</v>
      </c>
      <c r="R2893" s="1" t="str">
        <f>IFERROR(__xludf.DUMMYFUNCTION("""COMPUTED_VALUE"""),"Kris Alava")</f>
        <v>Kris Alava</v>
      </c>
      <c r="S2893" s="1">
        <f>IFERROR(__xludf.DUMMYFUNCTION("""COMPUTED_VALUE"""),1.0)</f>
        <v>1</v>
      </c>
      <c r="T2893" s="1">
        <f>IFERROR(__xludf.DUMMYFUNCTION("""COMPUTED_VALUE"""),3.5)</f>
        <v>3.5</v>
      </c>
      <c r="U2893" s="2">
        <f>IFERROR(__xludf.DUMMYFUNCTION("""COMPUTED_VALUE"""),4.5)</f>
        <v>4.5</v>
      </c>
      <c r="V2893" s="1" t="str">
        <f>IFERROR(__xludf.DUMMYFUNCTION("""COMPUTED_VALUE"""),"Sieg Ballelos")</f>
        <v>Sieg Ballelos</v>
      </c>
      <c r="W2893" s="1" t="str">
        <f>IFERROR(__xludf.DUMMYFUNCTION("""COMPUTED_VALUE"""),"Core Product Support Escalation Team")</f>
        <v>Core Product Support Escalation Team</v>
      </c>
    </row>
    <row r="2894">
      <c r="O2894" s="1" t="str">
        <f>IFERROR(__xludf.DUMMYFUNCTION("""COMPUTED_VALUE"""),"2026 Apr")</f>
        <v>2026 Apr</v>
      </c>
      <c r="P2894" s="1" t="str">
        <f>IFERROR(__xludf.DUMMYFUNCTION("""COMPUTED_VALUE"""),"Core Product Support")</f>
        <v>Core Product Support</v>
      </c>
      <c r="Q2894" s="1" t="str">
        <f>IFERROR(__xludf.DUMMYFUNCTION("""COMPUTED_VALUE"""),"kylep@canva.com")</f>
        <v>kylep@canva.com</v>
      </c>
      <c r="R2894" s="1" t="str">
        <f>IFERROR(__xludf.DUMMYFUNCTION("""COMPUTED_VALUE"""),"Kyle Pajarillo")</f>
        <v>Kyle Pajarillo</v>
      </c>
      <c r="S2894" s="1">
        <f>IFERROR(__xludf.DUMMYFUNCTION("""COMPUTED_VALUE"""),0.5)</f>
        <v>0.5</v>
      </c>
      <c r="T2894" s="1">
        <f>IFERROR(__xludf.DUMMYFUNCTION("""COMPUTED_VALUE"""),2.0)</f>
        <v>2</v>
      </c>
      <c r="U2894" s="2">
        <f>IFERROR(__xludf.DUMMYFUNCTION("""COMPUTED_VALUE"""),2.5)</f>
        <v>2.5</v>
      </c>
      <c r="V2894" s="1" t="str">
        <f>IFERROR(__xludf.DUMMYFUNCTION("""COMPUTED_VALUE"""),"Marie Mordeno")</f>
        <v>Marie Mordeno</v>
      </c>
      <c r="W2894" s="1" t="str">
        <f>IFERROR(__xludf.DUMMYFUNCTION("""COMPUTED_VALUE"""),"Advanced Billing &amp; Subscriptions")</f>
        <v>Advanced Billing &amp; Subscriptions</v>
      </c>
    </row>
    <row r="2895">
      <c r="O2895" s="1" t="str">
        <f>IFERROR(__xludf.DUMMYFUNCTION("""COMPUTED_VALUE"""),"2026 Apr")</f>
        <v>2026 Apr</v>
      </c>
      <c r="P2895" s="1" t="str">
        <f>IFERROR(__xludf.DUMMYFUNCTION("""COMPUTED_VALUE"""),"Core Product Support")</f>
        <v>Core Product Support</v>
      </c>
      <c r="Q2895" s="1" t="str">
        <f>IFERROR(__xludf.DUMMYFUNCTION("""COMPUTED_VALUE"""),"lailav@canva.com")</f>
        <v>lailav@canva.com</v>
      </c>
      <c r="R2895" s="1" t="str">
        <f>IFERROR(__xludf.DUMMYFUNCTION("""COMPUTED_VALUE"""),"Laila Villamor")</f>
        <v>Laila Villamor</v>
      </c>
      <c r="S2895" s="1">
        <f>IFERROR(__xludf.DUMMYFUNCTION("""COMPUTED_VALUE"""),0.5)</f>
        <v>0.5</v>
      </c>
      <c r="T2895" s="1">
        <f>IFERROR(__xludf.DUMMYFUNCTION("""COMPUTED_VALUE"""),2.0)</f>
        <v>2</v>
      </c>
      <c r="U2895" s="2">
        <f>IFERROR(__xludf.DUMMYFUNCTION("""COMPUTED_VALUE"""),2.5)</f>
        <v>2.5</v>
      </c>
      <c r="V2895" s="1" t="str">
        <f>IFERROR(__xludf.DUMMYFUNCTION("""COMPUTED_VALUE"""),"Jahmie Mae Barrameda")</f>
        <v>Jahmie Mae Barrameda</v>
      </c>
      <c r="W2895" s="1" t="str">
        <f>IFERROR(__xludf.DUMMYFUNCTION("""COMPUTED_VALUE"""),"Advanced Billing &amp; Subscriptions")</f>
        <v>Advanced Billing &amp; Subscriptions</v>
      </c>
    </row>
    <row r="2896">
      <c r="O2896" s="1" t="str">
        <f>IFERROR(__xludf.DUMMYFUNCTION("""COMPUTED_VALUE"""),"2026 Apr")</f>
        <v>2026 Apr</v>
      </c>
      <c r="P2896" s="1" t="str">
        <f>IFERROR(__xludf.DUMMYFUNCTION("""COMPUTED_VALUE"""),"Print Support")</f>
        <v>Print Support</v>
      </c>
      <c r="Q2896" s="1" t="str">
        <f>IFERROR(__xludf.DUMMYFUNCTION("""COMPUTED_VALUE"""),"lancer@canva.com")</f>
        <v>lancer@canva.com</v>
      </c>
      <c r="R2896" s="1" t="str">
        <f>IFERROR(__xludf.DUMMYFUNCTION("""COMPUTED_VALUE"""),"Lance Guevarra")</f>
        <v>Lance Guevarra</v>
      </c>
      <c r="S2896" s="1"/>
      <c r="T2896" s="1"/>
      <c r="U2896" s="2">
        <f>IFERROR(__xludf.DUMMYFUNCTION("""COMPUTED_VALUE"""),0.0)</f>
        <v>0</v>
      </c>
      <c r="V2896" s="1" t="str">
        <f>IFERROR(__xludf.DUMMYFUNCTION("""COMPUTED_VALUE"""),"Jen Momo")</f>
        <v>Jen Momo</v>
      </c>
      <c r="W2896" s="1" t="str">
        <f>IFERROR(__xludf.DUMMYFUNCTION("""COMPUTED_VALUE"""),"Print Support PH")</f>
        <v>Print Support PH</v>
      </c>
    </row>
    <row r="2897">
      <c r="O2897" s="1" t="str">
        <f>IFERROR(__xludf.DUMMYFUNCTION("""COMPUTED_VALUE"""),"2026 Apr")</f>
        <v>2026 Apr</v>
      </c>
      <c r="P2897" s="1" t="str">
        <f>IFERROR(__xludf.DUMMYFUNCTION("""COMPUTED_VALUE"""),"Segment-specific Support")</f>
        <v>Segment-specific Support</v>
      </c>
      <c r="Q2897" s="1" t="str">
        <f>IFERROR(__xludf.DUMMYFUNCTION("""COMPUTED_VALUE"""),"lance@canva.com")</f>
        <v>lance@canva.com</v>
      </c>
      <c r="R2897" s="1" t="str">
        <f>IFERROR(__xludf.DUMMYFUNCTION("""COMPUTED_VALUE"""),"Lance Reyes")</f>
        <v>Lance Reyes</v>
      </c>
      <c r="S2897" s="1"/>
      <c r="T2897" s="1">
        <f>IFERROR(__xludf.DUMMYFUNCTION("""COMPUTED_VALUE"""),0.17)</f>
        <v>0.17</v>
      </c>
      <c r="U2897" s="2">
        <f>IFERROR(__xludf.DUMMYFUNCTION("""COMPUTED_VALUE"""),0.17)</f>
        <v>0.17</v>
      </c>
      <c r="V2897" s="1" t="str">
        <f>IFERROR(__xludf.DUMMYFUNCTION("""COMPUTED_VALUE"""),"Gucci Nava")</f>
        <v>Gucci Nava</v>
      </c>
      <c r="W2897" s="1" t="str">
        <f>IFERROR(__xludf.DUMMYFUNCTION("""COMPUTED_VALUE"""),"Affinity Support")</f>
        <v>Affinity Support</v>
      </c>
    </row>
    <row r="2898">
      <c r="O2898" s="1" t="str">
        <f>IFERROR(__xludf.DUMMYFUNCTION("""COMPUTED_VALUE"""),"2026 Apr")</f>
        <v>2026 Apr</v>
      </c>
      <c r="P2898" s="1" t="str">
        <f>IFERROR(__xludf.DUMMYFUNCTION("""COMPUTED_VALUE"""),"High Sensitivity Support")</f>
        <v>High Sensitivity Support</v>
      </c>
      <c r="Q2898" s="1" t="str">
        <f>IFERROR(__xludf.DUMMYFUNCTION("""COMPUTED_VALUE"""),"leanp@canva.com")</f>
        <v>leanp@canva.com</v>
      </c>
      <c r="R2898" s="1" t="str">
        <f>IFERROR(__xludf.DUMMYFUNCTION("""COMPUTED_VALUE"""),"Lean Reyes")</f>
        <v>Lean Reyes</v>
      </c>
      <c r="S2898" s="1"/>
      <c r="T2898" s="1"/>
      <c r="U2898" s="2">
        <f>IFERROR(__xludf.DUMMYFUNCTION("""COMPUTED_VALUE"""),0.0)</f>
        <v>0</v>
      </c>
      <c r="V2898" s="1" t="str">
        <f>IFERROR(__xludf.DUMMYFUNCTION("""COMPUTED_VALUE"""),"Issi Afable")</f>
        <v>Issi Afable</v>
      </c>
      <c r="W2898" s="1" t="str">
        <f>IFERROR(__xludf.DUMMYFUNCTION("""COMPUTED_VALUE"""),"High Sensitivity Support PH")</f>
        <v>High Sensitivity Support PH</v>
      </c>
    </row>
    <row r="2899">
      <c r="O2899" s="1" t="str">
        <f>IFERROR(__xludf.DUMMYFUNCTION("""COMPUTED_VALUE"""),"2026 Apr")</f>
        <v>2026 Apr</v>
      </c>
      <c r="P2899" s="1" t="str">
        <f>IFERROR(__xludf.DUMMYFUNCTION("""COMPUTED_VALUE"""),"Print Support")</f>
        <v>Print Support</v>
      </c>
      <c r="Q2899" s="1" t="str">
        <f>IFERROR(__xludf.DUMMYFUNCTION("""COMPUTED_VALUE"""),"larce@canva.com")</f>
        <v>larce@canva.com</v>
      </c>
      <c r="R2899" s="1" t="str">
        <f>IFERROR(__xludf.DUMMYFUNCTION("""COMPUTED_VALUE"""),"Lee Arce")</f>
        <v>Lee Arce</v>
      </c>
      <c r="S2899" s="1"/>
      <c r="T2899" s="1"/>
      <c r="U2899" s="2">
        <f>IFERROR(__xludf.DUMMYFUNCTION("""COMPUTED_VALUE"""),0.0)</f>
        <v>0</v>
      </c>
      <c r="V2899" s="1" t="str">
        <f>IFERROR(__xludf.DUMMYFUNCTION("""COMPUTED_VALUE"""),"Althea Mercado")</f>
        <v>Althea Mercado</v>
      </c>
      <c r="W2899" s="1" t="str">
        <f>IFERROR(__xludf.DUMMYFUNCTION("""COMPUTED_VALUE"""),"Print Support PH")</f>
        <v>Print Support PH</v>
      </c>
    </row>
    <row r="2900">
      <c r="O2900" s="1" t="str">
        <f>IFERROR(__xludf.DUMMYFUNCTION("""COMPUTED_VALUE"""),"2026 Apr")</f>
        <v>2026 Apr</v>
      </c>
      <c r="P2900" s="1" t="str">
        <f>IFERROR(__xludf.DUMMYFUNCTION("""COMPUTED_VALUE"""),"Core Product Support")</f>
        <v>Core Product Support</v>
      </c>
      <c r="Q2900" s="1" t="str">
        <f>IFERROR(__xludf.DUMMYFUNCTION("""COMPUTED_VALUE"""),"leilanie@canva.com")</f>
        <v>leilanie@canva.com</v>
      </c>
      <c r="R2900" s="1" t="str">
        <f>IFERROR(__xludf.DUMMYFUNCTION("""COMPUTED_VALUE"""),"Lei Gratuito")</f>
        <v>Lei Gratuito</v>
      </c>
      <c r="S2900" s="1">
        <f>IFERROR(__xludf.DUMMYFUNCTION("""COMPUTED_VALUE"""),1.0)</f>
        <v>1</v>
      </c>
      <c r="T2900" s="1">
        <f>IFERROR(__xludf.DUMMYFUNCTION("""COMPUTED_VALUE"""),2.0)</f>
        <v>2</v>
      </c>
      <c r="U2900" s="2">
        <f>IFERROR(__xludf.DUMMYFUNCTION("""COMPUTED_VALUE"""),3.0)</f>
        <v>3</v>
      </c>
      <c r="V2900" s="1" t="str">
        <f>IFERROR(__xludf.DUMMYFUNCTION("""COMPUTED_VALUE"""),"Renette Bok")</f>
        <v>Renette Bok</v>
      </c>
      <c r="W2900" s="1" t="str">
        <f>IFERROR(__xludf.DUMMYFUNCTION("""COMPUTED_VALUE"""),"Advanced Billing &amp; Subscriptions")</f>
        <v>Advanced Billing &amp; Subscriptions</v>
      </c>
    </row>
    <row r="2901">
      <c r="O2901" s="1" t="str">
        <f>IFERROR(__xludf.DUMMYFUNCTION("""COMPUTED_VALUE"""),"2026 Apr")</f>
        <v>2026 Apr</v>
      </c>
      <c r="P2901" s="1" t="str">
        <f>IFERROR(__xludf.DUMMYFUNCTION("""COMPUTED_VALUE"""),"Core Product Support")</f>
        <v>Core Product Support</v>
      </c>
      <c r="Q2901" s="1" t="str">
        <f>IFERROR(__xludf.DUMMYFUNCTION("""COMPUTED_VALUE"""),"leonard@canva.com")</f>
        <v>leonard@canva.com</v>
      </c>
      <c r="R2901" s="1" t="str">
        <f>IFERROR(__xludf.DUMMYFUNCTION("""COMPUTED_VALUE"""),"Leonard Baguio")</f>
        <v>Leonard Baguio</v>
      </c>
      <c r="S2901" s="1">
        <f>IFERROR(__xludf.DUMMYFUNCTION("""COMPUTED_VALUE"""),0.5)</f>
        <v>0.5</v>
      </c>
      <c r="T2901" s="1">
        <f>IFERROR(__xludf.DUMMYFUNCTION("""COMPUTED_VALUE"""),4.0)</f>
        <v>4</v>
      </c>
      <c r="U2901" s="2">
        <f>IFERROR(__xludf.DUMMYFUNCTION("""COMPUTED_VALUE"""),4.5)</f>
        <v>4.5</v>
      </c>
      <c r="V2901" s="1" t="str">
        <f>IFERROR(__xludf.DUMMYFUNCTION("""COMPUTED_VALUE"""),"Jelyn Elmido")</f>
        <v>Jelyn Elmido</v>
      </c>
      <c r="W2901" s="1" t="str">
        <f>IFERROR(__xludf.DUMMYFUNCTION("""COMPUTED_VALUE"""),"Core Product Support Escalation Team")</f>
        <v>Core Product Support Escalation Team</v>
      </c>
    </row>
    <row r="2902">
      <c r="O2902" s="1" t="str">
        <f>IFERROR(__xludf.DUMMYFUNCTION("""COMPUTED_VALUE"""),"2026 Apr")</f>
        <v>2026 Apr</v>
      </c>
      <c r="P2902" s="1" t="str">
        <f>IFERROR(__xludf.DUMMYFUNCTION("""COMPUTED_VALUE"""),"Print Support")</f>
        <v>Print Support</v>
      </c>
      <c r="Q2902" s="1" t="str">
        <f>IFERROR(__xludf.DUMMYFUNCTION("""COMPUTED_VALUE"""),"anneharriet@canva.com")</f>
        <v>anneharriet@canva.com</v>
      </c>
      <c r="R2902" s="1" t="str">
        <f>IFERROR(__xludf.DUMMYFUNCTION("""COMPUTED_VALUE"""),"Leslie Anne Gilua")</f>
        <v>Leslie Anne Gilua</v>
      </c>
      <c r="S2902" s="1"/>
      <c r="T2902" s="1"/>
      <c r="U2902" s="2">
        <f>IFERROR(__xludf.DUMMYFUNCTION("""COMPUTED_VALUE"""),0.0)</f>
        <v>0</v>
      </c>
      <c r="V2902" s="1" t="str">
        <f>IFERROR(__xludf.DUMMYFUNCTION("""COMPUTED_VALUE"""),"Louise Dianne Estrella")</f>
        <v>Louise Dianne Estrella</v>
      </c>
      <c r="W2902" s="1" t="str">
        <f>IFERROR(__xludf.DUMMYFUNCTION("""COMPUTED_VALUE"""),"Print Support PH")</f>
        <v>Print Support PH</v>
      </c>
    </row>
    <row r="2903">
      <c r="O2903" s="1" t="str">
        <f>IFERROR(__xludf.DUMMYFUNCTION("""COMPUTED_VALUE"""),"2026 Apr")</f>
        <v>2026 Apr</v>
      </c>
      <c r="P2903" s="1" t="str">
        <f>IFERROR(__xludf.DUMMYFUNCTION("""COMPUTED_VALUE"""),"Core Product Support")</f>
        <v>Core Product Support</v>
      </c>
      <c r="Q2903" s="1" t="str">
        <f>IFERROR(__xludf.DUMMYFUNCTION("""COMPUTED_VALUE"""),"lewisjarvin@canva.com")</f>
        <v>lewisjarvin@canva.com</v>
      </c>
      <c r="R2903" s="1" t="str">
        <f>IFERROR(__xludf.DUMMYFUNCTION("""COMPUTED_VALUE"""),"Lewis Ramirez")</f>
        <v>Lewis Ramirez</v>
      </c>
      <c r="S2903" s="1">
        <f>IFERROR(__xludf.DUMMYFUNCTION("""COMPUTED_VALUE"""),0.5)</f>
        <v>0.5</v>
      </c>
      <c r="T2903" s="1">
        <f>IFERROR(__xludf.DUMMYFUNCTION("""COMPUTED_VALUE"""),2.25)</f>
        <v>2.25</v>
      </c>
      <c r="U2903" s="2">
        <f>IFERROR(__xludf.DUMMYFUNCTION("""COMPUTED_VALUE"""),2.75)</f>
        <v>2.75</v>
      </c>
      <c r="V2903" s="1" t="str">
        <f>IFERROR(__xludf.DUMMYFUNCTION("""COMPUTED_VALUE"""),"Mikhaela Decangchon")</f>
        <v>Mikhaela Decangchon</v>
      </c>
      <c r="W2903" s="1" t="str">
        <f>IFERROR(__xludf.DUMMYFUNCTION("""COMPUTED_VALUE"""),"Advanced Product Support")</f>
        <v>Advanced Product Support</v>
      </c>
    </row>
    <row r="2904">
      <c r="O2904" s="1" t="str">
        <f>IFERROR(__xludf.DUMMYFUNCTION("""COMPUTED_VALUE"""),"2026 Apr")</f>
        <v>2026 Apr</v>
      </c>
      <c r="P2904" s="1" t="str">
        <f>IFERROR(__xludf.DUMMYFUNCTION("""COMPUTED_VALUE"""),"Segment-specific Support")</f>
        <v>Segment-specific Support</v>
      </c>
      <c r="Q2904" s="1" t="str">
        <f>IFERROR(__xludf.DUMMYFUNCTION("""COMPUTED_VALUE"""),"liabaclay@canva.com")</f>
        <v>liabaclay@canva.com</v>
      </c>
      <c r="R2904" s="1" t="str">
        <f>IFERROR(__xludf.DUMMYFUNCTION("""COMPUTED_VALUE"""),"Lia Baclay")</f>
        <v>Lia Baclay</v>
      </c>
      <c r="S2904" s="1"/>
      <c r="T2904" s="1"/>
      <c r="U2904" s="2">
        <f>IFERROR(__xludf.DUMMYFUNCTION("""COMPUTED_VALUE"""),0.0)</f>
        <v>0</v>
      </c>
      <c r="V2904" s="1" t="str">
        <f>IFERROR(__xludf.DUMMYFUNCTION("""COMPUTED_VALUE"""),"Rose Gabilan")</f>
        <v>Rose Gabilan</v>
      </c>
      <c r="W2904" s="1" t="str">
        <f>IFERROR(__xludf.DUMMYFUNCTION("""COMPUTED_VALUE"""),"Affinity Support")</f>
        <v>Affinity Support</v>
      </c>
    </row>
    <row r="2905">
      <c r="O2905" s="1" t="str">
        <f>IFERROR(__xludf.DUMMYFUNCTION("""COMPUTED_VALUE"""),"2026 Apr")</f>
        <v>2026 Apr</v>
      </c>
      <c r="P2905" s="1" t="str">
        <f>IFERROR(__xludf.DUMMYFUNCTION("""COMPUTED_VALUE"""),"Segment-specific Support")</f>
        <v>Segment-specific Support</v>
      </c>
      <c r="Q2905" s="1" t="str">
        <f>IFERROR(__xludf.DUMMYFUNCTION("""COMPUTED_VALUE"""),"liberty@canva.com")</f>
        <v>liberty@canva.com</v>
      </c>
      <c r="R2905" s="1" t="str">
        <f>IFERROR(__xludf.DUMMYFUNCTION("""COMPUTED_VALUE"""),"Liberty Casala")</f>
        <v>Liberty Casala</v>
      </c>
      <c r="S2905" s="1"/>
      <c r="T2905" s="1">
        <f>IFERROR(__xludf.DUMMYFUNCTION("""COMPUTED_VALUE"""),0.17)</f>
        <v>0.17</v>
      </c>
      <c r="U2905" s="2">
        <f>IFERROR(__xludf.DUMMYFUNCTION("""COMPUTED_VALUE"""),0.17)</f>
        <v>0.17</v>
      </c>
      <c r="V2905" s="1" t="str">
        <f>IFERROR(__xludf.DUMMYFUNCTION("""COMPUTED_VALUE"""),"Gucci Nava")</f>
        <v>Gucci Nava</v>
      </c>
      <c r="W2905" s="1" t="str">
        <f>IFERROR(__xludf.DUMMYFUNCTION("""COMPUTED_VALUE"""),"Print Support PH")</f>
        <v>Print Support PH</v>
      </c>
    </row>
    <row r="2906">
      <c r="O2906" s="1" t="str">
        <f>IFERROR(__xludf.DUMMYFUNCTION("""COMPUTED_VALUE"""),"2026 Apr")</f>
        <v>2026 Apr</v>
      </c>
      <c r="P2906" s="1" t="str">
        <f>IFERROR(__xludf.DUMMYFUNCTION("""COMPUTED_VALUE"""),"Print Support")</f>
        <v>Print Support</v>
      </c>
      <c r="Q2906" s="1" t="str">
        <f>IFERROR(__xludf.DUMMYFUNCTION("""COMPUTED_VALUE"""),"loise@canva.com")</f>
        <v>loise@canva.com</v>
      </c>
      <c r="R2906" s="1" t="str">
        <f>IFERROR(__xludf.DUMMYFUNCTION("""COMPUTED_VALUE"""),"Loise Dela Cruz")</f>
        <v>Loise Dela Cruz</v>
      </c>
      <c r="S2906" s="1"/>
      <c r="T2906" s="1">
        <f>IFERROR(__xludf.DUMMYFUNCTION("""COMPUTED_VALUE"""),27.0)</f>
        <v>27</v>
      </c>
      <c r="U2906" s="2">
        <f>IFERROR(__xludf.DUMMYFUNCTION("""COMPUTED_VALUE"""),27.0)</f>
        <v>27</v>
      </c>
      <c r="V2906" s="1" t="str">
        <f>IFERROR(__xludf.DUMMYFUNCTION("""COMPUTED_VALUE"""),"Aliza Dote")</f>
        <v>Aliza Dote</v>
      </c>
      <c r="W2906" s="1" t="str">
        <f>IFERROR(__xludf.DUMMYFUNCTION("""COMPUTED_VALUE"""),"Print Design Support")</f>
        <v>Print Design Support</v>
      </c>
    </row>
    <row r="2907">
      <c r="O2907" s="1" t="str">
        <f>IFERROR(__xludf.DUMMYFUNCTION("""COMPUTED_VALUE"""),"2026 Apr")</f>
        <v>2026 Apr</v>
      </c>
      <c r="P2907" s="1" t="str">
        <f>IFERROR(__xludf.DUMMYFUNCTION("""COMPUTED_VALUE"""),"Core Product Support")</f>
        <v>Core Product Support</v>
      </c>
      <c r="Q2907" s="1" t="str">
        <f>IFERROR(__xludf.DUMMYFUNCTION("""COMPUTED_VALUE"""),"loudv@canva.com")</f>
        <v>loudv@canva.com</v>
      </c>
      <c r="R2907" s="1" t="str">
        <f>IFERROR(__xludf.DUMMYFUNCTION("""COMPUTED_VALUE"""),"Louieline Dela Vega")</f>
        <v>Louieline Dela Vega</v>
      </c>
      <c r="S2907" s="1"/>
      <c r="T2907" s="1">
        <f>IFERROR(__xludf.DUMMYFUNCTION("""COMPUTED_VALUE"""),1.5)</f>
        <v>1.5</v>
      </c>
      <c r="U2907" s="2">
        <f>IFERROR(__xludf.DUMMYFUNCTION("""COMPUTED_VALUE"""),1.5)</f>
        <v>1.5</v>
      </c>
      <c r="V2907" s="1" t="str">
        <f>IFERROR(__xludf.DUMMYFUNCTION("""COMPUTED_VALUE"""),"Jahmie Mae Barrameda")</f>
        <v>Jahmie Mae Barrameda</v>
      </c>
      <c r="W2907" s="1" t="str">
        <f>IFERROR(__xludf.DUMMYFUNCTION("""COMPUTED_VALUE"""),"Advanced Billing &amp; Subscriptions")</f>
        <v>Advanced Billing &amp; Subscriptions</v>
      </c>
    </row>
    <row r="2908">
      <c r="O2908" s="1" t="str">
        <f>IFERROR(__xludf.DUMMYFUNCTION("""COMPUTED_VALUE"""),"2026 Apr")</f>
        <v>2026 Apr</v>
      </c>
      <c r="P2908" s="1" t="str">
        <f>IFERROR(__xludf.DUMMYFUNCTION("""COMPUTED_VALUE"""),"Core Product Support")</f>
        <v>Core Product Support</v>
      </c>
      <c r="Q2908" s="1" t="str">
        <f>IFERROR(__xludf.DUMMYFUNCTION("""COMPUTED_VALUE"""),"lovejoyce@canva.com")</f>
        <v>lovejoyce@canva.com</v>
      </c>
      <c r="R2908" s="1" t="str">
        <f>IFERROR(__xludf.DUMMYFUNCTION("""COMPUTED_VALUE"""),"Love Joyce Pasagui")</f>
        <v>Love Joyce Pasagui</v>
      </c>
      <c r="S2908" s="1">
        <f>IFERROR(__xludf.DUMMYFUNCTION("""COMPUTED_VALUE"""),0.5)</f>
        <v>0.5</v>
      </c>
      <c r="T2908" s="1">
        <f>IFERROR(__xludf.DUMMYFUNCTION("""COMPUTED_VALUE"""),3.5)</f>
        <v>3.5</v>
      </c>
      <c r="U2908" s="2">
        <f>IFERROR(__xludf.DUMMYFUNCTION("""COMPUTED_VALUE"""),4.0)</f>
        <v>4</v>
      </c>
      <c r="V2908" s="1" t="str">
        <f>IFERROR(__xludf.DUMMYFUNCTION("""COMPUTED_VALUE"""),"Jelyn Elmido")</f>
        <v>Jelyn Elmido</v>
      </c>
      <c r="W2908" s="1" t="str">
        <f>IFERROR(__xludf.DUMMYFUNCTION("""COMPUTED_VALUE"""),"Core Product Support Escalation Team")</f>
        <v>Core Product Support Escalation Team</v>
      </c>
    </row>
    <row r="2909">
      <c r="O2909" s="1" t="str">
        <f>IFERROR(__xludf.DUMMYFUNCTION("""COMPUTED_VALUE"""),"2026 Apr")</f>
        <v>2026 Apr</v>
      </c>
      <c r="P2909" s="1" t="str">
        <f>IFERROR(__xludf.DUMMYFUNCTION("""COMPUTED_VALUE"""),"Print Support")</f>
        <v>Print Support</v>
      </c>
      <c r="Q2909" s="1" t="str">
        <f>IFERROR(__xludf.DUMMYFUNCTION("""COMPUTED_VALUE"""),"rlsalomia@canva.com")</f>
        <v>rlsalomia@canva.com</v>
      </c>
      <c r="R2909" s="1" t="str">
        <f>IFERROR(__xludf.DUMMYFUNCTION("""COMPUTED_VALUE"""),"Luis Salomia")</f>
        <v>Luis Salomia</v>
      </c>
      <c r="S2909" s="1"/>
      <c r="T2909" s="1"/>
      <c r="U2909" s="2">
        <f>IFERROR(__xludf.DUMMYFUNCTION("""COMPUTED_VALUE"""),0.0)</f>
        <v>0</v>
      </c>
      <c r="V2909" s="1" t="str">
        <f>IFERROR(__xludf.DUMMYFUNCTION("""COMPUTED_VALUE"""),"Louise Dianne Estrella")</f>
        <v>Louise Dianne Estrella</v>
      </c>
      <c r="W2909" s="1" t="str">
        <f>IFERROR(__xludf.DUMMYFUNCTION("""COMPUTED_VALUE"""),"Print Support PH")</f>
        <v>Print Support PH</v>
      </c>
    </row>
    <row r="2910">
      <c r="O2910" s="1" t="str">
        <f>IFERROR(__xludf.DUMMYFUNCTION("""COMPUTED_VALUE"""),"2026 Apr")</f>
        <v>2026 Apr</v>
      </c>
      <c r="P2910" s="1" t="str">
        <f>IFERROR(__xludf.DUMMYFUNCTION("""COMPUTED_VALUE"""),"Admin Support")</f>
        <v>Admin Support</v>
      </c>
      <c r="Q2910" s="1" t="str">
        <f>IFERROR(__xludf.DUMMYFUNCTION("""COMPUTED_VALUE"""),"lyzdr@canva.com")</f>
        <v>lyzdr@canva.com</v>
      </c>
      <c r="R2910" s="1" t="str">
        <f>IFERROR(__xludf.DUMMYFUNCTION("""COMPUTED_VALUE"""),"Lyzza Del Rosario")</f>
        <v>Lyzza Del Rosario</v>
      </c>
      <c r="S2910" s="1"/>
      <c r="T2910" s="1">
        <f>IFERROR(__xludf.DUMMYFUNCTION("""COMPUTED_VALUE"""),1.0)</f>
        <v>1</v>
      </c>
      <c r="U2910" s="2">
        <f>IFERROR(__xludf.DUMMYFUNCTION("""COMPUTED_VALUE"""),1.0)</f>
        <v>1</v>
      </c>
      <c r="V2910" s="1" t="str">
        <f>IFERROR(__xludf.DUMMYFUNCTION("""COMPUTED_VALUE"""),"Ann Dumlao")</f>
        <v>Ann Dumlao</v>
      </c>
      <c r="W2910" s="1" t="str">
        <f>IFERROR(__xludf.DUMMYFUNCTION("""COMPUTED_VALUE"""),"Admin Omni Support")</f>
        <v>Admin Omni Support</v>
      </c>
    </row>
    <row r="2911">
      <c r="O2911" s="1" t="str">
        <f>IFERROR(__xludf.DUMMYFUNCTION("""COMPUTED_VALUE"""),"2026 Apr")</f>
        <v>2026 Apr</v>
      </c>
      <c r="P2911" s="1" t="str">
        <f>IFERROR(__xludf.DUMMYFUNCTION("""COMPUTED_VALUE"""),"Admin Support")</f>
        <v>Admin Support</v>
      </c>
      <c r="Q2911" s="1" t="str">
        <f>IFERROR(__xludf.DUMMYFUNCTION("""COMPUTED_VALUE"""),"mac@canva.com")</f>
        <v>mac@canva.com</v>
      </c>
      <c r="R2911" s="1" t="str">
        <f>IFERROR(__xludf.DUMMYFUNCTION("""COMPUTED_VALUE"""),"Mac Mendoza")</f>
        <v>Mac Mendoza</v>
      </c>
      <c r="S2911" s="1"/>
      <c r="T2911" s="1">
        <f>IFERROR(__xludf.DUMMYFUNCTION("""COMPUTED_VALUE"""),1.25)</f>
        <v>1.25</v>
      </c>
      <c r="U2911" s="2">
        <f>IFERROR(__xludf.DUMMYFUNCTION("""COMPUTED_VALUE"""),1.25)</f>
        <v>1.25</v>
      </c>
      <c r="V2911" s="1" t="str">
        <f>IFERROR(__xludf.DUMMYFUNCTION("""COMPUTED_VALUE"""),"Ann Dumlao")</f>
        <v>Ann Dumlao</v>
      </c>
      <c r="W2911" s="1" t="str">
        <f>IFERROR(__xludf.DUMMYFUNCTION("""COMPUTED_VALUE"""),"Admin Omni Support")</f>
        <v>Admin Omni Support</v>
      </c>
    </row>
    <row r="2912">
      <c r="O2912" s="1" t="str">
        <f>IFERROR(__xludf.DUMMYFUNCTION("""COMPUTED_VALUE"""),"2026 Apr")</f>
        <v>2026 Apr</v>
      </c>
      <c r="P2912" s="1" t="str">
        <f>IFERROR(__xludf.DUMMYFUNCTION("""COMPUTED_VALUE"""),"High Sensitivity Support")</f>
        <v>High Sensitivity Support</v>
      </c>
      <c r="Q2912" s="1" t="str">
        <f>IFERROR(__xludf.DUMMYFUNCTION("""COMPUTED_VALUE"""),"macie@canva.com")</f>
        <v>macie@canva.com</v>
      </c>
      <c r="R2912" s="1" t="str">
        <f>IFERROR(__xludf.DUMMYFUNCTION("""COMPUTED_VALUE"""),"Macie del Mundo")</f>
        <v>Macie del Mundo</v>
      </c>
      <c r="S2912" s="1"/>
      <c r="T2912" s="1"/>
      <c r="U2912" s="2">
        <f>IFERROR(__xludf.DUMMYFUNCTION("""COMPUTED_VALUE"""),0.0)</f>
        <v>0</v>
      </c>
      <c r="V2912" s="1" t="str">
        <f>IFERROR(__xludf.DUMMYFUNCTION("""COMPUTED_VALUE"""),"Rossheen Pura")</f>
        <v>Rossheen Pura</v>
      </c>
      <c r="W2912" s="1" t="str">
        <f>IFERROR(__xludf.DUMMYFUNCTION("""COMPUTED_VALUE"""),"High Sensitivity Support PH")</f>
        <v>High Sensitivity Support PH</v>
      </c>
    </row>
    <row r="2913">
      <c r="O2913" s="1" t="str">
        <f>IFERROR(__xludf.DUMMYFUNCTION("""COMPUTED_VALUE"""),"2026 Apr")</f>
        <v>2026 Apr</v>
      </c>
      <c r="P2913" s="1" t="str">
        <f>IFERROR(__xludf.DUMMYFUNCTION("""COMPUTED_VALUE"""),"Core Product Support")</f>
        <v>Core Product Support</v>
      </c>
      <c r="Q2913" s="1" t="str">
        <f>IFERROR(__xludf.DUMMYFUNCTION("""COMPUTED_VALUE"""),"mackievitacion@canva.com")</f>
        <v>mackievitacion@canva.com</v>
      </c>
      <c r="R2913" s="1" t="str">
        <f>IFERROR(__xludf.DUMMYFUNCTION("""COMPUTED_VALUE"""),"Mackie Vitacion")</f>
        <v>Mackie Vitacion</v>
      </c>
      <c r="S2913" s="1">
        <f>IFERROR(__xludf.DUMMYFUNCTION("""COMPUTED_VALUE"""),1.0)</f>
        <v>1</v>
      </c>
      <c r="T2913" s="1">
        <f>IFERROR(__xludf.DUMMYFUNCTION("""COMPUTED_VALUE"""),2.0)</f>
        <v>2</v>
      </c>
      <c r="U2913" s="2">
        <f>IFERROR(__xludf.DUMMYFUNCTION("""COMPUTED_VALUE"""),3.0)</f>
        <v>3</v>
      </c>
      <c r="V2913" s="1" t="str">
        <f>IFERROR(__xludf.DUMMYFUNCTION("""COMPUTED_VALUE"""),"Vinz Lazaro")</f>
        <v>Vinz Lazaro</v>
      </c>
      <c r="W2913" s="1" t="str">
        <f>IFERROR(__xludf.DUMMYFUNCTION("""COMPUTED_VALUE"""),"Advanced Product Support")</f>
        <v>Advanced Product Support</v>
      </c>
    </row>
    <row r="2914">
      <c r="O2914" s="1" t="str">
        <f>IFERROR(__xludf.DUMMYFUNCTION("""COMPUTED_VALUE"""),"2026 Apr")</f>
        <v>2026 Apr</v>
      </c>
      <c r="P2914" s="1" t="str">
        <f>IFERROR(__xludf.DUMMYFUNCTION("""COMPUTED_VALUE"""),"High Sensitivity Support")</f>
        <v>High Sensitivity Support</v>
      </c>
      <c r="Q2914" s="1" t="str">
        <f>IFERROR(__xludf.DUMMYFUNCTION("""COMPUTED_VALUE"""),"mariav@canva.com")</f>
        <v>mariav@canva.com</v>
      </c>
      <c r="R2914" s="1" t="str">
        <f>IFERROR(__xludf.DUMMYFUNCTION("""COMPUTED_VALUE"""),"Maria Vergara")</f>
        <v>Maria Vergara</v>
      </c>
      <c r="S2914" s="1"/>
      <c r="T2914" s="1">
        <f>IFERROR(__xludf.DUMMYFUNCTION("""COMPUTED_VALUE"""),2.0)</f>
        <v>2</v>
      </c>
      <c r="U2914" s="2">
        <f>IFERROR(__xludf.DUMMYFUNCTION("""COMPUTED_VALUE"""),2.0)</f>
        <v>2</v>
      </c>
      <c r="V2914" s="1" t="str">
        <f>IFERROR(__xludf.DUMMYFUNCTION("""COMPUTED_VALUE"""),"Xandy Azarcon")</f>
        <v>Xandy Azarcon</v>
      </c>
      <c r="W2914" s="1" t="str">
        <f>IFERROR(__xludf.DUMMYFUNCTION("""COMPUTED_VALUE"""),"High Sensitivity Support PH")</f>
        <v>High Sensitivity Support PH</v>
      </c>
    </row>
    <row r="2915">
      <c r="O2915" s="1" t="str">
        <f>IFERROR(__xludf.DUMMYFUNCTION("""COMPUTED_VALUE"""),"2026 Apr")</f>
        <v>2026 Apr</v>
      </c>
      <c r="P2915" s="1" t="str">
        <f>IFERROR(__xludf.DUMMYFUNCTION("""COMPUTED_VALUE"""),"Print Support")</f>
        <v>Print Support</v>
      </c>
      <c r="Q2915" s="1" t="str">
        <f>IFERROR(__xludf.DUMMYFUNCTION("""COMPUTED_VALUE"""),"marieson@canva.com")</f>
        <v>marieson@canva.com</v>
      </c>
      <c r="R2915" s="1" t="str">
        <f>IFERROR(__xludf.DUMMYFUNCTION("""COMPUTED_VALUE"""),"Marieson Libunao")</f>
        <v>Marieson Libunao</v>
      </c>
      <c r="S2915" s="1"/>
      <c r="T2915" s="1"/>
      <c r="U2915" s="2">
        <f>IFERROR(__xludf.DUMMYFUNCTION("""COMPUTED_VALUE"""),0.0)</f>
        <v>0</v>
      </c>
      <c r="V2915" s="1" t="str">
        <f>IFERROR(__xludf.DUMMYFUNCTION("""COMPUTED_VALUE"""),"Althea Mercado")</f>
        <v>Althea Mercado</v>
      </c>
      <c r="W2915" s="1" t="str">
        <f>IFERROR(__xludf.DUMMYFUNCTION("""COMPUTED_VALUE"""),"Print Support PH")</f>
        <v>Print Support PH</v>
      </c>
    </row>
    <row r="2916">
      <c r="O2916" s="1" t="str">
        <f>IFERROR(__xludf.DUMMYFUNCTION("""COMPUTED_VALUE"""),"2026 Apr")</f>
        <v>2026 Apr</v>
      </c>
      <c r="P2916" s="1" t="str">
        <f>IFERROR(__xludf.DUMMYFUNCTION("""COMPUTED_VALUE"""),"Core Product Support")</f>
        <v>Core Product Support</v>
      </c>
      <c r="Q2916" s="1" t="str">
        <f>IFERROR(__xludf.DUMMYFUNCTION("""COMPUTED_VALUE"""),"mariz@canva.com")</f>
        <v>mariz@canva.com</v>
      </c>
      <c r="R2916" s="1" t="str">
        <f>IFERROR(__xludf.DUMMYFUNCTION("""COMPUTED_VALUE"""),"Mariz Gain")</f>
        <v>Mariz Gain</v>
      </c>
      <c r="S2916" s="1">
        <f>IFERROR(__xludf.DUMMYFUNCTION("""COMPUTED_VALUE"""),1.0)</f>
        <v>1</v>
      </c>
      <c r="T2916" s="1">
        <f>IFERROR(__xludf.DUMMYFUNCTION("""COMPUTED_VALUE"""),2.5)</f>
        <v>2.5</v>
      </c>
      <c r="U2916" s="2">
        <f>IFERROR(__xludf.DUMMYFUNCTION("""COMPUTED_VALUE"""),3.5)</f>
        <v>3.5</v>
      </c>
      <c r="V2916" s="1" t="str">
        <f>IFERROR(__xludf.DUMMYFUNCTION("""COMPUTED_VALUE"""),"Ana Lazaro")</f>
        <v>Ana Lazaro</v>
      </c>
      <c r="W2916" s="1" t="str">
        <f>IFERROR(__xludf.DUMMYFUNCTION("""COMPUTED_VALUE"""),"Advanced Billing &amp; Subscriptions")</f>
        <v>Advanced Billing &amp; Subscriptions</v>
      </c>
    </row>
    <row r="2917">
      <c r="O2917" s="1" t="str">
        <f>IFERROR(__xludf.DUMMYFUNCTION("""COMPUTED_VALUE"""),"2026 Apr")</f>
        <v>2026 Apr</v>
      </c>
      <c r="P2917" s="1" t="str">
        <f>IFERROR(__xludf.DUMMYFUNCTION("""COMPUTED_VALUE"""),"Print Support")</f>
        <v>Print Support</v>
      </c>
      <c r="Q2917" s="1" t="str">
        <f>IFERROR(__xludf.DUMMYFUNCTION("""COMPUTED_VALUE"""),"mpalermo@canva.com")</f>
        <v>mpalermo@canva.com</v>
      </c>
      <c r="R2917" s="1" t="str">
        <f>IFERROR(__xludf.DUMMYFUNCTION("""COMPUTED_VALUE"""),"Marjorie Tsao")</f>
        <v>Marjorie Tsao</v>
      </c>
      <c r="S2917" s="1"/>
      <c r="T2917" s="1"/>
      <c r="U2917" s="2">
        <f>IFERROR(__xludf.DUMMYFUNCTION("""COMPUTED_VALUE"""),0.0)</f>
        <v>0</v>
      </c>
      <c r="V2917" s="1" t="str">
        <f>IFERROR(__xludf.DUMMYFUNCTION("""COMPUTED_VALUE"""),"Louise Dianne Estrella")</f>
        <v>Louise Dianne Estrella</v>
      </c>
      <c r="W2917" s="1" t="str">
        <f>IFERROR(__xludf.DUMMYFUNCTION("""COMPUTED_VALUE"""),"Print Support PH")</f>
        <v>Print Support PH</v>
      </c>
    </row>
    <row r="2918">
      <c r="O2918" s="1" t="str">
        <f>IFERROR(__xludf.DUMMYFUNCTION("""COMPUTED_VALUE"""),"2026 Apr")</f>
        <v>2026 Apr</v>
      </c>
      <c r="P2918" s="1" t="str">
        <f>IFERROR(__xludf.DUMMYFUNCTION("""COMPUTED_VALUE"""),"High Sensitivity Support")</f>
        <v>High Sensitivity Support</v>
      </c>
      <c r="Q2918" s="1" t="str">
        <f>IFERROR(__xludf.DUMMYFUNCTION("""COMPUTED_VALUE"""),"mayann@canva.com")</f>
        <v>mayann@canva.com</v>
      </c>
      <c r="R2918" s="1" t="str">
        <f>IFERROR(__xludf.DUMMYFUNCTION("""COMPUTED_VALUE"""),"May Ann Caguioa")</f>
        <v>May Ann Caguioa</v>
      </c>
      <c r="S2918" s="1"/>
      <c r="T2918" s="1">
        <f>IFERROR(__xludf.DUMMYFUNCTION("""COMPUTED_VALUE"""),2.0)</f>
        <v>2</v>
      </c>
      <c r="U2918" s="2">
        <f>IFERROR(__xludf.DUMMYFUNCTION("""COMPUTED_VALUE"""),2.0)</f>
        <v>2</v>
      </c>
      <c r="V2918" s="1" t="str">
        <f>IFERROR(__xludf.DUMMYFUNCTION("""COMPUTED_VALUE"""),"Rossheen Pura")</f>
        <v>Rossheen Pura</v>
      </c>
      <c r="W2918" s="1" t="str">
        <f>IFERROR(__xludf.DUMMYFUNCTION("""COMPUTED_VALUE"""),"High Sensitivity Support PH")</f>
        <v>High Sensitivity Support PH</v>
      </c>
    </row>
    <row r="2919">
      <c r="O2919" s="1" t="str">
        <f>IFERROR(__xludf.DUMMYFUNCTION("""COMPUTED_VALUE"""),"2026 Apr")</f>
        <v>2026 Apr</v>
      </c>
      <c r="P2919" s="1" t="str">
        <f>IFERROR(__xludf.DUMMYFUNCTION("""COMPUTED_VALUE"""),"Core Product Support")</f>
        <v>Core Product Support</v>
      </c>
      <c r="Q2919" s="1" t="str">
        <f>IFERROR(__xludf.DUMMYFUNCTION("""COMPUTED_VALUE"""),"mccoyc@canva.com")</f>
        <v>mccoyc@canva.com</v>
      </c>
      <c r="R2919" s="1" t="str">
        <f>IFERROR(__xludf.DUMMYFUNCTION("""COMPUTED_VALUE"""),"McCoy Cacanindin")</f>
        <v>McCoy Cacanindin</v>
      </c>
      <c r="S2919" s="1">
        <f>IFERROR(__xludf.DUMMYFUNCTION("""COMPUTED_VALUE"""),0.5)</f>
        <v>0.5</v>
      </c>
      <c r="T2919" s="1">
        <f>IFERROR(__xludf.DUMMYFUNCTION("""COMPUTED_VALUE"""),1.5)</f>
        <v>1.5</v>
      </c>
      <c r="U2919" s="2">
        <f>IFERROR(__xludf.DUMMYFUNCTION("""COMPUTED_VALUE"""),2.0)</f>
        <v>2</v>
      </c>
      <c r="V2919" s="1" t="str">
        <f>IFERROR(__xludf.DUMMYFUNCTION("""COMPUTED_VALUE"""),"Vinz Lazaro")</f>
        <v>Vinz Lazaro</v>
      </c>
      <c r="W2919" s="1" t="str">
        <f>IFERROR(__xludf.DUMMYFUNCTION("""COMPUTED_VALUE"""),"Advanced Product Support")</f>
        <v>Advanced Product Support</v>
      </c>
    </row>
    <row r="2920">
      <c r="O2920" s="1" t="str">
        <f>IFERROR(__xludf.DUMMYFUNCTION("""COMPUTED_VALUE"""),"2026 Apr")</f>
        <v>2026 Apr</v>
      </c>
      <c r="P2920" s="1" t="str">
        <f>IFERROR(__xludf.DUMMYFUNCTION("""COMPUTED_VALUE"""),"High Sensitivity Support")</f>
        <v>High Sensitivity Support</v>
      </c>
      <c r="Q2920" s="1" t="str">
        <f>IFERROR(__xludf.DUMMYFUNCTION("""COMPUTED_VALUE"""),"mlabio@canva.com")</f>
        <v>mlabio@canva.com</v>
      </c>
      <c r="R2920" s="1" t="str">
        <f>IFERROR(__xludf.DUMMYFUNCTION("""COMPUTED_VALUE"""),"Melanie Labio")</f>
        <v>Melanie Labio</v>
      </c>
      <c r="S2920" s="1"/>
      <c r="T2920" s="1">
        <f>IFERROR(__xludf.DUMMYFUNCTION("""COMPUTED_VALUE"""),2.0)</f>
        <v>2</v>
      </c>
      <c r="U2920" s="2">
        <f>IFERROR(__xludf.DUMMYFUNCTION("""COMPUTED_VALUE"""),2.0)</f>
        <v>2</v>
      </c>
      <c r="V2920" s="1" t="str">
        <f>IFERROR(__xludf.DUMMYFUNCTION("""COMPUTED_VALUE"""),"Xandy Azarcon")</f>
        <v>Xandy Azarcon</v>
      </c>
      <c r="W2920" s="1" t="str">
        <f>IFERROR(__xludf.DUMMYFUNCTION("""COMPUTED_VALUE"""),"High Sensitivity Support PH")</f>
        <v>High Sensitivity Support PH</v>
      </c>
    </row>
    <row r="2921">
      <c r="O2921" s="1" t="str">
        <f>IFERROR(__xludf.DUMMYFUNCTION("""COMPUTED_VALUE"""),"2026 Apr")</f>
        <v>2026 Apr</v>
      </c>
      <c r="P2921" s="1" t="str">
        <f>IFERROR(__xludf.DUMMYFUNCTION("""COMPUTED_VALUE"""),"Admin Support")</f>
        <v>Admin Support</v>
      </c>
      <c r="Q2921" s="1" t="str">
        <f>IFERROR(__xludf.DUMMYFUNCTION("""COMPUTED_VALUE"""),"mmicah@canva.com")</f>
        <v>mmicah@canva.com</v>
      </c>
      <c r="R2921" s="1" t="str">
        <f>IFERROR(__xludf.DUMMYFUNCTION("""COMPUTED_VALUE"""),"Micah Geneviv Marcos")</f>
        <v>Micah Geneviv Marcos</v>
      </c>
      <c r="S2921" s="1"/>
      <c r="T2921" s="1"/>
      <c r="U2921" s="2">
        <f>IFERROR(__xludf.DUMMYFUNCTION("""COMPUTED_VALUE"""),0.0)</f>
        <v>0</v>
      </c>
      <c r="V2921" s="1" t="str">
        <f>IFERROR(__xludf.DUMMYFUNCTION("""COMPUTED_VALUE"""),"Karla Mananghaya")</f>
        <v>Karla Mananghaya</v>
      </c>
      <c r="W2921" s="1" t="str">
        <f>IFERROR(__xludf.DUMMYFUNCTION("""COMPUTED_VALUE"""),"Admin Support Service Escalation Team")</f>
        <v>Admin Support Service Escalation Team</v>
      </c>
    </row>
    <row r="2922">
      <c r="O2922" s="1" t="str">
        <f>IFERROR(__xludf.DUMMYFUNCTION("""COMPUTED_VALUE"""),"2026 Apr")</f>
        <v>2026 Apr</v>
      </c>
      <c r="P2922" s="1" t="str">
        <f>IFERROR(__xludf.DUMMYFUNCTION("""COMPUTED_VALUE"""),"Core Product Support")</f>
        <v>Core Product Support</v>
      </c>
      <c r="Q2922" s="1" t="str">
        <f>IFERROR(__xludf.DUMMYFUNCTION("""COMPUTED_VALUE"""),"nas@canva.com")</f>
        <v>nas@canva.com</v>
      </c>
      <c r="R2922" s="1" t="str">
        <f>IFERROR(__xludf.DUMMYFUNCTION("""COMPUTED_VALUE"""),"Miggy De Vibar")</f>
        <v>Miggy De Vibar</v>
      </c>
      <c r="S2922" s="1">
        <f>IFERROR(__xludf.DUMMYFUNCTION("""COMPUTED_VALUE"""),1.0)</f>
        <v>1</v>
      </c>
      <c r="T2922" s="1">
        <f>IFERROR(__xludf.DUMMYFUNCTION("""COMPUTED_VALUE"""),2.0)</f>
        <v>2</v>
      </c>
      <c r="U2922" s="2">
        <f>IFERROR(__xludf.DUMMYFUNCTION("""COMPUTED_VALUE"""),3.0)</f>
        <v>3</v>
      </c>
      <c r="V2922" s="1" t="str">
        <f>IFERROR(__xludf.DUMMYFUNCTION("""COMPUTED_VALUE"""),"Belle Bentazal")</f>
        <v>Belle Bentazal</v>
      </c>
      <c r="W2922" s="1" t="str">
        <f>IFERROR(__xludf.DUMMYFUNCTION("""COMPUTED_VALUE"""),"Advanced Product Support")</f>
        <v>Advanced Product Support</v>
      </c>
    </row>
    <row r="2923">
      <c r="O2923" s="1" t="str">
        <f>IFERROR(__xludf.DUMMYFUNCTION("""COMPUTED_VALUE"""),"2026 Apr")</f>
        <v>2026 Apr</v>
      </c>
      <c r="P2923" s="1" t="str">
        <f>IFERROR(__xludf.DUMMYFUNCTION("""COMPUTED_VALUE"""),"Core Product Support")</f>
        <v>Core Product Support</v>
      </c>
      <c r="Q2923" s="1" t="str">
        <f>IFERROR(__xludf.DUMMYFUNCTION("""COMPUTED_VALUE"""),"mika@canva.com")</f>
        <v>mika@canva.com</v>
      </c>
      <c r="R2923" s="1" t="str">
        <f>IFERROR(__xludf.DUMMYFUNCTION("""COMPUTED_VALUE"""),"Mika Magpantay")</f>
        <v>Mika Magpantay</v>
      </c>
      <c r="S2923" s="1">
        <f>IFERROR(__xludf.DUMMYFUNCTION("""COMPUTED_VALUE"""),0.5)</f>
        <v>0.5</v>
      </c>
      <c r="T2923" s="1">
        <f>IFERROR(__xludf.DUMMYFUNCTION("""COMPUTED_VALUE"""),1.5)</f>
        <v>1.5</v>
      </c>
      <c r="U2923" s="2">
        <f>IFERROR(__xludf.DUMMYFUNCTION("""COMPUTED_VALUE"""),2.0)</f>
        <v>2</v>
      </c>
      <c r="V2923" s="1" t="str">
        <f>IFERROR(__xludf.DUMMYFUNCTION("""COMPUTED_VALUE"""),"Jem Mondoñedo")</f>
        <v>Jem Mondoñedo</v>
      </c>
      <c r="W2923" s="1" t="str">
        <f>IFERROR(__xludf.DUMMYFUNCTION("""COMPUTED_VALUE"""),"Advanced Billing &amp; Subscriptions")</f>
        <v>Advanced Billing &amp; Subscriptions</v>
      </c>
    </row>
    <row r="2924">
      <c r="O2924" s="1" t="str">
        <f>IFERROR(__xludf.DUMMYFUNCTION("""COMPUTED_VALUE"""),"2026 Apr")</f>
        <v>2026 Apr</v>
      </c>
      <c r="P2924" s="1" t="str">
        <f>IFERROR(__xludf.DUMMYFUNCTION("""COMPUTED_VALUE"""),"Core Product Support")</f>
        <v>Core Product Support</v>
      </c>
      <c r="Q2924" s="1" t="str">
        <f>IFERROR(__xludf.DUMMYFUNCTION("""COMPUTED_VALUE"""),"mirielle@canva.com")</f>
        <v>mirielle@canva.com</v>
      </c>
      <c r="R2924" s="1" t="str">
        <f>IFERROR(__xludf.DUMMYFUNCTION("""COMPUTED_VALUE"""),"Mirielle Frances de Lara")</f>
        <v>Mirielle Frances de Lara</v>
      </c>
      <c r="S2924" s="1">
        <f>IFERROR(__xludf.DUMMYFUNCTION("""COMPUTED_VALUE"""),1.0)</f>
        <v>1</v>
      </c>
      <c r="T2924" s="1">
        <f>IFERROR(__xludf.DUMMYFUNCTION("""COMPUTED_VALUE"""),2.0)</f>
        <v>2</v>
      </c>
      <c r="U2924" s="2">
        <f>IFERROR(__xludf.DUMMYFUNCTION("""COMPUTED_VALUE"""),3.0)</f>
        <v>3</v>
      </c>
      <c r="V2924" s="1" t="str">
        <f>IFERROR(__xludf.DUMMYFUNCTION("""COMPUTED_VALUE"""),"Belle Bentazal")</f>
        <v>Belle Bentazal</v>
      </c>
      <c r="W2924" s="1" t="str">
        <f>IFERROR(__xludf.DUMMYFUNCTION("""COMPUTED_VALUE"""),"Advanced Product Support")</f>
        <v>Advanced Product Support</v>
      </c>
    </row>
    <row r="2925">
      <c r="O2925" s="1" t="str">
        <f>IFERROR(__xludf.DUMMYFUNCTION("""COMPUTED_VALUE"""),"2026 Apr")</f>
        <v>2026 Apr</v>
      </c>
      <c r="P2925" s="1" t="str">
        <f>IFERROR(__xludf.DUMMYFUNCTION("""COMPUTED_VALUE"""),"Admin Support")</f>
        <v>Admin Support</v>
      </c>
      <c r="Q2925" s="1" t="str">
        <f>IFERROR(__xludf.DUMMYFUNCTION("""COMPUTED_VALUE"""),"mjb@canva.com")</f>
        <v>mjb@canva.com</v>
      </c>
      <c r="R2925" s="1" t="str">
        <f>IFERROR(__xludf.DUMMYFUNCTION("""COMPUTED_VALUE"""),"MJ Billon")</f>
        <v>MJ Billon</v>
      </c>
      <c r="S2925" s="1"/>
      <c r="T2925" s="1">
        <f>IFERROR(__xludf.DUMMYFUNCTION("""COMPUTED_VALUE"""),1.0)</f>
        <v>1</v>
      </c>
      <c r="U2925" s="2">
        <f>IFERROR(__xludf.DUMMYFUNCTION("""COMPUTED_VALUE"""),1.0)</f>
        <v>1</v>
      </c>
      <c r="V2925" s="1" t="str">
        <f>IFERROR(__xludf.DUMMYFUNCTION("""COMPUTED_VALUE"""),"Ann Dumlao")</f>
        <v>Ann Dumlao</v>
      </c>
      <c r="W2925" s="1" t="str">
        <f>IFERROR(__xludf.DUMMYFUNCTION("""COMPUTED_VALUE"""),"Admin Omni Support")</f>
        <v>Admin Omni Support</v>
      </c>
    </row>
    <row r="2926">
      <c r="O2926" s="1" t="str">
        <f>IFERROR(__xludf.DUMMYFUNCTION("""COMPUTED_VALUE"""),"2026 Apr")</f>
        <v>2026 Apr</v>
      </c>
      <c r="P2926" s="1" t="str">
        <f>IFERROR(__xludf.DUMMYFUNCTION("""COMPUTED_VALUE"""),"Segment-specific Support")</f>
        <v>Segment-specific Support</v>
      </c>
      <c r="Q2926" s="1" t="str">
        <f>IFERROR(__xludf.DUMMYFUNCTION("""COMPUTED_VALUE"""),"molli@canva.com")</f>
        <v>molli@canva.com</v>
      </c>
      <c r="R2926" s="1" t="str">
        <f>IFERROR(__xludf.DUMMYFUNCTION("""COMPUTED_VALUE"""),"MJ Sol")</f>
        <v>MJ Sol</v>
      </c>
      <c r="S2926" s="1"/>
      <c r="T2926" s="1"/>
      <c r="U2926" s="2">
        <f>IFERROR(__xludf.DUMMYFUNCTION("""COMPUTED_VALUE"""),0.0)</f>
        <v>0</v>
      </c>
      <c r="V2926" s="1" t="str">
        <f>IFERROR(__xludf.DUMMYFUNCTION("""COMPUTED_VALUE"""),"Aileen Dayanghirang")</f>
        <v>Aileen Dayanghirang</v>
      </c>
      <c r="W2926" s="1" t="str">
        <f>IFERROR(__xludf.DUMMYFUNCTION("""COMPUTED_VALUE"""),"Creators Support")</f>
        <v>Creators Support</v>
      </c>
    </row>
    <row r="2927">
      <c r="O2927" s="1" t="str">
        <f>IFERROR(__xludf.DUMMYFUNCTION("""COMPUTED_VALUE"""),"2026 Apr")</f>
        <v>2026 Apr</v>
      </c>
      <c r="P2927" s="1" t="str">
        <f>IFERROR(__xludf.DUMMYFUNCTION("""COMPUTED_VALUE"""),"Core Product Support")</f>
        <v>Core Product Support</v>
      </c>
      <c r="Q2927" s="1" t="str">
        <f>IFERROR(__xludf.DUMMYFUNCTION("""COMPUTED_VALUE"""),"raymondc@canva.com")</f>
        <v>raymondc@canva.com</v>
      </c>
      <c r="R2927" s="1" t="str">
        <f>IFERROR(__xludf.DUMMYFUNCTION("""COMPUTED_VALUE"""),"Mond Catimbang")</f>
        <v>Mond Catimbang</v>
      </c>
      <c r="S2927" s="1">
        <f>IFERROR(__xludf.DUMMYFUNCTION("""COMPUTED_VALUE"""),1.0)</f>
        <v>1</v>
      </c>
      <c r="T2927" s="1">
        <f>IFERROR(__xludf.DUMMYFUNCTION("""COMPUTED_VALUE"""),2.0)</f>
        <v>2</v>
      </c>
      <c r="U2927" s="2">
        <f>IFERROR(__xludf.DUMMYFUNCTION("""COMPUTED_VALUE"""),3.0)</f>
        <v>3</v>
      </c>
      <c r="V2927" s="1" t="str">
        <f>IFERROR(__xludf.DUMMYFUNCTION("""COMPUTED_VALUE"""),"Jem Mondoñedo")</f>
        <v>Jem Mondoñedo</v>
      </c>
      <c r="W2927" s="1" t="str">
        <f>IFERROR(__xludf.DUMMYFUNCTION("""COMPUTED_VALUE"""),"Advanced Billing &amp; Subscriptions")</f>
        <v>Advanced Billing &amp; Subscriptions</v>
      </c>
    </row>
    <row r="2928">
      <c r="O2928" s="1" t="str">
        <f>IFERROR(__xludf.DUMMYFUNCTION("""COMPUTED_VALUE"""),"2026 Apr")</f>
        <v>2026 Apr</v>
      </c>
      <c r="P2928" s="1" t="str">
        <f>IFERROR(__xludf.DUMMYFUNCTION("""COMPUTED_VALUE"""),"Core Product Support")</f>
        <v>Core Product Support</v>
      </c>
      <c r="Q2928" s="1" t="str">
        <f>IFERROR(__xludf.DUMMYFUNCTION("""COMPUTED_VALUE"""),"moxyarima@canva.com")</f>
        <v>moxyarima@canva.com</v>
      </c>
      <c r="R2928" s="1" t="str">
        <f>IFERROR(__xludf.DUMMYFUNCTION("""COMPUTED_VALUE"""),"Moxy Arima")</f>
        <v>Moxy Arima</v>
      </c>
      <c r="S2928" s="1"/>
      <c r="T2928" s="1">
        <f>IFERROR(__xludf.DUMMYFUNCTION("""COMPUTED_VALUE"""),0.5)</f>
        <v>0.5</v>
      </c>
      <c r="U2928" s="2">
        <f>IFERROR(__xludf.DUMMYFUNCTION("""COMPUTED_VALUE"""),0.5)</f>
        <v>0.5</v>
      </c>
      <c r="V2928" s="1" t="str">
        <f>IFERROR(__xludf.DUMMYFUNCTION("""COMPUTED_VALUE"""),"Jelyn Elmido")</f>
        <v>Jelyn Elmido</v>
      </c>
      <c r="W2928" s="1" t="str">
        <f>IFERROR(__xludf.DUMMYFUNCTION("""COMPUTED_VALUE"""),"Core Product Support Escalation Team")</f>
        <v>Core Product Support Escalation Team</v>
      </c>
    </row>
    <row r="2929">
      <c r="O2929" s="1" t="str">
        <f>IFERROR(__xludf.DUMMYFUNCTION("""COMPUTED_VALUE"""),"2026 Apr")</f>
        <v>2026 Apr</v>
      </c>
      <c r="P2929" s="1" t="str">
        <f>IFERROR(__xludf.DUMMYFUNCTION("""COMPUTED_VALUE"""),"Print Support")</f>
        <v>Print Support</v>
      </c>
      <c r="Q2929" s="1" t="str">
        <f>IFERROR(__xludf.DUMMYFUNCTION("""COMPUTED_VALUE"""),"natedc@canva.com")</f>
        <v>natedc@canva.com</v>
      </c>
      <c r="R2929" s="1" t="str">
        <f>IFERROR(__xludf.DUMMYFUNCTION("""COMPUTED_VALUE"""),"Nate De la Cruz")</f>
        <v>Nate De la Cruz</v>
      </c>
      <c r="S2929" s="1"/>
      <c r="T2929" s="1">
        <f>IFERROR(__xludf.DUMMYFUNCTION("""COMPUTED_VALUE"""),27.0)</f>
        <v>27</v>
      </c>
      <c r="U2929" s="2">
        <f>IFERROR(__xludf.DUMMYFUNCTION("""COMPUTED_VALUE"""),27.0)</f>
        <v>27</v>
      </c>
      <c r="V2929" s="1" t="str">
        <f>IFERROR(__xludf.DUMMYFUNCTION("""COMPUTED_VALUE"""),"Gem Agoncillo")</f>
        <v>Gem Agoncillo</v>
      </c>
      <c r="W2929" s="1" t="str">
        <f>IFERROR(__xludf.DUMMYFUNCTION("""COMPUTED_VALUE"""),"Print Design Support")</f>
        <v>Print Design Support</v>
      </c>
    </row>
    <row r="2930">
      <c r="O2930" s="1" t="str">
        <f>IFERROR(__xludf.DUMMYFUNCTION("""COMPUTED_VALUE"""),"2026 Apr")</f>
        <v>2026 Apr</v>
      </c>
      <c r="P2930" s="1" t="str">
        <f>IFERROR(__xludf.DUMMYFUNCTION("""COMPUTED_VALUE"""),"Admin Support")</f>
        <v>Admin Support</v>
      </c>
      <c r="Q2930" s="1" t="str">
        <f>IFERROR(__xludf.DUMMYFUNCTION("""COMPUTED_VALUE"""),"nsahagun@canva.com")</f>
        <v>nsahagun@canva.com</v>
      </c>
      <c r="R2930" s="1" t="str">
        <f>IFERROR(__xludf.DUMMYFUNCTION("""COMPUTED_VALUE"""),"Nathalie Sahagun")</f>
        <v>Nathalie Sahagun</v>
      </c>
      <c r="S2930" s="1"/>
      <c r="T2930" s="1"/>
      <c r="U2930" s="2">
        <f>IFERROR(__xludf.DUMMYFUNCTION("""COMPUTED_VALUE"""),0.0)</f>
        <v>0</v>
      </c>
      <c r="V2930" s="1" t="str">
        <f>IFERROR(__xludf.DUMMYFUNCTION("""COMPUTED_VALUE"""),"Nate Vela")</f>
        <v>Nate Vela</v>
      </c>
      <c r="W2930" s="1" t="str">
        <f>IFERROR(__xludf.DUMMYFUNCTION("""COMPUTED_VALUE"""),"Admin Support NA")</f>
        <v>Admin Support NA</v>
      </c>
    </row>
    <row r="2931">
      <c r="O2931" s="1" t="str">
        <f>IFERROR(__xludf.DUMMYFUNCTION("""COMPUTED_VALUE"""),"2026 Apr")</f>
        <v>2026 Apr</v>
      </c>
      <c r="P2931" s="1" t="str">
        <f>IFERROR(__xludf.DUMMYFUNCTION("""COMPUTED_VALUE"""),"Core Product Support")</f>
        <v>Core Product Support</v>
      </c>
      <c r="Q2931" s="1" t="str">
        <f>IFERROR(__xludf.DUMMYFUNCTION("""COMPUTED_VALUE"""),"neeki@canva.com")</f>
        <v>neeki@canva.com</v>
      </c>
      <c r="R2931" s="1" t="str">
        <f>IFERROR(__xludf.DUMMYFUNCTION("""COMPUTED_VALUE"""),"Neeki Asido")</f>
        <v>Neeki Asido</v>
      </c>
      <c r="S2931" s="1">
        <f>IFERROR(__xludf.DUMMYFUNCTION("""COMPUTED_VALUE"""),1.0)</f>
        <v>1</v>
      </c>
      <c r="T2931" s="1">
        <f>IFERROR(__xludf.DUMMYFUNCTION("""COMPUTED_VALUE"""),4.5)</f>
        <v>4.5</v>
      </c>
      <c r="U2931" s="2">
        <f>IFERROR(__xludf.DUMMYFUNCTION("""COMPUTED_VALUE"""),5.5)</f>
        <v>5.5</v>
      </c>
      <c r="V2931" s="1" t="str">
        <f>IFERROR(__xludf.DUMMYFUNCTION("""COMPUTED_VALUE"""),"Jelyn Elmido")</f>
        <v>Jelyn Elmido</v>
      </c>
      <c r="W2931" s="1" t="str">
        <f>IFERROR(__xludf.DUMMYFUNCTION("""COMPUTED_VALUE"""),"Core Product Support Escalation Team")</f>
        <v>Core Product Support Escalation Team</v>
      </c>
    </row>
    <row r="2932">
      <c r="O2932" s="1" t="str">
        <f>IFERROR(__xludf.DUMMYFUNCTION("""COMPUTED_VALUE"""),"2026 Apr")</f>
        <v>2026 Apr</v>
      </c>
      <c r="P2932" s="1" t="str">
        <f>IFERROR(__xludf.DUMMYFUNCTION("""COMPUTED_VALUE"""),"Core Product Support")</f>
        <v>Core Product Support</v>
      </c>
      <c r="Q2932" s="1" t="str">
        <f>IFERROR(__xludf.DUMMYFUNCTION("""COMPUTED_VALUE"""),"nicholeb@canva.com")</f>
        <v>nicholeb@canva.com</v>
      </c>
      <c r="R2932" s="1" t="str">
        <f>IFERROR(__xludf.DUMMYFUNCTION("""COMPUTED_VALUE"""),"Nichole Braceliño")</f>
        <v>Nichole Braceliño</v>
      </c>
      <c r="S2932" s="1">
        <f>IFERROR(__xludf.DUMMYFUNCTION("""COMPUTED_VALUE"""),1.0)</f>
        <v>1</v>
      </c>
      <c r="T2932" s="1">
        <f>IFERROR(__xludf.DUMMYFUNCTION("""COMPUTED_VALUE"""),2.0)</f>
        <v>2</v>
      </c>
      <c r="U2932" s="2">
        <f>IFERROR(__xludf.DUMMYFUNCTION("""COMPUTED_VALUE"""),3.0)</f>
        <v>3</v>
      </c>
      <c r="V2932" s="1" t="str">
        <f>IFERROR(__xludf.DUMMYFUNCTION("""COMPUTED_VALUE"""),"Renette Bok")</f>
        <v>Renette Bok</v>
      </c>
      <c r="W2932" s="1" t="str">
        <f>IFERROR(__xludf.DUMMYFUNCTION("""COMPUTED_VALUE"""),"Advanced Billing &amp; Subscriptions")</f>
        <v>Advanced Billing &amp; Subscriptions</v>
      </c>
    </row>
    <row r="2933">
      <c r="O2933" s="1" t="str">
        <f>IFERROR(__xludf.DUMMYFUNCTION("""COMPUTED_VALUE"""),"2026 Apr")</f>
        <v>2026 Apr</v>
      </c>
      <c r="P2933" s="1" t="str">
        <f>IFERROR(__xludf.DUMMYFUNCTION("""COMPUTED_VALUE"""),"High Sensitivity Support")</f>
        <v>High Sensitivity Support</v>
      </c>
      <c r="Q2933" s="1" t="str">
        <f>IFERROR(__xludf.DUMMYFUNCTION("""COMPUTED_VALUE"""),"ncruz@canva.com")</f>
        <v>ncruz@canva.com</v>
      </c>
      <c r="R2933" s="1" t="str">
        <f>IFERROR(__xludf.DUMMYFUNCTION("""COMPUTED_VALUE"""),"Nikki Cruz")</f>
        <v>Nikki Cruz</v>
      </c>
      <c r="S2933" s="1"/>
      <c r="T2933" s="1"/>
      <c r="U2933" s="2">
        <f>IFERROR(__xludf.DUMMYFUNCTION("""COMPUTED_VALUE"""),0.0)</f>
        <v>0</v>
      </c>
      <c r="V2933" s="1" t="str">
        <f>IFERROR(__xludf.DUMMYFUNCTION("""COMPUTED_VALUE"""),"Issi Afable")</f>
        <v>Issi Afable</v>
      </c>
      <c r="W2933" s="1" t="str">
        <f>IFERROR(__xludf.DUMMYFUNCTION("""COMPUTED_VALUE"""),"High Sensitivity Support PH")</f>
        <v>High Sensitivity Support PH</v>
      </c>
    </row>
    <row r="2934">
      <c r="O2934" s="1" t="str">
        <f>IFERROR(__xludf.DUMMYFUNCTION("""COMPUTED_VALUE"""),"2026 Apr")</f>
        <v>2026 Apr</v>
      </c>
      <c r="P2934" s="1" t="str">
        <f>IFERROR(__xludf.DUMMYFUNCTION("""COMPUTED_VALUE"""),"Print Support")</f>
        <v>Print Support</v>
      </c>
      <c r="Q2934" s="1" t="str">
        <f>IFERROR(__xludf.DUMMYFUNCTION("""COMPUTED_VALUE"""),"nonoimboy@canva.com")</f>
        <v>nonoimboy@canva.com</v>
      </c>
      <c r="R2934" s="1" t="str">
        <f>IFERROR(__xludf.DUMMYFUNCTION("""COMPUTED_VALUE"""),"Noel Imboy")</f>
        <v>Noel Imboy</v>
      </c>
      <c r="S2934" s="1"/>
      <c r="T2934" s="1">
        <f>IFERROR(__xludf.DUMMYFUNCTION("""COMPUTED_VALUE"""),45.0)</f>
        <v>45</v>
      </c>
      <c r="U2934" s="2">
        <f>IFERROR(__xludf.DUMMYFUNCTION("""COMPUTED_VALUE"""),45.0)</f>
        <v>45</v>
      </c>
      <c r="V2934" s="1" t="str">
        <f>IFERROR(__xludf.DUMMYFUNCTION("""COMPUTED_VALUE"""),"Gem Agoncillo")</f>
        <v>Gem Agoncillo</v>
      </c>
      <c r="W2934" s="1" t="str">
        <f>IFERROR(__xludf.DUMMYFUNCTION("""COMPUTED_VALUE"""),"Print Design Support")</f>
        <v>Print Design Support</v>
      </c>
    </row>
    <row r="2935">
      <c r="O2935" s="1" t="str">
        <f>IFERROR(__xludf.DUMMYFUNCTION("""COMPUTED_VALUE"""),"2026 Apr")</f>
        <v>2026 Apr</v>
      </c>
      <c r="P2935" s="1" t="str">
        <f>IFERROR(__xludf.DUMMYFUNCTION("""COMPUTED_VALUE"""),"Segment-specific Support")</f>
        <v>Segment-specific Support</v>
      </c>
      <c r="Q2935" s="1" t="str">
        <f>IFERROR(__xludf.DUMMYFUNCTION("""COMPUTED_VALUE"""),"pao@canva.com")</f>
        <v>pao@canva.com</v>
      </c>
      <c r="R2935" s="1" t="str">
        <f>IFERROR(__xludf.DUMMYFUNCTION("""COMPUTED_VALUE"""),"Pao Domanais")</f>
        <v>Pao Domanais</v>
      </c>
      <c r="S2935" s="1"/>
      <c r="T2935" s="1">
        <f>IFERROR(__xludf.DUMMYFUNCTION("""COMPUTED_VALUE"""),0.17)</f>
        <v>0.17</v>
      </c>
      <c r="U2935" s="2">
        <f>IFERROR(__xludf.DUMMYFUNCTION("""COMPUTED_VALUE"""),0.17)</f>
        <v>0.17</v>
      </c>
      <c r="V2935" s="1" t="str">
        <f>IFERROR(__xludf.DUMMYFUNCTION("""COMPUTED_VALUE"""),"Rose Gabilan")</f>
        <v>Rose Gabilan</v>
      </c>
      <c r="W2935" s="1" t="str">
        <f>IFERROR(__xludf.DUMMYFUNCTION("""COMPUTED_VALUE"""),"Print Support PH")</f>
        <v>Print Support PH</v>
      </c>
    </row>
    <row r="2936">
      <c r="O2936" s="1" t="str">
        <f>IFERROR(__xludf.DUMMYFUNCTION("""COMPUTED_VALUE"""),"2026 Apr")</f>
        <v>2026 Apr</v>
      </c>
      <c r="P2936" s="1" t="str">
        <f>IFERROR(__xludf.DUMMYFUNCTION("""COMPUTED_VALUE"""),"Print Support")</f>
        <v>Print Support</v>
      </c>
      <c r="Q2936" s="1" t="str">
        <f>IFERROR(__xludf.DUMMYFUNCTION("""COMPUTED_VALUE"""),"paolonati@canva.com")</f>
        <v>paolonati@canva.com</v>
      </c>
      <c r="R2936" s="1" t="str">
        <f>IFERROR(__xludf.DUMMYFUNCTION("""COMPUTED_VALUE"""),"Paolo Natividad")</f>
        <v>Paolo Natividad</v>
      </c>
      <c r="S2936" s="1"/>
      <c r="T2936" s="1"/>
      <c r="U2936" s="2">
        <f>IFERROR(__xludf.DUMMYFUNCTION("""COMPUTED_VALUE"""),0.0)</f>
        <v>0</v>
      </c>
      <c r="V2936" s="1" t="str">
        <f>IFERROR(__xludf.DUMMYFUNCTION("""COMPUTED_VALUE"""),"Rei De Jesus")</f>
        <v>Rei De Jesus</v>
      </c>
      <c r="W2936" s="1" t="str">
        <f>IFERROR(__xludf.DUMMYFUNCTION("""COMPUTED_VALUE"""),"Print Design Support")</f>
        <v>Print Design Support</v>
      </c>
    </row>
    <row r="2937">
      <c r="O2937" s="1" t="str">
        <f>IFERROR(__xludf.DUMMYFUNCTION("""COMPUTED_VALUE"""),"2026 Apr")</f>
        <v>2026 Apr</v>
      </c>
      <c r="P2937" s="1" t="str">
        <f>IFERROR(__xludf.DUMMYFUNCTION("""COMPUTED_VALUE"""),"Core Product Support")</f>
        <v>Core Product Support</v>
      </c>
      <c r="Q2937" s="1" t="str">
        <f>IFERROR(__xludf.DUMMYFUNCTION("""COMPUTED_VALUE"""),"padelacruz@canva.com")</f>
        <v>padelacruz@canva.com</v>
      </c>
      <c r="R2937" s="1" t="str">
        <f>IFERROR(__xludf.DUMMYFUNCTION("""COMPUTED_VALUE"""),"Patrick Dela Cruz")</f>
        <v>Patrick Dela Cruz</v>
      </c>
      <c r="S2937" s="1">
        <f>IFERROR(__xludf.DUMMYFUNCTION("""COMPUTED_VALUE"""),1.0)</f>
        <v>1</v>
      </c>
      <c r="T2937" s="1">
        <f>IFERROR(__xludf.DUMMYFUNCTION("""COMPUTED_VALUE"""),2.0)</f>
        <v>2</v>
      </c>
      <c r="U2937" s="2">
        <f>IFERROR(__xludf.DUMMYFUNCTION("""COMPUTED_VALUE"""),3.0)</f>
        <v>3</v>
      </c>
      <c r="V2937" s="1" t="str">
        <f>IFERROR(__xludf.DUMMYFUNCTION("""COMPUTED_VALUE"""),"Cate Velasco")</f>
        <v>Cate Velasco</v>
      </c>
      <c r="W2937" s="1" t="str">
        <f>IFERROR(__xludf.DUMMYFUNCTION("""COMPUTED_VALUE"""),"Advanced Product Support")</f>
        <v>Advanced Product Support</v>
      </c>
    </row>
    <row r="2938">
      <c r="O2938" s="1" t="str">
        <f>IFERROR(__xludf.DUMMYFUNCTION("""COMPUTED_VALUE"""),"2026 Apr")</f>
        <v>2026 Apr</v>
      </c>
      <c r="P2938" s="1" t="str">
        <f>IFERROR(__xludf.DUMMYFUNCTION("""COMPUTED_VALUE"""),"Core Product Support")</f>
        <v>Core Product Support</v>
      </c>
      <c r="Q2938" s="1" t="str">
        <f>IFERROR(__xludf.DUMMYFUNCTION("""COMPUTED_VALUE"""),"pathugo@canva.com")</f>
        <v>pathugo@canva.com</v>
      </c>
      <c r="R2938" s="1" t="str">
        <f>IFERROR(__xludf.DUMMYFUNCTION("""COMPUTED_VALUE"""),"Patriz Hugo")</f>
        <v>Patriz Hugo</v>
      </c>
      <c r="S2938" s="1">
        <f>IFERROR(__xludf.DUMMYFUNCTION("""COMPUTED_VALUE"""),0.5)</f>
        <v>0.5</v>
      </c>
      <c r="T2938" s="1">
        <f>IFERROR(__xludf.DUMMYFUNCTION("""COMPUTED_VALUE"""),2.5)</f>
        <v>2.5</v>
      </c>
      <c r="U2938" s="2">
        <f>IFERROR(__xludf.DUMMYFUNCTION("""COMPUTED_VALUE"""),3.0)</f>
        <v>3</v>
      </c>
      <c r="V2938" s="1" t="str">
        <f>IFERROR(__xludf.DUMMYFUNCTION("""COMPUTED_VALUE"""),"Sieg Ballelos")</f>
        <v>Sieg Ballelos</v>
      </c>
      <c r="W2938" s="1" t="str">
        <f>IFERROR(__xludf.DUMMYFUNCTION("""COMPUTED_VALUE"""),"Core Product Support Escalation Team")</f>
        <v>Core Product Support Escalation Team</v>
      </c>
    </row>
    <row r="2939">
      <c r="O2939" s="1" t="str">
        <f>IFERROR(__xludf.DUMMYFUNCTION("""COMPUTED_VALUE"""),"2026 Apr")</f>
        <v>2026 Apr</v>
      </c>
      <c r="P2939" s="1" t="str">
        <f>IFERROR(__xludf.DUMMYFUNCTION("""COMPUTED_VALUE"""),"High Sensitivity Support")</f>
        <v>High Sensitivity Support</v>
      </c>
      <c r="Q2939" s="1" t="str">
        <f>IFERROR(__xludf.DUMMYFUNCTION("""COMPUTED_VALUE"""),"paulwilbert@canva.com")</f>
        <v>paulwilbert@canva.com</v>
      </c>
      <c r="R2939" s="1" t="str">
        <f>IFERROR(__xludf.DUMMYFUNCTION("""COMPUTED_VALUE"""),"Paul Domingo")</f>
        <v>Paul Domingo</v>
      </c>
      <c r="S2939" s="1"/>
      <c r="T2939" s="1">
        <f>IFERROR(__xludf.DUMMYFUNCTION("""COMPUTED_VALUE"""),2.0)</f>
        <v>2</v>
      </c>
      <c r="U2939" s="2">
        <f>IFERROR(__xludf.DUMMYFUNCTION("""COMPUTED_VALUE"""),2.0)</f>
        <v>2</v>
      </c>
      <c r="V2939" s="1" t="str">
        <f>IFERROR(__xludf.DUMMYFUNCTION("""COMPUTED_VALUE"""),"Xandy Azarcon")</f>
        <v>Xandy Azarcon</v>
      </c>
      <c r="W2939" s="1" t="str">
        <f>IFERROR(__xludf.DUMMYFUNCTION("""COMPUTED_VALUE"""),"High Sensitivity Support PH")</f>
        <v>High Sensitivity Support PH</v>
      </c>
    </row>
    <row r="2940">
      <c r="O2940" s="1" t="str">
        <f>IFERROR(__xludf.DUMMYFUNCTION("""COMPUTED_VALUE"""),"2026 Apr")</f>
        <v>2026 Apr</v>
      </c>
      <c r="P2940" s="1" t="str">
        <f>IFERROR(__xludf.DUMMYFUNCTION("""COMPUTED_VALUE"""),"High Sensitivity Support")</f>
        <v>High Sensitivity Support</v>
      </c>
      <c r="Q2940" s="1" t="str">
        <f>IFERROR(__xludf.DUMMYFUNCTION("""COMPUTED_VALUE"""),"phillipronquillo@canva.com")</f>
        <v>phillipronquillo@canva.com</v>
      </c>
      <c r="R2940" s="1" t="str">
        <f>IFERROR(__xludf.DUMMYFUNCTION("""COMPUTED_VALUE"""),"Phil Ronquillo")</f>
        <v>Phil Ronquillo</v>
      </c>
      <c r="S2940" s="1"/>
      <c r="T2940" s="1"/>
      <c r="U2940" s="2">
        <f>IFERROR(__xludf.DUMMYFUNCTION("""COMPUTED_VALUE"""),0.0)</f>
        <v>0</v>
      </c>
      <c r="V2940" s="1" t="str">
        <f>IFERROR(__xludf.DUMMYFUNCTION("""COMPUTED_VALUE"""),"Rossheen Pura")</f>
        <v>Rossheen Pura</v>
      </c>
      <c r="W2940" s="1" t="str">
        <f>IFERROR(__xludf.DUMMYFUNCTION("""COMPUTED_VALUE"""),"High Sensitivity Support PH")</f>
        <v>High Sensitivity Support PH</v>
      </c>
    </row>
    <row r="2941">
      <c r="O2941" s="1" t="str">
        <f>IFERROR(__xludf.DUMMYFUNCTION("""COMPUTED_VALUE"""),"2026 Apr")</f>
        <v>2026 Apr</v>
      </c>
      <c r="P2941" s="1" t="str">
        <f>IFERROR(__xludf.DUMMYFUNCTION("""COMPUTED_VALUE"""),"Core Product Support")</f>
        <v>Core Product Support</v>
      </c>
      <c r="Q2941" s="1" t="str">
        <f>IFERROR(__xludf.DUMMYFUNCTION("""COMPUTED_VALUE"""),"pnicolepescador@canva.com")</f>
        <v>pnicolepescador@canva.com</v>
      </c>
      <c r="R2941" s="1" t="str">
        <f>IFERROR(__xludf.DUMMYFUNCTION("""COMPUTED_VALUE"""),"Precious Pescador")</f>
        <v>Precious Pescador</v>
      </c>
      <c r="S2941" s="1">
        <f>IFERROR(__xludf.DUMMYFUNCTION("""COMPUTED_VALUE"""),0.5)</f>
        <v>0.5</v>
      </c>
      <c r="T2941" s="1">
        <f>IFERROR(__xludf.DUMMYFUNCTION("""COMPUTED_VALUE"""),2.0)</f>
        <v>2</v>
      </c>
      <c r="U2941" s="2">
        <f>IFERROR(__xludf.DUMMYFUNCTION("""COMPUTED_VALUE"""),2.5)</f>
        <v>2.5</v>
      </c>
      <c r="V2941" s="1" t="str">
        <f>IFERROR(__xludf.DUMMYFUNCTION("""COMPUTED_VALUE"""),"Ayza Marie Pascual")</f>
        <v>Ayza Marie Pascual</v>
      </c>
      <c r="W2941" s="1" t="str">
        <f>IFERROR(__xludf.DUMMYFUNCTION("""COMPUTED_VALUE"""),"Advanced Billing &amp; Subscriptions")</f>
        <v>Advanced Billing &amp; Subscriptions</v>
      </c>
    </row>
    <row r="2942">
      <c r="O2942" s="1" t="str">
        <f>IFERROR(__xludf.DUMMYFUNCTION("""COMPUTED_VALUE"""),"2026 Apr")</f>
        <v>2026 Apr</v>
      </c>
      <c r="P2942" s="1" t="str">
        <f>IFERROR(__xludf.DUMMYFUNCTION("""COMPUTED_VALUE"""),"Core Product Support")</f>
        <v>Core Product Support</v>
      </c>
      <c r="Q2942" s="1" t="str">
        <f>IFERROR(__xludf.DUMMYFUNCTION("""COMPUTED_VALUE"""),"rachellynanne@canva.com")</f>
        <v>rachellynanne@canva.com</v>
      </c>
      <c r="R2942" s="1" t="str">
        <f>IFERROR(__xludf.DUMMYFUNCTION("""COMPUTED_VALUE"""),"Rachellyn Medina")</f>
        <v>Rachellyn Medina</v>
      </c>
      <c r="S2942" s="1">
        <f>IFERROR(__xludf.DUMMYFUNCTION("""COMPUTED_VALUE"""),0.5)</f>
        <v>0.5</v>
      </c>
      <c r="T2942" s="1">
        <f>IFERROR(__xludf.DUMMYFUNCTION("""COMPUTED_VALUE"""),2.25)</f>
        <v>2.25</v>
      </c>
      <c r="U2942" s="2">
        <f>IFERROR(__xludf.DUMMYFUNCTION("""COMPUTED_VALUE"""),2.75)</f>
        <v>2.75</v>
      </c>
      <c r="V2942" s="1" t="str">
        <f>IFERROR(__xludf.DUMMYFUNCTION("""COMPUTED_VALUE"""),"Jem Mondoñedo")</f>
        <v>Jem Mondoñedo</v>
      </c>
      <c r="W2942" s="1" t="str">
        <f>IFERROR(__xludf.DUMMYFUNCTION("""COMPUTED_VALUE"""),"Advanced Billing &amp; Subscriptions")</f>
        <v>Advanced Billing &amp; Subscriptions</v>
      </c>
    </row>
    <row r="2943">
      <c r="O2943" s="1" t="str">
        <f>IFERROR(__xludf.DUMMYFUNCTION("""COMPUTED_VALUE"""),"2026 Apr")</f>
        <v>2026 Apr</v>
      </c>
      <c r="P2943" s="1" t="str">
        <f>IFERROR(__xludf.DUMMYFUNCTION("""COMPUTED_VALUE"""),"Core Product Support")</f>
        <v>Core Product Support</v>
      </c>
      <c r="Q2943" s="1" t="str">
        <f>IFERROR(__xludf.DUMMYFUNCTION("""COMPUTED_VALUE"""),"alfredomillares@canva.com")</f>
        <v>alfredomillares@canva.com</v>
      </c>
      <c r="R2943" s="1" t="str">
        <f>IFERROR(__xludf.DUMMYFUNCTION("""COMPUTED_VALUE"""),"Rael Millares")</f>
        <v>Rael Millares</v>
      </c>
      <c r="S2943" s="1">
        <f>IFERROR(__xludf.DUMMYFUNCTION("""COMPUTED_VALUE"""),0.5)</f>
        <v>0.5</v>
      </c>
      <c r="T2943" s="1">
        <f>IFERROR(__xludf.DUMMYFUNCTION("""COMPUTED_VALUE"""),2.0)</f>
        <v>2</v>
      </c>
      <c r="U2943" s="2">
        <f>IFERROR(__xludf.DUMMYFUNCTION("""COMPUTED_VALUE"""),2.5)</f>
        <v>2.5</v>
      </c>
      <c r="V2943" s="1" t="str">
        <f>IFERROR(__xludf.DUMMYFUNCTION("""COMPUTED_VALUE"""),"Jahmie Mae Barrameda")</f>
        <v>Jahmie Mae Barrameda</v>
      </c>
      <c r="W2943" s="1" t="str">
        <f>IFERROR(__xludf.DUMMYFUNCTION("""COMPUTED_VALUE"""),"Advanced Billing &amp; Subscriptions")</f>
        <v>Advanced Billing &amp; Subscriptions</v>
      </c>
    </row>
    <row r="2944">
      <c r="O2944" s="1" t="str">
        <f>IFERROR(__xludf.DUMMYFUNCTION("""COMPUTED_VALUE"""),"2026 Apr")</f>
        <v>2026 Apr</v>
      </c>
      <c r="P2944" s="1" t="str">
        <f>IFERROR(__xludf.DUMMYFUNCTION("""COMPUTED_VALUE"""),"Multilingual Support")</f>
        <v>Multilingual Support</v>
      </c>
      <c r="Q2944" s="1" t="str">
        <f>IFERROR(__xludf.DUMMYFUNCTION("""COMPUTED_VALUE"""),"ranufre@canva.com")</f>
        <v>ranufre@canva.com</v>
      </c>
      <c r="R2944" s="1" t="str">
        <f>IFERROR(__xludf.DUMMYFUNCTION("""COMPUTED_VALUE"""),"Rafa Freitas")</f>
        <v>Rafa Freitas</v>
      </c>
      <c r="S2944" s="1"/>
      <c r="T2944" s="1"/>
      <c r="U2944" s="2">
        <f>IFERROR(__xludf.DUMMYFUNCTION("""COMPUTED_VALUE"""),0.0)</f>
        <v>0</v>
      </c>
      <c r="V2944" s="1" t="str">
        <f>IFERROR(__xludf.DUMMYFUNCTION("""COMPUTED_VALUE"""),"Arlene Maurillo")</f>
        <v>Arlene Maurillo</v>
      </c>
      <c r="W2944" s="1" t="str">
        <f>IFERROR(__xludf.DUMMYFUNCTION("""COMPUTED_VALUE"""),"PHL, Multilingual Support")</f>
        <v>PHL, Multilingual Support</v>
      </c>
    </row>
    <row r="2945">
      <c r="O2945" s="1" t="str">
        <f>IFERROR(__xludf.DUMMYFUNCTION("""COMPUTED_VALUE"""),"2026 Apr")</f>
        <v>2026 Apr</v>
      </c>
      <c r="P2945" s="1" t="str">
        <f>IFERROR(__xludf.DUMMYFUNCTION("""COMPUTED_VALUE"""),"Core Product Support")</f>
        <v>Core Product Support</v>
      </c>
      <c r="Q2945" s="1" t="str">
        <f>IFERROR(__xludf.DUMMYFUNCTION("""COMPUTED_VALUE"""),"rafaticzon@canva.com")</f>
        <v>rafaticzon@canva.com</v>
      </c>
      <c r="R2945" s="1" t="str">
        <f>IFERROR(__xludf.DUMMYFUNCTION("""COMPUTED_VALUE"""),"Rafa Ticzon")</f>
        <v>Rafa Ticzon</v>
      </c>
      <c r="S2945" s="1">
        <f>IFERROR(__xludf.DUMMYFUNCTION("""COMPUTED_VALUE"""),0.5)</f>
        <v>0.5</v>
      </c>
      <c r="T2945" s="1">
        <f>IFERROR(__xludf.DUMMYFUNCTION("""COMPUTED_VALUE"""),2.0)</f>
        <v>2</v>
      </c>
      <c r="U2945" s="2">
        <f>IFERROR(__xludf.DUMMYFUNCTION("""COMPUTED_VALUE"""),2.5)</f>
        <v>2.5</v>
      </c>
      <c r="V2945" s="1" t="str">
        <f>IFERROR(__xludf.DUMMYFUNCTION("""COMPUTED_VALUE"""),"Mikhaela Decangchon")</f>
        <v>Mikhaela Decangchon</v>
      </c>
      <c r="W2945" s="1" t="str">
        <f>IFERROR(__xludf.DUMMYFUNCTION("""COMPUTED_VALUE"""),"Advanced Product Support")</f>
        <v>Advanced Product Support</v>
      </c>
    </row>
    <row r="2946">
      <c r="O2946" s="1" t="str">
        <f>IFERROR(__xludf.DUMMYFUNCTION("""COMPUTED_VALUE"""),"2026 Apr")</f>
        <v>2026 Apr</v>
      </c>
      <c r="P2946" s="1" t="str">
        <f>IFERROR(__xludf.DUMMYFUNCTION("""COMPUTED_VALUE"""),"Core Product Support")</f>
        <v>Core Product Support</v>
      </c>
      <c r="Q2946" s="1" t="str">
        <f>IFERROR(__xludf.DUMMYFUNCTION("""COMPUTED_VALUE"""),"candace@canva.com")</f>
        <v>candace@canva.com</v>
      </c>
      <c r="R2946" s="1" t="str">
        <f>IFERROR(__xludf.DUMMYFUNCTION("""COMPUTED_VALUE"""),"Rainne Candace Llagas")</f>
        <v>Rainne Candace Llagas</v>
      </c>
      <c r="S2946" s="1">
        <f>IFERROR(__xludf.DUMMYFUNCTION("""COMPUTED_VALUE"""),0.5)</f>
        <v>0.5</v>
      </c>
      <c r="T2946" s="1">
        <f>IFERROR(__xludf.DUMMYFUNCTION("""COMPUTED_VALUE"""),1.0)</f>
        <v>1</v>
      </c>
      <c r="U2946" s="2">
        <f>IFERROR(__xludf.DUMMYFUNCTION("""COMPUTED_VALUE"""),1.5)</f>
        <v>1.5</v>
      </c>
      <c r="V2946" s="1" t="str">
        <f>IFERROR(__xludf.DUMMYFUNCTION("""COMPUTED_VALUE"""),"Belle Bentazal")</f>
        <v>Belle Bentazal</v>
      </c>
      <c r="W2946" s="1" t="str">
        <f>IFERROR(__xludf.DUMMYFUNCTION("""COMPUTED_VALUE"""),"Advanced Product Support")</f>
        <v>Advanced Product Support</v>
      </c>
    </row>
    <row r="2947">
      <c r="O2947" s="1" t="str">
        <f>IFERROR(__xludf.DUMMYFUNCTION("""COMPUTED_VALUE"""),"2026 Apr")</f>
        <v>2026 Apr</v>
      </c>
      <c r="P2947" s="1" t="str">
        <f>IFERROR(__xludf.DUMMYFUNCTION("""COMPUTED_VALUE"""),"Core Product Support")</f>
        <v>Core Product Support</v>
      </c>
      <c r="Q2947" s="1" t="str">
        <f>IFERROR(__xludf.DUMMYFUNCTION("""COMPUTED_VALUE"""),"rmercado@canva.com")</f>
        <v>rmercado@canva.com</v>
      </c>
      <c r="R2947" s="1" t="str">
        <f>IFERROR(__xludf.DUMMYFUNCTION("""COMPUTED_VALUE"""),"Ram Mercado")</f>
        <v>Ram Mercado</v>
      </c>
      <c r="S2947" s="1">
        <f>IFERROR(__xludf.DUMMYFUNCTION("""COMPUTED_VALUE"""),1.0)</f>
        <v>1</v>
      </c>
      <c r="T2947" s="1">
        <f>IFERROR(__xludf.DUMMYFUNCTION("""COMPUTED_VALUE"""),4.0)</f>
        <v>4</v>
      </c>
      <c r="U2947" s="2">
        <f>IFERROR(__xludf.DUMMYFUNCTION("""COMPUTED_VALUE"""),5.0)</f>
        <v>5</v>
      </c>
      <c r="V2947" s="1" t="str">
        <f>IFERROR(__xludf.DUMMYFUNCTION("""COMPUTED_VALUE"""),"Jelyn Elmido")</f>
        <v>Jelyn Elmido</v>
      </c>
      <c r="W2947" s="1" t="str">
        <f>IFERROR(__xludf.DUMMYFUNCTION("""COMPUTED_VALUE"""),"Core Product Support Escalation Team")</f>
        <v>Core Product Support Escalation Team</v>
      </c>
    </row>
    <row r="2948">
      <c r="O2948" s="1" t="str">
        <f>IFERROR(__xludf.DUMMYFUNCTION("""COMPUTED_VALUE"""),"2026 Apr")</f>
        <v>2026 Apr</v>
      </c>
      <c r="P2948" s="1" t="str">
        <f>IFERROR(__xludf.DUMMYFUNCTION("""COMPUTED_VALUE"""),"Core Product Support")</f>
        <v>Core Product Support</v>
      </c>
      <c r="Q2948" s="1" t="str">
        <f>IFERROR(__xludf.DUMMYFUNCTION("""COMPUTED_VALUE"""),"razelleroe@canva.com")</f>
        <v>razelleroe@canva.com</v>
      </c>
      <c r="R2948" s="1" t="str">
        <f>IFERROR(__xludf.DUMMYFUNCTION("""COMPUTED_VALUE"""),"Razelle Roe Garaza")</f>
        <v>Razelle Roe Garaza</v>
      </c>
      <c r="S2948" s="1">
        <f>IFERROR(__xludf.DUMMYFUNCTION("""COMPUTED_VALUE"""),1.0)</f>
        <v>1</v>
      </c>
      <c r="T2948" s="1">
        <f>IFERROR(__xludf.DUMMYFUNCTION("""COMPUTED_VALUE"""),2.25)</f>
        <v>2.25</v>
      </c>
      <c r="U2948" s="2">
        <f>IFERROR(__xludf.DUMMYFUNCTION("""COMPUTED_VALUE"""),3.25)</f>
        <v>3.25</v>
      </c>
      <c r="V2948" s="1" t="str">
        <f>IFERROR(__xludf.DUMMYFUNCTION("""COMPUTED_VALUE"""),"Ana Lazaro")</f>
        <v>Ana Lazaro</v>
      </c>
      <c r="W2948" s="1" t="str">
        <f>IFERROR(__xludf.DUMMYFUNCTION("""COMPUTED_VALUE"""),"Advanced Billing &amp; Subscriptions")</f>
        <v>Advanced Billing &amp; Subscriptions</v>
      </c>
    </row>
    <row r="2949">
      <c r="O2949" s="1" t="str">
        <f>IFERROR(__xludf.DUMMYFUNCTION("""COMPUTED_VALUE"""),"2026 Apr")</f>
        <v>2026 Apr</v>
      </c>
      <c r="P2949" s="1" t="str">
        <f>IFERROR(__xludf.DUMMYFUNCTION("""COMPUTED_VALUE"""),"Admin Support")</f>
        <v>Admin Support</v>
      </c>
      <c r="Q2949" s="1" t="str">
        <f>IFERROR(__xludf.DUMMYFUNCTION("""COMPUTED_VALUE"""),"rdolores@canva.com")</f>
        <v>rdolores@canva.com</v>
      </c>
      <c r="R2949" s="1" t="str">
        <f>IFERROR(__xludf.DUMMYFUNCTION("""COMPUTED_VALUE"""),"Rea Alexis Dolores")</f>
        <v>Rea Alexis Dolores</v>
      </c>
      <c r="S2949" s="1"/>
      <c r="T2949" s="1"/>
      <c r="U2949" s="2">
        <f>IFERROR(__xludf.DUMMYFUNCTION("""COMPUTED_VALUE"""),0.0)</f>
        <v>0</v>
      </c>
      <c r="V2949" s="1" t="str">
        <f>IFERROR(__xludf.DUMMYFUNCTION("""COMPUTED_VALUE"""),"Karla Mananghaya")</f>
        <v>Karla Mananghaya</v>
      </c>
      <c r="W2949" s="1" t="str">
        <f>IFERROR(__xludf.DUMMYFUNCTION("""COMPUTED_VALUE"""),"Admin Support Service Escalation Team")</f>
        <v>Admin Support Service Escalation Team</v>
      </c>
    </row>
    <row r="2950">
      <c r="O2950" s="1" t="str">
        <f>IFERROR(__xludf.DUMMYFUNCTION("""COMPUTED_VALUE"""),"2026 Apr")</f>
        <v>2026 Apr</v>
      </c>
      <c r="P2950" s="1" t="str">
        <f>IFERROR(__xludf.DUMMYFUNCTION("""COMPUTED_VALUE"""),"Admin Support")</f>
        <v>Admin Support</v>
      </c>
      <c r="Q2950" s="1" t="str">
        <f>IFERROR(__xludf.DUMMYFUNCTION("""COMPUTED_VALUE"""),"red@canva.com")</f>
        <v>red@canva.com</v>
      </c>
      <c r="R2950" s="1" t="str">
        <f>IFERROR(__xludf.DUMMYFUNCTION("""COMPUTED_VALUE"""),"Red Dela Rosa")</f>
        <v>Red Dela Rosa</v>
      </c>
      <c r="S2950" s="1"/>
      <c r="T2950" s="1">
        <f>IFERROR(__xludf.DUMMYFUNCTION("""COMPUTED_VALUE"""),1.0)</f>
        <v>1</v>
      </c>
      <c r="U2950" s="2">
        <f>IFERROR(__xludf.DUMMYFUNCTION("""COMPUTED_VALUE"""),1.0)</f>
        <v>1</v>
      </c>
      <c r="V2950" s="1" t="str">
        <f>IFERROR(__xludf.DUMMYFUNCTION("""COMPUTED_VALUE"""),"Pau Palmero")</f>
        <v>Pau Palmero</v>
      </c>
      <c r="W2950" s="1" t="str">
        <f>IFERROR(__xludf.DUMMYFUNCTION("""COMPUTED_VALUE"""),"Admin Omni Support")</f>
        <v>Admin Omni Support</v>
      </c>
    </row>
    <row r="2951">
      <c r="O2951" s="1" t="str">
        <f>IFERROR(__xludf.DUMMYFUNCTION("""COMPUTED_VALUE"""),"2026 Apr")</f>
        <v>2026 Apr</v>
      </c>
      <c r="P2951" s="1" t="str">
        <f>IFERROR(__xludf.DUMMYFUNCTION("""COMPUTED_VALUE"""),"Admin Support")</f>
        <v>Admin Support</v>
      </c>
      <c r="Q2951" s="1" t="str">
        <f>IFERROR(__xludf.DUMMYFUNCTION("""COMPUTED_VALUE"""),"regie@canva.com")</f>
        <v>regie@canva.com</v>
      </c>
      <c r="R2951" s="1" t="str">
        <f>IFERROR(__xludf.DUMMYFUNCTION("""COMPUTED_VALUE"""),"Regie Yambot")</f>
        <v>Regie Yambot</v>
      </c>
      <c r="S2951" s="1"/>
      <c r="T2951" s="1">
        <f>IFERROR(__xludf.DUMMYFUNCTION("""COMPUTED_VALUE"""),1.0)</f>
        <v>1</v>
      </c>
      <c r="U2951" s="2">
        <f>IFERROR(__xludf.DUMMYFUNCTION("""COMPUTED_VALUE"""),1.0)</f>
        <v>1</v>
      </c>
      <c r="V2951" s="1" t="str">
        <f>IFERROR(__xludf.DUMMYFUNCTION("""COMPUTED_VALUE"""),"Pau Palmero")</f>
        <v>Pau Palmero</v>
      </c>
      <c r="W2951" s="1" t="str">
        <f>IFERROR(__xludf.DUMMYFUNCTION("""COMPUTED_VALUE"""),"Admin Omni Support")</f>
        <v>Admin Omni Support</v>
      </c>
    </row>
    <row r="2952">
      <c r="O2952" s="1" t="str">
        <f>IFERROR(__xludf.DUMMYFUNCTION("""COMPUTED_VALUE"""),"2026 Apr")</f>
        <v>2026 Apr</v>
      </c>
      <c r="P2952" s="1" t="str">
        <f>IFERROR(__xludf.DUMMYFUNCTION("""COMPUTED_VALUE"""),"Core Product Support")</f>
        <v>Core Product Support</v>
      </c>
      <c r="Q2952" s="1" t="str">
        <f>IFERROR(__xludf.DUMMYFUNCTION("""COMPUTED_VALUE"""),"rej@canva.com")</f>
        <v>rej@canva.com</v>
      </c>
      <c r="R2952" s="1" t="str">
        <f>IFERROR(__xludf.DUMMYFUNCTION("""COMPUTED_VALUE"""),"Rej Benipayo")</f>
        <v>Rej Benipayo</v>
      </c>
      <c r="S2952" s="1">
        <f>IFERROR(__xludf.DUMMYFUNCTION("""COMPUTED_VALUE"""),1.0)</f>
        <v>1</v>
      </c>
      <c r="T2952" s="1">
        <f>IFERROR(__xludf.DUMMYFUNCTION("""COMPUTED_VALUE"""),2.5)</f>
        <v>2.5</v>
      </c>
      <c r="U2952" s="2">
        <f>IFERROR(__xludf.DUMMYFUNCTION("""COMPUTED_VALUE"""),3.5)</f>
        <v>3.5</v>
      </c>
      <c r="V2952" s="1" t="str">
        <f>IFERROR(__xludf.DUMMYFUNCTION("""COMPUTED_VALUE"""),"Renette Bok")</f>
        <v>Renette Bok</v>
      </c>
      <c r="W2952" s="1" t="str">
        <f>IFERROR(__xludf.DUMMYFUNCTION("""COMPUTED_VALUE"""),"Advanced Billing &amp; Subscriptions")</f>
        <v>Advanced Billing &amp; Subscriptions</v>
      </c>
    </row>
    <row r="2953">
      <c r="O2953" s="1" t="str">
        <f>IFERROR(__xludf.DUMMYFUNCTION("""COMPUTED_VALUE"""),"2026 Apr")</f>
        <v>2026 Apr</v>
      </c>
      <c r="P2953" s="1" t="str">
        <f>IFERROR(__xludf.DUMMYFUNCTION("""COMPUTED_VALUE"""),"Core Product Support")</f>
        <v>Core Product Support</v>
      </c>
      <c r="Q2953" s="1" t="str">
        <f>IFERROR(__xludf.DUMMYFUNCTION("""COMPUTED_VALUE"""),"revisuarez@canva.com")</f>
        <v>revisuarez@canva.com</v>
      </c>
      <c r="R2953" s="1" t="str">
        <f>IFERROR(__xludf.DUMMYFUNCTION("""COMPUTED_VALUE"""),"Revi Suarez")</f>
        <v>Revi Suarez</v>
      </c>
      <c r="S2953" s="1">
        <f>IFERROR(__xludf.DUMMYFUNCTION("""COMPUTED_VALUE"""),1.0)</f>
        <v>1</v>
      </c>
      <c r="T2953" s="1">
        <f>IFERROR(__xludf.DUMMYFUNCTION("""COMPUTED_VALUE"""),4.0)</f>
        <v>4</v>
      </c>
      <c r="U2953" s="2">
        <f>IFERROR(__xludf.DUMMYFUNCTION("""COMPUTED_VALUE"""),5.0)</f>
        <v>5</v>
      </c>
      <c r="V2953" s="1" t="str">
        <f>IFERROR(__xludf.DUMMYFUNCTION("""COMPUTED_VALUE"""),"Jelyn Elmido")</f>
        <v>Jelyn Elmido</v>
      </c>
      <c r="W2953" s="1" t="str">
        <f>IFERROR(__xludf.DUMMYFUNCTION("""COMPUTED_VALUE"""),"Core Product Support Escalation Team")</f>
        <v>Core Product Support Escalation Team</v>
      </c>
    </row>
    <row r="2954">
      <c r="O2954" s="1" t="str">
        <f>IFERROR(__xludf.DUMMYFUNCTION("""COMPUTED_VALUE"""),"2026 Apr")</f>
        <v>2026 Apr</v>
      </c>
      <c r="P2954" s="1" t="str">
        <f>IFERROR(__xludf.DUMMYFUNCTION("""COMPUTED_VALUE"""),"High Sensitivity Support")</f>
        <v>High Sensitivity Support</v>
      </c>
      <c r="Q2954" s="1" t="str">
        <f>IFERROR(__xludf.DUMMYFUNCTION("""COMPUTED_VALUE"""),"reya@canva.com")</f>
        <v>reya@canva.com</v>
      </c>
      <c r="R2954" s="1" t="str">
        <f>IFERROR(__xludf.DUMMYFUNCTION("""COMPUTED_VALUE"""),"Reya Joson")</f>
        <v>Reya Joson</v>
      </c>
      <c r="S2954" s="1"/>
      <c r="T2954" s="1"/>
      <c r="U2954" s="2">
        <f>IFERROR(__xludf.DUMMYFUNCTION("""COMPUTED_VALUE"""),0.0)</f>
        <v>0</v>
      </c>
      <c r="V2954" s="1" t="str">
        <f>IFERROR(__xludf.DUMMYFUNCTION("""COMPUTED_VALUE"""),"Issi Afable")</f>
        <v>Issi Afable</v>
      </c>
      <c r="W2954" s="1" t="str">
        <f>IFERROR(__xludf.DUMMYFUNCTION("""COMPUTED_VALUE"""),"High Sensitivity Support PH")</f>
        <v>High Sensitivity Support PH</v>
      </c>
    </row>
    <row r="2955">
      <c r="O2955" s="1" t="str">
        <f>IFERROR(__xludf.DUMMYFUNCTION("""COMPUTED_VALUE"""),"2026 Apr")</f>
        <v>2026 Apr</v>
      </c>
      <c r="P2955" s="1" t="str">
        <f>IFERROR(__xludf.DUMMYFUNCTION("""COMPUTED_VALUE"""),"Segment-specific Support")</f>
        <v>Segment-specific Support</v>
      </c>
      <c r="Q2955" s="1" t="str">
        <f>IFERROR(__xludf.DUMMYFUNCTION("""COMPUTED_VALUE"""),"rizzah@canva.com")</f>
        <v>rizzah@canva.com</v>
      </c>
      <c r="R2955" s="1" t="str">
        <f>IFERROR(__xludf.DUMMYFUNCTION("""COMPUTED_VALUE"""),"Rizzah Hope Anjao")</f>
        <v>Rizzah Hope Anjao</v>
      </c>
      <c r="S2955" s="1"/>
      <c r="T2955" s="1"/>
      <c r="U2955" s="2">
        <f>IFERROR(__xludf.DUMMYFUNCTION("""COMPUTED_VALUE"""),0.0)</f>
        <v>0</v>
      </c>
      <c r="V2955" s="1" t="str">
        <f>IFERROR(__xludf.DUMMYFUNCTION("""COMPUTED_VALUE"""),"Gucci Nava")</f>
        <v>Gucci Nava</v>
      </c>
      <c r="W2955" s="1" t="str">
        <f>IFERROR(__xludf.DUMMYFUNCTION("""COMPUTED_VALUE"""),"Affinity Support")</f>
        <v>Affinity Support</v>
      </c>
    </row>
    <row r="2956">
      <c r="O2956" s="1" t="str">
        <f>IFERROR(__xludf.DUMMYFUNCTION("""COMPUTED_VALUE"""),"2026 Apr")</f>
        <v>2026 Apr</v>
      </c>
      <c r="P2956" s="1" t="str">
        <f>IFERROR(__xludf.DUMMYFUNCTION("""COMPUTED_VALUE"""),"Print Support")</f>
        <v>Print Support</v>
      </c>
      <c r="Q2956" s="1" t="str">
        <f>IFERROR(__xludf.DUMMYFUNCTION("""COMPUTED_VALUE"""),"robsuico@canva.com")</f>
        <v>robsuico@canva.com</v>
      </c>
      <c r="R2956" s="1" t="str">
        <f>IFERROR(__xludf.DUMMYFUNCTION("""COMPUTED_VALUE"""),"Robin Suico")</f>
        <v>Robin Suico</v>
      </c>
      <c r="S2956" s="1"/>
      <c r="T2956" s="1"/>
      <c r="U2956" s="2">
        <f>IFERROR(__xludf.DUMMYFUNCTION("""COMPUTED_VALUE"""),0.0)</f>
        <v>0</v>
      </c>
      <c r="V2956" s="1" t="str">
        <f>IFERROR(__xludf.DUMMYFUNCTION("""COMPUTED_VALUE"""),"Aliza Dote")</f>
        <v>Aliza Dote</v>
      </c>
      <c r="W2956" s="1" t="str">
        <f>IFERROR(__xludf.DUMMYFUNCTION("""COMPUTED_VALUE"""),"Print Design Support")</f>
        <v>Print Design Support</v>
      </c>
    </row>
    <row r="2957">
      <c r="O2957" s="1" t="str">
        <f>IFERROR(__xludf.DUMMYFUNCTION("""COMPUTED_VALUE"""),"2026 Apr")</f>
        <v>2026 Apr</v>
      </c>
      <c r="P2957" s="1" t="str">
        <f>IFERROR(__xludf.DUMMYFUNCTION("""COMPUTED_VALUE"""),"Core Product Support")</f>
        <v>Core Product Support</v>
      </c>
      <c r="Q2957" s="1" t="str">
        <f>IFERROR(__xludf.DUMMYFUNCTION("""COMPUTED_VALUE"""),"ronally@canva.com")</f>
        <v>ronally@canva.com</v>
      </c>
      <c r="R2957" s="1" t="str">
        <f>IFERROR(__xludf.DUMMYFUNCTION("""COMPUTED_VALUE"""),"Ronally Romero")</f>
        <v>Ronally Romero</v>
      </c>
      <c r="S2957" s="1">
        <f>IFERROR(__xludf.DUMMYFUNCTION("""COMPUTED_VALUE"""),1.0)</f>
        <v>1</v>
      </c>
      <c r="T2957" s="1">
        <f>IFERROR(__xludf.DUMMYFUNCTION("""COMPUTED_VALUE"""),2.25)</f>
        <v>2.25</v>
      </c>
      <c r="U2957" s="2">
        <f>IFERROR(__xludf.DUMMYFUNCTION("""COMPUTED_VALUE"""),3.25)</f>
        <v>3.25</v>
      </c>
      <c r="V2957" s="1" t="str">
        <f>IFERROR(__xludf.DUMMYFUNCTION("""COMPUTED_VALUE"""),"Cate Velasco")</f>
        <v>Cate Velasco</v>
      </c>
      <c r="W2957" s="1" t="str">
        <f>IFERROR(__xludf.DUMMYFUNCTION("""COMPUTED_VALUE"""),"Advanced Product Support")</f>
        <v>Advanced Product Support</v>
      </c>
    </row>
    <row r="2958">
      <c r="O2958" s="1" t="str">
        <f>IFERROR(__xludf.DUMMYFUNCTION("""COMPUTED_VALUE"""),"2026 Apr")</f>
        <v>2026 Apr</v>
      </c>
      <c r="P2958" s="1" t="str">
        <f>IFERROR(__xludf.DUMMYFUNCTION("""COMPUTED_VALUE"""),"Core Product Support")</f>
        <v>Core Product Support</v>
      </c>
      <c r="Q2958" s="1" t="str">
        <f>IFERROR(__xludf.DUMMYFUNCTION("""COMPUTED_VALUE"""),"rvalderrama@canva.com")</f>
        <v>rvalderrama@canva.com</v>
      </c>
      <c r="R2958" s="1" t="str">
        <f>IFERROR(__xludf.DUMMYFUNCTION("""COMPUTED_VALUE"""),"Rony Valderrama")</f>
        <v>Rony Valderrama</v>
      </c>
      <c r="S2958" s="1">
        <f>IFERROR(__xludf.DUMMYFUNCTION("""COMPUTED_VALUE"""),0.5)</f>
        <v>0.5</v>
      </c>
      <c r="T2958" s="1">
        <f>IFERROR(__xludf.DUMMYFUNCTION("""COMPUTED_VALUE"""),1.25)</f>
        <v>1.25</v>
      </c>
      <c r="U2958" s="2">
        <f>IFERROR(__xludf.DUMMYFUNCTION("""COMPUTED_VALUE"""),1.75)</f>
        <v>1.75</v>
      </c>
      <c r="V2958" s="1" t="str">
        <f>IFERROR(__xludf.DUMMYFUNCTION("""COMPUTED_VALUE"""),"Renette Bok")</f>
        <v>Renette Bok</v>
      </c>
      <c r="W2958" s="1" t="str">
        <f>IFERROR(__xludf.DUMMYFUNCTION("""COMPUTED_VALUE"""),"Advanced Billing &amp; Subscriptions")</f>
        <v>Advanced Billing &amp; Subscriptions</v>
      </c>
    </row>
    <row r="2959">
      <c r="O2959" s="1" t="str">
        <f>IFERROR(__xludf.DUMMYFUNCTION("""COMPUTED_VALUE"""),"2026 Apr")</f>
        <v>2026 Apr</v>
      </c>
      <c r="P2959" s="1" t="str">
        <f>IFERROR(__xludf.DUMMYFUNCTION("""COMPUTED_VALUE"""),"Core Product Support")</f>
        <v>Core Product Support</v>
      </c>
      <c r="Q2959" s="1" t="str">
        <f>IFERROR(__xludf.DUMMYFUNCTION("""COMPUTED_VALUE"""),"ronyl@canva.com")</f>
        <v>ronyl@canva.com</v>
      </c>
      <c r="R2959" s="1" t="str">
        <f>IFERROR(__xludf.DUMMYFUNCTION("""COMPUTED_VALUE"""),"Ronyl Masilang")</f>
        <v>Ronyl Masilang</v>
      </c>
      <c r="S2959" s="1">
        <f>IFERROR(__xludf.DUMMYFUNCTION("""COMPUTED_VALUE"""),1.0)</f>
        <v>1</v>
      </c>
      <c r="T2959" s="1">
        <f>IFERROR(__xludf.DUMMYFUNCTION("""COMPUTED_VALUE"""),2.25)</f>
        <v>2.25</v>
      </c>
      <c r="U2959" s="2">
        <f>IFERROR(__xludf.DUMMYFUNCTION("""COMPUTED_VALUE"""),3.25)</f>
        <v>3.25</v>
      </c>
      <c r="V2959" s="1" t="str">
        <f>IFERROR(__xludf.DUMMYFUNCTION("""COMPUTED_VALUE"""),"Cate Velasco")</f>
        <v>Cate Velasco</v>
      </c>
      <c r="W2959" s="1" t="str">
        <f>IFERROR(__xludf.DUMMYFUNCTION("""COMPUTED_VALUE"""),"Advanced Product Support")</f>
        <v>Advanced Product Support</v>
      </c>
    </row>
    <row r="2960">
      <c r="O2960" s="1" t="str">
        <f>IFERROR(__xludf.DUMMYFUNCTION("""COMPUTED_VALUE"""),"2026 Apr")</f>
        <v>2026 Apr</v>
      </c>
      <c r="P2960" s="1" t="str">
        <f>IFERROR(__xludf.DUMMYFUNCTION("""COMPUTED_VALUE"""),"Core Product Support")</f>
        <v>Core Product Support</v>
      </c>
      <c r="Q2960" s="1" t="str">
        <f>IFERROR(__xludf.DUMMYFUNCTION("""COMPUTED_VALUE"""),"rounette@canva.com")</f>
        <v>rounette@canva.com</v>
      </c>
      <c r="R2960" s="1" t="str">
        <f>IFERROR(__xludf.DUMMYFUNCTION("""COMPUTED_VALUE"""),"Rounette Natividad")</f>
        <v>Rounette Natividad</v>
      </c>
      <c r="S2960" s="1">
        <f>IFERROR(__xludf.DUMMYFUNCTION("""COMPUTED_VALUE"""),1.0)</f>
        <v>1</v>
      </c>
      <c r="T2960" s="1">
        <f>IFERROR(__xludf.DUMMYFUNCTION("""COMPUTED_VALUE"""),2.0)</f>
        <v>2</v>
      </c>
      <c r="U2960" s="2">
        <f>IFERROR(__xludf.DUMMYFUNCTION("""COMPUTED_VALUE"""),3.0)</f>
        <v>3</v>
      </c>
      <c r="V2960" s="1" t="str">
        <f>IFERROR(__xludf.DUMMYFUNCTION("""COMPUTED_VALUE"""),"Mikhaela Decangchon")</f>
        <v>Mikhaela Decangchon</v>
      </c>
      <c r="W2960" s="1" t="str">
        <f>IFERROR(__xludf.DUMMYFUNCTION("""COMPUTED_VALUE"""),"Advanced Product Support")</f>
        <v>Advanced Product Support</v>
      </c>
    </row>
    <row r="2961">
      <c r="O2961" s="1" t="str">
        <f>IFERROR(__xludf.DUMMYFUNCTION("""COMPUTED_VALUE"""),"2026 Apr")</f>
        <v>2026 Apr</v>
      </c>
      <c r="P2961" s="1" t="str">
        <f>IFERROR(__xludf.DUMMYFUNCTION("""COMPUTED_VALUE"""),"Admin Support")</f>
        <v>Admin Support</v>
      </c>
      <c r="Q2961" s="1" t="str">
        <f>IFERROR(__xludf.DUMMYFUNCTION("""COMPUTED_VALUE"""),"rovie@canva.com")</f>
        <v>rovie@canva.com</v>
      </c>
      <c r="R2961" s="1" t="str">
        <f>IFERROR(__xludf.DUMMYFUNCTION("""COMPUTED_VALUE"""),"Rovie Hawang")</f>
        <v>Rovie Hawang</v>
      </c>
      <c r="S2961" s="1"/>
      <c r="T2961" s="1">
        <f>IFERROR(__xludf.DUMMYFUNCTION("""COMPUTED_VALUE"""),1.0)</f>
        <v>1</v>
      </c>
      <c r="U2961" s="2">
        <f>IFERROR(__xludf.DUMMYFUNCTION("""COMPUTED_VALUE"""),1.0)</f>
        <v>1</v>
      </c>
      <c r="V2961" s="1" t="str">
        <f>IFERROR(__xludf.DUMMYFUNCTION("""COMPUTED_VALUE"""),"Kelden Laguting")</f>
        <v>Kelden Laguting</v>
      </c>
      <c r="W2961" s="1" t="str">
        <f>IFERROR(__xludf.DUMMYFUNCTION("""COMPUTED_VALUE"""),"Admin Omni Support")</f>
        <v>Admin Omni Support</v>
      </c>
    </row>
    <row r="2962">
      <c r="O2962" s="1" t="str">
        <f>IFERROR(__xludf.DUMMYFUNCTION("""COMPUTED_VALUE"""),"2026 Apr")</f>
        <v>2026 Apr</v>
      </c>
      <c r="P2962" s="1" t="str">
        <f>IFERROR(__xludf.DUMMYFUNCTION("""COMPUTED_VALUE"""),"Admin Support")</f>
        <v>Admin Support</v>
      </c>
      <c r="Q2962" s="1" t="str">
        <f>IFERROR(__xludf.DUMMYFUNCTION("""COMPUTED_VALUE"""),"roxanne@canva.com")</f>
        <v>roxanne@canva.com</v>
      </c>
      <c r="R2962" s="1" t="str">
        <f>IFERROR(__xludf.DUMMYFUNCTION("""COMPUTED_VALUE"""),"Roxanne Joy Capunayan")</f>
        <v>Roxanne Joy Capunayan</v>
      </c>
      <c r="S2962" s="1"/>
      <c r="T2962" s="1">
        <f>IFERROR(__xludf.DUMMYFUNCTION("""COMPUTED_VALUE"""),0.5)</f>
        <v>0.5</v>
      </c>
      <c r="U2962" s="2">
        <f>IFERROR(__xludf.DUMMYFUNCTION("""COMPUTED_VALUE"""),0.5)</f>
        <v>0.5</v>
      </c>
      <c r="V2962" s="1" t="str">
        <f>IFERROR(__xludf.DUMMYFUNCTION("""COMPUTED_VALUE"""),"Ann Dumlao")</f>
        <v>Ann Dumlao</v>
      </c>
      <c r="W2962" s="1" t="str">
        <f>IFERROR(__xludf.DUMMYFUNCTION("""COMPUTED_VALUE"""),"Admin Omni Support")</f>
        <v>Admin Omni Support</v>
      </c>
    </row>
    <row r="2963">
      <c r="O2963" s="1" t="str">
        <f>IFERROR(__xludf.DUMMYFUNCTION("""COMPUTED_VALUE"""),"2026 Apr")</f>
        <v>2026 Apr</v>
      </c>
      <c r="P2963" s="1" t="str">
        <f>IFERROR(__xludf.DUMMYFUNCTION("""COMPUTED_VALUE"""),"Core Product Support")</f>
        <v>Core Product Support</v>
      </c>
      <c r="Q2963" s="1" t="str">
        <f>IFERROR(__xludf.DUMMYFUNCTION("""COMPUTED_VALUE"""),"rozelp@canva.com")</f>
        <v>rozelp@canva.com</v>
      </c>
      <c r="R2963" s="1" t="str">
        <f>IFERROR(__xludf.DUMMYFUNCTION("""COMPUTED_VALUE"""),"Rozel Punsalan")</f>
        <v>Rozel Punsalan</v>
      </c>
      <c r="S2963" s="1">
        <f>IFERROR(__xludf.DUMMYFUNCTION("""COMPUTED_VALUE"""),1.0)</f>
        <v>1</v>
      </c>
      <c r="T2963" s="1">
        <f>IFERROR(__xludf.DUMMYFUNCTION("""COMPUTED_VALUE"""),2.25)</f>
        <v>2.25</v>
      </c>
      <c r="U2963" s="2">
        <f>IFERROR(__xludf.DUMMYFUNCTION("""COMPUTED_VALUE"""),3.25)</f>
        <v>3.25</v>
      </c>
      <c r="V2963" s="1" t="str">
        <f>IFERROR(__xludf.DUMMYFUNCTION("""COMPUTED_VALUE"""),"Marie Mordeno")</f>
        <v>Marie Mordeno</v>
      </c>
      <c r="W2963" s="1" t="str">
        <f>IFERROR(__xludf.DUMMYFUNCTION("""COMPUTED_VALUE"""),"Advanced Billing &amp; Subscriptions")</f>
        <v>Advanced Billing &amp; Subscriptions</v>
      </c>
    </row>
    <row r="2964">
      <c r="O2964" s="1" t="str">
        <f>IFERROR(__xludf.DUMMYFUNCTION("""COMPUTED_VALUE"""),"2026 Apr")</f>
        <v>2026 Apr</v>
      </c>
      <c r="P2964" s="1" t="str">
        <f>IFERROR(__xludf.DUMMYFUNCTION("""COMPUTED_VALUE"""),"Core Product Support")</f>
        <v>Core Product Support</v>
      </c>
      <c r="Q2964" s="1" t="str">
        <f>IFERROR(__xludf.DUMMYFUNCTION("""COMPUTED_VALUE"""),"rozie@canva.com")</f>
        <v>rozie@canva.com</v>
      </c>
      <c r="R2964" s="1" t="str">
        <f>IFERROR(__xludf.DUMMYFUNCTION("""COMPUTED_VALUE"""),"Rozie Laviña")</f>
        <v>Rozie Laviña</v>
      </c>
      <c r="S2964" s="1">
        <f>IFERROR(__xludf.DUMMYFUNCTION("""COMPUTED_VALUE"""),1.0)</f>
        <v>1</v>
      </c>
      <c r="T2964" s="1">
        <f>IFERROR(__xludf.DUMMYFUNCTION("""COMPUTED_VALUE"""),0.25)</f>
        <v>0.25</v>
      </c>
      <c r="U2964" s="2">
        <f>IFERROR(__xludf.DUMMYFUNCTION("""COMPUTED_VALUE"""),1.25)</f>
        <v>1.25</v>
      </c>
      <c r="V2964" s="1" t="str">
        <f>IFERROR(__xludf.DUMMYFUNCTION("""COMPUTED_VALUE"""),"Ayza Marie Pascual")</f>
        <v>Ayza Marie Pascual</v>
      </c>
      <c r="W2964" s="1" t="str">
        <f>IFERROR(__xludf.DUMMYFUNCTION("""COMPUTED_VALUE"""),"Advanced Billing &amp; Subscriptions")</f>
        <v>Advanced Billing &amp; Subscriptions</v>
      </c>
    </row>
    <row r="2965">
      <c r="O2965" s="1" t="str">
        <f>IFERROR(__xludf.DUMMYFUNCTION("""COMPUTED_VALUE"""),"2026 Apr")</f>
        <v>2026 Apr</v>
      </c>
      <c r="P2965" s="1" t="str">
        <f>IFERROR(__xludf.DUMMYFUNCTION("""COMPUTED_VALUE"""),"Core Product Support")</f>
        <v>Core Product Support</v>
      </c>
      <c r="Q2965" s="1" t="str">
        <f>IFERROR(__xludf.DUMMYFUNCTION("""COMPUTED_VALUE"""),"ruzel@canva.com")</f>
        <v>ruzel@canva.com</v>
      </c>
      <c r="R2965" s="1" t="str">
        <f>IFERROR(__xludf.DUMMYFUNCTION("""COMPUTED_VALUE"""),"Ruzel Raqueno")</f>
        <v>Ruzel Raqueno</v>
      </c>
      <c r="S2965" s="1">
        <f>IFERROR(__xludf.DUMMYFUNCTION("""COMPUTED_VALUE"""),1.0)</f>
        <v>1</v>
      </c>
      <c r="T2965" s="1">
        <f>IFERROR(__xludf.DUMMYFUNCTION("""COMPUTED_VALUE"""),4.5)</f>
        <v>4.5</v>
      </c>
      <c r="U2965" s="2">
        <f>IFERROR(__xludf.DUMMYFUNCTION("""COMPUTED_VALUE"""),5.5)</f>
        <v>5.5</v>
      </c>
      <c r="V2965" s="1" t="str">
        <f>IFERROR(__xludf.DUMMYFUNCTION("""COMPUTED_VALUE"""),"Ellaine Estayo")</f>
        <v>Ellaine Estayo</v>
      </c>
      <c r="W2965" s="1" t="str">
        <f>IFERROR(__xludf.DUMMYFUNCTION("""COMPUTED_VALUE"""),"Core Product Support Escalation Team")</f>
        <v>Core Product Support Escalation Team</v>
      </c>
    </row>
    <row r="2966">
      <c r="O2966" s="1" t="str">
        <f>IFERROR(__xludf.DUMMYFUNCTION("""COMPUTED_VALUE"""),"2026 Apr")</f>
        <v>2026 Apr</v>
      </c>
      <c r="P2966" s="1" t="str">
        <f>IFERROR(__xludf.DUMMYFUNCTION("""COMPUTED_VALUE"""),"Print Support")</f>
        <v>Print Support</v>
      </c>
      <c r="Q2966" s="1" t="str">
        <f>IFERROR(__xludf.DUMMYFUNCTION("""COMPUTED_VALUE"""),"rdominick@canva.com")</f>
        <v>rdominick@canva.com</v>
      </c>
      <c r="R2966" s="1" t="str">
        <f>IFERROR(__xludf.DUMMYFUNCTION("""COMPUTED_VALUE"""),"Ryan Dominick Razon")</f>
        <v>Ryan Dominick Razon</v>
      </c>
      <c r="S2966" s="1"/>
      <c r="T2966" s="1"/>
      <c r="U2966" s="2">
        <f>IFERROR(__xludf.DUMMYFUNCTION("""COMPUTED_VALUE"""),0.0)</f>
        <v>0</v>
      </c>
      <c r="V2966" s="1" t="str">
        <f>IFERROR(__xludf.DUMMYFUNCTION("""COMPUTED_VALUE"""),"Jen Momo")</f>
        <v>Jen Momo</v>
      </c>
      <c r="W2966" s="1" t="str">
        <f>IFERROR(__xludf.DUMMYFUNCTION("""COMPUTED_VALUE"""),"Print Support PH")</f>
        <v>Print Support PH</v>
      </c>
    </row>
    <row r="2967">
      <c r="O2967" s="1" t="str">
        <f>IFERROR(__xludf.DUMMYFUNCTION("""COMPUTED_VALUE"""),"2026 Apr")</f>
        <v>2026 Apr</v>
      </c>
      <c r="P2967" s="1" t="str">
        <f>IFERROR(__xludf.DUMMYFUNCTION("""COMPUTED_VALUE"""),"Segment-specific Support")</f>
        <v>Segment-specific Support</v>
      </c>
      <c r="Q2967" s="1" t="str">
        <f>IFERROR(__xludf.DUMMYFUNCTION("""COMPUTED_VALUE"""),"sammiee@canva.com")</f>
        <v>sammiee@canva.com</v>
      </c>
      <c r="R2967" s="1" t="str">
        <f>IFERROR(__xludf.DUMMYFUNCTION("""COMPUTED_VALUE"""),"Sam Espelimbergo")</f>
        <v>Sam Espelimbergo</v>
      </c>
      <c r="S2967" s="1"/>
      <c r="T2967" s="1"/>
      <c r="U2967" s="2">
        <f>IFERROR(__xludf.DUMMYFUNCTION("""COMPUTED_VALUE"""),0.0)</f>
        <v>0</v>
      </c>
      <c r="V2967" s="1" t="str">
        <f>IFERROR(__xludf.DUMMYFUNCTION("""COMPUTED_VALUE"""),"Aileen Dayanghirang")</f>
        <v>Aileen Dayanghirang</v>
      </c>
      <c r="W2967" s="1" t="str">
        <f>IFERROR(__xludf.DUMMYFUNCTION("""COMPUTED_VALUE"""),"Creators Support")</f>
        <v>Creators Support</v>
      </c>
    </row>
    <row r="2968">
      <c r="O2968" s="1" t="str">
        <f>IFERROR(__xludf.DUMMYFUNCTION("""COMPUTED_VALUE"""),"2026 Apr")</f>
        <v>2026 Apr</v>
      </c>
      <c r="P2968" s="1" t="str">
        <f>IFERROR(__xludf.DUMMYFUNCTION("""COMPUTED_VALUE"""),"Admin Support")</f>
        <v>Admin Support</v>
      </c>
      <c r="Q2968" s="1" t="str">
        <f>IFERROR(__xludf.DUMMYFUNCTION("""COMPUTED_VALUE"""),"simber@canva.com")</f>
        <v>simber@canva.com</v>
      </c>
      <c r="R2968" s="1" t="str">
        <f>IFERROR(__xludf.DUMMYFUNCTION("""COMPUTED_VALUE"""),"Sean Imber")</f>
        <v>Sean Imber</v>
      </c>
      <c r="S2968" s="1"/>
      <c r="T2968" s="1"/>
      <c r="U2968" s="2">
        <f>IFERROR(__xludf.DUMMYFUNCTION("""COMPUTED_VALUE"""),0.0)</f>
        <v>0</v>
      </c>
      <c r="V2968" s="1" t="str">
        <f>IFERROR(__xludf.DUMMYFUNCTION("""COMPUTED_VALUE"""),"Elise Cesario Mendes")</f>
        <v>Elise Cesario Mendes</v>
      </c>
      <c r="W2968" s="1" t="str">
        <f>IFERROR(__xludf.DUMMYFUNCTION("""COMPUTED_VALUE"""),"Admin Support APJ")</f>
        <v>Admin Support APJ</v>
      </c>
    </row>
    <row r="2969">
      <c r="O2969" s="1" t="str">
        <f>IFERROR(__xludf.DUMMYFUNCTION("""COMPUTED_VALUE"""),"2026 Apr")</f>
        <v>2026 Apr</v>
      </c>
      <c r="P2969" s="1" t="str">
        <f>IFERROR(__xludf.DUMMYFUNCTION("""COMPUTED_VALUE"""),"High Sensitivity Support")</f>
        <v>High Sensitivity Support</v>
      </c>
      <c r="Q2969" s="1" t="str">
        <f>IFERROR(__xludf.DUMMYFUNCTION("""COMPUTED_VALUE"""),"sbaldonado@canva.com")</f>
        <v>sbaldonado@canva.com</v>
      </c>
      <c r="R2969" s="1" t="str">
        <f>IFERROR(__xludf.DUMMYFUNCTION("""COMPUTED_VALUE"""),"Sheira Nicole Baldonado")</f>
        <v>Sheira Nicole Baldonado</v>
      </c>
      <c r="S2969" s="1"/>
      <c r="T2969" s="1"/>
      <c r="U2969" s="2">
        <f>IFERROR(__xludf.DUMMYFUNCTION("""COMPUTED_VALUE"""),0.0)</f>
        <v>0</v>
      </c>
      <c r="V2969" s="1" t="str">
        <f>IFERROR(__xludf.DUMMYFUNCTION("""COMPUTED_VALUE"""),"Rex Villamor")</f>
        <v>Rex Villamor</v>
      </c>
      <c r="W2969" s="1" t="str">
        <f>IFERROR(__xludf.DUMMYFUNCTION("""COMPUTED_VALUE"""),"High Sensitivity Support PH")</f>
        <v>High Sensitivity Support PH</v>
      </c>
    </row>
    <row r="2970">
      <c r="O2970" s="1" t="str">
        <f>IFERROR(__xludf.DUMMYFUNCTION("""COMPUTED_VALUE"""),"2026 Apr")</f>
        <v>2026 Apr</v>
      </c>
      <c r="P2970" s="1" t="str">
        <f>IFERROR(__xludf.DUMMYFUNCTION("""COMPUTED_VALUE"""),"Core Product Support")</f>
        <v>Core Product Support</v>
      </c>
      <c r="Q2970" s="1" t="str">
        <f>IFERROR(__xludf.DUMMYFUNCTION("""COMPUTED_VALUE"""),"sophiae@canva.com")</f>
        <v>sophiae@canva.com</v>
      </c>
      <c r="R2970" s="1" t="str">
        <f>IFERROR(__xludf.DUMMYFUNCTION("""COMPUTED_VALUE"""),"Sophia Ermac")</f>
        <v>Sophia Ermac</v>
      </c>
      <c r="S2970" s="1">
        <f>IFERROR(__xludf.DUMMYFUNCTION("""COMPUTED_VALUE"""),1.0)</f>
        <v>1</v>
      </c>
      <c r="T2970" s="1">
        <f>IFERROR(__xludf.DUMMYFUNCTION("""COMPUTED_VALUE"""),1.75)</f>
        <v>1.75</v>
      </c>
      <c r="U2970" s="2">
        <f>IFERROR(__xludf.DUMMYFUNCTION("""COMPUTED_VALUE"""),2.75)</f>
        <v>2.75</v>
      </c>
      <c r="V2970" s="1" t="str">
        <f>IFERROR(__xludf.DUMMYFUNCTION("""COMPUTED_VALUE"""),"Ana Lazaro")</f>
        <v>Ana Lazaro</v>
      </c>
      <c r="W2970" s="1" t="str">
        <f>IFERROR(__xludf.DUMMYFUNCTION("""COMPUTED_VALUE"""),"Advanced Billing &amp; Subscriptions")</f>
        <v>Advanced Billing &amp; Subscriptions</v>
      </c>
    </row>
    <row r="2971">
      <c r="O2971" s="1" t="str">
        <f>IFERROR(__xludf.DUMMYFUNCTION("""COMPUTED_VALUE"""),"2026 Apr")</f>
        <v>2026 Apr</v>
      </c>
      <c r="P2971" s="1" t="str">
        <f>IFERROR(__xludf.DUMMYFUNCTION("""COMPUTED_VALUE"""),"High Sensitivity Support")</f>
        <v>High Sensitivity Support</v>
      </c>
      <c r="Q2971" s="1" t="str">
        <f>IFERROR(__xludf.DUMMYFUNCTION("""COMPUTED_VALUE"""),"ssroxas@canva.com")</f>
        <v>ssroxas@canva.com</v>
      </c>
      <c r="R2971" s="1" t="str">
        <f>IFERROR(__xludf.DUMMYFUNCTION("""COMPUTED_VALUE"""),"Steph Roxas")</f>
        <v>Steph Roxas</v>
      </c>
      <c r="S2971" s="1"/>
      <c r="T2971" s="1">
        <f>IFERROR(__xludf.DUMMYFUNCTION("""COMPUTED_VALUE"""),2.0)</f>
        <v>2</v>
      </c>
      <c r="U2971" s="2">
        <f>IFERROR(__xludf.DUMMYFUNCTION("""COMPUTED_VALUE"""),2.0)</f>
        <v>2</v>
      </c>
      <c r="V2971" s="1" t="str">
        <f>IFERROR(__xludf.DUMMYFUNCTION("""COMPUTED_VALUE"""),"Rex Villamor")</f>
        <v>Rex Villamor</v>
      </c>
      <c r="W2971" s="1" t="str">
        <f>IFERROR(__xludf.DUMMYFUNCTION("""COMPUTED_VALUE"""),"High Sensitivity Support PH")</f>
        <v>High Sensitivity Support PH</v>
      </c>
    </row>
    <row r="2972">
      <c r="O2972" s="1" t="str">
        <f>IFERROR(__xludf.DUMMYFUNCTION("""COMPUTED_VALUE"""),"2026 Apr")</f>
        <v>2026 Apr</v>
      </c>
      <c r="P2972" s="1" t="str">
        <f>IFERROR(__xludf.DUMMYFUNCTION("""COMPUTED_VALUE"""),"Admin Support")</f>
        <v>Admin Support</v>
      </c>
      <c r="Q2972" s="1" t="str">
        <f>IFERROR(__xludf.DUMMYFUNCTION("""COMPUTED_VALUE"""),"stephanie.t@canva.com")</f>
        <v>stephanie.t@canva.com</v>
      </c>
      <c r="R2972" s="1" t="str">
        <f>IFERROR(__xludf.DUMMYFUNCTION("""COMPUTED_VALUE"""),"Stephanie Lyn Tan")</f>
        <v>Stephanie Lyn Tan</v>
      </c>
      <c r="S2972" s="1"/>
      <c r="T2972" s="1">
        <f>IFERROR(__xludf.DUMMYFUNCTION("""COMPUTED_VALUE"""),0.75)</f>
        <v>0.75</v>
      </c>
      <c r="U2972" s="2">
        <f>IFERROR(__xludf.DUMMYFUNCTION("""COMPUTED_VALUE"""),0.75)</f>
        <v>0.75</v>
      </c>
      <c r="V2972" s="1" t="str">
        <f>IFERROR(__xludf.DUMMYFUNCTION("""COMPUTED_VALUE"""),"Pau Palmero")</f>
        <v>Pau Palmero</v>
      </c>
      <c r="W2972" s="1" t="str">
        <f>IFERROR(__xludf.DUMMYFUNCTION("""COMPUTED_VALUE"""),"Admin Omni Support")</f>
        <v>Admin Omni Support</v>
      </c>
    </row>
    <row r="2973">
      <c r="O2973" s="1" t="str">
        <f>IFERROR(__xludf.DUMMYFUNCTION("""COMPUTED_VALUE"""),"2026 Apr")</f>
        <v>2026 Apr</v>
      </c>
      <c r="P2973" s="1" t="str">
        <f>IFERROR(__xludf.DUMMYFUNCTION("""COMPUTED_VALUE"""),"Admin Support")</f>
        <v>Admin Support</v>
      </c>
      <c r="Q2973" s="1" t="str">
        <f>IFERROR(__xludf.DUMMYFUNCTION("""COMPUTED_VALUE"""),"stephen.k@canva.com")</f>
        <v>stephen.k@canva.com</v>
      </c>
      <c r="R2973" s="1" t="str">
        <f>IFERROR(__xludf.DUMMYFUNCTION("""COMPUTED_VALUE"""),"Stephen Kahanap")</f>
        <v>Stephen Kahanap</v>
      </c>
      <c r="S2973" s="1"/>
      <c r="T2973" s="1">
        <f>IFERROR(__xludf.DUMMYFUNCTION("""COMPUTED_VALUE"""),0.75)</f>
        <v>0.75</v>
      </c>
      <c r="U2973" s="2">
        <f>IFERROR(__xludf.DUMMYFUNCTION("""COMPUTED_VALUE"""),0.75)</f>
        <v>0.75</v>
      </c>
      <c r="V2973" s="1" t="str">
        <f>IFERROR(__xludf.DUMMYFUNCTION("""COMPUTED_VALUE"""),"Ann Dumlao")</f>
        <v>Ann Dumlao</v>
      </c>
      <c r="W2973" s="1" t="str">
        <f>IFERROR(__xludf.DUMMYFUNCTION("""COMPUTED_VALUE"""),"Admin Omni Support")</f>
        <v>Admin Omni Support</v>
      </c>
    </row>
    <row r="2974">
      <c r="O2974" s="1" t="str">
        <f>IFERROR(__xludf.DUMMYFUNCTION("""COMPUTED_VALUE"""),"2026 Apr")</f>
        <v>2026 Apr</v>
      </c>
      <c r="P2974" s="1" t="str">
        <f>IFERROR(__xludf.DUMMYFUNCTION("""COMPUTED_VALUE"""),"Segment-specific Support")</f>
        <v>Segment-specific Support</v>
      </c>
      <c r="Q2974" s="1" t="str">
        <f>IFERROR(__xludf.DUMMYFUNCTION("""COMPUTED_VALUE"""),"sremo@canva.com")</f>
        <v>sremo@canva.com</v>
      </c>
      <c r="R2974" s="1" t="str">
        <f>IFERROR(__xludf.DUMMYFUNCTION("""COMPUTED_VALUE"""),"Sunshine Remo")</f>
        <v>Sunshine Remo</v>
      </c>
      <c r="S2974" s="1"/>
      <c r="T2974" s="1">
        <f>IFERROR(__xludf.DUMMYFUNCTION("""COMPUTED_VALUE"""),0.17)</f>
        <v>0.17</v>
      </c>
      <c r="U2974" s="2">
        <f>IFERROR(__xludf.DUMMYFUNCTION("""COMPUTED_VALUE"""),0.17)</f>
        <v>0.17</v>
      </c>
      <c r="V2974" s="1" t="str">
        <f>IFERROR(__xludf.DUMMYFUNCTION("""COMPUTED_VALUE"""),"Rose Gabilan")</f>
        <v>Rose Gabilan</v>
      </c>
      <c r="W2974" s="1" t="str">
        <f>IFERROR(__xludf.DUMMYFUNCTION("""COMPUTED_VALUE"""),"Affinity Support")</f>
        <v>Affinity Support</v>
      </c>
    </row>
    <row r="2975">
      <c r="O2975" s="1" t="str">
        <f>IFERROR(__xludf.DUMMYFUNCTION("""COMPUTED_VALUE"""),"2026 Apr")</f>
        <v>2026 Apr</v>
      </c>
      <c r="P2975" s="1" t="str">
        <f>IFERROR(__xludf.DUMMYFUNCTION("""COMPUTED_VALUE"""),"Admin Support")</f>
        <v>Admin Support</v>
      </c>
      <c r="Q2975" s="1" t="str">
        <f>IFERROR(__xludf.DUMMYFUNCTION("""COMPUTED_VALUE"""),"susann@canva.com")</f>
        <v>susann@canva.com</v>
      </c>
      <c r="R2975" s="1" t="str">
        <f>IFERROR(__xludf.DUMMYFUNCTION("""COMPUTED_VALUE"""),"Susann Dierich")</f>
        <v>Susann Dierich</v>
      </c>
      <c r="S2975" s="1"/>
      <c r="T2975" s="1"/>
      <c r="U2975" s="2">
        <f>IFERROR(__xludf.DUMMYFUNCTION("""COMPUTED_VALUE"""),0.0)</f>
        <v>0</v>
      </c>
      <c r="V2975" s="1" t="str">
        <f>IFERROR(__xludf.DUMMYFUNCTION("""COMPUTED_VALUE"""),"Tash Kelly")</f>
        <v>Tash Kelly</v>
      </c>
      <c r="W2975" s="1" t="str">
        <f>IFERROR(__xludf.DUMMYFUNCTION("""COMPUTED_VALUE"""),"Admin Support EMEA")</f>
        <v>Admin Support EMEA</v>
      </c>
    </row>
    <row r="2976">
      <c r="O2976" s="1" t="str">
        <f>IFERROR(__xludf.DUMMYFUNCTION("""COMPUTED_VALUE"""),"2026 Apr")</f>
        <v>2026 Apr</v>
      </c>
      <c r="P2976" s="1" t="str">
        <f>IFERROR(__xludf.DUMMYFUNCTION("""COMPUTED_VALUE"""),"Admin Support")</f>
        <v>Admin Support</v>
      </c>
      <c r="Q2976" s="1" t="str">
        <f>IFERROR(__xludf.DUMMYFUNCTION("""COMPUTED_VALUE"""),"skyles@canva.com")</f>
        <v>skyles@canva.com</v>
      </c>
      <c r="R2976" s="1" t="str">
        <f>IFERROR(__xludf.DUMMYFUNCTION("""COMPUTED_VALUE"""),"Sylvia Kyles")</f>
        <v>Sylvia Kyles</v>
      </c>
      <c r="S2976" s="1"/>
      <c r="T2976" s="1"/>
      <c r="U2976" s="2">
        <f>IFERROR(__xludf.DUMMYFUNCTION("""COMPUTED_VALUE"""),0.0)</f>
        <v>0</v>
      </c>
      <c r="V2976" s="1" t="str">
        <f>IFERROR(__xludf.DUMMYFUNCTION("""COMPUTED_VALUE"""),"Nate Vela")</f>
        <v>Nate Vela</v>
      </c>
      <c r="W2976" s="1" t="str">
        <f>IFERROR(__xludf.DUMMYFUNCTION("""COMPUTED_VALUE"""),"Admin Support NA")</f>
        <v>Admin Support NA</v>
      </c>
    </row>
    <row r="2977">
      <c r="O2977" s="1" t="str">
        <f>IFERROR(__xludf.DUMMYFUNCTION("""COMPUTED_VALUE"""),"2026 Apr")</f>
        <v>2026 Apr</v>
      </c>
      <c r="P2977" s="1" t="str">
        <f>IFERROR(__xludf.DUMMYFUNCTION("""COMPUTED_VALUE"""),"Print Support")</f>
        <v>Print Support</v>
      </c>
      <c r="Q2977" s="1" t="str">
        <f>IFERROR(__xludf.DUMMYFUNCTION("""COMPUTED_VALUE"""),"theag@canva.com")</f>
        <v>theag@canva.com</v>
      </c>
      <c r="R2977" s="1" t="str">
        <f>IFERROR(__xludf.DUMMYFUNCTION("""COMPUTED_VALUE"""),"Thea Gelua")</f>
        <v>Thea Gelua</v>
      </c>
      <c r="S2977" s="1"/>
      <c r="T2977" s="1"/>
      <c r="U2977" s="2">
        <f>IFERROR(__xludf.DUMMYFUNCTION("""COMPUTED_VALUE"""),0.0)</f>
        <v>0</v>
      </c>
      <c r="V2977" s="1" t="str">
        <f>IFERROR(__xludf.DUMMYFUNCTION("""COMPUTED_VALUE"""),"Jen Momo")</f>
        <v>Jen Momo</v>
      </c>
      <c r="W2977" s="1" t="str">
        <f>IFERROR(__xludf.DUMMYFUNCTION("""COMPUTED_VALUE"""),"Print Support PH")</f>
        <v>Print Support PH</v>
      </c>
    </row>
    <row r="2978">
      <c r="O2978" s="1" t="str">
        <f>IFERROR(__xludf.DUMMYFUNCTION("""COMPUTED_VALUE"""),"2026 Apr")</f>
        <v>2026 Apr</v>
      </c>
      <c r="P2978" s="1" t="str">
        <f>IFERROR(__xludf.DUMMYFUNCTION("""COMPUTED_VALUE"""),"Print Support")</f>
        <v>Print Support</v>
      </c>
      <c r="Q2978" s="1" t="str">
        <f>IFERROR(__xludf.DUMMYFUNCTION("""COMPUTED_VALUE"""),"tia@canva.com")</f>
        <v>tia@canva.com</v>
      </c>
      <c r="R2978" s="1" t="str">
        <f>IFERROR(__xludf.DUMMYFUNCTION("""COMPUTED_VALUE"""),"Tia Tilanduca")</f>
        <v>Tia Tilanduca</v>
      </c>
      <c r="S2978" s="1"/>
      <c r="T2978" s="1"/>
      <c r="U2978" s="2">
        <f>IFERROR(__xludf.DUMMYFUNCTION("""COMPUTED_VALUE"""),0.0)</f>
        <v>0</v>
      </c>
      <c r="V2978" s="1" t="str">
        <f>IFERROR(__xludf.DUMMYFUNCTION("""COMPUTED_VALUE"""),"Louise Dianne Estrella")</f>
        <v>Louise Dianne Estrella</v>
      </c>
      <c r="W2978" s="1" t="str">
        <f>IFERROR(__xludf.DUMMYFUNCTION("""COMPUTED_VALUE"""),"Print Support PH")</f>
        <v>Print Support PH</v>
      </c>
    </row>
    <row r="2979">
      <c r="O2979" s="1" t="str">
        <f>IFERROR(__xludf.DUMMYFUNCTION("""COMPUTED_VALUE"""),"2026 Apr")</f>
        <v>2026 Apr</v>
      </c>
      <c r="P2979" s="1" t="str">
        <f>IFERROR(__xludf.DUMMYFUNCTION("""COMPUTED_VALUE"""),"Admin Support")</f>
        <v>Admin Support</v>
      </c>
      <c r="Q2979" s="1" t="str">
        <f>IFERROR(__xludf.DUMMYFUNCTION("""COMPUTED_VALUE"""),"tiara@canva.com")</f>
        <v>tiara@canva.com</v>
      </c>
      <c r="R2979" s="1" t="str">
        <f>IFERROR(__xludf.DUMMYFUNCTION("""COMPUTED_VALUE"""),"Tiara Samonte")</f>
        <v>Tiara Samonte</v>
      </c>
      <c r="S2979" s="1"/>
      <c r="T2979" s="1"/>
      <c r="U2979" s="2">
        <f>IFERROR(__xludf.DUMMYFUNCTION("""COMPUTED_VALUE"""),0.0)</f>
        <v>0</v>
      </c>
      <c r="V2979" s="1" t="str">
        <f>IFERROR(__xludf.DUMMYFUNCTION("""COMPUTED_VALUE"""),"AL Suarez")</f>
        <v>AL Suarez</v>
      </c>
      <c r="W2979" s="1" t="str">
        <f>IFERROR(__xludf.DUMMYFUNCTION("""COMPUTED_VALUE"""),"Advanced Billing &amp; Subscriptions")</f>
        <v>Advanced Billing &amp; Subscriptions</v>
      </c>
    </row>
    <row r="2980">
      <c r="O2980" s="1" t="str">
        <f>IFERROR(__xludf.DUMMYFUNCTION("""COMPUTED_VALUE"""),"2026 Apr")</f>
        <v>2026 Apr</v>
      </c>
      <c r="P2980" s="1" t="str">
        <f>IFERROR(__xludf.DUMMYFUNCTION("""COMPUTED_VALUE"""),"Segment-specific Support")</f>
        <v>Segment-specific Support</v>
      </c>
      <c r="Q2980" s="1" t="str">
        <f>IFERROR(__xludf.DUMMYFUNCTION("""COMPUTED_VALUE"""),"timdl@canva.com")</f>
        <v>timdl@canva.com</v>
      </c>
      <c r="R2980" s="1" t="str">
        <f>IFERROR(__xludf.DUMMYFUNCTION("""COMPUTED_VALUE"""),"Tim De Leon")</f>
        <v>Tim De Leon</v>
      </c>
      <c r="S2980" s="1"/>
      <c r="T2980" s="1"/>
      <c r="U2980" s="2">
        <f>IFERROR(__xludf.DUMMYFUNCTION("""COMPUTED_VALUE"""),0.0)</f>
        <v>0</v>
      </c>
      <c r="V2980" s="1" t="str">
        <f>IFERROR(__xludf.DUMMYFUNCTION("""COMPUTED_VALUE"""),"Aileen Dayanghirang")</f>
        <v>Aileen Dayanghirang</v>
      </c>
      <c r="W2980" s="1" t="str">
        <f>IFERROR(__xludf.DUMMYFUNCTION("""COMPUTED_VALUE"""),"Creators Support")</f>
        <v>Creators Support</v>
      </c>
    </row>
    <row r="2981">
      <c r="O2981" s="1" t="str">
        <f>IFERROR(__xludf.DUMMYFUNCTION("""COMPUTED_VALUE"""),"2026 Apr")</f>
        <v>2026 Apr</v>
      </c>
      <c r="P2981" s="1" t="str">
        <f>IFERROR(__xludf.DUMMYFUNCTION("""COMPUTED_VALUE"""),"Admin Support")</f>
        <v>Admin Support</v>
      </c>
      <c r="Q2981" s="1" t="str">
        <f>IFERROR(__xludf.DUMMYFUNCTION("""COMPUTED_VALUE"""),"cnuyda@canva.com")</f>
        <v>cnuyda@canva.com</v>
      </c>
      <c r="R2981" s="1" t="str">
        <f>IFERROR(__xludf.DUMMYFUNCTION("""COMPUTED_VALUE"""),"Toff Nuyda")</f>
        <v>Toff Nuyda</v>
      </c>
      <c r="S2981" s="1"/>
      <c r="T2981" s="1"/>
      <c r="U2981" s="2">
        <f>IFERROR(__xludf.DUMMYFUNCTION("""COMPUTED_VALUE"""),0.0)</f>
        <v>0</v>
      </c>
      <c r="V2981" s="1" t="str">
        <f>IFERROR(__xludf.DUMMYFUNCTION("""COMPUTED_VALUE"""),"Karla Mananghaya")</f>
        <v>Karla Mananghaya</v>
      </c>
      <c r="W2981" s="1" t="str">
        <f>IFERROR(__xludf.DUMMYFUNCTION("""COMPUTED_VALUE"""),"Admin Support Service Escalation Team")</f>
        <v>Admin Support Service Escalation Team</v>
      </c>
    </row>
    <row r="2982">
      <c r="O2982" s="1" t="str">
        <f>IFERROR(__xludf.DUMMYFUNCTION("""COMPUTED_VALUE"""),"2026 Apr")</f>
        <v>2026 Apr</v>
      </c>
      <c r="P2982" s="1" t="str">
        <f>IFERROR(__xludf.DUMMYFUNCTION("""COMPUTED_VALUE"""),"Multilingual Support")</f>
        <v>Multilingual Support</v>
      </c>
      <c r="Q2982" s="1" t="str">
        <f>IFERROR(__xludf.DUMMYFUNCTION("""COMPUTED_VALUE"""),"tricia.p@canva.com")</f>
        <v>tricia.p@canva.com</v>
      </c>
      <c r="R2982" s="1" t="str">
        <f>IFERROR(__xludf.DUMMYFUNCTION("""COMPUTED_VALUE"""),"Tricia Pasagui")</f>
        <v>Tricia Pasagui</v>
      </c>
      <c r="S2982" s="1"/>
      <c r="T2982" s="1"/>
      <c r="U2982" s="2">
        <f>IFERROR(__xludf.DUMMYFUNCTION("""COMPUTED_VALUE"""),0.0)</f>
        <v>0</v>
      </c>
      <c r="V2982" s="1" t="str">
        <f>IFERROR(__xludf.DUMMYFUNCTION("""COMPUTED_VALUE"""),"Arlene Maurillo")</f>
        <v>Arlene Maurillo</v>
      </c>
      <c r="W2982" s="1" t="str">
        <f>IFERROR(__xludf.DUMMYFUNCTION("""COMPUTED_VALUE"""),"PHL, Multilingual Support")</f>
        <v>PHL, Multilingual Support</v>
      </c>
    </row>
    <row r="2983">
      <c r="O2983" s="1" t="str">
        <f>IFERROR(__xludf.DUMMYFUNCTION("""COMPUTED_VALUE"""),"2026 Apr")</f>
        <v>2026 Apr</v>
      </c>
      <c r="P2983" s="1" t="str">
        <f>IFERROR(__xludf.DUMMYFUNCTION("""COMPUTED_VALUE"""),"High Sensitivity Support")</f>
        <v>High Sensitivity Support</v>
      </c>
      <c r="Q2983" s="1" t="str">
        <f>IFERROR(__xludf.DUMMYFUNCTION("""COMPUTED_VALUE"""),"trina@canva.com")</f>
        <v>trina@canva.com</v>
      </c>
      <c r="R2983" s="1" t="str">
        <f>IFERROR(__xludf.DUMMYFUNCTION("""COMPUTED_VALUE"""),"Trina Salcedo")</f>
        <v>Trina Salcedo</v>
      </c>
      <c r="S2983" s="1"/>
      <c r="T2983" s="1">
        <f>IFERROR(__xludf.DUMMYFUNCTION("""COMPUTED_VALUE"""),2.0)</f>
        <v>2</v>
      </c>
      <c r="U2983" s="2">
        <f>IFERROR(__xludf.DUMMYFUNCTION("""COMPUTED_VALUE"""),2.0)</f>
        <v>2</v>
      </c>
      <c r="V2983" s="1" t="str">
        <f>IFERROR(__xludf.DUMMYFUNCTION("""COMPUTED_VALUE"""),"Xandy Azarcon")</f>
        <v>Xandy Azarcon</v>
      </c>
      <c r="W2983" s="1" t="str">
        <f>IFERROR(__xludf.DUMMYFUNCTION("""COMPUTED_VALUE"""),"High Sensitivity Support PH")</f>
        <v>High Sensitivity Support PH</v>
      </c>
    </row>
    <row r="2984">
      <c r="O2984" s="1" t="str">
        <f>IFERROR(__xludf.DUMMYFUNCTION("""COMPUTED_VALUE"""),"2026 Apr")</f>
        <v>2026 Apr</v>
      </c>
      <c r="P2984" s="1" t="str">
        <f>IFERROR(__xludf.DUMMYFUNCTION("""COMPUTED_VALUE"""),"Print Support")</f>
        <v>Print Support</v>
      </c>
      <c r="Q2984" s="1" t="str">
        <f>IFERROR(__xludf.DUMMYFUNCTION("""COMPUTED_VALUE"""),"trissamiguel@canva.com")</f>
        <v>trissamiguel@canva.com</v>
      </c>
      <c r="R2984" s="1" t="str">
        <f>IFERROR(__xludf.DUMMYFUNCTION("""COMPUTED_VALUE"""),"Trissa Miguel")</f>
        <v>Trissa Miguel</v>
      </c>
      <c r="S2984" s="1"/>
      <c r="T2984" s="1">
        <f>IFERROR(__xludf.DUMMYFUNCTION("""COMPUTED_VALUE"""),27.0)</f>
        <v>27</v>
      </c>
      <c r="U2984" s="2">
        <f>IFERROR(__xludf.DUMMYFUNCTION("""COMPUTED_VALUE"""),27.0)</f>
        <v>27</v>
      </c>
      <c r="V2984" s="1" t="str">
        <f>IFERROR(__xludf.DUMMYFUNCTION("""COMPUTED_VALUE"""),"G-Anne Murillo")</f>
        <v>G-Anne Murillo</v>
      </c>
      <c r="W2984" s="1" t="str">
        <f>IFERROR(__xludf.DUMMYFUNCTION("""COMPUTED_VALUE"""),"Print Design Support")</f>
        <v>Print Design Support</v>
      </c>
    </row>
    <row r="2985">
      <c r="O2985" s="1" t="str">
        <f>IFERROR(__xludf.DUMMYFUNCTION("""COMPUTED_VALUE"""),"2026 Apr")</f>
        <v>2026 Apr</v>
      </c>
      <c r="P2985" s="1" t="str">
        <f>IFERROR(__xludf.DUMMYFUNCTION("""COMPUTED_VALUE"""),"Print Support")</f>
        <v>Print Support</v>
      </c>
      <c r="Q2985" s="1" t="str">
        <f>IFERROR(__xludf.DUMMYFUNCTION("""COMPUTED_VALUE"""),"vlad.b@canva.com")</f>
        <v>vlad.b@canva.com</v>
      </c>
      <c r="R2985" s="1" t="str">
        <f>IFERROR(__xludf.DUMMYFUNCTION("""COMPUTED_VALUE"""),"Vladimir Besana")</f>
        <v>Vladimir Besana</v>
      </c>
      <c r="S2985" s="1"/>
      <c r="T2985" s="1"/>
      <c r="U2985" s="2">
        <f>IFERROR(__xludf.DUMMYFUNCTION("""COMPUTED_VALUE"""),0.0)</f>
        <v>0</v>
      </c>
      <c r="V2985" s="1" t="str">
        <f>IFERROR(__xludf.DUMMYFUNCTION("""COMPUTED_VALUE"""),"Jan Domingo")</f>
        <v>Jan Domingo</v>
      </c>
      <c r="W2985" s="1" t="str">
        <f>IFERROR(__xludf.DUMMYFUNCTION("""COMPUTED_VALUE"""),"Print Design Support")</f>
        <v>Print Design Support</v>
      </c>
    </row>
    <row r="2986">
      <c r="O2986" s="1" t="str">
        <f>IFERROR(__xludf.DUMMYFUNCTION("""COMPUTED_VALUE"""),"2026 Apr")</f>
        <v>2026 Apr</v>
      </c>
      <c r="P2986" s="1" t="str">
        <f>IFERROR(__xludf.DUMMYFUNCTION("""COMPUTED_VALUE"""),"Print Support")</f>
        <v>Print Support</v>
      </c>
      <c r="Q2986" s="1" t="str">
        <f>IFERROR(__xludf.DUMMYFUNCTION("""COMPUTED_VALUE"""),"wesleyp@canva.com")</f>
        <v>wesleyp@canva.com</v>
      </c>
      <c r="R2986" s="1" t="str">
        <f>IFERROR(__xludf.DUMMYFUNCTION("""COMPUTED_VALUE"""),"Wes Paira")</f>
        <v>Wes Paira</v>
      </c>
      <c r="S2986" s="1"/>
      <c r="T2986" s="1"/>
      <c r="U2986" s="2">
        <f>IFERROR(__xludf.DUMMYFUNCTION("""COMPUTED_VALUE"""),0.0)</f>
        <v>0</v>
      </c>
      <c r="V2986" s="1" t="str">
        <f>IFERROR(__xludf.DUMMYFUNCTION("""COMPUTED_VALUE"""),"Memae Faustino")</f>
        <v>Memae Faustino</v>
      </c>
      <c r="W2986" s="1" t="str">
        <f>IFERROR(__xludf.DUMMYFUNCTION("""COMPUTED_VALUE"""),"Print Support PH")</f>
        <v>Print Support PH</v>
      </c>
    </row>
    <row r="2987">
      <c r="O2987" s="1" t="str">
        <f>IFERROR(__xludf.DUMMYFUNCTION("""COMPUTED_VALUE"""),"2026 Apr")</f>
        <v>2026 Apr</v>
      </c>
      <c r="P2987" s="1" t="str">
        <f>IFERROR(__xludf.DUMMYFUNCTION("""COMPUTED_VALUE"""),"Core Product Support")</f>
        <v>Core Product Support</v>
      </c>
      <c r="Q2987" s="1" t="str">
        <f>IFERROR(__xludf.DUMMYFUNCTION("""COMPUTED_VALUE"""),"xy@canva.com")</f>
        <v>xy@canva.com</v>
      </c>
      <c r="R2987" s="1" t="str">
        <f>IFERROR(__xludf.DUMMYFUNCTION("""COMPUTED_VALUE"""),"Xyren Bulan")</f>
        <v>Xyren Bulan</v>
      </c>
      <c r="S2987" s="1">
        <f>IFERROR(__xludf.DUMMYFUNCTION("""COMPUTED_VALUE"""),1.0)</f>
        <v>1</v>
      </c>
      <c r="T2987" s="1">
        <f>IFERROR(__xludf.DUMMYFUNCTION("""COMPUTED_VALUE"""),2.0)</f>
        <v>2</v>
      </c>
      <c r="U2987" s="2">
        <f>IFERROR(__xludf.DUMMYFUNCTION("""COMPUTED_VALUE"""),3.0)</f>
        <v>3</v>
      </c>
      <c r="V2987" s="1" t="str">
        <f>IFERROR(__xludf.DUMMYFUNCTION("""COMPUTED_VALUE"""),"Vinz Lazaro")</f>
        <v>Vinz Lazaro</v>
      </c>
      <c r="W2987" s="1" t="str">
        <f>IFERROR(__xludf.DUMMYFUNCTION("""COMPUTED_VALUE"""),"Advanced Product Support")</f>
        <v>Advanced Product Support</v>
      </c>
    </row>
    <row r="2988">
      <c r="O2988" s="1" t="str">
        <f>IFERROR(__xludf.DUMMYFUNCTION("""COMPUTED_VALUE"""),"2026 Apr")</f>
        <v>2026 Apr</v>
      </c>
      <c r="P2988" s="1" t="str">
        <f>IFERROR(__xludf.DUMMYFUNCTION("""COMPUTED_VALUE"""),"Print Support")</f>
        <v>Print Support</v>
      </c>
      <c r="Q2988" s="1" t="str">
        <f>IFERROR(__xludf.DUMMYFUNCTION("""COMPUTED_VALUE"""),"ysabel@canva.com")</f>
        <v>ysabel@canva.com</v>
      </c>
      <c r="R2988" s="1" t="str">
        <f>IFERROR(__xludf.DUMMYFUNCTION("""COMPUTED_VALUE"""),"Ysabel Locsin")</f>
        <v>Ysabel Locsin</v>
      </c>
      <c r="S2988" s="1"/>
      <c r="T2988" s="1">
        <f>IFERROR(__xludf.DUMMYFUNCTION("""COMPUTED_VALUE"""),45.0)</f>
        <v>45</v>
      </c>
      <c r="U2988" s="2">
        <f>IFERROR(__xludf.DUMMYFUNCTION("""COMPUTED_VALUE"""),45.0)</f>
        <v>45</v>
      </c>
      <c r="V2988" s="1" t="str">
        <f>IFERROR(__xludf.DUMMYFUNCTION("""COMPUTED_VALUE"""),"Rei De Jesus")</f>
        <v>Rei De Jesus</v>
      </c>
      <c r="W2988" s="1" t="str">
        <f>IFERROR(__xludf.DUMMYFUNCTION("""COMPUTED_VALUE"""),"Print Design Support")</f>
        <v>Print Design Support</v>
      </c>
    </row>
    <row r="2989">
      <c r="O2989" s="1" t="str">
        <f>IFERROR(__xludf.DUMMYFUNCTION("""COMPUTED_VALUE"""),"2026 Apr")</f>
        <v>2026 Apr</v>
      </c>
      <c r="P2989" s="1" t="str">
        <f>IFERROR(__xludf.DUMMYFUNCTION("""COMPUTED_VALUE"""),"Core Product Support")</f>
        <v>Core Product Support</v>
      </c>
      <c r="Q2989" s="1" t="str">
        <f>IFERROR(__xludf.DUMMYFUNCTION("""COMPUTED_VALUE"""),"ymagno@canva.com")</f>
        <v>ymagno@canva.com</v>
      </c>
      <c r="R2989" s="1" t="str">
        <f>IFERROR(__xludf.DUMMYFUNCTION("""COMPUTED_VALUE"""),"Ysabel Magno")</f>
        <v>Ysabel Magno</v>
      </c>
      <c r="S2989" s="1">
        <f>IFERROR(__xludf.DUMMYFUNCTION("""COMPUTED_VALUE"""),0.5)</f>
        <v>0.5</v>
      </c>
      <c r="T2989" s="1">
        <f>IFERROR(__xludf.DUMMYFUNCTION("""COMPUTED_VALUE"""),2.0)</f>
        <v>2</v>
      </c>
      <c r="U2989" s="2">
        <f>IFERROR(__xludf.DUMMYFUNCTION("""COMPUTED_VALUE"""),2.5)</f>
        <v>2.5</v>
      </c>
      <c r="V2989" s="1" t="str">
        <f>IFERROR(__xludf.DUMMYFUNCTION("""COMPUTED_VALUE"""),"Renette Bok")</f>
        <v>Renette Bok</v>
      </c>
      <c r="W2989" s="1" t="str">
        <f>IFERROR(__xludf.DUMMYFUNCTION("""COMPUTED_VALUE"""),"Advanced Billing &amp; Subscriptions")</f>
        <v>Advanced Billing &amp; Subscriptions</v>
      </c>
    </row>
    <row r="2990">
      <c r="O2990" s="1" t="str">
        <f>IFERROR(__xludf.DUMMYFUNCTION("""COMPUTED_VALUE"""),"2026 Apr")</f>
        <v>2026 Apr</v>
      </c>
      <c r="P2990" s="1" t="str">
        <f>IFERROR(__xludf.DUMMYFUNCTION("""COMPUTED_VALUE"""),"Multilingual Support")</f>
        <v>Multilingual Support</v>
      </c>
      <c r="Q2990" s="1" t="str">
        <f>IFERROR(__xludf.DUMMYFUNCTION("""COMPUTED_VALUE"""),"iuliia@canva.com")</f>
        <v>iuliia@canva.com</v>
      </c>
      <c r="R2990" s="1" t="str">
        <f>IFERROR(__xludf.DUMMYFUNCTION("""COMPUTED_VALUE"""),"Yulya Shevkunova")</f>
        <v>Yulya Shevkunova</v>
      </c>
      <c r="S2990" s="1"/>
      <c r="T2990" s="1"/>
      <c r="U2990" s="2">
        <f>IFERROR(__xludf.DUMMYFUNCTION("""COMPUTED_VALUE"""),0.0)</f>
        <v>0</v>
      </c>
      <c r="V2990" s="1" t="str">
        <f>IFERROR(__xludf.DUMMYFUNCTION("""COMPUTED_VALUE"""),"Arlene Maurillo")</f>
        <v>Arlene Maurillo</v>
      </c>
      <c r="W2990" s="1" t="str">
        <f>IFERROR(__xludf.DUMMYFUNCTION("""COMPUTED_VALUE"""),"PHL, Multilingual Support")</f>
        <v>PHL, Multilingual Support</v>
      </c>
    </row>
    <row r="2991">
      <c r="O2991" s="1" t="str">
        <f>IFERROR(__xludf.DUMMYFUNCTION("""COMPUTED_VALUE"""),"2026 Apr")</f>
        <v>2026 Apr</v>
      </c>
      <c r="P2991" s="1" t="str">
        <f>IFERROR(__xludf.DUMMYFUNCTION("""COMPUTED_VALUE"""),"Core Product Support")</f>
        <v>Core Product Support</v>
      </c>
      <c r="Q2991" s="1" t="str">
        <f>IFERROR(__xludf.DUMMYFUNCTION("""COMPUTED_VALUE"""),"yumi@canva.com")</f>
        <v>yumi@canva.com</v>
      </c>
      <c r="R2991" s="1" t="str">
        <f>IFERROR(__xludf.DUMMYFUNCTION("""COMPUTED_VALUE"""),"Yumi Tominaga")</f>
        <v>Yumi Tominaga</v>
      </c>
      <c r="S2991" s="1">
        <f>IFERROR(__xludf.DUMMYFUNCTION("""COMPUTED_VALUE"""),1.0)</f>
        <v>1</v>
      </c>
      <c r="T2991" s="1">
        <f>IFERROR(__xludf.DUMMYFUNCTION("""COMPUTED_VALUE"""),2.0)</f>
        <v>2</v>
      </c>
      <c r="U2991" s="2">
        <f>IFERROR(__xludf.DUMMYFUNCTION("""COMPUTED_VALUE"""),3.0)</f>
        <v>3</v>
      </c>
      <c r="V2991" s="1" t="str">
        <f>IFERROR(__xludf.DUMMYFUNCTION("""COMPUTED_VALUE"""),"Ana Lazaro")</f>
        <v>Ana Lazaro</v>
      </c>
      <c r="W2991" s="1" t="str">
        <f>IFERROR(__xludf.DUMMYFUNCTION("""COMPUTED_VALUE"""),"Advanced Billing &amp; Subscriptions")</f>
        <v>Advanced Billing &amp; Subscriptions</v>
      </c>
    </row>
    <row r="2992">
      <c r="O2992" s="1" t="str">
        <f>IFERROR(__xludf.DUMMYFUNCTION("""COMPUTED_VALUE"""),"2026 Apr")</f>
        <v>2026 Apr</v>
      </c>
      <c r="P2992" s="1" t="str">
        <f>IFERROR(__xludf.DUMMYFUNCTION("""COMPUTED_VALUE"""),"Core Product Support")</f>
        <v>Core Product Support</v>
      </c>
      <c r="Q2992" s="1" t="str">
        <f>IFERROR(__xludf.DUMMYFUNCTION("""COMPUTED_VALUE"""),"yvette@canva.com")</f>
        <v>yvette@canva.com</v>
      </c>
      <c r="R2992" s="1" t="str">
        <f>IFERROR(__xludf.DUMMYFUNCTION("""COMPUTED_VALUE"""),"Yvette Nogoy")</f>
        <v>Yvette Nogoy</v>
      </c>
      <c r="S2992" s="1">
        <f>IFERROR(__xludf.DUMMYFUNCTION("""COMPUTED_VALUE"""),1.0)</f>
        <v>1</v>
      </c>
      <c r="T2992" s="1">
        <f>IFERROR(__xludf.DUMMYFUNCTION("""COMPUTED_VALUE"""),4.5)</f>
        <v>4.5</v>
      </c>
      <c r="U2992" s="2">
        <f>IFERROR(__xludf.DUMMYFUNCTION("""COMPUTED_VALUE"""),5.5)</f>
        <v>5.5</v>
      </c>
      <c r="V2992" s="1" t="str">
        <f>IFERROR(__xludf.DUMMYFUNCTION("""COMPUTED_VALUE"""),"Jelyn Elmido")</f>
        <v>Jelyn Elmido</v>
      </c>
      <c r="W2992" s="1" t="str">
        <f>IFERROR(__xludf.DUMMYFUNCTION("""COMPUTED_VALUE"""),"Core Product Support Escalation Team")</f>
        <v>Core Product Support Escalation Team</v>
      </c>
    </row>
    <row r="2993">
      <c r="O2993" s="1" t="str">
        <f>IFERROR(__xludf.DUMMYFUNCTION("""COMPUTED_VALUE"""),"2026 Apr")</f>
        <v>2026 Apr</v>
      </c>
      <c r="P2993" s="1" t="str">
        <f>IFERROR(__xludf.DUMMYFUNCTION("""COMPUTED_VALUE"""),"Admin Support")</f>
        <v>Admin Support</v>
      </c>
      <c r="Q2993" s="1" t="str">
        <f>IFERROR(__xludf.DUMMYFUNCTION("""COMPUTED_VALUE"""),"yvonne@canva.com")</f>
        <v>yvonne@canva.com</v>
      </c>
      <c r="R2993" s="1" t="str">
        <f>IFERROR(__xludf.DUMMYFUNCTION("""COMPUTED_VALUE"""),"Yvonne Romasanta")</f>
        <v>Yvonne Romasanta</v>
      </c>
      <c r="S2993" s="1"/>
      <c r="T2993" s="1">
        <f>IFERROR(__xludf.DUMMYFUNCTION("""COMPUTED_VALUE"""),1.0)</f>
        <v>1</v>
      </c>
      <c r="U2993" s="2">
        <f>IFERROR(__xludf.DUMMYFUNCTION("""COMPUTED_VALUE"""),1.0)</f>
        <v>1</v>
      </c>
      <c r="V2993" s="1" t="str">
        <f>IFERROR(__xludf.DUMMYFUNCTION("""COMPUTED_VALUE"""),"Pau Palmero")</f>
        <v>Pau Palmero</v>
      </c>
      <c r="W2993" s="1" t="str">
        <f>IFERROR(__xludf.DUMMYFUNCTION("""COMPUTED_VALUE"""),"Admin Omni Support")</f>
        <v>Admin Omni Support</v>
      </c>
    </row>
    <row r="2994">
      <c r="O2994" s="1" t="str">
        <f>IFERROR(__xludf.DUMMYFUNCTION("""COMPUTED_VALUE"""),"2026 Apr")</f>
        <v>2026 Apr</v>
      </c>
      <c r="P2994" s="1" t="str">
        <f>IFERROR(__xludf.DUMMYFUNCTION("""COMPUTED_VALUE"""),"Print Support")</f>
        <v>Print Support</v>
      </c>
      <c r="Q2994" s="1" t="str">
        <f>IFERROR(__xludf.DUMMYFUNCTION("""COMPUTED_VALUE"""),"zippy@canva.com")</f>
        <v>zippy@canva.com</v>
      </c>
      <c r="R2994" s="1" t="str">
        <f>IFERROR(__xludf.DUMMYFUNCTION("""COMPUTED_VALUE"""),"Zipporah Duque")</f>
        <v>Zipporah Duque</v>
      </c>
      <c r="S2994" s="1"/>
      <c r="T2994" s="1"/>
      <c r="U2994" s="2">
        <f>IFERROR(__xludf.DUMMYFUNCTION("""COMPUTED_VALUE"""),0.0)</f>
        <v>0</v>
      </c>
      <c r="V2994" s="1" t="str">
        <f>IFERROR(__xludf.DUMMYFUNCTION("""COMPUTED_VALUE"""),"Jen Momo")</f>
        <v>Jen Momo</v>
      </c>
      <c r="W2994" s="1" t="str">
        <f>IFERROR(__xludf.DUMMYFUNCTION("""COMPUTED_VALUE"""),"Print Support PH")</f>
        <v>Print Support PH</v>
      </c>
    </row>
    <row r="2995">
      <c r="O2995" s="1" t="str">
        <f>IFERROR(__xludf.DUMMYFUNCTION("""COMPUTED_VALUE"""),"#VALUE!")</f>
        <v>#VALUE!</v>
      </c>
      <c r="P2995" s="1" t="str">
        <f>IFERROR(__xludf.DUMMYFUNCTION("""COMPUTED_VALUE"""),"#N/A")</f>
        <v>#N/A</v>
      </c>
      <c r="Q2995" s="1"/>
      <c r="R2995" s="1"/>
      <c r="S2995" s="1"/>
      <c r="T2995" s="1"/>
      <c r="U2995" s="2">
        <f>IFERROR(__xludf.DUMMYFUNCTION("""COMPUTED_VALUE"""),0.0)</f>
        <v>0</v>
      </c>
      <c r="V2995" s="1" t="str">
        <f>IFERROR(__xludf.DUMMYFUNCTION("""COMPUTED_VALUE"""),"#N/A")</f>
        <v>#N/A</v>
      </c>
      <c r="W2995" s="1" t="str">
        <f>IFERROR(__xludf.DUMMYFUNCTION("""COMPUTED_VALUE"""),"#N/A")</f>
        <v>#N/A</v>
      </c>
    </row>
    <row r="2996">
      <c r="O2996" s="1" t="str">
        <f>IFERROR(__xludf.DUMMYFUNCTION("""COMPUTED_VALUE"""),"#VALUE!")</f>
        <v>#VALUE!</v>
      </c>
      <c r="P2996" s="1" t="str">
        <f>IFERROR(__xludf.DUMMYFUNCTION("""COMPUTED_VALUE"""),"#N/A")</f>
        <v>#N/A</v>
      </c>
      <c r="Q2996" s="1"/>
      <c r="R2996" s="1"/>
      <c r="S2996" s="1"/>
      <c r="T2996" s="1"/>
      <c r="U2996" s="2">
        <f>IFERROR(__xludf.DUMMYFUNCTION("""COMPUTED_VALUE"""),0.0)</f>
        <v>0</v>
      </c>
      <c r="V2996" s="1" t="str">
        <f>IFERROR(__xludf.DUMMYFUNCTION("""COMPUTED_VALUE"""),"#N/A")</f>
        <v>#N/A</v>
      </c>
      <c r="W2996" s="1" t="str">
        <f>IFERROR(__xludf.DUMMYFUNCTION("""COMPUTED_VALUE"""),"#N/A")</f>
        <v>#N/A</v>
      </c>
    </row>
    <row r="2997">
      <c r="O2997" s="1" t="str">
        <f>IFERROR(__xludf.DUMMYFUNCTION("""COMPUTED_VALUE"""),"#VALUE!")</f>
        <v>#VALUE!</v>
      </c>
      <c r="P2997" s="1" t="str">
        <f>IFERROR(__xludf.DUMMYFUNCTION("""COMPUTED_VALUE"""),"#N/A")</f>
        <v>#N/A</v>
      </c>
      <c r="Q2997" s="1"/>
      <c r="R2997" s="1"/>
      <c r="S2997" s="1"/>
      <c r="T2997" s="1"/>
      <c r="U2997" s="2">
        <f>IFERROR(__xludf.DUMMYFUNCTION("""COMPUTED_VALUE"""),0.0)</f>
        <v>0</v>
      </c>
      <c r="V2997" s="1" t="str">
        <f>IFERROR(__xludf.DUMMYFUNCTION("""COMPUTED_VALUE"""),"#N/A")</f>
        <v>#N/A</v>
      </c>
      <c r="W2997" s="1" t="str">
        <f>IFERROR(__xludf.DUMMYFUNCTION("""COMPUTED_VALUE"""),"#N/A")</f>
        <v>#N/A</v>
      </c>
    </row>
    <row r="2998">
      <c r="O2998" s="1" t="str">
        <f>IFERROR(__xludf.DUMMYFUNCTION("""COMPUTED_VALUE"""),"#VALUE!")</f>
        <v>#VALUE!</v>
      </c>
      <c r="P2998" s="1" t="str">
        <f>IFERROR(__xludf.DUMMYFUNCTION("""COMPUTED_VALUE"""),"#N/A")</f>
        <v>#N/A</v>
      </c>
      <c r="Q2998" s="1"/>
      <c r="R2998" s="1"/>
      <c r="S2998" s="1"/>
      <c r="T2998" s="1"/>
      <c r="U2998" s="2">
        <f>IFERROR(__xludf.DUMMYFUNCTION("""COMPUTED_VALUE"""),0.0)</f>
        <v>0</v>
      </c>
      <c r="V2998" s="1" t="str">
        <f>IFERROR(__xludf.DUMMYFUNCTION("""COMPUTED_VALUE"""),"#N/A")</f>
        <v>#N/A</v>
      </c>
      <c r="W2998" s="1" t="str">
        <f>IFERROR(__xludf.DUMMYFUNCTION("""COMPUTED_VALUE"""),"#N/A")</f>
        <v>#N/A</v>
      </c>
    </row>
    <row r="2999">
      <c r="O2999" s="1" t="str">
        <f>IFERROR(__xludf.DUMMYFUNCTION("""COMPUTED_VALUE"""),"#VALUE!")</f>
        <v>#VALUE!</v>
      </c>
      <c r="P2999" s="1" t="str">
        <f>IFERROR(__xludf.DUMMYFUNCTION("""COMPUTED_VALUE"""),"#N/A")</f>
        <v>#N/A</v>
      </c>
      <c r="Q2999" s="1"/>
      <c r="R2999" s="1"/>
      <c r="S2999" s="1"/>
      <c r="T2999" s="1"/>
      <c r="U2999" s="2">
        <f>IFERROR(__xludf.DUMMYFUNCTION("""COMPUTED_VALUE"""),0.0)</f>
        <v>0</v>
      </c>
      <c r="V2999" s="1" t="str">
        <f>IFERROR(__xludf.DUMMYFUNCTION("""COMPUTED_VALUE"""),"#N/A")</f>
        <v>#N/A</v>
      </c>
      <c r="W2999" s="1" t="str">
        <f>IFERROR(__xludf.DUMMYFUNCTION("""COMPUTED_VALUE"""),"#N/A")</f>
        <v>#N/A</v>
      </c>
    </row>
    <row r="3000">
      <c r="O3000" s="1" t="str">
        <f>IFERROR(__xludf.DUMMYFUNCTION("""COMPUTED_VALUE"""),"#VALUE!")</f>
        <v>#VALUE!</v>
      </c>
      <c r="P3000" s="1" t="str">
        <f>IFERROR(__xludf.DUMMYFUNCTION("""COMPUTED_VALUE"""),"#N/A")</f>
        <v>#N/A</v>
      </c>
      <c r="Q3000" s="1"/>
      <c r="R3000" s="1"/>
      <c r="S3000" s="1"/>
      <c r="T3000" s="1"/>
      <c r="U3000" s="2">
        <f>IFERROR(__xludf.DUMMYFUNCTION("""COMPUTED_VALUE"""),0.0)</f>
        <v>0</v>
      </c>
      <c r="V3000" s="1" t="str">
        <f>IFERROR(__xludf.DUMMYFUNCTION("""COMPUTED_VALUE"""),"#N/A")</f>
        <v>#N/A</v>
      </c>
      <c r="W3000" s="1" t="str">
        <f>IFERROR(__xludf.DUMMYFUNCTION("""COMPUTED_VALUE"""),"#N/A")</f>
        <v>#N/A</v>
      </c>
    </row>
    <row r="3001">
      <c r="O3001" s="1" t="str">
        <f>IFERROR(__xludf.DUMMYFUNCTION("""COMPUTED_VALUE"""),"#VALUE!")</f>
        <v>#VALUE!</v>
      </c>
      <c r="P3001" s="1" t="str">
        <f>IFERROR(__xludf.DUMMYFUNCTION("""COMPUTED_VALUE"""),"#N/A")</f>
        <v>#N/A</v>
      </c>
      <c r="Q3001" s="1"/>
      <c r="R3001" s="1"/>
      <c r="S3001" s="1"/>
      <c r="T3001" s="1"/>
      <c r="U3001" s="2">
        <f>IFERROR(__xludf.DUMMYFUNCTION("""COMPUTED_VALUE"""),0.0)</f>
        <v>0</v>
      </c>
      <c r="V3001" s="1" t="str">
        <f>IFERROR(__xludf.DUMMYFUNCTION("""COMPUTED_VALUE"""),"#N/A")</f>
        <v>#N/A</v>
      </c>
      <c r="W3001" s="1" t="str">
        <f>IFERROR(__xludf.DUMMYFUNCTION("""COMPUTED_VALUE"""),"#N/A")</f>
        <v>#N/A</v>
      </c>
    </row>
    <row r="3002">
      <c r="O3002" s="1" t="str">
        <f>IFERROR(__xludf.DUMMYFUNCTION("""COMPUTED_VALUE"""),"#VALUE!")</f>
        <v>#VALUE!</v>
      </c>
      <c r="P3002" s="1" t="str">
        <f>IFERROR(__xludf.DUMMYFUNCTION("""COMPUTED_VALUE"""),"#N/A")</f>
        <v>#N/A</v>
      </c>
      <c r="Q3002" s="1"/>
      <c r="R3002" s="1"/>
      <c r="S3002" s="1"/>
      <c r="T3002" s="1"/>
      <c r="U3002" s="2">
        <f>IFERROR(__xludf.DUMMYFUNCTION("""COMPUTED_VALUE"""),0.0)</f>
        <v>0</v>
      </c>
      <c r="V3002" s="1" t="str">
        <f>IFERROR(__xludf.DUMMYFUNCTION("""COMPUTED_VALUE"""),"#N/A")</f>
        <v>#N/A</v>
      </c>
      <c r="W3002" s="1" t="str">
        <f>IFERROR(__xludf.DUMMYFUNCTION("""COMPUTED_VALUE"""),"#N/A")</f>
        <v>#N/A</v>
      </c>
    </row>
    <row r="3003">
      <c r="O3003" s="1" t="str">
        <f>IFERROR(__xludf.DUMMYFUNCTION("""COMPUTED_VALUE"""),"#VALUE!")</f>
        <v>#VALUE!</v>
      </c>
      <c r="P3003" s="1" t="str">
        <f>IFERROR(__xludf.DUMMYFUNCTION("""COMPUTED_VALUE"""),"#N/A")</f>
        <v>#N/A</v>
      </c>
      <c r="Q3003" s="1"/>
      <c r="R3003" s="1"/>
      <c r="S3003" s="1"/>
      <c r="T3003" s="1"/>
      <c r="U3003" s="2">
        <f>IFERROR(__xludf.DUMMYFUNCTION("""COMPUTED_VALUE"""),0.0)</f>
        <v>0</v>
      </c>
      <c r="V3003" s="1" t="str">
        <f>IFERROR(__xludf.DUMMYFUNCTION("""COMPUTED_VALUE"""),"#N/A")</f>
        <v>#N/A</v>
      </c>
      <c r="W3003" s="1" t="str">
        <f>IFERROR(__xludf.DUMMYFUNCTION("""COMPUTED_VALUE"""),"#N/A")</f>
        <v>#N/A</v>
      </c>
    </row>
    <row r="3004">
      <c r="O3004" s="1" t="str">
        <f>IFERROR(__xludf.DUMMYFUNCTION("""COMPUTED_VALUE"""),"#VALUE!")</f>
        <v>#VALUE!</v>
      </c>
      <c r="P3004" s="1" t="str">
        <f>IFERROR(__xludf.DUMMYFUNCTION("""COMPUTED_VALUE"""),"#N/A")</f>
        <v>#N/A</v>
      </c>
      <c r="Q3004" s="1"/>
      <c r="R3004" s="1"/>
      <c r="S3004" s="1"/>
      <c r="T3004" s="1"/>
      <c r="U3004" s="2">
        <f>IFERROR(__xludf.DUMMYFUNCTION("""COMPUTED_VALUE"""),0.0)</f>
        <v>0</v>
      </c>
      <c r="V3004" s="1" t="str">
        <f>IFERROR(__xludf.DUMMYFUNCTION("""COMPUTED_VALUE"""),"#N/A")</f>
        <v>#N/A</v>
      </c>
      <c r="W3004" s="1" t="str">
        <f>IFERROR(__xludf.DUMMYFUNCTION("""COMPUTED_VALUE"""),"#N/A")</f>
        <v>#N/A</v>
      </c>
    </row>
    <row r="3005">
      <c r="O3005" s="1" t="str">
        <f>IFERROR(__xludf.DUMMYFUNCTION("""COMPUTED_VALUE"""),"#VALUE!")</f>
        <v>#VALUE!</v>
      </c>
      <c r="P3005" s="1" t="str">
        <f>IFERROR(__xludf.DUMMYFUNCTION("""COMPUTED_VALUE"""),"#N/A")</f>
        <v>#N/A</v>
      </c>
      <c r="Q3005" s="1"/>
      <c r="R3005" s="1"/>
      <c r="S3005" s="1"/>
      <c r="T3005" s="1"/>
      <c r="U3005" s="2">
        <f>IFERROR(__xludf.DUMMYFUNCTION("""COMPUTED_VALUE"""),0.0)</f>
        <v>0</v>
      </c>
      <c r="V3005" s="1" t="str">
        <f>IFERROR(__xludf.DUMMYFUNCTION("""COMPUTED_VALUE"""),"#N/A")</f>
        <v>#N/A</v>
      </c>
      <c r="W3005" s="1" t="str">
        <f>IFERROR(__xludf.DUMMYFUNCTION("""COMPUTED_VALUE"""),"#N/A")</f>
        <v>#N/A</v>
      </c>
    </row>
    <row r="3006">
      <c r="O3006" s="1" t="str">
        <f>IFERROR(__xludf.DUMMYFUNCTION("""COMPUTED_VALUE"""),"#VALUE!")</f>
        <v>#VALUE!</v>
      </c>
      <c r="P3006" s="1" t="str">
        <f>IFERROR(__xludf.DUMMYFUNCTION("""COMPUTED_VALUE"""),"#N/A")</f>
        <v>#N/A</v>
      </c>
      <c r="Q3006" s="1"/>
      <c r="R3006" s="1"/>
      <c r="S3006" s="1"/>
      <c r="T3006" s="1"/>
      <c r="U3006" s="2">
        <f>IFERROR(__xludf.DUMMYFUNCTION("""COMPUTED_VALUE"""),0.0)</f>
        <v>0</v>
      </c>
      <c r="V3006" s="1" t="str">
        <f>IFERROR(__xludf.DUMMYFUNCTION("""COMPUTED_VALUE"""),"#N/A")</f>
        <v>#N/A</v>
      </c>
      <c r="W3006" s="1" t="str">
        <f>IFERROR(__xludf.DUMMYFUNCTION("""COMPUTED_VALUE"""),"#N/A")</f>
        <v>#N/A</v>
      </c>
    </row>
    <row r="3007">
      <c r="O3007" s="1" t="str">
        <f>IFERROR(__xludf.DUMMYFUNCTION("""COMPUTED_VALUE"""),"#VALUE!")</f>
        <v>#VALUE!</v>
      </c>
      <c r="P3007" s="1" t="str">
        <f>IFERROR(__xludf.DUMMYFUNCTION("""COMPUTED_VALUE"""),"#N/A")</f>
        <v>#N/A</v>
      </c>
      <c r="Q3007" s="1"/>
      <c r="R3007" s="1"/>
      <c r="S3007" s="1"/>
      <c r="T3007" s="1"/>
      <c r="U3007" s="2">
        <f>IFERROR(__xludf.DUMMYFUNCTION("""COMPUTED_VALUE"""),0.0)</f>
        <v>0</v>
      </c>
      <c r="V3007" s="1" t="str">
        <f>IFERROR(__xludf.DUMMYFUNCTION("""COMPUTED_VALUE"""),"#N/A")</f>
        <v>#N/A</v>
      </c>
      <c r="W3007" s="1" t="str">
        <f>IFERROR(__xludf.DUMMYFUNCTION("""COMPUTED_VALUE"""),"#N/A")</f>
        <v>#N/A</v>
      </c>
    </row>
    <row r="3008">
      <c r="O3008" s="1" t="str">
        <f>IFERROR(__xludf.DUMMYFUNCTION("""COMPUTED_VALUE"""),"#VALUE!")</f>
        <v>#VALUE!</v>
      </c>
      <c r="P3008" s="1" t="str">
        <f>IFERROR(__xludf.DUMMYFUNCTION("""COMPUTED_VALUE"""),"#N/A")</f>
        <v>#N/A</v>
      </c>
      <c r="Q3008" s="1"/>
      <c r="R3008" s="1"/>
      <c r="S3008" s="1"/>
      <c r="T3008" s="1"/>
      <c r="U3008" s="2">
        <f>IFERROR(__xludf.DUMMYFUNCTION("""COMPUTED_VALUE"""),0.0)</f>
        <v>0</v>
      </c>
      <c r="V3008" s="1" t="str">
        <f>IFERROR(__xludf.DUMMYFUNCTION("""COMPUTED_VALUE"""),"#N/A")</f>
        <v>#N/A</v>
      </c>
      <c r="W3008" s="1" t="str">
        <f>IFERROR(__xludf.DUMMYFUNCTION("""COMPUTED_VALUE"""),"#N/A")</f>
        <v>#N/A</v>
      </c>
    </row>
    <row r="3009">
      <c r="O3009" s="1" t="str">
        <f>IFERROR(__xludf.DUMMYFUNCTION("""COMPUTED_VALUE"""),"#VALUE!")</f>
        <v>#VALUE!</v>
      </c>
      <c r="P3009" s="1" t="str">
        <f>IFERROR(__xludf.DUMMYFUNCTION("""COMPUTED_VALUE"""),"#N/A")</f>
        <v>#N/A</v>
      </c>
      <c r="Q3009" s="1"/>
      <c r="R3009" s="1"/>
      <c r="S3009" s="1"/>
      <c r="T3009" s="1"/>
      <c r="U3009" s="2">
        <f>IFERROR(__xludf.DUMMYFUNCTION("""COMPUTED_VALUE"""),0.0)</f>
        <v>0</v>
      </c>
      <c r="V3009" s="1" t="str">
        <f>IFERROR(__xludf.DUMMYFUNCTION("""COMPUTED_VALUE"""),"#N/A")</f>
        <v>#N/A</v>
      </c>
      <c r="W3009" s="1" t="str">
        <f>IFERROR(__xludf.DUMMYFUNCTION("""COMPUTED_VALUE"""),"#N/A")</f>
        <v>#N/A</v>
      </c>
    </row>
    <row r="3010">
      <c r="O3010" s="1" t="str">
        <f>IFERROR(__xludf.DUMMYFUNCTION("""COMPUTED_VALUE"""),"#VALUE!")</f>
        <v>#VALUE!</v>
      </c>
      <c r="P3010" s="1" t="str">
        <f>IFERROR(__xludf.DUMMYFUNCTION("""COMPUTED_VALUE"""),"#N/A")</f>
        <v>#N/A</v>
      </c>
      <c r="Q3010" s="1"/>
      <c r="R3010" s="1"/>
      <c r="S3010" s="1"/>
      <c r="T3010" s="1"/>
      <c r="U3010" s="2">
        <f>IFERROR(__xludf.DUMMYFUNCTION("""COMPUTED_VALUE"""),0.0)</f>
        <v>0</v>
      </c>
      <c r="V3010" s="1" t="str">
        <f>IFERROR(__xludf.DUMMYFUNCTION("""COMPUTED_VALUE"""),"#N/A")</f>
        <v>#N/A</v>
      </c>
      <c r="W3010" s="1" t="str">
        <f>IFERROR(__xludf.DUMMYFUNCTION("""COMPUTED_VALUE"""),"#N/A")</f>
        <v>#N/A</v>
      </c>
    </row>
    <row r="3011">
      <c r="O3011" s="1" t="str">
        <f>IFERROR(__xludf.DUMMYFUNCTION("""COMPUTED_VALUE"""),"#VALUE!")</f>
        <v>#VALUE!</v>
      </c>
      <c r="P3011" s="1" t="str">
        <f>IFERROR(__xludf.DUMMYFUNCTION("""COMPUTED_VALUE"""),"#N/A")</f>
        <v>#N/A</v>
      </c>
      <c r="Q3011" s="1"/>
      <c r="R3011" s="1"/>
      <c r="S3011" s="1"/>
      <c r="T3011" s="1"/>
      <c r="U3011" s="2">
        <f>IFERROR(__xludf.DUMMYFUNCTION("""COMPUTED_VALUE"""),0.0)</f>
        <v>0</v>
      </c>
      <c r="V3011" s="1" t="str">
        <f>IFERROR(__xludf.DUMMYFUNCTION("""COMPUTED_VALUE"""),"#N/A")</f>
        <v>#N/A</v>
      </c>
      <c r="W3011" s="1" t="str">
        <f>IFERROR(__xludf.DUMMYFUNCTION("""COMPUTED_VALUE"""),"#N/A")</f>
        <v>#N/A</v>
      </c>
    </row>
    <row r="3012">
      <c r="O3012" s="1" t="str">
        <f>IFERROR(__xludf.DUMMYFUNCTION("""COMPUTED_VALUE"""),"#VALUE!")</f>
        <v>#VALUE!</v>
      </c>
      <c r="P3012" s="1" t="str">
        <f>IFERROR(__xludf.DUMMYFUNCTION("""COMPUTED_VALUE"""),"#N/A")</f>
        <v>#N/A</v>
      </c>
      <c r="Q3012" s="1"/>
      <c r="R3012" s="1"/>
      <c r="S3012" s="1"/>
      <c r="T3012" s="1"/>
      <c r="U3012" s="2">
        <f>IFERROR(__xludf.DUMMYFUNCTION("""COMPUTED_VALUE"""),0.0)</f>
        <v>0</v>
      </c>
      <c r="V3012" s="1" t="str">
        <f>IFERROR(__xludf.DUMMYFUNCTION("""COMPUTED_VALUE"""),"#N/A")</f>
        <v>#N/A</v>
      </c>
      <c r="W3012" s="1" t="str">
        <f>IFERROR(__xludf.DUMMYFUNCTION("""COMPUTED_VALUE"""),"#N/A")</f>
        <v>#N/A</v>
      </c>
    </row>
    <row r="3013">
      <c r="O3013" s="1" t="str">
        <f>IFERROR(__xludf.DUMMYFUNCTION("""COMPUTED_VALUE"""),"#VALUE!")</f>
        <v>#VALUE!</v>
      </c>
      <c r="P3013" s="1" t="str">
        <f>IFERROR(__xludf.DUMMYFUNCTION("""COMPUTED_VALUE"""),"#N/A")</f>
        <v>#N/A</v>
      </c>
      <c r="Q3013" s="1"/>
      <c r="R3013" s="1"/>
      <c r="S3013" s="1"/>
      <c r="T3013" s="1"/>
      <c r="U3013" s="2">
        <f>IFERROR(__xludf.DUMMYFUNCTION("""COMPUTED_VALUE"""),0.0)</f>
        <v>0</v>
      </c>
      <c r="V3013" s="1" t="str">
        <f>IFERROR(__xludf.DUMMYFUNCTION("""COMPUTED_VALUE"""),"#N/A")</f>
        <v>#N/A</v>
      </c>
      <c r="W3013" s="1" t="str">
        <f>IFERROR(__xludf.DUMMYFUNCTION("""COMPUTED_VALUE"""),"#N/A")</f>
        <v>#N/A</v>
      </c>
    </row>
    <row r="3014">
      <c r="O3014" s="1" t="str">
        <f>IFERROR(__xludf.DUMMYFUNCTION("""COMPUTED_VALUE"""),"#VALUE!")</f>
        <v>#VALUE!</v>
      </c>
      <c r="P3014" s="1" t="str">
        <f>IFERROR(__xludf.DUMMYFUNCTION("""COMPUTED_VALUE"""),"#N/A")</f>
        <v>#N/A</v>
      </c>
      <c r="Q3014" s="1"/>
      <c r="R3014" s="1"/>
      <c r="S3014" s="1"/>
      <c r="T3014" s="1"/>
      <c r="U3014" s="2">
        <f>IFERROR(__xludf.DUMMYFUNCTION("""COMPUTED_VALUE"""),0.0)</f>
        <v>0</v>
      </c>
      <c r="V3014" s="1" t="str">
        <f>IFERROR(__xludf.DUMMYFUNCTION("""COMPUTED_VALUE"""),"#N/A")</f>
        <v>#N/A</v>
      </c>
      <c r="W3014" s="1" t="str">
        <f>IFERROR(__xludf.DUMMYFUNCTION("""COMPUTED_VALUE"""),"#N/A")</f>
        <v>#N/A</v>
      </c>
    </row>
    <row r="3015">
      <c r="O3015" s="1" t="str">
        <f>IFERROR(__xludf.DUMMYFUNCTION("""COMPUTED_VALUE"""),"#VALUE!")</f>
        <v>#VALUE!</v>
      </c>
      <c r="P3015" s="1" t="str">
        <f>IFERROR(__xludf.DUMMYFUNCTION("""COMPUTED_VALUE"""),"#N/A")</f>
        <v>#N/A</v>
      </c>
      <c r="Q3015" s="1"/>
      <c r="R3015" s="1"/>
      <c r="S3015" s="1"/>
      <c r="T3015" s="1"/>
      <c r="U3015" s="2">
        <f>IFERROR(__xludf.DUMMYFUNCTION("""COMPUTED_VALUE"""),0.0)</f>
        <v>0</v>
      </c>
      <c r="V3015" s="1" t="str">
        <f>IFERROR(__xludf.DUMMYFUNCTION("""COMPUTED_VALUE"""),"#N/A")</f>
        <v>#N/A</v>
      </c>
      <c r="W3015" s="1" t="str">
        <f>IFERROR(__xludf.DUMMYFUNCTION("""COMPUTED_VALUE"""),"#N/A")</f>
        <v>#N/A</v>
      </c>
    </row>
    <row r="3016">
      <c r="O3016" s="1" t="str">
        <f>IFERROR(__xludf.DUMMYFUNCTION("""COMPUTED_VALUE"""),"#VALUE!")</f>
        <v>#VALUE!</v>
      </c>
      <c r="P3016" s="1" t="str">
        <f>IFERROR(__xludf.DUMMYFUNCTION("""COMPUTED_VALUE"""),"#N/A")</f>
        <v>#N/A</v>
      </c>
      <c r="Q3016" s="1"/>
      <c r="R3016" s="1"/>
      <c r="S3016" s="1"/>
      <c r="T3016" s="1"/>
      <c r="U3016" s="2">
        <f>IFERROR(__xludf.DUMMYFUNCTION("""COMPUTED_VALUE"""),0.0)</f>
        <v>0</v>
      </c>
      <c r="V3016" s="1" t="str">
        <f>IFERROR(__xludf.DUMMYFUNCTION("""COMPUTED_VALUE"""),"#N/A")</f>
        <v>#N/A</v>
      </c>
      <c r="W3016" s="1" t="str">
        <f>IFERROR(__xludf.DUMMYFUNCTION("""COMPUTED_VALUE"""),"#N/A")</f>
        <v>#N/A</v>
      </c>
    </row>
    <row r="3017">
      <c r="O3017" s="1" t="str">
        <f>IFERROR(__xludf.DUMMYFUNCTION("""COMPUTED_VALUE"""),"#VALUE!")</f>
        <v>#VALUE!</v>
      </c>
      <c r="P3017" s="1" t="str">
        <f>IFERROR(__xludf.DUMMYFUNCTION("""COMPUTED_VALUE"""),"#N/A")</f>
        <v>#N/A</v>
      </c>
      <c r="Q3017" s="1"/>
      <c r="R3017" s="1"/>
      <c r="S3017" s="1"/>
      <c r="T3017" s="1"/>
      <c r="U3017" s="2">
        <f>IFERROR(__xludf.DUMMYFUNCTION("""COMPUTED_VALUE"""),0.0)</f>
        <v>0</v>
      </c>
      <c r="V3017" s="1" t="str">
        <f>IFERROR(__xludf.DUMMYFUNCTION("""COMPUTED_VALUE"""),"#N/A")</f>
        <v>#N/A</v>
      </c>
      <c r="W3017" s="1" t="str">
        <f>IFERROR(__xludf.DUMMYFUNCTION("""COMPUTED_VALUE"""),"#N/A")</f>
        <v>#N/A</v>
      </c>
    </row>
    <row r="3018">
      <c r="O3018" s="1" t="str">
        <f>IFERROR(__xludf.DUMMYFUNCTION("""COMPUTED_VALUE"""),"#VALUE!")</f>
        <v>#VALUE!</v>
      </c>
      <c r="P3018" s="1" t="str">
        <f>IFERROR(__xludf.DUMMYFUNCTION("""COMPUTED_VALUE"""),"#N/A")</f>
        <v>#N/A</v>
      </c>
      <c r="Q3018" s="1"/>
      <c r="R3018" s="1"/>
      <c r="S3018" s="1"/>
      <c r="T3018" s="1"/>
      <c r="U3018" s="2">
        <f>IFERROR(__xludf.DUMMYFUNCTION("""COMPUTED_VALUE"""),0.0)</f>
        <v>0</v>
      </c>
      <c r="V3018" s="1" t="str">
        <f>IFERROR(__xludf.DUMMYFUNCTION("""COMPUTED_VALUE"""),"#N/A")</f>
        <v>#N/A</v>
      </c>
      <c r="W3018" s="1" t="str">
        <f>IFERROR(__xludf.DUMMYFUNCTION("""COMPUTED_VALUE"""),"#N/A")</f>
        <v>#N/A</v>
      </c>
    </row>
    <row r="3019">
      <c r="O3019" s="1" t="str">
        <f>IFERROR(__xludf.DUMMYFUNCTION("""COMPUTED_VALUE"""),"#VALUE!")</f>
        <v>#VALUE!</v>
      </c>
      <c r="P3019" s="1" t="str">
        <f>IFERROR(__xludf.DUMMYFUNCTION("""COMPUTED_VALUE"""),"#N/A")</f>
        <v>#N/A</v>
      </c>
      <c r="Q3019" s="1"/>
      <c r="R3019" s="1"/>
      <c r="S3019" s="1"/>
      <c r="T3019" s="1"/>
      <c r="U3019" s="2">
        <f>IFERROR(__xludf.DUMMYFUNCTION("""COMPUTED_VALUE"""),0.0)</f>
        <v>0</v>
      </c>
      <c r="V3019" s="1" t="str">
        <f>IFERROR(__xludf.DUMMYFUNCTION("""COMPUTED_VALUE"""),"#N/A")</f>
        <v>#N/A</v>
      </c>
      <c r="W3019" s="1" t="str">
        <f>IFERROR(__xludf.DUMMYFUNCTION("""COMPUTED_VALUE"""),"#N/A")</f>
        <v>#N/A</v>
      </c>
    </row>
    <row r="3020">
      <c r="O3020" s="1" t="str">
        <f>IFERROR(__xludf.DUMMYFUNCTION("""COMPUTED_VALUE"""),"#VALUE!")</f>
        <v>#VALUE!</v>
      </c>
      <c r="P3020" s="1" t="str">
        <f>IFERROR(__xludf.DUMMYFUNCTION("""COMPUTED_VALUE"""),"#N/A")</f>
        <v>#N/A</v>
      </c>
      <c r="Q3020" s="1"/>
      <c r="R3020" s="1"/>
      <c r="S3020" s="1"/>
      <c r="T3020" s="1"/>
      <c r="U3020" s="2">
        <f>IFERROR(__xludf.DUMMYFUNCTION("""COMPUTED_VALUE"""),0.0)</f>
        <v>0</v>
      </c>
      <c r="V3020" s="1" t="str">
        <f>IFERROR(__xludf.DUMMYFUNCTION("""COMPUTED_VALUE"""),"#N/A")</f>
        <v>#N/A</v>
      </c>
      <c r="W3020" s="1" t="str">
        <f>IFERROR(__xludf.DUMMYFUNCTION("""COMPUTED_VALUE"""),"#N/A")</f>
        <v>#N/A</v>
      </c>
    </row>
    <row r="3021">
      <c r="O3021" s="1" t="str">
        <f>IFERROR(__xludf.DUMMYFUNCTION("""COMPUTED_VALUE"""),"#VALUE!")</f>
        <v>#VALUE!</v>
      </c>
      <c r="P3021" s="1" t="str">
        <f>IFERROR(__xludf.DUMMYFUNCTION("""COMPUTED_VALUE"""),"#N/A")</f>
        <v>#N/A</v>
      </c>
      <c r="Q3021" s="1"/>
      <c r="R3021" s="1"/>
      <c r="S3021" s="1"/>
      <c r="T3021" s="1"/>
      <c r="U3021" s="2">
        <f>IFERROR(__xludf.DUMMYFUNCTION("""COMPUTED_VALUE"""),0.0)</f>
        <v>0</v>
      </c>
      <c r="V3021" s="1" t="str">
        <f>IFERROR(__xludf.DUMMYFUNCTION("""COMPUTED_VALUE"""),"#N/A")</f>
        <v>#N/A</v>
      </c>
      <c r="W3021" s="1" t="str">
        <f>IFERROR(__xludf.DUMMYFUNCTION("""COMPUTED_VALUE"""),"#N/A")</f>
        <v>#N/A</v>
      </c>
    </row>
    <row r="3022">
      <c r="O3022" s="1" t="str">
        <f>IFERROR(__xludf.DUMMYFUNCTION("""COMPUTED_VALUE"""),"#VALUE!")</f>
        <v>#VALUE!</v>
      </c>
      <c r="P3022" s="1" t="str">
        <f>IFERROR(__xludf.DUMMYFUNCTION("""COMPUTED_VALUE"""),"#N/A")</f>
        <v>#N/A</v>
      </c>
      <c r="Q3022" s="1"/>
      <c r="R3022" s="1"/>
      <c r="S3022" s="1"/>
      <c r="T3022" s="1"/>
      <c r="U3022" s="2">
        <f>IFERROR(__xludf.DUMMYFUNCTION("""COMPUTED_VALUE"""),0.0)</f>
        <v>0</v>
      </c>
      <c r="V3022" s="1" t="str">
        <f>IFERROR(__xludf.DUMMYFUNCTION("""COMPUTED_VALUE"""),"#N/A")</f>
        <v>#N/A</v>
      </c>
      <c r="W3022" s="1" t="str">
        <f>IFERROR(__xludf.DUMMYFUNCTION("""COMPUTED_VALUE"""),"#N/A")</f>
        <v>#N/A</v>
      </c>
    </row>
    <row r="3023">
      <c r="O3023" s="1" t="str">
        <f>IFERROR(__xludf.DUMMYFUNCTION("""COMPUTED_VALUE"""),"#VALUE!")</f>
        <v>#VALUE!</v>
      </c>
      <c r="P3023" s="1" t="str">
        <f>IFERROR(__xludf.DUMMYFUNCTION("""COMPUTED_VALUE"""),"#N/A")</f>
        <v>#N/A</v>
      </c>
      <c r="Q3023" s="1"/>
      <c r="R3023" s="1"/>
      <c r="S3023" s="1"/>
      <c r="T3023" s="1"/>
      <c r="U3023" s="2">
        <f>IFERROR(__xludf.DUMMYFUNCTION("""COMPUTED_VALUE"""),0.0)</f>
        <v>0</v>
      </c>
      <c r="V3023" s="1" t="str">
        <f>IFERROR(__xludf.DUMMYFUNCTION("""COMPUTED_VALUE"""),"#N/A")</f>
        <v>#N/A</v>
      </c>
      <c r="W3023" s="1" t="str">
        <f>IFERROR(__xludf.DUMMYFUNCTION("""COMPUTED_VALUE"""),"#N/A")</f>
        <v>#N/A</v>
      </c>
    </row>
    <row r="3024">
      <c r="O3024" s="1" t="str">
        <f>IFERROR(__xludf.DUMMYFUNCTION("""COMPUTED_VALUE"""),"#VALUE!")</f>
        <v>#VALUE!</v>
      </c>
      <c r="P3024" s="1" t="str">
        <f>IFERROR(__xludf.DUMMYFUNCTION("""COMPUTED_VALUE"""),"#N/A")</f>
        <v>#N/A</v>
      </c>
      <c r="Q3024" s="1"/>
      <c r="R3024" s="1"/>
      <c r="S3024" s="1"/>
      <c r="T3024" s="1"/>
      <c r="U3024" s="2">
        <f>IFERROR(__xludf.DUMMYFUNCTION("""COMPUTED_VALUE"""),0.0)</f>
        <v>0</v>
      </c>
      <c r="V3024" s="1" t="str">
        <f>IFERROR(__xludf.DUMMYFUNCTION("""COMPUTED_VALUE"""),"#N/A")</f>
        <v>#N/A</v>
      </c>
      <c r="W3024" s="1" t="str">
        <f>IFERROR(__xludf.DUMMYFUNCTION("""COMPUTED_VALUE"""),"#N/A")</f>
        <v>#N/A</v>
      </c>
    </row>
    <row r="3025">
      <c r="O3025" s="1" t="str">
        <f>IFERROR(__xludf.DUMMYFUNCTION("""COMPUTED_VALUE"""),"#VALUE!")</f>
        <v>#VALUE!</v>
      </c>
      <c r="P3025" s="1" t="str">
        <f>IFERROR(__xludf.DUMMYFUNCTION("""COMPUTED_VALUE"""),"#N/A")</f>
        <v>#N/A</v>
      </c>
      <c r="Q3025" s="1"/>
      <c r="R3025" s="1"/>
      <c r="S3025" s="1"/>
      <c r="T3025" s="1"/>
      <c r="U3025" s="2">
        <f>IFERROR(__xludf.DUMMYFUNCTION("""COMPUTED_VALUE"""),0.0)</f>
        <v>0</v>
      </c>
      <c r="V3025" s="1" t="str">
        <f>IFERROR(__xludf.DUMMYFUNCTION("""COMPUTED_VALUE"""),"#N/A")</f>
        <v>#N/A</v>
      </c>
      <c r="W3025" s="1" t="str">
        <f>IFERROR(__xludf.DUMMYFUNCTION("""COMPUTED_VALUE"""),"#N/A")</f>
        <v>#N/A</v>
      </c>
    </row>
    <row r="3026">
      <c r="O3026" s="1" t="str">
        <f>IFERROR(__xludf.DUMMYFUNCTION("""COMPUTED_VALUE"""),"#VALUE!")</f>
        <v>#VALUE!</v>
      </c>
      <c r="P3026" s="1" t="str">
        <f>IFERROR(__xludf.DUMMYFUNCTION("""COMPUTED_VALUE"""),"#N/A")</f>
        <v>#N/A</v>
      </c>
      <c r="Q3026" s="1"/>
      <c r="R3026" s="1"/>
      <c r="S3026" s="1"/>
      <c r="T3026" s="1"/>
      <c r="U3026" s="2">
        <f>IFERROR(__xludf.DUMMYFUNCTION("""COMPUTED_VALUE"""),0.0)</f>
        <v>0</v>
      </c>
      <c r="V3026" s="1" t="str">
        <f>IFERROR(__xludf.DUMMYFUNCTION("""COMPUTED_VALUE"""),"#N/A")</f>
        <v>#N/A</v>
      </c>
      <c r="W3026" s="1" t="str">
        <f>IFERROR(__xludf.DUMMYFUNCTION("""COMPUTED_VALUE"""),"#N/A")</f>
        <v>#N/A</v>
      </c>
    </row>
    <row r="3027">
      <c r="O3027" s="1" t="str">
        <f>IFERROR(__xludf.DUMMYFUNCTION("""COMPUTED_VALUE"""),"#VALUE!")</f>
        <v>#VALUE!</v>
      </c>
      <c r="P3027" s="1" t="str">
        <f>IFERROR(__xludf.DUMMYFUNCTION("""COMPUTED_VALUE"""),"#N/A")</f>
        <v>#N/A</v>
      </c>
      <c r="Q3027" s="1"/>
      <c r="R3027" s="1"/>
      <c r="S3027" s="1"/>
      <c r="T3027" s="1"/>
      <c r="U3027" s="2">
        <f>IFERROR(__xludf.DUMMYFUNCTION("""COMPUTED_VALUE"""),0.0)</f>
        <v>0</v>
      </c>
      <c r="V3027" s="1" t="str">
        <f>IFERROR(__xludf.DUMMYFUNCTION("""COMPUTED_VALUE"""),"#N/A")</f>
        <v>#N/A</v>
      </c>
      <c r="W3027" s="1" t="str">
        <f>IFERROR(__xludf.DUMMYFUNCTION("""COMPUTED_VALUE"""),"#N/A")</f>
        <v>#N/A</v>
      </c>
    </row>
    <row r="3028">
      <c r="O3028" s="1" t="str">
        <f>IFERROR(__xludf.DUMMYFUNCTION("""COMPUTED_VALUE"""),"#VALUE!")</f>
        <v>#VALUE!</v>
      </c>
      <c r="P3028" s="1" t="str">
        <f>IFERROR(__xludf.DUMMYFUNCTION("""COMPUTED_VALUE"""),"#N/A")</f>
        <v>#N/A</v>
      </c>
      <c r="Q3028" s="1"/>
      <c r="R3028" s="1"/>
      <c r="S3028" s="1"/>
      <c r="T3028" s="1"/>
      <c r="U3028" s="2">
        <f>IFERROR(__xludf.DUMMYFUNCTION("""COMPUTED_VALUE"""),0.0)</f>
        <v>0</v>
      </c>
      <c r="V3028" s="1" t="str">
        <f>IFERROR(__xludf.DUMMYFUNCTION("""COMPUTED_VALUE"""),"#N/A")</f>
        <v>#N/A</v>
      </c>
      <c r="W3028" s="1" t="str">
        <f>IFERROR(__xludf.DUMMYFUNCTION("""COMPUTED_VALUE"""),"#N/A")</f>
        <v>#N/A</v>
      </c>
    </row>
    <row r="3029">
      <c r="O3029" s="1" t="str">
        <f>IFERROR(__xludf.DUMMYFUNCTION("""COMPUTED_VALUE"""),"#VALUE!")</f>
        <v>#VALUE!</v>
      </c>
      <c r="P3029" s="1" t="str">
        <f>IFERROR(__xludf.DUMMYFUNCTION("""COMPUTED_VALUE"""),"#N/A")</f>
        <v>#N/A</v>
      </c>
      <c r="Q3029" s="1"/>
      <c r="R3029" s="1"/>
      <c r="S3029" s="1"/>
      <c r="T3029" s="1"/>
      <c r="U3029" s="2">
        <f>IFERROR(__xludf.DUMMYFUNCTION("""COMPUTED_VALUE"""),0.0)</f>
        <v>0</v>
      </c>
      <c r="V3029" s="1" t="str">
        <f>IFERROR(__xludf.DUMMYFUNCTION("""COMPUTED_VALUE"""),"#N/A")</f>
        <v>#N/A</v>
      </c>
      <c r="W3029" s="1" t="str">
        <f>IFERROR(__xludf.DUMMYFUNCTION("""COMPUTED_VALUE"""),"#N/A")</f>
        <v>#N/A</v>
      </c>
    </row>
    <row r="3030">
      <c r="O3030" s="1" t="str">
        <f>IFERROR(__xludf.DUMMYFUNCTION("""COMPUTED_VALUE"""),"#VALUE!")</f>
        <v>#VALUE!</v>
      </c>
      <c r="P3030" s="1" t="str">
        <f>IFERROR(__xludf.DUMMYFUNCTION("""COMPUTED_VALUE"""),"#N/A")</f>
        <v>#N/A</v>
      </c>
      <c r="Q3030" s="1"/>
      <c r="R3030" s="1"/>
      <c r="S3030" s="1"/>
      <c r="T3030" s="1"/>
      <c r="U3030" s="2">
        <f>IFERROR(__xludf.DUMMYFUNCTION("""COMPUTED_VALUE"""),0.0)</f>
        <v>0</v>
      </c>
      <c r="V3030" s="1" t="str">
        <f>IFERROR(__xludf.DUMMYFUNCTION("""COMPUTED_VALUE"""),"#N/A")</f>
        <v>#N/A</v>
      </c>
      <c r="W3030" s="1" t="str">
        <f>IFERROR(__xludf.DUMMYFUNCTION("""COMPUTED_VALUE"""),"#N/A")</f>
        <v>#N/A</v>
      </c>
    </row>
    <row r="3031">
      <c r="O3031" s="1" t="str">
        <f>IFERROR(__xludf.DUMMYFUNCTION("""COMPUTED_VALUE"""),"#VALUE!")</f>
        <v>#VALUE!</v>
      </c>
      <c r="P3031" s="1" t="str">
        <f>IFERROR(__xludf.DUMMYFUNCTION("""COMPUTED_VALUE"""),"#N/A")</f>
        <v>#N/A</v>
      </c>
      <c r="Q3031" s="1"/>
      <c r="R3031" s="1"/>
      <c r="S3031" s="1"/>
      <c r="T3031" s="1"/>
      <c r="U3031" s="2">
        <f>IFERROR(__xludf.DUMMYFUNCTION("""COMPUTED_VALUE"""),0.0)</f>
        <v>0</v>
      </c>
      <c r="V3031" s="1" t="str">
        <f>IFERROR(__xludf.DUMMYFUNCTION("""COMPUTED_VALUE"""),"#N/A")</f>
        <v>#N/A</v>
      </c>
      <c r="W3031" s="1" t="str">
        <f>IFERROR(__xludf.DUMMYFUNCTION("""COMPUTED_VALUE"""),"#N/A")</f>
        <v>#N/A</v>
      </c>
    </row>
    <row r="3032">
      <c r="O3032" s="1" t="str">
        <f>IFERROR(__xludf.DUMMYFUNCTION("""COMPUTED_VALUE"""),"#VALUE!")</f>
        <v>#VALUE!</v>
      </c>
      <c r="P3032" s="1" t="str">
        <f>IFERROR(__xludf.DUMMYFUNCTION("""COMPUTED_VALUE"""),"#N/A")</f>
        <v>#N/A</v>
      </c>
      <c r="Q3032" s="1"/>
      <c r="R3032" s="1"/>
      <c r="S3032" s="1"/>
      <c r="T3032" s="1"/>
      <c r="U3032" s="2">
        <f>IFERROR(__xludf.DUMMYFUNCTION("""COMPUTED_VALUE"""),0.0)</f>
        <v>0</v>
      </c>
      <c r="V3032" s="1" t="str">
        <f>IFERROR(__xludf.DUMMYFUNCTION("""COMPUTED_VALUE"""),"#N/A")</f>
        <v>#N/A</v>
      </c>
      <c r="W3032" s="1" t="str">
        <f>IFERROR(__xludf.DUMMYFUNCTION("""COMPUTED_VALUE"""),"#N/A")</f>
        <v>#N/A</v>
      </c>
    </row>
    <row r="3033">
      <c r="O3033" s="1" t="str">
        <f>IFERROR(__xludf.DUMMYFUNCTION("""COMPUTED_VALUE"""),"#VALUE!")</f>
        <v>#VALUE!</v>
      </c>
      <c r="P3033" s="1" t="str">
        <f>IFERROR(__xludf.DUMMYFUNCTION("""COMPUTED_VALUE"""),"#N/A")</f>
        <v>#N/A</v>
      </c>
      <c r="Q3033" s="1"/>
      <c r="R3033" s="1"/>
      <c r="S3033" s="1"/>
      <c r="T3033" s="1"/>
      <c r="U3033" s="2">
        <f>IFERROR(__xludf.DUMMYFUNCTION("""COMPUTED_VALUE"""),0.0)</f>
        <v>0</v>
      </c>
      <c r="V3033" s="1" t="str">
        <f>IFERROR(__xludf.DUMMYFUNCTION("""COMPUTED_VALUE"""),"#N/A")</f>
        <v>#N/A</v>
      </c>
      <c r="W3033" s="1" t="str">
        <f>IFERROR(__xludf.DUMMYFUNCTION("""COMPUTED_VALUE"""),"#N/A")</f>
        <v>#N/A</v>
      </c>
    </row>
    <row r="3034">
      <c r="O3034" s="1" t="str">
        <f>IFERROR(__xludf.DUMMYFUNCTION("""COMPUTED_VALUE"""),"#VALUE!")</f>
        <v>#VALUE!</v>
      </c>
      <c r="P3034" s="1" t="str">
        <f>IFERROR(__xludf.DUMMYFUNCTION("""COMPUTED_VALUE"""),"#N/A")</f>
        <v>#N/A</v>
      </c>
      <c r="Q3034" s="1"/>
      <c r="R3034" s="1"/>
      <c r="S3034" s="1"/>
      <c r="T3034" s="1"/>
      <c r="U3034" s="2">
        <f>IFERROR(__xludf.DUMMYFUNCTION("""COMPUTED_VALUE"""),0.0)</f>
        <v>0</v>
      </c>
      <c r="V3034" s="1" t="str">
        <f>IFERROR(__xludf.DUMMYFUNCTION("""COMPUTED_VALUE"""),"#N/A")</f>
        <v>#N/A</v>
      </c>
      <c r="W3034" s="1" t="str">
        <f>IFERROR(__xludf.DUMMYFUNCTION("""COMPUTED_VALUE"""),"#N/A")</f>
        <v>#N/A</v>
      </c>
    </row>
    <row r="3035">
      <c r="O3035" s="1" t="str">
        <f>IFERROR(__xludf.DUMMYFUNCTION("""COMPUTED_VALUE"""),"#VALUE!")</f>
        <v>#VALUE!</v>
      </c>
      <c r="P3035" s="1" t="str">
        <f>IFERROR(__xludf.DUMMYFUNCTION("""COMPUTED_VALUE"""),"#N/A")</f>
        <v>#N/A</v>
      </c>
      <c r="Q3035" s="1"/>
      <c r="R3035" s="1"/>
      <c r="S3035" s="1"/>
      <c r="T3035" s="1"/>
      <c r="U3035" s="2">
        <f>IFERROR(__xludf.DUMMYFUNCTION("""COMPUTED_VALUE"""),0.0)</f>
        <v>0</v>
      </c>
      <c r="V3035" s="1" t="str">
        <f>IFERROR(__xludf.DUMMYFUNCTION("""COMPUTED_VALUE"""),"#N/A")</f>
        <v>#N/A</v>
      </c>
      <c r="W3035" s="1" t="str">
        <f>IFERROR(__xludf.DUMMYFUNCTION("""COMPUTED_VALUE"""),"#N/A")</f>
        <v>#N/A</v>
      </c>
    </row>
    <row r="3036">
      <c r="O3036" s="1" t="str">
        <f>IFERROR(__xludf.DUMMYFUNCTION("""COMPUTED_VALUE"""),"#VALUE!")</f>
        <v>#VALUE!</v>
      </c>
      <c r="P3036" s="1" t="str">
        <f>IFERROR(__xludf.DUMMYFUNCTION("""COMPUTED_VALUE"""),"#N/A")</f>
        <v>#N/A</v>
      </c>
      <c r="Q3036" s="1"/>
      <c r="R3036" s="1"/>
      <c r="S3036" s="1"/>
      <c r="T3036" s="1"/>
      <c r="U3036" s="2">
        <f>IFERROR(__xludf.DUMMYFUNCTION("""COMPUTED_VALUE"""),0.0)</f>
        <v>0</v>
      </c>
      <c r="V3036" s="1" t="str">
        <f>IFERROR(__xludf.DUMMYFUNCTION("""COMPUTED_VALUE"""),"#N/A")</f>
        <v>#N/A</v>
      </c>
      <c r="W3036" s="1" t="str">
        <f>IFERROR(__xludf.DUMMYFUNCTION("""COMPUTED_VALUE"""),"#N/A")</f>
        <v>#N/A</v>
      </c>
    </row>
    <row r="3037">
      <c r="O3037" s="1" t="str">
        <f>IFERROR(__xludf.DUMMYFUNCTION("""COMPUTED_VALUE"""),"#VALUE!")</f>
        <v>#VALUE!</v>
      </c>
      <c r="P3037" s="1" t="str">
        <f>IFERROR(__xludf.DUMMYFUNCTION("""COMPUTED_VALUE"""),"#N/A")</f>
        <v>#N/A</v>
      </c>
      <c r="Q3037" s="1"/>
      <c r="R3037" s="1"/>
      <c r="S3037" s="1"/>
      <c r="T3037" s="1"/>
      <c r="U3037" s="2">
        <f>IFERROR(__xludf.DUMMYFUNCTION("""COMPUTED_VALUE"""),0.0)</f>
        <v>0</v>
      </c>
      <c r="V3037" s="1" t="str">
        <f>IFERROR(__xludf.DUMMYFUNCTION("""COMPUTED_VALUE"""),"#N/A")</f>
        <v>#N/A</v>
      </c>
      <c r="W3037" s="1" t="str">
        <f>IFERROR(__xludf.DUMMYFUNCTION("""COMPUTED_VALUE"""),"#N/A")</f>
        <v>#N/A</v>
      </c>
    </row>
    <row r="3038">
      <c r="O3038" s="1" t="str">
        <f>IFERROR(__xludf.DUMMYFUNCTION("""COMPUTED_VALUE"""),"#VALUE!")</f>
        <v>#VALUE!</v>
      </c>
      <c r="P3038" s="1" t="str">
        <f>IFERROR(__xludf.DUMMYFUNCTION("""COMPUTED_VALUE"""),"#N/A")</f>
        <v>#N/A</v>
      </c>
      <c r="Q3038" s="1"/>
      <c r="R3038" s="1"/>
      <c r="S3038" s="1"/>
      <c r="T3038" s="1"/>
      <c r="U3038" s="2">
        <f>IFERROR(__xludf.DUMMYFUNCTION("""COMPUTED_VALUE"""),0.0)</f>
        <v>0</v>
      </c>
      <c r="V3038" s="1" t="str">
        <f>IFERROR(__xludf.DUMMYFUNCTION("""COMPUTED_VALUE"""),"#N/A")</f>
        <v>#N/A</v>
      </c>
      <c r="W3038" s="1" t="str">
        <f>IFERROR(__xludf.DUMMYFUNCTION("""COMPUTED_VALUE"""),"#N/A")</f>
        <v>#N/A</v>
      </c>
    </row>
    <row r="3039">
      <c r="O3039" s="1" t="str">
        <f>IFERROR(__xludf.DUMMYFUNCTION("""COMPUTED_VALUE"""),"#VALUE!")</f>
        <v>#VALUE!</v>
      </c>
      <c r="P3039" s="1" t="str">
        <f>IFERROR(__xludf.DUMMYFUNCTION("""COMPUTED_VALUE"""),"#N/A")</f>
        <v>#N/A</v>
      </c>
      <c r="Q3039" s="1"/>
      <c r="R3039" s="1"/>
      <c r="S3039" s="1"/>
      <c r="T3039" s="1"/>
      <c r="U3039" s="2">
        <f>IFERROR(__xludf.DUMMYFUNCTION("""COMPUTED_VALUE"""),0.0)</f>
        <v>0</v>
      </c>
      <c r="V3039" s="1" t="str">
        <f>IFERROR(__xludf.DUMMYFUNCTION("""COMPUTED_VALUE"""),"#N/A")</f>
        <v>#N/A</v>
      </c>
      <c r="W3039" s="1" t="str">
        <f>IFERROR(__xludf.DUMMYFUNCTION("""COMPUTED_VALUE"""),"#N/A")</f>
        <v>#N/A</v>
      </c>
    </row>
    <row r="3040">
      <c r="O3040" s="1" t="str">
        <f>IFERROR(__xludf.DUMMYFUNCTION("""COMPUTED_VALUE"""),"#VALUE!")</f>
        <v>#VALUE!</v>
      </c>
      <c r="P3040" s="1" t="str">
        <f>IFERROR(__xludf.DUMMYFUNCTION("""COMPUTED_VALUE"""),"#N/A")</f>
        <v>#N/A</v>
      </c>
      <c r="Q3040" s="1"/>
      <c r="R3040" s="1"/>
      <c r="S3040" s="1"/>
      <c r="T3040" s="1"/>
      <c r="U3040" s="2">
        <f>IFERROR(__xludf.DUMMYFUNCTION("""COMPUTED_VALUE"""),0.0)</f>
        <v>0</v>
      </c>
      <c r="V3040" s="1" t="str">
        <f>IFERROR(__xludf.DUMMYFUNCTION("""COMPUTED_VALUE"""),"#N/A")</f>
        <v>#N/A</v>
      </c>
      <c r="W3040" s="1" t="str">
        <f>IFERROR(__xludf.DUMMYFUNCTION("""COMPUTED_VALUE"""),"#N/A")</f>
        <v>#N/A</v>
      </c>
    </row>
    <row r="3041">
      <c r="O3041" s="1" t="str">
        <f>IFERROR(__xludf.DUMMYFUNCTION("""COMPUTED_VALUE"""),"#VALUE!")</f>
        <v>#VALUE!</v>
      </c>
      <c r="P3041" s="1" t="str">
        <f>IFERROR(__xludf.DUMMYFUNCTION("""COMPUTED_VALUE"""),"#N/A")</f>
        <v>#N/A</v>
      </c>
      <c r="Q3041" s="1"/>
      <c r="R3041" s="1"/>
      <c r="S3041" s="1"/>
      <c r="T3041" s="1"/>
      <c r="U3041" s="2">
        <f>IFERROR(__xludf.DUMMYFUNCTION("""COMPUTED_VALUE"""),0.0)</f>
        <v>0</v>
      </c>
      <c r="V3041" s="1" t="str">
        <f>IFERROR(__xludf.DUMMYFUNCTION("""COMPUTED_VALUE"""),"#N/A")</f>
        <v>#N/A</v>
      </c>
      <c r="W3041" s="1" t="str">
        <f>IFERROR(__xludf.DUMMYFUNCTION("""COMPUTED_VALUE"""),"#N/A")</f>
        <v>#N/A</v>
      </c>
    </row>
    <row r="3042">
      <c r="O3042" s="1" t="str">
        <f>IFERROR(__xludf.DUMMYFUNCTION("""COMPUTED_VALUE"""),"#VALUE!")</f>
        <v>#VALUE!</v>
      </c>
      <c r="P3042" s="1" t="str">
        <f>IFERROR(__xludf.DUMMYFUNCTION("""COMPUTED_VALUE"""),"#N/A")</f>
        <v>#N/A</v>
      </c>
      <c r="Q3042" s="1"/>
      <c r="R3042" s="1"/>
      <c r="S3042" s="1"/>
      <c r="T3042" s="1"/>
      <c r="U3042" s="2">
        <f>IFERROR(__xludf.DUMMYFUNCTION("""COMPUTED_VALUE"""),0.0)</f>
        <v>0</v>
      </c>
      <c r="V3042" s="1" t="str">
        <f>IFERROR(__xludf.DUMMYFUNCTION("""COMPUTED_VALUE"""),"#N/A")</f>
        <v>#N/A</v>
      </c>
      <c r="W3042" s="1" t="str">
        <f>IFERROR(__xludf.DUMMYFUNCTION("""COMPUTED_VALUE"""),"#N/A")</f>
        <v>#N/A</v>
      </c>
    </row>
    <row r="3043">
      <c r="O3043" s="1" t="str">
        <f>IFERROR(__xludf.DUMMYFUNCTION("""COMPUTED_VALUE"""),"#VALUE!")</f>
        <v>#VALUE!</v>
      </c>
      <c r="P3043" s="1" t="str">
        <f>IFERROR(__xludf.DUMMYFUNCTION("""COMPUTED_VALUE"""),"#N/A")</f>
        <v>#N/A</v>
      </c>
      <c r="Q3043" s="1"/>
      <c r="R3043" s="1"/>
      <c r="S3043" s="1"/>
      <c r="T3043" s="1"/>
      <c r="U3043" s="2">
        <f>IFERROR(__xludf.DUMMYFUNCTION("""COMPUTED_VALUE"""),0.0)</f>
        <v>0</v>
      </c>
      <c r="V3043" s="1" t="str">
        <f>IFERROR(__xludf.DUMMYFUNCTION("""COMPUTED_VALUE"""),"#N/A")</f>
        <v>#N/A</v>
      </c>
      <c r="W3043" s="1" t="str">
        <f>IFERROR(__xludf.DUMMYFUNCTION("""COMPUTED_VALUE"""),"#N/A")</f>
        <v>#N/A</v>
      </c>
    </row>
    <row r="3044">
      <c r="O3044" s="1" t="str">
        <f>IFERROR(__xludf.DUMMYFUNCTION("""COMPUTED_VALUE"""),"#VALUE!")</f>
        <v>#VALUE!</v>
      </c>
      <c r="P3044" s="1" t="str">
        <f>IFERROR(__xludf.DUMMYFUNCTION("""COMPUTED_VALUE"""),"#N/A")</f>
        <v>#N/A</v>
      </c>
      <c r="Q3044" s="1"/>
      <c r="R3044" s="1"/>
      <c r="S3044" s="1"/>
      <c r="T3044" s="1"/>
      <c r="U3044" s="2">
        <f>IFERROR(__xludf.DUMMYFUNCTION("""COMPUTED_VALUE"""),0.0)</f>
        <v>0</v>
      </c>
      <c r="V3044" s="1" t="str">
        <f>IFERROR(__xludf.DUMMYFUNCTION("""COMPUTED_VALUE"""),"#N/A")</f>
        <v>#N/A</v>
      </c>
      <c r="W3044" s="1" t="str">
        <f>IFERROR(__xludf.DUMMYFUNCTION("""COMPUTED_VALUE"""),"#N/A")</f>
        <v>#N/A</v>
      </c>
    </row>
    <row r="3045">
      <c r="O3045" s="1" t="str">
        <f>IFERROR(__xludf.DUMMYFUNCTION("""COMPUTED_VALUE"""),"#VALUE!")</f>
        <v>#VALUE!</v>
      </c>
      <c r="P3045" s="1" t="str">
        <f>IFERROR(__xludf.DUMMYFUNCTION("""COMPUTED_VALUE"""),"#N/A")</f>
        <v>#N/A</v>
      </c>
      <c r="Q3045" s="1"/>
      <c r="R3045" s="1"/>
      <c r="S3045" s="1"/>
      <c r="T3045" s="1"/>
      <c r="U3045" s="2">
        <f>IFERROR(__xludf.DUMMYFUNCTION("""COMPUTED_VALUE"""),0.0)</f>
        <v>0</v>
      </c>
      <c r="V3045" s="1" t="str">
        <f>IFERROR(__xludf.DUMMYFUNCTION("""COMPUTED_VALUE"""),"#N/A")</f>
        <v>#N/A</v>
      </c>
      <c r="W3045" s="1" t="str">
        <f>IFERROR(__xludf.DUMMYFUNCTION("""COMPUTED_VALUE"""),"#N/A")</f>
        <v>#N/A</v>
      </c>
    </row>
    <row r="3046">
      <c r="O3046" s="1" t="str">
        <f>IFERROR(__xludf.DUMMYFUNCTION("""COMPUTED_VALUE"""),"#VALUE!")</f>
        <v>#VALUE!</v>
      </c>
      <c r="P3046" s="1" t="str">
        <f>IFERROR(__xludf.DUMMYFUNCTION("""COMPUTED_VALUE"""),"#N/A")</f>
        <v>#N/A</v>
      </c>
      <c r="Q3046" s="1"/>
      <c r="R3046" s="1"/>
      <c r="S3046" s="1"/>
      <c r="T3046" s="1"/>
      <c r="U3046" s="2">
        <f>IFERROR(__xludf.DUMMYFUNCTION("""COMPUTED_VALUE"""),0.0)</f>
        <v>0</v>
      </c>
      <c r="V3046" s="1" t="str">
        <f>IFERROR(__xludf.DUMMYFUNCTION("""COMPUTED_VALUE"""),"#N/A")</f>
        <v>#N/A</v>
      </c>
      <c r="W3046" s="1" t="str">
        <f>IFERROR(__xludf.DUMMYFUNCTION("""COMPUTED_VALUE"""),"#N/A")</f>
        <v>#N/A</v>
      </c>
    </row>
    <row r="3047">
      <c r="O3047" s="1" t="str">
        <f>IFERROR(__xludf.DUMMYFUNCTION("""COMPUTED_VALUE"""),"#VALUE!")</f>
        <v>#VALUE!</v>
      </c>
      <c r="P3047" s="1" t="str">
        <f>IFERROR(__xludf.DUMMYFUNCTION("""COMPUTED_VALUE"""),"#N/A")</f>
        <v>#N/A</v>
      </c>
      <c r="Q3047" s="1"/>
      <c r="R3047" s="1"/>
      <c r="S3047" s="1"/>
      <c r="T3047" s="1"/>
      <c r="U3047" s="2">
        <f>IFERROR(__xludf.DUMMYFUNCTION("""COMPUTED_VALUE"""),0.0)</f>
        <v>0</v>
      </c>
      <c r="V3047" s="1" t="str">
        <f>IFERROR(__xludf.DUMMYFUNCTION("""COMPUTED_VALUE"""),"#N/A")</f>
        <v>#N/A</v>
      </c>
      <c r="W3047" s="1" t="str">
        <f>IFERROR(__xludf.DUMMYFUNCTION("""COMPUTED_VALUE"""),"#N/A")</f>
        <v>#N/A</v>
      </c>
    </row>
    <row r="3048">
      <c r="O3048" s="1" t="str">
        <f>IFERROR(__xludf.DUMMYFUNCTION("""COMPUTED_VALUE"""),"#VALUE!")</f>
        <v>#VALUE!</v>
      </c>
      <c r="P3048" s="1" t="str">
        <f>IFERROR(__xludf.DUMMYFUNCTION("""COMPUTED_VALUE"""),"#N/A")</f>
        <v>#N/A</v>
      </c>
      <c r="Q3048" s="1"/>
      <c r="R3048" s="1"/>
      <c r="S3048" s="1"/>
      <c r="T3048" s="1"/>
      <c r="U3048" s="2">
        <f>IFERROR(__xludf.DUMMYFUNCTION("""COMPUTED_VALUE"""),0.0)</f>
        <v>0</v>
      </c>
      <c r="V3048" s="1" t="str">
        <f>IFERROR(__xludf.DUMMYFUNCTION("""COMPUTED_VALUE"""),"#N/A")</f>
        <v>#N/A</v>
      </c>
      <c r="W3048" s="1" t="str">
        <f>IFERROR(__xludf.DUMMYFUNCTION("""COMPUTED_VALUE"""),"#N/A")</f>
        <v>#N/A</v>
      </c>
    </row>
    <row r="3049">
      <c r="O3049" s="1" t="str">
        <f>IFERROR(__xludf.DUMMYFUNCTION("""COMPUTED_VALUE"""),"#VALUE!")</f>
        <v>#VALUE!</v>
      </c>
      <c r="P3049" s="1" t="str">
        <f>IFERROR(__xludf.DUMMYFUNCTION("""COMPUTED_VALUE"""),"#N/A")</f>
        <v>#N/A</v>
      </c>
      <c r="Q3049" s="1"/>
      <c r="R3049" s="1"/>
      <c r="S3049" s="1"/>
      <c r="T3049" s="1"/>
      <c r="U3049" s="2">
        <f>IFERROR(__xludf.DUMMYFUNCTION("""COMPUTED_VALUE"""),0.0)</f>
        <v>0</v>
      </c>
      <c r="V3049" s="1" t="str">
        <f>IFERROR(__xludf.DUMMYFUNCTION("""COMPUTED_VALUE"""),"#N/A")</f>
        <v>#N/A</v>
      </c>
      <c r="W3049" s="1" t="str">
        <f>IFERROR(__xludf.DUMMYFUNCTION("""COMPUTED_VALUE"""),"#N/A")</f>
        <v>#N/A</v>
      </c>
    </row>
    <row r="3050">
      <c r="O3050" s="1" t="str">
        <f>IFERROR(__xludf.DUMMYFUNCTION("""COMPUTED_VALUE"""),"#VALUE!")</f>
        <v>#VALUE!</v>
      </c>
      <c r="P3050" s="1" t="str">
        <f>IFERROR(__xludf.DUMMYFUNCTION("""COMPUTED_VALUE"""),"#N/A")</f>
        <v>#N/A</v>
      </c>
      <c r="Q3050" s="1"/>
      <c r="R3050" s="1"/>
      <c r="S3050" s="1"/>
      <c r="T3050" s="1"/>
      <c r="U3050" s="2">
        <f>IFERROR(__xludf.DUMMYFUNCTION("""COMPUTED_VALUE"""),0.0)</f>
        <v>0</v>
      </c>
      <c r="V3050" s="1" t="str">
        <f>IFERROR(__xludf.DUMMYFUNCTION("""COMPUTED_VALUE"""),"#N/A")</f>
        <v>#N/A</v>
      </c>
      <c r="W3050" s="1" t="str">
        <f>IFERROR(__xludf.DUMMYFUNCTION("""COMPUTED_VALUE"""),"#N/A")</f>
        <v>#N/A</v>
      </c>
    </row>
    <row r="3051">
      <c r="O3051" s="1" t="str">
        <f>IFERROR(__xludf.DUMMYFUNCTION("""COMPUTED_VALUE"""),"#VALUE!")</f>
        <v>#VALUE!</v>
      </c>
      <c r="P3051" s="1" t="str">
        <f>IFERROR(__xludf.DUMMYFUNCTION("""COMPUTED_VALUE"""),"#N/A")</f>
        <v>#N/A</v>
      </c>
      <c r="Q3051" s="1"/>
      <c r="R3051" s="1"/>
      <c r="S3051" s="1"/>
      <c r="T3051" s="1"/>
      <c r="U3051" s="2">
        <f>IFERROR(__xludf.DUMMYFUNCTION("""COMPUTED_VALUE"""),0.0)</f>
        <v>0</v>
      </c>
      <c r="V3051" s="1" t="str">
        <f>IFERROR(__xludf.DUMMYFUNCTION("""COMPUTED_VALUE"""),"#N/A")</f>
        <v>#N/A</v>
      </c>
      <c r="W3051" s="1" t="str">
        <f>IFERROR(__xludf.DUMMYFUNCTION("""COMPUTED_VALUE"""),"#N/A")</f>
        <v>#N/A</v>
      </c>
    </row>
    <row r="3052">
      <c r="O3052" s="1" t="str">
        <f>IFERROR(__xludf.DUMMYFUNCTION("""COMPUTED_VALUE"""),"#VALUE!")</f>
        <v>#VALUE!</v>
      </c>
      <c r="P3052" s="1" t="str">
        <f>IFERROR(__xludf.DUMMYFUNCTION("""COMPUTED_VALUE"""),"#N/A")</f>
        <v>#N/A</v>
      </c>
      <c r="Q3052" s="1"/>
      <c r="R3052" s="1"/>
      <c r="S3052" s="1"/>
      <c r="T3052" s="1"/>
      <c r="U3052" s="2">
        <f>IFERROR(__xludf.DUMMYFUNCTION("""COMPUTED_VALUE"""),0.0)</f>
        <v>0</v>
      </c>
      <c r="V3052" s="1" t="str">
        <f>IFERROR(__xludf.DUMMYFUNCTION("""COMPUTED_VALUE"""),"#N/A")</f>
        <v>#N/A</v>
      </c>
      <c r="W3052" s="1" t="str">
        <f>IFERROR(__xludf.DUMMYFUNCTION("""COMPUTED_VALUE"""),"#N/A")</f>
        <v>#N/A</v>
      </c>
    </row>
    <row r="3053">
      <c r="O3053" s="1" t="str">
        <f>IFERROR(__xludf.DUMMYFUNCTION("""COMPUTED_VALUE"""),"#VALUE!")</f>
        <v>#VALUE!</v>
      </c>
      <c r="P3053" s="1" t="str">
        <f>IFERROR(__xludf.DUMMYFUNCTION("""COMPUTED_VALUE"""),"#N/A")</f>
        <v>#N/A</v>
      </c>
      <c r="Q3053" s="1"/>
      <c r="R3053" s="1"/>
      <c r="S3053" s="1"/>
      <c r="T3053" s="1"/>
      <c r="U3053" s="2">
        <f>IFERROR(__xludf.DUMMYFUNCTION("""COMPUTED_VALUE"""),0.0)</f>
        <v>0</v>
      </c>
      <c r="V3053" s="1" t="str">
        <f>IFERROR(__xludf.DUMMYFUNCTION("""COMPUTED_VALUE"""),"#N/A")</f>
        <v>#N/A</v>
      </c>
      <c r="W3053" s="1" t="str">
        <f>IFERROR(__xludf.DUMMYFUNCTION("""COMPUTED_VALUE"""),"#N/A")</f>
        <v>#N/A</v>
      </c>
    </row>
    <row r="3054">
      <c r="O3054" s="1" t="str">
        <f>IFERROR(__xludf.DUMMYFUNCTION("""COMPUTED_VALUE"""),"#VALUE!")</f>
        <v>#VALUE!</v>
      </c>
      <c r="P3054" s="1" t="str">
        <f>IFERROR(__xludf.DUMMYFUNCTION("""COMPUTED_VALUE"""),"#N/A")</f>
        <v>#N/A</v>
      </c>
      <c r="Q3054" s="1"/>
      <c r="R3054" s="1"/>
      <c r="S3054" s="1"/>
      <c r="T3054" s="1"/>
      <c r="U3054" s="2">
        <f>IFERROR(__xludf.DUMMYFUNCTION("""COMPUTED_VALUE"""),0.0)</f>
        <v>0</v>
      </c>
      <c r="V3054" s="1" t="str">
        <f>IFERROR(__xludf.DUMMYFUNCTION("""COMPUTED_VALUE"""),"#N/A")</f>
        <v>#N/A</v>
      </c>
      <c r="W3054" s="1" t="str">
        <f>IFERROR(__xludf.DUMMYFUNCTION("""COMPUTED_VALUE"""),"#N/A")</f>
        <v>#N/A</v>
      </c>
    </row>
    <row r="3055">
      <c r="O3055" s="1" t="str">
        <f>IFERROR(__xludf.DUMMYFUNCTION("""COMPUTED_VALUE"""),"#VALUE!")</f>
        <v>#VALUE!</v>
      </c>
      <c r="P3055" s="1" t="str">
        <f>IFERROR(__xludf.DUMMYFUNCTION("""COMPUTED_VALUE"""),"#N/A")</f>
        <v>#N/A</v>
      </c>
      <c r="Q3055" s="1"/>
      <c r="R3055" s="1"/>
      <c r="S3055" s="1"/>
      <c r="T3055" s="1"/>
      <c r="U3055" s="2">
        <f>IFERROR(__xludf.DUMMYFUNCTION("""COMPUTED_VALUE"""),0.0)</f>
        <v>0</v>
      </c>
      <c r="V3055" s="1" t="str">
        <f>IFERROR(__xludf.DUMMYFUNCTION("""COMPUTED_VALUE"""),"#N/A")</f>
        <v>#N/A</v>
      </c>
      <c r="W3055" s="1" t="str">
        <f>IFERROR(__xludf.DUMMYFUNCTION("""COMPUTED_VALUE"""),"#N/A")</f>
        <v>#N/A</v>
      </c>
    </row>
    <row r="3056">
      <c r="O3056" s="1" t="str">
        <f>IFERROR(__xludf.DUMMYFUNCTION("""COMPUTED_VALUE"""),"#VALUE!")</f>
        <v>#VALUE!</v>
      </c>
      <c r="P3056" s="1" t="str">
        <f>IFERROR(__xludf.DUMMYFUNCTION("""COMPUTED_VALUE"""),"#N/A")</f>
        <v>#N/A</v>
      </c>
      <c r="Q3056" s="1"/>
      <c r="R3056" s="1"/>
      <c r="S3056" s="1"/>
      <c r="T3056" s="1"/>
      <c r="U3056" s="2">
        <f>IFERROR(__xludf.DUMMYFUNCTION("""COMPUTED_VALUE"""),0.0)</f>
        <v>0</v>
      </c>
      <c r="V3056" s="1" t="str">
        <f>IFERROR(__xludf.DUMMYFUNCTION("""COMPUTED_VALUE"""),"#N/A")</f>
        <v>#N/A</v>
      </c>
      <c r="W3056" s="1" t="str">
        <f>IFERROR(__xludf.DUMMYFUNCTION("""COMPUTED_VALUE"""),"#N/A")</f>
        <v>#N/A</v>
      </c>
    </row>
    <row r="3057">
      <c r="O3057" s="1" t="str">
        <f>IFERROR(__xludf.DUMMYFUNCTION("""COMPUTED_VALUE"""),"#VALUE!")</f>
        <v>#VALUE!</v>
      </c>
      <c r="P3057" s="1" t="str">
        <f>IFERROR(__xludf.DUMMYFUNCTION("""COMPUTED_VALUE"""),"#N/A")</f>
        <v>#N/A</v>
      </c>
      <c r="Q3057" s="1"/>
      <c r="R3057" s="1"/>
      <c r="S3057" s="1"/>
      <c r="T3057" s="1"/>
      <c r="U3057" s="2">
        <f>IFERROR(__xludf.DUMMYFUNCTION("""COMPUTED_VALUE"""),0.0)</f>
        <v>0</v>
      </c>
      <c r="V3057" s="1" t="str">
        <f>IFERROR(__xludf.DUMMYFUNCTION("""COMPUTED_VALUE"""),"#N/A")</f>
        <v>#N/A</v>
      </c>
      <c r="W3057" s="1" t="str">
        <f>IFERROR(__xludf.DUMMYFUNCTION("""COMPUTED_VALUE"""),"#N/A")</f>
        <v>#N/A</v>
      </c>
    </row>
    <row r="3058">
      <c r="O3058" s="1" t="str">
        <f>IFERROR(__xludf.DUMMYFUNCTION("""COMPUTED_VALUE"""),"#VALUE!")</f>
        <v>#VALUE!</v>
      </c>
      <c r="P3058" s="1" t="str">
        <f>IFERROR(__xludf.DUMMYFUNCTION("""COMPUTED_VALUE"""),"#N/A")</f>
        <v>#N/A</v>
      </c>
      <c r="Q3058" s="1"/>
      <c r="R3058" s="1"/>
      <c r="S3058" s="1"/>
      <c r="T3058" s="1"/>
      <c r="U3058" s="2">
        <f>IFERROR(__xludf.DUMMYFUNCTION("""COMPUTED_VALUE"""),0.0)</f>
        <v>0</v>
      </c>
      <c r="V3058" s="1" t="str">
        <f>IFERROR(__xludf.DUMMYFUNCTION("""COMPUTED_VALUE"""),"#N/A")</f>
        <v>#N/A</v>
      </c>
      <c r="W3058" s="1" t="str">
        <f>IFERROR(__xludf.DUMMYFUNCTION("""COMPUTED_VALUE"""),"#N/A")</f>
        <v>#N/A</v>
      </c>
    </row>
    <row r="3059">
      <c r="O3059" s="1" t="str">
        <f>IFERROR(__xludf.DUMMYFUNCTION("""COMPUTED_VALUE"""),"#VALUE!")</f>
        <v>#VALUE!</v>
      </c>
      <c r="P3059" s="1" t="str">
        <f>IFERROR(__xludf.DUMMYFUNCTION("""COMPUTED_VALUE"""),"#N/A")</f>
        <v>#N/A</v>
      </c>
      <c r="Q3059" s="1"/>
      <c r="R3059" s="1"/>
      <c r="S3059" s="1"/>
      <c r="T3059" s="1"/>
      <c r="U3059" s="2">
        <f>IFERROR(__xludf.DUMMYFUNCTION("""COMPUTED_VALUE"""),0.0)</f>
        <v>0</v>
      </c>
      <c r="V3059" s="1" t="str">
        <f>IFERROR(__xludf.DUMMYFUNCTION("""COMPUTED_VALUE"""),"#N/A")</f>
        <v>#N/A</v>
      </c>
      <c r="W3059" s="1" t="str">
        <f>IFERROR(__xludf.DUMMYFUNCTION("""COMPUTED_VALUE"""),"#N/A")</f>
        <v>#N/A</v>
      </c>
    </row>
    <row r="3060">
      <c r="O3060" s="1" t="str">
        <f>IFERROR(__xludf.DUMMYFUNCTION("""COMPUTED_VALUE"""),"#VALUE!")</f>
        <v>#VALUE!</v>
      </c>
      <c r="P3060" s="1" t="str">
        <f>IFERROR(__xludf.DUMMYFUNCTION("""COMPUTED_VALUE"""),"#N/A")</f>
        <v>#N/A</v>
      </c>
      <c r="Q3060" s="1"/>
      <c r="R3060" s="1"/>
      <c r="S3060" s="1"/>
      <c r="T3060" s="1"/>
      <c r="U3060" s="2">
        <f>IFERROR(__xludf.DUMMYFUNCTION("""COMPUTED_VALUE"""),0.0)</f>
        <v>0</v>
      </c>
      <c r="V3060" s="1" t="str">
        <f>IFERROR(__xludf.DUMMYFUNCTION("""COMPUTED_VALUE"""),"#N/A")</f>
        <v>#N/A</v>
      </c>
      <c r="W3060" s="1" t="str">
        <f>IFERROR(__xludf.DUMMYFUNCTION("""COMPUTED_VALUE"""),"#N/A")</f>
        <v>#N/A</v>
      </c>
    </row>
    <row r="3061">
      <c r="O3061" s="1" t="str">
        <f>IFERROR(__xludf.DUMMYFUNCTION("""COMPUTED_VALUE"""),"#VALUE!")</f>
        <v>#VALUE!</v>
      </c>
      <c r="P3061" s="1" t="str">
        <f>IFERROR(__xludf.DUMMYFUNCTION("""COMPUTED_VALUE"""),"#N/A")</f>
        <v>#N/A</v>
      </c>
      <c r="Q3061" s="1"/>
      <c r="R3061" s="1"/>
      <c r="S3061" s="1"/>
      <c r="T3061" s="1"/>
      <c r="U3061" s="2">
        <f>IFERROR(__xludf.DUMMYFUNCTION("""COMPUTED_VALUE"""),0.0)</f>
        <v>0</v>
      </c>
      <c r="V3061" s="1" t="str">
        <f>IFERROR(__xludf.DUMMYFUNCTION("""COMPUTED_VALUE"""),"#N/A")</f>
        <v>#N/A</v>
      </c>
      <c r="W3061" s="1" t="str">
        <f>IFERROR(__xludf.DUMMYFUNCTION("""COMPUTED_VALUE"""),"#N/A")</f>
        <v>#N/A</v>
      </c>
    </row>
    <row r="3062">
      <c r="O3062" s="1" t="str">
        <f>IFERROR(__xludf.DUMMYFUNCTION("""COMPUTED_VALUE"""),"#VALUE!")</f>
        <v>#VALUE!</v>
      </c>
      <c r="P3062" s="1" t="str">
        <f>IFERROR(__xludf.DUMMYFUNCTION("""COMPUTED_VALUE"""),"#N/A")</f>
        <v>#N/A</v>
      </c>
      <c r="Q3062" s="1"/>
      <c r="R3062" s="1"/>
      <c r="S3062" s="1"/>
      <c r="T3062" s="1"/>
      <c r="U3062" s="2">
        <f>IFERROR(__xludf.DUMMYFUNCTION("""COMPUTED_VALUE"""),0.0)</f>
        <v>0</v>
      </c>
      <c r="V3062" s="1" t="str">
        <f>IFERROR(__xludf.DUMMYFUNCTION("""COMPUTED_VALUE"""),"#N/A")</f>
        <v>#N/A</v>
      </c>
      <c r="W3062" s="1" t="str">
        <f>IFERROR(__xludf.DUMMYFUNCTION("""COMPUTED_VALUE"""),"#N/A")</f>
        <v>#N/A</v>
      </c>
    </row>
    <row r="3063">
      <c r="O3063" s="1" t="str">
        <f>IFERROR(__xludf.DUMMYFUNCTION("""COMPUTED_VALUE"""),"#VALUE!")</f>
        <v>#VALUE!</v>
      </c>
      <c r="P3063" s="1" t="str">
        <f>IFERROR(__xludf.DUMMYFUNCTION("""COMPUTED_VALUE"""),"#N/A")</f>
        <v>#N/A</v>
      </c>
      <c r="Q3063" s="1"/>
      <c r="R3063" s="1"/>
      <c r="S3063" s="1"/>
      <c r="T3063" s="1"/>
      <c r="U3063" s="2">
        <f>IFERROR(__xludf.DUMMYFUNCTION("""COMPUTED_VALUE"""),0.0)</f>
        <v>0</v>
      </c>
      <c r="V3063" s="1" t="str">
        <f>IFERROR(__xludf.DUMMYFUNCTION("""COMPUTED_VALUE"""),"#N/A")</f>
        <v>#N/A</v>
      </c>
      <c r="W3063" s="1" t="str">
        <f>IFERROR(__xludf.DUMMYFUNCTION("""COMPUTED_VALUE"""),"#N/A")</f>
        <v>#N/A</v>
      </c>
    </row>
    <row r="3064">
      <c r="O3064" s="1" t="str">
        <f>IFERROR(__xludf.DUMMYFUNCTION("""COMPUTED_VALUE"""),"#VALUE!")</f>
        <v>#VALUE!</v>
      </c>
      <c r="P3064" s="1" t="str">
        <f>IFERROR(__xludf.DUMMYFUNCTION("""COMPUTED_VALUE"""),"#N/A")</f>
        <v>#N/A</v>
      </c>
      <c r="Q3064" s="1"/>
      <c r="R3064" s="1"/>
      <c r="S3064" s="1"/>
      <c r="T3064" s="1"/>
      <c r="U3064" s="2">
        <f>IFERROR(__xludf.DUMMYFUNCTION("""COMPUTED_VALUE"""),0.0)</f>
        <v>0</v>
      </c>
      <c r="V3064" s="1" t="str">
        <f>IFERROR(__xludf.DUMMYFUNCTION("""COMPUTED_VALUE"""),"#N/A")</f>
        <v>#N/A</v>
      </c>
      <c r="W3064" s="1" t="str">
        <f>IFERROR(__xludf.DUMMYFUNCTION("""COMPUTED_VALUE"""),"#N/A")</f>
        <v>#N/A</v>
      </c>
    </row>
    <row r="3065">
      <c r="O3065" s="1" t="str">
        <f>IFERROR(__xludf.DUMMYFUNCTION("""COMPUTED_VALUE"""),"#VALUE!")</f>
        <v>#VALUE!</v>
      </c>
      <c r="P3065" s="1" t="str">
        <f>IFERROR(__xludf.DUMMYFUNCTION("""COMPUTED_VALUE"""),"#N/A")</f>
        <v>#N/A</v>
      </c>
      <c r="Q3065" s="1"/>
      <c r="R3065" s="1"/>
      <c r="S3065" s="1"/>
      <c r="T3065" s="1"/>
      <c r="U3065" s="2">
        <f>IFERROR(__xludf.DUMMYFUNCTION("""COMPUTED_VALUE"""),0.0)</f>
        <v>0</v>
      </c>
      <c r="V3065" s="1" t="str">
        <f>IFERROR(__xludf.DUMMYFUNCTION("""COMPUTED_VALUE"""),"#N/A")</f>
        <v>#N/A</v>
      </c>
      <c r="W3065" s="1" t="str">
        <f>IFERROR(__xludf.DUMMYFUNCTION("""COMPUTED_VALUE"""),"#N/A")</f>
        <v>#N/A</v>
      </c>
    </row>
    <row r="3066">
      <c r="O3066" s="1" t="str">
        <f>IFERROR(__xludf.DUMMYFUNCTION("""COMPUTED_VALUE"""),"#VALUE!")</f>
        <v>#VALUE!</v>
      </c>
      <c r="P3066" s="1" t="str">
        <f>IFERROR(__xludf.DUMMYFUNCTION("""COMPUTED_VALUE"""),"#N/A")</f>
        <v>#N/A</v>
      </c>
      <c r="Q3066" s="1"/>
      <c r="R3066" s="1"/>
      <c r="S3066" s="1"/>
      <c r="T3066" s="1"/>
      <c r="U3066" s="2">
        <f>IFERROR(__xludf.DUMMYFUNCTION("""COMPUTED_VALUE"""),0.0)</f>
        <v>0</v>
      </c>
      <c r="V3066" s="1" t="str">
        <f>IFERROR(__xludf.DUMMYFUNCTION("""COMPUTED_VALUE"""),"#N/A")</f>
        <v>#N/A</v>
      </c>
      <c r="W3066" s="1" t="str">
        <f>IFERROR(__xludf.DUMMYFUNCTION("""COMPUTED_VALUE"""),"#N/A")</f>
        <v>#N/A</v>
      </c>
    </row>
    <row r="3067">
      <c r="O3067" s="1" t="str">
        <f>IFERROR(__xludf.DUMMYFUNCTION("""COMPUTED_VALUE"""),"#VALUE!")</f>
        <v>#VALUE!</v>
      </c>
      <c r="P3067" s="1" t="str">
        <f>IFERROR(__xludf.DUMMYFUNCTION("""COMPUTED_VALUE"""),"#N/A")</f>
        <v>#N/A</v>
      </c>
      <c r="Q3067" s="1"/>
      <c r="R3067" s="1"/>
      <c r="S3067" s="1"/>
      <c r="T3067" s="1"/>
      <c r="U3067" s="2">
        <f>IFERROR(__xludf.DUMMYFUNCTION("""COMPUTED_VALUE"""),0.0)</f>
        <v>0</v>
      </c>
      <c r="V3067" s="1" t="str">
        <f>IFERROR(__xludf.DUMMYFUNCTION("""COMPUTED_VALUE"""),"#N/A")</f>
        <v>#N/A</v>
      </c>
      <c r="W3067" s="1" t="str">
        <f>IFERROR(__xludf.DUMMYFUNCTION("""COMPUTED_VALUE"""),"#N/A")</f>
        <v>#N/A</v>
      </c>
    </row>
    <row r="3068">
      <c r="O3068" s="1" t="str">
        <f>IFERROR(__xludf.DUMMYFUNCTION("""COMPUTED_VALUE"""),"#VALUE!")</f>
        <v>#VALUE!</v>
      </c>
      <c r="P3068" s="1" t="str">
        <f>IFERROR(__xludf.DUMMYFUNCTION("""COMPUTED_VALUE"""),"#N/A")</f>
        <v>#N/A</v>
      </c>
      <c r="Q3068" s="1"/>
      <c r="R3068" s="1"/>
      <c r="S3068" s="1"/>
      <c r="T3068" s="1"/>
      <c r="U3068" s="2">
        <f>IFERROR(__xludf.DUMMYFUNCTION("""COMPUTED_VALUE"""),0.0)</f>
        <v>0</v>
      </c>
      <c r="V3068" s="1" t="str">
        <f>IFERROR(__xludf.DUMMYFUNCTION("""COMPUTED_VALUE"""),"#N/A")</f>
        <v>#N/A</v>
      </c>
      <c r="W3068" s="1" t="str">
        <f>IFERROR(__xludf.DUMMYFUNCTION("""COMPUTED_VALUE"""),"#N/A")</f>
        <v>#N/A</v>
      </c>
    </row>
    <row r="3069">
      <c r="O3069" s="1" t="str">
        <f>IFERROR(__xludf.DUMMYFUNCTION("""COMPUTED_VALUE"""),"#VALUE!")</f>
        <v>#VALUE!</v>
      </c>
      <c r="P3069" s="1" t="str">
        <f>IFERROR(__xludf.DUMMYFUNCTION("""COMPUTED_VALUE"""),"#N/A")</f>
        <v>#N/A</v>
      </c>
      <c r="Q3069" s="1"/>
      <c r="R3069" s="1"/>
      <c r="S3069" s="1"/>
      <c r="T3069" s="1"/>
      <c r="U3069" s="2">
        <f>IFERROR(__xludf.DUMMYFUNCTION("""COMPUTED_VALUE"""),0.0)</f>
        <v>0</v>
      </c>
      <c r="V3069" s="1" t="str">
        <f>IFERROR(__xludf.DUMMYFUNCTION("""COMPUTED_VALUE"""),"#N/A")</f>
        <v>#N/A</v>
      </c>
      <c r="W3069" s="1" t="str">
        <f>IFERROR(__xludf.DUMMYFUNCTION("""COMPUTED_VALUE"""),"#N/A")</f>
        <v>#N/A</v>
      </c>
    </row>
    <row r="3070">
      <c r="O3070" s="1" t="str">
        <f>IFERROR(__xludf.DUMMYFUNCTION("""COMPUTED_VALUE"""),"#VALUE!")</f>
        <v>#VALUE!</v>
      </c>
      <c r="P3070" s="1" t="str">
        <f>IFERROR(__xludf.DUMMYFUNCTION("""COMPUTED_VALUE"""),"#N/A")</f>
        <v>#N/A</v>
      </c>
      <c r="Q3070" s="1"/>
      <c r="R3070" s="1"/>
      <c r="S3070" s="1"/>
      <c r="T3070" s="1"/>
      <c r="U3070" s="2">
        <f>IFERROR(__xludf.DUMMYFUNCTION("""COMPUTED_VALUE"""),0.0)</f>
        <v>0</v>
      </c>
      <c r="V3070" s="1" t="str">
        <f>IFERROR(__xludf.DUMMYFUNCTION("""COMPUTED_VALUE"""),"#N/A")</f>
        <v>#N/A</v>
      </c>
      <c r="W3070" s="1" t="str">
        <f>IFERROR(__xludf.DUMMYFUNCTION("""COMPUTED_VALUE"""),"#N/A")</f>
        <v>#N/A</v>
      </c>
    </row>
    <row r="3071">
      <c r="O3071" s="1" t="str">
        <f>IFERROR(__xludf.DUMMYFUNCTION("""COMPUTED_VALUE"""),"#VALUE!")</f>
        <v>#VALUE!</v>
      </c>
      <c r="P3071" s="1" t="str">
        <f>IFERROR(__xludf.DUMMYFUNCTION("""COMPUTED_VALUE"""),"#N/A")</f>
        <v>#N/A</v>
      </c>
      <c r="Q3071" s="1"/>
      <c r="R3071" s="1"/>
      <c r="S3071" s="1"/>
      <c r="T3071" s="1"/>
      <c r="U3071" s="2">
        <f>IFERROR(__xludf.DUMMYFUNCTION("""COMPUTED_VALUE"""),0.0)</f>
        <v>0</v>
      </c>
      <c r="V3071" s="1" t="str">
        <f>IFERROR(__xludf.DUMMYFUNCTION("""COMPUTED_VALUE"""),"#N/A")</f>
        <v>#N/A</v>
      </c>
      <c r="W3071" s="1" t="str">
        <f>IFERROR(__xludf.DUMMYFUNCTION("""COMPUTED_VALUE"""),"#N/A")</f>
        <v>#N/A</v>
      </c>
    </row>
    <row r="3072">
      <c r="O3072" s="1" t="str">
        <f>IFERROR(__xludf.DUMMYFUNCTION("""COMPUTED_VALUE"""),"#VALUE!")</f>
        <v>#VALUE!</v>
      </c>
      <c r="P3072" s="1" t="str">
        <f>IFERROR(__xludf.DUMMYFUNCTION("""COMPUTED_VALUE"""),"#N/A")</f>
        <v>#N/A</v>
      </c>
      <c r="Q3072" s="1"/>
      <c r="R3072" s="1"/>
      <c r="S3072" s="1"/>
      <c r="T3072" s="1"/>
      <c r="U3072" s="2">
        <f>IFERROR(__xludf.DUMMYFUNCTION("""COMPUTED_VALUE"""),0.0)</f>
        <v>0</v>
      </c>
      <c r="V3072" s="1" t="str">
        <f>IFERROR(__xludf.DUMMYFUNCTION("""COMPUTED_VALUE"""),"#N/A")</f>
        <v>#N/A</v>
      </c>
      <c r="W3072" s="1" t="str">
        <f>IFERROR(__xludf.DUMMYFUNCTION("""COMPUTED_VALUE"""),"#N/A")</f>
        <v>#N/A</v>
      </c>
    </row>
    <row r="3073">
      <c r="O3073" s="1" t="str">
        <f>IFERROR(__xludf.DUMMYFUNCTION("""COMPUTED_VALUE"""),"#VALUE!")</f>
        <v>#VALUE!</v>
      </c>
      <c r="P3073" s="1" t="str">
        <f>IFERROR(__xludf.DUMMYFUNCTION("""COMPUTED_VALUE"""),"#N/A")</f>
        <v>#N/A</v>
      </c>
      <c r="Q3073" s="1"/>
      <c r="R3073" s="1"/>
      <c r="S3073" s="1"/>
      <c r="T3073" s="1"/>
      <c r="U3073" s="2">
        <f>IFERROR(__xludf.DUMMYFUNCTION("""COMPUTED_VALUE"""),0.0)</f>
        <v>0</v>
      </c>
      <c r="V3073" s="1" t="str">
        <f>IFERROR(__xludf.DUMMYFUNCTION("""COMPUTED_VALUE"""),"#N/A")</f>
        <v>#N/A</v>
      </c>
      <c r="W3073" s="1" t="str">
        <f>IFERROR(__xludf.DUMMYFUNCTION("""COMPUTED_VALUE"""),"#N/A")</f>
        <v>#N/A</v>
      </c>
    </row>
    <row r="3074">
      <c r="O3074" s="1" t="str">
        <f>IFERROR(__xludf.DUMMYFUNCTION("""COMPUTED_VALUE"""),"#VALUE!")</f>
        <v>#VALUE!</v>
      </c>
      <c r="P3074" s="1" t="str">
        <f>IFERROR(__xludf.DUMMYFUNCTION("""COMPUTED_VALUE"""),"#N/A")</f>
        <v>#N/A</v>
      </c>
      <c r="Q3074" s="1"/>
      <c r="R3074" s="1"/>
      <c r="S3074" s="1"/>
      <c r="T3074" s="1"/>
      <c r="U3074" s="2">
        <f>IFERROR(__xludf.DUMMYFUNCTION("""COMPUTED_VALUE"""),0.0)</f>
        <v>0</v>
      </c>
      <c r="V3074" s="1" t="str">
        <f>IFERROR(__xludf.DUMMYFUNCTION("""COMPUTED_VALUE"""),"#N/A")</f>
        <v>#N/A</v>
      </c>
      <c r="W3074" s="1" t="str">
        <f>IFERROR(__xludf.DUMMYFUNCTION("""COMPUTED_VALUE"""),"#N/A")</f>
        <v>#N/A</v>
      </c>
    </row>
    <row r="3075">
      <c r="O3075" s="1" t="str">
        <f>IFERROR(__xludf.DUMMYFUNCTION("""COMPUTED_VALUE"""),"#VALUE!")</f>
        <v>#VALUE!</v>
      </c>
      <c r="P3075" s="1" t="str">
        <f>IFERROR(__xludf.DUMMYFUNCTION("""COMPUTED_VALUE"""),"#N/A")</f>
        <v>#N/A</v>
      </c>
      <c r="Q3075" s="1"/>
      <c r="R3075" s="1"/>
      <c r="S3075" s="1"/>
      <c r="T3075" s="1"/>
      <c r="U3075" s="2">
        <f>IFERROR(__xludf.DUMMYFUNCTION("""COMPUTED_VALUE"""),0.0)</f>
        <v>0</v>
      </c>
      <c r="V3075" s="1" t="str">
        <f>IFERROR(__xludf.DUMMYFUNCTION("""COMPUTED_VALUE"""),"#N/A")</f>
        <v>#N/A</v>
      </c>
      <c r="W3075" s="1" t="str">
        <f>IFERROR(__xludf.DUMMYFUNCTION("""COMPUTED_VALUE"""),"#N/A")</f>
        <v>#N/A</v>
      </c>
    </row>
    <row r="3076">
      <c r="O3076" s="1" t="str">
        <f>IFERROR(__xludf.DUMMYFUNCTION("""COMPUTED_VALUE"""),"#VALUE!")</f>
        <v>#VALUE!</v>
      </c>
      <c r="P3076" s="1" t="str">
        <f>IFERROR(__xludf.DUMMYFUNCTION("""COMPUTED_VALUE"""),"#N/A")</f>
        <v>#N/A</v>
      </c>
      <c r="Q3076" s="1"/>
      <c r="R3076" s="1"/>
      <c r="S3076" s="1"/>
      <c r="T3076" s="1"/>
      <c r="U3076" s="2">
        <f>IFERROR(__xludf.DUMMYFUNCTION("""COMPUTED_VALUE"""),0.0)</f>
        <v>0</v>
      </c>
      <c r="V3076" s="1" t="str">
        <f>IFERROR(__xludf.DUMMYFUNCTION("""COMPUTED_VALUE"""),"#N/A")</f>
        <v>#N/A</v>
      </c>
      <c r="W3076" s="1" t="str">
        <f>IFERROR(__xludf.DUMMYFUNCTION("""COMPUTED_VALUE"""),"#N/A")</f>
        <v>#N/A</v>
      </c>
    </row>
    <row r="3077">
      <c r="O3077" s="1" t="str">
        <f>IFERROR(__xludf.DUMMYFUNCTION("""COMPUTED_VALUE"""),"#VALUE!")</f>
        <v>#VALUE!</v>
      </c>
      <c r="P3077" s="1" t="str">
        <f>IFERROR(__xludf.DUMMYFUNCTION("""COMPUTED_VALUE"""),"#N/A")</f>
        <v>#N/A</v>
      </c>
      <c r="Q3077" s="1"/>
      <c r="R3077" s="1"/>
      <c r="S3077" s="1"/>
      <c r="T3077" s="1"/>
      <c r="U3077" s="2">
        <f>IFERROR(__xludf.DUMMYFUNCTION("""COMPUTED_VALUE"""),0.0)</f>
        <v>0</v>
      </c>
      <c r="V3077" s="1" t="str">
        <f>IFERROR(__xludf.DUMMYFUNCTION("""COMPUTED_VALUE"""),"#N/A")</f>
        <v>#N/A</v>
      </c>
      <c r="W3077" s="1" t="str">
        <f>IFERROR(__xludf.DUMMYFUNCTION("""COMPUTED_VALUE"""),"#N/A")</f>
        <v>#N/A</v>
      </c>
    </row>
    <row r="3078">
      <c r="O3078" s="1" t="str">
        <f>IFERROR(__xludf.DUMMYFUNCTION("""COMPUTED_VALUE"""),"#VALUE!")</f>
        <v>#VALUE!</v>
      </c>
      <c r="P3078" s="1" t="str">
        <f>IFERROR(__xludf.DUMMYFUNCTION("""COMPUTED_VALUE"""),"#N/A")</f>
        <v>#N/A</v>
      </c>
      <c r="Q3078" s="1"/>
      <c r="R3078" s="1"/>
      <c r="S3078" s="1"/>
      <c r="T3078" s="1"/>
      <c r="U3078" s="2">
        <f>IFERROR(__xludf.DUMMYFUNCTION("""COMPUTED_VALUE"""),0.0)</f>
        <v>0</v>
      </c>
      <c r="V3078" s="1" t="str">
        <f>IFERROR(__xludf.DUMMYFUNCTION("""COMPUTED_VALUE"""),"#N/A")</f>
        <v>#N/A</v>
      </c>
      <c r="W3078" s="1" t="str">
        <f>IFERROR(__xludf.DUMMYFUNCTION("""COMPUTED_VALUE"""),"#N/A")</f>
        <v>#N/A</v>
      </c>
    </row>
    <row r="3079">
      <c r="O3079" s="1" t="str">
        <f>IFERROR(__xludf.DUMMYFUNCTION("""COMPUTED_VALUE"""),"#VALUE!")</f>
        <v>#VALUE!</v>
      </c>
      <c r="P3079" s="1" t="str">
        <f>IFERROR(__xludf.DUMMYFUNCTION("""COMPUTED_VALUE"""),"#N/A")</f>
        <v>#N/A</v>
      </c>
      <c r="Q3079" s="1"/>
      <c r="R3079" s="1"/>
      <c r="S3079" s="1"/>
      <c r="T3079" s="1"/>
      <c r="U3079" s="2">
        <f>IFERROR(__xludf.DUMMYFUNCTION("""COMPUTED_VALUE"""),0.0)</f>
        <v>0</v>
      </c>
      <c r="V3079" s="1" t="str">
        <f>IFERROR(__xludf.DUMMYFUNCTION("""COMPUTED_VALUE"""),"#N/A")</f>
        <v>#N/A</v>
      </c>
      <c r="W3079" s="1" t="str">
        <f>IFERROR(__xludf.DUMMYFUNCTION("""COMPUTED_VALUE"""),"#N/A")</f>
        <v>#N/A</v>
      </c>
    </row>
    <row r="3080">
      <c r="O3080" s="1" t="str">
        <f>IFERROR(__xludf.DUMMYFUNCTION("""COMPUTED_VALUE"""),"#VALUE!")</f>
        <v>#VALUE!</v>
      </c>
      <c r="P3080" s="1" t="str">
        <f>IFERROR(__xludf.DUMMYFUNCTION("""COMPUTED_VALUE"""),"#N/A")</f>
        <v>#N/A</v>
      </c>
      <c r="Q3080" s="1"/>
      <c r="R3080" s="1"/>
      <c r="S3080" s="1"/>
      <c r="T3080" s="1"/>
      <c r="U3080" s="2">
        <f>IFERROR(__xludf.DUMMYFUNCTION("""COMPUTED_VALUE"""),0.0)</f>
        <v>0</v>
      </c>
      <c r="V3080" s="1" t="str">
        <f>IFERROR(__xludf.DUMMYFUNCTION("""COMPUTED_VALUE"""),"#N/A")</f>
        <v>#N/A</v>
      </c>
      <c r="W3080" s="1" t="str">
        <f>IFERROR(__xludf.DUMMYFUNCTION("""COMPUTED_VALUE"""),"#N/A")</f>
        <v>#N/A</v>
      </c>
    </row>
    <row r="3081">
      <c r="O3081" s="1" t="str">
        <f>IFERROR(__xludf.DUMMYFUNCTION("""COMPUTED_VALUE"""),"#VALUE!")</f>
        <v>#VALUE!</v>
      </c>
      <c r="P3081" s="1" t="str">
        <f>IFERROR(__xludf.DUMMYFUNCTION("""COMPUTED_VALUE"""),"#N/A")</f>
        <v>#N/A</v>
      </c>
      <c r="Q3081" s="1"/>
      <c r="R3081" s="1"/>
      <c r="S3081" s="1"/>
      <c r="T3081" s="1"/>
      <c r="U3081" s="2">
        <f>IFERROR(__xludf.DUMMYFUNCTION("""COMPUTED_VALUE"""),0.0)</f>
        <v>0</v>
      </c>
      <c r="V3081" s="1" t="str">
        <f>IFERROR(__xludf.DUMMYFUNCTION("""COMPUTED_VALUE"""),"#N/A")</f>
        <v>#N/A</v>
      </c>
      <c r="W3081" s="1" t="str">
        <f>IFERROR(__xludf.DUMMYFUNCTION("""COMPUTED_VALUE"""),"#N/A")</f>
        <v>#N/A</v>
      </c>
    </row>
    <row r="3082">
      <c r="O3082" s="1" t="str">
        <f>IFERROR(__xludf.DUMMYFUNCTION("""COMPUTED_VALUE"""),"#VALUE!")</f>
        <v>#VALUE!</v>
      </c>
      <c r="P3082" s="1" t="str">
        <f>IFERROR(__xludf.DUMMYFUNCTION("""COMPUTED_VALUE"""),"#N/A")</f>
        <v>#N/A</v>
      </c>
      <c r="Q3082" s="1"/>
      <c r="R3082" s="1"/>
      <c r="S3082" s="1"/>
      <c r="T3082" s="1"/>
      <c r="U3082" s="2">
        <f>IFERROR(__xludf.DUMMYFUNCTION("""COMPUTED_VALUE"""),0.0)</f>
        <v>0</v>
      </c>
      <c r="V3082" s="1" t="str">
        <f>IFERROR(__xludf.DUMMYFUNCTION("""COMPUTED_VALUE"""),"#N/A")</f>
        <v>#N/A</v>
      </c>
      <c r="W3082" s="1" t="str">
        <f>IFERROR(__xludf.DUMMYFUNCTION("""COMPUTED_VALUE"""),"#N/A")</f>
        <v>#N/A</v>
      </c>
    </row>
    <row r="3083">
      <c r="O3083" s="1" t="str">
        <f>IFERROR(__xludf.DUMMYFUNCTION("""COMPUTED_VALUE"""),"#VALUE!")</f>
        <v>#VALUE!</v>
      </c>
      <c r="P3083" s="1" t="str">
        <f>IFERROR(__xludf.DUMMYFUNCTION("""COMPUTED_VALUE"""),"#N/A")</f>
        <v>#N/A</v>
      </c>
      <c r="Q3083" s="1"/>
      <c r="R3083" s="1"/>
      <c r="S3083" s="1"/>
      <c r="T3083" s="1"/>
      <c r="U3083" s="2">
        <f>IFERROR(__xludf.DUMMYFUNCTION("""COMPUTED_VALUE"""),0.0)</f>
        <v>0</v>
      </c>
      <c r="V3083" s="1" t="str">
        <f>IFERROR(__xludf.DUMMYFUNCTION("""COMPUTED_VALUE"""),"#N/A")</f>
        <v>#N/A</v>
      </c>
      <c r="W3083" s="1" t="str">
        <f>IFERROR(__xludf.DUMMYFUNCTION("""COMPUTED_VALUE"""),"#N/A")</f>
        <v>#N/A</v>
      </c>
    </row>
    <row r="3084">
      <c r="O3084" s="1" t="str">
        <f>IFERROR(__xludf.DUMMYFUNCTION("""COMPUTED_VALUE"""),"#VALUE!")</f>
        <v>#VALUE!</v>
      </c>
      <c r="P3084" s="1" t="str">
        <f>IFERROR(__xludf.DUMMYFUNCTION("""COMPUTED_VALUE"""),"#N/A")</f>
        <v>#N/A</v>
      </c>
      <c r="Q3084" s="1"/>
      <c r="R3084" s="1"/>
      <c r="S3084" s="1"/>
      <c r="T3084" s="1"/>
      <c r="U3084" s="2">
        <f>IFERROR(__xludf.DUMMYFUNCTION("""COMPUTED_VALUE"""),0.0)</f>
        <v>0</v>
      </c>
      <c r="V3084" s="1" t="str">
        <f>IFERROR(__xludf.DUMMYFUNCTION("""COMPUTED_VALUE"""),"#N/A")</f>
        <v>#N/A</v>
      </c>
      <c r="W3084" s="1" t="str">
        <f>IFERROR(__xludf.DUMMYFUNCTION("""COMPUTED_VALUE"""),"#N/A")</f>
        <v>#N/A</v>
      </c>
    </row>
    <row r="3085">
      <c r="O3085" s="1" t="str">
        <f>IFERROR(__xludf.DUMMYFUNCTION("""COMPUTED_VALUE"""),"#VALUE!")</f>
        <v>#VALUE!</v>
      </c>
      <c r="P3085" s="1" t="str">
        <f>IFERROR(__xludf.DUMMYFUNCTION("""COMPUTED_VALUE"""),"#N/A")</f>
        <v>#N/A</v>
      </c>
      <c r="Q3085" s="1"/>
      <c r="R3085" s="1"/>
      <c r="S3085" s="1"/>
      <c r="T3085" s="1"/>
      <c r="U3085" s="2">
        <f>IFERROR(__xludf.DUMMYFUNCTION("""COMPUTED_VALUE"""),0.0)</f>
        <v>0</v>
      </c>
      <c r="V3085" s="1" t="str">
        <f>IFERROR(__xludf.DUMMYFUNCTION("""COMPUTED_VALUE"""),"#N/A")</f>
        <v>#N/A</v>
      </c>
      <c r="W3085" s="1" t="str">
        <f>IFERROR(__xludf.DUMMYFUNCTION("""COMPUTED_VALUE"""),"#N/A")</f>
        <v>#N/A</v>
      </c>
    </row>
    <row r="3086">
      <c r="O3086" s="1" t="str">
        <f>IFERROR(__xludf.DUMMYFUNCTION("""COMPUTED_VALUE"""),"#VALUE!")</f>
        <v>#VALUE!</v>
      </c>
      <c r="P3086" s="1" t="str">
        <f>IFERROR(__xludf.DUMMYFUNCTION("""COMPUTED_VALUE"""),"#N/A")</f>
        <v>#N/A</v>
      </c>
      <c r="Q3086" s="1"/>
      <c r="R3086" s="1"/>
      <c r="S3086" s="1"/>
      <c r="T3086" s="1"/>
      <c r="U3086" s="2">
        <f>IFERROR(__xludf.DUMMYFUNCTION("""COMPUTED_VALUE"""),0.0)</f>
        <v>0</v>
      </c>
      <c r="V3086" s="1" t="str">
        <f>IFERROR(__xludf.DUMMYFUNCTION("""COMPUTED_VALUE"""),"#N/A")</f>
        <v>#N/A</v>
      </c>
      <c r="W3086" s="1" t="str">
        <f>IFERROR(__xludf.DUMMYFUNCTION("""COMPUTED_VALUE"""),"#N/A")</f>
        <v>#N/A</v>
      </c>
    </row>
    <row r="3087">
      <c r="O3087" s="1" t="str">
        <f>IFERROR(__xludf.DUMMYFUNCTION("""COMPUTED_VALUE"""),"#VALUE!")</f>
        <v>#VALUE!</v>
      </c>
      <c r="P3087" s="1" t="str">
        <f>IFERROR(__xludf.DUMMYFUNCTION("""COMPUTED_VALUE"""),"#N/A")</f>
        <v>#N/A</v>
      </c>
      <c r="Q3087" s="1"/>
      <c r="R3087" s="1"/>
      <c r="S3087" s="1"/>
      <c r="T3087" s="1"/>
      <c r="U3087" s="2">
        <f>IFERROR(__xludf.DUMMYFUNCTION("""COMPUTED_VALUE"""),0.0)</f>
        <v>0</v>
      </c>
      <c r="V3087" s="1" t="str">
        <f>IFERROR(__xludf.DUMMYFUNCTION("""COMPUTED_VALUE"""),"#N/A")</f>
        <v>#N/A</v>
      </c>
      <c r="W3087" s="1" t="str">
        <f>IFERROR(__xludf.DUMMYFUNCTION("""COMPUTED_VALUE"""),"#N/A")</f>
        <v>#N/A</v>
      </c>
    </row>
    <row r="3088">
      <c r="O3088" s="1" t="str">
        <f>IFERROR(__xludf.DUMMYFUNCTION("""COMPUTED_VALUE"""),"#VALUE!")</f>
        <v>#VALUE!</v>
      </c>
      <c r="P3088" s="1" t="str">
        <f>IFERROR(__xludf.DUMMYFUNCTION("""COMPUTED_VALUE"""),"#N/A")</f>
        <v>#N/A</v>
      </c>
      <c r="Q3088" s="1"/>
      <c r="R3088" s="1"/>
      <c r="S3088" s="1"/>
      <c r="T3088" s="1"/>
      <c r="U3088" s="2">
        <f>IFERROR(__xludf.DUMMYFUNCTION("""COMPUTED_VALUE"""),0.0)</f>
        <v>0</v>
      </c>
      <c r="V3088" s="1" t="str">
        <f>IFERROR(__xludf.DUMMYFUNCTION("""COMPUTED_VALUE"""),"#N/A")</f>
        <v>#N/A</v>
      </c>
      <c r="W3088" s="1" t="str">
        <f>IFERROR(__xludf.DUMMYFUNCTION("""COMPUTED_VALUE"""),"#N/A")</f>
        <v>#N/A</v>
      </c>
    </row>
    <row r="3089">
      <c r="O3089" s="1" t="str">
        <f>IFERROR(__xludf.DUMMYFUNCTION("""COMPUTED_VALUE"""),"#VALUE!")</f>
        <v>#VALUE!</v>
      </c>
      <c r="P3089" s="1" t="str">
        <f>IFERROR(__xludf.DUMMYFUNCTION("""COMPUTED_VALUE"""),"#N/A")</f>
        <v>#N/A</v>
      </c>
      <c r="Q3089" s="1"/>
      <c r="R3089" s="1"/>
      <c r="S3089" s="1"/>
      <c r="T3089" s="1"/>
      <c r="U3089" s="2">
        <f>IFERROR(__xludf.DUMMYFUNCTION("""COMPUTED_VALUE"""),0.0)</f>
        <v>0</v>
      </c>
      <c r="V3089" s="1" t="str">
        <f>IFERROR(__xludf.DUMMYFUNCTION("""COMPUTED_VALUE"""),"#N/A")</f>
        <v>#N/A</v>
      </c>
      <c r="W3089" s="1" t="str">
        <f>IFERROR(__xludf.DUMMYFUNCTION("""COMPUTED_VALUE"""),"#N/A")</f>
        <v>#N/A</v>
      </c>
    </row>
    <row r="3090">
      <c r="O3090" s="1" t="str">
        <f>IFERROR(__xludf.DUMMYFUNCTION("""COMPUTED_VALUE"""),"#VALUE!")</f>
        <v>#VALUE!</v>
      </c>
      <c r="P3090" s="1" t="str">
        <f>IFERROR(__xludf.DUMMYFUNCTION("""COMPUTED_VALUE"""),"#N/A")</f>
        <v>#N/A</v>
      </c>
      <c r="Q3090" s="1"/>
      <c r="R3090" s="1"/>
      <c r="S3090" s="1"/>
      <c r="T3090" s="1"/>
      <c r="U3090" s="2">
        <f>IFERROR(__xludf.DUMMYFUNCTION("""COMPUTED_VALUE"""),0.0)</f>
        <v>0</v>
      </c>
      <c r="V3090" s="1" t="str">
        <f>IFERROR(__xludf.DUMMYFUNCTION("""COMPUTED_VALUE"""),"#N/A")</f>
        <v>#N/A</v>
      </c>
      <c r="W3090" s="1" t="str">
        <f>IFERROR(__xludf.DUMMYFUNCTION("""COMPUTED_VALUE"""),"#N/A")</f>
        <v>#N/A</v>
      </c>
    </row>
    <row r="3091">
      <c r="O3091" s="1" t="str">
        <f>IFERROR(__xludf.DUMMYFUNCTION("""COMPUTED_VALUE"""),"#VALUE!")</f>
        <v>#VALUE!</v>
      </c>
      <c r="P3091" s="1" t="str">
        <f>IFERROR(__xludf.DUMMYFUNCTION("""COMPUTED_VALUE"""),"#N/A")</f>
        <v>#N/A</v>
      </c>
      <c r="Q3091" s="1"/>
      <c r="R3091" s="1"/>
      <c r="S3091" s="1"/>
      <c r="T3091" s="1"/>
      <c r="U3091" s="2">
        <f>IFERROR(__xludf.DUMMYFUNCTION("""COMPUTED_VALUE"""),0.0)</f>
        <v>0</v>
      </c>
      <c r="V3091" s="1" t="str">
        <f>IFERROR(__xludf.DUMMYFUNCTION("""COMPUTED_VALUE"""),"#N/A")</f>
        <v>#N/A</v>
      </c>
      <c r="W3091" s="1" t="str">
        <f>IFERROR(__xludf.DUMMYFUNCTION("""COMPUTED_VALUE"""),"#N/A")</f>
        <v>#N/A</v>
      </c>
    </row>
    <row r="3092">
      <c r="O3092" s="1" t="str">
        <f>IFERROR(__xludf.DUMMYFUNCTION("""COMPUTED_VALUE"""),"#VALUE!")</f>
        <v>#VALUE!</v>
      </c>
      <c r="P3092" s="1" t="str">
        <f>IFERROR(__xludf.DUMMYFUNCTION("""COMPUTED_VALUE"""),"#N/A")</f>
        <v>#N/A</v>
      </c>
      <c r="Q3092" s="1"/>
      <c r="R3092" s="1"/>
      <c r="S3092" s="1"/>
      <c r="T3092" s="1"/>
      <c r="U3092" s="2">
        <f>IFERROR(__xludf.DUMMYFUNCTION("""COMPUTED_VALUE"""),0.0)</f>
        <v>0</v>
      </c>
      <c r="V3092" s="1" t="str">
        <f>IFERROR(__xludf.DUMMYFUNCTION("""COMPUTED_VALUE"""),"#N/A")</f>
        <v>#N/A</v>
      </c>
      <c r="W3092" s="1" t="str">
        <f>IFERROR(__xludf.DUMMYFUNCTION("""COMPUTED_VALUE"""),"#N/A")</f>
        <v>#N/A</v>
      </c>
    </row>
    <row r="3093">
      <c r="O3093" s="1" t="str">
        <f>IFERROR(__xludf.DUMMYFUNCTION("""COMPUTED_VALUE"""),"#VALUE!")</f>
        <v>#VALUE!</v>
      </c>
      <c r="P3093" s="1" t="str">
        <f>IFERROR(__xludf.DUMMYFUNCTION("""COMPUTED_VALUE"""),"#N/A")</f>
        <v>#N/A</v>
      </c>
      <c r="Q3093" s="1"/>
      <c r="R3093" s="1"/>
      <c r="S3093" s="1"/>
      <c r="T3093" s="1"/>
      <c r="U3093" s="2">
        <f>IFERROR(__xludf.DUMMYFUNCTION("""COMPUTED_VALUE"""),0.0)</f>
        <v>0</v>
      </c>
      <c r="V3093" s="1" t="str">
        <f>IFERROR(__xludf.DUMMYFUNCTION("""COMPUTED_VALUE"""),"#N/A")</f>
        <v>#N/A</v>
      </c>
      <c r="W3093" s="1" t="str">
        <f>IFERROR(__xludf.DUMMYFUNCTION("""COMPUTED_VALUE"""),"#N/A")</f>
        <v>#N/A</v>
      </c>
    </row>
    <row r="3094">
      <c r="O3094" s="1" t="str">
        <f>IFERROR(__xludf.DUMMYFUNCTION("""COMPUTED_VALUE"""),"#VALUE!")</f>
        <v>#VALUE!</v>
      </c>
      <c r="P3094" s="1" t="str">
        <f>IFERROR(__xludf.DUMMYFUNCTION("""COMPUTED_VALUE"""),"#N/A")</f>
        <v>#N/A</v>
      </c>
      <c r="Q3094" s="1"/>
      <c r="R3094" s="1"/>
      <c r="S3094" s="1"/>
      <c r="T3094" s="1"/>
      <c r="U3094" s="2">
        <f>IFERROR(__xludf.DUMMYFUNCTION("""COMPUTED_VALUE"""),0.0)</f>
        <v>0</v>
      </c>
      <c r="V3094" s="1" t="str">
        <f>IFERROR(__xludf.DUMMYFUNCTION("""COMPUTED_VALUE"""),"#N/A")</f>
        <v>#N/A</v>
      </c>
      <c r="W3094" s="1" t="str">
        <f>IFERROR(__xludf.DUMMYFUNCTION("""COMPUTED_VALUE"""),"#N/A")</f>
        <v>#N/A</v>
      </c>
    </row>
    <row r="3095">
      <c r="O3095" s="1" t="str">
        <f>IFERROR(__xludf.DUMMYFUNCTION("""COMPUTED_VALUE"""),"#VALUE!")</f>
        <v>#VALUE!</v>
      </c>
      <c r="P3095" s="1" t="str">
        <f>IFERROR(__xludf.DUMMYFUNCTION("""COMPUTED_VALUE"""),"#N/A")</f>
        <v>#N/A</v>
      </c>
      <c r="Q3095" s="1"/>
      <c r="R3095" s="1"/>
      <c r="S3095" s="1"/>
      <c r="T3095" s="1"/>
      <c r="U3095" s="2">
        <f>IFERROR(__xludf.DUMMYFUNCTION("""COMPUTED_VALUE"""),0.0)</f>
        <v>0</v>
      </c>
      <c r="V3095" s="1" t="str">
        <f>IFERROR(__xludf.DUMMYFUNCTION("""COMPUTED_VALUE"""),"#N/A")</f>
        <v>#N/A</v>
      </c>
      <c r="W3095" s="1" t="str">
        <f>IFERROR(__xludf.DUMMYFUNCTION("""COMPUTED_VALUE"""),"#N/A")</f>
        <v>#N/A</v>
      </c>
    </row>
    <row r="3096">
      <c r="O3096" s="1" t="str">
        <f>IFERROR(__xludf.DUMMYFUNCTION("""COMPUTED_VALUE"""),"#VALUE!")</f>
        <v>#VALUE!</v>
      </c>
      <c r="P3096" s="1" t="str">
        <f>IFERROR(__xludf.DUMMYFUNCTION("""COMPUTED_VALUE"""),"#N/A")</f>
        <v>#N/A</v>
      </c>
      <c r="Q3096" s="1"/>
      <c r="R3096" s="1"/>
      <c r="S3096" s="1"/>
      <c r="T3096" s="1"/>
      <c r="U3096" s="2">
        <f>IFERROR(__xludf.DUMMYFUNCTION("""COMPUTED_VALUE"""),0.0)</f>
        <v>0</v>
      </c>
      <c r="V3096" s="1" t="str">
        <f>IFERROR(__xludf.DUMMYFUNCTION("""COMPUTED_VALUE"""),"#N/A")</f>
        <v>#N/A</v>
      </c>
      <c r="W3096" s="1" t="str">
        <f>IFERROR(__xludf.DUMMYFUNCTION("""COMPUTED_VALUE"""),"#N/A")</f>
        <v>#N/A</v>
      </c>
    </row>
    <row r="3097">
      <c r="O3097" s="1" t="str">
        <f>IFERROR(__xludf.DUMMYFUNCTION("""COMPUTED_VALUE"""),"#VALUE!")</f>
        <v>#VALUE!</v>
      </c>
      <c r="P3097" s="1" t="str">
        <f>IFERROR(__xludf.DUMMYFUNCTION("""COMPUTED_VALUE"""),"#N/A")</f>
        <v>#N/A</v>
      </c>
      <c r="Q3097" s="1"/>
      <c r="R3097" s="1"/>
      <c r="S3097" s="1"/>
      <c r="T3097" s="1"/>
      <c r="U3097" s="2">
        <f>IFERROR(__xludf.DUMMYFUNCTION("""COMPUTED_VALUE"""),0.0)</f>
        <v>0</v>
      </c>
      <c r="V3097" s="1" t="str">
        <f>IFERROR(__xludf.DUMMYFUNCTION("""COMPUTED_VALUE"""),"#N/A")</f>
        <v>#N/A</v>
      </c>
      <c r="W3097" s="1" t="str">
        <f>IFERROR(__xludf.DUMMYFUNCTION("""COMPUTED_VALUE"""),"#N/A")</f>
        <v>#N/A</v>
      </c>
    </row>
    <row r="3098">
      <c r="O3098" s="1" t="str">
        <f>IFERROR(__xludf.DUMMYFUNCTION("""COMPUTED_VALUE"""),"#VALUE!")</f>
        <v>#VALUE!</v>
      </c>
      <c r="P3098" s="1" t="str">
        <f>IFERROR(__xludf.DUMMYFUNCTION("""COMPUTED_VALUE"""),"#N/A")</f>
        <v>#N/A</v>
      </c>
      <c r="Q3098" s="1"/>
      <c r="R3098" s="1"/>
      <c r="S3098" s="1"/>
      <c r="T3098" s="1"/>
      <c r="U3098" s="2">
        <f>IFERROR(__xludf.DUMMYFUNCTION("""COMPUTED_VALUE"""),0.0)</f>
        <v>0</v>
      </c>
      <c r="V3098" s="1" t="str">
        <f>IFERROR(__xludf.DUMMYFUNCTION("""COMPUTED_VALUE"""),"#N/A")</f>
        <v>#N/A</v>
      </c>
      <c r="W3098" s="1" t="str">
        <f>IFERROR(__xludf.DUMMYFUNCTION("""COMPUTED_VALUE"""),"#N/A")</f>
        <v>#N/A</v>
      </c>
    </row>
    <row r="3099">
      <c r="O3099" s="1" t="str">
        <f>IFERROR(__xludf.DUMMYFUNCTION("""COMPUTED_VALUE"""),"#VALUE!")</f>
        <v>#VALUE!</v>
      </c>
      <c r="P3099" s="1" t="str">
        <f>IFERROR(__xludf.DUMMYFUNCTION("""COMPUTED_VALUE"""),"#N/A")</f>
        <v>#N/A</v>
      </c>
      <c r="Q3099" s="1"/>
      <c r="R3099" s="1"/>
      <c r="S3099" s="1"/>
      <c r="T3099" s="1"/>
      <c r="U3099" s="2">
        <f>IFERROR(__xludf.DUMMYFUNCTION("""COMPUTED_VALUE"""),0.0)</f>
        <v>0</v>
      </c>
      <c r="V3099" s="1" t="str">
        <f>IFERROR(__xludf.DUMMYFUNCTION("""COMPUTED_VALUE"""),"#N/A")</f>
        <v>#N/A</v>
      </c>
      <c r="W3099" s="1" t="str">
        <f>IFERROR(__xludf.DUMMYFUNCTION("""COMPUTED_VALUE"""),"#N/A")</f>
        <v>#N/A</v>
      </c>
    </row>
    <row r="3100">
      <c r="O3100" s="1" t="str">
        <f>IFERROR(__xludf.DUMMYFUNCTION("""COMPUTED_VALUE"""),"#VALUE!")</f>
        <v>#VALUE!</v>
      </c>
      <c r="P3100" s="1" t="str">
        <f>IFERROR(__xludf.DUMMYFUNCTION("""COMPUTED_VALUE"""),"#N/A")</f>
        <v>#N/A</v>
      </c>
      <c r="Q3100" s="1"/>
      <c r="R3100" s="1"/>
      <c r="S3100" s="1"/>
      <c r="T3100" s="1"/>
      <c r="U3100" s="2">
        <f>IFERROR(__xludf.DUMMYFUNCTION("""COMPUTED_VALUE"""),0.0)</f>
        <v>0</v>
      </c>
      <c r="V3100" s="1" t="str">
        <f>IFERROR(__xludf.DUMMYFUNCTION("""COMPUTED_VALUE"""),"#N/A")</f>
        <v>#N/A</v>
      </c>
      <c r="W3100" s="1" t="str">
        <f>IFERROR(__xludf.DUMMYFUNCTION("""COMPUTED_VALUE"""),"#N/A")</f>
        <v>#N/A</v>
      </c>
    </row>
    <row r="3101">
      <c r="O3101" s="1" t="str">
        <f>IFERROR(__xludf.DUMMYFUNCTION("""COMPUTED_VALUE"""),"#VALUE!")</f>
        <v>#VALUE!</v>
      </c>
      <c r="P3101" s="1" t="str">
        <f>IFERROR(__xludf.DUMMYFUNCTION("""COMPUTED_VALUE"""),"#N/A")</f>
        <v>#N/A</v>
      </c>
      <c r="Q3101" s="1"/>
      <c r="R3101" s="1"/>
      <c r="S3101" s="1"/>
      <c r="T3101" s="1"/>
      <c r="U3101" s="2">
        <f>IFERROR(__xludf.DUMMYFUNCTION("""COMPUTED_VALUE"""),0.0)</f>
        <v>0</v>
      </c>
      <c r="V3101" s="1" t="str">
        <f>IFERROR(__xludf.DUMMYFUNCTION("""COMPUTED_VALUE"""),"#N/A")</f>
        <v>#N/A</v>
      </c>
      <c r="W3101" s="1" t="str">
        <f>IFERROR(__xludf.DUMMYFUNCTION("""COMPUTED_VALUE"""),"#N/A")</f>
        <v>#N/A</v>
      </c>
    </row>
    <row r="3102">
      <c r="O3102" s="1" t="str">
        <f>IFERROR(__xludf.DUMMYFUNCTION("""COMPUTED_VALUE"""),"#VALUE!")</f>
        <v>#VALUE!</v>
      </c>
      <c r="P3102" s="1" t="str">
        <f>IFERROR(__xludf.DUMMYFUNCTION("""COMPUTED_VALUE"""),"#N/A")</f>
        <v>#N/A</v>
      </c>
      <c r="Q3102" s="1"/>
      <c r="R3102" s="1"/>
      <c r="S3102" s="1"/>
      <c r="T3102" s="1"/>
      <c r="U3102" s="2">
        <f>IFERROR(__xludf.DUMMYFUNCTION("""COMPUTED_VALUE"""),0.0)</f>
        <v>0</v>
      </c>
      <c r="V3102" s="1" t="str">
        <f>IFERROR(__xludf.DUMMYFUNCTION("""COMPUTED_VALUE"""),"#N/A")</f>
        <v>#N/A</v>
      </c>
      <c r="W3102" s="1" t="str">
        <f>IFERROR(__xludf.DUMMYFUNCTION("""COMPUTED_VALUE"""),"#N/A")</f>
        <v>#N/A</v>
      </c>
    </row>
    <row r="3103">
      <c r="O3103" s="1" t="str">
        <f>IFERROR(__xludf.DUMMYFUNCTION("""COMPUTED_VALUE"""),"#VALUE!")</f>
        <v>#VALUE!</v>
      </c>
      <c r="P3103" s="1" t="str">
        <f>IFERROR(__xludf.DUMMYFUNCTION("""COMPUTED_VALUE"""),"#N/A")</f>
        <v>#N/A</v>
      </c>
      <c r="Q3103" s="1"/>
      <c r="R3103" s="1"/>
      <c r="S3103" s="1"/>
      <c r="T3103" s="1"/>
      <c r="U3103" s="2">
        <f>IFERROR(__xludf.DUMMYFUNCTION("""COMPUTED_VALUE"""),0.0)</f>
        <v>0</v>
      </c>
      <c r="V3103" s="1" t="str">
        <f>IFERROR(__xludf.DUMMYFUNCTION("""COMPUTED_VALUE"""),"#N/A")</f>
        <v>#N/A</v>
      </c>
      <c r="W3103" s="1" t="str">
        <f>IFERROR(__xludf.DUMMYFUNCTION("""COMPUTED_VALUE"""),"#N/A")</f>
        <v>#N/A</v>
      </c>
    </row>
    <row r="3104">
      <c r="O3104" s="1" t="str">
        <f>IFERROR(__xludf.DUMMYFUNCTION("""COMPUTED_VALUE"""),"#VALUE!")</f>
        <v>#VALUE!</v>
      </c>
      <c r="P3104" s="1" t="str">
        <f>IFERROR(__xludf.DUMMYFUNCTION("""COMPUTED_VALUE"""),"#N/A")</f>
        <v>#N/A</v>
      </c>
      <c r="Q3104" s="1"/>
      <c r="R3104" s="1"/>
      <c r="S3104" s="1"/>
      <c r="T3104" s="1"/>
      <c r="U3104" s="2">
        <f>IFERROR(__xludf.DUMMYFUNCTION("""COMPUTED_VALUE"""),0.0)</f>
        <v>0</v>
      </c>
      <c r="V3104" s="1" t="str">
        <f>IFERROR(__xludf.DUMMYFUNCTION("""COMPUTED_VALUE"""),"#N/A")</f>
        <v>#N/A</v>
      </c>
      <c r="W3104" s="1" t="str">
        <f>IFERROR(__xludf.DUMMYFUNCTION("""COMPUTED_VALUE"""),"#N/A")</f>
        <v>#N/A</v>
      </c>
    </row>
    <row r="3105">
      <c r="O3105" s="1" t="str">
        <f>IFERROR(__xludf.DUMMYFUNCTION("""COMPUTED_VALUE"""),"#VALUE!")</f>
        <v>#VALUE!</v>
      </c>
      <c r="P3105" s="1" t="str">
        <f>IFERROR(__xludf.DUMMYFUNCTION("""COMPUTED_VALUE"""),"#N/A")</f>
        <v>#N/A</v>
      </c>
      <c r="Q3105" s="1"/>
      <c r="R3105" s="1"/>
      <c r="S3105" s="1"/>
      <c r="T3105" s="1"/>
      <c r="U3105" s="2">
        <f>IFERROR(__xludf.DUMMYFUNCTION("""COMPUTED_VALUE"""),0.0)</f>
        <v>0</v>
      </c>
      <c r="V3105" s="1" t="str">
        <f>IFERROR(__xludf.DUMMYFUNCTION("""COMPUTED_VALUE"""),"#N/A")</f>
        <v>#N/A</v>
      </c>
      <c r="W3105" s="1" t="str">
        <f>IFERROR(__xludf.DUMMYFUNCTION("""COMPUTED_VALUE"""),"#N/A")</f>
        <v>#N/A</v>
      </c>
    </row>
    <row r="3106">
      <c r="O3106" s="1" t="str">
        <f>IFERROR(__xludf.DUMMYFUNCTION("""COMPUTED_VALUE"""),"#VALUE!")</f>
        <v>#VALUE!</v>
      </c>
      <c r="P3106" s="1" t="str">
        <f>IFERROR(__xludf.DUMMYFUNCTION("""COMPUTED_VALUE"""),"#N/A")</f>
        <v>#N/A</v>
      </c>
      <c r="Q3106" s="1"/>
      <c r="R3106" s="1"/>
      <c r="S3106" s="1"/>
      <c r="T3106" s="1"/>
      <c r="U3106" s="2">
        <f>IFERROR(__xludf.DUMMYFUNCTION("""COMPUTED_VALUE"""),0.0)</f>
        <v>0</v>
      </c>
      <c r="V3106" s="1" t="str">
        <f>IFERROR(__xludf.DUMMYFUNCTION("""COMPUTED_VALUE"""),"#N/A")</f>
        <v>#N/A</v>
      </c>
      <c r="W3106" s="1" t="str">
        <f>IFERROR(__xludf.DUMMYFUNCTION("""COMPUTED_VALUE"""),"#N/A")</f>
        <v>#N/A</v>
      </c>
    </row>
    <row r="3107">
      <c r="O3107" s="1" t="str">
        <f>IFERROR(__xludf.DUMMYFUNCTION("""COMPUTED_VALUE"""),"#VALUE!")</f>
        <v>#VALUE!</v>
      </c>
      <c r="P3107" s="1" t="str">
        <f>IFERROR(__xludf.DUMMYFUNCTION("""COMPUTED_VALUE"""),"#N/A")</f>
        <v>#N/A</v>
      </c>
      <c r="Q3107" s="1"/>
      <c r="R3107" s="1"/>
      <c r="S3107" s="1"/>
      <c r="T3107" s="1"/>
      <c r="U3107" s="2">
        <f>IFERROR(__xludf.DUMMYFUNCTION("""COMPUTED_VALUE"""),0.0)</f>
        <v>0</v>
      </c>
      <c r="V3107" s="1" t="str">
        <f>IFERROR(__xludf.DUMMYFUNCTION("""COMPUTED_VALUE"""),"#N/A")</f>
        <v>#N/A</v>
      </c>
      <c r="W3107" s="1" t="str">
        <f>IFERROR(__xludf.DUMMYFUNCTION("""COMPUTED_VALUE"""),"#N/A")</f>
        <v>#N/A</v>
      </c>
    </row>
    <row r="3108">
      <c r="O3108" s="1" t="str">
        <f>IFERROR(__xludf.DUMMYFUNCTION("""COMPUTED_VALUE"""),"#VALUE!")</f>
        <v>#VALUE!</v>
      </c>
      <c r="P3108" s="1" t="str">
        <f>IFERROR(__xludf.DUMMYFUNCTION("""COMPUTED_VALUE"""),"#N/A")</f>
        <v>#N/A</v>
      </c>
      <c r="Q3108" s="1"/>
      <c r="R3108" s="1"/>
      <c r="S3108" s="1"/>
      <c r="T3108" s="1"/>
      <c r="U3108" s="2">
        <f>IFERROR(__xludf.DUMMYFUNCTION("""COMPUTED_VALUE"""),0.0)</f>
        <v>0</v>
      </c>
      <c r="V3108" s="1" t="str">
        <f>IFERROR(__xludf.DUMMYFUNCTION("""COMPUTED_VALUE"""),"#N/A")</f>
        <v>#N/A</v>
      </c>
      <c r="W3108" s="1" t="str">
        <f>IFERROR(__xludf.DUMMYFUNCTION("""COMPUTED_VALUE"""),"#N/A")</f>
        <v>#N/A</v>
      </c>
    </row>
    <row r="3109">
      <c r="O3109" s="1" t="str">
        <f>IFERROR(__xludf.DUMMYFUNCTION("""COMPUTED_VALUE"""),"#VALUE!")</f>
        <v>#VALUE!</v>
      </c>
      <c r="P3109" s="1" t="str">
        <f>IFERROR(__xludf.DUMMYFUNCTION("""COMPUTED_VALUE"""),"#N/A")</f>
        <v>#N/A</v>
      </c>
      <c r="Q3109" s="1"/>
      <c r="R3109" s="1"/>
      <c r="S3109" s="1"/>
      <c r="T3109" s="1"/>
      <c r="U3109" s="2">
        <f>IFERROR(__xludf.DUMMYFUNCTION("""COMPUTED_VALUE"""),0.0)</f>
        <v>0</v>
      </c>
      <c r="V3109" s="1" t="str">
        <f>IFERROR(__xludf.DUMMYFUNCTION("""COMPUTED_VALUE"""),"#N/A")</f>
        <v>#N/A</v>
      </c>
      <c r="W3109" s="1" t="str">
        <f>IFERROR(__xludf.DUMMYFUNCTION("""COMPUTED_VALUE"""),"#N/A")</f>
        <v>#N/A</v>
      </c>
    </row>
    <row r="3110">
      <c r="O3110" s="1" t="str">
        <f>IFERROR(__xludf.DUMMYFUNCTION("""COMPUTED_VALUE"""),"#VALUE!")</f>
        <v>#VALUE!</v>
      </c>
      <c r="P3110" s="1" t="str">
        <f>IFERROR(__xludf.DUMMYFUNCTION("""COMPUTED_VALUE"""),"#N/A")</f>
        <v>#N/A</v>
      </c>
      <c r="Q3110" s="1"/>
      <c r="R3110" s="1"/>
      <c r="S3110" s="1"/>
      <c r="T3110" s="1"/>
      <c r="U3110" s="2">
        <f>IFERROR(__xludf.DUMMYFUNCTION("""COMPUTED_VALUE"""),0.0)</f>
        <v>0</v>
      </c>
      <c r="V3110" s="1" t="str">
        <f>IFERROR(__xludf.DUMMYFUNCTION("""COMPUTED_VALUE"""),"#N/A")</f>
        <v>#N/A</v>
      </c>
      <c r="W3110" s="1" t="str">
        <f>IFERROR(__xludf.DUMMYFUNCTION("""COMPUTED_VALUE"""),"#N/A")</f>
        <v>#N/A</v>
      </c>
    </row>
    <row r="3111">
      <c r="O3111" s="1" t="str">
        <f>IFERROR(__xludf.DUMMYFUNCTION("""COMPUTED_VALUE"""),"#VALUE!")</f>
        <v>#VALUE!</v>
      </c>
      <c r="P3111" s="1" t="str">
        <f>IFERROR(__xludf.DUMMYFUNCTION("""COMPUTED_VALUE"""),"#N/A")</f>
        <v>#N/A</v>
      </c>
      <c r="Q3111" s="1"/>
      <c r="R3111" s="1"/>
      <c r="S3111" s="1"/>
      <c r="T3111" s="1"/>
      <c r="U3111" s="2">
        <f>IFERROR(__xludf.DUMMYFUNCTION("""COMPUTED_VALUE"""),0.0)</f>
        <v>0</v>
      </c>
      <c r="V3111" s="1" t="str">
        <f>IFERROR(__xludf.DUMMYFUNCTION("""COMPUTED_VALUE"""),"#N/A")</f>
        <v>#N/A</v>
      </c>
      <c r="W3111" s="1" t="str">
        <f>IFERROR(__xludf.DUMMYFUNCTION("""COMPUTED_VALUE"""),"#N/A")</f>
        <v>#N/A</v>
      </c>
    </row>
    <row r="3112">
      <c r="O3112" s="1" t="str">
        <f>IFERROR(__xludf.DUMMYFUNCTION("""COMPUTED_VALUE"""),"#VALUE!")</f>
        <v>#VALUE!</v>
      </c>
      <c r="P3112" s="1" t="str">
        <f>IFERROR(__xludf.DUMMYFUNCTION("""COMPUTED_VALUE"""),"#N/A")</f>
        <v>#N/A</v>
      </c>
      <c r="Q3112" s="1"/>
      <c r="R3112" s="1"/>
      <c r="S3112" s="1"/>
      <c r="T3112" s="1"/>
      <c r="U3112" s="2">
        <f>IFERROR(__xludf.DUMMYFUNCTION("""COMPUTED_VALUE"""),0.0)</f>
        <v>0</v>
      </c>
      <c r="V3112" s="1" t="str">
        <f>IFERROR(__xludf.DUMMYFUNCTION("""COMPUTED_VALUE"""),"#N/A")</f>
        <v>#N/A</v>
      </c>
      <c r="W3112" s="1" t="str">
        <f>IFERROR(__xludf.DUMMYFUNCTION("""COMPUTED_VALUE"""),"#N/A")</f>
        <v>#N/A</v>
      </c>
    </row>
    <row r="3113">
      <c r="O3113" s="1" t="str">
        <f>IFERROR(__xludf.DUMMYFUNCTION("""COMPUTED_VALUE"""),"#VALUE!")</f>
        <v>#VALUE!</v>
      </c>
      <c r="P3113" s="1" t="str">
        <f>IFERROR(__xludf.DUMMYFUNCTION("""COMPUTED_VALUE"""),"#N/A")</f>
        <v>#N/A</v>
      </c>
      <c r="Q3113" s="1"/>
      <c r="R3113" s="1"/>
      <c r="S3113" s="1"/>
      <c r="T3113" s="1"/>
      <c r="U3113" s="2">
        <f>IFERROR(__xludf.DUMMYFUNCTION("""COMPUTED_VALUE"""),0.0)</f>
        <v>0</v>
      </c>
      <c r="V3113" s="1" t="str">
        <f>IFERROR(__xludf.DUMMYFUNCTION("""COMPUTED_VALUE"""),"#N/A")</f>
        <v>#N/A</v>
      </c>
      <c r="W3113" s="1" t="str">
        <f>IFERROR(__xludf.DUMMYFUNCTION("""COMPUTED_VALUE"""),"#N/A")</f>
        <v>#N/A</v>
      </c>
    </row>
    <row r="3114">
      <c r="O3114" s="1" t="str">
        <f>IFERROR(__xludf.DUMMYFUNCTION("""COMPUTED_VALUE"""),"#VALUE!")</f>
        <v>#VALUE!</v>
      </c>
      <c r="P3114" s="1" t="str">
        <f>IFERROR(__xludf.DUMMYFUNCTION("""COMPUTED_VALUE"""),"#N/A")</f>
        <v>#N/A</v>
      </c>
      <c r="Q3114" s="1"/>
      <c r="R3114" s="1"/>
      <c r="S3114" s="1"/>
      <c r="T3114" s="1"/>
      <c r="U3114" s="2">
        <f>IFERROR(__xludf.DUMMYFUNCTION("""COMPUTED_VALUE"""),0.0)</f>
        <v>0</v>
      </c>
      <c r="V3114" s="1" t="str">
        <f>IFERROR(__xludf.DUMMYFUNCTION("""COMPUTED_VALUE"""),"#N/A")</f>
        <v>#N/A</v>
      </c>
      <c r="W3114" s="1" t="str">
        <f>IFERROR(__xludf.DUMMYFUNCTION("""COMPUTED_VALUE"""),"#N/A")</f>
        <v>#N/A</v>
      </c>
    </row>
    <row r="3115">
      <c r="O3115" s="1" t="str">
        <f>IFERROR(__xludf.DUMMYFUNCTION("""COMPUTED_VALUE"""),"#VALUE!")</f>
        <v>#VALUE!</v>
      </c>
      <c r="P3115" s="1" t="str">
        <f>IFERROR(__xludf.DUMMYFUNCTION("""COMPUTED_VALUE"""),"#N/A")</f>
        <v>#N/A</v>
      </c>
      <c r="Q3115" s="1"/>
      <c r="R3115" s="1"/>
      <c r="S3115" s="1"/>
      <c r="T3115" s="1"/>
      <c r="U3115" s="2">
        <f>IFERROR(__xludf.DUMMYFUNCTION("""COMPUTED_VALUE"""),0.0)</f>
        <v>0</v>
      </c>
      <c r="V3115" s="1" t="str">
        <f>IFERROR(__xludf.DUMMYFUNCTION("""COMPUTED_VALUE"""),"#N/A")</f>
        <v>#N/A</v>
      </c>
      <c r="W3115" s="1" t="str">
        <f>IFERROR(__xludf.DUMMYFUNCTION("""COMPUTED_VALUE"""),"#N/A")</f>
        <v>#N/A</v>
      </c>
    </row>
    <row r="3116">
      <c r="O3116" s="1" t="str">
        <f>IFERROR(__xludf.DUMMYFUNCTION("""COMPUTED_VALUE"""),"#VALUE!")</f>
        <v>#VALUE!</v>
      </c>
      <c r="P3116" s="1" t="str">
        <f>IFERROR(__xludf.DUMMYFUNCTION("""COMPUTED_VALUE"""),"#N/A")</f>
        <v>#N/A</v>
      </c>
      <c r="Q3116" s="1"/>
      <c r="R3116" s="1"/>
      <c r="S3116" s="1"/>
      <c r="T3116" s="1"/>
      <c r="U3116" s="2">
        <f>IFERROR(__xludf.DUMMYFUNCTION("""COMPUTED_VALUE"""),0.0)</f>
        <v>0</v>
      </c>
      <c r="V3116" s="1" t="str">
        <f>IFERROR(__xludf.DUMMYFUNCTION("""COMPUTED_VALUE"""),"#N/A")</f>
        <v>#N/A</v>
      </c>
      <c r="W3116" s="1" t="str">
        <f>IFERROR(__xludf.DUMMYFUNCTION("""COMPUTED_VALUE"""),"#N/A")</f>
        <v>#N/A</v>
      </c>
    </row>
    <row r="3117">
      <c r="O3117" s="1" t="str">
        <f>IFERROR(__xludf.DUMMYFUNCTION("""COMPUTED_VALUE"""),"#VALUE!")</f>
        <v>#VALUE!</v>
      </c>
      <c r="P3117" s="1" t="str">
        <f>IFERROR(__xludf.DUMMYFUNCTION("""COMPUTED_VALUE"""),"#N/A")</f>
        <v>#N/A</v>
      </c>
      <c r="Q3117" s="1"/>
      <c r="R3117" s="1"/>
      <c r="S3117" s="1"/>
      <c r="T3117" s="1"/>
      <c r="U3117" s="2">
        <f>IFERROR(__xludf.DUMMYFUNCTION("""COMPUTED_VALUE"""),0.0)</f>
        <v>0</v>
      </c>
      <c r="V3117" s="1" t="str">
        <f>IFERROR(__xludf.DUMMYFUNCTION("""COMPUTED_VALUE"""),"#N/A")</f>
        <v>#N/A</v>
      </c>
      <c r="W3117" s="1" t="str">
        <f>IFERROR(__xludf.DUMMYFUNCTION("""COMPUTED_VALUE"""),"#N/A")</f>
        <v>#N/A</v>
      </c>
    </row>
    <row r="3118">
      <c r="O3118" s="1" t="str">
        <f>IFERROR(__xludf.DUMMYFUNCTION("""COMPUTED_VALUE"""),"#VALUE!")</f>
        <v>#VALUE!</v>
      </c>
      <c r="P3118" s="1" t="str">
        <f>IFERROR(__xludf.DUMMYFUNCTION("""COMPUTED_VALUE"""),"#N/A")</f>
        <v>#N/A</v>
      </c>
      <c r="Q3118" s="1"/>
      <c r="R3118" s="1"/>
      <c r="S3118" s="1"/>
      <c r="T3118" s="1"/>
      <c r="U3118" s="2">
        <f>IFERROR(__xludf.DUMMYFUNCTION("""COMPUTED_VALUE"""),0.0)</f>
        <v>0</v>
      </c>
      <c r="V3118" s="1" t="str">
        <f>IFERROR(__xludf.DUMMYFUNCTION("""COMPUTED_VALUE"""),"#N/A")</f>
        <v>#N/A</v>
      </c>
      <c r="W3118" s="1" t="str">
        <f>IFERROR(__xludf.DUMMYFUNCTION("""COMPUTED_VALUE"""),"#N/A")</f>
        <v>#N/A</v>
      </c>
    </row>
    <row r="3119">
      <c r="O3119" s="1" t="str">
        <f>IFERROR(__xludf.DUMMYFUNCTION("""COMPUTED_VALUE"""),"#VALUE!")</f>
        <v>#VALUE!</v>
      </c>
      <c r="P3119" s="1" t="str">
        <f>IFERROR(__xludf.DUMMYFUNCTION("""COMPUTED_VALUE"""),"#N/A")</f>
        <v>#N/A</v>
      </c>
      <c r="Q3119" s="1"/>
      <c r="R3119" s="1"/>
      <c r="S3119" s="1"/>
      <c r="T3119" s="1"/>
      <c r="U3119" s="2">
        <f>IFERROR(__xludf.DUMMYFUNCTION("""COMPUTED_VALUE"""),0.0)</f>
        <v>0</v>
      </c>
      <c r="V3119" s="1" t="str">
        <f>IFERROR(__xludf.DUMMYFUNCTION("""COMPUTED_VALUE"""),"#N/A")</f>
        <v>#N/A</v>
      </c>
      <c r="W3119" s="1" t="str">
        <f>IFERROR(__xludf.DUMMYFUNCTION("""COMPUTED_VALUE"""),"#N/A")</f>
        <v>#N/A</v>
      </c>
    </row>
    <row r="3120">
      <c r="O3120" s="1" t="str">
        <f>IFERROR(__xludf.DUMMYFUNCTION("""COMPUTED_VALUE"""),"#VALUE!")</f>
        <v>#VALUE!</v>
      </c>
      <c r="P3120" s="1" t="str">
        <f>IFERROR(__xludf.DUMMYFUNCTION("""COMPUTED_VALUE"""),"#N/A")</f>
        <v>#N/A</v>
      </c>
      <c r="Q3120" s="1"/>
      <c r="R3120" s="1"/>
      <c r="S3120" s="1"/>
      <c r="T3120" s="1"/>
      <c r="U3120" s="2">
        <f>IFERROR(__xludf.DUMMYFUNCTION("""COMPUTED_VALUE"""),0.0)</f>
        <v>0</v>
      </c>
      <c r="V3120" s="1" t="str">
        <f>IFERROR(__xludf.DUMMYFUNCTION("""COMPUTED_VALUE"""),"#N/A")</f>
        <v>#N/A</v>
      </c>
      <c r="W3120" s="1" t="str">
        <f>IFERROR(__xludf.DUMMYFUNCTION("""COMPUTED_VALUE"""),"#N/A")</f>
        <v>#N/A</v>
      </c>
    </row>
    <row r="3121">
      <c r="O3121" s="1" t="str">
        <f>IFERROR(__xludf.DUMMYFUNCTION("""COMPUTED_VALUE"""),"#VALUE!")</f>
        <v>#VALUE!</v>
      </c>
      <c r="P3121" s="1" t="str">
        <f>IFERROR(__xludf.DUMMYFUNCTION("""COMPUTED_VALUE"""),"#N/A")</f>
        <v>#N/A</v>
      </c>
      <c r="Q3121" s="1"/>
      <c r="R3121" s="1"/>
      <c r="S3121" s="1"/>
      <c r="T3121" s="1"/>
      <c r="U3121" s="2">
        <f>IFERROR(__xludf.DUMMYFUNCTION("""COMPUTED_VALUE"""),0.0)</f>
        <v>0</v>
      </c>
      <c r="V3121" s="1" t="str">
        <f>IFERROR(__xludf.DUMMYFUNCTION("""COMPUTED_VALUE"""),"#N/A")</f>
        <v>#N/A</v>
      </c>
      <c r="W3121" s="1" t="str">
        <f>IFERROR(__xludf.DUMMYFUNCTION("""COMPUTED_VALUE"""),"#N/A")</f>
        <v>#N/A</v>
      </c>
    </row>
    <row r="3122">
      <c r="O3122" s="1" t="str">
        <f>IFERROR(__xludf.DUMMYFUNCTION("""COMPUTED_VALUE"""),"#VALUE!")</f>
        <v>#VALUE!</v>
      </c>
      <c r="P3122" s="1" t="str">
        <f>IFERROR(__xludf.DUMMYFUNCTION("""COMPUTED_VALUE"""),"#N/A")</f>
        <v>#N/A</v>
      </c>
      <c r="Q3122" s="1"/>
      <c r="R3122" s="1"/>
      <c r="S3122" s="1"/>
      <c r="T3122" s="1"/>
      <c r="U3122" s="2">
        <f>IFERROR(__xludf.DUMMYFUNCTION("""COMPUTED_VALUE"""),0.0)</f>
        <v>0</v>
      </c>
      <c r="V3122" s="1" t="str">
        <f>IFERROR(__xludf.DUMMYFUNCTION("""COMPUTED_VALUE"""),"#N/A")</f>
        <v>#N/A</v>
      </c>
      <c r="W3122" s="1" t="str">
        <f>IFERROR(__xludf.DUMMYFUNCTION("""COMPUTED_VALUE"""),"#N/A")</f>
        <v>#N/A</v>
      </c>
    </row>
    <row r="3123">
      <c r="O3123" s="1" t="str">
        <f>IFERROR(__xludf.DUMMYFUNCTION("""COMPUTED_VALUE"""),"#VALUE!")</f>
        <v>#VALUE!</v>
      </c>
      <c r="P3123" s="1" t="str">
        <f>IFERROR(__xludf.DUMMYFUNCTION("""COMPUTED_VALUE"""),"#N/A")</f>
        <v>#N/A</v>
      </c>
      <c r="Q3123" s="1"/>
      <c r="R3123" s="1"/>
      <c r="S3123" s="1"/>
      <c r="T3123" s="1"/>
      <c r="U3123" s="2">
        <f>IFERROR(__xludf.DUMMYFUNCTION("""COMPUTED_VALUE"""),0.0)</f>
        <v>0</v>
      </c>
      <c r="V3123" s="1" t="str">
        <f>IFERROR(__xludf.DUMMYFUNCTION("""COMPUTED_VALUE"""),"#N/A")</f>
        <v>#N/A</v>
      </c>
      <c r="W3123" s="1" t="str">
        <f>IFERROR(__xludf.DUMMYFUNCTION("""COMPUTED_VALUE"""),"#N/A")</f>
        <v>#N/A</v>
      </c>
    </row>
    <row r="3124">
      <c r="O3124" s="1" t="str">
        <f>IFERROR(__xludf.DUMMYFUNCTION("""COMPUTED_VALUE"""),"#VALUE!")</f>
        <v>#VALUE!</v>
      </c>
      <c r="P3124" s="1" t="str">
        <f>IFERROR(__xludf.DUMMYFUNCTION("""COMPUTED_VALUE"""),"#N/A")</f>
        <v>#N/A</v>
      </c>
      <c r="Q3124" s="1"/>
      <c r="R3124" s="1"/>
      <c r="S3124" s="1"/>
      <c r="T3124" s="1"/>
      <c r="U3124" s="2">
        <f>IFERROR(__xludf.DUMMYFUNCTION("""COMPUTED_VALUE"""),0.0)</f>
        <v>0</v>
      </c>
      <c r="V3124" s="1" t="str">
        <f>IFERROR(__xludf.DUMMYFUNCTION("""COMPUTED_VALUE"""),"#N/A")</f>
        <v>#N/A</v>
      </c>
      <c r="W3124" s="1" t="str">
        <f>IFERROR(__xludf.DUMMYFUNCTION("""COMPUTED_VALUE"""),"#N/A")</f>
        <v>#N/A</v>
      </c>
    </row>
    <row r="3125">
      <c r="O3125" s="1" t="str">
        <f>IFERROR(__xludf.DUMMYFUNCTION("""COMPUTED_VALUE"""),"#VALUE!")</f>
        <v>#VALUE!</v>
      </c>
      <c r="P3125" s="1" t="str">
        <f>IFERROR(__xludf.DUMMYFUNCTION("""COMPUTED_VALUE"""),"#N/A")</f>
        <v>#N/A</v>
      </c>
      <c r="Q3125" s="1"/>
      <c r="R3125" s="1"/>
      <c r="S3125" s="1"/>
      <c r="T3125" s="1"/>
      <c r="U3125" s="2">
        <f>IFERROR(__xludf.DUMMYFUNCTION("""COMPUTED_VALUE"""),0.0)</f>
        <v>0</v>
      </c>
      <c r="V3125" s="1" t="str">
        <f>IFERROR(__xludf.DUMMYFUNCTION("""COMPUTED_VALUE"""),"#N/A")</f>
        <v>#N/A</v>
      </c>
      <c r="W3125" s="1" t="str">
        <f>IFERROR(__xludf.DUMMYFUNCTION("""COMPUTED_VALUE"""),"#N/A")</f>
        <v>#N/A</v>
      </c>
    </row>
    <row r="3126">
      <c r="O3126" s="1" t="str">
        <f>IFERROR(__xludf.DUMMYFUNCTION("""COMPUTED_VALUE"""),"#VALUE!")</f>
        <v>#VALUE!</v>
      </c>
      <c r="P3126" s="1" t="str">
        <f>IFERROR(__xludf.DUMMYFUNCTION("""COMPUTED_VALUE"""),"#N/A")</f>
        <v>#N/A</v>
      </c>
      <c r="Q3126" s="1"/>
      <c r="R3126" s="1"/>
      <c r="S3126" s="1"/>
      <c r="T3126" s="1"/>
      <c r="U3126" s="2">
        <f>IFERROR(__xludf.DUMMYFUNCTION("""COMPUTED_VALUE"""),0.0)</f>
        <v>0</v>
      </c>
      <c r="V3126" s="1" t="str">
        <f>IFERROR(__xludf.DUMMYFUNCTION("""COMPUTED_VALUE"""),"#N/A")</f>
        <v>#N/A</v>
      </c>
      <c r="W3126" s="1" t="str">
        <f>IFERROR(__xludf.DUMMYFUNCTION("""COMPUTED_VALUE"""),"#N/A")</f>
        <v>#N/A</v>
      </c>
    </row>
    <row r="3127">
      <c r="O3127" s="1" t="str">
        <f>IFERROR(__xludf.DUMMYFUNCTION("""COMPUTED_VALUE"""),"#VALUE!")</f>
        <v>#VALUE!</v>
      </c>
      <c r="P3127" s="1" t="str">
        <f>IFERROR(__xludf.DUMMYFUNCTION("""COMPUTED_VALUE"""),"#N/A")</f>
        <v>#N/A</v>
      </c>
      <c r="Q3127" s="1"/>
      <c r="R3127" s="1"/>
      <c r="S3127" s="1"/>
      <c r="T3127" s="1"/>
      <c r="U3127" s="2">
        <f>IFERROR(__xludf.DUMMYFUNCTION("""COMPUTED_VALUE"""),0.0)</f>
        <v>0</v>
      </c>
      <c r="V3127" s="1" t="str">
        <f>IFERROR(__xludf.DUMMYFUNCTION("""COMPUTED_VALUE"""),"#N/A")</f>
        <v>#N/A</v>
      </c>
      <c r="W3127" s="1" t="str">
        <f>IFERROR(__xludf.DUMMYFUNCTION("""COMPUTED_VALUE"""),"#N/A")</f>
        <v>#N/A</v>
      </c>
    </row>
    <row r="3128">
      <c r="O3128" s="1" t="str">
        <f>IFERROR(__xludf.DUMMYFUNCTION("""COMPUTED_VALUE"""),"#VALUE!")</f>
        <v>#VALUE!</v>
      </c>
      <c r="P3128" s="1" t="str">
        <f>IFERROR(__xludf.DUMMYFUNCTION("""COMPUTED_VALUE"""),"#N/A")</f>
        <v>#N/A</v>
      </c>
      <c r="Q3128" s="1"/>
      <c r="R3128" s="1"/>
      <c r="S3128" s="1"/>
      <c r="T3128" s="1"/>
      <c r="U3128" s="2">
        <f>IFERROR(__xludf.DUMMYFUNCTION("""COMPUTED_VALUE"""),0.0)</f>
        <v>0</v>
      </c>
      <c r="V3128" s="1" t="str">
        <f>IFERROR(__xludf.DUMMYFUNCTION("""COMPUTED_VALUE"""),"#N/A")</f>
        <v>#N/A</v>
      </c>
      <c r="W3128" s="1" t="str">
        <f>IFERROR(__xludf.DUMMYFUNCTION("""COMPUTED_VALUE"""),"#N/A")</f>
        <v>#N/A</v>
      </c>
    </row>
    <row r="3129">
      <c r="O3129" s="1" t="str">
        <f>IFERROR(__xludf.DUMMYFUNCTION("""COMPUTED_VALUE"""),"#VALUE!")</f>
        <v>#VALUE!</v>
      </c>
      <c r="P3129" s="1" t="str">
        <f>IFERROR(__xludf.DUMMYFUNCTION("""COMPUTED_VALUE"""),"#N/A")</f>
        <v>#N/A</v>
      </c>
      <c r="Q3129" s="1"/>
      <c r="R3129" s="1"/>
      <c r="S3129" s="1"/>
      <c r="T3129" s="1"/>
      <c r="U3129" s="2">
        <f>IFERROR(__xludf.DUMMYFUNCTION("""COMPUTED_VALUE"""),0.0)</f>
        <v>0</v>
      </c>
      <c r="V3129" s="1" t="str">
        <f>IFERROR(__xludf.DUMMYFUNCTION("""COMPUTED_VALUE"""),"#N/A")</f>
        <v>#N/A</v>
      </c>
      <c r="W3129" s="1" t="str">
        <f>IFERROR(__xludf.DUMMYFUNCTION("""COMPUTED_VALUE"""),"#N/A")</f>
        <v>#N/A</v>
      </c>
    </row>
    <row r="3130">
      <c r="O3130" s="1" t="str">
        <f>IFERROR(__xludf.DUMMYFUNCTION("""COMPUTED_VALUE"""),"#VALUE!")</f>
        <v>#VALUE!</v>
      </c>
      <c r="P3130" s="1" t="str">
        <f>IFERROR(__xludf.DUMMYFUNCTION("""COMPUTED_VALUE"""),"#N/A")</f>
        <v>#N/A</v>
      </c>
      <c r="Q3130" s="1"/>
      <c r="R3130" s="1"/>
      <c r="S3130" s="1"/>
      <c r="T3130" s="1"/>
      <c r="U3130" s="2">
        <f>IFERROR(__xludf.DUMMYFUNCTION("""COMPUTED_VALUE"""),0.0)</f>
        <v>0</v>
      </c>
      <c r="V3130" s="1" t="str">
        <f>IFERROR(__xludf.DUMMYFUNCTION("""COMPUTED_VALUE"""),"#N/A")</f>
        <v>#N/A</v>
      </c>
      <c r="W3130" s="1" t="str">
        <f>IFERROR(__xludf.DUMMYFUNCTION("""COMPUTED_VALUE"""),"#N/A")</f>
        <v>#N/A</v>
      </c>
    </row>
    <row r="3131">
      <c r="O3131" s="1" t="str">
        <f>IFERROR(__xludf.DUMMYFUNCTION("""COMPUTED_VALUE"""),"#VALUE!")</f>
        <v>#VALUE!</v>
      </c>
      <c r="P3131" s="1" t="str">
        <f>IFERROR(__xludf.DUMMYFUNCTION("""COMPUTED_VALUE"""),"#N/A")</f>
        <v>#N/A</v>
      </c>
      <c r="Q3131" s="1"/>
      <c r="R3131" s="1"/>
      <c r="S3131" s="1"/>
      <c r="T3131" s="1"/>
      <c r="U3131" s="2">
        <f>IFERROR(__xludf.DUMMYFUNCTION("""COMPUTED_VALUE"""),0.0)</f>
        <v>0</v>
      </c>
      <c r="V3131" s="1" t="str">
        <f>IFERROR(__xludf.DUMMYFUNCTION("""COMPUTED_VALUE"""),"#N/A")</f>
        <v>#N/A</v>
      </c>
      <c r="W3131" s="1" t="str">
        <f>IFERROR(__xludf.DUMMYFUNCTION("""COMPUTED_VALUE"""),"#N/A")</f>
        <v>#N/A</v>
      </c>
    </row>
    <row r="3132">
      <c r="O3132" s="1" t="str">
        <f>IFERROR(__xludf.DUMMYFUNCTION("""COMPUTED_VALUE"""),"#VALUE!")</f>
        <v>#VALUE!</v>
      </c>
      <c r="P3132" s="1" t="str">
        <f>IFERROR(__xludf.DUMMYFUNCTION("""COMPUTED_VALUE"""),"#N/A")</f>
        <v>#N/A</v>
      </c>
      <c r="Q3132" s="1"/>
      <c r="R3132" s="1"/>
      <c r="S3132" s="1"/>
      <c r="T3132" s="1"/>
      <c r="U3132" s="2">
        <f>IFERROR(__xludf.DUMMYFUNCTION("""COMPUTED_VALUE"""),0.0)</f>
        <v>0</v>
      </c>
      <c r="V3132" s="1" t="str">
        <f>IFERROR(__xludf.DUMMYFUNCTION("""COMPUTED_VALUE"""),"#N/A")</f>
        <v>#N/A</v>
      </c>
      <c r="W3132" s="1" t="str">
        <f>IFERROR(__xludf.DUMMYFUNCTION("""COMPUTED_VALUE"""),"#N/A")</f>
        <v>#N/A</v>
      </c>
    </row>
    <row r="3133">
      <c r="O3133" s="1" t="str">
        <f>IFERROR(__xludf.DUMMYFUNCTION("""COMPUTED_VALUE"""),"#VALUE!")</f>
        <v>#VALUE!</v>
      </c>
      <c r="P3133" s="1" t="str">
        <f>IFERROR(__xludf.DUMMYFUNCTION("""COMPUTED_VALUE"""),"#N/A")</f>
        <v>#N/A</v>
      </c>
      <c r="Q3133" s="1"/>
      <c r="R3133" s="1"/>
      <c r="S3133" s="1"/>
      <c r="T3133" s="1"/>
      <c r="U3133" s="2">
        <f>IFERROR(__xludf.DUMMYFUNCTION("""COMPUTED_VALUE"""),0.0)</f>
        <v>0</v>
      </c>
      <c r="V3133" s="1" t="str">
        <f>IFERROR(__xludf.DUMMYFUNCTION("""COMPUTED_VALUE"""),"#N/A")</f>
        <v>#N/A</v>
      </c>
      <c r="W3133" s="1" t="str">
        <f>IFERROR(__xludf.DUMMYFUNCTION("""COMPUTED_VALUE"""),"#N/A")</f>
        <v>#N/A</v>
      </c>
    </row>
    <row r="3134">
      <c r="O3134" s="1" t="str">
        <f>IFERROR(__xludf.DUMMYFUNCTION("""COMPUTED_VALUE"""),"#VALUE!")</f>
        <v>#VALUE!</v>
      </c>
      <c r="P3134" s="1" t="str">
        <f>IFERROR(__xludf.DUMMYFUNCTION("""COMPUTED_VALUE"""),"#N/A")</f>
        <v>#N/A</v>
      </c>
      <c r="Q3134" s="1"/>
      <c r="R3134" s="1"/>
      <c r="S3134" s="1"/>
      <c r="T3134" s="1"/>
      <c r="U3134" s="2">
        <f>IFERROR(__xludf.DUMMYFUNCTION("""COMPUTED_VALUE"""),0.0)</f>
        <v>0</v>
      </c>
      <c r="V3134" s="1" t="str">
        <f>IFERROR(__xludf.DUMMYFUNCTION("""COMPUTED_VALUE"""),"#N/A")</f>
        <v>#N/A</v>
      </c>
      <c r="W3134" s="1" t="str">
        <f>IFERROR(__xludf.DUMMYFUNCTION("""COMPUTED_VALUE"""),"#N/A")</f>
        <v>#N/A</v>
      </c>
    </row>
    <row r="3135">
      <c r="O3135" s="1" t="str">
        <f>IFERROR(__xludf.DUMMYFUNCTION("""COMPUTED_VALUE"""),"#VALUE!")</f>
        <v>#VALUE!</v>
      </c>
      <c r="P3135" s="1" t="str">
        <f>IFERROR(__xludf.DUMMYFUNCTION("""COMPUTED_VALUE"""),"#N/A")</f>
        <v>#N/A</v>
      </c>
      <c r="Q3135" s="1"/>
      <c r="R3135" s="1"/>
      <c r="S3135" s="1"/>
      <c r="T3135" s="1"/>
      <c r="U3135" s="2">
        <f>IFERROR(__xludf.DUMMYFUNCTION("""COMPUTED_VALUE"""),0.0)</f>
        <v>0</v>
      </c>
      <c r="V3135" s="1" t="str">
        <f>IFERROR(__xludf.DUMMYFUNCTION("""COMPUTED_VALUE"""),"#N/A")</f>
        <v>#N/A</v>
      </c>
      <c r="W3135" s="1" t="str">
        <f>IFERROR(__xludf.DUMMYFUNCTION("""COMPUTED_VALUE"""),"#N/A")</f>
        <v>#N/A</v>
      </c>
    </row>
    <row r="3136">
      <c r="O3136" s="1" t="str">
        <f>IFERROR(__xludf.DUMMYFUNCTION("""COMPUTED_VALUE"""),"#VALUE!")</f>
        <v>#VALUE!</v>
      </c>
      <c r="P3136" s="1" t="str">
        <f>IFERROR(__xludf.DUMMYFUNCTION("""COMPUTED_VALUE"""),"#N/A")</f>
        <v>#N/A</v>
      </c>
      <c r="Q3136" s="1"/>
      <c r="R3136" s="1"/>
      <c r="S3136" s="1"/>
      <c r="T3136" s="1"/>
      <c r="U3136" s="2">
        <f>IFERROR(__xludf.DUMMYFUNCTION("""COMPUTED_VALUE"""),0.0)</f>
        <v>0</v>
      </c>
      <c r="V3136" s="1" t="str">
        <f>IFERROR(__xludf.DUMMYFUNCTION("""COMPUTED_VALUE"""),"#N/A")</f>
        <v>#N/A</v>
      </c>
      <c r="W3136" s="1" t="str">
        <f>IFERROR(__xludf.DUMMYFUNCTION("""COMPUTED_VALUE"""),"#N/A")</f>
        <v>#N/A</v>
      </c>
    </row>
    <row r="3137">
      <c r="O3137" s="1" t="str">
        <f>IFERROR(__xludf.DUMMYFUNCTION("""COMPUTED_VALUE"""),"#VALUE!")</f>
        <v>#VALUE!</v>
      </c>
      <c r="P3137" s="1" t="str">
        <f>IFERROR(__xludf.DUMMYFUNCTION("""COMPUTED_VALUE"""),"#N/A")</f>
        <v>#N/A</v>
      </c>
      <c r="Q3137" s="1"/>
      <c r="R3137" s="1"/>
      <c r="S3137" s="1"/>
      <c r="T3137" s="1"/>
      <c r="U3137" s="2">
        <f>IFERROR(__xludf.DUMMYFUNCTION("""COMPUTED_VALUE"""),0.0)</f>
        <v>0</v>
      </c>
      <c r="V3137" s="1" t="str">
        <f>IFERROR(__xludf.DUMMYFUNCTION("""COMPUTED_VALUE"""),"#N/A")</f>
        <v>#N/A</v>
      </c>
      <c r="W3137" s="1" t="str">
        <f>IFERROR(__xludf.DUMMYFUNCTION("""COMPUTED_VALUE"""),"#N/A")</f>
        <v>#N/A</v>
      </c>
    </row>
    <row r="3138">
      <c r="O3138" s="1" t="str">
        <f>IFERROR(__xludf.DUMMYFUNCTION("""COMPUTED_VALUE"""),"#VALUE!")</f>
        <v>#VALUE!</v>
      </c>
      <c r="P3138" s="1" t="str">
        <f>IFERROR(__xludf.DUMMYFUNCTION("""COMPUTED_VALUE"""),"#N/A")</f>
        <v>#N/A</v>
      </c>
      <c r="Q3138" s="1"/>
      <c r="R3138" s="1"/>
      <c r="S3138" s="1"/>
      <c r="T3138" s="1"/>
      <c r="U3138" s="2">
        <f>IFERROR(__xludf.DUMMYFUNCTION("""COMPUTED_VALUE"""),0.0)</f>
        <v>0</v>
      </c>
      <c r="V3138" s="1" t="str">
        <f>IFERROR(__xludf.DUMMYFUNCTION("""COMPUTED_VALUE"""),"#N/A")</f>
        <v>#N/A</v>
      </c>
      <c r="W3138" s="1" t="str">
        <f>IFERROR(__xludf.DUMMYFUNCTION("""COMPUTED_VALUE"""),"#N/A")</f>
        <v>#N/A</v>
      </c>
    </row>
    <row r="3139">
      <c r="O3139" s="1" t="str">
        <f>IFERROR(__xludf.DUMMYFUNCTION("""COMPUTED_VALUE"""),"#VALUE!")</f>
        <v>#VALUE!</v>
      </c>
      <c r="P3139" s="1" t="str">
        <f>IFERROR(__xludf.DUMMYFUNCTION("""COMPUTED_VALUE"""),"#N/A")</f>
        <v>#N/A</v>
      </c>
      <c r="Q3139" s="1"/>
      <c r="R3139" s="1"/>
      <c r="S3139" s="1"/>
      <c r="T3139" s="1"/>
      <c r="U3139" s="2">
        <f>IFERROR(__xludf.DUMMYFUNCTION("""COMPUTED_VALUE"""),0.0)</f>
        <v>0</v>
      </c>
      <c r="V3139" s="1" t="str">
        <f>IFERROR(__xludf.DUMMYFUNCTION("""COMPUTED_VALUE"""),"#N/A")</f>
        <v>#N/A</v>
      </c>
      <c r="W3139" s="1" t="str">
        <f>IFERROR(__xludf.DUMMYFUNCTION("""COMPUTED_VALUE"""),"#N/A")</f>
        <v>#N/A</v>
      </c>
    </row>
    <row r="3140">
      <c r="O3140" s="1" t="str">
        <f>IFERROR(__xludf.DUMMYFUNCTION("""COMPUTED_VALUE"""),"#VALUE!")</f>
        <v>#VALUE!</v>
      </c>
      <c r="P3140" s="1" t="str">
        <f>IFERROR(__xludf.DUMMYFUNCTION("""COMPUTED_VALUE"""),"#N/A")</f>
        <v>#N/A</v>
      </c>
      <c r="Q3140" s="1"/>
      <c r="R3140" s="1"/>
      <c r="S3140" s="1"/>
      <c r="T3140" s="1"/>
      <c r="U3140" s="2">
        <f>IFERROR(__xludf.DUMMYFUNCTION("""COMPUTED_VALUE"""),0.0)</f>
        <v>0</v>
      </c>
      <c r="V3140" s="1" t="str">
        <f>IFERROR(__xludf.DUMMYFUNCTION("""COMPUTED_VALUE"""),"#N/A")</f>
        <v>#N/A</v>
      </c>
      <c r="W3140" s="1" t="str">
        <f>IFERROR(__xludf.DUMMYFUNCTION("""COMPUTED_VALUE"""),"#N/A")</f>
        <v>#N/A</v>
      </c>
    </row>
    <row r="3141">
      <c r="O3141" s="1" t="str">
        <f>IFERROR(__xludf.DUMMYFUNCTION("""COMPUTED_VALUE"""),"#VALUE!")</f>
        <v>#VALUE!</v>
      </c>
      <c r="P3141" s="1" t="str">
        <f>IFERROR(__xludf.DUMMYFUNCTION("""COMPUTED_VALUE"""),"#N/A")</f>
        <v>#N/A</v>
      </c>
      <c r="Q3141" s="1"/>
      <c r="R3141" s="1"/>
      <c r="S3141" s="1"/>
      <c r="T3141" s="1"/>
      <c r="U3141" s="2">
        <f>IFERROR(__xludf.DUMMYFUNCTION("""COMPUTED_VALUE"""),0.0)</f>
        <v>0</v>
      </c>
      <c r="V3141" s="1" t="str">
        <f>IFERROR(__xludf.DUMMYFUNCTION("""COMPUTED_VALUE"""),"#N/A")</f>
        <v>#N/A</v>
      </c>
      <c r="W3141" s="1" t="str">
        <f>IFERROR(__xludf.DUMMYFUNCTION("""COMPUTED_VALUE"""),"#N/A")</f>
        <v>#N/A</v>
      </c>
    </row>
    <row r="3142">
      <c r="O3142" s="1" t="str">
        <f>IFERROR(__xludf.DUMMYFUNCTION("""COMPUTED_VALUE"""),"#VALUE!")</f>
        <v>#VALUE!</v>
      </c>
      <c r="P3142" s="1" t="str">
        <f>IFERROR(__xludf.DUMMYFUNCTION("""COMPUTED_VALUE"""),"#N/A")</f>
        <v>#N/A</v>
      </c>
      <c r="Q3142" s="1"/>
      <c r="R3142" s="1"/>
      <c r="S3142" s="1"/>
      <c r="T3142" s="1"/>
      <c r="U3142" s="2">
        <f>IFERROR(__xludf.DUMMYFUNCTION("""COMPUTED_VALUE"""),0.0)</f>
        <v>0</v>
      </c>
      <c r="V3142" s="1" t="str">
        <f>IFERROR(__xludf.DUMMYFUNCTION("""COMPUTED_VALUE"""),"#N/A")</f>
        <v>#N/A</v>
      </c>
      <c r="W3142" s="1" t="str">
        <f>IFERROR(__xludf.DUMMYFUNCTION("""COMPUTED_VALUE"""),"#N/A")</f>
        <v>#N/A</v>
      </c>
    </row>
    <row r="3143">
      <c r="O3143" s="1" t="str">
        <f>IFERROR(__xludf.DUMMYFUNCTION("""COMPUTED_VALUE"""),"#VALUE!")</f>
        <v>#VALUE!</v>
      </c>
      <c r="P3143" s="1" t="str">
        <f>IFERROR(__xludf.DUMMYFUNCTION("""COMPUTED_VALUE"""),"#N/A")</f>
        <v>#N/A</v>
      </c>
      <c r="Q3143" s="1"/>
      <c r="R3143" s="1"/>
      <c r="S3143" s="1"/>
      <c r="T3143" s="1"/>
      <c r="U3143" s="2">
        <f>IFERROR(__xludf.DUMMYFUNCTION("""COMPUTED_VALUE"""),0.0)</f>
        <v>0</v>
      </c>
      <c r="V3143" s="1" t="str">
        <f>IFERROR(__xludf.DUMMYFUNCTION("""COMPUTED_VALUE"""),"#N/A")</f>
        <v>#N/A</v>
      </c>
      <c r="W3143" s="1" t="str">
        <f>IFERROR(__xludf.DUMMYFUNCTION("""COMPUTED_VALUE"""),"#N/A")</f>
        <v>#N/A</v>
      </c>
    </row>
    <row r="3144">
      <c r="O3144" s="1" t="str">
        <f>IFERROR(__xludf.DUMMYFUNCTION("""COMPUTED_VALUE"""),"#VALUE!")</f>
        <v>#VALUE!</v>
      </c>
      <c r="P3144" s="1" t="str">
        <f>IFERROR(__xludf.DUMMYFUNCTION("""COMPUTED_VALUE"""),"#N/A")</f>
        <v>#N/A</v>
      </c>
      <c r="Q3144" s="1"/>
      <c r="R3144" s="1"/>
      <c r="S3144" s="1"/>
      <c r="T3144" s="1"/>
      <c r="U3144" s="2">
        <f>IFERROR(__xludf.DUMMYFUNCTION("""COMPUTED_VALUE"""),0.0)</f>
        <v>0</v>
      </c>
      <c r="V3144" s="1" t="str">
        <f>IFERROR(__xludf.DUMMYFUNCTION("""COMPUTED_VALUE"""),"#N/A")</f>
        <v>#N/A</v>
      </c>
      <c r="W3144" s="1" t="str">
        <f>IFERROR(__xludf.DUMMYFUNCTION("""COMPUTED_VALUE"""),"#N/A")</f>
        <v>#N/A</v>
      </c>
    </row>
    <row r="3145">
      <c r="O3145" s="1" t="str">
        <f>IFERROR(__xludf.DUMMYFUNCTION("""COMPUTED_VALUE"""),"#VALUE!")</f>
        <v>#VALUE!</v>
      </c>
      <c r="P3145" s="1" t="str">
        <f>IFERROR(__xludf.DUMMYFUNCTION("""COMPUTED_VALUE"""),"#N/A")</f>
        <v>#N/A</v>
      </c>
      <c r="Q3145" s="1"/>
      <c r="R3145" s="1"/>
      <c r="S3145" s="1"/>
      <c r="T3145" s="1"/>
      <c r="U3145" s="2">
        <f>IFERROR(__xludf.DUMMYFUNCTION("""COMPUTED_VALUE"""),0.0)</f>
        <v>0</v>
      </c>
      <c r="V3145" s="1" t="str">
        <f>IFERROR(__xludf.DUMMYFUNCTION("""COMPUTED_VALUE"""),"#N/A")</f>
        <v>#N/A</v>
      </c>
      <c r="W3145" s="1" t="str">
        <f>IFERROR(__xludf.DUMMYFUNCTION("""COMPUTED_VALUE"""),"#N/A")</f>
        <v>#N/A</v>
      </c>
    </row>
    <row r="3146">
      <c r="O3146" s="1" t="str">
        <f>IFERROR(__xludf.DUMMYFUNCTION("""COMPUTED_VALUE"""),"#VALUE!")</f>
        <v>#VALUE!</v>
      </c>
      <c r="P3146" s="1" t="str">
        <f>IFERROR(__xludf.DUMMYFUNCTION("""COMPUTED_VALUE"""),"#N/A")</f>
        <v>#N/A</v>
      </c>
      <c r="Q3146" s="1"/>
      <c r="R3146" s="1"/>
      <c r="S3146" s="1"/>
      <c r="T3146" s="1"/>
      <c r="U3146" s="2">
        <f>IFERROR(__xludf.DUMMYFUNCTION("""COMPUTED_VALUE"""),0.0)</f>
        <v>0</v>
      </c>
      <c r="V3146" s="1" t="str">
        <f>IFERROR(__xludf.DUMMYFUNCTION("""COMPUTED_VALUE"""),"#N/A")</f>
        <v>#N/A</v>
      </c>
      <c r="W3146" s="1" t="str">
        <f>IFERROR(__xludf.DUMMYFUNCTION("""COMPUTED_VALUE"""),"#N/A")</f>
        <v>#N/A</v>
      </c>
    </row>
    <row r="3147">
      <c r="O3147" s="1" t="str">
        <f>IFERROR(__xludf.DUMMYFUNCTION("""COMPUTED_VALUE"""),"#VALUE!")</f>
        <v>#VALUE!</v>
      </c>
      <c r="P3147" s="1" t="str">
        <f>IFERROR(__xludf.DUMMYFUNCTION("""COMPUTED_VALUE"""),"#N/A")</f>
        <v>#N/A</v>
      </c>
      <c r="Q3147" s="1"/>
      <c r="R3147" s="1"/>
      <c r="S3147" s="1"/>
      <c r="T3147" s="1"/>
      <c r="U3147" s="2">
        <f>IFERROR(__xludf.DUMMYFUNCTION("""COMPUTED_VALUE"""),0.0)</f>
        <v>0</v>
      </c>
      <c r="V3147" s="1" t="str">
        <f>IFERROR(__xludf.DUMMYFUNCTION("""COMPUTED_VALUE"""),"#N/A")</f>
        <v>#N/A</v>
      </c>
      <c r="W3147" s="1" t="str">
        <f>IFERROR(__xludf.DUMMYFUNCTION("""COMPUTED_VALUE"""),"#N/A")</f>
        <v>#N/A</v>
      </c>
    </row>
    <row r="3148">
      <c r="O3148" s="1" t="str">
        <f>IFERROR(__xludf.DUMMYFUNCTION("""COMPUTED_VALUE"""),"#VALUE!")</f>
        <v>#VALUE!</v>
      </c>
      <c r="P3148" s="1" t="str">
        <f>IFERROR(__xludf.DUMMYFUNCTION("""COMPUTED_VALUE"""),"#N/A")</f>
        <v>#N/A</v>
      </c>
      <c r="Q3148" s="1"/>
      <c r="R3148" s="1"/>
      <c r="S3148" s="1"/>
      <c r="T3148" s="1"/>
      <c r="U3148" s="2">
        <f>IFERROR(__xludf.DUMMYFUNCTION("""COMPUTED_VALUE"""),0.0)</f>
        <v>0</v>
      </c>
      <c r="V3148" s="1" t="str">
        <f>IFERROR(__xludf.DUMMYFUNCTION("""COMPUTED_VALUE"""),"#N/A")</f>
        <v>#N/A</v>
      </c>
      <c r="W3148" s="1" t="str">
        <f>IFERROR(__xludf.DUMMYFUNCTION("""COMPUTED_VALUE"""),"#N/A")</f>
        <v>#N/A</v>
      </c>
    </row>
    <row r="3149">
      <c r="O3149" s="1" t="str">
        <f>IFERROR(__xludf.DUMMYFUNCTION("""COMPUTED_VALUE"""),"#VALUE!")</f>
        <v>#VALUE!</v>
      </c>
      <c r="P3149" s="1" t="str">
        <f>IFERROR(__xludf.DUMMYFUNCTION("""COMPUTED_VALUE"""),"#N/A")</f>
        <v>#N/A</v>
      </c>
      <c r="Q3149" s="1"/>
      <c r="R3149" s="1"/>
      <c r="S3149" s="1"/>
      <c r="T3149" s="1"/>
      <c r="U3149" s="2">
        <f>IFERROR(__xludf.DUMMYFUNCTION("""COMPUTED_VALUE"""),0.0)</f>
        <v>0</v>
      </c>
      <c r="V3149" s="1" t="str">
        <f>IFERROR(__xludf.DUMMYFUNCTION("""COMPUTED_VALUE"""),"#N/A")</f>
        <v>#N/A</v>
      </c>
      <c r="W3149" s="1" t="str">
        <f>IFERROR(__xludf.DUMMYFUNCTION("""COMPUTED_VALUE"""),"#N/A")</f>
        <v>#N/A</v>
      </c>
    </row>
    <row r="3150">
      <c r="O3150" s="1" t="str">
        <f>IFERROR(__xludf.DUMMYFUNCTION("""COMPUTED_VALUE"""),"#VALUE!")</f>
        <v>#VALUE!</v>
      </c>
      <c r="P3150" s="1" t="str">
        <f>IFERROR(__xludf.DUMMYFUNCTION("""COMPUTED_VALUE"""),"#N/A")</f>
        <v>#N/A</v>
      </c>
      <c r="Q3150" s="1"/>
      <c r="R3150" s="1"/>
      <c r="S3150" s="1"/>
      <c r="T3150" s="1"/>
      <c r="U3150" s="2">
        <f>IFERROR(__xludf.DUMMYFUNCTION("""COMPUTED_VALUE"""),0.0)</f>
        <v>0</v>
      </c>
      <c r="V3150" s="1" t="str">
        <f>IFERROR(__xludf.DUMMYFUNCTION("""COMPUTED_VALUE"""),"#N/A")</f>
        <v>#N/A</v>
      </c>
      <c r="W3150" s="1" t="str">
        <f>IFERROR(__xludf.DUMMYFUNCTION("""COMPUTED_VALUE"""),"#N/A")</f>
        <v>#N/A</v>
      </c>
    </row>
    <row r="3151">
      <c r="O3151" s="1" t="str">
        <f>IFERROR(__xludf.DUMMYFUNCTION("""COMPUTED_VALUE"""),"#VALUE!")</f>
        <v>#VALUE!</v>
      </c>
      <c r="P3151" s="1" t="str">
        <f>IFERROR(__xludf.DUMMYFUNCTION("""COMPUTED_VALUE"""),"#N/A")</f>
        <v>#N/A</v>
      </c>
      <c r="Q3151" s="1"/>
      <c r="R3151" s="1"/>
      <c r="S3151" s="1"/>
      <c r="T3151" s="1"/>
      <c r="U3151" s="2">
        <f>IFERROR(__xludf.DUMMYFUNCTION("""COMPUTED_VALUE"""),0.0)</f>
        <v>0</v>
      </c>
      <c r="V3151" s="1" t="str">
        <f>IFERROR(__xludf.DUMMYFUNCTION("""COMPUTED_VALUE"""),"#N/A")</f>
        <v>#N/A</v>
      </c>
      <c r="W3151" s="1" t="str">
        <f>IFERROR(__xludf.DUMMYFUNCTION("""COMPUTED_VALUE"""),"#N/A")</f>
        <v>#N/A</v>
      </c>
    </row>
    <row r="3152">
      <c r="O3152" s="1" t="str">
        <f>IFERROR(__xludf.DUMMYFUNCTION("""COMPUTED_VALUE"""),"#VALUE!")</f>
        <v>#VALUE!</v>
      </c>
      <c r="P3152" s="1" t="str">
        <f>IFERROR(__xludf.DUMMYFUNCTION("""COMPUTED_VALUE"""),"#N/A")</f>
        <v>#N/A</v>
      </c>
      <c r="Q3152" s="1"/>
      <c r="R3152" s="1"/>
      <c r="S3152" s="1"/>
      <c r="T3152" s="1"/>
      <c r="U3152" s="2">
        <f>IFERROR(__xludf.DUMMYFUNCTION("""COMPUTED_VALUE"""),0.0)</f>
        <v>0</v>
      </c>
      <c r="V3152" s="1" t="str">
        <f>IFERROR(__xludf.DUMMYFUNCTION("""COMPUTED_VALUE"""),"#N/A")</f>
        <v>#N/A</v>
      </c>
      <c r="W3152" s="1" t="str">
        <f>IFERROR(__xludf.DUMMYFUNCTION("""COMPUTED_VALUE"""),"#N/A")</f>
        <v>#N/A</v>
      </c>
    </row>
    <row r="3153">
      <c r="O3153" s="1" t="str">
        <f>IFERROR(__xludf.DUMMYFUNCTION("""COMPUTED_VALUE"""),"#VALUE!")</f>
        <v>#VALUE!</v>
      </c>
      <c r="P3153" s="1" t="str">
        <f>IFERROR(__xludf.DUMMYFUNCTION("""COMPUTED_VALUE"""),"#N/A")</f>
        <v>#N/A</v>
      </c>
      <c r="Q3153" s="1"/>
      <c r="R3153" s="1"/>
      <c r="S3153" s="1"/>
      <c r="T3153" s="1"/>
      <c r="U3153" s="2">
        <f>IFERROR(__xludf.DUMMYFUNCTION("""COMPUTED_VALUE"""),0.0)</f>
        <v>0</v>
      </c>
      <c r="V3153" s="1" t="str">
        <f>IFERROR(__xludf.DUMMYFUNCTION("""COMPUTED_VALUE"""),"#N/A")</f>
        <v>#N/A</v>
      </c>
      <c r="W3153" s="1" t="str">
        <f>IFERROR(__xludf.DUMMYFUNCTION("""COMPUTED_VALUE"""),"#N/A")</f>
        <v>#N/A</v>
      </c>
    </row>
    <row r="3154">
      <c r="O3154" s="1" t="str">
        <f>IFERROR(__xludf.DUMMYFUNCTION("""COMPUTED_VALUE"""),"#VALUE!")</f>
        <v>#VALUE!</v>
      </c>
      <c r="P3154" s="1" t="str">
        <f>IFERROR(__xludf.DUMMYFUNCTION("""COMPUTED_VALUE"""),"#N/A")</f>
        <v>#N/A</v>
      </c>
      <c r="Q3154" s="1"/>
      <c r="R3154" s="1"/>
      <c r="S3154" s="1"/>
      <c r="T3154" s="1"/>
      <c r="U3154" s="2">
        <f>IFERROR(__xludf.DUMMYFUNCTION("""COMPUTED_VALUE"""),0.0)</f>
        <v>0</v>
      </c>
      <c r="V3154" s="1" t="str">
        <f>IFERROR(__xludf.DUMMYFUNCTION("""COMPUTED_VALUE"""),"#N/A")</f>
        <v>#N/A</v>
      </c>
      <c r="W3154" s="1" t="str">
        <f>IFERROR(__xludf.DUMMYFUNCTION("""COMPUTED_VALUE"""),"#N/A")</f>
        <v>#N/A</v>
      </c>
    </row>
    <row r="3155">
      <c r="O3155" s="1" t="str">
        <f>IFERROR(__xludf.DUMMYFUNCTION("""COMPUTED_VALUE"""),"#VALUE!")</f>
        <v>#VALUE!</v>
      </c>
      <c r="P3155" s="1" t="str">
        <f>IFERROR(__xludf.DUMMYFUNCTION("""COMPUTED_VALUE"""),"#N/A")</f>
        <v>#N/A</v>
      </c>
      <c r="Q3155" s="1"/>
      <c r="R3155" s="1"/>
      <c r="S3155" s="1"/>
      <c r="T3155" s="1"/>
      <c r="U3155" s="2">
        <f>IFERROR(__xludf.DUMMYFUNCTION("""COMPUTED_VALUE"""),0.0)</f>
        <v>0</v>
      </c>
      <c r="V3155" s="1" t="str">
        <f>IFERROR(__xludf.DUMMYFUNCTION("""COMPUTED_VALUE"""),"#N/A")</f>
        <v>#N/A</v>
      </c>
      <c r="W3155" s="1" t="str">
        <f>IFERROR(__xludf.DUMMYFUNCTION("""COMPUTED_VALUE"""),"#N/A")</f>
        <v>#N/A</v>
      </c>
    </row>
    <row r="3156">
      <c r="O3156" s="1" t="str">
        <f>IFERROR(__xludf.DUMMYFUNCTION("""COMPUTED_VALUE"""),"#VALUE!")</f>
        <v>#VALUE!</v>
      </c>
      <c r="P3156" s="1" t="str">
        <f>IFERROR(__xludf.DUMMYFUNCTION("""COMPUTED_VALUE"""),"#N/A")</f>
        <v>#N/A</v>
      </c>
      <c r="Q3156" s="1"/>
      <c r="R3156" s="1"/>
      <c r="S3156" s="1"/>
      <c r="T3156" s="1"/>
      <c r="U3156" s="2">
        <f>IFERROR(__xludf.DUMMYFUNCTION("""COMPUTED_VALUE"""),0.0)</f>
        <v>0</v>
      </c>
      <c r="V3156" s="1" t="str">
        <f>IFERROR(__xludf.DUMMYFUNCTION("""COMPUTED_VALUE"""),"#N/A")</f>
        <v>#N/A</v>
      </c>
      <c r="W3156" s="1" t="str">
        <f>IFERROR(__xludf.DUMMYFUNCTION("""COMPUTED_VALUE"""),"#N/A")</f>
        <v>#N/A</v>
      </c>
    </row>
    <row r="3157">
      <c r="O3157" s="1" t="str">
        <f>IFERROR(__xludf.DUMMYFUNCTION("""COMPUTED_VALUE"""),"#VALUE!")</f>
        <v>#VALUE!</v>
      </c>
      <c r="P3157" s="1" t="str">
        <f>IFERROR(__xludf.DUMMYFUNCTION("""COMPUTED_VALUE"""),"#N/A")</f>
        <v>#N/A</v>
      </c>
      <c r="Q3157" s="1"/>
      <c r="R3157" s="1"/>
      <c r="S3157" s="1"/>
      <c r="T3157" s="1"/>
      <c r="U3157" s="2">
        <f>IFERROR(__xludf.DUMMYFUNCTION("""COMPUTED_VALUE"""),0.0)</f>
        <v>0</v>
      </c>
      <c r="V3157" s="1" t="str">
        <f>IFERROR(__xludf.DUMMYFUNCTION("""COMPUTED_VALUE"""),"#N/A")</f>
        <v>#N/A</v>
      </c>
      <c r="W3157" s="1" t="str">
        <f>IFERROR(__xludf.DUMMYFUNCTION("""COMPUTED_VALUE"""),"#N/A")</f>
        <v>#N/A</v>
      </c>
    </row>
    <row r="3158">
      <c r="O3158" s="1" t="str">
        <f>IFERROR(__xludf.DUMMYFUNCTION("""COMPUTED_VALUE"""),"#VALUE!")</f>
        <v>#VALUE!</v>
      </c>
      <c r="P3158" s="1" t="str">
        <f>IFERROR(__xludf.DUMMYFUNCTION("""COMPUTED_VALUE"""),"#N/A")</f>
        <v>#N/A</v>
      </c>
      <c r="Q3158" s="1"/>
      <c r="R3158" s="1"/>
      <c r="S3158" s="1"/>
      <c r="T3158" s="1"/>
      <c r="U3158" s="2">
        <f>IFERROR(__xludf.DUMMYFUNCTION("""COMPUTED_VALUE"""),0.0)</f>
        <v>0</v>
      </c>
      <c r="V3158" s="1" t="str">
        <f>IFERROR(__xludf.DUMMYFUNCTION("""COMPUTED_VALUE"""),"#N/A")</f>
        <v>#N/A</v>
      </c>
      <c r="W3158" s="1" t="str">
        <f>IFERROR(__xludf.DUMMYFUNCTION("""COMPUTED_VALUE"""),"#N/A")</f>
        <v>#N/A</v>
      </c>
    </row>
    <row r="3159">
      <c r="O3159" s="1" t="str">
        <f>IFERROR(__xludf.DUMMYFUNCTION("""COMPUTED_VALUE"""),"#VALUE!")</f>
        <v>#VALUE!</v>
      </c>
      <c r="P3159" s="1" t="str">
        <f>IFERROR(__xludf.DUMMYFUNCTION("""COMPUTED_VALUE"""),"#N/A")</f>
        <v>#N/A</v>
      </c>
      <c r="Q3159" s="1"/>
      <c r="R3159" s="1"/>
      <c r="S3159" s="1"/>
      <c r="T3159" s="1"/>
      <c r="U3159" s="2">
        <f>IFERROR(__xludf.DUMMYFUNCTION("""COMPUTED_VALUE"""),0.0)</f>
        <v>0</v>
      </c>
      <c r="V3159" s="1" t="str">
        <f>IFERROR(__xludf.DUMMYFUNCTION("""COMPUTED_VALUE"""),"#N/A")</f>
        <v>#N/A</v>
      </c>
      <c r="W3159" s="1" t="str">
        <f>IFERROR(__xludf.DUMMYFUNCTION("""COMPUTED_VALUE"""),"#N/A")</f>
        <v>#N/A</v>
      </c>
    </row>
    <row r="3160">
      <c r="O3160" s="1" t="str">
        <f>IFERROR(__xludf.DUMMYFUNCTION("""COMPUTED_VALUE"""),"#VALUE!")</f>
        <v>#VALUE!</v>
      </c>
      <c r="P3160" s="1" t="str">
        <f>IFERROR(__xludf.DUMMYFUNCTION("""COMPUTED_VALUE"""),"#N/A")</f>
        <v>#N/A</v>
      </c>
      <c r="Q3160" s="1"/>
      <c r="R3160" s="1"/>
      <c r="S3160" s="1"/>
      <c r="T3160" s="1"/>
      <c r="U3160" s="2">
        <f>IFERROR(__xludf.DUMMYFUNCTION("""COMPUTED_VALUE"""),0.0)</f>
        <v>0</v>
      </c>
      <c r="V3160" s="1" t="str">
        <f>IFERROR(__xludf.DUMMYFUNCTION("""COMPUTED_VALUE"""),"#N/A")</f>
        <v>#N/A</v>
      </c>
      <c r="W3160" s="1" t="str">
        <f>IFERROR(__xludf.DUMMYFUNCTION("""COMPUTED_VALUE"""),"#N/A")</f>
        <v>#N/A</v>
      </c>
    </row>
    <row r="3161">
      <c r="O3161" s="1" t="str">
        <f>IFERROR(__xludf.DUMMYFUNCTION("""COMPUTED_VALUE"""),"#VALUE!")</f>
        <v>#VALUE!</v>
      </c>
      <c r="P3161" s="1" t="str">
        <f>IFERROR(__xludf.DUMMYFUNCTION("""COMPUTED_VALUE"""),"#N/A")</f>
        <v>#N/A</v>
      </c>
      <c r="Q3161" s="1"/>
      <c r="R3161" s="1"/>
      <c r="S3161" s="1"/>
      <c r="T3161" s="1"/>
      <c r="U3161" s="2">
        <f>IFERROR(__xludf.DUMMYFUNCTION("""COMPUTED_VALUE"""),0.0)</f>
        <v>0</v>
      </c>
      <c r="V3161" s="1" t="str">
        <f>IFERROR(__xludf.DUMMYFUNCTION("""COMPUTED_VALUE"""),"#N/A")</f>
        <v>#N/A</v>
      </c>
      <c r="W3161" s="1" t="str">
        <f>IFERROR(__xludf.DUMMYFUNCTION("""COMPUTED_VALUE"""),"#N/A")</f>
        <v>#N/A</v>
      </c>
    </row>
    <row r="3162">
      <c r="O3162" s="1" t="str">
        <f>IFERROR(__xludf.DUMMYFUNCTION("""COMPUTED_VALUE"""),"#VALUE!")</f>
        <v>#VALUE!</v>
      </c>
      <c r="P3162" s="1" t="str">
        <f>IFERROR(__xludf.DUMMYFUNCTION("""COMPUTED_VALUE"""),"#N/A")</f>
        <v>#N/A</v>
      </c>
      <c r="Q3162" s="1"/>
      <c r="R3162" s="1"/>
      <c r="S3162" s="1"/>
      <c r="T3162" s="1"/>
      <c r="U3162" s="2">
        <f>IFERROR(__xludf.DUMMYFUNCTION("""COMPUTED_VALUE"""),0.0)</f>
        <v>0</v>
      </c>
      <c r="V3162" s="1" t="str">
        <f>IFERROR(__xludf.DUMMYFUNCTION("""COMPUTED_VALUE"""),"#N/A")</f>
        <v>#N/A</v>
      </c>
      <c r="W3162" s="1" t="str">
        <f>IFERROR(__xludf.DUMMYFUNCTION("""COMPUTED_VALUE"""),"#N/A")</f>
        <v>#N/A</v>
      </c>
    </row>
    <row r="3163">
      <c r="O3163" s="1" t="str">
        <f>IFERROR(__xludf.DUMMYFUNCTION("""COMPUTED_VALUE"""),"#VALUE!")</f>
        <v>#VALUE!</v>
      </c>
      <c r="P3163" s="1" t="str">
        <f>IFERROR(__xludf.DUMMYFUNCTION("""COMPUTED_VALUE"""),"#N/A")</f>
        <v>#N/A</v>
      </c>
      <c r="Q3163" s="1"/>
      <c r="R3163" s="1"/>
      <c r="S3163" s="1"/>
      <c r="T3163" s="1"/>
      <c r="U3163" s="2">
        <f>IFERROR(__xludf.DUMMYFUNCTION("""COMPUTED_VALUE"""),0.0)</f>
        <v>0</v>
      </c>
      <c r="V3163" s="1" t="str">
        <f>IFERROR(__xludf.DUMMYFUNCTION("""COMPUTED_VALUE"""),"#N/A")</f>
        <v>#N/A</v>
      </c>
      <c r="W3163" s="1" t="str">
        <f>IFERROR(__xludf.DUMMYFUNCTION("""COMPUTED_VALUE"""),"#N/A")</f>
        <v>#N/A</v>
      </c>
    </row>
    <row r="3164">
      <c r="O3164" s="1" t="str">
        <f>IFERROR(__xludf.DUMMYFUNCTION("""COMPUTED_VALUE"""),"#VALUE!")</f>
        <v>#VALUE!</v>
      </c>
      <c r="P3164" s="1" t="str">
        <f>IFERROR(__xludf.DUMMYFUNCTION("""COMPUTED_VALUE"""),"#N/A")</f>
        <v>#N/A</v>
      </c>
      <c r="Q3164" s="1"/>
      <c r="R3164" s="1"/>
      <c r="S3164" s="1"/>
      <c r="T3164" s="1"/>
      <c r="U3164" s="2">
        <f>IFERROR(__xludf.DUMMYFUNCTION("""COMPUTED_VALUE"""),0.0)</f>
        <v>0</v>
      </c>
      <c r="V3164" s="1" t="str">
        <f>IFERROR(__xludf.DUMMYFUNCTION("""COMPUTED_VALUE"""),"#N/A")</f>
        <v>#N/A</v>
      </c>
      <c r="W3164" s="1" t="str">
        <f>IFERROR(__xludf.DUMMYFUNCTION("""COMPUTED_VALUE"""),"#N/A")</f>
        <v>#N/A</v>
      </c>
    </row>
    <row r="3165">
      <c r="O3165" s="1" t="str">
        <f>IFERROR(__xludf.DUMMYFUNCTION("""COMPUTED_VALUE"""),"#VALUE!")</f>
        <v>#VALUE!</v>
      </c>
      <c r="P3165" s="1" t="str">
        <f>IFERROR(__xludf.DUMMYFUNCTION("""COMPUTED_VALUE"""),"#N/A")</f>
        <v>#N/A</v>
      </c>
      <c r="Q3165" s="1"/>
      <c r="R3165" s="1"/>
      <c r="S3165" s="1"/>
      <c r="T3165" s="1"/>
      <c r="U3165" s="2">
        <f>IFERROR(__xludf.DUMMYFUNCTION("""COMPUTED_VALUE"""),0.0)</f>
        <v>0</v>
      </c>
      <c r="V3165" s="1" t="str">
        <f>IFERROR(__xludf.DUMMYFUNCTION("""COMPUTED_VALUE"""),"#N/A")</f>
        <v>#N/A</v>
      </c>
      <c r="W3165" s="1" t="str">
        <f>IFERROR(__xludf.DUMMYFUNCTION("""COMPUTED_VALUE"""),"#N/A")</f>
        <v>#N/A</v>
      </c>
    </row>
    <row r="3166">
      <c r="O3166" s="1" t="str">
        <f>IFERROR(__xludf.DUMMYFUNCTION("""COMPUTED_VALUE"""),"#VALUE!")</f>
        <v>#VALUE!</v>
      </c>
      <c r="P3166" s="1" t="str">
        <f>IFERROR(__xludf.DUMMYFUNCTION("""COMPUTED_VALUE"""),"#N/A")</f>
        <v>#N/A</v>
      </c>
      <c r="Q3166" s="1"/>
      <c r="R3166" s="1"/>
      <c r="S3166" s="1"/>
      <c r="T3166" s="1"/>
      <c r="U3166" s="2">
        <f>IFERROR(__xludf.DUMMYFUNCTION("""COMPUTED_VALUE"""),0.0)</f>
        <v>0</v>
      </c>
      <c r="V3166" s="1" t="str">
        <f>IFERROR(__xludf.DUMMYFUNCTION("""COMPUTED_VALUE"""),"#N/A")</f>
        <v>#N/A</v>
      </c>
      <c r="W3166" s="1" t="str">
        <f>IFERROR(__xludf.DUMMYFUNCTION("""COMPUTED_VALUE"""),"#N/A")</f>
        <v>#N/A</v>
      </c>
    </row>
    <row r="3167">
      <c r="O3167" s="1" t="str">
        <f>IFERROR(__xludf.DUMMYFUNCTION("""COMPUTED_VALUE"""),"#VALUE!")</f>
        <v>#VALUE!</v>
      </c>
      <c r="P3167" s="1" t="str">
        <f>IFERROR(__xludf.DUMMYFUNCTION("""COMPUTED_VALUE"""),"#N/A")</f>
        <v>#N/A</v>
      </c>
      <c r="Q3167" s="1"/>
      <c r="R3167" s="1"/>
      <c r="S3167" s="1"/>
      <c r="T3167" s="1"/>
      <c r="U3167" s="2">
        <f>IFERROR(__xludf.DUMMYFUNCTION("""COMPUTED_VALUE"""),0.0)</f>
        <v>0</v>
      </c>
      <c r="V3167" s="1" t="str">
        <f>IFERROR(__xludf.DUMMYFUNCTION("""COMPUTED_VALUE"""),"#N/A")</f>
        <v>#N/A</v>
      </c>
      <c r="W3167" s="1" t="str">
        <f>IFERROR(__xludf.DUMMYFUNCTION("""COMPUTED_VALUE"""),"#N/A")</f>
        <v>#N/A</v>
      </c>
    </row>
    <row r="3168">
      <c r="O3168" s="1" t="str">
        <f>IFERROR(__xludf.DUMMYFUNCTION("""COMPUTED_VALUE"""),"#VALUE!")</f>
        <v>#VALUE!</v>
      </c>
      <c r="P3168" s="1" t="str">
        <f>IFERROR(__xludf.DUMMYFUNCTION("""COMPUTED_VALUE"""),"#N/A")</f>
        <v>#N/A</v>
      </c>
      <c r="Q3168" s="1"/>
      <c r="R3168" s="1"/>
      <c r="S3168" s="1"/>
      <c r="T3168" s="1"/>
      <c r="U3168" s="2">
        <f>IFERROR(__xludf.DUMMYFUNCTION("""COMPUTED_VALUE"""),0.0)</f>
        <v>0</v>
      </c>
      <c r="V3168" s="1" t="str">
        <f>IFERROR(__xludf.DUMMYFUNCTION("""COMPUTED_VALUE"""),"#N/A")</f>
        <v>#N/A</v>
      </c>
      <c r="W3168" s="1" t="str">
        <f>IFERROR(__xludf.DUMMYFUNCTION("""COMPUTED_VALUE"""),"#N/A")</f>
        <v>#N/A</v>
      </c>
    </row>
    <row r="3169">
      <c r="O3169" s="1" t="str">
        <f>IFERROR(__xludf.DUMMYFUNCTION("""COMPUTED_VALUE"""),"#VALUE!")</f>
        <v>#VALUE!</v>
      </c>
      <c r="P3169" s="1" t="str">
        <f>IFERROR(__xludf.DUMMYFUNCTION("""COMPUTED_VALUE"""),"#N/A")</f>
        <v>#N/A</v>
      </c>
      <c r="Q3169" s="1"/>
      <c r="R3169" s="1"/>
      <c r="S3169" s="1"/>
      <c r="T3169" s="1"/>
      <c r="U3169" s="2">
        <f>IFERROR(__xludf.DUMMYFUNCTION("""COMPUTED_VALUE"""),0.0)</f>
        <v>0</v>
      </c>
      <c r="V3169" s="1" t="str">
        <f>IFERROR(__xludf.DUMMYFUNCTION("""COMPUTED_VALUE"""),"#N/A")</f>
        <v>#N/A</v>
      </c>
      <c r="W3169" s="1" t="str">
        <f>IFERROR(__xludf.DUMMYFUNCTION("""COMPUTED_VALUE"""),"#N/A")</f>
        <v>#N/A</v>
      </c>
    </row>
    <row r="3170">
      <c r="O3170" s="1" t="str">
        <f>IFERROR(__xludf.DUMMYFUNCTION("""COMPUTED_VALUE"""),"#VALUE!")</f>
        <v>#VALUE!</v>
      </c>
      <c r="P3170" s="1" t="str">
        <f>IFERROR(__xludf.DUMMYFUNCTION("""COMPUTED_VALUE"""),"#N/A")</f>
        <v>#N/A</v>
      </c>
      <c r="Q3170" s="1"/>
      <c r="R3170" s="1"/>
      <c r="S3170" s="1"/>
      <c r="T3170" s="1"/>
      <c r="U3170" s="2">
        <f>IFERROR(__xludf.DUMMYFUNCTION("""COMPUTED_VALUE"""),0.0)</f>
        <v>0</v>
      </c>
      <c r="V3170" s="1" t="str">
        <f>IFERROR(__xludf.DUMMYFUNCTION("""COMPUTED_VALUE"""),"#N/A")</f>
        <v>#N/A</v>
      </c>
      <c r="W3170" s="1" t="str">
        <f>IFERROR(__xludf.DUMMYFUNCTION("""COMPUTED_VALUE"""),"#N/A")</f>
        <v>#N/A</v>
      </c>
    </row>
    <row r="3171">
      <c r="O3171" s="1" t="str">
        <f>IFERROR(__xludf.DUMMYFUNCTION("""COMPUTED_VALUE"""),"#VALUE!")</f>
        <v>#VALUE!</v>
      </c>
      <c r="P3171" s="1" t="str">
        <f>IFERROR(__xludf.DUMMYFUNCTION("""COMPUTED_VALUE"""),"#N/A")</f>
        <v>#N/A</v>
      </c>
      <c r="Q3171" s="1"/>
      <c r="R3171" s="1"/>
      <c r="S3171" s="1"/>
      <c r="T3171" s="1"/>
      <c r="U3171" s="2">
        <f>IFERROR(__xludf.DUMMYFUNCTION("""COMPUTED_VALUE"""),0.0)</f>
        <v>0</v>
      </c>
      <c r="V3171" s="1" t="str">
        <f>IFERROR(__xludf.DUMMYFUNCTION("""COMPUTED_VALUE"""),"#N/A")</f>
        <v>#N/A</v>
      </c>
      <c r="W3171" s="1" t="str">
        <f>IFERROR(__xludf.DUMMYFUNCTION("""COMPUTED_VALUE"""),"#N/A")</f>
        <v>#N/A</v>
      </c>
    </row>
    <row r="3172">
      <c r="O3172" s="1" t="str">
        <f>IFERROR(__xludf.DUMMYFUNCTION("""COMPUTED_VALUE"""),"#VALUE!")</f>
        <v>#VALUE!</v>
      </c>
      <c r="P3172" s="1" t="str">
        <f>IFERROR(__xludf.DUMMYFUNCTION("""COMPUTED_VALUE"""),"#N/A")</f>
        <v>#N/A</v>
      </c>
      <c r="Q3172" s="1"/>
      <c r="R3172" s="1"/>
      <c r="S3172" s="1"/>
      <c r="T3172" s="1"/>
      <c r="U3172" s="2">
        <f>IFERROR(__xludf.DUMMYFUNCTION("""COMPUTED_VALUE"""),0.0)</f>
        <v>0</v>
      </c>
      <c r="V3172" s="1" t="str">
        <f>IFERROR(__xludf.DUMMYFUNCTION("""COMPUTED_VALUE"""),"#N/A")</f>
        <v>#N/A</v>
      </c>
      <c r="W3172" s="1" t="str">
        <f>IFERROR(__xludf.DUMMYFUNCTION("""COMPUTED_VALUE"""),"#N/A")</f>
        <v>#N/A</v>
      </c>
    </row>
    <row r="3173">
      <c r="O3173" s="1" t="str">
        <f>IFERROR(__xludf.DUMMYFUNCTION("""COMPUTED_VALUE"""),"#VALUE!")</f>
        <v>#VALUE!</v>
      </c>
      <c r="P3173" s="1" t="str">
        <f>IFERROR(__xludf.DUMMYFUNCTION("""COMPUTED_VALUE"""),"#N/A")</f>
        <v>#N/A</v>
      </c>
      <c r="Q3173" s="1"/>
      <c r="R3173" s="1"/>
      <c r="S3173" s="1"/>
      <c r="T3173" s="1"/>
      <c r="U3173" s="2">
        <f>IFERROR(__xludf.DUMMYFUNCTION("""COMPUTED_VALUE"""),0.0)</f>
        <v>0</v>
      </c>
      <c r="V3173" s="1" t="str">
        <f>IFERROR(__xludf.DUMMYFUNCTION("""COMPUTED_VALUE"""),"#N/A")</f>
        <v>#N/A</v>
      </c>
      <c r="W3173" s="1" t="str">
        <f>IFERROR(__xludf.DUMMYFUNCTION("""COMPUTED_VALUE"""),"#N/A")</f>
        <v>#N/A</v>
      </c>
    </row>
    <row r="3174">
      <c r="O3174" s="1" t="str">
        <f>IFERROR(__xludf.DUMMYFUNCTION("""COMPUTED_VALUE"""),"#VALUE!")</f>
        <v>#VALUE!</v>
      </c>
      <c r="P3174" s="1" t="str">
        <f>IFERROR(__xludf.DUMMYFUNCTION("""COMPUTED_VALUE"""),"#N/A")</f>
        <v>#N/A</v>
      </c>
      <c r="Q3174" s="1"/>
      <c r="R3174" s="1"/>
      <c r="S3174" s="1"/>
      <c r="T3174" s="1"/>
      <c r="U3174" s="2">
        <f>IFERROR(__xludf.DUMMYFUNCTION("""COMPUTED_VALUE"""),0.0)</f>
        <v>0</v>
      </c>
      <c r="V3174" s="1" t="str">
        <f>IFERROR(__xludf.DUMMYFUNCTION("""COMPUTED_VALUE"""),"#N/A")</f>
        <v>#N/A</v>
      </c>
      <c r="W3174" s="1" t="str">
        <f>IFERROR(__xludf.DUMMYFUNCTION("""COMPUTED_VALUE"""),"#N/A")</f>
        <v>#N/A</v>
      </c>
    </row>
    <row r="3175">
      <c r="O3175" s="1" t="str">
        <f>IFERROR(__xludf.DUMMYFUNCTION("""COMPUTED_VALUE"""),"#VALUE!")</f>
        <v>#VALUE!</v>
      </c>
      <c r="P3175" s="1" t="str">
        <f>IFERROR(__xludf.DUMMYFUNCTION("""COMPUTED_VALUE"""),"#N/A")</f>
        <v>#N/A</v>
      </c>
      <c r="Q3175" s="1"/>
      <c r="R3175" s="1"/>
      <c r="S3175" s="1"/>
      <c r="T3175" s="1"/>
      <c r="U3175" s="2">
        <f>IFERROR(__xludf.DUMMYFUNCTION("""COMPUTED_VALUE"""),0.0)</f>
        <v>0</v>
      </c>
      <c r="V3175" s="1" t="str">
        <f>IFERROR(__xludf.DUMMYFUNCTION("""COMPUTED_VALUE"""),"#N/A")</f>
        <v>#N/A</v>
      </c>
      <c r="W3175" s="1" t="str">
        <f>IFERROR(__xludf.DUMMYFUNCTION("""COMPUTED_VALUE"""),"#N/A")</f>
        <v>#N/A</v>
      </c>
    </row>
    <row r="3176">
      <c r="O3176" s="1" t="str">
        <f>IFERROR(__xludf.DUMMYFUNCTION("""COMPUTED_VALUE"""),"#VALUE!")</f>
        <v>#VALUE!</v>
      </c>
      <c r="P3176" s="1" t="str">
        <f>IFERROR(__xludf.DUMMYFUNCTION("""COMPUTED_VALUE"""),"#N/A")</f>
        <v>#N/A</v>
      </c>
      <c r="Q3176" s="1"/>
      <c r="R3176" s="1"/>
      <c r="S3176" s="1"/>
      <c r="T3176" s="1"/>
      <c r="U3176" s="2">
        <f>IFERROR(__xludf.DUMMYFUNCTION("""COMPUTED_VALUE"""),0.0)</f>
        <v>0</v>
      </c>
      <c r="V3176" s="1" t="str">
        <f>IFERROR(__xludf.DUMMYFUNCTION("""COMPUTED_VALUE"""),"#N/A")</f>
        <v>#N/A</v>
      </c>
      <c r="W3176" s="1" t="str">
        <f>IFERROR(__xludf.DUMMYFUNCTION("""COMPUTED_VALUE"""),"#N/A")</f>
        <v>#N/A</v>
      </c>
    </row>
    <row r="3177">
      <c r="O3177" s="1" t="str">
        <f>IFERROR(__xludf.DUMMYFUNCTION("""COMPUTED_VALUE"""),"#VALUE!")</f>
        <v>#VALUE!</v>
      </c>
      <c r="P3177" s="1" t="str">
        <f>IFERROR(__xludf.DUMMYFUNCTION("""COMPUTED_VALUE"""),"#N/A")</f>
        <v>#N/A</v>
      </c>
      <c r="Q3177" s="1"/>
      <c r="R3177" s="1"/>
      <c r="S3177" s="1"/>
      <c r="T3177" s="1"/>
      <c r="U3177" s="2">
        <f>IFERROR(__xludf.DUMMYFUNCTION("""COMPUTED_VALUE"""),0.0)</f>
        <v>0</v>
      </c>
      <c r="V3177" s="1" t="str">
        <f>IFERROR(__xludf.DUMMYFUNCTION("""COMPUTED_VALUE"""),"#N/A")</f>
        <v>#N/A</v>
      </c>
      <c r="W3177" s="1" t="str">
        <f>IFERROR(__xludf.DUMMYFUNCTION("""COMPUTED_VALUE"""),"#N/A")</f>
        <v>#N/A</v>
      </c>
    </row>
    <row r="3178">
      <c r="O3178" s="1" t="str">
        <f>IFERROR(__xludf.DUMMYFUNCTION("""COMPUTED_VALUE"""),"#VALUE!")</f>
        <v>#VALUE!</v>
      </c>
      <c r="P3178" s="1" t="str">
        <f>IFERROR(__xludf.DUMMYFUNCTION("""COMPUTED_VALUE"""),"#N/A")</f>
        <v>#N/A</v>
      </c>
      <c r="Q3178" s="1"/>
      <c r="R3178" s="1"/>
      <c r="S3178" s="1"/>
      <c r="T3178" s="1"/>
      <c r="U3178" s="2">
        <f>IFERROR(__xludf.DUMMYFUNCTION("""COMPUTED_VALUE"""),0.0)</f>
        <v>0</v>
      </c>
      <c r="V3178" s="1" t="str">
        <f>IFERROR(__xludf.DUMMYFUNCTION("""COMPUTED_VALUE"""),"#N/A")</f>
        <v>#N/A</v>
      </c>
      <c r="W3178" s="1" t="str">
        <f>IFERROR(__xludf.DUMMYFUNCTION("""COMPUTED_VALUE"""),"#N/A")</f>
        <v>#N/A</v>
      </c>
    </row>
    <row r="3179">
      <c r="O3179" s="1" t="str">
        <f>IFERROR(__xludf.DUMMYFUNCTION("""COMPUTED_VALUE"""),"#VALUE!")</f>
        <v>#VALUE!</v>
      </c>
      <c r="P3179" s="1" t="str">
        <f>IFERROR(__xludf.DUMMYFUNCTION("""COMPUTED_VALUE"""),"#N/A")</f>
        <v>#N/A</v>
      </c>
      <c r="Q3179" s="1"/>
      <c r="R3179" s="1"/>
      <c r="S3179" s="1"/>
      <c r="T3179" s="1"/>
      <c r="U3179" s="2">
        <f>IFERROR(__xludf.DUMMYFUNCTION("""COMPUTED_VALUE"""),0.0)</f>
        <v>0</v>
      </c>
      <c r="V3179" s="1" t="str">
        <f>IFERROR(__xludf.DUMMYFUNCTION("""COMPUTED_VALUE"""),"#N/A")</f>
        <v>#N/A</v>
      </c>
      <c r="W3179" s="1" t="str">
        <f>IFERROR(__xludf.DUMMYFUNCTION("""COMPUTED_VALUE"""),"#N/A")</f>
        <v>#N/A</v>
      </c>
    </row>
    <row r="3180">
      <c r="O3180" s="1" t="str">
        <f>IFERROR(__xludf.DUMMYFUNCTION("""COMPUTED_VALUE"""),"#VALUE!")</f>
        <v>#VALUE!</v>
      </c>
      <c r="P3180" s="1" t="str">
        <f>IFERROR(__xludf.DUMMYFUNCTION("""COMPUTED_VALUE"""),"#N/A")</f>
        <v>#N/A</v>
      </c>
      <c r="Q3180" s="1"/>
      <c r="R3180" s="1"/>
      <c r="S3180" s="1"/>
      <c r="T3180" s="1"/>
      <c r="U3180" s="2">
        <f>IFERROR(__xludf.DUMMYFUNCTION("""COMPUTED_VALUE"""),0.0)</f>
        <v>0</v>
      </c>
      <c r="V3180" s="1" t="str">
        <f>IFERROR(__xludf.DUMMYFUNCTION("""COMPUTED_VALUE"""),"#N/A")</f>
        <v>#N/A</v>
      </c>
      <c r="W3180" s="1" t="str">
        <f>IFERROR(__xludf.DUMMYFUNCTION("""COMPUTED_VALUE"""),"#N/A")</f>
        <v>#N/A</v>
      </c>
    </row>
    <row r="3181">
      <c r="O3181" s="1" t="str">
        <f>IFERROR(__xludf.DUMMYFUNCTION("""COMPUTED_VALUE"""),"#VALUE!")</f>
        <v>#VALUE!</v>
      </c>
      <c r="P3181" s="1" t="str">
        <f>IFERROR(__xludf.DUMMYFUNCTION("""COMPUTED_VALUE"""),"#N/A")</f>
        <v>#N/A</v>
      </c>
      <c r="Q3181" s="1"/>
      <c r="R3181" s="1"/>
      <c r="S3181" s="1"/>
      <c r="T3181" s="1"/>
      <c r="U3181" s="2">
        <f>IFERROR(__xludf.DUMMYFUNCTION("""COMPUTED_VALUE"""),0.0)</f>
        <v>0</v>
      </c>
      <c r="V3181" s="1" t="str">
        <f>IFERROR(__xludf.DUMMYFUNCTION("""COMPUTED_VALUE"""),"#N/A")</f>
        <v>#N/A</v>
      </c>
      <c r="W3181" s="1" t="str">
        <f>IFERROR(__xludf.DUMMYFUNCTION("""COMPUTED_VALUE"""),"#N/A")</f>
        <v>#N/A</v>
      </c>
    </row>
    <row r="3182">
      <c r="O3182" s="1" t="str">
        <f>IFERROR(__xludf.DUMMYFUNCTION("""COMPUTED_VALUE"""),"#VALUE!")</f>
        <v>#VALUE!</v>
      </c>
      <c r="P3182" s="1" t="str">
        <f>IFERROR(__xludf.DUMMYFUNCTION("""COMPUTED_VALUE"""),"#N/A")</f>
        <v>#N/A</v>
      </c>
      <c r="Q3182" s="1"/>
      <c r="R3182" s="1"/>
      <c r="S3182" s="1"/>
      <c r="T3182" s="1"/>
      <c r="U3182" s="2">
        <f>IFERROR(__xludf.DUMMYFUNCTION("""COMPUTED_VALUE"""),0.0)</f>
        <v>0</v>
      </c>
      <c r="V3182" s="1" t="str">
        <f>IFERROR(__xludf.DUMMYFUNCTION("""COMPUTED_VALUE"""),"#N/A")</f>
        <v>#N/A</v>
      </c>
      <c r="W3182" s="1" t="str">
        <f>IFERROR(__xludf.DUMMYFUNCTION("""COMPUTED_VALUE"""),"#N/A")</f>
        <v>#N/A</v>
      </c>
    </row>
    <row r="3183">
      <c r="O3183" s="1" t="str">
        <f>IFERROR(__xludf.DUMMYFUNCTION("""COMPUTED_VALUE"""),"#VALUE!")</f>
        <v>#VALUE!</v>
      </c>
      <c r="P3183" s="1" t="str">
        <f>IFERROR(__xludf.DUMMYFUNCTION("""COMPUTED_VALUE"""),"#N/A")</f>
        <v>#N/A</v>
      </c>
      <c r="Q3183" s="1"/>
      <c r="R3183" s="1"/>
      <c r="S3183" s="1"/>
      <c r="T3183" s="1"/>
      <c r="U3183" s="2">
        <f>IFERROR(__xludf.DUMMYFUNCTION("""COMPUTED_VALUE"""),0.0)</f>
        <v>0</v>
      </c>
      <c r="V3183" s="1" t="str">
        <f>IFERROR(__xludf.DUMMYFUNCTION("""COMPUTED_VALUE"""),"#N/A")</f>
        <v>#N/A</v>
      </c>
      <c r="W3183" s="1" t="str">
        <f>IFERROR(__xludf.DUMMYFUNCTION("""COMPUTED_VALUE"""),"#N/A")</f>
        <v>#N/A</v>
      </c>
    </row>
    <row r="3184">
      <c r="O3184" s="1" t="str">
        <f>IFERROR(__xludf.DUMMYFUNCTION("""COMPUTED_VALUE"""),"#VALUE!")</f>
        <v>#VALUE!</v>
      </c>
      <c r="P3184" s="1" t="str">
        <f>IFERROR(__xludf.DUMMYFUNCTION("""COMPUTED_VALUE"""),"#N/A")</f>
        <v>#N/A</v>
      </c>
      <c r="Q3184" s="1"/>
      <c r="R3184" s="1"/>
      <c r="S3184" s="1"/>
      <c r="T3184" s="1"/>
      <c r="U3184" s="2">
        <f>IFERROR(__xludf.DUMMYFUNCTION("""COMPUTED_VALUE"""),0.0)</f>
        <v>0</v>
      </c>
      <c r="V3184" s="1" t="str">
        <f>IFERROR(__xludf.DUMMYFUNCTION("""COMPUTED_VALUE"""),"#N/A")</f>
        <v>#N/A</v>
      </c>
      <c r="W3184" s="1" t="str">
        <f>IFERROR(__xludf.DUMMYFUNCTION("""COMPUTED_VALUE"""),"#N/A")</f>
        <v>#N/A</v>
      </c>
    </row>
    <row r="3185">
      <c r="O3185" s="1" t="str">
        <f>IFERROR(__xludf.DUMMYFUNCTION("""COMPUTED_VALUE"""),"#VALUE!")</f>
        <v>#VALUE!</v>
      </c>
      <c r="P3185" s="1" t="str">
        <f>IFERROR(__xludf.DUMMYFUNCTION("""COMPUTED_VALUE"""),"#N/A")</f>
        <v>#N/A</v>
      </c>
      <c r="Q3185" s="1"/>
      <c r="R3185" s="1"/>
      <c r="S3185" s="1"/>
      <c r="T3185" s="1"/>
      <c r="U3185" s="2">
        <f>IFERROR(__xludf.DUMMYFUNCTION("""COMPUTED_VALUE"""),0.0)</f>
        <v>0</v>
      </c>
      <c r="V3185" s="1" t="str">
        <f>IFERROR(__xludf.DUMMYFUNCTION("""COMPUTED_VALUE"""),"#N/A")</f>
        <v>#N/A</v>
      </c>
      <c r="W3185" s="1" t="str">
        <f>IFERROR(__xludf.DUMMYFUNCTION("""COMPUTED_VALUE"""),"#N/A")</f>
        <v>#N/A</v>
      </c>
    </row>
    <row r="3186">
      <c r="O3186" s="1" t="str">
        <f>IFERROR(__xludf.DUMMYFUNCTION("""COMPUTED_VALUE"""),"#VALUE!")</f>
        <v>#VALUE!</v>
      </c>
      <c r="P3186" s="1" t="str">
        <f>IFERROR(__xludf.DUMMYFUNCTION("""COMPUTED_VALUE"""),"#N/A")</f>
        <v>#N/A</v>
      </c>
      <c r="Q3186" s="1"/>
      <c r="R3186" s="1"/>
      <c r="S3186" s="1"/>
      <c r="T3186" s="1"/>
      <c r="U3186" s="2">
        <f>IFERROR(__xludf.DUMMYFUNCTION("""COMPUTED_VALUE"""),0.0)</f>
        <v>0</v>
      </c>
      <c r="V3186" s="1" t="str">
        <f>IFERROR(__xludf.DUMMYFUNCTION("""COMPUTED_VALUE"""),"#N/A")</f>
        <v>#N/A</v>
      </c>
      <c r="W3186" s="1" t="str">
        <f>IFERROR(__xludf.DUMMYFUNCTION("""COMPUTED_VALUE"""),"#N/A")</f>
        <v>#N/A</v>
      </c>
    </row>
    <row r="3187">
      <c r="O3187" s="1" t="str">
        <f>IFERROR(__xludf.DUMMYFUNCTION("""COMPUTED_VALUE"""),"#VALUE!")</f>
        <v>#VALUE!</v>
      </c>
      <c r="P3187" s="1" t="str">
        <f>IFERROR(__xludf.DUMMYFUNCTION("""COMPUTED_VALUE"""),"#N/A")</f>
        <v>#N/A</v>
      </c>
      <c r="Q3187" s="1"/>
      <c r="R3187" s="1"/>
      <c r="S3187" s="1"/>
      <c r="T3187" s="1"/>
      <c r="U3187" s="2">
        <f>IFERROR(__xludf.DUMMYFUNCTION("""COMPUTED_VALUE"""),0.0)</f>
        <v>0</v>
      </c>
      <c r="V3187" s="1" t="str">
        <f>IFERROR(__xludf.DUMMYFUNCTION("""COMPUTED_VALUE"""),"#N/A")</f>
        <v>#N/A</v>
      </c>
      <c r="W3187" s="1" t="str">
        <f>IFERROR(__xludf.DUMMYFUNCTION("""COMPUTED_VALUE"""),"#N/A")</f>
        <v>#N/A</v>
      </c>
    </row>
    <row r="3188">
      <c r="O3188" s="1" t="str">
        <f>IFERROR(__xludf.DUMMYFUNCTION("""COMPUTED_VALUE"""),"#VALUE!")</f>
        <v>#VALUE!</v>
      </c>
      <c r="P3188" s="1" t="str">
        <f>IFERROR(__xludf.DUMMYFUNCTION("""COMPUTED_VALUE"""),"#N/A")</f>
        <v>#N/A</v>
      </c>
      <c r="Q3188" s="1"/>
      <c r="R3188" s="1"/>
      <c r="S3188" s="1"/>
      <c r="T3188" s="1"/>
      <c r="U3188" s="2">
        <f>IFERROR(__xludf.DUMMYFUNCTION("""COMPUTED_VALUE"""),0.0)</f>
        <v>0</v>
      </c>
      <c r="V3188" s="1" t="str">
        <f>IFERROR(__xludf.DUMMYFUNCTION("""COMPUTED_VALUE"""),"#N/A")</f>
        <v>#N/A</v>
      </c>
      <c r="W3188" s="1" t="str">
        <f>IFERROR(__xludf.DUMMYFUNCTION("""COMPUTED_VALUE"""),"#N/A")</f>
        <v>#N/A</v>
      </c>
    </row>
    <row r="3189">
      <c r="O3189" s="1" t="str">
        <f>IFERROR(__xludf.DUMMYFUNCTION("""COMPUTED_VALUE"""),"#VALUE!")</f>
        <v>#VALUE!</v>
      </c>
      <c r="P3189" s="1" t="str">
        <f>IFERROR(__xludf.DUMMYFUNCTION("""COMPUTED_VALUE"""),"#N/A")</f>
        <v>#N/A</v>
      </c>
      <c r="Q3189" s="1"/>
      <c r="R3189" s="1"/>
      <c r="S3189" s="1"/>
      <c r="T3189" s="1"/>
      <c r="U3189" s="2">
        <f>IFERROR(__xludf.DUMMYFUNCTION("""COMPUTED_VALUE"""),0.0)</f>
        <v>0</v>
      </c>
      <c r="V3189" s="1" t="str">
        <f>IFERROR(__xludf.DUMMYFUNCTION("""COMPUTED_VALUE"""),"#N/A")</f>
        <v>#N/A</v>
      </c>
      <c r="W3189" s="1" t="str">
        <f>IFERROR(__xludf.DUMMYFUNCTION("""COMPUTED_VALUE"""),"#N/A")</f>
        <v>#N/A</v>
      </c>
    </row>
    <row r="3190">
      <c r="O3190" s="1" t="str">
        <f>IFERROR(__xludf.DUMMYFUNCTION("""COMPUTED_VALUE"""),"#VALUE!")</f>
        <v>#VALUE!</v>
      </c>
      <c r="P3190" s="1" t="str">
        <f>IFERROR(__xludf.DUMMYFUNCTION("""COMPUTED_VALUE"""),"#N/A")</f>
        <v>#N/A</v>
      </c>
      <c r="Q3190" s="1"/>
      <c r="R3190" s="1"/>
      <c r="S3190" s="1"/>
      <c r="T3190" s="1"/>
      <c r="U3190" s="2">
        <f>IFERROR(__xludf.DUMMYFUNCTION("""COMPUTED_VALUE"""),0.0)</f>
        <v>0</v>
      </c>
      <c r="V3190" s="1" t="str">
        <f>IFERROR(__xludf.DUMMYFUNCTION("""COMPUTED_VALUE"""),"#N/A")</f>
        <v>#N/A</v>
      </c>
      <c r="W3190" s="1" t="str">
        <f>IFERROR(__xludf.DUMMYFUNCTION("""COMPUTED_VALUE"""),"#N/A")</f>
        <v>#N/A</v>
      </c>
    </row>
    <row r="3191">
      <c r="O3191" s="1" t="str">
        <f>IFERROR(__xludf.DUMMYFUNCTION("""COMPUTED_VALUE"""),"#VALUE!")</f>
        <v>#VALUE!</v>
      </c>
      <c r="P3191" s="1" t="str">
        <f>IFERROR(__xludf.DUMMYFUNCTION("""COMPUTED_VALUE"""),"#N/A")</f>
        <v>#N/A</v>
      </c>
      <c r="Q3191" s="1"/>
      <c r="R3191" s="1"/>
      <c r="S3191" s="1"/>
      <c r="T3191" s="1"/>
      <c r="U3191" s="2">
        <f>IFERROR(__xludf.DUMMYFUNCTION("""COMPUTED_VALUE"""),0.0)</f>
        <v>0</v>
      </c>
      <c r="V3191" s="1" t="str">
        <f>IFERROR(__xludf.DUMMYFUNCTION("""COMPUTED_VALUE"""),"#N/A")</f>
        <v>#N/A</v>
      </c>
      <c r="W3191" s="1" t="str">
        <f>IFERROR(__xludf.DUMMYFUNCTION("""COMPUTED_VALUE"""),"#N/A")</f>
        <v>#N/A</v>
      </c>
    </row>
    <row r="3192">
      <c r="O3192" s="1" t="str">
        <f>IFERROR(__xludf.DUMMYFUNCTION("""COMPUTED_VALUE"""),"#VALUE!")</f>
        <v>#VALUE!</v>
      </c>
      <c r="P3192" s="1" t="str">
        <f>IFERROR(__xludf.DUMMYFUNCTION("""COMPUTED_VALUE"""),"#N/A")</f>
        <v>#N/A</v>
      </c>
      <c r="Q3192" s="1"/>
      <c r="R3192" s="1"/>
      <c r="S3192" s="1"/>
      <c r="T3192" s="1"/>
      <c r="U3192" s="2">
        <f>IFERROR(__xludf.DUMMYFUNCTION("""COMPUTED_VALUE"""),0.0)</f>
        <v>0</v>
      </c>
      <c r="V3192" s="1" t="str">
        <f>IFERROR(__xludf.DUMMYFUNCTION("""COMPUTED_VALUE"""),"#N/A")</f>
        <v>#N/A</v>
      </c>
      <c r="W3192" s="1" t="str">
        <f>IFERROR(__xludf.DUMMYFUNCTION("""COMPUTED_VALUE"""),"#N/A")</f>
        <v>#N/A</v>
      </c>
    </row>
    <row r="3193">
      <c r="O3193" s="1" t="str">
        <f>IFERROR(__xludf.DUMMYFUNCTION("""COMPUTED_VALUE"""),"#VALUE!")</f>
        <v>#VALUE!</v>
      </c>
      <c r="P3193" s="1" t="str">
        <f>IFERROR(__xludf.DUMMYFUNCTION("""COMPUTED_VALUE"""),"#N/A")</f>
        <v>#N/A</v>
      </c>
      <c r="Q3193" s="1"/>
      <c r="R3193" s="1"/>
      <c r="S3193" s="1"/>
      <c r="T3193" s="1"/>
      <c r="U3193" s="2">
        <f>IFERROR(__xludf.DUMMYFUNCTION("""COMPUTED_VALUE"""),0.0)</f>
        <v>0</v>
      </c>
      <c r="V3193" s="1" t="str">
        <f>IFERROR(__xludf.DUMMYFUNCTION("""COMPUTED_VALUE"""),"#N/A")</f>
        <v>#N/A</v>
      </c>
      <c r="W3193" s="1" t="str">
        <f>IFERROR(__xludf.DUMMYFUNCTION("""COMPUTED_VALUE"""),"#N/A")</f>
        <v>#N/A</v>
      </c>
    </row>
    <row r="3194">
      <c r="O3194" s="1" t="str">
        <f>IFERROR(__xludf.DUMMYFUNCTION("""COMPUTED_VALUE"""),"#VALUE!")</f>
        <v>#VALUE!</v>
      </c>
      <c r="P3194" s="1" t="str">
        <f>IFERROR(__xludf.DUMMYFUNCTION("""COMPUTED_VALUE"""),"#N/A")</f>
        <v>#N/A</v>
      </c>
      <c r="Q3194" s="1"/>
      <c r="R3194" s="1"/>
      <c r="S3194" s="1"/>
      <c r="T3194" s="1"/>
      <c r="U3194" s="2">
        <f>IFERROR(__xludf.DUMMYFUNCTION("""COMPUTED_VALUE"""),0.0)</f>
        <v>0</v>
      </c>
      <c r="V3194" s="1" t="str">
        <f>IFERROR(__xludf.DUMMYFUNCTION("""COMPUTED_VALUE"""),"#N/A")</f>
        <v>#N/A</v>
      </c>
      <c r="W3194" s="1" t="str">
        <f>IFERROR(__xludf.DUMMYFUNCTION("""COMPUTED_VALUE"""),"#N/A")</f>
        <v>#N/A</v>
      </c>
    </row>
    <row r="3195">
      <c r="O3195" s="1" t="str">
        <f>IFERROR(__xludf.DUMMYFUNCTION("""COMPUTED_VALUE"""),"#VALUE!")</f>
        <v>#VALUE!</v>
      </c>
      <c r="P3195" s="1" t="str">
        <f>IFERROR(__xludf.DUMMYFUNCTION("""COMPUTED_VALUE"""),"#N/A")</f>
        <v>#N/A</v>
      </c>
      <c r="Q3195" s="1"/>
      <c r="R3195" s="1"/>
      <c r="S3195" s="1"/>
      <c r="T3195" s="1"/>
      <c r="U3195" s="2">
        <f>IFERROR(__xludf.DUMMYFUNCTION("""COMPUTED_VALUE"""),0.0)</f>
        <v>0</v>
      </c>
      <c r="V3195" s="1" t="str">
        <f>IFERROR(__xludf.DUMMYFUNCTION("""COMPUTED_VALUE"""),"#N/A")</f>
        <v>#N/A</v>
      </c>
      <c r="W3195" s="1" t="str">
        <f>IFERROR(__xludf.DUMMYFUNCTION("""COMPUTED_VALUE"""),"#N/A")</f>
        <v>#N/A</v>
      </c>
    </row>
    <row r="3196">
      <c r="O3196" s="1" t="str">
        <f>IFERROR(__xludf.DUMMYFUNCTION("""COMPUTED_VALUE"""),"#VALUE!")</f>
        <v>#VALUE!</v>
      </c>
      <c r="P3196" s="1" t="str">
        <f>IFERROR(__xludf.DUMMYFUNCTION("""COMPUTED_VALUE"""),"#N/A")</f>
        <v>#N/A</v>
      </c>
      <c r="Q3196" s="1"/>
      <c r="R3196" s="1"/>
      <c r="S3196" s="1"/>
      <c r="T3196" s="1"/>
      <c r="U3196" s="2">
        <f>IFERROR(__xludf.DUMMYFUNCTION("""COMPUTED_VALUE"""),0.0)</f>
        <v>0</v>
      </c>
      <c r="V3196" s="1" t="str">
        <f>IFERROR(__xludf.DUMMYFUNCTION("""COMPUTED_VALUE"""),"#N/A")</f>
        <v>#N/A</v>
      </c>
      <c r="W3196" s="1" t="str">
        <f>IFERROR(__xludf.DUMMYFUNCTION("""COMPUTED_VALUE"""),"#N/A")</f>
        <v>#N/A</v>
      </c>
    </row>
    <row r="3197">
      <c r="O3197" s="1" t="str">
        <f>IFERROR(__xludf.DUMMYFUNCTION("""COMPUTED_VALUE"""),"#VALUE!")</f>
        <v>#VALUE!</v>
      </c>
      <c r="P3197" s="1" t="str">
        <f>IFERROR(__xludf.DUMMYFUNCTION("""COMPUTED_VALUE"""),"#N/A")</f>
        <v>#N/A</v>
      </c>
      <c r="Q3197" s="1"/>
      <c r="R3197" s="1"/>
      <c r="S3197" s="1"/>
      <c r="T3197" s="1"/>
      <c r="U3197" s="2">
        <f>IFERROR(__xludf.DUMMYFUNCTION("""COMPUTED_VALUE"""),0.0)</f>
        <v>0</v>
      </c>
      <c r="V3197" s="1" t="str">
        <f>IFERROR(__xludf.DUMMYFUNCTION("""COMPUTED_VALUE"""),"#N/A")</f>
        <v>#N/A</v>
      </c>
      <c r="W3197" s="1" t="str">
        <f>IFERROR(__xludf.DUMMYFUNCTION("""COMPUTED_VALUE"""),"#N/A")</f>
        <v>#N/A</v>
      </c>
    </row>
    <row r="3198">
      <c r="O3198" s="1" t="str">
        <f>IFERROR(__xludf.DUMMYFUNCTION("""COMPUTED_VALUE"""),"#VALUE!")</f>
        <v>#VALUE!</v>
      </c>
      <c r="P3198" s="1" t="str">
        <f>IFERROR(__xludf.DUMMYFUNCTION("""COMPUTED_VALUE"""),"#N/A")</f>
        <v>#N/A</v>
      </c>
      <c r="Q3198" s="1"/>
      <c r="R3198" s="1"/>
      <c r="S3198" s="1"/>
      <c r="T3198" s="1"/>
      <c r="U3198" s="2">
        <f>IFERROR(__xludf.DUMMYFUNCTION("""COMPUTED_VALUE"""),0.0)</f>
        <v>0</v>
      </c>
      <c r="V3198" s="1" t="str">
        <f>IFERROR(__xludf.DUMMYFUNCTION("""COMPUTED_VALUE"""),"#N/A")</f>
        <v>#N/A</v>
      </c>
      <c r="W3198" s="1" t="str">
        <f>IFERROR(__xludf.DUMMYFUNCTION("""COMPUTED_VALUE"""),"#N/A")</f>
        <v>#N/A</v>
      </c>
    </row>
    <row r="3199">
      <c r="O3199" s="1" t="str">
        <f>IFERROR(__xludf.DUMMYFUNCTION("""COMPUTED_VALUE"""),"#VALUE!")</f>
        <v>#VALUE!</v>
      </c>
      <c r="P3199" s="1" t="str">
        <f>IFERROR(__xludf.DUMMYFUNCTION("""COMPUTED_VALUE"""),"#N/A")</f>
        <v>#N/A</v>
      </c>
      <c r="Q3199" s="1"/>
      <c r="R3199" s="1"/>
      <c r="S3199" s="1"/>
      <c r="T3199" s="1"/>
      <c r="U3199" s="2">
        <f>IFERROR(__xludf.DUMMYFUNCTION("""COMPUTED_VALUE"""),0.0)</f>
        <v>0</v>
      </c>
      <c r="V3199" s="1" t="str">
        <f>IFERROR(__xludf.DUMMYFUNCTION("""COMPUTED_VALUE"""),"#N/A")</f>
        <v>#N/A</v>
      </c>
      <c r="W3199" s="1" t="str">
        <f>IFERROR(__xludf.DUMMYFUNCTION("""COMPUTED_VALUE"""),"#N/A")</f>
        <v>#N/A</v>
      </c>
    </row>
    <row r="3200">
      <c r="O3200" s="1" t="str">
        <f>IFERROR(__xludf.DUMMYFUNCTION("""COMPUTED_VALUE"""),"#VALUE!")</f>
        <v>#VALUE!</v>
      </c>
      <c r="P3200" s="1" t="str">
        <f>IFERROR(__xludf.DUMMYFUNCTION("""COMPUTED_VALUE"""),"#N/A")</f>
        <v>#N/A</v>
      </c>
      <c r="Q3200" s="1"/>
      <c r="R3200" s="1"/>
      <c r="S3200" s="1"/>
      <c r="T3200" s="1"/>
      <c r="U3200" s="2">
        <f>IFERROR(__xludf.DUMMYFUNCTION("""COMPUTED_VALUE"""),0.0)</f>
        <v>0</v>
      </c>
      <c r="V3200" s="1" t="str">
        <f>IFERROR(__xludf.DUMMYFUNCTION("""COMPUTED_VALUE"""),"#N/A")</f>
        <v>#N/A</v>
      </c>
      <c r="W3200" s="1" t="str">
        <f>IFERROR(__xludf.DUMMYFUNCTION("""COMPUTED_VALUE"""),"#N/A")</f>
        <v>#N/A</v>
      </c>
    </row>
    <row r="3201">
      <c r="O3201" s="1" t="str">
        <f>IFERROR(__xludf.DUMMYFUNCTION("""COMPUTED_VALUE"""),"#VALUE!")</f>
        <v>#VALUE!</v>
      </c>
      <c r="P3201" s="1" t="str">
        <f>IFERROR(__xludf.DUMMYFUNCTION("""COMPUTED_VALUE"""),"#N/A")</f>
        <v>#N/A</v>
      </c>
      <c r="Q3201" s="1"/>
      <c r="R3201" s="1"/>
      <c r="S3201" s="1"/>
      <c r="T3201" s="1"/>
      <c r="U3201" s="2">
        <f>IFERROR(__xludf.DUMMYFUNCTION("""COMPUTED_VALUE"""),0.0)</f>
        <v>0</v>
      </c>
      <c r="V3201" s="1" t="str">
        <f>IFERROR(__xludf.DUMMYFUNCTION("""COMPUTED_VALUE"""),"#N/A")</f>
        <v>#N/A</v>
      </c>
      <c r="W3201" s="1" t="str">
        <f>IFERROR(__xludf.DUMMYFUNCTION("""COMPUTED_VALUE"""),"#N/A")</f>
        <v>#N/A</v>
      </c>
    </row>
    <row r="3202">
      <c r="O3202" s="1" t="str">
        <f>IFERROR(__xludf.DUMMYFUNCTION("""COMPUTED_VALUE"""),"#VALUE!")</f>
        <v>#VALUE!</v>
      </c>
      <c r="P3202" s="1" t="str">
        <f>IFERROR(__xludf.DUMMYFUNCTION("""COMPUTED_VALUE"""),"#N/A")</f>
        <v>#N/A</v>
      </c>
      <c r="Q3202" s="1"/>
      <c r="R3202" s="1"/>
      <c r="S3202" s="1"/>
      <c r="T3202" s="1"/>
      <c r="U3202" s="2">
        <f>IFERROR(__xludf.DUMMYFUNCTION("""COMPUTED_VALUE"""),0.0)</f>
        <v>0</v>
      </c>
      <c r="V3202" s="1" t="str">
        <f>IFERROR(__xludf.DUMMYFUNCTION("""COMPUTED_VALUE"""),"#N/A")</f>
        <v>#N/A</v>
      </c>
      <c r="W3202" s="1" t="str">
        <f>IFERROR(__xludf.DUMMYFUNCTION("""COMPUTED_VALUE"""),"#N/A")</f>
        <v>#N/A</v>
      </c>
    </row>
    <row r="3203">
      <c r="O3203" s="1" t="str">
        <f>IFERROR(__xludf.DUMMYFUNCTION("""COMPUTED_VALUE"""),"#VALUE!")</f>
        <v>#VALUE!</v>
      </c>
      <c r="P3203" s="1" t="str">
        <f>IFERROR(__xludf.DUMMYFUNCTION("""COMPUTED_VALUE"""),"#N/A")</f>
        <v>#N/A</v>
      </c>
      <c r="Q3203" s="1"/>
      <c r="R3203" s="1"/>
      <c r="S3203" s="1"/>
      <c r="T3203" s="1"/>
      <c r="U3203" s="2">
        <f>IFERROR(__xludf.DUMMYFUNCTION("""COMPUTED_VALUE"""),0.0)</f>
        <v>0</v>
      </c>
      <c r="V3203" s="1" t="str">
        <f>IFERROR(__xludf.DUMMYFUNCTION("""COMPUTED_VALUE"""),"#N/A")</f>
        <v>#N/A</v>
      </c>
      <c r="W3203" s="1" t="str">
        <f>IFERROR(__xludf.DUMMYFUNCTION("""COMPUTED_VALUE"""),"#N/A")</f>
        <v>#N/A</v>
      </c>
    </row>
    <row r="3204">
      <c r="O3204" s="1" t="str">
        <f>IFERROR(__xludf.DUMMYFUNCTION("""COMPUTED_VALUE"""),"#VALUE!")</f>
        <v>#VALUE!</v>
      </c>
      <c r="P3204" s="1" t="str">
        <f>IFERROR(__xludf.DUMMYFUNCTION("""COMPUTED_VALUE"""),"#N/A")</f>
        <v>#N/A</v>
      </c>
      <c r="Q3204" s="1"/>
      <c r="R3204" s="1"/>
      <c r="S3204" s="1"/>
      <c r="T3204" s="1"/>
      <c r="U3204" s="2">
        <f>IFERROR(__xludf.DUMMYFUNCTION("""COMPUTED_VALUE"""),0.0)</f>
        <v>0</v>
      </c>
      <c r="V3204" s="1" t="str">
        <f>IFERROR(__xludf.DUMMYFUNCTION("""COMPUTED_VALUE"""),"#N/A")</f>
        <v>#N/A</v>
      </c>
      <c r="W3204" s="1" t="str">
        <f>IFERROR(__xludf.DUMMYFUNCTION("""COMPUTED_VALUE"""),"#N/A")</f>
        <v>#N/A</v>
      </c>
    </row>
    <row r="3205">
      <c r="O3205" s="1" t="str">
        <f>IFERROR(__xludf.DUMMYFUNCTION("""COMPUTED_VALUE"""),"#VALUE!")</f>
        <v>#VALUE!</v>
      </c>
      <c r="P3205" s="1" t="str">
        <f>IFERROR(__xludf.DUMMYFUNCTION("""COMPUTED_VALUE"""),"#N/A")</f>
        <v>#N/A</v>
      </c>
      <c r="Q3205" s="1"/>
      <c r="R3205" s="1"/>
      <c r="S3205" s="1"/>
      <c r="T3205" s="1"/>
      <c r="U3205" s="2">
        <f>IFERROR(__xludf.DUMMYFUNCTION("""COMPUTED_VALUE"""),0.0)</f>
        <v>0</v>
      </c>
      <c r="V3205" s="1" t="str">
        <f>IFERROR(__xludf.DUMMYFUNCTION("""COMPUTED_VALUE"""),"#N/A")</f>
        <v>#N/A</v>
      </c>
      <c r="W3205" s="1" t="str">
        <f>IFERROR(__xludf.DUMMYFUNCTION("""COMPUTED_VALUE"""),"#N/A")</f>
        <v>#N/A</v>
      </c>
    </row>
    <row r="3206">
      <c r="O3206" s="1" t="str">
        <f>IFERROR(__xludf.DUMMYFUNCTION("""COMPUTED_VALUE"""),"#VALUE!")</f>
        <v>#VALUE!</v>
      </c>
      <c r="P3206" s="1" t="str">
        <f>IFERROR(__xludf.DUMMYFUNCTION("""COMPUTED_VALUE"""),"#N/A")</f>
        <v>#N/A</v>
      </c>
      <c r="Q3206" s="1"/>
      <c r="R3206" s="1"/>
      <c r="S3206" s="1"/>
      <c r="T3206" s="1"/>
      <c r="U3206" s="2">
        <f>IFERROR(__xludf.DUMMYFUNCTION("""COMPUTED_VALUE"""),0.0)</f>
        <v>0</v>
      </c>
      <c r="V3206" s="1" t="str">
        <f>IFERROR(__xludf.DUMMYFUNCTION("""COMPUTED_VALUE"""),"#N/A")</f>
        <v>#N/A</v>
      </c>
      <c r="W3206" s="1" t="str">
        <f>IFERROR(__xludf.DUMMYFUNCTION("""COMPUTED_VALUE"""),"#N/A")</f>
        <v>#N/A</v>
      </c>
    </row>
    <row r="3207">
      <c r="O3207" s="1" t="str">
        <f>IFERROR(__xludf.DUMMYFUNCTION("""COMPUTED_VALUE"""),"#VALUE!")</f>
        <v>#VALUE!</v>
      </c>
      <c r="P3207" s="1" t="str">
        <f>IFERROR(__xludf.DUMMYFUNCTION("""COMPUTED_VALUE"""),"#N/A")</f>
        <v>#N/A</v>
      </c>
      <c r="Q3207" s="1"/>
      <c r="R3207" s="1"/>
      <c r="S3207" s="1"/>
      <c r="T3207" s="1"/>
      <c r="U3207" s="2">
        <f>IFERROR(__xludf.DUMMYFUNCTION("""COMPUTED_VALUE"""),0.0)</f>
        <v>0</v>
      </c>
      <c r="V3207" s="1" t="str">
        <f>IFERROR(__xludf.DUMMYFUNCTION("""COMPUTED_VALUE"""),"#N/A")</f>
        <v>#N/A</v>
      </c>
      <c r="W3207" s="1" t="str">
        <f>IFERROR(__xludf.DUMMYFUNCTION("""COMPUTED_VALUE"""),"#N/A")</f>
        <v>#N/A</v>
      </c>
    </row>
    <row r="3208">
      <c r="O3208" s="1" t="str">
        <f>IFERROR(__xludf.DUMMYFUNCTION("""COMPUTED_VALUE"""),"#VALUE!")</f>
        <v>#VALUE!</v>
      </c>
      <c r="P3208" s="1" t="str">
        <f>IFERROR(__xludf.DUMMYFUNCTION("""COMPUTED_VALUE"""),"#N/A")</f>
        <v>#N/A</v>
      </c>
      <c r="Q3208" s="1"/>
      <c r="R3208" s="1"/>
      <c r="S3208" s="1"/>
      <c r="T3208" s="1"/>
      <c r="U3208" s="2">
        <f>IFERROR(__xludf.DUMMYFUNCTION("""COMPUTED_VALUE"""),0.0)</f>
        <v>0</v>
      </c>
      <c r="V3208" s="1" t="str">
        <f>IFERROR(__xludf.DUMMYFUNCTION("""COMPUTED_VALUE"""),"#N/A")</f>
        <v>#N/A</v>
      </c>
      <c r="W3208" s="1" t="str">
        <f>IFERROR(__xludf.DUMMYFUNCTION("""COMPUTED_VALUE"""),"#N/A")</f>
        <v>#N/A</v>
      </c>
    </row>
    <row r="3209">
      <c r="O3209" s="1" t="str">
        <f>IFERROR(__xludf.DUMMYFUNCTION("""COMPUTED_VALUE"""),"#VALUE!")</f>
        <v>#VALUE!</v>
      </c>
      <c r="P3209" s="1" t="str">
        <f>IFERROR(__xludf.DUMMYFUNCTION("""COMPUTED_VALUE"""),"#N/A")</f>
        <v>#N/A</v>
      </c>
      <c r="Q3209" s="1"/>
      <c r="R3209" s="1"/>
      <c r="S3209" s="1"/>
      <c r="T3209" s="1"/>
      <c r="U3209" s="2">
        <f>IFERROR(__xludf.DUMMYFUNCTION("""COMPUTED_VALUE"""),0.0)</f>
        <v>0</v>
      </c>
      <c r="V3209" s="1" t="str">
        <f>IFERROR(__xludf.DUMMYFUNCTION("""COMPUTED_VALUE"""),"#N/A")</f>
        <v>#N/A</v>
      </c>
      <c r="W3209" s="1" t="str">
        <f>IFERROR(__xludf.DUMMYFUNCTION("""COMPUTED_VALUE"""),"#N/A")</f>
        <v>#N/A</v>
      </c>
    </row>
    <row r="3210">
      <c r="O3210" s="1" t="str">
        <f>IFERROR(__xludf.DUMMYFUNCTION("""COMPUTED_VALUE"""),"#VALUE!")</f>
        <v>#VALUE!</v>
      </c>
      <c r="P3210" s="1" t="str">
        <f>IFERROR(__xludf.DUMMYFUNCTION("""COMPUTED_VALUE"""),"#N/A")</f>
        <v>#N/A</v>
      </c>
      <c r="Q3210" s="1"/>
      <c r="R3210" s="1"/>
      <c r="S3210" s="1"/>
      <c r="T3210" s="1"/>
      <c r="U3210" s="2">
        <f>IFERROR(__xludf.DUMMYFUNCTION("""COMPUTED_VALUE"""),0.0)</f>
        <v>0</v>
      </c>
      <c r="V3210" s="1" t="str">
        <f>IFERROR(__xludf.DUMMYFUNCTION("""COMPUTED_VALUE"""),"#N/A")</f>
        <v>#N/A</v>
      </c>
      <c r="W3210" s="1" t="str">
        <f>IFERROR(__xludf.DUMMYFUNCTION("""COMPUTED_VALUE"""),"#N/A")</f>
        <v>#N/A</v>
      </c>
    </row>
    <row r="3211">
      <c r="O3211" s="1" t="str">
        <f>IFERROR(__xludf.DUMMYFUNCTION("""COMPUTED_VALUE"""),"#VALUE!")</f>
        <v>#VALUE!</v>
      </c>
      <c r="P3211" s="1" t="str">
        <f>IFERROR(__xludf.DUMMYFUNCTION("""COMPUTED_VALUE"""),"#N/A")</f>
        <v>#N/A</v>
      </c>
      <c r="Q3211" s="1"/>
      <c r="R3211" s="1"/>
      <c r="S3211" s="1"/>
      <c r="T3211" s="1"/>
      <c r="U3211" s="2">
        <f>IFERROR(__xludf.DUMMYFUNCTION("""COMPUTED_VALUE"""),0.0)</f>
        <v>0</v>
      </c>
      <c r="V3211" s="1" t="str">
        <f>IFERROR(__xludf.DUMMYFUNCTION("""COMPUTED_VALUE"""),"#N/A")</f>
        <v>#N/A</v>
      </c>
      <c r="W3211" s="1" t="str">
        <f>IFERROR(__xludf.DUMMYFUNCTION("""COMPUTED_VALUE"""),"#N/A")</f>
        <v>#N/A</v>
      </c>
    </row>
    <row r="3212">
      <c r="O3212" s="1" t="str">
        <f>IFERROR(__xludf.DUMMYFUNCTION("""COMPUTED_VALUE"""),"#VALUE!")</f>
        <v>#VALUE!</v>
      </c>
      <c r="P3212" s="1" t="str">
        <f>IFERROR(__xludf.DUMMYFUNCTION("""COMPUTED_VALUE"""),"#N/A")</f>
        <v>#N/A</v>
      </c>
      <c r="Q3212" s="1"/>
      <c r="R3212" s="1"/>
      <c r="S3212" s="1"/>
      <c r="T3212" s="1"/>
      <c r="U3212" s="2">
        <f>IFERROR(__xludf.DUMMYFUNCTION("""COMPUTED_VALUE"""),0.0)</f>
        <v>0</v>
      </c>
      <c r="V3212" s="1" t="str">
        <f>IFERROR(__xludf.DUMMYFUNCTION("""COMPUTED_VALUE"""),"#N/A")</f>
        <v>#N/A</v>
      </c>
      <c r="W3212" s="1" t="str">
        <f>IFERROR(__xludf.DUMMYFUNCTION("""COMPUTED_VALUE"""),"#N/A")</f>
        <v>#N/A</v>
      </c>
    </row>
    <row r="3213">
      <c r="O3213" s="1" t="str">
        <f>IFERROR(__xludf.DUMMYFUNCTION("""COMPUTED_VALUE"""),"#VALUE!")</f>
        <v>#VALUE!</v>
      </c>
      <c r="P3213" s="1" t="str">
        <f>IFERROR(__xludf.DUMMYFUNCTION("""COMPUTED_VALUE"""),"#N/A")</f>
        <v>#N/A</v>
      </c>
      <c r="Q3213" s="1"/>
      <c r="R3213" s="1"/>
      <c r="S3213" s="1"/>
      <c r="T3213" s="1"/>
      <c r="U3213" s="2">
        <f>IFERROR(__xludf.DUMMYFUNCTION("""COMPUTED_VALUE"""),0.0)</f>
        <v>0</v>
      </c>
      <c r="V3213" s="1" t="str">
        <f>IFERROR(__xludf.DUMMYFUNCTION("""COMPUTED_VALUE"""),"#N/A")</f>
        <v>#N/A</v>
      </c>
      <c r="W3213" s="1" t="str">
        <f>IFERROR(__xludf.DUMMYFUNCTION("""COMPUTED_VALUE"""),"#N/A")</f>
        <v>#N/A</v>
      </c>
    </row>
    <row r="3214">
      <c r="O3214" s="1" t="str">
        <f>IFERROR(__xludf.DUMMYFUNCTION("""COMPUTED_VALUE"""),"#VALUE!")</f>
        <v>#VALUE!</v>
      </c>
      <c r="P3214" s="1" t="str">
        <f>IFERROR(__xludf.DUMMYFUNCTION("""COMPUTED_VALUE"""),"#N/A")</f>
        <v>#N/A</v>
      </c>
      <c r="Q3214" s="1"/>
      <c r="R3214" s="1"/>
      <c r="S3214" s="1"/>
      <c r="T3214" s="1"/>
      <c r="U3214" s="2">
        <f>IFERROR(__xludf.DUMMYFUNCTION("""COMPUTED_VALUE"""),0.0)</f>
        <v>0</v>
      </c>
      <c r="V3214" s="1" t="str">
        <f>IFERROR(__xludf.DUMMYFUNCTION("""COMPUTED_VALUE"""),"#N/A")</f>
        <v>#N/A</v>
      </c>
      <c r="W3214" s="1" t="str">
        <f>IFERROR(__xludf.DUMMYFUNCTION("""COMPUTED_VALUE"""),"#N/A")</f>
        <v>#N/A</v>
      </c>
    </row>
    <row r="3215">
      <c r="O3215" s="1" t="str">
        <f>IFERROR(__xludf.DUMMYFUNCTION("""COMPUTED_VALUE"""),"#VALUE!")</f>
        <v>#VALUE!</v>
      </c>
      <c r="P3215" s="1" t="str">
        <f>IFERROR(__xludf.DUMMYFUNCTION("""COMPUTED_VALUE"""),"#N/A")</f>
        <v>#N/A</v>
      </c>
      <c r="Q3215" s="1"/>
      <c r="R3215" s="1"/>
      <c r="S3215" s="1"/>
      <c r="T3215" s="1"/>
      <c r="U3215" s="2">
        <f>IFERROR(__xludf.DUMMYFUNCTION("""COMPUTED_VALUE"""),0.0)</f>
        <v>0</v>
      </c>
      <c r="V3215" s="1" t="str">
        <f>IFERROR(__xludf.DUMMYFUNCTION("""COMPUTED_VALUE"""),"#N/A")</f>
        <v>#N/A</v>
      </c>
      <c r="W3215" s="1" t="str">
        <f>IFERROR(__xludf.DUMMYFUNCTION("""COMPUTED_VALUE"""),"#N/A")</f>
        <v>#N/A</v>
      </c>
    </row>
    <row r="3216">
      <c r="O3216" s="1" t="str">
        <f>IFERROR(__xludf.DUMMYFUNCTION("""COMPUTED_VALUE"""),"#VALUE!")</f>
        <v>#VALUE!</v>
      </c>
      <c r="P3216" s="1" t="str">
        <f>IFERROR(__xludf.DUMMYFUNCTION("""COMPUTED_VALUE"""),"#N/A")</f>
        <v>#N/A</v>
      </c>
      <c r="Q3216" s="1"/>
      <c r="R3216" s="1"/>
      <c r="S3216" s="1"/>
      <c r="T3216" s="1"/>
      <c r="U3216" s="2">
        <f>IFERROR(__xludf.DUMMYFUNCTION("""COMPUTED_VALUE"""),0.0)</f>
        <v>0</v>
      </c>
      <c r="V3216" s="1" t="str">
        <f>IFERROR(__xludf.DUMMYFUNCTION("""COMPUTED_VALUE"""),"#N/A")</f>
        <v>#N/A</v>
      </c>
      <c r="W3216" s="1" t="str">
        <f>IFERROR(__xludf.DUMMYFUNCTION("""COMPUTED_VALUE"""),"#N/A")</f>
        <v>#N/A</v>
      </c>
    </row>
    <row r="3217">
      <c r="O3217" s="1" t="str">
        <f>IFERROR(__xludf.DUMMYFUNCTION("""COMPUTED_VALUE"""),"#VALUE!")</f>
        <v>#VALUE!</v>
      </c>
      <c r="P3217" s="1" t="str">
        <f>IFERROR(__xludf.DUMMYFUNCTION("""COMPUTED_VALUE"""),"#N/A")</f>
        <v>#N/A</v>
      </c>
      <c r="Q3217" s="1"/>
      <c r="R3217" s="1"/>
      <c r="S3217" s="1"/>
      <c r="T3217" s="1"/>
      <c r="U3217" s="2">
        <f>IFERROR(__xludf.DUMMYFUNCTION("""COMPUTED_VALUE"""),0.0)</f>
        <v>0</v>
      </c>
      <c r="V3217" s="1" t="str">
        <f>IFERROR(__xludf.DUMMYFUNCTION("""COMPUTED_VALUE"""),"#N/A")</f>
        <v>#N/A</v>
      </c>
      <c r="W3217" s="1" t="str">
        <f>IFERROR(__xludf.DUMMYFUNCTION("""COMPUTED_VALUE"""),"#N/A")</f>
        <v>#N/A</v>
      </c>
    </row>
    <row r="3218">
      <c r="O3218" s="1" t="str">
        <f>IFERROR(__xludf.DUMMYFUNCTION("""COMPUTED_VALUE"""),"#VALUE!")</f>
        <v>#VALUE!</v>
      </c>
      <c r="P3218" s="1" t="str">
        <f>IFERROR(__xludf.DUMMYFUNCTION("""COMPUTED_VALUE"""),"#N/A")</f>
        <v>#N/A</v>
      </c>
      <c r="Q3218" s="1"/>
      <c r="R3218" s="1"/>
      <c r="S3218" s="1"/>
      <c r="T3218" s="1"/>
      <c r="U3218" s="2">
        <f>IFERROR(__xludf.DUMMYFUNCTION("""COMPUTED_VALUE"""),0.0)</f>
        <v>0</v>
      </c>
      <c r="V3218" s="1" t="str">
        <f>IFERROR(__xludf.DUMMYFUNCTION("""COMPUTED_VALUE"""),"#N/A")</f>
        <v>#N/A</v>
      </c>
      <c r="W3218" s="1" t="str">
        <f>IFERROR(__xludf.DUMMYFUNCTION("""COMPUTED_VALUE"""),"#N/A")</f>
        <v>#N/A</v>
      </c>
    </row>
    <row r="3219">
      <c r="O3219" s="1" t="str">
        <f>IFERROR(__xludf.DUMMYFUNCTION("""COMPUTED_VALUE"""),"#VALUE!")</f>
        <v>#VALUE!</v>
      </c>
      <c r="P3219" s="1" t="str">
        <f>IFERROR(__xludf.DUMMYFUNCTION("""COMPUTED_VALUE"""),"#N/A")</f>
        <v>#N/A</v>
      </c>
      <c r="Q3219" s="1"/>
      <c r="R3219" s="1"/>
      <c r="S3219" s="1"/>
      <c r="T3219" s="1"/>
      <c r="U3219" s="2">
        <f>IFERROR(__xludf.DUMMYFUNCTION("""COMPUTED_VALUE"""),0.0)</f>
        <v>0</v>
      </c>
      <c r="V3219" s="1" t="str">
        <f>IFERROR(__xludf.DUMMYFUNCTION("""COMPUTED_VALUE"""),"#N/A")</f>
        <v>#N/A</v>
      </c>
      <c r="W3219" s="1" t="str">
        <f>IFERROR(__xludf.DUMMYFUNCTION("""COMPUTED_VALUE"""),"#N/A")</f>
        <v>#N/A</v>
      </c>
    </row>
    <row r="3220">
      <c r="O3220" s="1" t="str">
        <f>IFERROR(__xludf.DUMMYFUNCTION("""COMPUTED_VALUE"""),"#VALUE!")</f>
        <v>#VALUE!</v>
      </c>
      <c r="P3220" s="1" t="str">
        <f>IFERROR(__xludf.DUMMYFUNCTION("""COMPUTED_VALUE"""),"#N/A")</f>
        <v>#N/A</v>
      </c>
      <c r="Q3220" s="1"/>
      <c r="R3220" s="1"/>
      <c r="S3220" s="1"/>
      <c r="T3220" s="1"/>
      <c r="U3220" s="2">
        <f>IFERROR(__xludf.DUMMYFUNCTION("""COMPUTED_VALUE"""),0.0)</f>
        <v>0</v>
      </c>
      <c r="V3220" s="1" t="str">
        <f>IFERROR(__xludf.DUMMYFUNCTION("""COMPUTED_VALUE"""),"#N/A")</f>
        <v>#N/A</v>
      </c>
      <c r="W3220" s="1" t="str">
        <f>IFERROR(__xludf.DUMMYFUNCTION("""COMPUTED_VALUE"""),"#N/A")</f>
        <v>#N/A</v>
      </c>
    </row>
    <row r="3221">
      <c r="O3221" s="1" t="str">
        <f>IFERROR(__xludf.DUMMYFUNCTION("""COMPUTED_VALUE"""),"#VALUE!")</f>
        <v>#VALUE!</v>
      </c>
      <c r="P3221" s="1" t="str">
        <f>IFERROR(__xludf.DUMMYFUNCTION("""COMPUTED_VALUE"""),"#N/A")</f>
        <v>#N/A</v>
      </c>
      <c r="Q3221" s="1"/>
      <c r="R3221" s="1"/>
      <c r="S3221" s="1"/>
      <c r="T3221" s="1"/>
      <c r="U3221" s="2">
        <f>IFERROR(__xludf.DUMMYFUNCTION("""COMPUTED_VALUE"""),0.0)</f>
        <v>0</v>
      </c>
      <c r="V3221" s="1" t="str">
        <f>IFERROR(__xludf.DUMMYFUNCTION("""COMPUTED_VALUE"""),"#N/A")</f>
        <v>#N/A</v>
      </c>
      <c r="W3221" s="1" t="str">
        <f>IFERROR(__xludf.DUMMYFUNCTION("""COMPUTED_VALUE"""),"#N/A")</f>
        <v>#N/A</v>
      </c>
    </row>
    <row r="3222">
      <c r="O3222" s="1" t="str">
        <f>IFERROR(__xludf.DUMMYFUNCTION("""COMPUTED_VALUE"""),"#VALUE!")</f>
        <v>#VALUE!</v>
      </c>
      <c r="P3222" s="1" t="str">
        <f>IFERROR(__xludf.DUMMYFUNCTION("""COMPUTED_VALUE"""),"#N/A")</f>
        <v>#N/A</v>
      </c>
      <c r="Q3222" s="1"/>
      <c r="R3222" s="1"/>
      <c r="S3222" s="1"/>
      <c r="T3222" s="1"/>
      <c r="U3222" s="2">
        <f>IFERROR(__xludf.DUMMYFUNCTION("""COMPUTED_VALUE"""),0.0)</f>
        <v>0</v>
      </c>
      <c r="V3222" s="1" t="str">
        <f>IFERROR(__xludf.DUMMYFUNCTION("""COMPUTED_VALUE"""),"#N/A")</f>
        <v>#N/A</v>
      </c>
      <c r="W3222" s="1" t="str">
        <f>IFERROR(__xludf.DUMMYFUNCTION("""COMPUTED_VALUE"""),"#N/A")</f>
        <v>#N/A</v>
      </c>
    </row>
    <row r="3223">
      <c r="O3223" s="1" t="str">
        <f>IFERROR(__xludf.DUMMYFUNCTION("""COMPUTED_VALUE"""),"#VALUE!")</f>
        <v>#VALUE!</v>
      </c>
      <c r="P3223" s="1" t="str">
        <f>IFERROR(__xludf.DUMMYFUNCTION("""COMPUTED_VALUE"""),"#N/A")</f>
        <v>#N/A</v>
      </c>
      <c r="Q3223" s="1"/>
      <c r="R3223" s="1"/>
      <c r="S3223" s="1"/>
      <c r="T3223" s="1"/>
      <c r="U3223" s="2">
        <f>IFERROR(__xludf.DUMMYFUNCTION("""COMPUTED_VALUE"""),0.0)</f>
        <v>0</v>
      </c>
      <c r="V3223" s="1" t="str">
        <f>IFERROR(__xludf.DUMMYFUNCTION("""COMPUTED_VALUE"""),"#N/A")</f>
        <v>#N/A</v>
      </c>
      <c r="W3223" s="1" t="str">
        <f>IFERROR(__xludf.DUMMYFUNCTION("""COMPUTED_VALUE"""),"#N/A")</f>
        <v>#N/A</v>
      </c>
    </row>
    <row r="3224">
      <c r="O3224" s="1" t="str">
        <f>IFERROR(__xludf.DUMMYFUNCTION("""COMPUTED_VALUE"""),"#VALUE!")</f>
        <v>#VALUE!</v>
      </c>
      <c r="P3224" s="1" t="str">
        <f>IFERROR(__xludf.DUMMYFUNCTION("""COMPUTED_VALUE"""),"#N/A")</f>
        <v>#N/A</v>
      </c>
      <c r="Q3224" s="1"/>
      <c r="R3224" s="1"/>
      <c r="S3224" s="1"/>
      <c r="T3224" s="1"/>
      <c r="U3224" s="2">
        <f>IFERROR(__xludf.DUMMYFUNCTION("""COMPUTED_VALUE"""),0.0)</f>
        <v>0</v>
      </c>
      <c r="V3224" s="1" t="str">
        <f>IFERROR(__xludf.DUMMYFUNCTION("""COMPUTED_VALUE"""),"#N/A")</f>
        <v>#N/A</v>
      </c>
      <c r="W3224" s="1" t="str">
        <f>IFERROR(__xludf.DUMMYFUNCTION("""COMPUTED_VALUE"""),"#N/A")</f>
        <v>#N/A</v>
      </c>
    </row>
    <row r="3225">
      <c r="O3225" s="1" t="str">
        <f>IFERROR(__xludf.DUMMYFUNCTION("""COMPUTED_VALUE"""),"#VALUE!")</f>
        <v>#VALUE!</v>
      </c>
      <c r="P3225" s="1" t="str">
        <f>IFERROR(__xludf.DUMMYFUNCTION("""COMPUTED_VALUE"""),"#N/A")</f>
        <v>#N/A</v>
      </c>
      <c r="Q3225" s="1"/>
      <c r="R3225" s="1"/>
      <c r="S3225" s="1"/>
      <c r="T3225" s="1"/>
      <c r="U3225" s="2">
        <f>IFERROR(__xludf.DUMMYFUNCTION("""COMPUTED_VALUE"""),0.0)</f>
        <v>0</v>
      </c>
      <c r="V3225" s="1" t="str">
        <f>IFERROR(__xludf.DUMMYFUNCTION("""COMPUTED_VALUE"""),"#N/A")</f>
        <v>#N/A</v>
      </c>
      <c r="W3225" s="1" t="str">
        <f>IFERROR(__xludf.DUMMYFUNCTION("""COMPUTED_VALUE"""),"#N/A")</f>
        <v>#N/A</v>
      </c>
    </row>
    <row r="3226">
      <c r="O3226" s="1" t="str">
        <f>IFERROR(__xludf.DUMMYFUNCTION("""COMPUTED_VALUE"""),"#VALUE!")</f>
        <v>#VALUE!</v>
      </c>
      <c r="P3226" s="1" t="str">
        <f>IFERROR(__xludf.DUMMYFUNCTION("""COMPUTED_VALUE"""),"#N/A")</f>
        <v>#N/A</v>
      </c>
      <c r="Q3226" s="1"/>
      <c r="R3226" s="1"/>
      <c r="S3226" s="1"/>
      <c r="T3226" s="1"/>
      <c r="U3226" s="2">
        <f>IFERROR(__xludf.DUMMYFUNCTION("""COMPUTED_VALUE"""),0.0)</f>
        <v>0</v>
      </c>
      <c r="V3226" s="1" t="str">
        <f>IFERROR(__xludf.DUMMYFUNCTION("""COMPUTED_VALUE"""),"#N/A")</f>
        <v>#N/A</v>
      </c>
      <c r="W3226" s="1" t="str">
        <f>IFERROR(__xludf.DUMMYFUNCTION("""COMPUTED_VALUE"""),"#N/A")</f>
        <v>#N/A</v>
      </c>
    </row>
    <row r="3227">
      <c r="O3227" s="1" t="str">
        <f>IFERROR(__xludf.DUMMYFUNCTION("""COMPUTED_VALUE"""),"#VALUE!")</f>
        <v>#VALUE!</v>
      </c>
      <c r="P3227" s="1" t="str">
        <f>IFERROR(__xludf.DUMMYFUNCTION("""COMPUTED_VALUE"""),"#N/A")</f>
        <v>#N/A</v>
      </c>
      <c r="Q3227" s="1"/>
      <c r="R3227" s="1"/>
      <c r="S3227" s="1"/>
      <c r="T3227" s="1"/>
      <c r="U3227" s="2">
        <f>IFERROR(__xludf.DUMMYFUNCTION("""COMPUTED_VALUE"""),0.0)</f>
        <v>0</v>
      </c>
      <c r="V3227" s="1" t="str">
        <f>IFERROR(__xludf.DUMMYFUNCTION("""COMPUTED_VALUE"""),"#N/A")</f>
        <v>#N/A</v>
      </c>
      <c r="W3227" s="1" t="str">
        <f>IFERROR(__xludf.DUMMYFUNCTION("""COMPUTED_VALUE"""),"#N/A")</f>
        <v>#N/A</v>
      </c>
    </row>
    <row r="3228">
      <c r="O3228" s="1" t="str">
        <f>IFERROR(__xludf.DUMMYFUNCTION("""COMPUTED_VALUE"""),"#VALUE!")</f>
        <v>#VALUE!</v>
      </c>
      <c r="P3228" s="1" t="str">
        <f>IFERROR(__xludf.DUMMYFUNCTION("""COMPUTED_VALUE"""),"#N/A")</f>
        <v>#N/A</v>
      </c>
      <c r="Q3228" s="1"/>
      <c r="R3228" s="1"/>
      <c r="S3228" s="1"/>
      <c r="T3228" s="1"/>
      <c r="U3228" s="2">
        <f>IFERROR(__xludf.DUMMYFUNCTION("""COMPUTED_VALUE"""),0.0)</f>
        <v>0</v>
      </c>
      <c r="V3228" s="1" t="str">
        <f>IFERROR(__xludf.DUMMYFUNCTION("""COMPUTED_VALUE"""),"#N/A")</f>
        <v>#N/A</v>
      </c>
      <c r="W3228" s="1" t="str">
        <f>IFERROR(__xludf.DUMMYFUNCTION("""COMPUTED_VALUE"""),"#N/A")</f>
        <v>#N/A</v>
      </c>
    </row>
    <row r="3229">
      <c r="O3229" s="1" t="str">
        <f>IFERROR(__xludf.DUMMYFUNCTION("""COMPUTED_VALUE"""),"#VALUE!")</f>
        <v>#VALUE!</v>
      </c>
      <c r="P3229" s="1" t="str">
        <f>IFERROR(__xludf.DUMMYFUNCTION("""COMPUTED_VALUE"""),"#N/A")</f>
        <v>#N/A</v>
      </c>
      <c r="Q3229" s="1"/>
      <c r="R3229" s="1"/>
      <c r="S3229" s="1"/>
      <c r="T3229" s="1"/>
      <c r="U3229" s="2">
        <f>IFERROR(__xludf.DUMMYFUNCTION("""COMPUTED_VALUE"""),0.0)</f>
        <v>0</v>
      </c>
      <c r="V3229" s="1" t="str">
        <f>IFERROR(__xludf.DUMMYFUNCTION("""COMPUTED_VALUE"""),"#N/A")</f>
        <v>#N/A</v>
      </c>
      <c r="W3229" s="1" t="str">
        <f>IFERROR(__xludf.DUMMYFUNCTION("""COMPUTED_VALUE"""),"#N/A")</f>
        <v>#N/A</v>
      </c>
    </row>
    <row r="3230">
      <c r="O3230" s="1" t="str">
        <f>IFERROR(__xludf.DUMMYFUNCTION("""COMPUTED_VALUE"""),"#VALUE!")</f>
        <v>#VALUE!</v>
      </c>
      <c r="P3230" s="1" t="str">
        <f>IFERROR(__xludf.DUMMYFUNCTION("""COMPUTED_VALUE"""),"#N/A")</f>
        <v>#N/A</v>
      </c>
      <c r="Q3230" s="1"/>
      <c r="R3230" s="1"/>
      <c r="S3230" s="1"/>
      <c r="T3230" s="1"/>
      <c r="U3230" s="2">
        <f>IFERROR(__xludf.DUMMYFUNCTION("""COMPUTED_VALUE"""),0.0)</f>
        <v>0</v>
      </c>
      <c r="V3230" s="1" t="str">
        <f>IFERROR(__xludf.DUMMYFUNCTION("""COMPUTED_VALUE"""),"#N/A")</f>
        <v>#N/A</v>
      </c>
      <c r="W3230" s="1" t="str">
        <f>IFERROR(__xludf.DUMMYFUNCTION("""COMPUTED_VALUE"""),"#N/A")</f>
        <v>#N/A</v>
      </c>
    </row>
    <row r="3231">
      <c r="O3231" s="1" t="str">
        <f>IFERROR(__xludf.DUMMYFUNCTION("""COMPUTED_VALUE"""),"#VALUE!")</f>
        <v>#VALUE!</v>
      </c>
      <c r="P3231" s="1" t="str">
        <f>IFERROR(__xludf.DUMMYFUNCTION("""COMPUTED_VALUE"""),"#N/A")</f>
        <v>#N/A</v>
      </c>
      <c r="Q3231" s="1"/>
      <c r="R3231" s="1"/>
      <c r="S3231" s="1"/>
      <c r="T3231" s="1"/>
      <c r="U3231" s="2">
        <f>IFERROR(__xludf.DUMMYFUNCTION("""COMPUTED_VALUE"""),0.0)</f>
        <v>0</v>
      </c>
      <c r="V3231" s="1" t="str">
        <f>IFERROR(__xludf.DUMMYFUNCTION("""COMPUTED_VALUE"""),"#N/A")</f>
        <v>#N/A</v>
      </c>
      <c r="W3231" s="1" t="str">
        <f>IFERROR(__xludf.DUMMYFUNCTION("""COMPUTED_VALUE"""),"#N/A")</f>
        <v>#N/A</v>
      </c>
    </row>
    <row r="3232">
      <c r="O3232" s="1" t="str">
        <f>IFERROR(__xludf.DUMMYFUNCTION("""COMPUTED_VALUE"""),"#VALUE!")</f>
        <v>#VALUE!</v>
      </c>
      <c r="P3232" s="1" t="str">
        <f>IFERROR(__xludf.DUMMYFUNCTION("""COMPUTED_VALUE"""),"#N/A")</f>
        <v>#N/A</v>
      </c>
      <c r="Q3232" s="1"/>
      <c r="R3232" s="1"/>
      <c r="S3232" s="1"/>
      <c r="T3232" s="1"/>
      <c r="U3232" s="2">
        <f>IFERROR(__xludf.DUMMYFUNCTION("""COMPUTED_VALUE"""),0.0)</f>
        <v>0</v>
      </c>
      <c r="V3232" s="1" t="str">
        <f>IFERROR(__xludf.DUMMYFUNCTION("""COMPUTED_VALUE"""),"#N/A")</f>
        <v>#N/A</v>
      </c>
      <c r="W3232" s="1" t="str">
        <f>IFERROR(__xludf.DUMMYFUNCTION("""COMPUTED_VALUE"""),"#N/A")</f>
        <v>#N/A</v>
      </c>
    </row>
    <row r="3233">
      <c r="O3233" s="1" t="str">
        <f>IFERROR(__xludf.DUMMYFUNCTION("""COMPUTED_VALUE"""),"#VALUE!")</f>
        <v>#VALUE!</v>
      </c>
      <c r="P3233" s="1" t="str">
        <f>IFERROR(__xludf.DUMMYFUNCTION("""COMPUTED_VALUE"""),"#N/A")</f>
        <v>#N/A</v>
      </c>
      <c r="Q3233" s="1"/>
      <c r="R3233" s="1"/>
      <c r="S3233" s="1"/>
      <c r="T3233" s="1"/>
      <c r="U3233" s="2">
        <f>IFERROR(__xludf.DUMMYFUNCTION("""COMPUTED_VALUE"""),0.0)</f>
        <v>0</v>
      </c>
      <c r="V3233" s="1" t="str">
        <f>IFERROR(__xludf.DUMMYFUNCTION("""COMPUTED_VALUE"""),"#N/A")</f>
        <v>#N/A</v>
      </c>
      <c r="W3233" s="1" t="str">
        <f>IFERROR(__xludf.DUMMYFUNCTION("""COMPUTED_VALUE"""),"#N/A")</f>
        <v>#N/A</v>
      </c>
    </row>
    <row r="3234">
      <c r="O3234" s="1" t="str">
        <f>IFERROR(__xludf.DUMMYFUNCTION("""COMPUTED_VALUE"""),"#VALUE!")</f>
        <v>#VALUE!</v>
      </c>
      <c r="P3234" s="1" t="str">
        <f>IFERROR(__xludf.DUMMYFUNCTION("""COMPUTED_VALUE"""),"#N/A")</f>
        <v>#N/A</v>
      </c>
      <c r="Q3234" s="1"/>
      <c r="R3234" s="1"/>
      <c r="S3234" s="1"/>
      <c r="T3234" s="1"/>
      <c r="U3234" s="2">
        <f>IFERROR(__xludf.DUMMYFUNCTION("""COMPUTED_VALUE"""),0.0)</f>
        <v>0</v>
      </c>
      <c r="V3234" s="1" t="str">
        <f>IFERROR(__xludf.DUMMYFUNCTION("""COMPUTED_VALUE"""),"#N/A")</f>
        <v>#N/A</v>
      </c>
      <c r="W3234" s="1" t="str">
        <f>IFERROR(__xludf.DUMMYFUNCTION("""COMPUTED_VALUE"""),"#N/A")</f>
        <v>#N/A</v>
      </c>
    </row>
    <row r="3235">
      <c r="O3235" s="1" t="str">
        <f>IFERROR(__xludf.DUMMYFUNCTION("""COMPUTED_VALUE"""),"#VALUE!")</f>
        <v>#VALUE!</v>
      </c>
      <c r="P3235" s="1" t="str">
        <f>IFERROR(__xludf.DUMMYFUNCTION("""COMPUTED_VALUE"""),"#N/A")</f>
        <v>#N/A</v>
      </c>
      <c r="Q3235" s="1"/>
      <c r="R3235" s="1"/>
      <c r="S3235" s="1"/>
      <c r="T3235" s="1"/>
      <c r="U3235" s="2">
        <f>IFERROR(__xludf.DUMMYFUNCTION("""COMPUTED_VALUE"""),0.0)</f>
        <v>0</v>
      </c>
      <c r="V3235" s="1" t="str">
        <f>IFERROR(__xludf.DUMMYFUNCTION("""COMPUTED_VALUE"""),"#N/A")</f>
        <v>#N/A</v>
      </c>
      <c r="W3235" s="1" t="str">
        <f>IFERROR(__xludf.DUMMYFUNCTION("""COMPUTED_VALUE"""),"#N/A")</f>
        <v>#N/A</v>
      </c>
    </row>
    <row r="3236">
      <c r="O3236" s="1" t="str">
        <f>IFERROR(__xludf.DUMMYFUNCTION("""COMPUTED_VALUE"""),"#VALUE!")</f>
        <v>#VALUE!</v>
      </c>
      <c r="P3236" s="1" t="str">
        <f>IFERROR(__xludf.DUMMYFUNCTION("""COMPUTED_VALUE"""),"#N/A")</f>
        <v>#N/A</v>
      </c>
      <c r="Q3236" s="1"/>
      <c r="R3236" s="1"/>
      <c r="S3236" s="1"/>
      <c r="T3236" s="1"/>
      <c r="U3236" s="2">
        <f>IFERROR(__xludf.DUMMYFUNCTION("""COMPUTED_VALUE"""),0.0)</f>
        <v>0</v>
      </c>
      <c r="V3236" s="1" t="str">
        <f>IFERROR(__xludf.DUMMYFUNCTION("""COMPUTED_VALUE"""),"#N/A")</f>
        <v>#N/A</v>
      </c>
      <c r="W3236" s="1" t="str">
        <f>IFERROR(__xludf.DUMMYFUNCTION("""COMPUTED_VALUE"""),"#N/A")</f>
        <v>#N/A</v>
      </c>
    </row>
    <row r="3237">
      <c r="O3237" s="1" t="str">
        <f>IFERROR(__xludf.DUMMYFUNCTION("""COMPUTED_VALUE"""),"#VALUE!")</f>
        <v>#VALUE!</v>
      </c>
      <c r="P3237" s="1" t="str">
        <f>IFERROR(__xludf.DUMMYFUNCTION("""COMPUTED_VALUE"""),"#N/A")</f>
        <v>#N/A</v>
      </c>
      <c r="Q3237" s="1"/>
      <c r="R3237" s="1"/>
      <c r="S3237" s="1"/>
      <c r="T3237" s="1"/>
      <c r="U3237" s="2">
        <f>IFERROR(__xludf.DUMMYFUNCTION("""COMPUTED_VALUE"""),0.0)</f>
        <v>0</v>
      </c>
      <c r="V3237" s="1" t="str">
        <f>IFERROR(__xludf.DUMMYFUNCTION("""COMPUTED_VALUE"""),"#N/A")</f>
        <v>#N/A</v>
      </c>
      <c r="W3237" s="1" t="str">
        <f>IFERROR(__xludf.DUMMYFUNCTION("""COMPUTED_VALUE"""),"#N/A")</f>
        <v>#N/A</v>
      </c>
    </row>
    <row r="3238">
      <c r="O3238" s="1" t="str">
        <f>IFERROR(__xludf.DUMMYFUNCTION("""COMPUTED_VALUE"""),"#VALUE!")</f>
        <v>#VALUE!</v>
      </c>
      <c r="P3238" s="1" t="str">
        <f>IFERROR(__xludf.DUMMYFUNCTION("""COMPUTED_VALUE"""),"#N/A")</f>
        <v>#N/A</v>
      </c>
      <c r="Q3238" s="1"/>
      <c r="R3238" s="1"/>
      <c r="S3238" s="1"/>
      <c r="T3238" s="1"/>
      <c r="U3238" s="2">
        <f>IFERROR(__xludf.DUMMYFUNCTION("""COMPUTED_VALUE"""),0.0)</f>
        <v>0</v>
      </c>
      <c r="V3238" s="1" t="str">
        <f>IFERROR(__xludf.DUMMYFUNCTION("""COMPUTED_VALUE"""),"#N/A")</f>
        <v>#N/A</v>
      </c>
      <c r="W3238" s="1" t="str">
        <f>IFERROR(__xludf.DUMMYFUNCTION("""COMPUTED_VALUE"""),"#N/A")</f>
        <v>#N/A</v>
      </c>
    </row>
    <row r="3239">
      <c r="O3239" s="1" t="str">
        <f>IFERROR(__xludf.DUMMYFUNCTION("""COMPUTED_VALUE"""),"#VALUE!")</f>
        <v>#VALUE!</v>
      </c>
      <c r="P3239" s="1" t="str">
        <f>IFERROR(__xludf.DUMMYFUNCTION("""COMPUTED_VALUE"""),"#N/A")</f>
        <v>#N/A</v>
      </c>
      <c r="Q3239" s="1"/>
      <c r="R3239" s="1"/>
      <c r="S3239" s="1"/>
      <c r="T3239" s="1"/>
      <c r="U3239" s="2">
        <f>IFERROR(__xludf.DUMMYFUNCTION("""COMPUTED_VALUE"""),0.0)</f>
        <v>0</v>
      </c>
      <c r="V3239" s="1" t="str">
        <f>IFERROR(__xludf.DUMMYFUNCTION("""COMPUTED_VALUE"""),"#N/A")</f>
        <v>#N/A</v>
      </c>
      <c r="W3239" s="1" t="str">
        <f>IFERROR(__xludf.DUMMYFUNCTION("""COMPUTED_VALUE"""),"#N/A")</f>
        <v>#N/A</v>
      </c>
    </row>
    <row r="3240">
      <c r="O3240" s="1" t="str">
        <f>IFERROR(__xludf.DUMMYFUNCTION("""COMPUTED_VALUE"""),"#VALUE!")</f>
        <v>#VALUE!</v>
      </c>
      <c r="P3240" s="1" t="str">
        <f>IFERROR(__xludf.DUMMYFUNCTION("""COMPUTED_VALUE"""),"#N/A")</f>
        <v>#N/A</v>
      </c>
      <c r="Q3240" s="1"/>
      <c r="R3240" s="1"/>
      <c r="S3240" s="1"/>
      <c r="T3240" s="1"/>
      <c r="U3240" s="2">
        <f>IFERROR(__xludf.DUMMYFUNCTION("""COMPUTED_VALUE"""),0.0)</f>
        <v>0</v>
      </c>
      <c r="V3240" s="1" t="str">
        <f>IFERROR(__xludf.DUMMYFUNCTION("""COMPUTED_VALUE"""),"#N/A")</f>
        <v>#N/A</v>
      </c>
      <c r="W3240" s="1" t="str">
        <f>IFERROR(__xludf.DUMMYFUNCTION("""COMPUTED_VALUE"""),"#N/A")</f>
        <v>#N/A</v>
      </c>
    </row>
    <row r="3241">
      <c r="O3241" s="1" t="str">
        <f>IFERROR(__xludf.DUMMYFUNCTION("""COMPUTED_VALUE"""),"#VALUE!")</f>
        <v>#VALUE!</v>
      </c>
      <c r="P3241" s="1" t="str">
        <f>IFERROR(__xludf.DUMMYFUNCTION("""COMPUTED_VALUE"""),"#N/A")</f>
        <v>#N/A</v>
      </c>
      <c r="Q3241" s="1"/>
      <c r="R3241" s="1"/>
      <c r="S3241" s="1"/>
      <c r="T3241" s="1"/>
      <c r="U3241" s="2">
        <f>IFERROR(__xludf.DUMMYFUNCTION("""COMPUTED_VALUE"""),0.0)</f>
        <v>0</v>
      </c>
      <c r="V3241" s="1" t="str">
        <f>IFERROR(__xludf.DUMMYFUNCTION("""COMPUTED_VALUE"""),"#N/A")</f>
        <v>#N/A</v>
      </c>
      <c r="W3241" s="1" t="str">
        <f>IFERROR(__xludf.DUMMYFUNCTION("""COMPUTED_VALUE"""),"#N/A")</f>
        <v>#N/A</v>
      </c>
    </row>
    <row r="3242">
      <c r="O3242" s="1" t="str">
        <f>IFERROR(__xludf.DUMMYFUNCTION("""COMPUTED_VALUE"""),"#VALUE!")</f>
        <v>#VALUE!</v>
      </c>
      <c r="P3242" s="1" t="str">
        <f>IFERROR(__xludf.DUMMYFUNCTION("""COMPUTED_VALUE"""),"#N/A")</f>
        <v>#N/A</v>
      </c>
      <c r="Q3242" s="1"/>
      <c r="R3242" s="1"/>
      <c r="S3242" s="1"/>
      <c r="T3242" s="1"/>
      <c r="U3242" s="2">
        <f>IFERROR(__xludf.DUMMYFUNCTION("""COMPUTED_VALUE"""),0.0)</f>
        <v>0</v>
      </c>
      <c r="V3242" s="1" t="str">
        <f>IFERROR(__xludf.DUMMYFUNCTION("""COMPUTED_VALUE"""),"#N/A")</f>
        <v>#N/A</v>
      </c>
      <c r="W3242" s="1" t="str">
        <f>IFERROR(__xludf.DUMMYFUNCTION("""COMPUTED_VALUE"""),"#N/A")</f>
        <v>#N/A</v>
      </c>
    </row>
    <row r="3243">
      <c r="O3243" s="1" t="str">
        <f>IFERROR(__xludf.DUMMYFUNCTION("""COMPUTED_VALUE"""),"#VALUE!")</f>
        <v>#VALUE!</v>
      </c>
      <c r="P3243" s="1" t="str">
        <f>IFERROR(__xludf.DUMMYFUNCTION("""COMPUTED_VALUE"""),"#N/A")</f>
        <v>#N/A</v>
      </c>
      <c r="Q3243" s="1"/>
      <c r="R3243" s="1"/>
      <c r="S3243" s="1"/>
      <c r="T3243" s="1"/>
      <c r="U3243" s="2">
        <f>IFERROR(__xludf.DUMMYFUNCTION("""COMPUTED_VALUE"""),0.0)</f>
        <v>0</v>
      </c>
      <c r="V3243" s="1" t="str">
        <f>IFERROR(__xludf.DUMMYFUNCTION("""COMPUTED_VALUE"""),"#N/A")</f>
        <v>#N/A</v>
      </c>
      <c r="W3243" s="1" t="str">
        <f>IFERROR(__xludf.DUMMYFUNCTION("""COMPUTED_VALUE"""),"#N/A")</f>
        <v>#N/A</v>
      </c>
    </row>
    <row r="3244">
      <c r="O3244" s="1" t="str">
        <f>IFERROR(__xludf.DUMMYFUNCTION("""COMPUTED_VALUE"""),"#VALUE!")</f>
        <v>#VALUE!</v>
      </c>
      <c r="P3244" s="1" t="str">
        <f>IFERROR(__xludf.DUMMYFUNCTION("""COMPUTED_VALUE"""),"#N/A")</f>
        <v>#N/A</v>
      </c>
      <c r="Q3244" s="1"/>
      <c r="R3244" s="1"/>
      <c r="S3244" s="1"/>
      <c r="T3244" s="1"/>
      <c r="U3244" s="2">
        <f>IFERROR(__xludf.DUMMYFUNCTION("""COMPUTED_VALUE"""),0.0)</f>
        <v>0</v>
      </c>
      <c r="V3244" s="1" t="str">
        <f>IFERROR(__xludf.DUMMYFUNCTION("""COMPUTED_VALUE"""),"#N/A")</f>
        <v>#N/A</v>
      </c>
      <c r="W3244" s="1" t="str">
        <f>IFERROR(__xludf.DUMMYFUNCTION("""COMPUTED_VALUE"""),"#N/A")</f>
        <v>#N/A</v>
      </c>
    </row>
    <row r="3245">
      <c r="O3245" s="1" t="str">
        <f>IFERROR(__xludf.DUMMYFUNCTION("""COMPUTED_VALUE"""),"#VALUE!")</f>
        <v>#VALUE!</v>
      </c>
      <c r="P3245" s="1" t="str">
        <f>IFERROR(__xludf.DUMMYFUNCTION("""COMPUTED_VALUE"""),"#N/A")</f>
        <v>#N/A</v>
      </c>
      <c r="Q3245" s="1"/>
      <c r="R3245" s="1"/>
      <c r="S3245" s="1"/>
      <c r="T3245" s="1"/>
      <c r="U3245" s="2">
        <f>IFERROR(__xludf.DUMMYFUNCTION("""COMPUTED_VALUE"""),0.0)</f>
        <v>0</v>
      </c>
      <c r="V3245" s="1" t="str">
        <f>IFERROR(__xludf.DUMMYFUNCTION("""COMPUTED_VALUE"""),"#N/A")</f>
        <v>#N/A</v>
      </c>
      <c r="W3245" s="1" t="str">
        <f>IFERROR(__xludf.DUMMYFUNCTION("""COMPUTED_VALUE"""),"#N/A")</f>
        <v>#N/A</v>
      </c>
    </row>
    <row r="3246">
      <c r="O3246" s="1" t="str">
        <f>IFERROR(__xludf.DUMMYFUNCTION("""COMPUTED_VALUE"""),"#VALUE!")</f>
        <v>#VALUE!</v>
      </c>
      <c r="P3246" s="1" t="str">
        <f>IFERROR(__xludf.DUMMYFUNCTION("""COMPUTED_VALUE"""),"#N/A")</f>
        <v>#N/A</v>
      </c>
      <c r="Q3246" s="1"/>
      <c r="R3246" s="1"/>
      <c r="S3246" s="1"/>
      <c r="T3246" s="1"/>
      <c r="U3246" s="2">
        <f>IFERROR(__xludf.DUMMYFUNCTION("""COMPUTED_VALUE"""),0.0)</f>
        <v>0</v>
      </c>
      <c r="V3246" s="1" t="str">
        <f>IFERROR(__xludf.DUMMYFUNCTION("""COMPUTED_VALUE"""),"#N/A")</f>
        <v>#N/A</v>
      </c>
      <c r="W3246" s="1" t="str">
        <f>IFERROR(__xludf.DUMMYFUNCTION("""COMPUTED_VALUE"""),"#N/A")</f>
        <v>#N/A</v>
      </c>
    </row>
    <row r="3247">
      <c r="O3247" s="1" t="str">
        <f>IFERROR(__xludf.DUMMYFUNCTION("""COMPUTED_VALUE"""),"#VALUE!")</f>
        <v>#VALUE!</v>
      </c>
      <c r="P3247" s="1" t="str">
        <f>IFERROR(__xludf.DUMMYFUNCTION("""COMPUTED_VALUE"""),"#N/A")</f>
        <v>#N/A</v>
      </c>
      <c r="Q3247" s="1"/>
      <c r="R3247" s="1"/>
      <c r="S3247" s="1"/>
      <c r="T3247" s="1"/>
      <c r="U3247" s="2">
        <f>IFERROR(__xludf.DUMMYFUNCTION("""COMPUTED_VALUE"""),0.0)</f>
        <v>0</v>
      </c>
      <c r="V3247" s="1" t="str">
        <f>IFERROR(__xludf.DUMMYFUNCTION("""COMPUTED_VALUE"""),"#N/A")</f>
        <v>#N/A</v>
      </c>
      <c r="W3247" s="1" t="str">
        <f>IFERROR(__xludf.DUMMYFUNCTION("""COMPUTED_VALUE"""),"#N/A")</f>
        <v>#N/A</v>
      </c>
    </row>
    <row r="3248">
      <c r="O3248" s="1" t="str">
        <f>IFERROR(__xludf.DUMMYFUNCTION("""COMPUTED_VALUE"""),"#VALUE!")</f>
        <v>#VALUE!</v>
      </c>
      <c r="P3248" s="1" t="str">
        <f>IFERROR(__xludf.DUMMYFUNCTION("""COMPUTED_VALUE"""),"#N/A")</f>
        <v>#N/A</v>
      </c>
      <c r="Q3248" s="1"/>
      <c r="R3248" s="1"/>
      <c r="S3248" s="1"/>
      <c r="T3248" s="1"/>
      <c r="U3248" s="2">
        <f>IFERROR(__xludf.DUMMYFUNCTION("""COMPUTED_VALUE"""),0.0)</f>
        <v>0</v>
      </c>
      <c r="V3248" s="1" t="str">
        <f>IFERROR(__xludf.DUMMYFUNCTION("""COMPUTED_VALUE"""),"#N/A")</f>
        <v>#N/A</v>
      </c>
      <c r="W3248" s="1" t="str">
        <f>IFERROR(__xludf.DUMMYFUNCTION("""COMPUTED_VALUE"""),"#N/A")</f>
        <v>#N/A</v>
      </c>
    </row>
    <row r="3249">
      <c r="O3249" s="1" t="str">
        <f>IFERROR(__xludf.DUMMYFUNCTION("""COMPUTED_VALUE"""),"#VALUE!")</f>
        <v>#VALUE!</v>
      </c>
      <c r="P3249" s="1" t="str">
        <f>IFERROR(__xludf.DUMMYFUNCTION("""COMPUTED_VALUE"""),"#N/A")</f>
        <v>#N/A</v>
      </c>
      <c r="Q3249" s="1"/>
      <c r="R3249" s="1"/>
      <c r="S3249" s="1"/>
      <c r="T3249" s="1"/>
      <c r="U3249" s="2">
        <f>IFERROR(__xludf.DUMMYFUNCTION("""COMPUTED_VALUE"""),0.0)</f>
        <v>0</v>
      </c>
      <c r="V3249" s="1" t="str">
        <f>IFERROR(__xludf.DUMMYFUNCTION("""COMPUTED_VALUE"""),"#N/A")</f>
        <v>#N/A</v>
      </c>
      <c r="W3249" s="1" t="str">
        <f>IFERROR(__xludf.DUMMYFUNCTION("""COMPUTED_VALUE"""),"#N/A")</f>
        <v>#N/A</v>
      </c>
    </row>
    <row r="3250">
      <c r="O3250" s="1" t="str">
        <f>IFERROR(__xludf.DUMMYFUNCTION("""COMPUTED_VALUE"""),"#VALUE!")</f>
        <v>#VALUE!</v>
      </c>
      <c r="P3250" s="1" t="str">
        <f>IFERROR(__xludf.DUMMYFUNCTION("""COMPUTED_VALUE"""),"#N/A")</f>
        <v>#N/A</v>
      </c>
      <c r="Q3250" s="1"/>
      <c r="R3250" s="1"/>
      <c r="S3250" s="1"/>
      <c r="T3250" s="1"/>
      <c r="U3250" s="2">
        <f>IFERROR(__xludf.DUMMYFUNCTION("""COMPUTED_VALUE"""),0.0)</f>
        <v>0</v>
      </c>
      <c r="V3250" s="1" t="str">
        <f>IFERROR(__xludf.DUMMYFUNCTION("""COMPUTED_VALUE"""),"#N/A")</f>
        <v>#N/A</v>
      </c>
      <c r="W3250" s="1" t="str">
        <f>IFERROR(__xludf.DUMMYFUNCTION("""COMPUTED_VALUE"""),"#N/A")</f>
        <v>#N/A</v>
      </c>
    </row>
    <row r="3251">
      <c r="O3251" s="1" t="str">
        <f>IFERROR(__xludf.DUMMYFUNCTION("""COMPUTED_VALUE"""),"#VALUE!")</f>
        <v>#VALUE!</v>
      </c>
      <c r="P3251" s="1" t="str">
        <f>IFERROR(__xludf.DUMMYFUNCTION("""COMPUTED_VALUE"""),"#N/A")</f>
        <v>#N/A</v>
      </c>
      <c r="Q3251" s="1"/>
      <c r="R3251" s="1"/>
      <c r="S3251" s="1"/>
      <c r="T3251" s="1"/>
      <c r="U3251" s="2">
        <f>IFERROR(__xludf.DUMMYFUNCTION("""COMPUTED_VALUE"""),0.0)</f>
        <v>0</v>
      </c>
      <c r="V3251" s="1" t="str">
        <f>IFERROR(__xludf.DUMMYFUNCTION("""COMPUTED_VALUE"""),"#N/A")</f>
        <v>#N/A</v>
      </c>
      <c r="W3251" s="1" t="str">
        <f>IFERROR(__xludf.DUMMYFUNCTION("""COMPUTED_VALUE"""),"#N/A")</f>
        <v>#N/A</v>
      </c>
    </row>
    <row r="3252">
      <c r="O3252" s="1" t="str">
        <f>IFERROR(__xludf.DUMMYFUNCTION("""COMPUTED_VALUE"""),"#VALUE!")</f>
        <v>#VALUE!</v>
      </c>
      <c r="P3252" s="1" t="str">
        <f>IFERROR(__xludf.DUMMYFUNCTION("""COMPUTED_VALUE"""),"#N/A")</f>
        <v>#N/A</v>
      </c>
      <c r="Q3252" s="1"/>
      <c r="R3252" s="1"/>
      <c r="S3252" s="1"/>
      <c r="T3252" s="1"/>
      <c r="U3252" s="2">
        <f>IFERROR(__xludf.DUMMYFUNCTION("""COMPUTED_VALUE"""),0.0)</f>
        <v>0</v>
      </c>
      <c r="V3252" s="1" t="str">
        <f>IFERROR(__xludf.DUMMYFUNCTION("""COMPUTED_VALUE"""),"#N/A")</f>
        <v>#N/A</v>
      </c>
      <c r="W3252" s="1" t="str">
        <f>IFERROR(__xludf.DUMMYFUNCTION("""COMPUTED_VALUE"""),"#N/A")</f>
        <v>#N/A</v>
      </c>
    </row>
    <row r="3253">
      <c r="O3253" s="1" t="str">
        <f>IFERROR(__xludf.DUMMYFUNCTION("""COMPUTED_VALUE"""),"#VALUE!")</f>
        <v>#VALUE!</v>
      </c>
      <c r="P3253" s="1" t="str">
        <f>IFERROR(__xludf.DUMMYFUNCTION("""COMPUTED_VALUE"""),"#N/A")</f>
        <v>#N/A</v>
      </c>
      <c r="Q3253" s="1"/>
      <c r="R3253" s="1"/>
      <c r="S3253" s="1"/>
      <c r="T3253" s="1"/>
      <c r="U3253" s="2">
        <f>IFERROR(__xludf.DUMMYFUNCTION("""COMPUTED_VALUE"""),0.0)</f>
        <v>0</v>
      </c>
      <c r="V3253" s="1" t="str">
        <f>IFERROR(__xludf.DUMMYFUNCTION("""COMPUTED_VALUE"""),"#N/A")</f>
        <v>#N/A</v>
      </c>
      <c r="W3253" s="1" t="str">
        <f>IFERROR(__xludf.DUMMYFUNCTION("""COMPUTED_VALUE"""),"#N/A")</f>
        <v>#N/A</v>
      </c>
    </row>
    <row r="3254">
      <c r="O3254" s="1" t="str">
        <f>IFERROR(__xludf.DUMMYFUNCTION("""COMPUTED_VALUE"""),"#VALUE!")</f>
        <v>#VALUE!</v>
      </c>
      <c r="P3254" s="1" t="str">
        <f>IFERROR(__xludf.DUMMYFUNCTION("""COMPUTED_VALUE"""),"#N/A")</f>
        <v>#N/A</v>
      </c>
      <c r="Q3254" s="1"/>
      <c r="R3254" s="1"/>
      <c r="S3254" s="1"/>
      <c r="T3254" s="1"/>
      <c r="U3254" s="2">
        <f>IFERROR(__xludf.DUMMYFUNCTION("""COMPUTED_VALUE"""),0.0)</f>
        <v>0</v>
      </c>
      <c r="V3254" s="1" t="str">
        <f>IFERROR(__xludf.DUMMYFUNCTION("""COMPUTED_VALUE"""),"#N/A")</f>
        <v>#N/A</v>
      </c>
      <c r="W3254" s="1" t="str">
        <f>IFERROR(__xludf.DUMMYFUNCTION("""COMPUTED_VALUE"""),"#N/A")</f>
        <v>#N/A</v>
      </c>
    </row>
    <row r="3255">
      <c r="O3255" s="1" t="str">
        <f>IFERROR(__xludf.DUMMYFUNCTION("""COMPUTED_VALUE"""),"#VALUE!")</f>
        <v>#VALUE!</v>
      </c>
      <c r="P3255" s="1" t="str">
        <f>IFERROR(__xludf.DUMMYFUNCTION("""COMPUTED_VALUE"""),"#N/A")</f>
        <v>#N/A</v>
      </c>
      <c r="Q3255" s="1"/>
      <c r="R3255" s="1"/>
      <c r="S3255" s="1"/>
      <c r="T3255" s="1"/>
      <c r="U3255" s="2">
        <f>IFERROR(__xludf.DUMMYFUNCTION("""COMPUTED_VALUE"""),0.0)</f>
        <v>0</v>
      </c>
      <c r="V3255" s="1" t="str">
        <f>IFERROR(__xludf.DUMMYFUNCTION("""COMPUTED_VALUE"""),"#N/A")</f>
        <v>#N/A</v>
      </c>
      <c r="W3255" s="1" t="str">
        <f>IFERROR(__xludf.DUMMYFUNCTION("""COMPUTED_VALUE"""),"#N/A")</f>
        <v>#N/A</v>
      </c>
    </row>
    <row r="3256">
      <c r="O3256" s="1" t="str">
        <f>IFERROR(__xludf.DUMMYFUNCTION("""COMPUTED_VALUE"""),"#VALUE!")</f>
        <v>#VALUE!</v>
      </c>
      <c r="P3256" s="1" t="str">
        <f>IFERROR(__xludf.DUMMYFUNCTION("""COMPUTED_VALUE"""),"#N/A")</f>
        <v>#N/A</v>
      </c>
      <c r="Q3256" s="1"/>
      <c r="R3256" s="1"/>
      <c r="S3256" s="1"/>
      <c r="T3256" s="1"/>
      <c r="U3256" s="2">
        <f>IFERROR(__xludf.DUMMYFUNCTION("""COMPUTED_VALUE"""),0.0)</f>
        <v>0</v>
      </c>
      <c r="V3256" s="1" t="str">
        <f>IFERROR(__xludf.DUMMYFUNCTION("""COMPUTED_VALUE"""),"#N/A")</f>
        <v>#N/A</v>
      </c>
      <c r="W3256" s="1" t="str">
        <f>IFERROR(__xludf.DUMMYFUNCTION("""COMPUTED_VALUE"""),"#N/A")</f>
        <v>#N/A</v>
      </c>
    </row>
    <row r="3257">
      <c r="O3257" s="1" t="str">
        <f>IFERROR(__xludf.DUMMYFUNCTION("""COMPUTED_VALUE"""),"#VALUE!")</f>
        <v>#VALUE!</v>
      </c>
      <c r="P3257" s="1" t="str">
        <f>IFERROR(__xludf.DUMMYFUNCTION("""COMPUTED_VALUE"""),"#N/A")</f>
        <v>#N/A</v>
      </c>
      <c r="Q3257" s="1"/>
      <c r="R3257" s="1"/>
      <c r="S3257" s="1"/>
      <c r="T3257" s="1"/>
      <c r="U3257" s="2">
        <f>IFERROR(__xludf.DUMMYFUNCTION("""COMPUTED_VALUE"""),0.0)</f>
        <v>0</v>
      </c>
      <c r="V3257" s="1" t="str">
        <f>IFERROR(__xludf.DUMMYFUNCTION("""COMPUTED_VALUE"""),"#N/A")</f>
        <v>#N/A</v>
      </c>
      <c r="W3257" s="1" t="str">
        <f>IFERROR(__xludf.DUMMYFUNCTION("""COMPUTED_VALUE"""),"#N/A")</f>
        <v>#N/A</v>
      </c>
    </row>
    <row r="3258">
      <c r="O3258" s="1" t="str">
        <f>IFERROR(__xludf.DUMMYFUNCTION("""COMPUTED_VALUE"""),"#VALUE!")</f>
        <v>#VALUE!</v>
      </c>
      <c r="P3258" s="1" t="str">
        <f>IFERROR(__xludf.DUMMYFUNCTION("""COMPUTED_VALUE"""),"#N/A")</f>
        <v>#N/A</v>
      </c>
      <c r="Q3258" s="1"/>
      <c r="R3258" s="1"/>
      <c r="S3258" s="1"/>
      <c r="T3258" s="1"/>
      <c r="U3258" s="2">
        <f>IFERROR(__xludf.DUMMYFUNCTION("""COMPUTED_VALUE"""),0.0)</f>
        <v>0</v>
      </c>
      <c r="V3258" s="1" t="str">
        <f>IFERROR(__xludf.DUMMYFUNCTION("""COMPUTED_VALUE"""),"#N/A")</f>
        <v>#N/A</v>
      </c>
      <c r="W3258" s="1" t="str">
        <f>IFERROR(__xludf.DUMMYFUNCTION("""COMPUTED_VALUE"""),"#N/A")</f>
        <v>#N/A</v>
      </c>
    </row>
    <row r="3259">
      <c r="O3259" s="1" t="str">
        <f>IFERROR(__xludf.DUMMYFUNCTION("""COMPUTED_VALUE"""),"#VALUE!")</f>
        <v>#VALUE!</v>
      </c>
      <c r="P3259" s="1" t="str">
        <f>IFERROR(__xludf.DUMMYFUNCTION("""COMPUTED_VALUE"""),"#N/A")</f>
        <v>#N/A</v>
      </c>
      <c r="Q3259" s="1"/>
      <c r="R3259" s="1"/>
      <c r="S3259" s="1"/>
      <c r="T3259" s="1"/>
      <c r="U3259" s="2">
        <f>IFERROR(__xludf.DUMMYFUNCTION("""COMPUTED_VALUE"""),0.0)</f>
        <v>0</v>
      </c>
      <c r="V3259" s="1" t="str">
        <f>IFERROR(__xludf.DUMMYFUNCTION("""COMPUTED_VALUE"""),"#N/A")</f>
        <v>#N/A</v>
      </c>
      <c r="W3259" s="1" t="str">
        <f>IFERROR(__xludf.DUMMYFUNCTION("""COMPUTED_VALUE"""),"#N/A")</f>
        <v>#N/A</v>
      </c>
    </row>
    <row r="3260">
      <c r="O3260" s="1" t="str">
        <f>IFERROR(__xludf.DUMMYFUNCTION("""COMPUTED_VALUE"""),"#VALUE!")</f>
        <v>#VALUE!</v>
      </c>
      <c r="P3260" s="1" t="str">
        <f>IFERROR(__xludf.DUMMYFUNCTION("""COMPUTED_VALUE"""),"#N/A")</f>
        <v>#N/A</v>
      </c>
      <c r="Q3260" s="1"/>
      <c r="R3260" s="1"/>
      <c r="S3260" s="1"/>
      <c r="T3260" s="1"/>
      <c r="U3260" s="2">
        <f>IFERROR(__xludf.DUMMYFUNCTION("""COMPUTED_VALUE"""),0.0)</f>
        <v>0</v>
      </c>
      <c r="V3260" s="1" t="str">
        <f>IFERROR(__xludf.DUMMYFUNCTION("""COMPUTED_VALUE"""),"#N/A")</f>
        <v>#N/A</v>
      </c>
      <c r="W3260" s="1" t="str">
        <f>IFERROR(__xludf.DUMMYFUNCTION("""COMPUTED_VALUE"""),"#N/A")</f>
        <v>#N/A</v>
      </c>
    </row>
    <row r="3261">
      <c r="O3261" s="1" t="str">
        <f>IFERROR(__xludf.DUMMYFUNCTION("""COMPUTED_VALUE"""),"#VALUE!")</f>
        <v>#VALUE!</v>
      </c>
      <c r="P3261" s="1" t="str">
        <f>IFERROR(__xludf.DUMMYFUNCTION("""COMPUTED_VALUE"""),"#N/A")</f>
        <v>#N/A</v>
      </c>
      <c r="Q3261" s="1"/>
      <c r="R3261" s="1"/>
      <c r="S3261" s="1"/>
      <c r="T3261" s="1"/>
      <c r="U3261" s="2">
        <f>IFERROR(__xludf.DUMMYFUNCTION("""COMPUTED_VALUE"""),0.0)</f>
        <v>0</v>
      </c>
      <c r="V3261" s="1" t="str">
        <f>IFERROR(__xludf.DUMMYFUNCTION("""COMPUTED_VALUE"""),"#N/A")</f>
        <v>#N/A</v>
      </c>
      <c r="W3261" s="1" t="str">
        <f>IFERROR(__xludf.DUMMYFUNCTION("""COMPUTED_VALUE"""),"#N/A")</f>
        <v>#N/A</v>
      </c>
    </row>
    <row r="3262">
      <c r="O3262" s="1" t="str">
        <f>IFERROR(__xludf.DUMMYFUNCTION("""COMPUTED_VALUE"""),"#VALUE!")</f>
        <v>#VALUE!</v>
      </c>
      <c r="P3262" s="1" t="str">
        <f>IFERROR(__xludf.DUMMYFUNCTION("""COMPUTED_VALUE"""),"#N/A")</f>
        <v>#N/A</v>
      </c>
      <c r="Q3262" s="1"/>
      <c r="R3262" s="1"/>
      <c r="S3262" s="1"/>
      <c r="T3262" s="1"/>
      <c r="U3262" s="2">
        <f>IFERROR(__xludf.DUMMYFUNCTION("""COMPUTED_VALUE"""),0.0)</f>
        <v>0</v>
      </c>
      <c r="V3262" s="1" t="str">
        <f>IFERROR(__xludf.DUMMYFUNCTION("""COMPUTED_VALUE"""),"#N/A")</f>
        <v>#N/A</v>
      </c>
      <c r="W3262" s="1" t="str">
        <f>IFERROR(__xludf.DUMMYFUNCTION("""COMPUTED_VALUE"""),"#N/A")</f>
        <v>#N/A</v>
      </c>
    </row>
    <row r="3263">
      <c r="O3263" s="1" t="str">
        <f>IFERROR(__xludf.DUMMYFUNCTION("""COMPUTED_VALUE"""),"#VALUE!")</f>
        <v>#VALUE!</v>
      </c>
      <c r="P3263" s="1" t="str">
        <f>IFERROR(__xludf.DUMMYFUNCTION("""COMPUTED_VALUE"""),"#N/A")</f>
        <v>#N/A</v>
      </c>
      <c r="Q3263" s="1"/>
      <c r="R3263" s="1"/>
      <c r="S3263" s="1"/>
      <c r="T3263" s="1"/>
      <c r="U3263" s="2">
        <f>IFERROR(__xludf.DUMMYFUNCTION("""COMPUTED_VALUE"""),0.0)</f>
        <v>0</v>
      </c>
      <c r="V3263" s="1" t="str">
        <f>IFERROR(__xludf.DUMMYFUNCTION("""COMPUTED_VALUE"""),"#N/A")</f>
        <v>#N/A</v>
      </c>
      <c r="W3263" s="1" t="str">
        <f>IFERROR(__xludf.DUMMYFUNCTION("""COMPUTED_VALUE"""),"#N/A")</f>
        <v>#N/A</v>
      </c>
    </row>
    <row r="3264">
      <c r="O3264" s="1" t="str">
        <f>IFERROR(__xludf.DUMMYFUNCTION("""COMPUTED_VALUE"""),"#VALUE!")</f>
        <v>#VALUE!</v>
      </c>
      <c r="P3264" s="1" t="str">
        <f>IFERROR(__xludf.DUMMYFUNCTION("""COMPUTED_VALUE"""),"#N/A")</f>
        <v>#N/A</v>
      </c>
      <c r="Q3264" s="1"/>
      <c r="R3264" s="1"/>
      <c r="S3264" s="1"/>
      <c r="T3264" s="1"/>
      <c r="U3264" s="2">
        <f>IFERROR(__xludf.DUMMYFUNCTION("""COMPUTED_VALUE"""),0.0)</f>
        <v>0</v>
      </c>
      <c r="V3264" s="1" t="str">
        <f>IFERROR(__xludf.DUMMYFUNCTION("""COMPUTED_VALUE"""),"#N/A")</f>
        <v>#N/A</v>
      </c>
      <c r="W3264" s="1" t="str">
        <f>IFERROR(__xludf.DUMMYFUNCTION("""COMPUTED_VALUE"""),"#N/A")</f>
        <v>#N/A</v>
      </c>
    </row>
    <row r="3265">
      <c r="O3265" s="1" t="str">
        <f>IFERROR(__xludf.DUMMYFUNCTION("""COMPUTED_VALUE"""),"#VALUE!")</f>
        <v>#VALUE!</v>
      </c>
      <c r="P3265" s="1" t="str">
        <f>IFERROR(__xludf.DUMMYFUNCTION("""COMPUTED_VALUE"""),"#N/A")</f>
        <v>#N/A</v>
      </c>
      <c r="Q3265" s="1"/>
      <c r="R3265" s="1"/>
      <c r="S3265" s="1"/>
      <c r="T3265" s="1"/>
      <c r="U3265" s="2">
        <f>IFERROR(__xludf.DUMMYFUNCTION("""COMPUTED_VALUE"""),0.0)</f>
        <v>0</v>
      </c>
      <c r="V3265" s="1" t="str">
        <f>IFERROR(__xludf.DUMMYFUNCTION("""COMPUTED_VALUE"""),"#N/A")</f>
        <v>#N/A</v>
      </c>
      <c r="W3265" s="1" t="str">
        <f>IFERROR(__xludf.DUMMYFUNCTION("""COMPUTED_VALUE"""),"#N/A")</f>
        <v>#N/A</v>
      </c>
    </row>
    <row r="3266">
      <c r="O3266" s="1" t="str">
        <f>IFERROR(__xludf.DUMMYFUNCTION("""COMPUTED_VALUE"""),"#VALUE!")</f>
        <v>#VALUE!</v>
      </c>
      <c r="P3266" s="1" t="str">
        <f>IFERROR(__xludf.DUMMYFUNCTION("""COMPUTED_VALUE"""),"#N/A")</f>
        <v>#N/A</v>
      </c>
      <c r="Q3266" s="1"/>
      <c r="R3266" s="1"/>
      <c r="S3266" s="1"/>
      <c r="T3266" s="1"/>
      <c r="U3266" s="2">
        <f>IFERROR(__xludf.DUMMYFUNCTION("""COMPUTED_VALUE"""),0.0)</f>
        <v>0</v>
      </c>
      <c r="V3266" s="1" t="str">
        <f>IFERROR(__xludf.DUMMYFUNCTION("""COMPUTED_VALUE"""),"#N/A")</f>
        <v>#N/A</v>
      </c>
      <c r="W3266" s="1" t="str">
        <f>IFERROR(__xludf.DUMMYFUNCTION("""COMPUTED_VALUE"""),"#N/A")</f>
        <v>#N/A</v>
      </c>
    </row>
    <row r="3267">
      <c r="O3267" s="1" t="str">
        <f>IFERROR(__xludf.DUMMYFUNCTION("""COMPUTED_VALUE"""),"#VALUE!")</f>
        <v>#VALUE!</v>
      </c>
      <c r="P3267" s="1" t="str">
        <f>IFERROR(__xludf.DUMMYFUNCTION("""COMPUTED_VALUE"""),"#N/A")</f>
        <v>#N/A</v>
      </c>
      <c r="Q3267" s="1"/>
      <c r="R3267" s="1"/>
      <c r="S3267" s="1"/>
      <c r="T3267" s="1"/>
      <c r="U3267" s="2">
        <f>IFERROR(__xludf.DUMMYFUNCTION("""COMPUTED_VALUE"""),0.0)</f>
        <v>0</v>
      </c>
      <c r="V3267" s="1" t="str">
        <f>IFERROR(__xludf.DUMMYFUNCTION("""COMPUTED_VALUE"""),"#N/A")</f>
        <v>#N/A</v>
      </c>
      <c r="W3267" s="1" t="str">
        <f>IFERROR(__xludf.DUMMYFUNCTION("""COMPUTED_VALUE"""),"#N/A")</f>
        <v>#N/A</v>
      </c>
    </row>
    <row r="3268">
      <c r="O3268" s="1" t="str">
        <f>IFERROR(__xludf.DUMMYFUNCTION("""COMPUTED_VALUE"""),"#VALUE!")</f>
        <v>#VALUE!</v>
      </c>
      <c r="P3268" s="1" t="str">
        <f>IFERROR(__xludf.DUMMYFUNCTION("""COMPUTED_VALUE"""),"#N/A")</f>
        <v>#N/A</v>
      </c>
      <c r="Q3268" s="1"/>
      <c r="R3268" s="1"/>
      <c r="S3268" s="1"/>
      <c r="T3268" s="1"/>
      <c r="U3268" s="2">
        <f>IFERROR(__xludf.DUMMYFUNCTION("""COMPUTED_VALUE"""),0.0)</f>
        <v>0</v>
      </c>
      <c r="V3268" s="1" t="str">
        <f>IFERROR(__xludf.DUMMYFUNCTION("""COMPUTED_VALUE"""),"#N/A")</f>
        <v>#N/A</v>
      </c>
      <c r="W3268" s="1" t="str">
        <f>IFERROR(__xludf.DUMMYFUNCTION("""COMPUTED_VALUE"""),"#N/A")</f>
        <v>#N/A</v>
      </c>
    </row>
    <row r="3269">
      <c r="O3269" s="1" t="str">
        <f>IFERROR(__xludf.DUMMYFUNCTION("""COMPUTED_VALUE"""),"#VALUE!")</f>
        <v>#VALUE!</v>
      </c>
      <c r="P3269" s="1" t="str">
        <f>IFERROR(__xludf.DUMMYFUNCTION("""COMPUTED_VALUE"""),"#N/A")</f>
        <v>#N/A</v>
      </c>
      <c r="Q3269" s="1"/>
      <c r="R3269" s="1"/>
      <c r="S3269" s="1"/>
      <c r="T3269" s="1"/>
      <c r="U3269" s="2">
        <f>IFERROR(__xludf.DUMMYFUNCTION("""COMPUTED_VALUE"""),0.0)</f>
        <v>0</v>
      </c>
      <c r="V3269" s="1" t="str">
        <f>IFERROR(__xludf.DUMMYFUNCTION("""COMPUTED_VALUE"""),"#N/A")</f>
        <v>#N/A</v>
      </c>
      <c r="W3269" s="1" t="str">
        <f>IFERROR(__xludf.DUMMYFUNCTION("""COMPUTED_VALUE"""),"#N/A")</f>
        <v>#N/A</v>
      </c>
    </row>
    <row r="3270">
      <c r="O3270" s="1" t="str">
        <f>IFERROR(__xludf.DUMMYFUNCTION("""COMPUTED_VALUE"""),"#VALUE!")</f>
        <v>#VALUE!</v>
      </c>
      <c r="P3270" s="1" t="str">
        <f>IFERROR(__xludf.DUMMYFUNCTION("""COMPUTED_VALUE"""),"#N/A")</f>
        <v>#N/A</v>
      </c>
      <c r="Q3270" s="1"/>
      <c r="R3270" s="1"/>
      <c r="S3270" s="1"/>
      <c r="T3270" s="1"/>
      <c r="U3270" s="2">
        <f>IFERROR(__xludf.DUMMYFUNCTION("""COMPUTED_VALUE"""),0.0)</f>
        <v>0</v>
      </c>
      <c r="V3270" s="1" t="str">
        <f>IFERROR(__xludf.DUMMYFUNCTION("""COMPUTED_VALUE"""),"#N/A")</f>
        <v>#N/A</v>
      </c>
      <c r="W3270" s="1" t="str">
        <f>IFERROR(__xludf.DUMMYFUNCTION("""COMPUTED_VALUE"""),"#N/A")</f>
        <v>#N/A</v>
      </c>
    </row>
    <row r="3271">
      <c r="O3271" s="1" t="str">
        <f>IFERROR(__xludf.DUMMYFUNCTION("""COMPUTED_VALUE"""),"#VALUE!")</f>
        <v>#VALUE!</v>
      </c>
      <c r="P3271" s="1" t="str">
        <f>IFERROR(__xludf.DUMMYFUNCTION("""COMPUTED_VALUE"""),"#N/A")</f>
        <v>#N/A</v>
      </c>
      <c r="Q3271" s="1"/>
      <c r="R3271" s="1"/>
      <c r="S3271" s="1"/>
      <c r="T3271" s="1"/>
      <c r="U3271" s="2">
        <f>IFERROR(__xludf.DUMMYFUNCTION("""COMPUTED_VALUE"""),0.0)</f>
        <v>0</v>
      </c>
      <c r="V3271" s="1" t="str">
        <f>IFERROR(__xludf.DUMMYFUNCTION("""COMPUTED_VALUE"""),"#N/A")</f>
        <v>#N/A</v>
      </c>
      <c r="W3271" s="1" t="str">
        <f>IFERROR(__xludf.DUMMYFUNCTION("""COMPUTED_VALUE"""),"#N/A")</f>
        <v>#N/A</v>
      </c>
    </row>
    <row r="3272">
      <c r="O3272" s="1" t="str">
        <f>IFERROR(__xludf.DUMMYFUNCTION("""COMPUTED_VALUE"""),"#VALUE!")</f>
        <v>#VALUE!</v>
      </c>
      <c r="P3272" s="1" t="str">
        <f>IFERROR(__xludf.DUMMYFUNCTION("""COMPUTED_VALUE"""),"#N/A")</f>
        <v>#N/A</v>
      </c>
      <c r="Q3272" s="1"/>
      <c r="R3272" s="1"/>
      <c r="S3272" s="1"/>
      <c r="T3272" s="1"/>
      <c r="U3272" s="2">
        <f>IFERROR(__xludf.DUMMYFUNCTION("""COMPUTED_VALUE"""),0.0)</f>
        <v>0</v>
      </c>
      <c r="V3272" s="1" t="str">
        <f>IFERROR(__xludf.DUMMYFUNCTION("""COMPUTED_VALUE"""),"#N/A")</f>
        <v>#N/A</v>
      </c>
      <c r="W3272" s="1" t="str">
        <f>IFERROR(__xludf.DUMMYFUNCTION("""COMPUTED_VALUE"""),"#N/A")</f>
        <v>#N/A</v>
      </c>
    </row>
    <row r="3273">
      <c r="O3273" s="1" t="str">
        <f>IFERROR(__xludf.DUMMYFUNCTION("""COMPUTED_VALUE"""),"#VALUE!")</f>
        <v>#VALUE!</v>
      </c>
      <c r="P3273" s="1" t="str">
        <f>IFERROR(__xludf.DUMMYFUNCTION("""COMPUTED_VALUE"""),"#N/A")</f>
        <v>#N/A</v>
      </c>
      <c r="Q3273" s="1"/>
      <c r="R3273" s="1"/>
      <c r="S3273" s="1"/>
      <c r="T3273" s="1"/>
      <c r="U3273" s="2">
        <f>IFERROR(__xludf.DUMMYFUNCTION("""COMPUTED_VALUE"""),0.0)</f>
        <v>0</v>
      </c>
      <c r="V3273" s="1" t="str">
        <f>IFERROR(__xludf.DUMMYFUNCTION("""COMPUTED_VALUE"""),"#N/A")</f>
        <v>#N/A</v>
      </c>
      <c r="W3273" s="1" t="str">
        <f>IFERROR(__xludf.DUMMYFUNCTION("""COMPUTED_VALUE"""),"#N/A")</f>
        <v>#N/A</v>
      </c>
    </row>
    <row r="3274">
      <c r="O3274" s="1" t="str">
        <f>IFERROR(__xludf.DUMMYFUNCTION("""COMPUTED_VALUE"""),"#VALUE!")</f>
        <v>#VALUE!</v>
      </c>
      <c r="P3274" s="1" t="str">
        <f>IFERROR(__xludf.DUMMYFUNCTION("""COMPUTED_VALUE"""),"#N/A")</f>
        <v>#N/A</v>
      </c>
      <c r="Q3274" s="1"/>
      <c r="R3274" s="1"/>
      <c r="S3274" s="1"/>
      <c r="T3274" s="1"/>
      <c r="U3274" s="2">
        <f>IFERROR(__xludf.DUMMYFUNCTION("""COMPUTED_VALUE"""),0.0)</f>
        <v>0</v>
      </c>
      <c r="V3274" s="1" t="str">
        <f>IFERROR(__xludf.DUMMYFUNCTION("""COMPUTED_VALUE"""),"#N/A")</f>
        <v>#N/A</v>
      </c>
      <c r="W3274" s="1" t="str">
        <f>IFERROR(__xludf.DUMMYFUNCTION("""COMPUTED_VALUE"""),"#N/A")</f>
        <v>#N/A</v>
      </c>
    </row>
    <row r="3275">
      <c r="O3275" s="1" t="str">
        <f>IFERROR(__xludf.DUMMYFUNCTION("""COMPUTED_VALUE"""),"#VALUE!")</f>
        <v>#VALUE!</v>
      </c>
      <c r="P3275" s="1" t="str">
        <f>IFERROR(__xludf.DUMMYFUNCTION("""COMPUTED_VALUE"""),"#N/A")</f>
        <v>#N/A</v>
      </c>
      <c r="Q3275" s="1"/>
      <c r="R3275" s="1"/>
      <c r="S3275" s="1"/>
      <c r="T3275" s="1"/>
      <c r="U3275" s="2">
        <f>IFERROR(__xludf.DUMMYFUNCTION("""COMPUTED_VALUE"""),0.0)</f>
        <v>0</v>
      </c>
      <c r="V3275" s="1" t="str">
        <f>IFERROR(__xludf.DUMMYFUNCTION("""COMPUTED_VALUE"""),"#N/A")</f>
        <v>#N/A</v>
      </c>
      <c r="W3275" s="1" t="str">
        <f>IFERROR(__xludf.DUMMYFUNCTION("""COMPUTED_VALUE"""),"#N/A")</f>
        <v>#N/A</v>
      </c>
    </row>
    <row r="3276">
      <c r="O3276" s="1" t="str">
        <f>IFERROR(__xludf.DUMMYFUNCTION("""COMPUTED_VALUE"""),"#VALUE!")</f>
        <v>#VALUE!</v>
      </c>
      <c r="P3276" s="1" t="str">
        <f>IFERROR(__xludf.DUMMYFUNCTION("""COMPUTED_VALUE"""),"#N/A")</f>
        <v>#N/A</v>
      </c>
      <c r="Q3276" s="1"/>
      <c r="R3276" s="1"/>
      <c r="S3276" s="1"/>
      <c r="T3276" s="1"/>
      <c r="U3276" s="2">
        <f>IFERROR(__xludf.DUMMYFUNCTION("""COMPUTED_VALUE"""),0.0)</f>
        <v>0</v>
      </c>
      <c r="V3276" s="1" t="str">
        <f>IFERROR(__xludf.DUMMYFUNCTION("""COMPUTED_VALUE"""),"#N/A")</f>
        <v>#N/A</v>
      </c>
      <c r="W3276" s="1" t="str">
        <f>IFERROR(__xludf.DUMMYFUNCTION("""COMPUTED_VALUE"""),"#N/A")</f>
        <v>#N/A</v>
      </c>
    </row>
    <row r="3277">
      <c r="O3277" s="1" t="str">
        <f>IFERROR(__xludf.DUMMYFUNCTION("""COMPUTED_VALUE"""),"#VALUE!")</f>
        <v>#VALUE!</v>
      </c>
      <c r="P3277" s="1" t="str">
        <f>IFERROR(__xludf.DUMMYFUNCTION("""COMPUTED_VALUE"""),"#N/A")</f>
        <v>#N/A</v>
      </c>
      <c r="Q3277" s="1"/>
      <c r="R3277" s="1"/>
      <c r="S3277" s="1"/>
      <c r="T3277" s="1"/>
      <c r="U3277" s="2">
        <f>IFERROR(__xludf.DUMMYFUNCTION("""COMPUTED_VALUE"""),0.0)</f>
        <v>0</v>
      </c>
      <c r="V3277" s="1" t="str">
        <f>IFERROR(__xludf.DUMMYFUNCTION("""COMPUTED_VALUE"""),"#N/A")</f>
        <v>#N/A</v>
      </c>
      <c r="W3277" s="1" t="str">
        <f>IFERROR(__xludf.DUMMYFUNCTION("""COMPUTED_VALUE"""),"#N/A")</f>
        <v>#N/A</v>
      </c>
    </row>
    <row r="3278">
      <c r="O3278" s="1" t="str">
        <f>IFERROR(__xludf.DUMMYFUNCTION("""COMPUTED_VALUE"""),"#VALUE!")</f>
        <v>#VALUE!</v>
      </c>
      <c r="P3278" s="1" t="str">
        <f>IFERROR(__xludf.DUMMYFUNCTION("""COMPUTED_VALUE"""),"#N/A")</f>
        <v>#N/A</v>
      </c>
      <c r="Q3278" s="1"/>
      <c r="R3278" s="1"/>
      <c r="S3278" s="1"/>
      <c r="T3278" s="1"/>
      <c r="U3278" s="2">
        <f>IFERROR(__xludf.DUMMYFUNCTION("""COMPUTED_VALUE"""),0.0)</f>
        <v>0</v>
      </c>
      <c r="V3278" s="1" t="str">
        <f>IFERROR(__xludf.DUMMYFUNCTION("""COMPUTED_VALUE"""),"#N/A")</f>
        <v>#N/A</v>
      </c>
      <c r="W3278" s="1" t="str">
        <f>IFERROR(__xludf.DUMMYFUNCTION("""COMPUTED_VALUE"""),"#N/A")</f>
        <v>#N/A</v>
      </c>
    </row>
    <row r="3279">
      <c r="O3279" s="1" t="str">
        <f>IFERROR(__xludf.DUMMYFUNCTION("""COMPUTED_VALUE"""),"#VALUE!")</f>
        <v>#VALUE!</v>
      </c>
      <c r="P3279" s="1" t="str">
        <f>IFERROR(__xludf.DUMMYFUNCTION("""COMPUTED_VALUE"""),"#N/A")</f>
        <v>#N/A</v>
      </c>
      <c r="Q3279" s="1"/>
      <c r="R3279" s="1"/>
      <c r="S3279" s="1"/>
      <c r="T3279" s="1"/>
      <c r="U3279" s="2">
        <f>IFERROR(__xludf.DUMMYFUNCTION("""COMPUTED_VALUE"""),0.0)</f>
        <v>0</v>
      </c>
      <c r="V3279" s="1" t="str">
        <f>IFERROR(__xludf.DUMMYFUNCTION("""COMPUTED_VALUE"""),"#N/A")</f>
        <v>#N/A</v>
      </c>
      <c r="W3279" s="1" t="str">
        <f>IFERROR(__xludf.DUMMYFUNCTION("""COMPUTED_VALUE"""),"#N/A")</f>
        <v>#N/A</v>
      </c>
    </row>
    <row r="3280">
      <c r="O3280" s="1" t="str">
        <f>IFERROR(__xludf.DUMMYFUNCTION("""COMPUTED_VALUE"""),"#VALUE!")</f>
        <v>#VALUE!</v>
      </c>
      <c r="P3280" s="1" t="str">
        <f>IFERROR(__xludf.DUMMYFUNCTION("""COMPUTED_VALUE"""),"#N/A")</f>
        <v>#N/A</v>
      </c>
      <c r="Q3280" s="1"/>
      <c r="R3280" s="1"/>
      <c r="S3280" s="1"/>
      <c r="T3280" s="1"/>
      <c r="U3280" s="2">
        <f>IFERROR(__xludf.DUMMYFUNCTION("""COMPUTED_VALUE"""),0.0)</f>
        <v>0</v>
      </c>
      <c r="V3280" s="1" t="str">
        <f>IFERROR(__xludf.DUMMYFUNCTION("""COMPUTED_VALUE"""),"#N/A")</f>
        <v>#N/A</v>
      </c>
      <c r="W3280" s="1" t="str">
        <f>IFERROR(__xludf.DUMMYFUNCTION("""COMPUTED_VALUE"""),"#N/A")</f>
        <v>#N/A</v>
      </c>
    </row>
    <row r="3281">
      <c r="O3281" s="1" t="str">
        <f>IFERROR(__xludf.DUMMYFUNCTION("""COMPUTED_VALUE"""),"#VALUE!")</f>
        <v>#VALUE!</v>
      </c>
      <c r="P3281" s="1" t="str">
        <f>IFERROR(__xludf.DUMMYFUNCTION("""COMPUTED_VALUE"""),"#N/A")</f>
        <v>#N/A</v>
      </c>
      <c r="Q3281" s="1"/>
      <c r="R3281" s="1"/>
      <c r="S3281" s="1"/>
      <c r="T3281" s="1"/>
      <c r="U3281" s="2">
        <f>IFERROR(__xludf.DUMMYFUNCTION("""COMPUTED_VALUE"""),0.0)</f>
        <v>0</v>
      </c>
      <c r="V3281" s="1" t="str">
        <f>IFERROR(__xludf.DUMMYFUNCTION("""COMPUTED_VALUE"""),"#N/A")</f>
        <v>#N/A</v>
      </c>
      <c r="W3281" s="1" t="str">
        <f>IFERROR(__xludf.DUMMYFUNCTION("""COMPUTED_VALUE"""),"#N/A")</f>
        <v>#N/A</v>
      </c>
    </row>
    <row r="3282">
      <c r="O3282" s="1" t="str">
        <f>IFERROR(__xludf.DUMMYFUNCTION("""COMPUTED_VALUE"""),"#VALUE!")</f>
        <v>#VALUE!</v>
      </c>
      <c r="P3282" s="1" t="str">
        <f>IFERROR(__xludf.DUMMYFUNCTION("""COMPUTED_VALUE"""),"#N/A")</f>
        <v>#N/A</v>
      </c>
      <c r="Q3282" s="1"/>
      <c r="R3282" s="1"/>
      <c r="S3282" s="1"/>
      <c r="T3282" s="1"/>
      <c r="U3282" s="2">
        <f>IFERROR(__xludf.DUMMYFUNCTION("""COMPUTED_VALUE"""),0.0)</f>
        <v>0</v>
      </c>
      <c r="V3282" s="1" t="str">
        <f>IFERROR(__xludf.DUMMYFUNCTION("""COMPUTED_VALUE"""),"#N/A")</f>
        <v>#N/A</v>
      </c>
      <c r="W3282" s="1" t="str">
        <f>IFERROR(__xludf.DUMMYFUNCTION("""COMPUTED_VALUE"""),"#N/A")</f>
        <v>#N/A</v>
      </c>
    </row>
    <row r="3283">
      <c r="O3283" s="1" t="str">
        <f>IFERROR(__xludf.DUMMYFUNCTION("""COMPUTED_VALUE"""),"#VALUE!")</f>
        <v>#VALUE!</v>
      </c>
      <c r="P3283" s="1" t="str">
        <f>IFERROR(__xludf.DUMMYFUNCTION("""COMPUTED_VALUE"""),"#N/A")</f>
        <v>#N/A</v>
      </c>
      <c r="Q3283" s="1"/>
      <c r="R3283" s="1"/>
      <c r="S3283" s="1"/>
      <c r="T3283" s="1"/>
      <c r="U3283" s="2">
        <f>IFERROR(__xludf.DUMMYFUNCTION("""COMPUTED_VALUE"""),0.0)</f>
        <v>0</v>
      </c>
      <c r="V3283" s="1" t="str">
        <f>IFERROR(__xludf.DUMMYFUNCTION("""COMPUTED_VALUE"""),"#N/A")</f>
        <v>#N/A</v>
      </c>
      <c r="W3283" s="1" t="str">
        <f>IFERROR(__xludf.DUMMYFUNCTION("""COMPUTED_VALUE"""),"#N/A")</f>
        <v>#N/A</v>
      </c>
    </row>
    <row r="3284">
      <c r="O3284" s="1" t="str">
        <f>IFERROR(__xludf.DUMMYFUNCTION("""COMPUTED_VALUE"""),"#VALUE!")</f>
        <v>#VALUE!</v>
      </c>
      <c r="P3284" s="1" t="str">
        <f>IFERROR(__xludf.DUMMYFUNCTION("""COMPUTED_VALUE"""),"#N/A")</f>
        <v>#N/A</v>
      </c>
      <c r="Q3284" s="1"/>
      <c r="R3284" s="1"/>
      <c r="S3284" s="1"/>
      <c r="T3284" s="1"/>
      <c r="U3284" s="2">
        <f>IFERROR(__xludf.DUMMYFUNCTION("""COMPUTED_VALUE"""),0.0)</f>
        <v>0</v>
      </c>
      <c r="V3284" s="1" t="str">
        <f>IFERROR(__xludf.DUMMYFUNCTION("""COMPUTED_VALUE"""),"#N/A")</f>
        <v>#N/A</v>
      </c>
      <c r="W3284" s="1" t="str">
        <f>IFERROR(__xludf.DUMMYFUNCTION("""COMPUTED_VALUE"""),"#N/A")</f>
        <v>#N/A</v>
      </c>
    </row>
    <row r="3285">
      <c r="O3285" s="1" t="str">
        <f>IFERROR(__xludf.DUMMYFUNCTION("""COMPUTED_VALUE"""),"#VALUE!")</f>
        <v>#VALUE!</v>
      </c>
      <c r="P3285" s="1" t="str">
        <f>IFERROR(__xludf.DUMMYFUNCTION("""COMPUTED_VALUE"""),"#N/A")</f>
        <v>#N/A</v>
      </c>
      <c r="Q3285" s="1"/>
      <c r="R3285" s="1"/>
      <c r="S3285" s="1"/>
      <c r="T3285" s="1"/>
      <c r="U3285" s="2">
        <f>IFERROR(__xludf.DUMMYFUNCTION("""COMPUTED_VALUE"""),0.0)</f>
        <v>0</v>
      </c>
      <c r="V3285" s="1" t="str">
        <f>IFERROR(__xludf.DUMMYFUNCTION("""COMPUTED_VALUE"""),"#N/A")</f>
        <v>#N/A</v>
      </c>
      <c r="W3285" s="1" t="str">
        <f>IFERROR(__xludf.DUMMYFUNCTION("""COMPUTED_VALUE"""),"#N/A")</f>
        <v>#N/A</v>
      </c>
    </row>
    <row r="3286">
      <c r="O3286" s="1" t="str">
        <f>IFERROR(__xludf.DUMMYFUNCTION("""COMPUTED_VALUE"""),"#VALUE!")</f>
        <v>#VALUE!</v>
      </c>
      <c r="P3286" s="1" t="str">
        <f>IFERROR(__xludf.DUMMYFUNCTION("""COMPUTED_VALUE"""),"#N/A")</f>
        <v>#N/A</v>
      </c>
      <c r="Q3286" s="1"/>
      <c r="R3286" s="1"/>
      <c r="S3286" s="1"/>
      <c r="T3286" s="1"/>
      <c r="U3286" s="2">
        <f>IFERROR(__xludf.DUMMYFUNCTION("""COMPUTED_VALUE"""),0.0)</f>
        <v>0</v>
      </c>
      <c r="V3286" s="1" t="str">
        <f>IFERROR(__xludf.DUMMYFUNCTION("""COMPUTED_VALUE"""),"#N/A")</f>
        <v>#N/A</v>
      </c>
      <c r="W3286" s="1" t="str">
        <f>IFERROR(__xludf.DUMMYFUNCTION("""COMPUTED_VALUE"""),"#N/A")</f>
        <v>#N/A</v>
      </c>
    </row>
    <row r="3287">
      <c r="O3287" s="1" t="str">
        <f>IFERROR(__xludf.DUMMYFUNCTION("""COMPUTED_VALUE"""),"#VALUE!")</f>
        <v>#VALUE!</v>
      </c>
      <c r="P3287" s="1" t="str">
        <f>IFERROR(__xludf.DUMMYFUNCTION("""COMPUTED_VALUE"""),"#N/A")</f>
        <v>#N/A</v>
      </c>
      <c r="Q3287" s="1"/>
      <c r="R3287" s="1"/>
      <c r="S3287" s="1"/>
      <c r="T3287" s="1"/>
      <c r="U3287" s="2">
        <f>IFERROR(__xludf.DUMMYFUNCTION("""COMPUTED_VALUE"""),0.0)</f>
        <v>0</v>
      </c>
      <c r="V3287" s="1" t="str">
        <f>IFERROR(__xludf.DUMMYFUNCTION("""COMPUTED_VALUE"""),"#N/A")</f>
        <v>#N/A</v>
      </c>
      <c r="W3287" s="1" t="str">
        <f>IFERROR(__xludf.DUMMYFUNCTION("""COMPUTED_VALUE"""),"#N/A")</f>
        <v>#N/A</v>
      </c>
    </row>
    <row r="3288">
      <c r="O3288" s="1" t="str">
        <f>IFERROR(__xludf.DUMMYFUNCTION("""COMPUTED_VALUE"""),"#VALUE!")</f>
        <v>#VALUE!</v>
      </c>
      <c r="P3288" s="1" t="str">
        <f>IFERROR(__xludf.DUMMYFUNCTION("""COMPUTED_VALUE"""),"#N/A")</f>
        <v>#N/A</v>
      </c>
      <c r="Q3288" s="1"/>
      <c r="R3288" s="1"/>
      <c r="S3288" s="1"/>
      <c r="T3288" s="1"/>
      <c r="U3288" s="2">
        <f>IFERROR(__xludf.DUMMYFUNCTION("""COMPUTED_VALUE"""),0.0)</f>
        <v>0</v>
      </c>
      <c r="V3288" s="1" t="str">
        <f>IFERROR(__xludf.DUMMYFUNCTION("""COMPUTED_VALUE"""),"#N/A")</f>
        <v>#N/A</v>
      </c>
      <c r="W3288" s="1" t="str">
        <f>IFERROR(__xludf.DUMMYFUNCTION("""COMPUTED_VALUE"""),"#N/A")</f>
        <v>#N/A</v>
      </c>
    </row>
    <row r="3289">
      <c r="O3289" s="1" t="str">
        <f>IFERROR(__xludf.DUMMYFUNCTION("""COMPUTED_VALUE"""),"#VALUE!")</f>
        <v>#VALUE!</v>
      </c>
      <c r="P3289" s="1" t="str">
        <f>IFERROR(__xludf.DUMMYFUNCTION("""COMPUTED_VALUE"""),"#N/A")</f>
        <v>#N/A</v>
      </c>
      <c r="Q3289" s="1"/>
      <c r="R3289" s="1"/>
      <c r="S3289" s="1"/>
      <c r="T3289" s="1"/>
      <c r="U3289" s="2">
        <f>IFERROR(__xludf.DUMMYFUNCTION("""COMPUTED_VALUE"""),0.0)</f>
        <v>0</v>
      </c>
      <c r="V3289" s="1" t="str">
        <f>IFERROR(__xludf.DUMMYFUNCTION("""COMPUTED_VALUE"""),"#N/A")</f>
        <v>#N/A</v>
      </c>
      <c r="W3289" s="1" t="str">
        <f>IFERROR(__xludf.DUMMYFUNCTION("""COMPUTED_VALUE"""),"#N/A")</f>
        <v>#N/A</v>
      </c>
    </row>
    <row r="3290">
      <c r="O3290" s="1" t="str">
        <f>IFERROR(__xludf.DUMMYFUNCTION("""COMPUTED_VALUE"""),"#VALUE!")</f>
        <v>#VALUE!</v>
      </c>
      <c r="P3290" s="1" t="str">
        <f>IFERROR(__xludf.DUMMYFUNCTION("""COMPUTED_VALUE"""),"#N/A")</f>
        <v>#N/A</v>
      </c>
      <c r="Q3290" s="1"/>
      <c r="R3290" s="1"/>
      <c r="S3290" s="1"/>
      <c r="T3290" s="1"/>
      <c r="U3290" s="2">
        <f>IFERROR(__xludf.DUMMYFUNCTION("""COMPUTED_VALUE"""),0.0)</f>
        <v>0</v>
      </c>
      <c r="V3290" s="1" t="str">
        <f>IFERROR(__xludf.DUMMYFUNCTION("""COMPUTED_VALUE"""),"#N/A")</f>
        <v>#N/A</v>
      </c>
      <c r="W3290" s="1" t="str">
        <f>IFERROR(__xludf.DUMMYFUNCTION("""COMPUTED_VALUE"""),"#N/A")</f>
        <v>#N/A</v>
      </c>
    </row>
    <row r="3291">
      <c r="O3291" s="1" t="str">
        <f>IFERROR(__xludf.DUMMYFUNCTION("""COMPUTED_VALUE"""),"#VALUE!")</f>
        <v>#VALUE!</v>
      </c>
      <c r="P3291" s="1" t="str">
        <f>IFERROR(__xludf.DUMMYFUNCTION("""COMPUTED_VALUE"""),"#N/A")</f>
        <v>#N/A</v>
      </c>
      <c r="Q3291" s="1"/>
      <c r="R3291" s="1"/>
      <c r="S3291" s="1"/>
      <c r="T3291" s="1"/>
      <c r="U3291" s="2">
        <f>IFERROR(__xludf.DUMMYFUNCTION("""COMPUTED_VALUE"""),0.0)</f>
        <v>0</v>
      </c>
      <c r="V3291" s="1" t="str">
        <f>IFERROR(__xludf.DUMMYFUNCTION("""COMPUTED_VALUE"""),"#N/A")</f>
        <v>#N/A</v>
      </c>
      <c r="W3291" s="1" t="str">
        <f>IFERROR(__xludf.DUMMYFUNCTION("""COMPUTED_VALUE"""),"#N/A")</f>
        <v>#N/A</v>
      </c>
    </row>
    <row r="3292">
      <c r="O3292" s="1" t="str">
        <f>IFERROR(__xludf.DUMMYFUNCTION("""COMPUTED_VALUE"""),"#VALUE!")</f>
        <v>#VALUE!</v>
      </c>
      <c r="P3292" s="1" t="str">
        <f>IFERROR(__xludf.DUMMYFUNCTION("""COMPUTED_VALUE"""),"#N/A")</f>
        <v>#N/A</v>
      </c>
      <c r="Q3292" s="1"/>
      <c r="R3292" s="1"/>
      <c r="S3292" s="1"/>
      <c r="T3292" s="1"/>
      <c r="U3292" s="2">
        <f>IFERROR(__xludf.DUMMYFUNCTION("""COMPUTED_VALUE"""),0.0)</f>
        <v>0</v>
      </c>
      <c r="V3292" s="1" t="str">
        <f>IFERROR(__xludf.DUMMYFUNCTION("""COMPUTED_VALUE"""),"#N/A")</f>
        <v>#N/A</v>
      </c>
      <c r="W3292" s="1" t="str">
        <f>IFERROR(__xludf.DUMMYFUNCTION("""COMPUTED_VALUE"""),"#N/A")</f>
        <v>#N/A</v>
      </c>
    </row>
    <row r="3293">
      <c r="O3293" s="1" t="str">
        <f>IFERROR(__xludf.DUMMYFUNCTION("""COMPUTED_VALUE"""),"#VALUE!")</f>
        <v>#VALUE!</v>
      </c>
      <c r="P3293" s="1" t="str">
        <f>IFERROR(__xludf.DUMMYFUNCTION("""COMPUTED_VALUE"""),"#N/A")</f>
        <v>#N/A</v>
      </c>
      <c r="Q3293" s="1"/>
      <c r="R3293" s="1"/>
      <c r="S3293" s="1"/>
      <c r="T3293" s="1"/>
      <c r="U3293" s="2">
        <f>IFERROR(__xludf.DUMMYFUNCTION("""COMPUTED_VALUE"""),0.0)</f>
        <v>0</v>
      </c>
      <c r="V3293" s="1" t="str">
        <f>IFERROR(__xludf.DUMMYFUNCTION("""COMPUTED_VALUE"""),"#N/A")</f>
        <v>#N/A</v>
      </c>
      <c r="W3293" s="1" t="str">
        <f>IFERROR(__xludf.DUMMYFUNCTION("""COMPUTED_VALUE"""),"#N/A")</f>
        <v>#N/A</v>
      </c>
    </row>
    <row r="3294">
      <c r="O3294" s="1" t="str">
        <f>IFERROR(__xludf.DUMMYFUNCTION("""COMPUTED_VALUE"""),"#VALUE!")</f>
        <v>#VALUE!</v>
      </c>
      <c r="P3294" s="1" t="str">
        <f>IFERROR(__xludf.DUMMYFUNCTION("""COMPUTED_VALUE"""),"#N/A")</f>
        <v>#N/A</v>
      </c>
      <c r="Q3294" s="1"/>
      <c r="R3294" s="1"/>
      <c r="S3294" s="1"/>
      <c r="T3294" s="1"/>
      <c r="U3294" s="2">
        <f>IFERROR(__xludf.DUMMYFUNCTION("""COMPUTED_VALUE"""),0.0)</f>
        <v>0</v>
      </c>
      <c r="V3294" s="1" t="str">
        <f>IFERROR(__xludf.DUMMYFUNCTION("""COMPUTED_VALUE"""),"#N/A")</f>
        <v>#N/A</v>
      </c>
      <c r="W3294" s="1" t="str">
        <f>IFERROR(__xludf.DUMMYFUNCTION("""COMPUTED_VALUE"""),"#N/A")</f>
        <v>#N/A</v>
      </c>
    </row>
    <row r="3295">
      <c r="O3295" s="1" t="str">
        <f>IFERROR(__xludf.DUMMYFUNCTION("""COMPUTED_VALUE"""),"#VALUE!")</f>
        <v>#VALUE!</v>
      </c>
      <c r="P3295" s="1" t="str">
        <f>IFERROR(__xludf.DUMMYFUNCTION("""COMPUTED_VALUE"""),"#N/A")</f>
        <v>#N/A</v>
      </c>
      <c r="Q3295" s="1"/>
      <c r="R3295" s="1"/>
      <c r="S3295" s="1"/>
      <c r="T3295" s="1"/>
      <c r="U3295" s="2">
        <f>IFERROR(__xludf.DUMMYFUNCTION("""COMPUTED_VALUE"""),0.0)</f>
        <v>0</v>
      </c>
      <c r="V3295" s="1" t="str">
        <f>IFERROR(__xludf.DUMMYFUNCTION("""COMPUTED_VALUE"""),"#N/A")</f>
        <v>#N/A</v>
      </c>
      <c r="W3295" s="1" t="str">
        <f>IFERROR(__xludf.DUMMYFUNCTION("""COMPUTED_VALUE"""),"#N/A")</f>
        <v>#N/A</v>
      </c>
    </row>
    <row r="3296">
      <c r="O3296" s="1" t="str">
        <f>IFERROR(__xludf.DUMMYFUNCTION("""COMPUTED_VALUE"""),"#VALUE!")</f>
        <v>#VALUE!</v>
      </c>
      <c r="P3296" s="1" t="str">
        <f>IFERROR(__xludf.DUMMYFUNCTION("""COMPUTED_VALUE"""),"#N/A")</f>
        <v>#N/A</v>
      </c>
      <c r="Q3296" s="1"/>
      <c r="R3296" s="1"/>
      <c r="S3296" s="1"/>
      <c r="T3296" s="1"/>
      <c r="U3296" s="2">
        <f>IFERROR(__xludf.DUMMYFUNCTION("""COMPUTED_VALUE"""),0.0)</f>
        <v>0</v>
      </c>
      <c r="V3296" s="1" t="str">
        <f>IFERROR(__xludf.DUMMYFUNCTION("""COMPUTED_VALUE"""),"#N/A")</f>
        <v>#N/A</v>
      </c>
      <c r="W3296" s="1" t="str">
        <f>IFERROR(__xludf.DUMMYFUNCTION("""COMPUTED_VALUE"""),"#N/A")</f>
        <v>#N/A</v>
      </c>
    </row>
    <row r="3297">
      <c r="O3297" s="1" t="str">
        <f>IFERROR(__xludf.DUMMYFUNCTION("""COMPUTED_VALUE"""),"#VALUE!")</f>
        <v>#VALUE!</v>
      </c>
      <c r="P3297" s="1" t="str">
        <f>IFERROR(__xludf.DUMMYFUNCTION("""COMPUTED_VALUE"""),"#N/A")</f>
        <v>#N/A</v>
      </c>
      <c r="Q3297" s="1"/>
      <c r="R3297" s="1"/>
      <c r="S3297" s="1"/>
      <c r="T3297" s="1"/>
      <c r="U3297" s="2">
        <f>IFERROR(__xludf.DUMMYFUNCTION("""COMPUTED_VALUE"""),0.0)</f>
        <v>0</v>
      </c>
      <c r="V3297" s="1" t="str">
        <f>IFERROR(__xludf.DUMMYFUNCTION("""COMPUTED_VALUE"""),"#N/A")</f>
        <v>#N/A</v>
      </c>
      <c r="W3297" s="1" t="str">
        <f>IFERROR(__xludf.DUMMYFUNCTION("""COMPUTED_VALUE"""),"#N/A")</f>
        <v>#N/A</v>
      </c>
    </row>
    <row r="3298">
      <c r="O3298" s="1" t="str">
        <f>IFERROR(__xludf.DUMMYFUNCTION("""COMPUTED_VALUE"""),"#VALUE!")</f>
        <v>#VALUE!</v>
      </c>
      <c r="P3298" s="1" t="str">
        <f>IFERROR(__xludf.DUMMYFUNCTION("""COMPUTED_VALUE"""),"#N/A")</f>
        <v>#N/A</v>
      </c>
      <c r="Q3298" s="1"/>
      <c r="R3298" s="1"/>
      <c r="S3298" s="1"/>
      <c r="T3298" s="1"/>
      <c r="U3298" s="2">
        <f>IFERROR(__xludf.DUMMYFUNCTION("""COMPUTED_VALUE"""),0.0)</f>
        <v>0</v>
      </c>
      <c r="V3298" s="1" t="str">
        <f>IFERROR(__xludf.DUMMYFUNCTION("""COMPUTED_VALUE"""),"#N/A")</f>
        <v>#N/A</v>
      </c>
      <c r="W3298" s="1" t="str">
        <f>IFERROR(__xludf.DUMMYFUNCTION("""COMPUTED_VALUE"""),"#N/A")</f>
        <v>#N/A</v>
      </c>
    </row>
    <row r="3299">
      <c r="O3299" s="1" t="str">
        <f>IFERROR(__xludf.DUMMYFUNCTION("""COMPUTED_VALUE"""),"#VALUE!")</f>
        <v>#VALUE!</v>
      </c>
      <c r="P3299" s="1" t="str">
        <f>IFERROR(__xludf.DUMMYFUNCTION("""COMPUTED_VALUE"""),"#N/A")</f>
        <v>#N/A</v>
      </c>
      <c r="Q3299" s="1"/>
      <c r="R3299" s="1"/>
      <c r="S3299" s="1"/>
      <c r="T3299" s="1"/>
      <c r="U3299" s="2">
        <f>IFERROR(__xludf.DUMMYFUNCTION("""COMPUTED_VALUE"""),0.0)</f>
        <v>0</v>
      </c>
      <c r="V3299" s="1" t="str">
        <f>IFERROR(__xludf.DUMMYFUNCTION("""COMPUTED_VALUE"""),"#N/A")</f>
        <v>#N/A</v>
      </c>
      <c r="W3299" s="1" t="str">
        <f>IFERROR(__xludf.DUMMYFUNCTION("""COMPUTED_VALUE"""),"#N/A")</f>
        <v>#N/A</v>
      </c>
    </row>
    <row r="3300">
      <c r="O3300" s="1" t="str">
        <f>IFERROR(__xludf.DUMMYFUNCTION("""COMPUTED_VALUE"""),"#VALUE!")</f>
        <v>#VALUE!</v>
      </c>
      <c r="P3300" s="1" t="str">
        <f>IFERROR(__xludf.DUMMYFUNCTION("""COMPUTED_VALUE"""),"#N/A")</f>
        <v>#N/A</v>
      </c>
      <c r="Q3300" s="1"/>
      <c r="R3300" s="1"/>
      <c r="S3300" s="1"/>
      <c r="T3300" s="1"/>
      <c r="U3300" s="2">
        <f>IFERROR(__xludf.DUMMYFUNCTION("""COMPUTED_VALUE"""),0.0)</f>
        <v>0</v>
      </c>
      <c r="V3300" s="1" t="str">
        <f>IFERROR(__xludf.DUMMYFUNCTION("""COMPUTED_VALUE"""),"#N/A")</f>
        <v>#N/A</v>
      </c>
      <c r="W3300" s="1" t="str">
        <f>IFERROR(__xludf.DUMMYFUNCTION("""COMPUTED_VALUE"""),"#N/A")</f>
        <v>#N/A</v>
      </c>
    </row>
    <row r="3301">
      <c r="O3301" s="1" t="str">
        <f>IFERROR(__xludf.DUMMYFUNCTION("""COMPUTED_VALUE"""),"#VALUE!")</f>
        <v>#VALUE!</v>
      </c>
      <c r="P3301" s="1" t="str">
        <f>IFERROR(__xludf.DUMMYFUNCTION("""COMPUTED_VALUE"""),"#N/A")</f>
        <v>#N/A</v>
      </c>
      <c r="Q3301" s="1"/>
      <c r="R3301" s="1"/>
      <c r="S3301" s="1"/>
      <c r="T3301" s="1"/>
      <c r="U3301" s="2">
        <f>IFERROR(__xludf.DUMMYFUNCTION("""COMPUTED_VALUE"""),0.0)</f>
        <v>0</v>
      </c>
      <c r="V3301" s="1" t="str">
        <f>IFERROR(__xludf.DUMMYFUNCTION("""COMPUTED_VALUE"""),"#N/A")</f>
        <v>#N/A</v>
      </c>
      <c r="W3301" s="1" t="str">
        <f>IFERROR(__xludf.DUMMYFUNCTION("""COMPUTED_VALUE"""),"#N/A")</f>
        <v>#N/A</v>
      </c>
    </row>
    <row r="3302">
      <c r="O3302" s="1" t="str">
        <f>IFERROR(__xludf.DUMMYFUNCTION("""COMPUTED_VALUE"""),"#VALUE!")</f>
        <v>#VALUE!</v>
      </c>
      <c r="P3302" s="1" t="str">
        <f>IFERROR(__xludf.DUMMYFUNCTION("""COMPUTED_VALUE"""),"#N/A")</f>
        <v>#N/A</v>
      </c>
      <c r="Q3302" s="1"/>
      <c r="R3302" s="1"/>
      <c r="S3302" s="1"/>
      <c r="T3302" s="1"/>
      <c r="U3302" s="2">
        <f>IFERROR(__xludf.DUMMYFUNCTION("""COMPUTED_VALUE"""),0.0)</f>
        <v>0</v>
      </c>
      <c r="V3302" s="1" t="str">
        <f>IFERROR(__xludf.DUMMYFUNCTION("""COMPUTED_VALUE"""),"#N/A")</f>
        <v>#N/A</v>
      </c>
      <c r="W3302" s="1" t="str">
        <f>IFERROR(__xludf.DUMMYFUNCTION("""COMPUTED_VALUE"""),"#N/A")</f>
        <v>#N/A</v>
      </c>
    </row>
    <row r="3303">
      <c r="O3303" s="1" t="str">
        <f>IFERROR(__xludf.DUMMYFUNCTION("""COMPUTED_VALUE"""),"#VALUE!")</f>
        <v>#VALUE!</v>
      </c>
      <c r="P3303" s="1" t="str">
        <f>IFERROR(__xludf.DUMMYFUNCTION("""COMPUTED_VALUE"""),"#N/A")</f>
        <v>#N/A</v>
      </c>
      <c r="Q3303" s="1"/>
      <c r="R3303" s="1"/>
      <c r="S3303" s="1"/>
      <c r="T3303" s="1"/>
      <c r="U3303" s="2">
        <f>IFERROR(__xludf.DUMMYFUNCTION("""COMPUTED_VALUE"""),0.0)</f>
        <v>0</v>
      </c>
      <c r="V3303" s="1" t="str">
        <f>IFERROR(__xludf.DUMMYFUNCTION("""COMPUTED_VALUE"""),"#N/A")</f>
        <v>#N/A</v>
      </c>
      <c r="W3303" s="1" t="str">
        <f>IFERROR(__xludf.DUMMYFUNCTION("""COMPUTED_VALUE"""),"#N/A")</f>
        <v>#N/A</v>
      </c>
    </row>
    <row r="3304">
      <c r="O3304" s="1" t="str">
        <f>IFERROR(__xludf.DUMMYFUNCTION("""COMPUTED_VALUE"""),"#VALUE!")</f>
        <v>#VALUE!</v>
      </c>
      <c r="P3304" s="1" t="str">
        <f>IFERROR(__xludf.DUMMYFUNCTION("""COMPUTED_VALUE"""),"#N/A")</f>
        <v>#N/A</v>
      </c>
      <c r="Q3304" s="1"/>
      <c r="R3304" s="1"/>
      <c r="S3304" s="1"/>
      <c r="T3304" s="1"/>
      <c r="U3304" s="2">
        <f>IFERROR(__xludf.DUMMYFUNCTION("""COMPUTED_VALUE"""),0.0)</f>
        <v>0</v>
      </c>
      <c r="V3304" s="1" t="str">
        <f>IFERROR(__xludf.DUMMYFUNCTION("""COMPUTED_VALUE"""),"#N/A")</f>
        <v>#N/A</v>
      </c>
      <c r="W3304" s="1" t="str">
        <f>IFERROR(__xludf.DUMMYFUNCTION("""COMPUTED_VALUE"""),"#N/A")</f>
        <v>#N/A</v>
      </c>
    </row>
    <row r="3305">
      <c r="O3305" s="1" t="str">
        <f>IFERROR(__xludf.DUMMYFUNCTION("""COMPUTED_VALUE"""),"#VALUE!")</f>
        <v>#VALUE!</v>
      </c>
      <c r="P3305" s="1" t="str">
        <f>IFERROR(__xludf.DUMMYFUNCTION("""COMPUTED_VALUE"""),"#N/A")</f>
        <v>#N/A</v>
      </c>
      <c r="Q3305" s="1"/>
      <c r="R3305" s="1"/>
      <c r="S3305" s="1"/>
      <c r="T3305" s="1"/>
      <c r="U3305" s="2">
        <f>IFERROR(__xludf.DUMMYFUNCTION("""COMPUTED_VALUE"""),0.0)</f>
        <v>0</v>
      </c>
      <c r="V3305" s="1" t="str">
        <f>IFERROR(__xludf.DUMMYFUNCTION("""COMPUTED_VALUE"""),"#N/A")</f>
        <v>#N/A</v>
      </c>
      <c r="W3305" s="1" t="str">
        <f>IFERROR(__xludf.DUMMYFUNCTION("""COMPUTED_VALUE"""),"#N/A")</f>
        <v>#N/A</v>
      </c>
    </row>
    <row r="3306">
      <c r="O3306" s="1" t="str">
        <f>IFERROR(__xludf.DUMMYFUNCTION("""COMPUTED_VALUE"""),"#VALUE!")</f>
        <v>#VALUE!</v>
      </c>
      <c r="P3306" s="1" t="str">
        <f>IFERROR(__xludf.DUMMYFUNCTION("""COMPUTED_VALUE"""),"#N/A")</f>
        <v>#N/A</v>
      </c>
      <c r="Q3306" s="1"/>
      <c r="R3306" s="1"/>
      <c r="S3306" s="1"/>
      <c r="T3306" s="1"/>
      <c r="U3306" s="2">
        <f>IFERROR(__xludf.DUMMYFUNCTION("""COMPUTED_VALUE"""),0.0)</f>
        <v>0</v>
      </c>
      <c r="V3306" s="1" t="str">
        <f>IFERROR(__xludf.DUMMYFUNCTION("""COMPUTED_VALUE"""),"#N/A")</f>
        <v>#N/A</v>
      </c>
      <c r="W3306" s="1" t="str">
        <f>IFERROR(__xludf.DUMMYFUNCTION("""COMPUTED_VALUE"""),"#N/A")</f>
        <v>#N/A</v>
      </c>
    </row>
    <row r="3307">
      <c r="O3307" s="1" t="str">
        <f>IFERROR(__xludf.DUMMYFUNCTION("""COMPUTED_VALUE"""),"#VALUE!")</f>
        <v>#VALUE!</v>
      </c>
      <c r="P3307" s="1" t="str">
        <f>IFERROR(__xludf.DUMMYFUNCTION("""COMPUTED_VALUE"""),"#N/A")</f>
        <v>#N/A</v>
      </c>
      <c r="Q3307" s="1"/>
      <c r="R3307" s="1"/>
      <c r="S3307" s="1"/>
      <c r="T3307" s="1"/>
      <c r="U3307" s="2">
        <f>IFERROR(__xludf.DUMMYFUNCTION("""COMPUTED_VALUE"""),0.0)</f>
        <v>0</v>
      </c>
      <c r="V3307" s="1" t="str">
        <f>IFERROR(__xludf.DUMMYFUNCTION("""COMPUTED_VALUE"""),"#N/A")</f>
        <v>#N/A</v>
      </c>
      <c r="W3307" s="1" t="str">
        <f>IFERROR(__xludf.DUMMYFUNCTION("""COMPUTED_VALUE"""),"#N/A")</f>
        <v>#N/A</v>
      </c>
    </row>
    <row r="3308">
      <c r="O3308" s="1" t="str">
        <f>IFERROR(__xludf.DUMMYFUNCTION("""COMPUTED_VALUE"""),"#VALUE!")</f>
        <v>#VALUE!</v>
      </c>
      <c r="P3308" s="1" t="str">
        <f>IFERROR(__xludf.DUMMYFUNCTION("""COMPUTED_VALUE"""),"#N/A")</f>
        <v>#N/A</v>
      </c>
      <c r="Q3308" s="1"/>
      <c r="R3308" s="1"/>
      <c r="S3308" s="1"/>
      <c r="T3308" s="1"/>
      <c r="U3308" s="2">
        <f>IFERROR(__xludf.DUMMYFUNCTION("""COMPUTED_VALUE"""),0.0)</f>
        <v>0</v>
      </c>
      <c r="V3308" s="1" t="str">
        <f>IFERROR(__xludf.DUMMYFUNCTION("""COMPUTED_VALUE"""),"#N/A")</f>
        <v>#N/A</v>
      </c>
      <c r="W3308" s="1" t="str">
        <f>IFERROR(__xludf.DUMMYFUNCTION("""COMPUTED_VALUE"""),"#N/A")</f>
        <v>#N/A</v>
      </c>
    </row>
    <row r="3309">
      <c r="O3309" s="1" t="str">
        <f>IFERROR(__xludf.DUMMYFUNCTION("""COMPUTED_VALUE"""),"#VALUE!")</f>
        <v>#VALUE!</v>
      </c>
      <c r="P3309" s="1" t="str">
        <f>IFERROR(__xludf.DUMMYFUNCTION("""COMPUTED_VALUE"""),"#N/A")</f>
        <v>#N/A</v>
      </c>
      <c r="Q3309" s="1"/>
      <c r="R3309" s="1"/>
      <c r="S3309" s="1"/>
      <c r="T3309" s="1"/>
      <c r="U3309" s="2">
        <f>IFERROR(__xludf.DUMMYFUNCTION("""COMPUTED_VALUE"""),0.0)</f>
        <v>0</v>
      </c>
      <c r="V3309" s="1" t="str">
        <f>IFERROR(__xludf.DUMMYFUNCTION("""COMPUTED_VALUE"""),"#N/A")</f>
        <v>#N/A</v>
      </c>
      <c r="W3309" s="1" t="str">
        <f>IFERROR(__xludf.DUMMYFUNCTION("""COMPUTED_VALUE"""),"#N/A")</f>
        <v>#N/A</v>
      </c>
    </row>
    <row r="3310">
      <c r="O3310" s="1" t="str">
        <f>IFERROR(__xludf.DUMMYFUNCTION("""COMPUTED_VALUE"""),"#VALUE!")</f>
        <v>#VALUE!</v>
      </c>
      <c r="P3310" s="1" t="str">
        <f>IFERROR(__xludf.DUMMYFUNCTION("""COMPUTED_VALUE"""),"#N/A")</f>
        <v>#N/A</v>
      </c>
      <c r="Q3310" s="1"/>
      <c r="R3310" s="1"/>
      <c r="S3310" s="1"/>
      <c r="T3310" s="1"/>
      <c r="U3310" s="2">
        <f>IFERROR(__xludf.DUMMYFUNCTION("""COMPUTED_VALUE"""),0.0)</f>
        <v>0</v>
      </c>
      <c r="V3310" s="1" t="str">
        <f>IFERROR(__xludf.DUMMYFUNCTION("""COMPUTED_VALUE"""),"#N/A")</f>
        <v>#N/A</v>
      </c>
      <c r="W3310" s="1" t="str">
        <f>IFERROR(__xludf.DUMMYFUNCTION("""COMPUTED_VALUE"""),"#N/A")</f>
        <v>#N/A</v>
      </c>
    </row>
    <row r="3311">
      <c r="O3311" s="1" t="str">
        <f>IFERROR(__xludf.DUMMYFUNCTION("""COMPUTED_VALUE"""),"#VALUE!")</f>
        <v>#VALUE!</v>
      </c>
      <c r="P3311" s="1" t="str">
        <f>IFERROR(__xludf.DUMMYFUNCTION("""COMPUTED_VALUE"""),"#N/A")</f>
        <v>#N/A</v>
      </c>
      <c r="Q3311" s="1"/>
      <c r="R3311" s="1"/>
      <c r="S3311" s="1"/>
      <c r="T3311" s="1"/>
      <c r="U3311" s="2">
        <f>IFERROR(__xludf.DUMMYFUNCTION("""COMPUTED_VALUE"""),0.0)</f>
        <v>0</v>
      </c>
      <c r="V3311" s="1" t="str">
        <f>IFERROR(__xludf.DUMMYFUNCTION("""COMPUTED_VALUE"""),"#N/A")</f>
        <v>#N/A</v>
      </c>
      <c r="W3311" s="1" t="str">
        <f>IFERROR(__xludf.DUMMYFUNCTION("""COMPUTED_VALUE"""),"#N/A")</f>
        <v>#N/A</v>
      </c>
    </row>
    <row r="3312">
      <c r="O3312" s="1" t="str">
        <f>IFERROR(__xludf.DUMMYFUNCTION("""COMPUTED_VALUE"""),"#VALUE!")</f>
        <v>#VALUE!</v>
      </c>
      <c r="P3312" s="1" t="str">
        <f>IFERROR(__xludf.DUMMYFUNCTION("""COMPUTED_VALUE"""),"#N/A")</f>
        <v>#N/A</v>
      </c>
      <c r="Q3312" s="1"/>
      <c r="R3312" s="1"/>
      <c r="S3312" s="1"/>
      <c r="T3312" s="1"/>
      <c r="U3312" s="2">
        <f>IFERROR(__xludf.DUMMYFUNCTION("""COMPUTED_VALUE"""),0.0)</f>
        <v>0</v>
      </c>
      <c r="V3312" s="1" t="str">
        <f>IFERROR(__xludf.DUMMYFUNCTION("""COMPUTED_VALUE"""),"#N/A")</f>
        <v>#N/A</v>
      </c>
      <c r="W3312" s="1" t="str">
        <f>IFERROR(__xludf.DUMMYFUNCTION("""COMPUTED_VALUE"""),"#N/A")</f>
        <v>#N/A</v>
      </c>
    </row>
    <row r="3313">
      <c r="O3313" s="1" t="str">
        <f>IFERROR(__xludf.DUMMYFUNCTION("""COMPUTED_VALUE"""),"#VALUE!")</f>
        <v>#VALUE!</v>
      </c>
      <c r="P3313" s="1" t="str">
        <f>IFERROR(__xludf.DUMMYFUNCTION("""COMPUTED_VALUE"""),"#N/A")</f>
        <v>#N/A</v>
      </c>
      <c r="Q3313" s="1"/>
      <c r="R3313" s="1"/>
      <c r="S3313" s="1"/>
      <c r="T3313" s="1"/>
      <c r="U3313" s="2">
        <f>IFERROR(__xludf.DUMMYFUNCTION("""COMPUTED_VALUE"""),0.0)</f>
        <v>0</v>
      </c>
      <c r="V3313" s="1" t="str">
        <f>IFERROR(__xludf.DUMMYFUNCTION("""COMPUTED_VALUE"""),"#N/A")</f>
        <v>#N/A</v>
      </c>
      <c r="W3313" s="1" t="str">
        <f>IFERROR(__xludf.DUMMYFUNCTION("""COMPUTED_VALUE"""),"#N/A")</f>
        <v>#N/A</v>
      </c>
    </row>
    <row r="3314">
      <c r="O3314" s="1" t="str">
        <f>IFERROR(__xludf.DUMMYFUNCTION("""COMPUTED_VALUE"""),"#VALUE!")</f>
        <v>#VALUE!</v>
      </c>
      <c r="P3314" s="1" t="str">
        <f>IFERROR(__xludf.DUMMYFUNCTION("""COMPUTED_VALUE"""),"#N/A")</f>
        <v>#N/A</v>
      </c>
      <c r="Q3314" s="1"/>
      <c r="R3314" s="1"/>
      <c r="S3314" s="1"/>
      <c r="T3314" s="1"/>
      <c r="U3314" s="2">
        <f>IFERROR(__xludf.DUMMYFUNCTION("""COMPUTED_VALUE"""),0.0)</f>
        <v>0</v>
      </c>
      <c r="V3314" s="1" t="str">
        <f>IFERROR(__xludf.DUMMYFUNCTION("""COMPUTED_VALUE"""),"#N/A")</f>
        <v>#N/A</v>
      </c>
      <c r="W3314" s="1" t="str">
        <f>IFERROR(__xludf.DUMMYFUNCTION("""COMPUTED_VALUE"""),"#N/A")</f>
        <v>#N/A</v>
      </c>
    </row>
    <row r="3315">
      <c r="O3315" s="1" t="str">
        <f>IFERROR(__xludf.DUMMYFUNCTION("""COMPUTED_VALUE"""),"#VALUE!")</f>
        <v>#VALUE!</v>
      </c>
      <c r="P3315" s="1" t="str">
        <f>IFERROR(__xludf.DUMMYFUNCTION("""COMPUTED_VALUE"""),"#N/A")</f>
        <v>#N/A</v>
      </c>
      <c r="Q3315" s="1"/>
      <c r="R3315" s="1"/>
      <c r="S3315" s="1"/>
      <c r="T3315" s="1"/>
      <c r="U3315" s="2">
        <f>IFERROR(__xludf.DUMMYFUNCTION("""COMPUTED_VALUE"""),0.0)</f>
        <v>0</v>
      </c>
      <c r="V3315" s="1" t="str">
        <f>IFERROR(__xludf.DUMMYFUNCTION("""COMPUTED_VALUE"""),"#N/A")</f>
        <v>#N/A</v>
      </c>
      <c r="W3315" s="1" t="str">
        <f>IFERROR(__xludf.DUMMYFUNCTION("""COMPUTED_VALUE"""),"#N/A")</f>
        <v>#N/A</v>
      </c>
    </row>
    <row r="3316">
      <c r="O3316" s="1" t="str">
        <f>IFERROR(__xludf.DUMMYFUNCTION("""COMPUTED_VALUE"""),"#VALUE!")</f>
        <v>#VALUE!</v>
      </c>
      <c r="P3316" s="1" t="str">
        <f>IFERROR(__xludf.DUMMYFUNCTION("""COMPUTED_VALUE"""),"#N/A")</f>
        <v>#N/A</v>
      </c>
      <c r="Q3316" s="1"/>
      <c r="R3316" s="1"/>
      <c r="S3316" s="1"/>
      <c r="T3316" s="1"/>
      <c r="U3316" s="2">
        <f>IFERROR(__xludf.DUMMYFUNCTION("""COMPUTED_VALUE"""),0.0)</f>
        <v>0</v>
      </c>
      <c r="V3316" s="1" t="str">
        <f>IFERROR(__xludf.DUMMYFUNCTION("""COMPUTED_VALUE"""),"#N/A")</f>
        <v>#N/A</v>
      </c>
      <c r="W3316" s="1" t="str">
        <f>IFERROR(__xludf.DUMMYFUNCTION("""COMPUTED_VALUE"""),"#N/A")</f>
        <v>#N/A</v>
      </c>
    </row>
    <row r="3317">
      <c r="O3317" s="1" t="str">
        <f>IFERROR(__xludf.DUMMYFUNCTION("""COMPUTED_VALUE"""),"#VALUE!")</f>
        <v>#VALUE!</v>
      </c>
      <c r="P3317" s="1" t="str">
        <f>IFERROR(__xludf.DUMMYFUNCTION("""COMPUTED_VALUE"""),"#N/A")</f>
        <v>#N/A</v>
      </c>
      <c r="Q3317" s="1"/>
      <c r="R3317" s="1"/>
      <c r="S3317" s="1"/>
      <c r="T3317" s="1"/>
      <c r="U3317" s="2">
        <f>IFERROR(__xludf.DUMMYFUNCTION("""COMPUTED_VALUE"""),0.0)</f>
        <v>0</v>
      </c>
      <c r="V3317" s="1" t="str">
        <f>IFERROR(__xludf.DUMMYFUNCTION("""COMPUTED_VALUE"""),"#N/A")</f>
        <v>#N/A</v>
      </c>
      <c r="W3317" s="1" t="str">
        <f>IFERROR(__xludf.DUMMYFUNCTION("""COMPUTED_VALUE"""),"#N/A")</f>
        <v>#N/A</v>
      </c>
    </row>
    <row r="3318">
      <c r="O3318" s="1" t="str">
        <f>IFERROR(__xludf.DUMMYFUNCTION("""COMPUTED_VALUE"""),"#VALUE!")</f>
        <v>#VALUE!</v>
      </c>
      <c r="P3318" s="1" t="str">
        <f>IFERROR(__xludf.DUMMYFUNCTION("""COMPUTED_VALUE"""),"#N/A")</f>
        <v>#N/A</v>
      </c>
      <c r="Q3318" s="1"/>
      <c r="R3318" s="1"/>
      <c r="S3318" s="1"/>
      <c r="T3318" s="1"/>
      <c r="U3318" s="2">
        <f>IFERROR(__xludf.DUMMYFUNCTION("""COMPUTED_VALUE"""),0.0)</f>
        <v>0</v>
      </c>
      <c r="V3318" s="1" t="str">
        <f>IFERROR(__xludf.DUMMYFUNCTION("""COMPUTED_VALUE"""),"#N/A")</f>
        <v>#N/A</v>
      </c>
      <c r="W3318" s="1" t="str">
        <f>IFERROR(__xludf.DUMMYFUNCTION("""COMPUTED_VALUE"""),"#N/A")</f>
        <v>#N/A</v>
      </c>
    </row>
    <row r="3319">
      <c r="O3319" s="1" t="str">
        <f>IFERROR(__xludf.DUMMYFUNCTION("""COMPUTED_VALUE"""),"#VALUE!")</f>
        <v>#VALUE!</v>
      </c>
      <c r="P3319" s="1" t="str">
        <f>IFERROR(__xludf.DUMMYFUNCTION("""COMPUTED_VALUE"""),"#N/A")</f>
        <v>#N/A</v>
      </c>
      <c r="Q3319" s="1"/>
      <c r="R3319" s="1"/>
      <c r="S3319" s="1"/>
      <c r="T3319" s="1"/>
      <c r="U3319" s="2">
        <f>IFERROR(__xludf.DUMMYFUNCTION("""COMPUTED_VALUE"""),0.0)</f>
        <v>0</v>
      </c>
      <c r="V3319" s="1" t="str">
        <f>IFERROR(__xludf.DUMMYFUNCTION("""COMPUTED_VALUE"""),"#N/A")</f>
        <v>#N/A</v>
      </c>
      <c r="W3319" s="1" t="str">
        <f>IFERROR(__xludf.DUMMYFUNCTION("""COMPUTED_VALUE"""),"#N/A")</f>
        <v>#N/A</v>
      </c>
    </row>
    <row r="3320">
      <c r="O3320" s="1" t="str">
        <f>IFERROR(__xludf.DUMMYFUNCTION("""COMPUTED_VALUE"""),"#VALUE!")</f>
        <v>#VALUE!</v>
      </c>
      <c r="P3320" s="1" t="str">
        <f>IFERROR(__xludf.DUMMYFUNCTION("""COMPUTED_VALUE"""),"#N/A")</f>
        <v>#N/A</v>
      </c>
      <c r="Q3320" s="1"/>
      <c r="R3320" s="1"/>
      <c r="S3320" s="1"/>
      <c r="T3320" s="1"/>
      <c r="U3320" s="2">
        <f>IFERROR(__xludf.DUMMYFUNCTION("""COMPUTED_VALUE"""),0.0)</f>
        <v>0</v>
      </c>
      <c r="V3320" s="1" t="str">
        <f>IFERROR(__xludf.DUMMYFUNCTION("""COMPUTED_VALUE"""),"#N/A")</f>
        <v>#N/A</v>
      </c>
      <c r="W3320" s="1" t="str">
        <f>IFERROR(__xludf.DUMMYFUNCTION("""COMPUTED_VALUE"""),"#N/A")</f>
        <v>#N/A</v>
      </c>
    </row>
    <row r="3321">
      <c r="O3321" s="1" t="str">
        <f>IFERROR(__xludf.DUMMYFUNCTION("""COMPUTED_VALUE"""),"#VALUE!")</f>
        <v>#VALUE!</v>
      </c>
      <c r="P3321" s="1" t="str">
        <f>IFERROR(__xludf.DUMMYFUNCTION("""COMPUTED_VALUE"""),"#N/A")</f>
        <v>#N/A</v>
      </c>
      <c r="Q3321" s="1"/>
      <c r="R3321" s="1"/>
      <c r="S3321" s="1"/>
      <c r="T3321" s="1"/>
      <c r="U3321" s="2">
        <f>IFERROR(__xludf.DUMMYFUNCTION("""COMPUTED_VALUE"""),0.0)</f>
        <v>0</v>
      </c>
      <c r="V3321" s="1" t="str">
        <f>IFERROR(__xludf.DUMMYFUNCTION("""COMPUTED_VALUE"""),"#N/A")</f>
        <v>#N/A</v>
      </c>
      <c r="W3321" s="1" t="str">
        <f>IFERROR(__xludf.DUMMYFUNCTION("""COMPUTED_VALUE"""),"#N/A")</f>
        <v>#N/A</v>
      </c>
    </row>
    <row r="3322">
      <c r="O3322" s="1" t="str">
        <f>IFERROR(__xludf.DUMMYFUNCTION("""COMPUTED_VALUE"""),"#VALUE!")</f>
        <v>#VALUE!</v>
      </c>
      <c r="P3322" s="1" t="str">
        <f>IFERROR(__xludf.DUMMYFUNCTION("""COMPUTED_VALUE"""),"#N/A")</f>
        <v>#N/A</v>
      </c>
      <c r="Q3322" s="1"/>
      <c r="R3322" s="1"/>
      <c r="S3322" s="1"/>
      <c r="T3322" s="1"/>
      <c r="U3322" s="2">
        <f>IFERROR(__xludf.DUMMYFUNCTION("""COMPUTED_VALUE"""),0.0)</f>
        <v>0</v>
      </c>
      <c r="V3322" s="1" t="str">
        <f>IFERROR(__xludf.DUMMYFUNCTION("""COMPUTED_VALUE"""),"#N/A")</f>
        <v>#N/A</v>
      </c>
      <c r="W3322" s="1" t="str">
        <f>IFERROR(__xludf.DUMMYFUNCTION("""COMPUTED_VALUE"""),"#N/A")</f>
        <v>#N/A</v>
      </c>
    </row>
    <row r="3323">
      <c r="O3323" s="1" t="str">
        <f>IFERROR(__xludf.DUMMYFUNCTION("""COMPUTED_VALUE"""),"#VALUE!")</f>
        <v>#VALUE!</v>
      </c>
      <c r="P3323" s="1" t="str">
        <f>IFERROR(__xludf.DUMMYFUNCTION("""COMPUTED_VALUE"""),"#N/A")</f>
        <v>#N/A</v>
      </c>
      <c r="Q3323" s="1"/>
      <c r="R3323" s="1"/>
      <c r="S3323" s="1"/>
      <c r="T3323" s="1"/>
      <c r="U3323" s="2">
        <f>IFERROR(__xludf.DUMMYFUNCTION("""COMPUTED_VALUE"""),0.0)</f>
        <v>0</v>
      </c>
      <c r="V3323" s="1" t="str">
        <f>IFERROR(__xludf.DUMMYFUNCTION("""COMPUTED_VALUE"""),"#N/A")</f>
        <v>#N/A</v>
      </c>
      <c r="W3323" s="1" t="str">
        <f>IFERROR(__xludf.DUMMYFUNCTION("""COMPUTED_VALUE"""),"#N/A")</f>
        <v>#N/A</v>
      </c>
    </row>
    <row r="3324">
      <c r="O3324" s="1" t="str">
        <f>IFERROR(__xludf.DUMMYFUNCTION("""COMPUTED_VALUE"""),"#VALUE!")</f>
        <v>#VALUE!</v>
      </c>
      <c r="P3324" s="1" t="str">
        <f>IFERROR(__xludf.DUMMYFUNCTION("""COMPUTED_VALUE"""),"#N/A")</f>
        <v>#N/A</v>
      </c>
      <c r="Q3324" s="1"/>
      <c r="R3324" s="1"/>
      <c r="S3324" s="1"/>
      <c r="T3324" s="1"/>
      <c r="U3324" s="2">
        <f>IFERROR(__xludf.DUMMYFUNCTION("""COMPUTED_VALUE"""),0.0)</f>
        <v>0</v>
      </c>
      <c r="V3324" s="1" t="str">
        <f>IFERROR(__xludf.DUMMYFUNCTION("""COMPUTED_VALUE"""),"#N/A")</f>
        <v>#N/A</v>
      </c>
      <c r="W3324" s="1" t="str">
        <f>IFERROR(__xludf.DUMMYFUNCTION("""COMPUTED_VALUE"""),"#N/A")</f>
        <v>#N/A</v>
      </c>
    </row>
    <row r="3325">
      <c r="O3325" s="1" t="str">
        <f>IFERROR(__xludf.DUMMYFUNCTION("""COMPUTED_VALUE"""),"#VALUE!")</f>
        <v>#VALUE!</v>
      </c>
      <c r="P3325" s="1" t="str">
        <f>IFERROR(__xludf.DUMMYFUNCTION("""COMPUTED_VALUE"""),"#N/A")</f>
        <v>#N/A</v>
      </c>
      <c r="Q3325" s="1"/>
      <c r="R3325" s="1"/>
      <c r="S3325" s="1"/>
      <c r="T3325" s="1"/>
      <c r="U3325" s="2">
        <f>IFERROR(__xludf.DUMMYFUNCTION("""COMPUTED_VALUE"""),0.0)</f>
        <v>0</v>
      </c>
      <c r="V3325" s="1" t="str">
        <f>IFERROR(__xludf.DUMMYFUNCTION("""COMPUTED_VALUE"""),"#N/A")</f>
        <v>#N/A</v>
      </c>
      <c r="W3325" s="1" t="str">
        <f>IFERROR(__xludf.DUMMYFUNCTION("""COMPUTED_VALUE"""),"#N/A")</f>
        <v>#N/A</v>
      </c>
    </row>
    <row r="3326">
      <c r="O3326" s="1" t="str">
        <f>IFERROR(__xludf.DUMMYFUNCTION("""COMPUTED_VALUE"""),"#VALUE!")</f>
        <v>#VALUE!</v>
      </c>
      <c r="P3326" s="1" t="str">
        <f>IFERROR(__xludf.DUMMYFUNCTION("""COMPUTED_VALUE"""),"#N/A")</f>
        <v>#N/A</v>
      </c>
      <c r="Q3326" s="1"/>
      <c r="R3326" s="1"/>
      <c r="S3326" s="1"/>
      <c r="T3326" s="1"/>
      <c r="U3326" s="2">
        <f>IFERROR(__xludf.DUMMYFUNCTION("""COMPUTED_VALUE"""),0.0)</f>
        <v>0</v>
      </c>
      <c r="V3326" s="1" t="str">
        <f>IFERROR(__xludf.DUMMYFUNCTION("""COMPUTED_VALUE"""),"#N/A")</f>
        <v>#N/A</v>
      </c>
      <c r="W3326" s="1" t="str">
        <f>IFERROR(__xludf.DUMMYFUNCTION("""COMPUTED_VALUE"""),"#N/A")</f>
        <v>#N/A</v>
      </c>
    </row>
    <row r="3327">
      <c r="O3327" s="1" t="str">
        <f>IFERROR(__xludf.DUMMYFUNCTION("""COMPUTED_VALUE"""),"#VALUE!")</f>
        <v>#VALUE!</v>
      </c>
      <c r="P3327" s="1" t="str">
        <f>IFERROR(__xludf.DUMMYFUNCTION("""COMPUTED_VALUE"""),"#N/A")</f>
        <v>#N/A</v>
      </c>
      <c r="Q3327" s="1"/>
      <c r="R3327" s="1"/>
      <c r="S3327" s="1"/>
      <c r="T3327" s="1"/>
      <c r="U3327" s="2">
        <f>IFERROR(__xludf.DUMMYFUNCTION("""COMPUTED_VALUE"""),0.0)</f>
        <v>0</v>
      </c>
      <c r="V3327" s="1" t="str">
        <f>IFERROR(__xludf.DUMMYFUNCTION("""COMPUTED_VALUE"""),"#N/A")</f>
        <v>#N/A</v>
      </c>
      <c r="W3327" s="1" t="str">
        <f>IFERROR(__xludf.DUMMYFUNCTION("""COMPUTED_VALUE"""),"#N/A")</f>
        <v>#N/A</v>
      </c>
    </row>
    <row r="3328">
      <c r="O3328" s="1" t="str">
        <f>IFERROR(__xludf.DUMMYFUNCTION("""COMPUTED_VALUE"""),"#VALUE!")</f>
        <v>#VALUE!</v>
      </c>
      <c r="P3328" s="1" t="str">
        <f>IFERROR(__xludf.DUMMYFUNCTION("""COMPUTED_VALUE"""),"#N/A")</f>
        <v>#N/A</v>
      </c>
      <c r="Q3328" s="1"/>
      <c r="R3328" s="1"/>
      <c r="S3328" s="1"/>
      <c r="T3328" s="1"/>
      <c r="U3328" s="2">
        <f>IFERROR(__xludf.DUMMYFUNCTION("""COMPUTED_VALUE"""),0.0)</f>
        <v>0</v>
      </c>
      <c r="V3328" s="1" t="str">
        <f>IFERROR(__xludf.DUMMYFUNCTION("""COMPUTED_VALUE"""),"#N/A")</f>
        <v>#N/A</v>
      </c>
      <c r="W3328" s="1" t="str">
        <f>IFERROR(__xludf.DUMMYFUNCTION("""COMPUTED_VALUE"""),"#N/A")</f>
        <v>#N/A</v>
      </c>
    </row>
    <row r="3329">
      <c r="O3329" s="1" t="str">
        <f>IFERROR(__xludf.DUMMYFUNCTION("""COMPUTED_VALUE"""),"#VALUE!")</f>
        <v>#VALUE!</v>
      </c>
      <c r="P3329" s="1" t="str">
        <f>IFERROR(__xludf.DUMMYFUNCTION("""COMPUTED_VALUE"""),"#N/A")</f>
        <v>#N/A</v>
      </c>
      <c r="Q3329" s="1"/>
      <c r="R3329" s="1"/>
      <c r="S3329" s="1"/>
      <c r="T3329" s="1"/>
      <c r="U3329" s="2">
        <f>IFERROR(__xludf.DUMMYFUNCTION("""COMPUTED_VALUE"""),0.0)</f>
        <v>0</v>
      </c>
      <c r="V3329" s="1" t="str">
        <f>IFERROR(__xludf.DUMMYFUNCTION("""COMPUTED_VALUE"""),"#N/A")</f>
        <v>#N/A</v>
      </c>
      <c r="W3329" s="1" t="str">
        <f>IFERROR(__xludf.DUMMYFUNCTION("""COMPUTED_VALUE"""),"#N/A")</f>
        <v>#N/A</v>
      </c>
    </row>
    <row r="3330">
      <c r="O3330" s="1" t="str">
        <f>IFERROR(__xludf.DUMMYFUNCTION("""COMPUTED_VALUE"""),"#VALUE!")</f>
        <v>#VALUE!</v>
      </c>
      <c r="P3330" s="1" t="str">
        <f>IFERROR(__xludf.DUMMYFUNCTION("""COMPUTED_VALUE"""),"#N/A")</f>
        <v>#N/A</v>
      </c>
      <c r="Q3330" s="1"/>
      <c r="R3330" s="1"/>
      <c r="S3330" s="1"/>
      <c r="T3330" s="1"/>
      <c r="U3330" s="2">
        <f>IFERROR(__xludf.DUMMYFUNCTION("""COMPUTED_VALUE"""),0.0)</f>
        <v>0</v>
      </c>
      <c r="V3330" s="1" t="str">
        <f>IFERROR(__xludf.DUMMYFUNCTION("""COMPUTED_VALUE"""),"#N/A")</f>
        <v>#N/A</v>
      </c>
      <c r="W3330" s="1" t="str">
        <f>IFERROR(__xludf.DUMMYFUNCTION("""COMPUTED_VALUE"""),"#N/A")</f>
        <v>#N/A</v>
      </c>
    </row>
    <row r="3331">
      <c r="O3331" s="1" t="str">
        <f>IFERROR(__xludf.DUMMYFUNCTION("""COMPUTED_VALUE"""),"#VALUE!")</f>
        <v>#VALUE!</v>
      </c>
      <c r="P3331" s="1" t="str">
        <f>IFERROR(__xludf.DUMMYFUNCTION("""COMPUTED_VALUE"""),"#N/A")</f>
        <v>#N/A</v>
      </c>
      <c r="Q3331" s="1"/>
      <c r="R3331" s="1"/>
      <c r="S3331" s="1"/>
      <c r="T3331" s="1"/>
      <c r="U3331" s="2">
        <f>IFERROR(__xludf.DUMMYFUNCTION("""COMPUTED_VALUE"""),0.0)</f>
        <v>0</v>
      </c>
      <c r="V3331" s="1" t="str">
        <f>IFERROR(__xludf.DUMMYFUNCTION("""COMPUTED_VALUE"""),"#N/A")</f>
        <v>#N/A</v>
      </c>
      <c r="W3331" s="1" t="str">
        <f>IFERROR(__xludf.DUMMYFUNCTION("""COMPUTED_VALUE"""),"#N/A")</f>
        <v>#N/A</v>
      </c>
    </row>
    <row r="3332">
      <c r="O3332" s="1" t="str">
        <f>IFERROR(__xludf.DUMMYFUNCTION("""COMPUTED_VALUE"""),"#VALUE!")</f>
        <v>#VALUE!</v>
      </c>
      <c r="P3332" s="1" t="str">
        <f>IFERROR(__xludf.DUMMYFUNCTION("""COMPUTED_VALUE"""),"#N/A")</f>
        <v>#N/A</v>
      </c>
      <c r="Q3332" s="1"/>
      <c r="R3332" s="1"/>
      <c r="S3332" s="1"/>
      <c r="T3332" s="1"/>
      <c r="U3332" s="2">
        <f>IFERROR(__xludf.DUMMYFUNCTION("""COMPUTED_VALUE"""),0.0)</f>
        <v>0</v>
      </c>
      <c r="V3332" s="1" t="str">
        <f>IFERROR(__xludf.DUMMYFUNCTION("""COMPUTED_VALUE"""),"#N/A")</f>
        <v>#N/A</v>
      </c>
      <c r="W3332" s="1" t="str">
        <f>IFERROR(__xludf.DUMMYFUNCTION("""COMPUTED_VALUE"""),"#N/A")</f>
        <v>#N/A</v>
      </c>
    </row>
    <row r="3333">
      <c r="O3333" s="1" t="str">
        <f>IFERROR(__xludf.DUMMYFUNCTION("""COMPUTED_VALUE"""),"#VALUE!")</f>
        <v>#VALUE!</v>
      </c>
      <c r="P3333" s="1" t="str">
        <f>IFERROR(__xludf.DUMMYFUNCTION("""COMPUTED_VALUE"""),"#N/A")</f>
        <v>#N/A</v>
      </c>
      <c r="Q3333" s="1"/>
      <c r="R3333" s="1"/>
      <c r="S3333" s="1"/>
      <c r="T3333" s="1"/>
      <c r="U3333" s="2">
        <f>IFERROR(__xludf.DUMMYFUNCTION("""COMPUTED_VALUE"""),0.0)</f>
        <v>0</v>
      </c>
      <c r="V3333" s="1" t="str">
        <f>IFERROR(__xludf.DUMMYFUNCTION("""COMPUTED_VALUE"""),"#N/A")</f>
        <v>#N/A</v>
      </c>
      <c r="W3333" s="1" t="str">
        <f>IFERROR(__xludf.DUMMYFUNCTION("""COMPUTED_VALUE"""),"#N/A")</f>
        <v>#N/A</v>
      </c>
    </row>
    <row r="3334">
      <c r="O3334" s="1" t="str">
        <f>IFERROR(__xludf.DUMMYFUNCTION("""COMPUTED_VALUE"""),"#VALUE!")</f>
        <v>#VALUE!</v>
      </c>
      <c r="P3334" s="1" t="str">
        <f>IFERROR(__xludf.DUMMYFUNCTION("""COMPUTED_VALUE"""),"#N/A")</f>
        <v>#N/A</v>
      </c>
      <c r="Q3334" s="1"/>
      <c r="R3334" s="1"/>
      <c r="S3334" s="1"/>
      <c r="T3334" s="1"/>
      <c r="U3334" s="2">
        <f>IFERROR(__xludf.DUMMYFUNCTION("""COMPUTED_VALUE"""),0.0)</f>
        <v>0</v>
      </c>
      <c r="V3334" s="1" t="str">
        <f>IFERROR(__xludf.DUMMYFUNCTION("""COMPUTED_VALUE"""),"#N/A")</f>
        <v>#N/A</v>
      </c>
      <c r="W3334" s="1" t="str">
        <f>IFERROR(__xludf.DUMMYFUNCTION("""COMPUTED_VALUE"""),"#N/A")</f>
        <v>#N/A</v>
      </c>
    </row>
    <row r="3335">
      <c r="O3335" s="1" t="str">
        <f>IFERROR(__xludf.DUMMYFUNCTION("""COMPUTED_VALUE"""),"#VALUE!")</f>
        <v>#VALUE!</v>
      </c>
      <c r="P3335" s="1" t="str">
        <f>IFERROR(__xludf.DUMMYFUNCTION("""COMPUTED_VALUE"""),"#N/A")</f>
        <v>#N/A</v>
      </c>
      <c r="Q3335" s="1"/>
      <c r="R3335" s="1"/>
      <c r="S3335" s="1"/>
      <c r="T3335" s="1"/>
      <c r="U3335" s="2">
        <f>IFERROR(__xludf.DUMMYFUNCTION("""COMPUTED_VALUE"""),0.0)</f>
        <v>0</v>
      </c>
      <c r="V3335" s="1" t="str">
        <f>IFERROR(__xludf.DUMMYFUNCTION("""COMPUTED_VALUE"""),"#N/A")</f>
        <v>#N/A</v>
      </c>
      <c r="W3335" s="1" t="str">
        <f>IFERROR(__xludf.DUMMYFUNCTION("""COMPUTED_VALUE"""),"#N/A")</f>
        <v>#N/A</v>
      </c>
    </row>
    <row r="3336">
      <c r="O3336" s="1" t="str">
        <f>IFERROR(__xludf.DUMMYFUNCTION("""COMPUTED_VALUE"""),"#VALUE!")</f>
        <v>#VALUE!</v>
      </c>
      <c r="P3336" s="1" t="str">
        <f>IFERROR(__xludf.DUMMYFUNCTION("""COMPUTED_VALUE"""),"#N/A")</f>
        <v>#N/A</v>
      </c>
      <c r="Q3336" s="1"/>
      <c r="R3336" s="1"/>
      <c r="S3336" s="1"/>
      <c r="T3336" s="1"/>
      <c r="U3336" s="2">
        <f>IFERROR(__xludf.DUMMYFUNCTION("""COMPUTED_VALUE"""),0.0)</f>
        <v>0</v>
      </c>
      <c r="V3336" s="1" t="str">
        <f>IFERROR(__xludf.DUMMYFUNCTION("""COMPUTED_VALUE"""),"#N/A")</f>
        <v>#N/A</v>
      </c>
      <c r="W3336" s="1" t="str">
        <f>IFERROR(__xludf.DUMMYFUNCTION("""COMPUTED_VALUE"""),"#N/A")</f>
        <v>#N/A</v>
      </c>
    </row>
    <row r="3337">
      <c r="O3337" s="1" t="str">
        <f>IFERROR(__xludf.DUMMYFUNCTION("""COMPUTED_VALUE"""),"#VALUE!")</f>
        <v>#VALUE!</v>
      </c>
      <c r="P3337" s="1" t="str">
        <f>IFERROR(__xludf.DUMMYFUNCTION("""COMPUTED_VALUE"""),"#N/A")</f>
        <v>#N/A</v>
      </c>
      <c r="Q3337" s="1"/>
      <c r="R3337" s="1"/>
      <c r="S3337" s="1"/>
      <c r="T3337" s="1"/>
      <c r="U3337" s="2">
        <f>IFERROR(__xludf.DUMMYFUNCTION("""COMPUTED_VALUE"""),0.0)</f>
        <v>0</v>
      </c>
      <c r="V3337" s="1" t="str">
        <f>IFERROR(__xludf.DUMMYFUNCTION("""COMPUTED_VALUE"""),"#N/A")</f>
        <v>#N/A</v>
      </c>
      <c r="W3337" s="1" t="str">
        <f>IFERROR(__xludf.DUMMYFUNCTION("""COMPUTED_VALUE"""),"#N/A")</f>
        <v>#N/A</v>
      </c>
    </row>
    <row r="3338">
      <c r="O3338" s="1" t="str">
        <f>IFERROR(__xludf.DUMMYFUNCTION("""COMPUTED_VALUE"""),"#VALUE!")</f>
        <v>#VALUE!</v>
      </c>
      <c r="P3338" s="1" t="str">
        <f>IFERROR(__xludf.DUMMYFUNCTION("""COMPUTED_VALUE"""),"#N/A")</f>
        <v>#N/A</v>
      </c>
      <c r="Q3338" s="1"/>
      <c r="R3338" s="1"/>
      <c r="S3338" s="1"/>
      <c r="T3338" s="1"/>
      <c r="U3338" s="2">
        <f>IFERROR(__xludf.DUMMYFUNCTION("""COMPUTED_VALUE"""),0.0)</f>
        <v>0</v>
      </c>
      <c r="V3338" s="1" t="str">
        <f>IFERROR(__xludf.DUMMYFUNCTION("""COMPUTED_VALUE"""),"#N/A")</f>
        <v>#N/A</v>
      </c>
      <c r="W3338" s="1" t="str">
        <f>IFERROR(__xludf.DUMMYFUNCTION("""COMPUTED_VALUE"""),"#N/A")</f>
        <v>#N/A</v>
      </c>
    </row>
    <row r="3339">
      <c r="O3339" s="1" t="str">
        <f>IFERROR(__xludf.DUMMYFUNCTION("""COMPUTED_VALUE"""),"#VALUE!")</f>
        <v>#VALUE!</v>
      </c>
      <c r="P3339" s="1" t="str">
        <f>IFERROR(__xludf.DUMMYFUNCTION("""COMPUTED_VALUE"""),"#N/A")</f>
        <v>#N/A</v>
      </c>
      <c r="Q3339" s="1"/>
      <c r="R3339" s="1"/>
      <c r="S3339" s="1"/>
      <c r="T3339" s="1"/>
      <c r="U3339" s="2">
        <f>IFERROR(__xludf.DUMMYFUNCTION("""COMPUTED_VALUE"""),0.0)</f>
        <v>0</v>
      </c>
      <c r="V3339" s="1" t="str">
        <f>IFERROR(__xludf.DUMMYFUNCTION("""COMPUTED_VALUE"""),"#N/A")</f>
        <v>#N/A</v>
      </c>
      <c r="W3339" s="1" t="str">
        <f>IFERROR(__xludf.DUMMYFUNCTION("""COMPUTED_VALUE"""),"#N/A")</f>
        <v>#N/A</v>
      </c>
    </row>
    <row r="3340">
      <c r="O3340" s="1" t="str">
        <f>IFERROR(__xludf.DUMMYFUNCTION("""COMPUTED_VALUE"""),"#VALUE!")</f>
        <v>#VALUE!</v>
      </c>
      <c r="P3340" s="1" t="str">
        <f>IFERROR(__xludf.DUMMYFUNCTION("""COMPUTED_VALUE"""),"#N/A")</f>
        <v>#N/A</v>
      </c>
      <c r="Q3340" s="1"/>
      <c r="R3340" s="1"/>
      <c r="S3340" s="1"/>
      <c r="T3340" s="1"/>
      <c r="U3340" s="2">
        <f>IFERROR(__xludf.DUMMYFUNCTION("""COMPUTED_VALUE"""),0.0)</f>
        <v>0</v>
      </c>
      <c r="V3340" s="1" t="str">
        <f>IFERROR(__xludf.DUMMYFUNCTION("""COMPUTED_VALUE"""),"#N/A")</f>
        <v>#N/A</v>
      </c>
      <c r="W3340" s="1" t="str">
        <f>IFERROR(__xludf.DUMMYFUNCTION("""COMPUTED_VALUE"""),"#N/A")</f>
        <v>#N/A</v>
      </c>
    </row>
    <row r="3341">
      <c r="O3341" s="1" t="str">
        <f>IFERROR(__xludf.DUMMYFUNCTION("""COMPUTED_VALUE"""),"#VALUE!")</f>
        <v>#VALUE!</v>
      </c>
      <c r="P3341" s="1" t="str">
        <f>IFERROR(__xludf.DUMMYFUNCTION("""COMPUTED_VALUE"""),"#N/A")</f>
        <v>#N/A</v>
      </c>
      <c r="Q3341" s="1"/>
      <c r="R3341" s="1"/>
      <c r="S3341" s="1"/>
      <c r="T3341" s="1"/>
      <c r="U3341" s="2">
        <f>IFERROR(__xludf.DUMMYFUNCTION("""COMPUTED_VALUE"""),0.0)</f>
        <v>0</v>
      </c>
      <c r="V3341" s="1" t="str">
        <f>IFERROR(__xludf.DUMMYFUNCTION("""COMPUTED_VALUE"""),"#N/A")</f>
        <v>#N/A</v>
      </c>
      <c r="W3341" s="1" t="str">
        <f>IFERROR(__xludf.DUMMYFUNCTION("""COMPUTED_VALUE"""),"#N/A")</f>
        <v>#N/A</v>
      </c>
    </row>
    <row r="3342">
      <c r="O3342" s="1" t="str">
        <f>IFERROR(__xludf.DUMMYFUNCTION("""COMPUTED_VALUE"""),"#VALUE!")</f>
        <v>#VALUE!</v>
      </c>
      <c r="P3342" s="1" t="str">
        <f>IFERROR(__xludf.DUMMYFUNCTION("""COMPUTED_VALUE"""),"#N/A")</f>
        <v>#N/A</v>
      </c>
      <c r="Q3342" s="1"/>
      <c r="R3342" s="1"/>
      <c r="S3342" s="1"/>
      <c r="T3342" s="1"/>
      <c r="U3342" s="2">
        <f>IFERROR(__xludf.DUMMYFUNCTION("""COMPUTED_VALUE"""),0.0)</f>
        <v>0</v>
      </c>
      <c r="V3342" s="1" t="str">
        <f>IFERROR(__xludf.DUMMYFUNCTION("""COMPUTED_VALUE"""),"#N/A")</f>
        <v>#N/A</v>
      </c>
      <c r="W3342" s="1" t="str">
        <f>IFERROR(__xludf.DUMMYFUNCTION("""COMPUTED_VALUE"""),"#N/A")</f>
        <v>#N/A</v>
      </c>
    </row>
    <row r="3343">
      <c r="O3343" s="1" t="str">
        <f>IFERROR(__xludf.DUMMYFUNCTION("""COMPUTED_VALUE"""),"#VALUE!")</f>
        <v>#VALUE!</v>
      </c>
      <c r="P3343" s="1" t="str">
        <f>IFERROR(__xludf.DUMMYFUNCTION("""COMPUTED_VALUE"""),"#N/A")</f>
        <v>#N/A</v>
      </c>
      <c r="Q3343" s="1"/>
      <c r="R3343" s="1"/>
      <c r="S3343" s="1"/>
      <c r="T3343" s="1"/>
      <c r="U3343" s="2">
        <f>IFERROR(__xludf.DUMMYFUNCTION("""COMPUTED_VALUE"""),0.0)</f>
        <v>0</v>
      </c>
      <c r="V3343" s="1" t="str">
        <f>IFERROR(__xludf.DUMMYFUNCTION("""COMPUTED_VALUE"""),"#N/A")</f>
        <v>#N/A</v>
      </c>
      <c r="W3343" s="1" t="str">
        <f>IFERROR(__xludf.DUMMYFUNCTION("""COMPUTED_VALUE"""),"#N/A")</f>
        <v>#N/A</v>
      </c>
    </row>
    <row r="3344">
      <c r="O3344" s="1" t="str">
        <f>IFERROR(__xludf.DUMMYFUNCTION("""COMPUTED_VALUE"""),"#VALUE!")</f>
        <v>#VALUE!</v>
      </c>
      <c r="P3344" s="1" t="str">
        <f>IFERROR(__xludf.DUMMYFUNCTION("""COMPUTED_VALUE"""),"#N/A")</f>
        <v>#N/A</v>
      </c>
      <c r="Q3344" s="1"/>
      <c r="R3344" s="1"/>
      <c r="S3344" s="1"/>
      <c r="T3344" s="1"/>
      <c r="U3344" s="2">
        <f>IFERROR(__xludf.DUMMYFUNCTION("""COMPUTED_VALUE"""),0.0)</f>
        <v>0</v>
      </c>
      <c r="V3344" s="1" t="str">
        <f>IFERROR(__xludf.DUMMYFUNCTION("""COMPUTED_VALUE"""),"#N/A")</f>
        <v>#N/A</v>
      </c>
      <c r="W3344" s="1" t="str">
        <f>IFERROR(__xludf.DUMMYFUNCTION("""COMPUTED_VALUE"""),"#N/A")</f>
        <v>#N/A</v>
      </c>
    </row>
    <row r="3345">
      <c r="O3345" s="1" t="str">
        <f>IFERROR(__xludf.DUMMYFUNCTION("""COMPUTED_VALUE"""),"#VALUE!")</f>
        <v>#VALUE!</v>
      </c>
      <c r="P3345" s="1" t="str">
        <f>IFERROR(__xludf.DUMMYFUNCTION("""COMPUTED_VALUE"""),"#N/A")</f>
        <v>#N/A</v>
      </c>
      <c r="Q3345" s="1"/>
      <c r="R3345" s="1"/>
      <c r="S3345" s="1"/>
      <c r="T3345" s="1"/>
      <c r="U3345" s="2">
        <f>IFERROR(__xludf.DUMMYFUNCTION("""COMPUTED_VALUE"""),0.0)</f>
        <v>0</v>
      </c>
      <c r="V3345" s="1" t="str">
        <f>IFERROR(__xludf.DUMMYFUNCTION("""COMPUTED_VALUE"""),"#N/A")</f>
        <v>#N/A</v>
      </c>
      <c r="W3345" s="1" t="str">
        <f>IFERROR(__xludf.DUMMYFUNCTION("""COMPUTED_VALUE"""),"#N/A")</f>
        <v>#N/A</v>
      </c>
    </row>
    <row r="3346">
      <c r="O3346" s="1" t="str">
        <f>IFERROR(__xludf.DUMMYFUNCTION("""COMPUTED_VALUE"""),"#VALUE!")</f>
        <v>#VALUE!</v>
      </c>
      <c r="P3346" s="1" t="str">
        <f>IFERROR(__xludf.DUMMYFUNCTION("""COMPUTED_VALUE"""),"#N/A")</f>
        <v>#N/A</v>
      </c>
      <c r="Q3346" s="1"/>
      <c r="R3346" s="1"/>
      <c r="S3346" s="1"/>
      <c r="T3346" s="1"/>
      <c r="U3346" s="2">
        <f>IFERROR(__xludf.DUMMYFUNCTION("""COMPUTED_VALUE"""),0.0)</f>
        <v>0</v>
      </c>
      <c r="V3346" s="1" t="str">
        <f>IFERROR(__xludf.DUMMYFUNCTION("""COMPUTED_VALUE"""),"#N/A")</f>
        <v>#N/A</v>
      </c>
      <c r="W3346" s="1" t="str">
        <f>IFERROR(__xludf.DUMMYFUNCTION("""COMPUTED_VALUE"""),"#N/A")</f>
        <v>#N/A</v>
      </c>
    </row>
    <row r="3347">
      <c r="O3347" s="1" t="str">
        <f>IFERROR(__xludf.DUMMYFUNCTION("""COMPUTED_VALUE"""),"#VALUE!")</f>
        <v>#VALUE!</v>
      </c>
      <c r="P3347" s="1" t="str">
        <f>IFERROR(__xludf.DUMMYFUNCTION("""COMPUTED_VALUE"""),"#N/A")</f>
        <v>#N/A</v>
      </c>
      <c r="Q3347" s="1"/>
      <c r="R3347" s="1"/>
      <c r="S3347" s="1"/>
      <c r="T3347" s="1"/>
      <c r="U3347" s="2">
        <f>IFERROR(__xludf.DUMMYFUNCTION("""COMPUTED_VALUE"""),0.0)</f>
        <v>0</v>
      </c>
      <c r="V3347" s="1" t="str">
        <f>IFERROR(__xludf.DUMMYFUNCTION("""COMPUTED_VALUE"""),"#N/A")</f>
        <v>#N/A</v>
      </c>
      <c r="W3347" s="1" t="str">
        <f>IFERROR(__xludf.DUMMYFUNCTION("""COMPUTED_VALUE"""),"#N/A")</f>
        <v>#N/A</v>
      </c>
    </row>
    <row r="3348">
      <c r="O3348" s="1" t="str">
        <f>IFERROR(__xludf.DUMMYFUNCTION("""COMPUTED_VALUE"""),"#VALUE!")</f>
        <v>#VALUE!</v>
      </c>
      <c r="P3348" s="1" t="str">
        <f>IFERROR(__xludf.DUMMYFUNCTION("""COMPUTED_VALUE"""),"#N/A")</f>
        <v>#N/A</v>
      </c>
      <c r="Q3348" s="1"/>
      <c r="R3348" s="1"/>
      <c r="S3348" s="1"/>
      <c r="T3348" s="1"/>
      <c r="U3348" s="2">
        <f>IFERROR(__xludf.DUMMYFUNCTION("""COMPUTED_VALUE"""),0.0)</f>
        <v>0</v>
      </c>
      <c r="V3348" s="1" t="str">
        <f>IFERROR(__xludf.DUMMYFUNCTION("""COMPUTED_VALUE"""),"#N/A")</f>
        <v>#N/A</v>
      </c>
      <c r="W3348" s="1" t="str">
        <f>IFERROR(__xludf.DUMMYFUNCTION("""COMPUTED_VALUE"""),"#N/A")</f>
        <v>#N/A</v>
      </c>
    </row>
    <row r="3349">
      <c r="O3349" s="1" t="str">
        <f>IFERROR(__xludf.DUMMYFUNCTION("""COMPUTED_VALUE"""),"#VALUE!")</f>
        <v>#VALUE!</v>
      </c>
      <c r="P3349" s="1" t="str">
        <f>IFERROR(__xludf.DUMMYFUNCTION("""COMPUTED_VALUE"""),"#N/A")</f>
        <v>#N/A</v>
      </c>
      <c r="Q3349" s="1"/>
      <c r="R3349" s="1"/>
      <c r="S3349" s="1"/>
      <c r="T3349" s="1"/>
      <c r="U3349" s="2">
        <f>IFERROR(__xludf.DUMMYFUNCTION("""COMPUTED_VALUE"""),0.0)</f>
        <v>0</v>
      </c>
      <c r="V3349" s="1" t="str">
        <f>IFERROR(__xludf.DUMMYFUNCTION("""COMPUTED_VALUE"""),"#N/A")</f>
        <v>#N/A</v>
      </c>
      <c r="W3349" s="1" t="str">
        <f>IFERROR(__xludf.DUMMYFUNCTION("""COMPUTED_VALUE"""),"#N/A")</f>
        <v>#N/A</v>
      </c>
    </row>
    <row r="3350">
      <c r="O3350" s="1" t="str">
        <f>IFERROR(__xludf.DUMMYFUNCTION("""COMPUTED_VALUE"""),"#VALUE!")</f>
        <v>#VALUE!</v>
      </c>
      <c r="P3350" s="1" t="str">
        <f>IFERROR(__xludf.DUMMYFUNCTION("""COMPUTED_VALUE"""),"#N/A")</f>
        <v>#N/A</v>
      </c>
      <c r="Q3350" s="1"/>
      <c r="R3350" s="1"/>
      <c r="S3350" s="1"/>
      <c r="T3350" s="1"/>
      <c r="U3350" s="2">
        <f>IFERROR(__xludf.DUMMYFUNCTION("""COMPUTED_VALUE"""),0.0)</f>
        <v>0</v>
      </c>
      <c r="V3350" s="1" t="str">
        <f>IFERROR(__xludf.DUMMYFUNCTION("""COMPUTED_VALUE"""),"#N/A")</f>
        <v>#N/A</v>
      </c>
      <c r="W3350" s="1" t="str">
        <f>IFERROR(__xludf.DUMMYFUNCTION("""COMPUTED_VALUE"""),"#N/A")</f>
        <v>#N/A</v>
      </c>
    </row>
    <row r="3351">
      <c r="O3351" s="1" t="str">
        <f>IFERROR(__xludf.DUMMYFUNCTION("""COMPUTED_VALUE"""),"#VALUE!")</f>
        <v>#VALUE!</v>
      </c>
      <c r="P3351" s="1" t="str">
        <f>IFERROR(__xludf.DUMMYFUNCTION("""COMPUTED_VALUE"""),"#N/A")</f>
        <v>#N/A</v>
      </c>
      <c r="Q3351" s="1"/>
      <c r="R3351" s="1"/>
      <c r="S3351" s="1"/>
      <c r="T3351" s="1"/>
      <c r="U3351" s="2">
        <f>IFERROR(__xludf.DUMMYFUNCTION("""COMPUTED_VALUE"""),0.0)</f>
        <v>0</v>
      </c>
      <c r="V3351" s="1" t="str">
        <f>IFERROR(__xludf.DUMMYFUNCTION("""COMPUTED_VALUE"""),"#N/A")</f>
        <v>#N/A</v>
      </c>
      <c r="W3351" s="1" t="str">
        <f>IFERROR(__xludf.DUMMYFUNCTION("""COMPUTED_VALUE"""),"#N/A")</f>
        <v>#N/A</v>
      </c>
    </row>
    <row r="3352">
      <c r="O3352" s="1" t="str">
        <f>IFERROR(__xludf.DUMMYFUNCTION("""COMPUTED_VALUE"""),"#VALUE!")</f>
        <v>#VALUE!</v>
      </c>
      <c r="P3352" s="1" t="str">
        <f>IFERROR(__xludf.DUMMYFUNCTION("""COMPUTED_VALUE"""),"#N/A")</f>
        <v>#N/A</v>
      </c>
      <c r="Q3352" s="1"/>
      <c r="R3352" s="1"/>
      <c r="S3352" s="1"/>
      <c r="T3352" s="1"/>
      <c r="U3352" s="2">
        <f>IFERROR(__xludf.DUMMYFUNCTION("""COMPUTED_VALUE"""),0.0)</f>
        <v>0</v>
      </c>
      <c r="V3352" s="1" t="str">
        <f>IFERROR(__xludf.DUMMYFUNCTION("""COMPUTED_VALUE"""),"#N/A")</f>
        <v>#N/A</v>
      </c>
      <c r="W3352" s="1" t="str">
        <f>IFERROR(__xludf.DUMMYFUNCTION("""COMPUTED_VALUE"""),"#N/A")</f>
        <v>#N/A</v>
      </c>
    </row>
    <row r="3353">
      <c r="O3353" s="1" t="str">
        <f>IFERROR(__xludf.DUMMYFUNCTION("""COMPUTED_VALUE"""),"#VALUE!")</f>
        <v>#VALUE!</v>
      </c>
      <c r="P3353" s="1" t="str">
        <f>IFERROR(__xludf.DUMMYFUNCTION("""COMPUTED_VALUE"""),"#N/A")</f>
        <v>#N/A</v>
      </c>
      <c r="Q3353" s="1"/>
      <c r="R3353" s="1"/>
      <c r="S3353" s="1"/>
      <c r="T3353" s="1"/>
      <c r="U3353" s="2">
        <f>IFERROR(__xludf.DUMMYFUNCTION("""COMPUTED_VALUE"""),0.0)</f>
        <v>0</v>
      </c>
      <c r="V3353" s="1" t="str">
        <f>IFERROR(__xludf.DUMMYFUNCTION("""COMPUTED_VALUE"""),"#N/A")</f>
        <v>#N/A</v>
      </c>
      <c r="W3353" s="1" t="str">
        <f>IFERROR(__xludf.DUMMYFUNCTION("""COMPUTED_VALUE"""),"#N/A")</f>
        <v>#N/A</v>
      </c>
    </row>
    <row r="3354">
      <c r="O3354" s="1" t="str">
        <f>IFERROR(__xludf.DUMMYFUNCTION("""COMPUTED_VALUE"""),"#VALUE!")</f>
        <v>#VALUE!</v>
      </c>
      <c r="P3354" s="1" t="str">
        <f>IFERROR(__xludf.DUMMYFUNCTION("""COMPUTED_VALUE"""),"#N/A")</f>
        <v>#N/A</v>
      </c>
      <c r="Q3354" s="1"/>
      <c r="R3354" s="1"/>
      <c r="S3354" s="1"/>
      <c r="T3354" s="1"/>
      <c r="U3354" s="2">
        <f>IFERROR(__xludf.DUMMYFUNCTION("""COMPUTED_VALUE"""),0.0)</f>
        <v>0</v>
      </c>
      <c r="V3354" s="1" t="str">
        <f>IFERROR(__xludf.DUMMYFUNCTION("""COMPUTED_VALUE"""),"#N/A")</f>
        <v>#N/A</v>
      </c>
      <c r="W3354" s="1" t="str">
        <f>IFERROR(__xludf.DUMMYFUNCTION("""COMPUTED_VALUE"""),"#N/A")</f>
        <v>#N/A</v>
      </c>
    </row>
    <row r="3355">
      <c r="O3355" s="1" t="str">
        <f>IFERROR(__xludf.DUMMYFUNCTION("""COMPUTED_VALUE"""),"#VALUE!")</f>
        <v>#VALUE!</v>
      </c>
      <c r="P3355" s="1" t="str">
        <f>IFERROR(__xludf.DUMMYFUNCTION("""COMPUTED_VALUE"""),"#N/A")</f>
        <v>#N/A</v>
      </c>
      <c r="Q3355" s="1"/>
      <c r="R3355" s="1"/>
      <c r="S3355" s="1"/>
      <c r="T3355" s="1"/>
      <c r="U3355" s="2">
        <f>IFERROR(__xludf.DUMMYFUNCTION("""COMPUTED_VALUE"""),0.0)</f>
        <v>0</v>
      </c>
      <c r="V3355" s="1" t="str">
        <f>IFERROR(__xludf.DUMMYFUNCTION("""COMPUTED_VALUE"""),"#N/A")</f>
        <v>#N/A</v>
      </c>
      <c r="W3355" s="1" t="str">
        <f>IFERROR(__xludf.DUMMYFUNCTION("""COMPUTED_VALUE"""),"#N/A")</f>
        <v>#N/A</v>
      </c>
    </row>
    <row r="3356">
      <c r="O3356" s="1" t="str">
        <f>IFERROR(__xludf.DUMMYFUNCTION("""COMPUTED_VALUE"""),"#VALUE!")</f>
        <v>#VALUE!</v>
      </c>
      <c r="P3356" s="1" t="str">
        <f>IFERROR(__xludf.DUMMYFUNCTION("""COMPUTED_VALUE"""),"#N/A")</f>
        <v>#N/A</v>
      </c>
      <c r="Q3356" s="1"/>
      <c r="R3356" s="1"/>
      <c r="S3356" s="1"/>
      <c r="T3356" s="1"/>
      <c r="U3356" s="2">
        <f>IFERROR(__xludf.DUMMYFUNCTION("""COMPUTED_VALUE"""),0.0)</f>
        <v>0</v>
      </c>
      <c r="V3356" s="1" t="str">
        <f>IFERROR(__xludf.DUMMYFUNCTION("""COMPUTED_VALUE"""),"#N/A")</f>
        <v>#N/A</v>
      </c>
      <c r="W3356" s="1" t="str">
        <f>IFERROR(__xludf.DUMMYFUNCTION("""COMPUTED_VALUE"""),"#N/A")</f>
        <v>#N/A</v>
      </c>
    </row>
    <row r="3357">
      <c r="O3357" s="1" t="str">
        <f>IFERROR(__xludf.DUMMYFUNCTION("""COMPUTED_VALUE"""),"#VALUE!")</f>
        <v>#VALUE!</v>
      </c>
      <c r="P3357" s="1" t="str">
        <f>IFERROR(__xludf.DUMMYFUNCTION("""COMPUTED_VALUE"""),"#N/A")</f>
        <v>#N/A</v>
      </c>
      <c r="Q3357" s="1"/>
      <c r="R3357" s="1"/>
      <c r="S3357" s="1"/>
      <c r="T3357" s="1"/>
      <c r="U3357" s="2">
        <f>IFERROR(__xludf.DUMMYFUNCTION("""COMPUTED_VALUE"""),0.0)</f>
        <v>0</v>
      </c>
      <c r="V3357" s="1" t="str">
        <f>IFERROR(__xludf.DUMMYFUNCTION("""COMPUTED_VALUE"""),"#N/A")</f>
        <v>#N/A</v>
      </c>
      <c r="W3357" s="1" t="str">
        <f>IFERROR(__xludf.DUMMYFUNCTION("""COMPUTED_VALUE"""),"#N/A")</f>
        <v>#N/A</v>
      </c>
    </row>
    <row r="3358">
      <c r="O3358" s="1" t="str">
        <f>IFERROR(__xludf.DUMMYFUNCTION("""COMPUTED_VALUE"""),"#VALUE!")</f>
        <v>#VALUE!</v>
      </c>
      <c r="P3358" s="1" t="str">
        <f>IFERROR(__xludf.DUMMYFUNCTION("""COMPUTED_VALUE"""),"#N/A")</f>
        <v>#N/A</v>
      </c>
      <c r="Q3358" s="1"/>
      <c r="R3358" s="1"/>
      <c r="S3358" s="1"/>
      <c r="T3358" s="1"/>
      <c r="U3358" s="2">
        <f>IFERROR(__xludf.DUMMYFUNCTION("""COMPUTED_VALUE"""),0.0)</f>
        <v>0</v>
      </c>
      <c r="V3358" s="1" t="str">
        <f>IFERROR(__xludf.DUMMYFUNCTION("""COMPUTED_VALUE"""),"#N/A")</f>
        <v>#N/A</v>
      </c>
      <c r="W3358" s="1" t="str">
        <f>IFERROR(__xludf.DUMMYFUNCTION("""COMPUTED_VALUE"""),"#N/A")</f>
        <v>#N/A</v>
      </c>
    </row>
    <row r="3359">
      <c r="O3359" s="1" t="str">
        <f>IFERROR(__xludf.DUMMYFUNCTION("""COMPUTED_VALUE"""),"#VALUE!")</f>
        <v>#VALUE!</v>
      </c>
      <c r="P3359" s="1" t="str">
        <f>IFERROR(__xludf.DUMMYFUNCTION("""COMPUTED_VALUE"""),"#N/A")</f>
        <v>#N/A</v>
      </c>
      <c r="Q3359" s="1"/>
      <c r="R3359" s="1"/>
      <c r="S3359" s="1"/>
      <c r="T3359" s="1"/>
      <c r="U3359" s="2">
        <f>IFERROR(__xludf.DUMMYFUNCTION("""COMPUTED_VALUE"""),0.0)</f>
        <v>0</v>
      </c>
      <c r="V3359" s="1" t="str">
        <f>IFERROR(__xludf.DUMMYFUNCTION("""COMPUTED_VALUE"""),"#N/A")</f>
        <v>#N/A</v>
      </c>
      <c r="W3359" s="1" t="str">
        <f>IFERROR(__xludf.DUMMYFUNCTION("""COMPUTED_VALUE"""),"#N/A")</f>
        <v>#N/A</v>
      </c>
    </row>
    <row r="3360">
      <c r="O3360" s="1" t="str">
        <f>IFERROR(__xludf.DUMMYFUNCTION("""COMPUTED_VALUE"""),"#VALUE!")</f>
        <v>#VALUE!</v>
      </c>
      <c r="P3360" s="1" t="str">
        <f>IFERROR(__xludf.DUMMYFUNCTION("""COMPUTED_VALUE"""),"#N/A")</f>
        <v>#N/A</v>
      </c>
      <c r="Q3360" s="1"/>
      <c r="R3360" s="1"/>
      <c r="S3360" s="1"/>
      <c r="T3360" s="1"/>
      <c r="U3360" s="2">
        <f>IFERROR(__xludf.DUMMYFUNCTION("""COMPUTED_VALUE"""),0.0)</f>
        <v>0</v>
      </c>
      <c r="V3360" s="1" t="str">
        <f>IFERROR(__xludf.DUMMYFUNCTION("""COMPUTED_VALUE"""),"#N/A")</f>
        <v>#N/A</v>
      </c>
      <c r="W3360" s="1" t="str">
        <f>IFERROR(__xludf.DUMMYFUNCTION("""COMPUTED_VALUE"""),"#N/A")</f>
        <v>#N/A</v>
      </c>
    </row>
    <row r="3361">
      <c r="O3361" s="1" t="str">
        <f>IFERROR(__xludf.DUMMYFUNCTION("""COMPUTED_VALUE"""),"#VALUE!")</f>
        <v>#VALUE!</v>
      </c>
      <c r="P3361" s="1" t="str">
        <f>IFERROR(__xludf.DUMMYFUNCTION("""COMPUTED_VALUE"""),"#N/A")</f>
        <v>#N/A</v>
      </c>
      <c r="Q3361" s="1"/>
      <c r="R3361" s="1"/>
      <c r="S3361" s="1"/>
      <c r="T3361" s="1"/>
      <c r="U3361" s="2">
        <f>IFERROR(__xludf.DUMMYFUNCTION("""COMPUTED_VALUE"""),0.0)</f>
        <v>0</v>
      </c>
      <c r="V3361" s="1" t="str">
        <f>IFERROR(__xludf.DUMMYFUNCTION("""COMPUTED_VALUE"""),"#N/A")</f>
        <v>#N/A</v>
      </c>
      <c r="W3361" s="1" t="str">
        <f>IFERROR(__xludf.DUMMYFUNCTION("""COMPUTED_VALUE"""),"#N/A")</f>
        <v>#N/A</v>
      </c>
    </row>
    <row r="3362">
      <c r="O3362" s="1" t="str">
        <f>IFERROR(__xludf.DUMMYFUNCTION("""COMPUTED_VALUE"""),"#VALUE!")</f>
        <v>#VALUE!</v>
      </c>
      <c r="P3362" s="1" t="str">
        <f>IFERROR(__xludf.DUMMYFUNCTION("""COMPUTED_VALUE"""),"#N/A")</f>
        <v>#N/A</v>
      </c>
      <c r="Q3362" s="1"/>
      <c r="R3362" s="1"/>
      <c r="S3362" s="1"/>
      <c r="T3362" s="1"/>
      <c r="U3362" s="2">
        <f>IFERROR(__xludf.DUMMYFUNCTION("""COMPUTED_VALUE"""),0.0)</f>
        <v>0</v>
      </c>
      <c r="V3362" s="1" t="str">
        <f>IFERROR(__xludf.DUMMYFUNCTION("""COMPUTED_VALUE"""),"#N/A")</f>
        <v>#N/A</v>
      </c>
      <c r="W3362" s="1" t="str">
        <f>IFERROR(__xludf.DUMMYFUNCTION("""COMPUTED_VALUE"""),"#N/A")</f>
        <v>#N/A</v>
      </c>
    </row>
    <row r="3363">
      <c r="O3363" s="1" t="str">
        <f>IFERROR(__xludf.DUMMYFUNCTION("""COMPUTED_VALUE"""),"#VALUE!")</f>
        <v>#VALUE!</v>
      </c>
      <c r="P3363" s="1" t="str">
        <f>IFERROR(__xludf.DUMMYFUNCTION("""COMPUTED_VALUE"""),"#N/A")</f>
        <v>#N/A</v>
      </c>
      <c r="Q3363" s="1"/>
      <c r="R3363" s="1"/>
      <c r="S3363" s="1"/>
      <c r="T3363" s="1"/>
      <c r="U3363" s="2">
        <f>IFERROR(__xludf.DUMMYFUNCTION("""COMPUTED_VALUE"""),0.0)</f>
        <v>0</v>
      </c>
      <c r="V3363" s="1" t="str">
        <f>IFERROR(__xludf.DUMMYFUNCTION("""COMPUTED_VALUE"""),"#N/A")</f>
        <v>#N/A</v>
      </c>
      <c r="W3363" s="1" t="str">
        <f>IFERROR(__xludf.DUMMYFUNCTION("""COMPUTED_VALUE"""),"#N/A")</f>
        <v>#N/A</v>
      </c>
    </row>
    <row r="3364">
      <c r="O3364" s="1" t="str">
        <f>IFERROR(__xludf.DUMMYFUNCTION("""COMPUTED_VALUE"""),"#VALUE!")</f>
        <v>#VALUE!</v>
      </c>
      <c r="P3364" s="1" t="str">
        <f>IFERROR(__xludf.DUMMYFUNCTION("""COMPUTED_VALUE"""),"#N/A")</f>
        <v>#N/A</v>
      </c>
      <c r="Q3364" s="1"/>
      <c r="R3364" s="1"/>
      <c r="S3364" s="1"/>
      <c r="T3364" s="1"/>
      <c r="U3364" s="2">
        <f>IFERROR(__xludf.DUMMYFUNCTION("""COMPUTED_VALUE"""),0.0)</f>
        <v>0</v>
      </c>
      <c r="V3364" s="1" t="str">
        <f>IFERROR(__xludf.DUMMYFUNCTION("""COMPUTED_VALUE"""),"#N/A")</f>
        <v>#N/A</v>
      </c>
      <c r="W3364" s="1" t="str">
        <f>IFERROR(__xludf.DUMMYFUNCTION("""COMPUTED_VALUE"""),"#N/A")</f>
        <v>#N/A</v>
      </c>
    </row>
    <row r="3365">
      <c r="O3365" s="1" t="str">
        <f>IFERROR(__xludf.DUMMYFUNCTION("""COMPUTED_VALUE"""),"#VALUE!")</f>
        <v>#VALUE!</v>
      </c>
      <c r="P3365" s="1" t="str">
        <f>IFERROR(__xludf.DUMMYFUNCTION("""COMPUTED_VALUE"""),"#N/A")</f>
        <v>#N/A</v>
      </c>
      <c r="Q3365" s="1"/>
      <c r="R3365" s="1"/>
      <c r="S3365" s="1"/>
      <c r="T3365" s="1"/>
      <c r="U3365" s="2">
        <f>IFERROR(__xludf.DUMMYFUNCTION("""COMPUTED_VALUE"""),0.0)</f>
        <v>0</v>
      </c>
      <c r="V3365" s="1" t="str">
        <f>IFERROR(__xludf.DUMMYFUNCTION("""COMPUTED_VALUE"""),"#N/A")</f>
        <v>#N/A</v>
      </c>
      <c r="W3365" s="1" t="str">
        <f>IFERROR(__xludf.DUMMYFUNCTION("""COMPUTED_VALUE"""),"#N/A")</f>
        <v>#N/A</v>
      </c>
    </row>
    <row r="3366">
      <c r="O3366" s="1" t="str">
        <f>IFERROR(__xludf.DUMMYFUNCTION("""COMPUTED_VALUE"""),"#VALUE!")</f>
        <v>#VALUE!</v>
      </c>
      <c r="P3366" s="1" t="str">
        <f>IFERROR(__xludf.DUMMYFUNCTION("""COMPUTED_VALUE"""),"#N/A")</f>
        <v>#N/A</v>
      </c>
      <c r="Q3366" s="1"/>
      <c r="R3366" s="1"/>
      <c r="S3366" s="1"/>
      <c r="T3366" s="1"/>
      <c r="U3366" s="2">
        <f>IFERROR(__xludf.DUMMYFUNCTION("""COMPUTED_VALUE"""),0.0)</f>
        <v>0</v>
      </c>
      <c r="V3366" s="1" t="str">
        <f>IFERROR(__xludf.DUMMYFUNCTION("""COMPUTED_VALUE"""),"#N/A")</f>
        <v>#N/A</v>
      </c>
      <c r="W3366" s="1" t="str">
        <f>IFERROR(__xludf.DUMMYFUNCTION("""COMPUTED_VALUE"""),"#N/A")</f>
        <v>#N/A</v>
      </c>
    </row>
    <row r="3367">
      <c r="O3367" s="1" t="str">
        <f>IFERROR(__xludf.DUMMYFUNCTION("""COMPUTED_VALUE"""),"#VALUE!")</f>
        <v>#VALUE!</v>
      </c>
      <c r="P3367" s="1" t="str">
        <f>IFERROR(__xludf.DUMMYFUNCTION("""COMPUTED_VALUE"""),"#N/A")</f>
        <v>#N/A</v>
      </c>
      <c r="Q3367" s="1"/>
      <c r="R3367" s="1"/>
      <c r="S3367" s="1"/>
      <c r="T3367" s="1"/>
      <c r="U3367" s="2">
        <f>IFERROR(__xludf.DUMMYFUNCTION("""COMPUTED_VALUE"""),0.0)</f>
        <v>0</v>
      </c>
      <c r="V3367" s="1" t="str">
        <f>IFERROR(__xludf.DUMMYFUNCTION("""COMPUTED_VALUE"""),"#N/A")</f>
        <v>#N/A</v>
      </c>
      <c r="W3367" s="1" t="str">
        <f>IFERROR(__xludf.DUMMYFUNCTION("""COMPUTED_VALUE"""),"#N/A")</f>
        <v>#N/A</v>
      </c>
    </row>
    <row r="3368">
      <c r="O3368" s="1" t="str">
        <f>IFERROR(__xludf.DUMMYFUNCTION("""COMPUTED_VALUE"""),"#VALUE!")</f>
        <v>#VALUE!</v>
      </c>
      <c r="P3368" s="1" t="str">
        <f>IFERROR(__xludf.DUMMYFUNCTION("""COMPUTED_VALUE"""),"#N/A")</f>
        <v>#N/A</v>
      </c>
      <c r="Q3368" s="1"/>
      <c r="R3368" s="1"/>
      <c r="S3368" s="1"/>
      <c r="T3368" s="1"/>
      <c r="U3368" s="2">
        <f>IFERROR(__xludf.DUMMYFUNCTION("""COMPUTED_VALUE"""),0.0)</f>
        <v>0</v>
      </c>
      <c r="V3368" s="1" t="str">
        <f>IFERROR(__xludf.DUMMYFUNCTION("""COMPUTED_VALUE"""),"#N/A")</f>
        <v>#N/A</v>
      </c>
      <c r="W3368" s="1" t="str">
        <f>IFERROR(__xludf.DUMMYFUNCTION("""COMPUTED_VALUE"""),"#N/A")</f>
        <v>#N/A</v>
      </c>
    </row>
    <row r="3369">
      <c r="O3369" s="1" t="str">
        <f>IFERROR(__xludf.DUMMYFUNCTION("""COMPUTED_VALUE"""),"#VALUE!")</f>
        <v>#VALUE!</v>
      </c>
      <c r="P3369" s="1" t="str">
        <f>IFERROR(__xludf.DUMMYFUNCTION("""COMPUTED_VALUE"""),"#N/A")</f>
        <v>#N/A</v>
      </c>
      <c r="Q3369" s="1"/>
      <c r="R3369" s="1"/>
      <c r="S3369" s="1"/>
      <c r="T3369" s="1"/>
      <c r="U3369" s="2">
        <f>IFERROR(__xludf.DUMMYFUNCTION("""COMPUTED_VALUE"""),0.0)</f>
        <v>0</v>
      </c>
      <c r="V3369" s="1" t="str">
        <f>IFERROR(__xludf.DUMMYFUNCTION("""COMPUTED_VALUE"""),"#N/A")</f>
        <v>#N/A</v>
      </c>
      <c r="W3369" s="1" t="str">
        <f>IFERROR(__xludf.DUMMYFUNCTION("""COMPUTED_VALUE"""),"#N/A")</f>
        <v>#N/A</v>
      </c>
    </row>
    <row r="3370">
      <c r="O3370" s="1" t="str">
        <f>IFERROR(__xludf.DUMMYFUNCTION("""COMPUTED_VALUE"""),"#VALUE!")</f>
        <v>#VALUE!</v>
      </c>
      <c r="P3370" s="1" t="str">
        <f>IFERROR(__xludf.DUMMYFUNCTION("""COMPUTED_VALUE"""),"#N/A")</f>
        <v>#N/A</v>
      </c>
      <c r="Q3370" s="1"/>
      <c r="R3370" s="1"/>
      <c r="S3370" s="1"/>
      <c r="T3370" s="1"/>
      <c r="U3370" s="2">
        <f>IFERROR(__xludf.DUMMYFUNCTION("""COMPUTED_VALUE"""),0.0)</f>
        <v>0</v>
      </c>
      <c r="V3370" s="1" t="str">
        <f>IFERROR(__xludf.DUMMYFUNCTION("""COMPUTED_VALUE"""),"#N/A")</f>
        <v>#N/A</v>
      </c>
      <c r="W3370" s="1" t="str">
        <f>IFERROR(__xludf.DUMMYFUNCTION("""COMPUTED_VALUE"""),"#N/A")</f>
        <v>#N/A</v>
      </c>
    </row>
    <row r="3371">
      <c r="O3371" s="1" t="str">
        <f>IFERROR(__xludf.DUMMYFUNCTION("""COMPUTED_VALUE"""),"#VALUE!")</f>
        <v>#VALUE!</v>
      </c>
      <c r="P3371" s="1" t="str">
        <f>IFERROR(__xludf.DUMMYFUNCTION("""COMPUTED_VALUE"""),"#N/A")</f>
        <v>#N/A</v>
      </c>
      <c r="Q3371" s="1"/>
      <c r="R3371" s="1"/>
      <c r="S3371" s="1"/>
      <c r="T3371" s="1"/>
      <c r="U3371" s="2">
        <f>IFERROR(__xludf.DUMMYFUNCTION("""COMPUTED_VALUE"""),0.0)</f>
        <v>0</v>
      </c>
      <c r="V3371" s="1" t="str">
        <f>IFERROR(__xludf.DUMMYFUNCTION("""COMPUTED_VALUE"""),"#N/A")</f>
        <v>#N/A</v>
      </c>
      <c r="W3371" s="1" t="str">
        <f>IFERROR(__xludf.DUMMYFUNCTION("""COMPUTED_VALUE"""),"#N/A")</f>
        <v>#N/A</v>
      </c>
    </row>
    <row r="3372">
      <c r="O3372" s="1" t="str">
        <f>IFERROR(__xludf.DUMMYFUNCTION("""COMPUTED_VALUE"""),"#VALUE!")</f>
        <v>#VALUE!</v>
      </c>
      <c r="P3372" s="1" t="str">
        <f>IFERROR(__xludf.DUMMYFUNCTION("""COMPUTED_VALUE"""),"#N/A")</f>
        <v>#N/A</v>
      </c>
      <c r="Q3372" s="1"/>
      <c r="R3372" s="1"/>
      <c r="S3372" s="1"/>
      <c r="T3372" s="1"/>
      <c r="U3372" s="2">
        <f>IFERROR(__xludf.DUMMYFUNCTION("""COMPUTED_VALUE"""),0.0)</f>
        <v>0</v>
      </c>
      <c r="V3372" s="1" t="str">
        <f>IFERROR(__xludf.DUMMYFUNCTION("""COMPUTED_VALUE"""),"#N/A")</f>
        <v>#N/A</v>
      </c>
      <c r="W3372" s="1" t="str">
        <f>IFERROR(__xludf.DUMMYFUNCTION("""COMPUTED_VALUE"""),"#N/A")</f>
        <v>#N/A</v>
      </c>
    </row>
    <row r="3373">
      <c r="O3373" s="1" t="str">
        <f>IFERROR(__xludf.DUMMYFUNCTION("""COMPUTED_VALUE"""),"#VALUE!")</f>
        <v>#VALUE!</v>
      </c>
      <c r="P3373" s="1" t="str">
        <f>IFERROR(__xludf.DUMMYFUNCTION("""COMPUTED_VALUE"""),"#N/A")</f>
        <v>#N/A</v>
      </c>
      <c r="Q3373" s="1"/>
      <c r="R3373" s="1"/>
      <c r="S3373" s="1"/>
      <c r="T3373" s="1"/>
      <c r="U3373" s="2">
        <f>IFERROR(__xludf.DUMMYFUNCTION("""COMPUTED_VALUE"""),0.0)</f>
        <v>0</v>
      </c>
      <c r="V3373" s="1" t="str">
        <f>IFERROR(__xludf.DUMMYFUNCTION("""COMPUTED_VALUE"""),"#N/A")</f>
        <v>#N/A</v>
      </c>
      <c r="W3373" s="1" t="str">
        <f>IFERROR(__xludf.DUMMYFUNCTION("""COMPUTED_VALUE"""),"#N/A")</f>
        <v>#N/A</v>
      </c>
    </row>
    <row r="3374">
      <c r="O3374" s="1" t="str">
        <f>IFERROR(__xludf.DUMMYFUNCTION("""COMPUTED_VALUE"""),"#VALUE!")</f>
        <v>#VALUE!</v>
      </c>
      <c r="P3374" s="1" t="str">
        <f>IFERROR(__xludf.DUMMYFUNCTION("""COMPUTED_VALUE"""),"#N/A")</f>
        <v>#N/A</v>
      </c>
      <c r="Q3374" s="1"/>
      <c r="R3374" s="1"/>
      <c r="S3374" s="1"/>
      <c r="T3374" s="1"/>
      <c r="U3374" s="2">
        <f>IFERROR(__xludf.DUMMYFUNCTION("""COMPUTED_VALUE"""),0.0)</f>
        <v>0</v>
      </c>
      <c r="V3374" s="1" t="str">
        <f>IFERROR(__xludf.DUMMYFUNCTION("""COMPUTED_VALUE"""),"#N/A")</f>
        <v>#N/A</v>
      </c>
      <c r="W3374" s="1" t="str">
        <f>IFERROR(__xludf.DUMMYFUNCTION("""COMPUTED_VALUE"""),"#N/A")</f>
        <v>#N/A</v>
      </c>
    </row>
    <row r="3375">
      <c r="O3375" s="1" t="str">
        <f>IFERROR(__xludf.DUMMYFUNCTION("""COMPUTED_VALUE"""),"#VALUE!")</f>
        <v>#VALUE!</v>
      </c>
      <c r="P3375" s="1" t="str">
        <f>IFERROR(__xludf.DUMMYFUNCTION("""COMPUTED_VALUE"""),"#N/A")</f>
        <v>#N/A</v>
      </c>
      <c r="Q3375" s="1"/>
      <c r="R3375" s="1"/>
      <c r="S3375" s="1"/>
      <c r="T3375" s="1"/>
      <c r="U3375" s="2">
        <f>IFERROR(__xludf.DUMMYFUNCTION("""COMPUTED_VALUE"""),0.0)</f>
        <v>0</v>
      </c>
      <c r="V3375" s="1" t="str">
        <f>IFERROR(__xludf.DUMMYFUNCTION("""COMPUTED_VALUE"""),"#N/A")</f>
        <v>#N/A</v>
      </c>
      <c r="W3375" s="1" t="str">
        <f>IFERROR(__xludf.DUMMYFUNCTION("""COMPUTED_VALUE"""),"#N/A")</f>
        <v>#N/A</v>
      </c>
    </row>
    <row r="3376">
      <c r="O3376" s="1" t="str">
        <f>IFERROR(__xludf.DUMMYFUNCTION("""COMPUTED_VALUE"""),"#VALUE!")</f>
        <v>#VALUE!</v>
      </c>
      <c r="P3376" s="1" t="str">
        <f>IFERROR(__xludf.DUMMYFUNCTION("""COMPUTED_VALUE"""),"#N/A")</f>
        <v>#N/A</v>
      </c>
      <c r="Q3376" s="1"/>
      <c r="R3376" s="1"/>
      <c r="S3376" s="1"/>
      <c r="T3376" s="1"/>
      <c r="U3376" s="2">
        <f>IFERROR(__xludf.DUMMYFUNCTION("""COMPUTED_VALUE"""),0.0)</f>
        <v>0</v>
      </c>
      <c r="V3376" s="1" t="str">
        <f>IFERROR(__xludf.DUMMYFUNCTION("""COMPUTED_VALUE"""),"#N/A")</f>
        <v>#N/A</v>
      </c>
      <c r="W3376" s="1" t="str">
        <f>IFERROR(__xludf.DUMMYFUNCTION("""COMPUTED_VALUE"""),"#N/A")</f>
        <v>#N/A</v>
      </c>
    </row>
    <row r="3377">
      <c r="O3377" s="1" t="str">
        <f>IFERROR(__xludf.DUMMYFUNCTION("""COMPUTED_VALUE"""),"#VALUE!")</f>
        <v>#VALUE!</v>
      </c>
      <c r="P3377" s="1" t="str">
        <f>IFERROR(__xludf.DUMMYFUNCTION("""COMPUTED_VALUE"""),"#N/A")</f>
        <v>#N/A</v>
      </c>
      <c r="Q3377" s="1"/>
      <c r="R3377" s="1"/>
      <c r="S3377" s="1"/>
      <c r="T3377" s="1"/>
      <c r="U3377" s="2">
        <f>IFERROR(__xludf.DUMMYFUNCTION("""COMPUTED_VALUE"""),0.0)</f>
        <v>0</v>
      </c>
      <c r="V3377" s="1" t="str">
        <f>IFERROR(__xludf.DUMMYFUNCTION("""COMPUTED_VALUE"""),"#N/A")</f>
        <v>#N/A</v>
      </c>
      <c r="W3377" s="1" t="str">
        <f>IFERROR(__xludf.DUMMYFUNCTION("""COMPUTED_VALUE"""),"#N/A")</f>
        <v>#N/A</v>
      </c>
    </row>
    <row r="3378">
      <c r="O3378" s="1" t="str">
        <f>IFERROR(__xludf.DUMMYFUNCTION("""COMPUTED_VALUE"""),"#VALUE!")</f>
        <v>#VALUE!</v>
      </c>
      <c r="P3378" s="1" t="str">
        <f>IFERROR(__xludf.DUMMYFUNCTION("""COMPUTED_VALUE"""),"#N/A")</f>
        <v>#N/A</v>
      </c>
      <c r="Q3378" s="1"/>
      <c r="R3378" s="1"/>
      <c r="S3378" s="1"/>
      <c r="T3378" s="1"/>
      <c r="U3378" s="2">
        <f>IFERROR(__xludf.DUMMYFUNCTION("""COMPUTED_VALUE"""),0.0)</f>
        <v>0</v>
      </c>
      <c r="V3378" s="1" t="str">
        <f>IFERROR(__xludf.DUMMYFUNCTION("""COMPUTED_VALUE"""),"#N/A")</f>
        <v>#N/A</v>
      </c>
      <c r="W3378" s="1" t="str">
        <f>IFERROR(__xludf.DUMMYFUNCTION("""COMPUTED_VALUE"""),"#N/A")</f>
        <v>#N/A</v>
      </c>
    </row>
    <row r="3379">
      <c r="O3379" s="1" t="str">
        <f>IFERROR(__xludf.DUMMYFUNCTION("""COMPUTED_VALUE"""),"#VALUE!")</f>
        <v>#VALUE!</v>
      </c>
      <c r="P3379" s="1" t="str">
        <f>IFERROR(__xludf.DUMMYFUNCTION("""COMPUTED_VALUE"""),"#N/A")</f>
        <v>#N/A</v>
      </c>
      <c r="Q3379" s="1"/>
      <c r="R3379" s="1"/>
      <c r="S3379" s="1"/>
      <c r="T3379" s="1"/>
      <c r="U3379" s="2">
        <f>IFERROR(__xludf.DUMMYFUNCTION("""COMPUTED_VALUE"""),0.0)</f>
        <v>0</v>
      </c>
      <c r="V3379" s="1" t="str">
        <f>IFERROR(__xludf.DUMMYFUNCTION("""COMPUTED_VALUE"""),"#N/A")</f>
        <v>#N/A</v>
      </c>
      <c r="W3379" s="1" t="str">
        <f>IFERROR(__xludf.DUMMYFUNCTION("""COMPUTED_VALUE"""),"#N/A")</f>
        <v>#N/A</v>
      </c>
    </row>
    <row r="3380">
      <c r="O3380" s="1" t="str">
        <f>IFERROR(__xludf.DUMMYFUNCTION("""COMPUTED_VALUE"""),"#VALUE!")</f>
        <v>#VALUE!</v>
      </c>
      <c r="P3380" s="1" t="str">
        <f>IFERROR(__xludf.DUMMYFUNCTION("""COMPUTED_VALUE"""),"#N/A")</f>
        <v>#N/A</v>
      </c>
      <c r="Q3380" s="1"/>
      <c r="R3380" s="1"/>
      <c r="S3380" s="1"/>
      <c r="T3380" s="1"/>
      <c r="U3380" s="2">
        <f>IFERROR(__xludf.DUMMYFUNCTION("""COMPUTED_VALUE"""),0.0)</f>
        <v>0</v>
      </c>
      <c r="V3380" s="1" t="str">
        <f>IFERROR(__xludf.DUMMYFUNCTION("""COMPUTED_VALUE"""),"#N/A")</f>
        <v>#N/A</v>
      </c>
      <c r="W3380" s="1" t="str">
        <f>IFERROR(__xludf.DUMMYFUNCTION("""COMPUTED_VALUE"""),"#N/A")</f>
        <v>#N/A</v>
      </c>
    </row>
    <row r="3381">
      <c r="O3381" s="1" t="str">
        <f>IFERROR(__xludf.DUMMYFUNCTION("""COMPUTED_VALUE"""),"#VALUE!")</f>
        <v>#VALUE!</v>
      </c>
      <c r="P3381" s="1" t="str">
        <f>IFERROR(__xludf.DUMMYFUNCTION("""COMPUTED_VALUE"""),"#N/A")</f>
        <v>#N/A</v>
      </c>
      <c r="Q3381" s="1"/>
      <c r="R3381" s="1"/>
      <c r="S3381" s="1"/>
      <c r="T3381" s="1"/>
      <c r="U3381" s="2">
        <f>IFERROR(__xludf.DUMMYFUNCTION("""COMPUTED_VALUE"""),0.0)</f>
        <v>0</v>
      </c>
      <c r="V3381" s="1" t="str">
        <f>IFERROR(__xludf.DUMMYFUNCTION("""COMPUTED_VALUE"""),"#N/A")</f>
        <v>#N/A</v>
      </c>
      <c r="W3381" s="1" t="str">
        <f>IFERROR(__xludf.DUMMYFUNCTION("""COMPUTED_VALUE"""),"#N/A")</f>
        <v>#N/A</v>
      </c>
    </row>
    <row r="3382">
      <c r="O3382" s="1" t="str">
        <f>IFERROR(__xludf.DUMMYFUNCTION("""COMPUTED_VALUE"""),"#VALUE!")</f>
        <v>#VALUE!</v>
      </c>
      <c r="P3382" s="1" t="str">
        <f>IFERROR(__xludf.DUMMYFUNCTION("""COMPUTED_VALUE"""),"#N/A")</f>
        <v>#N/A</v>
      </c>
      <c r="Q3382" s="1"/>
      <c r="R3382" s="1"/>
      <c r="S3382" s="1"/>
      <c r="T3382" s="1"/>
      <c r="U3382" s="2">
        <f>IFERROR(__xludf.DUMMYFUNCTION("""COMPUTED_VALUE"""),0.0)</f>
        <v>0</v>
      </c>
      <c r="V3382" s="1" t="str">
        <f>IFERROR(__xludf.DUMMYFUNCTION("""COMPUTED_VALUE"""),"#N/A")</f>
        <v>#N/A</v>
      </c>
      <c r="W3382" s="1" t="str">
        <f>IFERROR(__xludf.DUMMYFUNCTION("""COMPUTED_VALUE"""),"#N/A")</f>
        <v>#N/A</v>
      </c>
    </row>
    <row r="3383">
      <c r="O3383" s="1" t="str">
        <f>IFERROR(__xludf.DUMMYFUNCTION("""COMPUTED_VALUE"""),"#VALUE!")</f>
        <v>#VALUE!</v>
      </c>
      <c r="P3383" s="1" t="str">
        <f>IFERROR(__xludf.DUMMYFUNCTION("""COMPUTED_VALUE"""),"#N/A")</f>
        <v>#N/A</v>
      </c>
      <c r="Q3383" s="1"/>
      <c r="R3383" s="1"/>
      <c r="S3383" s="1"/>
      <c r="T3383" s="1"/>
      <c r="U3383" s="2">
        <f>IFERROR(__xludf.DUMMYFUNCTION("""COMPUTED_VALUE"""),0.0)</f>
        <v>0</v>
      </c>
      <c r="V3383" s="1" t="str">
        <f>IFERROR(__xludf.DUMMYFUNCTION("""COMPUTED_VALUE"""),"#N/A")</f>
        <v>#N/A</v>
      </c>
      <c r="W3383" s="1" t="str">
        <f>IFERROR(__xludf.DUMMYFUNCTION("""COMPUTED_VALUE"""),"#N/A")</f>
        <v>#N/A</v>
      </c>
    </row>
    <row r="3384">
      <c r="O3384" s="1" t="str">
        <f>IFERROR(__xludf.DUMMYFUNCTION("""COMPUTED_VALUE"""),"#VALUE!")</f>
        <v>#VALUE!</v>
      </c>
      <c r="P3384" s="1" t="str">
        <f>IFERROR(__xludf.DUMMYFUNCTION("""COMPUTED_VALUE"""),"#N/A")</f>
        <v>#N/A</v>
      </c>
      <c r="Q3384" s="1"/>
      <c r="R3384" s="1"/>
      <c r="S3384" s="1"/>
      <c r="T3384" s="1"/>
      <c r="U3384" s="2">
        <f>IFERROR(__xludf.DUMMYFUNCTION("""COMPUTED_VALUE"""),0.0)</f>
        <v>0</v>
      </c>
      <c r="V3384" s="1" t="str">
        <f>IFERROR(__xludf.DUMMYFUNCTION("""COMPUTED_VALUE"""),"#N/A")</f>
        <v>#N/A</v>
      </c>
      <c r="W3384" s="1" t="str">
        <f>IFERROR(__xludf.DUMMYFUNCTION("""COMPUTED_VALUE"""),"#N/A")</f>
        <v>#N/A</v>
      </c>
    </row>
    <row r="3385">
      <c r="O3385" s="1" t="str">
        <f>IFERROR(__xludf.DUMMYFUNCTION("""COMPUTED_VALUE"""),"#VALUE!")</f>
        <v>#VALUE!</v>
      </c>
      <c r="P3385" s="1" t="str">
        <f>IFERROR(__xludf.DUMMYFUNCTION("""COMPUTED_VALUE"""),"#N/A")</f>
        <v>#N/A</v>
      </c>
      <c r="Q3385" s="1"/>
      <c r="R3385" s="1"/>
      <c r="S3385" s="1"/>
      <c r="T3385" s="1"/>
      <c r="U3385" s="2">
        <f>IFERROR(__xludf.DUMMYFUNCTION("""COMPUTED_VALUE"""),0.0)</f>
        <v>0</v>
      </c>
      <c r="V3385" s="1" t="str">
        <f>IFERROR(__xludf.DUMMYFUNCTION("""COMPUTED_VALUE"""),"#N/A")</f>
        <v>#N/A</v>
      </c>
      <c r="W3385" s="1" t="str">
        <f>IFERROR(__xludf.DUMMYFUNCTION("""COMPUTED_VALUE"""),"#N/A")</f>
        <v>#N/A</v>
      </c>
    </row>
    <row r="3386">
      <c r="O3386" s="1" t="str">
        <f>IFERROR(__xludf.DUMMYFUNCTION("""COMPUTED_VALUE"""),"#VALUE!")</f>
        <v>#VALUE!</v>
      </c>
      <c r="P3386" s="1" t="str">
        <f>IFERROR(__xludf.DUMMYFUNCTION("""COMPUTED_VALUE"""),"#N/A")</f>
        <v>#N/A</v>
      </c>
      <c r="Q3386" s="1"/>
      <c r="R3386" s="1"/>
      <c r="S3386" s="1"/>
      <c r="T3386" s="1"/>
      <c r="U3386" s="2">
        <f>IFERROR(__xludf.DUMMYFUNCTION("""COMPUTED_VALUE"""),0.0)</f>
        <v>0</v>
      </c>
      <c r="V3386" s="1" t="str">
        <f>IFERROR(__xludf.DUMMYFUNCTION("""COMPUTED_VALUE"""),"#N/A")</f>
        <v>#N/A</v>
      </c>
      <c r="W3386" s="1" t="str">
        <f>IFERROR(__xludf.DUMMYFUNCTION("""COMPUTED_VALUE"""),"#N/A")</f>
        <v>#N/A</v>
      </c>
    </row>
    <row r="3387">
      <c r="O3387" s="1" t="str">
        <f>IFERROR(__xludf.DUMMYFUNCTION("""COMPUTED_VALUE"""),"#VALUE!")</f>
        <v>#VALUE!</v>
      </c>
      <c r="P3387" s="1" t="str">
        <f>IFERROR(__xludf.DUMMYFUNCTION("""COMPUTED_VALUE"""),"#N/A")</f>
        <v>#N/A</v>
      </c>
      <c r="Q3387" s="1"/>
      <c r="R3387" s="1"/>
      <c r="S3387" s="1"/>
      <c r="T3387" s="1"/>
      <c r="U3387" s="2">
        <f>IFERROR(__xludf.DUMMYFUNCTION("""COMPUTED_VALUE"""),0.0)</f>
        <v>0</v>
      </c>
      <c r="V3387" s="1" t="str">
        <f>IFERROR(__xludf.DUMMYFUNCTION("""COMPUTED_VALUE"""),"#N/A")</f>
        <v>#N/A</v>
      </c>
      <c r="W3387" s="1" t="str">
        <f>IFERROR(__xludf.DUMMYFUNCTION("""COMPUTED_VALUE"""),"#N/A")</f>
        <v>#N/A</v>
      </c>
    </row>
    <row r="3388">
      <c r="O3388" s="1" t="str">
        <f>IFERROR(__xludf.DUMMYFUNCTION("""COMPUTED_VALUE"""),"#VALUE!")</f>
        <v>#VALUE!</v>
      </c>
      <c r="P3388" s="1" t="str">
        <f>IFERROR(__xludf.DUMMYFUNCTION("""COMPUTED_VALUE"""),"#N/A")</f>
        <v>#N/A</v>
      </c>
      <c r="Q3388" s="1"/>
      <c r="R3388" s="1"/>
      <c r="S3388" s="1"/>
      <c r="T3388" s="1"/>
      <c r="U3388" s="2">
        <f>IFERROR(__xludf.DUMMYFUNCTION("""COMPUTED_VALUE"""),0.0)</f>
        <v>0</v>
      </c>
      <c r="V3388" s="1" t="str">
        <f>IFERROR(__xludf.DUMMYFUNCTION("""COMPUTED_VALUE"""),"#N/A")</f>
        <v>#N/A</v>
      </c>
      <c r="W3388" s="1" t="str">
        <f>IFERROR(__xludf.DUMMYFUNCTION("""COMPUTED_VALUE"""),"#N/A")</f>
        <v>#N/A</v>
      </c>
    </row>
    <row r="3389">
      <c r="O3389" s="1" t="str">
        <f>IFERROR(__xludf.DUMMYFUNCTION("""COMPUTED_VALUE"""),"#VALUE!")</f>
        <v>#VALUE!</v>
      </c>
      <c r="P3389" s="1" t="str">
        <f>IFERROR(__xludf.DUMMYFUNCTION("""COMPUTED_VALUE"""),"#N/A")</f>
        <v>#N/A</v>
      </c>
      <c r="Q3389" s="1"/>
      <c r="R3389" s="1"/>
      <c r="S3389" s="1"/>
      <c r="T3389" s="1"/>
      <c r="U3389" s="2">
        <f>IFERROR(__xludf.DUMMYFUNCTION("""COMPUTED_VALUE"""),0.0)</f>
        <v>0</v>
      </c>
      <c r="V3389" s="1" t="str">
        <f>IFERROR(__xludf.DUMMYFUNCTION("""COMPUTED_VALUE"""),"#N/A")</f>
        <v>#N/A</v>
      </c>
      <c r="W3389" s="1" t="str">
        <f>IFERROR(__xludf.DUMMYFUNCTION("""COMPUTED_VALUE"""),"#N/A")</f>
        <v>#N/A</v>
      </c>
    </row>
    <row r="3390">
      <c r="O3390" s="1" t="str">
        <f>IFERROR(__xludf.DUMMYFUNCTION("""COMPUTED_VALUE"""),"#VALUE!")</f>
        <v>#VALUE!</v>
      </c>
      <c r="P3390" s="1" t="str">
        <f>IFERROR(__xludf.DUMMYFUNCTION("""COMPUTED_VALUE"""),"#N/A")</f>
        <v>#N/A</v>
      </c>
      <c r="Q3390" s="1"/>
      <c r="R3390" s="1"/>
      <c r="S3390" s="1"/>
      <c r="T3390" s="1"/>
      <c r="U3390" s="2">
        <f>IFERROR(__xludf.DUMMYFUNCTION("""COMPUTED_VALUE"""),0.0)</f>
        <v>0</v>
      </c>
      <c r="V3390" s="1" t="str">
        <f>IFERROR(__xludf.DUMMYFUNCTION("""COMPUTED_VALUE"""),"#N/A")</f>
        <v>#N/A</v>
      </c>
      <c r="W3390" s="1" t="str">
        <f>IFERROR(__xludf.DUMMYFUNCTION("""COMPUTED_VALUE"""),"#N/A")</f>
        <v>#N/A</v>
      </c>
    </row>
    <row r="3391">
      <c r="O3391" s="1" t="str">
        <f>IFERROR(__xludf.DUMMYFUNCTION("""COMPUTED_VALUE"""),"#VALUE!")</f>
        <v>#VALUE!</v>
      </c>
      <c r="P3391" s="1" t="str">
        <f>IFERROR(__xludf.DUMMYFUNCTION("""COMPUTED_VALUE"""),"#N/A")</f>
        <v>#N/A</v>
      </c>
      <c r="Q3391" s="1"/>
      <c r="R3391" s="1"/>
      <c r="S3391" s="1"/>
      <c r="T3391" s="1"/>
      <c r="U3391" s="2">
        <f>IFERROR(__xludf.DUMMYFUNCTION("""COMPUTED_VALUE"""),0.0)</f>
        <v>0</v>
      </c>
      <c r="V3391" s="1" t="str">
        <f>IFERROR(__xludf.DUMMYFUNCTION("""COMPUTED_VALUE"""),"#N/A")</f>
        <v>#N/A</v>
      </c>
      <c r="W3391" s="1" t="str">
        <f>IFERROR(__xludf.DUMMYFUNCTION("""COMPUTED_VALUE"""),"#N/A")</f>
        <v>#N/A</v>
      </c>
    </row>
    <row r="3392">
      <c r="O3392" s="1" t="str">
        <f>IFERROR(__xludf.DUMMYFUNCTION("""COMPUTED_VALUE"""),"#VALUE!")</f>
        <v>#VALUE!</v>
      </c>
      <c r="P3392" s="1" t="str">
        <f>IFERROR(__xludf.DUMMYFUNCTION("""COMPUTED_VALUE"""),"#N/A")</f>
        <v>#N/A</v>
      </c>
      <c r="Q3392" s="1"/>
      <c r="R3392" s="1"/>
      <c r="S3392" s="1"/>
      <c r="T3392" s="1"/>
      <c r="U3392" s="2">
        <f>IFERROR(__xludf.DUMMYFUNCTION("""COMPUTED_VALUE"""),0.0)</f>
        <v>0</v>
      </c>
      <c r="V3392" s="1" t="str">
        <f>IFERROR(__xludf.DUMMYFUNCTION("""COMPUTED_VALUE"""),"#N/A")</f>
        <v>#N/A</v>
      </c>
      <c r="W3392" s="1" t="str">
        <f>IFERROR(__xludf.DUMMYFUNCTION("""COMPUTED_VALUE"""),"#N/A")</f>
        <v>#N/A</v>
      </c>
    </row>
    <row r="3393">
      <c r="O3393" s="1" t="str">
        <f>IFERROR(__xludf.DUMMYFUNCTION("""COMPUTED_VALUE"""),"#VALUE!")</f>
        <v>#VALUE!</v>
      </c>
      <c r="P3393" s="1" t="str">
        <f>IFERROR(__xludf.DUMMYFUNCTION("""COMPUTED_VALUE"""),"#N/A")</f>
        <v>#N/A</v>
      </c>
      <c r="Q3393" s="1"/>
      <c r="R3393" s="1"/>
      <c r="S3393" s="1"/>
      <c r="T3393" s="1"/>
      <c r="U3393" s="2">
        <f>IFERROR(__xludf.DUMMYFUNCTION("""COMPUTED_VALUE"""),0.0)</f>
        <v>0</v>
      </c>
      <c r="V3393" s="1" t="str">
        <f>IFERROR(__xludf.DUMMYFUNCTION("""COMPUTED_VALUE"""),"#N/A")</f>
        <v>#N/A</v>
      </c>
      <c r="W3393" s="1" t="str">
        <f>IFERROR(__xludf.DUMMYFUNCTION("""COMPUTED_VALUE"""),"#N/A")</f>
        <v>#N/A</v>
      </c>
    </row>
    <row r="3394">
      <c r="O3394" s="1" t="str">
        <f>IFERROR(__xludf.DUMMYFUNCTION("""COMPUTED_VALUE"""),"#VALUE!")</f>
        <v>#VALUE!</v>
      </c>
      <c r="P3394" s="1" t="str">
        <f>IFERROR(__xludf.DUMMYFUNCTION("""COMPUTED_VALUE"""),"#N/A")</f>
        <v>#N/A</v>
      </c>
      <c r="Q3394" s="1"/>
      <c r="R3394" s="1"/>
      <c r="S3394" s="1"/>
      <c r="T3394" s="1"/>
      <c r="U3394" s="2">
        <f>IFERROR(__xludf.DUMMYFUNCTION("""COMPUTED_VALUE"""),0.0)</f>
        <v>0</v>
      </c>
      <c r="V3394" s="1" t="str">
        <f>IFERROR(__xludf.DUMMYFUNCTION("""COMPUTED_VALUE"""),"#N/A")</f>
        <v>#N/A</v>
      </c>
      <c r="W3394" s="1" t="str">
        <f>IFERROR(__xludf.DUMMYFUNCTION("""COMPUTED_VALUE"""),"#N/A")</f>
        <v>#N/A</v>
      </c>
    </row>
    <row r="3395">
      <c r="O3395" s="1" t="str">
        <f>IFERROR(__xludf.DUMMYFUNCTION("""COMPUTED_VALUE"""),"#VALUE!")</f>
        <v>#VALUE!</v>
      </c>
      <c r="P3395" s="1" t="str">
        <f>IFERROR(__xludf.DUMMYFUNCTION("""COMPUTED_VALUE"""),"#N/A")</f>
        <v>#N/A</v>
      </c>
      <c r="Q3395" s="1"/>
      <c r="R3395" s="1"/>
      <c r="S3395" s="1"/>
      <c r="T3395" s="1"/>
      <c r="U3395" s="2">
        <f>IFERROR(__xludf.DUMMYFUNCTION("""COMPUTED_VALUE"""),0.0)</f>
        <v>0</v>
      </c>
      <c r="V3395" s="1" t="str">
        <f>IFERROR(__xludf.DUMMYFUNCTION("""COMPUTED_VALUE"""),"#N/A")</f>
        <v>#N/A</v>
      </c>
      <c r="W3395" s="1" t="str">
        <f>IFERROR(__xludf.DUMMYFUNCTION("""COMPUTED_VALUE"""),"#N/A")</f>
        <v>#N/A</v>
      </c>
    </row>
    <row r="3396">
      <c r="O3396" s="1" t="str">
        <f>IFERROR(__xludf.DUMMYFUNCTION("""COMPUTED_VALUE"""),"#VALUE!")</f>
        <v>#VALUE!</v>
      </c>
      <c r="P3396" s="1" t="str">
        <f>IFERROR(__xludf.DUMMYFUNCTION("""COMPUTED_VALUE"""),"#N/A")</f>
        <v>#N/A</v>
      </c>
      <c r="Q3396" s="1"/>
      <c r="R3396" s="1"/>
      <c r="S3396" s="1"/>
      <c r="T3396" s="1"/>
      <c r="U3396" s="2">
        <f>IFERROR(__xludf.DUMMYFUNCTION("""COMPUTED_VALUE"""),0.0)</f>
        <v>0</v>
      </c>
      <c r="V3396" s="1" t="str">
        <f>IFERROR(__xludf.DUMMYFUNCTION("""COMPUTED_VALUE"""),"#N/A")</f>
        <v>#N/A</v>
      </c>
      <c r="W3396" s="1" t="str">
        <f>IFERROR(__xludf.DUMMYFUNCTION("""COMPUTED_VALUE"""),"#N/A")</f>
        <v>#N/A</v>
      </c>
    </row>
    <row r="3397">
      <c r="O3397" s="1" t="str">
        <f>IFERROR(__xludf.DUMMYFUNCTION("""COMPUTED_VALUE"""),"#VALUE!")</f>
        <v>#VALUE!</v>
      </c>
      <c r="P3397" s="1" t="str">
        <f>IFERROR(__xludf.DUMMYFUNCTION("""COMPUTED_VALUE"""),"#N/A")</f>
        <v>#N/A</v>
      </c>
      <c r="Q3397" s="1"/>
      <c r="R3397" s="1"/>
      <c r="S3397" s="1"/>
      <c r="T3397" s="1"/>
      <c r="U3397" s="2">
        <f>IFERROR(__xludf.DUMMYFUNCTION("""COMPUTED_VALUE"""),0.0)</f>
        <v>0</v>
      </c>
      <c r="V3397" s="1" t="str">
        <f>IFERROR(__xludf.DUMMYFUNCTION("""COMPUTED_VALUE"""),"#N/A")</f>
        <v>#N/A</v>
      </c>
      <c r="W3397" s="1" t="str">
        <f>IFERROR(__xludf.DUMMYFUNCTION("""COMPUTED_VALUE"""),"#N/A")</f>
        <v>#N/A</v>
      </c>
    </row>
    <row r="3398">
      <c r="O3398" s="1" t="str">
        <f>IFERROR(__xludf.DUMMYFUNCTION("""COMPUTED_VALUE"""),"#VALUE!")</f>
        <v>#VALUE!</v>
      </c>
      <c r="P3398" s="1" t="str">
        <f>IFERROR(__xludf.DUMMYFUNCTION("""COMPUTED_VALUE"""),"#N/A")</f>
        <v>#N/A</v>
      </c>
      <c r="Q3398" s="1"/>
      <c r="R3398" s="1"/>
      <c r="S3398" s="1"/>
      <c r="T3398" s="1"/>
      <c r="U3398" s="2">
        <f>IFERROR(__xludf.DUMMYFUNCTION("""COMPUTED_VALUE"""),0.0)</f>
        <v>0</v>
      </c>
      <c r="V3398" s="1" t="str">
        <f>IFERROR(__xludf.DUMMYFUNCTION("""COMPUTED_VALUE"""),"#N/A")</f>
        <v>#N/A</v>
      </c>
      <c r="W3398" s="1" t="str">
        <f>IFERROR(__xludf.DUMMYFUNCTION("""COMPUTED_VALUE"""),"#N/A")</f>
        <v>#N/A</v>
      </c>
    </row>
    <row r="3399">
      <c r="O3399" s="1" t="str">
        <f>IFERROR(__xludf.DUMMYFUNCTION("""COMPUTED_VALUE"""),"#VALUE!")</f>
        <v>#VALUE!</v>
      </c>
      <c r="P3399" s="1" t="str">
        <f>IFERROR(__xludf.DUMMYFUNCTION("""COMPUTED_VALUE"""),"#N/A")</f>
        <v>#N/A</v>
      </c>
      <c r="Q3399" s="1"/>
      <c r="R3399" s="1"/>
      <c r="S3399" s="1"/>
      <c r="T3399" s="1"/>
      <c r="U3399" s="2">
        <f>IFERROR(__xludf.DUMMYFUNCTION("""COMPUTED_VALUE"""),0.0)</f>
        <v>0</v>
      </c>
      <c r="V3399" s="1" t="str">
        <f>IFERROR(__xludf.DUMMYFUNCTION("""COMPUTED_VALUE"""),"#N/A")</f>
        <v>#N/A</v>
      </c>
      <c r="W3399" s="1" t="str">
        <f>IFERROR(__xludf.DUMMYFUNCTION("""COMPUTED_VALUE"""),"#N/A")</f>
        <v>#N/A</v>
      </c>
    </row>
    <row r="3400">
      <c r="O3400" s="1" t="str">
        <f>IFERROR(__xludf.DUMMYFUNCTION("""COMPUTED_VALUE"""),"#VALUE!")</f>
        <v>#VALUE!</v>
      </c>
      <c r="P3400" s="1" t="str">
        <f>IFERROR(__xludf.DUMMYFUNCTION("""COMPUTED_VALUE"""),"#N/A")</f>
        <v>#N/A</v>
      </c>
      <c r="Q3400" s="1"/>
      <c r="R3400" s="1"/>
      <c r="S3400" s="1"/>
      <c r="T3400" s="1"/>
      <c r="U3400" s="2">
        <f>IFERROR(__xludf.DUMMYFUNCTION("""COMPUTED_VALUE"""),0.0)</f>
        <v>0</v>
      </c>
      <c r="V3400" s="1" t="str">
        <f>IFERROR(__xludf.DUMMYFUNCTION("""COMPUTED_VALUE"""),"#N/A")</f>
        <v>#N/A</v>
      </c>
      <c r="W3400" s="1" t="str">
        <f>IFERROR(__xludf.DUMMYFUNCTION("""COMPUTED_VALUE"""),"#N/A")</f>
        <v>#N/A</v>
      </c>
    </row>
    <row r="3401">
      <c r="O3401" s="1" t="str">
        <f>IFERROR(__xludf.DUMMYFUNCTION("""COMPUTED_VALUE"""),"#VALUE!")</f>
        <v>#VALUE!</v>
      </c>
      <c r="P3401" s="1" t="str">
        <f>IFERROR(__xludf.DUMMYFUNCTION("""COMPUTED_VALUE"""),"#N/A")</f>
        <v>#N/A</v>
      </c>
      <c r="Q3401" s="1"/>
      <c r="R3401" s="1"/>
      <c r="S3401" s="1"/>
      <c r="T3401" s="1"/>
      <c r="U3401" s="2">
        <f>IFERROR(__xludf.DUMMYFUNCTION("""COMPUTED_VALUE"""),0.0)</f>
        <v>0</v>
      </c>
      <c r="V3401" s="1" t="str">
        <f>IFERROR(__xludf.DUMMYFUNCTION("""COMPUTED_VALUE"""),"#N/A")</f>
        <v>#N/A</v>
      </c>
      <c r="W3401" s="1" t="str">
        <f>IFERROR(__xludf.DUMMYFUNCTION("""COMPUTED_VALUE"""),"#N/A")</f>
        <v>#N/A</v>
      </c>
    </row>
    <row r="3402">
      <c r="O3402" s="1" t="str">
        <f>IFERROR(__xludf.DUMMYFUNCTION("""COMPUTED_VALUE"""),"#VALUE!")</f>
        <v>#VALUE!</v>
      </c>
      <c r="P3402" s="1" t="str">
        <f>IFERROR(__xludf.DUMMYFUNCTION("""COMPUTED_VALUE"""),"#N/A")</f>
        <v>#N/A</v>
      </c>
      <c r="Q3402" s="1"/>
      <c r="R3402" s="1"/>
      <c r="S3402" s="1"/>
      <c r="T3402" s="1"/>
      <c r="U3402" s="2">
        <f>IFERROR(__xludf.DUMMYFUNCTION("""COMPUTED_VALUE"""),0.0)</f>
        <v>0</v>
      </c>
      <c r="V3402" s="1" t="str">
        <f>IFERROR(__xludf.DUMMYFUNCTION("""COMPUTED_VALUE"""),"#N/A")</f>
        <v>#N/A</v>
      </c>
      <c r="W3402" s="1" t="str">
        <f>IFERROR(__xludf.DUMMYFUNCTION("""COMPUTED_VALUE"""),"#N/A")</f>
        <v>#N/A</v>
      </c>
    </row>
    <row r="3403">
      <c r="O3403" s="1" t="str">
        <f>IFERROR(__xludf.DUMMYFUNCTION("""COMPUTED_VALUE"""),"#VALUE!")</f>
        <v>#VALUE!</v>
      </c>
      <c r="P3403" s="1" t="str">
        <f>IFERROR(__xludf.DUMMYFUNCTION("""COMPUTED_VALUE"""),"#N/A")</f>
        <v>#N/A</v>
      </c>
      <c r="Q3403" s="1"/>
      <c r="R3403" s="1"/>
      <c r="S3403" s="1"/>
      <c r="T3403" s="1"/>
      <c r="U3403" s="2">
        <f>IFERROR(__xludf.DUMMYFUNCTION("""COMPUTED_VALUE"""),0.0)</f>
        <v>0</v>
      </c>
      <c r="V3403" s="1" t="str">
        <f>IFERROR(__xludf.DUMMYFUNCTION("""COMPUTED_VALUE"""),"#N/A")</f>
        <v>#N/A</v>
      </c>
      <c r="W3403" s="1" t="str">
        <f>IFERROR(__xludf.DUMMYFUNCTION("""COMPUTED_VALUE"""),"#N/A")</f>
        <v>#N/A</v>
      </c>
    </row>
    <row r="3404">
      <c r="O3404" s="1" t="str">
        <f>IFERROR(__xludf.DUMMYFUNCTION("""COMPUTED_VALUE"""),"#VALUE!")</f>
        <v>#VALUE!</v>
      </c>
      <c r="P3404" s="1" t="str">
        <f>IFERROR(__xludf.DUMMYFUNCTION("""COMPUTED_VALUE"""),"#N/A")</f>
        <v>#N/A</v>
      </c>
      <c r="Q3404" s="1"/>
      <c r="R3404" s="1"/>
      <c r="S3404" s="1"/>
      <c r="T3404" s="1"/>
      <c r="U3404" s="2">
        <f>IFERROR(__xludf.DUMMYFUNCTION("""COMPUTED_VALUE"""),0.0)</f>
        <v>0</v>
      </c>
      <c r="V3404" s="1" t="str">
        <f>IFERROR(__xludf.DUMMYFUNCTION("""COMPUTED_VALUE"""),"#N/A")</f>
        <v>#N/A</v>
      </c>
      <c r="W3404" s="1" t="str">
        <f>IFERROR(__xludf.DUMMYFUNCTION("""COMPUTED_VALUE"""),"#N/A")</f>
        <v>#N/A</v>
      </c>
    </row>
    <row r="3405">
      <c r="O3405" s="1" t="str">
        <f>IFERROR(__xludf.DUMMYFUNCTION("""COMPUTED_VALUE"""),"#VALUE!")</f>
        <v>#VALUE!</v>
      </c>
      <c r="P3405" s="1" t="str">
        <f>IFERROR(__xludf.DUMMYFUNCTION("""COMPUTED_VALUE"""),"#N/A")</f>
        <v>#N/A</v>
      </c>
      <c r="Q3405" s="1"/>
      <c r="R3405" s="1"/>
      <c r="S3405" s="1"/>
      <c r="T3405" s="1"/>
      <c r="U3405" s="2">
        <f>IFERROR(__xludf.DUMMYFUNCTION("""COMPUTED_VALUE"""),0.0)</f>
        <v>0</v>
      </c>
      <c r="V3405" s="1" t="str">
        <f>IFERROR(__xludf.DUMMYFUNCTION("""COMPUTED_VALUE"""),"#N/A")</f>
        <v>#N/A</v>
      </c>
      <c r="W3405" s="1" t="str">
        <f>IFERROR(__xludf.DUMMYFUNCTION("""COMPUTED_VALUE"""),"#N/A")</f>
        <v>#N/A</v>
      </c>
    </row>
    <row r="3406">
      <c r="O3406" s="1" t="str">
        <f>IFERROR(__xludf.DUMMYFUNCTION("""COMPUTED_VALUE"""),"#VALUE!")</f>
        <v>#VALUE!</v>
      </c>
      <c r="P3406" s="1" t="str">
        <f>IFERROR(__xludf.DUMMYFUNCTION("""COMPUTED_VALUE"""),"#N/A")</f>
        <v>#N/A</v>
      </c>
      <c r="Q3406" s="1"/>
      <c r="R3406" s="1"/>
      <c r="S3406" s="1"/>
      <c r="T3406" s="1"/>
      <c r="U3406" s="2">
        <f>IFERROR(__xludf.DUMMYFUNCTION("""COMPUTED_VALUE"""),0.0)</f>
        <v>0</v>
      </c>
      <c r="V3406" s="1" t="str">
        <f>IFERROR(__xludf.DUMMYFUNCTION("""COMPUTED_VALUE"""),"#N/A")</f>
        <v>#N/A</v>
      </c>
      <c r="W3406" s="1" t="str">
        <f>IFERROR(__xludf.DUMMYFUNCTION("""COMPUTED_VALUE"""),"#N/A")</f>
        <v>#N/A</v>
      </c>
    </row>
    <row r="3407">
      <c r="O3407" s="1" t="str">
        <f>IFERROR(__xludf.DUMMYFUNCTION("""COMPUTED_VALUE"""),"#VALUE!")</f>
        <v>#VALUE!</v>
      </c>
      <c r="P3407" s="1" t="str">
        <f>IFERROR(__xludf.DUMMYFUNCTION("""COMPUTED_VALUE"""),"#N/A")</f>
        <v>#N/A</v>
      </c>
      <c r="Q3407" s="1"/>
      <c r="R3407" s="1"/>
      <c r="S3407" s="1"/>
      <c r="T3407" s="1"/>
      <c r="U3407" s="2">
        <f>IFERROR(__xludf.DUMMYFUNCTION("""COMPUTED_VALUE"""),0.0)</f>
        <v>0</v>
      </c>
      <c r="V3407" s="1" t="str">
        <f>IFERROR(__xludf.DUMMYFUNCTION("""COMPUTED_VALUE"""),"#N/A")</f>
        <v>#N/A</v>
      </c>
      <c r="W3407" s="1" t="str">
        <f>IFERROR(__xludf.DUMMYFUNCTION("""COMPUTED_VALUE"""),"#N/A")</f>
        <v>#N/A</v>
      </c>
    </row>
    <row r="3408">
      <c r="O3408" s="1" t="str">
        <f>IFERROR(__xludf.DUMMYFUNCTION("""COMPUTED_VALUE"""),"#VALUE!")</f>
        <v>#VALUE!</v>
      </c>
      <c r="P3408" s="1" t="str">
        <f>IFERROR(__xludf.DUMMYFUNCTION("""COMPUTED_VALUE"""),"#N/A")</f>
        <v>#N/A</v>
      </c>
      <c r="Q3408" s="1"/>
      <c r="R3408" s="1"/>
      <c r="S3408" s="1"/>
      <c r="T3408" s="1"/>
      <c r="U3408" s="2">
        <f>IFERROR(__xludf.DUMMYFUNCTION("""COMPUTED_VALUE"""),0.0)</f>
        <v>0</v>
      </c>
      <c r="V3408" s="1" t="str">
        <f>IFERROR(__xludf.DUMMYFUNCTION("""COMPUTED_VALUE"""),"#N/A")</f>
        <v>#N/A</v>
      </c>
      <c r="W3408" s="1" t="str">
        <f>IFERROR(__xludf.DUMMYFUNCTION("""COMPUTED_VALUE"""),"#N/A")</f>
        <v>#N/A</v>
      </c>
    </row>
    <row r="3409">
      <c r="O3409" s="1" t="str">
        <f>IFERROR(__xludf.DUMMYFUNCTION("""COMPUTED_VALUE"""),"#VALUE!")</f>
        <v>#VALUE!</v>
      </c>
      <c r="P3409" s="1" t="str">
        <f>IFERROR(__xludf.DUMMYFUNCTION("""COMPUTED_VALUE"""),"#N/A")</f>
        <v>#N/A</v>
      </c>
      <c r="Q3409" s="1"/>
      <c r="R3409" s="1"/>
      <c r="S3409" s="1"/>
      <c r="T3409" s="1"/>
      <c r="U3409" s="2">
        <f>IFERROR(__xludf.DUMMYFUNCTION("""COMPUTED_VALUE"""),0.0)</f>
        <v>0</v>
      </c>
      <c r="V3409" s="1" t="str">
        <f>IFERROR(__xludf.DUMMYFUNCTION("""COMPUTED_VALUE"""),"#N/A")</f>
        <v>#N/A</v>
      </c>
      <c r="W3409" s="1" t="str">
        <f>IFERROR(__xludf.DUMMYFUNCTION("""COMPUTED_VALUE"""),"#N/A")</f>
        <v>#N/A</v>
      </c>
    </row>
    <row r="3410">
      <c r="O3410" s="1" t="str">
        <f>IFERROR(__xludf.DUMMYFUNCTION("""COMPUTED_VALUE"""),"#VALUE!")</f>
        <v>#VALUE!</v>
      </c>
      <c r="P3410" s="1" t="str">
        <f>IFERROR(__xludf.DUMMYFUNCTION("""COMPUTED_VALUE"""),"#N/A")</f>
        <v>#N/A</v>
      </c>
      <c r="Q3410" s="1"/>
      <c r="R3410" s="1"/>
      <c r="S3410" s="1"/>
      <c r="T3410" s="1"/>
      <c r="U3410" s="2">
        <f>IFERROR(__xludf.DUMMYFUNCTION("""COMPUTED_VALUE"""),0.0)</f>
        <v>0</v>
      </c>
      <c r="V3410" s="1" t="str">
        <f>IFERROR(__xludf.DUMMYFUNCTION("""COMPUTED_VALUE"""),"#N/A")</f>
        <v>#N/A</v>
      </c>
      <c r="W3410" s="1" t="str">
        <f>IFERROR(__xludf.DUMMYFUNCTION("""COMPUTED_VALUE"""),"#N/A")</f>
        <v>#N/A</v>
      </c>
    </row>
    <row r="3411">
      <c r="O3411" s="1" t="str">
        <f>IFERROR(__xludf.DUMMYFUNCTION("""COMPUTED_VALUE"""),"#VALUE!")</f>
        <v>#VALUE!</v>
      </c>
      <c r="P3411" s="1" t="str">
        <f>IFERROR(__xludf.DUMMYFUNCTION("""COMPUTED_VALUE"""),"#N/A")</f>
        <v>#N/A</v>
      </c>
      <c r="Q3411" s="1"/>
      <c r="R3411" s="1"/>
      <c r="S3411" s="1"/>
      <c r="T3411" s="1"/>
      <c r="U3411" s="2">
        <f>IFERROR(__xludf.DUMMYFUNCTION("""COMPUTED_VALUE"""),0.0)</f>
        <v>0</v>
      </c>
      <c r="V3411" s="1" t="str">
        <f>IFERROR(__xludf.DUMMYFUNCTION("""COMPUTED_VALUE"""),"#N/A")</f>
        <v>#N/A</v>
      </c>
      <c r="W3411" s="1" t="str">
        <f>IFERROR(__xludf.DUMMYFUNCTION("""COMPUTED_VALUE"""),"#N/A")</f>
        <v>#N/A</v>
      </c>
    </row>
    <row r="3412">
      <c r="O3412" s="1" t="str">
        <f>IFERROR(__xludf.DUMMYFUNCTION("""COMPUTED_VALUE"""),"#VALUE!")</f>
        <v>#VALUE!</v>
      </c>
      <c r="P3412" s="1" t="str">
        <f>IFERROR(__xludf.DUMMYFUNCTION("""COMPUTED_VALUE"""),"#N/A")</f>
        <v>#N/A</v>
      </c>
      <c r="Q3412" s="1"/>
      <c r="R3412" s="1"/>
      <c r="S3412" s="1"/>
      <c r="T3412" s="1"/>
      <c r="U3412" s="2">
        <f>IFERROR(__xludf.DUMMYFUNCTION("""COMPUTED_VALUE"""),0.0)</f>
        <v>0</v>
      </c>
      <c r="V3412" s="1" t="str">
        <f>IFERROR(__xludf.DUMMYFUNCTION("""COMPUTED_VALUE"""),"#N/A")</f>
        <v>#N/A</v>
      </c>
      <c r="W3412" s="1" t="str">
        <f>IFERROR(__xludf.DUMMYFUNCTION("""COMPUTED_VALUE"""),"#N/A")</f>
        <v>#N/A</v>
      </c>
    </row>
    <row r="3413">
      <c r="O3413" s="1" t="str">
        <f>IFERROR(__xludf.DUMMYFUNCTION("""COMPUTED_VALUE"""),"#VALUE!")</f>
        <v>#VALUE!</v>
      </c>
      <c r="P3413" s="1" t="str">
        <f>IFERROR(__xludf.DUMMYFUNCTION("""COMPUTED_VALUE"""),"#N/A")</f>
        <v>#N/A</v>
      </c>
      <c r="Q3413" s="1"/>
      <c r="R3413" s="1"/>
      <c r="S3413" s="1"/>
      <c r="T3413" s="1"/>
      <c r="U3413" s="2">
        <f>IFERROR(__xludf.DUMMYFUNCTION("""COMPUTED_VALUE"""),0.0)</f>
        <v>0</v>
      </c>
      <c r="V3413" s="1" t="str">
        <f>IFERROR(__xludf.DUMMYFUNCTION("""COMPUTED_VALUE"""),"#N/A")</f>
        <v>#N/A</v>
      </c>
      <c r="W3413" s="1" t="str">
        <f>IFERROR(__xludf.DUMMYFUNCTION("""COMPUTED_VALUE"""),"#N/A")</f>
        <v>#N/A</v>
      </c>
    </row>
    <row r="3414">
      <c r="O3414" s="1" t="str">
        <f>IFERROR(__xludf.DUMMYFUNCTION("""COMPUTED_VALUE"""),"#VALUE!")</f>
        <v>#VALUE!</v>
      </c>
      <c r="P3414" s="1" t="str">
        <f>IFERROR(__xludf.DUMMYFUNCTION("""COMPUTED_VALUE"""),"#N/A")</f>
        <v>#N/A</v>
      </c>
      <c r="Q3414" s="1"/>
      <c r="R3414" s="1"/>
      <c r="S3414" s="1"/>
      <c r="T3414" s="1"/>
      <c r="U3414" s="2">
        <f>IFERROR(__xludf.DUMMYFUNCTION("""COMPUTED_VALUE"""),0.0)</f>
        <v>0</v>
      </c>
      <c r="V3414" s="1" t="str">
        <f>IFERROR(__xludf.DUMMYFUNCTION("""COMPUTED_VALUE"""),"#N/A")</f>
        <v>#N/A</v>
      </c>
      <c r="W3414" s="1" t="str">
        <f>IFERROR(__xludf.DUMMYFUNCTION("""COMPUTED_VALUE"""),"#N/A")</f>
        <v>#N/A</v>
      </c>
    </row>
    <row r="3415">
      <c r="O3415" s="1" t="str">
        <f>IFERROR(__xludf.DUMMYFUNCTION("""COMPUTED_VALUE"""),"#VALUE!")</f>
        <v>#VALUE!</v>
      </c>
      <c r="P3415" s="1" t="str">
        <f>IFERROR(__xludf.DUMMYFUNCTION("""COMPUTED_VALUE"""),"#N/A")</f>
        <v>#N/A</v>
      </c>
      <c r="Q3415" s="1"/>
      <c r="R3415" s="1"/>
      <c r="S3415" s="1"/>
      <c r="T3415" s="1"/>
      <c r="U3415" s="2">
        <f>IFERROR(__xludf.DUMMYFUNCTION("""COMPUTED_VALUE"""),0.0)</f>
        <v>0</v>
      </c>
      <c r="V3415" s="1" t="str">
        <f>IFERROR(__xludf.DUMMYFUNCTION("""COMPUTED_VALUE"""),"#N/A")</f>
        <v>#N/A</v>
      </c>
      <c r="W3415" s="1" t="str">
        <f>IFERROR(__xludf.DUMMYFUNCTION("""COMPUTED_VALUE"""),"#N/A")</f>
        <v>#N/A</v>
      </c>
    </row>
    <row r="3416">
      <c r="O3416" s="1" t="str">
        <f>IFERROR(__xludf.DUMMYFUNCTION("""COMPUTED_VALUE"""),"#VALUE!")</f>
        <v>#VALUE!</v>
      </c>
      <c r="P3416" s="1" t="str">
        <f>IFERROR(__xludf.DUMMYFUNCTION("""COMPUTED_VALUE"""),"#N/A")</f>
        <v>#N/A</v>
      </c>
      <c r="Q3416" s="1"/>
      <c r="R3416" s="1"/>
      <c r="S3416" s="1"/>
      <c r="T3416" s="1"/>
      <c r="U3416" s="2">
        <f>IFERROR(__xludf.DUMMYFUNCTION("""COMPUTED_VALUE"""),0.0)</f>
        <v>0</v>
      </c>
      <c r="V3416" s="1" t="str">
        <f>IFERROR(__xludf.DUMMYFUNCTION("""COMPUTED_VALUE"""),"#N/A")</f>
        <v>#N/A</v>
      </c>
      <c r="W3416" s="1" t="str">
        <f>IFERROR(__xludf.DUMMYFUNCTION("""COMPUTED_VALUE"""),"#N/A")</f>
        <v>#N/A</v>
      </c>
    </row>
    <row r="3417">
      <c r="O3417" s="1" t="str">
        <f>IFERROR(__xludf.DUMMYFUNCTION("""COMPUTED_VALUE"""),"#VALUE!")</f>
        <v>#VALUE!</v>
      </c>
      <c r="P3417" s="1" t="str">
        <f>IFERROR(__xludf.DUMMYFUNCTION("""COMPUTED_VALUE"""),"#N/A")</f>
        <v>#N/A</v>
      </c>
      <c r="Q3417" s="1"/>
      <c r="R3417" s="1"/>
      <c r="S3417" s="1"/>
      <c r="T3417" s="1"/>
      <c r="U3417" s="2">
        <f>IFERROR(__xludf.DUMMYFUNCTION("""COMPUTED_VALUE"""),0.0)</f>
        <v>0</v>
      </c>
      <c r="V3417" s="1" t="str">
        <f>IFERROR(__xludf.DUMMYFUNCTION("""COMPUTED_VALUE"""),"#N/A")</f>
        <v>#N/A</v>
      </c>
      <c r="W3417" s="1" t="str">
        <f>IFERROR(__xludf.DUMMYFUNCTION("""COMPUTED_VALUE"""),"#N/A")</f>
        <v>#N/A</v>
      </c>
    </row>
    <row r="3418">
      <c r="O3418" s="1" t="str">
        <f>IFERROR(__xludf.DUMMYFUNCTION("""COMPUTED_VALUE"""),"#VALUE!")</f>
        <v>#VALUE!</v>
      </c>
      <c r="P3418" s="1" t="str">
        <f>IFERROR(__xludf.DUMMYFUNCTION("""COMPUTED_VALUE"""),"#N/A")</f>
        <v>#N/A</v>
      </c>
      <c r="Q3418" s="1"/>
      <c r="R3418" s="1"/>
      <c r="S3418" s="1"/>
      <c r="T3418" s="1"/>
      <c r="U3418" s="2">
        <f>IFERROR(__xludf.DUMMYFUNCTION("""COMPUTED_VALUE"""),0.0)</f>
        <v>0</v>
      </c>
      <c r="V3418" s="1" t="str">
        <f>IFERROR(__xludf.DUMMYFUNCTION("""COMPUTED_VALUE"""),"#N/A")</f>
        <v>#N/A</v>
      </c>
      <c r="W3418" s="1" t="str">
        <f>IFERROR(__xludf.DUMMYFUNCTION("""COMPUTED_VALUE"""),"#N/A")</f>
        <v>#N/A</v>
      </c>
    </row>
    <row r="3419">
      <c r="O3419" s="1" t="str">
        <f>IFERROR(__xludf.DUMMYFUNCTION("""COMPUTED_VALUE"""),"#VALUE!")</f>
        <v>#VALUE!</v>
      </c>
      <c r="P3419" s="1" t="str">
        <f>IFERROR(__xludf.DUMMYFUNCTION("""COMPUTED_VALUE"""),"#N/A")</f>
        <v>#N/A</v>
      </c>
      <c r="Q3419" s="1"/>
      <c r="R3419" s="1"/>
      <c r="S3419" s="1"/>
      <c r="T3419" s="1"/>
      <c r="U3419" s="2">
        <f>IFERROR(__xludf.DUMMYFUNCTION("""COMPUTED_VALUE"""),0.0)</f>
        <v>0</v>
      </c>
      <c r="V3419" s="1" t="str">
        <f>IFERROR(__xludf.DUMMYFUNCTION("""COMPUTED_VALUE"""),"#N/A")</f>
        <v>#N/A</v>
      </c>
      <c r="W3419" s="1" t="str">
        <f>IFERROR(__xludf.DUMMYFUNCTION("""COMPUTED_VALUE"""),"#N/A")</f>
        <v>#N/A</v>
      </c>
    </row>
    <row r="3420">
      <c r="O3420" s="1" t="str">
        <f>IFERROR(__xludf.DUMMYFUNCTION("""COMPUTED_VALUE"""),"#VALUE!")</f>
        <v>#VALUE!</v>
      </c>
      <c r="P3420" s="1" t="str">
        <f>IFERROR(__xludf.DUMMYFUNCTION("""COMPUTED_VALUE"""),"#N/A")</f>
        <v>#N/A</v>
      </c>
      <c r="Q3420" s="1"/>
      <c r="R3420" s="1"/>
      <c r="S3420" s="1"/>
      <c r="T3420" s="1"/>
      <c r="U3420" s="2">
        <f>IFERROR(__xludf.DUMMYFUNCTION("""COMPUTED_VALUE"""),0.0)</f>
        <v>0</v>
      </c>
      <c r="V3420" s="1" t="str">
        <f>IFERROR(__xludf.DUMMYFUNCTION("""COMPUTED_VALUE"""),"#N/A")</f>
        <v>#N/A</v>
      </c>
      <c r="W3420" s="1" t="str">
        <f>IFERROR(__xludf.DUMMYFUNCTION("""COMPUTED_VALUE"""),"#N/A")</f>
        <v>#N/A</v>
      </c>
    </row>
    <row r="3421">
      <c r="O3421" s="1" t="str">
        <f>IFERROR(__xludf.DUMMYFUNCTION("""COMPUTED_VALUE"""),"#VALUE!")</f>
        <v>#VALUE!</v>
      </c>
      <c r="P3421" s="1" t="str">
        <f>IFERROR(__xludf.DUMMYFUNCTION("""COMPUTED_VALUE"""),"#N/A")</f>
        <v>#N/A</v>
      </c>
      <c r="Q3421" s="1"/>
      <c r="R3421" s="1"/>
      <c r="S3421" s="1"/>
      <c r="T3421" s="1"/>
      <c r="U3421" s="2">
        <f>IFERROR(__xludf.DUMMYFUNCTION("""COMPUTED_VALUE"""),0.0)</f>
        <v>0</v>
      </c>
      <c r="V3421" s="1" t="str">
        <f>IFERROR(__xludf.DUMMYFUNCTION("""COMPUTED_VALUE"""),"#N/A")</f>
        <v>#N/A</v>
      </c>
      <c r="W3421" s="1" t="str">
        <f>IFERROR(__xludf.DUMMYFUNCTION("""COMPUTED_VALUE"""),"#N/A")</f>
        <v>#N/A</v>
      </c>
    </row>
    <row r="3422">
      <c r="O3422" s="1" t="str">
        <f>IFERROR(__xludf.DUMMYFUNCTION("""COMPUTED_VALUE"""),"#VALUE!")</f>
        <v>#VALUE!</v>
      </c>
      <c r="P3422" s="1" t="str">
        <f>IFERROR(__xludf.DUMMYFUNCTION("""COMPUTED_VALUE"""),"#N/A")</f>
        <v>#N/A</v>
      </c>
      <c r="Q3422" s="1"/>
      <c r="R3422" s="1"/>
      <c r="S3422" s="1"/>
      <c r="T3422" s="1"/>
      <c r="U3422" s="2">
        <f>IFERROR(__xludf.DUMMYFUNCTION("""COMPUTED_VALUE"""),0.0)</f>
        <v>0</v>
      </c>
      <c r="V3422" s="1" t="str">
        <f>IFERROR(__xludf.DUMMYFUNCTION("""COMPUTED_VALUE"""),"#N/A")</f>
        <v>#N/A</v>
      </c>
      <c r="W3422" s="1" t="str">
        <f>IFERROR(__xludf.DUMMYFUNCTION("""COMPUTED_VALUE"""),"#N/A")</f>
        <v>#N/A</v>
      </c>
    </row>
    <row r="3423">
      <c r="O3423" s="1" t="str">
        <f>IFERROR(__xludf.DUMMYFUNCTION("""COMPUTED_VALUE"""),"#VALUE!")</f>
        <v>#VALUE!</v>
      </c>
      <c r="P3423" s="1" t="str">
        <f>IFERROR(__xludf.DUMMYFUNCTION("""COMPUTED_VALUE"""),"#N/A")</f>
        <v>#N/A</v>
      </c>
      <c r="Q3423" s="1"/>
      <c r="R3423" s="1"/>
      <c r="S3423" s="1"/>
      <c r="T3423" s="1"/>
      <c r="U3423" s="2">
        <f>IFERROR(__xludf.DUMMYFUNCTION("""COMPUTED_VALUE"""),0.0)</f>
        <v>0</v>
      </c>
      <c r="V3423" s="1" t="str">
        <f>IFERROR(__xludf.DUMMYFUNCTION("""COMPUTED_VALUE"""),"#N/A")</f>
        <v>#N/A</v>
      </c>
      <c r="W3423" s="1" t="str">
        <f>IFERROR(__xludf.DUMMYFUNCTION("""COMPUTED_VALUE"""),"#N/A")</f>
        <v>#N/A</v>
      </c>
    </row>
    <row r="3424">
      <c r="O3424" s="1" t="str">
        <f>IFERROR(__xludf.DUMMYFUNCTION("""COMPUTED_VALUE"""),"#VALUE!")</f>
        <v>#VALUE!</v>
      </c>
      <c r="P3424" s="1" t="str">
        <f>IFERROR(__xludf.DUMMYFUNCTION("""COMPUTED_VALUE"""),"#N/A")</f>
        <v>#N/A</v>
      </c>
      <c r="Q3424" s="1"/>
      <c r="R3424" s="1"/>
      <c r="S3424" s="1"/>
      <c r="T3424" s="1"/>
      <c r="U3424" s="2">
        <f>IFERROR(__xludf.DUMMYFUNCTION("""COMPUTED_VALUE"""),0.0)</f>
        <v>0</v>
      </c>
      <c r="V3424" s="1" t="str">
        <f>IFERROR(__xludf.DUMMYFUNCTION("""COMPUTED_VALUE"""),"#N/A")</f>
        <v>#N/A</v>
      </c>
      <c r="W3424" s="1" t="str">
        <f>IFERROR(__xludf.DUMMYFUNCTION("""COMPUTED_VALUE"""),"#N/A")</f>
        <v>#N/A</v>
      </c>
    </row>
    <row r="3425">
      <c r="O3425" s="1" t="str">
        <f>IFERROR(__xludf.DUMMYFUNCTION("""COMPUTED_VALUE"""),"#VALUE!")</f>
        <v>#VALUE!</v>
      </c>
      <c r="P3425" s="1" t="str">
        <f>IFERROR(__xludf.DUMMYFUNCTION("""COMPUTED_VALUE"""),"#N/A")</f>
        <v>#N/A</v>
      </c>
      <c r="Q3425" s="1"/>
      <c r="R3425" s="1"/>
      <c r="S3425" s="1"/>
      <c r="T3425" s="1"/>
      <c r="U3425" s="2">
        <f>IFERROR(__xludf.DUMMYFUNCTION("""COMPUTED_VALUE"""),0.0)</f>
        <v>0</v>
      </c>
      <c r="V3425" s="1" t="str">
        <f>IFERROR(__xludf.DUMMYFUNCTION("""COMPUTED_VALUE"""),"#N/A")</f>
        <v>#N/A</v>
      </c>
      <c r="W3425" s="1" t="str">
        <f>IFERROR(__xludf.DUMMYFUNCTION("""COMPUTED_VALUE"""),"#N/A")</f>
        <v>#N/A</v>
      </c>
    </row>
    <row r="3426">
      <c r="O3426" s="1" t="str">
        <f>IFERROR(__xludf.DUMMYFUNCTION("""COMPUTED_VALUE"""),"#VALUE!")</f>
        <v>#VALUE!</v>
      </c>
      <c r="P3426" s="1" t="str">
        <f>IFERROR(__xludf.DUMMYFUNCTION("""COMPUTED_VALUE"""),"#N/A")</f>
        <v>#N/A</v>
      </c>
      <c r="Q3426" s="1"/>
      <c r="R3426" s="1"/>
      <c r="S3426" s="1"/>
      <c r="T3426" s="1"/>
      <c r="U3426" s="2">
        <f>IFERROR(__xludf.DUMMYFUNCTION("""COMPUTED_VALUE"""),0.0)</f>
        <v>0</v>
      </c>
      <c r="V3426" s="1" t="str">
        <f>IFERROR(__xludf.DUMMYFUNCTION("""COMPUTED_VALUE"""),"#N/A")</f>
        <v>#N/A</v>
      </c>
      <c r="W3426" s="1" t="str">
        <f>IFERROR(__xludf.DUMMYFUNCTION("""COMPUTED_VALUE"""),"#N/A")</f>
        <v>#N/A</v>
      </c>
    </row>
    <row r="3427">
      <c r="O3427" s="1" t="str">
        <f>IFERROR(__xludf.DUMMYFUNCTION("""COMPUTED_VALUE"""),"#VALUE!")</f>
        <v>#VALUE!</v>
      </c>
      <c r="P3427" s="1" t="str">
        <f>IFERROR(__xludf.DUMMYFUNCTION("""COMPUTED_VALUE"""),"#N/A")</f>
        <v>#N/A</v>
      </c>
      <c r="Q3427" s="1"/>
      <c r="R3427" s="1"/>
      <c r="S3427" s="1"/>
      <c r="T3427" s="1"/>
      <c r="U3427" s="2">
        <f>IFERROR(__xludf.DUMMYFUNCTION("""COMPUTED_VALUE"""),0.0)</f>
        <v>0</v>
      </c>
      <c r="V3427" s="1" t="str">
        <f>IFERROR(__xludf.DUMMYFUNCTION("""COMPUTED_VALUE"""),"#N/A")</f>
        <v>#N/A</v>
      </c>
      <c r="W3427" s="1" t="str">
        <f>IFERROR(__xludf.DUMMYFUNCTION("""COMPUTED_VALUE"""),"#N/A")</f>
        <v>#N/A</v>
      </c>
    </row>
    <row r="3428">
      <c r="O3428" s="1" t="str">
        <f>IFERROR(__xludf.DUMMYFUNCTION("""COMPUTED_VALUE"""),"#VALUE!")</f>
        <v>#VALUE!</v>
      </c>
      <c r="P3428" s="1" t="str">
        <f>IFERROR(__xludf.DUMMYFUNCTION("""COMPUTED_VALUE"""),"#N/A")</f>
        <v>#N/A</v>
      </c>
      <c r="Q3428" s="1"/>
      <c r="R3428" s="1"/>
      <c r="S3428" s="1"/>
      <c r="T3428" s="1"/>
      <c r="U3428" s="2">
        <f>IFERROR(__xludf.DUMMYFUNCTION("""COMPUTED_VALUE"""),0.0)</f>
        <v>0</v>
      </c>
      <c r="V3428" s="1" t="str">
        <f>IFERROR(__xludf.DUMMYFUNCTION("""COMPUTED_VALUE"""),"#N/A")</f>
        <v>#N/A</v>
      </c>
      <c r="W3428" s="1" t="str">
        <f>IFERROR(__xludf.DUMMYFUNCTION("""COMPUTED_VALUE"""),"#N/A")</f>
        <v>#N/A</v>
      </c>
    </row>
    <row r="3429">
      <c r="O3429" s="1" t="str">
        <f>IFERROR(__xludf.DUMMYFUNCTION("""COMPUTED_VALUE"""),"#VALUE!")</f>
        <v>#VALUE!</v>
      </c>
      <c r="P3429" s="1" t="str">
        <f>IFERROR(__xludf.DUMMYFUNCTION("""COMPUTED_VALUE"""),"#N/A")</f>
        <v>#N/A</v>
      </c>
      <c r="Q3429" s="1"/>
      <c r="R3429" s="1"/>
      <c r="S3429" s="1"/>
      <c r="T3429" s="1"/>
      <c r="U3429" s="2">
        <f>IFERROR(__xludf.DUMMYFUNCTION("""COMPUTED_VALUE"""),0.0)</f>
        <v>0</v>
      </c>
      <c r="V3429" s="1" t="str">
        <f>IFERROR(__xludf.DUMMYFUNCTION("""COMPUTED_VALUE"""),"#N/A")</f>
        <v>#N/A</v>
      </c>
      <c r="W3429" s="1" t="str">
        <f>IFERROR(__xludf.DUMMYFUNCTION("""COMPUTED_VALUE"""),"#N/A")</f>
        <v>#N/A</v>
      </c>
    </row>
    <row r="3430">
      <c r="O3430" s="1" t="str">
        <f>IFERROR(__xludf.DUMMYFUNCTION("""COMPUTED_VALUE"""),"#VALUE!")</f>
        <v>#VALUE!</v>
      </c>
      <c r="P3430" s="1" t="str">
        <f>IFERROR(__xludf.DUMMYFUNCTION("""COMPUTED_VALUE"""),"#N/A")</f>
        <v>#N/A</v>
      </c>
      <c r="Q3430" s="1"/>
      <c r="R3430" s="1"/>
      <c r="S3430" s="1"/>
      <c r="T3430" s="1"/>
      <c r="U3430" s="2">
        <f>IFERROR(__xludf.DUMMYFUNCTION("""COMPUTED_VALUE"""),0.0)</f>
        <v>0</v>
      </c>
      <c r="V3430" s="1" t="str">
        <f>IFERROR(__xludf.DUMMYFUNCTION("""COMPUTED_VALUE"""),"#N/A")</f>
        <v>#N/A</v>
      </c>
      <c r="W3430" s="1" t="str">
        <f>IFERROR(__xludf.DUMMYFUNCTION("""COMPUTED_VALUE"""),"#N/A")</f>
        <v>#N/A</v>
      </c>
    </row>
    <row r="3431">
      <c r="O3431" s="1" t="str">
        <f>IFERROR(__xludf.DUMMYFUNCTION("""COMPUTED_VALUE"""),"#VALUE!")</f>
        <v>#VALUE!</v>
      </c>
      <c r="P3431" s="1" t="str">
        <f>IFERROR(__xludf.DUMMYFUNCTION("""COMPUTED_VALUE"""),"#N/A")</f>
        <v>#N/A</v>
      </c>
      <c r="Q3431" s="1"/>
      <c r="R3431" s="1"/>
      <c r="S3431" s="1"/>
      <c r="T3431" s="1"/>
      <c r="U3431" s="2">
        <f>IFERROR(__xludf.DUMMYFUNCTION("""COMPUTED_VALUE"""),0.0)</f>
        <v>0</v>
      </c>
      <c r="V3431" s="1" t="str">
        <f>IFERROR(__xludf.DUMMYFUNCTION("""COMPUTED_VALUE"""),"#N/A")</f>
        <v>#N/A</v>
      </c>
      <c r="W3431" s="1" t="str">
        <f>IFERROR(__xludf.DUMMYFUNCTION("""COMPUTED_VALUE"""),"#N/A")</f>
        <v>#N/A</v>
      </c>
    </row>
    <row r="3432">
      <c r="O3432" s="1" t="str">
        <f>IFERROR(__xludf.DUMMYFUNCTION("""COMPUTED_VALUE"""),"#VALUE!")</f>
        <v>#VALUE!</v>
      </c>
      <c r="P3432" s="1" t="str">
        <f>IFERROR(__xludf.DUMMYFUNCTION("""COMPUTED_VALUE"""),"#N/A")</f>
        <v>#N/A</v>
      </c>
      <c r="Q3432" s="1"/>
      <c r="R3432" s="1"/>
      <c r="S3432" s="1"/>
      <c r="T3432" s="1"/>
      <c r="U3432" s="2">
        <f>IFERROR(__xludf.DUMMYFUNCTION("""COMPUTED_VALUE"""),0.0)</f>
        <v>0</v>
      </c>
      <c r="V3432" s="1" t="str">
        <f>IFERROR(__xludf.DUMMYFUNCTION("""COMPUTED_VALUE"""),"#N/A")</f>
        <v>#N/A</v>
      </c>
      <c r="W3432" s="1" t="str">
        <f>IFERROR(__xludf.DUMMYFUNCTION("""COMPUTED_VALUE"""),"#N/A")</f>
        <v>#N/A</v>
      </c>
    </row>
    <row r="3433">
      <c r="O3433" s="1" t="str">
        <f>IFERROR(__xludf.DUMMYFUNCTION("""COMPUTED_VALUE"""),"#VALUE!")</f>
        <v>#VALUE!</v>
      </c>
      <c r="P3433" s="1" t="str">
        <f>IFERROR(__xludf.DUMMYFUNCTION("""COMPUTED_VALUE"""),"#N/A")</f>
        <v>#N/A</v>
      </c>
      <c r="Q3433" s="1"/>
      <c r="R3433" s="1"/>
      <c r="S3433" s="1"/>
      <c r="T3433" s="1"/>
      <c r="U3433" s="2">
        <f>IFERROR(__xludf.DUMMYFUNCTION("""COMPUTED_VALUE"""),0.0)</f>
        <v>0</v>
      </c>
      <c r="V3433" s="1" t="str">
        <f>IFERROR(__xludf.DUMMYFUNCTION("""COMPUTED_VALUE"""),"#N/A")</f>
        <v>#N/A</v>
      </c>
      <c r="W3433" s="1" t="str">
        <f>IFERROR(__xludf.DUMMYFUNCTION("""COMPUTED_VALUE"""),"#N/A")</f>
        <v>#N/A</v>
      </c>
    </row>
    <row r="3434">
      <c r="O3434" s="1" t="str">
        <f>IFERROR(__xludf.DUMMYFUNCTION("""COMPUTED_VALUE"""),"#VALUE!")</f>
        <v>#VALUE!</v>
      </c>
      <c r="P3434" s="1" t="str">
        <f>IFERROR(__xludf.DUMMYFUNCTION("""COMPUTED_VALUE"""),"#N/A")</f>
        <v>#N/A</v>
      </c>
      <c r="Q3434" s="1"/>
      <c r="R3434" s="1"/>
      <c r="S3434" s="1"/>
      <c r="T3434" s="1"/>
      <c r="U3434" s="2">
        <f>IFERROR(__xludf.DUMMYFUNCTION("""COMPUTED_VALUE"""),0.0)</f>
        <v>0</v>
      </c>
      <c r="V3434" s="1" t="str">
        <f>IFERROR(__xludf.DUMMYFUNCTION("""COMPUTED_VALUE"""),"#N/A")</f>
        <v>#N/A</v>
      </c>
      <c r="W3434" s="1" t="str">
        <f>IFERROR(__xludf.DUMMYFUNCTION("""COMPUTED_VALUE"""),"#N/A")</f>
        <v>#N/A</v>
      </c>
    </row>
    <row r="3435">
      <c r="O3435" s="1" t="str">
        <f>IFERROR(__xludf.DUMMYFUNCTION("""COMPUTED_VALUE"""),"#VALUE!")</f>
        <v>#VALUE!</v>
      </c>
      <c r="P3435" s="1" t="str">
        <f>IFERROR(__xludf.DUMMYFUNCTION("""COMPUTED_VALUE"""),"#N/A")</f>
        <v>#N/A</v>
      </c>
      <c r="Q3435" s="1"/>
      <c r="R3435" s="1"/>
      <c r="S3435" s="1"/>
      <c r="T3435" s="1"/>
      <c r="U3435" s="2">
        <f>IFERROR(__xludf.DUMMYFUNCTION("""COMPUTED_VALUE"""),0.0)</f>
        <v>0</v>
      </c>
      <c r="V3435" s="1" t="str">
        <f>IFERROR(__xludf.DUMMYFUNCTION("""COMPUTED_VALUE"""),"#N/A")</f>
        <v>#N/A</v>
      </c>
      <c r="W3435" s="1" t="str">
        <f>IFERROR(__xludf.DUMMYFUNCTION("""COMPUTED_VALUE"""),"#N/A")</f>
        <v>#N/A</v>
      </c>
    </row>
    <row r="3436">
      <c r="O3436" s="1" t="str">
        <f>IFERROR(__xludf.DUMMYFUNCTION("""COMPUTED_VALUE"""),"#VALUE!")</f>
        <v>#VALUE!</v>
      </c>
      <c r="P3436" s="1" t="str">
        <f>IFERROR(__xludf.DUMMYFUNCTION("""COMPUTED_VALUE"""),"#N/A")</f>
        <v>#N/A</v>
      </c>
      <c r="Q3436" s="1"/>
      <c r="R3436" s="1"/>
      <c r="S3436" s="1"/>
      <c r="T3436" s="1"/>
      <c r="U3436" s="2">
        <f>IFERROR(__xludf.DUMMYFUNCTION("""COMPUTED_VALUE"""),0.0)</f>
        <v>0</v>
      </c>
      <c r="V3436" s="1" t="str">
        <f>IFERROR(__xludf.DUMMYFUNCTION("""COMPUTED_VALUE"""),"#N/A")</f>
        <v>#N/A</v>
      </c>
      <c r="W3436" s="1" t="str">
        <f>IFERROR(__xludf.DUMMYFUNCTION("""COMPUTED_VALUE"""),"#N/A")</f>
        <v>#N/A</v>
      </c>
    </row>
    <row r="3437">
      <c r="O3437" s="1" t="str">
        <f>IFERROR(__xludf.DUMMYFUNCTION("""COMPUTED_VALUE"""),"#VALUE!")</f>
        <v>#VALUE!</v>
      </c>
      <c r="P3437" s="1" t="str">
        <f>IFERROR(__xludf.DUMMYFUNCTION("""COMPUTED_VALUE"""),"#N/A")</f>
        <v>#N/A</v>
      </c>
      <c r="Q3437" s="1"/>
      <c r="R3437" s="1"/>
      <c r="S3437" s="1"/>
      <c r="T3437" s="1"/>
      <c r="U3437" s="2">
        <f>IFERROR(__xludf.DUMMYFUNCTION("""COMPUTED_VALUE"""),0.0)</f>
        <v>0</v>
      </c>
      <c r="V3437" s="1" t="str">
        <f>IFERROR(__xludf.DUMMYFUNCTION("""COMPUTED_VALUE"""),"#N/A")</f>
        <v>#N/A</v>
      </c>
      <c r="W3437" s="1" t="str">
        <f>IFERROR(__xludf.DUMMYFUNCTION("""COMPUTED_VALUE"""),"#N/A")</f>
        <v>#N/A</v>
      </c>
    </row>
    <row r="3438">
      <c r="O3438" s="1" t="str">
        <f>IFERROR(__xludf.DUMMYFUNCTION("""COMPUTED_VALUE"""),"#VALUE!")</f>
        <v>#VALUE!</v>
      </c>
      <c r="P3438" s="1" t="str">
        <f>IFERROR(__xludf.DUMMYFUNCTION("""COMPUTED_VALUE"""),"#N/A")</f>
        <v>#N/A</v>
      </c>
      <c r="Q3438" s="1"/>
      <c r="R3438" s="1"/>
      <c r="S3438" s="1"/>
      <c r="T3438" s="1"/>
      <c r="U3438" s="2">
        <f>IFERROR(__xludf.DUMMYFUNCTION("""COMPUTED_VALUE"""),0.0)</f>
        <v>0</v>
      </c>
      <c r="V3438" s="1" t="str">
        <f>IFERROR(__xludf.DUMMYFUNCTION("""COMPUTED_VALUE"""),"#N/A")</f>
        <v>#N/A</v>
      </c>
      <c r="W3438" s="1" t="str">
        <f>IFERROR(__xludf.DUMMYFUNCTION("""COMPUTED_VALUE"""),"#N/A")</f>
        <v>#N/A</v>
      </c>
    </row>
    <row r="3439">
      <c r="O3439" s="1" t="str">
        <f>IFERROR(__xludf.DUMMYFUNCTION("""COMPUTED_VALUE"""),"#VALUE!")</f>
        <v>#VALUE!</v>
      </c>
      <c r="P3439" s="1" t="str">
        <f>IFERROR(__xludf.DUMMYFUNCTION("""COMPUTED_VALUE"""),"#N/A")</f>
        <v>#N/A</v>
      </c>
      <c r="Q3439" s="1"/>
      <c r="R3439" s="1"/>
      <c r="S3439" s="1"/>
      <c r="T3439" s="1"/>
      <c r="U3439" s="2">
        <f>IFERROR(__xludf.DUMMYFUNCTION("""COMPUTED_VALUE"""),0.0)</f>
        <v>0</v>
      </c>
      <c r="V3439" s="1" t="str">
        <f>IFERROR(__xludf.DUMMYFUNCTION("""COMPUTED_VALUE"""),"#N/A")</f>
        <v>#N/A</v>
      </c>
      <c r="W3439" s="1" t="str">
        <f>IFERROR(__xludf.DUMMYFUNCTION("""COMPUTED_VALUE"""),"#N/A")</f>
        <v>#N/A</v>
      </c>
    </row>
    <row r="3440">
      <c r="O3440" s="1" t="str">
        <f>IFERROR(__xludf.DUMMYFUNCTION("""COMPUTED_VALUE"""),"#VALUE!")</f>
        <v>#VALUE!</v>
      </c>
      <c r="P3440" s="1" t="str">
        <f>IFERROR(__xludf.DUMMYFUNCTION("""COMPUTED_VALUE"""),"#N/A")</f>
        <v>#N/A</v>
      </c>
      <c r="Q3440" s="1"/>
      <c r="R3440" s="1"/>
      <c r="S3440" s="1"/>
      <c r="T3440" s="1"/>
      <c r="U3440" s="2">
        <f>IFERROR(__xludf.DUMMYFUNCTION("""COMPUTED_VALUE"""),0.0)</f>
        <v>0</v>
      </c>
      <c r="V3440" s="1" t="str">
        <f>IFERROR(__xludf.DUMMYFUNCTION("""COMPUTED_VALUE"""),"#N/A")</f>
        <v>#N/A</v>
      </c>
      <c r="W3440" s="1" t="str">
        <f>IFERROR(__xludf.DUMMYFUNCTION("""COMPUTED_VALUE"""),"#N/A")</f>
        <v>#N/A</v>
      </c>
    </row>
    <row r="3441">
      <c r="O3441" s="1" t="str">
        <f>IFERROR(__xludf.DUMMYFUNCTION("""COMPUTED_VALUE"""),"#VALUE!")</f>
        <v>#VALUE!</v>
      </c>
      <c r="P3441" s="1" t="str">
        <f>IFERROR(__xludf.DUMMYFUNCTION("""COMPUTED_VALUE"""),"#N/A")</f>
        <v>#N/A</v>
      </c>
      <c r="Q3441" s="1"/>
      <c r="R3441" s="1"/>
      <c r="S3441" s="1"/>
      <c r="T3441" s="1"/>
      <c r="U3441" s="2">
        <f>IFERROR(__xludf.DUMMYFUNCTION("""COMPUTED_VALUE"""),0.0)</f>
        <v>0</v>
      </c>
      <c r="V3441" s="1" t="str">
        <f>IFERROR(__xludf.DUMMYFUNCTION("""COMPUTED_VALUE"""),"#N/A")</f>
        <v>#N/A</v>
      </c>
      <c r="W3441" s="1" t="str">
        <f>IFERROR(__xludf.DUMMYFUNCTION("""COMPUTED_VALUE"""),"#N/A")</f>
        <v>#N/A</v>
      </c>
    </row>
    <row r="3442">
      <c r="O3442" s="1" t="str">
        <f>IFERROR(__xludf.DUMMYFUNCTION("""COMPUTED_VALUE"""),"#VALUE!")</f>
        <v>#VALUE!</v>
      </c>
      <c r="P3442" s="1" t="str">
        <f>IFERROR(__xludf.DUMMYFUNCTION("""COMPUTED_VALUE"""),"#N/A")</f>
        <v>#N/A</v>
      </c>
      <c r="Q3442" s="1"/>
      <c r="R3442" s="1"/>
      <c r="S3442" s="1"/>
      <c r="T3442" s="1"/>
      <c r="U3442" s="2">
        <f>IFERROR(__xludf.DUMMYFUNCTION("""COMPUTED_VALUE"""),0.0)</f>
        <v>0</v>
      </c>
      <c r="V3442" s="1" t="str">
        <f>IFERROR(__xludf.DUMMYFUNCTION("""COMPUTED_VALUE"""),"#N/A")</f>
        <v>#N/A</v>
      </c>
      <c r="W3442" s="1" t="str">
        <f>IFERROR(__xludf.DUMMYFUNCTION("""COMPUTED_VALUE"""),"#N/A")</f>
        <v>#N/A</v>
      </c>
    </row>
    <row r="3443">
      <c r="O3443" s="1" t="str">
        <f>IFERROR(__xludf.DUMMYFUNCTION("""COMPUTED_VALUE"""),"#VALUE!")</f>
        <v>#VALUE!</v>
      </c>
      <c r="P3443" s="1" t="str">
        <f>IFERROR(__xludf.DUMMYFUNCTION("""COMPUTED_VALUE"""),"#N/A")</f>
        <v>#N/A</v>
      </c>
      <c r="Q3443" s="1"/>
      <c r="R3443" s="1"/>
      <c r="S3443" s="1"/>
      <c r="T3443" s="1"/>
      <c r="U3443" s="2">
        <f>IFERROR(__xludf.DUMMYFUNCTION("""COMPUTED_VALUE"""),0.0)</f>
        <v>0</v>
      </c>
      <c r="V3443" s="1" t="str">
        <f>IFERROR(__xludf.DUMMYFUNCTION("""COMPUTED_VALUE"""),"#N/A")</f>
        <v>#N/A</v>
      </c>
      <c r="W3443" s="1" t="str">
        <f>IFERROR(__xludf.DUMMYFUNCTION("""COMPUTED_VALUE"""),"#N/A")</f>
        <v>#N/A</v>
      </c>
    </row>
    <row r="3444">
      <c r="O3444" s="1" t="str">
        <f>IFERROR(__xludf.DUMMYFUNCTION("""COMPUTED_VALUE"""),"#VALUE!")</f>
        <v>#VALUE!</v>
      </c>
      <c r="P3444" s="1" t="str">
        <f>IFERROR(__xludf.DUMMYFUNCTION("""COMPUTED_VALUE"""),"#N/A")</f>
        <v>#N/A</v>
      </c>
      <c r="Q3444" s="1"/>
      <c r="R3444" s="1"/>
      <c r="S3444" s="1"/>
      <c r="T3444" s="1"/>
      <c r="U3444" s="2">
        <f>IFERROR(__xludf.DUMMYFUNCTION("""COMPUTED_VALUE"""),0.0)</f>
        <v>0</v>
      </c>
      <c r="V3444" s="1" t="str">
        <f>IFERROR(__xludf.DUMMYFUNCTION("""COMPUTED_VALUE"""),"#N/A")</f>
        <v>#N/A</v>
      </c>
      <c r="W3444" s="1" t="str">
        <f>IFERROR(__xludf.DUMMYFUNCTION("""COMPUTED_VALUE"""),"#N/A")</f>
        <v>#N/A</v>
      </c>
    </row>
    <row r="3445">
      <c r="O3445" s="1" t="str">
        <f>IFERROR(__xludf.DUMMYFUNCTION("""COMPUTED_VALUE"""),"#VALUE!")</f>
        <v>#VALUE!</v>
      </c>
      <c r="P3445" s="1" t="str">
        <f>IFERROR(__xludf.DUMMYFUNCTION("""COMPUTED_VALUE"""),"#N/A")</f>
        <v>#N/A</v>
      </c>
      <c r="Q3445" s="1"/>
      <c r="R3445" s="1"/>
      <c r="S3445" s="1"/>
      <c r="T3445" s="1"/>
      <c r="U3445" s="2">
        <f>IFERROR(__xludf.DUMMYFUNCTION("""COMPUTED_VALUE"""),0.0)</f>
        <v>0</v>
      </c>
      <c r="V3445" s="1" t="str">
        <f>IFERROR(__xludf.DUMMYFUNCTION("""COMPUTED_VALUE"""),"#N/A")</f>
        <v>#N/A</v>
      </c>
      <c r="W3445" s="1" t="str">
        <f>IFERROR(__xludf.DUMMYFUNCTION("""COMPUTED_VALUE"""),"#N/A")</f>
        <v>#N/A</v>
      </c>
    </row>
    <row r="3446">
      <c r="O3446" s="1" t="str">
        <f>IFERROR(__xludf.DUMMYFUNCTION("""COMPUTED_VALUE"""),"#VALUE!")</f>
        <v>#VALUE!</v>
      </c>
      <c r="P3446" s="1" t="str">
        <f>IFERROR(__xludf.DUMMYFUNCTION("""COMPUTED_VALUE"""),"#N/A")</f>
        <v>#N/A</v>
      </c>
      <c r="Q3446" s="1"/>
      <c r="R3446" s="1"/>
      <c r="S3446" s="1"/>
      <c r="T3446" s="1"/>
      <c r="U3446" s="2">
        <f>IFERROR(__xludf.DUMMYFUNCTION("""COMPUTED_VALUE"""),0.0)</f>
        <v>0</v>
      </c>
      <c r="V3446" s="1" t="str">
        <f>IFERROR(__xludf.DUMMYFUNCTION("""COMPUTED_VALUE"""),"#N/A")</f>
        <v>#N/A</v>
      </c>
      <c r="W3446" s="1" t="str">
        <f>IFERROR(__xludf.DUMMYFUNCTION("""COMPUTED_VALUE"""),"#N/A")</f>
        <v>#N/A</v>
      </c>
    </row>
    <row r="3447">
      <c r="O3447" s="1" t="str">
        <f>IFERROR(__xludf.DUMMYFUNCTION("""COMPUTED_VALUE"""),"#VALUE!")</f>
        <v>#VALUE!</v>
      </c>
      <c r="P3447" s="1" t="str">
        <f>IFERROR(__xludf.DUMMYFUNCTION("""COMPUTED_VALUE"""),"#N/A")</f>
        <v>#N/A</v>
      </c>
      <c r="Q3447" s="1"/>
      <c r="R3447" s="1"/>
      <c r="S3447" s="1"/>
      <c r="T3447" s="1"/>
      <c r="U3447" s="2">
        <f>IFERROR(__xludf.DUMMYFUNCTION("""COMPUTED_VALUE"""),0.0)</f>
        <v>0</v>
      </c>
      <c r="V3447" s="1" t="str">
        <f>IFERROR(__xludf.DUMMYFUNCTION("""COMPUTED_VALUE"""),"#N/A")</f>
        <v>#N/A</v>
      </c>
      <c r="W3447" s="1" t="str">
        <f>IFERROR(__xludf.DUMMYFUNCTION("""COMPUTED_VALUE"""),"#N/A")</f>
        <v>#N/A</v>
      </c>
    </row>
    <row r="3448">
      <c r="O3448" s="1" t="str">
        <f>IFERROR(__xludf.DUMMYFUNCTION("""COMPUTED_VALUE"""),"#VALUE!")</f>
        <v>#VALUE!</v>
      </c>
      <c r="P3448" s="1" t="str">
        <f>IFERROR(__xludf.DUMMYFUNCTION("""COMPUTED_VALUE"""),"#N/A")</f>
        <v>#N/A</v>
      </c>
      <c r="Q3448" s="1"/>
      <c r="R3448" s="1"/>
      <c r="S3448" s="1"/>
      <c r="T3448" s="1"/>
      <c r="U3448" s="2">
        <f>IFERROR(__xludf.DUMMYFUNCTION("""COMPUTED_VALUE"""),0.0)</f>
        <v>0</v>
      </c>
      <c r="V3448" s="1" t="str">
        <f>IFERROR(__xludf.DUMMYFUNCTION("""COMPUTED_VALUE"""),"#N/A")</f>
        <v>#N/A</v>
      </c>
      <c r="W3448" s="1" t="str">
        <f>IFERROR(__xludf.DUMMYFUNCTION("""COMPUTED_VALUE"""),"#N/A")</f>
        <v>#N/A</v>
      </c>
    </row>
    <row r="3449">
      <c r="O3449" s="1" t="str">
        <f>IFERROR(__xludf.DUMMYFUNCTION("""COMPUTED_VALUE"""),"#VALUE!")</f>
        <v>#VALUE!</v>
      </c>
      <c r="P3449" s="1" t="str">
        <f>IFERROR(__xludf.DUMMYFUNCTION("""COMPUTED_VALUE"""),"#N/A")</f>
        <v>#N/A</v>
      </c>
      <c r="Q3449" s="1"/>
      <c r="R3449" s="1"/>
      <c r="S3449" s="1"/>
      <c r="T3449" s="1"/>
      <c r="U3449" s="2">
        <f>IFERROR(__xludf.DUMMYFUNCTION("""COMPUTED_VALUE"""),0.0)</f>
        <v>0</v>
      </c>
      <c r="V3449" s="1" t="str">
        <f>IFERROR(__xludf.DUMMYFUNCTION("""COMPUTED_VALUE"""),"#N/A")</f>
        <v>#N/A</v>
      </c>
      <c r="W3449" s="1" t="str">
        <f>IFERROR(__xludf.DUMMYFUNCTION("""COMPUTED_VALUE"""),"#N/A")</f>
        <v>#N/A</v>
      </c>
    </row>
    <row r="3450">
      <c r="O3450" s="1" t="str">
        <f>IFERROR(__xludf.DUMMYFUNCTION("""COMPUTED_VALUE"""),"#VALUE!")</f>
        <v>#VALUE!</v>
      </c>
      <c r="P3450" s="1" t="str">
        <f>IFERROR(__xludf.DUMMYFUNCTION("""COMPUTED_VALUE"""),"#N/A")</f>
        <v>#N/A</v>
      </c>
      <c r="Q3450" s="1"/>
      <c r="R3450" s="1"/>
      <c r="S3450" s="1"/>
      <c r="T3450" s="1"/>
      <c r="U3450" s="2">
        <f>IFERROR(__xludf.DUMMYFUNCTION("""COMPUTED_VALUE"""),0.0)</f>
        <v>0</v>
      </c>
      <c r="V3450" s="1" t="str">
        <f>IFERROR(__xludf.DUMMYFUNCTION("""COMPUTED_VALUE"""),"#N/A")</f>
        <v>#N/A</v>
      </c>
      <c r="W3450" s="1" t="str">
        <f>IFERROR(__xludf.DUMMYFUNCTION("""COMPUTED_VALUE"""),"#N/A")</f>
        <v>#N/A</v>
      </c>
    </row>
    <row r="3451">
      <c r="O3451" s="1" t="str">
        <f>IFERROR(__xludf.DUMMYFUNCTION("""COMPUTED_VALUE"""),"#VALUE!")</f>
        <v>#VALUE!</v>
      </c>
      <c r="P3451" s="1" t="str">
        <f>IFERROR(__xludf.DUMMYFUNCTION("""COMPUTED_VALUE"""),"#N/A")</f>
        <v>#N/A</v>
      </c>
      <c r="Q3451" s="1"/>
      <c r="R3451" s="1"/>
      <c r="S3451" s="1"/>
      <c r="T3451" s="1"/>
      <c r="U3451" s="2">
        <f>IFERROR(__xludf.DUMMYFUNCTION("""COMPUTED_VALUE"""),0.0)</f>
        <v>0</v>
      </c>
      <c r="V3451" s="1" t="str">
        <f>IFERROR(__xludf.DUMMYFUNCTION("""COMPUTED_VALUE"""),"#N/A")</f>
        <v>#N/A</v>
      </c>
      <c r="W3451" s="1" t="str">
        <f>IFERROR(__xludf.DUMMYFUNCTION("""COMPUTED_VALUE"""),"#N/A")</f>
        <v>#N/A</v>
      </c>
    </row>
    <row r="3452">
      <c r="O3452" s="1" t="str">
        <f>IFERROR(__xludf.DUMMYFUNCTION("""COMPUTED_VALUE"""),"#VALUE!")</f>
        <v>#VALUE!</v>
      </c>
      <c r="P3452" s="1" t="str">
        <f>IFERROR(__xludf.DUMMYFUNCTION("""COMPUTED_VALUE"""),"#N/A")</f>
        <v>#N/A</v>
      </c>
      <c r="Q3452" s="1"/>
      <c r="R3452" s="1"/>
      <c r="S3452" s="1"/>
      <c r="T3452" s="1"/>
      <c r="U3452" s="2">
        <f>IFERROR(__xludf.DUMMYFUNCTION("""COMPUTED_VALUE"""),0.0)</f>
        <v>0</v>
      </c>
      <c r="V3452" s="1" t="str">
        <f>IFERROR(__xludf.DUMMYFUNCTION("""COMPUTED_VALUE"""),"#N/A")</f>
        <v>#N/A</v>
      </c>
      <c r="W3452" s="1" t="str">
        <f>IFERROR(__xludf.DUMMYFUNCTION("""COMPUTED_VALUE"""),"#N/A")</f>
        <v>#N/A</v>
      </c>
    </row>
    <row r="3453">
      <c r="O3453" s="1" t="str">
        <f>IFERROR(__xludf.DUMMYFUNCTION("""COMPUTED_VALUE"""),"#VALUE!")</f>
        <v>#VALUE!</v>
      </c>
      <c r="P3453" s="1" t="str">
        <f>IFERROR(__xludf.DUMMYFUNCTION("""COMPUTED_VALUE"""),"#N/A")</f>
        <v>#N/A</v>
      </c>
      <c r="Q3453" s="1"/>
      <c r="R3453" s="1"/>
      <c r="S3453" s="1"/>
      <c r="T3453" s="1"/>
      <c r="U3453" s="2">
        <f>IFERROR(__xludf.DUMMYFUNCTION("""COMPUTED_VALUE"""),0.0)</f>
        <v>0</v>
      </c>
      <c r="V3453" s="1" t="str">
        <f>IFERROR(__xludf.DUMMYFUNCTION("""COMPUTED_VALUE"""),"#N/A")</f>
        <v>#N/A</v>
      </c>
      <c r="W3453" s="1" t="str">
        <f>IFERROR(__xludf.DUMMYFUNCTION("""COMPUTED_VALUE"""),"#N/A")</f>
        <v>#N/A</v>
      </c>
    </row>
    <row r="3454">
      <c r="O3454" s="1" t="str">
        <f>IFERROR(__xludf.DUMMYFUNCTION("""COMPUTED_VALUE"""),"#VALUE!")</f>
        <v>#VALUE!</v>
      </c>
      <c r="P3454" s="1" t="str">
        <f>IFERROR(__xludf.DUMMYFUNCTION("""COMPUTED_VALUE"""),"#N/A")</f>
        <v>#N/A</v>
      </c>
      <c r="Q3454" s="1"/>
      <c r="R3454" s="1"/>
      <c r="S3454" s="1"/>
      <c r="T3454" s="1"/>
      <c r="U3454" s="2">
        <f>IFERROR(__xludf.DUMMYFUNCTION("""COMPUTED_VALUE"""),0.0)</f>
        <v>0</v>
      </c>
      <c r="V3454" s="1" t="str">
        <f>IFERROR(__xludf.DUMMYFUNCTION("""COMPUTED_VALUE"""),"#N/A")</f>
        <v>#N/A</v>
      </c>
      <c r="W3454" s="1" t="str">
        <f>IFERROR(__xludf.DUMMYFUNCTION("""COMPUTED_VALUE"""),"#N/A")</f>
        <v>#N/A</v>
      </c>
    </row>
    <row r="3455">
      <c r="O3455" s="1" t="str">
        <f>IFERROR(__xludf.DUMMYFUNCTION("""COMPUTED_VALUE"""),"#VALUE!")</f>
        <v>#VALUE!</v>
      </c>
      <c r="P3455" s="1" t="str">
        <f>IFERROR(__xludf.DUMMYFUNCTION("""COMPUTED_VALUE"""),"#N/A")</f>
        <v>#N/A</v>
      </c>
      <c r="Q3455" s="1"/>
      <c r="R3455" s="1"/>
      <c r="S3455" s="1"/>
      <c r="T3455" s="1"/>
      <c r="U3455" s="2">
        <f>IFERROR(__xludf.DUMMYFUNCTION("""COMPUTED_VALUE"""),0.0)</f>
        <v>0</v>
      </c>
      <c r="V3455" s="1" t="str">
        <f>IFERROR(__xludf.DUMMYFUNCTION("""COMPUTED_VALUE"""),"#N/A")</f>
        <v>#N/A</v>
      </c>
      <c r="W3455" s="1" t="str">
        <f>IFERROR(__xludf.DUMMYFUNCTION("""COMPUTED_VALUE"""),"#N/A")</f>
        <v>#N/A</v>
      </c>
    </row>
    <row r="3456">
      <c r="O3456" s="1" t="str">
        <f>IFERROR(__xludf.DUMMYFUNCTION("""COMPUTED_VALUE"""),"#VALUE!")</f>
        <v>#VALUE!</v>
      </c>
      <c r="P3456" s="1" t="str">
        <f>IFERROR(__xludf.DUMMYFUNCTION("""COMPUTED_VALUE"""),"#N/A")</f>
        <v>#N/A</v>
      </c>
      <c r="Q3456" s="1"/>
      <c r="R3456" s="1"/>
      <c r="S3456" s="1"/>
      <c r="T3456" s="1"/>
      <c r="U3456" s="2">
        <f>IFERROR(__xludf.DUMMYFUNCTION("""COMPUTED_VALUE"""),0.0)</f>
        <v>0</v>
      </c>
      <c r="V3456" s="1" t="str">
        <f>IFERROR(__xludf.DUMMYFUNCTION("""COMPUTED_VALUE"""),"#N/A")</f>
        <v>#N/A</v>
      </c>
      <c r="W3456" s="1" t="str">
        <f>IFERROR(__xludf.DUMMYFUNCTION("""COMPUTED_VALUE"""),"#N/A")</f>
        <v>#N/A</v>
      </c>
    </row>
    <row r="3457">
      <c r="O3457" s="1" t="str">
        <f>IFERROR(__xludf.DUMMYFUNCTION("""COMPUTED_VALUE"""),"#VALUE!")</f>
        <v>#VALUE!</v>
      </c>
      <c r="P3457" s="1" t="str">
        <f>IFERROR(__xludf.DUMMYFUNCTION("""COMPUTED_VALUE"""),"#N/A")</f>
        <v>#N/A</v>
      </c>
      <c r="Q3457" s="1"/>
      <c r="R3457" s="1"/>
      <c r="S3457" s="1"/>
      <c r="T3457" s="1"/>
      <c r="U3457" s="2">
        <f>IFERROR(__xludf.DUMMYFUNCTION("""COMPUTED_VALUE"""),0.0)</f>
        <v>0</v>
      </c>
      <c r="V3457" s="1" t="str">
        <f>IFERROR(__xludf.DUMMYFUNCTION("""COMPUTED_VALUE"""),"#N/A")</f>
        <v>#N/A</v>
      </c>
      <c r="W3457" s="1" t="str">
        <f>IFERROR(__xludf.DUMMYFUNCTION("""COMPUTED_VALUE"""),"#N/A")</f>
        <v>#N/A</v>
      </c>
    </row>
    <row r="3458">
      <c r="O3458" s="1" t="str">
        <f>IFERROR(__xludf.DUMMYFUNCTION("""COMPUTED_VALUE"""),"#VALUE!")</f>
        <v>#VALUE!</v>
      </c>
      <c r="P3458" s="1" t="str">
        <f>IFERROR(__xludf.DUMMYFUNCTION("""COMPUTED_VALUE"""),"#N/A")</f>
        <v>#N/A</v>
      </c>
      <c r="Q3458" s="1"/>
      <c r="R3458" s="1"/>
      <c r="S3458" s="1"/>
      <c r="T3458" s="1"/>
      <c r="U3458" s="2">
        <f>IFERROR(__xludf.DUMMYFUNCTION("""COMPUTED_VALUE"""),0.0)</f>
        <v>0</v>
      </c>
      <c r="V3458" s="1" t="str">
        <f>IFERROR(__xludf.DUMMYFUNCTION("""COMPUTED_VALUE"""),"#N/A")</f>
        <v>#N/A</v>
      </c>
      <c r="W3458" s="1" t="str">
        <f>IFERROR(__xludf.DUMMYFUNCTION("""COMPUTED_VALUE"""),"#N/A")</f>
        <v>#N/A</v>
      </c>
    </row>
    <row r="3459">
      <c r="O3459" s="1" t="str">
        <f>IFERROR(__xludf.DUMMYFUNCTION("""COMPUTED_VALUE"""),"#VALUE!")</f>
        <v>#VALUE!</v>
      </c>
      <c r="P3459" s="1" t="str">
        <f>IFERROR(__xludf.DUMMYFUNCTION("""COMPUTED_VALUE"""),"#N/A")</f>
        <v>#N/A</v>
      </c>
      <c r="Q3459" s="1"/>
      <c r="R3459" s="1"/>
      <c r="S3459" s="1"/>
      <c r="T3459" s="1"/>
      <c r="U3459" s="2">
        <f>IFERROR(__xludf.DUMMYFUNCTION("""COMPUTED_VALUE"""),0.0)</f>
        <v>0</v>
      </c>
      <c r="V3459" s="1" t="str">
        <f>IFERROR(__xludf.DUMMYFUNCTION("""COMPUTED_VALUE"""),"#N/A")</f>
        <v>#N/A</v>
      </c>
      <c r="W3459" s="1" t="str">
        <f>IFERROR(__xludf.DUMMYFUNCTION("""COMPUTED_VALUE"""),"#N/A")</f>
        <v>#N/A</v>
      </c>
    </row>
    <row r="3460">
      <c r="O3460" s="1" t="str">
        <f>IFERROR(__xludf.DUMMYFUNCTION("""COMPUTED_VALUE"""),"#VALUE!")</f>
        <v>#VALUE!</v>
      </c>
      <c r="P3460" s="1" t="str">
        <f>IFERROR(__xludf.DUMMYFUNCTION("""COMPUTED_VALUE"""),"#N/A")</f>
        <v>#N/A</v>
      </c>
      <c r="Q3460" s="1"/>
      <c r="R3460" s="1"/>
      <c r="S3460" s="1"/>
      <c r="T3460" s="1"/>
      <c r="U3460" s="2">
        <f>IFERROR(__xludf.DUMMYFUNCTION("""COMPUTED_VALUE"""),0.0)</f>
        <v>0</v>
      </c>
      <c r="V3460" s="1" t="str">
        <f>IFERROR(__xludf.DUMMYFUNCTION("""COMPUTED_VALUE"""),"#N/A")</f>
        <v>#N/A</v>
      </c>
      <c r="W3460" s="1" t="str">
        <f>IFERROR(__xludf.DUMMYFUNCTION("""COMPUTED_VALUE"""),"#N/A")</f>
        <v>#N/A</v>
      </c>
    </row>
    <row r="3461">
      <c r="O3461" s="1" t="str">
        <f>IFERROR(__xludf.DUMMYFUNCTION("""COMPUTED_VALUE"""),"#VALUE!")</f>
        <v>#VALUE!</v>
      </c>
      <c r="P3461" s="1" t="str">
        <f>IFERROR(__xludf.DUMMYFUNCTION("""COMPUTED_VALUE"""),"#N/A")</f>
        <v>#N/A</v>
      </c>
      <c r="Q3461" s="1"/>
      <c r="R3461" s="1"/>
      <c r="S3461" s="1"/>
      <c r="T3461" s="1"/>
      <c r="U3461" s="2">
        <f>IFERROR(__xludf.DUMMYFUNCTION("""COMPUTED_VALUE"""),0.0)</f>
        <v>0</v>
      </c>
      <c r="V3461" s="1" t="str">
        <f>IFERROR(__xludf.DUMMYFUNCTION("""COMPUTED_VALUE"""),"#N/A")</f>
        <v>#N/A</v>
      </c>
      <c r="W3461" s="1" t="str">
        <f>IFERROR(__xludf.DUMMYFUNCTION("""COMPUTED_VALUE"""),"#N/A")</f>
        <v>#N/A</v>
      </c>
    </row>
    <row r="3462">
      <c r="O3462" s="1" t="str">
        <f>IFERROR(__xludf.DUMMYFUNCTION("""COMPUTED_VALUE"""),"#VALUE!")</f>
        <v>#VALUE!</v>
      </c>
      <c r="P3462" s="1" t="str">
        <f>IFERROR(__xludf.DUMMYFUNCTION("""COMPUTED_VALUE"""),"#N/A")</f>
        <v>#N/A</v>
      </c>
      <c r="Q3462" s="1"/>
      <c r="R3462" s="1"/>
      <c r="S3462" s="1"/>
      <c r="T3462" s="1"/>
      <c r="U3462" s="2">
        <f>IFERROR(__xludf.DUMMYFUNCTION("""COMPUTED_VALUE"""),0.0)</f>
        <v>0</v>
      </c>
      <c r="V3462" s="1" t="str">
        <f>IFERROR(__xludf.DUMMYFUNCTION("""COMPUTED_VALUE"""),"#N/A")</f>
        <v>#N/A</v>
      </c>
      <c r="W3462" s="1" t="str">
        <f>IFERROR(__xludf.DUMMYFUNCTION("""COMPUTED_VALUE"""),"#N/A")</f>
        <v>#N/A</v>
      </c>
    </row>
    <row r="3463">
      <c r="O3463" s="1" t="str">
        <f>IFERROR(__xludf.DUMMYFUNCTION("""COMPUTED_VALUE"""),"#VALUE!")</f>
        <v>#VALUE!</v>
      </c>
      <c r="P3463" s="1" t="str">
        <f>IFERROR(__xludf.DUMMYFUNCTION("""COMPUTED_VALUE"""),"#N/A")</f>
        <v>#N/A</v>
      </c>
      <c r="Q3463" s="1"/>
      <c r="R3463" s="1"/>
      <c r="S3463" s="1"/>
      <c r="T3463" s="1"/>
      <c r="U3463" s="2">
        <f>IFERROR(__xludf.DUMMYFUNCTION("""COMPUTED_VALUE"""),0.0)</f>
        <v>0</v>
      </c>
      <c r="V3463" s="1" t="str">
        <f>IFERROR(__xludf.DUMMYFUNCTION("""COMPUTED_VALUE"""),"#N/A")</f>
        <v>#N/A</v>
      </c>
      <c r="W3463" s="1" t="str">
        <f>IFERROR(__xludf.DUMMYFUNCTION("""COMPUTED_VALUE"""),"#N/A")</f>
        <v>#N/A</v>
      </c>
    </row>
    <row r="3464">
      <c r="O3464" s="1" t="str">
        <f>IFERROR(__xludf.DUMMYFUNCTION("""COMPUTED_VALUE"""),"#VALUE!")</f>
        <v>#VALUE!</v>
      </c>
      <c r="P3464" s="1" t="str">
        <f>IFERROR(__xludf.DUMMYFUNCTION("""COMPUTED_VALUE"""),"#N/A")</f>
        <v>#N/A</v>
      </c>
      <c r="Q3464" s="1"/>
      <c r="R3464" s="1"/>
      <c r="S3464" s="1"/>
      <c r="T3464" s="1"/>
      <c r="U3464" s="2">
        <f>IFERROR(__xludf.DUMMYFUNCTION("""COMPUTED_VALUE"""),0.0)</f>
        <v>0</v>
      </c>
      <c r="V3464" s="1" t="str">
        <f>IFERROR(__xludf.DUMMYFUNCTION("""COMPUTED_VALUE"""),"#N/A")</f>
        <v>#N/A</v>
      </c>
      <c r="W3464" s="1" t="str">
        <f>IFERROR(__xludf.DUMMYFUNCTION("""COMPUTED_VALUE"""),"#N/A")</f>
        <v>#N/A</v>
      </c>
    </row>
    <row r="3465">
      <c r="O3465" s="1" t="str">
        <f>IFERROR(__xludf.DUMMYFUNCTION("""COMPUTED_VALUE"""),"#VALUE!")</f>
        <v>#VALUE!</v>
      </c>
      <c r="P3465" s="1" t="str">
        <f>IFERROR(__xludf.DUMMYFUNCTION("""COMPUTED_VALUE"""),"#N/A")</f>
        <v>#N/A</v>
      </c>
      <c r="Q3465" s="1"/>
      <c r="R3465" s="1"/>
      <c r="S3465" s="1"/>
      <c r="T3465" s="1"/>
      <c r="U3465" s="2">
        <f>IFERROR(__xludf.DUMMYFUNCTION("""COMPUTED_VALUE"""),0.0)</f>
        <v>0</v>
      </c>
      <c r="V3465" s="1" t="str">
        <f>IFERROR(__xludf.DUMMYFUNCTION("""COMPUTED_VALUE"""),"#N/A")</f>
        <v>#N/A</v>
      </c>
      <c r="W3465" s="1" t="str">
        <f>IFERROR(__xludf.DUMMYFUNCTION("""COMPUTED_VALUE"""),"#N/A")</f>
        <v>#N/A</v>
      </c>
    </row>
    <row r="3466">
      <c r="O3466" s="1" t="str">
        <f>IFERROR(__xludf.DUMMYFUNCTION("""COMPUTED_VALUE"""),"#VALUE!")</f>
        <v>#VALUE!</v>
      </c>
      <c r="P3466" s="1" t="str">
        <f>IFERROR(__xludf.DUMMYFUNCTION("""COMPUTED_VALUE"""),"#N/A")</f>
        <v>#N/A</v>
      </c>
      <c r="Q3466" s="1"/>
      <c r="R3466" s="1"/>
      <c r="S3466" s="1"/>
      <c r="T3466" s="1"/>
      <c r="U3466" s="2">
        <f>IFERROR(__xludf.DUMMYFUNCTION("""COMPUTED_VALUE"""),0.0)</f>
        <v>0</v>
      </c>
      <c r="V3466" s="1" t="str">
        <f>IFERROR(__xludf.DUMMYFUNCTION("""COMPUTED_VALUE"""),"#N/A")</f>
        <v>#N/A</v>
      </c>
      <c r="W3466" s="1" t="str">
        <f>IFERROR(__xludf.DUMMYFUNCTION("""COMPUTED_VALUE"""),"#N/A")</f>
        <v>#N/A</v>
      </c>
    </row>
    <row r="3467">
      <c r="O3467" s="1" t="str">
        <f>IFERROR(__xludf.DUMMYFUNCTION("""COMPUTED_VALUE"""),"#VALUE!")</f>
        <v>#VALUE!</v>
      </c>
      <c r="P3467" s="1" t="str">
        <f>IFERROR(__xludf.DUMMYFUNCTION("""COMPUTED_VALUE"""),"#N/A")</f>
        <v>#N/A</v>
      </c>
      <c r="Q3467" s="1"/>
      <c r="R3467" s="1"/>
      <c r="S3467" s="1"/>
      <c r="T3467" s="1"/>
      <c r="U3467" s="2">
        <f>IFERROR(__xludf.DUMMYFUNCTION("""COMPUTED_VALUE"""),0.0)</f>
        <v>0</v>
      </c>
      <c r="V3467" s="1" t="str">
        <f>IFERROR(__xludf.DUMMYFUNCTION("""COMPUTED_VALUE"""),"#N/A")</f>
        <v>#N/A</v>
      </c>
      <c r="W3467" s="1" t="str">
        <f>IFERROR(__xludf.DUMMYFUNCTION("""COMPUTED_VALUE"""),"#N/A")</f>
        <v>#N/A</v>
      </c>
    </row>
    <row r="3468">
      <c r="O3468" s="1" t="str">
        <f>IFERROR(__xludf.DUMMYFUNCTION("""COMPUTED_VALUE"""),"#VALUE!")</f>
        <v>#VALUE!</v>
      </c>
      <c r="P3468" s="1" t="str">
        <f>IFERROR(__xludf.DUMMYFUNCTION("""COMPUTED_VALUE"""),"#N/A")</f>
        <v>#N/A</v>
      </c>
      <c r="Q3468" s="1"/>
      <c r="R3468" s="1"/>
      <c r="S3468" s="1"/>
      <c r="T3468" s="1"/>
      <c r="U3468" s="2">
        <f>IFERROR(__xludf.DUMMYFUNCTION("""COMPUTED_VALUE"""),0.0)</f>
        <v>0</v>
      </c>
      <c r="V3468" s="1" t="str">
        <f>IFERROR(__xludf.DUMMYFUNCTION("""COMPUTED_VALUE"""),"#N/A")</f>
        <v>#N/A</v>
      </c>
      <c r="W3468" s="1" t="str">
        <f>IFERROR(__xludf.DUMMYFUNCTION("""COMPUTED_VALUE"""),"#N/A")</f>
        <v>#N/A</v>
      </c>
    </row>
    <row r="3469">
      <c r="O3469" s="1" t="str">
        <f>IFERROR(__xludf.DUMMYFUNCTION("""COMPUTED_VALUE"""),"#VALUE!")</f>
        <v>#VALUE!</v>
      </c>
      <c r="P3469" s="1" t="str">
        <f>IFERROR(__xludf.DUMMYFUNCTION("""COMPUTED_VALUE"""),"#N/A")</f>
        <v>#N/A</v>
      </c>
      <c r="Q3469" s="1"/>
      <c r="R3469" s="1"/>
      <c r="S3469" s="1"/>
      <c r="T3469" s="1"/>
      <c r="U3469" s="2">
        <f>IFERROR(__xludf.DUMMYFUNCTION("""COMPUTED_VALUE"""),0.0)</f>
        <v>0</v>
      </c>
      <c r="V3469" s="1" t="str">
        <f>IFERROR(__xludf.DUMMYFUNCTION("""COMPUTED_VALUE"""),"#N/A")</f>
        <v>#N/A</v>
      </c>
      <c r="W3469" s="1" t="str">
        <f>IFERROR(__xludf.DUMMYFUNCTION("""COMPUTED_VALUE"""),"#N/A")</f>
        <v>#N/A</v>
      </c>
    </row>
    <row r="3470">
      <c r="O3470" s="1" t="str">
        <f>IFERROR(__xludf.DUMMYFUNCTION("""COMPUTED_VALUE"""),"#VALUE!")</f>
        <v>#VALUE!</v>
      </c>
      <c r="P3470" s="1" t="str">
        <f>IFERROR(__xludf.DUMMYFUNCTION("""COMPUTED_VALUE"""),"#N/A")</f>
        <v>#N/A</v>
      </c>
      <c r="Q3470" s="1"/>
      <c r="R3470" s="1"/>
      <c r="S3470" s="1"/>
      <c r="T3470" s="1"/>
      <c r="U3470" s="2">
        <f>IFERROR(__xludf.DUMMYFUNCTION("""COMPUTED_VALUE"""),0.0)</f>
        <v>0</v>
      </c>
      <c r="V3470" s="1" t="str">
        <f>IFERROR(__xludf.DUMMYFUNCTION("""COMPUTED_VALUE"""),"#N/A")</f>
        <v>#N/A</v>
      </c>
      <c r="W3470" s="1" t="str">
        <f>IFERROR(__xludf.DUMMYFUNCTION("""COMPUTED_VALUE"""),"#N/A")</f>
        <v>#N/A</v>
      </c>
    </row>
    <row r="3471">
      <c r="O3471" s="1" t="str">
        <f>IFERROR(__xludf.DUMMYFUNCTION("""COMPUTED_VALUE"""),"#VALUE!")</f>
        <v>#VALUE!</v>
      </c>
      <c r="P3471" s="1" t="str">
        <f>IFERROR(__xludf.DUMMYFUNCTION("""COMPUTED_VALUE"""),"#N/A")</f>
        <v>#N/A</v>
      </c>
      <c r="Q3471" s="1"/>
      <c r="R3471" s="1"/>
      <c r="S3471" s="1"/>
      <c r="T3471" s="1"/>
      <c r="U3471" s="2">
        <f>IFERROR(__xludf.DUMMYFUNCTION("""COMPUTED_VALUE"""),0.0)</f>
        <v>0</v>
      </c>
      <c r="V3471" s="1" t="str">
        <f>IFERROR(__xludf.DUMMYFUNCTION("""COMPUTED_VALUE"""),"#N/A")</f>
        <v>#N/A</v>
      </c>
      <c r="W3471" s="1" t="str">
        <f>IFERROR(__xludf.DUMMYFUNCTION("""COMPUTED_VALUE"""),"#N/A")</f>
        <v>#N/A</v>
      </c>
    </row>
    <row r="3472">
      <c r="O3472" s="1" t="str">
        <f>IFERROR(__xludf.DUMMYFUNCTION("""COMPUTED_VALUE"""),"#VALUE!")</f>
        <v>#VALUE!</v>
      </c>
      <c r="P3472" s="1" t="str">
        <f>IFERROR(__xludf.DUMMYFUNCTION("""COMPUTED_VALUE"""),"#N/A")</f>
        <v>#N/A</v>
      </c>
      <c r="Q3472" s="1"/>
      <c r="R3472" s="1"/>
      <c r="S3472" s="1"/>
      <c r="T3472" s="1"/>
      <c r="U3472" s="2">
        <f>IFERROR(__xludf.DUMMYFUNCTION("""COMPUTED_VALUE"""),0.0)</f>
        <v>0</v>
      </c>
      <c r="V3472" s="1" t="str">
        <f>IFERROR(__xludf.DUMMYFUNCTION("""COMPUTED_VALUE"""),"#N/A")</f>
        <v>#N/A</v>
      </c>
      <c r="W3472" s="1" t="str">
        <f>IFERROR(__xludf.DUMMYFUNCTION("""COMPUTED_VALUE"""),"#N/A")</f>
        <v>#N/A</v>
      </c>
    </row>
    <row r="3473">
      <c r="O3473" s="1" t="str">
        <f>IFERROR(__xludf.DUMMYFUNCTION("""COMPUTED_VALUE"""),"#VALUE!")</f>
        <v>#VALUE!</v>
      </c>
      <c r="P3473" s="1" t="str">
        <f>IFERROR(__xludf.DUMMYFUNCTION("""COMPUTED_VALUE"""),"#N/A")</f>
        <v>#N/A</v>
      </c>
      <c r="Q3473" s="1"/>
      <c r="R3473" s="1"/>
      <c r="S3473" s="1"/>
      <c r="T3473" s="1"/>
      <c r="U3473" s="2">
        <f>IFERROR(__xludf.DUMMYFUNCTION("""COMPUTED_VALUE"""),0.0)</f>
        <v>0</v>
      </c>
      <c r="V3473" s="1" t="str">
        <f>IFERROR(__xludf.DUMMYFUNCTION("""COMPUTED_VALUE"""),"#N/A")</f>
        <v>#N/A</v>
      </c>
      <c r="W3473" s="1" t="str">
        <f>IFERROR(__xludf.DUMMYFUNCTION("""COMPUTED_VALUE"""),"#N/A")</f>
        <v>#N/A</v>
      </c>
    </row>
    <row r="3474">
      <c r="O3474" s="1" t="str">
        <f>IFERROR(__xludf.DUMMYFUNCTION("""COMPUTED_VALUE"""),"#VALUE!")</f>
        <v>#VALUE!</v>
      </c>
      <c r="P3474" s="1" t="str">
        <f>IFERROR(__xludf.DUMMYFUNCTION("""COMPUTED_VALUE"""),"#N/A")</f>
        <v>#N/A</v>
      </c>
      <c r="Q3474" s="1"/>
      <c r="R3474" s="1"/>
      <c r="S3474" s="1"/>
      <c r="T3474" s="1"/>
      <c r="U3474" s="2">
        <f>IFERROR(__xludf.DUMMYFUNCTION("""COMPUTED_VALUE"""),0.0)</f>
        <v>0</v>
      </c>
      <c r="V3474" s="1" t="str">
        <f>IFERROR(__xludf.DUMMYFUNCTION("""COMPUTED_VALUE"""),"#N/A")</f>
        <v>#N/A</v>
      </c>
      <c r="W3474" s="1" t="str">
        <f>IFERROR(__xludf.DUMMYFUNCTION("""COMPUTED_VALUE"""),"#N/A")</f>
        <v>#N/A</v>
      </c>
    </row>
    <row r="3475">
      <c r="O3475" s="1" t="str">
        <f>IFERROR(__xludf.DUMMYFUNCTION("""COMPUTED_VALUE"""),"#VALUE!")</f>
        <v>#VALUE!</v>
      </c>
      <c r="P3475" s="1" t="str">
        <f>IFERROR(__xludf.DUMMYFUNCTION("""COMPUTED_VALUE"""),"#N/A")</f>
        <v>#N/A</v>
      </c>
      <c r="Q3475" s="1"/>
      <c r="R3475" s="1"/>
      <c r="S3475" s="1"/>
      <c r="T3475" s="1"/>
      <c r="U3475" s="2">
        <f>IFERROR(__xludf.DUMMYFUNCTION("""COMPUTED_VALUE"""),0.0)</f>
        <v>0</v>
      </c>
      <c r="V3475" s="1" t="str">
        <f>IFERROR(__xludf.DUMMYFUNCTION("""COMPUTED_VALUE"""),"#N/A")</f>
        <v>#N/A</v>
      </c>
      <c r="W3475" s="1" t="str">
        <f>IFERROR(__xludf.DUMMYFUNCTION("""COMPUTED_VALUE"""),"#N/A")</f>
        <v>#N/A</v>
      </c>
    </row>
    <row r="3476">
      <c r="O3476" s="1" t="str">
        <f>IFERROR(__xludf.DUMMYFUNCTION("""COMPUTED_VALUE"""),"#VALUE!")</f>
        <v>#VALUE!</v>
      </c>
      <c r="P3476" s="1" t="str">
        <f>IFERROR(__xludf.DUMMYFUNCTION("""COMPUTED_VALUE"""),"#N/A")</f>
        <v>#N/A</v>
      </c>
      <c r="Q3476" s="1"/>
      <c r="R3476" s="1"/>
      <c r="S3476" s="1"/>
      <c r="T3476" s="1"/>
      <c r="U3476" s="2">
        <f>IFERROR(__xludf.DUMMYFUNCTION("""COMPUTED_VALUE"""),0.0)</f>
        <v>0</v>
      </c>
      <c r="V3476" s="1" t="str">
        <f>IFERROR(__xludf.DUMMYFUNCTION("""COMPUTED_VALUE"""),"#N/A")</f>
        <v>#N/A</v>
      </c>
      <c r="W3476" s="1" t="str">
        <f>IFERROR(__xludf.DUMMYFUNCTION("""COMPUTED_VALUE"""),"#N/A")</f>
        <v>#N/A</v>
      </c>
    </row>
    <row r="3477">
      <c r="O3477" s="1" t="str">
        <f>IFERROR(__xludf.DUMMYFUNCTION("""COMPUTED_VALUE"""),"#VALUE!")</f>
        <v>#VALUE!</v>
      </c>
      <c r="P3477" s="1" t="str">
        <f>IFERROR(__xludf.DUMMYFUNCTION("""COMPUTED_VALUE"""),"#N/A")</f>
        <v>#N/A</v>
      </c>
      <c r="Q3477" s="1"/>
      <c r="R3477" s="1"/>
      <c r="S3477" s="1"/>
      <c r="T3477" s="1"/>
      <c r="U3477" s="2">
        <f>IFERROR(__xludf.DUMMYFUNCTION("""COMPUTED_VALUE"""),0.0)</f>
        <v>0</v>
      </c>
      <c r="V3477" s="1" t="str">
        <f>IFERROR(__xludf.DUMMYFUNCTION("""COMPUTED_VALUE"""),"#N/A")</f>
        <v>#N/A</v>
      </c>
      <c r="W3477" s="1" t="str">
        <f>IFERROR(__xludf.DUMMYFUNCTION("""COMPUTED_VALUE"""),"#N/A")</f>
        <v>#N/A</v>
      </c>
    </row>
    <row r="3478">
      <c r="O3478" s="1" t="str">
        <f>IFERROR(__xludf.DUMMYFUNCTION("""COMPUTED_VALUE"""),"#VALUE!")</f>
        <v>#VALUE!</v>
      </c>
      <c r="P3478" s="1" t="str">
        <f>IFERROR(__xludf.DUMMYFUNCTION("""COMPUTED_VALUE"""),"#N/A")</f>
        <v>#N/A</v>
      </c>
      <c r="Q3478" s="1"/>
      <c r="R3478" s="1"/>
      <c r="S3478" s="1"/>
      <c r="T3478" s="1"/>
      <c r="U3478" s="2">
        <f>IFERROR(__xludf.DUMMYFUNCTION("""COMPUTED_VALUE"""),0.0)</f>
        <v>0</v>
      </c>
      <c r="V3478" s="1" t="str">
        <f>IFERROR(__xludf.DUMMYFUNCTION("""COMPUTED_VALUE"""),"#N/A")</f>
        <v>#N/A</v>
      </c>
      <c r="W3478" s="1" t="str">
        <f>IFERROR(__xludf.DUMMYFUNCTION("""COMPUTED_VALUE"""),"#N/A")</f>
        <v>#N/A</v>
      </c>
    </row>
    <row r="3479">
      <c r="O3479" s="1" t="str">
        <f>IFERROR(__xludf.DUMMYFUNCTION("""COMPUTED_VALUE"""),"#VALUE!")</f>
        <v>#VALUE!</v>
      </c>
      <c r="P3479" s="1" t="str">
        <f>IFERROR(__xludf.DUMMYFUNCTION("""COMPUTED_VALUE"""),"#N/A")</f>
        <v>#N/A</v>
      </c>
      <c r="Q3479" s="1"/>
      <c r="R3479" s="1"/>
      <c r="S3479" s="1"/>
      <c r="T3479" s="1"/>
      <c r="U3479" s="2">
        <f>IFERROR(__xludf.DUMMYFUNCTION("""COMPUTED_VALUE"""),0.0)</f>
        <v>0</v>
      </c>
      <c r="V3479" s="1" t="str">
        <f>IFERROR(__xludf.DUMMYFUNCTION("""COMPUTED_VALUE"""),"#N/A")</f>
        <v>#N/A</v>
      </c>
      <c r="W3479" s="1" t="str">
        <f>IFERROR(__xludf.DUMMYFUNCTION("""COMPUTED_VALUE"""),"#N/A")</f>
        <v>#N/A</v>
      </c>
    </row>
    <row r="3480">
      <c r="O3480" s="1" t="str">
        <f>IFERROR(__xludf.DUMMYFUNCTION("""COMPUTED_VALUE"""),"#VALUE!")</f>
        <v>#VALUE!</v>
      </c>
      <c r="P3480" s="1" t="str">
        <f>IFERROR(__xludf.DUMMYFUNCTION("""COMPUTED_VALUE"""),"#N/A")</f>
        <v>#N/A</v>
      </c>
      <c r="Q3480" s="1"/>
      <c r="R3480" s="1"/>
      <c r="S3480" s="1"/>
      <c r="T3480" s="1"/>
      <c r="U3480" s="2">
        <f>IFERROR(__xludf.DUMMYFUNCTION("""COMPUTED_VALUE"""),0.0)</f>
        <v>0</v>
      </c>
      <c r="V3480" s="1" t="str">
        <f>IFERROR(__xludf.DUMMYFUNCTION("""COMPUTED_VALUE"""),"#N/A")</f>
        <v>#N/A</v>
      </c>
      <c r="W3480" s="1" t="str">
        <f>IFERROR(__xludf.DUMMYFUNCTION("""COMPUTED_VALUE"""),"#N/A")</f>
        <v>#N/A</v>
      </c>
    </row>
    <row r="3481">
      <c r="O3481" s="1" t="str">
        <f>IFERROR(__xludf.DUMMYFUNCTION("""COMPUTED_VALUE"""),"#VALUE!")</f>
        <v>#VALUE!</v>
      </c>
      <c r="P3481" s="1" t="str">
        <f>IFERROR(__xludf.DUMMYFUNCTION("""COMPUTED_VALUE"""),"#N/A")</f>
        <v>#N/A</v>
      </c>
      <c r="Q3481" s="1"/>
      <c r="R3481" s="1"/>
      <c r="S3481" s="1"/>
      <c r="T3481" s="1"/>
      <c r="U3481" s="2">
        <f>IFERROR(__xludf.DUMMYFUNCTION("""COMPUTED_VALUE"""),0.0)</f>
        <v>0</v>
      </c>
      <c r="V3481" s="1" t="str">
        <f>IFERROR(__xludf.DUMMYFUNCTION("""COMPUTED_VALUE"""),"#N/A")</f>
        <v>#N/A</v>
      </c>
      <c r="W3481" s="1" t="str">
        <f>IFERROR(__xludf.DUMMYFUNCTION("""COMPUTED_VALUE"""),"#N/A")</f>
        <v>#N/A</v>
      </c>
    </row>
    <row r="3482">
      <c r="O3482" s="1" t="str">
        <f>IFERROR(__xludf.DUMMYFUNCTION("""COMPUTED_VALUE"""),"#VALUE!")</f>
        <v>#VALUE!</v>
      </c>
      <c r="P3482" s="1" t="str">
        <f>IFERROR(__xludf.DUMMYFUNCTION("""COMPUTED_VALUE"""),"#N/A")</f>
        <v>#N/A</v>
      </c>
      <c r="Q3482" s="1"/>
      <c r="R3482" s="1"/>
      <c r="S3482" s="1"/>
      <c r="T3482" s="1"/>
      <c r="U3482" s="2">
        <f>IFERROR(__xludf.DUMMYFUNCTION("""COMPUTED_VALUE"""),0.0)</f>
        <v>0</v>
      </c>
      <c r="V3482" s="1" t="str">
        <f>IFERROR(__xludf.DUMMYFUNCTION("""COMPUTED_VALUE"""),"#N/A")</f>
        <v>#N/A</v>
      </c>
      <c r="W3482" s="1" t="str">
        <f>IFERROR(__xludf.DUMMYFUNCTION("""COMPUTED_VALUE"""),"#N/A")</f>
        <v>#N/A</v>
      </c>
    </row>
    <row r="3483">
      <c r="O3483" s="1" t="str">
        <f>IFERROR(__xludf.DUMMYFUNCTION("""COMPUTED_VALUE"""),"#VALUE!")</f>
        <v>#VALUE!</v>
      </c>
      <c r="P3483" s="1" t="str">
        <f>IFERROR(__xludf.DUMMYFUNCTION("""COMPUTED_VALUE"""),"#N/A")</f>
        <v>#N/A</v>
      </c>
      <c r="Q3483" s="1"/>
      <c r="R3483" s="1"/>
      <c r="S3483" s="1"/>
      <c r="T3483" s="1"/>
      <c r="U3483" s="2">
        <f>IFERROR(__xludf.DUMMYFUNCTION("""COMPUTED_VALUE"""),0.0)</f>
        <v>0</v>
      </c>
      <c r="V3483" s="1" t="str">
        <f>IFERROR(__xludf.DUMMYFUNCTION("""COMPUTED_VALUE"""),"#N/A")</f>
        <v>#N/A</v>
      </c>
      <c r="W3483" s="1" t="str">
        <f>IFERROR(__xludf.DUMMYFUNCTION("""COMPUTED_VALUE"""),"#N/A")</f>
        <v>#N/A</v>
      </c>
    </row>
    <row r="3484">
      <c r="O3484" s="1" t="str">
        <f>IFERROR(__xludf.DUMMYFUNCTION("""COMPUTED_VALUE"""),"#VALUE!")</f>
        <v>#VALUE!</v>
      </c>
      <c r="P3484" s="1" t="str">
        <f>IFERROR(__xludf.DUMMYFUNCTION("""COMPUTED_VALUE"""),"#N/A")</f>
        <v>#N/A</v>
      </c>
      <c r="Q3484" s="1"/>
      <c r="R3484" s="1"/>
      <c r="S3484" s="1"/>
      <c r="T3484" s="1"/>
      <c r="U3484" s="2">
        <f>IFERROR(__xludf.DUMMYFUNCTION("""COMPUTED_VALUE"""),0.0)</f>
        <v>0</v>
      </c>
      <c r="V3484" s="1" t="str">
        <f>IFERROR(__xludf.DUMMYFUNCTION("""COMPUTED_VALUE"""),"#N/A")</f>
        <v>#N/A</v>
      </c>
      <c r="W3484" s="1" t="str">
        <f>IFERROR(__xludf.DUMMYFUNCTION("""COMPUTED_VALUE"""),"#N/A")</f>
        <v>#N/A</v>
      </c>
    </row>
    <row r="3485">
      <c r="O3485" s="1" t="str">
        <f>IFERROR(__xludf.DUMMYFUNCTION("""COMPUTED_VALUE"""),"#VALUE!")</f>
        <v>#VALUE!</v>
      </c>
      <c r="P3485" s="1" t="str">
        <f>IFERROR(__xludf.DUMMYFUNCTION("""COMPUTED_VALUE"""),"#N/A")</f>
        <v>#N/A</v>
      </c>
      <c r="Q3485" s="1"/>
      <c r="R3485" s="1"/>
      <c r="S3485" s="1"/>
      <c r="T3485" s="1"/>
      <c r="U3485" s="2">
        <f>IFERROR(__xludf.DUMMYFUNCTION("""COMPUTED_VALUE"""),0.0)</f>
        <v>0</v>
      </c>
      <c r="V3485" s="1" t="str">
        <f>IFERROR(__xludf.DUMMYFUNCTION("""COMPUTED_VALUE"""),"#N/A")</f>
        <v>#N/A</v>
      </c>
      <c r="W3485" s="1" t="str">
        <f>IFERROR(__xludf.DUMMYFUNCTION("""COMPUTED_VALUE"""),"#N/A")</f>
        <v>#N/A</v>
      </c>
    </row>
    <row r="3486">
      <c r="O3486" s="1" t="str">
        <f>IFERROR(__xludf.DUMMYFUNCTION("""COMPUTED_VALUE"""),"#VALUE!")</f>
        <v>#VALUE!</v>
      </c>
      <c r="P3486" s="1" t="str">
        <f>IFERROR(__xludf.DUMMYFUNCTION("""COMPUTED_VALUE"""),"#N/A")</f>
        <v>#N/A</v>
      </c>
      <c r="Q3486" s="1"/>
      <c r="R3486" s="1"/>
      <c r="S3486" s="1"/>
      <c r="T3486" s="1"/>
      <c r="U3486" s="2">
        <f>IFERROR(__xludf.DUMMYFUNCTION("""COMPUTED_VALUE"""),0.0)</f>
        <v>0</v>
      </c>
      <c r="V3486" s="1" t="str">
        <f>IFERROR(__xludf.DUMMYFUNCTION("""COMPUTED_VALUE"""),"#N/A")</f>
        <v>#N/A</v>
      </c>
      <c r="W3486" s="1" t="str">
        <f>IFERROR(__xludf.DUMMYFUNCTION("""COMPUTED_VALUE"""),"#N/A")</f>
        <v>#N/A</v>
      </c>
    </row>
    <row r="3487">
      <c r="O3487" s="1" t="str">
        <f>IFERROR(__xludf.DUMMYFUNCTION("""COMPUTED_VALUE"""),"#VALUE!")</f>
        <v>#VALUE!</v>
      </c>
      <c r="P3487" s="1" t="str">
        <f>IFERROR(__xludf.DUMMYFUNCTION("""COMPUTED_VALUE"""),"#N/A")</f>
        <v>#N/A</v>
      </c>
      <c r="Q3487" s="1"/>
      <c r="R3487" s="1"/>
      <c r="S3487" s="1"/>
      <c r="T3487" s="1"/>
      <c r="U3487" s="2">
        <f>IFERROR(__xludf.DUMMYFUNCTION("""COMPUTED_VALUE"""),0.0)</f>
        <v>0</v>
      </c>
      <c r="V3487" s="1" t="str">
        <f>IFERROR(__xludf.DUMMYFUNCTION("""COMPUTED_VALUE"""),"#N/A")</f>
        <v>#N/A</v>
      </c>
      <c r="W3487" s="1" t="str">
        <f>IFERROR(__xludf.DUMMYFUNCTION("""COMPUTED_VALUE"""),"#N/A")</f>
        <v>#N/A</v>
      </c>
    </row>
    <row r="3488">
      <c r="O3488" s="1" t="str">
        <f>IFERROR(__xludf.DUMMYFUNCTION("""COMPUTED_VALUE"""),"#VALUE!")</f>
        <v>#VALUE!</v>
      </c>
      <c r="P3488" s="1" t="str">
        <f>IFERROR(__xludf.DUMMYFUNCTION("""COMPUTED_VALUE"""),"#N/A")</f>
        <v>#N/A</v>
      </c>
      <c r="Q3488" s="1"/>
      <c r="R3488" s="1"/>
      <c r="S3488" s="1"/>
      <c r="T3488" s="1"/>
      <c r="U3488" s="2">
        <f>IFERROR(__xludf.DUMMYFUNCTION("""COMPUTED_VALUE"""),0.0)</f>
        <v>0</v>
      </c>
      <c r="V3488" s="1" t="str">
        <f>IFERROR(__xludf.DUMMYFUNCTION("""COMPUTED_VALUE"""),"#N/A")</f>
        <v>#N/A</v>
      </c>
      <c r="W3488" s="1" t="str">
        <f>IFERROR(__xludf.DUMMYFUNCTION("""COMPUTED_VALUE"""),"#N/A")</f>
        <v>#N/A</v>
      </c>
    </row>
    <row r="3489">
      <c r="O3489" s="1" t="str">
        <f>IFERROR(__xludf.DUMMYFUNCTION("""COMPUTED_VALUE"""),"#VALUE!")</f>
        <v>#VALUE!</v>
      </c>
      <c r="P3489" s="1" t="str">
        <f>IFERROR(__xludf.DUMMYFUNCTION("""COMPUTED_VALUE"""),"#N/A")</f>
        <v>#N/A</v>
      </c>
      <c r="Q3489" s="1"/>
      <c r="R3489" s="1"/>
      <c r="S3489" s="1"/>
      <c r="T3489" s="1"/>
      <c r="U3489" s="2">
        <f>IFERROR(__xludf.DUMMYFUNCTION("""COMPUTED_VALUE"""),0.0)</f>
        <v>0</v>
      </c>
      <c r="V3489" s="1" t="str">
        <f>IFERROR(__xludf.DUMMYFUNCTION("""COMPUTED_VALUE"""),"#N/A")</f>
        <v>#N/A</v>
      </c>
      <c r="W3489" s="1" t="str">
        <f>IFERROR(__xludf.DUMMYFUNCTION("""COMPUTED_VALUE"""),"#N/A")</f>
        <v>#N/A</v>
      </c>
    </row>
    <row r="3490">
      <c r="O3490" s="1" t="str">
        <f>IFERROR(__xludf.DUMMYFUNCTION("""COMPUTED_VALUE"""),"#VALUE!")</f>
        <v>#VALUE!</v>
      </c>
      <c r="P3490" s="1" t="str">
        <f>IFERROR(__xludf.DUMMYFUNCTION("""COMPUTED_VALUE"""),"#N/A")</f>
        <v>#N/A</v>
      </c>
      <c r="Q3490" s="1"/>
      <c r="R3490" s="1"/>
      <c r="S3490" s="1"/>
      <c r="T3490" s="1"/>
      <c r="U3490" s="2">
        <f>IFERROR(__xludf.DUMMYFUNCTION("""COMPUTED_VALUE"""),0.0)</f>
        <v>0</v>
      </c>
      <c r="V3490" s="1" t="str">
        <f>IFERROR(__xludf.DUMMYFUNCTION("""COMPUTED_VALUE"""),"#N/A")</f>
        <v>#N/A</v>
      </c>
      <c r="W3490" s="1" t="str">
        <f>IFERROR(__xludf.DUMMYFUNCTION("""COMPUTED_VALUE"""),"#N/A")</f>
        <v>#N/A</v>
      </c>
    </row>
    <row r="3491">
      <c r="O3491" s="1" t="str">
        <f>IFERROR(__xludf.DUMMYFUNCTION("""COMPUTED_VALUE"""),"#VALUE!")</f>
        <v>#VALUE!</v>
      </c>
      <c r="P3491" s="1" t="str">
        <f>IFERROR(__xludf.DUMMYFUNCTION("""COMPUTED_VALUE"""),"#N/A")</f>
        <v>#N/A</v>
      </c>
      <c r="Q3491" s="1"/>
      <c r="R3491" s="1"/>
      <c r="S3491" s="1"/>
      <c r="T3491" s="1"/>
      <c r="U3491" s="2">
        <f>IFERROR(__xludf.DUMMYFUNCTION("""COMPUTED_VALUE"""),0.0)</f>
        <v>0</v>
      </c>
      <c r="V3491" s="1" t="str">
        <f>IFERROR(__xludf.DUMMYFUNCTION("""COMPUTED_VALUE"""),"#N/A")</f>
        <v>#N/A</v>
      </c>
      <c r="W3491" s="1" t="str">
        <f>IFERROR(__xludf.DUMMYFUNCTION("""COMPUTED_VALUE"""),"#N/A")</f>
        <v>#N/A</v>
      </c>
    </row>
    <row r="3492">
      <c r="O3492" s="1" t="str">
        <f>IFERROR(__xludf.DUMMYFUNCTION("""COMPUTED_VALUE"""),"#VALUE!")</f>
        <v>#VALUE!</v>
      </c>
      <c r="P3492" s="1" t="str">
        <f>IFERROR(__xludf.DUMMYFUNCTION("""COMPUTED_VALUE"""),"#N/A")</f>
        <v>#N/A</v>
      </c>
      <c r="Q3492" s="1"/>
      <c r="R3492" s="1"/>
      <c r="S3492" s="1"/>
      <c r="T3492" s="1"/>
      <c r="U3492" s="2">
        <f>IFERROR(__xludf.DUMMYFUNCTION("""COMPUTED_VALUE"""),0.0)</f>
        <v>0</v>
      </c>
      <c r="V3492" s="1" t="str">
        <f>IFERROR(__xludf.DUMMYFUNCTION("""COMPUTED_VALUE"""),"#N/A")</f>
        <v>#N/A</v>
      </c>
      <c r="W3492" s="1" t="str">
        <f>IFERROR(__xludf.DUMMYFUNCTION("""COMPUTED_VALUE"""),"#N/A")</f>
        <v>#N/A</v>
      </c>
    </row>
    <row r="3493">
      <c r="O3493" s="1" t="str">
        <f>IFERROR(__xludf.DUMMYFUNCTION("""COMPUTED_VALUE"""),"#VALUE!")</f>
        <v>#VALUE!</v>
      </c>
      <c r="P3493" s="1" t="str">
        <f>IFERROR(__xludf.DUMMYFUNCTION("""COMPUTED_VALUE"""),"#N/A")</f>
        <v>#N/A</v>
      </c>
      <c r="Q3493" s="1"/>
      <c r="R3493" s="1"/>
      <c r="S3493" s="1"/>
      <c r="T3493" s="1"/>
      <c r="U3493" s="2">
        <f>IFERROR(__xludf.DUMMYFUNCTION("""COMPUTED_VALUE"""),0.0)</f>
        <v>0</v>
      </c>
      <c r="V3493" s="1" t="str">
        <f>IFERROR(__xludf.DUMMYFUNCTION("""COMPUTED_VALUE"""),"#N/A")</f>
        <v>#N/A</v>
      </c>
      <c r="W3493" s="1" t="str">
        <f>IFERROR(__xludf.DUMMYFUNCTION("""COMPUTED_VALUE"""),"#N/A")</f>
        <v>#N/A</v>
      </c>
    </row>
    <row r="3494">
      <c r="O3494" s="1" t="str">
        <f>IFERROR(__xludf.DUMMYFUNCTION("""COMPUTED_VALUE"""),"#VALUE!")</f>
        <v>#VALUE!</v>
      </c>
      <c r="P3494" s="1" t="str">
        <f>IFERROR(__xludf.DUMMYFUNCTION("""COMPUTED_VALUE"""),"#N/A")</f>
        <v>#N/A</v>
      </c>
      <c r="Q3494" s="1"/>
      <c r="R3494" s="1"/>
      <c r="S3494" s="1"/>
      <c r="T3494" s="1"/>
      <c r="U3494" s="2">
        <f>IFERROR(__xludf.DUMMYFUNCTION("""COMPUTED_VALUE"""),0.0)</f>
        <v>0</v>
      </c>
      <c r="V3494" s="1" t="str">
        <f>IFERROR(__xludf.DUMMYFUNCTION("""COMPUTED_VALUE"""),"#N/A")</f>
        <v>#N/A</v>
      </c>
      <c r="W3494" s="1" t="str">
        <f>IFERROR(__xludf.DUMMYFUNCTION("""COMPUTED_VALUE"""),"#N/A")</f>
        <v>#N/A</v>
      </c>
    </row>
    <row r="3495">
      <c r="O3495" s="1" t="str">
        <f>IFERROR(__xludf.DUMMYFUNCTION("""COMPUTED_VALUE"""),"#VALUE!")</f>
        <v>#VALUE!</v>
      </c>
      <c r="P3495" s="1" t="str">
        <f>IFERROR(__xludf.DUMMYFUNCTION("""COMPUTED_VALUE"""),"#N/A")</f>
        <v>#N/A</v>
      </c>
      <c r="Q3495" s="1"/>
      <c r="R3495" s="1"/>
      <c r="S3495" s="1"/>
      <c r="T3495" s="1"/>
      <c r="U3495" s="2">
        <f>IFERROR(__xludf.DUMMYFUNCTION("""COMPUTED_VALUE"""),0.0)</f>
        <v>0</v>
      </c>
      <c r="V3495" s="1" t="str">
        <f>IFERROR(__xludf.DUMMYFUNCTION("""COMPUTED_VALUE"""),"#N/A")</f>
        <v>#N/A</v>
      </c>
      <c r="W3495" s="1" t="str">
        <f>IFERROR(__xludf.DUMMYFUNCTION("""COMPUTED_VALUE"""),"#N/A")</f>
        <v>#N/A</v>
      </c>
    </row>
    <row r="3496">
      <c r="O3496" s="1" t="str">
        <f>IFERROR(__xludf.DUMMYFUNCTION("""COMPUTED_VALUE"""),"#VALUE!")</f>
        <v>#VALUE!</v>
      </c>
      <c r="P3496" s="1" t="str">
        <f>IFERROR(__xludf.DUMMYFUNCTION("""COMPUTED_VALUE"""),"#N/A")</f>
        <v>#N/A</v>
      </c>
      <c r="Q3496" s="1"/>
      <c r="R3496" s="1"/>
      <c r="S3496" s="1"/>
      <c r="T3496" s="1"/>
      <c r="U3496" s="2">
        <f>IFERROR(__xludf.DUMMYFUNCTION("""COMPUTED_VALUE"""),0.0)</f>
        <v>0</v>
      </c>
      <c r="V3496" s="1" t="str">
        <f>IFERROR(__xludf.DUMMYFUNCTION("""COMPUTED_VALUE"""),"#N/A")</f>
        <v>#N/A</v>
      </c>
      <c r="W3496" s="1" t="str">
        <f>IFERROR(__xludf.DUMMYFUNCTION("""COMPUTED_VALUE"""),"#N/A")</f>
        <v>#N/A</v>
      </c>
    </row>
    <row r="3497">
      <c r="O3497" s="1" t="str">
        <f>IFERROR(__xludf.DUMMYFUNCTION("""COMPUTED_VALUE"""),"#VALUE!")</f>
        <v>#VALUE!</v>
      </c>
      <c r="P3497" s="1" t="str">
        <f>IFERROR(__xludf.DUMMYFUNCTION("""COMPUTED_VALUE"""),"#N/A")</f>
        <v>#N/A</v>
      </c>
      <c r="Q3497" s="1"/>
      <c r="R3497" s="1"/>
      <c r="S3497" s="1"/>
      <c r="T3497" s="1"/>
      <c r="U3497" s="2">
        <f>IFERROR(__xludf.DUMMYFUNCTION("""COMPUTED_VALUE"""),0.0)</f>
        <v>0</v>
      </c>
      <c r="V3497" s="1" t="str">
        <f>IFERROR(__xludf.DUMMYFUNCTION("""COMPUTED_VALUE"""),"#N/A")</f>
        <v>#N/A</v>
      </c>
      <c r="W3497" s="1" t="str">
        <f>IFERROR(__xludf.DUMMYFUNCTION("""COMPUTED_VALUE"""),"#N/A")</f>
        <v>#N/A</v>
      </c>
    </row>
    <row r="3498">
      <c r="O3498" s="1" t="str">
        <f>IFERROR(__xludf.DUMMYFUNCTION("""COMPUTED_VALUE"""),"#VALUE!")</f>
        <v>#VALUE!</v>
      </c>
      <c r="P3498" s="1" t="str">
        <f>IFERROR(__xludf.DUMMYFUNCTION("""COMPUTED_VALUE"""),"#N/A")</f>
        <v>#N/A</v>
      </c>
      <c r="Q3498" s="1"/>
      <c r="R3498" s="1"/>
      <c r="S3498" s="1"/>
      <c r="T3498" s="1"/>
      <c r="U3498" s="2">
        <f>IFERROR(__xludf.DUMMYFUNCTION("""COMPUTED_VALUE"""),0.0)</f>
        <v>0</v>
      </c>
      <c r="V3498" s="1" t="str">
        <f>IFERROR(__xludf.DUMMYFUNCTION("""COMPUTED_VALUE"""),"#N/A")</f>
        <v>#N/A</v>
      </c>
      <c r="W3498" s="1" t="str">
        <f>IFERROR(__xludf.DUMMYFUNCTION("""COMPUTED_VALUE"""),"#N/A")</f>
        <v>#N/A</v>
      </c>
    </row>
    <row r="3499">
      <c r="O3499" s="1" t="str">
        <f>IFERROR(__xludf.DUMMYFUNCTION("""COMPUTED_VALUE"""),"#VALUE!")</f>
        <v>#VALUE!</v>
      </c>
      <c r="P3499" s="1" t="str">
        <f>IFERROR(__xludf.DUMMYFUNCTION("""COMPUTED_VALUE"""),"#N/A")</f>
        <v>#N/A</v>
      </c>
      <c r="Q3499" s="1"/>
      <c r="R3499" s="1"/>
      <c r="S3499" s="1"/>
      <c r="T3499" s="1"/>
      <c r="U3499" s="2">
        <f>IFERROR(__xludf.DUMMYFUNCTION("""COMPUTED_VALUE"""),0.0)</f>
        <v>0</v>
      </c>
      <c r="V3499" s="1" t="str">
        <f>IFERROR(__xludf.DUMMYFUNCTION("""COMPUTED_VALUE"""),"#N/A")</f>
        <v>#N/A</v>
      </c>
      <c r="W3499" s="1" t="str">
        <f>IFERROR(__xludf.DUMMYFUNCTION("""COMPUTED_VALUE"""),"#N/A")</f>
        <v>#N/A</v>
      </c>
    </row>
    <row r="3500">
      <c r="O3500" s="1" t="str">
        <f>IFERROR(__xludf.DUMMYFUNCTION("""COMPUTED_VALUE"""),"#VALUE!")</f>
        <v>#VALUE!</v>
      </c>
      <c r="P3500" s="1" t="str">
        <f>IFERROR(__xludf.DUMMYFUNCTION("""COMPUTED_VALUE"""),"#N/A")</f>
        <v>#N/A</v>
      </c>
      <c r="Q3500" s="1"/>
      <c r="R3500" s="1"/>
      <c r="S3500" s="1"/>
      <c r="T3500" s="1"/>
      <c r="U3500" s="2">
        <f>IFERROR(__xludf.DUMMYFUNCTION("""COMPUTED_VALUE"""),0.0)</f>
        <v>0</v>
      </c>
      <c r="V3500" s="1" t="str">
        <f>IFERROR(__xludf.DUMMYFUNCTION("""COMPUTED_VALUE"""),"#N/A")</f>
        <v>#N/A</v>
      </c>
      <c r="W3500" s="1" t="str">
        <f>IFERROR(__xludf.DUMMYFUNCTION("""COMPUTED_VALUE"""),"#N/A")</f>
        <v>#N/A</v>
      </c>
    </row>
    <row r="3501">
      <c r="O3501" s="1" t="str">
        <f>IFERROR(__xludf.DUMMYFUNCTION("""COMPUTED_VALUE"""),"#VALUE!")</f>
        <v>#VALUE!</v>
      </c>
      <c r="P3501" s="1" t="str">
        <f>IFERROR(__xludf.DUMMYFUNCTION("""COMPUTED_VALUE"""),"#N/A")</f>
        <v>#N/A</v>
      </c>
      <c r="Q3501" s="1"/>
      <c r="R3501" s="1"/>
      <c r="S3501" s="1"/>
      <c r="T3501" s="1"/>
      <c r="U3501" s="2">
        <f>IFERROR(__xludf.DUMMYFUNCTION("""COMPUTED_VALUE"""),0.0)</f>
        <v>0</v>
      </c>
      <c r="V3501" s="1" t="str">
        <f>IFERROR(__xludf.DUMMYFUNCTION("""COMPUTED_VALUE"""),"#N/A")</f>
        <v>#N/A</v>
      </c>
      <c r="W3501" s="1" t="str">
        <f>IFERROR(__xludf.DUMMYFUNCTION("""COMPUTED_VALUE"""),"#N/A")</f>
        <v>#N/A</v>
      </c>
    </row>
    <row r="3502">
      <c r="O3502" s="1" t="str">
        <f>IFERROR(__xludf.DUMMYFUNCTION("""COMPUTED_VALUE"""),"#VALUE!")</f>
        <v>#VALUE!</v>
      </c>
      <c r="P3502" s="1" t="str">
        <f>IFERROR(__xludf.DUMMYFUNCTION("""COMPUTED_VALUE"""),"#N/A")</f>
        <v>#N/A</v>
      </c>
      <c r="Q3502" s="1"/>
      <c r="R3502" s="1"/>
      <c r="S3502" s="1"/>
      <c r="T3502" s="1"/>
      <c r="U3502" s="2">
        <f>IFERROR(__xludf.DUMMYFUNCTION("""COMPUTED_VALUE"""),0.0)</f>
        <v>0</v>
      </c>
      <c r="V3502" s="1" t="str">
        <f>IFERROR(__xludf.DUMMYFUNCTION("""COMPUTED_VALUE"""),"#N/A")</f>
        <v>#N/A</v>
      </c>
      <c r="W3502" s="1" t="str">
        <f>IFERROR(__xludf.DUMMYFUNCTION("""COMPUTED_VALUE"""),"#N/A")</f>
        <v>#N/A</v>
      </c>
    </row>
    <row r="3503">
      <c r="O3503" s="1" t="str">
        <f>IFERROR(__xludf.DUMMYFUNCTION("""COMPUTED_VALUE"""),"#VALUE!")</f>
        <v>#VALUE!</v>
      </c>
      <c r="P3503" s="1" t="str">
        <f>IFERROR(__xludf.DUMMYFUNCTION("""COMPUTED_VALUE"""),"#N/A")</f>
        <v>#N/A</v>
      </c>
      <c r="Q3503" s="1"/>
      <c r="R3503" s="1"/>
      <c r="S3503" s="1"/>
      <c r="T3503" s="1"/>
      <c r="U3503" s="2">
        <f>IFERROR(__xludf.DUMMYFUNCTION("""COMPUTED_VALUE"""),0.0)</f>
        <v>0</v>
      </c>
      <c r="V3503" s="1" t="str">
        <f>IFERROR(__xludf.DUMMYFUNCTION("""COMPUTED_VALUE"""),"#N/A")</f>
        <v>#N/A</v>
      </c>
      <c r="W3503" s="1" t="str">
        <f>IFERROR(__xludf.DUMMYFUNCTION("""COMPUTED_VALUE"""),"#N/A")</f>
        <v>#N/A</v>
      </c>
    </row>
    <row r="3504">
      <c r="O3504" s="1" t="str">
        <f>IFERROR(__xludf.DUMMYFUNCTION("""COMPUTED_VALUE"""),"#VALUE!")</f>
        <v>#VALUE!</v>
      </c>
      <c r="P3504" s="1" t="str">
        <f>IFERROR(__xludf.DUMMYFUNCTION("""COMPUTED_VALUE"""),"#N/A")</f>
        <v>#N/A</v>
      </c>
      <c r="Q3504" s="1"/>
      <c r="R3504" s="1"/>
      <c r="S3504" s="1"/>
      <c r="T3504" s="1"/>
      <c r="U3504" s="2">
        <f>IFERROR(__xludf.DUMMYFUNCTION("""COMPUTED_VALUE"""),0.0)</f>
        <v>0</v>
      </c>
      <c r="V3504" s="1" t="str">
        <f>IFERROR(__xludf.DUMMYFUNCTION("""COMPUTED_VALUE"""),"#N/A")</f>
        <v>#N/A</v>
      </c>
      <c r="W3504" s="1" t="str">
        <f>IFERROR(__xludf.DUMMYFUNCTION("""COMPUTED_VALUE"""),"#N/A")</f>
        <v>#N/A</v>
      </c>
    </row>
    <row r="3505">
      <c r="O3505" s="1" t="str">
        <f>IFERROR(__xludf.DUMMYFUNCTION("""COMPUTED_VALUE"""),"#VALUE!")</f>
        <v>#VALUE!</v>
      </c>
      <c r="P3505" s="1" t="str">
        <f>IFERROR(__xludf.DUMMYFUNCTION("""COMPUTED_VALUE"""),"#N/A")</f>
        <v>#N/A</v>
      </c>
      <c r="Q3505" s="1"/>
      <c r="R3505" s="1"/>
      <c r="S3505" s="1"/>
      <c r="T3505" s="1"/>
      <c r="U3505" s="2">
        <f>IFERROR(__xludf.DUMMYFUNCTION("""COMPUTED_VALUE"""),0.0)</f>
        <v>0</v>
      </c>
      <c r="V3505" s="1" t="str">
        <f>IFERROR(__xludf.DUMMYFUNCTION("""COMPUTED_VALUE"""),"#N/A")</f>
        <v>#N/A</v>
      </c>
      <c r="W3505" s="1" t="str">
        <f>IFERROR(__xludf.DUMMYFUNCTION("""COMPUTED_VALUE"""),"#N/A")</f>
        <v>#N/A</v>
      </c>
    </row>
    <row r="3506">
      <c r="O3506" s="1" t="str">
        <f>IFERROR(__xludf.DUMMYFUNCTION("""COMPUTED_VALUE"""),"#VALUE!")</f>
        <v>#VALUE!</v>
      </c>
      <c r="P3506" s="1" t="str">
        <f>IFERROR(__xludf.DUMMYFUNCTION("""COMPUTED_VALUE"""),"#N/A")</f>
        <v>#N/A</v>
      </c>
      <c r="Q3506" s="1"/>
      <c r="R3506" s="1"/>
      <c r="S3506" s="1"/>
      <c r="T3506" s="1"/>
      <c r="U3506" s="2">
        <f>IFERROR(__xludf.DUMMYFUNCTION("""COMPUTED_VALUE"""),0.0)</f>
        <v>0</v>
      </c>
      <c r="V3506" s="1" t="str">
        <f>IFERROR(__xludf.DUMMYFUNCTION("""COMPUTED_VALUE"""),"#N/A")</f>
        <v>#N/A</v>
      </c>
      <c r="W3506" s="1" t="str">
        <f>IFERROR(__xludf.DUMMYFUNCTION("""COMPUTED_VALUE"""),"#N/A")</f>
        <v>#N/A</v>
      </c>
    </row>
    <row r="3507">
      <c r="O3507" s="1" t="str">
        <f>IFERROR(__xludf.DUMMYFUNCTION("""COMPUTED_VALUE"""),"#VALUE!")</f>
        <v>#VALUE!</v>
      </c>
      <c r="P3507" s="1" t="str">
        <f>IFERROR(__xludf.DUMMYFUNCTION("""COMPUTED_VALUE"""),"#N/A")</f>
        <v>#N/A</v>
      </c>
      <c r="Q3507" s="1"/>
      <c r="R3507" s="1"/>
      <c r="S3507" s="1"/>
      <c r="T3507" s="1"/>
      <c r="U3507" s="2">
        <f>IFERROR(__xludf.DUMMYFUNCTION("""COMPUTED_VALUE"""),0.0)</f>
        <v>0</v>
      </c>
      <c r="V3507" s="1" t="str">
        <f>IFERROR(__xludf.DUMMYFUNCTION("""COMPUTED_VALUE"""),"#N/A")</f>
        <v>#N/A</v>
      </c>
      <c r="W3507" s="1" t="str">
        <f>IFERROR(__xludf.DUMMYFUNCTION("""COMPUTED_VALUE"""),"#N/A")</f>
        <v>#N/A</v>
      </c>
    </row>
    <row r="3508">
      <c r="O3508" s="1" t="str">
        <f>IFERROR(__xludf.DUMMYFUNCTION("""COMPUTED_VALUE"""),"#VALUE!")</f>
        <v>#VALUE!</v>
      </c>
      <c r="P3508" s="1" t="str">
        <f>IFERROR(__xludf.DUMMYFUNCTION("""COMPUTED_VALUE"""),"#N/A")</f>
        <v>#N/A</v>
      </c>
      <c r="Q3508" s="1"/>
      <c r="R3508" s="1"/>
      <c r="S3508" s="1"/>
      <c r="T3508" s="1"/>
      <c r="U3508" s="2">
        <f>IFERROR(__xludf.DUMMYFUNCTION("""COMPUTED_VALUE"""),0.0)</f>
        <v>0</v>
      </c>
      <c r="V3508" s="1" t="str">
        <f>IFERROR(__xludf.DUMMYFUNCTION("""COMPUTED_VALUE"""),"#N/A")</f>
        <v>#N/A</v>
      </c>
      <c r="W3508" s="1" t="str">
        <f>IFERROR(__xludf.DUMMYFUNCTION("""COMPUTED_VALUE"""),"#N/A")</f>
        <v>#N/A</v>
      </c>
    </row>
    <row r="3509">
      <c r="O3509" s="1" t="str">
        <f>IFERROR(__xludf.DUMMYFUNCTION("""COMPUTED_VALUE"""),"#VALUE!")</f>
        <v>#VALUE!</v>
      </c>
      <c r="P3509" s="1" t="str">
        <f>IFERROR(__xludf.DUMMYFUNCTION("""COMPUTED_VALUE"""),"#N/A")</f>
        <v>#N/A</v>
      </c>
      <c r="Q3509" s="1"/>
      <c r="R3509" s="1"/>
      <c r="S3509" s="1"/>
      <c r="T3509" s="1"/>
      <c r="U3509" s="2">
        <f>IFERROR(__xludf.DUMMYFUNCTION("""COMPUTED_VALUE"""),0.0)</f>
        <v>0</v>
      </c>
      <c r="V3509" s="1" t="str">
        <f>IFERROR(__xludf.DUMMYFUNCTION("""COMPUTED_VALUE"""),"#N/A")</f>
        <v>#N/A</v>
      </c>
      <c r="W3509" s="1" t="str">
        <f>IFERROR(__xludf.DUMMYFUNCTION("""COMPUTED_VALUE"""),"#N/A")</f>
        <v>#N/A</v>
      </c>
    </row>
    <row r="3510">
      <c r="O3510" s="1" t="str">
        <f>IFERROR(__xludf.DUMMYFUNCTION("""COMPUTED_VALUE"""),"#VALUE!")</f>
        <v>#VALUE!</v>
      </c>
      <c r="P3510" s="1" t="str">
        <f>IFERROR(__xludf.DUMMYFUNCTION("""COMPUTED_VALUE"""),"#N/A")</f>
        <v>#N/A</v>
      </c>
      <c r="Q3510" s="1"/>
      <c r="R3510" s="1"/>
      <c r="S3510" s="1"/>
      <c r="T3510" s="1"/>
      <c r="U3510" s="2">
        <f>IFERROR(__xludf.DUMMYFUNCTION("""COMPUTED_VALUE"""),0.0)</f>
        <v>0</v>
      </c>
      <c r="V3510" s="1" t="str">
        <f>IFERROR(__xludf.DUMMYFUNCTION("""COMPUTED_VALUE"""),"#N/A")</f>
        <v>#N/A</v>
      </c>
      <c r="W3510" s="1" t="str">
        <f>IFERROR(__xludf.DUMMYFUNCTION("""COMPUTED_VALUE"""),"#N/A")</f>
        <v>#N/A</v>
      </c>
    </row>
    <row r="3511">
      <c r="O3511" s="1" t="str">
        <f>IFERROR(__xludf.DUMMYFUNCTION("""COMPUTED_VALUE"""),"#VALUE!")</f>
        <v>#VALUE!</v>
      </c>
      <c r="P3511" s="1" t="str">
        <f>IFERROR(__xludf.DUMMYFUNCTION("""COMPUTED_VALUE"""),"#N/A")</f>
        <v>#N/A</v>
      </c>
      <c r="Q3511" s="1"/>
      <c r="R3511" s="1"/>
      <c r="S3511" s="1"/>
      <c r="T3511" s="1"/>
      <c r="U3511" s="2">
        <f>IFERROR(__xludf.DUMMYFUNCTION("""COMPUTED_VALUE"""),0.0)</f>
        <v>0</v>
      </c>
      <c r="V3511" s="1" t="str">
        <f>IFERROR(__xludf.DUMMYFUNCTION("""COMPUTED_VALUE"""),"#N/A")</f>
        <v>#N/A</v>
      </c>
      <c r="W3511" s="1" t="str">
        <f>IFERROR(__xludf.DUMMYFUNCTION("""COMPUTED_VALUE"""),"#N/A")</f>
        <v>#N/A</v>
      </c>
    </row>
    <row r="3512">
      <c r="O3512" s="1" t="str">
        <f>IFERROR(__xludf.DUMMYFUNCTION("""COMPUTED_VALUE"""),"#VALUE!")</f>
        <v>#VALUE!</v>
      </c>
      <c r="P3512" s="1" t="str">
        <f>IFERROR(__xludf.DUMMYFUNCTION("""COMPUTED_VALUE"""),"#N/A")</f>
        <v>#N/A</v>
      </c>
      <c r="Q3512" s="1"/>
      <c r="R3512" s="1"/>
      <c r="S3512" s="1"/>
      <c r="T3512" s="1"/>
      <c r="U3512" s="2">
        <f>IFERROR(__xludf.DUMMYFUNCTION("""COMPUTED_VALUE"""),0.0)</f>
        <v>0</v>
      </c>
      <c r="V3512" s="1" t="str">
        <f>IFERROR(__xludf.DUMMYFUNCTION("""COMPUTED_VALUE"""),"#N/A")</f>
        <v>#N/A</v>
      </c>
      <c r="W3512" s="1" t="str">
        <f>IFERROR(__xludf.DUMMYFUNCTION("""COMPUTED_VALUE"""),"#N/A")</f>
        <v>#N/A</v>
      </c>
    </row>
    <row r="3513">
      <c r="O3513" s="1" t="str">
        <f>IFERROR(__xludf.DUMMYFUNCTION("""COMPUTED_VALUE"""),"#VALUE!")</f>
        <v>#VALUE!</v>
      </c>
      <c r="P3513" s="1" t="str">
        <f>IFERROR(__xludf.DUMMYFUNCTION("""COMPUTED_VALUE"""),"#N/A")</f>
        <v>#N/A</v>
      </c>
      <c r="Q3513" s="1"/>
      <c r="R3513" s="1"/>
      <c r="S3513" s="1"/>
      <c r="T3513" s="1"/>
      <c r="U3513" s="2">
        <f>IFERROR(__xludf.DUMMYFUNCTION("""COMPUTED_VALUE"""),0.0)</f>
        <v>0</v>
      </c>
      <c r="V3513" s="1" t="str">
        <f>IFERROR(__xludf.DUMMYFUNCTION("""COMPUTED_VALUE"""),"#N/A")</f>
        <v>#N/A</v>
      </c>
      <c r="W3513" s="1" t="str">
        <f>IFERROR(__xludf.DUMMYFUNCTION("""COMPUTED_VALUE"""),"#N/A")</f>
        <v>#N/A</v>
      </c>
    </row>
    <row r="3514">
      <c r="O3514" s="1" t="str">
        <f>IFERROR(__xludf.DUMMYFUNCTION("""COMPUTED_VALUE"""),"#VALUE!")</f>
        <v>#VALUE!</v>
      </c>
      <c r="P3514" s="1" t="str">
        <f>IFERROR(__xludf.DUMMYFUNCTION("""COMPUTED_VALUE"""),"#N/A")</f>
        <v>#N/A</v>
      </c>
      <c r="Q3514" s="1"/>
      <c r="R3514" s="1"/>
      <c r="S3514" s="1"/>
      <c r="T3514" s="1"/>
      <c r="U3514" s="2">
        <f>IFERROR(__xludf.DUMMYFUNCTION("""COMPUTED_VALUE"""),0.0)</f>
        <v>0</v>
      </c>
      <c r="V3514" s="1" t="str">
        <f>IFERROR(__xludf.DUMMYFUNCTION("""COMPUTED_VALUE"""),"#N/A")</f>
        <v>#N/A</v>
      </c>
      <c r="W3514" s="1" t="str">
        <f>IFERROR(__xludf.DUMMYFUNCTION("""COMPUTED_VALUE"""),"#N/A")</f>
        <v>#N/A</v>
      </c>
    </row>
    <row r="3515">
      <c r="O3515" s="1" t="str">
        <f>IFERROR(__xludf.DUMMYFUNCTION("""COMPUTED_VALUE"""),"#VALUE!")</f>
        <v>#VALUE!</v>
      </c>
      <c r="P3515" s="1" t="str">
        <f>IFERROR(__xludf.DUMMYFUNCTION("""COMPUTED_VALUE"""),"#N/A")</f>
        <v>#N/A</v>
      </c>
      <c r="Q3515" s="1"/>
      <c r="R3515" s="1"/>
      <c r="S3515" s="1"/>
      <c r="T3515" s="1"/>
      <c r="U3515" s="2">
        <f>IFERROR(__xludf.DUMMYFUNCTION("""COMPUTED_VALUE"""),0.0)</f>
        <v>0</v>
      </c>
      <c r="V3515" s="1" t="str">
        <f>IFERROR(__xludf.DUMMYFUNCTION("""COMPUTED_VALUE"""),"#N/A")</f>
        <v>#N/A</v>
      </c>
      <c r="W3515" s="1" t="str">
        <f>IFERROR(__xludf.DUMMYFUNCTION("""COMPUTED_VALUE"""),"#N/A")</f>
        <v>#N/A</v>
      </c>
    </row>
    <row r="3516">
      <c r="O3516" s="1" t="str">
        <f>IFERROR(__xludf.DUMMYFUNCTION("""COMPUTED_VALUE"""),"#VALUE!")</f>
        <v>#VALUE!</v>
      </c>
      <c r="P3516" s="1" t="str">
        <f>IFERROR(__xludf.DUMMYFUNCTION("""COMPUTED_VALUE"""),"#N/A")</f>
        <v>#N/A</v>
      </c>
      <c r="Q3516" s="1"/>
      <c r="R3516" s="1"/>
      <c r="S3516" s="1"/>
      <c r="T3516" s="1"/>
      <c r="U3516" s="2">
        <f>IFERROR(__xludf.DUMMYFUNCTION("""COMPUTED_VALUE"""),0.0)</f>
        <v>0</v>
      </c>
      <c r="V3516" s="1" t="str">
        <f>IFERROR(__xludf.DUMMYFUNCTION("""COMPUTED_VALUE"""),"#N/A")</f>
        <v>#N/A</v>
      </c>
      <c r="W3516" s="1" t="str">
        <f>IFERROR(__xludf.DUMMYFUNCTION("""COMPUTED_VALUE"""),"#N/A")</f>
        <v>#N/A</v>
      </c>
    </row>
    <row r="3517">
      <c r="O3517" s="1" t="str">
        <f>IFERROR(__xludf.DUMMYFUNCTION("""COMPUTED_VALUE"""),"#VALUE!")</f>
        <v>#VALUE!</v>
      </c>
      <c r="P3517" s="1" t="str">
        <f>IFERROR(__xludf.DUMMYFUNCTION("""COMPUTED_VALUE"""),"#N/A")</f>
        <v>#N/A</v>
      </c>
      <c r="Q3517" s="1"/>
      <c r="R3517" s="1"/>
      <c r="S3517" s="1"/>
      <c r="T3517" s="1"/>
      <c r="U3517" s="2">
        <f>IFERROR(__xludf.DUMMYFUNCTION("""COMPUTED_VALUE"""),0.0)</f>
        <v>0</v>
      </c>
      <c r="V3517" s="1" t="str">
        <f>IFERROR(__xludf.DUMMYFUNCTION("""COMPUTED_VALUE"""),"#N/A")</f>
        <v>#N/A</v>
      </c>
      <c r="W3517" s="1" t="str">
        <f>IFERROR(__xludf.DUMMYFUNCTION("""COMPUTED_VALUE"""),"#N/A")</f>
        <v>#N/A</v>
      </c>
    </row>
    <row r="3518">
      <c r="O3518" s="1" t="str">
        <f>IFERROR(__xludf.DUMMYFUNCTION("""COMPUTED_VALUE"""),"#VALUE!")</f>
        <v>#VALUE!</v>
      </c>
      <c r="P3518" s="1" t="str">
        <f>IFERROR(__xludf.DUMMYFUNCTION("""COMPUTED_VALUE"""),"#N/A")</f>
        <v>#N/A</v>
      </c>
      <c r="Q3518" s="1"/>
      <c r="R3518" s="1"/>
      <c r="S3518" s="1"/>
      <c r="T3518" s="1"/>
      <c r="U3518" s="2">
        <f>IFERROR(__xludf.DUMMYFUNCTION("""COMPUTED_VALUE"""),0.0)</f>
        <v>0</v>
      </c>
      <c r="V3518" s="1" t="str">
        <f>IFERROR(__xludf.DUMMYFUNCTION("""COMPUTED_VALUE"""),"#N/A")</f>
        <v>#N/A</v>
      </c>
      <c r="W3518" s="1" t="str">
        <f>IFERROR(__xludf.DUMMYFUNCTION("""COMPUTED_VALUE"""),"#N/A")</f>
        <v>#N/A</v>
      </c>
    </row>
    <row r="3519">
      <c r="O3519" s="1" t="str">
        <f>IFERROR(__xludf.DUMMYFUNCTION("""COMPUTED_VALUE"""),"#VALUE!")</f>
        <v>#VALUE!</v>
      </c>
      <c r="P3519" s="1" t="str">
        <f>IFERROR(__xludf.DUMMYFUNCTION("""COMPUTED_VALUE"""),"#N/A")</f>
        <v>#N/A</v>
      </c>
      <c r="Q3519" s="1"/>
      <c r="R3519" s="1"/>
      <c r="S3519" s="1"/>
      <c r="T3519" s="1"/>
      <c r="U3519" s="2">
        <f>IFERROR(__xludf.DUMMYFUNCTION("""COMPUTED_VALUE"""),0.0)</f>
        <v>0</v>
      </c>
      <c r="V3519" s="1" t="str">
        <f>IFERROR(__xludf.DUMMYFUNCTION("""COMPUTED_VALUE"""),"#N/A")</f>
        <v>#N/A</v>
      </c>
      <c r="W3519" s="1" t="str">
        <f>IFERROR(__xludf.DUMMYFUNCTION("""COMPUTED_VALUE"""),"#N/A")</f>
        <v>#N/A</v>
      </c>
    </row>
    <row r="3520">
      <c r="O3520" s="1" t="str">
        <f>IFERROR(__xludf.DUMMYFUNCTION("""COMPUTED_VALUE"""),"#VALUE!")</f>
        <v>#VALUE!</v>
      </c>
      <c r="P3520" s="1" t="str">
        <f>IFERROR(__xludf.DUMMYFUNCTION("""COMPUTED_VALUE"""),"#N/A")</f>
        <v>#N/A</v>
      </c>
      <c r="Q3520" s="1"/>
      <c r="R3520" s="1"/>
      <c r="S3520" s="1"/>
      <c r="T3520" s="1"/>
      <c r="U3520" s="2">
        <f>IFERROR(__xludf.DUMMYFUNCTION("""COMPUTED_VALUE"""),0.0)</f>
        <v>0</v>
      </c>
      <c r="V3520" s="1" t="str">
        <f>IFERROR(__xludf.DUMMYFUNCTION("""COMPUTED_VALUE"""),"#N/A")</f>
        <v>#N/A</v>
      </c>
      <c r="W3520" s="1" t="str">
        <f>IFERROR(__xludf.DUMMYFUNCTION("""COMPUTED_VALUE"""),"#N/A")</f>
        <v>#N/A</v>
      </c>
    </row>
    <row r="3521">
      <c r="O3521" s="1" t="str">
        <f>IFERROR(__xludf.DUMMYFUNCTION("""COMPUTED_VALUE"""),"#VALUE!")</f>
        <v>#VALUE!</v>
      </c>
      <c r="P3521" s="1" t="str">
        <f>IFERROR(__xludf.DUMMYFUNCTION("""COMPUTED_VALUE"""),"#N/A")</f>
        <v>#N/A</v>
      </c>
      <c r="Q3521" s="1"/>
      <c r="R3521" s="1"/>
      <c r="S3521" s="1"/>
      <c r="T3521" s="1"/>
      <c r="U3521" s="2">
        <f>IFERROR(__xludf.DUMMYFUNCTION("""COMPUTED_VALUE"""),0.0)</f>
        <v>0</v>
      </c>
      <c r="V3521" s="1" t="str">
        <f>IFERROR(__xludf.DUMMYFUNCTION("""COMPUTED_VALUE"""),"#N/A")</f>
        <v>#N/A</v>
      </c>
      <c r="W3521" s="1" t="str">
        <f>IFERROR(__xludf.DUMMYFUNCTION("""COMPUTED_VALUE"""),"#N/A")</f>
        <v>#N/A</v>
      </c>
    </row>
    <row r="3522">
      <c r="O3522" s="1" t="str">
        <f>IFERROR(__xludf.DUMMYFUNCTION("""COMPUTED_VALUE"""),"#VALUE!")</f>
        <v>#VALUE!</v>
      </c>
      <c r="P3522" s="1" t="str">
        <f>IFERROR(__xludf.DUMMYFUNCTION("""COMPUTED_VALUE"""),"#N/A")</f>
        <v>#N/A</v>
      </c>
      <c r="Q3522" s="1"/>
      <c r="R3522" s="1"/>
      <c r="S3522" s="1"/>
      <c r="T3522" s="1"/>
      <c r="U3522" s="2">
        <f>IFERROR(__xludf.DUMMYFUNCTION("""COMPUTED_VALUE"""),0.0)</f>
        <v>0</v>
      </c>
      <c r="V3522" s="1" t="str">
        <f>IFERROR(__xludf.DUMMYFUNCTION("""COMPUTED_VALUE"""),"#N/A")</f>
        <v>#N/A</v>
      </c>
      <c r="W3522" s="1" t="str">
        <f>IFERROR(__xludf.DUMMYFUNCTION("""COMPUTED_VALUE"""),"#N/A")</f>
        <v>#N/A</v>
      </c>
    </row>
    <row r="3523">
      <c r="O3523" s="1" t="str">
        <f>IFERROR(__xludf.DUMMYFUNCTION("""COMPUTED_VALUE"""),"#VALUE!")</f>
        <v>#VALUE!</v>
      </c>
      <c r="P3523" s="1" t="str">
        <f>IFERROR(__xludf.DUMMYFUNCTION("""COMPUTED_VALUE"""),"#N/A")</f>
        <v>#N/A</v>
      </c>
      <c r="Q3523" s="1"/>
      <c r="R3523" s="1"/>
      <c r="S3523" s="1"/>
      <c r="T3523" s="1"/>
      <c r="U3523" s="2">
        <f>IFERROR(__xludf.DUMMYFUNCTION("""COMPUTED_VALUE"""),0.0)</f>
        <v>0</v>
      </c>
      <c r="V3523" s="1" t="str">
        <f>IFERROR(__xludf.DUMMYFUNCTION("""COMPUTED_VALUE"""),"#N/A")</f>
        <v>#N/A</v>
      </c>
      <c r="W3523" s="1" t="str">
        <f>IFERROR(__xludf.DUMMYFUNCTION("""COMPUTED_VALUE"""),"#N/A")</f>
        <v>#N/A</v>
      </c>
    </row>
    <row r="3524">
      <c r="O3524" s="1" t="str">
        <f>IFERROR(__xludf.DUMMYFUNCTION("""COMPUTED_VALUE"""),"#VALUE!")</f>
        <v>#VALUE!</v>
      </c>
      <c r="P3524" s="1" t="str">
        <f>IFERROR(__xludf.DUMMYFUNCTION("""COMPUTED_VALUE"""),"#N/A")</f>
        <v>#N/A</v>
      </c>
      <c r="Q3524" s="1"/>
      <c r="R3524" s="1"/>
      <c r="S3524" s="1"/>
      <c r="T3524" s="1"/>
      <c r="U3524" s="2">
        <f>IFERROR(__xludf.DUMMYFUNCTION("""COMPUTED_VALUE"""),0.0)</f>
        <v>0</v>
      </c>
      <c r="V3524" s="1" t="str">
        <f>IFERROR(__xludf.DUMMYFUNCTION("""COMPUTED_VALUE"""),"#N/A")</f>
        <v>#N/A</v>
      </c>
      <c r="W3524" s="1" t="str">
        <f>IFERROR(__xludf.DUMMYFUNCTION("""COMPUTED_VALUE"""),"#N/A")</f>
        <v>#N/A</v>
      </c>
    </row>
    <row r="3525">
      <c r="O3525" s="1" t="str">
        <f>IFERROR(__xludf.DUMMYFUNCTION("""COMPUTED_VALUE"""),"#VALUE!")</f>
        <v>#VALUE!</v>
      </c>
      <c r="P3525" s="1" t="str">
        <f>IFERROR(__xludf.DUMMYFUNCTION("""COMPUTED_VALUE"""),"#N/A")</f>
        <v>#N/A</v>
      </c>
      <c r="Q3525" s="1"/>
      <c r="R3525" s="1"/>
      <c r="S3525" s="1"/>
      <c r="T3525" s="1"/>
      <c r="U3525" s="2">
        <f>IFERROR(__xludf.DUMMYFUNCTION("""COMPUTED_VALUE"""),0.0)</f>
        <v>0</v>
      </c>
      <c r="V3525" s="1" t="str">
        <f>IFERROR(__xludf.DUMMYFUNCTION("""COMPUTED_VALUE"""),"#N/A")</f>
        <v>#N/A</v>
      </c>
      <c r="W3525" s="1" t="str">
        <f>IFERROR(__xludf.DUMMYFUNCTION("""COMPUTED_VALUE"""),"#N/A")</f>
        <v>#N/A</v>
      </c>
    </row>
    <row r="3526">
      <c r="O3526" s="1" t="str">
        <f>IFERROR(__xludf.DUMMYFUNCTION("""COMPUTED_VALUE"""),"#VALUE!")</f>
        <v>#VALUE!</v>
      </c>
      <c r="P3526" s="1" t="str">
        <f>IFERROR(__xludf.DUMMYFUNCTION("""COMPUTED_VALUE"""),"#N/A")</f>
        <v>#N/A</v>
      </c>
      <c r="Q3526" s="1"/>
      <c r="R3526" s="1"/>
      <c r="S3526" s="1"/>
      <c r="T3526" s="1"/>
      <c r="U3526" s="2">
        <f>IFERROR(__xludf.DUMMYFUNCTION("""COMPUTED_VALUE"""),0.0)</f>
        <v>0</v>
      </c>
      <c r="V3526" s="1" t="str">
        <f>IFERROR(__xludf.DUMMYFUNCTION("""COMPUTED_VALUE"""),"#N/A")</f>
        <v>#N/A</v>
      </c>
      <c r="W3526" s="1" t="str">
        <f>IFERROR(__xludf.DUMMYFUNCTION("""COMPUTED_VALUE"""),"#N/A")</f>
        <v>#N/A</v>
      </c>
    </row>
    <row r="3527">
      <c r="O3527" s="1" t="str">
        <f>IFERROR(__xludf.DUMMYFUNCTION("""COMPUTED_VALUE"""),"#VALUE!")</f>
        <v>#VALUE!</v>
      </c>
      <c r="P3527" s="1" t="str">
        <f>IFERROR(__xludf.DUMMYFUNCTION("""COMPUTED_VALUE"""),"#N/A")</f>
        <v>#N/A</v>
      </c>
      <c r="Q3527" s="1"/>
      <c r="R3527" s="1"/>
      <c r="S3527" s="1"/>
      <c r="T3527" s="1"/>
      <c r="U3527" s="2">
        <f>IFERROR(__xludf.DUMMYFUNCTION("""COMPUTED_VALUE"""),0.0)</f>
        <v>0</v>
      </c>
      <c r="V3527" s="1" t="str">
        <f>IFERROR(__xludf.DUMMYFUNCTION("""COMPUTED_VALUE"""),"#N/A")</f>
        <v>#N/A</v>
      </c>
      <c r="W3527" s="1" t="str">
        <f>IFERROR(__xludf.DUMMYFUNCTION("""COMPUTED_VALUE"""),"#N/A")</f>
        <v>#N/A</v>
      </c>
    </row>
    <row r="3528">
      <c r="O3528" s="1" t="str">
        <f>IFERROR(__xludf.DUMMYFUNCTION("""COMPUTED_VALUE"""),"#VALUE!")</f>
        <v>#VALUE!</v>
      </c>
      <c r="P3528" s="1" t="str">
        <f>IFERROR(__xludf.DUMMYFUNCTION("""COMPUTED_VALUE"""),"#N/A")</f>
        <v>#N/A</v>
      </c>
      <c r="Q3528" s="1"/>
      <c r="R3528" s="1"/>
      <c r="S3528" s="1"/>
      <c r="T3528" s="1"/>
      <c r="U3528" s="2">
        <f>IFERROR(__xludf.DUMMYFUNCTION("""COMPUTED_VALUE"""),0.0)</f>
        <v>0</v>
      </c>
      <c r="V3528" s="1" t="str">
        <f>IFERROR(__xludf.DUMMYFUNCTION("""COMPUTED_VALUE"""),"#N/A")</f>
        <v>#N/A</v>
      </c>
      <c r="W3528" s="1" t="str">
        <f>IFERROR(__xludf.DUMMYFUNCTION("""COMPUTED_VALUE"""),"#N/A")</f>
        <v>#N/A</v>
      </c>
    </row>
    <row r="3529">
      <c r="O3529" s="1" t="str">
        <f>IFERROR(__xludf.DUMMYFUNCTION("""COMPUTED_VALUE"""),"#VALUE!")</f>
        <v>#VALUE!</v>
      </c>
      <c r="P3529" s="1" t="str">
        <f>IFERROR(__xludf.DUMMYFUNCTION("""COMPUTED_VALUE"""),"#N/A")</f>
        <v>#N/A</v>
      </c>
      <c r="Q3529" s="1"/>
      <c r="R3529" s="1"/>
      <c r="S3529" s="1"/>
      <c r="T3529" s="1"/>
      <c r="U3529" s="2">
        <f>IFERROR(__xludf.DUMMYFUNCTION("""COMPUTED_VALUE"""),0.0)</f>
        <v>0</v>
      </c>
      <c r="V3529" s="1" t="str">
        <f>IFERROR(__xludf.DUMMYFUNCTION("""COMPUTED_VALUE"""),"#N/A")</f>
        <v>#N/A</v>
      </c>
      <c r="W3529" s="1" t="str">
        <f>IFERROR(__xludf.DUMMYFUNCTION("""COMPUTED_VALUE"""),"#N/A")</f>
        <v>#N/A</v>
      </c>
    </row>
    <row r="3530">
      <c r="O3530" s="1" t="str">
        <f>IFERROR(__xludf.DUMMYFUNCTION("""COMPUTED_VALUE"""),"#VALUE!")</f>
        <v>#VALUE!</v>
      </c>
      <c r="P3530" s="1" t="str">
        <f>IFERROR(__xludf.DUMMYFUNCTION("""COMPUTED_VALUE"""),"#N/A")</f>
        <v>#N/A</v>
      </c>
      <c r="Q3530" s="1"/>
      <c r="R3530" s="1"/>
      <c r="S3530" s="1"/>
      <c r="T3530" s="1"/>
      <c r="U3530" s="2">
        <f>IFERROR(__xludf.DUMMYFUNCTION("""COMPUTED_VALUE"""),0.0)</f>
        <v>0</v>
      </c>
      <c r="V3530" s="1" t="str">
        <f>IFERROR(__xludf.DUMMYFUNCTION("""COMPUTED_VALUE"""),"#N/A")</f>
        <v>#N/A</v>
      </c>
      <c r="W3530" s="1" t="str">
        <f>IFERROR(__xludf.DUMMYFUNCTION("""COMPUTED_VALUE"""),"#N/A")</f>
        <v>#N/A</v>
      </c>
    </row>
    <row r="3531">
      <c r="O3531" s="1" t="str">
        <f>IFERROR(__xludf.DUMMYFUNCTION("""COMPUTED_VALUE"""),"#VALUE!")</f>
        <v>#VALUE!</v>
      </c>
      <c r="P3531" s="1" t="str">
        <f>IFERROR(__xludf.DUMMYFUNCTION("""COMPUTED_VALUE"""),"#N/A")</f>
        <v>#N/A</v>
      </c>
      <c r="Q3531" s="1"/>
      <c r="R3531" s="1"/>
      <c r="S3531" s="1"/>
      <c r="T3531" s="1"/>
      <c r="U3531" s="2">
        <f>IFERROR(__xludf.DUMMYFUNCTION("""COMPUTED_VALUE"""),0.0)</f>
        <v>0</v>
      </c>
      <c r="V3531" s="1" t="str">
        <f>IFERROR(__xludf.DUMMYFUNCTION("""COMPUTED_VALUE"""),"#N/A")</f>
        <v>#N/A</v>
      </c>
      <c r="W3531" s="1" t="str">
        <f>IFERROR(__xludf.DUMMYFUNCTION("""COMPUTED_VALUE"""),"#N/A")</f>
        <v>#N/A</v>
      </c>
    </row>
    <row r="3532">
      <c r="O3532" s="1" t="str">
        <f>IFERROR(__xludf.DUMMYFUNCTION("""COMPUTED_VALUE"""),"#VALUE!")</f>
        <v>#VALUE!</v>
      </c>
      <c r="P3532" s="1" t="str">
        <f>IFERROR(__xludf.DUMMYFUNCTION("""COMPUTED_VALUE"""),"#N/A")</f>
        <v>#N/A</v>
      </c>
      <c r="Q3532" s="1"/>
      <c r="R3532" s="1"/>
      <c r="S3532" s="1"/>
      <c r="T3532" s="1"/>
      <c r="U3532" s="2">
        <f>IFERROR(__xludf.DUMMYFUNCTION("""COMPUTED_VALUE"""),0.0)</f>
        <v>0</v>
      </c>
      <c r="V3532" s="1" t="str">
        <f>IFERROR(__xludf.DUMMYFUNCTION("""COMPUTED_VALUE"""),"#N/A")</f>
        <v>#N/A</v>
      </c>
      <c r="W3532" s="1" t="str">
        <f>IFERROR(__xludf.DUMMYFUNCTION("""COMPUTED_VALUE"""),"#N/A")</f>
        <v>#N/A</v>
      </c>
    </row>
    <row r="3533">
      <c r="O3533" s="1" t="str">
        <f>IFERROR(__xludf.DUMMYFUNCTION("""COMPUTED_VALUE"""),"#VALUE!")</f>
        <v>#VALUE!</v>
      </c>
      <c r="P3533" s="1" t="str">
        <f>IFERROR(__xludf.DUMMYFUNCTION("""COMPUTED_VALUE"""),"#N/A")</f>
        <v>#N/A</v>
      </c>
      <c r="Q3533" s="1"/>
      <c r="R3533" s="1"/>
      <c r="S3533" s="1"/>
      <c r="T3533" s="1"/>
      <c r="U3533" s="2">
        <f>IFERROR(__xludf.DUMMYFUNCTION("""COMPUTED_VALUE"""),0.0)</f>
        <v>0</v>
      </c>
      <c r="V3533" s="1" t="str">
        <f>IFERROR(__xludf.DUMMYFUNCTION("""COMPUTED_VALUE"""),"#N/A")</f>
        <v>#N/A</v>
      </c>
      <c r="W3533" s="1" t="str">
        <f>IFERROR(__xludf.DUMMYFUNCTION("""COMPUTED_VALUE"""),"#N/A")</f>
        <v>#N/A</v>
      </c>
    </row>
    <row r="3534">
      <c r="O3534" s="1" t="str">
        <f>IFERROR(__xludf.DUMMYFUNCTION("""COMPUTED_VALUE"""),"#VALUE!")</f>
        <v>#VALUE!</v>
      </c>
      <c r="P3534" s="1" t="str">
        <f>IFERROR(__xludf.DUMMYFUNCTION("""COMPUTED_VALUE"""),"#N/A")</f>
        <v>#N/A</v>
      </c>
      <c r="Q3534" s="1"/>
      <c r="R3534" s="1"/>
      <c r="S3534" s="1"/>
      <c r="T3534" s="1"/>
      <c r="U3534" s="2">
        <f>IFERROR(__xludf.DUMMYFUNCTION("""COMPUTED_VALUE"""),0.0)</f>
        <v>0</v>
      </c>
      <c r="V3534" s="1" t="str">
        <f>IFERROR(__xludf.DUMMYFUNCTION("""COMPUTED_VALUE"""),"#N/A")</f>
        <v>#N/A</v>
      </c>
      <c r="W3534" s="1" t="str">
        <f>IFERROR(__xludf.DUMMYFUNCTION("""COMPUTED_VALUE"""),"#N/A")</f>
        <v>#N/A</v>
      </c>
    </row>
    <row r="3535">
      <c r="O3535" s="1" t="str">
        <f>IFERROR(__xludf.DUMMYFUNCTION("""COMPUTED_VALUE"""),"#VALUE!")</f>
        <v>#VALUE!</v>
      </c>
      <c r="P3535" s="1" t="str">
        <f>IFERROR(__xludf.DUMMYFUNCTION("""COMPUTED_VALUE"""),"#N/A")</f>
        <v>#N/A</v>
      </c>
      <c r="Q3535" s="1"/>
      <c r="R3535" s="1"/>
      <c r="S3535" s="1"/>
      <c r="T3535" s="1"/>
      <c r="U3535" s="2">
        <f>IFERROR(__xludf.DUMMYFUNCTION("""COMPUTED_VALUE"""),0.0)</f>
        <v>0</v>
      </c>
      <c r="V3535" s="1" t="str">
        <f>IFERROR(__xludf.DUMMYFUNCTION("""COMPUTED_VALUE"""),"#N/A")</f>
        <v>#N/A</v>
      </c>
      <c r="W3535" s="1" t="str">
        <f>IFERROR(__xludf.DUMMYFUNCTION("""COMPUTED_VALUE"""),"#N/A")</f>
        <v>#N/A</v>
      </c>
    </row>
    <row r="3536">
      <c r="O3536" s="1" t="str">
        <f>IFERROR(__xludf.DUMMYFUNCTION("""COMPUTED_VALUE"""),"#VALUE!")</f>
        <v>#VALUE!</v>
      </c>
      <c r="P3536" s="1" t="str">
        <f>IFERROR(__xludf.DUMMYFUNCTION("""COMPUTED_VALUE"""),"#N/A")</f>
        <v>#N/A</v>
      </c>
      <c r="Q3536" s="1"/>
      <c r="R3536" s="1"/>
      <c r="S3536" s="1"/>
      <c r="T3536" s="1"/>
      <c r="U3536" s="2">
        <f>IFERROR(__xludf.DUMMYFUNCTION("""COMPUTED_VALUE"""),0.0)</f>
        <v>0</v>
      </c>
      <c r="V3536" s="1" t="str">
        <f>IFERROR(__xludf.DUMMYFUNCTION("""COMPUTED_VALUE"""),"#N/A")</f>
        <v>#N/A</v>
      </c>
      <c r="W3536" s="1" t="str">
        <f>IFERROR(__xludf.DUMMYFUNCTION("""COMPUTED_VALUE"""),"#N/A")</f>
        <v>#N/A</v>
      </c>
    </row>
    <row r="3537">
      <c r="O3537" s="1" t="str">
        <f>IFERROR(__xludf.DUMMYFUNCTION("""COMPUTED_VALUE"""),"#VALUE!")</f>
        <v>#VALUE!</v>
      </c>
      <c r="P3537" s="1" t="str">
        <f>IFERROR(__xludf.DUMMYFUNCTION("""COMPUTED_VALUE"""),"#N/A")</f>
        <v>#N/A</v>
      </c>
      <c r="Q3537" s="1"/>
      <c r="R3537" s="1"/>
      <c r="S3537" s="1"/>
      <c r="T3537" s="1"/>
      <c r="U3537" s="2">
        <f>IFERROR(__xludf.DUMMYFUNCTION("""COMPUTED_VALUE"""),0.0)</f>
        <v>0</v>
      </c>
      <c r="V3537" s="1" t="str">
        <f>IFERROR(__xludf.DUMMYFUNCTION("""COMPUTED_VALUE"""),"#N/A")</f>
        <v>#N/A</v>
      </c>
      <c r="W3537" s="1" t="str">
        <f>IFERROR(__xludf.DUMMYFUNCTION("""COMPUTED_VALUE"""),"#N/A")</f>
        <v>#N/A</v>
      </c>
    </row>
    <row r="3538">
      <c r="O3538" s="1" t="str">
        <f>IFERROR(__xludf.DUMMYFUNCTION("""COMPUTED_VALUE"""),"#VALUE!")</f>
        <v>#VALUE!</v>
      </c>
      <c r="P3538" s="1" t="str">
        <f>IFERROR(__xludf.DUMMYFUNCTION("""COMPUTED_VALUE"""),"#N/A")</f>
        <v>#N/A</v>
      </c>
      <c r="Q3538" s="1"/>
      <c r="R3538" s="1"/>
      <c r="S3538" s="1"/>
      <c r="T3538" s="1"/>
      <c r="U3538" s="2">
        <f>IFERROR(__xludf.DUMMYFUNCTION("""COMPUTED_VALUE"""),0.0)</f>
        <v>0</v>
      </c>
      <c r="V3538" s="1" t="str">
        <f>IFERROR(__xludf.DUMMYFUNCTION("""COMPUTED_VALUE"""),"#N/A")</f>
        <v>#N/A</v>
      </c>
      <c r="W3538" s="1" t="str">
        <f>IFERROR(__xludf.DUMMYFUNCTION("""COMPUTED_VALUE"""),"#N/A")</f>
        <v>#N/A</v>
      </c>
    </row>
    <row r="3539">
      <c r="O3539" s="1" t="str">
        <f>IFERROR(__xludf.DUMMYFUNCTION("""COMPUTED_VALUE"""),"#VALUE!")</f>
        <v>#VALUE!</v>
      </c>
      <c r="P3539" s="1" t="str">
        <f>IFERROR(__xludf.DUMMYFUNCTION("""COMPUTED_VALUE"""),"#N/A")</f>
        <v>#N/A</v>
      </c>
      <c r="Q3539" s="1"/>
      <c r="R3539" s="1"/>
      <c r="S3539" s="1"/>
      <c r="T3539" s="1"/>
      <c r="U3539" s="2">
        <f>IFERROR(__xludf.DUMMYFUNCTION("""COMPUTED_VALUE"""),0.0)</f>
        <v>0</v>
      </c>
      <c r="V3539" s="1" t="str">
        <f>IFERROR(__xludf.DUMMYFUNCTION("""COMPUTED_VALUE"""),"#N/A")</f>
        <v>#N/A</v>
      </c>
      <c r="W3539" s="1" t="str">
        <f>IFERROR(__xludf.DUMMYFUNCTION("""COMPUTED_VALUE"""),"#N/A")</f>
        <v>#N/A</v>
      </c>
    </row>
    <row r="3540">
      <c r="O3540" s="1" t="str">
        <f>IFERROR(__xludf.DUMMYFUNCTION("""COMPUTED_VALUE"""),"#VALUE!")</f>
        <v>#VALUE!</v>
      </c>
      <c r="P3540" s="1" t="str">
        <f>IFERROR(__xludf.DUMMYFUNCTION("""COMPUTED_VALUE"""),"#N/A")</f>
        <v>#N/A</v>
      </c>
      <c r="Q3540" s="1"/>
      <c r="R3540" s="1"/>
      <c r="S3540" s="1"/>
      <c r="T3540" s="1"/>
      <c r="U3540" s="2">
        <f>IFERROR(__xludf.DUMMYFUNCTION("""COMPUTED_VALUE"""),0.0)</f>
        <v>0</v>
      </c>
      <c r="V3540" s="1" t="str">
        <f>IFERROR(__xludf.DUMMYFUNCTION("""COMPUTED_VALUE"""),"#N/A")</f>
        <v>#N/A</v>
      </c>
      <c r="W3540" s="1" t="str">
        <f>IFERROR(__xludf.DUMMYFUNCTION("""COMPUTED_VALUE"""),"#N/A")</f>
        <v>#N/A</v>
      </c>
    </row>
    <row r="3541">
      <c r="O3541" s="1" t="str">
        <f>IFERROR(__xludf.DUMMYFUNCTION("""COMPUTED_VALUE"""),"#VALUE!")</f>
        <v>#VALUE!</v>
      </c>
      <c r="P3541" s="1" t="str">
        <f>IFERROR(__xludf.DUMMYFUNCTION("""COMPUTED_VALUE"""),"#N/A")</f>
        <v>#N/A</v>
      </c>
      <c r="Q3541" s="1"/>
      <c r="R3541" s="1"/>
      <c r="S3541" s="1"/>
      <c r="T3541" s="1"/>
      <c r="U3541" s="2">
        <f>IFERROR(__xludf.DUMMYFUNCTION("""COMPUTED_VALUE"""),0.0)</f>
        <v>0</v>
      </c>
      <c r="V3541" s="1" t="str">
        <f>IFERROR(__xludf.DUMMYFUNCTION("""COMPUTED_VALUE"""),"#N/A")</f>
        <v>#N/A</v>
      </c>
      <c r="W3541" s="1" t="str">
        <f>IFERROR(__xludf.DUMMYFUNCTION("""COMPUTED_VALUE"""),"#N/A")</f>
        <v>#N/A</v>
      </c>
    </row>
    <row r="3542">
      <c r="O3542" s="1" t="str">
        <f>IFERROR(__xludf.DUMMYFUNCTION("""COMPUTED_VALUE"""),"#VALUE!")</f>
        <v>#VALUE!</v>
      </c>
      <c r="P3542" s="1" t="str">
        <f>IFERROR(__xludf.DUMMYFUNCTION("""COMPUTED_VALUE"""),"#N/A")</f>
        <v>#N/A</v>
      </c>
      <c r="Q3542" s="1"/>
      <c r="R3542" s="1"/>
      <c r="S3542" s="1"/>
      <c r="T3542" s="1"/>
      <c r="U3542" s="2">
        <f>IFERROR(__xludf.DUMMYFUNCTION("""COMPUTED_VALUE"""),0.0)</f>
        <v>0</v>
      </c>
      <c r="V3542" s="1" t="str">
        <f>IFERROR(__xludf.DUMMYFUNCTION("""COMPUTED_VALUE"""),"#N/A")</f>
        <v>#N/A</v>
      </c>
      <c r="W3542" s="1" t="str">
        <f>IFERROR(__xludf.DUMMYFUNCTION("""COMPUTED_VALUE"""),"#N/A")</f>
        <v>#N/A</v>
      </c>
    </row>
    <row r="3543">
      <c r="O3543" s="1" t="str">
        <f>IFERROR(__xludf.DUMMYFUNCTION("""COMPUTED_VALUE"""),"#VALUE!")</f>
        <v>#VALUE!</v>
      </c>
      <c r="P3543" s="1" t="str">
        <f>IFERROR(__xludf.DUMMYFUNCTION("""COMPUTED_VALUE"""),"#N/A")</f>
        <v>#N/A</v>
      </c>
      <c r="Q3543" s="1"/>
      <c r="R3543" s="1"/>
      <c r="S3543" s="1"/>
      <c r="T3543" s="1"/>
      <c r="U3543" s="2">
        <f>IFERROR(__xludf.DUMMYFUNCTION("""COMPUTED_VALUE"""),0.0)</f>
        <v>0</v>
      </c>
      <c r="V3543" s="1" t="str">
        <f>IFERROR(__xludf.DUMMYFUNCTION("""COMPUTED_VALUE"""),"#N/A")</f>
        <v>#N/A</v>
      </c>
      <c r="W3543" s="1" t="str">
        <f>IFERROR(__xludf.DUMMYFUNCTION("""COMPUTED_VALUE"""),"#N/A")</f>
        <v>#N/A</v>
      </c>
    </row>
    <row r="3544">
      <c r="O3544" s="1" t="str">
        <f>IFERROR(__xludf.DUMMYFUNCTION("""COMPUTED_VALUE"""),"#VALUE!")</f>
        <v>#VALUE!</v>
      </c>
      <c r="P3544" s="1" t="str">
        <f>IFERROR(__xludf.DUMMYFUNCTION("""COMPUTED_VALUE"""),"#N/A")</f>
        <v>#N/A</v>
      </c>
      <c r="Q3544" s="1"/>
      <c r="R3544" s="1"/>
      <c r="S3544" s="1"/>
      <c r="T3544" s="1"/>
      <c r="U3544" s="2">
        <f>IFERROR(__xludf.DUMMYFUNCTION("""COMPUTED_VALUE"""),0.0)</f>
        <v>0</v>
      </c>
      <c r="V3544" s="1" t="str">
        <f>IFERROR(__xludf.DUMMYFUNCTION("""COMPUTED_VALUE"""),"#N/A")</f>
        <v>#N/A</v>
      </c>
      <c r="W3544" s="1" t="str">
        <f>IFERROR(__xludf.DUMMYFUNCTION("""COMPUTED_VALUE"""),"#N/A")</f>
        <v>#N/A</v>
      </c>
    </row>
    <row r="3545">
      <c r="O3545" s="1" t="str">
        <f>IFERROR(__xludf.DUMMYFUNCTION("""COMPUTED_VALUE"""),"#VALUE!")</f>
        <v>#VALUE!</v>
      </c>
      <c r="P3545" s="1" t="str">
        <f>IFERROR(__xludf.DUMMYFUNCTION("""COMPUTED_VALUE"""),"#N/A")</f>
        <v>#N/A</v>
      </c>
      <c r="Q3545" s="1"/>
      <c r="R3545" s="1"/>
      <c r="S3545" s="1"/>
      <c r="T3545" s="1"/>
      <c r="U3545" s="2">
        <f>IFERROR(__xludf.DUMMYFUNCTION("""COMPUTED_VALUE"""),0.0)</f>
        <v>0</v>
      </c>
      <c r="V3545" s="1" t="str">
        <f>IFERROR(__xludf.DUMMYFUNCTION("""COMPUTED_VALUE"""),"#N/A")</f>
        <v>#N/A</v>
      </c>
      <c r="W3545" s="1" t="str">
        <f>IFERROR(__xludf.DUMMYFUNCTION("""COMPUTED_VALUE"""),"#N/A")</f>
        <v>#N/A</v>
      </c>
    </row>
    <row r="3546">
      <c r="O3546" s="1" t="str">
        <f>IFERROR(__xludf.DUMMYFUNCTION("""COMPUTED_VALUE"""),"#VALUE!")</f>
        <v>#VALUE!</v>
      </c>
      <c r="P3546" s="1" t="str">
        <f>IFERROR(__xludf.DUMMYFUNCTION("""COMPUTED_VALUE"""),"#N/A")</f>
        <v>#N/A</v>
      </c>
      <c r="Q3546" s="1"/>
      <c r="R3546" s="1"/>
      <c r="S3546" s="1"/>
      <c r="T3546" s="1"/>
      <c r="U3546" s="2">
        <f>IFERROR(__xludf.DUMMYFUNCTION("""COMPUTED_VALUE"""),0.0)</f>
        <v>0</v>
      </c>
      <c r="V3546" s="1" t="str">
        <f>IFERROR(__xludf.DUMMYFUNCTION("""COMPUTED_VALUE"""),"#N/A")</f>
        <v>#N/A</v>
      </c>
      <c r="W3546" s="1" t="str">
        <f>IFERROR(__xludf.DUMMYFUNCTION("""COMPUTED_VALUE"""),"#N/A")</f>
        <v>#N/A</v>
      </c>
    </row>
    <row r="3547">
      <c r="O3547" s="1" t="str">
        <f>IFERROR(__xludf.DUMMYFUNCTION("""COMPUTED_VALUE"""),"#VALUE!")</f>
        <v>#VALUE!</v>
      </c>
      <c r="P3547" s="1" t="str">
        <f>IFERROR(__xludf.DUMMYFUNCTION("""COMPUTED_VALUE"""),"#N/A")</f>
        <v>#N/A</v>
      </c>
      <c r="Q3547" s="1"/>
      <c r="R3547" s="1"/>
      <c r="S3547" s="1"/>
      <c r="T3547" s="1"/>
      <c r="U3547" s="2">
        <f>IFERROR(__xludf.DUMMYFUNCTION("""COMPUTED_VALUE"""),0.0)</f>
        <v>0</v>
      </c>
      <c r="V3547" s="1" t="str">
        <f>IFERROR(__xludf.DUMMYFUNCTION("""COMPUTED_VALUE"""),"#N/A")</f>
        <v>#N/A</v>
      </c>
      <c r="W3547" s="1" t="str">
        <f>IFERROR(__xludf.DUMMYFUNCTION("""COMPUTED_VALUE"""),"#N/A")</f>
        <v>#N/A</v>
      </c>
    </row>
    <row r="3548">
      <c r="O3548" s="1" t="str">
        <f>IFERROR(__xludf.DUMMYFUNCTION("""COMPUTED_VALUE"""),"#VALUE!")</f>
        <v>#VALUE!</v>
      </c>
      <c r="P3548" s="1" t="str">
        <f>IFERROR(__xludf.DUMMYFUNCTION("""COMPUTED_VALUE"""),"#N/A")</f>
        <v>#N/A</v>
      </c>
      <c r="Q3548" s="1"/>
      <c r="R3548" s="1"/>
      <c r="S3548" s="1"/>
      <c r="T3548" s="1"/>
      <c r="U3548" s="2">
        <f>IFERROR(__xludf.DUMMYFUNCTION("""COMPUTED_VALUE"""),0.0)</f>
        <v>0</v>
      </c>
      <c r="V3548" s="1" t="str">
        <f>IFERROR(__xludf.DUMMYFUNCTION("""COMPUTED_VALUE"""),"#N/A")</f>
        <v>#N/A</v>
      </c>
      <c r="W3548" s="1" t="str">
        <f>IFERROR(__xludf.DUMMYFUNCTION("""COMPUTED_VALUE"""),"#N/A")</f>
        <v>#N/A</v>
      </c>
    </row>
    <row r="3549">
      <c r="O3549" s="1" t="str">
        <f>IFERROR(__xludf.DUMMYFUNCTION("""COMPUTED_VALUE"""),"#VALUE!")</f>
        <v>#VALUE!</v>
      </c>
      <c r="P3549" s="1" t="str">
        <f>IFERROR(__xludf.DUMMYFUNCTION("""COMPUTED_VALUE"""),"#N/A")</f>
        <v>#N/A</v>
      </c>
      <c r="Q3549" s="1"/>
      <c r="R3549" s="1"/>
      <c r="S3549" s="1"/>
      <c r="T3549" s="1"/>
      <c r="U3549" s="2">
        <f>IFERROR(__xludf.DUMMYFUNCTION("""COMPUTED_VALUE"""),0.0)</f>
        <v>0</v>
      </c>
      <c r="V3549" s="1" t="str">
        <f>IFERROR(__xludf.DUMMYFUNCTION("""COMPUTED_VALUE"""),"#N/A")</f>
        <v>#N/A</v>
      </c>
      <c r="W3549" s="1" t="str">
        <f>IFERROR(__xludf.DUMMYFUNCTION("""COMPUTED_VALUE"""),"#N/A")</f>
        <v>#N/A</v>
      </c>
    </row>
    <row r="3550">
      <c r="O3550" s="1" t="str">
        <f>IFERROR(__xludf.DUMMYFUNCTION("""COMPUTED_VALUE"""),"#VALUE!")</f>
        <v>#VALUE!</v>
      </c>
      <c r="P3550" s="1" t="str">
        <f>IFERROR(__xludf.DUMMYFUNCTION("""COMPUTED_VALUE"""),"#N/A")</f>
        <v>#N/A</v>
      </c>
      <c r="Q3550" s="1"/>
      <c r="R3550" s="1"/>
      <c r="S3550" s="1"/>
      <c r="T3550" s="1"/>
      <c r="U3550" s="2">
        <f>IFERROR(__xludf.DUMMYFUNCTION("""COMPUTED_VALUE"""),0.0)</f>
        <v>0</v>
      </c>
      <c r="V3550" s="1" t="str">
        <f>IFERROR(__xludf.DUMMYFUNCTION("""COMPUTED_VALUE"""),"#N/A")</f>
        <v>#N/A</v>
      </c>
      <c r="W3550" s="1" t="str">
        <f>IFERROR(__xludf.DUMMYFUNCTION("""COMPUTED_VALUE"""),"#N/A")</f>
        <v>#N/A</v>
      </c>
    </row>
    <row r="3551">
      <c r="O3551" s="1" t="str">
        <f>IFERROR(__xludf.DUMMYFUNCTION("""COMPUTED_VALUE"""),"#VALUE!")</f>
        <v>#VALUE!</v>
      </c>
      <c r="P3551" s="1" t="str">
        <f>IFERROR(__xludf.DUMMYFUNCTION("""COMPUTED_VALUE"""),"#N/A")</f>
        <v>#N/A</v>
      </c>
      <c r="Q3551" s="1"/>
      <c r="R3551" s="1"/>
      <c r="S3551" s="1"/>
      <c r="T3551" s="1"/>
      <c r="U3551" s="2">
        <f>IFERROR(__xludf.DUMMYFUNCTION("""COMPUTED_VALUE"""),0.0)</f>
        <v>0</v>
      </c>
      <c r="V3551" s="1" t="str">
        <f>IFERROR(__xludf.DUMMYFUNCTION("""COMPUTED_VALUE"""),"#N/A")</f>
        <v>#N/A</v>
      </c>
      <c r="W3551" s="1" t="str">
        <f>IFERROR(__xludf.DUMMYFUNCTION("""COMPUTED_VALUE"""),"#N/A")</f>
        <v>#N/A</v>
      </c>
    </row>
    <row r="3552">
      <c r="O3552" s="1" t="str">
        <f>IFERROR(__xludf.DUMMYFUNCTION("""COMPUTED_VALUE"""),"#VALUE!")</f>
        <v>#VALUE!</v>
      </c>
      <c r="P3552" s="1" t="str">
        <f>IFERROR(__xludf.DUMMYFUNCTION("""COMPUTED_VALUE"""),"#N/A")</f>
        <v>#N/A</v>
      </c>
      <c r="Q3552" s="1"/>
      <c r="R3552" s="1"/>
      <c r="S3552" s="1"/>
      <c r="T3552" s="1"/>
      <c r="U3552" s="2">
        <f>IFERROR(__xludf.DUMMYFUNCTION("""COMPUTED_VALUE"""),0.0)</f>
        <v>0</v>
      </c>
      <c r="V3552" s="1" t="str">
        <f>IFERROR(__xludf.DUMMYFUNCTION("""COMPUTED_VALUE"""),"#N/A")</f>
        <v>#N/A</v>
      </c>
      <c r="W3552" s="1" t="str">
        <f>IFERROR(__xludf.DUMMYFUNCTION("""COMPUTED_VALUE"""),"#N/A")</f>
        <v>#N/A</v>
      </c>
    </row>
    <row r="3553">
      <c r="O3553" s="1" t="str">
        <f>IFERROR(__xludf.DUMMYFUNCTION("""COMPUTED_VALUE"""),"#VALUE!")</f>
        <v>#VALUE!</v>
      </c>
      <c r="P3553" s="1" t="str">
        <f>IFERROR(__xludf.DUMMYFUNCTION("""COMPUTED_VALUE"""),"#N/A")</f>
        <v>#N/A</v>
      </c>
      <c r="Q3553" s="1"/>
      <c r="R3553" s="1"/>
      <c r="S3553" s="1"/>
      <c r="T3553" s="1"/>
      <c r="U3553" s="2">
        <f>IFERROR(__xludf.DUMMYFUNCTION("""COMPUTED_VALUE"""),0.0)</f>
        <v>0</v>
      </c>
      <c r="V3553" s="1" t="str">
        <f>IFERROR(__xludf.DUMMYFUNCTION("""COMPUTED_VALUE"""),"#N/A")</f>
        <v>#N/A</v>
      </c>
      <c r="W3553" s="1" t="str">
        <f>IFERROR(__xludf.DUMMYFUNCTION("""COMPUTED_VALUE"""),"#N/A")</f>
        <v>#N/A</v>
      </c>
    </row>
    <row r="3554">
      <c r="O3554" s="1" t="str">
        <f>IFERROR(__xludf.DUMMYFUNCTION("""COMPUTED_VALUE"""),"#VALUE!")</f>
        <v>#VALUE!</v>
      </c>
      <c r="P3554" s="1" t="str">
        <f>IFERROR(__xludf.DUMMYFUNCTION("""COMPUTED_VALUE"""),"#N/A")</f>
        <v>#N/A</v>
      </c>
      <c r="Q3554" s="1"/>
      <c r="R3554" s="1"/>
      <c r="S3554" s="1"/>
      <c r="T3554" s="1"/>
      <c r="U3554" s="2">
        <f>IFERROR(__xludf.DUMMYFUNCTION("""COMPUTED_VALUE"""),0.0)</f>
        <v>0</v>
      </c>
      <c r="V3554" s="1" t="str">
        <f>IFERROR(__xludf.DUMMYFUNCTION("""COMPUTED_VALUE"""),"#N/A")</f>
        <v>#N/A</v>
      </c>
      <c r="W3554" s="1" t="str">
        <f>IFERROR(__xludf.DUMMYFUNCTION("""COMPUTED_VALUE"""),"#N/A")</f>
        <v>#N/A</v>
      </c>
    </row>
    <row r="3555">
      <c r="O3555" s="1" t="str">
        <f>IFERROR(__xludf.DUMMYFUNCTION("""COMPUTED_VALUE"""),"#VALUE!")</f>
        <v>#VALUE!</v>
      </c>
      <c r="P3555" s="1" t="str">
        <f>IFERROR(__xludf.DUMMYFUNCTION("""COMPUTED_VALUE"""),"#N/A")</f>
        <v>#N/A</v>
      </c>
      <c r="Q3555" s="1"/>
      <c r="R3555" s="1"/>
      <c r="S3555" s="1"/>
      <c r="T3555" s="1"/>
      <c r="U3555" s="2">
        <f>IFERROR(__xludf.DUMMYFUNCTION("""COMPUTED_VALUE"""),0.0)</f>
        <v>0</v>
      </c>
      <c r="V3555" s="1" t="str">
        <f>IFERROR(__xludf.DUMMYFUNCTION("""COMPUTED_VALUE"""),"#N/A")</f>
        <v>#N/A</v>
      </c>
      <c r="W3555" s="1" t="str">
        <f>IFERROR(__xludf.DUMMYFUNCTION("""COMPUTED_VALUE"""),"#N/A")</f>
        <v>#N/A</v>
      </c>
    </row>
    <row r="3556">
      <c r="O3556" s="1" t="str">
        <f>IFERROR(__xludf.DUMMYFUNCTION("""COMPUTED_VALUE"""),"#VALUE!")</f>
        <v>#VALUE!</v>
      </c>
      <c r="P3556" s="1" t="str">
        <f>IFERROR(__xludf.DUMMYFUNCTION("""COMPUTED_VALUE"""),"#N/A")</f>
        <v>#N/A</v>
      </c>
      <c r="Q3556" s="1"/>
      <c r="R3556" s="1"/>
      <c r="S3556" s="1"/>
      <c r="T3556" s="1"/>
      <c r="U3556" s="2">
        <f>IFERROR(__xludf.DUMMYFUNCTION("""COMPUTED_VALUE"""),0.0)</f>
        <v>0</v>
      </c>
      <c r="V3556" s="1" t="str">
        <f>IFERROR(__xludf.DUMMYFUNCTION("""COMPUTED_VALUE"""),"#N/A")</f>
        <v>#N/A</v>
      </c>
      <c r="W3556" s="1" t="str">
        <f>IFERROR(__xludf.DUMMYFUNCTION("""COMPUTED_VALUE"""),"#N/A")</f>
        <v>#N/A</v>
      </c>
    </row>
    <row r="3557">
      <c r="O3557" s="1" t="str">
        <f>IFERROR(__xludf.DUMMYFUNCTION("""COMPUTED_VALUE"""),"#VALUE!")</f>
        <v>#VALUE!</v>
      </c>
      <c r="P3557" s="1" t="str">
        <f>IFERROR(__xludf.DUMMYFUNCTION("""COMPUTED_VALUE"""),"#N/A")</f>
        <v>#N/A</v>
      </c>
      <c r="Q3557" s="1"/>
      <c r="R3557" s="1"/>
      <c r="S3557" s="1"/>
      <c r="T3557" s="1"/>
      <c r="U3557" s="2">
        <f>IFERROR(__xludf.DUMMYFUNCTION("""COMPUTED_VALUE"""),0.0)</f>
        <v>0</v>
      </c>
      <c r="V3557" s="1" t="str">
        <f>IFERROR(__xludf.DUMMYFUNCTION("""COMPUTED_VALUE"""),"#N/A")</f>
        <v>#N/A</v>
      </c>
      <c r="W3557" s="1" t="str">
        <f>IFERROR(__xludf.DUMMYFUNCTION("""COMPUTED_VALUE"""),"#N/A")</f>
        <v>#N/A</v>
      </c>
    </row>
    <row r="3558">
      <c r="O3558" s="1" t="str">
        <f>IFERROR(__xludf.DUMMYFUNCTION("""COMPUTED_VALUE"""),"#VALUE!")</f>
        <v>#VALUE!</v>
      </c>
      <c r="P3558" s="1" t="str">
        <f>IFERROR(__xludf.DUMMYFUNCTION("""COMPUTED_VALUE"""),"#N/A")</f>
        <v>#N/A</v>
      </c>
      <c r="Q3558" s="1"/>
      <c r="R3558" s="1"/>
      <c r="S3558" s="1"/>
      <c r="T3558" s="1"/>
      <c r="U3558" s="2">
        <f>IFERROR(__xludf.DUMMYFUNCTION("""COMPUTED_VALUE"""),0.0)</f>
        <v>0</v>
      </c>
      <c r="V3558" s="1" t="str">
        <f>IFERROR(__xludf.DUMMYFUNCTION("""COMPUTED_VALUE"""),"#N/A")</f>
        <v>#N/A</v>
      </c>
      <c r="W3558" s="1" t="str">
        <f>IFERROR(__xludf.DUMMYFUNCTION("""COMPUTED_VALUE"""),"#N/A")</f>
        <v>#N/A</v>
      </c>
    </row>
    <row r="3559">
      <c r="O3559" s="1" t="str">
        <f>IFERROR(__xludf.DUMMYFUNCTION("""COMPUTED_VALUE"""),"#VALUE!")</f>
        <v>#VALUE!</v>
      </c>
      <c r="P3559" s="1" t="str">
        <f>IFERROR(__xludf.DUMMYFUNCTION("""COMPUTED_VALUE"""),"#N/A")</f>
        <v>#N/A</v>
      </c>
      <c r="Q3559" s="1"/>
      <c r="R3559" s="1"/>
      <c r="S3559" s="1"/>
      <c r="T3559" s="1"/>
      <c r="U3559" s="2">
        <f>IFERROR(__xludf.DUMMYFUNCTION("""COMPUTED_VALUE"""),0.0)</f>
        <v>0</v>
      </c>
      <c r="V3559" s="1" t="str">
        <f>IFERROR(__xludf.DUMMYFUNCTION("""COMPUTED_VALUE"""),"#N/A")</f>
        <v>#N/A</v>
      </c>
      <c r="W3559" s="1" t="str">
        <f>IFERROR(__xludf.DUMMYFUNCTION("""COMPUTED_VALUE"""),"#N/A")</f>
        <v>#N/A</v>
      </c>
    </row>
    <row r="3560">
      <c r="O3560" s="1" t="str">
        <f>IFERROR(__xludf.DUMMYFUNCTION("""COMPUTED_VALUE"""),"#VALUE!")</f>
        <v>#VALUE!</v>
      </c>
      <c r="P3560" s="1" t="str">
        <f>IFERROR(__xludf.DUMMYFUNCTION("""COMPUTED_VALUE"""),"#N/A")</f>
        <v>#N/A</v>
      </c>
      <c r="Q3560" s="1"/>
      <c r="R3560" s="1"/>
      <c r="S3560" s="1"/>
      <c r="T3560" s="1"/>
      <c r="U3560" s="2">
        <f>IFERROR(__xludf.DUMMYFUNCTION("""COMPUTED_VALUE"""),0.0)</f>
        <v>0</v>
      </c>
      <c r="V3560" s="1" t="str">
        <f>IFERROR(__xludf.DUMMYFUNCTION("""COMPUTED_VALUE"""),"#N/A")</f>
        <v>#N/A</v>
      </c>
      <c r="W3560" s="1" t="str">
        <f>IFERROR(__xludf.DUMMYFUNCTION("""COMPUTED_VALUE"""),"#N/A")</f>
        <v>#N/A</v>
      </c>
    </row>
    <row r="3561">
      <c r="O3561" s="1" t="str">
        <f>IFERROR(__xludf.DUMMYFUNCTION("""COMPUTED_VALUE"""),"#VALUE!")</f>
        <v>#VALUE!</v>
      </c>
      <c r="P3561" s="1" t="str">
        <f>IFERROR(__xludf.DUMMYFUNCTION("""COMPUTED_VALUE"""),"#N/A")</f>
        <v>#N/A</v>
      </c>
      <c r="Q3561" s="1"/>
      <c r="R3561" s="1"/>
      <c r="S3561" s="1"/>
      <c r="T3561" s="1"/>
      <c r="U3561" s="2">
        <f>IFERROR(__xludf.DUMMYFUNCTION("""COMPUTED_VALUE"""),0.0)</f>
        <v>0</v>
      </c>
      <c r="V3561" s="1" t="str">
        <f>IFERROR(__xludf.DUMMYFUNCTION("""COMPUTED_VALUE"""),"#N/A")</f>
        <v>#N/A</v>
      </c>
      <c r="W3561" s="1" t="str">
        <f>IFERROR(__xludf.DUMMYFUNCTION("""COMPUTED_VALUE"""),"#N/A")</f>
        <v>#N/A</v>
      </c>
    </row>
    <row r="3562">
      <c r="O3562" s="1" t="str">
        <f>IFERROR(__xludf.DUMMYFUNCTION("""COMPUTED_VALUE"""),"#VALUE!")</f>
        <v>#VALUE!</v>
      </c>
      <c r="P3562" s="1" t="str">
        <f>IFERROR(__xludf.DUMMYFUNCTION("""COMPUTED_VALUE"""),"#N/A")</f>
        <v>#N/A</v>
      </c>
      <c r="Q3562" s="1"/>
      <c r="R3562" s="1"/>
      <c r="S3562" s="1"/>
      <c r="T3562" s="1"/>
      <c r="U3562" s="2">
        <f>IFERROR(__xludf.DUMMYFUNCTION("""COMPUTED_VALUE"""),0.0)</f>
        <v>0</v>
      </c>
      <c r="V3562" s="1" t="str">
        <f>IFERROR(__xludf.DUMMYFUNCTION("""COMPUTED_VALUE"""),"#N/A")</f>
        <v>#N/A</v>
      </c>
      <c r="W3562" s="1" t="str">
        <f>IFERROR(__xludf.DUMMYFUNCTION("""COMPUTED_VALUE"""),"#N/A")</f>
        <v>#N/A</v>
      </c>
    </row>
    <row r="3563">
      <c r="O3563" s="1" t="str">
        <f>IFERROR(__xludf.DUMMYFUNCTION("""COMPUTED_VALUE"""),"#VALUE!")</f>
        <v>#VALUE!</v>
      </c>
      <c r="P3563" s="1" t="str">
        <f>IFERROR(__xludf.DUMMYFUNCTION("""COMPUTED_VALUE"""),"#N/A")</f>
        <v>#N/A</v>
      </c>
      <c r="Q3563" s="1"/>
      <c r="R3563" s="1"/>
      <c r="S3563" s="1"/>
      <c r="T3563" s="1"/>
      <c r="U3563" s="2">
        <f>IFERROR(__xludf.DUMMYFUNCTION("""COMPUTED_VALUE"""),0.0)</f>
        <v>0</v>
      </c>
      <c r="V3563" s="1" t="str">
        <f>IFERROR(__xludf.DUMMYFUNCTION("""COMPUTED_VALUE"""),"#N/A")</f>
        <v>#N/A</v>
      </c>
      <c r="W3563" s="1" t="str">
        <f>IFERROR(__xludf.DUMMYFUNCTION("""COMPUTED_VALUE"""),"#N/A")</f>
        <v>#N/A</v>
      </c>
    </row>
    <row r="3564">
      <c r="O3564" s="1" t="str">
        <f>IFERROR(__xludf.DUMMYFUNCTION("""COMPUTED_VALUE"""),"#VALUE!")</f>
        <v>#VALUE!</v>
      </c>
      <c r="P3564" s="1" t="str">
        <f>IFERROR(__xludf.DUMMYFUNCTION("""COMPUTED_VALUE"""),"#N/A")</f>
        <v>#N/A</v>
      </c>
      <c r="Q3564" s="1"/>
      <c r="R3564" s="1"/>
      <c r="S3564" s="1"/>
      <c r="T3564" s="1"/>
      <c r="U3564" s="2">
        <f>IFERROR(__xludf.DUMMYFUNCTION("""COMPUTED_VALUE"""),0.0)</f>
        <v>0</v>
      </c>
      <c r="V3564" s="1" t="str">
        <f>IFERROR(__xludf.DUMMYFUNCTION("""COMPUTED_VALUE"""),"#N/A")</f>
        <v>#N/A</v>
      </c>
      <c r="W3564" s="1" t="str">
        <f>IFERROR(__xludf.DUMMYFUNCTION("""COMPUTED_VALUE"""),"#N/A")</f>
        <v>#N/A</v>
      </c>
    </row>
    <row r="3565">
      <c r="O3565" s="1" t="str">
        <f>IFERROR(__xludf.DUMMYFUNCTION("""COMPUTED_VALUE"""),"#VALUE!")</f>
        <v>#VALUE!</v>
      </c>
      <c r="P3565" s="1" t="str">
        <f>IFERROR(__xludf.DUMMYFUNCTION("""COMPUTED_VALUE"""),"#N/A")</f>
        <v>#N/A</v>
      </c>
      <c r="Q3565" s="1"/>
      <c r="R3565" s="1"/>
      <c r="S3565" s="1"/>
      <c r="T3565" s="1"/>
      <c r="U3565" s="2">
        <f>IFERROR(__xludf.DUMMYFUNCTION("""COMPUTED_VALUE"""),0.0)</f>
        <v>0</v>
      </c>
      <c r="V3565" s="1" t="str">
        <f>IFERROR(__xludf.DUMMYFUNCTION("""COMPUTED_VALUE"""),"#N/A")</f>
        <v>#N/A</v>
      </c>
      <c r="W3565" s="1" t="str">
        <f>IFERROR(__xludf.DUMMYFUNCTION("""COMPUTED_VALUE"""),"#N/A")</f>
        <v>#N/A</v>
      </c>
    </row>
    <row r="3566">
      <c r="O3566" s="1" t="str">
        <f>IFERROR(__xludf.DUMMYFUNCTION("""COMPUTED_VALUE"""),"#VALUE!")</f>
        <v>#VALUE!</v>
      </c>
      <c r="P3566" s="1" t="str">
        <f>IFERROR(__xludf.DUMMYFUNCTION("""COMPUTED_VALUE"""),"#N/A")</f>
        <v>#N/A</v>
      </c>
      <c r="Q3566" s="1"/>
      <c r="R3566" s="1"/>
      <c r="S3566" s="1"/>
      <c r="T3566" s="1"/>
      <c r="U3566" s="2">
        <f>IFERROR(__xludf.DUMMYFUNCTION("""COMPUTED_VALUE"""),0.0)</f>
        <v>0</v>
      </c>
      <c r="V3566" s="1" t="str">
        <f>IFERROR(__xludf.DUMMYFUNCTION("""COMPUTED_VALUE"""),"#N/A")</f>
        <v>#N/A</v>
      </c>
      <c r="W3566" s="1" t="str">
        <f>IFERROR(__xludf.DUMMYFUNCTION("""COMPUTED_VALUE"""),"#N/A")</f>
        <v>#N/A</v>
      </c>
    </row>
    <row r="3567">
      <c r="O3567" s="1" t="str">
        <f>IFERROR(__xludf.DUMMYFUNCTION("""COMPUTED_VALUE"""),"#VALUE!")</f>
        <v>#VALUE!</v>
      </c>
      <c r="P3567" s="1" t="str">
        <f>IFERROR(__xludf.DUMMYFUNCTION("""COMPUTED_VALUE"""),"#N/A")</f>
        <v>#N/A</v>
      </c>
      <c r="Q3567" s="1"/>
      <c r="R3567" s="1"/>
      <c r="S3567" s="1"/>
      <c r="T3567" s="1"/>
      <c r="U3567" s="2">
        <f>IFERROR(__xludf.DUMMYFUNCTION("""COMPUTED_VALUE"""),0.0)</f>
        <v>0</v>
      </c>
      <c r="V3567" s="1" t="str">
        <f>IFERROR(__xludf.DUMMYFUNCTION("""COMPUTED_VALUE"""),"#N/A")</f>
        <v>#N/A</v>
      </c>
      <c r="W3567" s="1" t="str">
        <f>IFERROR(__xludf.DUMMYFUNCTION("""COMPUTED_VALUE"""),"#N/A")</f>
        <v>#N/A</v>
      </c>
    </row>
    <row r="3568">
      <c r="O3568" s="1" t="str">
        <f>IFERROR(__xludf.DUMMYFUNCTION("""COMPUTED_VALUE"""),"#VALUE!")</f>
        <v>#VALUE!</v>
      </c>
      <c r="P3568" s="1" t="str">
        <f>IFERROR(__xludf.DUMMYFUNCTION("""COMPUTED_VALUE"""),"#N/A")</f>
        <v>#N/A</v>
      </c>
      <c r="Q3568" s="1"/>
      <c r="R3568" s="1"/>
      <c r="S3568" s="1"/>
      <c r="T3568" s="1"/>
      <c r="U3568" s="2">
        <f>IFERROR(__xludf.DUMMYFUNCTION("""COMPUTED_VALUE"""),0.0)</f>
        <v>0</v>
      </c>
      <c r="V3568" s="1" t="str">
        <f>IFERROR(__xludf.DUMMYFUNCTION("""COMPUTED_VALUE"""),"#N/A")</f>
        <v>#N/A</v>
      </c>
      <c r="W3568" s="1" t="str">
        <f>IFERROR(__xludf.DUMMYFUNCTION("""COMPUTED_VALUE"""),"#N/A")</f>
        <v>#N/A</v>
      </c>
    </row>
    <row r="3569">
      <c r="O3569" s="1" t="str">
        <f>IFERROR(__xludf.DUMMYFUNCTION("""COMPUTED_VALUE"""),"#VALUE!")</f>
        <v>#VALUE!</v>
      </c>
      <c r="P3569" s="1" t="str">
        <f>IFERROR(__xludf.DUMMYFUNCTION("""COMPUTED_VALUE"""),"#N/A")</f>
        <v>#N/A</v>
      </c>
      <c r="Q3569" s="1"/>
      <c r="R3569" s="1"/>
      <c r="S3569" s="1"/>
      <c r="T3569" s="1"/>
      <c r="U3569" s="2">
        <f>IFERROR(__xludf.DUMMYFUNCTION("""COMPUTED_VALUE"""),0.0)</f>
        <v>0</v>
      </c>
      <c r="V3569" s="1" t="str">
        <f>IFERROR(__xludf.DUMMYFUNCTION("""COMPUTED_VALUE"""),"#N/A")</f>
        <v>#N/A</v>
      </c>
      <c r="W3569" s="1" t="str">
        <f>IFERROR(__xludf.DUMMYFUNCTION("""COMPUTED_VALUE"""),"#N/A")</f>
        <v>#N/A</v>
      </c>
    </row>
    <row r="3570">
      <c r="O3570" s="1" t="str">
        <f>IFERROR(__xludf.DUMMYFUNCTION("""COMPUTED_VALUE"""),"#VALUE!")</f>
        <v>#VALUE!</v>
      </c>
      <c r="P3570" s="1" t="str">
        <f>IFERROR(__xludf.DUMMYFUNCTION("""COMPUTED_VALUE"""),"#N/A")</f>
        <v>#N/A</v>
      </c>
      <c r="Q3570" s="1"/>
      <c r="R3570" s="1"/>
      <c r="S3570" s="1"/>
      <c r="T3570" s="1"/>
      <c r="U3570" s="2">
        <f>IFERROR(__xludf.DUMMYFUNCTION("""COMPUTED_VALUE"""),0.0)</f>
        <v>0</v>
      </c>
      <c r="V3570" s="1" t="str">
        <f>IFERROR(__xludf.DUMMYFUNCTION("""COMPUTED_VALUE"""),"#N/A")</f>
        <v>#N/A</v>
      </c>
      <c r="W3570" s="1" t="str">
        <f>IFERROR(__xludf.DUMMYFUNCTION("""COMPUTED_VALUE"""),"#N/A")</f>
        <v>#N/A</v>
      </c>
    </row>
    <row r="3571">
      <c r="O3571" s="1" t="str">
        <f>IFERROR(__xludf.DUMMYFUNCTION("""COMPUTED_VALUE"""),"#VALUE!")</f>
        <v>#VALUE!</v>
      </c>
      <c r="P3571" s="1" t="str">
        <f>IFERROR(__xludf.DUMMYFUNCTION("""COMPUTED_VALUE"""),"#N/A")</f>
        <v>#N/A</v>
      </c>
      <c r="Q3571" s="1"/>
      <c r="R3571" s="1"/>
      <c r="S3571" s="1"/>
      <c r="T3571" s="1"/>
      <c r="U3571" s="2">
        <f>IFERROR(__xludf.DUMMYFUNCTION("""COMPUTED_VALUE"""),0.0)</f>
        <v>0</v>
      </c>
      <c r="V3571" s="1" t="str">
        <f>IFERROR(__xludf.DUMMYFUNCTION("""COMPUTED_VALUE"""),"#N/A")</f>
        <v>#N/A</v>
      </c>
      <c r="W3571" s="1" t="str">
        <f>IFERROR(__xludf.DUMMYFUNCTION("""COMPUTED_VALUE"""),"#N/A")</f>
        <v>#N/A</v>
      </c>
    </row>
    <row r="3572">
      <c r="O3572" s="1" t="str">
        <f>IFERROR(__xludf.DUMMYFUNCTION("""COMPUTED_VALUE"""),"#VALUE!")</f>
        <v>#VALUE!</v>
      </c>
      <c r="P3572" s="1" t="str">
        <f>IFERROR(__xludf.DUMMYFUNCTION("""COMPUTED_VALUE"""),"#N/A")</f>
        <v>#N/A</v>
      </c>
      <c r="Q3572" s="1"/>
      <c r="R3572" s="1"/>
      <c r="S3572" s="1"/>
      <c r="T3572" s="1"/>
      <c r="U3572" s="2">
        <f>IFERROR(__xludf.DUMMYFUNCTION("""COMPUTED_VALUE"""),0.0)</f>
        <v>0</v>
      </c>
      <c r="V3572" s="1" t="str">
        <f>IFERROR(__xludf.DUMMYFUNCTION("""COMPUTED_VALUE"""),"#N/A")</f>
        <v>#N/A</v>
      </c>
      <c r="W3572" s="1" t="str">
        <f>IFERROR(__xludf.DUMMYFUNCTION("""COMPUTED_VALUE"""),"#N/A")</f>
        <v>#N/A</v>
      </c>
    </row>
    <row r="3573">
      <c r="O3573" s="1" t="str">
        <f>IFERROR(__xludf.DUMMYFUNCTION("""COMPUTED_VALUE"""),"#VALUE!")</f>
        <v>#VALUE!</v>
      </c>
      <c r="P3573" s="1" t="str">
        <f>IFERROR(__xludf.DUMMYFUNCTION("""COMPUTED_VALUE"""),"#N/A")</f>
        <v>#N/A</v>
      </c>
      <c r="Q3573" s="1"/>
      <c r="R3573" s="1"/>
      <c r="S3573" s="1"/>
      <c r="T3573" s="1"/>
      <c r="U3573" s="2">
        <f>IFERROR(__xludf.DUMMYFUNCTION("""COMPUTED_VALUE"""),0.0)</f>
        <v>0</v>
      </c>
      <c r="V3573" s="1" t="str">
        <f>IFERROR(__xludf.DUMMYFUNCTION("""COMPUTED_VALUE"""),"#N/A")</f>
        <v>#N/A</v>
      </c>
      <c r="W3573" s="1" t="str">
        <f>IFERROR(__xludf.DUMMYFUNCTION("""COMPUTED_VALUE"""),"#N/A")</f>
        <v>#N/A</v>
      </c>
    </row>
    <row r="3574">
      <c r="O3574" s="1" t="str">
        <f>IFERROR(__xludf.DUMMYFUNCTION("""COMPUTED_VALUE"""),"#VALUE!")</f>
        <v>#VALUE!</v>
      </c>
      <c r="P3574" s="1" t="str">
        <f>IFERROR(__xludf.DUMMYFUNCTION("""COMPUTED_VALUE"""),"#N/A")</f>
        <v>#N/A</v>
      </c>
      <c r="Q3574" s="1"/>
      <c r="R3574" s="1"/>
      <c r="S3574" s="1"/>
      <c r="T3574" s="1"/>
      <c r="U3574" s="2">
        <f>IFERROR(__xludf.DUMMYFUNCTION("""COMPUTED_VALUE"""),0.0)</f>
        <v>0</v>
      </c>
      <c r="V3574" s="1" t="str">
        <f>IFERROR(__xludf.DUMMYFUNCTION("""COMPUTED_VALUE"""),"#N/A")</f>
        <v>#N/A</v>
      </c>
      <c r="W3574" s="1" t="str">
        <f>IFERROR(__xludf.DUMMYFUNCTION("""COMPUTED_VALUE"""),"#N/A")</f>
        <v>#N/A</v>
      </c>
    </row>
    <row r="3575">
      <c r="O3575" s="1" t="str">
        <f>IFERROR(__xludf.DUMMYFUNCTION("""COMPUTED_VALUE"""),"#VALUE!")</f>
        <v>#VALUE!</v>
      </c>
      <c r="P3575" s="1" t="str">
        <f>IFERROR(__xludf.DUMMYFUNCTION("""COMPUTED_VALUE"""),"#N/A")</f>
        <v>#N/A</v>
      </c>
      <c r="Q3575" s="1"/>
      <c r="R3575" s="1"/>
      <c r="S3575" s="1"/>
      <c r="T3575" s="1"/>
      <c r="U3575" s="2">
        <f>IFERROR(__xludf.DUMMYFUNCTION("""COMPUTED_VALUE"""),0.0)</f>
        <v>0</v>
      </c>
      <c r="V3575" s="1" t="str">
        <f>IFERROR(__xludf.DUMMYFUNCTION("""COMPUTED_VALUE"""),"#N/A")</f>
        <v>#N/A</v>
      </c>
      <c r="W3575" s="1" t="str">
        <f>IFERROR(__xludf.DUMMYFUNCTION("""COMPUTED_VALUE"""),"#N/A")</f>
        <v>#N/A</v>
      </c>
    </row>
    <row r="3576">
      <c r="O3576" s="1" t="str">
        <f>IFERROR(__xludf.DUMMYFUNCTION("""COMPUTED_VALUE"""),"#VALUE!")</f>
        <v>#VALUE!</v>
      </c>
      <c r="P3576" s="1" t="str">
        <f>IFERROR(__xludf.DUMMYFUNCTION("""COMPUTED_VALUE"""),"#N/A")</f>
        <v>#N/A</v>
      </c>
      <c r="Q3576" s="1"/>
      <c r="R3576" s="1"/>
      <c r="S3576" s="1"/>
      <c r="T3576" s="1"/>
      <c r="U3576" s="2">
        <f>IFERROR(__xludf.DUMMYFUNCTION("""COMPUTED_VALUE"""),0.0)</f>
        <v>0</v>
      </c>
      <c r="V3576" s="1" t="str">
        <f>IFERROR(__xludf.DUMMYFUNCTION("""COMPUTED_VALUE"""),"#N/A")</f>
        <v>#N/A</v>
      </c>
      <c r="W3576" s="1" t="str">
        <f>IFERROR(__xludf.DUMMYFUNCTION("""COMPUTED_VALUE"""),"#N/A")</f>
        <v>#N/A</v>
      </c>
    </row>
    <row r="3577">
      <c r="O3577" s="1" t="str">
        <f>IFERROR(__xludf.DUMMYFUNCTION("""COMPUTED_VALUE"""),"#VALUE!")</f>
        <v>#VALUE!</v>
      </c>
      <c r="P3577" s="1" t="str">
        <f>IFERROR(__xludf.DUMMYFUNCTION("""COMPUTED_VALUE"""),"#N/A")</f>
        <v>#N/A</v>
      </c>
      <c r="Q3577" s="1"/>
      <c r="R3577" s="1"/>
      <c r="S3577" s="1"/>
      <c r="T3577" s="1"/>
      <c r="U3577" s="2">
        <f>IFERROR(__xludf.DUMMYFUNCTION("""COMPUTED_VALUE"""),0.0)</f>
        <v>0</v>
      </c>
      <c r="V3577" s="1" t="str">
        <f>IFERROR(__xludf.DUMMYFUNCTION("""COMPUTED_VALUE"""),"#N/A")</f>
        <v>#N/A</v>
      </c>
      <c r="W3577" s="1" t="str">
        <f>IFERROR(__xludf.DUMMYFUNCTION("""COMPUTED_VALUE"""),"#N/A")</f>
        <v>#N/A</v>
      </c>
    </row>
    <row r="3578">
      <c r="O3578" s="1" t="str">
        <f>IFERROR(__xludf.DUMMYFUNCTION("""COMPUTED_VALUE"""),"#VALUE!")</f>
        <v>#VALUE!</v>
      </c>
      <c r="P3578" s="1" t="str">
        <f>IFERROR(__xludf.DUMMYFUNCTION("""COMPUTED_VALUE"""),"#N/A")</f>
        <v>#N/A</v>
      </c>
      <c r="Q3578" s="1"/>
      <c r="R3578" s="1"/>
      <c r="S3578" s="1"/>
      <c r="T3578" s="1"/>
      <c r="U3578" s="2">
        <f>IFERROR(__xludf.DUMMYFUNCTION("""COMPUTED_VALUE"""),0.0)</f>
        <v>0</v>
      </c>
      <c r="V3578" s="1" t="str">
        <f>IFERROR(__xludf.DUMMYFUNCTION("""COMPUTED_VALUE"""),"#N/A")</f>
        <v>#N/A</v>
      </c>
      <c r="W3578" s="1" t="str">
        <f>IFERROR(__xludf.DUMMYFUNCTION("""COMPUTED_VALUE"""),"#N/A")</f>
        <v>#N/A</v>
      </c>
    </row>
    <row r="3579">
      <c r="O3579" s="1" t="str">
        <f>IFERROR(__xludf.DUMMYFUNCTION("""COMPUTED_VALUE"""),"#VALUE!")</f>
        <v>#VALUE!</v>
      </c>
      <c r="P3579" s="1" t="str">
        <f>IFERROR(__xludf.DUMMYFUNCTION("""COMPUTED_VALUE"""),"#N/A")</f>
        <v>#N/A</v>
      </c>
      <c r="Q3579" s="1"/>
      <c r="R3579" s="1"/>
      <c r="S3579" s="1"/>
      <c r="T3579" s="1"/>
      <c r="U3579" s="2">
        <f>IFERROR(__xludf.DUMMYFUNCTION("""COMPUTED_VALUE"""),0.0)</f>
        <v>0</v>
      </c>
      <c r="V3579" s="1" t="str">
        <f>IFERROR(__xludf.DUMMYFUNCTION("""COMPUTED_VALUE"""),"#N/A")</f>
        <v>#N/A</v>
      </c>
      <c r="W3579" s="1" t="str">
        <f>IFERROR(__xludf.DUMMYFUNCTION("""COMPUTED_VALUE"""),"#N/A")</f>
        <v>#N/A</v>
      </c>
    </row>
    <row r="3580">
      <c r="O3580" s="1" t="str">
        <f>IFERROR(__xludf.DUMMYFUNCTION("""COMPUTED_VALUE"""),"#VALUE!")</f>
        <v>#VALUE!</v>
      </c>
      <c r="P3580" s="1" t="str">
        <f>IFERROR(__xludf.DUMMYFUNCTION("""COMPUTED_VALUE"""),"#N/A")</f>
        <v>#N/A</v>
      </c>
      <c r="Q3580" s="1"/>
      <c r="R3580" s="1"/>
      <c r="S3580" s="1"/>
      <c r="T3580" s="1"/>
      <c r="U3580" s="2">
        <f>IFERROR(__xludf.DUMMYFUNCTION("""COMPUTED_VALUE"""),0.0)</f>
        <v>0</v>
      </c>
      <c r="V3580" s="1" t="str">
        <f>IFERROR(__xludf.DUMMYFUNCTION("""COMPUTED_VALUE"""),"#N/A")</f>
        <v>#N/A</v>
      </c>
      <c r="W3580" s="1" t="str">
        <f>IFERROR(__xludf.DUMMYFUNCTION("""COMPUTED_VALUE"""),"#N/A")</f>
        <v>#N/A</v>
      </c>
    </row>
    <row r="3581">
      <c r="O3581" s="1" t="str">
        <f>IFERROR(__xludf.DUMMYFUNCTION("""COMPUTED_VALUE"""),"#VALUE!")</f>
        <v>#VALUE!</v>
      </c>
      <c r="P3581" s="1" t="str">
        <f>IFERROR(__xludf.DUMMYFUNCTION("""COMPUTED_VALUE"""),"#N/A")</f>
        <v>#N/A</v>
      </c>
      <c r="Q3581" s="1"/>
      <c r="R3581" s="1"/>
      <c r="S3581" s="1"/>
      <c r="T3581" s="1"/>
      <c r="U3581" s="2">
        <f>IFERROR(__xludf.DUMMYFUNCTION("""COMPUTED_VALUE"""),0.0)</f>
        <v>0</v>
      </c>
      <c r="V3581" s="1" t="str">
        <f>IFERROR(__xludf.DUMMYFUNCTION("""COMPUTED_VALUE"""),"#N/A")</f>
        <v>#N/A</v>
      </c>
      <c r="W3581" s="1" t="str">
        <f>IFERROR(__xludf.DUMMYFUNCTION("""COMPUTED_VALUE"""),"#N/A")</f>
        <v>#N/A</v>
      </c>
    </row>
    <row r="3582">
      <c r="O3582" s="1" t="str">
        <f>IFERROR(__xludf.DUMMYFUNCTION("""COMPUTED_VALUE"""),"#VALUE!")</f>
        <v>#VALUE!</v>
      </c>
      <c r="P3582" s="1" t="str">
        <f>IFERROR(__xludf.DUMMYFUNCTION("""COMPUTED_VALUE"""),"#N/A")</f>
        <v>#N/A</v>
      </c>
      <c r="Q3582" s="1"/>
      <c r="R3582" s="1"/>
      <c r="S3582" s="1"/>
      <c r="T3582" s="1"/>
      <c r="U3582" s="2">
        <f>IFERROR(__xludf.DUMMYFUNCTION("""COMPUTED_VALUE"""),0.0)</f>
        <v>0</v>
      </c>
      <c r="V3582" s="1" t="str">
        <f>IFERROR(__xludf.DUMMYFUNCTION("""COMPUTED_VALUE"""),"#N/A")</f>
        <v>#N/A</v>
      </c>
      <c r="W3582" s="1" t="str">
        <f>IFERROR(__xludf.DUMMYFUNCTION("""COMPUTED_VALUE"""),"#N/A")</f>
        <v>#N/A</v>
      </c>
    </row>
    <row r="3583">
      <c r="O3583" s="1" t="str">
        <f>IFERROR(__xludf.DUMMYFUNCTION("""COMPUTED_VALUE"""),"#VALUE!")</f>
        <v>#VALUE!</v>
      </c>
      <c r="P3583" s="1" t="str">
        <f>IFERROR(__xludf.DUMMYFUNCTION("""COMPUTED_VALUE"""),"#N/A")</f>
        <v>#N/A</v>
      </c>
      <c r="Q3583" s="1"/>
      <c r="R3583" s="1"/>
      <c r="S3583" s="1"/>
      <c r="T3583" s="1"/>
      <c r="U3583" s="2">
        <f>IFERROR(__xludf.DUMMYFUNCTION("""COMPUTED_VALUE"""),0.0)</f>
        <v>0</v>
      </c>
      <c r="V3583" s="1" t="str">
        <f>IFERROR(__xludf.DUMMYFUNCTION("""COMPUTED_VALUE"""),"#N/A")</f>
        <v>#N/A</v>
      </c>
      <c r="W3583" s="1" t="str">
        <f>IFERROR(__xludf.DUMMYFUNCTION("""COMPUTED_VALUE"""),"#N/A")</f>
        <v>#N/A</v>
      </c>
    </row>
    <row r="3584">
      <c r="O3584" s="1" t="str">
        <f>IFERROR(__xludf.DUMMYFUNCTION("""COMPUTED_VALUE"""),"#VALUE!")</f>
        <v>#VALUE!</v>
      </c>
      <c r="P3584" s="1" t="str">
        <f>IFERROR(__xludf.DUMMYFUNCTION("""COMPUTED_VALUE"""),"#N/A")</f>
        <v>#N/A</v>
      </c>
      <c r="Q3584" s="1"/>
      <c r="R3584" s="1"/>
      <c r="S3584" s="1"/>
      <c r="T3584" s="1"/>
      <c r="U3584" s="2">
        <f>IFERROR(__xludf.DUMMYFUNCTION("""COMPUTED_VALUE"""),0.0)</f>
        <v>0</v>
      </c>
      <c r="V3584" s="1" t="str">
        <f>IFERROR(__xludf.DUMMYFUNCTION("""COMPUTED_VALUE"""),"#N/A")</f>
        <v>#N/A</v>
      </c>
      <c r="W3584" s="1" t="str">
        <f>IFERROR(__xludf.DUMMYFUNCTION("""COMPUTED_VALUE"""),"#N/A")</f>
        <v>#N/A</v>
      </c>
    </row>
    <row r="3585">
      <c r="O3585" s="1" t="str">
        <f>IFERROR(__xludf.DUMMYFUNCTION("""COMPUTED_VALUE"""),"#VALUE!")</f>
        <v>#VALUE!</v>
      </c>
      <c r="P3585" s="1" t="str">
        <f>IFERROR(__xludf.DUMMYFUNCTION("""COMPUTED_VALUE"""),"#N/A")</f>
        <v>#N/A</v>
      </c>
      <c r="Q3585" s="1"/>
      <c r="R3585" s="1"/>
      <c r="S3585" s="1"/>
      <c r="T3585" s="1"/>
      <c r="U3585" s="2">
        <f>IFERROR(__xludf.DUMMYFUNCTION("""COMPUTED_VALUE"""),0.0)</f>
        <v>0</v>
      </c>
      <c r="V3585" s="1" t="str">
        <f>IFERROR(__xludf.DUMMYFUNCTION("""COMPUTED_VALUE"""),"#N/A")</f>
        <v>#N/A</v>
      </c>
      <c r="W3585" s="1" t="str">
        <f>IFERROR(__xludf.DUMMYFUNCTION("""COMPUTED_VALUE"""),"#N/A")</f>
        <v>#N/A</v>
      </c>
    </row>
    <row r="3586">
      <c r="O3586" s="1" t="str">
        <f>IFERROR(__xludf.DUMMYFUNCTION("""COMPUTED_VALUE"""),"#VALUE!")</f>
        <v>#VALUE!</v>
      </c>
      <c r="P3586" s="1" t="str">
        <f>IFERROR(__xludf.DUMMYFUNCTION("""COMPUTED_VALUE"""),"#N/A")</f>
        <v>#N/A</v>
      </c>
      <c r="Q3586" s="1"/>
      <c r="R3586" s="1"/>
      <c r="S3586" s="1"/>
      <c r="T3586" s="1"/>
      <c r="U3586" s="2">
        <f>IFERROR(__xludf.DUMMYFUNCTION("""COMPUTED_VALUE"""),0.0)</f>
        <v>0</v>
      </c>
      <c r="V3586" s="1" t="str">
        <f>IFERROR(__xludf.DUMMYFUNCTION("""COMPUTED_VALUE"""),"#N/A")</f>
        <v>#N/A</v>
      </c>
      <c r="W3586" s="1" t="str">
        <f>IFERROR(__xludf.DUMMYFUNCTION("""COMPUTED_VALUE"""),"#N/A")</f>
        <v>#N/A</v>
      </c>
    </row>
    <row r="3587">
      <c r="O3587" s="1" t="str">
        <f>IFERROR(__xludf.DUMMYFUNCTION("""COMPUTED_VALUE"""),"#VALUE!")</f>
        <v>#VALUE!</v>
      </c>
      <c r="P3587" s="1" t="str">
        <f>IFERROR(__xludf.DUMMYFUNCTION("""COMPUTED_VALUE"""),"#N/A")</f>
        <v>#N/A</v>
      </c>
      <c r="Q3587" s="1"/>
      <c r="R3587" s="1"/>
      <c r="S3587" s="1"/>
      <c r="T3587" s="1"/>
      <c r="U3587" s="2">
        <f>IFERROR(__xludf.DUMMYFUNCTION("""COMPUTED_VALUE"""),0.0)</f>
        <v>0</v>
      </c>
      <c r="V3587" s="1" t="str">
        <f>IFERROR(__xludf.DUMMYFUNCTION("""COMPUTED_VALUE"""),"#N/A")</f>
        <v>#N/A</v>
      </c>
      <c r="W3587" s="1" t="str">
        <f>IFERROR(__xludf.DUMMYFUNCTION("""COMPUTED_VALUE"""),"#N/A")</f>
        <v>#N/A</v>
      </c>
    </row>
    <row r="3588">
      <c r="O3588" s="1" t="str">
        <f>IFERROR(__xludf.DUMMYFUNCTION("""COMPUTED_VALUE"""),"#VALUE!")</f>
        <v>#VALUE!</v>
      </c>
      <c r="P3588" s="1" t="str">
        <f>IFERROR(__xludf.DUMMYFUNCTION("""COMPUTED_VALUE"""),"#N/A")</f>
        <v>#N/A</v>
      </c>
      <c r="Q3588" s="1"/>
      <c r="R3588" s="1"/>
      <c r="S3588" s="1"/>
      <c r="T3588" s="1"/>
      <c r="U3588" s="2">
        <f>IFERROR(__xludf.DUMMYFUNCTION("""COMPUTED_VALUE"""),0.0)</f>
        <v>0</v>
      </c>
      <c r="V3588" s="1" t="str">
        <f>IFERROR(__xludf.DUMMYFUNCTION("""COMPUTED_VALUE"""),"#N/A")</f>
        <v>#N/A</v>
      </c>
      <c r="W3588" s="1" t="str">
        <f>IFERROR(__xludf.DUMMYFUNCTION("""COMPUTED_VALUE"""),"#N/A")</f>
        <v>#N/A</v>
      </c>
    </row>
    <row r="3589">
      <c r="O3589" s="1" t="str">
        <f>IFERROR(__xludf.DUMMYFUNCTION("""COMPUTED_VALUE"""),"#VALUE!")</f>
        <v>#VALUE!</v>
      </c>
      <c r="P3589" s="1" t="str">
        <f>IFERROR(__xludf.DUMMYFUNCTION("""COMPUTED_VALUE"""),"#N/A")</f>
        <v>#N/A</v>
      </c>
      <c r="Q3589" s="1"/>
      <c r="R3589" s="1"/>
      <c r="S3589" s="1"/>
      <c r="T3589" s="1"/>
      <c r="U3589" s="2">
        <f>IFERROR(__xludf.DUMMYFUNCTION("""COMPUTED_VALUE"""),0.0)</f>
        <v>0</v>
      </c>
      <c r="V3589" s="1" t="str">
        <f>IFERROR(__xludf.DUMMYFUNCTION("""COMPUTED_VALUE"""),"#N/A")</f>
        <v>#N/A</v>
      </c>
      <c r="W3589" s="1" t="str">
        <f>IFERROR(__xludf.DUMMYFUNCTION("""COMPUTED_VALUE"""),"#N/A")</f>
        <v>#N/A</v>
      </c>
    </row>
    <row r="3590">
      <c r="O3590" s="1" t="str">
        <f>IFERROR(__xludf.DUMMYFUNCTION("""COMPUTED_VALUE"""),"#VALUE!")</f>
        <v>#VALUE!</v>
      </c>
      <c r="P3590" s="1" t="str">
        <f>IFERROR(__xludf.DUMMYFUNCTION("""COMPUTED_VALUE"""),"#N/A")</f>
        <v>#N/A</v>
      </c>
      <c r="Q3590" s="1"/>
      <c r="R3590" s="1"/>
      <c r="S3590" s="1"/>
      <c r="T3590" s="1"/>
      <c r="U3590" s="2">
        <f>IFERROR(__xludf.DUMMYFUNCTION("""COMPUTED_VALUE"""),0.0)</f>
        <v>0</v>
      </c>
      <c r="V3590" s="1" t="str">
        <f>IFERROR(__xludf.DUMMYFUNCTION("""COMPUTED_VALUE"""),"#N/A")</f>
        <v>#N/A</v>
      </c>
      <c r="W3590" s="1" t="str">
        <f>IFERROR(__xludf.DUMMYFUNCTION("""COMPUTED_VALUE"""),"#N/A")</f>
        <v>#N/A</v>
      </c>
    </row>
    <row r="3591">
      <c r="O3591" s="1" t="str">
        <f>IFERROR(__xludf.DUMMYFUNCTION("""COMPUTED_VALUE"""),"#VALUE!")</f>
        <v>#VALUE!</v>
      </c>
      <c r="P3591" s="1" t="str">
        <f>IFERROR(__xludf.DUMMYFUNCTION("""COMPUTED_VALUE"""),"#N/A")</f>
        <v>#N/A</v>
      </c>
      <c r="Q3591" s="1"/>
      <c r="R3591" s="1"/>
      <c r="S3591" s="1"/>
      <c r="T3591" s="1"/>
      <c r="U3591" s="2">
        <f>IFERROR(__xludf.DUMMYFUNCTION("""COMPUTED_VALUE"""),0.0)</f>
        <v>0</v>
      </c>
      <c r="V3591" s="1" t="str">
        <f>IFERROR(__xludf.DUMMYFUNCTION("""COMPUTED_VALUE"""),"#N/A")</f>
        <v>#N/A</v>
      </c>
      <c r="W3591" s="1" t="str">
        <f>IFERROR(__xludf.DUMMYFUNCTION("""COMPUTED_VALUE"""),"#N/A")</f>
        <v>#N/A</v>
      </c>
    </row>
    <row r="3592">
      <c r="O3592" s="1" t="str">
        <f>IFERROR(__xludf.DUMMYFUNCTION("""COMPUTED_VALUE"""),"#VALUE!")</f>
        <v>#VALUE!</v>
      </c>
      <c r="P3592" s="1" t="str">
        <f>IFERROR(__xludf.DUMMYFUNCTION("""COMPUTED_VALUE"""),"#N/A")</f>
        <v>#N/A</v>
      </c>
      <c r="Q3592" s="1"/>
      <c r="R3592" s="1"/>
      <c r="S3592" s="1"/>
      <c r="T3592" s="1"/>
      <c r="U3592" s="2">
        <f>IFERROR(__xludf.DUMMYFUNCTION("""COMPUTED_VALUE"""),0.0)</f>
        <v>0</v>
      </c>
      <c r="V3592" s="1" t="str">
        <f>IFERROR(__xludf.DUMMYFUNCTION("""COMPUTED_VALUE"""),"#N/A")</f>
        <v>#N/A</v>
      </c>
      <c r="W3592" s="1" t="str">
        <f>IFERROR(__xludf.DUMMYFUNCTION("""COMPUTED_VALUE"""),"#N/A")</f>
        <v>#N/A</v>
      </c>
    </row>
    <row r="3593">
      <c r="O3593" s="1" t="str">
        <f>IFERROR(__xludf.DUMMYFUNCTION("""COMPUTED_VALUE"""),"#VALUE!")</f>
        <v>#VALUE!</v>
      </c>
      <c r="P3593" s="1" t="str">
        <f>IFERROR(__xludf.DUMMYFUNCTION("""COMPUTED_VALUE"""),"#N/A")</f>
        <v>#N/A</v>
      </c>
      <c r="Q3593" s="1"/>
      <c r="R3593" s="1"/>
      <c r="S3593" s="1"/>
      <c r="T3593" s="1"/>
      <c r="U3593" s="2">
        <f>IFERROR(__xludf.DUMMYFUNCTION("""COMPUTED_VALUE"""),0.0)</f>
        <v>0</v>
      </c>
      <c r="V3593" s="1" t="str">
        <f>IFERROR(__xludf.DUMMYFUNCTION("""COMPUTED_VALUE"""),"#N/A")</f>
        <v>#N/A</v>
      </c>
      <c r="W3593" s="1" t="str">
        <f>IFERROR(__xludf.DUMMYFUNCTION("""COMPUTED_VALUE"""),"#N/A")</f>
        <v>#N/A</v>
      </c>
    </row>
    <row r="3594">
      <c r="O3594" s="1" t="str">
        <f>IFERROR(__xludf.DUMMYFUNCTION("""COMPUTED_VALUE"""),"#VALUE!")</f>
        <v>#VALUE!</v>
      </c>
      <c r="P3594" s="1" t="str">
        <f>IFERROR(__xludf.DUMMYFUNCTION("""COMPUTED_VALUE"""),"#N/A")</f>
        <v>#N/A</v>
      </c>
      <c r="Q3594" s="1"/>
      <c r="R3594" s="1"/>
      <c r="S3594" s="1"/>
      <c r="T3594" s="1"/>
      <c r="U3594" s="2">
        <f>IFERROR(__xludf.DUMMYFUNCTION("""COMPUTED_VALUE"""),0.0)</f>
        <v>0</v>
      </c>
      <c r="V3594" s="1" t="str">
        <f>IFERROR(__xludf.DUMMYFUNCTION("""COMPUTED_VALUE"""),"#N/A")</f>
        <v>#N/A</v>
      </c>
      <c r="W3594" s="1" t="str">
        <f>IFERROR(__xludf.DUMMYFUNCTION("""COMPUTED_VALUE"""),"#N/A")</f>
        <v>#N/A</v>
      </c>
    </row>
    <row r="3595">
      <c r="O3595" s="1" t="str">
        <f>IFERROR(__xludf.DUMMYFUNCTION("""COMPUTED_VALUE"""),"#VALUE!")</f>
        <v>#VALUE!</v>
      </c>
      <c r="P3595" s="1" t="str">
        <f>IFERROR(__xludf.DUMMYFUNCTION("""COMPUTED_VALUE"""),"#N/A")</f>
        <v>#N/A</v>
      </c>
      <c r="Q3595" s="1"/>
      <c r="R3595" s="1"/>
      <c r="S3595" s="1"/>
      <c r="T3595" s="1"/>
      <c r="U3595" s="2">
        <f>IFERROR(__xludf.DUMMYFUNCTION("""COMPUTED_VALUE"""),0.0)</f>
        <v>0</v>
      </c>
      <c r="V3595" s="1" t="str">
        <f>IFERROR(__xludf.DUMMYFUNCTION("""COMPUTED_VALUE"""),"#N/A")</f>
        <v>#N/A</v>
      </c>
      <c r="W3595" s="1" t="str">
        <f>IFERROR(__xludf.DUMMYFUNCTION("""COMPUTED_VALUE"""),"#N/A")</f>
        <v>#N/A</v>
      </c>
    </row>
    <row r="3596">
      <c r="O3596" s="1" t="str">
        <f>IFERROR(__xludf.DUMMYFUNCTION("""COMPUTED_VALUE"""),"#VALUE!")</f>
        <v>#VALUE!</v>
      </c>
      <c r="P3596" s="1" t="str">
        <f>IFERROR(__xludf.DUMMYFUNCTION("""COMPUTED_VALUE"""),"#N/A")</f>
        <v>#N/A</v>
      </c>
      <c r="Q3596" s="1"/>
      <c r="R3596" s="1"/>
      <c r="S3596" s="1"/>
      <c r="T3596" s="1"/>
      <c r="U3596" s="2">
        <f>IFERROR(__xludf.DUMMYFUNCTION("""COMPUTED_VALUE"""),0.0)</f>
        <v>0</v>
      </c>
      <c r="V3596" s="1" t="str">
        <f>IFERROR(__xludf.DUMMYFUNCTION("""COMPUTED_VALUE"""),"#N/A")</f>
        <v>#N/A</v>
      </c>
      <c r="W3596" s="1" t="str">
        <f>IFERROR(__xludf.DUMMYFUNCTION("""COMPUTED_VALUE"""),"#N/A")</f>
        <v>#N/A</v>
      </c>
    </row>
    <row r="3597">
      <c r="O3597" s="1" t="str">
        <f>IFERROR(__xludf.DUMMYFUNCTION("""COMPUTED_VALUE"""),"#VALUE!")</f>
        <v>#VALUE!</v>
      </c>
      <c r="P3597" s="1" t="str">
        <f>IFERROR(__xludf.DUMMYFUNCTION("""COMPUTED_VALUE"""),"#N/A")</f>
        <v>#N/A</v>
      </c>
      <c r="Q3597" s="1"/>
      <c r="R3597" s="1"/>
      <c r="S3597" s="1"/>
      <c r="T3597" s="1"/>
      <c r="U3597" s="2">
        <f>IFERROR(__xludf.DUMMYFUNCTION("""COMPUTED_VALUE"""),0.0)</f>
        <v>0</v>
      </c>
      <c r="V3597" s="1" t="str">
        <f>IFERROR(__xludf.DUMMYFUNCTION("""COMPUTED_VALUE"""),"#N/A")</f>
        <v>#N/A</v>
      </c>
      <c r="W3597" s="1" t="str">
        <f>IFERROR(__xludf.DUMMYFUNCTION("""COMPUTED_VALUE"""),"#N/A")</f>
        <v>#N/A</v>
      </c>
    </row>
    <row r="3598">
      <c r="O3598" s="1" t="str">
        <f>IFERROR(__xludf.DUMMYFUNCTION("""COMPUTED_VALUE"""),"#VALUE!")</f>
        <v>#VALUE!</v>
      </c>
      <c r="P3598" s="1" t="str">
        <f>IFERROR(__xludf.DUMMYFUNCTION("""COMPUTED_VALUE"""),"#N/A")</f>
        <v>#N/A</v>
      </c>
      <c r="Q3598" s="1"/>
      <c r="R3598" s="1"/>
      <c r="S3598" s="1"/>
      <c r="T3598" s="1"/>
      <c r="U3598" s="2">
        <f>IFERROR(__xludf.DUMMYFUNCTION("""COMPUTED_VALUE"""),0.0)</f>
        <v>0</v>
      </c>
      <c r="V3598" s="1" t="str">
        <f>IFERROR(__xludf.DUMMYFUNCTION("""COMPUTED_VALUE"""),"#N/A")</f>
        <v>#N/A</v>
      </c>
      <c r="W3598" s="1" t="str">
        <f>IFERROR(__xludf.DUMMYFUNCTION("""COMPUTED_VALUE"""),"#N/A")</f>
        <v>#N/A</v>
      </c>
    </row>
    <row r="3599">
      <c r="O3599" s="1" t="str">
        <f>IFERROR(__xludf.DUMMYFUNCTION("""COMPUTED_VALUE"""),"#VALUE!")</f>
        <v>#VALUE!</v>
      </c>
      <c r="P3599" s="1" t="str">
        <f>IFERROR(__xludf.DUMMYFUNCTION("""COMPUTED_VALUE"""),"#N/A")</f>
        <v>#N/A</v>
      </c>
      <c r="Q3599" s="1"/>
      <c r="R3599" s="1"/>
      <c r="S3599" s="1"/>
      <c r="T3599" s="1"/>
      <c r="U3599" s="2">
        <f>IFERROR(__xludf.DUMMYFUNCTION("""COMPUTED_VALUE"""),0.0)</f>
        <v>0</v>
      </c>
      <c r="V3599" s="1" t="str">
        <f>IFERROR(__xludf.DUMMYFUNCTION("""COMPUTED_VALUE"""),"#N/A")</f>
        <v>#N/A</v>
      </c>
      <c r="W3599" s="1" t="str">
        <f>IFERROR(__xludf.DUMMYFUNCTION("""COMPUTED_VALUE"""),"#N/A")</f>
        <v>#N/A</v>
      </c>
    </row>
    <row r="3600">
      <c r="O3600" s="1" t="str">
        <f>IFERROR(__xludf.DUMMYFUNCTION("""COMPUTED_VALUE"""),"#VALUE!")</f>
        <v>#VALUE!</v>
      </c>
      <c r="P3600" s="1" t="str">
        <f>IFERROR(__xludf.DUMMYFUNCTION("""COMPUTED_VALUE"""),"#N/A")</f>
        <v>#N/A</v>
      </c>
      <c r="Q3600" s="1"/>
      <c r="R3600" s="1"/>
      <c r="S3600" s="1"/>
      <c r="T3600" s="1"/>
      <c r="U3600" s="2">
        <f>IFERROR(__xludf.DUMMYFUNCTION("""COMPUTED_VALUE"""),0.0)</f>
        <v>0</v>
      </c>
      <c r="V3600" s="1" t="str">
        <f>IFERROR(__xludf.DUMMYFUNCTION("""COMPUTED_VALUE"""),"#N/A")</f>
        <v>#N/A</v>
      </c>
      <c r="W3600" s="1" t="str">
        <f>IFERROR(__xludf.DUMMYFUNCTION("""COMPUTED_VALUE"""),"#N/A")</f>
        <v>#N/A</v>
      </c>
    </row>
    <row r="3601">
      <c r="O3601" s="1" t="str">
        <f>IFERROR(__xludf.DUMMYFUNCTION("""COMPUTED_VALUE"""),"#VALUE!")</f>
        <v>#VALUE!</v>
      </c>
      <c r="P3601" s="1" t="str">
        <f>IFERROR(__xludf.DUMMYFUNCTION("""COMPUTED_VALUE"""),"#N/A")</f>
        <v>#N/A</v>
      </c>
      <c r="Q3601" s="1"/>
      <c r="R3601" s="1"/>
      <c r="S3601" s="1"/>
      <c r="T3601" s="1"/>
      <c r="U3601" s="2">
        <f>IFERROR(__xludf.DUMMYFUNCTION("""COMPUTED_VALUE"""),0.0)</f>
        <v>0</v>
      </c>
      <c r="V3601" s="1" t="str">
        <f>IFERROR(__xludf.DUMMYFUNCTION("""COMPUTED_VALUE"""),"#N/A")</f>
        <v>#N/A</v>
      </c>
      <c r="W3601" s="1" t="str">
        <f>IFERROR(__xludf.DUMMYFUNCTION("""COMPUTED_VALUE"""),"#N/A")</f>
        <v>#N/A</v>
      </c>
    </row>
    <row r="3602">
      <c r="O3602" s="1" t="str">
        <f>IFERROR(__xludf.DUMMYFUNCTION("""COMPUTED_VALUE"""),"#VALUE!")</f>
        <v>#VALUE!</v>
      </c>
      <c r="P3602" s="1" t="str">
        <f>IFERROR(__xludf.DUMMYFUNCTION("""COMPUTED_VALUE"""),"#N/A")</f>
        <v>#N/A</v>
      </c>
      <c r="Q3602" s="1"/>
      <c r="R3602" s="1"/>
      <c r="S3602" s="1"/>
      <c r="T3602" s="1"/>
      <c r="U3602" s="2">
        <f>IFERROR(__xludf.DUMMYFUNCTION("""COMPUTED_VALUE"""),0.0)</f>
        <v>0</v>
      </c>
      <c r="V3602" s="1" t="str">
        <f>IFERROR(__xludf.DUMMYFUNCTION("""COMPUTED_VALUE"""),"#N/A")</f>
        <v>#N/A</v>
      </c>
      <c r="W3602" s="1" t="str">
        <f>IFERROR(__xludf.DUMMYFUNCTION("""COMPUTED_VALUE"""),"#N/A")</f>
        <v>#N/A</v>
      </c>
    </row>
    <row r="3603">
      <c r="O3603" s="1" t="str">
        <f>IFERROR(__xludf.DUMMYFUNCTION("""COMPUTED_VALUE"""),"#VALUE!")</f>
        <v>#VALUE!</v>
      </c>
      <c r="P3603" s="1" t="str">
        <f>IFERROR(__xludf.DUMMYFUNCTION("""COMPUTED_VALUE"""),"#N/A")</f>
        <v>#N/A</v>
      </c>
      <c r="Q3603" s="1"/>
      <c r="R3603" s="1"/>
      <c r="S3603" s="1"/>
      <c r="T3603" s="1"/>
      <c r="U3603" s="2">
        <f>IFERROR(__xludf.DUMMYFUNCTION("""COMPUTED_VALUE"""),0.0)</f>
        <v>0</v>
      </c>
      <c r="V3603" s="1" t="str">
        <f>IFERROR(__xludf.DUMMYFUNCTION("""COMPUTED_VALUE"""),"#N/A")</f>
        <v>#N/A</v>
      </c>
      <c r="W3603" s="1" t="str">
        <f>IFERROR(__xludf.DUMMYFUNCTION("""COMPUTED_VALUE"""),"#N/A")</f>
        <v>#N/A</v>
      </c>
    </row>
    <row r="3604">
      <c r="O3604" s="1" t="str">
        <f>IFERROR(__xludf.DUMMYFUNCTION("""COMPUTED_VALUE"""),"#VALUE!")</f>
        <v>#VALUE!</v>
      </c>
      <c r="P3604" s="1" t="str">
        <f>IFERROR(__xludf.DUMMYFUNCTION("""COMPUTED_VALUE"""),"#N/A")</f>
        <v>#N/A</v>
      </c>
      <c r="Q3604" s="1"/>
      <c r="R3604" s="1"/>
      <c r="S3604" s="1"/>
      <c r="T3604" s="1"/>
      <c r="U3604" s="2">
        <f>IFERROR(__xludf.DUMMYFUNCTION("""COMPUTED_VALUE"""),0.0)</f>
        <v>0</v>
      </c>
      <c r="V3604" s="1" t="str">
        <f>IFERROR(__xludf.DUMMYFUNCTION("""COMPUTED_VALUE"""),"#N/A")</f>
        <v>#N/A</v>
      </c>
      <c r="W3604" s="1" t="str">
        <f>IFERROR(__xludf.DUMMYFUNCTION("""COMPUTED_VALUE"""),"#N/A")</f>
        <v>#N/A</v>
      </c>
    </row>
    <row r="3605">
      <c r="O3605" s="1" t="str">
        <f>IFERROR(__xludf.DUMMYFUNCTION("""COMPUTED_VALUE"""),"#VALUE!")</f>
        <v>#VALUE!</v>
      </c>
      <c r="P3605" s="1" t="str">
        <f>IFERROR(__xludf.DUMMYFUNCTION("""COMPUTED_VALUE"""),"#N/A")</f>
        <v>#N/A</v>
      </c>
      <c r="Q3605" s="1"/>
      <c r="R3605" s="1"/>
      <c r="S3605" s="1"/>
      <c r="T3605" s="1"/>
      <c r="U3605" s="2">
        <f>IFERROR(__xludf.DUMMYFUNCTION("""COMPUTED_VALUE"""),0.0)</f>
        <v>0</v>
      </c>
      <c r="V3605" s="1" t="str">
        <f>IFERROR(__xludf.DUMMYFUNCTION("""COMPUTED_VALUE"""),"#N/A")</f>
        <v>#N/A</v>
      </c>
      <c r="W3605" s="1" t="str">
        <f>IFERROR(__xludf.DUMMYFUNCTION("""COMPUTED_VALUE"""),"#N/A")</f>
        <v>#N/A</v>
      </c>
    </row>
    <row r="3606">
      <c r="O3606" s="1" t="str">
        <f>IFERROR(__xludf.DUMMYFUNCTION("""COMPUTED_VALUE"""),"#VALUE!")</f>
        <v>#VALUE!</v>
      </c>
      <c r="P3606" s="1" t="str">
        <f>IFERROR(__xludf.DUMMYFUNCTION("""COMPUTED_VALUE"""),"#N/A")</f>
        <v>#N/A</v>
      </c>
      <c r="Q3606" s="1"/>
      <c r="R3606" s="1"/>
      <c r="S3606" s="1"/>
      <c r="T3606" s="1"/>
      <c r="U3606" s="2">
        <f>IFERROR(__xludf.DUMMYFUNCTION("""COMPUTED_VALUE"""),0.0)</f>
        <v>0</v>
      </c>
      <c r="V3606" s="1" t="str">
        <f>IFERROR(__xludf.DUMMYFUNCTION("""COMPUTED_VALUE"""),"#N/A")</f>
        <v>#N/A</v>
      </c>
      <c r="W3606" s="1" t="str">
        <f>IFERROR(__xludf.DUMMYFUNCTION("""COMPUTED_VALUE"""),"#N/A")</f>
        <v>#N/A</v>
      </c>
    </row>
    <row r="3607">
      <c r="O3607" s="1" t="str">
        <f>IFERROR(__xludf.DUMMYFUNCTION("""COMPUTED_VALUE"""),"#VALUE!")</f>
        <v>#VALUE!</v>
      </c>
      <c r="P3607" s="1" t="str">
        <f>IFERROR(__xludf.DUMMYFUNCTION("""COMPUTED_VALUE"""),"#N/A")</f>
        <v>#N/A</v>
      </c>
      <c r="Q3607" s="1"/>
      <c r="R3607" s="1"/>
      <c r="S3607" s="1"/>
      <c r="T3607" s="1"/>
      <c r="U3607" s="2">
        <f>IFERROR(__xludf.DUMMYFUNCTION("""COMPUTED_VALUE"""),0.0)</f>
        <v>0</v>
      </c>
      <c r="V3607" s="1" t="str">
        <f>IFERROR(__xludf.DUMMYFUNCTION("""COMPUTED_VALUE"""),"#N/A")</f>
        <v>#N/A</v>
      </c>
      <c r="W3607" s="1" t="str">
        <f>IFERROR(__xludf.DUMMYFUNCTION("""COMPUTED_VALUE"""),"#N/A")</f>
        <v>#N/A</v>
      </c>
    </row>
    <row r="3608">
      <c r="O3608" s="1" t="str">
        <f>IFERROR(__xludf.DUMMYFUNCTION("""COMPUTED_VALUE"""),"#VALUE!")</f>
        <v>#VALUE!</v>
      </c>
      <c r="P3608" s="1" t="str">
        <f>IFERROR(__xludf.DUMMYFUNCTION("""COMPUTED_VALUE"""),"#N/A")</f>
        <v>#N/A</v>
      </c>
      <c r="Q3608" s="1"/>
      <c r="R3608" s="1"/>
      <c r="S3608" s="1"/>
      <c r="T3608" s="1"/>
      <c r="U3608" s="2">
        <f>IFERROR(__xludf.DUMMYFUNCTION("""COMPUTED_VALUE"""),0.0)</f>
        <v>0</v>
      </c>
      <c r="V3608" s="1" t="str">
        <f>IFERROR(__xludf.DUMMYFUNCTION("""COMPUTED_VALUE"""),"#N/A")</f>
        <v>#N/A</v>
      </c>
      <c r="W3608" s="1" t="str">
        <f>IFERROR(__xludf.DUMMYFUNCTION("""COMPUTED_VALUE"""),"#N/A")</f>
        <v>#N/A</v>
      </c>
    </row>
    <row r="3609">
      <c r="O3609" s="1" t="str">
        <f>IFERROR(__xludf.DUMMYFUNCTION("""COMPUTED_VALUE"""),"#VALUE!")</f>
        <v>#VALUE!</v>
      </c>
      <c r="P3609" s="1" t="str">
        <f>IFERROR(__xludf.DUMMYFUNCTION("""COMPUTED_VALUE"""),"#N/A")</f>
        <v>#N/A</v>
      </c>
      <c r="Q3609" s="1"/>
      <c r="R3609" s="1"/>
      <c r="S3609" s="1"/>
      <c r="T3609" s="1"/>
      <c r="U3609" s="2">
        <f>IFERROR(__xludf.DUMMYFUNCTION("""COMPUTED_VALUE"""),0.0)</f>
        <v>0</v>
      </c>
      <c r="V3609" s="1" t="str">
        <f>IFERROR(__xludf.DUMMYFUNCTION("""COMPUTED_VALUE"""),"#N/A")</f>
        <v>#N/A</v>
      </c>
      <c r="W3609" s="1" t="str">
        <f>IFERROR(__xludf.DUMMYFUNCTION("""COMPUTED_VALUE"""),"#N/A")</f>
        <v>#N/A</v>
      </c>
    </row>
    <row r="3610">
      <c r="O3610" s="1" t="str">
        <f>IFERROR(__xludf.DUMMYFUNCTION("""COMPUTED_VALUE"""),"#VALUE!")</f>
        <v>#VALUE!</v>
      </c>
      <c r="P3610" s="1" t="str">
        <f>IFERROR(__xludf.DUMMYFUNCTION("""COMPUTED_VALUE"""),"#N/A")</f>
        <v>#N/A</v>
      </c>
      <c r="Q3610" s="1"/>
      <c r="R3610" s="1"/>
      <c r="S3610" s="1"/>
      <c r="T3610" s="1"/>
      <c r="U3610" s="2">
        <f>IFERROR(__xludf.DUMMYFUNCTION("""COMPUTED_VALUE"""),0.0)</f>
        <v>0</v>
      </c>
      <c r="V3610" s="1" t="str">
        <f>IFERROR(__xludf.DUMMYFUNCTION("""COMPUTED_VALUE"""),"#N/A")</f>
        <v>#N/A</v>
      </c>
      <c r="W3610" s="1" t="str">
        <f>IFERROR(__xludf.DUMMYFUNCTION("""COMPUTED_VALUE"""),"#N/A")</f>
        <v>#N/A</v>
      </c>
    </row>
    <row r="3611">
      <c r="O3611" s="1" t="str">
        <f>IFERROR(__xludf.DUMMYFUNCTION("""COMPUTED_VALUE"""),"#VALUE!")</f>
        <v>#VALUE!</v>
      </c>
      <c r="P3611" s="1" t="str">
        <f>IFERROR(__xludf.DUMMYFUNCTION("""COMPUTED_VALUE"""),"#N/A")</f>
        <v>#N/A</v>
      </c>
      <c r="Q3611" s="1"/>
      <c r="R3611" s="1"/>
      <c r="S3611" s="1"/>
      <c r="T3611" s="1"/>
      <c r="U3611" s="2">
        <f>IFERROR(__xludf.DUMMYFUNCTION("""COMPUTED_VALUE"""),0.0)</f>
        <v>0</v>
      </c>
      <c r="V3611" s="1" t="str">
        <f>IFERROR(__xludf.DUMMYFUNCTION("""COMPUTED_VALUE"""),"#N/A")</f>
        <v>#N/A</v>
      </c>
      <c r="W3611" s="1" t="str">
        <f>IFERROR(__xludf.DUMMYFUNCTION("""COMPUTED_VALUE"""),"#N/A")</f>
        <v>#N/A</v>
      </c>
    </row>
    <row r="3612">
      <c r="O3612" s="1" t="str">
        <f>IFERROR(__xludf.DUMMYFUNCTION("""COMPUTED_VALUE"""),"#VALUE!")</f>
        <v>#VALUE!</v>
      </c>
      <c r="P3612" s="1" t="str">
        <f>IFERROR(__xludf.DUMMYFUNCTION("""COMPUTED_VALUE"""),"#N/A")</f>
        <v>#N/A</v>
      </c>
      <c r="Q3612" s="1"/>
      <c r="R3612" s="1"/>
      <c r="S3612" s="1"/>
      <c r="T3612" s="1"/>
      <c r="U3612" s="2">
        <f>IFERROR(__xludf.DUMMYFUNCTION("""COMPUTED_VALUE"""),0.0)</f>
        <v>0</v>
      </c>
      <c r="V3612" s="1" t="str">
        <f>IFERROR(__xludf.DUMMYFUNCTION("""COMPUTED_VALUE"""),"#N/A")</f>
        <v>#N/A</v>
      </c>
      <c r="W3612" s="1" t="str">
        <f>IFERROR(__xludf.DUMMYFUNCTION("""COMPUTED_VALUE"""),"#N/A")</f>
        <v>#N/A</v>
      </c>
    </row>
    <row r="3613">
      <c r="O3613" s="1" t="str">
        <f>IFERROR(__xludf.DUMMYFUNCTION("""COMPUTED_VALUE"""),"#VALUE!")</f>
        <v>#VALUE!</v>
      </c>
      <c r="P3613" s="1" t="str">
        <f>IFERROR(__xludf.DUMMYFUNCTION("""COMPUTED_VALUE"""),"#N/A")</f>
        <v>#N/A</v>
      </c>
      <c r="Q3613" s="1"/>
      <c r="R3613" s="1"/>
      <c r="S3613" s="1"/>
      <c r="T3613" s="1"/>
      <c r="U3613" s="2">
        <f>IFERROR(__xludf.DUMMYFUNCTION("""COMPUTED_VALUE"""),0.0)</f>
        <v>0</v>
      </c>
      <c r="V3613" s="1" t="str">
        <f>IFERROR(__xludf.DUMMYFUNCTION("""COMPUTED_VALUE"""),"#N/A")</f>
        <v>#N/A</v>
      </c>
      <c r="W3613" s="1" t="str">
        <f>IFERROR(__xludf.DUMMYFUNCTION("""COMPUTED_VALUE"""),"#N/A")</f>
        <v>#N/A</v>
      </c>
    </row>
    <row r="3614">
      <c r="O3614" s="1" t="str">
        <f>IFERROR(__xludf.DUMMYFUNCTION("""COMPUTED_VALUE"""),"#VALUE!")</f>
        <v>#VALUE!</v>
      </c>
      <c r="P3614" s="1" t="str">
        <f>IFERROR(__xludf.DUMMYFUNCTION("""COMPUTED_VALUE"""),"#N/A")</f>
        <v>#N/A</v>
      </c>
      <c r="Q3614" s="1"/>
      <c r="R3614" s="1"/>
      <c r="S3614" s="1"/>
      <c r="T3614" s="1"/>
      <c r="U3614" s="2">
        <f>IFERROR(__xludf.DUMMYFUNCTION("""COMPUTED_VALUE"""),0.0)</f>
        <v>0</v>
      </c>
      <c r="V3614" s="1" t="str">
        <f>IFERROR(__xludf.DUMMYFUNCTION("""COMPUTED_VALUE"""),"#N/A")</f>
        <v>#N/A</v>
      </c>
      <c r="W3614" s="1" t="str">
        <f>IFERROR(__xludf.DUMMYFUNCTION("""COMPUTED_VALUE"""),"#N/A")</f>
        <v>#N/A</v>
      </c>
    </row>
    <row r="3615">
      <c r="O3615" s="1" t="str">
        <f>IFERROR(__xludf.DUMMYFUNCTION("""COMPUTED_VALUE"""),"#VALUE!")</f>
        <v>#VALUE!</v>
      </c>
      <c r="P3615" s="1" t="str">
        <f>IFERROR(__xludf.DUMMYFUNCTION("""COMPUTED_VALUE"""),"#N/A")</f>
        <v>#N/A</v>
      </c>
      <c r="Q3615" s="1"/>
      <c r="R3615" s="1"/>
      <c r="S3615" s="1"/>
      <c r="T3615" s="1"/>
      <c r="U3615" s="2">
        <f>IFERROR(__xludf.DUMMYFUNCTION("""COMPUTED_VALUE"""),0.0)</f>
        <v>0</v>
      </c>
      <c r="V3615" s="1" t="str">
        <f>IFERROR(__xludf.DUMMYFUNCTION("""COMPUTED_VALUE"""),"#N/A")</f>
        <v>#N/A</v>
      </c>
      <c r="W3615" s="1" t="str">
        <f>IFERROR(__xludf.DUMMYFUNCTION("""COMPUTED_VALUE"""),"#N/A")</f>
        <v>#N/A</v>
      </c>
    </row>
    <row r="3616">
      <c r="O3616" s="1" t="str">
        <f>IFERROR(__xludf.DUMMYFUNCTION("""COMPUTED_VALUE"""),"#VALUE!")</f>
        <v>#VALUE!</v>
      </c>
      <c r="P3616" s="1" t="str">
        <f>IFERROR(__xludf.DUMMYFUNCTION("""COMPUTED_VALUE"""),"#N/A")</f>
        <v>#N/A</v>
      </c>
      <c r="Q3616" s="1"/>
      <c r="R3616" s="1"/>
      <c r="S3616" s="1"/>
      <c r="T3616" s="1"/>
      <c r="U3616" s="2">
        <f>IFERROR(__xludf.DUMMYFUNCTION("""COMPUTED_VALUE"""),0.0)</f>
        <v>0</v>
      </c>
      <c r="V3616" s="1" t="str">
        <f>IFERROR(__xludf.DUMMYFUNCTION("""COMPUTED_VALUE"""),"#N/A")</f>
        <v>#N/A</v>
      </c>
      <c r="W3616" s="1" t="str">
        <f>IFERROR(__xludf.DUMMYFUNCTION("""COMPUTED_VALUE"""),"#N/A")</f>
        <v>#N/A</v>
      </c>
    </row>
    <row r="3617">
      <c r="O3617" s="1" t="str">
        <f>IFERROR(__xludf.DUMMYFUNCTION("""COMPUTED_VALUE"""),"#VALUE!")</f>
        <v>#VALUE!</v>
      </c>
      <c r="P3617" s="1" t="str">
        <f>IFERROR(__xludf.DUMMYFUNCTION("""COMPUTED_VALUE"""),"#N/A")</f>
        <v>#N/A</v>
      </c>
      <c r="Q3617" s="1"/>
      <c r="R3617" s="1"/>
      <c r="S3617" s="1"/>
      <c r="T3617" s="1"/>
      <c r="U3617" s="2">
        <f>IFERROR(__xludf.DUMMYFUNCTION("""COMPUTED_VALUE"""),0.0)</f>
        <v>0</v>
      </c>
      <c r="V3617" s="1" t="str">
        <f>IFERROR(__xludf.DUMMYFUNCTION("""COMPUTED_VALUE"""),"#N/A")</f>
        <v>#N/A</v>
      </c>
      <c r="W3617" s="1" t="str">
        <f>IFERROR(__xludf.DUMMYFUNCTION("""COMPUTED_VALUE"""),"#N/A")</f>
        <v>#N/A</v>
      </c>
    </row>
    <row r="3618">
      <c r="O3618" s="1" t="str">
        <f>IFERROR(__xludf.DUMMYFUNCTION("""COMPUTED_VALUE"""),"#VALUE!")</f>
        <v>#VALUE!</v>
      </c>
      <c r="P3618" s="1" t="str">
        <f>IFERROR(__xludf.DUMMYFUNCTION("""COMPUTED_VALUE"""),"#N/A")</f>
        <v>#N/A</v>
      </c>
      <c r="Q3618" s="1"/>
      <c r="R3618" s="1"/>
      <c r="S3618" s="1"/>
      <c r="T3618" s="1"/>
      <c r="U3618" s="2">
        <f>IFERROR(__xludf.DUMMYFUNCTION("""COMPUTED_VALUE"""),0.0)</f>
        <v>0</v>
      </c>
      <c r="V3618" s="1" t="str">
        <f>IFERROR(__xludf.DUMMYFUNCTION("""COMPUTED_VALUE"""),"#N/A")</f>
        <v>#N/A</v>
      </c>
      <c r="W3618" s="1" t="str">
        <f>IFERROR(__xludf.DUMMYFUNCTION("""COMPUTED_VALUE"""),"#N/A")</f>
        <v>#N/A</v>
      </c>
    </row>
    <row r="3619">
      <c r="O3619" s="1" t="str">
        <f>IFERROR(__xludf.DUMMYFUNCTION("""COMPUTED_VALUE"""),"#VALUE!")</f>
        <v>#VALUE!</v>
      </c>
      <c r="P3619" s="1" t="str">
        <f>IFERROR(__xludf.DUMMYFUNCTION("""COMPUTED_VALUE"""),"#N/A")</f>
        <v>#N/A</v>
      </c>
      <c r="Q3619" s="1"/>
      <c r="R3619" s="1"/>
      <c r="S3619" s="1"/>
      <c r="T3619" s="1"/>
      <c r="U3619" s="2">
        <f>IFERROR(__xludf.DUMMYFUNCTION("""COMPUTED_VALUE"""),0.0)</f>
        <v>0</v>
      </c>
      <c r="V3619" s="1" t="str">
        <f>IFERROR(__xludf.DUMMYFUNCTION("""COMPUTED_VALUE"""),"#N/A")</f>
        <v>#N/A</v>
      </c>
      <c r="W3619" s="1" t="str">
        <f>IFERROR(__xludf.DUMMYFUNCTION("""COMPUTED_VALUE"""),"#N/A")</f>
        <v>#N/A</v>
      </c>
    </row>
    <row r="3620">
      <c r="O3620" s="1" t="str">
        <f>IFERROR(__xludf.DUMMYFUNCTION("""COMPUTED_VALUE"""),"#VALUE!")</f>
        <v>#VALUE!</v>
      </c>
      <c r="P3620" s="1" t="str">
        <f>IFERROR(__xludf.DUMMYFUNCTION("""COMPUTED_VALUE"""),"#N/A")</f>
        <v>#N/A</v>
      </c>
      <c r="Q3620" s="1"/>
      <c r="R3620" s="1"/>
      <c r="S3620" s="1"/>
      <c r="T3620" s="1"/>
      <c r="U3620" s="2">
        <f>IFERROR(__xludf.DUMMYFUNCTION("""COMPUTED_VALUE"""),0.0)</f>
        <v>0</v>
      </c>
      <c r="V3620" s="1" t="str">
        <f>IFERROR(__xludf.DUMMYFUNCTION("""COMPUTED_VALUE"""),"#N/A")</f>
        <v>#N/A</v>
      </c>
      <c r="W3620" s="1" t="str">
        <f>IFERROR(__xludf.DUMMYFUNCTION("""COMPUTED_VALUE"""),"#N/A")</f>
        <v>#N/A</v>
      </c>
    </row>
    <row r="3621">
      <c r="O3621" s="1" t="str">
        <f>IFERROR(__xludf.DUMMYFUNCTION("""COMPUTED_VALUE"""),"#VALUE!")</f>
        <v>#VALUE!</v>
      </c>
      <c r="P3621" s="1" t="str">
        <f>IFERROR(__xludf.DUMMYFUNCTION("""COMPUTED_VALUE"""),"#N/A")</f>
        <v>#N/A</v>
      </c>
      <c r="Q3621" s="1"/>
      <c r="R3621" s="1"/>
      <c r="S3621" s="1"/>
      <c r="T3621" s="1"/>
      <c r="U3621" s="2">
        <f>IFERROR(__xludf.DUMMYFUNCTION("""COMPUTED_VALUE"""),0.0)</f>
        <v>0</v>
      </c>
      <c r="V3621" s="1" t="str">
        <f>IFERROR(__xludf.DUMMYFUNCTION("""COMPUTED_VALUE"""),"#N/A")</f>
        <v>#N/A</v>
      </c>
      <c r="W3621" s="1" t="str">
        <f>IFERROR(__xludf.DUMMYFUNCTION("""COMPUTED_VALUE"""),"#N/A")</f>
        <v>#N/A</v>
      </c>
    </row>
    <row r="3622">
      <c r="O3622" s="1" t="str">
        <f>IFERROR(__xludf.DUMMYFUNCTION("""COMPUTED_VALUE"""),"#VALUE!")</f>
        <v>#VALUE!</v>
      </c>
      <c r="P3622" s="1" t="str">
        <f>IFERROR(__xludf.DUMMYFUNCTION("""COMPUTED_VALUE"""),"#N/A")</f>
        <v>#N/A</v>
      </c>
      <c r="Q3622" s="1"/>
      <c r="R3622" s="1"/>
      <c r="S3622" s="1"/>
      <c r="T3622" s="1"/>
      <c r="U3622" s="2">
        <f>IFERROR(__xludf.DUMMYFUNCTION("""COMPUTED_VALUE"""),0.0)</f>
        <v>0</v>
      </c>
      <c r="V3622" s="1" t="str">
        <f>IFERROR(__xludf.DUMMYFUNCTION("""COMPUTED_VALUE"""),"#N/A")</f>
        <v>#N/A</v>
      </c>
      <c r="W3622" s="1" t="str">
        <f>IFERROR(__xludf.DUMMYFUNCTION("""COMPUTED_VALUE"""),"#N/A")</f>
        <v>#N/A</v>
      </c>
    </row>
    <row r="3623">
      <c r="O3623" s="1" t="str">
        <f>IFERROR(__xludf.DUMMYFUNCTION("""COMPUTED_VALUE"""),"#VALUE!")</f>
        <v>#VALUE!</v>
      </c>
      <c r="P3623" s="1" t="str">
        <f>IFERROR(__xludf.DUMMYFUNCTION("""COMPUTED_VALUE"""),"#N/A")</f>
        <v>#N/A</v>
      </c>
      <c r="Q3623" s="1"/>
      <c r="R3623" s="1"/>
      <c r="S3623" s="1"/>
      <c r="T3623" s="1"/>
      <c r="U3623" s="2">
        <f>IFERROR(__xludf.DUMMYFUNCTION("""COMPUTED_VALUE"""),0.0)</f>
        <v>0</v>
      </c>
      <c r="V3623" s="1" t="str">
        <f>IFERROR(__xludf.DUMMYFUNCTION("""COMPUTED_VALUE"""),"#N/A")</f>
        <v>#N/A</v>
      </c>
      <c r="W3623" s="1" t="str">
        <f>IFERROR(__xludf.DUMMYFUNCTION("""COMPUTED_VALUE"""),"#N/A")</f>
        <v>#N/A</v>
      </c>
    </row>
    <row r="3624">
      <c r="O3624" s="1" t="str">
        <f>IFERROR(__xludf.DUMMYFUNCTION("""COMPUTED_VALUE"""),"#VALUE!")</f>
        <v>#VALUE!</v>
      </c>
      <c r="P3624" s="1" t="str">
        <f>IFERROR(__xludf.DUMMYFUNCTION("""COMPUTED_VALUE"""),"#N/A")</f>
        <v>#N/A</v>
      </c>
      <c r="Q3624" s="1"/>
      <c r="R3624" s="1"/>
      <c r="S3624" s="1"/>
      <c r="T3624" s="1"/>
      <c r="U3624" s="2">
        <f>IFERROR(__xludf.DUMMYFUNCTION("""COMPUTED_VALUE"""),0.0)</f>
        <v>0</v>
      </c>
      <c r="V3624" s="1" t="str">
        <f>IFERROR(__xludf.DUMMYFUNCTION("""COMPUTED_VALUE"""),"#N/A")</f>
        <v>#N/A</v>
      </c>
      <c r="W3624" s="1" t="str">
        <f>IFERROR(__xludf.DUMMYFUNCTION("""COMPUTED_VALUE"""),"#N/A")</f>
        <v>#N/A</v>
      </c>
    </row>
    <row r="3625">
      <c r="O3625" s="1" t="str">
        <f>IFERROR(__xludf.DUMMYFUNCTION("""COMPUTED_VALUE"""),"#VALUE!")</f>
        <v>#VALUE!</v>
      </c>
      <c r="P3625" s="1" t="str">
        <f>IFERROR(__xludf.DUMMYFUNCTION("""COMPUTED_VALUE"""),"#N/A")</f>
        <v>#N/A</v>
      </c>
      <c r="Q3625" s="1"/>
      <c r="R3625" s="1"/>
      <c r="S3625" s="1"/>
      <c r="T3625" s="1"/>
      <c r="U3625" s="2">
        <f>IFERROR(__xludf.DUMMYFUNCTION("""COMPUTED_VALUE"""),0.0)</f>
        <v>0</v>
      </c>
      <c r="V3625" s="1" t="str">
        <f>IFERROR(__xludf.DUMMYFUNCTION("""COMPUTED_VALUE"""),"#N/A")</f>
        <v>#N/A</v>
      </c>
      <c r="W3625" s="1" t="str">
        <f>IFERROR(__xludf.DUMMYFUNCTION("""COMPUTED_VALUE"""),"#N/A")</f>
        <v>#N/A</v>
      </c>
    </row>
    <row r="3626">
      <c r="O3626" s="1" t="str">
        <f>IFERROR(__xludf.DUMMYFUNCTION("""COMPUTED_VALUE"""),"#VALUE!")</f>
        <v>#VALUE!</v>
      </c>
      <c r="P3626" s="1" t="str">
        <f>IFERROR(__xludf.DUMMYFUNCTION("""COMPUTED_VALUE"""),"#N/A")</f>
        <v>#N/A</v>
      </c>
      <c r="Q3626" s="1"/>
      <c r="R3626" s="1"/>
      <c r="S3626" s="1"/>
      <c r="T3626" s="1"/>
      <c r="U3626" s="2">
        <f>IFERROR(__xludf.DUMMYFUNCTION("""COMPUTED_VALUE"""),0.0)</f>
        <v>0</v>
      </c>
      <c r="V3626" s="1" t="str">
        <f>IFERROR(__xludf.DUMMYFUNCTION("""COMPUTED_VALUE"""),"#N/A")</f>
        <v>#N/A</v>
      </c>
      <c r="W3626" s="1" t="str">
        <f>IFERROR(__xludf.DUMMYFUNCTION("""COMPUTED_VALUE"""),"#N/A")</f>
        <v>#N/A</v>
      </c>
    </row>
    <row r="3627">
      <c r="O3627" s="1" t="str">
        <f>IFERROR(__xludf.DUMMYFUNCTION("""COMPUTED_VALUE"""),"#VALUE!")</f>
        <v>#VALUE!</v>
      </c>
      <c r="P3627" s="1" t="str">
        <f>IFERROR(__xludf.DUMMYFUNCTION("""COMPUTED_VALUE"""),"#N/A")</f>
        <v>#N/A</v>
      </c>
      <c r="Q3627" s="1"/>
      <c r="R3627" s="1"/>
      <c r="S3627" s="1"/>
      <c r="T3627" s="1"/>
      <c r="U3627" s="2">
        <f>IFERROR(__xludf.DUMMYFUNCTION("""COMPUTED_VALUE"""),0.0)</f>
        <v>0</v>
      </c>
      <c r="V3627" s="1" t="str">
        <f>IFERROR(__xludf.DUMMYFUNCTION("""COMPUTED_VALUE"""),"#N/A")</f>
        <v>#N/A</v>
      </c>
      <c r="W3627" s="1" t="str">
        <f>IFERROR(__xludf.DUMMYFUNCTION("""COMPUTED_VALUE"""),"#N/A")</f>
        <v>#N/A</v>
      </c>
    </row>
    <row r="3628">
      <c r="O3628" s="1" t="str">
        <f>IFERROR(__xludf.DUMMYFUNCTION("""COMPUTED_VALUE"""),"#VALUE!")</f>
        <v>#VALUE!</v>
      </c>
      <c r="P3628" s="1" t="str">
        <f>IFERROR(__xludf.DUMMYFUNCTION("""COMPUTED_VALUE"""),"#N/A")</f>
        <v>#N/A</v>
      </c>
      <c r="Q3628" s="1"/>
      <c r="R3628" s="1"/>
      <c r="S3628" s="1"/>
      <c r="T3628" s="1"/>
      <c r="U3628" s="2">
        <f>IFERROR(__xludf.DUMMYFUNCTION("""COMPUTED_VALUE"""),0.0)</f>
        <v>0</v>
      </c>
      <c r="V3628" s="1" t="str">
        <f>IFERROR(__xludf.DUMMYFUNCTION("""COMPUTED_VALUE"""),"#N/A")</f>
        <v>#N/A</v>
      </c>
      <c r="W3628" s="1" t="str">
        <f>IFERROR(__xludf.DUMMYFUNCTION("""COMPUTED_VALUE"""),"#N/A")</f>
        <v>#N/A</v>
      </c>
    </row>
    <row r="3629">
      <c r="O3629" s="1" t="str">
        <f>IFERROR(__xludf.DUMMYFUNCTION("""COMPUTED_VALUE"""),"#VALUE!")</f>
        <v>#VALUE!</v>
      </c>
      <c r="P3629" s="1" t="str">
        <f>IFERROR(__xludf.DUMMYFUNCTION("""COMPUTED_VALUE"""),"#N/A")</f>
        <v>#N/A</v>
      </c>
      <c r="Q3629" s="1"/>
      <c r="R3629" s="1"/>
      <c r="S3629" s="1"/>
      <c r="T3629" s="1"/>
      <c r="U3629" s="2">
        <f>IFERROR(__xludf.DUMMYFUNCTION("""COMPUTED_VALUE"""),0.0)</f>
        <v>0</v>
      </c>
      <c r="V3629" s="1" t="str">
        <f>IFERROR(__xludf.DUMMYFUNCTION("""COMPUTED_VALUE"""),"#N/A")</f>
        <v>#N/A</v>
      </c>
      <c r="W3629" s="1" t="str">
        <f>IFERROR(__xludf.DUMMYFUNCTION("""COMPUTED_VALUE"""),"#N/A")</f>
        <v>#N/A</v>
      </c>
    </row>
    <row r="3630">
      <c r="O3630" s="1" t="str">
        <f>IFERROR(__xludf.DUMMYFUNCTION("""COMPUTED_VALUE"""),"#VALUE!")</f>
        <v>#VALUE!</v>
      </c>
      <c r="P3630" s="1" t="str">
        <f>IFERROR(__xludf.DUMMYFUNCTION("""COMPUTED_VALUE"""),"#N/A")</f>
        <v>#N/A</v>
      </c>
      <c r="Q3630" s="1"/>
      <c r="R3630" s="1"/>
      <c r="S3630" s="1"/>
      <c r="T3630" s="1"/>
      <c r="U3630" s="2">
        <f>IFERROR(__xludf.DUMMYFUNCTION("""COMPUTED_VALUE"""),0.0)</f>
        <v>0</v>
      </c>
      <c r="V3630" s="1" t="str">
        <f>IFERROR(__xludf.DUMMYFUNCTION("""COMPUTED_VALUE"""),"#N/A")</f>
        <v>#N/A</v>
      </c>
      <c r="W3630" s="1" t="str">
        <f>IFERROR(__xludf.DUMMYFUNCTION("""COMPUTED_VALUE"""),"#N/A")</f>
        <v>#N/A</v>
      </c>
    </row>
    <row r="3631">
      <c r="O3631" s="1" t="str">
        <f>IFERROR(__xludf.DUMMYFUNCTION("""COMPUTED_VALUE"""),"#VALUE!")</f>
        <v>#VALUE!</v>
      </c>
      <c r="P3631" s="1" t="str">
        <f>IFERROR(__xludf.DUMMYFUNCTION("""COMPUTED_VALUE"""),"#N/A")</f>
        <v>#N/A</v>
      </c>
      <c r="Q3631" s="1"/>
      <c r="R3631" s="1"/>
      <c r="S3631" s="1"/>
      <c r="T3631" s="1"/>
      <c r="U3631" s="2">
        <f>IFERROR(__xludf.DUMMYFUNCTION("""COMPUTED_VALUE"""),0.0)</f>
        <v>0</v>
      </c>
      <c r="V3631" s="1" t="str">
        <f>IFERROR(__xludf.DUMMYFUNCTION("""COMPUTED_VALUE"""),"#N/A")</f>
        <v>#N/A</v>
      </c>
      <c r="W3631" s="1" t="str">
        <f>IFERROR(__xludf.DUMMYFUNCTION("""COMPUTED_VALUE"""),"#N/A")</f>
        <v>#N/A</v>
      </c>
    </row>
    <row r="3632">
      <c r="O3632" s="1" t="str">
        <f>IFERROR(__xludf.DUMMYFUNCTION("""COMPUTED_VALUE"""),"#VALUE!")</f>
        <v>#VALUE!</v>
      </c>
      <c r="P3632" s="1" t="str">
        <f>IFERROR(__xludf.DUMMYFUNCTION("""COMPUTED_VALUE"""),"#N/A")</f>
        <v>#N/A</v>
      </c>
      <c r="Q3632" s="1"/>
      <c r="R3632" s="1"/>
      <c r="S3632" s="1"/>
      <c r="T3632" s="1"/>
      <c r="U3632" s="2">
        <f>IFERROR(__xludf.DUMMYFUNCTION("""COMPUTED_VALUE"""),0.0)</f>
        <v>0</v>
      </c>
      <c r="V3632" s="1" t="str">
        <f>IFERROR(__xludf.DUMMYFUNCTION("""COMPUTED_VALUE"""),"#N/A")</f>
        <v>#N/A</v>
      </c>
      <c r="W3632" s="1" t="str">
        <f>IFERROR(__xludf.DUMMYFUNCTION("""COMPUTED_VALUE"""),"#N/A")</f>
        <v>#N/A</v>
      </c>
    </row>
    <row r="3633">
      <c r="O3633" s="1" t="str">
        <f>IFERROR(__xludf.DUMMYFUNCTION("""COMPUTED_VALUE"""),"#VALUE!")</f>
        <v>#VALUE!</v>
      </c>
      <c r="P3633" s="1" t="str">
        <f>IFERROR(__xludf.DUMMYFUNCTION("""COMPUTED_VALUE"""),"#N/A")</f>
        <v>#N/A</v>
      </c>
      <c r="Q3633" s="1"/>
      <c r="R3633" s="1"/>
      <c r="S3633" s="1"/>
      <c r="T3633" s="1"/>
      <c r="U3633" s="2">
        <f>IFERROR(__xludf.DUMMYFUNCTION("""COMPUTED_VALUE"""),0.0)</f>
        <v>0</v>
      </c>
      <c r="V3633" s="1" t="str">
        <f>IFERROR(__xludf.DUMMYFUNCTION("""COMPUTED_VALUE"""),"#N/A")</f>
        <v>#N/A</v>
      </c>
      <c r="W3633" s="1" t="str">
        <f>IFERROR(__xludf.DUMMYFUNCTION("""COMPUTED_VALUE"""),"#N/A")</f>
        <v>#N/A</v>
      </c>
    </row>
    <row r="3634">
      <c r="O3634" s="1" t="str">
        <f>IFERROR(__xludf.DUMMYFUNCTION("""COMPUTED_VALUE"""),"#VALUE!")</f>
        <v>#VALUE!</v>
      </c>
      <c r="P3634" s="1" t="str">
        <f>IFERROR(__xludf.DUMMYFUNCTION("""COMPUTED_VALUE"""),"#N/A")</f>
        <v>#N/A</v>
      </c>
      <c r="Q3634" s="1"/>
      <c r="R3634" s="1"/>
      <c r="S3634" s="1"/>
      <c r="T3634" s="1"/>
      <c r="U3634" s="2">
        <f>IFERROR(__xludf.DUMMYFUNCTION("""COMPUTED_VALUE"""),0.0)</f>
        <v>0</v>
      </c>
      <c r="V3634" s="1" t="str">
        <f>IFERROR(__xludf.DUMMYFUNCTION("""COMPUTED_VALUE"""),"#N/A")</f>
        <v>#N/A</v>
      </c>
      <c r="W3634" s="1" t="str">
        <f>IFERROR(__xludf.DUMMYFUNCTION("""COMPUTED_VALUE"""),"#N/A")</f>
        <v>#N/A</v>
      </c>
    </row>
    <row r="3635">
      <c r="O3635" s="1" t="str">
        <f>IFERROR(__xludf.DUMMYFUNCTION("""COMPUTED_VALUE"""),"#VALUE!")</f>
        <v>#VALUE!</v>
      </c>
      <c r="P3635" s="1" t="str">
        <f>IFERROR(__xludf.DUMMYFUNCTION("""COMPUTED_VALUE"""),"#N/A")</f>
        <v>#N/A</v>
      </c>
      <c r="Q3635" s="1"/>
      <c r="R3635" s="1"/>
      <c r="S3635" s="1"/>
      <c r="T3635" s="1"/>
      <c r="U3635" s="2">
        <f>IFERROR(__xludf.DUMMYFUNCTION("""COMPUTED_VALUE"""),0.0)</f>
        <v>0</v>
      </c>
      <c r="V3635" s="1" t="str">
        <f>IFERROR(__xludf.DUMMYFUNCTION("""COMPUTED_VALUE"""),"#N/A")</f>
        <v>#N/A</v>
      </c>
      <c r="W3635" s="1" t="str">
        <f>IFERROR(__xludf.DUMMYFUNCTION("""COMPUTED_VALUE"""),"#N/A")</f>
        <v>#N/A</v>
      </c>
    </row>
    <row r="3636">
      <c r="O3636" s="1" t="str">
        <f>IFERROR(__xludf.DUMMYFUNCTION("""COMPUTED_VALUE"""),"#VALUE!")</f>
        <v>#VALUE!</v>
      </c>
      <c r="P3636" s="1" t="str">
        <f>IFERROR(__xludf.DUMMYFUNCTION("""COMPUTED_VALUE"""),"#N/A")</f>
        <v>#N/A</v>
      </c>
      <c r="Q3636" s="1"/>
      <c r="R3636" s="1"/>
      <c r="S3636" s="1"/>
      <c r="T3636" s="1"/>
      <c r="U3636" s="2">
        <f>IFERROR(__xludf.DUMMYFUNCTION("""COMPUTED_VALUE"""),0.0)</f>
        <v>0</v>
      </c>
      <c r="V3636" s="1" t="str">
        <f>IFERROR(__xludf.DUMMYFUNCTION("""COMPUTED_VALUE"""),"#N/A")</f>
        <v>#N/A</v>
      </c>
      <c r="W3636" s="1" t="str">
        <f>IFERROR(__xludf.DUMMYFUNCTION("""COMPUTED_VALUE"""),"#N/A")</f>
        <v>#N/A</v>
      </c>
    </row>
    <row r="3637">
      <c r="O3637" s="1" t="str">
        <f>IFERROR(__xludf.DUMMYFUNCTION("""COMPUTED_VALUE"""),"#VALUE!")</f>
        <v>#VALUE!</v>
      </c>
      <c r="P3637" s="1" t="str">
        <f>IFERROR(__xludf.DUMMYFUNCTION("""COMPUTED_VALUE"""),"#N/A")</f>
        <v>#N/A</v>
      </c>
      <c r="Q3637" s="1"/>
      <c r="R3637" s="1"/>
      <c r="S3637" s="1"/>
      <c r="T3637" s="1"/>
      <c r="U3637" s="2">
        <f>IFERROR(__xludf.DUMMYFUNCTION("""COMPUTED_VALUE"""),0.0)</f>
        <v>0</v>
      </c>
      <c r="V3637" s="1" t="str">
        <f>IFERROR(__xludf.DUMMYFUNCTION("""COMPUTED_VALUE"""),"#N/A")</f>
        <v>#N/A</v>
      </c>
      <c r="W3637" s="1" t="str">
        <f>IFERROR(__xludf.DUMMYFUNCTION("""COMPUTED_VALUE"""),"#N/A")</f>
        <v>#N/A</v>
      </c>
    </row>
    <row r="3638">
      <c r="O3638" s="1" t="str">
        <f>IFERROR(__xludf.DUMMYFUNCTION("""COMPUTED_VALUE"""),"#VALUE!")</f>
        <v>#VALUE!</v>
      </c>
      <c r="P3638" s="1" t="str">
        <f>IFERROR(__xludf.DUMMYFUNCTION("""COMPUTED_VALUE"""),"#N/A")</f>
        <v>#N/A</v>
      </c>
      <c r="Q3638" s="1"/>
      <c r="R3638" s="1"/>
      <c r="S3638" s="1"/>
      <c r="T3638" s="1"/>
      <c r="U3638" s="2">
        <f>IFERROR(__xludf.DUMMYFUNCTION("""COMPUTED_VALUE"""),0.0)</f>
        <v>0</v>
      </c>
      <c r="V3638" s="1" t="str">
        <f>IFERROR(__xludf.DUMMYFUNCTION("""COMPUTED_VALUE"""),"#N/A")</f>
        <v>#N/A</v>
      </c>
      <c r="W3638" s="1" t="str">
        <f>IFERROR(__xludf.DUMMYFUNCTION("""COMPUTED_VALUE"""),"#N/A")</f>
        <v>#N/A</v>
      </c>
    </row>
    <row r="3639">
      <c r="O3639" s="1" t="str">
        <f>IFERROR(__xludf.DUMMYFUNCTION("""COMPUTED_VALUE"""),"#VALUE!")</f>
        <v>#VALUE!</v>
      </c>
      <c r="P3639" s="1" t="str">
        <f>IFERROR(__xludf.DUMMYFUNCTION("""COMPUTED_VALUE"""),"#N/A")</f>
        <v>#N/A</v>
      </c>
      <c r="Q3639" s="1"/>
      <c r="R3639" s="1"/>
      <c r="S3639" s="1"/>
      <c r="T3639" s="1"/>
      <c r="U3639" s="2">
        <f>IFERROR(__xludf.DUMMYFUNCTION("""COMPUTED_VALUE"""),0.0)</f>
        <v>0</v>
      </c>
      <c r="V3639" s="1" t="str">
        <f>IFERROR(__xludf.DUMMYFUNCTION("""COMPUTED_VALUE"""),"#N/A")</f>
        <v>#N/A</v>
      </c>
      <c r="W3639" s="1" t="str">
        <f>IFERROR(__xludf.DUMMYFUNCTION("""COMPUTED_VALUE"""),"#N/A")</f>
        <v>#N/A</v>
      </c>
    </row>
    <row r="3640">
      <c r="O3640" s="1" t="str">
        <f>IFERROR(__xludf.DUMMYFUNCTION("""COMPUTED_VALUE"""),"#VALUE!")</f>
        <v>#VALUE!</v>
      </c>
      <c r="P3640" s="1" t="str">
        <f>IFERROR(__xludf.DUMMYFUNCTION("""COMPUTED_VALUE"""),"#N/A")</f>
        <v>#N/A</v>
      </c>
      <c r="Q3640" s="1"/>
      <c r="R3640" s="1"/>
      <c r="S3640" s="1"/>
      <c r="T3640" s="1"/>
      <c r="U3640" s="2">
        <f>IFERROR(__xludf.DUMMYFUNCTION("""COMPUTED_VALUE"""),0.0)</f>
        <v>0</v>
      </c>
      <c r="V3640" s="1" t="str">
        <f>IFERROR(__xludf.DUMMYFUNCTION("""COMPUTED_VALUE"""),"#N/A")</f>
        <v>#N/A</v>
      </c>
      <c r="W3640" s="1" t="str">
        <f>IFERROR(__xludf.DUMMYFUNCTION("""COMPUTED_VALUE"""),"#N/A")</f>
        <v>#N/A</v>
      </c>
    </row>
    <row r="3641">
      <c r="O3641" s="1" t="str">
        <f>IFERROR(__xludf.DUMMYFUNCTION("""COMPUTED_VALUE"""),"#VALUE!")</f>
        <v>#VALUE!</v>
      </c>
      <c r="P3641" s="1" t="str">
        <f>IFERROR(__xludf.DUMMYFUNCTION("""COMPUTED_VALUE"""),"#N/A")</f>
        <v>#N/A</v>
      </c>
      <c r="Q3641" s="1"/>
      <c r="R3641" s="1"/>
      <c r="S3641" s="1"/>
      <c r="T3641" s="1"/>
      <c r="U3641" s="2">
        <f>IFERROR(__xludf.DUMMYFUNCTION("""COMPUTED_VALUE"""),0.0)</f>
        <v>0</v>
      </c>
      <c r="V3641" s="1" t="str">
        <f>IFERROR(__xludf.DUMMYFUNCTION("""COMPUTED_VALUE"""),"#N/A")</f>
        <v>#N/A</v>
      </c>
      <c r="W3641" s="1" t="str">
        <f>IFERROR(__xludf.DUMMYFUNCTION("""COMPUTED_VALUE"""),"#N/A")</f>
        <v>#N/A</v>
      </c>
    </row>
    <row r="3642">
      <c r="O3642" s="1" t="str">
        <f>IFERROR(__xludf.DUMMYFUNCTION("""COMPUTED_VALUE"""),"#VALUE!")</f>
        <v>#VALUE!</v>
      </c>
      <c r="P3642" s="1" t="str">
        <f>IFERROR(__xludf.DUMMYFUNCTION("""COMPUTED_VALUE"""),"#N/A")</f>
        <v>#N/A</v>
      </c>
      <c r="Q3642" s="1"/>
      <c r="R3642" s="1"/>
      <c r="S3642" s="1"/>
      <c r="T3642" s="1"/>
      <c r="U3642" s="2">
        <f>IFERROR(__xludf.DUMMYFUNCTION("""COMPUTED_VALUE"""),0.0)</f>
        <v>0</v>
      </c>
      <c r="V3642" s="1" t="str">
        <f>IFERROR(__xludf.DUMMYFUNCTION("""COMPUTED_VALUE"""),"#N/A")</f>
        <v>#N/A</v>
      </c>
      <c r="W3642" s="1" t="str">
        <f>IFERROR(__xludf.DUMMYFUNCTION("""COMPUTED_VALUE"""),"#N/A")</f>
        <v>#N/A</v>
      </c>
    </row>
    <row r="3643">
      <c r="O3643" s="1" t="str">
        <f>IFERROR(__xludf.DUMMYFUNCTION("""COMPUTED_VALUE"""),"#VALUE!")</f>
        <v>#VALUE!</v>
      </c>
      <c r="P3643" s="1" t="str">
        <f>IFERROR(__xludf.DUMMYFUNCTION("""COMPUTED_VALUE"""),"#N/A")</f>
        <v>#N/A</v>
      </c>
      <c r="Q3643" s="1"/>
      <c r="R3643" s="1"/>
      <c r="S3643" s="1"/>
      <c r="T3643" s="1"/>
      <c r="U3643" s="2">
        <f>IFERROR(__xludf.DUMMYFUNCTION("""COMPUTED_VALUE"""),0.0)</f>
        <v>0</v>
      </c>
      <c r="V3643" s="1" t="str">
        <f>IFERROR(__xludf.DUMMYFUNCTION("""COMPUTED_VALUE"""),"#N/A")</f>
        <v>#N/A</v>
      </c>
      <c r="W3643" s="1" t="str">
        <f>IFERROR(__xludf.DUMMYFUNCTION("""COMPUTED_VALUE"""),"#N/A")</f>
        <v>#N/A</v>
      </c>
    </row>
    <row r="3644">
      <c r="O3644" s="1" t="str">
        <f>IFERROR(__xludf.DUMMYFUNCTION("""COMPUTED_VALUE"""),"#VALUE!")</f>
        <v>#VALUE!</v>
      </c>
      <c r="P3644" s="1" t="str">
        <f>IFERROR(__xludf.DUMMYFUNCTION("""COMPUTED_VALUE"""),"#N/A")</f>
        <v>#N/A</v>
      </c>
      <c r="Q3644" s="1"/>
      <c r="R3644" s="1"/>
      <c r="S3644" s="1"/>
      <c r="T3644" s="1"/>
      <c r="U3644" s="2">
        <f>IFERROR(__xludf.DUMMYFUNCTION("""COMPUTED_VALUE"""),0.0)</f>
        <v>0</v>
      </c>
      <c r="V3644" s="1" t="str">
        <f>IFERROR(__xludf.DUMMYFUNCTION("""COMPUTED_VALUE"""),"#N/A")</f>
        <v>#N/A</v>
      </c>
      <c r="W3644" s="1" t="str">
        <f>IFERROR(__xludf.DUMMYFUNCTION("""COMPUTED_VALUE"""),"#N/A")</f>
        <v>#N/A</v>
      </c>
    </row>
    <row r="3645">
      <c r="O3645" s="1" t="str">
        <f>IFERROR(__xludf.DUMMYFUNCTION("""COMPUTED_VALUE"""),"#VALUE!")</f>
        <v>#VALUE!</v>
      </c>
      <c r="P3645" s="1" t="str">
        <f>IFERROR(__xludf.DUMMYFUNCTION("""COMPUTED_VALUE"""),"#N/A")</f>
        <v>#N/A</v>
      </c>
      <c r="Q3645" s="1"/>
      <c r="R3645" s="1"/>
      <c r="S3645" s="1"/>
      <c r="T3645" s="1"/>
      <c r="U3645" s="2">
        <f>IFERROR(__xludf.DUMMYFUNCTION("""COMPUTED_VALUE"""),0.0)</f>
        <v>0</v>
      </c>
      <c r="V3645" s="1" t="str">
        <f>IFERROR(__xludf.DUMMYFUNCTION("""COMPUTED_VALUE"""),"#N/A")</f>
        <v>#N/A</v>
      </c>
      <c r="W3645" s="1" t="str">
        <f>IFERROR(__xludf.DUMMYFUNCTION("""COMPUTED_VALUE"""),"#N/A")</f>
        <v>#N/A</v>
      </c>
    </row>
    <row r="3646">
      <c r="O3646" s="1" t="str">
        <f>IFERROR(__xludf.DUMMYFUNCTION("""COMPUTED_VALUE"""),"#VALUE!")</f>
        <v>#VALUE!</v>
      </c>
      <c r="P3646" s="1" t="str">
        <f>IFERROR(__xludf.DUMMYFUNCTION("""COMPUTED_VALUE"""),"#N/A")</f>
        <v>#N/A</v>
      </c>
      <c r="Q3646" s="1"/>
      <c r="R3646" s="1"/>
      <c r="S3646" s="1"/>
      <c r="T3646" s="1"/>
      <c r="U3646" s="2">
        <f>IFERROR(__xludf.DUMMYFUNCTION("""COMPUTED_VALUE"""),0.0)</f>
        <v>0</v>
      </c>
      <c r="V3646" s="1" t="str">
        <f>IFERROR(__xludf.DUMMYFUNCTION("""COMPUTED_VALUE"""),"#N/A")</f>
        <v>#N/A</v>
      </c>
      <c r="W3646" s="1" t="str">
        <f>IFERROR(__xludf.DUMMYFUNCTION("""COMPUTED_VALUE"""),"#N/A")</f>
        <v>#N/A</v>
      </c>
    </row>
    <row r="3647">
      <c r="O3647" s="1" t="str">
        <f>IFERROR(__xludf.DUMMYFUNCTION("""COMPUTED_VALUE"""),"#VALUE!")</f>
        <v>#VALUE!</v>
      </c>
      <c r="P3647" s="1" t="str">
        <f>IFERROR(__xludf.DUMMYFUNCTION("""COMPUTED_VALUE"""),"#N/A")</f>
        <v>#N/A</v>
      </c>
      <c r="Q3647" s="1"/>
      <c r="R3647" s="1"/>
      <c r="S3647" s="1"/>
      <c r="T3647" s="1"/>
      <c r="U3647" s="2">
        <f>IFERROR(__xludf.DUMMYFUNCTION("""COMPUTED_VALUE"""),0.0)</f>
        <v>0</v>
      </c>
      <c r="V3647" s="1" t="str">
        <f>IFERROR(__xludf.DUMMYFUNCTION("""COMPUTED_VALUE"""),"#N/A")</f>
        <v>#N/A</v>
      </c>
      <c r="W3647" s="1" t="str">
        <f>IFERROR(__xludf.DUMMYFUNCTION("""COMPUTED_VALUE"""),"#N/A")</f>
        <v>#N/A</v>
      </c>
    </row>
    <row r="3648">
      <c r="O3648" s="1" t="str">
        <f>IFERROR(__xludf.DUMMYFUNCTION("""COMPUTED_VALUE"""),"#VALUE!")</f>
        <v>#VALUE!</v>
      </c>
      <c r="P3648" s="1" t="str">
        <f>IFERROR(__xludf.DUMMYFUNCTION("""COMPUTED_VALUE"""),"#N/A")</f>
        <v>#N/A</v>
      </c>
      <c r="Q3648" s="1"/>
      <c r="R3648" s="1"/>
      <c r="S3648" s="1"/>
      <c r="T3648" s="1"/>
      <c r="U3648" s="2">
        <f>IFERROR(__xludf.DUMMYFUNCTION("""COMPUTED_VALUE"""),0.0)</f>
        <v>0</v>
      </c>
      <c r="V3648" s="1" t="str">
        <f>IFERROR(__xludf.DUMMYFUNCTION("""COMPUTED_VALUE"""),"#N/A")</f>
        <v>#N/A</v>
      </c>
      <c r="W3648" s="1" t="str">
        <f>IFERROR(__xludf.DUMMYFUNCTION("""COMPUTED_VALUE"""),"#N/A")</f>
        <v>#N/A</v>
      </c>
    </row>
    <row r="3649">
      <c r="O3649" s="1" t="str">
        <f>IFERROR(__xludf.DUMMYFUNCTION("""COMPUTED_VALUE"""),"#VALUE!")</f>
        <v>#VALUE!</v>
      </c>
      <c r="P3649" s="1" t="str">
        <f>IFERROR(__xludf.DUMMYFUNCTION("""COMPUTED_VALUE"""),"#N/A")</f>
        <v>#N/A</v>
      </c>
      <c r="Q3649" s="1"/>
      <c r="R3649" s="1"/>
      <c r="S3649" s="1"/>
      <c r="T3649" s="1"/>
      <c r="U3649" s="2">
        <f>IFERROR(__xludf.DUMMYFUNCTION("""COMPUTED_VALUE"""),0.0)</f>
        <v>0</v>
      </c>
      <c r="V3649" s="1" t="str">
        <f>IFERROR(__xludf.DUMMYFUNCTION("""COMPUTED_VALUE"""),"#N/A")</f>
        <v>#N/A</v>
      </c>
      <c r="W3649" s="1" t="str">
        <f>IFERROR(__xludf.DUMMYFUNCTION("""COMPUTED_VALUE"""),"#N/A")</f>
        <v>#N/A</v>
      </c>
    </row>
    <row r="3650">
      <c r="O3650" s="1" t="str">
        <f>IFERROR(__xludf.DUMMYFUNCTION("""COMPUTED_VALUE"""),"#VALUE!")</f>
        <v>#VALUE!</v>
      </c>
      <c r="P3650" s="1" t="str">
        <f>IFERROR(__xludf.DUMMYFUNCTION("""COMPUTED_VALUE"""),"#N/A")</f>
        <v>#N/A</v>
      </c>
      <c r="Q3650" s="1"/>
      <c r="R3650" s="1"/>
      <c r="S3650" s="1"/>
      <c r="T3650" s="1"/>
      <c r="U3650" s="2">
        <f>IFERROR(__xludf.DUMMYFUNCTION("""COMPUTED_VALUE"""),0.0)</f>
        <v>0</v>
      </c>
      <c r="V3650" s="1" t="str">
        <f>IFERROR(__xludf.DUMMYFUNCTION("""COMPUTED_VALUE"""),"#N/A")</f>
        <v>#N/A</v>
      </c>
      <c r="W3650" s="1" t="str">
        <f>IFERROR(__xludf.DUMMYFUNCTION("""COMPUTED_VALUE"""),"#N/A")</f>
        <v>#N/A</v>
      </c>
    </row>
    <row r="3651">
      <c r="O3651" s="1" t="str">
        <f>IFERROR(__xludf.DUMMYFUNCTION("""COMPUTED_VALUE"""),"#VALUE!")</f>
        <v>#VALUE!</v>
      </c>
      <c r="P3651" s="1" t="str">
        <f>IFERROR(__xludf.DUMMYFUNCTION("""COMPUTED_VALUE"""),"#N/A")</f>
        <v>#N/A</v>
      </c>
      <c r="Q3651" s="1"/>
      <c r="R3651" s="1"/>
      <c r="S3651" s="1"/>
      <c r="T3651" s="1"/>
      <c r="U3651" s="2">
        <f>IFERROR(__xludf.DUMMYFUNCTION("""COMPUTED_VALUE"""),0.0)</f>
        <v>0</v>
      </c>
      <c r="V3651" s="1" t="str">
        <f>IFERROR(__xludf.DUMMYFUNCTION("""COMPUTED_VALUE"""),"#N/A")</f>
        <v>#N/A</v>
      </c>
      <c r="W3651" s="1" t="str">
        <f>IFERROR(__xludf.DUMMYFUNCTION("""COMPUTED_VALUE"""),"#N/A")</f>
        <v>#N/A</v>
      </c>
    </row>
    <row r="3652">
      <c r="O3652" s="1" t="str">
        <f>IFERROR(__xludf.DUMMYFUNCTION("""COMPUTED_VALUE"""),"#VALUE!")</f>
        <v>#VALUE!</v>
      </c>
      <c r="P3652" s="1" t="str">
        <f>IFERROR(__xludf.DUMMYFUNCTION("""COMPUTED_VALUE"""),"#N/A")</f>
        <v>#N/A</v>
      </c>
      <c r="Q3652" s="1"/>
      <c r="R3652" s="1"/>
      <c r="S3652" s="1"/>
      <c r="T3652" s="1"/>
      <c r="U3652" s="2">
        <f>IFERROR(__xludf.DUMMYFUNCTION("""COMPUTED_VALUE"""),0.0)</f>
        <v>0</v>
      </c>
      <c r="V3652" s="1" t="str">
        <f>IFERROR(__xludf.DUMMYFUNCTION("""COMPUTED_VALUE"""),"#N/A")</f>
        <v>#N/A</v>
      </c>
      <c r="W3652" s="1" t="str">
        <f>IFERROR(__xludf.DUMMYFUNCTION("""COMPUTED_VALUE"""),"#N/A")</f>
        <v>#N/A</v>
      </c>
    </row>
    <row r="3653">
      <c r="O3653" s="1" t="str">
        <f>IFERROR(__xludf.DUMMYFUNCTION("""COMPUTED_VALUE"""),"#VALUE!")</f>
        <v>#VALUE!</v>
      </c>
      <c r="P3653" s="1" t="str">
        <f>IFERROR(__xludf.DUMMYFUNCTION("""COMPUTED_VALUE"""),"#N/A")</f>
        <v>#N/A</v>
      </c>
      <c r="Q3653" s="1"/>
      <c r="R3653" s="1"/>
      <c r="S3653" s="1"/>
      <c r="T3653" s="1"/>
      <c r="U3653" s="2">
        <f>IFERROR(__xludf.DUMMYFUNCTION("""COMPUTED_VALUE"""),0.0)</f>
        <v>0</v>
      </c>
      <c r="V3653" s="1" t="str">
        <f>IFERROR(__xludf.DUMMYFUNCTION("""COMPUTED_VALUE"""),"#N/A")</f>
        <v>#N/A</v>
      </c>
      <c r="W3653" s="1" t="str">
        <f>IFERROR(__xludf.DUMMYFUNCTION("""COMPUTED_VALUE"""),"#N/A")</f>
        <v>#N/A</v>
      </c>
    </row>
    <row r="3654">
      <c r="O3654" s="1" t="str">
        <f>IFERROR(__xludf.DUMMYFUNCTION("""COMPUTED_VALUE"""),"#VALUE!")</f>
        <v>#VALUE!</v>
      </c>
      <c r="P3654" s="1" t="str">
        <f>IFERROR(__xludf.DUMMYFUNCTION("""COMPUTED_VALUE"""),"#N/A")</f>
        <v>#N/A</v>
      </c>
      <c r="Q3654" s="1"/>
      <c r="R3654" s="1"/>
      <c r="S3654" s="1"/>
      <c r="T3654" s="1"/>
      <c r="U3654" s="2">
        <f>IFERROR(__xludf.DUMMYFUNCTION("""COMPUTED_VALUE"""),0.0)</f>
        <v>0</v>
      </c>
      <c r="V3654" s="1" t="str">
        <f>IFERROR(__xludf.DUMMYFUNCTION("""COMPUTED_VALUE"""),"#N/A")</f>
        <v>#N/A</v>
      </c>
      <c r="W3654" s="1" t="str">
        <f>IFERROR(__xludf.DUMMYFUNCTION("""COMPUTED_VALUE"""),"#N/A")</f>
        <v>#N/A</v>
      </c>
    </row>
    <row r="3655">
      <c r="O3655" s="1" t="str">
        <f>IFERROR(__xludf.DUMMYFUNCTION("""COMPUTED_VALUE"""),"#VALUE!")</f>
        <v>#VALUE!</v>
      </c>
      <c r="P3655" s="1" t="str">
        <f>IFERROR(__xludf.DUMMYFUNCTION("""COMPUTED_VALUE"""),"#N/A")</f>
        <v>#N/A</v>
      </c>
      <c r="Q3655" s="1"/>
      <c r="R3655" s="1"/>
      <c r="S3655" s="1"/>
      <c r="T3655" s="1"/>
      <c r="U3655" s="2">
        <f>IFERROR(__xludf.DUMMYFUNCTION("""COMPUTED_VALUE"""),0.0)</f>
        <v>0</v>
      </c>
      <c r="V3655" s="1" t="str">
        <f>IFERROR(__xludf.DUMMYFUNCTION("""COMPUTED_VALUE"""),"#N/A")</f>
        <v>#N/A</v>
      </c>
      <c r="W3655" s="1" t="str">
        <f>IFERROR(__xludf.DUMMYFUNCTION("""COMPUTED_VALUE"""),"#N/A")</f>
        <v>#N/A</v>
      </c>
    </row>
    <row r="3656">
      <c r="O3656" s="1" t="str">
        <f>IFERROR(__xludf.DUMMYFUNCTION("""COMPUTED_VALUE"""),"#VALUE!")</f>
        <v>#VALUE!</v>
      </c>
      <c r="P3656" s="1" t="str">
        <f>IFERROR(__xludf.DUMMYFUNCTION("""COMPUTED_VALUE"""),"#N/A")</f>
        <v>#N/A</v>
      </c>
      <c r="Q3656" s="1"/>
      <c r="R3656" s="1"/>
      <c r="S3656" s="1"/>
      <c r="T3656" s="1"/>
      <c r="U3656" s="2">
        <f>IFERROR(__xludf.DUMMYFUNCTION("""COMPUTED_VALUE"""),0.0)</f>
        <v>0</v>
      </c>
      <c r="V3656" s="1" t="str">
        <f>IFERROR(__xludf.DUMMYFUNCTION("""COMPUTED_VALUE"""),"#N/A")</f>
        <v>#N/A</v>
      </c>
      <c r="W3656" s="1" t="str">
        <f>IFERROR(__xludf.DUMMYFUNCTION("""COMPUTED_VALUE"""),"#N/A")</f>
        <v>#N/A</v>
      </c>
    </row>
    <row r="3657">
      <c r="O3657" s="1" t="str">
        <f>IFERROR(__xludf.DUMMYFUNCTION("""COMPUTED_VALUE"""),"#VALUE!")</f>
        <v>#VALUE!</v>
      </c>
      <c r="P3657" s="1" t="str">
        <f>IFERROR(__xludf.DUMMYFUNCTION("""COMPUTED_VALUE"""),"#N/A")</f>
        <v>#N/A</v>
      </c>
      <c r="Q3657" s="1"/>
      <c r="R3657" s="1"/>
      <c r="S3657" s="1"/>
      <c r="T3657" s="1"/>
      <c r="U3657" s="2">
        <f>IFERROR(__xludf.DUMMYFUNCTION("""COMPUTED_VALUE"""),0.0)</f>
        <v>0</v>
      </c>
      <c r="V3657" s="1" t="str">
        <f>IFERROR(__xludf.DUMMYFUNCTION("""COMPUTED_VALUE"""),"#N/A")</f>
        <v>#N/A</v>
      </c>
      <c r="W3657" s="1" t="str">
        <f>IFERROR(__xludf.DUMMYFUNCTION("""COMPUTED_VALUE"""),"#N/A")</f>
        <v>#N/A</v>
      </c>
    </row>
    <row r="3658">
      <c r="O3658" s="1" t="str">
        <f>IFERROR(__xludf.DUMMYFUNCTION("""COMPUTED_VALUE"""),"#VALUE!")</f>
        <v>#VALUE!</v>
      </c>
      <c r="P3658" s="1" t="str">
        <f>IFERROR(__xludf.DUMMYFUNCTION("""COMPUTED_VALUE"""),"#N/A")</f>
        <v>#N/A</v>
      </c>
      <c r="Q3658" s="1"/>
      <c r="R3658" s="1"/>
      <c r="S3658" s="1"/>
      <c r="T3658" s="1"/>
      <c r="U3658" s="2">
        <f>IFERROR(__xludf.DUMMYFUNCTION("""COMPUTED_VALUE"""),0.0)</f>
        <v>0</v>
      </c>
      <c r="V3658" s="1" t="str">
        <f>IFERROR(__xludf.DUMMYFUNCTION("""COMPUTED_VALUE"""),"#N/A")</f>
        <v>#N/A</v>
      </c>
      <c r="W3658" s="1" t="str">
        <f>IFERROR(__xludf.DUMMYFUNCTION("""COMPUTED_VALUE"""),"#N/A")</f>
        <v>#N/A</v>
      </c>
    </row>
    <row r="3659">
      <c r="O3659" s="1" t="str">
        <f>IFERROR(__xludf.DUMMYFUNCTION("""COMPUTED_VALUE"""),"#VALUE!")</f>
        <v>#VALUE!</v>
      </c>
      <c r="P3659" s="1" t="str">
        <f>IFERROR(__xludf.DUMMYFUNCTION("""COMPUTED_VALUE"""),"#N/A")</f>
        <v>#N/A</v>
      </c>
      <c r="Q3659" s="1"/>
      <c r="R3659" s="1"/>
      <c r="S3659" s="1"/>
      <c r="T3659" s="1"/>
      <c r="U3659" s="2">
        <f>IFERROR(__xludf.DUMMYFUNCTION("""COMPUTED_VALUE"""),0.0)</f>
        <v>0</v>
      </c>
      <c r="V3659" s="1" t="str">
        <f>IFERROR(__xludf.DUMMYFUNCTION("""COMPUTED_VALUE"""),"#N/A")</f>
        <v>#N/A</v>
      </c>
      <c r="W3659" s="1" t="str">
        <f>IFERROR(__xludf.DUMMYFUNCTION("""COMPUTED_VALUE"""),"#N/A")</f>
        <v>#N/A</v>
      </c>
    </row>
    <row r="3660">
      <c r="O3660" s="1" t="str">
        <f>IFERROR(__xludf.DUMMYFUNCTION("""COMPUTED_VALUE"""),"#VALUE!")</f>
        <v>#VALUE!</v>
      </c>
      <c r="P3660" s="1" t="str">
        <f>IFERROR(__xludf.DUMMYFUNCTION("""COMPUTED_VALUE"""),"#N/A")</f>
        <v>#N/A</v>
      </c>
      <c r="Q3660" s="1"/>
      <c r="R3660" s="1"/>
      <c r="S3660" s="1"/>
      <c r="T3660" s="1"/>
      <c r="U3660" s="2">
        <f>IFERROR(__xludf.DUMMYFUNCTION("""COMPUTED_VALUE"""),0.0)</f>
        <v>0</v>
      </c>
      <c r="V3660" s="1" t="str">
        <f>IFERROR(__xludf.DUMMYFUNCTION("""COMPUTED_VALUE"""),"#N/A")</f>
        <v>#N/A</v>
      </c>
      <c r="W3660" s="1" t="str">
        <f>IFERROR(__xludf.DUMMYFUNCTION("""COMPUTED_VALUE"""),"#N/A")</f>
        <v>#N/A</v>
      </c>
    </row>
    <row r="3661">
      <c r="O3661" s="1" t="str">
        <f>IFERROR(__xludf.DUMMYFUNCTION("""COMPUTED_VALUE"""),"#VALUE!")</f>
        <v>#VALUE!</v>
      </c>
      <c r="P3661" s="1" t="str">
        <f>IFERROR(__xludf.DUMMYFUNCTION("""COMPUTED_VALUE"""),"#N/A")</f>
        <v>#N/A</v>
      </c>
      <c r="Q3661" s="1"/>
      <c r="R3661" s="1"/>
      <c r="S3661" s="1"/>
      <c r="T3661" s="1"/>
      <c r="U3661" s="2">
        <f>IFERROR(__xludf.DUMMYFUNCTION("""COMPUTED_VALUE"""),0.0)</f>
        <v>0</v>
      </c>
      <c r="V3661" s="1" t="str">
        <f>IFERROR(__xludf.DUMMYFUNCTION("""COMPUTED_VALUE"""),"#N/A")</f>
        <v>#N/A</v>
      </c>
      <c r="W3661" s="1" t="str">
        <f>IFERROR(__xludf.DUMMYFUNCTION("""COMPUTED_VALUE"""),"#N/A")</f>
        <v>#N/A</v>
      </c>
    </row>
    <row r="3662">
      <c r="O3662" s="1" t="str">
        <f>IFERROR(__xludf.DUMMYFUNCTION("""COMPUTED_VALUE"""),"#VALUE!")</f>
        <v>#VALUE!</v>
      </c>
      <c r="P3662" s="1" t="str">
        <f>IFERROR(__xludf.DUMMYFUNCTION("""COMPUTED_VALUE"""),"#N/A")</f>
        <v>#N/A</v>
      </c>
      <c r="Q3662" s="1"/>
      <c r="R3662" s="1"/>
      <c r="S3662" s="1"/>
      <c r="T3662" s="1"/>
      <c r="U3662" s="2">
        <f>IFERROR(__xludf.DUMMYFUNCTION("""COMPUTED_VALUE"""),0.0)</f>
        <v>0</v>
      </c>
      <c r="V3662" s="1" t="str">
        <f>IFERROR(__xludf.DUMMYFUNCTION("""COMPUTED_VALUE"""),"#N/A")</f>
        <v>#N/A</v>
      </c>
      <c r="W3662" s="1" t="str">
        <f>IFERROR(__xludf.DUMMYFUNCTION("""COMPUTED_VALUE"""),"#N/A")</f>
        <v>#N/A</v>
      </c>
    </row>
    <row r="3663">
      <c r="O3663" s="1" t="str">
        <f>IFERROR(__xludf.DUMMYFUNCTION("""COMPUTED_VALUE"""),"#VALUE!")</f>
        <v>#VALUE!</v>
      </c>
      <c r="P3663" s="1" t="str">
        <f>IFERROR(__xludf.DUMMYFUNCTION("""COMPUTED_VALUE"""),"#N/A")</f>
        <v>#N/A</v>
      </c>
      <c r="Q3663" s="1"/>
      <c r="R3663" s="1"/>
      <c r="S3663" s="1"/>
      <c r="T3663" s="1"/>
      <c r="U3663" s="2">
        <f>IFERROR(__xludf.DUMMYFUNCTION("""COMPUTED_VALUE"""),0.0)</f>
        <v>0</v>
      </c>
      <c r="V3663" s="1" t="str">
        <f>IFERROR(__xludf.DUMMYFUNCTION("""COMPUTED_VALUE"""),"#N/A")</f>
        <v>#N/A</v>
      </c>
      <c r="W3663" s="1" t="str">
        <f>IFERROR(__xludf.DUMMYFUNCTION("""COMPUTED_VALUE"""),"#N/A")</f>
        <v>#N/A</v>
      </c>
    </row>
    <row r="3664">
      <c r="O3664" s="1" t="str">
        <f>IFERROR(__xludf.DUMMYFUNCTION("""COMPUTED_VALUE"""),"#VALUE!")</f>
        <v>#VALUE!</v>
      </c>
      <c r="P3664" s="1" t="str">
        <f>IFERROR(__xludf.DUMMYFUNCTION("""COMPUTED_VALUE"""),"#N/A")</f>
        <v>#N/A</v>
      </c>
      <c r="Q3664" s="1"/>
      <c r="R3664" s="1"/>
      <c r="S3664" s="1"/>
      <c r="T3664" s="1"/>
      <c r="U3664" s="2">
        <f>IFERROR(__xludf.DUMMYFUNCTION("""COMPUTED_VALUE"""),0.0)</f>
        <v>0</v>
      </c>
      <c r="V3664" s="1" t="str">
        <f>IFERROR(__xludf.DUMMYFUNCTION("""COMPUTED_VALUE"""),"#N/A")</f>
        <v>#N/A</v>
      </c>
      <c r="W3664" s="1" t="str">
        <f>IFERROR(__xludf.DUMMYFUNCTION("""COMPUTED_VALUE"""),"#N/A")</f>
        <v>#N/A</v>
      </c>
    </row>
    <row r="3665">
      <c r="O3665" s="1" t="str">
        <f>IFERROR(__xludf.DUMMYFUNCTION("""COMPUTED_VALUE"""),"#VALUE!")</f>
        <v>#VALUE!</v>
      </c>
      <c r="P3665" s="1" t="str">
        <f>IFERROR(__xludf.DUMMYFUNCTION("""COMPUTED_VALUE"""),"#N/A")</f>
        <v>#N/A</v>
      </c>
      <c r="Q3665" s="1"/>
      <c r="R3665" s="1"/>
      <c r="S3665" s="1"/>
      <c r="T3665" s="1"/>
      <c r="U3665" s="2">
        <f>IFERROR(__xludf.DUMMYFUNCTION("""COMPUTED_VALUE"""),0.0)</f>
        <v>0</v>
      </c>
      <c r="V3665" s="1" t="str">
        <f>IFERROR(__xludf.DUMMYFUNCTION("""COMPUTED_VALUE"""),"#N/A")</f>
        <v>#N/A</v>
      </c>
      <c r="W3665" s="1" t="str">
        <f>IFERROR(__xludf.DUMMYFUNCTION("""COMPUTED_VALUE"""),"#N/A")</f>
        <v>#N/A</v>
      </c>
    </row>
    <row r="3666">
      <c r="O3666" s="1" t="str">
        <f>IFERROR(__xludf.DUMMYFUNCTION("""COMPUTED_VALUE"""),"#VALUE!")</f>
        <v>#VALUE!</v>
      </c>
      <c r="P3666" s="1" t="str">
        <f>IFERROR(__xludf.DUMMYFUNCTION("""COMPUTED_VALUE"""),"#N/A")</f>
        <v>#N/A</v>
      </c>
      <c r="Q3666" s="1"/>
      <c r="R3666" s="1"/>
      <c r="S3666" s="1"/>
      <c r="T3666" s="1"/>
      <c r="U3666" s="2">
        <f>IFERROR(__xludf.DUMMYFUNCTION("""COMPUTED_VALUE"""),0.0)</f>
        <v>0</v>
      </c>
      <c r="V3666" s="1" t="str">
        <f>IFERROR(__xludf.DUMMYFUNCTION("""COMPUTED_VALUE"""),"#N/A")</f>
        <v>#N/A</v>
      </c>
      <c r="W3666" s="1" t="str">
        <f>IFERROR(__xludf.DUMMYFUNCTION("""COMPUTED_VALUE"""),"#N/A")</f>
        <v>#N/A</v>
      </c>
    </row>
    <row r="3667">
      <c r="O3667" s="1" t="str">
        <f>IFERROR(__xludf.DUMMYFUNCTION("""COMPUTED_VALUE"""),"#VALUE!")</f>
        <v>#VALUE!</v>
      </c>
      <c r="P3667" s="1" t="str">
        <f>IFERROR(__xludf.DUMMYFUNCTION("""COMPUTED_VALUE"""),"#N/A")</f>
        <v>#N/A</v>
      </c>
      <c r="Q3667" s="1"/>
      <c r="R3667" s="1"/>
      <c r="S3667" s="1"/>
      <c r="T3667" s="1"/>
      <c r="U3667" s="2">
        <f>IFERROR(__xludf.DUMMYFUNCTION("""COMPUTED_VALUE"""),0.0)</f>
        <v>0</v>
      </c>
      <c r="V3667" s="1" t="str">
        <f>IFERROR(__xludf.DUMMYFUNCTION("""COMPUTED_VALUE"""),"#N/A")</f>
        <v>#N/A</v>
      </c>
      <c r="W3667" s="1" t="str">
        <f>IFERROR(__xludf.DUMMYFUNCTION("""COMPUTED_VALUE"""),"#N/A")</f>
        <v>#N/A</v>
      </c>
    </row>
    <row r="3668">
      <c r="O3668" s="1" t="str">
        <f>IFERROR(__xludf.DUMMYFUNCTION("""COMPUTED_VALUE"""),"#VALUE!")</f>
        <v>#VALUE!</v>
      </c>
      <c r="P3668" s="1" t="str">
        <f>IFERROR(__xludf.DUMMYFUNCTION("""COMPUTED_VALUE"""),"#N/A")</f>
        <v>#N/A</v>
      </c>
      <c r="Q3668" s="1"/>
      <c r="R3668" s="1"/>
      <c r="S3668" s="1"/>
      <c r="T3668" s="1"/>
      <c r="U3668" s="2">
        <f>IFERROR(__xludf.DUMMYFUNCTION("""COMPUTED_VALUE"""),0.0)</f>
        <v>0</v>
      </c>
      <c r="V3668" s="1" t="str">
        <f>IFERROR(__xludf.DUMMYFUNCTION("""COMPUTED_VALUE"""),"#N/A")</f>
        <v>#N/A</v>
      </c>
      <c r="W3668" s="1" t="str">
        <f>IFERROR(__xludf.DUMMYFUNCTION("""COMPUTED_VALUE"""),"#N/A")</f>
        <v>#N/A</v>
      </c>
    </row>
    <row r="3669">
      <c r="O3669" s="1" t="str">
        <f>IFERROR(__xludf.DUMMYFUNCTION("""COMPUTED_VALUE"""),"#VALUE!")</f>
        <v>#VALUE!</v>
      </c>
      <c r="P3669" s="1" t="str">
        <f>IFERROR(__xludf.DUMMYFUNCTION("""COMPUTED_VALUE"""),"#N/A")</f>
        <v>#N/A</v>
      </c>
      <c r="Q3669" s="1"/>
      <c r="R3669" s="1"/>
      <c r="S3669" s="1"/>
      <c r="T3669" s="1"/>
      <c r="U3669" s="2">
        <f>IFERROR(__xludf.DUMMYFUNCTION("""COMPUTED_VALUE"""),0.0)</f>
        <v>0</v>
      </c>
      <c r="V3669" s="1" t="str">
        <f>IFERROR(__xludf.DUMMYFUNCTION("""COMPUTED_VALUE"""),"#N/A")</f>
        <v>#N/A</v>
      </c>
      <c r="W3669" s="1" t="str">
        <f>IFERROR(__xludf.DUMMYFUNCTION("""COMPUTED_VALUE"""),"#N/A")</f>
        <v>#N/A</v>
      </c>
    </row>
    <row r="3670">
      <c r="O3670" s="1" t="str">
        <f>IFERROR(__xludf.DUMMYFUNCTION("""COMPUTED_VALUE"""),"#VALUE!")</f>
        <v>#VALUE!</v>
      </c>
      <c r="P3670" s="1" t="str">
        <f>IFERROR(__xludf.DUMMYFUNCTION("""COMPUTED_VALUE"""),"#N/A")</f>
        <v>#N/A</v>
      </c>
      <c r="Q3670" s="1"/>
      <c r="R3670" s="1"/>
      <c r="S3670" s="1"/>
      <c r="T3670" s="1"/>
      <c r="U3670" s="2">
        <f>IFERROR(__xludf.DUMMYFUNCTION("""COMPUTED_VALUE"""),0.0)</f>
        <v>0</v>
      </c>
      <c r="V3670" s="1" t="str">
        <f>IFERROR(__xludf.DUMMYFUNCTION("""COMPUTED_VALUE"""),"#N/A")</f>
        <v>#N/A</v>
      </c>
      <c r="W3670" s="1" t="str">
        <f>IFERROR(__xludf.DUMMYFUNCTION("""COMPUTED_VALUE"""),"#N/A")</f>
        <v>#N/A</v>
      </c>
    </row>
    <row r="3671">
      <c r="O3671" s="1" t="str">
        <f>IFERROR(__xludf.DUMMYFUNCTION("""COMPUTED_VALUE"""),"#VALUE!")</f>
        <v>#VALUE!</v>
      </c>
      <c r="P3671" s="1" t="str">
        <f>IFERROR(__xludf.DUMMYFUNCTION("""COMPUTED_VALUE"""),"#N/A")</f>
        <v>#N/A</v>
      </c>
      <c r="Q3671" s="1"/>
      <c r="R3671" s="1"/>
      <c r="S3671" s="1"/>
      <c r="T3671" s="1"/>
      <c r="U3671" s="2">
        <f>IFERROR(__xludf.DUMMYFUNCTION("""COMPUTED_VALUE"""),0.0)</f>
        <v>0</v>
      </c>
      <c r="V3671" s="1" t="str">
        <f>IFERROR(__xludf.DUMMYFUNCTION("""COMPUTED_VALUE"""),"#N/A")</f>
        <v>#N/A</v>
      </c>
      <c r="W3671" s="1" t="str">
        <f>IFERROR(__xludf.DUMMYFUNCTION("""COMPUTED_VALUE"""),"#N/A")</f>
        <v>#N/A</v>
      </c>
    </row>
    <row r="3672">
      <c r="O3672" s="1" t="str">
        <f>IFERROR(__xludf.DUMMYFUNCTION("""COMPUTED_VALUE"""),"#VALUE!")</f>
        <v>#VALUE!</v>
      </c>
      <c r="P3672" s="1" t="str">
        <f>IFERROR(__xludf.DUMMYFUNCTION("""COMPUTED_VALUE"""),"#N/A")</f>
        <v>#N/A</v>
      </c>
      <c r="Q3672" s="1"/>
      <c r="R3672" s="1"/>
      <c r="S3672" s="1"/>
      <c r="T3672" s="1"/>
      <c r="U3672" s="2">
        <f>IFERROR(__xludf.DUMMYFUNCTION("""COMPUTED_VALUE"""),0.0)</f>
        <v>0</v>
      </c>
      <c r="V3672" s="1" t="str">
        <f>IFERROR(__xludf.DUMMYFUNCTION("""COMPUTED_VALUE"""),"#N/A")</f>
        <v>#N/A</v>
      </c>
      <c r="W3672" s="1" t="str">
        <f>IFERROR(__xludf.DUMMYFUNCTION("""COMPUTED_VALUE"""),"#N/A")</f>
        <v>#N/A</v>
      </c>
    </row>
    <row r="3673">
      <c r="O3673" s="1" t="str">
        <f>IFERROR(__xludf.DUMMYFUNCTION("""COMPUTED_VALUE"""),"#VALUE!")</f>
        <v>#VALUE!</v>
      </c>
      <c r="P3673" s="1" t="str">
        <f>IFERROR(__xludf.DUMMYFUNCTION("""COMPUTED_VALUE"""),"#N/A")</f>
        <v>#N/A</v>
      </c>
      <c r="Q3673" s="1"/>
      <c r="R3673" s="1"/>
      <c r="S3673" s="1"/>
      <c r="T3673" s="1"/>
      <c r="U3673" s="2">
        <f>IFERROR(__xludf.DUMMYFUNCTION("""COMPUTED_VALUE"""),0.0)</f>
        <v>0</v>
      </c>
      <c r="V3673" s="1" t="str">
        <f>IFERROR(__xludf.DUMMYFUNCTION("""COMPUTED_VALUE"""),"#N/A")</f>
        <v>#N/A</v>
      </c>
      <c r="W3673" s="1" t="str">
        <f>IFERROR(__xludf.DUMMYFUNCTION("""COMPUTED_VALUE"""),"#N/A")</f>
        <v>#N/A</v>
      </c>
    </row>
    <row r="3674">
      <c r="O3674" s="1" t="str">
        <f>IFERROR(__xludf.DUMMYFUNCTION("""COMPUTED_VALUE"""),"#VALUE!")</f>
        <v>#VALUE!</v>
      </c>
      <c r="P3674" s="1" t="str">
        <f>IFERROR(__xludf.DUMMYFUNCTION("""COMPUTED_VALUE"""),"#N/A")</f>
        <v>#N/A</v>
      </c>
      <c r="Q3674" s="1"/>
      <c r="R3674" s="1"/>
      <c r="S3674" s="1"/>
      <c r="T3674" s="1"/>
      <c r="U3674" s="2">
        <f>IFERROR(__xludf.DUMMYFUNCTION("""COMPUTED_VALUE"""),0.0)</f>
        <v>0</v>
      </c>
      <c r="V3674" s="1" t="str">
        <f>IFERROR(__xludf.DUMMYFUNCTION("""COMPUTED_VALUE"""),"#N/A")</f>
        <v>#N/A</v>
      </c>
      <c r="W3674" s="1" t="str">
        <f>IFERROR(__xludf.DUMMYFUNCTION("""COMPUTED_VALUE"""),"#N/A")</f>
        <v>#N/A</v>
      </c>
    </row>
    <row r="3675">
      <c r="O3675" s="1" t="str">
        <f>IFERROR(__xludf.DUMMYFUNCTION("""COMPUTED_VALUE"""),"#VALUE!")</f>
        <v>#VALUE!</v>
      </c>
      <c r="P3675" s="1" t="str">
        <f>IFERROR(__xludf.DUMMYFUNCTION("""COMPUTED_VALUE"""),"#N/A")</f>
        <v>#N/A</v>
      </c>
      <c r="Q3675" s="1"/>
      <c r="R3675" s="1"/>
      <c r="S3675" s="1"/>
      <c r="T3675" s="1"/>
      <c r="U3675" s="2">
        <f>IFERROR(__xludf.DUMMYFUNCTION("""COMPUTED_VALUE"""),0.0)</f>
        <v>0</v>
      </c>
      <c r="V3675" s="1" t="str">
        <f>IFERROR(__xludf.DUMMYFUNCTION("""COMPUTED_VALUE"""),"#N/A")</f>
        <v>#N/A</v>
      </c>
      <c r="W3675" s="1" t="str">
        <f>IFERROR(__xludf.DUMMYFUNCTION("""COMPUTED_VALUE"""),"#N/A")</f>
        <v>#N/A</v>
      </c>
    </row>
    <row r="3676">
      <c r="O3676" s="1" t="str">
        <f>IFERROR(__xludf.DUMMYFUNCTION("""COMPUTED_VALUE"""),"#VALUE!")</f>
        <v>#VALUE!</v>
      </c>
      <c r="P3676" s="1" t="str">
        <f>IFERROR(__xludf.DUMMYFUNCTION("""COMPUTED_VALUE"""),"#N/A")</f>
        <v>#N/A</v>
      </c>
      <c r="Q3676" s="1"/>
      <c r="R3676" s="1"/>
      <c r="S3676" s="1"/>
      <c r="T3676" s="1"/>
      <c r="U3676" s="2">
        <f>IFERROR(__xludf.DUMMYFUNCTION("""COMPUTED_VALUE"""),0.0)</f>
        <v>0</v>
      </c>
      <c r="V3676" s="1" t="str">
        <f>IFERROR(__xludf.DUMMYFUNCTION("""COMPUTED_VALUE"""),"#N/A")</f>
        <v>#N/A</v>
      </c>
      <c r="W3676" s="1" t="str">
        <f>IFERROR(__xludf.DUMMYFUNCTION("""COMPUTED_VALUE"""),"#N/A")</f>
        <v>#N/A</v>
      </c>
    </row>
    <row r="3677">
      <c r="O3677" s="1" t="str">
        <f>IFERROR(__xludf.DUMMYFUNCTION("""COMPUTED_VALUE"""),"#VALUE!")</f>
        <v>#VALUE!</v>
      </c>
      <c r="P3677" s="1" t="str">
        <f>IFERROR(__xludf.DUMMYFUNCTION("""COMPUTED_VALUE"""),"#N/A")</f>
        <v>#N/A</v>
      </c>
      <c r="Q3677" s="1"/>
      <c r="R3677" s="1"/>
      <c r="S3677" s="1"/>
      <c r="T3677" s="1"/>
      <c r="U3677" s="2">
        <f>IFERROR(__xludf.DUMMYFUNCTION("""COMPUTED_VALUE"""),0.0)</f>
        <v>0</v>
      </c>
      <c r="V3677" s="1" t="str">
        <f>IFERROR(__xludf.DUMMYFUNCTION("""COMPUTED_VALUE"""),"#N/A")</f>
        <v>#N/A</v>
      </c>
      <c r="W3677" s="1" t="str">
        <f>IFERROR(__xludf.DUMMYFUNCTION("""COMPUTED_VALUE"""),"#N/A")</f>
        <v>#N/A</v>
      </c>
    </row>
    <row r="3678">
      <c r="O3678" s="1" t="str">
        <f>IFERROR(__xludf.DUMMYFUNCTION("""COMPUTED_VALUE"""),"#VALUE!")</f>
        <v>#VALUE!</v>
      </c>
      <c r="P3678" s="1" t="str">
        <f>IFERROR(__xludf.DUMMYFUNCTION("""COMPUTED_VALUE"""),"#N/A")</f>
        <v>#N/A</v>
      </c>
      <c r="Q3678" s="1"/>
      <c r="R3678" s="1"/>
      <c r="S3678" s="1"/>
      <c r="T3678" s="1"/>
      <c r="U3678" s="2">
        <f>IFERROR(__xludf.DUMMYFUNCTION("""COMPUTED_VALUE"""),0.0)</f>
        <v>0</v>
      </c>
      <c r="V3678" s="1" t="str">
        <f>IFERROR(__xludf.DUMMYFUNCTION("""COMPUTED_VALUE"""),"#N/A")</f>
        <v>#N/A</v>
      </c>
      <c r="W3678" s="1" t="str">
        <f>IFERROR(__xludf.DUMMYFUNCTION("""COMPUTED_VALUE"""),"#N/A")</f>
        <v>#N/A</v>
      </c>
    </row>
    <row r="3679">
      <c r="O3679" s="1" t="str">
        <f>IFERROR(__xludf.DUMMYFUNCTION("""COMPUTED_VALUE"""),"#VALUE!")</f>
        <v>#VALUE!</v>
      </c>
      <c r="P3679" s="1" t="str">
        <f>IFERROR(__xludf.DUMMYFUNCTION("""COMPUTED_VALUE"""),"#N/A")</f>
        <v>#N/A</v>
      </c>
      <c r="Q3679" s="1"/>
      <c r="R3679" s="1"/>
      <c r="S3679" s="1"/>
      <c r="T3679" s="1"/>
      <c r="U3679" s="2">
        <f>IFERROR(__xludf.DUMMYFUNCTION("""COMPUTED_VALUE"""),0.0)</f>
        <v>0</v>
      </c>
      <c r="V3679" s="1" t="str">
        <f>IFERROR(__xludf.DUMMYFUNCTION("""COMPUTED_VALUE"""),"#N/A")</f>
        <v>#N/A</v>
      </c>
      <c r="W3679" s="1" t="str">
        <f>IFERROR(__xludf.DUMMYFUNCTION("""COMPUTED_VALUE"""),"#N/A")</f>
        <v>#N/A</v>
      </c>
    </row>
    <row r="3680">
      <c r="O3680" s="1" t="str">
        <f>IFERROR(__xludf.DUMMYFUNCTION("""COMPUTED_VALUE"""),"#VALUE!")</f>
        <v>#VALUE!</v>
      </c>
      <c r="P3680" s="1" t="str">
        <f>IFERROR(__xludf.DUMMYFUNCTION("""COMPUTED_VALUE"""),"#N/A")</f>
        <v>#N/A</v>
      </c>
      <c r="Q3680" s="1"/>
      <c r="R3680" s="1"/>
      <c r="S3680" s="1"/>
      <c r="T3680" s="1"/>
      <c r="U3680" s="2">
        <f>IFERROR(__xludf.DUMMYFUNCTION("""COMPUTED_VALUE"""),0.0)</f>
        <v>0</v>
      </c>
      <c r="V3680" s="1" t="str">
        <f>IFERROR(__xludf.DUMMYFUNCTION("""COMPUTED_VALUE"""),"#N/A")</f>
        <v>#N/A</v>
      </c>
      <c r="W3680" s="1" t="str">
        <f>IFERROR(__xludf.DUMMYFUNCTION("""COMPUTED_VALUE"""),"#N/A")</f>
        <v>#N/A</v>
      </c>
    </row>
    <row r="3681">
      <c r="O3681" s="1" t="str">
        <f>IFERROR(__xludf.DUMMYFUNCTION("""COMPUTED_VALUE"""),"#VALUE!")</f>
        <v>#VALUE!</v>
      </c>
      <c r="P3681" s="1" t="str">
        <f>IFERROR(__xludf.DUMMYFUNCTION("""COMPUTED_VALUE"""),"#N/A")</f>
        <v>#N/A</v>
      </c>
      <c r="Q3681" s="1"/>
      <c r="R3681" s="1"/>
      <c r="S3681" s="1"/>
      <c r="T3681" s="1"/>
      <c r="U3681" s="2">
        <f>IFERROR(__xludf.DUMMYFUNCTION("""COMPUTED_VALUE"""),0.0)</f>
        <v>0</v>
      </c>
      <c r="V3681" s="1" t="str">
        <f>IFERROR(__xludf.DUMMYFUNCTION("""COMPUTED_VALUE"""),"#N/A")</f>
        <v>#N/A</v>
      </c>
      <c r="W3681" s="1" t="str">
        <f>IFERROR(__xludf.DUMMYFUNCTION("""COMPUTED_VALUE"""),"#N/A")</f>
        <v>#N/A</v>
      </c>
    </row>
    <row r="3682">
      <c r="O3682" s="1" t="str">
        <f>IFERROR(__xludf.DUMMYFUNCTION("""COMPUTED_VALUE"""),"#VALUE!")</f>
        <v>#VALUE!</v>
      </c>
      <c r="P3682" s="1" t="str">
        <f>IFERROR(__xludf.DUMMYFUNCTION("""COMPUTED_VALUE"""),"#N/A")</f>
        <v>#N/A</v>
      </c>
      <c r="Q3682" s="1"/>
      <c r="R3682" s="1"/>
      <c r="S3682" s="1"/>
      <c r="T3682" s="1"/>
      <c r="U3682" s="2">
        <f>IFERROR(__xludf.DUMMYFUNCTION("""COMPUTED_VALUE"""),0.0)</f>
        <v>0</v>
      </c>
      <c r="V3682" s="1" t="str">
        <f>IFERROR(__xludf.DUMMYFUNCTION("""COMPUTED_VALUE"""),"#N/A")</f>
        <v>#N/A</v>
      </c>
      <c r="W3682" s="1" t="str">
        <f>IFERROR(__xludf.DUMMYFUNCTION("""COMPUTED_VALUE"""),"#N/A")</f>
        <v>#N/A</v>
      </c>
    </row>
    <row r="3683">
      <c r="O3683" s="1" t="str">
        <f>IFERROR(__xludf.DUMMYFUNCTION("""COMPUTED_VALUE"""),"#VALUE!")</f>
        <v>#VALUE!</v>
      </c>
      <c r="P3683" s="1" t="str">
        <f>IFERROR(__xludf.DUMMYFUNCTION("""COMPUTED_VALUE"""),"#N/A")</f>
        <v>#N/A</v>
      </c>
      <c r="Q3683" s="1"/>
      <c r="R3683" s="1"/>
      <c r="S3683" s="1"/>
      <c r="T3683" s="1"/>
      <c r="U3683" s="2">
        <f>IFERROR(__xludf.DUMMYFUNCTION("""COMPUTED_VALUE"""),0.0)</f>
        <v>0</v>
      </c>
      <c r="V3683" s="1" t="str">
        <f>IFERROR(__xludf.DUMMYFUNCTION("""COMPUTED_VALUE"""),"#N/A")</f>
        <v>#N/A</v>
      </c>
      <c r="W3683" s="1" t="str">
        <f>IFERROR(__xludf.DUMMYFUNCTION("""COMPUTED_VALUE"""),"#N/A")</f>
        <v>#N/A</v>
      </c>
    </row>
    <row r="3684">
      <c r="O3684" s="1" t="str">
        <f>IFERROR(__xludf.DUMMYFUNCTION("""COMPUTED_VALUE"""),"#VALUE!")</f>
        <v>#VALUE!</v>
      </c>
      <c r="P3684" s="1" t="str">
        <f>IFERROR(__xludf.DUMMYFUNCTION("""COMPUTED_VALUE"""),"#N/A")</f>
        <v>#N/A</v>
      </c>
      <c r="Q3684" s="1"/>
      <c r="R3684" s="1"/>
      <c r="S3684" s="1"/>
      <c r="T3684" s="1"/>
      <c r="U3684" s="2">
        <f>IFERROR(__xludf.DUMMYFUNCTION("""COMPUTED_VALUE"""),0.0)</f>
        <v>0</v>
      </c>
      <c r="V3684" s="1" t="str">
        <f>IFERROR(__xludf.DUMMYFUNCTION("""COMPUTED_VALUE"""),"#N/A")</f>
        <v>#N/A</v>
      </c>
      <c r="W3684" s="1" t="str">
        <f>IFERROR(__xludf.DUMMYFUNCTION("""COMPUTED_VALUE"""),"#N/A")</f>
        <v>#N/A</v>
      </c>
    </row>
    <row r="3685">
      <c r="O3685" s="1" t="str">
        <f>IFERROR(__xludf.DUMMYFUNCTION("""COMPUTED_VALUE"""),"#VALUE!")</f>
        <v>#VALUE!</v>
      </c>
      <c r="P3685" s="1" t="str">
        <f>IFERROR(__xludf.DUMMYFUNCTION("""COMPUTED_VALUE"""),"#N/A")</f>
        <v>#N/A</v>
      </c>
      <c r="Q3685" s="1"/>
      <c r="R3685" s="1"/>
      <c r="S3685" s="1"/>
      <c r="T3685" s="1"/>
      <c r="U3685" s="2">
        <f>IFERROR(__xludf.DUMMYFUNCTION("""COMPUTED_VALUE"""),0.0)</f>
        <v>0</v>
      </c>
      <c r="V3685" s="1" t="str">
        <f>IFERROR(__xludf.DUMMYFUNCTION("""COMPUTED_VALUE"""),"#N/A")</f>
        <v>#N/A</v>
      </c>
      <c r="W3685" s="1" t="str">
        <f>IFERROR(__xludf.DUMMYFUNCTION("""COMPUTED_VALUE"""),"#N/A")</f>
        <v>#N/A</v>
      </c>
    </row>
    <row r="3686">
      <c r="O3686" s="1" t="str">
        <f>IFERROR(__xludf.DUMMYFUNCTION("""COMPUTED_VALUE"""),"#VALUE!")</f>
        <v>#VALUE!</v>
      </c>
      <c r="P3686" s="1" t="str">
        <f>IFERROR(__xludf.DUMMYFUNCTION("""COMPUTED_VALUE"""),"#N/A")</f>
        <v>#N/A</v>
      </c>
      <c r="Q3686" s="1"/>
      <c r="R3686" s="1"/>
      <c r="S3686" s="1"/>
      <c r="T3686" s="1"/>
      <c r="U3686" s="2">
        <f>IFERROR(__xludf.DUMMYFUNCTION("""COMPUTED_VALUE"""),0.0)</f>
        <v>0</v>
      </c>
      <c r="V3686" s="1" t="str">
        <f>IFERROR(__xludf.DUMMYFUNCTION("""COMPUTED_VALUE"""),"#N/A")</f>
        <v>#N/A</v>
      </c>
      <c r="W3686" s="1" t="str">
        <f>IFERROR(__xludf.DUMMYFUNCTION("""COMPUTED_VALUE"""),"#N/A")</f>
        <v>#N/A</v>
      </c>
    </row>
    <row r="3687">
      <c r="O3687" s="1" t="str">
        <f>IFERROR(__xludf.DUMMYFUNCTION("""COMPUTED_VALUE"""),"#VALUE!")</f>
        <v>#VALUE!</v>
      </c>
      <c r="P3687" s="1" t="str">
        <f>IFERROR(__xludf.DUMMYFUNCTION("""COMPUTED_VALUE"""),"#N/A")</f>
        <v>#N/A</v>
      </c>
      <c r="Q3687" s="1"/>
      <c r="R3687" s="1"/>
      <c r="S3687" s="1"/>
      <c r="T3687" s="1"/>
      <c r="U3687" s="2">
        <f>IFERROR(__xludf.DUMMYFUNCTION("""COMPUTED_VALUE"""),0.0)</f>
        <v>0</v>
      </c>
      <c r="V3687" s="1" t="str">
        <f>IFERROR(__xludf.DUMMYFUNCTION("""COMPUTED_VALUE"""),"#N/A")</f>
        <v>#N/A</v>
      </c>
      <c r="W3687" s="1" t="str">
        <f>IFERROR(__xludf.DUMMYFUNCTION("""COMPUTED_VALUE"""),"#N/A")</f>
        <v>#N/A</v>
      </c>
    </row>
    <row r="3688">
      <c r="O3688" s="1" t="str">
        <f>IFERROR(__xludf.DUMMYFUNCTION("""COMPUTED_VALUE"""),"#VALUE!")</f>
        <v>#VALUE!</v>
      </c>
      <c r="P3688" s="1" t="str">
        <f>IFERROR(__xludf.DUMMYFUNCTION("""COMPUTED_VALUE"""),"#N/A")</f>
        <v>#N/A</v>
      </c>
      <c r="Q3688" s="1"/>
      <c r="R3688" s="1"/>
      <c r="S3688" s="1"/>
      <c r="T3688" s="1"/>
      <c r="U3688" s="2">
        <f>IFERROR(__xludf.DUMMYFUNCTION("""COMPUTED_VALUE"""),0.0)</f>
        <v>0</v>
      </c>
      <c r="V3688" s="1" t="str">
        <f>IFERROR(__xludf.DUMMYFUNCTION("""COMPUTED_VALUE"""),"#N/A")</f>
        <v>#N/A</v>
      </c>
      <c r="W3688" s="1" t="str">
        <f>IFERROR(__xludf.DUMMYFUNCTION("""COMPUTED_VALUE"""),"#N/A")</f>
        <v>#N/A</v>
      </c>
    </row>
    <row r="3689">
      <c r="O3689" s="1" t="str">
        <f>IFERROR(__xludf.DUMMYFUNCTION("""COMPUTED_VALUE"""),"#VALUE!")</f>
        <v>#VALUE!</v>
      </c>
      <c r="P3689" s="1" t="str">
        <f>IFERROR(__xludf.DUMMYFUNCTION("""COMPUTED_VALUE"""),"#N/A")</f>
        <v>#N/A</v>
      </c>
      <c r="Q3689" s="1"/>
      <c r="R3689" s="1"/>
      <c r="S3689" s="1"/>
      <c r="T3689" s="1"/>
      <c r="U3689" s="2">
        <f>IFERROR(__xludf.DUMMYFUNCTION("""COMPUTED_VALUE"""),0.0)</f>
        <v>0</v>
      </c>
      <c r="V3689" s="1" t="str">
        <f>IFERROR(__xludf.DUMMYFUNCTION("""COMPUTED_VALUE"""),"#N/A")</f>
        <v>#N/A</v>
      </c>
      <c r="W3689" s="1" t="str">
        <f>IFERROR(__xludf.DUMMYFUNCTION("""COMPUTED_VALUE"""),"#N/A")</f>
        <v>#N/A</v>
      </c>
    </row>
    <row r="3690">
      <c r="O3690" s="1" t="str">
        <f>IFERROR(__xludf.DUMMYFUNCTION("""COMPUTED_VALUE"""),"#VALUE!")</f>
        <v>#VALUE!</v>
      </c>
      <c r="P3690" s="1" t="str">
        <f>IFERROR(__xludf.DUMMYFUNCTION("""COMPUTED_VALUE"""),"#N/A")</f>
        <v>#N/A</v>
      </c>
      <c r="Q3690" s="1"/>
      <c r="R3690" s="1"/>
      <c r="S3690" s="1"/>
      <c r="T3690" s="1"/>
      <c r="U3690" s="2">
        <f>IFERROR(__xludf.DUMMYFUNCTION("""COMPUTED_VALUE"""),0.0)</f>
        <v>0</v>
      </c>
      <c r="V3690" s="1" t="str">
        <f>IFERROR(__xludf.DUMMYFUNCTION("""COMPUTED_VALUE"""),"#N/A")</f>
        <v>#N/A</v>
      </c>
      <c r="W3690" s="1" t="str">
        <f>IFERROR(__xludf.DUMMYFUNCTION("""COMPUTED_VALUE"""),"#N/A")</f>
        <v>#N/A</v>
      </c>
    </row>
    <row r="3691">
      <c r="O3691" s="1" t="str">
        <f>IFERROR(__xludf.DUMMYFUNCTION("""COMPUTED_VALUE"""),"#VALUE!")</f>
        <v>#VALUE!</v>
      </c>
      <c r="P3691" s="1" t="str">
        <f>IFERROR(__xludf.DUMMYFUNCTION("""COMPUTED_VALUE"""),"#N/A")</f>
        <v>#N/A</v>
      </c>
      <c r="Q3691" s="1"/>
      <c r="R3691" s="1"/>
      <c r="S3691" s="1"/>
      <c r="T3691" s="1"/>
      <c r="U3691" s="2">
        <f>IFERROR(__xludf.DUMMYFUNCTION("""COMPUTED_VALUE"""),0.0)</f>
        <v>0</v>
      </c>
      <c r="V3691" s="1" t="str">
        <f>IFERROR(__xludf.DUMMYFUNCTION("""COMPUTED_VALUE"""),"#N/A")</f>
        <v>#N/A</v>
      </c>
      <c r="W3691" s="1" t="str">
        <f>IFERROR(__xludf.DUMMYFUNCTION("""COMPUTED_VALUE"""),"#N/A")</f>
        <v>#N/A</v>
      </c>
    </row>
    <row r="3692">
      <c r="O3692" s="1" t="str">
        <f>IFERROR(__xludf.DUMMYFUNCTION("""COMPUTED_VALUE"""),"#VALUE!")</f>
        <v>#VALUE!</v>
      </c>
      <c r="P3692" s="1" t="str">
        <f>IFERROR(__xludf.DUMMYFUNCTION("""COMPUTED_VALUE"""),"#N/A")</f>
        <v>#N/A</v>
      </c>
      <c r="Q3692" s="1"/>
      <c r="R3692" s="1"/>
      <c r="S3692" s="1"/>
      <c r="T3692" s="1"/>
      <c r="U3692" s="2">
        <f>IFERROR(__xludf.DUMMYFUNCTION("""COMPUTED_VALUE"""),0.0)</f>
        <v>0</v>
      </c>
      <c r="V3692" s="1" t="str">
        <f>IFERROR(__xludf.DUMMYFUNCTION("""COMPUTED_VALUE"""),"#N/A")</f>
        <v>#N/A</v>
      </c>
      <c r="W3692" s="1" t="str">
        <f>IFERROR(__xludf.DUMMYFUNCTION("""COMPUTED_VALUE"""),"#N/A")</f>
        <v>#N/A</v>
      </c>
    </row>
    <row r="3693">
      <c r="O3693" s="1" t="str">
        <f>IFERROR(__xludf.DUMMYFUNCTION("""COMPUTED_VALUE"""),"#VALUE!")</f>
        <v>#VALUE!</v>
      </c>
      <c r="P3693" s="1" t="str">
        <f>IFERROR(__xludf.DUMMYFUNCTION("""COMPUTED_VALUE"""),"#N/A")</f>
        <v>#N/A</v>
      </c>
      <c r="Q3693" s="1"/>
      <c r="R3693" s="1"/>
      <c r="S3693" s="1"/>
      <c r="T3693" s="1"/>
      <c r="U3693" s="2">
        <f>IFERROR(__xludf.DUMMYFUNCTION("""COMPUTED_VALUE"""),0.0)</f>
        <v>0</v>
      </c>
      <c r="V3693" s="1" t="str">
        <f>IFERROR(__xludf.DUMMYFUNCTION("""COMPUTED_VALUE"""),"#N/A")</f>
        <v>#N/A</v>
      </c>
      <c r="W3693" s="1" t="str">
        <f>IFERROR(__xludf.DUMMYFUNCTION("""COMPUTED_VALUE"""),"#N/A")</f>
        <v>#N/A</v>
      </c>
    </row>
    <row r="3694">
      <c r="O3694" s="1" t="str">
        <f>IFERROR(__xludf.DUMMYFUNCTION("""COMPUTED_VALUE"""),"#VALUE!")</f>
        <v>#VALUE!</v>
      </c>
      <c r="P3694" s="1" t="str">
        <f>IFERROR(__xludf.DUMMYFUNCTION("""COMPUTED_VALUE"""),"#N/A")</f>
        <v>#N/A</v>
      </c>
      <c r="Q3694" s="1"/>
      <c r="R3694" s="1"/>
      <c r="S3694" s="1"/>
      <c r="T3694" s="1"/>
      <c r="U3694" s="2">
        <f>IFERROR(__xludf.DUMMYFUNCTION("""COMPUTED_VALUE"""),0.0)</f>
        <v>0</v>
      </c>
      <c r="V3694" s="1" t="str">
        <f>IFERROR(__xludf.DUMMYFUNCTION("""COMPUTED_VALUE"""),"#N/A")</f>
        <v>#N/A</v>
      </c>
      <c r="W3694" s="1" t="str">
        <f>IFERROR(__xludf.DUMMYFUNCTION("""COMPUTED_VALUE"""),"#N/A")</f>
        <v>#N/A</v>
      </c>
    </row>
    <row r="3695">
      <c r="O3695" s="1" t="str">
        <f>IFERROR(__xludf.DUMMYFUNCTION("""COMPUTED_VALUE"""),"#VALUE!")</f>
        <v>#VALUE!</v>
      </c>
      <c r="P3695" s="1" t="str">
        <f>IFERROR(__xludf.DUMMYFUNCTION("""COMPUTED_VALUE"""),"#N/A")</f>
        <v>#N/A</v>
      </c>
      <c r="Q3695" s="1"/>
      <c r="R3695" s="1"/>
      <c r="S3695" s="1"/>
      <c r="T3695" s="1"/>
      <c r="U3695" s="2">
        <f>IFERROR(__xludf.DUMMYFUNCTION("""COMPUTED_VALUE"""),0.0)</f>
        <v>0</v>
      </c>
      <c r="V3695" s="1" t="str">
        <f>IFERROR(__xludf.DUMMYFUNCTION("""COMPUTED_VALUE"""),"#N/A")</f>
        <v>#N/A</v>
      </c>
      <c r="W3695" s="1" t="str">
        <f>IFERROR(__xludf.DUMMYFUNCTION("""COMPUTED_VALUE"""),"#N/A")</f>
        <v>#N/A</v>
      </c>
    </row>
    <row r="3696">
      <c r="O3696" s="1" t="str">
        <f>IFERROR(__xludf.DUMMYFUNCTION("""COMPUTED_VALUE"""),"#VALUE!")</f>
        <v>#VALUE!</v>
      </c>
      <c r="P3696" s="1" t="str">
        <f>IFERROR(__xludf.DUMMYFUNCTION("""COMPUTED_VALUE"""),"#N/A")</f>
        <v>#N/A</v>
      </c>
      <c r="Q3696" s="1"/>
      <c r="R3696" s="1"/>
      <c r="S3696" s="1"/>
      <c r="T3696" s="1"/>
      <c r="U3696" s="2">
        <f>IFERROR(__xludf.DUMMYFUNCTION("""COMPUTED_VALUE"""),0.0)</f>
        <v>0</v>
      </c>
      <c r="V3696" s="1" t="str">
        <f>IFERROR(__xludf.DUMMYFUNCTION("""COMPUTED_VALUE"""),"#N/A")</f>
        <v>#N/A</v>
      </c>
      <c r="W3696" s="1" t="str">
        <f>IFERROR(__xludf.DUMMYFUNCTION("""COMPUTED_VALUE"""),"#N/A")</f>
        <v>#N/A</v>
      </c>
    </row>
    <row r="3697">
      <c r="O3697" s="1" t="str">
        <f>IFERROR(__xludf.DUMMYFUNCTION("""COMPUTED_VALUE"""),"#VALUE!")</f>
        <v>#VALUE!</v>
      </c>
      <c r="P3697" s="1" t="str">
        <f>IFERROR(__xludf.DUMMYFUNCTION("""COMPUTED_VALUE"""),"#N/A")</f>
        <v>#N/A</v>
      </c>
      <c r="Q3697" s="1"/>
      <c r="R3697" s="1"/>
      <c r="S3697" s="1"/>
      <c r="T3697" s="1"/>
      <c r="U3697" s="2">
        <f>IFERROR(__xludf.DUMMYFUNCTION("""COMPUTED_VALUE"""),0.0)</f>
        <v>0</v>
      </c>
      <c r="V3697" s="1" t="str">
        <f>IFERROR(__xludf.DUMMYFUNCTION("""COMPUTED_VALUE"""),"#N/A")</f>
        <v>#N/A</v>
      </c>
      <c r="W3697" s="1" t="str">
        <f>IFERROR(__xludf.DUMMYFUNCTION("""COMPUTED_VALUE"""),"#N/A")</f>
        <v>#N/A</v>
      </c>
    </row>
    <row r="3698">
      <c r="O3698" s="1" t="str">
        <f>IFERROR(__xludf.DUMMYFUNCTION("""COMPUTED_VALUE"""),"#VALUE!")</f>
        <v>#VALUE!</v>
      </c>
      <c r="P3698" s="1" t="str">
        <f>IFERROR(__xludf.DUMMYFUNCTION("""COMPUTED_VALUE"""),"#N/A")</f>
        <v>#N/A</v>
      </c>
      <c r="Q3698" s="1"/>
      <c r="R3698" s="1"/>
      <c r="S3698" s="1"/>
      <c r="T3698" s="1"/>
      <c r="U3698" s="2">
        <f>IFERROR(__xludf.DUMMYFUNCTION("""COMPUTED_VALUE"""),0.0)</f>
        <v>0</v>
      </c>
      <c r="V3698" s="1" t="str">
        <f>IFERROR(__xludf.DUMMYFUNCTION("""COMPUTED_VALUE"""),"#N/A")</f>
        <v>#N/A</v>
      </c>
      <c r="W3698" s="1" t="str">
        <f>IFERROR(__xludf.DUMMYFUNCTION("""COMPUTED_VALUE"""),"#N/A")</f>
        <v>#N/A</v>
      </c>
    </row>
    <row r="3699">
      <c r="O3699" s="1" t="str">
        <f>IFERROR(__xludf.DUMMYFUNCTION("""COMPUTED_VALUE"""),"#VALUE!")</f>
        <v>#VALUE!</v>
      </c>
      <c r="P3699" s="1" t="str">
        <f>IFERROR(__xludf.DUMMYFUNCTION("""COMPUTED_VALUE"""),"#N/A")</f>
        <v>#N/A</v>
      </c>
      <c r="Q3699" s="1"/>
      <c r="R3699" s="1"/>
      <c r="S3699" s="1"/>
      <c r="T3699" s="1"/>
      <c r="U3699" s="2">
        <f>IFERROR(__xludf.DUMMYFUNCTION("""COMPUTED_VALUE"""),0.0)</f>
        <v>0</v>
      </c>
      <c r="V3699" s="1" t="str">
        <f>IFERROR(__xludf.DUMMYFUNCTION("""COMPUTED_VALUE"""),"#N/A")</f>
        <v>#N/A</v>
      </c>
      <c r="W3699" s="1" t="str">
        <f>IFERROR(__xludf.DUMMYFUNCTION("""COMPUTED_VALUE"""),"#N/A")</f>
        <v>#N/A</v>
      </c>
    </row>
    <row r="3700">
      <c r="O3700" s="1" t="str">
        <f>IFERROR(__xludf.DUMMYFUNCTION("""COMPUTED_VALUE"""),"#VALUE!")</f>
        <v>#VALUE!</v>
      </c>
      <c r="P3700" s="1" t="str">
        <f>IFERROR(__xludf.DUMMYFUNCTION("""COMPUTED_VALUE"""),"#N/A")</f>
        <v>#N/A</v>
      </c>
      <c r="Q3700" s="1"/>
      <c r="R3700" s="1"/>
      <c r="S3700" s="1"/>
      <c r="T3700" s="1"/>
      <c r="U3700" s="2">
        <f>IFERROR(__xludf.DUMMYFUNCTION("""COMPUTED_VALUE"""),0.0)</f>
        <v>0</v>
      </c>
      <c r="V3700" s="1" t="str">
        <f>IFERROR(__xludf.DUMMYFUNCTION("""COMPUTED_VALUE"""),"#N/A")</f>
        <v>#N/A</v>
      </c>
      <c r="W3700" s="1" t="str">
        <f>IFERROR(__xludf.DUMMYFUNCTION("""COMPUTED_VALUE"""),"#N/A")</f>
        <v>#N/A</v>
      </c>
    </row>
    <row r="3701">
      <c r="O3701" s="1" t="str">
        <f>IFERROR(__xludf.DUMMYFUNCTION("""COMPUTED_VALUE"""),"#VALUE!")</f>
        <v>#VALUE!</v>
      </c>
      <c r="P3701" s="1" t="str">
        <f>IFERROR(__xludf.DUMMYFUNCTION("""COMPUTED_VALUE"""),"#N/A")</f>
        <v>#N/A</v>
      </c>
      <c r="Q3701" s="1"/>
      <c r="R3701" s="1"/>
      <c r="S3701" s="1"/>
      <c r="T3701" s="1"/>
      <c r="U3701" s="2">
        <f>IFERROR(__xludf.DUMMYFUNCTION("""COMPUTED_VALUE"""),0.0)</f>
        <v>0</v>
      </c>
      <c r="V3701" s="1" t="str">
        <f>IFERROR(__xludf.DUMMYFUNCTION("""COMPUTED_VALUE"""),"#N/A")</f>
        <v>#N/A</v>
      </c>
      <c r="W3701" s="1" t="str">
        <f>IFERROR(__xludf.DUMMYFUNCTION("""COMPUTED_VALUE"""),"#N/A")</f>
        <v>#N/A</v>
      </c>
    </row>
    <row r="3702">
      <c r="O3702" s="1" t="str">
        <f>IFERROR(__xludf.DUMMYFUNCTION("""COMPUTED_VALUE"""),"#VALUE!")</f>
        <v>#VALUE!</v>
      </c>
      <c r="P3702" s="1" t="str">
        <f>IFERROR(__xludf.DUMMYFUNCTION("""COMPUTED_VALUE"""),"#N/A")</f>
        <v>#N/A</v>
      </c>
      <c r="Q3702" s="1"/>
      <c r="R3702" s="1"/>
      <c r="S3702" s="1"/>
      <c r="T3702" s="1"/>
      <c r="U3702" s="2">
        <f>IFERROR(__xludf.DUMMYFUNCTION("""COMPUTED_VALUE"""),0.0)</f>
        <v>0</v>
      </c>
      <c r="V3702" s="1" t="str">
        <f>IFERROR(__xludf.DUMMYFUNCTION("""COMPUTED_VALUE"""),"#N/A")</f>
        <v>#N/A</v>
      </c>
      <c r="W3702" s="1" t="str">
        <f>IFERROR(__xludf.DUMMYFUNCTION("""COMPUTED_VALUE"""),"#N/A")</f>
        <v>#N/A</v>
      </c>
    </row>
    <row r="3703">
      <c r="O3703" s="1" t="str">
        <f>IFERROR(__xludf.DUMMYFUNCTION("""COMPUTED_VALUE"""),"#VALUE!")</f>
        <v>#VALUE!</v>
      </c>
      <c r="P3703" s="1" t="str">
        <f>IFERROR(__xludf.DUMMYFUNCTION("""COMPUTED_VALUE"""),"#N/A")</f>
        <v>#N/A</v>
      </c>
      <c r="Q3703" s="1"/>
      <c r="R3703" s="1"/>
      <c r="S3703" s="1"/>
      <c r="T3703" s="1"/>
      <c r="U3703" s="2">
        <f>IFERROR(__xludf.DUMMYFUNCTION("""COMPUTED_VALUE"""),0.0)</f>
        <v>0</v>
      </c>
      <c r="V3703" s="1" t="str">
        <f>IFERROR(__xludf.DUMMYFUNCTION("""COMPUTED_VALUE"""),"#N/A")</f>
        <v>#N/A</v>
      </c>
      <c r="W3703" s="1" t="str">
        <f>IFERROR(__xludf.DUMMYFUNCTION("""COMPUTED_VALUE"""),"#N/A")</f>
        <v>#N/A</v>
      </c>
    </row>
    <row r="3704">
      <c r="O3704" s="1" t="str">
        <f>IFERROR(__xludf.DUMMYFUNCTION("""COMPUTED_VALUE"""),"#VALUE!")</f>
        <v>#VALUE!</v>
      </c>
      <c r="P3704" s="1" t="str">
        <f>IFERROR(__xludf.DUMMYFUNCTION("""COMPUTED_VALUE"""),"#N/A")</f>
        <v>#N/A</v>
      </c>
      <c r="Q3704" s="1"/>
      <c r="R3704" s="1"/>
      <c r="S3704" s="1"/>
      <c r="T3704" s="1"/>
      <c r="U3704" s="2">
        <f>IFERROR(__xludf.DUMMYFUNCTION("""COMPUTED_VALUE"""),0.0)</f>
        <v>0</v>
      </c>
      <c r="V3704" s="1" t="str">
        <f>IFERROR(__xludf.DUMMYFUNCTION("""COMPUTED_VALUE"""),"#N/A")</f>
        <v>#N/A</v>
      </c>
      <c r="W3704" s="1" t="str">
        <f>IFERROR(__xludf.DUMMYFUNCTION("""COMPUTED_VALUE"""),"#N/A")</f>
        <v>#N/A</v>
      </c>
    </row>
    <row r="3705">
      <c r="O3705" s="1" t="str">
        <f>IFERROR(__xludf.DUMMYFUNCTION("""COMPUTED_VALUE"""),"#VALUE!")</f>
        <v>#VALUE!</v>
      </c>
      <c r="P3705" s="1" t="str">
        <f>IFERROR(__xludf.DUMMYFUNCTION("""COMPUTED_VALUE"""),"#N/A")</f>
        <v>#N/A</v>
      </c>
      <c r="Q3705" s="1"/>
      <c r="R3705" s="1"/>
      <c r="S3705" s="1"/>
      <c r="T3705" s="1"/>
      <c r="U3705" s="2">
        <f>IFERROR(__xludf.DUMMYFUNCTION("""COMPUTED_VALUE"""),0.0)</f>
        <v>0</v>
      </c>
      <c r="V3705" s="1" t="str">
        <f>IFERROR(__xludf.DUMMYFUNCTION("""COMPUTED_VALUE"""),"#N/A")</f>
        <v>#N/A</v>
      </c>
      <c r="W3705" s="1" t="str">
        <f>IFERROR(__xludf.DUMMYFUNCTION("""COMPUTED_VALUE"""),"#N/A")</f>
        <v>#N/A</v>
      </c>
    </row>
    <row r="3706">
      <c r="O3706" s="1" t="str">
        <f>IFERROR(__xludf.DUMMYFUNCTION("""COMPUTED_VALUE"""),"#VALUE!")</f>
        <v>#VALUE!</v>
      </c>
      <c r="P3706" s="1" t="str">
        <f>IFERROR(__xludf.DUMMYFUNCTION("""COMPUTED_VALUE"""),"#N/A")</f>
        <v>#N/A</v>
      </c>
      <c r="Q3706" s="1"/>
      <c r="R3706" s="1"/>
      <c r="S3706" s="1"/>
      <c r="T3706" s="1"/>
      <c r="U3706" s="2">
        <f>IFERROR(__xludf.DUMMYFUNCTION("""COMPUTED_VALUE"""),0.0)</f>
        <v>0</v>
      </c>
      <c r="V3706" s="1" t="str">
        <f>IFERROR(__xludf.DUMMYFUNCTION("""COMPUTED_VALUE"""),"#N/A")</f>
        <v>#N/A</v>
      </c>
      <c r="W3706" s="1" t="str">
        <f>IFERROR(__xludf.DUMMYFUNCTION("""COMPUTED_VALUE"""),"#N/A")</f>
        <v>#N/A</v>
      </c>
    </row>
    <row r="3707">
      <c r="O3707" s="1" t="str">
        <f>IFERROR(__xludf.DUMMYFUNCTION("""COMPUTED_VALUE"""),"#VALUE!")</f>
        <v>#VALUE!</v>
      </c>
      <c r="P3707" s="1" t="str">
        <f>IFERROR(__xludf.DUMMYFUNCTION("""COMPUTED_VALUE"""),"#N/A")</f>
        <v>#N/A</v>
      </c>
      <c r="Q3707" s="1"/>
      <c r="R3707" s="1"/>
      <c r="S3707" s="1"/>
      <c r="T3707" s="1"/>
      <c r="U3707" s="2">
        <f>IFERROR(__xludf.DUMMYFUNCTION("""COMPUTED_VALUE"""),0.0)</f>
        <v>0</v>
      </c>
      <c r="V3707" s="1" t="str">
        <f>IFERROR(__xludf.DUMMYFUNCTION("""COMPUTED_VALUE"""),"#N/A")</f>
        <v>#N/A</v>
      </c>
      <c r="W3707" s="1" t="str">
        <f>IFERROR(__xludf.DUMMYFUNCTION("""COMPUTED_VALUE"""),"#N/A")</f>
        <v>#N/A</v>
      </c>
    </row>
    <row r="3708">
      <c r="O3708" s="1" t="str">
        <f>IFERROR(__xludf.DUMMYFUNCTION("""COMPUTED_VALUE"""),"#VALUE!")</f>
        <v>#VALUE!</v>
      </c>
      <c r="P3708" s="1" t="str">
        <f>IFERROR(__xludf.DUMMYFUNCTION("""COMPUTED_VALUE"""),"#N/A")</f>
        <v>#N/A</v>
      </c>
      <c r="Q3708" s="1"/>
      <c r="R3708" s="1"/>
      <c r="S3708" s="1"/>
      <c r="T3708" s="1"/>
      <c r="U3708" s="2">
        <f>IFERROR(__xludf.DUMMYFUNCTION("""COMPUTED_VALUE"""),0.0)</f>
        <v>0</v>
      </c>
      <c r="V3708" s="1" t="str">
        <f>IFERROR(__xludf.DUMMYFUNCTION("""COMPUTED_VALUE"""),"#N/A")</f>
        <v>#N/A</v>
      </c>
      <c r="W3708" s="1" t="str">
        <f>IFERROR(__xludf.DUMMYFUNCTION("""COMPUTED_VALUE"""),"#N/A")</f>
        <v>#N/A</v>
      </c>
    </row>
    <row r="3709">
      <c r="O3709" s="1" t="str">
        <f>IFERROR(__xludf.DUMMYFUNCTION("""COMPUTED_VALUE"""),"#VALUE!")</f>
        <v>#VALUE!</v>
      </c>
      <c r="P3709" s="1" t="str">
        <f>IFERROR(__xludf.DUMMYFUNCTION("""COMPUTED_VALUE"""),"#N/A")</f>
        <v>#N/A</v>
      </c>
      <c r="Q3709" s="1"/>
      <c r="R3709" s="1"/>
      <c r="S3709" s="1"/>
      <c r="T3709" s="1"/>
      <c r="U3709" s="2">
        <f>IFERROR(__xludf.DUMMYFUNCTION("""COMPUTED_VALUE"""),0.0)</f>
        <v>0</v>
      </c>
      <c r="V3709" s="1" t="str">
        <f>IFERROR(__xludf.DUMMYFUNCTION("""COMPUTED_VALUE"""),"#N/A")</f>
        <v>#N/A</v>
      </c>
      <c r="W3709" s="1" t="str">
        <f>IFERROR(__xludf.DUMMYFUNCTION("""COMPUTED_VALUE"""),"#N/A")</f>
        <v>#N/A</v>
      </c>
    </row>
    <row r="3710">
      <c r="O3710" s="1" t="str">
        <f>IFERROR(__xludf.DUMMYFUNCTION("""COMPUTED_VALUE"""),"#VALUE!")</f>
        <v>#VALUE!</v>
      </c>
      <c r="P3710" s="1" t="str">
        <f>IFERROR(__xludf.DUMMYFUNCTION("""COMPUTED_VALUE"""),"#N/A")</f>
        <v>#N/A</v>
      </c>
      <c r="Q3710" s="1"/>
      <c r="R3710" s="1"/>
      <c r="S3710" s="1"/>
      <c r="T3710" s="1"/>
      <c r="U3710" s="2">
        <f>IFERROR(__xludf.DUMMYFUNCTION("""COMPUTED_VALUE"""),0.0)</f>
        <v>0</v>
      </c>
      <c r="V3710" s="1" t="str">
        <f>IFERROR(__xludf.DUMMYFUNCTION("""COMPUTED_VALUE"""),"#N/A")</f>
        <v>#N/A</v>
      </c>
      <c r="W3710" s="1" t="str">
        <f>IFERROR(__xludf.DUMMYFUNCTION("""COMPUTED_VALUE"""),"#N/A")</f>
        <v>#N/A</v>
      </c>
    </row>
    <row r="3711">
      <c r="O3711" s="1" t="str">
        <f>IFERROR(__xludf.DUMMYFUNCTION("""COMPUTED_VALUE"""),"#VALUE!")</f>
        <v>#VALUE!</v>
      </c>
      <c r="P3711" s="1" t="str">
        <f>IFERROR(__xludf.DUMMYFUNCTION("""COMPUTED_VALUE"""),"#N/A")</f>
        <v>#N/A</v>
      </c>
      <c r="Q3711" s="1"/>
      <c r="R3711" s="1"/>
      <c r="S3711" s="1"/>
      <c r="T3711" s="1"/>
      <c r="U3711" s="2">
        <f>IFERROR(__xludf.DUMMYFUNCTION("""COMPUTED_VALUE"""),0.0)</f>
        <v>0</v>
      </c>
      <c r="V3711" s="1" t="str">
        <f>IFERROR(__xludf.DUMMYFUNCTION("""COMPUTED_VALUE"""),"#N/A")</f>
        <v>#N/A</v>
      </c>
      <c r="W3711" s="1" t="str">
        <f>IFERROR(__xludf.DUMMYFUNCTION("""COMPUTED_VALUE"""),"#N/A")</f>
        <v>#N/A</v>
      </c>
    </row>
    <row r="3712">
      <c r="O3712" s="1" t="str">
        <f>IFERROR(__xludf.DUMMYFUNCTION("""COMPUTED_VALUE"""),"#VALUE!")</f>
        <v>#VALUE!</v>
      </c>
      <c r="P3712" s="1" t="str">
        <f>IFERROR(__xludf.DUMMYFUNCTION("""COMPUTED_VALUE"""),"#N/A")</f>
        <v>#N/A</v>
      </c>
      <c r="Q3712" s="1"/>
      <c r="R3712" s="1"/>
      <c r="S3712" s="1"/>
      <c r="T3712" s="1"/>
      <c r="U3712" s="2">
        <f>IFERROR(__xludf.DUMMYFUNCTION("""COMPUTED_VALUE"""),0.0)</f>
        <v>0</v>
      </c>
      <c r="V3712" s="1" t="str">
        <f>IFERROR(__xludf.DUMMYFUNCTION("""COMPUTED_VALUE"""),"#N/A")</f>
        <v>#N/A</v>
      </c>
      <c r="W3712" s="1" t="str">
        <f>IFERROR(__xludf.DUMMYFUNCTION("""COMPUTED_VALUE"""),"#N/A")</f>
        <v>#N/A</v>
      </c>
    </row>
    <row r="3713">
      <c r="O3713" s="1" t="str">
        <f>IFERROR(__xludf.DUMMYFUNCTION("""COMPUTED_VALUE"""),"#VALUE!")</f>
        <v>#VALUE!</v>
      </c>
      <c r="P3713" s="1" t="str">
        <f>IFERROR(__xludf.DUMMYFUNCTION("""COMPUTED_VALUE"""),"#N/A")</f>
        <v>#N/A</v>
      </c>
      <c r="Q3713" s="1"/>
      <c r="R3713" s="1"/>
      <c r="S3713" s="1"/>
      <c r="T3713" s="1"/>
      <c r="U3713" s="2">
        <f>IFERROR(__xludf.DUMMYFUNCTION("""COMPUTED_VALUE"""),0.0)</f>
        <v>0</v>
      </c>
      <c r="V3713" s="1" t="str">
        <f>IFERROR(__xludf.DUMMYFUNCTION("""COMPUTED_VALUE"""),"#N/A")</f>
        <v>#N/A</v>
      </c>
      <c r="W3713" s="1" t="str">
        <f>IFERROR(__xludf.DUMMYFUNCTION("""COMPUTED_VALUE"""),"#N/A")</f>
        <v>#N/A</v>
      </c>
    </row>
    <row r="3714">
      <c r="O3714" s="1" t="str">
        <f>IFERROR(__xludf.DUMMYFUNCTION("""COMPUTED_VALUE"""),"#VALUE!")</f>
        <v>#VALUE!</v>
      </c>
      <c r="P3714" s="1" t="str">
        <f>IFERROR(__xludf.DUMMYFUNCTION("""COMPUTED_VALUE"""),"#N/A")</f>
        <v>#N/A</v>
      </c>
      <c r="Q3714" s="1"/>
      <c r="R3714" s="1"/>
      <c r="S3714" s="1"/>
      <c r="T3714" s="1"/>
      <c r="U3714" s="2">
        <f>IFERROR(__xludf.DUMMYFUNCTION("""COMPUTED_VALUE"""),0.0)</f>
        <v>0</v>
      </c>
      <c r="V3714" s="1" t="str">
        <f>IFERROR(__xludf.DUMMYFUNCTION("""COMPUTED_VALUE"""),"#N/A")</f>
        <v>#N/A</v>
      </c>
      <c r="W3714" s="1" t="str">
        <f>IFERROR(__xludf.DUMMYFUNCTION("""COMPUTED_VALUE"""),"#N/A")</f>
        <v>#N/A</v>
      </c>
    </row>
    <row r="3715">
      <c r="O3715" s="1" t="str">
        <f>IFERROR(__xludf.DUMMYFUNCTION("""COMPUTED_VALUE"""),"#VALUE!")</f>
        <v>#VALUE!</v>
      </c>
      <c r="P3715" s="1" t="str">
        <f>IFERROR(__xludf.DUMMYFUNCTION("""COMPUTED_VALUE"""),"#N/A")</f>
        <v>#N/A</v>
      </c>
      <c r="Q3715" s="1"/>
      <c r="R3715" s="1"/>
      <c r="S3715" s="1"/>
      <c r="T3715" s="1"/>
      <c r="U3715" s="2">
        <f>IFERROR(__xludf.DUMMYFUNCTION("""COMPUTED_VALUE"""),0.0)</f>
        <v>0</v>
      </c>
      <c r="V3715" s="1" t="str">
        <f>IFERROR(__xludf.DUMMYFUNCTION("""COMPUTED_VALUE"""),"#N/A")</f>
        <v>#N/A</v>
      </c>
      <c r="W3715" s="1" t="str">
        <f>IFERROR(__xludf.DUMMYFUNCTION("""COMPUTED_VALUE"""),"#N/A")</f>
        <v>#N/A</v>
      </c>
    </row>
    <row r="3716">
      <c r="O3716" s="1" t="str">
        <f>IFERROR(__xludf.DUMMYFUNCTION("""COMPUTED_VALUE"""),"#VALUE!")</f>
        <v>#VALUE!</v>
      </c>
      <c r="P3716" s="1" t="str">
        <f>IFERROR(__xludf.DUMMYFUNCTION("""COMPUTED_VALUE"""),"#N/A")</f>
        <v>#N/A</v>
      </c>
      <c r="Q3716" s="1"/>
      <c r="R3716" s="1"/>
      <c r="S3716" s="1"/>
      <c r="T3716" s="1"/>
      <c r="U3716" s="2">
        <f>IFERROR(__xludf.DUMMYFUNCTION("""COMPUTED_VALUE"""),0.0)</f>
        <v>0</v>
      </c>
      <c r="V3716" s="1" t="str">
        <f>IFERROR(__xludf.DUMMYFUNCTION("""COMPUTED_VALUE"""),"#N/A")</f>
        <v>#N/A</v>
      </c>
      <c r="W3716" s="1" t="str">
        <f>IFERROR(__xludf.DUMMYFUNCTION("""COMPUTED_VALUE"""),"#N/A")</f>
        <v>#N/A</v>
      </c>
    </row>
    <row r="3717">
      <c r="O3717" s="1" t="str">
        <f>IFERROR(__xludf.DUMMYFUNCTION("""COMPUTED_VALUE"""),"#VALUE!")</f>
        <v>#VALUE!</v>
      </c>
      <c r="P3717" s="1" t="str">
        <f>IFERROR(__xludf.DUMMYFUNCTION("""COMPUTED_VALUE"""),"#N/A")</f>
        <v>#N/A</v>
      </c>
      <c r="Q3717" s="1"/>
      <c r="R3717" s="1"/>
      <c r="S3717" s="1"/>
      <c r="T3717" s="1"/>
      <c r="U3717" s="2">
        <f>IFERROR(__xludf.DUMMYFUNCTION("""COMPUTED_VALUE"""),0.0)</f>
        <v>0</v>
      </c>
      <c r="V3717" s="1" t="str">
        <f>IFERROR(__xludf.DUMMYFUNCTION("""COMPUTED_VALUE"""),"#N/A")</f>
        <v>#N/A</v>
      </c>
      <c r="W3717" s="1" t="str">
        <f>IFERROR(__xludf.DUMMYFUNCTION("""COMPUTED_VALUE"""),"#N/A")</f>
        <v>#N/A</v>
      </c>
    </row>
    <row r="3718">
      <c r="O3718" s="1" t="str">
        <f>IFERROR(__xludf.DUMMYFUNCTION("""COMPUTED_VALUE"""),"#VALUE!")</f>
        <v>#VALUE!</v>
      </c>
      <c r="P3718" s="1" t="str">
        <f>IFERROR(__xludf.DUMMYFUNCTION("""COMPUTED_VALUE"""),"#N/A")</f>
        <v>#N/A</v>
      </c>
      <c r="Q3718" s="1"/>
      <c r="R3718" s="1"/>
      <c r="S3718" s="1"/>
      <c r="T3718" s="1"/>
      <c r="U3718" s="2">
        <f>IFERROR(__xludf.DUMMYFUNCTION("""COMPUTED_VALUE"""),0.0)</f>
        <v>0</v>
      </c>
      <c r="V3718" s="1" t="str">
        <f>IFERROR(__xludf.DUMMYFUNCTION("""COMPUTED_VALUE"""),"#N/A")</f>
        <v>#N/A</v>
      </c>
      <c r="W3718" s="1" t="str">
        <f>IFERROR(__xludf.DUMMYFUNCTION("""COMPUTED_VALUE"""),"#N/A")</f>
        <v>#N/A</v>
      </c>
    </row>
    <row r="3719">
      <c r="O3719" s="1" t="str">
        <f>IFERROR(__xludf.DUMMYFUNCTION("""COMPUTED_VALUE"""),"#VALUE!")</f>
        <v>#VALUE!</v>
      </c>
      <c r="P3719" s="1" t="str">
        <f>IFERROR(__xludf.DUMMYFUNCTION("""COMPUTED_VALUE"""),"#N/A")</f>
        <v>#N/A</v>
      </c>
      <c r="Q3719" s="1"/>
      <c r="R3719" s="1"/>
      <c r="S3719" s="1"/>
      <c r="T3719" s="1"/>
      <c r="U3719" s="2">
        <f>IFERROR(__xludf.DUMMYFUNCTION("""COMPUTED_VALUE"""),0.0)</f>
        <v>0</v>
      </c>
      <c r="V3719" s="1" t="str">
        <f>IFERROR(__xludf.DUMMYFUNCTION("""COMPUTED_VALUE"""),"#N/A")</f>
        <v>#N/A</v>
      </c>
      <c r="W3719" s="1" t="str">
        <f>IFERROR(__xludf.DUMMYFUNCTION("""COMPUTED_VALUE"""),"#N/A")</f>
        <v>#N/A</v>
      </c>
    </row>
    <row r="3720">
      <c r="O3720" s="1" t="str">
        <f>IFERROR(__xludf.DUMMYFUNCTION("""COMPUTED_VALUE"""),"#VALUE!")</f>
        <v>#VALUE!</v>
      </c>
      <c r="P3720" s="1" t="str">
        <f>IFERROR(__xludf.DUMMYFUNCTION("""COMPUTED_VALUE"""),"#N/A")</f>
        <v>#N/A</v>
      </c>
      <c r="Q3720" s="1"/>
      <c r="R3720" s="1"/>
      <c r="S3720" s="1"/>
      <c r="T3720" s="1"/>
      <c r="U3720" s="2">
        <f>IFERROR(__xludf.DUMMYFUNCTION("""COMPUTED_VALUE"""),0.0)</f>
        <v>0</v>
      </c>
      <c r="V3720" s="1" t="str">
        <f>IFERROR(__xludf.DUMMYFUNCTION("""COMPUTED_VALUE"""),"#N/A")</f>
        <v>#N/A</v>
      </c>
      <c r="W3720" s="1" t="str">
        <f>IFERROR(__xludf.DUMMYFUNCTION("""COMPUTED_VALUE"""),"#N/A")</f>
        <v>#N/A</v>
      </c>
    </row>
    <row r="3721">
      <c r="O3721" s="1" t="str">
        <f>IFERROR(__xludf.DUMMYFUNCTION("""COMPUTED_VALUE"""),"#VALUE!")</f>
        <v>#VALUE!</v>
      </c>
      <c r="P3721" s="1" t="str">
        <f>IFERROR(__xludf.DUMMYFUNCTION("""COMPUTED_VALUE"""),"#N/A")</f>
        <v>#N/A</v>
      </c>
      <c r="Q3721" s="1"/>
      <c r="R3721" s="1"/>
      <c r="S3721" s="1"/>
      <c r="T3721" s="1"/>
      <c r="U3721" s="2">
        <f>IFERROR(__xludf.DUMMYFUNCTION("""COMPUTED_VALUE"""),0.0)</f>
        <v>0</v>
      </c>
      <c r="V3721" s="1" t="str">
        <f>IFERROR(__xludf.DUMMYFUNCTION("""COMPUTED_VALUE"""),"#N/A")</f>
        <v>#N/A</v>
      </c>
      <c r="W3721" s="1" t="str">
        <f>IFERROR(__xludf.DUMMYFUNCTION("""COMPUTED_VALUE"""),"#N/A")</f>
        <v>#N/A</v>
      </c>
    </row>
    <row r="3722">
      <c r="O3722" s="1" t="str">
        <f>IFERROR(__xludf.DUMMYFUNCTION("""COMPUTED_VALUE"""),"#VALUE!")</f>
        <v>#VALUE!</v>
      </c>
      <c r="P3722" s="1" t="str">
        <f>IFERROR(__xludf.DUMMYFUNCTION("""COMPUTED_VALUE"""),"#N/A")</f>
        <v>#N/A</v>
      </c>
      <c r="Q3722" s="1"/>
      <c r="R3722" s="1"/>
      <c r="S3722" s="1"/>
      <c r="T3722" s="1"/>
      <c r="U3722" s="2">
        <f>IFERROR(__xludf.DUMMYFUNCTION("""COMPUTED_VALUE"""),0.0)</f>
        <v>0</v>
      </c>
      <c r="V3722" s="1" t="str">
        <f>IFERROR(__xludf.DUMMYFUNCTION("""COMPUTED_VALUE"""),"#N/A")</f>
        <v>#N/A</v>
      </c>
      <c r="W3722" s="1" t="str">
        <f>IFERROR(__xludf.DUMMYFUNCTION("""COMPUTED_VALUE"""),"#N/A")</f>
        <v>#N/A</v>
      </c>
    </row>
    <row r="3723">
      <c r="O3723" s="1" t="str">
        <f>IFERROR(__xludf.DUMMYFUNCTION("""COMPUTED_VALUE"""),"#VALUE!")</f>
        <v>#VALUE!</v>
      </c>
      <c r="P3723" s="1" t="str">
        <f>IFERROR(__xludf.DUMMYFUNCTION("""COMPUTED_VALUE"""),"#N/A")</f>
        <v>#N/A</v>
      </c>
      <c r="Q3723" s="1"/>
      <c r="R3723" s="1"/>
      <c r="S3723" s="1"/>
      <c r="T3723" s="1"/>
      <c r="U3723" s="2">
        <f>IFERROR(__xludf.DUMMYFUNCTION("""COMPUTED_VALUE"""),0.0)</f>
        <v>0</v>
      </c>
      <c r="V3723" s="1" t="str">
        <f>IFERROR(__xludf.DUMMYFUNCTION("""COMPUTED_VALUE"""),"#N/A")</f>
        <v>#N/A</v>
      </c>
      <c r="W3723" s="1" t="str">
        <f>IFERROR(__xludf.DUMMYFUNCTION("""COMPUTED_VALUE"""),"#N/A")</f>
        <v>#N/A</v>
      </c>
    </row>
    <row r="3724">
      <c r="O3724" s="1" t="str">
        <f>IFERROR(__xludf.DUMMYFUNCTION("""COMPUTED_VALUE"""),"#VALUE!")</f>
        <v>#VALUE!</v>
      </c>
      <c r="P3724" s="1" t="str">
        <f>IFERROR(__xludf.DUMMYFUNCTION("""COMPUTED_VALUE"""),"#N/A")</f>
        <v>#N/A</v>
      </c>
      <c r="Q3724" s="1"/>
      <c r="R3724" s="1"/>
      <c r="S3724" s="1"/>
      <c r="T3724" s="1"/>
      <c r="U3724" s="2">
        <f>IFERROR(__xludf.DUMMYFUNCTION("""COMPUTED_VALUE"""),0.0)</f>
        <v>0</v>
      </c>
      <c r="V3724" s="1" t="str">
        <f>IFERROR(__xludf.DUMMYFUNCTION("""COMPUTED_VALUE"""),"#N/A")</f>
        <v>#N/A</v>
      </c>
      <c r="W3724" s="1" t="str">
        <f>IFERROR(__xludf.DUMMYFUNCTION("""COMPUTED_VALUE"""),"#N/A")</f>
        <v>#N/A</v>
      </c>
    </row>
    <row r="3725">
      <c r="O3725" s="1" t="str">
        <f>IFERROR(__xludf.DUMMYFUNCTION("""COMPUTED_VALUE"""),"#VALUE!")</f>
        <v>#VALUE!</v>
      </c>
      <c r="P3725" s="1" t="str">
        <f>IFERROR(__xludf.DUMMYFUNCTION("""COMPUTED_VALUE"""),"#N/A")</f>
        <v>#N/A</v>
      </c>
      <c r="Q3725" s="1"/>
      <c r="R3725" s="1"/>
      <c r="S3725" s="1"/>
      <c r="T3725" s="1"/>
      <c r="U3725" s="2">
        <f>IFERROR(__xludf.DUMMYFUNCTION("""COMPUTED_VALUE"""),0.0)</f>
        <v>0</v>
      </c>
      <c r="V3725" s="1" t="str">
        <f>IFERROR(__xludf.DUMMYFUNCTION("""COMPUTED_VALUE"""),"#N/A")</f>
        <v>#N/A</v>
      </c>
      <c r="W3725" s="1" t="str">
        <f>IFERROR(__xludf.DUMMYFUNCTION("""COMPUTED_VALUE"""),"#N/A")</f>
        <v>#N/A</v>
      </c>
    </row>
    <row r="3726">
      <c r="O3726" s="1" t="str">
        <f>IFERROR(__xludf.DUMMYFUNCTION("""COMPUTED_VALUE"""),"#VALUE!")</f>
        <v>#VALUE!</v>
      </c>
      <c r="P3726" s="1" t="str">
        <f>IFERROR(__xludf.DUMMYFUNCTION("""COMPUTED_VALUE"""),"#N/A")</f>
        <v>#N/A</v>
      </c>
      <c r="Q3726" s="1"/>
      <c r="R3726" s="1"/>
      <c r="S3726" s="1"/>
      <c r="T3726" s="1"/>
      <c r="U3726" s="2">
        <f>IFERROR(__xludf.DUMMYFUNCTION("""COMPUTED_VALUE"""),0.0)</f>
        <v>0</v>
      </c>
      <c r="V3726" s="1" t="str">
        <f>IFERROR(__xludf.DUMMYFUNCTION("""COMPUTED_VALUE"""),"#N/A")</f>
        <v>#N/A</v>
      </c>
      <c r="W3726" s="1" t="str">
        <f>IFERROR(__xludf.DUMMYFUNCTION("""COMPUTED_VALUE"""),"#N/A")</f>
        <v>#N/A</v>
      </c>
    </row>
    <row r="3727">
      <c r="O3727" s="1" t="str">
        <f>IFERROR(__xludf.DUMMYFUNCTION("""COMPUTED_VALUE"""),"#VALUE!")</f>
        <v>#VALUE!</v>
      </c>
      <c r="P3727" s="1" t="str">
        <f>IFERROR(__xludf.DUMMYFUNCTION("""COMPUTED_VALUE"""),"#N/A")</f>
        <v>#N/A</v>
      </c>
      <c r="Q3727" s="1"/>
      <c r="R3727" s="1"/>
      <c r="S3727" s="1"/>
      <c r="T3727" s="1"/>
      <c r="U3727" s="2">
        <f>IFERROR(__xludf.DUMMYFUNCTION("""COMPUTED_VALUE"""),0.0)</f>
        <v>0</v>
      </c>
      <c r="V3727" s="1" t="str">
        <f>IFERROR(__xludf.DUMMYFUNCTION("""COMPUTED_VALUE"""),"#N/A")</f>
        <v>#N/A</v>
      </c>
      <c r="W3727" s="1" t="str">
        <f>IFERROR(__xludf.DUMMYFUNCTION("""COMPUTED_VALUE"""),"#N/A")</f>
        <v>#N/A</v>
      </c>
    </row>
    <row r="3728">
      <c r="O3728" s="1" t="str">
        <f>IFERROR(__xludf.DUMMYFUNCTION("""COMPUTED_VALUE"""),"#VALUE!")</f>
        <v>#VALUE!</v>
      </c>
      <c r="P3728" s="1" t="str">
        <f>IFERROR(__xludf.DUMMYFUNCTION("""COMPUTED_VALUE"""),"#N/A")</f>
        <v>#N/A</v>
      </c>
      <c r="Q3728" s="1"/>
      <c r="R3728" s="1"/>
      <c r="S3728" s="1"/>
      <c r="T3728" s="1"/>
      <c r="U3728" s="2">
        <f>IFERROR(__xludf.DUMMYFUNCTION("""COMPUTED_VALUE"""),0.0)</f>
        <v>0</v>
      </c>
      <c r="V3728" s="1" t="str">
        <f>IFERROR(__xludf.DUMMYFUNCTION("""COMPUTED_VALUE"""),"#N/A")</f>
        <v>#N/A</v>
      </c>
      <c r="W3728" s="1" t="str">
        <f>IFERROR(__xludf.DUMMYFUNCTION("""COMPUTED_VALUE"""),"#N/A")</f>
        <v>#N/A</v>
      </c>
    </row>
    <row r="3729">
      <c r="O3729" s="1" t="str">
        <f>IFERROR(__xludf.DUMMYFUNCTION("""COMPUTED_VALUE"""),"#VALUE!")</f>
        <v>#VALUE!</v>
      </c>
      <c r="P3729" s="1" t="str">
        <f>IFERROR(__xludf.DUMMYFUNCTION("""COMPUTED_VALUE"""),"#N/A")</f>
        <v>#N/A</v>
      </c>
      <c r="Q3729" s="1"/>
      <c r="R3729" s="1"/>
      <c r="S3729" s="1"/>
      <c r="T3729" s="1"/>
      <c r="U3729" s="2">
        <f>IFERROR(__xludf.DUMMYFUNCTION("""COMPUTED_VALUE"""),0.0)</f>
        <v>0</v>
      </c>
      <c r="V3729" s="1" t="str">
        <f>IFERROR(__xludf.DUMMYFUNCTION("""COMPUTED_VALUE"""),"#N/A")</f>
        <v>#N/A</v>
      </c>
      <c r="W3729" s="1" t="str">
        <f>IFERROR(__xludf.DUMMYFUNCTION("""COMPUTED_VALUE"""),"#N/A")</f>
        <v>#N/A</v>
      </c>
    </row>
    <row r="3730">
      <c r="O3730" s="1" t="str">
        <f>IFERROR(__xludf.DUMMYFUNCTION("""COMPUTED_VALUE"""),"#VALUE!")</f>
        <v>#VALUE!</v>
      </c>
      <c r="P3730" s="1" t="str">
        <f>IFERROR(__xludf.DUMMYFUNCTION("""COMPUTED_VALUE"""),"#N/A")</f>
        <v>#N/A</v>
      </c>
      <c r="Q3730" s="1"/>
      <c r="R3730" s="1"/>
      <c r="S3730" s="1"/>
      <c r="T3730" s="1"/>
      <c r="U3730" s="2">
        <f>IFERROR(__xludf.DUMMYFUNCTION("""COMPUTED_VALUE"""),0.0)</f>
        <v>0</v>
      </c>
      <c r="V3730" s="1" t="str">
        <f>IFERROR(__xludf.DUMMYFUNCTION("""COMPUTED_VALUE"""),"#N/A")</f>
        <v>#N/A</v>
      </c>
      <c r="W3730" s="1" t="str">
        <f>IFERROR(__xludf.DUMMYFUNCTION("""COMPUTED_VALUE"""),"#N/A")</f>
        <v>#N/A</v>
      </c>
    </row>
    <row r="3731">
      <c r="O3731" s="1" t="str">
        <f>IFERROR(__xludf.DUMMYFUNCTION("""COMPUTED_VALUE"""),"#VALUE!")</f>
        <v>#VALUE!</v>
      </c>
      <c r="P3731" s="1" t="str">
        <f>IFERROR(__xludf.DUMMYFUNCTION("""COMPUTED_VALUE"""),"#N/A")</f>
        <v>#N/A</v>
      </c>
      <c r="Q3731" s="1"/>
      <c r="R3731" s="1"/>
      <c r="S3731" s="1"/>
      <c r="T3731" s="1"/>
      <c r="U3731" s="2">
        <f>IFERROR(__xludf.DUMMYFUNCTION("""COMPUTED_VALUE"""),0.0)</f>
        <v>0</v>
      </c>
      <c r="V3731" s="1" t="str">
        <f>IFERROR(__xludf.DUMMYFUNCTION("""COMPUTED_VALUE"""),"#N/A")</f>
        <v>#N/A</v>
      </c>
      <c r="W3731" s="1" t="str">
        <f>IFERROR(__xludf.DUMMYFUNCTION("""COMPUTED_VALUE"""),"#N/A")</f>
        <v>#N/A</v>
      </c>
    </row>
    <row r="3732">
      <c r="O3732" s="1" t="str">
        <f>IFERROR(__xludf.DUMMYFUNCTION("""COMPUTED_VALUE"""),"#VALUE!")</f>
        <v>#VALUE!</v>
      </c>
      <c r="P3732" s="1" t="str">
        <f>IFERROR(__xludf.DUMMYFUNCTION("""COMPUTED_VALUE"""),"#N/A")</f>
        <v>#N/A</v>
      </c>
      <c r="Q3732" s="1"/>
      <c r="R3732" s="1"/>
      <c r="S3732" s="1"/>
      <c r="T3732" s="1"/>
      <c r="U3732" s="2">
        <f>IFERROR(__xludf.DUMMYFUNCTION("""COMPUTED_VALUE"""),0.0)</f>
        <v>0</v>
      </c>
      <c r="V3732" s="1" t="str">
        <f>IFERROR(__xludf.DUMMYFUNCTION("""COMPUTED_VALUE"""),"#N/A")</f>
        <v>#N/A</v>
      </c>
      <c r="W3732" s="1" t="str">
        <f>IFERROR(__xludf.DUMMYFUNCTION("""COMPUTED_VALUE"""),"#N/A")</f>
        <v>#N/A</v>
      </c>
    </row>
    <row r="3733">
      <c r="O3733" s="1" t="str">
        <f>IFERROR(__xludf.DUMMYFUNCTION("""COMPUTED_VALUE"""),"#VALUE!")</f>
        <v>#VALUE!</v>
      </c>
      <c r="P3733" s="1" t="str">
        <f>IFERROR(__xludf.DUMMYFUNCTION("""COMPUTED_VALUE"""),"#N/A")</f>
        <v>#N/A</v>
      </c>
      <c r="Q3733" s="1"/>
      <c r="R3733" s="1"/>
      <c r="S3733" s="1"/>
      <c r="T3733" s="1"/>
      <c r="U3733" s="2">
        <f>IFERROR(__xludf.DUMMYFUNCTION("""COMPUTED_VALUE"""),0.0)</f>
        <v>0</v>
      </c>
      <c r="V3733" s="1" t="str">
        <f>IFERROR(__xludf.DUMMYFUNCTION("""COMPUTED_VALUE"""),"#N/A")</f>
        <v>#N/A</v>
      </c>
      <c r="W3733" s="1" t="str">
        <f>IFERROR(__xludf.DUMMYFUNCTION("""COMPUTED_VALUE"""),"#N/A")</f>
        <v>#N/A</v>
      </c>
    </row>
    <row r="3734">
      <c r="O3734" s="1" t="str">
        <f>IFERROR(__xludf.DUMMYFUNCTION("""COMPUTED_VALUE"""),"#VALUE!")</f>
        <v>#VALUE!</v>
      </c>
      <c r="P3734" s="1" t="str">
        <f>IFERROR(__xludf.DUMMYFUNCTION("""COMPUTED_VALUE"""),"#N/A")</f>
        <v>#N/A</v>
      </c>
      <c r="Q3734" s="1"/>
      <c r="R3734" s="1"/>
      <c r="S3734" s="1"/>
      <c r="T3734" s="1"/>
      <c r="U3734" s="2">
        <f>IFERROR(__xludf.DUMMYFUNCTION("""COMPUTED_VALUE"""),0.0)</f>
        <v>0</v>
      </c>
      <c r="V3734" s="1" t="str">
        <f>IFERROR(__xludf.DUMMYFUNCTION("""COMPUTED_VALUE"""),"#N/A")</f>
        <v>#N/A</v>
      </c>
      <c r="W3734" s="1" t="str">
        <f>IFERROR(__xludf.DUMMYFUNCTION("""COMPUTED_VALUE"""),"#N/A")</f>
        <v>#N/A</v>
      </c>
    </row>
    <row r="3735">
      <c r="O3735" s="1" t="str">
        <f>IFERROR(__xludf.DUMMYFUNCTION("""COMPUTED_VALUE"""),"#VALUE!")</f>
        <v>#VALUE!</v>
      </c>
      <c r="P3735" s="1" t="str">
        <f>IFERROR(__xludf.DUMMYFUNCTION("""COMPUTED_VALUE"""),"#N/A")</f>
        <v>#N/A</v>
      </c>
      <c r="Q3735" s="1"/>
      <c r="R3735" s="1"/>
      <c r="S3735" s="1"/>
      <c r="T3735" s="1"/>
      <c r="U3735" s="2">
        <f>IFERROR(__xludf.DUMMYFUNCTION("""COMPUTED_VALUE"""),0.0)</f>
        <v>0</v>
      </c>
      <c r="V3735" s="1" t="str">
        <f>IFERROR(__xludf.DUMMYFUNCTION("""COMPUTED_VALUE"""),"#N/A")</f>
        <v>#N/A</v>
      </c>
      <c r="W3735" s="1" t="str">
        <f>IFERROR(__xludf.DUMMYFUNCTION("""COMPUTED_VALUE"""),"#N/A")</f>
        <v>#N/A</v>
      </c>
    </row>
    <row r="3736">
      <c r="O3736" s="1" t="str">
        <f>IFERROR(__xludf.DUMMYFUNCTION("""COMPUTED_VALUE"""),"#VALUE!")</f>
        <v>#VALUE!</v>
      </c>
      <c r="P3736" s="1" t="str">
        <f>IFERROR(__xludf.DUMMYFUNCTION("""COMPUTED_VALUE"""),"#N/A")</f>
        <v>#N/A</v>
      </c>
      <c r="Q3736" s="1"/>
      <c r="R3736" s="1"/>
      <c r="S3736" s="1"/>
      <c r="T3736" s="1"/>
      <c r="U3736" s="2">
        <f>IFERROR(__xludf.DUMMYFUNCTION("""COMPUTED_VALUE"""),0.0)</f>
        <v>0</v>
      </c>
      <c r="V3736" s="1" t="str">
        <f>IFERROR(__xludf.DUMMYFUNCTION("""COMPUTED_VALUE"""),"#N/A")</f>
        <v>#N/A</v>
      </c>
      <c r="W3736" s="1" t="str">
        <f>IFERROR(__xludf.DUMMYFUNCTION("""COMPUTED_VALUE"""),"#N/A")</f>
        <v>#N/A</v>
      </c>
    </row>
    <row r="3737">
      <c r="O3737" s="1" t="str">
        <f>IFERROR(__xludf.DUMMYFUNCTION("""COMPUTED_VALUE"""),"#VALUE!")</f>
        <v>#VALUE!</v>
      </c>
      <c r="P3737" s="1" t="str">
        <f>IFERROR(__xludf.DUMMYFUNCTION("""COMPUTED_VALUE"""),"#N/A")</f>
        <v>#N/A</v>
      </c>
      <c r="Q3737" s="1"/>
      <c r="R3737" s="1"/>
      <c r="S3737" s="1"/>
      <c r="T3737" s="1"/>
      <c r="U3737" s="2">
        <f>IFERROR(__xludf.DUMMYFUNCTION("""COMPUTED_VALUE"""),0.0)</f>
        <v>0</v>
      </c>
      <c r="V3737" s="1" t="str">
        <f>IFERROR(__xludf.DUMMYFUNCTION("""COMPUTED_VALUE"""),"#N/A")</f>
        <v>#N/A</v>
      </c>
      <c r="W3737" s="1" t="str">
        <f>IFERROR(__xludf.DUMMYFUNCTION("""COMPUTED_VALUE"""),"#N/A")</f>
        <v>#N/A</v>
      </c>
    </row>
    <row r="3738">
      <c r="O3738" s="1" t="str">
        <f>IFERROR(__xludf.DUMMYFUNCTION("""COMPUTED_VALUE"""),"#VALUE!")</f>
        <v>#VALUE!</v>
      </c>
      <c r="P3738" s="1" t="str">
        <f>IFERROR(__xludf.DUMMYFUNCTION("""COMPUTED_VALUE"""),"#N/A")</f>
        <v>#N/A</v>
      </c>
      <c r="Q3738" s="1"/>
      <c r="R3738" s="1"/>
      <c r="S3738" s="1"/>
      <c r="T3738" s="1"/>
      <c r="U3738" s="2">
        <f>IFERROR(__xludf.DUMMYFUNCTION("""COMPUTED_VALUE"""),0.0)</f>
        <v>0</v>
      </c>
      <c r="V3738" s="1" t="str">
        <f>IFERROR(__xludf.DUMMYFUNCTION("""COMPUTED_VALUE"""),"#N/A")</f>
        <v>#N/A</v>
      </c>
      <c r="W3738" s="1" t="str">
        <f>IFERROR(__xludf.DUMMYFUNCTION("""COMPUTED_VALUE"""),"#N/A")</f>
        <v>#N/A</v>
      </c>
    </row>
    <row r="3739">
      <c r="O3739" s="1" t="str">
        <f>IFERROR(__xludf.DUMMYFUNCTION("""COMPUTED_VALUE"""),"#VALUE!")</f>
        <v>#VALUE!</v>
      </c>
      <c r="P3739" s="1" t="str">
        <f>IFERROR(__xludf.DUMMYFUNCTION("""COMPUTED_VALUE"""),"#N/A")</f>
        <v>#N/A</v>
      </c>
      <c r="Q3739" s="1"/>
      <c r="R3739" s="1"/>
      <c r="S3739" s="1"/>
      <c r="T3739" s="1"/>
      <c r="U3739" s="2">
        <f>IFERROR(__xludf.DUMMYFUNCTION("""COMPUTED_VALUE"""),0.0)</f>
        <v>0</v>
      </c>
      <c r="V3739" s="1" t="str">
        <f>IFERROR(__xludf.DUMMYFUNCTION("""COMPUTED_VALUE"""),"#N/A")</f>
        <v>#N/A</v>
      </c>
      <c r="W3739" s="1" t="str">
        <f>IFERROR(__xludf.DUMMYFUNCTION("""COMPUTED_VALUE"""),"#N/A")</f>
        <v>#N/A</v>
      </c>
    </row>
    <row r="3740">
      <c r="O3740" s="1" t="str">
        <f>IFERROR(__xludf.DUMMYFUNCTION("""COMPUTED_VALUE"""),"#VALUE!")</f>
        <v>#VALUE!</v>
      </c>
      <c r="P3740" s="1" t="str">
        <f>IFERROR(__xludf.DUMMYFUNCTION("""COMPUTED_VALUE"""),"#N/A")</f>
        <v>#N/A</v>
      </c>
      <c r="Q3740" s="1"/>
      <c r="R3740" s="1"/>
      <c r="S3740" s="1"/>
      <c r="T3740" s="1"/>
      <c r="U3740" s="2">
        <f>IFERROR(__xludf.DUMMYFUNCTION("""COMPUTED_VALUE"""),0.0)</f>
        <v>0</v>
      </c>
      <c r="V3740" s="1" t="str">
        <f>IFERROR(__xludf.DUMMYFUNCTION("""COMPUTED_VALUE"""),"#N/A")</f>
        <v>#N/A</v>
      </c>
      <c r="W3740" s="1" t="str">
        <f>IFERROR(__xludf.DUMMYFUNCTION("""COMPUTED_VALUE"""),"#N/A")</f>
        <v>#N/A</v>
      </c>
    </row>
    <row r="3741">
      <c r="O3741" s="1" t="str">
        <f>IFERROR(__xludf.DUMMYFUNCTION("""COMPUTED_VALUE"""),"#VALUE!")</f>
        <v>#VALUE!</v>
      </c>
      <c r="P3741" s="1" t="str">
        <f>IFERROR(__xludf.DUMMYFUNCTION("""COMPUTED_VALUE"""),"#N/A")</f>
        <v>#N/A</v>
      </c>
      <c r="Q3741" s="1"/>
      <c r="R3741" s="1"/>
      <c r="S3741" s="1"/>
      <c r="T3741" s="1"/>
      <c r="U3741" s="2">
        <f>IFERROR(__xludf.DUMMYFUNCTION("""COMPUTED_VALUE"""),0.0)</f>
        <v>0</v>
      </c>
      <c r="V3741" s="1" t="str">
        <f>IFERROR(__xludf.DUMMYFUNCTION("""COMPUTED_VALUE"""),"#N/A")</f>
        <v>#N/A</v>
      </c>
      <c r="W3741" s="1" t="str">
        <f>IFERROR(__xludf.DUMMYFUNCTION("""COMPUTED_VALUE"""),"#N/A")</f>
        <v>#N/A</v>
      </c>
    </row>
    <row r="3742">
      <c r="O3742" s="1" t="str">
        <f>IFERROR(__xludf.DUMMYFUNCTION("""COMPUTED_VALUE"""),"#VALUE!")</f>
        <v>#VALUE!</v>
      </c>
      <c r="P3742" s="1" t="str">
        <f>IFERROR(__xludf.DUMMYFUNCTION("""COMPUTED_VALUE"""),"#N/A")</f>
        <v>#N/A</v>
      </c>
      <c r="Q3742" s="1"/>
      <c r="R3742" s="1"/>
      <c r="S3742" s="1"/>
      <c r="T3742" s="1"/>
      <c r="U3742" s="2">
        <f>IFERROR(__xludf.DUMMYFUNCTION("""COMPUTED_VALUE"""),0.0)</f>
        <v>0</v>
      </c>
      <c r="V3742" s="1" t="str">
        <f>IFERROR(__xludf.DUMMYFUNCTION("""COMPUTED_VALUE"""),"#N/A")</f>
        <v>#N/A</v>
      </c>
      <c r="W3742" s="1" t="str">
        <f>IFERROR(__xludf.DUMMYFUNCTION("""COMPUTED_VALUE"""),"#N/A")</f>
        <v>#N/A</v>
      </c>
    </row>
    <row r="3743">
      <c r="O3743" s="1" t="str">
        <f>IFERROR(__xludf.DUMMYFUNCTION("""COMPUTED_VALUE"""),"#VALUE!")</f>
        <v>#VALUE!</v>
      </c>
      <c r="P3743" s="1" t="str">
        <f>IFERROR(__xludf.DUMMYFUNCTION("""COMPUTED_VALUE"""),"#N/A")</f>
        <v>#N/A</v>
      </c>
      <c r="Q3743" s="1"/>
      <c r="R3743" s="1"/>
      <c r="S3743" s="1"/>
      <c r="T3743" s="1"/>
      <c r="U3743" s="2">
        <f>IFERROR(__xludf.DUMMYFUNCTION("""COMPUTED_VALUE"""),0.0)</f>
        <v>0</v>
      </c>
      <c r="V3743" s="1" t="str">
        <f>IFERROR(__xludf.DUMMYFUNCTION("""COMPUTED_VALUE"""),"#N/A")</f>
        <v>#N/A</v>
      </c>
      <c r="W3743" s="1" t="str">
        <f>IFERROR(__xludf.DUMMYFUNCTION("""COMPUTED_VALUE"""),"#N/A")</f>
        <v>#N/A</v>
      </c>
    </row>
    <row r="3744">
      <c r="O3744" s="1" t="str">
        <f>IFERROR(__xludf.DUMMYFUNCTION("""COMPUTED_VALUE"""),"#VALUE!")</f>
        <v>#VALUE!</v>
      </c>
      <c r="P3744" s="1" t="str">
        <f>IFERROR(__xludf.DUMMYFUNCTION("""COMPUTED_VALUE"""),"#N/A")</f>
        <v>#N/A</v>
      </c>
      <c r="Q3744" s="1"/>
      <c r="R3744" s="1"/>
      <c r="S3744" s="1"/>
      <c r="T3744" s="1"/>
      <c r="U3744" s="2">
        <f>IFERROR(__xludf.DUMMYFUNCTION("""COMPUTED_VALUE"""),0.0)</f>
        <v>0</v>
      </c>
      <c r="V3744" s="1" t="str">
        <f>IFERROR(__xludf.DUMMYFUNCTION("""COMPUTED_VALUE"""),"#N/A")</f>
        <v>#N/A</v>
      </c>
      <c r="W3744" s="1" t="str">
        <f>IFERROR(__xludf.DUMMYFUNCTION("""COMPUTED_VALUE"""),"#N/A")</f>
        <v>#N/A</v>
      </c>
    </row>
    <row r="3745">
      <c r="O3745" s="1" t="str">
        <f>IFERROR(__xludf.DUMMYFUNCTION("""COMPUTED_VALUE"""),"#VALUE!")</f>
        <v>#VALUE!</v>
      </c>
      <c r="P3745" s="1" t="str">
        <f>IFERROR(__xludf.DUMMYFUNCTION("""COMPUTED_VALUE"""),"#N/A")</f>
        <v>#N/A</v>
      </c>
      <c r="Q3745" s="1"/>
      <c r="R3745" s="1"/>
      <c r="S3745" s="1"/>
      <c r="T3745" s="1"/>
      <c r="U3745" s="2">
        <f>IFERROR(__xludf.DUMMYFUNCTION("""COMPUTED_VALUE"""),0.0)</f>
        <v>0</v>
      </c>
      <c r="V3745" s="1" t="str">
        <f>IFERROR(__xludf.DUMMYFUNCTION("""COMPUTED_VALUE"""),"#N/A")</f>
        <v>#N/A</v>
      </c>
      <c r="W3745" s="1" t="str">
        <f>IFERROR(__xludf.DUMMYFUNCTION("""COMPUTED_VALUE"""),"#N/A")</f>
        <v>#N/A</v>
      </c>
    </row>
    <row r="3746">
      <c r="O3746" s="1" t="str">
        <f>IFERROR(__xludf.DUMMYFUNCTION("""COMPUTED_VALUE"""),"#VALUE!")</f>
        <v>#VALUE!</v>
      </c>
      <c r="P3746" s="1" t="str">
        <f>IFERROR(__xludf.DUMMYFUNCTION("""COMPUTED_VALUE"""),"#N/A")</f>
        <v>#N/A</v>
      </c>
      <c r="Q3746" s="1"/>
      <c r="R3746" s="1"/>
      <c r="S3746" s="1"/>
      <c r="T3746" s="1"/>
      <c r="U3746" s="2">
        <f>IFERROR(__xludf.DUMMYFUNCTION("""COMPUTED_VALUE"""),0.0)</f>
        <v>0</v>
      </c>
      <c r="V3746" s="1" t="str">
        <f>IFERROR(__xludf.DUMMYFUNCTION("""COMPUTED_VALUE"""),"#N/A")</f>
        <v>#N/A</v>
      </c>
      <c r="W3746" s="1" t="str">
        <f>IFERROR(__xludf.DUMMYFUNCTION("""COMPUTED_VALUE"""),"#N/A")</f>
        <v>#N/A</v>
      </c>
    </row>
    <row r="3747">
      <c r="O3747" s="1" t="str">
        <f>IFERROR(__xludf.DUMMYFUNCTION("""COMPUTED_VALUE"""),"#VALUE!")</f>
        <v>#VALUE!</v>
      </c>
      <c r="P3747" s="1" t="str">
        <f>IFERROR(__xludf.DUMMYFUNCTION("""COMPUTED_VALUE"""),"#N/A")</f>
        <v>#N/A</v>
      </c>
      <c r="Q3747" s="1"/>
      <c r="R3747" s="1"/>
      <c r="S3747" s="1"/>
      <c r="T3747" s="1"/>
      <c r="U3747" s="2">
        <f>IFERROR(__xludf.DUMMYFUNCTION("""COMPUTED_VALUE"""),0.0)</f>
        <v>0</v>
      </c>
      <c r="V3747" s="1" t="str">
        <f>IFERROR(__xludf.DUMMYFUNCTION("""COMPUTED_VALUE"""),"#N/A")</f>
        <v>#N/A</v>
      </c>
      <c r="W3747" s="1" t="str">
        <f>IFERROR(__xludf.DUMMYFUNCTION("""COMPUTED_VALUE"""),"#N/A")</f>
        <v>#N/A</v>
      </c>
    </row>
    <row r="3748">
      <c r="O3748" s="1" t="str">
        <f>IFERROR(__xludf.DUMMYFUNCTION("""COMPUTED_VALUE"""),"#VALUE!")</f>
        <v>#VALUE!</v>
      </c>
      <c r="P3748" s="1" t="str">
        <f>IFERROR(__xludf.DUMMYFUNCTION("""COMPUTED_VALUE"""),"#N/A")</f>
        <v>#N/A</v>
      </c>
      <c r="Q3748" s="1"/>
      <c r="R3748" s="1"/>
      <c r="S3748" s="1"/>
      <c r="T3748" s="1"/>
      <c r="U3748" s="2">
        <f>IFERROR(__xludf.DUMMYFUNCTION("""COMPUTED_VALUE"""),0.0)</f>
        <v>0</v>
      </c>
      <c r="V3748" s="1" t="str">
        <f>IFERROR(__xludf.DUMMYFUNCTION("""COMPUTED_VALUE"""),"#N/A")</f>
        <v>#N/A</v>
      </c>
      <c r="W3748" s="1" t="str">
        <f>IFERROR(__xludf.DUMMYFUNCTION("""COMPUTED_VALUE"""),"#N/A")</f>
        <v>#N/A</v>
      </c>
    </row>
    <row r="3749">
      <c r="O3749" s="1" t="str">
        <f>IFERROR(__xludf.DUMMYFUNCTION("""COMPUTED_VALUE"""),"#VALUE!")</f>
        <v>#VALUE!</v>
      </c>
      <c r="P3749" s="1" t="str">
        <f>IFERROR(__xludf.DUMMYFUNCTION("""COMPUTED_VALUE"""),"#N/A")</f>
        <v>#N/A</v>
      </c>
      <c r="Q3749" s="1"/>
      <c r="R3749" s="1"/>
      <c r="S3749" s="1"/>
      <c r="T3749" s="1"/>
      <c r="U3749" s="2">
        <f>IFERROR(__xludf.DUMMYFUNCTION("""COMPUTED_VALUE"""),0.0)</f>
        <v>0</v>
      </c>
      <c r="V3749" s="1" t="str">
        <f>IFERROR(__xludf.DUMMYFUNCTION("""COMPUTED_VALUE"""),"#N/A")</f>
        <v>#N/A</v>
      </c>
      <c r="W3749" s="1" t="str">
        <f>IFERROR(__xludf.DUMMYFUNCTION("""COMPUTED_VALUE"""),"#N/A")</f>
        <v>#N/A</v>
      </c>
    </row>
    <row r="3750">
      <c r="O3750" s="1" t="str">
        <f>IFERROR(__xludf.DUMMYFUNCTION("""COMPUTED_VALUE"""),"#VALUE!")</f>
        <v>#VALUE!</v>
      </c>
      <c r="P3750" s="1" t="str">
        <f>IFERROR(__xludf.DUMMYFUNCTION("""COMPUTED_VALUE"""),"#N/A")</f>
        <v>#N/A</v>
      </c>
      <c r="Q3750" s="1"/>
      <c r="R3750" s="1"/>
      <c r="S3750" s="1"/>
      <c r="T3750" s="1"/>
      <c r="U3750" s="2">
        <f>IFERROR(__xludf.DUMMYFUNCTION("""COMPUTED_VALUE"""),0.0)</f>
        <v>0</v>
      </c>
      <c r="V3750" s="1" t="str">
        <f>IFERROR(__xludf.DUMMYFUNCTION("""COMPUTED_VALUE"""),"#N/A")</f>
        <v>#N/A</v>
      </c>
      <c r="W3750" s="1" t="str">
        <f>IFERROR(__xludf.DUMMYFUNCTION("""COMPUTED_VALUE"""),"#N/A")</f>
        <v>#N/A</v>
      </c>
    </row>
    <row r="3751">
      <c r="O3751" s="1" t="str">
        <f>IFERROR(__xludf.DUMMYFUNCTION("""COMPUTED_VALUE"""),"#VALUE!")</f>
        <v>#VALUE!</v>
      </c>
      <c r="P3751" s="1" t="str">
        <f>IFERROR(__xludf.DUMMYFUNCTION("""COMPUTED_VALUE"""),"#N/A")</f>
        <v>#N/A</v>
      </c>
      <c r="Q3751" s="1"/>
      <c r="R3751" s="1"/>
      <c r="S3751" s="1"/>
      <c r="T3751" s="1"/>
      <c r="U3751" s="2">
        <f>IFERROR(__xludf.DUMMYFUNCTION("""COMPUTED_VALUE"""),0.0)</f>
        <v>0</v>
      </c>
      <c r="V3751" s="1" t="str">
        <f>IFERROR(__xludf.DUMMYFUNCTION("""COMPUTED_VALUE"""),"#N/A")</f>
        <v>#N/A</v>
      </c>
      <c r="W3751" s="1" t="str">
        <f>IFERROR(__xludf.DUMMYFUNCTION("""COMPUTED_VALUE"""),"#N/A")</f>
        <v>#N/A</v>
      </c>
    </row>
    <row r="3752">
      <c r="O3752" s="1" t="str">
        <f>IFERROR(__xludf.DUMMYFUNCTION("""COMPUTED_VALUE"""),"#VALUE!")</f>
        <v>#VALUE!</v>
      </c>
      <c r="P3752" s="1" t="str">
        <f>IFERROR(__xludf.DUMMYFUNCTION("""COMPUTED_VALUE"""),"#N/A")</f>
        <v>#N/A</v>
      </c>
      <c r="Q3752" s="1"/>
      <c r="R3752" s="1"/>
      <c r="S3752" s="1"/>
      <c r="T3752" s="1"/>
      <c r="U3752" s="2">
        <f>IFERROR(__xludf.DUMMYFUNCTION("""COMPUTED_VALUE"""),0.0)</f>
        <v>0</v>
      </c>
      <c r="V3752" s="1" t="str">
        <f>IFERROR(__xludf.DUMMYFUNCTION("""COMPUTED_VALUE"""),"#N/A")</f>
        <v>#N/A</v>
      </c>
      <c r="W3752" s="1" t="str">
        <f>IFERROR(__xludf.DUMMYFUNCTION("""COMPUTED_VALUE"""),"#N/A")</f>
        <v>#N/A</v>
      </c>
    </row>
    <row r="3753">
      <c r="O3753" s="1" t="str">
        <f>IFERROR(__xludf.DUMMYFUNCTION("""COMPUTED_VALUE"""),"#VALUE!")</f>
        <v>#VALUE!</v>
      </c>
      <c r="P3753" s="1" t="str">
        <f>IFERROR(__xludf.DUMMYFUNCTION("""COMPUTED_VALUE"""),"#N/A")</f>
        <v>#N/A</v>
      </c>
      <c r="Q3753" s="1"/>
      <c r="R3753" s="1"/>
      <c r="S3753" s="1"/>
      <c r="T3753" s="1"/>
      <c r="U3753" s="2">
        <f>IFERROR(__xludf.DUMMYFUNCTION("""COMPUTED_VALUE"""),0.0)</f>
        <v>0</v>
      </c>
      <c r="V3753" s="1" t="str">
        <f>IFERROR(__xludf.DUMMYFUNCTION("""COMPUTED_VALUE"""),"#N/A")</f>
        <v>#N/A</v>
      </c>
      <c r="W3753" s="1" t="str">
        <f>IFERROR(__xludf.DUMMYFUNCTION("""COMPUTED_VALUE"""),"#N/A")</f>
        <v>#N/A</v>
      </c>
    </row>
    <row r="3754">
      <c r="O3754" s="1" t="str">
        <f>IFERROR(__xludf.DUMMYFUNCTION("""COMPUTED_VALUE"""),"#VALUE!")</f>
        <v>#VALUE!</v>
      </c>
      <c r="P3754" s="1" t="str">
        <f>IFERROR(__xludf.DUMMYFUNCTION("""COMPUTED_VALUE"""),"#N/A")</f>
        <v>#N/A</v>
      </c>
      <c r="Q3754" s="1"/>
      <c r="R3754" s="1"/>
      <c r="S3754" s="1"/>
      <c r="T3754" s="1"/>
      <c r="U3754" s="2">
        <f>IFERROR(__xludf.DUMMYFUNCTION("""COMPUTED_VALUE"""),0.0)</f>
        <v>0</v>
      </c>
      <c r="V3754" s="1" t="str">
        <f>IFERROR(__xludf.DUMMYFUNCTION("""COMPUTED_VALUE"""),"#N/A")</f>
        <v>#N/A</v>
      </c>
      <c r="W3754" s="1" t="str">
        <f>IFERROR(__xludf.DUMMYFUNCTION("""COMPUTED_VALUE"""),"#N/A")</f>
        <v>#N/A</v>
      </c>
    </row>
    <row r="3755">
      <c r="O3755" s="1" t="str">
        <f>IFERROR(__xludf.DUMMYFUNCTION("""COMPUTED_VALUE"""),"#VALUE!")</f>
        <v>#VALUE!</v>
      </c>
      <c r="P3755" s="1" t="str">
        <f>IFERROR(__xludf.DUMMYFUNCTION("""COMPUTED_VALUE"""),"#N/A")</f>
        <v>#N/A</v>
      </c>
      <c r="Q3755" s="1"/>
      <c r="R3755" s="1"/>
      <c r="S3755" s="1"/>
      <c r="T3755" s="1"/>
      <c r="U3755" s="2">
        <f>IFERROR(__xludf.DUMMYFUNCTION("""COMPUTED_VALUE"""),0.0)</f>
        <v>0</v>
      </c>
      <c r="V3755" s="1" t="str">
        <f>IFERROR(__xludf.DUMMYFUNCTION("""COMPUTED_VALUE"""),"#N/A")</f>
        <v>#N/A</v>
      </c>
      <c r="W3755" s="1" t="str">
        <f>IFERROR(__xludf.DUMMYFUNCTION("""COMPUTED_VALUE"""),"#N/A")</f>
        <v>#N/A</v>
      </c>
    </row>
    <row r="3756">
      <c r="O3756" s="1" t="str">
        <f>IFERROR(__xludf.DUMMYFUNCTION("""COMPUTED_VALUE"""),"#VALUE!")</f>
        <v>#VALUE!</v>
      </c>
      <c r="P3756" s="1" t="str">
        <f>IFERROR(__xludf.DUMMYFUNCTION("""COMPUTED_VALUE"""),"#N/A")</f>
        <v>#N/A</v>
      </c>
      <c r="Q3756" s="1"/>
      <c r="R3756" s="1"/>
      <c r="S3756" s="1"/>
      <c r="T3756" s="1"/>
      <c r="U3756" s="2">
        <f>IFERROR(__xludf.DUMMYFUNCTION("""COMPUTED_VALUE"""),0.0)</f>
        <v>0</v>
      </c>
      <c r="V3756" s="1" t="str">
        <f>IFERROR(__xludf.DUMMYFUNCTION("""COMPUTED_VALUE"""),"#N/A")</f>
        <v>#N/A</v>
      </c>
      <c r="W3756" s="1" t="str">
        <f>IFERROR(__xludf.DUMMYFUNCTION("""COMPUTED_VALUE"""),"#N/A")</f>
        <v>#N/A</v>
      </c>
    </row>
    <row r="3757">
      <c r="O3757" s="1" t="str">
        <f>IFERROR(__xludf.DUMMYFUNCTION("""COMPUTED_VALUE"""),"#VALUE!")</f>
        <v>#VALUE!</v>
      </c>
      <c r="P3757" s="1" t="str">
        <f>IFERROR(__xludf.DUMMYFUNCTION("""COMPUTED_VALUE"""),"#N/A")</f>
        <v>#N/A</v>
      </c>
      <c r="Q3757" s="1"/>
      <c r="R3757" s="1"/>
      <c r="S3757" s="1"/>
      <c r="T3757" s="1"/>
      <c r="U3757" s="2">
        <f>IFERROR(__xludf.DUMMYFUNCTION("""COMPUTED_VALUE"""),0.0)</f>
        <v>0</v>
      </c>
      <c r="V3757" s="1" t="str">
        <f>IFERROR(__xludf.DUMMYFUNCTION("""COMPUTED_VALUE"""),"#N/A")</f>
        <v>#N/A</v>
      </c>
      <c r="W3757" s="1" t="str">
        <f>IFERROR(__xludf.DUMMYFUNCTION("""COMPUTED_VALUE"""),"#N/A")</f>
        <v>#N/A</v>
      </c>
    </row>
    <row r="3758">
      <c r="O3758" s="1" t="str">
        <f>IFERROR(__xludf.DUMMYFUNCTION("""COMPUTED_VALUE"""),"#VALUE!")</f>
        <v>#VALUE!</v>
      </c>
      <c r="P3758" s="1" t="str">
        <f>IFERROR(__xludf.DUMMYFUNCTION("""COMPUTED_VALUE"""),"#N/A")</f>
        <v>#N/A</v>
      </c>
      <c r="Q3758" s="1"/>
      <c r="R3758" s="1"/>
      <c r="S3758" s="1"/>
      <c r="T3758" s="1"/>
      <c r="U3758" s="2">
        <f>IFERROR(__xludf.DUMMYFUNCTION("""COMPUTED_VALUE"""),0.0)</f>
        <v>0</v>
      </c>
      <c r="V3758" s="1" t="str">
        <f>IFERROR(__xludf.DUMMYFUNCTION("""COMPUTED_VALUE"""),"#N/A")</f>
        <v>#N/A</v>
      </c>
      <c r="W3758" s="1" t="str">
        <f>IFERROR(__xludf.DUMMYFUNCTION("""COMPUTED_VALUE"""),"#N/A")</f>
        <v>#N/A</v>
      </c>
    </row>
    <row r="3759">
      <c r="O3759" s="1" t="str">
        <f>IFERROR(__xludf.DUMMYFUNCTION("""COMPUTED_VALUE"""),"#VALUE!")</f>
        <v>#VALUE!</v>
      </c>
      <c r="P3759" s="1" t="str">
        <f>IFERROR(__xludf.DUMMYFUNCTION("""COMPUTED_VALUE"""),"#N/A")</f>
        <v>#N/A</v>
      </c>
      <c r="Q3759" s="1"/>
      <c r="R3759" s="1"/>
      <c r="S3759" s="1"/>
      <c r="T3759" s="1"/>
      <c r="U3759" s="2">
        <f>IFERROR(__xludf.DUMMYFUNCTION("""COMPUTED_VALUE"""),0.0)</f>
        <v>0</v>
      </c>
      <c r="V3759" s="1" t="str">
        <f>IFERROR(__xludf.DUMMYFUNCTION("""COMPUTED_VALUE"""),"#N/A")</f>
        <v>#N/A</v>
      </c>
      <c r="W3759" s="1" t="str">
        <f>IFERROR(__xludf.DUMMYFUNCTION("""COMPUTED_VALUE"""),"#N/A")</f>
        <v>#N/A</v>
      </c>
    </row>
    <row r="3760">
      <c r="O3760" s="1" t="str">
        <f>IFERROR(__xludf.DUMMYFUNCTION("""COMPUTED_VALUE"""),"#VALUE!")</f>
        <v>#VALUE!</v>
      </c>
      <c r="P3760" s="1" t="str">
        <f>IFERROR(__xludf.DUMMYFUNCTION("""COMPUTED_VALUE"""),"#N/A")</f>
        <v>#N/A</v>
      </c>
      <c r="Q3760" s="1"/>
      <c r="R3760" s="1"/>
      <c r="S3760" s="1"/>
      <c r="T3760" s="1"/>
      <c r="U3760" s="2">
        <f>IFERROR(__xludf.DUMMYFUNCTION("""COMPUTED_VALUE"""),0.0)</f>
        <v>0</v>
      </c>
      <c r="V3760" s="1" t="str">
        <f>IFERROR(__xludf.DUMMYFUNCTION("""COMPUTED_VALUE"""),"#N/A")</f>
        <v>#N/A</v>
      </c>
      <c r="W3760" s="1" t="str">
        <f>IFERROR(__xludf.DUMMYFUNCTION("""COMPUTED_VALUE"""),"#N/A")</f>
        <v>#N/A</v>
      </c>
    </row>
    <row r="3761">
      <c r="O3761" s="1" t="str">
        <f>IFERROR(__xludf.DUMMYFUNCTION("""COMPUTED_VALUE"""),"#VALUE!")</f>
        <v>#VALUE!</v>
      </c>
      <c r="P3761" s="1" t="str">
        <f>IFERROR(__xludf.DUMMYFUNCTION("""COMPUTED_VALUE"""),"#N/A")</f>
        <v>#N/A</v>
      </c>
      <c r="Q3761" s="1"/>
      <c r="R3761" s="1"/>
      <c r="S3761" s="1"/>
      <c r="T3761" s="1"/>
      <c r="U3761" s="2">
        <f>IFERROR(__xludf.DUMMYFUNCTION("""COMPUTED_VALUE"""),0.0)</f>
        <v>0</v>
      </c>
      <c r="V3761" s="1" t="str">
        <f>IFERROR(__xludf.DUMMYFUNCTION("""COMPUTED_VALUE"""),"#N/A")</f>
        <v>#N/A</v>
      </c>
      <c r="W3761" s="1" t="str">
        <f>IFERROR(__xludf.DUMMYFUNCTION("""COMPUTED_VALUE"""),"#N/A")</f>
        <v>#N/A</v>
      </c>
    </row>
    <row r="3762">
      <c r="O3762" s="1" t="str">
        <f>IFERROR(__xludf.DUMMYFUNCTION("""COMPUTED_VALUE"""),"#VALUE!")</f>
        <v>#VALUE!</v>
      </c>
      <c r="P3762" s="1" t="str">
        <f>IFERROR(__xludf.DUMMYFUNCTION("""COMPUTED_VALUE"""),"#N/A")</f>
        <v>#N/A</v>
      </c>
      <c r="Q3762" s="1"/>
      <c r="R3762" s="1"/>
      <c r="S3762" s="1"/>
      <c r="T3762" s="1"/>
      <c r="U3762" s="2">
        <f>IFERROR(__xludf.DUMMYFUNCTION("""COMPUTED_VALUE"""),0.0)</f>
        <v>0</v>
      </c>
      <c r="V3762" s="1" t="str">
        <f>IFERROR(__xludf.DUMMYFUNCTION("""COMPUTED_VALUE"""),"#N/A")</f>
        <v>#N/A</v>
      </c>
      <c r="W3762" s="1" t="str">
        <f>IFERROR(__xludf.DUMMYFUNCTION("""COMPUTED_VALUE"""),"#N/A")</f>
        <v>#N/A</v>
      </c>
    </row>
    <row r="3763">
      <c r="O3763" s="1" t="str">
        <f>IFERROR(__xludf.DUMMYFUNCTION("""COMPUTED_VALUE"""),"#VALUE!")</f>
        <v>#VALUE!</v>
      </c>
      <c r="P3763" s="1" t="str">
        <f>IFERROR(__xludf.DUMMYFUNCTION("""COMPUTED_VALUE"""),"#N/A")</f>
        <v>#N/A</v>
      </c>
      <c r="Q3763" s="1"/>
      <c r="R3763" s="1"/>
      <c r="S3763" s="1"/>
      <c r="T3763" s="1"/>
      <c r="U3763" s="2">
        <f>IFERROR(__xludf.DUMMYFUNCTION("""COMPUTED_VALUE"""),0.0)</f>
        <v>0</v>
      </c>
      <c r="V3763" s="1" t="str">
        <f>IFERROR(__xludf.DUMMYFUNCTION("""COMPUTED_VALUE"""),"#N/A")</f>
        <v>#N/A</v>
      </c>
      <c r="W3763" s="1" t="str">
        <f>IFERROR(__xludf.DUMMYFUNCTION("""COMPUTED_VALUE"""),"#N/A")</f>
        <v>#N/A</v>
      </c>
    </row>
    <row r="3764">
      <c r="O3764" s="1" t="str">
        <f>IFERROR(__xludf.DUMMYFUNCTION("""COMPUTED_VALUE"""),"#VALUE!")</f>
        <v>#VALUE!</v>
      </c>
      <c r="P3764" s="1" t="str">
        <f>IFERROR(__xludf.DUMMYFUNCTION("""COMPUTED_VALUE"""),"#N/A")</f>
        <v>#N/A</v>
      </c>
      <c r="Q3764" s="1"/>
      <c r="R3764" s="1"/>
      <c r="S3764" s="1"/>
      <c r="T3764" s="1"/>
      <c r="U3764" s="2">
        <f>IFERROR(__xludf.DUMMYFUNCTION("""COMPUTED_VALUE"""),0.0)</f>
        <v>0</v>
      </c>
      <c r="V3764" s="1" t="str">
        <f>IFERROR(__xludf.DUMMYFUNCTION("""COMPUTED_VALUE"""),"#N/A")</f>
        <v>#N/A</v>
      </c>
      <c r="W3764" s="1" t="str">
        <f>IFERROR(__xludf.DUMMYFUNCTION("""COMPUTED_VALUE"""),"#N/A")</f>
        <v>#N/A</v>
      </c>
    </row>
    <row r="3765">
      <c r="O3765" s="1" t="str">
        <f>IFERROR(__xludf.DUMMYFUNCTION("""COMPUTED_VALUE"""),"#VALUE!")</f>
        <v>#VALUE!</v>
      </c>
      <c r="P3765" s="1" t="str">
        <f>IFERROR(__xludf.DUMMYFUNCTION("""COMPUTED_VALUE"""),"#N/A")</f>
        <v>#N/A</v>
      </c>
      <c r="Q3765" s="1"/>
      <c r="R3765" s="1"/>
      <c r="S3765" s="1"/>
      <c r="T3765" s="1"/>
      <c r="U3765" s="2">
        <f>IFERROR(__xludf.DUMMYFUNCTION("""COMPUTED_VALUE"""),0.0)</f>
        <v>0</v>
      </c>
      <c r="V3765" s="1" t="str">
        <f>IFERROR(__xludf.DUMMYFUNCTION("""COMPUTED_VALUE"""),"#N/A")</f>
        <v>#N/A</v>
      </c>
      <c r="W3765" s="1" t="str">
        <f>IFERROR(__xludf.DUMMYFUNCTION("""COMPUTED_VALUE"""),"#N/A")</f>
        <v>#N/A</v>
      </c>
    </row>
    <row r="3766">
      <c r="O3766" s="1" t="str">
        <f>IFERROR(__xludf.DUMMYFUNCTION("""COMPUTED_VALUE"""),"#VALUE!")</f>
        <v>#VALUE!</v>
      </c>
      <c r="P3766" s="1" t="str">
        <f>IFERROR(__xludf.DUMMYFUNCTION("""COMPUTED_VALUE"""),"#N/A")</f>
        <v>#N/A</v>
      </c>
      <c r="Q3766" s="1"/>
      <c r="R3766" s="1"/>
      <c r="S3766" s="1"/>
      <c r="T3766" s="1"/>
      <c r="U3766" s="2">
        <f>IFERROR(__xludf.DUMMYFUNCTION("""COMPUTED_VALUE"""),0.0)</f>
        <v>0</v>
      </c>
      <c r="V3766" s="1" t="str">
        <f>IFERROR(__xludf.DUMMYFUNCTION("""COMPUTED_VALUE"""),"#N/A")</f>
        <v>#N/A</v>
      </c>
      <c r="W3766" s="1" t="str">
        <f>IFERROR(__xludf.DUMMYFUNCTION("""COMPUTED_VALUE"""),"#N/A")</f>
        <v>#N/A</v>
      </c>
    </row>
    <row r="3767">
      <c r="O3767" s="1" t="str">
        <f>IFERROR(__xludf.DUMMYFUNCTION("""COMPUTED_VALUE"""),"#VALUE!")</f>
        <v>#VALUE!</v>
      </c>
      <c r="P3767" s="1" t="str">
        <f>IFERROR(__xludf.DUMMYFUNCTION("""COMPUTED_VALUE"""),"#N/A")</f>
        <v>#N/A</v>
      </c>
      <c r="Q3767" s="1"/>
      <c r="R3767" s="1"/>
      <c r="S3767" s="1"/>
      <c r="T3767" s="1"/>
      <c r="U3767" s="2">
        <f>IFERROR(__xludf.DUMMYFUNCTION("""COMPUTED_VALUE"""),0.0)</f>
        <v>0</v>
      </c>
      <c r="V3767" s="1" t="str">
        <f>IFERROR(__xludf.DUMMYFUNCTION("""COMPUTED_VALUE"""),"#N/A")</f>
        <v>#N/A</v>
      </c>
      <c r="W3767" s="1" t="str">
        <f>IFERROR(__xludf.DUMMYFUNCTION("""COMPUTED_VALUE"""),"#N/A")</f>
        <v>#N/A</v>
      </c>
    </row>
    <row r="3768">
      <c r="O3768" s="1" t="str">
        <f>IFERROR(__xludf.DUMMYFUNCTION("""COMPUTED_VALUE"""),"#VALUE!")</f>
        <v>#VALUE!</v>
      </c>
      <c r="P3768" s="1" t="str">
        <f>IFERROR(__xludf.DUMMYFUNCTION("""COMPUTED_VALUE"""),"#N/A")</f>
        <v>#N/A</v>
      </c>
      <c r="Q3768" s="1"/>
      <c r="R3768" s="1"/>
      <c r="S3768" s="1"/>
      <c r="T3768" s="1"/>
      <c r="U3768" s="2">
        <f>IFERROR(__xludf.DUMMYFUNCTION("""COMPUTED_VALUE"""),0.0)</f>
        <v>0</v>
      </c>
      <c r="V3768" s="1" t="str">
        <f>IFERROR(__xludf.DUMMYFUNCTION("""COMPUTED_VALUE"""),"#N/A")</f>
        <v>#N/A</v>
      </c>
      <c r="W3768" s="1" t="str">
        <f>IFERROR(__xludf.DUMMYFUNCTION("""COMPUTED_VALUE"""),"#N/A")</f>
        <v>#N/A</v>
      </c>
    </row>
    <row r="3769">
      <c r="O3769" s="1" t="str">
        <f>IFERROR(__xludf.DUMMYFUNCTION("""COMPUTED_VALUE"""),"#VALUE!")</f>
        <v>#VALUE!</v>
      </c>
      <c r="P3769" s="1" t="str">
        <f>IFERROR(__xludf.DUMMYFUNCTION("""COMPUTED_VALUE"""),"#N/A")</f>
        <v>#N/A</v>
      </c>
      <c r="Q3769" s="1"/>
      <c r="R3769" s="1"/>
      <c r="S3769" s="1"/>
      <c r="T3769" s="1"/>
      <c r="U3769" s="2">
        <f>IFERROR(__xludf.DUMMYFUNCTION("""COMPUTED_VALUE"""),0.0)</f>
        <v>0</v>
      </c>
      <c r="V3769" s="1" t="str">
        <f>IFERROR(__xludf.DUMMYFUNCTION("""COMPUTED_VALUE"""),"#N/A")</f>
        <v>#N/A</v>
      </c>
      <c r="W3769" s="1" t="str">
        <f>IFERROR(__xludf.DUMMYFUNCTION("""COMPUTED_VALUE"""),"#N/A")</f>
        <v>#N/A</v>
      </c>
    </row>
    <row r="3770">
      <c r="O3770" s="1" t="str">
        <f>IFERROR(__xludf.DUMMYFUNCTION("""COMPUTED_VALUE"""),"#VALUE!")</f>
        <v>#VALUE!</v>
      </c>
      <c r="P3770" s="1" t="str">
        <f>IFERROR(__xludf.DUMMYFUNCTION("""COMPUTED_VALUE"""),"#N/A")</f>
        <v>#N/A</v>
      </c>
      <c r="Q3770" s="1"/>
      <c r="R3770" s="1"/>
      <c r="S3770" s="1"/>
      <c r="T3770" s="1"/>
      <c r="U3770" s="2">
        <f>IFERROR(__xludf.DUMMYFUNCTION("""COMPUTED_VALUE"""),0.0)</f>
        <v>0</v>
      </c>
      <c r="V3770" s="1" t="str">
        <f>IFERROR(__xludf.DUMMYFUNCTION("""COMPUTED_VALUE"""),"#N/A")</f>
        <v>#N/A</v>
      </c>
      <c r="W3770" s="1" t="str">
        <f>IFERROR(__xludf.DUMMYFUNCTION("""COMPUTED_VALUE"""),"#N/A")</f>
        <v>#N/A</v>
      </c>
    </row>
    <row r="3771">
      <c r="O3771" s="1" t="str">
        <f>IFERROR(__xludf.DUMMYFUNCTION("""COMPUTED_VALUE"""),"#VALUE!")</f>
        <v>#VALUE!</v>
      </c>
      <c r="P3771" s="1" t="str">
        <f>IFERROR(__xludf.DUMMYFUNCTION("""COMPUTED_VALUE"""),"#N/A")</f>
        <v>#N/A</v>
      </c>
      <c r="Q3771" s="1"/>
      <c r="R3771" s="1"/>
      <c r="S3771" s="1"/>
      <c r="T3771" s="1"/>
      <c r="U3771" s="2">
        <f>IFERROR(__xludf.DUMMYFUNCTION("""COMPUTED_VALUE"""),0.0)</f>
        <v>0</v>
      </c>
      <c r="V3771" s="1" t="str">
        <f>IFERROR(__xludf.DUMMYFUNCTION("""COMPUTED_VALUE"""),"#N/A")</f>
        <v>#N/A</v>
      </c>
      <c r="W3771" s="1" t="str">
        <f>IFERROR(__xludf.DUMMYFUNCTION("""COMPUTED_VALUE"""),"#N/A")</f>
        <v>#N/A</v>
      </c>
    </row>
    <row r="3772">
      <c r="O3772" s="1" t="str">
        <f>IFERROR(__xludf.DUMMYFUNCTION("""COMPUTED_VALUE"""),"#VALUE!")</f>
        <v>#VALUE!</v>
      </c>
      <c r="P3772" s="1" t="str">
        <f>IFERROR(__xludf.DUMMYFUNCTION("""COMPUTED_VALUE"""),"#N/A")</f>
        <v>#N/A</v>
      </c>
      <c r="Q3772" s="1"/>
      <c r="R3772" s="1"/>
      <c r="S3772" s="1"/>
      <c r="T3772" s="1"/>
      <c r="U3772" s="2">
        <f>IFERROR(__xludf.DUMMYFUNCTION("""COMPUTED_VALUE"""),0.0)</f>
        <v>0</v>
      </c>
      <c r="V3772" s="1" t="str">
        <f>IFERROR(__xludf.DUMMYFUNCTION("""COMPUTED_VALUE"""),"#N/A")</f>
        <v>#N/A</v>
      </c>
      <c r="W3772" s="1" t="str">
        <f>IFERROR(__xludf.DUMMYFUNCTION("""COMPUTED_VALUE"""),"#N/A")</f>
        <v>#N/A</v>
      </c>
    </row>
    <row r="3773">
      <c r="O3773" s="1" t="str">
        <f>IFERROR(__xludf.DUMMYFUNCTION("""COMPUTED_VALUE"""),"#VALUE!")</f>
        <v>#VALUE!</v>
      </c>
      <c r="P3773" s="1" t="str">
        <f>IFERROR(__xludf.DUMMYFUNCTION("""COMPUTED_VALUE"""),"#N/A")</f>
        <v>#N/A</v>
      </c>
      <c r="Q3773" s="1"/>
      <c r="R3773" s="1"/>
      <c r="S3773" s="1"/>
      <c r="T3773" s="1"/>
      <c r="U3773" s="2">
        <f>IFERROR(__xludf.DUMMYFUNCTION("""COMPUTED_VALUE"""),0.0)</f>
        <v>0</v>
      </c>
      <c r="V3773" s="1" t="str">
        <f>IFERROR(__xludf.DUMMYFUNCTION("""COMPUTED_VALUE"""),"#N/A")</f>
        <v>#N/A</v>
      </c>
      <c r="W3773" s="1" t="str">
        <f>IFERROR(__xludf.DUMMYFUNCTION("""COMPUTED_VALUE"""),"#N/A")</f>
        <v>#N/A</v>
      </c>
    </row>
    <row r="3774">
      <c r="O3774" s="1" t="str">
        <f>IFERROR(__xludf.DUMMYFUNCTION("""COMPUTED_VALUE"""),"#VALUE!")</f>
        <v>#VALUE!</v>
      </c>
      <c r="P3774" s="1" t="str">
        <f>IFERROR(__xludf.DUMMYFUNCTION("""COMPUTED_VALUE"""),"#N/A")</f>
        <v>#N/A</v>
      </c>
      <c r="Q3774" s="1"/>
      <c r="R3774" s="1"/>
      <c r="S3774" s="1"/>
      <c r="T3774" s="1"/>
      <c r="U3774" s="2">
        <f>IFERROR(__xludf.DUMMYFUNCTION("""COMPUTED_VALUE"""),0.0)</f>
        <v>0</v>
      </c>
      <c r="V3774" s="1" t="str">
        <f>IFERROR(__xludf.DUMMYFUNCTION("""COMPUTED_VALUE"""),"#N/A")</f>
        <v>#N/A</v>
      </c>
      <c r="W3774" s="1" t="str">
        <f>IFERROR(__xludf.DUMMYFUNCTION("""COMPUTED_VALUE"""),"#N/A")</f>
        <v>#N/A</v>
      </c>
    </row>
    <row r="3775">
      <c r="O3775" s="1" t="str">
        <f>IFERROR(__xludf.DUMMYFUNCTION("""COMPUTED_VALUE"""),"#VALUE!")</f>
        <v>#VALUE!</v>
      </c>
      <c r="P3775" s="1" t="str">
        <f>IFERROR(__xludf.DUMMYFUNCTION("""COMPUTED_VALUE"""),"#N/A")</f>
        <v>#N/A</v>
      </c>
      <c r="Q3775" s="1"/>
      <c r="R3775" s="1"/>
      <c r="S3775" s="1"/>
      <c r="T3775" s="1"/>
      <c r="U3775" s="2">
        <f>IFERROR(__xludf.DUMMYFUNCTION("""COMPUTED_VALUE"""),0.0)</f>
        <v>0</v>
      </c>
      <c r="V3775" s="1" t="str">
        <f>IFERROR(__xludf.DUMMYFUNCTION("""COMPUTED_VALUE"""),"#N/A")</f>
        <v>#N/A</v>
      </c>
      <c r="W3775" s="1" t="str">
        <f>IFERROR(__xludf.DUMMYFUNCTION("""COMPUTED_VALUE"""),"#N/A")</f>
        <v>#N/A</v>
      </c>
    </row>
    <row r="3776">
      <c r="O3776" s="1" t="str">
        <f>IFERROR(__xludf.DUMMYFUNCTION("""COMPUTED_VALUE"""),"#VALUE!")</f>
        <v>#VALUE!</v>
      </c>
      <c r="P3776" s="1" t="str">
        <f>IFERROR(__xludf.DUMMYFUNCTION("""COMPUTED_VALUE"""),"#N/A")</f>
        <v>#N/A</v>
      </c>
      <c r="Q3776" s="1"/>
      <c r="R3776" s="1"/>
      <c r="S3776" s="1"/>
      <c r="T3776" s="1"/>
      <c r="U3776" s="2">
        <f>IFERROR(__xludf.DUMMYFUNCTION("""COMPUTED_VALUE"""),0.0)</f>
        <v>0</v>
      </c>
      <c r="V3776" s="1" t="str">
        <f>IFERROR(__xludf.DUMMYFUNCTION("""COMPUTED_VALUE"""),"#N/A")</f>
        <v>#N/A</v>
      </c>
      <c r="W3776" s="1" t="str">
        <f>IFERROR(__xludf.DUMMYFUNCTION("""COMPUTED_VALUE"""),"#N/A")</f>
        <v>#N/A</v>
      </c>
    </row>
    <row r="3777">
      <c r="O3777" s="1" t="str">
        <f>IFERROR(__xludf.DUMMYFUNCTION("""COMPUTED_VALUE"""),"#VALUE!")</f>
        <v>#VALUE!</v>
      </c>
      <c r="P3777" s="1" t="str">
        <f>IFERROR(__xludf.DUMMYFUNCTION("""COMPUTED_VALUE"""),"#N/A")</f>
        <v>#N/A</v>
      </c>
      <c r="Q3777" s="1"/>
      <c r="R3777" s="1"/>
      <c r="S3777" s="1"/>
      <c r="T3777" s="1"/>
      <c r="U3777" s="2">
        <f>IFERROR(__xludf.DUMMYFUNCTION("""COMPUTED_VALUE"""),0.0)</f>
        <v>0</v>
      </c>
      <c r="V3777" s="1" t="str">
        <f>IFERROR(__xludf.DUMMYFUNCTION("""COMPUTED_VALUE"""),"#N/A")</f>
        <v>#N/A</v>
      </c>
      <c r="W3777" s="1" t="str">
        <f>IFERROR(__xludf.DUMMYFUNCTION("""COMPUTED_VALUE"""),"#N/A")</f>
        <v>#N/A</v>
      </c>
    </row>
    <row r="3778">
      <c r="O3778" s="1" t="str">
        <f>IFERROR(__xludf.DUMMYFUNCTION("""COMPUTED_VALUE"""),"#VALUE!")</f>
        <v>#VALUE!</v>
      </c>
      <c r="P3778" s="1" t="str">
        <f>IFERROR(__xludf.DUMMYFUNCTION("""COMPUTED_VALUE"""),"#N/A")</f>
        <v>#N/A</v>
      </c>
      <c r="Q3778" s="1"/>
      <c r="R3778" s="1"/>
      <c r="S3778" s="1"/>
      <c r="T3778" s="1"/>
      <c r="U3778" s="2">
        <f>IFERROR(__xludf.DUMMYFUNCTION("""COMPUTED_VALUE"""),0.0)</f>
        <v>0</v>
      </c>
      <c r="V3778" s="1" t="str">
        <f>IFERROR(__xludf.DUMMYFUNCTION("""COMPUTED_VALUE"""),"#N/A")</f>
        <v>#N/A</v>
      </c>
      <c r="W3778" s="1" t="str">
        <f>IFERROR(__xludf.DUMMYFUNCTION("""COMPUTED_VALUE"""),"#N/A")</f>
        <v>#N/A</v>
      </c>
    </row>
    <row r="3779">
      <c r="O3779" s="1" t="str">
        <f>IFERROR(__xludf.DUMMYFUNCTION("""COMPUTED_VALUE"""),"#VALUE!")</f>
        <v>#VALUE!</v>
      </c>
      <c r="P3779" s="1" t="str">
        <f>IFERROR(__xludf.DUMMYFUNCTION("""COMPUTED_VALUE"""),"#N/A")</f>
        <v>#N/A</v>
      </c>
      <c r="Q3779" s="1"/>
      <c r="R3779" s="1"/>
      <c r="S3779" s="1"/>
      <c r="T3779" s="1"/>
      <c r="U3779" s="2">
        <f>IFERROR(__xludf.DUMMYFUNCTION("""COMPUTED_VALUE"""),0.0)</f>
        <v>0</v>
      </c>
      <c r="V3779" s="1" t="str">
        <f>IFERROR(__xludf.DUMMYFUNCTION("""COMPUTED_VALUE"""),"#N/A")</f>
        <v>#N/A</v>
      </c>
      <c r="W3779" s="1" t="str">
        <f>IFERROR(__xludf.DUMMYFUNCTION("""COMPUTED_VALUE"""),"#N/A")</f>
        <v>#N/A</v>
      </c>
    </row>
    <row r="3780">
      <c r="O3780" s="1" t="str">
        <f>IFERROR(__xludf.DUMMYFUNCTION("""COMPUTED_VALUE"""),"#VALUE!")</f>
        <v>#VALUE!</v>
      </c>
      <c r="P3780" s="1" t="str">
        <f>IFERROR(__xludf.DUMMYFUNCTION("""COMPUTED_VALUE"""),"#N/A")</f>
        <v>#N/A</v>
      </c>
      <c r="Q3780" s="1"/>
      <c r="R3780" s="1"/>
      <c r="S3780" s="1"/>
      <c r="T3780" s="1"/>
      <c r="U3780" s="2">
        <f>IFERROR(__xludf.DUMMYFUNCTION("""COMPUTED_VALUE"""),0.0)</f>
        <v>0</v>
      </c>
      <c r="V3780" s="1" t="str">
        <f>IFERROR(__xludf.DUMMYFUNCTION("""COMPUTED_VALUE"""),"#N/A")</f>
        <v>#N/A</v>
      </c>
      <c r="W3780" s="1" t="str">
        <f>IFERROR(__xludf.DUMMYFUNCTION("""COMPUTED_VALUE"""),"#N/A")</f>
        <v>#N/A</v>
      </c>
    </row>
    <row r="3781">
      <c r="O3781" s="1" t="str">
        <f>IFERROR(__xludf.DUMMYFUNCTION("""COMPUTED_VALUE"""),"#VALUE!")</f>
        <v>#VALUE!</v>
      </c>
      <c r="P3781" s="1" t="str">
        <f>IFERROR(__xludf.DUMMYFUNCTION("""COMPUTED_VALUE"""),"#N/A")</f>
        <v>#N/A</v>
      </c>
      <c r="Q3781" s="1"/>
      <c r="R3781" s="1"/>
      <c r="S3781" s="1"/>
      <c r="T3781" s="1"/>
      <c r="U3781" s="2">
        <f>IFERROR(__xludf.DUMMYFUNCTION("""COMPUTED_VALUE"""),0.0)</f>
        <v>0</v>
      </c>
      <c r="V3781" s="1" t="str">
        <f>IFERROR(__xludf.DUMMYFUNCTION("""COMPUTED_VALUE"""),"#N/A")</f>
        <v>#N/A</v>
      </c>
      <c r="W3781" s="1" t="str">
        <f>IFERROR(__xludf.DUMMYFUNCTION("""COMPUTED_VALUE"""),"#N/A")</f>
        <v>#N/A</v>
      </c>
    </row>
    <row r="3782">
      <c r="O3782" s="1" t="str">
        <f>IFERROR(__xludf.DUMMYFUNCTION("""COMPUTED_VALUE"""),"#VALUE!")</f>
        <v>#VALUE!</v>
      </c>
      <c r="P3782" s="1" t="str">
        <f>IFERROR(__xludf.DUMMYFUNCTION("""COMPUTED_VALUE"""),"#N/A")</f>
        <v>#N/A</v>
      </c>
      <c r="Q3782" s="1"/>
      <c r="R3782" s="1"/>
      <c r="S3782" s="1"/>
      <c r="T3782" s="1"/>
      <c r="U3782" s="2">
        <f>IFERROR(__xludf.DUMMYFUNCTION("""COMPUTED_VALUE"""),0.0)</f>
        <v>0</v>
      </c>
      <c r="V3782" s="1" t="str">
        <f>IFERROR(__xludf.DUMMYFUNCTION("""COMPUTED_VALUE"""),"#N/A")</f>
        <v>#N/A</v>
      </c>
      <c r="W3782" s="1" t="str">
        <f>IFERROR(__xludf.DUMMYFUNCTION("""COMPUTED_VALUE"""),"#N/A")</f>
        <v>#N/A</v>
      </c>
    </row>
    <row r="3783">
      <c r="O3783" s="1" t="str">
        <f>IFERROR(__xludf.DUMMYFUNCTION("""COMPUTED_VALUE"""),"#VALUE!")</f>
        <v>#VALUE!</v>
      </c>
      <c r="P3783" s="1" t="str">
        <f>IFERROR(__xludf.DUMMYFUNCTION("""COMPUTED_VALUE"""),"#N/A")</f>
        <v>#N/A</v>
      </c>
      <c r="Q3783" s="1"/>
      <c r="R3783" s="1"/>
      <c r="S3783" s="1"/>
      <c r="T3783" s="1"/>
      <c r="U3783" s="2">
        <f>IFERROR(__xludf.DUMMYFUNCTION("""COMPUTED_VALUE"""),0.0)</f>
        <v>0</v>
      </c>
      <c r="V3783" s="1" t="str">
        <f>IFERROR(__xludf.DUMMYFUNCTION("""COMPUTED_VALUE"""),"#N/A")</f>
        <v>#N/A</v>
      </c>
      <c r="W3783" s="1" t="str">
        <f>IFERROR(__xludf.DUMMYFUNCTION("""COMPUTED_VALUE"""),"#N/A")</f>
        <v>#N/A</v>
      </c>
    </row>
    <row r="3784">
      <c r="O3784" s="1" t="str">
        <f>IFERROR(__xludf.DUMMYFUNCTION("""COMPUTED_VALUE"""),"#VALUE!")</f>
        <v>#VALUE!</v>
      </c>
      <c r="P3784" s="1" t="str">
        <f>IFERROR(__xludf.DUMMYFUNCTION("""COMPUTED_VALUE"""),"#N/A")</f>
        <v>#N/A</v>
      </c>
      <c r="Q3784" s="1"/>
      <c r="R3784" s="1"/>
      <c r="S3784" s="1"/>
      <c r="T3784" s="1"/>
      <c r="U3784" s="2">
        <f>IFERROR(__xludf.DUMMYFUNCTION("""COMPUTED_VALUE"""),0.0)</f>
        <v>0</v>
      </c>
      <c r="V3784" s="1" t="str">
        <f>IFERROR(__xludf.DUMMYFUNCTION("""COMPUTED_VALUE"""),"#N/A")</f>
        <v>#N/A</v>
      </c>
      <c r="W3784" s="1" t="str">
        <f>IFERROR(__xludf.DUMMYFUNCTION("""COMPUTED_VALUE"""),"#N/A")</f>
        <v>#N/A</v>
      </c>
    </row>
    <row r="3785">
      <c r="O3785" s="1" t="str">
        <f>IFERROR(__xludf.DUMMYFUNCTION("""COMPUTED_VALUE"""),"#VALUE!")</f>
        <v>#VALUE!</v>
      </c>
      <c r="P3785" s="1" t="str">
        <f>IFERROR(__xludf.DUMMYFUNCTION("""COMPUTED_VALUE"""),"#N/A")</f>
        <v>#N/A</v>
      </c>
      <c r="Q3785" s="1"/>
      <c r="R3785" s="1"/>
      <c r="S3785" s="1"/>
      <c r="T3785" s="1"/>
      <c r="U3785" s="2">
        <f>IFERROR(__xludf.DUMMYFUNCTION("""COMPUTED_VALUE"""),0.0)</f>
        <v>0</v>
      </c>
      <c r="V3785" s="1" t="str">
        <f>IFERROR(__xludf.DUMMYFUNCTION("""COMPUTED_VALUE"""),"#N/A")</f>
        <v>#N/A</v>
      </c>
      <c r="W3785" s="1" t="str">
        <f>IFERROR(__xludf.DUMMYFUNCTION("""COMPUTED_VALUE"""),"#N/A")</f>
        <v>#N/A</v>
      </c>
    </row>
    <row r="3786">
      <c r="O3786" s="1" t="str">
        <f>IFERROR(__xludf.DUMMYFUNCTION("""COMPUTED_VALUE"""),"#VALUE!")</f>
        <v>#VALUE!</v>
      </c>
      <c r="P3786" s="1" t="str">
        <f>IFERROR(__xludf.DUMMYFUNCTION("""COMPUTED_VALUE"""),"#N/A")</f>
        <v>#N/A</v>
      </c>
      <c r="Q3786" s="1"/>
      <c r="R3786" s="1"/>
      <c r="S3786" s="1"/>
      <c r="T3786" s="1"/>
      <c r="U3786" s="2">
        <f>IFERROR(__xludf.DUMMYFUNCTION("""COMPUTED_VALUE"""),0.0)</f>
        <v>0</v>
      </c>
      <c r="V3786" s="1" t="str">
        <f>IFERROR(__xludf.DUMMYFUNCTION("""COMPUTED_VALUE"""),"#N/A")</f>
        <v>#N/A</v>
      </c>
      <c r="W3786" s="1" t="str">
        <f>IFERROR(__xludf.DUMMYFUNCTION("""COMPUTED_VALUE"""),"#N/A")</f>
        <v>#N/A</v>
      </c>
    </row>
    <row r="3787">
      <c r="O3787" s="1" t="str">
        <f>IFERROR(__xludf.DUMMYFUNCTION("""COMPUTED_VALUE"""),"#VALUE!")</f>
        <v>#VALUE!</v>
      </c>
      <c r="P3787" s="1" t="str">
        <f>IFERROR(__xludf.DUMMYFUNCTION("""COMPUTED_VALUE"""),"#N/A")</f>
        <v>#N/A</v>
      </c>
      <c r="Q3787" s="1"/>
      <c r="R3787" s="1"/>
      <c r="S3787" s="1"/>
      <c r="T3787" s="1"/>
      <c r="U3787" s="2">
        <f>IFERROR(__xludf.DUMMYFUNCTION("""COMPUTED_VALUE"""),0.0)</f>
        <v>0</v>
      </c>
      <c r="V3787" s="1" t="str">
        <f>IFERROR(__xludf.DUMMYFUNCTION("""COMPUTED_VALUE"""),"#N/A")</f>
        <v>#N/A</v>
      </c>
      <c r="W3787" s="1" t="str">
        <f>IFERROR(__xludf.DUMMYFUNCTION("""COMPUTED_VALUE"""),"#N/A")</f>
        <v>#N/A</v>
      </c>
    </row>
    <row r="3788">
      <c r="O3788" s="1" t="str">
        <f>IFERROR(__xludf.DUMMYFUNCTION("""COMPUTED_VALUE"""),"#VALUE!")</f>
        <v>#VALUE!</v>
      </c>
      <c r="P3788" s="1" t="str">
        <f>IFERROR(__xludf.DUMMYFUNCTION("""COMPUTED_VALUE"""),"#N/A")</f>
        <v>#N/A</v>
      </c>
      <c r="Q3788" s="1"/>
      <c r="R3788" s="1"/>
      <c r="S3788" s="1"/>
      <c r="T3788" s="1"/>
      <c r="U3788" s="2">
        <f>IFERROR(__xludf.DUMMYFUNCTION("""COMPUTED_VALUE"""),0.0)</f>
        <v>0</v>
      </c>
      <c r="V3788" s="1" t="str">
        <f>IFERROR(__xludf.DUMMYFUNCTION("""COMPUTED_VALUE"""),"#N/A")</f>
        <v>#N/A</v>
      </c>
      <c r="W3788" s="1" t="str">
        <f>IFERROR(__xludf.DUMMYFUNCTION("""COMPUTED_VALUE"""),"#N/A")</f>
        <v>#N/A</v>
      </c>
    </row>
    <row r="3789">
      <c r="O3789" s="1" t="str">
        <f>IFERROR(__xludf.DUMMYFUNCTION("""COMPUTED_VALUE"""),"#VALUE!")</f>
        <v>#VALUE!</v>
      </c>
      <c r="P3789" s="1" t="str">
        <f>IFERROR(__xludf.DUMMYFUNCTION("""COMPUTED_VALUE"""),"#N/A")</f>
        <v>#N/A</v>
      </c>
      <c r="Q3789" s="1"/>
      <c r="R3789" s="1"/>
      <c r="S3789" s="1"/>
      <c r="T3789" s="1"/>
      <c r="U3789" s="2">
        <f>IFERROR(__xludf.DUMMYFUNCTION("""COMPUTED_VALUE"""),0.0)</f>
        <v>0</v>
      </c>
      <c r="V3789" s="1" t="str">
        <f>IFERROR(__xludf.DUMMYFUNCTION("""COMPUTED_VALUE"""),"#N/A")</f>
        <v>#N/A</v>
      </c>
      <c r="W3789" s="1" t="str">
        <f>IFERROR(__xludf.DUMMYFUNCTION("""COMPUTED_VALUE"""),"#N/A")</f>
        <v>#N/A</v>
      </c>
    </row>
    <row r="3790">
      <c r="O3790" s="1" t="str">
        <f>IFERROR(__xludf.DUMMYFUNCTION("""COMPUTED_VALUE"""),"#VALUE!")</f>
        <v>#VALUE!</v>
      </c>
      <c r="P3790" s="1" t="str">
        <f>IFERROR(__xludf.DUMMYFUNCTION("""COMPUTED_VALUE"""),"#N/A")</f>
        <v>#N/A</v>
      </c>
      <c r="Q3790" s="1"/>
      <c r="R3790" s="1"/>
      <c r="S3790" s="1"/>
      <c r="T3790" s="1"/>
      <c r="U3790" s="2">
        <f>IFERROR(__xludf.DUMMYFUNCTION("""COMPUTED_VALUE"""),0.0)</f>
        <v>0</v>
      </c>
      <c r="V3790" s="1" t="str">
        <f>IFERROR(__xludf.DUMMYFUNCTION("""COMPUTED_VALUE"""),"#N/A")</f>
        <v>#N/A</v>
      </c>
      <c r="W3790" s="1" t="str">
        <f>IFERROR(__xludf.DUMMYFUNCTION("""COMPUTED_VALUE"""),"#N/A")</f>
        <v>#N/A</v>
      </c>
    </row>
    <row r="3791">
      <c r="O3791" s="1" t="str">
        <f>IFERROR(__xludf.DUMMYFUNCTION("""COMPUTED_VALUE"""),"#VALUE!")</f>
        <v>#VALUE!</v>
      </c>
      <c r="P3791" s="1" t="str">
        <f>IFERROR(__xludf.DUMMYFUNCTION("""COMPUTED_VALUE"""),"#N/A")</f>
        <v>#N/A</v>
      </c>
      <c r="Q3791" s="1"/>
      <c r="R3791" s="1"/>
      <c r="S3791" s="1"/>
      <c r="T3791" s="1"/>
      <c r="U3791" s="2">
        <f>IFERROR(__xludf.DUMMYFUNCTION("""COMPUTED_VALUE"""),0.0)</f>
        <v>0</v>
      </c>
      <c r="V3791" s="1" t="str">
        <f>IFERROR(__xludf.DUMMYFUNCTION("""COMPUTED_VALUE"""),"#N/A")</f>
        <v>#N/A</v>
      </c>
      <c r="W3791" s="1" t="str">
        <f>IFERROR(__xludf.DUMMYFUNCTION("""COMPUTED_VALUE"""),"#N/A")</f>
        <v>#N/A</v>
      </c>
    </row>
    <row r="3792">
      <c r="O3792" s="1" t="str">
        <f>IFERROR(__xludf.DUMMYFUNCTION("""COMPUTED_VALUE"""),"#VALUE!")</f>
        <v>#VALUE!</v>
      </c>
      <c r="P3792" s="1" t="str">
        <f>IFERROR(__xludf.DUMMYFUNCTION("""COMPUTED_VALUE"""),"#N/A")</f>
        <v>#N/A</v>
      </c>
      <c r="Q3792" s="1"/>
      <c r="R3792" s="1"/>
      <c r="S3792" s="1"/>
      <c r="T3792" s="1"/>
      <c r="U3792" s="2">
        <f>IFERROR(__xludf.DUMMYFUNCTION("""COMPUTED_VALUE"""),0.0)</f>
        <v>0</v>
      </c>
      <c r="V3792" s="1" t="str">
        <f>IFERROR(__xludf.DUMMYFUNCTION("""COMPUTED_VALUE"""),"#N/A")</f>
        <v>#N/A</v>
      </c>
      <c r="W3792" s="1" t="str">
        <f>IFERROR(__xludf.DUMMYFUNCTION("""COMPUTED_VALUE"""),"#N/A")</f>
        <v>#N/A</v>
      </c>
    </row>
    <row r="3793">
      <c r="O3793" s="1" t="str">
        <f>IFERROR(__xludf.DUMMYFUNCTION("""COMPUTED_VALUE"""),"#VALUE!")</f>
        <v>#VALUE!</v>
      </c>
      <c r="P3793" s="1" t="str">
        <f>IFERROR(__xludf.DUMMYFUNCTION("""COMPUTED_VALUE"""),"#N/A")</f>
        <v>#N/A</v>
      </c>
      <c r="Q3793" s="1"/>
      <c r="R3793" s="1"/>
      <c r="S3793" s="1"/>
      <c r="T3793" s="1"/>
      <c r="U3793" s="2">
        <f>IFERROR(__xludf.DUMMYFUNCTION("""COMPUTED_VALUE"""),0.0)</f>
        <v>0</v>
      </c>
      <c r="V3793" s="1" t="str">
        <f>IFERROR(__xludf.DUMMYFUNCTION("""COMPUTED_VALUE"""),"#N/A")</f>
        <v>#N/A</v>
      </c>
      <c r="W3793" s="1" t="str">
        <f>IFERROR(__xludf.DUMMYFUNCTION("""COMPUTED_VALUE"""),"#N/A")</f>
        <v>#N/A</v>
      </c>
    </row>
    <row r="3794">
      <c r="O3794" s="1" t="str">
        <f>IFERROR(__xludf.DUMMYFUNCTION("""COMPUTED_VALUE"""),"#VALUE!")</f>
        <v>#VALUE!</v>
      </c>
      <c r="P3794" s="1" t="str">
        <f>IFERROR(__xludf.DUMMYFUNCTION("""COMPUTED_VALUE"""),"#N/A")</f>
        <v>#N/A</v>
      </c>
      <c r="Q3794" s="1"/>
      <c r="R3794" s="1"/>
      <c r="S3794" s="1"/>
      <c r="T3794" s="1"/>
      <c r="U3794" s="2">
        <f>IFERROR(__xludf.DUMMYFUNCTION("""COMPUTED_VALUE"""),0.0)</f>
        <v>0</v>
      </c>
      <c r="V3794" s="1" t="str">
        <f>IFERROR(__xludf.DUMMYFUNCTION("""COMPUTED_VALUE"""),"#N/A")</f>
        <v>#N/A</v>
      </c>
      <c r="W3794" s="1" t="str">
        <f>IFERROR(__xludf.DUMMYFUNCTION("""COMPUTED_VALUE"""),"#N/A")</f>
        <v>#N/A</v>
      </c>
    </row>
    <row r="3795">
      <c r="O3795" s="1" t="str">
        <f>IFERROR(__xludf.DUMMYFUNCTION("""COMPUTED_VALUE"""),"#VALUE!")</f>
        <v>#VALUE!</v>
      </c>
      <c r="P3795" s="1" t="str">
        <f>IFERROR(__xludf.DUMMYFUNCTION("""COMPUTED_VALUE"""),"#N/A")</f>
        <v>#N/A</v>
      </c>
      <c r="Q3795" s="1"/>
      <c r="R3795" s="1"/>
      <c r="S3795" s="1"/>
      <c r="T3795" s="1"/>
      <c r="U3795" s="2">
        <f>IFERROR(__xludf.DUMMYFUNCTION("""COMPUTED_VALUE"""),0.0)</f>
        <v>0</v>
      </c>
      <c r="V3795" s="1" t="str">
        <f>IFERROR(__xludf.DUMMYFUNCTION("""COMPUTED_VALUE"""),"#N/A")</f>
        <v>#N/A</v>
      </c>
      <c r="W3795" s="1" t="str">
        <f>IFERROR(__xludf.DUMMYFUNCTION("""COMPUTED_VALUE"""),"#N/A")</f>
        <v>#N/A</v>
      </c>
    </row>
    <row r="3796">
      <c r="O3796" s="1" t="str">
        <f>IFERROR(__xludf.DUMMYFUNCTION("""COMPUTED_VALUE"""),"#VALUE!")</f>
        <v>#VALUE!</v>
      </c>
      <c r="P3796" s="1" t="str">
        <f>IFERROR(__xludf.DUMMYFUNCTION("""COMPUTED_VALUE"""),"#N/A")</f>
        <v>#N/A</v>
      </c>
      <c r="Q3796" s="1"/>
      <c r="R3796" s="1"/>
      <c r="S3796" s="1"/>
      <c r="T3796" s="1"/>
      <c r="U3796" s="2">
        <f>IFERROR(__xludf.DUMMYFUNCTION("""COMPUTED_VALUE"""),0.0)</f>
        <v>0</v>
      </c>
      <c r="V3796" s="1" t="str">
        <f>IFERROR(__xludf.DUMMYFUNCTION("""COMPUTED_VALUE"""),"#N/A")</f>
        <v>#N/A</v>
      </c>
      <c r="W3796" s="1" t="str">
        <f>IFERROR(__xludf.DUMMYFUNCTION("""COMPUTED_VALUE"""),"#N/A")</f>
        <v>#N/A</v>
      </c>
    </row>
    <row r="3797">
      <c r="O3797" s="1" t="str">
        <f>IFERROR(__xludf.DUMMYFUNCTION("""COMPUTED_VALUE"""),"#VALUE!")</f>
        <v>#VALUE!</v>
      </c>
      <c r="P3797" s="1" t="str">
        <f>IFERROR(__xludf.DUMMYFUNCTION("""COMPUTED_VALUE"""),"#N/A")</f>
        <v>#N/A</v>
      </c>
      <c r="Q3797" s="1"/>
      <c r="R3797" s="1"/>
      <c r="S3797" s="1"/>
      <c r="T3797" s="1"/>
      <c r="U3797" s="2">
        <f>IFERROR(__xludf.DUMMYFUNCTION("""COMPUTED_VALUE"""),0.0)</f>
        <v>0</v>
      </c>
      <c r="V3797" s="1" t="str">
        <f>IFERROR(__xludf.DUMMYFUNCTION("""COMPUTED_VALUE"""),"#N/A")</f>
        <v>#N/A</v>
      </c>
      <c r="W3797" s="1" t="str">
        <f>IFERROR(__xludf.DUMMYFUNCTION("""COMPUTED_VALUE"""),"#N/A")</f>
        <v>#N/A</v>
      </c>
    </row>
    <row r="3798">
      <c r="O3798" s="1" t="str">
        <f>IFERROR(__xludf.DUMMYFUNCTION("""COMPUTED_VALUE"""),"#VALUE!")</f>
        <v>#VALUE!</v>
      </c>
      <c r="P3798" s="1" t="str">
        <f>IFERROR(__xludf.DUMMYFUNCTION("""COMPUTED_VALUE"""),"#N/A")</f>
        <v>#N/A</v>
      </c>
      <c r="Q3798" s="1"/>
      <c r="R3798" s="1"/>
      <c r="S3798" s="1"/>
      <c r="T3798" s="1"/>
      <c r="U3798" s="2">
        <f>IFERROR(__xludf.DUMMYFUNCTION("""COMPUTED_VALUE"""),0.0)</f>
        <v>0</v>
      </c>
      <c r="V3798" s="1" t="str">
        <f>IFERROR(__xludf.DUMMYFUNCTION("""COMPUTED_VALUE"""),"#N/A")</f>
        <v>#N/A</v>
      </c>
      <c r="W3798" s="1" t="str">
        <f>IFERROR(__xludf.DUMMYFUNCTION("""COMPUTED_VALUE"""),"#N/A")</f>
        <v>#N/A</v>
      </c>
    </row>
    <row r="3799">
      <c r="O3799" s="1" t="str">
        <f>IFERROR(__xludf.DUMMYFUNCTION("""COMPUTED_VALUE"""),"#VALUE!")</f>
        <v>#VALUE!</v>
      </c>
      <c r="P3799" s="1" t="str">
        <f>IFERROR(__xludf.DUMMYFUNCTION("""COMPUTED_VALUE"""),"#N/A")</f>
        <v>#N/A</v>
      </c>
      <c r="Q3799" s="1"/>
      <c r="R3799" s="1"/>
      <c r="S3799" s="1"/>
      <c r="T3799" s="1"/>
      <c r="U3799" s="2">
        <f>IFERROR(__xludf.DUMMYFUNCTION("""COMPUTED_VALUE"""),0.0)</f>
        <v>0</v>
      </c>
      <c r="V3799" s="1" t="str">
        <f>IFERROR(__xludf.DUMMYFUNCTION("""COMPUTED_VALUE"""),"#N/A")</f>
        <v>#N/A</v>
      </c>
      <c r="W3799" s="1" t="str">
        <f>IFERROR(__xludf.DUMMYFUNCTION("""COMPUTED_VALUE"""),"#N/A")</f>
        <v>#N/A</v>
      </c>
    </row>
    <row r="3800">
      <c r="O3800" s="1" t="str">
        <f>IFERROR(__xludf.DUMMYFUNCTION("""COMPUTED_VALUE"""),"#VALUE!")</f>
        <v>#VALUE!</v>
      </c>
      <c r="P3800" s="1" t="str">
        <f>IFERROR(__xludf.DUMMYFUNCTION("""COMPUTED_VALUE"""),"#N/A")</f>
        <v>#N/A</v>
      </c>
      <c r="Q3800" s="1"/>
      <c r="R3800" s="1"/>
      <c r="S3800" s="1"/>
      <c r="T3800" s="1"/>
      <c r="U3800" s="2">
        <f>IFERROR(__xludf.DUMMYFUNCTION("""COMPUTED_VALUE"""),0.0)</f>
        <v>0</v>
      </c>
      <c r="V3800" s="1" t="str">
        <f>IFERROR(__xludf.DUMMYFUNCTION("""COMPUTED_VALUE"""),"#N/A")</f>
        <v>#N/A</v>
      </c>
      <c r="W3800" s="1" t="str">
        <f>IFERROR(__xludf.DUMMYFUNCTION("""COMPUTED_VALUE"""),"#N/A")</f>
        <v>#N/A</v>
      </c>
    </row>
    <row r="3801">
      <c r="O3801" s="1" t="str">
        <f>IFERROR(__xludf.DUMMYFUNCTION("""COMPUTED_VALUE"""),"#VALUE!")</f>
        <v>#VALUE!</v>
      </c>
      <c r="P3801" s="1" t="str">
        <f>IFERROR(__xludf.DUMMYFUNCTION("""COMPUTED_VALUE"""),"#N/A")</f>
        <v>#N/A</v>
      </c>
      <c r="Q3801" s="1"/>
      <c r="R3801" s="1"/>
      <c r="S3801" s="1"/>
      <c r="T3801" s="1"/>
      <c r="U3801" s="2">
        <f>IFERROR(__xludf.DUMMYFUNCTION("""COMPUTED_VALUE"""),0.0)</f>
        <v>0</v>
      </c>
      <c r="V3801" s="1" t="str">
        <f>IFERROR(__xludf.DUMMYFUNCTION("""COMPUTED_VALUE"""),"#N/A")</f>
        <v>#N/A</v>
      </c>
      <c r="W3801" s="1" t="str">
        <f>IFERROR(__xludf.DUMMYFUNCTION("""COMPUTED_VALUE"""),"#N/A")</f>
        <v>#N/A</v>
      </c>
    </row>
    <row r="3802">
      <c r="O3802" s="1" t="str">
        <f>IFERROR(__xludf.DUMMYFUNCTION("""COMPUTED_VALUE"""),"#VALUE!")</f>
        <v>#VALUE!</v>
      </c>
      <c r="P3802" s="1" t="str">
        <f>IFERROR(__xludf.DUMMYFUNCTION("""COMPUTED_VALUE"""),"#N/A")</f>
        <v>#N/A</v>
      </c>
      <c r="Q3802" s="1"/>
      <c r="R3802" s="1"/>
      <c r="S3802" s="1"/>
      <c r="T3802" s="1"/>
      <c r="U3802" s="2">
        <f>IFERROR(__xludf.DUMMYFUNCTION("""COMPUTED_VALUE"""),0.0)</f>
        <v>0</v>
      </c>
      <c r="V3802" s="1" t="str">
        <f>IFERROR(__xludf.DUMMYFUNCTION("""COMPUTED_VALUE"""),"#N/A")</f>
        <v>#N/A</v>
      </c>
      <c r="W3802" s="1" t="str">
        <f>IFERROR(__xludf.DUMMYFUNCTION("""COMPUTED_VALUE"""),"#N/A")</f>
        <v>#N/A</v>
      </c>
    </row>
    <row r="3803">
      <c r="O3803" s="1" t="str">
        <f>IFERROR(__xludf.DUMMYFUNCTION("""COMPUTED_VALUE"""),"#VALUE!")</f>
        <v>#VALUE!</v>
      </c>
      <c r="P3803" s="1" t="str">
        <f>IFERROR(__xludf.DUMMYFUNCTION("""COMPUTED_VALUE"""),"#N/A")</f>
        <v>#N/A</v>
      </c>
      <c r="Q3803" s="1"/>
      <c r="R3803" s="1"/>
      <c r="S3803" s="1"/>
      <c r="T3803" s="1"/>
      <c r="U3803" s="2">
        <f>IFERROR(__xludf.DUMMYFUNCTION("""COMPUTED_VALUE"""),0.0)</f>
        <v>0</v>
      </c>
      <c r="V3803" s="1" t="str">
        <f>IFERROR(__xludf.DUMMYFUNCTION("""COMPUTED_VALUE"""),"#N/A")</f>
        <v>#N/A</v>
      </c>
      <c r="W3803" s="1" t="str">
        <f>IFERROR(__xludf.DUMMYFUNCTION("""COMPUTED_VALUE"""),"#N/A")</f>
        <v>#N/A</v>
      </c>
    </row>
    <row r="3804">
      <c r="O3804" s="1" t="str">
        <f>IFERROR(__xludf.DUMMYFUNCTION("""COMPUTED_VALUE"""),"#VALUE!")</f>
        <v>#VALUE!</v>
      </c>
      <c r="P3804" s="1" t="str">
        <f>IFERROR(__xludf.DUMMYFUNCTION("""COMPUTED_VALUE"""),"#N/A")</f>
        <v>#N/A</v>
      </c>
      <c r="Q3804" s="1"/>
      <c r="R3804" s="1"/>
      <c r="S3804" s="1"/>
      <c r="T3804" s="1"/>
      <c r="U3804" s="2">
        <f>IFERROR(__xludf.DUMMYFUNCTION("""COMPUTED_VALUE"""),0.0)</f>
        <v>0</v>
      </c>
      <c r="V3804" s="1" t="str">
        <f>IFERROR(__xludf.DUMMYFUNCTION("""COMPUTED_VALUE"""),"#N/A")</f>
        <v>#N/A</v>
      </c>
      <c r="W3804" s="1" t="str">
        <f>IFERROR(__xludf.DUMMYFUNCTION("""COMPUTED_VALUE"""),"#N/A")</f>
        <v>#N/A</v>
      </c>
    </row>
    <row r="3805">
      <c r="O3805" s="1" t="str">
        <f>IFERROR(__xludf.DUMMYFUNCTION("""COMPUTED_VALUE"""),"#VALUE!")</f>
        <v>#VALUE!</v>
      </c>
      <c r="P3805" s="1" t="str">
        <f>IFERROR(__xludf.DUMMYFUNCTION("""COMPUTED_VALUE"""),"#N/A")</f>
        <v>#N/A</v>
      </c>
      <c r="Q3805" s="1"/>
      <c r="R3805" s="1"/>
      <c r="S3805" s="1"/>
      <c r="T3805" s="1"/>
      <c r="U3805" s="2">
        <f>IFERROR(__xludf.DUMMYFUNCTION("""COMPUTED_VALUE"""),0.0)</f>
        <v>0</v>
      </c>
      <c r="V3805" s="1" t="str">
        <f>IFERROR(__xludf.DUMMYFUNCTION("""COMPUTED_VALUE"""),"#N/A")</f>
        <v>#N/A</v>
      </c>
      <c r="W3805" s="1" t="str">
        <f>IFERROR(__xludf.DUMMYFUNCTION("""COMPUTED_VALUE"""),"#N/A")</f>
        <v>#N/A</v>
      </c>
    </row>
    <row r="3806">
      <c r="O3806" s="1" t="str">
        <f>IFERROR(__xludf.DUMMYFUNCTION("""COMPUTED_VALUE"""),"#VALUE!")</f>
        <v>#VALUE!</v>
      </c>
      <c r="P3806" s="1" t="str">
        <f>IFERROR(__xludf.DUMMYFUNCTION("""COMPUTED_VALUE"""),"#N/A")</f>
        <v>#N/A</v>
      </c>
      <c r="Q3806" s="1"/>
      <c r="R3806" s="1"/>
      <c r="S3806" s="1"/>
      <c r="T3806" s="1"/>
      <c r="U3806" s="2">
        <f>IFERROR(__xludf.DUMMYFUNCTION("""COMPUTED_VALUE"""),0.0)</f>
        <v>0</v>
      </c>
      <c r="V3806" s="1" t="str">
        <f>IFERROR(__xludf.DUMMYFUNCTION("""COMPUTED_VALUE"""),"#N/A")</f>
        <v>#N/A</v>
      </c>
      <c r="W3806" s="1" t="str">
        <f>IFERROR(__xludf.DUMMYFUNCTION("""COMPUTED_VALUE"""),"#N/A")</f>
        <v>#N/A</v>
      </c>
    </row>
    <row r="3807">
      <c r="O3807" s="1" t="str">
        <f>IFERROR(__xludf.DUMMYFUNCTION("""COMPUTED_VALUE"""),"#VALUE!")</f>
        <v>#VALUE!</v>
      </c>
      <c r="P3807" s="1" t="str">
        <f>IFERROR(__xludf.DUMMYFUNCTION("""COMPUTED_VALUE"""),"#N/A")</f>
        <v>#N/A</v>
      </c>
      <c r="Q3807" s="1"/>
      <c r="R3807" s="1"/>
      <c r="S3807" s="1"/>
      <c r="T3807" s="1"/>
      <c r="U3807" s="2">
        <f>IFERROR(__xludf.DUMMYFUNCTION("""COMPUTED_VALUE"""),0.0)</f>
        <v>0</v>
      </c>
      <c r="V3807" s="1" t="str">
        <f>IFERROR(__xludf.DUMMYFUNCTION("""COMPUTED_VALUE"""),"#N/A")</f>
        <v>#N/A</v>
      </c>
      <c r="W3807" s="1" t="str">
        <f>IFERROR(__xludf.DUMMYFUNCTION("""COMPUTED_VALUE"""),"#N/A")</f>
        <v>#N/A</v>
      </c>
    </row>
    <row r="3808">
      <c r="O3808" s="1" t="str">
        <f>IFERROR(__xludf.DUMMYFUNCTION("""COMPUTED_VALUE"""),"#VALUE!")</f>
        <v>#VALUE!</v>
      </c>
      <c r="P3808" s="1" t="str">
        <f>IFERROR(__xludf.DUMMYFUNCTION("""COMPUTED_VALUE"""),"#N/A")</f>
        <v>#N/A</v>
      </c>
      <c r="Q3808" s="1"/>
      <c r="R3808" s="1"/>
      <c r="S3808" s="1"/>
      <c r="T3808" s="1"/>
      <c r="U3808" s="2">
        <f>IFERROR(__xludf.DUMMYFUNCTION("""COMPUTED_VALUE"""),0.0)</f>
        <v>0</v>
      </c>
      <c r="V3808" s="1" t="str">
        <f>IFERROR(__xludf.DUMMYFUNCTION("""COMPUTED_VALUE"""),"#N/A")</f>
        <v>#N/A</v>
      </c>
      <c r="W3808" s="1" t="str">
        <f>IFERROR(__xludf.DUMMYFUNCTION("""COMPUTED_VALUE"""),"#N/A")</f>
        <v>#N/A</v>
      </c>
    </row>
    <row r="3809">
      <c r="O3809" s="1" t="str">
        <f>IFERROR(__xludf.DUMMYFUNCTION("""COMPUTED_VALUE"""),"#VALUE!")</f>
        <v>#VALUE!</v>
      </c>
      <c r="P3809" s="1" t="str">
        <f>IFERROR(__xludf.DUMMYFUNCTION("""COMPUTED_VALUE"""),"#N/A")</f>
        <v>#N/A</v>
      </c>
      <c r="Q3809" s="1"/>
      <c r="R3809" s="1"/>
      <c r="S3809" s="1"/>
      <c r="T3809" s="1"/>
      <c r="U3809" s="2">
        <f>IFERROR(__xludf.DUMMYFUNCTION("""COMPUTED_VALUE"""),0.0)</f>
        <v>0</v>
      </c>
      <c r="V3809" s="1" t="str">
        <f>IFERROR(__xludf.DUMMYFUNCTION("""COMPUTED_VALUE"""),"#N/A")</f>
        <v>#N/A</v>
      </c>
      <c r="W3809" s="1" t="str">
        <f>IFERROR(__xludf.DUMMYFUNCTION("""COMPUTED_VALUE"""),"#N/A")</f>
        <v>#N/A</v>
      </c>
    </row>
    <row r="3810">
      <c r="O3810" s="1" t="str">
        <f>IFERROR(__xludf.DUMMYFUNCTION("""COMPUTED_VALUE"""),"#VALUE!")</f>
        <v>#VALUE!</v>
      </c>
      <c r="P3810" s="1" t="str">
        <f>IFERROR(__xludf.DUMMYFUNCTION("""COMPUTED_VALUE"""),"#N/A")</f>
        <v>#N/A</v>
      </c>
      <c r="Q3810" s="1"/>
      <c r="R3810" s="1"/>
      <c r="S3810" s="1"/>
      <c r="T3810" s="1"/>
      <c r="U3810" s="2">
        <f>IFERROR(__xludf.DUMMYFUNCTION("""COMPUTED_VALUE"""),0.0)</f>
        <v>0</v>
      </c>
      <c r="V3810" s="1" t="str">
        <f>IFERROR(__xludf.DUMMYFUNCTION("""COMPUTED_VALUE"""),"#N/A")</f>
        <v>#N/A</v>
      </c>
      <c r="W3810" s="1" t="str">
        <f>IFERROR(__xludf.DUMMYFUNCTION("""COMPUTED_VALUE"""),"#N/A")</f>
        <v>#N/A</v>
      </c>
    </row>
    <row r="3811">
      <c r="O3811" s="1" t="str">
        <f>IFERROR(__xludf.DUMMYFUNCTION("""COMPUTED_VALUE"""),"#VALUE!")</f>
        <v>#VALUE!</v>
      </c>
      <c r="P3811" s="1" t="str">
        <f>IFERROR(__xludf.DUMMYFUNCTION("""COMPUTED_VALUE"""),"#N/A")</f>
        <v>#N/A</v>
      </c>
      <c r="Q3811" s="1"/>
      <c r="R3811" s="1"/>
      <c r="S3811" s="1"/>
      <c r="T3811" s="1"/>
      <c r="U3811" s="2">
        <f>IFERROR(__xludf.DUMMYFUNCTION("""COMPUTED_VALUE"""),0.0)</f>
        <v>0</v>
      </c>
      <c r="V3811" s="1" t="str">
        <f>IFERROR(__xludf.DUMMYFUNCTION("""COMPUTED_VALUE"""),"#N/A")</f>
        <v>#N/A</v>
      </c>
      <c r="W3811" s="1" t="str">
        <f>IFERROR(__xludf.DUMMYFUNCTION("""COMPUTED_VALUE"""),"#N/A")</f>
        <v>#N/A</v>
      </c>
    </row>
    <row r="3812">
      <c r="O3812" s="1" t="str">
        <f>IFERROR(__xludf.DUMMYFUNCTION("""COMPUTED_VALUE"""),"#VALUE!")</f>
        <v>#VALUE!</v>
      </c>
      <c r="P3812" s="1" t="str">
        <f>IFERROR(__xludf.DUMMYFUNCTION("""COMPUTED_VALUE"""),"#N/A")</f>
        <v>#N/A</v>
      </c>
      <c r="Q3812" s="1"/>
      <c r="R3812" s="1"/>
      <c r="S3812" s="1"/>
      <c r="T3812" s="1"/>
      <c r="U3812" s="2">
        <f>IFERROR(__xludf.DUMMYFUNCTION("""COMPUTED_VALUE"""),0.0)</f>
        <v>0</v>
      </c>
      <c r="V3812" s="1" t="str">
        <f>IFERROR(__xludf.DUMMYFUNCTION("""COMPUTED_VALUE"""),"#N/A")</f>
        <v>#N/A</v>
      </c>
      <c r="W3812" s="1" t="str">
        <f>IFERROR(__xludf.DUMMYFUNCTION("""COMPUTED_VALUE"""),"#N/A")</f>
        <v>#N/A</v>
      </c>
    </row>
    <row r="3813">
      <c r="O3813" s="1" t="str">
        <f>IFERROR(__xludf.DUMMYFUNCTION("""COMPUTED_VALUE"""),"#VALUE!")</f>
        <v>#VALUE!</v>
      </c>
      <c r="P3813" s="1" t="str">
        <f>IFERROR(__xludf.DUMMYFUNCTION("""COMPUTED_VALUE"""),"#N/A")</f>
        <v>#N/A</v>
      </c>
      <c r="Q3813" s="1"/>
      <c r="R3813" s="1"/>
      <c r="S3813" s="1"/>
      <c r="T3813" s="1"/>
      <c r="U3813" s="2">
        <f>IFERROR(__xludf.DUMMYFUNCTION("""COMPUTED_VALUE"""),0.0)</f>
        <v>0</v>
      </c>
      <c r="V3813" s="1" t="str">
        <f>IFERROR(__xludf.DUMMYFUNCTION("""COMPUTED_VALUE"""),"#N/A")</f>
        <v>#N/A</v>
      </c>
      <c r="W3813" s="1" t="str">
        <f>IFERROR(__xludf.DUMMYFUNCTION("""COMPUTED_VALUE"""),"#N/A")</f>
        <v>#N/A</v>
      </c>
    </row>
    <row r="3814">
      <c r="O3814" s="1" t="str">
        <f>IFERROR(__xludf.DUMMYFUNCTION("""COMPUTED_VALUE"""),"#VALUE!")</f>
        <v>#VALUE!</v>
      </c>
      <c r="P3814" s="1" t="str">
        <f>IFERROR(__xludf.DUMMYFUNCTION("""COMPUTED_VALUE"""),"#N/A")</f>
        <v>#N/A</v>
      </c>
      <c r="Q3814" s="1"/>
      <c r="R3814" s="1"/>
      <c r="S3814" s="1"/>
      <c r="T3814" s="1"/>
      <c r="U3814" s="2">
        <f>IFERROR(__xludf.DUMMYFUNCTION("""COMPUTED_VALUE"""),0.0)</f>
        <v>0</v>
      </c>
      <c r="V3814" s="1" t="str">
        <f>IFERROR(__xludf.DUMMYFUNCTION("""COMPUTED_VALUE"""),"#N/A")</f>
        <v>#N/A</v>
      </c>
      <c r="W3814" s="1" t="str">
        <f>IFERROR(__xludf.DUMMYFUNCTION("""COMPUTED_VALUE"""),"#N/A")</f>
        <v>#N/A</v>
      </c>
    </row>
    <row r="3815">
      <c r="O3815" s="1" t="str">
        <f>IFERROR(__xludf.DUMMYFUNCTION("""COMPUTED_VALUE"""),"#VALUE!")</f>
        <v>#VALUE!</v>
      </c>
      <c r="P3815" s="1" t="str">
        <f>IFERROR(__xludf.DUMMYFUNCTION("""COMPUTED_VALUE"""),"#N/A")</f>
        <v>#N/A</v>
      </c>
      <c r="Q3815" s="1"/>
      <c r="R3815" s="1"/>
      <c r="S3815" s="1"/>
      <c r="T3815" s="1"/>
      <c r="U3815" s="2">
        <f>IFERROR(__xludf.DUMMYFUNCTION("""COMPUTED_VALUE"""),0.0)</f>
        <v>0</v>
      </c>
      <c r="V3815" s="1" t="str">
        <f>IFERROR(__xludf.DUMMYFUNCTION("""COMPUTED_VALUE"""),"#N/A")</f>
        <v>#N/A</v>
      </c>
      <c r="W3815" s="1" t="str">
        <f>IFERROR(__xludf.DUMMYFUNCTION("""COMPUTED_VALUE"""),"#N/A")</f>
        <v>#N/A</v>
      </c>
    </row>
    <row r="3816">
      <c r="O3816" s="1" t="str">
        <f>IFERROR(__xludf.DUMMYFUNCTION("""COMPUTED_VALUE"""),"#VALUE!")</f>
        <v>#VALUE!</v>
      </c>
      <c r="P3816" s="1" t="str">
        <f>IFERROR(__xludf.DUMMYFUNCTION("""COMPUTED_VALUE"""),"#N/A")</f>
        <v>#N/A</v>
      </c>
      <c r="Q3816" s="1"/>
      <c r="R3816" s="1"/>
      <c r="S3816" s="1"/>
      <c r="T3816" s="1"/>
      <c r="U3816" s="2">
        <f>IFERROR(__xludf.DUMMYFUNCTION("""COMPUTED_VALUE"""),0.0)</f>
        <v>0</v>
      </c>
      <c r="V3816" s="1" t="str">
        <f>IFERROR(__xludf.DUMMYFUNCTION("""COMPUTED_VALUE"""),"#N/A")</f>
        <v>#N/A</v>
      </c>
      <c r="W3816" s="1" t="str">
        <f>IFERROR(__xludf.DUMMYFUNCTION("""COMPUTED_VALUE"""),"#N/A")</f>
        <v>#N/A</v>
      </c>
    </row>
    <row r="3817">
      <c r="O3817" s="1" t="str">
        <f>IFERROR(__xludf.DUMMYFUNCTION("""COMPUTED_VALUE"""),"#VALUE!")</f>
        <v>#VALUE!</v>
      </c>
      <c r="P3817" s="1" t="str">
        <f>IFERROR(__xludf.DUMMYFUNCTION("""COMPUTED_VALUE"""),"#N/A")</f>
        <v>#N/A</v>
      </c>
      <c r="Q3817" s="1"/>
      <c r="R3817" s="1"/>
      <c r="S3817" s="1"/>
      <c r="T3817" s="1"/>
      <c r="U3817" s="2">
        <f>IFERROR(__xludf.DUMMYFUNCTION("""COMPUTED_VALUE"""),0.0)</f>
        <v>0</v>
      </c>
      <c r="V3817" s="1" t="str">
        <f>IFERROR(__xludf.DUMMYFUNCTION("""COMPUTED_VALUE"""),"#N/A")</f>
        <v>#N/A</v>
      </c>
      <c r="W3817" s="1" t="str">
        <f>IFERROR(__xludf.DUMMYFUNCTION("""COMPUTED_VALUE"""),"#N/A")</f>
        <v>#N/A</v>
      </c>
    </row>
    <row r="3818">
      <c r="O3818" s="1" t="str">
        <f>IFERROR(__xludf.DUMMYFUNCTION("""COMPUTED_VALUE"""),"#VALUE!")</f>
        <v>#VALUE!</v>
      </c>
      <c r="P3818" s="1" t="str">
        <f>IFERROR(__xludf.DUMMYFUNCTION("""COMPUTED_VALUE"""),"#N/A")</f>
        <v>#N/A</v>
      </c>
      <c r="Q3818" s="1"/>
      <c r="R3818" s="1"/>
      <c r="S3818" s="1"/>
      <c r="T3818" s="1"/>
      <c r="U3818" s="2">
        <f>IFERROR(__xludf.DUMMYFUNCTION("""COMPUTED_VALUE"""),0.0)</f>
        <v>0</v>
      </c>
      <c r="V3818" s="1" t="str">
        <f>IFERROR(__xludf.DUMMYFUNCTION("""COMPUTED_VALUE"""),"#N/A")</f>
        <v>#N/A</v>
      </c>
      <c r="W3818" s="1" t="str">
        <f>IFERROR(__xludf.DUMMYFUNCTION("""COMPUTED_VALUE"""),"#N/A")</f>
        <v>#N/A</v>
      </c>
    </row>
    <row r="3819">
      <c r="O3819" s="1" t="str">
        <f>IFERROR(__xludf.DUMMYFUNCTION("""COMPUTED_VALUE"""),"#VALUE!")</f>
        <v>#VALUE!</v>
      </c>
      <c r="P3819" s="1" t="str">
        <f>IFERROR(__xludf.DUMMYFUNCTION("""COMPUTED_VALUE"""),"#N/A")</f>
        <v>#N/A</v>
      </c>
      <c r="Q3819" s="1"/>
      <c r="R3819" s="1"/>
      <c r="S3819" s="1"/>
      <c r="T3819" s="1"/>
      <c r="U3819" s="2">
        <f>IFERROR(__xludf.DUMMYFUNCTION("""COMPUTED_VALUE"""),0.0)</f>
        <v>0</v>
      </c>
      <c r="V3819" s="1" t="str">
        <f>IFERROR(__xludf.DUMMYFUNCTION("""COMPUTED_VALUE"""),"#N/A")</f>
        <v>#N/A</v>
      </c>
      <c r="W3819" s="1" t="str">
        <f>IFERROR(__xludf.DUMMYFUNCTION("""COMPUTED_VALUE"""),"#N/A")</f>
        <v>#N/A</v>
      </c>
    </row>
    <row r="3820">
      <c r="O3820" s="1" t="str">
        <f>IFERROR(__xludf.DUMMYFUNCTION("""COMPUTED_VALUE"""),"#VALUE!")</f>
        <v>#VALUE!</v>
      </c>
      <c r="P3820" s="1" t="str">
        <f>IFERROR(__xludf.DUMMYFUNCTION("""COMPUTED_VALUE"""),"#N/A")</f>
        <v>#N/A</v>
      </c>
      <c r="Q3820" s="1"/>
      <c r="R3820" s="1"/>
      <c r="S3820" s="1"/>
      <c r="T3820" s="1"/>
      <c r="U3820" s="2">
        <f>IFERROR(__xludf.DUMMYFUNCTION("""COMPUTED_VALUE"""),0.0)</f>
        <v>0</v>
      </c>
      <c r="V3820" s="1" t="str">
        <f>IFERROR(__xludf.DUMMYFUNCTION("""COMPUTED_VALUE"""),"#N/A")</f>
        <v>#N/A</v>
      </c>
      <c r="W3820" s="1" t="str">
        <f>IFERROR(__xludf.DUMMYFUNCTION("""COMPUTED_VALUE"""),"#N/A")</f>
        <v>#N/A</v>
      </c>
    </row>
    <row r="3821">
      <c r="O3821" s="1" t="str">
        <f>IFERROR(__xludf.DUMMYFUNCTION("""COMPUTED_VALUE"""),"#VALUE!")</f>
        <v>#VALUE!</v>
      </c>
      <c r="P3821" s="1" t="str">
        <f>IFERROR(__xludf.DUMMYFUNCTION("""COMPUTED_VALUE"""),"#N/A")</f>
        <v>#N/A</v>
      </c>
      <c r="Q3821" s="1"/>
      <c r="R3821" s="1"/>
      <c r="S3821" s="1"/>
      <c r="T3821" s="1"/>
      <c r="U3821" s="2">
        <f>IFERROR(__xludf.DUMMYFUNCTION("""COMPUTED_VALUE"""),0.0)</f>
        <v>0</v>
      </c>
      <c r="V3821" s="1" t="str">
        <f>IFERROR(__xludf.DUMMYFUNCTION("""COMPUTED_VALUE"""),"#N/A")</f>
        <v>#N/A</v>
      </c>
      <c r="W3821" s="1" t="str">
        <f>IFERROR(__xludf.DUMMYFUNCTION("""COMPUTED_VALUE"""),"#N/A")</f>
        <v>#N/A</v>
      </c>
    </row>
    <row r="3822">
      <c r="O3822" s="1" t="str">
        <f>IFERROR(__xludf.DUMMYFUNCTION("""COMPUTED_VALUE"""),"#VALUE!")</f>
        <v>#VALUE!</v>
      </c>
      <c r="P3822" s="1" t="str">
        <f>IFERROR(__xludf.DUMMYFUNCTION("""COMPUTED_VALUE"""),"#N/A")</f>
        <v>#N/A</v>
      </c>
      <c r="Q3822" s="1"/>
      <c r="R3822" s="1"/>
      <c r="S3822" s="1"/>
      <c r="T3822" s="1"/>
      <c r="U3822" s="2">
        <f>IFERROR(__xludf.DUMMYFUNCTION("""COMPUTED_VALUE"""),0.0)</f>
        <v>0</v>
      </c>
      <c r="V3822" s="1" t="str">
        <f>IFERROR(__xludf.DUMMYFUNCTION("""COMPUTED_VALUE"""),"#N/A")</f>
        <v>#N/A</v>
      </c>
      <c r="W3822" s="1" t="str">
        <f>IFERROR(__xludf.DUMMYFUNCTION("""COMPUTED_VALUE"""),"#N/A")</f>
        <v>#N/A</v>
      </c>
    </row>
    <row r="3823">
      <c r="O3823" s="1" t="str">
        <f>IFERROR(__xludf.DUMMYFUNCTION("""COMPUTED_VALUE"""),"#VALUE!")</f>
        <v>#VALUE!</v>
      </c>
      <c r="P3823" s="1" t="str">
        <f>IFERROR(__xludf.DUMMYFUNCTION("""COMPUTED_VALUE"""),"#N/A")</f>
        <v>#N/A</v>
      </c>
      <c r="Q3823" s="1"/>
      <c r="R3823" s="1"/>
      <c r="S3823" s="1"/>
      <c r="T3823" s="1"/>
      <c r="U3823" s="2">
        <f>IFERROR(__xludf.DUMMYFUNCTION("""COMPUTED_VALUE"""),0.0)</f>
        <v>0</v>
      </c>
      <c r="V3823" s="1" t="str">
        <f>IFERROR(__xludf.DUMMYFUNCTION("""COMPUTED_VALUE"""),"#N/A")</f>
        <v>#N/A</v>
      </c>
      <c r="W3823" s="1" t="str">
        <f>IFERROR(__xludf.DUMMYFUNCTION("""COMPUTED_VALUE"""),"#N/A")</f>
        <v>#N/A</v>
      </c>
    </row>
    <row r="3824">
      <c r="O3824" s="1" t="str">
        <f>IFERROR(__xludf.DUMMYFUNCTION("""COMPUTED_VALUE"""),"#VALUE!")</f>
        <v>#VALUE!</v>
      </c>
      <c r="P3824" s="1" t="str">
        <f>IFERROR(__xludf.DUMMYFUNCTION("""COMPUTED_VALUE"""),"#N/A")</f>
        <v>#N/A</v>
      </c>
      <c r="Q3824" s="1"/>
      <c r="R3824" s="1"/>
      <c r="S3824" s="1"/>
      <c r="T3824" s="1"/>
      <c r="U3824" s="2">
        <f>IFERROR(__xludf.DUMMYFUNCTION("""COMPUTED_VALUE"""),0.0)</f>
        <v>0</v>
      </c>
      <c r="V3824" s="1" t="str">
        <f>IFERROR(__xludf.DUMMYFUNCTION("""COMPUTED_VALUE"""),"#N/A")</f>
        <v>#N/A</v>
      </c>
      <c r="W3824" s="1" t="str">
        <f>IFERROR(__xludf.DUMMYFUNCTION("""COMPUTED_VALUE"""),"#N/A")</f>
        <v>#N/A</v>
      </c>
    </row>
    <row r="3825">
      <c r="O3825" s="1" t="str">
        <f>IFERROR(__xludf.DUMMYFUNCTION("""COMPUTED_VALUE"""),"#VALUE!")</f>
        <v>#VALUE!</v>
      </c>
      <c r="P3825" s="1" t="str">
        <f>IFERROR(__xludf.DUMMYFUNCTION("""COMPUTED_VALUE"""),"#N/A")</f>
        <v>#N/A</v>
      </c>
      <c r="Q3825" s="1"/>
      <c r="R3825" s="1"/>
      <c r="S3825" s="1"/>
      <c r="T3825" s="1"/>
      <c r="U3825" s="2">
        <f>IFERROR(__xludf.DUMMYFUNCTION("""COMPUTED_VALUE"""),0.0)</f>
        <v>0</v>
      </c>
      <c r="V3825" s="1" t="str">
        <f>IFERROR(__xludf.DUMMYFUNCTION("""COMPUTED_VALUE"""),"#N/A")</f>
        <v>#N/A</v>
      </c>
      <c r="W3825" s="1" t="str">
        <f>IFERROR(__xludf.DUMMYFUNCTION("""COMPUTED_VALUE"""),"#N/A")</f>
        <v>#N/A</v>
      </c>
    </row>
    <row r="3826">
      <c r="O3826" s="1" t="str">
        <f>IFERROR(__xludf.DUMMYFUNCTION("""COMPUTED_VALUE"""),"#VALUE!")</f>
        <v>#VALUE!</v>
      </c>
      <c r="P3826" s="1" t="str">
        <f>IFERROR(__xludf.DUMMYFUNCTION("""COMPUTED_VALUE"""),"#N/A")</f>
        <v>#N/A</v>
      </c>
      <c r="Q3826" s="1"/>
      <c r="R3826" s="1"/>
      <c r="S3826" s="1"/>
      <c r="T3826" s="1"/>
      <c r="U3826" s="2">
        <f>IFERROR(__xludf.DUMMYFUNCTION("""COMPUTED_VALUE"""),0.0)</f>
        <v>0</v>
      </c>
      <c r="V3826" s="1" t="str">
        <f>IFERROR(__xludf.DUMMYFUNCTION("""COMPUTED_VALUE"""),"#N/A")</f>
        <v>#N/A</v>
      </c>
      <c r="W3826" s="1" t="str">
        <f>IFERROR(__xludf.DUMMYFUNCTION("""COMPUTED_VALUE"""),"#N/A")</f>
        <v>#N/A</v>
      </c>
    </row>
    <row r="3827">
      <c r="O3827" s="1" t="str">
        <f>IFERROR(__xludf.DUMMYFUNCTION("""COMPUTED_VALUE"""),"#VALUE!")</f>
        <v>#VALUE!</v>
      </c>
      <c r="P3827" s="1" t="str">
        <f>IFERROR(__xludf.DUMMYFUNCTION("""COMPUTED_VALUE"""),"#N/A")</f>
        <v>#N/A</v>
      </c>
      <c r="Q3827" s="1"/>
      <c r="R3827" s="1"/>
      <c r="S3827" s="1"/>
      <c r="T3827" s="1"/>
      <c r="U3827" s="2">
        <f>IFERROR(__xludf.DUMMYFUNCTION("""COMPUTED_VALUE"""),0.0)</f>
        <v>0</v>
      </c>
      <c r="V3827" s="1" t="str">
        <f>IFERROR(__xludf.DUMMYFUNCTION("""COMPUTED_VALUE"""),"#N/A")</f>
        <v>#N/A</v>
      </c>
      <c r="W3827" s="1" t="str">
        <f>IFERROR(__xludf.DUMMYFUNCTION("""COMPUTED_VALUE"""),"#N/A")</f>
        <v>#N/A</v>
      </c>
    </row>
    <row r="3828">
      <c r="O3828" s="1" t="str">
        <f>IFERROR(__xludf.DUMMYFUNCTION("""COMPUTED_VALUE"""),"#VALUE!")</f>
        <v>#VALUE!</v>
      </c>
      <c r="P3828" s="1" t="str">
        <f>IFERROR(__xludf.DUMMYFUNCTION("""COMPUTED_VALUE"""),"#N/A")</f>
        <v>#N/A</v>
      </c>
      <c r="Q3828" s="1"/>
      <c r="R3828" s="1"/>
      <c r="S3828" s="1"/>
      <c r="T3828" s="1"/>
      <c r="U3828" s="2">
        <f>IFERROR(__xludf.DUMMYFUNCTION("""COMPUTED_VALUE"""),0.0)</f>
        <v>0</v>
      </c>
      <c r="V3828" s="1" t="str">
        <f>IFERROR(__xludf.DUMMYFUNCTION("""COMPUTED_VALUE"""),"#N/A")</f>
        <v>#N/A</v>
      </c>
      <c r="W3828" s="1" t="str">
        <f>IFERROR(__xludf.DUMMYFUNCTION("""COMPUTED_VALUE"""),"#N/A")</f>
        <v>#N/A</v>
      </c>
    </row>
    <row r="3829">
      <c r="O3829" s="1" t="str">
        <f>IFERROR(__xludf.DUMMYFUNCTION("""COMPUTED_VALUE"""),"#VALUE!")</f>
        <v>#VALUE!</v>
      </c>
      <c r="P3829" s="1" t="str">
        <f>IFERROR(__xludf.DUMMYFUNCTION("""COMPUTED_VALUE"""),"#N/A")</f>
        <v>#N/A</v>
      </c>
      <c r="Q3829" s="1"/>
      <c r="R3829" s="1"/>
      <c r="S3829" s="1"/>
      <c r="T3829" s="1"/>
      <c r="U3829" s="2">
        <f>IFERROR(__xludf.DUMMYFUNCTION("""COMPUTED_VALUE"""),0.0)</f>
        <v>0</v>
      </c>
      <c r="V3829" s="1" t="str">
        <f>IFERROR(__xludf.DUMMYFUNCTION("""COMPUTED_VALUE"""),"#N/A")</f>
        <v>#N/A</v>
      </c>
      <c r="W3829" s="1" t="str">
        <f>IFERROR(__xludf.DUMMYFUNCTION("""COMPUTED_VALUE"""),"#N/A")</f>
        <v>#N/A</v>
      </c>
    </row>
    <row r="3830">
      <c r="O3830" s="1" t="str">
        <f>IFERROR(__xludf.DUMMYFUNCTION("""COMPUTED_VALUE"""),"#VALUE!")</f>
        <v>#VALUE!</v>
      </c>
      <c r="P3830" s="1" t="str">
        <f>IFERROR(__xludf.DUMMYFUNCTION("""COMPUTED_VALUE"""),"#N/A")</f>
        <v>#N/A</v>
      </c>
      <c r="Q3830" s="1"/>
      <c r="R3830" s="1"/>
      <c r="S3830" s="1"/>
      <c r="T3830" s="1"/>
      <c r="U3830" s="2">
        <f>IFERROR(__xludf.DUMMYFUNCTION("""COMPUTED_VALUE"""),0.0)</f>
        <v>0</v>
      </c>
      <c r="V3830" s="1" t="str">
        <f>IFERROR(__xludf.DUMMYFUNCTION("""COMPUTED_VALUE"""),"#N/A")</f>
        <v>#N/A</v>
      </c>
      <c r="W3830" s="1" t="str">
        <f>IFERROR(__xludf.DUMMYFUNCTION("""COMPUTED_VALUE"""),"#N/A")</f>
        <v>#N/A</v>
      </c>
    </row>
    <row r="3831">
      <c r="O3831" s="1" t="str">
        <f>IFERROR(__xludf.DUMMYFUNCTION("""COMPUTED_VALUE"""),"#VALUE!")</f>
        <v>#VALUE!</v>
      </c>
      <c r="P3831" s="1" t="str">
        <f>IFERROR(__xludf.DUMMYFUNCTION("""COMPUTED_VALUE"""),"#N/A")</f>
        <v>#N/A</v>
      </c>
      <c r="Q3831" s="1"/>
      <c r="R3831" s="1"/>
      <c r="S3831" s="1"/>
      <c r="T3831" s="1"/>
      <c r="U3831" s="2">
        <f>IFERROR(__xludf.DUMMYFUNCTION("""COMPUTED_VALUE"""),0.0)</f>
        <v>0</v>
      </c>
      <c r="V3831" s="1" t="str">
        <f>IFERROR(__xludf.DUMMYFUNCTION("""COMPUTED_VALUE"""),"#N/A")</f>
        <v>#N/A</v>
      </c>
      <c r="W3831" s="1" t="str">
        <f>IFERROR(__xludf.DUMMYFUNCTION("""COMPUTED_VALUE"""),"#N/A")</f>
        <v>#N/A</v>
      </c>
    </row>
    <row r="3832">
      <c r="O3832" s="1" t="str">
        <f>IFERROR(__xludf.DUMMYFUNCTION("""COMPUTED_VALUE"""),"#VALUE!")</f>
        <v>#VALUE!</v>
      </c>
      <c r="P3832" s="1" t="str">
        <f>IFERROR(__xludf.DUMMYFUNCTION("""COMPUTED_VALUE"""),"#N/A")</f>
        <v>#N/A</v>
      </c>
      <c r="Q3832" s="1"/>
      <c r="R3832" s="1"/>
      <c r="S3832" s="1"/>
      <c r="T3832" s="1"/>
      <c r="U3832" s="2">
        <f>IFERROR(__xludf.DUMMYFUNCTION("""COMPUTED_VALUE"""),0.0)</f>
        <v>0</v>
      </c>
      <c r="V3832" s="1" t="str">
        <f>IFERROR(__xludf.DUMMYFUNCTION("""COMPUTED_VALUE"""),"#N/A")</f>
        <v>#N/A</v>
      </c>
      <c r="W3832" s="1" t="str">
        <f>IFERROR(__xludf.DUMMYFUNCTION("""COMPUTED_VALUE"""),"#N/A")</f>
        <v>#N/A</v>
      </c>
    </row>
    <row r="3833">
      <c r="O3833" s="1" t="str">
        <f>IFERROR(__xludf.DUMMYFUNCTION("""COMPUTED_VALUE"""),"#VALUE!")</f>
        <v>#VALUE!</v>
      </c>
      <c r="P3833" s="1" t="str">
        <f>IFERROR(__xludf.DUMMYFUNCTION("""COMPUTED_VALUE"""),"#N/A")</f>
        <v>#N/A</v>
      </c>
      <c r="Q3833" s="1"/>
      <c r="R3833" s="1"/>
      <c r="S3833" s="1"/>
      <c r="T3833" s="1"/>
      <c r="U3833" s="2">
        <f>IFERROR(__xludf.DUMMYFUNCTION("""COMPUTED_VALUE"""),0.0)</f>
        <v>0</v>
      </c>
      <c r="V3833" s="1" t="str">
        <f>IFERROR(__xludf.DUMMYFUNCTION("""COMPUTED_VALUE"""),"#N/A")</f>
        <v>#N/A</v>
      </c>
      <c r="W3833" s="1" t="str">
        <f>IFERROR(__xludf.DUMMYFUNCTION("""COMPUTED_VALUE"""),"#N/A")</f>
        <v>#N/A</v>
      </c>
    </row>
    <row r="3834">
      <c r="O3834" s="1" t="str">
        <f>IFERROR(__xludf.DUMMYFUNCTION("""COMPUTED_VALUE"""),"#VALUE!")</f>
        <v>#VALUE!</v>
      </c>
      <c r="P3834" s="1" t="str">
        <f>IFERROR(__xludf.DUMMYFUNCTION("""COMPUTED_VALUE"""),"#N/A")</f>
        <v>#N/A</v>
      </c>
      <c r="Q3834" s="1"/>
      <c r="R3834" s="1"/>
      <c r="S3834" s="1"/>
      <c r="T3834" s="1"/>
      <c r="U3834" s="2">
        <f>IFERROR(__xludf.DUMMYFUNCTION("""COMPUTED_VALUE"""),0.0)</f>
        <v>0</v>
      </c>
      <c r="V3834" s="1" t="str">
        <f>IFERROR(__xludf.DUMMYFUNCTION("""COMPUTED_VALUE"""),"#N/A")</f>
        <v>#N/A</v>
      </c>
      <c r="W3834" s="1" t="str">
        <f>IFERROR(__xludf.DUMMYFUNCTION("""COMPUTED_VALUE"""),"#N/A")</f>
        <v>#N/A</v>
      </c>
    </row>
    <row r="3835">
      <c r="O3835" s="1" t="str">
        <f>IFERROR(__xludf.DUMMYFUNCTION("""COMPUTED_VALUE"""),"#VALUE!")</f>
        <v>#VALUE!</v>
      </c>
      <c r="P3835" s="1" t="str">
        <f>IFERROR(__xludf.DUMMYFUNCTION("""COMPUTED_VALUE"""),"#N/A")</f>
        <v>#N/A</v>
      </c>
      <c r="Q3835" s="1"/>
      <c r="R3835" s="1"/>
      <c r="S3835" s="1"/>
      <c r="T3835" s="1"/>
      <c r="U3835" s="2">
        <f>IFERROR(__xludf.DUMMYFUNCTION("""COMPUTED_VALUE"""),0.0)</f>
        <v>0</v>
      </c>
      <c r="V3835" s="1" t="str">
        <f>IFERROR(__xludf.DUMMYFUNCTION("""COMPUTED_VALUE"""),"#N/A")</f>
        <v>#N/A</v>
      </c>
      <c r="W3835" s="1" t="str">
        <f>IFERROR(__xludf.DUMMYFUNCTION("""COMPUTED_VALUE"""),"#N/A")</f>
        <v>#N/A</v>
      </c>
    </row>
    <row r="3836">
      <c r="O3836" s="1" t="str">
        <f>IFERROR(__xludf.DUMMYFUNCTION("""COMPUTED_VALUE"""),"#VALUE!")</f>
        <v>#VALUE!</v>
      </c>
      <c r="P3836" s="1" t="str">
        <f>IFERROR(__xludf.DUMMYFUNCTION("""COMPUTED_VALUE"""),"#N/A")</f>
        <v>#N/A</v>
      </c>
      <c r="Q3836" s="1"/>
      <c r="R3836" s="1"/>
      <c r="S3836" s="1"/>
      <c r="T3836" s="1"/>
      <c r="U3836" s="2">
        <f>IFERROR(__xludf.DUMMYFUNCTION("""COMPUTED_VALUE"""),0.0)</f>
        <v>0</v>
      </c>
      <c r="V3836" s="1" t="str">
        <f>IFERROR(__xludf.DUMMYFUNCTION("""COMPUTED_VALUE"""),"#N/A")</f>
        <v>#N/A</v>
      </c>
      <c r="W3836" s="1" t="str">
        <f>IFERROR(__xludf.DUMMYFUNCTION("""COMPUTED_VALUE"""),"#N/A")</f>
        <v>#N/A</v>
      </c>
    </row>
    <row r="3837">
      <c r="O3837" s="1" t="str">
        <f>IFERROR(__xludf.DUMMYFUNCTION("""COMPUTED_VALUE"""),"#VALUE!")</f>
        <v>#VALUE!</v>
      </c>
      <c r="P3837" s="1" t="str">
        <f>IFERROR(__xludf.DUMMYFUNCTION("""COMPUTED_VALUE"""),"#N/A")</f>
        <v>#N/A</v>
      </c>
      <c r="Q3837" s="1"/>
      <c r="R3837" s="1"/>
      <c r="S3837" s="1"/>
      <c r="T3837" s="1"/>
      <c r="U3837" s="2">
        <f>IFERROR(__xludf.DUMMYFUNCTION("""COMPUTED_VALUE"""),0.0)</f>
        <v>0</v>
      </c>
      <c r="V3837" s="1" t="str">
        <f>IFERROR(__xludf.DUMMYFUNCTION("""COMPUTED_VALUE"""),"#N/A")</f>
        <v>#N/A</v>
      </c>
      <c r="W3837" s="1" t="str">
        <f>IFERROR(__xludf.DUMMYFUNCTION("""COMPUTED_VALUE"""),"#N/A")</f>
        <v>#N/A</v>
      </c>
    </row>
    <row r="3838">
      <c r="O3838" s="1" t="str">
        <f>IFERROR(__xludf.DUMMYFUNCTION("""COMPUTED_VALUE"""),"#VALUE!")</f>
        <v>#VALUE!</v>
      </c>
      <c r="P3838" s="1" t="str">
        <f>IFERROR(__xludf.DUMMYFUNCTION("""COMPUTED_VALUE"""),"#N/A")</f>
        <v>#N/A</v>
      </c>
      <c r="Q3838" s="1"/>
      <c r="R3838" s="1"/>
      <c r="S3838" s="1"/>
      <c r="T3838" s="1"/>
      <c r="U3838" s="2">
        <f>IFERROR(__xludf.DUMMYFUNCTION("""COMPUTED_VALUE"""),0.0)</f>
        <v>0</v>
      </c>
      <c r="V3838" s="1" t="str">
        <f>IFERROR(__xludf.DUMMYFUNCTION("""COMPUTED_VALUE"""),"#N/A")</f>
        <v>#N/A</v>
      </c>
      <c r="W3838" s="1" t="str">
        <f>IFERROR(__xludf.DUMMYFUNCTION("""COMPUTED_VALUE"""),"#N/A")</f>
        <v>#N/A</v>
      </c>
    </row>
    <row r="3839">
      <c r="O3839" s="1" t="str">
        <f>IFERROR(__xludf.DUMMYFUNCTION("""COMPUTED_VALUE"""),"#VALUE!")</f>
        <v>#VALUE!</v>
      </c>
      <c r="P3839" s="1" t="str">
        <f>IFERROR(__xludf.DUMMYFUNCTION("""COMPUTED_VALUE"""),"#N/A")</f>
        <v>#N/A</v>
      </c>
      <c r="Q3839" s="1"/>
      <c r="R3839" s="1"/>
      <c r="S3839" s="1"/>
      <c r="T3839" s="1"/>
      <c r="U3839" s="2">
        <f>IFERROR(__xludf.DUMMYFUNCTION("""COMPUTED_VALUE"""),0.0)</f>
        <v>0</v>
      </c>
      <c r="V3839" s="1" t="str">
        <f>IFERROR(__xludf.DUMMYFUNCTION("""COMPUTED_VALUE"""),"#N/A")</f>
        <v>#N/A</v>
      </c>
      <c r="W3839" s="1" t="str">
        <f>IFERROR(__xludf.DUMMYFUNCTION("""COMPUTED_VALUE"""),"#N/A")</f>
        <v>#N/A</v>
      </c>
    </row>
    <row r="3840">
      <c r="O3840" s="1" t="str">
        <f>IFERROR(__xludf.DUMMYFUNCTION("""COMPUTED_VALUE"""),"#VALUE!")</f>
        <v>#VALUE!</v>
      </c>
      <c r="P3840" s="1" t="str">
        <f>IFERROR(__xludf.DUMMYFUNCTION("""COMPUTED_VALUE"""),"#N/A")</f>
        <v>#N/A</v>
      </c>
      <c r="Q3840" s="1"/>
      <c r="R3840" s="1"/>
      <c r="S3840" s="1"/>
      <c r="T3840" s="1"/>
      <c r="U3840" s="2">
        <f>IFERROR(__xludf.DUMMYFUNCTION("""COMPUTED_VALUE"""),0.0)</f>
        <v>0</v>
      </c>
      <c r="V3840" s="1" t="str">
        <f>IFERROR(__xludf.DUMMYFUNCTION("""COMPUTED_VALUE"""),"#N/A")</f>
        <v>#N/A</v>
      </c>
      <c r="W3840" s="1" t="str">
        <f>IFERROR(__xludf.DUMMYFUNCTION("""COMPUTED_VALUE"""),"#N/A")</f>
        <v>#N/A</v>
      </c>
    </row>
    <row r="3841">
      <c r="O3841" s="1" t="str">
        <f>IFERROR(__xludf.DUMMYFUNCTION("""COMPUTED_VALUE"""),"#VALUE!")</f>
        <v>#VALUE!</v>
      </c>
      <c r="P3841" s="1" t="str">
        <f>IFERROR(__xludf.DUMMYFUNCTION("""COMPUTED_VALUE"""),"#N/A")</f>
        <v>#N/A</v>
      </c>
      <c r="Q3841" s="1"/>
      <c r="R3841" s="1"/>
      <c r="S3841" s="1"/>
      <c r="T3841" s="1"/>
      <c r="U3841" s="2">
        <f>IFERROR(__xludf.DUMMYFUNCTION("""COMPUTED_VALUE"""),0.0)</f>
        <v>0</v>
      </c>
      <c r="V3841" s="1" t="str">
        <f>IFERROR(__xludf.DUMMYFUNCTION("""COMPUTED_VALUE"""),"#N/A")</f>
        <v>#N/A</v>
      </c>
      <c r="W3841" s="1" t="str">
        <f>IFERROR(__xludf.DUMMYFUNCTION("""COMPUTED_VALUE"""),"#N/A")</f>
        <v>#N/A</v>
      </c>
    </row>
    <row r="3842">
      <c r="O3842" s="1" t="str">
        <f>IFERROR(__xludf.DUMMYFUNCTION("""COMPUTED_VALUE"""),"#VALUE!")</f>
        <v>#VALUE!</v>
      </c>
      <c r="P3842" s="1" t="str">
        <f>IFERROR(__xludf.DUMMYFUNCTION("""COMPUTED_VALUE"""),"#N/A")</f>
        <v>#N/A</v>
      </c>
      <c r="Q3842" s="1"/>
      <c r="R3842" s="1"/>
      <c r="S3842" s="1"/>
      <c r="T3842" s="1"/>
      <c r="U3842" s="2">
        <f>IFERROR(__xludf.DUMMYFUNCTION("""COMPUTED_VALUE"""),0.0)</f>
        <v>0</v>
      </c>
      <c r="V3842" s="1" t="str">
        <f>IFERROR(__xludf.DUMMYFUNCTION("""COMPUTED_VALUE"""),"#N/A")</f>
        <v>#N/A</v>
      </c>
      <c r="W3842" s="1" t="str">
        <f>IFERROR(__xludf.DUMMYFUNCTION("""COMPUTED_VALUE"""),"#N/A")</f>
        <v>#N/A</v>
      </c>
    </row>
    <row r="3843">
      <c r="O3843" s="1" t="str">
        <f>IFERROR(__xludf.DUMMYFUNCTION("""COMPUTED_VALUE"""),"#VALUE!")</f>
        <v>#VALUE!</v>
      </c>
      <c r="P3843" s="1" t="str">
        <f>IFERROR(__xludf.DUMMYFUNCTION("""COMPUTED_VALUE"""),"#N/A")</f>
        <v>#N/A</v>
      </c>
      <c r="Q3843" s="1"/>
      <c r="R3843" s="1"/>
      <c r="S3843" s="1"/>
      <c r="T3843" s="1"/>
      <c r="U3843" s="2">
        <f>IFERROR(__xludf.DUMMYFUNCTION("""COMPUTED_VALUE"""),0.0)</f>
        <v>0</v>
      </c>
      <c r="V3843" s="1" t="str">
        <f>IFERROR(__xludf.DUMMYFUNCTION("""COMPUTED_VALUE"""),"#N/A")</f>
        <v>#N/A</v>
      </c>
      <c r="W3843" s="1" t="str">
        <f>IFERROR(__xludf.DUMMYFUNCTION("""COMPUTED_VALUE"""),"#N/A")</f>
        <v>#N/A</v>
      </c>
    </row>
    <row r="3844">
      <c r="O3844" s="1" t="str">
        <f>IFERROR(__xludf.DUMMYFUNCTION("""COMPUTED_VALUE"""),"#VALUE!")</f>
        <v>#VALUE!</v>
      </c>
      <c r="P3844" s="1" t="str">
        <f>IFERROR(__xludf.DUMMYFUNCTION("""COMPUTED_VALUE"""),"#N/A")</f>
        <v>#N/A</v>
      </c>
      <c r="Q3844" s="1"/>
      <c r="R3844" s="1"/>
      <c r="S3844" s="1"/>
      <c r="T3844" s="1"/>
      <c r="U3844" s="2">
        <f>IFERROR(__xludf.DUMMYFUNCTION("""COMPUTED_VALUE"""),0.0)</f>
        <v>0</v>
      </c>
      <c r="V3844" s="1" t="str">
        <f>IFERROR(__xludf.DUMMYFUNCTION("""COMPUTED_VALUE"""),"#N/A")</f>
        <v>#N/A</v>
      </c>
      <c r="W3844" s="1" t="str">
        <f>IFERROR(__xludf.DUMMYFUNCTION("""COMPUTED_VALUE"""),"#N/A")</f>
        <v>#N/A</v>
      </c>
    </row>
    <row r="3845">
      <c r="O3845" s="1" t="str">
        <f>IFERROR(__xludf.DUMMYFUNCTION("""COMPUTED_VALUE"""),"#VALUE!")</f>
        <v>#VALUE!</v>
      </c>
      <c r="P3845" s="1" t="str">
        <f>IFERROR(__xludf.DUMMYFUNCTION("""COMPUTED_VALUE"""),"#N/A")</f>
        <v>#N/A</v>
      </c>
      <c r="Q3845" s="1"/>
      <c r="R3845" s="1"/>
      <c r="S3845" s="1"/>
      <c r="T3845" s="1"/>
      <c r="U3845" s="2">
        <f>IFERROR(__xludf.DUMMYFUNCTION("""COMPUTED_VALUE"""),0.0)</f>
        <v>0</v>
      </c>
      <c r="V3845" s="1" t="str">
        <f>IFERROR(__xludf.DUMMYFUNCTION("""COMPUTED_VALUE"""),"#N/A")</f>
        <v>#N/A</v>
      </c>
      <c r="W3845" s="1" t="str">
        <f>IFERROR(__xludf.DUMMYFUNCTION("""COMPUTED_VALUE"""),"#N/A")</f>
        <v>#N/A</v>
      </c>
    </row>
    <row r="3846">
      <c r="O3846" s="1" t="str">
        <f>IFERROR(__xludf.DUMMYFUNCTION("""COMPUTED_VALUE"""),"#VALUE!")</f>
        <v>#VALUE!</v>
      </c>
      <c r="P3846" s="1" t="str">
        <f>IFERROR(__xludf.DUMMYFUNCTION("""COMPUTED_VALUE"""),"#N/A")</f>
        <v>#N/A</v>
      </c>
      <c r="Q3846" s="1"/>
      <c r="R3846" s="1"/>
      <c r="S3846" s="1"/>
      <c r="T3846" s="1"/>
      <c r="U3846" s="2">
        <f>IFERROR(__xludf.DUMMYFUNCTION("""COMPUTED_VALUE"""),0.0)</f>
        <v>0</v>
      </c>
      <c r="V3846" s="1" t="str">
        <f>IFERROR(__xludf.DUMMYFUNCTION("""COMPUTED_VALUE"""),"#N/A")</f>
        <v>#N/A</v>
      </c>
      <c r="W3846" s="1" t="str">
        <f>IFERROR(__xludf.DUMMYFUNCTION("""COMPUTED_VALUE"""),"#N/A")</f>
        <v>#N/A</v>
      </c>
    </row>
    <row r="3847">
      <c r="O3847" s="1" t="str">
        <f>IFERROR(__xludf.DUMMYFUNCTION("""COMPUTED_VALUE"""),"#VALUE!")</f>
        <v>#VALUE!</v>
      </c>
      <c r="P3847" s="1" t="str">
        <f>IFERROR(__xludf.DUMMYFUNCTION("""COMPUTED_VALUE"""),"#N/A")</f>
        <v>#N/A</v>
      </c>
      <c r="Q3847" s="1"/>
      <c r="R3847" s="1"/>
      <c r="S3847" s="1"/>
      <c r="T3847" s="1"/>
      <c r="U3847" s="2">
        <f>IFERROR(__xludf.DUMMYFUNCTION("""COMPUTED_VALUE"""),0.0)</f>
        <v>0</v>
      </c>
      <c r="V3847" s="1" t="str">
        <f>IFERROR(__xludf.DUMMYFUNCTION("""COMPUTED_VALUE"""),"#N/A")</f>
        <v>#N/A</v>
      </c>
      <c r="W3847" s="1" t="str">
        <f>IFERROR(__xludf.DUMMYFUNCTION("""COMPUTED_VALUE"""),"#N/A")</f>
        <v>#N/A</v>
      </c>
    </row>
    <row r="3848">
      <c r="O3848" s="1" t="str">
        <f>IFERROR(__xludf.DUMMYFUNCTION("""COMPUTED_VALUE"""),"#VALUE!")</f>
        <v>#VALUE!</v>
      </c>
      <c r="P3848" s="1" t="str">
        <f>IFERROR(__xludf.DUMMYFUNCTION("""COMPUTED_VALUE"""),"#N/A")</f>
        <v>#N/A</v>
      </c>
      <c r="Q3848" s="1"/>
      <c r="R3848" s="1"/>
      <c r="S3848" s="1"/>
      <c r="T3848" s="1"/>
      <c r="U3848" s="2">
        <f>IFERROR(__xludf.DUMMYFUNCTION("""COMPUTED_VALUE"""),0.0)</f>
        <v>0</v>
      </c>
      <c r="V3848" s="1" t="str">
        <f>IFERROR(__xludf.DUMMYFUNCTION("""COMPUTED_VALUE"""),"#N/A")</f>
        <v>#N/A</v>
      </c>
      <c r="W3848" s="1" t="str">
        <f>IFERROR(__xludf.DUMMYFUNCTION("""COMPUTED_VALUE"""),"#N/A")</f>
        <v>#N/A</v>
      </c>
    </row>
    <row r="3849">
      <c r="O3849" s="1" t="str">
        <f>IFERROR(__xludf.DUMMYFUNCTION("""COMPUTED_VALUE"""),"#VALUE!")</f>
        <v>#VALUE!</v>
      </c>
      <c r="P3849" s="1" t="str">
        <f>IFERROR(__xludf.DUMMYFUNCTION("""COMPUTED_VALUE"""),"#N/A")</f>
        <v>#N/A</v>
      </c>
      <c r="Q3849" s="1"/>
      <c r="R3849" s="1"/>
      <c r="S3849" s="1"/>
      <c r="T3849" s="1"/>
      <c r="U3849" s="2">
        <f>IFERROR(__xludf.DUMMYFUNCTION("""COMPUTED_VALUE"""),0.0)</f>
        <v>0</v>
      </c>
      <c r="V3849" s="1" t="str">
        <f>IFERROR(__xludf.DUMMYFUNCTION("""COMPUTED_VALUE"""),"#N/A")</f>
        <v>#N/A</v>
      </c>
      <c r="W3849" s="1" t="str">
        <f>IFERROR(__xludf.DUMMYFUNCTION("""COMPUTED_VALUE"""),"#N/A")</f>
        <v>#N/A</v>
      </c>
    </row>
    <row r="3850">
      <c r="O3850" s="1" t="str">
        <f>IFERROR(__xludf.DUMMYFUNCTION("""COMPUTED_VALUE"""),"#VALUE!")</f>
        <v>#VALUE!</v>
      </c>
      <c r="P3850" s="1" t="str">
        <f>IFERROR(__xludf.DUMMYFUNCTION("""COMPUTED_VALUE"""),"#N/A")</f>
        <v>#N/A</v>
      </c>
      <c r="Q3850" s="1"/>
      <c r="R3850" s="1"/>
      <c r="S3850" s="1"/>
      <c r="T3850" s="1"/>
      <c r="U3850" s="2">
        <f>IFERROR(__xludf.DUMMYFUNCTION("""COMPUTED_VALUE"""),0.0)</f>
        <v>0</v>
      </c>
      <c r="V3850" s="1" t="str">
        <f>IFERROR(__xludf.DUMMYFUNCTION("""COMPUTED_VALUE"""),"#N/A")</f>
        <v>#N/A</v>
      </c>
      <c r="W3850" s="1" t="str">
        <f>IFERROR(__xludf.DUMMYFUNCTION("""COMPUTED_VALUE"""),"#N/A")</f>
        <v>#N/A</v>
      </c>
    </row>
    <row r="3851">
      <c r="O3851" s="1" t="str">
        <f>IFERROR(__xludf.DUMMYFUNCTION("""COMPUTED_VALUE"""),"#VALUE!")</f>
        <v>#VALUE!</v>
      </c>
      <c r="P3851" s="1" t="str">
        <f>IFERROR(__xludf.DUMMYFUNCTION("""COMPUTED_VALUE"""),"#N/A")</f>
        <v>#N/A</v>
      </c>
      <c r="Q3851" s="1"/>
      <c r="R3851" s="1"/>
      <c r="S3851" s="1"/>
      <c r="T3851" s="1"/>
      <c r="U3851" s="2">
        <f>IFERROR(__xludf.DUMMYFUNCTION("""COMPUTED_VALUE"""),0.0)</f>
        <v>0</v>
      </c>
      <c r="V3851" s="1" t="str">
        <f>IFERROR(__xludf.DUMMYFUNCTION("""COMPUTED_VALUE"""),"#N/A")</f>
        <v>#N/A</v>
      </c>
      <c r="W3851" s="1" t="str">
        <f>IFERROR(__xludf.DUMMYFUNCTION("""COMPUTED_VALUE"""),"#N/A")</f>
        <v>#N/A</v>
      </c>
    </row>
    <row r="3852">
      <c r="O3852" s="1" t="str">
        <f>IFERROR(__xludf.DUMMYFUNCTION("""COMPUTED_VALUE"""),"#VALUE!")</f>
        <v>#VALUE!</v>
      </c>
      <c r="P3852" s="1" t="str">
        <f>IFERROR(__xludf.DUMMYFUNCTION("""COMPUTED_VALUE"""),"#N/A")</f>
        <v>#N/A</v>
      </c>
      <c r="Q3852" s="1"/>
      <c r="R3852" s="1"/>
      <c r="S3852" s="1"/>
      <c r="T3852" s="1"/>
      <c r="U3852" s="2">
        <f>IFERROR(__xludf.DUMMYFUNCTION("""COMPUTED_VALUE"""),0.0)</f>
        <v>0</v>
      </c>
      <c r="V3852" s="1" t="str">
        <f>IFERROR(__xludf.DUMMYFUNCTION("""COMPUTED_VALUE"""),"#N/A")</f>
        <v>#N/A</v>
      </c>
      <c r="W3852" s="1" t="str">
        <f>IFERROR(__xludf.DUMMYFUNCTION("""COMPUTED_VALUE"""),"#N/A")</f>
        <v>#N/A</v>
      </c>
    </row>
    <row r="3853">
      <c r="O3853" s="1" t="str">
        <f>IFERROR(__xludf.DUMMYFUNCTION("""COMPUTED_VALUE"""),"#VALUE!")</f>
        <v>#VALUE!</v>
      </c>
      <c r="P3853" s="1" t="str">
        <f>IFERROR(__xludf.DUMMYFUNCTION("""COMPUTED_VALUE"""),"#N/A")</f>
        <v>#N/A</v>
      </c>
      <c r="Q3853" s="1"/>
      <c r="R3853" s="1"/>
      <c r="S3853" s="1"/>
      <c r="T3853" s="1"/>
      <c r="U3853" s="2">
        <f>IFERROR(__xludf.DUMMYFUNCTION("""COMPUTED_VALUE"""),0.0)</f>
        <v>0</v>
      </c>
      <c r="V3853" s="1" t="str">
        <f>IFERROR(__xludf.DUMMYFUNCTION("""COMPUTED_VALUE"""),"#N/A")</f>
        <v>#N/A</v>
      </c>
      <c r="W3853" s="1" t="str">
        <f>IFERROR(__xludf.DUMMYFUNCTION("""COMPUTED_VALUE"""),"#N/A")</f>
        <v>#N/A</v>
      </c>
    </row>
    <row r="3854">
      <c r="O3854" s="1" t="str">
        <f>IFERROR(__xludf.DUMMYFUNCTION("""COMPUTED_VALUE"""),"#VALUE!")</f>
        <v>#VALUE!</v>
      </c>
      <c r="P3854" s="1" t="str">
        <f>IFERROR(__xludf.DUMMYFUNCTION("""COMPUTED_VALUE"""),"#N/A")</f>
        <v>#N/A</v>
      </c>
      <c r="Q3854" s="1"/>
      <c r="R3854" s="1"/>
      <c r="S3854" s="1"/>
      <c r="T3854" s="1"/>
      <c r="U3854" s="2">
        <f>IFERROR(__xludf.DUMMYFUNCTION("""COMPUTED_VALUE"""),0.0)</f>
        <v>0</v>
      </c>
      <c r="V3854" s="1" t="str">
        <f>IFERROR(__xludf.DUMMYFUNCTION("""COMPUTED_VALUE"""),"#N/A")</f>
        <v>#N/A</v>
      </c>
      <c r="W3854" s="1" t="str">
        <f>IFERROR(__xludf.DUMMYFUNCTION("""COMPUTED_VALUE"""),"#N/A")</f>
        <v>#N/A</v>
      </c>
    </row>
    <row r="3855">
      <c r="O3855" s="1" t="str">
        <f>IFERROR(__xludf.DUMMYFUNCTION("""COMPUTED_VALUE"""),"#VALUE!")</f>
        <v>#VALUE!</v>
      </c>
      <c r="P3855" s="1" t="str">
        <f>IFERROR(__xludf.DUMMYFUNCTION("""COMPUTED_VALUE"""),"#N/A")</f>
        <v>#N/A</v>
      </c>
      <c r="Q3855" s="1"/>
      <c r="R3855" s="1"/>
      <c r="S3855" s="1"/>
      <c r="T3855" s="1"/>
      <c r="U3855" s="2">
        <f>IFERROR(__xludf.DUMMYFUNCTION("""COMPUTED_VALUE"""),0.0)</f>
        <v>0</v>
      </c>
      <c r="V3855" s="1" t="str">
        <f>IFERROR(__xludf.DUMMYFUNCTION("""COMPUTED_VALUE"""),"#N/A")</f>
        <v>#N/A</v>
      </c>
      <c r="W3855" s="1" t="str">
        <f>IFERROR(__xludf.DUMMYFUNCTION("""COMPUTED_VALUE"""),"#N/A")</f>
        <v>#N/A</v>
      </c>
    </row>
    <row r="3856">
      <c r="O3856" s="1" t="str">
        <f>IFERROR(__xludf.DUMMYFUNCTION("""COMPUTED_VALUE"""),"#VALUE!")</f>
        <v>#VALUE!</v>
      </c>
      <c r="P3856" s="1" t="str">
        <f>IFERROR(__xludf.DUMMYFUNCTION("""COMPUTED_VALUE"""),"#N/A")</f>
        <v>#N/A</v>
      </c>
      <c r="Q3856" s="1"/>
      <c r="R3856" s="1"/>
      <c r="S3856" s="1"/>
      <c r="T3856" s="1"/>
      <c r="U3856" s="2">
        <f>IFERROR(__xludf.DUMMYFUNCTION("""COMPUTED_VALUE"""),0.0)</f>
        <v>0</v>
      </c>
      <c r="V3856" s="1" t="str">
        <f>IFERROR(__xludf.DUMMYFUNCTION("""COMPUTED_VALUE"""),"#N/A")</f>
        <v>#N/A</v>
      </c>
      <c r="W3856" s="1" t="str">
        <f>IFERROR(__xludf.DUMMYFUNCTION("""COMPUTED_VALUE"""),"#N/A")</f>
        <v>#N/A</v>
      </c>
    </row>
    <row r="3857">
      <c r="O3857" s="1" t="str">
        <f>IFERROR(__xludf.DUMMYFUNCTION("""COMPUTED_VALUE"""),"#VALUE!")</f>
        <v>#VALUE!</v>
      </c>
      <c r="P3857" s="1" t="str">
        <f>IFERROR(__xludf.DUMMYFUNCTION("""COMPUTED_VALUE"""),"#N/A")</f>
        <v>#N/A</v>
      </c>
      <c r="Q3857" s="1"/>
      <c r="R3857" s="1"/>
      <c r="S3857" s="1"/>
      <c r="T3857" s="1"/>
      <c r="U3857" s="2">
        <f>IFERROR(__xludf.DUMMYFUNCTION("""COMPUTED_VALUE"""),0.0)</f>
        <v>0</v>
      </c>
      <c r="V3857" s="1" t="str">
        <f>IFERROR(__xludf.DUMMYFUNCTION("""COMPUTED_VALUE"""),"#N/A")</f>
        <v>#N/A</v>
      </c>
      <c r="W3857" s="1" t="str">
        <f>IFERROR(__xludf.DUMMYFUNCTION("""COMPUTED_VALUE"""),"#N/A")</f>
        <v>#N/A</v>
      </c>
    </row>
    <row r="3858">
      <c r="O3858" s="1" t="str">
        <f>IFERROR(__xludf.DUMMYFUNCTION("""COMPUTED_VALUE"""),"#VALUE!")</f>
        <v>#VALUE!</v>
      </c>
      <c r="P3858" s="1" t="str">
        <f>IFERROR(__xludf.DUMMYFUNCTION("""COMPUTED_VALUE"""),"#N/A")</f>
        <v>#N/A</v>
      </c>
      <c r="Q3858" s="1"/>
      <c r="R3858" s="1"/>
      <c r="S3858" s="1"/>
      <c r="T3858" s="1"/>
      <c r="U3858" s="2">
        <f>IFERROR(__xludf.DUMMYFUNCTION("""COMPUTED_VALUE"""),0.0)</f>
        <v>0</v>
      </c>
      <c r="V3858" s="1" t="str">
        <f>IFERROR(__xludf.DUMMYFUNCTION("""COMPUTED_VALUE"""),"#N/A")</f>
        <v>#N/A</v>
      </c>
      <c r="W3858" s="1" t="str">
        <f>IFERROR(__xludf.DUMMYFUNCTION("""COMPUTED_VALUE"""),"#N/A")</f>
        <v>#N/A</v>
      </c>
    </row>
    <row r="3859">
      <c r="O3859" s="1" t="str">
        <f>IFERROR(__xludf.DUMMYFUNCTION("""COMPUTED_VALUE"""),"#VALUE!")</f>
        <v>#VALUE!</v>
      </c>
      <c r="P3859" s="1" t="str">
        <f>IFERROR(__xludf.DUMMYFUNCTION("""COMPUTED_VALUE"""),"#N/A")</f>
        <v>#N/A</v>
      </c>
      <c r="Q3859" s="1"/>
      <c r="R3859" s="1"/>
      <c r="S3859" s="1"/>
      <c r="T3859" s="1"/>
      <c r="U3859" s="2">
        <f>IFERROR(__xludf.DUMMYFUNCTION("""COMPUTED_VALUE"""),0.0)</f>
        <v>0</v>
      </c>
      <c r="V3859" s="1" t="str">
        <f>IFERROR(__xludf.DUMMYFUNCTION("""COMPUTED_VALUE"""),"#N/A")</f>
        <v>#N/A</v>
      </c>
      <c r="W3859" s="1" t="str">
        <f>IFERROR(__xludf.DUMMYFUNCTION("""COMPUTED_VALUE"""),"#N/A")</f>
        <v>#N/A</v>
      </c>
    </row>
    <row r="3860">
      <c r="O3860" s="1" t="str">
        <f>IFERROR(__xludf.DUMMYFUNCTION("""COMPUTED_VALUE"""),"#VALUE!")</f>
        <v>#VALUE!</v>
      </c>
      <c r="P3860" s="1" t="str">
        <f>IFERROR(__xludf.DUMMYFUNCTION("""COMPUTED_VALUE"""),"#N/A")</f>
        <v>#N/A</v>
      </c>
      <c r="Q3860" s="1"/>
      <c r="R3860" s="1"/>
      <c r="S3860" s="1"/>
      <c r="T3860" s="1"/>
      <c r="U3860" s="2">
        <f>IFERROR(__xludf.DUMMYFUNCTION("""COMPUTED_VALUE"""),0.0)</f>
        <v>0</v>
      </c>
      <c r="V3860" s="1" t="str">
        <f>IFERROR(__xludf.DUMMYFUNCTION("""COMPUTED_VALUE"""),"#N/A")</f>
        <v>#N/A</v>
      </c>
      <c r="W3860" s="1" t="str">
        <f>IFERROR(__xludf.DUMMYFUNCTION("""COMPUTED_VALUE"""),"#N/A")</f>
        <v>#N/A</v>
      </c>
    </row>
    <row r="3861">
      <c r="O3861" s="1" t="str">
        <f>IFERROR(__xludf.DUMMYFUNCTION("""COMPUTED_VALUE"""),"#VALUE!")</f>
        <v>#VALUE!</v>
      </c>
      <c r="P3861" s="1" t="str">
        <f>IFERROR(__xludf.DUMMYFUNCTION("""COMPUTED_VALUE"""),"#N/A")</f>
        <v>#N/A</v>
      </c>
      <c r="Q3861" s="1"/>
      <c r="R3861" s="1"/>
      <c r="S3861" s="1"/>
      <c r="T3861" s="1"/>
      <c r="U3861" s="2">
        <f>IFERROR(__xludf.DUMMYFUNCTION("""COMPUTED_VALUE"""),0.0)</f>
        <v>0</v>
      </c>
      <c r="V3861" s="1" t="str">
        <f>IFERROR(__xludf.DUMMYFUNCTION("""COMPUTED_VALUE"""),"#N/A")</f>
        <v>#N/A</v>
      </c>
      <c r="W3861" s="1" t="str">
        <f>IFERROR(__xludf.DUMMYFUNCTION("""COMPUTED_VALUE"""),"#N/A")</f>
        <v>#N/A</v>
      </c>
    </row>
    <row r="3862">
      <c r="O3862" s="1" t="str">
        <f>IFERROR(__xludf.DUMMYFUNCTION("""COMPUTED_VALUE"""),"#VALUE!")</f>
        <v>#VALUE!</v>
      </c>
      <c r="P3862" s="1" t="str">
        <f>IFERROR(__xludf.DUMMYFUNCTION("""COMPUTED_VALUE"""),"#N/A")</f>
        <v>#N/A</v>
      </c>
      <c r="Q3862" s="1"/>
      <c r="R3862" s="1"/>
      <c r="S3862" s="1"/>
      <c r="T3862" s="1"/>
      <c r="U3862" s="2">
        <f>IFERROR(__xludf.DUMMYFUNCTION("""COMPUTED_VALUE"""),0.0)</f>
        <v>0</v>
      </c>
      <c r="V3862" s="1" t="str">
        <f>IFERROR(__xludf.DUMMYFUNCTION("""COMPUTED_VALUE"""),"#N/A")</f>
        <v>#N/A</v>
      </c>
      <c r="W3862" s="1" t="str">
        <f>IFERROR(__xludf.DUMMYFUNCTION("""COMPUTED_VALUE"""),"#N/A")</f>
        <v>#N/A</v>
      </c>
    </row>
    <row r="3863">
      <c r="O3863" s="1" t="str">
        <f>IFERROR(__xludf.DUMMYFUNCTION("""COMPUTED_VALUE"""),"#VALUE!")</f>
        <v>#VALUE!</v>
      </c>
      <c r="P3863" s="1" t="str">
        <f>IFERROR(__xludf.DUMMYFUNCTION("""COMPUTED_VALUE"""),"#N/A")</f>
        <v>#N/A</v>
      </c>
      <c r="Q3863" s="1"/>
      <c r="R3863" s="1"/>
      <c r="S3863" s="1"/>
      <c r="T3863" s="1"/>
      <c r="U3863" s="2">
        <f>IFERROR(__xludf.DUMMYFUNCTION("""COMPUTED_VALUE"""),0.0)</f>
        <v>0</v>
      </c>
      <c r="V3863" s="1" t="str">
        <f>IFERROR(__xludf.DUMMYFUNCTION("""COMPUTED_VALUE"""),"#N/A")</f>
        <v>#N/A</v>
      </c>
      <c r="W3863" s="1" t="str">
        <f>IFERROR(__xludf.DUMMYFUNCTION("""COMPUTED_VALUE"""),"#N/A")</f>
        <v>#N/A</v>
      </c>
    </row>
    <row r="3864">
      <c r="O3864" s="1" t="str">
        <f>IFERROR(__xludf.DUMMYFUNCTION("""COMPUTED_VALUE"""),"#VALUE!")</f>
        <v>#VALUE!</v>
      </c>
      <c r="P3864" s="1" t="str">
        <f>IFERROR(__xludf.DUMMYFUNCTION("""COMPUTED_VALUE"""),"#N/A")</f>
        <v>#N/A</v>
      </c>
      <c r="Q3864" s="1"/>
      <c r="R3864" s="1"/>
      <c r="S3864" s="1"/>
      <c r="T3864" s="1"/>
      <c r="U3864" s="2">
        <f>IFERROR(__xludf.DUMMYFUNCTION("""COMPUTED_VALUE"""),0.0)</f>
        <v>0</v>
      </c>
      <c r="V3864" s="1" t="str">
        <f>IFERROR(__xludf.DUMMYFUNCTION("""COMPUTED_VALUE"""),"#N/A")</f>
        <v>#N/A</v>
      </c>
      <c r="W3864" s="1" t="str">
        <f>IFERROR(__xludf.DUMMYFUNCTION("""COMPUTED_VALUE"""),"#N/A")</f>
        <v>#N/A</v>
      </c>
    </row>
    <row r="3865">
      <c r="O3865" s="1" t="str">
        <f>IFERROR(__xludf.DUMMYFUNCTION("""COMPUTED_VALUE"""),"#VALUE!")</f>
        <v>#VALUE!</v>
      </c>
      <c r="P3865" s="1" t="str">
        <f>IFERROR(__xludf.DUMMYFUNCTION("""COMPUTED_VALUE"""),"#N/A")</f>
        <v>#N/A</v>
      </c>
      <c r="Q3865" s="1"/>
      <c r="R3865" s="1"/>
      <c r="S3865" s="1"/>
      <c r="T3865" s="1"/>
      <c r="U3865" s="2">
        <f>IFERROR(__xludf.DUMMYFUNCTION("""COMPUTED_VALUE"""),0.0)</f>
        <v>0</v>
      </c>
      <c r="V3865" s="1" t="str">
        <f>IFERROR(__xludf.DUMMYFUNCTION("""COMPUTED_VALUE"""),"#N/A")</f>
        <v>#N/A</v>
      </c>
      <c r="W3865" s="1" t="str">
        <f>IFERROR(__xludf.DUMMYFUNCTION("""COMPUTED_VALUE"""),"#N/A")</f>
        <v>#N/A</v>
      </c>
    </row>
    <row r="3866">
      <c r="O3866" s="1" t="str">
        <f>IFERROR(__xludf.DUMMYFUNCTION("""COMPUTED_VALUE"""),"#VALUE!")</f>
        <v>#VALUE!</v>
      </c>
      <c r="P3866" s="1" t="str">
        <f>IFERROR(__xludf.DUMMYFUNCTION("""COMPUTED_VALUE"""),"#N/A")</f>
        <v>#N/A</v>
      </c>
      <c r="Q3866" s="1"/>
      <c r="R3866" s="1"/>
      <c r="S3866" s="1"/>
      <c r="T3866" s="1"/>
      <c r="U3866" s="2">
        <f>IFERROR(__xludf.DUMMYFUNCTION("""COMPUTED_VALUE"""),0.0)</f>
        <v>0</v>
      </c>
      <c r="V3866" s="1" t="str">
        <f>IFERROR(__xludf.DUMMYFUNCTION("""COMPUTED_VALUE"""),"#N/A")</f>
        <v>#N/A</v>
      </c>
      <c r="W3866" s="1" t="str">
        <f>IFERROR(__xludf.DUMMYFUNCTION("""COMPUTED_VALUE"""),"#N/A")</f>
        <v>#N/A</v>
      </c>
    </row>
    <row r="3867">
      <c r="O3867" s="1" t="str">
        <f>IFERROR(__xludf.DUMMYFUNCTION("""COMPUTED_VALUE"""),"#VALUE!")</f>
        <v>#VALUE!</v>
      </c>
      <c r="P3867" s="1" t="str">
        <f>IFERROR(__xludf.DUMMYFUNCTION("""COMPUTED_VALUE"""),"#N/A")</f>
        <v>#N/A</v>
      </c>
      <c r="Q3867" s="1"/>
      <c r="R3867" s="1"/>
      <c r="S3867" s="1"/>
      <c r="T3867" s="1"/>
      <c r="U3867" s="2">
        <f>IFERROR(__xludf.DUMMYFUNCTION("""COMPUTED_VALUE"""),0.0)</f>
        <v>0</v>
      </c>
      <c r="V3867" s="1" t="str">
        <f>IFERROR(__xludf.DUMMYFUNCTION("""COMPUTED_VALUE"""),"#N/A")</f>
        <v>#N/A</v>
      </c>
      <c r="W3867" s="1" t="str">
        <f>IFERROR(__xludf.DUMMYFUNCTION("""COMPUTED_VALUE"""),"#N/A")</f>
        <v>#N/A</v>
      </c>
    </row>
    <row r="3868">
      <c r="O3868" s="1" t="str">
        <f>IFERROR(__xludf.DUMMYFUNCTION("""COMPUTED_VALUE"""),"#VALUE!")</f>
        <v>#VALUE!</v>
      </c>
      <c r="P3868" s="1" t="str">
        <f>IFERROR(__xludf.DUMMYFUNCTION("""COMPUTED_VALUE"""),"#N/A")</f>
        <v>#N/A</v>
      </c>
      <c r="Q3868" s="1"/>
      <c r="R3868" s="1"/>
      <c r="S3868" s="1"/>
      <c r="T3868" s="1"/>
      <c r="U3868" s="2">
        <f>IFERROR(__xludf.DUMMYFUNCTION("""COMPUTED_VALUE"""),0.0)</f>
        <v>0</v>
      </c>
      <c r="V3868" s="1" t="str">
        <f>IFERROR(__xludf.DUMMYFUNCTION("""COMPUTED_VALUE"""),"#N/A")</f>
        <v>#N/A</v>
      </c>
      <c r="W3868" s="1" t="str">
        <f>IFERROR(__xludf.DUMMYFUNCTION("""COMPUTED_VALUE"""),"#N/A")</f>
        <v>#N/A</v>
      </c>
    </row>
    <row r="3869">
      <c r="O3869" s="1" t="str">
        <f>IFERROR(__xludf.DUMMYFUNCTION("""COMPUTED_VALUE"""),"#VALUE!")</f>
        <v>#VALUE!</v>
      </c>
      <c r="P3869" s="1" t="str">
        <f>IFERROR(__xludf.DUMMYFUNCTION("""COMPUTED_VALUE"""),"#N/A")</f>
        <v>#N/A</v>
      </c>
      <c r="Q3869" s="1"/>
      <c r="R3869" s="1"/>
      <c r="S3869" s="1"/>
      <c r="T3869" s="1"/>
      <c r="U3869" s="2">
        <f>IFERROR(__xludf.DUMMYFUNCTION("""COMPUTED_VALUE"""),0.0)</f>
        <v>0</v>
      </c>
      <c r="V3869" s="1" t="str">
        <f>IFERROR(__xludf.DUMMYFUNCTION("""COMPUTED_VALUE"""),"#N/A")</f>
        <v>#N/A</v>
      </c>
      <c r="W3869" s="1" t="str">
        <f>IFERROR(__xludf.DUMMYFUNCTION("""COMPUTED_VALUE"""),"#N/A")</f>
        <v>#N/A</v>
      </c>
    </row>
    <row r="3870">
      <c r="O3870" s="1" t="str">
        <f>IFERROR(__xludf.DUMMYFUNCTION("""COMPUTED_VALUE"""),"#VALUE!")</f>
        <v>#VALUE!</v>
      </c>
      <c r="P3870" s="1" t="str">
        <f>IFERROR(__xludf.DUMMYFUNCTION("""COMPUTED_VALUE"""),"#N/A")</f>
        <v>#N/A</v>
      </c>
      <c r="Q3870" s="1"/>
      <c r="R3870" s="1"/>
      <c r="S3870" s="1"/>
      <c r="T3870" s="1"/>
      <c r="U3870" s="2">
        <f>IFERROR(__xludf.DUMMYFUNCTION("""COMPUTED_VALUE"""),0.0)</f>
        <v>0</v>
      </c>
      <c r="V3870" s="1" t="str">
        <f>IFERROR(__xludf.DUMMYFUNCTION("""COMPUTED_VALUE"""),"#N/A")</f>
        <v>#N/A</v>
      </c>
      <c r="W3870" s="1" t="str">
        <f>IFERROR(__xludf.DUMMYFUNCTION("""COMPUTED_VALUE"""),"#N/A")</f>
        <v>#N/A</v>
      </c>
    </row>
    <row r="3871">
      <c r="O3871" s="1" t="str">
        <f>IFERROR(__xludf.DUMMYFUNCTION("""COMPUTED_VALUE"""),"#VALUE!")</f>
        <v>#VALUE!</v>
      </c>
      <c r="P3871" s="1" t="str">
        <f>IFERROR(__xludf.DUMMYFUNCTION("""COMPUTED_VALUE"""),"#N/A")</f>
        <v>#N/A</v>
      </c>
      <c r="Q3871" s="1"/>
      <c r="R3871" s="1"/>
      <c r="S3871" s="1"/>
      <c r="T3871" s="1"/>
      <c r="U3871" s="2">
        <f>IFERROR(__xludf.DUMMYFUNCTION("""COMPUTED_VALUE"""),0.0)</f>
        <v>0</v>
      </c>
      <c r="V3871" s="1" t="str">
        <f>IFERROR(__xludf.DUMMYFUNCTION("""COMPUTED_VALUE"""),"#N/A")</f>
        <v>#N/A</v>
      </c>
      <c r="W3871" s="1" t="str">
        <f>IFERROR(__xludf.DUMMYFUNCTION("""COMPUTED_VALUE"""),"#N/A")</f>
        <v>#N/A</v>
      </c>
    </row>
    <row r="3872">
      <c r="O3872" s="1" t="str">
        <f>IFERROR(__xludf.DUMMYFUNCTION("""COMPUTED_VALUE"""),"#VALUE!")</f>
        <v>#VALUE!</v>
      </c>
      <c r="P3872" s="1" t="str">
        <f>IFERROR(__xludf.DUMMYFUNCTION("""COMPUTED_VALUE"""),"#N/A")</f>
        <v>#N/A</v>
      </c>
      <c r="Q3872" s="1"/>
      <c r="R3872" s="1"/>
      <c r="S3872" s="1"/>
      <c r="T3872" s="1"/>
      <c r="U3872" s="2">
        <f>IFERROR(__xludf.DUMMYFUNCTION("""COMPUTED_VALUE"""),0.0)</f>
        <v>0</v>
      </c>
      <c r="V3872" s="1" t="str">
        <f>IFERROR(__xludf.DUMMYFUNCTION("""COMPUTED_VALUE"""),"#N/A")</f>
        <v>#N/A</v>
      </c>
      <c r="W3872" s="1" t="str">
        <f>IFERROR(__xludf.DUMMYFUNCTION("""COMPUTED_VALUE"""),"#N/A")</f>
        <v>#N/A</v>
      </c>
    </row>
    <row r="3873">
      <c r="O3873" s="1" t="str">
        <f>IFERROR(__xludf.DUMMYFUNCTION("""COMPUTED_VALUE"""),"#VALUE!")</f>
        <v>#VALUE!</v>
      </c>
      <c r="P3873" s="1" t="str">
        <f>IFERROR(__xludf.DUMMYFUNCTION("""COMPUTED_VALUE"""),"#N/A")</f>
        <v>#N/A</v>
      </c>
      <c r="Q3873" s="1"/>
      <c r="R3873" s="1"/>
      <c r="S3873" s="1"/>
      <c r="T3873" s="1"/>
      <c r="U3873" s="2">
        <f>IFERROR(__xludf.DUMMYFUNCTION("""COMPUTED_VALUE"""),0.0)</f>
        <v>0</v>
      </c>
      <c r="V3873" s="1" t="str">
        <f>IFERROR(__xludf.DUMMYFUNCTION("""COMPUTED_VALUE"""),"#N/A")</f>
        <v>#N/A</v>
      </c>
      <c r="W3873" s="1" t="str">
        <f>IFERROR(__xludf.DUMMYFUNCTION("""COMPUTED_VALUE"""),"#N/A")</f>
        <v>#N/A</v>
      </c>
    </row>
    <row r="3874">
      <c r="O3874" s="1" t="str">
        <f>IFERROR(__xludf.DUMMYFUNCTION("""COMPUTED_VALUE"""),"#VALUE!")</f>
        <v>#VALUE!</v>
      </c>
      <c r="P3874" s="1" t="str">
        <f>IFERROR(__xludf.DUMMYFUNCTION("""COMPUTED_VALUE"""),"#N/A")</f>
        <v>#N/A</v>
      </c>
      <c r="Q3874" s="1"/>
      <c r="R3874" s="1"/>
      <c r="S3874" s="1"/>
      <c r="T3874" s="1"/>
      <c r="U3874" s="2">
        <f>IFERROR(__xludf.DUMMYFUNCTION("""COMPUTED_VALUE"""),0.0)</f>
        <v>0</v>
      </c>
      <c r="V3874" s="1" t="str">
        <f>IFERROR(__xludf.DUMMYFUNCTION("""COMPUTED_VALUE"""),"#N/A")</f>
        <v>#N/A</v>
      </c>
      <c r="W3874" s="1" t="str">
        <f>IFERROR(__xludf.DUMMYFUNCTION("""COMPUTED_VALUE"""),"#N/A")</f>
        <v>#N/A</v>
      </c>
    </row>
    <row r="3875">
      <c r="O3875" s="1" t="str">
        <f>IFERROR(__xludf.DUMMYFUNCTION("""COMPUTED_VALUE"""),"#VALUE!")</f>
        <v>#VALUE!</v>
      </c>
      <c r="P3875" s="1" t="str">
        <f>IFERROR(__xludf.DUMMYFUNCTION("""COMPUTED_VALUE"""),"#N/A")</f>
        <v>#N/A</v>
      </c>
      <c r="Q3875" s="1"/>
      <c r="R3875" s="1"/>
      <c r="S3875" s="1"/>
      <c r="T3875" s="1"/>
      <c r="U3875" s="2">
        <f>IFERROR(__xludf.DUMMYFUNCTION("""COMPUTED_VALUE"""),0.0)</f>
        <v>0</v>
      </c>
      <c r="V3875" s="1" t="str">
        <f>IFERROR(__xludf.DUMMYFUNCTION("""COMPUTED_VALUE"""),"#N/A")</f>
        <v>#N/A</v>
      </c>
      <c r="W3875" s="1" t="str">
        <f>IFERROR(__xludf.DUMMYFUNCTION("""COMPUTED_VALUE"""),"#N/A")</f>
        <v>#N/A</v>
      </c>
    </row>
    <row r="3876">
      <c r="O3876" s="1" t="str">
        <f>IFERROR(__xludf.DUMMYFUNCTION("""COMPUTED_VALUE"""),"#VALUE!")</f>
        <v>#VALUE!</v>
      </c>
      <c r="P3876" s="1" t="str">
        <f>IFERROR(__xludf.DUMMYFUNCTION("""COMPUTED_VALUE"""),"#N/A")</f>
        <v>#N/A</v>
      </c>
      <c r="Q3876" s="1"/>
      <c r="R3876" s="1"/>
      <c r="S3876" s="1"/>
      <c r="T3876" s="1"/>
      <c r="U3876" s="2">
        <f>IFERROR(__xludf.DUMMYFUNCTION("""COMPUTED_VALUE"""),0.0)</f>
        <v>0</v>
      </c>
      <c r="V3876" s="1" t="str">
        <f>IFERROR(__xludf.DUMMYFUNCTION("""COMPUTED_VALUE"""),"#N/A")</f>
        <v>#N/A</v>
      </c>
      <c r="W3876" s="1" t="str">
        <f>IFERROR(__xludf.DUMMYFUNCTION("""COMPUTED_VALUE"""),"#N/A")</f>
        <v>#N/A</v>
      </c>
    </row>
    <row r="3877">
      <c r="O3877" s="1" t="str">
        <f>IFERROR(__xludf.DUMMYFUNCTION("""COMPUTED_VALUE"""),"#VALUE!")</f>
        <v>#VALUE!</v>
      </c>
      <c r="P3877" s="1" t="str">
        <f>IFERROR(__xludf.DUMMYFUNCTION("""COMPUTED_VALUE"""),"#N/A")</f>
        <v>#N/A</v>
      </c>
      <c r="Q3877" s="1"/>
      <c r="R3877" s="1"/>
      <c r="S3877" s="1"/>
      <c r="T3877" s="1"/>
      <c r="U3877" s="2">
        <f>IFERROR(__xludf.DUMMYFUNCTION("""COMPUTED_VALUE"""),0.0)</f>
        <v>0</v>
      </c>
      <c r="V3877" s="1" t="str">
        <f>IFERROR(__xludf.DUMMYFUNCTION("""COMPUTED_VALUE"""),"#N/A")</f>
        <v>#N/A</v>
      </c>
      <c r="W3877" s="1" t="str">
        <f>IFERROR(__xludf.DUMMYFUNCTION("""COMPUTED_VALUE"""),"#N/A")</f>
        <v>#N/A</v>
      </c>
    </row>
    <row r="3878">
      <c r="O3878" s="1" t="str">
        <f>IFERROR(__xludf.DUMMYFUNCTION("""COMPUTED_VALUE"""),"#VALUE!")</f>
        <v>#VALUE!</v>
      </c>
      <c r="P3878" s="1" t="str">
        <f>IFERROR(__xludf.DUMMYFUNCTION("""COMPUTED_VALUE"""),"#N/A")</f>
        <v>#N/A</v>
      </c>
      <c r="Q3878" s="1"/>
      <c r="R3878" s="1"/>
      <c r="S3878" s="1"/>
      <c r="T3878" s="1"/>
      <c r="U3878" s="2">
        <f>IFERROR(__xludf.DUMMYFUNCTION("""COMPUTED_VALUE"""),0.0)</f>
        <v>0</v>
      </c>
      <c r="V3878" s="1" t="str">
        <f>IFERROR(__xludf.DUMMYFUNCTION("""COMPUTED_VALUE"""),"#N/A")</f>
        <v>#N/A</v>
      </c>
      <c r="W3878" s="1" t="str">
        <f>IFERROR(__xludf.DUMMYFUNCTION("""COMPUTED_VALUE"""),"#N/A")</f>
        <v>#N/A</v>
      </c>
    </row>
    <row r="3879">
      <c r="O3879" s="1" t="str">
        <f>IFERROR(__xludf.DUMMYFUNCTION("""COMPUTED_VALUE"""),"#VALUE!")</f>
        <v>#VALUE!</v>
      </c>
      <c r="P3879" s="1" t="str">
        <f>IFERROR(__xludf.DUMMYFUNCTION("""COMPUTED_VALUE"""),"#N/A")</f>
        <v>#N/A</v>
      </c>
      <c r="Q3879" s="1"/>
      <c r="R3879" s="1"/>
      <c r="S3879" s="1"/>
      <c r="T3879" s="1"/>
      <c r="U3879" s="2">
        <f>IFERROR(__xludf.DUMMYFUNCTION("""COMPUTED_VALUE"""),0.0)</f>
        <v>0</v>
      </c>
      <c r="V3879" s="1" t="str">
        <f>IFERROR(__xludf.DUMMYFUNCTION("""COMPUTED_VALUE"""),"#N/A")</f>
        <v>#N/A</v>
      </c>
      <c r="W3879" s="1" t="str">
        <f>IFERROR(__xludf.DUMMYFUNCTION("""COMPUTED_VALUE"""),"#N/A")</f>
        <v>#N/A</v>
      </c>
    </row>
    <row r="3880">
      <c r="O3880" s="1" t="str">
        <f>IFERROR(__xludf.DUMMYFUNCTION("""COMPUTED_VALUE"""),"#VALUE!")</f>
        <v>#VALUE!</v>
      </c>
      <c r="P3880" s="1" t="str">
        <f>IFERROR(__xludf.DUMMYFUNCTION("""COMPUTED_VALUE"""),"#N/A")</f>
        <v>#N/A</v>
      </c>
      <c r="Q3880" s="1"/>
      <c r="R3880" s="1"/>
      <c r="S3880" s="1"/>
      <c r="T3880" s="1"/>
      <c r="U3880" s="2">
        <f>IFERROR(__xludf.DUMMYFUNCTION("""COMPUTED_VALUE"""),0.0)</f>
        <v>0</v>
      </c>
      <c r="V3880" s="1" t="str">
        <f>IFERROR(__xludf.DUMMYFUNCTION("""COMPUTED_VALUE"""),"#N/A")</f>
        <v>#N/A</v>
      </c>
      <c r="W3880" s="1" t="str">
        <f>IFERROR(__xludf.DUMMYFUNCTION("""COMPUTED_VALUE"""),"#N/A")</f>
        <v>#N/A</v>
      </c>
    </row>
    <row r="3881">
      <c r="O3881" s="1" t="str">
        <f>IFERROR(__xludf.DUMMYFUNCTION("""COMPUTED_VALUE"""),"#VALUE!")</f>
        <v>#VALUE!</v>
      </c>
      <c r="P3881" s="1" t="str">
        <f>IFERROR(__xludf.DUMMYFUNCTION("""COMPUTED_VALUE"""),"#N/A")</f>
        <v>#N/A</v>
      </c>
      <c r="Q3881" s="1"/>
      <c r="R3881" s="1"/>
      <c r="S3881" s="1"/>
      <c r="T3881" s="1"/>
      <c r="U3881" s="2">
        <f>IFERROR(__xludf.DUMMYFUNCTION("""COMPUTED_VALUE"""),0.0)</f>
        <v>0</v>
      </c>
      <c r="V3881" s="1" t="str">
        <f>IFERROR(__xludf.DUMMYFUNCTION("""COMPUTED_VALUE"""),"#N/A")</f>
        <v>#N/A</v>
      </c>
      <c r="W3881" s="1" t="str">
        <f>IFERROR(__xludf.DUMMYFUNCTION("""COMPUTED_VALUE"""),"#N/A")</f>
        <v>#N/A</v>
      </c>
    </row>
    <row r="3882">
      <c r="O3882" s="1" t="str">
        <f>IFERROR(__xludf.DUMMYFUNCTION("""COMPUTED_VALUE"""),"#VALUE!")</f>
        <v>#VALUE!</v>
      </c>
      <c r="P3882" s="1" t="str">
        <f>IFERROR(__xludf.DUMMYFUNCTION("""COMPUTED_VALUE"""),"#N/A")</f>
        <v>#N/A</v>
      </c>
      <c r="Q3882" s="1"/>
      <c r="R3882" s="1"/>
      <c r="S3882" s="1"/>
      <c r="T3882" s="1"/>
      <c r="U3882" s="2">
        <f>IFERROR(__xludf.DUMMYFUNCTION("""COMPUTED_VALUE"""),0.0)</f>
        <v>0</v>
      </c>
      <c r="V3882" s="1" t="str">
        <f>IFERROR(__xludf.DUMMYFUNCTION("""COMPUTED_VALUE"""),"#N/A")</f>
        <v>#N/A</v>
      </c>
      <c r="W3882" s="1" t="str">
        <f>IFERROR(__xludf.DUMMYFUNCTION("""COMPUTED_VALUE"""),"#N/A")</f>
        <v>#N/A</v>
      </c>
    </row>
    <row r="3883">
      <c r="O3883" s="1" t="str">
        <f>IFERROR(__xludf.DUMMYFUNCTION("""COMPUTED_VALUE"""),"#VALUE!")</f>
        <v>#VALUE!</v>
      </c>
      <c r="P3883" s="1" t="str">
        <f>IFERROR(__xludf.DUMMYFUNCTION("""COMPUTED_VALUE"""),"#N/A")</f>
        <v>#N/A</v>
      </c>
      <c r="Q3883" s="1"/>
      <c r="R3883" s="1"/>
      <c r="S3883" s="1"/>
      <c r="T3883" s="1"/>
      <c r="U3883" s="2">
        <f>IFERROR(__xludf.DUMMYFUNCTION("""COMPUTED_VALUE"""),0.0)</f>
        <v>0</v>
      </c>
      <c r="V3883" s="1" t="str">
        <f>IFERROR(__xludf.DUMMYFUNCTION("""COMPUTED_VALUE"""),"#N/A")</f>
        <v>#N/A</v>
      </c>
      <c r="W3883" s="1" t="str">
        <f>IFERROR(__xludf.DUMMYFUNCTION("""COMPUTED_VALUE"""),"#N/A")</f>
        <v>#N/A</v>
      </c>
    </row>
    <row r="3884">
      <c r="O3884" s="1" t="str">
        <f>IFERROR(__xludf.DUMMYFUNCTION("""COMPUTED_VALUE"""),"#VALUE!")</f>
        <v>#VALUE!</v>
      </c>
      <c r="P3884" s="1" t="str">
        <f>IFERROR(__xludf.DUMMYFUNCTION("""COMPUTED_VALUE"""),"#N/A")</f>
        <v>#N/A</v>
      </c>
      <c r="Q3884" s="1"/>
      <c r="R3884" s="1"/>
      <c r="S3884" s="1"/>
      <c r="T3884" s="1"/>
      <c r="U3884" s="2">
        <f>IFERROR(__xludf.DUMMYFUNCTION("""COMPUTED_VALUE"""),0.0)</f>
        <v>0</v>
      </c>
      <c r="V3884" s="1" t="str">
        <f>IFERROR(__xludf.DUMMYFUNCTION("""COMPUTED_VALUE"""),"#N/A")</f>
        <v>#N/A</v>
      </c>
      <c r="W3884" s="1" t="str">
        <f>IFERROR(__xludf.DUMMYFUNCTION("""COMPUTED_VALUE"""),"#N/A")</f>
        <v>#N/A</v>
      </c>
    </row>
    <row r="3885">
      <c r="O3885" s="1" t="str">
        <f>IFERROR(__xludf.DUMMYFUNCTION("""COMPUTED_VALUE"""),"#VALUE!")</f>
        <v>#VALUE!</v>
      </c>
      <c r="P3885" s="1" t="str">
        <f>IFERROR(__xludf.DUMMYFUNCTION("""COMPUTED_VALUE"""),"#N/A")</f>
        <v>#N/A</v>
      </c>
      <c r="Q3885" s="1"/>
      <c r="R3885" s="1"/>
      <c r="S3885" s="1"/>
      <c r="T3885" s="1"/>
      <c r="U3885" s="2">
        <f>IFERROR(__xludf.DUMMYFUNCTION("""COMPUTED_VALUE"""),0.0)</f>
        <v>0</v>
      </c>
      <c r="V3885" s="1" t="str">
        <f>IFERROR(__xludf.DUMMYFUNCTION("""COMPUTED_VALUE"""),"#N/A")</f>
        <v>#N/A</v>
      </c>
      <c r="W3885" s="1" t="str">
        <f>IFERROR(__xludf.DUMMYFUNCTION("""COMPUTED_VALUE"""),"#N/A")</f>
        <v>#N/A</v>
      </c>
    </row>
    <row r="3886">
      <c r="O3886" s="1" t="str">
        <f>IFERROR(__xludf.DUMMYFUNCTION("""COMPUTED_VALUE"""),"#VALUE!")</f>
        <v>#VALUE!</v>
      </c>
      <c r="P3886" s="1" t="str">
        <f>IFERROR(__xludf.DUMMYFUNCTION("""COMPUTED_VALUE"""),"#N/A")</f>
        <v>#N/A</v>
      </c>
      <c r="Q3886" s="1"/>
      <c r="R3886" s="1"/>
      <c r="S3886" s="1"/>
      <c r="T3886" s="1"/>
      <c r="U3886" s="2">
        <f>IFERROR(__xludf.DUMMYFUNCTION("""COMPUTED_VALUE"""),0.0)</f>
        <v>0</v>
      </c>
      <c r="V3886" s="1" t="str">
        <f>IFERROR(__xludf.DUMMYFUNCTION("""COMPUTED_VALUE"""),"#N/A")</f>
        <v>#N/A</v>
      </c>
      <c r="W3886" s="1" t="str">
        <f>IFERROR(__xludf.DUMMYFUNCTION("""COMPUTED_VALUE"""),"#N/A")</f>
        <v>#N/A</v>
      </c>
    </row>
    <row r="3887">
      <c r="O3887" s="1" t="str">
        <f>IFERROR(__xludf.DUMMYFUNCTION("""COMPUTED_VALUE"""),"#VALUE!")</f>
        <v>#VALUE!</v>
      </c>
      <c r="P3887" s="1" t="str">
        <f>IFERROR(__xludf.DUMMYFUNCTION("""COMPUTED_VALUE"""),"#N/A")</f>
        <v>#N/A</v>
      </c>
      <c r="Q3887" s="1"/>
      <c r="R3887" s="1"/>
      <c r="S3887" s="1"/>
      <c r="T3887" s="1"/>
      <c r="U3887" s="2">
        <f>IFERROR(__xludf.DUMMYFUNCTION("""COMPUTED_VALUE"""),0.0)</f>
        <v>0</v>
      </c>
      <c r="V3887" s="1" t="str">
        <f>IFERROR(__xludf.DUMMYFUNCTION("""COMPUTED_VALUE"""),"#N/A")</f>
        <v>#N/A</v>
      </c>
      <c r="W3887" s="1" t="str">
        <f>IFERROR(__xludf.DUMMYFUNCTION("""COMPUTED_VALUE"""),"#N/A")</f>
        <v>#N/A</v>
      </c>
    </row>
    <row r="3888">
      <c r="O3888" s="1" t="str">
        <f>IFERROR(__xludf.DUMMYFUNCTION("""COMPUTED_VALUE"""),"#VALUE!")</f>
        <v>#VALUE!</v>
      </c>
      <c r="P3888" s="1" t="str">
        <f>IFERROR(__xludf.DUMMYFUNCTION("""COMPUTED_VALUE"""),"#N/A")</f>
        <v>#N/A</v>
      </c>
      <c r="Q3888" s="1"/>
      <c r="R3888" s="1"/>
      <c r="S3888" s="1"/>
      <c r="T3888" s="1"/>
      <c r="U3888" s="2">
        <f>IFERROR(__xludf.DUMMYFUNCTION("""COMPUTED_VALUE"""),0.0)</f>
        <v>0</v>
      </c>
      <c r="V3888" s="1" t="str">
        <f>IFERROR(__xludf.DUMMYFUNCTION("""COMPUTED_VALUE"""),"#N/A")</f>
        <v>#N/A</v>
      </c>
      <c r="W3888" s="1" t="str">
        <f>IFERROR(__xludf.DUMMYFUNCTION("""COMPUTED_VALUE"""),"#N/A")</f>
        <v>#N/A</v>
      </c>
    </row>
    <row r="3889">
      <c r="O3889" s="1" t="str">
        <f>IFERROR(__xludf.DUMMYFUNCTION("""COMPUTED_VALUE"""),"#VALUE!")</f>
        <v>#VALUE!</v>
      </c>
      <c r="P3889" s="1" t="str">
        <f>IFERROR(__xludf.DUMMYFUNCTION("""COMPUTED_VALUE"""),"#N/A")</f>
        <v>#N/A</v>
      </c>
      <c r="Q3889" s="1"/>
      <c r="R3889" s="1"/>
      <c r="S3889" s="1"/>
      <c r="T3889" s="1"/>
      <c r="U3889" s="2">
        <f>IFERROR(__xludf.DUMMYFUNCTION("""COMPUTED_VALUE"""),0.0)</f>
        <v>0</v>
      </c>
      <c r="V3889" s="1" t="str">
        <f>IFERROR(__xludf.DUMMYFUNCTION("""COMPUTED_VALUE"""),"#N/A")</f>
        <v>#N/A</v>
      </c>
      <c r="W3889" s="1" t="str">
        <f>IFERROR(__xludf.DUMMYFUNCTION("""COMPUTED_VALUE"""),"#N/A")</f>
        <v>#N/A</v>
      </c>
    </row>
    <row r="3890">
      <c r="O3890" s="1" t="str">
        <f>IFERROR(__xludf.DUMMYFUNCTION("""COMPUTED_VALUE"""),"#VALUE!")</f>
        <v>#VALUE!</v>
      </c>
      <c r="P3890" s="1" t="str">
        <f>IFERROR(__xludf.DUMMYFUNCTION("""COMPUTED_VALUE"""),"#N/A")</f>
        <v>#N/A</v>
      </c>
      <c r="Q3890" s="1"/>
      <c r="R3890" s="1"/>
      <c r="S3890" s="1"/>
      <c r="T3890" s="1"/>
      <c r="U3890" s="2">
        <f>IFERROR(__xludf.DUMMYFUNCTION("""COMPUTED_VALUE"""),0.0)</f>
        <v>0</v>
      </c>
      <c r="V3890" s="1" t="str">
        <f>IFERROR(__xludf.DUMMYFUNCTION("""COMPUTED_VALUE"""),"#N/A")</f>
        <v>#N/A</v>
      </c>
      <c r="W3890" s="1" t="str">
        <f>IFERROR(__xludf.DUMMYFUNCTION("""COMPUTED_VALUE"""),"#N/A")</f>
        <v>#N/A</v>
      </c>
    </row>
    <row r="3891">
      <c r="O3891" s="1" t="str">
        <f>IFERROR(__xludf.DUMMYFUNCTION("""COMPUTED_VALUE"""),"#VALUE!")</f>
        <v>#VALUE!</v>
      </c>
      <c r="P3891" s="1" t="str">
        <f>IFERROR(__xludf.DUMMYFUNCTION("""COMPUTED_VALUE"""),"#N/A")</f>
        <v>#N/A</v>
      </c>
      <c r="Q3891" s="1"/>
      <c r="R3891" s="1"/>
      <c r="S3891" s="1"/>
      <c r="T3891" s="1"/>
      <c r="U3891" s="2">
        <f>IFERROR(__xludf.DUMMYFUNCTION("""COMPUTED_VALUE"""),0.0)</f>
        <v>0</v>
      </c>
      <c r="V3891" s="1" t="str">
        <f>IFERROR(__xludf.DUMMYFUNCTION("""COMPUTED_VALUE"""),"#N/A")</f>
        <v>#N/A</v>
      </c>
      <c r="W3891" s="1" t="str">
        <f>IFERROR(__xludf.DUMMYFUNCTION("""COMPUTED_VALUE"""),"#N/A")</f>
        <v>#N/A</v>
      </c>
    </row>
    <row r="3892">
      <c r="O3892" s="1" t="str">
        <f>IFERROR(__xludf.DUMMYFUNCTION("""COMPUTED_VALUE"""),"#VALUE!")</f>
        <v>#VALUE!</v>
      </c>
      <c r="P3892" s="1" t="str">
        <f>IFERROR(__xludf.DUMMYFUNCTION("""COMPUTED_VALUE"""),"#N/A")</f>
        <v>#N/A</v>
      </c>
      <c r="Q3892" s="1"/>
      <c r="R3892" s="1"/>
      <c r="S3892" s="1"/>
      <c r="T3892" s="1"/>
      <c r="U3892" s="2">
        <f>IFERROR(__xludf.DUMMYFUNCTION("""COMPUTED_VALUE"""),0.0)</f>
        <v>0</v>
      </c>
      <c r="V3892" s="1" t="str">
        <f>IFERROR(__xludf.DUMMYFUNCTION("""COMPUTED_VALUE"""),"#N/A")</f>
        <v>#N/A</v>
      </c>
      <c r="W3892" s="1" t="str">
        <f>IFERROR(__xludf.DUMMYFUNCTION("""COMPUTED_VALUE"""),"#N/A")</f>
        <v>#N/A</v>
      </c>
    </row>
    <row r="3893">
      <c r="O3893" s="1" t="str">
        <f>IFERROR(__xludf.DUMMYFUNCTION("""COMPUTED_VALUE"""),"#VALUE!")</f>
        <v>#VALUE!</v>
      </c>
      <c r="P3893" s="1" t="str">
        <f>IFERROR(__xludf.DUMMYFUNCTION("""COMPUTED_VALUE"""),"#N/A")</f>
        <v>#N/A</v>
      </c>
      <c r="Q3893" s="1"/>
      <c r="R3893" s="1"/>
      <c r="S3893" s="1"/>
      <c r="T3893" s="1"/>
      <c r="U3893" s="2">
        <f>IFERROR(__xludf.DUMMYFUNCTION("""COMPUTED_VALUE"""),0.0)</f>
        <v>0</v>
      </c>
      <c r="V3893" s="1" t="str">
        <f>IFERROR(__xludf.DUMMYFUNCTION("""COMPUTED_VALUE"""),"#N/A")</f>
        <v>#N/A</v>
      </c>
      <c r="W3893" s="1" t="str">
        <f>IFERROR(__xludf.DUMMYFUNCTION("""COMPUTED_VALUE"""),"#N/A")</f>
        <v>#N/A</v>
      </c>
    </row>
    <row r="3894">
      <c r="O3894" s="1" t="str">
        <f>IFERROR(__xludf.DUMMYFUNCTION("""COMPUTED_VALUE"""),"#VALUE!")</f>
        <v>#VALUE!</v>
      </c>
      <c r="P3894" s="1" t="str">
        <f>IFERROR(__xludf.DUMMYFUNCTION("""COMPUTED_VALUE"""),"#N/A")</f>
        <v>#N/A</v>
      </c>
      <c r="Q3894" s="1"/>
      <c r="R3894" s="1"/>
      <c r="S3894" s="1"/>
      <c r="T3894" s="1"/>
      <c r="U3894" s="2">
        <f>IFERROR(__xludf.DUMMYFUNCTION("""COMPUTED_VALUE"""),0.0)</f>
        <v>0</v>
      </c>
      <c r="V3894" s="1" t="str">
        <f>IFERROR(__xludf.DUMMYFUNCTION("""COMPUTED_VALUE"""),"#N/A")</f>
        <v>#N/A</v>
      </c>
      <c r="W3894" s="1" t="str">
        <f>IFERROR(__xludf.DUMMYFUNCTION("""COMPUTED_VALUE"""),"#N/A")</f>
        <v>#N/A</v>
      </c>
    </row>
    <row r="3895">
      <c r="O3895" s="1" t="str">
        <f>IFERROR(__xludf.DUMMYFUNCTION("""COMPUTED_VALUE"""),"#VALUE!")</f>
        <v>#VALUE!</v>
      </c>
      <c r="P3895" s="1" t="str">
        <f>IFERROR(__xludf.DUMMYFUNCTION("""COMPUTED_VALUE"""),"#N/A")</f>
        <v>#N/A</v>
      </c>
      <c r="Q3895" s="1"/>
      <c r="R3895" s="1"/>
      <c r="S3895" s="1"/>
      <c r="T3895" s="1"/>
      <c r="U3895" s="2">
        <f>IFERROR(__xludf.DUMMYFUNCTION("""COMPUTED_VALUE"""),0.0)</f>
        <v>0</v>
      </c>
      <c r="V3895" s="1" t="str">
        <f>IFERROR(__xludf.DUMMYFUNCTION("""COMPUTED_VALUE"""),"#N/A")</f>
        <v>#N/A</v>
      </c>
      <c r="W3895" s="1" t="str">
        <f>IFERROR(__xludf.DUMMYFUNCTION("""COMPUTED_VALUE"""),"#N/A")</f>
        <v>#N/A</v>
      </c>
    </row>
    <row r="3896">
      <c r="O3896" s="1" t="str">
        <f>IFERROR(__xludf.DUMMYFUNCTION("""COMPUTED_VALUE"""),"#VALUE!")</f>
        <v>#VALUE!</v>
      </c>
      <c r="P3896" s="1" t="str">
        <f>IFERROR(__xludf.DUMMYFUNCTION("""COMPUTED_VALUE"""),"#N/A")</f>
        <v>#N/A</v>
      </c>
      <c r="Q3896" s="1"/>
      <c r="R3896" s="1"/>
      <c r="S3896" s="1"/>
      <c r="T3896" s="1"/>
      <c r="U3896" s="2">
        <f>IFERROR(__xludf.DUMMYFUNCTION("""COMPUTED_VALUE"""),0.0)</f>
        <v>0</v>
      </c>
      <c r="V3896" s="1" t="str">
        <f>IFERROR(__xludf.DUMMYFUNCTION("""COMPUTED_VALUE"""),"#N/A")</f>
        <v>#N/A</v>
      </c>
      <c r="W3896" s="1" t="str">
        <f>IFERROR(__xludf.DUMMYFUNCTION("""COMPUTED_VALUE"""),"#N/A")</f>
        <v>#N/A</v>
      </c>
    </row>
    <row r="3897">
      <c r="O3897" s="1" t="str">
        <f>IFERROR(__xludf.DUMMYFUNCTION("""COMPUTED_VALUE"""),"#VALUE!")</f>
        <v>#VALUE!</v>
      </c>
      <c r="P3897" s="1" t="str">
        <f>IFERROR(__xludf.DUMMYFUNCTION("""COMPUTED_VALUE"""),"#N/A")</f>
        <v>#N/A</v>
      </c>
      <c r="Q3897" s="1"/>
      <c r="R3897" s="1"/>
      <c r="S3897" s="1"/>
      <c r="T3897" s="1"/>
      <c r="U3897" s="2">
        <f>IFERROR(__xludf.DUMMYFUNCTION("""COMPUTED_VALUE"""),0.0)</f>
        <v>0</v>
      </c>
      <c r="V3897" s="1" t="str">
        <f>IFERROR(__xludf.DUMMYFUNCTION("""COMPUTED_VALUE"""),"#N/A")</f>
        <v>#N/A</v>
      </c>
      <c r="W3897" s="1" t="str">
        <f>IFERROR(__xludf.DUMMYFUNCTION("""COMPUTED_VALUE"""),"#N/A")</f>
        <v>#N/A</v>
      </c>
    </row>
    <row r="3898">
      <c r="O3898" s="1" t="str">
        <f>IFERROR(__xludf.DUMMYFUNCTION("""COMPUTED_VALUE"""),"#VALUE!")</f>
        <v>#VALUE!</v>
      </c>
      <c r="P3898" s="1" t="str">
        <f>IFERROR(__xludf.DUMMYFUNCTION("""COMPUTED_VALUE"""),"#N/A")</f>
        <v>#N/A</v>
      </c>
      <c r="Q3898" s="1"/>
      <c r="R3898" s="1"/>
      <c r="S3898" s="1"/>
      <c r="T3898" s="1"/>
      <c r="U3898" s="2">
        <f>IFERROR(__xludf.DUMMYFUNCTION("""COMPUTED_VALUE"""),0.0)</f>
        <v>0</v>
      </c>
      <c r="V3898" s="1" t="str">
        <f>IFERROR(__xludf.DUMMYFUNCTION("""COMPUTED_VALUE"""),"#N/A")</f>
        <v>#N/A</v>
      </c>
      <c r="W3898" s="1" t="str">
        <f>IFERROR(__xludf.DUMMYFUNCTION("""COMPUTED_VALUE"""),"#N/A")</f>
        <v>#N/A</v>
      </c>
    </row>
    <row r="3899">
      <c r="O3899" s="1" t="str">
        <f>IFERROR(__xludf.DUMMYFUNCTION("""COMPUTED_VALUE"""),"#VALUE!")</f>
        <v>#VALUE!</v>
      </c>
      <c r="P3899" s="1" t="str">
        <f>IFERROR(__xludf.DUMMYFUNCTION("""COMPUTED_VALUE"""),"#N/A")</f>
        <v>#N/A</v>
      </c>
      <c r="Q3899" s="1"/>
      <c r="R3899" s="1"/>
      <c r="S3899" s="1"/>
      <c r="T3899" s="1"/>
      <c r="U3899" s="2">
        <f>IFERROR(__xludf.DUMMYFUNCTION("""COMPUTED_VALUE"""),0.0)</f>
        <v>0</v>
      </c>
      <c r="V3899" s="1" t="str">
        <f>IFERROR(__xludf.DUMMYFUNCTION("""COMPUTED_VALUE"""),"#N/A")</f>
        <v>#N/A</v>
      </c>
      <c r="W3899" s="1" t="str">
        <f>IFERROR(__xludf.DUMMYFUNCTION("""COMPUTED_VALUE"""),"#N/A")</f>
        <v>#N/A</v>
      </c>
    </row>
    <row r="3900">
      <c r="O3900" s="1" t="str">
        <f>IFERROR(__xludf.DUMMYFUNCTION("""COMPUTED_VALUE"""),"#VALUE!")</f>
        <v>#VALUE!</v>
      </c>
      <c r="P3900" s="1" t="str">
        <f>IFERROR(__xludf.DUMMYFUNCTION("""COMPUTED_VALUE"""),"#N/A")</f>
        <v>#N/A</v>
      </c>
      <c r="Q3900" s="1"/>
      <c r="R3900" s="1"/>
      <c r="S3900" s="1"/>
      <c r="T3900" s="1"/>
      <c r="U3900" s="2">
        <f>IFERROR(__xludf.DUMMYFUNCTION("""COMPUTED_VALUE"""),0.0)</f>
        <v>0</v>
      </c>
      <c r="V3900" s="1" t="str">
        <f>IFERROR(__xludf.DUMMYFUNCTION("""COMPUTED_VALUE"""),"#N/A")</f>
        <v>#N/A</v>
      </c>
      <c r="W3900" s="1" t="str">
        <f>IFERROR(__xludf.DUMMYFUNCTION("""COMPUTED_VALUE"""),"#N/A")</f>
        <v>#N/A</v>
      </c>
    </row>
    <row r="3901">
      <c r="O3901" s="1" t="str">
        <f>IFERROR(__xludf.DUMMYFUNCTION("""COMPUTED_VALUE"""),"#VALUE!")</f>
        <v>#VALUE!</v>
      </c>
      <c r="P3901" s="1" t="str">
        <f>IFERROR(__xludf.DUMMYFUNCTION("""COMPUTED_VALUE"""),"#N/A")</f>
        <v>#N/A</v>
      </c>
      <c r="Q3901" s="1"/>
      <c r="R3901" s="1"/>
      <c r="S3901" s="1"/>
      <c r="T3901" s="1"/>
      <c r="U3901" s="2">
        <f>IFERROR(__xludf.DUMMYFUNCTION("""COMPUTED_VALUE"""),0.0)</f>
        <v>0</v>
      </c>
      <c r="V3901" s="1" t="str">
        <f>IFERROR(__xludf.DUMMYFUNCTION("""COMPUTED_VALUE"""),"#N/A")</f>
        <v>#N/A</v>
      </c>
      <c r="W3901" s="1" t="str">
        <f>IFERROR(__xludf.DUMMYFUNCTION("""COMPUTED_VALUE"""),"#N/A")</f>
        <v>#N/A</v>
      </c>
    </row>
    <row r="3902">
      <c r="O3902" s="1" t="str">
        <f>IFERROR(__xludf.DUMMYFUNCTION("""COMPUTED_VALUE"""),"#VALUE!")</f>
        <v>#VALUE!</v>
      </c>
      <c r="P3902" s="1" t="str">
        <f>IFERROR(__xludf.DUMMYFUNCTION("""COMPUTED_VALUE"""),"#N/A")</f>
        <v>#N/A</v>
      </c>
      <c r="Q3902" s="1"/>
      <c r="R3902" s="1"/>
      <c r="S3902" s="1"/>
      <c r="T3902" s="1"/>
      <c r="U3902" s="2">
        <f>IFERROR(__xludf.DUMMYFUNCTION("""COMPUTED_VALUE"""),0.0)</f>
        <v>0</v>
      </c>
      <c r="V3902" s="1" t="str">
        <f>IFERROR(__xludf.DUMMYFUNCTION("""COMPUTED_VALUE"""),"#N/A")</f>
        <v>#N/A</v>
      </c>
      <c r="W3902" s="1" t="str">
        <f>IFERROR(__xludf.DUMMYFUNCTION("""COMPUTED_VALUE"""),"#N/A")</f>
        <v>#N/A</v>
      </c>
    </row>
    <row r="3903">
      <c r="O3903" s="1" t="str">
        <f>IFERROR(__xludf.DUMMYFUNCTION("""COMPUTED_VALUE"""),"#VALUE!")</f>
        <v>#VALUE!</v>
      </c>
      <c r="P3903" s="1" t="str">
        <f>IFERROR(__xludf.DUMMYFUNCTION("""COMPUTED_VALUE"""),"#N/A")</f>
        <v>#N/A</v>
      </c>
      <c r="Q3903" s="1"/>
      <c r="R3903" s="1"/>
      <c r="S3903" s="1"/>
      <c r="T3903" s="1"/>
      <c r="U3903" s="2">
        <f>IFERROR(__xludf.DUMMYFUNCTION("""COMPUTED_VALUE"""),0.0)</f>
        <v>0</v>
      </c>
      <c r="V3903" s="1" t="str">
        <f>IFERROR(__xludf.DUMMYFUNCTION("""COMPUTED_VALUE"""),"#N/A")</f>
        <v>#N/A</v>
      </c>
      <c r="W3903" s="1" t="str">
        <f>IFERROR(__xludf.DUMMYFUNCTION("""COMPUTED_VALUE"""),"#N/A")</f>
        <v>#N/A</v>
      </c>
    </row>
    <row r="3904">
      <c r="O3904" s="1" t="str">
        <f>IFERROR(__xludf.DUMMYFUNCTION("""COMPUTED_VALUE"""),"#VALUE!")</f>
        <v>#VALUE!</v>
      </c>
      <c r="P3904" s="1" t="str">
        <f>IFERROR(__xludf.DUMMYFUNCTION("""COMPUTED_VALUE"""),"#N/A")</f>
        <v>#N/A</v>
      </c>
      <c r="Q3904" s="1"/>
      <c r="R3904" s="1"/>
      <c r="S3904" s="1"/>
      <c r="T3904" s="1"/>
      <c r="U3904" s="2">
        <f>IFERROR(__xludf.DUMMYFUNCTION("""COMPUTED_VALUE"""),0.0)</f>
        <v>0</v>
      </c>
      <c r="V3904" s="1" t="str">
        <f>IFERROR(__xludf.DUMMYFUNCTION("""COMPUTED_VALUE"""),"#N/A")</f>
        <v>#N/A</v>
      </c>
      <c r="W3904" s="1" t="str">
        <f>IFERROR(__xludf.DUMMYFUNCTION("""COMPUTED_VALUE"""),"#N/A")</f>
        <v>#N/A</v>
      </c>
    </row>
    <row r="3905">
      <c r="O3905" s="1" t="str">
        <f>IFERROR(__xludf.DUMMYFUNCTION("""COMPUTED_VALUE"""),"#VALUE!")</f>
        <v>#VALUE!</v>
      </c>
      <c r="P3905" s="1" t="str">
        <f>IFERROR(__xludf.DUMMYFUNCTION("""COMPUTED_VALUE"""),"#N/A")</f>
        <v>#N/A</v>
      </c>
      <c r="Q3905" s="1"/>
      <c r="R3905" s="1"/>
      <c r="S3905" s="1"/>
      <c r="T3905" s="1"/>
      <c r="U3905" s="2">
        <f>IFERROR(__xludf.DUMMYFUNCTION("""COMPUTED_VALUE"""),0.0)</f>
        <v>0</v>
      </c>
      <c r="V3905" s="1" t="str">
        <f>IFERROR(__xludf.DUMMYFUNCTION("""COMPUTED_VALUE"""),"#N/A")</f>
        <v>#N/A</v>
      </c>
      <c r="W3905" s="1" t="str">
        <f>IFERROR(__xludf.DUMMYFUNCTION("""COMPUTED_VALUE"""),"#N/A")</f>
        <v>#N/A</v>
      </c>
    </row>
    <row r="3906">
      <c r="O3906" s="1" t="str">
        <f>IFERROR(__xludf.DUMMYFUNCTION("""COMPUTED_VALUE"""),"#VALUE!")</f>
        <v>#VALUE!</v>
      </c>
      <c r="P3906" s="1" t="str">
        <f>IFERROR(__xludf.DUMMYFUNCTION("""COMPUTED_VALUE"""),"#N/A")</f>
        <v>#N/A</v>
      </c>
      <c r="Q3906" s="1"/>
      <c r="R3906" s="1"/>
      <c r="S3906" s="1"/>
      <c r="T3906" s="1"/>
      <c r="U3906" s="2">
        <f>IFERROR(__xludf.DUMMYFUNCTION("""COMPUTED_VALUE"""),0.0)</f>
        <v>0</v>
      </c>
      <c r="V3906" s="1" t="str">
        <f>IFERROR(__xludf.DUMMYFUNCTION("""COMPUTED_VALUE"""),"#N/A")</f>
        <v>#N/A</v>
      </c>
      <c r="W3906" s="1" t="str">
        <f>IFERROR(__xludf.DUMMYFUNCTION("""COMPUTED_VALUE"""),"#N/A")</f>
        <v>#N/A</v>
      </c>
    </row>
    <row r="3907">
      <c r="O3907" s="1" t="str">
        <f>IFERROR(__xludf.DUMMYFUNCTION("""COMPUTED_VALUE"""),"#VALUE!")</f>
        <v>#VALUE!</v>
      </c>
      <c r="P3907" s="1" t="str">
        <f>IFERROR(__xludf.DUMMYFUNCTION("""COMPUTED_VALUE"""),"#N/A")</f>
        <v>#N/A</v>
      </c>
      <c r="Q3907" s="1"/>
      <c r="R3907" s="1"/>
      <c r="S3907" s="1"/>
      <c r="T3907" s="1"/>
      <c r="U3907" s="2">
        <f>IFERROR(__xludf.DUMMYFUNCTION("""COMPUTED_VALUE"""),0.0)</f>
        <v>0</v>
      </c>
      <c r="V3907" s="1" t="str">
        <f>IFERROR(__xludf.DUMMYFUNCTION("""COMPUTED_VALUE"""),"#N/A")</f>
        <v>#N/A</v>
      </c>
      <c r="W3907" s="1" t="str">
        <f>IFERROR(__xludf.DUMMYFUNCTION("""COMPUTED_VALUE"""),"#N/A")</f>
        <v>#N/A</v>
      </c>
    </row>
    <row r="3908">
      <c r="O3908" s="1" t="str">
        <f>IFERROR(__xludf.DUMMYFUNCTION("""COMPUTED_VALUE"""),"#VALUE!")</f>
        <v>#VALUE!</v>
      </c>
      <c r="P3908" s="1" t="str">
        <f>IFERROR(__xludf.DUMMYFUNCTION("""COMPUTED_VALUE"""),"#N/A")</f>
        <v>#N/A</v>
      </c>
      <c r="Q3908" s="1"/>
      <c r="R3908" s="1"/>
      <c r="S3908" s="1"/>
      <c r="T3908" s="1"/>
      <c r="U3908" s="2">
        <f>IFERROR(__xludf.DUMMYFUNCTION("""COMPUTED_VALUE"""),0.0)</f>
        <v>0</v>
      </c>
      <c r="V3908" s="1" t="str">
        <f>IFERROR(__xludf.DUMMYFUNCTION("""COMPUTED_VALUE"""),"#N/A")</f>
        <v>#N/A</v>
      </c>
      <c r="W3908" s="1" t="str">
        <f>IFERROR(__xludf.DUMMYFUNCTION("""COMPUTED_VALUE"""),"#N/A")</f>
        <v>#N/A</v>
      </c>
    </row>
    <row r="3909">
      <c r="O3909" s="1" t="str">
        <f>IFERROR(__xludf.DUMMYFUNCTION("""COMPUTED_VALUE"""),"#VALUE!")</f>
        <v>#VALUE!</v>
      </c>
      <c r="P3909" s="1" t="str">
        <f>IFERROR(__xludf.DUMMYFUNCTION("""COMPUTED_VALUE"""),"#N/A")</f>
        <v>#N/A</v>
      </c>
      <c r="Q3909" s="1"/>
      <c r="R3909" s="1"/>
      <c r="S3909" s="1"/>
      <c r="T3909" s="1"/>
      <c r="U3909" s="2">
        <f>IFERROR(__xludf.DUMMYFUNCTION("""COMPUTED_VALUE"""),0.0)</f>
        <v>0</v>
      </c>
      <c r="V3909" s="1" t="str">
        <f>IFERROR(__xludf.DUMMYFUNCTION("""COMPUTED_VALUE"""),"#N/A")</f>
        <v>#N/A</v>
      </c>
      <c r="W3909" s="1" t="str">
        <f>IFERROR(__xludf.DUMMYFUNCTION("""COMPUTED_VALUE"""),"#N/A")</f>
        <v>#N/A</v>
      </c>
    </row>
    <row r="3910">
      <c r="O3910" s="1" t="str">
        <f>IFERROR(__xludf.DUMMYFUNCTION("""COMPUTED_VALUE"""),"#VALUE!")</f>
        <v>#VALUE!</v>
      </c>
      <c r="P3910" s="1" t="str">
        <f>IFERROR(__xludf.DUMMYFUNCTION("""COMPUTED_VALUE"""),"#N/A")</f>
        <v>#N/A</v>
      </c>
      <c r="Q3910" s="1"/>
      <c r="R3910" s="1"/>
      <c r="S3910" s="1"/>
      <c r="T3910" s="1"/>
      <c r="U3910" s="2">
        <f>IFERROR(__xludf.DUMMYFUNCTION("""COMPUTED_VALUE"""),0.0)</f>
        <v>0</v>
      </c>
      <c r="V3910" s="1" t="str">
        <f>IFERROR(__xludf.DUMMYFUNCTION("""COMPUTED_VALUE"""),"#N/A")</f>
        <v>#N/A</v>
      </c>
      <c r="W3910" s="1" t="str">
        <f>IFERROR(__xludf.DUMMYFUNCTION("""COMPUTED_VALUE"""),"#N/A")</f>
        <v>#N/A</v>
      </c>
    </row>
    <row r="3911">
      <c r="O3911" s="1" t="str">
        <f>IFERROR(__xludf.DUMMYFUNCTION("""COMPUTED_VALUE"""),"#VALUE!")</f>
        <v>#VALUE!</v>
      </c>
      <c r="P3911" s="1" t="str">
        <f>IFERROR(__xludf.DUMMYFUNCTION("""COMPUTED_VALUE"""),"#N/A")</f>
        <v>#N/A</v>
      </c>
      <c r="Q3911" s="1"/>
      <c r="R3911" s="1"/>
      <c r="S3911" s="1"/>
      <c r="T3911" s="1"/>
      <c r="U3911" s="2">
        <f>IFERROR(__xludf.DUMMYFUNCTION("""COMPUTED_VALUE"""),0.0)</f>
        <v>0</v>
      </c>
      <c r="V3911" s="1" t="str">
        <f>IFERROR(__xludf.DUMMYFUNCTION("""COMPUTED_VALUE"""),"#N/A")</f>
        <v>#N/A</v>
      </c>
      <c r="W3911" s="1" t="str">
        <f>IFERROR(__xludf.DUMMYFUNCTION("""COMPUTED_VALUE"""),"#N/A")</f>
        <v>#N/A</v>
      </c>
    </row>
    <row r="3912">
      <c r="O3912" s="1" t="str">
        <f>IFERROR(__xludf.DUMMYFUNCTION("""COMPUTED_VALUE"""),"#VALUE!")</f>
        <v>#VALUE!</v>
      </c>
      <c r="P3912" s="1" t="str">
        <f>IFERROR(__xludf.DUMMYFUNCTION("""COMPUTED_VALUE"""),"#N/A")</f>
        <v>#N/A</v>
      </c>
      <c r="Q3912" s="1"/>
      <c r="R3912" s="1"/>
      <c r="S3912" s="1"/>
      <c r="T3912" s="1"/>
      <c r="U3912" s="2">
        <f>IFERROR(__xludf.DUMMYFUNCTION("""COMPUTED_VALUE"""),0.0)</f>
        <v>0</v>
      </c>
      <c r="V3912" s="1" t="str">
        <f>IFERROR(__xludf.DUMMYFUNCTION("""COMPUTED_VALUE"""),"#N/A")</f>
        <v>#N/A</v>
      </c>
      <c r="W3912" s="1" t="str">
        <f>IFERROR(__xludf.DUMMYFUNCTION("""COMPUTED_VALUE"""),"#N/A")</f>
        <v>#N/A</v>
      </c>
    </row>
    <row r="3913">
      <c r="O3913" s="1" t="str">
        <f>IFERROR(__xludf.DUMMYFUNCTION("""COMPUTED_VALUE"""),"#VALUE!")</f>
        <v>#VALUE!</v>
      </c>
      <c r="P3913" s="1" t="str">
        <f>IFERROR(__xludf.DUMMYFUNCTION("""COMPUTED_VALUE"""),"#N/A")</f>
        <v>#N/A</v>
      </c>
      <c r="Q3913" s="1"/>
      <c r="R3913" s="1"/>
      <c r="S3913" s="1"/>
      <c r="T3913" s="1"/>
      <c r="U3913" s="2">
        <f>IFERROR(__xludf.DUMMYFUNCTION("""COMPUTED_VALUE"""),0.0)</f>
        <v>0</v>
      </c>
      <c r="V3913" s="1" t="str">
        <f>IFERROR(__xludf.DUMMYFUNCTION("""COMPUTED_VALUE"""),"#N/A")</f>
        <v>#N/A</v>
      </c>
      <c r="W3913" s="1" t="str">
        <f>IFERROR(__xludf.DUMMYFUNCTION("""COMPUTED_VALUE"""),"#N/A")</f>
        <v>#N/A</v>
      </c>
    </row>
    <row r="3914">
      <c r="O3914" s="1" t="str">
        <f>IFERROR(__xludf.DUMMYFUNCTION("""COMPUTED_VALUE"""),"#VALUE!")</f>
        <v>#VALUE!</v>
      </c>
      <c r="P3914" s="1" t="str">
        <f>IFERROR(__xludf.DUMMYFUNCTION("""COMPUTED_VALUE"""),"#N/A")</f>
        <v>#N/A</v>
      </c>
      <c r="Q3914" s="1"/>
      <c r="R3914" s="1"/>
      <c r="S3914" s="1"/>
      <c r="T3914" s="1"/>
      <c r="U3914" s="2">
        <f>IFERROR(__xludf.DUMMYFUNCTION("""COMPUTED_VALUE"""),0.0)</f>
        <v>0</v>
      </c>
      <c r="V3914" s="1" t="str">
        <f>IFERROR(__xludf.DUMMYFUNCTION("""COMPUTED_VALUE"""),"#N/A")</f>
        <v>#N/A</v>
      </c>
      <c r="W3914" s="1" t="str">
        <f>IFERROR(__xludf.DUMMYFUNCTION("""COMPUTED_VALUE"""),"#N/A")</f>
        <v>#N/A</v>
      </c>
    </row>
    <row r="3915">
      <c r="O3915" s="1" t="str">
        <f>IFERROR(__xludf.DUMMYFUNCTION("""COMPUTED_VALUE"""),"#VALUE!")</f>
        <v>#VALUE!</v>
      </c>
      <c r="P3915" s="1" t="str">
        <f>IFERROR(__xludf.DUMMYFUNCTION("""COMPUTED_VALUE"""),"#N/A")</f>
        <v>#N/A</v>
      </c>
      <c r="Q3915" s="1"/>
      <c r="R3915" s="1"/>
      <c r="S3915" s="1"/>
      <c r="T3915" s="1"/>
      <c r="U3915" s="2">
        <f>IFERROR(__xludf.DUMMYFUNCTION("""COMPUTED_VALUE"""),0.0)</f>
        <v>0</v>
      </c>
      <c r="V3915" s="1" t="str">
        <f>IFERROR(__xludf.DUMMYFUNCTION("""COMPUTED_VALUE"""),"#N/A")</f>
        <v>#N/A</v>
      </c>
      <c r="W3915" s="1" t="str">
        <f>IFERROR(__xludf.DUMMYFUNCTION("""COMPUTED_VALUE"""),"#N/A")</f>
        <v>#N/A</v>
      </c>
    </row>
    <row r="3916">
      <c r="O3916" s="1" t="str">
        <f>IFERROR(__xludf.DUMMYFUNCTION("""COMPUTED_VALUE"""),"#VALUE!")</f>
        <v>#VALUE!</v>
      </c>
      <c r="P3916" s="1" t="str">
        <f>IFERROR(__xludf.DUMMYFUNCTION("""COMPUTED_VALUE"""),"#N/A")</f>
        <v>#N/A</v>
      </c>
      <c r="Q3916" s="1"/>
      <c r="R3916" s="1"/>
      <c r="S3916" s="1"/>
      <c r="T3916" s="1"/>
      <c r="U3916" s="2">
        <f>IFERROR(__xludf.DUMMYFUNCTION("""COMPUTED_VALUE"""),0.0)</f>
        <v>0</v>
      </c>
      <c r="V3916" s="1" t="str">
        <f>IFERROR(__xludf.DUMMYFUNCTION("""COMPUTED_VALUE"""),"#N/A")</f>
        <v>#N/A</v>
      </c>
      <c r="W3916" s="1" t="str">
        <f>IFERROR(__xludf.DUMMYFUNCTION("""COMPUTED_VALUE"""),"#N/A")</f>
        <v>#N/A</v>
      </c>
    </row>
    <row r="3917">
      <c r="O3917" s="1" t="str">
        <f>IFERROR(__xludf.DUMMYFUNCTION("""COMPUTED_VALUE"""),"#VALUE!")</f>
        <v>#VALUE!</v>
      </c>
      <c r="P3917" s="1" t="str">
        <f>IFERROR(__xludf.DUMMYFUNCTION("""COMPUTED_VALUE"""),"#N/A")</f>
        <v>#N/A</v>
      </c>
      <c r="Q3917" s="1"/>
      <c r="R3917" s="1"/>
      <c r="S3917" s="1"/>
      <c r="T3917" s="1"/>
      <c r="U3917" s="2">
        <f>IFERROR(__xludf.DUMMYFUNCTION("""COMPUTED_VALUE"""),0.0)</f>
        <v>0</v>
      </c>
      <c r="V3917" s="1" t="str">
        <f>IFERROR(__xludf.DUMMYFUNCTION("""COMPUTED_VALUE"""),"#N/A")</f>
        <v>#N/A</v>
      </c>
      <c r="W3917" s="1" t="str">
        <f>IFERROR(__xludf.DUMMYFUNCTION("""COMPUTED_VALUE"""),"#N/A")</f>
        <v>#N/A</v>
      </c>
    </row>
    <row r="3918">
      <c r="O3918" s="1" t="str">
        <f>IFERROR(__xludf.DUMMYFUNCTION("""COMPUTED_VALUE"""),"#VALUE!")</f>
        <v>#VALUE!</v>
      </c>
      <c r="P3918" s="1" t="str">
        <f>IFERROR(__xludf.DUMMYFUNCTION("""COMPUTED_VALUE"""),"#N/A")</f>
        <v>#N/A</v>
      </c>
      <c r="Q3918" s="1"/>
      <c r="R3918" s="1"/>
      <c r="S3918" s="1"/>
      <c r="T3918" s="1"/>
      <c r="U3918" s="2">
        <f>IFERROR(__xludf.DUMMYFUNCTION("""COMPUTED_VALUE"""),0.0)</f>
        <v>0</v>
      </c>
      <c r="V3918" s="1" t="str">
        <f>IFERROR(__xludf.DUMMYFUNCTION("""COMPUTED_VALUE"""),"#N/A")</f>
        <v>#N/A</v>
      </c>
      <c r="W3918" s="1" t="str">
        <f>IFERROR(__xludf.DUMMYFUNCTION("""COMPUTED_VALUE"""),"#N/A")</f>
        <v>#N/A</v>
      </c>
    </row>
    <row r="3919">
      <c r="O3919" s="1" t="str">
        <f>IFERROR(__xludf.DUMMYFUNCTION("""COMPUTED_VALUE"""),"#VALUE!")</f>
        <v>#VALUE!</v>
      </c>
      <c r="P3919" s="1" t="str">
        <f>IFERROR(__xludf.DUMMYFUNCTION("""COMPUTED_VALUE"""),"#N/A")</f>
        <v>#N/A</v>
      </c>
      <c r="Q3919" s="1"/>
      <c r="R3919" s="1"/>
      <c r="S3919" s="1"/>
      <c r="T3919" s="1"/>
      <c r="U3919" s="2">
        <f>IFERROR(__xludf.DUMMYFUNCTION("""COMPUTED_VALUE"""),0.0)</f>
        <v>0</v>
      </c>
      <c r="V3919" s="1" t="str">
        <f>IFERROR(__xludf.DUMMYFUNCTION("""COMPUTED_VALUE"""),"#N/A")</f>
        <v>#N/A</v>
      </c>
      <c r="W3919" s="1" t="str">
        <f>IFERROR(__xludf.DUMMYFUNCTION("""COMPUTED_VALUE"""),"#N/A")</f>
        <v>#N/A</v>
      </c>
    </row>
    <row r="3920">
      <c r="O3920" s="1" t="str">
        <f>IFERROR(__xludf.DUMMYFUNCTION("""COMPUTED_VALUE"""),"#VALUE!")</f>
        <v>#VALUE!</v>
      </c>
      <c r="P3920" s="1" t="str">
        <f>IFERROR(__xludf.DUMMYFUNCTION("""COMPUTED_VALUE"""),"#N/A")</f>
        <v>#N/A</v>
      </c>
      <c r="Q3920" s="1"/>
      <c r="R3920" s="1"/>
      <c r="S3920" s="1"/>
      <c r="T3920" s="1"/>
      <c r="U3920" s="2">
        <f>IFERROR(__xludf.DUMMYFUNCTION("""COMPUTED_VALUE"""),0.0)</f>
        <v>0</v>
      </c>
      <c r="V3920" s="1" t="str">
        <f>IFERROR(__xludf.DUMMYFUNCTION("""COMPUTED_VALUE"""),"#N/A")</f>
        <v>#N/A</v>
      </c>
      <c r="W3920" s="1" t="str">
        <f>IFERROR(__xludf.DUMMYFUNCTION("""COMPUTED_VALUE"""),"#N/A")</f>
        <v>#N/A</v>
      </c>
    </row>
    <row r="3921">
      <c r="O3921" s="1" t="str">
        <f>IFERROR(__xludf.DUMMYFUNCTION("""COMPUTED_VALUE"""),"#VALUE!")</f>
        <v>#VALUE!</v>
      </c>
      <c r="P3921" s="1" t="str">
        <f>IFERROR(__xludf.DUMMYFUNCTION("""COMPUTED_VALUE"""),"#N/A")</f>
        <v>#N/A</v>
      </c>
      <c r="Q3921" s="1"/>
      <c r="R3921" s="1"/>
      <c r="S3921" s="1"/>
      <c r="T3921" s="1"/>
      <c r="U3921" s="2">
        <f>IFERROR(__xludf.DUMMYFUNCTION("""COMPUTED_VALUE"""),0.0)</f>
        <v>0</v>
      </c>
      <c r="V3921" s="1" t="str">
        <f>IFERROR(__xludf.DUMMYFUNCTION("""COMPUTED_VALUE"""),"#N/A")</f>
        <v>#N/A</v>
      </c>
      <c r="W3921" s="1" t="str">
        <f>IFERROR(__xludf.DUMMYFUNCTION("""COMPUTED_VALUE"""),"#N/A")</f>
        <v>#N/A</v>
      </c>
    </row>
    <row r="3922">
      <c r="O3922" s="1" t="str">
        <f>IFERROR(__xludf.DUMMYFUNCTION("""COMPUTED_VALUE"""),"#VALUE!")</f>
        <v>#VALUE!</v>
      </c>
      <c r="P3922" s="1" t="str">
        <f>IFERROR(__xludf.DUMMYFUNCTION("""COMPUTED_VALUE"""),"#N/A")</f>
        <v>#N/A</v>
      </c>
      <c r="Q3922" s="1"/>
      <c r="R3922" s="1"/>
      <c r="S3922" s="1"/>
      <c r="T3922" s="1"/>
      <c r="U3922" s="2">
        <f>IFERROR(__xludf.DUMMYFUNCTION("""COMPUTED_VALUE"""),0.0)</f>
        <v>0</v>
      </c>
      <c r="V3922" s="1" t="str">
        <f>IFERROR(__xludf.DUMMYFUNCTION("""COMPUTED_VALUE"""),"#N/A")</f>
        <v>#N/A</v>
      </c>
      <c r="W3922" s="1" t="str">
        <f>IFERROR(__xludf.DUMMYFUNCTION("""COMPUTED_VALUE"""),"#N/A")</f>
        <v>#N/A</v>
      </c>
    </row>
    <row r="3923">
      <c r="O3923" s="1" t="str">
        <f>IFERROR(__xludf.DUMMYFUNCTION("""COMPUTED_VALUE"""),"#VALUE!")</f>
        <v>#VALUE!</v>
      </c>
      <c r="P3923" s="1" t="str">
        <f>IFERROR(__xludf.DUMMYFUNCTION("""COMPUTED_VALUE"""),"#N/A")</f>
        <v>#N/A</v>
      </c>
      <c r="Q3923" s="1"/>
      <c r="R3923" s="1"/>
      <c r="S3923" s="1"/>
      <c r="T3923" s="1"/>
      <c r="U3923" s="2">
        <f>IFERROR(__xludf.DUMMYFUNCTION("""COMPUTED_VALUE"""),0.0)</f>
        <v>0</v>
      </c>
      <c r="V3923" s="1" t="str">
        <f>IFERROR(__xludf.DUMMYFUNCTION("""COMPUTED_VALUE"""),"#N/A")</f>
        <v>#N/A</v>
      </c>
      <c r="W3923" s="1" t="str">
        <f>IFERROR(__xludf.DUMMYFUNCTION("""COMPUTED_VALUE"""),"#N/A")</f>
        <v>#N/A</v>
      </c>
    </row>
    <row r="3924">
      <c r="O3924" s="1" t="str">
        <f>IFERROR(__xludf.DUMMYFUNCTION("""COMPUTED_VALUE"""),"#VALUE!")</f>
        <v>#VALUE!</v>
      </c>
      <c r="P3924" s="1" t="str">
        <f>IFERROR(__xludf.DUMMYFUNCTION("""COMPUTED_VALUE"""),"#N/A")</f>
        <v>#N/A</v>
      </c>
      <c r="Q3924" s="1"/>
      <c r="R3924" s="1"/>
      <c r="S3924" s="1"/>
      <c r="T3924" s="1"/>
      <c r="U3924" s="2">
        <f>IFERROR(__xludf.DUMMYFUNCTION("""COMPUTED_VALUE"""),0.0)</f>
        <v>0</v>
      </c>
      <c r="V3924" s="1" t="str">
        <f>IFERROR(__xludf.DUMMYFUNCTION("""COMPUTED_VALUE"""),"#N/A")</f>
        <v>#N/A</v>
      </c>
      <c r="W3924" s="1" t="str">
        <f>IFERROR(__xludf.DUMMYFUNCTION("""COMPUTED_VALUE"""),"#N/A")</f>
        <v>#N/A</v>
      </c>
    </row>
    <row r="3925">
      <c r="O3925" s="1" t="str">
        <f>IFERROR(__xludf.DUMMYFUNCTION("""COMPUTED_VALUE"""),"#VALUE!")</f>
        <v>#VALUE!</v>
      </c>
      <c r="P3925" s="1" t="str">
        <f>IFERROR(__xludf.DUMMYFUNCTION("""COMPUTED_VALUE"""),"#N/A")</f>
        <v>#N/A</v>
      </c>
      <c r="Q3925" s="1"/>
      <c r="R3925" s="1"/>
      <c r="S3925" s="1"/>
      <c r="T3925" s="1"/>
      <c r="U3925" s="2">
        <f>IFERROR(__xludf.DUMMYFUNCTION("""COMPUTED_VALUE"""),0.0)</f>
        <v>0</v>
      </c>
      <c r="V3925" s="1" t="str">
        <f>IFERROR(__xludf.DUMMYFUNCTION("""COMPUTED_VALUE"""),"#N/A")</f>
        <v>#N/A</v>
      </c>
      <c r="W3925" s="1" t="str">
        <f>IFERROR(__xludf.DUMMYFUNCTION("""COMPUTED_VALUE"""),"#N/A")</f>
        <v>#N/A</v>
      </c>
    </row>
    <row r="3926">
      <c r="O3926" s="1" t="str">
        <f>IFERROR(__xludf.DUMMYFUNCTION("""COMPUTED_VALUE"""),"#VALUE!")</f>
        <v>#VALUE!</v>
      </c>
      <c r="P3926" s="1" t="str">
        <f>IFERROR(__xludf.DUMMYFUNCTION("""COMPUTED_VALUE"""),"#N/A")</f>
        <v>#N/A</v>
      </c>
      <c r="Q3926" s="1"/>
      <c r="R3926" s="1"/>
      <c r="S3926" s="1"/>
      <c r="T3926" s="1"/>
      <c r="U3926" s="2">
        <f>IFERROR(__xludf.DUMMYFUNCTION("""COMPUTED_VALUE"""),0.0)</f>
        <v>0</v>
      </c>
      <c r="V3926" s="1" t="str">
        <f>IFERROR(__xludf.DUMMYFUNCTION("""COMPUTED_VALUE"""),"#N/A")</f>
        <v>#N/A</v>
      </c>
      <c r="W3926" s="1" t="str">
        <f>IFERROR(__xludf.DUMMYFUNCTION("""COMPUTED_VALUE"""),"#N/A")</f>
        <v>#N/A</v>
      </c>
    </row>
    <row r="3927">
      <c r="O3927" s="1" t="str">
        <f>IFERROR(__xludf.DUMMYFUNCTION("""COMPUTED_VALUE"""),"#VALUE!")</f>
        <v>#VALUE!</v>
      </c>
      <c r="P3927" s="1" t="str">
        <f>IFERROR(__xludf.DUMMYFUNCTION("""COMPUTED_VALUE"""),"#N/A")</f>
        <v>#N/A</v>
      </c>
      <c r="Q3927" s="1"/>
      <c r="R3927" s="1"/>
      <c r="S3927" s="1"/>
      <c r="T3927" s="1"/>
      <c r="U3927" s="2">
        <f>IFERROR(__xludf.DUMMYFUNCTION("""COMPUTED_VALUE"""),0.0)</f>
        <v>0</v>
      </c>
      <c r="V3927" s="1" t="str">
        <f>IFERROR(__xludf.DUMMYFUNCTION("""COMPUTED_VALUE"""),"#N/A")</f>
        <v>#N/A</v>
      </c>
      <c r="W3927" s="1" t="str">
        <f>IFERROR(__xludf.DUMMYFUNCTION("""COMPUTED_VALUE"""),"#N/A")</f>
        <v>#N/A</v>
      </c>
    </row>
    <row r="3928">
      <c r="O3928" s="1" t="str">
        <f>IFERROR(__xludf.DUMMYFUNCTION("""COMPUTED_VALUE"""),"#VALUE!")</f>
        <v>#VALUE!</v>
      </c>
      <c r="P3928" s="1" t="str">
        <f>IFERROR(__xludf.DUMMYFUNCTION("""COMPUTED_VALUE"""),"#N/A")</f>
        <v>#N/A</v>
      </c>
      <c r="Q3928" s="1"/>
      <c r="R3928" s="1"/>
      <c r="S3928" s="1"/>
      <c r="T3928" s="1"/>
      <c r="U3928" s="2">
        <f>IFERROR(__xludf.DUMMYFUNCTION("""COMPUTED_VALUE"""),0.0)</f>
        <v>0</v>
      </c>
      <c r="V3928" s="1" t="str">
        <f>IFERROR(__xludf.DUMMYFUNCTION("""COMPUTED_VALUE"""),"#N/A")</f>
        <v>#N/A</v>
      </c>
      <c r="W3928" s="1" t="str">
        <f>IFERROR(__xludf.DUMMYFUNCTION("""COMPUTED_VALUE"""),"#N/A")</f>
        <v>#N/A</v>
      </c>
    </row>
    <row r="3929">
      <c r="O3929" s="1" t="str">
        <f>IFERROR(__xludf.DUMMYFUNCTION("""COMPUTED_VALUE"""),"#VALUE!")</f>
        <v>#VALUE!</v>
      </c>
      <c r="P3929" s="1" t="str">
        <f>IFERROR(__xludf.DUMMYFUNCTION("""COMPUTED_VALUE"""),"#N/A")</f>
        <v>#N/A</v>
      </c>
      <c r="Q3929" s="1"/>
      <c r="R3929" s="1"/>
      <c r="S3929" s="1"/>
      <c r="T3929" s="1"/>
      <c r="U3929" s="2">
        <f>IFERROR(__xludf.DUMMYFUNCTION("""COMPUTED_VALUE"""),0.0)</f>
        <v>0</v>
      </c>
      <c r="V3929" s="1" t="str">
        <f>IFERROR(__xludf.DUMMYFUNCTION("""COMPUTED_VALUE"""),"#N/A")</f>
        <v>#N/A</v>
      </c>
      <c r="W3929" s="1" t="str">
        <f>IFERROR(__xludf.DUMMYFUNCTION("""COMPUTED_VALUE"""),"#N/A")</f>
        <v>#N/A</v>
      </c>
    </row>
    <row r="3930">
      <c r="O3930" s="1" t="str">
        <f>IFERROR(__xludf.DUMMYFUNCTION("""COMPUTED_VALUE"""),"#VALUE!")</f>
        <v>#VALUE!</v>
      </c>
      <c r="P3930" s="1" t="str">
        <f>IFERROR(__xludf.DUMMYFUNCTION("""COMPUTED_VALUE"""),"#N/A")</f>
        <v>#N/A</v>
      </c>
      <c r="Q3930" s="1"/>
      <c r="R3930" s="1"/>
      <c r="S3930" s="1"/>
      <c r="T3930" s="1"/>
      <c r="U3930" s="2">
        <f>IFERROR(__xludf.DUMMYFUNCTION("""COMPUTED_VALUE"""),0.0)</f>
        <v>0</v>
      </c>
      <c r="V3930" s="1" t="str">
        <f>IFERROR(__xludf.DUMMYFUNCTION("""COMPUTED_VALUE"""),"#N/A")</f>
        <v>#N/A</v>
      </c>
      <c r="W3930" s="1" t="str">
        <f>IFERROR(__xludf.DUMMYFUNCTION("""COMPUTED_VALUE"""),"#N/A")</f>
        <v>#N/A</v>
      </c>
    </row>
    <row r="3931">
      <c r="O3931" s="1" t="str">
        <f>IFERROR(__xludf.DUMMYFUNCTION("""COMPUTED_VALUE"""),"#VALUE!")</f>
        <v>#VALUE!</v>
      </c>
      <c r="P3931" s="1" t="str">
        <f>IFERROR(__xludf.DUMMYFUNCTION("""COMPUTED_VALUE"""),"#N/A")</f>
        <v>#N/A</v>
      </c>
      <c r="Q3931" s="1"/>
      <c r="R3931" s="1"/>
      <c r="S3931" s="1"/>
      <c r="T3931" s="1"/>
      <c r="U3931" s="2">
        <f>IFERROR(__xludf.DUMMYFUNCTION("""COMPUTED_VALUE"""),0.0)</f>
        <v>0</v>
      </c>
      <c r="V3931" s="1" t="str">
        <f>IFERROR(__xludf.DUMMYFUNCTION("""COMPUTED_VALUE"""),"#N/A")</f>
        <v>#N/A</v>
      </c>
      <c r="W3931" s="1" t="str">
        <f>IFERROR(__xludf.DUMMYFUNCTION("""COMPUTED_VALUE"""),"#N/A")</f>
        <v>#N/A</v>
      </c>
    </row>
    <row r="3932">
      <c r="O3932" s="1" t="str">
        <f>IFERROR(__xludf.DUMMYFUNCTION("""COMPUTED_VALUE"""),"#VALUE!")</f>
        <v>#VALUE!</v>
      </c>
      <c r="P3932" s="1" t="str">
        <f>IFERROR(__xludf.DUMMYFUNCTION("""COMPUTED_VALUE"""),"#N/A")</f>
        <v>#N/A</v>
      </c>
      <c r="Q3932" s="1"/>
      <c r="R3932" s="1"/>
      <c r="S3932" s="1"/>
      <c r="T3932" s="1"/>
      <c r="U3932" s="2">
        <f>IFERROR(__xludf.DUMMYFUNCTION("""COMPUTED_VALUE"""),0.0)</f>
        <v>0</v>
      </c>
      <c r="V3932" s="1" t="str">
        <f>IFERROR(__xludf.DUMMYFUNCTION("""COMPUTED_VALUE"""),"#N/A")</f>
        <v>#N/A</v>
      </c>
      <c r="W3932" s="1" t="str">
        <f>IFERROR(__xludf.DUMMYFUNCTION("""COMPUTED_VALUE"""),"#N/A")</f>
        <v>#N/A</v>
      </c>
    </row>
    <row r="3933">
      <c r="O3933" s="1" t="str">
        <f>IFERROR(__xludf.DUMMYFUNCTION("""COMPUTED_VALUE"""),"#VALUE!")</f>
        <v>#VALUE!</v>
      </c>
      <c r="P3933" s="1" t="str">
        <f>IFERROR(__xludf.DUMMYFUNCTION("""COMPUTED_VALUE"""),"#N/A")</f>
        <v>#N/A</v>
      </c>
      <c r="Q3933" s="1"/>
      <c r="R3933" s="1"/>
      <c r="S3933" s="1"/>
      <c r="T3933" s="1"/>
      <c r="U3933" s="2">
        <f>IFERROR(__xludf.DUMMYFUNCTION("""COMPUTED_VALUE"""),0.0)</f>
        <v>0</v>
      </c>
      <c r="V3933" s="1" t="str">
        <f>IFERROR(__xludf.DUMMYFUNCTION("""COMPUTED_VALUE"""),"#N/A")</f>
        <v>#N/A</v>
      </c>
      <c r="W3933" s="1" t="str">
        <f>IFERROR(__xludf.DUMMYFUNCTION("""COMPUTED_VALUE"""),"#N/A")</f>
        <v>#N/A</v>
      </c>
    </row>
    <row r="3934">
      <c r="O3934" s="1" t="str">
        <f>IFERROR(__xludf.DUMMYFUNCTION("""COMPUTED_VALUE"""),"#VALUE!")</f>
        <v>#VALUE!</v>
      </c>
      <c r="P3934" s="1" t="str">
        <f>IFERROR(__xludf.DUMMYFUNCTION("""COMPUTED_VALUE"""),"#N/A")</f>
        <v>#N/A</v>
      </c>
      <c r="Q3934" s="1"/>
      <c r="R3934" s="1"/>
      <c r="S3934" s="1"/>
      <c r="T3934" s="1"/>
      <c r="U3934" s="2">
        <f>IFERROR(__xludf.DUMMYFUNCTION("""COMPUTED_VALUE"""),0.0)</f>
        <v>0</v>
      </c>
      <c r="V3934" s="1" t="str">
        <f>IFERROR(__xludf.DUMMYFUNCTION("""COMPUTED_VALUE"""),"#N/A")</f>
        <v>#N/A</v>
      </c>
      <c r="W3934" s="1" t="str">
        <f>IFERROR(__xludf.DUMMYFUNCTION("""COMPUTED_VALUE"""),"#N/A")</f>
        <v>#N/A</v>
      </c>
    </row>
    <row r="3935">
      <c r="O3935" s="1" t="str">
        <f>IFERROR(__xludf.DUMMYFUNCTION("""COMPUTED_VALUE"""),"#VALUE!")</f>
        <v>#VALUE!</v>
      </c>
      <c r="P3935" s="1" t="str">
        <f>IFERROR(__xludf.DUMMYFUNCTION("""COMPUTED_VALUE"""),"#N/A")</f>
        <v>#N/A</v>
      </c>
      <c r="Q3935" s="1"/>
      <c r="R3935" s="1"/>
      <c r="S3935" s="1"/>
      <c r="T3935" s="1"/>
      <c r="U3935" s="2">
        <f>IFERROR(__xludf.DUMMYFUNCTION("""COMPUTED_VALUE"""),0.0)</f>
        <v>0</v>
      </c>
      <c r="V3935" s="1" t="str">
        <f>IFERROR(__xludf.DUMMYFUNCTION("""COMPUTED_VALUE"""),"#N/A")</f>
        <v>#N/A</v>
      </c>
      <c r="W3935" s="1" t="str">
        <f>IFERROR(__xludf.DUMMYFUNCTION("""COMPUTED_VALUE"""),"#N/A")</f>
        <v>#N/A</v>
      </c>
    </row>
    <row r="3936">
      <c r="O3936" s="1" t="str">
        <f>IFERROR(__xludf.DUMMYFUNCTION("""COMPUTED_VALUE"""),"#VALUE!")</f>
        <v>#VALUE!</v>
      </c>
      <c r="P3936" s="1" t="str">
        <f>IFERROR(__xludf.DUMMYFUNCTION("""COMPUTED_VALUE"""),"#N/A")</f>
        <v>#N/A</v>
      </c>
      <c r="Q3936" s="1"/>
      <c r="R3936" s="1"/>
      <c r="S3936" s="1"/>
      <c r="T3936" s="1"/>
      <c r="U3936" s="2">
        <f>IFERROR(__xludf.DUMMYFUNCTION("""COMPUTED_VALUE"""),0.0)</f>
        <v>0</v>
      </c>
      <c r="V3936" s="1" t="str">
        <f>IFERROR(__xludf.DUMMYFUNCTION("""COMPUTED_VALUE"""),"#N/A")</f>
        <v>#N/A</v>
      </c>
      <c r="W3936" s="1" t="str">
        <f>IFERROR(__xludf.DUMMYFUNCTION("""COMPUTED_VALUE"""),"#N/A")</f>
        <v>#N/A</v>
      </c>
    </row>
    <row r="3937">
      <c r="O3937" s="1" t="str">
        <f>IFERROR(__xludf.DUMMYFUNCTION("""COMPUTED_VALUE"""),"#VALUE!")</f>
        <v>#VALUE!</v>
      </c>
      <c r="P3937" s="1" t="str">
        <f>IFERROR(__xludf.DUMMYFUNCTION("""COMPUTED_VALUE"""),"#N/A")</f>
        <v>#N/A</v>
      </c>
      <c r="Q3937" s="1"/>
      <c r="R3937" s="1"/>
      <c r="S3937" s="1"/>
      <c r="T3937" s="1"/>
      <c r="U3937" s="2">
        <f>IFERROR(__xludf.DUMMYFUNCTION("""COMPUTED_VALUE"""),0.0)</f>
        <v>0</v>
      </c>
      <c r="V3937" s="1" t="str">
        <f>IFERROR(__xludf.DUMMYFUNCTION("""COMPUTED_VALUE"""),"#N/A")</f>
        <v>#N/A</v>
      </c>
      <c r="W3937" s="1" t="str">
        <f>IFERROR(__xludf.DUMMYFUNCTION("""COMPUTED_VALUE"""),"#N/A")</f>
        <v>#N/A</v>
      </c>
    </row>
    <row r="3938">
      <c r="O3938" s="1" t="str">
        <f>IFERROR(__xludf.DUMMYFUNCTION("""COMPUTED_VALUE"""),"#VALUE!")</f>
        <v>#VALUE!</v>
      </c>
      <c r="P3938" s="1" t="str">
        <f>IFERROR(__xludf.DUMMYFUNCTION("""COMPUTED_VALUE"""),"#N/A")</f>
        <v>#N/A</v>
      </c>
      <c r="Q3938" s="1"/>
      <c r="R3938" s="1"/>
      <c r="S3938" s="1"/>
      <c r="T3938" s="1"/>
      <c r="U3938" s="2">
        <f>IFERROR(__xludf.DUMMYFUNCTION("""COMPUTED_VALUE"""),0.0)</f>
        <v>0</v>
      </c>
      <c r="V3938" s="1" t="str">
        <f>IFERROR(__xludf.DUMMYFUNCTION("""COMPUTED_VALUE"""),"#N/A")</f>
        <v>#N/A</v>
      </c>
      <c r="W3938" s="1" t="str">
        <f>IFERROR(__xludf.DUMMYFUNCTION("""COMPUTED_VALUE"""),"#N/A")</f>
        <v>#N/A</v>
      </c>
    </row>
    <row r="3939">
      <c r="O3939" s="1" t="str">
        <f>IFERROR(__xludf.DUMMYFUNCTION("""COMPUTED_VALUE"""),"#VALUE!")</f>
        <v>#VALUE!</v>
      </c>
      <c r="P3939" s="1" t="str">
        <f>IFERROR(__xludf.DUMMYFUNCTION("""COMPUTED_VALUE"""),"#N/A")</f>
        <v>#N/A</v>
      </c>
      <c r="Q3939" s="1"/>
      <c r="R3939" s="1"/>
      <c r="S3939" s="1"/>
      <c r="T3939" s="1"/>
      <c r="U3939" s="2">
        <f>IFERROR(__xludf.DUMMYFUNCTION("""COMPUTED_VALUE"""),0.0)</f>
        <v>0</v>
      </c>
      <c r="V3939" s="1" t="str">
        <f>IFERROR(__xludf.DUMMYFUNCTION("""COMPUTED_VALUE"""),"#N/A")</f>
        <v>#N/A</v>
      </c>
      <c r="W3939" s="1" t="str">
        <f>IFERROR(__xludf.DUMMYFUNCTION("""COMPUTED_VALUE"""),"#N/A")</f>
        <v>#N/A</v>
      </c>
    </row>
    <row r="3940">
      <c r="O3940" s="1" t="str">
        <f>IFERROR(__xludf.DUMMYFUNCTION("""COMPUTED_VALUE"""),"#VALUE!")</f>
        <v>#VALUE!</v>
      </c>
      <c r="P3940" s="1" t="str">
        <f>IFERROR(__xludf.DUMMYFUNCTION("""COMPUTED_VALUE"""),"#N/A")</f>
        <v>#N/A</v>
      </c>
      <c r="Q3940" s="1"/>
      <c r="R3940" s="1"/>
      <c r="S3940" s="1"/>
      <c r="T3940" s="1"/>
      <c r="U3940" s="2">
        <f>IFERROR(__xludf.DUMMYFUNCTION("""COMPUTED_VALUE"""),0.0)</f>
        <v>0</v>
      </c>
      <c r="V3940" s="1" t="str">
        <f>IFERROR(__xludf.DUMMYFUNCTION("""COMPUTED_VALUE"""),"#N/A")</f>
        <v>#N/A</v>
      </c>
      <c r="W3940" s="1" t="str">
        <f>IFERROR(__xludf.DUMMYFUNCTION("""COMPUTED_VALUE"""),"#N/A")</f>
        <v>#N/A</v>
      </c>
    </row>
    <row r="3941">
      <c r="O3941" s="1" t="str">
        <f>IFERROR(__xludf.DUMMYFUNCTION("""COMPUTED_VALUE"""),"#VALUE!")</f>
        <v>#VALUE!</v>
      </c>
      <c r="P3941" s="1" t="str">
        <f>IFERROR(__xludf.DUMMYFUNCTION("""COMPUTED_VALUE"""),"#N/A")</f>
        <v>#N/A</v>
      </c>
      <c r="Q3941" s="1"/>
      <c r="R3941" s="1"/>
      <c r="S3941" s="1"/>
      <c r="T3941" s="1"/>
      <c r="U3941" s="2">
        <f>IFERROR(__xludf.DUMMYFUNCTION("""COMPUTED_VALUE"""),0.0)</f>
        <v>0</v>
      </c>
      <c r="V3941" s="1" t="str">
        <f>IFERROR(__xludf.DUMMYFUNCTION("""COMPUTED_VALUE"""),"#N/A")</f>
        <v>#N/A</v>
      </c>
      <c r="W3941" s="1" t="str">
        <f>IFERROR(__xludf.DUMMYFUNCTION("""COMPUTED_VALUE"""),"#N/A")</f>
        <v>#N/A</v>
      </c>
    </row>
    <row r="3942">
      <c r="O3942" s="1" t="str">
        <f>IFERROR(__xludf.DUMMYFUNCTION("""COMPUTED_VALUE"""),"#VALUE!")</f>
        <v>#VALUE!</v>
      </c>
      <c r="P3942" s="1" t="str">
        <f>IFERROR(__xludf.DUMMYFUNCTION("""COMPUTED_VALUE"""),"#N/A")</f>
        <v>#N/A</v>
      </c>
      <c r="Q3942" s="1"/>
      <c r="R3942" s="1"/>
      <c r="S3942" s="1"/>
      <c r="T3942" s="1"/>
      <c r="U3942" s="2">
        <f>IFERROR(__xludf.DUMMYFUNCTION("""COMPUTED_VALUE"""),0.0)</f>
        <v>0</v>
      </c>
      <c r="V3942" s="1" t="str">
        <f>IFERROR(__xludf.DUMMYFUNCTION("""COMPUTED_VALUE"""),"#N/A")</f>
        <v>#N/A</v>
      </c>
      <c r="W3942" s="1" t="str">
        <f>IFERROR(__xludf.DUMMYFUNCTION("""COMPUTED_VALUE"""),"#N/A")</f>
        <v>#N/A</v>
      </c>
    </row>
    <row r="3943">
      <c r="O3943" s="1" t="str">
        <f>IFERROR(__xludf.DUMMYFUNCTION("""COMPUTED_VALUE"""),"#VALUE!")</f>
        <v>#VALUE!</v>
      </c>
      <c r="P3943" s="1" t="str">
        <f>IFERROR(__xludf.DUMMYFUNCTION("""COMPUTED_VALUE"""),"#N/A")</f>
        <v>#N/A</v>
      </c>
      <c r="Q3943" s="1"/>
      <c r="R3943" s="1"/>
      <c r="S3943" s="1"/>
      <c r="T3943" s="1"/>
      <c r="U3943" s="2">
        <f>IFERROR(__xludf.DUMMYFUNCTION("""COMPUTED_VALUE"""),0.0)</f>
        <v>0</v>
      </c>
      <c r="V3943" s="1" t="str">
        <f>IFERROR(__xludf.DUMMYFUNCTION("""COMPUTED_VALUE"""),"#N/A")</f>
        <v>#N/A</v>
      </c>
      <c r="W3943" s="1" t="str">
        <f>IFERROR(__xludf.DUMMYFUNCTION("""COMPUTED_VALUE"""),"#N/A")</f>
        <v>#N/A</v>
      </c>
    </row>
    <row r="3944">
      <c r="O3944" s="1" t="str">
        <f>IFERROR(__xludf.DUMMYFUNCTION("""COMPUTED_VALUE"""),"#VALUE!")</f>
        <v>#VALUE!</v>
      </c>
      <c r="P3944" s="1" t="str">
        <f>IFERROR(__xludf.DUMMYFUNCTION("""COMPUTED_VALUE"""),"#N/A")</f>
        <v>#N/A</v>
      </c>
      <c r="Q3944" s="1"/>
      <c r="R3944" s="1"/>
      <c r="S3944" s="1"/>
      <c r="T3944" s="1"/>
      <c r="U3944" s="2">
        <f>IFERROR(__xludf.DUMMYFUNCTION("""COMPUTED_VALUE"""),0.0)</f>
        <v>0</v>
      </c>
      <c r="V3944" s="1" t="str">
        <f>IFERROR(__xludf.DUMMYFUNCTION("""COMPUTED_VALUE"""),"#N/A")</f>
        <v>#N/A</v>
      </c>
      <c r="W3944" s="1" t="str">
        <f>IFERROR(__xludf.DUMMYFUNCTION("""COMPUTED_VALUE"""),"#N/A")</f>
        <v>#N/A</v>
      </c>
    </row>
    <row r="3945">
      <c r="O3945" s="1" t="str">
        <f>IFERROR(__xludf.DUMMYFUNCTION("""COMPUTED_VALUE"""),"#VALUE!")</f>
        <v>#VALUE!</v>
      </c>
      <c r="P3945" s="1" t="str">
        <f>IFERROR(__xludf.DUMMYFUNCTION("""COMPUTED_VALUE"""),"#N/A")</f>
        <v>#N/A</v>
      </c>
      <c r="Q3945" s="1"/>
      <c r="R3945" s="1"/>
      <c r="S3945" s="1"/>
      <c r="T3945" s="1"/>
      <c r="U3945" s="2">
        <f>IFERROR(__xludf.DUMMYFUNCTION("""COMPUTED_VALUE"""),0.0)</f>
        <v>0</v>
      </c>
      <c r="V3945" s="1" t="str">
        <f>IFERROR(__xludf.DUMMYFUNCTION("""COMPUTED_VALUE"""),"#N/A")</f>
        <v>#N/A</v>
      </c>
      <c r="W3945" s="1" t="str">
        <f>IFERROR(__xludf.DUMMYFUNCTION("""COMPUTED_VALUE"""),"#N/A")</f>
        <v>#N/A</v>
      </c>
    </row>
    <row r="3946">
      <c r="O3946" s="1" t="str">
        <f>IFERROR(__xludf.DUMMYFUNCTION("""COMPUTED_VALUE"""),"#VALUE!")</f>
        <v>#VALUE!</v>
      </c>
      <c r="P3946" s="1" t="str">
        <f>IFERROR(__xludf.DUMMYFUNCTION("""COMPUTED_VALUE"""),"#N/A")</f>
        <v>#N/A</v>
      </c>
      <c r="Q3946" s="1"/>
      <c r="R3946" s="1"/>
      <c r="S3946" s="1"/>
      <c r="T3946" s="1"/>
      <c r="U3946" s="2">
        <f>IFERROR(__xludf.DUMMYFUNCTION("""COMPUTED_VALUE"""),0.0)</f>
        <v>0</v>
      </c>
      <c r="V3946" s="1" t="str">
        <f>IFERROR(__xludf.DUMMYFUNCTION("""COMPUTED_VALUE"""),"#N/A")</f>
        <v>#N/A</v>
      </c>
      <c r="W3946" s="1" t="str">
        <f>IFERROR(__xludf.DUMMYFUNCTION("""COMPUTED_VALUE"""),"#N/A")</f>
        <v>#N/A</v>
      </c>
    </row>
    <row r="3947">
      <c r="O3947" s="1" t="str">
        <f>IFERROR(__xludf.DUMMYFUNCTION("""COMPUTED_VALUE"""),"#VALUE!")</f>
        <v>#VALUE!</v>
      </c>
      <c r="P3947" s="1" t="str">
        <f>IFERROR(__xludf.DUMMYFUNCTION("""COMPUTED_VALUE"""),"#N/A")</f>
        <v>#N/A</v>
      </c>
      <c r="Q3947" s="1"/>
      <c r="R3947" s="1"/>
      <c r="S3947" s="1"/>
      <c r="T3947" s="1"/>
      <c r="U3947" s="2">
        <f>IFERROR(__xludf.DUMMYFUNCTION("""COMPUTED_VALUE"""),0.0)</f>
        <v>0</v>
      </c>
      <c r="V3947" s="1" t="str">
        <f>IFERROR(__xludf.DUMMYFUNCTION("""COMPUTED_VALUE"""),"#N/A")</f>
        <v>#N/A</v>
      </c>
      <c r="W3947" s="1" t="str">
        <f>IFERROR(__xludf.DUMMYFUNCTION("""COMPUTED_VALUE"""),"#N/A")</f>
        <v>#N/A</v>
      </c>
    </row>
    <row r="3948">
      <c r="O3948" s="1" t="str">
        <f>IFERROR(__xludf.DUMMYFUNCTION("""COMPUTED_VALUE"""),"#VALUE!")</f>
        <v>#VALUE!</v>
      </c>
      <c r="P3948" s="1" t="str">
        <f>IFERROR(__xludf.DUMMYFUNCTION("""COMPUTED_VALUE"""),"#N/A")</f>
        <v>#N/A</v>
      </c>
      <c r="Q3948" s="1"/>
      <c r="R3948" s="1"/>
      <c r="S3948" s="1"/>
      <c r="T3948" s="1"/>
      <c r="U3948" s="2">
        <f>IFERROR(__xludf.DUMMYFUNCTION("""COMPUTED_VALUE"""),0.0)</f>
        <v>0</v>
      </c>
      <c r="V3948" s="1" t="str">
        <f>IFERROR(__xludf.DUMMYFUNCTION("""COMPUTED_VALUE"""),"#N/A")</f>
        <v>#N/A</v>
      </c>
      <c r="W3948" s="1" t="str">
        <f>IFERROR(__xludf.DUMMYFUNCTION("""COMPUTED_VALUE"""),"#N/A")</f>
        <v>#N/A</v>
      </c>
    </row>
    <row r="3949">
      <c r="O3949" s="1" t="str">
        <f>IFERROR(__xludf.DUMMYFUNCTION("""COMPUTED_VALUE"""),"#VALUE!")</f>
        <v>#VALUE!</v>
      </c>
      <c r="P3949" s="1" t="str">
        <f>IFERROR(__xludf.DUMMYFUNCTION("""COMPUTED_VALUE"""),"#N/A")</f>
        <v>#N/A</v>
      </c>
      <c r="Q3949" s="1"/>
      <c r="R3949" s="1"/>
      <c r="S3949" s="1"/>
      <c r="T3949" s="1"/>
      <c r="U3949" s="2">
        <f>IFERROR(__xludf.DUMMYFUNCTION("""COMPUTED_VALUE"""),0.0)</f>
        <v>0</v>
      </c>
      <c r="V3949" s="1" t="str">
        <f>IFERROR(__xludf.DUMMYFUNCTION("""COMPUTED_VALUE"""),"#N/A")</f>
        <v>#N/A</v>
      </c>
      <c r="W3949" s="1" t="str">
        <f>IFERROR(__xludf.DUMMYFUNCTION("""COMPUTED_VALUE"""),"#N/A")</f>
        <v>#N/A</v>
      </c>
    </row>
    <row r="3950">
      <c r="O3950" s="1" t="str">
        <f>IFERROR(__xludf.DUMMYFUNCTION("""COMPUTED_VALUE"""),"#VALUE!")</f>
        <v>#VALUE!</v>
      </c>
      <c r="P3950" s="1" t="str">
        <f>IFERROR(__xludf.DUMMYFUNCTION("""COMPUTED_VALUE"""),"#N/A")</f>
        <v>#N/A</v>
      </c>
      <c r="Q3950" s="1"/>
      <c r="R3950" s="1"/>
      <c r="S3950" s="1"/>
      <c r="T3950" s="1"/>
      <c r="U3950" s="2">
        <f>IFERROR(__xludf.DUMMYFUNCTION("""COMPUTED_VALUE"""),0.0)</f>
        <v>0</v>
      </c>
      <c r="V3950" s="1" t="str">
        <f>IFERROR(__xludf.DUMMYFUNCTION("""COMPUTED_VALUE"""),"#N/A")</f>
        <v>#N/A</v>
      </c>
      <c r="W3950" s="1" t="str">
        <f>IFERROR(__xludf.DUMMYFUNCTION("""COMPUTED_VALUE"""),"#N/A")</f>
        <v>#N/A</v>
      </c>
    </row>
    <row r="3951">
      <c r="O3951" s="1" t="str">
        <f>IFERROR(__xludf.DUMMYFUNCTION("""COMPUTED_VALUE"""),"#VALUE!")</f>
        <v>#VALUE!</v>
      </c>
      <c r="P3951" s="1" t="str">
        <f>IFERROR(__xludf.DUMMYFUNCTION("""COMPUTED_VALUE"""),"#N/A")</f>
        <v>#N/A</v>
      </c>
      <c r="Q3951" s="1"/>
      <c r="R3951" s="1"/>
      <c r="S3951" s="1"/>
      <c r="T3951" s="1"/>
      <c r="U3951" s="2">
        <f>IFERROR(__xludf.DUMMYFUNCTION("""COMPUTED_VALUE"""),0.0)</f>
        <v>0</v>
      </c>
      <c r="V3951" s="1" t="str">
        <f>IFERROR(__xludf.DUMMYFUNCTION("""COMPUTED_VALUE"""),"#N/A")</f>
        <v>#N/A</v>
      </c>
      <c r="W3951" s="1" t="str">
        <f>IFERROR(__xludf.DUMMYFUNCTION("""COMPUTED_VALUE"""),"#N/A")</f>
        <v>#N/A</v>
      </c>
    </row>
    <row r="3952">
      <c r="O3952" s="1" t="str">
        <f>IFERROR(__xludf.DUMMYFUNCTION("""COMPUTED_VALUE"""),"#VALUE!")</f>
        <v>#VALUE!</v>
      </c>
      <c r="P3952" s="1" t="str">
        <f>IFERROR(__xludf.DUMMYFUNCTION("""COMPUTED_VALUE"""),"#N/A")</f>
        <v>#N/A</v>
      </c>
      <c r="Q3952" s="1"/>
      <c r="R3952" s="1"/>
      <c r="S3952" s="1"/>
      <c r="T3952" s="1"/>
      <c r="U3952" s="2">
        <f>IFERROR(__xludf.DUMMYFUNCTION("""COMPUTED_VALUE"""),0.0)</f>
        <v>0</v>
      </c>
      <c r="V3952" s="1" t="str">
        <f>IFERROR(__xludf.DUMMYFUNCTION("""COMPUTED_VALUE"""),"#N/A")</f>
        <v>#N/A</v>
      </c>
      <c r="W3952" s="1" t="str">
        <f>IFERROR(__xludf.DUMMYFUNCTION("""COMPUTED_VALUE"""),"#N/A")</f>
        <v>#N/A</v>
      </c>
    </row>
    <row r="3953">
      <c r="O3953" s="1" t="str">
        <f>IFERROR(__xludf.DUMMYFUNCTION("""COMPUTED_VALUE"""),"#VALUE!")</f>
        <v>#VALUE!</v>
      </c>
      <c r="P3953" s="1" t="str">
        <f>IFERROR(__xludf.DUMMYFUNCTION("""COMPUTED_VALUE"""),"#N/A")</f>
        <v>#N/A</v>
      </c>
      <c r="Q3953" s="1"/>
      <c r="R3953" s="1"/>
      <c r="S3953" s="1"/>
      <c r="T3953" s="1"/>
      <c r="U3953" s="2">
        <f>IFERROR(__xludf.DUMMYFUNCTION("""COMPUTED_VALUE"""),0.0)</f>
        <v>0</v>
      </c>
      <c r="V3953" s="1" t="str">
        <f>IFERROR(__xludf.DUMMYFUNCTION("""COMPUTED_VALUE"""),"#N/A")</f>
        <v>#N/A</v>
      </c>
      <c r="W3953" s="1" t="str">
        <f>IFERROR(__xludf.DUMMYFUNCTION("""COMPUTED_VALUE"""),"#N/A")</f>
        <v>#N/A</v>
      </c>
    </row>
    <row r="3954">
      <c r="O3954" s="1" t="str">
        <f>IFERROR(__xludf.DUMMYFUNCTION("""COMPUTED_VALUE"""),"#VALUE!")</f>
        <v>#VALUE!</v>
      </c>
      <c r="P3954" s="1" t="str">
        <f>IFERROR(__xludf.DUMMYFUNCTION("""COMPUTED_VALUE"""),"#N/A")</f>
        <v>#N/A</v>
      </c>
      <c r="Q3954" s="1"/>
      <c r="R3954" s="1"/>
      <c r="S3954" s="1"/>
      <c r="T3954" s="1"/>
      <c r="U3954" s="2">
        <f>IFERROR(__xludf.DUMMYFUNCTION("""COMPUTED_VALUE"""),0.0)</f>
        <v>0</v>
      </c>
      <c r="V3954" s="1" t="str">
        <f>IFERROR(__xludf.DUMMYFUNCTION("""COMPUTED_VALUE"""),"#N/A")</f>
        <v>#N/A</v>
      </c>
      <c r="W3954" s="1" t="str">
        <f>IFERROR(__xludf.DUMMYFUNCTION("""COMPUTED_VALUE"""),"#N/A")</f>
        <v>#N/A</v>
      </c>
    </row>
    <row r="3955">
      <c r="O3955" s="1" t="str">
        <f>IFERROR(__xludf.DUMMYFUNCTION("""COMPUTED_VALUE"""),"#VALUE!")</f>
        <v>#VALUE!</v>
      </c>
      <c r="P3955" s="1" t="str">
        <f>IFERROR(__xludf.DUMMYFUNCTION("""COMPUTED_VALUE"""),"#N/A")</f>
        <v>#N/A</v>
      </c>
      <c r="Q3955" s="1"/>
      <c r="R3955" s="1"/>
      <c r="S3955" s="1"/>
      <c r="T3955" s="1"/>
      <c r="U3955" s="2">
        <f>IFERROR(__xludf.DUMMYFUNCTION("""COMPUTED_VALUE"""),0.0)</f>
        <v>0</v>
      </c>
      <c r="V3955" s="1" t="str">
        <f>IFERROR(__xludf.DUMMYFUNCTION("""COMPUTED_VALUE"""),"#N/A")</f>
        <v>#N/A</v>
      </c>
      <c r="W3955" s="1" t="str">
        <f>IFERROR(__xludf.DUMMYFUNCTION("""COMPUTED_VALUE"""),"#N/A")</f>
        <v>#N/A</v>
      </c>
    </row>
    <row r="3956">
      <c r="O3956" s="1" t="str">
        <f>IFERROR(__xludf.DUMMYFUNCTION("""COMPUTED_VALUE"""),"#VALUE!")</f>
        <v>#VALUE!</v>
      </c>
      <c r="P3956" s="1" t="str">
        <f>IFERROR(__xludf.DUMMYFUNCTION("""COMPUTED_VALUE"""),"#N/A")</f>
        <v>#N/A</v>
      </c>
      <c r="Q3956" s="1"/>
      <c r="R3956" s="1"/>
      <c r="S3956" s="1"/>
      <c r="T3956" s="1"/>
      <c r="U3956" s="2">
        <f>IFERROR(__xludf.DUMMYFUNCTION("""COMPUTED_VALUE"""),0.0)</f>
        <v>0</v>
      </c>
      <c r="V3956" s="1" t="str">
        <f>IFERROR(__xludf.DUMMYFUNCTION("""COMPUTED_VALUE"""),"#N/A")</f>
        <v>#N/A</v>
      </c>
      <c r="W3956" s="1" t="str">
        <f>IFERROR(__xludf.DUMMYFUNCTION("""COMPUTED_VALUE"""),"#N/A")</f>
        <v>#N/A</v>
      </c>
    </row>
    <row r="3957">
      <c r="O3957" s="1" t="str">
        <f>IFERROR(__xludf.DUMMYFUNCTION("""COMPUTED_VALUE"""),"#VALUE!")</f>
        <v>#VALUE!</v>
      </c>
      <c r="P3957" s="1" t="str">
        <f>IFERROR(__xludf.DUMMYFUNCTION("""COMPUTED_VALUE"""),"#N/A")</f>
        <v>#N/A</v>
      </c>
      <c r="Q3957" s="1"/>
      <c r="R3957" s="1"/>
      <c r="S3957" s="1"/>
      <c r="T3957" s="1"/>
      <c r="U3957" s="2">
        <f>IFERROR(__xludf.DUMMYFUNCTION("""COMPUTED_VALUE"""),0.0)</f>
        <v>0</v>
      </c>
      <c r="V3957" s="1" t="str">
        <f>IFERROR(__xludf.DUMMYFUNCTION("""COMPUTED_VALUE"""),"#N/A")</f>
        <v>#N/A</v>
      </c>
      <c r="W3957" s="1" t="str">
        <f>IFERROR(__xludf.DUMMYFUNCTION("""COMPUTED_VALUE"""),"#N/A")</f>
        <v>#N/A</v>
      </c>
    </row>
    <row r="3958">
      <c r="O3958" s="1" t="str">
        <f>IFERROR(__xludf.DUMMYFUNCTION("""COMPUTED_VALUE"""),"#VALUE!")</f>
        <v>#VALUE!</v>
      </c>
      <c r="P3958" s="1" t="str">
        <f>IFERROR(__xludf.DUMMYFUNCTION("""COMPUTED_VALUE"""),"#N/A")</f>
        <v>#N/A</v>
      </c>
      <c r="Q3958" s="1"/>
      <c r="R3958" s="1"/>
      <c r="S3958" s="1"/>
      <c r="T3958" s="1"/>
      <c r="U3958" s="2">
        <f>IFERROR(__xludf.DUMMYFUNCTION("""COMPUTED_VALUE"""),0.0)</f>
        <v>0</v>
      </c>
      <c r="V3958" s="1" t="str">
        <f>IFERROR(__xludf.DUMMYFUNCTION("""COMPUTED_VALUE"""),"#N/A")</f>
        <v>#N/A</v>
      </c>
      <c r="W3958" s="1" t="str">
        <f>IFERROR(__xludf.DUMMYFUNCTION("""COMPUTED_VALUE"""),"#N/A")</f>
        <v>#N/A</v>
      </c>
    </row>
    <row r="3959">
      <c r="O3959" s="1" t="str">
        <f>IFERROR(__xludf.DUMMYFUNCTION("""COMPUTED_VALUE"""),"#VALUE!")</f>
        <v>#VALUE!</v>
      </c>
      <c r="P3959" s="1" t="str">
        <f>IFERROR(__xludf.DUMMYFUNCTION("""COMPUTED_VALUE"""),"#N/A")</f>
        <v>#N/A</v>
      </c>
      <c r="Q3959" s="1"/>
      <c r="R3959" s="1"/>
      <c r="S3959" s="1"/>
      <c r="T3959" s="1"/>
      <c r="U3959" s="2">
        <f>IFERROR(__xludf.DUMMYFUNCTION("""COMPUTED_VALUE"""),0.0)</f>
        <v>0</v>
      </c>
      <c r="V3959" s="1" t="str">
        <f>IFERROR(__xludf.DUMMYFUNCTION("""COMPUTED_VALUE"""),"#N/A")</f>
        <v>#N/A</v>
      </c>
      <c r="W3959" s="1" t="str">
        <f>IFERROR(__xludf.DUMMYFUNCTION("""COMPUTED_VALUE"""),"#N/A")</f>
        <v>#N/A</v>
      </c>
    </row>
    <row r="3960">
      <c r="O3960" s="1" t="str">
        <f>IFERROR(__xludf.DUMMYFUNCTION("""COMPUTED_VALUE"""),"#VALUE!")</f>
        <v>#VALUE!</v>
      </c>
      <c r="P3960" s="1" t="str">
        <f>IFERROR(__xludf.DUMMYFUNCTION("""COMPUTED_VALUE"""),"#N/A")</f>
        <v>#N/A</v>
      </c>
      <c r="Q3960" s="1"/>
      <c r="R3960" s="1"/>
      <c r="S3960" s="1"/>
      <c r="T3960" s="1"/>
      <c r="U3960" s="2">
        <f>IFERROR(__xludf.DUMMYFUNCTION("""COMPUTED_VALUE"""),0.0)</f>
        <v>0</v>
      </c>
      <c r="V3960" s="1" t="str">
        <f>IFERROR(__xludf.DUMMYFUNCTION("""COMPUTED_VALUE"""),"#N/A")</f>
        <v>#N/A</v>
      </c>
      <c r="W3960" s="1" t="str">
        <f>IFERROR(__xludf.DUMMYFUNCTION("""COMPUTED_VALUE"""),"#N/A")</f>
        <v>#N/A</v>
      </c>
    </row>
    <row r="3961">
      <c r="O3961" s="1" t="str">
        <f>IFERROR(__xludf.DUMMYFUNCTION("""COMPUTED_VALUE"""),"#VALUE!")</f>
        <v>#VALUE!</v>
      </c>
      <c r="P3961" s="1" t="str">
        <f>IFERROR(__xludf.DUMMYFUNCTION("""COMPUTED_VALUE"""),"#N/A")</f>
        <v>#N/A</v>
      </c>
      <c r="Q3961" s="1"/>
      <c r="R3961" s="1"/>
      <c r="S3961" s="1"/>
      <c r="T3961" s="1"/>
      <c r="U3961" s="2">
        <f>IFERROR(__xludf.DUMMYFUNCTION("""COMPUTED_VALUE"""),0.0)</f>
        <v>0</v>
      </c>
      <c r="V3961" s="1" t="str">
        <f>IFERROR(__xludf.DUMMYFUNCTION("""COMPUTED_VALUE"""),"#N/A")</f>
        <v>#N/A</v>
      </c>
      <c r="W3961" s="1" t="str">
        <f>IFERROR(__xludf.DUMMYFUNCTION("""COMPUTED_VALUE"""),"#N/A")</f>
        <v>#N/A</v>
      </c>
    </row>
    <row r="3962">
      <c r="O3962" s="1" t="str">
        <f>IFERROR(__xludf.DUMMYFUNCTION("""COMPUTED_VALUE"""),"#VALUE!")</f>
        <v>#VALUE!</v>
      </c>
      <c r="P3962" s="1" t="str">
        <f>IFERROR(__xludf.DUMMYFUNCTION("""COMPUTED_VALUE"""),"#N/A")</f>
        <v>#N/A</v>
      </c>
      <c r="Q3962" s="1"/>
      <c r="R3962" s="1"/>
      <c r="S3962" s="1"/>
      <c r="T3962" s="1"/>
      <c r="U3962" s="2">
        <f>IFERROR(__xludf.DUMMYFUNCTION("""COMPUTED_VALUE"""),0.0)</f>
        <v>0</v>
      </c>
      <c r="V3962" s="1" t="str">
        <f>IFERROR(__xludf.DUMMYFUNCTION("""COMPUTED_VALUE"""),"#N/A")</f>
        <v>#N/A</v>
      </c>
      <c r="W3962" s="1" t="str">
        <f>IFERROR(__xludf.DUMMYFUNCTION("""COMPUTED_VALUE"""),"#N/A")</f>
        <v>#N/A</v>
      </c>
    </row>
    <row r="3963">
      <c r="O3963" s="1" t="str">
        <f>IFERROR(__xludf.DUMMYFUNCTION("""COMPUTED_VALUE"""),"#VALUE!")</f>
        <v>#VALUE!</v>
      </c>
      <c r="P3963" s="1" t="str">
        <f>IFERROR(__xludf.DUMMYFUNCTION("""COMPUTED_VALUE"""),"#N/A")</f>
        <v>#N/A</v>
      </c>
      <c r="Q3963" s="1"/>
      <c r="R3963" s="1"/>
      <c r="S3963" s="1"/>
      <c r="T3963" s="1"/>
      <c r="U3963" s="2">
        <f>IFERROR(__xludf.DUMMYFUNCTION("""COMPUTED_VALUE"""),0.0)</f>
        <v>0</v>
      </c>
      <c r="V3963" s="1" t="str">
        <f>IFERROR(__xludf.DUMMYFUNCTION("""COMPUTED_VALUE"""),"#N/A")</f>
        <v>#N/A</v>
      </c>
      <c r="W3963" s="1" t="str">
        <f>IFERROR(__xludf.DUMMYFUNCTION("""COMPUTED_VALUE"""),"#N/A")</f>
        <v>#N/A</v>
      </c>
    </row>
    <row r="3964">
      <c r="O3964" s="1" t="str">
        <f>IFERROR(__xludf.DUMMYFUNCTION("""COMPUTED_VALUE"""),"#VALUE!")</f>
        <v>#VALUE!</v>
      </c>
      <c r="P3964" s="1" t="str">
        <f>IFERROR(__xludf.DUMMYFUNCTION("""COMPUTED_VALUE"""),"#N/A")</f>
        <v>#N/A</v>
      </c>
      <c r="Q3964" s="1"/>
      <c r="R3964" s="1"/>
      <c r="S3964" s="1"/>
      <c r="T3964" s="1"/>
      <c r="U3964" s="2">
        <f>IFERROR(__xludf.DUMMYFUNCTION("""COMPUTED_VALUE"""),0.0)</f>
        <v>0</v>
      </c>
      <c r="V3964" s="1" t="str">
        <f>IFERROR(__xludf.DUMMYFUNCTION("""COMPUTED_VALUE"""),"#N/A")</f>
        <v>#N/A</v>
      </c>
      <c r="W3964" s="1" t="str">
        <f>IFERROR(__xludf.DUMMYFUNCTION("""COMPUTED_VALUE"""),"#N/A")</f>
        <v>#N/A</v>
      </c>
    </row>
    <row r="3965">
      <c r="O3965" s="1" t="str">
        <f>IFERROR(__xludf.DUMMYFUNCTION("""COMPUTED_VALUE"""),"#VALUE!")</f>
        <v>#VALUE!</v>
      </c>
      <c r="P3965" s="1" t="str">
        <f>IFERROR(__xludf.DUMMYFUNCTION("""COMPUTED_VALUE"""),"#N/A")</f>
        <v>#N/A</v>
      </c>
      <c r="Q3965" s="1"/>
      <c r="R3965" s="1"/>
      <c r="S3965" s="1"/>
      <c r="T3965" s="1"/>
      <c r="U3965" s="2">
        <f>IFERROR(__xludf.DUMMYFUNCTION("""COMPUTED_VALUE"""),0.0)</f>
        <v>0</v>
      </c>
      <c r="V3965" s="1" t="str">
        <f>IFERROR(__xludf.DUMMYFUNCTION("""COMPUTED_VALUE"""),"#N/A")</f>
        <v>#N/A</v>
      </c>
      <c r="W3965" s="1" t="str">
        <f>IFERROR(__xludf.DUMMYFUNCTION("""COMPUTED_VALUE"""),"#N/A")</f>
        <v>#N/A</v>
      </c>
    </row>
    <row r="3966">
      <c r="O3966" s="1" t="str">
        <f>IFERROR(__xludf.DUMMYFUNCTION("""COMPUTED_VALUE"""),"#VALUE!")</f>
        <v>#VALUE!</v>
      </c>
      <c r="P3966" s="1" t="str">
        <f>IFERROR(__xludf.DUMMYFUNCTION("""COMPUTED_VALUE"""),"#N/A")</f>
        <v>#N/A</v>
      </c>
      <c r="Q3966" s="1"/>
      <c r="R3966" s="1"/>
      <c r="S3966" s="1"/>
      <c r="T3966" s="1"/>
      <c r="U3966" s="2">
        <f>IFERROR(__xludf.DUMMYFUNCTION("""COMPUTED_VALUE"""),0.0)</f>
        <v>0</v>
      </c>
      <c r="V3966" s="1" t="str">
        <f>IFERROR(__xludf.DUMMYFUNCTION("""COMPUTED_VALUE"""),"#N/A")</f>
        <v>#N/A</v>
      </c>
      <c r="W3966" s="1" t="str">
        <f>IFERROR(__xludf.DUMMYFUNCTION("""COMPUTED_VALUE"""),"#N/A")</f>
        <v>#N/A</v>
      </c>
    </row>
    <row r="3967">
      <c r="O3967" s="1" t="str">
        <f>IFERROR(__xludf.DUMMYFUNCTION("""COMPUTED_VALUE"""),"#VALUE!")</f>
        <v>#VALUE!</v>
      </c>
      <c r="P3967" s="1" t="str">
        <f>IFERROR(__xludf.DUMMYFUNCTION("""COMPUTED_VALUE"""),"#N/A")</f>
        <v>#N/A</v>
      </c>
      <c r="Q3967" s="1"/>
      <c r="R3967" s="1"/>
      <c r="S3967" s="1"/>
      <c r="T3967" s="1"/>
      <c r="U3967" s="2">
        <f>IFERROR(__xludf.DUMMYFUNCTION("""COMPUTED_VALUE"""),0.0)</f>
        <v>0</v>
      </c>
      <c r="V3967" s="1" t="str">
        <f>IFERROR(__xludf.DUMMYFUNCTION("""COMPUTED_VALUE"""),"#N/A")</f>
        <v>#N/A</v>
      </c>
      <c r="W3967" s="1" t="str">
        <f>IFERROR(__xludf.DUMMYFUNCTION("""COMPUTED_VALUE"""),"#N/A")</f>
        <v>#N/A</v>
      </c>
    </row>
    <row r="3968">
      <c r="O3968" s="1" t="str">
        <f>IFERROR(__xludf.DUMMYFUNCTION("""COMPUTED_VALUE"""),"#VALUE!")</f>
        <v>#VALUE!</v>
      </c>
      <c r="P3968" s="1" t="str">
        <f>IFERROR(__xludf.DUMMYFUNCTION("""COMPUTED_VALUE"""),"#N/A")</f>
        <v>#N/A</v>
      </c>
      <c r="Q3968" s="1"/>
      <c r="R3968" s="1"/>
      <c r="S3968" s="1"/>
      <c r="T3968" s="1"/>
      <c r="U3968" s="2">
        <f>IFERROR(__xludf.DUMMYFUNCTION("""COMPUTED_VALUE"""),0.0)</f>
        <v>0</v>
      </c>
      <c r="V3968" s="1" t="str">
        <f>IFERROR(__xludf.DUMMYFUNCTION("""COMPUTED_VALUE"""),"#N/A")</f>
        <v>#N/A</v>
      </c>
      <c r="W3968" s="1" t="str">
        <f>IFERROR(__xludf.DUMMYFUNCTION("""COMPUTED_VALUE"""),"#N/A")</f>
        <v>#N/A</v>
      </c>
    </row>
    <row r="3969">
      <c r="O3969" s="1" t="str">
        <f>IFERROR(__xludf.DUMMYFUNCTION("""COMPUTED_VALUE"""),"#VALUE!")</f>
        <v>#VALUE!</v>
      </c>
      <c r="P3969" s="1" t="str">
        <f>IFERROR(__xludf.DUMMYFUNCTION("""COMPUTED_VALUE"""),"#N/A")</f>
        <v>#N/A</v>
      </c>
      <c r="Q3969" s="1"/>
      <c r="R3969" s="1"/>
      <c r="S3969" s="1"/>
      <c r="T3969" s="1"/>
      <c r="U3969" s="2">
        <f>IFERROR(__xludf.DUMMYFUNCTION("""COMPUTED_VALUE"""),0.0)</f>
        <v>0</v>
      </c>
      <c r="V3969" s="1" t="str">
        <f>IFERROR(__xludf.DUMMYFUNCTION("""COMPUTED_VALUE"""),"#N/A")</f>
        <v>#N/A</v>
      </c>
      <c r="W3969" s="1" t="str">
        <f>IFERROR(__xludf.DUMMYFUNCTION("""COMPUTED_VALUE"""),"#N/A")</f>
        <v>#N/A</v>
      </c>
    </row>
    <row r="3970">
      <c r="O3970" s="1" t="str">
        <f>IFERROR(__xludf.DUMMYFUNCTION("""COMPUTED_VALUE"""),"#VALUE!")</f>
        <v>#VALUE!</v>
      </c>
      <c r="P3970" s="1" t="str">
        <f>IFERROR(__xludf.DUMMYFUNCTION("""COMPUTED_VALUE"""),"#N/A")</f>
        <v>#N/A</v>
      </c>
      <c r="Q3970" s="1"/>
      <c r="R3970" s="1"/>
      <c r="S3970" s="1"/>
      <c r="T3970" s="1"/>
      <c r="U3970" s="2">
        <f>IFERROR(__xludf.DUMMYFUNCTION("""COMPUTED_VALUE"""),0.0)</f>
        <v>0</v>
      </c>
      <c r="V3970" s="1" t="str">
        <f>IFERROR(__xludf.DUMMYFUNCTION("""COMPUTED_VALUE"""),"#N/A")</f>
        <v>#N/A</v>
      </c>
      <c r="W3970" s="1" t="str">
        <f>IFERROR(__xludf.DUMMYFUNCTION("""COMPUTED_VALUE"""),"#N/A")</f>
        <v>#N/A</v>
      </c>
    </row>
    <row r="3971">
      <c r="O3971" s="1" t="str">
        <f>IFERROR(__xludf.DUMMYFUNCTION("""COMPUTED_VALUE"""),"#VALUE!")</f>
        <v>#VALUE!</v>
      </c>
      <c r="P3971" s="1" t="str">
        <f>IFERROR(__xludf.DUMMYFUNCTION("""COMPUTED_VALUE"""),"#N/A")</f>
        <v>#N/A</v>
      </c>
      <c r="Q3971" s="1"/>
      <c r="R3971" s="1"/>
      <c r="S3971" s="1"/>
      <c r="T3971" s="1"/>
      <c r="U3971" s="2">
        <f>IFERROR(__xludf.DUMMYFUNCTION("""COMPUTED_VALUE"""),0.0)</f>
        <v>0</v>
      </c>
      <c r="V3971" s="1" t="str">
        <f>IFERROR(__xludf.DUMMYFUNCTION("""COMPUTED_VALUE"""),"#N/A")</f>
        <v>#N/A</v>
      </c>
      <c r="W3971" s="1" t="str">
        <f>IFERROR(__xludf.DUMMYFUNCTION("""COMPUTED_VALUE"""),"#N/A")</f>
        <v>#N/A</v>
      </c>
    </row>
    <row r="3972">
      <c r="O3972" s="1" t="str">
        <f>IFERROR(__xludf.DUMMYFUNCTION("""COMPUTED_VALUE"""),"#VALUE!")</f>
        <v>#VALUE!</v>
      </c>
      <c r="P3972" s="1" t="str">
        <f>IFERROR(__xludf.DUMMYFUNCTION("""COMPUTED_VALUE"""),"#N/A")</f>
        <v>#N/A</v>
      </c>
      <c r="Q3972" s="1"/>
      <c r="R3972" s="1"/>
      <c r="S3972" s="1"/>
      <c r="T3972" s="1"/>
      <c r="U3972" s="2">
        <f>IFERROR(__xludf.DUMMYFUNCTION("""COMPUTED_VALUE"""),0.0)</f>
        <v>0</v>
      </c>
      <c r="V3972" s="1" t="str">
        <f>IFERROR(__xludf.DUMMYFUNCTION("""COMPUTED_VALUE"""),"#N/A")</f>
        <v>#N/A</v>
      </c>
      <c r="W3972" s="1" t="str">
        <f>IFERROR(__xludf.DUMMYFUNCTION("""COMPUTED_VALUE"""),"#N/A")</f>
        <v>#N/A</v>
      </c>
    </row>
    <row r="3973">
      <c r="O3973" s="1" t="str">
        <f>IFERROR(__xludf.DUMMYFUNCTION("""COMPUTED_VALUE"""),"#VALUE!")</f>
        <v>#VALUE!</v>
      </c>
      <c r="P3973" s="1" t="str">
        <f>IFERROR(__xludf.DUMMYFUNCTION("""COMPUTED_VALUE"""),"#N/A")</f>
        <v>#N/A</v>
      </c>
      <c r="Q3973" s="1"/>
      <c r="R3973" s="1"/>
      <c r="S3973" s="1"/>
      <c r="T3973" s="1"/>
      <c r="U3973" s="2">
        <f>IFERROR(__xludf.DUMMYFUNCTION("""COMPUTED_VALUE"""),0.0)</f>
        <v>0</v>
      </c>
      <c r="V3973" s="1" t="str">
        <f>IFERROR(__xludf.DUMMYFUNCTION("""COMPUTED_VALUE"""),"#N/A")</f>
        <v>#N/A</v>
      </c>
      <c r="W3973" s="1" t="str">
        <f>IFERROR(__xludf.DUMMYFUNCTION("""COMPUTED_VALUE"""),"#N/A")</f>
        <v>#N/A</v>
      </c>
    </row>
    <row r="3974">
      <c r="O3974" s="1" t="str">
        <f>IFERROR(__xludf.DUMMYFUNCTION("""COMPUTED_VALUE"""),"#VALUE!")</f>
        <v>#VALUE!</v>
      </c>
      <c r="P3974" s="1" t="str">
        <f>IFERROR(__xludf.DUMMYFUNCTION("""COMPUTED_VALUE"""),"#N/A")</f>
        <v>#N/A</v>
      </c>
      <c r="Q3974" s="1"/>
      <c r="R3974" s="1"/>
      <c r="S3974" s="1"/>
      <c r="T3974" s="1"/>
      <c r="U3974" s="2">
        <f>IFERROR(__xludf.DUMMYFUNCTION("""COMPUTED_VALUE"""),0.0)</f>
        <v>0</v>
      </c>
      <c r="V3974" s="1" t="str">
        <f>IFERROR(__xludf.DUMMYFUNCTION("""COMPUTED_VALUE"""),"#N/A")</f>
        <v>#N/A</v>
      </c>
      <c r="W3974" s="1" t="str">
        <f>IFERROR(__xludf.DUMMYFUNCTION("""COMPUTED_VALUE"""),"#N/A")</f>
        <v>#N/A</v>
      </c>
    </row>
    <row r="3975">
      <c r="O3975" s="1" t="str">
        <f>IFERROR(__xludf.DUMMYFUNCTION("""COMPUTED_VALUE"""),"#VALUE!")</f>
        <v>#VALUE!</v>
      </c>
      <c r="P3975" s="1" t="str">
        <f>IFERROR(__xludf.DUMMYFUNCTION("""COMPUTED_VALUE"""),"#N/A")</f>
        <v>#N/A</v>
      </c>
      <c r="Q3975" s="1"/>
      <c r="R3975" s="1"/>
      <c r="S3975" s="1"/>
      <c r="T3975" s="1"/>
      <c r="U3975" s="2">
        <f>IFERROR(__xludf.DUMMYFUNCTION("""COMPUTED_VALUE"""),0.0)</f>
        <v>0</v>
      </c>
      <c r="V3975" s="1" t="str">
        <f>IFERROR(__xludf.DUMMYFUNCTION("""COMPUTED_VALUE"""),"#N/A")</f>
        <v>#N/A</v>
      </c>
      <c r="W3975" s="1" t="str">
        <f>IFERROR(__xludf.DUMMYFUNCTION("""COMPUTED_VALUE"""),"#N/A")</f>
        <v>#N/A</v>
      </c>
    </row>
    <row r="3976">
      <c r="O3976" s="1" t="str">
        <f>IFERROR(__xludf.DUMMYFUNCTION("""COMPUTED_VALUE"""),"#VALUE!")</f>
        <v>#VALUE!</v>
      </c>
      <c r="P3976" s="1" t="str">
        <f>IFERROR(__xludf.DUMMYFUNCTION("""COMPUTED_VALUE"""),"#N/A")</f>
        <v>#N/A</v>
      </c>
      <c r="Q3976" s="1"/>
      <c r="R3976" s="1"/>
      <c r="S3976" s="1"/>
      <c r="T3976" s="1"/>
      <c r="U3976" s="2">
        <f>IFERROR(__xludf.DUMMYFUNCTION("""COMPUTED_VALUE"""),0.0)</f>
        <v>0</v>
      </c>
      <c r="V3976" s="1" t="str">
        <f>IFERROR(__xludf.DUMMYFUNCTION("""COMPUTED_VALUE"""),"#N/A")</f>
        <v>#N/A</v>
      </c>
      <c r="W3976" s="1" t="str">
        <f>IFERROR(__xludf.DUMMYFUNCTION("""COMPUTED_VALUE"""),"#N/A")</f>
        <v>#N/A</v>
      </c>
    </row>
    <row r="3977">
      <c r="O3977" s="1" t="str">
        <f>IFERROR(__xludf.DUMMYFUNCTION("""COMPUTED_VALUE"""),"#VALUE!")</f>
        <v>#VALUE!</v>
      </c>
      <c r="P3977" s="1" t="str">
        <f>IFERROR(__xludf.DUMMYFUNCTION("""COMPUTED_VALUE"""),"#N/A")</f>
        <v>#N/A</v>
      </c>
      <c r="Q3977" s="1"/>
      <c r="R3977" s="1"/>
      <c r="S3977" s="1"/>
      <c r="T3977" s="1"/>
      <c r="U3977" s="2">
        <f>IFERROR(__xludf.DUMMYFUNCTION("""COMPUTED_VALUE"""),0.0)</f>
        <v>0</v>
      </c>
      <c r="V3977" s="1" t="str">
        <f>IFERROR(__xludf.DUMMYFUNCTION("""COMPUTED_VALUE"""),"#N/A")</f>
        <v>#N/A</v>
      </c>
      <c r="W3977" s="1" t="str">
        <f>IFERROR(__xludf.DUMMYFUNCTION("""COMPUTED_VALUE"""),"#N/A")</f>
        <v>#N/A</v>
      </c>
    </row>
    <row r="3978">
      <c r="O3978" s="1" t="str">
        <f>IFERROR(__xludf.DUMMYFUNCTION("""COMPUTED_VALUE"""),"#VALUE!")</f>
        <v>#VALUE!</v>
      </c>
      <c r="P3978" s="1" t="str">
        <f>IFERROR(__xludf.DUMMYFUNCTION("""COMPUTED_VALUE"""),"#N/A")</f>
        <v>#N/A</v>
      </c>
      <c r="Q3978" s="1"/>
      <c r="R3978" s="1"/>
      <c r="S3978" s="1"/>
      <c r="T3978" s="1"/>
      <c r="U3978" s="2">
        <f>IFERROR(__xludf.DUMMYFUNCTION("""COMPUTED_VALUE"""),0.0)</f>
        <v>0</v>
      </c>
      <c r="V3978" s="1" t="str">
        <f>IFERROR(__xludf.DUMMYFUNCTION("""COMPUTED_VALUE"""),"#N/A")</f>
        <v>#N/A</v>
      </c>
      <c r="W3978" s="1" t="str">
        <f>IFERROR(__xludf.DUMMYFUNCTION("""COMPUTED_VALUE"""),"#N/A")</f>
        <v>#N/A</v>
      </c>
    </row>
    <row r="3979">
      <c r="O3979" s="1" t="str">
        <f>IFERROR(__xludf.DUMMYFUNCTION("""COMPUTED_VALUE"""),"#VALUE!")</f>
        <v>#VALUE!</v>
      </c>
      <c r="P3979" s="1" t="str">
        <f>IFERROR(__xludf.DUMMYFUNCTION("""COMPUTED_VALUE"""),"#N/A")</f>
        <v>#N/A</v>
      </c>
      <c r="Q3979" s="1"/>
      <c r="R3979" s="1"/>
      <c r="S3979" s="1"/>
      <c r="T3979" s="1"/>
      <c r="U3979" s="2">
        <f>IFERROR(__xludf.DUMMYFUNCTION("""COMPUTED_VALUE"""),0.0)</f>
        <v>0</v>
      </c>
      <c r="V3979" s="1" t="str">
        <f>IFERROR(__xludf.DUMMYFUNCTION("""COMPUTED_VALUE"""),"#N/A")</f>
        <v>#N/A</v>
      </c>
      <c r="W3979" s="1" t="str">
        <f>IFERROR(__xludf.DUMMYFUNCTION("""COMPUTED_VALUE"""),"#N/A")</f>
        <v>#N/A</v>
      </c>
    </row>
    <row r="3980">
      <c r="O3980" s="1" t="str">
        <f>IFERROR(__xludf.DUMMYFUNCTION("""COMPUTED_VALUE"""),"#VALUE!")</f>
        <v>#VALUE!</v>
      </c>
      <c r="P3980" s="1" t="str">
        <f>IFERROR(__xludf.DUMMYFUNCTION("""COMPUTED_VALUE"""),"#N/A")</f>
        <v>#N/A</v>
      </c>
      <c r="Q3980" s="1"/>
      <c r="R3980" s="1"/>
      <c r="S3980" s="1"/>
      <c r="T3980" s="1"/>
      <c r="U3980" s="2">
        <f>IFERROR(__xludf.DUMMYFUNCTION("""COMPUTED_VALUE"""),0.0)</f>
        <v>0</v>
      </c>
      <c r="V3980" s="1" t="str">
        <f>IFERROR(__xludf.DUMMYFUNCTION("""COMPUTED_VALUE"""),"#N/A")</f>
        <v>#N/A</v>
      </c>
      <c r="W3980" s="1" t="str">
        <f>IFERROR(__xludf.DUMMYFUNCTION("""COMPUTED_VALUE"""),"#N/A")</f>
        <v>#N/A</v>
      </c>
    </row>
    <row r="3981">
      <c r="O3981" s="1" t="str">
        <f>IFERROR(__xludf.DUMMYFUNCTION("""COMPUTED_VALUE"""),"#VALUE!")</f>
        <v>#VALUE!</v>
      </c>
      <c r="P3981" s="1" t="str">
        <f>IFERROR(__xludf.DUMMYFUNCTION("""COMPUTED_VALUE"""),"#N/A")</f>
        <v>#N/A</v>
      </c>
      <c r="Q3981" s="1"/>
      <c r="R3981" s="1"/>
      <c r="S3981" s="1"/>
      <c r="T3981" s="1"/>
      <c r="U3981" s="2">
        <f>IFERROR(__xludf.DUMMYFUNCTION("""COMPUTED_VALUE"""),0.0)</f>
        <v>0</v>
      </c>
      <c r="V3981" s="1" t="str">
        <f>IFERROR(__xludf.DUMMYFUNCTION("""COMPUTED_VALUE"""),"#N/A")</f>
        <v>#N/A</v>
      </c>
      <c r="W3981" s="1" t="str">
        <f>IFERROR(__xludf.DUMMYFUNCTION("""COMPUTED_VALUE"""),"#N/A")</f>
        <v>#N/A</v>
      </c>
    </row>
    <row r="3982">
      <c r="O3982" s="1" t="str">
        <f>IFERROR(__xludf.DUMMYFUNCTION("""COMPUTED_VALUE"""),"#VALUE!")</f>
        <v>#VALUE!</v>
      </c>
      <c r="P3982" s="1" t="str">
        <f>IFERROR(__xludf.DUMMYFUNCTION("""COMPUTED_VALUE"""),"#N/A")</f>
        <v>#N/A</v>
      </c>
      <c r="Q3982" s="1"/>
      <c r="R3982" s="1"/>
      <c r="S3982" s="1"/>
      <c r="T3982" s="1"/>
      <c r="U3982" s="2">
        <f>IFERROR(__xludf.DUMMYFUNCTION("""COMPUTED_VALUE"""),0.0)</f>
        <v>0</v>
      </c>
      <c r="V3982" s="1" t="str">
        <f>IFERROR(__xludf.DUMMYFUNCTION("""COMPUTED_VALUE"""),"#N/A")</f>
        <v>#N/A</v>
      </c>
      <c r="W3982" s="1" t="str">
        <f>IFERROR(__xludf.DUMMYFUNCTION("""COMPUTED_VALUE"""),"#N/A")</f>
        <v>#N/A</v>
      </c>
    </row>
    <row r="3983">
      <c r="O3983" s="1" t="str">
        <f>IFERROR(__xludf.DUMMYFUNCTION("""COMPUTED_VALUE"""),"#VALUE!")</f>
        <v>#VALUE!</v>
      </c>
      <c r="P3983" s="1" t="str">
        <f>IFERROR(__xludf.DUMMYFUNCTION("""COMPUTED_VALUE"""),"#N/A")</f>
        <v>#N/A</v>
      </c>
      <c r="Q3983" s="1"/>
      <c r="R3983" s="1"/>
      <c r="S3983" s="1"/>
      <c r="T3983" s="1"/>
      <c r="U3983" s="2">
        <f>IFERROR(__xludf.DUMMYFUNCTION("""COMPUTED_VALUE"""),0.0)</f>
        <v>0</v>
      </c>
      <c r="V3983" s="1" t="str">
        <f>IFERROR(__xludf.DUMMYFUNCTION("""COMPUTED_VALUE"""),"#N/A")</f>
        <v>#N/A</v>
      </c>
      <c r="W3983" s="1" t="str">
        <f>IFERROR(__xludf.DUMMYFUNCTION("""COMPUTED_VALUE"""),"#N/A")</f>
        <v>#N/A</v>
      </c>
    </row>
    <row r="3984">
      <c r="O3984" s="1" t="str">
        <f>IFERROR(__xludf.DUMMYFUNCTION("""COMPUTED_VALUE"""),"#VALUE!")</f>
        <v>#VALUE!</v>
      </c>
      <c r="P3984" s="1" t="str">
        <f>IFERROR(__xludf.DUMMYFUNCTION("""COMPUTED_VALUE"""),"#N/A")</f>
        <v>#N/A</v>
      </c>
      <c r="Q3984" s="1"/>
      <c r="R3984" s="1"/>
      <c r="S3984" s="1"/>
      <c r="T3984" s="1"/>
      <c r="U3984" s="2">
        <f>IFERROR(__xludf.DUMMYFUNCTION("""COMPUTED_VALUE"""),0.0)</f>
        <v>0</v>
      </c>
      <c r="V3984" s="1" t="str">
        <f>IFERROR(__xludf.DUMMYFUNCTION("""COMPUTED_VALUE"""),"#N/A")</f>
        <v>#N/A</v>
      </c>
      <c r="W3984" s="1" t="str">
        <f>IFERROR(__xludf.DUMMYFUNCTION("""COMPUTED_VALUE"""),"#N/A")</f>
        <v>#N/A</v>
      </c>
    </row>
    <row r="3985">
      <c r="O3985" s="1" t="str">
        <f>IFERROR(__xludf.DUMMYFUNCTION("""COMPUTED_VALUE"""),"#VALUE!")</f>
        <v>#VALUE!</v>
      </c>
      <c r="P3985" s="1" t="str">
        <f>IFERROR(__xludf.DUMMYFUNCTION("""COMPUTED_VALUE"""),"#N/A")</f>
        <v>#N/A</v>
      </c>
      <c r="Q3985" s="1"/>
      <c r="R3985" s="1"/>
      <c r="S3985" s="1"/>
      <c r="T3985" s="1"/>
      <c r="U3985" s="2">
        <f>IFERROR(__xludf.DUMMYFUNCTION("""COMPUTED_VALUE"""),0.0)</f>
        <v>0</v>
      </c>
      <c r="V3985" s="1" t="str">
        <f>IFERROR(__xludf.DUMMYFUNCTION("""COMPUTED_VALUE"""),"#N/A")</f>
        <v>#N/A</v>
      </c>
      <c r="W3985" s="1" t="str">
        <f>IFERROR(__xludf.DUMMYFUNCTION("""COMPUTED_VALUE"""),"#N/A")</f>
        <v>#N/A</v>
      </c>
    </row>
    <row r="3986">
      <c r="O3986" s="1" t="str">
        <f>IFERROR(__xludf.DUMMYFUNCTION("""COMPUTED_VALUE"""),"#VALUE!")</f>
        <v>#VALUE!</v>
      </c>
      <c r="P3986" s="1" t="str">
        <f>IFERROR(__xludf.DUMMYFUNCTION("""COMPUTED_VALUE"""),"#N/A")</f>
        <v>#N/A</v>
      </c>
      <c r="Q3986" s="1"/>
      <c r="R3986" s="1"/>
      <c r="S3986" s="1"/>
      <c r="T3986" s="1"/>
      <c r="U3986" s="2">
        <f>IFERROR(__xludf.DUMMYFUNCTION("""COMPUTED_VALUE"""),0.0)</f>
        <v>0</v>
      </c>
      <c r="V3986" s="1" t="str">
        <f>IFERROR(__xludf.DUMMYFUNCTION("""COMPUTED_VALUE"""),"#N/A")</f>
        <v>#N/A</v>
      </c>
      <c r="W3986" s="1" t="str">
        <f>IFERROR(__xludf.DUMMYFUNCTION("""COMPUTED_VALUE"""),"#N/A")</f>
        <v>#N/A</v>
      </c>
    </row>
    <row r="3987">
      <c r="O3987" s="1" t="str">
        <f>IFERROR(__xludf.DUMMYFUNCTION("""COMPUTED_VALUE"""),"#VALUE!")</f>
        <v>#VALUE!</v>
      </c>
      <c r="P3987" s="1" t="str">
        <f>IFERROR(__xludf.DUMMYFUNCTION("""COMPUTED_VALUE"""),"#N/A")</f>
        <v>#N/A</v>
      </c>
      <c r="Q3987" s="1"/>
      <c r="R3987" s="1"/>
      <c r="S3987" s="1"/>
      <c r="T3987" s="1"/>
      <c r="U3987" s="2">
        <f>IFERROR(__xludf.DUMMYFUNCTION("""COMPUTED_VALUE"""),0.0)</f>
        <v>0</v>
      </c>
      <c r="V3987" s="1" t="str">
        <f>IFERROR(__xludf.DUMMYFUNCTION("""COMPUTED_VALUE"""),"#N/A")</f>
        <v>#N/A</v>
      </c>
      <c r="W3987" s="1" t="str">
        <f>IFERROR(__xludf.DUMMYFUNCTION("""COMPUTED_VALUE"""),"#N/A")</f>
        <v>#N/A</v>
      </c>
    </row>
    <row r="3988">
      <c r="O3988" s="1" t="str">
        <f>IFERROR(__xludf.DUMMYFUNCTION("""COMPUTED_VALUE"""),"#VALUE!")</f>
        <v>#VALUE!</v>
      </c>
      <c r="P3988" s="1" t="str">
        <f>IFERROR(__xludf.DUMMYFUNCTION("""COMPUTED_VALUE"""),"#N/A")</f>
        <v>#N/A</v>
      </c>
      <c r="Q3988" s="1"/>
      <c r="R3988" s="1"/>
      <c r="S3988" s="1"/>
      <c r="T3988" s="1"/>
      <c r="U3988" s="2">
        <f>IFERROR(__xludf.DUMMYFUNCTION("""COMPUTED_VALUE"""),0.0)</f>
        <v>0</v>
      </c>
      <c r="V3988" s="1" t="str">
        <f>IFERROR(__xludf.DUMMYFUNCTION("""COMPUTED_VALUE"""),"#N/A")</f>
        <v>#N/A</v>
      </c>
      <c r="W3988" s="1" t="str">
        <f>IFERROR(__xludf.DUMMYFUNCTION("""COMPUTED_VALUE"""),"#N/A")</f>
        <v>#N/A</v>
      </c>
    </row>
    <row r="3989">
      <c r="O3989" s="1" t="str">
        <f>IFERROR(__xludf.DUMMYFUNCTION("""COMPUTED_VALUE"""),"#VALUE!")</f>
        <v>#VALUE!</v>
      </c>
      <c r="P3989" s="1" t="str">
        <f>IFERROR(__xludf.DUMMYFUNCTION("""COMPUTED_VALUE"""),"#N/A")</f>
        <v>#N/A</v>
      </c>
      <c r="Q3989" s="1"/>
      <c r="R3989" s="1"/>
      <c r="S3989" s="1"/>
      <c r="T3989" s="1"/>
      <c r="U3989" s="2">
        <f>IFERROR(__xludf.DUMMYFUNCTION("""COMPUTED_VALUE"""),0.0)</f>
        <v>0</v>
      </c>
      <c r="V3989" s="1" t="str">
        <f>IFERROR(__xludf.DUMMYFUNCTION("""COMPUTED_VALUE"""),"#N/A")</f>
        <v>#N/A</v>
      </c>
      <c r="W3989" s="1" t="str">
        <f>IFERROR(__xludf.DUMMYFUNCTION("""COMPUTED_VALUE"""),"#N/A")</f>
        <v>#N/A</v>
      </c>
    </row>
    <row r="3990">
      <c r="O3990" s="1" t="str">
        <f>IFERROR(__xludf.DUMMYFUNCTION("""COMPUTED_VALUE"""),"#VALUE!")</f>
        <v>#VALUE!</v>
      </c>
      <c r="P3990" s="1" t="str">
        <f>IFERROR(__xludf.DUMMYFUNCTION("""COMPUTED_VALUE"""),"#N/A")</f>
        <v>#N/A</v>
      </c>
      <c r="Q3990" s="1"/>
      <c r="R3990" s="1"/>
      <c r="S3990" s="1"/>
      <c r="T3990" s="1"/>
      <c r="U3990" s="2">
        <f>IFERROR(__xludf.DUMMYFUNCTION("""COMPUTED_VALUE"""),0.0)</f>
        <v>0</v>
      </c>
      <c r="V3990" s="1" t="str">
        <f>IFERROR(__xludf.DUMMYFUNCTION("""COMPUTED_VALUE"""),"#N/A")</f>
        <v>#N/A</v>
      </c>
      <c r="W3990" s="1" t="str">
        <f>IFERROR(__xludf.DUMMYFUNCTION("""COMPUTED_VALUE"""),"#N/A")</f>
        <v>#N/A</v>
      </c>
    </row>
    <row r="3991">
      <c r="O3991" s="1" t="str">
        <f>IFERROR(__xludf.DUMMYFUNCTION("""COMPUTED_VALUE"""),"#VALUE!")</f>
        <v>#VALUE!</v>
      </c>
      <c r="P3991" s="1" t="str">
        <f>IFERROR(__xludf.DUMMYFUNCTION("""COMPUTED_VALUE"""),"#N/A")</f>
        <v>#N/A</v>
      </c>
      <c r="Q3991" s="1"/>
      <c r="R3991" s="1"/>
      <c r="S3991" s="1"/>
      <c r="T3991" s="1"/>
      <c r="U3991" s="2">
        <f>IFERROR(__xludf.DUMMYFUNCTION("""COMPUTED_VALUE"""),0.0)</f>
        <v>0</v>
      </c>
      <c r="V3991" s="1" t="str">
        <f>IFERROR(__xludf.DUMMYFUNCTION("""COMPUTED_VALUE"""),"#N/A")</f>
        <v>#N/A</v>
      </c>
      <c r="W3991" s="1" t="str">
        <f>IFERROR(__xludf.DUMMYFUNCTION("""COMPUTED_VALUE"""),"#N/A")</f>
        <v>#N/A</v>
      </c>
    </row>
    <row r="3992">
      <c r="O3992" s="1" t="str">
        <f>IFERROR(__xludf.DUMMYFUNCTION("""COMPUTED_VALUE"""),"#VALUE!")</f>
        <v>#VALUE!</v>
      </c>
      <c r="P3992" s="1" t="str">
        <f>IFERROR(__xludf.DUMMYFUNCTION("""COMPUTED_VALUE"""),"#N/A")</f>
        <v>#N/A</v>
      </c>
      <c r="Q3992" s="1"/>
      <c r="R3992" s="1"/>
      <c r="S3992" s="1"/>
      <c r="T3992" s="1"/>
      <c r="U3992" s="2">
        <f>IFERROR(__xludf.DUMMYFUNCTION("""COMPUTED_VALUE"""),0.0)</f>
        <v>0</v>
      </c>
      <c r="V3992" s="1" t="str">
        <f>IFERROR(__xludf.DUMMYFUNCTION("""COMPUTED_VALUE"""),"#N/A")</f>
        <v>#N/A</v>
      </c>
      <c r="W3992" s="1" t="str">
        <f>IFERROR(__xludf.DUMMYFUNCTION("""COMPUTED_VALUE"""),"#N/A")</f>
        <v>#N/A</v>
      </c>
    </row>
    <row r="3993">
      <c r="O3993" s="1" t="str">
        <f>IFERROR(__xludf.DUMMYFUNCTION("""COMPUTED_VALUE"""),"#VALUE!")</f>
        <v>#VALUE!</v>
      </c>
      <c r="P3993" s="1" t="str">
        <f>IFERROR(__xludf.DUMMYFUNCTION("""COMPUTED_VALUE"""),"#N/A")</f>
        <v>#N/A</v>
      </c>
      <c r="Q3993" s="1"/>
      <c r="R3993" s="1"/>
      <c r="S3993" s="1"/>
      <c r="T3993" s="1"/>
      <c r="U3993" s="2">
        <f>IFERROR(__xludf.DUMMYFUNCTION("""COMPUTED_VALUE"""),0.0)</f>
        <v>0</v>
      </c>
      <c r="V3993" s="1" t="str">
        <f>IFERROR(__xludf.DUMMYFUNCTION("""COMPUTED_VALUE"""),"#N/A")</f>
        <v>#N/A</v>
      </c>
      <c r="W3993" s="1" t="str">
        <f>IFERROR(__xludf.DUMMYFUNCTION("""COMPUTED_VALUE"""),"#N/A")</f>
        <v>#N/A</v>
      </c>
    </row>
    <row r="3994">
      <c r="O3994" s="1" t="str">
        <f>IFERROR(__xludf.DUMMYFUNCTION("""COMPUTED_VALUE"""),"#VALUE!")</f>
        <v>#VALUE!</v>
      </c>
      <c r="P3994" s="1" t="str">
        <f>IFERROR(__xludf.DUMMYFUNCTION("""COMPUTED_VALUE"""),"#N/A")</f>
        <v>#N/A</v>
      </c>
      <c r="Q3994" s="1"/>
      <c r="R3994" s="1"/>
      <c r="S3994" s="1"/>
      <c r="T3994" s="1"/>
      <c r="U3994" s="2">
        <f>IFERROR(__xludf.DUMMYFUNCTION("""COMPUTED_VALUE"""),0.0)</f>
        <v>0</v>
      </c>
      <c r="V3994" s="1" t="str">
        <f>IFERROR(__xludf.DUMMYFUNCTION("""COMPUTED_VALUE"""),"#N/A")</f>
        <v>#N/A</v>
      </c>
      <c r="W3994" s="1" t="str">
        <f>IFERROR(__xludf.DUMMYFUNCTION("""COMPUTED_VALUE"""),"#N/A")</f>
        <v>#N/A</v>
      </c>
    </row>
    <row r="3995">
      <c r="O3995" s="1" t="str">
        <f>IFERROR(__xludf.DUMMYFUNCTION("""COMPUTED_VALUE"""),"#VALUE!")</f>
        <v>#VALUE!</v>
      </c>
      <c r="P3995" s="1" t="str">
        <f>IFERROR(__xludf.DUMMYFUNCTION("""COMPUTED_VALUE"""),"#N/A")</f>
        <v>#N/A</v>
      </c>
      <c r="Q3995" s="1"/>
      <c r="R3995" s="1"/>
      <c r="S3995" s="1"/>
      <c r="T3995" s="1"/>
      <c r="U3995" s="2">
        <f>IFERROR(__xludf.DUMMYFUNCTION("""COMPUTED_VALUE"""),0.0)</f>
        <v>0</v>
      </c>
      <c r="V3995" s="1" t="str">
        <f>IFERROR(__xludf.DUMMYFUNCTION("""COMPUTED_VALUE"""),"#N/A")</f>
        <v>#N/A</v>
      </c>
      <c r="W3995" s="1" t="str">
        <f>IFERROR(__xludf.DUMMYFUNCTION("""COMPUTED_VALUE"""),"#N/A")</f>
        <v>#N/A</v>
      </c>
    </row>
    <row r="3996">
      <c r="O3996" s="1" t="str">
        <f>IFERROR(__xludf.DUMMYFUNCTION("""COMPUTED_VALUE"""),"#VALUE!")</f>
        <v>#VALUE!</v>
      </c>
      <c r="P3996" s="1" t="str">
        <f>IFERROR(__xludf.DUMMYFUNCTION("""COMPUTED_VALUE"""),"#N/A")</f>
        <v>#N/A</v>
      </c>
      <c r="Q3996" s="1"/>
      <c r="R3996" s="1"/>
      <c r="S3996" s="1"/>
      <c r="T3996" s="1"/>
      <c r="U3996" s="2">
        <f>IFERROR(__xludf.DUMMYFUNCTION("""COMPUTED_VALUE"""),0.0)</f>
        <v>0</v>
      </c>
      <c r="V3996" s="1" t="str">
        <f>IFERROR(__xludf.DUMMYFUNCTION("""COMPUTED_VALUE"""),"#N/A")</f>
        <v>#N/A</v>
      </c>
      <c r="W3996" s="1" t="str">
        <f>IFERROR(__xludf.DUMMYFUNCTION("""COMPUTED_VALUE"""),"#N/A")</f>
        <v>#N/A</v>
      </c>
    </row>
    <row r="3997">
      <c r="O3997" s="1" t="str">
        <f>IFERROR(__xludf.DUMMYFUNCTION("""COMPUTED_VALUE"""),"#VALUE!")</f>
        <v>#VALUE!</v>
      </c>
      <c r="P3997" s="1" t="str">
        <f>IFERROR(__xludf.DUMMYFUNCTION("""COMPUTED_VALUE"""),"#N/A")</f>
        <v>#N/A</v>
      </c>
      <c r="Q3997" s="1"/>
      <c r="R3997" s="1"/>
      <c r="S3997" s="1"/>
      <c r="T3997" s="1"/>
      <c r="U3997" s="2">
        <f>IFERROR(__xludf.DUMMYFUNCTION("""COMPUTED_VALUE"""),0.0)</f>
        <v>0</v>
      </c>
      <c r="V3997" s="1" t="str">
        <f>IFERROR(__xludf.DUMMYFUNCTION("""COMPUTED_VALUE"""),"#N/A")</f>
        <v>#N/A</v>
      </c>
      <c r="W3997" s="1" t="str">
        <f>IFERROR(__xludf.DUMMYFUNCTION("""COMPUTED_VALUE"""),"#N/A")</f>
        <v>#N/A</v>
      </c>
    </row>
    <row r="3998">
      <c r="O3998" s="1" t="str">
        <f>IFERROR(__xludf.DUMMYFUNCTION("""COMPUTED_VALUE"""),"#VALUE!")</f>
        <v>#VALUE!</v>
      </c>
      <c r="P3998" s="1" t="str">
        <f>IFERROR(__xludf.DUMMYFUNCTION("""COMPUTED_VALUE"""),"#N/A")</f>
        <v>#N/A</v>
      </c>
      <c r="Q3998" s="1"/>
      <c r="R3998" s="1"/>
      <c r="S3998" s="1"/>
      <c r="T3998" s="1"/>
      <c r="U3998" s="2">
        <f>IFERROR(__xludf.DUMMYFUNCTION("""COMPUTED_VALUE"""),0.0)</f>
        <v>0</v>
      </c>
      <c r="V3998" s="1" t="str">
        <f>IFERROR(__xludf.DUMMYFUNCTION("""COMPUTED_VALUE"""),"#N/A")</f>
        <v>#N/A</v>
      </c>
      <c r="W3998" s="1" t="str">
        <f>IFERROR(__xludf.DUMMYFUNCTION("""COMPUTED_VALUE"""),"#N/A")</f>
        <v>#N/A</v>
      </c>
    </row>
    <row r="3999">
      <c r="O3999" s="1" t="str">
        <f>IFERROR(__xludf.DUMMYFUNCTION("""COMPUTED_VALUE"""),"#VALUE!")</f>
        <v>#VALUE!</v>
      </c>
      <c r="P3999" s="1" t="str">
        <f>IFERROR(__xludf.DUMMYFUNCTION("""COMPUTED_VALUE"""),"#N/A")</f>
        <v>#N/A</v>
      </c>
      <c r="Q3999" s="1"/>
      <c r="R3999" s="1"/>
      <c r="S3999" s="1"/>
      <c r="T3999" s="1"/>
      <c r="U3999" s="2">
        <f>IFERROR(__xludf.DUMMYFUNCTION("""COMPUTED_VALUE"""),0.0)</f>
        <v>0</v>
      </c>
      <c r="V3999" s="1" t="str">
        <f>IFERROR(__xludf.DUMMYFUNCTION("""COMPUTED_VALUE"""),"#N/A")</f>
        <v>#N/A</v>
      </c>
      <c r="W3999" s="1" t="str">
        <f>IFERROR(__xludf.DUMMYFUNCTION("""COMPUTED_VALUE"""),"#N/A")</f>
        <v>#N/A</v>
      </c>
    </row>
    <row r="4000">
      <c r="O4000" s="1" t="str">
        <f>IFERROR(__xludf.DUMMYFUNCTION("""COMPUTED_VALUE"""),"#VALUE!")</f>
        <v>#VALUE!</v>
      </c>
      <c r="P4000" s="1" t="str">
        <f>IFERROR(__xludf.DUMMYFUNCTION("""COMPUTED_VALUE"""),"#N/A")</f>
        <v>#N/A</v>
      </c>
      <c r="Q4000" s="1"/>
      <c r="R4000" s="1"/>
      <c r="S4000" s="1"/>
      <c r="T4000" s="1"/>
      <c r="U4000" s="2">
        <f>IFERROR(__xludf.DUMMYFUNCTION("""COMPUTED_VALUE"""),0.0)</f>
        <v>0</v>
      </c>
      <c r="V4000" s="1" t="str">
        <f>IFERROR(__xludf.DUMMYFUNCTION("""COMPUTED_VALUE"""),"#N/A")</f>
        <v>#N/A</v>
      </c>
      <c r="W4000" s="1" t="str">
        <f>IFERROR(__xludf.DUMMYFUNCTION("""COMPUTED_VALUE"""),"#N/A")</f>
        <v>#N/A</v>
      </c>
    </row>
    <row r="4001">
      <c r="O4001" s="1" t="str">
        <f>IFERROR(__xludf.DUMMYFUNCTION("""COMPUTED_VALUE"""),"#VALUE!")</f>
        <v>#VALUE!</v>
      </c>
      <c r="P4001" s="1" t="str">
        <f>IFERROR(__xludf.DUMMYFUNCTION("""COMPUTED_VALUE"""),"#N/A")</f>
        <v>#N/A</v>
      </c>
      <c r="Q4001" s="1"/>
      <c r="R4001" s="1"/>
      <c r="S4001" s="1"/>
      <c r="T4001" s="1"/>
      <c r="U4001" s="2">
        <f>IFERROR(__xludf.DUMMYFUNCTION("""COMPUTED_VALUE"""),0.0)</f>
        <v>0</v>
      </c>
      <c r="V4001" s="1" t="str">
        <f>IFERROR(__xludf.DUMMYFUNCTION("""COMPUTED_VALUE"""),"#N/A")</f>
        <v>#N/A</v>
      </c>
      <c r="W4001" s="1" t="str">
        <f>IFERROR(__xludf.DUMMYFUNCTION("""COMPUTED_VALUE"""),"#N/A")</f>
        <v>#N/A</v>
      </c>
    </row>
    <row r="4002">
      <c r="O4002" s="1" t="str">
        <f>IFERROR(__xludf.DUMMYFUNCTION("""COMPUTED_VALUE"""),"#VALUE!")</f>
        <v>#VALUE!</v>
      </c>
      <c r="P4002" s="1" t="str">
        <f>IFERROR(__xludf.DUMMYFUNCTION("""COMPUTED_VALUE"""),"#N/A")</f>
        <v>#N/A</v>
      </c>
      <c r="Q4002" s="1"/>
      <c r="R4002" s="1"/>
      <c r="S4002" s="1"/>
      <c r="T4002" s="1"/>
      <c r="U4002" s="2">
        <f>IFERROR(__xludf.DUMMYFUNCTION("""COMPUTED_VALUE"""),0.0)</f>
        <v>0</v>
      </c>
      <c r="V4002" s="1" t="str">
        <f>IFERROR(__xludf.DUMMYFUNCTION("""COMPUTED_VALUE"""),"#N/A")</f>
        <v>#N/A</v>
      </c>
      <c r="W4002" s="1" t="str">
        <f>IFERROR(__xludf.DUMMYFUNCTION("""COMPUTED_VALUE"""),"#N/A")</f>
        <v>#N/A</v>
      </c>
    </row>
    <row r="4003">
      <c r="O4003" s="1" t="str">
        <f>IFERROR(__xludf.DUMMYFUNCTION("""COMPUTED_VALUE"""),"#VALUE!")</f>
        <v>#VALUE!</v>
      </c>
      <c r="P4003" s="1" t="str">
        <f>IFERROR(__xludf.DUMMYFUNCTION("""COMPUTED_VALUE"""),"#N/A")</f>
        <v>#N/A</v>
      </c>
      <c r="Q4003" s="1"/>
      <c r="R4003" s="1"/>
      <c r="S4003" s="1"/>
      <c r="T4003" s="1"/>
      <c r="U4003" s="2">
        <f>IFERROR(__xludf.DUMMYFUNCTION("""COMPUTED_VALUE"""),0.0)</f>
        <v>0</v>
      </c>
      <c r="V4003" s="1" t="str">
        <f>IFERROR(__xludf.DUMMYFUNCTION("""COMPUTED_VALUE"""),"#N/A")</f>
        <v>#N/A</v>
      </c>
      <c r="W4003" s="1" t="str">
        <f>IFERROR(__xludf.DUMMYFUNCTION("""COMPUTED_VALUE"""),"#N/A")</f>
        <v>#N/A</v>
      </c>
    </row>
    <row r="4004">
      <c r="O4004" s="1" t="str">
        <f>IFERROR(__xludf.DUMMYFUNCTION("""COMPUTED_VALUE"""),"#VALUE!")</f>
        <v>#VALUE!</v>
      </c>
      <c r="P4004" s="1" t="str">
        <f>IFERROR(__xludf.DUMMYFUNCTION("""COMPUTED_VALUE"""),"#N/A")</f>
        <v>#N/A</v>
      </c>
      <c r="Q4004" s="1"/>
      <c r="R4004" s="1"/>
      <c r="S4004" s="1"/>
      <c r="T4004" s="1"/>
      <c r="U4004" s="2">
        <f>IFERROR(__xludf.DUMMYFUNCTION("""COMPUTED_VALUE"""),0.0)</f>
        <v>0</v>
      </c>
      <c r="V4004" s="1" t="str">
        <f>IFERROR(__xludf.DUMMYFUNCTION("""COMPUTED_VALUE"""),"#N/A")</f>
        <v>#N/A</v>
      </c>
      <c r="W4004" s="1" t="str">
        <f>IFERROR(__xludf.DUMMYFUNCTION("""COMPUTED_VALUE"""),"#N/A")</f>
        <v>#N/A</v>
      </c>
    </row>
    <row r="4005">
      <c r="O4005" s="1" t="str">
        <f>IFERROR(__xludf.DUMMYFUNCTION("""COMPUTED_VALUE"""),"#VALUE!")</f>
        <v>#VALUE!</v>
      </c>
      <c r="P4005" s="1" t="str">
        <f>IFERROR(__xludf.DUMMYFUNCTION("""COMPUTED_VALUE"""),"#N/A")</f>
        <v>#N/A</v>
      </c>
      <c r="Q4005" s="1"/>
      <c r="R4005" s="1"/>
      <c r="S4005" s="1"/>
      <c r="T4005" s="1"/>
      <c r="U4005" s="2">
        <f>IFERROR(__xludf.DUMMYFUNCTION("""COMPUTED_VALUE"""),0.0)</f>
        <v>0</v>
      </c>
      <c r="V4005" s="1" t="str">
        <f>IFERROR(__xludf.DUMMYFUNCTION("""COMPUTED_VALUE"""),"#N/A")</f>
        <v>#N/A</v>
      </c>
      <c r="W4005" s="1" t="str">
        <f>IFERROR(__xludf.DUMMYFUNCTION("""COMPUTED_VALUE"""),"#N/A")</f>
        <v>#N/A</v>
      </c>
    </row>
    <row r="4006">
      <c r="O4006" s="1" t="str">
        <f>IFERROR(__xludf.DUMMYFUNCTION("""COMPUTED_VALUE"""),"#VALUE!")</f>
        <v>#VALUE!</v>
      </c>
      <c r="P4006" s="1" t="str">
        <f>IFERROR(__xludf.DUMMYFUNCTION("""COMPUTED_VALUE"""),"#N/A")</f>
        <v>#N/A</v>
      </c>
      <c r="Q4006" s="1"/>
      <c r="R4006" s="1"/>
      <c r="S4006" s="1"/>
      <c r="T4006" s="1"/>
      <c r="U4006" s="2">
        <f>IFERROR(__xludf.DUMMYFUNCTION("""COMPUTED_VALUE"""),0.0)</f>
        <v>0</v>
      </c>
      <c r="V4006" s="1" t="str">
        <f>IFERROR(__xludf.DUMMYFUNCTION("""COMPUTED_VALUE"""),"#N/A")</f>
        <v>#N/A</v>
      </c>
      <c r="W4006" s="1" t="str">
        <f>IFERROR(__xludf.DUMMYFUNCTION("""COMPUTED_VALUE"""),"#N/A")</f>
        <v>#N/A</v>
      </c>
    </row>
    <row r="4007">
      <c r="O4007" s="1" t="str">
        <f>IFERROR(__xludf.DUMMYFUNCTION("""COMPUTED_VALUE"""),"#VALUE!")</f>
        <v>#VALUE!</v>
      </c>
      <c r="P4007" s="1" t="str">
        <f>IFERROR(__xludf.DUMMYFUNCTION("""COMPUTED_VALUE"""),"#N/A")</f>
        <v>#N/A</v>
      </c>
      <c r="Q4007" s="1"/>
      <c r="R4007" s="1"/>
      <c r="S4007" s="1"/>
      <c r="T4007" s="1"/>
      <c r="U4007" s="2">
        <f>IFERROR(__xludf.DUMMYFUNCTION("""COMPUTED_VALUE"""),0.0)</f>
        <v>0</v>
      </c>
      <c r="V4007" s="1" t="str">
        <f>IFERROR(__xludf.DUMMYFUNCTION("""COMPUTED_VALUE"""),"#N/A")</f>
        <v>#N/A</v>
      </c>
      <c r="W4007" s="1" t="str">
        <f>IFERROR(__xludf.DUMMYFUNCTION("""COMPUTED_VALUE"""),"#N/A")</f>
        <v>#N/A</v>
      </c>
    </row>
    <row r="4008">
      <c r="O4008" s="1" t="str">
        <f>IFERROR(__xludf.DUMMYFUNCTION("""COMPUTED_VALUE"""),"#VALUE!")</f>
        <v>#VALUE!</v>
      </c>
      <c r="P4008" s="1" t="str">
        <f>IFERROR(__xludf.DUMMYFUNCTION("""COMPUTED_VALUE"""),"#N/A")</f>
        <v>#N/A</v>
      </c>
      <c r="Q4008" s="1"/>
      <c r="R4008" s="1"/>
      <c r="S4008" s="1"/>
      <c r="T4008" s="1"/>
      <c r="U4008" s="2">
        <f>IFERROR(__xludf.DUMMYFUNCTION("""COMPUTED_VALUE"""),0.0)</f>
        <v>0</v>
      </c>
      <c r="V4008" s="1" t="str">
        <f>IFERROR(__xludf.DUMMYFUNCTION("""COMPUTED_VALUE"""),"#N/A")</f>
        <v>#N/A</v>
      </c>
      <c r="W4008" s="1" t="str">
        <f>IFERROR(__xludf.DUMMYFUNCTION("""COMPUTED_VALUE"""),"#N/A")</f>
        <v>#N/A</v>
      </c>
    </row>
    <row r="4009">
      <c r="O4009" s="1" t="str">
        <f>IFERROR(__xludf.DUMMYFUNCTION("""COMPUTED_VALUE"""),"#VALUE!")</f>
        <v>#VALUE!</v>
      </c>
      <c r="P4009" s="1" t="str">
        <f>IFERROR(__xludf.DUMMYFUNCTION("""COMPUTED_VALUE"""),"#N/A")</f>
        <v>#N/A</v>
      </c>
      <c r="Q4009" s="1"/>
      <c r="R4009" s="1"/>
      <c r="S4009" s="1"/>
      <c r="T4009" s="1"/>
      <c r="U4009" s="2">
        <f>IFERROR(__xludf.DUMMYFUNCTION("""COMPUTED_VALUE"""),0.0)</f>
        <v>0</v>
      </c>
      <c r="V4009" s="1" t="str">
        <f>IFERROR(__xludf.DUMMYFUNCTION("""COMPUTED_VALUE"""),"#N/A")</f>
        <v>#N/A</v>
      </c>
      <c r="W4009" s="1" t="str">
        <f>IFERROR(__xludf.DUMMYFUNCTION("""COMPUTED_VALUE"""),"#N/A")</f>
        <v>#N/A</v>
      </c>
    </row>
    <row r="4010">
      <c r="O4010" s="1" t="str">
        <f>IFERROR(__xludf.DUMMYFUNCTION("""COMPUTED_VALUE"""),"#VALUE!")</f>
        <v>#VALUE!</v>
      </c>
      <c r="P4010" s="1" t="str">
        <f>IFERROR(__xludf.DUMMYFUNCTION("""COMPUTED_VALUE"""),"#N/A")</f>
        <v>#N/A</v>
      </c>
      <c r="Q4010" s="1"/>
      <c r="R4010" s="1"/>
      <c r="S4010" s="1"/>
      <c r="T4010" s="1"/>
      <c r="U4010" s="2">
        <f>IFERROR(__xludf.DUMMYFUNCTION("""COMPUTED_VALUE"""),0.0)</f>
        <v>0</v>
      </c>
      <c r="V4010" s="1" t="str">
        <f>IFERROR(__xludf.DUMMYFUNCTION("""COMPUTED_VALUE"""),"#N/A")</f>
        <v>#N/A</v>
      </c>
      <c r="W4010" s="1" t="str">
        <f>IFERROR(__xludf.DUMMYFUNCTION("""COMPUTED_VALUE"""),"#N/A")</f>
        <v>#N/A</v>
      </c>
    </row>
    <row r="4011">
      <c r="O4011" s="1" t="str">
        <f>IFERROR(__xludf.DUMMYFUNCTION("""COMPUTED_VALUE"""),"#VALUE!")</f>
        <v>#VALUE!</v>
      </c>
      <c r="P4011" s="1" t="str">
        <f>IFERROR(__xludf.DUMMYFUNCTION("""COMPUTED_VALUE"""),"#N/A")</f>
        <v>#N/A</v>
      </c>
      <c r="Q4011" s="1"/>
      <c r="R4011" s="1"/>
      <c r="S4011" s="1"/>
      <c r="T4011" s="1"/>
      <c r="U4011" s="2">
        <f>IFERROR(__xludf.DUMMYFUNCTION("""COMPUTED_VALUE"""),0.0)</f>
        <v>0</v>
      </c>
      <c r="V4011" s="1" t="str">
        <f>IFERROR(__xludf.DUMMYFUNCTION("""COMPUTED_VALUE"""),"#N/A")</f>
        <v>#N/A</v>
      </c>
      <c r="W4011" s="1" t="str">
        <f>IFERROR(__xludf.DUMMYFUNCTION("""COMPUTED_VALUE"""),"#N/A")</f>
        <v>#N/A</v>
      </c>
    </row>
    <row r="4012">
      <c r="O4012" s="1" t="str">
        <f>IFERROR(__xludf.DUMMYFUNCTION("""COMPUTED_VALUE"""),"#VALUE!")</f>
        <v>#VALUE!</v>
      </c>
      <c r="P4012" s="1" t="str">
        <f>IFERROR(__xludf.DUMMYFUNCTION("""COMPUTED_VALUE"""),"#N/A")</f>
        <v>#N/A</v>
      </c>
      <c r="Q4012" s="1"/>
      <c r="R4012" s="1"/>
      <c r="S4012" s="1"/>
      <c r="T4012" s="1"/>
      <c r="U4012" s="2">
        <f>IFERROR(__xludf.DUMMYFUNCTION("""COMPUTED_VALUE"""),0.0)</f>
        <v>0</v>
      </c>
      <c r="V4012" s="1" t="str">
        <f>IFERROR(__xludf.DUMMYFUNCTION("""COMPUTED_VALUE"""),"#N/A")</f>
        <v>#N/A</v>
      </c>
      <c r="W4012" s="1" t="str">
        <f>IFERROR(__xludf.DUMMYFUNCTION("""COMPUTED_VALUE"""),"#N/A")</f>
        <v>#N/A</v>
      </c>
    </row>
    <row r="4013">
      <c r="O4013" s="1" t="str">
        <f>IFERROR(__xludf.DUMMYFUNCTION("""COMPUTED_VALUE"""),"#VALUE!")</f>
        <v>#VALUE!</v>
      </c>
      <c r="P4013" s="1" t="str">
        <f>IFERROR(__xludf.DUMMYFUNCTION("""COMPUTED_VALUE"""),"#N/A")</f>
        <v>#N/A</v>
      </c>
      <c r="Q4013" s="1"/>
      <c r="R4013" s="1"/>
      <c r="S4013" s="1"/>
      <c r="T4013" s="1"/>
      <c r="U4013" s="2">
        <f>IFERROR(__xludf.DUMMYFUNCTION("""COMPUTED_VALUE"""),0.0)</f>
        <v>0</v>
      </c>
      <c r="V4013" s="1" t="str">
        <f>IFERROR(__xludf.DUMMYFUNCTION("""COMPUTED_VALUE"""),"#N/A")</f>
        <v>#N/A</v>
      </c>
      <c r="W4013" s="1" t="str">
        <f>IFERROR(__xludf.DUMMYFUNCTION("""COMPUTED_VALUE"""),"#N/A")</f>
        <v>#N/A</v>
      </c>
    </row>
    <row r="4014">
      <c r="O4014" s="1" t="str">
        <f>IFERROR(__xludf.DUMMYFUNCTION("""COMPUTED_VALUE"""),"#VALUE!")</f>
        <v>#VALUE!</v>
      </c>
      <c r="P4014" s="1" t="str">
        <f>IFERROR(__xludf.DUMMYFUNCTION("""COMPUTED_VALUE"""),"#N/A")</f>
        <v>#N/A</v>
      </c>
      <c r="Q4014" s="1"/>
      <c r="R4014" s="1"/>
      <c r="S4014" s="1"/>
      <c r="T4014" s="1"/>
      <c r="U4014" s="2">
        <f>IFERROR(__xludf.DUMMYFUNCTION("""COMPUTED_VALUE"""),0.0)</f>
        <v>0</v>
      </c>
      <c r="V4014" s="1" t="str">
        <f>IFERROR(__xludf.DUMMYFUNCTION("""COMPUTED_VALUE"""),"#N/A")</f>
        <v>#N/A</v>
      </c>
      <c r="W4014" s="1" t="str">
        <f>IFERROR(__xludf.DUMMYFUNCTION("""COMPUTED_VALUE"""),"#N/A")</f>
        <v>#N/A</v>
      </c>
    </row>
    <row r="4015">
      <c r="O4015" s="1" t="str">
        <f>IFERROR(__xludf.DUMMYFUNCTION("""COMPUTED_VALUE"""),"#VALUE!")</f>
        <v>#VALUE!</v>
      </c>
      <c r="P4015" s="1" t="str">
        <f>IFERROR(__xludf.DUMMYFUNCTION("""COMPUTED_VALUE"""),"#N/A")</f>
        <v>#N/A</v>
      </c>
      <c r="Q4015" s="1"/>
      <c r="R4015" s="1"/>
      <c r="S4015" s="1"/>
      <c r="T4015" s="1"/>
      <c r="U4015" s="2">
        <f>IFERROR(__xludf.DUMMYFUNCTION("""COMPUTED_VALUE"""),0.0)</f>
        <v>0</v>
      </c>
      <c r="V4015" s="1" t="str">
        <f>IFERROR(__xludf.DUMMYFUNCTION("""COMPUTED_VALUE"""),"#N/A")</f>
        <v>#N/A</v>
      </c>
      <c r="W4015" s="1" t="str">
        <f>IFERROR(__xludf.DUMMYFUNCTION("""COMPUTED_VALUE"""),"#N/A")</f>
        <v>#N/A</v>
      </c>
    </row>
    <row r="4016">
      <c r="O4016" s="1" t="str">
        <f>IFERROR(__xludf.DUMMYFUNCTION("""COMPUTED_VALUE"""),"#VALUE!")</f>
        <v>#VALUE!</v>
      </c>
      <c r="P4016" s="1" t="str">
        <f>IFERROR(__xludf.DUMMYFUNCTION("""COMPUTED_VALUE"""),"#N/A")</f>
        <v>#N/A</v>
      </c>
      <c r="Q4016" s="1"/>
      <c r="R4016" s="1"/>
      <c r="S4016" s="1"/>
      <c r="T4016" s="1"/>
      <c r="U4016" s="2">
        <f>IFERROR(__xludf.DUMMYFUNCTION("""COMPUTED_VALUE"""),0.0)</f>
        <v>0</v>
      </c>
      <c r="V4016" s="1" t="str">
        <f>IFERROR(__xludf.DUMMYFUNCTION("""COMPUTED_VALUE"""),"#N/A")</f>
        <v>#N/A</v>
      </c>
      <c r="W4016" s="1" t="str">
        <f>IFERROR(__xludf.DUMMYFUNCTION("""COMPUTED_VALUE"""),"#N/A")</f>
        <v>#N/A</v>
      </c>
    </row>
    <row r="4017">
      <c r="O4017" s="1" t="str">
        <f>IFERROR(__xludf.DUMMYFUNCTION("""COMPUTED_VALUE"""),"#VALUE!")</f>
        <v>#VALUE!</v>
      </c>
      <c r="P4017" s="1" t="str">
        <f>IFERROR(__xludf.DUMMYFUNCTION("""COMPUTED_VALUE"""),"#N/A")</f>
        <v>#N/A</v>
      </c>
      <c r="Q4017" s="1"/>
      <c r="R4017" s="1"/>
      <c r="S4017" s="1"/>
      <c r="T4017" s="1"/>
      <c r="U4017" s="2">
        <f>IFERROR(__xludf.DUMMYFUNCTION("""COMPUTED_VALUE"""),0.0)</f>
        <v>0</v>
      </c>
      <c r="V4017" s="1" t="str">
        <f>IFERROR(__xludf.DUMMYFUNCTION("""COMPUTED_VALUE"""),"#N/A")</f>
        <v>#N/A</v>
      </c>
      <c r="W4017" s="1" t="str">
        <f>IFERROR(__xludf.DUMMYFUNCTION("""COMPUTED_VALUE"""),"#N/A")</f>
        <v>#N/A</v>
      </c>
    </row>
    <row r="4018">
      <c r="O4018" s="1" t="str">
        <f>IFERROR(__xludf.DUMMYFUNCTION("""COMPUTED_VALUE"""),"#VALUE!")</f>
        <v>#VALUE!</v>
      </c>
      <c r="P4018" s="1" t="str">
        <f>IFERROR(__xludf.DUMMYFUNCTION("""COMPUTED_VALUE"""),"#N/A")</f>
        <v>#N/A</v>
      </c>
      <c r="Q4018" s="1"/>
      <c r="R4018" s="1"/>
      <c r="S4018" s="1"/>
      <c r="T4018" s="1"/>
      <c r="U4018" s="2">
        <f>IFERROR(__xludf.DUMMYFUNCTION("""COMPUTED_VALUE"""),0.0)</f>
        <v>0</v>
      </c>
      <c r="V4018" s="1" t="str">
        <f>IFERROR(__xludf.DUMMYFUNCTION("""COMPUTED_VALUE"""),"#N/A")</f>
        <v>#N/A</v>
      </c>
      <c r="W4018" s="1" t="str">
        <f>IFERROR(__xludf.DUMMYFUNCTION("""COMPUTED_VALUE"""),"#N/A")</f>
        <v>#N/A</v>
      </c>
    </row>
    <row r="4019">
      <c r="O4019" s="1" t="str">
        <f>IFERROR(__xludf.DUMMYFUNCTION("""COMPUTED_VALUE"""),"#VALUE!")</f>
        <v>#VALUE!</v>
      </c>
      <c r="P4019" s="1" t="str">
        <f>IFERROR(__xludf.DUMMYFUNCTION("""COMPUTED_VALUE"""),"#N/A")</f>
        <v>#N/A</v>
      </c>
      <c r="Q4019" s="1"/>
      <c r="R4019" s="1"/>
      <c r="S4019" s="1"/>
      <c r="T4019" s="1"/>
      <c r="U4019" s="2">
        <f>IFERROR(__xludf.DUMMYFUNCTION("""COMPUTED_VALUE"""),0.0)</f>
        <v>0</v>
      </c>
      <c r="V4019" s="1" t="str">
        <f>IFERROR(__xludf.DUMMYFUNCTION("""COMPUTED_VALUE"""),"#N/A")</f>
        <v>#N/A</v>
      </c>
      <c r="W4019" s="1" t="str">
        <f>IFERROR(__xludf.DUMMYFUNCTION("""COMPUTED_VALUE"""),"#N/A")</f>
        <v>#N/A</v>
      </c>
    </row>
    <row r="4020">
      <c r="O4020" s="1" t="str">
        <f>IFERROR(__xludf.DUMMYFUNCTION("""COMPUTED_VALUE"""),"#VALUE!")</f>
        <v>#VALUE!</v>
      </c>
      <c r="P4020" s="1" t="str">
        <f>IFERROR(__xludf.DUMMYFUNCTION("""COMPUTED_VALUE"""),"#N/A")</f>
        <v>#N/A</v>
      </c>
      <c r="Q4020" s="1"/>
      <c r="R4020" s="1"/>
      <c r="S4020" s="1"/>
      <c r="T4020" s="1"/>
      <c r="U4020" s="2">
        <f>IFERROR(__xludf.DUMMYFUNCTION("""COMPUTED_VALUE"""),0.0)</f>
        <v>0</v>
      </c>
      <c r="V4020" s="1" t="str">
        <f>IFERROR(__xludf.DUMMYFUNCTION("""COMPUTED_VALUE"""),"#N/A")</f>
        <v>#N/A</v>
      </c>
      <c r="W4020" s="1" t="str">
        <f>IFERROR(__xludf.DUMMYFUNCTION("""COMPUTED_VALUE"""),"#N/A")</f>
        <v>#N/A</v>
      </c>
    </row>
    <row r="4021">
      <c r="O4021" s="1" t="str">
        <f>IFERROR(__xludf.DUMMYFUNCTION("""COMPUTED_VALUE"""),"#VALUE!")</f>
        <v>#VALUE!</v>
      </c>
      <c r="P4021" s="1" t="str">
        <f>IFERROR(__xludf.DUMMYFUNCTION("""COMPUTED_VALUE"""),"#N/A")</f>
        <v>#N/A</v>
      </c>
      <c r="Q4021" s="1"/>
      <c r="R4021" s="1"/>
      <c r="S4021" s="1"/>
      <c r="T4021" s="1"/>
      <c r="U4021" s="2">
        <f>IFERROR(__xludf.DUMMYFUNCTION("""COMPUTED_VALUE"""),0.0)</f>
        <v>0</v>
      </c>
      <c r="V4021" s="1" t="str">
        <f>IFERROR(__xludf.DUMMYFUNCTION("""COMPUTED_VALUE"""),"#N/A")</f>
        <v>#N/A</v>
      </c>
      <c r="W4021" s="1" t="str">
        <f>IFERROR(__xludf.DUMMYFUNCTION("""COMPUTED_VALUE"""),"#N/A")</f>
        <v>#N/A</v>
      </c>
    </row>
    <row r="4022">
      <c r="O4022" s="1" t="str">
        <f>IFERROR(__xludf.DUMMYFUNCTION("""COMPUTED_VALUE"""),"#VALUE!")</f>
        <v>#VALUE!</v>
      </c>
      <c r="P4022" s="1" t="str">
        <f>IFERROR(__xludf.DUMMYFUNCTION("""COMPUTED_VALUE"""),"#N/A")</f>
        <v>#N/A</v>
      </c>
      <c r="Q4022" s="1"/>
      <c r="R4022" s="1"/>
      <c r="S4022" s="1"/>
      <c r="T4022" s="1"/>
      <c r="U4022" s="2">
        <f>IFERROR(__xludf.DUMMYFUNCTION("""COMPUTED_VALUE"""),0.0)</f>
        <v>0</v>
      </c>
      <c r="V4022" s="1" t="str">
        <f>IFERROR(__xludf.DUMMYFUNCTION("""COMPUTED_VALUE"""),"#N/A")</f>
        <v>#N/A</v>
      </c>
      <c r="W4022" s="1" t="str">
        <f>IFERROR(__xludf.DUMMYFUNCTION("""COMPUTED_VALUE"""),"#N/A")</f>
        <v>#N/A</v>
      </c>
    </row>
    <row r="4023">
      <c r="O4023" s="1" t="str">
        <f>IFERROR(__xludf.DUMMYFUNCTION("""COMPUTED_VALUE"""),"#VALUE!")</f>
        <v>#VALUE!</v>
      </c>
      <c r="P4023" s="1" t="str">
        <f>IFERROR(__xludf.DUMMYFUNCTION("""COMPUTED_VALUE"""),"#N/A")</f>
        <v>#N/A</v>
      </c>
      <c r="Q4023" s="1"/>
      <c r="R4023" s="1"/>
      <c r="S4023" s="1"/>
      <c r="T4023" s="1"/>
      <c r="U4023" s="2">
        <f>IFERROR(__xludf.DUMMYFUNCTION("""COMPUTED_VALUE"""),0.0)</f>
        <v>0</v>
      </c>
      <c r="V4023" s="1" t="str">
        <f>IFERROR(__xludf.DUMMYFUNCTION("""COMPUTED_VALUE"""),"#N/A")</f>
        <v>#N/A</v>
      </c>
      <c r="W4023" s="1" t="str">
        <f>IFERROR(__xludf.DUMMYFUNCTION("""COMPUTED_VALUE"""),"#N/A")</f>
        <v>#N/A</v>
      </c>
    </row>
    <row r="4024">
      <c r="O4024" s="1" t="str">
        <f>IFERROR(__xludf.DUMMYFUNCTION("""COMPUTED_VALUE"""),"#VALUE!")</f>
        <v>#VALUE!</v>
      </c>
      <c r="P4024" s="1" t="str">
        <f>IFERROR(__xludf.DUMMYFUNCTION("""COMPUTED_VALUE"""),"#N/A")</f>
        <v>#N/A</v>
      </c>
      <c r="Q4024" s="1"/>
      <c r="R4024" s="1"/>
      <c r="S4024" s="1"/>
      <c r="T4024" s="1"/>
      <c r="U4024" s="2">
        <f>IFERROR(__xludf.DUMMYFUNCTION("""COMPUTED_VALUE"""),0.0)</f>
        <v>0</v>
      </c>
      <c r="V4024" s="1" t="str">
        <f>IFERROR(__xludf.DUMMYFUNCTION("""COMPUTED_VALUE"""),"#N/A")</f>
        <v>#N/A</v>
      </c>
      <c r="W4024" s="1" t="str">
        <f>IFERROR(__xludf.DUMMYFUNCTION("""COMPUTED_VALUE"""),"#N/A")</f>
        <v>#N/A</v>
      </c>
    </row>
    <row r="4025">
      <c r="O4025" s="1" t="str">
        <f>IFERROR(__xludf.DUMMYFUNCTION("""COMPUTED_VALUE"""),"#VALUE!")</f>
        <v>#VALUE!</v>
      </c>
      <c r="P4025" s="1" t="str">
        <f>IFERROR(__xludf.DUMMYFUNCTION("""COMPUTED_VALUE"""),"#N/A")</f>
        <v>#N/A</v>
      </c>
      <c r="Q4025" s="1"/>
      <c r="R4025" s="1"/>
      <c r="S4025" s="1"/>
      <c r="T4025" s="1"/>
      <c r="U4025" s="2">
        <f>IFERROR(__xludf.DUMMYFUNCTION("""COMPUTED_VALUE"""),0.0)</f>
        <v>0</v>
      </c>
      <c r="V4025" s="1" t="str">
        <f>IFERROR(__xludf.DUMMYFUNCTION("""COMPUTED_VALUE"""),"#N/A")</f>
        <v>#N/A</v>
      </c>
      <c r="W4025" s="1" t="str">
        <f>IFERROR(__xludf.DUMMYFUNCTION("""COMPUTED_VALUE"""),"#N/A")</f>
        <v>#N/A</v>
      </c>
    </row>
    <row r="4026">
      <c r="O4026" s="1" t="str">
        <f>IFERROR(__xludf.DUMMYFUNCTION("""COMPUTED_VALUE"""),"#VALUE!")</f>
        <v>#VALUE!</v>
      </c>
      <c r="P4026" s="1" t="str">
        <f>IFERROR(__xludf.DUMMYFUNCTION("""COMPUTED_VALUE"""),"#N/A")</f>
        <v>#N/A</v>
      </c>
      <c r="Q4026" s="1"/>
      <c r="R4026" s="1"/>
      <c r="S4026" s="1"/>
      <c r="T4026" s="1"/>
      <c r="U4026" s="2">
        <f>IFERROR(__xludf.DUMMYFUNCTION("""COMPUTED_VALUE"""),0.0)</f>
        <v>0</v>
      </c>
      <c r="V4026" s="1" t="str">
        <f>IFERROR(__xludf.DUMMYFUNCTION("""COMPUTED_VALUE"""),"#N/A")</f>
        <v>#N/A</v>
      </c>
      <c r="W4026" s="1" t="str">
        <f>IFERROR(__xludf.DUMMYFUNCTION("""COMPUTED_VALUE"""),"#N/A")</f>
        <v>#N/A</v>
      </c>
    </row>
    <row r="4027">
      <c r="O4027" s="1" t="str">
        <f>IFERROR(__xludf.DUMMYFUNCTION("""COMPUTED_VALUE"""),"#VALUE!")</f>
        <v>#VALUE!</v>
      </c>
      <c r="P4027" s="1" t="str">
        <f>IFERROR(__xludf.DUMMYFUNCTION("""COMPUTED_VALUE"""),"#N/A")</f>
        <v>#N/A</v>
      </c>
      <c r="Q4027" s="1"/>
      <c r="R4027" s="1"/>
      <c r="S4027" s="1"/>
      <c r="T4027" s="1"/>
      <c r="U4027" s="2">
        <f>IFERROR(__xludf.DUMMYFUNCTION("""COMPUTED_VALUE"""),0.0)</f>
        <v>0</v>
      </c>
      <c r="V4027" s="1" t="str">
        <f>IFERROR(__xludf.DUMMYFUNCTION("""COMPUTED_VALUE"""),"#N/A")</f>
        <v>#N/A</v>
      </c>
      <c r="W4027" s="1" t="str">
        <f>IFERROR(__xludf.DUMMYFUNCTION("""COMPUTED_VALUE"""),"#N/A")</f>
        <v>#N/A</v>
      </c>
    </row>
    <row r="4028">
      <c r="O4028" s="1" t="str">
        <f>IFERROR(__xludf.DUMMYFUNCTION("""COMPUTED_VALUE"""),"#VALUE!")</f>
        <v>#VALUE!</v>
      </c>
      <c r="P4028" s="1" t="str">
        <f>IFERROR(__xludf.DUMMYFUNCTION("""COMPUTED_VALUE"""),"#N/A")</f>
        <v>#N/A</v>
      </c>
      <c r="Q4028" s="1"/>
      <c r="R4028" s="1"/>
      <c r="S4028" s="1"/>
      <c r="T4028" s="1"/>
      <c r="U4028" s="2">
        <f>IFERROR(__xludf.DUMMYFUNCTION("""COMPUTED_VALUE"""),0.0)</f>
        <v>0</v>
      </c>
      <c r="V4028" s="1" t="str">
        <f>IFERROR(__xludf.DUMMYFUNCTION("""COMPUTED_VALUE"""),"#N/A")</f>
        <v>#N/A</v>
      </c>
      <c r="W4028" s="1" t="str">
        <f>IFERROR(__xludf.DUMMYFUNCTION("""COMPUTED_VALUE"""),"#N/A")</f>
        <v>#N/A</v>
      </c>
    </row>
    <row r="4029">
      <c r="O4029" s="1" t="str">
        <f>IFERROR(__xludf.DUMMYFUNCTION("""COMPUTED_VALUE"""),"#VALUE!")</f>
        <v>#VALUE!</v>
      </c>
      <c r="P4029" s="1" t="str">
        <f>IFERROR(__xludf.DUMMYFUNCTION("""COMPUTED_VALUE"""),"#N/A")</f>
        <v>#N/A</v>
      </c>
      <c r="Q4029" s="1"/>
      <c r="R4029" s="1"/>
      <c r="S4029" s="1"/>
      <c r="T4029" s="1"/>
      <c r="U4029" s="2">
        <f>IFERROR(__xludf.DUMMYFUNCTION("""COMPUTED_VALUE"""),0.0)</f>
        <v>0</v>
      </c>
      <c r="V4029" s="1" t="str">
        <f>IFERROR(__xludf.DUMMYFUNCTION("""COMPUTED_VALUE"""),"#N/A")</f>
        <v>#N/A</v>
      </c>
      <c r="W4029" s="1" t="str">
        <f>IFERROR(__xludf.DUMMYFUNCTION("""COMPUTED_VALUE"""),"#N/A")</f>
        <v>#N/A</v>
      </c>
    </row>
    <row r="4030">
      <c r="O4030" s="1" t="str">
        <f>IFERROR(__xludf.DUMMYFUNCTION("""COMPUTED_VALUE"""),"#VALUE!")</f>
        <v>#VALUE!</v>
      </c>
      <c r="P4030" s="1" t="str">
        <f>IFERROR(__xludf.DUMMYFUNCTION("""COMPUTED_VALUE"""),"#N/A")</f>
        <v>#N/A</v>
      </c>
      <c r="Q4030" s="1"/>
      <c r="R4030" s="1"/>
      <c r="S4030" s="1"/>
      <c r="T4030" s="1"/>
      <c r="U4030" s="2">
        <f>IFERROR(__xludf.DUMMYFUNCTION("""COMPUTED_VALUE"""),0.0)</f>
        <v>0</v>
      </c>
      <c r="V4030" s="1" t="str">
        <f>IFERROR(__xludf.DUMMYFUNCTION("""COMPUTED_VALUE"""),"#N/A")</f>
        <v>#N/A</v>
      </c>
      <c r="W4030" s="1" t="str">
        <f>IFERROR(__xludf.DUMMYFUNCTION("""COMPUTED_VALUE"""),"#N/A")</f>
        <v>#N/A</v>
      </c>
    </row>
    <row r="4031">
      <c r="O4031" s="1" t="str">
        <f>IFERROR(__xludf.DUMMYFUNCTION("""COMPUTED_VALUE"""),"#VALUE!")</f>
        <v>#VALUE!</v>
      </c>
      <c r="P4031" s="1" t="str">
        <f>IFERROR(__xludf.DUMMYFUNCTION("""COMPUTED_VALUE"""),"#N/A")</f>
        <v>#N/A</v>
      </c>
      <c r="Q4031" s="1"/>
      <c r="R4031" s="1"/>
      <c r="S4031" s="1"/>
      <c r="T4031" s="1"/>
      <c r="U4031" s="2">
        <f>IFERROR(__xludf.DUMMYFUNCTION("""COMPUTED_VALUE"""),0.0)</f>
        <v>0</v>
      </c>
      <c r="V4031" s="1" t="str">
        <f>IFERROR(__xludf.DUMMYFUNCTION("""COMPUTED_VALUE"""),"#N/A")</f>
        <v>#N/A</v>
      </c>
      <c r="W4031" s="1" t="str">
        <f>IFERROR(__xludf.DUMMYFUNCTION("""COMPUTED_VALUE"""),"#N/A")</f>
        <v>#N/A</v>
      </c>
    </row>
    <row r="4032">
      <c r="O4032" s="1" t="str">
        <f>IFERROR(__xludf.DUMMYFUNCTION("""COMPUTED_VALUE"""),"#VALUE!")</f>
        <v>#VALUE!</v>
      </c>
      <c r="P4032" s="1" t="str">
        <f>IFERROR(__xludf.DUMMYFUNCTION("""COMPUTED_VALUE"""),"#N/A")</f>
        <v>#N/A</v>
      </c>
      <c r="Q4032" s="1"/>
      <c r="R4032" s="1"/>
      <c r="S4032" s="1"/>
      <c r="T4032" s="1"/>
      <c r="U4032" s="2">
        <f>IFERROR(__xludf.DUMMYFUNCTION("""COMPUTED_VALUE"""),0.0)</f>
        <v>0</v>
      </c>
      <c r="V4032" s="1" t="str">
        <f>IFERROR(__xludf.DUMMYFUNCTION("""COMPUTED_VALUE"""),"#N/A")</f>
        <v>#N/A</v>
      </c>
      <c r="W4032" s="1" t="str">
        <f>IFERROR(__xludf.DUMMYFUNCTION("""COMPUTED_VALUE"""),"#N/A")</f>
        <v>#N/A</v>
      </c>
    </row>
    <row r="4033">
      <c r="O4033" s="1" t="str">
        <f>IFERROR(__xludf.DUMMYFUNCTION("""COMPUTED_VALUE"""),"#VALUE!")</f>
        <v>#VALUE!</v>
      </c>
      <c r="P4033" s="1" t="str">
        <f>IFERROR(__xludf.DUMMYFUNCTION("""COMPUTED_VALUE"""),"#N/A")</f>
        <v>#N/A</v>
      </c>
      <c r="Q4033" s="1"/>
      <c r="R4033" s="1"/>
      <c r="S4033" s="1"/>
      <c r="T4033" s="1"/>
      <c r="U4033" s="2">
        <f>IFERROR(__xludf.DUMMYFUNCTION("""COMPUTED_VALUE"""),0.0)</f>
        <v>0</v>
      </c>
      <c r="V4033" s="1" t="str">
        <f>IFERROR(__xludf.DUMMYFUNCTION("""COMPUTED_VALUE"""),"#N/A")</f>
        <v>#N/A</v>
      </c>
      <c r="W4033" s="1" t="str">
        <f>IFERROR(__xludf.DUMMYFUNCTION("""COMPUTED_VALUE"""),"#N/A")</f>
        <v>#N/A</v>
      </c>
    </row>
    <row r="4034">
      <c r="O4034" s="1" t="str">
        <f>IFERROR(__xludf.DUMMYFUNCTION("""COMPUTED_VALUE"""),"#VALUE!")</f>
        <v>#VALUE!</v>
      </c>
      <c r="P4034" s="1" t="str">
        <f>IFERROR(__xludf.DUMMYFUNCTION("""COMPUTED_VALUE"""),"#N/A")</f>
        <v>#N/A</v>
      </c>
      <c r="Q4034" s="1"/>
      <c r="R4034" s="1"/>
      <c r="S4034" s="1"/>
      <c r="T4034" s="1"/>
      <c r="U4034" s="2">
        <f>IFERROR(__xludf.DUMMYFUNCTION("""COMPUTED_VALUE"""),0.0)</f>
        <v>0</v>
      </c>
      <c r="V4034" s="1" t="str">
        <f>IFERROR(__xludf.DUMMYFUNCTION("""COMPUTED_VALUE"""),"#N/A")</f>
        <v>#N/A</v>
      </c>
      <c r="W4034" s="1" t="str">
        <f>IFERROR(__xludf.DUMMYFUNCTION("""COMPUTED_VALUE"""),"#N/A")</f>
        <v>#N/A</v>
      </c>
    </row>
    <row r="4035">
      <c r="O4035" s="1" t="str">
        <f>IFERROR(__xludf.DUMMYFUNCTION("""COMPUTED_VALUE"""),"#VALUE!")</f>
        <v>#VALUE!</v>
      </c>
      <c r="P4035" s="1" t="str">
        <f>IFERROR(__xludf.DUMMYFUNCTION("""COMPUTED_VALUE"""),"#N/A")</f>
        <v>#N/A</v>
      </c>
      <c r="Q4035" s="1"/>
      <c r="R4035" s="1"/>
      <c r="S4035" s="1"/>
      <c r="T4035" s="1"/>
      <c r="U4035" s="2">
        <f>IFERROR(__xludf.DUMMYFUNCTION("""COMPUTED_VALUE"""),0.0)</f>
        <v>0</v>
      </c>
      <c r="V4035" s="1" t="str">
        <f>IFERROR(__xludf.DUMMYFUNCTION("""COMPUTED_VALUE"""),"#N/A")</f>
        <v>#N/A</v>
      </c>
      <c r="W4035" s="1" t="str">
        <f>IFERROR(__xludf.DUMMYFUNCTION("""COMPUTED_VALUE"""),"#N/A")</f>
        <v>#N/A</v>
      </c>
    </row>
    <row r="4036">
      <c r="O4036" s="1" t="str">
        <f>IFERROR(__xludf.DUMMYFUNCTION("""COMPUTED_VALUE"""),"#VALUE!")</f>
        <v>#VALUE!</v>
      </c>
      <c r="P4036" s="1" t="str">
        <f>IFERROR(__xludf.DUMMYFUNCTION("""COMPUTED_VALUE"""),"#N/A")</f>
        <v>#N/A</v>
      </c>
      <c r="Q4036" s="1"/>
      <c r="R4036" s="1"/>
      <c r="S4036" s="1"/>
      <c r="T4036" s="1"/>
      <c r="U4036" s="2">
        <f>IFERROR(__xludf.DUMMYFUNCTION("""COMPUTED_VALUE"""),0.0)</f>
        <v>0</v>
      </c>
      <c r="V4036" s="1" t="str">
        <f>IFERROR(__xludf.DUMMYFUNCTION("""COMPUTED_VALUE"""),"#N/A")</f>
        <v>#N/A</v>
      </c>
      <c r="W4036" s="1" t="str">
        <f>IFERROR(__xludf.DUMMYFUNCTION("""COMPUTED_VALUE"""),"#N/A")</f>
        <v>#N/A</v>
      </c>
    </row>
    <row r="4037">
      <c r="O4037" s="1" t="str">
        <f>IFERROR(__xludf.DUMMYFUNCTION("""COMPUTED_VALUE"""),"#VALUE!")</f>
        <v>#VALUE!</v>
      </c>
      <c r="P4037" s="1" t="str">
        <f>IFERROR(__xludf.DUMMYFUNCTION("""COMPUTED_VALUE"""),"#N/A")</f>
        <v>#N/A</v>
      </c>
      <c r="Q4037" s="1"/>
      <c r="R4037" s="1"/>
      <c r="S4037" s="1"/>
      <c r="T4037" s="1"/>
      <c r="U4037" s="2">
        <f>IFERROR(__xludf.DUMMYFUNCTION("""COMPUTED_VALUE"""),0.0)</f>
        <v>0</v>
      </c>
      <c r="V4037" s="1" t="str">
        <f>IFERROR(__xludf.DUMMYFUNCTION("""COMPUTED_VALUE"""),"#N/A")</f>
        <v>#N/A</v>
      </c>
      <c r="W4037" s="1" t="str">
        <f>IFERROR(__xludf.DUMMYFUNCTION("""COMPUTED_VALUE"""),"#N/A")</f>
        <v>#N/A</v>
      </c>
    </row>
    <row r="4038">
      <c r="O4038" s="1" t="str">
        <f>IFERROR(__xludf.DUMMYFUNCTION("""COMPUTED_VALUE"""),"#VALUE!")</f>
        <v>#VALUE!</v>
      </c>
      <c r="P4038" s="1" t="str">
        <f>IFERROR(__xludf.DUMMYFUNCTION("""COMPUTED_VALUE"""),"#N/A")</f>
        <v>#N/A</v>
      </c>
      <c r="Q4038" s="1"/>
      <c r="R4038" s="1"/>
      <c r="S4038" s="1"/>
      <c r="T4038" s="1"/>
      <c r="U4038" s="2">
        <f>IFERROR(__xludf.DUMMYFUNCTION("""COMPUTED_VALUE"""),0.0)</f>
        <v>0</v>
      </c>
      <c r="V4038" s="1" t="str">
        <f>IFERROR(__xludf.DUMMYFUNCTION("""COMPUTED_VALUE"""),"#N/A")</f>
        <v>#N/A</v>
      </c>
      <c r="W4038" s="1" t="str">
        <f>IFERROR(__xludf.DUMMYFUNCTION("""COMPUTED_VALUE"""),"#N/A")</f>
        <v>#N/A</v>
      </c>
    </row>
    <row r="4039">
      <c r="O4039" s="1" t="str">
        <f>IFERROR(__xludf.DUMMYFUNCTION("""COMPUTED_VALUE"""),"#VALUE!")</f>
        <v>#VALUE!</v>
      </c>
      <c r="P4039" s="1" t="str">
        <f>IFERROR(__xludf.DUMMYFUNCTION("""COMPUTED_VALUE"""),"#N/A")</f>
        <v>#N/A</v>
      </c>
      <c r="Q4039" s="1"/>
      <c r="R4039" s="1"/>
      <c r="S4039" s="1"/>
      <c r="T4039" s="1"/>
      <c r="U4039" s="2">
        <f>IFERROR(__xludf.DUMMYFUNCTION("""COMPUTED_VALUE"""),0.0)</f>
        <v>0</v>
      </c>
      <c r="V4039" s="1" t="str">
        <f>IFERROR(__xludf.DUMMYFUNCTION("""COMPUTED_VALUE"""),"#N/A")</f>
        <v>#N/A</v>
      </c>
      <c r="W4039" s="1" t="str">
        <f>IFERROR(__xludf.DUMMYFUNCTION("""COMPUTED_VALUE"""),"#N/A")</f>
        <v>#N/A</v>
      </c>
    </row>
    <row r="4040">
      <c r="O4040" s="1" t="str">
        <f>IFERROR(__xludf.DUMMYFUNCTION("""COMPUTED_VALUE"""),"#VALUE!")</f>
        <v>#VALUE!</v>
      </c>
      <c r="P4040" s="1" t="str">
        <f>IFERROR(__xludf.DUMMYFUNCTION("""COMPUTED_VALUE"""),"#N/A")</f>
        <v>#N/A</v>
      </c>
      <c r="Q4040" s="1"/>
      <c r="R4040" s="1"/>
      <c r="S4040" s="1"/>
      <c r="T4040" s="1"/>
      <c r="U4040" s="2">
        <f>IFERROR(__xludf.DUMMYFUNCTION("""COMPUTED_VALUE"""),0.0)</f>
        <v>0</v>
      </c>
      <c r="V4040" s="1" t="str">
        <f>IFERROR(__xludf.DUMMYFUNCTION("""COMPUTED_VALUE"""),"#N/A")</f>
        <v>#N/A</v>
      </c>
      <c r="W4040" s="1" t="str">
        <f>IFERROR(__xludf.DUMMYFUNCTION("""COMPUTED_VALUE"""),"#N/A")</f>
        <v>#N/A</v>
      </c>
    </row>
    <row r="4041">
      <c r="O4041" s="1" t="str">
        <f>IFERROR(__xludf.DUMMYFUNCTION("""COMPUTED_VALUE"""),"#VALUE!")</f>
        <v>#VALUE!</v>
      </c>
      <c r="P4041" s="1" t="str">
        <f>IFERROR(__xludf.DUMMYFUNCTION("""COMPUTED_VALUE"""),"#N/A")</f>
        <v>#N/A</v>
      </c>
      <c r="Q4041" s="1"/>
      <c r="R4041" s="1"/>
      <c r="S4041" s="1"/>
      <c r="T4041" s="1"/>
      <c r="U4041" s="2">
        <f>IFERROR(__xludf.DUMMYFUNCTION("""COMPUTED_VALUE"""),0.0)</f>
        <v>0</v>
      </c>
      <c r="V4041" s="1" t="str">
        <f>IFERROR(__xludf.DUMMYFUNCTION("""COMPUTED_VALUE"""),"#N/A")</f>
        <v>#N/A</v>
      </c>
      <c r="W4041" s="1" t="str">
        <f>IFERROR(__xludf.DUMMYFUNCTION("""COMPUTED_VALUE"""),"#N/A")</f>
        <v>#N/A</v>
      </c>
    </row>
    <row r="4042">
      <c r="O4042" s="1" t="str">
        <f>IFERROR(__xludf.DUMMYFUNCTION("""COMPUTED_VALUE"""),"#VALUE!")</f>
        <v>#VALUE!</v>
      </c>
      <c r="P4042" s="1" t="str">
        <f>IFERROR(__xludf.DUMMYFUNCTION("""COMPUTED_VALUE"""),"#N/A")</f>
        <v>#N/A</v>
      </c>
      <c r="Q4042" s="1"/>
      <c r="R4042" s="1"/>
      <c r="S4042" s="1"/>
      <c r="T4042" s="1"/>
      <c r="U4042" s="2">
        <f>IFERROR(__xludf.DUMMYFUNCTION("""COMPUTED_VALUE"""),0.0)</f>
        <v>0</v>
      </c>
      <c r="V4042" s="1" t="str">
        <f>IFERROR(__xludf.DUMMYFUNCTION("""COMPUTED_VALUE"""),"#N/A")</f>
        <v>#N/A</v>
      </c>
      <c r="W4042" s="1" t="str">
        <f>IFERROR(__xludf.DUMMYFUNCTION("""COMPUTED_VALUE"""),"#N/A")</f>
        <v>#N/A</v>
      </c>
    </row>
    <row r="4043">
      <c r="O4043" s="1" t="str">
        <f>IFERROR(__xludf.DUMMYFUNCTION("""COMPUTED_VALUE"""),"#VALUE!")</f>
        <v>#VALUE!</v>
      </c>
      <c r="P4043" s="1" t="str">
        <f>IFERROR(__xludf.DUMMYFUNCTION("""COMPUTED_VALUE"""),"#N/A")</f>
        <v>#N/A</v>
      </c>
      <c r="Q4043" s="1"/>
      <c r="R4043" s="1"/>
      <c r="S4043" s="1"/>
      <c r="T4043" s="1"/>
      <c r="U4043" s="2">
        <f>IFERROR(__xludf.DUMMYFUNCTION("""COMPUTED_VALUE"""),0.0)</f>
        <v>0</v>
      </c>
      <c r="V4043" s="1" t="str">
        <f>IFERROR(__xludf.DUMMYFUNCTION("""COMPUTED_VALUE"""),"#N/A")</f>
        <v>#N/A</v>
      </c>
      <c r="W4043" s="1" t="str">
        <f>IFERROR(__xludf.DUMMYFUNCTION("""COMPUTED_VALUE"""),"#N/A")</f>
        <v>#N/A</v>
      </c>
    </row>
    <row r="4044">
      <c r="O4044" s="1" t="str">
        <f>IFERROR(__xludf.DUMMYFUNCTION("""COMPUTED_VALUE"""),"#VALUE!")</f>
        <v>#VALUE!</v>
      </c>
      <c r="P4044" s="1" t="str">
        <f>IFERROR(__xludf.DUMMYFUNCTION("""COMPUTED_VALUE"""),"#N/A")</f>
        <v>#N/A</v>
      </c>
      <c r="Q4044" s="1"/>
      <c r="R4044" s="1"/>
      <c r="S4044" s="1"/>
      <c r="T4044" s="1"/>
      <c r="U4044" s="2">
        <f>IFERROR(__xludf.DUMMYFUNCTION("""COMPUTED_VALUE"""),0.0)</f>
        <v>0</v>
      </c>
      <c r="V4044" s="1" t="str">
        <f>IFERROR(__xludf.DUMMYFUNCTION("""COMPUTED_VALUE"""),"#N/A")</f>
        <v>#N/A</v>
      </c>
      <c r="W4044" s="1" t="str">
        <f>IFERROR(__xludf.DUMMYFUNCTION("""COMPUTED_VALUE"""),"#N/A")</f>
        <v>#N/A</v>
      </c>
    </row>
    <row r="4045">
      <c r="O4045" s="1" t="str">
        <f>IFERROR(__xludf.DUMMYFUNCTION("""COMPUTED_VALUE"""),"#VALUE!")</f>
        <v>#VALUE!</v>
      </c>
      <c r="P4045" s="1" t="str">
        <f>IFERROR(__xludf.DUMMYFUNCTION("""COMPUTED_VALUE"""),"#N/A")</f>
        <v>#N/A</v>
      </c>
      <c r="Q4045" s="1"/>
      <c r="R4045" s="1"/>
      <c r="S4045" s="1"/>
      <c r="T4045" s="1"/>
      <c r="U4045" s="2">
        <f>IFERROR(__xludf.DUMMYFUNCTION("""COMPUTED_VALUE"""),0.0)</f>
        <v>0</v>
      </c>
      <c r="V4045" s="1" t="str">
        <f>IFERROR(__xludf.DUMMYFUNCTION("""COMPUTED_VALUE"""),"#N/A")</f>
        <v>#N/A</v>
      </c>
      <c r="W4045" s="1" t="str">
        <f>IFERROR(__xludf.DUMMYFUNCTION("""COMPUTED_VALUE"""),"#N/A")</f>
        <v>#N/A</v>
      </c>
    </row>
    <row r="4046">
      <c r="O4046" s="1" t="str">
        <f>IFERROR(__xludf.DUMMYFUNCTION("""COMPUTED_VALUE"""),"#VALUE!")</f>
        <v>#VALUE!</v>
      </c>
      <c r="P4046" s="1" t="str">
        <f>IFERROR(__xludf.DUMMYFUNCTION("""COMPUTED_VALUE"""),"#N/A")</f>
        <v>#N/A</v>
      </c>
      <c r="Q4046" s="1"/>
      <c r="R4046" s="1"/>
      <c r="S4046" s="1"/>
      <c r="T4046" s="1"/>
      <c r="U4046" s="2">
        <f>IFERROR(__xludf.DUMMYFUNCTION("""COMPUTED_VALUE"""),0.0)</f>
        <v>0</v>
      </c>
      <c r="V4046" s="1" t="str">
        <f>IFERROR(__xludf.DUMMYFUNCTION("""COMPUTED_VALUE"""),"#N/A")</f>
        <v>#N/A</v>
      </c>
      <c r="W4046" s="1" t="str">
        <f>IFERROR(__xludf.DUMMYFUNCTION("""COMPUTED_VALUE"""),"#N/A")</f>
        <v>#N/A</v>
      </c>
    </row>
    <row r="4047">
      <c r="O4047" s="1" t="str">
        <f>IFERROR(__xludf.DUMMYFUNCTION("""COMPUTED_VALUE"""),"#VALUE!")</f>
        <v>#VALUE!</v>
      </c>
      <c r="P4047" s="1" t="str">
        <f>IFERROR(__xludf.DUMMYFUNCTION("""COMPUTED_VALUE"""),"#N/A")</f>
        <v>#N/A</v>
      </c>
      <c r="Q4047" s="1"/>
      <c r="R4047" s="1"/>
      <c r="S4047" s="1"/>
      <c r="T4047" s="1"/>
      <c r="U4047" s="2">
        <f>IFERROR(__xludf.DUMMYFUNCTION("""COMPUTED_VALUE"""),0.0)</f>
        <v>0</v>
      </c>
      <c r="V4047" s="1" t="str">
        <f>IFERROR(__xludf.DUMMYFUNCTION("""COMPUTED_VALUE"""),"#N/A")</f>
        <v>#N/A</v>
      </c>
      <c r="W4047" s="1" t="str">
        <f>IFERROR(__xludf.DUMMYFUNCTION("""COMPUTED_VALUE"""),"#N/A")</f>
        <v>#N/A</v>
      </c>
    </row>
    <row r="4048">
      <c r="O4048" s="1" t="str">
        <f>IFERROR(__xludf.DUMMYFUNCTION("""COMPUTED_VALUE"""),"#VALUE!")</f>
        <v>#VALUE!</v>
      </c>
      <c r="P4048" s="1" t="str">
        <f>IFERROR(__xludf.DUMMYFUNCTION("""COMPUTED_VALUE"""),"#N/A")</f>
        <v>#N/A</v>
      </c>
      <c r="Q4048" s="1"/>
      <c r="R4048" s="1"/>
      <c r="S4048" s="1"/>
      <c r="T4048" s="1"/>
      <c r="U4048" s="2">
        <f>IFERROR(__xludf.DUMMYFUNCTION("""COMPUTED_VALUE"""),0.0)</f>
        <v>0</v>
      </c>
      <c r="V4048" s="1" t="str">
        <f>IFERROR(__xludf.DUMMYFUNCTION("""COMPUTED_VALUE"""),"#N/A")</f>
        <v>#N/A</v>
      </c>
      <c r="W4048" s="1" t="str">
        <f>IFERROR(__xludf.DUMMYFUNCTION("""COMPUTED_VALUE"""),"#N/A")</f>
        <v>#N/A</v>
      </c>
    </row>
    <row r="4049">
      <c r="O4049" s="1" t="str">
        <f>IFERROR(__xludf.DUMMYFUNCTION("""COMPUTED_VALUE"""),"#VALUE!")</f>
        <v>#VALUE!</v>
      </c>
      <c r="P4049" s="1" t="str">
        <f>IFERROR(__xludf.DUMMYFUNCTION("""COMPUTED_VALUE"""),"#N/A")</f>
        <v>#N/A</v>
      </c>
      <c r="Q4049" s="1"/>
      <c r="R4049" s="1"/>
      <c r="S4049" s="1"/>
      <c r="T4049" s="1"/>
      <c r="U4049" s="2">
        <f>IFERROR(__xludf.DUMMYFUNCTION("""COMPUTED_VALUE"""),0.0)</f>
        <v>0</v>
      </c>
      <c r="V4049" s="1" t="str">
        <f>IFERROR(__xludf.DUMMYFUNCTION("""COMPUTED_VALUE"""),"#N/A")</f>
        <v>#N/A</v>
      </c>
      <c r="W4049" s="1" t="str">
        <f>IFERROR(__xludf.DUMMYFUNCTION("""COMPUTED_VALUE"""),"#N/A")</f>
        <v>#N/A</v>
      </c>
    </row>
    <row r="4050">
      <c r="O4050" s="1" t="str">
        <f>IFERROR(__xludf.DUMMYFUNCTION("""COMPUTED_VALUE"""),"#VALUE!")</f>
        <v>#VALUE!</v>
      </c>
      <c r="P4050" s="1" t="str">
        <f>IFERROR(__xludf.DUMMYFUNCTION("""COMPUTED_VALUE"""),"#N/A")</f>
        <v>#N/A</v>
      </c>
      <c r="Q4050" s="1"/>
      <c r="R4050" s="1"/>
      <c r="S4050" s="1"/>
      <c r="T4050" s="1"/>
      <c r="U4050" s="2">
        <f>IFERROR(__xludf.DUMMYFUNCTION("""COMPUTED_VALUE"""),0.0)</f>
        <v>0</v>
      </c>
      <c r="V4050" s="1" t="str">
        <f>IFERROR(__xludf.DUMMYFUNCTION("""COMPUTED_VALUE"""),"#N/A")</f>
        <v>#N/A</v>
      </c>
      <c r="W4050" s="1" t="str">
        <f>IFERROR(__xludf.DUMMYFUNCTION("""COMPUTED_VALUE"""),"#N/A")</f>
        <v>#N/A</v>
      </c>
    </row>
    <row r="4051">
      <c r="O4051" s="1" t="str">
        <f>IFERROR(__xludf.DUMMYFUNCTION("""COMPUTED_VALUE"""),"#VALUE!")</f>
        <v>#VALUE!</v>
      </c>
      <c r="P4051" s="1" t="str">
        <f>IFERROR(__xludf.DUMMYFUNCTION("""COMPUTED_VALUE"""),"#N/A")</f>
        <v>#N/A</v>
      </c>
      <c r="Q4051" s="1"/>
      <c r="R4051" s="1"/>
      <c r="S4051" s="1"/>
      <c r="T4051" s="1"/>
      <c r="U4051" s="2">
        <f>IFERROR(__xludf.DUMMYFUNCTION("""COMPUTED_VALUE"""),0.0)</f>
        <v>0</v>
      </c>
      <c r="V4051" s="1" t="str">
        <f>IFERROR(__xludf.DUMMYFUNCTION("""COMPUTED_VALUE"""),"#N/A")</f>
        <v>#N/A</v>
      </c>
      <c r="W4051" s="1" t="str">
        <f>IFERROR(__xludf.DUMMYFUNCTION("""COMPUTED_VALUE"""),"#N/A")</f>
        <v>#N/A</v>
      </c>
    </row>
    <row r="4052">
      <c r="O4052" s="1" t="str">
        <f>IFERROR(__xludf.DUMMYFUNCTION("""COMPUTED_VALUE"""),"#VALUE!")</f>
        <v>#VALUE!</v>
      </c>
      <c r="P4052" s="1" t="str">
        <f>IFERROR(__xludf.DUMMYFUNCTION("""COMPUTED_VALUE"""),"#N/A")</f>
        <v>#N/A</v>
      </c>
      <c r="Q4052" s="1"/>
      <c r="R4052" s="1"/>
      <c r="S4052" s="1"/>
      <c r="T4052" s="1"/>
      <c r="U4052" s="2">
        <f>IFERROR(__xludf.DUMMYFUNCTION("""COMPUTED_VALUE"""),0.0)</f>
        <v>0</v>
      </c>
      <c r="V4052" s="1" t="str">
        <f>IFERROR(__xludf.DUMMYFUNCTION("""COMPUTED_VALUE"""),"#N/A")</f>
        <v>#N/A</v>
      </c>
      <c r="W4052" s="1" t="str">
        <f>IFERROR(__xludf.DUMMYFUNCTION("""COMPUTED_VALUE"""),"#N/A")</f>
        <v>#N/A</v>
      </c>
    </row>
    <row r="4053">
      <c r="O4053" s="1" t="str">
        <f>IFERROR(__xludf.DUMMYFUNCTION("""COMPUTED_VALUE"""),"#VALUE!")</f>
        <v>#VALUE!</v>
      </c>
      <c r="P4053" s="1" t="str">
        <f>IFERROR(__xludf.DUMMYFUNCTION("""COMPUTED_VALUE"""),"#N/A")</f>
        <v>#N/A</v>
      </c>
      <c r="Q4053" s="1"/>
      <c r="R4053" s="1"/>
      <c r="S4053" s="1"/>
      <c r="T4053" s="1"/>
      <c r="U4053" s="2">
        <f>IFERROR(__xludf.DUMMYFUNCTION("""COMPUTED_VALUE"""),0.0)</f>
        <v>0</v>
      </c>
      <c r="V4053" s="1" t="str">
        <f>IFERROR(__xludf.DUMMYFUNCTION("""COMPUTED_VALUE"""),"#N/A")</f>
        <v>#N/A</v>
      </c>
      <c r="W4053" s="1" t="str">
        <f>IFERROR(__xludf.DUMMYFUNCTION("""COMPUTED_VALUE"""),"#N/A")</f>
        <v>#N/A</v>
      </c>
    </row>
    <row r="4054">
      <c r="O4054" s="1" t="str">
        <f>IFERROR(__xludf.DUMMYFUNCTION("""COMPUTED_VALUE"""),"#VALUE!")</f>
        <v>#VALUE!</v>
      </c>
      <c r="P4054" s="1" t="str">
        <f>IFERROR(__xludf.DUMMYFUNCTION("""COMPUTED_VALUE"""),"#N/A")</f>
        <v>#N/A</v>
      </c>
      <c r="Q4054" s="1"/>
      <c r="R4054" s="1"/>
      <c r="S4054" s="1"/>
      <c r="T4054" s="1"/>
      <c r="U4054" s="2">
        <f>IFERROR(__xludf.DUMMYFUNCTION("""COMPUTED_VALUE"""),0.0)</f>
        <v>0</v>
      </c>
      <c r="V4054" s="1" t="str">
        <f>IFERROR(__xludf.DUMMYFUNCTION("""COMPUTED_VALUE"""),"#N/A")</f>
        <v>#N/A</v>
      </c>
      <c r="W4054" s="1" t="str">
        <f>IFERROR(__xludf.DUMMYFUNCTION("""COMPUTED_VALUE"""),"#N/A")</f>
        <v>#N/A</v>
      </c>
    </row>
    <row r="4055">
      <c r="O4055" s="1" t="str">
        <f>IFERROR(__xludf.DUMMYFUNCTION("""COMPUTED_VALUE"""),"#VALUE!")</f>
        <v>#VALUE!</v>
      </c>
      <c r="P4055" s="1" t="str">
        <f>IFERROR(__xludf.DUMMYFUNCTION("""COMPUTED_VALUE"""),"#N/A")</f>
        <v>#N/A</v>
      </c>
      <c r="Q4055" s="1"/>
      <c r="R4055" s="1"/>
      <c r="S4055" s="1"/>
      <c r="T4055" s="1"/>
      <c r="U4055" s="2">
        <f>IFERROR(__xludf.DUMMYFUNCTION("""COMPUTED_VALUE"""),0.0)</f>
        <v>0</v>
      </c>
      <c r="V4055" s="1" t="str">
        <f>IFERROR(__xludf.DUMMYFUNCTION("""COMPUTED_VALUE"""),"#N/A")</f>
        <v>#N/A</v>
      </c>
      <c r="W4055" s="1" t="str">
        <f>IFERROR(__xludf.DUMMYFUNCTION("""COMPUTED_VALUE"""),"#N/A")</f>
        <v>#N/A</v>
      </c>
    </row>
    <row r="4056">
      <c r="O4056" s="1" t="str">
        <f>IFERROR(__xludf.DUMMYFUNCTION("""COMPUTED_VALUE"""),"#VALUE!")</f>
        <v>#VALUE!</v>
      </c>
      <c r="P4056" s="1" t="str">
        <f>IFERROR(__xludf.DUMMYFUNCTION("""COMPUTED_VALUE"""),"#N/A")</f>
        <v>#N/A</v>
      </c>
      <c r="Q4056" s="1"/>
      <c r="R4056" s="1"/>
      <c r="S4056" s="1"/>
      <c r="T4056" s="1"/>
      <c r="U4056" s="2">
        <f>IFERROR(__xludf.DUMMYFUNCTION("""COMPUTED_VALUE"""),0.0)</f>
        <v>0</v>
      </c>
      <c r="V4056" s="1" t="str">
        <f>IFERROR(__xludf.DUMMYFUNCTION("""COMPUTED_VALUE"""),"#N/A")</f>
        <v>#N/A</v>
      </c>
      <c r="W4056" s="1" t="str">
        <f>IFERROR(__xludf.DUMMYFUNCTION("""COMPUTED_VALUE"""),"#N/A")</f>
        <v>#N/A</v>
      </c>
    </row>
    <row r="4057">
      <c r="O4057" s="1" t="str">
        <f>IFERROR(__xludf.DUMMYFUNCTION("""COMPUTED_VALUE"""),"#VALUE!")</f>
        <v>#VALUE!</v>
      </c>
      <c r="P4057" s="1" t="str">
        <f>IFERROR(__xludf.DUMMYFUNCTION("""COMPUTED_VALUE"""),"#N/A")</f>
        <v>#N/A</v>
      </c>
      <c r="Q4057" s="1"/>
      <c r="R4057" s="1"/>
      <c r="S4057" s="1"/>
      <c r="T4057" s="1"/>
      <c r="U4057" s="2">
        <f>IFERROR(__xludf.DUMMYFUNCTION("""COMPUTED_VALUE"""),0.0)</f>
        <v>0</v>
      </c>
      <c r="V4057" s="1" t="str">
        <f>IFERROR(__xludf.DUMMYFUNCTION("""COMPUTED_VALUE"""),"#N/A")</f>
        <v>#N/A</v>
      </c>
      <c r="W4057" s="1" t="str">
        <f>IFERROR(__xludf.DUMMYFUNCTION("""COMPUTED_VALUE"""),"#N/A")</f>
        <v>#N/A</v>
      </c>
    </row>
    <row r="4058">
      <c r="O4058" s="1" t="str">
        <f>IFERROR(__xludf.DUMMYFUNCTION("""COMPUTED_VALUE"""),"#VALUE!")</f>
        <v>#VALUE!</v>
      </c>
      <c r="P4058" s="1" t="str">
        <f>IFERROR(__xludf.DUMMYFUNCTION("""COMPUTED_VALUE"""),"#N/A")</f>
        <v>#N/A</v>
      </c>
      <c r="Q4058" s="1"/>
      <c r="R4058" s="1"/>
      <c r="S4058" s="1"/>
      <c r="T4058" s="1"/>
      <c r="U4058" s="2">
        <f>IFERROR(__xludf.DUMMYFUNCTION("""COMPUTED_VALUE"""),0.0)</f>
        <v>0</v>
      </c>
      <c r="V4058" s="1" t="str">
        <f>IFERROR(__xludf.DUMMYFUNCTION("""COMPUTED_VALUE"""),"#N/A")</f>
        <v>#N/A</v>
      </c>
      <c r="W4058" s="1" t="str">
        <f>IFERROR(__xludf.DUMMYFUNCTION("""COMPUTED_VALUE"""),"#N/A")</f>
        <v>#N/A</v>
      </c>
    </row>
    <row r="4059">
      <c r="O4059" s="1" t="str">
        <f>IFERROR(__xludf.DUMMYFUNCTION("""COMPUTED_VALUE"""),"#VALUE!")</f>
        <v>#VALUE!</v>
      </c>
      <c r="P4059" s="1" t="str">
        <f>IFERROR(__xludf.DUMMYFUNCTION("""COMPUTED_VALUE"""),"#N/A")</f>
        <v>#N/A</v>
      </c>
      <c r="Q4059" s="1"/>
      <c r="R4059" s="1"/>
      <c r="S4059" s="1"/>
      <c r="T4059" s="1"/>
      <c r="U4059" s="2">
        <f>IFERROR(__xludf.DUMMYFUNCTION("""COMPUTED_VALUE"""),0.0)</f>
        <v>0</v>
      </c>
      <c r="V4059" s="1" t="str">
        <f>IFERROR(__xludf.DUMMYFUNCTION("""COMPUTED_VALUE"""),"#N/A")</f>
        <v>#N/A</v>
      </c>
      <c r="W4059" s="1" t="str">
        <f>IFERROR(__xludf.DUMMYFUNCTION("""COMPUTED_VALUE"""),"#N/A")</f>
        <v>#N/A</v>
      </c>
    </row>
    <row r="4060">
      <c r="O4060" s="1" t="str">
        <f>IFERROR(__xludf.DUMMYFUNCTION("""COMPUTED_VALUE"""),"#VALUE!")</f>
        <v>#VALUE!</v>
      </c>
      <c r="P4060" s="1" t="str">
        <f>IFERROR(__xludf.DUMMYFUNCTION("""COMPUTED_VALUE"""),"#N/A")</f>
        <v>#N/A</v>
      </c>
      <c r="Q4060" s="1"/>
      <c r="R4060" s="1"/>
      <c r="S4060" s="1"/>
      <c r="T4060" s="1"/>
      <c r="U4060" s="2">
        <f>IFERROR(__xludf.DUMMYFUNCTION("""COMPUTED_VALUE"""),0.0)</f>
        <v>0</v>
      </c>
      <c r="V4060" s="1" t="str">
        <f>IFERROR(__xludf.DUMMYFUNCTION("""COMPUTED_VALUE"""),"#N/A")</f>
        <v>#N/A</v>
      </c>
      <c r="W4060" s="1" t="str">
        <f>IFERROR(__xludf.DUMMYFUNCTION("""COMPUTED_VALUE"""),"#N/A")</f>
        <v>#N/A</v>
      </c>
    </row>
    <row r="4061">
      <c r="O4061" s="1" t="str">
        <f>IFERROR(__xludf.DUMMYFUNCTION("""COMPUTED_VALUE"""),"#VALUE!")</f>
        <v>#VALUE!</v>
      </c>
      <c r="P4061" s="1" t="str">
        <f>IFERROR(__xludf.DUMMYFUNCTION("""COMPUTED_VALUE"""),"#N/A")</f>
        <v>#N/A</v>
      </c>
      <c r="Q4061" s="1"/>
      <c r="R4061" s="1"/>
      <c r="S4061" s="1"/>
      <c r="T4061" s="1"/>
      <c r="U4061" s="2">
        <f>IFERROR(__xludf.DUMMYFUNCTION("""COMPUTED_VALUE"""),0.0)</f>
        <v>0</v>
      </c>
      <c r="V4061" s="1" t="str">
        <f>IFERROR(__xludf.DUMMYFUNCTION("""COMPUTED_VALUE"""),"#N/A")</f>
        <v>#N/A</v>
      </c>
      <c r="W4061" s="1" t="str">
        <f>IFERROR(__xludf.DUMMYFUNCTION("""COMPUTED_VALUE"""),"#N/A")</f>
        <v>#N/A</v>
      </c>
    </row>
    <row r="4062">
      <c r="O4062" s="1" t="str">
        <f>IFERROR(__xludf.DUMMYFUNCTION("""COMPUTED_VALUE"""),"#VALUE!")</f>
        <v>#VALUE!</v>
      </c>
      <c r="P4062" s="1" t="str">
        <f>IFERROR(__xludf.DUMMYFUNCTION("""COMPUTED_VALUE"""),"#N/A")</f>
        <v>#N/A</v>
      </c>
      <c r="Q4062" s="1"/>
      <c r="R4062" s="1"/>
      <c r="S4062" s="1"/>
      <c r="T4062" s="1"/>
      <c r="U4062" s="2">
        <f>IFERROR(__xludf.DUMMYFUNCTION("""COMPUTED_VALUE"""),0.0)</f>
        <v>0</v>
      </c>
      <c r="V4062" s="1" t="str">
        <f>IFERROR(__xludf.DUMMYFUNCTION("""COMPUTED_VALUE"""),"#N/A")</f>
        <v>#N/A</v>
      </c>
      <c r="W4062" s="1" t="str">
        <f>IFERROR(__xludf.DUMMYFUNCTION("""COMPUTED_VALUE"""),"#N/A")</f>
        <v>#N/A</v>
      </c>
    </row>
    <row r="4063">
      <c r="O4063" s="1" t="str">
        <f>IFERROR(__xludf.DUMMYFUNCTION("""COMPUTED_VALUE"""),"#VALUE!")</f>
        <v>#VALUE!</v>
      </c>
      <c r="P4063" s="1" t="str">
        <f>IFERROR(__xludf.DUMMYFUNCTION("""COMPUTED_VALUE"""),"#N/A")</f>
        <v>#N/A</v>
      </c>
      <c r="Q4063" s="1"/>
      <c r="R4063" s="1"/>
      <c r="S4063" s="1"/>
      <c r="T4063" s="1"/>
      <c r="U4063" s="2">
        <f>IFERROR(__xludf.DUMMYFUNCTION("""COMPUTED_VALUE"""),0.0)</f>
        <v>0</v>
      </c>
      <c r="V4063" s="1" t="str">
        <f>IFERROR(__xludf.DUMMYFUNCTION("""COMPUTED_VALUE"""),"#N/A")</f>
        <v>#N/A</v>
      </c>
      <c r="W4063" s="1" t="str">
        <f>IFERROR(__xludf.DUMMYFUNCTION("""COMPUTED_VALUE"""),"#N/A")</f>
        <v>#N/A</v>
      </c>
    </row>
    <row r="4064">
      <c r="O4064" s="1" t="str">
        <f>IFERROR(__xludf.DUMMYFUNCTION("""COMPUTED_VALUE"""),"#VALUE!")</f>
        <v>#VALUE!</v>
      </c>
      <c r="P4064" s="1" t="str">
        <f>IFERROR(__xludf.DUMMYFUNCTION("""COMPUTED_VALUE"""),"#N/A")</f>
        <v>#N/A</v>
      </c>
      <c r="Q4064" s="1"/>
      <c r="R4064" s="1"/>
      <c r="S4064" s="1"/>
      <c r="T4064" s="1"/>
      <c r="U4064" s="2">
        <f>IFERROR(__xludf.DUMMYFUNCTION("""COMPUTED_VALUE"""),0.0)</f>
        <v>0</v>
      </c>
      <c r="V4064" s="1" t="str">
        <f>IFERROR(__xludf.DUMMYFUNCTION("""COMPUTED_VALUE"""),"#N/A")</f>
        <v>#N/A</v>
      </c>
      <c r="W4064" s="1" t="str">
        <f>IFERROR(__xludf.DUMMYFUNCTION("""COMPUTED_VALUE"""),"#N/A")</f>
        <v>#N/A</v>
      </c>
    </row>
    <row r="4065">
      <c r="O4065" s="1" t="str">
        <f>IFERROR(__xludf.DUMMYFUNCTION("""COMPUTED_VALUE"""),"#VALUE!")</f>
        <v>#VALUE!</v>
      </c>
      <c r="P4065" s="1" t="str">
        <f>IFERROR(__xludf.DUMMYFUNCTION("""COMPUTED_VALUE"""),"#N/A")</f>
        <v>#N/A</v>
      </c>
      <c r="Q4065" s="1"/>
      <c r="R4065" s="1"/>
      <c r="S4065" s="1"/>
      <c r="T4065" s="1"/>
      <c r="U4065" s="2">
        <f>IFERROR(__xludf.DUMMYFUNCTION("""COMPUTED_VALUE"""),0.0)</f>
        <v>0</v>
      </c>
      <c r="V4065" s="1" t="str">
        <f>IFERROR(__xludf.DUMMYFUNCTION("""COMPUTED_VALUE"""),"#N/A")</f>
        <v>#N/A</v>
      </c>
      <c r="W4065" s="1" t="str">
        <f>IFERROR(__xludf.DUMMYFUNCTION("""COMPUTED_VALUE"""),"#N/A")</f>
        <v>#N/A</v>
      </c>
    </row>
    <row r="4066">
      <c r="O4066" s="1" t="str">
        <f>IFERROR(__xludf.DUMMYFUNCTION("""COMPUTED_VALUE"""),"#VALUE!")</f>
        <v>#VALUE!</v>
      </c>
      <c r="P4066" s="1" t="str">
        <f>IFERROR(__xludf.DUMMYFUNCTION("""COMPUTED_VALUE"""),"#N/A")</f>
        <v>#N/A</v>
      </c>
      <c r="Q4066" s="1"/>
      <c r="R4066" s="1"/>
      <c r="S4066" s="1"/>
      <c r="T4066" s="1"/>
      <c r="U4066" s="2">
        <f>IFERROR(__xludf.DUMMYFUNCTION("""COMPUTED_VALUE"""),0.0)</f>
        <v>0</v>
      </c>
      <c r="V4066" s="1" t="str">
        <f>IFERROR(__xludf.DUMMYFUNCTION("""COMPUTED_VALUE"""),"#N/A")</f>
        <v>#N/A</v>
      </c>
      <c r="W4066" s="1" t="str">
        <f>IFERROR(__xludf.DUMMYFUNCTION("""COMPUTED_VALUE"""),"#N/A")</f>
        <v>#N/A</v>
      </c>
    </row>
    <row r="4067">
      <c r="O4067" s="1" t="str">
        <f>IFERROR(__xludf.DUMMYFUNCTION("""COMPUTED_VALUE"""),"#VALUE!")</f>
        <v>#VALUE!</v>
      </c>
      <c r="P4067" s="1" t="str">
        <f>IFERROR(__xludf.DUMMYFUNCTION("""COMPUTED_VALUE"""),"#N/A")</f>
        <v>#N/A</v>
      </c>
      <c r="Q4067" s="1"/>
      <c r="R4067" s="1"/>
      <c r="S4067" s="1"/>
      <c r="T4067" s="1"/>
      <c r="U4067" s="2">
        <f>IFERROR(__xludf.DUMMYFUNCTION("""COMPUTED_VALUE"""),0.0)</f>
        <v>0</v>
      </c>
      <c r="V4067" s="1" t="str">
        <f>IFERROR(__xludf.DUMMYFUNCTION("""COMPUTED_VALUE"""),"#N/A")</f>
        <v>#N/A</v>
      </c>
      <c r="W4067" s="1" t="str">
        <f>IFERROR(__xludf.DUMMYFUNCTION("""COMPUTED_VALUE"""),"#N/A")</f>
        <v>#N/A</v>
      </c>
    </row>
    <row r="4068">
      <c r="O4068" s="1" t="str">
        <f>IFERROR(__xludf.DUMMYFUNCTION("""COMPUTED_VALUE"""),"#VALUE!")</f>
        <v>#VALUE!</v>
      </c>
      <c r="P4068" s="1" t="str">
        <f>IFERROR(__xludf.DUMMYFUNCTION("""COMPUTED_VALUE"""),"#N/A")</f>
        <v>#N/A</v>
      </c>
      <c r="Q4068" s="1"/>
      <c r="R4068" s="1"/>
      <c r="S4068" s="1"/>
      <c r="T4068" s="1"/>
      <c r="U4068" s="2">
        <f>IFERROR(__xludf.DUMMYFUNCTION("""COMPUTED_VALUE"""),0.0)</f>
        <v>0</v>
      </c>
      <c r="V4068" s="1" t="str">
        <f>IFERROR(__xludf.DUMMYFUNCTION("""COMPUTED_VALUE"""),"#N/A")</f>
        <v>#N/A</v>
      </c>
      <c r="W4068" s="1" t="str">
        <f>IFERROR(__xludf.DUMMYFUNCTION("""COMPUTED_VALUE"""),"#N/A")</f>
        <v>#N/A</v>
      </c>
    </row>
    <row r="4069">
      <c r="O4069" s="1" t="str">
        <f>IFERROR(__xludf.DUMMYFUNCTION("""COMPUTED_VALUE"""),"#VALUE!")</f>
        <v>#VALUE!</v>
      </c>
      <c r="P4069" s="1" t="str">
        <f>IFERROR(__xludf.DUMMYFUNCTION("""COMPUTED_VALUE"""),"#N/A")</f>
        <v>#N/A</v>
      </c>
      <c r="Q4069" s="1"/>
      <c r="R4069" s="1"/>
      <c r="S4069" s="1"/>
      <c r="T4069" s="1"/>
      <c r="U4069" s="2">
        <f>IFERROR(__xludf.DUMMYFUNCTION("""COMPUTED_VALUE"""),0.0)</f>
        <v>0</v>
      </c>
      <c r="V4069" s="1" t="str">
        <f>IFERROR(__xludf.DUMMYFUNCTION("""COMPUTED_VALUE"""),"#N/A")</f>
        <v>#N/A</v>
      </c>
      <c r="W4069" s="1" t="str">
        <f>IFERROR(__xludf.DUMMYFUNCTION("""COMPUTED_VALUE"""),"#N/A")</f>
        <v>#N/A</v>
      </c>
    </row>
    <row r="4070">
      <c r="O4070" s="1" t="str">
        <f>IFERROR(__xludf.DUMMYFUNCTION("""COMPUTED_VALUE"""),"#VALUE!")</f>
        <v>#VALUE!</v>
      </c>
      <c r="P4070" s="1" t="str">
        <f>IFERROR(__xludf.DUMMYFUNCTION("""COMPUTED_VALUE"""),"#N/A")</f>
        <v>#N/A</v>
      </c>
      <c r="Q4070" s="1"/>
      <c r="R4070" s="1"/>
      <c r="S4070" s="1"/>
      <c r="T4070" s="1"/>
      <c r="U4070" s="2">
        <f>IFERROR(__xludf.DUMMYFUNCTION("""COMPUTED_VALUE"""),0.0)</f>
        <v>0</v>
      </c>
      <c r="V4070" s="1" t="str">
        <f>IFERROR(__xludf.DUMMYFUNCTION("""COMPUTED_VALUE"""),"#N/A")</f>
        <v>#N/A</v>
      </c>
      <c r="W4070" s="1" t="str">
        <f>IFERROR(__xludf.DUMMYFUNCTION("""COMPUTED_VALUE"""),"#N/A")</f>
        <v>#N/A</v>
      </c>
    </row>
    <row r="4071">
      <c r="O4071" s="1" t="str">
        <f>IFERROR(__xludf.DUMMYFUNCTION("""COMPUTED_VALUE"""),"#VALUE!")</f>
        <v>#VALUE!</v>
      </c>
      <c r="P4071" s="1" t="str">
        <f>IFERROR(__xludf.DUMMYFUNCTION("""COMPUTED_VALUE"""),"#N/A")</f>
        <v>#N/A</v>
      </c>
      <c r="Q4071" s="1"/>
      <c r="R4071" s="1"/>
      <c r="S4071" s="1"/>
      <c r="T4071" s="1"/>
      <c r="U4071" s="2">
        <f>IFERROR(__xludf.DUMMYFUNCTION("""COMPUTED_VALUE"""),0.0)</f>
        <v>0</v>
      </c>
      <c r="V4071" s="1" t="str">
        <f>IFERROR(__xludf.DUMMYFUNCTION("""COMPUTED_VALUE"""),"#N/A")</f>
        <v>#N/A</v>
      </c>
      <c r="W4071" s="1" t="str">
        <f>IFERROR(__xludf.DUMMYFUNCTION("""COMPUTED_VALUE"""),"#N/A")</f>
        <v>#N/A</v>
      </c>
    </row>
    <row r="4072">
      <c r="O4072" s="1" t="str">
        <f>IFERROR(__xludf.DUMMYFUNCTION("""COMPUTED_VALUE"""),"#VALUE!")</f>
        <v>#VALUE!</v>
      </c>
      <c r="P4072" s="1" t="str">
        <f>IFERROR(__xludf.DUMMYFUNCTION("""COMPUTED_VALUE"""),"#N/A")</f>
        <v>#N/A</v>
      </c>
      <c r="Q4072" s="1"/>
      <c r="R4072" s="1"/>
      <c r="S4072" s="1"/>
      <c r="T4072" s="1"/>
      <c r="U4072" s="2">
        <f>IFERROR(__xludf.DUMMYFUNCTION("""COMPUTED_VALUE"""),0.0)</f>
        <v>0</v>
      </c>
      <c r="V4072" s="1" t="str">
        <f>IFERROR(__xludf.DUMMYFUNCTION("""COMPUTED_VALUE"""),"#N/A")</f>
        <v>#N/A</v>
      </c>
      <c r="W4072" s="1" t="str">
        <f>IFERROR(__xludf.DUMMYFUNCTION("""COMPUTED_VALUE"""),"#N/A")</f>
        <v>#N/A</v>
      </c>
    </row>
    <row r="4073">
      <c r="O4073" s="1" t="str">
        <f>IFERROR(__xludf.DUMMYFUNCTION("""COMPUTED_VALUE"""),"#VALUE!")</f>
        <v>#VALUE!</v>
      </c>
      <c r="P4073" s="1" t="str">
        <f>IFERROR(__xludf.DUMMYFUNCTION("""COMPUTED_VALUE"""),"#N/A")</f>
        <v>#N/A</v>
      </c>
      <c r="Q4073" s="1"/>
      <c r="R4073" s="1"/>
      <c r="S4073" s="1"/>
      <c r="T4073" s="1"/>
      <c r="U4073" s="2">
        <f>IFERROR(__xludf.DUMMYFUNCTION("""COMPUTED_VALUE"""),0.0)</f>
        <v>0</v>
      </c>
      <c r="V4073" s="1" t="str">
        <f>IFERROR(__xludf.DUMMYFUNCTION("""COMPUTED_VALUE"""),"#N/A")</f>
        <v>#N/A</v>
      </c>
      <c r="W4073" s="1" t="str">
        <f>IFERROR(__xludf.DUMMYFUNCTION("""COMPUTED_VALUE"""),"#N/A")</f>
        <v>#N/A</v>
      </c>
    </row>
    <row r="4074">
      <c r="O4074" s="1" t="str">
        <f>IFERROR(__xludf.DUMMYFUNCTION("""COMPUTED_VALUE"""),"#VALUE!")</f>
        <v>#VALUE!</v>
      </c>
      <c r="P4074" s="1" t="str">
        <f>IFERROR(__xludf.DUMMYFUNCTION("""COMPUTED_VALUE"""),"#N/A")</f>
        <v>#N/A</v>
      </c>
      <c r="Q4074" s="1"/>
      <c r="R4074" s="1"/>
      <c r="S4074" s="1"/>
      <c r="T4074" s="1"/>
      <c r="U4074" s="2">
        <f>IFERROR(__xludf.DUMMYFUNCTION("""COMPUTED_VALUE"""),0.0)</f>
        <v>0</v>
      </c>
      <c r="V4074" s="1" t="str">
        <f>IFERROR(__xludf.DUMMYFUNCTION("""COMPUTED_VALUE"""),"#N/A")</f>
        <v>#N/A</v>
      </c>
      <c r="W4074" s="1" t="str">
        <f>IFERROR(__xludf.DUMMYFUNCTION("""COMPUTED_VALUE"""),"#N/A")</f>
        <v>#N/A</v>
      </c>
    </row>
    <row r="4075">
      <c r="O4075" s="1" t="str">
        <f>IFERROR(__xludf.DUMMYFUNCTION("""COMPUTED_VALUE"""),"#VALUE!")</f>
        <v>#VALUE!</v>
      </c>
      <c r="P4075" s="1" t="str">
        <f>IFERROR(__xludf.DUMMYFUNCTION("""COMPUTED_VALUE"""),"#N/A")</f>
        <v>#N/A</v>
      </c>
      <c r="Q4075" s="1"/>
      <c r="R4075" s="1"/>
      <c r="S4075" s="1"/>
      <c r="T4075" s="1"/>
      <c r="U4075" s="2">
        <f>IFERROR(__xludf.DUMMYFUNCTION("""COMPUTED_VALUE"""),0.0)</f>
        <v>0</v>
      </c>
      <c r="V4075" s="1" t="str">
        <f>IFERROR(__xludf.DUMMYFUNCTION("""COMPUTED_VALUE"""),"#N/A")</f>
        <v>#N/A</v>
      </c>
      <c r="W4075" s="1" t="str">
        <f>IFERROR(__xludf.DUMMYFUNCTION("""COMPUTED_VALUE"""),"#N/A")</f>
        <v>#N/A</v>
      </c>
    </row>
    <row r="4076">
      <c r="O4076" s="1" t="str">
        <f>IFERROR(__xludf.DUMMYFUNCTION("""COMPUTED_VALUE"""),"#VALUE!")</f>
        <v>#VALUE!</v>
      </c>
      <c r="P4076" s="1" t="str">
        <f>IFERROR(__xludf.DUMMYFUNCTION("""COMPUTED_VALUE"""),"#N/A")</f>
        <v>#N/A</v>
      </c>
      <c r="Q4076" s="1"/>
      <c r="R4076" s="1"/>
      <c r="S4076" s="1"/>
      <c r="T4076" s="1"/>
      <c r="U4076" s="2">
        <f>IFERROR(__xludf.DUMMYFUNCTION("""COMPUTED_VALUE"""),0.0)</f>
        <v>0</v>
      </c>
      <c r="V4076" s="1" t="str">
        <f>IFERROR(__xludf.DUMMYFUNCTION("""COMPUTED_VALUE"""),"#N/A")</f>
        <v>#N/A</v>
      </c>
      <c r="W4076" s="1" t="str">
        <f>IFERROR(__xludf.DUMMYFUNCTION("""COMPUTED_VALUE"""),"#N/A")</f>
        <v>#N/A</v>
      </c>
    </row>
    <row r="4077">
      <c r="O4077" s="1" t="str">
        <f>IFERROR(__xludf.DUMMYFUNCTION("""COMPUTED_VALUE"""),"#VALUE!")</f>
        <v>#VALUE!</v>
      </c>
      <c r="P4077" s="1" t="str">
        <f>IFERROR(__xludf.DUMMYFUNCTION("""COMPUTED_VALUE"""),"#N/A")</f>
        <v>#N/A</v>
      </c>
      <c r="Q4077" s="1"/>
      <c r="R4077" s="1"/>
      <c r="S4077" s="1"/>
      <c r="T4077" s="1"/>
      <c r="U4077" s="2">
        <f>IFERROR(__xludf.DUMMYFUNCTION("""COMPUTED_VALUE"""),0.0)</f>
        <v>0</v>
      </c>
      <c r="V4077" s="1" t="str">
        <f>IFERROR(__xludf.DUMMYFUNCTION("""COMPUTED_VALUE"""),"#N/A")</f>
        <v>#N/A</v>
      </c>
      <c r="W4077" s="1" t="str">
        <f>IFERROR(__xludf.DUMMYFUNCTION("""COMPUTED_VALUE"""),"#N/A")</f>
        <v>#N/A</v>
      </c>
    </row>
    <row r="4078">
      <c r="O4078" s="1" t="str">
        <f>IFERROR(__xludf.DUMMYFUNCTION("""COMPUTED_VALUE"""),"#VALUE!")</f>
        <v>#VALUE!</v>
      </c>
      <c r="P4078" s="1" t="str">
        <f>IFERROR(__xludf.DUMMYFUNCTION("""COMPUTED_VALUE"""),"#N/A")</f>
        <v>#N/A</v>
      </c>
      <c r="Q4078" s="1"/>
      <c r="R4078" s="1"/>
      <c r="S4078" s="1"/>
      <c r="T4078" s="1"/>
      <c r="U4078" s="2">
        <f>IFERROR(__xludf.DUMMYFUNCTION("""COMPUTED_VALUE"""),0.0)</f>
        <v>0</v>
      </c>
      <c r="V4078" s="1" t="str">
        <f>IFERROR(__xludf.DUMMYFUNCTION("""COMPUTED_VALUE"""),"#N/A")</f>
        <v>#N/A</v>
      </c>
      <c r="W4078" s="1" t="str">
        <f>IFERROR(__xludf.DUMMYFUNCTION("""COMPUTED_VALUE"""),"#N/A")</f>
        <v>#N/A</v>
      </c>
    </row>
    <row r="4079">
      <c r="O4079" s="1" t="str">
        <f>IFERROR(__xludf.DUMMYFUNCTION("""COMPUTED_VALUE"""),"#VALUE!")</f>
        <v>#VALUE!</v>
      </c>
      <c r="P4079" s="1" t="str">
        <f>IFERROR(__xludf.DUMMYFUNCTION("""COMPUTED_VALUE"""),"#N/A")</f>
        <v>#N/A</v>
      </c>
      <c r="Q4079" s="1"/>
      <c r="R4079" s="1"/>
      <c r="S4079" s="1"/>
      <c r="T4079" s="1"/>
      <c r="U4079" s="2">
        <f>IFERROR(__xludf.DUMMYFUNCTION("""COMPUTED_VALUE"""),0.0)</f>
        <v>0</v>
      </c>
      <c r="V4079" s="1" t="str">
        <f>IFERROR(__xludf.DUMMYFUNCTION("""COMPUTED_VALUE"""),"#N/A")</f>
        <v>#N/A</v>
      </c>
      <c r="W4079" s="1" t="str">
        <f>IFERROR(__xludf.DUMMYFUNCTION("""COMPUTED_VALUE"""),"#N/A")</f>
        <v>#N/A</v>
      </c>
    </row>
    <row r="4080">
      <c r="O4080" s="1" t="str">
        <f>IFERROR(__xludf.DUMMYFUNCTION("""COMPUTED_VALUE"""),"#VALUE!")</f>
        <v>#VALUE!</v>
      </c>
      <c r="P4080" s="1" t="str">
        <f>IFERROR(__xludf.DUMMYFUNCTION("""COMPUTED_VALUE"""),"#N/A")</f>
        <v>#N/A</v>
      </c>
      <c r="Q4080" s="1"/>
      <c r="R4080" s="1"/>
      <c r="S4080" s="1"/>
      <c r="T4080" s="1"/>
      <c r="U4080" s="2">
        <f>IFERROR(__xludf.DUMMYFUNCTION("""COMPUTED_VALUE"""),0.0)</f>
        <v>0</v>
      </c>
      <c r="V4080" s="1" t="str">
        <f>IFERROR(__xludf.DUMMYFUNCTION("""COMPUTED_VALUE"""),"#N/A")</f>
        <v>#N/A</v>
      </c>
      <c r="W4080" s="1" t="str">
        <f>IFERROR(__xludf.DUMMYFUNCTION("""COMPUTED_VALUE"""),"#N/A")</f>
        <v>#N/A</v>
      </c>
    </row>
    <row r="4081">
      <c r="O4081" s="1" t="str">
        <f>IFERROR(__xludf.DUMMYFUNCTION("""COMPUTED_VALUE"""),"#VALUE!")</f>
        <v>#VALUE!</v>
      </c>
      <c r="P4081" s="1" t="str">
        <f>IFERROR(__xludf.DUMMYFUNCTION("""COMPUTED_VALUE"""),"#N/A")</f>
        <v>#N/A</v>
      </c>
      <c r="Q4081" s="1"/>
      <c r="R4081" s="1"/>
      <c r="S4081" s="1"/>
      <c r="T4081" s="1"/>
      <c r="U4081" s="2">
        <f>IFERROR(__xludf.DUMMYFUNCTION("""COMPUTED_VALUE"""),0.0)</f>
        <v>0</v>
      </c>
      <c r="V4081" s="1" t="str">
        <f>IFERROR(__xludf.DUMMYFUNCTION("""COMPUTED_VALUE"""),"#N/A")</f>
        <v>#N/A</v>
      </c>
      <c r="W4081" s="1" t="str">
        <f>IFERROR(__xludf.DUMMYFUNCTION("""COMPUTED_VALUE"""),"#N/A")</f>
        <v>#N/A</v>
      </c>
    </row>
    <row r="4082">
      <c r="O4082" s="1" t="str">
        <f>IFERROR(__xludf.DUMMYFUNCTION("""COMPUTED_VALUE"""),"#VALUE!")</f>
        <v>#VALUE!</v>
      </c>
      <c r="P4082" s="1" t="str">
        <f>IFERROR(__xludf.DUMMYFUNCTION("""COMPUTED_VALUE"""),"#N/A")</f>
        <v>#N/A</v>
      </c>
      <c r="Q4082" s="1"/>
      <c r="R4082" s="1"/>
      <c r="S4082" s="1"/>
      <c r="T4082" s="1"/>
      <c r="U4082" s="2">
        <f>IFERROR(__xludf.DUMMYFUNCTION("""COMPUTED_VALUE"""),0.0)</f>
        <v>0</v>
      </c>
      <c r="V4082" s="1" t="str">
        <f>IFERROR(__xludf.DUMMYFUNCTION("""COMPUTED_VALUE"""),"#N/A")</f>
        <v>#N/A</v>
      </c>
      <c r="W4082" s="1" t="str">
        <f>IFERROR(__xludf.DUMMYFUNCTION("""COMPUTED_VALUE"""),"#N/A")</f>
        <v>#N/A</v>
      </c>
    </row>
    <row r="4083">
      <c r="O4083" s="1" t="str">
        <f>IFERROR(__xludf.DUMMYFUNCTION("""COMPUTED_VALUE"""),"#VALUE!")</f>
        <v>#VALUE!</v>
      </c>
      <c r="P4083" s="1" t="str">
        <f>IFERROR(__xludf.DUMMYFUNCTION("""COMPUTED_VALUE"""),"#N/A")</f>
        <v>#N/A</v>
      </c>
      <c r="Q4083" s="1"/>
      <c r="R4083" s="1"/>
      <c r="S4083" s="1"/>
      <c r="T4083" s="1"/>
      <c r="U4083" s="2">
        <f>IFERROR(__xludf.DUMMYFUNCTION("""COMPUTED_VALUE"""),0.0)</f>
        <v>0</v>
      </c>
      <c r="V4083" s="1" t="str">
        <f>IFERROR(__xludf.DUMMYFUNCTION("""COMPUTED_VALUE"""),"#N/A")</f>
        <v>#N/A</v>
      </c>
      <c r="W4083" s="1" t="str">
        <f>IFERROR(__xludf.DUMMYFUNCTION("""COMPUTED_VALUE"""),"#N/A")</f>
        <v>#N/A</v>
      </c>
    </row>
    <row r="4084">
      <c r="O4084" s="1" t="str">
        <f>IFERROR(__xludf.DUMMYFUNCTION("""COMPUTED_VALUE"""),"#VALUE!")</f>
        <v>#VALUE!</v>
      </c>
      <c r="P4084" s="1" t="str">
        <f>IFERROR(__xludf.DUMMYFUNCTION("""COMPUTED_VALUE"""),"#N/A")</f>
        <v>#N/A</v>
      </c>
      <c r="Q4084" s="1"/>
      <c r="R4084" s="1"/>
      <c r="S4084" s="1"/>
      <c r="T4084" s="1"/>
      <c r="U4084" s="2">
        <f>IFERROR(__xludf.DUMMYFUNCTION("""COMPUTED_VALUE"""),0.0)</f>
        <v>0</v>
      </c>
      <c r="V4084" s="1" t="str">
        <f>IFERROR(__xludf.DUMMYFUNCTION("""COMPUTED_VALUE"""),"#N/A")</f>
        <v>#N/A</v>
      </c>
      <c r="W4084" s="1" t="str">
        <f>IFERROR(__xludf.DUMMYFUNCTION("""COMPUTED_VALUE"""),"#N/A")</f>
        <v>#N/A</v>
      </c>
    </row>
    <row r="4085">
      <c r="O4085" s="1" t="str">
        <f>IFERROR(__xludf.DUMMYFUNCTION("""COMPUTED_VALUE"""),"#VALUE!")</f>
        <v>#VALUE!</v>
      </c>
      <c r="P4085" s="1" t="str">
        <f>IFERROR(__xludf.DUMMYFUNCTION("""COMPUTED_VALUE"""),"#N/A")</f>
        <v>#N/A</v>
      </c>
      <c r="Q4085" s="1"/>
      <c r="R4085" s="1"/>
      <c r="S4085" s="1"/>
      <c r="T4085" s="1"/>
      <c r="U4085" s="2">
        <f>IFERROR(__xludf.DUMMYFUNCTION("""COMPUTED_VALUE"""),0.0)</f>
        <v>0</v>
      </c>
      <c r="V4085" s="1" t="str">
        <f>IFERROR(__xludf.DUMMYFUNCTION("""COMPUTED_VALUE"""),"#N/A")</f>
        <v>#N/A</v>
      </c>
      <c r="W4085" s="1" t="str">
        <f>IFERROR(__xludf.DUMMYFUNCTION("""COMPUTED_VALUE"""),"#N/A")</f>
        <v>#N/A</v>
      </c>
    </row>
    <row r="4086">
      <c r="O4086" s="1" t="str">
        <f>IFERROR(__xludf.DUMMYFUNCTION("""COMPUTED_VALUE"""),"#VALUE!")</f>
        <v>#VALUE!</v>
      </c>
      <c r="P4086" s="1" t="str">
        <f>IFERROR(__xludf.DUMMYFUNCTION("""COMPUTED_VALUE"""),"#N/A")</f>
        <v>#N/A</v>
      </c>
      <c r="Q4086" s="1"/>
      <c r="R4086" s="1"/>
      <c r="S4086" s="1"/>
      <c r="T4086" s="1"/>
      <c r="U4086" s="2">
        <f>IFERROR(__xludf.DUMMYFUNCTION("""COMPUTED_VALUE"""),0.0)</f>
        <v>0</v>
      </c>
      <c r="V4086" s="1" t="str">
        <f>IFERROR(__xludf.DUMMYFUNCTION("""COMPUTED_VALUE"""),"#N/A")</f>
        <v>#N/A</v>
      </c>
      <c r="W4086" s="1" t="str">
        <f>IFERROR(__xludf.DUMMYFUNCTION("""COMPUTED_VALUE"""),"#N/A")</f>
        <v>#N/A</v>
      </c>
    </row>
    <row r="4087">
      <c r="O4087" s="1" t="str">
        <f>IFERROR(__xludf.DUMMYFUNCTION("""COMPUTED_VALUE"""),"#VALUE!")</f>
        <v>#VALUE!</v>
      </c>
      <c r="P4087" s="1" t="str">
        <f>IFERROR(__xludf.DUMMYFUNCTION("""COMPUTED_VALUE"""),"#N/A")</f>
        <v>#N/A</v>
      </c>
      <c r="Q4087" s="1"/>
      <c r="R4087" s="1"/>
      <c r="S4087" s="1"/>
      <c r="T4087" s="1"/>
      <c r="U4087" s="2">
        <f>IFERROR(__xludf.DUMMYFUNCTION("""COMPUTED_VALUE"""),0.0)</f>
        <v>0</v>
      </c>
      <c r="V4087" s="1" t="str">
        <f>IFERROR(__xludf.DUMMYFUNCTION("""COMPUTED_VALUE"""),"#N/A")</f>
        <v>#N/A</v>
      </c>
      <c r="W4087" s="1" t="str">
        <f>IFERROR(__xludf.DUMMYFUNCTION("""COMPUTED_VALUE"""),"#N/A")</f>
        <v>#N/A</v>
      </c>
    </row>
    <row r="4088">
      <c r="O4088" s="1" t="str">
        <f>IFERROR(__xludf.DUMMYFUNCTION("""COMPUTED_VALUE"""),"#VALUE!")</f>
        <v>#VALUE!</v>
      </c>
      <c r="P4088" s="1" t="str">
        <f>IFERROR(__xludf.DUMMYFUNCTION("""COMPUTED_VALUE"""),"#N/A")</f>
        <v>#N/A</v>
      </c>
      <c r="Q4088" s="1"/>
      <c r="R4088" s="1"/>
      <c r="S4088" s="1"/>
      <c r="T4088" s="1"/>
      <c r="U4088" s="2">
        <f>IFERROR(__xludf.DUMMYFUNCTION("""COMPUTED_VALUE"""),0.0)</f>
        <v>0</v>
      </c>
      <c r="V4088" s="1" t="str">
        <f>IFERROR(__xludf.DUMMYFUNCTION("""COMPUTED_VALUE"""),"#N/A")</f>
        <v>#N/A</v>
      </c>
      <c r="W4088" s="1" t="str">
        <f>IFERROR(__xludf.DUMMYFUNCTION("""COMPUTED_VALUE"""),"#N/A")</f>
        <v>#N/A</v>
      </c>
    </row>
    <row r="4089">
      <c r="O4089" s="1" t="str">
        <f>IFERROR(__xludf.DUMMYFUNCTION("""COMPUTED_VALUE"""),"#VALUE!")</f>
        <v>#VALUE!</v>
      </c>
      <c r="P4089" s="1" t="str">
        <f>IFERROR(__xludf.DUMMYFUNCTION("""COMPUTED_VALUE"""),"#N/A")</f>
        <v>#N/A</v>
      </c>
      <c r="Q4089" s="1"/>
      <c r="R4089" s="1"/>
      <c r="S4089" s="1"/>
      <c r="T4089" s="1"/>
      <c r="U4089" s="2">
        <f>IFERROR(__xludf.DUMMYFUNCTION("""COMPUTED_VALUE"""),0.0)</f>
        <v>0</v>
      </c>
      <c r="V4089" s="1" t="str">
        <f>IFERROR(__xludf.DUMMYFUNCTION("""COMPUTED_VALUE"""),"#N/A")</f>
        <v>#N/A</v>
      </c>
      <c r="W4089" s="1" t="str">
        <f>IFERROR(__xludf.DUMMYFUNCTION("""COMPUTED_VALUE"""),"#N/A")</f>
        <v>#N/A</v>
      </c>
    </row>
    <row r="4090">
      <c r="O4090" s="1" t="str">
        <f>IFERROR(__xludf.DUMMYFUNCTION("""COMPUTED_VALUE"""),"#VALUE!")</f>
        <v>#VALUE!</v>
      </c>
      <c r="P4090" s="1" t="str">
        <f>IFERROR(__xludf.DUMMYFUNCTION("""COMPUTED_VALUE"""),"#N/A")</f>
        <v>#N/A</v>
      </c>
      <c r="Q4090" s="1"/>
      <c r="R4090" s="1"/>
      <c r="S4090" s="1"/>
      <c r="T4090" s="1"/>
      <c r="U4090" s="2">
        <f>IFERROR(__xludf.DUMMYFUNCTION("""COMPUTED_VALUE"""),0.0)</f>
        <v>0</v>
      </c>
      <c r="V4090" s="1" t="str">
        <f>IFERROR(__xludf.DUMMYFUNCTION("""COMPUTED_VALUE"""),"#N/A")</f>
        <v>#N/A</v>
      </c>
      <c r="W4090" s="1" t="str">
        <f>IFERROR(__xludf.DUMMYFUNCTION("""COMPUTED_VALUE"""),"#N/A")</f>
        <v>#N/A</v>
      </c>
    </row>
    <row r="4091">
      <c r="O4091" s="1" t="str">
        <f>IFERROR(__xludf.DUMMYFUNCTION("""COMPUTED_VALUE"""),"#VALUE!")</f>
        <v>#VALUE!</v>
      </c>
      <c r="P4091" s="1" t="str">
        <f>IFERROR(__xludf.DUMMYFUNCTION("""COMPUTED_VALUE"""),"#N/A")</f>
        <v>#N/A</v>
      </c>
      <c r="Q4091" s="1"/>
      <c r="R4091" s="1"/>
      <c r="S4091" s="1"/>
      <c r="T4091" s="1"/>
      <c r="U4091" s="2">
        <f>IFERROR(__xludf.DUMMYFUNCTION("""COMPUTED_VALUE"""),0.0)</f>
        <v>0</v>
      </c>
      <c r="V4091" s="1" t="str">
        <f>IFERROR(__xludf.DUMMYFUNCTION("""COMPUTED_VALUE"""),"#N/A")</f>
        <v>#N/A</v>
      </c>
      <c r="W4091" s="1" t="str">
        <f>IFERROR(__xludf.DUMMYFUNCTION("""COMPUTED_VALUE"""),"#N/A")</f>
        <v>#N/A</v>
      </c>
    </row>
    <row r="4092">
      <c r="O4092" s="1" t="str">
        <f>IFERROR(__xludf.DUMMYFUNCTION("""COMPUTED_VALUE"""),"#VALUE!")</f>
        <v>#VALUE!</v>
      </c>
      <c r="P4092" s="1" t="str">
        <f>IFERROR(__xludf.DUMMYFUNCTION("""COMPUTED_VALUE"""),"#N/A")</f>
        <v>#N/A</v>
      </c>
      <c r="Q4092" s="1"/>
      <c r="R4092" s="1"/>
      <c r="S4092" s="1"/>
      <c r="T4092" s="1"/>
      <c r="U4092" s="2">
        <f>IFERROR(__xludf.DUMMYFUNCTION("""COMPUTED_VALUE"""),0.0)</f>
        <v>0</v>
      </c>
      <c r="V4092" s="1" t="str">
        <f>IFERROR(__xludf.DUMMYFUNCTION("""COMPUTED_VALUE"""),"#N/A")</f>
        <v>#N/A</v>
      </c>
      <c r="W4092" s="1" t="str">
        <f>IFERROR(__xludf.DUMMYFUNCTION("""COMPUTED_VALUE"""),"#N/A")</f>
        <v>#N/A</v>
      </c>
    </row>
    <row r="4093">
      <c r="O4093" s="1" t="str">
        <f>IFERROR(__xludf.DUMMYFUNCTION("""COMPUTED_VALUE"""),"#VALUE!")</f>
        <v>#VALUE!</v>
      </c>
      <c r="P4093" s="1" t="str">
        <f>IFERROR(__xludf.DUMMYFUNCTION("""COMPUTED_VALUE"""),"#N/A")</f>
        <v>#N/A</v>
      </c>
      <c r="Q4093" s="1"/>
      <c r="R4093" s="1"/>
      <c r="S4093" s="1"/>
      <c r="T4093" s="1"/>
      <c r="U4093" s="2">
        <f>IFERROR(__xludf.DUMMYFUNCTION("""COMPUTED_VALUE"""),0.0)</f>
        <v>0</v>
      </c>
      <c r="V4093" s="1" t="str">
        <f>IFERROR(__xludf.DUMMYFUNCTION("""COMPUTED_VALUE"""),"#N/A")</f>
        <v>#N/A</v>
      </c>
      <c r="W4093" s="1" t="str">
        <f>IFERROR(__xludf.DUMMYFUNCTION("""COMPUTED_VALUE"""),"#N/A")</f>
        <v>#N/A</v>
      </c>
    </row>
    <row r="4094">
      <c r="O4094" s="1" t="str">
        <f>IFERROR(__xludf.DUMMYFUNCTION("""COMPUTED_VALUE"""),"#VALUE!")</f>
        <v>#VALUE!</v>
      </c>
      <c r="P4094" s="1" t="str">
        <f>IFERROR(__xludf.DUMMYFUNCTION("""COMPUTED_VALUE"""),"#N/A")</f>
        <v>#N/A</v>
      </c>
      <c r="Q4094" s="1"/>
      <c r="R4094" s="1"/>
      <c r="S4094" s="1"/>
      <c r="T4094" s="1"/>
      <c r="U4094" s="2">
        <f>IFERROR(__xludf.DUMMYFUNCTION("""COMPUTED_VALUE"""),0.0)</f>
        <v>0</v>
      </c>
      <c r="V4094" s="1" t="str">
        <f>IFERROR(__xludf.DUMMYFUNCTION("""COMPUTED_VALUE"""),"#N/A")</f>
        <v>#N/A</v>
      </c>
      <c r="W4094" s="1" t="str">
        <f>IFERROR(__xludf.DUMMYFUNCTION("""COMPUTED_VALUE"""),"#N/A")</f>
        <v>#N/A</v>
      </c>
    </row>
    <row r="4095">
      <c r="O4095" s="1" t="str">
        <f>IFERROR(__xludf.DUMMYFUNCTION("""COMPUTED_VALUE"""),"#VALUE!")</f>
        <v>#VALUE!</v>
      </c>
      <c r="P4095" s="1" t="str">
        <f>IFERROR(__xludf.DUMMYFUNCTION("""COMPUTED_VALUE"""),"#N/A")</f>
        <v>#N/A</v>
      </c>
      <c r="Q4095" s="1"/>
      <c r="R4095" s="1"/>
      <c r="S4095" s="1"/>
      <c r="T4095" s="1"/>
      <c r="U4095" s="2">
        <f>IFERROR(__xludf.DUMMYFUNCTION("""COMPUTED_VALUE"""),0.0)</f>
        <v>0</v>
      </c>
      <c r="V4095" s="1" t="str">
        <f>IFERROR(__xludf.DUMMYFUNCTION("""COMPUTED_VALUE"""),"#N/A")</f>
        <v>#N/A</v>
      </c>
      <c r="W4095" s="1" t="str">
        <f>IFERROR(__xludf.DUMMYFUNCTION("""COMPUTED_VALUE"""),"#N/A")</f>
        <v>#N/A</v>
      </c>
    </row>
    <row r="4096">
      <c r="O4096" s="1" t="str">
        <f>IFERROR(__xludf.DUMMYFUNCTION("""COMPUTED_VALUE"""),"#VALUE!")</f>
        <v>#VALUE!</v>
      </c>
      <c r="P4096" s="1" t="str">
        <f>IFERROR(__xludf.DUMMYFUNCTION("""COMPUTED_VALUE"""),"#N/A")</f>
        <v>#N/A</v>
      </c>
      <c r="Q4096" s="1"/>
      <c r="R4096" s="1"/>
      <c r="S4096" s="1"/>
      <c r="T4096" s="1"/>
      <c r="U4096" s="2">
        <f>IFERROR(__xludf.DUMMYFUNCTION("""COMPUTED_VALUE"""),0.0)</f>
        <v>0</v>
      </c>
      <c r="V4096" s="1" t="str">
        <f>IFERROR(__xludf.DUMMYFUNCTION("""COMPUTED_VALUE"""),"#N/A")</f>
        <v>#N/A</v>
      </c>
      <c r="W4096" s="1" t="str">
        <f>IFERROR(__xludf.DUMMYFUNCTION("""COMPUTED_VALUE"""),"#N/A")</f>
        <v>#N/A</v>
      </c>
    </row>
    <row r="4097">
      <c r="O4097" s="1" t="str">
        <f>IFERROR(__xludf.DUMMYFUNCTION("""COMPUTED_VALUE"""),"#VALUE!")</f>
        <v>#VALUE!</v>
      </c>
      <c r="P4097" s="1" t="str">
        <f>IFERROR(__xludf.DUMMYFUNCTION("""COMPUTED_VALUE"""),"#N/A")</f>
        <v>#N/A</v>
      </c>
      <c r="Q4097" s="1"/>
      <c r="R4097" s="1"/>
      <c r="S4097" s="1"/>
      <c r="T4097" s="1"/>
      <c r="U4097" s="2">
        <f>IFERROR(__xludf.DUMMYFUNCTION("""COMPUTED_VALUE"""),0.0)</f>
        <v>0</v>
      </c>
      <c r="V4097" s="1" t="str">
        <f>IFERROR(__xludf.DUMMYFUNCTION("""COMPUTED_VALUE"""),"#N/A")</f>
        <v>#N/A</v>
      </c>
      <c r="W4097" s="1" t="str">
        <f>IFERROR(__xludf.DUMMYFUNCTION("""COMPUTED_VALUE"""),"#N/A")</f>
        <v>#N/A</v>
      </c>
    </row>
    <row r="4098">
      <c r="O4098" s="1" t="str">
        <f>IFERROR(__xludf.DUMMYFUNCTION("""COMPUTED_VALUE"""),"#VALUE!")</f>
        <v>#VALUE!</v>
      </c>
      <c r="P4098" s="1" t="str">
        <f>IFERROR(__xludf.DUMMYFUNCTION("""COMPUTED_VALUE"""),"#N/A")</f>
        <v>#N/A</v>
      </c>
      <c r="Q4098" s="1"/>
      <c r="R4098" s="1"/>
      <c r="S4098" s="1"/>
      <c r="T4098" s="1"/>
      <c r="U4098" s="2">
        <f>IFERROR(__xludf.DUMMYFUNCTION("""COMPUTED_VALUE"""),0.0)</f>
        <v>0</v>
      </c>
      <c r="V4098" s="1" t="str">
        <f>IFERROR(__xludf.DUMMYFUNCTION("""COMPUTED_VALUE"""),"#N/A")</f>
        <v>#N/A</v>
      </c>
      <c r="W4098" s="1" t="str">
        <f>IFERROR(__xludf.DUMMYFUNCTION("""COMPUTED_VALUE"""),"#N/A")</f>
        <v>#N/A</v>
      </c>
    </row>
    <row r="4099">
      <c r="O4099" s="1" t="str">
        <f>IFERROR(__xludf.DUMMYFUNCTION("""COMPUTED_VALUE"""),"#VALUE!")</f>
        <v>#VALUE!</v>
      </c>
      <c r="P4099" s="1" t="str">
        <f>IFERROR(__xludf.DUMMYFUNCTION("""COMPUTED_VALUE"""),"#N/A")</f>
        <v>#N/A</v>
      </c>
      <c r="Q4099" s="1"/>
      <c r="R4099" s="1"/>
      <c r="S4099" s="1"/>
      <c r="T4099" s="1"/>
      <c r="U4099" s="2">
        <f>IFERROR(__xludf.DUMMYFUNCTION("""COMPUTED_VALUE"""),0.0)</f>
        <v>0</v>
      </c>
      <c r="V4099" s="1" t="str">
        <f>IFERROR(__xludf.DUMMYFUNCTION("""COMPUTED_VALUE"""),"#N/A")</f>
        <v>#N/A</v>
      </c>
      <c r="W4099" s="1" t="str">
        <f>IFERROR(__xludf.DUMMYFUNCTION("""COMPUTED_VALUE"""),"#N/A")</f>
        <v>#N/A</v>
      </c>
    </row>
    <row r="4100">
      <c r="O4100" s="1" t="str">
        <f>IFERROR(__xludf.DUMMYFUNCTION("""COMPUTED_VALUE"""),"#VALUE!")</f>
        <v>#VALUE!</v>
      </c>
      <c r="P4100" s="1" t="str">
        <f>IFERROR(__xludf.DUMMYFUNCTION("""COMPUTED_VALUE"""),"#N/A")</f>
        <v>#N/A</v>
      </c>
      <c r="Q4100" s="1"/>
      <c r="R4100" s="1"/>
      <c r="S4100" s="1"/>
      <c r="T4100" s="1"/>
      <c r="U4100" s="2">
        <f>IFERROR(__xludf.DUMMYFUNCTION("""COMPUTED_VALUE"""),0.0)</f>
        <v>0</v>
      </c>
      <c r="V4100" s="1" t="str">
        <f>IFERROR(__xludf.DUMMYFUNCTION("""COMPUTED_VALUE"""),"#N/A")</f>
        <v>#N/A</v>
      </c>
      <c r="W4100" s="1" t="str">
        <f>IFERROR(__xludf.DUMMYFUNCTION("""COMPUTED_VALUE"""),"#N/A")</f>
        <v>#N/A</v>
      </c>
    </row>
    <row r="4101">
      <c r="O4101" s="1" t="str">
        <f>IFERROR(__xludf.DUMMYFUNCTION("""COMPUTED_VALUE"""),"#VALUE!")</f>
        <v>#VALUE!</v>
      </c>
      <c r="P4101" s="1" t="str">
        <f>IFERROR(__xludf.DUMMYFUNCTION("""COMPUTED_VALUE"""),"#N/A")</f>
        <v>#N/A</v>
      </c>
      <c r="Q4101" s="1"/>
      <c r="R4101" s="1"/>
      <c r="S4101" s="1"/>
      <c r="T4101" s="1"/>
      <c r="U4101" s="2">
        <f>IFERROR(__xludf.DUMMYFUNCTION("""COMPUTED_VALUE"""),0.0)</f>
        <v>0</v>
      </c>
      <c r="V4101" s="1" t="str">
        <f>IFERROR(__xludf.DUMMYFUNCTION("""COMPUTED_VALUE"""),"#N/A")</f>
        <v>#N/A</v>
      </c>
      <c r="W4101" s="1" t="str">
        <f>IFERROR(__xludf.DUMMYFUNCTION("""COMPUTED_VALUE"""),"#N/A")</f>
        <v>#N/A</v>
      </c>
    </row>
    <row r="4102">
      <c r="O4102" s="1" t="str">
        <f>IFERROR(__xludf.DUMMYFUNCTION("""COMPUTED_VALUE"""),"#VALUE!")</f>
        <v>#VALUE!</v>
      </c>
      <c r="P4102" s="1" t="str">
        <f>IFERROR(__xludf.DUMMYFUNCTION("""COMPUTED_VALUE"""),"#N/A")</f>
        <v>#N/A</v>
      </c>
      <c r="Q4102" s="1"/>
      <c r="R4102" s="1"/>
      <c r="S4102" s="1"/>
      <c r="T4102" s="1"/>
      <c r="U4102" s="2">
        <f>IFERROR(__xludf.DUMMYFUNCTION("""COMPUTED_VALUE"""),0.0)</f>
        <v>0</v>
      </c>
      <c r="V4102" s="1" t="str">
        <f>IFERROR(__xludf.DUMMYFUNCTION("""COMPUTED_VALUE"""),"#N/A")</f>
        <v>#N/A</v>
      </c>
      <c r="W4102" s="1" t="str">
        <f>IFERROR(__xludf.DUMMYFUNCTION("""COMPUTED_VALUE"""),"#N/A")</f>
        <v>#N/A</v>
      </c>
    </row>
    <row r="4103">
      <c r="O4103" s="1" t="str">
        <f>IFERROR(__xludf.DUMMYFUNCTION("""COMPUTED_VALUE"""),"#VALUE!")</f>
        <v>#VALUE!</v>
      </c>
      <c r="P4103" s="1" t="str">
        <f>IFERROR(__xludf.DUMMYFUNCTION("""COMPUTED_VALUE"""),"#N/A")</f>
        <v>#N/A</v>
      </c>
      <c r="Q4103" s="1"/>
      <c r="R4103" s="1"/>
      <c r="S4103" s="1"/>
      <c r="T4103" s="1"/>
      <c r="U4103" s="2">
        <f>IFERROR(__xludf.DUMMYFUNCTION("""COMPUTED_VALUE"""),0.0)</f>
        <v>0</v>
      </c>
      <c r="V4103" s="1" t="str">
        <f>IFERROR(__xludf.DUMMYFUNCTION("""COMPUTED_VALUE"""),"#N/A")</f>
        <v>#N/A</v>
      </c>
      <c r="W4103" s="1" t="str">
        <f>IFERROR(__xludf.DUMMYFUNCTION("""COMPUTED_VALUE"""),"#N/A")</f>
        <v>#N/A</v>
      </c>
    </row>
    <row r="4104">
      <c r="O4104" s="1" t="str">
        <f>IFERROR(__xludf.DUMMYFUNCTION("""COMPUTED_VALUE"""),"#VALUE!")</f>
        <v>#VALUE!</v>
      </c>
      <c r="P4104" s="1" t="str">
        <f>IFERROR(__xludf.DUMMYFUNCTION("""COMPUTED_VALUE"""),"#N/A")</f>
        <v>#N/A</v>
      </c>
      <c r="Q4104" s="1"/>
      <c r="R4104" s="1"/>
      <c r="S4104" s="1"/>
      <c r="T4104" s="1"/>
      <c r="U4104" s="2">
        <f>IFERROR(__xludf.DUMMYFUNCTION("""COMPUTED_VALUE"""),0.0)</f>
        <v>0</v>
      </c>
      <c r="V4104" s="1" t="str">
        <f>IFERROR(__xludf.DUMMYFUNCTION("""COMPUTED_VALUE"""),"#N/A")</f>
        <v>#N/A</v>
      </c>
      <c r="W4104" s="1" t="str">
        <f>IFERROR(__xludf.DUMMYFUNCTION("""COMPUTED_VALUE"""),"#N/A")</f>
        <v>#N/A</v>
      </c>
    </row>
    <row r="4105">
      <c r="O4105" s="1" t="str">
        <f>IFERROR(__xludf.DUMMYFUNCTION("""COMPUTED_VALUE"""),"#VALUE!")</f>
        <v>#VALUE!</v>
      </c>
      <c r="P4105" s="1" t="str">
        <f>IFERROR(__xludf.DUMMYFUNCTION("""COMPUTED_VALUE"""),"#N/A")</f>
        <v>#N/A</v>
      </c>
      <c r="Q4105" s="1"/>
      <c r="R4105" s="1"/>
      <c r="S4105" s="1"/>
      <c r="T4105" s="1"/>
      <c r="U4105" s="2">
        <f>IFERROR(__xludf.DUMMYFUNCTION("""COMPUTED_VALUE"""),0.0)</f>
        <v>0</v>
      </c>
      <c r="V4105" s="1" t="str">
        <f>IFERROR(__xludf.DUMMYFUNCTION("""COMPUTED_VALUE"""),"#N/A")</f>
        <v>#N/A</v>
      </c>
      <c r="W4105" s="1" t="str">
        <f>IFERROR(__xludf.DUMMYFUNCTION("""COMPUTED_VALUE"""),"#N/A")</f>
        <v>#N/A</v>
      </c>
    </row>
    <row r="4106">
      <c r="O4106" s="1" t="str">
        <f>IFERROR(__xludf.DUMMYFUNCTION("""COMPUTED_VALUE"""),"#VALUE!")</f>
        <v>#VALUE!</v>
      </c>
      <c r="P4106" s="1" t="str">
        <f>IFERROR(__xludf.DUMMYFUNCTION("""COMPUTED_VALUE"""),"#N/A")</f>
        <v>#N/A</v>
      </c>
      <c r="Q4106" s="1"/>
      <c r="R4106" s="1"/>
      <c r="S4106" s="1"/>
      <c r="T4106" s="1"/>
      <c r="U4106" s="2">
        <f>IFERROR(__xludf.DUMMYFUNCTION("""COMPUTED_VALUE"""),0.0)</f>
        <v>0</v>
      </c>
      <c r="V4106" s="1" t="str">
        <f>IFERROR(__xludf.DUMMYFUNCTION("""COMPUTED_VALUE"""),"#N/A")</f>
        <v>#N/A</v>
      </c>
      <c r="W4106" s="1" t="str">
        <f>IFERROR(__xludf.DUMMYFUNCTION("""COMPUTED_VALUE"""),"#N/A")</f>
        <v>#N/A</v>
      </c>
    </row>
    <row r="4107">
      <c r="O4107" s="1" t="str">
        <f>IFERROR(__xludf.DUMMYFUNCTION("""COMPUTED_VALUE"""),"#VALUE!")</f>
        <v>#VALUE!</v>
      </c>
      <c r="P4107" s="1" t="str">
        <f>IFERROR(__xludf.DUMMYFUNCTION("""COMPUTED_VALUE"""),"#N/A")</f>
        <v>#N/A</v>
      </c>
      <c r="Q4107" s="1"/>
      <c r="R4107" s="1"/>
      <c r="S4107" s="1"/>
      <c r="T4107" s="1"/>
      <c r="U4107" s="2">
        <f>IFERROR(__xludf.DUMMYFUNCTION("""COMPUTED_VALUE"""),0.0)</f>
        <v>0</v>
      </c>
      <c r="V4107" s="1" t="str">
        <f>IFERROR(__xludf.DUMMYFUNCTION("""COMPUTED_VALUE"""),"#N/A")</f>
        <v>#N/A</v>
      </c>
      <c r="W4107" s="1" t="str">
        <f>IFERROR(__xludf.DUMMYFUNCTION("""COMPUTED_VALUE"""),"#N/A")</f>
        <v>#N/A</v>
      </c>
    </row>
    <row r="4108">
      <c r="O4108" s="1" t="str">
        <f>IFERROR(__xludf.DUMMYFUNCTION("""COMPUTED_VALUE"""),"#VALUE!")</f>
        <v>#VALUE!</v>
      </c>
      <c r="P4108" s="1" t="str">
        <f>IFERROR(__xludf.DUMMYFUNCTION("""COMPUTED_VALUE"""),"#N/A")</f>
        <v>#N/A</v>
      </c>
      <c r="Q4108" s="1"/>
      <c r="R4108" s="1"/>
      <c r="S4108" s="1"/>
      <c r="T4108" s="1"/>
      <c r="U4108" s="2">
        <f>IFERROR(__xludf.DUMMYFUNCTION("""COMPUTED_VALUE"""),0.0)</f>
        <v>0</v>
      </c>
      <c r="V4108" s="1" t="str">
        <f>IFERROR(__xludf.DUMMYFUNCTION("""COMPUTED_VALUE"""),"#N/A")</f>
        <v>#N/A</v>
      </c>
      <c r="W4108" s="1" t="str">
        <f>IFERROR(__xludf.DUMMYFUNCTION("""COMPUTED_VALUE"""),"#N/A")</f>
        <v>#N/A</v>
      </c>
    </row>
    <row r="4109">
      <c r="O4109" s="1" t="str">
        <f>IFERROR(__xludf.DUMMYFUNCTION("""COMPUTED_VALUE"""),"#VALUE!")</f>
        <v>#VALUE!</v>
      </c>
      <c r="P4109" s="1" t="str">
        <f>IFERROR(__xludf.DUMMYFUNCTION("""COMPUTED_VALUE"""),"#N/A")</f>
        <v>#N/A</v>
      </c>
      <c r="Q4109" s="1"/>
      <c r="R4109" s="1"/>
      <c r="S4109" s="1"/>
      <c r="T4109" s="1"/>
      <c r="U4109" s="2">
        <f>IFERROR(__xludf.DUMMYFUNCTION("""COMPUTED_VALUE"""),0.0)</f>
        <v>0</v>
      </c>
      <c r="V4109" s="1" t="str">
        <f>IFERROR(__xludf.DUMMYFUNCTION("""COMPUTED_VALUE"""),"#N/A")</f>
        <v>#N/A</v>
      </c>
      <c r="W4109" s="1" t="str">
        <f>IFERROR(__xludf.DUMMYFUNCTION("""COMPUTED_VALUE"""),"#N/A")</f>
        <v>#N/A</v>
      </c>
    </row>
    <row r="4110">
      <c r="O4110" s="1" t="str">
        <f>IFERROR(__xludf.DUMMYFUNCTION("""COMPUTED_VALUE"""),"#VALUE!")</f>
        <v>#VALUE!</v>
      </c>
      <c r="P4110" s="1" t="str">
        <f>IFERROR(__xludf.DUMMYFUNCTION("""COMPUTED_VALUE"""),"#N/A")</f>
        <v>#N/A</v>
      </c>
      <c r="Q4110" s="1"/>
      <c r="R4110" s="1"/>
      <c r="S4110" s="1"/>
      <c r="T4110" s="1"/>
      <c r="U4110" s="2">
        <f>IFERROR(__xludf.DUMMYFUNCTION("""COMPUTED_VALUE"""),0.0)</f>
        <v>0</v>
      </c>
      <c r="V4110" s="1" t="str">
        <f>IFERROR(__xludf.DUMMYFUNCTION("""COMPUTED_VALUE"""),"#N/A")</f>
        <v>#N/A</v>
      </c>
      <c r="W4110" s="1" t="str">
        <f>IFERROR(__xludf.DUMMYFUNCTION("""COMPUTED_VALUE"""),"#N/A")</f>
        <v>#N/A</v>
      </c>
    </row>
    <row r="4111">
      <c r="O4111" s="1" t="str">
        <f>IFERROR(__xludf.DUMMYFUNCTION("""COMPUTED_VALUE"""),"#VALUE!")</f>
        <v>#VALUE!</v>
      </c>
      <c r="P4111" s="1" t="str">
        <f>IFERROR(__xludf.DUMMYFUNCTION("""COMPUTED_VALUE"""),"#N/A")</f>
        <v>#N/A</v>
      </c>
      <c r="Q4111" s="1"/>
      <c r="R4111" s="1"/>
      <c r="S4111" s="1"/>
      <c r="T4111" s="1"/>
      <c r="U4111" s="2">
        <f>IFERROR(__xludf.DUMMYFUNCTION("""COMPUTED_VALUE"""),0.0)</f>
        <v>0</v>
      </c>
      <c r="V4111" s="1" t="str">
        <f>IFERROR(__xludf.DUMMYFUNCTION("""COMPUTED_VALUE"""),"#N/A")</f>
        <v>#N/A</v>
      </c>
      <c r="W4111" s="1" t="str">
        <f>IFERROR(__xludf.DUMMYFUNCTION("""COMPUTED_VALUE"""),"#N/A")</f>
        <v>#N/A</v>
      </c>
    </row>
    <row r="4112">
      <c r="O4112" s="1" t="str">
        <f>IFERROR(__xludf.DUMMYFUNCTION("""COMPUTED_VALUE"""),"#VALUE!")</f>
        <v>#VALUE!</v>
      </c>
      <c r="P4112" s="1" t="str">
        <f>IFERROR(__xludf.DUMMYFUNCTION("""COMPUTED_VALUE"""),"#N/A")</f>
        <v>#N/A</v>
      </c>
      <c r="Q4112" s="1"/>
      <c r="R4112" s="1"/>
      <c r="S4112" s="1"/>
      <c r="T4112" s="1"/>
      <c r="U4112" s="2">
        <f>IFERROR(__xludf.DUMMYFUNCTION("""COMPUTED_VALUE"""),0.0)</f>
        <v>0</v>
      </c>
      <c r="V4112" s="1" t="str">
        <f>IFERROR(__xludf.DUMMYFUNCTION("""COMPUTED_VALUE"""),"#N/A")</f>
        <v>#N/A</v>
      </c>
      <c r="W4112" s="1" t="str">
        <f>IFERROR(__xludf.DUMMYFUNCTION("""COMPUTED_VALUE"""),"#N/A")</f>
        <v>#N/A</v>
      </c>
    </row>
    <row r="4113">
      <c r="O4113" s="1" t="str">
        <f>IFERROR(__xludf.DUMMYFUNCTION("""COMPUTED_VALUE"""),"#VALUE!")</f>
        <v>#VALUE!</v>
      </c>
      <c r="P4113" s="1" t="str">
        <f>IFERROR(__xludf.DUMMYFUNCTION("""COMPUTED_VALUE"""),"#N/A")</f>
        <v>#N/A</v>
      </c>
      <c r="Q4113" s="1"/>
      <c r="R4113" s="1"/>
      <c r="S4113" s="1"/>
      <c r="T4113" s="1"/>
      <c r="U4113" s="2">
        <f>IFERROR(__xludf.DUMMYFUNCTION("""COMPUTED_VALUE"""),0.0)</f>
        <v>0</v>
      </c>
      <c r="V4113" s="1" t="str">
        <f>IFERROR(__xludf.DUMMYFUNCTION("""COMPUTED_VALUE"""),"#N/A")</f>
        <v>#N/A</v>
      </c>
      <c r="W4113" s="1" t="str">
        <f>IFERROR(__xludf.DUMMYFUNCTION("""COMPUTED_VALUE"""),"#N/A")</f>
        <v>#N/A</v>
      </c>
    </row>
    <row r="4114">
      <c r="O4114" s="1" t="str">
        <f>IFERROR(__xludf.DUMMYFUNCTION("""COMPUTED_VALUE"""),"#VALUE!")</f>
        <v>#VALUE!</v>
      </c>
      <c r="P4114" s="1" t="str">
        <f>IFERROR(__xludf.DUMMYFUNCTION("""COMPUTED_VALUE"""),"#N/A")</f>
        <v>#N/A</v>
      </c>
      <c r="Q4114" s="1"/>
      <c r="R4114" s="1"/>
      <c r="S4114" s="1"/>
      <c r="T4114" s="1"/>
      <c r="U4114" s="2">
        <f>IFERROR(__xludf.DUMMYFUNCTION("""COMPUTED_VALUE"""),0.0)</f>
        <v>0</v>
      </c>
      <c r="V4114" s="1" t="str">
        <f>IFERROR(__xludf.DUMMYFUNCTION("""COMPUTED_VALUE"""),"#N/A")</f>
        <v>#N/A</v>
      </c>
      <c r="W4114" s="1" t="str">
        <f>IFERROR(__xludf.DUMMYFUNCTION("""COMPUTED_VALUE"""),"#N/A")</f>
        <v>#N/A</v>
      </c>
    </row>
    <row r="4115">
      <c r="O4115" s="1" t="str">
        <f>IFERROR(__xludf.DUMMYFUNCTION("""COMPUTED_VALUE"""),"#VALUE!")</f>
        <v>#VALUE!</v>
      </c>
      <c r="P4115" s="1" t="str">
        <f>IFERROR(__xludf.DUMMYFUNCTION("""COMPUTED_VALUE"""),"#N/A")</f>
        <v>#N/A</v>
      </c>
      <c r="Q4115" s="1"/>
      <c r="R4115" s="1"/>
      <c r="S4115" s="1"/>
      <c r="T4115" s="1"/>
      <c r="U4115" s="2">
        <f>IFERROR(__xludf.DUMMYFUNCTION("""COMPUTED_VALUE"""),0.0)</f>
        <v>0</v>
      </c>
      <c r="V4115" s="1" t="str">
        <f>IFERROR(__xludf.DUMMYFUNCTION("""COMPUTED_VALUE"""),"#N/A")</f>
        <v>#N/A</v>
      </c>
      <c r="W4115" s="1" t="str">
        <f>IFERROR(__xludf.DUMMYFUNCTION("""COMPUTED_VALUE"""),"#N/A")</f>
        <v>#N/A</v>
      </c>
    </row>
    <row r="4116">
      <c r="O4116" s="1" t="str">
        <f>IFERROR(__xludf.DUMMYFUNCTION("""COMPUTED_VALUE"""),"#VALUE!")</f>
        <v>#VALUE!</v>
      </c>
      <c r="P4116" s="1" t="str">
        <f>IFERROR(__xludf.DUMMYFUNCTION("""COMPUTED_VALUE"""),"#N/A")</f>
        <v>#N/A</v>
      </c>
      <c r="Q4116" s="1"/>
      <c r="R4116" s="1"/>
      <c r="S4116" s="1"/>
      <c r="T4116" s="1"/>
      <c r="U4116" s="2">
        <f>IFERROR(__xludf.DUMMYFUNCTION("""COMPUTED_VALUE"""),0.0)</f>
        <v>0</v>
      </c>
      <c r="V4116" s="1" t="str">
        <f>IFERROR(__xludf.DUMMYFUNCTION("""COMPUTED_VALUE"""),"#N/A")</f>
        <v>#N/A</v>
      </c>
      <c r="W4116" s="1" t="str">
        <f>IFERROR(__xludf.DUMMYFUNCTION("""COMPUTED_VALUE"""),"#N/A")</f>
        <v>#N/A</v>
      </c>
    </row>
    <row r="4117">
      <c r="O4117" s="1" t="str">
        <f>IFERROR(__xludf.DUMMYFUNCTION("""COMPUTED_VALUE"""),"#VALUE!")</f>
        <v>#VALUE!</v>
      </c>
      <c r="P4117" s="1" t="str">
        <f>IFERROR(__xludf.DUMMYFUNCTION("""COMPUTED_VALUE"""),"#N/A")</f>
        <v>#N/A</v>
      </c>
      <c r="Q4117" s="1"/>
      <c r="R4117" s="1"/>
      <c r="S4117" s="1"/>
      <c r="T4117" s="1"/>
      <c r="U4117" s="2">
        <f>IFERROR(__xludf.DUMMYFUNCTION("""COMPUTED_VALUE"""),0.0)</f>
        <v>0</v>
      </c>
      <c r="V4117" s="1" t="str">
        <f>IFERROR(__xludf.DUMMYFUNCTION("""COMPUTED_VALUE"""),"#N/A")</f>
        <v>#N/A</v>
      </c>
      <c r="W4117" s="1" t="str">
        <f>IFERROR(__xludf.DUMMYFUNCTION("""COMPUTED_VALUE"""),"#N/A")</f>
        <v>#N/A</v>
      </c>
    </row>
    <row r="4118">
      <c r="O4118" s="1" t="str">
        <f>IFERROR(__xludf.DUMMYFUNCTION("""COMPUTED_VALUE"""),"#VALUE!")</f>
        <v>#VALUE!</v>
      </c>
      <c r="P4118" s="1" t="str">
        <f>IFERROR(__xludf.DUMMYFUNCTION("""COMPUTED_VALUE"""),"#N/A")</f>
        <v>#N/A</v>
      </c>
      <c r="Q4118" s="1"/>
      <c r="R4118" s="1"/>
      <c r="S4118" s="1"/>
      <c r="T4118" s="1"/>
      <c r="U4118" s="2">
        <f>IFERROR(__xludf.DUMMYFUNCTION("""COMPUTED_VALUE"""),0.0)</f>
        <v>0</v>
      </c>
      <c r="V4118" s="1" t="str">
        <f>IFERROR(__xludf.DUMMYFUNCTION("""COMPUTED_VALUE"""),"#N/A")</f>
        <v>#N/A</v>
      </c>
      <c r="W4118" s="1" t="str">
        <f>IFERROR(__xludf.DUMMYFUNCTION("""COMPUTED_VALUE"""),"#N/A")</f>
        <v>#N/A</v>
      </c>
    </row>
    <row r="4119">
      <c r="O4119" s="1" t="str">
        <f>IFERROR(__xludf.DUMMYFUNCTION("""COMPUTED_VALUE"""),"#VALUE!")</f>
        <v>#VALUE!</v>
      </c>
      <c r="P4119" s="1" t="str">
        <f>IFERROR(__xludf.DUMMYFUNCTION("""COMPUTED_VALUE"""),"#N/A")</f>
        <v>#N/A</v>
      </c>
      <c r="Q4119" s="1"/>
      <c r="R4119" s="1"/>
      <c r="S4119" s="1"/>
      <c r="T4119" s="1"/>
      <c r="U4119" s="2">
        <f>IFERROR(__xludf.DUMMYFUNCTION("""COMPUTED_VALUE"""),0.0)</f>
        <v>0</v>
      </c>
      <c r="V4119" s="1" t="str">
        <f>IFERROR(__xludf.DUMMYFUNCTION("""COMPUTED_VALUE"""),"#N/A")</f>
        <v>#N/A</v>
      </c>
      <c r="W4119" s="1" t="str">
        <f>IFERROR(__xludf.DUMMYFUNCTION("""COMPUTED_VALUE"""),"#N/A")</f>
        <v>#N/A</v>
      </c>
    </row>
    <row r="4120">
      <c r="O4120" s="1" t="str">
        <f>IFERROR(__xludf.DUMMYFUNCTION("""COMPUTED_VALUE"""),"#VALUE!")</f>
        <v>#VALUE!</v>
      </c>
      <c r="P4120" s="1" t="str">
        <f>IFERROR(__xludf.DUMMYFUNCTION("""COMPUTED_VALUE"""),"#N/A")</f>
        <v>#N/A</v>
      </c>
      <c r="Q4120" s="1"/>
      <c r="R4120" s="1"/>
      <c r="S4120" s="1"/>
      <c r="T4120" s="1"/>
      <c r="U4120" s="2">
        <f>IFERROR(__xludf.DUMMYFUNCTION("""COMPUTED_VALUE"""),0.0)</f>
        <v>0</v>
      </c>
      <c r="V4120" s="1" t="str">
        <f>IFERROR(__xludf.DUMMYFUNCTION("""COMPUTED_VALUE"""),"#N/A")</f>
        <v>#N/A</v>
      </c>
      <c r="W4120" s="1" t="str">
        <f>IFERROR(__xludf.DUMMYFUNCTION("""COMPUTED_VALUE"""),"#N/A")</f>
        <v>#N/A</v>
      </c>
    </row>
    <row r="4121">
      <c r="O4121" s="1" t="str">
        <f>IFERROR(__xludf.DUMMYFUNCTION("""COMPUTED_VALUE"""),"#VALUE!")</f>
        <v>#VALUE!</v>
      </c>
      <c r="P4121" s="1" t="str">
        <f>IFERROR(__xludf.DUMMYFUNCTION("""COMPUTED_VALUE"""),"#N/A")</f>
        <v>#N/A</v>
      </c>
      <c r="Q4121" s="1"/>
      <c r="R4121" s="1"/>
      <c r="S4121" s="1"/>
      <c r="T4121" s="1"/>
      <c r="U4121" s="2">
        <f>IFERROR(__xludf.DUMMYFUNCTION("""COMPUTED_VALUE"""),0.0)</f>
        <v>0</v>
      </c>
      <c r="V4121" s="1" t="str">
        <f>IFERROR(__xludf.DUMMYFUNCTION("""COMPUTED_VALUE"""),"#N/A")</f>
        <v>#N/A</v>
      </c>
      <c r="W4121" s="1" t="str">
        <f>IFERROR(__xludf.DUMMYFUNCTION("""COMPUTED_VALUE"""),"#N/A")</f>
        <v>#N/A</v>
      </c>
    </row>
    <row r="4122">
      <c r="O4122" s="1" t="str">
        <f>IFERROR(__xludf.DUMMYFUNCTION("""COMPUTED_VALUE"""),"#VALUE!")</f>
        <v>#VALUE!</v>
      </c>
      <c r="P4122" s="1" t="str">
        <f>IFERROR(__xludf.DUMMYFUNCTION("""COMPUTED_VALUE"""),"#N/A")</f>
        <v>#N/A</v>
      </c>
      <c r="Q4122" s="1"/>
      <c r="R4122" s="1"/>
      <c r="S4122" s="1"/>
      <c r="T4122" s="1"/>
      <c r="U4122" s="2">
        <f>IFERROR(__xludf.DUMMYFUNCTION("""COMPUTED_VALUE"""),0.0)</f>
        <v>0</v>
      </c>
      <c r="V4122" s="1" t="str">
        <f>IFERROR(__xludf.DUMMYFUNCTION("""COMPUTED_VALUE"""),"#N/A")</f>
        <v>#N/A</v>
      </c>
      <c r="W4122" s="1" t="str">
        <f>IFERROR(__xludf.DUMMYFUNCTION("""COMPUTED_VALUE"""),"#N/A")</f>
        <v>#N/A</v>
      </c>
    </row>
    <row r="4123">
      <c r="O4123" s="1" t="str">
        <f>IFERROR(__xludf.DUMMYFUNCTION("""COMPUTED_VALUE"""),"#VALUE!")</f>
        <v>#VALUE!</v>
      </c>
      <c r="P4123" s="1" t="str">
        <f>IFERROR(__xludf.DUMMYFUNCTION("""COMPUTED_VALUE"""),"#N/A")</f>
        <v>#N/A</v>
      </c>
      <c r="Q4123" s="1"/>
      <c r="R4123" s="1"/>
      <c r="S4123" s="1"/>
      <c r="T4123" s="1"/>
      <c r="U4123" s="2">
        <f>IFERROR(__xludf.DUMMYFUNCTION("""COMPUTED_VALUE"""),0.0)</f>
        <v>0</v>
      </c>
      <c r="V4123" s="1" t="str">
        <f>IFERROR(__xludf.DUMMYFUNCTION("""COMPUTED_VALUE"""),"#N/A")</f>
        <v>#N/A</v>
      </c>
      <c r="W4123" s="1" t="str">
        <f>IFERROR(__xludf.DUMMYFUNCTION("""COMPUTED_VALUE"""),"#N/A")</f>
        <v>#N/A</v>
      </c>
    </row>
    <row r="4124">
      <c r="O4124" s="1" t="str">
        <f>IFERROR(__xludf.DUMMYFUNCTION("""COMPUTED_VALUE"""),"#VALUE!")</f>
        <v>#VALUE!</v>
      </c>
      <c r="P4124" s="1" t="str">
        <f>IFERROR(__xludf.DUMMYFUNCTION("""COMPUTED_VALUE"""),"#N/A")</f>
        <v>#N/A</v>
      </c>
      <c r="Q4124" s="1"/>
      <c r="R4124" s="1"/>
      <c r="S4124" s="1"/>
      <c r="T4124" s="1"/>
      <c r="U4124" s="2">
        <f>IFERROR(__xludf.DUMMYFUNCTION("""COMPUTED_VALUE"""),0.0)</f>
        <v>0</v>
      </c>
      <c r="V4124" s="1" t="str">
        <f>IFERROR(__xludf.DUMMYFUNCTION("""COMPUTED_VALUE"""),"#N/A")</f>
        <v>#N/A</v>
      </c>
      <c r="W4124" s="1" t="str">
        <f>IFERROR(__xludf.DUMMYFUNCTION("""COMPUTED_VALUE"""),"#N/A")</f>
        <v>#N/A</v>
      </c>
    </row>
    <row r="4125">
      <c r="O4125" s="1" t="str">
        <f>IFERROR(__xludf.DUMMYFUNCTION("""COMPUTED_VALUE"""),"#VALUE!")</f>
        <v>#VALUE!</v>
      </c>
      <c r="P4125" s="1" t="str">
        <f>IFERROR(__xludf.DUMMYFUNCTION("""COMPUTED_VALUE"""),"#N/A")</f>
        <v>#N/A</v>
      </c>
      <c r="Q4125" s="1"/>
      <c r="R4125" s="1"/>
      <c r="S4125" s="1"/>
      <c r="T4125" s="1"/>
      <c r="U4125" s="2">
        <f>IFERROR(__xludf.DUMMYFUNCTION("""COMPUTED_VALUE"""),0.0)</f>
        <v>0</v>
      </c>
      <c r="V4125" s="1" t="str">
        <f>IFERROR(__xludf.DUMMYFUNCTION("""COMPUTED_VALUE"""),"#N/A")</f>
        <v>#N/A</v>
      </c>
      <c r="W4125" s="1" t="str">
        <f>IFERROR(__xludf.DUMMYFUNCTION("""COMPUTED_VALUE"""),"#N/A")</f>
        <v>#N/A</v>
      </c>
    </row>
    <row r="4126">
      <c r="O4126" s="1" t="str">
        <f>IFERROR(__xludf.DUMMYFUNCTION("""COMPUTED_VALUE"""),"#VALUE!")</f>
        <v>#VALUE!</v>
      </c>
      <c r="P4126" s="1" t="str">
        <f>IFERROR(__xludf.DUMMYFUNCTION("""COMPUTED_VALUE"""),"#N/A")</f>
        <v>#N/A</v>
      </c>
      <c r="Q4126" s="1"/>
      <c r="R4126" s="1"/>
      <c r="S4126" s="1"/>
      <c r="T4126" s="1"/>
      <c r="U4126" s="2">
        <f>IFERROR(__xludf.DUMMYFUNCTION("""COMPUTED_VALUE"""),0.0)</f>
        <v>0</v>
      </c>
      <c r="V4126" s="1" t="str">
        <f>IFERROR(__xludf.DUMMYFUNCTION("""COMPUTED_VALUE"""),"#N/A")</f>
        <v>#N/A</v>
      </c>
      <c r="W4126" s="1" t="str">
        <f>IFERROR(__xludf.DUMMYFUNCTION("""COMPUTED_VALUE"""),"#N/A")</f>
        <v>#N/A</v>
      </c>
    </row>
    <row r="4127">
      <c r="O4127" s="1" t="str">
        <f>IFERROR(__xludf.DUMMYFUNCTION("""COMPUTED_VALUE"""),"#VALUE!")</f>
        <v>#VALUE!</v>
      </c>
      <c r="P4127" s="1" t="str">
        <f>IFERROR(__xludf.DUMMYFUNCTION("""COMPUTED_VALUE"""),"#N/A")</f>
        <v>#N/A</v>
      </c>
      <c r="Q4127" s="1"/>
      <c r="R4127" s="1"/>
      <c r="S4127" s="1"/>
      <c r="T4127" s="1"/>
      <c r="U4127" s="2">
        <f>IFERROR(__xludf.DUMMYFUNCTION("""COMPUTED_VALUE"""),0.0)</f>
        <v>0</v>
      </c>
      <c r="V4127" s="1" t="str">
        <f>IFERROR(__xludf.DUMMYFUNCTION("""COMPUTED_VALUE"""),"#N/A")</f>
        <v>#N/A</v>
      </c>
      <c r="W4127" s="1" t="str">
        <f>IFERROR(__xludf.DUMMYFUNCTION("""COMPUTED_VALUE"""),"#N/A")</f>
        <v>#N/A</v>
      </c>
    </row>
    <row r="4128">
      <c r="O4128" s="1" t="str">
        <f>IFERROR(__xludf.DUMMYFUNCTION("""COMPUTED_VALUE"""),"#VALUE!")</f>
        <v>#VALUE!</v>
      </c>
      <c r="P4128" s="1" t="str">
        <f>IFERROR(__xludf.DUMMYFUNCTION("""COMPUTED_VALUE"""),"#N/A")</f>
        <v>#N/A</v>
      </c>
      <c r="Q4128" s="1"/>
      <c r="R4128" s="1"/>
      <c r="S4128" s="1"/>
      <c r="T4128" s="1"/>
      <c r="U4128" s="2">
        <f>IFERROR(__xludf.DUMMYFUNCTION("""COMPUTED_VALUE"""),0.0)</f>
        <v>0</v>
      </c>
      <c r="V4128" s="1" t="str">
        <f>IFERROR(__xludf.DUMMYFUNCTION("""COMPUTED_VALUE"""),"#N/A")</f>
        <v>#N/A</v>
      </c>
      <c r="W4128" s="1" t="str">
        <f>IFERROR(__xludf.DUMMYFUNCTION("""COMPUTED_VALUE"""),"#N/A")</f>
        <v>#N/A</v>
      </c>
    </row>
    <row r="4129">
      <c r="O4129" s="1" t="str">
        <f>IFERROR(__xludf.DUMMYFUNCTION("""COMPUTED_VALUE"""),"#VALUE!")</f>
        <v>#VALUE!</v>
      </c>
      <c r="P4129" s="1" t="str">
        <f>IFERROR(__xludf.DUMMYFUNCTION("""COMPUTED_VALUE"""),"#N/A")</f>
        <v>#N/A</v>
      </c>
      <c r="Q4129" s="1"/>
      <c r="R4129" s="1"/>
      <c r="S4129" s="1"/>
      <c r="T4129" s="1"/>
      <c r="U4129" s="2">
        <f>IFERROR(__xludf.DUMMYFUNCTION("""COMPUTED_VALUE"""),0.0)</f>
        <v>0</v>
      </c>
      <c r="V4129" s="1" t="str">
        <f>IFERROR(__xludf.DUMMYFUNCTION("""COMPUTED_VALUE"""),"#N/A")</f>
        <v>#N/A</v>
      </c>
      <c r="W4129" s="1" t="str">
        <f>IFERROR(__xludf.DUMMYFUNCTION("""COMPUTED_VALUE"""),"#N/A")</f>
        <v>#N/A</v>
      </c>
    </row>
    <row r="4130">
      <c r="O4130" s="1" t="str">
        <f>IFERROR(__xludf.DUMMYFUNCTION("""COMPUTED_VALUE"""),"#VALUE!")</f>
        <v>#VALUE!</v>
      </c>
      <c r="P4130" s="1" t="str">
        <f>IFERROR(__xludf.DUMMYFUNCTION("""COMPUTED_VALUE"""),"#N/A")</f>
        <v>#N/A</v>
      </c>
      <c r="Q4130" s="1"/>
      <c r="R4130" s="1"/>
      <c r="S4130" s="1"/>
      <c r="T4130" s="1"/>
      <c r="U4130" s="2">
        <f>IFERROR(__xludf.DUMMYFUNCTION("""COMPUTED_VALUE"""),0.0)</f>
        <v>0</v>
      </c>
      <c r="V4130" s="1" t="str">
        <f>IFERROR(__xludf.DUMMYFUNCTION("""COMPUTED_VALUE"""),"#N/A")</f>
        <v>#N/A</v>
      </c>
      <c r="W4130" s="1" t="str">
        <f>IFERROR(__xludf.DUMMYFUNCTION("""COMPUTED_VALUE"""),"#N/A")</f>
        <v>#N/A</v>
      </c>
    </row>
    <row r="4131">
      <c r="O4131" s="1" t="str">
        <f>IFERROR(__xludf.DUMMYFUNCTION("""COMPUTED_VALUE"""),"#VALUE!")</f>
        <v>#VALUE!</v>
      </c>
      <c r="P4131" s="1" t="str">
        <f>IFERROR(__xludf.DUMMYFUNCTION("""COMPUTED_VALUE"""),"#N/A")</f>
        <v>#N/A</v>
      </c>
      <c r="Q4131" s="1"/>
      <c r="R4131" s="1"/>
      <c r="S4131" s="1"/>
      <c r="T4131" s="1"/>
      <c r="U4131" s="2">
        <f>IFERROR(__xludf.DUMMYFUNCTION("""COMPUTED_VALUE"""),0.0)</f>
        <v>0</v>
      </c>
      <c r="V4131" s="1" t="str">
        <f>IFERROR(__xludf.DUMMYFUNCTION("""COMPUTED_VALUE"""),"#N/A")</f>
        <v>#N/A</v>
      </c>
      <c r="W4131" s="1" t="str">
        <f>IFERROR(__xludf.DUMMYFUNCTION("""COMPUTED_VALUE"""),"#N/A")</f>
        <v>#N/A</v>
      </c>
    </row>
    <row r="4132">
      <c r="O4132" s="1" t="str">
        <f>IFERROR(__xludf.DUMMYFUNCTION("""COMPUTED_VALUE"""),"#VALUE!")</f>
        <v>#VALUE!</v>
      </c>
      <c r="P4132" s="1" t="str">
        <f>IFERROR(__xludf.DUMMYFUNCTION("""COMPUTED_VALUE"""),"#N/A")</f>
        <v>#N/A</v>
      </c>
      <c r="Q4132" s="1"/>
      <c r="R4132" s="1"/>
      <c r="S4132" s="1"/>
      <c r="T4132" s="1"/>
      <c r="U4132" s="2">
        <f>IFERROR(__xludf.DUMMYFUNCTION("""COMPUTED_VALUE"""),0.0)</f>
        <v>0</v>
      </c>
      <c r="V4132" s="1" t="str">
        <f>IFERROR(__xludf.DUMMYFUNCTION("""COMPUTED_VALUE"""),"#N/A")</f>
        <v>#N/A</v>
      </c>
      <c r="W4132" s="1" t="str">
        <f>IFERROR(__xludf.DUMMYFUNCTION("""COMPUTED_VALUE"""),"#N/A")</f>
        <v>#N/A</v>
      </c>
    </row>
    <row r="4133">
      <c r="O4133" s="1" t="str">
        <f>IFERROR(__xludf.DUMMYFUNCTION("""COMPUTED_VALUE"""),"#VALUE!")</f>
        <v>#VALUE!</v>
      </c>
      <c r="P4133" s="1" t="str">
        <f>IFERROR(__xludf.DUMMYFUNCTION("""COMPUTED_VALUE"""),"#N/A")</f>
        <v>#N/A</v>
      </c>
      <c r="Q4133" s="1"/>
      <c r="R4133" s="1"/>
      <c r="S4133" s="1"/>
      <c r="T4133" s="1"/>
      <c r="U4133" s="2">
        <f>IFERROR(__xludf.DUMMYFUNCTION("""COMPUTED_VALUE"""),0.0)</f>
        <v>0</v>
      </c>
      <c r="V4133" s="1" t="str">
        <f>IFERROR(__xludf.DUMMYFUNCTION("""COMPUTED_VALUE"""),"#N/A")</f>
        <v>#N/A</v>
      </c>
      <c r="W4133" s="1" t="str">
        <f>IFERROR(__xludf.DUMMYFUNCTION("""COMPUTED_VALUE"""),"#N/A")</f>
        <v>#N/A</v>
      </c>
    </row>
    <row r="4134">
      <c r="O4134" s="1" t="str">
        <f>IFERROR(__xludf.DUMMYFUNCTION("""COMPUTED_VALUE"""),"#VALUE!")</f>
        <v>#VALUE!</v>
      </c>
      <c r="P4134" s="1" t="str">
        <f>IFERROR(__xludf.DUMMYFUNCTION("""COMPUTED_VALUE"""),"#N/A")</f>
        <v>#N/A</v>
      </c>
      <c r="Q4134" s="1"/>
      <c r="R4134" s="1"/>
      <c r="S4134" s="1"/>
      <c r="T4134" s="1"/>
      <c r="U4134" s="2">
        <f>IFERROR(__xludf.DUMMYFUNCTION("""COMPUTED_VALUE"""),0.0)</f>
        <v>0</v>
      </c>
      <c r="V4134" s="1" t="str">
        <f>IFERROR(__xludf.DUMMYFUNCTION("""COMPUTED_VALUE"""),"#N/A")</f>
        <v>#N/A</v>
      </c>
      <c r="W4134" s="1" t="str">
        <f>IFERROR(__xludf.DUMMYFUNCTION("""COMPUTED_VALUE"""),"#N/A")</f>
        <v>#N/A</v>
      </c>
    </row>
    <row r="4135">
      <c r="O4135" s="1" t="str">
        <f>IFERROR(__xludf.DUMMYFUNCTION("""COMPUTED_VALUE"""),"#VALUE!")</f>
        <v>#VALUE!</v>
      </c>
      <c r="P4135" s="1" t="str">
        <f>IFERROR(__xludf.DUMMYFUNCTION("""COMPUTED_VALUE"""),"#N/A")</f>
        <v>#N/A</v>
      </c>
      <c r="Q4135" s="1"/>
      <c r="R4135" s="1"/>
      <c r="S4135" s="1"/>
      <c r="T4135" s="1"/>
      <c r="U4135" s="2">
        <f>IFERROR(__xludf.DUMMYFUNCTION("""COMPUTED_VALUE"""),0.0)</f>
        <v>0</v>
      </c>
      <c r="V4135" s="1" t="str">
        <f>IFERROR(__xludf.DUMMYFUNCTION("""COMPUTED_VALUE"""),"#N/A")</f>
        <v>#N/A</v>
      </c>
      <c r="W4135" s="1" t="str">
        <f>IFERROR(__xludf.DUMMYFUNCTION("""COMPUTED_VALUE"""),"#N/A")</f>
        <v>#N/A</v>
      </c>
    </row>
    <row r="4136">
      <c r="O4136" s="1" t="str">
        <f>IFERROR(__xludf.DUMMYFUNCTION("""COMPUTED_VALUE"""),"#VALUE!")</f>
        <v>#VALUE!</v>
      </c>
      <c r="P4136" s="1" t="str">
        <f>IFERROR(__xludf.DUMMYFUNCTION("""COMPUTED_VALUE"""),"#N/A")</f>
        <v>#N/A</v>
      </c>
      <c r="Q4136" s="1"/>
      <c r="R4136" s="1"/>
      <c r="S4136" s="1"/>
      <c r="T4136" s="1"/>
      <c r="U4136" s="2">
        <f>IFERROR(__xludf.DUMMYFUNCTION("""COMPUTED_VALUE"""),0.0)</f>
        <v>0</v>
      </c>
      <c r="V4136" s="1" t="str">
        <f>IFERROR(__xludf.DUMMYFUNCTION("""COMPUTED_VALUE"""),"#N/A")</f>
        <v>#N/A</v>
      </c>
      <c r="W4136" s="1" t="str">
        <f>IFERROR(__xludf.DUMMYFUNCTION("""COMPUTED_VALUE"""),"#N/A")</f>
        <v>#N/A</v>
      </c>
    </row>
    <row r="4137">
      <c r="O4137" s="1" t="str">
        <f>IFERROR(__xludf.DUMMYFUNCTION("""COMPUTED_VALUE"""),"#VALUE!")</f>
        <v>#VALUE!</v>
      </c>
      <c r="P4137" s="1" t="str">
        <f>IFERROR(__xludf.DUMMYFUNCTION("""COMPUTED_VALUE"""),"#N/A")</f>
        <v>#N/A</v>
      </c>
      <c r="Q4137" s="1"/>
      <c r="R4137" s="1"/>
      <c r="S4137" s="1"/>
      <c r="T4137" s="1"/>
      <c r="U4137" s="2">
        <f>IFERROR(__xludf.DUMMYFUNCTION("""COMPUTED_VALUE"""),0.0)</f>
        <v>0</v>
      </c>
      <c r="V4137" s="1" t="str">
        <f>IFERROR(__xludf.DUMMYFUNCTION("""COMPUTED_VALUE"""),"#N/A")</f>
        <v>#N/A</v>
      </c>
      <c r="W4137" s="1" t="str">
        <f>IFERROR(__xludf.DUMMYFUNCTION("""COMPUTED_VALUE"""),"#N/A")</f>
        <v>#N/A</v>
      </c>
    </row>
    <row r="4138">
      <c r="O4138" s="1" t="str">
        <f>IFERROR(__xludf.DUMMYFUNCTION("""COMPUTED_VALUE"""),"#VALUE!")</f>
        <v>#VALUE!</v>
      </c>
      <c r="P4138" s="1" t="str">
        <f>IFERROR(__xludf.DUMMYFUNCTION("""COMPUTED_VALUE"""),"#N/A")</f>
        <v>#N/A</v>
      </c>
      <c r="Q4138" s="1"/>
      <c r="R4138" s="1"/>
      <c r="S4138" s="1"/>
      <c r="T4138" s="1"/>
      <c r="U4138" s="2">
        <f>IFERROR(__xludf.DUMMYFUNCTION("""COMPUTED_VALUE"""),0.0)</f>
        <v>0</v>
      </c>
      <c r="V4138" s="1" t="str">
        <f>IFERROR(__xludf.DUMMYFUNCTION("""COMPUTED_VALUE"""),"#N/A")</f>
        <v>#N/A</v>
      </c>
      <c r="W4138" s="1" t="str">
        <f>IFERROR(__xludf.DUMMYFUNCTION("""COMPUTED_VALUE"""),"#N/A")</f>
        <v>#N/A</v>
      </c>
    </row>
    <row r="4139">
      <c r="O4139" s="1" t="str">
        <f>IFERROR(__xludf.DUMMYFUNCTION("""COMPUTED_VALUE"""),"#VALUE!")</f>
        <v>#VALUE!</v>
      </c>
      <c r="P4139" s="1" t="str">
        <f>IFERROR(__xludf.DUMMYFUNCTION("""COMPUTED_VALUE"""),"#N/A")</f>
        <v>#N/A</v>
      </c>
      <c r="Q4139" s="1"/>
      <c r="R4139" s="1"/>
      <c r="S4139" s="1"/>
      <c r="T4139" s="1"/>
      <c r="U4139" s="2">
        <f>IFERROR(__xludf.DUMMYFUNCTION("""COMPUTED_VALUE"""),0.0)</f>
        <v>0</v>
      </c>
      <c r="V4139" s="1" t="str">
        <f>IFERROR(__xludf.DUMMYFUNCTION("""COMPUTED_VALUE"""),"#N/A")</f>
        <v>#N/A</v>
      </c>
      <c r="W4139" s="1" t="str">
        <f>IFERROR(__xludf.DUMMYFUNCTION("""COMPUTED_VALUE"""),"#N/A")</f>
        <v>#N/A</v>
      </c>
    </row>
    <row r="4140">
      <c r="O4140" s="1" t="str">
        <f>IFERROR(__xludf.DUMMYFUNCTION("""COMPUTED_VALUE"""),"#VALUE!")</f>
        <v>#VALUE!</v>
      </c>
      <c r="P4140" s="1" t="str">
        <f>IFERROR(__xludf.DUMMYFUNCTION("""COMPUTED_VALUE"""),"#N/A")</f>
        <v>#N/A</v>
      </c>
      <c r="Q4140" s="1"/>
      <c r="R4140" s="1"/>
      <c r="S4140" s="1"/>
      <c r="T4140" s="1"/>
      <c r="U4140" s="2">
        <f>IFERROR(__xludf.DUMMYFUNCTION("""COMPUTED_VALUE"""),0.0)</f>
        <v>0</v>
      </c>
      <c r="V4140" s="1" t="str">
        <f>IFERROR(__xludf.DUMMYFUNCTION("""COMPUTED_VALUE"""),"#N/A")</f>
        <v>#N/A</v>
      </c>
      <c r="W4140" s="1" t="str">
        <f>IFERROR(__xludf.DUMMYFUNCTION("""COMPUTED_VALUE"""),"#N/A")</f>
        <v>#N/A</v>
      </c>
    </row>
    <row r="4141">
      <c r="O4141" s="1" t="str">
        <f>IFERROR(__xludf.DUMMYFUNCTION("""COMPUTED_VALUE"""),"#VALUE!")</f>
        <v>#VALUE!</v>
      </c>
      <c r="P4141" s="1" t="str">
        <f>IFERROR(__xludf.DUMMYFUNCTION("""COMPUTED_VALUE"""),"#N/A")</f>
        <v>#N/A</v>
      </c>
      <c r="Q4141" s="1"/>
      <c r="R4141" s="1"/>
      <c r="S4141" s="1"/>
      <c r="T4141" s="1"/>
      <c r="U4141" s="2">
        <f>IFERROR(__xludf.DUMMYFUNCTION("""COMPUTED_VALUE"""),0.0)</f>
        <v>0</v>
      </c>
      <c r="V4141" s="1" t="str">
        <f>IFERROR(__xludf.DUMMYFUNCTION("""COMPUTED_VALUE"""),"#N/A")</f>
        <v>#N/A</v>
      </c>
      <c r="W4141" s="1" t="str">
        <f>IFERROR(__xludf.DUMMYFUNCTION("""COMPUTED_VALUE"""),"#N/A")</f>
        <v>#N/A</v>
      </c>
    </row>
    <row r="4142">
      <c r="O4142" s="1" t="str">
        <f>IFERROR(__xludf.DUMMYFUNCTION("""COMPUTED_VALUE"""),"#VALUE!")</f>
        <v>#VALUE!</v>
      </c>
      <c r="P4142" s="1" t="str">
        <f>IFERROR(__xludf.DUMMYFUNCTION("""COMPUTED_VALUE"""),"#N/A")</f>
        <v>#N/A</v>
      </c>
      <c r="Q4142" s="1"/>
      <c r="R4142" s="1"/>
      <c r="S4142" s="1"/>
      <c r="T4142" s="1"/>
      <c r="U4142" s="2">
        <f>IFERROR(__xludf.DUMMYFUNCTION("""COMPUTED_VALUE"""),0.0)</f>
        <v>0</v>
      </c>
      <c r="V4142" s="1" t="str">
        <f>IFERROR(__xludf.DUMMYFUNCTION("""COMPUTED_VALUE"""),"#N/A")</f>
        <v>#N/A</v>
      </c>
      <c r="W4142" s="1" t="str">
        <f>IFERROR(__xludf.DUMMYFUNCTION("""COMPUTED_VALUE"""),"#N/A")</f>
        <v>#N/A</v>
      </c>
    </row>
    <row r="4143">
      <c r="O4143" s="1" t="str">
        <f>IFERROR(__xludf.DUMMYFUNCTION("""COMPUTED_VALUE"""),"#VALUE!")</f>
        <v>#VALUE!</v>
      </c>
      <c r="P4143" s="1" t="str">
        <f>IFERROR(__xludf.DUMMYFUNCTION("""COMPUTED_VALUE"""),"#N/A")</f>
        <v>#N/A</v>
      </c>
      <c r="Q4143" s="1"/>
      <c r="R4143" s="1"/>
      <c r="S4143" s="1"/>
      <c r="T4143" s="1"/>
      <c r="U4143" s="2">
        <f>IFERROR(__xludf.DUMMYFUNCTION("""COMPUTED_VALUE"""),0.0)</f>
        <v>0</v>
      </c>
      <c r="V4143" s="1" t="str">
        <f>IFERROR(__xludf.DUMMYFUNCTION("""COMPUTED_VALUE"""),"#N/A")</f>
        <v>#N/A</v>
      </c>
      <c r="W4143" s="1" t="str">
        <f>IFERROR(__xludf.DUMMYFUNCTION("""COMPUTED_VALUE"""),"#N/A")</f>
        <v>#N/A</v>
      </c>
    </row>
    <row r="4144">
      <c r="O4144" s="1" t="str">
        <f>IFERROR(__xludf.DUMMYFUNCTION("""COMPUTED_VALUE"""),"#VALUE!")</f>
        <v>#VALUE!</v>
      </c>
      <c r="P4144" s="1" t="str">
        <f>IFERROR(__xludf.DUMMYFUNCTION("""COMPUTED_VALUE"""),"#N/A")</f>
        <v>#N/A</v>
      </c>
      <c r="Q4144" s="1"/>
      <c r="R4144" s="1"/>
      <c r="S4144" s="1"/>
      <c r="T4144" s="1"/>
      <c r="U4144" s="2">
        <f>IFERROR(__xludf.DUMMYFUNCTION("""COMPUTED_VALUE"""),0.0)</f>
        <v>0</v>
      </c>
      <c r="V4144" s="1" t="str">
        <f>IFERROR(__xludf.DUMMYFUNCTION("""COMPUTED_VALUE"""),"#N/A")</f>
        <v>#N/A</v>
      </c>
      <c r="W4144" s="1" t="str">
        <f>IFERROR(__xludf.DUMMYFUNCTION("""COMPUTED_VALUE"""),"#N/A")</f>
        <v>#N/A</v>
      </c>
    </row>
    <row r="4145">
      <c r="O4145" s="1" t="str">
        <f>IFERROR(__xludf.DUMMYFUNCTION("""COMPUTED_VALUE"""),"#VALUE!")</f>
        <v>#VALUE!</v>
      </c>
      <c r="P4145" s="1" t="str">
        <f>IFERROR(__xludf.DUMMYFUNCTION("""COMPUTED_VALUE"""),"#N/A")</f>
        <v>#N/A</v>
      </c>
      <c r="Q4145" s="1"/>
      <c r="R4145" s="1"/>
      <c r="S4145" s="1"/>
      <c r="T4145" s="1"/>
      <c r="U4145" s="2">
        <f>IFERROR(__xludf.DUMMYFUNCTION("""COMPUTED_VALUE"""),0.0)</f>
        <v>0</v>
      </c>
      <c r="V4145" s="1" t="str">
        <f>IFERROR(__xludf.DUMMYFUNCTION("""COMPUTED_VALUE"""),"#N/A")</f>
        <v>#N/A</v>
      </c>
      <c r="W4145" s="1" t="str">
        <f>IFERROR(__xludf.DUMMYFUNCTION("""COMPUTED_VALUE"""),"#N/A")</f>
        <v>#N/A</v>
      </c>
    </row>
    <row r="4146">
      <c r="O4146" s="1" t="str">
        <f>IFERROR(__xludf.DUMMYFUNCTION("""COMPUTED_VALUE"""),"#VALUE!")</f>
        <v>#VALUE!</v>
      </c>
      <c r="P4146" s="1" t="str">
        <f>IFERROR(__xludf.DUMMYFUNCTION("""COMPUTED_VALUE"""),"#N/A")</f>
        <v>#N/A</v>
      </c>
      <c r="Q4146" s="1"/>
      <c r="R4146" s="1"/>
      <c r="S4146" s="1"/>
      <c r="T4146" s="1"/>
      <c r="U4146" s="2">
        <f>IFERROR(__xludf.DUMMYFUNCTION("""COMPUTED_VALUE"""),0.0)</f>
        <v>0</v>
      </c>
      <c r="V4146" s="1" t="str">
        <f>IFERROR(__xludf.DUMMYFUNCTION("""COMPUTED_VALUE"""),"#N/A")</f>
        <v>#N/A</v>
      </c>
      <c r="W4146" s="1" t="str">
        <f>IFERROR(__xludf.DUMMYFUNCTION("""COMPUTED_VALUE"""),"#N/A")</f>
        <v>#N/A</v>
      </c>
    </row>
    <row r="4147">
      <c r="O4147" s="1" t="str">
        <f>IFERROR(__xludf.DUMMYFUNCTION("""COMPUTED_VALUE"""),"#VALUE!")</f>
        <v>#VALUE!</v>
      </c>
      <c r="P4147" s="1" t="str">
        <f>IFERROR(__xludf.DUMMYFUNCTION("""COMPUTED_VALUE"""),"#N/A")</f>
        <v>#N/A</v>
      </c>
      <c r="Q4147" s="1"/>
      <c r="R4147" s="1"/>
      <c r="S4147" s="1"/>
      <c r="T4147" s="1"/>
      <c r="U4147" s="2">
        <f>IFERROR(__xludf.DUMMYFUNCTION("""COMPUTED_VALUE"""),0.0)</f>
        <v>0</v>
      </c>
      <c r="V4147" s="1" t="str">
        <f>IFERROR(__xludf.DUMMYFUNCTION("""COMPUTED_VALUE"""),"#N/A")</f>
        <v>#N/A</v>
      </c>
      <c r="W4147" s="1" t="str">
        <f>IFERROR(__xludf.DUMMYFUNCTION("""COMPUTED_VALUE"""),"#N/A")</f>
        <v>#N/A</v>
      </c>
    </row>
    <row r="4148">
      <c r="O4148" s="1" t="str">
        <f>IFERROR(__xludf.DUMMYFUNCTION("""COMPUTED_VALUE"""),"#VALUE!")</f>
        <v>#VALUE!</v>
      </c>
      <c r="P4148" s="1" t="str">
        <f>IFERROR(__xludf.DUMMYFUNCTION("""COMPUTED_VALUE"""),"#N/A")</f>
        <v>#N/A</v>
      </c>
      <c r="Q4148" s="1"/>
      <c r="R4148" s="1"/>
      <c r="S4148" s="1"/>
      <c r="T4148" s="1"/>
      <c r="U4148" s="2">
        <f>IFERROR(__xludf.DUMMYFUNCTION("""COMPUTED_VALUE"""),0.0)</f>
        <v>0</v>
      </c>
      <c r="V4148" s="1" t="str">
        <f>IFERROR(__xludf.DUMMYFUNCTION("""COMPUTED_VALUE"""),"#N/A")</f>
        <v>#N/A</v>
      </c>
      <c r="W4148" s="1" t="str">
        <f>IFERROR(__xludf.DUMMYFUNCTION("""COMPUTED_VALUE"""),"#N/A")</f>
        <v>#N/A</v>
      </c>
    </row>
    <row r="4149">
      <c r="O4149" s="1" t="str">
        <f>IFERROR(__xludf.DUMMYFUNCTION("""COMPUTED_VALUE"""),"#VALUE!")</f>
        <v>#VALUE!</v>
      </c>
      <c r="P4149" s="1" t="str">
        <f>IFERROR(__xludf.DUMMYFUNCTION("""COMPUTED_VALUE"""),"#N/A")</f>
        <v>#N/A</v>
      </c>
      <c r="Q4149" s="1"/>
      <c r="R4149" s="1"/>
      <c r="S4149" s="1"/>
      <c r="T4149" s="1"/>
      <c r="U4149" s="2">
        <f>IFERROR(__xludf.DUMMYFUNCTION("""COMPUTED_VALUE"""),0.0)</f>
        <v>0</v>
      </c>
      <c r="V4149" s="1" t="str">
        <f>IFERROR(__xludf.DUMMYFUNCTION("""COMPUTED_VALUE"""),"#N/A")</f>
        <v>#N/A</v>
      </c>
      <c r="W4149" s="1" t="str">
        <f>IFERROR(__xludf.DUMMYFUNCTION("""COMPUTED_VALUE"""),"#N/A")</f>
        <v>#N/A</v>
      </c>
    </row>
    <row r="4150">
      <c r="O4150" s="1" t="str">
        <f>IFERROR(__xludf.DUMMYFUNCTION("""COMPUTED_VALUE"""),"#VALUE!")</f>
        <v>#VALUE!</v>
      </c>
      <c r="P4150" s="1" t="str">
        <f>IFERROR(__xludf.DUMMYFUNCTION("""COMPUTED_VALUE"""),"#N/A")</f>
        <v>#N/A</v>
      </c>
      <c r="Q4150" s="1"/>
      <c r="R4150" s="1"/>
      <c r="S4150" s="1"/>
      <c r="T4150" s="1"/>
      <c r="U4150" s="2">
        <f>IFERROR(__xludf.DUMMYFUNCTION("""COMPUTED_VALUE"""),0.0)</f>
        <v>0</v>
      </c>
      <c r="V4150" s="1" t="str">
        <f>IFERROR(__xludf.DUMMYFUNCTION("""COMPUTED_VALUE"""),"#N/A")</f>
        <v>#N/A</v>
      </c>
      <c r="W4150" s="1" t="str">
        <f>IFERROR(__xludf.DUMMYFUNCTION("""COMPUTED_VALUE"""),"#N/A")</f>
        <v>#N/A</v>
      </c>
    </row>
    <row r="4151">
      <c r="O4151" s="1" t="str">
        <f>IFERROR(__xludf.DUMMYFUNCTION("""COMPUTED_VALUE"""),"#VALUE!")</f>
        <v>#VALUE!</v>
      </c>
      <c r="P4151" s="1" t="str">
        <f>IFERROR(__xludf.DUMMYFUNCTION("""COMPUTED_VALUE"""),"#N/A")</f>
        <v>#N/A</v>
      </c>
      <c r="Q4151" s="1"/>
      <c r="R4151" s="1"/>
      <c r="S4151" s="1"/>
      <c r="T4151" s="1"/>
      <c r="U4151" s="2">
        <f>IFERROR(__xludf.DUMMYFUNCTION("""COMPUTED_VALUE"""),0.0)</f>
        <v>0</v>
      </c>
      <c r="V4151" s="1" t="str">
        <f>IFERROR(__xludf.DUMMYFUNCTION("""COMPUTED_VALUE"""),"#N/A")</f>
        <v>#N/A</v>
      </c>
      <c r="W4151" s="1" t="str">
        <f>IFERROR(__xludf.DUMMYFUNCTION("""COMPUTED_VALUE"""),"#N/A")</f>
        <v>#N/A</v>
      </c>
    </row>
    <row r="4152">
      <c r="O4152" s="1" t="str">
        <f>IFERROR(__xludf.DUMMYFUNCTION("""COMPUTED_VALUE"""),"#VALUE!")</f>
        <v>#VALUE!</v>
      </c>
      <c r="P4152" s="1" t="str">
        <f>IFERROR(__xludf.DUMMYFUNCTION("""COMPUTED_VALUE"""),"#N/A")</f>
        <v>#N/A</v>
      </c>
      <c r="Q4152" s="1"/>
      <c r="R4152" s="1"/>
      <c r="S4152" s="1"/>
      <c r="T4152" s="1"/>
      <c r="U4152" s="2">
        <f>IFERROR(__xludf.DUMMYFUNCTION("""COMPUTED_VALUE"""),0.0)</f>
        <v>0</v>
      </c>
      <c r="V4152" s="1" t="str">
        <f>IFERROR(__xludf.DUMMYFUNCTION("""COMPUTED_VALUE"""),"#N/A")</f>
        <v>#N/A</v>
      </c>
      <c r="W4152" s="1" t="str">
        <f>IFERROR(__xludf.DUMMYFUNCTION("""COMPUTED_VALUE"""),"#N/A")</f>
        <v>#N/A</v>
      </c>
    </row>
    <row r="4153">
      <c r="O4153" s="1" t="str">
        <f>IFERROR(__xludf.DUMMYFUNCTION("""COMPUTED_VALUE"""),"#VALUE!")</f>
        <v>#VALUE!</v>
      </c>
      <c r="P4153" s="1" t="str">
        <f>IFERROR(__xludf.DUMMYFUNCTION("""COMPUTED_VALUE"""),"#N/A")</f>
        <v>#N/A</v>
      </c>
      <c r="Q4153" s="1"/>
      <c r="R4153" s="1"/>
      <c r="S4153" s="1"/>
      <c r="T4153" s="1"/>
      <c r="U4153" s="2">
        <f>IFERROR(__xludf.DUMMYFUNCTION("""COMPUTED_VALUE"""),0.0)</f>
        <v>0</v>
      </c>
      <c r="V4153" s="1" t="str">
        <f>IFERROR(__xludf.DUMMYFUNCTION("""COMPUTED_VALUE"""),"#N/A")</f>
        <v>#N/A</v>
      </c>
      <c r="W4153" s="1" t="str">
        <f>IFERROR(__xludf.DUMMYFUNCTION("""COMPUTED_VALUE"""),"#N/A")</f>
        <v>#N/A</v>
      </c>
    </row>
    <row r="4154">
      <c r="O4154" s="1" t="str">
        <f>IFERROR(__xludf.DUMMYFUNCTION("""COMPUTED_VALUE"""),"#VALUE!")</f>
        <v>#VALUE!</v>
      </c>
      <c r="P4154" s="1" t="str">
        <f>IFERROR(__xludf.DUMMYFUNCTION("""COMPUTED_VALUE"""),"#N/A")</f>
        <v>#N/A</v>
      </c>
      <c r="Q4154" s="1"/>
      <c r="R4154" s="1"/>
      <c r="S4154" s="1"/>
      <c r="T4154" s="1"/>
      <c r="U4154" s="2">
        <f>IFERROR(__xludf.DUMMYFUNCTION("""COMPUTED_VALUE"""),0.0)</f>
        <v>0</v>
      </c>
      <c r="V4154" s="1" t="str">
        <f>IFERROR(__xludf.DUMMYFUNCTION("""COMPUTED_VALUE"""),"#N/A")</f>
        <v>#N/A</v>
      </c>
      <c r="W4154" s="1" t="str">
        <f>IFERROR(__xludf.DUMMYFUNCTION("""COMPUTED_VALUE"""),"#N/A")</f>
        <v>#N/A</v>
      </c>
    </row>
    <row r="4155">
      <c r="O4155" s="1" t="str">
        <f>IFERROR(__xludf.DUMMYFUNCTION("""COMPUTED_VALUE"""),"#VALUE!")</f>
        <v>#VALUE!</v>
      </c>
      <c r="P4155" s="1" t="str">
        <f>IFERROR(__xludf.DUMMYFUNCTION("""COMPUTED_VALUE"""),"#N/A")</f>
        <v>#N/A</v>
      </c>
      <c r="Q4155" s="1"/>
      <c r="R4155" s="1"/>
      <c r="S4155" s="1"/>
      <c r="T4155" s="1"/>
      <c r="U4155" s="2">
        <f>IFERROR(__xludf.DUMMYFUNCTION("""COMPUTED_VALUE"""),0.0)</f>
        <v>0</v>
      </c>
      <c r="V4155" s="1" t="str">
        <f>IFERROR(__xludf.DUMMYFUNCTION("""COMPUTED_VALUE"""),"#N/A")</f>
        <v>#N/A</v>
      </c>
      <c r="W4155" s="1" t="str">
        <f>IFERROR(__xludf.DUMMYFUNCTION("""COMPUTED_VALUE"""),"#N/A")</f>
        <v>#N/A</v>
      </c>
    </row>
    <row r="4156">
      <c r="O4156" s="1" t="str">
        <f>IFERROR(__xludf.DUMMYFUNCTION("""COMPUTED_VALUE"""),"#VALUE!")</f>
        <v>#VALUE!</v>
      </c>
      <c r="P4156" s="1" t="str">
        <f>IFERROR(__xludf.DUMMYFUNCTION("""COMPUTED_VALUE"""),"#N/A")</f>
        <v>#N/A</v>
      </c>
      <c r="Q4156" s="1"/>
      <c r="R4156" s="1"/>
      <c r="S4156" s="1"/>
      <c r="T4156" s="1"/>
      <c r="U4156" s="2">
        <f>IFERROR(__xludf.DUMMYFUNCTION("""COMPUTED_VALUE"""),0.0)</f>
        <v>0</v>
      </c>
      <c r="V4156" s="1" t="str">
        <f>IFERROR(__xludf.DUMMYFUNCTION("""COMPUTED_VALUE"""),"#N/A")</f>
        <v>#N/A</v>
      </c>
      <c r="W4156" s="1" t="str">
        <f>IFERROR(__xludf.DUMMYFUNCTION("""COMPUTED_VALUE"""),"#N/A")</f>
        <v>#N/A</v>
      </c>
    </row>
    <row r="4157">
      <c r="O4157" s="1" t="str">
        <f>IFERROR(__xludf.DUMMYFUNCTION("""COMPUTED_VALUE"""),"#VALUE!")</f>
        <v>#VALUE!</v>
      </c>
      <c r="P4157" s="1" t="str">
        <f>IFERROR(__xludf.DUMMYFUNCTION("""COMPUTED_VALUE"""),"#N/A")</f>
        <v>#N/A</v>
      </c>
      <c r="Q4157" s="1"/>
      <c r="R4157" s="1"/>
      <c r="S4157" s="1"/>
      <c r="T4157" s="1"/>
      <c r="U4157" s="2">
        <f>IFERROR(__xludf.DUMMYFUNCTION("""COMPUTED_VALUE"""),0.0)</f>
        <v>0</v>
      </c>
      <c r="V4157" s="1" t="str">
        <f>IFERROR(__xludf.DUMMYFUNCTION("""COMPUTED_VALUE"""),"#N/A")</f>
        <v>#N/A</v>
      </c>
      <c r="W4157" s="1" t="str">
        <f>IFERROR(__xludf.DUMMYFUNCTION("""COMPUTED_VALUE"""),"#N/A")</f>
        <v>#N/A</v>
      </c>
    </row>
    <row r="4158">
      <c r="O4158" s="1" t="str">
        <f>IFERROR(__xludf.DUMMYFUNCTION("""COMPUTED_VALUE"""),"#VALUE!")</f>
        <v>#VALUE!</v>
      </c>
      <c r="P4158" s="1" t="str">
        <f>IFERROR(__xludf.DUMMYFUNCTION("""COMPUTED_VALUE"""),"#N/A")</f>
        <v>#N/A</v>
      </c>
      <c r="Q4158" s="1"/>
      <c r="R4158" s="1"/>
      <c r="S4158" s="1"/>
      <c r="T4158" s="1"/>
      <c r="U4158" s="2">
        <f>IFERROR(__xludf.DUMMYFUNCTION("""COMPUTED_VALUE"""),0.0)</f>
        <v>0</v>
      </c>
      <c r="V4158" s="1" t="str">
        <f>IFERROR(__xludf.DUMMYFUNCTION("""COMPUTED_VALUE"""),"#N/A")</f>
        <v>#N/A</v>
      </c>
      <c r="W4158" s="1" t="str">
        <f>IFERROR(__xludf.DUMMYFUNCTION("""COMPUTED_VALUE"""),"#N/A")</f>
        <v>#N/A</v>
      </c>
    </row>
    <row r="4159">
      <c r="O4159" s="1" t="str">
        <f>IFERROR(__xludf.DUMMYFUNCTION("""COMPUTED_VALUE"""),"#VALUE!")</f>
        <v>#VALUE!</v>
      </c>
      <c r="P4159" s="1" t="str">
        <f>IFERROR(__xludf.DUMMYFUNCTION("""COMPUTED_VALUE"""),"#N/A")</f>
        <v>#N/A</v>
      </c>
      <c r="Q4159" s="1"/>
      <c r="R4159" s="1"/>
      <c r="S4159" s="1"/>
      <c r="T4159" s="1"/>
      <c r="U4159" s="2">
        <f>IFERROR(__xludf.DUMMYFUNCTION("""COMPUTED_VALUE"""),0.0)</f>
        <v>0</v>
      </c>
      <c r="V4159" s="1" t="str">
        <f>IFERROR(__xludf.DUMMYFUNCTION("""COMPUTED_VALUE"""),"#N/A")</f>
        <v>#N/A</v>
      </c>
      <c r="W4159" s="1" t="str">
        <f>IFERROR(__xludf.DUMMYFUNCTION("""COMPUTED_VALUE"""),"#N/A")</f>
        <v>#N/A</v>
      </c>
    </row>
    <row r="4160">
      <c r="O4160" s="1" t="str">
        <f>IFERROR(__xludf.DUMMYFUNCTION("""COMPUTED_VALUE"""),"#VALUE!")</f>
        <v>#VALUE!</v>
      </c>
      <c r="P4160" s="1" t="str">
        <f>IFERROR(__xludf.DUMMYFUNCTION("""COMPUTED_VALUE"""),"#N/A")</f>
        <v>#N/A</v>
      </c>
      <c r="Q4160" s="1"/>
      <c r="R4160" s="1"/>
      <c r="S4160" s="1"/>
      <c r="T4160" s="1"/>
      <c r="U4160" s="2">
        <f>IFERROR(__xludf.DUMMYFUNCTION("""COMPUTED_VALUE"""),0.0)</f>
        <v>0</v>
      </c>
      <c r="V4160" s="1" t="str">
        <f>IFERROR(__xludf.DUMMYFUNCTION("""COMPUTED_VALUE"""),"#N/A")</f>
        <v>#N/A</v>
      </c>
      <c r="W4160" s="1" t="str">
        <f>IFERROR(__xludf.DUMMYFUNCTION("""COMPUTED_VALUE"""),"#N/A")</f>
        <v>#N/A</v>
      </c>
    </row>
    <row r="4161">
      <c r="O4161" s="1" t="str">
        <f>IFERROR(__xludf.DUMMYFUNCTION("""COMPUTED_VALUE"""),"#VALUE!")</f>
        <v>#VALUE!</v>
      </c>
      <c r="P4161" s="1" t="str">
        <f>IFERROR(__xludf.DUMMYFUNCTION("""COMPUTED_VALUE"""),"#N/A")</f>
        <v>#N/A</v>
      </c>
      <c r="Q4161" s="1"/>
      <c r="R4161" s="1"/>
      <c r="S4161" s="1"/>
      <c r="T4161" s="1"/>
      <c r="U4161" s="2">
        <f>IFERROR(__xludf.DUMMYFUNCTION("""COMPUTED_VALUE"""),0.0)</f>
        <v>0</v>
      </c>
      <c r="V4161" s="1" t="str">
        <f>IFERROR(__xludf.DUMMYFUNCTION("""COMPUTED_VALUE"""),"#N/A")</f>
        <v>#N/A</v>
      </c>
      <c r="W4161" s="1" t="str">
        <f>IFERROR(__xludf.DUMMYFUNCTION("""COMPUTED_VALUE"""),"#N/A")</f>
        <v>#N/A</v>
      </c>
    </row>
    <row r="4162">
      <c r="O4162" s="1" t="str">
        <f>IFERROR(__xludf.DUMMYFUNCTION("""COMPUTED_VALUE"""),"#VALUE!")</f>
        <v>#VALUE!</v>
      </c>
      <c r="P4162" s="1" t="str">
        <f>IFERROR(__xludf.DUMMYFUNCTION("""COMPUTED_VALUE"""),"#N/A")</f>
        <v>#N/A</v>
      </c>
      <c r="Q4162" s="1"/>
      <c r="R4162" s="1"/>
      <c r="S4162" s="1"/>
      <c r="T4162" s="1"/>
      <c r="U4162" s="2">
        <f>IFERROR(__xludf.DUMMYFUNCTION("""COMPUTED_VALUE"""),0.0)</f>
        <v>0</v>
      </c>
      <c r="V4162" s="1" t="str">
        <f>IFERROR(__xludf.DUMMYFUNCTION("""COMPUTED_VALUE"""),"#N/A")</f>
        <v>#N/A</v>
      </c>
      <c r="W4162" s="1" t="str">
        <f>IFERROR(__xludf.DUMMYFUNCTION("""COMPUTED_VALUE"""),"#N/A")</f>
        <v>#N/A</v>
      </c>
    </row>
    <row r="4163">
      <c r="O4163" s="1" t="str">
        <f>IFERROR(__xludf.DUMMYFUNCTION("""COMPUTED_VALUE"""),"#VALUE!")</f>
        <v>#VALUE!</v>
      </c>
      <c r="P4163" s="1" t="str">
        <f>IFERROR(__xludf.DUMMYFUNCTION("""COMPUTED_VALUE"""),"#N/A")</f>
        <v>#N/A</v>
      </c>
      <c r="Q4163" s="1"/>
      <c r="R4163" s="1"/>
      <c r="S4163" s="1"/>
      <c r="T4163" s="1"/>
      <c r="U4163" s="2">
        <f>IFERROR(__xludf.DUMMYFUNCTION("""COMPUTED_VALUE"""),0.0)</f>
        <v>0</v>
      </c>
      <c r="V4163" s="1" t="str">
        <f>IFERROR(__xludf.DUMMYFUNCTION("""COMPUTED_VALUE"""),"#N/A")</f>
        <v>#N/A</v>
      </c>
      <c r="W4163" s="1" t="str">
        <f>IFERROR(__xludf.DUMMYFUNCTION("""COMPUTED_VALUE"""),"#N/A")</f>
        <v>#N/A</v>
      </c>
    </row>
    <row r="4164">
      <c r="O4164" s="1" t="str">
        <f>IFERROR(__xludf.DUMMYFUNCTION("""COMPUTED_VALUE"""),"#VALUE!")</f>
        <v>#VALUE!</v>
      </c>
      <c r="P4164" s="1" t="str">
        <f>IFERROR(__xludf.DUMMYFUNCTION("""COMPUTED_VALUE"""),"#N/A")</f>
        <v>#N/A</v>
      </c>
      <c r="Q4164" s="1"/>
      <c r="R4164" s="1"/>
      <c r="S4164" s="1"/>
      <c r="T4164" s="1"/>
      <c r="U4164" s="2">
        <f>IFERROR(__xludf.DUMMYFUNCTION("""COMPUTED_VALUE"""),0.0)</f>
        <v>0</v>
      </c>
      <c r="V4164" s="1" t="str">
        <f>IFERROR(__xludf.DUMMYFUNCTION("""COMPUTED_VALUE"""),"#N/A")</f>
        <v>#N/A</v>
      </c>
      <c r="W4164" s="1" t="str">
        <f>IFERROR(__xludf.DUMMYFUNCTION("""COMPUTED_VALUE"""),"#N/A")</f>
        <v>#N/A</v>
      </c>
    </row>
    <row r="4165">
      <c r="O4165" s="1" t="str">
        <f>IFERROR(__xludf.DUMMYFUNCTION("""COMPUTED_VALUE"""),"#VALUE!")</f>
        <v>#VALUE!</v>
      </c>
      <c r="P4165" s="1" t="str">
        <f>IFERROR(__xludf.DUMMYFUNCTION("""COMPUTED_VALUE"""),"#N/A")</f>
        <v>#N/A</v>
      </c>
      <c r="Q4165" s="1"/>
      <c r="R4165" s="1"/>
      <c r="S4165" s="1"/>
      <c r="T4165" s="1"/>
      <c r="U4165" s="2">
        <f>IFERROR(__xludf.DUMMYFUNCTION("""COMPUTED_VALUE"""),0.0)</f>
        <v>0</v>
      </c>
      <c r="V4165" s="1" t="str">
        <f>IFERROR(__xludf.DUMMYFUNCTION("""COMPUTED_VALUE"""),"#N/A")</f>
        <v>#N/A</v>
      </c>
      <c r="W4165" s="1" t="str">
        <f>IFERROR(__xludf.DUMMYFUNCTION("""COMPUTED_VALUE"""),"#N/A")</f>
        <v>#N/A</v>
      </c>
    </row>
    <row r="4166">
      <c r="O4166" s="1" t="str">
        <f>IFERROR(__xludf.DUMMYFUNCTION("""COMPUTED_VALUE"""),"#VALUE!")</f>
        <v>#VALUE!</v>
      </c>
      <c r="P4166" s="1" t="str">
        <f>IFERROR(__xludf.DUMMYFUNCTION("""COMPUTED_VALUE"""),"#N/A")</f>
        <v>#N/A</v>
      </c>
      <c r="Q4166" s="1"/>
      <c r="R4166" s="1"/>
      <c r="S4166" s="1"/>
      <c r="T4166" s="1"/>
      <c r="U4166" s="2">
        <f>IFERROR(__xludf.DUMMYFUNCTION("""COMPUTED_VALUE"""),0.0)</f>
        <v>0</v>
      </c>
      <c r="V4166" s="1" t="str">
        <f>IFERROR(__xludf.DUMMYFUNCTION("""COMPUTED_VALUE"""),"#N/A")</f>
        <v>#N/A</v>
      </c>
      <c r="W4166" s="1" t="str">
        <f>IFERROR(__xludf.DUMMYFUNCTION("""COMPUTED_VALUE"""),"#N/A")</f>
        <v>#N/A</v>
      </c>
    </row>
    <row r="4167">
      <c r="O4167" s="1" t="str">
        <f>IFERROR(__xludf.DUMMYFUNCTION("""COMPUTED_VALUE"""),"#VALUE!")</f>
        <v>#VALUE!</v>
      </c>
      <c r="P4167" s="1" t="str">
        <f>IFERROR(__xludf.DUMMYFUNCTION("""COMPUTED_VALUE"""),"#N/A")</f>
        <v>#N/A</v>
      </c>
      <c r="Q4167" s="1"/>
      <c r="R4167" s="1"/>
      <c r="S4167" s="1"/>
      <c r="T4167" s="1"/>
      <c r="U4167" s="2">
        <f>IFERROR(__xludf.DUMMYFUNCTION("""COMPUTED_VALUE"""),0.0)</f>
        <v>0</v>
      </c>
      <c r="V4167" s="1" t="str">
        <f>IFERROR(__xludf.DUMMYFUNCTION("""COMPUTED_VALUE"""),"#N/A")</f>
        <v>#N/A</v>
      </c>
      <c r="W4167" s="1" t="str">
        <f>IFERROR(__xludf.DUMMYFUNCTION("""COMPUTED_VALUE"""),"#N/A")</f>
        <v>#N/A</v>
      </c>
    </row>
    <row r="4168">
      <c r="O4168" s="1" t="str">
        <f>IFERROR(__xludf.DUMMYFUNCTION("""COMPUTED_VALUE"""),"#VALUE!")</f>
        <v>#VALUE!</v>
      </c>
      <c r="P4168" s="1" t="str">
        <f>IFERROR(__xludf.DUMMYFUNCTION("""COMPUTED_VALUE"""),"#N/A")</f>
        <v>#N/A</v>
      </c>
      <c r="Q4168" s="1"/>
      <c r="R4168" s="1"/>
      <c r="S4168" s="1"/>
      <c r="T4168" s="1"/>
      <c r="U4168" s="2">
        <f>IFERROR(__xludf.DUMMYFUNCTION("""COMPUTED_VALUE"""),0.0)</f>
        <v>0</v>
      </c>
      <c r="V4168" s="1" t="str">
        <f>IFERROR(__xludf.DUMMYFUNCTION("""COMPUTED_VALUE"""),"#N/A")</f>
        <v>#N/A</v>
      </c>
      <c r="W4168" s="1" t="str">
        <f>IFERROR(__xludf.DUMMYFUNCTION("""COMPUTED_VALUE"""),"#N/A")</f>
        <v>#N/A</v>
      </c>
    </row>
    <row r="4169">
      <c r="O4169" s="1" t="str">
        <f>IFERROR(__xludf.DUMMYFUNCTION("""COMPUTED_VALUE"""),"#VALUE!")</f>
        <v>#VALUE!</v>
      </c>
      <c r="P4169" s="1" t="str">
        <f>IFERROR(__xludf.DUMMYFUNCTION("""COMPUTED_VALUE"""),"#N/A")</f>
        <v>#N/A</v>
      </c>
      <c r="Q4169" s="1"/>
      <c r="R4169" s="1"/>
      <c r="S4169" s="1"/>
      <c r="T4169" s="1"/>
      <c r="U4169" s="2">
        <f>IFERROR(__xludf.DUMMYFUNCTION("""COMPUTED_VALUE"""),0.0)</f>
        <v>0</v>
      </c>
      <c r="V4169" s="1" t="str">
        <f>IFERROR(__xludf.DUMMYFUNCTION("""COMPUTED_VALUE"""),"#N/A")</f>
        <v>#N/A</v>
      </c>
      <c r="W4169" s="1" t="str">
        <f>IFERROR(__xludf.DUMMYFUNCTION("""COMPUTED_VALUE"""),"#N/A")</f>
        <v>#N/A</v>
      </c>
    </row>
    <row r="4170">
      <c r="O4170" s="1" t="str">
        <f>IFERROR(__xludf.DUMMYFUNCTION("""COMPUTED_VALUE"""),"#VALUE!")</f>
        <v>#VALUE!</v>
      </c>
      <c r="P4170" s="1" t="str">
        <f>IFERROR(__xludf.DUMMYFUNCTION("""COMPUTED_VALUE"""),"#N/A")</f>
        <v>#N/A</v>
      </c>
      <c r="Q4170" s="1"/>
      <c r="R4170" s="1"/>
      <c r="S4170" s="1"/>
      <c r="T4170" s="1"/>
      <c r="U4170" s="2">
        <f>IFERROR(__xludf.DUMMYFUNCTION("""COMPUTED_VALUE"""),0.0)</f>
        <v>0</v>
      </c>
      <c r="V4170" s="1" t="str">
        <f>IFERROR(__xludf.DUMMYFUNCTION("""COMPUTED_VALUE"""),"#N/A")</f>
        <v>#N/A</v>
      </c>
      <c r="W4170" s="1" t="str">
        <f>IFERROR(__xludf.DUMMYFUNCTION("""COMPUTED_VALUE"""),"#N/A")</f>
        <v>#N/A</v>
      </c>
    </row>
    <row r="4171">
      <c r="O4171" s="1" t="str">
        <f>IFERROR(__xludf.DUMMYFUNCTION("""COMPUTED_VALUE"""),"#VALUE!")</f>
        <v>#VALUE!</v>
      </c>
      <c r="P4171" s="1" t="str">
        <f>IFERROR(__xludf.DUMMYFUNCTION("""COMPUTED_VALUE"""),"#N/A")</f>
        <v>#N/A</v>
      </c>
      <c r="Q4171" s="1"/>
      <c r="R4171" s="1"/>
      <c r="S4171" s="1"/>
      <c r="T4171" s="1"/>
      <c r="U4171" s="2">
        <f>IFERROR(__xludf.DUMMYFUNCTION("""COMPUTED_VALUE"""),0.0)</f>
        <v>0</v>
      </c>
      <c r="V4171" s="1" t="str">
        <f>IFERROR(__xludf.DUMMYFUNCTION("""COMPUTED_VALUE"""),"#N/A")</f>
        <v>#N/A</v>
      </c>
      <c r="W4171" s="1" t="str">
        <f>IFERROR(__xludf.DUMMYFUNCTION("""COMPUTED_VALUE"""),"#N/A")</f>
        <v>#N/A</v>
      </c>
    </row>
    <row r="4172">
      <c r="O4172" s="1" t="str">
        <f>IFERROR(__xludf.DUMMYFUNCTION("""COMPUTED_VALUE"""),"#VALUE!")</f>
        <v>#VALUE!</v>
      </c>
      <c r="P4172" s="1" t="str">
        <f>IFERROR(__xludf.DUMMYFUNCTION("""COMPUTED_VALUE"""),"#N/A")</f>
        <v>#N/A</v>
      </c>
      <c r="Q4172" s="1"/>
      <c r="R4172" s="1"/>
      <c r="S4172" s="1"/>
      <c r="T4172" s="1"/>
      <c r="U4172" s="2">
        <f>IFERROR(__xludf.DUMMYFUNCTION("""COMPUTED_VALUE"""),0.0)</f>
        <v>0</v>
      </c>
      <c r="V4172" s="1" t="str">
        <f>IFERROR(__xludf.DUMMYFUNCTION("""COMPUTED_VALUE"""),"#N/A")</f>
        <v>#N/A</v>
      </c>
      <c r="W4172" s="1" t="str">
        <f>IFERROR(__xludf.DUMMYFUNCTION("""COMPUTED_VALUE"""),"#N/A")</f>
        <v>#N/A</v>
      </c>
    </row>
    <row r="4173">
      <c r="O4173" s="1" t="str">
        <f>IFERROR(__xludf.DUMMYFUNCTION("""COMPUTED_VALUE"""),"#VALUE!")</f>
        <v>#VALUE!</v>
      </c>
      <c r="P4173" s="1" t="str">
        <f>IFERROR(__xludf.DUMMYFUNCTION("""COMPUTED_VALUE"""),"#N/A")</f>
        <v>#N/A</v>
      </c>
      <c r="Q4173" s="1"/>
      <c r="R4173" s="1"/>
      <c r="S4173" s="1"/>
      <c r="T4173" s="1"/>
      <c r="U4173" s="2">
        <f>IFERROR(__xludf.DUMMYFUNCTION("""COMPUTED_VALUE"""),0.0)</f>
        <v>0</v>
      </c>
      <c r="V4173" s="1" t="str">
        <f>IFERROR(__xludf.DUMMYFUNCTION("""COMPUTED_VALUE"""),"#N/A")</f>
        <v>#N/A</v>
      </c>
      <c r="W4173" s="1" t="str">
        <f>IFERROR(__xludf.DUMMYFUNCTION("""COMPUTED_VALUE"""),"#N/A")</f>
        <v>#N/A</v>
      </c>
    </row>
    <row r="4174">
      <c r="O4174" s="1" t="str">
        <f>IFERROR(__xludf.DUMMYFUNCTION("""COMPUTED_VALUE"""),"#VALUE!")</f>
        <v>#VALUE!</v>
      </c>
      <c r="P4174" s="1" t="str">
        <f>IFERROR(__xludf.DUMMYFUNCTION("""COMPUTED_VALUE"""),"#N/A")</f>
        <v>#N/A</v>
      </c>
      <c r="Q4174" s="1"/>
      <c r="R4174" s="1"/>
      <c r="S4174" s="1"/>
      <c r="T4174" s="1"/>
      <c r="U4174" s="2">
        <f>IFERROR(__xludf.DUMMYFUNCTION("""COMPUTED_VALUE"""),0.0)</f>
        <v>0</v>
      </c>
      <c r="V4174" s="1" t="str">
        <f>IFERROR(__xludf.DUMMYFUNCTION("""COMPUTED_VALUE"""),"#N/A")</f>
        <v>#N/A</v>
      </c>
      <c r="W4174" s="1" t="str">
        <f>IFERROR(__xludf.DUMMYFUNCTION("""COMPUTED_VALUE"""),"#N/A")</f>
        <v>#N/A</v>
      </c>
    </row>
    <row r="4175">
      <c r="O4175" s="1" t="str">
        <f>IFERROR(__xludf.DUMMYFUNCTION("""COMPUTED_VALUE"""),"#VALUE!")</f>
        <v>#VALUE!</v>
      </c>
      <c r="P4175" s="1" t="str">
        <f>IFERROR(__xludf.DUMMYFUNCTION("""COMPUTED_VALUE"""),"#N/A")</f>
        <v>#N/A</v>
      </c>
      <c r="Q4175" s="1"/>
      <c r="R4175" s="1"/>
      <c r="S4175" s="1"/>
      <c r="T4175" s="1"/>
      <c r="U4175" s="2">
        <f>IFERROR(__xludf.DUMMYFUNCTION("""COMPUTED_VALUE"""),0.0)</f>
        <v>0</v>
      </c>
      <c r="V4175" s="1" t="str">
        <f>IFERROR(__xludf.DUMMYFUNCTION("""COMPUTED_VALUE"""),"#N/A")</f>
        <v>#N/A</v>
      </c>
      <c r="W4175" s="1" t="str">
        <f>IFERROR(__xludf.DUMMYFUNCTION("""COMPUTED_VALUE"""),"#N/A")</f>
        <v>#N/A</v>
      </c>
    </row>
    <row r="4176">
      <c r="O4176" s="1" t="str">
        <f>IFERROR(__xludf.DUMMYFUNCTION("""COMPUTED_VALUE"""),"#VALUE!")</f>
        <v>#VALUE!</v>
      </c>
      <c r="P4176" s="1" t="str">
        <f>IFERROR(__xludf.DUMMYFUNCTION("""COMPUTED_VALUE"""),"#N/A")</f>
        <v>#N/A</v>
      </c>
      <c r="Q4176" s="1"/>
      <c r="R4176" s="1"/>
      <c r="S4176" s="1"/>
      <c r="T4176" s="1"/>
      <c r="U4176" s="2">
        <f>IFERROR(__xludf.DUMMYFUNCTION("""COMPUTED_VALUE"""),0.0)</f>
        <v>0</v>
      </c>
      <c r="V4176" s="1" t="str">
        <f>IFERROR(__xludf.DUMMYFUNCTION("""COMPUTED_VALUE"""),"#N/A")</f>
        <v>#N/A</v>
      </c>
      <c r="W4176" s="1" t="str">
        <f>IFERROR(__xludf.DUMMYFUNCTION("""COMPUTED_VALUE"""),"#N/A")</f>
        <v>#N/A</v>
      </c>
    </row>
    <row r="4177">
      <c r="O4177" s="1" t="str">
        <f>IFERROR(__xludf.DUMMYFUNCTION("""COMPUTED_VALUE"""),"#VALUE!")</f>
        <v>#VALUE!</v>
      </c>
      <c r="P4177" s="1" t="str">
        <f>IFERROR(__xludf.DUMMYFUNCTION("""COMPUTED_VALUE"""),"#N/A")</f>
        <v>#N/A</v>
      </c>
      <c r="Q4177" s="1"/>
      <c r="R4177" s="1"/>
      <c r="S4177" s="1"/>
      <c r="T4177" s="1"/>
      <c r="U4177" s="2">
        <f>IFERROR(__xludf.DUMMYFUNCTION("""COMPUTED_VALUE"""),0.0)</f>
        <v>0</v>
      </c>
      <c r="V4177" s="1" t="str">
        <f>IFERROR(__xludf.DUMMYFUNCTION("""COMPUTED_VALUE"""),"#N/A")</f>
        <v>#N/A</v>
      </c>
      <c r="W4177" s="1" t="str">
        <f>IFERROR(__xludf.DUMMYFUNCTION("""COMPUTED_VALUE"""),"#N/A")</f>
        <v>#N/A</v>
      </c>
    </row>
    <row r="4178">
      <c r="O4178" s="1" t="str">
        <f>IFERROR(__xludf.DUMMYFUNCTION("""COMPUTED_VALUE"""),"#VALUE!")</f>
        <v>#VALUE!</v>
      </c>
      <c r="P4178" s="1" t="str">
        <f>IFERROR(__xludf.DUMMYFUNCTION("""COMPUTED_VALUE"""),"#N/A")</f>
        <v>#N/A</v>
      </c>
      <c r="Q4178" s="1"/>
      <c r="R4178" s="1"/>
      <c r="S4178" s="1"/>
      <c r="T4178" s="1"/>
      <c r="U4178" s="2">
        <f>IFERROR(__xludf.DUMMYFUNCTION("""COMPUTED_VALUE"""),0.0)</f>
        <v>0</v>
      </c>
      <c r="V4178" s="1" t="str">
        <f>IFERROR(__xludf.DUMMYFUNCTION("""COMPUTED_VALUE"""),"#N/A")</f>
        <v>#N/A</v>
      </c>
      <c r="W4178" s="1" t="str">
        <f>IFERROR(__xludf.DUMMYFUNCTION("""COMPUTED_VALUE"""),"#N/A")</f>
        <v>#N/A</v>
      </c>
    </row>
    <row r="4179">
      <c r="O4179" s="1" t="str">
        <f>IFERROR(__xludf.DUMMYFUNCTION("""COMPUTED_VALUE"""),"#VALUE!")</f>
        <v>#VALUE!</v>
      </c>
      <c r="P4179" s="1" t="str">
        <f>IFERROR(__xludf.DUMMYFUNCTION("""COMPUTED_VALUE"""),"#N/A")</f>
        <v>#N/A</v>
      </c>
      <c r="Q4179" s="1"/>
      <c r="R4179" s="1"/>
      <c r="S4179" s="1"/>
      <c r="T4179" s="1"/>
      <c r="U4179" s="2">
        <f>IFERROR(__xludf.DUMMYFUNCTION("""COMPUTED_VALUE"""),0.0)</f>
        <v>0</v>
      </c>
      <c r="V4179" s="1" t="str">
        <f>IFERROR(__xludf.DUMMYFUNCTION("""COMPUTED_VALUE"""),"#N/A")</f>
        <v>#N/A</v>
      </c>
      <c r="W4179" s="1" t="str">
        <f>IFERROR(__xludf.DUMMYFUNCTION("""COMPUTED_VALUE"""),"#N/A")</f>
        <v>#N/A</v>
      </c>
    </row>
    <row r="4180">
      <c r="O4180" s="1" t="str">
        <f>IFERROR(__xludf.DUMMYFUNCTION("""COMPUTED_VALUE"""),"#VALUE!")</f>
        <v>#VALUE!</v>
      </c>
      <c r="P4180" s="1" t="str">
        <f>IFERROR(__xludf.DUMMYFUNCTION("""COMPUTED_VALUE"""),"#N/A")</f>
        <v>#N/A</v>
      </c>
      <c r="Q4180" s="1"/>
      <c r="R4180" s="1"/>
      <c r="S4180" s="1"/>
      <c r="T4180" s="1"/>
      <c r="U4180" s="2">
        <f>IFERROR(__xludf.DUMMYFUNCTION("""COMPUTED_VALUE"""),0.0)</f>
        <v>0</v>
      </c>
      <c r="V4180" s="1" t="str">
        <f>IFERROR(__xludf.DUMMYFUNCTION("""COMPUTED_VALUE"""),"#N/A")</f>
        <v>#N/A</v>
      </c>
      <c r="W4180" s="1" t="str">
        <f>IFERROR(__xludf.DUMMYFUNCTION("""COMPUTED_VALUE"""),"#N/A")</f>
        <v>#N/A</v>
      </c>
    </row>
    <row r="4181">
      <c r="O4181" s="1" t="str">
        <f>IFERROR(__xludf.DUMMYFUNCTION("""COMPUTED_VALUE"""),"#VALUE!")</f>
        <v>#VALUE!</v>
      </c>
      <c r="P4181" s="1" t="str">
        <f>IFERROR(__xludf.DUMMYFUNCTION("""COMPUTED_VALUE"""),"#N/A")</f>
        <v>#N/A</v>
      </c>
      <c r="Q4181" s="1"/>
      <c r="R4181" s="1"/>
      <c r="S4181" s="1"/>
      <c r="T4181" s="1"/>
      <c r="U4181" s="2">
        <f>IFERROR(__xludf.DUMMYFUNCTION("""COMPUTED_VALUE"""),0.0)</f>
        <v>0</v>
      </c>
      <c r="V4181" s="1" t="str">
        <f>IFERROR(__xludf.DUMMYFUNCTION("""COMPUTED_VALUE"""),"#N/A")</f>
        <v>#N/A</v>
      </c>
      <c r="W4181" s="1" t="str">
        <f>IFERROR(__xludf.DUMMYFUNCTION("""COMPUTED_VALUE"""),"#N/A")</f>
        <v>#N/A</v>
      </c>
    </row>
    <row r="4182">
      <c r="O4182" s="1" t="str">
        <f>IFERROR(__xludf.DUMMYFUNCTION("""COMPUTED_VALUE"""),"#VALUE!")</f>
        <v>#VALUE!</v>
      </c>
      <c r="P4182" s="1" t="str">
        <f>IFERROR(__xludf.DUMMYFUNCTION("""COMPUTED_VALUE"""),"#N/A")</f>
        <v>#N/A</v>
      </c>
      <c r="Q4182" s="1"/>
      <c r="R4182" s="1"/>
      <c r="S4182" s="1"/>
      <c r="T4182" s="1"/>
      <c r="U4182" s="2">
        <f>IFERROR(__xludf.DUMMYFUNCTION("""COMPUTED_VALUE"""),0.0)</f>
        <v>0</v>
      </c>
      <c r="V4182" s="1" t="str">
        <f>IFERROR(__xludf.DUMMYFUNCTION("""COMPUTED_VALUE"""),"#N/A")</f>
        <v>#N/A</v>
      </c>
      <c r="W4182" s="1" t="str">
        <f>IFERROR(__xludf.DUMMYFUNCTION("""COMPUTED_VALUE"""),"#N/A")</f>
        <v>#N/A</v>
      </c>
    </row>
    <row r="4183">
      <c r="O4183" s="1" t="str">
        <f>IFERROR(__xludf.DUMMYFUNCTION("""COMPUTED_VALUE"""),"#VALUE!")</f>
        <v>#VALUE!</v>
      </c>
      <c r="P4183" s="1" t="str">
        <f>IFERROR(__xludf.DUMMYFUNCTION("""COMPUTED_VALUE"""),"#N/A")</f>
        <v>#N/A</v>
      </c>
      <c r="Q4183" s="1"/>
      <c r="R4183" s="1"/>
      <c r="S4183" s="1"/>
      <c r="T4183" s="1"/>
      <c r="U4183" s="2">
        <f>IFERROR(__xludf.DUMMYFUNCTION("""COMPUTED_VALUE"""),0.0)</f>
        <v>0</v>
      </c>
      <c r="V4183" s="1" t="str">
        <f>IFERROR(__xludf.DUMMYFUNCTION("""COMPUTED_VALUE"""),"#N/A")</f>
        <v>#N/A</v>
      </c>
      <c r="W4183" s="1" t="str">
        <f>IFERROR(__xludf.DUMMYFUNCTION("""COMPUTED_VALUE"""),"#N/A")</f>
        <v>#N/A</v>
      </c>
    </row>
    <row r="4184">
      <c r="O4184" s="1" t="str">
        <f>IFERROR(__xludf.DUMMYFUNCTION("""COMPUTED_VALUE"""),"#VALUE!")</f>
        <v>#VALUE!</v>
      </c>
      <c r="P4184" s="1" t="str">
        <f>IFERROR(__xludf.DUMMYFUNCTION("""COMPUTED_VALUE"""),"#N/A")</f>
        <v>#N/A</v>
      </c>
      <c r="Q4184" s="1"/>
      <c r="R4184" s="1"/>
      <c r="S4184" s="1"/>
      <c r="T4184" s="1"/>
      <c r="U4184" s="2">
        <f>IFERROR(__xludf.DUMMYFUNCTION("""COMPUTED_VALUE"""),0.0)</f>
        <v>0</v>
      </c>
      <c r="V4184" s="1" t="str">
        <f>IFERROR(__xludf.DUMMYFUNCTION("""COMPUTED_VALUE"""),"#N/A")</f>
        <v>#N/A</v>
      </c>
      <c r="W4184" s="1" t="str">
        <f>IFERROR(__xludf.DUMMYFUNCTION("""COMPUTED_VALUE"""),"#N/A")</f>
        <v>#N/A</v>
      </c>
    </row>
    <row r="4185">
      <c r="O4185" s="1" t="str">
        <f>IFERROR(__xludf.DUMMYFUNCTION("""COMPUTED_VALUE"""),"#VALUE!")</f>
        <v>#VALUE!</v>
      </c>
      <c r="P4185" s="1" t="str">
        <f>IFERROR(__xludf.DUMMYFUNCTION("""COMPUTED_VALUE"""),"#N/A")</f>
        <v>#N/A</v>
      </c>
      <c r="Q4185" s="1"/>
      <c r="R4185" s="1"/>
      <c r="S4185" s="1"/>
      <c r="T4185" s="1"/>
      <c r="U4185" s="2">
        <f>IFERROR(__xludf.DUMMYFUNCTION("""COMPUTED_VALUE"""),0.0)</f>
        <v>0</v>
      </c>
      <c r="V4185" s="1" t="str">
        <f>IFERROR(__xludf.DUMMYFUNCTION("""COMPUTED_VALUE"""),"#N/A")</f>
        <v>#N/A</v>
      </c>
      <c r="W4185" s="1" t="str">
        <f>IFERROR(__xludf.DUMMYFUNCTION("""COMPUTED_VALUE"""),"#N/A")</f>
        <v>#N/A</v>
      </c>
    </row>
    <row r="4186">
      <c r="O4186" s="1" t="str">
        <f>IFERROR(__xludf.DUMMYFUNCTION("""COMPUTED_VALUE"""),"#VALUE!")</f>
        <v>#VALUE!</v>
      </c>
      <c r="P4186" s="1" t="str">
        <f>IFERROR(__xludf.DUMMYFUNCTION("""COMPUTED_VALUE"""),"#N/A")</f>
        <v>#N/A</v>
      </c>
      <c r="Q4186" s="1"/>
      <c r="R4186" s="1"/>
      <c r="S4186" s="1"/>
      <c r="T4186" s="1"/>
      <c r="U4186" s="2">
        <f>IFERROR(__xludf.DUMMYFUNCTION("""COMPUTED_VALUE"""),0.0)</f>
        <v>0</v>
      </c>
      <c r="V4186" s="1" t="str">
        <f>IFERROR(__xludf.DUMMYFUNCTION("""COMPUTED_VALUE"""),"#N/A")</f>
        <v>#N/A</v>
      </c>
      <c r="W4186" s="1" t="str">
        <f>IFERROR(__xludf.DUMMYFUNCTION("""COMPUTED_VALUE"""),"#N/A")</f>
        <v>#N/A</v>
      </c>
    </row>
    <row r="4187">
      <c r="O4187" s="1" t="str">
        <f>IFERROR(__xludf.DUMMYFUNCTION("""COMPUTED_VALUE"""),"#VALUE!")</f>
        <v>#VALUE!</v>
      </c>
      <c r="P4187" s="1" t="str">
        <f>IFERROR(__xludf.DUMMYFUNCTION("""COMPUTED_VALUE"""),"#N/A")</f>
        <v>#N/A</v>
      </c>
      <c r="Q4187" s="1"/>
      <c r="R4187" s="1"/>
      <c r="S4187" s="1"/>
      <c r="T4187" s="1"/>
      <c r="U4187" s="2">
        <f>IFERROR(__xludf.DUMMYFUNCTION("""COMPUTED_VALUE"""),0.0)</f>
        <v>0</v>
      </c>
      <c r="V4187" s="1" t="str">
        <f>IFERROR(__xludf.DUMMYFUNCTION("""COMPUTED_VALUE"""),"#N/A")</f>
        <v>#N/A</v>
      </c>
      <c r="W4187" s="1" t="str">
        <f>IFERROR(__xludf.DUMMYFUNCTION("""COMPUTED_VALUE"""),"#N/A")</f>
        <v>#N/A</v>
      </c>
    </row>
    <row r="4188">
      <c r="O4188" s="1" t="str">
        <f>IFERROR(__xludf.DUMMYFUNCTION("""COMPUTED_VALUE"""),"#VALUE!")</f>
        <v>#VALUE!</v>
      </c>
      <c r="P4188" s="1" t="str">
        <f>IFERROR(__xludf.DUMMYFUNCTION("""COMPUTED_VALUE"""),"#N/A")</f>
        <v>#N/A</v>
      </c>
      <c r="Q4188" s="1"/>
      <c r="R4188" s="1"/>
      <c r="S4188" s="1"/>
      <c r="T4188" s="1"/>
      <c r="U4188" s="2">
        <f>IFERROR(__xludf.DUMMYFUNCTION("""COMPUTED_VALUE"""),0.0)</f>
        <v>0</v>
      </c>
      <c r="V4188" s="1" t="str">
        <f>IFERROR(__xludf.DUMMYFUNCTION("""COMPUTED_VALUE"""),"#N/A")</f>
        <v>#N/A</v>
      </c>
      <c r="W4188" s="1" t="str">
        <f>IFERROR(__xludf.DUMMYFUNCTION("""COMPUTED_VALUE"""),"#N/A")</f>
        <v>#N/A</v>
      </c>
    </row>
    <row r="4189">
      <c r="O4189" s="1" t="str">
        <f>IFERROR(__xludf.DUMMYFUNCTION("""COMPUTED_VALUE"""),"#VALUE!")</f>
        <v>#VALUE!</v>
      </c>
      <c r="P4189" s="1" t="str">
        <f>IFERROR(__xludf.DUMMYFUNCTION("""COMPUTED_VALUE"""),"#N/A")</f>
        <v>#N/A</v>
      </c>
      <c r="Q4189" s="1"/>
      <c r="R4189" s="1"/>
      <c r="S4189" s="1"/>
      <c r="T4189" s="1"/>
      <c r="U4189" s="2">
        <f>IFERROR(__xludf.DUMMYFUNCTION("""COMPUTED_VALUE"""),0.0)</f>
        <v>0</v>
      </c>
      <c r="V4189" s="1" t="str">
        <f>IFERROR(__xludf.DUMMYFUNCTION("""COMPUTED_VALUE"""),"#N/A")</f>
        <v>#N/A</v>
      </c>
      <c r="W4189" s="1" t="str">
        <f>IFERROR(__xludf.DUMMYFUNCTION("""COMPUTED_VALUE"""),"#N/A")</f>
        <v>#N/A</v>
      </c>
    </row>
    <row r="4190">
      <c r="O4190" s="1" t="str">
        <f>IFERROR(__xludf.DUMMYFUNCTION("""COMPUTED_VALUE"""),"#VALUE!")</f>
        <v>#VALUE!</v>
      </c>
      <c r="P4190" s="1" t="str">
        <f>IFERROR(__xludf.DUMMYFUNCTION("""COMPUTED_VALUE"""),"#N/A")</f>
        <v>#N/A</v>
      </c>
      <c r="Q4190" s="1"/>
      <c r="R4190" s="1"/>
      <c r="S4190" s="1"/>
      <c r="T4190" s="1"/>
      <c r="U4190" s="2">
        <f>IFERROR(__xludf.DUMMYFUNCTION("""COMPUTED_VALUE"""),0.0)</f>
        <v>0</v>
      </c>
      <c r="V4190" s="1" t="str">
        <f>IFERROR(__xludf.DUMMYFUNCTION("""COMPUTED_VALUE"""),"#N/A")</f>
        <v>#N/A</v>
      </c>
      <c r="W4190" s="1" t="str">
        <f>IFERROR(__xludf.DUMMYFUNCTION("""COMPUTED_VALUE"""),"#N/A")</f>
        <v>#N/A</v>
      </c>
    </row>
    <row r="4191">
      <c r="O4191" s="1" t="str">
        <f>IFERROR(__xludf.DUMMYFUNCTION("""COMPUTED_VALUE"""),"#VALUE!")</f>
        <v>#VALUE!</v>
      </c>
      <c r="P4191" s="1" t="str">
        <f>IFERROR(__xludf.DUMMYFUNCTION("""COMPUTED_VALUE"""),"#N/A")</f>
        <v>#N/A</v>
      </c>
      <c r="Q4191" s="1"/>
      <c r="R4191" s="1"/>
      <c r="S4191" s="1"/>
      <c r="T4191" s="1"/>
      <c r="U4191" s="2">
        <f>IFERROR(__xludf.DUMMYFUNCTION("""COMPUTED_VALUE"""),0.0)</f>
        <v>0</v>
      </c>
      <c r="V4191" s="1" t="str">
        <f>IFERROR(__xludf.DUMMYFUNCTION("""COMPUTED_VALUE"""),"#N/A")</f>
        <v>#N/A</v>
      </c>
      <c r="W4191" s="1" t="str">
        <f>IFERROR(__xludf.DUMMYFUNCTION("""COMPUTED_VALUE"""),"#N/A")</f>
        <v>#N/A</v>
      </c>
    </row>
    <row r="4192">
      <c r="O4192" s="1" t="str">
        <f>IFERROR(__xludf.DUMMYFUNCTION("""COMPUTED_VALUE"""),"#VALUE!")</f>
        <v>#VALUE!</v>
      </c>
      <c r="P4192" s="1" t="str">
        <f>IFERROR(__xludf.DUMMYFUNCTION("""COMPUTED_VALUE"""),"#N/A")</f>
        <v>#N/A</v>
      </c>
      <c r="Q4192" s="1"/>
      <c r="R4192" s="1"/>
      <c r="S4192" s="1"/>
      <c r="T4192" s="1"/>
      <c r="U4192" s="2">
        <f>IFERROR(__xludf.DUMMYFUNCTION("""COMPUTED_VALUE"""),0.0)</f>
        <v>0</v>
      </c>
      <c r="V4192" s="1" t="str">
        <f>IFERROR(__xludf.DUMMYFUNCTION("""COMPUTED_VALUE"""),"#N/A")</f>
        <v>#N/A</v>
      </c>
      <c r="W4192" s="1" t="str">
        <f>IFERROR(__xludf.DUMMYFUNCTION("""COMPUTED_VALUE"""),"#N/A")</f>
        <v>#N/A</v>
      </c>
    </row>
    <row r="4193">
      <c r="O4193" s="1" t="str">
        <f>IFERROR(__xludf.DUMMYFUNCTION("""COMPUTED_VALUE"""),"#VALUE!")</f>
        <v>#VALUE!</v>
      </c>
      <c r="P4193" s="1" t="str">
        <f>IFERROR(__xludf.DUMMYFUNCTION("""COMPUTED_VALUE"""),"#N/A")</f>
        <v>#N/A</v>
      </c>
      <c r="Q4193" s="1"/>
      <c r="R4193" s="1"/>
      <c r="S4193" s="1"/>
      <c r="T4193" s="1"/>
      <c r="U4193" s="2">
        <f>IFERROR(__xludf.DUMMYFUNCTION("""COMPUTED_VALUE"""),0.0)</f>
        <v>0</v>
      </c>
      <c r="V4193" s="1" t="str">
        <f>IFERROR(__xludf.DUMMYFUNCTION("""COMPUTED_VALUE"""),"#N/A")</f>
        <v>#N/A</v>
      </c>
      <c r="W4193" s="1" t="str">
        <f>IFERROR(__xludf.DUMMYFUNCTION("""COMPUTED_VALUE"""),"#N/A")</f>
        <v>#N/A</v>
      </c>
    </row>
    <row r="4194">
      <c r="O4194" s="1" t="str">
        <f>IFERROR(__xludf.DUMMYFUNCTION("""COMPUTED_VALUE"""),"#VALUE!")</f>
        <v>#VALUE!</v>
      </c>
      <c r="P4194" s="1" t="str">
        <f>IFERROR(__xludf.DUMMYFUNCTION("""COMPUTED_VALUE"""),"#N/A")</f>
        <v>#N/A</v>
      </c>
      <c r="Q4194" s="1"/>
      <c r="R4194" s="1"/>
      <c r="S4194" s="1"/>
      <c r="T4194" s="1"/>
      <c r="U4194" s="2">
        <f>IFERROR(__xludf.DUMMYFUNCTION("""COMPUTED_VALUE"""),0.0)</f>
        <v>0</v>
      </c>
      <c r="V4194" s="1" t="str">
        <f>IFERROR(__xludf.DUMMYFUNCTION("""COMPUTED_VALUE"""),"#N/A")</f>
        <v>#N/A</v>
      </c>
      <c r="W4194" s="1" t="str">
        <f>IFERROR(__xludf.DUMMYFUNCTION("""COMPUTED_VALUE"""),"#N/A")</f>
        <v>#N/A</v>
      </c>
    </row>
    <row r="4195">
      <c r="O4195" s="1" t="str">
        <f>IFERROR(__xludf.DUMMYFUNCTION("""COMPUTED_VALUE"""),"#VALUE!")</f>
        <v>#VALUE!</v>
      </c>
      <c r="P4195" s="1" t="str">
        <f>IFERROR(__xludf.DUMMYFUNCTION("""COMPUTED_VALUE"""),"#N/A")</f>
        <v>#N/A</v>
      </c>
      <c r="Q4195" s="1"/>
      <c r="R4195" s="1"/>
      <c r="S4195" s="1"/>
      <c r="T4195" s="1"/>
      <c r="U4195" s="2">
        <f>IFERROR(__xludf.DUMMYFUNCTION("""COMPUTED_VALUE"""),0.0)</f>
        <v>0</v>
      </c>
      <c r="V4195" s="1" t="str">
        <f>IFERROR(__xludf.DUMMYFUNCTION("""COMPUTED_VALUE"""),"#N/A")</f>
        <v>#N/A</v>
      </c>
      <c r="W4195" s="1" t="str">
        <f>IFERROR(__xludf.DUMMYFUNCTION("""COMPUTED_VALUE"""),"#N/A")</f>
        <v>#N/A</v>
      </c>
    </row>
    <row r="4196">
      <c r="O4196" s="1" t="str">
        <f>IFERROR(__xludf.DUMMYFUNCTION("""COMPUTED_VALUE"""),"#VALUE!")</f>
        <v>#VALUE!</v>
      </c>
      <c r="P4196" s="1" t="str">
        <f>IFERROR(__xludf.DUMMYFUNCTION("""COMPUTED_VALUE"""),"#N/A")</f>
        <v>#N/A</v>
      </c>
      <c r="Q4196" s="1"/>
      <c r="R4196" s="1"/>
      <c r="S4196" s="1"/>
      <c r="T4196" s="1"/>
      <c r="U4196" s="2">
        <f>IFERROR(__xludf.DUMMYFUNCTION("""COMPUTED_VALUE"""),0.0)</f>
        <v>0</v>
      </c>
      <c r="V4196" s="1" t="str">
        <f>IFERROR(__xludf.DUMMYFUNCTION("""COMPUTED_VALUE"""),"#N/A")</f>
        <v>#N/A</v>
      </c>
      <c r="W4196" s="1" t="str">
        <f>IFERROR(__xludf.DUMMYFUNCTION("""COMPUTED_VALUE"""),"#N/A")</f>
        <v>#N/A</v>
      </c>
    </row>
    <row r="4197">
      <c r="O4197" s="1" t="str">
        <f>IFERROR(__xludf.DUMMYFUNCTION("""COMPUTED_VALUE"""),"#VALUE!")</f>
        <v>#VALUE!</v>
      </c>
      <c r="P4197" s="1" t="str">
        <f>IFERROR(__xludf.DUMMYFUNCTION("""COMPUTED_VALUE"""),"#N/A")</f>
        <v>#N/A</v>
      </c>
      <c r="Q4197" s="1"/>
      <c r="R4197" s="1"/>
      <c r="S4197" s="1"/>
      <c r="T4197" s="1"/>
      <c r="U4197" s="2">
        <f>IFERROR(__xludf.DUMMYFUNCTION("""COMPUTED_VALUE"""),0.0)</f>
        <v>0</v>
      </c>
      <c r="V4197" s="1" t="str">
        <f>IFERROR(__xludf.DUMMYFUNCTION("""COMPUTED_VALUE"""),"#N/A")</f>
        <v>#N/A</v>
      </c>
      <c r="W4197" s="1" t="str">
        <f>IFERROR(__xludf.DUMMYFUNCTION("""COMPUTED_VALUE"""),"#N/A")</f>
        <v>#N/A</v>
      </c>
    </row>
    <row r="4198">
      <c r="O4198" s="1" t="str">
        <f>IFERROR(__xludf.DUMMYFUNCTION("""COMPUTED_VALUE"""),"#VALUE!")</f>
        <v>#VALUE!</v>
      </c>
      <c r="P4198" s="1" t="str">
        <f>IFERROR(__xludf.DUMMYFUNCTION("""COMPUTED_VALUE"""),"#N/A")</f>
        <v>#N/A</v>
      </c>
      <c r="Q4198" s="1"/>
      <c r="R4198" s="1"/>
      <c r="S4198" s="1"/>
      <c r="T4198" s="1"/>
      <c r="U4198" s="2">
        <f>IFERROR(__xludf.DUMMYFUNCTION("""COMPUTED_VALUE"""),0.0)</f>
        <v>0</v>
      </c>
      <c r="V4198" s="1" t="str">
        <f>IFERROR(__xludf.DUMMYFUNCTION("""COMPUTED_VALUE"""),"#N/A")</f>
        <v>#N/A</v>
      </c>
      <c r="W4198" s="1" t="str">
        <f>IFERROR(__xludf.DUMMYFUNCTION("""COMPUTED_VALUE"""),"#N/A")</f>
        <v>#N/A</v>
      </c>
    </row>
    <row r="4199">
      <c r="O4199" s="1" t="str">
        <f>IFERROR(__xludf.DUMMYFUNCTION("""COMPUTED_VALUE"""),"#VALUE!")</f>
        <v>#VALUE!</v>
      </c>
      <c r="P4199" s="1" t="str">
        <f>IFERROR(__xludf.DUMMYFUNCTION("""COMPUTED_VALUE"""),"#N/A")</f>
        <v>#N/A</v>
      </c>
      <c r="Q4199" s="1"/>
      <c r="R4199" s="1"/>
      <c r="S4199" s="1"/>
      <c r="T4199" s="1"/>
      <c r="U4199" s="2">
        <f>IFERROR(__xludf.DUMMYFUNCTION("""COMPUTED_VALUE"""),0.0)</f>
        <v>0</v>
      </c>
      <c r="V4199" s="1" t="str">
        <f>IFERROR(__xludf.DUMMYFUNCTION("""COMPUTED_VALUE"""),"#N/A")</f>
        <v>#N/A</v>
      </c>
      <c r="W4199" s="1" t="str">
        <f>IFERROR(__xludf.DUMMYFUNCTION("""COMPUTED_VALUE"""),"#N/A")</f>
        <v>#N/A</v>
      </c>
    </row>
    <row r="4200">
      <c r="O4200" s="1" t="str">
        <f>IFERROR(__xludf.DUMMYFUNCTION("""COMPUTED_VALUE"""),"#VALUE!")</f>
        <v>#VALUE!</v>
      </c>
      <c r="P4200" s="1" t="str">
        <f>IFERROR(__xludf.DUMMYFUNCTION("""COMPUTED_VALUE"""),"#N/A")</f>
        <v>#N/A</v>
      </c>
      <c r="Q4200" s="1"/>
      <c r="R4200" s="1"/>
      <c r="S4200" s="1"/>
      <c r="T4200" s="1"/>
      <c r="U4200" s="2">
        <f>IFERROR(__xludf.DUMMYFUNCTION("""COMPUTED_VALUE"""),0.0)</f>
        <v>0</v>
      </c>
      <c r="V4200" s="1" t="str">
        <f>IFERROR(__xludf.DUMMYFUNCTION("""COMPUTED_VALUE"""),"#N/A")</f>
        <v>#N/A</v>
      </c>
      <c r="W4200" s="1" t="str">
        <f>IFERROR(__xludf.DUMMYFUNCTION("""COMPUTED_VALUE"""),"#N/A")</f>
        <v>#N/A</v>
      </c>
    </row>
    <row r="4201">
      <c r="O4201" s="1" t="str">
        <f>IFERROR(__xludf.DUMMYFUNCTION("""COMPUTED_VALUE"""),"#VALUE!")</f>
        <v>#VALUE!</v>
      </c>
      <c r="P4201" s="1" t="str">
        <f>IFERROR(__xludf.DUMMYFUNCTION("""COMPUTED_VALUE"""),"#N/A")</f>
        <v>#N/A</v>
      </c>
      <c r="Q4201" s="1"/>
      <c r="R4201" s="1"/>
      <c r="S4201" s="1"/>
      <c r="T4201" s="1"/>
      <c r="U4201" s="2">
        <f>IFERROR(__xludf.DUMMYFUNCTION("""COMPUTED_VALUE"""),0.0)</f>
        <v>0</v>
      </c>
      <c r="V4201" s="1" t="str">
        <f>IFERROR(__xludf.DUMMYFUNCTION("""COMPUTED_VALUE"""),"#N/A")</f>
        <v>#N/A</v>
      </c>
      <c r="W4201" s="1" t="str">
        <f>IFERROR(__xludf.DUMMYFUNCTION("""COMPUTED_VALUE"""),"#N/A")</f>
        <v>#N/A</v>
      </c>
    </row>
    <row r="4202">
      <c r="O4202" s="1" t="str">
        <f>IFERROR(__xludf.DUMMYFUNCTION("""COMPUTED_VALUE"""),"#VALUE!")</f>
        <v>#VALUE!</v>
      </c>
      <c r="P4202" s="1" t="str">
        <f>IFERROR(__xludf.DUMMYFUNCTION("""COMPUTED_VALUE"""),"#N/A")</f>
        <v>#N/A</v>
      </c>
      <c r="Q4202" s="1"/>
      <c r="R4202" s="1"/>
      <c r="S4202" s="1"/>
      <c r="T4202" s="1"/>
      <c r="U4202" s="2">
        <f>IFERROR(__xludf.DUMMYFUNCTION("""COMPUTED_VALUE"""),0.0)</f>
        <v>0</v>
      </c>
      <c r="V4202" s="1" t="str">
        <f>IFERROR(__xludf.DUMMYFUNCTION("""COMPUTED_VALUE"""),"#N/A")</f>
        <v>#N/A</v>
      </c>
      <c r="W4202" s="1" t="str">
        <f>IFERROR(__xludf.DUMMYFUNCTION("""COMPUTED_VALUE"""),"#N/A")</f>
        <v>#N/A</v>
      </c>
    </row>
    <row r="4203">
      <c r="O4203" s="1" t="str">
        <f>IFERROR(__xludf.DUMMYFUNCTION("""COMPUTED_VALUE"""),"#VALUE!")</f>
        <v>#VALUE!</v>
      </c>
      <c r="P4203" s="1" t="str">
        <f>IFERROR(__xludf.DUMMYFUNCTION("""COMPUTED_VALUE"""),"#N/A")</f>
        <v>#N/A</v>
      </c>
      <c r="Q4203" s="1"/>
      <c r="R4203" s="1"/>
      <c r="S4203" s="1"/>
      <c r="T4203" s="1"/>
      <c r="U4203" s="2">
        <f>IFERROR(__xludf.DUMMYFUNCTION("""COMPUTED_VALUE"""),0.0)</f>
        <v>0</v>
      </c>
      <c r="V4203" s="1" t="str">
        <f>IFERROR(__xludf.DUMMYFUNCTION("""COMPUTED_VALUE"""),"#N/A")</f>
        <v>#N/A</v>
      </c>
      <c r="W4203" s="1" t="str">
        <f>IFERROR(__xludf.DUMMYFUNCTION("""COMPUTED_VALUE"""),"#N/A")</f>
        <v>#N/A</v>
      </c>
    </row>
    <row r="4204">
      <c r="O4204" s="1" t="str">
        <f>IFERROR(__xludf.DUMMYFUNCTION("""COMPUTED_VALUE"""),"#VALUE!")</f>
        <v>#VALUE!</v>
      </c>
      <c r="P4204" s="1" t="str">
        <f>IFERROR(__xludf.DUMMYFUNCTION("""COMPUTED_VALUE"""),"#N/A")</f>
        <v>#N/A</v>
      </c>
      <c r="Q4204" s="1"/>
      <c r="R4204" s="1"/>
      <c r="S4204" s="1"/>
      <c r="T4204" s="1"/>
      <c r="U4204" s="2">
        <f>IFERROR(__xludf.DUMMYFUNCTION("""COMPUTED_VALUE"""),0.0)</f>
        <v>0</v>
      </c>
      <c r="V4204" s="1" t="str">
        <f>IFERROR(__xludf.DUMMYFUNCTION("""COMPUTED_VALUE"""),"#N/A")</f>
        <v>#N/A</v>
      </c>
      <c r="W4204" s="1" t="str">
        <f>IFERROR(__xludf.DUMMYFUNCTION("""COMPUTED_VALUE"""),"#N/A")</f>
        <v>#N/A</v>
      </c>
    </row>
    <row r="4205">
      <c r="O4205" s="1" t="str">
        <f>IFERROR(__xludf.DUMMYFUNCTION("""COMPUTED_VALUE"""),"#VALUE!")</f>
        <v>#VALUE!</v>
      </c>
      <c r="P4205" s="1" t="str">
        <f>IFERROR(__xludf.DUMMYFUNCTION("""COMPUTED_VALUE"""),"#N/A")</f>
        <v>#N/A</v>
      </c>
      <c r="Q4205" s="1"/>
      <c r="R4205" s="1"/>
      <c r="S4205" s="1"/>
      <c r="T4205" s="1"/>
      <c r="U4205" s="2">
        <f>IFERROR(__xludf.DUMMYFUNCTION("""COMPUTED_VALUE"""),0.0)</f>
        <v>0</v>
      </c>
      <c r="V4205" s="1" t="str">
        <f>IFERROR(__xludf.DUMMYFUNCTION("""COMPUTED_VALUE"""),"#N/A")</f>
        <v>#N/A</v>
      </c>
      <c r="W4205" s="1" t="str">
        <f>IFERROR(__xludf.DUMMYFUNCTION("""COMPUTED_VALUE"""),"#N/A")</f>
        <v>#N/A</v>
      </c>
    </row>
    <row r="4206">
      <c r="O4206" s="1" t="str">
        <f>IFERROR(__xludf.DUMMYFUNCTION("""COMPUTED_VALUE"""),"#VALUE!")</f>
        <v>#VALUE!</v>
      </c>
      <c r="P4206" s="1" t="str">
        <f>IFERROR(__xludf.DUMMYFUNCTION("""COMPUTED_VALUE"""),"#N/A")</f>
        <v>#N/A</v>
      </c>
      <c r="Q4206" s="1"/>
      <c r="R4206" s="1"/>
      <c r="S4206" s="1"/>
      <c r="T4206" s="1"/>
      <c r="U4206" s="2">
        <f>IFERROR(__xludf.DUMMYFUNCTION("""COMPUTED_VALUE"""),0.0)</f>
        <v>0</v>
      </c>
      <c r="V4206" s="1" t="str">
        <f>IFERROR(__xludf.DUMMYFUNCTION("""COMPUTED_VALUE"""),"#N/A")</f>
        <v>#N/A</v>
      </c>
      <c r="W4206" s="1" t="str">
        <f>IFERROR(__xludf.DUMMYFUNCTION("""COMPUTED_VALUE"""),"#N/A")</f>
        <v>#N/A</v>
      </c>
    </row>
    <row r="4207">
      <c r="O4207" s="1" t="str">
        <f>IFERROR(__xludf.DUMMYFUNCTION("""COMPUTED_VALUE"""),"#VALUE!")</f>
        <v>#VALUE!</v>
      </c>
      <c r="P4207" s="1" t="str">
        <f>IFERROR(__xludf.DUMMYFUNCTION("""COMPUTED_VALUE"""),"#N/A")</f>
        <v>#N/A</v>
      </c>
      <c r="Q4207" s="1"/>
      <c r="R4207" s="1"/>
      <c r="S4207" s="1"/>
      <c r="T4207" s="1"/>
      <c r="U4207" s="2">
        <f>IFERROR(__xludf.DUMMYFUNCTION("""COMPUTED_VALUE"""),0.0)</f>
        <v>0</v>
      </c>
      <c r="V4207" s="1" t="str">
        <f>IFERROR(__xludf.DUMMYFUNCTION("""COMPUTED_VALUE"""),"#N/A")</f>
        <v>#N/A</v>
      </c>
      <c r="W4207" s="1" t="str">
        <f>IFERROR(__xludf.DUMMYFUNCTION("""COMPUTED_VALUE"""),"#N/A")</f>
        <v>#N/A</v>
      </c>
    </row>
    <row r="4208">
      <c r="O4208" s="1" t="str">
        <f>IFERROR(__xludf.DUMMYFUNCTION("""COMPUTED_VALUE"""),"#VALUE!")</f>
        <v>#VALUE!</v>
      </c>
      <c r="P4208" s="1" t="str">
        <f>IFERROR(__xludf.DUMMYFUNCTION("""COMPUTED_VALUE"""),"#N/A")</f>
        <v>#N/A</v>
      </c>
      <c r="Q4208" s="1"/>
      <c r="R4208" s="1"/>
      <c r="S4208" s="1"/>
      <c r="T4208" s="1"/>
      <c r="U4208" s="2">
        <f>IFERROR(__xludf.DUMMYFUNCTION("""COMPUTED_VALUE"""),0.0)</f>
        <v>0</v>
      </c>
      <c r="V4208" s="1" t="str">
        <f>IFERROR(__xludf.DUMMYFUNCTION("""COMPUTED_VALUE"""),"#N/A")</f>
        <v>#N/A</v>
      </c>
      <c r="W4208" s="1" t="str">
        <f>IFERROR(__xludf.DUMMYFUNCTION("""COMPUTED_VALUE"""),"#N/A")</f>
        <v>#N/A</v>
      </c>
    </row>
    <row r="4209">
      <c r="O4209" s="1" t="str">
        <f>IFERROR(__xludf.DUMMYFUNCTION("""COMPUTED_VALUE"""),"#VALUE!")</f>
        <v>#VALUE!</v>
      </c>
      <c r="P4209" s="1" t="str">
        <f>IFERROR(__xludf.DUMMYFUNCTION("""COMPUTED_VALUE"""),"#N/A")</f>
        <v>#N/A</v>
      </c>
      <c r="Q4209" s="1"/>
      <c r="R4209" s="1"/>
      <c r="S4209" s="1"/>
      <c r="T4209" s="1"/>
      <c r="U4209" s="2">
        <f>IFERROR(__xludf.DUMMYFUNCTION("""COMPUTED_VALUE"""),0.0)</f>
        <v>0</v>
      </c>
      <c r="V4209" s="1" t="str">
        <f>IFERROR(__xludf.DUMMYFUNCTION("""COMPUTED_VALUE"""),"#N/A")</f>
        <v>#N/A</v>
      </c>
      <c r="W4209" s="1" t="str">
        <f>IFERROR(__xludf.DUMMYFUNCTION("""COMPUTED_VALUE"""),"#N/A")</f>
        <v>#N/A</v>
      </c>
    </row>
    <row r="4210">
      <c r="O4210" s="1" t="str">
        <f>IFERROR(__xludf.DUMMYFUNCTION("""COMPUTED_VALUE"""),"#VALUE!")</f>
        <v>#VALUE!</v>
      </c>
      <c r="P4210" s="1" t="str">
        <f>IFERROR(__xludf.DUMMYFUNCTION("""COMPUTED_VALUE"""),"#N/A")</f>
        <v>#N/A</v>
      </c>
      <c r="Q4210" s="1"/>
      <c r="R4210" s="1"/>
      <c r="S4210" s="1"/>
      <c r="T4210" s="1"/>
      <c r="U4210" s="2">
        <f>IFERROR(__xludf.DUMMYFUNCTION("""COMPUTED_VALUE"""),0.0)</f>
        <v>0</v>
      </c>
      <c r="V4210" s="1" t="str">
        <f>IFERROR(__xludf.DUMMYFUNCTION("""COMPUTED_VALUE"""),"#N/A")</f>
        <v>#N/A</v>
      </c>
      <c r="W4210" s="1" t="str">
        <f>IFERROR(__xludf.DUMMYFUNCTION("""COMPUTED_VALUE"""),"#N/A")</f>
        <v>#N/A</v>
      </c>
    </row>
    <row r="4211">
      <c r="O4211" s="1" t="str">
        <f>IFERROR(__xludf.DUMMYFUNCTION("""COMPUTED_VALUE"""),"#VALUE!")</f>
        <v>#VALUE!</v>
      </c>
      <c r="P4211" s="1" t="str">
        <f>IFERROR(__xludf.DUMMYFUNCTION("""COMPUTED_VALUE"""),"#N/A")</f>
        <v>#N/A</v>
      </c>
      <c r="Q4211" s="1"/>
      <c r="R4211" s="1"/>
      <c r="S4211" s="1"/>
      <c r="T4211" s="1"/>
      <c r="U4211" s="2">
        <f>IFERROR(__xludf.DUMMYFUNCTION("""COMPUTED_VALUE"""),0.0)</f>
        <v>0</v>
      </c>
      <c r="V4211" s="1" t="str">
        <f>IFERROR(__xludf.DUMMYFUNCTION("""COMPUTED_VALUE"""),"#N/A")</f>
        <v>#N/A</v>
      </c>
      <c r="W4211" s="1" t="str">
        <f>IFERROR(__xludf.DUMMYFUNCTION("""COMPUTED_VALUE"""),"#N/A")</f>
        <v>#N/A</v>
      </c>
    </row>
    <row r="4212">
      <c r="O4212" s="1" t="str">
        <f>IFERROR(__xludf.DUMMYFUNCTION("""COMPUTED_VALUE"""),"#VALUE!")</f>
        <v>#VALUE!</v>
      </c>
      <c r="P4212" s="1" t="str">
        <f>IFERROR(__xludf.DUMMYFUNCTION("""COMPUTED_VALUE"""),"#N/A")</f>
        <v>#N/A</v>
      </c>
      <c r="Q4212" s="1"/>
      <c r="R4212" s="1"/>
      <c r="S4212" s="1"/>
      <c r="T4212" s="1"/>
      <c r="U4212" s="2">
        <f>IFERROR(__xludf.DUMMYFUNCTION("""COMPUTED_VALUE"""),0.0)</f>
        <v>0</v>
      </c>
      <c r="V4212" s="1" t="str">
        <f>IFERROR(__xludf.DUMMYFUNCTION("""COMPUTED_VALUE"""),"#N/A")</f>
        <v>#N/A</v>
      </c>
      <c r="W4212" s="1" t="str">
        <f>IFERROR(__xludf.DUMMYFUNCTION("""COMPUTED_VALUE"""),"#N/A")</f>
        <v>#N/A</v>
      </c>
    </row>
    <row r="4213">
      <c r="O4213" s="1" t="str">
        <f>IFERROR(__xludf.DUMMYFUNCTION("""COMPUTED_VALUE"""),"#VALUE!")</f>
        <v>#VALUE!</v>
      </c>
      <c r="P4213" s="1" t="str">
        <f>IFERROR(__xludf.DUMMYFUNCTION("""COMPUTED_VALUE"""),"#N/A")</f>
        <v>#N/A</v>
      </c>
      <c r="Q4213" s="1"/>
      <c r="R4213" s="1"/>
      <c r="S4213" s="1"/>
      <c r="T4213" s="1"/>
      <c r="U4213" s="2">
        <f>IFERROR(__xludf.DUMMYFUNCTION("""COMPUTED_VALUE"""),0.0)</f>
        <v>0</v>
      </c>
      <c r="V4213" s="1" t="str">
        <f>IFERROR(__xludf.DUMMYFUNCTION("""COMPUTED_VALUE"""),"#N/A")</f>
        <v>#N/A</v>
      </c>
      <c r="W4213" s="1" t="str">
        <f>IFERROR(__xludf.DUMMYFUNCTION("""COMPUTED_VALUE"""),"#N/A")</f>
        <v>#N/A</v>
      </c>
    </row>
    <row r="4214">
      <c r="O4214" s="1" t="str">
        <f>IFERROR(__xludf.DUMMYFUNCTION("""COMPUTED_VALUE"""),"#VALUE!")</f>
        <v>#VALUE!</v>
      </c>
      <c r="P4214" s="1" t="str">
        <f>IFERROR(__xludf.DUMMYFUNCTION("""COMPUTED_VALUE"""),"#N/A")</f>
        <v>#N/A</v>
      </c>
      <c r="Q4214" s="1"/>
      <c r="R4214" s="1"/>
      <c r="S4214" s="1"/>
      <c r="T4214" s="1"/>
      <c r="U4214" s="2">
        <f>IFERROR(__xludf.DUMMYFUNCTION("""COMPUTED_VALUE"""),0.0)</f>
        <v>0</v>
      </c>
      <c r="V4214" s="1" t="str">
        <f>IFERROR(__xludf.DUMMYFUNCTION("""COMPUTED_VALUE"""),"#N/A")</f>
        <v>#N/A</v>
      </c>
      <c r="W4214" s="1" t="str">
        <f>IFERROR(__xludf.DUMMYFUNCTION("""COMPUTED_VALUE"""),"#N/A")</f>
        <v>#N/A</v>
      </c>
    </row>
    <row r="4215">
      <c r="O4215" s="1" t="str">
        <f>IFERROR(__xludf.DUMMYFUNCTION("""COMPUTED_VALUE"""),"#VALUE!")</f>
        <v>#VALUE!</v>
      </c>
      <c r="P4215" s="1" t="str">
        <f>IFERROR(__xludf.DUMMYFUNCTION("""COMPUTED_VALUE"""),"#N/A")</f>
        <v>#N/A</v>
      </c>
      <c r="Q4215" s="1"/>
      <c r="R4215" s="1"/>
      <c r="S4215" s="1"/>
      <c r="T4215" s="1"/>
      <c r="U4215" s="2">
        <f>IFERROR(__xludf.DUMMYFUNCTION("""COMPUTED_VALUE"""),0.0)</f>
        <v>0</v>
      </c>
      <c r="V4215" s="1" t="str">
        <f>IFERROR(__xludf.DUMMYFUNCTION("""COMPUTED_VALUE"""),"#N/A")</f>
        <v>#N/A</v>
      </c>
      <c r="W4215" s="1" t="str">
        <f>IFERROR(__xludf.DUMMYFUNCTION("""COMPUTED_VALUE"""),"#N/A")</f>
        <v>#N/A</v>
      </c>
    </row>
    <row r="4216">
      <c r="O4216" s="1" t="str">
        <f>IFERROR(__xludf.DUMMYFUNCTION("""COMPUTED_VALUE"""),"#VALUE!")</f>
        <v>#VALUE!</v>
      </c>
      <c r="P4216" s="1" t="str">
        <f>IFERROR(__xludf.DUMMYFUNCTION("""COMPUTED_VALUE"""),"#N/A")</f>
        <v>#N/A</v>
      </c>
      <c r="Q4216" s="1"/>
      <c r="R4216" s="1"/>
      <c r="S4216" s="1"/>
      <c r="T4216" s="1"/>
      <c r="U4216" s="2">
        <f>IFERROR(__xludf.DUMMYFUNCTION("""COMPUTED_VALUE"""),0.0)</f>
        <v>0</v>
      </c>
      <c r="V4216" s="1" t="str">
        <f>IFERROR(__xludf.DUMMYFUNCTION("""COMPUTED_VALUE"""),"#N/A")</f>
        <v>#N/A</v>
      </c>
      <c r="W4216" s="1" t="str">
        <f>IFERROR(__xludf.DUMMYFUNCTION("""COMPUTED_VALUE"""),"#N/A")</f>
        <v>#N/A</v>
      </c>
    </row>
    <row r="4217">
      <c r="O4217" s="1" t="str">
        <f>IFERROR(__xludf.DUMMYFUNCTION("""COMPUTED_VALUE"""),"#VALUE!")</f>
        <v>#VALUE!</v>
      </c>
      <c r="P4217" s="1" t="str">
        <f>IFERROR(__xludf.DUMMYFUNCTION("""COMPUTED_VALUE"""),"#N/A")</f>
        <v>#N/A</v>
      </c>
      <c r="Q4217" s="1"/>
      <c r="R4217" s="1"/>
      <c r="S4217" s="1"/>
      <c r="T4217" s="1"/>
      <c r="U4217" s="2">
        <f>IFERROR(__xludf.DUMMYFUNCTION("""COMPUTED_VALUE"""),0.0)</f>
        <v>0</v>
      </c>
      <c r="V4217" s="1" t="str">
        <f>IFERROR(__xludf.DUMMYFUNCTION("""COMPUTED_VALUE"""),"#N/A")</f>
        <v>#N/A</v>
      </c>
      <c r="W4217" s="1" t="str">
        <f>IFERROR(__xludf.DUMMYFUNCTION("""COMPUTED_VALUE"""),"#N/A")</f>
        <v>#N/A</v>
      </c>
    </row>
    <row r="4218">
      <c r="O4218" s="1" t="str">
        <f>IFERROR(__xludf.DUMMYFUNCTION("""COMPUTED_VALUE"""),"#VALUE!")</f>
        <v>#VALUE!</v>
      </c>
      <c r="P4218" s="1" t="str">
        <f>IFERROR(__xludf.DUMMYFUNCTION("""COMPUTED_VALUE"""),"#N/A")</f>
        <v>#N/A</v>
      </c>
      <c r="Q4218" s="1"/>
      <c r="R4218" s="1"/>
      <c r="S4218" s="1"/>
      <c r="T4218" s="1"/>
      <c r="U4218" s="2">
        <f>IFERROR(__xludf.DUMMYFUNCTION("""COMPUTED_VALUE"""),0.0)</f>
        <v>0</v>
      </c>
      <c r="V4218" s="1" t="str">
        <f>IFERROR(__xludf.DUMMYFUNCTION("""COMPUTED_VALUE"""),"#N/A")</f>
        <v>#N/A</v>
      </c>
      <c r="W4218" s="1" t="str">
        <f>IFERROR(__xludf.DUMMYFUNCTION("""COMPUTED_VALUE"""),"#N/A")</f>
        <v>#N/A</v>
      </c>
    </row>
    <row r="4219">
      <c r="O4219" s="1" t="str">
        <f>IFERROR(__xludf.DUMMYFUNCTION("""COMPUTED_VALUE"""),"#VALUE!")</f>
        <v>#VALUE!</v>
      </c>
      <c r="P4219" s="1" t="str">
        <f>IFERROR(__xludf.DUMMYFUNCTION("""COMPUTED_VALUE"""),"#N/A")</f>
        <v>#N/A</v>
      </c>
      <c r="Q4219" s="1"/>
      <c r="R4219" s="1"/>
      <c r="S4219" s="1"/>
      <c r="T4219" s="1"/>
      <c r="U4219" s="2">
        <f>IFERROR(__xludf.DUMMYFUNCTION("""COMPUTED_VALUE"""),0.0)</f>
        <v>0</v>
      </c>
      <c r="V4219" s="1" t="str">
        <f>IFERROR(__xludf.DUMMYFUNCTION("""COMPUTED_VALUE"""),"#N/A")</f>
        <v>#N/A</v>
      </c>
      <c r="W4219" s="1" t="str">
        <f>IFERROR(__xludf.DUMMYFUNCTION("""COMPUTED_VALUE"""),"#N/A")</f>
        <v>#N/A</v>
      </c>
    </row>
    <row r="4220">
      <c r="O4220" s="1" t="str">
        <f>IFERROR(__xludf.DUMMYFUNCTION("""COMPUTED_VALUE"""),"#VALUE!")</f>
        <v>#VALUE!</v>
      </c>
      <c r="P4220" s="1" t="str">
        <f>IFERROR(__xludf.DUMMYFUNCTION("""COMPUTED_VALUE"""),"#N/A")</f>
        <v>#N/A</v>
      </c>
      <c r="Q4220" s="1"/>
      <c r="R4220" s="1"/>
      <c r="S4220" s="1"/>
      <c r="T4220" s="1"/>
      <c r="U4220" s="2">
        <f>IFERROR(__xludf.DUMMYFUNCTION("""COMPUTED_VALUE"""),0.0)</f>
        <v>0</v>
      </c>
      <c r="V4220" s="1" t="str">
        <f>IFERROR(__xludf.DUMMYFUNCTION("""COMPUTED_VALUE"""),"#N/A")</f>
        <v>#N/A</v>
      </c>
      <c r="W4220" s="1" t="str">
        <f>IFERROR(__xludf.DUMMYFUNCTION("""COMPUTED_VALUE"""),"#N/A")</f>
        <v>#N/A</v>
      </c>
    </row>
    <row r="4221">
      <c r="O4221" s="1" t="str">
        <f>IFERROR(__xludf.DUMMYFUNCTION("""COMPUTED_VALUE"""),"#VALUE!")</f>
        <v>#VALUE!</v>
      </c>
      <c r="P4221" s="1" t="str">
        <f>IFERROR(__xludf.DUMMYFUNCTION("""COMPUTED_VALUE"""),"#N/A")</f>
        <v>#N/A</v>
      </c>
      <c r="Q4221" s="1"/>
      <c r="R4221" s="1"/>
      <c r="S4221" s="1"/>
      <c r="T4221" s="1"/>
      <c r="U4221" s="2">
        <f>IFERROR(__xludf.DUMMYFUNCTION("""COMPUTED_VALUE"""),0.0)</f>
        <v>0</v>
      </c>
      <c r="V4221" s="1" t="str">
        <f>IFERROR(__xludf.DUMMYFUNCTION("""COMPUTED_VALUE"""),"#N/A")</f>
        <v>#N/A</v>
      </c>
      <c r="W4221" s="1" t="str">
        <f>IFERROR(__xludf.DUMMYFUNCTION("""COMPUTED_VALUE"""),"#N/A")</f>
        <v>#N/A</v>
      </c>
    </row>
    <row r="4222">
      <c r="O4222" s="1" t="str">
        <f>IFERROR(__xludf.DUMMYFUNCTION("""COMPUTED_VALUE"""),"#VALUE!")</f>
        <v>#VALUE!</v>
      </c>
      <c r="P4222" s="1" t="str">
        <f>IFERROR(__xludf.DUMMYFUNCTION("""COMPUTED_VALUE"""),"#N/A")</f>
        <v>#N/A</v>
      </c>
      <c r="Q4222" s="1"/>
      <c r="R4222" s="1"/>
      <c r="S4222" s="1"/>
      <c r="T4222" s="1"/>
      <c r="U4222" s="2">
        <f>IFERROR(__xludf.DUMMYFUNCTION("""COMPUTED_VALUE"""),0.0)</f>
        <v>0</v>
      </c>
      <c r="V4222" s="1" t="str">
        <f>IFERROR(__xludf.DUMMYFUNCTION("""COMPUTED_VALUE"""),"#N/A")</f>
        <v>#N/A</v>
      </c>
      <c r="W4222" s="1" t="str">
        <f>IFERROR(__xludf.DUMMYFUNCTION("""COMPUTED_VALUE"""),"#N/A")</f>
        <v>#N/A</v>
      </c>
    </row>
    <row r="4223">
      <c r="O4223" s="1" t="str">
        <f>IFERROR(__xludf.DUMMYFUNCTION("""COMPUTED_VALUE"""),"#VALUE!")</f>
        <v>#VALUE!</v>
      </c>
      <c r="P4223" s="1" t="str">
        <f>IFERROR(__xludf.DUMMYFUNCTION("""COMPUTED_VALUE"""),"#N/A")</f>
        <v>#N/A</v>
      </c>
      <c r="Q4223" s="1"/>
      <c r="R4223" s="1"/>
      <c r="S4223" s="1"/>
      <c r="T4223" s="1"/>
      <c r="U4223" s="2">
        <f>IFERROR(__xludf.DUMMYFUNCTION("""COMPUTED_VALUE"""),0.0)</f>
        <v>0</v>
      </c>
      <c r="V4223" s="1" t="str">
        <f>IFERROR(__xludf.DUMMYFUNCTION("""COMPUTED_VALUE"""),"#N/A")</f>
        <v>#N/A</v>
      </c>
      <c r="W4223" s="1" t="str">
        <f>IFERROR(__xludf.DUMMYFUNCTION("""COMPUTED_VALUE"""),"#N/A")</f>
        <v>#N/A</v>
      </c>
    </row>
    <row r="4224">
      <c r="O4224" s="1" t="str">
        <f>IFERROR(__xludf.DUMMYFUNCTION("""COMPUTED_VALUE"""),"#VALUE!")</f>
        <v>#VALUE!</v>
      </c>
      <c r="P4224" s="1" t="str">
        <f>IFERROR(__xludf.DUMMYFUNCTION("""COMPUTED_VALUE"""),"#N/A")</f>
        <v>#N/A</v>
      </c>
      <c r="Q4224" s="1"/>
      <c r="R4224" s="1"/>
      <c r="S4224" s="1"/>
      <c r="T4224" s="1"/>
      <c r="U4224" s="2">
        <f>IFERROR(__xludf.DUMMYFUNCTION("""COMPUTED_VALUE"""),0.0)</f>
        <v>0</v>
      </c>
      <c r="V4224" s="1" t="str">
        <f>IFERROR(__xludf.DUMMYFUNCTION("""COMPUTED_VALUE"""),"#N/A")</f>
        <v>#N/A</v>
      </c>
      <c r="W4224" s="1" t="str">
        <f>IFERROR(__xludf.DUMMYFUNCTION("""COMPUTED_VALUE"""),"#N/A")</f>
        <v>#N/A</v>
      </c>
    </row>
    <row r="4225">
      <c r="O4225" s="1" t="str">
        <f>IFERROR(__xludf.DUMMYFUNCTION("""COMPUTED_VALUE"""),"#VALUE!")</f>
        <v>#VALUE!</v>
      </c>
      <c r="P4225" s="1" t="str">
        <f>IFERROR(__xludf.DUMMYFUNCTION("""COMPUTED_VALUE"""),"#N/A")</f>
        <v>#N/A</v>
      </c>
      <c r="Q4225" s="1"/>
      <c r="R4225" s="1"/>
      <c r="S4225" s="1"/>
      <c r="T4225" s="1"/>
      <c r="U4225" s="2">
        <f>IFERROR(__xludf.DUMMYFUNCTION("""COMPUTED_VALUE"""),0.0)</f>
        <v>0</v>
      </c>
      <c r="V4225" s="1" t="str">
        <f>IFERROR(__xludf.DUMMYFUNCTION("""COMPUTED_VALUE"""),"#N/A")</f>
        <v>#N/A</v>
      </c>
      <c r="W4225" s="1" t="str">
        <f>IFERROR(__xludf.DUMMYFUNCTION("""COMPUTED_VALUE"""),"#N/A")</f>
        <v>#N/A</v>
      </c>
    </row>
    <row r="4226">
      <c r="O4226" s="1" t="str">
        <f>IFERROR(__xludf.DUMMYFUNCTION("""COMPUTED_VALUE"""),"#VALUE!")</f>
        <v>#VALUE!</v>
      </c>
      <c r="P4226" s="1" t="str">
        <f>IFERROR(__xludf.DUMMYFUNCTION("""COMPUTED_VALUE"""),"#N/A")</f>
        <v>#N/A</v>
      </c>
      <c r="Q4226" s="1"/>
      <c r="R4226" s="1"/>
      <c r="S4226" s="1"/>
      <c r="T4226" s="1"/>
      <c r="U4226" s="2">
        <f>IFERROR(__xludf.DUMMYFUNCTION("""COMPUTED_VALUE"""),0.0)</f>
        <v>0</v>
      </c>
      <c r="V4226" s="1" t="str">
        <f>IFERROR(__xludf.DUMMYFUNCTION("""COMPUTED_VALUE"""),"#N/A")</f>
        <v>#N/A</v>
      </c>
      <c r="W4226" s="1" t="str">
        <f>IFERROR(__xludf.DUMMYFUNCTION("""COMPUTED_VALUE"""),"#N/A")</f>
        <v>#N/A</v>
      </c>
    </row>
    <row r="4227">
      <c r="O4227" s="1" t="str">
        <f>IFERROR(__xludf.DUMMYFUNCTION("""COMPUTED_VALUE"""),"#VALUE!")</f>
        <v>#VALUE!</v>
      </c>
      <c r="P4227" s="1" t="str">
        <f>IFERROR(__xludf.DUMMYFUNCTION("""COMPUTED_VALUE"""),"#N/A")</f>
        <v>#N/A</v>
      </c>
      <c r="Q4227" s="1"/>
      <c r="R4227" s="1"/>
      <c r="S4227" s="1"/>
      <c r="T4227" s="1"/>
      <c r="U4227" s="2">
        <f>IFERROR(__xludf.DUMMYFUNCTION("""COMPUTED_VALUE"""),0.0)</f>
        <v>0</v>
      </c>
      <c r="V4227" s="1" t="str">
        <f>IFERROR(__xludf.DUMMYFUNCTION("""COMPUTED_VALUE"""),"#N/A")</f>
        <v>#N/A</v>
      </c>
      <c r="W4227" s="1" t="str">
        <f>IFERROR(__xludf.DUMMYFUNCTION("""COMPUTED_VALUE"""),"#N/A")</f>
        <v>#N/A</v>
      </c>
    </row>
    <row r="4228">
      <c r="O4228" s="1" t="str">
        <f>IFERROR(__xludf.DUMMYFUNCTION("""COMPUTED_VALUE"""),"#VALUE!")</f>
        <v>#VALUE!</v>
      </c>
      <c r="P4228" s="1" t="str">
        <f>IFERROR(__xludf.DUMMYFUNCTION("""COMPUTED_VALUE"""),"#N/A")</f>
        <v>#N/A</v>
      </c>
      <c r="Q4228" s="1"/>
      <c r="R4228" s="1"/>
      <c r="S4228" s="1"/>
      <c r="T4228" s="1"/>
      <c r="U4228" s="2">
        <f>IFERROR(__xludf.DUMMYFUNCTION("""COMPUTED_VALUE"""),0.0)</f>
        <v>0</v>
      </c>
      <c r="V4228" s="1" t="str">
        <f>IFERROR(__xludf.DUMMYFUNCTION("""COMPUTED_VALUE"""),"#N/A")</f>
        <v>#N/A</v>
      </c>
      <c r="W4228" s="1" t="str">
        <f>IFERROR(__xludf.DUMMYFUNCTION("""COMPUTED_VALUE"""),"#N/A")</f>
        <v>#N/A</v>
      </c>
    </row>
    <row r="4229">
      <c r="O4229" s="1" t="str">
        <f>IFERROR(__xludf.DUMMYFUNCTION("""COMPUTED_VALUE"""),"#VALUE!")</f>
        <v>#VALUE!</v>
      </c>
      <c r="P4229" s="1" t="str">
        <f>IFERROR(__xludf.DUMMYFUNCTION("""COMPUTED_VALUE"""),"#N/A")</f>
        <v>#N/A</v>
      </c>
      <c r="Q4229" s="1"/>
      <c r="R4229" s="1"/>
      <c r="S4229" s="1"/>
      <c r="T4229" s="1"/>
      <c r="U4229" s="2">
        <f>IFERROR(__xludf.DUMMYFUNCTION("""COMPUTED_VALUE"""),0.0)</f>
        <v>0</v>
      </c>
      <c r="V4229" s="1" t="str">
        <f>IFERROR(__xludf.DUMMYFUNCTION("""COMPUTED_VALUE"""),"#N/A")</f>
        <v>#N/A</v>
      </c>
      <c r="W4229" s="1" t="str">
        <f>IFERROR(__xludf.DUMMYFUNCTION("""COMPUTED_VALUE"""),"#N/A")</f>
        <v>#N/A</v>
      </c>
    </row>
    <row r="4230">
      <c r="O4230" s="1" t="str">
        <f>IFERROR(__xludf.DUMMYFUNCTION("""COMPUTED_VALUE"""),"#VALUE!")</f>
        <v>#VALUE!</v>
      </c>
      <c r="P4230" s="1" t="str">
        <f>IFERROR(__xludf.DUMMYFUNCTION("""COMPUTED_VALUE"""),"#N/A")</f>
        <v>#N/A</v>
      </c>
      <c r="Q4230" s="1"/>
      <c r="R4230" s="1"/>
      <c r="S4230" s="1"/>
      <c r="T4230" s="1"/>
      <c r="U4230" s="2">
        <f>IFERROR(__xludf.DUMMYFUNCTION("""COMPUTED_VALUE"""),0.0)</f>
        <v>0</v>
      </c>
      <c r="V4230" s="1" t="str">
        <f>IFERROR(__xludf.DUMMYFUNCTION("""COMPUTED_VALUE"""),"#N/A")</f>
        <v>#N/A</v>
      </c>
      <c r="W4230" s="1" t="str">
        <f>IFERROR(__xludf.DUMMYFUNCTION("""COMPUTED_VALUE"""),"#N/A")</f>
        <v>#N/A</v>
      </c>
    </row>
    <row r="4231">
      <c r="O4231" s="1" t="str">
        <f>IFERROR(__xludf.DUMMYFUNCTION("""COMPUTED_VALUE"""),"#VALUE!")</f>
        <v>#VALUE!</v>
      </c>
      <c r="P4231" s="1" t="str">
        <f>IFERROR(__xludf.DUMMYFUNCTION("""COMPUTED_VALUE"""),"#N/A")</f>
        <v>#N/A</v>
      </c>
      <c r="Q4231" s="1"/>
      <c r="R4231" s="1"/>
      <c r="S4231" s="1"/>
      <c r="T4231" s="1"/>
      <c r="U4231" s="2">
        <f>IFERROR(__xludf.DUMMYFUNCTION("""COMPUTED_VALUE"""),0.0)</f>
        <v>0</v>
      </c>
      <c r="V4231" s="1" t="str">
        <f>IFERROR(__xludf.DUMMYFUNCTION("""COMPUTED_VALUE"""),"#N/A")</f>
        <v>#N/A</v>
      </c>
      <c r="W4231" s="1" t="str">
        <f>IFERROR(__xludf.DUMMYFUNCTION("""COMPUTED_VALUE"""),"#N/A")</f>
        <v>#N/A</v>
      </c>
    </row>
    <row r="4232">
      <c r="O4232" s="1" t="str">
        <f>IFERROR(__xludf.DUMMYFUNCTION("""COMPUTED_VALUE"""),"#VALUE!")</f>
        <v>#VALUE!</v>
      </c>
      <c r="P4232" s="1" t="str">
        <f>IFERROR(__xludf.DUMMYFUNCTION("""COMPUTED_VALUE"""),"#N/A")</f>
        <v>#N/A</v>
      </c>
      <c r="Q4232" s="1"/>
      <c r="R4232" s="1"/>
      <c r="S4232" s="1"/>
      <c r="T4232" s="1"/>
      <c r="U4232" s="2">
        <f>IFERROR(__xludf.DUMMYFUNCTION("""COMPUTED_VALUE"""),0.0)</f>
        <v>0</v>
      </c>
      <c r="V4232" s="1" t="str">
        <f>IFERROR(__xludf.DUMMYFUNCTION("""COMPUTED_VALUE"""),"#N/A")</f>
        <v>#N/A</v>
      </c>
      <c r="W4232" s="1" t="str">
        <f>IFERROR(__xludf.DUMMYFUNCTION("""COMPUTED_VALUE"""),"#N/A")</f>
        <v>#N/A</v>
      </c>
    </row>
    <row r="4233">
      <c r="O4233" s="1" t="str">
        <f>IFERROR(__xludf.DUMMYFUNCTION("""COMPUTED_VALUE"""),"#VALUE!")</f>
        <v>#VALUE!</v>
      </c>
      <c r="P4233" s="1" t="str">
        <f>IFERROR(__xludf.DUMMYFUNCTION("""COMPUTED_VALUE"""),"#N/A")</f>
        <v>#N/A</v>
      </c>
      <c r="Q4233" s="1"/>
      <c r="R4233" s="1"/>
      <c r="S4233" s="1"/>
      <c r="T4233" s="1"/>
      <c r="U4233" s="2">
        <f>IFERROR(__xludf.DUMMYFUNCTION("""COMPUTED_VALUE"""),0.0)</f>
        <v>0</v>
      </c>
      <c r="V4233" s="1" t="str">
        <f>IFERROR(__xludf.DUMMYFUNCTION("""COMPUTED_VALUE"""),"#N/A")</f>
        <v>#N/A</v>
      </c>
      <c r="W4233" s="1" t="str">
        <f>IFERROR(__xludf.DUMMYFUNCTION("""COMPUTED_VALUE"""),"#N/A")</f>
        <v>#N/A</v>
      </c>
    </row>
    <row r="4234">
      <c r="O4234" s="1" t="str">
        <f>IFERROR(__xludf.DUMMYFUNCTION("""COMPUTED_VALUE"""),"#VALUE!")</f>
        <v>#VALUE!</v>
      </c>
      <c r="P4234" s="1" t="str">
        <f>IFERROR(__xludf.DUMMYFUNCTION("""COMPUTED_VALUE"""),"#N/A")</f>
        <v>#N/A</v>
      </c>
      <c r="Q4234" s="1"/>
      <c r="R4234" s="1"/>
      <c r="S4234" s="1"/>
      <c r="T4234" s="1"/>
      <c r="U4234" s="2">
        <f>IFERROR(__xludf.DUMMYFUNCTION("""COMPUTED_VALUE"""),0.0)</f>
        <v>0</v>
      </c>
      <c r="V4234" s="1" t="str">
        <f>IFERROR(__xludf.DUMMYFUNCTION("""COMPUTED_VALUE"""),"#N/A")</f>
        <v>#N/A</v>
      </c>
      <c r="W4234" s="1" t="str">
        <f>IFERROR(__xludf.DUMMYFUNCTION("""COMPUTED_VALUE"""),"#N/A")</f>
        <v>#N/A</v>
      </c>
    </row>
    <row r="4235">
      <c r="O4235" s="1" t="str">
        <f>IFERROR(__xludf.DUMMYFUNCTION("""COMPUTED_VALUE"""),"#VALUE!")</f>
        <v>#VALUE!</v>
      </c>
      <c r="P4235" s="1" t="str">
        <f>IFERROR(__xludf.DUMMYFUNCTION("""COMPUTED_VALUE"""),"#N/A")</f>
        <v>#N/A</v>
      </c>
      <c r="Q4235" s="1"/>
      <c r="R4235" s="1"/>
      <c r="S4235" s="1"/>
      <c r="T4235" s="1"/>
      <c r="U4235" s="2">
        <f>IFERROR(__xludf.DUMMYFUNCTION("""COMPUTED_VALUE"""),0.0)</f>
        <v>0</v>
      </c>
      <c r="V4235" s="1" t="str">
        <f>IFERROR(__xludf.DUMMYFUNCTION("""COMPUTED_VALUE"""),"#N/A")</f>
        <v>#N/A</v>
      </c>
      <c r="W4235" s="1" t="str">
        <f>IFERROR(__xludf.DUMMYFUNCTION("""COMPUTED_VALUE"""),"#N/A")</f>
        <v>#N/A</v>
      </c>
    </row>
    <row r="4236">
      <c r="O4236" s="1" t="str">
        <f>IFERROR(__xludf.DUMMYFUNCTION("""COMPUTED_VALUE"""),"#VALUE!")</f>
        <v>#VALUE!</v>
      </c>
      <c r="P4236" s="1" t="str">
        <f>IFERROR(__xludf.DUMMYFUNCTION("""COMPUTED_VALUE"""),"#N/A")</f>
        <v>#N/A</v>
      </c>
      <c r="Q4236" s="1"/>
      <c r="R4236" s="1"/>
      <c r="S4236" s="1"/>
      <c r="T4236" s="1"/>
      <c r="U4236" s="2">
        <f>IFERROR(__xludf.DUMMYFUNCTION("""COMPUTED_VALUE"""),0.0)</f>
        <v>0</v>
      </c>
      <c r="V4236" s="1" t="str">
        <f>IFERROR(__xludf.DUMMYFUNCTION("""COMPUTED_VALUE"""),"#N/A")</f>
        <v>#N/A</v>
      </c>
      <c r="W4236" s="1" t="str">
        <f>IFERROR(__xludf.DUMMYFUNCTION("""COMPUTED_VALUE"""),"#N/A")</f>
        <v>#N/A</v>
      </c>
    </row>
    <row r="4237">
      <c r="O4237" s="1" t="str">
        <f>IFERROR(__xludf.DUMMYFUNCTION("""COMPUTED_VALUE"""),"#VALUE!")</f>
        <v>#VALUE!</v>
      </c>
      <c r="P4237" s="1" t="str">
        <f>IFERROR(__xludf.DUMMYFUNCTION("""COMPUTED_VALUE"""),"#N/A")</f>
        <v>#N/A</v>
      </c>
      <c r="Q4237" s="1"/>
      <c r="R4237" s="1"/>
      <c r="S4237" s="1"/>
      <c r="T4237" s="1"/>
      <c r="U4237" s="2">
        <f>IFERROR(__xludf.DUMMYFUNCTION("""COMPUTED_VALUE"""),0.0)</f>
        <v>0</v>
      </c>
      <c r="V4237" s="1" t="str">
        <f>IFERROR(__xludf.DUMMYFUNCTION("""COMPUTED_VALUE"""),"#N/A")</f>
        <v>#N/A</v>
      </c>
      <c r="W4237" s="1" t="str">
        <f>IFERROR(__xludf.DUMMYFUNCTION("""COMPUTED_VALUE"""),"#N/A")</f>
        <v>#N/A</v>
      </c>
    </row>
    <row r="4238">
      <c r="O4238" s="1" t="str">
        <f>IFERROR(__xludf.DUMMYFUNCTION("""COMPUTED_VALUE"""),"#VALUE!")</f>
        <v>#VALUE!</v>
      </c>
      <c r="P4238" s="1" t="str">
        <f>IFERROR(__xludf.DUMMYFUNCTION("""COMPUTED_VALUE"""),"#N/A")</f>
        <v>#N/A</v>
      </c>
      <c r="Q4238" s="1"/>
      <c r="R4238" s="1"/>
      <c r="S4238" s="1"/>
      <c r="T4238" s="1"/>
      <c r="U4238" s="2">
        <f>IFERROR(__xludf.DUMMYFUNCTION("""COMPUTED_VALUE"""),0.0)</f>
        <v>0</v>
      </c>
      <c r="V4238" s="1" t="str">
        <f>IFERROR(__xludf.DUMMYFUNCTION("""COMPUTED_VALUE"""),"#N/A")</f>
        <v>#N/A</v>
      </c>
      <c r="W4238" s="1" t="str">
        <f>IFERROR(__xludf.DUMMYFUNCTION("""COMPUTED_VALUE"""),"#N/A")</f>
        <v>#N/A</v>
      </c>
    </row>
    <row r="4239">
      <c r="O4239" s="1" t="str">
        <f>IFERROR(__xludf.DUMMYFUNCTION("""COMPUTED_VALUE"""),"#VALUE!")</f>
        <v>#VALUE!</v>
      </c>
      <c r="P4239" s="1" t="str">
        <f>IFERROR(__xludf.DUMMYFUNCTION("""COMPUTED_VALUE"""),"#N/A")</f>
        <v>#N/A</v>
      </c>
      <c r="Q4239" s="1"/>
      <c r="R4239" s="1"/>
      <c r="S4239" s="1"/>
      <c r="T4239" s="1"/>
      <c r="U4239" s="2">
        <f>IFERROR(__xludf.DUMMYFUNCTION("""COMPUTED_VALUE"""),0.0)</f>
        <v>0</v>
      </c>
      <c r="V4239" s="1" t="str">
        <f>IFERROR(__xludf.DUMMYFUNCTION("""COMPUTED_VALUE"""),"#N/A")</f>
        <v>#N/A</v>
      </c>
      <c r="W4239" s="1" t="str">
        <f>IFERROR(__xludf.DUMMYFUNCTION("""COMPUTED_VALUE"""),"#N/A")</f>
        <v>#N/A</v>
      </c>
    </row>
    <row r="4240">
      <c r="O4240" s="1" t="str">
        <f>IFERROR(__xludf.DUMMYFUNCTION("""COMPUTED_VALUE"""),"#VALUE!")</f>
        <v>#VALUE!</v>
      </c>
      <c r="P4240" s="1" t="str">
        <f>IFERROR(__xludf.DUMMYFUNCTION("""COMPUTED_VALUE"""),"#N/A")</f>
        <v>#N/A</v>
      </c>
      <c r="Q4240" s="1"/>
      <c r="R4240" s="1"/>
      <c r="S4240" s="1"/>
      <c r="T4240" s="1"/>
      <c r="U4240" s="2">
        <f>IFERROR(__xludf.DUMMYFUNCTION("""COMPUTED_VALUE"""),0.0)</f>
        <v>0</v>
      </c>
      <c r="V4240" s="1" t="str">
        <f>IFERROR(__xludf.DUMMYFUNCTION("""COMPUTED_VALUE"""),"#N/A")</f>
        <v>#N/A</v>
      </c>
      <c r="W4240" s="1" t="str">
        <f>IFERROR(__xludf.DUMMYFUNCTION("""COMPUTED_VALUE"""),"#N/A")</f>
        <v>#N/A</v>
      </c>
    </row>
    <row r="4241">
      <c r="O4241" s="1" t="str">
        <f>IFERROR(__xludf.DUMMYFUNCTION("""COMPUTED_VALUE"""),"#VALUE!")</f>
        <v>#VALUE!</v>
      </c>
      <c r="P4241" s="1" t="str">
        <f>IFERROR(__xludf.DUMMYFUNCTION("""COMPUTED_VALUE"""),"#N/A")</f>
        <v>#N/A</v>
      </c>
      <c r="Q4241" s="1"/>
      <c r="R4241" s="1"/>
      <c r="S4241" s="1"/>
      <c r="T4241" s="1"/>
      <c r="U4241" s="2">
        <f>IFERROR(__xludf.DUMMYFUNCTION("""COMPUTED_VALUE"""),0.0)</f>
        <v>0</v>
      </c>
      <c r="V4241" s="1" t="str">
        <f>IFERROR(__xludf.DUMMYFUNCTION("""COMPUTED_VALUE"""),"#N/A")</f>
        <v>#N/A</v>
      </c>
      <c r="W4241" s="1" t="str">
        <f>IFERROR(__xludf.DUMMYFUNCTION("""COMPUTED_VALUE"""),"#N/A")</f>
        <v>#N/A</v>
      </c>
    </row>
    <row r="4242">
      <c r="O4242" s="1" t="str">
        <f>IFERROR(__xludf.DUMMYFUNCTION("""COMPUTED_VALUE"""),"#VALUE!")</f>
        <v>#VALUE!</v>
      </c>
      <c r="P4242" s="1" t="str">
        <f>IFERROR(__xludf.DUMMYFUNCTION("""COMPUTED_VALUE"""),"#N/A")</f>
        <v>#N/A</v>
      </c>
      <c r="Q4242" s="1"/>
      <c r="R4242" s="1"/>
      <c r="S4242" s="1"/>
      <c r="T4242" s="1"/>
      <c r="U4242" s="2">
        <f>IFERROR(__xludf.DUMMYFUNCTION("""COMPUTED_VALUE"""),0.0)</f>
        <v>0</v>
      </c>
      <c r="V4242" s="1" t="str">
        <f>IFERROR(__xludf.DUMMYFUNCTION("""COMPUTED_VALUE"""),"#N/A")</f>
        <v>#N/A</v>
      </c>
      <c r="W4242" s="1" t="str">
        <f>IFERROR(__xludf.DUMMYFUNCTION("""COMPUTED_VALUE"""),"#N/A")</f>
        <v>#N/A</v>
      </c>
    </row>
    <row r="4243">
      <c r="O4243" s="1" t="str">
        <f>IFERROR(__xludf.DUMMYFUNCTION("""COMPUTED_VALUE"""),"#VALUE!")</f>
        <v>#VALUE!</v>
      </c>
      <c r="P4243" s="1" t="str">
        <f>IFERROR(__xludf.DUMMYFUNCTION("""COMPUTED_VALUE"""),"#N/A")</f>
        <v>#N/A</v>
      </c>
      <c r="Q4243" s="1"/>
      <c r="R4243" s="1"/>
      <c r="S4243" s="1"/>
      <c r="T4243" s="1"/>
      <c r="U4243" s="2">
        <f>IFERROR(__xludf.DUMMYFUNCTION("""COMPUTED_VALUE"""),0.0)</f>
        <v>0</v>
      </c>
      <c r="V4243" s="1" t="str">
        <f>IFERROR(__xludf.DUMMYFUNCTION("""COMPUTED_VALUE"""),"#N/A")</f>
        <v>#N/A</v>
      </c>
      <c r="W4243" s="1" t="str">
        <f>IFERROR(__xludf.DUMMYFUNCTION("""COMPUTED_VALUE"""),"#N/A")</f>
        <v>#N/A</v>
      </c>
    </row>
    <row r="4244">
      <c r="O4244" s="1" t="str">
        <f>IFERROR(__xludf.DUMMYFUNCTION("""COMPUTED_VALUE"""),"#VALUE!")</f>
        <v>#VALUE!</v>
      </c>
      <c r="P4244" s="1" t="str">
        <f>IFERROR(__xludf.DUMMYFUNCTION("""COMPUTED_VALUE"""),"#N/A")</f>
        <v>#N/A</v>
      </c>
      <c r="Q4244" s="1"/>
      <c r="R4244" s="1"/>
      <c r="S4244" s="1"/>
      <c r="T4244" s="1"/>
      <c r="U4244" s="2">
        <f>IFERROR(__xludf.DUMMYFUNCTION("""COMPUTED_VALUE"""),0.0)</f>
        <v>0</v>
      </c>
      <c r="V4244" s="1" t="str">
        <f>IFERROR(__xludf.DUMMYFUNCTION("""COMPUTED_VALUE"""),"#N/A")</f>
        <v>#N/A</v>
      </c>
      <c r="W4244" s="1" t="str">
        <f>IFERROR(__xludf.DUMMYFUNCTION("""COMPUTED_VALUE"""),"#N/A")</f>
        <v>#N/A</v>
      </c>
    </row>
    <row r="4245">
      <c r="O4245" s="1" t="str">
        <f>IFERROR(__xludf.DUMMYFUNCTION("""COMPUTED_VALUE"""),"#VALUE!")</f>
        <v>#VALUE!</v>
      </c>
      <c r="P4245" s="1" t="str">
        <f>IFERROR(__xludf.DUMMYFUNCTION("""COMPUTED_VALUE"""),"#N/A")</f>
        <v>#N/A</v>
      </c>
      <c r="Q4245" s="1"/>
      <c r="R4245" s="1"/>
      <c r="S4245" s="1"/>
      <c r="T4245" s="1"/>
      <c r="U4245" s="2">
        <f>IFERROR(__xludf.DUMMYFUNCTION("""COMPUTED_VALUE"""),0.0)</f>
        <v>0</v>
      </c>
      <c r="V4245" s="1" t="str">
        <f>IFERROR(__xludf.DUMMYFUNCTION("""COMPUTED_VALUE"""),"#N/A")</f>
        <v>#N/A</v>
      </c>
      <c r="W4245" s="1" t="str">
        <f>IFERROR(__xludf.DUMMYFUNCTION("""COMPUTED_VALUE"""),"#N/A")</f>
        <v>#N/A</v>
      </c>
    </row>
    <row r="4246">
      <c r="O4246" s="1" t="str">
        <f>IFERROR(__xludf.DUMMYFUNCTION("""COMPUTED_VALUE"""),"#VALUE!")</f>
        <v>#VALUE!</v>
      </c>
      <c r="P4246" s="1" t="str">
        <f>IFERROR(__xludf.DUMMYFUNCTION("""COMPUTED_VALUE"""),"#N/A")</f>
        <v>#N/A</v>
      </c>
      <c r="Q4246" s="1"/>
      <c r="R4246" s="1"/>
      <c r="S4246" s="1"/>
      <c r="T4246" s="1"/>
      <c r="U4246" s="2">
        <f>IFERROR(__xludf.DUMMYFUNCTION("""COMPUTED_VALUE"""),0.0)</f>
        <v>0</v>
      </c>
      <c r="V4246" s="1" t="str">
        <f>IFERROR(__xludf.DUMMYFUNCTION("""COMPUTED_VALUE"""),"#N/A")</f>
        <v>#N/A</v>
      </c>
      <c r="W4246" s="1" t="str">
        <f>IFERROR(__xludf.DUMMYFUNCTION("""COMPUTED_VALUE"""),"#N/A")</f>
        <v>#N/A</v>
      </c>
    </row>
    <row r="4247">
      <c r="O4247" s="1" t="str">
        <f>IFERROR(__xludf.DUMMYFUNCTION("""COMPUTED_VALUE"""),"#VALUE!")</f>
        <v>#VALUE!</v>
      </c>
      <c r="P4247" s="1" t="str">
        <f>IFERROR(__xludf.DUMMYFUNCTION("""COMPUTED_VALUE"""),"#N/A")</f>
        <v>#N/A</v>
      </c>
      <c r="Q4247" s="1"/>
      <c r="R4247" s="1"/>
      <c r="S4247" s="1"/>
      <c r="T4247" s="1"/>
      <c r="U4247" s="2">
        <f>IFERROR(__xludf.DUMMYFUNCTION("""COMPUTED_VALUE"""),0.0)</f>
        <v>0</v>
      </c>
      <c r="V4247" s="1" t="str">
        <f>IFERROR(__xludf.DUMMYFUNCTION("""COMPUTED_VALUE"""),"#N/A")</f>
        <v>#N/A</v>
      </c>
      <c r="W4247" s="1" t="str">
        <f>IFERROR(__xludf.DUMMYFUNCTION("""COMPUTED_VALUE"""),"#N/A")</f>
        <v>#N/A</v>
      </c>
    </row>
    <row r="4248">
      <c r="O4248" s="1" t="str">
        <f>IFERROR(__xludf.DUMMYFUNCTION("""COMPUTED_VALUE"""),"#VALUE!")</f>
        <v>#VALUE!</v>
      </c>
      <c r="P4248" s="1" t="str">
        <f>IFERROR(__xludf.DUMMYFUNCTION("""COMPUTED_VALUE"""),"#N/A")</f>
        <v>#N/A</v>
      </c>
      <c r="Q4248" s="1"/>
      <c r="R4248" s="1"/>
      <c r="S4248" s="1"/>
      <c r="T4248" s="1"/>
      <c r="U4248" s="2">
        <f>IFERROR(__xludf.DUMMYFUNCTION("""COMPUTED_VALUE"""),0.0)</f>
        <v>0</v>
      </c>
      <c r="V4248" s="1" t="str">
        <f>IFERROR(__xludf.DUMMYFUNCTION("""COMPUTED_VALUE"""),"#N/A")</f>
        <v>#N/A</v>
      </c>
      <c r="W4248" s="1" t="str">
        <f>IFERROR(__xludf.DUMMYFUNCTION("""COMPUTED_VALUE"""),"#N/A")</f>
        <v>#N/A</v>
      </c>
    </row>
    <row r="4249">
      <c r="O4249" s="1" t="str">
        <f>IFERROR(__xludf.DUMMYFUNCTION("""COMPUTED_VALUE"""),"#VALUE!")</f>
        <v>#VALUE!</v>
      </c>
      <c r="P4249" s="1" t="str">
        <f>IFERROR(__xludf.DUMMYFUNCTION("""COMPUTED_VALUE"""),"#N/A")</f>
        <v>#N/A</v>
      </c>
      <c r="Q4249" s="1"/>
      <c r="R4249" s="1"/>
      <c r="S4249" s="1"/>
      <c r="T4249" s="1"/>
      <c r="U4249" s="2">
        <f>IFERROR(__xludf.DUMMYFUNCTION("""COMPUTED_VALUE"""),0.0)</f>
        <v>0</v>
      </c>
      <c r="V4249" s="1" t="str">
        <f>IFERROR(__xludf.DUMMYFUNCTION("""COMPUTED_VALUE"""),"#N/A")</f>
        <v>#N/A</v>
      </c>
      <c r="W4249" s="1" t="str">
        <f>IFERROR(__xludf.DUMMYFUNCTION("""COMPUTED_VALUE"""),"#N/A")</f>
        <v>#N/A</v>
      </c>
    </row>
    <row r="4250">
      <c r="O4250" s="1" t="str">
        <f>IFERROR(__xludf.DUMMYFUNCTION("""COMPUTED_VALUE"""),"#VALUE!")</f>
        <v>#VALUE!</v>
      </c>
      <c r="P4250" s="1" t="str">
        <f>IFERROR(__xludf.DUMMYFUNCTION("""COMPUTED_VALUE"""),"#N/A")</f>
        <v>#N/A</v>
      </c>
      <c r="Q4250" s="1"/>
      <c r="R4250" s="1"/>
      <c r="S4250" s="1"/>
      <c r="T4250" s="1"/>
      <c r="U4250" s="2">
        <f>IFERROR(__xludf.DUMMYFUNCTION("""COMPUTED_VALUE"""),0.0)</f>
        <v>0</v>
      </c>
      <c r="V4250" s="1" t="str">
        <f>IFERROR(__xludf.DUMMYFUNCTION("""COMPUTED_VALUE"""),"#N/A")</f>
        <v>#N/A</v>
      </c>
      <c r="W4250" s="1" t="str">
        <f>IFERROR(__xludf.DUMMYFUNCTION("""COMPUTED_VALUE"""),"#N/A")</f>
        <v>#N/A</v>
      </c>
    </row>
    <row r="4251">
      <c r="O4251" s="1" t="str">
        <f>IFERROR(__xludf.DUMMYFUNCTION("""COMPUTED_VALUE"""),"#VALUE!")</f>
        <v>#VALUE!</v>
      </c>
      <c r="P4251" s="1" t="str">
        <f>IFERROR(__xludf.DUMMYFUNCTION("""COMPUTED_VALUE"""),"#N/A")</f>
        <v>#N/A</v>
      </c>
      <c r="Q4251" s="1"/>
      <c r="R4251" s="1"/>
      <c r="S4251" s="1"/>
      <c r="T4251" s="1"/>
      <c r="U4251" s="2">
        <f>IFERROR(__xludf.DUMMYFUNCTION("""COMPUTED_VALUE"""),0.0)</f>
        <v>0</v>
      </c>
      <c r="V4251" s="1" t="str">
        <f>IFERROR(__xludf.DUMMYFUNCTION("""COMPUTED_VALUE"""),"#N/A")</f>
        <v>#N/A</v>
      </c>
      <c r="W4251" s="1" t="str">
        <f>IFERROR(__xludf.DUMMYFUNCTION("""COMPUTED_VALUE"""),"#N/A")</f>
        <v>#N/A</v>
      </c>
    </row>
    <row r="4252">
      <c r="O4252" s="1" t="str">
        <f>IFERROR(__xludf.DUMMYFUNCTION("""COMPUTED_VALUE"""),"#VALUE!")</f>
        <v>#VALUE!</v>
      </c>
      <c r="P4252" s="1" t="str">
        <f>IFERROR(__xludf.DUMMYFUNCTION("""COMPUTED_VALUE"""),"#N/A")</f>
        <v>#N/A</v>
      </c>
      <c r="Q4252" s="1"/>
      <c r="R4252" s="1"/>
      <c r="S4252" s="1"/>
      <c r="T4252" s="1"/>
      <c r="U4252" s="2">
        <f>IFERROR(__xludf.DUMMYFUNCTION("""COMPUTED_VALUE"""),0.0)</f>
        <v>0</v>
      </c>
      <c r="V4252" s="1" t="str">
        <f>IFERROR(__xludf.DUMMYFUNCTION("""COMPUTED_VALUE"""),"#N/A")</f>
        <v>#N/A</v>
      </c>
      <c r="W4252" s="1" t="str">
        <f>IFERROR(__xludf.DUMMYFUNCTION("""COMPUTED_VALUE"""),"#N/A")</f>
        <v>#N/A</v>
      </c>
    </row>
    <row r="4253">
      <c r="O4253" s="1" t="str">
        <f>IFERROR(__xludf.DUMMYFUNCTION("""COMPUTED_VALUE"""),"#VALUE!")</f>
        <v>#VALUE!</v>
      </c>
      <c r="P4253" s="1" t="str">
        <f>IFERROR(__xludf.DUMMYFUNCTION("""COMPUTED_VALUE"""),"#N/A")</f>
        <v>#N/A</v>
      </c>
      <c r="Q4253" s="1"/>
      <c r="R4253" s="1"/>
      <c r="S4253" s="1"/>
      <c r="T4253" s="1"/>
      <c r="U4253" s="2">
        <f>IFERROR(__xludf.DUMMYFUNCTION("""COMPUTED_VALUE"""),0.0)</f>
        <v>0</v>
      </c>
      <c r="V4253" s="1" t="str">
        <f>IFERROR(__xludf.DUMMYFUNCTION("""COMPUTED_VALUE"""),"#N/A")</f>
        <v>#N/A</v>
      </c>
      <c r="W4253" s="1" t="str">
        <f>IFERROR(__xludf.DUMMYFUNCTION("""COMPUTED_VALUE"""),"#N/A")</f>
        <v>#N/A</v>
      </c>
    </row>
    <row r="4254">
      <c r="O4254" s="1" t="str">
        <f>IFERROR(__xludf.DUMMYFUNCTION("""COMPUTED_VALUE"""),"#VALUE!")</f>
        <v>#VALUE!</v>
      </c>
      <c r="P4254" s="1" t="str">
        <f>IFERROR(__xludf.DUMMYFUNCTION("""COMPUTED_VALUE"""),"#N/A")</f>
        <v>#N/A</v>
      </c>
      <c r="Q4254" s="1"/>
      <c r="R4254" s="1"/>
      <c r="S4254" s="1"/>
      <c r="T4254" s="1"/>
      <c r="U4254" s="2">
        <f>IFERROR(__xludf.DUMMYFUNCTION("""COMPUTED_VALUE"""),0.0)</f>
        <v>0</v>
      </c>
      <c r="V4254" s="1" t="str">
        <f>IFERROR(__xludf.DUMMYFUNCTION("""COMPUTED_VALUE"""),"#N/A")</f>
        <v>#N/A</v>
      </c>
      <c r="W4254" s="1" t="str">
        <f>IFERROR(__xludf.DUMMYFUNCTION("""COMPUTED_VALUE"""),"#N/A")</f>
        <v>#N/A</v>
      </c>
    </row>
    <row r="4255">
      <c r="O4255" s="1" t="str">
        <f>IFERROR(__xludf.DUMMYFUNCTION("""COMPUTED_VALUE"""),"#VALUE!")</f>
        <v>#VALUE!</v>
      </c>
      <c r="P4255" s="1" t="str">
        <f>IFERROR(__xludf.DUMMYFUNCTION("""COMPUTED_VALUE"""),"#N/A")</f>
        <v>#N/A</v>
      </c>
      <c r="Q4255" s="1"/>
      <c r="R4255" s="1"/>
      <c r="S4255" s="1"/>
      <c r="T4255" s="1"/>
      <c r="U4255" s="2">
        <f>IFERROR(__xludf.DUMMYFUNCTION("""COMPUTED_VALUE"""),0.0)</f>
        <v>0</v>
      </c>
      <c r="V4255" s="1" t="str">
        <f>IFERROR(__xludf.DUMMYFUNCTION("""COMPUTED_VALUE"""),"#N/A")</f>
        <v>#N/A</v>
      </c>
      <c r="W4255" s="1" t="str">
        <f>IFERROR(__xludf.DUMMYFUNCTION("""COMPUTED_VALUE"""),"#N/A")</f>
        <v>#N/A</v>
      </c>
    </row>
    <row r="4256">
      <c r="O4256" s="1" t="str">
        <f>IFERROR(__xludf.DUMMYFUNCTION("""COMPUTED_VALUE"""),"#VALUE!")</f>
        <v>#VALUE!</v>
      </c>
      <c r="P4256" s="1" t="str">
        <f>IFERROR(__xludf.DUMMYFUNCTION("""COMPUTED_VALUE"""),"#N/A")</f>
        <v>#N/A</v>
      </c>
      <c r="Q4256" s="1"/>
      <c r="R4256" s="1"/>
      <c r="S4256" s="1"/>
      <c r="T4256" s="1"/>
      <c r="U4256" s="2">
        <f>IFERROR(__xludf.DUMMYFUNCTION("""COMPUTED_VALUE"""),0.0)</f>
        <v>0</v>
      </c>
      <c r="V4256" s="1" t="str">
        <f>IFERROR(__xludf.DUMMYFUNCTION("""COMPUTED_VALUE"""),"#N/A")</f>
        <v>#N/A</v>
      </c>
      <c r="W4256" s="1" t="str">
        <f>IFERROR(__xludf.DUMMYFUNCTION("""COMPUTED_VALUE"""),"#N/A")</f>
        <v>#N/A</v>
      </c>
    </row>
    <row r="4257">
      <c r="O4257" s="1" t="str">
        <f>IFERROR(__xludf.DUMMYFUNCTION("""COMPUTED_VALUE"""),"#VALUE!")</f>
        <v>#VALUE!</v>
      </c>
      <c r="P4257" s="1" t="str">
        <f>IFERROR(__xludf.DUMMYFUNCTION("""COMPUTED_VALUE"""),"#N/A")</f>
        <v>#N/A</v>
      </c>
      <c r="Q4257" s="1"/>
      <c r="R4257" s="1"/>
      <c r="S4257" s="1"/>
      <c r="T4257" s="1"/>
      <c r="U4257" s="2">
        <f>IFERROR(__xludf.DUMMYFUNCTION("""COMPUTED_VALUE"""),0.0)</f>
        <v>0</v>
      </c>
      <c r="V4257" s="1" t="str">
        <f>IFERROR(__xludf.DUMMYFUNCTION("""COMPUTED_VALUE"""),"#N/A")</f>
        <v>#N/A</v>
      </c>
      <c r="W4257" s="1" t="str">
        <f>IFERROR(__xludf.DUMMYFUNCTION("""COMPUTED_VALUE"""),"#N/A")</f>
        <v>#N/A</v>
      </c>
    </row>
    <row r="4258">
      <c r="O4258" s="1" t="str">
        <f>IFERROR(__xludf.DUMMYFUNCTION("""COMPUTED_VALUE"""),"#VALUE!")</f>
        <v>#VALUE!</v>
      </c>
      <c r="P4258" s="1" t="str">
        <f>IFERROR(__xludf.DUMMYFUNCTION("""COMPUTED_VALUE"""),"#N/A")</f>
        <v>#N/A</v>
      </c>
      <c r="Q4258" s="1"/>
      <c r="R4258" s="1"/>
      <c r="S4258" s="1"/>
      <c r="T4258" s="1"/>
      <c r="U4258" s="2">
        <f>IFERROR(__xludf.DUMMYFUNCTION("""COMPUTED_VALUE"""),0.0)</f>
        <v>0</v>
      </c>
      <c r="V4258" s="1" t="str">
        <f>IFERROR(__xludf.DUMMYFUNCTION("""COMPUTED_VALUE"""),"#N/A")</f>
        <v>#N/A</v>
      </c>
      <c r="W4258" s="1" t="str">
        <f>IFERROR(__xludf.DUMMYFUNCTION("""COMPUTED_VALUE"""),"#N/A")</f>
        <v>#N/A</v>
      </c>
    </row>
    <row r="4259">
      <c r="O4259" s="1" t="str">
        <f>IFERROR(__xludf.DUMMYFUNCTION("""COMPUTED_VALUE"""),"#VALUE!")</f>
        <v>#VALUE!</v>
      </c>
      <c r="P4259" s="1" t="str">
        <f>IFERROR(__xludf.DUMMYFUNCTION("""COMPUTED_VALUE"""),"#N/A")</f>
        <v>#N/A</v>
      </c>
      <c r="Q4259" s="1"/>
      <c r="R4259" s="1"/>
      <c r="S4259" s="1"/>
      <c r="T4259" s="1"/>
      <c r="U4259" s="2">
        <f>IFERROR(__xludf.DUMMYFUNCTION("""COMPUTED_VALUE"""),0.0)</f>
        <v>0</v>
      </c>
      <c r="V4259" s="1" t="str">
        <f>IFERROR(__xludf.DUMMYFUNCTION("""COMPUTED_VALUE"""),"#N/A")</f>
        <v>#N/A</v>
      </c>
      <c r="W4259" s="1" t="str">
        <f>IFERROR(__xludf.DUMMYFUNCTION("""COMPUTED_VALUE"""),"#N/A")</f>
        <v>#N/A</v>
      </c>
    </row>
    <row r="4260">
      <c r="O4260" s="1" t="str">
        <f>IFERROR(__xludf.DUMMYFUNCTION("""COMPUTED_VALUE"""),"#VALUE!")</f>
        <v>#VALUE!</v>
      </c>
      <c r="P4260" s="1" t="str">
        <f>IFERROR(__xludf.DUMMYFUNCTION("""COMPUTED_VALUE"""),"#N/A")</f>
        <v>#N/A</v>
      </c>
      <c r="Q4260" s="1"/>
      <c r="R4260" s="1"/>
      <c r="S4260" s="1"/>
      <c r="T4260" s="1"/>
      <c r="U4260" s="2">
        <f>IFERROR(__xludf.DUMMYFUNCTION("""COMPUTED_VALUE"""),0.0)</f>
        <v>0</v>
      </c>
      <c r="V4260" s="1" t="str">
        <f>IFERROR(__xludf.DUMMYFUNCTION("""COMPUTED_VALUE"""),"#N/A")</f>
        <v>#N/A</v>
      </c>
      <c r="W4260" s="1" t="str">
        <f>IFERROR(__xludf.DUMMYFUNCTION("""COMPUTED_VALUE"""),"#N/A")</f>
        <v>#N/A</v>
      </c>
    </row>
    <row r="4261">
      <c r="O4261" s="1" t="str">
        <f>IFERROR(__xludf.DUMMYFUNCTION("""COMPUTED_VALUE"""),"#VALUE!")</f>
        <v>#VALUE!</v>
      </c>
      <c r="P4261" s="1" t="str">
        <f>IFERROR(__xludf.DUMMYFUNCTION("""COMPUTED_VALUE"""),"#N/A")</f>
        <v>#N/A</v>
      </c>
      <c r="Q4261" s="1"/>
      <c r="R4261" s="1"/>
      <c r="S4261" s="1"/>
      <c r="T4261" s="1"/>
      <c r="U4261" s="2">
        <f>IFERROR(__xludf.DUMMYFUNCTION("""COMPUTED_VALUE"""),0.0)</f>
        <v>0</v>
      </c>
      <c r="V4261" s="1" t="str">
        <f>IFERROR(__xludf.DUMMYFUNCTION("""COMPUTED_VALUE"""),"#N/A")</f>
        <v>#N/A</v>
      </c>
      <c r="W4261" s="1" t="str">
        <f>IFERROR(__xludf.DUMMYFUNCTION("""COMPUTED_VALUE"""),"#N/A")</f>
        <v>#N/A</v>
      </c>
    </row>
    <row r="4262">
      <c r="O4262" s="1" t="str">
        <f>IFERROR(__xludf.DUMMYFUNCTION("""COMPUTED_VALUE"""),"#VALUE!")</f>
        <v>#VALUE!</v>
      </c>
      <c r="P4262" s="1" t="str">
        <f>IFERROR(__xludf.DUMMYFUNCTION("""COMPUTED_VALUE"""),"#N/A")</f>
        <v>#N/A</v>
      </c>
      <c r="Q4262" s="1"/>
      <c r="R4262" s="1"/>
      <c r="S4262" s="1"/>
      <c r="T4262" s="1"/>
      <c r="U4262" s="2">
        <f>IFERROR(__xludf.DUMMYFUNCTION("""COMPUTED_VALUE"""),0.0)</f>
        <v>0</v>
      </c>
      <c r="V4262" s="1" t="str">
        <f>IFERROR(__xludf.DUMMYFUNCTION("""COMPUTED_VALUE"""),"#N/A")</f>
        <v>#N/A</v>
      </c>
      <c r="W4262" s="1" t="str">
        <f>IFERROR(__xludf.DUMMYFUNCTION("""COMPUTED_VALUE"""),"#N/A")</f>
        <v>#N/A</v>
      </c>
    </row>
    <row r="4263">
      <c r="O4263" s="1" t="str">
        <f>IFERROR(__xludf.DUMMYFUNCTION("""COMPUTED_VALUE"""),"#VALUE!")</f>
        <v>#VALUE!</v>
      </c>
      <c r="P4263" s="1" t="str">
        <f>IFERROR(__xludf.DUMMYFUNCTION("""COMPUTED_VALUE"""),"#N/A")</f>
        <v>#N/A</v>
      </c>
      <c r="Q4263" s="1"/>
      <c r="R4263" s="1"/>
      <c r="S4263" s="1"/>
      <c r="T4263" s="1"/>
      <c r="U4263" s="2">
        <f>IFERROR(__xludf.DUMMYFUNCTION("""COMPUTED_VALUE"""),0.0)</f>
        <v>0</v>
      </c>
      <c r="V4263" s="1" t="str">
        <f>IFERROR(__xludf.DUMMYFUNCTION("""COMPUTED_VALUE"""),"#N/A")</f>
        <v>#N/A</v>
      </c>
      <c r="W4263" s="1" t="str">
        <f>IFERROR(__xludf.DUMMYFUNCTION("""COMPUTED_VALUE"""),"#N/A")</f>
        <v>#N/A</v>
      </c>
    </row>
    <row r="4264">
      <c r="O4264" s="1" t="str">
        <f>IFERROR(__xludf.DUMMYFUNCTION("""COMPUTED_VALUE"""),"#VALUE!")</f>
        <v>#VALUE!</v>
      </c>
      <c r="P4264" s="1" t="str">
        <f>IFERROR(__xludf.DUMMYFUNCTION("""COMPUTED_VALUE"""),"#N/A")</f>
        <v>#N/A</v>
      </c>
      <c r="Q4264" s="1"/>
      <c r="R4264" s="1"/>
      <c r="S4264" s="1"/>
      <c r="T4264" s="1"/>
      <c r="U4264" s="2">
        <f>IFERROR(__xludf.DUMMYFUNCTION("""COMPUTED_VALUE"""),0.0)</f>
        <v>0</v>
      </c>
      <c r="V4264" s="1" t="str">
        <f>IFERROR(__xludf.DUMMYFUNCTION("""COMPUTED_VALUE"""),"#N/A")</f>
        <v>#N/A</v>
      </c>
      <c r="W4264" s="1" t="str">
        <f>IFERROR(__xludf.DUMMYFUNCTION("""COMPUTED_VALUE"""),"#N/A")</f>
        <v>#N/A</v>
      </c>
    </row>
    <row r="4265">
      <c r="O4265" s="1" t="str">
        <f>IFERROR(__xludf.DUMMYFUNCTION("""COMPUTED_VALUE"""),"#VALUE!")</f>
        <v>#VALUE!</v>
      </c>
      <c r="P4265" s="1" t="str">
        <f>IFERROR(__xludf.DUMMYFUNCTION("""COMPUTED_VALUE"""),"#N/A")</f>
        <v>#N/A</v>
      </c>
      <c r="Q4265" s="1"/>
      <c r="R4265" s="1"/>
      <c r="S4265" s="1"/>
      <c r="T4265" s="1"/>
      <c r="U4265" s="2">
        <f>IFERROR(__xludf.DUMMYFUNCTION("""COMPUTED_VALUE"""),0.0)</f>
        <v>0</v>
      </c>
      <c r="V4265" s="1" t="str">
        <f>IFERROR(__xludf.DUMMYFUNCTION("""COMPUTED_VALUE"""),"#N/A")</f>
        <v>#N/A</v>
      </c>
      <c r="W4265" s="1" t="str">
        <f>IFERROR(__xludf.DUMMYFUNCTION("""COMPUTED_VALUE"""),"#N/A")</f>
        <v>#N/A</v>
      </c>
    </row>
    <row r="4266">
      <c r="O4266" s="1" t="str">
        <f>IFERROR(__xludf.DUMMYFUNCTION("""COMPUTED_VALUE"""),"#VALUE!")</f>
        <v>#VALUE!</v>
      </c>
      <c r="P4266" s="1" t="str">
        <f>IFERROR(__xludf.DUMMYFUNCTION("""COMPUTED_VALUE"""),"#N/A")</f>
        <v>#N/A</v>
      </c>
      <c r="Q4266" s="1"/>
      <c r="R4266" s="1"/>
      <c r="S4266" s="1"/>
      <c r="T4266" s="1"/>
      <c r="U4266" s="2">
        <f>IFERROR(__xludf.DUMMYFUNCTION("""COMPUTED_VALUE"""),0.0)</f>
        <v>0</v>
      </c>
      <c r="V4266" s="1" t="str">
        <f>IFERROR(__xludf.DUMMYFUNCTION("""COMPUTED_VALUE"""),"#N/A")</f>
        <v>#N/A</v>
      </c>
      <c r="W4266" s="1" t="str">
        <f>IFERROR(__xludf.DUMMYFUNCTION("""COMPUTED_VALUE"""),"#N/A")</f>
        <v>#N/A</v>
      </c>
    </row>
    <row r="4267">
      <c r="O4267" s="1" t="str">
        <f>IFERROR(__xludf.DUMMYFUNCTION("""COMPUTED_VALUE"""),"#VALUE!")</f>
        <v>#VALUE!</v>
      </c>
      <c r="P4267" s="1" t="str">
        <f>IFERROR(__xludf.DUMMYFUNCTION("""COMPUTED_VALUE"""),"#N/A")</f>
        <v>#N/A</v>
      </c>
      <c r="Q4267" s="1"/>
      <c r="R4267" s="1"/>
      <c r="S4267" s="1"/>
      <c r="T4267" s="1"/>
      <c r="U4267" s="2">
        <f>IFERROR(__xludf.DUMMYFUNCTION("""COMPUTED_VALUE"""),0.0)</f>
        <v>0</v>
      </c>
      <c r="V4267" s="1" t="str">
        <f>IFERROR(__xludf.DUMMYFUNCTION("""COMPUTED_VALUE"""),"#N/A")</f>
        <v>#N/A</v>
      </c>
      <c r="W4267" s="1" t="str">
        <f>IFERROR(__xludf.DUMMYFUNCTION("""COMPUTED_VALUE"""),"#N/A")</f>
        <v>#N/A</v>
      </c>
    </row>
    <row r="4268">
      <c r="O4268" s="1" t="str">
        <f>IFERROR(__xludf.DUMMYFUNCTION("""COMPUTED_VALUE"""),"#VALUE!")</f>
        <v>#VALUE!</v>
      </c>
      <c r="P4268" s="1" t="str">
        <f>IFERROR(__xludf.DUMMYFUNCTION("""COMPUTED_VALUE"""),"#N/A")</f>
        <v>#N/A</v>
      </c>
      <c r="Q4268" s="1"/>
      <c r="R4268" s="1"/>
      <c r="S4268" s="1"/>
      <c r="T4268" s="1"/>
      <c r="U4268" s="2">
        <f>IFERROR(__xludf.DUMMYFUNCTION("""COMPUTED_VALUE"""),0.0)</f>
        <v>0</v>
      </c>
      <c r="V4268" s="1" t="str">
        <f>IFERROR(__xludf.DUMMYFUNCTION("""COMPUTED_VALUE"""),"#N/A")</f>
        <v>#N/A</v>
      </c>
      <c r="W4268" s="1" t="str">
        <f>IFERROR(__xludf.DUMMYFUNCTION("""COMPUTED_VALUE"""),"#N/A")</f>
        <v>#N/A</v>
      </c>
    </row>
    <row r="4269">
      <c r="O4269" s="1" t="str">
        <f>IFERROR(__xludf.DUMMYFUNCTION("""COMPUTED_VALUE"""),"#VALUE!")</f>
        <v>#VALUE!</v>
      </c>
      <c r="P4269" s="1" t="str">
        <f>IFERROR(__xludf.DUMMYFUNCTION("""COMPUTED_VALUE"""),"#N/A")</f>
        <v>#N/A</v>
      </c>
      <c r="Q4269" s="1"/>
      <c r="R4269" s="1"/>
      <c r="S4269" s="1"/>
      <c r="T4269" s="1"/>
      <c r="U4269" s="2">
        <f>IFERROR(__xludf.DUMMYFUNCTION("""COMPUTED_VALUE"""),0.0)</f>
        <v>0</v>
      </c>
      <c r="V4269" s="1" t="str">
        <f>IFERROR(__xludf.DUMMYFUNCTION("""COMPUTED_VALUE"""),"#N/A")</f>
        <v>#N/A</v>
      </c>
      <c r="W4269" s="1" t="str">
        <f>IFERROR(__xludf.DUMMYFUNCTION("""COMPUTED_VALUE"""),"#N/A")</f>
        <v>#N/A</v>
      </c>
    </row>
    <row r="4270">
      <c r="O4270" s="1" t="str">
        <f>IFERROR(__xludf.DUMMYFUNCTION("""COMPUTED_VALUE"""),"#VALUE!")</f>
        <v>#VALUE!</v>
      </c>
      <c r="P4270" s="1" t="str">
        <f>IFERROR(__xludf.DUMMYFUNCTION("""COMPUTED_VALUE"""),"#N/A")</f>
        <v>#N/A</v>
      </c>
      <c r="Q4270" s="1"/>
      <c r="R4270" s="1"/>
      <c r="S4270" s="1"/>
      <c r="T4270" s="1"/>
      <c r="U4270" s="2">
        <f>IFERROR(__xludf.DUMMYFUNCTION("""COMPUTED_VALUE"""),0.0)</f>
        <v>0</v>
      </c>
      <c r="V4270" s="1" t="str">
        <f>IFERROR(__xludf.DUMMYFUNCTION("""COMPUTED_VALUE"""),"#N/A")</f>
        <v>#N/A</v>
      </c>
      <c r="W4270" s="1" t="str">
        <f>IFERROR(__xludf.DUMMYFUNCTION("""COMPUTED_VALUE"""),"#N/A")</f>
        <v>#N/A</v>
      </c>
    </row>
    <row r="4271">
      <c r="O4271" s="1" t="str">
        <f>IFERROR(__xludf.DUMMYFUNCTION("""COMPUTED_VALUE"""),"#VALUE!")</f>
        <v>#VALUE!</v>
      </c>
      <c r="P4271" s="1" t="str">
        <f>IFERROR(__xludf.DUMMYFUNCTION("""COMPUTED_VALUE"""),"#N/A")</f>
        <v>#N/A</v>
      </c>
      <c r="Q4271" s="1"/>
      <c r="R4271" s="1"/>
      <c r="S4271" s="1"/>
      <c r="T4271" s="1"/>
      <c r="U4271" s="2">
        <f>IFERROR(__xludf.DUMMYFUNCTION("""COMPUTED_VALUE"""),0.0)</f>
        <v>0</v>
      </c>
      <c r="V4271" s="1" t="str">
        <f>IFERROR(__xludf.DUMMYFUNCTION("""COMPUTED_VALUE"""),"#N/A")</f>
        <v>#N/A</v>
      </c>
      <c r="W4271" s="1" t="str">
        <f>IFERROR(__xludf.DUMMYFUNCTION("""COMPUTED_VALUE"""),"#N/A")</f>
        <v>#N/A</v>
      </c>
    </row>
    <row r="4272">
      <c r="O4272" s="1" t="str">
        <f>IFERROR(__xludf.DUMMYFUNCTION("""COMPUTED_VALUE"""),"#VALUE!")</f>
        <v>#VALUE!</v>
      </c>
      <c r="P4272" s="1" t="str">
        <f>IFERROR(__xludf.DUMMYFUNCTION("""COMPUTED_VALUE"""),"#N/A")</f>
        <v>#N/A</v>
      </c>
      <c r="Q4272" s="1"/>
      <c r="R4272" s="1"/>
      <c r="S4272" s="1"/>
      <c r="T4272" s="1"/>
      <c r="U4272" s="2">
        <f>IFERROR(__xludf.DUMMYFUNCTION("""COMPUTED_VALUE"""),0.0)</f>
        <v>0</v>
      </c>
      <c r="V4272" s="1" t="str">
        <f>IFERROR(__xludf.DUMMYFUNCTION("""COMPUTED_VALUE"""),"#N/A")</f>
        <v>#N/A</v>
      </c>
      <c r="W4272" s="1" t="str">
        <f>IFERROR(__xludf.DUMMYFUNCTION("""COMPUTED_VALUE"""),"#N/A")</f>
        <v>#N/A</v>
      </c>
    </row>
    <row r="4273">
      <c r="O4273" s="1" t="str">
        <f>IFERROR(__xludf.DUMMYFUNCTION("""COMPUTED_VALUE"""),"#VALUE!")</f>
        <v>#VALUE!</v>
      </c>
      <c r="P4273" s="1" t="str">
        <f>IFERROR(__xludf.DUMMYFUNCTION("""COMPUTED_VALUE"""),"#N/A")</f>
        <v>#N/A</v>
      </c>
      <c r="Q4273" s="1"/>
      <c r="R4273" s="1"/>
      <c r="S4273" s="1"/>
      <c r="T4273" s="1"/>
      <c r="U4273" s="2">
        <f>IFERROR(__xludf.DUMMYFUNCTION("""COMPUTED_VALUE"""),0.0)</f>
        <v>0</v>
      </c>
      <c r="V4273" s="1" t="str">
        <f>IFERROR(__xludf.DUMMYFUNCTION("""COMPUTED_VALUE"""),"#N/A")</f>
        <v>#N/A</v>
      </c>
      <c r="W4273" s="1" t="str">
        <f>IFERROR(__xludf.DUMMYFUNCTION("""COMPUTED_VALUE"""),"#N/A")</f>
        <v>#N/A</v>
      </c>
    </row>
    <row r="4274">
      <c r="O4274" s="1" t="str">
        <f>IFERROR(__xludf.DUMMYFUNCTION("""COMPUTED_VALUE"""),"#VALUE!")</f>
        <v>#VALUE!</v>
      </c>
      <c r="P4274" s="1" t="str">
        <f>IFERROR(__xludf.DUMMYFUNCTION("""COMPUTED_VALUE"""),"#N/A")</f>
        <v>#N/A</v>
      </c>
      <c r="Q4274" s="1"/>
      <c r="R4274" s="1"/>
      <c r="S4274" s="1"/>
      <c r="T4274" s="1"/>
      <c r="U4274" s="2">
        <f>IFERROR(__xludf.DUMMYFUNCTION("""COMPUTED_VALUE"""),0.0)</f>
        <v>0</v>
      </c>
      <c r="V4274" s="1" t="str">
        <f>IFERROR(__xludf.DUMMYFUNCTION("""COMPUTED_VALUE"""),"#N/A")</f>
        <v>#N/A</v>
      </c>
      <c r="W4274" s="1" t="str">
        <f>IFERROR(__xludf.DUMMYFUNCTION("""COMPUTED_VALUE"""),"#N/A")</f>
        <v>#N/A</v>
      </c>
    </row>
    <row r="4275">
      <c r="O4275" s="1" t="str">
        <f>IFERROR(__xludf.DUMMYFUNCTION("""COMPUTED_VALUE"""),"#VALUE!")</f>
        <v>#VALUE!</v>
      </c>
      <c r="P4275" s="1" t="str">
        <f>IFERROR(__xludf.DUMMYFUNCTION("""COMPUTED_VALUE"""),"#N/A")</f>
        <v>#N/A</v>
      </c>
      <c r="Q4275" s="1"/>
      <c r="R4275" s="1"/>
      <c r="S4275" s="1"/>
      <c r="T4275" s="1"/>
      <c r="U4275" s="2">
        <f>IFERROR(__xludf.DUMMYFUNCTION("""COMPUTED_VALUE"""),0.0)</f>
        <v>0</v>
      </c>
      <c r="V4275" s="1" t="str">
        <f>IFERROR(__xludf.DUMMYFUNCTION("""COMPUTED_VALUE"""),"#N/A")</f>
        <v>#N/A</v>
      </c>
      <c r="W4275" s="1" t="str">
        <f>IFERROR(__xludf.DUMMYFUNCTION("""COMPUTED_VALUE"""),"#N/A")</f>
        <v>#N/A</v>
      </c>
    </row>
    <row r="4276">
      <c r="O4276" s="1" t="str">
        <f>IFERROR(__xludf.DUMMYFUNCTION("""COMPUTED_VALUE"""),"#VALUE!")</f>
        <v>#VALUE!</v>
      </c>
      <c r="P4276" s="1" t="str">
        <f>IFERROR(__xludf.DUMMYFUNCTION("""COMPUTED_VALUE"""),"#N/A")</f>
        <v>#N/A</v>
      </c>
      <c r="Q4276" s="1"/>
      <c r="R4276" s="1"/>
      <c r="S4276" s="1"/>
      <c r="T4276" s="1"/>
      <c r="U4276" s="2">
        <f>IFERROR(__xludf.DUMMYFUNCTION("""COMPUTED_VALUE"""),0.0)</f>
        <v>0</v>
      </c>
      <c r="V4276" s="1" t="str">
        <f>IFERROR(__xludf.DUMMYFUNCTION("""COMPUTED_VALUE"""),"#N/A")</f>
        <v>#N/A</v>
      </c>
      <c r="W4276" s="1" t="str">
        <f>IFERROR(__xludf.DUMMYFUNCTION("""COMPUTED_VALUE"""),"#N/A")</f>
        <v>#N/A</v>
      </c>
    </row>
    <row r="4277">
      <c r="O4277" s="1" t="str">
        <f>IFERROR(__xludf.DUMMYFUNCTION("""COMPUTED_VALUE"""),"#VALUE!")</f>
        <v>#VALUE!</v>
      </c>
      <c r="P4277" s="1" t="str">
        <f>IFERROR(__xludf.DUMMYFUNCTION("""COMPUTED_VALUE"""),"#N/A")</f>
        <v>#N/A</v>
      </c>
      <c r="Q4277" s="1"/>
      <c r="R4277" s="1"/>
      <c r="S4277" s="1"/>
      <c r="T4277" s="1"/>
      <c r="U4277" s="2">
        <f>IFERROR(__xludf.DUMMYFUNCTION("""COMPUTED_VALUE"""),0.0)</f>
        <v>0</v>
      </c>
      <c r="V4277" s="1" t="str">
        <f>IFERROR(__xludf.DUMMYFUNCTION("""COMPUTED_VALUE"""),"#N/A")</f>
        <v>#N/A</v>
      </c>
      <c r="W4277" s="1" t="str">
        <f>IFERROR(__xludf.DUMMYFUNCTION("""COMPUTED_VALUE"""),"#N/A")</f>
        <v>#N/A</v>
      </c>
    </row>
    <row r="4278">
      <c r="O4278" s="1" t="str">
        <f>IFERROR(__xludf.DUMMYFUNCTION("""COMPUTED_VALUE"""),"#VALUE!")</f>
        <v>#VALUE!</v>
      </c>
      <c r="P4278" s="1" t="str">
        <f>IFERROR(__xludf.DUMMYFUNCTION("""COMPUTED_VALUE"""),"#N/A")</f>
        <v>#N/A</v>
      </c>
      <c r="Q4278" s="1"/>
      <c r="R4278" s="1"/>
      <c r="S4278" s="1"/>
      <c r="T4278" s="1"/>
      <c r="U4278" s="2">
        <f>IFERROR(__xludf.DUMMYFUNCTION("""COMPUTED_VALUE"""),0.0)</f>
        <v>0</v>
      </c>
      <c r="V4278" s="1" t="str">
        <f>IFERROR(__xludf.DUMMYFUNCTION("""COMPUTED_VALUE"""),"#N/A")</f>
        <v>#N/A</v>
      </c>
      <c r="W4278" s="1" t="str">
        <f>IFERROR(__xludf.DUMMYFUNCTION("""COMPUTED_VALUE"""),"#N/A")</f>
        <v>#N/A</v>
      </c>
    </row>
    <row r="4279">
      <c r="O4279" s="1" t="str">
        <f>IFERROR(__xludf.DUMMYFUNCTION("""COMPUTED_VALUE"""),"#VALUE!")</f>
        <v>#VALUE!</v>
      </c>
      <c r="P4279" s="1" t="str">
        <f>IFERROR(__xludf.DUMMYFUNCTION("""COMPUTED_VALUE"""),"#N/A")</f>
        <v>#N/A</v>
      </c>
      <c r="Q4279" s="1"/>
      <c r="R4279" s="1"/>
      <c r="S4279" s="1"/>
      <c r="T4279" s="1"/>
      <c r="U4279" s="2">
        <f>IFERROR(__xludf.DUMMYFUNCTION("""COMPUTED_VALUE"""),0.0)</f>
        <v>0</v>
      </c>
      <c r="V4279" s="1" t="str">
        <f>IFERROR(__xludf.DUMMYFUNCTION("""COMPUTED_VALUE"""),"#N/A")</f>
        <v>#N/A</v>
      </c>
      <c r="W4279" s="1" t="str">
        <f>IFERROR(__xludf.DUMMYFUNCTION("""COMPUTED_VALUE"""),"#N/A")</f>
        <v>#N/A</v>
      </c>
    </row>
    <row r="4280">
      <c r="O4280" s="1" t="str">
        <f>IFERROR(__xludf.DUMMYFUNCTION("""COMPUTED_VALUE"""),"#VALUE!")</f>
        <v>#VALUE!</v>
      </c>
      <c r="P4280" s="1" t="str">
        <f>IFERROR(__xludf.DUMMYFUNCTION("""COMPUTED_VALUE"""),"#N/A")</f>
        <v>#N/A</v>
      </c>
      <c r="Q4280" s="1"/>
      <c r="R4280" s="1"/>
      <c r="S4280" s="1"/>
      <c r="T4280" s="1"/>
      <c r="U4280" s="2">
        <f>IFERROR(__xludf.DUMMYFUNCTION("""COMPUTED_VALUE"""),0.0)</f>
        <v>0</v>
      </c>
      <c r="V4280" s="1" t="str">
        <f>IFERROR(__xludf.DUMMYFUNCTION("""COMPUTED_VALUE"""),"#N/A")</f>
        <v>#N/A</v>
      </c>
      <c r="W4280" s="1" t="str">
        <f>IFERROR(__xludf.DUMMYFUNCTION("""COMPUTED_VALUE"""),"#N/A")</f>
        <v>#N/A</v>
      </c>
    </row>
    <row r="4281">
      <c r="O4281" s="1" t="str">
        <f>IFERROR(__xludf.DUMMYFUNCTION("""COMPUTED_VALUE"""),"#VALUE!")</f>
        <v>#VALUE!</v>
      </c>
      <c r="P4281" s="1" t="str">
        <f>IFERROR(__xludf.DUMMYFUNCTION("""COMPUTED_VALUE"""),"#N/A")</f>
        <v>#N/A</v>
      </c>
      <c r="Q4281" s="1"/>
      <c r="R4281" s="1"/>
      <c r="S4281" s="1"/>
      <c r="T4281" s="1"/>
      <c r="U4281" s="2">
        <f>IFERROR(__xludf.DUMMYFUNCTION("""COMPUTED_VALUE"""),0.0)</f>
        <v>0</v>
      </c>
      <c r="V4281" s="1" t="str">
        <f>IFERROR(__xludf.DUMMYFUNCTION("""COMPUTED_VALUE"""),"#N/A")</f>
        <v>#N/A</v>
      </c>
      <c r="W4281" s="1" t="str">
        <f>IFERROR(__xludf.DUMMYFUNCTION("""COMPUTED_VALUE"""),"#N/A")</f>
        <v>#N/A</v>
      </c>
    </row>
    <row r="4282">
      <c r="O4282" s="1" t="str">
        <f>IFERROR(__xludf.DUMMYFUNCTION("""COMPUTED_VALUE"""),"#VALUE!")</f>
        <v>#VALUE!</v>
      </c>
      <c r="P4282" s="1" t="str">
        <f>IFERROR(__xludf.DUMMYFUNCTION("""COMPUTED_VALUE"""),"#N/A")</f>
        <v>#N/A</v>
      </c>
      <c r="Q4282" s="1"/>
      <c r="R4282" s="1"/>
      <c r="S4282" s="1"/>
      <c r="T4282" s="1"/>
      <c r="U4282" s="2">
        <f>IFERROR(__xludf.DUMMYFUNCTION("""COMPUTED_VALUE"""),0.0)</f>
        <v>0</v>
      </c>
      <c r="V4282" s="1" t="str">
        <f>IFERROR(__xludf.DUMMYFUNCTION("""COMPUTED_VALUE"""),"#N/A")</f>
        <v>#N/A</v>
      </c>
      <c r="W4282" s="1" t="str">
        <f>IFERROR(__xludf.DUMMYFUNCTION("""COMPUTED_VALUE"""),"#N/A")</f>
        <v>#N/A</v>
      </c>
    </row>
    <row r="4283">
      <c r="O4283" s="1" t="str">
        <f>IFERROR(__xludf.DUMMYFUNCTION("""COMPUTED_VALUE"""),"#VALUE!")</f>
        <v>#VALUE!</v>
      </c>
      <c r="P4283" s="1" t="str">
        <f>IFERROR(__xludf.DUMMYFUNCTION("""COMPUTED_VALUE"""),"#N/A")</f>
        <v>#N/A</v>
      </c>
      <c r="Q4283" s="1"/>
      <c r="R4283" s="1"/>
      <c r="S4283" s="1"/>
      <c r="T4283" s="1"/>
      <c r="U4283" s="2">
        <f>IFERROR(__xludf.DUMMYFUNCTION("""COMPUTED_VALUE"""),0.0)</f>
        <v>0</v>
      </c>
      <c r="V4283" s="1" t="str">
        <f>IFERROR(__xludf.DUMMYFUNCTION("""COMPUTED_VALUE"""),"#N/A")</f>
        <v>#N/A</v>
      </c>
      <c r="W4283" s="1" t="str">
        <f>IFERROR(__xludf.DUMMYFUNCTION("""COMPUTED_VALUE"""),"#N/A")</f>
        <v>#N/A</v>
      </c>
    </row>
    <row r="4284">
      <c r="O4284" s="1" t="str">
        <f>IFERROR(__xludf.DUMMYFUNCTION("""COMPUTED_VALUE"""),"#VALUE!")</f>
        <v>#VALUE!</v>
      </c>
      <c r="P4284" s="1" t="str">
        <f>IFERROR(__xludf.DUMMYFUNCTION("""COMPUTED_VALUE"""),"#N/A")</f>
        <v>#N/A</v>
      </c>
      <c r="Q4284" s="1"/>
      <c r="R4284" s="1"/>
      <c r="S4284" s="1"/>
      <c r="T4284" s="1"/>
      <c r="U4284" s="2">
        <f>IFERROR(__xludf.DUMMYFUNCTION("""COMPUTED_VALUE"""),0.0)</f>
        <v>0</v>
      </c>
      <c r="V4284" s="1" t="str">
        <f>IFERROR(__xludf.DUMMYFUNCTION("""COMPUTED_VALUE"""),"#N/A")</f>
        <v>#N/A</v>
      </c>
      <c r="W4284" s="1" t="str">
        <f>IFERROR(__xludf.DUMMYFUNCTION("""COMPUTED_VALUE"""),"#N/A")</f>
        <v>#N/A</v>
      </c>
    </row>
    <row r="4285">
      <c r="O4285" s="1" t="str">
        <f>IFERROR(__xludf.DUMMYFUNCTION("""COMPUTED_VALUE"""),"#VALUE!")</f>
        <v>#VALUE!</v>
      </c>
      <c r="P4285" s="1" t="str">
        <f>IFERROR(__xludf.DUMMYFUNCTION("""COMPUTED_VALUE"""),"#N/A")</f>
        <v>#N/A</v>
      </c>
      <c r="Q4285" s="1"/>
      <c r="R4285" s="1"/>
      <c r="S4285" s="1"/>
      <c r="T4285" s="1"/>
      <c r="U4285" s="2">
        <f>IFERROR(__xludf.DUMMYFUNCTION("""COMPUTED_VALUE"""),0.0)</f>
        <v>0</v>
      </c>
      <c r="V4285" s="1" t="str">
        <f>IFERROR(__xludf.DUMMYFUNCTION("""COMPUTED_VALUE"""),"#N/A")</f>
        <v>#N/A</v>
      </c>
      <c r="W4285" s="1" t="str">
        <f>IFERROR(__xludf.DUMMYFUNCTION("""COMPUTED_VALUE"""),"#N/A")</f>
        <v>#N/A</v>
      </c>
    </row>
    <row r="4286">
      <c r="O4286" s="1" t="str">
        <f>IFERROR(__xludf.DUMMYFUNCTION("""COMPUTED_VALUE"""),"#VALUE!")</f>
        <v>#VALUE!</v>
      </c>
      <c r="P4286" s="1" t="str">
        <f>IFERROR(__xludf.DUMMYFUNCTION("""COMPUTED_VALUE"""),"#N/A")</f>
        <v>#N/A</v>
      </c>
      <c r="Q4286" s="1"/>
      <c r="R4286" s="1"/>
      <c r="S4286" s="1"/>
      <c r="T4286" s="1"/>
      <c r="U4286" s="2">
        <f>IFERROR(__xludf.DUMMYFUNCTION("""COMPUTED_VALUE"""),0.0)</f>
        <v>0</v>
      </c>
      <c r="V4286" s="1" t="str">
        <f>IFERROR(__xludf.DUMMYFUNCTION("""COMPUTED_VALUE"""),"#N/A")</f>
        <v>#N/A</v>
      </c>
      <c r="W4286" s="1" t="str">
        <f>IFERROR(__xludf.DUMMYFUNCTION("""COMPUTED_VALUE"""),"#N/A")</f>
        <v>#N/A</v>
      </c>
    </row>
    <row r="4287">
      <c r="O4287" s="1" t="str">
        <f>IFERROR(__xludf.DUMMYFUNCTION("""COMPUTED_VALUE"""),"#VALUE!")</f>
        <v>#VALUE!</v>
      </c>
      <c r="P4287" s="1" t="str">
        <f>IFERROR(__xludf.DUMMYFUNCTION("""COMPUTED_VALUE"""),"#N/A")</f>
        <v>#N/A</v>
      </c>
      <c r="Q4287" s="1"/>
      <c r="R4287" s="1"/>
      <c r="S4287" s="1"/>
      <c r="T4287" s="1"/>
      <c r="U4287" s="2">
        <f>IFERROR(__xludf.DUMMYFUNCTION("""COMPUTED_VALUE"""),0.0)</f>
        <v>0</v>
      </c>
      <c r="V4287" s="1" t="str">
        <f>IFERROR(__xludf.DUMMYFUNCTION("""COMPUTED_VALUE"""),"#N/A")</f>
        <v>#N/A</v>
      </c>
      <c r="W4287" s="1" t="str">
        <f>IFERROR(__xludf.DUMMYFUNCTION("""COMPUTED_VALUE"""),"#N/A")</f>
        <v>#N/A</v>
      </c>
    </row>
    <row r="4288">
      <c r="O4288" s="1" t="str">
        <f>IFERROR(__xludf.DUMMYFUNCTION("""COMPUTED_VALUE"""),"#VALUE!")</f>
        <v>#VALUE!</v>
      </c>
      <c r="P4288" s="1" t="str">
        <f>IFERROR(__xludf.DUMMYFUNCTION("""COMPUTED_VALUE"""),"#N/A")</f>
        <v>#N/A</v>
      </c>
      <c r="Q4288" s="1"/>
      <c r="R4288" s="1"/>
      <c r="S4288" s="1"/>
      <c r="T4288" s="1"/>
      <c r="U4288" s="2">
        <f>IFERROR(__xludf.DUMMYFUNCTION("""COMPUTED_VALUE"""),0.0)</f>
        <v>0</v>
      </c>
      <c r="V4288" s="1" t="str">
        <f>IFERROR(__xludf.DUMMYFUNCTION("""COMPUTED_VALUE"""),"#N/A")</f>
        <v>#N/A</v>
      </c>
      <c r="W4288" s="1" t="str">
        <f>IFERROR(__xludf.DUMMYFUNCTION("""COMPUTED_VALUE"""),"#N/A")</f>
        <v>#N/A</v>
      </c>
    </row>
    <row r="4289">
      <c r="O4289" s="1" t="str">
        <f>IFERROR(__xludf.DUMMYFUNCTION("""COMPUTED_VALUE"""),"#VALUE!")</f>
        <v>#VALUE!</v>
      </c>
      <c r="P4289" s="1" t="str">
        <f>IFERROR(__xludf.DUMMYFUNCTION("""COMPUTED_VALUE"""),"#N/A")</f>
        <v>#N/A</v>
      </c>
      <c r="Q4289" s="1"/>
      <c r="R4289" s="1"/>
      <c r="S4289" s="1"/>
      <c r="T4289" s="1"/>
      <c r="U4289" s="2">
        <f>IFERROR(__xludf.DUMMYFUNCTION("""COMPUTED_VALUE"""),0.0)</f>
        <v>0</v>
      </c>
      <c r="V4289" s="1" t="str">
        <f>IFERROR(__xludf.DUMMYFUNCTION("""COMPUTED_VALUE"""),"#N/A")</f>
        <v>#N/A</v>
      </c>
      <c r="W4289" s="1" t="str">
        <f>IFERROR(__xludf.DUMMYFUNCTION("""COMPUTED_VALUE"""),"#N/A")</f>
        <v>#N/A</v>
      </c>
    </row>
    <row r="4290">
      <c r="O4290" s="1" t="str">
        <f>IFERROR(__xludf.DUMMYFUNCTION("""COMPUTED_VALUE"""),"#VALUE!")</f>
        <v>#VALUE!</v>
      </c>
      <c r="P4290" s="1" t="str">
        <f>IFERROR(__xludf.DUMMYFUNCTION("""COMPUTED_VALUE"""),"#N/A")</f>
        <v>#N/A</v>
      </c>
      <c r="Q4290" s="1"/>
      <c r="R4290" s="1"/>
      <c r="S4290" s="1"/>
      <c r="T4290" s="1"/>
      <c r="U4290" s="2">
        <f>IFERROR(__xludf.DUMMYFUNCTION("""COMPUTED_VALUE"""),0.0)</f>
        <v>0</v>
      </c>
      <c r="V4290" s="1" t="str">
        <f>IFERROR(__xludf.DUMMYFUNCTION("""COMPUTED_VALUE"""),"#N/A")</f>
        <v>#N/A</v>
      </c>
      <c r="W4290" s="1" t="str">
        <f>IFERROR(__xludf.DUMMYFUNCTION("""COMPUTED_VALUE"""),"#N/A")</f>
        <v>#N/A</v>
      </c>
    </row>
    <row r="4291">
      <c r="O4291" s="1" t="str">
        <f>IFERROR(__xludf.DUMMYFUNCTION("""COMPUTED_VALUE"""),"#VALUE!")</f>
        <v>#VALUE!</v>
      </c>
      <c r="P4291" s="1" t="str">
        <f>IFERROR(__xludf.DUMMYFUNCTION("""COMPUTED_VALUE"""),"#N/A")</f>
        <v>#N/A</v>
      </c>
      <c r="Q4291" s="1"/>
      <c r="R4291" s="1"/>
      <c r="S4291" s="1"/>
      <c r="T4291" s="1"/>
      <c r="U4291" s="2">
        <f>IFERROR(__xludf.DUMMYFUNCTION("""COMPUTED_VALUE"""),0.0)</f>
        <v>0</v>
      </c>
      <c r="V4291" s="1" t="str">
        <f>IFERROR(__xludf.DUMMYFUNCTION("""COMPUTED_VALUE"""),"#N/A")</f>
        <v>#N/A</v>
      </c>
      <c r="W4291" s="1" t="str">
        <f>IFERROR(__xludf.DUMMYFUNCTION("""COMPUTED_VALUE"""),"#N/A")</f>
        <v>#N/A</v>
      </c>
    </row>
    <row r="4292">
      <c r="O4292" s="1" t="str">
        <f>IFERROR(__xludf.DUMMYFUNCTION("""COMPUTED_VALUE"""),"#VALUE!")</f>
        <v>#VALUE!</v>
      </c>
      <c r="P4292" s="1" t="str">
        <f>IFERROR(__xludf.DUMMYFUNCTION("""COMPUTED_VALUE"""),"#N/A")</f>
        <v>#N/A</v>
      </c>
      <c r="Q4292" s="1"/>
      <c r="R4292" s="1"/>
      <c r="S4292" s="1"/>
      <c r="T4292" s="1"/>
      <c r="U4292" s="2">
        <f>IFERROR(__xludf.DUMMYFUNCTION("""COMPUTED_VALUE"""),0.0)</f>
        <v>0</v>
      </c>
      <c r="V4292" s="1" t="str">
        <f>IFERROR(__xludf.DUMMYFUNCTION("""COMPUTED_VALUE"""),"#N/A")</f>
        <v>#N/A</v>
      </c>
      <c r="W4292" s="1" t="str">
        <f>IFERROR(__xludf.DUMMYFUNCTION("""COMPUTED_VALUE"""),"#N/A")</f>
        <v>#N/A</v>
      </c>
    </row>
    <row r="4293">
      <c r="O4293" s="1" t="str">
        <f>IFERROR(__xludf.DUMMYFUNCTION("""COMPUTED_VALUE"""),"#VALUE!")</f>
        <v>#VALUE!</v>
      </c>
      <c r="P4293" s="1" t="str">
        <f>IFERROR(__xludf.DUMMYFUNCTION("""COMPUTED_VALUE"""),"#N/A")</f>
        <v>#N/A</v>
      </c>
      <c r="Q4293" s="1"/>
      <c r="R4293" s="1"/>
      <c r="S4293" s="1"/>
      <c r="T4293" s="1"/>
      <c r="U4293" s="2">
        <f>IFERROR(__xludf.DUMMYFUNCTION("""COMPUTED_VALUE"""),0.0)</f>
        <v>0</v>
      </c>
      <c r="V4293" s="1" t="str">
        <f>IFERROR(__xludf.DUMMYFUNCTION("""COMPUTED_VALUE"""),"#N/A")</f>
        <v>#N/A</v>
      </c>
      <c r="W4293" s="1" t="str">
        <f>IFERROR(__xludf.DUMMYFUNCTION("""COMPUTED_VALUE"""),"#N/A")</f>
        <v>#N/A</v>
      </c>
    </row>
    <row r="4294">
      <c r="O4294" s="1" t="str">
        <f>IFERROR(__xludf.DUMMYFUNCTION("""COMPUTED_VALUE"""),"#VALUE!")</f>
        <v>#VALUE!</v>
      </c>
      <c r="P4294" s="1" t="str">
        <f>IFERROR(__xludf.DUMMYFUNCTION("""COMPUTED_VALUE"""),"#N/A")</f>
        <v>#N/A</v>
      </c>
      <c r="Q4294" s="1"/>
      <c r="R4294" s="1"/>
      <c r="S4294" s="1"/>
      <c r="T4294" s="1"/>
      <c r="U4294" s="2">
        <f>IFERROR(__xludf.DUMMYFUNCTION("""COMPUTED_VALUE"""),0.0)</f>
        <v>0</v>
      </c>
      <c r="V4294" s="1" t="str">
        <f>IFERROR(__xludf.DUMMYFUNCTION("""COMPUTED_VALUE"""),"#N/A")</f>
        <v>#N/A</v>
      </c>
      <c r="W4294" s="1" t="str">
        <f>IFERROR(__xludf.DUMMYFUNCTION("""COMPUTED_VALUE"""),"#N/A")</f>
        <v>#N/A</v>
      </c>
    </row>
    <row r="4295">
      <c r="O4295" s="1" t="str">
        <f>IFERROR(__xludf.DUMMYFUNCTION("""COMPUTED_VALUE"""),"#VALUE!")</f>
        <v>#VALUE!</v>
      </c>
      <c r="P4295" s="1" t="str">
        <f>IFERROR(__xludf.DUMMYFUNCTION("""COMPUTED_VALUE"""),"#N/A")</f>
        <v>#N/A</v>
      </c>
      <c r="Q4295" s="1"/>
      <c r="R4295" s="1"/>
      <c r="S4295" s="1"/>
      <c r="T4295" s="1"/>
      <c r="U4295" s="2">
        <f>IFERROR(__xludf.DUMMYFUNCTION("""COMPUTED_VALUE"""),0.0)</f>
        <v>0</v>
      </c>
      <c r="V4295" s="1" t="str">
        <f>IFERROR(__xludf.DUMMYFUNCTION("""COMPUTED_VALUE"""),"#N/A")</f>
        <v>#N/A</v>
      </c>
      <c r="W4295" s="1" t="str">
        <f>IFERROR(__xludf.DUMMYFUNCTION("""COMPUTED_VALUE"""),"#N/A")</f>
        <v>#N/A</v>
      </c>
    </row>
    <row r="4296">
      <c r="O4296" s="1" t="str">
        <f>IFERROR(__xludf.DUMMYFUNCTION("""COMPUTED_VALUE"""),"#VALUE!")</f>
        <v>#VALUE!</v>
      </c>
      <c r="P4296" s="1" t="str">
        <f>IFERROR(__xludf.DUMMYFUNCTION("""COMPUTED_VALUE"""),"#N/A")</f>
        <v>#N/A</v>
      </c>
      <c r="Q4296" s="1"/>
      <c r="R4296" s="1"/>
      <c r="S4296" s="1"/>
      <c r="T4296" s="1"/>
      <c r="U4296" s="2">
        <f>IFERROR(__xludf.DUMMYFUNCTION("""COMPUTED_VALUE"""),0.0)</f>
        <v>0</v>
      </c>
      <c r="V4296" s="1" t="str">
        <f>IFERROR(__xludf.DUMMYFUNCTION("""COMPUTED_VALUE"""),"#N/A")</f>
        <v>#N/A</v>
      </c>
      <c r="W4296" s="1" t="str">
        <f>IFERROR(__xludf.DUMMYFUNCTION("""COMPUTED_VALUE"""),"#N/A")</f>
        <v>#N/A</v>
      </c>
    </row>
    <row r="4297">
      <c r="O4297" s="1" t="str">
        <f>IFERROR(__xludf.DUMMYFUNCTION("""COMPUTED_VALUE"""),"#VALUE!")</f>
        <v>#VALUE!</v>
      </c>
      <c r="P4297" s="1" t="str">
        <f>IFERROR(__xludf.DUMMYFUNCTION("""COMPUTED_VALUE"""),"#N/A")</f>
        <v>#N/A</v>
      </c>
      <c r="Q4297" s="1"/>
      <c r="R4297" s="1"/>
      <c r="S4297" s="1"/>
      <c r="T4297" s="1"/>
      <c r="U4297" s="2">
        <f>IFERROR(__xludf.DUMMYFUNCTION("""COMPUTED_VALUE"""),0.0)</f>
        <v>0</v>
      </c>
      <c r="V4297" s="1" t="str">
        <f>IFERROR(__xludf.DUMMYFUNCTION("""COMPUTED_VALUE"""),"#N/A")</f>
        <v>#N/A</v>
      </c>
      <c r="W4297" s="1" t="str">
        <f>IFERROR(__xludf.DUMMYFUNCTION("""COMPUTED_VALUE"""),"#N/A")</f>
        <v>#N/A</v>
      </c>
    </row>
    <row r="4298">
      <c r="O4298" s="1" t="str">
        <f>IFERROR(__xludf.DUMMYFUNCTION("""COMPUTED_VALUE"""),"#VALUE!")</f>
        <v>#VALUE!</v>
      </c>
      <c r="P4298" s="1" t="str">
        <f>IFERROR(__xludf.DUMMYFUNCTION("""COMPUTED_VALUE"""),"#N/A")</f>
        <v>#N/A</v>
      </c>
      <c r="Q4298" s="1"/>
      <c r="R4298" s="1"/>
      <c r="S4298" s="1"/>
      <c r="T4298" s="1"/>
      <c r="U4298" s="2">
        <f>IFERROR(__xludf.DUMMYFUNCTION("""COMPUTED_VALUE"""),0.0)</f>
        <v>0</v>
      </c>
      <c r="V4298" s="1" t="str">
        <f>IFERROR(__xludf.DUMMYFUNCTION("""COMPUTED_VALUE"""),"#N/A")</f>
        <v>#N/A</v>
      </c>
      <c r="W4298" s="1" t="str">
        <f>IFERROR(__xludf.DUMMYFUNCTION("""COMPUTED_VALUE"""),"#N/A")</f>
        <v>#N/A</v>
      </c>
    </row>
    <row r="4299">
      <c r="O4299" s="1" t="str">
        <f>IFERROR(__xludf.DUMMYFUNCTION("""COMPUTED_VALUE"""),"#VALUE!")</f>
        <v>#VALUE!</v>
      </c>
      <c r="P4299" s="1" t="str">
        <f>IFERROR(__xludf.DUMMYFUNCTION("""COMPUTED_VALUE"""),"#N/A")</f>
        <v>#N/A</v>
      </c>
      <c r="Q4299" s="1"/>
      <c r="R4299" s="1"/>
      <c r="S4299" s="1"/>
      <c r="T4299" s="1"/>
      <c r="U4299" s="2">
        <f>IFERROR(__xludf.DUMMYFUNCTION("""COMPUTED_VALUE"""),0.0)</f>
        <v>0</v>
      </c>
      <c r="V4299" s="1" t="str">
        <f>IFERROR(__xludf.DUMMYFUNCTION("""COMPUTED_VALUE"""),"#N/A")</f>
        <v>#N/A</v>
      </c>
      <c r="W4299" s="1" t="str">
        <f>IFERROR(__xludf.DUMMYFUNCTION("""COMPUTED_VALUE"""),"#N/A")</f>
        <v>#N/A</v>
      </c>
    </row>
    <row r="4300">
      <c r="O4300" s="1" t="str">
        <f>IFERROR(__xludf.DUMMYFUNCTION("""COMPUTED_VALUE"""),"#VALUE!")</f>
        <v>#VALUE!</v>
      </c>
      <c r="P4300" s="1" t="str">
        <f>IFERROR(__xludf.DUMMYFUNCTION("""COMPUTED_VALUE"""),"#N/A")</f>
        <v>#N/A</v>
      </c>
      <c r="Q4300" s="1"/>
      <c r="R4300" s="1"/>
      <c r="S4300" s="1"/>
      <c r="T4300" s="1"/>
      <c r="U4300" s="2">
        <f>IFERROR(__xludf.DUMMYFUNCTION("""COMPUTED_VALUE"""),0.0)</f>
        <v>0</v>
      </c>
      <c r="V4300" s="1" t="str">
        <f>IFERROR(__xludf.DUMMYFUNCTION("""COMPUTED_VALUE"""),"#N/A")</f>
        <v>#N/A</v>
      </c>
      <c r="W4300" s="1" t="str">
        <f>IFERROR(__xludf.DUMMYFUNCTION("""COMPUTED_VALUE"""),"#N/A")</f>
        <v>#N/A</v>
      </c>
    </row>
    <row r="4301">
      <c r="O4301" s="1" t="str">
        <f>IFERROR(__xludf.DUMMYFUNCTION("""COMPUTED_VALUE"""),"#VALUE!")</f>
        <v>#VALUE!</v>
      </c>
      <c r="P4301" s="1" t="str">
        <f>IFERROR(__xludf.DUMMYFUNCTION("""COMPUTED_VALUE"""),"#N/A")</f>
        <v>#N/A</v>
      </c>
      <c r="Q4301" s="1"/>
      <c r="R4301" s="1"/>
      <c r="S4301" s="1"/>
      <c r="T4301" s="1"/>
      <c r="U4301" s="2">
        <f>IFERROR(__xludf.DUMMYFUNCTION("""COMPUTED_VALUE"""),0.0)</f>
        <v>0</v>
      </c>
      <c r="V4301" s="1" t="str">
        <f>IFERROR(__xludf.DUMMYFUNCTION("""COMPUTED_VALUE"""),"#N/A")</f>
        <v>#N/A</v>
      </c>
      <c r="W4301" s="1" t="str">
        <f>IFERROR(__xludf.DUMMYFUNCTION("""COMPUTED_VALUE"""),"#N/A")</f>
        <v>#N/A</v>
      </c>
    </row>
    <row r="4302">
      <c r="O4302" s="1" t="str">
        <f>IFERROR(__xludf.DUMMYFUNCTION("""COMPUTED_VALUE"""),"#VALUE!")</f>
        <v>#VALUE!</v>
      </c>
      <c r="P4302" s="1" t="str">
        <f>IFERROR(__xludf.DUMMYFUNCTION("""COMPUTED_VALUE"""),"#N/A")</f>
        <v>#N/A</v>
      </c>
      <c r="Q4302" s="1"/>
      <c r="R4302" s="1"/>
      <c r="S4302" s="1"/>
      <c r="T4302" s="1"/>
      <c r="U4302" s="2">
        <f>IFERROR(__xludf.DUMMYFUNCTION("""COMPUTED_VALUE"""),0.0)</f>
        <v>0</v>
      </c>
      <c r="V4302" s="1" t="str">
        <f>IFERROR(__xludf.DUMMYFUNCTION("""COMPUTED_VALUE"""),"#N/A")</f>
        <v>#N/A</v>
      </c>
      <c r="W4302" s="1" t="str">
        <f>IFERROR(__xludf.DUMMYFUNCTION("""COMPUTED_VALUE"""),"#N/A")</f>
        <v>#N/A</v>
      </c>
    </row>
    <row r="4303">
      <c r="O4303" s="1" t="str">
        <f>IFERROR(__xludf.DUMMYFUNCTION("""COMPUTED_VALUE"""),"#VALUE!")</f>
        <v>#VALUE!</v>
      </c>
      <c r="P4303" s="1" t="str">
        <f>IFERROR(__xludf.DUMMYFUNCTION("""COMPUTED_VALUE"""),"#N/A")</f>
        <v>#N/A</v>
      </c>
      <c r="Q4303" s="1"/>
      <c r="R4303" s="1"/>
      <c r="S4303" s="1"/>
      <c r="T4303" s="1"/>
      <c r="U4303" s="2">
        <f>IFERROR(__xludf.DUMMYFUNCTION("""COMPUTED_VALUE"""),0.0)</f>
        <v>0</v>
      </c>
      <c r="V4303" s="1" t="str">
        <f>IFERROR(__xludf.DUMMYFUNCTION("""COMPUTED_VALUE"""),"#N/A")</f>
        <v>#N/A</v>
      </c>
      <c r="W4303" s="1" t="str">
        <f>IFERROR(__xludf.DUMMYFUNCTION("""COMPUTED_VALUE"""),"#N/A")</f>
        <v>#N/A</v>
      </c>
    </row>
    <row r="4304">
      <c r="O4304" s="1" t="str">
        <f>IFERROR(__xludf.DUMMYFUNCTION("""COMPUTED_VALUE"""),"#VALUE!")</f>
        <v>#VALUE!</v>
      </c>
      <c r="P4304" s="1" t="str">
        <f>IFERROR(__xludf.DUMMYFUNCTION("""COMPUTED_VALUE"""),"#N/A")</f>
        <v>#N/A</v>
      </c>
      <c r="Q4304" s="1"/>
      <c r="R4304" s="1"/>
      <c r="S4304" s="1"/>
      <c r="T4304" s="1"/>
      <c r="U4304" s="2">
        <f>IFERROR(__xludf.DUMMYFUNCTION("""COMPUTED_VALUE"""),0.0)</f>
        <v>0</v>
      </c>
      <c r="V4304" s="1" t="str">
        <f>IFERROR(__xludf.DUMMYFUNCTION("""COMPUTED_VALUE"""),"#N/A")</f>
        <v>#N/A</v>
      </c>
      <c r="W4304" s="1" t="str">
        <f>IFERROR(__xludf.DUMMYFUNCTION("""COMPUTED_VALUE"""),"#N/A")</f>
        <v>#N/A</v>
      </c>
    </row>
    <row r="4305">
      <c r="O4305" s="1" t="str">
        <f>IFERROR(__xludf.DUMMYFUNCTION("""COMPUTED_VALUE"""),"#VALUE!")</f>
        <v>#VALUE!</v>
      </c>
      <c r="P4305" s="1" t="str">
        <f>IFERROR(__xludf.DUMMYFUNCTION("""COMPUTED_VALUE"""),"#N/A")</f>
        <v>#N/A</v>
      </c>
      <c r="Q4305" s="1"/>
      <c r="R4305" s="1"/>
      <c r="S4305" s="1"/>
      <c r="T4305" s="1"/>
      <c r="U4305" s="2">
        <f>IFERROR(__xludf.DUMMYFUNCTION("""COMPUTED_VALUE"""),0.0)</f>
        <v>0</v>
      </c>
      <c r="V4305" s="1" t="str">
        <f>IFERROR(__xludf.DUMMYFUNCTION("""COMPUTED_VALUE"""),"#N/A")</f>
        <v>#N/A</v>
      </c>
      <c r="W4305" s="1" t="str">
        <f>IFERROR(__xludf.DUMMYFUNCTION("""COMPUTED_VALUE"""),"#N/A")</f>
        <v>#N/A</v>
      </c>
    </row>
    <row r="4306">
      <c r="O4306" s="1" t="str">
        <f>IFERROR(__xludf.DUMMYFUNCTION("""COMPUTED_VALUE"""),"#VALUE!")</f>
        <v>#VALUE!</v>
      </c>
      <c r="P4306" s="1" t="str">
        <f>IFERROR(__xludf.DUMMYFUNCTION("""COMPUTED_VALUE"""),"#N/A")</f>
        <v>#N/A</v>
      </c>
      <c r="Q4306" s="1"/>
      <c r="R4306" s="1"/>
      <c r="S4306" s="1"/>
      <c r="T4306" s="1"/>
      <c r="U4306" s="2">
        <f>IFERROR(__xludf.DUMMYFUNCTION("""COMPUTED_VALUE"""),0.0)</f>
        <v>0</v>
      </c>
      <c r="V4306" s="1" t="str">
        <f>IFERROR(__xludf.DUMMYFUNCTION("""COMPUTED_VALUE"""),"#N/A")</f>
        <v>#N/A</v>
      </c>
      <c r="W4306" s="1" t="str">
        <f>IFERROR(__xludf.DUMMYFUNCTION("""COMPUTED_VALUE"""),"#N/A")</f>
        <v>#N/A</v>
      </c>
    </row>
    <row r="4307">
      <c r="O4307" s="1" t="str">
        <f>IFERROR(__xludf.DUMMYFUNCTION("""COMPUTED_VALUE"""),"#VALUE!")</f>
        <v>#VALUE!</v>
      </c>
      <c r="P4307" s="1" t="str">
        <f>IFERROR(__xludf.DUMMYFUNCTION("""COMPUTED_VALUE"""),"#N/A")</f>
        <v>#N/A</v>
      </c>
      <c r="Q4307" s="1"/>
      <c r="R4307" s="1"/>
      <c r="S4307" s="1"/>
      <c r="T4307" s="1"/>
      <c r="U4307" s="2">
        <f>IFERROR(__xludf.DUMMYFUNCTION("""COMPUTED_VALUE"""),0.0)</f>
        <v>0</v>
      </c>
      <c r="V4307" s="1" t="str">
        <f>IFERROR(__xludf.DUMMYFUNCTION("""COMPUTED_VALUE"""),"#N/A")</f>
        <v>#N/A</v>
      </c>
      <c r="W4307" s="1" t="str">
        <f>IFERROR(__xludf.DUMMYFUNCTION("""COMPUTED_VALUE"""),"#N/A")</f>
        <v>#N/A</v>
      </c>
    </row>
    <row r="4308">
      <c r="O4308" s="1" t="str">
        <f>IFERROR(__xludf.DUMMYFUNCTION("""COMPUTED_VALUE"""),"#VALUE!")</f>
        <v>#VALUE!</v>
      </c>
      <c r="P4308" s="1" t="str">
        <f>IFERROR(__xludf.DUMMYFUNCTION("""COMPUTED_VALUE"""),"#N/A")</f>
        <v>#N/A</v>
      </c>
      <c r="Q4308" s="1"/>
      <c r="R4308" s="1"/>
      <c r="S4308" s="1"/>
      <c r="T4308" s="1"/>
      <c r="U4308" s="2">
        <f>IFERROR(__xludf.DUMMYFUNCTION("""COMPUTED_VALUE"""),0.0)</f>
        <v>0</v>
      </c>
      <c r="V4308" s="1" t="str">
        <f>IFERROR(__xludf.DUMMYFUNCTION("""COMPUTED_VALUE"""),"#N/A")</f>
        <v>#N/A</v>
      </c>
      <c r="W4308" s="1" t="str">
        <f>IFERROR(__xludf.DUMMYFUNCTION("""COMPUTED_VALUE"""),"#N/A")</f>
        <v>#N/A</v>
      </c>
    </row>
    <row r="4309">
      <c r="O4309" s="1" t="str">
        <f>IFERROR(__xludf.DUMMYFUNCTION("""COMPUTED_VALUE"""),"#VALUE!")</f>
        <v>#VALUE!</v>
      </c>
      <c r="P4309" s="1" t="str">
        <f>IFERROR(__xludf.DUMMYFUNCTION("""COMPUTED_VALUE"""),"#N/A")</f>
        <v>#N/A</v>
      </c>
      <c r="Q4309" s="1"/>
      <c r="R4309" s="1"/>
      <c r="S4309" s="1"/>
      <c r="T4309" s="1"/>
      <c r="U4309" s="2">
        <f>IFERROR(__xludf.DUMMYFUNCTION("""COMPUTED_VALUE"""),0.0)</f>
        <v>0</v>
      </c>
      <c r="V4309" s="1" t="str">
        <f>IFERROR(__xludf.DUMMYFUNCTION("""COMPUTED_VALUE"""),"#N/A")</f>
        <v>#N/A</v>
      </c>
      <c r="W4309" s="1" t="str">
        <f>IFERROR(__xludf.DUMMYFUNCTION("""COMPUTED_VALUE"""),"#N/A")</f>
        <v>#N/A</v>
      </c>
    </row>
    <row r="4310">
      <c r="O4310" s="1" t="str">
        <f>IFERROR(__xludf.DUMMYFUNCTION("""COMPUTED_VALUE"""),"#VALUE!")</f>
        <v>#VALUE!</v>
      </c>
      <c r="P4310" s="1" t="str">
        <f>IFERROR(__xludf.DUMMYFUNCTION("""COMPUTED_VALUE"""),"#N/A")</f>
        <v>#N/A</v>
      </c>
      <c r="Q4310" s="1"/>
      <c r="R4310" s="1"/>
      <c r="S4310" s="1"/>
      <c r="T4310" s="1"/>
      <c r="U4310" s="2">
        <f>IFERROR(__xludf.DUMMYFUNCTION("""COMPUTED_VALUE"""),0.0)</f>
        <v>0</v>
      </c>
      <c r="V4310" s="1" t="str">
        <f>IFERROR(__xludf.DUMMYFUNCTION("""COMPUTED_VALUE"""),"#N/A")</f>
        <v>#N/A</v>
      </c>
      <c r="W4310" s="1" t="str">
        <f>IFERROR(__xludf.DUMMYFUNCTION("""COMPUTED_VALUE"""),"#N/A")</f>
        <v>#N/A</v>
      </c>
    </row>
    <row r="4311">
      <c r="O4311" s="1" t="str">
        <f>IFERROR(__xludf.DUMMYFUNCTION("""COMPUTED_VALUE"""),"#VALUE!")</f>
        <v>#VALUE!</v>
      </c>
      <c r="P4311" s="1" t="str">
        <f>IFERROR(__xludf.DUMMYFUNCTION("""COMPUTED_VALUE"""),"#N/A")</f>
        <v>#N/A</v>
      </c>
      <c r="Q4311" s="1"/>
      <c r="R4311" s="1"/>
      <c r="S4311" s="1"/>
      <c r="T4311" s="1"/>
      <c r="U4311" s="2">
        <f>IFERROR(__xludf.DUMMYFUNCTION("""COMPUTED_VALUE"""),0.0)</f>
        <v>0</v>
      </c>
      <c r="V4311" s="1" t="str">
        <f>IFERROR(__xludf.DUMMYFUNCTION("""COMPUTED_VALUE"""),"#N/A")</f>
        <v>#N/A</v>
      </c>
      <c r="W4311" s="1" t="str">
        <f>IFERROR(__xludf.DUMMYFUNCTION("""COMPUTED_VALUE"""),"#N/A")</f>
        <v>#N/A</v>
      </c>
    </row>
    <row r="4312">
      <c r="O4312" s="1" t="str">
        <f>IFERROR(__xludf.DUMMYFUNCTION("""COMPUTED_VALUE"""),"#VALUE!")</f>
        <v>#VALUE!</v>
      </c>
      <c r="P4312" s="1" t="str">
        <f>IFERROR(__xludf.DUMMYFUNCTION("""COMPUTED_VALUE"""),"#N/A")</f>
        <v>#N/A</v>
      </c>
      <c r="Q4312" s="1"/>
      <c r="R4312" s="1"/>
      <c r="S4312" s="1"/>
      <c r="T4312" s="1"/>
      <c r="U4312" s="2">
        <f>IFERROR(__xludf.DUMMYFUNCTION("""COMPUTED_VALUE"""),0.0)</f>
        <v>0</v>
      </c>
      <c r="V4312" s="1" t="str">
        <f>IFERROR(__xludf.DUMMYFUNCTION("""COMPUTED_VALUE"""),"#N/A")</f>
        <v>#N/A</v>
      </c>
      <c r="W4312" s="1" t="str">
        <f>IFERROR(__xludf.DUMMYFUNCTION("""COMPUTED_VALUE"""),"#N/A")</f>
        <v>#N/A</v>
      </c>
    </row>
    <row r="4313">
      <c r="O4313" s="1" t="str">
        <f>IFERROR(__xludf.DUMMYFUNCTION("""COMPUTED_VALUE"""),"#VALUE!")</f>
        <v>#VALUE!</v>
      </c>
      <c r="P4313" s="1" t="str">
        <f>IFERROR(__xludf.DUMMYFUNCTION("""COMPUTED_VALUE"""),"#N/A")</f>
        <v>#N/A</v>
      </c>
      <c r="Q4313" s="1"/>
      <c r="R4313" s="1"/>
      <c r="S4313" s="1"/>
      <c r="T4313" s="1"/>
      <c r="U4313" s="2">
        <f>IFERROR(__xludf.DUMMYFUNCTION("""COMPUTED_VALUE"""),0.0)</f>
        <v>0</v>
      </c>
      <c r="V4313" s="1" t="str">
        <f>IFERROR(__xludf.DUMMYFUNCTION("""COMPUTED_VALUE"""),"#N/A")</f>
        <v>#N/A</v>
      </c>
      <c r="W4313" s="1" t="str">
        <f>IFERROR(__xludf.DUMMYFUNCTION("""COMPUTED_VALUE"""),"#N/A")</f>
        <v>#N/A</v>
      </c>
    </row>
    <row r="4314">
      <c r="O4314" s="1" t="str">
        <f>IFERROR(__xludf.DUMMYFUNCTION("""COMPUTED_VALUE"""),"#VALUE!")</f>
        <v>#VALUE!</v>
      </c>
      <c r="P4314" s="1" t="str">
        <f>IFERROR(__xludf.DUMMYFUNCTION("""COMPUTED_VALUE"""),"#N/A")</f>
        <v>#N/A</v>
      </c>
      <c r="Q4314" s="1"/>
      <c r="R4314" s="1"/>
      <c r="S4314" s="1"/>
      <c r="T4314" s="1"/>
      <c r="U4314" s="2">
        <f>IFERROR(__xludf.DUMMYFUNCTION("""COMPUTED_VALUE"""),0.0)</f>
        <v>0</v>
      </c>
      <c r="V4314" s="1" t="str">
        <f>IFERROR(__xludf.DUMMYFUNCTION("""COMPUTED_VALUE"""),"#N/A")</f>
        <v>#N/A</v>
      </c>
      <c r="W4314" s="1" t="str">
        <f>IFERROR(__xludf.DUMMYFUNCTION("""COMPUTED_VALUE"""),"#N/A")</f>
        <v>#N/A</v>
      </c>
    </row>
    <row r="4315">
      <c r="O4315" s="1" t="str">
        <f>IFERROR(__xludf.DUMMYFUNCTION("""COMPUTED_VALUE"""),"#VALUE!")</f>
        <v>#VALUE!</v>
      </c>
      <c r="P4315" s="1" t="str">
        <f>IFERROR(__xludf.DUMMYFUNCTION("""COMPUTED_VALUE"""),"#N/A")</f>
        <v>#N/A</v>
      </c>
      <c r="Q4315" s="1"/>
      <c r="R4315" s="1"/>
      <c r="S4315" s="1"/>
      <c r="T4315" s="1"/>
      <c r="U4315" s="2">
        <f>IFERROR(__xludf.DUMMYFUNCTION("""COMPUTED_VALUE"""),0.0)</f>
        <v>0</v>
      </c>
      <c r="V4315" s="1" t="str">
        <f>IFERROR(__xludf.DUMMYFUNCTION("""COMPUTED_VALUE"""),"#N/A")</f>
        <v>#N/A</v>
      </c>
      <c r="W4315" s="1" t="str">
        <f>IFERROR(__xludf.DUMMYFUNCTION("""COMPUTED_VALUE"""),"#N/A")</f>
        <v>#N/A</v>
      </c>
    </row>
    <row r="4316">
      <c r="O4316" s="1" t="str">
        <f>IFERROR(__xludf.DUMMYFUNCTION("""COMPUTED_VALUE"""),"#VALUE!")</f>
        <v>#VALUE!</v>
      </c>
      <c r="P4316" s="1" t="str">
        <f>IFERROR(__xludf.DUMMYFUNCTION("""COMPUTED_VALUE"""),"#N/A")</f>
        <v>#N/A</v>
      </c>
      <c r="Q4316" s="1"/>
      <c r="R4316" s="1"/>
      <c r="S4316" s="1"/>
      <c r="T4316" s="1"/>
      <c r="U4316" s="2">
        <f>IFERROR(__xludf.DUMMYFUNCTION("""COMPUTED_VALUE"""),0.0)</f>
        <v>0</v>
      </c>
      <c r="V4316" s="1" t="str">
        <f>IFERROR(__xludf.DUMMYFUNCTION("""COMPUTED_VALUE"""),"#N/A")</f>
        <v>#N/A</v>
      </c>
      <c r="W4316" s="1" t="str">
        <f>IFERROR(__xludf.DUMMYFUNCTION("""COMPUTED_VALUE"""),"#N/A")</f>
        <v>#N/A</v>
      </c>
    </row>
    <row r="4317">
      <c r="O4317" s="1" t="str">
        <f>IFERROR(__xludf.DUMMYFUNCTION("""COMPUTED_VALUE"""),"#VALUE!")</f>
        <v>#VALUE!</v>
      </c>
      <c r="P4317" s="1" t="str">
        <f>IFERROR(__xludf.DUMMYFUNCTION("""COMPUTED_VALUE"""),"#N/A")</f>
        <v>#N/A</v>
      </c>
      <c r="Q4317" s="1"/>
      <c r="R4317" s="1"/>
      <c r="S4317" s="1"/>
      <c r="T4317" s="1"/>
      <c r="U4317" s="2">
        <f>IFERROR(__xludf.DUMMYFUNCTION("""COMPUTED_VALUE"""),0.0)</f>
        <v>0</v>
      </c>
      <c r="V4317" s="1" t="str">
        <f>IFERROR(__xludf.DUMMYFUNCTION("""COMPUTED_VALUE"""),"#N/A")</f>
        <v>#N/A</v>
      </c>
      <c r="W4317" s="1" t="str">
        <f>IFERROR(__xludf.DUMMYFUNCTION("""COMPUTED_VALUE"""),"#N/A")</f>
        <v>#N/A</v>
      </c>
    </row>
    <row r="4318">
      <c r="O4318" s="1" t="str">
        <f>IFERROR(__xludf.DUMMYFUNCTION("""COMPUTED_VALUE"""),"#VALUE!")</f>
        <v>#VALUE!</v>
      </c>
      <c r="P4318" s="1" t="str">
        <f>IFERROR(__xludf.DUMMYFUNCTION("""COMPUTED_VALUE"""),"#N/A")</f>
        <v>#N/A</v>
      </c>
      <c r="Q4318" s="1"/>
      <c r="R4318" s="1"/>
      <c r="S4318" s="1"/>
      <c r="T4318" s="1"/>
      <c r="U4318" s="2">
        <f>IFERROR(__xludf.DUMMYFUNCTION("""COMPUTED_VALUE"""),0.0)</f>
        <v>0</v>
      </c>
      <c r="V4318" s="1" t="str">
        <f>IFERROR(__xludf.DUMMYFUNCTION("""COMPUTED_VALUE"""),"#N/A")</f>
        <v>#N/A</v>
      </c>
      <c r="W4318" s="1" t="str">
        <f>IFERROR(__xludf.DUMMYFUNCTION("""COMPUTED_VALUE"""),"#N/A")</f>
        <v>#N/A</v>
      </c>
    </row>
    <row r="4319">
      <c r="O4319" s="1" t="str">
        <f>IFERROR(__xludf.DUMMYFUNCTION("""COMPUTED_VALUE"""),"#VALUE!")</f>
        <v>#VALUE!</v>
      </c>
      <c r="P4319" s="1" t="str">
        <f>IFERROR(__xludf.DUMMYFUNCTION("""COMPUTED_VALUE"""),"#N/A")</f>
        <v>#N/A</v>
      </c>
      <c r="Q4319" s="1"/>
      <c r="R4319" s="1"/>
      <c r="S4319" s="1"/>
      <c r="T4319" s="1"/>
      <c r="U4319" s="2">
        <f>IFERROR(__xludf.DUMMYFUNCTION("""COMPUTED_VALUE"""),0.0)</f>
        <v>0</v>
      </c>
      <c r="V4319" s="1" t="str">
        <f>IFERROR(__xludf.DUMMYFUNCTION("""COMPUTED_VALUE"""),"#N/A")</f>
        <v>#N/A</v>
      </c>
      <c r="W4319" s="1" t="str">
        <f>IFERROR(__xludf.DUMMYFUNCTION("""COMPUTED_VALUE"""),"#N/A")</f>
        <v>#N/A</v>
      </c>
    </row>
    <row r="4320">
      <c r="O4320" s="1" t="str">
        <f>IFERROR(__xludf.DUMMYFUNCTION("""COMPUTED_VALUE"""),"#VALUE!")</f>
        <v>#VALUE!</v>
      </c>
      <c r="P4320" s="1" t="str">
        <f>IFERROR(__xludf.DUMMYFUNCTION("""COMPUTED_VALUE"""),"#N/A")</f>
        <v>#N/A</v>
      </c>
      <c r="Q4320" s="1"/>
      <c r="R4320" s="1"/>
      <c r="S4320" s="1"/>
      <c r="T4320" s="1"/>
      <c r="U4320" s="2">
        <f>IFERROR(__xludf.DUMMYFUNCTION("""COMPUTED_VALUE"""),0.0)</f>
        <v>0</v>
      </c>
      <c r="V4320" s="1" t="str">
        <f>IFERROR(__xludf.DUMMYFUNCTION("""COMPUTED_VALUE"""),"#N/A")</f>
        <v>#N/A</v>
      </c>
      <c r="W4320" s="1" t="str">
        <f>IFERROR(__xludf.DUMMYFUNCTION("""COMPUTED_VALUE"""),"#N/A")</f>
        <v>#N/A</v>
      </c>
    </row>
    <row r="4321">
      <c r="O4321" s="1" t="str">
        <f>IFERROR(__xludf.DUMMYFUNCTION("""COMPUTED_VALUE"""),"#VALUE!")</f>
        <v>#VALUE!</v>
      </c>
      <c r="P4321" s="1" t="str">
        <f>IFERROR(__xludf.DUMMYFUNCTION("""COMPUTED_VALUE"""),"#N/A")</f>
        <v>#N/A</v>
      </c>
      <c r="Q4321" s="1"/>
      <c r="R4321" s="1"/>
      <c r="S4321" s="1"/>
      <c r="T4321" s="1"/>
      <c r="U4321" s="2">
        <f>IFERROR(__xludf.DUMMYFUNCTION("""COMPUTED_VALUE"""),0.0)</f>
        <v>0</v>
      </c>
      <c r="V4321" s="1" t="str">
        <f>IFERROR(__xludf.DUMMYFUNCTION("""COMPUTED_VALUE"""),"#N/A")</f>
        <v>#N/A</v>
      </c>
      <c r="W4321" s="1" t="str">
        <f>IFERROR(__xludf.DUMMYFUNCTION("""COMPUTED_VALUE"""),"#N/A")</f>
        <v>#N/A</v>
      </c>
    </row>
    <row r="4322">
      <c r="O4322" s="1" t="str">
        <f>IFERROR(__xludf.DUMMYFUNCTION("""COMPUTED_VALUE"""),"#VALUE!")</f>
        <v>#VALUE!</v>
      </c>
      <c r="P4322" s="1" t="str">
        <f>IFERROR(__xludf.DUMMYFUNCTION("""COMPUTED_VALUE"""),"#N/A")</f>
        <v>#N/A</v>
      </c>
      <c r="Q4322" s="1"/>
      <c r="R4322" s="1"/>
      <c r="S4322" s="1"/>
      <c r="T4322" s="1"/>
      <c r="U4322" s="2">
        <f>IFERROR(__xludf.DUMMYFUNCTION("""COMPUTED_VALUE"""),0.0)</f>
        <v>0</v>
      </c>
      <c r="V4322" s="1" t="str">
        <f>IFERROR(__xludf.DUMMYFUNCTION("""COMPUTED_VALUE"""),"#N/A")</f>
        <v>#N/A</v>
      </c>
      <c r="W4322" s="1" t="str">
        <f>IFERROR(__xludf.DUMMYFUNCTION("""COMPUTED_VALUE"""),"#N/A")</f>
        <v>#N/A</v>
      </c>
    </row>
    <row r="4323">
      <c r="O4323" s="1" t="str">
        <f>IFERROR(__xludf.DUMMYFUNCTION("""COMPUTED_VALUE"""),"#VALUE!")</f>
        <v>#VALUE!</v>
      </c>
      <c r="P4323" s="1" t="str">
        <f>IFERROR(__xludf.DUMMYFUNCTION("""COMPUTED_VALUE"""),"#N/A")</f>
        <v>#N/A</v>
      </c>
      <c r="Q4323" s="1"/>
      <c r="R4323" s="1"/>
      <c r="S4323" s="1"/>
      <c r="T4323" s="1"/>
      <c r="U4323" s="2">
        <f>IFERROR(__xludf.DUMMYFUNCTION("""COMPUTED_VALUE"""),0.0)</f>
        <v>0</v>
      </c>
      <c r="V4323" s="1" t="str">
        <f>IFERROR(__xludf.DUMMYFUNCTION("""COMPUTED_VALUE"""),"#N/A")</f>
        <v>#N/A</v>
      </c>
      <c r="W4323" s="1" t="str">
        <f>IFERROR(__xludf.DUMMYFUNCTION("""COMPUTED_VALUE"""),"#N/A")</f>
        <v>#N/A</v>
      </c>
    </row>
    <row r="4324">
      <c r="O4324" s="1" t="str">
        <f>IFERROR(__xludf.DUMMYFUNCTION("""COMPUTED_VALUE"""),"#VALUE!")</f>
        <v>#VALUE!</v>
      </c>
      <c r="P4324" s="1" t="str">
        <f>IFERROR(__xludf.DUMMYFUNCTION("""COMPUTED_VALUE"""),"#N/A")</f>
        <v>#N/A</v>
      </c>
      <c r="Q4324" s="1"/>
      <c r="R4324" s="1"/>
      <c r="S4324" s="1"/>
      <c r="T4324" s="1"/>
      <c r="U4324" s="2">
        <f>IFERROR(__xludf.DUMMYFUNCTION("""COMPUTED_VALUE"""),0.0)</f>
        <v>0</v>
      </c>
      <c r="V4324" s="1" t="str">
        <f>IFERROR(__xludf.DUMMYFUNCTION("""COMPUTED_VALUE"""),"#N/A")</f>
        <v>#N/A</v>
      </c>
      <c r="W4324" s="1" t="str">
        <f>IFERROR(__xludf.DUMMYFUNCTION("""COMPUTED_VALUE"""),"#N/A")</f>
        <v>#N/A</v>
      </c>
    </row>
    <row r="4325">
      <c r="O4325" s="1" t="str">
        <f>IFERROR(__xludf.DUMMYFUNCTION("""COMPUTED_VALUE"""),"#VALUE!")</f>
        <v>#VALUE!</v>
      </c>
      <c r="P4325" s="1" t="str">
        <f>IFERROR(__xludf.DUMMYFUNCTION("""COMPUTED_VALUE"""),"#N/A")</f>
        <v>#N/A</v>
      </c>
      <c r="Q4325" s="1"/>
      <c r="R4325" s="1"/>
      <c r="S4325" s="1"/>
      <c r="T4325" s="1"/>
      <c r="U4325" s="2">
        <f>IFERROR(__xludf.DUMMYFUNCTION("""COMPUTED_VALUE"""),0.0)</f>
        <v>0</v>
      </c>
      <c r="V4325" s="1" t="str">
        <f>IFERROR(__xludf.DUMMYFUNCTION("""COMPUTED_VALUE"""),"#N/A")</f>
        <v>#N/A</v>
      </c>
      <c r="W4325" s="1" t="str">
        <f>IFERROR(__xludf.DUMMYFUNCTION("""COMPUTED_VALUE"""),"#N/A")</f>
        <v>#N/A</v>
      </c>
    </row>
    <row r="4326">
      <c r="O4326" s="1" t="str">
        <f>IFERROR(__xludf.DUMMYFUNCTION("""COMPUTED_VALUE"""),"#VALUE!")</f>
        <v>#VALUE!</v>
      </c>
      <c r="P4326" s="1" t="str">
        <f>IFERROR(__xludf.DUMMYFUNCTION("""COMPUTED_VALUE"""),"#N/A")</f>
        <v>#N/A</v>
      </c>
      <c r="Q4326" s="1"/>
      <c r="R4326" s="1"/>
      <c r="S4326" s="1"/>
      <c r="T4326" s="1"/>
      <c r="U4326" s="2">
        <f>IFERROR(__xludf.DUMMYFUNCTION("""COMPUTED_VALUE"""),0.0)</f>
        <v>0</v>
      </c>
      <c r="V4326" s="1" t="str">
        <f>IFERROR(__xludf.DUMMYFUNCTION("""COMPUTED_VALUE"""),"#N/A")</f>
        <v>#N/A</v>
      </c>
      <c r="W4326" s="1" t="str">
        <f>IFERROR(__xludf.DUMMYFUNCTION("""COMPUTED_VALUE"""),"#N/A")</f>
        <v>#N/A</v>
      </c>
    </row>
    <row r="4327">
      <c r="O4327" s="1" t="str">
        <f>IFERROR(__xludf.DUMMYFUNCTION("""COMPUTED_VALUE"""),"#VALUE!")</f>
        <v>#VALUE!</v>
      </c>
      <c r="P4327" s="1" t="str">
        <f>IFERROR(__xludf.DUMMYFUNCTION("""COMPUTED_VALUE"""),"#N/A")</f>
        <v>#N/A</v>
      </c>
      <c r="Q4327" s="1"/>
      <c r="R4327" s="1"/>
      <c r="S4327" s="1"/>
      <c r="T4327" s="1"/>
      <c r="U4327" s="2">
        <f>IFERROR(__xludf.DUMMYFUNCTION("""COMPUTED_VALUE"""),0.0)</f>
        <v>0</v>
      </c>
      <c r="V4327" s="1" t="str">
        <f>IFERROR(__xludf.DUMMYFUNCTION("""COMPUTED_VALUE"""),"#N/A")</f>
        <v>#N/A</v>
      </c>
      <c r="W4327" s="1" t="str">
        <f>IFERROR(__xludf.DUMMYFUNCTION("""COMPUTED_VALUE"""),"#N/A")</f>
        <v>#N/A</v>
      </c>
    </row>
    <row r="4328">
      <c r="O4328" s="1" t="str">
        <f>IFERROR(__xludf.DUMMYFUNCTION("""COMPUTED_VALUE"""),"#VALUE!")</f>
        <v>#VALUE!</v>
      </c>
      <c r="P4328" s="1" t="str">
        <f>IFERROR(__xludf.DUMMYFUNCTION("""COMPUTED_VALUE"""),"#N/A")</f>
        <v>#N/A</v>
      </c>
      <c r="Q4328" s="1"/>
      <c r="R4328" s="1"/>
      <c r="S4328" s="1"/>
      <c r="T4328" s="1"/>
      <c r="U4328" s="2">
        <f>IFERROR(__xludf.DUMMYFUNCTION("""COMPUTED_VALUE"""),0.0)</f>
        <v>0</v>
      </c>
      <c r="V4328" s="1" t="str">
        <f>IFERROR(__xludf.DUMMYFUNCTION("""COMPUTED_VALUE"""),"#N/A")</f>
        <v>#N/A</v>
      </c>
      <c r="W4328" s="1" t="str">
        <f>IFERROR(__xludf.DUMMYFUNCTION("""COMPUTED_VALUE"""),"#N/A")</f>
        <v>#N/A</v>
      </c>
    </row>
    <row r="4329">
      <c r="O4329" s="1" t="str">
        <f>IFERROR(__xludf.DUMMYFUNCTION("""COMPUTED_VALUE"""),"#VALUE!")</f>
        <v>#VALUE!</v>
      </c>
      <c r="P4329" s="1" t="str">
        <f>IFERROR(__xludf.DUMMYFUNCTION("""COMPUTED_VALUE"""),"#N/A")</f>
        <v>#N/A</v>
      </c>
      <c r="Q4329" s="1"/>
      <c r="R4329" s="1"/>
      <c r="S4329" s="1"/>
      <c r="T4329" s="1"/>
      <c r="U4329" s="2">
        <f>IFERROR(__xludf.DUMMYFUNCTION("""COMPUTED_VALUE"""),0.0)</f>
        <v>0</v>
      </c>
      <c r="V4329" s="1" t="str">
        <f>IFERROR(__xludf.DUMMYFUNCTION("""COMPUTED_VALUE"""),"#N/A")</f>
        <v>#N/A</v>
      </c>
      <c r="W4329" s="1" t="str">
        <f>IFERROR(__xludf.DUMMYFUNCTION("""COMPUTED_VALUE"""),"#N/A")</f>
        <v>#N/A</v>
      </c>
    </row>
    <row r="4330">
      <c r="O4330" s="1" t="str">
        <f>IFERROR(__xludf.DUMMYFUNCTION("""COMPUTED_VALUE"""),"#VALUE!")</f>
        <v>#VALUE!</v>
      </c>
      <c r="P4330" s="1" t="str">
        <f>IFERROR(__xludf.DUMMYFUNCTION("""COMPUTED_VALUE"""),"#N/A")</f>
        <v>#N/A</v>
      </c>
      <c r="Q4330" s="1"/>
      <c r="R4330" s="1"/>
      <c r="S4330" s="1"/>
      <c r="T4330" s="1"/>
      <c r="U4330" s="2">
        <f>IFERROR(__xludf.DUMMYFUNCTION("""COMPUTED_VALUE"""),0.0)</f>
        <v>0</v>
      </c>
      <c r="V4330" s="1" t="str">
        <f>IFERROR(__xludf.DUMMYFUNCTION("""COMPUTED_VALUE"""),"#N/A")</f>
        <v>#N/A</v>
      </c>
      <c r="W4330" s="1" t="str">
        <f>IFERROR(__xludf.DUMMYFUNCTION("""COMPUTED_VALUE"""),"#N/A")</f>
        <v>#N/A</v>
      </c>
    </row>
    <row r="4331">
      <c r="O4331" s="1" t="str">
        <f>IFERROR(__xludf.DUMMYFUNCTION("""COMPUTED_VALUE"""),"#VALUE!")</f>
        <v>#VALUE!</v>
      </c>
      <c r="P4331" s="1" t="str">
        <f>IFERROR(__xludf.DUMMYFUNCTION("""COMPUTED_VALUE"""),"#N/A")</f>
        <v>#N/A</v>
      </c>
      <c r="Q4331" s="1"/>
      <c r="R4331" s="1"/>
      <c r="S4331" s="1"/>
      <c r="T4331" s="1"/>
      <c r="U4331" s="2">
        <f>IFERROR(__xludf.DUMMYFUNCTION("""COMPUTED_VALUE"""),0.0)</f>
        <v>0</v>
      </c>
      <c r="V4331" s="1" t="str">
        <f>IFERROR(__xludf.DUMMYFUNCTION("""COMPUTED_VALUE"""),"#N/A")</f>
        <v>#N/A</v>
      </c>
      <c r="W4331" s="1" t="str">
        <f>IFERROR(__xludf.DUMMYFUNCTION("""COMPUTED_VALUE"""),"#N/A")</f>
        <v>#N/A</v>
      </c>
    </row>
    <row r="4332">
      <c r="O4332" s="1" t="str">
        <f>IFERROR(__xludf.DUMMYFUNCTION("""COMPUTED_VALUE"""),"#VALUE!")</f>
        <v>#VALUE!</v>
      </c>
      <c r="P4332" s="1" t="str">
        <f>IFERROR(__xludf.DUMMYFUNCTION("""COMPUTED_VALUE"""),"#N/A")</f>
        <v>#N/A</v>
      </c>
      <c r="Q4332" s="1"/>
      <c r="R4332" s="1"/>
      <c r="S4332" s="1"/>
      <c r="T4332" s="1"/>
      <c r="U4332" s="2">
        <f>IFERROR(__xludf.DUMMYFUNCTION("""COMPUTED_VALUE"""),0.0)</f>
        <v>0</v>
      </c>
      <c r="V4332" s="1" t="str">
        <f>IFERROR(__xludf.DUMMYFUNCTION("""COMPUTED_VALUE"""),"#N/A")</f>
        <v>#N/A</v>
      </c>
      <c r="W4332" s="1" t="str">
        <f>IFERROR(__xludf.DUMMYFUNCTION("""COMPUTED_VALUE"""),"#N/A")</f>
        <v>#N/A</v>
      </c>
    </row>
    <row r="4333">
      <c r="O4333" s="1" t="str">
        <f>IFERROR(__xludf.DUMMYFUNCTION("""COMPUTED_VALUE"""),"#VALUE!")</f>
        <v>#VALUE!</v>
      </c>
      <c r="P4333" s="1" t="str">
        <f>IFERROR(__xludf.DUMMYFUNCTION("""COMPUTED_VALUE"""),"#N/A")</f>
        <v>#N/A</v>
      </c>
      <c r="Q4333" s="1"/>
      <c r="R4333" s="1"/>
      <c r="S4333" s="1"/>
      <c r="T4333" s="1"/>
      <c r="U4333" s="2">
        <f>IFERROR(__xludf.DUMMYFUNCTION("""COMPUTED_VALUE"""),0.0)</f>
        <v>0</v>
      </c>
      <c r="V4333" s="1" t="str">
        <f>IFERROR(__xludf.DUMMYFUNCTION("""COMPUTED_VALUE"""),"#N/A")</f>
        <v>#N/A</v>
      </c>
      <c r="W4333" s="1" t="str">
        <f>IFERROR(__xludf.DUMMYFUNCTION("""COMPUTED_VALUE"""),"#N/A")</f>
        <v>#N/A</v>
      </c>
    </row>
    <row r="4334">
      <c r="O4334" s="1" t="str">
        <f>IFERROR(__xludf.DUMMYFUNCTION("""COMPUTED_VALUE"""),"#VALUE!")</f>
        <v>#VALUE!</v>
      </c>
      <c r="P4334" s="1" t="str">
        <f>IFERROR(__xludf.DUMMYFUNCTION("""COMPUTED_VALUE"""),"#N/A")</f>
        <v>#N/A</v>
      </c>
      <c r="Q4334" s="1"/>
      <c r="R4334" s="1"/>
      <c r="S4334" s="1"/>
      <c r="T4334" s="1"/>
      <c r="U4334" s="2">
        <f>IFERROR(__xludf.DUMMYFUNCTION("""COMPUTED_VALUE"""),0.0)</f>
        <v>0</v>
      </c>
      <c r="V4334" s="1" t="str">
        <f>IFERROR(__xludf.DUMMYFUNCTION("""COMPUTED_VALUE"""),"#N/A")</f>
        <v>#N/A</v>
      </c>
      <c r="W4334" s="1" t="str">
        <f>IFERROR(__xludf.DUMMYFUNCTION("""COMPUTED_VALUE"""),"#N/A")</f>
        <v>#N/A</v>
      </c>
    </row>
    <row r="4335">
      <c r="O4335" s="1" t="str">
        <f>IFERROR(__xludf.DUMMYFUNCTION("""COMPUTED_VALUE"""),"#VALUE!")</f>
        <v>#VALUE!</v>
      </c>
      <c r="P4335" s="1" t="str">
        <f>IFERROR(__xludf.DUMMYFUNCTION("""COMPUTED_VALUE"""),"#N/A")</f>
        <v>#N/A</v>
      </c>
      <c r="Q4335" s="1"/>
      <c r="R4335" s="1"/>
      <c r="S4335" s="1"/>
      <c r="T4335" s="1"/>
      <c r="U4335" s="2">
        <f>IFERROR(__xludf.DUMMYFUNCTION("""COMPUTED_VALUE"""),0.0)</f>
        <v>0</v>
      </c>
      <c r="V4335" s="1" t="str">
        <f>IFERROR(__xludf.DUMMYFUNCTION("""COMPUTED_VALUE"""),"#N/A")</f>
        <v>#N/A</v>
      </c>
      <c r="W4335" s="1" t="str">
        <f>IFERROR(__xludf.DUMMYFUNCTION("""COMPUTED_VALUE"""),"#N/A")</f>
        <v>#N/A</v>
      </c>
    </row>
    <row r="4336">
      <c r="O4336" s="1" t="str">
        <f>IFERROR(__xludf.DUMMYFUNCTION("""COMPUTED_VALUE"""),"#VALUE!")</f>
        <v>#VALUE!</v>
      </c>
      <c r="P4336" s="1" t="str">
        <f>IFERROR(__xludf.DUMMYFUNCTION("""COMPUTED_VALUE"""),"#N/A")</f>
        <v>#N/A</v>
      </c>
      <c r="Q4336" s="1"/>
      <c r="R4336" s="1"/>
      <c r="S4336" s="1"/>
      <c r="T4336" s="1"/>
      <c r="U4336" s="2">
        <f>IFERROR(__xludf.DUMMYFUNCTION("""COMPUTED_VALUE"""),0.0)</f>
        <v>0</v>
      </c>
      <c r="V4336" s="1" t="str">
        <f>IFERROR(__xludf.DUMMYFUNCTION("""COMPUTED_VALUE"""),"#N/A")</f>
        <v>#N/A</v>
      </c>
      <c r="W4336" s="1" t="str">
        <f>IFERROR(__xludf.DUMMYFUNCTION("""COMPUTED_VALUE"""),"#N/A")</f>
        <v>#N/A</v>
      </c>
    </row>
    <row r="4337">
      <c r="O4337" s="1" t="str">
        <f>IFERROR(__xludf.DUMMYFUNCTION("""COMPUTED_VALUE"""),"#VALUE!")</f>
        <v>#VALUE!</v>
      </c>
      <c r="P4337" s="1" t="str">
        <f>IFERROR(__xludf.DUMMYFUNCTION("""COMPUTED_VALUE"""),"#N/A")</f>
        <v>#N/A</v>
      </c>
      <c r="Q4337" s="1"/>
      <c r="R4337" s="1"/>
      <c r="S4337" s="1"/>
      <c r="T4337" s="1"/>
      <c r="U4337" s="2">
        <f>IFERROR(__xludf.DUMMYFUNCTION("""COMPUTED_VALUE"""),0.0)</f>
        <v>0</v>
      </c>
      <c r="V4337" s="1" t="str">
        <f>IFERROR(__xludf.DUMMYFUNCTION("""COMPUTED_VALUE"""),"#N/A")</f>
        <v>#N/A</v>
      </c>
      <c r="W4337" s="1" t="str">
        <f>IFERROR(__xludf.DUMMYFUNCTION("""COMPUTED_VALUE"""),"#N/A")</f>
        <v>#N/A</v>
      </c>
    </row>
    <row r="4338">
      <c r="O4338" s="1" t="str">
        <f>IFERROR(__xludf.DUMMYFUNCTION("""COMPUTED_VALUE"""),"#VALUE!")</f>
        <v>#VALUE!</v>
      </c>
      <c r="P4338" s="1" t="str">
        <f>IFERROR(__xludf.DUMMYFUNCTION("""COMPUTED_VALUE"""),"#N/A")</f>
        <v>#N/A</v>
      </c>
      <c r="Q4338" s="1"/>
      <c r="R4338" s="1"/>
      <c r="S4338" s="1"/>
      <c r="T4338" s="1"/>
      <c r="U4338" s="2">
        <f>IFERROR(__xludf.DUMMYFUNCTION("""COMPUTED_VALUE"""),0.0)</f>
        <v>0</v>
      </c>
      <c r="V4338" s="1" t="str">
        <f>IFERROR(__xludf.DUMMYFUNCTION("""COMPUTED_VALUE"""),"#N/A")</f>
        <v>#N/A</v>
      </c>
      <c r="W4338" s="1" t="str">
        <f>IFERROR(__xludf.DUMMYFUNCTION("""COMPUTED_VALUE"""),"#N/A")</f>
        <v>#N/A</v>
      </c>
    </row>
    <row r="4339">
      <c r="O4339" s="1" t="str">
        <f>IFERROR(__xludf.DUMMYFUNCTION("""COMPUTED_VALUE"""),"#VALUE!")</f>
        <v>#VALUE!</v>
      </c>
      <c r="P4339" s="1" t="str">
        <f>IFERROR(__xludf.DUMMYFUNCTION("""COMPUTED_VALUE"""),"#N/A")</f>
        <v>#N/A</v>
      </c>
      <c r="Q4339" s="1"/>
      <c r="R4339" s="1"/>
      <c r="S4339" s="1"/>
      <c r="T4339" s="1"/>
      <c r="U4339" s="2">
        <f>IFERROR(__xludf.DUMMYFUNCTION("""COMPUTED_VALUE"""),0.0)</f>
        <v>0</v>
      </c>
      <c r="V4339" s="1" t="str">
        <f>IFERROR(__xludf.DUMMYFUNCTION("""COMPUTED_VALUE"""),"#N/A")</f>
        <v>#N/A</v>
      </c>
      <c r="W4339" s="1" t="str">
        <f>IFERROR(__xludf.DUMMYFUNCTION("""COMPUTED_VALUE"""),"#N/A")</f>
        <v>#N/A</v>
      </c>
    </row>
    <row r="4340">
      <c r="O4340" s="1" t="str">
        <f>IFERROR(__xludf.DUMMYFUNCTION("""COMPUTED_VALUE"""),"#VALUE!")</f>
        <v>#VALUE!</v>
      </c>
      <c r="P4340" s="1" t="str">
        <f>IFERROR(__xludf.DUMMYFUNCTION("""COMPUTED_VALUE"""),"#N/A")</f>
        <v>#N/A</v>
      </c>
      <c r="Q4340" s="1"/>
      <c r="R4340" s="1"/>
      <c r="S4340" s="1"/>
      <c r="T4340" s="1"/>
      <c r="U4340" s="2">
        <f>IFERROR(__xludf.DUMMYFUNCTION("""COMPUTED_VALUE"""),0.0)</f>
        <v>0</v>
      </c>
      <c r="V4340" s="1" t="str">
        <f>IFERROR(__xludf.DUMMYFUNCTION("""COMPUTED_VALUE"""),"#N/A")</f>
        <v>#N/A</v>
      </c>
      <c r="W4340" s="1" t="str">
        <f>IFERROR(__xludf.DUMMYFUNCTION("""COMPUTED_VALUE"""),"#N/A")</f>
        <v>#N/A</v>
      </c>
    </row>
    <row r="4341">
      <c r="O4341" s="1" t="str">
        <f>IFERROR(__xludf.DUMMYFUNCTION("""COMPUTED_VALUE"""),"#VALUE!")</f>
        <v>#VALUE!</v>
      </c>
      <c r="P4341" s="1" t="str">
        <f>IFERROR(__xludf.DUMMYFUNCTION("""COMPUTED_VALUE"""),"#N/A")</f>
        <v>#N/A</v>
      </c>
      <c r="Q4341" s="1"/>
      <c r="R4341" s="1"/>
      <c r="S4341" s="1"/>
      <c r="T4341" s="1"/>
      <c r="U4341" s="2">
        <f>IFERROR(__xludf.DUMMYFUNCTION("""COMPUTED_VALUE"""),0.0)</f>
        <v>0</v>
      </c>
      <c r="V4341" s="1" t="str">
        <f>IFERROR(__xludf.DUMMYFUNCTION("""COMPUTED_VALUE"""),"#N/A")</f>
        <v>#N/A</v>
      </c>
      <c r="W4341" s="1" t="str">
        <f>IFERROR(__xludf.DUMMYFUNCTION("""COMPUTED_VALUE"""),"#N/A")</f>
        <v>#N/A</v>
      </c>
    </row>
    <row r="4342">
      <c r="O4342" s="1" t="str">
        <f>IFERROR(__xludf.DUMMYFUNCTION("""COMPUTED_VALUE"""),"#VALUE!")</f>
        <v>#VALUE!</v>
      </c>
      <c r="P4342" s="1" t="str">
        <f>IFERROR(__xludf.DUMMYFUNCTION("""COMPUTED_VALUE"""),"#N/A")</f>
        <v>#N/A</v>
      </c>
      <c r="Q4342" s="1"/>
      <c r="R4342" s="1"/>
      <c r="S4342" s="1"/>
      <c r="T4342" s="1"/>
      <c r="U4342" s="2">
        <f>IFERROR(__xludf.DUMMYFUNCTION("""COMPUTED_VALUE"""),0.0)</f>
        <v>0</v>
      </c>
      <c r="V4342" s="1" t="str">
        <f>IFERROR(__xludf.DUMMYFUNCTION("""COMPUTED_VALUE"""),"#N/A")</f>
        <v>#N/A</v>
      </c>
      <c r="W4342" s="1" t="str">
        <f>IFERROR(__xludf.DUMMYFUNCTION("""COMPUTED_VALUE"""),"#N/A")</f>
        <v>#N/A</v>
      </c>
    </row>
    <row r="4343">
      <c r="O4343" s="1" t="str">
        <f>IFERROR(__xludf.DUMMYFUNCTION("""COMPUTED_VALUE"""),"#VALUE!")</f>
        <v>#VALUE!</v>
      </c>
      <c r="P4343" s="1" t="str">
        <f>IFERROR(__xludf.DUMMYFUNCTION("""COMPUTED_VALUE"""),"#N/A")</f>
        <v>#N/A</v>
      </c>
      <c r="Q4343" s="1"/>
      <c r="R4343" s="1"/>
      <c r="S4343" s="1"/>
      <c r="T4343" s="1"/>
      <c r="U4343" s="2">
        <f>IFERROR(__xludf.DUMMYFUNCTION("""COMPUTED_VALUE"""),0.0)</f>
        <v>0</v>
      </c>
      <c r="V4343" s="1" t="str">
        <f>IFERROR(__xludf.DUMMYFUNCTION("""COMPUTED_VALUE"""),"#N/A")</f>
        <v>#N/A</v>
      </c>
      <c r="W4343" s="1" t="str">
        <f>IFERROR(__xludf.DUMMYFUNCTION("""COMPUTED_VALUE"""),"#N/A")</f>
        <v>#N/A</v>
      </c>
    </row>
    <row r="4344">
      <c r="O4344" s="1" t="str">
        <f>IFERROR(__xludf.DUMMYFUNCTION("""COMPUTED_VALUE"""),"#VALUE!")</f>
        <v>#VALUE!</v>
      </c>
      <c r="P4344" s="1" t="str">
        <f>IFERROR(__xludf.DUMMYFUNCTION("""COMPUTED_VALUE"""),"#N/A")</f>
        <v>#N/A</v>
      </c>
      <c r="Q4344" s="1"/>
      <c r="R4344" s="1"/>
      <c r="S4344" s="1"/>
      <c r="T4344" s="1"/>
      <c r="U4344" s="2">
        <f>IFERROR(__xludf.DUMMYFUNCTION("""COMPUTED_VALUE"""),0.0)</f>
        <v>0</v>
      </c>
      <c r="V4344" s="1" t="str">
        <f>IFERROR(__xludf.DUMMYFUNCTION("""COMPUTED_VALUE"""),"#N/A")</f>
        <v>#N/A</v>
      </c>
      <c r="W4344" s="1" t="str">
        <f>IFERROR(__xludf.DUMMYFUNCTION("""COMPUTED_VALUE"""),"#N/A")</f>
        <v>#N/A</v>
      </c>
    </row>
    <row r="4345">
      <c r="O4345" s="1" t="str">
        <f>IFERROR(__xludf.DUMMYFUNCTION("""COMPUTED_VALUE"""),"#VALUE!")</f>
        <v>#VALUE!</v>
      </c>
      <c r="P4345" s="1" t="str">
        <f>IFERROR(__xludf.DUMMYFUNCTION("""COMPUTED_VALUE"""),"#N/A")</f>
        <v>#N/A</v>
      </c>
      <c r="Q4345" s="1"/>
      <c r="R4345" s="1"/>
      <c r="S4345" s="1"/>
      <c r="T4345" s="1"/>
      <c r="U4345" s="2">
        <f>IFERROR(__xludf.DUMMYFUNCTION("""COMPUTED_VALUE"""),0.0)</f>
        <v>0</v>
      </c>
      <c r="V4345" s="1" t="str">
        <f>IFERROR(__xludf.DUMMYFUNCTION("""COMPUTED_VALUE"""),"#N/A")</f>
        <v>#N/A</v>
      </c>
      <c r="W4345" s="1" t="str">
        <f>IFERROR(__xludf.DUMMYFUNCTION("""COMPUTED_VALUE"""),"#N/A")</f>
        <v>#N/A</v>
      </c>
    </row>
    <row r="4346">
      <c r="O4346" s="1" t="str">
        <f>IFERROR(__xludf.DUMMYFUNCTION("""COMPUTED_VALUE"""),"#VALUE!")</f>
        <v>#VALUE!</v>
      </c>
      <c r="P4346" s="1" t="str">
        <f>IFERROR(__xludf.DUMMYFUNCTION("""COMPUTED_VALUE"""),"#N/A")</f>
        <v>#N/A</v>
      </c>
      <c r="Q4346" s="1"/>
      <c r="R4346" s="1"/>
      <c r="S4346" s="1"/>
      <c r="T4346" s="1"/>
      <c r="U4346" s="2">
        <f>IFERROR(__xludf.DUMMYFUNCTION("""COMPUTED_VALUE"""),0.0)</f>
        <v>0</v>
      </c>
      <c r="V4346" s="1" t="str">
        <f>IFERROR(__xludf.DUMMYFUNCTION("""COMPUTED_VALUE"""),"#N/A")</f>
        <v>#N/A</v>
      </c>
      <c r="W4346" s="1" t="str">
        <f>IFERROR(__xludf.DUMMYFUNCTION("""COMPUTED_VALUE"""),"#N/A")</f>
        <v>#N/A</v>
      </c>
    </row>
    <row r="4347">
      <c r="O4347" s="1" t="str">
        <f>IFERROR(__xludf.DUMMYFUNCTION("""COMPUTED_VALUE"""),"#VALUE!")</f>
        <v>#VALUE!</v>
      </c>
      <c r="P4347" s="1" t="str">
        <f>IFERROR(__xludf.DUMMYFUNCTION("""COMPUTED_VALUE"""),"#N/A")</f>
        <v>#N/A</v>
      </c>
      <c r="Q4347" s="1"/>
      <c r="R4347" s="1"/>
      <c r="S4347" s="1"/>
      <c r="T4347" s="1"/>
      <c r="U4347" s="2">
        <f>IFERROR(__xludf.DUMMYFUNCTION("""COMPUTED_VALUE"""),0.0)</f>
        <v>0</v>
      </c>
      <c r="V4347" s="1" t="str">
        <f>IFERROR(__xludf.DUMMYFUNCTION("""COMPUTED_VALUE"""),"#N/A")</f>
        <v>#N/A</v>
      </c>
      <c r="W4347" s="1" t="str">
        <f>IFERROR(__xludf.DUMMYFUNCTION("""COMPUTED_VALUE"""),"#N/A")</f>
        <v>#N/A</v>
      </c>
    </row>
    <row r="4348">
      <c r="O4348" s="1" t="str">
        <f>IFERROR(__xludf.DUMMYFUNCTION("""COMPUTED_VALUE"""),"#VALUE!")</f>
        <v>#VALUE!</v>
      </c>
      <c r="P4348" s="1" t="str">
        <f>IFERROR(__xludf.DUMMYFUNCTION("""COMPUTED_VALUE"""),"#N/A")</f>
        <v>#N/A</v>
      </c>
      <c r="Q4348" s="1"/>
      <c r="R4348" s="1"/>
      <c r="S4348" s="1"/>
      <c r="T4348" s="1"/>
      <c r="U4348" s="2">
        <f>IFERROR(__xludf.DUMMYFUNCTION("""COMPUTED_VALUE"""),0.0)</f>
        <v>0</v>
      </c>
      <c r="V4348" s="1" t="str">
        <f>IFERROR(__xludf.DUMMYFUNCTION("""COMPUTED_VALUE"""),"#N/A")</f>
        <v>#N/A</v>
      </c>
      <c r="W4348" s="1" t="str">
        <f>IFERROR(__xludf.DUMMYFUNCTION("""COMPUTED_VALUE"""),"#N/A")</f>
        <v>#N/A</v>
      </c>
    </row>
    <row r="4349">
      <c r="O4349" s="1" t="str">
        <f>IFERROR(__xludf.DUMMYFUNCTION("""COMPUTED_VALUE"""),"#VALUE!")</f>
        <v>#VALUE!</v>
      </c>
      <c r="P4349" s="1" t="str">
        <f>IFERROR(__xludf.DUMMYFUNCTION("""COMPUTED_VALUE"""),"#N/A")</f>
        <v>#N/A</v>
      </c>
      <c r="Q4349" s="1"/>
      <c r="R4349" s="1"/>
      <c r="S4349" s="1"/>
      <c r="T4349" s="1"/>
      <c r="U4349" s="2">
        <f>IFERROR(__xludf.DUMMYFUNCTION("""COMPUTED_VALUE"""),0.0)</f>
        <v>0</v>
      </c>
      <c r="V4349" s="1" t="str">
        <f>IFERROR(__xludf.DUMMYFUNCTION("""COMPUTED_VALUE"""),"#N/A")</f>
        <v>#N/A</v>
      </c>
      <c r="W4349" s="1" t="str">
        <f>IFERROR(__xludf.DUMMYFUNCTION("""COMPUTED_VALUE"""),"#N/A")</f>
        <v>#N/A</v>
      </c>
    </row>
    <row r="4350">
      <c r="O4350" s="1" t="str">
        <f>IFERROR(__xludf.DUMMYFUNCTION("""COMPUTED_VALUE"""),"#VALUE!")</f>
        <v>#VALUE!</v>
      </c>
      <c r="P4350" s="1" t="str">
        <f>IFERROR(__xludf.DUMMYFUNCTION("""COMPUTED_VALUE"""),"#N/A")</f>
        <v>#N/A</v>
      </c>
      <c r="Q4350" s="1"/>
      <c r="R4350" s="1"/>
      <c r="S4350" s="1"/>
      <c r="T4350" s="1"/>
      <c r="U4350" s="2">
        <f>IFERROR(__xludf.DUMMYFUNCTION("""COMPUTED_VALUE"""),0.0)</f>
        <v>0</v>
      </c>
      <c r="V4350" s="1" t="str">
        <f>IFERROR(__xludf.DUMMYFUNCTION("""COMPUTED_VALUE"""),"#N/A")</f>
        <v>#N/A</v>
      </c>
      <c r="W4350" s="1" t="str">
        <f>IFERROR(__xludf.DUMMYFUNCTION("""COMPUTED_VALUE"""),"#N/A")</f>
        <v>#N/A</v>
      </c>
    </row>
    <row r="4351">
      <c r="O4351" s="1" t="str">
        <f>IFERROR(__xludf.DUMMYFUNCTION("""COMPUTED_VALUE"""),"#VALUE!")</f>
        <v>#VALUE!</v>
      </c>
      <c r="P4351" s="1" t="str">
        <f>IFERROR(__xludf.DUMMYFUNCTION("""COMPUTED_VALUE"""),"#N/A")</f>
        <v>#N/A</v>
      </c>
      <c r="Q4351" s="1"/>
      <c r="R4351" s="1"/>
      <c r="S4351" s="1"/>
      <c r="T4351" s="1"/>
      <c r="U4351" s="2">
        <f>IFERROR(__xludf.DUMMYFUNCTION("""COMPUTED_VALUE"""),0.0)</f>
        <v>0</v>
      </c>
      <c r="V4351" s="1" t="str">
        <f>IFERROR(__xludf.DUMMYFUNCTION("""COMPUTED_VALUE"""),"#N/A")</f>
        <v>#N/A</v>
      </c>
      <c r="W4351" s="1" t="str">
        <f>IFERROR(__xludf.DUMMYFUNCTION("""COMPUTED_VALUE"""),"#N/A")</f>
        <v>#N/A</v>
      </c>
    </row>
    <row r="4352">
      <c r="O4352" s="1" t="str">
        <f>IFERROR(__xludf.DUMMYFUNCTION("""COMPUTED_VALUE"""),"#VALUE!")</f>
        <v>#VALUE!</v>
      </c>
      <c r="P4352" s="1" t="str">
        <f>IFERROR(__xludf.DUMMYFUNCTION("""COMPUTED_VALUE"""),"#N/A")</f>
        <v>#N/A</v>
      </c>
      <c r="Q4352" s="1"/>
      <c r="R4352" s="1"/>
      <c r="S4352" s="1"/>
      <c r="T4352" s="1"/>
      <c r="U4352" s="2">
        <f>IFERROR(__xludf.DUMMYFUNCTION("""COMPUTED_VALUE"""),0.0)</f>
        <v>0</v>
      </c>
      <c r="V4352" s="1" t="str">
        <f>IFERROR(__xludf.DUMMYFUNCTION("""COMPUTED_VALUE"""),"#N/A")</f>
        <v>#N/A</v>
      </c>
      <c r="W4352" s="1" t="str">
        <f>IFERROR(__xludf.DUMMYFUNCTION("""COMPUTED_VALUE"""),"#N/A")</f>
        <v>#N/A</v>
      </c>
    </row>
    <row r="4353">
      <c r="O4353" s="1" t="str">
        <f>IFERROR(__xludf.DUMMYFUNCTION("""COMPUTED_VALUE"""),"#VALUE!")</f>
        <v>#VALUE!</v>
      </c>
      <c r="P4353" s="1" t="str">
        <f>IFERROR(__xludf.DUMMYFUNCTION("""COMPUTED_VALUE"""),"#N/A")</f>
        <v>#N/A</v>
      </c>
      <c r="Q4353" s="1"/>
      <c r="R4353" s="1"/>
      <c r="S4353" s="1"/>
      <c r="T4353" s="1"/>
      <c r="U4353" s="2">
        <f>IFERROR(__xludf.DUMMYFUNCTION("""COMPUTED_VALUE"""),0.0)</f>
        <v>0</v>
      </c>
      <c r="V4353" s="1" t="str">
        <f>IFERROR(__xludf.DUMMYFUNCTION("""COMPUTED_VALUE"""),"#N/A")</f>
        <v>#N/A</v>
      </c>
      <c r="W4353" s="1" t="str">
        <f>IFERROR(__xludf.DUMMYFUNCTION("""COMPUTED_VALUE"""),"#N/A")</f>
        <v>#N/A</v>
      </c>
    </row>
    <row r="4354">
      <c r="O4354" s="1" t="str">
        <f>IFERROR(__xludf.DUMMYFUNCTION("""COMPUTED_VALUE"""),"#VALUE!")</f>
        <v>#VALUE!</v>
      </c>
      <c r="P4354" s="1" t="str">
        <f>IFERROR(__xludf.DUMMYFUNCTION("""COMPUTED_VALUE"""),"#N/A")</f>
        <v>#N/A</v>
      </c>
      <c r="Q4354" s="1"/>
      <c r="R4354" s="1"/>
      <c r="S4354" s="1"/>
      <c r="T4354" s="1"/>
      <c r="U4354" s="2">
        <f>IFERROR(__xludf.DUMMYFUNCTION("""COMPUTED_VALUE"""),0.0)</f>
        <v>0</v>
      </c>
      <c r="V4354" s="1" t="str">
        <f>IFERROR(__xludf.DUMMYFUNCTION("""COMPUTED_VALUE"""),"#N/A")</f>
        <v>#N/A</v>
      </c>
      <c r="W4354" s="1" t="str">
        <f>IFERROR(__xludf.DUMMYFUNCTION("""COMPUTED_VALUE"""),"#N/A")</f>
        <v>#N/A</v>
      </c>
    </row>
    <row r="4355">
      <c r="O4355" s="1" t="str">
        <f>IFERROR(__xludf.DUMMYFUNCTION("""COMPUTED_VALUE"""),"#VALUE!")</f>
        <v>#VALUE!</v>
      </c>
      <c r="P4355" s="1" t="str">
        <f>IFERROR(__xludf.DUMMYFUNCTION("""COMPUTED_VALUE"""),"#N/A")</f>
        <v>#N/A</v>
      </c>
      <c r="Q4355" s="1"/>
      <c r="R4355" s="1"/>
      <c r="S4355" s="1"/>
      <c r="T4355" s="1"/>
      <c r="U4355" s="2">
        <f>IFERROR(__xludf.DUMMYFUNCTION("""COMPUTED_VALUE"""),0.0)</f>
        <v>0</v>
      </c>
      <c r="V4355" s="1" t="str">
        <f>IFERROR(__xludf.DUMMYFUNCTION("""COMPUTED_VALUE"""),"#N/A")</f>
        <v>#N/A</v>
      </c>
      <c r="W4355" s="1" t="str">
        <f>IFERROR(__xludf.DUMMYFUNCTION("""COMPUTED_VALUE"""),"#N/A")</f>
        <v>#N/A</v>
      </c>
    </row>
    <row r="4356">
      <c r="O4356" s="1" t="str">
        <f>IFERROR(__xludf.DUMMYFUNCTION("""COMPUTED_VALUE"""),"#VALUE!")</f>
        <v>#VALUE!</v>
      </c>
      <c r="P4356" s="1" t="str">
        <f>IFERROR(__xludf.DUMMYFUNCTION("""COMPUTED_VALUE"""),"#N/A")</f>
        <v>#N/A</v>
      </c>
      <c r="Q4356" s="1"/>
      <c r="R4356" s="1"/>
      <c r="S4356" s="1"/>
      <c r="T4356" s="1"/>
      <c r="U4356" s="2">
        <f>IFERROR(__xludf.DUMMYFUNCTION("""COMPUTED_VALUE"""),0.0)</f>
        <v>0</v>
      </c>
      <c r="V4356" s="1" t="str">
        <f>IFERROR(__xludf.DUMMYFUNCTION("""COMPUTED_VALUE"""),"#N/A")</f>
        <v>#N/A</v>
      </c>
      <c r="W4356" s="1" t="str">
        <f>IFERROR(__xludf.DUMMYFUNCTION("""COMPUTED_VALUE"""),"#N/A")</f>
        <v>#N/A</v>
      </c>
    </row>
    <row r="4357">
      <c r="O4357" s="1" t="str">
        <f>IFERROR(__xludf.DUMMYFUNCTION("""COMPUTED_VALUE"""),"#VALUE!")</f>
        <v>#VALUE!</v>
      </c>
      <c r="P4357" s="1" t="str">
        <f>IFERROR(__xludf.DUMMYFUNCTION("""COMPUTED_VALUE"""),"#N/A")</f>
        <v>#N/A</v>
      </c>
      <c r="Q4357" s="1"/>
      <c r="R4357" s="1"/>
      <c r="S4357" s="1"/>
      <c r="T4357" s="1"/>
      <c r="U4357" s="2">
        <f>IFERROR(__xludf.DUMMYFUNCTION("""COMPUTED_VALUE"""),0.0)</f>
        <v>0</v>
      </c>
      <c r="V4357" s="1" t="str">
        <f>IFERROR(__xludf.DUMMYFUNCTION("""COMPUTED_VALUE"""),"#N/A")</f>
        <v>#N/A</v>
      </c>
      <c r="W4357" s="1" t="str">
        <f>IFERROR(__xludf.DUMMYFUNCTION("""COMPUTED_VALUE"""),"#N/A")</f>
        <v>#N/A</v>
      </c>
    </row>
    <row r="4358">
      <c r="O4358" s="1" t="str">
        <f>IFERROR(__xludf.DUMMYFUNCTION("""COMPUTED_VALUE"""),"#VALUE!")</f>
        <v>#VALUE!</v>
      </c>
      <c r="P4358" s="1" t="str">
        <f>IFERROR(__xludf.DUMMYFUNCTION("""COMPUTED_VALUE"""),"#N/A")</f>
        <v>#N/A</v>
      </c>
      <c r="Q4358" s="1"/>
      <c r="R4358" s="1"/>
      <c r="S4358" s="1"/>
      <c r="T4358" s="1"/>
      <c r="U4358" s="2">
        <f>IFERROR(__xludf.DUMMYFUNCTION("""COMPUTED_VALUE"""),0.0)</f>
        <v>0</v>
      </c>
      <c r="V4358" s="1" t="str">
        <f>IFERROR(__xludf.DUMMYFUNCTION("""COMPUTED_VALUE"""),"#N/A")</f>
        <v>#N/A</v>
      </c>
      <c r="W4358" s="1" t="str">
        <f>IFERROR(__xludf.DUMMYFUNCTION("""COMPUTED_VALUE"""),"#N/A")</f>
        <v>#N/A</v>
      </c>
    </row>
    <row r="4359">
      <c r="O4359" s="1" t="str">
        <f>IFERROR(__xludf.DUMMYFUNCTION("""COMPUTED_VALUE"""),"#VALUE!")</f>
        <v>#VALUE!</v>
      </c>
      <c r="P4359" s="1" t="str">
        <f>IFERROR(__xludf.DUMMYFUNCTION("""COMPUTED_VALUE"""),"#N/A")</f>
        <v>#N/A</v>
      </c>
      <c r="Q4359" s="1"/>
      <c r="R4359" s="1"/>
      <c r="S4359" s="1"/>
      <c r="T4359" s="1"/>
      <c r="U4359" s="2">
        <f>IFERROR(__xludf.DUMMYFUNCTION("""COMPUTED_VALUE"""),0.0)</f>
        <v>0</v>
      </c>
      <c r="V4359" s="1" t="str">
        <f>IFERROR(__xludf.DUMMYFUNCTION("""COMPUTED_VALUE"""),"#N/A")</f>
        <v>#N/A</v>
      </c>
      <c r="W4359" s="1" t="str">
        <f>IFERROR(__xludf.DUMMYFUNCTION("""COMPUTED_VALUE"""),"#N/A")</f>
        <v>#N/A</v>
      </c>
    </row>
    <row r="4360">
      <c r="O4360" s="1" t="str">
        <f>IFERROR(__xludf.DUMMYFUNCTION("""COMPUTED_VALUE"""),"#VALUE!")</f>
        <v>#VALUE!</v>
      </c>
      <c r="P4360" s="1" t="str">
        <f>IFERROR(__xludf.DUMMYFUNCTION("""COMPUTED_VALUE"""),"#N/A")</f>
        <v>#N/A</v>
      </c>
      <c r="Q4360" s="1"/>
      <c r="R4360" s="1"/>
      <c r="S4360" s="1"/>
      <c r="T4360" s="1"/>
      <c r="U4360" s="2">
        <f>IFERROR(__xludf.DUMMYFUNCTION("""COMPUTED_VALUE"""),0.0)</f>
        <v>0</v>
      </c>
      <c r="V4360" s="1" t="str">
        <f>IFERROR(__xludf.DUMMYFUNCTION("""COMPUTED_VALUE"""),"#N/A")</f>
        <v>#N/A</v>
      </c>
      <c r="W4360" s="1" t="str">
        <f>IFERROR(__xludf.DUMMYFUNCTION("""COMPUTED_VALUE"""),"#N/A")</f>
        <v>#N/A</v>
      </c>
    </row>
    <row r="4361">
      <c r="O4361" s="1" t="str">
        <f>IFERROR(__xludf.DUMMYFUNCTION("""COMPUTED_VALUE"""),"#VALUE!")</f>
        <v>#VALUE!</v>
      </c>
      <c r="P4361" s="1" t="str">
        <f>IFERROR(__xludf.DUMMYFUNCTION("""COMPUTED_VALUE"""),"#N/A")</f>
        <v>#N/A</v>
      </c>
      <c r="Q4361" s="1"/>
      <c r="R4361" s="1"/>
      <c r="S4361" s="1"/>
      <c r="T4361" s="1"/>
      <c r="U4361" s="2">
        <f>IFERROR(__xludf.DUMMYFUNCTION("""COMPUTED_VALUE"""),0.0)</f>
        <v>0</v>
      </c>
      <c r="V4361" s="1" t="str">
        <f>IFERROR(__xludf.DUMMYFUNCTION("""COMPUTED_VALUE"""),"#N/A")</f>
        <v>#N/A</v>
      </c>
      <c r="W4361" s="1" t="str">
        <f>IFERROR(__xludf.DUMMYFUNCTION("""COMPUTED_VALUE"""),"#N/A")</f>
        <v>#N/A</v>
      </c>
    </row>
    <row r="4362">
      <c r="O4362" s="1" t="str">
        <f>IFERROR(__xludf.DUMMYFUNCTION("""COMPUTED_VALUE"""),"#VALUE!")</f>
        <v>#VALUE!</v>
      </c>
      <c r="P4362" s="1" t="str">
        <f>IFERROR(__xludf.DUMMYFUNCTION("""COMPUTED_VALUE"""),"#N/A")</f>
        <v>#N/A</v>
      </c>
      <c r="Q4362" s="1"/>
      <c r="R4362" s="1"/>
      <c r="S4362" s="1"/>
      <c r="T4362" s="1"/>
      <c r="U4362" s="2">
        <f>IFERROR(__xludf.DUMMYFUNCTION("""COMPUTED_VALUE"""),0.0)</f>
        <v>0</v>
      </c>
      <c r="V4362" s="1" t="str">
        <f>IFERROR(__xludf.DUMMYFUNCTION("""COMPUTED_VALUE"""),"#N/A")</f>
        <v>#N/A</v>
      </c>
      <c r="W4362" s="1" t="str">
        <f>IFERROR(__xludf.DUMMYFUNCTION("""COMPUTED_VALUE"""),"#N/A")</f>
        <v>#N/A</v>
      </c>
    </row>
    <row r="4363">
      <c r="O4363" s="1" t="str">
        <f>IFERROR(__xludf.DUMMYFUNCTION("""COMPUTED_VALUE"""),"#VALUE!")</f>
        <v>#VALUE!</v>
      </c>
      <c r="P4363" s="1" t="str">
        <f>IFERROR(__xludf.DUMMYFUNCTION("""COMPUTED_VALUE"""),"#N/A")</f>
        <v>#N/A</v>
      </c>
      <c r="Q4363" s="1"/>
      <c r="R4363" s="1"/>
      <c r="S4363" s="1"/>
      <c r="T4363" s="1"/>
      <c r="U4363" s="2">
        <f>IFERROR(__xludf.DUMMYFUNCTION("""COMPUTED_VALUE"""),0.0)</f>
        <v>0</v>
      </c>
      <c r="V4363" s="1" t="str">
        <f>IFERROR(__xludf.DUMMYFUNCTION("""COMPUTED_VALUE"""),"#N/A")</f>
        <v>#N/A</v>
      </c>
      <c r="W4363" s="1" t="str">
        <f>IFERROR(__xludf.DUMMYFUNCTION("""COMPUTED_VALUE"""),"#N/A")</f>
        <v>#N/A</v>
      </c>
    </row>
    <row r="4364">
      <c r="O4364" s="1" t="str">
        <f>IFERROR(__xludf.DUMMYFUNCTION("""COMPUTED_VALUE"""),"#VALUE!")</f>
        <v>#VALUE!</v>
      </c>
      <c r="P4364" s="1" t="str">
        <f>IFERROR(__xludf.DUMMYFUNCTION("""COMPUTED_VALUE"""),"#N/A")</f>
        <v>#N/A</v>
      </c>
      <c r="Q4364" s="1"/>
      <c r="R4364" s="1"/>
      <c r="S4364" s="1"/>
      <c r="T4364" s="1"/>
      <c r="U4364" s="2">
        <f>IFERROR(__xludf.DUMMYFUNCTION("""COMPUTED_VALUE"""),0.0)</f>
        <v>0</v>
      </c>
      <c r="V4364" s="1" t="str">
        <f>IFERROR(__xludf.DUMMYFUNCTION("""COMPUTED_VALUE"""),"#N/A")</f>
        <v>#N/A</v>
      </c>
      <c r="W4364" s="1" t="str">
        <f>IFERROR(__xludf.DUMMYFUNCTION("""COMPUTED_VALUE"""),"#N/A")</f>
        <v>#N/A</v>
      </c>
    </row>
    <row r="4365">
      <c r="O4365" s="1" t="str">
        <f>IFERROR(__xludf.DUMMYFUNCTION("""COMPUTED_VALUE"""),"#VALUE!")</f>
        <v>#VALUE!</v>
      </c>
      <c r="P4365" s="1" t="str">
        <f>IFERROR(__xludf.DUMMYFUNCTION("""COMPUTED_VALUE"""),"#N/A")</f>
        <v>#N/A</v>
      </c>
      <c r="Q4365" s="1"/>
      <c r="R4365" s="1"/>
      <c r="S4365" s="1"/>
      <c r="T4365" s="1"/>
      <c r="U4365" s="2">
        <f>IFERROR(__xludf.DUMMYFUNCTION("""COMPUTED_VALUE"""),0.0)</f>
        <v>0</v>
      </c>
      <c r="V4365" s="1" t="str">
        <f>IFERROR(__xludf.DUMMYFUNCTION("""COMPUTED_VALUE"""),"#N/A")</f>
        <v>#N/A</v>
      </c>
      <c r="W4365" s="1" t="str">
        <f>IFERROR(__xludf.DUMMYFUNCTION("""COMPUTED_VALUE"""),"#N/A")</f>
        <v>#N/A</v>
      </c>
    </row>
    <row r="4366">
      <c r="O4366" s="1" t="str">
        <f>IFERROR(__xludf.DUMMYFUNCTION("""COMPUTED_VALUE"""),"#VALUE!")</f>
        <v>#VALUE!</v>
      </c>
      <c r="P4366" s="1" t="str">
        <f>IFERROR(__xludf.DUMMYFUNCTION("""COMPUTED_VALUE"""),"#N/A")</f>
        <v>#N/A</v>
      </c>
      <c r="Q4366" s="1"/>
      <c r="R4366" s="1"/>
      <c r="S4366" s="1"/>
      <c r="T4366" s="1"/>
      <c r="U4366" s="2">
        <f>IFERROR(__xludf.DUMMYFUNCTION("""COMPUTED_VALUE"""),0.0)</f>
        <v>0</v>
      </c>
      <c r="V4366" s="1" t="str">
        <f>IFERROR(__xludf.DUMMYFUNCTION("""COMPUTED_VALUE"""),"#N/A")</f>
        <v>#N/A</v>
      </c>
      <c r="W4366" s="1" t="str">
        <f>IFERROR(__xludf.DUMMYFUNCTION("""COMPUTED_VALUE"""),"#N/A")</f>
        <v>#N/A</v>
      </c>
    </row>
    <row r="4367">
      <c r="O4367" s="1" t="str">
        <f>IFERROR(__xludf.DUMMYFUNCTION("""COMPUTED_VALUE"""),"#VALUE!")</f>
        <v>#VALUE!</v>
      </c>
      <c r="P4367" s="1" t="str">
        <f>IFERROR(__xludf.DUMMYFUNCTION("""COMPUTED_VALUE"""),"#N/A")</f>
        <v>#N/A</v>
      </c>
      <c r="Q4367" s="1"/>
      <c r="R4367" s="1"/>
      <c r="S4367" s="1"/>
      <c r="T4367" s="1"/>
      <c r="U4367" s="2">
        <f>IFERROR(__xludf.DUMMYFUNCTION("""COMPUTED_VALUE"""),0.0)</f>
        <v>0</v>
      </c>
      <c r="V4367" s="1" t="str">
        <f>IFERROR(__xludf.DUMMYFUNCTION("""COMPUTED_VALUE"""),"#N/A")</f>
        <v>#N/A</v>
      </c>
      <c r="W4367" s="1" t="str">
        <f>IFERROR(__xludf.DUMMYFUNCTION("""COMPUTED_VALUE"""),"#N/A")</f>
        <v>#N/A</v>
      </c>
    </row>
    <row r="4368">
      <c r="O4368" s="1" t="str">
        <f>IFERROR(__xludf.DUMMYFUNCTION("""COMPUTED_VALUE"""),"#VALUE!")</f>
        <v>#VALUE!</v>
      </c>
      <c r="P4368" s="1" t="str">
        <f>IFERROR(__xludf.DUMMYFUNCTION("""COMPUTED_VALUE"""),"#N/A")</f>
        <v>#N/A</v>
      </c>
      <c r="Q4368" s="1"/>
      <c r="R4368" s="1"/>
      <c r="S4368" s="1"/>
      <c r="T4368" s="1"/>
      <c r="U4368" s="2">
        <f>IFERROR(__xludf.DUMMYFUNCTION("""COMPUTED_VALUE"""),0.0)</f>
        <v>0</v>
      </c>
      <c r="V4368" s="1" t="str">
        <f>IFERROR(__xludf.DUMMYFUNCTION("""COMPUTED_VALUE"""),"#N/A")</f>
        <v>#N/A</v>
      </c>
      <c r="W4368" s="1" t="str">
        <f>IFERROR(__xludf.DUMMYFUNCTION("""COMPUTED_VALUE"""),"#N/A")</f>
        <v>#N/A</v>
      </c>
    </row>
    <row r="4369">
      <c r="O4369" s="1" t="str">
        <f>IFERROR(__xludf.DUMMYFUNCTION("""COMPUTED_VALUE"""),"#VALUE!")</f>
        <v>#VALUE!</v>
      </c>
      <c r="P4369" s="1" t="str">
        <f>IFERROR(__xludf.DUMMYFUNCTION("""COMPUTED_VALUE"""),"#N/A")</f>
        <v>#N/A</v>
      </c>
      <c r="Q4369" s="1"/>
      <c r="R4369" s="1"/>
      <c r="S4369" s="1"/>
      <c r="T4369" s="1"/>
      <c r="U4369" s="2">
        <f>IFERROR(__xludf.DUMMYFUNCTION("""COMPUTED_VALUE"""),0.0)</f>
        <v>0</v>
      </c>
      <c r="V4369" s="1" t="str">
        <f>IFERROR(__xludf.DUMMYFUNCTION("""COMPUTED_VALUE"""),"#N/A")</f>
        <v>#N/A</v>
      </c>
      <c r="W4369" s="1" t="str">
        <f>IFERROR(__xludf.DUMMYFUNCTION("""COMPUTED_VALUE"""),"#N/A")</f>
        <v>#N/A</v>
      </c>
    </row>
    <row r="4370">
      <c r="O4370" s="1" t="str">
        <f>IFERROR(__xludf.DUMMYFUNCTION("""COMPUTED_VALUE"""),"#VALUE!")</f>
        <v>#VALUE!</v>
      </c>
      <c r="P4370" s="1" t="str">
        <f>IFERROR(__xludf.DUMMYFUNCTION("""COMPUTED_VALUE"""),"#N/A")</f>
        <v>#N/A</v>
      </c>
      <c r="Q4370" s="1"/>
      <c r="R4370" s="1"/>
      <c r="S4370" s="1"/>
      <c r="T4370" s="1"/>
      <c r="U4370" s="2">
        <f>IFERROR(__xludf.DUMMYFUNCTION("""COMPUTED_VALUE"""),0.0)</f>
        <v>0</v>
      </c>
      <c r="V4370" s="1" t="str">
        <f>IFERROR(__xludf.DUMMYFUNCTION("""COMPUTED_VALUE"""),"#N/A")</f>
        <v>#N/A</v>
      </c>
      <c r="W4370" s="1" t="str">
        <f>IFERROR(__xludf.DUMMYFUNCTION("""COMPUTED_VALUE"""),"#N/A")</f>
        <v>#N/A</v>
      </c>
    </row>
    <row r="4371">
      <c r="O4371" s="1" t="str">
        <f>IFERROR(__xludf.DUMMYFUNCTION("""COMPUTED_VALUE"""),"#VALUE!")</f>
        <v>#VALUE!</v>
      </c>
      <c r="P4371" s="1" t="str">
        <f>IFERROR(__xludf.DUMMYFUNCTION("""COMPUTED_VALUE"""),"#N/A")</f>
        <v>#N/A</v>
      </c>
      <c r="Q4371" s="1"/>
      <c r="R4371" s="1"/>
      <c r="S4371" s="1"/>
      <c r="T4371" s="1"/>
      <c r="U4371" s="2">
        <f>IFERROR(__xludf.DUMMYFUNCTION("""COMPUTED_VALUE"""),0.0)</f>
        <v>0</v>
      </c>
      <c r="V4371" s="1" t="str">
        <f>IFERROR(__xludf.DUMMYFUNCTION("""COMPUTED_VALUE"""),"#N/A")</f>
        <v>#N/A</v>
      </c>
      <c r="W4371" s="1" t="str">
        <f>IFERROR(__xludf.DUMMYFUNCTION("""COMPUTED_VALUE"""),"#N/A")</f>
        <v>#N/A</v>
      </c>
    </row>
    <row r="4372">
      <c r="O4372" s="1" t="str">
        <f>IFERROR(__xludf.DUMMYFUNCTION("""COMPUTED_VALUE"""),"#VALUE!")</f>
        <v>#VALUE!</v>
      </c>
      <c r="P4372" s="1" t="str">
        <f>IFERROR(__xludf.DUMMYFUNCTION("""COMPUTED_VALUE"""),"#N/A")</f>
        <v>#N/A</v>
      </c>
      <c r="Q4372" s="1"/>
      <c r="R4372" s="1"/>
      <c r="S4372" s="1"/>
      <c r="T4372" s="1"/>
      <c r="U4372" s="2">
        <f>IFERROR(__xludf.DUMMYFUNCTION("""COMPUTED_VALUE"""),0.0)</f>
        <v>0</v>
      </c>
      <c r="V4372" s="1" t="str">
        <f>IFERROR(__xludf.DUMMYFUNCTION("""COMPUTED_VALUE"""),"#N/A")</f>
        <v>#N/A</v>
      </c>
      <c r="W4372" s="1" t="str">
        <f>IFERROR(__xludf.DUMMYFUNCTION("""COMPUTED_VALUE"""),"#N/A")</f>
        <v>#N/A</v>
      </c>
    </row>
    <row r="4373">
      <c r="O4373" s="1" t="str">
        <f>IFERROR(__xludf.DUMMYFUNCTION("""COMPUTED_VALUE"""),"#VALUE!")</f>
        <v>#VALUE!</v>
      </c>
      <c r="P4373" s="1" t="str">
        <f>IFERROR(__xludf.DUMMYFUNCTION("""COMPUTED_VALUE"""),"#N/A")</f>
        <v>#N/A</v>
      </c>
      <c r="Q4373" s="1"/>
      <c r="R4373" s="1"/>
      <c r="S4373" s="1"/>
      <c r="T4373" s="1"/>
      <c r="U4373" s="2">
        <f>IFERROR(__xludf.DUMMYFUNCTION("""COMPUTED_VALUE"""),0.0)</f>
        <v>0</v>
      </c>
      <c r="V4373" s="1" t="str">
        <f>IFERROR(__xludf.DUMMYFUNCTION("""COMPUTED_VALUE"""),"#N/A")</f>
        <v>#N/A</v>
      </c>
      <c r="W4373" s="1" t="str">
        <f>IFERROR(__xludf.DUMMYFUNCTION("""COMPUTED_VALUE"""),"#N/A")</f>
        <v>#N/A</v>
      </c>
    </row>
    <row r="4374">
      <c r="O4374" s="1" t="str">
        <f>IFERROR(__xludf.DUMMYFUNCTION("""COMPUTED_VALUE"""),"#VALUE!")</f>
        <v>#VALUE!</v>
      </c>
      <c r="P4374" s="1" t="str">
        <f>IFERROR(__xludf.DUMMYFUNCTION("""COMPUTED_VALUE"""),"#N/A")</f>
        <v>#N/A</v>
      </c>
      <c r="Q4374" s="1"/>
      <c r="R4374" s="1"/>
      <c r="S4374" s="1"/>
      <c r="T4374" s="1"/>
      <c r="U4374" s="2">
        <f>IFERROR(__xludf.DUMMYFUNCTION("""COMPUTED_VALUE"""),0.0)</f>
        <v>0</v>
      </c>
      <c r="V4374" s="1" t="str">
        <f>IFERROR(__xludf.DUMMYFUNCTION("""COMPUTED_VALUE"""),"#N/A")</f>
        <v>#N/A</v>
      </c>
      <c r="W4374" s="1" t="str">
        <f>IFERROR(__xludf.DUMMYFUNCTION("""COMPUTED_VALUE"""),"#N/A")</f>
        <v>#N/A</v>
      </c>
    </row>
    <row r="4375">
      <c r="O4375" s="1" t="str">
        <f>IFERROR(__xludf.DUMMYFUNCTION("""COMPUTED_VALUE"""),"#VALUE!")</f>
        <v>#VALUE!</v>
      </c>
      <c r="P4375" s="1" t="str">
        <f>IFERROR(__xludf.DUMMYFUNCTION("""COMPUTED_VALUE"""),"#N/A")</f>
        <v>#N/A</v>
      </c>
      <c r="Q4375" s="1"/>
      <c r="R4375" s="1"/>
      <c r="S4375" s="1"/>
      <c r="T4375" s="1"/>
      <c r="U4375" s="2">
        <f>IFERROR(__xludf.DUMMYFUNCTION("""COMPUTED_VALUE"""),0.0)</f>
        <v>0</v>
      </c>
      <c r="V4375" s="1" t="str">
        <f>IFERROR(__xludf.DUMMYFUNCTION("""COMPUTED_VALUE"""),"#N/A")</f>
        <v>#N/A</v>
      </c>
      <c r="W4375" s="1" t="str">
        <f>IFERROR(__xludf.DUMMYFUNCTION("""COMPUTED_VALUE"""),"#N/A")</f>
        <v>#N/A</v>
      </c>
    </row>
    <row r="4376">
      <c r="O4376" s="1" t="str">
        <f>IFERROR(__xludf.DUMMYFUNCTION("""COMPUTED_VALUE"""),"#VALUE!")</f>
        <v>#VALUE!</v>
      </c>
      <c r="P4376" s="1" t="str">
        <f>IFERROR(__xludf.DUMMYFUNCTION("""COMPUTED_VALUE"""),"#N/A")</f>
        <v>#N/A</v>
      </c>
      <c r="Q4376" s="1"/>
      <c r="R4376" s="1"/>
      <c r="S4376" s="1"/>
      <c r="T4376" s="1"/>
      <c r="U4376" s="2">
        <f>IFERROR(__xludf.DUMMYFUNCTION("""COMPUTED_VALUE"""),0.0)</f>
        <v>0</v>
      </c>
      <c r="V4376" s="1" t="str">
        <f>IFERROR(__xludf.DUMMYFUNCTION("""COMPUTED_VALUE"""),"#N/A")</f>
        <v>#N/A</v>
      </c>
      <c r="W4376" s="1" t="str">
        <f>IFERROR(__xludf.DUMMYFUNCTION("""COMPUTED_VALUE"""),"#N/A")</f>
        <v>#N/A</v>
      </c>
    </row>
    <row r="4377">
      <c r="O4377" s="1" t="str">
        <f>IFERROR(__xludf.DUMMYFUNCTION("""COMPUTED_VALUE"""),"#VALUE!")</f>
        <v>#VALUE!</v>
      </c>
      <c r="P4377" s="1" t="str">
        <f>IFERROR(__xludf.DUMMYFUNCTION("""COMPUTED_VALUE"""),"#N/A")</f>
        <v>#N/A</v>
      </c>
      <c r="Q4377" s="1"/>
      <c r="R4377" s="1"/>
      <c r="S4377" s="1"/>
      <c r="T4377" s="1"/>
      <c r="U4377" s="2">
        <f>IFERROR(__xludf.DUMMYFUNCTION("""COMPUTED_VALUE"""),0.0)</f>
        <v>0</v>
      </c>
      <c r="V4377" s="1" t="str">
        <f>IFERROR(__xludf.DUMMYFUNCTION("""COMPUTED_VALUE"""),"#N/A")</f>
        <v>#N/A</v>
      </c>
      <c r="W4377" s="1" t="str">
        <f>IFERROR(__xludf.DUMMYFUNCTION("""COMPUTED_VALUE"""),"#N/A")</f>
        <v>#N/A</v>
      </c>
    </row>
    <row r="4378">
      <c r="O4378" s="1" t="str">
        <f>IFERROR(__xludf.DUMMYFUNCTION("""COMPUTED_VALUE"""),"#VALUE!")</f>
        <v>#VALUE!</v>
      </c>
      <c r="P4378" s="1" t="str">
        <f>IFERROR(__xludf.DUMMYFUNCTION("""COMPUTED_VALUE"""),"#N/A")</f>
        <v>#N/A</v>
      </c>
      <c r="Q4378" s="1"/>
      <c r="R4378" s="1"/>
      <c r="S4378" s="1"/>
      <c r="T4378" s="1"/>
      <c r="U4378" s="2">
        <f>IFERROR(__xludf.DUMMYFUNCTION("""COMPUTED_VALUE"""),0.0)</f>
        <v>0</v>
      </c>
      <c r="V4378" s="1" t="str">
        <f>IFERROR(__xludf.DUMMYFUNCTION("""COMPUTED_VALUE"""),"#N/A")</f>
        <v>#N/A</v>
      </c>
      <c r="W4378" s="1" t="str">
        <f>IFERROR(__xludf.DUMMYFUNCTION("""COMPUTED_VALUE"""),"#N/A")</f>
        <v>#N/A</v>
      </c>
    </row>
    <row r="4379">
      <c r="O4379" s="1" t="str">
        <f>IFERROR(__xludf.DUMMYFUNCTION("""COMPUTED_VALUE"""),"#VALUE!")</f>
        <v>#VALUE!</v>
      </c>
      <c r="P4379" s="1" t="str">
        <f>IFERROR(__xludf.DUMMYFUNCTION("""COMPUTED_VALUE"""),"#N/A")</f>
        <v>#N/A</v>
      </c>
      <c r="Q4379" s="1"/>
      <c r="R4379" s="1"/>
      <c r="S4379" s="1"/>
      <c r="T4379" s="1"/>
      <c r="U4379" s="2">
        <f>IFERROR(__xludf.DUMMYFUNCTION("""COMPUTED_VALUE"""),0.0)</f>
        <v>0</v>
      </c>
      <c r="V4379" s="1" t="str">
        <f>IFERROR(__xludf.DUMMYFUNCTION("""COMPUTED_VALUE"""),"#N/A")</f>
        <v>#N/A</v>
      </c>
      <c r="W4379" s="1" t="str">
        <f>IFERROR(__xludf.DUMMYFUNCTION("""COMPUTED_VALUE"""),"#N/A")</f>
        <v>#N/A</v>
      </c>
    </row>
    <row r="4380">
      <c r="O4380" s="1" t="str">
        <f>IFERROR(__xludf.DUMMYFUNCTION("""COMPUTED_VALUE"""),"#VALUE!")</f>
        <v>#VALUE!</v>
      </c>
      <c r="P4380" s="1" t="str">
        <f>IFERROR(__xludf.DUMMYFUNCTION("""COMPUTED_VALUE"""),"#N/A")</f>
        <v>#N/A</v>
      </c>
      <c r="Q4380" s="1"/>
      <c r="R4380" s="1"/>
      <c r="S4380" s="1"/>
      <c r="T4380" s="1"/>
      <c r="U4380" s="2">
        <f>IFERROR(__xludf.DUMMYFUNCTION("""COMPUTED_VALUE"""),0.0)</f>
        <v>0</v>
      </c>
      <c r="V4380" s="1" t="str">
        <f>IFERROR(__xludf.DUMMYFUNCTION("""COMPUTED_VALUE"""),"#N/A")</f>
        <v>#N/A</v>
      </c>
      <c r="W4380" s="1" t="str">
        <f>IFERROR(__xludf.DUMMYFUNCTION("""COMPUTED_VALUE"""),"#N/A")</f>
        <v>#N/A</v>
      </c>
    </row>
    <row r="4381">
      <c r="O4381" s="1" t="str">
        <f>IFERROR(__xludf.DUMMYFUNCTION("""COMPUTED_VALUE"""),"#VALUE!")</f>
        <v>#VALUE!</v>
      </c>
      <c r="P4381" s="1" t="str">
        <f>IFERROR(__xludf.DUMMYFUNCTION("""COMPUTED_VALUE"""),"#N/A")</f>
        <v>#N/A</v>
      </c>
      <c r="Q4381" s="1"/>
      <c r="R4381" s="1"/>
      <c r="S4381" s="1"/>
      <c r="T4381" s="1"/>
      <c r="U4381" s="2">
        <f>IFERROR(__xludf.DUMMYFUNCTION("""COMPUTED_VALUE"""),0.0)</f>
        <v>0</v>
      </c>
      <c r="V4381" s="1" t="str">
        <f>IFERROR(__xludf.DUMMYFUNCTION("""COMPUTED_VALUE"""),"#N/A")</f>
        <v>#N/A</v>
      </c>
      <c r="W4381" s="1" t="str">
        <f>IFERROR(__xludf.DUMMYFUNCTION("""COMPUTED_VALUE"""),"#N/A")</f>
        <v>#N/A</v>
      </c>
    </row>
    <row r="4382">
      <c r="O4382" s="1" t="str">
        <f>IFERROR(__xludf.DUMMYFUNCTION("""COMPUTED_VALUE"""),"#VALUE!")</f>
        <v>#VALUE!</v>
      </c>
      <c r="P4382" s="1" t="str">
        <f>IFERROR(__xludf.DUMMYFUNCTION("""COMPUTED_VALUE"""),"#N/A")</f>
        <v>#N/A</v>
      </c>
      <c r="Q4382" s="1"/>
      <c r="R4382" s="1"/>
      <c r="S4382" s="1"/>
      <c r="T4382" s="1"/>
      <c r="U4382" s="2">
        <f>IFERROR(__xludf.DUMMYFUNCTION("""COMPUTED_VALUE"""),0.0)</f>
        <v>0</v>
      </c>
      <c r="V4382" s="1" t="str">
        <f>IFERROR(__xludf.DUMMYFUNCTION("""COMPUTED_VALUE"""),"#N/A")</f>
        <v>#N/A</v>
      </c>
      <c r="W4382" s="1" t="str">
        <f>IFERROR(__xludf.DUMMYFUNCTION("""COMPUTED_VALUE"""),"#N/A")</f>
        <v>#N/A</v>
      </c>
    </row>
    <row r="4383">
      <c r="O4383" s="1" t="str">
        <f>IFERROR(__xludf.DUMMYFUNCTION("""COMPUTED_VALUE"""),"#VALUE!")</f>
        <v>#VALUE!</v>
      </c>
      <c r="P4383" s="1" t="str">
        <f>IFERROR(__xludf.DUMMYFUNCTION("""COMPUTED_VALUE"""),"#N/A")</f>
        <v>#N/A</v>
      </c>
      <c r="Q4383" s="1"/>
      <c r="R4383" s="1"/>
      <c r="S4383" s="1"/>
      <c r="T4383" s="1"/>
      <c r="U4383" s="2">
        <f>IFERROR(__xludf.DUMMYFUNCTION("""COMPUTED_VALUE"""),0.0)</f>
        <v>0</v>
      </c>
      <c r="V4383" s="1" t="str">
        <f>IFERROR(__xludf.DUMMYFUNCTION("""COMPUTED_VALUE"""),"#N/A")</f>
        <v>#N/A</v>
      </c>
      <c r="W4383" s="1" t="str">
        <f>IFERROR(__xludf.DUMMYFUNCTION("""COMPUTED_VALUE"""),"#N/A")</f>
        <v>#N/A</v>
      </c>
    </row>
    <row r="4384">
      <c r="O4384" s="1" t="str">
        <f>IFERROR(__xludf.DUMMYFUNCTION("""COMPUTED_VALUE"""),"#VALUE!")</f>
        <v>#VALUE!</v>
      </c>
      <c r="P4384" s="1" t="str">
        <f>IFERROR(__xludf.DUMMYFUNCTION("""COMPUTED_VALUE"""),"#N/A")</f>
        <v>#N/A</v>
      </c>
      <c r="Q4384" s="1"/>
      <c r="R4384" s="1"/>
      <c r="S4384" s="1"/>
      <c r="T4384" s="1"/>
      <c r="U4384" s="2">
        <f>IFERROR(__xludf.DUMMYFUNCTION("""COMPUTED_VALUE"""),0.0)</f>
        <v>0</v>
      </c>
      <c r="V4384" s="1" t="str">
        <f>IFERROR(__xludf.DUMMYFUNCTION("""COMPUTED_VALUE"""),"#N/A")</f>
        <v>#N/A</v>
      </c>
      <c r="W4384" s="1" t="str">
        <f>IFERROR(__xludf.DUMMYFUNCTION("""COMPUTED_VALUE"""),"#N/A")</f>
        <v>#N/A</v>
      </c>
    </row>
    <row r="4385">
      <c r="O4385" s="1" t="str">
        <f>IFERROR(__xludf.DUMMYFUNCTION("""COMPUTED_VALUE"""),"#VALUE!")</f>
        <v>#VALUE!</v>
      </c>
      <c r="P4385" s="1" t="str">
        <f>IFERROR(__xludf.DUMMYFUNCTION("""COMPUTED_VALUE"""),"#N/A")</f>
        <v>#N/A</v>
      </c>
      <c r="Q4385" s="1"/>
      <c r="R4385" s="1"/>
      <c r="S4385" s="1"/>
      <c r="T4385" s="1"/>
      <c r="U4385" s="2">
        <f>IFERROR(__xludf.DUMMYFUNCTION("""COMPUTED_VALUE"""),0.0)</f>
        <v>0</v>
      </c>
      <c r="V4385" s="1" t="str">
        <f>IFERROR(__xludf.DUMMYFUNCTION("""COMPUTED_VALUE"""),"#N/A")</f>
        <v>#N/A</v>
      </c>
      <c r="W4385" s="1" t="str">
        <f>IFERROR(__xludf.DUMMYFUNCTION("""COMPUTED_VALUE"""),"#N/A")</f>
        <v>#N/A</v>
      </c>
    </row>
    <row r="4386">
      <c r="O4386" s="1" t="str">
        <f>IFERROR(__xludf.DUMMYFUNCTION("""COMPUTED_VALUE"""),"#VALUE!")</f>
        <v>#VALUE!</v>
      </c>
      <c r="P4386" s="1" t="str">
        <f>IFERROR(__xludf.DUMMYFUNCTION("""COMPUTED_VALUE"""),"#N/A")</f>
        <v>#N/A</v>
      </c>
      <c r="Q4386" s="1"/>
      <c r="R4386" s="1"/>
      <c r="S4386" s="1"/>
      <c r="T4386" s="1"/>
      <c r="U4386" s="2">
        <f>IFERROR(__xludf.DUMMYFUNCTION("""COMPUTED_VALUE"""),0.0)</f>
        <v>0</v>
      </c>
      <c r="V4386" s="1" t="str">
        <f>IFERROR(__xludf.DUMMYFUNCTION("""COMPUTED_VALUE"""),"#N/A")</f>
        <v>#N/A</v>
      </c>
      <c r="W4386" s="1" t="str">
        <f>IFERROR(__xludf.DUMMYFUNCTION("""COMPUTED_VALUE"""),"#N/A")</f>
        <v>#N/A</v>
      </c>
    </row>
    <row r="4387">
      <c r="O4387" s="1" t="str">
        <f>IFERROR(__xludf.DUMMYFUNCTION("""COMPUTED_VALUE"""),"#VALUE!")</f>
        <v>#VALUE!</v>
      </c>
      <c r="P4387" s="1" t="str">
        <f>IFERROR(__xludf.DUMMYFUNCTION("""COMPUTED_VALUE"""),"#N/A")</f>
        <v>#N/A</v>
      </c>
      <c r="Q4387" s="1"/>
      <c r="R4387" s="1"/>
      <c r="S4387" s="1"/>
      <c r="T4387" s="1"/>
      <c r="U4387" s="2">
        <f>IFERROR(__xludf.DUMMYFUNCTION("""COMPUTED_VALUE"""),0.0)</f>
        <v>0</v>
      </c>
      <c r="V4387" s="1" t="str">
        <f>IFERROR(__xludf.DUMMYFUNCTION("""COMPUTED_VALUE"""),"#N/A")</f>
        <v>#N/A</v>
      </c>
      <c r="W4387" s="1" t="str">
        <f>IFERROR(__xludf.DUMMYFUNCTION("""COMPUTED_VALUE"""),"#N/A")</f>
        <v>#N/A</v>
      </c>
    </row>
    <row r="4388">
      <c r="O4388" s="1" t="str">
        <f>IFERROR(__xludf.DUMMYFUNCTION("""COMPUTED_VALUE"""),"#VALUE!")</f>
        <v>#VALUE!</v>
      </c>
      <c r="P4388" s="1" t="str">
        <f>IFERROR(__xludf.DUMMYFUNCTION("""COMPUTED_VALUE"""),"#N/A")</f>
        <v>#N/A</v>
      </c>
      <c r="Q4388" s="1"/>
      <c r="R4388" s="1"/>
      <c r="S4388" s="1"/>
      <c r="T4388" s="1"/>
      <c r="U4388" s="2">
        <f>IFERROR(__xludf.DUMMYFUNCTION("""COMPUTED_VALUE"""),0.0)</f>
        <v>0</v>
      </c>
      <c r="V4388" s="1" t="str">
        <f>IFERROR(__xludf.DUMMYFUNCTION("""COMPUTED_VALUE"""),"#N/A")</f>
        <v>#N/A</v>
      </c>
      <c r="W4388" s="1" t="str">
        <f>IFERROR(__xludf.DUMMYFUNCTION("""COMPUTED_VALUE"""),"#N/A")</f>
        <v>#N/A</v>
      </c>
    </row>
    <row r="4389">
      <c r="O4389" s="1" t="str">
        <f>IFERROR(__xludf.DUMMYFUNCTION("""COMPUTED_VALUE"""),"#VALUE!")</f>
        <v>#VALUE!</v>
      </c>
      <c r="P4389" s="1" t="str">
        <f>IFERROR(__xludf.DUMMYFUNCTION("""COMPUTED_VALUE"""),"#N/A")</f>
        <v>#N/A</v>
      </c>
      <c r="Q4389" s="1"/>
      <c r="R4389" s="1"/>
      <c r="S4389" s="1"/>
      <c r="T4389" s="1"/>
      <c r="U4389" s="2">
        <f>IFERROR(__xludf.DUMMYFUNCTION("""COMPUTED_VALUE"""),0.0)</f>
        <v>0</v>
      </c>
      <c r="V4389" s="1" t="str">
        <f>IFERROR(__xludf.DUMMYFUNCTION("""COMPUTED_VALUE"""),"#N/A")</f>
        <v>#N/A</v>
      </c>
      <c r="W4389" s="1" t="str">
        <f>IFERROR(__xludf.DUMMYFUNCTION("""COMPUTED_VALUE"""),"#N/A")</f>
        <v>#N/A</v>
      </c>
    </row>
    <row r="4390">
      <c r="O4390" s="1" t="str">
        <f>IFERROR(__xludf.DUMMYFUNCTION("""COMPUTED_VALUE"""),"#VALUE!")</f>
        <v>#VALUE!</v>
      </c>
      <c r="P4390" s="1" t="str">
        <f>IFERROR(__xludf.DUMMYFUNCTION("""COMPUTED_VALUE"""),"#N/A")</f>
        <v>#N/A</v>
      </c>
      <c r="Q4390" s="1"/>
      <c r="R4390" s="1"/>
      <c r="S4390" s="1"/>
      <c r="T4390" s="1"/>
      <c r="U4390" s="2">
        <f>IFERROR(__xludf.DUMMYFUNCTION("""COMPUTED_VALUE"""),0.0)</f>
        <v>0</v>
      </c>
      <c r="V4390" s="1" t="str">
        <f>IFERROR(__xludf.DUMMYFUNCTION("""COMPUTED_VALUE"""),"#N/A")</f>
        <v>#N/A</v>
      </c>
      <c r="W4390" s="1" t="str">
        <f>IFERROR(__xludf.DUMMYFUNCTION("""COMPUTED_VALUE"""),"#N/A")</f>
        <v>#N/A</v>
      </c>
    </row>
    <row r="4391">
      <c r="O4391" s="1" t="str">
        <f>IFERROR(__xludf.DUMMYFUNCTION("""COMPUTED_VALUE"""),"#VALUE!")</f>
        <v>#VALUE!</v>
      </c>
      <c r="P4391" s="1" t="str">
        <f>IFERROR(__xludf.DUMMYFUNCTION("""COMPUTED_VALUE"""),"#N/A")</f>
        <v>#N/A</v>
      </c>
      <c r="Q4391" s="1"/>
      <c r="R4391" s="1"/>
      <c r="S4391" s="1"/>
      <c r="T4391" s="1"/>
      <c r="U4391" s="2">
        <f>IFERROR(__xludf.DUMMYFUNCTION("""COMPUTED_VALUE"""),0.0)</f>
        <v>0</v>
      </c>
      <c r="V4391" s="1" t="str">
        <f>IFERROR(__xludf.DUMMYFUNCTION("""COMPUTED_VALUE"""),"#N/A")</f>
        <v>#N/A</v>
      </c>
      <c r="W4391" s="1" t="str">
        <f>IFERROR(__xludf.DUMMYFUNCTION("""COMPUTED_VALUE"""),"#N/A")</f>
        <v>#N/A</v>
      </c>
    </row>
    <row r="4392">
      <c r="O4392" s="1" t="str">
        <f>IFERROR(__xludf.DUMMYFUNCTION("""COMPUTED_VALUE"""),"#VALUE!")</f>
        <v>#VALUE!</v>
      </c>
      <c r="P4392" s="1" t="str">
        <f>IFERROR(__xludf.DUMMYFUNCTION("""COMPUTED_VALUE"""),"#N/A")</f>
        <v>#N/A</v>
      </c>
      <c r="Q4392" s="1"/>
      <c r="R4392" s="1"/>
      <c r="S4392" s="1"/>
      <c r="T4392" s="1"/>
      <c r="U4392" s="2">
        <f>IFERROR(__xludf.DUMMYFUNCTION("""COMPUTED_VALUE"""),0.0)</f>
        <v>0</v>
      </c>
      <c r="V4392" s="1" t="str">
        <f>IFERROR(__xludf.DUMMYFUNCTION("""COMPUTED_VALUE"""),"#N/A")</f>
        <v>#N/A</v>
      </c>
      <c r="W4392" s="1" t="str">
        <f>IFERROR(__xludf.DUMMYFUNCTION("""COMPUTED_VALUE"""),"#N/A")</f>
        <v>#N/A</v>
      </c>
    </row>
    <row r="4393">
      <c r="O4393" s="1" t="str">
        <f>IFERROR(__xludf.DUMMYFUNCTION("""COMPUTED_VALUE"""),"#VALUE!")</f>
        <v>#VALUE!</v>
      </c>
      <c r="P4393" s="1" t="str">
        <f>IFERROR(__xludf.DUMMYFUNCTION("""COMPUTED_VALUE"""),"#N/A")</f>
        <v>#N/A</v>
      </c>
      <c r="Q4393" s="1"/>
      <c r="R4393" s="1"/>
      <c r="S4393" s="1"/>
      <c r="T4393" s="1"/>
      <c r="U4393" s="2">
        <f>IFERROR(__xludf.DUMMYFUNCTION("""COMPUTED_VALUE"""),0.0)</f>
        <v>0</v>
      </c>
      <c r="V4393" s="1" t="str">
        <f>IFERROR(__xludf.DUMMYFUNCTION("""COMPUTED_VALUE"""),"#N/A")</f>
        <v>#N/A</v>
      </c>
      <c r="W4393" s="1" t="str">
        <f>IFERROR(__xludf.DUMMYFUNCTION("""COMPUTED_VALUE"""),"#N/A")</f>
        <v>#N/A</v>
      </c>
    </row>
    <row r="4394">
      <c r="O4394" s="1" t="str">
        <f>IFERROR(__xludf.DUMMYFUNCTION("""COMPUTED_VALUE"""),"#VALUE!")</f>
        <v>#VALUE!</v>
      </c>
      <c r="P4394" s="1" t="str">
        <f>IFERROR(__xludf.DUMMYFUNCTION("""COMPUTED_VALUE"""),"#N/A")</f>
        <v>#N/A</v>
      </c>
      <c r="Q4394" s="1"/>
      <c r="R4394" s="1"/>
      <c r="S4394" s="1"/>
      <c r="T4394" s="1"/>
      <c r="U4394" s="2">
        <f>IFERROR(__xludf.DUMMYFUNCTION("""COMPUTED_VALUE"""),0.0)</f>
        <v>0</v>
      </c>
      <c r="V4394" s="1" t="str">
        <f>IFERROR(__xludf.DUMMYFUNCTION("""COMPUTED_VALUE"""),"#N/A")</f>
        <v>#N/A</v>
      </c>
      <c r="W4394" s="1" t="str">
        <f>IFERROR(__xludf.DUMMYFUNCTION("""COMPUTED_VALUE"""),"#N/A")</f>
        <v>#N/A</v>
      </c>
    </row>
    <row r="4395">
      <c r="O4395" s="1" t="str">
        <f>IFERROR(__xludf.DUMMYFUNCTION("""COMPUTED_VALUE"""),"#VALUE!")</f>
        <v>#VALUE!</v>
      </c>
      <c r="P4395" s="1" t="str">
        <f>IFERROR(__xludf.DUMMYFUNCTION("""COMPUTED_VALUE"""),"#N/A")</f>
        <v>#N/A</v>
      </c>
      <c r="Q4395" s="1"/>
      <c r="R4395" s="1"/>
      <c r="S4395" s="1"/>
      <c r="T4395" s="1"/>
      <c r="U4395" s="2">
        <f>IFERROR(__xludf.DUMMYFUNCTION("""COMPUTED_VALUE"""),0.0)</f>
        <v>0</v>
      </c>
      <c r="V4395" s="1" t="str">
        <f>IFERROR(__xludf.DUMMYFUNCTION("""COMPUTED_VALUE"""),"#N/A")</f>
        <v>#N/A</v>
      </c>
      <c r="W4395" s="1" t="str">
        <f>IFERROR(__xludf.DUMMYFUNCTION("""COMPUTED_VALUE"""),"#N/A")</f>
        <v>#N/A</v>
      </c>
    </row>
    <row r="4396">
      <c r="O4396" s="1" t="str">
        <f>IFERROR(__xludf.DUMMYFUNCTION("""COMPUTED_VALUE"""),"#VALUE!")</f>
        <v>#VALUE!</v>
      </c>
      <c r="P4396" s="1" t="str">
        <f>IFERROR(__xludf.DUMMYFUNCTION("""COMPUTED_VALUE"""),"#N/A")</f>
        <v>#N/A</v>
      </c>
      <c r="Q4396" s="1"/>
      <c r="R4396" s="1"/>
      <c r="S4396" s="1"/>
      <c r="T4396" s="1"/>
      <c r="U4396" s="2">
        <f>IFERROR(__xludf.DUMMYFUNCTION("""COMPUTED_VALUE"""),0.0)</f>
        <v>0</v>
      </c>
      <c r="V4396" s="1" t="str">
        <f>IFERROR(__xludf.DUMMYFUNCTION("""COMPUTED_VALUE"""),"#N/A")</f>
        <v>#N/A</v>
      </c>
      <c r="W4396" s="1" t="str">
        <f>IFERROR(__xludf.DUMMYFUNCTION("""COMPUTED_VALUE"""),"#N/A")</f>
        <v>#N/A</v>
      </c>
    </row>
    <row r="4397">
      <c r="O4397" s="1" t="str">
        <f>IFERROR(__xludf.DUMMYFUNCTION("""COMPUTED_VALUE"""),"#VALUE!")</f>
        <v>#VALUE!</v>
      </c>
      <c r="P4397" s="1" t="str">
        <f>IFERROR(__xludf.DUMMYFUNCTION("""COMPUTED_VALUE"""),"#N/A")</f>
        <v>#N/A</v>
      </c>
      <c r="Q4397" s="1"/>
      <c r="R4397" s="1"/>
      <c r="S4397" s="1"/>
      <c r="T4397" s="1"/>
      <c r="U4397" s="2">
        <f>IFERROR(__xludf.DUMMYFUNCTION("""COMPUTED_VALUE"""),0.0)</f>
        <v>0</v>
      </c>
      <c r="V4397" s="1" t="str">
        <f>IFERROR(__xludf.DUMMYFUNCTION("""COMPUTED_VALUE"""),"#N/A")</f>
        <v>#N/A</v>
      </c>
      <c r="W4397" s="1" t="str">
        <f>IFERROR(__xludf.DUMMYFUNCTION("""COMPUTED_VALUE"""),"#N/A")</f>
        <v>#N/A</v>
      </c>
    </row>
    <row r="4398">
      <c r="O4398" s="1" t="str">
        <f>IFERROR(__xludf.DUMMYFUNCTION("""COMPUTED_VALUE"""),"#VALUE!")</f>
        <v>#VALUE!</v>
      </c>
      <c r="P4398" s="1" t="str">
        <f>IFERROR(__xludf.DUMMYFUNCTION("""COMPUTED_VALUE"""),"#N/A")</f>
        <v>#N/A</v>
      </c>
      <c r="Q4398" s="1"/>
      <c r="R4398" s="1"/>
      <c r="S4398" s="1"/>
      <c r="T4398" s="1"/>
      <c r="U4398" s="2">
        <f>IFERROR(__xludf.DUMMYFUNCTION("""COMPUTED_VALUE"""),0.0)</f>
        <v>0</v>
      </c>
      <c r="V4398" s="1" t="str">
        <f>IFERROR(__xludf.DUMMYFUNCTION("""COMPUTED_VALUE"""),"#N/A")</f>
        <v>#N/A</v>
      </c>
      <c r="W4398" s="1" t="str">
        <f>IFERROR(__xludf.DUMMYFUNCTION("""COMPUTED_VALUE"""),"#N/A")</f>
        <v>#N/A</v>
      </c>
    </row>
    <row r="4399">
      <c r="O4399" s="1" t="str">
        <f>IFERROR(__xludf.DUMMYFUNCTION("""COMPUTED_VALUE"""),"#VALUE!")</f>
        <v>#VALUE!</v>
      </c>
      <c r="P4399" s="1" t="str">
        <f>IFERROR(__xludf.DUMMYFUNCTION("""COMPUTED_VALUE"""),"#N/A")</f>
        <v>#N/A</v>
      </c>
      <c r="Q4399" s="1"/>
      <c r="R4399" s="1"/>
      <c r="S4399" s="1"/>
      <c r="T4399" s="1"/>
      <c r="U4399" s="2">
        <f>IFERROR(__xludf.DUMMYFUNCTION("""COMPUTED_VALUE"""),0.0)</f>
        <v>0</v>
      </c>
      <c r="V4399" s="1" t="str">
        <f>IFERROR(__xludf.DUMMYFUNCTION("""COMPUTED_VALUE"""),"#N/A")</f>
        <v>#N/A</v>
      </c>
      <c r="W4399" s="1" t="str">
        <f>IFERROR(__xludf.DUMMYFUNCTION("""COMPUTED_VALUE"""),"#N/A")</f>
        <v>#N/A</v>
      </c>
    </row>
    <row r="4400">
      <c r="O4400" s="1" t="str">
        <f>IFERROR(__xludf.DUMMYFUNCTION("""COMPUTED_VALUE"""),"#VALUE!")</f>
        <v>#VALUE!</v>
      </c>
      <c r="P4400" s="1" t="str">
        <f>IFERROR(__xludf.DUMMYFUNCTION("""COMPUTED_VALUE"""),"#N/A")</f>
        <v>#N/A</v>
      </c>
      <c r="Q4400" s="1"/>
      <c r="R4400" s="1"/>
      <c r="S4400" s="1"/>
      <c r="T4400" s="1"/>
      <c r="U4400" s="2">
        <f>IFERROR(__xludf.DUMMYFUNCTION("""COMPUTED_VALUE"""),0.0)</f>
        <v>0</v>
      </c>
      <c r="V4400" s="1" t="str">
        <f>IFERROR(__xludf.DUMMYFUNCTION("""COMPUTED_VALUE"""),"#N/A")</f>
        <v>#N/A</v>
      </c>
      <c r="W4400" s="1" t="str">
        <f>IFERROR(__xludf.DUMMYFUNCTION("""COMPUTED_VALUE"""),"#N/A")</f>
        <v>#N/A</v>
      </c>
    </row>
    <row r="4401">
      <c r="O4401" s="1" t="str">
        <f>IFERROR(__xludf.DUMMYFUNCTION("""COMPUTED_VALUE"""),"#VALUE!")</f>
        <v>#VALUE!</v>
      </c>
      <c r="P4401" s="1" t="str">
        <f>IFERROR(__xludf.DUMMYFUNCTION("""COMPUTED_VALUE"""),"#N/A")</f>
        <v>#N/A</v>
      </c>
      <c r="Q4401" s="1"/>
      <c r="R4401" s="1"/>
      <c r="S4401" s="1"/>
      <c r="T4401" s="1"/>
      <c r="U4401" s="2">
        <f>IFERROR(__xludf.DUMMYFUNCTION("""COMPUTED_VALUE"""),0.0)</f>
        <v>0</v>
      </c>
      <c r="V4401" s="1" t="str">
        <f>IFERROR(__xludf.DUMMYFUNCTION("""COMPUTED_VALUE"""),"#N/A")</f>
        <v>#N/A</v>
      </c>
      <c r="W4401" s="1" t="str">
        <f>IFERROR(__xludf.DUMMYFUNCTION("""COMPUTED_VALUE"""),"#N/A")</f>
        <v>#N/A</v>
      </c>
    </row>
    <row r="4402">
      <c r="O4402" s="1" t="str">
        <f>IFERROR(__xludf.DUMMYFUNCTION("""COMPUTED_VALUE"""),"#VALUE!")</f>
        <v>#VALUE!</v>
      </c>
      <c r="P4402" s="1" t="str">
        <f>IFERROR(__xludf.DUMMYFUNCTION("""COMPUTED_VALUE"""),"#N/A")</f>
        <v>#N/A</v>
      </c>
      <c r="Q4402" s="1"/>
      <c r="R4402" s="1"/>
      <c r="S4402" s="1"/>
      <c r="T4402" s="1"/>
      <c r="U4402" s="2">
        <f>IFERROR(__xludf.DUMMYFUNCTION("""COMPUTED_VALUE"""),0.0)</f>
        <v>0</v>
      </c>
      <c r="V4402" s="1" t="str">
        <f>IFERROR(__xludf.DUMMYFUNCTION("""COMPUTED_VALUE"""),"#N/A")</f>
        <v>#N/A</v>
      </c>
      <c r="W4402" s="1" t="str">
        <f>IFERROR(__xludf.DUMMYFUNCTION("""COMPUTED_VALUE"""),"#N/A")</f>
        <v>#N/A</v>
      </c>
    </row>
    <row r="4403">
      <c r="O4403" s="1" t="str">
        <f>IFERROR(__xludf.DUMMYFUNCTION("""COMPUTED_VALUE"""),"#VALUE!")</f>
        <v>#VALUE!</v>
      </c>
      <c r="P4403" s="1" t="str">
        <f>IFERROR(__xludf.DUMMYFUNCTION("""COMPUTED_VALUE"""),"#N/A")</f>
        <v>#N/A</v>
      </c>
      <c r="Q4403" s="1"/>
      <c r="R4403" s="1"/>
      <c r="S4403" s="1"/>
      <c r="T4403" s="1"/>
      <c r="U4403" s="2">
        <f>IFERROR(__xludf.DUMMYFUNCTION("""COMPUTED_VALUE"""),0.0)</f>
        <v>0</v>
      </c>
      <c r="V4403" s="1" t="str">
        <f>IFERROR(__xludf.DUMMYFUNCTION("""COMPUTED_VALUE"""),"#N/A")</f>
        <v>#N/A</v>
      </c>
      <c r="W4403" s="1" t="str">
        <f>IFERROR(__xludf.DUMMYFUNCTION("""COMPUTED_VALUE"""),"#N/A")</f>
        <v>#N/A</v>
      </c>
    </row>
    <row r="4404">
      <c r="O4404" s="1" t="str">
        <f>IFERROR(__xludf.DUMMYFUNCTION("""COMPUTED_VALUE"""),"#VALUE!")</f>
        <v>#VALUE!</v>
      </c>
      <c r="P4404" s="1" t="str">
        <f>IFERROR(__xludf.DUMMYFUNCTION("""COMPUTED_VALUE"""),"#N/A")</f>
        <v>#N/A</v>
      </c>
      <c r="Q4404" s="1"/>
      <c r="R4404" s="1"/>
      <c r="S4404" s="1"/>
      <c r="T4404" s="1"/>
      <c r="U4404" s="2">
        <f>IFERROR(__xludf.DUMMYFUNCTION("""COMPUTED_VALUE"""),0.0)</f>
        <v>0</v>
      </c>
      <c r="V4404" s="1" t="str">
        <f>IFERROR(__xludf.DUMMYFUNCTION("""COMPUTED_VALUE"""),"#N/A")</f>
        <v>#N/A</v>
      </c>
      <c r="W4404" s="1" t="str">
        <f>IFERROR(__xludf.DUMMYFUNCTION("""COMPUTED_VALUE"""),"#N/A")</f>
        <v>#N/A</v>
      </c>
    </row>
    <row r="4405">
      <c r="O4405" s="1" t="str">
        <f>IFERROR(__xludf.DUMMYFUNCTION("""COMPUTED_VALUE"""),"#VALUE!")</f>
        <v>#VALUE!</v>
      </c>
      <c r="P4405" s="1" t="str">
        <f>IFERROR(__xludf.DUMMYFUNCTION("""COMPUTED_VALUE"""),"#N/A")</f>
        <v>#N/A</v>
      </c>
      <c r="Q4405" s="1"/>
      <c r="R4405" s="1"/>
      <c r="S4405" s="1"/>
      <c r="T4405" s="1"/>
      <c r="U4405" s="2">
        <f>IFERROR(__xludf.DUMMYFUNCTION("""COMPUTED_VALUE"""),0.0)</f>
        <v>0</v>
      </c>
      <c r="V4405" s="1" t="str">
        <f>IFERROR(__xludf.DUMMYFUNCTION("""COMPUTED_VALUE"""),"#N/A")</f>
        <v>#N/A</v>
      </c>
      <c r="W4405" s="1" t="str">
        <f>IFERROR(__xludf.DUMMYFUNCTION("""COMPUTED_VALUE"""),"#N/A")</f>
        <v>#N/A</v>
      </c>
    </row>
    <row r="4406">
      <c r="O4406" s="1" t="str">
        <f>IFERROR(__xludf.DUMMYFUNCTION("""COMPUTED_VALUE"""),"#VALUE!")</f>
        <v>#VALUE!</v>
      </c>
      <c r="P4406" s="1" t="str">
        <f>IFERROR(__xludf.DUMMYFUNCTION("""COMPUTED_VALUE"""),"#N/A")</f>
        <v>#N/A</v>
      </c>
      <c r="Q4406" s="1"/>
      <c r="R4406" s="1"/>
      <c r="S4406" s="1"/>
      <c r="T4406" s="1"/>
      <c r="U4406" s="2">
        <f>IFERROR(__xludf.DUMMYFUNCTION("""COMPUTED_VALUE"""),0.0)</f>
        <v>0</v>
      </c>
      <c r="V4406" s="1" t="str">
        <f>IFERROR(__xludf.DUMMYFUNCTION("""COMPUTED_VALUE"""),"#N/A")</f>
        <v>#N/A</v>
      </c>
      <c r="W4406" s="1" t="str">
        <f>IFERROR(__xludf.DUMMYFUNCTION("""COMPUTED_VALUE"""),"#N/A")</f>
        <v>#N/A</v>
      </c>
    </row>
    <row r="4407">
      <c r="O4407" s="1" t="str">
        <f>IFERROR(__xludf.DUMMYFUNCTION("""COMPUTED_VALUE"""),"#VALUE!")</f>
        <v>#VALUE!</v>
      </c>
      <c r="P4407" s="1" t="str">
        <f>IFERROR(__xludf.DUMMYFUNCTION("""COMPUTED_VALUE"""),"#N/A")</f>
        <v>#N/A</v>
      </c>
      <c r="Q4407" s="1"/>
      <c r="R4407" s="1"/>
      <c r="S4407" s="1"/>
      <c r="T4407" s="1"/>
      <c r="U4407" s="2">
        <f>IFERROR(__xludf.DUMMYFUNCTION("""COMPUTED_VALUE"""),0.0)</f>
        <v>0</v>
      </c>
      <c r="V4407" s="1" t="str">
        <f>IFERROR(__xludf.DUMMYFUNCTION("""COMPUTED_VALUE"""),"#N/A")</f>
        <v>#N/A</v>
      </c>
      <c r="W4407" s="1" t="str">
        <f>IFERROR(__xludf.DUMMYFUNCTION("""COMPUTED_VALUE"""),"#N/A")</f>
        <v>#N/A</v>
      </c>
    </row>
    <row r="4408">
      <c r="O4408" s="1" t="str">
        <f>IFERROR(__xludf.DUMMYFUNCTION("""COMPUTED_VALUE"""),"#VALUE!")</f>
        <v>#VALUE!</v>
      </c>
      <c r="P4408" s="1" t="str">
        <f>IFERROR(__xludf.DUMMYFUNCTION("""COMPUTED_VALUE"""),"#N/A")</f>
        <v>#N/A</v>
      </c>
      <c r="Q4408" s="1"/>
      <c r="R4408" s="1"/>
      <c r="S4408" s="1"/>
      <c r="T4408" s="1"/>
      <c r="U4408" s="2">
        <f>IFERROR(__xludf.DUMMYFUNCTION("""COMPUTED_VALUE"""),0.0)</f>
        <v>0</v>
      </c>
      <c r="V4408" s="1" t="str">
        <f>IFERROR(__xludf.DUMMYFUNCTION("""COMPUTED_VALUE"""),"#N/A")</f>
        <v>#N/A</v>
      </c>
      <c r="W4408" s="1" t="str">
        <f>IFERROR(__xludf.DUMMYFUNCTION("""COMPUTED_VALUE"""),"#N/A")</f>
        <v>#N/A</v>
      </c>
    </row>
    <row r="4409">
      <c r="O4409" s="1" t="str">
        <f>IFERROR(__xludf.DUMMYFUNCTION("""COMPUTED_VALUE"""),"#VALUE!")</f>
        <v>#VALUE!</v>
      </c>
      <c r="P4409" s="1" t="str">
        <f>IFERROR(__xludf.DUMMYFUNCTION("""COMPUTED_VALUE"""),"#N/A")</f>
        <v>#N/A</v>
      </c>
      <c r="Q4409" s="1"/>
      <c r="R4409" s="1"/>
      <c r="S4409" s="1"/>
      <c r="T4409" s="1"/>
      <c r="U4409" s="2">
        <f>IFERROR(__xludf.DUMMYFUNCTION("""COMPUTED_VALUE"""),0.0)</f>
        <v>0</v>
      </c>
      <c r="V4409" s="1" t="str">
        <f>IFERROR(__xludf.DUMMYFUNCTION("""COMPUTED_VALUE"""),"#N/A")</f>
        <v>#N/A</v>
      </c>
      <c r="W4409" s="1" t="str">
        <f>IFERROR(__xludf.DUMMYFUNCTION("""COMPUTED_VALUE"""),"#N/A")</f>
        <v>#N/A</v>
      </c>
    </row>
    <row r="4410">
      <c r="O4410" s="1" t="str">
        <f>IFERROR(__xludf.DUMMYFUNCTION("""COMPUTED_VALUE"""),"#VALUE!")</f>
        <v>#VALUE!</v>
      </c>
      <c r="P4410" s="1" t="str">
        <f>IFERROR(__xludf.DUMMYFUNCTION("""COMPUTED_VALUE"""),"#N/A")</f>
        <v>#N/A</v>
      </c>
      <c r="Q4410" s="1"/>
      <c r="R4410" s="1"/>
      <c r="S4410" s="1"/>
      <c r="T4410" s="1"/>
      <c r="U4410" s="2">
        <f>IFERROR(__xludf.DUMMYFUNCTION("""COMPUTED_VALUE"""),0.0)</f>
        <v>0</v>
      </c>
      <c r="V4410" s="1" t="str">
        <f>IFERROR(__xludf.DUMMYFUNCTION("""COMPUTED_VALUE"""),"#N/A")</f>
        <v>#N/A</v>
      </c>
      <c r="W4410" s="1" t="str">
        <f>IFERROR(__xludf.DUMMYFUNCTION("""COMPUTED_VALUE"""),"#N/A")</f>
        <v>#N/A</v>
      </c>
    </row>
    <row r="4411">
      <c r="O4411" s="1" t="str">
        <f>IFERROR(__xludf.DUMMYFUNCTION("""COMPUTED_VALUE"""),"#VALUE!")</f>
        <v>#VALUE!</v>
      </c>
      <c r="P4411" s="1" t="str">
        <f>IFERROR(__xludf.DUMMYFUNCTION("""COMPUTED_VALUE"""),"#N/A")</f>
        <v>#N/A</v>
      </c>
      <c r="Q4411" s="1"/>
      <c r="R4411" s="1"/>
      <c r="S4411" s="1"/>
      <c r="T4411" s="1"/>
      <c r="U4411" s="2">
        <f>IFERROR(__xludf.DUMMYFUNCTION("""COMPUTED_VALUE"""),0.0)</f>
        <v>0</v>
      </c>
      <c r="V4411" s="1" t="str">
        <f>IFERROR(__xludf.DUMMYFUNCTION("""COMPUTED_VALUE"""),"#N/A")</f>
        <v>#N/A</v>
      </c>
      <c r="W4411" s="1" t="str">
        <f>IFERROR(__xludf.DUMMYFUNCTION("""COMPUTED_VALUE"""),"#N/A")</f>
        <v>#N/A</v>
      </c>
    </row>
    <row r="4412">
      <c r="O4412" s="1" t="str">
        <f>IFERROR(__xludf.DUMMYFUNCTION("""COMPUTED_VALUE"""),"#VALUE!")</f>
        <v>#VALUE!</v>
      </c>
      <c r="P4412" s="1" t="str">
        <f>IFERROR(__xludf.DUMMYFUNCTION("""COMPUTED_VALUE"""),"#N/A")</f>
        <v>#N/A</v>
      </c>
      <c r="Q4412" s="1"/>
      <c r="R4412" s="1"/>
      <c r="S4412" s="1"/>
      <c r="T4412" s="1"/>
      <c r="U4412" s="2">
        <f>IFERROR(__xludf.DUMMYFUNCTION("""COMPUTED_VALUE"""),0.0)</f>
        <v>0</v>
      </c>
      <c r="V4412" s="1" t="str">
        <f>IFERROR(__xludf.DUMMYFUNCTION("""COMPUTED_VALUE"""),"#N/A")</f>
        <v>#N/A</v>
      </c>
      <c r="W4412" s="1" t="str">
        <f>IFERROR(__xludf.DUMMYFUNCTION("""COMPUTED_VALUE"""),"#N/A")</f>
        <v>#N/A</v>
      </c>
    </row>
    <row r="4413">
      <c r="O4413" s="1" t="str">
        <f>IFERROR(__xludf.DUMMYFUNCTION("""COMPUTED_VALUE"""),"#VALUE!")</f>
        <v>#VALUE!</v>
      </c>
      <c r="P4413" s="1" t="str">
        <f>IFERROR(__xludf.DUMMYFUNCTION("""COMPUTED_VALUE"""),"#N/A")</f>
        <v>#N/A</v>
      </c>
      <c r="Q4413" s="1"/>
      <c r="R4413" s="1"/>
      <c r="S4413" s="1"/>
      <c r="T4413" s="1"/>
      <c r="U4413" s="2">
        <f>IFERROR(__xludf.DUMMYFUNCTION("""COMPUTED_VALUE"""),0.0)</f>
        <v>0</v>
      </c>
      <c r="V4413" s="1" t="str">
        <f>IFERROR(__xludf.DUMMYFUNCTION("""COMPUTED_VALUE"""),"#N/A")</f>
        <v>#N/A</v>
      </c>
      <c r="W4413" s="1" t="str">
        <f>IFERROR(__xludf.DUMMYFUNCTION("""COMPUTED_VALUE"""),"#N/A")</f>
        <v>#N/A</v>
      </c>
    </row>
    <row r="4414">
      <c r="O4414" s="1" t="str">
        <f>IFERROR(__xludf.DUMMYFUNCTION("""COMPUTED_VALUE"""),"#VALUE!")</f>
        <v>#VALUE!</v>
      </c>
      <c r="P4414" s="1" t="str">
        <f>IFERROR(__xludf.DUMMYFUNCTION("""COMPUTED_VALUE"""),"#N/A")</f>
        <v>#N/A</v>
      </c>
      <c r="Q4414" s="1"/>
      <c r="R4414" s="1"/>
      <c r="S4414" s="1"/>
      <c r="T4414" s="1"/>
      <c r="U4414" s="2">
        <f>IFERROR(__xludf.DUMMYFUNCTION("""COMPUTED_VALUE"""),0.0)</f>
        <v>0</v>
      </c>
      <c r="V4414" s="1" t="str">
        <f>IFERROR(__xludf.DUMMYFUNCTION("""COMPUTED_VALUE"""),"#N/A")</f>
        <v>#N/A</v>
      </c>
      <c r="W4414" s="1" t="str">
        <f>IFERROR(__xludf.DUMMYFUNCTION("""COMPUTED_VALUE"""),"#N/A")</f>
        <v>#N/A</v>
      </c>
    </row>
    <row r="4415">
      <c r="O4415" s="1" t="str">
        <f>IFERROR(__xludf.DUMMYFUNCTION("""COMPUTED_VALUE"""),"#VALUE!")</f>
        <v>#VALUE!</v>
      </c>
      <c r="P4415" s="1" t="str">
        <f>IFERROR(__xludf.DUMMYFUNCTION("""COMPUTED_VALUE"""),"#N/A")</f>
        <v>#N/A</v>
      </c>
      <c r="Q4415" s="1"/>
      <c r="R4415" s="1"/>
      <c r="S4415" s="1"/>
      <c r="T4415" s="1"/>
      <c r="U4415" s="2">
        <f>IFERROR(__xludf.DUMMYFUNCTION("""COMPUTED_VALUE"""),0.0)</f>
        <v>0</v>
      </c>
      <c r="V4415" s="1" t="str">
        <f>IFERROR(__xludf.DUMMYFUNCTION("""COMPUTED_VALUE"""),"#N/A")</f>
        <v>#N/A</v>
      </c>
      <c r="W4415" s="1" t="str">
        <f>IFERROR(__xludf.DUMMYFUNCTION("""COMPUTED_VALUE"""),"#N/A")</f>
        <v>#N/A</v>
      </c>
    </row>
    <row r="4416">
      <c r="O4416" s="1" t="str">
        <f>IFERROR(__xludf.DUMMYFUNCTION("""COMPUTED_VALUE"""),"#VALUE!")</f>
        <v>#VALUE!</v>
      </c>
      <c r="P4416" s="1" t="str">
        <f>IFERROR(__xludf.DUMMYFUNCTION("""COMPUTED_VALUE"""),"#N/A")</f>
        <v>#N/A</v>
      </c>
      <c r="Q4416" s="1"/>
      <c r="R4416" s="1"/>
      <c r="S4416" s="1"/>
      <c r="T4416" s="1"/>
      <c r="U4416" s="2">
        <f>IFERROR(__xludf.DUMMYFUNCTION("""COMPUTED_VALUE"""),0.0)</f>
        <v>0</v>
      </c>
      <c r="V4416" s="1" t="str">
        <f>IFERROR(__xludf.DUMMYFUNCTION("""COMPUTED_VALUE"""),"#N/A")</f>
        <v>#N/A</v>
      </c>
      <c r="W4416" s="1" t="str">
        <f>IFERROR(__xludf.DUMMYFUNCTION("""COMPUTED_VALUE"""),"#N/A")</f>
        <v>#N/A</v>
      </c>
    </row>
    <row r="4417">
      <c r="O4417" s="1" t="str">
        <f>IFERROR(__xludf.DUMMYFUNCTION("""COMPUTED_VALUE"""),"#VALUE!")</f>
        <v>#VALUE!</v>
      </c>
      <c r="P4417" s="1" t="str">
        <f>IFERROR(__xludf.DUMMYFUNCTION("""COMPUTED_VALUE"""),"#N/A")</f>
        <v>#N/A</v>
      </c>
      <c r="Q4417" s="1"/>
      <c r="R4417" s="1"/>
      <c r="S4417" s="1"/>
      <c r="T4417" s="1"/>
      <c r="U4417" s="2">
        <f>IFERROR(__xludf.DUMMYFUNCTION("""COMPUTED_VALUE"""),0.0)</f>
        <v>0</v>
      </c>
      <c r="V4417" s="1" t="str">
        <f>IFERROR(__xludf.DUMMYFUNCTION("""COMPUTED_VALUE"""),"#N/A")</f>
        <v>#N/A</v>
      </c>
      <c r="W4417" s="1" t="str">
        <f>IFERROR(__xludf.DUMMYFUNCTION("""COMPUTED_VALUE"""),"#N/A")</f>
        <v>#N/A</v>
      </c>
    </row>
    <row r="4418">
      <c r="O4418" s="1" t="str">
        <f>IFERROR(__xludf.DUMMYFUNCTION("""COMPUTED_VALUE"""),"#VALUE!")</f>
        <v>#VALUE!</v>
      </c>
      <c r="P4418" s="1" t="str">
        <f>IFERROR(__xludf.DUMMYFUNCTION("""COMPUTED_VALUE"""),"#N/A")</f>
        <v>#N/A</v>
      </c>
      <c r="Q4418" s="1"/>
      <c r="R4418" s="1"/>
      <c r="S4418" s="1"/>
      <c r="T4418" s="1"/>
      <c r="U4418" s="2">
        <f>IFERROR(__xludf.DUMMYFUNCTION("""COMPUTED_VALUE"""),0.0)</f>
        <v>0</v>
      </c>
      <c r="V4418" s="1" t="str">
        <f>IFERROR(__xludf.DUMMYFUNCTION("""COMPUTED_VALUE"""),"#N/A")</f>
        <v>#N/A</v>
      </c>
      <c r="W4418" s="1" t="str">
        <f>IFERROR(__xludf.DUMMYFUNCTION("""COMPUTED_VALUE"""),"#N/A")</f>
        <v>#N/A</v>
      </c>
    </row>
    <row r="4419">
      <c r="O4419" s="1" t="str">
        <f>IFERROR(__xludf.DUMMYFUNCTION("""COMPUTED_VALUE"""),"#VALUE!")</f>
        <v>#VALUE!</v>
      </c>
      <c r="P4419" s="1" t="str">
        <f>IFERROR(__xludf.DUMMYFUNCTION("""COMPUTED_VALUE"""),"#N/A")</f>
        <v>#N/A</v>
      </c>
      <c r="Q4419" s="1"/>
      <c r="R4419" s="1"/>
      <c r="S4419" s="1"/>
      <c r="T4419" s="1"/>
      <c r="U4419" s="2">
        <f>IFERROR(__xludf.DUMMYFUNCTION("""COMPUTED_VALUE"""),0.0)</f>
        <v>0</v>
      </c>
      <c r="V4419" s="1" t="str">
        <f>IFERROR(__xludf.DUMMYFUNCTION("""COMPUTED_VALUE"""),"#N/A")</f>
        <v>#N/A</v>
      </c>
      <c r="W4419" s="1" t="str">
        <f>IFERROR(__xludf.DUMMYFUNCTION("""COMPUTED_VALUE"""),"#N/A")</f>
        <v>#N/A</v>
      </c>
    </row>
    <row r="4420">
      <c r="O4420" s="1" t="str">
        <f>IFERROR(__xludf.DUMMYFUNCTION("""COMPUTED_VALUE"""),"#VALUE!")</f>
        <v>#VALUE!</v>
      </c>
      <c r="P4420" s="1" t="str">
        <f>IFERROR(__xludf.DUMMYFUNCTION("""COMPUTED_VALUE"""),"#N/A")</f>
        <v>#N/A</v>
      </c>
      <c r="Q4420" s="1"/>
      <c r="R4420" s="1"/>
      <c r="S4420" s="1"/>
      <c r="T4420" s="1"/>
      <c r="U4420" s="2">
        <f>IFERROR(__xludf.DUMMYFUNCTION("""COMPUTED_VALUE"""),0.0)</f>
        <v>0</v>
      </c>
      <c r="V4420" s="1" t="str">
        <f>IFERROR(__xludf.DUMMYFUNCTION("""COMPUTED_VALUE"""),"#N/A")</f>
        <v>#N/A</v>
      </c>
      <c r="W4420" s="1" t="str">
        <f>IFERROR(__xludf.DUMMYFUNCTION("""COMPUTED_VALUE"""),"#N/A")</f>
        <v>#N/A</v>
      </c>
    </row>
    <row r="4421">
      <c r="O4421" s="1" t="str">
        <f>IFERROR(__xludf.DUMMYFUNCTION("""COMPUTED_VALUE"""),"#VALUE!")</f>
        <v>#VALUE!</v>
      </c>
      <c r="P4421" s="1" t="str">
        <f>IFERROR(__xludf.DUMMYFUNCTION("""COMPUTED_VALUE"""),"#N/A")</f>
        <v>#N/A</v>
      </c>
      <c r="Q4421" s="1"/>
      <c r="R4421" s="1"/>
      <c r="S4421" s="1"/>
      <c r="T4421" s="1"/>
      <c r="U4421" s="2">
        <f>IFERROR(__xludf.DUMMYFUNCTION("""COMPUTED_VALUE"""),0.0)</f>
        <v>0</v>
      </c>
      <c r="V4421" s="1" t="str">
        <f>IFERROR(__xludf.DUMMYFUNCTION("""COMPUTED_VALUE"""),"#N/A")</f>
        <v>#N/A</v>
      </c>
      <c r="W4421" s="1" t="str">
        <f>IFERROR(__xludf.DUMMYFUNCTION("""COMPUTED_VALUE"""),"#N/A")</f>
        <v>#N/A</v>
      </c>
    </row>
    <row r="4422">
      <c r="O4422" s="1" t="str">
        <f>IFERROR(__xludf.DUMMYFUNCTION("""COMPUTED_VALUE"""),"#VALUE!")</f>
        <v>#VALUE!</v>
      </c>
      <c r="P4422" s="1" t="str">
        <f>IFERROR(__xludf.DUMMYFUNCTION("""COMPUTED_VALUE"""),"#N/A")</f>
        <v>#N/A</v>
      </c>
      <c r="Q4422" s="1"/>
      <c r="R4422" s="1"/>
      <c r="S4422" s="1"/>
      <c r="T4422" s="1"/>
      <c r="U4422" s="2">
        <f>IFERROR(__xludf.DUMMYFUNCTION("""COMPUTED_VALUE"""),0.0)</f>
        <v>0</v>
      </c>
      <c r="V4422" s="1" t="str">
        <f>IFERROR(__xludf.DUMMYFUNCTION("""COMPUTED_VALUE"""),"#N/A")</f>
        <v>#N/A</v>
      </c>
      <c r="W4422" s="1" t="str">
        <f>IFERROR(__xludf.DUMMYFUNCTION("""COMPUTED_VALUE"""),"#N/A")</f>
        <v>#N/A</v>
      </c>
    </row>
    <row r="4423">
      <c r="O4423" s="1" t="str">
        <f>IFERROR(__xludf.DUMMYFUNCTION("""COMPUTED_VALUE"""),"#VALUE!")</f>
        <v>#VALUE!</v>
      </c>
      <c r="P4423" s="1" t="str">
        <f>IFERROR(__xludf.DUMMYFUNCTION("""COMPUTED_VALUE"""),"#N/A")</f>
        <v>#N/A</v>
      </c>
      <c r="Q4423" s="1"/>
      <c r="R4423" s="1"/>
      <c r="S4423" s="1"/>
      <c r="T4423" s="1"/>
      <c r="U4423" s="2">
        <f>IFERROR(__xludf.DUMMYFUNCTION("""COMPUTED_VALUE"""),0.0)</f>
        <v>0</v>
      </c>
      <c r="V4423" s="1" t="str">
        <f>IFERROR(__xludf.DUMMYFUNCTION("""COMPUTED_VALUE"""),"#N/A")</f>
        <v>#N/A</v>
      </c>
      <c r="W4423" s="1" t="str">
        <f>IFERROR(__xludf.DUMMYFUNCTION("""COMPUTED_VALUE"""),"#N/A")</f>
        <v>#N/A</v>
      </c>
    </row>
    <row r="4424">
      <c r="O4424" s="1" t="str">
        <f>IFERROR(__xludf.DUMMYFUNCTION("""COMPUTED_VALUE"""),"#VALUE!")</f>
        <v>#VALUE!</v>
      </c>
      <c r="P4424" s="1" t="str">
        <f>IFERROR(__xludf.DUMMYFUNCTION("""COMPUTED_VALUE"""),"#N/A")</f>
        <v>#N/A</v>
      </c>
      <c r="Q4424" s="1"/>
      <c r="R4424" s="1"/>
      <c r="S4424" s="1"/>
      <c r="T4424" s="1"/>
      <c r="U4424" s="2">
        <f>IFERROR(__xludf.DUMMYFUNCTION("""COMPUTED_VALUE"""),0.0)</f>
        <v>0</v>
      </c>
      <c r="V4424" s="1" t="str">
        <f>IFERROR(__xludf.DUMMYFUNCTION("""COMPUTED_VALUE"""),"#N/A")</f>
        <v>#N/A</v>
      </c>
      <c r="W4424" s="1" t="str">
        <f>IFERROR(__xludf.DUMMYFUNCTION("""COMPUTED_VALUE"""),"#N/A")</f>
        <v>#N/A</v>
      </c>
    </row>
    <row r="4425">
      <c r="O4425" s="1" t="str">
        <f>IFERROR(__xludf.DUMMYFUNCTION("""COMPUTED_VALUE"""),"#VALUE!")</f>
        <v>#VALUE!</v>
      </c>
      <c r="P4425" s="1" t="str">
        <f>IFERROR(__xludf.DUMMYFUNCTION("""COMPUTED_VALUE"""),"#N/A")</f>
        <v>#N/A</v>
      </c>
      <c r="Q4425" s="1"/>
      <c r="R4425" s="1"/>
      <c r="S4425" s="1"/>
      <c r="T4425" s="1"/>
      <c r="U4425" s="2">
        <f>IFERROR(__xludf.DUMMYFUNCTION("""COMPUTED_VALUE"""),0.0)</f>
        <v>0</v>
      </c>
      <c r="V4425" s="1" t="str">
        <f>IFERROR(__xludf.DUMMYFUNCTION("""COMPUTED_VALUE"""),"#N/A")</f>
        <v>#N/A</v>
      </c>
      <c r="W4425" s="1" t="str">
        <f>IFERROR(__xludf.DUMMYFUNCTION("""COMPUTED_VALUE"""),"#N/A")</f>
        <v>#N/A</v>
      </c>
    </row>
    <row r="4426">
      <c r="O4426" s="1" t="str">
        <f>IFERROR(__xludf.DUMMYFUNCTION("""COMPUTED_VALUE"""),"#VALUE!")</f>
        <v>#VALUE!</v>
      </c>
      <c r="P4426" s="1" t="str">
        <f>IFERROR(__xludf.DUMMYFUNCTION("""COMPUTED_VALUE"""),"#N/A")</f>
        <v>#N/A</v>
      </c>
      <c r="Q4426" s="1"/>
      <c r="R4426" s="1"/>
      <c r="S4426" s="1"/>
      <c r="T4426" s="1"/>
      <c r="U4426" s="2">
        <f>IFERROR(__xludf.DUMMYFUNCTION("""COMPUTED_VALUE"""),0.0)</f>
        <v>0</v>
      </c>
      <c r="V4426" s="1" t="str">
        <f>IFERROR(__xludf.DUMMYFUNCTION("""COMPUTED_VALUE"""),"#N/A")</f>
        <v>#N/A</v>
      </c>
      <c r="W4426" s="1" t="str">
        <f>IFERROR(__xludf.DUMMYFUNCTION("""COMPUTED_VALUE"""),"#N/A")</f>
        <v>#N/A</v>
      </c>
    </row>
    <row r="4427">
      <c r="O4427" s="1" t="str">
        <f>IFERROR(__xludf.DUMMYFUNCTION("""COMPUTED_VALUE"""),"#VALUE!")</f>
        <v>#VALUE!</v>
      </c>
      <c r="P4427" s="1" t="str">
        <f>IFERROR(__xludf.DUMMYFUNCTION("""COMPUTED_VALUE"""),"#N/A")</f>
        <v>#N/A</v>
      </c>
      <c r="Q4427" s="1"/>
      <c r="R4427" s="1"/>
      <c r="S4427" s="1"/>
      <c r="T4427" s="1"/>
      <c r="U4427" s="2">
        <f>IFERROR(__xludf.DUMMYFUNCTION("""COMPUTED_VALUE"""),0.0)</f>
        <v>0</v>
      </c>
      <c r="V4427" s="1" t="str">
        <f>IFERROR(__xludf.DUMMYFUNCTION("""COMPUTED_VALUE"""),"#N/A")</f>
        <v>#N/A</v>
      </c>
      <c r="W4427" s="1" t="str">
        <f>IFERROR(__xludf.DUMMYFUNCTION("""COMPUTED_VALUE"""),"#N/A")</f>
        <v>#N/A</v>
      </c>
    </row>
    <row r="4428">
      <c r="O4428" s="1" t="str">
        <f>IFERROR(__xludf.DUMMYFUNCTION("""COMPUTED_VALUE"""),"#VALUE!")</f>
        <v>#VALUE!</v>
      </c>
      <c r="P4428" s="1" t="str">
        <f>IFERROR(__xludf.DUMMYFUNCTION("""COMPUTED_VALUE"""),"#N/A")</f>
        <v>#N/A</v>
      </c>
      <c r="Q4428" s="1"/>
      <c r="R4428" s="1"/>
      <c r="S4428" s="1"/>
      <c r="T4428" s="1"/>
      <c r="U4428" s="2">
        <f>IFERROR(__xludf.DUMMYFUNCTION("""COMPUTED_VALUE"""),0.0)</f>
        <v>0</v>
      </c>
      <c r="V4428" s="1" t="str">
        <f>IFERROR(__xludf.DUMMYFUNCTION("""COMPUTED_VALUE"""),"#N/A")</f>
        <v>#N/A</v>
      </c>
      <c r="W4428" s="1" t="str">
        <f>IFERROR(__xludf.DUMMYFUNCTION("""COMPUTED_VALUE"""),"#N/A")</f>
        <v>#N/A</v>
      </c>
    </row>
    <row r="4429">
      <c r="O4429" s="1" t="str">
        <f>IFERROR(__xludf.DUMMYFUNCTION("""COMPUTED_VALUE"""),"#VALUE!")</f>
        <v>#VALUE!</v>
      </c>
      <c r="P4429" s="1" t="str">
        <f>IFERROR(__xludf.DUMMYFUNCTION("""COMPUTED_VALUE"""),"#N/A")</f>
        <v>#N/A</v>
      </c>
      <c r="Q4429" s="1"/>
      <c r="R4429" s="1"/>
      <c r="S4429" s="1"/>
      <c r="T4429" s="1"/>
      <c r="U4429" s="2">
        <f>IFERROR(__xludf.DUMMYFUNCTION("""COMPUTED_VALUE"""),0.0)</f>
        <v>0</v>
      </c>
      <c r="V4429" s="1" t="str">
        <f>IFERROR(__xludf.DUMMYFUNCTION("""COMPUTED_VALUE"""),"#N/A")</f>
        <v>#N/A</v>
      </c>
      <c r="W4429" s="1" t="str">
        <f>IFERROR(__xludf.DUMMYFUNCTION("""COMPUTED_VALUE"""),"#N/A")</f>
        <v>#N/A</v>
      </c>
    </row>
    <row r="4430">
      <c r="O4430" s="1" t="str">
        <f>IFERROR(__xludf.DUMMYFUNCTION("""COMPUTED_VALUE"""),"#VALUE!")</f>
        <v>#VALUE!</v>
      </c>
      <c r="P4430" s="1" t="str">
        <f>IFERROR(__xludf.DUMMYFUNCTION("""COMPUTED_VALUE"""),"#N/A")</f>
        <v>#N/A</v>
      </c>
      <c r="Q4430" s="1"/>
      <c r="R4430" s="1"/>
      <c r="S4430" s="1"/>
      <c r="T4430" s="1"/>
      <c r="U4430" s="2">
        <f>IFERROR(__xludf.DUMMYFUNCTION("""COMPUTED_VALUE"""),0.0)</f>
        <v>0</v>
      </c>
      <c r="V4430" s="1" t="str">
        <f>IFERROR(__xludf.DUMMYFUNCTION("""COMPUTED_VALUE"""),"#N/A")</f>
        <v>#N/A</v>
      </c>
      <c r="W4430" s="1" t="str">
        <f>IFERROR(__xludf.DUMMYFUNCTION("""COMPUTED_VALUE"""),"#N/A")</f>
        <v>#N/A</v>
      </c>
    </row>
    <row r="4431">
      <c r="O4431" s="1" t="str">
        <f>IFERROR(__xludf.DUMMYFUNCTION("""COMPUTED_VALUE"""),"#VALUE!")</f>
        <v>#VALUE!</v>
      </c>
      <c r="P4431" s="1" t="str">
        <f>IFERROR(__xludf.DUMMYFUNCTION("""COMPUTED_VALUE"""),"#N/A")</f>
        <v>#N/A</v>
      </c>
      <c r="Q4431" s="1"/>
      <c r="R4431" s="1"/>
      <c r="S4431" s="1"/>
      <c r="T4431" s="1"/>
      <c r="U4431" s="2">
        <f>IFERROR(__xludf.DUMMYFUNCTION("""COMPUTED_VALUE"""),0.0)</f>
        <v>0</v>
      </c>
      <c r="V4431" s="1" t="str">
        <f>IFERROR(__xludf.DUMMYFUNCTION("""COMPUTED_VALUE"""),"#N/A")</f>
        <v>#N/A</v>
      </c>
      <c r="W4431" s="1" t="str">
        <f>IFERROR(__xludf.DUMMYFUNCTION("""COMPUTED_VALUE"""),"#N/A")</f>
        <v>#N/A</v>
      </c>
    </row>
    <row r="4432">
      <c r="O4432" s="1" t="str">
        <f>IFERROR(__xludf.DUMMYFUNCTION("""COMPUTED_VALUE"""),"#VALUE!")</f>
        <v>#VALUE!</v>
      </c>
      <c r="P4432" s="1" t="str">
        <f>IFERROR(__xludf.DUMMYFUNCTION("""COMPUTED_VALUE"""),"#N/A")</f>
        <v>#N/A</v>
      </c>
      <c r="Q4432" s="1"/>
      <c r="R4432" s="1"/>
      <c r="S4432" s="1"/>
      <c r="T4432" s="1"/>
      <c r="U4432" s="2">
        <f>IFERROR(__xludf.DUMMYFUNCTION("""COMPUTED_VALUE"""),0.0)</f>
        <v>0</v>
      </c>
      <c r="V4432" s="1" t="str">
        <f>IFERROR(__xludf.DUMMYFUNCTION("""COMPUTED_VALUE"""),"#N/A")</f>
        <v>#N/A</v>
      </c>
      <c r="W4432" s="1" t="str">
        <f>IFERROR(__xludf.DUMMYFUNCTION("""COMPUTED_VALUE"""),"#N/A")</f>
        <v>#N/A</v>
      </c>
    </row>
    <row r="4433">
      <c r="O4433" s="1" t="str">
        <f>IFERROR(__xludf.DUMMYFUNCTION("""COMPUTED_VALUE"""),"#VALUE!")</f>
        <v>#VALUE!</v>
      </c>
      <c r="P4433" s="1" t="str">
        <f>IFERROR(__xludf.DUMMYFUNCTION("""COMPUTED_VALUE"""),"#N/A")</f>
        <v>#N/A</v>
      </c>
      <c r="Q4433" s="1"/>
      <c r="R4433" s="1"/>
      <c r="S4433" s="1"/>
      <c r="T4433" s="1"/>
      <c r="U4433" s="2">
        <f>IFERROR(__xludf.DUMMYFUNCTION("""COMPUTED_VALUE"""),0.0)</f>
        <v>0</v>
      </c>
      <c r="V4433" s="1" t="str">
        <f>IFERROR(__xludf.DUMMYFUNCTION("""COMPUTED_VALUE"""),"#N/A")</f>
        <v>#N/A</v>
      </c>
      <c r="W4433" s="1" t="str">
        <f>IFERROR(__xludf.DUMMYFUNCTION("""COMPUTED_VALUE"""),"#N/A")</f>
        <v>#N/A</v>
      </c>
    </row>
    <row r="4434">
      <c r="O4434" s="1" t="str">
        <f>IFERROR(__xludf.DUMMYFUNCTION("""COMPUTED_VALUE"""),"#VALUE!")</f>
        <v>#VALUE!</v>
      </c>
      <c r="P4434" s="1" t="str">
        <f>IFERROR(__xludf.DUMMYFUNCTION("""COMPUTED_VALUE"""),"#N/A")</f>
        <v>#N/A</v>
      </c>
      <c r="Q4434" s="1"/>
      <c r="R4434" s="1"/>
      <c r="S4434" s="1"/>
      <c r="T4434" s="1"/>
      <c r="U4434" s="2">
        <f>IFERROR(__xludf.DUMMYFUNCTION("""COMPUTED_VALUE"""),0.0)</f>
        <v>0</v>
      </c>
      <c r="V4434" s="1" t="str">
        <f>IFERROR(__xludf.DUMMYFUNCTION("""COMPUTED_VALUE"""),"#N/A")</f>
        <v>#N/A</v>
      </c>
      <c r="W4434" s="1" t="str">
        <f>IFERROR(__xludf.DUMMYFUNCTION("""COMPUTED_VALUE"""),"#N/A")</f>
        <v>#N/A</v>
      </c>
    </row>
    <row r="4435">
      <c r="O4435" s="1" t="str">
        <f>IFERROR(__xludf.DUMMYFUNCTION("""COMPUTED_VALUE"""),"#VALUE!")</f>
        <v>#VALUE!</v>
      </c>
      <c r="P4435" s="1" t="str">
        <f>IFERROR(__xludf.DUMMYFUNCTION("""COMPUTED_VALUE"""),"#N/A")</f>
        <v>#N/A</v>
      </c>
      <c r="Q4435" s="1"/>
      <c r="R4435" s="1"/>
      <c r="S4435" s="1"/>
      <c r="T4435" s="1"/>
      <c r="U4435" s="2">
        <f>IFERROR(__xludf.DUMMYFUNCTION("""COMPUTED_VALUE"""),0.0)</f>
        <v>0</v>
      </c>
      <c r="V4435" s="1" t="str">
        <f>IFERROR(__xludf.DUMMYFUNCTION("""COMPUTED_VALUE"""),"#N/A")</f>
        <v>#N/A</v>
      </c>
      <c r="W4435" s="1" t="str">
        <f>IFERROR(__xludf.DUMMYFUNCTION("""COMPUTED_VALUE"""),"#N/A")</f>
        <v>#N/A</v>
      </c>
    </row>
    <row r="4436">
      <c r="O4436" s="1" t="str">
        <f>IFERROR(__xludf.DUMMYFUNCTION("""COMPUTED_VALUE"""),"#VALUE!")</f>
        <v>#VALUE!</v>
      </c>
      <c r="P4436" s="1" t="str">
        <f>IFERROR(__xludf.DUMMYFUNCTION("""COMPUTED_VALUE"""),"#N/A")</f>
        <v>#N/A</v>
      </c>
      <c r="Q4436" s="1"/>
      <c r="R4436" s="1"/>
      <c r="S4436" s="1"/>
      <c r="T4436" s="1"/>
      <c r="U4436" s="2">
        <f>IFERROR(__xludf.DUMMYFUNCTION("""COMPUTED_VALUE"""),0.0)</f>
        <v>0</v>
      </c>
      <c r="V4436" s="1" t="str">
        <f>IFERROR(__xludf.DUMMYFUNCTION("""COMPUTED_VALUE"""),"#N/A")</f>
        <v>#N/A</v>
      </c>
      <c r="W4436" s="1" t="str">
        <f>IFERROR(__xludf.DUMMYFUNCTION("""COMPUTED_VALUE"""),"#N/A")</f>
        <v>#N/A</v>
      </c>
    </row>
    <row r="4437">
      <c r="O4437" s="1" t="str">
        <f>IFERROR(__xludf.DUMMYFUNCTION("""COMPUTED_VALUE"""),"#VALUE!")</f>
        <v>#VALUE!</v>
      </c>
      <c r="P4437" s="1" t="str">
        <f>IFERROR(__xludf.DUMMYFUNCTION("""COMPUTED_VALUE"""),"#N/A")</f>
        <v>#N/A</v>
      </c>
      <c r="Q4437" s="1"/>
      <c r="R4437" s="1"/>
      <c r="S4437" s="1"/>
      <c r="T4437" s="1"/>
      <c r="U4437" s="2">
        <f>IFERROR(__xludf.DUMMYFUNCTION("""COMPUTED_VALUE"""),0.0)</f>
        <v>0</v>
      </c>
      <c r="V4437" s="1" t="str">
        <f>IFERROR(__xludf.DUMMYFUNCTION("""COMPUTED_VALUE"""),"#N/A")</f>
        <v>#N/A</v>
      </c>
      <c r="W4437" s="1" t="str">
        <f>IFERROR(__xludf.DUMMYFUNCTION("""COMPUTED_VALUE"""),"#N/A")</f>
        <v>#N/A</v>
      </c>
    </row>
    <row r="4438">
      <c r="O4438" s="1" t="str">
        <f>IFERROR(__xludf.DUMMYFUNCTION("""COMPUTED_VALUE"""),"#VALUE!")</f>
        <v>#VALUE!</v>
      </c>
      <c r="P4438" s="1" t="str">
        <f>IFERROR(__xludf.DUMMYFUNCTION("""COMPUTED_VALUE"""),"#N/A")</f>
        <v>#N/A</v>
      </c>
      <c r="Q4438" s="1"/>
      <c r="R4438" s="1"/>
      <c r="S4438" s="1"/>
      <c r="T4438" s="1"/>
      <c r="U4438" s="2">
        <f>IFERROR(__xludf.DUMMYFUNCTION("""COMPUTED_VALUE"""),0.0)</f>
        <v>0</v>
      </c>
      <c r="V4438" s="1" t="str">
        <f>IFERROR(__xludf.DUMMYFUNCTION("""COMPUTED_VALUE"""),"#N/A")</f>
        <v>#N/A</v>
      </c>
      <c r="W4438" s="1" t="str">
        <f>IFERROR(__xludf.DUMMYFUNCTION("""COMPUTED_VALUE"""),"#N/A")</f>
        <v>#N/A</v>
      </c>
    </row>
    <row r="4439">
      <c r="O4439" s="1" t="str">
        <f>IFERROR(__xludf.DUMMYFUNCTION("""COMPUTED_VALUE"""),"#VALUE!")</f>
        <v>#VALUE!</v>
      </c>
      <c r="P4439" s="1" t="str">
        <f>IFERROR(__xludf.DUMMYFUNCTION("""COMPUTED_VALUE"""),"#N/A")</f>
        <v>#N/A</v>
      </c>
      <c r="Q4439" s="1"/>
      <c r="R4439" s="1"/>
      <c r="S4439" s="1"/>
      <c r="T4439" s="1"/>
      <c r="U4439" s="2">
        <f>IFERROR(__xludf.DUMMYFUNCTION("""COMPUTED_VALUE"""),0.0)</f>
        <v>0</v>
      </c>
      <c r="V4439" s="1" t="str">
        <f>IFERROR(__xludf.DUMMYFUNCTION("""COMPUTED_VALUE"""),"#N/A")</f>
        <v>#N/A</v>
      </c>
      <c r="W4439" s="1" t="str">
        <f>IFERROR(__xludf.DUMMYFUNCTION("""COMPUTED_VALUE"""),"#N/A")</f>
        <v>#N/A</v>
      </c>
    </row>
    <row r="4440">
      <c r="O4440" s="1" t="str">
        <f>IFERROR(__xludf.DUMMYFUNCTION("""COMPUTED_VALUE"""),"#VALUE!")</f>
        <v>#VALUE!</v>
      </c>
      <c r="P4440" s="1" t="str">
        <f>IFERROR(__xludf.DUMMYFUNCTION("""COMPUTED_VALUE"""),"#N/A")</f>
        <v>#N/A</v>
      </c>
      <c r="Q4440" s="1"/>
      <c r="R4440" s="1"/>
      <c r="S4440" s="1"/>
      <c r="T4440" s="1"/>
      <c r="U4440" s="2">
        <f>IFERROR(__xludf.DUMMYFUNCTION("""COMPUTED_VALUE"""),0.0)</f>
        <v>0</v>
      </c>
      <c r="V4440" s="1" t="str">
        <f>IFERROR(__xludf.DUMMYFUNCTION("""COMPUTED_VALUE"""),"#N/A")</f>
        <v>#N/A</v>
      </c>
      <c r="W4440" s="1" t="str">
        <f>IFERROR(__xludf.DUMMYFUNCTION("""COMPUTED_VALUE"""),"#N/A")</f>
        <v>#N/A</v>
      </c>
    </row>
    <row r="4441">
      <c r="O4441" s="1" t="str">
        <f>IFERROR(__xludf.DUMMYFUNCTION("""COMPUTED_VALUE"""),"#VALUE!")</f>
        <v>#VALUE!</v>
      </c>
      <c r="P4441" s="1" t="str">
        <f>IFERROR(__xludf.DUMMYFUNCTION("""COMPUTED_VALUE"""),"#N/A")</f>
        <v>#N/A</v>
      </c>
      <c r="Q4441" s="1"/>
      <c r="R4441" s="1"/>
      <c r="S4441" s="1"/>
      <c r="T4441" s="1"/>
      <c r="U4441" s="2">
        <f>IFERROR(__xludf.DUMMYFUNCTION("""COMPUTED_VALUE"""),0.0)</f>
        <v>0</v>
      </c>
      <c r="V4441" s="1" t="str">
        <f>IFERROR(__xludf.DUMMYFUNCTION("""COMPUTED_VALUE"""),"#N/A")</f>
        <v>#N/A</v>
      </c>
      <c r="W4441" s="1" t="str">
        <f>IFERROR(__xludf.DUMMYFUNCTION("""COMPUTED_VALUE"""),"#N/A")</f>
        <v>#N/A</v>
      </c>
    </row>
    <row r="4442">
      <c r="O4442" s="1" t="str">
        <f>IFERROR(__xludf.DUMMYFUNCTION("""COMPUTED_VALUE"""),"#VALUE!")</f>
        <v>#VALUE!</v>
      </c>
      <c r="P4442" s="1" t="str">
        <f>IFERROR(__xludf.DUMMYFUNCTION("""COMPUTED_VALUE"""),"#N/A")</f>
        <v>#N/A</v>
      </c>
      <c r="Q4442" s="1"/>
      <c r="R4442" s="1"/>
      <c r="S4442" s="1"/>
      <c r="T4442" s="1"/>
      <c r="U4442" s="2">
        <f>IFERROR(__xludf.DUMMYFUNCTION("""COMPUTED_VALUE"""),0.0)</f>
        <v>0</v>
      </c>
      <c r="V4442" s="1" t="str">
        <f>IFERROR(__xludf.DUMMYFUNCTION("""COMPUTED_VALUE"""),"#N/A")</f>
        <v>#N/A</v>
      </c>
      <c r="W4442" s="1" t="str">
        <f>IFERROR(__xludf.DUMMYFUNCTION("""COMPUTED_VALUE"""),"#N/A")</f>
        <v>#N/A</v>
      </c>
    </row>
    <row r="4443">
      <c r="O4443" s="1" t="str">
        <f>IFERROR(__xludf.DUMMYFUNCTION("""COMPUTED_VALUE"""),"#VALUE!")</f>
        <v>#VALUE!</v>
      </c>
      <c r="P4443" s="1" t="str">
        <f>IFERROR(__xludf.DUMMYFUNCTION("""COMPUTED_VALUE"""),"#N/A")</f>
        <v>#N/A</v>
      </c>
      <c r="Q4443" s="1"/>
      <c r="R4443" s="1"/>
      <c r="S4443" s="1"/>
      <c r="T4443" s="1"/>
      <c r="U4443" s="2">
        <f>IFERROR(__xludf.DUMMYFUNCTION("""COMPUTED_VALUE"""),0.0)</f>
        <v>0</v>
      </c>
      <c r="V4443" s="1" t="str">
        <f>IFERROR(__xludf.DUMMYFUNCTION("""COMPUTED_VALUE"""),"#N/A")</f>
        <v>#N/A</v>
      </c>
      <c r="W4443" s="1" t="str">
        <f>IFERROR(__xludf.DUMMYFUNCTION("""COMPUTED_VALUE"""),"#N/A")</f>
        <v>#N/A</v>
      </c>
    </row>
    <row r="4444">
      <c r="O4444" s="1" t="str">
        <f>IFERROR(__xludf.DUMMYFUNCTION("""COMPUTED_VALUE"""),"#VALUE!")</f>
        <v>#VALUE!</v>
      </c>
      <c r="P4444" s="1" t="str">
        <f>IFERROR(__xludf.DUMMYFUNCTION("""COMPUTED_VALUE"""),"#N/A")</f>
        <v>#N/A</v>
      </c>
      <c r="Q4444" s="1"/>
      <c r="R4444" s="1"/>
      <c r="S4444" s="1"/>
      <c r="T4444" s="1"/>
      <c r="U4444" s="2">
        <f>IFERROR(__xludf.DUMMYFUNCTION("""COMPUTED_VALUE"""),0.0)</f>
        <v>0</v>
      </c>
      <c r="V4444" s="1" t="str">
        <f>IFERROR(__xludf.DUMMYFUNCTION("""COMPUTED_VALUE"""),"#N/A")</f>
        <v>#N/A</v>
      </c>
      <c r="W4444" s="1" t="str">
        <f>IFERROR(__xludf.DUMMYFUNCTION("""COMPUTED_VALUE"""),"#N/A")</f>
        <v>#N/A</v>
      </c>
    </row>
    <row r="4445">
      <c r="O4445" s="1" t="str">
        <f>IFERROR(__xludf.DUMMYFUNCTION("""COMPUTED_VALUE"""),"#VALUE!")</f>
        <v>#VALUE!</v>
      </c>
      <c r="P4445" s="1" t="str">
        <f>IFERROR(__xludf.DUMMYFUNCTION("""COMPUTED_VALUE"""),"#N/A")</f>
        <v>#N/A</v>
      </c>
      <c r="Q4445" s="1"/>
      <c r="R4445" s="1"/>
      <c r="S4445" s="1"/>
      <c r="T4445" s="1"/>
      <c r="U4445" s="2">
        <f>IFERROR(__xludf.DUMMYFUNCTION("""COMPUTED_VALUE"""),0.0)</f>
        <v>0</v>
      </c>
      <c r="V4445" s="1" t="str">
        <f>IFERROR(__xludf.DUMMYFUNCTION("""COMPUTED_VALUE"""),"#N/A")</f>
        <v>#N/A</v>
      </c>
      <c r="W4445" s="1" t="str">
        <f>IFERROR(__xludf.DUMMYFUNCTION("""COMPUTED_VALUE"""),"#N/A")</f>
        <v>#N/A</v>
      </c>
    </row>
    <row r="4446">
      <c r="O4446" s="1" t="str">
        <f>IFERROR(__xludf.DUMMYFUNCTION("""COMPUTED_VALUE"""),"#VALUE!")</f>
        <v>#VALUE!</v>
      </c>
      <c r="P4446" s="1" t="str">
        <f>IFERROR(__xludf.DUMMYFUNCTION("""COMPUTED_VALUE"""),"#N/A")</f>
        <v>#N/A</v>
      </c>
      <c r="Q4446" s="1"/>
      <c r="R4446" s="1"/>
      <c r="S4446" s="1"/>
      <c r="T4446" s="1"/>
      <c r="U4446" s="2">
        <f>IFERROR(__xludf.DUMMYFUNCTION("""COMPUTED_VALUE"""),0.0)</f>
        <v>0</v>
      </c>
      <c r="V4446" s="1" t="str">
        <f>IFERROR(__xludf.DUMMYFUNCTION("""COMPUTED_VALUE"""),"#N/A")</f>
        <v>#N/A</v>
      </c>
      <c r="W4446" s="1" t="str">
        <f>IFERROR(__xludf.DUMMYFUNCTION("""COMPUTED_VALUE"""),"#N/A")</f>
        <v>#N/A</v>
      </c>
    </row>
    <row r="4447">
      <c r="O4447" s="1" t="str">
        <f>IFERROR(__xludf.DUMMYFUNCTION("""COMPUTED_VALUE"""),"#VALUE!")</f>
        <v>#VALUE!</v>
      </c>
      <c r="P4447" s="1" t="str">
        <f>IFERROR(__xludf.DUMMYFUNCTION("""COMPUTED_VALUE"""),"#N/A")</f>
        <v>#N/A</v>
      </c>
      <c r="Q4447" s="1"/>
      <c r="R4447" s="1"/>
      <c r="S4447" s="1"/>
      <c r="T4447" s="1"/>
      <c r="U4447" s="2">
        <f>IFERROR(__xludf.DUMMYFUNCTION("""COMPUTED_VALUE"""),0.0)</f>
        <v>0</v>
      </c>
      <c r="V4447" s="1" t="str">
        <f>IFERROR(__xludf.DUMMYFUNCTION("""COMPUTED_VALUE"""),"#N/A")</f>
        <v>#N/A</v>
      </c>
      <c r="W4447" s="1" t="str">
        <f>IFERROR(__xludf.DUMMYFUNCTION("""COMPUTED_VALUE"""),"#N/A")</f>
        <v>#N/A</v>
      </c>
    </row>
    <row r="4448">
      <c r="O4448" s="1" t="str">
        <f>IFERROR(__xludf.DUMMYFUNCTION("""COMPUTED_VALUE"""),"#VALUE!")</f>
        <v>#VALUE!</v>
      </c>
      <c r="P4448" s="1" t="str">
        <f>IFERROR(__xludf.DUMMYFUNCTION("""COMPUTED_VALUE"""),"#N/A")</f>
        <v>#N/A</v>
      </c>
      <c r="Q4448" s="1"/>
      <c r="R4448" s="1"/>
      <c r="S4448" s="1"/>
      <c r="T4448" s="1"/>
      <c r="U4448" s="2">
        <f>IFERROR(__xludf.DUMMYFUNCTION("""COMPUTED_VALUE"""),0.0)</f>
        <v>0</v>
      </c>
      <c r="V4448" s="1" t="str">
        <f>IFERROR(__xludf.DUMMYFUNCTION("""COMPUTED_VALUE"""),"#N/A")</f>
        <v>#N/A</v>
      </c>
      <c r="W4448" s="1" t="str">
        <f>IFERROR(__xludf.DUMMYFUNCTION("""COMPUTED_VALUE"""),"#N/A")</f>
        <v>#N/A</v>
      </c>
    </row>
    <row r="4449">
      <c r="O4449" s="1" t="str">
        <f>IFERROR(__xludf.DUMMYFUNCTION("""COMPUTED_VALUE"""),"#VALUE!")</f>
        <v>#VALUE!</v>
      </c>
      <c r="P4449" s="1" t="str">
        <f>IFERROR(__xludf.DUMMYFUNCTION("""COMPUTED_VALUE"""),"#N/A")</f>
        <v>#N/A</v>
      </c>
      <c r="Q4449" s="1"/>
      <c r="R4449" s="1"/>
      <c r="S4449" s="1"/>
      <c r="T4449" s="1"/>
      <c r="U4449" s="2">
        <f>IFERROR(__xludf.DUMMYFUNCTION("""COMPUTED_VALUE"""),0.0)</f>
        <v>0</v>
      </c>
      <c r="V4449" s="1" t="str">
        <f>IFERROR(__xludf.DUMMYFUNCTION("""COMPUTED_VALUE"""),"#N/A")</f>
        <v>#N/A</v>
      </c>
      <c r="W4449" s="1" t="str">
        <f>IFERROR(__xludf.DUMMYFUNCTION("""COMPUTED_VALUE"""),"#N/A")</f>
        <v>#N/A</v>
      </c>
    </row>
    <row r="4450">
      <c r="O4450" s="1" t="str">
        <f>IFERROR(__xludf.DUMMYFUNCTION("""COMPUTED_VALUE"""),"#VALUE!")</f>
        <v>#VALUE!</v>
      </c>
      <c r="P4450" s="1" t="str">
        <f>IFERROR(__xludf.DUMMYFUNCTION("""COMPUTED_VALUE"""),"#N/A")</f>
        <v>#N/A</v>
      </c>
      <c r="Q4450" s="1"/>
      <c r="R4450" s="1"/>
      <c r="S4450" s="1"/>
      <c r="T4450" s="1"/>
      <c r="U4450" s="2">
        <f>IFERROR(__xludf.DUMMYFUNCTION("""COMPUTED_VALUE"""),0.0)</f>
        <v>0</v>
      </c>
      <c r="V4450" s="1" t="str">
        <f>IFERROR(__xludf.DUMMYFUNCTION("""COMPUTED_VALUE"""),"#N/A")</f>
        <v>#N/A</v>
      </c>
      <c r="W4450" s="1" t="str">
        <f>IFERROR(__xludf.DUMMYFUNCTION("""COMPUTED_VALUE"""),"#N/A")</f>
        <v>#N/A</v>
      </c>
    </row>
    <row r="4451">
      <c r="O4451" s="1" t="str">
        <f>IFERROR(__xludf.DUMMYFUNCTION("""COMPUTED_VALUE"""),"#VALUE!")</f>
        <v>#VALUE!</v>
      </c>
      <c r="P4451" s="1" t="str">
        <f>IFERROR(__xludf.DUMMYFUNCTION("""COMPUTED_VALUE"""),"#N/A")</f>
        <v>#N/A</v>
      </c>
      <c r="Q4451" s="1"/>
      <c r="R4451" s="1"/>
      <c r="S4451" s="1"/>
      <c r="T4451" s="1"/>
      <c r="U4451" s="2">
        <f>IFERROR(__xludf.DUMMYFUNCTION("""COMPUTED_VALUE"""),0.0)</f>
        <v>0</v>
      </c>
      <c r="V4451" s="1" t="str">
        <f>IFERROR(__xludf.DUMMYFUNCTION("""COMPUTED_VALUE"""),"#N/A")</f>
        <v>#N/A</v>
      </c>
      <c r="W4451" s="1" t="str">
        <f>IFERROR(__xludf.DUMMYFUNCTION("""COMPUTED_VALUE"""),"#N/A")</f>
        <v>#N/A</v>
      </c>
    </row>
    <row r="4452">
      <c r="O4452" s="1" t="str">
        <f>IFERROR(__xludf.DUMMYFUNCTION("""COMPUTED_VALUE"""),"#VALUE!")</f>
        <v>#VALUE!</v>
      </c>
      <c r="P4452" s="1" t="str">
        <f>IFERROR(__xludf.DUMMYFUNCTION("""COMPUTED_VALUE"""),"#N/A")</f>
        <v>#N/A</v>
      </c>
      <c r="Q4452" s="1"/>
      <c r="R4452" s="1"/>
      <c r="S4452" s="1"/>
      <c r="T4452" s="1"/>
      <c r="U4452" s="2">
        <f>IFERROR(__xludf.DUMMYFUNCTION("""COMPUTED_VALUE"""),0.0)</f>
        <v>0</v>
      </c>
      <c r="V4452" s="1" t="str">
        <f>IFERROR(__xludf.DUMMYFUNCTION("""COMPUTED_VALUE"""),"#N/A")</f>
        <v>#N/A</v>
      </c>
      <c r="W4452" s="1" t="str">
        <f>IFERROR(__xludf.DUMMYFUNCTION("""COMPUTED_VALUE"""),"#N/A")</f>
        <v>#N/A</v>
      </c>
    </row>
    <row r="4453">
      <c r="O4453" s="1" t="str">
        <f>IFERROR(__xludf.DUMMYFUNCTION("""COMPUTED_VALUE"""),"#VALUE!")</f>
        <v>#VALUE!</v>
      </c>
      <c r="P4453" s="1" t="str">
        <f>IFERROR(__xludf.DUMMYFUNCTION("""COMPUTED_VALUE"""),"#N/A")</f>
        <v>#N/A</v>
      </c>
      <c r="Q4453" s="1"/>
      <c r="R4453" s="1"/>
      <c r="S4453" s="1"/>
      <c r="T4453" s="1"/>
      <c r="U4453" s="2">
        <f>IFERROR(__xludf.DUMMYFUNCTION("""COMPUTED_VALUE"""),0.0)</f>
        <v>0</v>
      </c>
      <c r="V4453" s="1" t="str">
        <f>IFERROR(__xludf.DUMMYFUNCTION("""COMPUTED_VALUE"""),"#N/A")</f>
        <v>#N/A</v>
      </c>
      <c r="W4453" s="1" t="str">
        <f>IFERROR(__xludf.DUMMYFUNCTION("""COMPUTED_VALUE"""),"#N/A")</f>
        <v>#N/A</v>
      </c>
    </row>
    <row r="4454">
      <c r="O4454" s="1" t="str">
        <f>IFERROR(__xludf.DUMMYFUNCTION("""COMPUTED_VALUE"""),"#VALUE!")</f>
        <v>#VALUE!</v>
      </c>
      <c r="P4454" s="1" t="str">
        <f>IFERROR(__xludf.DUMMYFUNCTION("""COMPUTED_VALUE"""),"#N/A")</f>
        <v>#N/A</v>
      </c>
      <c r="Q4454" s="1"/>
      <c r="R4454" s="1"/>
      <c r="S4454" s="1"/>
      <c r="T4454" s="1"/>
      <c r="U4454" s="2">
        <f>IFERROR(__xludf.DUMMYFUNCTION("""COMPUTED_VALUE"""),0.0)</f>
        <v>0</v>
      </c>
      <c r="V4454" s="1" t="str">
        <f>IFERROR(__xludf.DUMMYFUNCTION("""COMPUTED_VALUE"""),"#N/A")</f>
        <v>#N/A</v>
      </c>
      <c r="W4454" s="1" t="str">
        <f>IFERROR(__xludf.DUMMYFUNCTION("""COMPUTED_VALUE"""),"#N/A")</f>
        <v>#N/A</v>
      </c>
    </row>
    <row r="4455">
      <c r="O4455" s="1" t="str">
        <f>IFERROR(__xludf.DUMMYFUNCTION("""COMPUTED_VALUE"""),"#VALUE!")</f>
        <v>#VALUE!</v>
      </c>
      <c r="P4455" s="1" t="str">
        <f>IFERROR(__xludf.DUMMYFUNCTION("""COMPUTED_VALUE"""),"#N/A")</f>
        <v>#N/A</v>
      </c>
      <c r="Q4455" s="1"/>
      <c r="R4455" s="1"/>
      <c r="S4455" s="1"/>
      <c r="T4455" s="1"/>
      <c r="U4455" s="2">
        <f>IFERROR(__xludf.DUMMYFUNCTION("""COMPUTED_VALUE"""),0.0)</f>
        <v>0</v>
      </c>
      <c r="V4455" s="1" t="str">
        <f>IFERROR(__xludf.DUMMYFUNCTION("""COMPUTED_VALUE"""),"#N/A")</f>
        <v>#N/A</v>
      </c>
      <c r="W4455" s="1" t="str">
        <f>IFERROR(__xludf.DUMMYFUNCTION("""COMPUTED_VALUE"""),"#N/A")</f>
        <v>#N/A</v>
      </c>
    </row>
    <row r="4456">
      <c r="O4456" s="1" t="str">
        <f>IFERROR(__xludf.DUMMYFUNCTION("""COMPUTED_VALUE"""),"#VALUE!")</f>
        <v>#VALUE!</v>
      </c>
      <c r="P4456" s="1" t="str">
        <f>IFERROR(__xludf.DUMMYFUNCTION("""COMPUTED_VALUE"""),"#N/A")</f>
        <v>#N/A</v>
      </c>
      <c r="Q4456" s="1"/>
      <c r="R4456" s="1"/>
      <c r="S4456" s="1"/>
      <c r="T4456" s="1"/>
      <c r="U4456" s="2">
        <f>IFERROR(__xludf.DUMMYFUNCTION("""COMPUTED_VALUE"""),0.0)</f>
        <v>0</v>
      </c>
      <c r="V4456" s="1" t="str">
        <f>IFERROR(__xludf.DUMMYFUNCTION("""COMPUTED_VALUE"""),"#N/A")</f>
        <v>#N/A</v>
      </c>
      <c r="W4456" s="1" t="str">
        <f>IFERROR(__xludf.DUMMYFUNCTION("""COMPUTED_VALUE"""),"#N/A")</f>
        <v>#N/A</v>
      </c>
    </row>
    <row r="4457">
      <c r="O4457" s="1" t="str">
        <f>IFERROR(__xludf.DUMMYFUNCTION("""COMPUTED_VALUE"""),"#VALUE!")</f>
        <v>#VALUE!</v>
      </c>
      <c r="P4457" s="1" t="str">
        <f>IFERROR(__xludf.DUMMYFUNCTION("""COMPUTED_VALUE"""),"#N/A")</f>
        <v>#N/A</v>
      </c>
      <c r="Q4457" s="1"/>
      <c r="R4457" s="1"/>
      <c r="S4457" s="1"/>
      <c r="T4457" s="1"/>
      <c r="U4457" s="2">
        <f>IFERROR(__xludf.DUMMYFUNCTION("""COMPUTED_VALUE"""),0.0)</f>
        <v>0</v>
      </c>
      <c r="V4457" s="1" t="str">
        <f>IFERROR(__xludf.DUMMYFUNCTION("""COMPUTED_VALUE"""),"#N/A")</f>
        <v>#N/A</v>
      </c>
      <c r="W4457" s="1" t="str">
        <f>IFERROR(__xludf.DUMMYFUNCTION("""COMPUTED_VALUE"""),"#N/A")</f>
        <v>#N/A</v>
      </c>
    </row>
    <row r="4458">
      <c r="O4458" s="1" t="str">
        <f>IFERROR(__xludf.DUMMYFUNCTION("""COMPUTED_VALUE"""),"#VALUE!")</f>
        <v>#VALUE!</v>
      </c>
      <c r="P4458" s="1" t="str">
        <f>IFERROR(__xludf.DUMMYFUNCTION("""COMPUTED_VALUE"""),"#N/A")</f>
        <v>#N/A</v>
      </c>
      <c r="Q4458" s="1"/>
      <c r="R4458" s="1"/>
      <c r="S4458" s="1"/>
      <c r="T4458" s="1"/>
      <c r="U4458" s="2">
        <f>IFERROR(__xludf.DUMMYFUNCTION("""COMPUTED_VALUE"""),0.0)</f>
        <v>0</v>
      </c>
      <c r="V4458" s="1" t="str">
        <f>IFERROR(__xludf.DUMMYFUNCTION("""COMPUTED_VALUE"""),"#N/A")</f>
        <v>#N/A</v>
      </c>
      <c r="W4458" s="1" t="str">
        <f>IFERROR(__xludf.DUMMYFUNCTION("""COMPUTED_VALUE"""),"#N/A")</f>
        <v>#N/A</v>
      </c>
    </row>
    <row r="4459">
      <c r="O4459" s="1" t="str">
        <f>IFERROR(__xludf.DUMMYFUNCTION("""COMPUTED_VALUE"""),"#VALUE!")</f>
        <v>#VALUE!</v>
      </c>
      <c r="P4459" s="1" t="str">
        <f>IFERROR(__xludf.DUMMYFUNCTION("""COMPUTED_VALUE"""),"#N/A")</f>
        <v>#N/A</v>
      </c>
      <c r="Q4459" s="1"/>
      <c r="R4459" s="1"/>
      <c r="S4459" s="1"/>
      <c r="T4459" s="1"/>
      <c r="U4459" s="2">
        <f>IFERROR(__xludf.DUMMYFUNCTION("""COMPUTED_VALUE"""),0.0)</f>
        <v>0</v>
      </c>
      <c r="V4459" s="1" t="str">
        <f>IFERROR(__xludf.DUMMYFUNCTION("""COMPUTED_VALUE"""),"#N/A")</f>
        <v>#N/A</v>
      </c>
      <c r="W4459" s="1" t="str">
        <f>IFERROR(__xludf.DUMMYFUNCTION("""COMPUTED_VALUE"""),"#N/A")</f>
        <v>#N/A</v>
      </c>
    </row>
    <row r="4460">
      <c r="O4460" s="1" t="str">
        <f>IFERROR(__xludf.DUMMYFUNCTION("""COMPUTED_VALUE"""),"#VALUE!")</f>
        <v>#VALUE!</v>
      </c>
      <c r="P4460" s="1" t="str">
        <f>IFERROR(__xludf.DUMMYFUNCTION("""COMPUTED_VALUE"""),"#N/A")</f>
        <v>#N/A</v>
      </c>
      <c r="Q4460" s="1"/>
      <c r="R4460" s="1"/>
      <c r="S4460" s="1"/>
      <c r="T4460" s="1"/>
      <c r="U4460" s="2">
        <f>IFERROR(__xludf.DUMMYFUNCTION("""COMPUTED_VALUE"""),0.0)</f>
        <v>0</v>
      </c>
      <c r="V4460" s="1" t="str">
        <f>IFERROR(__xludf.DUMMYFUNCTION("""COMPUTED_VALUE"""),"#N/A")</f>
        <v>#N/A</v>
      </c>
      <c r="W4460" s="1" t="str">
        <f>IFERROR(__xludf.DUMMYFUNCTION("""COMPUTED_VALUE"""),"#N/A")</f>
        <v>#N/A</v>
      </c>
    </row>
    <row r="4461">
      <c r="O4461" s="1" t="str">
        <f>IFERROR(__xludf.DUMMYFUNCTION("""COMPUTED_VALUE"""),"#VALUE!")</f>
        <v>#VALUE!</v>
      </c>
      <c r="P4461" s="1" t="str">
        <f>IFERROR(__xludf.DUMMYFUNCTION("""COMPUTED_VALUE"""),"#N/A")</f>
        <v>#N/A</v>
      </c>
      <c r="Q4461" s="1"/>
      <c r="R4461" s="1"/>
      <c r="S4461" s="1"/>
      <c r="T4461" s="1"/>
      <c r="U4461" s="2">
        <f>IFERROR(__xludf.DUMMYFUNCTION("""COMPUTED_VALUE"""),0.0)</f>
        <v>0</v>
      </c>
      <c r="V4461" s="1" t="str">
        <f>IFERROR(__xludf.DUMMYFUNCTION("""COMPUTED_VALUE"""),"#N/A")</f>
        <v>#N/A</v>
      </c>
      <c r="W4461" s="1" t="str">
        <f>IFERROR(__xludf.DUMMYFUNCTION("""COMPUTED_VALUE"""),"#N/A")</f>
        <v>#N/A</v>
      </c>
    </row>
    <row r="4462">
      <c r="O4462" s="1" t="str">
        <f>IFERROR(__xludf.DUMMYFUNCTION("""COMPUTED_VALUE"""),"#VALUE!")</f>
        <v>#VALUE!</v>
      </c>
      <c r="P4462" s="1" t="str">
        <f>IFERROR(__xludf.DUMMYFUNCTION("""COMPUTED_VALUE"""),"#N/A")</f>
        <v>#N/A</v>
      </c>
      <c r="Q4462" s="1"/>
      <c r="R4462" s="1"/>
      <c r="S4462" s="1"/>
      <c r="T4462" s="1"/>
      <c r="U4462" s="2">
        <f>IFERROR(__xludf.DUMMYFUNCTION("""COMPUTED_VALUE"""),0.0)</f>
        <v>0</v>
      </c>
      <c r="V4462" s="1" t="str">
        <f>IFERROR(__xludf.DUMMYFUNCTION("""COMPUTED_VALUE"""),"#N/A")</f>
        <v>#N/A</v>
      </c>
      <c r="W4462" s="1" t="str">
        <f>IFERROR(__xludf.DUMMYFUNCTION("""COMPUTED_VALUE"""),"#N/A")</f>
        <v>#N/A</v>
      </c>
    </row>
    <row r="4463">
      <c r="O4463" s="1" t="str">
        <f>IFERROR(__xludf.DUMMYFUNCTION("""COMPUTED_VALUE"""),"#VALUE!")</f>
        <v>#VALUE!</v>
      </c>
      <c r="P4463" s="1" t="str">
        <f>IFERROR(__xludf.DUMMYFUNCTION("""COMPUTED_VALUE"""),"#N/A")</f>
        <v>#N/A</v>
      </c>
      <c r="Q4463" s="1"/>
      <c r="R4463" s="1"/>
      <c r="S4463" s="1"/>
      <c r="T4463" s="1"/>
      <c r="U4463" s="2">
        <f>IFERROR(__xludf.DUMMYFUNCTION("""COMPUTED_VALUE"""),0.0)</f>
        <v>0</v>
      </c>
      <c r="V4463" s="1" t="str">
        <f>IFERROR(__xludf.DUMMYFUNCTION("""COMPUTED_VALUE"""),"#N/A")</f>
        <v>#N/A</v>
      </c>
      <c r="W4463" s="1" t="str">
        <f>IFERROR(__xludf.DUMMYFUNCTION("""COMPUTED_VALUE"""),"#N/A")</f>
        <v>#N/A</v>
      </c>
    </row>
    <row r="4464">
      <c r="O4464" s="1" t="str">
        <f>IFERROR(__xludf.DUMMYFUNCTION("""COMPUTED_VALUE"""),"#VALUE!")</f>
        <v>#VALUE!</v>
      </c>
      <c r="P4464" s="1" t="str">
        <f>IFERROR(__xludf.DUMMYFUNCTION("""COMPUTED_VALUE"""),"#N/A")</f>
        <v>#N/A</v>
      </c>
      <c r="Q4464" s="1"/>
      <c r="R4464" s="1"/>
      <c r="S4464" s="1"/>
      <c r="T4464" s="1"/>
      <c r="U4464" s="2">
        <f>IFERROR(__xludf.DUMMYFUNCTION("""COMPUTED_VALUE"""),0.0)</f>
        <v>0</v>
      </c>
      <c r="V4464" s="1" t="str">
        <f>IFERROR(__xludf.DUMMYFUNCTION("""COMPUTED_VALUE"""),"#N/A")</f>
        <v>#N/A</v>
      </c>
      <c r="W4464" s="1" t="str">
        <f>IFERROR(__xludf.DUMMYFUNCTION("""COMPUTED_VALUE"""),"#N/A")</f>
        <v>#N/A</v>
      </c>
    </row>
    <row r="4465">
      <c r="O4465" s="1" t="str">
        <f>IFERROR(__xludf.DUMMYFUNCTION("""COMPUTED_VALUE"""),"#VALUE!")</f>
        <v>#VALUE!</v>
      </c>
      <c r="P4465" s="1" t="str">
        <f>IFERROR(__xludf.DUMMYFUNCTION("""COMPUTED_VALUE"""),"#N/A")</f>
        <v>#N/A</v>
      </c>
      <c r="Q4465" s="1"/>
      <c r="R4465" s="1"/>
      <c r="S4465" s="1"/>
      <c r="T4465" s="1"/>
      <c r="U4465" s="2">
        <f>IFERROR(__xludf.DUMMYFUNCTION("""COMPUTED_VALUE"""),0.0)</f>
        <v>0</v>
      </c>
      <c r="V4465" s="1" t="str">
        <f>IFERROR(__xludf.DUMMYFUNCTION("""COMPUTED_VALUE"""),"#N/A")</f>
        <v>#N/A</v>
      </c>
      <c r="W4465" s="1" t="str">
        <f>IFERROR(__xludf.DUMMYFUNCTION("""COMPUTED_VALUE"""),"#N/A")</f>
        <v>#N/A</v>
      </c>
    </row>
    <row r="4466">
      <c r="O4466" s="1" t="str">
        <f>IFERROR(__xludf.DUMMYFUNCTION("""COMPUTED_VALUE"""),"#VALUE!")</f>
        <v>#VALUE!</v>
      </c>
      <c r="P4466" s="1" t="str">
        <f>IFERROR(__xludf.DUMMYFUNCTION("""COMPUTED_VALUE"""),"#N/A")</f>
        <v>#N/A</v>
      </c>
      <c r="Q4466" s="1"/>
      <c r="R4466" s="1"/>
      <c r="S4466" s="1"/>
      <c r="T4466" s="1"/>
      <c r="U4466" s="2">
        <f>IFERROR(__xludf.DUMMYFUNCTION("""COMPUTED_VALUE"""),0.0)</f>
        <v>0</v>
      </c>
      <c r="V4466" s="1" t="str">
        <f>IFERROR(__xludf.DUMMYFUNCTION("""COMPUTED_VALUE"""),"#N/A")</f>
        <v>#N/A</v>
      </c>
      <c r="W4466" s="1" t="str">
        <f>IFERROR(__xludf.DUMMYFUNCTION("""COMPUTED_VALUE"""),"#N/A")</f>
        <v>#N/A</v>
      </c>
    </row>
    <row r="4467">
      <c r="O4467" s="1" t="str">
        <f>IFERROR(__xludf.DUMMYFUNCTION("""COMPUTED_VALUE"""),"#VALUE!")</f>
        <v>#VALUE!</v>
      </c>
      <c r="P4467" s="1" t="str">
        <f>IFERROR(__xludf.DUMMYFUNCTION("""COMPUTED_VALUE"""),"#N/A")</f>
        <v>#N/A</v>
      </c>
      <c r="Q4467" s="1"/>
      <c r="R4467" s="1"/>
      <c r="S4467" s="1"/>
      <c r="T4467" s="1"/>
      <c r="U4467" s="2">
        <f>IFERROR(__xludf.DUMMYFUNCTION("""COMPUTED_VALUE"""),0.0)</f>
        <v>0</v>
      </c>
      <c r="V4467" s="1" t="str">
        <f>IFERROR(__xludf.DUMMYFUNCTION("""COMPUTED_VALUE"""),"#N/A")</f>
        <v>#N/A</v>
      </c>
      <c r="W4467" s="1" t="str">
        <f>IFERROR(__xludf.DUMMYFUNCTION("""COMPUTED_VALUE"""),"#N/A")</f>
        <v>#N/A</v>
      </c>
    </row>
    <row r="4468">
      <c r="O4468" s="1" t="str">
        <f>IFERROR(__xludf.DUMMYFUNCTION("""COMPUTED_VALUE"""),"#VALUE!")</f>
        <v>#VALUE!</v>
      </c>
      <c r="P4468" s="1" t="str">
        <f>IFERROR(__xludf.DUMMYFUNCTION("""COMPUTED_VALUE"""),"#N/A")</f>
        <v>#N/A</v>
      </c>
      <c r="Q4468" s="1"/>
      <c r="R4468" s="1"/>
      <c r="S4468" s="1"/>
      <c r="T4468" s="1"/>
      <c r="U4468" s="2">
        <f>IFERROR(__xludf.DUMMYFUNCTION("""COMPUTED_VALUE"""),0.0)</f>
        <v>0</v>
      </c>
      <c r="V4468" s="1" t="str">
        <f>IFERROR(__xludf.DUMMYFUNCTION("""COMPUTED_VALUE"""),"#N/A")</f>
        <v>#N/A</v>
      </c>
      <c r="W4468" s="1" t="str">
        <f>IFERROR(__xludf.DUMMYFUNCTION("""COMPUTED_VALUE"""),"#N/A")</f>
        <v>#N/A</v>
      </c>
    </row>
    <row r="4469">
      <c r="O4469" s="1" t="str">
        <f>IFERROR(__xludf.DUMMYFUNCTION("""COMPUTED_VALUE"""),"#VALUE!")</f>
        <v>#VALUE!</v>
      </c>
      <c r="P4469" s="1" t="str">
        <f>IFERROR(__xludf.DUMMYFUNCTION("""COMPUTED_VALUE"""),"#N/A")</f>
        <v>#N/A</v>
      </c>
      <c r="Q4469" s="1"/>
      <c r="R4469" s="1"/>
      <c r="S4469" s="1"/>
      <c r="T4469" s="1"/>
      <c r="U4469" s="2">
        <f>IFERROR(__xludf.DUMMYFUNCTION("""COMPUTED_VALUE"""),0.0)</f>
        <v>0</v>
      </c>
      <c r="V4469" s="1" t="str">
        <f>IFERROR(__xludf.DUMMYFUNCTION("""COMPUTED_VALUE"""),"#N/A")</f>
        <v>#N/A</v>
      </c>
      <c r="W4469" s="1" t="str">
        <f>IFERROR(__xludf.DUMMYFUNCTION("""COMPUTED_VALUE"""),"#N/A")</f>
        <v>#N/A</v>
      </c>
    </row>
    <row r="4470">
      <c r="O4470" s="1" t="str">
        <f>IFERROR(__xludf.DUMMYFUNCTION("""COMPUTED_VALUE"""),"#VALUE!")</f>
        <v>#VALUE!</v>
      </c>
      <c r="P4470" s="1" t="str">
        <f>IFERROR(__xludf.DUMMYFUNCTION("""COMPUTED_VALUE"""),"#N/A")</f>
        <v>#N/A</v>
      </c>
      <c r="Q4470" s="1"/>
      <c r="R4470" s="1"/>
      <c r="S4470" s="1"/>
      <c r="T4470" s="1"/>
      <c r="U4470" s="2">
        <f>IFERROR(__xludf.DUMMYFUNCTION("""COMPUTED_VALUE"""),0.0)</f>
        <v>0</v>
      </c>
      <c r="V4470" s="1" t="str">
        <f>IFERROR(__xludf.DUMMYFUNCTION("""COMPUTED_VALUE"""),"#N/A")</f>
        <v>#N/A</v>
      </c>
      <c r="W4470" s="1" t="str">
        <f>IFERROR(__xludf.DUMMYFUNCTION("""COMPUTED_VALUE"""),"#N/A")</f>
        <v>#N/A</v>
      </c>
    </row>
    <row r="4471">
      <c r="O4471" s="1" t="str">
        <f>IFERROR(__xludf.DUMMYFUNCTION("""COMPUTED_VALUE"""),"#VALUE!")</f>
        <v>#VALUE!</v>
      </c>
      <c r="P4471" s="1" t="str">
        <f>IFERROR(__xludf.DUMMYFUNCTION("""COMPUTED_VALUE"""),"#N/A")</f>
        <v>#N/A</v>
      </c>
      <c r="Q4471" s="1"/>
      <c r="R4471" s="1"/>
      <c r="S4471" s="1"/>
      <c r="T4471" s="1"/>
      <c r="U4471" s="2">
        <f>IFERROR(__xludf.DUMMYFUNCTION("""COMPUTED_VALUE"""),0.0)</f>
        <v>0</v>
      </c>
      <c r="V4471" s="1" t="str">
        <f>IFERROR(__xludf.DUMMYFUNCTION("""COMPUTED_VALUE"""),"#N/A")</f>
        <v>#N/A</v>
      </c>
      <c r="W4471" s="1" t="str">
        <f>IFERROR(__xludf.DUMMYFUNCTION("""COMPUTED_VALUE"""),"#N/A")</f>
        <v>#N/A</v>
      </c>
    </row>
    <row r="4472">
      <c r="O4472" s="1" t="str">
        <f>IFERROR(__xludf.DUMMYFUNCTION("""COMPUTED_VALUE"""),"#VALUE!")</f>
        <v>#VALUE!</v>
      </c>
      <c r="P4472" s="1" t="str">
        <f>IFERROR(__xludf.DUMMYFUNCTION("""COMPUTED_VALUE"""),"#N/A")</f>
        <v>#N/A</v>
      </c>
      <c r="Q4472" s="1"/>
      <c r="R4472" s="1"/>
      <c r="S4472" s="1"/>
      <c r="T4472" s="1"/>
      <c r="U4472" s="2">
        <f>IFERROR(__xludf.DUMMYFUNCTION("""COMPUTED_VALUE"""),0.0)</f>
        <v>0</v>
      </c>
      <c r="V4472" s="1" t="str">
        <f>IFERROR(__xludf.DUMMYFUNCTION("""COMPUTED_VALUE"""),"#N/A")</f>
        <v>#N/A</v>
      </c>
      <c r="W4472" s="1" t="str">
        <f>IFERROR(__xludf.DUMMYFUNCTION("""COMPUTED_VALUE"""),"#N/A")</f>
        <v>#N/A</v>
      </c>
    </row>
    <row r="4473">
      <c r="O4473" s="1" t="str">
        <f>IFERROR(__xludf.DUMMYFUNCTION("""COMPUTED_VALUE"""),"#VALUE!")</f>
        <v>#VALUE!</v>
      </c>
      <c r="P4473" s="1" t="str">
        <f>IFERROR(__xludf.DUMMYFUNCTION("""COMPUTED_VALUE"""),"#N/A")</f>
        <v>#N/A</v>
      </c>
      <c r="Q4473" s="1"/>
      <c r="R4473" s="1"/>
      <c r="S4473" s="1"/>
      <c r="T4473" s="1"/>
      <c r="U4473" s="2">
        <f>IFERROR(__xludf.DUMMYFUNCTION("""COMPUTED_VALUE"""),0.0)</f>
        <v>0</v>
      </c>
      <c r="V4473" s="1" t="str">
        <f>IFERROR(__xludf.DUMMYFUNCTION("""COMPUTED_VALUE"""),"#N/A")</f>
        <v>#N/A</v>
      </c>
      <c r="W4473" s="1" t="str">
        <f>IFERROR(__xludf.DUMMYFUNCTION("""COMPUTED_VALUE"""),"#N/A")</f>
        <v>#N/A</v>
      </c>
    </row>
    <row r="4474">
      <c r="O4474" s="1" t="str">
        <f>IFERROR(__xludf.DUMMYFUNCTION("""COMPUTED_VALUE"""),"#VALUE!")</f>
        <v>#VALUE!</v>
      </c>
      <c r="P4474" s="1" t="str">
        <f>IFERROR(__xludf.DUMMYFUNCTION("""COMPUTED_VALUE"""),"#N/A")</f>
        <v>#N/A</v>
      </c>
      <c r="Q4474" s="1"/>
      <c r="R4474" s="1"/>
      <c r="S4474" s="1"/>
      <c r="T4474" s="1"/>
      <c r="U4474" s="2">
        <f>IFERROR(__xludf.DUMMYFUNCTION("""COMPUTED_VALUE"""),0.0)</f>
        <v>0</v>
      </c>
      <c r="V4474" s="1" t="str">
        <f>IFERROR(__xludf.DUMMYFUNCTION("""COMPUTED_VALUE"""),"#N/A")</f>
        <v>#N/A</v>
      </c>
      <c r="W4474" s="1" t="str">
        <f>IFERROR(__xludf.DUMMYFUNCTION("""COMPUTED_VALUE"""),"#N/A")</f>
        <v>#N/A</v>
      </c>
    </row>
    <row r="4475">
      <c r="O4475" s="1" t="str">
        <f>IFERROR(__xludf.DUMMYFUNCTION("""COMPUTED_VALUE"""),"#VALUE!")</f>
        <v>#VALUE!</v>
      </c>
      <c r="P4475" s="1" t="str">
        <f>IFERROR(__xludf.DUMMYFUNCTION("""COMPUTED_VALUE"""),"#N/A")</f>
        <v>#N/A</v>
      </c>
      <c r="Q4475" s="1"/>
      <c r="R4475" s="1"/>
      <c r="S4475" s="1"/>
      <c r="T4475" s="1"/>
      <c r="U4475" s="2">
        <f>IFERROR(__xludf.DUMMYFUNCTION("""COMPUTED_VALUE"""),0.0)</f>
        <v>0</v>
      </c>
      <c r="V4475" s="1" t="str">
        <f>IFERROR(__xludf.DUMMYFUNCTION("""COMPUTED_VALUE"""),"#N/A")</f>
        <v>#N/A</v>
      </c>
      <c r="W4475" s="1" t="str">
        <f>IFERROR(__xludf.DUMMYFUNCTION("""COMPUTED_VALUE"""),"#N/A")</f>
        <v>#N/A</v>
      </c>
    </row>
    <row r="4476">
      <c r="O4476" s="1" t="str">
        <f>IFERROR(__xludf.DUMMYFUNCTION("""COMPUTED_VALUE"""),"#VALUE!")</f>
        <v>#VALUE!</v>
      </c>
      <c r="P4476" s="1" t="str">
        <f>IFERROR(__xludf.DUMMYFUNCTION("""COMPUTED_VALUE"""),"#N/A")</f>
        <v>#N/A</v>
      </c>
      <c r="Q4476" s="1"/>
      <c r="R4476" s="1"/>
      <c r="S4476" s="1"/>
      <c r="T4476" s="1"/>
      <c r="U4476" s="2">
        <f>IFERROR(__xludf.DUMMYFUNCTION("""COMPUTED_VALUE"""),0.0)</f>
        <v>0</v>
      </c>
      <c r="V4476" s="1" t="str">
        <f>IFERROR(__xludf.DUMMYFUNCTION("""COMPUTED_VALUE"""),"#N/A")</f>
        <v>#N/A</v>
      </c>
      <c r="W4476" s="1" t="str">
        <f>IFERROR(__xludf.DUMMYFUNCTION("""COMPUTED_VALUE"""),"#N/A")</f>
        <v>#N/A</v>
      </c>
    </row>
    <row r="4477">
      <c r="O4477" s="1" t="str">
        <f>IFERROR(__xludf.DUMMYFUNCTION("""COMPUTED_VALUE"""),"#VALUE!")</f>
        <v>#VALUE!</v>
      </c>
      <c r="P4477" s="1" t="str">
        <f>IFERROR(__xludf.DUMMYFUNCTION("""COMPUTED_VALUE"""),"#N/A")</f>
        <v>#N/A</v>
      </c>
      <c r="Q4477" s="1"/>
      <c r="R4477" s="1"/>
      <c r="S4477" s="1"/>
      <c r="T4477" s="1"/>
      <c r="U4477" s="2">
        <f>IFERROR(__xludf.DUMMYFUNCTION("""COMPUTED_VALUE"""),0.0)</f>
        <v>0</v>
      </c>
      <c r="V4477" s="1" t="str">
        <f>IFERROR(__xludf.DUMMYFUNCTION("""COMPUTED_VALUE"""),"#N/A")</f>
        <v>#N/A</v>
      </c>
      <c r="W4477" s="1" t="str">
        <f>IFERROR(__xludf.DUMMYFUNCTION("""COMPUTED_VALUE"""),"#N/A")</f>
        <v>#N/A</v>
      </c>
    </row>
    <row r="4478">
      <c r="O4478" s="1" t="str">
        <f>IFERROR(__xludf.DUMMYFUNCTION("""COMPUTED_VALUE"""),"#VALUE!")</f>
        <v>#VALUE!</v>
      </c>
      <c r="P4478" s="1" t="str">
        <f>IFERROR(__xludf.DUMMYFUNCTION("""COMPUTED_VALUE"""),"#N/A")</f>
        <v>#N/A</v>
      </c>
      <c r="Q4478" s="1"/>
      <c r="R4478" s="1"/>
      <c r="S4478" s="1"/>
      <c r="T4478" s="1"/>
      <c r="U4478" s="2">
        <f>IFERROR(__xludf.DUMMYFUNCTION("""COMPUTED_VALUE"""),0.0)</f>
        <v>0</v>
      </c>
      <c r="V4478" s="1" t="str">
        <f>IFERROR(__xludf.DUMMYFUNCTION("""COMPUTED_VALUE"""),"#N/A")</f>
        <v>#N/A</v>
      </c>
      <c r="W4478" s="1" t="str">
        <f>IFERROR(__xludf.DUMMYFUNCTION("""COMPUTED_VALUE"""),"#N/A")</f>
        <v>#N/A</v>
      </c>
    </row>
    <row r="4479">
      <c r="O4479" s="1" t="str">
        <f>IFERROR(__xludf.DUMMYFUNCTION("""COMPUTED_VALUE"""),"#VALUE!")</f>
        <v>#VALUE!</v>
      </c>
      <c r="P4479" s="1" t="str">
        <f>IFERROR(__xludf.DUMMYFUNCTION("""COMPUTED_VALUE"""),"#N/A")</f>
        <v>#N/A</v>
      </c>
      <c r="Q4479" s="1"/>
      <c r="R4479" s="1"/>
      <c r="S4479" s="1"/>
      <c r="T4479" s="1"/>
      <c r="U4479" s="2">
        <f>IFERROR(__xludf.DUMMYFUNCTION("""COMPUTED_VALUE"""),0.0)</f>
        <v>0</v>
      </c>
      <c r="V4479" s="1" t="str">
        <f>IFERROR(__xludf.DUMMYFUNCTION("""COMPUTED_VALUE"""),"#N/A")</f>
        <v>#N/A</v>
      </c>
      <c r="W4479" s="1" t="str">
        <f>IFERROR(__xludf.DUMMYFUNCTION("""COMPUTED_VALUE"""),"#N/A")</f>
        <v>#N/A</v>
      </c>
    </row>
    <row r="4480">
      <c r="O4480" s="1" t="str">
        <f>IFERROR(__xludf.DUMMYFUNCTION("""COMPUTED_VALUE"""),"#VALUE!")</f>
        <v>#VALUE!</v>
      </c>
      <c r="P4480" s="1" t="str">
        <f>IFERROR(__xludf.DUMMYFUNCTION("""COMPUTED_VALUE"""),"#N/A")</f>
        <v>#N/A</v>
      </c>
      <c r="Q4480" s="1"/>
      <c r="R4480" s="1"/>
      <c r="S4480" s="1"/>
      <c r="T4480" s="1"/>
      <c r="U4480" s="2">
        <f>IFERROR(__xludf.DUMMYFUNCTION("""COMPUTED_VALUE"""),0.0)</f>
        <v>0</v>
      </c>
      <c r="V4480" s="1" t="str">
        <f>IFERROR(__xludf.DUMMYFUNCTION("""COMPUTED_VALUE"""),"#N/A")</f>
        <v>#N/A</v>
      </c>
      <c r="W4480" s="1" t="str">
        <f>IFERROR(__xludf.DUMMYFUNCTION("""COMPUTED_VALUE"""),"#N/A")</f>
        <v>#N/A</v>
      </c>
    </row>
    <row r="4481">
      <c r="O4481" s="1" t="str">
        <f>IFERROR(__xludf.DUMMYFUNCTION("""COMPUTED_VALUE"""),"#VALUE!")</f>
        <v>#VALUE!</v>
      </c>
      <c r="P4481" s="1" t="str">
        <f>IFERROR(__xludf.DUMMYFUNCTION("""COMPUTED_VALUE"""),"#N/A")</f>
        <v>#N/A</v>
      </c>
      <c r="Q4481" s="1"/>
      <c r="R4481" s="1"/>
      <c r="S4481" s="1"/>
      <c r="T4481" s="1"/>
      <c r="U4481" s="2">
        <f>IFERROR(__xludf.DUMMYFUNCTION("""COMPUTED_VALUE"""),0.0)</f>
        <v>0</v>
      </c>
      <c r="V4481" s="1" t="str">
        <f>IFERROR(__xludf.DUMMYFUNCTION("""COMPUTED_VALUE"""),"#N/A")</f>
        <v>#N/A</v>
      </c>
      <c r="W4481" s="1" t="str">
        <f>IFERROR(__xludf.DUMMYFUNCTION("""COMPUTED_VALUE"""),"#N/A")</f>
        <v>#N/A</v>
      </c>
    </row>
    <row r="4482">
      <c r="O4482" s="1" t="str">
        <f>IFERROR(__xludf.DUMMYFUNCTION("""COMPUTED_VALUE"""),"#VALUE!")</f>
        <v>#VALUE!</v>
      </c>
      <c r="P4482" s="1" t="str">
        <f>IFERROR(__xludf.DUMMYFUNCTION("""COMPUTED_VALUE"""),"#N/A")</f>
        <v>#N/A</v>
      </c>
      <c r="Q4482" s="1"/>
      <c r="R4482" s="1"/>
      <c r="S4482" s="1"/>
      <c r="T4482" s="1"/>
      <c r="U4482" s="2">
        <f>IFERROR(__xludf.DUMMYFUNCTION("""COMPUTED_VALUE"""),0.0)</f>
        <v>0</v>
      </c>
      <c r="V4482" s="1" t="str">
        <f>IFERROR(__xludf.DUMMYFUNCTION("""COMPUTED_VALUE"""),"#N/A")</f>
        <v>#N/A</v>
      </c>
      <c r="W4482" s="1" t="str">
        <f>IFERROR(__xludf.DUMMYFUNCTION("""COMPUTED_VALUE"""),"#N/A")</f>
        <v>#N/A</v>
      </c>
    </row>
    <row r="4483">
      <c r="O4483" s="1" t="str">
        <f>IFERROR(__xludf.DUMMYFUNCTION("""COMPUTED_VALUE"""),"#VALUE!")</f>
        <v>#VALUE!</v>
      </c>
      <c r="P4483" s="1" t="str">
        <f>IFERROR(__xludf.DUMMYFUNCTION("""COMPUTED_VALUE"""),"#N/A")</f>
        <v>#N/A</v>
      </c>
      <c r="Q4483" s="1"/>
      <c r="R4483" s="1"/>
      <c r="S4483" s="1"/>
      <c r="T4483" s="1"/>
      <c r="U4483" s="2">
        <f>IFERROR(__xludf.DUMMYFUNCTION("""COMPUTED_VALUE"""),0.0)</f>
        <v>0</v>
      </c>
      <c r="V4483" s="1" t="str">
        <f>IFERROR(__xludf.DUMMYFUNCTION("""COMPUTED_VALUE"""),"#N/A")</f>
        <v>#N/A</v>
      </c>
      <c r="W4483" s="1" t="str">
        <f>IFERROR(__xludf.DUMMYFUNCTION("""COMPUTED_VALUE"""),"#N/A")</f>
        <v>#N/A</v>
      </c>
    </row>
    <row r="4484">
      <c r="O4484" s="1" t="str">
        <f>IFERROR(__xludf.DUMMYFUNCTION("""COMPUTED_VALUE"""),"#VALUE!")</f>
        <v>#VALUE!</v>
      </c>
      <c r="P4484" s="1" t="str">
        <f>IFERROR(__xludf.DUMMYFUNCTION("""COMPUTED_VALUE"""),"#N/A")</f>
        <v>#N/A</v>
      </c>
      <c r="Q4484" s="1"/>
      <c r="R4484" s="1"/>
      <c r="S4484" s="1"/>
      <c r="T4484" s="1"/>
      <c r="U4484" s="2">
        <f>IFERROR(__xludf.DUMMYFUNCTION("""COMPUTED_VALUE"""),0.0)</f>
        <v>0</v>
      </c>
      <c r="V4484" s="1" t="str">
        <f>IFERROR(__xludf.DUMMYFUNCTION("""COMPUTED_VALUE"""),"#N/A")</f>
        <v>#N/A</v>
      </c>
      <c r="W4484" s="1" t="str">
        <f>IFERROR(__xludf.DUMMYFUNCTION("""COMPUTED_VALUE"""),"#N/A")</f>
        <v>#N/A</v>
      </c>
    </row>
    <row r="4485">
      <c r="O4485" s="1" t="str">
        <f>IFERROR(__xludf.DUMMYFUNCTION("""COMPUTED_VALUE"""),"#VALUE!")</f>
        <v>#VALUE!</v>
      </c>
      <c r="P4485" s="1" t="str">
        <f>IFERROR(__xludf.DUMMYFUNCTION("""COMPUTED_VALUE"""),"#N/A")</f>
        <v>#N/A</v>
      </c>
      <c r="Q4485" s="1"/>
      <c r="R4485" s="1"/>
      <c r="S4485" s="1"/>
      <c r="T4485" s="1"/>
      <c r="U4485" s="2">
        <f>IFERROR(__xludf.DUMMYFUNCTION("""COMPUTED_VALUE"""),0.0)</f>
        <v>0</v>
      </c>
      <c r="V4485" s="1" t="str">
        <f>IFERROR(__xludf.DUMMYFUNCTION("""COMPUTED_VALUE"""),"#N/A")</f>
        <v>#N/A</v>
      </c>
      <c r="W4485" s="1" t="str">
        <f>IFERROR(__xludf.DUMMYFUNCTION("""COMPUTED_VALUE"""),"#N/A")</f>
        <v>#N/A</v>
      </c>
    </row>
    <row r="4486">
      <c r="O4486" s="1" t="str">
        <f>IFERROR(__xludf.DUMMYFUNCTION("""COMPUTED_VALUE"""),"#VALUE!")</f>
        <v>#VALUE!</v>
      </c>
      <c r="P4486" s="1" t="str">
        <f>IFERROR(__xludf.DUMMYFUNCTION("""COMPUTED_VALUE"""),"#N/A")</f>
        <v>#N/A</v>
      </c>
      <c r="Q4486" s="1"/>
      <c r="R4486" s="1"/>
      <c r="S4486" s="1"/>
      <c r="T4486" s="1"/>
      <c r="U4486" s="2">
        <f>IFERROR(__xludf.DUMMYFUNCTION("""COMPUTED_VALUE"""),0.0)</f>
        <v>0</v>
      </c>
      <c r="V4486" s="1" t="str">
        <f>IFERROR(__xludf.DUMMYFUNCTION("""COMPUTED_VALUE"""),"#N/A")</f>
        <v>#N/A</v>
      </c>
      <c r="W4486" s="1" t="str">
        <f>IFERROR(__xludf.DUMMYFUNCTION("""COMPUTED_VALUE"""),"#N/A")</f>
        <v>#N/A</v>
      </c>
    </row>
    <row r="4487">
      <c r="O4487" s="1" t="str">
        <f>IFERROR(__xludf.DUMMYFUNCTION("""COMPUTED_VALUE"""),"#VALUE!")</f>
        <v>#VALUE!</v>
      </c>
      <c r="P4487" s="1" t="str">
        <f>IFERROR(__xludf.DUMMYFUNCTION("""COMPUTED_VALUE"""),"#N/A")</f>
        <v>#N/A</v>
      </c>
      <c r="Q4487" s="1"/>
      <c r="R4487" s="1"/>
      <c r="S4487" s="1"/>
      <c r="T4487" s="1"/>
      <c r="U4487" s="2">
        <f>IFERROR(__xludf.DUMMYFUNCTION("""COMPUTED_VALUE"""),0.0)</f>
        <v>0</v>
      </c>
      <c r="V4487" s="1" t="str">
        <f>IFERROR(__xludf.DUMMYFUNCTION("""COMPUTED_VALUE"""),"#N/A")</f>
        <v>#N/A</v>
      </c>
      <c r="W4487" s="1" t="str">
        <f>IFERROR(__xludf.DUMMYFUNCTION("""COMPUTED_VALUE"""),"#N/A")</f>
        <v>#N/A</v>
      </c>
    </row>
    <row r="4488">
      <c r="O4488" s="1" t="str">
        <f>IFERROR(__xludf.DUMMYFUNCTION("""COMPUTED_VALUE"""),"#VALUE!")</f>
        <v>#VALUE!</v>
      </c>
      <c r="P4488" s="1" t="str">
        <f>IFERROR(__xludf.DUMMYFUNCTION("""COMPUTED_VALUE"""),"#N/A")</f>
        <v>#N/A</v>
      </c>
      <c r="Q4488" s="1"/>
      <c r="R4488" s="1"/>
      <c r="S4488" s="1"/>
      <c r="T4488" s="1"/>
      <c r="U4488" s="2">
        <f>IFERROR(__xludf.DUMMYFUNCTION("""COMPUTED_VALUE"""),0.0)</f>
        <v>0</v>
      </c>
      <c r="V4488" s="1" t="str">
        <f>IFERROR(__xludf.DUMMYFUNCTION("""COMPUTED_VALUE"""),"#N/A")</f>
        <v>#N/A</v>
      </c>
      <c r="W4488" s="1" t="str">
        <f>IFERROR(__xludf.DUMMYFUNCTION("""COMPUTED_VALUE"""),"#N/A")</f>
        <v>#N/A</v>
      </c>
    </row>
    <row r="4489">
      <c r="O4489" s="1" t="str">
        <f>IFERROR(__xludf.DUMMYFUNCTION("""COMPUTED_VALUE"""),"#VALUE!")</f>
        <v>#VALUE!</v>
      </c>
      <c r="P4489" s="1" t="str">
        <f>IFERROR(__xludf.DUMMYFUNCTION("""COMPUTED_VALUE"""),"#N/A")</f>
        <v>#N/A</v>
      </c>
      <c r="Q4489" s="1"/>
      <c r="R4489" s="1"/>
      <c r="S4489" s="1"/>
      <c r="T4489" s="1"/>
      <c r="U4489" s="2">
        <f>IFERROR(__xludf.DUMMYFUNCTION("""COMPUTED_VALUE"""),0.0)</f>
        <v>0</v>
      </c>
      <c r="V4489" s="1" t="str">
        <f>IFERROR(__xludf.DUMMYFUNCTION("""COMPUTED_VALUE"""),"#N/A")</f>
        <v>#N/A</v>
      </c>
      <c r="W4489" s="1" t="str">
        <f>IFERROR(__xludf.DUMMYFUNCTION("""COMPUTED_VALUE"""),"#N/A")</f>
        <v>#N/A</v>
      </c>
    </row>
    <row r="4490">
      <c r="O4490" s="1" t="str">
        <f>IFERROR(__xludf.DUMMYFUNCTION("""COMPUTED_VALUE"""),"#VALUE!")</f>
        <v>#VALUE!</v>
      </c>
      <c r="P4490" s="1" t="str">
        <f>IFERROR(__xludf.DUMMYFUNCTION("""COMPUTED_VALUE"""),"#N/A")</f>
        <v>#N/A</v>
      </c>
      <c r="Q4490" s="1"/>
      <c r="R4490" s="1"/>
      <c r="S4490" s="1"/>
      <c r="T4490" s="1"/>
      <c r="U4490" s="2">
        <f>IFERROR(__xludf.DUMMYFUNCTION("""COMPUTED_VALUE"""),0.0)</f>
        <v>0</v>
      </c>
      <c r="V4490" s="1" t="str">
        <f>IFERROR(__xludf.DUMMYFUNCTION("""COMPUTED_VALUE"""),"#N/A")</f>
        <v>#N/A</v>
      </c>
      <c r="W4490" s="1" t="str">
        <f>IFERROR(__xludf.DUMMYFUNCTION("""COMPUTED_VALUE"""),"#N/A")</f>
        <v>#N/A</v>
      </c>
    </row>
    <row r="4491">
      <c r="O4491" s="1" t="str">
        <f>IFERROR(__xludf.DUMMYFUNCTION("""COMPUTED_VALUE"""),"#VALUE!")</f>
        <v>#VALUE!</v>
      </c>
      <c r="P4491" s="1" t="str">
        <f>IFERROR(__xludf.DUMMYFUNCTION("""COMPUTED_VALUE"""),"#N/A")</f>
        <v>#N/A</v>
      </c>
      <c r="Q4491" s="1"/>
      <c r="R4491" s="1"/>
      <c r="S4491" s="1"/>
      <c r="T4491" s="1"/>
      <c r="U4491" s="2">
        <f>IFERROR(__xludf.DUMMYFUNCTION("""COMPUTED_VALUE"""),0.0)</f>
        <v>0</v>
      </c>
      <c r="V4491" s="1" t="str">
        <f>IFERROR(__xludf.DUMMYFUNCTION("""COMPUTED_VALUE"""),"#N/A")</f>
        <v>#N/A</v>
      </c>
      <c r="W4491" s="1" t="str">
        <f>IFERROR(__xludf.DUMMYFUNCTION("""COMPUTED_VALUE"""),"#N/A")</f>
        <v>#N/A</v>
      </c>
    </row>
    <row r="4492">
      <c r="O4492" s="1" t="str">
        <f>IFERROR(__xludf.DUMMYFUNCTION("""COMPUTED_VALUE"""),"#VALUE!")</f>
        <v>#VALUE!</v>
      </c>
      <c r="P4492" s="1" t="str">
        <f>IFERROR(__xludf.DUMMYFUNCTION("""COMPUTED_VALUE"""),"#N/A")</f>
        <v>#N/A</v>
      </c>
      <c r="Q4492" s="1"/>
      <c r="R4492" s="1"/>
      <c r="S4492" s="1"/>
      <c r="T4492" s="1"/>
      <c r="U4492" s="2">
        <f>IFERROR(__xludf.DUMMYFUNCTION("""COMPUTED_VALUE"""),0.0)</f>
        <v>0</v>
      </c>
      <c r="V4492" s="1" t="str">
        <f>IFERROR(__xludf.DUMMYFUNCTION("""COMPUTED_VALUE"""),"#N/A")</f>
        <v>#N/A</v>
      </c>
      <c r="W4492" s="1" t="str">
        <f>IFERROR(__xludf.DUMMYFUNCTION("""COMPUTED_VALUE"""),"#N/A")</f>
        <v>#N/A</v>
      </c>
    </row>
    <row r="4493">
      <c r="O4493" s="1" t="str">
        <f>IFERROR(__xludf.DUMMYFUNCTION("""COMPUTED_VALUE"""),"#VALUE!")</f>
        <v>#VALUE!</v>
      </c>
      <c r="P4493" s="1" t="str">
        <f>IFERROR(__xludf.DUMMYFUNCTION("""COMPUTED_VALUE"""),"#N/A")</f>
        <v>#N/A</v>
      </c>
      <c r="Q4493" s="1"/>
      <c r="R4493" s="1"/>
      <c r="S4493" s="1"/>
      <c r="T4493" s="1"/>
      <c r="U4493" s="2">
        <f>IFERROR(__xludf.DUMMYFUNCTION("""COMPUTED_VALUE"""),0.0)</f>
        <v>0</v>
      </c>
      <c r="V4493" s="1" t="str">
        <f>IFERROR(__xludf.DUMMYFUNCTION("""COMPUTED_VALUE"""),"#N/A")</f>
        <v>#N/A</v>
      </c>
      <c r="W4493" s="1" t="str">
        <f>IFERROR(__xludf.DUMMYFUNCTION("""COMPUTED_VALUE"""),"#N/A")</f>
        <v>#N/A</v>
      </c>
    </row>
    <row r="4494">
      <c r="O4494" s="1" t="str">
        <f>IFERROR(__xludf.DUMMYFUNCTION("""COMPUTED_VALUE"""),"#VALUE!")</f>
        <v>#VALUE!</v>
      </c>
      <c r="P4494" s="1" t="str">
        <f>IFERROR(__xludf.DUMMYFUNCTION("""COMPUTED_VALUE"""),"#N/A")</f>
        <v>#N/A</v>
      </c>
      <c r="Q4494" s="1"/>
      <c r="R4494" s="1"/>
      <c r="S4494" s="1"/>
      <c r="T4494" s="1"/>
      <c r="U4494" s="2">
        <f>IFERROR(__xludf.DUMMYFUNCTION("""COMPUTED_VALUE"""),0.0)</f>
        <v>0</v>
      </c>
      <c r="V4494" s="1" t="str">
        <f>IFERROR(__xludf.DUMMYFUNCTION("""COMPUTED_VALUE"""),"#N/A")</f>
        <v>#N/A</v>
      </c>
      <c r="W4494" s="1" t="str">
        <f>IFERROR(__xludf.DUMMYFUNCTION("""COMPUTED_VALUE"""),"#N/A")</f>
        <v>#N/A</v>
      </c>
    </row>
    <row r="4495">
      <c r="O4495" s="1" t="str">
        <f>IFERROR(__xludf.DUMMYFUNCTION("""COMPUTED_VALUE"""),"#VALUE!")</f>
        <v>#VALUE!</v>
      </c>
      <c r="P4495" s="1" t="str">
        <f>IFERROR(__xludf.DUMMYFUNCTION("""COMPUTED_VALUE"""),"#N/A")</f>
        <v>#N/A</v>
      </c>
      <c r="Q4495" s="1"/>
      <c r="R4495" s="1"/>
      <c r="S4495" s="1"/>
      <c r="T4495" s="1"/>
      <c r="U4495" s="2">
        <f>IFERROR(__xludf.DUMMYFUNCTION("""COMPUTED_VALUE"""),0.0)</f>
        <v>0</v>
      </c>
      <c r="V4495" s="1" t="str">
        <f>IFERROR(__xludf.DUMMYFUNCTION("""COMPUTED_VALUE"""),"#N/A")</f>
        <v>#N/A</v>
      </c>
      <c r="W4495" s="1" t="str">
        <f>IFERROR(__xludf.DUMMYFUNCTION("""COMPUTED_VALUE"""),"#N/A")</f>
        <v>#N/A</v>
      </c>
    </row>
    <row r="4496">
      <c r="O4496" s="1" t="str">
        <f>IFERROR(__xludf.DUMMYFUNCTION("""COMPUTED_VALUE"""),"#VALUE!")</f>
        <v>#VALUE!</v>
      </c>
      <c r="P4496" s="1" t="str">
        <f>IFERROR(__xludf.DUMMYFUNCTION("""COMPUTED_VALUE"""),"#N/A")</f>
        <v>#N/A</v>
      </c>
      <c r="Q4496" s="1"/>
      <c r="R4496" s="1"/>
      <c r="S4496" s="1"/>
      <c r="T4496" s="1"/>
      <c r="U4496" s="2">
        <f>IFERROR(__xludf.DUMMYFUNCTION("""COMPUTED_VALUE"""),0.0)</f>
        <v>0</v>
      </c>
      <c r="V4496" s="1" t="str">
        <f>IFERROR(__xludf.DUMMYFUNCTION("""COMPUTED_VALUE"""),"#N/A")</f>
        <v>#N/A</v>
      </c>
      <c r="W4496" s="1" t="str">
        <f>IFERROR(__xludf.DUMMYFUNCTION("""COMPUTED_VALUE"""),"#N/A")</f>
        <v>#N/A</v>
      </c>
    </row>
    <row r="4497">
      <c r="O4497" s="1" t="str">
        <f>IFERROR(__xludf.DUMMYFUNCTION("""COMPUTED_VALUE"""),"#VALUE!")</f>
        <v>#VALUE!</v>
      </c>
      <c r="P4497" s="1" t="str">
        <f>IFERROR(__xludf.DUMMYFUNCTION("""COMPUTED_VALUE"""),"#N/A")</f>
        <v>#N/A</v>
      </c>
      <c r="Q4497" s="1"/>
      <c r="R4497" s="1"/>
      <c r="S4497" s="1"/>
      <c r="T4497" s="1"/>
      <c r="U4497" s="2">
        <f>IFERROR(__xludf.DUMMYFUNCTION("""COMPUTED_VALUE"""),0.0)</f>
        <v>0</v>
      </c>
      <c r="V4497" s="1" t="str">
        <f>IFERROR(__xludf.DUMMYFUNCTION("""COMPUTED_VALUE"""),"#N/A")</f>
        <v>#N/A</v>
      </c>
      <c r="W4497" s="1" t="str">
        <f>IFERROR(__xludf.DUMMYFUNCTION("""COMPUTED_VALUE"""),"#N/A")</f>
        <v>#N/A</v>
      </c>
    </row>
    <row r="4498">
      <c r="O4498" s="1" t="str">
        <f>IFERROR(__xludf.DUMMYFUNCTION("""COMPUTED_VALUE"""),"#VALUE!")</f>
        <v>#VALUE!</v>
      </c>
      <c r="P4498" s="1" t="str">
        <f>IFERROR(__xludf.DUMMYFUNCTION("""COMPUTED_VALUE"""),"#N/A")</f>
        <v>#N/A</v>
      </c>
      <c r="Q4498" s="1"/>
      <c r="R4498" s="1"/>
      <c r="S4498" s="1"/>
      <c r="T4498" s="1"/>
      <c r="U4498" s="2">
        <f>IFERROR(__xludf.DUMMYFUNCTION("""COMPUTED_VALUE"""),0.0)</f>
        <v>0</v>
      </c>
      <c r="V4498" s="1" t="str">
        <f>IFERROR(__xludf.DUMMYFUNCTION("""COMPUTED_VALUE"""),"#N/A")</f>
        <v>#N/A</v>
      </c>
      <c r="W4498" s="1" t="str">
        <f>IFERROR(__xludf.DUMMYFUNCTION("""COMPUTED_VALUE"""),"#N/A")</f>
        <v>#N/A</v>
      </c>
    </row>
    <row r="4499">
      <c r="O4499" s="1" t="str">
        <f>IFERROR(__xludf.DUMMYFUNCTION("""COMPUTED_VALUE"""),"#VALUE!")</f>
        <v>#VALUE!</v>
      </c>
      <c r="P4499" s="1" t="str">
        <f>IFERROR(__xludf.DUMMYFUNCTION("""COMPUTED_VALUE"""),"#N/A")</f>
        <v>#N/A</v>
      </c>
      <c r="Q4499" s="1"/>
      <c r="R4499" s="1"/>
      <c r="S4499" s="1"/>
      <c r="T4499" s="1"/>
      <c r="U4499" s="2">
        <f>IFERROR(__xludf.DUMMYFUNCTION("""COMPUTED_VALUE"""),0.0)</f>
        <v>0</v>
      </c>
      <c r="V4499" s="1" t="str">
        <f>IFERROR(__xludf.DUMMYFUNCTION("""COMPUTED_VALUE"""),"#N/A")</f>
        <v>#N/A</v>
      </c>
      <c r="W4499" s="1" t="str">
        <f>IFERROR(__xludf.DUMMYFUNCTION("""COMPUTED_VALUE"""),"#N/A")</f>
        <v>#N/A</v>
      </c>
    </row>
    <row r="4500">
      <c r="O4500" s="1" t="str">
        <f>IFERROR(__xludf.DUMMYFUNCTION("""COMPUTED_VALUE"""),"#VALUE!")</f>
        <v>#VALUE!</v>
      </c>
      <c r="P4500" s="1" t="str">
        <f>IFERROR(__xludf.DUMMYFUNCTION("""COMPUTED_VALUE"""),"#N/A")</f>
        <v>#N/A</v>
      </c>
      <c r="Q4500" s="1"/>
      <c r="R4500" s="1"/>
      <c r="S4500" s="1"/>
      <c r="T4500" s="1"/>
      <c r="U4500" s="2">
        <f>IFERROR(__xludf.DUMMYFUNCTION("""COMPUTED_VALUE"""),0.0)</f>
        <v>0</v>
      </c>
      <c r="V4500" s="1" t="str">
        <f>IFERROR(__xludf.DUMMYFUNCTION("""COMPUTED_VALUE"""),"#N/A")</f>
        <v>#N/A</v>
      </c>
      <c r="W4500" s="1" t="str">
        <f>IFERROR(__xludf.DUMMYFUNCTION("""COMPUTED_VALUE"""),"#N/A")</f>
        <v>#N/A</v>
      </c>
    </row>
    <row r="4501">
      <c r="O4501" s="1" t="str">
        <f>IFERROR(__xludf.DUMMYFUNCTION("""COMPUTED_VALUE"""),"#VALUE!")</f>
        <v>#VALUE!</v>
      </c>
      <c r="P4501" s="1" t="str">
        <f>IFERROR(__xludf.DUMMYFUNCTION("""COMPUTED_VALUE"""),"#N/A")</f>
        <v>#N/A</v>
      </c>
      <c r="Q4501" s="1"/>
      <c r="R4501" s="1"/>
      <c r="S4501" s="1"/>
      <c r="T4501" s="1"/>
      <c r="U4501" s="2">
        <f>IFERROR(__xludf.DUMMYFUNCTION("""COMPUTED_VALUE"""),0.0)</f>
        <v>0</v>
      </c>
      <c r="V4501" s="1" t="str">
        <f>IFERROR(__xludf.DUMMYFUNCTION("""COMPUTED_VALUE"""),"#N/A")</f>
        <v>#N/A</v>
      </c>
      <c r="W4501" s="1" t="str">
        <f>IFERROR(__xludf.DUMMYFUNCTION("""COMPUTED_VALUE"""),"#N/A")</f>
        <v>#N/A</v>
      </c>
    </row>
    <row r="4502">
      <c r="O4502" s="1" t="str">
        <f>IFERROR(__xludf.DUMMYFUNCTION("""COMPUTED_VALUE"""),"#VALUE!")</f>
        <v>#VALUE!</v>
      </c>
      <c r="P4502" s="1" t="str">
        <f>IFERROR(__xludf.DUMMYFUNCTION("""COMPUTED_VALUE"""),"#N/A")</f>
        <v>#N/A</v>
      </c>
      <c r="Q4502" s="1"/>
      <c r="R4502" s="1"/>
      <c r="S4502" s="1"/>
      <c r="T4502" s="1"/>
      <c r="U4502" s="2">
        <f>IFERROR(__xludf.DUMMYFUNCTION("""COMPUTED_VALUE"""),0.0)</f>
        <v>0</v>
      </c>
      <c r="V4502" s="1" t="str">
        <f>IFERROR(__xludf.DUMMYFUNCTION("""COMPUTED_VALUE"""),"#N/A")</f>
        <v>#N/A</v>
      </c>
      <c r="W4502" s="1" t="str">
        <f>IFERROR(__xludf.DUMMYFUNCTION("""COMPUTED_VALUE"""),"#N/A")</f>
        <v>#N/A</v>
      </c>
    </row>
    <row r="4503">
      <c r="O4503" s="1" t="str">
        <f>IFERROR(__xludf.DUMMYFUNCTION("""COMPUTED_VALUE"""),"#VALUE!")</f>
        <v>#VALUE!</v>
      </c>
      <c r="P4503" s="1" t="str">
        <f>IFERROR(__xludf.DUMMYFUNCTION("""COMPUTED_VALUE"""),"#N/A")</f>
        <v>#N/A</v>
      </c>
      <c r="Q4503" s="1"/>
      <c r="R4503" s="1"/>
      <c r="S4503" s="1"/>
      <c r="T4503" s="1"/>
      <c r="U4503" s="2">
        <f>IFERROR(__xludf.DUMMYFUNCTION("""COMPUTED_VALUE"""),0.0)</f>
        <v>0</v>
      </c>
      <c r="V4503" s="1" t="str">
        <f>IFERROR(__xludf.DUMMYFUNCTION("""COMPUTED_VALUE"""),"#N/A")</f>
        <v>#N/A</v>
      </c>
      <c r="W4503" s="1" t="str">
        <f>IFERROR(__xludf.DUMMYFUNCTION("""COMPUTED_VALUE"""),"#N/A")</f>
        <v>#N/A</v>
      </c>
    </row>
    <row r="4504">
      <c r="O4504" s="1" t="str">
        <f>IFERROR(__xludf.DUMMYFUNCTION("""COMPUTED_VALUE"""),"#VALUE!")</f>
        <v>#VALUE!</v>
      </c>
      <c r="P4504" s="1" t="str">
        <f>IFERROR(__xludf.DUMMYFUNCTION("""COMPUTED_VALUE"""),"#N/A")</f>
        <v>#N/A</v>
      </c>
      <c r="Q4504" s="1"/>
      <c r="R4504" s="1"/>
      <c r="S4504" s="1"/>
      <c r="T4504" s="1"/>
      <c r="U4504" s="2">
        <f>IFERROR(__xludf.DUMMYFUNCTION("""COMPUTED_VALUE"""),0.0)</f>
        <v>0</v>
      </c>
      <c r="V4504" s="1" t="str">
        <f>IFERROR(__xludf.DUMMYFUNCTION("""COMPUTED_VALUE"""),"#N/A")</f>
        <v>#N/A</v>
      </c>
      <c r="W4504" s="1" t="str">
        <f>IFERROR(__xludf.DUMMYFUNCTION("""COMPUTED_VALUE"""),"#N/A")</f>
        <v>#N/A</v>
      </c>
    </row>
    <row r="4505">
      <c r="O4505" s="1" t="str">
        <f>IFERROR(__xludf.DUMMYFUNCTION("""COMPUTED_VALUE"""),"#VALUE!")</f>
        <v>#VALUE!</v>
      </c>
      <c r="P4505" s="1" t="str">
        <f>IFERROR(__xludf.DUMMYFUNCTION("""COMPUTED_VALUE"""),"#N/A")</f>
        <v>#N/A</v>
      </c>
      <c r="Q4505" s="1"/>
      <c r="R4505" s="1"/>
      <c r="S4505" s="1"/>
      <c r="T4505" s="1"/>
      <c r="U4505" s="2">
        <f>IFERROR(__xludf.DUMMYFUNCTION("""COMPUTED_VALUE"""),0.0)</f>
        <v>0</v>
      </c>
      <c r="V4505" s="1" t="str">
        <f>IFERROR(__xludf.DUMMYFUNCTION("""COMPUTED_VALUE"""),"#N/A")</f>
        <v>#N/A</v>
      </c>
      <c r="W4505" s="1" t="str">
        <f>IFERROR(__xludf.DUMMYFUNCTION("""COMPUTED_VALUE"""),"#N/A")</f>
        <v>#N/A</v>
      </c>
    </row>
    <row r="4506">
      <c r="O4506" s="1" t="str">
        <f>IFERROR(__xludf.DUMMYFUNCTION("""COMPUTED_VALUE"""),"#VALUE!")</f>
        <v>#VALUE!</v>
      </c>
      <c r="P4506" s="1" t="str">
        <f>IFERROR(__xludf.DUMMYFUNCTION("""COMPUTED_VALUE"""),"#N/A")</f>
        <v>#N/A</v>
      </c>
      <c r="Q4506" s="1"/>
      <c r="R4506" s="1"/>
      <c r="S4506" s="1"/>
      <c r="T4506" s="1"/>
      <c r="U4506" s="2">
        <f>IFERROR(__xludf.DUMMYFUNCTION("""COMPUTED_VALUE"""),0.0)</f>
        <v>0</v>
      </c>
      <c r="V4506" s="1" t="str">
        <f>IFERROR(__xludf.DUMMYFUNCTION("""COMPUTED_VALUE"""),"#N/A")</f>
        <v>#N/A</v>
      </c>
      <c r="W4506" s="1" t="str">
        <f>IFERROR(__xludf.DUMMYFUNCTION("""COMPUTED_VALUE"""),"#N/A")</f>
        <v>#N/A</v>
      </c>
    </row>
    <row r="4507">
      <c r="O4507" s="1" t="str">
        <f>IFERROR(__xludf.DUMMYFUNCTION("""COMPUTED_VALUE"""),"#VALUE!")</f>
        <v>#VALUE!</v>
      </c>
      <c r="P4507" s="1" t="str">
        <f>IFERROR(__xludf.DUMMYFUNCTION("""COMPUTED_VALUE"""),"#N/A")</f>
        <v>#N/A</v>
      </c>
      <c r="Q4507" s="1"/>
      <c r="R4507" s="1"/>
      <c r="S4507" s="1"/>
      <c r="T4507" s="1"/>
      <c r="U4507" s="2">
        <f>IFERROR(__xludf.DUMMYFUNCTION("""COMPUTED_VALUE"""),0.0)</f>
        <v>0</v>
      </c>
      <c r="V4507" s="1" t="str">
        <f>IFERROR(__xludf.DUMMYFUNCTION("""COMPUTED_VALUE"""),"#N/A")</f>
        <v>#N/A</v>
      </c>
      <c r="W4507" s="1" t="str">
        <f>IFERROR(__xludf.DUMMYFUNCTION("""COMPUTED_VALUE"""),"#N/A")</f>
        <v>#N/A</v>
      </c>
    </row>
    <row r="4508">
      <c r="O4508" s="1" t="str">
        <f>IFERROR(__xludf.DUMMYFUNCTION("""COMPUTED_VALUE"""),"#VALUE!")</f>
        <v>#VALUE!</v>
      </c>
      <c r="P4508" s="1" t="str">
        <f>IFERROR(__xludf.DUMMYFUNCTION("""COMPUTED_VALUE"""),"#N/A")</f>
        <v>#N/A</v>
      </c>
      <c r="Q4508" s="1"/>
      <c r="R4508" s="1"/>
      <c r="S4508" s="1"/>
      <c r="T4508" s="1"/>
      <c r="U4508" s="2">
        <f>IFERROR(__xludf.DUMMYFUNCTION("""COMPUTED_VALUE"""),0.0)</f>
        <v>0</v>
      </c>
      <c r="V4508" s="1" t="str">
        <f>IFERROR(__xludf.DUMMYFUNCTION("""COMPUTED_VALUE"""),"#N/A")</f>
        <v>#N/A</v>
      </c>
      <c r="W4508" s="1" t="str">
        <f>IFERROR(__xludf.DUMMYFUNCTION("""COMPUTED_VALUE"""),"#N/A")</f>
        <v>#N/A</v>
      </c>
    </row>
    <row r="4509">
      <c r="O4509" s="1" t="str">
        <f>IFERROR(__xludf.DUMMYFUNCTION("""COMPUTED_VALUE"""),"#VALUE!")</f>
        <v>#VALUE!</v>
      </c>
      <c r="P4509" s="1" t="str">
        <f>IFERROR(__xludf.DUMMYFUNCTION("""COMPUTED_VALUE"""),"#N/A")</f>
        <v>#N/A</v>
      </c>
      <c r="Q4509" s="1"/>
      <c r="R4509" s="1"/>
      <c r="S4509" s="1"/>
      <c r="T4509" s="1"/>
      <c r="U4509" s="2">
        <f>IFERROR(__xludf.DUMMYFUNCTION("""COMPUTED_VALUE"""),0.0)</f>
        <v>0</v>
      </c>
      <c r="V4509" s="1" t="str">
        <f>IFERROR(__xludf.DUMMYFUNCTION("""COMPUTED_VALUE"""),"#N/A")</f>
        <v>#N/A</v>
      </c>
      <c r="W4509" s="1" t="str">
        <f>IFERROR(__xludf.DUMMYFUNCTION("""COMPUTED_VALUE"""),"#N/A")</f>
        <v>#N/A</v>
      </c>
    </row>
    <row r="4510">
      <c r="O4510" s="1" t="str">
        <f>IFERROR(__xludf.DUMMYFUNCTION("""COMPUTED_VALUE"""),"#VALUE!")</f>
        <v>#VALUE!</v>
      </c>
      <c r="P4510" s="1" t="str">
        <f>IFERROR(__xludf.DUMMYFUNCTION("""COMPUTED_VALUE"""),"#N/A")</f>
        <v>#N/A</v>
      </c>
      <c r="Q4510" s="1"/>
      <c r="R4510" s="1"/>
      <c r="S4510" s="1"/>
      <c r="T4510" s="1"/>
      <c r="U4510" s="2">
        <f>IFERROR(__xludf.DUMMYFUNCTION("""COMPUTED_VALUE"""),0.0)</f>
        <v>0</v>
      </c>
      <c r="V4510" s="1" t="str">
        <f>IFERROR(__xludf.DUMMYFUNCTION("""COMPUTED_VALUE"""),"#N/A")</f>
        <v>#N/A</v>
      </c>
      <c r="W4510" s="1" t="str">
        <f>IFERROR(__xludf.DUMMYFUNCTION("""COMPUTED_VALUE"""),"#N/A")</f>
        <v>#N/A</v>
      </c>
    </row>
    <row r="4511">
      <c r="O4511" s="1" t="str">
        <f>IFERROR(__xludf.DUMMYFUNCTION("""COMPUTED_VALUE"""),"#VALUE!")</f>
        <v>#VALUE!</v>
      </c>
      <c r="P4511" s="1" t="str">
        <f>IFERROR(__xludf.DUMMYFUNCTION("""COMPUTED_VALUE"""),"#N/A")</f>
        <v>#N/A</v>
      </c>
      <c r="Q4511" s="1"/>
      <c r="R4511" s="1"/>
      <c r="S4511" s="1"/>
      <c r="T4511" s="1"/>
      <c r="U4511" s="2">
        <f>IFERROR(__xludf.DUMMYFUNCTION("""COMPUTED_VALUE"""),0.0)</f>
        <v>0</v>
      </c>
      <c r="V4511" s="1" t="str">
        <f>IFERROR(__xludf.DUMMYFUNCTION("""COMPUTED_VALUE"""),"#N/A")</f>
        <v>#N/A</v>
      </c>
      <c r="W4511" s="1" t="str">
        <f>IFERROR(__xludf.DUMMYFUNCTION("""COMPUTED_VALUE"""),"#N/A")</f>
        <v>#N/A</v>
      </c>
    </row>
    <row r="4512">
      <c r="O4512" s="1" t="str">
        <f>IFERROR(__xludf.DUMMYFUNCTION("""COMPUTED_VALUE"""),"#VALUE!")</f>
        <v>#VALUE!</v>
      </c>
      <c r="P4512" s="1" t="str">
        <f>IFERROR(__xludf.DUMMYFUNCTION("""COMPUTED_VALUE"""),"#N/A")</f>
        <v>#N/A</v>
      </c>
      <c r="Q4512" s="1"/>
      <c r="R4512" s="1"/>
      <c r="S4512" s="1"/>
      <c r="T4512" s="1"/>
      <c r="U4512" s="2">
        <f>IFERROR(__xludf.DUMMYFUNCTION("""COMPUTED_VALUE"""),0.0)</f>
        <v>0</v>
      </c>
      <c r="V4512" s="1" t="str">
        <f>IFERROR(__xludf.DUMMYFUNCTION("""COMPUTED_VALUE"""),"#N/A")</f>
        <v>#N/A</v>
      </c>
      <c r="W4512" s="1" t="str">
        <f>IFERROR(__xludf.DUMMYFUNCTION("""COMPUTED_VALUE"""),"#N/A")</f>
        <v>#N/A</v>
      </c>
    </row>
    <row r="4513">
      <c r="O4513" s="1" t="str">
        <f>IFERROR(__xludf.DUMMYFUNCTION("""COMPUTED_VALUE"""),"#VALUE!")</f>
        <v>#VALUE!</v>
      </c>
      <c r="P4513" s="1" t="str">
        <f>IFERROR(__xludf.DUMMYFUNCTION("""COMPUTED_VALUE"""),"#N/A")</f>
        <v>#N/A</v>
      </c>
      <c r="Q4513" s="1"/>
      <c r="R4513" s="1"/>
      <c r="S4513" s="1"/>
      <c r="T4513" s="1"/>
      <c r="U4513" s="2">
        <f>IFERROR(__xludf.DUMMYFUNCTION("""COMPUTED_VALUE"""),0.0)</f>
        <v>0</v>
      </c>
      <c r="V4513" s="1" t="str">
        <f>IFERROR(__xludf.DUMMYFUNCTION("""COMPUTED_VALUE"""),"#N/A")</f>
        <v>#N/A</v>
      </c>
      <c r="W4513" s="1" t="str">
        <f>IFERROR(__xludf.DUMMYFUNCTION("""COMPUTED_VALUE"""),"#N/A")</f>
        <v>#N/A</v>
      </c>
    </row>
    <row r="4514">
      <c r="O4514" s="1" t="str">
        <f>IFERROR(__xludf.DUMMYFUNCTION("""COMPUTED_VALUE"""),"#VALUE!")</f>
        <v>#VALUE!</v>
      </c>
      <c r="P4514" s="1" t="str">
        <f>IFERROR(__xludf.DUMMYFUNCTION("""COMPUTED_VALUE"""),"#N/A")</f>
        <v>#N/A</v>
      </c>
      <c r="Q4514" s="1"/>
      <c r="R4514" s="1"/>
      <c r="S4514" s="1"/>
      <c r="T4514" s="1"/>
      <c r="U4514" s="2">
        <f>IFERROR(__xludf.DUMMYFUNCTION("""COMPUTED_VALUE"""),0.0)</f>
        <v>0</v>
      </c>
      <c r="V4514" s="1" t="str">
        <f>IFERROR(__xludf.DUMMYFUNCTION("""COMPUTED_VALUE"""),"#N/A")</f>
        <v>#N/A</v>
      </c>
      <c r="W4514" s="1" t="str">
        <f>IFERROR(__xludf.DUMMYFUNCTION("""COMPUTED_VALUE"""),"#N/A")</f>
        <v>#N/A</v>
      </c>
    </row>
    <row r="4515">
      <c r="O4515" s="1" t="str">
        <f>IFERROR(__xludf.DUMMYFUNCTION("""COMPUTED_VALUE"""),"#VALUE!")</f>
        <v>#VALUE!</v>
      </c>
      <c r="P4515" s="1" t="str">
        <f>IFERROR(__xludf.DUMMYFUNCTION("""COMPUTED_VALUE"""),"#N/A")</f>
        <v>#N/A</v>
      </c>
      <c r="Q4515" s="1"/>
      <c r="R4515" s="1"/>
      <c r="S4515" s="1"/>
      <c r="T4515" s="1"/>
      <c r="U4515" s="2">
        <f>IFERROR(__xludf.DUMMYFUNCTION("""COMPUTED_VALUE"""),0.0)</f>
        <v>0</v>
      </c>
      <c r="V4515" s="1" t="str">
        <f>IFERROR(__xludf.DUMMYFUNCTION("""COMPUTED_VALUE"""),"#N/A")</f>
        <v>#N/A</v>
      </c>
      <c r="W4515" s="1" t="str">
        <f>IFERROR(__xludf.DUMMYFUNCTION("""COMPUTED_VALUE"""),"#N/A")</f>
        <v>#N/A</v>
      </c>
    </row>
    <row r="4516">
      <c r="O4516" s="1" t="str">
        <f>IFERROR(__xludf.DUMMYFUNCTION("""COMPUTED_VALUE"""),"#VALUE!")</f>
        <v>#VALUE!</v>
      </c>
      <c r="P4516" s="1" t="str">
        <f>IFERROR(__xludf.DUMMYFUNCTION("""COMPUTED_VALUE"""),"#N/A")</f>
        <v>#N/A</v>
      </c>
      <c r="Q4516" s="1"/>
      <c r="R4516" s="1"/>
      <c r="S4516" s="1"/>
      <c r="T4516" s="1"/>
      <c r="U4516" s="2">
        <f>IFERROR(__xludf.DUMMYFUNCTION("""COMPUTED_VALUE"""),0.0)</f>
        <v>0</v>
      </c>
      <c r="V4516" s="1" t="str">
        <f>IFERROR(__xludf.DUMMYFUNCTION("""COMPUTED_VALUE"""),"#N/A")</f>
        <v>#N/A</v>
      </c>
      <c r="W4516" s="1" t="str">
        <f>IFERROR(__xludf.DUMMYFUNCTION("""COMPUTED_VALUE"""),"#N/A")</f>
        <v>#N/A</v>
      </c>
    </row>
    <row r="4517">
      <c r="O4517" s="1" t="str">
        <f>IFERROR(__xludf.DUMMYFUNCTION("""COMPUTED_VALUE"""),"#VALUE!")</f>
        <v>#VALUE!</v>
      </c>
      <c r="P4517" s="1" t="str">
        <f>IFERROR(__xludf.DUMMYFUNCTION("""COMPUTED_VALUE"""),"#N/A")</f>
        <v>#N/A</v>
      </c>
      <c r="Q4517" s="1"/>
      <c r="R4517" s="1"/>
      <c r="S4517" s="1"/>
      <c r="T4517" s="1"/>
      <c r="U4517" s="2">
        <f>IFERROR(__xludf.DUMMYFUNCTION("""COMPUTED_VALUE"""),0.0)</f>
        <v>0</v>
      </c>
      <c r="V4517" s="1" t="str">
        <f>IFERROR(__xludf.DUMMYFUNCTION("""COMPUTED_VALUE"""),"#N/A")</f>
        <v>#N/A</v>
      </c>
      <c r="W4517" s="1" t="str">
        <f>IFERROR(__xludf.DUMMYFUNCTION("""COMPUTED_VALUE"""),"#N/A")</f>
        <v>#N/A</v>
      </c>
    </row>
    <row r="4518">
      <c r="O4518" s="1" t="str">
        <f>IFERROR(__xludf.DUMMYFUNCTION("""COMPUTED_VALUE"""),"#VALUE!")</f>
        <v>#VALUE!</v>
      </c>
      <c r="P4518" s="1" t="str">
        <f>IFERROR(__xludf.DUMMYFUNCTION("""COMPUTED_VALUE"""),"#N/A")</f>
        <v>#N/A</v>
      </c>
      <c r="Q4518" s="1"/>
      <c r="R4518" s="1"/>
      <c r="S4518" s="1"/>
      <c r="T4518" s="1"/>
      <c r="U4518" s="2">
        <f>IFERROR(__xludf.DUMMYFUNCTION("""COMPUTED_VALUE"""),0.0)</f>
        <v>0</v>
      </c>
      <c r="V4518" s="1" t="str">
        <f>IFERROR(__xludf.DUMMYFUNCTION("""COMPUTED_VALUE"""),"#N/A")</f>
        <v>#N/A</v>
      </c>
      <c r="W4518" s="1" t="str">
        <f>IFERROR(__xludf.DUMMYFUNCTION("""COMPUTED_VALUE"""),"#N/A")</f>
        <v>#N/A</v>
      </c>
    </row>
    <row r="4519">
      <c r="O4519" s="1" t="str">
        <f>IFERROR(__xludf.DUMMYFUNCTION("""COMPUTED_VALUE"""),"#VALUE!")</f>
        <v>#VALUE!</v>
      </c>
      <c r="P4519" s="1" t="str">
        <f>IFERROR(__xludf.DUMMYFUNCTION("""COMPUTED_VALUE"""),"#N/A")</f>
        <v>#N/A</v>
      </c>
      <c r="Q4519" s="1"/>
      <c r="R4519" s="1"/>
      <c r="S4519" s="1"/>
      <c r="T4519" s="1"/>
      <c r="U4519" s="2">
        <f>IFERROR(__xludf.DUMMYFUNCTION("""COMPUTED_VALUE"""),0.0)</f>
        <v>0</v>
      </c>
      <c r="V4519" s="1" t="str">
        <f>IFERROR(__xludf.DUMMYFUNCTION("""COMPUTED_VALUE"""),"#N/A")</f>
        <v>#N/A</v>
      </c>
      <c r="W4519" s="1" t="str">
        <f>IFERROR(__xludf.DUMMYFUNCTION("""COMPUTED_VALUE"""),"#N/A")</f>
        <v>#N/A</v>
      </c>
    </row>
    <row r="4520">
      <c r="O4520" s="1" t="str">
        <f>IFERROR(__xludf.DUMMYFUNCTION("""COMPUTED_VALUE"""),"#VALUE!")</f>
        <v>#VALUE!</v>
      </c>
      <c r="P4520" s="1" t="str">
        <f>IFERROR(__xludf.DUMMYFUNCTION("""COMPUTED_VALUE"""),"#N/A")</f>
        <v>#N/A</v>
      </c>
      <c r="Q4520" s="1"/>
      <c r="R4520" s="1"/>
      <c r="S4520" s="1"/>
      <c r="T4520" s="1"/>
      <c r="U4520" s="2">
        <f>IFERROR(__xludf.DUMMYFUNCTION("""COMPUTED_VALUE"""),0.0)</f>
        <v>0</v>
      </c>
      <c r="V4520" s="1" t="str">
        <f>IFERROR(__xludf.DUMMYFUNCTION("""COMPUTED_VALUE"""),"#N/A")</f>
        <v>#N/A</v>
      </c>
      <c r="W4520" s="1" t="str">
        <f>IFERROR(__xludf.DUMMYFUNCTION("""COMPUTED_VALUE"""),"#N/A")</f>
        <v>#N/A</v>
      </c>
    </row>
    <row r="4521">
      <c r="O4521" s="1" t="str">
        <f>IFERROR(__xludf.DUMMYFUNCTION("""COMPUTED_VALUE"""),"#VALUE!")</f>
        <v>#VALUE!</v>
      </c>
      <c r="P4521" s="1" t="str">
        <f>IFERROR(__xludf.DUMMYFUNCTION("""COMPUTED_VALUE"""),"#N/A")</f>
        <v>#N/A</v>
      </c>
      <c r="Q4521" s="1"/>
      <c r="R4521" s="1"/>
      <c r="S4521" s="1"/>
      <c r="T4521" s="1"/>
      <c r="U4521" s="2">
        <f>IFERROR(__xludf.DUMMYFUNCTION("""COMPUTED_VALUE"""),0.0)</f>
        <v>0</v>
      </c>
      <c r="V4521" s="1" t="str">
        <f>IFERROR(__xludf.DUMMYFUNCTION("""COMPUTED_VALUE"""),"#N/A")</f>
        <v>#N/A</v>
      </c>
      <c r="W4521" s="1" t="str">
        <f>IFERROR(__xludf.DUMMYFUNCTION("""COMPUTED_VALUE"""),"#N/A")</f>
        <v>#N/A</v>
      </c>
    </row>
    <row r="4522">
      <c r="O4522" s="1" t="str">
        <f>IFERROR(__xludf.DUMMYFUNCTION("""COMPUTED_VALUE"""),"#VALUE!")</f>
        <v>#VALUE!</v>
      </c>
      <c r="P4522" s="1" t="str">
        <f>IFERROR(__xludf.DUMMYFUNCTION("""COMPUTED_VALUE"""),"#N/A")</f>
        <v>#N/A</v>
      </c>
      <c r="Q4522" s="1"/>
      <c r="R4522" s="1"/>
      <c r="S4522" s="1"/>
      <c r="T4522" s="1"/>
      <c r="U4522" s="2">
        <f>IFERROR(__xludf.DUMMYFUNCTION("""COMPUTED_VALUE"""),0.0)</f>
        <v>0</v>
      </c>
      <c r="V4522" s="1" t="str">
        <f>IFERROR(__xludf.DUMMYFUNCTION("""COMPUTED_VALUE"""),"#N/A")</f>
        <v>#N/A</v>
      </c>
      <c r="W4522" s="1" t="str">
        <f>IFERROR(__xludf.DUMMYFUNCTION("""COMPUTED_VALUE"""),"#N/A")</f>
        <v>#N/A</v>
      </c>
    </row>
    <row r="4523">
      <c r="O4523" s="1" t="str">
        <f>IFERROR(__xludf.DUMMYFUNCTION("""COMPUTED_VALUE"""),"#VALUE!")</f>
        <v>#VALUE!</v>
      </c>
      <c r="P4523" s="1" t="str">
        <f>IFERROR(__xludf.DUMMYFUNCTION("""COMPUTED_VALUE"""),"#N/A")</f>
        <v>#N/A</v>
      </c>
      <c r="Q4523" s="1"/>
      <c r="R4523" s="1"/>
      <c r="S4523" s="1"/>
      <c r="T4523" s="1"/>
      <c r="U4523" s="2">
        <f>IFERROR(__xludf.DUMMYFUNCTION("""COMPUTED_VALUE"""),0.0)</f>
        <v>0</v>
      </c>
      <c r="V4523" s="1" t="str">
        <f>IFERROR(__xludf.DUMMYFUNCTION("""COMPUTED_VALUE"""),"#N/A")</f>
        <v>#N/A</v>
      </c>
      <c r="W4523" s="1" t="str">
        <f>IFERROR(__xludf.DUMMYFUNCTION("""COMPUTED_VALUE"""),"#N/A")</f>
        <v>#N/A</v>
      </c>
    </row>
    <row r="4524">
      <c r="O4524" s="1" t="str">
        <f>IFERROR(__xludf.DUMMYFUNCTION("""COMPUTED_VALUE"""),"#VALUE!")</f>
        <v>#VALUE!</v>
      </c>
      <c r="P4524" s="1" t="str">
        <f>IFERROR(__xludf.DUMMYFUNCTION("""COMPUTED_VALUE"""),"#N/A")</f>
        <v>#N/A</v>
      </c>
      <c r="Q4524" s="1"/>
      <c r="R4524" s="1"/>
      <c r="S4524" s="1"/>
      <c r="T4524" s="1"/>
      <c r="U4524" s="2">
        <f>IFERROR(__xludf.DUMMYFUNCTION("""COMPUTED_VALUE"""),0.0)</f>
        <v>0</v>
      </c>
      <c r="V4524" s="1" t="str">
        <f>IFERROR(__xludf.DUMMYFUNCTION("""COMPUTED_VALUE"""),"#N/A")</f>
        <v>#N/A</v>
      </c>
      <c r="W4524" s="1" t="str">
        <f>IFERROR(__xludf.DUMMYFUNCTION("""COMPUTED_VALUE"""),"#N/A")</f>
        <v>#N/A</v>
      </c>
    </row>
    <row r="4525">
      <c r="O4525" s="1" t="str">
        <f>IFERROR(__xludf.DUMMYFUNCTION("""COMPUTED_VALUE"""),"#VALUE!")</f>
        <v>#VALUE!</v>
      </c>
      <c r="P4525" s="1" t="str">
        <f>IFERROR(__xludf.DUMMYFUNCTION("""COMPUTED_VALUE"""),"#N/A")</f>
        <v>#N/A</v>
      </c>
      <c r="Q4525" s="1"/>
      <c r="R4525" s="1"/>
      <c r="S4525" s="1"/>
      <c r="T4525" s="1"/>
      <c r="U4525" s="2">
        <f>IFERROR(__xludf.DUMMYFUNCTION("""COMPUTED_VALUE"""),0.0)</f>
        <v>0</v>
      </c>
      <c r="V4525" s="1" t="str">
        <f>IFERROR(__xludf.DUMMYFUNCTION("""COMPUTED_VALUE"""),"#N/A")</f>
        <v>#N/A</v>
      </c>
      <c r="W4525" s="1" t="str">
        <f>IFERROR(__xludf.DUMMYFUNCTION("""COMPUTED_VALUE"""),"#N/A")</f>
        <v>#N/A</v>
      </c>
    </row>
    <row r="4526">
      <c r="O4526" s="1" t="str">
        <f>IFERROR(__xludf.DUMMYFUNCTION("""COMPUTED_VALUE"""),"#VALUE!")</f>
        <v>#VALUE!</v>
      </c>
      <c r="P4526" s="1" t="str">
        <f>IFERROR(__xludf.DUMMYFUNCTION("""COMPUTED_VALUE"""),"#N/A")</f>
        <v>#N/A</v>
      </c>
      <c r="Q4526" s="1"/>
      <c r="R4526" s="1"/>
      <c r="S4526" s="1"/>
      <c r="T4526" s="1"/>
      <c r="U4526" s="2">
        <f>IFERROR(__xludf.DUMMYFUNCTION("""COMPUTED_VALUE"""),0.0)</f>
        <v>0</v>
      </c>
      <c r="V4526" s="1" t="str">
        <f>IFERROR(__xludf.DUMMYFUNCTION("""COMPUTED_VALUE"""),"#N/A")</f>
        <v>#N/A</v>
      </c>
      <c r="W4526" s="1" t="str">
        <f>IFERROR(__xludf.DUMMYFUNCTION("""COMPUTED_VALUE"""),"#N/A")</f>
        <v>#N/A</v>
      </c>
    </row>
    <row r="4527">
      <c r="O4527" s="1" t="str">
        <f>IFERROR(__xludf.DUMMYFUNCTION("""COMPUTED_VALUE"""),"#VALUE!")</f>
        <v>#VALUE!</v>
      </c>
      <c r="P4527" s="1" t="str">
        <f>IFERROR(__xludf.DUMMYFUNCTION("""COMPUTED_VALUE"""),"#N/A")</f>
        <v>#N/A</v>
      </c>
      <c r="Q4527" s="1"/>
      <c r="R4527" s="1"/>
      <c r="S4527" s="1"/>
      <c r="T4527" s="1"/>
      <c r="U4527" s="2">
        <f>IFERROR(__xludf.DUMMYFUNCTION("""COMPUTED_VALUE"""),0.0)</f>
        <v>0</v>
      </c>
      <c r="V4527" s="1" t="str">
        <f>IFERROR(__xludf.DUMMYFUNCTION("""COMPUTED_VALUE"""),"#N/A")</f>
        <v>#N/A</v>
      </c>
      <c r="W4527" s="1" t="str">
        <f>IFERROR(__xludf.DUMMYFUNCTION("""COMPUTED_VALUE"""),"#N/A")</f>
        <v>#N/A</v>
      </c>
    </row>
    <row r="4528">
      <c r="O4528" s="1" t="str">
        <f>IFERROR(__xludf.DUMMYFUNCTION("""COMPUTED_VALUE"""),"#VALUE!")</f>
        <v>#VALUE!</v>
      </c>
      <c r="P4528" s="1" t="str">
        <f>IFERROR(__xludf.DUMMYFUNCTION("""COMPUTED_VALUE"""),"#N/A")</f>
        <v>#N/A</v>
      </c>
      <c r="Q4528" s="1"/>
      <c r="R4528" s="1"/>
      <c r="S4528" s="1"/>
      <c r="T4528" s="1"/>
      <c r="U4528" s="2">
        <f>IFERROR(__xludf.DUMMYFUNCTION("""COMPUTED_VALUE"""),0.0)</f>
        <v>0</v>
      </c>
      <c r="V4528" s="1" t="str">
        <f>IFERROR(__xludf.DUMMYFUNCTION("""COMPUTED_VALUE"""),"#N/A")</f>
        <v>#N/A</v>
      </c>
      <c r="W4528" s="1" t="str">
        <f>IFERROR(__xludf.DUMMYFUNCTION("""COMPUTED_VALUE"""),"#N/A")</f>
        <v>#N/A</v>
      </c>
    </row>
    <row r="4529">
      <c r="O4529" s="1" t="str">
        <f>IFERROR(__xludf.DUMMYFUNCTION("""COMPUTED_VALUE"""),"#VALUE!")</f>
        <v>#VALUE!</v>
      </c>
      <c r="P4529" s="1" t="str">
        <f>IFERROR(__xludf.DUMMYFUNCTION("""COMPUTED_VALUE"""),"#N/A")</f>
        <v>#N/A</v>
      </c>
      <c r="Q4529" s="1"/>
      <c r="R4529" s="1"/>
      <c r="S4529" s="1"/>
      <c r="T4529" s="1"/>
      <c r="U4529" s="2">
        <f>IFERROR(__xludf.DUMMYFUNCTION("""COMPUTED_VALUE"""),0.0)</f>
        <v>0</v>
      </c>
      <c r="V4529" s="1" t="str">
        <f>IFERROR(__xludf.DUMMYFUNCTION("""COMPUTED_VALUE"""),"#N/A")</f>
        <v>#N/A</v>
      </c>
      <c r="W4529" s="1" t="str">
        <f>IFERROR(__xludf.DUMMYFUNCTION("""COMPUTED_VALUE"""),"#N/A")</f>
        <v>#N/A</v>
      </c>
    </row>
    <row r="4530">
      <c r="O4530" s="1" t="str">
        <f>IFERROR(__xludf.DUMMYFUNCTION("""COMPUTED_VALUE"""),"#VALUE!")</f>
        <v>#VALUE!</v>
      </c>
      <c r="P4530" s="1" t="str">
        <f>IFERROR(__xludf.DUMMYFUNCTION("""COMPUTED_VALUE"""),"#N/A")</f>
        <v>#N/A</v>
      </c>
      <c r="Q4530" s="1"/>
      <c r="R4530" s="1"/>
      <c r="S4530" s="1"/>
      <c r="T4530" s="1"/>
      <c r="U4530" s="2">
        <f>IFERROR(__xludf.DUMMYFUNCTION("""COMPUTED_VALUE"""),0.0)</f>
        <v>0</v>
      </c>
      <c r="V4530" s="1" t="str">
        <f>IFERROR(__xludf.DUMMYFUNCTION("""COMPUTED_VALUE"""),"#N/A")</f>
        <v>#N/A</v>
      </c>
      <c r="W4530" s="1" t="str">
        <f>IFERROR(__xludf.DUMMYFUNCTION("""COMPUTED_VALUE"""),"#N/A")</f>
        <v>#N/A</v>
      </c>
    </row>
    <row r="4531">
      <c r="O4531" s="1" t="str">
        <f>IFERROR(__xludf.DUMMYFUNCTION("""COMPUTED_VALUE"""),"#VALUE!")</f>
        <v>#VALUE!</v>
      </c>
      <c r="P4531" s="1" t="str">
        <f>IFERROR(__xludf.DUMMYFUNCTION("""COMPUTED_VALUE"""),"#N/A")</f>
        <v>#N/A</v>
      </c>
      <c r="Q4531" s="1"/>
      <c r="R4531" s="1"/>
      <c r="S4531" s="1"/>
      <c r="T4531" s="1"/>
      <c r="U4531" s="2">
        <f>IFERROR(__xludf.DUMMYFUNCTION("""COMPUTED_VALUE"""),0.0)</f>
        <v>0</v>
      </c>
      <c r="V4531" s="1" t="str">
        <f>IFERROR(__xludf.DUMMYFUNCTION("""COMPUTED_VALUE"""),"#N/A")</f>
        <v>#N/A</v>
      </c>
      <c r="W4531" s="1" t="str">
        <f>IFERROR(__xludf.DUMMYFUNCTION("""COMPUTED_VALUE"""),"#N/A")</f>
        <v>#N/A</v>
      </c>
    </row>
    <row r="4532">
      <c r="O4532" s="1" t="str">
        <f>IFERROR(__xludf.DUMMYFUNCTION("""COMPUTED_VALUE"""),"#VALUE!")</f>
        <v>#VALUE!</v>
      </c>
      <c r="P4532" s="1" t="str">
        <f>IFERROR(__xludf.DUMMYFUNCTION("""COMPUTED_VALUE"""),"#N/A")</f>
        <v>#N/A</v>
      </c>
      <c r="Q4532" s="1"/>
      <c r="R4532" s="1"/>
      <c r="S4532" s="1"/>
      <c r="T4532" s="1"/>
      <c r="U4532" s="2">
        <f>IFERROR(__xludf.DUMMYFUNCTION("""COMPUTED_VALUE"""),0.0)</f>
        <v>0</v>
      </c>
      <c r="V4532" s="1" t="str">
        <f>IFERROR(__xludf.DUMMYFUNCTION("""COMPUTED_VALUE"""),"#N/A")</f>
        <v>#N/A</v>
      </c>
      <c r="W4532" s="1" t="str">
        <f>IFERROR(__xludf.DUMMYFUNCTION("""COMPUTED_VALUE"""),"#N/A")</f>
        <v>#N/A</v>
      </c>
    </row>
    <row r="4533">
      <c r="O4533" s="1" t="str">
        <f>IFERROR(__xludf.DUMMYFUNCTION("""COMPUTED_VALUE"""),"#VALUE!")</f>
        <v>#VALUE!</v>
      </c>
      <c r="P4533" s="1" t="str">
        <f>IFERROR(__xludf.DUMMYFUNCTION("""COMPUTED_VALUE"""),"#N/A")</f>
        <v>#N/A</v>
      </c>
      <c r="Q4533" s="1"/>
      <c r="R4533" s="1"/>
      <c r="S4533" s="1"/>
      <c r="T4533" s="1"/>
      <c r="U4533" s="2">
        <f>IFERROR(__xludf.DUMMYFUNCTION("""COMPUTED_VALUE"""),0.0)</f>
        <v>0</v>
      </c>
      <c r="V4533" s="1" t="str">
        <f>IFERROR(__xludf.DUMMYFUNCTION("""COMPUTED_VALUE"""),"#N/A")</f>
        <v>#N/A</v>
      </c>
      <c r="W4533" s="1" t="str">
        <f>IFERROR(__xludf.DUMMYFUNCTION("""COMPUTED_VALUE"""),"#N/A")</f>
        <v>#N/A</v>
      </c>
    </row>
    <row r="4534">
      <c r="O4534" s="1" t="str">
        <f>IFERROR(__xludf.DUMMYFUNCTION("""COMPUTED_VALUE"""),"#VALUE!")</f>
        <v>#VALUE!</v>
      </c>
      <c r="P4534" s="1" t="str">
        <f>IFERROR(__xludf.DUMMYFUNCTION("""COMPUTED_VALUE"""),"#N/A")</f>
        <v>#N/A</v>
      </c>
      <c r="Q4534" s="1"/>
      <c r="R4534" s="1"/>
      <c r="S4534" s="1"/>
      <c r="T4534" s="1"/>
      <c r="U4534" s="2">
        <f>IFERROR(__xludf.DUMMYFUNCTION("""COMPUTED_VALUE"""),0.0)</f>
        <v>0</v>
      </c>
      <c r="V4534" s="1" t="str">
        <f>IFERROR(__xludf.DUMMYFUNCTION("""COMPUTED_VALUE"""),"#N/A")</f>
        <v>#N/A</v>
      </c>
      <c r="W4534" s="1" t="str">
        <f>IFERROR(__xludf.DUMMYFUNCTION("""COMPUTED_VALUE"""),"#N/A")</f>
        <v>#N/A</v>
      </c>
    </row>
    <row r="4535">
      <c r="O4535" s="1" t="str">
        <f>IFERROR(__xludf.DUMMYFUNCTION("""COMPUTED_VALUE"""),"#VALUE!")</f>
        <v>#VALUE!</v>
      </c>
      <c r="P4535" s="1" t="str">
        <f>IFERROR(__xludf.DUMMYFUNCTION("""COMPUTED_VALUE"""),"#N/A")</f>
        <v>#N/A</v>
      </c>
      <c r="Q4535" s="1"/>
      <c r="R4535" s="1"/>
      <c r="S4535" s="1"/>
      <c r="T4535" s="1"/>
      <c r="U4535" s="2">
        <f>IFERROR(__xludf.DUMMYFUNCTION("""COMPUTED_VALUE"""),0.0)</f>
        <v>0</v>
      </c>
      <c r="V4535" s="1" t="str">
        <f>IFERROR(__xludf.DUMMYFUNCTION("""COMPUTED_VALUE"""),"#N/A")</f>
        <v>#N/A</v>
      </c>
      <c r="W4535" s="1" t="str">
        <f>IFERROR(__xludf.DUMMYFUNCTION("""COMPUTED_VALUE"""),"#N/A")</f>
        <v>#N/A</v>
      </c>
    </row>
    <row r="4536">
      <c r="O4536" s="1" t="str">
        <f>IFERROR(__xludf.DUMMYFUNCTION("""COMPUTED_VALUE"""),"#VALUE!")</f>
        <v>#VALUE!</v>
      </c>
      <c r="P4536" s="1" t="str">
        <f>IFERROR(__xludf.DUMMYFUNCTION("""COMPUTED_VALUE"""),"#N/A")</f>
        <v>#N/A</v>
      </c>
      <c r="Q4536" s="1"/>
      <c r="R4536" s="1"/>
      <c r="S4536" s="1"/>
      <c r="T4536" s="1"/>
      <c r="U4536" s="2">
        <f>IFERROR(__xludf.DUMMYFUNCTION("""COMPUTED_VALUE"""),0.0)</f>
        <v>0</v>
      </c>
      <c r="V4536" s="1" t="str">
        <f>IFERROR(__xludf.DUMMYFUNCTION("""COMPUTED_VALUE"""),"#N/A")</f>
        <v>#N/A</v>
      </c>
      <c r="W4536" s="1" t="str">
        <f>IFERROR(__xludf.DUMMYFUNCTION("""COMPUTED_VALUE"""),"#N/A")</f>
        <v>#N/A</v>
      </c>
    </row>
    <row r="4537">
      <c r="O4537" s="1" t="str">
        <f>IFERROR(__xludf.DUMMYFUNCTION("""COMPUTED_VALUE"""),"#VALUE!")</f>
        <v>#VALUE!</v>
      </c>
      <c r="P4537" s="1" t="str">
        <f>IFERROR(__xludf.DUMMYFUNCTION("""COMPUTED_VALUE"""),"#N/A")</f>
        <v>#N/A</v>
      </c>
      <c r="Q4537" s="1"/>
      <c r="R4537" s="1"/>
      <c r="S4537" s="1"/>
      <c r="T4537" s="1"/>
      <c r="U4537" s="2">
        <f>IFERROR(__xludf.DUMMYFUNCTION("""COMPUTED_VALUE"""),0.0)</f>
        <v>0</v>
      </c>
      <c r="V4537" s="1" t="str">
        <f>IFERROR(__xludf.DUMMYFUNCTION("""COMPUTED_VALUE"""),"#N/A")</f>
        <v>#N/A</v>
      </c>
      <c r="W4537" s="1" t="str">
        <f>IFERROR(__xludf.DUMMYFUNCTION("""COMPUTED_VALUE"""),"#N/A")</f>
        <v>#N/A</v>
      </c>
    </row>
    <row r="4538">
      <c r="O4538" s="1" t="str">
        <f>IFERROR(__xludf.DUMMYFUNCTION("""COMPUTED_VALUE"""),"#VALUE!")</f>
        <v>#VALUE!</v>
      </c>
      <c r="P4538" s="1" t="str">
        <f>IFERROR(__xludf.DUMMYFUNCTION("""COMPUTED_VALUE"""),"#N/A")</f>
        <v>#N/A</v>
      </c>
      <c r="Q4538" s="1"/>
      <c r="R4538" s="1"/>
      <c r="S4538" s="1"/>
      <c r="T4538" s="1"/>
      <c r="U4538" s="2">
        <f>IFERROR(__xludf.DUMMYFUNCTION("""COMPUTED_VALUE"""),0.0)</f>
        <v>0</v>
      </c>
      <c r="V4538" s="1" t="str">
        <f>IFERROR(__xludf.DUMMYFUNCTION("""COMPUTED_VALUE"""),"#N/A")</f>
        <v>#N/A</v>
      </c>
      <c r="W4538" s="1" t="str">
        <f>IFERROR(__xludf.DUMMYFUNCTION("""COMPUTED_VALUE"""),"#N/A")</f>
        <v>#N/A</v>
      </c>
    </row>
    <row r="4539">
      <c r="O4539" s="1" t="str">
        <f>IFERROR(__xludf.DUMMYFUNCTION("""COMPUTED_VALUE"""),"#VALUE!")</f>
        <v>#VALUE!</v>
      </c>
      <c r="P4539" s="1" t="str">
        <f>IFERROR(__xludf.DUMMYFUNCTION("""COMPUTED_VALUE"""),"#N/A")</f>
        <v>#N/A</v>
      </c>
      <c r="Q4539" s="1"/>
      <c r="R4539" s="1"/>
      <c r="S4539" s="1"/>
      <c r="T4539" s="1"/>
      <c r="U4539" s="2">
        <f>IFERROR(__xludf.DUMMYFUNCTION("""COMPUTED_VALUE"""),0.0)</f>
        <v>0</v>
      </c>
      <c r="V4539" s="1" t="str">
        <f>IFERROR(__xludf.DUMMYFUNCTION("""COMPUTED_VALUE"""),"#N/A")</f>
        <v>#N/A</v>
      </c>
      <c r="W4539" s="1" t="str">
        <f>IFERROR(__xludf.DUMMYFUNCTION("""COMPUTED_VALUE"""),"#N/A")</f>
        <v>#N/A</v>
      </c>
    </row>
    <row r="4540">
      <c r="O4540" s="1" t="str">
        <f>IFERROR(__xludf.DUMMYFUNCTION("""COMPUTED_VALUE"""),"#VALUE!")</f>
        <v>#VALUE!</v>
      </c>
      <c r="P4540" s="1" t="str">
        <f>IFERROR(__xludf.DUMMYFUNCTION("""COMPUTED_VALUE"""),"#N/A")</f>
        <v>#N/A</v>
      </c>
      <c r="Q4540" s="1"/>
      <c r="R4540" s="1"/>
      <c r="S4540" s="1"/>
      <c r="T4540" s="1"/>
      <c r="U4540" s="2">
        <f>IFERROR(__xludf.DUMMYFUNCTION("""COMPUTED_VALUE"""),0.0)</f>
        <v>0</v>
      </c>
      <c r="V4540" s="1" t="str">
        <f>IFERROR(__xludf.DUMMYFUNCTION("""COMPUTED_VALUE"""),"#N/A")</f>
        <v>#N/A</v>
      </c>
      <c r="W4540" s="1" t="str">
        <f>IFERROR(__xludf.DUMMYFUNCTION("""COMPUTED_VALUE"""),"#N/A")</f>
        <v>#N/A</v>
      </c>
    </row>
    <row r="4541">
      <c r="O4541" s="1" t="str">
        <f>IFERROR(__xludf.DUMMYFUNCTION("""COMPUTED_VALUE"""),"#VALUE!")</f>
        <v>#VALUE!</v>
      </c>
      <c r="P4541" s="1" t="str">
        <f>IFERROR(__xludf.DUMMYFUNCTION("""COMPUTED_VALUE"""),"#N/A")</f>
        <v>#N/A</v>
      </c>
      <c r="Q4541" s="1"/>
      <c r="R4541" s="1"/>
      <c r="S4541" s="1"/>
      <c r="T4541" s="1"/>
      <c r="U4541" s="2">
        <f>IFERROR(__xludf.DUMMYFUNCTION("""COMPUTED_VALUE"""),0.0)</f>
        <v>0</v>
      </c>
      <c r="V4541" s="1" t="str">
        <f>IFERROR(__xludf.DUMMYFUNCTION("""COMPUTED_VALUE"""),"#N/A")</f>
        <v>#N/A</v>
      </c>
      <c r="W4541" s="1" t="str">
        <f>IFERROR(__xludf.DUMMYFUNCTION("""COMPUTED_VALUE"""),"#N/A")</f>
        <v>#N/A</v>
      </c>
    </row>
    <row r="4542">
      <c r="O4542" s="1" t="str">
        <f>IFERROR(__xludf.DUMMYFUNCTION("""COMPUTED_VALUE"""),"#VALUE!")</f>
        <v>#VALUE!</v>
      </c>
      <c r="P4542" s="1" t="str">
        <f>IFERROR(__xludf.DUMMYFUNCTION("""COMPUTED_VALUE"""),"#N/A")</f>
        <v>#N/A</v>
      </c>
      <c r="Q4542" s="1"/>
      <c r="R4542" s="1"/>
      <c r="S4542" s="1"/>
      <c r="T4542" s="1"/>
      <c r="U4542" s="2">
        <f>IFERROR(__xludf.DUMMYFUNCTION("""COMPUTED_VALUE"""),0.0)</f>
        <v>0</v>
      </c>
      <c r="V4542" s="1" t="str">
        <f>IFERROR(__xludf.DUMMYFUNCTION("""COMPUTED_VALUE"""),"#N/A")</f>
        <v>#N/A</v>
      </c>
      <c r="W4542" s="1" t="str">
        <f>IFERROR(__xludf.DUMMYFUNCTION("""COMPUTED_VALUE"""),"#N/A")</f>
        <v>#N/A</v>
      </c>
    </row>
    <row r="4543">
      <c r="O4543" s="1" t="str">
        <f>IFERROR(__xludf.DUMMYFUNCTION("""COMPUTED_VALUE"""),"#VALUE!")</f>
        <v>#VALUE!</v>
      </c>
      <c r="P4543" s="1" t="str">
        <f>IFERROR(__xludf.DUMMYFUNCTION("""COMPUTED_VALUE"""),"#N/A")</f>
        <v>#N/A</v>
      </c>
      <c r="Q4543" s="1"/>
      <c r="R4543" s="1"/>
      <c r="S4543" s="1"/>
      <c r="T4543" s="1"/>
      <c r="U4543" s="2">
        <f>IFERROR(__xludf.DUMMYFUNCTION("""COMPUTED_VALUE"""),0.0)</f>
        <v>0</v>
      </c>
      <c r="V4543" s="1" t="str">
        <f>IFERROR(__xludf.DUMMYFUNCTION("""COMPUTED_VALUE"""),"#N/A")</f>
        <v>#N/A</v>
      </c>
      <c r="W4543" s="1" t="str">
        <f>IFERROR(__xludf.DUMMYFUNCTION("""COMPUTED_VALUE"""),"#N/A")</f>
        <v>#N/A</v>
      </c>
    </row>
    <row r="4544">
      <c r="O4544" s="1" t="str">
        <f>IFERROR(__xludf.DUMMYFUNCTION("""COMPUTED_VALUE"""),"#VALUE!")</f>
        <v>#VALUE!</v>
      </c>
      <c r="P4544" s="1" t="str">
        <f>IFERROR(__xludf.DUMMYFUNCTION("""COMPUTED_VALUE"""),"#N/A")</f>
        <v>#N/A</v>
      </c>
      <c r="Q4544" s="1"/>
      <c r="R4544" s="1"/>
      <c r="S4544" s="1"/>
      <c r="T4544" s="1"/>
      <c r="U4544" s="2">
        <f>IFERROR(__xludf.DUMMYFUNCTION("""COMPUTED_VALUE"""),0.0)</f>
        <v>0</v>
      </c>
      <c r="V4544" s="1" t="str">
        <f>IFERROR(__xludf.DUMMYFUNCTION("""COMPUTED_VALUE"""),"#N/A")</f>
        <v>#N/A</v>
      </c>
      <c r="W4544" s="1" t="str">
        <f>IFERROR(__xludf.DUMMYFUNCTION("""COMPUTED_VALUE"""),"#N/A")</f>
        <v>#N/A</v>
      </c>
    </row>
    <row r="4545">
      <c r="O4545" s="1" t="str">
        <f>IFERROR(__xludf.DUMMYFUNCTION("""COMPUTED_VALUE"""),"#VALUE!")</f>
        <v>#VALUE!</v>
      </c>
      <c r="P4545" s="1" t="str">
        <f>IFERROR(__xludf.DUMMYFUNCTION("""COMPUTED_VALUE"""),"#N/A")</f>
        <v>#N/A</v>
      </c>
      <c r="Q4545" s="1"/>
      <c r="R4545" s="1"/>
      <c r="S4545" s="1"/>
      <c r="T4545" s="1"/>
      <c r="U4545" s="2">
        <f>IFERROR(__xludf.DUMMYFUNCTION("""COMPUTED_VALUE"""),0.0)</f>
        <v>0</v>
      </c>
      <c r="V4545" s="1" t="str">
        <f>IFERROR(__xludf.DUMMYFUNCTION("""COMPUTED_VALUE"""),"#N/A")</f>
        <v>#N/A</v>
      </c>
      <c r="W4545" s="1" t="str">
        <f>IFERROR(__xludf.DUMMYFUNCTION("""COMPUTED_VALUE"""),"#N/A")</f>
        <v>#N/A</v>
      </c>
    </row>
    <row r="4546">
      <c r="O4546" s="1" t="str">
        <f>IFERROR(__xludf.DUMMYFUNCTION("""COMPUTED_VALUE"""),"#VALUE!")</f>
        <v>#VALUE!</v>
      </c>
      <c r="P4546" s="1" t="str">
        <f>IFERROR(__xludf.DUMMYFUNCTION("""COMPUTED_VALUE"""),"#N/A")</f>
        <v>#N/A</v>
      </c>
      <c r="Q4546" s="1"/>
      <c r="R4546" s="1"/>
      <c r="S4546" s="1"/>
      <c r="T4546" s="1"/>
      <c r="U4546" s="2">
        <f>IFERROR(__xludf.DUMMYFUNCTION("""COMPUTED_VALUE"""),0.0)</f>
        <v>0</v>
      </c>
      <c r="V4546" s="1" t="str">
        <f>IFERROR(__xludf.DUMMYFUNCTION("""COMPUTED_VALUE"""),"#N/A")</f>
        <v>#N/A</v>
      </c>
      <c r="W4546" s="1" t="str">
        <f>IFERROR(__xludf.DUMMYFUNCTION("""COMPUTED_VALUE"""),"#N/A")</f>
        <v>#N/A</v>
      </c>
    </row>
    <row r="4547">
      <c r="O4547" s="1" t="str">
        <f>IFERROR(__xludf.DUMMYFUNCTION("""COMPUTED_VALUE"""),"#VALUE!")</f>
        <v>#VALUE!</v>
      </c>
      <c r="P4547" s="1" t="str">
        <f>IFERROR(__xludf.DUMMYFUNCTION("""COMPUTED_VALUE"""),"#N/A")</f>
        <v>#N/A</v>
      </c>
      <c r="Q4547" s="1"/>
      <c r="R4547" s="1"/>
      <c r="S4547" s="1"/>
      <c r="T4547" s="1"/>
      <c r="U4547" s="2">
        <f>IFERROR(__xludf.DUMMYFUNCTION("""COMPUTED_VALUE"""),0.0)</f>
        <v>0</v>
      </c>
      <c r="V4547" s="1" t="str">
        <f>IFERROR(__xludf.DUMMYFUNCTION("""COMPUTED_VALUE"""),"#N/A")</f>
        <v>#N/A</v>
      </c>
      <c r="W4547" s="1" t="str">
        <f>IFERROR(__xludf.DUMMYFUNCTION("""COMPUTED_VALUE"""),"#N/A")</f>
        <v>#N/A</v>
      </c>
    </row>
    <row r="4548">
      <c r="O4548" s="1" t="str">
        <f>IFERROR(__xludf.DUMMYFUNCTION("""COMPUTED_VALUE"""),"#VALUE!")</f>
        <v>#VALUE!</v>
      </c>
      <c r="P4548" s="1" t="str">
        <f>IFERROR(__xludf.DUMMYFUNCTION("""COMPUTED_VALUE"""),"#N/A")</f>
        <v>#N/A</v>
      </c>
      <c r="Q4548" s="1"/>
      <c r="R4548" s="1"/>
      <c r="S4548" s="1"/>
      <c r="T4548" s="1"/>
      <c r="U4548" s="2">
        <f>IFERROR(__xludf.DUMMYFUNCTION("""COMPUTED_VALUE"""),0.0)</f>
        <v>0</v>
      </c>
      <c r="V4548" s="1" t="str">
        <f>IFERROR(__xludf.DUMMYFUNCTION("""COMPUTED_VALUE"""),"#N/A")</f>
        <v>#N/A</v>
      </c>
      <c r="W4548" s="1" t="str">
        <f>IFERROR(__xludf.DUMMYFUNCTION("""COMPUTED_VALUE"""),"#N/A")</f>
        <v>#N/A</v>
      </c>
    </row>
    <row r="4549">
      <c r="O4549" s="1" t="str">
        <f>IFERROR(__xludf.DUMMYFUNCTION("""COMPUTED_VALUE"""),"#VALUE!")</f>
        <v>#VALUE!</v>
      </c>
      <c r="P4549" s="1" t="str">
        <f>IFERROR(__xludf.DUMMYFUNCTION("""COMPUTED_VALUE"""),"#N/A")</f>
        <v>#N/A</v>
      </c>
      <c r="Q4549" s="1"/>
      <c r="R4549" s="1"/>
      <c r="S4549" s="1"/>
      <c r="T4549" s="1"/>
      <c r="U4549" s="2">
        <f>IFERROR(__xludf.DUMMYFUNCTION("""COMPUTED_VALUE"""),0.0)</f>
        <v>0</v>
      </c>
      <c r="V4549" s="1" t="str">
        <f>IFERROR(__xludf.DUMMYFUNCTION("""COMPUTED_VALUE"""),"#N/A")</f>
        <v>#N/A</v>
      </c>
      <c r="W4549" s="1" t="str">
        <f>IFERROR(__xludf.DUMMYFUNCTION("""COMPUTED_VALUE"""),"#N/A")</f>
        <v>#N/A</v>
      </c>
    </row>
    <row r="4550">
      <c r="O4550" s="1" t="str">
        <f>IFERROR(__xludf.DUMMYFUNCTION("""COMPUTED_VALUE"""),"#VALUE!")</f>
        <v>#VALUE!</v>
      </c>
      <c r="P4550" s="1" t="str">
        <f>IFERROR(__xludf.DUMMYFUNCTION("""COMPUTED_VALUE"""),"#N/A")</f>
        <v>#N/A</v>
      </c>
      <c r="Q4550" s="1"/>
      <c r="R4550" s="1"/>
      <c r="S4550" s="1"/>
      <c r="T4550" s="1"/>
      <c r="U4550" s="2">
        <f>IFERROR(__xludf.DUMMYFUNCTION("""COMPUTED_VALUE"""),0.0)</f>
        <v>0</v>
      </c>
      <c r="V4550" s="1" t="str">
        <f>IFERROR(__xludf.DUMMYFUNCTION("""COMPUTED_VALUE"""),"#N/A")</f>
        <v>#N/A</v>
      </c>
      <c r="W4550" s="1" t="str">
        <f>IFERROR(__xludf.DUMMYFUNCTION("""COMPUTED_VALUE"""),"#N/A")</f>
        <v>#N/A</v>
      </c>
    </row>
    <row r="4551">
      <c r="O4551" s="1" t="str">
        <f>IFERROR(__xludf.DUMMYFUNCTION("""COMPUTED_VALUE"""),"#VALUE!")</f>
        <v>#VALUE!</v>
      </c>
      <c r="P4551" s="1" t="str">
        <f>IFERROR(__xludf.DUMMYFUNCTION("""COMPUTED_VALUE"""),"#N/A")</f>
        <v>#N/A</v>
      </c>
      <c r="Q4551" s="1"/>
      <c r="R4551" s="1"/>
      <c r="S4551" s="1"/>
      <c r="T4551" s="1"/>
      <c r="U4551" s="2">
        <f>IFERROR(__xludf.DUMMYFUNCTION("""COMPUTED_VALUE"""),0.0)</f>
        <v>0</v>
      </c>
      <c r="V4551" s="1" t="str">
        <f>IFERROR(__xludf.DUMMYFUNCTION("""COMPUTED_VALUE"""),"#N/A")</f>
        <v>#N/A</v>
      </c>
      <c r="W4551" s="1" t="str">
        <f>IFERROR(__xludf.DUMMYFUNCTION("""COMPUTED_VALUE"""),"#N/A")</f>
        <v>#N/A</v>
      </c>
    </row>
    <row r="4552">
      <c r="O4552" s="1" t="str">
        <f>IFERROR(__xludf.DUMMYFUNCTION("""COMPUTED_VALUE"""),"#VALUE!")</f>
        <v>#VALUE!</v>
      </c>
      <c r="P4552" s="1" t="str">
        <f>IFERROR(__xludf.DUMMYFUNCTION("""COMPUTED_VALUE"""),"#N/A")</f>
        <v>#N/A</v>
      </c>
      <c r="Q4552" s="1"/>
      <c r="R4552" s="1"/>
      <c r="S4552" s="1"/>
      <c r="T4552" s="1"/>
      <c r="U4552" s="2">
        <f>IFERROR(__xludf.DUMMYFUNCTION("""COMPUTED_VALUE"""),0.0)</f>
        <v>0</v>
      </c>
      <c r="V4552" s="1" t="str">
        <f>IFERROR(__xludf.DUMMYFUNCTION("""COMPUTED_VALUE"""),"#N/A")</f>
        <v>#N/A</v>
      </c>
      <c r="W4552" s="1" t="str">
        <f>IFERROR(__xludf.DUMMYFUNCTION("""COMPUTED_VALUE"""),"#N/A")</f>
        <v>#N/A</v>
      </c>
    </row>
    <row r="4553">
      <c r="O4553" s="1" t="str">
        <f>IFERROR(__xludf.DUMMYFUNCTION("""COMPUTED_VALUE"""),"#VALUE!")</f>
        <v>#VALUE!</v>
      </c>
      <c r="P4553" s="1" t="str">
        <f>IFERROR(__xludf.DUMMYFUNCTION("""COMPUTED_VALUE"""),"#N/A")</f>
        <v>#N/A</v>
      </c>
      <c r="Q4553" s="1"/>
      <c r="R4553" s="1"/>
      <c r="S4553" s="1"/>
      <c r="T4553" s="1"/>
      <c r="U4553" s="2">
        <f>IFERROR(__xludf.DUMMYFUNCTION("""COMPUTED_VALUE"""),0.0)</f>
        <v>0</v>
      </c>
      <c r="V4553" s="1" t="str">
        <f>IFERROR(__xludf.DUMMYFUNCTION("""COMPUTED_VALUE"""),"#N/A")</f>
        <v>#N/A</v>
      </c>
      <c r="W4553" s="1" t="str">
        <f>IFERROR(__xludf.DUMMYFUNCTION("""COMPUTED_VALUE"""),"#N/A")</f>
        <v>#N/A</v>
      </c>
    </row>
    <row r="4554">
      <c r="O4554" s="1" t="str">
        <f>IFERROR(__xludf.DUMMYFUNCTION("""COMPUTED_VALUE"""),"#VALUE!")</f>
        <v>#VALUE!</v>
      </c>
      <c r="P4554" s="1" t="str">
        <f>IFERROR(__xludf.DUMMYFUNCTION("""COMPUTED_VALUE"""),"#N/A")</f>
        <v>#N/A</v>
      </c>
      <c r="Q4554" s="1"/>
      <c r="R4554" s="1"/>
      <c r="S4554" s="1"/>
      <c r="T4554" s="1"/>
      <c r="U4554" s="2">
        <f>IFERROR(__xludf.DUMMYFUNCTION("""COMPUTED_VALUE"""),0.0)</f>
        <v>0</v>
      </c>
      <c r="V4554" s="1" t="str">
        <f>IFERROR(__xludf.DUMMYFUNCTION("""COMPUTED_VALUE"""),"#N/A")</f>
        <v>#N/A</v>
      </c>
      <c r="W4554" s="1" t="str">
        <f>IFERROR(__xludf.DUMMYFUNCTION("""COMPUTED_VALUE"""),"#N/A")</f>
        <v>#N/A</v>
      </c>
    </row>
    <row r="4555">
      <c r="O4555" s="1" t="str">
        <f>IFERROR(__xludf.DUMMYFUNCTION("""COMPUTED_VALUE"""),"#VALUE!")</f>
        <v>#VALUE!</v>
      </c>
      <c r="P4555" s="1" t="str">
        <f>IFERROR(__xludf.DUMMYFUNCTION("""COMPUTED_VALUE"""),"#N/A")</f>
        <v>#N/A</v>
      </c>
      <c r="Q4555" s="1"/>
      <c r="R4555" s="1"/>
      <c r="S4555" s="1"/>
      <c r="T4555" s="1"/>
      <c r="U4555" s="2">
        <f>IFERROR(__xludf.DUMMYFUNCTION("""COMPUTED_VALUE"""),0.0)</f>
        <v>0</v>
      </c>
      <c r="V4555" s="1" t="str">
        <f>IFERROR(__xludf.DUMMYFUNCTION("""COMPUTED_VALUE"""),"#N/A")</f>
        <v>#N/A</v>
      </c>
      <c r="W4555" s="1" t="str">
        <f>IFERROR(__xludf.DUMMYFUNCTION("""COMPUTED_VALUE"""),"#N/A")</f>
        <v>#N/A</v>
      </c>
    </row>
    <row r="4556">
      <c r="O4556" s="1" t="str">
        <f>IFERROR(__xludf.DUMMYFUNCTION("""COMPUTED_VALUE"""),"#VALUE!")</f>
        <v>#VALUE!</v>
      </c>
      <c r="P4556" s="1" t="str">
        <f>IFERROR(__xludf.DUMMYFUNCTION("""COMPUTED_VALUE"""),"#N/A")</f>
        <v>#N/A</v>
      </c>
      <c r="Q4556" s="1"/>
      <c r="R4556" s="1"/>
      <c r="S4556" s="1"/>
      <c r="T4556" s="1"/>
      <c r="U4556" s="2">
        <f>IFERROR(__xludf.DUMMYFUNCTION("""COMPUTED_VALUE"""),0.0)</f>
        <v>0</v>
      </c>
      <c r="V4556" s="1" t="str">
        <f>IFERROR(__xludf.DUMMYFUNCTION("""COMPUTED_VALUE"""),"#N/A")</f>
        <v>#N/A</v>
      </c>
      <c r="W4556" s="1" t="str">
        <f>IFERROR(__xludf.DUMMYFUNCTION("""COMPUTED_VALUE"""),"#N/A")</f>
        <v>#N/A</v>
      </c>
    </row>
    <row r="4557">
      <c r="O4557" s="1" t="str">
        <f>IFERROR(__xludf.DUMMYFUNCTION("""COMPUTED_VALUE"""),"#VALUE!")</f>
        <v>#VALUE!</v>
      </c>
      <c r="P4557" s="1" t="str">
        <f>IFERROR(__xludf.DUMMYFUNCTION("""COMPUTED_VALUE"""),"#N/A")</f>
        <v>#N/A</v>
      </c>
      <c r="Q4557" s="1"/>
      <c r="R4557" s="1"/>
      <c r="S4557" s="1"/>
      <c r="T4557" s="1"/>
      <c r="U4557" s="2">
        <f>IFERROR(__xludf.DUMMYFUNCTION("""COMPUTED_VALUE"""),0.0)</f>
        <v>0</v>
      </c>
      <c r="V4557" s="1" t="str">
        <f>IFERROR(__xludf.DUMMYFUNCTION("""COMPUTED_VALUE"""),"#N/A")</f>
        <v>#N/A</v>
      </c>
      <c r="W4557" s="1" t="str">
        <f>IFERROR(__xludf.DUMMYFUNCTION("""COMPUTED_VALUE"""),"#N/A")</f>
        <v>#N/A</v>
      </c>
    </row>
    <row r="4558">
      <c r="O4558" s="1" t="str">
        <f>IFERROR(__xludf.DUMMYFUNCTION("""COMPUTED_VALUE"""),"#VALUE!")</f>
        <v>#VALUE!</v>
      </c>
      <c r="P4558" s="1" t="str">
        <f>IFERROR(__xludf.DUMMYFUNCTION("""COMPUTED_VALUE"""),"#N/A")</f>
        <v>#N/A</v>
      </c>
      <c r="Q4558" s="1"/>
      <c r="R4558" s="1"/>
      <c r="S4558" s="1"/>
      <c r="T4558" s="1"/>
      <c r="U4558" s="2">
        <f>IFERROR(__xludf.DUMMYFUNCTION("""COMPUTED_VALUE"""),0.0)</f>
        <v>0</v>
      </c>
      <c r="V4558" s="1" t="str">
        <f>IFERROR(__xludf.DUMMYFUNCTION("""COMPUTED_VALUE"""),"#N/A")</f>
        <v>#N/A</v>
      </c>
      <c r="W4558" s="1" t="str">
        <f>IFERROR(__xludf.DUMMYFUNCTION("""COMPUTED_VALUE"""),"#N/A")</f>
        <v>#N/A</v>
      </c>
    </row>
    <row r="4559">
      <c r="O4559" s="1" t="str">
        <f>IFERROR(__xludf.DUMMYFUNCTION("""COMPUTED_VALUE"""),"#VALUE!")</f>
        <v>#VALUE!</v>
      </c>
      <c r="P4559" s="1" t="str">
        <f>IFERROR(__xludf.DUMMYFUNCTION("""COMPUTED_VALUE"""),"#N/A")</f>
        <v>#N/A</v>
      </c>
      <c r="Q4559" s="1"/>
      <c r="R4559" s="1"/>
      <c r="S4559" s="1"/>
      <c r="T4559" s="1"/>
      <c r="U4559" s="2">
        <f>IFERROR(__xludf.DUMMYFUNCTION("""COMPUTED_VALUE"""),0.0)</f>
        <v>0</v>
      </c>
      <c r="V4559" s="1" t="str">
        <f>IFERROR(__xludf.DUMMYFUNCTION("""COMPUTED_VALUE"""),"#N/A")</f>
        <v>#N/A</v>
      </c>
      <c r="W4559" s="1" t="str">
        <f>IFERROR(__xludf.DUMMYFUNCTION("""COMPUTED_VALUE"""),"#N/A")</f>
        <v>#N/A</v>
      </c>
    </row>
    <row r="4560">
      <c r="O4560" s="1" t="str">
        <f>IFERROR(__xludf.DUMMYFUNCTION("""COMPUTED_VALUE"""),"#VALUE!")</f>
        <v>#VALUE!</v>
      </c>
      <c r="P4560" s="1" t="str">
        <f>IFERROR(__xludf.DUMMYFUNCTION("""COMPUTED_VALUE"""),"#N/A")</f>
        <v>#N/A</v>
      </c>
      <c r="Q4560" s="1"/>
      <c r="R4560" s="1"/>
      <c r="S4560" s="1"/>
      <c r="T4560" s="1"/>
      <c r="U4560" s="2">
        <f>IFERROR(__xludf.DUMMYFUNCTION("""COMPUTED_VALUE"""),0.0)</f>
        <v>0</v>
      </c>
      <c r="V4560" s="1" t="str">
        <f>IFERROR(__xludf.DUMMYFUNCTION("""COMPUTED_VALUE"""),"#N/A")</f>
        <v>#N/A</v>
      </c>
      <c r="W4560" s="1" t="str">
        <f>IFERROR(__xludf.DUMMYFUNCTION("""COMPUTED_VALUE"""),"#N/A")</f>
        <v>#N/A</v>
      </c>
    </row>
    <row r="4561">
      <c r="O4561" s="1" t="str">
        <f>IFERROR(__xludf.DUMMYFUNCTION("""COMPUTED_VALUE"""),"#VALUE!")</f>
        <v>#VALUE!</v>
      </c>
      <c r="P4561" s="1" t="str">
        <f>IFERROR(__xludf.DUMMYFUNCTION("""COMPUTED_VALUE"""),"#N/A")</f>
        <v>#N/A</v>
      </c>
      <c r="Q4561" s="1"/>
      <c r="R4561" s="1"/>
      <c r="S4561" s="1"/>
      <c r="T4561" s="1"/>
      <c r="U4561" s="2">
        <f>IFERROR(__xludf.DUMMYFUNCTION("""COMPUTED_VALUE"""),0.0)</f>
        <v>0</v>
      </c>
      <c r="V4561" s="1" t="str">
        <f>IFERROR(__xludf.DUMMYFUNCTION("""COMPUTED_VALUE"""),"#N/A")</f>
        <v>#N/A</v>
      </c>
      <c r="W4561" s="1" t="str">
        <f>IFERROR(__xludf.DUMMYFUNCTION("""COMPUTED_VALUE"""),"#N/A")</f>
        <v>#N/A</v>
      </c>
    </row>
    <row r="4562">
      <c r="O4562" s="1" t="str">
        <f>IFERROR(__xludf.DUMMYFUNCTION("""COMPUTED_VALUE"""),"#VALUE!")</f>
        <v>#VALUE!</v>
      </c>
      <c r="P4562" s="1" t="str">
        <f>IFERROR(__xludf.DUMMYFUNCTION("""COMPUTED_VALUE"""),"#N/A")</f>
        <v>#N/A</v>
      </c>
      <c r="Q4562" s="1"/>
      <c r="R4562" s="1"/>
      <c r="S4562" s="1"/>
      <c r="T4562" s="1"/>
      <c r="U4562" s="2">
        <f>IFERROR(__xludf.DUMMYFUNCTION("""COMPUTED_VALUE"""),0.0)</f>
        <v>0</v>
      </c>
      <c r="V4562" s="1" t="str">
        <f>IFERROR(__xludf.DUMMYFUNCTION("""COMPUTED_VALUE"""),"#N/A")</f>
        <v>#N/A</v>
      </c>
      <c r="W4562" s="1" t="str">
        <f>IFERROR(__xludf.DUMMYFUNCTION("""COMPUTED_VALUE"""),"#N/A")</f>
        <v>#N/A</v>
      </c>
    </row>
    <row r="4563">
      <c r="O4563" s="1" t="str">
        <f>IFERROR(__xludf.DUMMYFUNCTION("""COMPUTED_VALUE"""),"#VALUE!")</f>
        <v>#VALUE!</v>
      </c>
      <c r="P4563" s="1" t="str">
        <f>IFERROR(__xludf.DUMMYFUNCTION("""COMPUTED_VALUE"""),"#N/A")</f>
        <v>#N/A</v>
      </c>
      <c r="Q4563" s="1"/>
      <c r="R4563" s="1"/>
      <c r="S4563" s="1"/>
      <c r="T4563" s="1"/>
      <c r="U4563" s="2">
        <f>IFERROR(__xludf.DUMMYFUNCTION("""COMPUTED_VALUE"""),0.0)</f>
        <v>0</v>
      </c>
      <c r="V4563" s="1" t="str">
        <f>IFERROR(__xludf.DUMMYFUNCTION("""COMPUTED_VALUE"""),"#N/A")</f>
        <v>#N/A</v>
      </c>
      <c r="W4563" s="1" t="str">
        <f>IFERROR(__xludf.DUMMYFUNCTION("""COMPUTED_VALUE"""),"#N/A")</f>
        <v>#N/A</v>
      </c>
    </row>
    <row r="4564">
      <c r="O4564" s="1" t="str">
        <f>IFERROR(__xludf.DUMMYFUNCTION("""COMPUTED_VALUE"""),"#VALUE!")</f>
        <v>#VALUE!</v>
      </c>
      <c r="P4564" s="1" t="str">
        <f>IFERROR(__xludf.DUMMYFUNCTION("""COMPUTED_VALUE"""),"#N/A")</f>
        <v>#N/A</v>
      </c>
      <c r="Q4564" s="1"/>
      <c r="R4564" s="1"/>
      <c r="S4564" s="1"/>
      <c r="T4564" s="1"/>
      <c r="U4564" s="2">
        <f>IFERROR(__xludf.DUMMYFUNCTION("""COMPUTED_VALUE"""),0.0)</f>
        <v>0</v>
      </c>
      <c r="V4564" s="1" t="str">
        <f>IFERROR(__xludf.DUMMYFUNCTION("""COMPUTED_VALUE"""),"#N/A")</f>
        <v>#N/A</v>
      </c>
      <c r="W4564" s="1" t="str">
        <f>IFERROR(__xludf.DUMMYFUNCTION("""COMPUTED_VALUE"""),"#N/A")</f>
        <v>#N/A</v>
      </c>
    </row>
    <row r="4565">
      <c r="O4565" s="1" t="str">
        <f>IFERROR(__xludf.DUMMYFUNCTION("""COMPUTED_VALUE"""),"#VALUE!")</f>
        <v>#VALUE!</v>
      </c>
      <c r="P4565" s="1" t="str">
        <f>IFERROR(__xludf.DUMMYFUNCTION("""COMPUTED_VALUE"""),"#N/A")</f>
        <v>#N/A</v>
      </c>
      <c r="Q4565" s="1"/>
      <c r="R4565" s="1"/>
      <c r="S4565" s="1"/>
      <c r="T4565" s="1"/>
      <c r="U4565" s="2">
        <f>IFERROR(__xludf.DUMMYFUNCTION("""COMPUTED_VALUE"""),0.0)</f>
        <v>0</v>
      </c>
      <c r="V4565" s="1" t="str">
        <f>IFERROR(__xludf.DUMMYFUNCTION("""COMPUTED_VALUE"""),"#N/A")</f>
        <v>#N/A</v>
      </c>
      <c r="W4565" s="1" t="str">
        <f>IFERROR(__xludf.DUMMYFUNCTION("""COMPUTED_VALUE"""),"#N/A")</f>
        <v>#N/A</v>
      </c>
    </row>
    <row r="4566">
      <c r="O4566" s="1" t="str">
        <f>IFERROR(__xludf.DUMMYFUNCTION("""COMPUTED_VALUE"""),"#VALUE!")</f>
        <v>#VALUE!</v>
      </c>
      <c r="P4566" s="1" t="str">
        <f>IFERROR(__xludf.DUMMYFUNCTION("""COMPUTED_VALUE"""),"#N/A")</f>
        <v>#N/A</v>
      </c>
      <c r="Q4566" s="1"/>
      <c r="R4566" s="1"/>
      <c r="S4566" s="1"/>
      <c r="T4566" s="1"/>
      <c r="U4566" s="2">
        <f>IFERROR(__xludf.DUMMYFUNCTION("""COMPUTED_VALUE"""),0.0)</f>
        <v>0</v>
      </c>
      <c r="V4566" s="1" t="str">
        <f>IFERROR(__xludf.DUMMYFUNCTION("""COMPUTED_VALUE"""),"#N/A")</f>
        <v>#N/A</v>
      </c>
      <c r="W4566" s="1" t="str">
        <f>IFERROR(__xludf.DUMMYFUNCTION("""COMPUTED_VALUE"""),"#N/A")</f>
        <v>#N/A</v>
      </c>
    </row>
    <row r="4567">
      <c r="O4567" s="1" t="str">
        <f>IFERROR(__xludf.DUMMYFUNCTION("""COMPUTED_VALUE"""),"#VALUE!")</f>
        <v>#VALUE!</v>
      </c>
      <c r="P4567" s="1" t="str">
        <f>IFERROR(__xludf.DUMMYFUNCTION("""COMPUTED_VALUE"""),"#N/A")</f>
        <v>#N/A</v>
      </c>
      <c r="Q4567" s="1"/>
      <c r="R4567" s="1"/>
      <c r="S4567" s="1"/>
      <c r="T4567" s="1"/>
      <c r="U4567" s="2">
        <f>IFERROR(__xludf.DUMMYFUNCTION("""COMPUTED_VALUE"""),0.0)</f>
        <v>0</v>
      </c>
      <c r="V4567" s="1" t="str">
        <f>IFERROR(__xludf.DUMMYFUNCTION("""COMPUTED_VALUE"""),"#N/A")</f>
        <v>#N/A</v>
      </c>
      <c r="W4567" s="1" t="str">
        <f>IFERROR(__xludf.DUMMYFUNCTION("""COMPUTED_VALUE"""),"#N/A")</f>
        <v>#N/A</v>
      </c>
    </row>
    <row r="4568">
      <c r="O4568" s="1" t="str">
        <f>IFERROR(__xludf.DUMMYFUNCTION("""COMPUTED_VALUE"""),"#VALUE!")</f>
        <v>#VALUE!</v>
      </c>
      <c r="P4568" s="1" t="str">
        <f>IFERROR(__xludf.DUMMYFUNCTION("""COMPUTED_VALUE"""),"#N/A")</f>
        <v>#N/A</v>
      </c>
      <c r="Q4568" s="1"/>
      <c r="R4568" s="1"/>
      <c r="S4568" s="1"/>
      <c r="T4568" s="1"/>
      <c r="U4568" s="2">
        <f>IFERROR(__xludf.DUMMYFUNCTION("""COMPUTED_VALUE"""),0.0)</f>
        <v>0</v>
      </c>
      <c r="V4568" s="1" t="str">
        <f>IFERROR(__xludf.DUMMYFUNCTION("""COMPUTED_VALUE"""),"#N/A")</f>
        <v>#N/A</v>
      </c>
      <c r="W4568" s="1" t="str">
        <f>IFERROR(__xludf.DUMMYFUNCTION("""COMPUTED_VALUE"""),"#N/A")</f>
        <v>#N/A</v>
      </c>
    </row>
    <row r="4569">
      <c r="O4569" s="1" t="str">
        <f>IFERROR(__xludf.DUMMYFUNCTION("""COMPUTED_VALUE"""),"#VALUE!")</f>
        <v>#VALUE!</v>
      </c>
      <c r="P4569" s="1" t="str">
        <f>IFERROR(__xludf.DUMMYFUNCTION("""COMPUTED_VALUE"""),"#N/A")</f>
        <v>#N/A</v>
      </c>
      <c r="Q4569" s="1"/>
      <c r="R4569" s="1"/>
      <c r="S4569" s="1"/>
      <c r="T4569" s="1"/>
      <c r="U4569" s="2">
        <f>IFERROR(__xludf.DUMMYFUNCTION("""COMPUTED_VALUE"""),0.0)</f>
        <v>0</v>
      </c>
      <c r="V4569" s="1" t="str">
        <f>IFERROR(__xludf.DUMMYFUNCTION("""COMPUTED_VALUE"""),"#N/A")</f>
        <v>#N/A</v>
      </c>
      <c r="W4569" s="1" t="str">
        <f>IFERROR(__xludf.DUMMYFUNCTION("""COMPUTED_VALUE"""),"#N/A")</f>
        <v>#N/A</v>
      </c>
    </row>
    <row r="4570">
      <c r="O4570" s="1" t="str">
        <f>IFERROR(__xludf.DUMMYFUNCTION("""COMPUTED_VALUE"""),"#VALUE!")</f>
        <v>#VALUE!</v>
      </c>
      <c r="P4570" s="1" t="str">
        <f>IFERROR(__xludf.DUMMYFUNCTION("""COMPUTED_VALUE"""),"#N/A")</f>
        <v>#N/A</v>
      </c>
      <c r="Q4570" s="1"/>
      <c r="R4570" s="1"/>
      <c r="S4570" s="1"/>
      <c r="T4570" s="1"/>
      <c r="U4570" s="2">
        <f>IFERROR(__xludf.DUMMYFUNCTION("""COMPUTED_VALUE"""),0.0)</f>
        <v>0</v>
      </c>
      <c r="V4570" s="1" t="str">
        <f>IFERROR(__xludf.DUMMYFUNCTION("""COMPUTED_VALUE"""),"#N/A")</f>
        <v>#N/A</v>
      </c>
      <c r="W4570" s="1" t="str">
        <f>IFERROR(__xludf.DUMMYFUNCTION("""COMPUTED_VALUE"""),"#N/A")</f>
        <v>#N/A</v>
      </c>
    </row>
    <row r="4571">
      <c r="O4571" s="1" t="str">
        <f>IFERROR(__xludf.DUMMYFUNCTION("""COMPUTED_VALUE"""),"#VALUE!")</f>
        <v>#VALUE!</v>
      </c>
      <c r="P4571" s="1" t="str">
        <f>IFERROR(__xludf.DUMMYFUNCTION("""COMPUTED_VALUE"""),"#N/A")</f>
        <v>#N/A</v>
      </c>
      <c r="Q4571" s="1"/>
      <c r="R4571" s="1"/>
      <c r="S4571" s="1"/>
      <c r="T4571" s="1"/>
      <c r="U4571" s="2">
        <f>IFERROR(__xludf.DUMMYFUNCTION("""COMPUTED_VALUE"""),0.0)</f>
        <v>0</v>
      </c>
      <c r="V4571" s="1" t="str">
        <f>IFERROR(__xludf.DUMMYFUNCTION("""COMPUTED_VALUE"""),"#N/A")</f>
        <v>#N/A</v>
      </c>
      <c r="W4571" s="1" t="str">
        <f>IFERROR(__xludf.DUMMYFUNCTION("""COMPUTED_VALUE"""),"#N/A")</f>
        <v>#N/A</v>
      </c>
    </row>
    <row r="4572">
      <c r="O4572" s="1" t="str">
        <f>IFERROR(__xludf.DUMMYFUNCTION("""COMPUTED_VALUE"""),"#VALUE!")</f>
        <v>#VALUE!</v>
      </c>
      <c r="P4572" s="1" t="str">
        <f>IFERROR(__xludf.DUMMYFUNCTION("""COMPUTED_VALUE"""),"#N/A")</f>
        <v>#N/A</v>
      </c>
      <c r="Q4572" s="1"/>
      <c r="R4572" s="1"/>
      <c r="S4572" s="1"/>
      <c r="T4572" s="1"/>
      <c r="U4572" s="2">
        <f>IFERROR(__xludf.DUMMYFUNCTION("""COMPUTED_VALUE"""),0.0)</f>
        <v>0</v>
      </c>
      <c r="V4572" s="1" t="str">
        <f>IFERROR(__xludf.DUMMYFUNCTION("""COMPUTED_VALUE"""),"#N/A")</f>
        <v>#N/A</v>
      </c>
      <c r="W4572" s="1" t="str">
        <f>IFERROR(__xludf.DUMMYFUNCTION("""COMPUTED_VALUE"""),"#N/A")</f>
        <v>#N/A</v>
      </c>
    </row>
    <row r="4573">
      <c r="O4573" s="1" t="str">
        <f>IFERROR(__xludf.DUMMYFUNCTION("""COMPUTED_VALUE"""),"#VALUE!")</f>
        <v>#VALUE!</v>
      </c>
      <c r="P4573" s="1" t="str">
        <f>IFERROR(__xludf.DUMMYFUNCTION("""COMPUTED_VALUE"""),"#N/A")</f>
        <v>#N/A</v>
      </c>
      <c r="Q4573" s="1"/>
      <c r="R4573" s="1"/>
      <c r="S4573" s="1"/>
      <c r="T4573" s="1"/>
      <c r="U4573" s="2">
        <f>IFERROR(__xludf.DUMMYFUNCTION("""COMPUTED_VALUE"""),0.0)</f>
        <v>0</v>
      </c>
      <c r="V4573" s="1" t="str">
        <f>IFERROR(__xludf.DUMMYFUNCTION("""COMPUTED_VALUE"""),"#N/A")</f>
        <v>#N/A</v>
      </c>
      <c r="W4573" s="1" t="str">
        <f>IFERROR(__xludf.DUMMYFUNCTION("""COMPUTED_VALUE"""),"#N/A")</f>
        <v>#N/A</v>
      </c>
    </row>
    <row r="4574">
      <c r="O4574" s="1" t="str">
        <f>IFERROR(__xludf.DUMMYFUNCTION("""COMPUTED_VALUE"""),"#VALUE!")</f>
        <v>#VALUE!</v>
      </c>
      <c r="P4574" s="1" t="str">
        <f>IFERROR(__xludf.DUMMYFUNCTION("""COMPUTED_VALUE"""),"#N/A")</f>
        <v>#N/A</v>
      </c>
      <c r="Q4574" s="1"/>
      <c r="R4574" s="1"/>
      <c r="S4574" s="1"/>
      <c r="T4574" s="1"/>
      <c r="U4574" s="2">
        <f>IFERROR(__xludf.DUMMYFUNCTION("""COMPUTED_VALUE"""),0.0)</f>
        <v>0</v>
      </c>
      <c r="V4574" s="1" t="str">
        <f>IFERROR(__xludf.DUMMYFUNCTION("""COMPUTED_VALUE"""),"#N/A")</f>
        <v>#N/A</v>
      </c>
      <c r="W4574" s="1" t="str">
        <f>IFERROR(__xludf.DUMMYFUNCTION("""COMPUTED_VALUE"""),"#N/A")</f>
        <v>#N/A</v>
      </c>
    </row>
    <row r="4575">
      <c r="O4575" s="1" t="str">
        <f>IFERROR(__xludf.DUMMYFUNCTION("""COMPUTED_VALUE"""),"#VALUE!")</f>
        <v>#VALUE!</v>
      </c>
      <c r="P4575" s="1" t="str">
        <f>IFERROR(__xludf.DUMMYFUNCTION("""COMPUTED_VALUE"""),"#N/A")</f>
        <v>#N/A</v>
      </c>
      <c r="Q4575" s="1"/>
      <c r="R4575" s="1"/>
      <c r="S4575" s="1"/>
      <c r="T4575" s="1"/>
      <c r="U4575" s="2">
        <f>IFERROR(__xludf.DUMMYFUNCTION("""COMPUTED_VALUE"""),0.0)</f>
        <v>0</v>
      </c>
      <c r="V4575" s="1" t="str">
        <f>IFERROR(__xludf.DUMMYFUNCTION("""COMPUTED_VALUE"""),"#N/A")</f>
        <v>#N/A</v>
      </c>
      <c r="W4575" s="1" t="str">
        <f>IFERROR(__xludf.DUMMYFUNCTION("""COMPUTED_VALUE"""),"#N/A")</f>
        <v>#N/A</v>
      </c>
    </row>
    <row r="4576">
      <c r="O4576" s="1" t="str">
        <f>IFERROR(__xludf.DUMMYFUNCTION("""COMPUTED_VALUE"""),"#VALUE!")</f>
        <v>#VALUE!</v>
      </c>
      <c r="P4576" s="1" t="str">
        <f>IFERROR(__xludf.DUMMYFUNCTION("""COMPUTED_VALUE"""),"#N/A")</f>
        <v>#N/A</v>
      </c>
      <c r="Q4576" s="1"/>
      <c r="R4576" s="1"/>
      <c r="S4576" s="1"/>
      <c r="T4576" s="1"/>
      <c r="U4576" s="2">
        <f>IFERROR(__xludf.DUMMYFUNCTION("""COMPUTED_VALUE"""),0.0)</f>
        <v>0</v>
      </c>
      <c r="V4576" s="1" t="str">
        <f>IFERROR(__xludf.DUMMYFUNCTION("""COMPUTED_VALUE"""),"#N/A")</f>
        <v>#N/A</v>
      </c>
      <c r="W4576" s="1" t="str">
        <f>IFERROR(__xludf.DUMMYFUNCTION("""COMPUTED_VALUE"""),"#N/A")</f>
        <v>#N/A</v>
      </c>
    </row>
    <row r="4577">
      <c r="O4577" s="1" t="str">
        <f>IFERROR(__xludf.DUMMYFUNCTION("""COMPUTED_VALUE"""),"#VALUE!")</f>
        <v>#VALUE!</v>
      </c>
      <c r="P4577" s="1" t="str">
        <f>IFERROR(__xludf.DUMMYFUNCTION("""COMPUTED_VALUE"""),"#N/A")</f>
        <v>#N/A</v>
      </c>
      <c r="Q4577" s="1"/>
      <c r="R4577" s="1"/>
      <c r="S4577" s="1"/>
      <c r="T4577" s="1"/>
      <c r="U4577" s="2">
        <f>IFERROR(__xludf.DUMMYFUNCTION("""COMPUTED_VALUE"""),0.0)</f>
        <v>0</v>
      </c>
      <c r="V4577" s="1" t="str">
        <f>IFERROR(__xludf.DUMMYFUNCTION("""COMPUTED_VALUE"""),"#N/A")</f>
        <v>#N/A</v>
      </c>
      <c r="W4577" s="1" t="str">
        <f>IFERROR(__xludf.DUMMYFUNCTION("""COMPUTED_VALUE"""),"#N/A")</f>
        <v>#N/A</v>
      </c>
    </row>
    <row r="4578">
      <c r="O4578" s="1" t="str">
        <f>IFERROR(__xludf.DUMMYFUNCTION("""COMPUTED_VALUE"""),"#VALUE!")</f>
        <v>#VALUE!</v>
      </c>
      <c r="P4578" s="1" t="str">
        <f>IFERROR(__xludf.DUMMYFUNCTION("""COMPUTED_VALUE"""),"#N/A")</f>
        <v>#N/A</v>
      </c>
      <c r="Q4578" s="1"/>
      <c r="R4578" s="1"/>
      <c r="S4578" s="1"/>
      <c r="T4578" s="1"/>
      <c r="U4578" s="2">
        <f>IFERROR(__xludf.DUMMYFUNCTION("""COMPUTED_VALUE"""),0.0)</f>
        <v>0</v>
      </c>
      <c r="V4578" s="1" t="str">
        <f>IFERROR(__xludf.DUMMYFUNCTION("""COMPUTED_VALUE"""),"#N/A")</f>
        <v>#N/A</v>
      </c>
      <c r="W4578" s="1" t="str">
        <f>IFERROR(__xludf.DUMMYFUNCTION("""COMPUTED_VALUE"""),"#N/A")</f>
        <v>#N/A</v>
      </c>
    </row>
    <row r="4579">
      <c r="O4579" s="1" t="str">
        <f>IFERROR(__xludf.DUMMYFUNCTION("""COMPUTED_VALUE"""),"#VALUE!")</f>
        <v>#VALUE!</v>
      </c>
      <c r="P4579" s="1" t="str">
        <f>IFERROR(__xludf.DUMMYFUNCTION("""COMPUTED_VALUE"""),"#N/A")</f>
        <v>#N/A</v>
      </c>
      <c r="Q4579" s="1"/>
      <c r="R4579" s="1"/>
      <c r="S4579" s="1"/>
      <c r="T4579" s="1"/>
      <c r="U4579" s="2">
        <f>IFERROR(__xludf.DUMMYFUNCTION("""COMPUTED_VALUE"""),0.0)</f>
        <v>0</v>
      </c>
      <c r="V4579" s="1" t="str">
        <f>IFERROR(__xludf.DUMMYFUNCTION("""COMPUTED_VALUE"""),"#N/A")</f>
        <v>#N/A</v>
      </c>
      <c r="W4579" s="1" t="str">
        <f>IFERROR(__xludf.DUMMYFUNCTION("""COMPUTED_VALUE"""),"#N/A")</f>
        <v>#N/A</v>
      </c>
    </row>
    <row r="4580">
      <c r="O4580" s="1" t="str">
        <f>IFERROR(__xludf.DUMMYFUNCTION("""COMPUTED_VALUE"""),"#VALUE!")</f>
        <v>#VALUE!</v>
      </c>
      <c r="P4580" s="1" t="str">
        <f>IFERROR(__xludf.DUMMYFUNCTION("""COMPUTED_VALUE"""),"#N/A")</f>
        <v>#N/A</v>
      </c>
      <c r="Q4580" s="1"/>
      <c r="R4580" s="1"/>
      <c r="S4580" s="1"/>
      <c r="T4580" s="1"/>
      <c r="U4580" s="2">
        <f>IFERROR(__xludf.DUMMYFUNCTION("""COMPUTED_VALUE"""),0.0)</f>
        <v>0</v>
      </c>
      <c r="V4580" s="1" t="str">
        <f>IFERROR(__xludf.DUMMYFUNCTION("""COMPUTED_VALUE"""),"#N/A")</f>
        <v>#N/A</v>
      </c>
      <c r="W4580" s="1" t="str">
        <f>IFERROR(__xludf.DUMMYFUNCTION("""COMPUTED_VALUE"""),"#N/A")</f>
        <v>#N/A</v>
      </c>
    </row>
    <row r="4581">
      <c r="O4581" s="1" t="str">
        <f>IFERROR(__xludf.DUMMYFUNCTION("""COMPUTED_VALUE"""),"#VALUE!")</f>
        <v>#VALUE!</v>
      </c>
      <c r="P4581" s="1" t="str">
        <f>IFERROR(__xludf.DUMMYFUNCTION("""COMPUTED_VALUE"""),"#N/A")</f>
        <v>#N/A</v>
      </c>
      <c r="Q4581" s="1"/>
      <c r="R4581" s="1"/>
      <c r="S4581" s="1"/>
      <c r="T4581" s="1"/>
      <c r="U4581" s="2">
        <f>IFERROR(__xludf.DUMMYFUNCTION("""COMPUTED_VALUE"""),0.0)</f>
        <v>0</v>
      </c>
      <c r="V4581" s="1" t="str">
        <f>IFERROR(__xludf.DUMMYFUNCTION("""COMPUTED_VALUE"""),"#N/A")</f>
        <v>#N/A</v>
      </c>
      <c r="W4581" s="1" t="str">
        <f>IFERROR(__xludf.DUMMYFUNCTION("""COMPUTED_VALUE"""),"#N/A")</f>
        <v>#N/A</v>
      </c>
    </row>
    <row r="4582">
      <c r="O4582" s="1" t="str">
        <f>IFERROR(__xludf.DUMMYFUNCTION("""COMPUTED_VALUE"""),"#VALUE!")</f>
        <v>#VALUE!</v>
      </c>
      <c r="P4582" s="1" t="str">
        <f>IFERROR(__xludf.DUMMYFUNCTION("""COMPUTED_VALUE"""),"#N/A")</f>
        <v>#N/A</v>
      </c>
      <c r="Q4582" s="1"/>
      <c r="R4582" s="1"/>
      <c r="S4582" s="1"/>
      <c r="T4582" s="1"/>
      <c r="U4582" s="2">
        <f>IFERROR(__xludf.DUMMYFUNCTION("""COMPUTED_VALUE"""),0.0)</f>
        <v>0</v>
      </c>
      <c r="V4582" s="1" t="str">
        <f>IFERROR(__xludf.DUMMYFUNCTION("""COMPUTED_VALUE"""),"#N/A")</f>
        <v>#N/A</v>
      </c>
      <c r="W4582" s="1" t="str">
        <f>IFERROR(__xludf.DUMMYFUNCTION("""COMPUTED_VALUE"""),"#N/A")</f>
        <v>#N/A</v>
      </c>
    </row>
    <row r="4583">
      <c r="O4583" s="1" t="str">
        <f>IFERROR(__xludf.DUMMYFUNCTION("""COMPUTED_VALUE"""),"#VALUE!")</f>
        <v>#VALUE!</v>
      </c>
      <c r="P4583" s="1" t="str">
        <f>IFERROR(__xludf.DUMMYFUNCTION("""COMPUTED_VALUE"""),"#N/A")</f>
        <v>#N/A</v>
      </c>
      <c r="Q4583" s="1"/>
      <c r="R4583" s="1"/>
      <c r="S4583" s="1"/>
      <c r="T4583" s="1"/>
      <c r="U4583" s="2">
        <f>IFERROR(__xludf.DUMMYFUNCTION("""COMPUTED_VALUE"""),0.0)</f>
        <v>0</v>
      </c>
      <c r="V4583" s="1" t="str">
        <f>IFERROR(__xludf.DUMMYFUNCTION("""COMPUTED_VALUE"""),"#N/A")</f>
        <v>#N/A</v>
      </c>
      <c r="W4583" s="1" t="str">
        <f>IFERROR(__xludf.DUMMYFUNCTION("""COMPUTED_VALUE"""),"#N/A")</f>
        <v>#N/A</v>
      </c>
    </row>
    <row r="4584">
      <c r="O4584" s="1" t="str">
        <f>IFERROR(__xludf.DUMMYFUNCTION("""COMPUTED_VALUE"""),"#VALUE!")</f>
        <v>#VALUE!</v>
      </c>
      <c r="P4584" s="1" t="str">
        <f>IFERROR(__xludf.DUMMYFUNCTION("""COMPUTED_VALUE"""),"#N/A")</f>
        <v>#N/A</v>
      </c>
      <c r="Q4584" s="1"/>
      <c r="R4584" s="1"/>
      <c r="S4584" s="1"/>
      <c r="T4584" s="1"/>
      <c r="U4584" s="2">
        <f>IFERROR(__xludf.DUMMYFUNCTION("""COMPUTED_VALUE"""),0.0)</f>
        <v>0</v>
      </c>
      <c r="V4584" s="1" t="str">
        <f>IFERROR(__xludf.DUMMYFUNCTION("""COMPUTED_VALUE"""),"#N/A")</f>
        <v>#N/A</v>
      </c>
      <c r="W4584" s="1" t="str">
        <f>IFERROR(__xludf.DUMMYFUNCTION("""COMPUTED_VALUE"""),"#N/A")</f>
        <v>#N/A</v>
      </c>
    </row>
    <row r="4585">
      <c r="O4585" s="1" t="str">
        <f>IFERROR(__xludf.DUMMYFUNCTION("""COMPUTED_VALUE"""),"#VALUE!")</f>
        <v>#VALUE!</v>
      </c>
      <c r="P4585" s="1" t="str">
        <f>IFERROR(__xludf.DUMMYFUNCTION("""COMPUTED_VALUE"""),"#N/A")</f>
        <v>#N/A</v>
      </c>
      <c r="Q4585" s="1"/>
      <c r="R4585" s="1"/>
      <c r="S4585" s="1"/>
      <c r="T4585" s="1"/>
      <c r="U4585" s="2">
        <f>IFERROR(__xludf.DUMMYFUNCTION("""COMPUTED_VALUE"""),0.0)</f>
        <v>0</v>
      </c>
      <c r="V4585" s="1" t="str">
        <f>IFERROR(__xludf.DUMMYFUNCTION("""COMPUTED_VALUE"""),"#N/A")</f>
        <v>#N/A</v>
      </c>
      <c r="W4585" s="1" t="str">
        <f>IFERROR(__xludf.DUMMYFUNCTION("""COMPUTED_VALUE"""),"#N/A")</f>
        <v>#N/A</v>
      </c>
    </row>
    <row r="4586">
      <c r="O4586" s="1" t="str">
        <f>IFERROR(__xludf.DUMMYFUNCTION("""COMPUTED_VALUE"""),"#VALUE!")</f>
        <v>#VALUE!</v>
      </c>
      <c r="P4586" s="1" t="str">
        <f>IFERROR(__xludf.DUMMYFUNCTION("""COMPUTED_VALUE"""),"#N/A")</f>
        <v>#N/A</v>
      </c>
      <c r="Q4586" s="1"/>
      <c r="R4586" s="1"/>
      <c r="S4586" s="1"/>
      <c r="T4586" s="1"/>
      <c r="U4586" s="2">
        <f>IFERROR(__xludf.DUMMYFUNCTION("""COMPUTED_VALUE"""),0.0)</f>
        <v>0</v>
      </c>
      <c r="V4586" s="1" t="str">
        <f>IFERROR(__xludf.DUMMYFUNCTION("""COMPUTED_VALUE"""),"#N/A")</f>
        <v>#N/A</v>
      </c>
      <c r="W4586" s="1" t="str">
        <f>IFERROR(__xludf.DUMMYFUNCTION("""COMPUTED_VALUE"""),"#N/A")</f>
        <v>#N/A</v>
      </c>
    </row>
    <row r="4587">
      <c r="O4587" s="1" t="str">
        <f>IFERROR(__xludf.DUMMYFUNCTION("""COMPUTED_VALUE"""),"#VALUE!")</f>
        <v>#VALUE!</v>
      </c>
      <c r="P4587" s="1" t="str">
        <f>IFERROR(__xludf.DUMMYFUNCTION("""COMPUTED_VALUE"""),"#N/A")</f>
        <v>#N/A</v>
      </c>
      <c r="Q4587" s="1"/>
      <c r="R4587" s="1"/>
      <c r="S4587" s="1"/>
      <c r="T4587" s="1"/>
      <c r="U4587" s="2">
        <f>IFERROR(__xludf.DUMMYFUNCTION("""COMPUTED_VALUE"""),0.0)</f>
        <v>0</v>
      </c>
      <c r="V4587" s="1" t="str">
        <f>IFERROR(__xludf.DUMMYFUNCTION("""COMPUTED_VALUE"""),"#N/A")</f>
        <v>#N/A</v>
      </c>
      <c r="W4587" s="1" t="str">
        <f>IFERROR(__xludf.DUMMYFUNCTION("""COMPUTED_VALUE"""),"#N/A")</f>
        <v>#N/A</v>
      </c>
    </row>
    <row r="4588">
      <c r="O4588" s="1" t="str">
        <f>IFERROR(__xludf.DUMMYFUNCTION("""COMPUTED_VALUE"""),"#VALUE!")</f>
        <v>#VALUE!</v>
      </c>
      <c r="P4588" s="1" t="str">
        <f>IFERROR(__xludf.DUMMYFUNCTION("""COMPUTED_VALUE"""),"#N/A")</f>
        <v>#N/A</v>
      </c>
      <c r="Q4588" s="1"/>
      <c r="R4588" s="1"/>
      <c r="S4588" s="1"/>
      <c r="T4588" s="1"/>
      <c r="U4588" s="2">
        <f>IFERROR(__xludf.DUMMYFUNCTION("""COMPUTED_VALUE"""),0.0)</f>
        <v>0</v>
      </c>
      <c r="V4588" s="1" t="str">
        <f>IFERROR(__xludf.DUMMYFUNCTION("""COMPUTED_VALUE"""),"#N/A")</f>
        <v>#N/A</v>
      </c>
      <c r="W4588" s="1" t="str">
        <f>IFERROR(__xludf.DUMMYFUNCTION("""COMPUTED_VALUE"""),"#N/A")</f>
        <v>#N/A</v>
      </c>
    </row>
    <row r="4589">
      <c r="O4589" s="1" t="str">
        <f>IFERROR(__xludf.DUMMYFUNCTION("""COMPUTED_VALUE"""),"#VALUE!")</f>
        <v>#VALUE!</v>
      </c>
      <c r="P4589" s="1" t="str">
        <f>IFERROR(__xludf.DUMMYFUNCTION("""COMPUTED_VALUE"""),"#N/A")</f>
        <v>#N/A</v>
      </c>
      <c r="Q4589" s="1"/>
      <c r="R4589" s="1"/>
      <c r="S4589" s="1"/>
      <c r="T4589" s="1"/>
      <c r="U4589" s="2">
        <f>IFERROR(__xludf.DUMMYFUNCTION("""COMPUTED_VALUE"""),0.0)</f>
        <v>0</v>
      </c>
      <c r="V4589" s="1" t="str">
        <f>IFERROR(__xludf.DUMMYFUNCTION("""COMPUTED_VALUE"""),"#N/A")</f>
        <v>#N/A</v>
      </c>
      <c r="W4589" s="1" t="str">
        <f>IFERROR(__xludf.DUMMYFUNCTION("""COMPUTED_VALUE"""),"#N/A")</f>
        <v>#N/A</v>
      </c>
    </row>
    <row r="4590">
      <c r="O4590" s="1" t="str">
        <f>IFERROR(__xludf.DUMMYFUNCTION("""COMPUTED_VALUE"""),"#VALUE!")</f>
        <v>#VALUE!</v>
      </c>
      <c r="P4590" s="1" t="str">
        <f>IFERROR(__xludf.DUMMYFUNCTION("""COMPUTED_VALUE"""),"#N/A")</f>
        <v>#N/A</v>
      </c>
      <c r="Q4590" s="1"/>
      <c r="R4590" s="1"/>
      <c r="S4590" s="1"/>
      <c r="T4590" s="1"/>
      <c r="U4590" s="2">
        <f>IFERROR(__xludf.DUMMYFUNCTION("""COMPUTED_VALUE"""),0.0)</f>
        <v>0</v>
      </c>
      <c r="V4590" s="1" t="str">
        <f>IFERROR(__xludf.DUMMYFUNCTION("""COMPUTED_VALUE"""),"#N/A")</f>
        <v>#N/A</v>
      </c>
      <c r="W4590" s="1" t="str">
        <f>IFERROR(__xludf.DUMMYFUNCTION("""COMPUTED_VALUE"""),"#N/A")</f>
        <v>#N/A</v>
      </c>
    </row>
    <row r="4591">
      <c r="O4591" s="1" t="str">
        <f>IFERROR(__xludf.DUMMYFUNCTION("""COMPUTED_VALUE"""),"#VALUE!")</f>
        <v>#VALUE!</v>
      </c>
      <c r="P4591" s="1" t="str">
        <f>IFERROR(__xludf.DUMMYFUNCTION("""COMPUTED_VALUE"""),"#N/A")</f>
        <v>#N/A</v>
      </c>
      <c r="Q4591" s="1"/>
      <c r="R4591" s="1"/>
      <c r="S4591" s="1"/>
      <c r="T4591" s="1"/>
      <c r="U4591" s="2">
        <f>IFERROR(__xludf.DUMMYFUNCTION("""COMPUTED_VALUE"""),0.0)</f>
        <v>0</v>
      </c>
      <c r="V4591" s="1" t="str">
        <f>IFERROR(__xludf.DUMMYFUNCTION("""COMPUTED_VALUE"""),"#N/A")</f>
        <v>#N/A</v>
      </c>
      <c r="W4591" s="1" t="str">
        <f>IFERROR(__xludf.DUMMYFUNCTION("""COMPUTED_VALUE"""),"#N/A")</f>
        <v>#N/A</v>
      </c>
    </row>
    <row r="4592">
      <c r="O4592" s="1" t="str">
        <f>IFERROR(__xludf.DUMMYFUNCTION("""COMPUTED_VALUE"""),"#VALUE!")</f>
        <v>#VALUE!</v>
      </c>
      <c r="P4592" s="1" t="str">
        <f>IFERROR(__xludf.DUMMYFUNCTION("""COMPUTED_VALUE"""),"#N/A")</f>
        <v>#N/A</v>
      </c>
      <c r="Q4592" s="1"/>
      <c r="R4592" s="1"/>
      <c r="S4592" s="1"/>
      <c r="T4592" s="1"/>
      <c r="U4592" s="2">
        <f>IFERROR(__xludf.DUMMYFUNCTION("""COMPUTED_VALUE"""),0.0)</f>
        <v>0</v>
      </c>
      <c r="V4592" s="1" t="str">
        <f>IFERROR(__xludf.DUMMYFUNCTION("""COMPUTED_VALUE"""),"#N/A")</f>
        <v>#N/A</v>
      </c>
      <c r="W4592" s="1" t="str">
        <f>IFERROR(__xludf.DUMMYFUNCTION("""COMPUTED_VALUE"""),"#N/A")</f>
        <v>#N/A</v>
      </c>
    </row>
    <row r="4593">
      <c r="O4593" s="1" t="str">
        <f>IFERROR(__xludf.DUMMYFUNCTION("""COMPUTED_VALUE"""),"#VALUE!")</f>
        <v>#VALUE!</v>
      </c>
      <c r="P4593" s="1" t="str">
        <f>IFERROR(__xludf.DUMMYFUNCTION("""COMPUTED_VALUE"""),"#N/A")</f>
        <v>#N/A</v>
      </c>
      <c r="Q4593" s="1"/>
      <c r="R4593" s="1"/>
      <c r="S4593" s="1"/>
      <c r="T4593" s="1"/>
      <c r="U4593" s="2">
        <f>IFERROR(__xludf.DUMMYFUNCTION("""COMPUTED_VALUE"""),0.0)</f>
        <v>0</v>
      </c>
      <c r="V4593" s="1" t="str">
        <f>IFERROR(__xludf.DUMMYFUNCTION("""COMPUTED_VALUE"""),"#N/A")</f>
        <v>#N/A</v>
      </c>
      <c r="W4593" s="1" t="str">
        <f>IFERROR(__xludf.DUMMYFUNCTION("""COMPUTED_VALUE"""),"#N/A")</f>
        <v>#N/A</v>
      </c>
    </row>
    <row r="4594">
      <c r="O4594" s="1" t="str">
        <f>IFERROR(__xludf.DUMMYFUNCTION("""COMPUTED_VALUE"""),"#VALUE!")</f>
        <v>#VALUE!</v>
      </c>
      <c r="P4594" s="1" t="str">
        <f>IFERROR(__xludf.DUMMYFUNCTION("""COMPUTED_VALUE"""),"#N/A")</f>
        <v>#N/A</v>
      </c>
      <c r="Q4594" s="1"/>
      <c r="R4594" s="1"/>
      <c r="S4594" s="1"/>
      <c r="T4594" s="1"/>
      <c r="U4594" s="2">
        <f>IFERROR(__xludf.DUMMYFUNCTION("""COMPUTED_VALUE"""),0.0)</f>
        <v>0</v>
      </c>
      <c r="V4594" s="1" t="str">
        <f>IFERROR(__xludf.DUMMYFUNCTION("""COMPUTED_VALUE"""),"#N/A")</f>
        <v>#N/A</v>
      </c>
      <c r="W4594" s="1" t="str">
        <f>IFERROR(__xludf.DUMMYFUNCTION("""COMPUTED_VALUE"""),"#N/A")</f>
        <v>#N/A</v>
      </c>
    </row>
    <row r="4595">
      <c r="O4595" s="1" t="str">
        <f>IFERROR(__xludf.DUMMYFUNCTION("""COMPUTED_VALUE"""),"#VALUE!")</f>
        <v>#VALUE!</v>
      </c>
      <c r="P4595" s="1" t="str">
        <f>IFERROR(__xludf.DUMMYFUNCTION("""COMPUTED_VALUE"""),"#N/A")</f>
        <v>#N/A</v>
      </c>
      <c r="Q4595" s="1"/>
      <c r="R4595" s="1"/>
      <c r="S4595" s="1"/>
      <c r="T4595" s="1"/>
      <c r="U4595" s="2">
        <f>IFERROR(__xludf.DUMMYFUNCTION("""COMPUTED_VALUE"""),0.0)</f>
        <v>0</v>
      </c>
      <c r="V4595" s="1" t="str">
        <f>IFERROR(__xludf.DUMMYFUNCTION("""COMPUTED_VALUE"""),"#N/A")</f>
        <v>#N/A</v>
      </c>
      <c r="W4595" s="1" t="str">
        <f>IFERROR(__xludf.DUMMYFUNCTION("""COMPUTED_VALUE"""),"#N/A")</f>
        <v>#N/A</v>
      </c>
    </row>
    <row r="4596">
      <c r="O4596" s="1" t="str">
        <f>IFERROR(__xludf.DUMMYFUNCTION("""COMPUTED_VALUE"""),"#VALUE!")</f>
        <v>#VALUE!</v>
      </c>
      <c r="P4596" s="1" t="str">
        <f>IFERROR(__xludf.DUMMYFUNCTION("""COMPUTED_VALUE"""),"#N/A")</f>
        <v>#N/A</v>
      </c>
      <c r="Q4596" s="1"/>
      <c r="R4596" s="1"/>
      <c r="S4596" s="1"/>
      <c r="T4596" s="1"/>
      <c r="U4596" s="2">
        <f>IFERROR(__xludf.DUMMYFUNCTION("""COMPUTED_VALUE"""),0.0)</f>
        <v>0</v>
      </c>
      <c r="V4596" s="1" t="str">
        <f>IFERROR(__xludf.DUMMYFUNCTION("""COMPUTED_VALUE"""),"#N/A")</f>
        <v>#N/A</v>
      </c>
      <c r="W4596" s="1" t="str">
        <f>IFERROR(__xludf.DUMMYFUNCTION("""COMPUTED_VALUE"""),"#N/A")</f>
        <v>#N/A</v>
      </c>
    </row>
    <row r="4597">
      <c r="O4597" s="1" t="str">
        <f>IFERROR(__xludf.DUMMYFUNCTION("""COMPUTED_VALUE"""),"#VALUE!")</f>
        <v>#VALUE!</v>
      </c>
      <c r="P4597" s="1" t="str">
        <f>IFERROR(__xludf.DUMMYFUNCTION("""COMPUTED_VALUE"""),"#N/A")</f>
        <v>#N/A</v>
      </c>
      <c r="Q4597" s="1"/>
      <c r="R4597" s="1"/>
      <c r="S4597" s="1"/>
      <c r="T4597" s="1"/>
      <c r="U4597" s="2">
        <f>IFERROR(__xludf.DUMMYFUNCTION("""COMPUTED_VALUE"""),0.0)</f>
        <v>0</v>
      </c>
      <c r="V4597" s="1" t="str">
        <f>IFERROR(__xludf.DUMMYFUNCTION("""COMPUTED_VALUE"""),"#N/A")</f>
        <v>#N/A</v>
      </c>
      <c r="W4597" s="1" t="str">
        <f>IFERROR(__xludf.DUMMYFUNCTION("""COMPUTED_VALUE"""),"#N/A")</f>
        <v>#N/A</v>
      </c>
    </row>
    <row r="4598">
      <c r="O4598" s="1" t="str">
        <f>IFERROR(__xludf.DUMMYFUNCTION("""COMPUTED_VALUE"""),"#VALUE!")</f>
        <v>#VALUE!</v>
      </c>
      <c r="P4598" s="1" t="str">
        <f>IFERROR(__xludf.DUMMYFUNCTION("""COMPUTED_VALUE"""),"#N/A")</f>
        <v>#N/A</v>
      </c>
      <c r="Q4598" s="1"/>
      <c r="R4598" s="1"/>
      <c r="S4598" s="1"/>
      <c r="T4598" s="1"/>
      <c r="U4598" s="2">
        <f>IFERROR(__xludf.DUMMYFUNCTION("""COMPUTED_VALUE"""),0.0)</f>
        <v>0</v>
      </c>
      <c r="V4598" s="1" t="str">
        <f>IFERROR(__xludf.DUMMYFUNCTION("""COMPUTED_VALUE"""),"#N/A")</f>
        <v>#N/A</v>
      </c>
      <c r="W4598" s="1" t="str">
        <f>IFERROR(__xludf.DUMMYFUNCTION("""COMPUTED_VALUE"""),"#N/A")</f>
        <v>#N/A</v>
      </c>
    </row>
    <row r="4599">
      <c r="O4599" s="1" t="str">
        <f>IFERROR(__xludf.DUMMYFUNCTION("""COMPUTED_VALUE"""),"#VALUE!")</f>
        <v>#VALUE!</v>
      </c>
      <c r="P4599" s="1" t="str">
        <f>IFERROR(__xludf.DUMMYFUNCTION("""COMPUTED_VALUE"""),"#N/A")</f>
        <v>#N/A</v>
      </c>
      <c r="Q4599" s="1"/>
      <c r="R4599" s="1"/>
      <c r="S4599" s="1"/>
      <c r="T4599" s="1"/>
      <c r="U4599" s="2">
        <f>IFERROR(__xludf.DUMMYFUNCTION("""COMPUTED_VALUE"""),0.0)</f>
        <v>0</v>
      </c>
      <c r="V4599" s="1" t="str">
        <f>IFERROR(__xludf.DUMMYFUNCTION("""COMPUTED_VALUE"""),"#N/A")</f>
        <v>#N/A</v>
      </c>
      <c r="W4599" s="1" t="str">
        <f>IFERROR(__xludf.DUMMYFUNCTION("""COMPUTED_VALUE"""),"#N/A")</f>
        <v>#N/A</v>
      </c>
    </row>
    <row r="4600">
      <c r="O4600" s="1" t="str">
        <f>IFERROR(__xludf.DUMMYFUNCTION("""COMPUTED_VALUE"""),"#VALUE!")</f>
        <v>#VALUE!</v>
      </c>
      <c r="P4600" s="1" t="str">
        <f>IFERROR(__xludf.DUMMYFUNCTION("""COMPUTED_VALUE"""),"#N/A")</f>
        <v>#N/A</v>
      </c>
      <c r="Q4600" s="1"/>
      <c r="R4600" s="1"/>
      <c r="S4600" s="1"/>
      <c r="T4600" s="1"/>
      <c r="U4600" s="2">
        <f>IFERROR(__xludf.DUMMYFUNCTION("""COMPUTED_VALUE"""),0.0)</f>
        <v>0</v>
      </c>
      <c r="V4600" s="1" t="str">
        <f>IFERROR(__xludf.DUMMYFUNCTION("""COMPUTED_VALUE"""),"#N/A")</f>
        <v>#N/A</v>
      </c>
      <c r="W4600" s="1" t="str">
        <f>IFERROR(__xludf.DUMMYFUNCTION("""COMPUTED_VALUE"""),"#N/A")</f>
        <v>#N/A</v>
      </c>
    </row>
    <row r="4601">
      <c r="O4601" s="1" t="str">
        <f>IFERROR(__xludf.DUMMYFUNCTION("""COMPUTED_VALUE"""),"#VALUE!")</f>
        <v>#VALUE!</v>
      </c>
      <c r="P4601" s="1" t="str">
        <f>IFERROR(__xludf.DUMMYFUNCTION("""COMPUTED_VALUE"""),"#N/A")</f>
        <v>#N/A</v>
      </c>
      <c r="Q4601" s="1"/>
      <c r="R4601" s="1"/>
      <c r="S4601" s="1"/>
      <c r="T4601" s="1"/>
      <c r="U4601" s="2">
        <f>IFERROR(__xludf.DUMMYFUNCTION("""COMPUTED_VALUE"""),0.0)</f>
        <v>0</v>
      </c>
      <c r="V4601" s="1" t="str">
        <f>IFERROR(__xludf.DUMMYFUNCTION("""COMPUTED_VALUE"""),"#N/A")</f>
        <v>#N/A</v>
      </c>
      <c r="W4601" s="1" t="str">
        <f>IFERROR(__xludf.DUMMYFUNCTION("""COMPUTED_VALUE"""),"#N/A")</f>
        <v>#N/A</v>
      </c>
    </row>
    <row r="4602">
      <c r="O4602" s="1" t="str">
        <f>IFERROR(__xludf.DUMMYFUNCTION("""COMPUTED_VALUE"""),"#VALUE!")</f>
        <v>#VALUE!</v>
      </c>
      <c r="P4602" s="1" t="str">
        <f>IFERROR(__xludf.DUMMYFUNCTION("""COMPUTED_VALUE"""),"#N/A")</f>
        <v>#N/A</v>
      </c>
      <c r="Q4602" s="1"/>
      <c r="R4602" s="1"/>
      <c r="S4602" s="1"/>
      <c r="T4602" s="1"/>
      <c r="U4602" s="2">
        <f>IFERROR(__xludf.DUMMYFUNCTION("""COMPUTED_VALUE"""),0.0)</f>
        <v>0</v>
      </c>
      <c r="V4602" s="1" t="str">
        <f>IFERROR(__xludf.DUMMYFUNCTION("""COMPUTED_VALUE"""),"#N/A")</f>
        <v>#N/A</v>
      </c>
      <c r="W4602" s="1" t="str">
        <f>IFERROR(__xludf.DUMMYFUNCTION("""COMPUTED_VALUE"""),"#N/A")</f>
        <v>#N/A</v>
      </c>
    </row>
    <row r="4603">
      <c r="O4603" s="1" t="str">
        <f>IFERROR(__xludf.DUMMYFUNCTION("""COMPUTED_VALUE"""),"#VALUE!")</f>
        <v>#VALUE!</v>
      </c>
      <c r="P4603" s="1" t="str">
        <f>IFERROR(__xludf.DUMMYFUNCTION("""COMPUTED_VALUE"""),"#N/A")</f>
        <v>#N/A</v>
      </c>
      <c r="Q4603" s="1"/>
      <c r="R4603" s="1"/>
      <c r="S4603" s="1"/>
      <c r="T4603" s="1"/>
      <c r="U4603" s="2">
        <f>IFERROR(__xludf.DUMMYFUNCTION("""COMPUTED_VALUE"""),0.0)</f>
        <v>0</v>
      </c>
      <c r="V4603" s="1" t="str">
        <f>IFERROR(__xludf.DUMMYFUNCTION("""COMPUTED_VALUE"""),"#N/A")</f>
        <v>#N/A</v>
      </c>
      <c r="W4603" s="1" t="str">
        <f>IFERROR(__xludf.DUMMYFUNCTION("""COMPUTED_VALUE"""),"#N/A")</f>
        <v>#N/A</v>
      </c>
    </row>
    <row r="4604">
      <c r="O4604" s="1" t="str">
        <f>IFERROR(__xludf.DUMMYFUNCTION("""COMPUTED_VALUE"""),"#VALUE!")</f>
        <v>#VALUE!</v>
      </c>
      <c r="P4604" s="1" t="str">
        <f>IFERROR(__xludf.DUMMYFUNCTION("""COMPUTED_VALUE"""),"#N/A")</f>
        <v>#N/A</v>
      </c>
      <c r="Q4604" s="1"/>
      <c r="R4604" s="1"/>
      <c r="S4604" s="1"/>
      <c r="T4604" s="1"/>
      <c r="U4604" s="2">
        <f>IFERROR(__xludf.DUMMYFUNCTION("""COMPUTED_VALUE"""),0.0)</f>
        <v>0</v>
      </c>
      <c r="V4604" s="1" t="str">
        <f>IFERROR(__xludf.DUMMYFUNCTION("""COMPUTED_VALUE"""),"#N/A")</f>
        <v>#N/A</v>
      </c>
      <c r="W4604" s="1" t="str">
        <f>IFERROR(__xludf.DUMMYFUNCTION("""COMPUTED_VALUE"""),"#N/A")</f>
        <v>#N/A</v>
      </c>
    </row>
    <row r="4605">
      <c r="O4605" s="1" t="str">
        <f>IFERROR(__xludf.DUMMYFUNCTION("""COMPUTED_VALUE"""),"#VALUE!")</f>
        <v>#VALUE!</v>
      </c>
      <c r="P4605" s="1" t="str">
        <f>IFERROR(__xludf.DUMMYFUNCTION("""COMPUTED_VALUE"""),"#N/A")</f>
        <v>#N/A</v>
      </c>
      <c r="Q4605" s="1"/>
      <c r="R4605" s="1"/>
      <c r="S4605" s="1"/>
      <c r="T4605" s="1"/>
      <c r="U4605" s="2">
        <f>IFERROR(__xludf.DUMMYFUNCTION("""COMPUTED_VALUE"""),0.0)</f>
        <v>0</v>
      </c>
      <c r="V4605" s="1" t="str">
        <f>IFERROR(__xludf.DUMMYFUNCTION("""COMPUTED_VALUE"""),"#N/A")</f>
        <v>#N/A</v>
      </c>
      <c r="W4605" s="1" t="str">
        <f>IFERROR(__xludf.DUMMYFUNCTION("""COMPUTED_VALUE"""),"#N/A")</f>
        <v>#N/A</v>
      </c>
    </row>
    <row r="4606">
      <c r="O4606" s="1" t="str">
        <f>IFERROR(__xludf.DUMMYFUNCTION("""COMPUTED_VALUE"""),"#VALUE!")</f>
        <v>#VALUE!</v>
      </c>
      <c r="P4606" s="1" t="str">
        <f>IFERROR(__xludf.DUMMYFUNCTION("""COMPUTED_VALUE"""),"#N/A")</f>
        <v>#N/A</v>
      </c>
      <c r="Q4606" s="1"/>
      <c r="R4606" s="1"/>
      <c r="S4606" s="1"/>
      <c r="T4606" s="1"/>
      <c r="U4606" s="2">
        <f>IFERROR(__xludf.DUMMYFUNCTION("""COMPUTED_VALUE"""),0.0)</f>
        <v>0</v>
      </c>
      <c r="V4606" s="1" t="str">
        <f>IFERROR(__xludf.DUMMYFUNCTION("""COMPUTED_VALUE"""),"#N/A")</f>
        <v>#N/A</v>
      </c>
      <c r="W4606" s="1" t="str">
        <f>IFERROR(__xludf.DUMMYFUNCTION("""COMPUTED_VALUE"""),"#N/A")</f>
        <v>#N/A</v>
      </c>
    </row>
    <row r="4607">
      <c r="O4607" s="1" t="str">
        <f>IFERROR(__xludf.DUMMYFUNCTION("""COMPUTED_VALUE"""),"#VALUE!")</f>
        <v>#VALUE!</v>
      </c>
      <c r="P4607" s="1" t="str">
        <f>IFERROR(__xludf.DUMMYFUNCTION("""COMPUTED_VALUE"""),"#N/A")</f>
        <v>#N/A</v>
      </c>
      <c r="Q4607" s="1"/>
      <c r="R4607" s="1"/>
      <c r="S4607" s="1"/>
      <c r="T4607" s="1"/>
      <c r="U4607" s="2">
        <f>IFERROR(__xludf.DUMMYFUNCTION("""COMPUTED_VALUE"""),0.0)</f>
        <v>0</v>
      </c>
      <c r="V4607" s="1" t="str">
        <f>IFERROR(__xludf.DUMMYFUNCTION("""COMPUTED_VALUE"""),"#N/A")</f>
        <v>#N/A</v>
      </c>
      <c r="W4607" s="1" t="str">
        <f>IFERROR(__xludf.DUMMYFUNCTION("""COMPUTED_VALUE"""),"#N/A")</f>
        <v>#N/A</v>
      </c>
    </row>
    <row r="4608">
      <c r="O4608" s="1" t="str">
        <f>IFERROR(__xludf.DUMMYFUNCTION("""COMPUTED_VALUE"""),"#VALUE!")</f>
        <v>#VALUE!</v>
      </c>
      <c r="P4608" s="1" t="str">
        <f>IFERROR(__xludf.DUMMYFUNCTION("""COMPUTED_VALUE"""),"#N/A")</f>
        <v>#N/A</v>
      </c>
      <c r="Q4608" s="1"/>
      <c r="R4608" s="1"/>
      <c r="S4608" s="1"/>
      <c r="T4608" s="1"/>
      <c r="U4608" s="2">
        <f>IFERROR(__xludf.DUMMYFUNCTION("""COMPUTED_VALUE"""),0.0)</f>
        <v>0</v>
      </c>
      <c r="V4608" s="1" t="str">
        <f>IFERROR(__xludf.DUMMYFUNCTION("""COMPUTED_VALUE"""),"#N/A")</f>
        <v>#N/A</v>
      </c>
      <c r="W4608" s="1" t="str">
        <f>IFERROR(__xludf.DUMMYFUNCTION("""COMPUTED_VALUE"""),"#N/A")</f>
        <v>#N/A</v>
      </c>
    </row>
    <row r="4609">
      <c r="O4609" s="1" t="str">
        <f>IFERROR(__xludf.DUMMYFUNCTION("""COMPUTED_VALUE"""),"#VALUE!")</f>
        <v>#VALUE!</v>
      </c>
      <c r="P4609" s="1" t="str">
        <f>IFERROR(__xludf.DUMMYFUNCTION("""COMPUTED_VALUE"""),"#N/A")</f>
        <v>#N/A</v>
      </c>
      <c r="Q4609" s="1"/>
      <c r="R4609" s="1"/>
      <c r="S4609" s="1"/>
      <c r="T4609" s="1"/>
      <c r="U4609" s="2">
        <f>IFERROR(__xludf.DUMMYFUNCTION("""COMPUTED_VALUE"""),0.0)</f>
        <v>0</v>
      </c>
      <c r="V4609" s="1" t="str">
        <f>IFERROR(__xludf.DUMMYFUNCTION("""COMPUTED_VALUE"""),"#N/A")</f>
        <v>#N/A</v>
      </c>
      <c r="W4609" s="1" t="str">
        <f>IFERROR(__xludf.DUMMYFUNCTION("""COMPUTED_VALUE"""),"#N/A")</f>
        <v>#N/A</v>
      </c>
    </row>
    <row r="4610">
      <c r="O4610" s="1" t="str">
        <f>IFERROR(__xludf.DUMMYFUNCTION("""COMPUTED_VALUE"""),"#VALUE!")</f>
        <v>#VALUE!</v>
      </c>
      <c r="P4610" s="1" t="str">
        <f>IFERROR(__xludf.DUMMYFUNCTION("""COMPUTED_VALUE"""),"#N/A")</f>
        <v>#N/A</v>
      </c>
      <c r="Q4610" s="1"/>
      <c r="R4610" s="1"/>
      <c r="S4610" s="1"/>
      <c r="T4610" s="1"/>
      <c r="U4610" s="2">
        <f>IFERROR(__xludf.DUMMYFUNCTION("""COMPUTED_VALUE"""),0.0)</f>
        <v>0</v>
      </c>
      <c r="V4610" s="1" t="str">
        <f>IFERROR(__xludf.DUMMYFUNCTION("""COMPUTED_VALUE"""),"#N/A")</f>
        <v>#N/A</v>
      </c>
      <c r="W4610" s="1" t="str">
        <f>IFERROR(__xludf.DUMMYFUNCTION("""COMPUTED_VALUE"""),"#N/A")</f>
        <v>#N/A</v>
      </c>
    </row>
    <row r="4611">
      <c r="O4611" s="1" t="str">
        <f>IFERROR(__xludf.DUMMYFUNCTION("""COMPUTED_VALUE"""),"#VALUE!")</f>
        <v>#VALUE!</v>
      </c>
      <c r="P4611" s="1" t="str">
        <f>IFERROR(__xludf.DUMMYFUNCTION("""COMPUTED_VALUE"""),"#N/A")</f>
        <v>#N/A</v>
      </c>
      <c r="Q4611" s="1"/>
      <c r="R4611" s="1"/>
      <c r="S4611" s="1"/>
      <c r="T4611" s="1"/>
      <c r="U4611" s="2">
        <f>IFERROR(__xludf.DUMMYFUNCTION("""COMPUTED_VALUE"""),0.0)</f>
        <v>0</v>
      </c>
      <c r="V4611" s="1" t="str">
        <f>IFERROR(__xludf.DUMMYFUNCTION("""COMPUTED_VALUE"""),"#N/A")</f>
        <v>#N/A</v>
      </c>
      <c r="W4611" s="1" t="str">
        <f>IFERROR(__xludf.DUMMYFUNCTION("""COMPUTED_VALUE"""),"#N/A")</f>
        <v>#N/A</v>
      </c>
    </row>
    <row r="4612">
      <c r="O4612" s="1" t="str">
        <f>IFERROR(__xludf.DUMMYFUNCTION("""COMPUTED_VALUE"""),"#VALUE!")</f>
        <v>#VALUE!</v>
      </c>
      <c r="P4612" s="1" t="str">
        <f>IFERROR(__xludf.DUMMYFUNCTION("""COMPUTED_VALUE"""),"#N/A")</f>
        <v>#N/A</v>
      </c>
      <c r="Q4612" s="1"/>
      <c r="R4612" s="1"/>
      <c r="S4612" s="1"/>
      <c r="T4612" s="1"/>
      <c r="U4612" s="2">
        <f>IFERROR(__xludf.DUMMYFUNCTION("""COMPUTED_VALUE"""),0.0)</f>
        <v>0</v>
      </c>
      <c r="V4612" s="1" t="str">
        <f>IFERROR(__xludf.DUMMYFUNCTION("""COMPUTED_VALUE"""),"#N/A")</f>
        <v>#N/A</v>
      </c>
      <c r="W4612" s="1" t="str">
        <f>IFERROR(__xludf.DUMMYFUNCTION("""COMPUTED_VALUE"""),"#N/A")</f>
        <v>#N/A</v>
      </c>
    </row>
    <row r="4613">
      <c r="O4613" s="1" t="str">
        <f>IFERROR(__xludf.DUMMYFUNCTION("""COMPUTED_VALUE"""),"#VALUE!")</f>
        <v>#VALUE!</v>
      </c>
      <c r="P4613" s="1" t="str">
        <f>IFERROR(__xludf.DUMMYFUNCTION("""COMPUTED_VALUE"""),"#N/A")</f>
        <v>#N/A</v>
      </c>
      <c r="Q4613" s="1"/>
      <c r="R4613" s="1"/>
      <c r="S4613" s="1"/>
      <c r="T4613" s="1"/>
      <c r="U4613" s="2">
        <f>IFERROR(__xludf.DUMMYFUNCTION("""COMPUTED_VALUE"""),0.0)</f>
        <v>0</v>
      </c>
      <c r="V4613" s="1" t="str">
        <f>IFERROR(__xludf.DUMMYFUNCTION("""COMPUTED_VALUE"""),"#N/A")</f>
        <v>#N/A</v>
      </c>
      <c r="W4613" s="1" t="str">
        <f>IFERROR(__xludf.DUMMYFUNCTION("""COMPUTED_VALUE"""),"#N/A")</f>
        <v>#N/A</v>
      </c>
    </row>
    <row r="4614">
      <c r="O4614" s="1" t="str">
        <f>IFERROR(__xludf.DUMMYFUNCTION("""COMPUTED_VALUE"""),"#VALUE!")</f>
        <v>#VALUE!</v>
      </c>
      <c r="P4614" s="1" t="str">
        <f>IFERROR(__xludf.DUMMYFUNCTION("""COMPUTED_VALUE"""),"#N/A")</f>
        <v>#N/A</v>
      </c>
      <c r="Q4614" s="1"/>
      <c r="R4614" s="1"/>
      <c r="S4614" s="1"/>
      <c r="T4614" s="1"/>
      <c r="U4614" s="2">
        <f>IFERROR(__xludf.DUMMYFUNCTION("""COMPUTED_VALUE"""),0.0)</f>
        <v>0</v>
      </c>
      <c r="V4614" s="1" t="str">
        <f>IFERROR(__xludf.DUMMYFUNCTION("""COMPUTED_VALUE"""),"#N/A")</f>
        <v>#N/A</v>
      </c>
      <c r="W4614" s="1" t="str">
        <f>IFERROR(__xludf.DUMMYFUNCTION("""COMPUTED_VALUE"""),"#N/A")</f>
        <v>#N/A</v>
      </c>
    </row>
    <row r="4615">
      <c r="O4615" s="1" t="str">
        <f>IFERROR(__xludf.DUMMYFUNCTION("""COMPUTED_VALUE"""),"#VALUE!")</f>
        <v>#VALUE!</v>
      </c>
      <c r="P4615" s="1" t="str">
        <f>IFERROR(__xludf.DUMMYFUNCTION("""COMPUTED_VALUE"""),"#N/A")</f>
        <v>#N/A</v>
      </c>
      <c r="Q4615" s="1"/>
      <c r="R4615" s="1"/>
      <c r="S4615" s="1"/>
      <c r="T4615" s="1"/>
      <c r="U4615" s="2">
        <f>IFERROR(__xludf.DUMMYFUNCTION("""COMPUTED_VALUE"""),0.0)</f>
        <v>0</v>
      </c>
      <c r="V4615" s="1" t="str">
        <f>IFERROR(__xludf.DUMMYFUNCTION("""COMPUTED_VALUE"""),"#N/A")</f>
        <v>#N/A</v>
      </c>
      <c r="W4615" s="1" t="str">
        <f>IFERROR(__xludf.DUMMYFUNCTION("""COMPUTED_VALUE"""),"#N/A")</f>
        <v>#N/A</v>
      </c>
    </row>
    <row r="4616">
      <c r="O4616" s="1" t="str">
        <f>IFERROR(__xludf.DUMMYFUNCTION("""COMPUTED_VALUE"""),"#VALUE!")</f>
        <v>#VALUE!</v>
      </c>
      <c r="P4616" s="1" t="str">
        <f>IFERROR(__xludf.DUMMYFUNCTION("""COMPUTED_VALUE"""),"#N/A")</f>
        <v>#N/A</v>
      </c>
      <c r="Q4616" s="1"/>
      <c r="R4616" s="1"/>
      <c r="S4616" s="1"/>
      <c r="T4616" s="1"/>
      <c r="U4616" s="2">
        <f>IFERROR(__xludf.DUMMYFUNCTION("""COMPUTED_VALUE"""),0.0)</f>
        <v>0</v>
      </c>
      <c r="V4616" s="1" t="str">
        <f>IFERROR(__xludf.DUMMYFUNCTION("""COMPUTED_VALUE"""),"#N/A")</f>
        <v>#N/A</v>
      </c>
      <c r="W4616" s="1" t="str">
        <f>IFERROR(__xludf.DUMMYFUNCTION("""COMPUTED_VALUE"""),"#N/A")</f>
        <v>#N/A</v>
      </c>
    </row>
    <row r="4617">
      <c r="O4617" s="1" t="str">
        <f>IFERROR(__xludf.DUMMYFUNCTION("""COMPUTED_VALUE"""),"#VALUE!")</f>
        <v>#VALUE!</v>
      </c>
      <c r="P4617" s="1" t="str">
        <f>IFERROR(__xludf.DUMMYFUNCTION("""COMPUTED_VALUE"""),"#N/A")</f>
        <v>#N/A</v>
      </c>
      <c r="Q4617" s="1"/>
      <c r="R4617" s="1"/>
      <c r="S4617" s="1"/>
      <c r="T4617" s="1"/>
      <c r="U4617" s="2">
        <f>IFERROR(__xludf.DUMMYFUNCTION("""COMPUTED_VALUE"""),0.0)</f>
        <v>0</v>
      </c>
      <c r="V4617" s="1" t="str">
        <f>IFERROR(__xludf.DUMMYFUNCTION("""COMPUTED_VALUE"""),"#N/A")</f>
        <v>#N/A</v>
      </c>
      <c r="W4617" s="1" t="str">
        <f>IFERROR(__xludf.DUMMYFUNCTION("""COMPUTED_VALUE"""),"#N/A")</f>
        <v>#N/A</v>
      </c>
    </row>
    <row r="4618">
      <c r="O4618" s="1" t="str">
        <f>IFERROR(__xludf.DUMMYFUNCTION("""COMPUTED_VALUE"""),"#VALUE!")</f>
        <v>#VALUE!</v>
      </c>
      <c r="P4618" s="1" t="str">
        <f>IFERROR(__xludf.DUMMYFUNCTION("""COMPUTED_VALUE"""),"#N/A")</f>
        <v>#N/A</v>
      </c>
      <c r="Q4618" s="1"/>
      <c r="R4618" s="1"/>
      <c r="S4618" s="1"/>
      <c r="T4618" s="1"/>
      <c r="U4618" s="2">
        <f>IFERROR(__xludf.DUMMYFUNCTION("""COMPUTED_VALUE"""),0.0)</f>
        <v>0</v>
      </c>
      <c r="V4618" s="1" t="str">
        <f>IFERROR(__xludf.DUMMYFUNCTION("""COMPUTED_VALUE"""),"#N/A")</f>
        <v>#N/A</v>
      </c>
      <c r="W4618" s="1" t="str">
        <f>IFERROR(__xludf.DUMMYFUNCTION("""COMPUTED_VALUE"""),"#N/A")</f>
        <v>#N/A</v>
      </c>
    </row>
    <row r="4619">
      <c r="O4619" s="1" t="str">
        <f>IFERROR(__xludf.DUMMYFUNCTION("""COMPUTED_VALUE"""),"#VALUE!")</f>
        <v>#VALUE!</v>
      </c>
      <c r="P4619" s="1" t="str">
        <f>IFERROR(__xludf.DUMMYFUNCTION("""COMPUTED_VALUE"""),"#N/A")</f>
        <v>#N/A</v>
      </c>
      <c r="Q4619" s="1"/>
      <c r="R4619" s="1"/>
      <c r="S4619" s="1"/>
      <c r="T4619" s="1"/>
      <c r="U4619" s="2">
        <f>IFERROR(__xludf.DUMMYFUNCTION("""COMPUTED_VALUE"""),0.0)</f>
        <v>0</v>
      </c>
      <c r="V4619" s="1" t="str">
        <f>IFERROR(__xludf.DUMMYFUNCTION("""COMPUTED_VALUE"""),"#N/A")</f>
        <v>#N/A</v>
      </c>
      <c r="W4619" s="1" t="str">
        <f>IFERROR(__xludf.DUMMYFUNCTION("""COMPUTED_VALUE"""),"#N/A")</f>
        <v>#N/A</v>
      </c>
    </row>
    <row r="4620">
      <c r="O4620" s="1" t="str">
        <f>IFERROR(__xludf.DUMMYFUNCTION("""COMPUTED_VALUE"""),"#VALUE!")</f>
        <v>#VALUE!</v>
      </c>
      <c r="P4620" s="1" t="str">
        <f>IFERROR(__xludf.DUMMYFUNCTION("""COMPUTED_VALUE"""),"#N/A")</f>
        <v>#N/A</v>
      </c>
      <c r="Q4620" s="1"/>
      <c r="R4620" s="1"/>
      <c r="S4620" s="1"/>
      <c r="T4620" s="1"/>
      <c r="U4620" s="2">
        <f>IFERROR(__xludf.DUMMYFUNCTION("""COMPUTED_VALUE"""),0.0)</f>
        <v>0</v>
      </c>
      <c r="V4620" s="1" t="str">
        <f>IFERROR(__xludf.DUMMYFUNCTION("""COMPUTED_VALUE"""),"#N/A")</f>
        <v>#N/A</v>
      </c>
      <c r="W4620" s="1" t="str">
        <f>IFERROR(__xludf.DUMMYFUNCTION("""COMPUTED_VALUE"""),"#N/A")</f>
        <v>#N/A</v>
      </c>
    </row>
    <row r="4621">
      <c r="O4621" s="1" t="str">
        <f>IFERROR(__xludf.DUMMYFUNCTION("""COMPUTED_VALUE"""),"#VALUE!")</f>
        <v>#VALUE!</v>
      </c>
      <c r="P4621" s="1" t="str">
        <f>IFERROR(__xludf.DUMMYFUNCTION("""COMPUTED_VALUE"""),"#N/A")</f>
        <v>#N/A</v>
      </c>
      <c r="Q4621" s="1"/>
      <c r="R4621" s="1"/>
      <c r="S4621" s="1"/>
      <c r="T4621" s="1"/>
      <c r="U4621" s="2">
        <f>IFERROR(__xludf.DUMMYFUNCTION("""COMPUTED_VALUE"""),0.0)</f>
        <v>0</v>
      </c>
      <c r="V4621" s="1" t="str">
        <f>IFERROR(__xludf.DUMMYFUNCTION("""COMPUTED_VALUE"""),"#N/A")</f>
        <v>#N/A</v>
      </c>
      <c r="W4621" s="1" t="str">
        <f>IFERROR(__xludf.DUMMYFUNCTION("""COMPUTED_VALUE"""),"#N/A")</f>
        <v>#N/A</v>
      </c>
    </row>
    <row r="4622">
      <c r="O4622" s="1" t="str">
        <f>IFERROR(__xludf.DUMMYFUNCTION("""COMPUTED_VALUE"""),"#VALUE!")</f>
        <v>#VALUE!</v>
      </c>
      <c r="P4622" s="1" t="str">
        <f>IFERROR(__xludf.DUMMYFUNCTION("""COMPUTED_VALUE"""),"#N/A")</f>
        <v>#N/A</v>
      </c>
      <c r="Q4622" s="1"/>
      <c r="R4622" s="1"/>
      <c r="S4622" s="1"/>
      <c r="T4622" s="1"/>
      <c r="U4622" s="2">
        <f>IFERROR(__xludf.DUMMYFUNCTION("""COMPUTED_VALUE"""),0.0)</f>
        <v>0</v>
      </c>
      <c r="V4622" s="1" t="str">
        <f>IFERROR(__xludf.DUMMYFUNCTION("""COMPUTED_VALUE"""),"#N/A")</f>
        <v>#N/A</v>
      </c>
      <c r="W4622" s="1" t="str">
        <f>IFERROR(__xludf.DUMMYFUNCTION("""COMPUTED_VALUE"""),"#N/A")</f>
        <v>#N/A</v>
      </c>
    </row>
    <row r="4623">
      <c r="O4623" s="1" t="str">
        <f>IFERROR(__xludf.DUMMYFUNCTION("""COMPUTED_VALUE"""),"#VALUE!")</f>
        <v>#VALUE!</v>
      </c>
      <c r="P4623" s="1" t="str">
        <f>IFERROR(__xludf.DUMMYFUNCTION("""COMPUTED_VALUE"""),"#N/A")</f>
        <v>#N/A</v>
      </c>
      <c r="Q4623" s="1"/>
      <c r="R4623" s="1"/>
      <c r="S4623" s="1"/>
      <c r="T4623" s="1"/>
      <c r="U4623" s="2">
        <f>IFERROR(__xludf.DUMMYFUNCTION("""COMPUTED_VALUE"""),0.0)</f>
        <v>0</v>
      </c>
      <c r="V4623" s="1" t="str">
        <f>IFERROR(__xludf.DUMMYFUNCTION("""COMPUTED_VALUE"""),"#N/A")</f>
        <v>#N/A</v>
      </c>
      <c r="W4623" s="1" t="str">
        <f>IFERROR(__xludf.DUMMYFUNCTION("""COMPUTED_VALUE"""),"#N/A")</f>
        <v>#N/A</v>
      </c>
    </row>
    <row r="4624">
      <c r="O4624" s="1" t="str">
        <f>IFERROR(__xludf.DUMMYFUNCTION("""COMPUTED_VALUE"""),"#VALUE!")</f>
        <v>#VALUE!</v>
      </c>
      <c r="P4624" s="1" t="str">
        <f>IFERROR(__xludf.DUMMYFUNCTION("""COMPUTED_VALUE"""),"#N/A")</f>
        <v>#N/A</v>
      </c>
      <c r="Q4624" s="1"/>
      <c r="R4624" s="1"/>
      <c r="S4624" s="1"/>
      <c r="T4624" s="1"/>
      <c r="U4624" s="2">
        <f>IFERROR(__xludf.DUMMYFUNCTION("""COMPUTED_VALUE"""),0.0)</f>
        <v>0</v>
      </c>
      <c r="V4624" s="1" t="str">
        <f>IFERROR(__xludf.DUMMYFUNCTION("""COMPUTED_VALUE"""),"#N/A")</f>
        <v>#N/A</v>
      </c>
      <c r="W4624" s="1" t="str">
        <f>IFERROR(__xludf.DUMMYFUNCTION("""COMPUTED_VALUE"""),"#N/A")</f>
        <v>#N/A</v>
      </c>
    </row>
    <row r="4625">
      <c r="O4625" s="1" t="str">
        <f>IFERROR(__xludf.DUMMYFUNCTION("""COMPUTED_VALUE"""),"#VALUE!")</f>
        <v>#VALUE!</v>
      </c>
      <c r="P4625" s="1" t="str">
        <f>IFERROR(__xludf.DUMMYFUNCTION("""COMPUTED_VALUE"""),"#N/A")</f>
        <v>#N/A</v>
      </c>
      <c r="Q4625" s="1"/>
      <c r="R4625" s="1"/>
      <c r="S4625" s="1"/>
      <c r="T4625" s="1"/>
      <c r="U4625" s="2">
        <f>IFERROR(__xludf.DUMMYFUNCTION("""COMPUTED_VALUE"""),0.0)</f>
        <v>0</v>
      </c>
      <c r="V4625" s="1" t="str">
        <f>IFERROR(__xludf.DUMMYFUNCTION("""COMPUTED_VALUE"""),"#N/A")</f>
        <v>#N/A</v>
      </c>
      <c r="W4625" s="1" t="str">
        <f>IFERROR(__xludf.DUMMYFUNCTION("""COMPUTED_VALUE"""),"#N/A")</f>
        <v>#N/A</v>
      </c>
    </row>
    <row r="4626">
      <c r="O4626" s="1" t="str">
        <f>IFERROR(__xludf.DUMMYFUNCTION("""COMPUTED_VALUE"""),"#VALUE!")</f>
        <v>#VALUE!</v>
      </c>
      <c r="P4626" s="1" t="str">
        <f>IFERROR(__xludf.DUMMYFUNCTION("""COMPUTED_VALUE"""),"#N/A")</f>
        <v>#N/A</v>
      </c>
      <c r="Q4626" s="1"/>
      <c r="R4626" s="1"/>
      <c r="S4626" s="1"/>
      <c r="T4626" s="1"/>
      <c r="U4626" s="2">
        <f>IFERROR(__xludf.DUMMYFUNCTION("""COMPUTED_VALUE"""),0.0)</f>
        <v>0</v>
      </c>
      <c r="V4626" s="1" t="str">
        <f>IFERROR(__xludf.DUMMYFUNCTION("""COMPUTED_VALUE"""),"#N/A")</f>
        <v>#N/A</v>
      </c>
      <c r="W4626" s="1" t="str">
        <f>IFERROR(__xludf.DUMMYFUNCTION("""COMPUTED_VALUE"""),"#N/A")</f>
        <v>#N/A</v>
      </c>
    </row>
    <row r="4627">
      <c r="O4627" s="1" t="str">
        <f>IFERROR(__xludf.DUMMYFUNCTION("""COMPUTED_VALUE"""),"#VALUE!")</f>
        <v>#VALUE!</v>
      </c>
      <c r="P4627" s="1" t="str">
        <f>IFERROR(__xludf.DUMMYFUNCTION("""COMPUTED_VALUE"""),"#N/A")</f>
        <v>#N/A</v>
      </c>
      <c r="Q4627" s="1"/>
      <c r="R4627" s="1"/>
      <c r="S4627" s="1"/>
      <c r="T4627" s="1"/>
      <c r="U4627" s="2">
        <f>IFERROR(__xludf.DUMMYFUNCTION("""COMPUTED_VALUE"""),0.0)</f>
        <v>0</v>
      </c>
      <c r="V4627" s="1" t="str">
        <f>IFERROR(__xludf.DUMMYFUNCTION("""COMPUTED_VALUE"""),"#N/A")</f>
        <v>#N/A</v>
      </c>
      <c r="W4627" s="1" t="str">
        <f>IFERROR(__xludf.DUMMYFUNCTION("""COMPUTED_VALUE"""),"#N/A")</f>
        <v>#N/A</v>
      </c>
    </row>
    <row r="4628">
      <c r="O4628" s="1" t="str">
        <f>IFERROR(__xludf.DUMMYFUNCTION("""COMPUTED_VALUE"""),"#VALUE!")</f>
        <v>#VALUE!</v>
      </c>
      <c r="P4628" s="1" t="str">
        <f>IFERROR(__xludf.DUMMYFUNCTION("""COMPUTED_VALUE"""),"#N/A")</f>
        <v>#N/A</v>
      </c>
      <c r="Q4628" s="1"/>
      <c r="R4628" s="1"/>
      <c r="S4628" s="1"/>
      <c r="T4628" s="1"/>
      <c r="U4628" s="2">
        <f>IFERROR(__xludf.DUMMYFUNCTION("""COMPUTED_VALUE"""),0.0)</f>
        <v>0</v>
      </c>
      <c r="V4628" s="1" t="str">
        <f>IFERROR(__xludf.DUMMYFUNCTION("""COMPUTED_VALUE"""),"#N/A")</f>
        <v>#N/A</v>
      </c>
      <c r="W4628" s="1" t="str">
        <f>IFERROR(__xludf.DUMMYFUNCTION("""COMPUTED_VALUE"""),"#N/A")</f>
        <v>#N/A</v>
      </c>
    </row>
    <row r="4629">
      <c r="O4629" s="1" t="str">
        <f>IFERROR(__xludf.DUMMYFUNCTION("""COMPUTED_VALUE"""),"#VALUE!")</f>
        <v>#VALUE!</v>
      </c>
      <c r="P4629" s="1" t="str">
        <f>IFERROR(__xludf.DUMMYFUNCTION("""COMPUTED_VALUE"""),"#N/A")</f>
        <v>#N/A</v>
      </c>
      <c r="Q4629" s="1"/>
      <c r="R4629" s="1"/>
      <c r="S4629" s="1"/>
      <c r="T4629" s="1"/>
      <c r="U4629" s="2">
        <f>IFERROR(__xludf.DUMMYFUNCTION("""COMPUTED_VALUE"""),0.0)</f>
        <v>0</v>
      </c>
      <c r="V4629" s="1" t="str">
        <f>IFERROR(__xludf.DUMMYFUNCTION("""COMPUTED_VALUE"""),"#N/A")</f>
        <v>#N/A</v>
      </c>
      <c r="W4629" s="1" t="str">
        <f>IFERROR(__xludf.DUMMYFUNCTION("""COMPUTED_VALUE"""),"#N/A")</f>
        <v>#N/A</v>
      </c>
    </row>
    <row r="4630">
      <c r="O4630" s="1" t="str">
        <f>IFERROR(__xludf.DUMMYFUNCTION("""COMPUTED_VALUE"""),"#VALUE!")</f>
        <v>#VALUE!</v>
      </c>
      <c r="P4630" s="1" t="str">
        <f>IFERROR(__xludf.DUMMYFUNCTION("""COMPUTED_VALUE"""),"#N/A")</f>
        <v>#N/A</v>
      </c>
      <c r="Q4630" s="1"/>
      <c r="R4630" s="1"/>
      <c r="S4630" s="1"/>
      <c r="T4630" s="1"/>
      <c r="U4630" s="2">
        <f>IFERROR(__xludf.DUMMYFUNCTION("""COMPUTED_VALUE"""),0.0)</f>
        <v>0</v>
      </c>
      <c r="V4630" s="1" t="str">
        <f>IFERROR(__xludf.DUMMYFUNCTION("""COMPUTED_VALUE"""),"#N/A")</f>
        <v>#N/A</v>
      </c>
      <c r="W4630" s="1" t="str">
        <f>IFERROR(__xludf.DUMMYFUNCTION("""COMPUTED_VALUE"""),"#N/A")</f>
        <v>#N/A</v>
      </c>
    </row>
    <row r="4631">
      <c r="O4631" s="1" t="str">
        <f>IFERROR(__xludf.DUMMYFUNCTION("""COMPUTED_VALUE"""),"#VALUE!")</f>
        <v>#VALUE!</v>
      </c>
      <c r="P4631" s="1" t="str">
        <f>IFERROR(__xludf.DUMMYFUNCTION("""COMPUTED_VALUE"""),"#N/A")</f>
        <v>#N/A</v>
      </c>
      <c r="Q4631" s="1"/>
      <c r="R4631" s="1"/>
      <c r="S4631" s="1"/>
      <c r="T4631" s="1"/>
      <c r="U4631" s="2">
        <f>IFERROR(__xludf.DUMMYFUNCTION("""COMPUTED_VALUE"""),0.0)</f>
        <v>0</v>
      </c>
      <c r="V4631" s="1" t="str">
        <f>IFERROR(__xludf.DUMMYFUNCTION("""COMPUTED_VALUE"""),"#N/A")</f>
        <v>#N/A</v>
      </c>
      <c r="W4631" s="1" t="str">
        <f>IFERROR(__xludf.DUMMYFUNCTION("""COMPUTED_VALUE"""),"#N/A")</f>
        <v>#N/A</v>
      </c>
    </row>
    <row r="4632">
      <c r="O4632" s="1" t="str">
        <f>IFERROR(__xludf.DUMMYFUNCTION("""COMPUTED_VALUE"""),"#VALUE!")</f>
        <v>#VALUE!</v>
      </c>
      <c r="P4632" s="1" t="str">
        <f>IFERROR(__xludf.DUMMYFUNCTION("""COMPUTED_VALUE"""),"#N/A")</f>
        <v>#N/A</v>
      </c>
      <c r="Q4632" s="1"/>
      <c r="R4632" s="1"/>
      <c r="S4632" s="1"/>
      <c r="T4632" s="1"/>
      <c r="U4632" s="2">
        <f>IFERROR(__xludf.DUMMYFUNCTION("""COMPUTED_VALUE"""),0.0)</f>
        <v>0</v>
      </c>
      <c r="V4632" s="1" t="str">
        <f>IFERROR(__xludf.DUMMYFUNCTION("""COMPUTED_VALUE"""),"#N/A")</f>
        <v>#N/A</v>
      </c>
      <c r="W4632" s="1" t="str">
        <f>IFERROR(__xludf.DUMMYFUNCTION("""COMPUTED_VALUE"""),"#N/A")</f>
        <v>#N/A</v>
      </c>
    </row>
    <row r="4633">
      <c r="O4633" s="1" t="str">
        <f>IFERROR(__xludf.DUMMYFUNCTION("""COMPUTED_VALUE"""),"#VALUE!")</f>
        <v>#VALUE!</v>
      </c>
      <c r="P4633" s="1" t="str">
        <f>IFERROR(__xludf.DUMMYFUNCTION("""COMPUTED_VALUE"""),"#N/A")</f>
        <v>#N/A</v>
      </c>
      <c r="Q4633" s="1"/>
      <c r="R4633" s="1"/>
      <c r="S4633" s="1"/>
      <c r="T4633" s="1"/>
      <c r="U4633" s="2">
        <f>IFERROR(__xludf.DUMMYFUNCTION("""COMPUTED_VALUE"""),0.0)</f>
        <v>0</v>
      </c>
      <c r="V4633" s="1" t="str">
        <f>IFERROR(__xludf.DUMMYFUNCTION("""COMPUTED_VALUE"""),"#N/A")</f>
        <v>#N/A</v>
      </c>
      <c r="W4633" s="1" t="str">
        <f>IFERROR(__xludf.DUMMYFUNCTION("""COMPUTED_VALUE"""),"#N/A")</f>
        <v>#N/A</v>
      </c>
    </row>
    <row r="4634">
      <c r="O4634" s="1" t="str">
        <f>IFERROR(__xludf.DUMMYFUNCTION("""COMPUTED_VALUE"""),"#VALUE!")</f>
        <v>#VALUE!</v>
      </c>
      <c r="P4634" s="1" t="str">
        <f>IFERROR(__xludf.DUMMYFUNCTION("""COMPUTED_VALUE"""),"#N/A")</f>
        <v>#N/A</v>
      </c>
      <c r="Q4634" s="1"/>
      <c r="R4634" s="1"/>
      <c r="S4634" s="1"/>
      <c r="T4634" s="1"/>
      <c r="U4634" s="2">
        <f>IFERROR(__xludf.DUMMYFUNCTION("""COMPUTED_VALUE"""),0.0)</f>
        <v>0</v>
      </c>
      <c r="V4634" s="1" t="str">
        <f>IFERROR(__xludf.DUMMYFUNCTION("""COMPUTED_VALUE"""),"#N/A")</f>
        <v>#N/A</v>
      </c>
      <c r="W4634" s="1" t="str">
        <f>IFERROR(__xludf.DUMMYFUNCTION("""COMPUTED_VALUE"""),"#N/A")</f>
        <v>#N/A</v>
      </c>
    </row>
    <row r="4635">
      <c r="O4635" s="1" t="str">
        <f>IFERROR(__xludf.DUMMYFUNCTION("""COMPUTED_VALUE"""),"#VALUE!")</f>
        <v>#VALUE!</v>
      </c>
      <c r="P4635" s="1" t="str">
        <f>IFERROR(__xludf.DUMMYFUNCTION("""COMPUTED_VALUE"""),"#N/A")</f>
        <v>#N/A</v>
      </c>
      <c r="Q4635" s="1"/>
      <c r="R4635" s="1"/>
      <c r="S4635" s="1"/>
      <c r="T4635" s="1"/>
      <c r="U4635" s="2">
        <f>IFERROR(__xludf.DUMMYFUNCTION("""COMPUTED_VALUE"""),0.0)</f>
        <v>0</v>
      </c>
      <c r="V4635" s="1" t="str">
        <f>IFERROR(__xludf.DUMMYFUNCTION("""COMPUTED_VALUE"""),"#N/A")</f>
        <v>#N/A</v>
      </c>
      <c r="W4635" s="1" t="str">
        <f>IFERROR(__xludf.DUMMYFUNCTION("""COMPUTED_VALUE"""),"#N/A")</f>
        <v>#N/A</v>
      </c>
    </row>
    <row r="4636">
      <c r="O4636" s="1" t="str">
        <f>IFERROR(__xludf.DUMMYFUNCTION("""COMPUTED_VALUE"""),"#VALUE!")</f>
        <v>#VALUE!</v>
      </c>
      <c r="P4636" s="1" t="str">
        <f>IFERROR(__xludf.DUMMYFUNCTION("""COMPUTED_VALUE"""),"#N/A")</f>
        <v>#N/A</v>
      </c>
      <c r="Q4636" s="1"/>
      <c r="R4636" s="1"/>
      <c r="S4636" s="1"/>
      <c r="T4636" s="1"/>
      <c r="U4636" s="2">
        <f>IFERROR(__xludf.DUMMYFUNCTION("""COMPUTED_VALUE"""),0.0)</f>
        <v>0</v>
      </c>
      <c r="V4636" s="1" t="str">
        <f>IFERROR(__xludf.DUMMYFUNCTION("""COMPUTED_VALUE"""),"#N/A")</f>
        <v>#N/A</v>
      </c>
      <c r="W4636" s="1" t="str">
        <f>IFERROR(__xludf.DUMMYFUNCTION("""COMPUTED_VALUE"""),"#N/A")</f>
        <v>#N/A</v>
      </c>
    </row>
    <row r="4637">
      <c r="O4637" s="1" t="str">
        <f>IFERROR(__xludf.DUMMYFUNCTION("""COMPUTED_VALUE"""),"#VALUE!")</f>
        <v>#VALUE!</v>
      </c>
      <c r="P4637" s="1" t="str">
        <f>IFERROR(__xludf.DUMMYFUNCTION("""COMPUTED_VALUE"""),"#N/A")</f>
        <v>#N/A</v>
      </c>
      <c r="Q4637" s="1"/>
      <c r="R4637" s="1"/>
      <c r="S4637" s="1"/>
      <c r="T4637" s="1"/>
      <c r="U4637" s="2">
        <f>IFERROR(__xludf.DUMMYFUNCTION("""COMPUTED_VALUE"""),0.0)</f>
        <v>0</v>
      </c>
      <c r="V4637" s="1" t="str">
        <f>IFERROR(__xludf.DUMMYFUNCTION("""COMPUTED_VALUE"""),"#N/A")</f>
        <v>#N/A</v>
      </c>
      <c r="W4637" s="1" t="str">
        <f>IFERROR(__xludf.DUMMYFUNCTION("""COMPUTED_VALUE"""),"#N/A")</f>
        <v>#N/A</v>
      </c>
    </row>
    <row r="4638">
      <c r="O4638" s="1" t="str">
        <f>IFERROR(__xludf.DUMMYFUNCTION("""COMPUTED_VALUE"""),"#VALUE!")</f>
        <v>#VALUE!</v>
      </c>
      <c r="P4638" s="1" t="str">
        <f>IFERROR(__xludf.DUMMYFUNCTION("""COMPUTED_VALUE"""),"#N/A")</f>
        <v>#N/A</v>
      </c>
      <c r="Q4638" s="1"/>
      <c r="R4638" s="1"/>
      <c r="S4638" s="1"/>
      <c r="T4638" s="1"/>
      <c r="U4638" s="2">
        <f>IFERROR(__xludf.DUMMYFUNCTION("""COMPUTED_VALUE"""),0.0)</f>
        <v>0</v>
      </c>
      <c r="V4638" s="1" t="str">
        <f>IFERROR(__xludf.DUMMYFUNCTION("""COMPUTED_VALUE"""),"#N/A")</f>
        <v>#N/A</v>
      </c>
      <c r="W4638" s="1" t="str">
        <f>IFERROR(__xludf.DUMMYFUNCTION("""COMPUTED_VALUE"""),"#N/A")</f>
        <v>#N/A</v>
      </c>
    </row>
    <row r="4639">
      <c r="O4639" s="1" t="str">
        <f>IFERROR(__xludf.DUMMYFUNCTION("""COMPUTED_VALUE"""),"#VALUE!")</f>
        <v>#VALUE!</v>
      </c>
      <c r="P4639" s="1" t="str">
        <f>IFERROR(__xludf.DUMMYFUNCTION("""COMPUTED_VALUE"""),"#N/A")</f>
        <v>#N/A</v>
      </c>
      <c r="Q4639" s="1"/>
      <c r="R4639" s="1"/>
      <c r="S4639" s="1"/>
      <c r="T4639" s="1"/>
      <c r="U4639" s="2">
        <f>IFERROR(__xludf.DUMMYFUNCTION("""COMPUTED_VALUE"""),0.0)</f>
        <v>0</v>
      </c>
      <c r="V4639" s="1" t="str">
        <f>IFERROR(__xludf.DUMMYFUNCTION("""COMPUTED_VALUE"""),"#N/A")</f>
        <v>#N/A</v>
      </c>
      <c r="W4639" s="1" t="str">
        <f>IFERROR(__xludf.DUMMYFUNCTION("""COMPUTED_VALUE"""),"#N/A")</f>
        <v>#N/A</v>
      </c>
    </row>
    <row r="4640">
      <c r="O4640" s="1" t="str">
        <f>IFERROR(__xludf.DUMMYFUNCTION("""COMPUTED_VALUE"""),"#VALUE!")</f>
        <v>#VALUE!</v>
      </c>
      <c r="P4640" s="1" t="str">
        <f>IFERROR(__xludf.DUMMYFUNCTION("""COMPUTED_VALUE"""),"#N/A")</f>
        <v>#N/A</v>
      </c>
      <c r="Q4640" s="1"/>
      <c r="R4640" s="1"/>
      <c r="S4640" s="1"/>
      <c r="T4640" s="1"/>
      <c r="U4640" s="2">
        <f>IFERROR(__xludf.DUMMYFUNCTION("""COMPUTED_VALUE"""),0.0)</f>
        <v>0</v>
      </c>
      <c r="V4640" s="1" t="str">
        <f>IFERROR(__xludf.DUMMYFUNCTION("""COMPUTED_VALUE"""),"#N/A")</f>
        <v>#N/A</v>
      </c>
      <c r="W4640" s="1" t="str">
        <f>IFERROR(__xludf.DUMMYFUNCTION("""COMPUTED_VALUE"""),"#N/A")</f>
        <v>#N/A</v>
      </c>
    </row>
    <row r="4641">
      <c r="O4641" s="1" t="str">
        <f>IFERROR(__xludf.DUMMYFUNCTION("""COMPUTED_VALUE"""),"#VALUE!")</f>
        <v>#VALUE!</v>
      </c>
      <c r="P4641" s="1" t="str">
        <f>IFERROR(__xludf.DUMMYFUNCTION("""COMPUTED_VALUE"""),"#N/A")</f>
        <v>#N/A</v>
      </c>
      <c r="Q4641" s="1"/>
      <c r="R4641" s="1"/>
      <c r="S4641" s="1"/>
      <c r="T4641" s="1"/>
      <c r="U4641" s="2">
        <f>IFERROR(__xludf.DUMMYFUNCTION("""COMPUTED_VALUE"""),0.0)</f>
        <v>0</v>
      </c>
      <c r="V4641" s="1" t="str">
        <f>IFERROR(__xludf.DUMMYFUNCTION("""COMPUTED_VALUE"""),"#N/A")</f>
        <v>#N/A</v>
      </c>
      <c r="W4641" s="1" t="str">
        <f>IFERROR(__xludf.DUMMYFUNCTION("""COMPUTED_VALUE"""),"#N/A")</f>
        <v>#N/A</v>
      </c>
    </row>
    <row r="4642">
      <c r="O4642" s="1" t="str">
        <f>IFERROR(__xludf.DUMMYFUNCTION("""COMPUTED_VALUE"""),"#VALUE!")</f>
        <v>#VALUE!</v>
      </c>
      <c r="P4642" s="1" t="str">
        <f>IFERROR(__xludf.DUMMYFUNCTION("""COMPUTED_VALUE"""),"#N/A")</f>
        <v>#N/A</v>
      </c>
      <c r="Q4642" s="1"/>
      <c r="R4642" s="1"/>
      <c r="S4642" s="1"/>
      <c r="T4642" s="1"/>
      <c r="U4642" s="2">
        <f>IFERROR(__xludf.DUMMYFUNCTION("""COMPUTED_VALUE"""),0.0)</f>
        <v>0</v>
      </c>
      <c r="V4642" s="1" t="str">
        <f>IFERROR(__xludf.DUMMYFUNCTION("""COMPUTED_VALUE"""),"#N/A")</f>
        <v>#N/A</v>
      </c>
      <c r="W4642" s="1" t="str">
        <f>IFERROR(__xludf.DUMMYFUNCTION("""COMPUTED_VALUE"""),"#N/A")</f>
        <v>#N/A</v>
      </c>
    </row>
    <row r="4643">
      <c r="O4643" s="1" t="str">
        <f>IFERROR(__xludf.DUMMYFUNCTION("""COMPUTED_VALUE"""),"#VALUE!")</f>
        <v>#VALUE!</v>
      </c>
      <c r="P4643" s="1" t="str">
        <f>IFERROR(__xludf.DUMMYFUNCTION("""COMPUTED_VALUE"""),"#N/A")</f>
        <v>#N/A</v>
      </c>
      <c r="Q4643" s="1"/>
      <c r="R4643" s="1"/>
      <c r="S4643" s="1"/>
      <c r="T4643" s="1"/>
      <c r="U4643" s="2">
        <f>IFERROR(__xludf.DUMMYFUNCTION("""COMPUTED_VALUE"""),0.0)</f>
        <v>0</v>
      </c>
      <c r="V4643" s="1" t="str">
        <f>IFERROR(__xludf.DUMMYFUNCTION("""COMPUTED_VALUE"""),"#N/A")</f>
        <v>#N/A</v>
      </c>
      <c r="W4643" s="1" t="str">
        <f>IFERROR(__xludf.DUMMYFUNCTION("""COMPUTED_VALUE"""),"#N/A")</f>
        <v>#N/A</v>
      </c>
    </row>
    <row r="4644">
      <c r="O4644" s="1" t="str">
        <f>IFERROR(__xludf.DUMMYFUNCTION("""COMPUTED_VALUE"""),"#VALUE!")</f>
        <v>#VALUE!</v>
      </c>
      <c r="P4644" s="1" t="str">
        <f>IFERROR(__xludf.DUMMYFUNCTION("""COMPUTED_VALUE"""),"#N/A")</f>
        <v>#N/A</v>
      </c>
      <c r="Q4644" s="1"/>
      <c r="R4644" s="1"/>
      <c r="S4644" s="1"/>
      <c r="T4644" s="1"/>
      <c r="U4644" s="2">
        <f>IFERROR(__xludf.DUMMYFUNCTION("""COMPUTED_VALUE"""),0.0)</f>
        <v>0</v>
      </c>
      <c r="V4644" s="1" t="str">
        <f>IFERROR(__xludf.DUMMYFUNCTION("""COMPUTED_VALUE"""),"#N/A")</f>
        <v>#N/A</v>
      </c>
      <c r="W4644" s="1" t="str">
        <f>IFERROR(__xludf.DUMMYFUNCTION("""COMPUTED_VALUE"""),"#N/A")</f>
        <v>#N/A</v>
      </c>
    </row>
    <row r="4645">
      <c r="O4645" s="1" t="str">
        <f>IFERROR(__xludf.DUMMYFUNCTION("""COMPUTED_VALUE"""),"#VALUE!")</f>
        <v>#VALUE!</v>
      </c>
      <c r="P4645" s="1" t="str">
        <f>IFERROR(__xludf.DUMMYFUNCTION("""COMPUTED_VALUE"""),"#N/A")</f>
        <v>#N/A</v>
      </c>
      <c r="Q4645" s="1"/>
      <c r="R4645" s="1"/>
      <c r="S4645" s="1"/>
      <c r="T4645" s="1"/>
      <c r="U4645" s="2">
        <f>IFERROR(__xludf.DUMMYFUNCTION("""COMPUTED_VALUE"""),0.0)</f>
        <v>0</v>
      </c>
      <c r="V4645" s="1" t="str">
        <f>IFERROR(__xludf.DUMMYFUNCTION("""COMPUTED_VALUE"""),"#N/A")</f>
        <v>#N/A</v>
      </c>
      <c r="W4645" s="1" t="str">
        <f>IFERROR(__xludf.DUMMYFUNCTION("""COMPUTED_VALUE"""),"#N/A")</f>
        <v>#N/A</v>
      </c>
    </row>
    <row r="4646">
      <c r="O4646" s="1" t="str">
        <f>IFERROR(__xludf.DUMMYFUNCTION("""COMPUTED_VALUE"""),"#VALUE!")</f>
        <v>#VALUE!</v>
      </c>
      <c r="P4646" s="1" t="str">
        <f>IFERROR(__xludf.DUMMYFUNCTION("""COMPUTED_VALUE"""),"#N/A")</f>
        <v>#N/A</v>
      </c>
      <c r="Q4646" s="1"/>
      <c r="R4646" s="1"/>
      <c r="S4646" s="1"/>
      <c r="T4646" s="1"/>
      <c r="U4646" s="2">
        <f>IFERROR(__xludf.DUMMYFUNCTION("""COMPUTED_VALUE"""),0.0)</f>
        <v>0</v>
      </c>
      <c r="V4646" s="1" t="str">
        <f>IFERROR(__xludf.DUMMYFUNCTION("""COMPUTED_VALUE"""),"#N/A")</f>
        <v>#N/A</v>
      </c>
      <c r="W4646" s="1" t="str">
        <f>IFERROR(__xludf.DUMMYFUNCTION("""COMPUTED_VALUE"""),"#N/A")</f>
        <v>#N/A</v>
      </c>
    </row>
    <row r="4647">
      <c r="O4647" s="1" t="str">
        <f>IFERROR(__xludf.DUMMYFUNCTION("""COMPUTED_VALUE"""),"#VALUE!")</f>
        <v>#VALUE!</v>
      </c>
      <c r="P4647" s="1" t="str">
        <f>IFERROR(__xludf.DUMMYFUNCTION("""COMPUTED_VALUE"""),"#N/A")</f>
        <v>#N/A</v>
      </c>
      <c r="Q4647" s="1"/>
      <c r="R4647" s="1"/>
      <c r="S4647" s="1"/>
      <c r="T4647" s="1"/>
      <c r="U4647" s="2">
        <f>IFERROR(__xludf.DUMMYFUNCTION("""COMPUTED_VALUE"""),0.0)</f>
        <v>0</v>
      </c>
      <c r="V4647" s="1" t="str">
        <f>IFERROR(__xludf.DUMMYFUNCTION("""COMPUTED_VALUE"""),"#N/A")</f>
        <v>#N/A</v>
      </c>
      <c r="W4647" s="1" t="str">
        <f>IFERROR(__xludf.DUMMYFUNCTION("""COMPUTED_VALUE"""),"#N/A")</f>
        <v>#N/A</v>
      </c>
    </row>
    <row r="4648">
      <c r="O4648" s="1" t="str">
        <f>IFERROR(__xludf.DUMMYFUNCTION("""COMPUTED_VALUE"""),"#VALUE!")</f>
        <v>#VALUE!</v>
      </c>
      <c r="P4648" s="1" t="str">
        <f>IFERROR(__xludf.DUMMYFUNCTION("""COMPUTED_VALUE"""),"#N/A")</f>
        <v>#N/A</v>
      </c>
      <c r="Q4648" s="1"/>
      <c r="R4648" s="1"/>
      <c r="S4648" s="1"/>
      <c r="T4648" s="1"/>
      <c r="U4648" s="2">
        <f>IFERROR(__xludf.DUMMYFUNCTION("""COMPUTED_VALUE"""),0.0)</f>
        <v>0</v>
      </c>
      <c r="V4648" s="1" t="str">
        <f>IFERROR(__xludf.DUMMYFUNCTION("""COMPUTED_VALUE"""),"#N/A")</f>
        <v>#N/A</v>
      </c>
      <c r="W4648" s="1" t="str">
        <f>IFERROR(__xludf.DUMMYFUNCTION("""COMPUTED_VALUE"""),"#N/A")</f>
        <v>#N/A</v>
      </c>
    </row>
    <row r="4649">
      <c r="O4649" s="1" t="str">
        <f>IFERROR(__xludf.DUMMYFUNCTION("""COMPUTED_VALUE"""),"#VALUE!")</f>
        <v>#VALUE!</v>
      </c>
      <c r="P4649" s="1" t="str">
        <f>IFERROR(__xludf.DUMMYFUNCTION("""COMPUTED_VALUE"""),"#N/A")</f>
        <v>#N/A</v>
      </c>
      <c r="Q4649" s="1"/>
      <c r="R4649" s="1"/>
      <c r="S4649" s="1"/>
      <c r="T4649" s="1"/>
      <c r="U4649" s="2">
        <f>IFERROR(__xludf.DUMMYFUNCTION("""COMPUTED_VALUE"""),0.0)</f>
        <v>0</v>
      </c>
      <c r="V4649" s="1" t="str">
        <f>IFERROR(__xludf.DUMMYFUNCTION("""COMPUTED_VALUE"""),"#N/A")</f>
        <v>#N/A</v>
      </c>
      <c r="W4649" s="1" t="str">
        <f>IFERROR(__xludf.DUMMYFUNCTION("""COMPUTED_VALUE"""),"#N/A")</f>
        <v>#N/A</v>
      </c>
    </row>
    <row r="4650">
      <c r="O4650" s="1" t="str">
        <f>IFERROR(__xludf.DUMMYFUNCTION("""COMPUTED_VALUE"""),"#VALUE!")</f>
        <v>#VALUE!</v>
      </c>
      <c r="P4650" s="1" t="str">
        <f>IFERROR(__xludf.DUMMYFUNCTION("""COMPUTED_VALUE"""),"#N/A")</f>
        <v>#N/A</v>
      </c>
      <c r="Q4650" s="1"/>
      <c r="R4650" s="1"/>
      <c r="S4650" s="1"/>
      <c r="T4650" s="1"/>
      <c r="U4650" s="2">
        <f>IFERROR(__xludf.DUMMYFUNCTION("""COMPUTED_VALUE"""),0.0)</f>
        <v>0</v>
      </c>
      <c r="V4650" s="1" t="str">
        <f>IFERROR(__xludf.DUMMYFUNCTION("""COMPUTED_VALUE"""),"#N/A")</f>
        <v>#N/A</v>
      </c>
      <c r="W4650" s="1" t="str">
        <f>IFERROR(__xludf.DUMMYFUNCTION("""COMPUTED_VALUE"""),"#N/A")</f>
        <v>#N/A</v>
      </c>
    </row>
    <row r="4651">
      <c r="O4651" s="1" t="str">
        <f>IFERROR(__xludf.DUMMYFUNCTION("""COMPUTED_VALUE"""),"#VALUE!")</f>
        <v>#VALUE!</v>
      </c>
      <c r="P4651" s="1" t="str">
        <f>IFERROR(__xludf.DUMMYFUNCTION("""COMPUTED_VALUE"""),"#N/A")</f>
        <v>#N/A</v>
      </c>
      <c r="Q4651" s="1"/>
      <c r="R4651" s="1"/>
      <c r="S4651" s="1"/>
      <c r="T4651" s="1"/>
      <c r="U4651" s="2">
        <f>IFERROR(__xludf.DUMMYFUNCTION("""COMPUTED_VALUE"""),0.0)</f>
        <v>0</v>
      </c>
      <c r="V4651" s="1" t="str">
        <f>IFERROR(__xludf.DUMMYFUNCTION("""COMPUTED_VALUE"""),"#N/A")</f>
        <v>#N/A</v>
      </c>
      <c r="W4651" s="1" t="str">
        <f>IFERROR(__xludf.DUMMYFUNCTION("""COMPUTED_VALUE"""),"#N/A")</f>
        <v>#N/A</v>
      </c>
    </row>
    <row r="4652">
      <c r="O4652" s="1" t="str">
        <f>IFERROR(__xludf.DUMMYFUNCTION("""COMPUTED_VALUE"""),"#VALUE!")</f>
        <v>#VALUE!</v>
      </c>
      <c r="P4652" s="1" t="str">
        <f>IFERROR(__xludf.DUMMYFUNCTION("""COMPUTED_VALUE"""),"#N/A")</f>
        <v>#N/A</v>
      </c>
      <c r="Q4652" s="1"/>
      <c r="R4652" s="1"/>
      <c r="S4652" s="1"/>
      <c r="T4652" s="1"/>
      <c r="U4652" s="2">
        <f>IFERROR(__xludf.DUMMYFUNCTION("""COMPUTED_VALUE"""),0.0)</f>
        <v>0</v>
      </c>
      <c r="V4652" s="1" t="str">
        <f>IFERROR(__xludf.DUMMYFUNCTION("""COMPUTED_VALUE"""),"#N/A")</f>
        <v>#N/A</v>
      </c>
      <c r="W4652" s="1" t="str">
        <f>IFERROR(__xludf.DUMMYFUNCTION("""COMPUTED_VALUE"""),"#N/A")</f>
        <v>#N/A</v>
      </c>
    </row>
    <row r="4653">
      <c r="O4653" s="1" t="str">
        <f>IFERROR(__xludf.DUMMYFUNCTION("""COMPUTED_VALUE"""),"#VALUE!")</f>
        <v>#VALUE!</v>
      </c>
      <c r="P4653" s="1" t="str">
        <f>IFERROR(__xludf.DUMMYFUNCTION("""COMPUTED_VALUE"""),"#N/A")</f>
        <v>#N/A</v>
      </c>
      <c r="Q4653" s="1"/>
      <c r="R4653" s="1"/>
      <c r="S4653" s="1"/>
      <c r="T4653" s="1"/>
      <c r="U4653" s="2">
        <f>IFERROR(__xludf.DUMMYFUNCTION("""COMPUTED_VALUE"""),0.0)</f>
        <v>0</v>
      </c>
      <c r="V4653" s="1" t="str">
        <f>IFERROR(__xludf.DUMMYFUNCTION("""COMPUTED_VALUE"""),"#N/A")</f>
        <v>#N/A</v>
      </c>
      <c r="W4653" s="1" t="str">
        <f>IFERROR(__xludf.DUMMYFUNCTION("""COMPUTED_VALUE"""),"#N/A")</f>
        <v>#N/A</v>
      </c>
    </row>
    <row r="4654">
      <c r="O4654" s="1" t="str">
        <f>IFERROR(__xludf.DUMMYFUNCTION("""COMPUTED_VALUE"""),"#VALUE!")</f>
        <v>#VALUE!</v>
      </c>
      <c r="P4654" s="1" t="str">
        <f>IFERROR(__xludf.DUMMYFUNCTION("""COMPUTED_VALUE"""),"#N/A")</f>
        <v>#N/A</v>
      </c>
      <c r="Q4654" s="1"/>
      <c r="R4654" s="1"/>
      <c r="S4654" s="1"/>
      <c r="T4654" s="1"/>
      <c r="U4654" s="2">
        <f>IFERROR(__xludf.DUMMYFUNCTION("""COMPUTED_VALUE"""),0.0)</f>
        <v>0</v>
      </c>
      <c r="V4654" s="1" t="str">
        <f>IFERROR(__xludf.DUMMYFUNCTION("""COMPUTED_VALUE"""),"#N/A")</f>
        <v>#N/A</v>
      </c>
      <c r="W4654" s="1" t="str">
        <f>IFERROR(__xludf.DUMMYFUNCTION("""COMPUTED_VALUE"""),"#N/A")</f>
        <v>#N/A</v>
      </c>
    </row>
    <row r="4655">
      <c r="O4655" s="1" t="str">
        <f>IFERROR(__xludf.DUMMYFUNCTION("""COMPUTED_VALUE"""),"#VALUE!")</f>
        <v>#VALUE!</v>
      </c>
      <c r="P4655" s="1" t="str">
        <f>IFERROR(__xludf.DUMMYFUNCTION("""COMPUTED_VALUE"""),"#N/A")</f>
        <v>#N/A</v>
      </c>
      <c r="Q4655" s="1"/>
      <c r="R4655" s="1"/>
      <c r="S4655" s="1"/>
      <c r="T4655" s="1"/>
      <c r="U4655" s="2">
        <f>IFERROR(__xludf.DUMMYFUNCTION("""COMPUTED_VALUE"""),0.0)</f>
        <v>0</v>
      </c>
      <c r="V4655" s="1" t="str">
        <f>IFERROR(__xludf.DUMMYFUNCTION("""COMPUTED_VALUE"""),"#N/A")</f>
        <v>#N/A</v>
      </c>
      <c r="W4655" s="1" t="str">
        <f>IFERROR(__xludf.DUMMYFUNCTION("""COMPUTED_VALUE"""),"#N/A")</f>
        <v>#N/A</v>
      </c>
    </row>
    <row r="4656">
      <c r="O4656" s="1" t="str">
        <f>IFERROR(__xludf.DUMMYFUNCTION("""COMPUTED_VALUE"""),"#VALUE!")</f>
        <v>#VALUE!</v>
      </c>
      <c r="P4656" s="1" t="str">
        <f>IFERROR(__xludf.DUMMYFUNCTION("""COMPUTED_VALUE"""),"#N/A")</f>
        <v>#N/A</v>
      </c>
      <c r="Q4656" s="1"/>
      <c r="R4656" s="1"/>
      <c r="S4656" s="1"/>
      <c r="T4656" s="1"/>
      <c r="U4656" s="2">
        <f>IFERROR(__xludf.DUMMYFUNCTION("""COMPUTED_VALUE"""),0.0)</f>
        <v>0</v>
      </c>
      <c r="V4656" s="1" t="str">
        <f>IFERROR(__xludf.DUMMYFUNCTION("""COMPUTED_VALUE"""),"#N/A")</f>
        <v>#N/A</v>
      </c>
      <c r="W4656" s="1" t="str">
        <f>IFERROR(__xludf.DUMMYFUNCTION("""COMPUTED_VALUE"""),"#N/A")</f>
        <v>#N/A</v>
      </c>
    </row>
    <row r="4657">
      <c r="O4657" s="1" t="str">
        <f>IFERROR(__xludf.DUMMYFUNCTION("""COMPUTED_VALUE"""),"#VALUE!")</f>
        <v>#VALUE!</v>
      </c>
      <c r="P4657" s="1" t="str">
        <f>IFERROR(__xludf.DUMMYFUNCTION("""COMPUTED_VALUE"""),"#N/A")</f>
        <v>#N/A</v>
      </c>
      <c r="Q4657" s="1"/>
      <c r="R4657" s="1"/>
      <c r="S4657" s="1"/>
      <c r="T4657" s="1"/>
      <c r="U4657" s="2">
        <f>IFERROR(__xludf.DUMMYFUNCTION("""COMPUTED_VALUE"""),0.0)</f>
        <v>0</v>
      </c>
      <c r="V4657" s="1" t="str">
        <f>IFERROR(__xludf.DUMMYFUNCTION("""COMPUTED_VALUE"""),"#N/A")</f>
        <v>#N/A</v>
      </c>
      <c r="W4657" s="1" t="str">
        <f>IFERROR(__xludf.DUMMYFUNCTION("""COMPUTED_VALUE"""),"#N/A")</f>
        <v>#N/A</v>
      </c>
    </row>
    <row r="4658">
      <c r="O4658" s="1" t="str">
        <f>IFERROR(__xludf.DUMMYFUNCTION("""COMPUTED_VALUE"""),"#VALUE!")</f>
        <v>#VALUE!</v>
      </c>
      <c r="P4658" s="1" t="str">
        <f>IFERROR(__xludf.DUMMYFUNCTION("""COMPUTED_VALUE"""),"#N/A")</f>
        <v>#N/A</v>
      </c>
      <c r="Q4658" s="1"/>
      <c r="R4658" s="1"/>
      <c r="S4658" s="1"/>
      <c r="T4658" s="1"/>
      <c r="U4658" s="2">
        <f>IFERROR(__xludf.DUMMYFUNCTION("""COMPUTED_VALUE"""),0.0)</f>
        <v>0</v>
      </c>
      <c r="V4658" s="1" t="str">
        <f>IFERROR(__xludf.DUMMYFUNCTION("""COMPUTED_VALUE"""),"#N/A")</f>
        <v>#N/A</v>
      </c>
      <c r="W4658" s="1" t="str">
        <f>IFERROR(__xludf.DUMMYFUNCTION("""COMPUTED_VALUE"""),"#N/A")</f>
        <v>#N/A</v>
      </c>
    </row>
    <row r="4659">
      <c r="O4659" s="1" t="str">
        <f>IFERROR(__xludf.DUMMYFUNCTION("""COMPUTED_VALUE"""),"#VALUE!")</f>
        <v>#VALUE!</v>
      </c>
      <c r="P4659" s="1" t="str">
        <f>IFERROR(__xludf.DUMMYFUNCTION("""COMPUTED_VALUE"""),"#N/A")</f>
        <v>#N/A</v>
      </c>
      <c r="Q4659" s="1"/>
      <c r="R4659" s="1"/>
      <c r="S4659" s="1"/>
      <c r="T4659" s="1"/>
      <c r="U4659" s="2">
        <f>IFERROR(__xludf.DUMMYFUNCTION("""COMPUTED_VALUE"""),0.0)</f>
        <v>0</v>
      </c>
      <c r="V4659" s="1" t="str">
        <f>IFERROR(__xludf.DUMMYFUNCTION("""COMPUTED_VALUE"""),"#N/A")</f>
        <v>#N/A</v>
      </c>
      <c r="W4659" s="1" t="str">
        <f>IFERROR(__xludf.DUMMYFUNCTION("""COMPUTED_VALUE"""),"#N/A")</f>
        <v>#N/A</v>
      </c>
    </row>
    <row r="4660">
      <c r="O4660" s="1" t="str">
        <f>IFERROR(__xludf.DUMMYFUNCTION("""COMPUTED_VALUE"""),"#VALUE!")</f>
        <v>#VALUE!</v>
      </c>
      <c r="P4660" s="1" t="str">
        <f>IFERROR(__xludf.DUMMYFUNCTION("""COMPUTED_VALUE"""),"#N/A")</f>
        <v>#N/A</v>
      </c>
      <c r="Q4660" s="1"/>
      <c r="R4660" s="1"/>
      <c r="S4660" s="1"/>
      <c r="T4660" s="1"/>
      <c r="U4660" s="2">
        <f>IFERROR(__xludf.DUMMYFUNCTION("""COMPUTED_VALUE"""),0.0)</f>
        <v>0</v>
      </c>
      <c r="V4660" s="1" t="str">
        <f>IFERROR(__xludf.DUMMYFUNCTION("""COMPUTED_VALUE"""),"#N/A")</f>
        <v>#N/A</v>
      </c>
      <c r="W4660" s="1" t="str">
        <f>IFERROR(__xludf.DUMMYFUNCTION("""COMPUTED_VALUE"""),"#N/A")</f>
        <v>#N/A</v>
      </c>
    </row>
    <row r="4661">
      <c r="O4661" s="1" t="str">
        <f>IFERROR(__xludf.DUMMYFUNCTION("""COMPUTED_VALUE"""),"#VALUE!")</f>
        <v>#VALUE!</v>
      </c>
      <c r="P4661" s="1" t="str">
        <f>IFERROR(__xludf.DUMMYFUNCTION("""COMPUTED_VALUE"""),"#N/A")</f>
        <v>#N/A</v>
      </c>
      <c r="Q4661" s="1"/>
      <c r="R4661" s="1"/>
      <c r="S4661" s="1"/>
      <c r="T4661" s="1"/>
      <c r="U4661" s="2">
        <f>IFERROR(__xludf.DUMMYFUNCTION("""COMPUTED_VALUE"""),0.0)</f>
        <v>0</v>
      </c>
      <c r="V4661" s="1" t="str">
        <f>IFERROR(__xludf.DUMMYFUNCTION("""COMPUTED_VALUE"""),"#N/A")</f>
        <v>#N/A</v>
      </c>
      <c r="W4661" s="1" t="str">
        <f>IFERROR(__xludf.DUMMYFUNCTION("""COMPUTED_VALUE"""),"#N/A")</f>
        <v>#N/A</v>
      </c>
    </row>
    <row r="4662">
      <c r="O4662" s="1" t="str">
        <f>IFERROR(__xludf.DUMMYFUNCTION("""COMPUTED_VALUE"""),"#VALUE!")</f>
        <v>#VALUE!</v>
      </c>
      <c r="P4662" s="1" t="str">
        <f>IFERROR(__xludf.DUMMYFUNCTION("""COMPUTED_VALUE"""),"#N/A")</f>
        <v>#N/A</v>
      </c>
      <c r="Q4662" s="1"/>
      <c r="R4662" s="1"/>
      <c r="S4662" s="1"/>
      <c r="T4662" s="1"/>
      <c r="U4662" s="2">
        <f>IFERROR(__xludf.DUMMYFUNCTION("""COMPUTED_VALUE"""),0.0)</f>
        <v>0</v>
      </c>
      <c r="V4662" s="1" t="str">
        <f>IFERROR(__xludf.DUMMYFUNCTION("""COMPUTED_VALUE"""),"#N/A")</f>
        <v>#N/A</v>
      </c>
      <c r="W4662" s="1" t="str">
        <f>IFERROR(__xludf.DUMMYFUNCTION("""COMPUTED_VALUE"""),"#N/A")</f>
        <v>#N/A</v>
      </c>
    </row>
    <row r="4663">
      <c r="O4663" s="1" t="str">
        <f>IFERROR(__xludf.DUMMYFUNCTION("""COMPUTED_VALUE"""),"#VALUE!")</f>
        <v>#VALUE!</v>
      </c>
      <c r="P4663" s="1" t="str">
        <f>IFERROR(__xludf.DUMMYFUNCTION("""COMPUTED_VALUE"""),"#N/A")</f>
        <v>#N/A</v>
      </c>
      <c r="Q4663" s="1"/>
      <c r="R4663" s="1"/>
      <c r="S4663" s="1"/>
      <c r="T4663" s="1"/>
      <c r="U4663" s="2">
        <f>IFERROR(__xludf.DUMMYFUNCTION("""COMPUTED_VALUE"""),0.0)</f>
        <v>0</v>
      </c>
      <c r="V4663" s="1" t="str">
        <f>IFERROR(__xludf.DUMMYFUNCTION("""COMPUTED_VALUE"""),"#N/A")</f>
        <v>#N/A</v>
      </c>
      <c r="W4663" s="1" t="str">
        <f>IFERROR(__xludf.DUMMYFUNCTION("""COMPUTED_VALUE"""),"#N/A")</f>
        <v>#N/A</v>
      </c>
    </row>
    <row r="4664">
      <c r="O4664" s="1" t="str">
        <f>IFERROR(__xludf.DUMMYFUNCTION("""COMPUTED_VALUE"""),"#VALUE!")</f>
        <v>#VALUE!</v>
      </c>
      <c r="P4664" s="1" t="str">
        <f>IFERROR(__xludf.DUMMYFUNCTION("""COMPUTED_VALUE"""),"#N/A")</f>
        <v>#N/A</v>
      </c>
      <c r="Q4664" s="1"/>
      <c r="R4664" s="1"/>
      <c r="S4664" s="1"/>
      <c r="T4664" s="1"/>
      <c r="U4664" s="2">
        <f>IFERROR(__xludf.DUMMYFUNCTION("""COMPUTED_VALUE"""),0.0)</f>
        <v>0</v>
      </c>
      <c r="V4664" s="1" t="str">
        <f>IFERROR(__xludf.DUMMYFUNCTION("""COMPUTED_VALUE"""),"#N/A")</f>
        <v>#N/A</v>
      </c>
      <c r="W4664" s="1" t="str">
        <f>IFERROR(__xludf.DUMMYFUNCTION("""COMPUTED_VALUE"""),"#N/A")</f>
        <v>#N/A</v>
      </c>
    </row>
    <row r="4665">
      <c r="O4665" s="1" t="str">
        <f>IFERROR(__xludf.DUMMYFUNCTION("""COMPUTED_VALUE"""),"#VALUE!")</f>
        <v>#VALUE!</v>
      </c>
      <c r="P4665" s="1" t="str">
        <f>IFERROR(__xludf.DUMMYFUNCTION("""COMPUTED_VALUE"""),"#N/A")</f>
        <v>#N/A</v>
      </c>
      <c r="Q4665" s="1"/>
      <c r="R4665" s="1"/>
      <c r="S4665" s="1"/>
      <c r="T4665" s="1"/>
      <c r="U4665" s="2">
        <f>IFERROR(__xludf.DUMMYFUNCTION("""COMPUTED_VALUE"""),0.0)</f>
        <v>0</v>
      </c>
      <c r="V4665" s="1" t="str">
        <f>IFERROR(__xludf.DUMMYFUNCTION("""COMPUTED_VALUE"""),"#N/A")</f>
        <v>#N/A</v>
      </c>
      <c r="W4665" s="1" t="str">
        <f>IFERROR(__xludf.DUMMYFUNCTION("""COMPUTED_VALUE"""),"#N/A")</f>
        <v>#N/A</v>
      </c>
    </row>
    <row r="4666">
      <c r="O4666" s="1" t="str">
        <f>IFERROR(__xludf.DUMMYFUNCTION("""COMPUTED_VALUE"""),"#VALUE!")</f>
        <v>#VALUE!</v>
      </c>
      <c r="P4666" s="1" t="str">
        <f>IFERROR(__xludf.DUMMYFUNCTION("""COMPUTED_VALUE"""),"#N/A")</f>
        <v>#N/A</v>
      </c>
      <c r="Q4666" s="1"/>
      <c r="R4666" s="1"/>
      <c r="S4666" s="1"/>
      <c r="T4666" s="1"/>
      <c r="U4666" s="2">
        <f>IFERROR(__xludf.DUMMYFUNCTION("""COMPUTED_VALUE"""),0.0)</f>
        <v>0</v>
      </c>
      <c r="V4666" s="1" t="str">
        <f>IFERROR(__xludf.DUMMYFUNCTION("""COMPUTED_VALUE"""),"#N/A")</f>
        <v>#N/A</v>
      </c>
      <c r="W4666" s="1" t="str">
        <f>IFERROR(__xludf.DUMMYFUNCTION("""COMPUTED_VALUE"""),"#N/A")</f>
        <v>#N/A</v>
      </c>
    </row>
    <row r="4667">
      <c r="O4667" s="1" t="str">
        <f>IFERROR(__xludf.DUMMYFUNCTION("""COMPUTED_VALUE"""),"#VALUE!")</f>
        <v>#VALUE!</v>
      </c>
      <c r="P4667" s="1" t="str">
        <f>IFERROR(__xludf.DUMMYFUNCTION("""COMPUTED_VALUE"""),"#N/A")</f>
        <v>#N/A</v>
      </c>
      <c r="Q4667" s="1"/>
      <c r="R4667" s="1"/>
      <c r="S4667" s="1"/>
      <c r="T4667" s="1"/>
      <c r="U4667" s="2">
        <f>IFERROR(__xludf.DUMMYFUNCTION("""COMPUTED_VALUE"""),0.0)</f>
        <v>0</v>
      </c>
      <c r="V4667" s="1" t="str">
        <f>IFERROR(__xludf.DUMMYFUNCTION("""COMPUTED_VALUE"""),"#N/A")</f>
        <v>#N/A</v>
      </c>
      <c r="W4667" s="1" t="str">
        <f>IFERROR(__xludf.DUMMYFUNCTION("""COMPUTED_VALUE"""),"#N/A")</f>
        <v>#N/A</v>
      </c>
    </row>
    <row r="4668">
      <c r="O4668" s="1" t="str">
        <f>IFERROR(__xludf.DUMMYFUNCTION("""COMPUTED_VALUE"""),"#VALUE!")</f>
        <v>#VALUE!</v>
      </c>
      <c r="P4668" s="1" t="str">
        <f>IFERROR(__xludf.DUMMYFUNCTION("""COMPUTED_VALUE"""),"#N/A")</f>
        <v>#N/A</v>
      </c>
      <c r="Q4668" s="1"/>
      <c r="R4668" s="1"/>
      <c r="S4668" s="1"/>
      <c r="T4668" s="1"/>
      <c r="U4668" s="2">
        <f>IFERROR(__xludf.DUMMYFUNCTION("""COMPUTED_VALUE"""),0.0)</f>
        <v>0</v>
      </c>
      <c r="V4668" s="1" t="str">
        <f>IFERROR(__xludf.DUMMYFUNCTION("""COMPUTED_VALUE"""),"#N/A")</f>
        <v>#N/A</v>
      </c>
      <c r="W4668" s="1" t="str">
        <f>IFERROR(__xludf.DUMMYFUNCTION("""COMPUTED_VALUE"""),"#N/A")</f>
        <v>#N/A</v>
      </c>
    </row>
    <row r="4669">
      <c r="O4669" s="1" t="str">
        <f>IFERROR(__xludf.DUMMYFUNCTION("""COMPUTED_VALUE"""),"#VALUE!")</f>
        <v>#VALUE!</v>
      </c>
      <c r="P4669" s="1" t="str">
        <f>IFERROR(__xludf.DUMMYFUNCTION("""COMPUTED_VALUE"""),"#N/A")</f>
        <v>#N/A</v>
      </c>
      <c r="Q4669" s="1"/>
      <c r="R4669" s="1"/>
      <c r="S4669" s="1"/>
      <c r="T4669" s="1"/>
      <c r="U4669" s="2">
        <f>IFERROR(__xludf.DUMMYFUNCTION("""COMPUTED_VALUE"""),0.0)</f>
        <v>0</v>
      </c>
      <c r="V4669" s="1" t="str">
        <f>IFERROR(__xludf.DUMMYFUNCTION("""COMPUTED_VALUE"""),"#N/A")</f>
        <v>#N/A</v>
      </c>
      <c r="W4669" s="1" t="str">
        <f>IFERROR(__xludf.DUMMYFUNCTION("""COMPUTED_VALUE"""),"#N/A")</f>
        <v>#N/A</v>
      </c>
    </row>
    <row r="4670">
      <c r="O4670" s="1" t="str">
        <f>IFERROR(__xludf.DUMMYFUNCTION("""COMPUTED_VALUE"""),"#VALUE!")</f>
        <v>#VALUE!</v>
      </c>
      <c r="P4670" s="1" t="str">
        <f>IFERROR(__xludf.DUMMYFUNCTION("""COMPUTED_VALUE"""),"#N/A")</f>
        <v>#N/A</v>
      </c>
      <c r="Q4670" s="1"/>
      <c r="R4670" s="1"/>
      <c r="S4670" s="1"/>
      <c r="T4670" s="1"/>
      <c r="U4670" s="2">
        <f>IFERROR(__xludf.DUMMYFUNCTION("""COMPUTED_VALUE"""),0.0)</f>
        <v>0</v>
      </c>
      <c r="V4670" s="1" t="str">
        <f>IFERROR(__xludf.DUMMYFUNCTION("""COMPUTED_VALUE"""),"#N/A")</f>
        <v>#N/A</v>
      </c>
      <c r="W4670" s="1" t="str">
        <f>IFERROR(__xludf.DUMMYFUNCTION("""COMPUTED_VALUE"""),"#N/A")</f>
        <v>#N/A</v>
      </c>
    </row>
    <row r="4671">
      <c r="O4671" s="1" t="str">
        <f>IFERROR(__xludf.DUMMYFUNCTION("""COMPUTED_VALUE"""),"#VALUE!")</f>
        <v>#VALUE!</v>
      </c>
      <c r="P4671" s="1" t="str">
        <f>IFERROR(__xludf.DUMMYFUNCTION("""COMPUTED_VALUE"""),"#N/A")</f>
        <v>#N/A</v>
      </c>
      <c r="Q4671" s="1"/>
      <c r="R4671" s="1"/>
      <c r="S4671" s="1"/>
      <c r="T4671" s="1"/>
      <c r="U4671" s="2">
        <f>IFERROR(__xludf.DUMMYFUNCTION("""COMPUTED_VALUE"""),0.0)</f>
        <v>0</v>
      </c>
      <c r="V4671" s="1" t="str">
        <f>IFERROR(__xludf.DUMMYFUNCTION("""COMPUTED_VALUE"""),"#N/A")</f>
        <v>#N/A</v>
      </c>
      <c r="W4671" s="1" t="str">
        <f>IFERROR(__xludf.DUMMYFUNCTION("""COMPUTED_VALUE"""),"#N/A")</f>
        <v>#N/A</v>
      </c>
    </row>
    <row r="4672">
      <c r="O4672" s="1" t="str">
        <f>IFERROR(__xludf.DUMMYFUNCTION("""COMPUTED_VALUE"""),"#VALUE!")</f>
        <v>#VALUE!</v>
      </c>
      <c r="P4672" s="1" t="str">
        <f>IFERROR(__xludf.DUMMYFUNCTION("""COMPUTED_VALUE"""),"#N/A")</f>
        <v>#N/A</v>
      </c>
      <c r="Q4672" s="1"/>
      <c r="R4672" s="1"/>
      <c r="S4672" s="1"/>
      <c r="T4672" s="1"/>
      <c r="U4672" s="2">
        <f>IFERROR(__xludf.DUMMYFUNCTION("""COMPUTED_VALUE"""),0.0)</f>
        <v>0</v>
      </c>
      <c r="V4672" s="1" t="str">
        <f>IFERROR(__xludf.DUMMYFUNCTION("""COMPUTED_VALUE"""),"#N/A")</f>
        <v>#N/A</v>
      </c>
      <c r="W4672" s="1" t="str">
        <f>IFERROR(__xludf.DUMMYFUNCTION("""COMPUTED_VALUE"""),"#N/A")</f>
        <v>#N/A</v>
      </c>
    </row>
    <row r="4673">
      <c r="O4673" s="1" t="str">
        <f>IFERROR(__xludf.DUMMYFUNCTION("""COMPUTED_VALUE"""),"#VALUE!")</f>
        <v>#VALUE!</v>
      </c>
      <c r="P4673" s="1" t="str">
        <f>IFERROR(__xludf.DUMMYFUNCTION("""COMPUTED_VALUE"""),"#N/A")</f>
        <v>#N/A</v>
      </c>
      <c r="Q4673" s="1"/>
      <c r="R4673" s="1"/>
      <c r="S4673" s="1"/>
      <c r="T4673" s="1"/>
      <c r="U4673" s="2">
        <f>IFERROR(__xludf.DUMMYFUNCTION("""COMPUTED_VALUE"""),0.0)</f>
        <v>0</v>
      </c>
      <c r="V4673" s="1" t="str">
        <f>IFERROR(__xludf.DUMMYFUNCTION("""COMPUTED_VALUE"""),"#N/A")</f>
        <v>#N/A</v>
      </c>
      <c r="W4673" s="1" t="str">
        <f>IFERROR(__xludf.DUMMYFUNCTION("""COMPUTED_VALUE"""),"#N/A")</f>
        <v>#N/A</v>
      </c>
    </row>
    <row r="4674">
      <c r="O4674" s="1" t="str">
        <f>IFERROR(__xludf.DUMMYFUNCTION("""COMPUTED_VALUE"""),"#VALUE!")</f>
        <v>#VALUE!</v>
      </c>
      <c r="P4674" s="1" t="str">
        <f>IFERROR(__xludf.DUMMYFUNCTION("""COMPUTED_VALUE"""),"#N/A")</f>
        <v>#N/A</v>
      </c>
      <c r="Q4674" s="1"/>
      <c r="R4674" s="1"/>
      <c r="S4674" s="1"/>
      <c r="T4674" s="1"/>
      <c r="U4674" s="2">
        <f>IFERROR(__xludf.DUMMYFUNCTION("""COMPUTED_VALUE"""),0.0)</f>
        <v>0</v>
      </c>
      <c r="V4674" s="1" t="str">
        <f>IFERROR(__xludf.DUMMYFUNCTION("""COMPUTED_VALUE"""),"#N/A")</f>
        <v>#N/A</v>
      </c>
      <c r="W4674" s="1" t="str">
        <f>IFERROR(__xludf.DUMMYFUNCTION("""COMPUTED_VALUE"""),"#N/A")</f>
        <v>#N/A</v>
      </c>
    </row>
    <row r="4675">
      <c r="O4675" s="1" t="str">
        <f>IFERROR(__xludf.DUMMYFUNCTION("""COMPUTED_VALUE"""),"#VALUE!")</f>
        <v>#VALUE!</v>
      </c>
      <c r="P4675" s="1" t="str">
        <f>IFERROR(__xludf.DUMMYFUNCTION("""COMPUTED_VALUE"""),"#N/A")</f>
        <v>#N/A</v>
      </c>
      <c r="Q4675" s="1"/>
      <c r="R4675" s="1"/>
      <c r="S4675" s="1"/>
      <c r="T4675" s="1"/>
      <c r="U4675" s="2">
        <f>IFERROR(__xludf.DUMMYFUNCTION("""COMPUTED_VALUE"""),0.0)</f>
        <v>0</v>
      </c>
      <c r="V4675" s="1" t="str">
        <f>IFERROR(__xludf.DUMMYFUNCTION("""COMPUTED_VALUE"""),"#N/A")</f>
        <v>#N/A</v>
      </c>
      <c r="W4675" s="1" t="str">
        <f>IFERROR(__xludf.DUMMYFUNCTION("""COMPUTED_VALUE"""),"#N/A")</f>
        <v>#N/A</v>
      </c>
    </row>
    <row r="4676">
      <c r="O4676" s="1" t="str">
        <f>IFERROR(__xludf.DUMMYFUNCTION("""COMPUTED_VALUE"""),"#VALUE!")</f>
        <v>#VALUE!</v>
      </c>
      <c r="P4676" s="1" t="str">
        <f>IFERROR(__xludf.DUMMYFUNCTION("""COMPUTED_VALUE"""),"#N/A")</f>
        <v>#N/A</v>
      </c>
      <c r="Q4676" s="1"/>
      <c r="R4676" s="1"/>
      <c r="S4676" s="1"/>
      <c r="T4676" s="1"/>
      <c r="U4676" s="2">
        <f>IFERROR(__xludf.DUMMYFUNCTION("""COMPUTED_VALUE"""),0.0)</f>
        <v>0</v>
      </c>
      <c r="V4676" s="1" t="str">
        <f>IFERROR(__xludf.DUMMYFUNCTION("""COMPUTED_VALUE"""),"#N/A")</f>
        <v>#N/A</v>
      </c>
      <c r="W4676" s="1" t="str">
        <f>IFERROR(__xludf.DUMMYFUNCTION("""COMPUTED_VALUE"""),"#N/A")</f>
        <v>#N/A</v>
      </c>
    </row>
    <row r="4677">
      <c r="O4677" s="1" t="str">
        <f>IFERROR(__xludf.DUMMYFUNCTION("""COMPUTED_VALUE"""),"#VALUE!")</f>
        <v>#VALUE!</v>
      </c>
      <c r="P4677" s="1" t="str">
        <f>IFERROR(__xludf.DUMMYFUNCTION("""COMPUTED_VALUE"""),"#N/A")</f>
        <v>#N/A</v>
      </c>
      <c r="Q4677" s="1"/>
      <c r="R4677" s="1"/>
      <c r="S4677" s="1"/>
      <c r="T4677" s="1"/>
      <c r="U4677" s="2">
        <f>IFERROR(__xludf.DUMMYFUNCTION("""COMPUTED_VALUE"""),0.0)</f>
        <v>0</v>
      </c>
      <c r="V4677" s="1" t="str">
        <f>IFERROR(__xludf.DUMMYFUNCTION("""COMPUTED_VALUE"""),"#N/A")</f>
        <v>#N/A</v>
      </c>
      <c r="W4677" s="1" t="str">
        <f>IFERROR(__xludf.DUMMYFUNCTION("""COMPUTED_VALUE"""),"#N/A")</f>
        <v>#N/A</v>
      </c>
    </row>
    <row r="4678">
      <c r="O4678" s="1" t="str">
        <f>IFERROR(__xludf.DUMMYFUNCTION("""COMPUTED_VALUE"""),"#VALUE!")</f>
        <v>#VALUE!</v>
      </c>
      <c r="P4678" s="1" t="str">
        <f>IFERROR(__xludf.DUMMYFUNCTION("""COMPUTED_VALUE"""),"#N/A")</f>
        <v>#N/A</v>
      </c>
      <c r="Q4678" s="1"/>
      <c r="R4678" s="1"/>
      <c r="S4678" s="1"/>
      <c r="T4678" s="1"/>
      <c r="U4678" s="2">
        <f>IFERROR(__xludf.DUMMYFUNCTION("""COMPUTED_VALUE"""),0.0)</f>
        <v>0</v>
      </c>
      <c r="V4678" s="1" t="str">
        <f>IFERROR(__xludf.DUMMYFUNCTION("""COMPUTED_VALUE"""),"#N/A")</f>
        <v>#N/A</v>
      </c>
      <c r="W4678" s="1" t="str">
        <f>IFERROR(__xludf.DUMMYFUNCTION("""COMPUTED_VALUE"""),"#N/A")</f>
        <v>#N/A</v>
      </c>
    </row>
    <row r="4679">
      <c r="O4679" s="1" t="str">
        <f>IFERROR(__xludf.DUMMYFUNCTION("""COMPUTED_VALUE"""),"#VALUE!")</f>
        <v>#VALUE!</v>
      </c>
      <c r="P4679" s="1" t="str">
        <f>IFERROR(__xludf.DUMMYFUNCTION("""COMPUTED_VALUE"""),"#N/A")</f>
        <v>#N/A</v>
      </c>
      <c r="Q4679" s="1"/>
      <c r="R4679" s="1"/>
      <c r="S4679" s="1"/>
      <c r="T4679" s="1"/>
      <c r="U4679" s="2">
        <f>IFERROR(__xludf.DUMMYFUNCTION("""COMPUTED_VALUE"""),0.0)</f>
        <v>0</v>
      </c>
      <c r="V4679" s="1" t="str">
        <f>IFERROR(__xludf.DUMMYFUNCTION("""COMPUTED_VALUE"""),"#N/A")</f>
        <v>#N/A</v>
      </c>
      <c r="W4679" s="1" t="str">
        <f>IFERROR(__xludf.DUMMYFUNCTION("""COMPUTED_VALUE"""),"#N/A")</f>
        <v>#N/A</v>
      </c>
    </row>
    <row r="4680">
      <c r="O4680" s="1" t="str">
        <f>IFERROR(__xludf.DUMMYFUNCTION("""COMPUTED_VALUE"""),"#VALUE!")</f>
        <v>#VALUE!</v>
      </c>
      <c r="P4680" s="1" t="str">
        <f>IFERROR(__xludf.DUMMYFUNCTION("""COMPUTED_VALUE"""),"#N/A")</f>
        <v>#N/A</v>
      </c>
      <c r="Q4680" s="1"/>
      <c r="R4680" s="1"/>
      <c r="S4680" s="1"/>
      <c r="T4680" s="1"/>
      <c r="U4680" s="2">
        <f>IFERROR(__xludf.DUMMYFUNCTION("""COMPUTED_VALUE"""),0.0)</f>
        <v>0</v>
      </c>
      <c r="V4680" s="1" t="str">
        <f>IFERROR(__xludf.DUMMYFUNCTION("""COMPUTED_VALUE"""),"#N/A")</f>
        <v>#N/A</v>
      </c>
      <c r="W4680" s="1" t="str">
        <f>IFERROR(__xludf.DUMMYFUNCTION("""COMPUTED_VALUE"""),"#N/A")</f>
        <v>#N/A</v>
      </c>
    </row>
    <row r="4681">
      <c r="O4681" s="1" t="str">
        <f>IFERROR(__xludf.DUMMYFUNCTION("""COMPUTED_VALUE"""),"#VALUE!")</f>
        <v>#VALUE!</v>
      </c>
      <c r="P4681" s="1" t="str">
        <f>IFERROR(__xludf.DUMMYFUNCTION("""COMPUTED_VALUE"""),"#N/A")</f>
        <v>#N/A</v>
      </c>
      <c r="Q4681" s="1"/>
      <c r="R4681" s="1"/>
      <c r="S4681" s="1"/>
      <c r="T4681" s="1"/>
      <c r="U4681" s="2">
        <f>IFERROR(__xludf.DUMMYFUNCTION("""COMPUTED_VALUE"""),0.0)</f>
        <v>0</v>
      </c>
      <c r="V4681" s="1" t="str">
        <f>IFERROR(__xludf.DUMMYFUNCTION("""COMPUTED_VALUE"""),"#N/A")</f>
        <v>#N/A</v>
      </c>
      <c r="W4681" s="1" t="str">
        <f>IFERROR(__xludf.DUMMYFUNCTION("""COMPUTED_VALUE"""),"#N/A")</f>
        <v>#N/A</v>
      </c>
    </row>
    <row r="4682">
      <c r="O4682" s="1" t="str">
        <f>IFERROR(__xludf.DUMMYFUNCTION("""COMPUTED_VALUE"""),"#VALUE!")</f>
        <v>#VALUE!</v>
      </c>
      <c r="P4682" s="1" t="str">
        <f>IFERROR(__xludf.DUMMYFUNCTION("""COMPUTED_VALUE"""),"#N/A")</f>
        <v>#N/A</v>
      </c>
      <c r="Q4682" s="1"/>
      <c r="R4682" s="1"/>
      <c r="S4682" s="1"/>
      <c r="T4682" s="1"/>
      <c r="U4682" s="2">
        <f>IFERROR(__xludf.DUMMYFUNCTION("""COMPUTED_VALUE"""),0.0)</f>
        <v>0</v>
      </c>
      <c r="V4682" s="1" t="str">
        <f>IFERROR(__xludf.DUMMYFUNCTION("""COMPUTED_VALUE"""),"#N/A")</f>
        <v>#N/A</v>
      </c>
      <c r="W4682" s="1" t="str">
        <f>IFERROR(__xludf.DUMMYFUNCTION("""COMPUTED_VALUE"""),"#N/A")</f>
        <v>#N/A</v>
      </c>
    </row>
    <row r="4683">
      <c r="O4683" s="1" t="str">
        <f>IFERROR(__xludf.DUMMYFUNCTION("""COMPUTED_VALUE"""),"#VALUE!")</f>
        <v>#VALUE!</v>
      </c>
      <c r="P4683" s="1" t="str">
        <f>IFERROR(__xludf.DUMMYFUNCTION("""COMPUTED_VALUE"""),"#N/A")</f>
        <v>#N/A</v>
      </c>
      <c r="Q4683" s="1"/>
      <c r="R4683" s="1"/>
      <c r="S4683" s="1"/>
      <c r="T4683" s="1"/>
      <c r="U4683" s="2">
        <f>IFERROR(__xludf.DUMMYFUNCTION("""COMPUTED_VALUE"""),0.0)</f>
        <v>0</v>
      </c>
      <c r="V4683" s="1" t="str">
        <f>IFERROR(__xludf.DUMMYFUNCTION("""COMPUTED_VALUE"""),"#N/A")</f>
        <v>#N/A</v>
      </c>
      <c r="W4683" s="1" t="str">
        <f>IFERROR(__xludf.DUMMYFUNCTION("""COMPUTED_VALUE"""),"#N/A")</f>
        <v>#N/A</v>
      </c>
    </row>
    <row r="4684">
      <c r="O4684" s="1" t="str">
        <f>IFERROR(__xludf.DUMMYFUNCTION("""COMPUTED_VALUE"""),"#VALUE!")</f>
        <v>#VALUE!</v>
      </c>
      <c r="P4684" s="1" t="str">
        <f>IFERROR(__xludf.DUMMYFUNCTION("""COMPUTED_VALUE"""),"#N/A")</f>
        <v>#N/A</v>
      </c>
      <c r="Q4684" s="1"/>
      <c r="R4684" s="1"/>
      <c r="S4684" s="1"/>
      <c r="T4684" s="1"/>
      <c r="U4684" s="2">
        <f>IFERROR(__xludf.DUMMYFUNCTION("""COMPUTED_VALUE"""),0.0)</f>
        <v>0</v>
      </c>
      <c r="V4684" s="1" t="str">
        <f>IFERROR(__xludf.DUMMYFUNCTION("""COMPUTED_VALUE"""),"#N/A")</f>
        <v>#N/A</v>
      </c>
      <c r="W4684" s="1" t="str">
        <f>IFERROR(__xludf.DUMMYFUNCTION("""COMPUTED_VALUE"""),"#N/A")</f>
        <v>#N/A</v>
      </c>
    </row>
    <row r="4685">
      <c r="O4685" s="1" t="str">
        <f>IFERROR(__xludf.DUMMYFUNCTION("""COMPUTED_VALUE"""),"#VALUE!")</f>
        <v>#VALUE!</v>
      </c>
      <c r="P4685" s="1" t="str">
        <f>IFERROR(__xludf.DUMMYFUNCTION("""COMPUTED_VALUE"""),"#N/A")</f>
        <v>#N/A</v>
      </c>
      <c r="Q4685" s="1"/>
      <c r="R4685" s="1"/>
      <c r="S4685" s="1"/>
      <c r="T4685" s="1"/>
      <c r="U4685" s="2">
        <f>IFERROR(__xludf.DUMMYFUNCTION("""COMPUTED_VALUE"""),0.0)</f>
        <v>0</v>
      </c>
      <c r="V4685" s="1" t="str">
        <f>IFERROR(__xludf.DUMMYFUNCTION("""COMPUTED_VALUE"""),"#N/A")</f>
        <v>#N/A</v>
      </c>
      <c r="W4685" s="1" t="str">
        <f>IFERROR(__xludf.DUMMYFUNCTION("""COMPUTED_VALUE"""),"#N/A")</f>
        <v>#N/A</v>
      </c>
    </row>
    <row r="4686">
      <c r="O4686" s="1" t="str">
        <f>IFERROR(__xludf.DUMMYFUNCTION("""COMPUTED_VALUE"""),"#VALUE!")</f>
        <v>#VALUE!</v>
      </c>
      <c r="P4686" s="1" t="str">
        <f>IFERROR(__xludf.DUMMYFUNCTION("""COMPUTED_VALUE"""),"#N/A")</f>
        <v>#N/A</v>
      </c>
      <c r="Q4686" s="1"/>
      <c r="R4686" s="1"/>
      <c r="S4686" s="1"/>
      <c r="T4686" s="1"/>
      <c r="U4686" s="2">
        <f>IFERROR(__xludf.DUMMYFUNCTION("""COMPUTED_VALUE"""),0.0)</f>
        <v>0</v>
      </c>
      <c r="V4686" s="1" t="str">
        <f>IFERROR(__xludf.DUMMYFUNCTION("""COMPUTED_VALUE"""),"#N/A")</f>
        <v>#N/A</v>
      </c>
      <c r="W4686" s="1" t="str">
        <f>IFERROR(__xludf.DUMMYFUNCTION("""COMPUTED_VALUE"""),"#N/A")</f>
        <v>#N/A</v>
      </c>
    </row>
    <row r="4687">
      <c r="O4687" s="1" t="str">
        <f>IFERROR(__xludf.DUMMYFUNCTION("""COMPUTED_VALUE"""),"#VALUE!")</f>
        <v>#VALUE!</v>
      </c>
      <c r="P4687" s="1" t="str">
        <f>IFERROR(__xludf.DUMMYFUNCTION("""COMPUTED_VALUE"""),"#N/A")</f>
        <v>#N/A</v>
      </c>
      <c r="Q4687" s="1"/>
      <c r="R4687" s="1"/>
      <c r="S4687" s="1"/>
      <c r="T4687" s="1"/>
      <c r="U4687" s="2">
        <f>IFERROR(__xludf.DUMMYFUNCTION("""COMPUTED_VALUE"""),0.0)</f>
        <v>0</v>
      </c>
      <c r="V4687" s="1" t="str">
        <f>IFERROR(__xludf.DUMMYFUNCTION("""COMPUTED_VALUE"""),"#N/A")</f>
        <v>#N/A</v>
      </c>
      <c r="W4687" s="1" t="str">
        <f>IFERROR(__xludf.DUMMYFUNCTION("""COMPUTED_VALUE"""),"#N/A")</f>
        <v>#N/A</v>
      </c>
    </row>
    <row r="4688">
      <c r="O4688" s="1" t="str">
        <f>IFERROR(__xludf.DUMMYFUNCTION("""COMPUTED_VALUE"""),"#VALUE!")</f>
        <v>#VALUE!</v>
      </c>
      <c r="P4688" s="1" t="str">
        <f>IFERROR(__xludf.DUMMYFUNCTION("""COMPUTED_VALUE"""),"#N/A")</f>
        <v>#N/A</v>
      </c>
      <c r="Q4688" s="1"/>
      <c r="R4688" s="1"/>
      <c r="S4688" s="1"/>
      <c r="T4688" s="1"/>
      <c r="U4688" s="2">
        <f>IFERROR(__xludf.DUMMYFUNCTION("""COMPUTED_VALUE"""),0.0)</f>
        <v>0</v>
      </c>
      <c r="V4688" s="1" t="str">
        <f>IFERROR(__xludf.DUMMYFUNCTION("""COMPUTED_VALUE"""),"#N/A")</f>
        <v>#N/A</v>
      </c>
      <c r="W4688" s="1" t="str">
        <f>IFERROR(__xludf.DUMMYFUNCTION("""COMPUTED_VALUE"""),"#N/A")</f>
        <v>#N/A</v>
      </c>
    </row>
    <row r="4689">
      <c r="O4689" s="1" t="str">
        <f>IFERROR(__xludf.DUMMYFUNCTION("""COMPUTED_VALUE"""),"#VALUE!")</f>
        <v>#VALUE!</v>
      </c>
      <c r="P4689" s="1" t="str">
        <f>IFERROR(__xludf.DUMMYFUNCTION("""COMPUTED_VALUE"""),"#N/A")</f>
        <v>#N/A</v>
      </c>
      <c r="Q4689" s="1"/>
      <c r="R4689" s="1"/>
      <c r="S4689" s="1"/>
      <c r="T4689" s="1"/>
      <c r="U4689" s="2">
        <f>IFERROR(__xludf.DUMMYFUNCTION("""COMPUTED_VALUE"""),0.0)</f>
        <v>0</v>
      </c>
      <c r="V4689" s="1" t="str">
        <f>IFERROR(__xludf.DUMMYFUNCTION("""COMPUTED_VALUE"""),"#N/A")</f>
        <v>#N/A</v>
      </c>
      <c r="W4689" s="1" t="str">
        <f>IFERROR(__xludf.DUMMYFUNCTION("""COMPUTED_VALUE"""),"#N/A")</f>
        <v>#N/A</v>
      </c>
    </row>
    <row r="4690">
      <c r="O4690" s="1" t="str">
        <f>IFERROR(__xludf.DUMMYFUNCTION("""COMPUTED_VALUE"""),"#VALUE!")</f>
        <v>#VALUE!</v>
      </c>
      <c r="P4690" s="1" t="str">
        <f>IFERROR(__xludf.DUMMYFUNCTION("""COMPUTED_VALUE"""),"#N/A")</f>
        <v>#N/A</v>
      </c>
      <c r="Q4690" s="1"/>
      <c r="R4690" s="1"/>
      <c r="S4690" s="1"/>
      <c r="T4690" s="1"/>
      <c r="U4690" s="2">
        <f>IFERROR(__xludf.DUMMYFUNCTION("""COMPUTED_VALUE"""),0.0)</f>
        <v>0</v>
      </c>
      <c r="V4690" s="1" t="str">
        <f>IFERROR(__xludf.DUMMYFUNCTION("""COMPUTED_VALUE"""),"#N/A")</f>
        <v>#N/A</v>
      </c>
      <c r="W4690" s="1" t="str">
        <f>IFERROR(__xludf.DUMMYFUNCTION("""COMPUTED_VALUE"""),"#N/A")</f>
        <v>#N/A</v>
      </c>
    </row>
    <row r="4691">
      <c r="O4691" s="1" t="str">
        <f>IFERROR(__xludf.DUMMYFUNCTION("""COMPUTED_VALUE"""),"#VALUE!")</f>
        <v>#VALUE!</v>
      </c>
      <c r="P4691" s="1" t="str">
        <f>IFERROR(__xludf.DUMMYFUNCTION("""COMPUTED_VALUE"""),"#N/A")</f>
        <v>#N/A</v>
      </c>
      <c r="Q4691" s="1"/>
      <c r="R4691" s="1"/>
      <c r="S4691" s="1"/>
      <c r="T4691" s="1"/>
      <c r="U4691" s="2">
        <f>IFERROR(__xludf.DUMMYFUNCTION("""COMPUTED_VALUE"""),0.0)</f>
        <v>0</v>
      </c>
      <c r="V4691" s="1" t="str">
        <f>IFERROR(__xludf.DUMMYFUNCTION("""COMPUTED_VALUE"""),"#N/A")</f>
        <v>#N/A</v>
      </c>
      <c r="W4691" s="1" t="str">
        <f>IFERROR(__xludf.DUMMYFUNCTION("""COMPUTED_VALUE"""),"#N/A")</f>
        <v>#N/A</v>
      </c>
    </row>
    <row r="4692">
      <c r="O4692" s="1" t="str">
        <f>IFERROR(__xludf.DUMMYFUNCTION("""COMPUTED_VALUE"""),"#VALUE!")</f>
        <v>#VALUE!</v>
      </c>
      <c r="P4692" s="1" t="str">
        <f>IFERROR(__xludf.DUMMYFUNCTION("""COMPUTED_VALUE"""),"#N/A")</f>
        <v>#N/A</v>
      </c>
      <c r="Q4692" s="1"/>
      <c r="R4692" s="1"/>
      <c r="S4692" s="1"/>
      <c r="T4692" s="1"/>
      <c r="U4692" s="2">
        <f>IFERROR(__xludf.DUMMYFUNCTION("""COMPUTED_VALUE"""),0.0)</f>
        <v>0</v>
      </c>
      <c r="V4692" s="1" t="str">
        <f>IFERROR(__xludf.DUMMYFUNCTION("""COMPUTED_VALUE"""),"#N/A")</f>
        <v>#N/A</v>
      </c>
      <c r="W4692" s="1" t="str">
        <f>IFERROR(__xludf.DUMMYFUNCTION("""COMPUTED_VALUE"""),"#N/A")</f>
        <v>#N/A</v>
      </c>
    </row>
    <row r="4693">
      <c r="O4693" s="1" t="str">
        <f>IFERROR(__xludf.DUMMYFUNCTION("""COMPUTED_VALUE"""),"#VALUE!")</f>
        <v>#VALUE!</v>
      </c>
      <c r="P4693" s="1" t="str">
        <f>IFERROR(__xludf.DUMMYFUNCTION("""COMPUTED_VALUE"""),"#N/A")</f>
        <v>#N/A</v>
      </c>
      <c r="Q4693" s="1"/>
      <c r="R4693" s="1"/>
      <c r="S4693" s="1"/>
      <c r="T4693" s="1"/>
      <c r="U4693" s="2">
        <f>IFERROR(__xludf.DUMMYFUNCTION("""COMPUTED_VALUE"""),0.0)</f>
        <v>0</v>
      </c>
      <c r="V4693" s="1" t="str">
        <f>IFERROR(__xludf.DUMMYFUNCTION("""COMPUTED_VALUE"""),"#N/A")</f>
        <v>#N/A</v>
      </c>
      <c r="W4693" s="1" t="str">
        <f>IFERROR(__xludf.DUMMYFUNCTION("""COMPUTED_VALUE"""),"#N/A")</f>
        <v>#N/A</v>
      </c>
    </row>
    <row r="4694">
      <c r="O4694" s="1" t="str">
        <f>IFERROR(__xludf.DUMMYFUNCTION("""COMPUTED_VALUE"""),"#VALUE!")</f>
        <v>#VALUE!</v>
      </c>
      <c r="P4694" s="1" t="str">
        <f>IFERROR(__xludf.DUMMYFUNCTION("""COMPUTED_VALUE"""),"#N/A")</f>
        <v>#N/A</v>
      </c>
      <c r="Q4694" s="1"/>
      <c r="R4694" s="1"/>
      <c r="S4694" s="1"/>
      <c r="T4694" s="1"/>
      <c r="U4694" s="2">
        <f>IFERROR(__xludf.DUMMYFUNCTION("""COMPUTED_VALUE"""),0.0)</f>
        <v>0</v>
      </c>
      <c r="V4694" s="1" t="str">
        <f>IFERROR(__xludf.DUMMYFUNCTION("""COMPUTED_VALUE"""),"#N/A")</f>
        <v>#N/A</v>
      </c>
      <c r="W4694" s="1" t="str">
        <f>IFERROR(__xludf.DUMMYFUNCTION("""COMPUTED_VALUE"""),"#N/A")</f>
        <v>#N/A</v>
      </c>
    </row>
    <row r="4695">
      <c r="O4695" s="1" t="str">
        <f>IFERROR(__xludf.DUMMYFUNCTION("""COMPUTED_VALUE"""),"#VALUE!")</f>
        <v>#VALUE!</v>
      </c>
      <c r="P4695" s="1" t="str">
        <f>IFERROR(__xludf.DUMMYFUNCTION("""COMPUTED_VALUE"""),"#N/A")</f>
        <v>#N/A</v>
      </c>
      <c r="Q4695" s="1"/>
      <c r="R4695" s="1"/>
      <c r="S4695" s="1"/>
      <c r="T4695" s="1"/>
      <c r="U4695" s="2">
        <f>IFERROR(__xludf.DUMMYFUNCTION("""COMPUTED_VALUE"""),0.0)</f>
        <v>0</v>
      </c>
      <c r="V4695" s="1" t="str">
        <f>IFERROR(__xludf.DUMMYFUNCTION("""COMPUTED_VALUE"""),"#N/A")</f>
        <v>#N/A</v>
      </c>
      <c r="W4695" s="1" t="str">
        <f>IFERROR(__xludf.DUMMYFUNCTION("""COMPUTED_VALUE"""),"#N/A")</f>
        <v>#N/A</v>
      </c>
    </row>
    <row r="4696">
      <c r="O4696" s="1" t="str">
        <f>IFERROR(__xludf.DUMMYFUNCTION("""COMPUTED_VALUE"""),"#VALUE!")</f>
        <v>#VALUE!</v>
      </c>
      <c r="P4696" s="1" t="str">
        <f>IFERROR(__xludf.DUMMYFUNCTION("""COMPUTED_VALUE"""),"#N/A")</f>
        <v>#N/A</v>
      </c>
      <c r="Q4696" s="1"/>
      <c r="R4696" s="1"/>
      <c r="S4696" s="1"/>
      <c r="T4696" s="1"/>
      <c r="U4696" s="2">
        <f>IFERROR(__xludf.DUMMYFUNCTION("""COMPUTED_VALUE"""),0.0)</f>
        <v>0</v>
      </c>
      <c r="V4696" s="1" t="str">
        <f>IFERROR(__xludf.DUMMYFUNCTION("""COMPUTED_VALUE"""),"#N/A")</f>
        <v>#N/A</v>
      </c>
      <c r="W4696" s="1" t="str">
        <f>IFERROR(__xludf.DUMMYFUNCTION("""COMPUTED_VALUE"""),"#N/A")</f>
        <v>#N/A</v>
      </c>
    </row>
    <row r="4697">
      <c r="O4697" s="1" t="str">
        <f>IFERROR(__xludf.DUMMYFUNCTION("""COMPUTED_VALUE"""),"#VALUE!")</f>
        <v>#VALUE!</v>
      </c>
      <c r="P4697" s="1" t="str">
        <f>IFERROR(__xludf.DUMMYFUNCTION("""COMPUTED_VALUE"""),"#N/A")</f>
        <v>#N/A</v>
      </c>
      <c r="Q4697" s="1"/>
      <c r="R4697" s="1"/>
      <c r="S4697" s="1"/>
      <c r="T4697" s="1"/>
      <c r="U4697" s="2">
        <f>IFERROR(__xludf.DUMMYFUNCTION("""COMPUTED_VALUE"""),0.0)</f>
        <v>0</v>
      </c>
      <c r="V4697" s="1" t="str">
        <f>IFERROR(__xludf.DUMMYFUNCTION("""COMPUTED_VALUE"""),"#N/A")</f>
        <v>#N/A</v>
      </c>
      <c r="W4697" s="1" t="str">
        <f>IFERROR(__xludf.DUMMYFUNCTION("""COMPUTED_VALUE"""),"#N/A")</f>
        <v>#N/A</v>
      </c>
    </row>
    <row r="4698">
      <c r="O4698" s="1" t="str">
        <f>IFERROR(__xludf.DUMMYFUNCTION("""COMPUTED_VALUE"""),"#VALUE!")</f>
        <v>#VALUE!</v>
      </c>
      <c r="P4698" s="1" t="str">
        <f>IFERROR(__xludf.DUMMYFUNCTION("""COMPUTED_VALUE"""),"#N/A")</f>
        <v>#N/A</v>
      </c>
      <c r="Q4698" s="1"/>
      <c r="R4698" s="1"/>
      <c r="S4698" s="1"/>
      <c r="T4698" s="1"/>
      <c r="U4698" s="2">
        <f>IFERROR(__xludf.DUMMYFUNCTION("""COMPUTED_VALUE"""),0.0)</f>
        <v>0</v>
      </c>
      <c r="V4698" s="1" t="str">
        <f>IFERROR(__xludf.DUMMYFUNCTION("""COMPUTED_VALUE"""),"#N/A")</f>
        <v>#N/A</v>
      </c>
      <c r="W4698" s="1" t="str">
        <f>IFERROR(__xludf.DUMMYFUNCTION("""COMPUTED_VALUE"""),"#N/A")</f>
        <v>#N/A</v>
      </c>
    </row>
    <row r="4699">
      <c r="O4699" s="1" t="str">
        <f>IFERROR(__xludf.DUMMYFUNCTION("""COMPUTED_VALUE"""),"#VALUE!")</f>
        <v>#VALUE!</v>
      </c>
      <c r="P4699" s="1" t="str">
        <f>IFERROR(__xludf.DUMMYFUNCTION("""COMPUTED_VALUE"""),"#N/A")</f>
        <v>#N/A</v>
      </c>
      <c r="Q4699" s="1"/>
      <c r="R4699" s="1"/>
      <c r="S4699" s="1"/>
      <c r="T4699" s="1"/>
      <c r="U4699" s="2">
        <f>IFERROR(__xludf.DUMMYFUNCTION("""COMPUTED_VALUE"""),0.0)</f>
        <v>0</v>
      </c>
      <c r="V4699" s="1" t="str">
        <f>IFERROR(__xludf.DUMMYFUNCTION("""COMPUTED_VALUE"""),"#N/A")</f>
        <v>#N/A</v>
      </c>
      <c r="W4699" s="1" t="str">
        <f>IFERROR(__xludf.DUMMYFUNCTION("""COMPUTED_VALUE"""),"#N/A")</f>
        <v>#N/A</v>
      </c>
    </row>
    <row r="4700">
      <c r="O4700" s="1" t="str">
        <f>IFERROR(__xludf.DUMMYFUNCTION("""COMPUTED_VALUE"""),"#VALUE!")</f>
        <v>#VALUE!</v>
      </c>
      <c r="P4700" s="1" t="str">
        <f>IFERROR(__xludf.DUMMYFUNCTION("""COMPUTED_VALUE"""),"#N/A")</f>
        <v>#N/A</v>
      </c>
      <c r="Q4700" s="1"/>
      <c r="R4700" s="1"/>
      <c r="S4700" s="1"/>
      <c r="T4700" s="1"/>
      <c r="U4700" s="2">
        <f>IFERROR(__xludf.DUMMYFUNCTION("""COMPUTED_VALUE"""),0.0)</f>
        <v>0</v>
      </c>
      <c r="V4700" s="1" t="str">
        <f>IFERROR(__xludf.DUMMYFUNCTION("""COMPUTED_VALUE"""),"#N/A")</f>
        <v>#N/A</v>
      </c>
      <c r="W4700" s="1" t="str">
        <f>IFERROR(__xludf.DUMMYFUNCTION("""COMPUTED_VALUE"""),"#N/A")</f>
        <v>#N/A</v>
      </c>
    </row>
    <row r="4701">
      <c r="O4701" s="1" t="str">
        <f>IFERROR(__xludf.DUMMYFUNCTION("""COMPUTED_VALUE"""),"#VALUE!")</f>
        <v>#VALUE!</v>
      </c>
      <c r="P4701" s="1" t="str">
        <f>IFERROR(__xludf.DUMMYFUNCTION("""COMPUTED_VALUE"""),"#N/A")</f>
        <v>#N/A</v>
      </c>
      <c r="Q4701" s="1"/>
      <c r="R4701" s="1"/>
      <c r="S4701" s="1"/>
      <c r="T4701" s="1"/>
      <c r="U4701" s="2">
        <f>IFERROR(__xludf.DUMMYFUNCTION("""COMPUTED_VALUE"""),0.0)</f>
        <v>0</v>
      </c>
      <c r="V4701" s="1" t="str">
        <f>IFERROR(__xludf.DUMMYFUNCTION("""COMPUTED_VALUE"""),"#N/A")</f>
        <v>#N/A</v>
      </c>
      <c r="W4701" s="1" t="str">
        <f>IFERROR(__xludf.DUMMYFUNCTION("""COMPUTED_VALUE"""),"#N/A")</f>
        <v>#N/A</v>
      </c>
    </row>
    <row r="4702">
      <c r="O4702" s="1" t="str">
        <f>IFERROR(__xludf.DUMMYFUNCTION("""COMPUTED_VALUE"""),"#VALUE!")</f>
        <v>#VALUE!</v>
      </c>
      <c r="P4702" s="1" t="str">
        <f>IFERROR(__xludf.DUMMYFUNCTION("""COMPUTED_VALUE"""),"#N/A")</f>
        <v>#N/A</v>
      </c>
      <c r="Q4702" s="1"/>
      <c r="R4702" s="1"/>
      <c r="S4702" s="1"/>
      <c r="T4702" s="1"/>
      <c r="U4702" s="2">
        <f>IFERROR(__xludf.DUMMYFUNCTION("""COMPUTED_VALUE"""),0.0)</f>
        <v>0</v>
      </c>
      <c r="V4702" s="1" t="str">
        <f>IFERROR(__xludf.DUMMYFUNCTION("""COMPUTED_VALUE"""),"#N/A")</f>
        <v>#N/A</v>
      </c>
      <c r="W4702" s="1" t="str">
        <f>IFERROR(__xludf.DUMMYFUNCTION("""COMPUTED_VALUE"""),"#N/A")</f>
        <v>#N/A</v>
      </c>
    </row>
    <row r="4703">
      <c r="O4703" s="1" t="str">
        <f>IFERROR(__xludf.DUMMYFUNCTION("""COMPUTED_VALUE"""),"#VALUE!")</f>
        <v>#VALUE!</v>
      </c>
      <c r="P4703" s="1" t="str">
        <f>IFERROR(__xludf.DUMMYFUNCTION("""COMPUTED_VALUE"""),"#N/A")</f>
        <v>#N/A</v>
      </c>
      <c r="Q4703" s="1"/>
      <c r="R4703" s="1"/>
      <c r="S4703" s="1"/>
      <c r="T4703" s="1"/>
      <c r="U4703" s="2">
        <f>IFERROR(__xludf.DUMMYFUNCTION("""COMPUTED_VALUE"""),0.0)</f>
        <v>0</v>
      </c>
      <c r="V4703" s="1" t="str">
        <f>IFERROR(__xludf.DUMMYFUNCTION("""COMPUTED_VALUE"""),"#N/A")</f>
        <v>#N/A</v>
      </c>
      <c r="W4703" s="1" t="str">
        <f>IFERROR(__xludf.DUMMYFUNCTION("""COMPUTED_VALUE"""),"#N/A")</f>
        <v>#N/A</v>
      </c>
    </row>
    <row r="4704">
      <c r="O4704" s="1" t="str">
        <f>IFERROR(__xludf.DUMMYFUNCTION("""COMPUTED_VALUE"""),"#VALUE!")</f>
        <v>#VALUE!</v>
      </c>
      <c r="P4704" s="1" t="str">
        <f>IFERROR(__xludf.DUMMYFUNCTION("""COMPUTED_VALUE"""),"#N/A")</f>
        <v>#N/A</v>
      </c>
      <c r="Q4704" s="1"/>
      <c r="R4704" s="1"/>
      <c r="S4704" s="1"/>
      <c r="T4704" s="1"/>
      <c r="U4704" s="2">
        <f>IFERROR(__xludf.DUMMYFUNCTION("""COMPUTED_VALUE"""),0.0)</f>
        <v>0</v>
      </c>
      <c r="V4704" s="1" t="str">
        <f>IFERROR(__xludf.DUMMYFUNCTION("""COMPUTED_VALUE"""),"#N/A")</f>
        <v>#N/A</v>
      </c>
      <c r="W4704" s="1" t="str">
        <f>IFERROR(__xludf.DUMMYFUNCTION("""COMPUTED_VALUE"""),"#N/A")</f>
        <v>#N/A</v>
      </c>
    </row>
    <row r="4705">
      <c r="O4705" s="1" t="str">
        <f>IFERROR(__xludf.DUMMYFUNCTION("""COMPUTED_VALUE"""),"#VALUE!")</f>
        <v>#VALUE!</v>
      </c>
      <c r="P4705" s="1" t="str">
        <f>IFERROR(__xludf.DUMMYFUNCTION("""COMPUTED_VALUE"""),"#N/A")</f>
        <v>#N/A</v>
      </c>
      <c r="Q4705" s="1"/>
      <c r="R4705" s="1"/>
      <c r="S4705" s="1"/>
      <c r="T4705" s="1"/>
      <c r="U4705" s="2">
        <f>IFERROR(__xludf.DUMMYFUNCTION("""COMPUTED_VALUE"""),0.0)</f>
        <v>0</v>
      </c>
      <c r="V4705" s="1" t="str">
        <f>IFERROR(__xludf.DUMMYFUNCTION("""COMPUTED_VALUE"""),"#N/A")</f>
        <v>#N/A</v>
      </c>
      <c r="W4705" s="1" t="str">
        <f>IFERROR(__xludf.DUMMYFUNCTION("""COMPUTED_VALUE"""),"#N/A")</f>
        <v>#N/A</v>
      </c>
    </row>
    <row r="4706">
      <c r="O4706" s="1" t="str">
        <f>IFERROR(__xludf.DUMMYFUNCTION("""COMPUTED_VALUE"""),"#VALUE!")</f>
        <v>#VALUE!</v>
      </c>
      <c r="P4706" s="1" t="str">
        <f>IFERROR(__xludf.DUMMYFUNCTION("""COMPUTED_VALUE"""),"#N/A")</f>
        <v>#N/A</v>
      </c>
      <c r="Q4706" s="1"/>
      <c r="R4706" s="1"/>
      <c r="S4706" s="1"/>
      <c r="T4706" s="1"/>
      <c r="U4706" s="2">
        <f>IFERROR(__xludf.DUMMYFUNCTION("""COMPUTED_VALUE"""),0.0)</f>
        <v>0</v>
      </c>
      <c r="V4706" s="1" t="str">
        <f>IFERROR(__xludf.DUMMYFUNCTION("""COMPUTED_VALUE"""),"#N/A")</f>
        <v>#N/A</v>
      </c>
      <c r="W4706" s="1" t="str">
        <f>IFERROR(__xludf.DUMMYFUNCTION("""COMPUTED_VALUE"""),"#N/A")</f>
        <v>#N/A</v>
      </c>
    </row>
    <row r="4707">
      <c r="O4707" s="1" t="str">
        <f>IFERROR(__xludf.DUMMYFUNCTION("""COMPUTED_VALUE"""),"#VALUE!")</f>
        <v>#VALUE!</v>
      </c>
      <c r="P4707" s="1" t="str">
        <f>IFERROR(__xludf.DUMMYFUNCTION("""COMPUTED_VALUE"""),"#N/A")</f>
        <v>#N/A</v>
      </c>
      <c r="Q4707" s="1"/>
      <c r="R4707" s="1"/>
      <c r="S4707" s="1"/>
      <c r="T4707" s="1"/>
      <c r="U4707" s="2">
        <f>IFERROR(__xludf.DUMMYFUNCTION("""COMPUTED_VALUE"""),0.0)</f>
        <v>0</v>
      </c>
      <c r="V4707" s="1" t="str">
        <f>IFERROR(__xludf.DUMMYFUNCTION("""COMPUTED_VALUE"""),"#N/A")</f>
        <v>#N/A</v>
      </c>
      <c r="W4707" s="1" t="str">
        <f>IFERROR(__xludf.DUMMYFUNCTION("""COMPUTED_VALUE"""),"#N/A")</f>
        <v>#N/A</v>
      </c>
    </row>
    <row r="4708">
      <c r="O4708" s="1" t="str">
        <f>IFERROR(__xludf.DUMMYFUNCTION("""COMPUTED_VALUE"""),"#VALUE!")</f>
        <v>#VALUE!</v>
      </c>
      <c r="P4708" s="1" t="str">
        <f>IFERROR(__xludf.DUMMYFUNCTION("""COMPUTED_VALUE"""),"#N/A")</f>
        <v>#N/A</v>
      </c>
      <c r="Q4708" s="1"/>
      <c r="R4708" s="1"/>
      <c r="S4708" s="1"/>
      <c r="T4708" s="1"/>
      <c r="U4708" s="2">
        <f>IFERROR(__xludf.DUMMYFUNCTION("""COMPUTED_VALUE"""),0.0)</f>
        <v>0</v>
      </c>
      <c r="V4708" s="1" t="str">
        <f>IFERROR(__xludf.DUMMYFUNCTION("""COMPUTED_VALUE"""),"#N/A")</f>
        <v>#N/A</v>
      </c>
      <c r="W4708" s="1" t="str">
        <f>IFERROR(__xludf.DUMMYFUNCTION("""COMPUTED_VALUE"""),"#N/A")</f>
        <v>#N/A</v>
      </c>
    </row>
    <row r="4709">
      <c r="O4709" s="1" t="str">
        <f>IFERROR(__xludf.DUMMYFUNCTION("""COMPUTED_VALUE"""),"#VALUE!")</f>
        <v>#VALUE!</v>
      </c>
      <c r="P4709" s="1" t="str">
        <f>IFERROR(__xludf.DUMMYFUNCTION("""COMPUTED_VALUE"""),"#N/A")</f>
        <v>#N/A</v>
      </c>
      <c r="Q4709" s="1"/>
      <c r="R4709" s="1"/>
      <c r="S4709" s="1"/>
      <c r="T4709" s="1"/>
      <c r="U4709" s="2">
        <f>IFERROR(__xludf.DUMMYFUNCTION("""COMPUTED_VALUE"""),0.0)</f>
        <v>0</v>
      </c>
      <c r="V4709" s="1" t="str">
        <f>IFERROR(__xludf.DUMMYFUNCTION("""COMPUTED_VALUE"""),"#N/A")</f>
        <v>#N/A</v>
      </c>
      <c r="W4709" s="1" t="str">
        <f>IFERROR(__xludf.DUMMYFUNCTION("""COMPUTED_VALUE"""),"#N/A")</f>
        <v>#N/A</v>
      </c>
    </row>
    <row r="4710">
      <c r="O4710" s="1" t="str">
        <f>IFERROR(__xludf.DUMMYFUNCTION("""COMPUTED_VALUE"""),"#VALUE!")</f>
        <v>#VALUE!</v>
      </c>
      <c r="P4710" s="1" t="str">
        <f>IFERROR(__xludf.DUMMYFUNCTION("""COMPUTED_VALUE"""),"#N/A")</f>
        <v>#N/A</v>
      </c>
      <c r="Q4710" s="1"/>
      <c r="R4710" s="1"/>
      <c r="S4710" s="1"/>
      <c r="T4710" s="1"/>
      <c r="U4710" s="2">
        <f>IFERROR(__xludf.DUMMYFUNCTION("""COMPUTED_VALUE"""),0.0)</f>
        <v>0</v>
      </c>
      <c r="V4710" s="1" t="str">
        <f>IFERROR(__xludf.DUMMYFUNCTION("""COMPUTED_VALUE"""),"#N/A")</f>
        <v>#N/A</v>
      </c>
      <c r="W4710" s="1" t="str">
        <f>IFERROR(__xludf.DUMMYFUNCTION("""COMPUTED_VALUE"""),"#N/A")</f>
        <v>#N/A</v>
      </c>
    </row>
    <row r="4711">
      <c r="O4711" s="1" t="str">
        <f>IFERROR(__xludf.DUMMYFUNCTION("""COMPUTED_VALUE"""),"#VALUE!")</f>
        <v>#VALUE!</v>
      </c>
      <c r="P4711" s="1" t="str">
        <f>IFERROR(__xludf.DUMMYFUNCTION("""COMPUTED_VALUE"""),"#N/A")</f>
        <v>#N/A</v>
      </c>
      <c r="Q4711" s="1"/>
      <c r="R4711" s="1"/>
      <c r="S4711" s="1"/>
      <c r="T4711" s="1"/>
      <c r="U4711" s="2">
        <f>IFERROR(__xludf.DUMMYFUNCTION("""COMPUTED_VALUE"""),0.0)</f>
        <v>0</v>
      </c>
      <c r="V4711" s="1" t="str">
        <f>IFERROR(__xludf.DUMMYFUNCTION("""COMPUTED_VALUE"""),"#N/A")</f>
        <v>#N/A</v>
      </c>
      <c r="W4711" s="1" t="str">
        <f>IFERROR(__xludf.DUMMYFUNCTION("""COMPUTED_VALUE"""),"#N/A")</f>
        <v>#N/A</v>
      </c>
    </row>
    <row r="4712">
      <c r="O4712" s="1" t="str">
        <f>IFERROR(__xludf.DUMMYFUNCTION("""COMPUTED_VALUE"""),"#VALUE!")</f>
        <v>#VALUE!</v>
      </c>
      <c r="P4712" s="1" t="str">
        <f>IFERROR(__xludf.DUMMYFUNCTION("""COMPUTED_VALUE"""),"#N/A")</f>
        <v>#N/A</v>
      </c>
      <c r="Q4712" s="1"/>
      <c r="R4712" s="1"/>
      <c r="S4712" s="1"/>
      <c r="T4712" s="1"/>
      <c r="U4712" s="2">
        <f>IFERROR(__xludf.DUMMYFUNCTION("""COMPUTED_VALUE"""),0.0)</f>
        <v>0</v>
      </c>
      <c r="V4712" s="1" t="str">
        <f>IFERROR(__xludf.DUMMYFUNCTION("""COMPUTED_VALUE"""),"#N/A")</f>
        <v>#N/A</v>
      </c>
      <c r="W4712" s="1" t="str">
        <f>IFERROR(__xludf.DUMMYFUNCTION("""COMPUTED_VALUE"""),"#N/A")</f>
        <v>#N/A</v>
      </c>
    </row>
    <row r="4713">
      <c r="O4713" s="1" t="str">
        <f>IFERROR(__xludf.DUMMYFUNCTION("""COMPUTED_VALUE"""),"#VALUE!")</f>
        <v>#VALUE!</v>
      </c>
      <c r="P4713" s="1" t="str">
        <f>IFERROR(__xludf.DUMMYFUNCTION("""COMPUTED_VALUE"""),"#N/A")</f>
        <v>#N/A</v>
      </c>
      <c r="Q4713" s="1"/>
      <c r="R4713" s="1"/>
      <c r="S4713" s="1"/>
      <c r="T4713" s="1"/>
      <c r="U4713" s="2">
        <f>IFERROR(__xludf.DUMMYFUNCTION("""COMPUTED_VALUE"""),0.0)</f>
        <v>0</v>
      </c>
      <c r="V4713" s="1" t="str">
        <f>IFERROR(__xludf.DUMMYFUNCTION("""COMPUTED_VALUE"""),"#N/A")</f>
        <v>#N/A</v>
      </c>
      <c r="W4713" s="1" t="str">
        <f>IFERROR(__xludf.DUMMYFUNCTION("""COMPUTED_VALUE"""),"#N/A")</f>
        <v>#N/A</v>
      </c>
    </row>
    <row r="4714">
      <c r="O4714" s="1" t="str">
        <f>IFERROR(__xludf.DUMMYFUNCTION("""COMPUTED_VALUE"""),"#VALUE!")</f>
        <v>#VALUE!</v>
      </c>
      <c r="P4714" s="1" t="str">
        <f>IFERROR(__xludf.DUMMYFUNCTION("""COMPUTED_VALUE"""),"#N/A")</f>
        <v>#N/A</v>
      </c>
      <c r="Q4714" s="1"/>
      <c r="R4714" s="1"/>
      <c r="S4714" s="1"/>
      <c r="T4714" s="1"/>
      <c r="U4714" s="2">
        <f>IFERROR(__xludf.DUMMYFUNCTION("""COMPUTED_VALUE"""),0.0)</f>
        <v>0</v>
      </c>
      <c r="V4714" s="1" t="str">
        <f>IFERROR(__xludf.DUMMYFUNCTION("""COMPUTED_VALUE"""),"#N/A")</f>
        <v>#N/A</v>
      </c>
      <c r="W4714" s="1" t="str">
        <f>IFERROR(__xludf.DUMMYFUNCTION("""COMPUTED_VALUE"""),"#N/A")</f>
        <v>#N/A</v>
      </c>
    </row>
    <row r="4715">
      <c r="O4715" s="1" t="str">
        <f>IFERROR(__xludf.DUMMYFUNCTION("""COMPUTED_VALUE"""),"#VALUE!")</f>
        <v>#VALUE!</v>
      </c>
      <c r="P4715" s="1" t="str">
        <f>IFERROR(__xludf.DUMMYFUNCTION("""COMPUTED_VALUE"""),"#N/A")</f>
        <v>#N/A</v>
      </c>
      <c r="Q4715" s="1"/>
      <c r="R4715" s="1"/>
      <c r="S4715" s="1"/>
      <c r="T4715" s="1"/>
      <c r="U4715" s="2">
        <f>IFERROR(__xludf.DUMMYFUNCTION("""COMPUTED_VALUE"""),0.0)</f>
        <v>0</v>
      </c>
      <c r="V4715" s="1" t="str">
        <f>IFERROR(__xludf.DUMMYFUNCTION("""COMPUTED_VALUE"""),"#N/A")</f>
        <v>#N/A</v>
      </c>
      <c r="W4715" s="1" t="str">
        <f>IFERROR(__xludf.DUMMYFUNCTION("""COMPUTED_VALUE"""),"#N/A")</f>
        <v>#N/A</v>
      </c>
    </row>
    <row r="4716">
      <c r="O4716" s="1" t="str">
        <f>IFERROR(__xludf.DUMMYFUNCTION("""COMPUTED_VALUE"""),"#VALUE!")</f>
        <v>#VALUE!</v>
      </c>
      <c r="P4716" s="1" t="str">
        <f>IFERROR(__xludf.DUMMYFUNCTION("""COMPUTED_VALUE"""),"#N/A")</f>
        <v>#N/A</v>
      </c>
      <c r="Q4716" s="1"/>
      <c r="R4716" s="1"/>
      <c r="S4716" s="1"/>
      <c r="T4716" s="1"/>
      <c r="U4716" s="2">
        <f>IFERROR(__xludf.DUMMYFUNCTION("""COMPUTED_VALUE"""),0.0)</f>
        <v>0</v>
      </c>
      <c r="V4716" s="1" t="str">
        <f>IFERROR(__xludf.DUMMYFUNCTION("""COMPUTED_VALUE"""),"#N/A")</f>
        <v>#N/A</v>
      </c>
      <c r="W4716" s="1" t="str">
        <f>IFERROR(__xludf.DUMMYFUNCTION("""COMPUTED_VALUE"""),"#N/A")</f>
        <v>#N/A</v>
      </c>
    </row>
    <row r="4717">
      <c r="O4717" s="1" t="str">
        <f>IFERROR(__xludf.DUMMYFUNCTION("""COMPUTED_VALUE"""),"#VALUE!")</f>
        <v>#VALUE!</v>
      </c>
      <c r="P4717" s="1" t="str">
        <f>IFERROR(__xludf.DUMMYFUNCTION("""COMPUTED_VALUE"""),"#N/A")</f>
        <v>#N/A</v>
      </c>
      <c r="Q4717" s="1"/>
      <c r="R4717" s="1"/>
      <c r="S4717" s="1"/>
      <c r="T4717" s="1"/>
      <c r="U4717" s="2">
        <f>IFERROR(__xludf.DUMMYFUNCTION("""COMPUTED_VALUE"""),0.0)</f>
        <v>0</v>
      </c>
      <c r="V4717" s="1" t="str">
        <f>IFERROR(__xludf.DUMMYFUNCTION("""COMPUTED_VALUE"""),"#N/A")</f>
        <v>#N/A</v>
      </c>
      <c r="W4717" s="1" t="str">
        <f>IFERROR(__xludf.DUMMYFUNCTION("""COMPUTED_VALUE"""),"#N/A")</f>
        <v>#N/A</v>
      </c>
    </row>
    <row r="4718">
      <c r="O4718" s="1" t="str">
        <f>IFERROR(__xludf.DUMMYFUNCTION("""COMPUTED_VALUE"""),"#VALUE!")</f>
        <v>#VALUE!</v>
      </c>
      <c r="P4718" s="1" t="str">
        <f>IFERROR(__xludf.DUMMYFUNCTION("""COMPUTED_VALUE"""),"#N/A")</f>
        <v>#N/A</v>
      </c>
      <c r="Q4718" s="1"/>
      <c r="R4718" s="1"/>
      <c r="S4718" s="1"/>
      <c r="T4718" s="1"/>
      <c r="U4718" s="2">
        <f>IFERROR(__xludf.DUMMYFUNCTION("""COMPUTED_VALUE"""),0.0)</f>
        <v>0</v>
      </c>
      <c r="V4718" s="1" t="str">
        <f>IFERROR(__xludf.DUMMYFUNCTION("""COMPUTED_VALUE"""),"#N/A")</f>
        <v>#N/A</v>
      </c>
      <c r="W4718" s="1" t="str">
        <f>IFERROR(__xludf.DUMMYFUNCTION("""COMPUTED_VALUE"""),"#N/A")</f>
        <v>#N/A</v>
      </c>
    </row>
    <row r="4719">
      <c r="O4719" s="1" t="str">
        <f>IFERROR(__xludf.DUMMYFUNCTION("""COMPUTED_VALUE"""),"#VALUE!")</f>
        <v>#VALUE!</v>
      </c>
      <c r="P4719" s="1" t="str">
        <f>IFERROR(__xludf.DUMMYFUNCTION("""COMPUTED_VALUE"""),"#N/A")</f>
        <v>#N/A</v>
      </c>
      <c r="Q4719" s="1"/>
      <c r="R4719" s="1"/>
      <c r="S4719" s="1"/>
      <c r="T4719" s="1"/>
      <c r="U4719" s="2">
        <f>IFERROR(__xludf.DUMMYFUNCTION("""COMPUTED_VALUE"""),0.0)</f>
        <v>0</v>
      </c>
      <c r="V4719" s="1" t="str">
        <f>IFERROR(__xludf.DUMMYFUNCTION("""COMPUTED_VALUE"""),"#N/A")</f>
        <v>#N/A</v>
      </c>
      <c r="W4719" s="1" t="str">
        <f>IFERROR(__xludf.DUMMYFUNCTION("""COMPUTED_VALUE"""),"#N/A")</f>
        <v>#N/A</v>
      </c>
    </row>
    <row r="4720">
      <c r="O4720" s="1" t="str">
        <f>IFERROR(__xludf.DUMMYFUNCTION("""COMPUTED_VALUE"""),"#VALUE!")</f>
        <v>#VALUE!</v>
      </c>
      <c r="P4720" s="1" t="str">
        <f>IFERROR(__xludf.DUMMYFUNCTION("""COMPUTED_VALUE"""),"#N/A")</f>
        <v>#N/A</v>
      </c>
      <c r="Q4720" s="1"/>
      <c r="R4720" s="1"/>
      <c r="S4720" s="1"/>
      <c r="T4720" s="1"/>
      <c r="U4720" s="2">
        <f>IFERROR(__xludf.DUMMYFUNCTION("""COMPUTED_VALUE"""),0.0)</f>
        <v>0</v>
      </c>
      <c r="V4720" s="1" t="str">
        <f>IFERROR(__xludf.DUMMYFUNCTION("""COMPUTED_VALUE"""),"#N/A")</f>
        <v>#N/A</v>
      </c>
      <c r="W4720" s="1" t="str">
        <f>IFERROR(__xludf.DUMMYFUNCTION("""COMPUTED_VALUE"""),"#N/A")</f>
        <v>#N/A</v>
      </c>
    </row>
    <row r="4721">
      <c r="O4721" s="1" t="str">
        <f>IFERROR(__xludf.DUMMYFUNCTION("""COMPUTED_VALUE"""),"#VALUE!")</f>
        <v>#VALUE!</v>
      </c>
      <c r="P4721" s="1" t="str">
        <f>IFERROR(__xludf.DUMMYFUNCTION("""COMPUTED_VALUE"""),"#N/A")</f>
        <v>#N/A</v>
      </c>
      <c r="Q4721" s="1"/>
      <c r="R4721" s="1"/>
      <c r="S4721" s="1"/>
      <c r="T4721" s="1"/>
      <c r="U4721" s="2">
        <f>IFERROR(__xludf.DUMMYFUNCTION("""COMPUTED_VALUE"""),0.0)</f>
        <v>0</v>
      </c>
      <c r="V4721" s="1" t="str">
        <f>IFERROR(__xludf.DUMMYFUNCTION("""COMPUTED_VALUE"""),"#N/A")</f>
        <v>#N/A</v>
      </c>
      <c r="W4721" s="1" t="str">
        <f>IFERROR(__xludf.DUMMYFUNCTION("""COMPUTED_VALUE"""),"#N/A")</f>
        <v>#N/A</v>
      </c>
    </row>
    <row r="4722">
      <c r="O4722" s="1" t="str">
        <f>IFERROR(__xludf.DUMMYFUNCTION("""COMPUTED_VALUE"""),"#VALUE!")</f>
        <v>#VALUE!</v>
      </c>
      <c r="P4722" s="1" t="str">
        <f>IFERROR(__xludf.DUMMYFUNCTION("""COMPUTED_VALUE"""),"#N/A")</f>
        <v>#N/A</v>
      </c>
      <c r="Q4722" s="1"/>
      <c r="R4722" s="1"/>
      <c r="S4722" s="1"/>
      <c r="T4722" s="1"/>
      <c r="U4722" s="2">
        <f>IFERROR(__xludf.DUMMYFUNCTION("""COMPUTED_VALUE"""),0.0)</f>
        <v>0</v>
      </c>
      <c r="V4722" s="1" t="str">
        <f>IFERROR(__xludf.DUMMYFUNCTION("""COMPUTED_VALUE"""),"#N/A")</f>
        <v>#N/A</v>
      </c>
      <c r="W4722" s="1" t="str">
        <f>IFERROR(__xludf.DUMMYFUNCTION("""COMPUTED_VALUE"""),"#N/A")</f>
        <v>#N/A</v>
      </c>
    </row>
    <row r="4723">
      <c r="O4723" s="1" t="str">
        <f>IFERROR(__xludf.DUMMYFUNCTION("""COMPUTED_VALUE"""),"#VALUE!")</f>
        <v>#VALUE!</v>
      </c>
      <c r="P4723" s="1" t="str">
        <f>IFERROR(__xludf.DUMMYFUNCTION("""COMPUTED_VALUE"""),"#N/A")</f>
        <v>#N/A</v>
      </c>
      <c r="Q4723" s="1"/>
      <c r="R4723" s="1"/>
      <c r="S4723" s="1"/>
      <c r="T4723" s="1"/>
      <c r="U4723" s="2">
        <f>IFERROR(__xludf.DUMMYFUNCTION("""COMPUTED_VALUE"""),0.0)</f>
        <v>0</v>
      </c>
      <c r="V4723" s="1" t="str">
        <f>IFERROR(__xludf.DUMMYFUNCTION("""COMPUTED_VALUE"""),"#N/A")</f>
        <v>#N/A</v>
      </c>
      <c r="W4723" s="1" t="str">
        <f>IFERROR(__xludf.DUMMYFUNCTION("""COMPUTED_VALUE"""),"#N/A")</f>
        <v>#N/A</v>
      </c>
    </row>
    <row r="4724">
      <c r="O4724" s="1" t="str">
        <f>IFERROR(__xludf.DUMMYFUNCTION("""COMPUTED_VALUE"""),"#VALUE!")</f>
        <v>#VALUE!</v>
      </c>
      <c r="P4724" s="1" t="str">
        <f>IFERROR(__xludf.DUMMYFUNCTION("""COMPUTED_VALUE"""),"#N/A")</f>
        <v>#N/A</v>
      </c>
      <c r="Q4724" s="1"/>
      <c r="R4724" s="1"/>
      <c r="S4724" s="1"/>
      <c r="T4724" s="1"/>
      <c r="U4724" s="2">
        <f>IFERROR(__xludf.DUMMYFUNCTION("""COMPUTED_VALUE"""),0.0)</f>
        <v>0</v>
      </c>
      <c r="V4724" s="1" t="str">
        <f>IFERROR(__xludf.DUMMYFUNCTION("""COMPUTED_VALUE"""),"#N/A")</f>
        <v>#N/A</v>
      </c>
      <c r="W4724" s="1" t="str">
        <f>IFERROR(__xludf.DUMMYFUNCTION("""COMPUTED_VALUE"""),"#N/A")</f>
        <v>#N/A</v>
      </c>
    </row>
    <row r="4725">
      <c r="O4725" s="1" t="str">
        <f>IFERROR(__xludf.DUMMYFUNCTION("""COMPUTED_VALUE"""),"#VALUE!")</f>
        <v>#VALUE!</v>
      </c>
      <c r="P4725" s="1" t="str">
        <f>IFERROR(__xludf.DUMMYFUNCTION("""COMPUTED_VALUE"""),"#N/A")</f>
        <v>#N/A</v>
      </c>
      <c r="Q4725" s="1"/>
      <c r="R4725" s="1"/>
      <c r="S4725" s="1"/>
      <c r="T4725" s="1"/>
      <c r="U4725" s="2">
        <f>IFERROR(__xludf.DUMMYFUNCTION("""COMPUTED_VALUE"""),0.0)</f>
        <v>0</v>
      </c>
      <c r="V4725" s="1" t="str">
        <f>IFERROR(__xludf.DUMMYFUNCTION("""COMPUTED_VALUE"""),"#N/A")</f>
        <v>#N/A</v>
      </c>
      <c r="W4725" s="1" t="str">
        <f>IFERROR(__xludf.DUMMYFUNCTION("""COMPUTED_VALUE"""),"#N/A")</f>
        <v>#N/A</v>
      </c>
    </row>
    <row r="4726">
      <c r="O4726" s="1" t="str">
        <f>IFERROR(__xludf.DUMMYFUNCTION("""COMPUTED_VALUE"""),"#VALUE!")</f>
        <v>#VALUE!</v>
      </c>
      <c r="P4726" s="1" t="str">
        <f>IFERROR(__xludf.DUMMYFUNCTION("""COMPUTED_VALUE"""),"#N/A")</f>
        <v>#N/A</v>
      </c>
      <c r="Q4726" s="1"/>
      <c r="R4726" s="1"/>
      <c r="S4726" s="1"/>
      <c r="T4726" s="1"/>
      <c r="U4726" s="2">
        <f>IFERROR(__xludf.DUMMYFUNCTION("""COMPUTED_VALUE"""),0.0)</f>
        <v>0</v>
      </c>
      <c r="V4726" s="1" t="str">
        <f>IFERROR(__xludf.DUMMYFUNCTION("""COMPUTED_VALUE"""),"#N/A")</f>
        <v>#N/A</v>
      </c>
      <c r="W4726" s="1" t="str">
        <f>IFERROR(__xludf.DUMMYFUNCTION("""COMPUTED_VALUE"""),"#N/A")</f>
        <v>#N/A</v>
      </c>
    </row>
    <row r="4727">
      <c r="O4727" s="1" t="str">
        <f>IFERROR(__xludf.DUMMYFUNCTION("""COMPUTED_VALUE"""),"#VALUE!")</f>
        <v>#VALUE!</v>
      </c>
      <c r="P4727" s="1" t="str">
        <f>IFERROR(__xludf.DUMMYFUNCTION("""COMPUTED_VALUE"""),"#N/A")</f>
        <v>#N/A</v>
      </c>
      <c r="Q4727" s="1"/>
      <c r="R4727" s="1"/>
      <c r="S4727" s="1"/>
      <c r="T4727" s="1"/>
      <c r="U4727" s="2">
        <f>IFERROR(__xludf.DUMMYFUNCTION("""COMPUTED_VALUE"""),0.0)</f>
        <v>0</v>
      </c>
      <c r="V4727" s="1" t="str">
        <f>IFERROR(__xludf.DUMMYFUNCTION("""COMPUTED_VALUE"""),"#N/A")</f>
        <v>#N/A</v>
      </c>
      <c r="W4727" s="1" t="str">
        <f>IFERROR(__xludf.DUMMYFUNCTION("""COMPUTED_VALUE"""),"#N/A")</f>
        <v>#N/A</v>
      </c>
    </row>
    <row r="4728">
      <c r="O4728" s="1" t="str">
        <f>IFERROR(__xludf.DUMMYFUNCTION("""COMPUTED_VALUE"""),"#VALUE!")</f>
        <v>#VALUE!</v>
      </c>
      <c r="P4728" s="1" t="str">
        <f>IFERROR(__xludf.DUMMYFUNCTION("""COMPUTED_VALUE"""),"#N/A")</f>
        <v>#N/A</v>
      </c>
      <c r="Q4728" s="1"/>
      <c r="R4728" s="1"/>
      <c r="S4728" s="1"/>
      <c r="T4728" s="1"/>
      <c r="U4728" s="2">
        <f>IFERROR(__xludf.DUMMYFUNCTION("""COMPUTED_VALUE"""),0.0)</f>
        <v>0</v>
      </c>
      <c r="V4728" s="1" t="str">
        <f>IFERROR(__xludf.DUMMYFUNCTION("""COMPUTED_VALUE"""),"#N/A")</f>
        <v>#N/A</v>
      </c>
      <c r="W4728" s="1" t="str">
        <f>IFERROR(__xludf.DUMMYFUNCTION("""COMPUTED_VALUE"""),"#N/A")</f>
        <v>#N/A</v>
      </c>
    </row>
    <row r="4729">
      <c r="O4729" s="1" t="str">
        <f>IFERROR(__xludf.DUMMYFUNCTION("""COMPUTED_VALUE"""),"#VALUE!")</f>
        <v>#VALUE!</v>
      </c>
      <c r="P4729" s="1" t="str">
        <f>IFERROR(__xludf.DUMMYFUNCTION("""COMPUTED_VALUE"""),"#N/A")</f>
        <v>#N/A</v>
      </c>
      <c r="Q4729" s="1"/>
      <c r="R4729" s="1"/>
      <c r="S4729" s="1"/>
      <c r="T4729" s="1"/>
      <c r="U4729" s="2">
        <f>IFERROR(__xludf.DUMMYFUNCTION("""COMPUTED_VALUE"""),0.0)</f>
        <v>0</v>
      </c>
      <c r="V4729" s="1" t="str">
        <f>IFERROR(__xludf.DUMMYFUNCTION("""COMPUTED_VALUE"""),"#N/A")</f>
        <v>#N/A</v>
      </c>
      <c r="W4729" s="1" t="str">
        <f>IFERROR(__xludf.DUMMYFUNCTION("""COMPUTED_VALUE"""),"#N/A")</f>
        <v>#N/A</v>
      </c>
    </row>
    <row r="4730">
      <c r="O4730" s="1" t="str">
        <f>IFERROR(__xludf.DUMMYFUNCTION("""COMPUTED_VALUE"""),"#VALUE!")</f>
        <v>#VALUE!</v>
      </c>
      <c r="P4730" s="1" t="str">
        <f>IFERROR(__xludf.DUMMYFUNCTION("""COMPUTED_VALUE"""),"#N/A")</f>
        <v>#N/A</v>
      </c>
      <c r="Q4730" s="1"/>
      <c r="R4730" s="1"/>
      <c r="S4730" s="1"/>
      <c r="T4730" s="1"/>
      <c r="U4730" s="2">
        <f>IFERROR(__xludf.DUMMYFUNCTION("""COMPUTED_VALUE"""),0.0)</f>
        <v>0</v>
      </c>
      <c r="V4730" s="1" t="str">
        <f>IFERROR(__xludf.DUMMYFUNCTION("""COMPUTED_VALUE"""),"#N/A")</f>
        <v>#N/A</v>
      </c>
      <c r="W4730" s="1" t="str">
        <f>IFERROR(__xludf.DUMMYFUNCTION("""COMPUTED_VALUE"""),"#N/A")</f>
        <v>#N/A</v>
      </c>
    </row>
    <row r="4731">
      <c r="O4731" s="1" t="str">
        <f>IFERROR(__xludf.DUMMYFUNCTION("""COMPUTED_VALUE"""),"#VALUE!")</f>
        <v>#VALUE!</v>
      </c>
      <c r="P4731" s="1" t="str">
        <f>IFERROR(__xludf.DUMMYFUNCTION("""COMPUTED_VALUE"""),"#N/A")</f>
        <v>#N/A</v>
      </c>
      <c r="Q4731" s="1"/>
      <c r="R4731" s="1"/>
      <c r="S4731" s="1"/>
      <c r="T4731" s="1"/>
      <c r="U4731" s="2">
        <f>IFERROR(__xludf.DUMMYFUNCTION("""COMPUTED_VALUE"""),0.0)</f>
        <v>0</v>
      </c>
      <c r="V4731" s="1" t="str">
        <f>IFERROR(__xludf.DUMMYFUNCTION("""COMPUTED_VALUE"""),"#N/A")</f>
        <v>#N/A</v>
      </c>
      <c r="W4731" s="1" t="str">
        <f>IFERROR(__xludf.DUMMYFUNCTION("""COMPUTED_VALUE"""),"#N/A")</f>
        <v>#N/A</v>
      </c>
    </row>
    <row r="4732">
      <c r="O4732" s="1" t="str">
        <f>IFERROR(__xludf.DUMMYFUNCTION("""COMPUTED_VALUE"""),"#VALUE!")</f>
        <v>#VALUE!</v>
      </c>
      <c r="P4732" s="1" t="str">
        <f>IFERROR(__xludf.DUMMYFUNCTION("""COMPUTED_VALUE"""),"#N/A")</f>
        <v>#N/A</v>
      </c>
      <c r="Q4732" s="1"/>
      <c r="R4732" s="1"/>
      <c r="S4732" s="1"/>
      <c r="T4732" s="1"/>
      <c r="U4732" s="2">
        <f>IFERROR(__xludf.DUMMYFUNCTION("""COMPUTED_VALUE"""),0.0)</f>
        <v>0</v>
      </c>
      <c r="V4732" s="1" t="str">
        <f>IFERROR(__xludf.DUMMYFUNCTION("""COMPUTED_VALUE"""),"#N/A")</f>
        <v>#N/A</v>
      </c>
      <c r="W4732" s="1" t="str">
        <f>IFERROR(__xludf.DUMMYFUNCTION("""COMPUTED_VALUE"""),"#N/A")</f>
        <v>#N/A</v>
      </c>
    </row>
    <row r="4733">
      <c r="O4733" s="1" t="str">
        <f>IFERROR(__xludf.DUMMYFUNCTION("""COMPUTED_VALUE"""),"#VALUE!")</f>
        <v>#VALUE!</v>
      </c>
      <c r="P4733" s="1" t="str">
        <f>IFERROR(__xludf.DUMMYFUNCTION("""COMPUTED_VALUE"""),"#N/A")</f>
        <v>#N/A</v>
      </c>
      <c r="Q4733" s="1"/>
      <c r="R4733" s="1"/>
      <c r="S4733" s="1"/>
      <c r="T4733" s="1"/>
      <c r="U4733" s="2">
        <f>IFERROR(__xludf.DUMMYFUNCTION("""COMPUTED_VALUE"""),0.0)</f>
        <v>0</v>
      </c>
      <c r="V4733" s="1" t="str">
        <f>IFERROR(__xludf.DUMMYFUNCTION("""COMPUTED_VALUE"""),"#N/A")</f>
        <v>#N/A</v>
      </c>
      <c r="W4733" s="1" t="str">
        <f>IFERROR(__xludf.DUMMYFUNCTION("""COMPUTED_VALUE"""),"#N/A")</f>
        <v>#N/A</v>
      </c>
    </row>
    <row r="4734">
      <c r="O4734" s="1" t="str">
        <f>IFERROR(__xludf.DUMMYFUNCTION("""COMPUTED_VALUE"""),"#VALUE!")</f>
        <v>#VALUE!</v>
      </c>
      <c r="P4734" s="1" t="str">
        <f>IFERROR(__xludf.DUMMYFUNCTION("""COMPUTED_VALUE"""),"#N/A")</f>
        <v>#N/A</v>
      </c>
      <c r="Q4734" s="1"/>
      <c r="R4734" s="1"/>
      <c r="S4734" s="1"/>
      <c r="T4734" s="1"/>
      <c r="U4734" s="2">
        <f>IFERROR(__xludf.DUMMYFUNCTION("""COMPUTED_VALUE"""),0.0)</f>
        <v>0</v>
      </c>
      <c r="V4734" s="1" t="str">
        <f>IFERROR(__xludf.DUMMYFUNCTION("""COMPUTED_VALUE"""),"#N/A")</f>
        <v>#N/A</v>
      </c>
      <c r="W4734" s="1" t="str">
        <f>IFERROR(__xludf.DUMMYFUNCTION("""COMPUTED_VALUE"""),"#N/A")</f>
        <v>#N/A</v>
      </c>
    </row>
    <row r="4735">
      <c r="O4735" s="1" t="str">
        <f>IFERROR(__xludf.DUMMYFUNCTION("""COMPUTED_VALUE"""),"#VALUE!")</f>
        <v>#VALUE!</v>
      </c>
      <c r="P4735" s="1" t="str">
        <f>IFERROR(__xludf.DUMMYFUNCTION("""COMPUTED_VALUE"""),"#N/A")</f>
        <v>#N/A</v>
      </c>
      <c r="Q4735" s="1"/>
      <c r="R4735" s="1"/>
      <c r="S4735" s="1"/>
      <c r="T4735" s="1"/>
      <c r="U4735" s="2">
        <f>IFERROR(__xludf.DUMMYFUNCTION("""COMPUTED_VALUE"""),0.0)</f>
        <v>0</v>
      </c>
      <c r="V4735" s="1" t="str">
        <f>IFERROR(__xludf.DUMMYFUNCTION("""COMPUTED_VALUE"""),"#N/A")</f>
        <v>#N/A</v>
      </c>
      <c r="W4735" s="1" t="str">
        <f>IFERROR(__xludf.DUMMYFUNCTION("""COMPUTED_VALUE"""),"#N/A")</f>
        <v>#N/A</v>
      </c>
    </row>
    <row r="4736">
      <c r="O4736" s="1" t="str">
        <f>IFERROR(__xludf.DUMMYFUNCTION("""COMPUTED_VALUE"""),"#VALUE!")</f>
        <v>#VALUE!</v>
      </c>
      <c r="P4736" s="1" t="str">
        <f>IFERROR(__xludf.DUMMYFUNCTION("""COMPUTED_VALUE"""),"#N/A")</f>
        <v>#N/A</v>
      </c>
      <c r="Q4736" s="1"/>
      <c r="R4736" s="1"/>
      <c r="S4736" s="1"/>
      <c r="T4736" s="1"/>
      <c r="U4736" s="2">
        <f>IFERROR(__xludf.DUMMYFUNCTION("""COMPUTED_VALUE"""),0.0)</f>
        <v>0</v>
      </c>
      <c r="V4736" s="1" t="str">
        <f>IFERROR(__xludf.DUMMYFUNCTION("""COMPUTED_VALUE"""),"#N/A")</f>
        <v>#N/A</v>
      </c>
      <c r="W4736" s="1" t="str">
        <f>IFERROR(__xludf.DUMMYFUNCTION("""COMPUTED_VALUE"""),"#N/A")</f>
        <v>#N/A</v>
      </c>
    </row>
    <row r="4737">
      <c r="O4737" s="1" t="str">
        <f>IFERROR(__xludf.DUMMYFUNCTION("""COMPUTED_VALUE"""),"#VALUE!")</f>
        <v>#VALUE!</v>
      </c>
      <c r="P4737" s="1" t="str">
        <f>IFERROR(__xludf.DUMMYFUNCTION("""COMPUTED_VALUE"""),"#N/A")</f>
        <v>#N/A</v>
      </c>
      <c r="Q4737" s="1"/>
      <c r="R4737" s="1"/>
      <c r="S4737" s="1"/>
      <c r="T4737" s="1"/>
      <c r="U4737" s="2">
        <f>IFERROR(__xludf.DUMMYFUNCTION("""COMPUTED_VALUE"""),0.0)</f>
        <v>0</v>
      </c>
      <c r="V4737" s="1" t="str">
        <f>IFERROR(__xludf.DUMMYFUNCTION("""COMPUTED_VALUE"""),"#N/A")</f>
        <v>#N/A</v>
      </c>
      <c r="W4737" s="1" t="str">
        <f>IFERROR(__xludf.DUMMYFUNCTION("""COMPUTED_VALUE"""),"#N/A")</f>
        <v>#N/A</v>
      </c>
    </row>
    <row r="4738">
      <c r="O4738" s="1" t="str">
        <f>IFERROR(__xludf.DUMMYFUNCTION("""COMPUTED_VALUE"""),"#VALUE!")</f>
        <v>#VALUE!</v>
      </c>
      <c r="P4738" s="1" t="str">
        <f>IFERROR(__xludf.DUMMYFUNCTION("""COMPUTED_VALUE"""),"#N/A")</f>
        <v>#N/A</v>
      </c>
      <c r="Q4738" s="1"/>
      <c r="R4738" s="1"/>
      <c r="S4738" s="1"/>
      <c r="T4738" s="1"/>
      <c r="U4738" s="2">
        <f>IFERROR(__xludf.DUMMYFUNCTION("""COMPUTED_VALUE"""),0.0)</f>
        <v>0</v>
      </c>
      <c r="V4738" s="1" t="str">
        <f>IFERROR(__xludf.DUMMYFUNCTION("""COMPUTED_VALUE"""),"#N/A")</f>
        <v>#N/A</v>
      </c>
      <c r="W4738" s="1" t="str">
        <f>IFERROR(__xludf.DUMMYFUNCTION("""COMPUTED_VALUE"""),"#N/A")</f>
        <v>#N/A</v>
      </c>
    </row>
    <row r="4739">
      <c r="O4739" s="1" t="str">
        <f>IFERROR(__xludf.DUMMYFUNCTION("""COMPUTED_VALUE"""),"#VALUE!")</f>
        <v>#VALUE!</v>
      </c>
      <c r="P4739" s="1" t="str">
        <f>IFERROR(__xludf.DUMMYFUNCTION("""COMPUTED_VALUE"""),"#N/A")</f>
        <v>#N/A</v>
      </c>
      <c r="Q4739" s="1"/>
      <c r="R4739" s="1"/>
      <c r="S4739" s="1"/>
      <c r="T4739" s="1"/>
      <c r="U4739" s="2">
        <f>IFERROR(__xludf.DUMMYFUNCTION("""COMPUTED_VALUE"""),0.0)</f>
        <v>0</v>
      </c>
      <c r="V4739" s="1" t="str">
        <f>IFERROR(__xludf.DUMMYFUNCTION("""COMPUTED_VALUE"""),"#N/A")</f>
        <v>#N/A</v>
      </c>
      <c r="W4739" s="1" t="str">
        <f>IFERROR(__xludf.DUMMYFUNCTION("""COMPUTED_VALUE"""),"#N/A")</f>
        <v>#N/A</v>
      </c>
    </row>
    <row r="4740">
      <c r="O4740" s="1" t="str">
        <f>IFERROR(__xludf.DUMMYFUNCTION("""COMPUTED_VALUE"""),"#VALUE!")</f>
        <v>#VALUE!</v>
      </c>
      <c r="P4740" s="1" t="str">
        <f>IFERROR(__xludf.DUMMYFUNCTION("""COMPUTED_VALUE"""),"#N/A")</f>
        <v>#N/A</v>
      </c>
      <c r="Q4740" s="1"/>
      <c r="R4740" s="1"/>
      <c r="S4740" s="1"/>
      <c r="T4740" s="1"/>
      <c r="U4740" s="2">
        <f>IFERROR(__xludf.DUMMYFUNCTION("""COMPUTED_VALUE"""),0.0)</f>
        <v>0</v>
      </c>
      <c r="V4740" s="1" t="str">
        <f>IFERROR(__xludf.DUMMYFUNCTION("""COMPUTED_VALUE"""),"#N/A")</f>
        <v>#N/A</v>
      </c>
      <c r="W4740" s="1" t="str">
        <f>IFERROR(__xludf.DUMMYFUNCTION("""COMPUTED_VALUE"""),"#N/A")</f>
        <v>#N/A</v>
      </c>
    </row>
    <row r="4741">
      <c r="O4741" s="1" t="str">
        <f>IFERROR(__xludf.DUMMYFUNCTION("""COMPUTED_VALUE"""),"#VALUE!")</f>
        <v>#VALUE!</v>
      </c>
      <c r="P4741" s="1" t="str">
        <f>IFERROR(__xludf.DUMMYFUNCTION("""COMPUTED_VALUE"""),"#N/A")</f>
        <v>#N/A</v>
      </c>
      <c r="Q4741" s="1"/>
      <c r="R4741" s="1"/>
      <c r="S4741" s="1"/>
      <c r="T4741" s="1"/>
      <c r="U4741" s="2">
        <f>IFERROR(__xludf.DUMMYFUNCTION("""COMPUTED_VALUE"""),0.0)</f>
        <v>0</v>
      </c>
      <c r="V4741" s="1" t="str">
        <f>IFERROR(__xludf.DUMMYFUNCTION("""COMPUTED_VALUE"""),"#N/A")</f>
        <v>#N/A</v>
      </c>
      <c r="W4741" s="1" t="str">
        <f>IFERROR(__xludf.DUMMYFUNCTION("""COMPUTED_VALUE"""),"#N/A")</f>
        <v>#N/A</v>
      </c>
    </row>
    <row r="4742">
      <c r="O4742" s="1" t="str">
        <f>IFERROR(__xludf.DUMMYFUNCTION("""COMPUTED_VALUE"""),"#VALUE!")</f>
        <v>#VALUE!</v>
      </c>
      <c r="P4742" s="1" t="str">
        <f>IFERROR(__xludf.DUMMYFUNCTION("""COMPUTED_VALUE"""),"#N/A")</f>
        <v>#N/A</v>
      </c>
      <c r="Q4742" s="1"/>
      <c r="R4742" s="1"/>
      <c r="S4742" s="1"/>
      <c r="T4742" s="1"/>
      <c r="U4742" s="2">
        <f>IFERROR(__xludf.DUMMYFUNCTION("""COMPUTED_VALUE"""),0.0)</f>
        <v>0</v>
      </c>
      <c r="V4742" s="1" t="str">
        <f>IFERROR(__xludf.DUMMYFUNCTION("""COMPUTED_VALUE"""),"#N/A")</f>
        <v>#N/A</v>
      </c>
      <c r="W4742" s="1" t="str">
        <f>IFERROR(__xludf.DUMMYFUNCTION("""COMPUTED_VALUE"""),"#N/A")</f>
        <v>#N/A</v>
      </c>
    </row>
    <row r="4743">
      <c r="O4743" s="1" t="str">
        <f>IFERROR(__xludf.DUMMYFUNCTION("""COMPUTED_VALUE"""),"#VALUE!")</f>
        <v>#VALUE!</v>
      </c>
      <c r="P4743" s="1" t="str">
        <f>IFERROR(__xludf.DUMMYFUNCTION("""COMPUTED_VALUE"""),"#N/A")</f>
        <v>#N/A</v>
      </c>
      <c r="Q4743" s="1"/>
      <c r="R4743" s="1"/>
      <c r="S4743" s="1"/>
      <c r="T4743" s="1"/>
      <c r="U4743" s="2">
        <f>IFERROR(__xludf.DUMMYFUNCTION("""COMPUTED_VALUE"""),0.0)</f>
        <v>0</v>
      </c>
      <c r="V4743" s="1" t="str">
        <f>IFERROR(__xludf.DUMMYFUNCTION("""COMPUTED_VALUE"""),"#N/A")</f>
        <v>#N/A</v>
      </c>
      <c r="W4743" s="1" t="str">
        <f>IFERROR(__xludf.DUMMYFUNCTION("""COMPUTED_VALUE"""),"#N/A")</f>
        <v>#N/A</v>
      </c>
    </row>
    <row r="4744">
      <c r="O4744" s="1" t="str">
        <f>IFERROR(__xludf.DUMMYFUNCTION("""COMPUTED_VALUE"""),"#VALUE!")</f>
        <v>#VALUE!</v>
      </c>
      <c r="P4744" s="1" t="str">
        <f>IFERROR(__xludf.DUMMYFUNCTION("""COMPUTED_VALUE"""),"#N/A")</f>
        <v>#N/A</v>
      </c>
      <c r="Q4744" s="1"/>
      <c r="R4744" s="1"/>
      <c r="S4744" s="1"/>
      <c r="T4744" s="1"/>
      <c r="U4744" s="2">
        <f>IFERROR(__xludf.DUMMYFUNCTION("""COMPUTED_VALUE"""),0.0)</f>
        <v>0</v>
      </c>
      <c r="V4744" s="1" t="str">
        <f>IFERROR(__xludf.DUMMYFUNCTION("""COMPUTED_VALUE"""),"#N/A")</f>
        <v>#N/A</v>
      </c>
      <c r="W4744" s="1" t="str">
        <f>IFERROR(__xludf.DUMMYFUNCTION("""COMPUTED_VALUE"""),"#N/A")</f>
        <v>#N/A</v>
      </c>
    </row>
    <row r="4745">
      <c r="O4745" s="1" t="str">
        <f>IFERROR(__xludf.DUMMYFUNCTION("""COMPUTED_VALUE"""),"#VALUE!")</f>
        <v>#VALUE!</v>
      </c>
      <c r="P4745" s="1" t="str">
        <f>IFERROR(__xludf.DUMMYFUNCTION("""COMPUTED_VALUE"""),"#N/A")</f>
        <v>#N/A</v>
      </c>
      <c r="Q4745" s="1"/>
      <c r="R4745" s="1"/>
      <c r="S4745" s="1"/>
      <c r="T4745" s="1"/>
      <c r="U4745" s="2">
        <f>IFERROR(__xludf.DUMMYFUNCTION("""COMPUTED_VALUE"""),0.0)</f>
        <v>0</v>
      </c>
      <c r="V4745" s="1" t="str">
        <f>IFERROR(__xludf.DUMMYFUNCTION("""COMPUTED_VALUE"""),"#N/A")</f>
        <v>#N/A</v>
      </c>
      <c r="W4745" s="1" t="str">
        <f>IFERROR(__xludf.DUMMYFUNCTION("""COMPUTED_VALUE"""),"#N/A")</f>
        <v>#N/A</v>
      </c>
    </row>
    <row r="4746">
      <c r="O4746" s="1" t="str">
        <f>IFERROR(__xludf.DUMMYFUNCTION("""COMPUTED_VALUE"""),"#VALUE!")</f>
        <v>#VALUE!</v>
      </c>
      <c r="P4746" s="1" t="str">
        <f>IFERROR(__xludf.DUMMYFUNCTION("""COMPUTED_VALUE"""),"#N/A")</f>
        <v>#N/A</v>
      </c>
      <c r="Q4746" s="1"/>
      <c r="R4746" s="1"/>
      <c r="S4746" s="1"/>
      <c r="T4746" s="1"/>
      <c r="U4746" s="2">
        <f>IFERROR(__xludf.DUMMYFUNCTION("""COMPUTED_VALUE"""),0.0)</f>
        <v>0</v>
      </c>
      <c r="V4746" s="1" t="str">
        <f>IFERROR(__xludf.DUMMYFUNCTION("""COMPUTED_VALUE"""),"#N/A")</f>
        <v>#N/A</v>
      </c>
      <c r="W4746" s="1" t="str">
        <f>IFERROR(__xludf.DUMMYFUNCTION("""COMPUTED_VALUE"""),"#N/A")</f>
        <v>#N/A</v>
      </c>
    </row>
    <row r="4747">
      <c r="O4747" s="1" t="str">
        <f>IFERROR(__xludf.DUMMYFUNCTION("""COMPUTED_VALUE"""),"#VALUE!")</f>
        <v>#VALUE!</v>
      </c>
      <c r="P4747" s="1" t="str">
        <f>IFERROR(__xludf.DUMMYFUNCTION("""COMPUTED_VALUE"""),"#N/A")</f>
        <v>#N/A</v>
      </c>
      <c r="Q4747" s="1"/>
      <c r="R4747" s="1"/>
      <c r="S4747" s="1"/>
      <c r="T4747" s="1"/>
      <c r="U4747" s="2">
        <f>IFERROR(__xludf.DUMMYFUNCTION("""COMPUTED_VALUE"""),0.0)</f>
        <v>0</v>
      </c>
      <c r="V4747" s="1" t="str">
        <f>IFERROR(__xludf.DUMMYFUNCTION("""COMPUTED_VALUE"""),"#N/A")</f>
        <v>#N/A</v>
      </c>
      <c r="W4747" s="1" t="str">
        <f>IFERROR(__xludf.DUMMYFUNCTION("""COMPUTED_VALUE"""),"#N/A")</f>
        <v>#N/A</v>
      </c>
    </row>
    <row r="4748">
      <c r="O4748" s="1" t="str">
        <f>IFERROR(__xludf.DUMMYFUNCTION("""COMPUTED_VALUE"""),"#VALUE!")</f>
        <v>#VALUE!</v>
      </c>
      <c r="P4748" s="1" t="str">
        <f>IFERROR(__xludf.DUMMYFUNCTION("""COMPUTED_VALUE"""),"#N/A")</f>
        <v>#N/A</v>
      </c>
      <c r="Q4748" s="1"/>
      <c r="R4748" s="1"/>
      <c r="S4748" s="1"/>
      <c r="T4748" s="1"/>
      <c r="U4748" s="2">
        <f>IFERROR(__xludf.DUMMYFUNCTION("""COMPUTED_VALUE"""),0.0)</f>
        <v>0</v>
      </c>
      <c r="V4748" s="1" t="str">
        <f>IFERROR(__xludf.DUMMYFUNCTION("""COMPUTED_VALUE"""),"#N/A")</f>
        <v>#N/A</v>
      </c>
      <c r="W4748" s="1" t="str">
        <f>IFERROR(__xludf.DUMMYFUNCTION("""COMPUTED_VALUE"""),"#N/A")</f>
        <v>#N/A</v>
      </c>
    </row>
    <row r="4749">
      <c r="O4749" s="1" t="str">
        <f>IFERROR(__xludf.DUMMYFUNCTION("""COMPUTED_VALUE"""),"#VALUE!")</f>
        <v>#VALUE!</v>
      </c>
      <c r="P4749" s="1" t="str">
        <f>IFERROR(__xludf.DUMMYFUNCTION("""COMPUTED_VALUE"""),"#N/A")</f>
        <v>#N/A</v>
      </c>
      <c r="Q4749" s="1"/>
      <c r="R4749" s="1"/>
      <c r="S4749" s="1"/>
      <c r="T4749" s="1"/>
      <c r="U4749" s="2">
        <f>IFERROR(__xludf.DUMMYFUNCTION("""COMPUTED_VALUE"""),0.0)</f>
        <v>0</v>
      </c>
      <c r="V4749" s="1" t="str">
        <f>IFERROR(__xludf.DUMMYFUNCTION("""COMPUTED_VALUE"""),"#N/A")</f>
        <v>#N/A</v>
      </c>
      <c r="W4749" s="1" t="str">
        <f>IFERROR(__xludf.DUMMYFUNCTION("""COMPUTED_VALUE"""),"#N/A")</f>
        <v>#N/A</v>
      </c>
    </row>
    <row r="4750">
      <c r="O4750" s="1" t="str">
        <f>IFERROR(__xludf.DUMMYFUNCTION("""COMPUTED_VALUE"""),"#VALUE!")</f>
        <v>#VALUE!</v>
      </c>
      <c r="P4750" s="1" t="str">
        <f>IFERROR(__xludf.DUMMYFUNCTION("""COMPUTED_VALUE"""),"#N/A")</f>
        <v>#N/A</v>
      </c>
      <c r="Q4750" s="1"/>
      <c r="R4750" s="1"/>
      <c r="S4750" s="1"/>
      <c r="T4750" s="1"/>
      <c r="U4750" s="2">
        <f>IFERROR(__xludf.DUMMYFUNCTION("""COMPUTED_VALUE"""),0.0)</f>
        <v>0</v>
      </c>
      <c r="V4750" s="1" t="str">
        <f>IFERROR(__xludf.DUMMYFUNCTION("""COMPUTED_VALUE"""),"#N/A")</f>
        <v>#N/A</v>
      </c>
      <c r="W4750" s="1" t="str">
        <f>IFERROR(__xludf.DUMMYFUNCTION("""COMPUTED_VALUE"""),"#N/A")</f>
        <v>#N/A</v>
      </c>
    </row>
    <row r="4751">
      <c r="O4751" s="1" t="str">
        <f>IFERROR(__xludf.DUMMYFUNCTION("""COMPUTED_VALUE"""),"#VALUE!")</f>
        <v>#VALUE!</v>
      </c>
      <c r="P4751" s="1" t="str">
        <f>IFERROR(__xludf.DUMMYFUNCTION("""COMPUTED_VALUE"""),"#N/A")</f>
        <v>#N/A</v>
      </c>
      <c r="Q4751" s="1"/>
      <c r="R4751" s="1"/>
      <c r="S4751" s="1"/>
      <c r="T4751" s="1"/>
      <c r="U4751" s="2">
        <f>IFERROR(__xludf.DUMMYFUNCTION("""COMPUTED_VALUE"""),0.0)</f>
        <v>0</v>
      </c>
      <c r="V4751" s="1" t="str">
        <f>IFERROR(__xludf.DUMMYFUNCTION("""COMPUTED_VALUE"""),"#N/A")</f>
        <v>#N/A</v>
      </c>
      <c r="W4751" s="1" t="str">
        <f>IFERROR(__xludf.DUMMYFUNCTION("""COMPUTED_VALUE"""),"#N/A")</f>
        <v>#N/A</v>
      </c>
    </row>
    <row r="4752">
      <c r="O4752" s="1" t="str">
        <f>IFERROR(__xludf.DUMMYFUNCTION("""COMPUTED_VALUE"""),"#VALUE!")</f>
        <v>#VALUE!</v>
      </c>
      <c r="P4752" s="1" t="str">
        <f>IFERROR(__xludf.DUMMYFUNCTION("""COMPUTED_VALUE"""),"#N/A")</f>
        <v>#N/A</v>
      </c>
      <c r="Q4752" s="1"/>
      <c r="R4752" s="1"/>
      <c r="S4752" s="1"/>
      <c r="T4752" s="1"/>
      <c r="U4752" s="2">
        <f>IFERROR(__xludf.DUMMYFUNCTION("""COMPUTED_VALUE"""),0.0)</f>
        <v>0</v>
      </c>
      <c r="V4752" s="1" t="str">
        <f>IFERROR(__xludf.DUMMYFUNCTION("""COMPUTED_VALUE"""),"#N/A")</f>
        <v>#N/A</v>
      </c>
      <c r="W4752" s="1" t="str">
        <f>IFERROR(__xludf.DUMMYFUNCTION("""COMPUTED_VALUE"""),"#N/A")</f>
        <v>#N/A</v>
      </c>
    </row>
    <row r="4753">
      <c r="O4753" s="1" t="str">
        <f>IFERROR(__xludf.DUMMYFUNCTION("""COMPUTED_VALUE"""),"#VALUE!")</f>
        <v>#VALUE!</v>
      </c>
      <c r="P4753" s="1" t="str">
        <f>IFERROR(__xludf.DUMMYFUNCTION("""COMPUTED_VALUE"""),"#N/A")</f>
        <v>#N/A</v>
      </c>
      <c r="Q4753" s="1"/>
      <c r="R4753" s="1"/>
      <c r="S4753" s="1"/>
      <c r="T4753" s="1"/>
      <c r="U4753" s="2">
        <f>IFERROR(__xludf.DUMMYFUNCTION("""COMPUTED_VALUE"""),0.0)</f>
        <v>0</v>
      </c>
      <c r="V4753" s="1" t="str">
        <f>IFERROR(__xludf.DUMMYFUNCTION("""COMPUTED_VALUE"""),"#N/A")</f>
        <v>#N/A</v>
      </c>
      <c r="W4753" s="1" t="str">
        <f>IFERROR(__xludf.DUMMYFUNCTION("""COMPUTED_VALUE"""),"#N/A")</f>
        <v>#N/A</v>
      </c>
    </row>
    <row r="4754">
      <c r="O4754" s="1" t="str">
        <f>IFERROR(__xludf.DUMMYFUNCTION("""COMPUTED_VALUE"""),"#VALUE!")</f>
        <v>#VALUE!</v>
      </c>
      <c r="P4754" s="1" t="str">
        <f>IFERROR(__xludf.DUMMYFUNCTION("""COMPUTED_VALUE"""),"#N/A")</f>
        <v>#N/A</v>
      </c>
      <c r="Q4754" s="1"/>
      <c r="R4754" s="1"/>
      <c r="S4754" s="1"/>
      <c r="T4754" s="1"/>
      <c r="U4754" s="2">
        <f>IFERROR(__xludf.DUMMYFUNCTION("""COMPUTED_VALUE"""),0.0)</f>
        <v>0</v>
      </c>
      <c r="V4754" s="1" t="str">
        <f>IFERROR(__xludf.DUMMYFUNCTION("""COMPUTED_VALUE"""),"#N/A")</f>
        <v>#N/A</v>
      </c>
      <c r="W4754" s="1" t="str">
        <f>IFERROR(__xludf.DUMMYFUNCTION("""COMPUTED_VALUE"""),"#N/A")</f>
        <v>#N/A</v>
      </c>
    </row>
    <row r="4755">
      <c r="O4755" s="1" t="str">
        <f>IFERROR(__xludf.DUMMYFUNCTION("""COMPUTED_VALUE"""),"#VALUE!")</f>
        <v>#VALUE!</v>
      </c>
      <c r="P4755" s="1" t="str">
        <f>IFERROR(__xludf.DUMMYFUNCTION("""COMPUTED_VALUE"""),"#N/A")</f>
        <v>#N/A</v>
      </c>
      <c r="Q4755" s="1"/>
      <c r="R4755" s="1"/>
      <c r="S4755" s="1"/>
      <c r="T4755" s="1"/>
      <c r="U4755" s="2">
        <f>IFERROR(__xludf.DUMMYFUNCTION("""COMPUTED_VALUE"""),0.0)</f>
        <v>0</v>
      </c>
      <c r="V4755" s="1" t="str">
        <f>IFERROR(__xludf.DUMMYFUNCTION("""COMPUTED_VALUE"""),"#N/A")</f>
        <v>#N/A</v>
      </c>
      <c r="W4755" s="1" t="str">
        <f>IFERROR(__xludf.DUMMYFUNCTION("""COMPUTED_VALUE"""),"#N/A")</f>
        <v>#N/A</v>
      </c>
    </row>
    <row r="4756">
      <c r="O4756" s="1" t="str">
        <f>IFERROR(__xludf.DUMMYFUNCTION("""COMPUTED_VALUE"""),"#VALUE!")</f>
        <v>#VALUE!</v>
      </c>
      <c r="P4756" s="1" t="str">
        <f>IFERROR(__xludf.DUMMYFUNCTION("""COMPUTED_VALUE"""),"#N/A")</f>
        <v>#N/A</v>
      </c>
      <c r="Q4756" s="1"/>
      <c r="R4756" s="1"/>
      <c r="S4756" s="1"/>
      <c r="T4756" s="1"/>
      <c r="U4756" s="2">
        <f>IFERROR(__xludf.DUMMYFUNCTION("""COMPUTED_VALUE"""),0.0)</f>
        <v>0</v>
      </c>
      <c r="V4756" s="1" t="str">
        <f>IFERROR(__xludf.DUMMYFUNCTION("""COMPUTED_VALUE"""),"#N/A")</f>
        <v>#N/A</v>
      </c>
      <c r="W4756" s="1" t="str">
        <f>IFERROR(__xludf.DUMMYFUNCTION("""COMPUTED_VALUE"""),"#N/A")</f>
        <v>#N/A</v>
      </c>
    </row>
    <row r="4757">
      <c r="O4757" s="1" t="str">
        <f>IFERROR(__xludf.DUMMYFUNCTION("""COMPUTED_VALUE"""),"#VALUE!")</f>
        <v>#VALUE!</v>
      </c>
      <c r="P4757" s="1" t="str">
        <f>IFERROR(__xludf.DUMMYFUNCTION("""COMPUTED_VALUE"""),"#N/A")</f>
        <v>#N/A</v>
      </c>
      <c r="Q4757" s="1"/>
      <c r="R4757" s="1"/>
      <c r="S4757" s="1"/>
      <c r="T4757" s="1"/>
      <c r="U4757" s="2">
        <f>IFERROR(__xludf.DUMMYFUNCTION("""COMPUTED_VALUE"""),0.0)</f>
        <v>0</v>
      </c>
      <c r="V4757" s="1" t="str">
        <f>IFERROR(__xludf.DUMMYFUNCTION("""COMPUTED_VALUE"""),"#N/A")</f>
        <v>#N/A</v>
      </c>
      <c r="W4757" s="1" t="str">
        <f>IFERROR(__xludf.DUMMYFUNCTION("""COMPUTED_VALUE"""),"#N/A")</f>
        <v>#N/A</v>
      </c>
    </row>
    <row r="4758">
      <c r="O4758" s="1" t="str">
        <f>IFERROR(__xludf.DUMMYFUNCTION("""COMPUTED_VALUE"""),"#VALUE!")</f>
        <v>#VALUE!</v>
      </c>
      <c r="P4758" s="1" t="str">
        <f>IFERROR(__xludf.DUMMYFUNCTION("""COMPUTED_VALUE"""),"#N/A")</f>
        <v>#N/A</v>
      </c>
      <c r="Q4758" s="1"/>
      <c r="R4758" s="1"/>
      <c r="S4758" s="1"/>
      <c r="T4758" s="1"/>
      <c r="U4758" s="2">
        <f>IFERROR(__xludf.DUMMYFUNCTION("""COMPUTED_VALUE"""),0.0)</f>
        <v>0</v>
      </c>
      <c r="V4758" s="1" t="str">
        <f>IFERROR(__xludf.DUMMYFUNCTION("""COMPUTED_VALUE"""),"#N/A")</f>
        <v>#N/A</v>
      </c>
      <c r="W4758" s="1" t="str">
        <f>IFERROR(__xludf.DUMMYFUNCTION("""COMPUTED_VALUE"""),"#N/A")</f>
        <v>#N/A</v>
      </c>
    </row>
    <row r="4759">
      <c r="O4759" s="1" t="str">
        <f>IFERROR(__xludf.DUMMYFUNCTION("""COMPUTED_VALUE"""),"#VALUE!")</f>
        <v>#VALUE!</v>
      </c>
      <c r="P4759" s="1" t="str">
        <f>IFERROR(__xludf.DUMMYFUNCTION("""COMPUTED_VALUE"""),"#N/A")</f>
        <v>#N/A</v>
      </c>
      <c r="Q4759" s="1"/>
      <c r="R4759" s="1"/>
      <c r="S4759" s="1"/>
      <c r="T4759" s="1"/>
      <c r="U4759" s="2">
        <f>IFERROR(__xludf.DUMMYFUNCTION("""COMPUTED_VALUE"""),0.0)</f>
        <v>0</v>
      </c>
      <c r="V4759" s="1" t="str">
        <f>IFERROR(__xludf.DUMMYFUNCTION("""COMPUTED_VALUE"""),"#N/A")</f>
        <v>#N/A</v>
      </c>
      <c r="W4759" s="1" t="str">
        <f>IFERROR(__xludf.DUMMYFUNCTION("""COMPUTED_VALUE"""),"#N/A")</f>
        <v>#N/A</v>
      </c>
    </row>
    <row r="4760">
      <c r="O4760" s="1" t="str">
        <f>IFERROR(__xludf.DUMMYFUNCTION("""COMPUTED_VALUE"""),"#VALUE!")</f>
        <v>#VALUE!</v>
      </c>
      <c r="P4760" s="1" t="str">
        <f>IFERROR(__xludf.DUMMYFUNCTION("""COMPUTED_VALUE"""),"#N/A")</f>
        <v>#N/A</v>
      </c>
      <c r="Q4760" s="1"/>
      <c r="R4760" s="1"/>
      <c r="S4760" s="1"/>
      <c r="T4760" s="1"/>
      <c r="U4760" s="2">
        <f>IFERROR(__xludf.DUMMYFUNCTION("""COMPUTED_VALUE"""),0.0)</f>
        <v>0</v>
      </c>
      <c r="V4760" s="1" t="str">
        <f>IFERROR(__xludf.DUMMYFUNCTION("""COMPUTED_VALUE"""),"#N/A")</f>
        <v>#N/A</v>
      </c>
      <c r="W4760" s="1" t="str">
        <f>IFERROR(__xludf.DUMMYFUNCTION("""COMPUTED_VALUE"""),"#N/A")</f>
        <v>#N/A</v>
      </c>
    </row>
    <row r="4761">
      <c r="O4761" s="1" t="str">
        <f>IFERROR(__xludf.DUMMYFUNCTION("""COMPUTED_VALUE"""),"#VALUE!")</f>
        <v>#VALUE!</v>
      </c>
      <c r="P4761" s="1" t="str">
        <f>IFERROR(__xludf.DUMMYFUNCTION("""COMPUTED_VALUE"""),"#N/A")</f>
        <v>#N/A</v>
      </c>
      <c r="Q4761" s="1"/>
      <c r="R4761" s="1"/>
      <c r="S4761" s="1"/>
      <c r="T4761" s="1"/>
      <c r="U4761" s="2">
        <f>IFERROR(__xludf.DUMMYFUNCTION("""COMPUTED_VALUE"""),0.0)</f>
        <v>0</v>
      </c>
      <c r="V4761" s="1" t="str">
        <f>IFERROR(__xludf.DUMMYFUNCTION("""COMPUTED_VALUE"""),"#N/A")</f>
        <v>#N/A</v>
      </c>
      <c r="W4761" s="1" t="str">
        <f>IFERROR(__xludf.DUMMYFUNCTION("""COMPUTED_VALUE"""),"#N/A")</f>
        <v>#N/A</v>
      </c>
    </row>
    <row r="4762">
      <c r="O4762" s="1" t="str">
        <f>IFERROR(__xludf.DUMMYFUNCTION("""COMPUTED_VALUE"""),"#VALUE!")</f>
        <v>#VALUE!</v>
      </c>
      <c r="P4762" s="1" t="str">
        <f>IFERROR(__xludf.DUMMYFUNCTION("""COMPUTED_VALUE"""),"#N/A")</f>
        <v>#N/A</v>
      </c>
      <c r="Q4762" s="1"/>
      <c r="R4762" s="1"/>
      <c r="S4762" s="1"/>
      <c r="T4762" s="1"/>
      <c r="U4762" s="2">
        <f>IFERROR(__xludf.DUMMYFUNCTION("""COMPUTED_VALUE"""),0.0)</f>
        <v>0</v>
      </c>
      <c r="V4762" s="1" t="str">
        <f>IFERROR(__xludf.DUMMYFUNCTION("""COMPUTED_VALUE"""),"#N/A")</f>
        <v>#N/A</v>
      </c>
      <c r="W4762" s="1" t="str">
        <f>IFERROR(__xludf.DUMMYFUNCTION("""COMPUTED_VALUE"""),"#N/A")</f>
        <v>#N/A</v>
      </c>
    </row>
    <row r="4763">
      <c r="O4763" s="1" t="str">
        <f>IFERROR(__xludf.DUMMYFUNCTION("""COMPUTED_VALUE"""),"#VALUE!")</f>
        <v>#VALUE!</v>
      </c>
      <c r="P4763" s="1" t="str">
        <f>IFERROR(__xludf.DUMMYFUNCTION("""COMPUTED_VALUE"""),"#N/A")</f>
        <v>#N/A</v>
      </c>
      <c r="Q4763" s="1"/>
      <c r="R4763" s="1"/>
      <c r="S4763" s="1"/>
      <c r="T4763" s="1"/>
      <c r="U4763" s="2">
        <f>IFERROR(__xludf.DUMMYFUNCTION("""COMPUTED_VALUE"""),0.0)</f>
        <v>0</v>
      </c>
      <c r="V4763" s="1" t="str">
        <f>IFERROR(__xludf.DUMMYFUNCTION("""COMPUTED_VALUE"""),"#N/A")</f>
        <v>#N/A</v>
      </c>
      <c r="W4763" s="1" t="str">
        <f>IFERROR(__xludf.DUMMYFUNCTION("""COMPUTED_VALUE"""),"#N/A")</f>
        <v>#N/A</v>
      </c>
    </row>
    <row r="4764">
      <c r="O4764" s="1" t="str">
        <f>IFERROR(__xludf.DUMMYFUNCTION("""COMPUTED_VALUE"""),"#VALUE!")</f>
        <v>#VALUE!</v>
      </c>
      <c r="P4764" s="1" t="str">
        <f>IFERROR(__xludf.DUMMYFUNCTION("""COMPUTED_VALUE"""),"#N/A")</f>
        <v>#N/A</v>
      </c>
      <c r="Q4764" s="1"/>
      <c r="R4764" s="1"/>
      <c r="S4764" s="1"/>
      <c r="T4764" s="1"/>
      <c r="U4764" s="2">
        <f>IFERROR(__xludf.DUMMYFUNCTION("""COMPUTED_VALUE"""),0.0)</f>
        <v>0</v>
      </c>
      <c r="V4764" s="1" t="str">
        <f>IFERROR(__xludf.DUMMYFUNCTION("""COMPUTED_VALUE"""),"#N/A")</f>
        <v>#N/A</v>
      </c>
      <c r="W4764" s="1" t="str">
        <f>IFERROR(__xludf.DUMMYFUNCTION("""COMPUTED_VALUE"""),"#N/A")</f>
        <v>#N/A</v>
      </c>
    </row>
    <row r="4765">
      <c r="O4765" s="1" t="str">
        <f>IFERROR(__xludf.DUMMYFUNCTION("""COMPUTED_VALUE"""),"#VALUE!")</f>
        <v>#VALUE!</v>
      </c>
      <c r="P4765" s="1" t="str">
        <f>IFERROR(__xludf.DUMMYFUNCTION("""COMPUTED_VALUE"""),"#N/A")</f>
        <v>#N/A</v>
      </c>
      <c r="Q4765" s="1"/>
      <c r="R4765" s="1"/>
      <c r="S4765" s="1"/>
      <c r="T4765" s="1"/>
      <c r="U4765" s="2">
        <f>IFERROR(__xludf.DUMMYFUNCTION("""COMPUTED_VALUE"""),0.0)</f>
        <v>0</v>
      </c>
      <c r="V4765" s="1" t="str">
        <f>IFERROR(__xludf.DUMMYFUNCTION("""COMPUTED_VALUE"""),"#N/A")</f>
        <v>#N/A</v>
      </c>
      <c r="W4765" s="1" t="str">
        <f>IFERROR(__xludf.DUMMYFUNCTION("""COMPUTED_VALUE"""),"#N/A")</f>
        <v>#N/A</v>
      </c>
    </row>
    <row r="4766">
      <c r="O4766" s="1" t="str">
        <f>IFERROR(__xludf.DUMMYFUNCTION("""COMPUTED_VALUE"""),"#VALUE!")</f>
        <v>#VALUE!</v>
      </c>
      <c r="P4766" s="1" t="str">
        <f>IFERROR(__xludf.DUMMYFUNCTION("""COMPUTED_VALUE"""),"#N/A")</f>
        <v>#N/A</v>
      </c>
      <c r="Q4766" s="1"/>
      <c r="R4766" s="1"/>
      <c r="S4766" s="1"/>
      <c r="T4766" s="1"/>
      <c r="U4766" s="2">
        <f>IFERROR(__xludf.DUMMYFUNCTION("""COMPUTED_VALUE"""),0.0)</f>
        <v>0</v>
      </c>
      <c r="V4766" s="1" t="str">
        <f>IFERROR(__xludf.DUMMYFUNCTION("""COMPUTED_VALUE"""),"#N/A")</f>
        <v>#N/A</v>
      </c>
      <c r="W4766" s="1" t="str">
        <f>IFERROR(__xludf.DUMMYFUNCTION("""COMPUTED_VALUE"""),"#N/A")</f>
        <v>#N/A</v>
      </c>
    </row>
    <row r="4767">
      <c r="O4767" s="1" t="str">
        <f>IFERROR(__xludf.DUMMYFUNCTION("""COMPUTED_VALUE"""),"#VALUE!")</f>
        <v>#VALUE!</v>
      </c>
      <c r="P4767" s="1" t="str">
        <f>IFERROR(__xludf.DUMMYFUNCTION("""COMPUTED_VALUE"""),"#N/A")</f>
        <v>#N/A</v>
      </c>
      <c r="Q4767" s="1"/>
      <c r="R4767" s="1"/>
      <c r="S4767" s="1"/>
      <c r="T4767" s="1"/>
      <c r="U4767" s="2">
        <f>IFERROR(__xludf.DUMMYFUNCTION("""COMPUTED_VALUE"""),0.0)</f>
        <v>0</v>
      </c>
      <c r="V4767" s="1" t="str">
        <f>IFERROR(__xludf.DUMMYFUNCTION("""COMPUTED_VALUE"""),"#N/A")</f>
        <v>#N/A</v>
      </c>
      <c r="W4767" s="1" t="str">
        <f>IFERROR(__xludf.DUMMYFUNCTION("""COMPUTED_VALUE"""),"#N/A")</f>
        <v>#N/A</v>
      </c>
    </row>
    <row r="4768">
      <c r="O4768" s="1" t="str">
        <f>IFERROR(__xludf.DUMMYFUNCTION("""COMPUTED_VALUE"""),"#VALUE!")</f>
        <v>#VALUE!</v>
      </c>
      <c r="P4768" s="1" t="str">
        <f>IFERROR(__xludf.DUMMYFUNCTION("""COMPUTED_VALUE"""),"#N/A")</f>
        <v>#N/A</v>
      </c>
      <c r="Q4768" s="1"/>
      <c r="R4768" s="1"/>
      <c r="S4768" s="1"/>
      <c r="T4768" s="1"/>
      <c r="U4768" s="2">
        <f>IFERROR(__xludf.DUMMYFUNCTION("""COMPUTED_VALUE"""),0.0)</f>
        <v>0</v>
      </c>
      <c r="V4768" s="1" t="str">
        <f>IFERROR(__xludf.DUMMYFUNCTION("""COMPUTED_VALUE"""),"#N/A")</f>
        <v>#N/A</v>
      </c>
      <c r="W4768" s="1" t="str">
        <f>IFERROR(__xludf.DUMMYFUNCTION("""COMPUTED_VALUE"""),"#N/A")</f>
        <v>#N/A</v>
      </c>
    </row>
    <row r="4769">
      <c r="O4769" s="1" t="str">
        <f>IFERROR(__xludf.DUMMYFUNCTION("""COMPUTED_VALUE"""),"#VALUE!")</f>
        <v>#VALUE!</v>
      </c>
      <c r="P4769" s="1" t="str">
        <f>IFERROR(__xludf.DUMMYFUNCTION("""COMPUTED_VALUE"""),"#N/A")</f>
        <v>#N/A</v>
      </c>
      <c r="Q4769" s="1"/>
      <c r="R4769" s="1"/>
      <c r="S4769" s="1"/>
      <c r="T4769" s="1"/>
      <c r="U4769" s="2">
        <f>IFERROR(__xludf.DUMMYFUNCTION("""COMPUTED_VALUE"""),0.0)</f>
        <v>0</v>
      </c>
      <c r="V4769" s="1" t="str">
        <f>IFERROR(__xludf.DUMMYFUNCTION("""COMPUTED_VALUE"""),"#N/A")</f>
        <v>#N/A</v>
      </c>
      <c r="W4769" s="1" t="str">
        <f>IFERROR(__xludf.DUMMYFUNCTION("""COMPUTED_VALUE"""),"#N/A")</f>
        <v>#N/A</v>
      </c>
    </row>
    <row r="4770">
      <c r="O4770" s="1" t="str">
        <f>IFERROR(__xludf.DUMMYFUNCTION("""COMPUTED_VALUE"""),"#VALUE!")</f>
        <v>#VALUE!</v>
      </c>
      <c r="P4770" s="1" t="str">
        <f>IFERROR(__xludf.DUMMYFUNCTION("""COMPUTED_VALUE"""),"#N/A")</f>
        <v>#N/A</v>
      </c>
      <c r="Q4770" s="1"/>
      <c r="R4770" s="1"/>
      <c r="S4770" s="1"/>
      <c r="T4770" s="1"/>
      <c r="U4770" s="2">
        <f>IFERROR(__xludf.DUMMYFUNCTION("""COMPUTED_VALUE"""),0.0)</f>
        <v>0</v>
      </c>
      <c r="V4770" s="1" t="str">
        <f>IFERROR(__xludf.DUMMYFUNCTION("""COMPUTED_VALUE"""),"#N/A")</f>
        <v>#N/A</v>
      </c>
      <c r="W4770" s="1" t="str">
        <f>IFERROR(__xludf.DUMMYFUNCTION("""COMPUTED_VALUE"""),"#N/A")</f>
        <v>#N/A</v>
      </c>
    </row>
    <row r="4771">
      <c r="O4771" s="1" t="str">
        <f>IFERROR(__xludf.DUMMYFUNCTION("""COMPUTED_VALUE"""),"#VALUE!")</f>
        <v>#VALUE!</v>
      </c>
      <c r="P4771" s="1" t="str">
        <f>IFERROR(__xludf.DUMMYFUNCTION("""COMPUTED_VALUE"""),"#N/A")</f>
        <v>#N/A</v>
      </c>
      <c r="Q4771" s="1"/>
      <c r="R4771" s="1"/>
      <c r="S4771" s="1"/>
      <c r="T4771" s="1"/>
      <c r="U4771" s="2">
        <f>IFERROR(__xludf.DUMMYFUNCTION("""COMPUTED_VALUE"""),0.0)</f>
        <v>0</v>
      </c>
      <c r="V4771" s="1" t="str">
        <f>IFERROR(__xludf.DUMMYFUNCTION("""COMPUTED_VALUE"""),"#N/A")</f>
        <v>#N/A</v>
      </c>
      <c r="W4771" s="1" t="str">
        <f>IFERROR(__xludf.DUMMYFUNCTION("""COMPUTED_VALUE"""),"#N/A")</f>
        <v>#N/A</v>
      </c>
    </row>
    <row r="4772">
      <c r="O4772" s="1" t="str">
        <f>IFERROR(__xludf.DUMMYFUNCTION("""COMPUTED_VALUE"""),"#VALUE!")</f>
        <v>#VALUE!</v>
      </c>
      <c r="P4772" s="1" t="str">
        <f>IFERROR(__xludf.DUMMYFUNCTION("""COMPUTED_VALUE"""),"#N/A")</f>
        <v>#N/A</v>
      </c>
      <c r="Q4772" s="1"/>
      <c r="R4772" s="1"/>
      <c r="S4772" s="1"/>
      <c r="T4772" s="1"/>
      <c r="U4772" s="2">
        <f>IFERROR(__xludf.DUMMYFUNCTION("""COMPUTED_VALUE"""),0.0)</f>
        <v>0</v>
      </c>
      <c r="V4772" s="1" t="str">
        <f>IFERROR(__xludf.DUMMYFUNCTION("""COMPUTED_VALUE"""),"#N/A")</f>
        <v>#N/A</v>
      </c>
      <c r="W4772" s="1" t="str">
        <f>IFERROR(__xludf.DUMMYFUNCTION("""COMPUTED_VALUE"""),"#N/A")</f>
        <v>#N/A</v>
      </c>
    </row>
    <row r="4773">
      <c r="O4773" s="1" t="str">
        <f>IFERROR(__xludf.DUMMYFUNCTION("""COMPUTED_VALUE"""),"#VALUE!")</f>
        <v>#VALUE!</v>
      </c>
      <c r="P4773" s="1" t="str">
        <f>IFERROR(__xludf.DUMMYFUNCTION("""COMPUTED_VALUE"""),"#N/A")</f>
        <v>#N/A</v>
      </c>
      <c r="Q4773" s="1"/>
      <c r="R4773" s="1"/>
      <c r="S4773" s="1"/>
      <c r="T4773" s="1"/>
      <c r="U4773" s="2">
        <f>IFERROR(__xludf.DUMMYFUNCTION("""COMPUTED_VALUE"""),0.0)</f>
        <v>0</v>
      </c>
      <c r="V4773" s="1" t="str">
        <f>IFERROR(__xludf.DUMMYFUNCTION("""COMPUTED_VALUE"""),"#N/A")</f>
        <v>#N/A</v>
      </c>
      <c r="W4773" s="1" t="str">
        <f>IFERROR(__xludf.DUMMYFUNCTION("""COMPUTED_VALUE"""),"#N/A")</f>
        <v>#N/A</v>
      </c>
    </row>
    <row r="4774">
      <c r="O4774" s="1" t="str">
        <f>IFERROR(__xludf.DUMMYFUNCTION("""COMPUTED_VALUE"""),"#VALUE!")</f>
        <v>#VALUE!</v>
      </c>
      <c r="P4774" s="1" t="str">
        <f>IFERROR(__xludf.DUMMYFUNCTION("""COMPUTED_VALUE"""),"#N/A")</f>
        <v>#N/A</v>
      </c>
      <c r="Q4774" s="1"/>
      <c r="R4774" s="1"/>
      <c r="S4774" s="1"/>
      <c r="T4774" s="1"/>
      <c r="U4774" s="2">
        <f>IFERROR(__xludf.DUMMYFUNCTION("""COMPUTED_VALUE"""),0.0)</f>
        <v>0</v>
      </c>
      <c r="V4774" s="1" t="str">
        <f>IFERROR(__xludf.DUMMYFUNCTION("""COMPUTED_VALUE"""),"#N/A")</f>
        <v>#N/A</v>
      </c>
      <c r="W4774" s="1" t="str">
        <f>IFERROR(__xludf.DUMMYFUNCTION("""COMPUTED_VALUE"""),"#N/A")</f>
        <v>#N/A</v>
      </c>
    </row>
    <row r="4775">
      <c r="O4775" s="1" t="str">
        <f>IFERROR(__xludf.DUMMYFUNCTION("""COMPUTED_VALUE"""),"#VALUE!")</f>
        <v>#VALUE!</v>
      </c>
      <c r="P4775" s="1" t="str">
        <f>IFERROR(__xludf.DUMMYFUNCTION("""COMPUTED_VALUE"""),"#N/A")</f>
        <v>#N/A</v>
      </c>
      <c r="Q4775" s="1"/>
      <c r="R4775" s="1"/>
      <c r="S4775" s="1"/>
      <c r="T4775" s="1"/>
      <c r="U4775" s="2">
        <f>IFERROR(__xludf.DUMMYFUNCTION("""COMPUTED_VALUE"""),0.0)</f>
        <v>0</v>
      </c>
      <c r="V4775" s="1" t="str">
        <f>IFERROR(__xludf.DUMMYFUNCTION("""COMPUTED_VALUE"""),"#N/A")</f>
        <v>#N/A</v>
      </c>
      <c r="W4775" s="1" t="str">
        <f>IFERROR(__xludf.DUMMYFUNCTION("""COMPUTED_VALUE"""),"#N/A")</f>
        <v>#N/A</v>
      </c>
    </row>
    <row r="4776">
      <c r="O4776" s="1" t="str">
        <f>IFERROR(__xludf.DUMMYFUNCTION("""COMPUTED_VALUE"""),"#VALUE!")</f>
        <v>#VALUE!</v>
      </c>
      <c r="P4776" s="1" t="str">
        <f>IFERROR(__xludf.DUMMYFUNCTION("""COMPUTED_VALUE"""),"#N/A")</f>
        <v>#N/A</v>
      </c>
      <c r="Q4776" s="1"/>
      <c r="R4776" s="1"/>
      <c r="S4776" s="1"/>
      <c r="T4776" s="1"/>
      <c r="U4776" s="2">
        <f>IFERROR(__xludf.DUMMYFUNCTION("""COMPUTED_VALUE"""),0.0)</f>
        <v>0</v>
      </c>
      <c r="V4776" s="1" t="str">
        <f>IFERROR(__xludf.DUMMYFUNCTION("""COMPUTED_VALUE"""),"#N/A")</f>
        <v>#N/A</v>
      </c>
      <c r="W4776" s="1" t="str">
        <f>IFERROR(__xludf.DUMMYFUNCTION("""COMPUTED_VALUE"""),"#N/A")</f>
        <v>#N/A</v>
      </c>
    </row>
    <row r="4777">
      <c r="O4777" s="1" t="str">
        <f>IFERROR(__xludf.DUMMYFUNCTION("""COMPUTED_VALUE"""),"#VALUE!")</f>
        <v>#VALUE!</v>
      </c>
      <c r="P4777" s="1" t="str">
        <f>IFERROR(__xludf.DUMMYFUNCTION("""COMPUTED_VALUE"""),"#N/A")</f>
        <v>#N/A</v>
      </c>
      <c r="Q4777" s="1"/>
      <c r="R4777" s="1"/>
      <c r="S4777" s="1"/>
      <c r="T4777" s="1"/>
      <c r="U4777" s="2">
        <f>IFERROR(__xludf.DUMMYFUNCTION("""COMPUTED_VALUE"""),0.0)</f>
        <v>0</v>
      </c>
      <c r="V4777" s="1" t="str">
        <f>IFERROR(__xludf.DUMMYFUNCTION("""COMPUTED_VALUE"""),"#N/A")</f>
        <v>#N/A</v>
      </c>
      <c r="W4777" s="1" t="str">
        <f>IFERROR(__xludf.DUMMYFUNCTION("""COMPUTED_VALUE"""),"#N/A")</f>
        <v>#N/A</v>
      </c>
    </row>
    <row r="4778">
      <c r="O4778" s="1" t="str">
        <f>IFERROR(__xludf.DUMMYFUNCTION("""COMPUTED_VALUE"""),"#VALUE!")</f>
        <v>#VALUE!</v>
      </c>
      <c r="P4778" s="1" t="str">
        <f>IFERROR(__xludf.DUMMYFUNCTION("""COMPUTED_VALUE"""),"#N/A")</f>
        <v>#N/A</v>
      </c>
      <c r="Q4778" s="1"/>
      <c r="R4778" s="1"/>
      <c r="S4778" s="1"/>
      <c r="T4778" s="1"/>
      <c r="U4778" s="2">
        <f>IFERROR(__xludf.DUMMYFUNCTION("""COMPUTED_VALUE"""),0.0)</f>
        <v>0</v>
      </c>
      <c r="V4778" s="1" t="str">
        <f>IFERROR(__xludf.DUMMYFUNCTION("""COMPUTED_VALUE"""),"#N/A")</f>
        <v>#N/A</v>
      </c>
      <c r="W4778" s="1" t="str">
        <f>IFERROR(__xludf.DUMMYFUNCTION("""COMPUTED_VALUE"""),"#N/A")</f>
        <v>#N/A</v>
      </c>
    </row>
    <row r="4779">
      <c r="O4779" s="1" t="str">
        <f>IFERROR(__xludf.DUMMYFUNCTION("""COMPUTED_VALUE"""),"#VALUE!")</f>
        <v>#VALUE!</v>
      </c>
      <c r="P4779" s="1" t="str">
        <f>IFERROR(__xludf.DUMMYFUNCTION("""COMPUTED_VALUE"""),"#N/A")</f>
        <v>#N/A</v>
      </c>
      <c r="Q4779" s="1"/>
      <c r="R4779" s="1"/>
      <c r="S4779" s="1"/>
      <c r="T4779" s="1"/>
      <c r="U4779" s="2">
        <f>IFERROR(__xludf.DUMMYFUNCTION("""COMPUTED_VALUE"""),0.0)</f>
        <v>0</v>
      </c>
      <c r="V4779" s="1" t="str">
        <f>IFERROR(__xludf.DUMMYFUNCTION("""COMPUTED_VALUE"""),"#N/A")</f>
        <v>#N/A</v>
      </c>
      <c r="W4779" s="1" t="str">
        <f>IFERROR(__xludf.DUMMYFUNCTION("""COMPUTED_VALUE"""),"#N/A")</f>
        <v>#N/A</v>
      </c>
    </row>
    <row r="4780">
      <c r="O4780" s="1" t="str">
        <f>IFERROR(__xludf.DUMMYFUNCTION("""COMPUTED_VALUE"""),"#VALUE!")</f>
        <v>#VALUE!</v>
      </c>
      <c r="P4780" s="1" t="str">
        <f>IFERROR(__xludf.DUMMYFUNCTION("""COMPUTED_VALUE"""),"#N/A")</f>
        <v>#N/A</v>
      </c>
      <c r="Q4780" s="1"/>
      <c r="R4780" s="1"/>
      <c r="S4780" s="1"/>
      <c r="T4780" s="1"/>
      <c r="U4780" s="2">
        <f>IFERROR(__xludf.DUMMYFUNCTION("""COMPUTED_VALUE"""),0.0)</f>
        <v>0</v>
      </c>
      <c r="V4780" s="1" t="str">
        <f>IFERROR(__xludf.DUMMYFUNCTION("""COMPUTED_VALUE"""),"#N/A")</f>
        <v>#N/A</v>
      </c>
      <c r="W4780" s="1" t="str">
        <f>IFERROR(__xludf.DUMMYFUNCTION("""COMPUTED_VALUE"""),"#N/A")</f>
        <v>#N/A</v>
      </c>
    </row>
    <row r="4781">
      <c r="O4781" s="1" t="str">
        <f>IFERROR(__xludf.DUMMYFUNCTION("""COMPUTED_VALUE"""),"#VALUE!")</f>
        <v>#VALUE!</v>
      </c>
      <c r="P4781" s="1" t="str">
        <f>IFERROR(__xludf.DUMMYFUNCTION("""COMPUTED_VALUE"""),"#N/A")</f>
        <v>#N/A</v>
      </c>
      <c r="Q4781" s="1"/>
      <c r="R4781" s="1"/>
      <c r="S4781" s="1"/>
      <c r="T4781" s="1"/>
      <c r="U4781" s="2">
        <f>IFERROR(__xludf.DUMMYFUNCTION("""COMPUTED_VALUE"""),0.0)</f>
        <v>0</v>
      </c>
      <c r="V4781" s="1" t="str">
        <f>IFERROR(__xludf.DUMMYFUNCTION("""COMPUTED_VALUE"""),"#N/A")</f>
        <v>#N/A</v>
      </c>
      <c r="W4781" s="1" t="str">
        <f>IFERROR(__xludf.DUMMYFUNCTION("""COMPUTED_VALUE"""),"#N/A")</f>
        <v>#N/A</v>
      </c>
    </row>
    <row r="4782">
      <c r="O4782" s="1" t="str">
        <f>IFERROR(__xludf.DUMMYFUNCTION("""COMPUTED_VALUE"""),"#VALUE!")</f>
        <v>#VALUE!</v>
      </c>
      <c r="P4782" s="1" t="str">
        <f>IFERROR(__xludf.DUMMYFUNCTION("""COMPUTED_VALUE"""),"#N/A")</f>
        <v>#N/A</v>
      </c>
      <c r="Q4782" s="1"/>
      <c r="R4782" s="1"/>
      <c r="S4782" s="1"/>
      <c r="T4782" s="1"/>
      <c r="U4782" s="2">
        <f>IFERROR(__xludf.DUMMYFUNCTION("""COMPUTED_VALUE"""),0.0)</f>
        <v>0</v>
      </c>
      <c r="V4782" s="1" t="str">
        <f>IFERROR(__xludf.DUMMYFUNCTION("""COMPUTED_VALUE"""),"#N/A")</f>
        <v>#N/A</v>
      </c>
      <c r="W4782" s="1" t="str">
        <f>IFERROR(__xludf.DUMMYFUNCTION("""COMPUTED_VALUE"""),"#N/A")</f>
        <v>#N/A</v>
      </c>
    </row>
    <row r="4783">
      <c r="O4783" s="1" t="str">
        <f>IFERROR(__xludf.DUMMYFUNCTION("""COMPUTED_VALUE"""),"#VALUE!")</f>
        <v>#VALUE!</v>
      </c>
      <c r="P4783" s="1" t="str">
        <f>IFERROR(__xludf.DUMMYFUNCTION("""COMPUTED_VALUE"""),"#N/A")</f>
        <v>#N/A</v>
      </c>
      <c r="Q4783" s="1"/>
      <c r="R4783" s="1"/>
      <c r="S4783" s="1"/>
      <c r="T4783" s="1"/>
      <c r="U4783" s="2">
        <f>IFERROR(__xludf.DUMMYFUNCTION("""COMPUTED_VALUE"""),0.0)</f>
        <v>0</v>
      </c>
      <c r="V4783" s="1" t="str">
        <f>IFERROR(__xludf.DUMMYFUNCTION("""COMPUTED_VALUE"""),"#N/A")</f>
        <v>#N/A</v>
      </c>
      <c r="W4783" s="1" t="str">
        <f>IFERROR(__xludf.DUMMYFUNCTION("""COMPUTED_VALUE"""),"#N/A")</f>
        <v>#N/A</v>
      </c>
    </row>
    <row r="4784">
      <c r="O4784" s="1" t="str">
        <f>IFERROR(__xludf.DUMMYFUNCTION("""COMPUTED_VALUE"""),"#VALUE!")</f>
        <v>#VALUE!</v>
      </c>
      <c r="P4784" s="1" t="str">
        <f>IFERROR(__xludf.DUMMYFUNCTION("""COMPUTED_VALUE"""),"#N/A")</f>
        <v>#N/A</v>
      </c>
      <c r="Q4784" s="1"/>
      <c r="R4784" s="1"/>
      <c r="S4784" s="1"/>
      <c r="T4784" s="1"/>
      <c r="U4784" s="2">
        <f>IFERROR(__xludf.DUMMYFUNCTION("""COMPUTED_VALUE"""),0.0)</f>
        <v>0</v>
      </c>
      <c r="V4784" s="1" t="str">
        <f>IFERROR(__xludf.DUMMYFUNCTION("""COMPUTED_VALUE"""),"#N/A")</f>
        <v>#N/A</v>
      </c>
      <c r="W4784" s="1" t="str">
        <f>IFERROR(__xludf.DUMMYFUNCTION("""COMPUTED_VALUE"""),"#N/A")</f>
        <v>#N/A</v>
      </c>
    </row>
    <row r="4785">
      <c r="O4785" s="1" t="str">
        <f>IFERROR(__xludf.DUMMYFUNCTION("""COMPUTED_VALUE"""),"#VALUE!")</f>
        <v>#VALUE!</v>
      </c>
      <c r="P4785" s="1" t="str">
        <f>IFERROR(__xludf.DUMMYFUNCTION("""COMPUTED_VALUE"""),"#N/A")</f>
        <v>#N/A</v>
      </c>
      <c r="Q4785" s="1"/>
      <c r="R4785" s="1"/>
      <c r="S4785" s="1"/>
      <c r="T4785" s="1"/>
      <c r="U4785" s="2">
        <f>IFERROR(__xludf.DUMMYFUNCTION("""COMPUTED_VALUE"""),0.0)</f>
        <v>0</v>
      </c>
      <c r="V4785" s="1" t="str">
        <f>IFERROR(__xludf.DUMMYFUNCTION("""COMPUTED_VALUE"""),"#N/A")</f>
        <v>#N/A</v>
      </c>
      <c r="W4785" s="1" t="str">
        <f>IFERROR(__xludf.DUMMYFUNCTION("""COMPUTED_VALUE"""),"#N/A")</f>
        <v>#N/A</v>
      </c>
    </row>
    <row r="4786">
      <c r="O4786" s="1" t="str">
        <f>IFERROR(__xludf.DUMMYFUNCTION("""COMPUTED_VALUE"""),"#VALUE!")</f>
        <v>#VALUE!</v>
      </c>
      <c r="P4786" s="1" t="str">
        <f>IFERROR(__xludf.DUMMYFUNCTION("""COMPUTED_VALUE"""),"#N/A")</f>
        <v>#N/A</v>
      </c>
      <c r="Q4786" s="1"/>
      <c r="R4786" s="1"/>
      <c r="S4786" s="1"/>
      <c r="T4786" s="1"/>
      <c r="U4786" s="2">
        <f>IFERROR(__xludf.DUMMYFUNCTION("""COMPUTED_VALUE"""),0.0)</f>
        <v>0</v>
      </c>
      <c r="V4786" s="1" t="str">
        <f>IFERROR(__xludf.DUMMYFUNCTION("""COMPUTED_VALUE"""),"#N/A")</f>
        <v>#N/A</v>
      </c>
      <c r="W4786" s="1" t="str">
        <f>IFERROR(__xludf.DUMMYFUNCTION("""COMPUTED_VALUE"""),"#N/A")</f>
        <v>#N/A</v>
      </c>
    </row>
    <row r="4787">
      <c r="O4787" s="1" t="str">
        <f>IFERROR(__xludf.DUMMYFUNCTION("""COMPUTED_VALUE"""),"#VALUE!")</f>
        <v>#VALUE!</v>
      </c>
      <c r="P4787" s="1" t="str">
        <f>IFERROR(__xludf.DUMMYFUNCTION("""COMPUTED_VALUE"""),"#N/A")</f>
        <v>#N/A</v>
      </c>
      <c r="Q4787" s="1"/>
      <c r="R4787" s="1"/>
      <c r="S4787" s="1"/>
      <c r="T4787" s="1"/>
      <c r="U4787" s="2">
        <f>IFERROR(__xludf.DUMMYFUNCTION("""COMPUTED_VALUE"""),0.0)</f>
        <v>0</v>
      </c>
      <c r="V4787" s="1" t="str">
        <f>IFERROR(__xludf.DUMMYFUNCTION("""COMPUTED_VALUE"""),"#N/A")</f>
        <v>#N/A</v>
      </c>
      <c r="W4787" s="1" t="str">
        <f>IFERROR(__xludf.DUMMYFUNCTION("""COMPUTED_VALUE"""),"#N/A")</f>
        <v>#N/A</v>
      </c>
    </row>
    <row r="4788">
      <c r="O4788" s="1" t="str">
        <f>IFERROR(__xludf.DUMMYFUNCTION("""COMPUTED_VALUE"""),"#VALUE!")</f>
        <v>#VALUE!</v>
      </c>
      <c r="P4788" s="1" t="str">
        <f>IFERROR(__xludf.DUMMYFUNCTION("""COMPUTED_VALUE"""),"#N/A")</f>
        <v>#N/A</v>
      </c>
      <c r="Q4788" s="1"/>
      <c r="R4788" s="1"/>
      <c r="S4788" s="1"/>
      <c r="T4788" s="1"/>
      <c r="U4788" s="2">
        <f>IFERROR(__xludf.DUMMYFUNCTION("""COMPUTED_VALUE"""),0.0)</f>
        <v>0</v>
      </c>
      <c r="V4788" s="1" t="str">
        <f>IFERROR(__xludf.DUMMYFUNCTION("""COMPUTED_VALUE"""),"#N/A")</f>
        <v>#N/A</v>
      </c>
      <c r="W4788" s="1" t="str">
        <f>IFERROR(__xludf.DUMMYFUNCTION("""COMPUTED_VALUE"""),"#N/A")</f>
        <v>#N/A</v>
      </c>
    </row>
    <row r="4789">
      <c r="O4789" s="1" t="str">
        <f>IFERROR(__xludf.DUMMYFUNCTION("""COMPUTED_VALUE"""),"#VALUE!")</f>
        <v>#VALUE!</v>
      </c>
      <c r="P4789" s="1" t="str">
        <f>IFERROR(__xludf.DUMMYFUNCTION("""COMPUTED_VALUE"""),"#N/A")</f>
        <v>#N/A</v>
      </c>
      <c r="Q4789" s="1"/>
      <c r="R4789" s="1"/>
      <c r="S4789" s="1"/>
      <c r="T4789" s="1"/>
      <c r="U4789" s="2">
        <f>IFERROR(__xludf.DUMMYFUNCTION("""COMPUTED_VALUE"""),0.0)</f>
        <v>0</v>
      </c>
      <c r="V4789" s="1" t="str">
        <f>IFERROR(__xludf.DUMMYFUNCTION("""COMPUTED_VALUE"""),"#N/A")</f>
        <v>#N/A</v>
      </c>
      <c r="W4789" s="1" t="str">
        <f>IFERROR(__xludf.DUMMYFUNCTION("""COMPUTED_VALUE"""),"#N/A")</f>
        <v>#N/A</v>
      </c>
    </row>
    <row r="4790">
      <c r="O4790" s="1" t="str">
        <f>IFERROR(__xludf.DUMMYFUNCTION("""COMPUTED_VALUE"""),"#VALUE!")</f>
        <v>#VALUE!</v>
      </c>
      <c r="P4790" s="1" t="str">
        <f>IFERROR(__xludf.DUMMYFUNCTION("""COMPUTED_VALUE"""),"#N/A")</f>
        <v>#N/A</v>
      </c>
      <c r="Q4790" s="1"/>
      <c r="R4790" s="1"/>
      <c r="S4790" s="1"/>
      <c r="T4790" s="1"/>
      <c r="U4790" s="2">
        <f>IFERROR(__xludf.DUMMYFUNCTION("""COMPUTED_VALUE"""),0.0)</f>
        <v>0</v>
      </c>
      <c r="V4790" s="1" t="str">
        <f>IFERROR(__xludf.DUMMYFUNCTION("""COMPUTED_VALUE"""),"#N/A")</f>
        <v>#N/A</v>
      </c>
      <c r="W4790" s="1" t="str">
        <f>IFERROR(__xludf.DUMMYFUNCTION("""COMPUTED_VALUE"""),"#N/A")</f>
        <v>#N/A</v>
      </c>
    </row>
    <row r="4791">
      <c r="O4791" s="1" t="str">
        <f>IFERROR(__xludf.DUMMYFUNCTION("""COMPUTED_VALUE"""),"#VALUE!")</f>
        <v>#VALUE!</v>
      </c>
      <c r="P4791" s="1" t="str">
        <f>IFERROR(__xludf.DUMMYFUNCTION("""COMPUTED_VALUE"""),"#N/A")</f>
        <v>#N/A</v>
      </c>
      <c r="Q4791" s="1"/>
      <c r="R4791" s="1"/>
      <c r="S4791" s="1"/>
      <c r="T4791" s="1"/>
      <c r="U4791" s="2">
        <f>IFERROR(__xludf.DUMMYFUNCTION("""COMPUTED_VALUE"""),0.0)</f>
        <v>0</v>
      </c>
      <c r="V4791" s="1" t="str">
        <f>IFERROR(__xludf.DUMMYFUNCTION("""COMPUTED_VALUE"""),"#N/A")</f>
        <v>#N/A</v>
      </c>
      <c r="W4791" s="1" t="str">
        <f>IFERROR(__xludf.DUMMYFUNCTION("""COMPUTED_VALUE"""),"#N/A")</f>
        <v>#N/A</v>
      </c>
    </row>
    <row r="4792">
      <c r="O4792" s="1" t="str">
        <f>IFERROR(__xludf.DUMMYFUNCTION("""COMPUTED_VALUE"""),"#VALUE!")</f>
        <v>#VALUE!</v>
      </c>
      <c r="P4792" s="1" t="str">
        <f>IFERROR(__xludf.DUMMYFUNCTION("""COMPUTED_VALUE"""),"#N/A")</f>
        <v>#N/A</v>
      </c>
      <c r="Q4792" s="1"/>
      <c r="R4792" s="1"/>
      <c r="S4792" s="1"/>
      <c r="T4792" s="1"/>
      <c r="U4792" s="2">
        <f>IFERROR(__xludf.DUMMYFUNCTION("""COMPUTED_VALUE"""),0.0)</f>
        <v>0</v>
      </c>
      <c r="V4792" s="1" t="str">
        <f>IFERROR(__xludf.DUMMYFUNCTION("""COMPUTED_VALUE"""),"#N/A")</f>
        <v>#N/A</v>
      </c>
      <c r="W4792" s="1" t="str">
        <f>IFERROR(__xludf.DUMMYFUNCTION("""COMPUTED_VALUE"""),"#N/A")</f>
        <v>#N/A</v>
      </c>
    </row>
    <row r="4793">
      <c r="O4793" s="1" t="str">
        <f>IFERROR(__xludf.DUMMYFUNCTION("""COMPUTED_VALUE"""),"#VALUE!")</f>
        <v>#VALUE!</v>
      </c>
      <c r="P4793" s="1" t="str">
        <f>IFERROR(__xludf.DUMMYFUNCTION("""COMPUTED_VALUE"""),"#N/A")</f>
        <v>#N/A</v>
      </c>
      <c r="Q4793" s="1"/>
      <c r="R4793" s="1"/>
      <c r="S4793" s="1"/>
      <c r="T4793" s="1"/>
      <c r="U4793" s="2">
        <f>IFERROR(__xludf.DUMMYFUNCTION("""COMPUTED_VALUE"""),0.0)</f>
        <v>0</v>
      </c>
      <c r="V4793" s="1" t="str">
        <f>IFERROR(__xludf.DUMMYFUNCTION("""COMPUTED_VALUE"""),"#N/A")</f>
        <v>#N/A</v>
      </c>
      <c r="W4793" s="1" t="str">
        <f>IFERROR(__xludf.DUMMYFUNCTION("""COMPUTED_VALUE"""),"#N/A")</f>
        <v>#N/A</v>
      </c>
    </row>
    <row r="4794">
      <c r="O4794" s="1" t="str">
        <f>IFERROR(__xludf.DUMMYFUNCTION("""COMPUTED_VALUE"""),"#VALUE!")</f>
        <v>#VALUE!</v>
      </c>
      <c r="P4794" s="1" t="str">
        <f>IFERROR(__xludf.DUMMYFUNCTION("""COMPUTED_VALUE"""),"#N/A")</f>
        <v>#N/A</v>
      </c>
      <c r="Q4794" s="1"/>
      <c r="R4794" s="1"/>
      <c r="S4794" s="1"/>
      <c r="T4794" s="1"/>
      <c r="U4794" s="2">
        <f>IFERROR(__xludf.DUMMYFUNCTION("""COMPUTED_VALUE"""),0.0)</f>
        <v>0</v>
      </c>
      <c r="V4794" s="1" t="str">
        <f>IFERROR(__xludf.DUMMYFUNCTION("""COMPUTED_VALUE"""),"#N/A")</f>
        <v>#N/A</v>
      </c>
      <c r="W4794" s="1" t="str">
        <f>IFERROR(__xludf.DUMMYFUNCTION("""COMPUTED_VALUE"""),"#N/A")</f>
        <v>#N/A</v>
      </c>
    </row>
    <row r="4795">
      <c r="O4795" s="1" t="str">
        <f>IFERROR(__xludf.DUMMYFUNCTION("""COMPUTED_VALUE"""),"#VALUE!")</f>
        <v>#VALUE!</v>
      </c>
      <c r="P4795" s="1" t="str">
        <f>IFERROR(__xludf.DUMMYFUNCTION("""COMPUTED_VALUE"""),"#N/A")</f>
        <v>#N/A</v>
      </c>
      <c r="Q4795" s="1"/>
      <c r="R4795" s="1"/>
      <c r="S4795" s="1"/>
      <c r="T4795" s="1"/>
      <c r="U4795" s="2">
        <f>IFERROR(__xludf.DUMMYFUNCTION("""COMPUTED_VALUE"""),0.0)</f>
        <v>0</v>
      </c>
      <c r="V4795" s="1" t="str">
        <f>IFERROR(__xludf.DUMMYFUNCTION("""COMPUTED_VALUE"""),"#N/A")</f>
        <v>#N/A</v>
      </c>
      <c r="W4795" s="1" t="str">
        <f>IFERROR(__xludf.DUMMYFUNCTION("""COMPUTED_VALUE"""),"#N/A")</f>
        <v>#N/A</v>
      </c>
    </row>
    <row r="4796">
      <c r="O4796" s="1" t="str">
        <f>IFERROR(__xludf.DUMMYFUNCTION("""COMPUTED_VALUE"""),"#VALUE!")</f>
        <v>#VALUE!</v>
      </c>
      <c r="P4796" s="1" t="str">
        <f>IFERROR(__xludf.DUMMYFUNCTION("""COMPUTED_VALUE"""),"#N/A")</f>
        <v>#N/A</v>
      </c>
      <c r="Q4796" s="1"/>
      <c r="R4796" s="1"/>
      <c r="S4796" s="1"/>
      <c r="T4796" s="1"/>
      <c r="U4796" s="2">
        <f>IFERROR(__xludf.DUMMYFUNCTION("""COMPUTED_VALUE"""),0.0)</f>
        <v>0</v>
      </c>
      <c r="V4796" s="1" t="str">
        <f>IFERROR(__xludf.DUMMYFUNCTION("""COMPUTED_VALUE"""),"#N/A")</f>
        <v>#N/A</v>
      </c>
      <c r="W4796" s="1" t="str">
        <f>IFERROR(__xludf.DUMMYFUNCTION("""COMPUTED_VALUE"""),"#N/A")</f>
        <v>#N/A</v>
      </c>
    </row>
    <row r="4797">
      <c r="O4797" s="1" t="str">
        <f>IFERROR(__xludf.DUMMYFUNCTION("""COMPUTED_VALUE"""),"#VALUE!")</f>
        <v>#VALUE!</v>
      </c>
      <c r="P4797" s="1" t="str">
        <f>IFERROR(__xludf.DUMMYFUNCTION("""COMPUTED_VALUE"""),"#N/A")</f>
        <v>#N/A</v>
      </c>
      <c r="Q4797" s="1"/>
      <c r="R4797" s="1"/>
      <c r="S4797" s="1"/>
      <c r="T4797" s="1"/>
      <c r="U4797" s="2">
        <f>IFERROR(__xludf.DUMMYFUNCTION("""COMPUTED_VALUE"""),0.0)</f>
        <v>0</v>
      </c>
      <c r="V4797" s="1" t="str">
        <f>IFERROR(__xludf.DUMMYFUNCTION("""COMPUTED_VALUE"""),"#N/A")</f>
        <v>#N/A</v>
      </c>
      <c r="W4797" s="1" t="str">
        <f>IFERROR(__xludf.DUMMYFUNCTION("""COMPUTED_VALUE"""),"#N/A")</f>
        <v>#N/A</v>
      </c>
    </row>
    <row r="4798">
      <c r="O4798" s="1" t="str">
        <f>IFERROR(__xludf.DUMMYFUNCTION("""COMPUTED_VALUE"""),"#VALUE!")</f>
        <v>#VALUE!</v>
      </c>
      <c r="P4798" s="1" t="str">
        <f>IFERROR(__xludf.DUMMYFUNCTION("""COMPUTED_VALUE"""),"#N/A")</f>
        <v>#N/A</v>
      </c>
      <c r="Q4798" s="1"/>
      <c r="R4798" s="1"/>
      <c r="S4798" s="1"/>
      <c r="T4798" s="1"/>
      <c r="U4798" s="2">
        <f>IFERROR(__xludf.DUMMYFUNCTION("""COMPUTED_VALUE"""),0.0)</f>
        <v>0</v>
      </c>
      <c r="V4798" s="1" t="str">
        <f>IFERROR(__xludf.DUMMYFUNCTION("""COMPUTED_VALUE"""),"#N/A")</f>
        <v>#N/A</v>
      </c>
      <c r="W4798" s="1" t="str">
        <f>IFERROR(__xludf.DUMMYFUNCTION("""COMPUTED_VALUE"""),"#N/A")</f>
        <v>#N/A</v>
      </c>
    </row>
    <row r="4799">
      <c r="O4799" s="1" t="str">
        <f>IFERROR(__xludf.DUMMYFUNCTION("""COMPUTED_VALUE"""),"#VALUE!")</f>
        <v>#VALUE!</v>
      </c>
      <c r="P4799" s="1" t="str">
        <f>IFERROR(__xludf.DUMMYFUNCTION("""COMPUTED_VALUE"""),"#N/A")</f>
        <v>#N/A</v>
      </c>
      <c r="Q4799" s="1"/>
      <c r="R4799" s="1"/>
      <c r="S4799" s="1"/>
      <c r="T4799" s="1"/>
      <c r="U4799" s="2">
        <f>IFERROR(__xludf.DUMMYFUNCTION("""COMPUTED_VALUE"""),0.0)</f>
        <v>0</v>
      </c>
      <c r="V4799" s="1" t="str">
        <f>IFERROR(__xludf.DUMMYFUNCTION("""COMPUTED_VALUE"""),"#N/A")</f>
        <v>#N/A</v>
      </c>
      <c r="W4799" s="1" t="str">
        <f>IFERROR(__xludf.DUMMYFUNCTION("""COMPUTED_VALUE"""),"#N/A")</f>
        <v>#N/A</v>
      </c>
    </row>
    <row r="4800">
      <c r="O4800" s="1" t="str">
        <f>IFERROR(__xludf.DUMMYFUNCTION("""COMPUTED_VALUE"""),"#VALUE!")</f>
        <v>#VALUE!</v>
      </c>
      <c r="P4800" s="1" t="str">
        <f>IFERROR(__xludf.DUMMYFUNCTION("""COMPUTED_VALUE"""),"#N/A")</f>
        <v>#N/A</v>
      </c>
      <c r="Q4800" s="1"/>
      <c r="R4800" s="1"/>
      <c r="S4800" s="1"/>
      <c r="T4800" s="1"/>
      <c r="U4800" s="2">
        <f>IFERROR(__xludf.DUMMYFUNCTION("""COMPUTED_VALUE"""),0.0)</f>
        <v>0</v>
      </c>
      <c r="V4800" s="1" t="str">
        <f>IFERROR(__xludf.DUMMYFUNCTION("""COMPUTED_VALUE"""),"#N/A")</f>
        <v>#N/A</v>
      </c>
      <c r="W4800" s="1" t="str">
        <f>IFERROR(__xludf.DUMMYFUNCTION("""COMPUTED_VALUE"""),"#N/A")</f>
        <v>#N/A</v>
      </c>
    </row>
    <row r="4801">
      <c r="O4801" s="1" t="str">
        <f>IFERROR(__xludf.DUMMYFUNCTION("""COMPUTED_VALUE"""),"#VALUE!")</f>
        <v>#VALUE!</v>
      </c>
      <c r="P4801" s="1" t="str">
        <f>IFERROR(__xludf.DUMMYFUNCTION("""COMPUTED_VALUE"""),"#N/A")</f>
        <v>#N/A</v>
      </c>
      <c r="Q4801" s="1"/>
      <c r="R4801" s="1"/>
      <c r="S4801" s="1"/>
      <c r="T4801" s="1"/>
      <c r="U4801" s="2">
        <f>IFERROR(__xludf.DUMMYFUNCTION("""COMPUTED_VALUE"""),0.0)</f>
        <v>0</v>
      </c>
      <c r="V4801" s="1" t="str">
        <f>IFERROR(__xludf.DUMMYFUNCTION("""COMPUTED_VALUE"""),"#N/A")</f>
        <v>#N/A</v>
      </c>
      <c r="W4801" s="1" t="str">
        <f>IFERROR(__xludf.DUMMYFUNCTION("""COMPUTED_VALUE"""),"#N/A")</f>
        <v>#N/A</v>
      </c>
    </row>
    <row r="4802">
      <c r="O4802" s="1" t="str">
        <f>IFERROR(__xludf.DUMMYFUNCTION("""COMPUTED_VALUE"""),"#VALUE!")</f>
        <v>#VALUE!</v>
      </c>
      <c r="P4802" s="1" t="str">
        <f>IFERROR(__xludf.DUMMYFUNCTION("""COMPUTED_VALUE"""),"#N/A")</f>
        <v>#N/A</v>
      </c>
      <c r="Q4802" s="1"/>
      <c r="R4802" s="1"/>
      <c r="S4802" s="1"/>
      <c r="T4802" s="1"/>
      <c r="U4802" s="2">
        <f>IFERROR(__xludf.DUMMYFUNCTION("""COMPUTED_VALUE"""),0.0)</f>
        <v>0</v>
      </c>
      <c r="V4802" s="1" t="str">
        <f>IFERROR(__xludf.DUMMYFUNCTION("""COMPUTED_VALUE"""),"#N/A")</f>
        <v>#N/A</v>
      </c>
      <c r="W4802" s="1" t="str">
        <f>IFERROR(__xludf.DUMMYFUNCTION("""COMPUTED_VALUE"""),"#N/A")</f>
        <v>#N/A</v>
      </c>
    </row>
    <row r="4803">
      <c r="O4803" s="1" t="str">
        <f>IFERROR(__xludf.DUMMYFUNCTION("""COMPUTED_VALUE"""),"#VALUE!")</f>
        <v>#VALUE!</v>
      </c>
      <c r="P4803" s="1" t="str">
        <f>IFERROR(__xludf.DUMMYFUNCTION("""COMPUTED_VALUE"""),"#N/A")</f>
        <v>#N/A</v>
      </c>
      <c r="Q4803" s="1"/>
      <c r="R4803" s="1"/>
      <c r="S4803" s="1"/>
      <c r="T4803" s="1"/>
      <c r="U4803" s="2">
        <f>IFERROR(__xludf.DUMMYFUNCTION("""COMPUTED_VALUE"""),0.0)</f>
        <v>0</v>
      </c>
      <c r="V4803" s="1" t="str">
        <f>IFERROR(__xludf.DUMMYFUNCTION("""COMPUTED_VALUE"""),"#N/A")</f>
        <v>#N/A</v>
      </c>
      <c r="W4803" s="1" t="str">
        <f>IFERROR(__xludf.DUMMYFUNCTION("""COMPUTED_VALUE"""),"#N/A")</f>
        <v>#N/A</v>
      </c>
    </row>
    <row r="4804">
      <c r="O4804" s="1" t="str">
        <f>IFERROR(__xludf.DUMMYFUNCTION("""COMPUTED_VALUE"""),"#VALUE!")</f>
        <v>#VALUE!</v>
      </c>
      <c r="P4804" s="1" t="str">
        <f>IFERROR(__xludf.DUMMYFUNCTION("""COMPUTED_VALUE"""),"#N/A")</f>
        <v>#N/A</v>
      </c>
      <c r="Q4804" s="1"/>
      <c r="R4804" s="1"/>
      <c r="S4804" s="1"/>
      <c r="T4804" s="1"/>
      <c r="U4804" s="2">
        <f>IFERROR(__xludf.DUMMYFUNCTION("""COMPUTED_VALUE"""),0.0)</f>
        <v>0</v>
      </c>
      <c r="V4804" s="1" t="str">
        <f>IFERROR(__xludf.DUMMYFUNCTION("""COMPUTED_VALUE"""),"#N/A")</f>
        <v>#N/A</v>
      </c>
      <c r="W4804" s="1" t="str">
        <f>IFERROR(__xludf.DUMMYFUNCTION("""COMPUTED_VALUE"""),"#N/A")</f>
        <v>#N/A</v>
      </c>
    </row>
    <row r="4805">
      <c r="O4805" s="1" t="str">
        <f>IFERROR(__xludf.DUMMYFUNCTION("""COMPUTED_VALUE"""),"#VALUE!")</f>
        <v>#VALUE!</v>
      </c>
      <c r="P4805" s="1" t="str">
        <f>IFERROR(__xludf.DUMMYFUNCTION("""COMPUTED_VALUE"""),"#N/A")</f>
        <v>#N/A</v>
      </c>
      <c r="Q4805" s="1"/>
      <c r="R4805" s="1"/>
      <c r="S4805" s="1"/>
      <c r="T4805" s="1"/>
      <c r="U4805" s="2">
        <f>IFERROR(__xludf.DUMMYFUNCTION("""COMPUTED_VALUE"""),0.0)</f>
        <v>0</v>
      </c>
      <c r="V4805" s="1" t="str">
        <f>IFERROR(__xludf.DUMMYFUNCTION("""COMPUTED_VALUE"""),"#N/A")</f>
        <v>#N/A</v>
      </c>
      <c r="W4805" s="1" t="str">
        <f>IFERROR(__xludf.DUMMYFUNCTION("""COMPUTED_VALUE"""),"#N/A")</f>
        <v>#N/A</v>
      </c>
    </row>
    <row r="4806">
      <c r="O4806" s="1" t="str">
        <f>IFERROR(__xludf.DUMMYFUNCTION("""COMPUTED_VALUE"""),"#VALUE!")</f>
        <v>#VALUE!</v>
      </c>
      <c r="P4806" s="1" t="str">
        <f>IFERROR(__xludf.DUMMYFUNCTION("""COMPUTED_VALUE"""),"#N/A")</f>
        <v>#N/A</v>
      </c>
      <c r="Q4806" s="1"/>
      <c r="R4806" s="1"/>
      <c r="S4806" s="1"/>
      <c r="T4806" s="1"/>
      <c r="U4806" s="2">
        <f>IFERROR(__xludf.DUMMYFUNCTION("""COMPUTED_VALUE"""),0.0)</f>
        <v>0</v>
      </c>
      <c r="V4806" s="1" t="str">
        <f>IFERROR(__xludf.DUMMYFUNCTION("""COMPUTED_VALUE"""),"#N/A")</f>
        <v>#N/A</v>
      </c>
      <c r="W4806" s="1" t="str">
        <f>IFERROR(__xludf.DUMMYFUNCTION("""COMPUTED_VALUE"""),"#N/A")</f>
        <v>#N/A</v>
      </c>
    </row>
    <row r="4807">
      <c r="O4807" s="1" t="str">
        <f>IFERROR(__xludf.DUMMYFUNCTION("""COMPUTED_VALUE"""),"#VALUE!")</f>
        <v>#VALUE!</v>
      </c>
      <c r="P4807" s="1" t="str">
        <f>IFERROR(__xludf.DUMMYFUNCTION("""COMPUTED_VALUE"""),"#N/A")</f>
        <v>#N/A</v>
      </c>
      <c r="Q4807" s="1"/>
      <c r="R4807" s="1"/>
      <c r="S4807" s="1"/>
      <c r="T4807" s="1"/>
      <c r="U4807" s="2">
        <f>IFERROR(__xludf.DUMMYFUNCTION("""COMPUTED_VALUE"""),0.0)</f>
        <v>0</v>
      </c>
      <c r="V4807" s="1" t="str">
        <f>IFERROR(__xludf.DUMMYFUNCTION("""COMPUTED_VALUE"""),"#N/A")</f>
        <v>#N/A</v>
      </c>
      <c r="W4807" s="1" t="str">
        <f>IFERROR(__xludf.DUMMYFUNCTION("""COMPUTED_VALUE"""),"#N/A")</f>
        <v>#N/A</v>
      </c>
    </row>
    <row r="4808">
      <c r="O4808" s="1" t="str">
        <f>IFERROR(__xludf.DUMMYFUNCTION("""COMPUTED_VALUE"""),"#VALUE!")</f>
        <v>#VALUE!</v>
      </c>
      <c r="P4808" s="1" t="str">
        <f>IFERROR(__xludf.DUMMYFUNCTION("""COMPUTED_VALUE"""),"#N/A")</f>
        <v>#N/A</v>
      </c>
      <c r="Q4808" s="1"/>
      <c r="R4808" s="1"/>
      <c r="S4808" s="1"/>
      <c r="T4808" s="1"/>
      <c r="U4808" s="2">
        <f>IFERROR(__xludf.DUMMYFUNCTION("""COMPUTED_VALUE"""),0.0)</f>
        <v>0</v>
      </c>
      <c r="V4808" s="1" t="str">
        <f>IFERROR(__xludf.DUMMYFUNCTION("""COMPUTED_VALUE"""),"#N/A")</f>
        <v>#N/A</v>
      </c>
      <c r="W4808" s="1" t="str">
        <f>IFERROR(__xludf.DUMMYFUNCTION("""COMPUTED_VALUE"""),"#N/A")</f>
        <v>#N/A</v>
      </c>
    </row>
    <row r="4809">
      <c r="O4809" s="1" t="str">
        <f>IFERROR(__xludf.DUMMYFUNCTION("""COMPUTED_VALUE"""),"#VALUE!")</f>
        <v>#VALUE!</v>
      </c>
      <c r="P4809" s="1" t="str">
        <f>IFERROR(__xludf.DUMMYFUNCTION("""COMPUTED_VALUE"""),"#N/A")</f>
        <v>#N/A</v>
      </c>
      <c r="Q4809" s="1"/>
      <c r="R4809" s="1"/>
      <c r="S4809" s="1"/>
      <c r="T4809" s="1"/>
      <c r="U4809" s="2">
        <f>IFERROR(__xludf.DUMMYFUNCTION("""COMPUTED_VALUE"""),0.0)</f>
        <v>0</v>
      </c>
      <c r="V4809" s="1" t="str">
        <f>IFERROR(__xludf.DUMMYFUNCTION("""COMPUTED_VALUE"""),"#N/A")</f>
        <v>#N/A</v>
      </c>
      <c r="W4809" s="1" t="str">
        <f>IFERROR(__xludf.DUMMYFUNCTION("""COMPUTED_VALUE"""),"#N/A")</f>
        <v>#N/A</v>
      </c>
    </row>
    <row r="4810">
      <c r="O4810" s="1" t="str">
        <f>IFERROR(__xludf.DUMMYFUNCTION("""COMPUTED_VALUE"""),"#VALUE!")</f>
        <v>#VALUE!</v>
      </c>
      <c r="P4810" s="1" t="str">
        <f>IFERROR(__xludf.DUMMYFUNCTION("""COMPUTED_VALUE"""),"#N/A")</f>
        <v>#N/A</v>
      </c>
      <c r="Q4810" s="1"/>
      <c r="R4810" s="1"/>
      <c r="S4810" s="1"/>
      <c r="T4810" s="1"/>
      <c r="U4810" s="2">
        <f>IFERROR(__xludf.DUMMYFUNCTION("""COMPUTED_VALUE"""),0.0)</f>
        <v>0</v>
      </c>
      <c r="V4810" s="1" t="str">
        <f>IFERROR(__xludf.DUMMYFUNCTION("""COMPUTED_VALUE"""),"#N/A")</f>
        <v>#N/A</v>
      </c>
      <c r="W4810" s="1" t="str">
        <f>IFERROR(__xludf.DUMMYFUNCTION("""COMPUTED_VALUE"""),"#N/A")</f>
        <v>#N/A</v>
      </c>
    </row>
    <row r="4811">
      <c r="O4811" s="1" t="str">
        <f>IFERROR(__xludf.DUMMYFUNCTION("""COMPUTED_VALUE"""),"#VALUE!")</f>
        <v>#VALUE!</v>
      </c>
      <c r="P4811" s="1" t="str">
        <f>IFERROR(__xludf.DUMMYFUNCTION("""COMPUTED_VALUE"""),"#N/A")</f>
        <v>#N/A</v>
      </c>
      <c r="Q4811" s="1"/>
      <c r="R4811" s="1"/>
      <c r="S4811" s="1"/>
      <c r="T4811" s="1"/>
      <c r="U4811" s="2">
        <f>IFERROR(__xludf.DUMMYFUNCTION("""COMPUTED_VALUE"""),0.0)</f>
        <v>0</v>
      </c>
      <c r="V4811" s="1" t="str">
        <f>IFERROR(__xludf.DUMMYFUNCTION("""COMPUTED_VALUE"""),"#N/A")</f>
        <v>#N/A</v>
      </c>
      <c r="W4811" s="1" t="str">
        <f>IFERROR(__xludf.DUMMYFUNCTION("""COMPUTED_VALUE"""),"#N/A")</f>
        <v>#N/A</v>
      </c>
    </row>
    <row r="4812">
      <c r="O4812" s="1" t="str">
        <f>IFERROR(__xludf.DUMMYFUNCTION("""COMPUTED_VALUE"""),"#VALUE!")</f>
        <v>#VALUE!</v>
      </c>
      <c r="P4812" s="1" t="str">
        <f>IFERROR(__xludf.DUMMYFUNCTION("""COMPUTED_VALUE"""),"#N/A")</f>
        <v>#N/A</v>
      </c>
      <c r="Q4812" s="1"/>
      <c r="R4812" s="1"/>
      <c r="S4812" s="1"/>
      <c r="T4812" s="1"/>
      <c r="U4812" s="2">
        <f>IFERROR(__xludf.DUMMYFUNCTION("""COMPUTED_VALUE"""),0.0)</f>
        <v>0</v>
      </c>
      <c r="V4812" s="1" t="str">
        <f>IFERROR(__xludf.DUMMYFUNCTION("""COMPUTED_VALUE"""),"#N/A")</f>
        <v>#N/A</v>
      </c>
      <c r="W4812" s="1" t="str">
        <f>IFERROR(__xludf.DUMMYFUNCTION("""COMPUTED_VALUE"""),"#N/A")</f>
        <v>#N/A</v>
      </c>
    </row>
    <row r="4813">
      <c r="O4813" s="1" t="str">
        <f>IFERROR(__xludf.DUMMYFUNCTION("""COMPUTED_VALUE"""),"#VALUE!")</f>
        <v>#VALUE!</v>
      </c>
      <c r="P4813" s="1" t="str">
        <f>IFERROR(__xludf.DUMMYFUNCTION("""COMPUTED_VALUE"""),"#N/A")</f>
        <v>#N/A</v>
      </c>
      <c r="Q4813" s="1"/>
      <c r="R4813" s="1"/>
      <c r="S4813" s="1"/>
      <c r="T4813" s="1"/>
      <c r="U4813" s="2">
        <f>IFERROR(__xludf.DUMMYFUNCTION("""COMPUTED_VALUE"""),0.0)</f>
        <v>0</v>
      </c>
      <c r="V4813" s="1" t="str">
        <f>IFERROR(__xludf.DUMMYFUNCTION("""COMPUTED_VALUE"""),"#N/A")</f>
        <v>#N/A</v>
      </c>
      <c r="W4813" s="1" t="str">
        <f>IFERROR(__xludf.DUMMYFUNCTION("""COMPUTED_VALUE"""),"#N/A")</f>
        <v>#N/A</v>
      </c>
    </row>
    <row r="4814">
      <c r="O4814" s="1" t="str">
        <f>IFERROR(__xludf.DUMMYFUNCTION("""COMPUTED_VALUE"""),"#VALUE!")</f>
        <v>#VALUE!</v>
      </c>
      <c r="P4814" s="1" t="str">
        <f>IFERROR(__xludf.DUMMYFUNCTION("""COMPUTED_VALUE"""),"#N/A")</f>
        <v>#N/A</v>
      </c>
      <c r="Q4814" s="1"/>
      <c r="R4814" s="1"/>
      <c r="S4814" s="1"/>
      <c r="T4814" s="1"/>
      <c r="U4814" s="2">
        <f>IFERROR(__xludf.DUMMYFUNCTION("""COMPUTED_VALUE"""),0.0)</f>
        <v>0</v>
      </c>
      <c r="V4814" s="1" t="str">
        <f>IFERROR(__xludf.DUMMYFUNCTION("""COMPUTED_VALUE"""),"#N/A")</f>
        <v>#N/A</v>
      </c>
      <c r="W4814" s="1" t="str">
        <f>IFERROR(__xludf.DUMMYFUNCTION("""COMPUTED_VALUE"""),"#N/A")</f>
        <v>#N/A</v>
      </c>
    </row>
    <row r="4815">
      <c r="O4815" s="1" t="str">
        <f>IFERROR(__xludf.DUMMYFUNCTION("""COMPUTED_VALUE"""),"#VALUE!")</f>
        <v>#VALUE!</v>
      </c>
      <c r="P4815" s="1" t="str">
        <f>IFERROR(__xludf.DUMMYFUNCTION("""COMPUTED_VALUE"""),"#N/A")</f>
        <v>#N/A</v>
      </c>
      <c r="Q4815" s="1"/>
      <c r="R4815" s="1"/>
      <c r="S4815" s="1"/>
      <c r="T4815" s="1"/>
      <c r="U4815" s="2">
        <f>IFERROR(__xludf.DUMMYFUNCTION("""COMPUTED_VALUE"""),0.0)</f>
        <v>0</v>
      </c>
      <c r="V4815" s="1" t="str">
        <f>IFERROR(__xludf.DUMMYFUNCTION("""COMPUTED_VALUE"""),"#N/A")</f>
        <v>#N/A</v>
      </c>
      <c r="W4815" s="1" t="str">
        <f>IFERROR(__xludf.DUMMYFUNCTION("""COMPUTED_VALUE"""),"#N/A")</f>
        <v>#N/A</v>
      </c>
    </row>
    <row r="4816">
      <c r="O4816" s="1" t="str">
        <f>IFERROR(__xludf.DUMMYFUNCTION("""COMPUTED_VALUE"""),"#VALUE!")</f>
        <v>#VALUE!</v>
      </c>
      <c r="P4816" s="1" t="str">
        <f>IFERROR(__xludf.DUMMYFUNCTION("""COMPUTED_VALUE"""),"#N/A")</f>
        <v>#N/A</v>
      </c>
      <c r="Q4816" s="1"/>
      <c r="R4816" s="1"/>
      <c r="S4816" s="1"/>
      <c r="T4816" s="1"/>
      <c r="U4816" s="2">
        <f>IFERROR(__xludf.DUMMYFUNCTION("""COMPUTED_VALUE"""),0.0)</f>
        <v>0</v>
      </c>
      <c r="V4816" s="1" t="str">
        <f>IFERROR(__xludf.DUMMYFUNCTION("""COMPUTED_VALUE"""),"#N/A")</f>
        <v>#N/A</v>
      </c>
      <c r="W4816" s="1" t="str">
        <f>IFERROR(__xludf.DUMMYFUNCTION("""COMPUTED_VALUE"""),"#N/A")</f>
        <v>#N/A</v>
      </c>
    </row>
    <row r="4817">
      <c r="O4817" s="1" t="str">
        <f>IFERROR(__xludf.DUMMYFUNCTION("""COMPUTED_VALUE"""),"#VALUE!")</f>
        <v>#VALUE!</v>
      </c>
      <c r="P4817" s="1" t="str">
        <f>IFERROR(__xludf.DUMMYFUNCTION("""COMPUTED_VALUE"""),"#N/A")</f>
        <v>#N/A</v>
      </c>
      <c r="Q4817" s="1"/>
      <c r="R4817" s="1"/>
      <c r="S4817" s="1"/>
      <c r="T4817" s="1"/>
      <c r="U4817" s="2">
        <f>IFERROR(__xludf.DUMMYFUNCTION("""COMPUTED_VALUE"""),0.0)</f>
        <v>0</v>
      </c>
      <c r="V4817" s="1" t="str">
        <f>IFERROR(__xludf.DUMMYFUNCTION("""COMPUTED_VALUE"""),"#N/A")</f>
        <v>#N/A</v>
      </c>
      <c r="W4817" s="1" t="str">
        <f>IFERROR(__xludf.DUMMYFUNCTION("""COMPUTED_VALUE"""),"#N/A")</f>
        <v>#N/A</v>
      </c>
    </row>
    <row r="4818">
      <c r="O4818" s="1" t="str">
        <f>IFERROR(__xludf.DUMMYFUNCTION("""COMPUTED_VALUE"""),"#VALUE!")</f>
        <v>#VALUE!</v>
      </c>
      <c r="P4818" s="1" t="str">
        <f>IFERROR(__xludf.DUMMYFUNCTION("""COMPUTED_VALUE"""),"#N/A")</f>
        <v>#N/A</v>
      </c>
      <c r="Q4818" s="1"/>
      <c r="R4818" s="1"/>
      <c r="S4818" s="1"/>
      <c r="T4818" s="1"/>
      <c r="U4818" s="2">
        <f>IFERROR(__xludf.DUMMYFUNCTION("""COMPUTED_VALUE"""),0.0)</f>
        <v>0</v>
      </c>
      <c r="V4818" s="1" t="str">
        <f>IFERROR(__xludf.DUMMYFUNCTION("""COMPUTED_VALUE"""),"#N/A")</f>
        <v>#N/A</v>
      </c>
      <c r="W4818" s="1" t="str">
        <f>IFERROR(__xludf.DUMMYFUNCTION("""COMPUTED_VALUE"""),"#N/A")</f>
        <v>#N/A</v>
      </c>
    </row>
    <row r="4819">
      <c r="O4819" s="1" t="str">
        <f>IFERROR(__xludf.DUMMYFUNCTION("""COMPUTED_VALUE"""),"#VALUE!")</f>
        <v>#VALUE!</v>
      </c>
      <c r="P4819" s="1" t="str">
        <f>IFERROR(__xludf.DUMMYFUNCTION("""COMPUTED_VALUE"""),"#N/A")</f>
        <v>#N/A</v>
      </c>
      <c r="Q4819" s="1"/>
      <c r="R4819" s="1"/>
      <c r="S4819" s="1"/>
      <c r="T4819" s="1"/>
      <c r="U4819" s="2">
        <f>IFERROR(__xludf.DUMMYFUNCTION("""COMPUTED_VALUE"""),0.0)</f>
        <v>0</v>
      </c>
      <c r="V4819" s="1" t="str">
        <f>IFERROR(__xludf.DUMMYFUNCTION("""COMPUTED_VALUE"""),"#N/A")</f>
        <v>#N/A</v>
      </c>
      <c r="W4819" s="1" t="str">
        <f>IFERROR(__xludf.DUMMYFUNCTION("""COMPUTED_VALUE"""),"#N/A")</f>
        <v>#N/A</v>
      </c>
    </row>
    <row r="4820">
      <c r="O4820" s="1" t="str">
        <f>IFERROR(__xludf.DUMMYFUNCTION("""COMPUTED_VALUE"""),"#VALUE!")</f>
        <v>#VALUE!</v>
      </c>
      <c r="P4820" s="1" t="str">
        <f>IFERROR(__xludf.DUMMYFUNCTION("""COMPUTED_VALUE"""),"#N/A")</f>
        <v>#N/A</v>
      </c>
      <c r="Q4820" s="1"/>
      <c r="R4820" s="1"/>
      <c r="S4820" s="1"/>
      <c r="T4820" s="1"/>
      <c r="U4820" s="2">
        <f>IFERROR(__xludf.DUMMYFUNCTION("""COMPUTED_VALUE"""),0.0)</f>
        <v>0</v>
      </c>
      <c r="V4820" s="1" t="str">
        <f>IFERROR(__xludf.DUMMYFUNCTION("""COMPUTED_VALUE"""),"#N/A")</f>
        <v>#N/A</v>
      </c>
      <c r="W4820" s="1" t="str">
        <f>IFERROR(__xludf.DUMMYFUNCTION("""COMPUTED_VALUE"""),"#N/A")</f>
        <v>#N/A</v>
      </c>
    </row>
    <row r="4821">
      <c r="O4821" s="1" t="str">
        <f>IFERROR(__xludf.DUMMYFUNCTION("""COMPUTED_VALUE"""),"#VALUE!")</f>
        <v>#VALUE!</v>
      </c>
      <c r="P4821" s="1" t="str">
        <f>IFERROR(__xludf.DUMMYFUNCTION("""COMPUTED_VALUE"""),"#N/A")</f>
        <v>#N/A</v>
      </c>
      <c r="Q4821" s="1"/>
      <c r="R4821" s="1"/>
      <c r="S4821" s="1"/>
      <c r="T4821" s="1"/>
      <c r="U4821" s="2">
        <f>IFERROR(__xludf.DUMMYFUNCTION("""COMPUTED_VALUE"""),0.0)</f>
        <v>0</v>
      </c>
      <c r="V4821" s="1" t="str">
        <f>IFERROR(__xludf.DUMMYFUNCTION("""COMPUTED_VALUE"""),"#N/A")</f>
        <v>#N/A</v>
      </c>
      <c r="W4821" s="1" t="str">
        <f>IFERROR(__xludf.DUMMYFUNCTION("""COMPUTED_VALUE"""),"#N/A")</f>
        <v>#N/A</v>
      </c>
    </row>
    <row r="4822">
      <c r="O4822" s="1" t="str">
        <f>IFERROR(__xludf.DUMMYFUNCTION("""COMPUTED_VALUE"""),"#VALUE!")</f>
        <v>#VALUE!</v>
      </c>
      <c r="P4822" s="1" t="str">
        <f>IFERROR(__xludf.DUMMYFUNCTION("""COMPUTED_VALUE"""),"#N/A")</f>
        <v>#N/A</v>
      </c>
      <c r="Q4822" s="1"/>
      <c r="R4822" s="1"/>
      <c r="S4822" s="1"/>
      <c r="T4822" s="1"/>
      <c r="U4822" s="2">
        <f>IFERROR(__xludf.DUMMYFUNCTION("""COMPUTED_VALUE"""),0.0)</f>
        <v>0</v>
      </c>
      <c r="V4822" s="1" t="str">
        <f>IFERROR(__xludf.DUMMYFUNCTION("""COMPUTED_VALUE"""),"#N/A")</f>
        <v>#N/A</v>
      </c>
      <c r="W4822" s="1" t="str">
        <f>IFERROR(__xludf.DUMMYFUNCTION("""COMPUTED_VALUE"""),"#N/A")</f>
        <v>#N/A</v>
      </c>
    </row>
    <row r="4823">
      <c r="O4823" s="1" t="str">
        <f>IFERROR(__xludf.DUMMYFUNCTION("""COMPUTED_VALUE"""),"#VALUE!")</f>
        <v>#VALUE!</v>
      </c>
      <c r="P4823" s="1" t="str">
        <f>IFERROR(__xludf.DUMMYFUNCTION("""COMPUTED_VALUE"""),"#N/A")</f>
        <v>#N/A</v>
      </c>
      <c r="Q4823" s="1"/>
      <c r="R4823" s="1"/>
      <c r="S4823" s="1"/>
      <c r="T4823" s="1"/>
      <c r="U4823" s="2">
        <f>IFERROR(__xludf.DUMMYFUNCTION("""COMPUTED_VALUE"""),0.0)</f>
        <v>0</v>
      </c>
      <c r="V4823" s="1" t="str">
        <f>IFERROR(__xludf.DUMMYFUNCTION("""COMPUTED_VALUE"""),"#N/A")</f>
        <v>#N/A</v>
      </c>
      <c r="W4823" s="1" t="str">
        <f>IFERROR(__xludf.DUMMYFUNCTION("""COMPUTED_VALUE"""),"#N/A")</f>
        <v>#N/A</v>
      </c>
    </row>
    <row r="4824">
      <c r="O4824" s="1" t="str">
        <f>IFERROR(__xludf.DUMMYFUNCTION("""COMPUTED_VALUE"""),"#VALUE!")</f>
        <v>#VALUE!</v>
      </c>
      <c r="P4824" s="1" t="str">
        <f>IFERROR(__xludf.DUMMYFUNCTION("""COMPUTED_VALUE"""),"#N/A")</f>
        <v>#N/A</v>
      </c>
      <c r="Q4824" s="1"/>
      <c r="R4824" s="1"/>
      <c r="S4824" s="1"/>
      <c r="T4824" s="1"/>
      <c r="U4824" s="2">
        <f>IFERROR(__xludf.DUMMYFUNCTION("""COMPUTED_VALUE"""),0.0)</f>
        <v>0</v>
      </c>
      <c r="V4824" s="1" t="str">
        <f>IFERROR(__xludf.DUMMYFUNCTION("""COMPUTED_VALUE"""),"#N/A")</f>
        <v>#N/A</v>
      </c>
      <c r="W4824" s="1" t="str">
        <f>IFERROR(__xludf.DUMMYFUNCTION("""COMPUTED_VALUE"""),"#N/A")</f>
        <v>#N/A</v>
      </c>
    </row>
    <row r="4825">
      <c r="O4825" s="1" t="str">
        <f>IFERROR(__xludf.DUMMYFUNCTION("""COMPUTED_VALUE"""),"#VALUE!")</f>
        <v>#VALUE!</v>
      </c>
      <c r="P4825" s="1" t="str">
        <f>IFERROR(__xludf.DUMMYFUNCTION("""COMPUTED_VALUE"""),"#N/A")</f>
        <v>#N/A</v>
      </c>
      <c r="Q4825" s="1"/>
      <c r="R4825" s="1"/>
      <c r="S4825" s="1"/>
      <c r="T4825" s="1"/>
      <c r="U4825" s="2">
        <f>IFERROR(__xludf.DUMMYFUNCTION("""COMPUTED_VALUE"""),0.0)</f>
        <v>0</v>
      </c>
      <c r="V4825" s="1" t="str">
        <f>IFERROR(__xludf.DUMMYFUNCTION("""COMPUTED_VALUE"""),"#N/A")</f>
        <v>#N/A</v>
      </c>
      <c r="W4825" s="1" t="str">
        <f>IFERROR(__xludf.DUMMYFUNCTION("""COMPUTED_VALUE"""),"#N/A")</f>
        <v>#N/A</v>
      </c>
    </row>
    <row r="4826">
      <c r="O4826" s="1" t="str">
        <f>IFERROR(__xludf.DUMMYFUNCTION("""COMPUTED_VALUE"""),"#VALUE!")</f>
        <v>#VALUE!</v>
      </c>
      <c r="P4826" s="1" t="str">
        <f>IFERROR(__xludf.DUMMYFUNCTION("""COMPUTED_VALUE"""),"#N/A")</f>
        <v>#N/A</v>
      </c>
      <c r="Q4826" s="1"/>
      <c r="R4826" s="1"/>
      <c r="S4826" s="1"/>
      <c r="T4826" s="1"/>
      <c r="U4826" s="2">
        <f>IFERROR(__xludf.DUMMYFUNCTION("""COMPUTED_VALUE"""),0.0)</f>
        <v>0</v>
      </c>
      <c r="V4826" s="1" t="str">
        <f>IFERROR(__xludf.DUMMYFUNCTION("""COMPUTED_VALUE"""),"#N/A")</f>
        <v>#N/A</v>
      </c>
      <c r="W4826" s="1" t="str">
        <f>IFERROR(__xludf.DUMMYFUNCTION("""COMPUTED_VALUE"""),"#N/A")</f>
        <v>#N/A</v>
      </c>
    </row>
    <row r="4827">
      <c r="O4827" s="1" t="str">
        <f>IFERROR(__xludf.DUMMYFUNCTION("""COMPUTED_VALUE"""),"#VALUE!")</f>
        <v>#VALUE!</v>
      </c>
      <c r="P4827" s="1" t="str">
        <f>IFERROR(__xludf.DUMMYFUNCTION("""COMPUTED_VALUE"""),"#N/A")</f>
        <v>#N/A</v>
      </c>
      <c r="Q4827" s="1"/>
      <c r="R4827" s="1"/>
      <c r="S4827" s="1"/>
      <c r="T4827" s="1"/>
      <c r="U4827" s="2">
        <f>IFERROR(__xludf.DUMMYFUNCTION("""COMPUTED_VALUE"""),0.0)</f>
        <v>0</v>
      </c>
      <c r="V4827" s="1" t="str">
        <f>IFERROR(__xludf.DUMMYFUNCTION("""COMPUTED_VALUE"""),"#N/A")</f>
        <v>#N/A</v>
      </c>
      <c r="W4827" s="1" t="str">
        <f>IFERROR(__xludf.DUMMYFUNCTION("""COMPUTED_VALUE"""),"#N/A")</f>
        <v>#N/A</v>
      </c>
    </row>
    <row r="4828">
      <c r="O4828" s="1" t="str">
        <f>IFERROR(__xludf.DUMMYFUNCTION("""COMPUTED_VALUE"""),"#VALUE!")</f>
        <v>#VALUE!</v>
      </c>
      <c r="P4828" s="1" t="str">
        <f>IFERROR(__xludf.DUMMYFUNCTION("""COMPUTED_VALUE"""),"#N/A")</f>
        <v>#N/A</v>
      </c>
      <c r="Q4828" s="1"/>
      <c r="R4828" s="1"/>
      <c r="S4828" s="1"/>
      <c r="T4828" s="1"/>
      <c r="U4828" s="2">
        <f>IFERROR(__xludf.DUMMYFUNCTION("""COMPUTED_VALUE"""),0.0)</f>
        <v>0</v>
      </c>
      <c r="V4828" s="1" t="str">
        <f>IFERROR(__xludf.DUMMYFUNCTION("""COMPUTED_VALUE"""),"#N/A")</f>
        <v>#N/A</v>
      </c>
      <c r="W4828" s="1" t="str">
        <f>IFERROR(__xludf.DUMMYFUNCTION("""COMPUTED_VALUE"""),"#N/A")</f>
        <v>#N/A</v>
      </c>
    </row>
    <row r="4829">
      <c r="O4829" s="1" t="str">
        <f>IFERROR(__xludf.DUMMYFUNCTION("""COMPUTED_VALUE"""),"#VALUE!")</f>
        <v>#VALUE!</v>
      </c>
      <c r="P4829" s="1" t="str">
        <f>IFERROR(__xludf.DUMMYFUNCTION("""COMPUTED_VALUE"""),"#N/A")</f>
        <v>#N/A</v>
      </c>
      <c r="Q4829" s="1"/>
      <c r="R4829" s="1"/>
      <c r="S4829" s="1"/>
      <c r="T4829" s="1"/>
      <c r="U4829" s="2">
        <f>IFERROR(__xludf.DUMMYFUNCTION("""COMPUTED_VALUE"""),0.0)</f>
        <v>0</v>
      </c>
      <c r="V4829" s="1" t="str">
        <f>IFERROR(__xludf.DUMMYFUNCTION("""COMPUTED_VALUE"""),"#N/A")</f>
        <v>#N/A</v>
      </c>
      <c r="W4829" s="1" t="str">
        <f>IFERROR(__xludf.DUMMYFUNCTION("""COMPUTED_VALUE"""),"#N/A")</f>
        <v>#N/A</v>
      </c>
    </row>
    <row r="4830">
      <c r="O4830" s="1" t="str">
        <f>IFERROR(__xludf.DUMMYFUNCTION("""COMPUTED_VALUE"""),"#VALUE!")</f>
        <v>#VALUE!</v>
      </c>
      <c r="P4830" s="1" t="str">
        <f>IFERROR(__xludf.DUMMYFUNCTION("""COMPUTED_VALUE"""),"#N/A")</f>
        <v>#N/A</v>
      </c>
      <c r="Q4830" s="1"/>
      <c r="R4830" s="1"/>
      <c r="S4830" s="1"/>
      <c r="T4830" s="1"/>
      <c r="U4830" s="2">
        <f>IFERROR(__xludf.DUMMYFUNCTION("""COMPUTED_VALUE"""),0.0)</f>
        <v>0</v>
      </c>
      <c r="V4830" s="1" t="str">
        <f>IFERROR(__xludf.DUMMYFUNCTION("""COMPUTED_VALUE"""),"#N/A")</f>
        <v>#N/A</v>
      </c>
      <c r="W4830" s="1" t="str">
        <f>IFERROR(__xludf.DUMMYFUNCTION("""COMPUTED_VALUE"""),"#N/A")</f>
        <v>#N/A</v>
      </c>
    </row>
    <row r="4831">
      <c r="O4831" s="1" t="str">
        <f>IFERROR(__xludf.DUMMYFUNCTION("""COMPUTED_VALUE"""),"#VALUE!")</f>
        <v>#VALUE!</v>
      </c>
      <c r="P4831" s="1" t="str">
        <f>IFERROR(__xludf.DUMMYFUNCTION("""COMPUTED_VALUE"""),"#N/A")</f>
        <v>#N/A</v>
      </c>
      <c r="Q4831" s="1"/>
      <c r="R4831" s="1"/>
      <c r="S4831" s="1"/>
      <c r="T4831" s="1"/>
      <c r="U4831" s="2">
        <f>IFERROR(__xludf.DUMMYFUNCTION("""COMPUTED_VALUE"""),0.0)</f>
        <v>0</v>
      </c>
      <c r="V4831" s="1" t="str">
        <f>IFERROR(__xludf.DUMMYFUNCTION("""COMPUTED_VALUE"""),"#N/A")</f>
        <v>#N/A</v>
      </c>
      <c r="W4831" s="1" t="str">
        <f>IFERROR(__xludf.DUMMYFUNCTION("""COMPUTED_VALUE"""),"#N/A")</f>
        <v>#N/A</v>
      </c>
    </row>
    <row r="4832">
      <c r="O4832" s="1" t="str">
        <f>IFERROR(__xludf.DUMMYFUNCTION("""COMPUTED_VALUE"""),"#VALUE!")</f>
        <v>#VALUE!</v>
      </c>
      <c r="P4832" s="1" t="str">
        <f>IFERROR(__xludf.DUMMYFUNCTION("""COMPUTED_VALUE"""),"#N/A")</f>
        <v>#N/A</v>
      </c>
      <c r="Q4832" s="1"/>
      <c r="R4832" s="1"/>
      <c r="S4832" s="1"/>
      <c r="T4832" s="1"/>
      <c r="U4832" s="2">
        <f>IFERROR(__xludf.DUMMYFUNCTION("""COMPUTED_VALUE"""),0.0)</f>
        <v>0</v>
      </c>
      <c r="V4832" s="1" t="str">
        <f>IFERROR(__xludf.DUMMYFUNCTION("""COMPUTED_VALUE"""),"#N/A")</f>
        <v>#N/A</v>
      </c>
      <c r="W4832" s="1" t="str">
        <f>IFERROR(__xludf.DUMMYFUNCTION("""COMPUTED_VALUE"""),"#N/A")</f>
        <v>#N/A</v>
      </c>
    </row>
    <row r="4833">
      <c r="O4833" s="1" t="str">
        <f>IFERROR(__xludf.DUMMYFUNCTION("""COMPUTED_VALUE"""),"#VALUE!")</f>
        <v>#VALUE!</v>
      </c>
      <c r="P4833" s="1" t="str">
        <f>IFERROR(__xludf.DUMMYFUNCTION("""COMPUTED_VALUE"""),"#N/A")</f>
        <v>#N/A</v>
      </c>
      <c r="Q4833" s="1"/>
      <c r="R4833" s="1"/>
      <c r="S4833" s="1"/>
      <c r="T4833" s="1"/>
      <c r="U4833" s="2">
        <f>IFERROR(__xludf.DUMMYFUNCTION("""COMPUTED_VALUE"""),0.0)</f>
        <v>0</v>
      </c>
      <c r="V4833" s="1" t="str">
        <f>IFERROR(__xludf.DUMMYFUNCTION("""COMPUTED_VALUE"""),"#N/A")</f>
        <v>#N/A</v>
      </c>
      <c r="W4833" s="1" t="str">
        <f>IFERROR(__xludf.DUMMYFUNCTION("""COMPUTED_VALUE"""),"#N/A")</f>
        <v>#N/A</v>
      </c>
    </row>
    <row r="4834">
      <c r="O4834" s="1" t="str">
        <f>IFERROR(__xludf.DUMMYFUNCTION("""COMPUTED_VALUE"""),"#VALUE!")</f>
        <v>#VALUE!</v>
      </c>
      <c r="P4834" s="1" t="str">
        <f>IFERROR(__xludf.DUMMYFUNCTION("""COMPUTED_VALUE"""),"#N/A")</f>
        <v>#N/A</v>
      </c>
      <c r="Q4834" s="1"/>
      <c r="R4834" s="1"/>
      <c r="S4834" s="1"/>
      <c r="T4834" s="1"/>
      <c r="U4834" s="2">
        <f>IFERROR(__xludf.DUMMYFUNCTION("""COMPUTED_VALUE"""),0.0)</f>
        <v>0</v>
      </c>
      <c r="V4834" s="1" t="str">
        <f>IFERROR(__xludf.DUMMYFUNCTION("""COMPUTED_VALUE"""),"#N/A")</f>
        <v>#N/A</v>
      </c>
      <c r="W4834" s="1" t="str">
        <f>IFERROR(__xludf.DUMMYFUNCTION("""COMPUTED_VALUE"""),"#N/A")</f>
        <v>#N/A</v>
      </c>
    </row>
    <row r="4835">
      <c r="O4835" s="1" t="str">
        <f>IFERROR(__xludf.DUMMYFUNCTION("""COMPUTED_VALUE"""),"#VALUE!")</f>
        <v>#VALUE!</v>
      </c>
      <c r="P4835" s="1" t="str">
        <f>IFERROR(__xludf.DUMMYFUNCTION("""COMPUTED_VALUE"""),"#N/A")</f>
        <v>#N/A</v>
      </c>
      <c r="Q4835" s="1"/>
      <c r="R4835" s="1"/>
      <c r="S4835" s="1"/>
      <c r="T4835" s="1"/>
      <c r="U4835" s="2">
        <f>IFERROR(__xludf.DUMMYFUNCTION("""COMPUTED_VALUE"""),0.0)</f>
        <v>0</v>
      </c>
      <c r="V4835" s="1" t="str">
        <f>IFERROR(__xludf.DUMMYFUNCTION("""COMPUTED_VALUE"""),"#N/A")</f>
        <v>#N/A</v>
      </c>
      <c r="W4835" s="1" t="str">
        <f>IFERROR(__xludf.DUMMYFUNCTION("""COMPUTED_VALUE"""),"#N/A")</f>
        <v>#N/A</v>
      </c>
    </row>
    <row r="4836">
      <c r="O4836" s="1" t="str">
        <f>IFERROR(__xludf.DUMMYFUNCTION("""COMPUTED_VALUE"""),"#VALUE!")</f>
        <v>#VALUE!</v>
      </c>
      <c r="P4836" s="1" t="str">
        <f>IFERROR(__xludf.DUMMYFUNCTION("""COMPUTED_VALUE"""),"#N/A")</f>
        <v>#N/A</v>
      </c>
      <c r="Q4836" s="1"/>
      <c r="R4836" s="1"/>
      <c r="S4836" s="1"/>
      <c r="T4836" s="1"/>
      <c r="U4836" s="2">
        <f>IFERROR(__xludf.DUMMYFUNCTION("""COMPUTED_VALUE"""),0.0)</f>
        <v>0</v>
      </c>
      <c r="V4836" s="1" t="str">
        <f>IFERROR(__xludf.DUMMYFUNCTION("""COMPUTED_VALUE"""),"#N/A")</f>
        <v>#N/A</v>
      </c>
      <c r="W4836" s="1" t="str">
        <f>IFERROR(__xludf.DUMMYFUNCTION("""COMPUTED_VALUE"""),"#N/A")</f>
        <v>#N/A</v>
      </c>
    </row>
    <row r="4837">
      <c r="O4837" s="1" t="str">
        <f>IFERROR(__xludf.DUMMYFUNCTION("""COMPUTED_VALUE"""),"#VALUE!")</f>
        <v>#VALUE!</v>
      </c>
      <c r="P4837" s="1" t="str">
        <f>IFERROR(__xludf.DUMMYFUNCTION("""COMPUTED_VALUE"""),"#N/A")</f>
        <v>#N/A</v>
      </c>
      <c r="Q4837" s="1"/>
      <c r="R4837" s="1"/>
      <c r="S4837" s="1"/>
      <c r="T4837" s="1"/>
      <c r="U4837" s="2">
        <f>IFERROR(__xludf.DUMMYFUNCTION("""COMPUTED_VALUE"""),0.0)</f>
        <v>0</v>
      </c>
      <c r="V4837" s="1" t="str">
        <f>IFERROR(__xludf.DUMMYFUNCTION("""COMPUTED_VALUE"""),"#N/A")</f>
        <v>#N/A</v>
      </c>
      <c r="W4837" s="1" t="str">
        <f>IFERROR(__xludf.DUMMYFUNCTION("""COMPUTED_VALUE"""),"#N/A")</f>
        <v>#N/A</v>
      </c>
    </row>
    <row r="4838">
      <c r="O4838" s="1" t="str">
        <f>IFERROR(__xludf.DUMMYFUNCTION("""COMPUTED_VALUE"""),"#VALUE!")</f>
        <v>#VALUE!</v>
      </c>
      <c r="P4838" s="1" t="str">
        <f>IFERROR(__xludf.DUMMYFUNCTION("""COMPUTED_VALUE"""),"#N/A")</f>
        <v>#N/A</v>
      </c>
      <c r="Q4838" s="1"/>
      <c r="R4838" s="1"/>
      <c r="S4838" s="1"/>
      <c r="T4838" s="1"/>
      <c r="U4838" s="2">
        <f>IFERROR(__xludf.DUMMYFUNCTION("""COMPUTED_VALUE"""),0.0)</f>
        <v>0</v>
      </c>
      <c r="V4838" s="1" t="str">
        <f>IFERROR(__xludf.DUMMYFUNCTION("""COMPUTED_VALUE"""),"#N/A")</f>
        <v>#N/A</v>
      </c>
      <c r="W4838" s="1" t="str">
        <f>IFERROR(__xludf.DUMMYFUNCTION("""COMPUTED_VALUE"""),"#N/A")</f>
        <v>#N/A</v>
      </c>
    </row>
    <row r="4839">
      <c r="O4839" s="1" t="str">
        <f>IFERROR(__xludf.DUMMYFUNCTION("""COMPUTED_VALUE"""),"#VALUE!")</f>
        <v>#VALUE!</v>
      </c>
      <c r="P4839" s="1" t="str">
        <f>IFERROR(__xludf.DUMMYFUNCTION("""COMPUTED_VALUE"""),"#N/A")</f>
        <v>#N/A</v>
      </c>
      <c r="Q4839" s="1"/>
      <c r="R4839" s="1"/>
      <c r="S4839" s="1"/>
      <c r="T4839" s="1"/>
      <c r="U4839" s="2">
        <f>IFERROR(__xludf.DUMMYFUNCTION("""COMPUTED_VALUE"""),0.0)</f>
        <v>0</v>
      </c>
      <c r="V4839" s="1" t="str">
        <f>IFERROR(__xludf.DUMMYFUNCTION("""COMPUTED_VALUE"""),"#N/A")</f>
        <v>#N/A</v>
      </c>
      <c r="W4839" s="1" t="str">
        <f>IFERROR(__xludf.DUMMYFUNCTION("""COMPUTED_VALUE"""),"#N/A")</f>
        <v>#N/A</v>
      </c>
    </row>
    <row r="4840">
      <c r="O4840" s="1" t="str">
        <f>IFERROR(__xludf.DUMMYFUNCTION("""COMPUTED_VALUE"""),"#VALUE!")</f>
        <v>#VALUE!</v>
      </c>
      <c r="P4840" s="1" t="str">
        <f>IFERROR(__xludf.DUMMYFUNCTION("""COMPUTED_VALUE"""),"#N/A")</f>
        <v>#N/A</v>
      </c>
      <c r="Q4840" s="1"/>
      <c r="R4840" s="1"/>
      <c r="S4840" s="1"/>
      <c r="T4840" s="1"/>
      <c r="U4840" s="2">
        <f>IFERROR(__xludf.DUMMYFUNCTION("""COMPUTED_VALUE"""),0.0)</f>
        <v>0</v>
      </c>
      <c r="V4840" s="1" t="str">
        <f>IFERROR(__xludf.DUMMYFUNCTION("""COMPUTED_VALUE"""),"#N/A")</f>
        <v>#N/A</v>
      </c>
      <c r="W4840" s="1" t="str">
        <f>IFERROR(__xludf.DUMMYFUNCTION("""COMPUTED_VALUE"""),"#N/A")</f>
        <v>#N/A</v>
      </c>
    </row>
    <row r="4841">
      <c r="O4841" s="1" t="str">
        <f>IFERROR(__xludf.DUMMYFUNCTION("""COMPUTED_VALUE"""),"#VALUE!")</f>
        <v>#VALUE!</v>
      </c>
      <c r="P4841" s="1" t="str">
        <f>IFERROR(__xludf.DUMMYFUNCTION("""COMPUTED_VALUE"""),"#N/A")</f>
        <v>#N/A</v>
      </c>
      <c r="Q4841" s="1"/>
      <c r="R4841" s="1"/>
      <c r="S4841" s="1"/>
      <c r="T4841" s="1"/>
      <c r="U4841" s="2">
        <f>IFERROR(__xludf.DUMMYFUNCTION("""COMPUTED_VALUE"""),0.0)</f>
        <v>0</v>
      </c>
      <c r="V4841" s="1" t="str">
        <f>IFERROR(__xludf.DUMMYFUNCTION("""COMPUTED_VALUE"""),"#N/A")</f>
        <v>#N/A</v>
      </c>
      <c r="W4841" s="1" t="str">
        <f>IFERROR(__xludf.DUMMYFUNCTION("""COMPUTED_VALUE"""),"#N/A")</f>
        <v>#N/A</v>
      </c>
    </row>
    <row r="4842">
      <c r="O4842" s="1" t="str">
        <f>IFERROR(__xludf.DUMMYFUNCTION("""COMPUTED_VALUE"""),"#VALUE!")</f>
        <v>#VALUE!</v>
      </c>
      <c r="P4842" s="1" t="str">
        <f>IFERROR(__xludf.DUMMYFUNCTION("""COMPUTED_VALUE"""),"#N/A")</f>
        <v>#N/A</v>
      </c>
      <c r="Q4842" s="1"/>
      <c r="R4842" s="1"/>
      <c r="S4842" s="1"/>
      <c r="T4842" s="1"/>
      <c r="U4842" s="2">
        <f>IFERROR(__xludf.DUMMYFUNCTION("""COMPUTED_VALUE"""),0.0)</f>
        <v>0</v>
      </c>
      <c r="V4842" s="1" t="str">
        <f>IFERROR(__xludf.DUMMYFUNCTION("""COMPUTED_VALUE"""),"#N/A")</f>
        <v>#N/A</v>
      </c>
      <c r="W4842" s="1" t="str">
        <f>IFERROR(__xludf.DUMMYFUNCTION("""COMPUTED_VALUE"""),"#N/A")</f>
        <v>#N/A</v>
      </c>
    </row>
    <row r="4843">
      <c r="O4843" s="1" t="str">
        <f>IFERROR(__xludf.DUMMYFUNCTION("""COMPUTED_VALUE"""),"#VALUE!")</f>
        <v>#VALUE!</v>
      </c>
      <c r="P4843" s="1" t="str">
        <f>IFERROR(__xludf.DUMMYFUNCTION("""COMPUTED_VALUE"""),"#N/A")</f>
        <v>#N/A</v>
      </c>
      <c r="Q4843" s="1"/>
      <c r="R4843" s="1"/>
      <c r="S4843" s="1"/>
      <c r="T4843" s="1"/>
      <c r="U4843" s="2">
        <f>IFERROR(__xludf.DUMMYFUNCTION("""COMPUTED_VALUE"""),0.0)</f>
        <v>0</v>
      </c>
      <c r="V4843" s="1" t="str">
        <f>IFERROR(__xludf.DUMMYFUNCTION("""COMPUTED_VALUE"""),"#N/A")</f>
        <v>#N/A</v>
      </c>
      <c r="W4843" s="1" t="str">
        <f>IFERROR(__xludf.DUMMYFUNCTION("""COMPUTED_VALUE"""),"#N/A")</f>
        <v>#N/A</v>
      </c>
    </row>
    <row r="4844">
      <c r="O4844" s="1" t="str">
        <f>IFERROR(__xludf.DUMMYFUNCTION("""COMPUTED_VALUE"""),"#VALUE!")</f>
        <v>#VALUE!</v>
      </c>
      <c r="P4844" s="1" t="str">
        <f>IFERROR(__xludf.DUMMYFUNCTION("""COMPUTED_VALUE"""),"#N/A")</f>
        <v>#N/A</v>
      </c>
      <c r="Q4844" s="1"/>
      <c r="R4844" s="1"/>
      <c r="S4844" s="1"/>
      <c r="T4844" s="1"/>
      <c r="U4844" s="2">
        <f>IFERROR(__xludf.DUMMYFUNCTION("""COMPUTED_VALUE"""),0.0)</f>
        <v>0</v>
      </c>
      <c r="V4844" s="1" t="str">
        <f>IFERROR(__xludf.DUMMYFUNCTION("""COMPUTED_VALUE"""),"#N/A")</f>
        <v>#N/A</v>
      </c>
      <c r="W4844" s="1" t="str">
        <f>IFERROR(__xludf.DUMMYFUNCTION("""COMPUTED_VALUE"""),"#N/A")</f>
        <v>#N/A</v>
      </c>
    </row>
    <row r="4845">
      <c r="O4845" s="1" t="str">
        <f>IFERROR(__xludf.DUMMYFUNCTION("""COMPUTED_VALUE"""),"#VALUE!")</f>
        <v>#VALUE!</v>
      </c>
      <c r="P4845" s="1" t="str">
        <f>IFERROR(__xludf.DUMMYFUNCTION("""COMPUTED_VALUE"""),"#N/A")</f>
        <v>#N/A</v>
      </c>
      <c r="Q4845" s="1"/>
      <c r="R4845" s="1"/>
      <c r="S4845" s="1"/>
      <c r="T4845" s="1"/>
      <c r="U4845" s="2">
        <f>IFERROR(__xludf.DUMMYFUNCTION("""COMPUTED_VALUE"""),0.0)</f>
        <v>0</v>
      </c>
      <c r="V4845" s="1" t="str">
        <f>IFERROR(__xludf.DUMMYFUNCTION("""COMPUTED_VALUE"""),"#N/A")</f>
        <v>#N/A</v>
      </c>
      <c r="W4845" s="1" t="str">
        <f>IFERROR(__xludf.DUMMYFUNCTION("""COMPUTED_VALUE"""),"#N/A")</f>
        <v>#N/A</v>
      </c>
    </row>
    <row r="4846">
      <c r="O4846" s="1" t="str">
        <f>IFERROR(__xludf.DUMMYFUNCTION("""COMPUTED_VALUE"""),"#VALUE!")</f>
        <v>#VALUE!</v>
      </c>
      <c r="P4846" s="1" t="str">
        <f>IFERROR(__xludf.DUMMYFUNCTION("""COMPUTED_VALUE"""),"#N/A")</f>
        <v>#N/A</v>
      </c>
      <c r="Q4846" s="1"/>
      <c r="R4846" s="1"/>
      <c r="S4846" s="1"/>
      <c r="T4846" s="1"/>
      <c r="U4846" s="2">
        <f>IFERROR(__xludf.DUMMYFUNCTION("""COMPUTED_VALUE"""),0.0)</f>
        <v>0</v>
      </c>
      <c r="V4846" s="1" t="str">
        <f>IFERROR(__xludf.DUMMYFUNCTION("""COMPUTED_VALUE"""),"#N/A")</f>
        <v>#N/A</v>
      </c>
      <c r="W4846" s="1" t="str">
        <f>IFERROR(__xludf.DUMMYFUNCTION("""COMPUTED_VALUE"""),"#N/A")</f>
        <v>#N/A</v>
      </c>
    </row>
    <row r="4847">
      <c r="O4847" s="1" t="str">
        <f>IFERROR(__xludf.DUMMYFUNCTION("""COMPUTED_VALUE"""),"#VALUE!")</f>
        <v>#VALUE!</v>
      </c>
      <c r="P4847" s="1" t="str">
        <f>IFERROR(__xludf.DUMMYFUNCTION("""COMPUTED_VALUE"""),"#N/A")</f>
        <v>#N/A</v>
      </c>
      <c r="Q4847" s="1"/>
      <c r="R4847" s="1"/>
      <c r="S4847" s="1"/>
      <c r="T4847" s="1"/>
      <c r="U4847" s="2">
        <f>IFERROR(__xludf.DUMMYFUNCTION("""COMPUTED_VALUE"""),0.0)</f>
        <v>0</v>
      </c>
      <c r="V4847" s="1" t="str">
        <f>IFERROR(__xludf.DUMMYFUNCTION("""COMPUTED_VALUE"""),"#N/A")</f>
        <v>#N/A</v>
      </c>
      <c r="W4847" s="1" t="str">
        <f>IFERROR(__xludf.DUMMYFUNCTION("""COMPUTED_VALUE"""),"#N/A")</f>
        <v>#N/A</v>
      </c>
    </row>
    <row r="4848">
      <c r="O4848" s="1" t="str">
        <f>IFERROR(__xludf.DUMMYFUNCTION("""COMPUTED_VALUE"""),"#VALUE!")</f>
        <v>#VALUE!</v>
      </c>
      <c r="P4848" s="1" t="str">
        <f>IFERROR(__xludf.DUMMYFUNCTION("""COMPUTED_VALUE"""),"#N/A")</f>
        <v>#N/A</v>
      </c>
      <c r="Q4848" s="1"/>
      <c r="R4848" s="1"/>
      <c r="S4848" s="1"/>
      <c r="T4848" s="1"/>
      <c r="U4848" s="2">
        <f>IFERROR(__xludf.DUMMYFUNCTION("""COMPUTED_VALUE"""),0.0)</f>
        <v>0</v>
      </c>
      <c r="V4848" s="1" t="str">
        <f>IFERROR(__xludf.DUMMYFUNCTION("""COMPUTED_VALUE"""),"#N/A")</f>
        <v>#N/A</v>
      </c>
      <c r="W4848" s="1" t="str">
        <f>IFERROR(__xludf.DUMMYFUNCTION("""COMPUTED_VALUE"""),"#N/A")</f>
        <v>#N/A</v>
      </c>
    </row>
    <row r="4849">
      <c r="O4849" s="1" t="str">
        <f>IFERROR(__xludf.DUMMYFUNCTION("""COMPUTED_VALUE"""),"#VALUE!")</f>
        <v>#VALUE!</v>
      </c>
      <c r="P4849" s="1" t="str">
        <f>IFERROR(__xludf.DUMMYFUNCTION("""COMPUTED_VALUE"""),"#N/A")</f>
        <v>#N/A</v>
      </c>
      <c r="Q4849" s="1"/>
      <c r="R4849" s="1"/>
      <c r="S4849" s="1"/>
      <c r="T4849" s="1"/>
      <c r="U4849" s="2">
        <f>IFERROR(__xludf.DUMMYFUNCTION("""COMPUTED_VALUE"""),0.0)</f>
        <v>0</v>
      </c>
      <c r="V4849" s="1" t="str">
        <f>IFERROR(__xludf.DUMMYFUNCTION("""COMPUTED_VALUE"""),"#N/A")</f>
        <v>#N/A</v>
      </c>
      <c r="W4849" s="1" t="str">
        <f>IFERROR(__xludf.DUMMYFUNCTION("""COMPUTED_VALUE"""),"#N/A")</f>
        <v>#N/A</v>
      </c>
    </row>
    <row r="4850">
      <c r="O4850" s="1" t="str">
        <f>IFERROR(__xludf.DUMMYFUNCTION("""COMPUTED_VALUE"""),"#VALUE!")</f>
        <v>#VALUE!</v>
      </c>
      <c r="P4850" s="1" t="str">
        <f>IFERROR(__xludf.DUMMYFUNCTION("""COMPUTED_VALUE"""),"#N/A")</f>
        <v>#N/A</v>
      </c>
      <c r="Q4850" s="1"/>
      <c r="R4850" s="1"/>
      <c r="S4850" s="1"/>
      <c r="T4850" s="1"/>
      <c r="U4850" s="2">
        <f>IFERROR(__xludf.DUMMYFUNCTION("""COMPUTED_VALUE"""),0.0)</f>
        <v>0</v>
      </c>
      <c r="V4850" s="1" t="str">
        <f>IFERROR(__xludf.DUMMYFUNCTION("""COMPUTED_VALUE"""),"#N/A")</f>
        <v>#N/A</v>
      </c>
      <c r="W4850" s="1" t="str">
        <f>IFERROR(__xludf.DUMMYFUNCTION("""COMPUTED_VALUE"""),"#N/A")</f>
        <v>#N/A</v>
      </c>
    </row>
    <row r="4851">
      <c r="O4851" s="1" t="str">
        <f>IFERROR(__xludf.DUMMYFUNCTION("""COMPUTED_VALUE"""),"#VALUE!")</f>
        <v>#VALUE!</v>
      </c>
      <c r="P4851" s="1" t="str">
        <f>IFERROR(__xludf.DUMMYFUNCTION("""COMPUTED_VALUE"""),"#N/A")</f>
        <v>#N/A</v>
      </c>
      <c r="Q4851" s="1"/>
      <c r="R4851" s="1"/>
      <c r="S4851" s="1"/>
      <c r="T4851" s="1"/>
      <c r="U4851" s="2">
        <f>IFERROR(__xludf.DUMMYFUNCTION("""COMPUTED_VALUE"""),0.0)</f>
        <v>0</v>
      </c>
      <c r="V4851" s="1" t="str">
        <f>IFERROR(__xludf.DUMMYFUNCTION("""COMPUTED_VALUE"""),"#N/A")</f>
        <v>#N/A</v>
      </c>
      <c r="W4851" s="1" t="str">
        <f>IFERROR(__xludf.DUMMYFUNCTION("""COMPUTED_VALUE"""),"#N/A")</f>
        <v>#N/A</v>
      </c>
    </row>
    <row r="4852">
      <c r="O4852" s="1" t="str">
        <f>IFERROR(__xludf.DUMMYFUNCTION("""COMPUTED_VALUE"""),"#VALUE!")</f>
        <v>#VALUE!</v>
      </c>
      <c r="P4852" s="1" t="str">
        <f>IFERROR(__xludf.DUMMYFUNCTION("""COMPUTED_VALUE"""),"#N/A")</f>
        <v>#N/A</v>
      </c>
      <c r="Q4852" s="1"/>
      <c r="R4852" s="1"/>
      <c r="S4852" s="1"/>
      <c r="T4852" s="1"/>
      <c r="U4852" s="2">
        <f>IFERROR(__xludf.DUMMYFUNCTION("""COMPUTED_VALUE"""),0.0)</f>
        <v>0</v>
      </c>
      <c r="V4852" s="1" t="str">
        <f>IFERROR(__xludf.DUMMYFUNCTION("""COMPUTED_VALUE"""),"#N/A")</f>
        <v>#N/A</v>
      </c>
      <c r="W4852" s="1" t="str">
        <f>IFERROR(__xludf.DUMMYFUNCTION("""COMPUTED_VALUE"""),"#N/A")</f>
        <v>#N/A</v>
      </c>
    </row>
    <row r="4853">
      <c r="O4853" s="1" t="str">
        <f>IFERROR(__xludf.DUMMYFUNCTION("""COMPUTED_VALUE"""),"#VALUE!")</f>
        <v>#VALUE!</v>
      </c>
      <c r="P4853" s="1" t="str">
        <f>IFERROR(__xludf.DUMMYFUNCTION("""COMPUTED_VALUE"""),"#N/A")</f>
        <v>#N/A</v>
      </c>
      <c r="Q4853" s="1"/>
      <c r="R4853" s="1"/>
      <c r="S4853" s="1"/>
      <c r="T4853" s="1"/>
      <c r="U4853" s="2">
        <f>IFERROR(__xludf.DUMMYFUNCTION("""COMPUTED_VALUE"""),0.0)</f>
        <v>0</v>
      </c>
      <c r="V4853" s="1" t="str">
        <f>IFERROR(__xludf.DUMMYFUNCTION("""COMPUTED_VALUE"""),"#N/A")</f>
        <v>#N/A</v>
      </c>
      <c r="W4853" s="1" t="str">
        <f>IFERROR(__xludf.DUMMYFUNCTION("""COMPUTED_VALUE"""),"#N/A")</f>
        <v>#N/A</v>
      </c>
    </row>
    <row r="4854">
      <c r="O4854" s="1" t="str">
        <f>IFERROR(__xludf.DUMMYFUNCTION("""COMPUTED_VALUE"""),"#VALUE!")</f>
        <v>#VALUE!</v>
      </c>
      <c r="P4854" s="1" t="str">
        <f>IFERROR(__xludf.DUMMYFUNCTION("""COMPUTED_VALUE"""),"#N/A")</f>
        <v>#N/A</v>
      </c>
      <c r="Q4854" s="1"/>
      <c r="R4854" s="1"/>
      <c r="S4854" s="1"/>
      <c r="T4854" s="1"/>
      <c r="U4854" s="2">
        <f>IFERROR(__xludf.DUMMYFUNCTION("""COMPUTED_VALUE"""),0.0)</f>
        <v>0</v>
      </c>
      <c r="V4854" s="1" t="str">
        <f>IFERROR(__xludf.DUMMYFUNCTION("""COMPUTED_VALUE"""),"#N/A")</f>
        <v>#N/A</v>
      </c>
      <c r="W4854" s="1" t="str">
        <f>IFERROR(__xludf.DUMMYFUNCTION("""COMPUTED_VALUE"""),"#N/A")</f>
        <v>#N/A</v>
      </c>
    </row>
    <row r="4855">
      <c r="O4855" s="1" t="str">
        <f>IFERROR(__xludf.DUMMYFUNCTION("""COMPUTED_VALUE"""),"#VALUE!")</f>
        <v>#VALUE!</v>
      </c>
      <c r="P4855" s="1" t="str">
        <f>IFERROR(__xludf.DUMMYFUNCTION("""COMPUTED_VALUE"""),"#N/A")</f>
        <v>#N/A</v>
      </c>
      <c r="Q4855" s="1"/>
      <c r="R4855" s="1"/>
      <c r="S4855" s="1"/>
      <c r="T4855" s="1"/>
      <c r="U4855" s="2">
        <f>IFERROR(__xludf.DUMMYFUNCTION("""COMPUTED_VALUE"""),0.0)</f>
        <v>0</v>
      </c>
      <c r="V4855" s="1" t="str">
        <f>IFERROR(__xludf.DUMMYFUNCTION("""COMPUTED_VALUE"""),"#N/A")</f>
        <v>#N/A</v>
      </c>
      <c r="W4855" s="1" t="str">
        <f>IFERROR(__xludf.DUMMYFUNCTION("""COMPUTED_VALUE"""),"#N/A")</f>
        <v>#N/A</v>
      </c>
    </row>
    <row r="4856">
      <c r="O4856" s="1" t="str">
        <f>IFERROR(__xludf.DUMMYFUNCTION("""COMPUTED_VALUE"""),"#VALUE!")</f>
        <v>#VALUE!</v>
      </c>
      <c r="P4856" s="1" t="str">
        <f>IFERROR(__xludf.DUMMYFUNCTION("""COMPUTED_VALUE"""),"#N/A")</f>
        <v>#N/A</v>
      </c>
      <c r="Q4856" s="1"/>
      <c r="R4856" s="1"/>
      <c r="S4856" s="1"/>
      <c r="T4856" s="1"/>
      <c r="U4856" s="2">
        <f>IFERROR(__xludf.DUMMYFUNCTION("""COMPUTED_VALUE"""),0.0)</f>
        <v>0</v>
      </c>
      <c r="V4856" s="1" t="str">
        <f>IFERROR(__xludf.DUMMYFUNCTION("""COMPUTED_VALUE"""),"#N/A")</f>
        <v>#N/A</v>
      </c>
      <c r="W4856" s="1" t="str">
        <f>IFERROR(__xludf.DUMMYFUNCTION("""COMPUTED_VALUE"""),"#N/A")</f>
        <v>#N/A</v>
      </c>
    </row>
    <row r="4857">
      <c r="O4857" s="1" t="str">
        <f>IFERROR(__xludf.DUMMYFUNCTION("""COMPUTED_VALUE"""),"#VALUE!")</f>
        <v>#VALUE!</v>
      </c>
      <c r="P4857" s="1" t="str">
        <f>IFERROR(__xludf.DUMMYFUNCTION("""COMPUTED_VALUE"""),"#N/A")</f>
        <v>#N/A</v>
      </c>
      <c r="Q4857" s="1"/>
      <c r="R4857" s="1"/>
      <c r="S4857" s="1"/>
      <c r="T4857" s="1"/>
      <c r="U4857" s="2">
        <f>IFERROR(__xludf.DUMMYFUNCTION("""COMPUTED_VALUE"""),0.0)</f>
        <v>0</v>
      </c>
      <c r="V4857" s="1" t="str">
        <f>IFERROR(__xludf.DUMMYFUNCTION("""COMPUTED_VALUE"""),"#N/A")</f>
        <v>#N/A</v>
      </c>
      <c r="W4857" s="1" t="str">
        <f>IFERROR(__xludf.DUMMYFUNCTION("""COMPUTED_VALUE"""),"#N/A")</f>
        <v>#N/A</v>
      </c>
    </row>
    <row r="4858">
      <c r="O4858" s="1" t="str">
        <f>IFERROR(__xludf.DUMMYFUNCTION("""COMPUTED_VALUE"""),"#VALUE!")</f>
        <v>#VALUE!</v>
      </c>
      <c r="P4858" s="1" t="str">
        <f>IFERROR(__xludf.DUMMYFUNCTION("""COMPUTED_VALUE"""),"#N/A")</f>
        <v>#N/A</v>
      </c>
      <c r="Q4858" s="1"/>
      <c r="R4858" s="1"/>
      <c r="S4858" s="1"/>
      <c r="T4858" s="1"/>
      <c r="U4858" s="2">
        <f>IFERROR(__xludf.DUMMYFUNCTION("""COMPUTED_VALUE"""),0.0)</f>
        <v>0</v>
      </c>
      <c r="V4858" s="1" t="str">
        <f>IFERROR(__xludf.DUMMYFUNCTION("""COMPUTED_VALUE"""),"#N/A")</f>
        <v>#N/A</v>
      </c>
      <c r="W4858" s="1" t="str">
        <f>IFERROR(__xludf.DUMMYFUNCTION("""COMPUTED_VALUE"""),"#N/A")</f>
        <v>#N/A</v>
      </c>
    </row>
    <row r="4859">
      <c r="O4859" s="1" t="str">
        <f>IFERROR(__xludf.DUMMYFUNCTION("""COMPUTED_VALUE"""),"#VALUE!")</f>
        <v>#VALUE!</v>
      </c>
      <c r="P4859" s="1" t="str">
        <f>IFERROR(__xludf.DUMMYFUNCTION("""COMPUTED_VALUE"""),"#N/A")</f>
        <v>#N/A</v>
      </c>
      <c r="Q4859" s="1"/>
      <c r="R4859" s="1"/>
      <c r="S4859" s="1"/>
      <c r="T4859" s="1"/>
      <c r="U4859" s="2">
        <f>IFERROR(__xludf.DUMMYFUNCTION("""COMPUTED_VALUE"""),0.0)</f>
        <v>0</v>
      </c>
      <c r="V4859" s="1" t="str">
        <f>IFERROR(__xludf.DUMMYFUNCTION("""COMPUTED_VALUE"""),"#N/A")</f>
        <v>#N/A</v>
      </c>
      <c r="W4859" s="1" t="str">
        <f>IFERROR(__xludf.DUMMYFUNCTION("""COMPUTED_VALUE"""),"#N/A")</f>
        <v>#N/A</v>
      </c>
    </row>
    <row r="4860">
      <c r="O4860" s="1" t="str">
        <f>IFERROR(__xludf.DUMMYFUNCTION("""COMPUTED_VALUE"""),"#VALUE!")</f>
        <v>#VALUE!</v>
      </c>
      <c r="P4860" s="1" t="str">
        <f>IFERROR(__xludf.DUMMYFUNCTION("""COMPUTED_VALUE"""),"#N/A")</f>
        <v>#N/A</v>
      </c>
      <c r="Q4860" s="1"/>
      <c r="R4860" s="1"/>
      <c r="S4860" s="1"/>
      <c r="T4860" s="1"/>
      <c r="U4860" s="2">
        <f>IFERROR(__xludf.DUMMYFUNCTION("""COMPUTED_VALUE"""),0.0)</f>
        <v>0</v>
      </c>
      <c r="V4860" s="1" t="str">
        <f>IFERROR(__xludf.DUMMYFUNCTION("""COMPUTED_VALUE"""),"#N/A")</f>
        <v>#N/A</v>
      </c>
      <c r="W4860" s="1" t="str">
        <f>IFERROR(__xludf.DUMMYFUNCTION("""COMPUTED_VALUE"""),"#N/A")</f>
        <v>#N/A</v>
      </c>
    </row>
    <row r="4861">
      <c r="O4861" s="1" t="str">
        <f>IFERROR(__xludf.DUMMYFUNCTION("""COMPUTED_VALUE"""),"#VALUE!")</f>
        <v>#VALUE!</v>
      </c>
      <c r="P4861" s="1" t="str">
        <f>IFERROR(__xludf.DUMMYFUNCTION("""COMPUTED_VALUE"""),"#N/A")</f>
        <v>#N/A</v>
      </c>
      <c r="Q4861" s="1"/>
      <c r="R4861" s="1"/>
      <c r="S4861" s="1"/>
      <c r="T4861" s="1"/>
      <c r="U4861" s="2">
        <f>IFERROR(__xludf.DUMMYFUNCTION("""COMPUTED_VALUE"""),0.0)</f>
        <v>0</v>
      </c>
      <c r="V4861" s="1" t="str">
        <f>IFERROR(__xludf.DUMMYFUNCTION("""COMPUTED_VALUE"""),"#N/A")</f>
        <v>#N/A</v>
      </c>
      <c r="W4861" s="1" t="str">
        <f>IFERROR(__xludf.DUMMYFUNCTION("""COMPUTED_VALUE"""),"#N/A")</f>
        <v>#N/A</v>
      </c>
    </row>
    <row r="4862">
      <c r="O4862" s="1" t="str">
        <f>IFERROR(__xludf.DUMMYFUNCTION("""COMPUTED_VALUE"""),"#VALUE!")</f>
        <v>#VALUE!</v>
      </c>
      <c r="P4862" s="1" t="str">
        <f>IFERROR(__xludf.DUMMYFUNCTION("""COMPUTED_VALUE"""),"#N/A")</f>
        <v>#N/A</v>
      </c>
      <c r="Q4862" s="1"/>
      <c r="R4862" s="1"/>
      <c r="S4862" s="1"/>
      <c r="T4862" s="1"/>
      <c r="U4862" s="2">
        <f>IFERROR(__xludf.DUMMYFUNCTION("""COMPUTED_VALUE"""),0.0)</f>
        <v>0</v>
      </c>
      <c r="V4862" s="1" t="str">
        <f>IFERROR(__xludf.DUMMYFUNCTION("""COMPUTED_VALUE"""),"#N/A")</f>
        <v>#N/A</v>
      </c>
      <c r="W4862" s="1" t="str">
        <f>IFERROR(__xludf.DUMMYFUNCTION("""COMPUTED_VALUE"""),"#N/A")</f>
        <v>#N/A</v>
      </c>
    </row>
    <row r="4863">
      <c r="O4863" s="1" t="str">
        <f>IFERROR(__xludf.DUMMYFUNCTION("""COMPUTED_VALUE"""),"#VALUE!")</f>
        <v>#VALUE!</v>
      </c>
      <c r="P4863" s="1" t="str">
        <f>IFERROR(__xludf.DUMMYFUNCTION("""COMPUTED_VALUE"""),"#N/A")</f>
        <v>#N/A</v>
      </c>
      <c r="Q4863" s="1"/>
      <c r="R4863" s="1"/>
      <c r="S4863" s="1"/>
      <c r="T4863" s="1"/>
      <c r="U4863" s="2">
        <f>IFERROR(__xludf.DUMMYFUNCTION("""COMPUTED_VALUE"""),0.0)</f>
        <v>0</v>
      </c>
      <c r="V4863" s="1" t="str">
        <f>IFERROR(__xludf.DUMMYFUNCTION("""COMPUTED_VALUE"""),"#N/A")</f>
        <v>#N/A</v>
      </c>
      <c r="W4863" s="1" t="str">
        <f>IFERROR(__xludf.DUMMYFUNCTION("""COMPUTED_VALUE"""),"#N/A")</f>
        <v>#N/A</v>
      </c>
    </row>
    <row r="4864">
      <c r="O4864" s="1" t="str">
        <f>IFERROR(__xludf.DUMMYFUNCTION("""COMPUTED_VALUE"""),"#VALUE!")</f>
        <v>#VALUE!</v>
      </c>
      <c r="P4864" s="1" t="str">
        <f>IFERROR(__xludf.DUMMYFUNCTION("""COMPUTED_VALUE"""),"#N/A")</f>
        <v>#N/A</v>
      </c>
      <c r="Q4864" s="1"/>
      <c r="R4864" s="1"/>
      <c r="S4864" s="1"/>
      <c r="T4864" s="1"/>
      <c r="U4864" s="2">
        <f>IFERROR(__xludf.DUMMYFUNCTION("""COMPUTED_VALUE"""),0.0)</f>
        <v>0</v>
      </c>
      <c r="V4864" s="1" t="str">
        <f>IFERROR(__xludf.DUMMYFUNCTION("""COMPUTED_VALUE"""),"#N/A")</f>
        <v>#N/A</v>
      </c>
      <c r="W4864" s="1" t="str">
        <f>IFERROR(__xludf.DUMMYFUNCTION("""COMPUTED_VALUE"""),"#N/A")</f>
        <v>#N/A</v>
      </c>
    </row>
    <row r="4865">
      <c r="O4865" s="1" t="str">
        <f>IFERROR(__xludf.DUMMYFUNCTION("""COMPUTED_VALUE"""),"#VALUE!")</f>
        <v>#VALUE!</v>
      </c>
      <c r="P4865" s="1" t="str">
        <f>IFERROR(__xludf.DUMMYFUNCTION("""COMPUTED_VALUE"""),"#N/A")</f>
        <v>#N/A</v>
      </c>
      <c r="Q4865" s="1"/>
      <c r="R4865" s="1"/>
      <c r="S4865" s="1"/>
      <c r="T4865" s="1"/>
      <c r="U4865" s="2">
        <f>IFERROR(__xludf.DUMMYFUNCTION("""COMPUTED_VALUE"""),0.0)</f>
        <v>0</v>
      </c>
      <c r="V4865" s="1" t="str">
        <f>IFERROR(__xludf.DUMMYFUNCTION("""COMPUTED_VALUE"""),"#N/A")</f>
        <v>#N/A</v>
      </c>
      <c r="W4865" s="1" t="str">
        <f>IFERROR(__xludf.DUMMYFUNCTION("""COMPUTED_VALUE"""),"#N/A")</f>
        <v>#N/A</v>
      </c>
    </row>
    <row r="4866">
      <c r="O4866" s="1" t="str">
        <f>IFERROR(__xludf.DUMMYFUNCTION("""COMPUTED_VALUE"""),"#VALUE!")</f>
        <v>#VALUE!</v>
      </c>
      <c r="P4866" s="1" t="str">
        <f>IFERROR(__xludf.DUMMYFUNCTION("""COMPUTED_VALUE"""),"#N/A")</f>
        <v>#N/A</v>
      </c>
      <c r="Q4866" s="1"/>
      <c r="R4866" s="1"/>
      <c r="S4866" s="1"/>
      <c r="T4866" s="1"/>
      <c r="U4866" s="2">
        <f>IFERROR(__xludf.DUMMYFUNCTION("""COMPUTED_VALUE"""),0.0)</f>
        <v>0</v>
      </c>
      <c r="V4866" s="1" t="str">
        <f>IFERROR(__xludf.DUMMYFUNCTION("""COMPUTED_VALUE"""),"#N/A")</f>
        <v>#N/A</v>
      </c>
      <c r="W4866" s="1" t="str">
        <f>IFERROR(__xludf.DUMMYFUNCTION("""COMPUTED_VALUE"""),"#N/A")</f>
        <v>#N/A</v>
      </c>
    </row>
    <row r="4867">
      <c r="O4867" s="1" t="str">
        <f>IFERROR(__xludf.DUMMYFUNCTION("""COMPUTED_VALUE"""),"#VALUE!")</f>
        <v>#VALUE!</v>
      </c>
      <c r="P4867" s="1" t="str">
        <f>IFERROR(__xludf.DUMMYFUNCTION("""COMPUTED_VALUE"""),"#N/A")</f>
        <v>#N/A</v>
      </c>
      <c r="Q4867" s="1"/>
      <c r="R4867" s="1"/>
      <c r="S4867" s="1"/>
      <c r="T4867" s="1"/>
      <c r="U4867" s="2">
        <f>IFERROR(__xludf.DUMMYFUNCTION("""COMPUTED_VALUE"""),0.0)</f>
        <v>0</v>
      </c>
      <c r="V4867" s="1" t="str">
        <f>IFERROR(__xludf.DUMMYFUNCTION("""COMPUTED_VALUE"""),"#N/A")</f>
        <v>#N/A</v>
      </c>
      <c r="W4867" s="1" t="str">
        <f>IFERROR(__xludf.DUMMYFUNCTION("""COMPUTED_VALUE"""),"#N/A")</f>
        <v>#N/A</v>
      </c>
    </row>
    <row r="4868">
      <c r="O4868" s="1" t="str">
        <f>IFERROR(__xludf.DUMMYFUNCTION("""COMPUTED_VALUE"""),"#VALUE!")</f>
        <v>#VALUE!</v>
      </c>
      <c r="P4868" s="1" t="str">
        <f>IFERROR(__xludf.DUMMYFUNCTION("""COMPUTED_VALUE"""),"#N/A")</f>
        <v>#N/A</v>
      </c>
      <c r="Q4868" s="1"/>
      <c r="R4868" s="1"/>
      <c r="S4868" s="1"/>
      <c r="T4868" s="1"/>
      <c r="U4868" s="2">
        <f>IFERROR(__xludf.DUMMYFUNCTION("""COMPUTED_VALUE"""),0.0)</f>
        <v>0</v>
      </c>
      <c r="V4868" s="1" t="str">
        <f>IFERROR(__xludf.DUMMYFUNCTION("""COMPUTED_VALUE"""),"#N/A")</f>
        <v>#N/A</v>
      </c>
      <c r="W4868" s="1" t="str">
        <f>IFERROR(__xludf.DUMMYFUNCTION("""COMPUTED_VALUE"""),"#N/A")</f>
        <v>#N/A</v>
      </c>
    </row>
    <row r="4869">
      <c r="O4869" s="1" t="str">
        <f>IFERROR(__xludf.DUMMYFUNCTION("""COMPUTED_VALUE"""),"#VALUE!")</f>
        <v>#VALUE!</v>
      </c>
      <c r="P4869" s="1" t="str">
        <f>IFERROR(__xludf.DUMMYFUNCTION("""COMPUTED_VALUE"""),"#N/A")</f>
        <v>#N/A</v>
      </c>
      <c r="Q4869" s="1"/>
      <c r="R4869" s="1"/>
      <c r="S4869" s="1"/>
      <c r="T4869" s="1"/>
      <c r="U4869" s="2">
        <f>IFERROR(__xludf.DUMMYFUNCTION("""COMPUTED_VALUE"""),0.0)</f>
        <v>0</v>
      </c>
      <c r="V4869" s="1" t="str">
        <f>IFERROR(__xludf.DUMMYFUNCTION("""COMPUTED_VALUE"""),"#N/A")</f>
        <v>#N/A</v>
      </c>
      <c r="W4869" s="1" t="str">
        <f>IFERROR(__xludf.DUMMYFUNCTION("""COMPUTED_VALUE"""),"#N/A")</f>
        <v>#N/A</v>
      </c>
    </row>
    <row r="4870">
      <c r="O4870" s="1" t="str">
        <f>IFERROR(__xludf.DUMMYFUNCTION("""COMPUTED_VALUE"""),"#VALUE!")</f>
        <v>#VALUE!</v>
      </c>
      <c r="P4870" s="1" t="str">
        <f>IFERROR(__xludf.DUMMYFUNCTION("""COMPUTED_VALUE"""),"#N/A")</f>
        <v>#N/A</v>
      </c>
      <c r="Q4870" s="1"/>
      <c r="R4870" s="1"/>
      <c r="S4870" s="1"/>
      <c r="T4870" s="1"/>
      <c r="U4870" s="2">
        <f>IFERROR(__xludf.DUMMYFUNCTION("""COMPUTED_VALUE"""),0.0)</f>
        <v>0</v>
      </c>
      <c r="V4870" s="1" t="str">
        <f>IFERROR(__xludf.DUMMYFUNCTION("""COMPUTED_VALUE"""),"#N/A")</f>
        <v>#N/A</v>
      </c>
      <c r="W4870" s="1" t="str">
        <f>IFERROR(__xludf.DUMMYFUNCTION("""COMPUTED_VALUE"""),"#N/A")</f>
        <v>#N/A</v>
      </c>
    </row>
    <row r="4871">
      <c r="O4871" s="1" t="str">
        <f>IFERROR(__xludf.DUMMYFUNCTION("""COMPUTED_VALUE"""),"#VALUE!")</f>
        <v>#VALUE!</v>
      </c>
      <c r="P4871" s="1" t="str">
        <f>IFERROR(__xludf.DUMMYFUNCTION("""COMPUTED_VALUE"""),"#N/A")</f>
        <v>#N/A</v>
      </c>
      <c r="Q4871" s="1"/>
      <c r="R4871" s="1"/>
      <c r="S4871" s="1"/>
      <c r="T4871" s="1"/>
      <c r="U4871" s="2">
        <f>IFERROR(__xludf.DUMMYFUNCTION("""COMPUTED_VALUE"""),0.0)</f>
        <v>0</v>
      </c>
      <c r="V4871" s="1" t="str">
        <f>IFERROR(__xludf.DUMMYFUNCTION("""COMPUTED_VALUE"""),"#N/A")</f>
        <v>#N/A</v>
      </c>
      <c r="W4871" s="1" t="str">
        <f>IFERROR(__xludf.DUMMYFUNCTION("""COMPUTED_VALUE"""),"#N/A")</f>
        <v>#N/A</v>
      </c>
    </row>
    <row r="4872">
      <c r="O4872" s="1" t="str">
        <f>IFERROR(__xludf.DUMMYFUNCTION("""COMPUTED_VALUE"""),"#VALUE!")</f>
        <v>#VALUE!</v>
      </c>
      <c r="P4872" s="1" t="str">
        <f>IFERROR(__xludf.DUMMYFUNCTION("""COMPUTED_VALUE"""),"#N/A")</f>
        <v>#N/A</v>
      </c>
      <c r="Q4872" s="1"/>
      <c r="R4872" s="1"/>
      <c r="S4872" s="1"/>
      <c r="T4872" s="1"/>
      <c r="U4872" s="2">
        <f>IFERROR(__xludf.DUMMYFUNCTION("""COMPUTED_VALUE"""),0.0)</f>
        <v>0</v>
      </c>
      <c r="V4872" s="1" t="str">
        <f>IFERROR(__xludf.DUMMYFUNCTION("""COMPUTED_VALUE"""),"#N/A")</f>
        <v>#N/A</v>
      </c>
      <c r="W4872" s="1" t="str">
        <f>IFERROR(__xludf.DUMMYFUNCTION("""COMPUTED_VALUE"""),"#N/A")</f>
        <v>#N/A</v>
      </c>
    </row>
    <row r="4873">
      <c r="O4873" s="1" t="str">
        <f>IFERROR(__xludf.DUMMYFUNCTION("""COMPUTED_VALUE"""),"#VALUE!")</f>
        <v>#VALUE!</v>
      </c>
      <c r="P4873" s="1" t="str">
        <f>IFERROR(__xludf.DUMMYFUNCTION("""COMPUTED_VALUE"""),"#N/A")</f>
        <v>#N/A</v>
      </c>
      <c r="Q4873" s="1"/>
      <c r="R4873" s="1"/>
      <c r="S4873" s="1"/>
      <c r="T4873" s="1"/>
      <c r="U4873" s="2">
        <f>IFERROR(__xludf.DUMMYFUNCTION("""COMPUTED_VALUE"""),0.0)</f>
        <v>0</v>
      </c>
      <c r="V4873" s="1" t="str">
        <f>IFERROR(__xludf.DUMMYFUNCTION("""COMPUTED_VALUE"""),"#N/A")</f>
        <v>#N/A</v>
      </c>
      <c r="W4873" s="1" t="str">
        <f>IFERROR(__xludf.DUMMYFUNCTION("""COMPUTED_VALUE"""),"#N/A")</f>
        <v>#N/A</v>
      </c>
    </row>
    <row r="4874">
      <c r="O4874" s="1" t="str">
        <f>IFERROR(__xludf.DUMMYFUNCTION("""COMPUTED_VALUE"""),"#VALUE!")</f>
        <v>#VALUE!</v>
      </c>
      <c r="P4874" s="1" t="str">
        <f>IFERROR(__xludf.DUMMYFUNCTION("""COMPUTED_VALUE"""),"#N/A")</f>
        <v>#N/A</v>
      </c>
      <c r="Q4874" s="1"/>
      <c r="R4874" s="1"/>
      <c r="S4874" s="1"/>
      <c r="T4874" s="1"/>
      <c r="U4874" s="2">
        <f>IFERROR(__xludf.DUMMYFUNCTION("""COMPUTED_VALUE"""),0.0)</f>
        <v>0</v>
      </c>
      <c r="V4874" s="1" t="str">
        <f>IFERROR(__xludf.DUMMYFUNCTION("""COMPUTED_VALUE"""),"#N/A")</f>
        <v>#N/A</v>
      </c>
      <c r="W4874" s="1" t="str">
        <f>IFERROR(__xludf.DUMMYFUNCTION("""COMPUTED_VALUE"""),"#N/A")</f>
        <v>#N/A</v>
      </c>
    </row>
    <row r="4875">
      <c r="O4875" s="1" t="str">
        <f>IFERROR(__xludf.DUMMYFUNCTION("""COMPUTED_VALUE"""),"#VALUE!")</f>
        <v>#VALUE!</v>
      </c>
      <c r="P4875" s="1" t="str">
        <f>IFERROR(__xludf.DUMMYFUNCTION("""COMPUTED_VALUE"""),"#N/A")</f>
        <v>#N/A</v>
      </c>
      <c r="Q4875" s="1"/>
      <c r="R4875" s="1"/>
      <c r="S4875" s="1"/>
      <c r="T4875" s="1"/>
      <c r="U4875" s="2">
        <f>IFERROR(__xludf.DUMMYFUNCTION("""COMPUTED_VALUE"""),0.0)</f>
        <v>0</v>
      </c>
      <c r="V4875" s="1" t="str">
        <f>IFERROR(__xludf.DUMMYFUNCTION("""COMPUTED_VALUE"""),"#N/A")</f>
        <v>#N/A</v>
      </c>
      <c r="W4875" s="1" t="str">
        <f>IFERROR(__xludf.DUMMYFUNCTION("""COMPUTED_VALUE"""),"#N/A")</f>
        <v>#N/A</v>
      </c>
    </row>
    <row r="4876">
      <c r="O4876" s="1" t="str">
        <f>IFERROR(__xludf.DUMMYFUNCTION("""COMPUTED_VALUE"""),"#VALUE!")</f>
        <v>#VALUE!</v>
      </c>
      <c r="P4876" s="1" t="str">
        <f>IFERROR(__xludf.DUMMYFUNCTION("""COMPUTED_VALUE"""),"#N/A")</f>
        <v>#N/A</v>
      </c>
      <c r="Q4876" s="1"/>
      <c r="R4876" s="1"/>
      <c r="S4876" s="1"/>
      <c r="T4876" s="1"/>
      <c r="U4876" s="2">
        <f>IFERROR(__xludf.DUMMYFUNCTION("""COMPUTED_VALUE"""),0.0)</f>
        <v>0</v>
      </c>
      <c r="V4876" s="1" t="str">
        <f>IFERROR(__xludf.DUMMYFUNCTION("""COMPUTED_VALUE"""),"#N/A")</f>
        <v>#N/A</v>
      </c>
      <c r="W4876" s="1" t="str">
        <f>IFERROR(__xludf.DUMMYFUNCTION("""COMPUTED_VALUE"""),"#N/A")</f>
        <v>#N/A</v>
      </c>
    </row>
    <row r="4877">
      <c r="O4877" s="1" t="str">
        <f>IFERROR(__xludf.DUMMYFUNCTION("""COMPUTED_VALUE"""),"#VALUE!")</f>
        <v>#VALUE!</v>
      </c>
      <c r="P4877" s="1" t="str">
        <f>IFERROR(__xludf.DUMMYFUNCTION("""COMPUTED_VALUE"""),"#N/A")</f>
        <v>#N/A</v>
      </c>
      <c r="Q4877" s="1"/>
      <c r="R4877" s="1"/>
      <c r="S4877" s="1"/>
      <c r="T4877" s="1"/>
      <c r="U4877" s="2">
        <f>IFERROR(__xludf.DUMMYFUNCTION("""COMPUTED_VALUE"""),0.0)</f>
        <v>0</v>
      </c>
      <c r="V4877" s="1" t="str">
        <f>IFERROR(__xludf.DUMMYFUNCTION("""COMPUTED_VALUE"""),"#N/A")</f>
        <v>#N/A</v>
      </c>
      <c r="W4877" s="1" t="str">
        <f>IFERROR(__xludf.DUMMYFUNCTION("""COMPUTED_VALUE"""),"#N/A")</f>
        <v>#N/A</v>
      </c>
    </row>
    <row r="4878">
      <c r="O4878" s="1" t="str">
        <f>IFERROR(__xludf.DUMMYFUNCTION("""COMPUTED_VALUE"""),"#VALUE!")</f>
        <v>#VALUE!</v>
      </c>
      <c r="P4878" s="1" t="str">
        <f>IFERROR(__xludf.DUMMYFUNCTION("""COMPUTED_VALUE"""),"#N/A")</f>
        <v>#N/A</v>
      </c>
      <c r="Q4878" s="1"/>
      <c r="R4878" s="1"/>
      <c r="S4878" s="1"/>
      <c r="T4878" s="1"/>
      <c r="U4878" s="2">
        <f>IFERROR(__xludf.DUMMYFUNCTION("""COMPUTED_VALUE"""),0.0)</f>
        <v>0</v>
      </c>
      <c r="V4878" s="1" t="str">
        <f>IFERROR(__xludf.DUMMYFUNCTION("""COMPUTED_VALUE"""),"#N/A")</f>
        <v>#N/A</v>
      </c>
      <c r="W4878" s="1" t="str">
        <f>IFERROR(__xludf.DUMMYFUNCTION("""COMPUTED_VALUE"""),"#N/A")</f>
        <v>#N/A</v>
      </c>
    </row>
    <row r="4879">
      <c r="O4879" s="1" t="str">
        <f>IFERROR(__xludf.DUMMYFUNCTION("""COMPUTED_VALUE"""),"#VALUE!")</f>
        <v>#VALUE!</v>
      </c>
      <c r="P4879" s="1" t="str">
        <f>IFERROR(__xludf.DUMMYFUNCTION("""COMPUTED_VALUE"""),"#N/A")</f>
        <v>#N/A</v>
      </c>
      <c r="Q4879" s="1"/>
      <c r="R4879" s="1"/>
      <c r="S4879" s="1"/>
      <c r="T4879" s="1"/>
      <c r="U4879" s="2">
        <f>IFERROR(__xludf.DUMMYFUNCTION("""COMPUTED_VALUE"""),0.0)</f>
        <v>0</v>
      </c>
      <c r="V4879" s="1" t="str">
        <f>IFERROR(__xludf.DUMMYFUNCTION("""COMPUTED_VALUE"""),"#N/A")</f>
        <v>#N/A</v>
      </c>
      <c r="W4879" s="1" t="str">
        <f>IFERROR(__xludf.DUMMYFUNCTION("""COMPUTED_VALUE"""),"#N/A")</f>
        <v>#N/A</v>
      </c>
    </row>
    <row r="4880">
      <c r="O4880" s="1" t="str">
        <f>IFERROR(__xludf.DUMMYFUNCTION("""COMPUTED_VALUE"""),"#VALUE!")</f>
        <v>#VALUE!</v>
      </c>
      <c r="P4880" s="1" t="str">
        <f>IFERROR(__xludf.DUMMYFUNCTION("""COMPUTED_VALUE"""),"#N/A")</f>
        <v>#N/A</v>
      </c>
      <c r="Q4880" s="1"/>
      <c r="R4880" s="1"/>
      <c r="S4880" s="1"/>
      <c r="T4880" s="1"/>
      <c r="U4880" s="2">
        <f>IFERROR(__xludf.DUMMYFUNCTION("""COMPUTED_VALUE"""),0.0)</f>
        <v>0</v>
      </c>
      <c r="V4880" s="1" t="str">
        <f>IFERROR(__xludf.DUMMYFUNCTION("""COMPUTED_VALUE"""),"#N/A")</f>
        <v>#N/A</v>
      </c>
      <c r="W4880" s="1" t="str">
        <f>IFERROR(__xludf.DUMMYFUNCTION("""COMPUTED_VALUE"""),"#N/A")</f>
        <v>#N/A</v>
      </c>
    </row>
    <row r="4881">
      <c r="O4881" s="1" t="str">
        <f>IFERROR(__xludf.DUMMYFUNCTION("""COMPUTED_VALUE"""),"#VALUE!")</f>
        <v>#VALUE!</v>
      </c>
      <c r="P4881" s="1" t="str">
        <f>IFERROR(__xludf.DUMMYFUNCTION("""COMPUTED_VALUE"""),"#N/A")</f>
        <v>#N/A</v>
      </c>
      <c r="Q4881" s="1"/>
      <c r="R4881" s="1"/>
      <c r="S4881" s="1"/>
      <c r="T4881" s="1"/>
      <c r="U4881" s="2">
        <f>IFERROR(__xludf.DUMMYFUNCTION("""COMPUTED_VALUE"""),0.0)</f>
        <v>0</v>
      </c>
      <c r="V4881" s="1" t="str">
        <f>IFERROR(__xludf.DUMMYFUNCTION("""COMPUTED_VALUE"""),"#N/A")</f>
        <v>#N/A</v>
      </c>
      <c r="W4881" s="1" t="str">
        <f>IFERROR(__xludf.DUMMYFUNCTION("""COMPUTED_VALUE"""),"#N/A")</f>
        <v>#N/A</v>
      </c>
    </row>
    <row r="4882">
      <c r="O4882" s="1" t="str">
        <f>IFERROR(__xludf.DUMMYFUNCTION("""COMPUTED_VALUE"""),"#VALUE!")</f>
        <v>#VALUE!</v>
      </c>
      <c r="P4882" s="1" t="str">
        <f>IFERROR(__xludf.DUMMYFUNCTION("""COMPUTED_VALUE"""),"#N/A")</f>
        <v>#N/A</v>
      </c>
      <c r="Q4882" s="1"/>
      <c r="R4882" s="1"/>
      <c r="S4882" s="1"/>
      <c r="T4882" s="1"/>
      <c r="U4882" s="2">
        <f>IFERROR(__xludf.DUMMYFUNCTION("""COMPUTED_VALUE"""),0.0)</f>
        <v>0</v>
      </c>
      <c r="V4882" s="1" t="str">
        <f>IFERROR(__xludf.DUMMYFUNCTION("""COMPUTED_VALUE"""),"#N/A")</f>
        <v>#N/A</v>
      </c>
      <c r="W4882" s="1" t="str">
        <f>IFERROR(__xludf.DUMMYFUNCTION("""COMPUTED_VALUE"""),"#N/A")</f>
        <v>#N/A</v>
      </c>
    </row>
    <row r="4883">
      <c r="O4883" s="1" t="str">
        <f>IFERROR(__xludf.DUMMYFUNCTION("""COMPUTED_VALUE"""),"#VALUE!")</f>
        <v>#VALUE!</v>
      </c>
      <c r="P4883" s="1" t="str">
        <f>IFERROR(__xludf.DUMMYFUNCTION("""COMPUTED_VALUE"""),"#N/A")</f>
        <v>#N/A</v>
      </c>
      <c r="Q4883" s="1"/>
      <c r="R4883" s="1"/>
      <c r="S4883" s="1"/>
      <c r="T4883" s="1"/>
      <c r="U4883" s="2">
        <f>IFERROR(__xludf.DUMMYFUNCTION("""COMPUTED_VALUE"""),0.0)</f>
        <v>0</v>
      </c>
      <c r="V4883" s="1" t="str">
        <f>IFERROR(__xludf.DUMMYFUNCTION("""COMPUTED_VALUE"""),"#N/A")</f>
        <v>#N/A</v>
      </c>
      <c r="W4883" s="1" t="str">
        <f>IFERROR(__xludf.DUMMYFUNCTION("""COMPUTED_VALUE"""),"#N/A")</f>
        <v>#N/A</v>
      </c>
    </row>
    <row r="4884">
      <c r="O4884" s="1" t="str">
        <f>IFERROR(__xludf.DUMMYFUNCTION("""COMPUTED_VALUE"""),"#VALUE!")</f>
        <v>#VALUE!</v>
      </c>
      <c r="P4884" s="1" t="str">
        <f>IFERROR(__xludf.DUMMYFUNCTION("""COMPUTED_VALUE"""),"#N/A")</f>
        <v>#N/A</v>
      </c>
      <c r="Q4884" s="1"/>
      <c r="R4884" s="1"/>
      <c r="S4884" s="1"/>
      <c r="T4884" s="1"/>
      <c r="U4884" s="2">
        <f>IFERROR(__xludf.DUMMYFUNCTION("""COMPUTED_VALUE"""),0.0)</f>
        <v>0</v>
      </c>
      <c r="V4884" s="1" t="str">
        <f>IFERROR(__xludf.DUMMYFUNCTION("""COMPUTED_VALUE"""),"#N/A")</f>
        <v>#N/A</v>
      </c>
      <c r="W4884" s="1" t="str">
        <f>IFERROR(__xludf.DUMMYFUNCTION("""COMPUTED_VALUE"""),"#N/A")</f>
        <v>#N/A</v>
      </c>
    </row>
    <row r="4885">
      <c r="O4885" s="1" t="str">
        <f>IFERROR(__xludf.DUMMYFUNCTION("""COMPUTED_VALUE"""),"#VALUE!")</f>
        <v>#VALUE!</v>
      </c>
      <c r="P4885" s="1" t="str">
        <f>IFERROR(__xludf.DUMMYFUNCTION("""COMPUTED_VALUE"""),"#N/A")</f>
        <v>#N/A</v>
      </c>
      <c r="Q4885" s="1"/>
      <c r="R4885" s="1"/>
      <c r="S4885" s="1"/>
      <c r="T4885" s="1"/>
      <c r="U4885" s="2">
        <f>IFERROR(__xludf.DUMMYFUNCTION("""COMPUTED_VALUE"""),0.0)</f>
        <v>0</v>
      </c>
      <c r="V4885" s="1" t="str">
        <f>IFERROR(__xludf.DUMMYFUNCTION("""COMPUTED_VALUE"""),"#N/A")</f>
        <v>#N/A</v>
      </c>
      <c r="W4885" s="1" t="str">
        <f>IFERROR(__xludf.DUMMYFUNCTION("""COMPUTED_VALUE"""),"#N/A")</f>
        <v>#N/A</v>
      </c>
    </row>
    <row r="4886">
      <c r="O4886" s="1" t="str">
        <f>IFERROR(__xludf.DUMMYFUNCTION("""COMPUTED_VALUE"""),"#VALUE!")</f>
        <v>#VALUE!</v>
      </c>
      <c r="P4886" s="1" t="str">
        <f>IFERROR(__xludf.DUMMYFUNCTION("""COMPUTED_VALUE"""),"#N/A")</f>
        <v>#N/A</v>
      </c>
      <c r="Q4886" s="1"/>
      <c r="R4886" s="1"/>
      <c r="S4886" s="1"/>
      <c r="T4886" s="1"/>
      <c r="U4886" s="2">
        <f>IFERROR(__xludf.DUMMYFUNCTION("""COMPUTED_VALUE"""),0.0)</f>
        <v>0</v>
      </c>
      <c r="V4886" s="1" t="str">
        <f>IFERROR(__xludf.DUMMYFUNCTION("""COMPUTED_VALUE"""),"#N/A")</f>
        <v>#N/A</v>
      </c>
      <c r="W4886" s="1" t="str">
        <f>IFERROR(__xludf.DUMMYFUNCTION("""COMPUTED_VALUE"""),"#N/A")</f>
        <v>#N/A</v>
      </c>
    </row>
    <row r="4887">
      <c r="O4887" s="1" t="str">
        <f>IFERROR(__xludf.DUMMYFUNCTION("""COMPUTED_VALUE"""),"#VALUE!")</f>
        <v>#VALUE!</v>
      </c>
      <c r="P4887" s="1" t="str">
        <f>IFERROR(__xludf.DUMMYFUNCTION("""COMPUTED_VALUE"""),"#N/A")</f>
        <v>#N/A</v>
      </c>
      <c r="Q4887" s="1"/>
      <c r="R4887" s="1"/>
      <c r="S4887" s="1"/>
      <c r="T4887" s="1"/>
      <c r="U4887" s="2">
        <f>IFERROR(__xludf.DUMMYFUNCTION("""COMPUTED_VALUE"""),0.0)</f>
        <v>0</v>
      </c>
      <c r="V4887" s="1" t="str">
        <f>IFERROR(__xludf.DUMMYFUNCTION("""COMPUTED_VALUE"""),"#N/A")</f>
        <v>#N/A</v>
      </c>
      <c r="W4887" s="1" t="str">
        <f>IFERROR(__xludf.DUMMYFUNCTION("""COMPUTED_VALUE"""),"#N/A")</f>
        <v>#N/A</v>
      </c>
    </row>
    <row r="4888">
      <c r="O4888" s="1" t="str">
        <f>IFERROR(__xludf.DUMMYFUNCTION("""COMPUTED_VALUE"""),"#VALUE!")</f>
        <v>#VALUE!</v>
      </c>
      <c r="P4888" s="1" t="str">
        <f>IFERROR(__xludf.DUMMYFUNCTION("""COMPUTED_VALUE"""),"#N/A")</f>
        <v>#N/A</v>
      </c>
      <c r="Q4888" s="1"/>
      <c r="R4888" s="1"/>
      <c r="S4888" s="1"/>
      <c r="T4888" s="1"/>
      <c r="U4888" s="2">
        <f>IFERROR(__xludf.DUMMYFUNCTION("""COMPUTED_VALUE"""),0.0)</f>
        <v>0</v>
      </c>
      <c r="V4888" s="1" t="str">
        <f>IFERROR(__xludf.DUMMYFUNCTION("""COMPUTED_VALUE"""),"#N/A")</f>
        <v>#N/A</v>
      </c>
      <c r="W4888" s="1" t="str">
        <f>IFERROR(__xludf.DUMMYFUNCTION("""COMPUTED_VALUE"""),"#N/A")</f>
        <v>#N/A</v>
      </c>
    </row>
    <row r="4889">
      <c r="O4889" s="1" t="str">
        <f>IFERROR(__xludf.DUMMYFUNCTION("""COMPUTED_VALUE"""),"#VALUE!")</f>
        <v>#VALUE!</v>
      </c>
      <c r="P4889" s="1" t="str">
        <f>IFERROR(__xludf.DUMMYFUNCTION("""COMPUTED_VALUE"""),"#N/A")</f>
        <v>#N/A</v>
      </c>
      <c r="Q4889" s="1"/>
      <c r="R4889" s="1"/>
      <c r="S4889" s="1"/>
      <c r="T4889" s="1"/>
      <c r="U4889" s="2">
        <f>IFERROR(__xludf.DUMMYFUNCTION("""COMPUTED_VALUE"""),0.0)</f>
        <v>0</v>
      </c>
      <c r="V4889" s="1" t="str">
        <f>IFERROR(__xludf.DUMMYFUNCTION("""COMPUTED_VALUE"""),"#N/A")</f>
        <v>#N/A</v>
      </c>
      <c r="W4889" s="1" t="str">
        <f>IFERROR(__xludf.DUMMYFUNCTION("""COMPUTED_VALUE"""),"#N/A")</f>
        <v>#N/A</v>
      </c>
    </row>
    <row r="4890">
      <c r="O4890" s="1" t="str">
        <f>IFERROR(__xludf.DUMMYFUNCTION("""COMPUTED_VALUE"""),"#VALUE!")</f>
        <v>#VALUE!</v>
      </c>
      <c r="P4890" s="1" t="str">
        <f>IFERROR(__xludf.DUMMYFUNCTION("""COMPUTED_VALUE"""),"#N/A")</f>
        <v>#N/A</v>
      </c>
      <c r="Q4890" s="1"/>
      <c r="R4890" s="1"/>
      <c r="S4890" s="1"/>
      <c r="T4890" s="1"/>
      <c r="U4890" s="2">
        <f>IFERROR(__xludf.DUMMYFUNCTION("""COMPUTED_VALUE"""),0.0)</f>
        <v>0</v>
      </c>
      <c r="V4890" s="1" t="str">
        <f>IFERROR(__xludf.DUMMYFUNCTION("""COMPUTED_VALUE"""),"#N/A")</f>
        <v>#N/A</v>
      </c>
      <c r="W4890" s="1" t="str">
        <f>IFERROR(__xludf.DUMMYFUNCTION("""COMPUTED_VALUE"""),"#N/A")</f>
        <v>#N/A</v>
      </c>
    </row>
    <row r="4891">
      <c r="O4891" s="1" t="str">
        <f>IFERROR(__xludf.DUMMYFUNCTION("""COMPUTED_VALUE"""),"#VALUE!")</f>
        <v>#VALUE!</v>
      </c>
      <c r="P4891" s="1" t="str">
        <f>IFERROR(__xludf.DUMMYFUNCTION("""COMPUTED_VALUE"""),"#N/A")</f>
        <v>#N/A</v>
      </c>
      <c r="Q4891" s="1"/>
      <c r="R4891" s="1"/>
      <c r="S4891" s="1"/>
      <c r="T4891" s="1"/>
      <c r="U4891" s="2">
        <f>IFERROR(__xludf.DUMMYFUNCTION("""COMPUTED_VALUE"""),0.0)</f>
        <v>0</v>
      </c>
      <c r="V4891" s="1" t="str">
        <f>IFERROR(__xludf.DUMMYFUNCTION("""COMPUTED_VALUE"""),"#N/A")</f>
        <v>#N/A</v>
      </c>
      <c r="W4891" s="1" t="str">
        <f>IFERROR(__xludf.DUMMYFUNCTION("""COMPUTED_VALUE"""),"#N/A")</f>
        <v>#N/A</v>
      </c>
    </row>
    <row r="4892">
      <c r="O4892" s="1" t="str">
        <f>IFERROR(__xludf.DUMMYFUNCTION("""COMPUTED_VALUE"""),"#VALUE!")</f>
        <v>#VALUE!</v>
      </c>
      <c r="P4892" s="1" t="str">
        <f>IFERROR(__xludf.DUMMYFUNCTION("""COMPUTED_VALUE"""),"#N/A")</f>
        <v>#N/A</v>
      </c>
      <c r="Q4892" s="1"/>
      <c r="R4892" s="1"/>
      <c r="S4892" s="1"/>
      <c r="T4892" s="1"/>
      <c r="U4892" s="2">
        <f>IFERROR(__xludf.DUMMYFUNCTION("""COMPUTED_VALUE"""),0.0)</f>
        <v>0</v>
      </c>
      <c r="V4892" s="1" t="str">
        <f>IFERROR(__xludf.DUMMYFUNCTION("""COMPUTED_VALUE"""),"#N/A")</f>
        <v>#N/A</v>
      </c>
      <c r="W4892" s="1" t="str">
        <f>IFERROR(__xludf.DUMMYFUNCTION("""COMPUTED_VALUE"""),"#N/A")</f>
        <v>#N/A</v>
      </c>
    </row>
    <row r="4893">
      <c r="O4893" s="1" t="str">
        <f>IFERROR(__xludf.DUMMYFUNCTION("""COMPUTED_VALUE"""),"#VALUE!")</f>
        <v>#VALUE!</v>
      </c>
      <c r="P4893" s="1" t="str">
        <f>IFERROR(__xludf.DUMMYFUNCTION("""COMPUTED_VALUE"""),"#N/A")</f>
        <v>#N/A</v>
      </c>
      <c r="Q4893" s="1"/>
      <c r="R4893" s="1"/>
      <c r="S4893" s="1"/>
      <c r="T4893" s="1"/>
      <c r="U4893" s="2">
        <f>IFERROR(__xludf.DUMMYFUNCTION("""COMPUTED_VALUE"""),0.0)</f>
        <v>0</v>
      </c>
      <c r="V4893" s="1" t="str">
        <f>IFERROR(__xludf.DUMMYFUNCTION("""COMPUTED_VALUE"""),"#N/A")</f>
        <v>#N/A</v>
      </c>
      <c r="W4893" s="1" t="str">
        <f>IFERROR(__xludf.DUMMYFUNCTION("""COMPUTED_VALUE"""),"#N/A")</f>
        <v>#N/A</v>
      </c>
    </row>
    <row r="4894">
      <c r="O4894" s="1" t="str">
        <f>IFERROR(__xludf.DUMMYFUNCTION("""COMPUTED_VALUE"""),"#VALUE!")</f>
        <v>#VALUE!</v>
      </c>
      <c r="P4894" s="1" t="str">
        <f>IFERROR(__xludf.DUMMYFUNCTION("""COMPUTED_VALUE"""),"#N/A")</f>
        <v>#N/A</v>
      </c>
      <c r="Q4894" s="1"/>
      <c r="R4894" s="1"/>
      <c r="S4894" s="1"/>
      <c r="T4894" s="1"/>
      <c r="U4894" s="2">
        <f>IFERROR(__xludf.DUMMYFUNCTION("""COMPUTED_VALUE"""),0.0)</f>
        <v>0</v>
      </c>
      <c r="V4894" s="1" t="str">
        <f>IFERROR(__xludf.DUMMYFUNCTION("""COMPUTED_VALUE"""),"#N/A")</f>
        <v>#N/A</v>
      </c>
      <c r="W4894" s="1" t="str">
        <f>IFERROR(__xludf.DUMMYFUNCTION("""COMPUTED_VALUE"""),"#N/A")</f>
        <v>#N/A</v>
      </c>
    </row>
    <row r="4895">
      <c r="O4895" s="1" t="str">
        <f>IFERROR(__xludf.DUMMYFUNCTION("""COMPUTED_VALUE"""),"#VALUE!")</f>
        <v>#VALUE!</v>
      </c>
      <c r="P4895" s="1" t="str">
        <f>IFERROR(__xludf.DUMMYFUNCTION("""COMPUTED_VALUE"""),"#N/A")</f>
        <v>#N/A</v>
      </c>
      <c r="Q4895" s="1"/>
      <c r="R4895" s="1"/>
      <c r="S4895" s="1"/>
      <c r="T4895" s="1"/>
      <c r="U4895" s="2">
        <f>IFERROR(__xludf.DUMMYFUNCTION("""COMPUTED_VALUE"""),0.0)</f>
        <v>0</v>
      </c>
      <c r="V4895" s="1" t="str">
        <f>IFERROR(__xludf.DUMMYFUNCTION("""COMPUTED_VALUE"""),"#N/A")</f>
        <v>#N/A</v>
      </c>
      <c r="W4895" s="1" t="str">
        <f>IFERROR(__xludf.DUMMYFUNCTION("""COMPUTED_VALUE"""),"#N/A")</f>
        <v>#N/A</v>
      </c>
    </row>
    <row r="4896">
      <c r="O4896" s="1" t="str">
        <f>IFERROR(__xludf.DUMMYFUNCTION("""COMPUTED_VALUE"""),"#VALUE!")</f>
        <v>#VALUE!</v>
      </c>
      <c r="P4896" s="1" t="str">
        <f>IFERROR(__xludf.DUMMYFUNCTION("""COMPUTED_VALUE"""),"#N/A")</f>
        <v>#N/A</v>
      </c>
      <c r="Q4896" s="1"/>
      <c r="R4896" s="1"/>
      <c r="S4896" s="1"/>
      <c r="T4896" s="1"/>
      <c r="U4896" s="2">
        <f>IFERROR(__xludf.DUMMYFUNCTION("""COMPUTED_VALUE"""),0.0)</f>
        <v>0</v>
      </c>
      <c r="V4896" s="1" t="str">
        <f>IFERROR(__xludf.DUMMYFUNCTION("""COMPUTED_VALUE"""),"#N/A")</f>
        <v>#N/A</v>
      </c>
      <c r="W4896" s="1" t="str">
        <f>IFERROR(__xludf.DUMMYFUNCTION("""COMPUTED_VALUE"""),"#N/A")</f>
        <v>#N/A</v>
      </c>
    </row>
    <row r="4897">
      <c r="O4897" s="1" t="str">
        <f>IFERROR(__xludf.DUMMYFUNCTION("""COMPUTED_VALUE"""),"#VALUE!")</f>
        <v>#VALUE!</v>
      </c>
      <c r="P4897" s="1" t="str">
        <f>IFERROR(__xludf.DUMMYFUNCTION("""COMPUTED_VALUE"""),"#N/A")</f>
        <v>#N/A</v>
      </c>
      <c r="Q4897" s="1"/>
      <c r="R4897" s="1"/>
      <c r="S4897" s="1"/>
      <c r="T4897" s="1"/>
      <c r="U4897" s="2">
        <f>IFERROR(__xludf.DUMMYFUNCTION("""COMPUTED_VALUE"""),0.0)</f>
        <v>0</v>
      </c>
      <c r="V4897" s="1" t="str">
        <f>IFERROR(__xludf.DUMMYFUNCTION("""COMPUTED_VALUE"""),"#N/A")</f>
        <v>#N/A</v>
      </c>
      <c r="W4897" s="1" t="str">
        <f>IFERROR(__xludf.DUMMYFUNCTION("""COMPUTED_VALUE"""),"#N/A")</f>
        <v>#N/A</v>
      </c>
    </row>
    <row r="4898">
      <c r="O4898" s="1" t="str">
        <f>IFERROR(__xludf.DUMMYFUNCTION("""COMPUTED_VALUE"""),"#VALUE!")</f>
        <v>#VALUE!</v>
      </c>
      <c r="P4898" s="1" t="str">
        <f>IFERROR(__xludf.DUMMYFUNCTION("""COMPUTED_VALUE"""),"#N/A")</f>
        <v>#N/A</v>
      </c>
      <c r="Q4898" s="1"/>
      <c r="R4898" s="1"/>
      <c r="S4898" s="1"/>
      <c r="T4898" s="1"/>
      <c r="U4898" s="2">
        <f>IFERROR(__xludf.DUMMYFUNCTION("""COMPUTED_VALUE"""),0.0)</f>
        <v>0</v>
      </c>
      <c r="V4898" s="1" t="str">
        <f>IFERROR(__xludf.DUMMYFUNCTION("""COMPUTED_VALUE"""),"#N/A")</f>
        <v>#N/A</v>
      </c>
      <c r="W4898" s="1" t="str">
        <f>IFERROR(__xludf.DUMMYFUNCTION("""COMPUTED_VALUE"""),"#N/A")</f>
        <v>#N/A</v>
      </c>
    </row>
    <row r="4899">
      <c r="O4899" s="1" t="str">
        <f>IFERROR(__xludf.DUMMYFUNCTION("""COMPUTED_VALUE"""),"#VALUE!")</f>
        <v>#VALUE!</v>
      </c>
      <c r="P4899" s="1" t="str">
        <f>IFERROR(__xludf.DUMMYFUNCTION("""COMPUTED_VALUE"""),"#N/A")</f>
        <v>#N/A</v>
      </c>
      <c r="Q4899" s="1"/>
      <c r="R4899" s="1"/>
      <c r="S4899" s="1"/>
      <c r="T4899" s="1"/>
      <c r="U4899" s="2">
        <f>IFERROR(__xludf.DUMMYFUNCTION("""COMPUTED_VALUE"""),0.0)</f>
        <v>0</v>
      </c>
      <c r="V4899" s="1" t="str">
        <f>IFERROR(__xludf.DUMMYFUNCTION("""COMPUTED_VALUE"""),"#N/A")</f>
        <v>#N/A</v>
      </c>
      <c r="W4899" s="1" t="str">
        <f>IFERROR(__xludf.DUMMYFUNCTION("""COMPUTED_VALUE"""),"#N/A")</f>
        <v>#N/A</v>
      </c>
    </row>
    <row r="4900">
      <c r="O4900" s="1" t="str">
        <f>IFERROR(__xludf.DUMMYFUNCTION("""COMPUTED_VALUE"""),"#VALUE!")</f>
        <v>#VALUE!</v>
      </c>
      <c r="P4900" s="1" t="str">
        <f>IFERROR(__xludf.DUMMYFUNCTION("""COMPUTED_VALUE"""),"#N/A")</f>
        <v>#N/A</v>
      </c>
      <c r="Q4900" s="1"/>
      <c r="R4900" s="1"/>
      <c r="S4900" s="1"/>
      <c r="T4900" s="1"/>
      <c r="U4900" s="2">
        <f>IFERROR(__xludf.DUMMYFUNCTION("""COMPUTED_VALUE"""),0.0)</f>
        <v>0</v>
      </c>
      <c r="V4900" s="1" t="str">
        <f>IFERROR(__xludf.DUMMYFUNCTION("""COMPUTED_VALUE"""),"#N/A")</f>
        <v>#N/A</v>
      </c>
      <c r="W4900" s="1" t="str">
        <f>IFERROR(__xludf.DUMMYFUNCTION("""COMPUTED_VALUE"""),"#N/A")</f>
        <v>#N/A</v>
      </c>
    </row>
    <row r="4901">
      <c r="O4901" s="1" t="str">
        <f>IFERROR(__xludf.DUMMYFUNCTION("""COMPUTED_VALUE"""),"#VALUE!")</f>
        <v>#VALUE!</v>
      </c>
      <c r="P4901" s="1" t="str">
        <f>IFERROR(__xludf.DUMMYFUNCTION("""COMPUTED_VALUE"""),"#N/A")</f>
        <v>#N/A</v>
      </c>
      <c r="Q4901" s="1"/>
      <c r="R4901" s="1"/>
      <c r="S4901" s="1"/>
      <c r="T4901" s="1"/>
      <c r="U4901" s="2">
        <f>IFERROR(__xludf.DUMMYFUNCTION("""COMPUTED_VALUE"""),0.0)</f>
        <v>0</v>
      </c>
      <c r="V4901" s="1" t="str">
        <f>IFERROR(__xludf.DUMMYFUNCTION("""COMPUTED_VALUE"""),"#N/A")</f>
        <v>#N/A</v>
      </c>
      <c r="W4901" s="1" t="str">
        <f>IFERROR(__xludf.DUMMYFUNCTION("""COMPUTED_VALUE"""),"#N/A")</f>
        <v>#N/A</v>
      </c>
    </row>
    <row r="4902">
      <c r="O4902" s="1" t="str">
        <f>IFERROR(__xludf.DUMMYFUNCTION("""COMPUTED_VALUE"""),"#VALUE!")</f>
        <v>#VALUE!</v>
      </c>
      <c r="P4902" s="1" t="str">
        <f>IFERROR(__xludf.DUMMYFUNCTION("""COMPUTED_VALUE"""),"#N/A")</f>
        <v>#N/A</v>
      </c>
      <c r="Q4902" s="1"/>
      <c r="R4902" s="1"/>
      <c r="S4902" s="1"/>
      <c r="T4902" s="1"/>
      <c r="U4902" s="2">
        <f>IFERROR(__xludf.DUMMYFUNCTION("""COMPUTED_VALUE"""),0.0)</f>
        <v>0</v>
      </c>
      <c r="V4902" s="1" t="str">
        <f>IFERROR(__xludf.DUMMYFUNCTION("""COMPUTED_VALUE"""),"#N/A")</f>
        <v>#N/A</v>
      </c>
      <c r="W4902" s="1" t="str">
        <f>IFERROR(__xludf.DUMMYFUNCTION("""COMPUTED_VALUE"""),"#N/A")</f>
        <v>#N/A</v>
      </c>
    </row>
    <row r="4903">
      <c r="O4903" s="1" t="str">
        <f>IFERROR(__xludf.DUMMYFUNCTION("""COMPUTED_VALUE"""),"#VALUE!")</f>
        <v>#VALUE!</v>
      </c>
      <c r="P4903" s="1" t="str">
        <f>IFERROR(__xludf.DUMMYFUNCTION("""COMPUTED_VALUE"""),"#N/A")</f>
        <v>#N/A</v>
      </c>
      <c r="Q4903" s="1"/>
      <c r="R4903" s="1"/>
      <c r="S4903" s="1"/>
      <c r="T4903" s="1"/>
      <c r="U4903" s="2">
        <f>IFERROR(__xludf.DUMMYFUNCTION("""COMPUTED_VALUE"""),0.0)</f>
        <v>0</v>
      </c>
      <c r="V4903" s="1" t="str">
        <f>IFERROR(__xludf.DUMMYFUNCTION("""COMPUTED_VALUE"""),"#N/A")</f>
        <v>#N/A</v>
      </c>
      <c r="W4903" s="1" t="str">
        <f>IFERROR(__xludf.DUMMYFUNCTION("""COMPUTED_VALUE"""),"#N/A")</f>
        <v>#N/A</v>
      </c>
    </row>
    <row r="4904">
      <c r="O4904" s="1" t="str">
        <f>IFERROR(__xludf.DUMMYFUNCTION("""COMPUTED_VALUE"""),"#VALUE!")</f>
        <v>#VALUE!</v>
      </c>
      <c r="P4904" s="1" t="str">
        <f>IFERROR(__xludf.DUMMYFUNCTION("""COMPUTED_VALUE"""),"#N/A")</f>
        <v>#N/A</v>
      </c>
      <c r="Q4904" s="1"/>
      <c r="R4904" s="1"/>
      <c r="S4904" s="1"/>
      <c r="T4904" s="1"/>
      <c r="U4904" s="2">
        <f>IFERROR(__xludf.DUMMYFUNCTION("""COMPUTED_VALUE"""),0.0)</f>
        <v>0</v>
      </c>
      <c r="V4904" s="1" t="str">
        <f>IFERROR(__xludf.DUMMYFUNCTION("""COMPUTED_VALUE"""),"#N/A")</f>
        <v>#N/A</v>
      </c>
      <c r="W4904" s="1" t="str">
        <f>IFERROR(__xludf.DUMMYFUNCTION("""COMPUTED_VALUE"""),"#N/A")</f>
        <v>#N/A</v>
      </c>
    </row>
    <row r="4905">
      <c r="O4905" s="1" t="str">
        <f>IFERROR(__xludf.DUMMYFUNCTION("""COMPUTED_VALUE"""),"#VALUE!")</f>
        <v>#VALUE!</v>
      </c>
      <c r="P4905" s="1" t="str">
        <f>IFERROR(__xludf.DUMMYFUNCTION("""COMPUTED_VALUE"""),"#N/A")</f>
        <v>#N/A</v>
      </c>
      <c r="Q4905" s="1"/>
      <c r="R4905" s="1"/>
      <c r="S4905" s="1"/>
      <c r="T4905" s="1"/>
      <c r="U4905" s="2">
        <f>IFERROR(__xludf.DUMMYFUNCTION("""COMPUTED_VALUE"""),0.0)</f>
        <v>0</v>
      </c>
      <c r="V4905" s="1" t="str">
        <f>IFERROR(__xludf.DUMMYFUNCTION("""COMPUTED_VALUE"""),"#N/A")</f>
        <v>#N/A</v>
      </c>
      <c r="W4905" s="1" t="str">
        <f>IFERROR(__xludf.DUMMYFUNCTION("""COMPUTED_VALUE"""),"#N/A")</f>
        <v>#N/A</v>
      </c>
    </row>
    <row r="4906">
      <c r="O4906" s="1" t="str">
        <f>IFERROR(__xludf.DUMMYFUNCTION("""COMPUTED_VALUE"""),"#VALUE!")</f>
        <v>#VALUE!</v>
      </c>
      <c r="P4906" s="1" t="str">
        <f>IFERROR(__xludf.DUMMYFUNCTION("""COMPUTED_VALUE"""),"#N/A")</f>
        <v>#N/A</v>
      </c>
      <c r="Q4906" s="1"/>
      <c r="R4906" s="1"/>
      <c r="S4906" s="1"/>
      <c r="T4906" s="1"/>
      <c r="U4906" s="2">
        <f>IFERROR(__xludf.DUMMYFUNCTION("""COMPUTED_VALUE"""),0.0)</f>
        <v>0</v>
      </c>
      <c r="V4906" s="1" t="str">
        <f>IFERROR(__xludf.DUMMYFUNCTION("""COMPUTED_VALUE"""),"#N/A")</f>
        <v>#N/A</v>
      </c>
      <c r="W4906" s="1" t="str">
        <f>IFERROR(__xludf.DUMMYFUNCTION("""COMPUTED_VALUE"""),"#N/A")</f>
        <v>#N/A</v>
      </c>
    </row>
    <row r="4907">
      <c r="O4907" s="1" t="str">
        <f>IFERROR(__xludf.DUMMYFUNCTION("""COMPUTED_VALUE"""),"#VALUE!")</f>
        <v>#VALUE!</v>
      </c>
      <c r="P4907" s="1" t="str">
        <f>IFERROR(__xludf.DUMMYFUNCTION("""COMPUTED_VALUE"""),"#N/A")</f>
        <v>#N/A</v>
      </c>
      <c r="Q4907" s="1"/>
      <c r="R4907" s="1"/>
      <c r="S4907" s="1"/>
      <c r="T4907" s="1"/>
      <c r="U4907" s="2">
        <f>IFERROR(__xludf.DUMMYFUNCTION("""COMPUTED_VALUE"""),0.0)</f>
        <v>0</v>
      </c>
      <c r="V4907" s="1" t="str">
        <f>IFERROR(__xludf.DUMMYFUNCTION("""COMPUTED_VALUE"""),"#N/A")</f>
        <v>#N/A</v>
      </c>
      <c r="W4907" s="1" t="str">
        <f>IFERROR(__xludf.DUMMYFUNCTION("""COMPUTED_VALUE"""),"#N/A")</f>
        <v>#N/A</v>
      </c>
    </row>
    <row r="4908">
      <c r="O4908" s="1" t="str">
        <f>IFERROR(__xludf.DUMMYFUNCTION("""COMPUTED_VALUE"""),"#VALUE!")</f>
        <v>#VALUE!</v>
      </c>
      <c r="P4908" s="1" t="str">
        <f>IFERROR(__xludf.DUMMYFUNCTION("""COMPUTED_VALUE"""),"#N/A")</f>
        <v>#N/A</v>
      </c>
      <c r="Q4908" s="1"/>
      <c r="R4908" s="1"/>
      <c r="S4908" s="1"/>
      <c r="T4908" s="1"/>
      <c r="U4908" s="2">
        <f>IFERROR(__xludf.DUMMYFUNCTION("""COMPUTED_VALUE"""),0.0)</f>
        <v>0</v>
      </c>
      <c r="V4908" s="1" t="str">
        <f>IFERROR(__xludf.DUMMYFUNCTION("""COMPUTED_VALUE"""),"#N/A")</f>
        <v>#N/A</v>
      </c>
      <c r="W4908" s="1" t="str">
        <f>IFERROR(__xludf.DUMMYFUNCTION("""COMPUTED_VALUE"""),"#N/A")</f>
        <v>#N/A</v>
      </c>
    </row>
    <row r="4909">
      <c r="O4909" s="1" t="str">
        <f>IFERROR(__xludf.DUMMYFUNCTION("""COMPUTED_VALUE"""),"#VALUE!")</f>
        <v>#VALUE!</v>
      </c>
      <c r="P4909" s="1" t="str">
        <f>IFERROR(__xludf.DUMMYFUNCTION("""COMPUTED_VALUE"""),"#N/A")</f>
        <v>#N/A</v>
      </c>
      <c r="Q4909" s="1"/>
      <c r="R4909" s="1"/>
      <c r="S4909" s="1"/>
      <c r="T4909" s="1"/>
      <c r="U4909" s="2">
        <f>IFERROR(__xludf.DUMMYFUNCTION("""COMPUTED_VALUE"""),0.0)</f>
        <v>0</v>
      </c>
      <c r="V4909" s="1" t="str">
        <f>IFERROR(__xludf.DUMMYFUNCTION("""COMPUTED_VALUE"""),"#N/A")</f>
        <v>#N/A</v>
      </c>
      <c r="W4909" s="1" t="str">
        <f>IFERROR(__xludf.DUMMYFUNCTION("""COMPUTED_VALUE"""),"#N/A")</f>
        <v>#N/A</v>
      </c>
    </row>
    <row r="4910">
      <c r="O4910" s="1" t="str">
        <f>IFERROR(__xludf.DUMMYFUNCTION("""COMPUTED_VALUE"""),"#VALUE!")</f>
        <v>#VALUE!</v>
      </c>
      <c r="P4910" s="1" t="str">
        <f>IFERROR(__xludf.DUMMYFUNCTION("""COMPUTED_VALUE"""),"#N/A")</f>
        <v>#N/A</v>
      </c>
      <c r="Q4910" s="1"/>
      <c r="R4910" s="1"/>
      <c r="S4910" s="1"/>
      <c r="T4910" s="1"/>
      <c r="U4910" s="2">
        <f>IFERROR(__xludf.DUMMYFUNCTION("""COMPUTED_VALUE"""),0.0)</f>
        <v>0</v>
      </c>
      <c r="V4910" s="1" t="str">
        <f>IFERROR(__xludf.DUMMYFUNCTION("""COMPUTED_VALUE"""),"#N/A")</f>
        <v>#N/A</v>
      </c>
      <c r="W4910" s="1" t="str">
        <f>IFERROR(__xludf.DUMMYFUNCTION("""COMPUTED_VALUE"""),"#N/A")</f>
        <v>#N/A</v>
      </c>
    </row>
    <row r="4911">
      <c r="O4911" s="1" t="str">
        <f>IFERROR(__xludf.DUMMYFUNCTION("""COMPUTED_VALUE"""),"#VALUE!")</f>
        <v>#VALUE!</v>
      </c>
      <c r="P4911" s="1" t="str">
        <f>IFERROR(__xludf.DUMMYFUNCTION("""COMPUTED_VALUE"""),"#N/A")</f>
        <v>#N/A</v>
      </c>
      <c r="Q4911" s="1"/>
      <c r="R4911" s="1"/>
      <c r="S4911" s="1"/>
      <c r="T4911" s="1"/>
      <c r="U4911" s="2">
        <f>IFERROR(__xludf.DUMMYFUNCTION("""COMPUTED_VALUE"""),0.0)</f>
        <v>0</v>
      </c>
      <c r="V4911" s="1" t="str">
        <f>IFERROR(__xludf.DUMMYFUNCTION("""COMPUTED_VALUE"""),"#N/A")</f>
        <v>#N/A</v>
      </c>
      <c r="W4911" s="1" t="str">
        <f>IFERROR(__xludf.DUMMYFUNCTION("""COMPUTED_VALUE"""),"#N/A")</f>
        <v>#N/A</v>
      </c>
    </row>
    <row r="4912">
      <c r="O4912" s="1" t="str">
        <f>IFERROR(__xludf.DUMMYFUNCTION("""COMPUTED_VALUE"""),"#VALUE!")</f>
        <v>#VALUE!</v>
      </c>
      <c r="P4912" s="1" t="str">
        <f>IFERROR(__xludf.DUMMYFUNCTION("""COMPUTED_VALUE"""),"#N/A")</f>
        <v>#N/A</v>
      </c>
      <c r="Q4912" s="1"/>
      <c r="R4912" s="1"/>
      <c r="S4912" s="1"/>
      <c r="T4912" s="1"/>
      <c r="U4912" s="2">
        <f>IFERROR(__xludf.DUMMYFUNCTION("""COMPUTED_VALUE"""),0.0)</f>
        <v>0</v>
      </c>
      <c r="V4912" s="1" t="str">
        <f>IFERROR(__xludf.DUMMYFUNCTION("""COMPUTED_VALUE"""),"#N/A")</f>
        <v>#N/A</v>
      </c>
      <c r="W4912" s="1" t="str">
        <f>IFERROR(__xludf.DUMMYFUNCTION("""COMPUTED_VALUE"""),"#N/A")</f>
        <v>#N/A</v>
      </c>
    </row>
    <row r="4913">
      <c r="O4913" s="1" t="str">
        <f>IFERROR(__xludf.DUMMYFUNCTION("""COMPUTED_VALUE"""),"#VALUE!")</f>
        <v>#VALUE!</v>
      </c>
      <c r="P4913" s="1" t="str">
        <f>IFERROR(__xludf.DUMMYFUNCTION("""COMPUTED_VALUE"""),"#N/A")</f>
        <v>#N/A</v>
      </c>
      <c r="Q4913" s="1"/>
      <c r="R4913" s="1"/>
      <c r="S4913" s="1"/>
      <c r="T4913" s="1"/>
      <c r="U4913" s="2">
        <f>IFERROR(__xludf.DUMMYFUNCTION("""COMPUTED_VALUE"""),0.0)</f>
        <v>0</v>
      </c>
      <c r="V4913" s="1" t="str">
        <f>IFERROR(__xludf.DUMMYFUNCTION("""COMPUTED_VALUE"""),"#N/A")</f>
        <v>#N/A</v>
      </c>
      <c r="W4913" s="1" t="str">
        <f>IFERROR(__xludf.DUMMYFUNCTION("""COMPUTED_VALUE"""),"#N/A")</f>
        <v>#N/A</v>
      </c>
    </row>
    <row r="4914">
      <c r="O4914" s="1" t="str">
        <f>IFERROR(__xludf.DUMMYFUNCTION("""COMPUTED_VALUE"""),"#VALUE!")</f>
        <v>#VALUE!</v>
      </c>
      <c r="P4914" s="1" t="str">
        <f>IFERROR(__xludf.DUMMYFUNCTION("""COMPUTED_VALUE"""),"#N/A")</f>
        <v>#N/A</v>
      </c>
      <c r="Q4914" s="1"/>
      <c r="R4914" s="1"/>
      <c r="S4914" s="1"/>
      <c r="T4914" s="1"/>
      <c r="U4914" s="2">
        <f>IFERROR(__xludf.DUMMYFUNCTION("""COMPUTED_VALUE"""),0.0)</f>
        <v>0</v>
      </c>
      <c r="V4914" s="1" t="str">
        <f>IFERROR(__xludf.DUMMYFUNCTION("""COMPUTED_VALUE"""),"#N/A")</f>
        <v>#N/A</v>
      </c>
      <c r="W4914" s="1" t="str">
        <f>IFERROR(__xludf.DUMMYFUNCTION("""COMPUTED_VALUE"""),"#N/A")</f>
        <v>#N/A</v>
      </c>
    </row>
    <row r="4915">
      <c r="O4915" s="1" t="str">
        <f>IFERROR(__xludf.DUMMYFUNCTION("""COMPUTED_VALUE"""),"#VALUE!")</f>
        <v>#VALUE!</v>
      </c>
      <c r="P4915" s="1" t="str">
        <f>IFERROR(__xludf.DUMMYFUNCTION("""COMPUTED_VALUE"""),"#N/A")</f>
        <v>#N/A</v>
      </c>
      <c r="Q4915" s="1"/>
      <c r="R4915" s="1"/>
      <c r="S4915" s="1"/>
      <c r="T4915" s="1"/>
      <c r="U4915" s="2">
        <f>IFERROR(__xludf.DUMMYFUNCTION("""COMPUTED_VALUE"""),0.0)</f>
        <v>0</v>
      </c>
      <c r="V4915" s="1" t="str">
        <f>IFERROR(__xludf.DUMMYFUNCTION("""COMPUTED_VALUE"""),"#N/A")</f>
        <v>#N/A</v>
      </c>
      <c r="W4915" s="1" t="str">
        <f>IFERROR(__xludf.DUMMYFUNCTION("""COMPUTED_VALUE"""),"#N/A")</f>
        <v>#N/A</v>
      </c>
    </row>
    <row r="4916">
      <c r="O4916" s="1" t="str">
        <f>IFERROR(__xludf.DUMMYFUNCTION("""COMPUTED_VALUE"""),"#VALUE!")</f>
        <v>#VALUE!</v>
      </c>
      <c r="P4916" s="1" t="str">
        <f>IFERROR(__xludf.DUMMYFUNCTION("""COMPUTED_VALUE"""),"#N/A")</f>
        <v>#N/A</v>
      </c>
      <c r="Q4916" s="1"/>
      <c r="R4916" s="1"/>
      <c r="S4916" s="1"/>
      <c r="T4916" s="1"/>
      <c r="U4916" s="2">
        <f>IFERROR(__xludf.DUMMYFUNCTION("""COMPUTED_VALUE"""),0.0)</f>
        <v>0</v>
      </c>
      <c r="V4916" s="1" t="str">
        <f>IFERROR(__xludf.DUMMYFUNCTION("""COMPUTED_VALUE"""),"#N/A")</f>
        <v>#N/A</v>
      </c>
      <c r="W4916" s="1" t="str">
        <f>IFERROR(__xludf.DUMMYFUNCTION("""COMPUTED_VALUE"""),"#N/A")</f>
        <v>#N/A</v>
      </c>
    </row>
    <row r="4917">
      <c r="O4917" s="1" t="str">
        <f>IFERROR(__xludf.DUMMYFUNCTION("""COMPUTED_VALUE"""),"#VALUE!")</f>
        <v>#VALUE!</v>
      </c>
      <c r="P4917" s="1" t="str">
        <f>IFERROR(__xludf.DUMMYFUNCTION("""COMPUTED_VALUE"""),"#N/A")</f>
        <v>#N/A</v>
      </c>
      <c r="Q4917" s="1"/>
      <c r="R4917" s="1"/>
      <c r="S4917" s="1"/>
      <c r="T4917" s="1"/>
      <c r="U4917" s="2">
        <f>IFERROR(__xludf.DUMMYFUNCTION("""COMPUTED_VALUE"""),0.0)</f>
        <v>0</v>
      </c>
      <c r="V4917" s="1" t="str">
        <f>IFERROR(__xludf.DUMMYFUNCTION("""COMPUTED_VALUE"""),"#N/A")</f>
        <v>#N/A</v>
      </c>
      <c r="W4917" s="1" t="str">
        <f>IFERROR(__xludf.DUMMYFUNCTION("""COMPUTED_VALUE"""),"#N/A")</f>
        <v>#N/A</v>
      </c>
    </row>
    <row r="4918">
      <c r="O4918" s="1" t="str">
        <f>IFERROR(__xludf.DUMMYFUNCTION("""COMPUTED_VALUE"""),"#VALUE!")</f>
        <v>#VALUE!</v>
      </c>
      <c r="P4918" s="1" t="str">
        <f>IFERROR(__xludf.DUMMYFUNCTION("""COMPUTED_VALUE"""),"#N/A")</f>
        <v>#N/A</v>
      </c>
      <c r="Q4918" s="1"/>
      <c r="R4918" s="1"/>
      <c r="S4918" s="1"/>
      <c r="T4918" s="1"/>
      <c r="U4918" s="2">
        <f>IFERROR(__xludf.DUMMYFUNCTION("""COMPUTED_VALUE"""),0.0)</f>
        <v>0</v>
      </c>
      <c r="V4918" s="1" t="str">
        <f>IFERROR(__xludf.DUMMYFUNCTION("""COMPUTED_VALUE"""),"#N/A")</f>
        <v>#N/A</v>
      </c>
      <c r="W4918" s="1" t="str">
        <f>IFERROR(__xludf.DUMMYFUNCTION("""COMPUTED_VALUE"""),"#N/A")</f>
        <v>#N/A</v>
      </c>
    </row>
    <row r="4919">
      <c r="O4919" s="1" t="str">
        <f>IFERROR(__xludf.DUMMYFUNCTION("""COMPUTED_VALUE"""),"#VALUE!")</f>
        <v>#VALUE!</v>
      </c>
      <c r="P4919" s="1" t="str">
        <f>IFERROR(__xludf.DUMMYFUNCTION("""COMPUTED_VALUE"""),"#N/A")</f>
        <v>#N/A</v>
      </c>
      <c r="Q4919" s="1"/>
      <c r="R4919" s="1"/>
      <c r="S4919" s="1"/>
      <c r="T4919" s="1"/>
      <c r="U4919" s="2">
        <f>IFERROR(__xludf.DUMMYFUNCTION("""COMPUTED_VALUE"""),0.0)</f>
        <v>0</v>
      </c>
      <c r="V4919" s="1" t="str">
        <f>IFERROR(__xludf.DUMMYFUNCTION("""COMPUTED_VALUE"""),"#N/A")</f>
        <v>#N/A</v>
      </c>
      <c r="W4919" s="1" t="str">
        <f>IFERROR(__xludf.DUMMYFUNCTION("""COMPUTED_VALUE"""),"#N/A")</f>
        <v>#N/A</v>
      </c>
    </row>
    <row r="4920">
      <c r="O4920" s="1" t="str">
        <f>IFERROR(__xludf.DUMMYFUNCTION("""COMPUTED_VALUE"""),"#VALUE!")</f>
        <v>#VALUE!</v>
      </c>
      <c r="P4920" s="1" t="str">
        <f>IFERROR(__xludf.DUMMYFUNCTION("""COMPUTED_VALUE"""),"#N/A")</f>
        <v>#N/A</v>
      </c>
      <c r="Q4920" s="1"/>
      <c r="R4920" s="1"/>
      <c r="S4920" s="1"/>
      <c r="T4920" s="1"/>
      <c r="U4920" s="2">
        <f>IFERROR(__xludf.DUMMYFUNCTION("""COMPUTED_VALUE"""),0.0)</f>
        <v>0</v>
      </c>
      <c r="V4920" s="1" t="str">
        <f>IFERROR(__xludf.DUMMYFUNCTION("""COMPUTED_VALUE"""),"#N/A")</f>
        <v>#N/A</v>
      </c>
      <c r="W4920" s="1" t="str">
        <f>IFERROR(__xludf.DUMMYFUNCTION("""COMPUTED_VALUE"""),"#N/A")</f>
        <v>#N/A</v>
      </c>
    </row>
    <row r="4921">
      <c r="O4921" s="1" t="str">
        <f>IFERROR(__xludf.DUMMYFUNCTION("""COMPUTED_VALUE"""),"#VALUE!")</f>
        <v>#VALUE!</v>
      </c>
      <c r="P4921" s="1" t="str">
        <f>IFERROR(__xludf.DUMMYFUNCTION("""COMPUTED_VALUE"""),"#N/A")</f>
        <v>#N/A</v>
      </c>
      <c r="Q4921" s="1"/>
      <c r="R4921" s="1"/>
      <c r="S4921" s="1"/>
      <c r="T4921" s="1"/>
      <c r="U4921" s="2">
        <f>IFERROR(__xludf.DUMMYFUNCTION("""COMPUTED_VALUE"""),0.0)</f>
        <v>0</v>
      </c>
      <c r="V4921" s="1" t="str">
        <f>IFERROR(__xludf.DUMMYFUNCTION("""COMPUTED_VALUE"""),"#N/A")</f>
        <v>#N/A</v>
      </c>
      <c r="W4921" s="1" t="str">
        <f>IFERROR(__xludf.DUMMYFUNCTION("""COMPUTED_VALUE"""),"#N/A")</f>
        <v>#N/A</v>
      </c>
    </row>
    <row r="4922">
      <c r="O4922" s="1" t="str">
        <f>IFERROR(__xludf.DUMMYFUNCTION("""COMPUTED_VALUE"""),"#VALUE!")</f>
        <v>#VALUE!</v>
      </c>
      <c r="P4922" s="1" t="str">
        <f>IFERROR(__xludf.DUMMYFUNCTION("""COMPUTED_VALUE"""),"#N/A")</f>
        <v>#N/A</v>
      </c>
      <c r="Q4922" s="1"/>
      <c r="R4922" s="1"/>
      <c r="S4922" s="1"/>
      <c r="T4922" s="1"/>
      <c r="U4922" s="2">
        <f>IFERROR(__xludf.DUMMYFUNCTION("""COMPUTED_VALUE"""),0.0)</f>
        <v>0</v>
      </c>
      <c r="V4922" s="1" t="str">
        <f>IFERROR(__xludf.DUMMYFUNCTION("""COMPUTED_VALUE"""),"#N/A")</f>
        <v>#N/A</v>
      </c>
      <c r="W4922" s="1" t="str">
        <f>IFERROR(__xludf.DUMMYFUNCTION("""COMPUTED_VALUE"""),"#N/A")</f>
        <v>#N/A</v>
      </c>
    </row>
    <row r="4923">
      <c r="O4923" s="1" t="str">
        <f>IFERROR(__xludf.DUMMYFUNCTION("""COMPUTED_VALUE"""),"#VALUE!")</f>
        <v>#VALUE!</v>
      </c>
      <c r="P4923" s="1" t="str">
        <f>IFERROR(__xludf.DUMMYFUNCTION("""COMPUTED_VALUE"""),"#N/A")</f>
        <v>#N/A</v>
      </c>
      <c r="Q4923" s="1"/>
      <c r="R4923" s="1"/>
      <c r="S4923" s="1"/>
      <c r="T4923" s="1"/>
      <c r="U4923" s="2">
        <f>IFERROR(__xludf.DUMMYFUNCTION("""COMPUTED_VALUE"""),0.0)</f>
        <v>0</v>
      </c>
      <c r="V4923" s="1" t="str">
        <f>IFERROR(__xludf.DUMMYFUNCTION("""COMPUTED_VALUE"""),"#N/A")</f>
        <v>#N/A</v>
      </c>
      <c r="W4923" s="1" t="str">
        <f>IFERROR(__xludf.DUMMYFUNCTION("""COMPUTED_VALUE"""),"#N/A")</f>
        <v>#N/A</v>
      </c>
    </row>
    <row r="4924">
      <c r="O4924" s="1" t="str">
        <f>IFERROR(__xludf.DUMMYFUNCTION("""COMPUTED_VALUE"""),"#VALUE!")</f>
        <v>#VALUE!</v>
      </c>
      <c r="P4924" s="1" t="str">
        <f>IFERROR(__xludf.DUMMYFUNCTION("""COMPUTED_VALUE"""),"#N/A")</f>
        <v>#N/A</v>
      </c>
      <c r="Q4924" s="1"/>
      <c r="R4924" s="1"/>
      <c r="S4924" s="1"/>
      <c r="T4924" s="1"/>
      <c r="U4924" s="2">
        <f>IFERROR(__xludf.DUMMYFUNCTION("""COMPUTED_VALUE"""),0.0)</f>
        <v>0</v>
      </c>
      <c r="V4924" s="1" t="str">
        <f>IFERROR(__xludf.DUMMYFUNCTION("""COMPUTED_VALUE"""),"#N/A")</f>
        <v>#N/A</v>
      </c>
      <c r="W4924" s="1" t="str">
        <f>IFERROR(__xludf.DUMMYFUNCTION("""COMPUTED_VALUE"""),"#N/A")</f>
        <v>#N/A</v>
      </c>
    </row>
    <row r="4925">
      <c r="O4925" s="1" t="str">
        <f>IFERROR(__xludf.DUMMYFUNCTION("""COMPUTED_VALUE"""),"#VALUE!")</f>
        <v>#VALUE!</v>
      </c>
      <c r="P4925" s="1" t="str">
        <f>IFERROR(__xludf.DUMMYFUNCTION("""COMPUTED_VALUE"""),"#N/A")</f>
        <v>#N/A</v>
      </c>
      <c r="Q4925" s="1"/>
      <c r="R4925" s="1"/>
      <c r="S4925" s="1"/>
      <c r="T4925" s="1"/>
      <c r="U4925" s="2">
        <f>IFERROR(__xludf.DUMMYFUNCTION("""COMPUTED_VALUE"""),0.0)</f>
        <v>0</v>
      </c>
      <c r="V4925" s="1" t="str">
        <f>IFERROR(__xludf.DUMMYFUNCTION("""COMPUTED_VALUE"""),"#N/A")</f>
        <v>#N/A</v>
      </c>
      <c r="W4925" s="1" t="str">
        <f>IFERROR(__xludf.DUMMYFUNCTION("""COMPUTED_VALUE"""),"#N/A")</f>
        <v>#N/A</v>
      </c>
    </row>
    <row r="4926">
      <c r="O4926" s="1" t="str">
        <f>IFERROR(__xludf.DUMMYFUNCTION("""COMPUTED_VALUE"""),"#VALUE!")</f>
        <v>#VALUE!</v>
      </c>
      <c r="P4926" s="1" t="str">
        <f>IFERROR(__xludf.DUMMYFUNCTION("""COMPUTED_VALUE"""),"#N/A")</f>
        <v>#N/A</v>
      </c>
      <c r="Q4926" s="1"/>
      <c r="R4926" s="1"/>
      <c r="S4926" s="1"/>
      <c r="T4926" s="1"/>
      <c r="U4926" s="2">
        <f>IFERROR(__xludf.DUMMYFUNCTION("""COMPUTED_VALUE"""),0.0)</f>
        <v>0</v>
      </c>
      <c r="V4926" s="1" t="str">
        <f>IFERROR(__xludf.DUMMYFUNCTION("""COMPUTED_VALUE"""),"#N/A")</f>
        <v>#N/A</v>
      </c>
      <c r="W4926" s="1" t="str">
        <f>IFERROR(__xludf.DUMMYFUNCTION("""COMPUTED_VALUE"""),"#N/A")</f>
        <v>#N/A</v>
      </c>
    </row>
    <row r="4927">
      <c r="O4927" s="1" t="str">
        <f>IFERROR(__xludf.DUMMYFUNCTION("""COMPUTED_VALUE"""),"#VALUE!")</f>
        <v>#VALUE!</v>
      </c>
      <c r="P4927" s="1" t="str">
        <f>IFERROR(__xludf.DUMMYFUNCTION("""COMPUTED_VALUE"""),"#N/A")</f>
        <v>#N/A</v>
      </c>
      <c r="Q4927" s="1"/>
      <c r="R4927" s="1"/>
      <c r="S4927" s="1"/>
      <c r="T4927" s="1"/>
      <c r="U4927" s="2">
        <f>IFERROR(__xludf.DUMMYFUNCTION("""COMPUTED_VALUE"""),0.0)</f>
        <v>0</v>
      </c>
      <c r="V4927" s="1" t="str">
        <f>IFERROR(__xludf.DUMMYFUNCTION("""COMPUTED_VALUE"""),"#N/A")</f>
        <v>#N/A</v>
      </c>
      <c r="W4927" s="1" t="str">
        <f>IFERROR(__xludf.DUMMYFUNCTION("""COMPUTED_VALUE"""),"#N/A")</f>
        <v>#N/A</v>
      </c>
    </row>
    <row r="4928">
      <c r="O4928" s="1" t="str">
        <f>IFERROR(__xludf.DUMMYFUNCTION("""COMPUTED_VALUE"""),"#VALUE!")</f>
        <v>#VALUE!</v>
      </c>
      <c r="P4928" s="1" t="str">
        <f>IFERROR(__xludf.DUMMYFUNCTION("""COMPUTED_VALUE"""),"#N/A")</f>
        <v>#N/A</v>
      </c>
      <c r="Q4928" s="1"/>
      <c r="R4928" s="1"/>
      <c r="S4928" s="1"/>
      <c r="T4928" s="1"/>
      <c r="U4928" s="2">
        <f>IFERROR(__xludf.DUMMYFUNCTION("""COMPUTED_VALUE"""),0.0)</f>
        <v>0</v>
      </c>
      <c r="V4928" s="1" t="str">
        <f>IFERROR(__xludf.DUMMYFUNCTION("""COMPUTED_VALUE"""),"#N/A")</f>
        <v>#N/A</v>
      </c>
      <c r="W4928" s="1" t="str">
        <f>IFERROR(__xludf.DUMMYFUNCTION("""COMPUTED_VALUE"""),"#N/A")</f>
        <v>#N/A</v>
      </c>
    </row>
    <row r="4929">
      <c r="O4929" s="1" t="str">
        <f>IFERROR(__xludf.DUMMYFUNCTION("""COMPUTED_VALUE"""),"#VALUE!")</f>
        <v>#VALUE!</v>
      </c>
      <c r="P4929" s="1" t="str">
        <f>IFERROR(__xludf.DUMMYFUNCTION("""COMPUTED_VALUE"""),"#N/A")</f>
        <v>#N/A</v>
      </c>
      <c r="Q4929" s="1"/>
      <c r="R4929" s="1"/>
      <c r="S4929" s="1"/>
      <c r="T4929" s="1"/>
      <c r="U4929" s="2">
        <f>IFERROR(__xludf.DUMMYFUNCTION("""COMPUTED_VALUE"""),0.0)</f>
        <v>0</v>
      </c>
      <c r="V4929" s="1" t="str">
        <f>IFERROR(__xludf.DUMMYFUNCTION("""COMPUTED_VALUE"""),"#N/A")</f>
        <v>#N/A</v>
      </c>
      <c r="W4929" s="1" t="str">
        <f>IFERROR(__xludf.DUMMYFUNCTION("""COMPUTED_VALUE"""),"#N/A")</f>
        <v>#N/A</v>
      </c>
    </row>
    <row r="4930">
      <c r="O4930" s="1" t="str">
        <f>IFERROR(__xludf.DUMMYFUNCTION("""COMPUTED_VALUE"""),"#VALUE!")</f>
        <v>#VALUE!</v>
      </c>
      <c r="P4930" s="1" t="str">
        <f>IFERROR(__xludf.DUMMYFUNCTION("""COMPUTED_VALUE"""),"#N/A")</f>
        <v>#N/A</v>
      </c>
      <c r="Q4930" s="1"/>
      <c r="R4930" s="1"/>
      <c r="S4930" s="1"/>
      <c r="T4930" s="1"/>
      <c r="U4930" s="2">
        <f>IFERROR(__xludf.DUMMYFUNCTION("""COMPUTED_VALUE"""),0.0)</f>
        <v>0</v>
      </c>
      <c r="V4930" s="1" t="str">
        <f>IFERROR(__xludf.DUMMYFUNCTION("""COMPUTED_VALUE"""),"#N/A")</f>
        <v>#N/A</v>
      </c>
      <c r="W4930" s="1" t="str">
        <f>IFERROR(__xludf.DUMMYFUNCTION("""COMPUTED_VALUE"""),"#N/A")</f>
        <v>#N/A</v>
      </c>
    </row>
    <row r="4931">
      <c r="O4931" s="1" t="str">
        <f>IFERROR(__xludf.DUMMYFUNCTION("""COMPUTED_VALUE"""),"#VALUE!")</f>
        <v>#VALUE!</v>
      </c>
      <c r="P4931" s="1" t="str">
        <f>IFERROR(__xludf.DUMMYFUNCTION("""COMPUTED_VALUE"""),"#N/A")</f>
        <v>#N/A</v>
      </c>
      <c r="Q4931" s="1"/>
      <c r="R4931" s="1"/>
      <c r="S4931" s="1"/>
      <c r="T4931" s="1"/>
      <c r="U4931" s="2">
        <f>IFERROR(__xludf.DUMMYFUNCTION("""COMPUTED_VALUE"""),0.0)</f>
        <v>0</v>
      </c>
      <c r="V4931" s="1" t="str">
        <f>IFERROR(__xludf.DUMMYFUNCTION("""COMPUTED_VALUE"""),"#N/A")</f>
        <v>#N/A</v>
      </c>
      <c r="W4931" s="1" t="str">
        <f>IFERROR(__xludf.DUMMYFUNCTION("""COMPUTED_VALUE"""),"#N/A")</f>
        <v>#N/A</v>
      </c>
    </row>
    <row r="4932">
      <c r="O4932" s="1" t="str">
        <f>IFERROR(__xludf.DUMMYFUNCTION("""COMPUTED_VALUE"""),"#VALUE!")</f>
        <v>#VALUE!</v>
      </c>
      <c r="P4932" s="1" t="str">
        <f>IFERROR(__xludf.DUMMYFUNCTION("""COMPUTED_VALUE"""),"#N/A")</f>
        <v>#N/A</v>
      </c>
      <c r="Q4932" s="1"/>
      <c r="R4932" s="1"/>
      <c r="S4932" s="1"/>
      <c r="T4932" s="1"/>
      <c r="U4932" s="2">
        <f>IFERROR(__xludf.DUMMYFUNCTION("""COMPUTED_VALUE"""),0.0)</f>
        <v>0</v>
      </c>
      <c r="V4932" s="1" t="str">
        <f>IFERROR(__xludf.DUMMYFUNCTION("""COMPUTED_VALUE"""),"#N/A")</f>
        <v>#N/A</v>
      </c>
      <c r="W4932" s="1" t="str">
        <f>IFERROR(__xludf.DUMMYFUNCTION("""COMPUTED_VALUE"""),"#N/A")</f>
        <v>#N/A</v>
      </c>
    </row>
    <row r="4933">
      <c r="O4933" s="1" t="str">
        <f>IFERROR(__xludf.DUMMYFUNCTION("""COMPUTED_VALUE"""),"#VALUE!")</f>
        <v>#VALUE!</v>
      </c>
      <c r="P4933" s="1" t="str">
        <f>IFERROR(__xludf.DUMMYFUNCTION("""COMPUTED_VALUE"""),"#N/A")</f>
        <v>#N/A</v>
      </c>
      <c r="Q4933" s="1"/>
      <c r="R4933" s="1"/>
      <c r="S4933" s="1"/>
      <c r="T4933" s="1"/>
      <c r="U4933" s="2">
        <f>IFERROR(__xludf.DUMMYFUNCTION("""COMPUTED_VALUE"""),0.0)</f>
        <v>0</v>
      </c>
      <c r="V4933" s="1" t="str">
        <f>IFERROR(__xludf.DUMMYFUNCTION("""COMPUTED_VALUE"""),"#N/A")</f>
        <v>#N/A</v>
      </c>
      <c r="W4933" s="1" t="str">
        <f>IFERROR(__xludf.DUMMYFUNCTION("""COMPUTED_VALUE"""),"#N/A")</f>
        <v>#N/A</v>
      </c>
    </row>
    <row r="4934">
      <c r="O4934" s="1" t="str">
        <f>IFERROR(__xludf.DUMMYFUNCTION("""COMPUTED_VALUE"""),"#VALUE!")</f>
        <v>#VALUE!</v>
      </c>
      <c r="P4934" s="1" t="str">
        <f>IFERROR(__xludf.DUMMYFUNCTION("""COMPUTED_VALUE"""),"#N/A")</f>
        <v>#N/A</v>
      </c>
      <c r="Q4934" s="1"/>
      <c r="R4934" s="1"/>
      <c r="S4934" s="1"/>
      <c r="T4934" s="1"/>
      <c r="U4934" s="2">
        <f>IFERROR(__xludf.DUMMYFUNCTION("""COMPUTED_VALUE"""),0.0)</f>
        <v>0</v>
      </c>
      <c r="V4934" s="1" t="str">
        <f>IFERROR(__xludf.DUMMYFUNCTION("""COMPUTED_VALUE"""),"#N/A")</f>
        <v>#N/A</v>
      </c>
      <c r="W4934" s="1" t="str">
        <f>IFERROR(__xludf.DUMMYFUNCTION("""COMPUTED_VALUE"""),"#N/A")</f>
        <v>#N/A</v>
      </c>
    </row>
    <row r="4935">
      <c r="O4935" s="1" t="str">
        <f>IFERROR(__xludf.DUMMYFUNCTION("""COMPUTED_VALUE"""),"#VALUE!")</f>
        <v>#VALUE!</v>
      </c>
      <c r="P4935" s="1" t="str">
        <f>IFERROR(__xludf.DUMMYFUNCTION("""COMPUTED_VALUE"""),"#N/A")</f>
        <v>#N/A</v>
      </c>
      <c r="Q4935" s="1"/>
      <c r="R4935" s="1"/>
      <c r="S4935" s="1"/>
      <c r="T4935" s="1"/>
      <c r="U4935" s="2">
        <f>IFERROR(__xludf.DUMMYFUNCTION("""COMPUTED_VALUE"""),0.0)</f>
        <v>0</v>
      </c>
      <c r="V4935" s="1" t="str">
        <f>IFERROR(__xludf.DUMMYFUNCTION("""COMPUTED_VALUE"""),"#N/A")</f>
        <v>#N/A</v>
      </c>
      <c r="W4935" s="1" t="str">
        <f>IFERROR(__xludf.DUMMYFUNCTION("""COMPUTED_VALUE"""),"#N/A")</f>
        <v>#N/A</v>
      </c>
    </row>
    <row r="4936">
      <c r="O4936" s="1" t="str">
        <f>IFERROR(__xludf.DUMMYFUNCTION("""COMPUTED_VALUE"""),"#VALUE!")</f>
        <v>#VALUE!</v>
      </c>
      <c r="P4936" s="1" t="str">
        <f>IFERROR(__xludf.DUMMYFUNCTION("""COMPUTED_VALUE"""),"#N/A")</f>
        <v>#N/A</v>
      </c>
      <c r="Q4936" s="1"/>
      <c r="R4936" s="1"/>
      <c r="S4936" s="1"/>
      <c r="T4936" s="1"/>
      <c r="U4936" s="2">
        <f>IFERROR(__xludf.DUMMYFUNCTION("""COMPUTED_VALUE"""),0.0)</f>
        <v>0</v>
      </c>
      <c r="V4936" s="1" t="str">
        <f>IFERROR(__xludf.DUMMYFUNCTION("""COMPUTED_VALUE"""),"#N/A")</f>
        <v>#N/A</v>
      </c>
      <c r="W4936" s="1" t="str">
        <f>IFERROR(__xludf.DUMMYFUNCTION("""COMPUTED_VALUE"""),"#N/A")</f>
        <v>#N/A</v>
      </c>
    </row>
    <row r="4937">
      <c r="O4937" s="1" t="str">
        <f>IFERROR(__xludf.DUMMYFUNCTION("""COMPUTED_VALUE"""),"#VALUE!")</f>
        <v>#VALUE!</v>
      </c>
      <c r="P4937" s="1" t="str">
        <f>IFERROR(__xludf.DUMMYFUNCTION("""COMPUTED_VALUE"""),"#N/A")</f>
        <v>#N/A</v>
      </c>
      <c r="Q4937" s="1"/>
      <c r="R4937" s="1"/>
      <c r="S4937" s="1"/>
      <c r="T4937" s="1"/>
      <c r="U4937" s="2">
        <f>IFERROR(__xludf.DUMMYFUNCTION("""COMPUTED_VALUE"""),0.0)</f>
        <v>0</v>
      </c>
      <c r="V4937" s="1" t="str">
        <f>IFERROR(__xludf.DUMMYFUNCTION("""COMPUTED_VALUE"""),"#N/A")</f>
        <v>#N/A</v>
      </c>
      <c r="W4937" s="1" t="str">
        <f>IFERROR(__xludf.DUMMYFUNCTION("""COMPUTED_VALUE"""),"#N/A")</f>
        <v>#N/A</v>
      </c>
    </row>
    <row r="4938">
      <c r="O4938" s="1" t="str">
        <f>IFERROR(__xludf.DUMMYFUNCTION("""COMPUTED_VALUE"""),"#VALUE!")</f>
        <v>#VALUE!</v>
      </c>
      <c r="P4938" s="1" t="str">
        <f>IFERROR(__xludf.DUMMYFUNCTION("""COMPUTED_VALUE"""),"#N/A")</f>
        <v>#N/A</v>
      </c>
      <c r="Q4938" s="1"/>
      <c r="R4938" s="1"/>
      <c r="S4938" s="1"/>
      <c r="T4938" s="1"/>
      <c r="U4938" s="2">
        <f>IFERROR(__xludf.DUMMYFUNCTION("""COMPUTED_VALUE"""),0.0)</f>
        <v>0</v>
      </c>
      <c r="V4938" s="1" t="str">
        <f>IFERROR(__xludf.DUMMYFUNCTION("""COMPUTED_VALUE"""),"#N/A")</f>
        <v>#N/A</v>
      </c>
      <c r="W4938" s="1" t="str">
        <f>IFERROR(__xludf.DUMMYFUNCTION("""COMPUTED_VALUE"""),"#N/A")</f>
        <v>#N/A</v>
      </c>
    </row>
    <row r="4939">
      <c r="O4939" s="1" t="str">
        <f>IFERROR(__xludf.DUMMYFUNCTION("""COMPUTED_VALUE"""),"#VALUE!")</f>
        <v>#VALUE!</v>
      </c>
      <c r="P4939" s="1" t="str">
        <f>IFERROR(__xludf.DUMMYFUNCTION("""COMPUTED_VALUE"""),"#N/A")</f>
        <v>#N/A</v>
      </c>
      <c r="Q4939" s="1"/>
      <c r="R4939" s="1"/>
      <c r="S4939" s="1"/>
      <c r="T4939" s="1"/>
      <c r="U4939" s="2">
        <f>IFERROR(__xludf.DUMMYFUNCTION("""COMPUTED_VALUE"""),0.0)</f>
        <v>0</v>
      </c>
      <c r="V4939" s="1" t="str">
        <f>IFERROR(__xludf.DUMMYFUNCTION("""COMPUTED_VALUE"""),"#N/A")</f>
        <v>#N/A</v>
      </c>
      <c r="W4939" s="1" t="str">
        <f>IFERROR(__xludf.DUMMYFUNCTION("""COMPUTED_VALUE"""),"#N/A")</f>
        <v>#N/A</v>
      </c>
    </row>
    <row r="4940">
      <c r="O4940" s="1" t="str">
        <f>IFERROR(__xludf.DUMMYFUNCTION("""COMPUTED_VALUE"""),"#VALUE!")</f>
        <v>#VALUE!</v>
      </c>
      <c r="P4940" s="1" t="str">
        <f>IFERROR(__xludf.DUMMYFUNCTION("""COMPUTED_VALUE"""),"#N/A")</f>
        <v>#N/A</v>
      </c>
      <c r="Q4940" s="1"/>
      <c r="R4940" s="1"/>
      <c r="S4940" s="1"/>
      <c r="T4940" s="1"/>
      <c r="U4940" s="2">
        <f>IFERROR(__xludf.DUMMYFUNCTION("""COMPUTED_VALUE"""),0.0)</f>
        <v>0</v>
      </c>
      <c r="V4940" s="1" t="str">
        <f>IFERROR(__xludf.DUMMYFUNCTION("""COMPUTED_VALUE"""),"#N/A")</f>
        <v>#N/A</v>
      </c>
      <c r="W4940" s="1" t="str">
        <f>IFERROR(__xludf.DUMMYFUNCTION("""COMPUTED_VALUE"""),"#N/A")</f>
        <v>#N/A</v>
      </c>
    </row>
    <row r="4941">
      <c r="O4941" s="1" t="str">
        <f>IFERROR(__xludf.DUMMYFUNCTION("""COMPUTED_VALUE"""),"#VALUE!")</f>
        <v>#VALUE!</v>
      </c>
      <c r="P4941" s="1" t="str">
        <f>IFERROR(__xludf.DUMMYFUNCTION("""COMPUTED_VALUE"""),"#N/A")</f>
        <v>#N/A</v>
      </c>
      <c r="Q4941" s="1"/>
      <c r="R4941" s="1"/>
      <c r="S4941" s="1"/>
      <c r="T4941" s="1"/>
      <c r="U4941" s="2">
        <f>IFERROR(__xludf.DUMMYFUNCTION("""COMPUTED_VALUE"""),0.0)</f>
        <v>0</v>
      </c>
      <c r="V4941" s="1" t="str">
        <f>IFERROR(__xludf.DUMMYFUNCTION("""COMPUTED_VALUE"""),"#N/A")</f>
        <v>#N/A</v>
      </c>
      <c r="W4941" s="1" t="str">
        <f>IFERROR(__xludf.DUMMYFUNCTION("""COMPUTED_VALUE"""),"#N/A")</f>
        <v>#N/A</v>
      </c>
    </row>
    <row r="4942">
      <c r="O4942" s="1" t="str">
        <f>IFERROR(__xludf.DUMMYFUNCTION("""COMPUTED_VALUE"""),"#VALUE!")</f>
        <v>#VALUE!</v>
      </c>
      <c r="P4942" s="1" t="str">
        <f>IFERROR(__xludf.DUMMYFUNCTION("""COMPUTED_VALUE"""),"#N/A")</f>
        <v>#N/A</v>
      </c>
      <c r="Q4942" s="1"/>
      <c r="R4942" s="1"/>
      <c r="S4942" s="1"/>
      <c r="T4942" s="1"/>
      <c r="U4942" s="2">
        <f>IFERROR(__xludf.DUMMYFUNCTION("""COMPUTED_VALUE"""),0.0)</f>
        <v>0</v>
      </c>
      <c r="V4942" s="1" t="str">
        <f>IFERROR(__xludf.DUMMYFUNCTION("""COMPUTED_VALUE"""),"#N/A")</f>
        <v>#N/A</v>
      </c>
      <c r="W4942" s="1" t="str">
        <f>IFERROR(__xludf.DUMMYFUNCTION("""COMPUTED_VALUE"""),"#N/A")</f>
        <v>#N/A</v>
      </c>
    </row>
    <row r="4943">
      <c r="O4943" s="1" t="str">
        <f>IFERROR(__xludf.DUMMYFUNCTION("""COMPUTED_VALUE"""),"#VALUE!")</f>
        <v>#VALUE!</v>
      </c>
      <c r="P4943" s="1" t="str">
        <f>IFERROR(__xludf.DUMMYFUNCTION("""COMPUTED_VALUE"""),"#N/A")</f>
        <v>#N/A</v>
      </c>
      <c r="Q4943" s="1"/>
      <c r="R4943" s="1"/>
      <c r="S4943" s="1"/>
      <c r="T4943" s="1"/>
      <c r="U4943" s="2">
        <f>IFERROR(__xludf.DUMMYFUNCTION("""COMPUTED_VALUE"""),0.0)</f>
        <v>0</v>
      </c>
      <c r="V4943" s="1" t="str">
        <f>IFERROR(__xludf.DUMMYFUNCTION("""COMPUTED_VALUE"""),"#N/A")</f>
        <v>#N/A</v>
      </c>
      <c r="W4943" s="1" t="str">
        <f>IFERROR(__xludf.DUMMYFUNCTION("""COMPUTED_VALUE"""),"#N/A")</f>
        <v>#N/A</v>
      </c>
    </row>
    <row r="4944">
      <c r="O4944" s="1" t="str">
        <f>IFERROR(__xludf.DUMMYFUNCTION("""COMPUTED_VALUE"""),"#VALUE!")</f>
        <v>#VALUE!</v>
      </c>
      <c r="P4944" s="1" t="str">
        <f>IFERROR(__xludf.DUMMYFUNCTION("""COMPUTED_VALUE"""),"#N/A")</f>
        <v>#N/A</v>
      </c>
      <c r="Q4944" s="1"/>
      <c r="R4944" s="1"/>
      <c r="S4944" s="1"/>
      <c r="T4944" s="1"/>
      <c r="U4944" s="2">
        <f>IFERROR(__xludf.DUMMYFUNCTION("""COMPUTED_VALUE"""),0.0)</f>
        <v>0</v>
      </c>
      <c r="V4944" s="1" t="str">
        <f>IFERROR(__xludf.DUMMYFUNCTION("""COMPUTED_VALUE"""),"#N/A")</f>
        <v>#N/A</v>
      </c>
      <c r="W4944" s="1" t="str">
        <f>IFERROR(__xludf.DUMMYFUNCTION("""COMPUTED_VALUE"""),"#N/A")</f>
        <v>#N/A</v>
      </c>
    </row>
    <row r="4945">
      <c r="O4945" s="1" t="str">
        <f>IFERROR(__xludf.DUMMYFUNCTION("""COMPUTED_VALUE"""),"#VALUE!")</f>
        <v>#VALUE!</v>
      </c>
      <c r="P4945" s="1" t="str">
        <f>IFERROR(__xludf.DUMMYFUNCTION("""COMPUTED_VALUE"""),"#N/A")</f>
        <v>#N/A</v>
      </c>
      <c r="Q4945" s="1"/>
      <c r="R4945" s="1"/>
      <c r="S4945" s="1"/>
      <c r="T4945" s="1"/>
      <c r="U4945" s="2">
        <f>IFERROR(__xludf.DUMMYFUNCTION("""COMPUTED_VALUE"""),0.0)</f>
        <v>0</v>
      </c>
      <c r="V4945" s="1" t="str">
        <f>IFERROR(__xludf.DUMMYFUNCTION("""COMPUTED_VALUE"""),"#N/A")</f>
        <v>#N/A</v>
      </c>
      <c r="W4945" s="1" t="str">
        <f>IFERROR(__xludf.DUMMYFUNCTION("""COMPUTED_VALUE"""),"#N/A")</f>
        <v>#N/A</v>
      </c>
    </row>
    <row r="4946">
      <c r="O4946" s="1" t="str">
        <f>IFERROR(__xludf.DUMMYFUNCTION("""COMPUTED_VALUE"""),"#VALUE!")</f>
        <v>#VALUE!</v>
      </c>
      <c r="P4946" s="1" t="str">
        <f>IFERROR(__xludf.DUMMYFUNCTION("""COMPUTED_VALUE"""),"#N/A")</f>
        <v>#N/A</v>
      </c>
      <c r="Q4946" s="1"/>
      <c r="R4946" s="1"/>
      <c r="S4946" s="1"/>
      <c r="T4946" s="1"/>
      <c r="U4946" s="2">
        <f>IFERROR(__xludf.DUMMYFUNCTION("""COMPUTED_VALUE"""),0.0)</f>
        <v>0</v>
      </c>
      <c r="V4946" s="1" t="str">
        <f>IFERROR(__xludf.DUMMYFUNCTION("""COMPUTED_VALUE"""),"#N/A")</f>
        <v>#N/A</v>
      </c>
      <c r="W4946" s="1" t="str">
        <f>IFERROR(__xludf.DUMMYFUNCTION("""COMPUTED_VALUE"""),"#N/A")</f>
        <v>#N/A</v>
      </c>
    </row>
    <row r="4947">
      <c r="O4947" s="1" t="str">
        <f>IFERROR(__xludf.DUMMYFUNCTION("""COMPUTED_VALUE"""),"#VALUE!")</f>
        <v>#VALUE!</v>
      </c>
      <c r="P4947" s="1" t="str">
        <f>IFERROR(__xludf.DUMMYFUNCTION("""COMPUTED_VALUE"""),"#N/A")</f>
        <v>#N/A</v>
      </c>
      <c r="Q4947" s="1"/>
      <c r="R4947" s="1"/>
      <c r="S4947" s="1"/>
      <c r="T4947" s="1"/>
      <c r="U4947" s="2">
        <f>IFERROR(__xludf.DUMMYFUNCTION("""COMPUTED_VALUE"""),0.0)</f>
        <v>0</v>
      </c>
      <c r="V4947" s="1" t="str">
        <f>IFERROR(__xludf.DUMMYFUNCTION("""COMPUTED_VALUE"""),"#N/A")</f>
        <v>#N/A</v>
      </c>
      <c r="W4947" s="1" t="str">
        <f>IFERROR(__xludf.DUMMYFUNCTION("""COMPUTED_VALUE"""),"#N/A")</f>
        <v>#N/A</v>
      </c>
    </row>
    <row r="4948">
      <c r="O4948" s="1" t="str">
        <f>IFERROR(__xludf.DUMMYFUNCTION("""COMPUTED_VALUE"""),"#VALUE!")</f>
        <v>#VALUE!</v>
      </c>
      <c r="P4948" s="1" t="str">
        <f>IFERROR(__xludf.DUMMYFUNCTION("""COMPUTED_VALUE"""),"#N/A")</f>
        <v>#N/A</v>
      </c>
      <c r="Q4948" s="1"/>
      <c r="R4948" s="1"/>
      <c r="S4948" s="1"/>
      <c r="T4948" s="1"/>
      <c r="U4948" s="2">
        <f>IFERROR(__xludf.DUMMYFUNCTION("""COMPUTED_VALUE"""),0.0)</f>
        <v>0</v>
      </c>
      <c r="V4948" s="1" t="str">
        <f>IFERROR(__xludf.DUMMYFUNCTION("""COMPUTED_VALUE"""),"#N/A")</f>
        <v>#N/A</v>
      </c>
      <c r="W4948" s="1" t="str">
        <f>IFERROR(__xludf.DUMMYFUNCTION("""COMPUTED_VALUE"""),"#N/A")</f>
        <v>#N/A</v>
      </c>
    </row>
    <row r="4949">
      <c r="O4949" s="1" t="str">
        <f>IFERROR(__xludf.DUMMYFUNCTION("""COMPUTED_VALUE"""),"#VALUE!")</f>
        <v>#VALUE!</v>
      </c>
      <c r="P4949" s="1" t="str">
        <f>IFERROR(__xludf.DUMMYFUNCTION("""COMPUTED_VALUE"""),"#N/A")</f>
        <v>#N/A</v>
      </c>
      <c r="Q4949" s="1"/>
      <c r="R4949" s="1"/>
      <c r="S4949" s="1"/>
      <c r="T4949" s="1"/>
      <c r="U4949" s="2">
        <f>IFERROR(__xludf.DUMMYFUNCTION("""COMPUTED_VALUE"""),0.0)</f>
        <v>0</v>
      </c>
      <c r="V4949" s="1" t="str">
        <f>IFERROR(__xludf.DUMMYFUNCTION("""COMPUTED_VALUE"""),"#N/A")</f>
        <v>#N/A</v>
      </c>
      <c r="W4949" s="1" t="str">
        <f>IFERROR(__xludf.DUMMYFUNCTION("""COMPUTED_VALUE"""),"#N/A")</f>
        <v>#N/A</v>
      </c>
    </row>
    <row r="4950">
      <c r="O4950" s="1" t="str">
        <f>IFERROR(__xludf.DUMMYFUNCTION("""COMPUTED_VALUE"""),"#VALUE!")</f>
        <v>#VALUE!</v>
      </c>
      <c r="P4950" s="1" t="str">
        <f>IFERROR(__xludf.DUMMYFUNCTION("""COMPUTED_VALUE"""),"#N/A")</f>
        <v>#N/A</v>
      </c>
      <c r="Q4950" s="1"/>
      <c r="R4950" s="1"/>
      <c r="S4950" s="1"/>
      <c r="T4950" s="1"/>
      <c r="U4950" s="2">
        <f>IFERROR(__xludf.DUMMYFUNCTION("""COMPUTED_VALUE"""),0.0)</f>
        <v>0</v>
      </c>
      <c r="V4950" s="1" t="str">
        <f>IFERROR(__xludf.DUMMYFUNCTION("""COMPUTED_VALUE"""),"#N/A")</f>
        <v>#N/A</v>
      </c>
      <c r="W4950" s="1" t="str">
        <f>IFERROR(__xludf.DUMMYFUNCTION("""COMPUTED_VALUE"""),"#N/A")</f>
        <v>#N/A</v>
      </c>
    </row>
    <row r="4951">
      <c r="O4951" s="1" t="str">
        <f>IFERROR(__xludf.DUMMYFUNCTION("""COMPUTED_VALUE"""),"#VALUE!")</f>
        <v>#VALUE!</v>
      </c>
      <c r="P4951" s="1" t="str">
        <f>IFERROR(__xludf.DUMMYFUNCTION("""COMPUTED_VALUE"""),"#N/A")</f>
        <v>#N/A</v>
      </c>
      <c r="Q4951" s="1"/>
      <c r="R4951" s="1"/>
      <c r="S4951" s="1"/>
      <c r="T4951" s="1"/>
      <c r="U4951" s="2">
        <f>IFERROR(__xludf.DUMMYFUNCTION("""COMPUTED_VALUE"""),0.0)</f>
        <v>0</v>
      </c>
      <c r="V4951" s="1" t="str">
        <f>IFERROR(__xludf.DUMMYFUNCTION("""COMPUTED_VALUE"""),"#N/A")</f>
        <v>#N/A</v>
      </c>
      <c r="W4951" s="1" t="str">
        <f>IFERROR(__xludf.DUMMYFUNCTION("""COMPUTED_VALUE"""),"#N/A")</f>
        <v>#N/A</v>
      </c>
    </row>
    <row r="4952">
      <c r="O4952" s="1" t="str">
        <f>IFERROR(__xludf.DUMMYFUNCTION("""COMPUTED_VALUE"""),"#VALUE!")</f>
        <v>#VALUE!</v>
      </c>
      <c r="P4952" s="1" t="str">
        <f>IFERROR(__xludf.DUMMYFUNCTION("""COMPUTED_VALUE"""),"#N/A")</f>
        <v>#N/A</v>
      </c>
      <c r="Q4952" s="1"/>
      <c r="R4952" s="1"/>
      <c r="S4952" s="1"/>
      <c r="T4952" s="1"/>
      <c r="U4952" s="2">
        <f>IFERROR(__xludf.DUMMYFUNCTION("""COMPUTED_VALUE"""),0.0)</f>
        <v>0</v>
      </c>
      <c r="V4952" s="1" t="str">
        <f>IFERROR(__xludf.DUMMYFUNCTION("""COMPUTED_VALUE"""),"#N/A")</f>
        <v>#N/A</v>
      </c>
      <c r="W4952" s="1" t="str">
        <f>IFERROR(__xludf.DUMMYFUNCTION("""COMPUTED_VALUE"""),"#N/A")</f>
        <v>#N/A</v>
      </c>
    </row>
    <row r="4953">
      <c r="O4953" s="1" t="str">
        <f>IFERROR(__xludf.DUMMYFUNCTION("""COMPUTED_VALUE"""),"#VALUE!")</f>
        <v>#VALUE!</v>
      </c>
      <c r="P4953" s="1" t="str">
        <f>IFERROR(__xludf.DUMMYFUNCTION("""COMPUTED_VALUE"""),"#N/A")</f>
        <v>#N/A</v>
      </c>
      <c r="Q4953" s="1"/>
      <c r="R4953" s="1"/>
      <c r="S4953" s="1"/>
      <c r="T4953" s="1"/>
      <c r="U4953" s="2">
        <f>IFERROR(__xludf.DUMMYFUNCTION("""COMPUTED_VALUE"""),0.0)</f>
        <v>0</v>
      </c>
      <c r="V4953" s="1" t="str">
        <f>IFERROR(__xludf.DUMMYFUNCTION("""COMPUTED_VALUE"""),"#N/A")</f>
        <v>#N/A</v>
      </c>
      <c r="W4953" s="1" t="str">
        <f>IFERROR(__xludf.DUMMYFUNCTION("""COMPUTED_VALUE"""),"#N/A")</f>
        <v>#N/A</v>
      </c>
    </row>
    <row r="4954">
      <c r="O4954" s="1" t="str">
        <f>IFERROR(__xludf.DUMMYFUNCTION("""COMPUTED_VALUE"""),"#VALUE!")</f>
        <v>#VALUE!</v>
      </c>
      <c r="P4954" s="1" t="str">
        <f>IFERROR(__xludf.DUMMYFUNCTION("""COMPUTED_VALUE"""),"#N/A")</f>
        <v>#N/A</v>
      </c>
      <c r="Q4954" s="1"/>
      <c r="R4954" s="1"/>
      <c r="S4954" s="1"/>
      <c r="T4954" s="1"/>
      <c r="U4954" s="2">
        <f>IFERROR(__xludf.DUMMYFUNCTION("""COMPUTED_VALUE"""),0.0)</f>
        <v>0</v>
      </c>
      <c r="V4954" s="1" t="str">
        <f>IFERROR(__xludf.DUMMYFUNCTION("""COMPUTED_VALUE"""),"#N/A")</f>
        <v>#N/A</v>
      </c>
      <c r="W4954" s="1" t="str">
        <f>IFERROR(__xludf.DUMMYFUNCTION("""COMPUTED_VALUE"""),"#N/A")</f>
        <v>#N/A</v>
      </c>
    </row>
    <row r="4955">
      <c r="O4955" s="1" t="str">
        <f>IFERROR(__xludf.DUMMYFUNCTION("""COMPUTED_VALUE"""),"#VALUE!")</f>
        <v>#VALUE!</v>
      </c>
      <c r="P4955" s="1" t="str">
        <f>IFERROR(__xludf.DUMMYFUNCTION("""COMPUTED_VALUE"""),"#N/A")</f>
        <v>#N/A</v>
      </c>
      <c r="Q4955" s="1"/>
      <c r="R4955" s="1"/>
      <c r="S4955" s="1"/>
      <c r="T4955" s="1"/>
      <c r="U4955" s="2">
        <f>IFERROR(__xludf.DUMMYFUNCTION("""COMPUTED_VALUE"""),0.0)</f>
        <v>0</v>
      </c>
      <c r="V4955" s="1" t="str">
        <f>IFERROR(__xludf.DUMMYFUNCTION("""COMPUTED_VALUE"""),"#N/A")</f>
        <v>#N/A</v>
      </c>
      <c r="W4955" s="1" t="str">
        <f>IFERROR(__xludf.DUMMYFUNCTION("""COMPUTED_VALUE"""),"#N/A")</f>
        <v>#N/A</v>
      </c>
    </row>
    <row r="4956">
      <c r="O4956" s="1" t="str">
        <f>IFERROR(__xludf.DUMMYFUNCTION("""COMPUTED_VALUE"""),"#VALUE!")</f>
        <v>#VALUE!</v>
      </c>
      <c r="P4956" s="1" t="str">
        <f>IFERROR(__xludf.DUMMYFUNCTION("""COMPUTED_VALUE"""),"#N/A")</f>
        <v>#N/A</v>
      </c>
      <c r="Q4956" s="1"/>
      <c r="R4956" s="1"/>
      <c r="S4956" s="1"/>
      <c r="T4956" s="1"/>
      <c r="U4956" s="2">
        <f>IFERROR(__xludf.DUMMYFUNCTION("""COMPUTED_VALUE"""),0.0)</f>
        <v>0</v>
      </c>
      <c r="V4956" s="1" t="str">
        <f>IFERROR(__xludf.DUMMYFUNCTION("""COMPUTED_VALUE"""),"#N/A")</f>
        <v>#N/A</v>
      </c>
      <c r="W4956" s="1" t="str">
        <f>IFERROR(__xludf.DUMMYFUNCTION("""COMPUTED_VALUE"""),"#N/A")</f>
        <v>#N/A</v>
      </c>
    </row>
    <row r="4957">
      <c r="O4957" s="1" t="str">
        <f>IFERROR(__xludf.DUMMYFUNCTION("""COMPUTED_VALUE"""),"#VALUE!")</f>
        <v>#VALUE!</v>
      </c>
      <c r="P4957" s="1" t="str">
        <f>IFERROR(__xludf.DUMMYFUNCTION("""COMPUTED_VALUE"""),"#N/A")</f>
        <v>#N/A</v>
      </c>
      <c r="Q4957" s="1"/>
      <c r="R4957" s="1"/>
      <c r="S4957" s="1"/>
      <c r="T4957" s="1"/>
      <c r="U4957" s="2">
        <f>IFERROR(__xludf.DUMMYFUNCTION("""COMPUTED_VALUE"""),0.0)</f>
        <v>0</v>
      </c>
      <c r="V4957" s="1" t="str">
        <f>IFERROR(__xludf.DUMMYFUNCTION("""COMPUTED_VALUE"""),"#N/A")</f>
        <v>#N/A</v>
      </c>
      <c r="W4957" s="1" t="str">
        <f>IFERROR(__xludf.DUMMYFUNCTION("""COMPUTED_VALUE"""),"#N/A")</f>
        <v>#N/A</v>
      </c>
    </row>
    <row r="4958">
      <c r="O4958" s="1" t="str">
        <f>IFERROR(__xludf.DUMMYFUNCTION("""COMPUTED_VALUE"""),"#VALUE!")</f>
        <v>#VALUE!</v>
      </c>
      <c r="P4958" s="1" t="str">
        <f>IFERROR(__xludf.DUMMYFUNCTION("""COMPUTED_VALUE"""),"#N/A")</f>
        <v>#N/A</v>
      </c>
      <c r="Q4958" s="1"/>
      <c r="R4958" s="1"/>
      <c r="S4958" s="1"/>
      <c r="T4958" s="1"/>
      <c r="U4958" s="2">
        <f>IFERROR(__xludf.DUMMYFUNCTION("""COMPUTED_VALUE"""),0.0)</f>
        <v>0</v>
      </c>
      <c r="V4958" s="1" t="str">
        <f>IFERROR(__xludf.DUMMYFUNCTION("""COMPUTED_VALUE"""),"#N/A")</f>
        <v>#N/A</v>
      </c>
      <c r="W4958" s="1" t="str">
        <f>IFERROR(__xludf.DUMMYFUNCTION("""COMPUTED_VALUE"""),"#N/A")</f>
        <v>#N/A</v>
      </c>
    </row>
    <row r="4959">
      <c r="O4959" s="1" t="str">
        <f>IFERROR(__xludf.DUMMYFUNCTION("""COMPUTED_VALUE"""),"#VALUE!")</f>
        <v>#VALUE!</v>
      </c>
      <c r="P4959" s="1" t="str">
        <f>IFERROR(__xludf.DUMMYFUNCTION("""COMPUTED_VALUE"""),"#N/A")</f>
        <v>#N/A</v>
      </c>
      <c r="Q4959" s="1"/>
      <c r="R4959" s="1"/>
      <c r="S4959" s="1"/>
      <c r="T4959" s="1"/>
      <c r="U4959" s="2">
        <f>IFERROR(__xludf.DUMMYFUNCTION("""COMPUTED_VALUE"""),0.0)</f>
        <v>0</v>
      </c>
      <c r="V4959" s="1" t="str">
        <f>IFERROR(__xludf.DUMMYFUNCTION("""COMPUTED_VALUE"""),"#N/A")</f>
        <v>#N/A</v>
      </c>
      <c r="W4959" s="1" t="str">
        <f>IFERROR(__xludf.DUMMYFUNCTION("""COMPUTED_VALUE"""),"#N/A")</f>
        <v>#N/A</v>
      </c>
    </row>
    <row r="4960">
      <c r="O4960" s="1" t="str">
        <f>IFERROR(__xludf.DUMMYFUNCTION("""COMPUTED_VALUE"""),"#VALUE!")</f>
        <v>#VALUE!</v>
      </c>
      <c r="P4960" s="1" t="str">
        <f>IFERROR(__xludf.DUMMYFUNCTION("""COMPUTED_VALUE"""),"#N/A")</f>
        <v>#N/A</v>
      </c>
      <c r="Q4960" s="1"/>
      <c r="R4960" s="1"/>
      <c r="S4960" s="1"/>
      <c r="T4960" s="1"/>
      <c r="U4960" s="2">
        <f>IFERROR(__xludf.DUMMYFUNCTION("""COMPUTED_VALUE"""),0.0)</f>
        <v>0</v>
      </c>
      <c r="V4960" s="1" t="str">
        <f>IFERROR(__xludf.DUMMYFUNCTION("""COMPUTED_VALUE"""),"#N/A")</f>
        <v>#N/A</v>
      </c>
      <c r="W4960" s="1" t="str">
        <f>IFERROR(__xludf.DUMMYFUNCTION("""COMPUTED_VALUE"""),"#N/A")</f>
        <v>#N/A</v>
      </c>
    </row>
    <row r="4961">
      <c r="O4961" s="1" t="str">
        <f>IFERROR(__xludf.DUMMYFUNCTION("""COMPUTED_VALUE"""),"#VALUE!")</f>
        <v>#VALUE!</v>
      </c>
      <c r="P4961" s="1" t="str">
        <f>IFERROR(__xludf.DUMMYFUNCTION("""COMPUTED_VALUE"""),"#N/A")</f>
        <v>#N/A</v>
      </c>
      <c r="Q4961" s="1"/>
      <c r="R4961" s="1"/>
      <c r="S4961" s="1"/>
      <c r="T4961" s="1"/>
      <c r="U4961" s="2">
        <f>IFERROR(__xludf.DUMMYFUNCTION("""COMPUTED_VALUE"""),0.0)</f>
        <v>0</v>
      </c>
      <c r="V4961" s="1" t="str">
        <f>IFERROR(__xludf.DUMMYFUNCTION("""COMPUTED_VALUE"""),"#N/A")</f>
        <v>#N/A</v>
      </c>
      <c r="W4961" s="1" t="str">
        <f>IFERROR(__xludf.DUMMYFUNCTION("""COMPUTED_VALUE"""),"#N/A")</f>
        <v>#N/A</v>
      </c>
    </row>
    <row r="4962">
      <c r="O4962" s="1" t="str">
        <f>IFERROR(__xludf.DUMMYFUNCTION("""COMPUTED_VALUE"""),"#VALUE!")</f>
        <v>#VALUE!</v>
      </c>
      <c r="P4962" s="1" t="str">
        <f>IFERROR(__xludf.DUMMYFUNCTION("""COMPUTED_VALUE"""),"#N/A")</f>
        <v>#N/A</v>
      </c>
      <c r="Q4962" s="1"/>
      <c r="R4962" s="1"/>
      <c r="S4962" s="1"/>
      <c r="T4962" s="1"/>
      <c r="U4962" s="2">
        <f>IFERROR(__xludf.DUMMYFUNCTION("""COMPUTED_VALUE"""),0.0)</f>
        <v>0</v>
      </c>
      <c r="V4962" s="1" t="str">
        <f>IFERROR(__xludf.DUMMYFUNCTION("""COMPUTED_VALUE"""),"#N/A")</f>
        <v>#N/A</v>
      </c>
      <c r="W4962" s="1" t="str">
        <f>IFERROR(__xludf.DUMMYFUNCTION("""COMPUTED_VALUE"""),"#N/A")</f>
        <v>#N/A</v>
      </c>
    </row>
    <row r="4963">
      <c r="O4963" s="1" t="str">
        <f>IFERROR(__xludf.DUMMYFUNCTION("""COMPUTED_VALUE"""),"#VALUE!")</f>
        <v>#VALUE!</v>
      </c>
      <c r="P4963" s="1" t="str">
        <f>IFERROR(__xludf.DUMMYFUNCTION("""COMPUTED_VALUE"""),"#N/A")</f>
        <v>#N/A</v>
      </c>
      <c r="Q4963" s="1"/>
      <c r="R4963" s="1"/>
      <c r="S4963" s="1"/>
      <c r="T4963" s="1"/>
      <c r="U4963" s="2">
        <f>IFERROR(__xludf.DUMMYFUNCTION("""COMPUTED_VALUE"""),0.0)</f>
        <v>0</v>
      </c>
      <c r="V4963" s="1" t="str">
        <f>IFERROR(__xludf.DUMMYFUNCTION("""COMPUTED_VALUE"""),"#N/A")</f>
        <v>#N/A</v>
      </c>
      <c r="W4963" s="1" t="str">
        <f>IFERROR(__xludf.DUMMYFUNCTION("""COMPUTED_VALUE"""),"#N/A")</f>
        <v>#N/A</v>
      </c>
    </row>
    <row r="4964">
      <c r="O4964" s="1" t="str">
        <f>IFERROR(__xludf.DUMMYFUNCTION("""COMPUTED_VALUE"""),"#VALUE!")</f>
        <v>#VALUE!</v>
      </c>
      <c r="P4964" s="1" t="str">
        <f>IFERROR(__xludf.DUMMYFUNCTION("""COMPUTED_VALUE"""),"#N/A")</f>
        <v>#N/A</v>
      </c>
      <c r="Q4964" s="1"/>
      <c r="R4964" s="1"/>
      <c r="S4964" s="1"/>
      <c r="T4964" s="1"/>
      <c r="U4964" s="2">
        <f>IFERROR(__xludf.DUMMYFUNCTION("""COMPUTED_VALUE"""),0.0)</f>
        <v>0</v>
      </c>
      <c r="V4964" s="1" t="str">
        <f>IFERROR(__xludf.DUMMYFUNCTION("""COMPUTED_VALUE"""),"#N/A")</f>
        <v>#N/A</v>
      </c>
      <c r="W4964" s="1" t="str">
        <f>IFERROR(__xludf.DUMMYFUNCTION("""COMPUTED_VALUE"""),"#N/A")</f>
        <v>#N/A</v>
      </c>
    </row>
    <row r="4965">
      <c r="O4965" s="1" t="str">
        <f>IFERROR(__xludf.DUMMYFUNCTION("""COMPUTED_VALUE"""),"#VALUE!")</f>
        <v>#VALUE!</v>
      </c>
      <c r="P4965" s="1" t="str">
        <f>IFERROR(__xludf.DUMMYFUNCTION("""COMPUTED_VALUE"""),"#N/A")</f>
        <v>#N/A</v>
      </c>
      <c r="Q4965" s="1"/>
      <c r="R4965" s="1"/>
      <c r="S4965" s="1"/>
      <c r="T4965" s="1"/>
      <c r="U4965" s="2">
        <f>IFERROR(__xludf.DUMMYFUNCTION("""COMPUTED_VALUE"""),0.0)</f>
        <v>0</v>
      </c>
      <c r="V4965" s="1" t="str">
        <f>IFERROR(__xludf.DUMMYFUNCTION("""COMPUTED_VALUE"""),"#N/A")</f>
        <v>#N/A</v>
      </c>
      <c r="W4965" s="1" t="str">
        <f>IFERROR(__xludf.DUMMYFUNCTION("""COMPUTED_VALUE"""),"#N/A")</f>
        <v>#N/A</v>
      </c>
    </row>
    <row r="4966">
      <c r="O4966" s="1" t="str">
        <f>IFERROR(__xludf.DUMMYFUNCTION("""COMPUTED_VALUE"""),"#VALUE!")</f>
        <v>#VALUE!</v>
      </c>
      <c r="P4966" s="1" t="str">
        <f>IFERROR(__xludf.DUMMYFUNCTION("""COMPUTED_VALUE"""),"#N/A")</f>
        <v>#N/A</v>
      </c>
      <c r="Q4966" s="1"/>
      <c r="R4966" s="1"/>
      <c r="S4966" s="1"/>
      <c r="T4966" s="1"/>
      <c r="U4966" s="2">
        <f>IFERROR(__xludf.DUMMYFUNCTION("""COMPUTED_VALUE"""),0.0)</f>
        <v>0</v>
      </c>
      <c r="V4966" s="1" t="str">
        <f>IFERROR(__xludf.DUMMYFUNCTION("""COMPUTED_VALUE"""),"#N/A")</f>
        <v>#N/A</v>
      </c>
      <c r="W4966" s="1" t="str">
        <f>IFERROR(__xludf.DUMMYFUNCTION("""COMPUTED_VALUE"""),"#N/A")</f>
        <v>#N/A</v>
      </c>
    </row>
    <row r="4967">
      <c r="O4967" s="1" t="str">
        <f>IFERROR(__xludf.DUMMYFUNCTION("""COMPUTED_VALUE"""),"#VALUE!")</f>
        <v>#VALUE!</v>
      </c>
      <c r="P4967" s="1" t="str">
        <f>IFERROR(__xludf.DUMMYFUNCTION("""COMPUTED_VALUE"""),"#N/A")</f>
        <v>#N/A</v>
      </c>
      <c r="Q4967" s="1"/>
      <c r="R4967" s="1"/>
      <c r="S4967" s="1"/>
      <c r="T4967" s="1"/>
      <c r="U4967" s="2">
        <f>IFERROR(__xludf.DUMMYFUNCTION("""COMPUTED_VALUE"""),0.0)</f>
        <v>0</v>
      </c>
      <c r="V4967" s="1" t="str">
        <f>IFERROR(__xludf.DUMMYFUNCTION("""COMPUTED_VALUE"""),"#N/A")</f>
        <v>#N/A</v>
      </c>
      <c r="W4967" s="1" t="str">
        <f>IFERROR(__xludf.DUMMYFUNCTION("""COMPUTED_VALUE"""),"#N/A")</f>
        <v>#N/A</v>
      </c>
    </row>
    <row r="4968">
      <c r="O4968" s="1" t="str">
        <f>IFERROR(__xludf.DUMMYFUNCTION("""COMPUTED_VALUE"""),"#VALUE!")</f>
        <v>#VALUE!</v>
      </c>
      <c r="P4968" s="1" t="str">
        <f>IFERROR(__xludf.DUMMYFUNCTION("""COMPUTED_VALUE"""),"#N/A")</f>
        <v>#N/A</v>
      </c>
      <c r="Q4968" s="1"/>
      <c r="R4968" s="1"/>
      <c r="S4968" s="1"/>
      <c r="T4968" s="1"/>
      <c r="U4968" s="2">
        <f>IFERROR(__xludf.DUMMYFUNCTION("""COMPUTED_VALUE"""),0.0)</f>
        <v>0</v>
      </c>
      <c r="V4968" s="1" t="str">
        <f>IFERROR(__xludf.DUMMYFUNCTION("""COMPUTED_VALUE"""),"#N/A")</f>
        <v>#N/A</v>
      </c>
      <c r="W4968" s="1" t="str">
        <f>IFERROR(__xludf.DUMMYFUNCTION("""COMPUTED_VALUE"""),"#N/A")</f>
        <v>#N/A</v>
      </c>
    </row>
    <row r="4969">
      <c r="O4969" s="1" t="str">
        <f>IFERROR(__xludf.DUMMYFUNCTION("""COMPUTED_VALUE"""),"#VALUE!")</f>
        <v>#VALUE!</v>
      </c>
      <c r="P4969" s="1" t="str">
        <f>IFERROR(__xludf.DUMMYFUNCTION("""COMPUTED_VALUE"""),"#N/A")</f>
        <v>#N/A</v>
      </c>
      <c r="Q4969" s="1"/>
      <c r="R4969" s="1"/>
      <c r="S4969" s="1"/>
      <c r="T4969" s="1"/>
      <c r="U4969" s="2">
        <f>IFERROR(__xludf.DUMMYFUNCTION("""COMPUTED_VALUE"""),0.0)</f>
        <v>0</v>
      </c>
      <c r="V4969" s="1" t="str">
        <f>IFERROR(__xludf.DUMMYFUNCTION("""COMPUTED_VALUE"""),"#N/A")</f>
        <v>#N/A</v>
      </c>
      <c r="W4969" s="1" t="str">
        <f>IFERROR(__xludf.DUMMYFUNCTION("""COMPUTED_VALUE"""),"#N/A")</f>
        <v>#N/A</v>
      </c>
    </row>
    <row r="4970">
      <c r="O4970" s="1" t="str">
        <f>IFERROR(__xludf.DUMMYFUNCTION("""COMPUTED_VALUE"""),"#VALUE!")</f>
        <v>#VALUE!</v>
      </c>
      <c r="P4970" s="1" t="str">
        <f>IFERROR(__xludf.DUMMYFUNCTION("""COMPUTED_VALUE"""),"#N/A")</f>
        <v>#N/A</v>
      </c>
      <c r="Q4970" s="1"/>
      <c r="R4970" s="1"/>
      <c r="S4970" s="1"/>
      <c r="T4970" s="1"/>
      <c r="U4970" s="2">
        <f>IFERROR(__xludf.DUMMYFUNCTION("""COMPUTED_VALUE"""),0.0)</f>
        <v>0</v>
      </c>
      <c r="V4970" s="1" t="str">
        <f>IFERROR(__xludf.DUMMYFUNCTION("""COMPUTED_VALUE"""),"#N/A")</f>
        <v>#N/A</v>
      </c>
      <c r="W4970" s="1" t="str">
        <f>IFERROR(__xludf.DUMMYFUNCTION("""COMPUTED_VALUE"""),"#N/A")</f>
        <v>#N/A</v>
      </c>
    </row>
    <row r="4971">
      <c r="O4971" s="1" t="str">
        <f>IFERROR(__xludf.DUMMYFUNCTION("""COMPUTED_VALUE"""),"#VALUE!")</f>
        <v>#VALUE!</v>
      </c>
      <c r="P4971" s="1" t="str">
        <f>IFERROR(__xludf.DUMMYFUNCTION("""COMPUTED_VALUE"""),"#N/A")</f>
        <v>#N/A</v>
      </c>
      <c r="Q4971" s="1"/>
      <c r="R4971" s="1"/>
      <c r="S4971" s="1"/>
      <c r="T4971" s="1"/>
      <c r="U4971" s="2">
        <f>IFERROR(__xludf.DUMMYFUNCTION("""COMPUTED_VALUE"""),0.0)</f>
        <v>0</v>
      </c>
      <c r="V4971" s="1" t="str">
        <f>IFERROR(__xludf.DUMMYFUNCTION("""COMPUTED_VALUE"""),"#N/A")</f>
        <v>#N/A</v>
      </c>
      <c r="W4971" s="1" t="str">
        <f>IFERROR(__xludf.DUMMYFUNCTION("""COMPUTED_VALUE"""),"#N/A")</f>
        <v>#N/A</v>
      </c>
    </row>
    <row r="4972">
      <c r="O4972" s="1" t="str">
        <f>IFERROR(__xludf.DUMMYFUNCTION("""COMPUTED_VALUE"""),"#VALUE!")</f>
        <v>#VALUE!</v>
      </c>
      <c r="P4972" s="1" t="str">
        <f>IFERROR(__xludf.DUMMYFUNCTION("""COMPUTED_VALUE"""),"#N/A")</f>
        <v>#N/A</v>
      </c>
      <c r="Q4972" s="1"/>
      <c r="R4972" s="1"/>
      <c r="S4972" s="1"/>
      <c r="T4972" s="1"/>
      <c r="U4972" s="2">
        <f>IFERROR(__xludf.DUMMYFUNCTION("""COMPUTED_VALUE"""),0.0)</f>
        <v>0</v>
      </c>
      <c r="V4972" s="1" t="str">
        <f>IFERROR(__xludf.DUMMYFUNCTION("""COMPUTED_VALUE"""),"#N/A")</f>
        <v>#N/A</v>
      </c>
      <c r="W4972" s="1" t="str">
        <f>IFERROR(__xludf.DUMMYFUNCTION("""COMPUTED_VALUE"""),"#N/A")</f>
        <v>#N/A</v>
      </c>
    </row>
    <row r="4973">
      <c r="O4973" s="1" t="str">
        <f>IFERROR(__xludf.DUMMYFUNCTION("""COMPUTED_VALUE"""),"#VALUE!")</f>
        <v>#VALUE!</v>
      </c>
      <c r="P4973" s="1" t="str">
        <f>IFERROR(__xludf.DUMMYFUNCTION("""COMPUTED_VALUE"""),"#N/A")</f>
        <v>#N/A</v>
      </c>
      <c r="Q4973" s="1"/>
      <c r="R4973" s="1"/>
      <c r="S4973" s="1"/>
      <c r="T4973" s="1"/>
      <c r="U4973" s="2">
        <f>IFERROR(__xludf.DUMMYFUNCTION("""COMPUTED_VALUE"""),0.0)</f>
        <v>0</v>
      </c>
      <c r="V4973" s="1" t="str">
        <f>IFERROR(__xludf.DUMMYFUNCTION("""COMPUTED_VALUE"""),"#N/A")</f>
        <v>#N/A</v>
      </c>
      <c r="W4973" s="1" t="str">
        <f>IFERROR(__xludf.DUMMYFUNCTION("""COMPUTED_VALUE"""),"#N/A")</f>
        <v>#N/A</v>
      </c>
    </row>
    <row r="4974">
      <c r="O4974" s="1" t="str">
        <f>IFERROR(__xludf.DUMMYFUNCTION("""COMPUTED_VALUE"""),"#VALUE!")</f>
        <v>#VALUE!</v>
      </c>
      <c r="P4974" s="1" t="str">
        <f>IFERROR(__xludf.DUMMYFUNCTION("""COMPUTED_VALUE"""),"#N/A")</f>
        <v>#N/A</v>
      </c>
      <c r="Q4974" s="1"/>
      <c r="R4974" s="1"/>
      <c r="S4974" s="1"/>
      <c r="T4974" s="1"/>
      <c r="U4974" s="2">
        <f>IFERROR(__xludf.DUMMYFUNCTION("""COMPUTED_VALUE"""),0.0)</f>
        <v>0</v>
      </c>
      <c r="V4974" s="1" t="str">
        <f>IFERROR(__xludf.DUMMYFUNCTION("""COMPUTED_VALUE"""),"#N/A")</f>
        <v>#N/A</v>
      </c>
      <c r="W4974" s="1" t="str">
        <f>IFERROR(__xludf.DUMMYFUNCTION("""COMPUTED_VALUE"""),"#N/A")</f>
        <v>#N/A</v>
      </c>
    </row>
    <row r="4975">
      <c r="O4975" s="1" t="str">
        <f>IFERROR(__xludf.DUMMYFUNCTION("""COMPUTED_VALUE"""),"#VALUE!")</f>
        <v>#VALUE!</v>
      </c>
      <c r="P4975" s="1" t="str">
        <f>IFERROR(__xludf.DUMMYFUNCTION("""COMPUTED_VALUE"""),"#N/A")</f>
        <v>#N/A</v>
      </c>
      <c r="Q4975" s="1"/>
      <c r="R4975" s="1"/>
      <c r="S4975" s="1"/>
      <c r="T4975" s="1"/>
      <c r="U4975" s="2">
        <f>IFERROR(__xludf.DUMMYFUNCTION("""COMPUTED_VALUE"""),0.0)</f>
        <v>0</v>
      </c>
      <c r="V4975" s="1" t="str">
        <f>IFERROR(__xludf.DUMMYFUNCTION("""COMPUTED_VALUE"""),"#N/A")</f>
        <v>#N/A</v>
      </c>
      <c r="W4975" s="1" t="str">
        <f>IFERROR(__xludf.DUMMYFUNCTION("""COMPUTED_VALUE"""),"#N/A")</f>
        <v>#N/A</v>
      </c>
    </row>
    <row r="4976">
      <c r="O4976" s="1" t="str">
        <f>IFERROR(__xludf.DUMMYFUNCTION("""COMPUTED_VALUE"""),"#VALUE!")</f>
        <v>#VALUE!</v>
      </c>
      <c r="P4976" s="1" t="str">
        <f>IFERROR(__xludf.DUMMYFUNCTION("""COMPUTED_VALUE"""),"#N/A")</f>
        <v>#N/A</v>
      </c>
      <c r="Q4976" s="1"/>
      <c r="R4976" s="1"/>
      <c r="S4976" s="1"/>
      <c r="T4976" s="1"/>
      <c r="U4976" s="2">
        <f>IFERROR(__xludf.DUMMYFUNCTION("""COMPUTED_VALUE"""),0.0)</f>
        <v>0</v>
      </c>
      <c r="V4976" s="1" t="str">
        <f>IFERROR(__xludf.DUMMYFUNCTION("""COMPUTED_VALUE"""),"#N/A")</f>
        <v>#N/A</v>
      </c>
      <c r="W4976" s="1" t="str">
        <f>IFERROR(__xludf.DUMMYFUNCTION("""COMPUTED_VALUE"""),"#N/A")</f>
        <v>#N/A</v>
      </c>
    </row>
    <row r="4977">
      <c r="O4977" s="1" t="str">
        <f>IFERROR(__xludf.DUMMYFUNCTION("""COMPUTED_VALUE"""),"#VALUE!")</f>
        <v>#VALUE!</v>
      </c>
      <c r="P4977" s="1" t="str">
        <f>IFERROR(__xludf.DUMMYFUNCTION("""COMPUTED_VALUE"""),"#N/A")</f>
        <v>#N/A</v>
      </c>
      <c r="Q4977" s="1"/>
      <c r="R4977" s="1"/>
      <c r="S4977" s="1"/>
      <c r="T4977" s="1"/>
      <c r="U4977" s="2">
        <f>IFERROR(__xludf.DUMMYFUNCTION("""COMPUTED_VALUE"""),0.0)</f>
        <v>0</v>
      </c>
      <c r="V4977" s="1" t="str">
        <f>IFERROR(__xludf.DUMMYFUNCTION("""COMPUTED_VALUE"""),"#N/A")</f>
        <v>#N/A</v>
      </c>
      <c r="W4977" s="1" t="str">
        <f>IFERROR(__xludf.DUMMYFUNCTION("""COMPUTED_VALUE"""),"#N/A")</f>
        <v>#N/A</v>
      </c>
    </row>
    <row r="4978">
      <c r="O4978" s="1" t="str">
        <f>IFERROR(__xludf.DUMMYFUNCTION("""COMPUTED_VALUE"""),"#VALUE!")</f>
        <v>#VALUE!</v>
      </c>
      <c r="P4978" s="1" t="str">
        <f>IFERROR(__xludf.DUMMYFUNCTION("""COMPUTED_VALUE"""),"#N/A")</f>
        <v>#N/A</v>
      </c>
      <c r="Q4978" s="1"/>
      <c r="R4978" s="1"/>
      <c r="S4978" s="1"/>
      <c r="T4978" s="1"/>
      <c r="U4978" s="2">
        <f>IFERROR(__xludf.DUMMYFUNCTION("""COMPUTED_VALUE"""),0.0)</f>
        <v>0</v>
      </c>
      <c r="V4978" s="1" t="str">
        <f>IFERROR(__xludf.DUMMYFUNCTION("""COMPUTED_VALUE"""),"#N/A")</f>
        <v>#N/A</v>
      </c>
      <c r="W4978" s="1" t="str">
        <f>IFERROR(__xludf.DUMMYFUNCTION("""COMPUTED_VALUE"""),"#N/A")</f>
        <v>#N/A</v>
      </c>
    </row>
    <row r="4979">
      <c r="O4979" s="1" t="str">
        <f>IFERROR(__xludf.DUMMYFUNCTION("""COMPUTED_VALUE"""),"#VALUE!")</f>
        <v>#VALUE!</v>
      </c>
      <c r="P4979" s="1" t="str">
        <f>IFERROR(__xludf.DUMMYFUNCTION("""COMPUTED_VALUE"""),"#N/A")</f>
        <v>#N/A</v>
      </c>
      <c r="Q4979" s="1"/>
      <c r="R4979" s="1"/>
      <c r="S4979" s="1"/>
      <c r="T4979" s="1"/>
      <c r="U4979" s="2">
        <f>IFERROR(__xludf.DUMMYFUNCTION("""COMPUTED_VALUE"""),0.0)</f>
        <v>0</v>
      </c>
      <c r="V4979" s="1" t="str">
        <f>IFERROR(__xludf.DUMMYFUNCTION("""COMPUTED_VALUE"""),"#N/A")</f>
        <v>#N/A</v>
      </c>
      <c r="W4979" s="1" t="str">
        <f>IFERROR(__xludf.DUMMYFUNCTION("""COMPUTED_VALUE"""),"#N/A")</f>
        <v>#N/A</v>
      </c>
    </row>
    <row r="4980">
      <c r="O4980" s="1" t="str">
        <f>IFERROR(__xludf.DUMMYFUNCTION("""COMPUTED_VALUE"""),"#VALUE!")</f>
        <v>#VALUE!</v>
      </c>
      <c r="P4980" s="1" t="str">
        <f>IFERROR(__xludf.DUMMYFUNCTION("""COMPUTED_VALUE"""),"#N/A")</f>
        <v>#N/A</v>
      </c>
      <c r="Q4980" s="1"/>
      <c r="R4980" s="1"/>
      <c r="S4980" s="1"/>
      <c r="T4980" s="1"/>
      <c r="U4980" s="2">
        <f>IFERROR(__xludf.DUMMYFUNCTION("""COMPUTED_VALUE"""),0.0)</f>
        <v>0</v>
      </c>
      <c r="V4980" s="1" t="str">
        <f>IFERROR(__xludf.DUMMYFUNCTION("""COMPUTED_VALUE"""),"#N/A")</f>
        <v>#N/A</v>
      </c>
      <c r="W4980" s="1" t="str">
        <f>IFERROR(__xludf.DUMMYFUNCTION("""COMPUTED_VALUE"""),"#N/A")</f>
        <v>#N/A</v>
      </c>
    </row>
    <row r="4981">
      <c r="O4981" s="1" t="str">
        <f>IFERROR(__xludf.DUMMYFUNCTION("""COMPUTED_VALUE"""),"#VALUE!")</f>
        <v>#VALUE!</v>
      </c>
      <c r="P4981" s="1" t="str">
        <f>IFERROR(__xludf.DUMMYFUNCTION("""COMPUTED_VALUE"""),"#N/A")</f>
        <v>#N/A</v>
      </c>
      <c r="Q4981" s="1"/>
      <c r="R4981" s="1"/>
      <c r="S4981" s="1"/>
      <c r="T4981" s="1"/>
      <c r="U4981" s="2">
        <f>IFERROR(__xludf.DUMMYFUNCTION("""COMPUTED_VALUE"""),0.0)</f>
        <v>0</v>
      </c>
      <c r="V4981" s="1" t="str">
        <f>IFERROR(__xludf.DUMMYFUNCTION("""COMPUTED_VALUE"""),"#N/A")</f>
        <v>#N/A</v>
      </c>
      <c r="W4981" s="1" t="str">
        <f>IFERROR(__xludf.DUMMYFUNCTION("""COMPUTED_VALUE"""),"#N/A")</f>
        <v>#N/A</v>
      </c>
    </row>
    <row r="4982">
      <c r="O4982" s="1" t="str">
        <f>IFERROR(__xludf.DUMMYFUNCTION("""COMPUTED_VALUE"""),"#VALUE!")</f>
        <v>#VALUE!</v>
      </c>
      <c r="P4982" s="1" t="str">
        <f>IFERROR(__xludf.DUMMYFUNCTION("""COMPUTED_VALUE"""),"#N/A")</f>
        <v>#N/A</v>
      </c>
      <c r="Q4982" s="1"/>
      <c r="R4982" s="1"/>
      <c r="S4982" s="1"/>
      <c r="T4982" s="1"/>
      <c r="U4982" s="2">
        <f>IFERROR(__xludf.DUMMYFUNCTION("""COMPUTED_VALUE"""),0.0)</f>
        <v>0</v>
      </c>
      <c r="V4982" s="1" t="str">
        <f>IFERROR(__xludf.DUMMYFUNCTION("""COMPUTED_VALUE"""),"#N/A")</f>
        <v>#N/A</v>
      </c>
      <c r="W4982" s="1" t="str">
        <f>IFERROR(__xludf.DUMMYFUNCTION("""COMPUTED_VALUE"""),"#N/A")</f>
        <v>#N/A</v>
      </c>
    </row>
    <row r="4983">
      <c r="O4983" s="1" t="str">
        <f>IFERROR(__xludf.DUMMYFUNCTION("""COMPUTED_VALUE"""),"#VALUE!")</f>
        <v>#VALUE!</v>
      </c>
      <c r="P4983" s="1" t="str">
        <f>IFERROR(__xludf.DUMMYFUNCTION("""COMPUTED_VALUE"""),"#N/A")</f>
        <v>#N/A</v>
      </c>
      <c r="Q4983" s="1"/>
      <c r="R4983" s="1"/>
      <c r="S4983" s="1"/>
      <c r="T4983" s="1"/>
      <c r="U4983" s="2">
        <f>IFERROR(__xludf.DUMMYFUNCTION("""COMPUTED_VALUE"""),0.0)</f>
        <v>0</v>
      </c>
      <c r="V4983" s="1" t="str">
        <f>IFERROR(__xludf.DUMMYFUNCTION("""COMPUTED_VALUE"""),"#N/A")</f>
        <v>#N/A</v>
      </c>
      <c r="W4983" s="1" t="str">
        <f>IFERROR(__xludf.DUMMYFUNCTION("""COMPUTED_VALUE"""),"#N/A")</f>
        <v>#N/A</v>
      </c>
    </row>
    <row r="4984">
      <c r="O4984" s="1" t="str">
        <f>IFERROR(__xludf.DUMMYFUNCTION("""COMPUTED_VALUE"""),"#VALUE!")</f>
        <v>#VALUE!</v>
      </c>
      <c r="P4984" s="1" t="str">
        <f>IFERROR(__xludf.DUMMYFUNCTION("""COMPUTED_VALUE"""),"#N/A")</f>
        <v>#N/A</v>
      </c>
      <c r="Q4984" s="1"/>
      <c r="R4984" s="1"/>
      <c r="S4984" s="1"/>
      <c r="T4984" s="1"/>
      <c r="U4984" s="2">
        <f>IFERROR(__xludf.DUMMYFUNCTION("""COMPUTED_VALUE"""),0.0)</f>
        <v>0</v>
      </c>
      <c r="V4984" s="1" t="str">
        <f>IFERROR(__xludf.DUMMYFUNCTION("""COMPUTED_VALUE"""),"#N/A")</f>
        <v>#N/A</v>
      </c>
      <c r="W4984" s="1" t="str">
        <f>IFERROR(__xludf.DUMMYFUNCTION("""COMPUTED_VALUE"""),"#N/A")</f>
        <v>#N/A</v>
      </c>
    </row>
    <row r="4985">
      <c r="O4985" s="1" t="str">
        <f>IFERROR(__xludf.DUMMYFUNCTION("""COMPUTED_VALUE"""),"#VALUE!")</f>
        <v>#VALUE!</v>
      </c>
      <c r="P4985" s="1" t="str">
        <f>IFERROR(__xludf.DUMMYFUNCTION("""COMPUTED_VALUE"""),"#N/A")</f>
        <v>#N/A</v>
      </c>
      <c r="Q4985" s="1"/>
      <c r="R4985" s="1"/>
      <c r="S4985" s="1"/>
      <c r="T4985" s="1"/>
      <c r="U4985" s="2">
        <f>IFERROR(__xludf.DUMMYFUNCTION("""COMPUTED_VALUE"""),0.0)</f>
        <v>0</v>
      </c>
      <c r="V4985" s="1" t="str">
        <f>IFERROR(__xludf.DUMMYFUNCTION("""COMPUTED_VALUE"""),"#N/A")</f>
        <v>#N/A</v>
      </c>
      <c r="W4985" s="1" t="str">
        <f>IFERROR(__xludf.DUMMYFUNCTION("""COMPUTED_VALUE"""),"#N/A")</f>
        <v>#N/A</v>
      </c>
    </row>
    <row r="4986">
      <c r="O4986" s="1" t="str">
        <f>IFERROR(__xludf.DUMMYFUNCTION("""COMPUTED_VALUE"""),"#VALUE!")</f>
        <v>#VALUE!</v>
      </c>
      <c r="P4986" s="1" t="str">
        <f>IFERROR(__xludf.DUMMYFUNCTION("""COMPUTED_VALUE"""),"#N/A")</f>
        <v>#N/A</v>
      </c>
      <c r="Q4986" s="1"/>
      <c r="R4986" s="1"/>
      <c r="S4986" s="1"/>
      <c r="T4986" s="1"/>
      <c r="U4986" s="2">
        <f>IFERROR(__xludf.DUMMYFUNCTION("""COMPUTED_VALUE"""),0.0)</f>
        <v>0</v>
      </c>
      <c r="V4986" s="1" t="str">
        <f>IFERROR(__xludf.DUMMYFUNCTION("""COMPUTED_VALUE"""),"#N/A")</f>
        <v>#N/A</v>
      </c>
      <c r="W4986" s="1" t="str">
        <f>IFERROR(__xludf.DUMMYFUNCTION("""COMPUTED_VALUE"""),"#N/A")</f>
        <v>#N/A</v>
      </c>
    </row>
    <row r="4987">
      <c r="O4987" s="1" t="str">
        <f>IFERROR(__xludf.DUMMYFUNCTION("""COMPUTED_VALUE"""),"#VALUE!")</f>
        <v>#VALUE!</v>
      </c>
      <c r="P4987" s="1" t="str">
        <f>IFERROR(__xludf.DUMMYFUNCTION("""COMPUTED_VALUE"""),"#N/A")</f>
        <v>#N/A</v>
      </c>
      <c r="Q4987" s="1"/>
      <c r="R4987" s="1"/>
      <c r="S4987" s="1"/>
      <c r="T4987" s="1"/>
      <c r="U4987" s="2">
        <f>IFERROR(__xludf.DUMMYFUNCTION("""COMPUTED_VALUE"""),0.0)</f>
        <v>0</v>
      </c>
      <c r="V4987" s="1" t="str">
        <f>IFERROR(__xludf.DUMMYFUNCTION("""COMPUTED_VALUE"""),"#N/A")</f>
        <v>#N/A</v>
      </c>
      <c r="W4987" s="1" t="str">
        <f>IFERROR(__xludf.DUMMYFUNCTION("""COMPUTED_VALUE"""),"#N/A")</f>
        <v>#N/A</v>
      </c>
    </row>
    <row r="4988">
      <c r="O4988" s="1" t="str">
        <f>IFERROR(__xludf.DUMMYFUNCTION("""COMPUTED_VALUE"""),"#VALUE!")</f>
        <v>#VALUE!</v>
      </c>
      <c r="P4988" s="1" t="str">
        <f>IFERROR(__xludf.DUMMYFUNCTION("""COMPUTED_VALUE"""),"#N/A")</f>
        <v>#N/A</v>
      </c>
      <c r="Q4988" s="1"/>
      <c r="R4988" s="1"/>
      <c r="S4988" s="1"/>
      <c r="T4988" s="1"/>
      <c r="U4988" s="2">
        <f>IFERROR(__xludf.DUMMYFUNCTION("""COMPUTED_VALUE"""),0.0)</f>
        <v>0</v>
      </c>
      <c r="V4988" s="1" t="str">
        <f>IFERROR(__xludf.DUMMYFUNCTION("""COMPUTED_VALUE"""),"#N/A")</f>
        <v>#N/A</v>
      </c>
      <c r="W4988" s="1" t="str">
        <f>IFERROR(__xludf.DUMMYFUNCTION("""COMPUTED_VALUE"""),"#N/A")</f>
        <v>#N/A</v>
      </c>
    </row>
    <row r="4989">
      <c r="O4989" s="1" t="str">
        <f>IFERROR(__xludf.DUMMYFUNCTION("""COMPUTED_VALUE"""),"#VALUE!")</f>
        <v>#VALUE!</v>
      </c>
      <c r="P4989" s="1" t="str">
        <f>IFERROR(__xludf.DUMMYFUNCTION("""COMPUTED_VALUE"""),"#N/A")</f>
        <v>#N/A</v>
      </c>
      <c r="Q4989" s="1"/>
      <c r="R4989" s="1"/>
      <c r="S4989" s="1"/>
      <c r="T4989" s="1"/>
      <c r="U4989" s="2">
        <f>IFERROR(__xludf.DUMMYFUNCTION("""COMPUTED_VALUE"""),0.0)</f>
        <v>0</v>
      </c>
      <c r="V4989" s="1" t="str">
        <f>IFERROR(__xludf.DUMMYFUNCTION("""COMPUTED_VALUE"""),"#N/A")</f>
        <v>#N/A</v>
      </c>
      <c r="W4989" s="1" t="str">
        <f>IFERROR(__xludf.DUMMYFUNCTION("""COMPUTED_VALUE"""),"#N/A")</f>
        <v>#N/A</v>
      </c>
    </row>
    <row r="4990">
      <c r="O4990" s="1" t="str">
        <f>IFERROR(__xludf.DUMMYFUNCTION("""COMPUTED_VALUE"""),"#VALUE!")</f>
        <v>#VALUE!</v>
      </c>
      <c r="P4990" s="1" t="str">
        <f>IFERROR(__xludf.DUMMYFUNCTION("""COMPUTED_VALUE"""),"#N/A")</f>
        <v>#N/A</v>
      </c>
      <c r="Q4990" s="1"/>
      <c r="R4990" s="1"/>
      <c r="S4990" s="1"/>
      <c r="T4990" s="1"/>
      <c r="U4990" s="2">
        <f>IFERROR(__xludf.DUMMYFUNCTION("""COMPUTED_VALUE"""),0.0)</f>
        <v>0</v>
      </c>
      <c r="V4990" s="1" t="str">
        <f>IFERROR(__xludf.DUMMYFUNCTION("""COMPUTED_VALUE"""),"#N/A")</f>
        <v>#N/A</v>
      </c>
      <c r="W4990" s="1" t="str">
        <f>IFERROR(__xludf.DUMMYFUNCTION("""COMPUTED_VALUE"""),"#N/A")</f>
        <v>#N/A</v>
      </c>
    </row>
    <row r="4991">
      <c r="O4991" s="1" t="str">
        <f>IFERROR(__xludf.DUMMYFUNCTION("""COMPUTED_VALUE"""),"#VALUE!")</f>
        <v>#VALUE!</v>
      </c>
      <c r="P4991" s="1" t="str">
        <f>IFERROR(__xludf.DUMMYFUNCTION("""COMPUTED_VALUE"""),"#N/A")</f>
        <v>#N/A</v>
      </c>
      <c r="Q4991" s="1"/>
      <c r="R4991" s="1"/>
      <c r="S4991" s="1"/>
      <c r="T4991" s="1"/>
      <c r="U4991" s="2">
        <f>IFERROR(__xludf.DUMMYFUNCTION("""COMPUTED_VALUE"""),0.0)</f>
        <v>0</v>
      </c>
      <c r="V4991" s="1" t="str">
        <f>IFERROR(__xludf.DUMMYFUNCTION("""COMPUTED_VALUE"""),"#N/A")</f>
        <v>#N/A</v>
      </c>
      <c r="W4991" s="1" t="str">
        <f>IFERROR(__xludf.DUMMYFUNCTION("""COMPUTED_VALUE"""),"#N/A")</f>
        <v>#N/A</v>
      </c>
    </row>
    <row r="4992">
      <c r="O4992" s="1" t="str">
        <f>IFERROR(__xludf.DUMMYFUNCTION("""COMPUTED_VALUE"""),"#VALUE!")</f>
        <v>#VALUE!</v>
      </c>
      <c r="P4992" s="1" t="str">
        <f>IFERROR(__xludf.DUMMYFUNCTION("""COMPUTED_VALUE"""),"#N/A")</f>
        <v>#N/A</v>
      </c>
      <c r="Q4992" s="1"/>
      <c r="R4992" s="1"/>
      <c r="S4992" s="1"/>
      <c r="T4992" s="1"/>
      <c r="U4992" s="2">
        <f>IFERROR(__xludf.DUMMYFUNCTION("""COMPUTED_VALUE"""),0.0)</f>
        <v>0</v>
      </c>
      <c r="V4992" s="1" t="str">
        <f>IFERROR(__xludf.DUMMYFUNCTION("""COMPUTED_VALUE"""),"#N/A")</f>
        <v>#N/A</v>
      </c>
      <c r="W4992" s="1" t="str">
        <f>IFERROR(__xludf.DUMMYFUNCTION("""COMPUTED_VALUE"""),"#N/A")</f>
        <v>#N/A</v>
      </c>
    </row>
    <row r="4993">
      <c r="O4993" s="1" t="str">
        <f>IFERROR(__xludf.DUMMYFUNCTION("""COMPUTED_VALUE"""),"#VALUE!")</f>
        <v>#VALUE!</v>
      </c>
      <c r="P4993" s="1" t="str">
        <f>IFERROR(__xludf.DUMMYFUNCTION("""COMPUTED_VALUE"""),"#N/A")</f>
        <v>#N/A</v>
      </c>
      <c r="Q4993" s="1"/>
      <c r="R4993" s="1"/>
      <c r="S4993" s="1"/>
      <c r="T4993" s="1"/>
      <c r="U4993" s="2">
        <f>IFERROR(__xludf.DUMMYFUNCTION("""COMPUTED_VALUE"""),0.0)</f>
        <v>0</v>
      </c>
      <c r="V4993" s="1" t="str">
        <f>IFERROR(__xludf.DUMMYFUNCTION("""COMPUTED_VALUE"""),"#N/A")</f>
        <v>#N/A</v>
      </c>
      <c r="W4993" s="1" t="str">
        <f>IFERROR(__xludf.DUMMYFUNCTION("""COMPUTED_VALUE"""),"#N/A")</f>
        <v>#N/A</v>
      </c>
    </row>
    <row r="4994">
      <c r="O4994" s="1" t="str">
        <f>IFERROR(__xludf.DUMMYFUNCTION("""COMPUTED_VALUE"""),"#VALUE!")</f>
        <v>#VALUE!</v>
      </c>
      <c r="P4994" s="1" t="str">
        <f>IFERROR(__xludf.DUMMYFUNCTION("""COMPUTED_VALUE"""),"#N/A")</f>
        <v>#N/A</v>
      </c>
      <c r="Q4994" s="1"/>
      <c r="R4994" s="1"/>
      <c r="S4994" s="1"/>
      <c r="T4994" s="1"/>
      <c r="U4994" s="2">
        <f>IFERROR(__xludf.DUMMYFUNCTION("""COMPUTED_VALUE"""),0.0)</f>
        <v>0</v>
      </c>
      <c r="V4994" s="1" t="str">
        <f>IFERROR(__xludf.DUMMYFUNCTION("""COMPUTED_VALUE"""),"#N/A")</f>
        <v>#N/A</v>
      </c>
      <c r="W4994" s="1" t="str">
        <f>IFERROR(__xludf.DUMMYFUNCTION("""COMPUTED_VALUE"""),"#N/A")</f>
        <v>#N/A</v>
      </c>
    </row>
    <row r="4995">
      <c r="O4995" s="1" t="str">
        <f>IFERROR(__xludf.DUMMYFUNCTION("""COMPUTED_VALUE"""),"#VALUE!")</f>
        <v>#VALUE!</v>
      </c>
      <c r="P4995" s="1" t="str">
        <f>IFERROR(__xludf.DUMMYFUNCTION("""COMPUTED_VALUE"""),"#N/A")</f>
        <v>#N/A</v>
      </c>
      <c r="Q4995" s="1"/>
      <c r="R4995" s="1"/>
      <c r="S4995" s="1"/>
      <c r="T4995" s="1"/>
      <c r="U4995" s="2">
        <f>IFERROR(__xludf.DUMMYFUNCTION("""COMPUTED_VALUE"""),0.0)</f>
        <v>0</v>
      </c>
      <c r="V4995" s="1" t="str">
        <f>IFERROR(__xludf.DUMMYFUNCTION("""COMPUTED_VALUE"""),"#N/A")</f>
        <v>#N/A</v>
      </c>
      <c r="W4995" s="1" t="str">
        <f>IFERROR(__xludf.DUMMYFUNCTION("""COMPUTED_VALUE"""),"#N/A")</f>
        <v>#N/A</v>
      </c>
    </row>
    <row r="4996">
      <c r="O4996" s="1" t="str">
        <f>IFERROR(__xludf.DUMMYFUNCTION("""COMPUTED_VALUE"""),"#VALUE!")</f>
        <v>#VALUE!</v>
      </c>
      <c r="P4996" s="1" t="str">
        <f>IFERROR(__xludf.DUMMYFUNCTION("""COMPUTED_VALUE"""),"#N/A")</f>
        <v>#N/A</v>
      </c>
      <c r="Q4996" s="1"/>
      <c r="R4996" s="1"/>
      <c r="S4996" s="1"/>
      <c r="T4996" s="1"/>
      <c r="U4996" s="2">
        <f>IFERROR(__xludf.DUMMYFUNCTION("""COMPUTED_VALUE"""),0.0)</f>
        <v>0</v>
      </c>
      <c r="V4996" s="1" t="str">
        <f>IFERROR(__xludf.DUMMYFUNCTION("""COMPUTED_VALUE"""),"#N/A")</f>
        <v>#N/A</v>
      </c>
      <c r="W4996" s="1" t="str">
        <f>IFERROR(__xludf.DUMMYFUNCTION("""COMPUTED_VALUE"""),"#N/A")</f>
        <v>#N/A</v>
      </c>
    </row>
    <row r="4997">
      <c r="O4997" s="1" t="str">
        <f>IFERROR(__xludf.DUMMYFUNCTION("""COMPUTED_VALUE"""),"#VALUE!")</f>
        <v>#VALUE!</v>
      </c>
      <c r="P4997" s="1" t="str">
        <f>IFERROR(__xludf.DUMMYFUNCTION("""COMPUTED_VALUE"""),"#N/A")</f>
        <v>#N/A</v>
      </c>
      <c r="Q4997" s="1"/>
      <c r="R4997" s="1"/>
      <c r="S4997" s="1"/>
      <c r="T4997" s="1"/>
      <c r="U4997" s="2">
        <f>IFERROR(__xludf.DUMMYFUNCTION("""COMPUTED_VALUE"""),0.0)</f>
        <v>0</v>
      </c>
      <c r="V4997" s="1" t="str">
        <f>IFERROR(__xludf.DUMMYFUNCTION("""COMPUTED_VALUE"""),"#N/A")</f>
        <v>#N/A</v>
      </c>
      <c r="W4997" s="1" t="str">
        <f>IFERROR(__xludf.DUMMYFUNCTION("""COMPUTED_VALUE"""),"#N/A")</f>
        <v>#N/A</v>
      </c>
    </row>
    <row r="4998">
      <c r="O4998" s="1" t="str">
        <f>IFERROR(__xludf.DUMMYFUNCTION("""COMPUTED_VALUE"""),"#VALUE!")</f>
        <v>#VALUE!</v>
      </c>
      <c r="P4998" s="1" t="str">
        <f>IFERROR(__xludf.DUMMYFUNCTION("""COMPUTED_VALUE"""),"#N/A")</f>
        <v>#N/A</v>
      </c>
      <c r="Q4998" s="1"/>
      <c r="R4998" s="1"/>
      <c r="S4998" s="1"/>
      <c r="T4998" s="1"/>
      <c r="U4998" s="2">
        <f>IFERROR(__xludf.DUMMYFUNCTION("""COMPUTED_VALUE"""),0.0)</f>
        <v>0</v>
      </c>
      <c r="V4998" s="1" t="str">
        <f>IFERROR(__xludf.DUMMYFUNCTION("""COMPUTED_VALUE"""),"#N/A")</f>
        <v>#N/A</v>
      </c>
      <c r="W4998" s="1" t="str">
        <f>IFERROR(__xludf.DUMMYFUNCTION("""COMPUTED_VALUE"""),"#N/A")</f>
        <v>#N/A</v>
      </c>
    </row>
    <row r="4999">
      <c r="O4999" s="1" t="str">
        <f>IFERROR(__xludf.DUMMYFUNCTION("""COMPUTED_VALUE"""),"#VALUE!")</f>
        <v>#VALUE!</v>
      </c>
      <c r="P4999" s="1" t="str">
        <f>IFERROR(__xludf.DUMMYFUNCTION("""COMPUTED_VALUE"""),"#N/A")</f>
        <v>#N/A</v>
      </c>
      <c r="Q4999" s="1"/>
      <c r="R4999" s="1"/>
      <c r="S4999" s="1"/>
      <c r="T4999" s="1"/>
      <c r="U4999" s="2">
        <f>IFERROR(__xludf.DUMMYFUNCTION("""COMPUTED_VALUE"""),0.0)</f>
        <v>0</v>
      </c>
      <c r="V4999" s="1" t="str">
        <f>IFERROR(__xludf.DUMMYFUNCTION("""COMPUTED_VALUE"""),"#N/A")</f>
        <v>#N/A</v>
      </c>
      <c r="W4999" s="1" t="str">
        <f>IFERROR(__xludf.DUMMYFUNCTION("""COMPUTED_VALUE"""),"#N/A")</f>
        <v>#N/A</v>
      </c>
    </row>
    <row r="5000">
      <c r="O5000" s="1" t="str">
        <f>IFERROR(__xludf.DUMMYFUNCTION("""COMPUTED_VALUE"""),"#VALUE!")</f>
        <v>#VALUE!</v>
      </c>
      <c r="P5000" s="1" t="str">
        <f>IFERROR(__xludf.DUMMYFUNCTION("""COMPUTED_VALUE"""),"#N/A")</f>
        <v>#N/A</v>
      </c>
      <c r="Q5000" s="1"/>
      <c r="R5000" s="1"/>
      <c r="S5000" s="1"/>
      <c r="T5000" s="1"/>
      <c r="U5000" s="2">
        <f>IFERROR(__xludf.DUMMYFUNCTION("""COMPUTED_VALUE"""),0.0)</f>
        <v>0</v>
      </c>
      <c r="V5000" s="1" t="str">
        <f>IFERROR(__xludf.DUMMYFUNCTION("""COMPUTED_VALUE"""),"#N/A")</f>
        <v>#N/A</v>
      </c>
      <c r="W5000" s="1" t="str">
        <f>IFERROR(__xludf.DUMMYFUNCTION("""COMPUTED_VALUE"""),"#N/A")</f>
        <v>#N/A</v>
      </c>
    </row>
    <row r="5001">
      <c r="O5001" s="1" t="str">
        <f>IFERROR(__xludf.DUMMYFUNCTION("""COMPUTED_VALUE"""),"#VALUE!")</f>
        <v>#VALUE!</v>
      </c>
      <c r="P5001" s="1" t="str">
        <f>IFERROR(__xludf.DUMMYFUNCTION("""COMPUTED_VALUE"""),"#N/A")</f>
        <v>#N/A</v>
      </c>
      <c r="Q5001" s="1"/>
      <c r="R5001" s="1"/>
      <c r="S5001" s="1"/>
      <c r="T5001" s="1"/>
      <c r="U5001" s="2">
        <f>IFERROR(__xludf.DUMMYFUNCTION("""COMPUTED_VALUE"""),0.0)</f>
        <v>0</v>
      </c>
      <c r="V5001" s="1" t="str">
        <f>IFERROR(__xludf.DUMMYFUNCTION("""COMPUTED_VALUE"""),"#N/A")</f>
        <v>#N/A</v>
      </c>
      <c r="W5001" s="1" t="str">
        <f>IFERROR(__xludf.DUMMYFUNCTION("""COMPUTED_VALUE"""),"#N/A")</f>
        <v>#N/A</v>
      </c>
    </row>
    <row r="5002">
      <c r="O5002" s="1" t="str">
        <f>IFERROR(__xludf.DUMMYFUNCTION("""COMPUTED_VALUE"""),"#VALUE!")</f>
        <v>#VALUE!</v>
      </c>
      <c r="P5002" s="1" t="str">
        <f>IFERROR(__xludf.DUMMYFUNCTION("""COMPUTED_VALUE"""),"#N/A")</f>
        <v>#N/A</v>
      </c>
      <c r="Q5002" s="1"/>
      <c r="R5002" s="1"/>
      <c r="S5002" s="1"/>
      <c r="T5002" s="1"/>
      <c r="U5002" s="2">
        <f>IFERROR(__xludf.DUMMYFUNCTION("""COMPUTED_VALUE"""),0.0)</f>
        <v>0</v>
      </c>
      <c r="V5002" s="1" t="str">
        <f>IFERROR(__xludf.DUMMYFUNCTION("""COMPUTED_VALUE"""),"#N/A")</f>
        <v>#N/A</v>
      </c>
      <c r="W5002" s="1" t="str">
        <f>IFERROR(__xludf.DUMMYFUNCTION("""COMPUTED_VALUE"""),"#N/A")</f>
        <v>#N/A</v>
      </c>
    </row>
    <row r="5003">
      <c r="O5003" s="1" t="str">
        <f>IFERROR(__xludf.DUMMYFUNCTION("""COMPUTED_VALUE"""),"#VALUE!")</f>
        <v>#VALUE!</v>
      </c>
      <c r="P5003" s="1" t="str">
        <f>IFERROR(__xludf.DUMMYFUNCTION("""COMPUTED_VALUE"""),"#N/A")</f>
        <v>#N/A</v>
      </c>
      <c r="Q5003" s="1"/>
      <c r="R5003" s="1"/>
      <c r="S5003" s="1"/>
      <c r="T5003" s="1"/>
      <c r="U5003" s="2">
        <f>IFERROR(__xludf.DUMMYFUNCTION("""COMPUTED_VALUE"""),0.0)</f>
        <v>0</v>
      </c>
      <c r="V5003" s="1" t="str">
        <f>IFERROR(__xludf.DUMMYFUNCTION("""COMPUTED_VALUE"""),"#N/A")</f>
        <v>#N/A</v>
      </c>
      <c r="W5003" s="1" t="str">
        <f>IFERROR(__xludf.DUMMYFUNCTION("""COMPUTED_VALUE"""),"#N/A")</f>
        <v>#N/A</v>
      </c>
    </row>
    <row r="5004">
      <c r="O5004" s="1" t="str">
        <f>IFERROR(__xludf.DUMMYFUNCTION("""COMPUTED_VALUE"""),"#VALUE!")</f>
        <v>#VALUE!</v>
      </c>
      <c r="P5004" s="1" t="str">
        <f>IFERROR(__xludf.DUMMYFUNCTION("""COMPUTED_VALUE"""),"#N/A")</f>
        <v>#N/A</v>
      </c>
      <c r="Q5004" s="1"/>
      <c r="R5004" s="1"/>
      <c r="S5004" s="1"/>
      <c r="T5004" s="1"/>
      <c r="U5004" s="2">
        <f>IFERROR(__xludf.DUMMYFUNCTION("""COMPUTED_VALUE"""),0.0)</f>
        <v>0</v>
      </c>
      <c r="V5004" s="1" t="str">
        <f>IFERROR(__xludf.DUMMYFUNCTION("""COMPUTED_VALUE"""),"#N/A")</f>
        <v>#N/A</v>
      </c>
      <c r="W5004" s="1" t="str">
        <f>IFERROR(__xludf.DUMMYFUNCTION("""COMPUTED_VALUE"""),"#N/A")</f>
        <v>#N/A</v>
      </c>
    </row>
    <row r="5005">
      <c r="O5005" s="1" t="str">
        <f>IFERROR(__xludf.DUMMYFUNCTION("""COMPUTED_VALUE"""),"#VALUE!")</f>
        <v>#VALUE!</v>
      </c>
      <c r="P5005" s="1" t="str">
        <f>IFERROR(__xludf.DUMMYFUNCTION("""COMPUTED_VALUE"""),"#N/A")</f>
        <v>#N/A</v>
      </c>
      <c r="Q5005" s="1"/>
      <c r="R5005" s="1"/>
      <c r="S5005" s="1"/>
      <c r="T5005" s="1"/>
      <c r="U5005" s="2">
        <f>IFERROR(__xludf.DUMMYFUNCTION("""COMPUTED_VALUE"""),0.0)</f>
        <v>0</v>
      </c>
      <c r="V5005" s="1" t="str">
        <f>IFERROR(__xludf.DUMMYFUNCTION("""COMPUTED_VALUE"""),"#N/A")</f>
        <v>#N/A</v>
      </c>
      <c r="W5005" s="1" t="str">
        <f>IFERROR(__xludf.DUMMYFUNCTION("""COMPUTED_VALUE"""),"#N/A")</f>
        <v>#N/A</v>
      </c>
    </row>
    <row r="5006">
      <c r="O5006" s="1" t="str">
        <f>IFERROR(__xludf.DUMMYFUNCTION("""COMPUTED_VALUE"""),"#VALUE!")</f>
        <v>#VALUE!</v>
      </c>
      <c r="P5006" s="1" t="str">
        <f>IFERROR(__xludf.DUMMYFUNCTION("""COMPUTED_VALUE"""),"#N/A")</f>
        <v>#N/A</v>
      </c>
      <c r="Q5006" s="1"/>
      <c r="R5006" s="1"/>
      <c r="S5006" s="1"/>
      <c r="T5006" s="1"/>
      <c r="U5006" s="2">
        <f>IFERROR(__xludf.DUMMYFUNCTION("""COMPUTED_VALUE"""),0.0)</f>
        <v>0</v>
      </c>
      <c r="V5006" s="1" t="str">
        <f>IFERROR(__xludf.DUMMYFUNCTION("""COMPUTED_VALUE"""),"#N/A")</f>
        <v>#N/A</v>
      </c>
      <c r="W5006" s="1" t="str">
        <f>IFERROR(__xludf.DUMMYFUNCTION("""COMPUTED_VALUE"""),"#N/A")</f>
        <v>#N/A</v>
      </c>
    </row>
    <row r="5007">
      <c r="O5007" s="1" t="str">
        <f>IFERROR(__xludf.DUMMYFUNCTION("""COMPUTED_VALUE"""),"#VALUE!")</f>
        <v>#VALUE!</v>
      </c>
      <c r="P5007" s="1" t="str">
        <f>IFERROR(__xludf.DUMMYFUNCTION("""COMPUTED_VALUE"""),"#N/A")</f>
        <v>#N/A</v>
      </c>
      <c r="Q5007" s="1"/>
      <c r="R5007" s="1"/>
      <c r="S5007" s="1"/>
      <c r="T5007" s="1"/>
      <c r="U5007" s="2">
        <f>IFERROR(__xludf.DUMMYFUNCTION("""COMPUTED_VALUE"""),0.0)</f>
        <v>0</v>
      </c>
      <c r="V5007" s="1" t="str">
        <f>IFERROR(__xludf.DUMMYFUNCTION("""COMPUTED_VALUE"""),"#N/A")</f>
        <v>#N/A</v>
      </c>
      <c r="W5007" s="1" t="str">
        <f>IFERROR(__xludf.DUMMYFUNCTION("""COMPUTED_VALUE"""),"#N/A")</f>
        <v>#N/A</v>
      </c>
    </row>
    <row r="5008">
      <c r="O5008" s="1" t="str">
        <f>IFERROR(__xludf.DUMMYFUNCTION("""COMPUTED_VALUE"""),"#VALUE!")</f>
        <v>#VALUE!</v>
      </c>
      <c r="P5008" s="1" t="str">
        <f>IFERROR(__xludf.DUMMYFUNCTION("""COMPUTED_VALUE"""),"#N/A")</f>
        <v>#N/A</v>
      </c>
      <c r="Q5008" s="1"/>
      <c r="R5008" s="1"/>
      <c r="S5008" s="1"/>
      <c r="T5008" s="1"/>
      <c r="U5008" s="2">
        <f>IFERROR(__xludf.DUMMYFUNCTION("""COMPUTED_VALUE"""),0.0)</f>
        <v>0</v>
      </c>
      <c r="V5008" s="1" t="str">
        <f>IFERROR(__xludf.DUMMYFUNCTION("""COMPUTED_VALUE"""),"#N/A")</f>
        <v>#N/A</v>
      </c>
      <c r="W5008" s="1" t="str">
        <f>IFERROR(__xludf.DUMMYFUNCTION("""COMPUTED_VALUE"""),"#N/A")</f>
        <v>#N/A</v>
      </c>
    </row>
    <row r="5009">
      <c r="O5009" s="1" t="str">
        <f>IFERROR(__xludf.DUMMYFUNCTION("""COMPUTED_VALUE"""),"#VALUE!")</f>
        <v>#VALUE!</v>
      </c>
      <c r="P5009" s="1" t="str">
        <f>IFERROR(__xludf.DUMMYFUNCTION("""COMPUTED_VALUE"""),"#N/A")</f>
        <v>#N/A</v>
      </c>
      <c r="Q5009" s="1"/>
      <c r="R5009" s="1"/>
      <c r="S5009" s="1"/>
      <c r="T5009" s="1"/>
      <c r="U5009" s="2">
        <f>IFERROR(__xludf.DUMMYFUNCTION("""COMPUTED_VALUE"""),0.0)</f>
        <v>0</v>
      </c>
      <c r="V5009" s="1" t="str">
        <f>IFERROR(__xludf.DUMMYFUNCTION("""COMPUTED_VALUE"""),"#N/A")</f>
        <v>#N/A</v>
      </c>
      <c r="W5009" s="1" t="str">
        <f>IFERROR(__xludf.DUMMYFUNCTION("""COMPUTED_VALUE"""),"#N/A")</f>
        <v>#N/A</v>
      </c>
    </row>
    <row r="5010">
      <c r="O5010" s="1" t="str">
        <f>IFERROR(__xludf.DUMMYFUNCTION("""COMPUTED_VALUE"""),"#VALUE!")</f>
        <v>#VALUE!</v>
      </c>
      <c r="P5010" s="1" t="str">
        <f>IFERROR(__xludf.DUMMYFUNCTION("""COMPUTED_VALUE"""),"#N/A")</f>
        <v>#N/A</v>
      </c>
      <c r="Q5010" s="1"/>
      <c r="R5010" s="1"/>
      <c r="S5010" s="1"/>
      <c r="T5010" s="1"/>
      <c r="U5010" s="2">
        <f>IFERROR(__xludf.DUMMYFUNCTION("""COMPUTED_VALUE"""),0.0)</f>
        <v>0</v>
      </c>
      <c r="V5010" s="1" t="str">
        <f>IFERROR(__xludf.DUMMYFUNCTION("""COMPUTED_VALUE"""),"#N/A")</f>
        <v>#N/A</v>
      </c>
      <c r="W5010" s="1" t="str">
        <f>IFERROR(__xludf.DUMMYFUNCTION("""COMPUTED_VALUE"""),"#N/A")</f>
        <v>#N/A</v>
      </c>
    </row>
    <row r="5011">
      <c r="O5011" s="1" t="str">
        <f>IFERROR(__xludf.DUMMYFUNCTION("""COMPUTED_VALUE"""),"#VALUE!")</f>
        <v>#VALUE!</v>
      </c>
      <c r="P5011" s="1" t="str">
        <f>IFERROR(__xludf.DUMMYFUNCTION("""COMPUTED_VALUE"""),"#N/A")</f>
        <v>#N/A</v>
      </c>
      <c r="Q5011" s="1"/>
      <c r="R5011" s="1"/>
      <c r="S5011" s="1"/>
      <c r="T5011" s="1"/>
      <c r="U5011" s="2">
        <f>IFERROR(__xludf.DUMMYFUNCTION("""COMPUTED_VALUE"""),0.0)</f>
        <v>0</v>
      </c>
      <c r="V5011" s="1" t="str">
        <f>IFERROR(__xludf.DUMMYFUNCTION("""COMPUTED_VALUE"""),"#N/A")</f>
        <v>#N/A</v>
      </c>
      <c r="W5011" s="1" t="str">
        <f>IFERROR(__xludf.DUMMYFUNCTION("""COMPUTED_VALUE"""),"#N/A")</f>
        <v>#N/A</v>
      </c>
    </row>
    <row r="5012">
      <c r="O5012" s="1" t="str">
        <f>IFERROR(__xludf.DUMMYFUNCTION("""COMPUTED_VALUE"""),"#VALUE!")</f>
        <v>#VALUE!</v>
      </c>
      <c r="P5012" s="1" t="str">
        <f>IFERROR(__xludf.DUMMYFUNCTION("""COMPUTED_VALUE"""),"#N/A")</f>
        <v>#N/A</v>
      </c>
      <c r="Q5012" s="1"/>
      <c r="R5012" s="1"/>
      <c r="S5012" s="1"/>
      <c r="T5012" s="1"/>
      <c r="U5012" s="2">
        <f>IFERROR(__xludf.DUMMYFUNCTION("""COMPUTED_VALUE"""),0.0)</f>
        <v>0</v>
      </c>
      <c r="V5012" s="1" t="str">
        <f>IFERROR(__xludf.DUMMYFUNCTION("""COMPUTED_VALUE"""),"#N/A")</f>
        <v>#N/A</v>
      </c>
      <c r="W5012" s="1" t="str">
        <f>IFERROR(__xludf.DUMMYFUNCTION("""COMPUTED_VALUE"""),"#N/A")</f>
        <v>#N/A</v>
      </c>
    </row>
    <row r="5013">
      <c r="O5013" s="1" t="str">
        <f>IFERROR(__xludf.DUMMYFUNCTION("""COMPUTED_VALUE"""),"#VALUE!")</f>
        <v>#VALUE!</v>
      </c>
      <c r="P5013" s="1" t="str">
        <f>IFERROR(__xludf.DUMMYFUNCTION("""COMPUTED_VALUE"""),"#N/A")</f>
        <v>#N/A</v>
      </c>
      <c r="Q5013" s="1"/>
      <c r="R5013" s="1"/>
      <c r="S5013" s="1"/>
      <c r="T5013" s="1"/>
      <c r="U5013" s="2">
        <f>IFERROR(__xludf.DUMMYFUNCTION("""COMPUTED_VALUE"""),0.0)</f>
        <v>0</v>
      </c>
      <c r="V5013" s="1" t="str">
        <f>IFERROR(__xludf.DUMMYFUNCTION("""COMPUTED_VALUE"""),"#N/A")</f>
        <v>#N/A</v>
      </c>
      <c r="W5013" s="1" t="str">
        <f>IFERROR(__xludf.DUMMYFUNCTION("""COMPUTED_VALUE"""),"#N/A")</f>
        <v>#N/A</v>
      </c>
    </row>
    <row r="5014">
      <c r="O5014" s="1" t="str">
        <f>IFERROR(__xludf.DUMMYFUNCTION("""COMPUTED_VALUE"""),"#VALUE!")</f>
        <v>#VALUE!</v>
      </c>
      <c r="P5014" s="1" t="str">
        <f>IFERROR(__xludf.DUMMYFUNCTION("""COMPUTED_VALUE"""),"#N/A")</f>
        <v>#N/A</v>
      </c>
      <c r="Q5014" s="1"/>
      <c r="R5014" s="1"/>
      <c r="S5014" s="1"/>
      <c r="T5014" s="1"/>
      <c r="U5014" s="2">
        <f>IFERROR(__xludf.DUMMYFUNCTION("""COMPUTED_VALUE"""),0.0)</f>
        <v>0</v>
      </c>
      <c r="V5014" s="1" t="str">
        <f>IFERROR(__xludf.DUMMYFUNCTION("""COMPUTED_VALUE"""),"#N/A")</f>
        <v>#N/A</v>
      </c>
      <c r="W5014" s="1" t="str">
        <f>IFERROR(__xludf.DUMMYFUNCTION("""COMPUTED_VALUE"""),"#N/A")</f>
        <v>#N/A</v>
      </c>
    </row>
    <row r="5015">
      <c r="O5015" s="1" t="str">
        <f>IFERROR(__xludf.DUMMYFUNCTION("""COMPUTED_VALUE"""),"#VALUE!")</f>
        <v>#VALUE!</v>
      </c>
      <c r="P5015" s="1" t="str">
        <f>IFERROR(__xludf.DUMMYFUNCTION("""COMPUTED_VALUE"""),"#N/A")</f>
        <v>#N/A</v>
      </c>
      <c r="Q5015" s="1"/>
      <c r="R5015" s="1"/>
      <c r="S5015" s="1"/>
      <c r="T5015" s="1"/>
      <c r="U5015" s="2">
        <f>IFERROR(__xludf.DUMMYFUNCTION("""COMPUTED_VALUE"""),0.0)</f>
        <v>0</v>
      </c>
      <c r="V5015" s="1" t="str">
        <f>IFERROR(__xludf.DUMMYFUNCTION("""COMPUTED_VALUE"""),"#N/A")</f>
        <v>#N/A</v>
      </c>
      <c r="W5015" s="1" t="str">
        <f>IFERROR(__xludf.DUMMYFUNCTION("""COMPUTED_VALUE"""),"#N/A")</f>
        <v>#N/A</v>
      </c>
    </row>
    <row r="5016">
      <c r="O5016" s="1" t="str">
        <f>IFERROR(__xludf.DUMMYFUNCTION("""COMPUTED_VALUE"""),"#VALUE!")</f>
        <v>#VALUE!</v>
      </c>
      <c r="P5016" s="1" t="str">
        <f>IFERROR(__xludf.DUMMYFUNCTION("""COMPUTED_VALUE"""),"#N/A")</f>
        <v>#N/A</v>
      </c>
      <c r="Q5016" s="1"/>
      <c r="R5016" s="1"/>
      <c r="S5016" s="1"/>
      <c r="T5016" s="1"/>
      <c r="U5016" s="2">
        <f>IFERROR(__xludf.DUMMYFUNCTION("""COMPUTED_VALUE"""),0.0)</f>
        <v>0</v>
      </c>
      <c r="V5016" s="1" t="str">
        <f>IFERROR(__xludf.DUMMYFUNCTION("""COMPUTED_VALUE"""),"#N/A")</f>
        <v>#N/A</v>
      </c>
      <c r="W5016" s="1" t="str">
        <f>IFERROR(__xludf.DUMMYFUNCTION("""COMPUTED_VALUE"""),"#N/A")</f>
        <v>#N/A</v>
      </c>
    </row>
    <row r="5017">
      <c r="O5017" s="1" t="str">
        <f>IFERROR(__xludf.DUMMYFUNCTION("""COMPUTED_VALUE"""),"#VALUE!")</f>
        <v>#VALUE!</v>
      </c>
      <c r="P5017" s="1" t="str">
        <f>IFERROR(__xludf.DUMMYFUNCTION("""COMPUTED_VALUE"""),"#N/A")</f>
        <v>#N/A</v>
      </c>
      <c r="Q5017" s="1"/>
      <c r="R5017" s="1"/>
      <c r="S5017" s="1"/>
      <c r="T5017" s="1"/>
      <c r="U5017" s="2">
        <f>IFERROR(__xludf.DUMMYFUNCTION("""COMPUTED_VALUE"""),0.0)</f>
        <v>0</v>
      </c>
      <c r="V5017" s="1" t="str">
        <f>IFERROR(__xludf.DUMMYFUNCTION("""COMPUTED_VALUE"""),"#N/A")</f>
        <v>#N/A</v>
      </c>
      <c r="W5017" s="1" t="str">
        <f>IFERROR(__xludf.DUMMYFUNCTION("""COMPUTED_VALUE"""),"#N/A")</f>
        <v>#N/A</v>
      </c>
    </row>
    <row r="5018">
      <c r="O5018" s="1" t="str">
        <f>IFERROR(__xludf.DUMMYFUNCTION("""COMPUTED_VALUE"""),"#VALUE!")</f>
        <v>#VALUE!</v>
      </c>
      <c r="P5018" s="1" t="str">
        <f>IFERROR(__xludf.DUMMYFUNCTION("""COMPUTED_VALUE"""),"#N/A")</f>
        <v>#N/A</v>
      </c>
      <c r="Q5018" s="1"/>
      <c r="R5018" s="1"/>
      <c r="S5018" s="1"/>
      <c r="T5018" s="1"/>
      <c r="U5018" s="2">
        <f>IFERROR(__xludf.DUMMYFUNCTION("""COMPUTED_VALUE"""),0.0)</f>
        <v>0</v>
      </c>
      <c r="V5018" s="1" t="str">
        <f>IFERROR(__xludf.DUMMYFUNCTION("""COMPUTED_VALUE"""),"#N/A")</f>
        <v>#N/A</v>
      </c>
      <c r="W5018" s="1" t="str">
        <f>IFERROR(__xludf.DUMMYFUNCTION("""COMPUTED_VALUE"""),"#N/A")</f>
        <v>#N/A</v>
      </c>
    </row>
    <row r="5019">
      <c r="O5019" s="1" t="str">
        <f>IFERROR(__xludf.DUMMYFUNCTION("""COMPUTED_VALUE"""),"#VALUE!")</f>
        <v>#VALUE!</v>
      </c>
      <c r="P5019" s="1" t="str">
        <f>IFERROR(__xludf.DUMMYFUNCTION("""COMPUTED_VALUE"""),"#N/A")</f>
        <v>#N/A</v>
      </c>
      <c r="Q5019" s="1"/>
      <c r="R5019" s="1"/>
      <c r="S5019" s="1"/>
      <c r="T5019" s="1"/>
      <c r="U5019" s="2">
        <f>IFERROR(__xludf.DUMMYFUNCTION("""COMPUTED_VALUE"""),0.0)</f>
        <v>0</v>
      </c>
      <c r="V5019" s="1" t="str">
        <f>IFERROR(__xludf.DUMMYFUNCTION("""COMPUTED_VALUE"""),"#N/A")</f>
        <v>#N/A</v>
      </c>
      <c r="W5019" s="1" t="str">
        <f>IFERROR(__xludf.DUMMYFUNCTION("""COMPUTED_VALUE"""),"#N/A")</f>
        <v>#N/A</v>
      </c>
    </row>
    <row r="5020">
      <c r="O5020" s="1" t="str">
        <f>IFERROR(__xludf.DUMMYFUNCTION("""COMPUTED_VALUE"""),"#VALUE!")</f>
        <v>#VALUE!</v>
      </c>
      <c r="P5020" s="1" t="str">
        <f>IFERROR(__xludf.DUMMYFUNCTION("""COMPUTED_VALUE"""),"#N/A")</f>
        <v>#N/A</v>
      </c>
      <c r="Q5020" s="1"/>
      <c r="R5020" s="1"/>
      <c r="S5020" s="1"/>
      <c r="T5020" s="1"/>
      <c r="U5020" s="2">
        <f>IFERROR(__xludf.DUMMYFUNCTION("""COMPUTED_VALUE"""),0.0)</f>
        <v>0</v>
      </c>
      <c r="V5020" s="1" t="str">
        <f>IFERROR(__xludf.DUMMYFUNCTION("""COMPUTED_VALUE"""),"#N/A")</f>
        <v>#N/A</v>
      </c>
      <c r="W5020" s="1" t="str">
        <f>IFERROR(__xludf.DUMMYFUNCTION("""COMPUTED_VALUE"""),"#N/A")</f>
        <v>#N/A</v>
      </c>
    </row>
    <row r="5021">
      <c r="O5021" s="1" t="str">
        <f>IFERROR(__xludf.DUMMYFUNCTION("""COMPUTED_VALUE"""),"#VALUE!")</f>
        <v>#VALUE!</v>
      </c>
      <c r="P5021" s="1" t="str">
        <f>IFERROR(__xludf.DUMMYFUNCTION("""COMPUTED_VALUE"""),"#N/A")</f>
        <v>#N/A</v>
      </c>
      <c r="Q5021" s="1"/>
      <c r="R5021" s="1"/>
      <c r="S5021" s="1"/>
      <c r="T5021" s="1"/>
      <c r="U5021" s="2">
        <f>IFERROR(__xludf.DUMMYFUNCTION("""COMPUTED_VALUE"""),0.0)</f>
        <v>0</v>
      </c>
      <c r="V5021" s="1" t="str">
        <f>IFERROR(__xludf.DUMMYFUNCTION("""COMPUTED_VALUE"""),"#N/A")</f>
        <v>#N/A</v>
      </c>
      <c r="W5021" s="1" t="str">
        <f>IFERROR(__xludf.DUMMYFUNCTION("""COMPUTED_VALUE"""),"#N/A")</f>
        <v>#N/A</v>
      </c>
    </row>
    <row r="5022">
      <c r="O5022" s="1" t="str">
        <f>IFERROR(__xludf.DUMMYFUNCTION("""COMPUTED_VALUE"""),"#VALUE!")</f>
        <v>#VALUE!</v>
      </c>
      <c r="P5022" s="1" t="str">
        <f>IFERROR(__xludf.DUMMYFUNCTION("""COMPUTED_VALUE"""),"#N/A")</f>
        <v>#N/A</v>
      </c>
      <c r="Q5022" s="1"/>
      <c r="R5022" s="1"/>
      <c r="S5022" s="1"/>
      <c r="T5022" s="1"/>
      <c r="U5022" s="2">
        <f>IFERROR(__xludf.DUMMYFUNCTION("""COMPUTED_VALUE"""),0.0)</f>
        <v>0</v>
      </c>
      <c r="V5022" s="1" t="str">
        <f>IFERROR(__xludf.DUMMYFUNCTION("""COMPUTED_VALUE"""),"#N/A")</f>
        <v>#N/A</v>
      </c>
      <c r="W5022" s="1" t="str">
        <f>IFERROR(__xludf.DUMMYFUNCTION("""COMPUTED_VALUE"""),"#N/A")</f>
        <v>#N/A</v>
      </c>
    </row>
    <row r="5023">
      <c r="O5023" s="1" t="str">
        <f>IFERROR(__xludf.DUMMYFUNCTION("""COMPUTED_VALUE"""),"#VALUE!")</f>
        <v>#VALUE!</v>
      </c>
      <c r="P5023" s="1" t="str">
        <f>IFERROR(__xludf.DUMMYFUNCTION("""COMPUTED_VALUE"""),"#N/A")</f>
        <v>#N/A</v>
      </c>
      <c r="Q5023" s="1"/>
      <c r="R5023" s="1"/>
      <c r="S5023" s="1"/>
      <c r="T5023" s="1"/>
      <c r="U5023" s="2">
        <f>IFERROR(__xludf.DUMMYFUNCTION("""COMPUTED_VALUE"""),0.0)</f>
        <v>0</v>
      </c>
      <c r="V5023" s="1" t="str">
        <f>IFERROR(__xludf.DUMMYFUNCTION("""COMPUTED_VALUE"""),"#N/A")</f>
        <v>#N/A</v>
      </c>
      <c r="W5023" s="1" t="str">
        <f>IFERROR(__xludf.DUMMYFUNCTION("""COMPUTED_VALUE"""),"#N/A")</f>
        <v>#N/A</v>
      </c>
    </row>
    <row r="5024">
      <c r="O5024" s="1" t="str">
        <f>IFERROR(__xludf.DUMMYFUNCTION("""COMPUTED_VALUE"""),"#VALUE!")</f>
        <v>#VALUE!</v>
      </c>
      <c r="P5024" s="1" t="str">
        <f>IFERROR(__xludf.DUMMYFUNCTION("""COMPUTED_VALUE"""),"#N/A")</f>
        <v>#N/A</v>
      </c>
      <c r="Q5024" s="1"/>
      <c r="R5024" s="1"/>
      <c r="S5024" s="1"/>
      <c r="T5024" s="1"/>
      <c r="U5024" s="2">
        <f>IFERROR(__xludf.DUMMYFUNCTION("""COMPUTED_VALUE"""),0.0)</f>
        <v>0</v>
      </c>
      <c r="V5024" s="1" t="str">
        <f>IFERROR(__xludf.DUMMYFUNCTION("""COMPUTED_VALUE"""),"#N/A")</f>
        <v>#N/A</v>
      </c>
      <c r="W5024" s="1" t="str">
        <f>IFERROR(__xludf.DUMMYFUNCTION("""COMPUTED_VALUE"""),"#N/A")</f>
        <v>#N/A</v>
      </c>
    </row>
    <row r="5025">
      <c r="O5025" s="1" t="str">
        <f>IFERROR(__xludf.DUMMYFUNCTION("""COMPUTED_VALUE"""),"#VALUE!")</f>
        <v>#VALUE!</v>
      </c>
      <c r="P5025" s="1" t="str">
        <f>IFERROR(__xludf.DUMMYFUNCTION("""COMPUTED_VALUE"""),"#N/A")</f>
        <v>#N/A</v>
      </c>
      <c r="Q5025" s="1"/>
      <c r="R5025" s="1"/>
      <c r="S5025" s="1"/>
      <c r="T5025" s="1"/>
      <c r="U5025" s="2">
        <f>IFERROR(__xludf.DUMMYFUNCTION("""COMPUTED_VALUE"""),0.0)</f>
        <v>0</v>
      </c>
      <c r="V5025" s="1" t="str">
        <f>IFERROR(__xludf.DUMMYFUNCTION("""COMPUTED_VALUE"""),"#N/A")</f>
        <v>#N/A</v>
      </c>
      <c r="W5025" s="1" t="str">
        <f>IFERROR(__xludf.DUMMYFUNCTION("""COMPUTED_VALUE"""),"#N/A")</f>
        <v>#N/A</v>
      </c>
    </row>
    <row r="5026">
      <c r="O5026" s="1" t="str">
        <f>IFERROR(__xludf.DUMMYFUNCTION("""COMPUTED_VALUE"""),"#VALUE!")</f>
        <v>#VALUE!</v>
      </c>
      <c r="P5026" s="1" t="str">
        <f>IFERROR(__xludf.DUMMYFUNCTION("""COMPUTED_VALUE"""),"#N/A")</f>
        <v>#N/A</v>
      </c>
      <c r="Q5026" s="1"/>
      <c r="R5026" s="1"/>
      <c r="S5026" s="1"/>
      <c r="T5026" s="1"/>
      <c r="U5026" s="2">
        <f>IFERROR(__xludf.DUMMYFUNCTION("""COMPUTED_VALUE"""),0.0)</f>
        <v>0</v>
      </c>
      <c r="V5026" s="1" t="str">
        <f>IFERROR(__xludf.DUMMYFUNCTION("""COMPUTED_VALUE"""),"#N/A")</f>
        <v>#N/A</v>
      </c>
      <c r="W5026" s="1" t="str">
        <f>IFERROR(__xludf.DUMMYFUNCTION("""COMPUTED_VALUE"""),"#N/A")</f>
        <v>#N/A</v>
      </c>
    </row>
    <row r="5027">
      <c r="O5027" s="1" t="str">
        <f>IFERROR(__xludf.DUMMYFUNCTION("""COMPUTED_VALUE"""),"#VALUE!")</f>
        <v>#VALUE!</v>
      </c>
      <c r="P5027" s="1" t="str">
        <f>IFERROR(__xludf.DUMMYFUNCTION("""COMPUTED_VALUE"""),"#N/A")</f>
        <v>#N/A</v>
      </c>
      <c r="Q5027" s="1"/>
      <c r="R5027" s="1"/>
      <c r="S5027" s="1"/>
      <c r="T5027" s="1"/>
      <c r="U5027" s="2">
        <f>IFERROR(__xludf.DUMMYFUNCTION("""COMPUTED_VALUE"""),0.0)</f>
        <v>0</v>
      </c>
      <c r="V5027" s="1" t="str">
        <f>IFERROR(__xludf.DUMMYFUNCTION("""COMPUTED_VALUE"""),"#N/A")</f>
        <v>#N/A</v>
      </c>
      <c r="W5027" s="1" t="str">
        <f>IFERROR(__xludf.DUMMYFUNCTION("""COMPUTED_VALUE"""),"#N/A")</f>
        <v>#N/A</v>
      </c>
    </row>
    <row r="5028">
      <c r="O5028" s="1" t="str">
        <f>IFERROR(__xludf.DUMMYFUNCTION("""COMPUTED_VALUE"""),"#VALUE!")</f>
        <v>#VALUE!</v>
      </c>
      <c r="P5028" s="1" t="str">
        <f>IFERROR(__xludf.DUMMYFUNCTION("""COMPUTED_VALUE"""),"#N/A")</f>
        <v>#N/A</v>
      </c>
      <c r="Q5028" s="1"/>
      <c r="R5028" s="1"/>
      <c r="S5028" s="1"/>
      <c r="T5028" s="1"/>
      <c r="U5028" s="2">
        <f>IFERROR(__xludf.DUMMYFUNCTION("""COMPUTED_VALUE"""),0.0)</f>
        <v>0</v>
      </c>
      <c r="V5028" s="1" t="str">
        <f>IFERROR(__xludf.DUMMYFUNCTION("""COMPUTED_VALUE"""),"#N/A")</f>
        <v>#N/A</v>
      </c>
      <c r="W5028" s="1" t="str">
        <f>IFERROR(__xludf.DUMMYFUNCTION("""COMPUTED_VALUE"""),"#N/A")</f>
        <v>#N/A</v>
      </c>
    </row>
    <row r="5029">
      <c r="O5029" s="1" t="str">
        <f>IFERROR(__xludf.DUMMYFUNCTION("""COMPUTED_VALUE"""),"#VALUE!")</f>
        <v>#VALUE!</v>
      </c>
      <c r="P5029" s="1" t="str">
        <f>IFERROR(__xludf.DUMMYFUNCTION("""COMPUTED_VALUE"""),"#N/A")</f>
        <v>#N/A</v>
      </c>
      <c r="Q5029" s="1"/>
      <c r="R5029" s="1"/>
      <c r="S5029" s="1"/>
      <c r="T5029" s="1"/>
      <c r="U5029" s="2">
        <f>IFERROR(__xludf.DUMMYFUNCTION("""COMPUTED_VALUE"""),0.0)</f>
        <v>0</v>
      </c>
      <c r="V5029" s="1" t="str">
        <f>IFERROR(__xludf.DUMMYFUNCTION("""COMPUTED_VALUE"""),"#N/A")</f>
        <v>#N/A</v>
      </c>
      <c r="W5029" s="1" t="str">
        <f>IFERROR(__xludf.DUMMYFUNCTION("""COMPUTED_VALUE"""),"#N/A")</f>
        <v>#N/A</v>
      </c>
    </row>
    <row r="5030">
      <c r="O5030" s="1" t="str">
        <f>IFERROR(__xludf.DUMMYFUNCTION("""COMPUTED_VALUE"""),"#VALUE!")</f>
        <v>#VALUE!</v>
      </c>
      <c r="P5030" s="1" t="str">
        <f>IFERROR(__xludf.DUMMYFUNCTION("""COMPUTED_VALUE"""),"#N/A")</f>
        <v>#N/A</v>
      </c>
      <c r="Q5030" s="1"/>
      <c r="R5030" s="1"/>
      <c r="S5030" s="1"/>
      <c r="T5030" s="1"/>
      <c r="U5030" s="2">
        <f>IFERROR(__xludf.DUMMYFUNCTION("""COMPUTED_VALUE"""),0.0)</f>
        <v>0</v>
      </c>
      <c r="V5030" s="1" t="str">
        <f>IFERROR(__xludf.DUMMYFUNCTION("""COMPUTED_VALUE"""),"#N/A")</f>
        <v>#N/A</v>
      </c>
      <c r="W5030" s="1" t="str">
        <f>IFERROR(__xludf.DUMMYFUNCTION("""COMPUTED_VALUE"""),"#N/A")</f>
        <v>#N/A</v>
      </c>
    </row>
    <row r="5031">
      <c r="O5031" s="1" t="str">
        <f>IFERROR(__xludf.DUMMYFUNCTION("""COMPUTED_VALUE"""),"#VALUE!")</f>
        <v>#VALUE!</v>
      </c>
      <c r="P5031" s="1" t="str">
        <f>IFERROR(__xludf.DUMMYFUNCTION("""COMPUTED_VALUE"""),"#N/A")</f>
        <v>#N/A</v>
      </c>
      <c r="Q5031" s="1"/>
      <c r="R5031" s="1"/>
      <c r="S5031" s="1"/>
      <c r="T5031" s="1"/>
      <c r="U5031" s="2">
        <f>IFERROR(__xludf.DUMMYFUNCTION("""COMPUTED_VALUE"""),0.0)</f>
        <v>0</v>
      </c>
      <c r="V5031" s="1" t="str">
        <f>IFERROR(__xludf.DUMMYFUNCTION("""COMPUTED_VALUE"""),"#N/A")</f>
        <v>#N/A</v>
      </c>
      <c r="W5031" s="1" t="str">
        <f>IFERROR(__xludf.DUMMYFUNCTION("""COMPUTED_VALUE"""),"#N/A")</f>
        <v>#N/A</v>
      </c>
    </row>
    <row r="5032">
      <c r="O5032" s="1" t="str">
        <f>IFERROR(__xludf.DUMMYFUNCTION("""COMPUTED_VALUE"""),"#VALUE!")</f>
        <v>#VALUE!</v>
      </c>
      <c r="P5032" s="1" t="str">
        <f>IFERROR(__xludf.DUMMYFUNCTION("""COMPUTED_VALUE"""),"#N/A")</f>
        <v>#N/A</v>
      </c>
      <c r="Q5032" s="1"/>
      <c r="R5032" s="1"/>
      <c r="S5032" s="1"/>
      <c r="T5032" s="1"/>
      <c r="U5032" s="2">
        <f>IFERROR(__xludf.DUMMYFUNCTION("""COMPUTED_VALUE"""),0.0)</f>
        <v>0</v>
      </c>
      <c r="V5032" s="1" t="str">
        <f>IFERROR(__xludf.DUMMYFUNCTION("""COMPUTED_VALUE"""),"#N/A")</f>
        <v>#N/A</v>
      </c>
      <c r="W5032" s="1" t="str">
        <f>IFERROR(__xludf.DUMMYFUNCTION("""COMPUTED_VALUE"""),"#N/A")</f>
        <v>#N/A</v>
      </c>
    </row>
    <row r="5033">
      <c r="O5033" s="1" t="str">
        <f>IFERROR(__xludf.DUMMYFUNCTION("""COMPUTED_VALUE"""),"#VALUE!")</f>
        <v>#VALUE!</v>
      </c>
      <c r="P5033" s="1" t="str">
        <f>IFERROR(__xludf.DUMMYFUNCTION("""COMPUTED_VALUE"""),"#N/A")</f>
        <v>#N/A</v>
      </c>
      <c r="Q5033" s="1"/>
      <c r="R5033" s="1"/>
      <c r="S5033" s="1"/>
      <c r="T5033" s="1"/>
      <c r="U5033" s="2">
        <f>IFERROR(__xludf.DUMMYFUNCTION("""COMPUTED_VALUE"""),0.0)</f>
        <v>0</v>
      </c>
      <c r="V5033" s="1" t="str">
        <f>IFERROR(__xludf.DUMMYFUNCTION("""COMPUTED_VALUE"""),"#N/A")</f>
        <v>#N/A</v>
      </c>
      <c r="W5033" s="1" t="str">
        <f>IFERROR(__xludf.DUMMYFUNCTION("""COMPUTED_VALUE"""),"#N/A")</f>
        <v>#N/A</v>
      </c>
    </row>
    <row r="5034">
      <c r="O5034" s="1" t="str">
        <f>IFERROR(__xludf.DUMMYFUNCTION("""COMPUTED_VALUE"""),"#VALUE!")</f>
        <v>#VALUE!</v>
      </c>
      <c r="P5034" s="1" t="str">
        <f>IFERROR(__xludf.DUMMYFUNCTION("""COMPUTED_VALUE"""),"#N/A")</f>
        <v>#N/A</v>
      </c>
      <c r="Q5034" s="1"/>
      <c r="R5034" s="1"/>
      <c r="S5034" s="1"/>
      <c r="T5034" s="1"/>
      <c r="U5034" s="2">
        <f>IFERROR(__xludf.DUMMYFUNCTION("""COMPUTED_VALUE"""),0.0)</f>
        <v>0</v>
      </c>
      <c r="V5034" s="1" t="str">
        <f>IFERROR(__xludf.DUMMYFUNCTION("""COMPUTED_VALUE"""),"#N/A")</f>
        <v>#N/A</v>
      </c>
      <c r="W5034" s="1" t="str">
        <f>IFERROR(__xludf.DUMMYFUNCTION("""COMPUTED_VALUE"""),"#N/A")</f>
        <v>#N/A</v>
      </c>
    </row>
    <row r="5035">
      <c r="O5035" s="1" t="str">
        <f>IFERROR(__xludf.DUMMYFUNCTION("""COMPUTED_VALUE"""),"#VALUE!")</f>
        <v>#VALUE!</v>
      </c>
      <c r="P5035" s="1" t="str">
        <f>IFERROR(__xludf.DUMMYFUNCTION("""COMPUTED_VALUE"""),"#N/A")</f>
        <v>#N/A</v>
      </c>
      <c r="Q5035" s="1"/>
      <c r="R5035" s="1"/>
      <c r="S5035" s="1"/>
      <c r="T5035" s="1"/>
      <c r="U5035" s="2">
        <f>IFERROR(__xludf.DUMMYFUNCTION("""COMPUTED_VALUE"""),0.0)</f>
        <v>0</v>
      </c>
      <c r="V5035" s="1" t="str">
        <f>IFERROR(__xludf.DUMMYFUNCTION("""COMPUTED_VALUE"""),"#N/A")</f>
        <v>#N/A</v>
      </c>
      <c r="W5035" s="1" t="str">
        <f>IFERROR(__xludf.DUMMYFUNCTION("""COMPUTED_VALUE"""),"#N/A")</f>
        <v>#N/A</v>
      </c>
    </row>
    <row r="5036">
      <c r="O5036" s="1" t="str">
        <f>IFERROR(__xludf.DUMMYFUNCTION("""COMPUTED_VALUE"""),"#VALUE!")</f>
        <v>#VALUE!</v>
      </c>
      <c r="P5036" s="1" t="str">
        <f>IFERROR(__xludf.DUMMYFUNCTION("""COMPUTED_VALUE"""),"#N/A")</f>
        <v>#N/A</v>
      </c>
      <c r="Q5036" s="1"/>
      <c r="R5036" s="1"/>
      <c r="S5036" s="1"/>
      <c r="T5036" s="1"/>
      <c r="U5036" s="2">
        <f>IFERROR(__xludf.DUMMYFUNCTION("""COMPUTED_VALUE"""),0.0)</f>
        <v>0</v>
      </c>
      <c r="V5036" s="1" t="str">
        <f>IFERROR(__xludf.DUMMYFUNCTION("""COMPUTED_VALUE"""),"#N/A")</f>
        <v>#N/A</v>
      </c>
      <c r="W5036" s="1" t="str">
        <f>IFERROR(__xludf.DUMMYFUNCTION("""COMPUTED_VALUE"""),"#N/A")</f>
        <v>#N/A</v>
      </c>
    </row>
    <row r="5037">
      <c r="O5037" s="1" t="str">
        <f>IFERROR(__xludf.DUMMYFUNCTION("""COMPUTED_VALUE"""),"#VALUE!")</f>
        <v>#VALUE!</v>
      </c>
      <c r="P5037" s="1" t="str">
        <f>IFERROR(__xludf.DUMMYFUNCTION("""COMPUTED_VALUE"""),"#N/A")</f>
        <v>#N/A</v>
      </c>
      <c r="Q5037" s="1"/>
      <c r="R5037" s="1"/>
      <c r="S5037" s="1"/>
      <c r="T5037" s="1"/>
      <c r="U5037" s="2">
        <f>IFERROR(__xludf.DUMMYFUNCTION("""COMPUTED_VALUE"""),0.0)</f>
        <v>0</v>
      </c>
      <c r="V5037" s="1" t="str">
        <f>IFERROR(__xludf.DUMMYFUNCTION("""COMPUTED_VALUE"""),"#N/A")</f>
        <v>#N/A</v>
      </c>
      <c r="W5037" s="1" t="str">
        <f>IFERROR(__xludf.DUMMYFUNCTION("""COMPUTED_VALUE"""),"#N/A")</f>
        <v>#N/A</v>
      </c>
    </row>
    <row r="5038">
      <c r="O5038" s="1" t="str">
        <f>IFERROR(__xludf.DUMMYFUNCTION("""COMPUTED_VALUE"""),"#VALUE!")</f>
        <v>#VALUE!</v>
      </c>
      <c r="P5038" s="1" t="str">
        <f>IFERROR(__xludf.DUMMYFUNCTION("""COMPUTED_VALUE"""),"#N/A")</f>
        <v>#N/A</v>
      </c>
      <c r="Q5038" s="1"/>
      <c r="R5038" s="1"/>
      <c r="S5038" s="1"/>
      <c r="T5038" s="1"/>
      <c r="U5038" s="2">
        <f>IFERROR(__xludf.DUMMYFUNCTION("""COMPUTED_VALUE"""),0.0)</f>
        <v>0</v>
      </c>
      <c r="V5038" s="1" t="str">
        <f>IFERROR(__xludf.DUMMYFUNCTION("""COMPUTED_VALUE"""),"#N/A")</f>
        <v>#N/A</v>
      </c>
      <c r="W5038" s="1" t="str">
        <f>IFERROR(__xludf.DUMMYFUNCTION("""COMPUTED_VALUE"""),"#N/A")</f>
        <v>#N/A</v>
      </c>
    </row>
    <row r="5039">
      <c r="O5039" s="1" t="str">
        <f>IFERROR(__xludf.DUMMYFUNCTION("""COMPUTED_VALUE"""),"#VALUE!")</f>
        <v>#VALUE!</v>
      </c>
      <c r="P5039" s="1" t="str">
        <f>IFERROR(__xludf.DUMMYFUNCTION("""COMPUTED_VALUE"""),"#N/A")</f>
        <v>#N/A</v>
      </c>
      <c r="Q5039" s="1"/>
      <c r="R5039" s="1"/>
      <c r="S5039" s="1"/>
      <c r="T5039" s="1"/>
      <c r="U5039" s="2">
        <f>IFERROR(__xludf.DUMMYFUNCTION("""COMPUTED_VALUE"""),0.0)</f>
        <v>0</v>
      </c>
      <c r="V5039" s="1" t="str">
        <f>IFERROR(__xludf.DUMMYFUNCTION("""COMPUTED_VALUE"""),"#N/A")</f>
        <v>#N/A</v>
      </c>
      <c r="W5039" s="1" t="str">
        <f>IFERROR(__xludf.DUMMYFUNCTION("""COMPUTED_VALUE"""),"#N/A")</f>
        <v>#N/A</v>
      </c>
    </row>
    <row r="5040">
      <c r="O5040" s="1" t="str">
        <f>IFERROR(__xludf.DUMMYFUNCTION("""COMPUTED_VALUE"""),"#VALUE!")</f>
        <v>#VALUE!</v>
      </c>
      <c r="P5040" s="1" t="str">
        <f>IFERROR(__xludf.DUMMYFUNCTION("""COMPUTED_VALUE"""),"#N/A")</f>
        <v>#N/A</v>
      </c>
      <c r="Q5040" s="1"/>
      <c r="R5040" s="1"/>
      <c r="S5040" s="1"/>
      <c r="T5040" s="1"/>
      <c r="U5040" s="2">
        <f>IFERROR(__xludf.DUMMYFUNCTION("""COMPUTED_VALUE"""),0.0)</f>
        <v>0</v>
      </c>
      <c r="V5040" s="1" t="str">
        <f>IFERROR(__xludf.DUMMYFUNCTION("""COMPUTED_VALUE"""),"#N/A")</f>
        <v>#N/A</v>
      </c>
      <c r="W5040" s="1" t="str">
        <f>IFERROR(__xludf.DUMMYFUNCTION("""COMPUTED_VALUE"""),"#N/A")</f>
        <v>#N/A</v>
      </c>
    </row>
    <row r="5041">
      <c r="O5041" s="1" t="str">
        <f>IFERROR(__xludf.DUMMYFUNCTION("""COMPUTED_VALUE"""),"#VALUE!")</f>
        <v>#VALUE!</v>
      </c>
      <c r="P5041" s="1" t="str">
        <f>IFERROR(__xludf.DUMMYFUNCTION("""COMPUTED_VALUE"""),"#N/A")</f>
        <v>#N/A</v>
      </c>
      <c r="Q5041" s="1"/>
      <c r="R5041" s="1"/>
      <c r="S5041" s="1"/>
      <c r="T5041" s="1"/>
      <c r="U5041" s="2">
        <f>IFERROR(__xludf.DUMMYFUNCTION("""COMPUTED_VALUE"""),0.0)</f>
        <v>0</v>
      </c>
      <c r="V5041" s="1" t="str">
        <f>IFERROR(__xludf.DUMMYFUNCTION("""COMPUTED_VALUE"""),"#N/A")</f>
        <v>#N/A</v>
      </c>
      <c r="W5041" s="1" t="str">
        <f>IFERROR(__xludf.DUMMYFUNCTION("""COMPUTED_VALUE"""),"#N/A")</f>
        <v>#N/A</v>
      </c>
    </row>
    <row r="5042">
      <c r="O5042" s="1" t="str">
        <f>IFERROR(__xludf.DUMMYFUNCTION("""COMPUTED_VALUE"""),"#VALUE!")</f>
        <v>#VALUE!</v>
      </c>
      <c r="P5042" s="1" t="str">
        <f>IFERROR(__xludf.DUMMYFUNCTION("""COMPUTED_VALUE"""),"#N/A")</f>
        <v>#N/A</v>
      </c>
      <c r="Q5042" s="1"/>
      <c r="R5042" s="1"/>
      <c r="S5042" s="1"/>
      <c r="T5042" s="1"/>
      <c r="U5042" s="2">
        <f>IFERROR(__xludf.DUMMYFUNCTION("""COMPUTED_VALUE"""),0.0)</f>
        <v>0</v>
      </c>
      <c r="V5042" s="1" t="str">
        <f>IFERROR(__xludf.DUMMYFUNCTION("""COMPUTED_VALUE"""),"#N/A")</f>
        <v>#N/A</v>
      </c>
      <c r="W5042" s="1" t="str">
        <f>IFERROR(__xludf.DUMMYFUNCTION("""COMPUTED_VALUE"""),"#N/A")</f>
        <v>#N/A</v>
      </c>
    </row>
    <row r="5043">
      <c r="O5043" s="1" t="str">
        <f>IFERROR(__xludf.DUMMYFUNCTION("""COMPUTED_VALUE"""),"#VALUE!")</f>
        <v>#VALUE!</v>
      </c>
      <c r="P5043" s="1" t="str">
        <f>IFERROR(__xludf.DUMMYFUNCTION("""COMPUTED_VALUE"""),"#N/A")</f>
        <v>#N/A</v>
      </c>
      <c r="Q5043" s="1"/>
      <c r="R5043" s="1"/>
      <c r="S5043" s="1"/>
      <c r="T5043" s="1"/>
      <c r="U5043" s="2">
        <f>IFERROR(__xludf.DUMMYFUNCTION("""COMPUTED_VALUE"""),0.0)</f>
        <v>0</v>
      </c>
      <c r="V5043" s="1" t="str">
        <f>IFERROR(__xludf.DUMMYFUNCTION("""COMPUTED_VALUE"""),"#N/A")</f>
        <v>#N/A</v>
      </c>
      <c r="W5043" s="1" t="str">
        <f>IFERROR(__xludf.DUMMYFUNCTION("""COMPUTED_VALUE"""),"#N/A")</f>
        <v>#N/A</v>
      </c>
    </row>
    <row r="5044">
      <c r="O5044" s="1" t="str">
        <f>IFERROR(__xludf.DUMMYFUNCTION("""COMPUTED_VALUE"""),"#VALUE!")</f>
        <v>#VALUE!</v>
      </c>
      <c r="P5044" s="1" t="str">
        <f>IFERROR(__xludf.DUMMYFUNCTION("""COMPUTED_VALUE"""),"#N/A")</f>
        <v>#N/A</v>
      </c>
      <c r="Q5044" s="1"/>
      <c r="R5044" s="1"/>
      <c r="S5044" s="1"/>
      <c r="T5044" s="1"/>
      <c r="U5044" s="2">
        <f>IFERROR(__xludf.DUMMYFUNCTION("""COMPUTED_VALUE"""),0.0)</f>
        <v>0</v>
      </c>
      <c r="V5044" s="1" t="str">
        <f>IFERROR(__xludf.DUMMYFUNCTION("""COMPUTED_VALUE"""),"#N/A")</f>
        <v>#N/A</v>
      </c>
      <c r="W5044" s="1" t="str">
        <f>IFERROR(__xludf.DUMMYFUNCTION("""COMPUTED_VALUE"""),"#N/A")</f>
        <v>#N/A</v>
      </c>
    </row>
    <row r="5045">
      <c r="O5045" s="1" t="str">
        <f>IFERROR(__xludf.DUMMYFUNCTION("""COMPUTED_VALUE"""),"#VALUE!")</f>
        <v>#VALUE!</v>
      </c>
      <c r="P5045" s="1" t="str">
        <f>IFERROR(__xludf.DUMMYFUNCTION("""COMPUTED_VALUE"""),"#N/A")</f>
        <v>#N/A</v>
      </c>
      <c r="Q5045" s="1"/>
      <c r="R5045" s="1"/>
      <c r="S5045" s="1"/>
      <c r="T5045" s="1"/>
      <c r="U5045" s="2">
        <f>IFERROR(__xludf.DUMMYFUNCTION("""COMPUTED_VALUE"""),0.0)</f>
        <v>0</v>
      </c>
      <c r="V5045" s="1" t="str">
        <f>IFERROR(__xludf.DUMMYFUNCTION("""COMPUTED_VALUE"""),"#N/A")</f>
        <v>#N/A</v>
      </c>
      <c r="W5045" s="1" t="str">
        <f>IFERROR(__xludf.DUMMYFUNCTION("""COMPUTED_VALUE"""),"#N/A")</f>
        <v>#N/A</v>
      </c>
    </row>
    <row r="5046">
      <c r="O5046" s="1" t="str">
        <f>IFERROR(__xludf.DUMMYFUNCTION("""COMPUTED_VALUE"""),"#VALUE!")</f>
        <v>#VALUE!</v>
      </c>
      <c r="P5046" s="1" t="str">
        <f>IFERROR(__xludf.DUMMYFUNCTION("""COMPUTED_VALUE"""),"#N/A")</f>
        <v>#N/A</v>
      </c>
      <c r="Q5046" s="1"/>
      <c r="R5046" s="1"/>
      <c r="S5046" s="1"/>
      <c r="T5046" s="1"/>
      <c r="U5046" s="2">
        <f>IFERROR(__xludf.DUMMYFUNCTION("""COMPUTED_VALUE"""),0.0)</f>
        <v>0</v>
      </c>
      <c r="V5046" s="1" t="str">
        <f>IFERROR(__xludf.DUMMYFUNCTION("""COMPUTED_VALUE"""),"#N/A")</f>
        <v>#N/A</v>
      </c>
      <c r="W5046" s="1" t="str">
        <f>IFERROR(__xludf.DUMMYFUNCTION("""COMPUTED_VALUE"""),"#N/A")</f>
        <v>#N/A</v>
      </c>
    </row>
    <row r="5047">
      <c r="O5047" s="1" t="str">
        <f>IFERROR(__xludf.DUMMYFUNCTION("""COMPUTED_VALUE"""),"#VALUE!")</f>
        <v>#VALUE!</v>
      </c>
      <c r="P5047" s="1" t="str">
        <f>IFERROR(__xludf.DUMMYFUNCTION("""COMPUTED_VALUE"""),"#N/A")</f>
        <v>#N/A</v>
      </c>
      <c r="Q5047" s="1"/>
      <c r="R5047" s="1"/>
      <c r="S5047" s="1"/>
      <c r="T5047" s="1"/>
      <c r="U5047" s="2">
        <f>IFERROR(__xludf.DUMMYFUNCTION("""COMPUTED_VALUE"""),0.0)</f>
        <v>0</v>
      </c>
      <c r="V5047" s="1" t="str">
        <f>IFERROR(__xludf.DUMMYFUNCTION("""COMPUTED_VALUE"""),"#N/A")</f>
        <v>#N/A</v>
      </c>
      <c r="W5047" s="1" t="str">
        <f>IFERROR(__xludf.DUMMYFUNCTION("""COMPUTED_VALUE"""),"#N/A")</f>
        <v>#N/A</v>
      </c>
    </row>
    <row r="5048">
      <c r="O5048" s="1" t="str">
        <f>IFERROR(__xludf.DUMMYFUNCTION("""COMPUTED_VALUE"""),"#VALUE!")</f>
        <v>#VALUE!</v>
      </c>
      <c r="P5048" s="1" t="str">
        <f>IFERROR(__xludf.DUMMYFUNCTION("""COMPUTED_VALUE"""),"#N/A")</f>
        <v>#N/A</v>
      </c>
      <c r="Q5048" s="1"/>
      <c r="R5048" s="1"/>
      <c r="S5048" s="1"/>
      <c r="T5048" s="1"/>
      <c r="U5048" s="2">
        <f>IFERROR(__xludf.DUMMYFUNCTION("""COMPUTED_VALUE"""),0.0)</f>
        <v>0</v>
      </c>
      <c r="V5048" s="1" t="str">
        <f>IFERROR(__xludf.DUMMYFUNCTION("""COMPUTED_VALUE"""),"#N/A")</f>
        <v>#N/A</v>
      </c>
      <c r="W5048" s="1" t="str">
        <f>IFERROR(__xludf.DUMMYFUNCTION("""COMPUTED_VALUE"""),"#N/A")</f>
        <v>#N/A</v>
      </c>
    </row>
    <row r="5049">
      <c r="O5049" s="1" t="str">
        <f>IFERROR(__xludf.DUMMYFUNCTION("""COMPUTED_VALUE"""),"#VALUE!")</f>
        <v>#VALUE!</v>
      </c>
      <c r="P5049" s="1" t="str">
        <f>IFERROR(__xludf.DUMMYFUNCTION("""COMPUTED_VALUE"""),"#N/A")</f>
        <v>#N/A</v>
      </c>
      <c r="Q5049" s="1"/>
      <c r="R5049" s="1"/>
      <c r="S5049" s="1"/>
      <c r="T5049" s="1"/>
      <c r="U5049" s="2">
        <f>IFERROR(__xludf.DUMMYFUNCTION("""COMPUTED_VALUE"""),0.0)</f>
        <v>0</v>
      </c>
      <c r="V5049" s="1" t="str">
        <f>IFERROR(__xludf.DUMMYFUNCTION("""COMPUTED_VALUE"""),"#N/A")</f>
        <v>#N/A</v>
      </c>
      <c r="W5049" s="1" t="str">
        <f>IFERROR(__xludf.DUMMYFUNCTION("""COMPUTED_VALUE"""),"#N/A")</f>
        <v>#N/A</v>
      </c>
    </row>
    <row r="5050">
      <c r="O5050" s="1" t="str">
        <f>IFERROR(__xludf.DUMMYFUNCTION("""COMPUTED_VALUE"""),"#VALUE!")</f>
        <v>#VALUE!</v>
      </c>
      <c r="P5050" s="1" t="str">
        <f>IFERROR(__xludf.DUMMYFUNCTION("""COMPUTED_VALUE"""),"#N/A")</f>
        <v>#N/A</v>
      </c>
      <c r="Q5050" s="1"/>
      <c r="R5050" s="1"/>
      <c r="S5050" s="1"/>
      <c r="T5050" s="1"/>
      <c r="U5050" s="2">
        <f>IFERROR(__xludf.DUMMYFUNCTION("""COMPUTED_VALUE"""),0.0)</f>
        <v>0</v>
      </c>
      <c r="V5050" s="1" t="str">
        <f>IFERROR(__xludf.DUMMYFUNCTION("""COMPUTED_VALUE"""),"#N/A")</f>
        <v>#N/A</v>
      </c>
      <c r="W5050" s="1" t="str">
        <f>IFERROR(__xludf.DUMMYFUNCTION("""COMPUTED_VALUE"""),"#N/A")</f>
        <v>#N/A</v>
      </c>
    </row>
    <row r="5051">
      <c r="O5051" s="1" t="str">
        <f>IFERROR(__xludf.DUMMYFUNCTION("""COMPUTED_VALUE"""),"#VALUE!")</f>
        <v>#VALUE!</v>
      </c>
      <c r="P5051" s="1" t="str">
        <f>IFERROR(__xludf.DUMMYFUNCTION("""COMPUTED_VALUE"""),"#N/A")</f>
        <v>#N/A</v>
      </c>
      <c r="Q5051" s="1"/>
      <c r="R5051" s="1"/>
      <c r="S5051" s="1"/>
      <c r="T5051" s="1"/>
      <c r="U5051" s="2">
        <f>IFERROR(__xludf.DUMMYFUNCTION("""COMPUTED_VALUE"""),0.0)</f>
        <v>0</v>
      </c>
      <c r="V5051" s="1" t="str">
        <f>IFERROR(__xludf.DUMMYFUNCTION("""COMPUTED_VALUE"""),"#N/A")</f>
        <v>#N/A</v>
      </c>
      <c r="W5051" s="1" t="str">
        <f>IFERROR(__xludf.DUMMYFUNCTION("""COMPUTED_VALUE"""),"#N/A")</f>
        <v>#N/A</v>
      </c>
    </row>
    <row r="5052">
      <c r="O5052" s="1" t="str">
        <f>IFERROR(__xludf.DUMMYFUNCTION("""COMPUTED_VALUE"""),"#VALUE!")</f>
        <v>#VALUE!</v>
      </c>
      <c r="P5052" s="1" t="str">
        <f>IFERROR(__xludf.DUMMYFUNCTION("""COMPUTED_VALUE"""),"#N/A")</f>
        <v>#N/A</v>
      </c>
      <c r="Q5052" s="1"/>
      <c r="R5052" s="1"/>
      <c r="S5052" s="1"/>
      <c r="T5052" s="1"/>
      <c r="U5052" s="2">
        <f>IFERROR(__xludf.DUMMYFUNCTION("""COMPUTED_VALUE"""),0.0)</f>
        <v>0</v>
      </c>
      <c r="V5052" s="1" t="str">
        <f>IFERROR(__xludf.DUMMYFUNCTION("""COMPUTED_VALUE"""),"#N/A")</f>
        <v>#N/A</v>
      </c>
      <c r="W5052" s="1" t="str">
        <f>IFERROR(__xludf.DUMMYFUNCTION("""COMPUTED_VALUE"""),"#N/A")</f>
        <v>#N/A</v>
      </c>
    </row>
    <row r="5053">
      <c r="O5053" s="1" t="str">
        <f>IFERROR(__xludf.DUMMYFUNCTION("""COMPUTED_VALUE"""),"#VALUE!")</f>
        <v>#VALUE!</v>
      </c>
      <c r="P5053" s="1" t="str">
        <f>IFERROR(__xludf.DUMMYFUNCTION("""COMPUTED_VALUE"""),"#N/A")</f>
        <v>#N/A</v>
      </c>
      <c r="Q5053" s="1"/>
      <c r="R5053" s="1"/>
      <c r="S5053" s="1"/>
      <c r="T5053" s="1"/>
      <c r="U5053" s="2">
        <f>IFERROR(__xludf.DUMMYFUNCTION("""COMPUTED_VALUE"""),0.0)</f>
        <v>0</v>
      </c>
      <c r="V5053" s="1" t="str">
        <f>IFERROR(__xludf.DUMMYFUNCTION("""COMPUTED_VALUE"""),"#N/A")</f>
        <v>#N/A</v>
      </c>
      <c r="W5053" s="1" t="str">
        <f>IFERROR(__xludf.DUMMYFUNCTION("""COMPUTED_VALUE"""),"#N/A")</f>
        <v>#N/A</v>
      </c>
    </row>
    <row r="5054">
      <c r="O5054" s="1" t="str">
        <f>IFERROR(__xludf.DUMMYFUNCTION("""COMPUTED_VALUE"""),"#VALUE!")</f>
        <v>#VALUE!</v>
      </c>
      <c r="P5054" s="1" t="str">
        <f>IFERROR(__xludf.DUMMYFUNCTION("""COMPUTED_VALUE"""),"#N/A")</f>
        <v>#N/A</v>
      </c>
      <c r="Q5054" s="1"/>
      <c r="R5054" s="1"/>
      <c r="S5054" s="1"/>
      <c r="T5054" s="1"/>
      <c r="U5054" s="2">
        <f>IFERROR(__xludf.DUMMYFUNCTION("""COMPUTED_VALUE"""),0.0)</f>
        <v>0</v>
      </c>
      <c r="V5054" s="1" t="str">
        <f>IFERROR(__xludf.DUMMYFUNCTION("""COMPUTED_VALUE"""),"#N/A")</f>
        <v>#N/A</v>
      </c>
      <c r="W5054" s="1" t="str">
        <f>IFERROR(__xludf.DUMMYFUNCTION("""COMPUTED_VALUE"""),"#N/A")</f>
        <v>#N/A</v>
      </c>
    </row>
    <row r="5055">
      <c r="O5055" s="1" t="str">
        <f>IFERROR(__xludf.DUMMYFUNCTION("""COMPUTED_VALUE"""),"#VALUE!")</f>
        <v>#VALUE!</v>
      </c>
      <c r="P5055" s="1" t="str">
        <f>IFERROR(__xludf.DUMMYFUNCTION("""COMPUTED_VALUE"""),"#N/A")</f>
        <v>#N/A</v>
      </c>
      <c r="Q5055" s="1"/>
      <c r="R5055" s="1"/>
      <c r="S5055" s="1"/>
      <c r="T5055" s="1"/>
      <c r="U5055" s="2">
        <f>IFERROR(__xludf.DUMMYFUNCTION("""COMPUTED_VALUE"""),0.0)</f>
        <v>0</v>
      </c>
      <c r="V5055" s="1" t="str">
        <f>IFERROR(__xludf.DUMMYFUNCTION("""COMPUTED_VALUE"""),"#N/A")</f>
        <v>#N/A</v>
      </c>
      <c r="W5055" s="1" t="str">
        <f>IFERROR(__xludf.DUMMYFUNCTION("""COMPUTED_VALUE"""),"#N/A")</f>
        <v>#N/A</v>
      </c>
    </row>
    <row r="5056">
      <c r="O5056" s="1" t="str">
        <f>IFERROR(__xludf.DUMMYFUNCTION("""COMPUTED_VALUE"""),"#VALUE!")</f>
        <v>#VALUE!</v>
      </c>
      <c r="P5056" s="1" t="str">
        <f>IFERROR(__xludf.DUMMYFUNCTION("""COMPUTED_VALUE"""),"#N/A")</f>
        <v>#N/A</v>
      </c>
      <c r="Q5056" s="1"/>
      <c r="R5056" s="1"/>
      <c r="S5056" s="1"/>
      <c r="T5056" s="1"/>
      <c r="U5056" s="2">
        <f>IFERROR(__xludf.DUMMYFUNCTION("""COMPUTED_VALUE"""),0.0)</f>
        <v>0</v>
      </c>
      <c r="V5056" s="1" t="str">
        <f>IFERROR(__xludf.DUMMYFUNCTION("""COMPUTED_VALUE"""),"#N/A")</f>
        <v>#N/A</v>
      </c>
      <c r="W5056" s="1" t="str">
        <f>IFERROR(__xludf.DUMMYFUNCTION("""COMPUTED_VALUE"""),"#N/A")</f>
        <v>#N/A</v>
      </c>
    </row>
    <row r="5057">
      <c r="O5057" s="1" t="str">
        <f>IFERROR(__xludf.DUMMYFUNCTION("""COMPUTED_VALUE"""),"#VALUE!")</f>
        <v>#VALUE!</v>
      </c>
      <c r="P5057" s="1" t="str">
        <f>IFERROR(__xludf.DUMMYFUNCTION("""COMPUTED_VALUE"""),"#N/A")</f>
        <v>#N/A</v>
      </c>
      <c r="Q5057" s="1"/>
      <c r="R5057" s="1"/>
      <c r="S5057" s="1"/>
      <c r="T5057" s="1"/>
      <c r="U5057" s="2">
        <f>IFERROR(__xludf.DUMMYFUNCTION("""COMPUTED_VALUE"""),0.0)</f>
        <v>0</v>
      </c>
      <c r="V5057" s="1" t="str">
        <f>IFERROR(__xludf.DUMMYFUNCTION("""COMPUTED_VALUE"""),"#N/A")</f>
        <v>#N/A</v>
      </c>
      <c r="W5057" s="1" t="str">
        <f>IFERROR(__xludf.DUMMYFUNCTION("""COMPUTED_VALUE"""),"#N/A")</f>
        <v>#N/A</v>
      </c>
    </row>
    <row r="5058">
      <c r="O5058" s="1" t="str">
        <f>IFERROR(__xludf.DUMMYFUNCTION("""COMPUTED_VALUE"""),"#VALUE!")</f>
        <v>#VALUE!</v>
      </c>
      <c r="P5058" s="1" t="str">
        <f>IFERROR(__xludf.DUMMYFUNCTION("""COMPUTED_VALUE"""),"#N/A")</f>
        <v>#N/A</v>
      </c>
      <c r="Q5058" s="1"/>
      <c r="R5058" s="1"/>
      <c r="S5058" s="1"/>
      <c r="T5058" s="1"/>
      <c r="U5058" s="2">
        <f>IFERROR(__xludf.DUMMYFUNCTION("""COMPUTED_VALUE"""),0.0)</f>
        <v>0</v>
      </c>
      <c r="V5058" s="1" t="str">
        <f>IFERROR(__xludf.DUMMYFUNCTION("""COMPUTED_VALUE"""),"#N/A")</f>
        <v>#N/A</v>
      </c>
      <c r="W5058" s="1" t="str">
        <f>IFERROR(__xludf.DUMMYFUNCTION("""COMPUTED_VALUE"""),"#N/A")</f>
        <v>#N/A</v>
      </c>
    </row>
    <row r="5059">
      <c r="O5059" s="1" t="str">
        <f>IFERROR(__xludf.DUMMYFUNCTION("""COMPUTED_VALUE"""),"#VALUE!")</f>
        <v>#VALUE!</v>
      </c>
      <c r="P5059" s="1" t="str">
        <f>IFERROR(__xludf.DUMMYFUNCTION("""COMPUTED_VALUE"""),"#N/A")</f>
        <v>#N/A</v>
      </c>
      <c r="Q5059" s="1"/>
      <c r="R5059" s="1"/>
      <c r="S5059" s="1"/>
      <c r="T5059" s="1"/>
      <c r="U5059" s="2">
        <f>IFERROR(__xludf.DUMMYFUNCTION("""COMPUTED_VALUE"""),0.0)</f>
        <v>0</v>
      </c>
      <c r="V5059" s="1" t="str">
        <f>IFERROR(__xludf.DUMMYFUNCTION("""COMPUTED_VALUE"""),"#N/A")</f>
        <v>#N/A</v>
      </c>
      <c r="W5059" s="1" t="str">
        <f>IFERROR(__xludf.DUMMYFUNCTION("""COMPUTED_VALUE"""),"#N/A")</f>
        <v>#N/A</v>
      </c>
    </row>
    <row r="5060">
      <c r="O5060" s="1" t="str">
        <f>IFERROR(__xludf.DUMMYFUNCTION("""COMPUTED_VALUE"""),"#VALUE!")</f>
        <v>#VALUE!</v>
      </c>
      <c r="P5060" s="1" t="str">
        <f>IFERROR(__xludf.DUMMYFUNCTION("""COMPUTED_VALUE"""),"#N/A")</f>
        <v>#N/A</v>
      </c>
      <c r="Q5060" s="1"/>
      <c r="R5060" s="1"/>
      <c r="S5060" s="1"/>
      <c r="T5060" s="1"/>
      <c r="U5060" s="2">
        <f>IFERROR(__xludf.DUMMYFUNCTION("""COMPUTED_VALUE"""),0.0)</f>
        <v>0</v>
      </c>
      <c r="V5060" s="1" t="str">
        <f>IFERROR(__xludf.DUMMYFUNCTION("""COMPUTED_VALUE"""),"#N/A")</f>
        <v>#N/A</v>
      </c>
      <c r="W5060" s="1" t="str">
        <f>IFERROR(__xludf.DUMMYFUNCTION("""COMPUTED_VALUE"""),"#N/A")</f>
        <v>#N/A</v>
      </c>
    </row>
    <row r="5061">
      <c r="O5061" s="1" t="str">
        <f>IFERROR(__xludf.DUMMYFUNCTION("""COMPUTED_VALUE"""),"#VALUE!")</f>
        <v>#VALUE!</v>
      </c>
      <c r="P5061" s="1" t="str">
        <f>IFERROR(__xludf.DUMMYFUNCTION("""COMPUTED_VALUE"""),"#N/A")</f>
        <v>#N/A</v>
      </c>
      <c r="Q5061" s="1"/>
      <c r="R5061" s="1"/>
      <c r="S5061" s="1"/>
      <c r="T5061" s="1"/>
      <c r="U5061" s="2">
        <f>IFERROR(__xludf.DUMMYFUNCTION("""COMPUTED_VALUE"""),0.0)</f>
        <v>0</v>
      </c>
      <c r="V5061" s="1" t="str">
        <f>IFERROR(__xludf.DUMMYFUNCTION("""COMPUTED_VALUE"""),"#N/A")</f>
        <v>#N/A</v>
      </c>
      <c r="W5061" s="1" t="str">
        <f>IFERROR(__xludf.DUMMYFUNCTION("""COMPUTED_VALUE"""),"#N/A")</f>
        <v>#N/A</v>
      </c>
    </row>
    <row r="5062">
      <c r="O5062" s="1" t="str">
        <f>IFERROR(__xludf.DUMMYFUNCTION("""COMPUTED_VALUE"""),"#VALUE!")</f>
        <v>#VALUE!</v>
      </c>
      <c r="P5062" s="1" t="str">
        <f>IFERROR(__xludf.DUMMYFUNCTION("""COMPUTED_VALUE"""),"#N/A")</f>
        <v>#N/A</v>
      </c>
      <c r="Q5062" s="1"/>
      <c r="R5062" s="1"/>
      <c r="S5062" s="1"/>
      <c r="T5062" s="1"/>
      <c r="U5062" s="2">
        <f>IFERROR(__xludf.DUMMYFUNCTION("""COMPUTED_VALUE"""),0.0)</f>
        <v>0</v>
      </c>
      <c r="V5062" s="1" t="str">
        <f>IFERROR(__xludf.DUMMYFUNCTION("""COMPUTED_VALUE"""),"#N/A")</f>
        <v>#N/A</v>
      </c>
      <c r="W5062" s="1" t="str">
        <f>IFERROR(__xludf.DUMMYFUNCTION("""COMPUTED_VALUE"""),"#N/A")</f>
        <v>#N/A</v>
      </c>
    </row>
    <row r="5063">
      <c r="O5063" s="1" t="str">
        <f>IFERROR(__xludf.DUMMYFUNCTION("""COMPUTED_VALUE"""),"#VALUE!")</f>
        <v>#VALUE!</v>
      </c>
      <c r="P5063" s="1" t="str">
        <f>IFERROR(__xludf.DUMMYFUNCTION("""COMPUTED_VALUE"""),"#N/A")</f>
        <v>#N/A</v>
      </c>
      <c r="Q5063" s="1"/>
      <c r="R5063" s="1"/>
      <c r="S5063" s="1"/>
      <c r="T5063" s="1"/>
      <c r="U5063" s="2">
        <f>IFERROR(__xludf.DUMMYFUNCTION("""COMPUTED_VALUE"""),0.0)</f>
        <v>0</v>
      </c>
      <c r="V5063" s="1" t="str">
        <f>IFERROR(__xludf.DUMMYFUNCTION("""COMPUTED_VALUE"""),"#N/A")</f>
        <v>#N/A</v>
      </c>
      <c r="W5063" s="1" t="str">
        <f>IFERROR(__xludf.DUMMYFUNCTION("""COMPUTED_VALUE"""),"#N/A")</f>
        <v>#N/A</v>
      </c>
    </row>
    <row r="5064">
      <c r="O5064" s="1" t="str">
        <f>IFERROR(__xludf.DUMMYFUNCTION("""COMPUTED_VALUE"""),"#VALUE!")</f>
        <v>#VALUE!</v>
      </c>
      <c r="P5064" s="1" t="str">
        <f>IFERROR(__xludf.DUMMYFUNCTION("""COMPUTED_VALUE"""),"#N/A")</f>
        <v>#N/A</v>
      </c>
      <c r="Q5064" s="1"/>
      <c r="R5064" s="1"/>
      <c r="S5064" s="1"/>
      <c r="T5064" s="1"/>
      <c r="U5064" s="2">
        <f>IFERROR(__xludf.DUMMYFUNCTION("""COMPUTED_VALUE"""),0.0)</f>
        <v>0</v>
      </c>
      <c r="V5064" s="1" t="str">
        <f>IFERROR(__xludf.DUMMYFUNCTION("""COMPUTED_VALUE"""),"#N/A")</f>
        <v>#N/A</v>
      </c>
      <c r="W5064" s="1" t="str">
        <f>IFERROR(__xludf.DUMMYFUNCTION("""COMPUTED_VALUE"""),"#N/A")</f>
        <v>#N/A</v>
      </c>
    </row>
    <row r="5065">
      <c r="O5065" s="1" t="str">
        <f>IFERROR(__xludf.DUMMYFUNCTION("""COMPUTED_VALUE"""),"#VALUE!")</f>
        <v>#VALUE!</v>
      </c>
      <c r="P5065" s="1" t="str">
        <f>IFERROR(__xludf.DUMMYFUNCTION("""COMPUTED_VALUE"""),"#N/A")</f>
        <v>#N/A</v>
      </c>
      <c r="Q5065" s="1"/>
      <c r="R5065" s="1"/>
      <c r="S5065" s="1"/>
      <c r="T5065" s="1"/>
      <c r="U5065" s="2">
        <f>IFERROR(__xludf.DUMMYFUNCTION("""COMPUTED_VALUE"""),0.0)</f>
        <v>0</v>
      </c>
      <c r="V5065" s="1" t="str">
        <f>IFERROR(__xludf.DUMMYFUNCTION("""COMPUTED_VALUE"""),"#N/A")</f>
        <v>#N/A</v>
      </c>
      <c r="W5065" s="1" t="str">
        <f>IFERROR(__xludf.DUMMYFUNCTION("""COMPUTED_VALUE"""),"#N/A")</f>
        <v>#N/A</v>
      </c>
    </row>
    <row r="5066">
      <c r="O5066" s="1" t="str">
        <f>IFERROR(__xludf.DUMMYFUNCTION("""COMPUTED_VALUE"""),"#VALUE!")</f>
        <v>#VALUE!</v>
      </c>
      <c r="P5066" s="1" t="str">
        <f>IFERROR(__xludf.DUMMYFUNCTION("""COMPUTED_VALUE"""),"#N/A")</f>
        <v>#N/A</v>
      </c>
      <c r="Q5066" s="1"/>
      <c r="R5066" s="1"/>
      <c r="S5066" s="1"/>
      <c r="T5066" s="1"/>
      <c r="U5066" s="2">
        <f>IFERROR(__xludf.DUMMYFUNCTION("""COMPUTED_VALUE"""),0.0)</f>
        <v>0</v>
      </c>
      <c r="V5066" s="1" t="str">
        <f>IFERROR(__xludf.DUMMYFUNCTION("""COMPUTED_VALUE"""),"#N/A")</f>
        <v>#N/A</v>
      </c>
      <c r="W5066" s="1" t="str">
        <f>IFERROR(__xludf.DUMMYFUNCTION("""COMPUTED_VALUE"""),"#N/A")</f>
        <v>#N/A</v>
      </c>
    </row>
    <row r="5067">
      <c r="O5067" s="1" t="str">
        <f>IFERROR(__xludf.DUMMYFUNCTION("""COMPUTED_VALUE"""),"#VALUE!")</f>
        <v>#VALUE!</v>
      </c>
      <c r="P5067" s="1" t="str">
        <f>IFERROR(__xludf.DUMMYFUNCTION("""COMPUTED_VALUE"""),"#N/A")</f>
        <v>#N/A</v>
      </c>
      <c r="Q5067" s="1"/>
      <c r="R5067" s="1"/>
      <c r="S5067" s="1"/>
      <c r="T5067" s="1"/>
      <c r="U5067" s="2">
        <f>IFERROR(__xludf.DUMMYFUNCTION("""COMPUTED_VALUE"""),0.0)</f>
        <v>0</v>
      </c>
      <c r="V5067" s="1" t="str">
        <f>IFERROR(__xludf.DUMMYFUNCTION("""COMPUTED_VALUE"""),"#N/A")</f>
        <v>#N/A</v>
      </c>
      <c r="W5067" s="1" t="str">
        <f>IFERROR(__xludf.DUMMYFUNCTION("""COMPUTED_VALUE"""),"#N/A")</f>
        <v>#N/A</v>
      </c>
    </row>
    <row r="5068">
      <c r="O5068" s="1" t="str">
        <f>IFERROR(__xludf.DUMMYFUNCTION("""COMPUTED_VALUE"""),"#VALUE!")</f>
        <v>#VALUE!</v>
      </c>
      <c r="P5068" s="1" t="str">
        <f>IFERROR(__xludf.DUMMYFUNCTION("""COMPUTED_VALUE"""),"#N/A")</f>
        <v>#N/A</v>
      </c>
      <c r="Q5068" s="1"/>
      <c r="R5068" s="1"/>
      <c r="S5068" s="1"/>
      <c r="T5068" s="1"/>
      <c r="U5068" s="2">
        <f>IFERROR(__xludf.DUMMYFUNCTION("""COMPUTED_VALUE"""),0.0)</f>
        <v>0</v>
      </c>
      <c r="V5068" s="1" t="str">
        <f>IFERROR(__xludf.DUMMYFUNCTION("""COMPUTED_VALUE"""),"#N/A")</f>
        <v>#N/A</v>
      </c>
      <c r="W5068" s="1" t="str">
        <f>IFERROR(__xludf.DUMMYFUNCTION("""COMPUTED_VALUE"""),"#N/A")</f>
        <v>#N/A</v>
      </c>
    </row>
    <row r="5069">
      <c r="O5069" s="1" t="str">
        <f>IFERROR(__xludf.DUMMYFUNCTION("""COMPUTED_VALUE"""),"#VALUE!")</f>
        <v>#VALUE!</v>
      </c>
      <c r="P5069" s="1" t="str">
        <f>IFERROR(__xludf.DUMMYFUNCTION("""COMPUTED_VALUE"""),"#N/A")</f>
        <v>#N/A</v>
      </c>
      <c r="Q5069" s="1"/>
      <c r="R5069" s="1"/>
      <c r="S5069" s="1"/>
      <c r="T5069" s="1"/>
      <c r="U5069" s="2">
        <f>IFERROR(__xludf.DUMMYFUNCTION("""COMPUTED_VALUE"""),0.0)</f>
        <v>0</v>
      </c>
      <c r="V5069" s="1" t="str">
        <f>IFERROR(__xludf.DUMMYFUNCTION("""COMPUTED_VALUE"""),"#N/A")</f>
        <v>#N/A</v>
      </c>
      <c r="W5069" s="1" t="str">
        <f>IFERROR(__xludf.DUMMYFUNCTION("""COMPUTED_VALUE"""),"#N/A")</f>
        <v>#N/A</v>
      </c>
    </row>
    <row r="5070">
      <c r="O5070" s="1" t="str">
        <f>IFERROR(__xludf.DUMMYFUNCTION("""COMPUTED_VALUE"""),"#VALUE!")</f>
        <v>#VALUE!</v>
      </c>
      <c r="P5070" s="1" t="str">
        <f>IFERROR(__xludf.DUMMYFUNCTION("""COMPUTED_VALUE"""),"#N/A")</f>
        <v>#N/A</v>
      </c>
      <c r="Q5070" s="1"/>
      <c r="R5070" s="1"/>
      <c r="S5070" s="1"/>
      <c r="T5070" s="1"/>
      <c r="U5070" s="2">
        <f>IFERROR(__xludf.DUMMYFUNCTION("""COMPUTED_VALUE"""),0.0)</f>
        <v>0</v>
      </c>
      <c r="V5070" s="1" t="str">
        <f>IFERROR(__xludf.DUMMYFUNCTION("""COMPUTED_VALUE"""),"#N/A")</f>
        <v>#N/A</v>
      </c>
      <c r="W5070" s="1" t="str">
        <f>IFERROR(__xludf.DUMMYFUNCTION("""COMPUTED_VALUE"""),"#N/A")</f>
        <v>#N/A</v>
      </c>
    </row>
    <row r="5071">
      <c r="O5071" s="1" t="str">
        <f>IFERROR(__xludf.DUMMYFUNCTION("""COMPUTED_VALUE"""),"#VALUE!")</f>
        <v>#VALUE!</v>
      </c>
      <c r="P5071" s="1" t="str">
        <f>IFERROR(__xludf.DUMMYFUNCTION("""COMPUTED_VALUE"""),"#N/A")</f>
        <v>#N/A</v>
      </c>
      <c r="Q5071" s="1"/>
      <c r="R5071" s="1"/>
      <c r="S5071" s="1"/>
      <c r="T5071" s="1"/>
      <c r="U5071" s="2">
        <f>IFERROR(__xludf.DUMMYFUNCTION("""COMPUTED_VALUE"""),0.0)</f>
        <v>0</v>
      </c>
      <c r="V5071" s="1" t="str">
        <f>IFERROR(__xludf.DUMMYFUNCTION("""COMPUTED_VALUE"""),"#N/A")</f>
        <v>#N/A</v>
      </c>
      <c r="W5071" s="1" t="str">
        <f>IFERROR(__xludf.DUMMYFUNCTION("""COMPUTED_VALUE"""),"#N/A")</f>
        <v>#N/A</v>
      </c>
    </row>
    <row r="5072">
      <c r="O5072" s="1" t="str">
        <f>IFERROR(__xludf.DUMMYFUNCTION("""COMPUTED_VALUE"""),"#VALUE!")</f>
        <v>#VALUE!</v>
      </c>
      <c r="P5072" s="1" t="str">
        <f>IFERROR(__xludf.DUMMYFUNCTION("""COMPUTED_VALUE"""),"#N/A")</f>
        <v>#N/A</v>
      </c>
      <c r="Q5072" s="1"/>
      <c r="R5072" s="1"/>
      <c r="S5072" s="1"/>
      <c r="T5072" s="1"/>
      <c r="U5072" s="2">
        <f>IFERROR(__xludf.DUMMYFUNCTION("""COMPUTED_VALUE"""),0.0)</f>
        <v>0</v>
      </c>
      <c r="V5072" s="1" t="str">
        <f>IFERROR(__xludf.DUMMYFUNCTION("""COMPUTED_VALUE"""),"#N/A")</f>
        <v>#N/A</v>
      </c>
      <c r="W5072" s="1" t="str">
        <f>IFERROR(__xludf.DUMMYFUNCTION("""COMPUTED_VALUE"""),"#N/A")</f>
        <v>#N/A</v>
      </c>
    </row>
    <row r="5073">
      <c r="O5073" s="1" t="str">
        <f>IFERROR(__xludf.DUMMYFUNCTION("""COMPUTED_VALUE"""),"#VALUE!")</f>
        <v>#VALUE!</v>
      </c>
      <c r="P5073" s="1" t="str">
        <f>IFERROR(__xludf.DUMMYFUNCTION("""COMPUTED_VALUE"""),"#N/A")</f>
        <v>#N/A</v>
      </c>
      <c r="Q5073" s="1"/>
      <c r="R5073" s="1"/>
      <c r="S5073" s="1"/>
      <c r="T5073" s="1"/>
      <c r="U5073" s="2">
        <f>IFERROR(__xludf.DUMMYFUNCTION("""COMPUTED_VALUE"""),0.0)</f>
        <v>0</v>
      </c>
      <c r="V5073" s="1" t="str">
        <f>IFERROR(__xludf.DUMMYFUNCTION("""COMPUTED_VALUE"""),"#N/A")</f>
        <v>#N/A</v>
      </c>
      <c r="W5073" s="1" t="str">
        <f>IFERROR(__xludf.DUMMYFUNCTION("""COMPUTED_VALUE"""),"#N/A")</f>
        <v>#N/A</v>
      </c>
    </row>
    <row r="5074">
      <c r="O5074" s="1" t="str">
        <f>IFERROR(__xludf.DUMMYFUNCTION("""COMPUTED_VALUE"""),"#VALUE!")</f>
        <v>#VALUE!</v>
      </c>
      <c r="P5074" s="1" t="str">
        <f>IFERROR(__xludf.DUMMYFUNCTION("""COMPUTED_VALUE"""),"#N/A")</f>
        <v>#N/A</v>
      </c>
      <c r="Q5074" s="1"/>
      <c r="R5074" s="1"/>
      <c r="S5074" s="1"/>
      <c r="T5074" s="1"/>
      <c r="U5074" s="2">
        <f>IFERROR(__xludf.DUMMYFUNCTION("""COMPUTED_VALUE"""),0.0)</f>
        <v>0</v>
      </c>
      <c r="V5074" s="1" t="str">
        <f>IFERROR(__xludf.DUMMYFUNCTION("""COMPUTED_VALUE"""),"#N/A")</f>
        <v>#N/A</v>
      </c>
      <c r="W5074" s="1" t="str">
        <f>IFERROR(__xludf.DUMMYFUNCTION("""COMPUTED_VALUE"""),"#N/A")</f>
        <v>#N/A</v>
      </c>
    </row>
    <row r="5075">
      <c r="O5075" s="1" t="str">
        <f>IFERROR(__xludf.DUMMYFUNCTION("""COMPUTED_VALUE"""),"#VALUE!")</f>
        <v>#VALUE!</v>
      </c>
      <c r="P5075" s="1" t="str">
        <f>IFERROR(__xludf.DUMMYFUNCTION("""COMPUTED_VALUE"""),"#N/A")</f>
        <v>#N/A</v>
      </c>
      <c r="Q5075" s="1"/>
      <c r="R5075" s="1"/>
      <c r="S5075" s="1"/>
      <c r="T5075" s="1"/>
      <c r="U5075" s="2">
        <f>IFERROR(__xludf.DUMMYFUNCTION("""COMPUTED_VALUE"""),0.0)</f>
        <v>0</v>
      </c>
      <c r="V5075" s="1" t="str">
        <f>IFERROR(__xludf.DUMMYFUNCTION("""COMPUTED_VALUE"""),"#N/A")</f>
        <v>#N/A</v>
      </c>
      <c r="W5075" s="1" t="str">
        <f>IFERROR(__xludf.DUMMYFUNCTION("""COMPUTED_VALUE"""),"#N/A")</f>
        <v>#N/A</v>
      </c>
    </row>
    <row r="5076">
      <c r="O5076" s="1" t="str">
        <f>IFERROR(__xludf.DUMMYFUNCTION("""COMPUTED_VALUE"""),"#VALUE!")</f>
        <v>#VALUE!</v>
      </c>
      <c r="P5076" s="1" t="str">
        <f>IFERROR(__xludf.DUMMYFUNCTION("""COMPUTED_VALUE"""),"#N/A")</f>
        <v>#N/A</v>
      </c>
      <c r="Q5076" s="1"/>
      <c r="R5076" s="1"/>
      <c r="S5076" s="1"/>
      <c r="T5076" s="1"/>
      <c r="U5076" s="2">
        <f>IFERROR(__xludf.DUMMYFUNCTION("""COMPUTED_VALUE"""),0.0)</f>
        <v>0</v>
      </c>
      <c r="V5076" s="1" t="str">
        <f>IFERROR(__xludf.DUMMYFUNCTION("""COMPUTED_VALUE"""),"#N/A")</f>
        <v>#N/A</v>
      </c>
      <c r="W5076" s="1" t="str">
        <f>IFERROR(__xludf.DUMMYFUNCTION("""COMPUTED_VALUE"""),"#N/A")</f>
        <v>#N/A</v>
      </c>
    </row>
    <row r="5077">
      <c r="O5077" s="1" t="str">
        <f>IFERROR(__xludf.DUMMYFUNCTION("""COMPUTED_VALUE"""),"#VALUE!")</f>
        <v>#VALUE!</v>
      </c>
      <c r="P5077" s="1" t="str">
        <f>IFERROR(__xludf.DUMMYFUNCTION("""COMPUTED_VALUE"""),"#N/A")</f>
        <v>#N/A</v>
      </c>
      <c r="Q5077" s="1"/>
      <c r="R5077" s="1"/>
      <c r="S5077" s="1"/>
      <c r="T5077" s="1"/>
      <c r="U5077" s="2">
        <f>IFERROR(__xludf.DUMMYFUNCTION("""COMPUTED_VALUE"""),0.0)</f>
        <v>0</v>
      </c>
      <c r="V5077" s="1" t="str">
        <f>IFERROR(__xludf.DUMMYFUNCTION("""COMPUTED_VALUE"""),"#N/A")</f>
        <v>#N/A</v>
      </c>
      <c r="W5077" s="1" t="str">
        <f>IFERROR(__xludf.DUMMYFUNCTION("""COMPUTED_VALUE"""),"#N/A")</f>
        <v>#N/A</v>
      </c>
    </row>
    <row r="5078">
      <c r="O5078" s="1" t="str">
        <f>IFERROR(__xludf.DUMMYFUNCTION("""COMPUTED_VALUE"""),"#VALUE!")</f>
        <v>#VALUE!</v>
      </c>
      <c r="P5078" s="1" t="str">
        <f>IFERROR(__xludf.DUMMYFUNCTION("""COMPUTED_VALUE"""),"#N/A")</f>
        <v>#N/A</v>
      </c>
      <c r="Q5078" s="1"/>
      <c r="R5078" s="1"/>
      <c r="S5078" s="1"/>
      <c r="T5078" s="1"/>
      <c r="U5078" s="2">
        <f>IFERROR(__xludf.DUMMYFUNCTION("""COMPUTED_VALUE"""),0.0)</f>
        <v>0</v>
      </c>
      <c r="V5078" s="1" t="str">
        <f>IFERROR(__xludf.DUMMYFUNCTION("""COMPUTED_VALUE"""),"#N/A")</f>
        <v>#N/A</v>
      </c>
      <c r="W5078" s="1" t="str">
        <f>IFERROR(__xludf.DUMMYFUNCTION("""COMPUTED_VALUE"""),"#N/A")</f>
        <v>#N/A</v>
      </c>
    </row>
    <row r="5079">
      <c r="O5079" s="1" t="str">
        <f>IFERROR(__xludf.DUMMYFUNCTION("""COMPUTED_VALUE"""),"#VALUE!")</f>
        <v>#VALUE!</v>
      </c>
      <c r="P5079" s="1" t="str">
        <f>IFERROR(__xludf.DUMMYFUNCTION("""COMPUTED_VALUE"""),"#N/A")</f>
        <v>#N/A</v>
      </c>
      <c r="Q5079" s="1"/>
      <c r="R5079" s="1"/>
      <c r="S5079" s="1"/>
      <c r="T5079" s="1"/>
      <c r="U5079" s="2">
        <f>IFERROR(__xludf.DUMMYFUNCTION("""COMPUTED_VALUE"""),0.0)</f>
        <v>0</v>
      </c>
      <c r="V5079" s="1" t="str">
        <f>IFERROR(__xludf.DUMMYFUNCTION("""COMPUTED_VALUE"""),"#N/A")</f>
        <v>#N/A</v>
      </c>
      <c r="W5079" s="1" t="str">
        <f>IFERROR(__xludf.DUMMYFUNCTION("""COMPUTED_VALUE"""),"#N/A")</f>
        <v>#N/A</v>
      </c>
    </row>
    <row r="5080">
      <c r="O5080" s="1" t="str">
        <f>IFERROR(__xludf.DUMMYFUNCTION("""COMPUTED_VALUE"""),"#VALUE!")</f>
        <v>#VALUE!</v>
      </c>
      <c r="P5080" s="1" t="str">
        <f>IFERROR(__xludf.DUMMYFUNCTION("""COMPUTED_VALUE"""),"#N/A")</f>
        <v>#N/A</v>
      </c>
      <c r="Q5080" s="1"/>
      <c r="R5080" s="1"/>
      <c r="S5080" s="1"/>
      <c r="T5080" s="1"/>
      <c r="U5080" s="2">
        <f>IFERROR(__xludf.DUMMYFUNCTION("""COMPUTED_VALUE"""),0.0)</f>
        <v>0</v>
      </c>
      <c r="V5080" s="1" t="str">
        <f>IFERROR(__xludf.DUMMYFUNCTION("""COMPUTED_VALUE"""),"#N/A")</f>
        <v>#N/A</v>
      </c>
      <c r="W5080" s="1" t="str">
        <f>IFERROR(__xludf.DUMMYFUNCTION("""COMPUTED_VALUE"""),"#N/A")</f>
        <v>#N/A</v>
      </c>
    </row>
    <row r="5081">
      <c r="O5081" s="1" t="str">
        <f>IFERROR(__xludf.DUMMYFUNCTION("""COMPUTED_VALUE"""),"#VALUE!")</f>
        <v>#VALUE!</v>
      </c>
      <c r="P5081" s="1" t="str">
        <f>IFERROR(__xludf.DUMMYFUNCTION("""COMPUTED_VALUE"""),"#N/A")</f>
        <v>#N/A</v>
      </c>
      <c r="Q5081" s="1"/>
      <c r="R5081" s="1"/>
      <c r="S5081" s="1"/>
      <c r="T5081" s="1"/>
      <c r="U5081" s="2">
        <f>IFERROR(__xludf.DUMMYFUNCTION("""COMPUTED_VALUE"""),0.0)</f>
        <v>0</v>
      </c>
      <c r="V5081" s="1" t="str">
        <f>IFERROR(__xludf.DUMMYFUNCTION("""COMPUTED_VALUE"""),"#N/A")</f>
        <v>#N/A</v>
      </c>
      <c r="W5081" s="1" t="str">
        <f>IFERROR(__xludf.DUMMYFUNCTION("""COMPUTED_VALUE"""),"#N/A")</f>
        <v>#N/A</v>
      </c>
    </row>
    <row r="5082">
      <c r="O5082" s="1" t="str">
        <f>IFERROR(__xludf.DUMMYFUNCTION("""COMPUTED_VALUE"""),"#VALUE!")</f>
        <v>#VALUE!</v>
      </c>
      <c r="P5082" s="1" t="str">
        <f>IFERROR(__xludf.DUMMYFUNCTION("""COMPUTED_VALUE"""),"#N/A")</f>
        <v>#N/A</v>
      </c>
      <c r="Q5082" s="1"/>
      <c r="R5082" s="1"/>
      <c r="S5082" s="1"/>
      <c r="T5082" s="1"/>
      <c r="U5082" s="2">
        <f>IFERROR(__xludf.DUMMYFUNCTION("""COMPUTED_VALUE"""),0.0)</f>
        <v>0</v>
      </c>
      <c r="V5082" s="1" t="str">
        <f>IFERROR(__xludf.DUMMYFUNCTION("""COMPUTED_VALUE"""),"#N/A")</f>
        <v>#N/A</v>
      </c>
      <c r="W5082" s="1" t="str">
        <f>IFERROR(__xludf.DUMMYFUNCTION("""COMPUTED_VALUE"""),"#N/A")</f>
        <v>#N/A</v>
      </c>
    </row>
    <row r="5083">
      <c r="O5083" s="1" t="str">
        <f>IFERROR(__xludf.DUMMYFUNCTION("""COMPUTED_VALUE"""),"#VALUE!")</f>
        <v>#VALUE!</v>
      </c>
      <c r="P5083" s="1" t="str">
        <f>IFERROR(__xludf.DUMMYFUNCTION("""COMPUTED_VALUE"""),"#N/A")</f>
        <v>#N/A</v>
      </c>
      <c r="Q5083" s="1"/>
      <c r="R5083" s="1"/>
      <c r="S5083" s="1"/>
      <c r="T5083" s="1"/>
      <c r="U5083" s="2">
        <f>IFERROR(__xludf.DUMMYFUNCTION("""COMPUTED_VALUE"""),0.0)</f>
        <v>0</v>
      </c>
      <c r="V5083" s="1" t="str">
        <f>IFERROR(__xludf.DUMMYFUNCTION("""COMPUTED_VALUE"""),"#N/A")</f>
        <v>#N/A</v>
      </c>
      <c r="W5083" s="1" t="str">
        <f>IFERROR(__xludf.DUMMYFUNCTION("""COMPUTED_VALUE"""),"#N/A")</f>
        <v>#N/A</v>
      </c>
    </row>
    <row r="5084">
      <c r="O5084" s="1" t="str">
        <f>IFERROR(__xludf.DUMMYFUNCTION("""COMPUTED_VALUE"""),"#VALUE!")</f>
        <v>#VALUE!</v>
      </c>
      <c r="P5084" s="1" t="str">
        <f>IFERROR(__xludf.DUMMYFUNCTION("""COMPUTED_VALUE"""),"#N/A")</f>
        <v>#N/A</v>
      </c>
      <c r="Q5084" s="1"/>
      <c r="R5084" s="1"/>
      <c r="S5084" s="1"/>
      <c r="T5084" s="1"/>
      <c r="U5084" s="2">
        <f>IFERROR(__xludf.DUMMYFUNCTION("""COMPUTED_VALUE"""),0.0)</f>
        <v>0</v>
      </c>
      <c r="V5084" s="1" t="str">
        <f>IFERROR(__xludf.DUMMYFUNCTION("""COMPUTED_VALUE"""),"#N/A")</f>
        <v>#N/A</v>
      </c>
      <c r="W5084" s="1" t="str">
        <f>IFERROR(__xludf.DUMMYFUNCTION("""COMPUTED_VALUE"""),"#N/A")</f>
        <v>#N/A</v>
      </c>
    </row>
    <row r="5085">
      <c r="O5085" s="1" t="str">
        <f>IFERROR(__xludf.DUMMYFUNCTION("""COMPUTED_VALUE"""),"#VALUE!")</f>
        <v>#VALUE!</v>
      </c>
      <c r="P5085" s="1" t="str">
        <f>IFERROR(__xludf.DUMMYFUNCTION("""COMPUTED_VALUE"""),"#N/A")</f>
        <v>#N/A</v>
      </c>
      <c r="Q5085" s="1"/>
      <c r="R5085" s="1"/>
      <c r="S5085" s="1"/>
      <c r="T5085" s="1"/>
      <c r="U5085" s="2">
        <f>IFERROR(__xludf.DUMMYFUNCTION("""COMPUTED_VALUE"""),0.0)</f>
        <v>0</v>
      </c>
      <c r="V5085" s="1" t="str">
        <f>IFERROR(__xludf.DUMMYFUNCTION("""COMPUTED_VALUE"""),"#N/A")</f>
        <v>#N/A</v>
      </c>
      <c r="W5085" s="1" t="str">
        <f>IFERROR(__xludf.DUMMYFUNCTION("""COMPUTED_VALUE"""),"#N/A")</f>
        <v>#N/A</v>
      </c>
    </row>
    <row r="5086">
      <c r="O5086" s="1" t="str">
        <f>IFERROR(__xludf.DUMMYFUNCTION("""COMPUTED_VALUE"""),"#VALUE!")</f>
        <v>#VALUE!</v>
      </c>
      <c r="P5086" s="1" t="str">
        <f>IFERROR(__xludf.DUMMYFUNCTION("""COMPUTED_VALUE"""),"#N/A")</f>
        <v>#N/A</v>
      </c>
      <c r="Q5086" s="1"/>
      <c r="R5086" s="1"/>
      <c r="S5086" s="1"/>
      <c r="T5086" s="1"/>
      <c r="U5086" s="2">
        <f>IFERROR(__xludf.DUMMYFUNCTION("""COMPUTED_VALUE"""),0.0)</f>
        <v>0</v>
      </c>
      <c r="V5086" s="1" t="str">
        <f>IFERROR(__xludf.DUMMYFUNCTION("""COMPUTED_VALUE"""),"#N/A")</f>
        <v>#N/A</v>
      </c>
      <c r="W5086" s="1" t="str">
        <f>IFERROR(__xludf.DUMMYFUNCTION("""COMPUTED_VALUE"""),"#N/A")</f>
        <v>#N/A</v>
      </c>
    </row>
    <row r="5087">
      <c r="O5087" s="1" t="str">
        <f>IFERROR(__xludf.DUMMYFUNCTION("""COMPUTED_VALUE"""),"#VALUE!")</f>
        <v>#VALUE!</v>
      </c>
      <c r="P5087" s="1" t="str">
        <f>IFERROR(__xludf.DUMMYFUNCTION("""COMPUTED_VALUE"""),"#N/A")</f>
        <v>#N/A</v>
      </c>
      <c r="Q5087" s="1"/>
      <c r="R5087" s="1"/>
      <c r="S5087" s="1"/>
      <c r="T5087" s="1"/>
      <c r="U5087" s="2">
        <f>IFERROR(__xludf.DUMMYFUNCTION("""COMPUTED_VALUE"""),0.0)</f>
        <v>0</v>
      </c>
      <c r="V5087" s="1" t="str">
        <f>IFERROR(__xludf.DUMMYFUNCTION("""COMPUTED_VALUE"""),"#N/A")</f>
        <v>#N/A</v>
      </c>
      <c r="W5087" s="1" t="str">
        <f>IFERROR(__xludf.DUMMYFUNCTION("""COMPUTED_VALUE"""),"#N/A")</f>
        <v>#N/A</v>
      </c>
    </row>
    <row r="5088">
      <c r="O5088" s="1" t="str">
        <f>IFERROR(__xludf.DUMMYFUNCTION("""COMPUTED_VALUE"""),"#VALUE!")</f>
        <v>#VALUE!</v>
      </c>
      <c r="P5088" s="1" t="str">
        <f>IFERROR(__xludf.DUMMYFUNCTION("""COMPUTED_VALUE"""),"#N/A")</f>
        <v>#N/A</v>
      </c>
      <c r="Q5088" s="1"/>
      <c r="R5088" s="1"/>
      <c r="S5088" s="1"/>
      <c r="T5088" s="1"/>
      <c r="U5088" s="2">
        <f>IFERROR(__xludf.DUMMYFUNCTION("""COMPUTED_VALUE"""),0.0)</f>
        <v>0</v>
      </c>
      <c r="V5088" s="1" t="str">
        <f>IFERROR(__xludf.DUMMYFUNCTION("""COMPUTED_VALUE"""),"#N/A")</f>
        <v>#N/A</v>
      </c>
      <c r="W5088" s="1" t="str">
        <f>IFERROR(__xludf.DUMMYFUNCTION("""COMPUTED_VALUE"""),"#N/A")</f>
        <v>#N/A</v>
      </c>
    </row>
    <row r="5089">
      <c r="O5089" s="1" t="str">
        <f>IFERROR(__xludf.DUMMYFUNCTION("""COMPUTED_VALUE"""),"#VALUE!")</f>
        <v>#VALUE!</v>
      </c>
      <c r="P5089" s="1" t="str">
        <f>IFERROR(__xludf.DUMMYFUNCTION("""COMPUTED_VALUE"""),"#N/A")</f>
        <v>#N/A</v>
      </c>
      <c r="Q5089" s="1"/>
      <c r="R5089" s="1"/>
      <c r="S5089" s="1"/>
      <c r="T5089" s="1"/>
      <c r="U5089" s="2">
        <f>IFERROR(__xludf.DUMMYFUNCTION("""COMPUTED_VALUE"""),0.0)</f>
        <v>0</v>
      </c>
      <c r="V5089" s="1" t="str">
        <f>IFERROR(__xludf.DUMMYFUNCTION("""COMPUTED_VALUE"""),"#N/A")</f>
        <v>#N/A</v>
      </c>
      <c r="W5089" s="1" t="str">
        <f>IFERROR(__xludf.DUMMYFUNCTION("""COMPUTED_VALUE"""),"#N/A")</f>
        <v>#N/A</v>
      </c>
    </row>
    <row r="5090">
      <c r="O5090" s="1" t="str">
        <f>IFERROR(__xludf.DUMMYFUNCTION("""COMPUTED_VALUE"""),"#VALUE!")</f>
        <v>#VALUE!</v>
      </c>
      <c r="P5090" s="1" t="str">
        <f>IFERROR(__xludf.DUMMYFUNCTION("""COMPUTED_VALUE"""),"#N/A")</f>
        <v>#N/A</v>
      </c>
      <c r="Q5090" s="1"/>
      <c r="R5090" s="1"/>
      <c r="S5090" s="1"/>
      <c r="T5090" s="1"/>
      <c r="U5090" s="2">
        <f>IFERROR(__xludf.DUMMYFUNCTION("""COMPUTED_VALUE"""),0.0)</f>
        <v>0</v>
      </c>
      <c r="V5090" s="1" t="str">
        <f>IFERROR(__xludf.DUMMYFUNCTION("""COMPUTED_VALUE"""),"#N/A")</f>
        <v>#N/A</v>
      </c>
      <c r="W5090" s="1" t="str">
        <f>IFERROR(__xludf.DUMMYFUNCTION("""COMPUTED_VALUE"""),"#N/A")</f>
        <v>#N/A</v>
      </c>
    </row>
    <row r="5091">
      <c r="O5091" s="1" t="str">
        <f>IFERROR(__xludf.DUMMYFUNCTION("""COMPUTED_VALUE"""),"#VALUE!")</f>
        <v>#VALUE!</v>
      </c>
      <c r="P5091" s="1" t="str">
        <f>IFERROR(__xludf.DUMMYFUNCTION("""COMPUTED_VALUE"""),"#N/A")</f>
        <v>#N/A</v>
      </c>
      <c r="Q5091" s="1"/>
      <c r="R5091" s="1"/>
      <c r="S5091" s="1"/>
      <c r="T5091" s="1"/>
      <c r="U5091" s="2">
        <f>IFERROR(__xludf.DUMMYFUNCTION("""COMPUTED_VALUE"""),0.0)</f>
        <v>0</v>
      </c>
      <c r="V5091" s="1" t="str">
        <f>IFERROR(__xludf.DUMMYFUNCTION("""COMPUTED_VALUE"""),"#N/A")</f>
        <v>#N/A</v>
      </c>
      <c r="W5091" s="1" t="str">
        <f>IFERROR(__xludf.DUMMYFUNCTION("""COMPUTED_VALUE"""),"#N/A")</f>
        <v>#N/A</v>
      </c>
    </row>
    <row r="5092">
      <c r="O5092" s="1" t="str">
        <f>IFERROR(__xludf.DUMMYFUNCTION("""COMPUTED_VALUE"""),"#VALUE!")</f>
        <v>#VALUE!</v>
      </c>
      <c r="P5092" s="1" t="str">
        <f>IFERROR(__xludf.DUMMYFUNCTION("""COMPUTED_VALUE"""),"#N/A")</f>
        <v>#N/A</v>
      </c>
      <c r="Q5092" s="1"/>
      <c r="R5092" s="1"/>
      <c r="S5092" s="1"/>
      <c r="T5092" s="1"/>
      <c r="U5092" s="2">
        <f>IFERROR(__xludf.DUMMYFUNCTION("""COMPUTED_VALUE"""),0.0)</f>
        <v>0</v>
      </c>
      <c r="V5092" s="1" t="str">
        <f>IFERROR(__xludf.DUMMYFUNCTION("""COMPUTED_VALUE"""),"#N/A")</f>
        <v>#N/A</v>
      </c>
      <c r="W5092" s="1" t="str">
        <f>IFERROR(__xludf.DUMMYFUNCTION("""COMPUTED_VALUE"""),"#N/A")</f>
        <v>#N/A</v>
      </c>
    </row>
    <row r="5093">
      <c r="O5093" s="1" t="str">
        <f>IFERROR(__xludf.DUMMYFUNCTION("""COMPUTED_VALUE"""),"#VALUE!")</f>
        <v>#VALUE!</v>
      </c>
      <c r="P5093" s="1" t="str">
        <f>IFERROR(__xludf.DUMMYFUNCTION("""COMPUTED_VALUE"""),"#N/A")</f>
        <v>#N/A</v>
      </c>
      <c r="Q5093" s="1"/>
      <c r="R5093" s="1"/>
      <c r="S5093" s="1"/>
      <c r="T5093" s="1"/>
      <c r="U5093" s="2">
        <f>IFERROR(__xludf.DUMMYFUNCTION("""COMPUTED_VALUE"""),0.0)</f>
        <v>0</v>
      </c>
      <c r="V5093" s="1" t="str">
        <f>IFERROR(__xludf.DUMMYFUNCTION("""COMPUTED_VALUE"""),"#N/A")</f>
        <v>#N/A</v>
      </c>
      <c r="W5093" s="1" t="str">
        <f>IFERROR(__xludf.DUMMYFUNCTION("""COMPUTED_VALUE"""),"#N/A")</f>
        <v>#N/A</v>
      </c>
    </row>
    <row r="5094">
      <c r="O5094" s="1" t="str">
        <f>IFERROR(__xludf.DUMMYFUNCTION("""COMPUTED_VALUE"""),"#VALUE!")</f>
        <v>#VALUE!</v>
      </c>
      <c r="P5094" s="1" t="str">
        <f>IFERROR(__xludf.DUMMYFUNCTION("""COMPUTED_VALUE"""),"#N/A")</f>
        <v>#N/A</v>
      </c>
      <c r="Q5094" s="1"/>
      <c r="R5094" s="1"/>
      <c r="S5094" s="1"/>
      <c r="T5094" s="1"/>
      <c r="U5094" s="2">
        <f>IFERROR(__xludf.DUMMYFUNCTION("""COMPUTED_VALUE"""),0.0)</f>
        <v>0</v>
      </c>
      <c r="V5094" s="1" t="str">
        <f>IFERROR(__xludf.DUMMYFUNCTION("""COMPUTED_VALUE"""),"#N/A")</f>
        <v>#N/A</v>
      </c>
      <c r="W5094" s="1" t="str">
        <f>IFERROR(__xludf.DUMMYFUNCTION("""COMPUTED_VALUE"""),"#N/A")</f>
        <v>#N/A</v>
      </c>
    </row>
    <row r="5095">
      <c r="O5095" s="1" t="str">
        <f>IFERROR(__xludf.DUMMYFUNCTION("""COMPUTED_VALUE"""),"#VALUE!")</f>
        <v>#VALUE!</v>
      </c>
      <c r="P5095" s="1" t="str">
        <f>IFERROR(__xludf.DUMMYFUNCTION("""COMPUTED_VALUE"""),"#N/A")</f>
        <v>#N/A</v>
      </c>
      <c r="Q5095" s="1"/>
      <c r="R5095" s="1"/>
      <c r="S5095" s="1"/>
      <c r="T5095" s="1"/>
      <c r="U5095" s="2">
        <f>IFERROR(__xludf.DUMMYFUNCTION("""COMPUTED_VALUE"""),0.0)</f>
        <v>0</v>
      </c>
      <c r="V5095" s="1" t="str">
        <f>IFERROR(__xludf.DUMMYFUNCTION("""COMPUTED_VALUE"""),"#N/A")</f>
        <v>#N/A</v>
      </c>
      <c r="W5095" s="1" t="str">
        <f>IFERROR(__xludf.DUMMYFUNCTION("""COMPUTED_VALUE"""),"#N/A")</f>
        <v>#N/A</v>
      </c>
    </row>
    <row r="5096">
      <c r="O5096" s="1" t="str">
        <f>IFERROR(__xludf.DUMMYFUNCTION("""COMPUTED_VALUE"""),"#VALUE!")</f>
        <v>#VALUE!</v>
      </c>
      <c r="P5096" s="1" t="str">
        <f>IFERROR(__xludf.DUMMYFUNCTION("""COMPUTED_VALUE"""),"#N/A")</f>
        <v>#N/A</v>
      </c>
      <c r="Q5096" s="1"/>
      <c r="R5096" s="1"/>
      <c r="S5096" s="1"/>
      <c r="T5096" s="1"/>
      <c r="U5096" s="2">
        <f>IFERROR(__xludf.DUMMYFUNCTION("""COMPUTED_VALUE"""),0.0)</f>
        <v>0</v>
      </c>
      <c r="V5096" s="1" t="str">
        <f>IFERROR(__xludf.DUMMYFUNCTION("""COMPUTED_VALUE"""),"#N/A")</f>
        <v>#N/A</v>
      </c>
      <c r="W5096" s="1" t="str">
        <f>IFERROR(__xludf.DUMMYFUNCTION("""COMPUTED_VALUE"""),"#N/A")</f>
        <v>#N/A</v>
      </c>
    </row>
    <row r="5097">
      <c r="O5097" s="1" t="str">
        <f>IFERROR(__xludf.DUMMYFUNCTION("""COMPUTED_VALUE"""),"#VALUE!")</f>
        <v>#VALUE!</v>
      </c>
      <c r="P5097" s="1" t="str">
        <f>IFERROR(__xludf.DUMMYFUNCTION("""COMPUTED_VALUE"""),"#N/A")</f>
        <v>#N/A</v>
      </c>
      <c r="Q5097" s="1"/>
      <c r="R5097" s="1"/>
      <c r="S5097" s="1"/>
      <c r="T5097" s="1"/>
      <c r="U5097" s="2">
        <f>IFERROR(__xludf.DUMMYFUNCTION("""COMPUTED_VALUE"""),0.0)</f>
        <v>0</v>
      </c>
      <c r="V5097" s="1" t="str">
        <f>IFERROR(__xludf.DUMMYFUNCTION("""COMPUTED_VALUE"""),"#N/A")</f>
        <v>#N/A</v>
      </c>
      <c r="W5097" s="1" t="str">
        <f>IFERROR(__xludf.DUMMYFUNCTION("""COMPUTED_VALUE"""),"#N/A")</f>
        <v>#N/A</v>
      </c>
    </row>
    <row r="5098">
      <c r="O5098" s="1" t="str">
        <f>IFERROR(__xludf.DUMMYFUNCTION("""COMPUTED_VALUE"""),"#VALUE!")</f>
        <v>#VALUE!</v>
      </c>
      <c r="P5098" s="1" t="str">
        <f>IFERROR(__xludf.DUMMYFUNCTION("""COMPUTED_VALUE"""),"#N/A")</f>
        <v>#N/A</v>
      </c>
      <c r="Q5098" s="1"/>
      <c r="R5098" s="1"/>
      <c r="S5098" s="1"/>
      <c r="T5098" s="1"/>
      <c r="U5098" s="2">
        <f>IFERROR(__xludf.DUMMYFUNCTION("""COMPUTED_VALUE"""),0.0)</f>
        <v>0</v>
      </c>
      <c r="V5098" s="1" t="str">
        <f>IFERROR(__xludf.DUMMYFUNCTION("""COMPUTED_VALUE"""),"#N/A")</f>
        <v>#N/A</v>
      </c>
      <c r="W5098" s="1" t="str">
        <f>IFERROR(__xludf.DUMMYFUNCTION("""COMPUTED_VALUE"""),"#N/A")</f>
        <v>#N/A</v>
      </c>
    </row>
    <row r="5099">
      <c r="O5099" s="1" t="str">
        <f>IFERROR(__xludf.DUMMYFUNCTION("""COMPUTED_VALUE"""),"#VALUE!")</f>
        <v>#VALUE!</v>
      </c>
      <c r="P5099" s="1" t="str">
        <f>IFERROR(__xludf.DUMMYFUNCTION("""COMPUTED_VALUE"""),"#N/A")</f>
        <v>#N/A</v>
      </c>
      <c r="Q5099" s="1"/>
      <c r="R5099" s="1"/>
      <c r="S5099" s="1"/>
      <c r="T5099" s="1"/>
      <c r="U5099" s="2">
        <f>IFERROR(__xludf.DUMMYFUNCTION("""COMPUTED_VALUE"""),0.0)</f>
        <v>0</v>
      </c>
      <c r="V5099" s="1" t="str">
        <f>IFERROR(__xludf.DUMMYFUNCTION("""COMPUTED_VALUE"""),"#N/A")</f>
        <v>#N/A</v>
      </c>
      <c r="W5099" s="1" t="str">
        <f>IFERROR(__xludf.DUMMYFUNCTION("""COMPUTED_VALUE"""),"#N/A")</f>
        <v>#N/A</v>
      </c>
    </row>
    <row r="5100">
      <c r="O5100" s="1" t="str">
        <f>IFERROR(__xludf.DUMMYFUNCTION("""COMPUTED_VALUE"""),"#VALUE!")</f>
        <v>#VALUE!</v>
      </c>
      <c r="P5100" s="1" t="str">
        <f>IFERROR(__xludf.DUMMYFUNCTION("""COMPUTED_VALUE"""),"#N/A")</f>
        <v>#N/A</v>
      </c>
      <c r="Q5100" s="1"/>
      <c r="R5100" s="1"/>
      <c r="S5100" s="1"/>
      <c r="T5100" s="1"/>
      <c r="U5100" s="2">
        <f>IFERROR(__xludf.DUMMYFUNCTION("""COMPUTED_VALUE"""),0.0)</f>
        <v>0</v>
      </c>
      <c r="V5100" s="1" t="str">
        <f>IFERROR(__xludf.DUMMYFUNCTION("""COMPUTED_VALUE"""),"#N/A")</f>
        <v>#N/A</v>
      </c>
      <c r="W5100" s="1" t="str">
        <f>IFERROR(__xludf.DUMMYFUNCTION("""COMPUTED_VALUE"""),"#N/A")</f>
        <v>#N/A</v>
      </c>
    </row>
    <row r="5101">
      <c r="O5101" s="1" t="str">
        <f>IFERROR(__xludf.DUMMYFUNCTION("""COMPUTED_VALUE"""),"#VALUE!")</f>
        <v>#VALUE!</v>
      </c>
      <c r="P5101" s="1" t="str">
        <f>IFERROR(__xludf.DUMMYFUNCTION("""COMPUTED_VALUE"""),"#N/A")</f>
        <v>#N/A</v>
      </c>
      <c r="Q5101" s="1"/>
      <c r="R5101" s="1"/>
      <c r="S5101" s="1"/>
      <c r="T5101" s="1"/>
      <c r="U5101" s="2">
        <f>IFERROR(__xludf.DUMMYFUNCTION("""COMPUTED_VALUE"""),0.0)</f>
        <v>0</v>
      </c>
      <c r="V5101" s="1" t="str">
        <f>IFERROR(__xludf.DUMMYFUNCTION("""COMPUTED_VALUE"""),"#N/A")</f>
        <v>#N/A</v>
      </c>
      <c r="W5101" s="1" t="str">
        <f>IFERROR(__xludf.DUMMYFUNCTION("""COMPUTED_VALUE"""),"#N/A")</f>
        <v>#N/A</v>
      </c>
    </row>
    <row r="5102">
      <c r="O5102" s="1" t="str">
        <f>IFERROR(__xludf.DUMMYFUNCTION("""COMPUTED_VALUE"""),"#VALUE!")</f>
        <v>#VALUE!</v>
      </c>
      <c r="P5102" s="1" t="str">
        <f>IFERROR(__xludf.DUMMYFUNCTION("""COMPUTED_VALUE"""),"#N/A")</f>
        <v>#N/A</v>
      </c>
      <c r="Q5102" s="1"/>
      <c r="R5102" s="1"/>
      <c r="S5102" s="1"/>
      <c r="T5102" s="1"/>
      <c r="U5102" s="2">
        <f>IFERROR(__xludf.DUMMYFUNCTION("""COMPUTED_VALUE"""),0.0)</f>
        <v>0</v>
      </c>
      <c r="V5102" s="1" t="str">
        <f>IFERROR(__xludf.DUMMYFUNCTION("""COMPUTED_VALUE"""),"#N/A")</f>
        <v>#N/A</v>
      </c>
      <c r="W5102" s="1" t="str">
        <f>IFERROR(__xludf.DUMMYFUNCTION("""COMPUTED_VALUE"""),"#N/A")</f>
        <v>#N/A</v>
      </c>
    </row>
    <row r="5103">
      <c r="O5103" s="1" t="str">
        <f>IFERROR(__xludf.DUMMYFUNCTION("""COMPUTED_VALUE"""),"#VALUE!")</f>
        <v>#VALUE!</v>
      </c>
      <c r="P5103" s="1" t="str">
        <f>IFERROR(__xludf.DUMMYFUNCTION("""COMPUTED_VALUE"""),"#N/A")</f>
        <v>#N/A</v>
      </c>
      <c r="Q5103" s="1"/>
      <c r="R5103" s="1"/>
      <c r="S5103" s="1"/>
      <c r="T5103" s="1"/>
      <c r="U5103" s="2">
        <f>IFERROR(__xludf.DUMMYFUNCTION("""COMPUTED_VALUE"""),0.0)</f>
        <v>0</v>
      </c>
      <c r="V5103" s="1" t="str">
        <f>IFERROR(__xludf.DUMMYFUNCTION("""COMPUTED_VALUE"""),"#N/A")</f>
        <v>#N/A</v>
      </c>
      <c r="W5103" s="1" t="str">
        <f>IFERROR(__xludf.DUMMYFUNCTION("""COMPUTED_VALUE"""),"#N/A")</f>
        <v>#N/A</v>
      </c>
    </row>
    <row r="5104">
      <c r="O5104" s="1" t="str">
        <f>IFERROR(__xludf.DUMMYFUNCTION("""COMPUTED_VALUE"""),"#VALUE!")</f>
        <v>#VALUE!</v>
      </c>
      <c r="P5104" s="1" t="str">
        <f>IFERROR(__xludf.DUMMYFUNCTION("""COMPUTED_VALUE"""),"#N/A")</f>
        <v>#N/A</v>
      </c>
      <c r="Q5104" s="1"/>
      <c r="R5104" s="1"/>
      <c r="S5104" s="1"/>
      <c r="T5104" s="1"/>
      <c r="U5104" s="2">
        <f>IFERROR(__xludf.DUMMYFUNCTION("""COMPUTED_VALUE"""),0.0)</f>
        <v>0</v>
      </c>
      <c r="V5104" s="1" t="str">
        <f>IFERROR(__xludf.DUMMYFUNCTION("""COMPUTED_VALUE"""),"#N/A")</f>
        <v>#N/A</v>
      </c>
      <c r="W5104" s="1" t="str">
        <f>IFERROR(__xludf.DUMMYFUNCTION("""COMPUTED_VALUE"""),"#N/A")</f>
        <v>#N/A</v>
      </c>
    </row>
    <row r="5105">
      <c r="O5105" s="1" t="str">
        <f>IFERROR(__xludf.DUMMYFUNCTION("""COMPUTED_VALUE"""),"#VALUE!")</f>
        <v>#VALUE!</v>
      </c>
      <c r="P5105" s="1" t="str">
        <f>IFERROR(__xludf.DUMMYFUNCTION("""COMPUTED_VALUE"""),"#N/A")</f>
        <v>#N/A</v>
      </c>
      <c r="Q5105" s="1"/>
      <c r="R5105" s="1"/>
      <c r="S5105" s="1"/>
      <c r="T5105" s="1"/>
      <c r="U5105" s="2">
        <f>IFERROR(__xludf.DUMMYFUNCTION("""COMPUTED_VALUE"""),0.0)</f>
        <v>0</v>
      </c>
      <c r="V5105" s="1" t="str">
        <f>IFERROR(__xludf.DUMMYFUNCTION("""COMPUTED_VALUE"""),"#N/A")</f>
        <v>#N/A</v>
      </c>
      <c r="W5105" s="1" t="str">
        <f>IFERROR(__xludf.DUMMYFUNCTION("""COMPUTED_VALUE"""),"#N/A")</f>
        <v>#N/A</v>
      </c>
    </row>
    <row r="5106">
      <c r="O5106" s="1" t="str">
        <f>IFERROR(__xludf.DUMMYFUNCTION("""COMPUTED_VALUE"""),"#VALUE!")</f>
        <v>#VALUE!</v>
      </c>
      <c r="P5106" s="1" t="str">
        <f>IFERROR(__xludf.DUMMYFUNCTION("""COMPUTED_VALUE"""),"#N/A")</f>
        <v>#N/A</v>
      </c>
      <c r="Q5106" s="1"/>
      <c r="R5106" s="1"/>
      <c r="S5106" s="1"/>
      <c r="T5106" s="1"/>
      <c r="U5106" s="2">
        <f>IFERROR(__xludf.DUMMYFUNCTION("""COMPUTED_VALUE"""),0.0)</f>
        <v>0</v>
      </c>
      <c r="V5106" s="1" t="str">
        <f>IFERROR(__xludf.DUMMYFUNCTION("""COMPUTED_VALUE"""),"#N/A")</f>
        <v>#N/A</v>
      </c>
      <c r="W5106" s="1" t="str">
        <f>IFERROR(__xludf.DUMMYFUNCTION("""COMPUTED_VALUE"""),"#N/A")</f>
        <v>#N/A</v>
      </c>
    </row>
    <row r="5107">
      <c r="O5107" s="1" t="str">
        <f>IFERROR(__xludf.DUMMYFUNCTION("""COMPUTED_VALUE"""),"#VALUE!")</f>
        <v>#VALUE!</v>
      </c>
      <c r="P5107" s="1" t="str">
        <f>IFERROR(__xludf.DUMMYFUNCTION("""COMPUTED_VALUE"""),"#N/A")</f>
        <v>#N/A</v>
      </c>
      <c r="Q5107" s="1"/>
      <c r="R5107" s="1"/>
      <c r="S5107" s="1"/>
      <c r="T5107" s="1"/>
      <c r="U5107" s="2">
        <f>IFERROR(__xludf.DUMMYFUNCTION("""COMPUTED_VALUE"""),0.0)</f>
        <v>0</v>
      </c>
      <c r="V5107" s="1" t="str">
        <f>IFERROR(__xludf.DUMMYFUNCTION("""COMPUTED_VALUE"""),"#N/A")</f>
        <v>#N/A</v>
      </c>
      <c r="W5107" s="1" t="str">
        <f>IFERROR(__xludf.DUMMYFUNCTION("""COMPUTED_VALUE"""),"#N/A")</f>
        <v>#N/A</v>
      </c>
    </row>
    <row r="5108">
      <c r="O5108" s="1" t="str">
        <f>IFERROR(__xludf.DUMMYFUNCTION("""COMPUTED_VALUE"""),"#VALUE!")</f>
        <v>#VALUE!</v>
      </c>
      <c r="P5108" s="1" t="str">
        <f>IFERROR(__xludf.DUMMYFUNCTION("""COMPUTED_VALUE"""),"#N/A")</f>
        <v>#N/A</v>
      </c>
      <c r="Q5108" s="1"/>
      <c r="R5108" s="1"/>
      <c r="S5108" s="1"/>
      <c r="T5108" s="1"/>
      <c r="U5108" s="2">
        <f>IFERROR(__xludf.DUMMYFUNCTION("""COMPUTED_VALUE"""),0.0)</f>
        <v>0</v>
      </c>
      <c r="V5108" s="1" t="str">
        <f>IFERROR(__xludf.DUMMYFUNCTION("""COMPUTED_VALUE"""),"#N/A")</f>
        <v>#N/A</v>
      </c>
      <c r="W5108" s="1" t="str">
        <f>IFERROR(__xludf.DUMMYFUNCTION("""COMPUTED_VALUE"""),"#N/A")</f>
        <v>#N/A</v>
      </c>
    </row>
    <row r="5109">
      <c r="O5109" s="1" t="str">
        <f>IFERROR(__xludf.DUMMYFUNCTION("""COMPUTED_VALUE"""),"#VALUE!")</f>
        <v>#VALUE!</v>
      </c>
      <c r="P5109" s="1" t="str">
        <f>IFERROR(__xludf.DUMMYFUNCTION("""COMPUTED_VALUE"""),"#N/A")</f>
        <v>#N/A</v>
      </c>
      <c r="Q5109" s="1"/>
      <c r="R5109" s="1"/>
      <c r="S5109" s="1"/>
      <c r="T5109" s="1"/>
      <c r="U5109" s="2">
        <f>IFERROR(__xludf.DUMMYFUNCTION("""COMPUTED_VALUE"""),0.0)</f>
        <v>0</v>
      </c>
      <c r="V5109" s="1" t="str">
        <f>IFERROR(__xludf.DUMMYFUNCTION("""COMPUTED_VALUE"""),"#N/A")</f>
        <v>#N/A</v>
      </c>
      <c r="W5109" s="1" t="str">
        <f>IFERROR(__xludf.DUMMYFUNCTION("""COMPUTED_VALUE"""),"#N/A")</f>
        <v>#N/A</v>
      </c>
    </row>
    <row r="5110">
      <c r="O5110" s="1" t="str">
        <f>IFERROR(__xludf.DUMMYFUNCTION("""COMPUTED_VALUE"""),"#VALUE!")</f>
        <v>#VALUE!</v>
      </c>
      <c r="P5110" s="1" t="str">
        <f>IFERROR(__xludf.DUMMYFUNCTION("""COMPUTED_VALUE"""),"#N/A")</f>
        <v>#N/A</v>
      </c>
      <c r="Q5110" s="1"/>
      <c r="R5110" s="1"/>
      <c r="S5110" s="1"/>
      <c r="T5110" s="1"/>
      <c r="U5110" s="2">
        <f>IFERROR(__xludf.DUMMYFUNCTION("""COMPUTED_VALUE"""),0.0)</f>
        <v>0</v>
      </c>
      <c r="V5110" s="1" t="str">
        <f>IFERROR(__xludf.DUMMYFUNCTION("""COMPUTED_VALUE"""),"#N/A")</f>
        <v>#N/A</v>
      </c>
      <c r="W5110" s="1" t="str">
        <f>IFERROR(__xludf.DUMMYFUNCTION("""COMPUTED_VALUE"""),"#N/A")</f>
        <v>#N/A</v>
      </c>
    </row>
    <row r="5111">
      <c r="O5111" s="1" t="str">
        <f>IFERROR(__xludf.DUMMYFUNCTION("""COMPUTED_VALUE"""),"#VALUE!")</f>
        <v>#VALUE!</v>
      </c>
      <c r="P5111" s="1" t="str">
        <f>IFERROR(__xludf.DUMMYFUNCTION("""COMPUTED_VALUE"""),"#N/A")</f>
        <v>#N/A</v>
      </c>
      <c r="Q5111" s="1"/>
      <c r="R5111" s="1"/>
      <c r="S5111" s="1"/>
      <c r="T5111" s="1"/>
      <c r="U5111" s="2">
        <f>IFERROR(__xludf.DUMMYFUNCTION("""COMPUTED_VALUE"""),0.0)</f>
        <v>0</v>
      </c>
      <c r="V5111" s="1" t="str">
        <f>IFERROR(__xludf.DUMMYFUNCTION("""COMPUTED_VALUE"""),"#N/A")</f>
        <v>#N/A</v>
      </c>
      <c r="W5111" s="1" t="str">
        <f>IFERROR(__xludf.DUMMYFUNCTION("""COMPUTED_VALUE"""),"#N/A")</f>
        <v>#N/A</v>
      </c>
    </row>
    <row r="5112">
      <c r="O5112" s="1" t="str">
        <f>IFERROR(__xludf.DUMMYFUNCTION("""COMPUTED_VALUE"""),"#VALUE!")</f>
        <v>#VALUE!</v>
      </c>
      <c r="P5112" s="1" t="str">
        <f>IFERROR(__xludf.DUMMYFUNCTION("""COMPUTED_VALUE"""),"#N/A")</f>
        <v>#N/A</v>
      </c>
      <c r="Q5112" s="1"/>
      <c r="R5112" s="1"/>
      <c r="S5112" s="1"/>
      <c r="T5112" s="1"/>
      <c r="U5112" s="2">
        <f>IFERROR(__xludf.DUMMYFUNCTION("""COMPUTED_VALUE"""),0.0)</f>
        <v>0</v>
      </c>
      <c r="V5112" s="1" t="str">
        <f>IFERROR(__xludf.DUMMYFUNCTION("""COMPUTED_VALUE"""),"#N/A")</f>
        <v>#N/A</v>
      </c>
      <c r="W5112" s="1" t="str">
        <f>IFERROR(__xludf.DUMMYFUNCTION("""COMPUTED_VALUE"""),"#N/A")</f>
        <v>#N/A</v>
      </c>
    </row>
    <row r="5113">
      <c r="O5113" s="1" t="str">
        <f>IFERROR(__xludf.DUMMYFUNCTION("""COMPUTED_VALUE"""),"#VALUE!")</f>
        <v>#VALUE!</v>
      </c>
      <c r="P5113" s="1" t="str">
        <f>IFERROR(__xludf.DUMMYFUNCTION("""COMPUTED_VALUE"""),"#N/A")</f>
        <v>#N/A</v>
      </c>
      <c r="Q5113" s="1"/>
      <c r="R5113" s="1"/>
      <c r="S5113" s="1"/>
      <c r="T5113" s="1"/>
      <c r="U5113" s="2">
        <f>IFERROR(__xludf.DUMMYFUNCTION("""COMPUTED_VALUE"""),0.0)</f>
        <v>0</v>
      </c>
      <c r="V5113" s="1" t="str">
        <f>IFERROR(__xludf.DUMMYFUNCTION("""COMPUTED_VALUE"""),"#N/A")</f>
        <v>#N/A</v>
      </c>
      <c r="W5113" s="1" t="str">
        <f>IFERROR(__xludf.DUMMYFUNCTION("""COMPUTED_VALUE"""),"#N/A")</f>
        <v>#N/A</v>
      </c>
    </row>
    <row r="5114">
      <c r="O5114" s="1" t="str">
        <f>IFERROR(__xludf.DUMMYFUNCTION("""COMPUTED_VALUE"""),"#VALUE!")</f>
        <v>#VALUE!</v>
      </c>
      <c r="P5114" s="1" t="str">
        <f>IFERROR(__xludf.DUMMYFUNCTION("""COMPUTED_VALUE"""),"#N/A")</f>
        <v>#N/A</v>
      </c>
      <c r="Q5114" s="1"/>
      <c r="R5114" s="1"/>
      <c r="S5114" s="1"/>
      <c r="T5114" s="1"/>
      <c r="U5114" s="2">
        <f>IFERROR(__xludf.DUMMYFUNCTION("""COMPUTED_VALUE"""),0.0)</f>
        <v>0</v>
      </c>
      <c r="V5114" s="1" t="str">
        <f>IFERROR(__xludf.DUMMYFUNCTION("""COMPUTED_VALUE"""),"#N/A")</f>
        <v>#N/A</v>
      </c>
      <c r="W5114" s="1" t="str">
        <f>IFERROR(__xludf.DUMMYFUNCTION("""COMPUTED_VALUE"""),"#N/A")</f>
        <v>#N/A</v>
      </c>
    </row>
    <row r="5115">
      <c r="O5115" s="1" t="str">
        <f>IFERROR(__xludf.DUMMYFUNCTION("""COMPUTED_VALUE"""),"#VALUE!")</f>
        <v>#VALUE!</v>
      </c>
      <c r="P5115" s="1" t="str">
        <f>IFERROR(__xludf.DUMMYFUNCTION("""COMPUTED_VALUE"""),"#N/A")</f>
        <v>#N/A</v>
      </c>
      <c r="Q5115" s="1"/>
      <c r="R5115" s="1"/>
      <c r="S5115" s="1"/>
      <c r="T5115" s="1"/>
      <c r="U5115" s="2">
        <f>IFERROR(__xludf.DUMMYFUNCTION("""COMPUTED_VALUE"""),0.0)</f>
        <v>0</v>
      </c>
      <c r="V5115" s="1" t="str">
        <f>IFERROR(__xludf.DUMMYFUNCTION("""COMPUTED_VALUE"""),"#N/A")</f>
        <v>#N/A</v>
      </c>
      <c r="W5115" s="1" t="str">
        <f>IFERROR(__xludf.DUMMYFUNCTION("""COMPUTED_VALUE"""),"#N/A")</f>
        <v>#N/A</v>
      </c>
    </row>
    <row r="5116">
      <c r="O5116" s="1" t="str">
        <f>IFERROR(__xludf.DUMMYFUNCTION("""COMPUTED_VALUE"""),"#VALUE!")</f>
        <v>#VALUE!</v>
      </c>
      <c r="P5116" s="1" t="str">
        <f>IFERROR(__xludf.DUMMYFUNCTION("""COMPUTED_VALUE"""),"#N/A")</f>
        <v>#N/A</v>
      </c>
      <c r="Q5116" s="1"/>
      <c r="R5116" s="1"/>
      <c r="S5116" s="1"/>
      <c r="T5116" s="1"/>
      <c r="U5116" s="2">
        <f>IFERROR(__xludf.DUMMYFUNCTION("""COMPUTED_VALUE"""),0.0)</f>
        <v>0</v>
      </c>
      <c r="V5116" s="1" t="str">
        <f>IFERROR(__xludf.DUMMYFUNCTION("""COMPUTED_VALUE"""),"#N/A")</f>
        <v>#N/A</v>
      </c>
      <c r="W5116" s="1" t="str">
        <f>IFERROR(__xludf.DUMMYFUNCTION("""COMPUTED_VALUE"""),"#N/A")</f>
        <v>#N/A</v>
      </c>
    </row>
    <row r="5117">
      <c r="O5117" s="1" t="str">
        <f>IFERROR(__xludf.DUMMYFUNCTION("""COMPUTED_VALUE"""),"#VALUE!")</f>
        <v>#VALUE!</v>
      </c>
      <c r="P5117" s="1" t="str">
        <f>IFERROR(__xludf.DUMMYFUNCTION("""COMPUTED_VALUE"""),"#N/A")</f>
        <v>#N/A</v>
      </c>
      <c r="Q5117" s="1"/>
      <c r="R5117" s="1"/>
      <c r="S5117" s="1"/>
      <c r="T5117" s="1"/>
      <c r="U5117" s="2">
        <f>IFERROR(__xludf.DUMMYFUNCTION("""COMPUTED_VALUE"""),0.0)</f>
        <v>0</v>
      </c>
      <c r="V5117" s="1" t="str">
        <f>IFERROR(__xludf.DUMMYFUNCTION("""COMPUTED_VALUE"""),"#N/A")</f>
        <v>#N/A</v>
      </c>
      <c r="W5117" s="1" t="str">
        <f>IFERROR(__xludf.DUMMYFUNCTION("""COMPUTED_VALUE"""),"#N/A")</f>
        <v>#N/A</v>
      </c>
    </row>
    <row r="5118">
      <c r="O5118" s="1" t="str">
        <f>IFERROR(__xludf.DUMMYFUNCTION("""COMPUTED_VALUE"""),"#VALUE!")</f>
        <v>#VALUE!</v>
      </c>
      <c r="P5118" s="1" t="str">
        <f>IFERROR(__xludf.DUMMYFUNCTION("""COMPUTED_VALUE"""),"#N/A")</f>
        <v>#N/A</v>
      </c>
      <c r="Q5118" s="1"/>
      <c r="R5118" s="1"/>
      <c r="S5118" s="1"/>
      <c r="T5118" s="1"/>
      <c r="U5118" s="2">
        <f>IFERROR(__xludf.DUMMYFUNCTION("""COMPUTED_VALUE"""),0.0)</f>
        <v>0</v>
      </c>
      <c r="V5118" s="1" t="str">
        <f>IFERROR(__xludf.DUMMYFUNCTION("""COMPUTED_VALUE"""),"#N/A")</f>
        <v>#N/A</v>
      </c>
      <c r="W5118" s="1" t="str">
        <f>IFERROR(__xludf.DUMMYFUNCTION("""COMPUTED_VALUE"""),"#N/A")</f>
        <v>#N/A</v>
      </c>
    </row>
    <row r="5119">
      <c r="O5119" s="1" t="str">
        <f>IFERROR(__xludf.DUMMYFUNCTION("""COMPUTED_VALUE"""),"#VALUE!")</f>
        <v>#VALUE!</v>
      </c>
      <c r="P5119" s="1" t="str">
        <f>IFERROR(__xludf.DUMMYFUNCTION("""COMPUTED_VALUE"""),"#N/A")</f>
        <v>#N/A</v>
      </c>
      <c r="Q5119" s="1"/>
      <c r="R5119" s="1"/>
      <c r="S5119" s="1"/>
      <c r="T5119" s="1"/>
      <c r="U5119" s="2">
        <f>IFERROR(__xludf.DUMMYFUNCTION("""COMPUTED_VALUE"""),0.0)</f>
        <v>0</v>
      </c>
      <c r="V5119" s="1" t="str">
        <f>IFERROR(__xludf.DUMMYFUNCTION("""COMPUTED_VALUE"""),"#N/A")</f>
        <v>#N/A</v>
      </c>
      <c r="W5119" s="1" t="str">
        <f>IFERROR(__xludf.DUMMYFUNCTION("""COMPUTED_VALUE"""),"#N/A")</f>
        <v>#N/A</v>
      </c>
    </row>
    <row r="5120">
      <c r="O5120" s="1" t="str">
        <f>IFERROR(__xludf.DUMMYFUNCTION("""COMPUTED_VALUE"""),"#VALUE!")</f>
        <v>#VALUE!</v>
      </c>
      <c r="P5120" s="1" t="str">
        <f>IFERROR(__xludf.DUMMYFUNCTION("""COMPUTED_VALUE"""),"#N/A")</f>
        <v>#N/A</v>
      </c>
      <c r="Q5120" s="1"/>
      <c r="R5120" s="1"/>
      <c r="S5120" s="1"/>
      <c r="T5120" s="1"/>
      <c r="U5120" s="2">
        <f>IFERROR(__xludf.DUMMYFUNCTION("""COMPUTED_VALUE"""),0.0)</f>
        <v>0</v>
      </c>
      <c r="V5120" s="1" t="str">
        <f>IFERROR(__xludf.DUMMYFUNCTION("""COMPUTED_VALUE"""),"#N/A")</f>
        <v>#N/A</v>
      </c>
      <c r="W5120" s="1" t="str">
        <f>IFERROR(__xludf.DUMMYFUNCTION("""COMPUTED_VALUE"""),"#N/A")</f>
        <v>#N/A</v>
      </c>
    </row>
    <row r="5121">
      <c r="O5121" s="1" t="str">
        <f>IFERROR(__xludf.DUMMYFUNCTION("""COMPUTED_VALUE"""),"#VALUE!")</f>
        <v>#VALUE!</v>
      </c>
      <c r="P5121" s="1" t="str">
        <f>IFERROR(__xludf.DUMMYFUNCTION("""COMPUTED_VALUE"""),"#N/A")</f>
        <v>#N/A</v>
      </c>
      <c r="Q5121" s="1"/>
      <c r="R5121" s="1"/>
      <c r="S5121" s="1"/>
      <c r="T5121" s="1"/>
      <c r="U5121" s="2">
        <f>IFERROR(__xludf.DUMMYFUNCTION("""COMPUTED_VALUE"""),0.0)</f>
        <v>0</v>
      </c>
      <c r="V5121" s="1" t="str">
        <f>IFERROR(__xludf.DUMMYFUNCTION("""COMPUTED_VALUE"""),"#N/A")</f>
        <v>#N/A</v>
      </c>
      <c r="W5121" s="1" t="str">
        <f>IFERROR(__xludf.DUMMYFUNCTION("""COMPUTED_VALUE"""),"#N/A")</f>
        <v>#N/A</v>
      </c>
    </row>
    <row r="5122">
      <c r="O5122" s="1" t="str">
        <f>IFERROR(__xludf.DUMMYFUNCTION("""COMPUTED_VALUE"""),"#VALUE!")</f>
        <v>#VALUE!</v>
      </c>
      <c r="P5122" s="1" t="str">
        <f>IFERROR(__xludf.DUMMYFUNCTION("""COMPUTED_VALUE"""),"#N/A")</f>
        <v>#N/A</v>
      </c>
      <c r="Q5122" s="1"/>
      <c r="R5122" s="1"/>
      <c r="S5122" s="1"/>
      <c r="T5122" s="1"/>
      <c r="U5122" s="2">
        <f>IFERROR(__xludf.DUMMYFUNCTION("""COMPUTED_VALUE"""),0.0)</f>
        <v>0</v>
      </c>
      <c r="V5122" s="1" t="str">
        <f>IFERROR(__xludf.DUMMYFUNCTION("""COMPUTED_VALUE"""),"#N/A")</f>
        <v>#N/A</v>
      </c>
      <c r="W5122" s="1" t="str">
        <f>IFERROR(__xludf.DUMMYFUNCTION("""COMPUTED_VALUE"""),"#N/A")</f>
        <v>#N/A</v>
      </c>
    </row>
    <row r="5123">
      <c r="O5123" s="1" t="str">
        <f>IFERROR(__xludf.DUMMYFUNCTION("""COMPUTED_VALUE"""),"#VALUE!")</f>
        <v>#VALUE!</v>
      </c>
      <c r="P5123" s="1" t="str">
        <f>IFERROR(__xludf.DUMMYFUNCTION("""COMPUTED_VALUE"""),"#N/A")</f>
        <v>#N/A</v>
      </c>
      <c r="Q5123" s="1"/>
      <c r="R5123" s="1"/>
      <c r="S5123" s="1"/>
      <c r="T5123" s="1"/>
      <c r="U5123" s="2">
        <f>IFERROR(__xludf.DUMMYFUNCTION("""COMPUTED_VALUE"""),0.0)</f>
        <v>0</v>
      </c>
      <c r="V5123" s="1" t="str">
        <f>IFERROR(__xludf.DUMMYFUNCTION("""COMPUTED_VALUE"""),"#N/A")</f>
        <v>#N/A</v>
      </c>
      <c r="W5123" s="1" t="str">
        <f>IFERROR(__xludf.DUMMYFUNCTION("""COMPUTED_VALUE"""),"#N/A")</f>
        <v>#N/A</v>
      </c>
    </row>
    <row r="5124">
      <c r="O5124" s="1" t="str">
        <f>IFERROR(__xludf.DUMMYFUNCTION("""COMPUTED_VALUE"""),"#VALUE!")</f>
        <v>#VALUE!</v>
      </c>
      <c r="P5124" s="1" t="str">
        <f>IFERROR(__xludf.DUMMYFUNCTION("""COMPUTED_VALUE"""),"#N/A")</f>
        <v>#N/A</v>
      </c>
      <c r="Q5124" s="1"/>
      <c r="R5124" s="1"/>
      <c r="S5124" s="1"/>
      <c r="T5124" s="1"/>
      <c r="U5124" s="2">
        <f>IFERROR(__xludf.DUMMYFUNCTION("""COMPUTED_VALUE"""),0.0)</f>
        <v>0</v>
      </c>
      <c r="V5124" s="1" t="str">
        <f>IFERROR(__xludf.DUMMYFUNCTION("""COMPUTED_VALUE"""),"#N/A")</f>
        <v>#N/A</v>
      </c>
      <c r="W5124" s="1" t="str">
        <f>IFERROR(__xludf.DUMMYFUNCTION("""COMPUTED_VALUE"""),"#N/A")</f>
        <v>#N/A</v>
      </c>
    </row>
    <row r="5125">
      <c r="O5125" s="1" t="str">
        <f>IFERROR(__xludf.DUMMYFUNCTION("""COMPUTED_VALUE"""),"#VALUE!")</f>
        <v>#VALUE!</v>
      </c>
      <c r="P5125" s="1" t="str">
        <f>IFERROR(__xludf.DUMMYFUNCTION("""COMPUTED_VALUE"""),"#N/A")</f>
        <v>#N/A</v>
      </c>
      <c r="Q5125" s="1"/>
      <c r="R5125" s="1"/>
      <c r="S5125" s="1"/>
      <c r="T5125" s="1"/>
      <c r="U5125" s="2">
        <f>IFERROR(__xludf.DUMMYFUNCTION("""COMPUTED_VALUE"""),0.0)</f>
        <v>0</v>
      </c>
      <c r="V5125" s="1" t="str">
        <f>IFERROR(__xludf.DUMMYFUNCTION("""COMPUTED_VALUE"""),"#N/A")</f>
        <v>#N/A</v>
      </c>
      <c r="W5125" s="1" t="str">
        <f>IFERROR(__xludf.DUMMYFUNCTION("""COMPUTED_VALUE"""),"#N/A")</f>
        <v>#N/A</v>
      </c>
    </row>
    <row r="5126">
      <c r="O5126" s="1" t="str">
        <f>IFERROR(__xludf.DUMMYFUNCTION("""COMPUTED_VALUE"""),"#VALUE!")</f>
        <v>#VALUE!</v>
      </c>
      <c r="P5126" s="1" t="str">
        <f>IFERROR(__xludf.DUMMYFUNCTION("""COMPUTED_VALUE"""),"#N/A")</f>
        <v>#N/A</v>
      </c>
      <c r="Q5126" s="1"/>
      <c r="R5126" s="1"/>
      <c r="S5126" s="1"/>
      <c r="T5126" s="1"/>
      <c r="U5126" s="2">
        <f>IFERROR(__xludf.DUMMYFUNCTION("""COMPUTED_VALUE"""),0.0)</f>
        <v>0</v>
      </c>
      <c r="V5126" s="1" t="str">
        <f>IFERROR(__xludf.DUMMYFUNCTION("""COMPUTED_VALUE"""),"#N/A")</f>
        <v>#N/A</v>
      </c>
      <c r="W5126" s="1" t="str">
        <f>IFERROR(__xludf.DUMMYFUNCTION("""COMPUTED_VALUE"""),"#N/A")</f>
        <v>#N/A</v>
      </c>
    </row>
    <row r="5127">
      <c r="O5127" s="1" t="str">
        <f>IFERROR(__xludf.DUMMYFUNCTION("""COMPUTED_VALUE"""),"#VALUE!")</f>
        <v>#VALUE!</v>
      </c>
      <c r="P5127" s="1" t="str">
        <f>IFERROR(__xludf.DUMMYFUNCTION("""COMPUTED_VALUE"""),"#N/A")</f>
        <v>#N/A</v>
      </c>
      <c r="Q5127" s="1"/>
      <c r="R5127" s="1"/>
      <c r="S5127" s="1"/>
      <c r="T5127" s="1"/>
      <c r="U5127" s="2">
        <f>IFERROR(__xludf.DUMMYFUNCTION("""COMPUTED_VALUE"""),0.0)</f>
        <v>0</v>
      </c>
      <c r="V5127" s="1" t="str">
        <f>IFERROR(__xludf.DUMMYFUNCTION("""COMPUTED_VALUE"""),"#N/A")</f>
        <v>#N/A</v>
      </c>
      <c r="W5127" s="1" t="str">
        <f>IFERROR(__xludf.DUMMYFUNCTION("""COMPUTED_VALUE"""),"#N/A")</f>
        <v>#N/A</v>
      </c>
    </row>
    <row r="5128">
      <c r="O5128" s="1" t="str">
        <f>IFERROR(__xludf.DUMMYFUNCTION("""COMPUTED_VALUE"""),"#VALUE!")</f>
        <v>#VALUE!</v>
      </c>
      <c r="P5128" s="1" t="str">
        <f>IFERROR(__xludf.DUMMYFUNCTION("""COMPUTED_VALUE"""),"#N/A")</f>
        <v>#N/A</v>
      </c>
      <c r="Q5128" s="1"/>
      <c r="R5128" s="1"/>
      <c r="S5128" s="1"/>
      <c r="T5128" s="1"/>
      <c r="U5128" s="2">
        <f>IFERROR(__xludf.DUMMYFUNCTION("""COMPUTED_VALUE"""),0.0)</f>
        <v>0</v>
      </c>
      <c r="V5128" s="1" t="str">
        <f>IFERROR(__xludf.DUMMYFUNCTION("""COMPUTED_VALUE"""),"#N/A")</f>
        <v>#N/A</v>
      </c>
      <c r="W5128" s="1" t="str">
        <f>IFERROR(__xludf.DUMMYFUNCTION("""COMPUTED_VALUE"""),"#N/A")</f>
        <v>#N/A</v>
      </c>
    </row>
    <row r="5129">
      <c r="O5129" s="1" t="str">
        <f>IFERROR(__xludf.DUMMYFUNCTION("""COMPUTED_VALUE"""),"#VALUE!")</f>
        <v>#VALUE!</v>
      </c>
      <c r="P5129" s="1" t="str">
        <f>IFERROR(__xludf.DUMMYFUNCTION("""COMPUTED_VALUE"""),"#N/A")</f>
        <v>#N/A</v>
      </c>
      <c r="Q5129" s="1"/>
      <c r="R5129" s="1"/>
      <c r="S5129" s="1"/>
      <c r="T5129" s="1"/>
      <c r="U5129" s="2">
        <f>IFERROR(__xludf.DUMMYFUNCTION("""COMPUTED_VALUE"""),0.0)</f>
        <v>0</v>
      </c>
      <c r="V5129" s="1" t="str">
        <f>IFERROR(__xludf.DUMMYFUNCTION("""COMPUTED_VALUE"""),"#N/A")</f>
        <v>#N/A</v>
      </c>
      <c r="W5129" s="1" t="str">
        <f>IFERROR(__xludf.DUMMYFUNCTION("""COMPUTED_VALUE"""),"#N/A")</f>
        <v>#N/A</v>
      </c>
    </row>
    <row r="5130">
      <c r="O5130" s="1" t="str">
        <f>IFERROR(__xludf.DUMMYFUNCTION("""COMPUTED_VALUE"""),"#VALUE!")</f>
        <v>#VALUE!</v>
      </c>
      <c r="P5130" s="1" t="str">
        <f>IFERROR(__xludf.DUMMYFUNCTION("""COMPUTED_VALUE"""),"#N/A")</f>
        <v>#N/A</v>
      </c>
      <c r="Q5130" s="1"/>
      <c r="R5130" s="1"/>
      <c r="S5130" s="1"/>
      <c r="T5130" s="1"/>
      <c r="U5130" s="2">
        <f>IFERROR(__xludf.DUMMYFUNCTION("""COMPUTED_VALUE"""),0.0)</f>
        <v>0</v>
      </c>
      <c r="V5130" s="1" t="str">
        <f>IFERROR(__xludf.DUMMYFUNCTION("""COMPUTED_VALUE"""),"#N/A")</f>
        <v>#N/A</v>
      </c>
      <c r="W5130" s="1" t="str">
        <f>IFERROR(__xludf.DUMMYFUNCTION("""COMPUTED_VALUE"""),"#N/A")</f>
        <v>#N/A</v>
      </c>
    </row>
    <row r="5131">
      <c r="O5131" s="1" t="str">
        <f>IFERROR(__xludf.DUMMYFUNCTION("""COMPUTED_VALUE"""),"#VALUE!")</f>
        <v>#VALUE!</v>
      </c>
      <c r="P5131" s="1" t="str">
        <f>IFERROR(__xludf.DUMMYFUNCTION("""COMPUTED_VALUE"""),"#N/A")</f>
        <v>#N/A</v>
      </c>
      <c r="Q5131" s="1"/>
      <c r="R5131" s="1"/>
      <c r="S5131" s="1"/>
      <c r="T5131" s="1"/>
      <c r="U5131" s="2">
        <f>IFERROR(__xludf.DUMMYFUNCTION("""COMPUTED_VALUE"""),0.0)</f>
        <v>0</v>
      </c>
      <c r="V5131" s="1" t="str">
        <f>IFERROR(__xludf.DUMMYFUNCTION("""COMPUTED_VALUE"""),"#N/A")</f>
        <v>#N/A</v>
      </c>
      <c r="W5131" s="1" t="str">
        <f>IFERROR(__xludf.DUMMYFUNCTION("""COMPUTED_VALUE"""),"#N/A")</f>
        <v>#N/A</v>
      </c>
    </row>
    <row r="5132">
      <c r="O5132" s="1" t="str">
        <f>IFERROR(__xludf.DUMMYFUNCTION("""COMPUTED_VALUE"""),"#VALUE!")</f>
        <v>#VALUE!</v>
      </c>
      <c r="P5132" s="1" t="str">
        <f>IFERROR(__xludf.DUMMYFUNCTION("""COMPUTED_VALUE"""),"#N/A")</f>
        <v>#N/A</v>
      </c>
      <c r="Q5132" s="1"/>
      <c r="R5132" s="1"/>
      <c r="S5132" s="1"/>
      <c r="T5132" s="1"/>
      <c r="U5132" s="2">
        <f>IFERROR(__xludf.DUMMYFUNCTION("""COMPUTED_VALUE"""),0.0)</f>
        <v>0</v>
      </c>
      <c r="V5132" s="1" t="str">
        <f>IFERROR(__xludf.DUMMYFUNCTION("""COMPUTED_VALUE"""),"#N/A")</f>
        <v>#N/A</v>
      </c>
      <c r="W5132" s="1" t="str">
        <f>IFERROR(__xludf.DUMMYFUNCTION("""COMPUTED_VALUE"""),"#N/A")</f>
        <v>#N/A</v>
      </c>
    </row>
    <row r="5133">
      <c r="O5133" s="1" t="str">
        <f>IFERROR(__xludf.DUMMYFUNCTION("""COMPUTED_VALUE"""),"#VALUE!")</f>
        <v>#VALUE!</v>
      </c>
      <c r="P5133" s="1" t="str">
        <f>IFERROR(__xludf.DUMMYFUNCTION("""COMPUTED_VALUE"""),"#N/A")</f>
        <v>#N/A</v>
      </c>
      <c r="Q5133" s="1"/>
      <c r="R5133" s="1"/>
      <c r="S5133" s="1"/>
      <c r="T5133" s="1"/>
      <c r="U5133" s="2">
        <f>IFERROR(__xludf.DUMMYFUNCTION("""COMPUTED_VALUE"""),0.0)</f>
        <v>0</v>
      </c>
      <c r="V5133" s="1" t="str">
        <f>IFERROR(__xludf.DUMMYFUNCTION("""COMPUTED_VALUE"""),"#N/A")</f>
        <v>#N/A</v>
      </c>
      <c r="W5133" s="1" t="str">
        <f>IFERROR(__xludf.DUMMYFUNCTION("""COMPUTED_VALUE"""),"#N/A")</f>
        <v>#N/A</v>
      </c>
    </row>
    <row r="5134">
      <c r="O5134" s="1" t="str">
        <f>IFERROR(__xludf.DUMMYFUNCTION("""COMPUTED_VALUE"""),"#VALUE!")</f>
        <v>#VALUE!</v>
      </c>
      <c r="P5134" s="1" t="str">
        <f>IFERROR(__xludf.DUMMYFUNCTION("""COMPUTED_VALUE"""),"#N/A")</f>
        <v>#N/A</v>
      </c>
      <c r="Q5134" s="1"/>
      <c r="R5134" s="1"/>
      <c r="S5134" s="1"/>
      <c r="T5134" s="1"/>
      <c r="U5134" s="2">
        <f>IFERROR(__xludf.DUMMYFUNCTION("""COMPUTED_VALUE"""),0.0)</f>
        <v>0</v>
      </c>
      <c r="V5134" s="1" t="str">
        <f>IFERROR(__xludf.DUMMYFUNCTION("""COMPUTED_VALUE"""),"#N/A")</f>
        <v>#N/A</v>
      </c>
      <c r="W5134" s="1" t="str">
        <f>IFERROR(__xludf.DUMMYFUNCTION("""COMPUTED_VALUE"""),"#N/A")</f>
        <v>#N/A</v>
      </c>
    </row>
    <row r="5135">
      <c r="O5135" s="1" t="str">
        <f>IFERROR(__xludf.DUMMYFUNCTION("""COMPUTED_VALUE"""),"#VALUE!")</f>
        <v>#VALUE!</v>
      </c>
      <c r="P5135" s="1" t="str">
        <f>IFERROR(__xludf.DUMMYFUNCTION("""COMPUTED_VALUE"""),"#N/A")</f>
        <v>#N/A</v>
      </c>
      <c r="Q5135" s="1"/>
      <c r="R5135" s="1"/>
      <c r="S5135" s="1"/>
      <c r="T5135" s="1"/>
      <c r="U5135" s="2">
        <f>IFERROR(__xludf.DUMMYFUNCTION("""COMPUTED_VALUE"""),0.0)</f>
        <v>0</v>
      </c>
      <c r="V5135" s="1" t="str">
        <f>IFERROR(__xludf.DUMMYFUNCTION("""COMPUTED_VALUE"""),"#N/A")</f>
        <v>#N/A</v>
      </c>
      <c r="W5135" s="1" t="str">
        <f>IFERROR(__xludf.DUMMYFUNCTION("""COMPUTED_VALUE"""),"#N/A")</f>
        <v>#N/A</v>
      </c>
    </row>
    <row r="5136">
      <c r="O5136" s="1" t="str">
        <f>IFERROR(__xludf.DUMMYFUNCTION("""COMPUTED_VALUE"""),"#VALUE!")</f>
        <v>#VALUE!</v>
      </c>
      <c r="P5136" s="1" t="str">
        <f>IFERROR(__xludf.DUMMYFUNCTION("""COMPUTED_VALUE"""),"#N/A")</f>
        <v>#N/A</v>
      </c>
      <c r="Q5136" s="1"/>
      <c r="R5136" s="1"/>
      <c r="S5136" s="1"/>
      <c r="T5136" s="1"/>
      <c r="U5136" s="2">
        <f>IFERROR(__xludf.DUMMYFUNCTION("""COMPUTED_VALUE"""),0.0)</f>
        <v>0</v>
      </c>
      <c r="V5136" s="1" t="str">
        <f>IFERROR(__xludf.DUMMYFUNCTION("""COMPUTED_VALUE"""),"#N/A")</f>
        <v>#N/A</v>
      </c>
      <c r="W5136" s="1" t="str">
        <f>IFERROR(__xludf.DUMMYFUNCTION("""COMPUTED_VALUE"""),"#N/A")</f>
        <v>#N/A</v>
      </c>
    </row>
    <row r="5137">
      <c r="O5137" s="1" t="str">
        <f>IFERROR(__xludf.DUMMYFUNCTION("""COMPUTED_VALUE"""),"#VALUE!")</f>
        <v>#VALUE!</v>
      </c>
      <c r="P5137" s="1" t="str">
        <f>IFERROR(__xludf.DUMMYFUNCTION("""COMPUTED_VALUE"""),"#N/A")</f>
        <v>#N/A</v>
      </c>
      <c r="Q5137" s="1"/>
      <c r="R5137" s="1"/>
      <c r="S5137" s="1"/>
      <c r="T5137" s="1"/>
      <c r="U5137" s="2">
        <f>IFERROR(__xludf.DUMMYFUNCTION("""COMPUTED_VALUE"""),0.0)</f>
        <v>0</v>
      </c>
      <c r="V5137" s="1" t="str">
        <f>IFERROR(__xludf.DUMMYFUNCTION("""COMPUTED_VALUE"""),"#N/A")</f>
        <v>#N/A</v>
      </c>
      <c r="W5137" s="1" t="str">
        <f>IFERROR(__xludf.DUMMYFUNCTION("""COMPUTED_VALUE"""),"#N/A")</f>
        <v>#N/A</v>
      </c>
    </row>
    <row r="5138">
      <c r="O5138" s="1" t="str">
        <f>IFERROR(__xludf.DUMMYFUNCTION("""COMPUTED_VALUE"""),"#VALUE!")</f>
        <v>#VALUE!</v>
      </c>
      <c r="P5138" s="1" t="str">
        <f>IFERROR(__xludf.DUMMYFUNCTION("""COMPUTED_VALUE"""),"#N/A")</f>
        <v>#N/A</v>
      </c>
      <c r="Q5138" s="1"/>
      <c r="R5138" s="1"/>
      <c r="S5138" s="1"/>
      <c r="T5138" s="1"/>
      <c r="U5138" s="2">
        <f>IFERROR(__xludf.DUMMYFUNCTION("""COMPUTED_VALUE"""),0.0)</f>
        <v>0</v>
      </c>
      <c r="V5138" s="1" t="str">
        <f>IFERROR(__xludf.DUMMYFUNCTION("""COMPUTED_VALUE"""),"#N/A")</f>
        <v>#N/A</v>
      </c>
      <c r="W5138" s="1" t="str">
        <f>IFERROR(__xludf.DUMMYFUNCTION("""COMPUTED_VALUE"""),"#N/A")</f>
        <v>#N/A</v>
      </c>
    </row>
    <row r="5139">
      <c r="O5139" s="1" t="str">
        <f>IFERROR(__xludf.DUMMYFUNCTION("""COMPUTED_VALUE"""),"#VALUE!")</f>
        <v>#VALUE!</v>
      </c>
      <c r="P5139" s="1" t="str">
        <f>IFERROR(__xludf.DUMMYFUNCTION("""COMPUTED_VALUE"""),"#N/A")</f>
        <v>#N/A</v>
      </c>
      <c r="Q5139" s="1"/>
      <c r="R5139" s="1"/>
      <c r="S5139" s="1"/>
      <c r="T5139" s="1"/>
      <c r="U5139" s="2">
        <f>IFERROR(__xludf.DUMMYFUNCTION("""COMPUTED_VALUE"""),0.0)</f>
        <v>0</v>
      </c>
      <c r="V5139" s="1" t="str">
        <f>IFERROR(__xludf.DUMMYFUNCTION("""COMPUTED_VALUE"""),"#N/A")</f>
        <v>#N/A</v>
      </c>
      <c r="W5139" s="1" t="str">
        <f>IFERROR(__xludf.DUMMYFUNCTION("""COMPUTED_VALUE"""),"#N/A")</f>
        <v>#N/A</v>
      </c>
    </row>
    <row r="5140">
      <c r="O5140" s="1" t="str">
        <f>IFERROR(__xludf.DUMMYFUNCTION("""COMPUTED_VALUE"""),"#VALUE!")</f>
        <v>#VALUE!</v>
      </c>
      <c r="P5140" s="1" t="str">
        <f>IFERROR(__xludf.DUMMYFUNCTION("""COMPUTED_VALUE"""),"#N/A")</f>
        <v>#N/A</v>
      </c>
      <c r="Q5140" s="1"/>
      <c r="R5140" s="1"/>
      <c r="S5140" s="1"/>
      <c r="T5140" s="1"/>
      <c r="U5140" s="2">
        <f>IFERROR(__xludf.DUMMYFUNCTION("""COMPUTED_VALUE"""),0.0)</f>
        <v>0</v>
      </c>
      <c r="V5140" s="1" t="str">
        <f>IFERROR(__xludf.DUMMYFUNCTION("""COMPUTED_VALUE"""),"#N/A")</f>
        <v>#N/A</v>
      </c>
      <c r="W5140" s="1" t="str">
        <f>IFERROR(__xludf.DUMMYFUNCTION("""COMPUTED_VALUE"""),"#N/A")</f>
        <v>#N/A</v>
      </c>
    </row>
    <row r="5141">
      <c r="O5141" s="1" t="str">
        <f>IFERROR(__xludf.DUMMYFUNCTION("""COMPUTED_VALUE"""),"#VALUE!")</f>
        <v>#VALUE!</v>
      </c>
      <c r="P5141" s="1" t="str">
        <f>IFERROR(__xludf.DUMMYFUNCTION("""COMPUTED_VALUE"""),"#N/A")</f>
        <v>#N/A</v>
      </c>
      <c r="Q5141" s="1"/>
      <c r="R5141" s="1"/>
      <c r="S5141" s="1"/>
      <c r="T5141" s="1"/>
      <c r="U5141" s="2">
        <f>IFERROR(__xludf.DUMMYFUNCTION("""COMPUTED_VALUE"""),0.0)</f>
        <v>0</v>
      </c>
      <c r="V5141" s="1" t="str">
        <f>IFERROR(__xludf.DUMMYFUNCTION("""COMPUTED_VALUE"""),"#N/A")</f>
        <v>#N/A</v>
      </c>
      <c r="W5141" s="1" t="str">
        <f>IFERROR(__xludf.DUMMYFUNCTION("""COMPUTED_VALUE"""),"#N/A")</f>
        <v>#N/A</v>
      </c>
    </row>
    <row r="5142">
      <c r="O5142" s="1" t="str">
        <f>IFERROR(__xludf.DUMMYFUNCTION("""COMPUTED_VALUE"""),"#VALUE!")</f>
        <v>#VALUE!</v>
      </c>
      <c r="P5142" s="1" t="str">
        <f>IFERROR(__xludf.DUMMYFUNCTION("""COMPUTED_VALUE"""),"#N/A")</f>
        <v>#N/A</v>
      </c>
      <c r="Q5142" s="1"/>
      <c r="R5142" s="1"/>
      <c r="S5142" s="1"/>
      <c r="T5142" s="1"/>
      <c r="U5142" s="2">
        <f>IFERROR(__xludf.DUMMYFUNCTION("""COMPUTED_VALUE"""),0.0)</f>
        <v>0</v>
      </c>
      <c r="V5142" s="1" t="str">
        <f>IFERROR(__xludf.DUMMYFUNCTION("""COMPUTED_VALUE"""),"#N/A")</f>
        <v>#N/A</v>
      </c>
      <c r="W5142" s="1" t="str">
        <f>IFERROR(__xludf.DUMMYFUNCTION("""COMPUTED_VALUE"""),"#N/A")</f>
        <v>#N/A</v>
      </c>
    </row>
    <row r="5143">
      <c r="O5143" s="1" t="str">
        <f>IFERROR(__xludf.DUMMYFUNCTION("""COMPUTED_VALUE"""),"#VALUE!")</f>
        <v>#VALUE!</v>
      </c>
      <c r="P5143" s="1" t="str">
        <f>IFERROR(__xludf.DUMMYFUNCTION("""COMPUTED_VALUE"""),"#N/A")</f>
        <v>#N/A</v>
      </c>
      <c r="Q5143" s="1"/>
      <c r="R5143" s="1"/>
      <c r="S5143" s="1"/>
      <c r="T5143" s="1"/>
      <c r="U5143" s="2">
        <f>IFERROR(__xludf.DUMMYFUNCTION("""COMPUTED_VALUE"""),0.0)</f>
        <v>0</v>
      </c>
      <c r="V5143" s="1" t="str">
        <f>IFERROR(__xludf.DUMMYFUNCTION("""COMPUTED_VALUE"""),"#N/A")</f>
        <v>#N/A</v>
      </c>
      <c r="W5143" s="1" t="str">
        <f>IFERROR(__xludf.DUMMYFUNCTION("""COMPUTED_VALUE"""),"#N/A")</f>
        <v>#N/A</v>
      </c>
    </row>
    <row r="5144">
      <c r="O5144" s="1" t="str">
        <f>IFERROR(__xludf.DUMMYFUNCTION("""COMPUTED_VALUE"""),"#VALUE!")</f>
        <v>#VALUE!</v>
      </c>
      <c r="P5144" s="1" t="str">
        <f>IFERROR(__xludf.DUMMYFUNCTION("""COMPUTED_VALUE"""),"#N/A")</f>
        <v>#N/A</v>
      </c>
      <c r="Q5144" s="1"/>
      <c r="R5144" s="1"/>
      <c r="S5144" s="1"/>
      <c r="T5144" s="1"/>
      <c r="U5144" s="2">
        <f>IFERROR(__xludf.DUMMYFUNCTION("""COMPUTED_VALUE"""),0.0)</f>
        <v>0</v>
      </c>
      <c r="V5144" s="1" t="str">
        <f>IFERROR(__xludf.DUMMYFUNCTION("""COMPUTED_VALUE"""),"#N/A")</f>
        <v>#N/A</v>
      </c>
      <c r="W5144" s="1" t="str">
        <f>IFERROR(__xludf.DUMMYFUNCTION("""COMPUTED_VALUE"""),"#N/A")</f>
        <v>#N/A</v>
      </c>
    </row>
    <row r="5145">
      <c r="O5145" s="1" t="str">
        <f>IFERROR(__xludf.DUMMYFUNCTION("""COMPUTED_VALUE"""),"#VALUE!")</f>
        <v>#VALUE!</v>
      </c>
      <c r="P5145" s="1" t="str">
        <f>IFERROR(__xludf.DUMMYFUNCTION("""COMPUTED_VALUE"""),"#N/A")</f>
        <v>#N/A</v>
      </c>
      <c r="Q5145" s="1"/>
      <c r="R5145" s="1"/>
      <c r="S5145" s="1"/>
      <c r="T5145" s="1"/>
      <c r="U5145" s="2">
        <f>IFERROR(__xludf.DUMMYFUNCTION("""COMPUTED_VALUE"""),0.0)</f>
        <v>0</v>
      </c>
      <c r="V5145" s="1" t="str">
        <f>IFERROR(__xludf.DUMMYFUNCTION("""COMPUTED_VALUE"""),"#N/A")</f>
        <v>#N/A</v>
      </c>
      <c r="W5145" s="1" t="str">
        <f>IFERROR(__xludf.DUMMYFUNCTION("""COMPUTED_VALUE"""),"#N/A")</f>
        <v>#N/A</v>
      </c>
    </row>
    <row r="5146">
      <c r="O5146" s="1" t="str">
        <f>IFERROR(__xludf.DUMMYFUNCTION("""COMPUTED_VALUE"""),"#VALUE!")</f>
        <v>#VALUE!</v>
      </c>
      <c r="P5146" s="1" t="str">
        <f>IFERROR(__xludf.DUMMYFUNCTION("""COMPUTED_VALUE"""),"#N/A")</f>
        <v>#N/A</v>
      </c>
      <c r="Q5146" s="1"/>
      <c r="R5146" s="1"/>
      <c r="S5146" s="1"/>
      <c r="T5146" s="1"/>
      <c r="U5146" s="2">
        <f>IFERROR(__xludf.DUMMYFUNCTION("""COMPUTED_VALUE"""),0.0)</f>
        <v>0</v>
      </c>
      <c r="V5146" s="1" t="str">
        <f>IFERROR(__xludf.DUMMYFUNCTION("""COMPUTED_VALUE"""),"#N/A")</f>
        <v>#N/A</v>
      </c>
      <c r="W5146" s="1" t="str">
        <f>IFERROR(__xludf.DUMMYFUNCTION("""COMPUTED_VALUE"""),"#N/A")</f>
        <v>#N/A</v>
      </c>
    </row>
    <row r="5147">
      <c r="O5147" s="1" t="str">
        <f>IFERROR(__xludf.DUMMYFUNCTION("""COMPUTED_VALUE"""),"#VALUE!")</f>
        <v>#VALUE!</v>
      </c>
      <c r="P5147" s="1" t="str">
        <f>IFERROR(__xludf.DUMMYFUNCTION("""COMPUTED_VALUE"""),"#N/A")</f>
        <v>#N/A</v>
      </c>
      <c r="Q5147" s="1"/>
      <c r="R5147" s="1"/>
      <c r="S5147" s="1"/>
      <c r="T5147" s="1"/>
      <c r="U5147" s="2">
        <f>IFERROR(__xludf.DUMMYFUNCTION("""COMPUTED_VALUE"""),0.0)</f>
        <v>0</v>
      </c>
      <c r="V5147" s="1" t="str">
        <f>IFERROR(__xludf.DUMMYFUNCTION("""COMPUTED_VALUE"""),"#N/A")</f>
        <v>#N/A</v>
      </c>
      <c r="W5147" s="1" t="str">
        <f>IFERROR(__xludf.DUMMYFUNCTION("""COMPUTED_VALUE"""),"#N/A")</f>
        <v>#N/A</v>
      </c>
    </row>
    <row r="5148">
      <c r="O5148" s="1" t="str">
        <f>IFERROR(__xludf.DUMMYFUNCTION("""COMPUTED_VALUE"""),"#VALUE!")</f>
        <v>#VALUE!</v>
      </c>
      <c r="P5148" s="1" t="str">
        <f>IFERROR(__xludf.DUMMYFUNCTION("""COMPUTED_VALUE"""),"#N/A")</f>
        <v>#N/A</v>
      </c>
      <c r="Q5148" s="1"/>
      <c r="R5148" s="1"/>
      <c r="S5148" s="1"/>
      <c r="T5148" s="1"/>
      <c r="U5148" s="2">
        <f>IFERROR(__xludf.DUMMYFUNCTION("""COMPUTED_VALUE"""),0.0)</f>
        <v>0</v>
      </c>
      <c r="V5148" s="1" t="str">
        <f>IFERROR(__xludf.DUMMYFUNCTION("""COMPUTED_VALUE"""),"#N/A")</f>
        <v>#N/A</v>
      </c>
      <c r="W5148" s="1" t="str">
        <f>IFERROR(__xludf.DUMMYFUNCTION("""COMPUTED_VALUE"""),"#N/A")</f>
        <v>#N/A</v>
      </c>
    </row>
    <row r="5149">
      <c r="O5149" s="1" t="str">
        <f>IFERROR(__xludf.DUMMYFUNCTION("""COMPUTED_VALUE"""),"#VALUE!")</f>
        <v>#VALUE!</v>
      </c>
      <c r="P5149" s="1" t="str">
        <f>IFERROR(__xludf.DUMMYFUNCTION("""COMPUTED_VALUE"""),"#N/A")</f>
        <v>#N/A</v>
      </c>
      <c r="Q5149" s="1"/>
      <c r="R5149" s="1"/>
      <c r="S5149" s="1"/>
      <c r="T5149" s="1"/>
      <c r="U5149" s="2">
        <f>IFERROR(__xludf.DUMMYFUNCTION("""COMPUTED_VALUE"""),0.0)</f>
        <v>0</v>
      </c>
      <c r="V5149" s="1" t="str">
        <f>IFERROR(__xludf.DUMMYFUNCTION("""COMPUTED_VALUE"""),"#N/A")</f>
        <v>#N/A</v>
      </c>
      <c r="W5149" s="1" t="str">
        <f>IFERROR(__xludf.DUMMYFUNCTION("""COMPUTED_VALUE"""),"#N/A")</f>
        <v>#N/A</v>
      </c>
    </row>
    <row r="5150">
      <c r="O5150" s="1" t="str">
        <f>IFERROR(__xludf.DUMMYFUNCTION("""COMPUTED_VALUE"""),"#VALUE!")</f>
        <v>#VALUE!</v>
      </c>
      <c r="P5150" s="1" t="str">
        <f>IFERROR(__xludf.DUMMYFUNCTION("""COMPUTED_VALUE"""),"#N/A")</f>
        <v>#N/A</v>
      </c>
      <c r="Q5150" s="1"/>
      <c r="R5150" s="1"/>
      <c r="S5150" s="1"/>
      <c r="T5150" s="1"/>
      <c r="U5150" s="2">
        <f>IFERROR(__xludf.DUMMYFUNCTION("""COMPUTED_VALUE"""),0.0)</f>
        <v>0</v>
      </c>
      <c r="V5150" s="1" t="str">
        <f>IFERROR(__xludf.DUMMYFUNCTION("""COMPUTED_VALUE"""),"#N/A")</f>
        <v>#N/A</v>
      </c>
      <c r="W5150" s="1" t="str">
        <f>IFERROR(__xludf.DUMMYFUNCTION("""COMPUTED_VALUE"""),"#N/A")</f>
        <v>#N/A</v>
      </c>
    </row>
    <row r="5151">
      <c r="O5151" s="1" t="str">
        <f>IFERROR(__xludf.DUMMYFUNCTION("""COMPUTED_VALUE"""),"#VALUE!")</f>
        <v>#VALUE!</v>
      </c>
      <c r="P5151" s="1" t="str">
        <f>IFERROR(__xludf.DUMMYFUNCTION("""COMPUTED_VALUE"""),"#N/A")</f>
        <v>#N/A</v>
      </c>
      <c r="Q5151" s="1"/>
      <c r="R5151" s="1"/>
      <c r="S5151" s="1"/>
      <c r="T5151" s="1"/>
      <c r="U5151" s="2">
        <f>IFERROR(__xludf.DUMMYFUNCTION("""COMPUTED_VALUE"""),0.0)</f>
        <v>0</v>
      </c>
      <c r="V5151" s="1" t="str">
        <f>IFERROR(__xludf.DUMMYFUNCTION("""COMPUTED_VALUE"""),"#N/A")</f>
        <v>#N/A</v>
      </c>
      <c r="W5151" s="1" t="str">
        <f>IFERROR(__xludf.DUMMYFUNCTION("""COMPUTED_VALUE"""),"#N/A")</f>
        <v>#N/A</v>
      </c>
    </row>
    <row r="5152">
      <c r="O5152" s="1" t="str">
        <f>IFERROR(__xludf.DUMMYFUNCTION("""COMPUTED_VALUE"""),"#VALUE!")</f>
        <v>#VALUE!</v>
      </c>
      <c r="P5152" s="1" t="str">
        <f>IFERROR(__xludf.DUMMYFUNCTION("""COMPUTED_VALUE"""),"#N/A")</f>
        <v>#N/A</v>
      </c>
      <c r="Q5152" s="1"/>
      <c r="R5152" s="1"/>
      <c r="S5152" s="1"/>
      <c r="T5152" s="1"/>
      <c r="U5152" s="2">
        <f>IFERROR(__xludf.DUMMYFUNCTION("""COMPUTED_VALUE"""),0.0)</f>
        <v>0</v>
      </c>
      <c r="V5152" s="1" t="str">
        <f>IFERROR(__xludf.DUMMYFUNCTION("""COMPUTED_VALUE"""),"#N/A")</f>
        <v>#N/A</v>
      </c>
      <c r="W5152" s="1" t="str">
        <f>IFERROR(__xludf.DUMMYFUNCTION("""COMPUTED_VALUE"""),"#N/A")</f>
        <v>#N/A</v>
      </c>
    </row>
    <row r="5153">
      <c r="O5153" s="1" t="str">
        <f>IFERROR(__xludf.DUMMYFUNCTION("""COMPUTED_VALUE"""),"#VALUE!")</f>
        <v>#VALUE!</v>
      </c>
      <c r="P5153" s="1" t="str">
        <f>IFERROR(__xludf.DUMMYFUNCTION("""COMPUTED_VALUE"""),"#N/A")</f>
        <v>#N/A</v>
      </c>
      <c r="Q5153" s="1"/>
      <c r="R5153" s="1"/>
      <c r="S5153" s="1"/>
      <c r="T5153" s="1"/>
      <c r="U5153" s="2">
        <f>IFERROR(__xludf.DUMMYFUNCTION("""COMPUTED_VALUE"""),0.0)</f>
        <v>0</v>
      </c>
      <c r="V5153" s="1" t="str">
        <f>IFERROR(__xludf.DUMMYFUNCTION("""COMPUTED_VALUE"""),"#N/A")</f>
        <v>#N/A</v>
      </c>
      <c r="W5153" s="1" t="str">
        <f>IFERROR(__xludf.DUMMYFUNCTION("""COMPUTED_VALUE"""),"#N/A")</f>
        <v>#N/A</v>
      </c>
    </row>
    <row r="5154">
      <c r="O5154" s="1" t="str">
        <f>IFERROR(__xludf.DUMMYFUNCTION("""COMPUTED_VALUE"""),"#VALUE!")</f>
        <v>#VALUE!</v>
      </c>
      <c r="P5154" s="1" t="str">
        <f>IFERROR(__xludf.DUMMYFUNCTION("""COMPUTED_VALUE"""),"#N/A")</f>
        <v>#N/A</v>
      </c>
      <c r="Q5154" s="1"/>
      <c r="R5154" s="1"/>
      <c r="S5154" s="1"/>
      <c r="T5154" s="1"/>
      <c r="U5154" s="2">
        <f>IFERROR(__xludf.DUMMYFUNCTION("""COMPUTED_VALUE"""),0.0)</f>
        <v>0</v>
      </c>
      <c r="V5154" s="1" t="str">
        <f>IFERROR(__xludf.DUMMYFUNCTION("""COMPUTED_VALUE"""),"#N/A")</f>
        <v>#N/A</v>
      </c>
      <c r="W5154" s="1" t="str">
        <f>IFERROR(__xludf.DUMMYFUNCTION("""COMPUTED_VALUE"""),"#N/A")</f>
        <v>#N/A</v>
      </c>
    </row>
    <row r="5155">
      <c r="O5155" s="1" t="str">
        <f>IFERROR(__xludf.DUMMYFUNCTION("""COMPUTED_VALUE"""),"#VALUE!")</f>
        <v>#VALUE!</v>
      </c>
      <c r="P5155" s="1" t="str">
        <f>IFERROR(__xludf.DUMMYFUNCTION("""COMPUTED_VALUE"""),"#N/A")</f>
        <v>#N/A</v>
      </c>
      <c r="Q5155" s="1"/>
      <c r="R5155" s="1"/>
      <c r="S5155" s="1"/>
      <c r="T5155" s="1"/>
      <c r="U5155" s="2">
        <f>IFERROR(__xludf.DUMMYFUNCTION("""COMPUTED_VALUE"""),0.0)</f>
        <v>0</v>
      </c>
      <c r="V5155" s="1" t="str">
        <f>IFERROR(__xludf.DUMMYFUNCTION("""COMPUTED_VALUE"""),"#N/A")</f>
        <v>#N/A</v>
      </c>
      <c r="W5155" s="1" t="str">
        <f>IFERROR(__xludf.DUMMYFUNCTION("""COMPUTED_VALUE"""),"#N/A")</f>
        <v>#N/A</v>
      </c>
    </row>
    <row r="5156">
      <c r="O5156" s="1" t="str">
        <f>IFERROR(__xludf.DUMMYFUNCTION("""COMPUTED_VALUE"""),"#VALUE!")</f>
        <v>#VALUE!</v>
      </c>
      <c r="P5156" s="1" t="str">
        <f>IFERROR(__xludf.DUMMYFUNCTION("""COMPUTED_VALUE"""),"#N/A")</f>
        <v>#N/A</v>
      </c>
      <c r="Q5156" s="1"/>
      <c r="R5156" s="1"/>
      <c r="S5156" s="1"/>
      <c r="T5156" s="1"/>
      <c r="U5156" s="2">
        <f>IFERROR(__xludf.DUMMYFUNCTION("""COMPUTED_VALUE"""),0.0)</f>
        <v>0</v>
      </c>
      <c r="V5156" s="1" t="str">
        <f>IFERROR(__xludf.DUMMYFUNCTION("""COMPUTED_VALUE"""),"#N/A")</f>
        <v>#N/A</v>
      </c>
      <c r="W5156" s="1" t="str">
        <f>IFERROR(__xludf.DUMMYFUNCTION("""COMPUTED_VALUE"""),"#N/A")</f>
        <v>#N/A</v>
      </c>
    </row>
    <row r="5157">
      <c r="O5157" s="1" t="str">
        <f>IFERROR(__xludf.DUMMYFUNCTION("""COMPUTED_VALUE"""),"#VALUE!")</f>
        <v>#VALUE!</v>
      </c>
      <c r="P5157" s="1" t="str">
        <f>IFERROR(__xludf.DUMMYFUNCTION("""COMPUTED_VALUE"""),"#N/A")</f>
        <v>#N/A</v>
      </c>
      <c r="Q5157" s="1"/>
      <c r="R5157" s="1"/>
      <c r="S5157" s="1"/>
      <c r="T5157" s="1"/>
      <c r="U5157" s="2">
        <f>IFERROR(__xludf.DUMMYFUNCTION("""COMPUTED_VALUE"""),0.0)</f>
        <v>0</v>
      </c>
      <c r="V5157" s="1" t="str">
        <f>IFERROR(__xludf.DUMMYFUNCTION("""COMPUTED_VALUE"""),"#N/A")</f>
        <v>#N/A</v>
      </c>
      <c r="W5157" s="1" t="str">
        <f>IFERROR(__xludf.DUMMYFUNCTION("""COMPUTED_VALUE"""),"#N/A")</f>
        <v>#N/A</v>
      </c>
    </row>
    <row r="5158">
      <c r="O5158" s="1" t="str">
        <f>IFERROR(__xludf.DUMMYFUNCTION("""COMPUTED_VALUE"""),"#VALUE!")</f>
        <v>#VALUE!</v>
      </c>
      <c r="P5158" s="1" t="str">
        <f>IFERROR(__xludf.DUMMYFUNCTION("""COMPUTED_VALUE"""),"#N/A")</f>
        <v>#N/A</v>
      </c>
      <c r="Q5158" s="1"/>
      <c r="R5158" s="1"/>
      <c r="S5158" s="1"/>
      <c r="T5158" s="1"/>
      <c r="U5158" s="2">
        <f>IFERROR(__xludf.DUMMYFUNCTION("""COMPUTED_VALUE"""),0.0)</f>
        <v>0</v>
      </c>
      <c r="V5158" s="1" t="str">
        <f>IFERROR(__xludf.DUMMYFUNCTION("""COMPUTED_VALUE"""),"#N/A")</f>
        <v>#N/A</v>
      </c>
      <c r="W5158" s="1" t="str">
        <f>IFERROR(__xludf.DUMMYFUNCTION("""COMPUTED_VALUE"""),"#N/A")</f>
        <v>#N/A</v>
      </c>
    </row>
    <row r="5159">
      <c r="O5159" s="1" t="str">
        <f>IFERROR(__xludf.DUMMYFUNCTION("""COMPUTED_VALUE"""),"#VALUE!")</f>
        <v>#VALUE!</v>
      </c>
      <c r="P5159" s="1" t="str">
        <f>IFERROR(__xludf.DUMMYFUNCTION("""COMPUTED_VALUE"""),"#N/A")</f>
        <v>#N/A</v>
      </c>
      <c r="Q5159" s="1"/>
      <c r="R5159" s="1"/>
      <c r="S5159" s="1"/>
      <c r="T5159" s="1"/>
      <c r="U5159" s="2">
        <f>IFERROR(__xludf.DUMMYFUNCTION("""COMPUTED_VALUE"""),0.0)</f>
        <v>0</v>
      </c>
      <c r="V5159" s="1" t="str">
        <f>IFERROR(__xludf.DUMMYFUNCTION("""COMPUTED_VALUE"""),"#N/A")</f>
        <v>#N/A</v>
      </c>
      <c r="W5159" s="1" t="str">
        <f>IFERROR(__xludf.DUMMYFUNCTION("""COMPUTED_VALUE"""),"#N/A")</f>
        <v>#N/A</v>
      </c>
    </row>
    <row r="5160">
      <c r="O5160" s="1" t="str">
        <f>IFERROR(__xludf.DUMMYFUNCTION("""COMPUTED_VALUE"""),"#VALUE!")</f>
        <v>#VALUE!</v>
      </c>
      <c r="P5160" s="1" t="str">
        <f>IFERROR(__xludf.DUMMYFUNCTION("""COMPUTED_VALUE"""),"#N/A")</f>
        <v>#N/A</v>
      </c>
      <c r="Q5160" s="1"/>
      <c r="R5160" s="1"/>
      <c r="S5160" s="1"/>
      <c r="T5160" s="1"/>
      <c r="U5160" s="2">
        <f>IFERROR(__xludf.DUMMYFUNCTION("""COMPUTED_VALUE"""),0.0)</f>
        <v>0</v>
      </c>
      <c r="V5160" s="1" t="str">
        <f>IFERROR(__xludf.DUMMYFUNCTION("""COMPUTED_VALUE"""),"#N/A")</f>
        <v>#N/A</v>
      </c>
      <c r="W5160" s="1" t="str">
        <f>IFERROR(__xludf.DUMMYFUNCTION("""COMPUTED_VALUE"""),"#N/A")</f>
        <v>#N/A</v>
      </c>
    </row>
    <row r="5161">
      <c r="O5161" s="1" t="str">
        <f>IFERROR(__xludf.DUMMYFUNCTION("""COMPUTED_VALUE"""),"#VALUE!")</f>
        <v>#VALUE!</v>
      </c>
      <c r="P5161" s="1" t="str">
        <f>IFERROR(__xludf.DUMMYFUNCTION("""COMPUTED_VALUE"""),"#N/A")</f>
        <v>#N/A</v>
      </c>
      <c r="Q5161" s="1"/>
      <c r="R5161" s="1"/>
      <c r="S5161" s="1"/>
      <c r="T5161" s="1"/>
      <c r="U5161" s="2">
        <f>IFERROR(__xludf.DUMMYFUNCTION("""COMPUTED_VALUE"""),0.0)</f>
        <v>0</v>
      </c>
      <c r="V5161" s="1" t="str">
        <f>IFERROR(__xludf.DUMMYFUNCTION("""COMPUTED_VALUE"""),"#N/A")</f>
        <v>#N/A</v>
      </c>
      <c r="W5161" s="1" t="str">
        <f>IFERROR(__xludf.DUMMYFUNCTION("""COMPUTED_VALUE"""),"#N/A")</f>
        <v>#N/A</v>
      </c>
    </row>
    <row r="5162">
      <c r="O5162" s="1" t="str">
        <f>IFERROR(__xludf.DUMMYFUNCTION("""COMPUTED_VALUE"""),"#VALUE!")</f>
        <v>#VALUE!</v>
      </c>
      <c r="P5162" s="1" t="str">
        <f>IFERROR(__xludf.DUMMYFUNCTION("""COMPUTED_VALUE"""),"#N/A")</f>
        <v>#N/A</v>
      </c>
      <c r="Q5162" s="1"/>
      <c r="R5162" s="1"/>
      <c r="S5162" s="1"/>
      <c r="T5162" s="1"/>
      <c r="U5162" s="2">
        <f>IFERROR(__xludf.DUMMYFUNCTION("""COMPUTED_VALUE"""),0.0)</f>
        <v>0</v>
      </c>
      <c r="V5162" s="1" t="str">
        <f>IFERROR(__xludf.DUMMYFUNCTION("""COMPUTED_VALUE"""),"#N/A")</f>
        <v>#N/A</v>
      </c>
      <c r="W5162" s="1" t="str">
        <f>IFERROR(__xludf.DUMMYFUNCTION("""COMPUTED_VALUE"""),"#N/A")</f>
        <v>#N/A</v>
      </c>
    </row>
    <row r="5163">
      <c r="O5163" s="1" t="str">
        <f>IFERROR(__xludf.DUMMYFUNCTION("""COMPUTED_VALUE"""),"#VALUE!")</f>
        <v>#VALUE!</v>
      </c>
      <c r="P5163" s="1" t="str">
        <f>IFERROR(__xludf.DUMMYFUNCTION("""COMPUTED_VALUE"""),"#N/A")</f>
        <v>#N/A</v>
      </c>
      <c r="Q5163" s="1"/>
      <c r="R5163" s="1"/>
      <c r="S5163" s="1"/>
      <c r="T5163" s="1"/>
      <c r="U5163" s="2">
        <f>IFERROR(__xludf.DUMMYFUNCTION("""COMPUTED_VALUE"""),0.0)</f>
        <v>0</v>
      </c>
      <c r="V5163" s="1" t="str">
        <f>IFERROR(__xludf.DUMMYFUNCTION("""COMPUTED_VALUE"""),"#N/A")</f>
        <v>#N/A</v>
      </c>
      <c r="W5163" s="1" t="str">
        <f>IFERROR(__xludf.DUMMYFUNCTION("""COMPUTED_VALUE"""),"#N/A")</f>
        <v>#N/A</v>
      </c>
    </row>
    <row r="5164">
      <c r="O5164" s="1" t="str">
        <f>IFERROR(__xludf.DUMMYFUNCTION("""COMPUTED_VALUE"""),"#VALUE!")</f>
        <v>#VALUE!</v>
      </c>
      <c r="P5164" s="1" t="str">
        <f>IFERROR(__xludf.DUMMYFUNCTION("""COMPUTED_VALUE"""),"#N/A")</f>
        <v>#N/A</v>
      </c>
      <c r="Q5164" s="1"/>
      <c r="R5164" s="1"/>
      <c r="S5164" s="1"/>
      <c r="T5164" s="1"/>
      <c r="U5164" s="2">
        <f>IFERROR(__xludf.DUMMYFUNCTION("""COMPUTED_VALUE"""),0.0)</f>
        <v>0</v>
      </c>
      <c r="V5164" s="1" t="str">
        <f>IFERROR(__xludf.DUMMYFUNCTION("""COMPUTED_VALUE"""),"#N/A")</f>
        <v>#N/A</v>
      </c>
      <c r="W5164" s="1" t="str">
        <f>IFERROR(__xludf.DUMMYFUNCTION("""COMPUTED_VALUE"""),"#N/A")</f>
        <v>#N/A</v>
      </c>
    </row>
    <row r="5165">
      <c r="O5165" s="1" t="str">
        <f>IFERROR(__xludf.DUMMYFUNCTION("""COMPUTED_VALUE"""),"#VALUE!")</f>
        <v>#VALUE!</v>
      </c>
      <c r="P5165" s="1" t="str">
        <f>IFERROR(__xludf.DUMMYFUNCTION("""COMPUTED_VALUE"""),"#N/A")</f>
        <v>#N/A</v>
      </c>
      <c r="Q5165" s="1"/>
      <c r="R5165" s="1"/>
      <c r="S5165" s="1"/>
      <c r="T5165" s="1"/>
      <c r="U5165" s="2">
        <f>IFERROR(__xludf.DUMMYFUNCTION("""COMPUTED_VALUE"""),0.0)</f>
        <v>0</v>
      </c>
      <c r="V5165" s="1" t="str">
        <f>IFERROR(__xludf.DUMMYFUNCTION("""COMPUTED_VALUE"""),"#N/A")</f>
        <v>#N/A</v>
      </c>
      <c r="W5165" s="1" t="str">
        <f>IFERROR(__xludf.DUMMYFUNCTION("""COMPUTED_VALUE"""),"#N/A")</f>
        <v>#N/A</v>
      </c>
    </row>
    <row r="5166">
      <c r="O5166" s="1" t="str">
        <f>IFERROR(__xludf.DUMMYFUNCTION("""COMPUTED_VALUE"""),"#VALUE!")</f>
        <v>#VALUE!</v>
      </c>
      <c r="P5166" s="1" t="str">
        <f>IFERROR(__xludf.DUMMYFUNCTION("""COMPUTED_VALUE"""),"#N/A")</f>
        <v>#N/A</v>
      </c>
      <c r="Q5166" s="1"/>
      <c r="R5166" s="1"/>
      <c r="S5166" s="1"/>
      <c r="T5166" s="1"/>
      <c r="U5166" s="2">
        <f>IFERROR(__xludf.DUMMYFUNCTION("""COMPUTED_VALUE"""),0.0)</f>
        <v>0</v>
      </c>
      <c r="V5166" s="1" t="str">
        <f>IFERROR(__xludf.DUMMYFUNCTION("""COMPUTED_VALUE"""),"#N/A")</f>
        <v>#N/A</v>
      </c>
      <c r="W5166" s="1" t="str">
        <f>IFERROR(__xludf.DUMMYFUNCTION("""COMPUTED_VALUE"""),"#N/A")</f>
        <v>#N/A</v>
      </c>
    </row>
    <row r="5167">
      <c r="O5167" s="1" t="str">
        <f>IFERROR(__xludf.DUMMYFUNCTION("""COMPUTED_VALUE"""),"#VALUE!")</f>
        <v>#VALUE!</v>
      </c>
      <c r="P5167" s="1" t="str">
        <f>IFERROR(__xludf.DUMMYFUNCTION("""COMPUTED_VALUE"""),"#N/A")</f>
        <v>#N/A</v>
      </c>
      <c r="Q5167" s="1"/>
      <c r="R5167" s="1"/>
      <c r="S5167" s="1"/>
      <c r="T5167" s="1"/>
      <c r="U5167" s="2">
        <f>IFERROR(__xludf.DUMMYFUNCTION("""COMPUTED_VALUE"""),0.0)</f>
        <v>0</v>
      </c>
      <c r="V5167" s="1" t="str">
        <f>IFERROR(__xludf.DUMMYFUNCTION("""COMPUTED_VALUE"""),"#N/A")</f>
        <v>#N/A</v>
      </c>
      <c r="W5167" s="1" t="str">
        <f>IFERROR(__xludf.DUMMYFUNCTION("""COMPUTED_VALUE"""),"#N/A")</f>
        <v>#N/A</v>
      </c>
    </row>
    <row r="5168">
      <c r="O5168" s="1" t="str">
        <f>IFERROR(__xludf.DUMMYFUNCTION("""COMPUTED_VALUE"""),"#VALUE!")</f>
        <v>#VALUE!</v>
      </c>
      <c r="P5168" s="1" t="str">
        <f>IFERROR(__xludf.DUMMYFUNCTION("""COMPUTED_VALUE"""),"#N/A")</f>
        <v>#N/A</v>
      </c>
      <c r="Q5168" s="1"/>
      <c r="R5168" s="1"/>
      <c r="S5168" s="1"/>
      <c r="T5168" s="1"/>
      <c r="U5168" s="2">
        <f>IFERROR(__xludf.DUMMYFUNCTION("""COMPUTED_VALUE"""),0.0)</f>
        <v>0</v>
      </c>
      <c r="V5168" s="1" t="str">
        <f>IFERROR(__xludf.DUMMYFUNCTION("""COMPUTED_VALUE"""),"#N/A")</f>
        <v>#N/A</v>
      </c>
      <c r="W5168" s="1" t="str">
        <f>IFERROR(__xludf.DUMMYFUNCTION("""COMPUTED_VALUE"""),"#N/A")</f>
        <v>#N/A</v>
      </c>
    </row>
    <row r="5169">
      <c r="O5169" s="1" t="str">
        <f>IFERROR(__xludf.DUMMYFUNCTION("""COMPUTED_VALUE"""),"#VALUE!")</f>
        <v>#VALUE!</v>
      </c>
      <c r="P5169" s="1" t="str">
        <f>IFERROR(__xludf.DUMMYFUNCTION("""COMPUTED_VALUE"""),"#N/A")</f>
        <v>#N/A</v>
      </c>
      <c r="Q5169" s="1"/>
      <c r="R5169" s="1"/>
      <c r="S5169" s="1"/>
      <c r="T5169" s="1"/>
      <c r="U5169" s="2">
        <f>IFERROR(__xludf.DUMMYFUNCTION("""COMPUTED_VALUE"""),0.0)</f>
        <v>0</v>
      </c>
      <c r="V5169" s="1" t="str">
        <f>IFERROR(__xludf.DUMMYFUNCTION("""COMPUTED_VALUE"""),"#N/A")</f>
        <v>#N/A</v>
      </c>
      <c r="W5169" s="1" t="str">
        <f>IFERROR(__xludf.DUMMYFUNCTION("""COMPUTED_VALUE"""),"#N/A")</f>
        <v>#N/A</v>
      </c>
    </row>
    <row r="5170">
      <c r="O5170" s="1" t="str">
        <f>IFERROR(__xludf.DUMMYFUNCTION("""COMPUTED_VALUE"""),"#VALUE!")</f>
        <v>#VALUE!</v>
      </c>
      <c r="P5170" s="1" t="str">
        <f>IFERROR(__xludf.DUMMYFUNCTION("""COMPUTED_VALUE"""),"#N/A")</f>
        <v>#N/A</v>
      </c>
      <c r="Q5170" s="1"/>
      <c r="R5170" s="1"/>
      <c r="S5170" s="1"/>
      <c r="T5170" s="1"/>
      <c r="U5170" s="2">
        <f>IFERROR(__xludf.DUMMYFUNCTION("""COMPUTED_VALUE"""),0.0)</f>
        <v>0</v>
      </c>
      <c r="V5170" s="1" t="str">
        <f>IFERROR(__xludf.DUMMYFUNCTION("""COMPUTED_VALUE"""),"#N/A")</f>
        <v>#N/A</v>
      </c>
      <c r="W5170" s="1" t="str">
        <f>IFERROR(__xludf.DUMMYFUNCTION("""COMPUTED_VALUE"""),"#N/A")</f>
        <v>#N/A</v>
      </c>
    </row>
    <row r="5171">
      <c r="O5171" s="1" t="str">
        <f>IFERROR(__xludf.DUMMYFUNCTION("""COMPUTED_VALUE"""),"#VALUE!")</f>
        <v>#VALUE!</v>
      </c>
      <c r="P5171" s="1" t="str">
        <f>IFERROR(__xludf.DUMMYFUNCTION("""COMPUTED_VALUE"""),"#N/A")</f>
        <v>#N/A</v>
      </c>
      <c r="Q5171" s="1"/>
      <c r="R5171" s="1"/>
      <c r="S5171" s="1"/>
      <c r="T5171" s="1"/>
      <c r="U5171" s="2">
        <f>IFERROR(__xludf.DUMMYFUNCTION("""COMPUTED_VALUE"""),0.0)</f>
        <v>0</v>
      </c>
      <c r="V5171" s="1" t="str">
        <f>IFERROR(__xludf.DUMMYFUNCTION("""COMPUTED_VALUE"""),"#N/A")</f>
        <v>#N/A</v>
      </c>
      <c r="W5171" s="1" t="str">
        <f>IFERROR(__xludf.DUMMYFUNCTION("""COMPUTED_VALUE"""),"#N/A")</f>
        <v>#N/A</v>
      </c>
    </row>
    <row r="5172">
      <c r="O5172" s="1" t="str">
        <f>IFERROR(__xludf.DUMMYFUNCTION("""COMPUTED_VALUE"""),"#VALUE!")</f>
        <v>#VALUE!</v>
      </c>
      <c r="P5172" s="1" t="str">
        <f>IFERROR(__xludf.DUMMYFUNCTION("""COMPUTED_VALUE"""),"#N/A")</f>
        <v>#N/A</v>
      </c>
      <c r="Q5172" s="1"/>
      <c r="R5172" s="1"/>
      <c r="S5172" s="1"/>
      <c r="T5172" s="1"/>
      <c r="U5172" s="2">
        <f>IFERROR(__xludf.DUMMYFUNCTION("""COMPUTED_VALUE"""),0.0)</f>
        <v>0</v>
      </c>
      <c r="V5172" s="1" t="str">
        <f>IFERROR(__xludf.DUMMYFUNCTION("""COMPUTED_VALUE"""),"#N/A")</f>
        <v>#N/A</v>
      </c>
      <c r="W5172" s="1" t="str">
        <f>IFERROR(__xludf.DUMMYFUNCTION("""COMPUTED_VALUE"""),"#N/A")</f>
        <v>#N/A</v>
      </c>
    </row>
    <row r="5173">
      <c r="O5173" s="1" t="str">
        <f>IFERROR(__xludf.DUMMYFUNCTION("""COMPUTED_VALUE"""),"#VALUE!")</f>
        <v>#VALUE!</v>
      </c>
      <c r="P5173" s="1" t="str">
        <f>IFERROR(__xludf.DUMMYFUNCTION("""COMPUTED_VALUE"""),"#N/A")</f>
        <v>#N/A</v>
      </c>
      <c r="Q5173" s="1"/>
      <c r="R5173" s="1"/>
      <c r="S5173" s="1"/>
      <c r="T5173" s="1"/>
      <c r="U5173" s="2">
        <f>IFERROR(__xludf.DUMMYFUNCTION("""COMPUTED_VALUE"""),0.0)</f>
        <v>0</v>
      </c>
      <c r="V5173" s="1" t="str">
        <f>IFERROR(__xludf.DUMMYFUNCTION("""COMPUTED_VALUE"""),"#N/A")</f>
        <v>#N/A</v>
      </c>
      <c r="W5173" s="1" t="str">
        <f>IFERROR(__xludf.DUMMYFUNCTION("""COMPUTED_VALUE"""),"#N/A")</f>
        <v>#N/A</v>
      </c>
    </row>
    <row r="5174">
      <c r="O5174" s="1" t="str">
        <f>IFERROR(__xludf.DUMMYFUNCTION("""COMPUTED_VALUE"""),"#VALUE!")</f>
        <v>#VALUE!</v>
      </c>
      <c r="P5174" s="1" t="str">
        <f>IFERROR(__xludf.DUMMYFUNCTION("""COMPUTED_VALUE"""),"#N/A")</f>
        <v>#N/A</v>
      </c>
      <c r="Q5174" s="1"/>
      <c r="R5174" s="1"/>
      <c r="S5174" s="1"/>
      <c r="T5174" s="1"/>
      <c r="U5174" s="2">
        <f>IFERROR(__xludf.DUMMYFUNCTION("""COMPUTED_VALUE"""),0.0)</f>
        <v>0</v>
      </c>
      <c r="V5174" s="1" t="str">
        <f>IFERROR(__xludf.DUMMYFUNCTION("""COMPUTED_VALUE"""),"#N/A")</f>
        <v>#N/A</v>
      </c>
      <c r="W5174" s="1" t="str">
        <f>IFERROR(__xludf.DUMMYFUNCTION("""COMPUTED_VALUE"""),"#N/A")</f>
        <v>#N/A</v>
      </c>
    </row>
    <row r="5175">
      <c r="O5175" s="1" t="str">
        <f>IFERROR(__xludf.DUMMYFUNCTION("""COMPUTED_VALUE"""),"#VALUE!")</f>
        <v>#VALUE!</v>
      </c>
      <c r="P5175" s="1" t="str">
        <f>IFERROR(__xludf.DUMMYFUNCTION("""COMPUTED_VALUE"""),"#N/A")</f>
        <v>#N/A</v>
      </c>
      <c r="Q5175" s="1"/>
      <c r="R5175" s="1"/>
      <c r="S5175" s="1"/>
      <c r="T5175" s="1"/>
      <c r="U5175" s="2">
        <f>IFERROR(__xludf.DUMMYFUNCTION("""COMPUTED_VALUE"""),0.0)</f>
        <v>0</v>
      </c>
      <c r="V5175" s="1" t="str">
        <f>IFERROR(__xludf.DUMMYFUNCTION("""COMPUTED_VALUE"""),"#N/A")</f>
        <v>#N/A</v>
      </c>
      <c r="W5175" s="1" t="str">
        <f>IFERROR(__xludf.DUMMYFUNCTION("""COMPUTED_VALUE"""),"#N/A")</f>
        <v>#N/A</v>
      </c>
    </row>
    <row r="5176">
      <c r="O5176" s="1" t="str">
        <f>IFERROR(__xludf.DUMMYFUNCTION("""COMPUTED_VALUE"""),"#VALUE!")</f>
        <v>#VALUE!</v>
      </c>
      <c r="P5176" s="1" t="str">
        <f>IFERROR(__xludf.DUMMYFUNCTION("""COMPUTED_VALUE"""),"#N/A")</f>
        <v>#N/A</v>
      </c>
      <c r="Q5176" s="1"/>
      <c r="R5176" s="1"/>
      <c r="S5176" s="1"/>
      <c r="T5176" s="1"/>
      <c r="U5176" s="2">
        <f>IFERROR(__xludf.DUMMYFUNCTION("""COMPUTED_VALUE"""),0.0)</f>
        <v>0</v>
      </c>
      <c r="V5176" s="1" t="str">
        <f>IFERROR(__xludf.DUMMYFUNCTION("""COMPUTED_VALUE"""),"#N/A")</f>
        <v>#N/A</v>
      </c>
      <c r="W5176" s="1" t="str">
        <f>IFERROR(__xludf.DUMMYFUNCTION("""COMPUTED_VALUE"""),"#N/A")</f>
        <v>#N/A</v>
      </c>
    </row>
    <row r="5177">
      <c r="O5177" s="1" t="str">
        <f>IFERROR(__xludf.DUMMYFUNCTION("""COMPUTED_VALUE"""),"#VALUE!")</f>
        <v>#VALUE!</v>
      </c>
      <c r="P5177" s="1" t="str">
        <f>IFERROR(__xludf.DUMMYFUNCTION("""COMPUTED_VALUE"""),"#N/A")</f>
        <v>#N/A</v>
      </c>
      <c r="Q5177" s="1"/>
      <c r="R5177" s="1"/>
      <c r="S5177" s="1"/>
      <c r="T5177" s="1"/>
      <c r="U5177" s="2">
        <f>IFERROR(__xludf.DUMMYFUNCTION("""COMPUTED_VALUE"""),0.0)</f>
        <v>0</v>
      </c>
      <c r="V5177" s="1" t="str">
        <f>IFERROR(__xludf.DUMMYFUNCTION("""COMPUTED_VALUE"""),"#N/A")</f>
        <v>#N/A</v>
      </c>
      <c r="W5177" s="1" t="str">
        <f>IFERROR(__xludf.DUMMYFUNCTION("""COMPUTED_VALUE"""),"#N/A")</f>
        <v>#N/A</v>
      </c>
    </row>
    <row r="5178">
      <c r="O5178" s="1" t="str">
        <f>IFERROR(__xludf.DUMMYFUNCTION("""COMPUTED_VALUE"""),"#VALUE!")</f>
        <v>#VALUE!</v>
      </c>
      <c r="P5178" s="1" t="str">
        <f>IFERROR(__xludf.DUMMYFUNCTION("""COMPUTED_VALUE"""),"#N/A")</f>
        <v>#N/A</v>
      </c>
      <c r="Q5178" s="1"/>
      <c r="R5178" s="1"/>
      <c r="S5178" s="1"/>
      <c r="T5178" s="1"/>
      <c r="U5178" s="2">
        <f>IFERROR(__xludf.DUMMYFUNCTION("""COMPUTED_VALUE"""),0.0)</f>
        <v>0</v>
      </c>
      <c r="V5178" s="1" t="str">
        <f>IFERROR(__xludf.DUMMYFUNCTION("""COMPUTED_VALUE"""),"#N/A")</f>
        <v>#N/A</v>
      </c>
      <c r="W5178" s="1" t="str">
        <f>IFERROR(__xludf.DUMMYFUNCTION("""COMPUTED_VALUE"""),"#N/A")</f>
        <v>#N/A</v>
      </c>
    </row>
    <row r="5179">
      <c r="O5179" s="1" t="str">
        <f>IFERROR(__xludf.DUMMYFUNCTION("""COMPUTED_VALUE"""),"#VALUE!")</f>
        <v>#VALUE!</v>
      </c>
      <c r="P5179" s="1" t="str">
        <f>IFERROR(__xludf.DUMMYFUNCTION("""COMPUTED_VALUE"""),"#N/A")</f>
        <v>#N/A</v>
      </c>
      <c r="Q5179" s="1"/>
      <c r="R5179" s="1"/>
      <c r="S5179" s="1"/>
      <c r="T5179" s="1"/>
      <c r="U5179" s="2">
        <f>IFERROR(__xludf.DUMMYFUNCTION("""COMPUTED_VALUE"""),0.0)</f>
        <v>0</v>
      </c>
      <c r="V5179" s="1" t="str">
        <f>IFERROR(__xludf.DUMMYFUNCTION("""COMPUTED_VALUE"""),"#N/A")</f>
        <v>#N/A</v>
      </c>
      <c r="W5179" s="1" t="str">
        <f>IFERROR(__xludf.DUMMYFUNCTION("""COMPUTED_VALUE"""),"#N/A")</f>
        <v>#N/A</v>
      </c>
    </row>
    <row r="5180">
      <c r="O5180" s="1" t="str">
        <f>IFERROR(__xludf.DUMMYFUNCTION("""COMPUTED_VALUE"""),"#VALUE!")</f>
        <v>#VALUE!</v>
      </c>
      <c r="P5180" s="1" t="str">
        <f>IFERROR(__xludf.DUMMYFUNCTION("""COMPUTED_VALUE"""),"#N/A")</f>
        <v>#N/A</v>
      </c>
      <c r="Q5180" s="1"/>
      <c r="R5180" s="1"/>
      <c r="S5180" s="1"/>
      <c r="T5180" s="1"/>
      <c r="U5180" s="2">
        <f>IFERROR(__xludf.DUMMYFUNCTION("""COMPUTED_VALUE"""),0.0)</f>
        <v>0</v>
      </c>
      <c r="V5180" s="1" t="str">
        <f>IFERROR(__xludf.DUMMYFUNCTION("""COMPUTED_VALUE"""),"#N/A")</f>
        <v>#N/A</v>
      </c>
      <c r="W5180" s="1" t="str">
        <f>IFERROR(__xludf.DUMMYFUNCTION("""COMPUTED_VALUE"""),"#N/A")</f>
        <v>#N/A</v>
      </c>
    </row>
    <row r="5181">
      <c r="O5181" s="1" t="str">
        <f>IFERROR(__xludf.DUMMYFUNCTION("""COMPUTED_VALUE"""),"#VALUE!")</f>
        <v>#VALUE!</v>
      </c>
      <c r="P5181" s="1" t="str">
        <f>IFERROR(__xludf.DUMMYFUNCTION("""COMPUTED_VALUE"""),"#N/A")</f>
        <v>#N/A</v>
      </c>
      <c r="Q5181" s="1"/>
      <c r="R5181" s="1"/>
      <c r="S5181" s="1"/>
      <c r="T5181" s="1"/>
      <c r="U5181" s="2">
        <f>IFERROR(__xludf.DUMMYFUNCTION("""COMPUTED_VALUE"""),0.0)</f>
        <v>0</v>
      </c>
      <c r="V5181" s="1" t="str">
        <f>IFERROR(__xludf.DUMMYFUNCTION("""COMPUTED_VALUE"""),"#N/A")</f>
        <v>#N/A</v>
      </c>
      <c r="W5181" s="1" t="str">
        <f>IFERROR(__xludf.DUMMYFUNCTION("""COMPUTED_VALUE"""),"#N/A")</f>
        <v>#N/A</v>
      </c>
    </row>
    <row r="5182">
      <c r="O5182" s="1" t="str">
        <f>IFERROR(__xludf.DUMMYFUNCTION("""COMPUTED_VALUE"""),"#VALUE!")</f>
        <v>#VALUE!</v>
      </c>
      <c r="P5182" s="1" t="str">
        <f>IFERROR(__xludf.DUMMYFUNCTION("""COMPUTED_VALUE"""),"#N/A")</f>
        <v>#N/A</v>
      </c>
      <c r="Q5182" s="1"/>
      <c r="R5182" s="1"/>
      <c r="S5182" s="1"/>
      <c r="T5182" s="1"/>
      <c r="U5182" s="2">
        <f>IFERROR(__xludf.DUMMYFUNCTION("""COMPUTED_VALUE"""),0.0)</f>
        <v>0</v>
      </c>
      <c r="V5182" s="1" t="str">
        <f>IFERROR(__xludf.DUMMYFUNCTION("""COMPUTED_VALUE"""),"#N/A")</f>
        <v>#N/A</v>
      </c>
      <c r="W5182" s="1" t="str">
        <f>IFERROR(__xludf.DUMMYFUNCTION("""COMPUTED_VALUE"""),"#N/A")</f>
        <v>#N/A</v>
      </c>
    </row>
    <row r="5183">
      <c r="O5183" s="1" t="str">
        <f>IFERROR(__xludf.DUMMYFUNCTION("""COMPUTED_VALUE"""),"#VALUE!")</f>
        <v>#VALUE!</v>
      </c>
      <c r="P5183" s="1" t="str">
        <f>IFERROR(__xludf.DUMMYFUNCTION("""COMPUTED_VALUE"""),"#N/A")</f>
        <v>#N/A</v>
      </c>
      <c r="Q5183" s="1"/>
      <c r="R5183" s="1"/>
      <c r="S5183" s="1"/>
      <c r="T5183" s="1"/>
      <c r="U5183" s="2">
        <f>IFERROR(__xludf.DUMMYFUNCTION("""COMPUTED_VALUE"""),0.0)</f>
        <v>0</v>
      </c>
      <c r="V5183" s="1" t="str">
        <f>IFERROR(__xludf.DUMMYFUNCTION("""COMPUTED_VALUE"""),"#N/A")</f>
        <v>#N/A</v>
      </c>
      <c r="W5183" s="1" t="str">
        <f>IFERROR(__xludf.DUMMYFUNCTION("""COMPUTED_VALUE"""),"#N/A")</f>
        <v>#N/A</v>
      </c>
    </row>
    <row r="5184">
      <c r="O5184" s="1" t="str">
        <f>IFERROR(__xludf.DUMMYFUNCTION("""COMPUTED_VALUE"""),"#VALUE!")</f>
        <v>#VALUE!</v>
      </c>
      <c r="P5184" s="1" t="str">
        <f>IFERROR(__xludf.DUMMYFUNCTION("""COMPUTED_VALUE"""),"#N/A")</f>
        <v>#N/A</v>
      </c>
      <c r="Q5184" s="1"/>
      <c r="R5184" s="1"/>
      <c r="S5184" s="1"/>
      <c r="T5184" s="1"/>
      <c r="U5184" s="2">
        <f>IFERROR(__xludf.DUMMYFUNCTION("""COMPUTED_VALUE"""),0.0)</f>
        <v>0</v>
      </c>
      <c r="V5184" s="1" t="str">
        <f>IFERROR(__xludf.DUMMYFUNCTION("""COMPUTED_VALUE"""),"#N/A")</f>
        <v>#N/A</v>
      </c>
      <c r="W5184" s="1" t="str">
        <f>IFERROR(__xludf.DUMMYFUNCTION("""COMPUTED_VALUE"""),"#N/A")</f>
        <v>#N/A</v>
      </c>
    </row>
    <row r="5185">
      <c r="O5185" s="1" t="str">
        <f>IFERROR(__xludf.DUMMYFUNCTION("""COMPUTED_VALUE"""),"#VALUE!")</f>
        <v>#VALUE!</v>
      </c>
      <c r="P5185" s="1" t="str">
        <f>IFERROR(__xludf.DUMMYFUNCTION("""COMPUTED_VALUE"""),"#N/A")</f>
        <v>#N/A</v>
      </c>
      <c r="Q5185" s="1"/>
      <c r="R5185" s="1"/>
      <c r="S5185" s="1"/>
      <c r="T5185" s="1"/>
      <c r="U5185" s="2">
        <f>IFERROR(__xludf.DUMMYFUNCTION("""COMPUTED_VALUE"""),0.0)</f>
        <v>0</v>
      </c>
      <c r="V5185" s="1" t="str">
        <f>IFERROR(__xludf.DUMMYFUNCTION("""COMPUTED_VALUE"""),"#N/A")</f>
        <v>#N/A</v>
      </c>
      <c r="W5185" s="1" t="str">
        <f>IFERROR(__xludf.DUMMYFUNCTION("""COMPUTED_VALUE"""),"#N/A")</f>
        <v>#N/A</v>
      </c>
    </row>
    <row r="5186">
      <c r="O5186" s="1" t="str">
        <f>IFERROR(__xludf.DUMMYFUNCTION("""COMPUTED_VALUE"""),"#VALUE!")</f>
        <v>#VALUE!</v>
      </c>
      <c r="P5186" s="1" t="str">
        <f>IFERROR(__xludf.DUMMYFUNCTION("""COMPUTED_VALUE"""),"#N/A")</f>
        <v>#N/A</v>
      </c>
      <c r="Q5186" s="1"/>
      <c r="R5186" s="1"/>
      <c r="S5186" s="1"/>
      <c r="T5186" s="1"/>
      <c r="U5186" s="2">
        <f>IFERROR(__xludf.DUMMYFUNCTION("""COMPUTED_VALUE"""),0.0)</f>
        <v>0</v>
      </c>
      <c r="V5186" s="1" t="str">
        <f>IFERROR(__xludf.DUMMYFUNCTION("""COMPUTED_VALUE"""),"#N/A")</f>
        <v>#N/A</v>
      </c>
      <c r="W5186" s="1" t="str">
        <f>IFERROR(__xludf.DUMMYFUNCTION("""COMPUTED_VALUE"""),"#N/A")</f>
        <v>#N/A</v>
      </c>
    </row>
    <row r="5187">
      <c r="O5187" s="1" t="str">
        <f>IFERROR(__xludf.DUMMYFUNCTION("""COMPUTED_VALUE"""),"#VALUE!")</f>
        <v>#VALUE!</v>
      </c>
      <c r="P5187" s="1" t="str">
        <f>IFERROR(__xludf.DUMMYFUNCTION("""COMPUTED_VALUE"""),"#N/A")</f>
        <v>#N/A</v>
      </c>
      <c r="Q5187" s="1"/>
      <c r="R5187" s="1"/>
      <c r="S5187" s="1"/>
      <c r="T5187" s="1"/>
      <c r="U5187" s="2">
        <f>IFERROR(__xludf.DUMMYFUNCTION("""COMPUTED_VALUE"""),0.0)</f>
        <v>0</v>
      </c>
      <c r="V5187" s="1" t="str">
        <f>IFERROR(__xludf.DUMMYFUNCTION("""COMPUTED_VALUE"""),"#N/A")</f>
        <v>#N/A</v>
      </c>
      <c r="W5187" s="1" t="str">
        <f>IFERROR(__xludf.DUMMYFUNCTION("""COMPUTED_VALUE"""),"#N/A")</f>
        <v>#N/A</v>
      </c>
    </row>
    <row r="5188">
      <c r="O5188" s="1" t="str">
        <f>IFERROR(__xludf.DUMMYFUNCTION("""COMPUTED_VALUE"""),"#VALUE!")</f>
        <v>#VALUE!</v>
      </c>
      <c r="P5188" s="1" t="str">
        <f>IFERROR(__xludf.DUMMYFUNCTION("""COMPUTED_VALUE"""),"#N/A")</f>
        <v>#N/A</v>
      </c>
      <c r="Q5188" s="1"/>
      <c r="R5188" s="1"/>
      <c r="S5188" s="1"/>
      <c r="T5188" s="1"/>
      <c r="U5188" s="2">
        <f>IFERROR(__xludf.DUMMYFUNCTION("""COMPUTED_VALUE"""),0.0)</f>
        <v>0</v>
      </c>
      <c r="V5188" s="1" t="str">
        <f>IFERROR(__xludf.DUMMYFUNCTION("""COMPUTED_VALUE"""),"#N/A")</f>
        <v>#N/A</v>
      </c>
      <c r="W5188" s="1" t="str">
        <f>IFERROR(__xludf.DUMMYFUNCTION("""COMPUTED_VALUE"""),"#N/A")</f>
        <v>#N/A</v>
      </c>
    </row>
    <row r="5189">
      <c r="O5189" s="1" t="str">
        <f>IFERROR(__xludf.DUMMYFUNCTION("""COMPUTED_VALUE"""),"#VALUE!")</f>
        <v>#VALUE!</v>
      </c>
      <c r="P5189" s="1" t="str">
        <f>IFERROR(__xludf.DUMMYFUNCTION("""COMPUTED_VALUE"""),"#N/A")</f>
        <v>#N/A</v>
      </c>
      <c r="Q5189" s="1"/>
      <c r="R5189" s="1"/>
      <c r="S5189" s="1"/>
      <c r="T5189" s="1"/>
      <c r="U5189" s="2">
        <f>IFERROR(__xludf.DUMMYFUNCTION("""COMPUTED_VALUE"""),0.0)</f>
        <v>0</v>
      </c>
      <c r="V5189" s="1" t="str">
        <f>IFERROR(__xludf.DUMMYFUNCTION("""COMPUTED_VALUE"""),"#N/A")</f>
        <v>#N/A</v>
      </c>
      <c r="W5189" s="1" t="str">
        <f>IFERROR(__xludf.DUMMYFUNCTION("""COMPUTED_VALUE"""),"#N/A")</f>
        <v>#N/A</v>
      </c>
    </row>
    <row r="5190">
      <c r="O5190" s="1" t="str">
        <f>IFERROR(__xludf.DUMMYFUNCTION("""COMPUTED_VALUE"""),"#VALUE!")</f>
        <v>#VALUE!</v>
      </c>
      <c r="P5190" s="1" t="str">
        <f>IFERROR(__xludf.DUMMYFUNCTION("""COMPUTED_VALUE"""),"#N/A")</f>
        <v>#N/A</v>
      </c>
      <c r="Q5190" s="1"/>
      <c r="R5190" s="1"/>
      <c r="S5190" s="1"/>
      <c r="T5190" s="1"/>
      <c r="U5190" s="2">
        <f>IFERROR(__xludf.DUMMYFUNCTION("""COMPUTED_VALUE"""),0.0)</f>
        <v>0</v>
      </c>
      <c r="V5190" s="1" t="str">
        <f>IFERROR(__xludf.DUMMYFUNCTION("""COMPUTED_VALUE"""),"#N/A")</f>
        <v>#N/A</v>
      </c>
      <c r="W5190" s="1" t="str">
        <f>IFERROR(__xludf.DUMMYFUNCTION("""COMPUTED_VALUE"""),"#N/A")</f>
        <v>#N/A</v>
      </c>
    </row>
    <row r="5191">
      <c r="O5191" s="1" t="str">
        <f>IFERROR(__xludf.DUMMYFUNCTION("""COMPUTED_VALUE"""),"#VALUE!")</f>
        <v>#VALUE!</v>
      </c>
      <c r="P5191" s="1" t="str">
        <f>IFERROR(__xludf.DUMMYFUNCTION("""COMPUTED_VALUE"""),"#N/A")</f>
        <v>#N/A</v>
      </c>
      <c r="Q5191" s="1"/>
      <c r="R5191" s="1"/>
      <c r="S5191" s="1"/>
      <c r="T5191" s="1"/>
      <c r="U5191" s="2">
        <f>IFERROR(__xludf.DUMMYFUNCTION("""COMPUTED_VALUE"""),0.0)</f>
        <v>0</v>
      </c>
      <c r="V5191" s="1" t="str">
        <f>IFERROR(__xludf.DUMMYFUNCTION("""COMPUTED_VALUE"""),"#N/A")</f>
        <v>#N/A</v>
      </c>
      <c r="W5191" s="1" t="str">
        <f>IFERROR(__xludf.DUMMYFUNCTION("""COMPUTED_VALUE"""),"#N/A")</f>
        <v>#N/A</v>
      </c>
    </row>
    <row r="5192">
      <c r="O5192" s="1" t="str">
        <f>IFERROR(__xludf.DUMMYFUNCTION("""COMPUTED_VALUE"""),"#VALUE!")</f>
        <v>#VALUE!</v>
      </c>
      <c r="P5192" s="1" t="str">
        <f>IFERROR(__xludf.DUMMYFUNCTION("""COMPUTED_VALUE"""),"#N/A")</f>
        <v>#N/A</v>
      </c>
      <c r="Q5192" s="1"/>
      <c r="R5192" s="1"/>
      <c r="S5192" s="1"/>
      <c r="T5192" s="1"/>
      <c r="U5192" s="2">
        <f>IFERROR(__xludf.DUMMYFUNCTION("""COMPUTED_VALUE"""),0.0)</f>
        <v>0</v>
      </c>
      <c r="V5192" s="1" t="str">
        <f>IFERROR(__xludf.DUMMYFUNCTION("""COMPUTED_VALUE"""),"#N/A")</f>
        <v>#N/A</v>
      </c>
      <c r="W5192" s="1" t="str">
        <f>IFERROR(__xludf.DUMMYFUNCTION("""COMPUTED_VALUE"""),"#N/A")</f>
        <v>#N/A</v>
      </c>
    </row>
    <row r="5193">
      <c r="O5193" s="1" t="str">
        <f>IFERROR(__xludf.DUMMYFUNCTION("""COMPUTED_VALUE"""),"#VALUE!")</f>
        <v>#VALUE!</v>
      </c>
      <c r="P5193" s="1" t="str">
        <f>IFERROR(__xludf.DUMMYFUNCTION("""COMPUTED_VALUE"""),"#N/A")</f>
        <v>#N/A</v>
      </c>
      <c r="Q5193" s="1"/>
      <c r="R5193" s="1"/>
      <c r="S5193" s="1"/>
      <c r="T5193" s="1"/>
      <c r="U5193" s="2">
        <f>IFERROR(__xludf.DUMMYFUNCTION("""COMPUTED_VALUE"""),0.0)</f>
        <v>0</v>
      </c>
      <c r="V5193" s="1" t="str">
        <f>IFERROR(__xludf.DUMMYFUNCTION("""COMPUTED_VALUE"""),"#N/A")</f>
        <v>#N/A</v>
      </c>
      <c r="W5193" s="1" t="str">
        <f>IFERROR(__xludf.DUMMYFUNCTION("""COMPUTED_VALUE"""),"#N/A")</f>
        <v>#N/A</v>
      </c>
    </row>
    <row r="5194">
      <c r="O5194" s="1" t="str">
        <f>IFERROR(__xludf.DUMMYFUNCTION("""COMPUTED_VALUE"""),"#VALUE!")</f>
        <v>#VALUE!</v>
      </c>
      <c r="P5194" s="1" t="str">
        <f>IFERROR(__xludf.DUMMYFUNCTION("""COMPUTED_VALUE"""),"#N/A")</f>
        <v>#N/A</v>
      </c>
      <c r="Q5194" s="1"/>
      <c r="R5194" s="1"/>
      <c r="S5194" s="1"/>
      <c r="T5194" s="1"/>
      <c r="U5194" s="2">
        <f>IFERROR(__xludf.DUMMYFUNCTION("""COMPUTED_VALUE"""),0.0)</f>
        <v>0</v>
      </c>
      <c r="V5194" s="1" t="str">
        <f>IFERROR(__xludf.DUMMYFUNCTION("""COMPUTED_VALUE"""),"#N/A")</f>
        <v>#N/A</v>
      </c>
      <c r="W5194" s="1" t="str">
        <f>IFERROR(__xludf.DUMMYFUNCTION("""COMPUTED_VALUE"""),"#N/A")</f>
        <v>#N/A</v>
      </c>
    </row>
    <row r="5195">
      <c r="O5195" s="1" t="str">
        <f>IFERROR(__xludf.DUMMYFUNCTION("""COMPUTED_VALUE"""),"#VALUE!")</f>
        <v>#VALUE!</v>
      </c>
      <c r="P5195" s="1" t="str">
        <f>IFERROR(__xludf.DUMMYFUNCTION("""COMPUTED_VALUE"""),"#N/A")</f>
        <v>#N/A</v>
      </c>
      <c r="Q5195" s="1"/>
      <c r="R5195" s="1"/>
      <c r="S5195" s="1"/>
      <c r="T5195" s="1"/>
      <c r="U5195" s="2">
        <f>IFERROR(__xludf.DUMMYFUNCTION("""COMPUTED_VALUE"""),0.0)</f>
        <v>0</v>
      </c>
      <c r="V5195" s="1" t="str">
        <f>IFERROR(__xludf.DUMMYFUNCTION("""COMPUTED_VALUE"""),"#N/A")</f>
        <v>#N/A</v>
      </c>
      <c r="W5195" s="1" t="str">
        <f>IFERROR(__xludf.DUMMYFUNCTION("""COMPUTED_VALUE"""),"#N/A")</f>
        <v>#N/A</v>
      </c>
    </row>
    <row r="5196">
      <c r="O5196" s="1" t="str">
        <f>IFERROR(__xludf.DUMMYFUNCTION("""COMPUTED_VALUE"""),"#VALUE!")</f>
        <v>#VALUE!</v>
      </c>
      <c r="P5196" s="1" t="str">
        <f>IFERROR(__xludf.DUMMYFUNCTION("""COMPUTED_VALUE"""),"#N/A")</f>
        <v>#N/A</v>
      </c>
      <c r="Q5196" s="1"/>
      <c r="R5196" s="1"/>
      <c r="S5196" s="1"/>
      <c r="T5196" s="1"/>
      <c r="U5196" s="2">
        <f>IFERROR(__xludf.DUMMYFUNCTION("""COMPUTED_VALUE"""),0.0)</f>
        <v>0</v>
      </c>
      <c r="V5196" s="1" t="str">
        <f>IFERROR(__xludf.DUMMYFUNCTION("""COMPUTED_VALUE"""),"#N/A")</f>
        <v>#N/A</v>
      </c>
      <c r="W5196" s="1" t="str">
        <f>IFERROR(__xludf.DUMMYFUNCTION("""COMPUTED_VALUE"""),"#N/A")</f>
        <v>#N/A</v>
      </c>
    </row>
    <row r="5197">
      <c r="O5197" s="1" t="str">
        <f>IFERROR(__xludf.DUMMYFUNCTION("""COMPUTED_VALUE"""),"#VALUE!")</f>
        <v>#VALUE!</v>
      </c>
      <c r="P5197" s="1" t="str">
        <f>IFERROR(__xludf.DUMMYFUNCTION("""COMPUTED_VALUE"""),"#N/A")</f>
        <v>#N/A</v>
      </c>
      <c r="Q5197" s="1"/>
      <c r="R5197" s="1"/>
      <c r="S5197" s="1"/>
      <c r="T5197" s="1"/>
      <c r="U5197" s="2">
        <f>IFERROR(__xludf.DUMMYFUNCTION("""COMPUTED_VALUE"""),0.0)</f>
        <v>0</v>
      </c>
      <c r="V5197" s="1" t="str">
        <f>IFERROR(__xludf.DUMMYFUNCTION("""COMPUTED_VALUE"""),"#N/A")</f>
        <v>#N/A</v>
      </c>
      <c r="W5197" s="1" t="str">
        <f>IFERROR(__xludf.DUMMYFUNCTION("""COMPUTED_VALUE"""),"#N/A")</f>
        <v>#N/A</v>
      </c>
    </row>
    <row r="5198">
      <c r="O5198" s="1" t="str">
        <f>IFERROR(__xludf.DUMMYFUNCTION("""COMPUTED_VALUE"""),"#VALUE!")</f>
        <v>#VALUE!</v>
      </c>
      <c r="P5198" s="1" t="str">
        <f>IFERROR(__xludf.DUMMYFUNCTION("""COMPUTED_VALUE"""),"#N/A")</f>
        <v>#N/A</v>
      </c>
      <c r="Q5198" s="1"/>
      <c r="R5198" s="1"/>
      <c r="S5198" s="1"/>
      <c r="T5198" s="1"/>
      <c r="U5198" s="2">
        <f>IFERROR(__xludf.DUMMYFUNCTION("""COMPUTED_VALUE"""),0.0)</f>
        <v>0</v>
      </c>
      <c r="V5198" s="1" t="str">
        <f>IFERROR(__xludf.DUMMYFUNCTION("""COMPUTED_VALUE"""),"#N/A")</f>
        <v>#N/A</v>
      </c>
      <c r="W5198" s="1" t="str">
        <f>IFERROR(__xludf.DUMMYFUNCTION("""COMPUTED_VALUE"""),"#N/A")</f>
        <v>#N/A</v>
      </c>
    </row>
    <row r="5199">
      <c r="O5199" s="1" t="str">
        <f>IFERROR(__xludf.DUMMYFUNCTION("""COMPUTED_VALUE"""),"#VALUE!")</f>
        <v>#VALUE!</v>
      </c>
      <c r="P5199" s="1" t="str">
        <f>IFERROR(__xludf.DUMMYFUNCTION("""COMPUTED_VALUE"""),"#N/A")</f>
        <v>#N/A</v>
      </c>
      <c r="Q5199" s="1"/>
      <c r="R5199" s="1"/>
      <c r="S5199" s="1"/>
      <c r="T5199" s="1"/>
      <c r="U5199" s="2">
        <f>IFERROR(__xludf.DUMMYFUNCTION("""COMPUTED_VALUE"""),0.0)</f>
        <v>0</v>
      </c>
      <c r="V5199" s="1" t="str">
        <f>IFERROR(__xludf.DUMMYFUNCTION("""COMPUTED_VALUE"""),"#N/A")</f>
        <v>#N/A</v>
      </c>
      <c r="W5199" s="1" t="str">
        <f>IFERROR(__xludf.DUMMYFUNCTION("""COMPUTED_VALUE"""),"#N/A")</f>
        <v>#N/A</v>
      </c>
    </row>
    <row r="5200">
      <c r="O5200" s="1" t="str">
        <f>IFERROR(__xludf.DUMMYFUNCTION("""COMPUTED_VALUE"""),"#VALUE!")</f>
        <v>#VALUE!</v>
      </c>
      <c r="P5200" s="1" t="str">
        <f>IFERROR(__xludf.DUMMYFUNCTION("""COMPUTED_VALUE"""),"#N/A")</f>
        <v>#N/A</v>
      </c>
      <c r="Q5200" s="1"/>
      <c r="R5200" s="1"/>
      <c r="S5200" s="1"/>
      <c r="T5200" s="1"/>
      <c r="U5200" s="2">
        <f>IFERROR(__xludf.DUMMYFUNCTION("""COMPUTED_VALUE"""),0.0)</f>
        <v>0</v>
      </c>
      <c r="V5200" s="1" t="str">
        <f>IFERROR(__xludf.DUMMYFUNCTION("""COMPUTED_VALUE"""),"#N/A")</f>
        <v>#N/A</v>
      </c>
      <c r="W5200" s="1" t="str">
        <f>IFERROR(__xludf.DUMMYFUNCTION("""COMPUTED_VALUE"""),"#N/A")</f>
        <v>#N/A</v>
      </c>
    </row>
    <row r="5201">
      <c r="O5201" s="1" t="str">
        <f>IFERROR(__xludf.DUMMYFUNCTION("""COMPUTED_VALUE"""),"#VALUE!")</f>
        <v>#VALUE!</v>
      </c>
      <c r="P5201" s="1" t="str">
        <f>IFERROR(__xludf.DUMMYFUNCTION("""COMPUTED_VALUE"""),"#N/A")</f>
        <v>#N/A</v>
      </c>
      <c r="Q5201" s="1"/>
      <c r="R5201" s="1"/>
      <c r="S5201" s="1"/>
      <c r="T5201" s="1"/>
      <c r="U5201" s="2">
        <f>IFERROR(__xludf.DUMMYFUNCTION("""COMPUTED_VALUE"""),0.0)</f>
        <v>0</v>
      </c>
      <c r="V5201" s="1" t="str">
        <f>IFERROR(__xludf.DUMMYFUNCTION("""COMPUTED_VALUE"""),"#N/A")</f>
        <v>#N/A</v>
      </c>
      <c r="W5201" s="1" t="str">
        <f>IFERROR(__xludf.DUMMYFUNCTION("""COMPUTED_VALUE"""),"#N/A")</f>
        <v>#N/A</v>
      </c>
    </row>
    <row r="5202">
      <c r="O5202" s="1" t="str">
        <f>IFERROR(__xludf.DUMMYFUNCTION("""COMPUTED_VALUE"""),"#VALUE!")</f>
        <v>#VALUE!</v>
      </c>
      <c r="P5202" s="1" t="str">
        <f>IFERROR(__xludf.DUMMYFUNCTION("""COMPUTED_VALUE"""),"#N/A")</f>
        <v>#N/A</v>
      </c>
      <c r="Q5202" s="1"/>
      <c r="R5202" s="1"/>
      <c r="S5202" s="1"/>
      <c r="T5202" s="1"/>
      <c r="U5202" s="2">
        <f>IFERROR(__xludf.DUMMYFUNCTION("""COMPUTED_VALUE"""),0.0)</f>
        <v>0</v>
      </c>
      <c r="V5202" s="1" t="str">
        <f>IFERROR(__xludf.DUMMYFUNCTION("""COMPUTED_VALUE"""),"#N/A")</f>
        <v>#N/A</v>
      </c>
      <c r="W5202" s="1" t="str">
        <f>IFERROR(__xludf.DUMMYFUNCTION("""COMPUTED_VALUE"""),"#N/A")</f>
        <v>#N/A</v>
      </c>
    </row>
    <row r="5203">
      <c r="O5203" s="1" t="str">
        <f>IFERROR(__xludf.DUMMYFUNCTION("""COMPUTED_VALUE"""),"#VALUE!")</f>
        <v>#VALUE!</v>
      </c>
      <c r="P5203" s="1" t="str">
        <f>IFERROR(__xludf.DUMMYFUNCTION("""COMPUTED_VALUE"""),"#N/A")</f>
        <v>#N/A</v>
      </c>
      <c r="Q5203" s="1"/>
      <c r="R5203" s="1"/>
      <c r="S5203" s="1"/>
      <c r="T5203" s="1"/>
      <c r="U5203" s="2">
        <f>IFERROR(__xludf.DUMMYFUNCTION("""COMPUTED_VALUE"""),0.0)</f>
        <v>0</v>
      </c>
      <c r="V5203" s="1" t="str">
        <f>IFERROR(__xludf.DUMMYFUNCTION("""COMPUTED_VALUE"""),"#N/A")</f>
        <v>#N/A</v>
      </c>
      <c r="W5203" s="1" t="str">
        <f>IFERROR(__xludf.DUMMYFUNCTION("""COMPUTED_VALUE"""),"#N/A")</f>
        <v>#N/A</v>
      </c>
    </row>
    <row r="5204">
      <c r="O5204" s="1" t="str">
        <f>IFERROR(__xludf.DUMMYFUNCTION("""COMPUTED_VALUE"""),"#VALUE!")</f>
        <v>#VALUE!</v>
      </c>
      <c r="P5204" s="1" t="str">
        <f>IFERROR(__xludf.DUMMYFUNCTION("""COMPUTED_VALUE"""),"#N/A")</f>
        <v>#N/A</v>
      </c>
      <c r="Q5204" s="1"/>
      <c r="R5204" s="1"/>
      <c r="S5204" s="1"/>
      <c r="T5204" s="1"/>
      <c r="U5204" s="2">
        <f>IFERROR(__xludf.DUMMYFUNCTION("""COMPUTED_VALUE"""),0.0)</f>
        <v>0</v>
      </c>
      <c r="V5204" s="1" t="str">
        <f>IFERROR(__xludf.DUMMYFUNCTION("""COMPUTED_VALUE"""),"#N/A")</f>
        <v>#N/A</v>
      </c>
      <c r="W5204" s="1" t="str">
        <f>IFERROR(__xludf.DUMMYFUNCTION("""COMPUTED_VALUE"""),"#N/A")</f>
        <v>#N/A</v>
      </c>
    </row>
    <row r="5205">
      <c r="O5205" s="1" t="str">
        <f>IFERROR(__xludf.DUMMYFUNCTION("""COMPUTED_VALUE"""),"#VALUE!")</f>
        <v>#VALUE!</v>
      </c>
      <c r="P5205" s="1" t="str">
        <f>IFERROR(__xludf.DUMMYFUNCTION("""COMPUTED_VALUE"""),"#N/A")</f>
        <v>#N/A</v>
      </c>
      <c r="Q5205" s="1"/>
      <c r="R5205" s="1"/>
      <c r="S5205" s="1"/>
      <c r="T5205" s="1"/>
      <c r="U5205" s="2">
        <f>IFERROR(__xludf.DUMMYFUNCTION("""COMPUTED_VALUE"""),0.0)</f>
        <v>0</v>
      </c>
      <c r="V5205" s="1" t="str">
        <f>IFERROR(__xludf.DUMMYFUNCTION("""COMPUTED_VALUE"""),"#N/A")</f>
        <v>#N/A</v>
      </c>
      <c r="W5205" s="1" t="str">
        <f>IFERROR(__xludf.DUMMYFUNCTION("""COMPUTED_VALUE"""),"#N/A")</f>
        <v>#N/A</v>
      </c>
    </row>
    <row r="5206">
      <c r="O5206" s="1" t="str">
        <f>IFERROR(__xludf.DUMMYFUNCTION("""COMPUTED_VALUE"""),"#VALUE!")</f>
        <v>#VALUE!</v>
      </c>
      <c r="P5206" s="1" t="str">
        <f>IFERROR(__xludf.DUMMYFUNCTION("""COMPUTED_VALUE"""),"#N/A")</f>
        <v>#N/A</v>
      </c>
      <c r="Q5206" s="1"/>
      <c r="R5206" s="1"/>
      <c r="S5206" s="1"/>
      <c r="T5206" s="1"/>
      <c r="U5206" s="2">
        <f>IFERROR(__xludf.DUMMYFUNCTION("""COMPUTED_VALUE"""),0.0)</f>
        <v>0</v>
      </c>
      <c r="V5206" s="1" t="str">
        <f>IFERROR(__xludf.DUMMYFUNCTION("""COMPUTED_VALUE"""),"#N/A")</f>
        <v>#N/A</v>
      </c>
      <c r="W5206" s="1" t="str">
        <f>IFERROR(__xludf.DUMMYFUNCTION("""COMPUTED_VALUE"""),"#N/A")</f>
        <v>#N/A</v>
      </c>
    </row>
    <row r="5207">
      <c r="O5207" s="1" t="str">
        <f>IFERROR(__xludf.DUMMYFUNCTION("""COMPUTED_VALUE"""),"#VALUE!")</f>
        <v>#VALUE!</v>
      </c>
      <c r="P5207" s="1" t="str">
        <f>IFERROR(__xludf.DUMMYFUNCTION("""COMPUTED_VALUE"""),"#N/A")</f>
        <v>#N/A</v>
      </c>
      <c r="Q5207" s="1"/>
      <c r="R5207" s="1"/>
      <c r="S5207" s="1"/>
      <c r="T5207" s="1"/>
      <c r="U5207" s="2">
        <f>IFERROR(__xludf.DUMMYFUNCTION("""COMPUTED_VALUE"""),0.0)</f>
        <v>0</v>
      </c>
      <c r="V5207" s="1" t="str">
        <f>IFERROR(__xludf.DUMMYFUNCTION("""COMPUTED_VALUE"""),"#N/A")</f>
        <v>#N/A</v>
      </c>
      <c r="W5207" s="1" t="str">
        <f>IFERROR(__xludf.DUMMYFUNCTION("""COMPUTED_VALUE"""),"#N/A")</f>
        <v>#N/A</v>
      </c>
    </row>
    <row r="5208">
      <c r="O5208" s="1" t="str">
        <f>IFERROR(__xludf.DUMMYFUNCTION("""COMPUTED_VALUE"""),"#VALUE!")</f>
        <v>#VALUE!</v>
      </c>
      <c r="P5208" s="1" t="str">
        <f>IFERROR(__xludf.DUMMYFUNCTION("""COMPUTED_VALUE"""),"#N/A")</f>
        <v>#N/A</v>
      </c>
      <c r="Q5208" s="1"/>
      <c r="R5208" s="1"/>
      <c r="S5208" s="1"/>
      <c r="T5208" s="1"/>
      <c r="U5208" s="2">
        <f>IFERROR(__xludf.DUMMYFUNCTION("""COMPUTED_VALUE"""),0.0)</f>
        <v>0</v>
      </c>
      <c r="V5208" s="1" t="str">
        <f>IFERROR(__xludf.DUMMYFUNCTION("""COMPUTED_VALUE"""),"#N/A")</f>
        <v>#N/A</v>
      </c>
      <c r="W5208" s="1" t="str">
        <f>IFERROR(__xludf.DUMMYFUNCTION("""COMPUTED_VALUE"""),"#N/A")</f>
        <v>#N/A</v>
      </c>
    </row>
    <row r="5209">
      <c r="O5209" s="1" t="str">
        <f>IFERROR(__xludf.DUMMYFUNCTION("""COMPUTED_VALUE"""),"#VALUE!")</f>
        <v>#VALUE!</v>
      </c>
      <c r="P5209" s="1" t="str">
        <f>IFERROR(__xludf.DUMMYFUNCTION("""COMPUTED_VALUE"""),"#N/A")</f>
        <v>#N/A</v>
      </c>
      <c r="Q5209" s="1"/>
      <c r="R5209" s="1"/>
      <c r="S5209" s="1"/>
      <c r="T5209" s="1"/>
      <c r="U5209" s="2">
        <f>IFERROR(__xludf.DUMMYFUNCTION("""COMPUTED_VALUE"""),0.0)</f>
        <v>0</v>
      </c>
      <c r="V5209" s="1" t="str">
        <f>IFERROR(__xludf.DUMMYFUNCTION("""COMPUTED_VALUE"""),"#N/A")</f>
        <v>#N/A</v>
      </c>
      <c r="W5209" s="1" t="str">
        <f>IFERROR(__xludf.DUMMYFUNCTION("""COMPUTED_VALUE"""),"#N/A")</f>
        <v>#N/A</v>
      </c>
    </row>
    <row r="5210">
      <c r="O5210" s="1" t="str">
        <f>IFERROR(__xludf.DUMMYFUNCTION("""COMPUTED_VALUE"""),"#VALUE!")</f>
        <v>#VALUE!</v>
      </c>
      <c r="P5210" s="1" t="str">
        <f>IFERROR(__xludf.DUMMYFUNCTION("""COMPUTED_VALUE"""),"#N/A")</f>
        <v>#N/A</v>
      </c>
      <c r="Q5210" s="1"/>
      <c r="R5210" s="1"/>
      <c r="S5210" s="1"/>
      <c r="T5210" s="1"/>
      <c r="U5210" s="2">
        <f>IFERROR(__xludf.DUMMYFUNCTION("""COMPUTED_VALUE"""),0.0)</f>
        <v>0</v>
      </c>
      <c r="V5210" s="1" t="str">
        <f>IFERROR(__xludf.DUMMYFUNCTION("""COMPUTED_VALUE"""),"#N/A")</f>
        <v>#N/A</v>
      </c>
      <c r="W5210" s="1" t="str">
        <f>IFERROR(__xludf.DUMMYFUNCTION("""COMPUTED_VALUE"""),"#N/A")</f>
        <v>#N/A</v>
      </c>
    </row>
    <row r="5211">
      <c r="O5211" s="1" t="str">
        <f>IFERROR(__xludf.DUMMYFUNCTION("""COMPUTED_VALUE"""),"#VALUE!")</f>
        <v>#VALUE!</v>
      </c>
      <c r="P5211" s="1" t="str">
        <f>IFERROR(__xludf.DUMMYFUNCTION("""COMPUTED_VALUE"""),"#N/A")</f>
        <v>#N/A</v>
      </c>
      <c r="Q5211" s="1"/>
      <c r="R5211" s="1"/>
      <c r="S5211" s="1"/>
      <c r="T5211" s="1"/>
      <c r="U5211" s="2">
        <f>IFERROR(__xludf.DUMMYFUNCTION("""COMPUTED_VALUE"""),0.0)</f>
        <v>0</v>
      </c>
      <c r="V5211" s="1" t="str">
        <f>IFERROR(__xludf.DUMMYFUNCTION("""COMPUTED_VALUE"""),"#N/A")</f>
        <v>#N/A</v>
      </c>
      <c r="W5211" s="1" t="str">
        <f>IFERROR(__xludf.DUMMYFUNCTION("""COMPUTED_VALUE"""),"#N/A")</f>
        <v>#N/A</v>
      </c>
    </row>
    <row r="5212">
      <c r="O5212" s="1" t="str">
        <f>IFERROR(__xludf.DUMMYFUNCTION("""COMPUTED_VALUE"""),"#VALUE!")</f>
        <v>#VALUE!</v>
      </c>
      <c r="P5212" s="1" t="str">
        <f>IFERROR(__xludf.DUMMYFUNCTION("""COMPUTED_VALUE"""),"#N/A")</f>
        <v>#N/A</v>
      </c>
      <c r="Q5212" s="1"/>
      <c r="R5212" s="1"/>
      <c r="S5212" s="1"/>
      <c r="T5212" s="1"/>
      <c r="U5212" s="2">
        <f>IFERROR(__xludf.DUMMYFUNCTION("""COMPUTED_VALUE"""),0.0)</f>
        <v>0</v>
      </c>
      <c r="V5212" s="1" t="str">
        <f>IFERROR(__xludf.DUMMYFUNCTION("""COMPUTED_VALUE"""),"#N/A")</f>
        <v>#N/A</v>
      </c>
      <c r="W5212" s="1" t="str">
        <f>IFERROR(__xludf.DUMMYFUNCTION("""COMPUTED_VALUE"""),"#N/A")</f>
        <v>#N/A</v>
      </c>
    </row>
    <row r="5213">
      <c r="O5213" s="1" t="str">
        <f>IFERROR(__xludf.DUMMYFUNCTION("""COMPUTED_VALUE"""),"#VALUE!")</f>
        <v>#VALUE!</v>
      </c>
      <c r="P5213" s="1" t="str">
        <f>IFERROR(__xludf.DUMMYFUNCTION("""COMPUTED_VALUE"""),"#N/A")</f>
        <v>#N/A</v>
      </c>
      <c r="Q5213" s="1"/>
      <c r="R5213" s="1"/>
      <c r="S5213" s="1"/>
      <c r="T5213" s="1"/>
      <c r="U5213" s="2">
        <f>IFERROR(__xludf.DUMMYFUNCTION("""COMPUTED_VALUE"""),0.0)</f>
        <v>0</v>
      </c>
      <c r="V5213" s="1" t="str">
        <f>IFERROR(__xludf.DUMMYFUNCTION("""COMPUTED_VALUE"""),"#N/A")</f>
        <v>#N/A</v>
      </c>
      <c r="W5213" s="1" t="str">
        <f>IFERROR(__xludf.DUMMYFUNCTION("""COMPUTED_VALUE"""),"#N/A")</f>
        <v>#N/A</v>
      </c>
    </row>
    <row r="5214">
      <c r="O5214" s="1" t="str">
        <f>IFERROR(__xludf.DUMMYFUNCTION("""COMPUTED_VALUE"""),"#VALUE!")</f>
        <v>#VALUE!</v>
      </c>
      <c r="P5214" s="1" t="str">
        <f>IFERROR(__xludf.DUMMYFUNCTION("""COMPUTED_VALUE"""),"#N/A")</f>
        <v>#N/A</v>
      </c>
      <c r="Q5214" s="1"/>
      <c r="R5214" s="1"/>
      <c r="S5214" s="1"/>
      <c r="T5214" s="1"/>
      <c r="U5214" s="2">
        <f>IFERROR(__xludf.DUMMYFUNCTION("""COMPUTED_VALUE"""),0.0)</f>
        <v>0</v>
      </c>
      <c r="V5214" s="1" t="str">
        <f>IFERROR(__xludf.DUMMYFUNCTION("""COMPUTED_VALUE"""),"#N/A")</f>
        <v>#N/A</v>
      </c>
      <c r="W5214" s="1" t="str">
        <f>IFERROR(__xludf.DUMMYFUNCTION("""COMPUTED_VALUE"""),"#N/A")</f>
        <v>#N/A</v>
      </c>
    </row>
    <row r="5215">
      <c r="O5215" s="1" t="str">
        <f>IFERROR(__xludf.DUMMYFUNCTION("""COMPUTED_VALUE"""),"#VALUE!")</f>
        <v>#VALUE!</v>
      </c>
      <c r="P5215" s="1" t="str">
        <f>IFERROR(__xludf.DUMMYFUNCTION("""COMPUTED_VALUE"""),"#N/A")</f>
        <v>#N/A</v>
      </c>
      <c r="Q5215" s="1"/>
      <c r="R5215" s="1"/>
      <c r="S5215" s="1"/>
      <c r="T5215" s="1"/>
      <c r="U5215" s="2">
        <f>IFERROR(__xludf.DUMMYFUNCTION("""COMPUTED_VALUE"""),0.0)</f>
        <v>0</v>
      </c>
      <c r="V5215" s="1" t="str">
        <f>IFERROR(__xludf.DUMMYFUNCTION("""COMPUTED_VALUE"""),"#N/A")</f>
        <v>#N/A</v>
      </c>
      <c r="W5215" s="1" t="str">
        <f>IFERROR(__xludf.DUMMYFUNCTION("""COMPUTED_VALUE"""),"#N/A")</f>
        <v>#N/A</v>
      </c>
    </row>
    <row r="5216">
      <c r="O5216" s="1" t="str">
        <f>IFERROR(__xludf.DUMMYFUNCTION("""COMPUTED_VALUE"""),"#VALUE!")</f>
        <v>#VALUE!</v>
      </c>
      <c r="P5216" s="1" t="str">
        <f>IFERROR(__xludf.DUMMYFUNCTION("""COMPUTED_VALUE"""),"#N/A")</f>
        <v>#N/A</v>
      </c>
      <c r="Q5216" s="1"/>
      <c r="R5216" s="1"/>
      <c r="S5216" s="1"/>
      <c r="T5216" s="1"/>
      <c r="U5216" s="2">
        <f>IFERROR(__xludf.DUMMYFUNCTION("""COMPUTED_VALUE"""),0.0)</f>
        <v>0</v>
      </c>
      <c r="V5216" s="1" t="str">
        <f>IFERROR(__xludf.DUMMYFUNCTION("""COMPUTED_VALUE"""),"#N/A")</f>
        <v>#N/A</v>
      </c>
      <c r="W5216" s="1" t="str">
        <f>IFERROR(__xludf.DUMMYFUNCTION("""COMPUTED_VALUE"""),"#N/A")</f>
        <v>#N/A</v>
      </c>
    </row>
    <row r="5217">
      <c r="O5217" s="1" t="str">
        <f>IFERROR(__xludf.DUMMYFUNCTION("""COMPUTED_VALUE"""),"#VALUE!")</f>
        <v>#VALUE!</v>
      </c>
      <c r="P5217" s="1" t="str">
        <f>IFERROR(__xludf.DUMMYFUNCTION("""COMPUTED_VALUE"""),"#N/A")</f>
        <v>#N/A</v>
      </c>
      <c r="Q5217" s="1"/>
      <c r="R5217" s="1"/>
      <c r="S5217" s="1"/>
      <c r="T5217" s="1"/>
      <c r="U5217" s="2">
        <f>IFERROR(__xludf.DUMMYFUNCTION("""COMPUTED_VALUE"""),0.0)</f>
        <v>0</v>
      </c>
      <c r="V5217" s="1" t="str">
        <f>IFERROR(__xludf.DUMMYFUNCTION("""COMPUTED_VALUE"""),"#N/A")</f>
        <v>#N/A</v>
      </c>
      <c r="W5217" s="1" t="str">
        <f>IFERROR(__xludf.DUMMYFUNCTION("""COMPUTED_VALUE"""),"#N/A")</f>
        <v>#N/A</v>
      </c>
    </row>
    <row r="5218">
      <c r="O5218" s="1" t="str">
        <f>IFERROR(__xludf.DUMMYFUNCTION("""COMPUTED_VALUE"""),"#VALUE!")</f>
        <v>#VALUE!</v>
      </c>
      <c r="P5218" s="1" t="str">
        <f>IFERROR(__xludf.DUMMYFUNCTION("""COMPUTED_VALUE"""),"#N/A")</f>
        <v>#N/A</v>
      </c>
      <c r="Q5218" s="1"/>
      <c r="R5218" s="1"/>
      <c r="S5218" s="1"/>
      <c r="T5218" s="1"/>
      <c r="U5218" s="2">
        <f>IFERROR(__xludf.DUMMYFUNCTION("""COMPUTED_VALUE"""),0.0)</f>
        <v>0</v>
      </c>
      <c r="V5218" s="1" t="str">
        <f>IFERROR(__xludf.DUMMYFUNCTION("""COMPUTED_VALUE"""),"#N/A")</f>
        <v>#N/A</v>
      </c>
      <c r="W5218" s="1" t="str">
        <f>IFERROR(__xludf.DUMMYFUNCTION("""COMPUTED_VALUE"""),"#N/A")</f>
        <v>#N/A</v>
      </c>
    </row>
    <row r="5219">
      <c r="O5219" s="1" t="str">
        <f>IFERROR(__xludf.DUMMYFUNCTION("""COMPUTED_VALUE"""),"#VALUE!")</f>
        <v>#VALUE!</v>
      </c>
      <c r="P5219" s="1" t="str">
        <f>IFERROR(__xludf.DUMMYFUNCTION("""COMPUTED_VALUE"""),"#N/A")</f>
        <v>#N/A</v>
      </c>
      <c r="Q5219" s="1"/>
      <c r="R5219" s="1"/>
      <c r="S5219" s="1"/>
      <c r="T5219" s="1"/>
      <c r="U5219" s="2">
        <f>IFERROR(__xludf.DUMMYFUNCTION("""COMPUTED_VALUE"""),0.0)</f>
        <v>0</v>
      </c>
      <c r="V5219" s="1" t="str">
        <f>IFERROR(__xludf.DUMMYFUNCTION("""COMPUTED_VALUE"""),"#N/A")</f>
        <v>#N/A</v>
      </c>
      <c r="W5219" s="1" t="str">
        <f>IFERROR(__xludf.DUMMYFUNCTION("""COMPUTED_VALUE"""),"#N/A")</f>
        <v>#N/A</v>
      </c>
    </row>
    <row r="5220">
      <c r="O5220" s="1" t="str">
        <f>IFERROR(__xludf.DUMMYFUNCTION("""COMPUTED_VALUE"""),"#VALUE!")</f>
        <v>#VALUE!</v>
      </c>
      <c r="P5220" s="1" t="str">
        <f>IFERROR(__xludf.DUMMYFUNCTION("""COMPUTED_VALUE"""),"#N/A")</f>
        <v>#N/A</v>
      </c>
      <c r="Q5220" s="1"/>
      <c r="R5220" s="1"/>
      <c r="S5220" s="1"/>
      <c r="T5220" s="1"/>
      <c r="U5220" s="2">
        <f>IFERROR(__xludf.DUMMYFUNCTION("""COMPUTED_VALUE"""),0.0)</f>
        <v>0</v>
      </c>
      <c r="V5220" s="1" t="str">
        <f>IFERROR(__xludf.DUMMYFUNCTION("""COMPUTED_VALUE"""),"#N/A")</f>
        <v>#N/A</v>
      </c>
      <c r="W5220" s="1" t="str">
        <f>IFERROR(__xludf.DUMMYFUNCTION("""COMPUTED_VALUE"""),"#N/A")</f>
        <v>#N/A</v>
      </c>
    </row>
    <row r="5221">
      <c r="O5221" s="1" t="str">
        <f>IFERROR(__xludf.DUMMYFUNCTION("""COMPUTED_VALUE"""),"#VALUE!")</f>
        <v>#VALUE!</v>
      </c>
      <c r="P5221" s="1" t="str">
        <f>IFERROR(__xludf.DUMMYFUNCTION("""COMPUTED_VALUE"""),"#N/A")</f>
        <v>#N/A</v>
      </c>
      <c r="Q5221" s="1"/>
      <c r="R5221" s="1"/>
      <c r="S5221" s="1"/>
      <c r="T5221" s="1"/>
      <c r="U5221" s="2">
        <f>IFERROR(__xludf.DUMMYFUNCTION("""COMPUTED_VALUE"""),0.0)</f>
        <v>0</v>
      </c>
      <c r="V5221" s="1" t="str">
        <f>IFERROR(__xludf.DUMMYFUNCTION("""COMPUTED_VALUE"""),"#N/A")</f>
        <v>#N/A</v>
      </c>
      <c r="W5221" s="1" t="str">
        <f>IFERROR(__xludf.DUMMYFUNCTION("""COMPUTED_VALUE"""),"#N/A")</f>
        <v>#N/A</v>
      </c>
    </row>
    <row r="5222">
      <c r="O5222" s="1" t="str">
        <f>IFERROR(__xludf.DUMMYFUNCTION("""COMPUTED_VALUE"""),"#VALUE!")</f>
        <v>#VALUE!</v>
      </c>
      <c r="P5222" s="1" t="str">
        <f>IFERROR(__xludf.DUMMYFUNCTION("""COMPUTED_VALUE"""),"#N/A")</f>
        <v>#N/A</v>
      </c>
      <c r="Q5222" s="1"/>
      <c r="R5222" s="1"/>
      <c r="S5222" s="1"/>
      <c r="T5222" s="1"/>
      <c r="U5222" s="2">
        <f>IFERROR(__xludf.DUMMYFUNCTION("""COMPUTED_VALUE"""),0.0)</f>
        <v>0</v>
      </c>
      <c r="V5222" s="1" t="str">
        <f>IFERROR(__xludf.DUMMYFUNCTION("""COMPUTED_VALUE"""),"#N/A")</f>
        <v>#N/A</v>
      </c>
      <c r="W5222" s="1" t="str">
        <f>IFERROR(__xludf.DUMMYFUNCTION("""COMPUTED_VALUE"""),"#N/A")</f>
        <v>#N/A</v>
      </c>
    </row>
    <row r="5223">
      <c r="O5223" s="1" t="str">
        <f>IFERROR(__xludf.DUMMYFUNCTION("""COMPUTED_VALUE"""),"#VALUE!")</f>
        <v>#VALUE!</v>
      </c>
      <c r="P5223" s="1" t="str">
        <f>IFERROR(__xludf.DUMMYFUNCTION("""COMPUTED_VALUE"""),"#N/A")</f>
        <v>#N/A</v>
      </c>
      <c r="Q5223" s="1"/>
      <c r="R5223" s="1"/>
      <c r="S5223" s="1"/>
      <c r="T5223" s="1"/>
      <c r="U5223" s="2">
        <f>IFERROR(__xludf.DUMMYFUNCTION("""COMPUTED_VALUE"""),0.0)</f>
        <v>0</v>
      </c>
      <c r="V5223" s="1" t="str">
        <f>IFERROR(__xludf.DUMMYFUNCTION("""COMPUTED_VALUE"""),"#N/A")</f>
        <v>#N/A</v>
      </c>
      <c r="W5223" s="1" t="str">
        <f>IFERROR(__xludf.DUMMYFUNCTION("""COMPUTED_VALUE"""),"#N/A")</f>
        <v>#N/A</v>
      </c>
    </row>
    <row r="5224">
      <c r="O5224" s="1" t="str">
        <f>IFERROR(__xludf.DUMMYFUNCTION("""COMPUTED_VALUE"""),"#VALUE!")</f>
        <v>#VALUE!</v>
      </c>
      <c r="P5224" s="1" t="str">
        <f>IFERROR(__xludf.DUMMYFUNCTION("""COMPUTED_VALUE"""),"#N/A")</f>
        <v>#N/A</v>
      </c>
      <c r="Q5224" s="1"/>
      <c r="R5224" s="1"/>
      <c r="S5224" s="1"/>
      <c r="T5224" s="1"/>
      <c r="U5224" s="2">
        <f>IFERROR(__xludf.DUMMYFUNCTION("""COMPUTED_VALUE"""),0.0)</f>
        <v>0</v>
      </c>
      <c r="V5224" s="1" t="str">
        <f>IFERROR(__xludf.DUMMYFUNCTION("""COMPUTED_VALUE"""),"#N/A")</f>
        <v>#N/A</v>
      </c>
      <c r="W5224" s="1" t="str">
        <f>IFERROR(__xludf.DUMMYFUNCTION("""COMPUTED_VALUE"""),"#N/A")</f>
        <v>#N/A</v>
      </c>
    </row>
    <row r="5225">
      <c r="O5225" s="1" t="str">
        <f>IFERROR(__xludf.DUMMYFUNCTION("""COMPUTED_VALUE"""),"#VALUE!")</f>
        <v>#VALUE!</v>
      </c>
      <c r="P5225" s="1" t="str">
        <f>IFERROR(__xludf.DUMMYFUNCTION("""COMPUTED_VALUE"""),"#N/A")</f>
        <v>#N/A</v>
      </c>
      <c r="Q5225" s="1"/>
      <c r="R5225" s="1"/>
      <c r="S5225" s="1"/>
      <c r="T5225" s="1"/>
      <c r="U5225" s="2">
        <f>IFERROR(__xludf.DUMMYFUNCTION("""COMPUTED_VALUE"""),0.0)</f>
        <v>0</v>
      </c>
      <c r="V5225" s="1" t="str">
        <f>IFERROR(__xludf.DUMMYFUNCTION("""COMPUTED_VALUE"""),"#N/A")</f>
        <v>#N/A</v>
      </c>
      <c r="W5225" s="1" t="str">
        <f>IFERROR(__xludf.DUMMYFUNCTION("""COMPUTED_VALUE"""),"#N/A")</f>
        <v>#N/A</v>
      </c>
    </row>
    <row r="5226">
      <c r="O5226" s="1" t="str">
        <f>IFERROR(__xludf.DUMMYFUNCTION("""COMPUTED_VALUE"""),"#VALUE!")</f>
        <v>#VALUE!</v>
      </c>
      <c r="P5226" s="1" t="str">
        <f>IFERROR(__xludf.DUMMYFUNCTION("""COMPUTED_VALUE"""),"#N/A")</f>
        <v>#N/A</v>
      </c>
      <c r="Q5226" s="1"/>
      <c r="R5226" s="1"/>
      <c r="S5226" s="1"/>
      <c r="T5226" s="1"/>
      <c r="U5226" s="2">
        <f>IFERROR(__xludf.DUMMYFUNCTION("""COMPUTED_VALUE"""),0.0)</f>
        <v>0</v>
      </c>
      <c r="V5226" s="1" t="str">
        <f>IFERROR(__xludf.DUMMYFUNCTION("""COMPUTED_VALUE"""),"#N/A")</f>
        <v>#N/A</v>
      </c>
      <c r="W5226" s="1" t="str">
        <f>IFERROR(__xludf.DUMMYFUNCTION("""COMPUTED_VALUE"""),"#N/A")</f>
        <v>#N/A</v>
      </c>
    </row>
    <row r="5227">
      <c r="O5227" s="1" t="str">
        <f>IFERROR(__xludf.DUMMYFUNCTION("""COMPUTED_VALUE"""),"#VALUE!")</f>
        <v>#VALUE!</v>
      </c>
      <c r="P5227" s="1" t="str">
        <f>IFERROR(__xludf.DUMMYFUNCTION("""COMPUTED_VALUE"""),"#N/A")</f>
        <v>#N/A</v>
      </c>
      <c r="Q5227" s="1"/>
      <c r="R5227" s="1"/>
      <c r="S5227" s="1"/>
      <c r="T5227" s="1"/>
      <c r="U5227" s="2">
        <f>IFERROR(__xludf.DUMMYFUNCTION("""COMPUTED_VALUE"""),0.0)</f>
        <v>0</v>
      </c>
      <c r="V5227" s="1" t="str">
        <f>IFERROR(__xludf.DUMMYFUNCTION("""COMPUTED_VALUE"""),"#N/A")</f>
        <v>#N/A</v>
      </c>
      <c r="W5227" s="1" t="str">
        <f>IFERROR(__xludf.DUMMYFUNCTION("""COMPUTED_VALUE"""),"#N/A")</f>
        <v>#N/A</v>
      </c>
    </row>
    <row r="5228">
      <c r="O5228" s="1" t="str">
        <f>IFERROR(__xludf.DUMMYFUNCTION("""COMPUTED_VALUE"""),"#VALUE!")</f>
        <v>#VALUE!</v>
      </c>
      <c r="P5228" s="1" t="str">
        <f>IFERROR(__xludf.DUMMYFUNCTION("""COMPUTED_VALUE"""),"#N/A")</f>
        <v>#N/A</v>
      </c>
      <c r="Q5228" s="1"/>
      <c r="R5228" s="1"/>
      <c r="S5228" s="1"/>
      <c r="T5228" s="1"/>
      <c r="U5228" s="2">
        <f>IFERROR(__xludf.DUMMYFUNCTION("""COMPUTED_VALUE"""),0.0)</f>
        <v>0</v>
      </c>
      <c r="V5228" s="1" t="str">
        <f>IFERROR(__xludf.DUMMYFUNCTION("""COMPUTED_VALUE"""),"#N/A")</f>
        <v>#N/A</v>
      </c>
      <c r="W5228" s="1" t="str">
        <f>IFERROR(__xludf.DUMMYFUNCTION("""COMPUTED_VALUE"""),"#N/A")</f>
        <v>#N/A</v>
      </c>
    </row>
    <row r="5229">
      <c r="O5229" s="1" t="str">
        <f>IFERROR(__xludf.DUMMYFUNCTION("""COMPUTED_VALUE"""),"#VALUE!")</f>
        <v>#VALUE!</v>
      </c>
      <c r="P5229" s="1" t="str">
        <f>IFERROR(__xludf.DUMMYFUNCTION("""COMPUTED_VALUE"""),"#N/A")</f>
        <v>#N/A</v>
      </c>
      <c r="Q5229" s="1"/>
      <c r="R5229" s="1"/>
      <c r="S5229" s="1"/>
      <c r="T5229" s="1"/>
      <c r="U5229" s="2">
        <f>IFERROR(__xludf.DUMMYFUNCTION("""COMPUTED_VALUE"""),0.0)</f>
        <v>0</v>
      </c>
      <c r="V5229" s="1" t="str">
        <f>IFERROR(__xludf.DUMMYFUNCTION("""COMPUTED_VALUE"""),"#N/A")</f>
        <v>#N/A</v>
      </c>
      <c r="W5229" s="1" t="str">
        <f>IFERROR(__xludf.DUMMYFUNCTION("""COMPUTED_VALUE"""),"#N/A")</f>
        <v>#N/A</v>
      </c>
    </row>
    <row r="5230">
      <c r="O5230" s="1" t="str">
        <f>IFERROR(__xludf.DUMMYFUNCTION("""COMPUTED_VALUE"""),"#VALUE!")</f>
        <v>#VALUE!</v>
      </c>
      <c r="P5230" s="1" t="str">
        <f>IFERROR(__xludf.DUMMYFUNCTION("""COMPUTED_VALUE"""),"#N/A")</f>
        <v>#N/A</v>
      </c>
      <c r="Q5230" s="1"/>
      <c r="R5230" s="1"/>
      <c r="S5230" s="1"/>
      <c r="T5230" s="1"/>
      <c r="U5230" s="2">
        <f>IFERROR(__xludf.DUMMYFUNCTION("""COMPUTED_VALUE"""),0.0)</f>
        <v>0</v>
      </c>
      <c r="V5230" s="1" t="str">
        <f>IFERROR(__xludf.DUMMYFUNCTION("""COMPUTED_VALUE"""),"#N/A")</f>
        <v>#N/A</v>
      </c>
      <c r="W5230" s="1" t="str">
        <f>IFERROR(__xludf.DUMMYFUNCTION("""COMPUTED_VALUE"""),"#N/A")</f>
        <v>#N/A</v>
      </c>
    </row>
    <row r="5231">
      <c r="O5231" s="1" t="str">
        <f>IFERROR(__xludf.DUMMYFUNCTION("""COMPUTED_VALUE"""),"#VALUE!")</f>
        <v>#VALUE!</v>
      </c>
      <c r="P5231" s="1" t="str">
        <f>IFERROR(__xludf.DUMMYFUNCTION("""COMPUTED_VALUE"""),"#N/A")</f>
        <v>#N/A</v>
      </c>
      <c r="Q5231" s="1"/>
      <c r="R5231" s="1"/>
      <c r="S5231" s="1"/>
      <c r="T5231" s="1"/>
      <c r="U5231" s="2">
        <f>IFERROR(__xludf.DUMMYFUNCTION("""COMPUTED_VALUE"""),0.0)</f>
        <v>0</v>
      </c>
      <c r="V5231" s="1" t="str">
        <f>IFERROR(__xludf.DUMMYFUNCTION("""COMPUTED_VALUE"""),"#N/A")</f>
        <v>#N/A</v>
      </c>
      <c r="W5231" s="1" t="str">
        <f>IFERROR(__xludf.DUMMYFUNCTION("""COMPUTED_VALUE"""),"#N/A")</f>
        <v>#N/A</v>
      </c>
    </row>
    <row r="5232">
      <c r="O5232" s="1" t="str">
        <f>IFERROR(__xludf.DUMMYFUNCTION("""COMPUTED_VALUE"""),"#VALUE!")</f>
        <v>#VALUE!</v>
      </c>
      <c r="P5232" s="1" t="str">
        <f>IFERROR(__xludf.DUMMYFUNCTION("""COMPUTED_VALUE"""),"#N/A")</f>
        <v>#N/A</v>
      </c>
      <c r="Q5232" s="1"/>
      <c r="R5232" s="1"/>
      <c r="S5232" s="1"/>
      <c r="T5232" s="1"/>
      <c r="U5232" s="2">
        <f>IFERROR(__xludf.DUMMYFUNCTION("""COMPUTED_VALUE"""),0.0)</f>
        <v>0</v>
      </c>
      <c r="V5232" s="1" t="str">
        <f>IFERROR(__xludf.DUMMYFUNCTION("""COMPUTED_VALUE"""),"#N/A")</f>
        <v>#N/A</v>
      </c>
      <c r="W5232" s="1" t="str">
        <f>IFERROR(__xludf.DUMMYFUNCTION("""COMPUTED_VALUE"""),"#N/A")</f>
        <v>#N/A</v>
      </c>
    </row>
    <row r="5233">
      <c r="O5233" s="1" t="str">
        <f>IFERROR(__xludf.DUMMYFUNCTION("""COMPUTED_VALUE"""),"#VALUE!")</f>
        <v>#VALUE!</v>
      </c>
      <c r="P5233" s="1" t="str">
        <f>IFERROR(__xludf.DUMMYFUNCTION("""COMPUTED_VALUE"""),"#N/A")</f>
        <v>#N/A</v>
      </c>
      <c r="Q5233" s="1"/>
      <c r="R5233" s="1"/>
      <c r="S5233" s="1"/>
      <c r="T5233" s="1"/>
      <c r="U5233" s="2">
        <f>IFERROR(__xludf.DUMMYFUNCTION("""COMPUTED_VALUE"""),0.0)</f>
        <v>0</v>
      </c>
      <c r="V5233" s="1" t="str">
        <f>IFERROR(__xludf.DUMMYFUNCTION("""COMPUTED_VALUE"""),"#N/A")</f>
        <v>#N/A</v>
      </c>
      <c r="W5233" s="1" t="str">
        <f>IFERROR(__xludf.DUMMYFUNCTION("""COMPUTED_VALUE"""),"#N/A")</f>
        <v>#N/A</v>
      </c>
    </row>
    <row r="5234">
      <c r="O5234" s="1" t="str">
        <f>IFERROR(__xludf.DUMMYFUNCTION("""COMPUTED_VALUE"""),"#VALUE!")</f>
        <v>#VALUE!</v>
      </c>
      <c r="P5234" s="1" t="str">
        <f>IFERROR(__xludf.DUMMYFUNCTION("""COMPUTED_VALUE"""),"#N/A")</f>
        <v>#N/A</v>
      </c>
      <c r="Q5234" s="1"/>
      <c r="R5234" s="1"/>
      <c r="S5234" s="1"/>
      <c r="T5234" s="1"/>
      <c r="U5234" s="2">
        <f>IFERROR(__xludf.DUMMYFUNCTION("""COMPUTED_VALUE"""),0.0)</f>
        <v>0</v>
      </c>
      <c r="V5234" s="1" t="str">
        <f>IFERROR(__xludf.DUMMYFUNCTION("""COMPUTED_VALUE"""),"#N/A")</f>
        <v>#N/A</v>
      </c>
      <c r="W5234" s="1" t="str">
        <f>IFERROR(__xludf.DUMMYFUNCTION("""COMPUTED_VALUE"""),"#N/A")</f>
        <v>#N/A</v>
      </c>
    </row>
    <row r="5235">
      <c r="O5235" s="1" t="str">
        <f>IFERROR(__xludf.DUMMYFUNCTION("""COMPUTED_VALUE"""),"#VALUE!")</f>
        <v>#VALUE!</v>
      </c>
      <c r="P5235" s="1" t="str">
        <f>IFERROR(__xludf.DUMMYFUNCTION("""COMPUTED_VALUE"""),"#N/A")</f>
        <v>#N/A</v>
      </c>
      <c r="Q5235" s="1"/>
      <c r="R5235" s="1"/>
      <c r="S5235" s="1"/>
      <c r="T5235" s="1"/>
      <c r="U5235" s="2">
        <f>IFERROR(__xludf.DUMMYFUNCTION("""COMPUTED_VALUE"""),0.0)</f>
        <v>0</v>
      </c>
      <c r="V5235" s="1" t="str">
        <f>IFERROR(__xludf.DUMMYFUNCTION("""COMPUTED_VALUE"""),"#N/A")</f>
        <v>#N/A</v>
      </c>
      <c r="W5235" s="1" t="str">
        <f>IFERROR(__xludf.DUMMYFUNCTION("""COMPUTED_VALUE"""),"#N/A")</f>
        <v>#N/A</v>
      </c>
    </row>
    <row r="5236">
      <c r="O5236" s="1" t="str">
        <f>IFERROR(__xludf.DUMMYFUNCTION("""COMPUTED_VALUE"""),"#VALUE!")</f>
        <v>#VALUE!</v>
      </c>
      <c r="P5236" s="1" t="str">
        <f>IFERROR(__xludf.DUMMYFUNCTION("""COMPUTED_VALUE"""),"#N/A")</f>
        <v>#N/A</v>
      </c>
      <c r="Q5236" s="1"/>
      <c r="R5236" s="1"/>
      <c r="S5236" s="1"/>
      <c r="T5236" s="1"/>
      <c r="U5236" s="2">
        <f>IFERROR(__xludf.DUMMYFUNCTION("""COMPUTED_VALUE"""),0.0)</f>
        <v>0</v>
      </c>
      <c r="V5236" s="1" t="str">
        <f>IFERROR(__xludf.DUMMYFUNCTION("""COMPUTED_VALUE"""),"#N/A")</f>
        <v>#N/A</v>
      </c>
      <c r="W5236" s="1" t="str">
        <f>IFERROR(__xludf.DUMMYFUNCTION("""COMPUTED_VALUE"""),"#N/A")</f>
        <v>#N/A</v>
      </c>
    </row>
    <row r="5237">
      <c r="O5237" s="1" t="str">
        <f>IFERROR(__xludf.DUMMYFUNCTION("""COMPUTED_VALUE"""),"#VALUE!")</f>
        <v>#VALUE!</v>
      </c>
      <c r="P5237" s="1" t="str">
        <f>IFERROR(__xludf.DUMMYFUNCTION("""COMPUTED_VALUE"""),"#N/A")</f>
        <v>#N/A</v>
      </c>
      <c r="Q5237" s="1"/>
      <c r="R5237" s="1"/>
      <c r="S5237" s="1"/>
      <c r="T5237" s="1"/>
      <c r="U5237" s="2">
        <f>IFERROR(__xludf.DUMMYFUNCTION("""COMPUTED_VALUE"""),0.0)</f>
        <v>0</v>
      </c>
      <c r="V5237" s="1" t="str">
        <f>IFERROR(__xludf.DUMMYFUNCTION("""COMPUTED_VALUE"""),"#N/A")</f>
        <v>#N/A</v>
      </c>
      <c r="W5237" s="1" t="str">
        <f>IFERROR(__xludf.DUMMYFUNCTION("""COMPUTED_VALUE"""),"#N/A")</f>
        <v>#N/A</v>
      </c>
    </row>
    <row r="5238">
      <c r="O5238" s="1" t="str">
        <f>IFERROR(__xludf.DUMMYFUNCTION("""COMPUTED_VALUE"""),"#VALUE!")</f>
        <v>#VALUE!</v>
      </c>
      <c r="P5238" s="1" t="str">
        <f>IFERROR(__xludf.DUMMYFUNCTION("""COMPUTED_VALUE"""),"#N/A")</f>
        <v>#N/A</v>
      </c>
      <c r="Q5238" s="1"/>
      <c r="R5238" s="1"/>
      <c r="S5238" s="1"/>
      <c r="T5238" s="1"/>
      <c r="U5238" s="2">
        <f>IFERROR(__xludf.DUMMYFUNCTION("""COMPUTED_VALUE"""),0.0)</f>
        <v>0</v>
      </c>
      <c r="V5238" s="1" t="str">
        <f>IFERROR(__xludf.DUMMYFUNCTION("""COMPUTED_VALUE"""),"#N/A")</f>
        <v>#N/A</v>
      </c>
      <c r="W5238" s="1" t="str">
        <f>IFERROR(__xludf.DUMMYFUNCTION("""COMPUTED_VALUE"""),"#N/A")</f>
        <v>#N/A</v>
      </c>
    </row>
    <row r="5239">
      <c r="O5239" s="1" t="str">
        <f>IFERROR(__xludf.DUMMYFUNCTION("""COMPUTED_VALUE"""),"#VALUE!")</f>
        <v>#VALUE!</v>
      </c>
      <c r="P5239" s="1" t="str">
        <f>IFERROR(__xludf.DUMMYFUNCTION("""COMPUTED_VALUE"""),"#N/A")</f>
        <v>#N/A</v>
      </c>
      <c r="Q5239" s="1"/>
      <c r="R5239" s="1"/>
      <c r="S5239" s="1"/>
      <c r="T5239" s="1"/>
      <c r="U5239" s="2">
        <f>IFERROR(__xludf.DUMMYFUNCTION("""COMPUTED_VALUE"""),0.0)</f>
        <v>0</v>
      </c>
      <c r="V5239" s="1" t="str">
        <f>IFERROR(__xludf.DUMMYFUNCTION("""COMPUTED_VALUE"""),"#N/A")</f>
        <v>#N/A</v>
      </c>
      <c r="W5239" s="1" t="str">
        <f>IFERROR(__xludf.DUMMYFUNCTION("""COMPUTED_VALUE"""),"#N/A")</f>
        <v>#N/A</v>
      </c>
    </row>
    <row r="5240">
      <c r="O5240" s="1" t="str">
        <f>IFERROR(__xludf.DUMMYFUNCTION("""COMPUTED_VALUE"""),"#VALUE!")</f>
        <v>#VALUE!</v>
      </c>
      <c r="P5240" s="1" t="str">
        <f>IFERROR(__xludf.DUMMYFUNCTION("""COMPUTED_VALUE"""),"#N/A")</f>
        <v>#N/A</v>
      </c>
      <c r="Q5240" s="1"/>
      <c r="R5240" s="1"/>
      <c r="S5240" s="1"/>
      <c r="T5240" s="1"/>
      <c r="U5240" s="2">
        <f>IFERROR(__xludf.DUMMYFUNCTION("""COMPUTED_VALUE"""),0.0)</f>
        <v>0</v>
      </c>
      <c r="V5240" s="1" t="str">
        <f>IFERROR(__xludf.DUMMYFUNCTION("""COMPUTED_VALUE"""),"#N/A")</f>
        <v>#N/A</v>
      </c>
      <c r="W5240" s="1" t="str">
        <f>IFERROR(__xludf.DUMMYFUNCTION("""COMPUTED_VALUE"""),"#N/A")</f>
        <v>#N/A</v>
      </c>
    </row>
    <row r="5241">
      <c r="O5241" s="1" t="str">
        <f>IFERROR(__xludf.DUMMYFUNCTION("""COMPUTED_VALUE"""),"#VALUE!")</f>
        <v>#VALUE!</v>
      </c>
      <c r="P5241" s="1" t="str">
        <f>IFERROR(__xludf.DUMMYFUNCTION("""COMPUTED_VALUE"""),"#N/A")</f>
        <v>#N/A</v>
      </c>
      <c r="Q5241" s="1"/>
      <c r="R5241" s="1"/>
      <c r="S5241" s="1"/>
      <c r="T5241" s="1"/>
      <c r="U5241" s="2">
        <f>IFERROR(__xludf.DUMMYFUNCTION("""COMPUTED_VALUE"""),0.0)</f>
        <v>0</v>
      </c>
      <c r="V5241" s="1" t="str">
        <f>IFERROR(__xludf.DUMMYFUNCTION("""COMPUTED_VALUE"""),"#N/A")</f>
        <v>#N/A</v>
      </c>
      <c r="W5241" s="1" t="str">
        <f>IFERROR(__xludf.DUMMYFUNCTION("""COMPUTED_VALUE"""),"#N/A")</f>
        <v>#N/A</v>
      </c>
    </row>
    <row r="5242">
      <c r="O5242" s="1" t="str">
        <f>IFERROR(__xludf.DUMMYFUNCTION("""COMPUTED_VALUE"""),"#VALUE!")</f>
        <v>#VALUE!</v>
      </c>
      <c r="P5242" s="1" t="str">
        <f>IFERROR(__xludf.DUMMYFUNCTION("""COMPUTED_VALUE"""),"#N/A")</f>
        <v>#N/A</v>
      </c>
      <c r="Q5242" s="1"/>
      <c r="R5242" s="1"/>
      <c r="S5242" s="1"/>
      <c r="T5242" s="1"/>
      <c r="U5242" s="2">
        <f>IFERROR(__xludf.DUMMYFUNCTION("""COMPUTED_VALUE"""),0.0)</f>
        <v>0</v>
      </c>
      <c r="V5242" s="1" t="str">
        <f>IFERROR(__xludf.DUMMYFUNCTION("""COMPUTED_VALUE"""),"#N/A")</f>
        <v>#N/A</v>
      </c>
      <c r="W5242" s="1" t="str">
        <f>IFERROR(__xludf.DUMMYFUNCTION("""COMPUTED_VALUE"""),"#N/A")</f>
        <v>#N/A</v>
      </c>
    </row>
    <row r="5243">
      <c r="O5243" s="1" t="str">
        <f>IFERROR(__xludf.DUMMYFUNCTION("""COMPUTED_VALUE"""),"#VALUE!")</f>
        <v>#VALUE!</v>
      </c>
      <c r="P5243" s="1" t="str">
        <f>IFERROR(__xludf.DUMMYFUNCTION("""COMPUTED_VALUE"""),"#N/A")</f>
        <v>#N/A</v>
      </c>
      <c r="Q5243" s="1"/>
      <c r="R5243" s="1"/>
      <c r="S5243" s="1"/>
      <c r="T5243" s="1"/>
      <c r="U5243" s="2">
        <f>IFERROR(__xludf.DUMMYFUNCTION("""COMPUTED_VALUE"""),0.0)</f>
        <v>0</v>
      </c>
      <c r="V5243" s="1" t="str">
        <f>IFERROR(__xludf.DUMMYFUNCTION("""COMPUTED_VALUE"""),"#N/A")</f>
        <v>#N/A</v>
      </c>
      <c r="W5243" s="1" t="str">
        <f>IFERROR(__xludf.DUMMYFUNCTION("""COMPUTED_VALUE"""),"#N/A")</f>
        <v>#N/A</v>
      </c>
    </row>
    <row r="5244">
      <c r="O5244" s="1" t="str">
        <f>IFERROR(__xludf.DUMMYFUNCTION("""COMPUTED_VALUE"""),"#VALUE!")</f>
        <v>#VALUE!</v>
      </c>
      <c r="P5244" s="1" t="str">
        <f>IFERROR(__xludf.DUMMYFUNCTION("""COMPUTED_VALUE"""),"#N/A")</f>
        <v>#N/A</v>
      </c>
      <c r="Q5244" s="1"/>
      <c r="R5244" s="1"/>
      <c r="S5244" s="1"/>
      <c r="T5244" s="1"/>
      <c r="U5244" s="2">
        <f>IFERROR(__xludf.DUMMYFUNCTION("""COMPUTED_VALUE"""),0.0)</f>
        <v>0</v>
      </c>
      <c r="V5244" s="1" t="str">
        <f>IFERROR(__xludf.DUMMYFUNCTION("""COMPUTED_VALUE"""),"#N/A")</f>
        <v>#N/A</v>
      </c>
      <c r="W5244" s="1" t="str">
        <f>IFERROR(__xludf.DUMMYFUNCTION("""COMPUTED_VALUE"""),"#N/A")</f>
        <v>#N/A</v>
      </c>
    </row>
    <row r="5245">
      <c r="O5245" s="1" t="str">
        <f>IFERROR(__xludf.DUMMYFUNCTION("""COMPUTED_VALUE"""),"#VALUE!")</f>
        <v>#VALUE!</v>
      </c>
      <c r="P5245" s="1" t="str">
        <f>IFERROR(__xludf.DUMMYFUNCTION("""COMPUTED_VALUE"""),"#N/A")</f>
        <v>#N/A</v>
      </c>
      <c r="Q5245" s="1"/>
      <c r="R5245" s="1"/>
      <c r="S5245" s="1"/>
      <c r="T5245" s="1"/>
      <c r="U5245" s="2">
        <f>IFERROR(__xludf.DUMMYFUNCTION("""COMPUTED_VALUE"""),0.0)</f>
        <v>0</v>
      </c>
      <c r="V5245" s="1" t="str">
        <f>IFERROR(__xludf.DUMMYFUNCTION("""COMPUTED_VALUE"""),"#N/A")</f>
        <v>#N/A</v>
      </c>
      <c r="W5245" s="1" t="str">
        <f>IFERROR(__xludf.DUMMYFUNCTION("""COMPUTED_VALUE"""),"#N/A")</f>
        <v>#N/A</v>
      </c>
    </row>
    <row r="5246">
      <c r="O5246" s="1" t="str">
        <f>IFERROR(__xludf.DUMMYFUNCTION("""COMPUTED_VALUE"""),"#VALUE!")</f>
        <v>#VALUE!</v>
      </c>
      <c r="P5246" s="1" t="str">
        <f>IFERROR(__xludf.DUMMYFUNCTION("""COMPUTED_VALUE"""),"#N/A")</f>
        <v>#N/A</v>
      </c>
      <c r="Q5246" s="1"/>
      <c r="R5246" s="1"/>
      <c r="S5246" s="1"/>
      <c r="T5246" s="1"/>
      <c r="U5246" s="2">
        <f>IFERROR(__xludf.DUMMYFUNCTION("""COMPUTED_VALUE"""),0.0)</f>
        <v>0</v>
      </c>
      <c r="V5246" s="1" t="str">
        <f>IFERROR(__xludf.DUMMYFUNCTION("""COMPUTED_VALUE"""),"#N/A")</f>
        <v>#N/A</v>
      </c>
      <c r="W5246" s="1" t="str">
        <f>IFERROR(__xludf.DUMMYFUNCTION("""COMPUTED_VALUE"""),"#N/A")</f>
        <v>#N/A</v>
      </c>
    </row>
    <row r="5247">
      <c r="O5247" s="1" t="str">
        <f>IFERROR(__xludf.DUMMYFUNCTION("""COMPUTED_VALUE"""),"#VALUE!")</f>
        <v>#VALUE!</v>
      </c>
      <c r="P5247" s="1" t="str">
        <f>IFERROR(__xludf.DUMMYFUNCTION("""COMPUTED_VALUE"""),"#N/A")</f>
        <v>#N/A</v>
      </c>
      <c r="Q5247" s="1"/>
      <c r="R5247" s="1"/>
      <c r="S5247" s="1"/>
      <c r="T5247" s="1"/>
      <c r="U5247" s="2">
        <f>IFERROR(__xludf.DUMMYFUNCTION("""COMPUTED_VALUE"""),0.0)</f>
        <v>0</v>
      </c>
      <c r="V5247" s="1" t="str">
        <f>IFERROR(__xludf.DUMMYFUNCTION("""COMPUTED_VALUE"""),"#N/A")</f>
        <v>#N/A</v>
      </c>
      <c r="W5247" s="1" t="str">
        <f>IFERROR(__xludf.DUMMYFUNCTION("""COMPUTED_VALUE"""),"#N/A")</f>
        <v>#N/A</v>
      </c>
    </row>
    <row r="5248">
      <c r="O5248" s="1" t="str">
        <f>IFERROR(__xludf.DUMMYFUNCTION("""COMPUTED_VALUE"""),"#VALUE!")</f>
        <v>#VALUE!</v>
      </c>
      <c r="P5248" s="1" t="str">
        <f>IFERROR(__xludf.DUMMYFUNCTION("""COMPUTED_VALUE"""),"#N/A")</f>
        <v>#N/A</v>
      </c>
      <c r="Q5248" s="1"/>
      <c r="R5248" s="1"/>
      <c r="S5248" s="1"/>
      <c r="T5248" s="1"/>
      <c r="U5248" s="2">
        <f>IFERROR(__xludf.DUMMYFUNCTION("""COMPUTED_VALUE"""),0.0)</f>
        <v>0</v>
      </c>
      <c r="V5248" s="1" t="str">
        <f>IFERROR(__xludf.DUMMYFUNCTION("""COMPUTED_VALUE"""),"#N/A")</f>
        <v>#N/A</v>
      </c>
      <c r="W5248" s="1" t="str">
        <f>IFERROR(__xludf.DUMMYFUNCTION("""COMPUTED_VALUE"""),"#N/A")</f>
        <v>#N/A</v>
      </c>
    </row>
    <row r="5249">
      <c r="O5249" s="1" t="str">
        <f>IFERROR(__xludf.DUMMYFUNCTION("""COMPUTED_VALUE"""),"#VALUE!")</f>
        <v>#VALUE!</v>
      </c>
      <c r="P5249" s="1" t="str">
        <f>IFERROR(__xludf.DUMMYFUNCTION("""COMPUTED_VALUE"""),"#N/A")</f>
        <v>#N/A</v>
      </c>
      <c r="Q5249" s="1"/>
      <c r="R5249" s="1"/>
      <c r="S5249" s="1"/>
      <c r="T5249" s="1"/>
      <c r="U5249" s="2">
        <f>IFERROR(__xludf.DUMMYFUNCTION("""COMPUTED_VALUE"""),0.0)</f>
        <v>0</v>
      </c>
      <c r="V5249" s="1" t="str">
        <f>IFERROR(__xludf.DUMMYFUNCTION("""COMPUTED_VALUE"""),"#N/A")</f>
        <v>#N/A</v>
      </c>
      <c r="W5249" s="1" t="str">
        <f>IFERROR(__xludf.DUMMYFUNCTION("""COMPUTED_VALUE"""),"#N/A")</f>
        <v>#N/A</v>
      </c>
    </row>
    <row r="5250">
      <c r="O5250" s="1" t="str">
        <f>IFERROR(__xludf.DUMMYFUNCTION("""COMPUTED_VALUE"""),"#VALUE!")</f>
        <v>#VALUE!</v>
      </c>
      <c r="P5250" s="1" t="str">
        <f>IFERROR(__xludf.DUMMYFUNCTION("""COMPUTED_VALUE"""),"#N/A")</f>
        <v>#N/A</v>
      </c>
      <c r="Q5250" s="1"/>
      <c r="R5250" s="1"/>
      <c r="S5250" s="1"/>
      <c r="T5250" s="1"/>
      <c r="U5250" s="2">
        <f>IFERROR(__xludf.DUMMYFUNCTION("""COMPUTED_VALUE"""),0.0)</f>
        <v>0</v>
      </c>
      <c r="V5250" s="1" t="str">
        <f>IFERROR(__xludf.DUMMYFUNCTION("""COMPUTED_VALUE"""),"#N/A")</f>
        <v>#N/A</v>
      </c>
      <c r="W5250" s="1" t="str">
        <f>IFERROR(__xludf.DUMMYFUNCTION("""COMPUTED_VALUE"""),"#N/A")</f>
        <v>#N/A</v>
      </c>
    </row>
    <row r="5251">
      <c r="O5251" s="1" t="str">
        <f>IFERROR(__xludf.DUMMYFUNCTION("""COMPUTED_VALUE"""),"#VALUE!")</f>
        <v>#VALUE!</v>
      </c>
      <c r="P5251" s="1" t="str">
        <f>IFERROR(__xludf.DUMMYFUNCTION("""COMPUTED_VALUE"""),"#N/A")</f>
        <v>#N/A</v>
      </c>
      <c r="Q5251" s="1"/>
      <c r="R5251" s="1"/>
      <c r="S5251" s="1"/>
      <c r="T5251" s="1"/>
      <c r="U5251" s="2">
        <f>IFERROR(__xludf.DUMMYFUNCTION("""COMPUTED_VALUE"""),0.0)</f>
        <v>0</v>
      </c>
      <c r="V5251" s="1" t="str">
        <f>IFERROR(__xludf.DUMMYFUNCTION("""COMPUTED_VALUE"""),"#N/A")</f>
        <v>#N/A</v>
      </c>
      <c r="W5251" s="1" t="str">
        <f>IFERROR(__xludf.DUMMYFUNCTION("""COMPUTED_VALUE"""),"#N/A")</f>
        <v>#N/A</v>
      </c>
    </row>
    <row r="5252">
      <c r="O5252" s="1" t="str">
        <f>IFERROR(__xludf.DUMMYFUNCTION("""COMPUTED_VALUE"""),"#VALUE!")</f>
        <v>#VALUE!</v>
      </c>
      <c r="P5252" s="1" t="str">
        <f>IFERROR(__xludf.DUMMYFUNCTION("""COMPUTED_VALUE"""),"#N/A")</f>
        <v>#N/A</v>
      </c>
      <c r="Q5252" s="1"/>
      <c r="R5252" s="1"/>
      <c r="S5252" s="1"/>
      <c r="T5252" s="1"/>
      <c r="U5252" s="2">
        <f>IFERROR(__xludf.DUMMYFUNCTION("""COMPUTED_VALUE"""),0.0)</f>
        <v>0</v>
      </c>
      <c r="V5252" s="1" t="str">
        <f>IFERROR(__xludf.DUMMYFUNCTION("""COMPUTED_VALUE"""),"#N/A")</f>
        <v>#N/A</v>
      </c>
      <c r="W5252" s="1" t="str">
        <f>IFERROR(__xludf.DUMMYFUNCTION("""COMPUTED_VALUE"""),"#N/A")</f>
        <v>#N/A</v>
      </c>
    </row>
    <row r="5253">
      <c r="O5253" s="1" t="str">
        <f>IFERROR(__xludf.DUMMYFUNCTION("""COMPUTED_VALUE"""),"#VALUE!")</f>
        <v>#VALUE!</v>
      </c>
      <c r="P5253" s="1" t="str">
        <f>IFERROR(__xludf.DUMMYFUNCTION("""COMPUTED_VALUE"""),"#N/A")</f>
        <v>#N/A</v>
      </c>
      <c r="Q5253" s="1"/>
      <c r="R5253" s="1"/>
      <c r="S5253" s="1"/>
      <c r="T5253" s="1"/>
      <c r="U5253" s="2">
        <f>IFERROR(__xludf.DUMMYFUNCTION("""COMPUTED_VALUE"""),0.0)</f>
        <v>0</v>
      </c>
      <c r="V5253" s="1" t="str">
        <f>IFERROR(__xludf.DUMMYFUNCTION("""COMPUTED_VALUE"""),"#N/A")</f>
        <v>#N/A</v>
      </c>
      <c r="W5253" s="1" t="str">
        <f>IFERROR(__xludf.DUMMYFUNCTION("""COMPUTED_VALUE"""),"#N/A")</f>
        <v>#N/A</v>
      </c>
    </row>
    <row r="5254">
      <c r="O5254" s="1" t="str">
        <f>IFERROR(__xludf.DUMMYFUNCTION("""COMPUTED_VALUE"""),"#VALUE!")</f>
        <v>#VALUE!</v>
      </c>
      <c r="P5254" s="1" t="str">
        <f>IFERROR(__xludf.DUMMYFUNCTION("""COMPUTED_VALUE"""),"#N/A")</f>
        <v>#N/A</v>
      </c>
      <c r="Q5254" s="1"/>
      <c r="R5254" s="1"/>
      <c r="S5254" s="1"/>
      <c r="T5254" s="1"/>
      <c r="U5254" s="2">
        <f>IFERROR(__xludf.DUMMYFUNCTION("""COMPUTED_VALUE"""),0.0)</f>
        <v>0</v>
      </c>
      <c r="V5254" s="1" t="str">
        <f>IFERROR(__xludf.DUMMYFUNCTION("""COMPUTED_VALUE"""),"#N/A")</f>
        <v>#N/A</v>
      </c>
      <c r="W5254" s="1" t="str">
        <f>IFERROR(__xludf.DUMMYFUNCTION("""COMPUTED_VALUE"""),"#N/A")</f>
        <v>#N/A</v>
      </c>
    </row>
    <row r="5255">
      <c r="O5255" s="1" t="str">
        <f>IFERROR(__xludf.DUMMYFUNCTION("""COMPUTED_VALUE"""),"#VALUE!")</f>
        <v>#VALUE!</v>
      </c>
      <c r="P5255" s="1" t="str">
        <f>IFERROR(__xludf.DUMMYFUNCTION("""COMPUTED_VALUE"""),"#N/A")</f>
        <v>#N/A</v>
      </c>
      <c r="Q5255" s="1"/>
      <c r="R5255" s="1"/>
      <c r="S5255" s="1"/>
      <c r="T5255" s="1"/>
      <c r="U5255" s="2">
        <f>IFERROR(__xludf.DUMMYFUNCTION("""COMPUTED_VALUE"""),0.0)</f>
        <v>0</v>
      </c>
      <c r="V5255" s="1" t="str">
        <f>IFERROR(__xludf.DUMMYFUNCTION("""COMPUTED_VALUE"""),"#N/A")</f>
        <v>#N/A</v>
      </c>
      <c r="W5255" s="1" t="str">
        <f>IFERROR(__xludf.DUMMYFUNCTION("""COMPUTED_VALUE"""),"#N/A")</f>
        <v>#N/A</v>
      </c>
    </row>
    <row r="5256">
      <c r="O5256" s="1" t="str">
        <f>IFERROR(__xludf.DUMMYFUNCTION("""COMPUTED_VALUE"""),"#VALUE!")</f>
        <v>#VALUE!</v>
      </c>
      <c r="P5256" s="1" t="str">
        <f>IFERROR(__xludf.DUMMYFUNCTION("""COMPUTED_VALUE"""),"#N/A")</f>
        <v>#N/A</v>
      </c>
      <c r="Q5256" s="1"/>
      <c r="R5256" s="1"/>
      <c r="S5256" s="1"/>
      <c r="T5256" s="1"/>
      <c r="U5256" s="2">
        <f>IFERROR(__xludf.DUMMYFUNCTION("""COMPUTED_VALUE"""),0.0)</f>
        <v>0</v>
      </c>
      <c r="V5256" s="1" t="str">
        <f>IFERROR(__xludf.DUMMYFUNCTION("""COMPUTED_VALUE"""),"#N/A")</f>
        <v>#N/A</v>
      </c>
      <c r="W5256" s="1" t="str">
        <f>IFERROR(__xludf.DUMMYFUNCTION("""COMPUTED_VALUE"""),"#N/A")</f>
        <v>#N/A</v>
      </c>
    </row>
    <row r="5257">
      <c r="O5257" s="1" t="str">
        <f>IFERROR(__xludf.DUMMYFUNCTION("""COMPUTED_VALUE"""),"#VALUE!")</f>
        <v>#VALUE!</v>
      </c>
      <c r="P5257" s="1" t="str">
        <f>IFERROR(__xludf.DUMMYFUNCTION("""COMPUTED_VALUE"""),"#N/A")</f>
        <v>#N/A</v>
      </c>
      <c r="Q5257" s="1"/>
      <c r="R5257" s="1"/>
      <c r="S5257" s="1"/>
      <c r="T5257" s="1"/>
      <c r="U5257" s="2">
        <f>IFERROR(__xludf.DUMMYFUNCTION("""COMPUTED_VALUE"""),0.0)</f>
        <v>0</v>
      </c>
      <c r="V5257" s="1" t="str">
        <f>IFERROR(__xludf.DUMMYFUNCTION("""COMPUTED_VALUE"""),"#N/A")</f>
        <v>#N/A</v>
      </c>
      <c r="W5257" s="1" t="str">
        <f>IFERROR(__xludf.DUMMYFUNCTION("""COMPUTED_VALUE"""),"#N/A")</f>
        <v>#N/A</v>
      </c>
    </row>
    <row r="5258">
      <c r="O5258" s="1" t="str">
        <f>IFERROR(__xludf.DUMMYFUNCTION("""COMPUTED_VALUE"""),"#VALUE!")</f>
        <v>#VALUE!</v>
      </c>
      <c r="P5258" s="1" t="str">
        <f>IFERROR(__xludf.DUMMYFUNCTION("""COMPUTED_VALUE"""),"#N/A")</f>
        <v>#N/A</v>
      </c>
      <c r="Q5258" s="1"/>
      <c r="R5258" s="1"/>
      <c r="S5258" s="1"/>
      <c r="T5258" s="1"/>
      <c r="U5258" s="2">
        <f>IFERROR(__xludf.DUMMYFUNCTION("""COMPUTED_VALUE"""),0.0)</f>
        <v>0</v>
      </c>
      <c r="V5258" s="1" t="str">
        <f>IFERROR(__xludf.DUMMYFUNCTION("""COMPUTED_VALUE"""),"#N/A")</f>
        <v>#N/A</v>
      </c>
      <c r="W5258" s="1" t="str">
        <f>IFERROR(__xludf.DUMMYFUNCTION("""COMPUTED_VALUE"""),"#N/A")</f>
        <v>#N/A</v>
      </c>
    </row>
    <row r="5259">
      <c r="O5259" s="1" t="str">
        <f>IFERROR(__xludf.DUMMYFUNCTION("""COMPUTED_VALUE"""),"#VALUE!")</f>
        <v>#VALUE!</v>
      </c>
      <c r="P5259" s="1" t="str">
        <f>IFERROR(__xludf.DUMMYFUNCTION("""COMPUTED_VALUE"""),"#N/A")</f>
        <v>#N/A</v>
      </c>
      <c r="Q5259" s="1"/>
      <c r="R5259" s="1"/>
      <c r="S5259" s="1"/>
      <c r="T5259" s="1"/>
      <c r="U5259" s="2">
        <f>IFERROR(__xludf.DUMMYFUNCTION("""COMPUTED_VALUE"""),0.0)</f>
        <v>0</v>
      </c>
      <c r="V5259" s="1" t="str">
        <f>IFERROR(__xludf.DUMMYFUNCTION("""COMPUTED_VALUE"""),"#N/A")</f>
        <v>#N/A</v>
      </c>
      <c r="W5259" s="1" t="str">
        <f>IFERROR(__xludf.DUMMYFUNCTION("""COMPUTED_VALUE"""),"#N/A")</f>
        <v>#N/A</v>
      </c>
    </row>
    <row r="5260">
      <c r="O5260" s="1" t="str">
        <f>IFERROR(__xludf.DUMMYFUNCTION("""COMPUTED_VALUE"""),"#VALUE!")</f>
        <v>#VALUE!</v>
      </c>
      <c r="P5260" s="1" t="str">
        <f>IFERROR(__xludf.DUMMYFUNCTION("""COMPUTED_VALUE"""),"#N/A")</f>
        <v>#N/A</v>
      </c>
      <c r="Q5260" s="1"/>
      <c r="R5260" s="1"/>
      <c r="S5260" s="1"/>
      <c r="T5260" s="1"/>
      <c r="U5260" s="2">
        <f>IFERROR(__xludf.DUMMYFUNCTION("""COMPUTED_VALUE"""),0.0)</f>
        <v>0</v>
      </c>
      <c r="V5260" s="1" t="str">
        <f>IFERROR(__xludf.DUMMYFUNCTION("""COMPUTED_VALUE"""),"#N/A")</f>
        <v>#N/A</v>
      </c>
      <c r="W5260" s="1" t="str">
        <f>IFERROR(__xludf.DUMMYFUNCTION("""COMPUTED_VALUE"""),"#N/A")</f>
        <v>#N/A</v>
      </c>
    </row>
    <row r="5261">
      <c r="O5261" s="1" t="str">
        <f>IFERROR(__xludf.DUMMYFUNCTION("""COMPUTED_VALUE"""),"#VALUE!")</f>
        <v>#VALUE!</v>
      </c>
      <c r="P5261" s="1" t="str">
        <f>IFERROR(__xludf.DUMMYFUNCTION("""COMPUTED_VALUE"""),"#N/A")</f>
        <v>#N/A</v>
      </c>
      <c r="Q5261" s="1"/>
      <c r="R5261" s="1"/>
      <c r="S5261" s="1"/>
      <c r="T5261" s="1"/>
      <c r="U5261" s="2">
        <f>IFERROR(__xludf.DUMMYFUNCTION("""COMPUTED_VALUE"""),0.0)</f>
        <v>0</v>
      </c>
      <c r="V5261" s="1" t="str">
        <f>IFERROR(__xludf.DUMMYFUNCTION("""COMPUTED_VALUE"""),"#N/A")</f>
        <v>#N/A</v>
      </c>
      <c r="W5261" s="1" t="str">
        <f>IFERROR(__xludf.DUMMYFUNCTION("""COMPUTED_VALUE"""),"#N/A")</f>
        <v>#N/A</v>
      </c>
    </row>
    <row r="5262">
      <c r="O5262" s="1" t="str">
        <f>IFERROR(__xludf.DUMMYFUNCTION("""COMPUTED_VALUE"""),"#VALUE!")</f>
        <v>#VALUE!</v>
      </c>
      <c r="P5262" s="1" t="str">
        <f>IFERROR(__xludf.DUMMYFUNCTION("""COMPUTED_VALUE"""),"#N/A")</f>
        <v>#N/A</v>
      </c>
      <c r="Q5262" s="1"/>
      <c r="R5262" s="1"/>
      <c r="S5262" s="1"/>
      <c r="T5262" s="1"/>
      <c r="U5262" s="2">
        <f>IFERROR(__xludf.DUMMYFUNCTION("""COMPUTED_VALUE"""),0.0)</f>
        <v>0</v>
      </c>
      <c r="V5262" s="1" t="str">
        <f>IFERROR(__xludf.DUMMYFUNCTION("""COMPUTED_VALUE"""),"#N/A")</f>
        <v>#N/A</v>
      </c>
      <c r="W5262" s="1" t="str">
        <f>IFERROR(__xludf.DUMMYFUNCTION("""COMPUTED_VALUE"""),"#N/A")</f>
        <v>#N/A</v>
      </c>
    </row>
    <row r="5263">
      <c r="O5263" s="1" t="str">
        <f>IFERROR(__xludf.DUMMYFUNCTION("""COMPUTED_VALUE"""),"#VALUE!")</f>
        <v>#VALUE!</v>
      </c>
      <c r="P5263" s="1" t="str">
        <f>IFERROR(__xludf.DUMMYFUNCTION("""COMPUTED_VALUE"""),"#N/A")</f>
        <v>#N/A</v>
      </c>
      <c r="Q5263" s="1"/>
      <c r="R5263" s="1"/>
      <c r="S5263" s="1"/>
      <c r="T5263" s="1"/>
      <c r="U5263" s="2">
        <f>IFERROR(__xludf.DUMMYFUNCTION("""COMPUTED_VALUE"""),0.0)</f>
        <v>0</v>
      </c>
      <c r="V5263" s="1" t="str">
        <f>IFERROR(__xludf.DUMMYFUNCTION("""COMPUTED_VALUE"""),"#N/A")</f>
        <v>#N/A</v>
      </c>
      <c r="W5263" s="1" t="str">
        <f>IFERROR(__xludf.DUMMYFUNCTION("""COMPUTED_VALUE"""),"#N/A")</f>
        <v>#N/A</v>
      </c>
    </row>
    <row r="5264">
      <c r="O5264" s="1" t="str">
        <f>IFERROR(__xludf.DUMMYFUNCTION("""COMPUTED_VALUE"""),"#VALUE!")</f>
        <v>#VALUE!</v>
      </c>
      <c r="P5264" s="1" t="str">
        <f>IFERROR(__xludf.DUMMYFUNCTION("""COMPUTED_VALUE"""),"#N/A")</f>
        <v>#N/A</v>
      </c>
      <c r="Q5264" s="1"/>
      <c r="R5264" s="1"/>
      <c r="S5264" s="1"/>
      <c r="T5264" s="1"/>
      <c r="U5264" s="2">
        <f>IFERROR(__xludf.DUMMYFUNCTION("""COMPUTED_VALUE"""),0.0)</f>
        <v>0</v>
      </c>
      <c r="V5264" s="1" t="str">
        <f>IFERROR(__xludf.DUMMYFUNCTION("""COMPUTED_VALUE"""),"#N/A")</f>
        <v>#N/A</v>
      </c>
      <c r="W5264" s="1" t="str">
        <f>IFERROR(__xludf.DUMMYFUNCTION("""COMPUTED_VALUE"""),"#N/A")</f>
        <v>#N/A</v>
      </c>
    </row>
    <row r="5265">
      <c r="O5265" s="1" t="str">
        <f>IFERROR(__xludf.DUMMYFUNCTION("""COMPUTED_VALUE"""),"#VALUE!")</f>
        <v>#VALUE!</v>
      </c>
      <c r="P5265" s="1" t="str">
        <f>IFERROR(__xludf.DUMMYFUNCTION("""COMPUTED_VALUE"""),"#N/A")</f>
        <v>#N/A</v>
      </c>
      <c r="Q5265" s="1"/>
      <c r="R5265" s="1"/>
      <c r="S5265" s="1"/>
      <c r="T5265" s="1"/>
      <c r="U5265" s="2">
        <f>IFERROR(__xludf.DUMMYFUNCTION("""COMPUTED_VALUE"""),0.0)</f>
        <v>0</v>
      </c>
      <c r="V5265" s="1" t="str">
        <f>IFERROR(__xludf.DUMMYFUNCTION("""COMPUTED_VALUE"""),"#N/A")</f>
        <v>#N/A</v>
      </c>
      <c r="W5265" s="1" t="str">
        <f>IFERROR(__xludf.DUMMYFUNCTION("""COMPUTED_VALUE"""),"#N/A")</f>
        <v>#N/A</v>
      </c>
    </row>
    <row r="5266">
      <c r="O5266" s="1" t="str">
        <f>IFERROR(__xludf.DUMMYFUNCTION("""COMPUTED_VALUE"""),"#VALUE!")</f>
        <v>#VALUE!</v>
      </c>
      <c r="P5266" s="1" t="str">
        <f>IFERROR(__xludf.DUMMYFUNCTION("""COMPUTED_VALUE"""),"#N/A")</f>
        <v>#N/A</v>
      </c>
      <c r="Q5266" s="1"/>
      <c r="R5266" s="1"/>
      <c r="S5266" s="1"/>
      <c r="T5266" s="1"/>
      <c r="U5266" s="2">
        <f>IFERROR(__xludf.DUMMYFUNCTION("""COMPUTED_VALUE"""),0.0)</f>
        <v>0</v>
      </c>
      <c r="V5266" s="1" t="str">
        <f>IFERROR(__xludf.DUMMYFUNCTION("""COMPUTED_VALUE"""),"#N/A")</f>
        <v>#N/A</v>
      </c>
      <c r="W5266" s="1" t="str">
        <f>IFERROR(__xludf.DUMMYFUNCTION("""COMPUTED_VALUE"""),"#N/A")</f>
        <v>#N/A</v>
      </c>
    </row>
    <row r="5267">
      <c r="O5267" s="1" t="str">
        <f>IFERROR(__xludf.DUMMYFUNCTION("""COMPUTED_VALUE"""),"#VALUE!")</f>
        <v>#VALUE!</v>
      </c>
      <c r="P5267" s="1" t="str">
        <f>IFERROR(__xludf.DUMMYFUNCTION("""COMPUTED_VALUE"""),"#N/A")</f>
        <v>#N/A</v>
      </c>
      <c r="Q5267" s="1"/>
      <c r="R5267" s="1"/>
      <c r="S5267" s="1"/>
      <c r="T5267" s="1"/>
      <c r="U5267" s="2">
        <f>IFERROR(__xludf.DUMMYFUNCTION("""COMPUTED_VALUE"""),0.0)</f>
        <v>0</v>
      </c>
      <c r="V5267" s="1" t="str">
        <f>IFERROR(__xludf.DUMMYFUNCTION("""COMPUTED_VALUE"""),"#N/A")</f>
        <v>#N/A</v>
      </c>
      <c r="W5267" s="1" t="str">
        <f>IFERROR(__xludf.DUMMYFUNCTION("""COMPUTED_VALUE"""),"#N/A")</f>
        <v>#N/A</v>
      </c>
    </row>
    <row r="5268">
      <c r="O5268" s="1" t="str">
        <f>IFERROR(__xludf.DUMMYFUNCTION("""COMPUTED_VALUE"""),"#VALUE!")</f>
        <v>#VALUE!</v>
      </c>
      <c r="P5268" s="1" t="str">
        <f>IFERROR(__xludf.DUMMYFUNCTION("""COMPUTED_VALUE"""),"#N/A")</f>
        <v>#N/A</v>
      </c>
      <c r="Q5268" s="1"/>
      <c r="R5268" s="1"/>
      <c r="S5268" s="1"/>
      <c r="T5268" s="1"/>
      <c r="U5268" s="2">
        <f>IFERROR(__xludf.DUMMYFUNCTION("""COMPUTED_VALUE"""),0.0)</f>
        <v>0</v>
      </c>
      <c r="V5268" s="1" t="str">
        <f>IFERROR(__xludf.DUMMYFUNCTION("""COMPUTED_VALUE"""),"#N/A")</f>
        <v>#N/A</v>
      </c>
      <c r="W5268" s="1" t="str">
        <f>IFERROR(__xludf.DUMMYFUNCTION("""COMPUTED_VALUE"""),"#N/A")</f>
        <v>#N/A</v>
      </c>
    </row>
    <row r="5269">
      <c r="O5269" s="1" t="str">
        <f>IFERROR(__xludf.DUMMYFUNCTION("""COMPUTED_VALUE"""),"#VALUE!")</f>
        <v>#VALUE!</v>
      </c>
      <c r="P5269" s="1" t="str">
        <f>IFERROR(__xludf.DUMMYFUNCTION("""COMPUTED_VALUE"""),"#N/A")</f>
        <v>#N/A</v>
      </c>
      <c r="Q5269" s="1"/>
      <c r="R5269" s="1"/>
      <c r="S5269" s="1"/>
      <c r="T5269" s="1"/>
      <c r="U5269" s="2">
        <f>IFERROR(__xludf.DUMMYFUNCTION("""COMPUTED_VALUE"""),0.0)</f>
        <v>0</v>
      </c>
      <c r="V5269" s="1" t="str">
        <f>IFERROR(__xludf.DUMMYFUNCTION("""COMPUTED_VALUE"""),"#N/A")</f>
        <v>#N/A</v>
      </c>
      <c r="W5269" s="1" t="str">
        <f>IFERROR(__xludf.DUMMYFUNCTION("""COMPUTED_VALUE"""),"#N/A")</f>
        <v>#N/A</v>
      </c>
    </row>
    <row r="5270">
      <c r="O5270" s="1" t="str">
        <f>IFERROR(__xludf.DUMMYFUNCTION("""COMPUTED_VALUE"""),"#VALUE!")</f>
        <v>#VALUE!</v>
      </c>
      <c r="P5270" s="1" t="str">
        <f>IFERROR(__xludf.DUMMYFUNCTION("""COMPUTED_VALUE"""),"#N/A")</f>
        <v>#N/A</v>
      </c>
      <c r="Q5270" s="1"/>
      <c r="R5270" s="1"/>
      <c r="S5270" s="1"/>
      <c r="T5270" s="1"/>
      <c r="U5270" s="2">
        <f>IFERROR(__xludf.DUMMYFUNCTION("""COMPUTED_VALUE"""),0.0)</f>
        <v>0</v>
      </c>
      <c r="V5270" s="1" t="str">
        <f>IFERROR(__xludf.DUMMYFUNCTION("""COMPUTED_VALUE"""),"#N/A")</f>
        <v>#N/A</v>
      </c>
      <c r="W5270" s="1" t="str">
        <f>IFERROR(__xludf.DUMMYFUNCTION("""COMPUTED_VALUE"""),"#N/A")</f>
        <v>#N/A</v>
      </c>
    </row>
    <row r="5271">
      <c r="O5271" s="1" t="str">
        <f>IFERROR(__xludf.DUMMYFUNCTION("""COMPUTED_VALUE"""),"#VALUE!")</f>
        <v>#VALUE!</v>
      </c>
      <c r="P5271" s="1" t="str">
        <f>IFERROR(__xludf.DUMMYFUNCTION("""COMPUTED_VALUE"""),"#N/A")</f>
        <v>#N/A</v>
      </c>
      <c r="Q5271" s="1"/>
      <c r="R5271" s="1"/>
      <c r="S5271" s="1"/>
      <c r="T5271" s="1"/>
      <c r="U5271" s="2">
        <f>IFERROR(__xludf.DUMMYFUNCTION("""COMPUTED_VALUE"""),0.0)</f>
        <v>0</v>
      </c>
      <c r="V5271" s="1" t="str">
        <f>IFERROR(__xludf.DUMMYFUNCTION("""COMPUTED_VALUE"""),"#N/A")</f>
        <v>#N/A</v>
      </c>
      <c r="W5271" s="1" t="str">
        <f>IFERROR(__xludf.DUMMYFUNCTION("""COMPUTED_VALUE"""),"#N/A")</f>
        <v>#N/A</v>
      </c>
    </row>
    <row r="5272">
      <c r="O5272" s="1" t="str">
        <f>IFERROR(__xludf.DUMMYFUNCTION("""COMPUTED_VALUE"""),"#VALUE!")</f>
        <v>#VALUE!</v>
      </c>
      <c r="P5272" s="1" t="str">
        <f>IFERROR(__xludf.DUMMYFUNCTION("""COMPUTED_VALUE"""),"#N/A")</f>
        <v>#N/A</v>
      </c>
      <c r="Q5272" s="1"/>
      <c r="R5272" s="1"/>
      <c r="S5272" s="1"/>
      <c r="T5272" s="1"/>
      <c r="U5272" s="2">
        <f>IFERROR(__xludf.DUMMYFUNCTION("""COMPUTED_VALUE"""),0.0)</f>
        <v>0</v>
      </c>
      <c r="V5272" s="1" t="str">
        <f>IFERROR(__xludf.DUMMYFUNCTION("""COMPUTED_VALUE"""),"#N/A")</f>
        <v>#N/A</v>
      </c>
      <c r="W5272" s="1" t="str">
        <f>IFERROR(__xludf.DUMMYFUNCTION("""COMPUTED_VALUE"""),"#N/A")</f>
        <v>#N/A</v>
      </c>
    </row>
    <row r="5273">
      <c r="O5273" s="1" t="str">
        <f>IFERROR(__xludf.DUMMYFUNCTION("""COMPUTED_VALUE"""),"#VALUE!")</f>
        <v>#VALUE!</v>
      </c>
      <c r="P5273" s="1" t="str">
        <f>IFERROR(__xludf.DUMMYFUNCTION("""COMPUTED_VALUE"""),"#N/A")</f>
        <v>#N/A</v>
      </c>
      <c r="Q5273" s="1"/>
      <c r="R5273" s="1"/>
      <c r="S5273" s="1"/>
      <c r="T5273" s="1"/>
      <c r="U5273" s="2">
        <f>IFERROR(__xludf.DUMMYFUNCTION("""COMPUTED_VALUE"""),0.0)</f>
        <v>0</v>
      </c>
      <c r="V5273" s="1" t="str">
        <f>IFERROR(__xludf.DUMMYFUNCTION("""COMPUTED_VALUE"""),"#N/A")</f>
        <v>#N/A</v>
      </c>
      <c r="W5273" s="1" t="str">
        <f>IFERROR(__xludf.DUMMYFUNCTION("""COMPUTED_VALUE"""),"#N/A")</f>
        <v>#N/A</v>
      </c>
    </row>
    <row r="5274">
      <c r="O5274" s="1" t="str">
        <f>IFERROR(__xludf.DUMMYFUNCTION("""COMPUTED_VALUE"""),"#VALUE!")</f>
        <v>#VALUE!</v>
      </c>
      <c r="P5274" s="1" t="str">
        <f>IFERROR(__xludf.DUMMYFUNCTION("""COMPUTED_VALUE"""),"#N/A")</f>
        <v>#N/A</v>
      </c>
      <c r="Q5274" s="1"/>
      <c r="R5274" s="1"/>
      <c r="S5274" s="1"/>
      <c r="T5274" s="1"/>
      <c r="U5274" s="2">
        <f>IFERROR(__xludf.DUMMYFUNCTION("""COMPUTED_VALUE"""),0.0)</f>
        <v>0</v>
      </c>
      <c r="V5274" s="1" t="str">
        <f>IFERROR(__xludf.DUMMYFUNCTION("""COMPUTED_VALUE"""),"#N/A")</f>
        <v>#N/A</v>
      </c>
      <c r="W5274" s="1" t="str">
        <f>IFERROR(__xludf.DUMMYFUNCTION("""COMPUTED_VALUE"""),"#N/A")</f>
        <v>#N/A</v>
      </c>
    </row>
    <row r="5275">
      <c r="O5275" s="1" t="str">
        <f>IFERROR(__xludf.DUMMYFUNCTION("""COMPUTED_VALUE"""),"#VALUE!")</f>
        <v>#VALUE!</v>
      </c>
      <c r="P5275" s="1" t="str">
        <f>IFERROR(__xludf.DUMMYFUNCTION("""COMPUTED_VALUE"""),"#N/A")</f>
        <v>#N/A</v>
      </c>
      <c r="Q5275" s="1"/>
      <c r="R5275" s="1"/>
      <c r="S5275" s="1"/>
      <c r="T5275" s="1"/>
      <c r="U5275" s="2">
        <f>IFERROR(__xludf.DUMMYFUNCTION("""COMPUTED_VALUE"""),0.0)</f>
        <v>0</v>
      </c>
      <c r="V5275" s="1" t="str">
        <f>IFERROR(__xludf.DUMMYFUNCTION("""COMPUTED_VALUE"""),"#N/A")</f>
        <v>#N/A</v>
      </c>
      <c r="W5275" s="1" t="str">
        <f>IFERROR(__xludf.DUMMYFUNCTION("""COMPUTED_VALUE"""),"#N/A")</f>
        <v>#N/A</v>
      </c>
    </row>
    <row r="5276">
      <c r="O5276" s="1" t="str">
        <f>IFERROR(__xludf.DUMMYFUNCTION("""COMPUTED_VALUE"""),"#VALUE!")</f>
        <v>#VALUE!</v>
      </c>
      <c r="P5276" s="1" t="str">
        <f>IFERROR(__xludf.DUMMYFUNCTION("""COMPUTED_VALUE"""),"#N/A")</f>
        <v>#N/A</v>
      </c>
      <c r="Q5276" s="1"/>
      <c r="R5276" s="1"/>
      <c r="S5276" s="1"/>
      <c r="T5276" s="1"/>
      <c r="U5276" s="2">
        <f>IFERROR(__xludf.DUMMYFUNCTION("""COMPUTED_VALUE"""),0.0)</f>
        <v>0</v>
      </c>
      <c r="V5276" s="1" t="str">
        <f>IFERROR(__xludf.DUMMYFUNCTION("""COMPUTED_VALUE"""),"#N/A")</f>
        <v>#N/A</v>
      </c>
      <c r="W5276" s="1" t="str">
        <f>IFERROR(__xludf.DUMMYFUNCTION("""COMPUTED_VALUE"""),"#N/A")</f>
        <v>#N/A</v>
      </c>
    </row>
    <row r="5277">
      <c r="O5277" s="1" t="str">
        <f>IFERROR(__xludf.DUMMYFUNCTION("""COMPUTED_VALUE"""),"#VALUE!")</f>
        <v>#VALUE!</v>
      </c>
      <c r="P5277" s="1" t="str">
        <f>IFERROR(__xludf.DUMMYFUNCTION("""COMPUTED_VALUE"""),"#N/A")</f>
        <v>#N/A</v>
      </c>
      <c r="Q5277" s="1"/>
      <c r="R5277" s="1"/>
      <c r="S5277" s="1"/>
      <c r="T5277" s="1"/>
      <c r="U5277" s="2">
        <f>IFERROR(__xludf.DUMMYFUNCTION("""COMPUTED_VALUE"""),0.0)</f>
        <v>0</v>
      </c>
      <c r="V5277" s="1" t="str">
        <f>IFERROR(__xludf.DUMMYFUNCTION("""COMPUTED_VALUE"""),"#N/A")</f>
        <v>#N/A</v>
      </c>
      <c r="W5277" s="1" t="str">
        <f>IFERROR(__xludf.DUMMYFUNCTION("""COMPUTED_VALUE"""),"#N/A")</f>
        <v>#N/A</v>
      </c>
    </row>
    <row r="5278">
      <c r="O5278" s="1" t="str">
        <f>IFERROR(__xludf.DUMMYFUNCTION("""COMPUTED_VALUE"""),"#VALUE!")</f>
        <v>#VALUE!</v>
      </c>
      <c r="P5278" s="1" t="str">
        <f>IFERROR(__xludf.DUMMYFUNCTION("""COMPUTED_VALUE"""),"#N/A")</f>
        <v>#N/A</v>
      </c>
      <c r="Q5278" s="1"/>
      <c r="R5278" s="1"/>
      <c r="S5278" s="1"/>
      <c r="T5278" s="1"/>
      <c r="U5278" s="2">
        <f>IFERROR(__xludf.DUMMYFUNCTION("""COMPUTED_VALUE"""),0.0)</f>
        <v>0</v>
      </c>
      <c r="V5278" s="1" t="str">
        <f>IFERROR(__xludf.DUMMYFUNCTION("""COMPUTED_VALUE"""),"#N/A")</f>
        <v>#N/A</v>
      </c>
      <c r="W5278" s="1" t="str">
        <f>IFERROR(__xludf.DUMMYFUNCTION("""COMPUTED_VALUE"""),"#N/A")</f>
        <v>#N/A</v>
      </c>
    </row>
    <row r="5279">
      <c r="O5279" s="1" t="str">
        <f>IFERROR(__xludf.DUMMYFUNCTION("""COMPUTED_VALUE"""),"#VALUE!")</f>
        <v>#VALUE!</v>
      </c>
      <c r="P5279" s="1" t="str">
        <f>IFERROR(__xludf.DUMMYFUNCTION("""COMPUTED_VALUE"""),"#N/A")</f>
        <v>#N/A</v>
      </c>
      <c r="Q5279" s="1"/>
      <c r="R5279" s="1"/>
      <c r="S5279" s="1"/>
      <c r="T5279" s="1"/>
      <c r="U5279" s="2">
        <f>IFERROR(__xludf.DUMMYFUNCTION("""COMPUTED_VALUE"""),0.0)</f>
        <v>0</v>
      </c>
      <c r="V5279" s="1" t="str">
        <f>IFERROR(__xludf.DUMMYFUNCTION("""COMPUTED_VALUE"""),"#N/A")</f>
        <v>#N/A</v>
      </c>
      <c r="W5279" s="1" t="str">
        <f>IFERROR(__xludf.DUMMYFUNCTION("""COMPUTED_VALUE"""),"#N/A")</f>
        <v>#N/A</v>
      </c>
    </row>
    <row r="5280">
      <c r="O5280" s="1" t="str">
        <f>IFERROR(__xludf.DUMMYFUNCTION("""COMPUTED_VALUE"""),"#VALUE!")</f>
        <v>#VALUE!</v>
      </c>
      <c r="P5280" s="1" t="str">
        <f>IFERROR(__xludf.DUMMYFUNCTION("""COMPUTED_VALUE"""),"#N/A")</f>
        <v>#N/A</v>
      </c>
      <c r="Q5280" s="1"/>
      <c r="R5280" s="1"/>
      <c r="S5280" s="1"/>
      <c r="T5280" s="1"/>
      <c r="U5280" s="2">
        <f>IFERROR(__xludf.DUMMYFUNCTION("""COMPUTED_VALUE"""),0.0)</f>
        <v>0</v>
      </c>
      <c r="V5280" s="1" t="str">
        <f>IFERROR(__xludf.DUMMYFUNCTION("""COMPUTED_VALUE"""),"#N/A")</f>
        <v>#N/A</v>
      </c>
      <c r="W5280" s="1" t="str">
        <f>IFERROR(__xludf.DUMMYFUNCTION("""COMPUTED_VALUE"""),"#N/A")</f>
        <v>#N/A</v>
      </c>
    </row>
    <row r="5281">
      <c r="O5281" s="1" t="str">
        <f>IFERROR(__xludf.DUMMYFUNCTION("""COMPUTED_VALUE"""),"#VALUE!")</f>
        <v>#VALUE!</v>
      </c>
      <c r="P5281" s="1" t="str">
        <f>IFERROR(__xludf.DUMMYFUNCTION("""COMPUTED_VALUE"""),"#N/A")</f>
        <v>#N/A</v>
      </c>
      <c r="Q5281" s="1"/>
      <c r="R5281" s="1"/>
      <c r="S5281" s="1"/>
      <c r="T5281" s="1"/>
      <c r="U5281" s="2">
        <f>IFERROR(__xludf.DUMMYFUNCTION("""COMPUTED_VALUE"""),0.0)</f>
        <v>0</v>
      </c>
      <c r="V5281" s="1" t="str">
        <f>IFERROR(__xludf.DUMMYFUNCTION("""COMPUTED_VALUE"""),"#N/A")</f>
        <v>#N/A</v>
      </c>
      <c r="W5281" s="1" t="str">
        <f>IFERROR(__xludf.DUMMYFUNCTION("""COMPUTED_VALUE"""),"#N/A")</f>
        <v>#N/A</v>
      </c>
    </row>
    <row r="5282">
      <c r="O5282" s="1" t="str">
        <f>IFERROR(__xludf.DUMMYFUNCTION("""COMPUTED_VALUE"""),"#VALUE!")</f>
        <v>#VALUE!</v>
      </c>
      <c r="P5282" s="1" t="str">
        <f>IFERROR(__xludf.DUMMYFUNCTION("""COMPUTED_VALUE"""),"#N/A")</f>
        <v>#N/A</v>
      </c>
      <c r="Q5282" s="1"/>
      <c r="R5282" s="1"/>
      <c r="S5282" s="1"/>
      <c r="T5282" s="1"/>
      <c r="U5282" s="2">
        <f>IFERROR(__xludf.DUMMYFUNCTION("""COMPUTED_VALUE"""),0.0)</f>
        <v>0</v>
      </c>
      <c r="V5282" s="1" t="str">
        <f>IFERROR(__xludf.DUMMYFUNCTION("""COMPUTED_VALUE"""),"#N/A")</f>
        <v>#N/A</v>
      </c>
      <c r="W5282" s="1" t="str">
        <f>IFERROR(__xludf.DUMMYFUNCTION("""COMPUTED_VALUE"""),"#N/A")</f>
        <v>#N/A</v>
      </c>
    </row>
    <row r="5283">
      <c r="O5283" s="1" t="str">
        <f>IFERROR(__xludf.DUMMYFUNCTION("""COMPUTED_VALUE"""),"#VALUE!")</f>
        <v>#VALUE!</v>
      </c>
      <c r="P5283" s="1" t="str">
        <f>IFERROR(__xludf.DUMMYFUNCTION("""COMPUTED_VALUE"""),"#N/A")</f>
        <v>#N/A</v>
      </c>
      <c r="Q5283" s="1"/>
      <c r="R5283" s="1"/>
      <c r="S5283" s="1"/>
      <c r="T5283" s="1"/>
      <c r="U5283" s="2">
        <f>IFERROR(__xludf.DUMMYFUNCTION("""COMPUTED_VALUE"""),0.0)</f>
        <v>0</v>
      </c>
      <c r="V5283" s="1" t="str">
        <f>IFERROR(__xludf.DUMMYFUNCTION("""COMPUTED_VALUE"""),"#N/A")</f>
        <v>#N/A</v>
      </c>
      <c r="W5283" s="1" t="str">
        <f>IFERROR(__xludf.DUMMYFUNCTION("""COMPUTED_VALUE"""),"#N/A")</f>
        <v>#N/A</v>
      </c>
    </row>
    <row r="5284">
      <c r="O5284" s="1" t="str">
        <f>IFERROR(__xludf.DUMMYFUNCTION("""COMPUTED_VALUE"""),"#VALUE!")</f>
        <v>#VALUE!</v>
      </c>
      <c r="P5284" s="1" t="str">
        <f>IFERROR(__xludf.DUMMYFUNCTION("""COMPUTED_VALUE"""),"#N/A")</f>
        <v>#N/A</v>
      </c>
      <c r="Q5284" s="1"/>
      <c r="R5284" s="1"/>
      <c r="S5284" s="1"/>
      <c r="T5284" s="1"/>
      <c r="U5284" s="2">
        <f>IFERROR(__xludf.DUMMYFUNCTION("""COMPUTED_VALUE"""),0.0)</f>
        <v>0</v>
      </c>
      <c r="V5284" s="1" t="str">
        <f>IFERROR(__xludf.DUMMYFUNCTION("""COMPUTED_VALUE"""),"#N/A")</f>
        <v>#N/A</v>
      </c>
      <c r="W5284" s="1" t="str">
        <f>IFERROR(__xludf.DUMMYFUNCTION("""COMPUTED_VALUE"""),"#N/A")</f>
        <v>#N/A</v>
      </c>
    </row>
    <row r="5285">
      <c r="O5285" s="1" t="str">
        <f>IFERROR(__xludf.DUMMYFUNCTION("""COMPUTED_VALUE"""),"#VALUE!")</f>
        <v>#VALUE!</v>
      </c>
      <c r="P5285" s="1" t="str">
        <f>IFERROR(__xludf.DUMMYFUNCTION("""COMPUTED_VALUE"""),"#N/A")</f>
        <v>#N/A</v>
      </c>
      <c r="Q5285" s="1"/>
      <c r="R5285" s="1"/>
      <c r="S5285" s="1"/>
      <c r="T5285" s="1"/>
      <c r="U5285" s="2">
        <f>IFERROR(__xludf.DUMMYFUNCTION("""COMPUTED_VALUE"""),0.0)</f>
        <v>0</v>
      </c>
      <c r="V5285" s="1" t="str">
        <f>IFERROR(__xludf.DUMMYFUNCTION("""COMPUTED_VALUE"""),"#N/A")</f>
        <v>#N/A</v>
      </c>
      <c r="W5285" s="1" t="str">
        <f>IFERROR(__xludf.DUMMYFUNCTION("""COMPUTED_VALUE"""),"#N/A")</f>
        <v>#N/A</v>
      </c>
    </row>
    <row r="5286">
      <c r="O5286" s="1" t="str">
        <f>IFERROR(__xludf.DUMMYFUNCTION("""COMPUTED_VALUE"""),"#VALUE!")</f>
        <v>#VALUE!</v>
      </c>
      <c r="P5286" s="1" t="str">
        <f>IFERROR(__xludf.DUMMYFUNCTION("""COMPUTED_VALUE"""),"#N/A")</f>
        <v>#N/A</v>
      </c>
      <c r="Q5286" s="1"/>
      <c r="R5286" s="1"/>
      <c r="S5286" s="1"/>
      <c r="T5286" s="1"/>
      <c r="U5286" s="2">
        <f>IFERROR(__xludf.DUMMYFUNCTION("""COMPUTED_VALUE"""),0.0)</f>
        <v>0</v>
      </c>
      <c r="V5286" s="1" t="str">
        <f>IFERROR(__xludf.DUMMYFUNCTION("""COMPUTED_VALUE"""),"#N/A")</f>
        <v>#N/A</v>
      </c>
      <c r="W5286" s="1" t="str">
        <f>IFERROR(__xludf.DUMMYFUNCTION("""COMPUTED_VALUE"""),"#N/A")</f>
        <v>#N/A</v>
      </c>
    </row>
    <row r="5287">
      <c r="O5287" s="1" t="str">
        <f>IFERROR(__xludf.DUMMYFUNCTION("""COMPUTED_VALUE"""),"#VALUE!")</f>
        <v>#VALUE!</v>
      </c>
      <c r="P5287" s="1" t="str">
        <f>IFERROR(__xludf.DUMMYFUNCTION("""COMPUTED_VALUE"""),"#N/A")</f>
        <v>#N/A</v>
      </c>
      <c r="Q5287" s="1"/>
      <c r="R5287" s="1"/>
      <c r="S5287" s="1"/>
      <c r="T5287" s="1"/>
      <c r="U5287" s="2">
        <f>IFERROR(__xludf.DUMMYFUNCTION("""COMPUTED_VALUE"""),0.0)</f>
        <v>0</v>
      </c>
      <c r="V5287" s="1" t="str">
        <f>IFERROR(__xludf.DUMMYFUNCTION("""COMPUTED_VALUE"""),"#N/A")</f>
        <v>#N/A</v>
      </c>
      <c r="W5287" s="1" t="str">
        <f>IFERROR(__xludf.DUMMYFUNCTION("""COMPUTED_VALUE"""),"#N/A")</f>
        <v>#N/A</v>
      </c>
    </row>
    <row r="5288">
      <c r="O5288" s="1" t="str">
        <f>IFERROR(__xludf.DUMMYFUNCTION("""COMPUTED_VALUE"""),"#VALUE!")</f>
        <v>#VALUE!</v>
      </c>
      <c r="P5288" s="1" t="str">
        <f>IFERROR(__xludf.DUMMYFUNCTION("""COMPUTED_VALUE"""),"#N/A")</f>
        <v>#N/A</v>
      </c>
      <c r="Q5288" s="1"/>
      <c r="R5288" s="1"/>
      <c r="S5288" s="1"/>
      <c r="T5288" s="1"/>
      <c r="U5288" s="2">
        <f>IFERROR(__xludf.DUMMYFUNCTION("""COMPUTED_VALUE"""),0.0)</f>
        <v>0</v>
      </c>
      <c r="V5288" s="1" t="str">
        <f>IFERROR(__xludf.DUMMYFUNCTION("""COMPUTED_VALUE"""),"#N/A")</f>
        <v>#N/A</v>
      </c>
      <c r="W5288" s="1" t="str">
        <f>IFERROR(__xludf.DUMMYFUNCTION("""COMPUTED_VALUE"""),"#N/A")</f>
        <v>#N/A</v>
      </c>
    </row>
    <row r="5289">
      <c r="O5289" s="1" t="str">
        <f>IFERROR(__xludf.DUMMYFUNCTION("""COMPUTED_VALUE"""),"#VALUE!")</f>
        <v>#VALUE!</v>
      </c>
      <c r="P5289" s="1" t="str">
        <f>IFERROR(__xludf.DUMMYFUNCTION("""COMPUTED_VALUE"""),"#N/A")</f>
        <v>#N/A</v>
      </c>
      <c r="Q5289" s="1"/>
      <c r="R5289" s="1"/>
      <c r="S5289" s="1"/>
      <c r="T5289" s="1"/>
      <c r="U5289" s="2">
        <f>IFERROR(__xludf.DUMMYFUNCTION("""COMPUTED_VALUE"""),0.0)</f>
        <v>0</v>
      </c>
      <c r="V5289" s="1" t="str">
        <f>IFERROR(__xludf.DUMMYFUNCTION("""COMPUTED_VALUE"""),"#N/A")</f>
        <v>#N/A</v>
      </c>
      <c r="W5289" s="1" t="str">
        <f>IFERROR(__xludf.DUMMYFUNCTION("""COMPUTED_VALUE"""),"#N/A")</f>
        <v>#N/A</v>
      </c>
    </row>
    <row r="5290">
      <c r="O5290" s="1" t="str">
        <f>IFERROR(__xludf.DUMMYFUNCTION("""COMPUTED_VALUE"""),"#VALUE!")</f>
        <v>#VALUE!</v>
      </c>
      <c r="P5290" s="1" t="str">
        <f>IFERROR(__xludf.DUMMYFUNCTION("""COMPUTED_VALUE"""),"#N/A")</f>
        <v>#N/A</v>
      </c>
      <c r="Q5290" s="1"/>
      <c r="R5290" s="1"/>
      <c r="S5290" s="1"/>
      <c r="T5290" s="1"/>
      <c r="U5290" s="2">
        <f>IFERROR(__xludf.DUMMYFUNCTION("""COMPUTED_VALUE"""),0.0)</f>
        <v>0</v>
      </c>
      <c r="V5290" s="1" t="str">
        <f>IFERROR(__xludf.DUMMYFUNCTION("""COMPUTED_VALUE"""),"#N/A")</f>
        <v>#N/A</v>
      </c>
      <c r="W5290" s="1" t="str">
        <f>IFERROR(__xludf.DUMMYFUNCTION("""COMPUTED_VALUE"""),"#N/A")</f>
        <v>#N/A</v>
      </c>
    </row>
    <row r="5291">
      <c r="O5291" s="1" t="str">
        <f>IFERROR(__xludf.DUMMYFUNCTION("""COMPUTED_VALUE"""),"#VALUE!")</f>
        <v>#VALUE!</v>
      </c>
      <c r="P5291" s="1" t="str">
        <f>IFERROR(__xludf.DUMMYFUNCTION("""COMPUTED_VALUE"""),"#N/A")</f>
        <v>#N/A</v>
      </c>
      <c r="Q5291" s="1"/>
      <c r="R5291" s="1"/>
      <c r="S5291" s="1"/>
      <c r="T5291" s="1"/>
      <c r="U5291" s="2">
        <f>IFERROR(__xludf.DUMMYFUNCTION("""COMPUTED_VALUE"""),0.0)</f>
        <v>0</v>
      </c>
      <c r="V5291" s="1" t="str">
        <f>IFERROR(__xludf.DUMMYFUNCTION("""COMPUTED_VALUE"""),"#N/A")</f>
        <v>#N/A</v>
      </c>
      <c r="W5291" s="1" t="str">
        <f>IFERROR(__xludf.DUMMYFUNCTION("""COMPUTED_VALUE"""),"#N/A")</f>
        <v>#N/A</v>
      </c>
    </row>
    <row r="5292">
      <c r="O5292" s="1" t="str">
        <f>IFERROR(__xludf.DUMMYFUNCTION("""COMPUTED_VALUE"""),"#VALUE!")</f>
        <v>#VALUE!</v>
      </c>
      <c r="P5292" s="1" t="str">
        <f>IFERROR(__xludf.DUMMYFUNCTION("""COMPUTED_VALUE"""),"#N/A")</f>
        <v>#N/A</v>
      </c>
      <c r="Q5292" s="1"/>
      <c r="R5292" s="1"/>
      <c r="S5292" s="1"/>
      <c r="T5292" s="1"/>
      <c r="U5292" s="2">
        <f>IFERROR(__xludf.DUMMYFUNCTION("""COMPUTED_VALUE"""),0.0)</f>
        <v>0</v>
      </c>
      <c r="V5292" s="1" t="str">
        <f>IFERROR(__xludf.DUMMYFUNCTION("""COMPUTED_VALUE"""),"#N/A")</f>
        <v>#N/A</v>
      </c>
      <c r="W5292" s="1" t="str">
        <f>IFERROR(__xludf.DUMMYFUNCTION("""COMPUTED_VALUE"""),"#N/A")</f>
        <v>#N/A</v>
      </c>
    </row>
    <row r="5293">
      <c r="O5293" s="1" t="str">
        <f>IFERROR(__xludf.DUMMYFUNCTION("""COMPUTED_VALUE"""),"#VALUE!")</f>
        <v>#VALUE!</v>
      </c>
      <c r="P5293" s="1" t="str">
        <f>IFERROR(__xludf.DUMMYFUNCTION("""COMPUTED_VALUE"""),"#N/A")</f>
        <v>#N/A</v>
      </c>
      <c r="Q5293" s="1"/>
      <c r="R5293" s="1"/>
      <c r="S5293" s="1"/>
      <c r="T5293" s="1"/>
      <c r="U5293" s="2">
        <f>IFERROR(__xludf.DUMMYFUNCTION("""COMPUTED_VALUE"""),0.0)</f>
        <v>0</v>
      </c>
      <c r="V5293" s="1" t="str">
        <f>IFERROR(__xludf.DUMMYFUNCTION("""COMPUTED_VALUE"""),"#N/A")</f>
        <v>#N/A</v>
      </c>
      <c r="W5293" s="1" t="str">
        <f>IFERROR(__xludf.DUMMYFUNCTION("""COMPUTED_VALUE"""),"#N/A")</f>
        <v>#N/A</v>
      </c>
    </row>
    <row r="5294">
      <c r="O5294" s="1" t="str">
        <f>IFERROR(__xludf.DUMMYFUNCTION("""COMPUTED_VALUE"""),"#VALUE!")</f>
        <v>#VALUE!</v>
      </c>
      <c r="P5294" s="1" t="str">
        <f>IFERROR(__xludf.DUMMYFUNCTION("""COMPUTED_VALUE"""),"#N/A")</f>
        <v>#N/A</v>
      </c>
      <c r="Q5294" s="1"/>
      <c r="R5294" s="1"/>
      <c r="S5294" s="1"/>
      <c r="T5294" s="1"/>
      <c r="U5294" s="2">
        <f>IFERROR(__xludf.DUMMYFUNCTION("""COMPUTED_VALUE"""),0.0)</f>
        <v>0</v>
      </c>
      <c r="V5294" s="1" t="str">
        <f>IFERROR(__xludf.DUMMYFUNCTION("""COMPUTED_VALUE"""),"#N/A")</f>
        <v>#N/A</v>
      </c>
      <c r="W5294" s="1" t="str">
        <f>IFERROR(__xludf.DUMMYFUNCTION("""COMPUTED_VALUE"""),"#N/A")</f>
        <v>#N/A</v>
      </c>
    </row>
    <row r="5295">
      <c r="O5295" s="1" t="str">
        <f>IFERROR(__xludf.DUMMYFUNCTION("""COMPUTED_VALUE"""),"#VALUE!")</f>
        <v>#VALUE!</v>
      </c>
      <c r="P5295" s="1" t="str">
        <f>IFERROR(__xludf.DUMMYFUNCTION("""COMPUTED_VALUE"""),"#N/A")</f>
        <v>#N/A</v>
      </c>
      <c r="Q5295" s="1"/>
      <c r="R5295" s="1"/>
      <c r="S5295" s="1"/>
      <c r="T5295" s="1"/>
      <c r="U5295" s="2">
        <f>IFERROR(__xludf.DUMMYFUNCTION("""COMPUTED_VALUE"""),0.0)</f>
        <v>0</v>
      </c>
      <c r="V5295" s="1" t="str">
        <f>IFERROR(__xludf.DUMMYFUNCTION("""COMPUTED_VALUE"""),"#N/A")</f>
        <v>#N/A</v>
      </c>
      <c r="W5295" s="1" t="str">
        <f>IFERROR(__xludf.DUMMYFUNCTION("""COMPUTED_VALUE"""),"#N/A")</f>
        <v>#N/A</v>
      </c>
    </row>
    <row r="5296">
      <c r="O5296" s="1" t="str">
        <f>IFERROR(__xludf.DUMMYFUNCTION("""COMPUTED_VALUE"""),"#VALUE!")</f>
        <v>#VALUE!</v>
      </c>
      <c r="P5296" s="1" t="str">
        <f>IFERROR(__xludf.DUMMYFUNCTION("""COMPUTED_VALUE"""),"#N/A")</f>
        <v>#N/A</v>
      </c>
      <c r="Q5296" s="1"/>
      <c r="R5296" s="1"/>
      <c r="S5296" s="1"/>
      <c r="T5296" s="1"/>
      <c r="U5296" s="2">
        <f>IFERROR(__xludf.DUMMYFUNCTION("""COMPUTED_VALUE"""),0.0)</f>
        <v>0</v>
      </c>
      <c r="V5296" s="1" t="str">
        <f>IFERROR(__xludf.DUMMYFUNCTION("""COMPUTED_VALUE"""),"#N/A")</f>
        <v>#N/A</v>
      </c>
      <c r="W5296" s="1" t="str">
        <f>IFERROR(__xludf.DUMMYFUNCTION("""COMPUTED_VALUE"""),"#N/A")</f>
        <v>#N/A</v>
      </c>
    </row>
    <row r="5297">
      <c r="O5297" s="1" t="str">
        <f>IFERROR(__xludf.DUMMYFUNCTION("""COMPUTED_VALUE"""),"#VALUE!")</f>
        <v>#VALUE!</v>
      </c>
      <c r="P5297" s="1" t="str">
        <f>IFERROR(__xludf.DUMMYFUNCTION("""COMPUTED_VALUE"""),"#N/A")</f>
        <v>#N/A</v>
      </c>
      <c r="Q5297" s="1"/>
      <c r="R5297" s="1"/>
      <c r="S5297" s="1"/>
      <c r="T5297" s="1"/>
      <c r="U5297" s="2">
        <f>IFERROR(__xludf.DUMMYFUNCTION("""COMPUTED_VALUE"""),0.0)</f>
        <v>0</v>
      </c>
      <c r="V5297" s="1" t="str">
        <f>IFERROR(__xludf.DUMMYFUNCTION("""COMPUTED_VALUE"""),"#N/A")</f>
        <v>#N/A</v>
      </c>
      <c r="W5297" s="1" t="str">
        <f>IFERROR(__xludf.DUMMYFUNCTION("""COMPUTED_VALUE"""),"#N/A")</f>
        <v>#N/A</v>
      </c>
    </row>
    <row r="5298">
      <c r="O5298" s="1" t="str">
        <f>IFERROR(__xludf.DUMMYFUNCTION("""COMPUTED_VALUE"""),"#VALUE!")</f>
        <v>#VALUE!</v>
      </c>
      <c r="P5298" s="1" t="str">
        <f>IFERROR(__xludf.DUMMYFUNCTION("""COMPUTED_VALUE"""),"#N/A")</f>
        <v>#N/A</v>
      </c>
      <c r="Q5298" s="1"/>
      <c r="R5298" s="1"/>
      <c r="S5298" s="1"/>
      <c r="T5298" s="1"/>
      <c r="U5298" s="2">
        <f>IFERROR(__xludf.DUMMYFUNCTION("""COMPUTED_VALUE"""),0.0)</f>
        <v>0</v>
      </c>
      <c r="V5298" s="1" t="str">
        <f>IFERROR(__xludf.DUMMYFUNCTION("""COMPUTED_VALUE"""),"#N/A")</f>
        <v>#N/A</v>
      </c>
      <c r="W5298" s="1" t="str">
        <f>IFERROR(__xludf.DUMMYFUNCTION("""COMPUTED_VALUE"""),"#N/A")</f>
        <v>#N/A</v>
      </c>
    </row>
    <row r="5299">
      <c r="O5299" s="1" t="str">
        <f>IFERROR(__xludf.DUMMYFUNCTION("""COMPUTED_VALUE"""),"#VALUE!")</f>
        <v>#VALUE!</v>
      </c>
      <c r="P5299" s="1" t="str">
        <f>IFERROR(__xludf.DUMMYFUNCTION("""COMPUTED_VALUE"""),"#N/A")</f>
        <v>#N/A</v>
      </c>
      <c r="Q5299" s="1"/>
      <c r="R5299" s="1"/>
      <c r="S5299" s="1"/>
      <c r="T5299" s="1"/>
      <c r="U5299" s="2">
        <f>IFERROR(__xludf.DUMMYFUNCTION("""COMPUTED_VALUE"""),0.0)</f>
        <v>0</v>
      </c>
      <c r="V5299" s="1" t="str">
        <f>IFERROR(__xludf.DUMMYFUNCTION("""COMPUTED_VALUE"""),"#N/A")</f>
        <v>#N/A</v>
      </c>
      <c r="W5299" s="1" t="str">
        <f>IFERROR(__xludf.DUMMYFUNCTION("""COMPUTED_VALUE"""),"#N/A")</f>
        <v>#N/A</v>
      </c>
    </row>
    <row r="5300">
      <c r="O5300" s="1" t="str">
        <f>IFERROR(__xludf.DUMMYFUNCTION("""COMPUTED_VALUE"""),"#VALUE!")</f>
        <v>#VALUE!</v>
      </c>
      <c r="P5300" s="1" t="str">
        <f>IFERROR(__xludf.DUMMYFUNCTION("""COMPUTED_VALUE"""),"#N/A")</f>
        <v>#N/A</v>
      </c>
      <c r="Q5300" s="1"/>
      <c r="R5300" s="1"/>
      <c r="S5300" s="1"/>
      <c r="T5300" s="1"/>
      <c r="U5300" s="2">
        <f>IFERROR(__xludf.DUMMYFUNCTION("""COMPUTED_VALUE"""),0.0)</f>
        <v>0</v>
      </c>
      <c r="V5300" s="1" t="str">
        <f>IFERROR(__xludf.DUMMYFUNCTION("""COMPUTED_VALUE"""),"#N/A")</f>
        <v>#N/A</v>
      </c>
      <c r="W5300" s="1" t="str">
        <f>IFERROR(__xludf.DUMMYFUNCTION("""COMPUTED_VALUE"""),"#N/A")</f>
        <v>#N/A</v>
      </c>
    </row>
    <row r="5301">
      <c r="O5301" s="1" t="str">
        <f>IFERROR(__xludf.DUMMYFUNCTION("""COMPUTED_VALUE"""),"#VALUE!")</f>
        <v>#VALUE!</v>
      </c>
      <c r="P5301" s="1" t="str">
        <f>IFERROR(__xludf.DUMMYFUNCTION("""COMPUTED_VALUE"""),"#N/A")</f>
        <v>#N/A</v>
      </c>
      <c r="Q5301" s="1"/>
      <c r="R5301" s="1"/>
      <c r="S5301" s="1"/>
      <c r="T5301" s="1"/>
      <c r="U5301" s="2">
        <f>IFERROR(__xludf.DUMMYFUNCTION("""COMPUTED_VALUE"""),0.0)</f>
        <v>0</v>
      </c>
      <c r="V5301" s="1" t="str">
        <f>IFERROR(__xludf.DUMMYFUNCTION("""COMPUTED_VALUE"""),"#N/A")</f>
        <v>#N/A</v>
      </c>
      <c r="W5301" s="1" t="str">
        <f>IFERROR(__xludf.DUMMYFUNCTION("""COMPUTED_VALUE"""),"#N/A")</f>
        <v>#N/A</v>
      </c>
    </row>
    <row r="5302">
      <c r="O5302" s="1" t="str">
        <f>IFERROR(__xludf.DUMMYFUNCTION("""COMPUTED_VALUE"""),"#VALUE!")</f>
        <v>#VALUE!</v>
      </c>
      <c r="P5302" s="1" t="str">
        <f>IFERROR(__xludf.DUMMYFUNCTION("""COMPUTED_VALUE"""),"#N/A")</f>
        <v>#N/A</v>
      </c>
      <c r="Q5302" s="1"/>
      <c r="R5302" s="1"/>
      <c r="S5302" s="1"/>
      <c r="T5302" s="1"/>
      <c r="U5302" s="2">
        <f>IFERROR(__xludf.DUMMYFUNCTION("""COMPUTED_VALUE"""),0.0)</f>
        <v>0</v>
      </c>
      <c r="V5302" s="1" t="str">
        <f>IFERROR(__xludf.DUMMYFUNCTION("""COMPUTED_VALUE"""),"#N/A")</f>
        <v>#N/A</v>
      </c>
      <c r="W5302" s="1" t="str">
        <f>IFERROR(__xludf.DUMMYFUNCTION("""COMPUTED_VALUE"""),"#N/A")</f>
        <v>#N/A</v>
      </c>
    </row>
    <row r="5303">
      <c r="O5303" s="1" t="str">
        <f>IFERROR(__xludf.DUMMYFUNCTION("""COMPUTED_VALUE"""),"#VALUE!")</f>
        <v>#VALUE!</v>
      </c>
      <c r="P5303" s="1" t="str">
        <f>IFERROR(__xludf.DUMMYFUNCTION("""COMPUTED_VALUE"""),"#N/A")</f>
        <v>#N/A</v>
      </c>
      <c r="Q5303" s="1"/>
      <c r="R5303" s="1"/>
      <c r="S5303" s="1"/>
      <c r="T5303" s="1"/>
      <c r="U5303" s="2">
        <f>IFERROR(__xludf.DUMMYFUNCTION("""COMPUTED_VALUE"""),0.0)</f>
        <v>0</v>
      </c>
      <c r="V5303" s="1" t="str">
        <f>IFERROR(__xludf.DUMMYFUNCTION("""COMPUTED_VALUE"""),"#N/A")</f>
        <v>#N/A</v>
      </c>
      <c r="W5303" s="1" t="str">
        <f>IFERROR(__xludf.DUMMYFUNCTION("""COMPUTED_VALUE"""),"#N/A")</f>
        <v>#N/A</v>
      </c>
    </row>
    <row r="5304">
      <c r="O5304" s="1" t="str">
        <f>IFERROR(__xludf.DUMMYFUNCTION("""COMPUTED_VALUE"""),"#VALUE!")</f>
        <v>#VALUE!</v>
      </c>
      <c r="P5304" s="1" t="str">
        <f>IFERROR(__xludf.DUMMYFUNCTION("""COMPUTED_VALUE"""),"#N/A")</f>
        <v>#N/A</v>
      </c>
      <c r="Q5304" s="1"/>
      <c r="R5304" s="1"/>
      <c r="S5304" s="1"/>
      <c r="T5304" s="1"/>
      <c r="U5304" s="2">
        <f>IFERROR(__xludf.DUMMYFUNCTION("""COMPUTED_VALUE"""),0.0)</f>
        <v>0</v>
      </c>
      <c r="V5304" s="1" t="str">
        <f>IFERROR(__xludf.DUMMYFUNCTION("""COMPUTED_VALUE"""),"#N/A")</f>
        <v>#N/A</v>
      </c>
      <c r="W5304" s="1" t="str">
        <f>IFERROR(__xludf.DUMMYFUNCTION("""COMPUTED_VALUE"""),"#N/A")</f>
        <v>#N/A</v>
      </c>
    </row>
    <row r="5305">
      <c r="O5305" s="1" t="str">
        <f>IFERROR(__xludf.DUMMYFUNCTION("""COMPUTED_VALUE"""),"#VALUE!")</f>
        <v>#VALUE!</v>
      </c>
      <c r="P5305" s="1" t="str">
        <f>IFERROR(__xludf.DUMMYFUNCTION("""COMPUTED_VALUE"""),"#N/A")</f>
        <v>#N/A</v>
      </c>
      <c r="Q5305" s="1"/>
      <c r="R5305" s="1"/>
      <c r="S5305" s="1"/>
      <c r="T5305" s="1"/>
      <c r="U5305" s="2">
        <f>IFERROR(__xludf.DUMMYFUNCTION("""COMPUTED_VALUE"""),0.0)</f>
        <v>0</v>
      </c>
      <c r="V5305" s="1" t="str">
        <f>IFERROR(__xludf.DUMMYFUNCTION("""COMPUTED_VALUE"""),"#N/A")</f>
        <v>#N/A</v>
      </c>
      <c r="W5305" s="1" t="str">
        <f>IFERROR(__xludf.DUMMYFUNCTION("""COMPUTED_VALUE"""),"#N/A")</f>
        <v>#N/A</v>
      </c>
    </row>
    <row r="5306">
      <c r="O5306" s="1" t="str">
        <f>IFERROR(__xludf.DUMMYFUNCTION("""COMPUTED_VALUE"""),"#VALUE!")</f>
        <v>#VALUE!</v>
      </c>
      <c r="P5306" s="1" t="str">
        <f>IFERROR(__xludf.DUMMYFUNCTION("""COMPUTED_VALUE"""),"#N/A")</f>
        <v>#N/A</v>
      </c>
      <c r="Q5306" s="1"/>
      <c r="R5306" s="1"/>
      <c r="S5306" s="1"/>
      <c r="T5306" s="1"/>
      <c r="U5306" s="2">
        <f>IFERROR(__xludf.DUMMYFUNCTION("""COMPUTED_VALUE"""),0.0)</f>
        <v>0</v>
      </c>
      <c r="V5306" s="1" t="str">
        <f>IFERROR(__xludf.DUMMYFUNCTION("""COMPUTED_VALUE"""),"#N/A")</f>
        <v>#N/A</v>
      </c>
      <c r="W5306" s="1" t="str">
        <f>IFERROR(__xludf.DUMMYFUNCTION("""COMPUTED_VALUE"""),"#N/A")</f>
        <v>#N/A</v>
      </c>
    </row>
    <row r="5307">
      <c r="O5307" s="1" t="str">
        <f>IFERROR(__xludf.DUMMYFUNCTION("""COMPUTED_VALUE"""),"#VALUE!")</f>
        <v>#VALUE!</v>
      </c>
      <c r="P5307" s="1" t="str">
        <f>IFERROR(__xludf.DUMMYFUNCTION("""COMPUTED_VALUE"""),"#N/A")</f>
        <v>#N/A</v>
      </c>
      <c r="Q5307" s="1"/>
      <c r="R5307" s="1"/>
      <c r="S5307" s="1"/>
      <c r="T5307" s="1"/>
      <c r="U5307" s="2">
        <f>IFERROR(__xludf.DUMMYFUNCTION("""COMPUTED_VALUE"""),0.0)</f>
        <v>0</v>
      </c>
      <c r="V5307" s="1" t="str">
        <f>IFERROR(__xludf.DUMMYFUNCTION("""COMPUTED_VALUE"""),"#N/A")</f>
        <v>#N/A</v>
      </c>
      <c r="W5307" s="1" t="str">
        <f>IFERROR(__xludf.DUMMYFUNCTION("""COMPUTED_VALUE"""),"#N/A")</f>
        <v>#N/A</v>
      </c>
    </row>
    <row r="5308">
      <c r="O5308" s="1" t="str">
        <f>IFERROR(__xludf.DUMMYFUNCTION("""COMPUTED_VALUE"""),"#VALUE!")</f>
        <v>#VALUE!</v>
      </c>
      <c r="P5308" s="1" t="str">
        <f>IFERROR(__xludf.DUMMYFUNCTION("""COMPUTED_VALUE"""),"#N/A")</f>
        <v>#N/A</v>
      </c>
      <c r="Q5308" s="1"/>
      <c r="R5308" s="1"/>
      <c r="S5308" s="1"/>
      <c r="T5308" s="1"/>
      <c r="U5308" s="2">
        <f>IFERROR(__xludf.DUMMYFUNCTION("""COMPUTED_VALUE"""),0.0)</f>
        <v>0</v>
      </c>
      <c r="V5308" s="1" t="str">
        <f>IFERROR(__xludf.DUMMYFUNCTION("""COMPUTED_VALUE"""),"#N/A")</f>
        <v>#N/A</v>
      </c>
      <c r="W5308" s="1" t="str">
        <f>IFERROR(__xludf.DUMMYFUNCTION("""COMPUTED_VALUE"""),"#N/A")</f>
        <v>#N/A</v>
      </c>
    </row>
    <row r="5309">
      <c r="O5309" s="1" t="str">
        <f>IFERROR(__xludf.DUMMYFUNCTION("""COMPUTED_VALUE"""),"#VALUE!")</f>
        <v>#VALUE!</v>
      </c>
      <c r="P5309" s="1" t="str">
        <f>IFERROR(__xludf.DUMMYFUNCTION("""COMPUTED_VALUE"""),"#N/A")</f>
        <v>#N/A</v>
      </c>
      <c r="Q5309" s="1"/>
      <c r="R5309" s="1"/>
      <c r="S5309" s="1"/>
      <c r="T5309" s="1"/>
      <c r="U5309" s="2">
        <f>IFERROR(__xludf.DUMMYFUNCTION("""COMPUTED_VALUE"""),0.0)</f>
        <v>0</v>
      </c>
      <c r="V5309" s="1" t="str">
        <f>IFERROR(__xludf.DUMMYFUNCTION("""COMPUTED_VALUE"""),"#N/A")</f>
        <v>#N/A</v>
      </c>
      <c r="W5309" s="1" t="str">
        <f>IFERROR(__xludf.DUMMYFUNCTION("""COMPUTED_VALUE"""),"#N/A")</f>
        <v>#N/A</v>
      </c>
    </row>
    <row r="5310">
      <c r="O5310" s="1" t="str">
        <f>IFERROR(__xludf.DUMMYFUNCTION("""COMPUTED_VALUE"""),"#VALUE!")</f>
        <v>#VALUE!</v>
      </c>
      <c r="P5310" s="1" t="str">
        <f>IFERROR(__xludf.DUMMYFUNCTION("""COMPUTED_VALUE"""),"#N/A")</f>
        <v>#N/A</v>
      </c>
      <c r="Q5310" s="1"/>
      <c r="R5310" s="1"/>
      <c r="S5310" s="1"/>
      <c r="T5310" s="1"/>
      <c r="U5310" s="2">
        <f>IFERROR(__xludf.DUMMYFUNCTION("""COMPUTED_VALUE"""),0.0)</f>
        <v>0</v>
      </c>
      <c r="V5310" s="1" t="str">
        <f>IFERROR(__xludf.DUMMYFUNCTION("""COMPUTED_VALUE"""),"#N/A")</f>
        <v>#N/A</v>
      </c>
      <c r="W5310" s="1" t="str">
        <f>IFERROR(__xludf.DUMMYFUNCTION("""COMPUTED_VALUE"""),"#N/A")</f>
        <v>#N/A</v>
      </c>
    </row>
    <row r="5311">
      <c r="O5311" s="1" t="str">
        <f>IFERROR(__xludf.DUMMYFUNCTION("""COMPUTED_VALUE"""),"#VALUE!")</f>
        <v>#VALUE!</v>
      </c>
      <c r="P5311" s="1" t="str">
        <f>IFERROR(__xludf.DUMMYFUNCTION("""COMPUTED_VALUE"""),"#N/A")</f>
        <v>#N/A</v>
      </c>
      <c r="Q5311" s="1"/>
      <c r="R5311" s="1"/>
      <c r="S5311" s="1"/>
      <c r="T5311" s="1"/>
      <c r="U5311" s="2">
        <f>IFERROR(__xludf.DUMMYFUNCTION("""COMPUTED_VALUE"""),0.0)</f>
        <v>0</v>
      </c>
      <c r="V5311" s="1" t="str">
        <f>IFERROR(__xludf.DUMMYFUNCTION("""COMPUTED_VALUE"""),"#N/A")</f>
        <v>#N/A</v>
      </c>
      <c r="W5311" s="1" t="str">
        <f>IFERROR(__xludf.DUMMYFUNCTION("""COMPUTED_VALUE"""),"#N/A")</f>
        <v>#N/A</v>
      </c>
    </row>
    <row r="5312">
      <c r="O5312" s="1" t="str">
        <f>IFERROR(__xludf.DUMMYFUNCTION("""COMPUTED_VALUE"""),"#VALUE!")</f>
        <v>#VALUE!</v>
      </c>
      <c r="P5312" s="1" t="str">
        <f>IFERROR(__xludf.DUMMYFUNCTION("""COMPUTED_VALUE"""),"#N/A")</f>
        <v>#N/A</v>
      </c>
      <c r="Q5312" s="1"/>
      <c r="R5312" s="1"/>
      <c r="S5312" s="1"/>
      <c r="T5312" s="1"/>
      <c r="U5312" s="2">
        <f>IFERROR(__xludf.DUMMYFUNCTION("""COMPUTED_VALUE"""),0.0)</f>
        <v>0</v>
      </c>
      <c r="V5312" s="1" t="str">
        <f>IFERROR(__xludf.DUMMYFUNCTION("""COMPUTED_VALUE"""),"#N/A")</f>
        <v>#N/A</v>
      </c>
      <c r="W5312" s="1" t="str">
        <f>IFERROR(__xludf.DUMMYFUNCTION("""COMPUTED_VALUE"""),"#N/A")</f>
        <v>#N/A</v>
      </c>
    </row>
    <row r="5313">
      <c r="O5313" s="1" t="str">
        <f>IFERROR(__xludf.DUMMYFUNCTION("""COMPUTED_VALUE"""),"#VALUE!")</f>
        <v>#VALUE!</v>
      </c>
      <c r="P5313" s="1" t="str">
        <f>IFERROR(__xludf.DUMMYFUNCTION("""COMPUTED_VALUE"""),"#N/A")</f>
        <v>#N/A</v>
      </c>
      <c r="Q5313" s="1"/>
      <c r="R5313" s="1"/>
      <c r="S5313" s="1"/>
      <c r="T5313" s="1"/>
      <c r="U5313" s="2">
        <f>IFERROR(__xludf.DUMMYFUNCTION("""COMPUTED_VALUE"""),0.0)</f>
        <v>0</v>
      </c>
      <c r="V5313" s="1" t="str">
        <f>IFERROR(__xludf.DUMMYFUNCTION("""COMPUTED_VALUE"""),"#N/A")</f>
        <v>#N/A</v>
      </c>
      <c r="W5313" s="1" t="str">
        <f>IFERROR(__xludf.DUMMYFUNCTION("""COMPUTED_VALUE"""),"#N/A")</f>
        <v>#N/A</v>
      </c>
    </row>
    <row r="5314">
      <c r="O5314" s="1" t="str">
        <f>IFERROR(__xludf.DUMMYFUNCTION("""COMPUTED_VALUE"""),"#VALUE!")</f>
        <v>#VALUE!</v>
      </c>
      <c r="P5314" s="1" t="str">
        <f>IFERROR(__xludf.DUMMYFUNCTION("""COMPUTED_VALUE"""),"#N/A")</f>
        <v>#N/A</v>
      </c>
      <c r="Q5314" s="1"/>
      <c r="R5314" s="1"/>
      <c r="S5314" s="1"/>
      <c r="T5314" s="1"/>
      <c r="U5314" s="2">
        <f>IFERROR(__xludf.DUMMYFUNCTION("""COMPUTED_VALUE"""),0.0)</f>
        <v>0</v>
      </c>
      <c r="V5314" s="1" t="str">
        <f>IFERROR(__xludf.DUMMYFUNCTION("""COMPUTED_VALUE"""),"#N/A")</f>
        <v>#N/A</v>
      </c>
      <c r="W5314" s="1" t="str">
        <f>IFERROR(__xludf.DUMMYFUNCTION("""COMPUTED_VALUE"""),"#N/A")</f>
        <v>#N/A</v>
      </c>
    </row>
    <row r="5315">
      <c r="O5315" s="1" t="str">
        <f>IFERROR(__xludf.DUMMYFUNCTION("""COMPUTED_VALUE"""),"#VALUE!")</f>
        <v>#VALUE!</v>
      </c>
      <c r="P5315" s="1" t="str">
        <f>IFERROR(__xludf.DUMMYFUNCTION("""COMPUTED_VALUE"""),"#N/A")</f>
        <v>#N/A</v>
      </c>
      <c r="Q5315" s="1"/>
      <c r="R5315" s="1"/>
      <c r="S5315" s="1"/>
      <c r="T5315" s="1"/>
      <c r="U5315" s="2">
        <f>IFERROR(__xludf.DUMMYFUNCTION("""COMPUTED_VALUE"""),0.0)</f>
        <v>0</v>
      </c>
      <c r="V5315" s="1" t="str">
        <f>IFERROR(__xludf.DUMMYFUNCTION("""COMPUTED_VALUE"""),"#N/A")</f>
        <v>#N/A</v>
      </c>
      <c r="W5315" s="1" t="str">
        <f>IFERROR(__xludf.DUMMYFUNCTION("""COMPUTED_VALUE"""),"#N/A")</f>
        <v>#N/A</v>
      </c>
    </row>
    <row r="5316">
      <c r="O5316" s="1" t="str">
        <f>IFERROR(__xludf.DUMMYFUNCTION("""COMPUTED_VALUE"""),"#VALUE!")</f>
        <v>#VALUE!</v>
      </c>
      <c r="P5316" s="1" t="str">
        <f>IFERROR(__xludf.DUMMYFUNCTION("""COMPUTED_VALUE"""),"#N/A")</f>
        <v>#N/A</v>
      </c>
      <c r="Q5316" s="1"/>
      <c r="R5316" s="1"/>
      <c r="S5316" s="1"/>
      <c r="T5316" s="1"/>
      <c r="U5316" s="2">
        <f>IFERROR(__xludf.DUMMYFUNCTION("""COMPUTED_VALUE"""),0.0)</f>
        <v>0</v>
      </c>
      <c r="V5316" s="1" t="str">
        <f>IFERROR(__xludf.DUMMYFUNCTION("""COMPUTED_VALUE"""),"#N/A")</f>
        <v>#N/A</v>
      </c>
      <c r="W5316" s="1" t="str">
        <f>IFERROR(__xludf.DUMMYFUNCTION("""COMPUTED_VALUE"""),"#N/A")</f>
        <v>#N/A</v>
      </c>
    </row>
    <row r="5317">
      <c r="O5317" s="1" t="str">
        <f>IFERROR(__xludf.DUMMYFUNCTION("""COMPUTED_VALUE"""),"#VALUE!")</f>
        <v>#VALUE!</v>
      </c>
      <c r="P5317" s="1" t="str">
        <f>IFERROR(__xludf.DUMMYFUNCTION("""COMPUTED_VALUE"""),"#N/A")</f>
        <v>#N/A</v>
      </c>
      <c r="Q5317" s="1"/>
      <c r="R5317" s="1"/>
      <c r="S5317" s="1"/>
      <c r="T5317" s="1"/>
      <c r="U5317" s="2">
        <f>IFERROR(__xludf.DUMMYFUNCTION("""COMPUTED_VALUE"""),0.0)</f>
        <v>0</v>
      </c>
      <c r="V5317" s="1" t="str">
        <f>IFERROR(__xludf.DUMMYFUNCTION("""COMPUTED_VALUE"""),"#N/A")</f>
        <v>#N/A</v>
      </c>
      <c r="W5317" s="1" t="str">
        <f>IFERROR(__xludf.DUMMYFUNCTION("""COMPUTED_VALUE"""),"#N/A")</f>
        <v>#N/A</v>
      </c>
    </row>
    <row r="5318">
      <c r="O5318" s="1" t="str">
        <f>IFERROR(__xludf.DUMMYFUNCTION("""COMPUTED_VALUE"""),"#VALUE!")</f>
        <v>#VALUE!</v>
      </c>
      <c r="P5318" s="1" t="str">
        <f>IFERROR(__xludf.DUMMYFUNCTION("""COMPUTED_VALUE"""),"#N/A")</f>
        <v>#N/A</v>
      </c>
      <c r="Q5318" s="1"/>
      <c r="R5318" s="1"/>
      <c r="S5318" s="1"/>
      <c r="T5318" s="1"/>
      <c r="U5318" s="2">
        <f>IFERROR(__xludf.DUMMYFUNCTION("""COMPUTED_VALUE"""),0.0)</f>
        <v>0</v>
      </c>
      <c r="V5318" s="1" t="str">
        <f>IFERROR(__xludf.DUMMYFUNCTION("""COMPUTED_VALUE"""),"#N/A")</f>
        <v>#N/A</v>
      </c>
      <c r="W5318" s="1" t="str">
        <f>IFERROR(__xludf.DUMMYFUNCTION("""COMPUTED_VALUE"""),"#N/A")</f>
        <v>#N/A</v>
      </c>
    </row>
    <row r="5319">
      <c r="O5319" s="1" t="str">
        <f>IFERROR(__xludf.DUMMYFUNCTION("""COMPUTED_VALUE"""),"#VALUE!")</f>
        <v>#VALUE!</v>
      </c>
      <c r="P5319" s="1" t="str">
        <f>IFERROR(__xludf.DUMMYFUNCTION("""COMPUTED_VALUE"""),"#N/A")</f>
        <v>#N/A</v>
      </c>
      <c r="Q5319" s="1"/>
      <c r="R5319" s="1"/>
      <c r="S5319" s="1"/>
      <c r="T5319" s="1"/>
      <c r="U5319" s="2">
        <f>IFERROR(__xludf.DUMMYFUNCTION("""COMPUTED_VALUE"""),0.0)</f>
        <v>0</v>
      </c>
      <c r="V5319" s="1" t="str">
        <f>IFERROR(__xludf.DUMMYFUNCTION("""COMPUTED_VALUE"""),"#N/A")</f>
        <v>#N/A</v>
      </c>
      <c r="W5319" s="1" t="str">
        <f>IFERROR(__xludf.DUMMYFUNCTION("""COMPUTED_VALUE"""),"#N/A")</f>
        <v>#N/A</v>
      </c>
    </row>
    <row r="5320">
      <c r="O5320" s="1" t="str">
        <f>IFERROR(__xludf.DUMMYFUNCTION("""COMPUTED_VALUE"""),"#VALUE!")</f>
        <v>#VALUE!</v>
      </c>
      <c r="P5320" s="1" t="str">
        <f>IFERROR(__xludf.DUMMYFUNCTION("""COMPUTED_VALUE"""),"#N/A")</f>
        <v>#N/A</v>
      </c>
      <c r="Q5320" s="1"/>
      <c r="R5320" s="1"/>
      <c r="S5320" s="1"/>
      <c r="T5320" s="1"/>
      <c r="U5320" s="2">
        <f>IFERROR(__xludf.DUMMYFUNCTION("""COMPUTED_VALUE"""),0.0)</f>
        <v>0</v>
      </c>
      <c r="V5320" s="1" t="str">
        <f>IFERROR(__xludf.DUMMYFUNCTION("""COMPUTED_VALUE"""),"#N/A")</f>
        <v>#N/A</v>
      </c>
      <c r="W5320" s="1" t="str">
        <f>IFERROR(__xludf.DUMMYFUNCTION("""COMPUTED_VALUE"""),"#N/A")</f>
        <v>#N/A</v>
      </c>
    </row>
    <row r="5321">
      <c r="O5321" s="1" t="str">
        <f>IFERROR(__xludf.DUMMYFUNCTION("""COMPUTED_VALUE"""),"#VALUE!")</f>
        <v>#VALUE!</v>
      </c>
      <c r="P5321" s="1" t="str">
        <f>IFERROR(__xludf.DUMMYFUNCTION("""COMPUTED_VALUE"""),"#N/A")</f>
        <v>#N/A</v>
      </c>
      <c r="Q5321" s="1"/>
      <c r="R5321" s="1"/>
      <c r="S5321" s="1"/>
      <c r="T5321" s="1"/>
      <c r="U5321" s="2">
        <f>IFERROR(__xludf.DUMMYFUNCTION("""COMPUTED_VALUE"""),0.0)</f>
        <v>0</v>
      </c>
      <c r="V5321" s="1" t="str">
        <f>IFERROR(__xludf.DUMMYFUNCTION("""COMPUTED_VALUE"""),"#N/A")</f>
        <v>#N/A</v>
      </c>
      <c r="W5321" s="1" t="str">
        <f>IFERROR(__xludf.DUMMYFUNCTION("""COMPUTED_VALUE"""),"#N/A")</f>
        <v>#N/A</v>
      </c>
    </row>
    <row r="5322">
      <c r="O5322" s="1" t="str">
        <f>IFERROR(__xludf.DUMMYFUNCTION("""COMPUTED_VALUE"""),"#VALUE!")</f>
        <v>#VALUE!</v>
      </c>
      <c r="P5322" s="1" t="str">
        <f>IFERROR(__xludf.DUMMYFUNCTION("""COMPUTED_VALUE"""),"#N/A")</f>
        <v>#N/A</v>
      </c>
      <c r="Q5322" s="1"/>
      <c r="R5322" s="1"/>
      <c r="S5322" s="1"/>
      <c r="T5322" s="1"/>
      <c r="U5322" s="2">
        <f>IFERROR(__xludf.DUMMYFUNCTION("""COMPUTED_VALUE"""),0.0)</f>
        <v>0</v>
      </c>
      <c r="V5322" s="1" t="str">
        <f>IFERROR(__xludf.DUMMYFUNCTION("""COMPUTED_VALUE"""),"#N/A")</f>
        <v>#N/A</v>
      </c>
      <c r="W5322" s="1" t="str">
        <f>IFERROR(__xludf.DUMMYFUNCTION("""COMPUTED_VALUE"""),"#N/A")</f>
        <v>#N/A</v>
      </c>
    </row>
    <row r="5323">
      <c r="O5323" s="1" t="str">
        <f>IFERROR(__xludf.DUMMYFUNCTION("""COMPUTED_VALUE"""),"#VALUE!")</f>
        <v>#VALUE!</v>
      </c>
      <c r="P5323" s="1" t="str">
        <f>IFERROR(__xludf.DUMMYFUNCTION("""COMPUTED_VALUE"""),"#N/A")</f>
        <v>#N/A</v>
      </c>
      <c r="Q5323" s="1"/>
      <c r="R5323" s="1"/>
      <c r="S5323" s="1"/>
      <c r="T5323" s="1"/>
      <c r="U5323" s="2">
        <f>IFERROR(__xludf.DUMMYFUNCTION("""COMPUTED_VALUE"""),0.0)</f>
        <v>0</v>
      </c>
      <c r="V5323" s="1" t="str">
        <f>IFERROR(__xludf.DUMMYFUNCTION("""COMPUTED_VALUE"""),"#N/A")</f>
        <v>#N/A</v>
      </c>
      <c r="W5323" s="1" t="str">
        <f>IFERROR(__xludf.DUMMYFUNCTION("""COMPUTED_VALUE"""),"#N/A")</f>
        <v>#N/A</v>
      </c>
    </row>
    <row r="5324">
      <c r="O5324" s="1" t="str">
        <f>IFERROR(__xludf.DUMMYFUNCTION("""COMPUTED_VALUE"""),"#VALUE!")</f>
        <v>#VALUE!</v>
      </c>
      <c r="P5324" s="1" t="str">
        <f>IFERROR(__xludf.DUMMYFUNCTION("""COMPUTED_VALUE"""),"#N/A")</f>
        <v>#N/A</v>
      </c>
      <c r="Q5324" s="1"/>
      <c r="R5324" s="1"/>
      <c r="S5324" s="1"/>
      <c r="T5324" s="1"/>
      <c r="U5324" s="2">
        <f>IFERROR(__xludf.DUMMYFUNCTION("""COMPUTED_VALUE"""),0.0)</f>
        <v>0</v>
      </c>
      <c r="V5324" s="1" t="str">
        <f>IFERROR(__xludf.DUMMYFUNCTION("""COMPUTED_VALUE"""),"#N/A")</f>
        <v>#N/A</v>
      </c>
      <c r="W5324" s="1" t="str">
        <f>IFERROR(__xludf.DUMMYFUNCTION("""COMPUTED_VALUE"""),"#N/A")</f>
        <v>#N/A</v>
      </c>
    </row>
    <row r="5325">
      <c r="O5325" s="1" t="str">
        <f>IFERROR(__xludf.DUMMYFUNCTION("""COMPUTED_VALUE"""),"#VALUE!")</f>
        <v>#VALUE!</v>
      </c>
      <c r="P5325" s="1" t="str">
        <f>IFERROR(__xludf.DUMMYFUNCTION("""COMPUTED_VALUE"""),"#N/A")</f>
        <v>#N/A</v>
      </c>
      <c r="Q5325" s="1"/>
      <c r="R5325" s="1"/>
      <c r="S5325" s="1"/>
      <c r="T5325" s="1"/>
      <c r="U5325" s="2">
        <f>IFERROR(__xludf.DUMMYFUNCTION("""COMPUTED_VALUE"""),0.0)</f>
        <v>0</v>
      </c>
      <c r="V5325" s="1" t="str">
        <f>IFERROR(__xludf.DUMMYFUNCTION("""COMPUTED_VALUE"""),"#N/A")</f>
        <v>#N/A</v>
      </c>
      <c r="W5325" s="1" t="str">
        <f>IFERROR(__xludf.DUMMYFUNCTION("""COMPUTED_VALUE"""),"#N/A")</f>
        <v>#N/A</v>
      </c>
    </row>
    <row r="5326">
      <c r="O5326" s="1" t="str">
        <f>IFERROR(__xludf.DUMMYFUNCTION("""COMPUTED_VALUE"""),"#VALUE!")</f>
        <v>#VALUE!</v>
      </c>
      <c r="P5326" s="1" t="str">
        <f>IFERROR(__xludf.DUMMYFUNCTION("""COMPUTED_VALUE"""),"#N/A")</f>
        <v>#N/A</v>
      </c>
      <c r="Q5326" s="1"/>
      <c r="R5326" s="1"/>
      <c r="S5326" s="1"/>
      <c r="T5326" s="1"/>
      <c r="U5326" s="2">
        <f>IFERROR(__xludf.DUMMYFUNCTION("""COMPUTED_VALUE"""),0.0)</f>
        <v>0</v>
      </c>
      <c r="V5326" s="1" t="str">
        <f>IFERROR(__xludf.DUMMYFUNCTION("""COMPUTED_VALUE"""),"#N/A")</f>
        <v>#N/A</v>
      </c>
      <c r="W5326" s="1" t="str">
        <f>IFERROR(__xludf.DUMMYFUNCTION("""COMPUTED_VALUE"""),"#N/A")</f>
        <v>#N/A</v>
      </c>
    </row>
    <row r="5327">
      <c r="O5327" s="1" t="str">
        <f>IFERROR(__xludf.DUMMYFUNCTION("""COMPUTED_VALUE"""),"#VALUE!")</f>
        <v>#VALUE!</v>
      </c>
      <c r="P5327" s="1" t="str">
        <f>IFERROR(__xludf.DUMMYFUNCTION("""COMPUTED_VALUE"""),"#N/A")</f>
        <v>#N/A</v>
      </c>
      <c r="Q5327" s="1"/>
      <c r="R5327" s="1"/>
      <c r="S5327" s="1"/>
      <c r="T5327" s="1"/>
      <c r="U5327" s="2">
        <f>IFERROR(__xludf.DUMMYFUNCTION("""COMPUTED_VALUE"""),0.0)</f>
        <v>0</v>
      </c>
      <c r="V5327" s="1" t="str">
        <f>IFERROR(__xludf.DUMMYFUNCTION("""COMPUTED_VALUE"""),"#N/A")</f>
        <v>#N/A</v>
      </c>
      <c r="W5327" s="1" t="str">
        <f>IFERROR(__xludf.DUMMYFUNCTION("""COMPUTED_VALUE"""),"#N/A")</f>
        <v>#N/A</v>
      </c>
    </row>
    <row r="5328">
      <c r="O5328" s="1" t="str">
        <f>IFERROR(__xludf.DUMMYFUNCTION("""COMPUTED_VALUE"""),"#VALUE!")</f>
        <v>#VALUE!</v>
      </c>
      <c r="P5328" s="1" t="str">
        <f>IFERROR(__xludf.DUMMYFUNCTION("""COMPUTED_VALUE"""),"#N/A")</f>
        <v>#N/A</v>
      </c>
      <c r="Q5328" s="1"/>
      <c r="R5328" s="1"/>
      <c r="S5328" s="1"/>
      <c r="T5328" s="1"/>
      <c r="U5328" s="2">
        <f>IFERROR(__xludf.DUMMYFUNCTION("""COMPUTED_VALUE"""),0.0)</f>
        <v>0</v>
      </c>
      <c r="V5328" s="1" t="str">
        <f>IFERROR(__xludf.DUMMYFUNCTION("""COMPUTED_VALUE"""),"#N/A")</f>
        <v>#N/A</v>
      </c>
      <c r="W5328" s="1" t="str">
        <f>IFERROR(__xludf.DUMMYFUNCTION("""COMPUTED_VALUE"""),"#N/A")</f>
        <v>#N/A</v>
      </c>
    </row>
    <row r="5329">
      <c r="O5329" s="1" t="str">
        <f>IFERROR(__xludf.DUMMYFUNCTION("""COMPUTED_VALUE"""),"#VALUE!")</f>
        <v>#VALUE!</v>
      </c>
      <c r="P5329" s="1" t="str">
        <f>IFERROR(__xludf.DUMMYFUNCTION("""COMPUTED_VALUE"""),"#N/A")</f>
        <v>#N/A</v>
      </c>
      <c r="Q5329" s="1"/>
      <c r="R5329" s="1"/>
      <c r="S5329" s="1"/>
      <c r="T5329" s="1"/>
      <c r="U5329" s="2">
        <f>IFERROR(__xludf.DUMMYFUNCTION("""COMPUTED_VALUE"""),0.0)</f>
        <v>0</v>
      </c>
      <c r="V5329" s="1" t="str">
        <f>IFERROR(__xludf.DUMMYFUNCTION("""COMPUTED_VALUE"""),"#N/A")</f>
        <v>#N/A</v>
      </c>
      <c r="W5329" s="1" t="str">
        <f>IFERROR(__xludf.DUMMYFUNCTION("""COMPUTED_VALUE"""),"#N/A")</f>
        <v>#N/A</v>
      </c>
    </row>
    <row r="5330">
      <c r="O5330" s="1" t="str">
        <f>IFERROR(__xludf.DUMMYFUNCTION("""COMPUTED_VALUE"""),"#VALUE!")</f>
        <v>#VALUE!</v>
      </c>
      <c r="P5330" s="1" t="str">
        <f>IFERROR(__xludf.DUMMYFUNCTION("""COMPUTED_VALUE"""),"#N/A")</f>
        <v>#N/A</v>
      </c>
      <c r="Q5330" s="1"/>
      <c r="R5330" s="1"/>
      <c r="S5330" s="1"/>
      <c r="T5330" s="1"/>
      <c r="U5330" s="2">
        <f>IFERROR(__xludf.DUMMYFUNCTION("""COMPUTED_VALUE"""),0.0)</f>
        <v>0</v>
      </c>
      <c r="V5330" s="1" t="str">
        <f>IFERROR(__xludf.DUMMYFUNCTION("""COMPUTED_VALUE"""),"#N/A")</f>
        <v>#N/A</v>
      </c>
      <c r="W5330" s="1" t="str">
        <f>IFERROR(__xludf.DUMMYFUNCTION("""COMPUTED_VALUE"""),"#N/A")</f>
        <v>#N/A</v>
      </c>
    </row>
    <row r="5331">
      <c r="O5331" s="1" t="str">
        <f>IFERROR(__xludf.DUMMYFUNCTION("""COMPUTED_VALUE"""),"#VALUE!")</f>
        <v>#VALUE!</v>
      </c>
      <c r="P5331" s="1" t="str">
        <f>IFERROR(__xludf.DUMMYFUNCTION("""COMPUTED_VALUE"""),"#N/A")</f>
        <v>#N/A</v>
      </c>
      <c r="Q5331" s="1"/>
      <c r="R5331" s="1"/>
      <c r="S5331" s="1"/>
      <c r="T5331" s="1"/>
      <c r="U5331" s="2">
        <f>IFERROR(__xludf.DUMMYFUNCTION("""COMPUTED_VALUE"""),0.0)</f>
        <v>0</v>
      </c>
      <c r="V5331" s="1" t="str">
        <f>IFERROR(__xludf.DUMMYFUNCTION("""COMPUTED_VALUE"""),"#N/A")</f>
        <v>#N/A</v>
      </c>
      <c r="W5331" s="1" t="str">
        <f>IFERROR(__xludf.DUMMYFUNCTION("""COMPUTED_VALUE"""),"#N/A")</f>
        <v>#N/A</v>
      </c>
    </row>
    <row r="5332">
      <c r="O5332" s="1" t="str">
        <f>IFERROR(__xludf.DUMMYFUNCTION("""COMPUTED_VALUE"""),"#VALUE!")</f>
        <v>#VALUE!</v>
      </c>
      <c r="P5332" s="1" t="str">
        <f>IFERROR(__xludf.DUMMYFUNCTION("""COMPUTED_VALUE"""),"#N/A")</f>
        <v>#N/A</v>
      </c>
      <c r="Q5332" s="1"/>
      <c r="R5332" s="1"/>
      <c r="S5332" s="1"/>
      <c r="T5332" s="1"/>
      <c r="U5332" s="2">
        <f>IFERROR(__xludf.DUMMYFUNCTION("""COMPUTED_VALUE"""),0.0)</f>
        <v>0</v>
      </c>
      <c r="V5332" s="1" t="str">
        <f>IFERROR(__xludf.DUMMYFUNCTION("""COMPUTED_VALUE"""),"#N/A")</f>
        <v>#N/A</v>
      </c>
      <c r="W5332" s="1" t="str">
        <f>IFERROR(__xludf.DUMMYFUNCTION("""COMPUTED_VALUE"""),"#N/A")</f>
        <v>#N/A</v>
      </c>
    </row>
    <row r="5333">
      <c r="O5333" s="1" t="str">
        <f>IFERROR(__xludf.DUMMYFUNCTION("""COMPUTED_VALUE"""),"#VALUE!")</f>
        <v>#VALUE!</v>
      </c>
      <c r="P5333" s="1" t="str">
        <f>IFERROR(__xludf.DUMMYFUNCTION("""COMPUTED_VALUE"""),"#N/A")</f>
        <v>#N/A</v>
      </c>
      <c r="Q5333" s="1"/>
      <c r="R5333" s="1"/>
      <c r="S5333" s="1"/>
      <c r="T5333" s="1"/>
      <c r="U5333" s="2">
        <f>IFERROR(__xludf.DUMMYFUNCTION("""COMPUTED_VALUE"""),0.0)</f>
        <v>0</v>
      </c>
      <c r="V5333" s="1" t="str">
        <f>IFERROR(__xludf.DUMMYFUNCTION("""COMPUTED_VALUE"""),"#N/A")</f>
        <v>#N/A</v>
      </c>
      <c r="W5333" s="1" t="str">
        <f>IFERROR(__xludf.DUMMYFUNCTION("""COMPUTED_VALUE"""),"#N/A")</f>
        <v>#N/A</v>
      </c>
    </row>
    <row r="5334">
      <c r="O5334" s="1" t="str">
        <f>IFERROR(__xludf.DUMMYFUNCTION("""COMPUTED_VALUE"""),"#VALUE!")</f>
        <v>#VALUE!</v>
      </c>
      <c r="P5334" s="1" t="str">
        <f>IFERROR(__xludf.DUMMYFUNCTION("""COMPUTED_VALUE"""),"#N/A")</f>
        <v>#N/A</v>
      </c>
      <c r="Q5334" s="1"/>
      <c r="R5334" s="1"/>
      <c r="S5334" s="1"/>
      <c r="T5334" s="1"/>
      <c r="U5334" s="2">
        <f>IFERROR(__xludf.DUMMYFUNCTION("""COMPUTED_VALUE"""),0.0)</f>
        <v>0</v>
      </c>
      <c r="V5334" s="1" t="str">
        <f>IFERROR(__xludf.DUMMYFUNCTION("""COMPUTED_VALUE"""),"#N/A")</f>
        <v>#N/A</v>
      </c>
      <c r="W5334" s="1" t="str">
        <f>IFERROR(__xludf.DUMMYFUNCTION("""COMPUTED_VALUE"""),"#N/A")</f>
        <v>#N/A</v>
      </c>
    </row>
    <row r="5335">
      <c r="O5335" s="1" t="str">
        <f>IFERROR(__xludf.DUMMYFUNCTION("""COMPUTED_VALUE"""),"#VALUE!")</f>
        <v>#VALUE!</v>
      </c>
      <c r="P5335" s="1" t="str">
        <f>IFERROR(__xludf.DUMMYFUNCTION("""COMPUTED_VALUE"""),"#N/A")</f>
        <v>#N/A</v>
      </c>
      <c r="Q5335" s="1"/>
      <c r="R5335" s="1"/>
      <c r="S5335" s="1"/>
      <c r="T5335" s="1"/>
      <c r="U5335" s="2">
        <f>IFERROR(__xludf.DUMMYFUNCTION("""COMPUTED_VALUE"""),0.0)</f>
        <v>0</v>
      </c>
      <c r="V5335" s="1" t="str">
        <f>IFERROR(__xludf.DUMMYFUNCTION("""COMPUTED_VALUE"""),"#N/A")</f>
        <v>#N/A</v>
      </c>
      <c r="W5335" s="1" t="str">
        <f>IFERROR(__xludf.DUMMYFUNCTION("""COMPUTED_VALUE"""),"#N/A")</f>
        <v>#N/A</v>
      </c>
    </row>
    <row r="5336">
      <c r="O5336" s="1" t="str">
        <f>IFERROR(__xludf.DUMMYFUNCTION("""COMPUTED_VALUE"""),"#VALUE!")</f>
        <v>#VALUE!</v>
      </c>
      <c r="P5336" s="1" t="str">
        <f>IFERROR(__xludf.DUMMYFUNCTION("""COMPUTED_VALUE"""),"#N/A")</f>
        <v>#N/A</v>
      </c>
      <c r="Q5336" s="1"/>
      <c r="R5336" s="1"/>
      <c r="S5336" s="1"/>
      <c r="T5336" s="1"/>
      <c r="U5336" s="2">
        <f>IFERROR(__xludf.DUMMYFUNCTION("""COMPUTED_VALUE"""),0.0)</f>
        <v>0</v>
      </c>
      <c r="V5336" s="1" t="str">
        <f>IFERROR(__xludf.DUMMYFUNCTION("""COMPUTED_VALUE"""),"#N/A")</f>
        <v>#N/A</v>
      </c>
      <c r="W5336" s="1" t="str">
        <f>IFERROR(__xludf.DUMMYFUNCTION("""COMPUTED_VALUE"""),"#N/A")</f>
        <v>#N/A</v>
      </c>
    </row>
    <row r="5337">
      <c r="O5337" s="1" t="str">
        <f>IFERROR(__xludf.DUMMYFUNCTION("""COMPUTED_VALUE"""),"#VALUE!")</f>
        <v>#VALUE!</v>
      </c>
      <c r="P5337" s="1" t="str">
        <f>IFERROR(__xludf.DUMMYFUNCTION("""COMPUTED_VALUE"""),"#N/A")</f>
        <v>#N/A</v>
      </c>
      <c r="Q5337" s="1"/>
      <c r="R5337" s="1"/>
      <c r="S5337" s="1"/>
      <c r="T5337" s="1"/>
      <c r="U5337" s="2">
        <f>IFERROR(__xludf.DUMMYFUNCTION("""COMPUTED_VALUE"""),0.0)</f>
        <v>0</v>
      </c>
      <c r="V5337" s="1" t="str">
        <f>IFERROR(__xludf.DUMMYFUNCTION("""COMPUTED_VALUE"""),"#N/A")</f>
        <v>#N/A</v>
      </c>
      <c r="W5337" s="1" t="str">
        <f>IFERROR(__xludf.DUMMYFUNCTION("""COMPUTED_VALUE"""),"#N/A")</f>
        <v>#N/A</v>
      </c>
    </row>
    <row r="5338">
      <c r="O5338" s="1" t="str">
        <f>IFERROR(__xludf.DUMMYFUNCTION("""COMPUTED_VALUE"""),"#VALUE!")</f>
        <v>#VALUE!</v>
      </c>
      <c r="P5338" s="1" t="str">
        <f>IFERROR(__xludf.DUMMYFUNCTION("""COMPUTED_VALUE"""),"#N/A")</f>
        <v>#N/A</v>
      </c>
      <c r="Q5338" s="1"/>
      <c r="R5338" s="1"/>
      <c r="S5338" s="1"/>
      <c r="T5338" s="1"/>
      <c r="U5338" s="2">
        <f>IFERROR(__xludf.DUMMYFUNCTION("""COMPUTED_VALUE"""),0.0)</f>
        <v>0</v>
      </c>
      <c r="V5338" s="1" t="str">
        <f>IFERROR(__xludf.DUMMYFUNCTION("""COMPUTED_VALUE"""),"#N/A")</f>
        <v>#N/A</v>
      </c>
      <c r="W5338" s="1" t="str">
        <f>IFERROR(__xludf.DUMMYFUNCTION("""COMPUTED_VALUE"""),"#N/A")</f>
        <v>#N/A</v>
      </c>
    </row>
    <row r="5339">
      <c r="O5339" s="1" t="str">
        <f>IFERROR(__xludf.DUMMYFUNCTION("""COMPUTED_VALUE"""),"#VALUE!")</f>
        <v>#VALUE!</v>
      </c>
      <c r="P5339" s="1" t="str">
        <f>IFERROR(__xludf.DUMMYFUNCTION("""COMPUTED_VALUE"""),"#N/A")</f>
        <v>#N/A</v>
      </c>
      <c r="Q5339" s="1"/>
      <c r="R5339" s="1"/>
      <c r="S5339" s="1"/>
      <c r="T5339" s="1"/>
      <c r="U5339" s="2">
        <f>IFERROR(__xludf.DUMMYFUNCTION("""COMPUTED_VALUE"""),0.0)</f>
        <v>0</v>
      </c>
      <c r="V5339" s="1" t="str">
        <f>IFERROR(__xludf.DUMMYFUNCTION("""COMPUTED_VALUE"""),"#N/A")</f>
        <v>#N/A</v>
      </c>
      <c r="W5339" s="1" t="str">
        <f>IFERROR(__xludf.DUMMYFUNCTION("""COMPUTED_VALUE"""),"#N/A")</f>
        <v>#N/A</v>
      </c>
    </row>
    <row r="5340">
      <c r="O5340" s="1" t="str">
        <f>IFERROR(__xludf.DUMMYFUNCTION("""COMPUTED_VALUE"""),"#VALUE!")</f>
        <v>#VALUE!</v>
      </c>
      <c r="P5340" s="1" t="str">
        <f>IFERROR(__xludf.DUMMYFUNCTION("""COMPUTED_VALUE"""),"#N/A")</f>
        <v>#N/A</v>
      </c>
      <c r="Q5340" s="1"/>
      <c r="R5340" s="1"/>
      <c r="S5340" s="1"/>
      <c r="T5340" s="1"/>
      <c r="U5340" s="2">
        <f>IFERROR(__xludf.DUMMYFUNCTION("""COMPUTED_VALUE"""),0.0)</f>
        <v>0</v>
      </c>
      <c r="V5340" s="1" t="str">
        <f>IFERROR(__xludf.DUMMYFUNCTION("""COMPUTED_VALUE"""),"#N/A")</f>
        <v>#N/A</v>
      </c>
      <c r="W5340" s="1" t="str">
        <f>IFERROR(__xludf.DUMMYFUNCTION("""COMPUTED_VALUE"""),"#N/A")</f>
        <v>#N/A</v>
      </c>
    </row>
    <row r="5341">
      <c r="O5341" s="1" t="str">
        <f>IFERROR(__xludf.DUMMYFUNCTION("""COMPUTED_VALUE"""),"#VALUE!")</f>
        <v>#VALUE!</v>
      </c>
      <c r="P5341" s="1" t="str">
        <f>IFERROR(__xludf.DUMMYFUNCTION("""COMPUTED_VALUE"""),"#N/A")</f>
        <v>#N/A</v>
      </c>
      <c r="Q5341" s="1"/>
      <c r="R5341" s="1"/>
      <c r="S5341" s="1"/>
      <c r="T5341" s="1"/>
      <c r="U5341" s="2">
        <f>IFERROR(__xludf.DUMMYFUNCTION("""COMPUTED_VALUE"""),0.0)</f>
        <v>0</v>
      </c>
      <c r="V5341" s="1" t="str">
        <f>IFERROR(__xludf.DUMMYFUNCTION("""COMPUTED_VALUE"""),"#N/A")</f>
        <v>#N/A</v>
      </c>
      <c r="W5341" s="1" t="str">
        <f>IFERROR(__xludf.DUMMYFUNCTION("""COMPUTED_VALUE"""),"#N/A")</f>
        <v>#N/A</v>
      </c>
    </row>
    <row r="5342">
      <c r="O5342" s="1" t="str">
        <f>IFERROR(__xludf.DUMMYFUNCTION("""COMPUTED_VALUE"""),"#VALUE!")</f>
        <v>#VALUE!</v>
      </c>
      <c r="P5342" s="1" t="str">
        <f>IFERROR(__xludf.DUMMYFUNCTION("""COMPUTED_VALUE"""),"#N/A")</f>
        <v>#N/A</v>
      </c>
      <c r="Q5342" s="1"/>
      <c r="R5342" s="1"/>
      <c r="S5342" s="1"/>
      <c r="T5342" s="1"/>
      <c r="U5342" s="2">
        <f>IFERROR(__xludf.DUMMYFUNCTION("""COMPUTED_VALUE"""),0.0)</f>
        <v>0</v>
      </c>
      <c r="V5342" s="1" t="str">
        <f>IFERROR(__xludf.DUMMYFUNCTION("""COMPUTED_VALUE"""),"#N/A")</f>
        <v>#N/A</v>
      </c>
      <c r="W5342" s="1" t="str">
        <f>IFERROR(__xludf.DUMMYFUNCTION("""COMPUTED_VALUE"""),"#N/A")</f>
        <v>#N/A</v>
      </c>
    </row>
    <row r="5343">
      <c r="O5343" s="1" t="str">
        <f>IFERROR(__xludf.DUMMYFUNCTION("""COMPUTED_VALUE"""),"#VALUE!")</f>
        <v>#VALUE!</v>
      </c>
      <c r="P5343" s="1" t="str">
        <f>IFERROR(__xludf.DUMMYFUNCTION("""COMPUTED_VALUE"""),"#N/A")</f>
        <v>#N/A</v>
      </c>
      <c r="Q5343" s="1"/>
      <c r="R5343" s="1"/>
      <c r="S5343" s="1"/>
      <c r="T5343" s="1"/>
      <c r="U5343" s="2">
        <f>IFERROR(__xludf.DUMMYFUNCTION("""COMPUTED_VALUE"""),0.0)</f>
        <v>0</v>
      </c>
      <c r="V5343" s="1" t="str">
        <f>IFERROR(__xludf.DUMMYFUNCTION("""COMPUTED_VALUE"""),"#N/A")</f>
        <v>#N/A</v>
      </c>
      <c r="W5343" s="1" t="str">
        <f>IFERROR(__xludf.DUMMYFUNCTION("""COMPUTED_VALUE"""),"#N/A")</f>
        <v>#N/A</v>
      </c>
    </row>
    <row r="5344">
      <c r="O5344" s="1" t="str">
        <f>IFERROR(__xludf.DUMMYFUNCTION("""COMPUTED_VALUE"""),"#VALUE!")</f>
        <v>#VALUE!</v>
      </c>
      <c r="P5344" s="1" t="str">
        <f>IFERROR(__xludf.DUMMYFUNCTION("""COMPUTED_VALUE"""),"#N/A")</f>
        <v>#N/A</v>
      </c>
      <c r="Q5344" s="1"/>
      <c r="R5344" s="1"/>
      <c r="S5344" s="1"/>
      <c r="T5344" s="1"/>
      <c r="U5344" s="2">
        <f>IFERROR(__xludf.DUMMYFUNCTION("""COMPUTED_VALUE"""),0.0)</f>
        <v>0</v>
      </c>
      <c r="V5344" s="1" t="str">
        <f>IFERROR(__xludf.DUMMYFUNCTION("""COMPUTED_VALUE"""),"#N/A")</f>
        <v>#N/A</v>
      </c>
      <c r="W5344" s="1" t="str">
        <f>IFERROR(__xludf.DUMMYFUNCTION("""COMPUTED_VALUE"""),"#N/A")</f>
        <v>#N/A</v>
      </c>
    </row>
    <row r="5345">
      <c r="O5345" s="1" t="str">
        <f>IFERROR(__xludf.DUMMYFUNCTION("""COMPUTED_VALUE"""),"#VALUE!")</f>
        <v>#VALUE!</v>
      </c>
      <c r="P5345" s="1" t="str">
        <f>IFERROR(__xludf.DUMMYFUNCTION("""COMPUTED_VALUE"""),"#N/A")</f>
        <v>#N/A</v>
      </c>
      <c r="Q5345" s="1"/>
      <c r="R5345" s="1"/>
      <c r="S5345" s="1"/>
      <c r="T5345" s="1"/>
      <c r="U5345" s="2">
        <f>IFERROR(__xludf.DUMMYFUNCTION("""COMPUTED_VALUE"""),0.0)</f>
        <v>0</v>
      </c>
      <c r="V5345" s="1" t="str">
        <f>IFERROR(__xludf.DUMMYFUNCTION("""COMPUTED_VALUE"""),"#N/A")</f>
        <v>#N/A</v>
      </c>
      <c r="W5345" s="1" t="str">
        <f>IFERROR(__xludf.DUMMYFUNCTION("""COMPUTED_VALUE"""),"#N/A")</f>
        <v>#N/A</v>
      </c>
    </row>
    <row r="5346">
      <c r="O5346" s="1" t="str">
        <f>IFERROR(__xludf.DUMMYFUNCTION("""COMPUTED_VALUE"""),"#VALUE!")</f>
        <v>#VALUE!</v>
      </c>
      <c r="P5346" s="1" t="str">
        <f>IFERROR(__xludf.DUMMYFUNCTION("""COMPUTED_VALUE"""),"#N/A")</f>
        <v>#N/A</v>
      </c>
      <c r="Q5346" s="1"/>
      <c r="R5346" s="1"/>
      <c r="S5346" s="1"/>
      <c r="T5346" s="1"/>
      <c r="U5346" s="2">
        <f>IFERROR(__xludf.DUMMYFUNCTION("""COMPUTED_VALUE"""),0.0)</f>
        <v>0</v>
      </c>
      <c r="V5346" s="1" t="str">
        <f>IFERROR(__xludf.DUMMYFUNCTION("""COMPUTED_VALUE"""),"#N/A")</f>
        <v>#N/A</v>
      </c>
      <c r="W5346" s="1" t="str">
        <f>IFERROR(__xludf.DUMMYFUNCTION("""COMPUTED_VALUE"""),"#N/A")</f>
        <v>#N/A</v>
      </c>
    </row>
    <row r="5347">
      <c r="O5347" s="1" t="str">
        <f>IFERROR(__xludf.DUMMYFUNCTION("""COMPUTED_VALUE"""),"#VALUE!")</f>
        <v>#VALUE!</v>
      </c>
      <c r="P5347" s="1" t="str">
        <f>IFERROR(__xludf.DUMMYFUNCTION("""COMPUTED_VALUE"""),"#N/A")</f>
        <v>#N/A</v>
      </c>
      <c r="Q5347" s="1"/>
      <c r="R5347" s="1"/>
      <c r="S5347" s="1"/>
      <c r="T5347" s="1"/>
      <c r="U5347" s="2">
        <f>IFERROR(__xludf.DUMMYFUNCTION("""COMPUTED_VALUE"""),0.0)</f>
        <v>0</v>
      </c>
      <c r="V5347" s="1" t="str">
        <f>IFERROR(__xludf.DUMMYFUNCTION("""COMPUTED_VALUE"""),"#N/A")</f>
        <v>#N/A</v>
      </c>
      <c r="W5347" s="1" t="str">
        <f>IFERROR(__xludf.DUMMYFUNCTION("""COMPUTED_VALUE"""),"#N/A")</f>
        <v>#N/A</v>
      </c>
    </row>
    <row r="5348">
      <c r="O5348" s="1" t="str">
        <f>IFERROR(__xludf.DUMMYFUNCTION("""COMPUTED_VALUE"""),"#VALUE!")</f>
        <v>#VALUE!</v>
      </c>
      <c r="P5348" s="1" t="str">
        <f>IFERROR(__xludf.DUMMYFUNCTION("""COMPUTED_VALUE"""),"#N/A")</f>
        <v>#N/A</v>
      </c>
      <c r="Q5348" s="1"/>
      <c r="R5348" s="1"/>
      <c r="S5348" s="1"/>
      <c r="T5348" s="1"/>
      <c r="U5348" s="2">
        <f>IFERROR(__xludf.DUMMYFUNCTION("""COMPUTED_VALUE"""),0.0)</f>
        <v>0</v>
      </c>
      <c r="V5348" s="1" t="str">
        <f>IFERROR(__xludf.DUMMYFUNCTION("""COMPUTED_VALUE"""),"#N/A")</f>
        <v>#N/A</v>
      </c>
      <c r="W5348" s="1" t="str">
        <f>IFERROR(__xludf.DUMMYFUNCTION("""COMPUTED_VALUE"""),"#N/A")</f>
        <v>#N/A</v>
      </c>
    </row>
    <row r="5349">
      <c r="O5349" s="1" t="str">
        <f>IFERROR(__xludf.DUMMYFUNCTION("""COMPUTED_VALUE"""),"#VALUE!")</f>
        <v>#VALUE!</v>
      </c>
      <c r="P5349" s="1" t="str">
        <f>IFERROR(__xludf.DUMMYFUNCTION("""COMPUTED_VALUE"""),"#N/A")</f>
        <v>#N/A</v>
      </c>
      <c r="Q5349" s="1"/>
      <c r="R5349" s="1"/>
      <c r="S5349" s="1"/>
      <c r="T5349" s="1"/>
      <c r="U5349" s="2">
        <f>IFERROR(__xludf.DUMMYFUNCTION("""COMPUTED_VALUE"""),0.0)</f>
        <v>0</v>
      </c>
      <c r="V5349" s="1" t="str">
        <f>IFERROR(__xludf.DUMMYFUNCTION("""COMPUTED_VALUE"""),"#N/A")</f>
        <v>#N/A</v>
      </c>
      <c r="W5349" s="1" t="str">
        <f>IFERROR(__xludf.DUMMYFUNCTION("""COMPUTED_VALUE"""),"#N/A")</f>
        <v>#N/A</v>
      </c>
    </row>
    <row r="5350">
      <c r="O5350" s="1" t="str">
        <f>IFERROR(__xludf.DUMMYFUNCTION("""COMPUTED_VALUE"""),"#VALUE!")</f>
        <v>#VALUE!</v>
      </c>
      <c r="P5350" s="1" t="str">
        <f>IFERROR(__xludf.DUMMYFUNCTION("""COMPUTED_VALUE"""),"#N/A")</f>
        <v>#N/A</v>
      </c>
      <c r="Q5350" s="1"/>
      <c r="R5350" s="1"/>
      <c r="S5350" s="1"/>
      <c r="T5350" s="1"/>
      <c r="U5350" s="2">
        <f>IFERROR(__xludf.DUMMYFUNCTION("""COMPUTED_VALUE"""),0.0)</f>
        <v>0</v>
      </c>
      <c r="V5350" s="1" t="str">
        <f>IFERROR(__xludf.DUMMYFUNCTION("""COMPUTED_VALUE"""),"#N/A")</f>
        <v>#N/A</v>
      </c>
      <c r="W5350" s="1" t="str">
        <f>IFERROR(__xludf.DUMMYFUNCTION("""COMPUTED_VALUE"""),"#N/A")</f>
        <v>#N/A</v>
      </c>
    </row>
    <row r="5351">
      <c r="O5351" s="1" t="str">
        <f>IFERROR(__xludf.DUMMYFUNCTION("""COMPUTED_VALUE"""),"#VALUE!")</f>
        <v>#VALUE!</v>
      </c>
      <c r="P5351" s="1" t="str">
        <f>IFERROR(__xludf.DUMMYFUNCTION("""COMPUTED_VALUE"""),"#N/A")</f>
        <v>#N/A</v>
      </c>
      <c r="Q5351" s="1"/>
      <c r="R5351" s="1"/>
      <c r="S5351" s="1"/>
      <c r="T5351" s="1"/>
      <c r="U5351" s="2">
        <f>IFERROR(__xludf.DUMMYFUNCTION("""COMPUTED_VALUE"""),0.0)</f>
        <v>0</v>
      </c>
      <c r="V5351" s="1" t="str">
        <f>IFERROR(__xludf.DUMMYFUNCTION("""COMPUTED_VALUE"""),"#N/A")</f>
        <v>#N/A</v>
      </c>
      <c r="W5351" s="1" t="str">
        <f>IFERROR(__xludf.DUMMYFUNCTION("""COMPUTED_VALUE"""),"#N/A")</f>
        <v>#N/A</v>
      </c>
    </row>
    <row r="5352">
      <c r="O5352" s="1" t="str">
        <f>IFERROR(__xludf.DUMMYFUNCTION("""COMPUTED_VALUE"""),"#VALUE!")</f>
        <v>#VALUE!</v>
      </c>
      <c r="P5352" s="1" t="str">
        <f>IFERROR(__xludf.DUMMYFUNCTION("""COMPUTED_VALUE"""),"#N/A")</f>
        <v>#N/A</v>
      </c>
      <c r="Q5352" s="1"/>
      <c r="R5352" s="1"/>
      <c r="S5352" s="1"/>
      <c r="T5352" s="1"/>
      <c r="U5352" s="2">
        <f>IFERROR(__xludf.DUMMYFUNCTION("""COMPUTED_VALUE"""),0.0)</f>
        <v>0</v>
      </c>
      <c r="V5352" s="1" t="str">
        <f>IFERROR(__xludf.DUMMYFUNCTION("""COMPUTED_VALUE"""),"#N/A")</f>
        <v>#N/A</v>
      </c>
      <c r="W5352" s="1" t="str">
        <f>IFERROR(__xludf.DUMMYFUNCTION("""COMPUTED_VALUE"""),"#N/A")</f>
        <v>#N/A</v>
      </c>
    </row>
    <row r="5353">
      <c r="O5353" s="1" t="str">
        <f>IFERROR(__xludf.DUMMYFUNCTION("""COMPUTED_VALUE"""),"#VALUE!")</f>
        <v>#VALUE!</v>
      </c>
      <c r="P5353" s="1" t="str">
        <f>IFERROR(__xludf.DUMMYFUNCTION("""COMPUTED_VALUE"""),"#N/A")</f>
        <v>#N/A</v>
      </c>
      <c r="Q5353" s="1"/>
      <c r="R5353" s="1"/>
      <c r="S5353" s="1"/>
      <c r="T5353" s="1"/>
      <c r="U5353" s="2">
        <f>IFERROR(__xludf.DUMMYFUNCTION("""COMPUTED_VALUE"""),0.0)</f>
        <v>0</v>
      </c>
      <c r="V5353" s="1" t="str">
        <f>IFERROR(__xludf.DUMMYFUNCTION("""COMPUTED_VALUE"""),"#N/A")</f>
        <v>#N/A</v>
      </c>
      <c r="W5353" s="1" t="str">
        <f>IFERROR(__xludf.DUMMYFUNCTION("""COMPUTED_VALUE"""),"#N/A")</f>
        <v>#N/A</v>
      </c>
    </row>
    <row r="5354">
      <c r="O5354" s="1" t="str">
        <f>IFERROR(__xludf.DUMMYFUNCTION("""COMPUTED_VALUE"""),"#VALUE!")</f>
        <v>#VALUE!</v>
      </c>
      <c r="P5354" s="1" t="str">
        <f>IFERROR(__xludf.DUMMYFUNCTION("""COMPUTED_VALUE"""),"#N/A")</f>
        <v>#N/A</v>
      </c>
      <c r="Q5354" s="1"/>
      <c r="R5354" s="1"/>
      <c r="S5354" s="1"/>
      <c r="T5354" s="1"/>
      <c r="U5354" s="2">
        <f>IFERROR(__xludf.DUMMYFUNCTION("""COMPUTED_VALUE"""),0.0)</f>
        <v>0</v>
      </c>
      <c r="V5354" s="1" t="str">
        <f>IFERROR(__xludf.DUMMYFUNCTION("""COMPUTED_VALUE"""),"#N/A")</f>
        <v>#N/A</v>
      </c>
      <c r="W5354" s="1" t="str">
        <f>IFERROR(__xludf.DUMMYFUNCTION("""COMPUTED_VALUE"""),"#N/A")</f>
        <v>#N/A</v>
      </c>
    </row>
    <row r="5355">
      <c r="O5355" s="1" t="str">
        <f>IFERROR(__xludf.DUMMYFUNCTION("""COMPUTED_VALUE"""),"#VALUE!")</f>
        <v>#VALUE!</v>
      </c>
      <c r="P5355" s="1" t="str">
        <f>IFERROR(__xludf.DUMMYFUNCTION("""COMPUTED_VALUE"""),"#N/A")</f>
        <v>#N/A</v>
      </c>
      <c r="Q5355" s="1"/>
      <c r="R5355" s="1"/>
      <c r="S5355" s="1"/>
      <c r="T5355" s="1"/>
      <c r="U5355" s="2">
        <f>IFERROR(__xludf.DUMMYFUNCTION("""COMPUTED_VALUE"""),0.0)</f>
        <v>0</v>
      </c>
      <c r="V5355" s="1" t="str">
        <f>IFERROR(__xludf.DUMMYFUNCTION("""COMPUTED_VALUE"""),"#N/A")</f>
        <v>#N/A</v>
      </c>
      <c r="W5355" s="1" t="str">
        <f>IFERROR(__xludf.DUMMYFUNCTION("""COMPUTED_VALUE"""),"#N/A")</f>
        <v>#N/A</v>
      </c>
    </row>
    <row r="5356">
      <c r="O5356" s="1" t="str">
        <f>IFERROR(__xludf.DUMMYFUNCTION("""COMPUTED_VALUE"""),"#VALUE!")</f>
        <v>#VALUE!</v>
      </c>
      <c r="P5356" s="1" t="str">
        <f>IFERROR(__xludf.DUMMYFUNCTION("""COMPUTED_VALUE"""),"#N/A")</f>
        <v>#N/A</v>
      </c>
      <c r="Q5356" s="1"/>
      <c r="R5356" s="1"/>
      <c r="S5356" s="1"/>
      <c r="T5356" s="1"/>
      <c r="U5356" s="2">
        <f>IFERROR(__xludf.DUMMYFUNCTION("""COMPUTED_VALUE"""),0.0)</f>
        <v>0</v>
      </c>
      <c r="V5356" s="1" t="str">
        <f>IFERROR(__xludf.DUMMYFUNCTION("""COMPUTED_VALUE"""),"#N/A")</f>
        <v>#N/A</v>
      </c>
      <c r="W5356" s="1" t="str">
        <f>IFERROR(__xludf.DUMMYFUNCTION("""COMPUTED_VALUE"""),"#N/A")</f>
        <v>#N/A</v>
      </c>
    </row>
    <row r="5357">
      <c r="O5357" s="1" t="str">
        <f>IFERROR(__xludf.DUMMYFUNCTION("""COMPUTED_VALUE"""),"#VALUE!")</f>
        <v>#VALUE!</v>
      </c>
      <c r="P5357" s="1" t="str">
        <f>IFERROR(__xludf.DUMMYFUNCTION("""COMPUTED_VALUE"""),"#N/A")</f>
        <v>#N/A</v>
      </c>
      <c r="Q5357" s="1"/>
      <c r="R5357" s="1"/>
      <c r="S5357" s="1"/>
      <c r="T5357" s="1"/>
      <c r="U5357" s="2">
        <f>IFERROR(__xludf.DUMMYFUNCTION("""COMPUTED_VALUE"""),0.0)</f>
        <v>0</v>
      </c>
      <c r="V5357" s="1" t="str">
        <f>IFERROR(__xludf.DUMMYFUNCTION("""COMPUTED_VALUE"""),"#N/A")</f>
        <v>#N/A</v>
      </c>
      <c r="W5357" s="1" t="str">
        <f>IFERROR(__xludf.DUMMYFUNCTION("""COMPUTED_VALUE"""),"#N/A")</f>
        <v>#N/A</v>
      </c>
    </row>
    <row r="5358">
      <c r="O5358" s="1" t="str">
        <f>IFERROR(__xludf.DUMMYFUNCTION("""COMPUTED_VALUE"""),"#VALUE!")</f>
        <v>#VALUE!</v>
      </c>
      <c r="P5358" s="1" t="str">
        <f>IFERROR(__xludf.DUMMYFUNCTION("""COMPUTED_VALUE"""),"#N/A")</f>
        <v>#N/A</v>
      </c>
      <c r="Q5358" s="1"/>
      <c r="R5358" s="1"/>
      <c r="S5358" s="1"/>
      <c r="T5358" s="1"/>
      <c r="U5358" s="2">
        <f>IFERROR(__xludf.DUMMYFUNCTION("""COMPUTED_VALUE"""),0.0)</f>
        <v>0</v>
      </c>
      <c r="V5358" s="1" t="str">
        <f>IFERROR(__xludf.DUMMYFUNCTION("""COMPUTED_VALUE"""),"#N/A")</f>
        <v>#N/A</v>
      </c>
      <c r="W5358" s="1" t="str">
        <f>IFERROR(__xludf.DUMMYFUNCTION("""COMPUTED_VALUE"""),"#N/A")</f>
        <v>#N/A</v>
      </c>
    </row>
    <row r="5359">
      <c r="O5359" s="1" t="str">
        <f>IFERROR(__xludf.DUMMYFUNCTION("""COMPUTED_VALUE"""),"#VALUE!")</f>
        <v>#VALUE!</v>
      </c>
      <c r="P5359" s="1" t="str">
        <f>IFERROR(__xludf.DUMMYFUNCTION("""COMPUTED_VALUE"""),"#N/A")</f>
        <v>#N/A</v>
      </c>
      <c r="Q5359" s="1"/>
      <c r="R5359" s="1"/>
      <c r="S5359" s="1"/>
      <c r="T5359" s="1"/>
      <c r="U5359" s="2">
        <f>IFERROR(__xludf.DUMMYFUNCTION("""COMPUTED_VALUE"""),0.0)</f>
        <v>0</v>
      </c>
      <c r="V5359" s="1" t="str">
        <f>IFERROR(__xludf.DUMMYFUNCTION("""COMPUTED_VALUE"""),"#N/A")</f>
        <v>#N/A</v>
      </c>
      <c r="W5359" s="1" t="str">
        <f>IFERROR(__xludf.DUMMYFUNCTION("""COMPUTED_VALUE"""),"#N/A")</f>
        <v>#N/A</v>
      </c>
    </row>
    <row r="5360">
      <c r="O5360" s="1" t="str">
        <f>IFERROR(__xludf.DUMMYFUNCTION("""COMPUTED_VALUE"""),"#VALUE!")</f>
        <v>#VALUE!</v>
      </c>
      <c r="P5360" s="1" t="str">
        <f>IFERROR(__xludf.DUMMYFUNCTION("""COMPUTED_VALUE"""),"#N/A")</f>
        <v>#N/A</v>
      </c>
      <c r="Q5360" s="1"/>
      <c r="R5360" s="1"/>
      <c r="S5360" s="1"/>
      <c r="T5360" s="1"/>
      <c r="U5360" s="2">
        <f>IFERROR(__xludf.DUMMYFUNCTION("""COMPUTED_VALUE"""),0.0)</f>
        <v>0</v>
      </c>
      <c r="V5360" s="1" t="str">
        <f>IFERROR(__xludf.DUMMYFUNCTION("""COMPUTED_VALUE"""),"#N/A")</f>
        <v>#N/A</v>
      </c>
      <c r="W5360" s="1" t="str">
        <f>IFERROR(__xludf.DUMMYFUNCTION("""COMPUTED_VALUE"""),"#N/A")</f>
        <v>#N/A</v>
      </c>
    </row>
    <row r="5361">
      <c r="O5361" s="1" t="str">
        <f>IFERROR(__xludf.DUMMYFUNCTION("""COMPUTED_VALUE"""),"#VALUE!")</f>
        <v>#VALUE!</v>
      </c>
      <c r="P5361" s="1" t="str">
        <f>IFERROR(__xludf.DUMMYFUNCTION("""COMPUTED_VALUE"""),"#N/A")</f>
        <v>#N/A</v>
      </c>
      <c r="Q5361" s="1"/>
      <c r="R5361" s="1"/>
      <c r="S5361" s="1"/>
      <c r="T5361" s="1"/>
      <c r="U5361" s="2">
        <f>IFERROR(__xludf.DUMMYFUNCTION("""COMPUTED_VALUE"""),0.0)</f>
        <v>0</v>
      </c>
      <c r="V5361" s="1" t="str">
        <f>IFERROR(__xludf.DUMMYFUNCTION("""COMPUTED_VALUE"""),"#N/A")</f>
        <v>#N/A</v>
      </c>
      <c r="W5361" s="1" t="str">
        <f>IFERROR(__xludf.DUMMYFUNCTION("""COMPUTED_VALUE"""),"#N/A")</f>
        <v>#N/A</v>
      </c>
    </row>
    <row r="5362">
      <c r="O5362" s="1" t="str">
        <f>IFERROR(__xludf.DUMMYFUNCTION("""COMPUTED_VALUE"""),"#VALUE!")</f>
        <v>#VALUE!</v>
      </c>
      <c r="P5362" s="1" t="str">
        <f>IFERROR(__xludf.DUMMYFUNCTION("""COMPUTED_VALUE"""),"#N/A")</f>
        <v>#N/A</v>
      </c>
      <c r="Q5362" s="1"/>
      <c r="R5362" s="1"/>
      <c r="S5362" s="1"/>
      <c r="T5362" s="1"/>
      <c r="U5362" s="2">
        <f>IFERROR(__xludf.DUMMYFUNCTION("""COMPUTED_VALUE"""),0.0)</f>
        <v>0</v>
      </c>
      <c r="V5362" s="1" t="str">
        <f>IFERROR(__xludf.DUMMYFUNCTION("""COMPUTED_VALUE"""),"#N/A")</f>
        <v>#N/A</v>
      </c>
      <c r="W5362" s="1" t="str">
        <f>IFERROR(__xludf.DUMMYFUNCTION("""COMPUTED_VALUE"""),"#N/A")</f>
        <v>#N/A</v>
      </c>
    </row>
    <row r="5363">
      <c r="O5363" s="1" t="str">
        <f>IFERROR(__xludf.DUMMYFUNCTION("""COMPUTED_VALUE"""),"#VALUE!")</f>
        <v>#VALUE!</v>
      </c>
      <c r="P5363" s="1" t="str">
        <f>IFERROR(__xludf.DUMMYFUNCTION("""COMPUTED_VALUE"""),"#N/A")</f>
        <v>#N/A</v>
      </c>
      <c r="Q5363" s="1"/>
      <c r="R5363" s="1"/>
      <c r="S5363" s="1"/>
      <c r="T5363" s="1"/>
      <c r="U5363" s="2">
        <f>IFERROR(__xludf.DUMMYFUNCTION("""COMPUTED_VALUE"""),0.0)</f>
        <v>0</v>
      </c>
      <c r="V5363" s="1" t="str">
        <f>IFERROR(__xludf.DUMMYFUNCTION("""COMPUTED_VALUE"""),"#N/A")</f>
        <v>#N/A</v>
      </c>
      <c r="W5363" s="1" t="str">
        <f>IFERROR(__xludf.DUMMYFUNCTION("""COMPUTED_VALUE"""),"#N/A")</f>
        <v>#N/A</v>
      </c>
    </row>
    <row r="5364">
      <c r="O5364" s="1" t="str">
        <f>IFERROR(__xludf.DUMMYFUNCTION("""COMPUTED_VALUE"""),"#VALUE!")</f>
        <v>#VALUE!</v>
      </c>
      <c r="P5364" s="1" t="str">
        <f>IFERROR(__xludf.DUMMYFUNCTION("""COMPUTED_VALUE"""),"#N/A")</f>
        <v>#N/A</v>
      </c>
      <c r="Q5364" s="1"/>
      <c r="R5364" s="1"/>
      <c r="S5364" s="1"/>
      <c r="T5364" s="1"/>
      <c r="U5364" s="2">
        <f>IFERROR(__xludf.DUMMYFUNCTION("""COMPUTED_VALUE"""),0.0)</f>
        <v>0</v>
      </c>
      <c r="V5364" s="1" t="str">
        <f>IFERROR(__xludf.DUMMYFUNCTION("""COMPUTED_VALUE"""),"#N/A")</f>
        <v>#N/A</v>
      </c>
      <c r="W5364" s="1" t="str">
        <f>IFERROR(__xludf.DUMMYFUNCTION("""COMPUTED_VALUE"""),"#N/A")</f>
        <v>#N/A</v>
      </c>
    </row>
    <row r="5365">
      <c r="O5365" s="1" t="str">
        <f>IFERROR(__xludf.DUMMYFUNCTION("""COMPUTED_VALUE"""),"#VALUE!")</f>
        <v>#VALUE!</v>
      </c>
      <c r="P5365" s="1" t="str">
        <f>IFERROR(__xludf.DUMMYFUNCTION("""COMPUTED_VALUE"""),"#N/A")</f>
        <v>#N/A</v>
      </c>
      <c r="Q5365" s="1"/>
      <c r="R5365" s="1"/>
      <c r="S5365" s="1"/>
      <c r="T5365" s="1"/>
      <c r="U5365" s="2">
        <f>IFERROR(__xludf.DUMMYFUNCTION("""COMPUTED_VALUE"""),0.0)</f>
        <v>0</v>
      </c>
      <c r="V5365" s="1" t="str">
        <f>IFERROR(__xludf.DUMMYFUNCTION("""COMPUTED_VALUE"""),"#N/A")</f>
        <v>#N/A</v>
      </c>
      <c r="W5365" s="1" t="str">
        <f>IFERROR(__xludf.DUMMYFUNCTION("""COMPUTED_VALUE"""),"#N/A")</f>
        <v>#N/A</v>
      </c>
    </row>
    <row r="5366">
      <c r="O5366" s="1" t="str">
        <f>IFERROR(__xludf.DUMMYFUNCTION("""COMPUTED_VALUE"""),"#VALUE!")</f>
        <v>#VALUE!</v>
      </c>
      <c r="P5366" s="1" t="str">
        <f>IFERROR(__xludf.DUMMYFUNCTION("""COMPUTED_VALUE"""),"#N/A")</f>
        <v>#N/A</v>
      </c>
      <c r="Q5366" s="1"/>
      <c r="R5366" s="1"/>
      <c r="S5366" s="1"/>
      <c r="T5366" s="1"/>
      <c r="U5366" s="2">
        <f>IFERROR(__xludf.DUMMYFUNCTION("""COMPUTED_VALUE"""),0.0)</f>
        <v>0</v>
      </c>
      <c r="V5366" s="1" t="str">
        <f>IFERROR(__xludf.DUMMYFUNCTION("""COMPUTED_VALUE"""),"#N/A")</f>
        <v>#N/A</v>
      </c>
      <c r="W5366" s="1" t="str">
        <f>IFERROR(__xludf.DUMMYFUNCTION("""COMPUTED_VALUE"""),"#N/A")</f>
        <v>#N/A</v>
      </c>
    </row>
    <row r="5367">
      <c r="O5367" s="1" t="str">
        <f>IFERROR(__xludf.DUMMYFUNCTION("""COMPUTED_VALUE"""),"#VALUE!")</f>
        <v>#VALUE!</v>
      </c>
      <c r="P5367" s="1" t="str">
        <f>IFERROR(__xludf.DUMMYFUNCTION("""COMPUTED_VALUE"""),"#N/A")</f>
        <v>#N/A</v>
      </c>
      <c r="Q5367" s="1"/>
      <c r="R5367" s="1"/>
      <c r="S5367" s="1"/>
      <c r="T5367" s="1"/>
      <c r="U5367" s="2">
        <f>IFERROR(__xludf.DUMMYFUNCTION("""COMPUTED_VALUE"""),0.0)</f>
        <v>0</v>
      </c>
      <c r="V5367" s="1" t="str">
        <f>IFERROR(__xludf.DUMMYFUNCTION("""COMPUTED_VALUE"""),"#N/A")</f>
        <v>#N/A</v>
      </c>
      <c r="W5367" s="1" t="str">
        <f>IFERROR(__xludf.DUMMYFUNCTION("""COMPUTED_VALUE"""),"#N/A")</f>
        <v>#N/A</v>
      </c>
    </row>
    <row r="5368">
      <c r="O5368" s="1" t="str">
        <f>IFERROR(__xludf.DUMMYFUNCTION("""COMPUTED_VALUE"""),"#VALUE!")</f>
        <v>#VALUE!</v>
      </c>
      <c r="P5368" s="1" t="str">
        <f>IFERROR(__xludf.DUMMYFUNCTION("""COMPUTED_VALUE"""),"#N/A")</f>
        <v>#N/A</v>
      </c>
      <c r="Q5368" s="1"/>
      <c r="R5368" s="1"/>
      <c r="S5368" s="1"/>
      <c r="T5368" s="1"/>
      <c r="U5368" s="2">
        <f>IFERROR(__xludf.DUMMYFUNCTION("""COMPUTED_VALUE"""),0.0)</f>
        <v>0</v>
      </c>
      <c r="V5368" s="1" t="str">
        <f>IFERROR(__xludf.DUMMYFUNCTION("""COMPUTED_VALUE"""),"#N/A")</f>
        <v>#N/A</v>
      </c>
      <c r="W5368" s="1" t="str">
        <f>IFERROR(__xludf.DUMMYFUNCTION("""COMPUTED_VALUE"""),"#N/A")</f>
        <v>#N/A</v>
      </c>
    </row>
    <row r="5369">
      <c r="O5369" s="1" t="str">
        <f>IFERROR(__xludf.DUMMYFUNCTION("""COMPUTED_VALUE"""),"#VALUE!")</f>
        <v>#VALUE!</v>
      </c>
      <c r="P5369" s="1" t="str">
        <f>IFERROR(__xludf.DUMMYFUNCTION("""COMPUTED_VALUE"""),"#N/A")</f>
        <v>#N/A</v>
      </c>
      <c r="Q5369" s="1"/>
      <c r="R5369" s="1"/>
      <c r="S5369" s="1"/>
      <c r="T5369" s="1"/>
      <c r="U5369" s="2">
        <f>IFERROR(__xludf.DUMMYFUNCTION("""COMPUTED_VALUE"""),0.0)</f>
        <v>0</v>
      </c>
      <c r="V5369" s="1" t="str">
        <f>IFERROR(__xludf.DUMMYFUNCTION("""COMPUTED_VALUE"""),"#N/A")</f>
        <v>#N/A</v>
      </c>
      <c r="W5369" s="1" t="str">
        <f>IFERROR(__xludf.DUMMYFUNCTION("""COMPUTED_VALUE"""),"#N/A")</f>
        <v>#N/A</v>
      </c>
    </row>
    <row r="5370">
      <c r="O5370" s="1" t="str">
        <f>IFERROR(__xludf.DUMMYFUNCTION("""COMPUTED_VALUE"""),"#VALUE!")</f>
        <v>#VALUE!</v>
      </c>
      <c r="P5370" s="1" t="str">
        <f>IFERROR(__xludf.DUMMYFUNCTION("""COMPUTED_VALUE"""),"#N/A")</f>
        <v>#N/A</v>
      </c>
      <c r="Q5370" s="1"/>
      <c r="R5370" s="1"/>
      <c r="S5370" s="1"/>
      <c r="T5370" s="1"/>
      <c r="U5370" s="2">
        <f>IFERROR(__xludf.DUMMYFUNCTION("""COMPUTED_VALUE"""),0.0)</f>
        <v>0</v>
      </c>
      <c r="V5370" s="1" t="str">
        <f>IFERROR(__xludf.DUMMYFUNCTION("""COMPUTED_VALUE"""),"#N/A")</f>
        <v>#N/A</v>
      </c>
      <c r="W5370" s="1" t="str">
        <f>IFERROR(__xludf.DUMMYFUNCTION("""COMPUTED_VALUE"""),"#N/A")</f>
        <v>#N/A</v>
      </c>
    </row>
    <row r="5371">
      <c r="O5371" s="1" t="str">
        <f>IFERROR(__xludf.DUMMYFUNCTION("""COMPUTED_VALUE"""),"#VALUE!")</f>
        <v>#VALUE!</v>
      </c>
      <c r="P5371" s="1" t="str">
        <f>IFERROR(__xludf.DUMMYFUNCTION("""COMPUTED_VALUE"""),"#N/A")</f>
        <v>#N/A</v>
      </c>
      <c r="Q5371" s="1"/>
      <c r="R5371" s="1"/>
      <c r="S5371" s="1"/>
      <c r="T5371" s="1"/>
      <c r="U5371" s="2">
        <f>IFERROR(__xludf.DUMMYFUNCTION("""COMPUTED_VALUE"""),0.0)</f>
        <v>0</v>
      </c>
      <c r="V5371" s="1" t="str">
        <f>IFERROR(__xludf.DUMMYFUNCTION("""COMPUTED_VALUE"""),"#N/A")</f>
        <v>#N/A</v>
      </c>
      <c r="W5371" s="1" t="str">
        <f>IFERROR(__xludf.DUMMYFUNCTION("""COMPUTED_VALUE"""),"#N/A")</f>
        <v>#N/A</v>
      </c>
    </row>
    <row r="5372">
      <c r="O5372" s="1" t="str">
        <f>IFERROR(__xludf.DUMMYFUNCTION("""COMPUTED_VALUE"""),"#VALUE!")</f>
        <v>#VALUE!</v>
      </c>
      <c r="P5372" s="1" t="str">
        <f>IFERROR(__xludf.DUMMYFUNCTION("""COMPUTED_VALUE"""),"#N/A")</f>
        <v>#N/A</v>
      </c>
      <c r="Q5372" s="1"/>
      <c r="R5372" s="1"/>
      <c r="S5372" s="1"/>
      <c r="T5372" s="1"/>
      <c r="U5372" s="2">
        <f>IFERROR(__xludf.DUMMYFUNCTION("""COMPUTED_VALUE"""),0.0)</f>
        <v>0</v>
      </c>
      <c r="V5372" s="1" t="str">
        <f>IFERROR(__xludf.DUMMYFUNCTION("""COMPUTED_VALUE"""),"#N/A")</f>
        <v>#N/A</v>
      </c>
      <c r="W5372" s="1" t="str">
        <f>IFERROR(__xludf.DUMMYFUNCTION("""COMPUTED_VALUE"""),"#N/A")</f>
        <v>#N/A</v>
      </c>
    </row>
    <row r="5373">
      <c r="O5373" s="1" t="str">
        <f>IFERROR(__xludf.DUMMYFUNCTION("""COMPUTED_VALUE"""),"#VALUE!")</f>
        <v>#VALUE!</v>
      </c>
      <c r="P5373" s="1" t="str">
        <f>IFERROR(__xludf.DUMMYFUNCTION("""COMPUTED_VALUE"""),"#N/A")</f>
        <v>#N/A</v>
      </c>
      <c r="Q5373" s="1"/>
      <c r="R5373" s="1"/>
      <c r="S5373" s="1"/>
      <c r="T5373" s="1"/>
      <c r="U5373" s="2">
        <f>IFERROR(__xludf.DUMMYFUNCTION("""COMPUTED_VALUE"""),0.0)</f>
        <v>0</v>
      </c>
      <c r="V5373" s="1" t="str">
        <f>IFERROR(__xludf.DUMMYFUNCTION("""COMPUTED_VALUE"""),"#N/A")</f>
        <v>#N/A</v>
      </c>
      <c r="W5373" s="1" t="str">
        <f>IFERROR(__xludf.DUMMYFUNCTION("""COMPUTED_VALUE"""),"#N/A")</f>
        <v>#N/A</v>
      </c>
    </row>
    <row r="5374">
      <c r="O5374" s="1" t="str">
        <f>IFERROR(__xludf.DUMMYFUNCTION("""COMPUTED_VALUE"""),"#VALUE!")</f>
        <v>#VALUE!</v>
      </c>
      <c r="P5374" s="1" t="str">
        <f>IFERROR(__xludf.DUMMYFUNCTION("""COMPUTED_VALUE"""),"#N/A")</f>
        <v>#N/A</v>
      </c>
      <c r="Q5374" s="1"/>
      <c r="R5374" s="1"/>
      <c r="S5374" s="1"/>
      <c r="T5374" s="1"/>
      <c r="U5374" s="2">
        <f>IFERROR(__xludf.DUMMYFUNCTION("""COMPUTED_VALUE"""),0.0)</f>
        <v>0</v>
      </c>
      <c r="V5374" s="1" t="str">
        <f>IFERROR(__xludf.DUMMYFUNCTION("""COMPUTED_VALUE"""),"#N/A")</f>
        <v>#N/A</v>
      </c>
      <c r="W5374" s="1" t="str">
        <f>IFERROR(__xludf.DUMMYFUNCTION("""COMPUTED_VALUE"""),"#N/A")</f>
        <v>#N/A</v>
      </c>
    </row>
    <row r="5375">
      <c r="O5375" s="1" t="str">
        <f>IFERROR(__xludf.DUMMYFUNCTION("""COMPUTED_VALUE"""),"#VALUE!")</f>
        <v>#VALUE!</v>
      </c>
      <c r="P5375" s="1" t="str">
        <f>IFERROR(__xludf.DUMMYFUNCTION("""COMPUTED_VALUE"""),"#N/A")</f>
        <v>#N/A</v>
      </c>
      <c r="Q5375" s="1"/>
      <c r="R5375" s="1"/>
      <c r="S5375" s="1"/>
      <c r="T5375" s="1"/>
      <c r="U5375" s="2">
        <f>IFERROR(__xludf.DUMMYFUNCTION("""COMPUTED_VALUE"""),0.0)</f>
        <v>0</v>
      </c>
      <c r="V5375" s="1" t="str">
        <f>IFERROR(__xludf.DUMMYFUNCTION("""COMPUTED_VALUE"""),"#N/A")</f>
        <v>#N/A</v>
      </c>
      <c r="W5375" s="1" t="str">
        <f>IFERROR(__xludf.DUMMYFUNCTION("""COMPUTED_VALUE"""),"#N/A")</f>
        <v>#N/A</v>
      </c>
    </row>
    <row r="5376">
      <c r="O5376" s="1" t="str">
        <f>IFERROR(__xludf.DUMMYFUNCTION("""COMPUTED_VALUE"""),"#VALUE!")</f>
        <v>#VALUE!</v>
      </c>
      <c r="P5376" s="1" t="str">
        <f>IFERROR(__xludf.DUMMYFUNCTION("""COMPUTED_VALUE"""),"#N/A")</f>
        <v>#N/A</v>
      </c>
      <c r="Q5376" s="1"/>
      <c r="R5376" s="1"/>
      <c r="S5376" s="1"/>
      <c r="T5376" s="1"/>
      <c r="U5376" s="2">
        <f>IFERROR(__xludf.DUMMYFUNCTION("""COMPUTED_VALUE"""),0.0)</f>
        <v>0</v>
      </c>
      <c r="V5376" s="1" t="str">
        <f>IFERROR(__xludf.DUMMYFUNCTION("""COMPUTED_VALUE"""),"#N/A")</f>
        <v>#N/A</v>
      </c>
      <c r="W5376" s="1" t="str">
        <f>IFERROR(__xludf.DUMMYFUNCTION("""COMPUTED_VALUE"""),"#N/A")</f>
        <v>#N/A</v>
      </c>
    </row>
    <row r="5377">
      <c r="O5377" s="1" t="str">
        <f>IFERROR(__xludf.DUMMYFUNCTION("""COMPUTED_VALUE"""),"#VALUE!")</f>
        <v>#VALUE!</v>
      </c>
      <c r="P5377" s="1" t="str">
        <f>IFERROR(__xludf.DUMMYFUNCTION("""COMPUTED_VALUE"""),"#N/A")</f>
        <v>#N/A</v>
      </c>
      <c r="Q5377" s="1"/>
      <c r="R5377" s="1"/>
      <c r="S5377" s="1"/>
      <c r="T5377" s="1"/>
      <c r="U5377" s="2">
        <f>IFERROR(__xludf.DUMMYFUNCTION("""COMPUTED_VALUE"""),0.0)</f>
        <v>0</v>
      </c>
      <c r="V5377" s="1" t="str">
        <f>IFERROR(__xludf.DUMMYFUNCTION("""COMPUTED_VALUE"""),"#N/A")</f>
        <v>#N/A</v>
      </c>
      <c r="W5377" s="1" t="str">
        <f>IFERROR(__xludf.DUMMYFUNCTION("""COMPUTED_VALUE"""),"#N/A")</f>
        <v>#N/A</v>
      </c>
    </row>
    <row r="5378">
      <c r="O5378" s="1" t="str">
        <f>IFERROR(__xludf.DUMMYFUNCTION("""COMPUTED_VALUE"""),"#VALUE!")</f>
        <v>#VALUE!</v>
      </c>
      <c r="P5378" s="1" t="str">
        <f>IFERROR(__xludf.DUMMYFUNCTION("""COMPUTED_VALUE"""),"#N/A")</f>
        <v>#N/A</v>
      </c>
      <c r="Q5378" s="1"/>
      <c r="R5378" s="1"/>
      <c r="S5378" s="1"/>
      <c r="T5378" s="1"/>
      <c r="U5378" s="2">
        <f>IFERROR(__xludf.DUMMYFUNCTION("""COMPUTED_VALUE"""),0.0)</f>
        <v>0</v>
      </c>
      <c r="V5378" s="1" t="str">
        <f>IFERROR(__xludf.DUMMYFUNCTION("""COMPUTED_VALUE"""),"#N/A")</f>
        <v>#N/A</v>
      </c>
      <c r="W5378" s="1" t="str">
        <f>IFERROR(__xludf.DUMMYFUNCTION("""COMPUTED_VALUE"""),"#N/A")</f>
        <v>#N/A</v>
      </c>
    </row>
    <row r="5379">
      <c r="O5379" s="1" t="str">
        <f>IFERROR(__xludf.DUMMYFUNCTION("""COMPUTED_VALUE"""),"#VALUE!")</f>
        <v>#VALUE!</v>
      </c>
      <c r="P5379" s="1" t="str">
        <f>IFERROR(__xludf.DUMMYFUNCTION("""COMPUTED_VALUE"""),"#N/A")</f>
        <v>#N/A</v>
      </c>
      <c r="Q5379" s="1"/>
      <c r="R5379" s="1"/>
      <c r="S5379" s="1"/>
      <c r="T5379" s="1"/>
      <c r="U5379" s="2">
        <f>IFERROR(__xludf.DUMMYFUNCTION("""COMPUTED_VALUE"""),0.0)</f>
        <v>0</v>
      </c>
      <c r="V5379" s="1" t="str">
        <f>IFERROR(__xludf.DUMMYFUNCTION("""COMPUTED_VALUE"""),"#N/A")</f>
        <v>#N/A</v>
      </c>
      <c r="W5379" s="1" t="str">
        <f>IFERROR(__xludf.DUMMYFUNCTION("""COMPUTED_VALUE"""),"#N/A")</f>
        <v>#N/A</v>
      </c>
    </row>
    <row r="5380">
      <c r="O5380" s="1" t="str">
        <f>IFERROR(__xludf.DUMMYFUNCTION("""COMPUTED_VALUE"""),"#VALUE!")</f>
        <v>#VALUE!</v>
      </c>
      <c r="P5380" s="1" t="str">
        <f>IFERROR(__xludf.DUMMYFUNCTION("""COMPUTED_VALUE"""),"#N/A")</f>
        <v>#N/A</v>
      </c>
      <c r="Q5380" s="1"/>
      <c r="R5380" s="1"/>
      <c r="S5380" s="1"/>
      <c r="T5380" s="1"/>
      <c r="U5380" s="2">
        <f>IFERROR(__xludf.DUMMYFUNCTION("""COMPUTED_VALUE"""),0.0)</f>
        <v>0</v>
      </c>
      <c r="V5380" s="1" t="str">
        <f>IFERROR(__xludf.DUMMYFUNCTION("""COMPUTED_VALUE"""),"#N/A")</f>
        <v>#N/A</v>
      </c>
      <c r="W5380" s="1" t="str">
        <f>IFERROR(__xludf.DUMMYFUNCTION("""COMPUTED_VALUE"""),"#N/A")</f>
        <v>#N/A</v>
      </c>
    </row>
    <row r="5381">
      <c r="O5381" s="1" t="str">
        <f>IFERROR(__xludf.DUMMYFUNCTION("""COMPUTED_VALUE"""),"#VALUE!")</f>
        <v>#VALUE!</v>
      </c>
      <c r="P5381" s="1" t="str">
        <f>IFERROR(__xludf.DUMMYFUNCTION("""COMPUTED_VALUE"""),"#N/A")</f>
        <v>#N/A</v>
      </c>
      <c r="Q5381" s="1"/>
      <c r="R5381" s="1"/>
      <c r="S5381" s="1"/>
      <c r="T5381" s="1"/>
      <c r="U5381" s="2">
        <f>IFERROR(__xludf.DUMMYFUNCTION("""COMPUTED_VALUE"""),0.0)</f>
        <v>0</v>
      </c>
      <c r="V5381" s="1" t="str">
        <f>IFERROR(__xludf.DUMMYFUNCTION("""COMPUTED_VALUE"""),"#N/A")</f>
        <v>#N/A</v>
      </c>
      <c r="W5381" s="1" t="str">
        <f>IFERROR(__xludf.DUMMYFUNCTION("""COMPUTED_VALUE"""),"#N/A")</f>
        <v>#N/A</v>
      </c>
    </row>
    <row r="5382">
      <c r="O5382" s="1" t="str">
        <f>IFERROR(__xludf.DUMMYFUNCTION("""COMPUTED_VALUE"""),"#VALUE!")</f>
        <v>#VALUE!</v>
      </c>
      <c r="P5382" s="1" t="str">
        <f>IFERROR(__xludf.DUMMYFUNCTION("""COMPUTED_VALUE"""),"#N/A")</f>
        <v>#N/A</v>
      </c>
      <c r="Q5382" s="1"/>
      <c r="R5382" s="1"/>
      <c r="S5382" s="1"/>
      <c r="T5382" s="1"/>
      <c r="U5382" s="2">
        <f>IFERROR(__xludf.DUMMYFUNCTION("""COMPUTED_VALUE"""),0.0)</f>
        <v>0</v>
      </c>
      <c r="V5382" s="1" t="str">
        <f>IFERROR(__xludf.DUMMYFUNCTION("""COMPUTED_VALUE"""),"#N/A")</f>
        <v>#N/A</v>
      </c>
      <c r="W5382" s="1" t="str">
        <f>IFERROR(__xludf.DUMMYFUNCTION("""COMPUTED_VALUE"""),"#N/A")</f>
        <v>#N/A</v>
      </c>
    </row>
    <row r="5383">
      <c r="O5383" s="1" t="str">
        <f>IFERROR(__xludf.DUMMYFUNCTION("""COMPUTED_VALUE"""),"#VALUE!")</f>
        <v>#VALUE!</v>
      </c>
      <c r="P5383" s="1" t="str">
        <f>IFERROR(__xludf.DUMMYFUNCTION("""COMPUTED_VALUE"""),"#N/A")</f>
        <v>#N/A</v>
      </c>
      <c r="Q5383" s="1"/>
      <c r="R5383" s="1"/>
      <c r="S5383" s="1"/>
      <c r="T5383" s="1"/>
      <c r="U5383" s="2">
        <f>IFERROR(__xludf.DUMMYFUNCTION("""COMPUTED_VALUE"""),0.0)</f>
        <v>0</v>
      </c>
      <c r="V5383" s="1" t="str">
        <f>IFERROR(__xludf.DUMMYFUNCTION("""COMPUTED_VALUE"""),"#N/A")</f>
        <v>#N/A</v>
      </c>
      <c r="W5383" s="1" t="str">
        <f>IFERROR(__xludf.DUMMYFUNCTION("""COMPUTED_VALUE"""),"#N/A")</f>
        <v>#N/A</v>
      </c>
    </row>
    <row r="5384">
      <c r="O5384" s="1" t="str">
        <f>IFERROR(__xludf.DUMMYFUNCTION("""COMPUTED_VALUE"""),"#VALUE!")</f>
        <v>#VALUE!</v>
      </c>
      <c r="P5384" s="1" t="str">
        <f>IFERROR(__xludf.DUMMYFUNCTION("""COMPUTED_VALUE"""),"#N/A")</f>
        <v>#N/A</v>
      </c>
      <c r="Q5384" s="1"/>
      <c r="R5384" s="1"/>
      <c r="S5384" s="1"/>
      <c r="T5384" s="1"/>
      <c r="U5384" s="2">
        <f>IFERROR(__xludf.DUMMYFUNCTION("""COMPUTED_VALUE"""),0.0)</f>
        <v>0</v>
      </c>
      <c r="V5384" s="1" t="str">
        <f>IFERROR(__xludf.DUMMYFUNCTION("""COMPUTED_VALUE"""),"#N/A")</f>
        <v>#N/A</v>
      </c>
      <c r="W5384" s="1" t="str">
        <f>IFERROR(__xludf.DUMMYFUNCTION("""COMPUTED_VALUE"""),"#N/A")</f>
        <v>#N/A</v>
      </c>
    </row>
    <row r="5385">
      <c r="O5385" s="1" t="str">
        <f>IFERROR(__xludf.DUMMYFUNCTION("""COMPUTED_VALUE"""),"#VALUE!")</f>
        <v>#VALUE!</v>
      </c>
      <c r="P5385" s="1" t="str">
        <f>IFERROR(__xludf.DUMMYFUNCTION("""COMPUTED_VALUE"""),"#N/A")</f>
        <v>#N/A</v>
      </c>
      <c r="Q5385" s="1"/>
      <c r="R5385" s="1"/>
      <c r="S5385" s="1"/>
      <c r="T5385" s="1"/>
      <c r="U5385" s="2">
        <f>IFERROR(__xludf.DUMMYFUNCTION("""COMPUTED_VALUE"""),0.0)</f>
        <v>0</v>
      </c>
      <c r="V5385" s="1" t="str">
        <f>IFERROR(__xludf.DUMMYFUNCTION("""COMPUTED_VALUE"""),"#N/A")</f>
        <v>#N/A</v>
      </c>
      <c r="W5385" s="1" t="str">
        <f>IFERROR(__xludf.DUMMYFUNCTION("""COMPUTED_VALUE"""),"#N/A")</f>
        <v>#N/A</v>
      </c>
    </row>
    <row r="5386">
      <c r="O5386" s="1" t="str">
        <f>IFERROR(__xludf.DUMMYFUNCTION("""COMPUTED_VALUE"""),"#VALUE!")</f>
        <v>#VALUE!</v>
      </c>
      <c r="P5386" s="1" t="str">
        <f>IFERROR(__xludf.DUMMYFUNCTION("""COMPUTED_VALUE"""),"#N/A")</f>
        <v>#N/A</v>
      </c>
      <c r="Q5386" s="1"/>
      <c r="R5386" s="1"/>
      <c r="S5386" s="1"/>
      <c r="T5386" s="1"/>
      <c r="U5386" s="2">
        <f>IFERROR(__xludf.DUMMYFUNCTION("""COMPUTED_VALUE"""),0.0)</f>
        <v>0</v>
      </c>
      <c r="V5386" s="1" t="str">
        <f>IFERROR(__xludf.DUMMYFUNCTION("""COMPUTED_VALUE"""),"#N/A")</f>
        <v>#N/A</v>
      </c>
      <c r="W5386" s="1" t="str">
        <f>IFERROR(__xludf.DUMMYFUNCTION("""COMPUTED_VALUE"""),"#N/A")</f>
        <v>#N/A</v>
      </c>
    </row>
    <row r="5387">
      <c r="O5387" s="1" t="str">
        <f>IFERROR(__xludf.DUMMYFUNCTION("""COMPUTED_VALUE"""),"#VALUE!")</f>
        <v>#VALUE!</v>
      </c>
      <c r="P5387" s="1" t="str">
        <f>IFERROR(__xludf.DUMMYFUNCTION("""COMPUTED_VALUE"""),"#N/A")</f>
        <v>#N/A</v>
      </c>
      <c r="Q5387" s="1"/>
      <c r="R5387" s="1"/>
      <c r="S5387" s="1"/>
      <c r="T5387" s="1"/>
      <c r="U5387" s="2">
        <f>IFERROR(__xludf.DUMMYFUNCTION("""COMPUTED_VALUE"""),0.0)</f>
        <v>0</v>
      </c>
      <c r="V5387" s="1" t="str">
        <f>IFERROR(__xludf.DUMMYFUNCTION("""COMPUTED_VALUE"""),"#N/A")</f>
        <v>#N/A</v>
      </c>
      <c r="W5387" s="1" t="str">
        <f>IFERROR(__xludf.DUMMYFUNCTION("""COMPUTED_VALUE"""),"#N/A")</f>
        <v>#N/A</v>
      </c>
    </row>
    <row r="5388">
      <c r="O5388" s="1" t="str">
        <f>IFERROR(__xludf.DUMMYFUNCTION("""COMPUTED_VALUE"""),"#VALUE!")</f>
        <v>#VALUE!</v>
      </c>
      <c r="P5388" s="1" t="str">
        <f>IFERROR(__xludf.DUMMYFUNCTION("""COMPUTED_VALUE"""),"#N/A")</f>
        <v>#N/A</v>
      </c>
      <c r="Q5388" s="1"/>
      <c r="R5388" s="1"/>
      <c r="S5388" s="1"/>
      <c r="T5388" s="1"/>
      <c r="U5388" s="2">
        <f>IFERROR(__xludf.DUMMYFUNCTION("""COMPUTED_VALUE"""),0.0)</f>
        <v>0</v>
      </c>
      <c r="V5388" s="1" t="str">
        <f>IFERROR(__xludf.DUMMYFUNCTION("""COMPUTED_VALUE"""),"#N/A")</f>
        <v>#N/A</v>
      </c>
      <c r="W5388" s="1" t="str">
        <f>IFERROR(__xludf.DUMMYFUNCTION("""COMPUTED_VALUE"""),"#N/A")</f>
        <v>#N/A</v>
      </c>
    </row>
    <row r="5389">
      <c r="O5389" s="1" t="str">
        <f>IFERROR(__xludf.DUMMYFUNCTION("""COMPUTED_VALUE"""),"#VALUE!")</f>
        <v>#VALUE!</v>
      </c>
      <c r="P5389" s="1" t="str">
        <f>IFERROR(__xludf.DUMMYFUNCTION("""COMPUTED_VALUE"""),"#N/A")</f>
        <v>#N/A</v>
      </c>
      <c r="Q5389" s="1"/>
      <c r="R5389" s="1"/>
      <c r="S5389" s="1"/>
      <c r="T5389" s="1"/>
      <c r="U5389" s="2">
        <f>IFERROR(__xludf.DUMMYFUNCTION("""COMPUTED_VALUE"""),0.0)</f>
        <v>0</v>
      </c>
      <c r="V5389" s="1" t="str">
        <f>IFERROR(__xludf.DUMMYFUNCTION("""COMPUTED_VALUE"""),"#N/A")</f>
        <v>#N/A</v>
      </c>
      <c r="W5389" s="1" t="str">
        <f>IFERROR(__xludf.DUMMYFUNCTION("""COMPUTED_VALUE"""),"#N/A")</f>
        <v>#N/A</v>
      </c>
    </row>
    <row r="5390">
      <c r="O5390" s="1" t="str">
        <f>IFERROR(__xludf.DUMMYFUNCTION("""COMPUTED_VALUE"""),"#VALUE!")</f>
        <v>#VALUE!</v>
      </c>
      <c r="P5390" s="1" t="str">
        <f>IFERROR(__xludf.DUMMYFUNCTION("""COMPUTED_VALUE"""),"#N/A")</f>
        <v>#N/A</v>
      </c>
      <c r="Q5390" s="1"/>
      <c r="R5390" s="1"/>
      <c r="S5390" s="1"/>
      <c r="T5390" s="1"/>
      <c r="U5390" s="2">
        <f>IFERROR(__xludf.DUMMYFUNCTION("""COMPUTED_VALUE"""),0.0)</f>
        <v>0</v>
      </c>
      <c r="V5390" s="1" t="str">
        <f>IFERROR(__xludf.DUMMYFUNCTION("""COMPUTED_VALUE"""),"#N/A")</f>
        <v>#N/A</v>
      </c>
      <c r="W5390" s="1" t="str">
        <f>IFERROR(__xludf.DUMMYFUNCTION("""COMPUTED_VALUE"""),"#N/A")</f>
        <v>#N/A</v>
      </c>
    </row>
    <row r="5391">
      <c r="O5391" s="1" t="str">
        <f>IFERROR(__xludf.DUMMYFUNCTION("""COMPUTED_VALUE"""),"#VALUE!")</f>
        <v>#VALUE!</v>
      </c>
      <c r="P5391" s="1" t="str">
        <f>IFERROR(__xludf.DUMMYFUNCTION("""COMPUTED_VALUE"""),"#N/A")</f>
        <v>#N/A</v>
      </c>
      <c r="Q5391" s="1"/>
      <c r="R5391" s="1"/>
      <c r="S5391" s="1"/>
      <c r="T5391" s="1"/>
      <c r="U5391" s="2">
        <f>IFERROR(__xludf.DUMMYFUNCTION("""COMPUTED_VALUE"""),0.0)</f>
        <v>0</v>
      </c>
      <c r="V5391" s="1" t="str">
        <f>IFERROR(__xludf.DUMMYFUNCTION("""COMPUTED_VALUE"""),"#N/A")</f>
        <v>#N/A</v>
      </c>
      <c r="W5391" s="1" t="str">
        <f>IFERROR(__xludf.DUMMYFUNCTION("""COMPUTED_VALUE"""),"#N/A")</f>
        <v>#N/A</v>
      </c>
    </row>
    <row r="5392">
      <c r="O5392" s="1" t="str">
        <f>IFERROR(__xludf.DUMMYFUNCTION("""COMPUTED_VALUE"""),"#VALUE!")</f>
        <v>#VALUE!</v>
      </c>
      <c r="P5392" s="1" t="str">
        <f>IFERROR(__xludf.DUMMYFUNCTION("""COMPUTED_VALUE"""),"#N/A")</f>
        <v>#N/A</v>
      </c>
      <c r="Q5392" s="1"/>
      <c r="R5392" s="1"/>
      <c r="S5392" s="1"/>
      <c r="T5392" s="1"/>
      <c r="U5392" s="2">
        <f>IFERROR(__xludf.DUMMYFUNCTION("""COMPUTED_VALUE"""),0.0)</f>
        <v>0</v>
      </c>
      <c r="V5392" s="1" t="str">
        <f>IFERROR(__xludf.DUMMYFUNCTION("""COMPUTED_VALUE"""),"#N/A")</f>
        <v>#N/A</v>
      </c>
      <c r="W5392" s="1" t="str">
        <f>IFERROR(__xludf.DUMMYFUNCTION("""COMPUTED_VALUE"""),"#N/A")</f>
        <v>#N/A</v>
      </c>
    </row>
    <row r="5393">
      <c r="O5393" s="1" t="str">
        <f>IFERROR(__xludf.DUMMYFUNCTION("""COMPUTED_VALUE"""),"#VALUE!")</f>
        <v>#VALUE!</v>
      </c>
      <c r="P5393" s="1" t="str">
        <f>IFERROR(__xludf.DUMMYFUNCTION("""COMPUTED_VALUE"""),"#N/A")</f>
        <v>#N/A</v>
      </c>
      <c r="Q5393" s="1"/>
      <c r="R5393" s="1"/>
      <c r="S5393" s="1"/>
      <c r="T5393" s="1"/>
      <c r="U5393" s="2">
        <f>IFERROR(__xludf.DUMMYFUNCTION("""COMPUTED_VALUE"""),0.0)</f>
        <v>0</v>
      </c>
      <c r="V5393" s="1" t="str">
        <f>IFERROR(__xludf.DUMMYFUNCTION("""COMPUTED_VALUE"""),"#N/A")</f>
        <v>#N/A</v>
      </c>
      <c r="W5393" s="1" t="str">
        <f>IFERROR(__xludf.DUMMYFUNCTION("""COMPUTED_VALUE"""),"#N/A")</f>
        <v>#N/A</v>
      </c>
    </row>
    <row r="5394">
      <c r="O5394" s="1" t="str">
        <f>IFERROR(__xludf.DUMMYFUNCTION("""COMPUTED_VALUE"""),"#VALUE!")</f>
        <v>#VALUE!</v>
      </c>
      <c r="P5394" s="1" t="str">
        <f>IFERROR(__xludf.DUMMYFUNCTION("""COMPUTED_VALUE"""),"#N/A")</f>
        <v>#N/A</v>
      </c>
      <c r="Q5394" s="1"/>
      <c r="R5394" s="1"/>
      <c r="S5394" s="1"/>
      <c r="T5394" s="1"/>
      <c r="U5394" s="2">
        <f>IFERROR(__xludf.DUMMYFUNCTION("""COMPUTED_VALUE"""),0.0)</f>
        <v>0</v>
      </c>
      <c r="V5394" s="1" t="str">
        <f>IFERROR(__xludf.DUMMYFUNCTION("""COMPUTED_VALUE"""),"#N/A")</f>
        <v>#N/A</v>
      </c>
      <c r="W5394" s="1" t="str">
        <f>IFERROR(__xludf.DUMMYFUNCTION("""COMPUTED_VALUE"""),"#N/A")</f>
        <v>#N/A</v>
      </c>
    </row>
    <row r="5395">
      <c r="O5395" s="1" t="str">
        <f>IFERROR(__xludf.DUMMYFUNCTION("""COMPUTED_VALUE"""),"#VALUE!")</f>
        <v>#VALUE!</v>
      </c>
      <c r="P5395" s="1" t="str">
        <f>IFERROR(__xludf.DUMMYFUNCTION("""COMPUTED_VALUE"""),"#N/A")</f>
        <v>#N/A</v>
      </c>
      <c r="Q5395" s="1"/>
      <c r="R5395" s="1"/>
      <c r="S5395" s="1"/>
      <c r="T5395" s="1"/>
      <c r="U5395" s="2">
        <f>IFERROR(__xludf.DUMMYFUNCTION("""COMPUTED_VALUE"""),0.0)</f>
        <v>0</v>
      </c>
      <c r="V5395" s="1" t="str">
        <f>IFERROR(__xludf.DUMMYFUNCTION("""COMPUTED_VALUE"""),"#N/A")</f>
        <v>#N/A</v>
      </c>
      <c r="W5395" s="1" t="str">
        <f>IFERROR(__xludf.DUMMYFUNCTION("""COMPUTED_VALUE"""),"#N/A")</f>
        <v>#N/A</v>
      </c>
    </row>
    <row r="5396">
      <c r="O5396" s="1" t="str">
        <f>IFERROR(__xludf.DUMMYFUNCTION("""COMPUTED_VALUE"""),"#VALUE!")</f>
        <v>#VALUE!</v>
      </c>
      <c r="P5396" s="1" t="str">
        <f>IFERROR(__xludf.DUMMYFUNCTION("""COMPUTED_VALUE"""),"#N/A")</f>
        <v>#N/A</v>
      </c>
      <c r="Q5396" s="1"/>
      <c r="R5396" s="1"/>
      <c r="S5396" s="1"/>
      <c r="T5396" s="1"/>
      <c r="U5396" s="2">
        <f>IFERROR(__xludf.DUMMYFUNCTION("""COMPUTED_VALUE"""),0.0)</f>
        <v>0</v>
      </c>
      <c r="V5396" s="1" t="str">
        <f>IFERROR(__xludf.DUMMYFUNCTION("""COMPUTED_VALUE"""),"#N/A")</f>
        <v>#N/A</v>
      </c>
      <c r="W5396" s="1" t="str">
        <f>IFERROR(__xludf.DUMMYFUNCTION("""COMPUTED_VALUE"""),"#N/A")</f>
        <v>#N/A</v>
      </c>
    </row>
    <row r="5397">
      <c r="O5397" s="1" t="str">
        <f>IFERROR(__xludf.DUMMYFUNCTION("""COMPUTED_VALUE"""),"#VALUE!")</f>
        <v>#VALUE!</v>
      </c>
      <c r="P5397" s="1" t="str">
        <f>IFERROR(__xludf.DUMMYFUNCTION("""COMPUTED_VALUE"""),"#N/A")</f>
        <v>#N/A</v>
      </c>
      <c r="Q5397" s="1"/>
      <c r="R5397" s="1"/>
      <c r="S5397" s="1"/>
      <c r="T5397" s="1"/>
      <c r="U5397" s="2">
        <f>IFERROR(__xludf.DUMMYFUNCTION("""COMPUTED_VALUE"""),0.0)</f>
        <v>0</v>
      </c>
      <c r="V5397" s="1" t="str">
        <f>IFERROR(__xludf.DUMMYFUNCTION("""COMPUTED_VALUE"""),"#N/A")</f>
        <v>#N/A</v>
      </c>
      <c r="W5397" s="1" t="str">
        <f>IFERROR(__xludf.DUMMYFUNCTION("""COMPUTED_VALUE"""),"#N/A")</f>
        <v>#N/A</v>
      </c>
    </row>
    <row r="5398">
      <c r="O5398" s="1" t="str">
        <f>IFERROR(__xludf.DUMMYFUNCTION("""COMPUTED_VALUE"""),"#VALUE!")</f>
        <v>#VALUE!</v>
      </c>
      <c r="P5398" s="1" t="str">
        <f>IFERROR(__xludf.DUMMYFUNCTION("""COMPUTED_VALUE"""),"#N/A")</f>
        <v>#N/A</v>
      </c>
      <c r="Q5398" s="1"/>
      <c r="R5398" s="1"/>
      <c r="S5398" s="1"/>
      <c r="T5398" s="1"/>
      <c r="U5398" s="2">
        <f>IFERROR(__xludf.DUMMYFUNCTION("""COMPUTED_VALUE"""),0.0)</f>
        <v>0</v>
      </c>
      <c r="V5398" s="1" t="str">
        <f>IFERROR(__xludf.DUMMYFUNCTION("""COMPUTED_VALUE"""),"#N/A")</f>
        <v>#N/A</v>
      </c>
      <c r="W5398" s="1" t="str">
        <f>IFERROR(__xludf.DUMMYFUNCTION("""COMPUTED_VALUE"""),"#N/A")</f>
        <v>#N/A</v>
      </c>
    </row>
    <row r="5399">
      <c r="O5399" s="1" t="str">
        <f>IFERROR(__xludf.DUMMYFUNCTION("""COMPUTED_VALUE"""),"#VALUE!")</f>
        <v>#VALUE!</v>
      </c>
      <c r="P5399" s="1" t="str">
        <f>IFERROR(__xludf.DUMMYFUNCTION("""COMPUTED_VALUE"""),"#N/A")</f>
        <v>#N/A</v>
      </c>
      <c r="Q5399" s="1"/>
      <c r="R5399" s="1"/>
      <c r="S5399" s="1"/>
      <c r="T5399" s="1"/>
      <c r="U5399" s="2">
        <f>IFERROR(__xludf.DUMMYFUNCTION("""COMPUTED_VALUE"""),0.0)</f>
        <v>0</v>
      </c>
      <c r="V5399" s="1" t="str">
        <f>IFERROR(__xludf.DUMMYFUNCTION("""COMPUTED_VALUE"""),"#N/A")</f>
        <v>#N/A</v>
      </c>
      <c r="W5399" s="1" t="str">
        <f>IFERROR(__xludf.DUMMYFUNCTION("""COMPUTED_VALUE"""),"#N/A")</f>
        <v>#N/A</v>
      </c>
    </row>
    <row r="5400">
      <c r="O5400" s="1" t="str">
        <f>IFERROR(__xludf.DUMMYFUNCTION("""COMPUTED_VALUE"""),"#VALUE!")</f>
        <v>#VALUE!</v>
      </c>
      <c r="P5400" s="1" t="str">
        <f>IFERROR(__xludf.DUMMYFUNCTION("""COMPUTED_VALUE"""),"#N/A")</f>
        <v>#N/A</v>
      </c>
      <c r="Q5400" s="1"/>
      <c r="R5400" s="1"/>
      <c r="S5400" s="1"/>
      <c r="T5400" s="1"/>
      <c r="U5400" s="2">
        <f>IFERROR(__xludf.DUMMYFUNCTION("""COMPUTED_VALUE"""),0.0)</f>
        <v>0</v>
      </c>
      <c r="V5400" s="1" t="str">
        <f>IFERROR(__xludf.DUMMYFUNCTION("""COMPUTED_VALUE"""),"#N/A")</f>
        <v>#N/A</v>
      </c>
      <c r="W5400" s="1" t="str">
        <f>IFERROR(__xludf.DUMMYFUNCTION("""COMPUTED_VALUE"""),"#N/A")</f>
        <v>#N/A</v>
      </c>
    </row>
    <row r="5401">
      <c r="O5401" s="1" t="str">
        <f>IFERROR(__xludf.DUMMYFUNCTION("""COMPUTED_VALUE"""),"#VALUE!")</f>
        <v>#VALUE!</v>
      </c>
      <c r="P5401" s="1" t="str">
        <f>IFERROR(__xludf.DUMMYFUNCTION("""COMPUTED_VALUE"""),"#N/A")</f>
        <v>#N/A</v>
      </c>
      <c r="Q5401" s="1"/>
      <c r="R5401" s="1"/>
      <c r="S5401" s="1"/>
      <c r="T5401" s="1"/>
      <c r="U5401" s="2">
        <f>IFERROR(__xludf.DUMMYFUNCTION("""COMPUTED_VALUE"""),0.0)</f>
        <v>0</v>
      </c>
      <c r="V5401" s="1" t="str">
        <f>IFERROR(__xludf.DUMMYFUNCTION("""COMPUTED_VALUE"""),"#N/A")</f>
        <v>#N/A</v>
      </c>
      <c r="W5401" s="1" t="str">
        <f>IFERROR(__xludf.DUMMYFUNCTION("""COMPUTED_VALUE"""),"#N/A")</f>
        <v>#N/A</v>
      </c>
    </row>
    <row r="5402">
      <c r="O5402" s="1" t="str">
        <f>IFERROR(__xludf.DUMMYFUNCTION("""COMPUTED_VALUE"""),"#VALUE!")</f>
        <v>#VALUE!</v>
      </c>
      <c r="P5402" s="1" t="str">
        <f>IFERROR(__xludf.DUMMYFUNCTION("""COMPUTED_VALUE"""),"#N/A")</f>
        <v>#N/A</v>
      </c>
      <c r="Q5402" s="1"/>
      <c r="R5402" s="1"/>
      <c r="S5402" s="1"/>
      <c r="T5402" s="1"/>
      <c r="U5402" s="2">
        <f>IFERROR(__xludf.DUMMYFUNCTION("""COMPUTED_VALUE"""),0.0)</f>
        <v>0</v>
      </c>
      <c r="V5402" s="1" t="str">
        <f>IFERROR(__xludf.DUMMYFUNCTION("""COMPUTED_VALUE"""),"#N/A")</f>
        <v>#N/A</v>
      </c>
      <c r="W5402" s="1" t="str">
        <f>IFERROR(__xludf.DUMMYFUNCTION("""COMPUTED_VALUE"""),"#N/A")</f>
        <v>#N/A</v>
      </c>
    </row>
    <row r="5403">
      <c r="O5403" s="1" t="str">
        <f>IFERROR(__xludf.DUMMYFUNCTION("""COMPUTED_VALUE"""),"#VALUE!")</f>
        <v>#VALUE!</v>
      </c>
      <c r="P5403" s="1" t="str">
        <f>IFERROR(__xludf.DUMMYFUNCTION("""COMPUTED_VALUE"""),"#N/A")</f>
        <v>#N/A</v>
      </c>
      <c r="Q5403" s="1"/>
      <c r="R5403" s="1"/>
      <c r="S5403" s="1"/>
      <c r="T5403" s="1"/>
      <c r="U5403" s="2">
        <f>IFERROR(__xludf.DUMMYFUNCTION("""COMPUTED_VALUE"""),0.0)</f>
        <v>0</v>
      </c>
      <c r="V5403" s="1" t="str">
        <f>IFERROR(__xludf.DUMMYFUNCTION("""COMPUTED_VALUE"""),"#N/A")</f>
        <v>#N/A</v>
      </c>
      <c r="W5403" s="1" t="str">
        <f>IFERROR(__xludf.DUMMYFUNCTION("""COMPUTED_VALUE"""),"#N/A")</f>
        <v>#N/A</v>
      </c>
    </row>
    <row r="5404">
      <c r="O5404" s="1" t="str">
        <f>IFERROR(__xludf.DUMMYFUNCTION("""COMPUTED_VALUE"""),"#VALUE!")</f>
        <v>#VALUE!</v>
      </c>
      <c r="P5404" s="1" t="str">
        <f>IFERROR(__xludf.DUMMYFUNCTION("""COMPUTED_VALUE"""),"#N/A")</f>
        <v>#N/A</v>
      </c>
      <c r="Q5404" s="1"/>
      <c r="R5404" s="1"/>
      <c r="S5404" s="1"/>
      <c r="T5404" s="1"/>
      <c r="U5404" s="2">
        <f>IFERROR(__xludf.DUMMYFUNCTION("""COMPUTED_VALUE"""),0.0)</f>
        <v>0</v>
      </c>
      <c r="V5404" s="1" t="str">
        <f>IFERROR(__xludf.DUMMYFUNCTION("""COMPUTED_VALUE"""),"#N/A")</f>
        <v>#N/A</v>
      </c>
      <c r="W5404" s="1" t="str">
        <f>IFERROR(__xludf.DUMMYFUNCTION("""COMPUTED_VALUE"""),"#N/A")</f>
        <v>#N/A</v>
      </c>
    </row>
    <row r="5405">
      <c r="O5405" s="1" t="str">
        <f>IFERROR(__xludf.DUMMYFUNCTION("""COMPUTED_VALUE"""),"#VALUE!")</f>
        <v>#VALUE!</v>
      </c>
      <c r="P5405" s="1" t="str">
        <f>IFERROR(__xludf.DUMMYFUNCTION("""COMPUTED_VALUE"""),"#N/A")</f>
        <v>#N/A</v>
      </c>
      <c r="Q5405" s="1"/>
      <c r="R5405" s="1"/>
      <c r="S5405" s="1"/>
      <c r="T5405" s="1"/>
      <c r="U5405" s="2">
        <f>IFERROR(__xludf.DUMMYFUNCTION("""COMPUTED_VALUE"""),0.0)</f>
        <v>0</v>
      </c>
      <c r="V5405" s="1" t="str">
        <f>IFERROR(__xludf.DUMMYFUNCTION("""COMPUTED_VALUE"""),"#N/A")</f>
        <v>#N/A</v>
      </c>
      <c r="W5405" s="1" t="str">
        <f>IFERROR(__xludf.DUMMYFUNCTION("""COMPUTED_VALUE"""),"#N/A")</f>
        <v>#N/A</v>
      </c>
    </row>
    <row r="5406">
      <c r="O5406" s="1" t="str">
        <f>IFERROR(__xludf.DUMMYFUNCTION("""COMPUTED_VALUE"""),"#VALUE!")</f>
        <v>#VALUE!</v>
      </c>
      <c r="P5406" s="1" t="str">
        <f>IFERROR(__xludf.DUMMYFUNCTION("""COMPUTED_VALUE"""),"#N/A")</f>
        <v>#N/A</v>
      </c>
      <c r="Q5406" s="1"/>
      <c r="R5406" s="1"/>
      <c r="S5406" s="1"/>
      <c r="T5406" s="1"/>
      <c r="U5406" s="2">
        <f>IFERROR(__xludf.DUMMYFUNCTION("""COMPUTED_VALUE"""),0.0)</f>
        <v>0</v>
      </c>
      <c r="V5406" s="1" t="str">
        <f>IFERROR(__xludf.DUMMYFUNCTION("""COMPUTED_VALUE"""),"#N/A")</f>
        <v>#N/A</v>
      </c>
      <c r="W5406" s="1" t="str">
        <f>IFERROR(__xludf.DUMMYFUNCTION("""COMPUTED_VALUE"""),"#N/A")</f>
        <v>#N/A</v>
      </c>
    </row>
    <row r="5407">
      <c r="O5407" s="1" t="str">
        <f>IFERROR(__xludf.DUMMYFUNCTION("""COMPUTED_VALUE"""),"#VALUE!")</f>
        <v>#VALUE!</v>
      </c>
      <c r="P5407" s="1" t="str">
        <f>IFERROR(__xludf.DUMMYFUNCTION("""COMPUTED_VALUE"""),"#N/A")</f>
        <v>#N/A</v>
      </c>
      <c r="Q5407" s="1"/>
      <c r="R5407" s="1"/>
      <c r="S5407" s="1"/>
      <c r="T5407" s="1"/>
      <c r="U5407" s="2">
        <f>IFERROR(__xludf.DUMMYFUNCTION("""COMPUTED_VALUE"""),0.0)</f>
        <v>0</v>
      </c>
      <c r="V5407" s="1" t="str">
        <f>IFERROR(__xludf.DUMMYFUNCTION("""COMPUTED_VALUE"""),"#N/A")</f>
        <v>#N/A</v>
      </c>
      <c r="W5407" s="1" t="str">
        <f>IFERROR(__xludf.DUMMYFUNCTION("""COMPUTED_VALUE"""),"#N/A")</f>
        <v>#N/A</v>
      </c>
    </row>
    <row r="5408">
      <c r="O5408" s="1" t="str">
        <f>IFERROR(__xludf.DUMMYFUNCTION("""COMPUTED_VALUE"""),"#VALUE!")</f>
        <v>#VALUE!</v>
      </c>
      <c r="P5408" s="1" t="str">
        <f>IFERROR(__xludf.DUMMYFUNCTION("""COMPUTED_VALUE"""),"#N/A")</f>
        <v>#N/A</v>
      </c>
      <c r="Q5408" s="1"/>
      <c r="R5408" s="1"/>
      <c r="S5408" s="1"/>
      <c r="T5408" s="1"/>
      <c r="U5408" s="2">
        <f>IFERROR(__xludf.DUMMYFUNCTION("""COMPUTED_VALUE"""),0.0)</f>
        <v>0</v>
      </c>
      <c r="V5408" s="1" t="str">
        <f>IFERROR(__xludf.DUMMYFUNCTION("""COMPUTED_VALUE"""),"#N/A")</f>
        <v>#N/A</v>
      </c>
      <c r="W5408" s="1" t="str">
        <f>IFERROR(__xludf.DUMMYFUNCTION("""COMPUTED_VALUE"""),"#N/A")</f>
        <v>#N/A</v>
      </c>
    </row>
    <row r="5409">
      <c r="O5409" s="1" t="str">
        <f>IFERROR(__xludf.DUMMYFUNCTION("""COMPUTED_VALUE"""),"#VALUE!")</f>
        <v>#VALUE!</v>
      </c>
      <c r="P5409" s="1" t="str">
        <f>IFERROR(__xludf.DUMMYFUNCTION("""COMPUTED_VALUE"""),"#N/A")</f>
        <v>#N/A</v>
      </c>
      <c r="Q5409" s="1"/>
      <c r="R5409" s="1"/>
      <c r="S5409" s="1"/>
      <c r="T5409" s="1"/>
      <c r="U5409" s="2">
        <f>IFERROR(__xludf.DUMMYFUNCTION("""COMPUTED_VALUE"""),0.0)</f>
        <v>0</v>
      </c>
      <c r="V5409" s="1" t="str">
        <f>IFERROR(__xludf.DUMMYFUNCTION("""COMPUTED_VALUE"""),"#N/A")</f>
        <v>#N/A</v>
      </c>
      <c r="W5409" s="1" t="str">
        <f>IFERROR(__xludf.DUMMYFUNCTION("""COMPUTED_VALUE"""),"#N/A")</f>
        <v>#N/A</v>
      </c>
    </row>
    <row r="5410">
      <c r="O5410" s="1" t="str">
        <f>IFERROR(__xludf.DUMMYFUNCTION("""COMPUTED_VALUE"""),"#VALUE!")</f>
        <v>#VALUE!</v>
      </c>
      <c r="P5410" s="1" t="str">
        <f>IFERROR(__xludf.DUMMYFUNCTION("""COMPUTED_VALUE"""),"#N/A")</f>
        <v>#N/A</v>
      </c>
      <c r="Q5410" s="1"/>
      <c r="R5410" s="1"/>
      <c r="S5410" s="1"/>
      <c r="T5410" s="1"/>
      <c r="U5410" s="2">
        <f>IFERROR(__xludf.DUMMYFUNCTION("""COMPUTED_VALUE"""),0.0)</f>
        <v>0</v>
      </c>
      <c r="V5410" s="1" t="str">
        <f>IFERROR(__xludf.DUMMYFUNCTION("""COMPUTED_VALUE"""),"#N/A")</f>
        <v>#N/A</v>
      </c>
      <c r="W5410" s="1" t="str">
        <f>IFERROR(__xludf.DUMMYFUNCTION("""COMPUTED_VALUE"""),"#N/A")</f>
        <v>#N/A</v>
      </c>
    </row>
    <row r="5411">
      <c r="O5411" s="1" t="str">
        <f>IFERROR(__xludf.DUMMYFUNCTION("""COMPUTED_VALUE"""),"#VALUE!")</f>
        <v>#VALUE!</v>
      </c>
      <c r="P5411" s="1" t="str">
        <f>IFERROR(__xludf.DUMMYFUNCTION("""COMPUTED_VALUE"""),"#N/A")</f>
        <v>#N/A</v>
      </c>
      <c r="Q5411" s="1"/>
      <c r="R5411" s="1"/>
      <c r="S5411" s="1"/>
      <c r="T5411" s="1"/>
      <c r="U5411" s="2">
        <f>IFERROR(__xludf.DUMMYFUNCTION("""COMPUTED_VALUE"""),0.0)</f>
        <v>0</v>
      </c>
      <c r="V5411" s="1" t="str">
        <f>IFERROR(__xludf.DUMMYFUNCTION("""COMPUTED_VALUE"""),"#N/A")</f>
        <v>#N/A</v>
      </c>
      <c r="W5411" s="1" t="str">
        <f>IFERROR(__xludf.DUMMYFUNCTION("""COMPUTED_VALUE"""),"#N/A")</f>
        <v>#N/A</v>
      </c>
    </row>
    <row r="5412">
      <c r="O5412" s="1" t="str">
        <f>IFERROR(__xludf.DUMMYFUNCTION("""COMPUTED_VALUE"""),"#VALUE!")</f>
        <v>#VALUE!</v>
      </c>
      <c r="P5412" s="1" t="str">
        <f>IFERROR(__xludf.DUMMYFUNCTION("""COMPUTED_VALUE"""),"#N/A")</f>
        <v>#N/A</v>
      </c>
      <c r="Q5412" s="1"/>
      <c r="R5412" s="1"/>
      <c r="S5412" s="1"/>
      <c r="T5412" s="1"/>
      <c r="U5412" s="2">
        <f>IFERROR(__xludf.DUMMYFUNCTION("""COMPUTED_VALUE"""),0.0)</f>
        <v>0</v>
      </c>
      <c r="V5412" s="1" t="str">
        <f>IFERROR(__xludf.DUMMYFUNCTION("""COMPUTED_VALUE"""),"#N/A")</f>
        <v>#N/A</v>
      </c>
      <c r="W5412" s="1" t="str">
        <f>IFERROR(__xludf.DUMMYFUNCTION("""COMPUTED_VALUE"""),"#N/A")</f>
        <v>#N/A</v>
      </c>
    </row>
    <row r="5413">
      <c r="O5413" s="1" t="str">
        <f>IFERROR(__xludf.DUMMYFUNCTION("""COMPUTED_VALUE"""),"#VALUE!")</f>
        <v>#VALUE!</v>
      </c>
      <c r="P5413" s="1" t="str">
        <f>IFERROR(__xludf.DUMMYFUNCTION("""COMPUTED_VALUE"""),"#N/A")</f>
        <v>#N/A</v>
      </c>
      <c r="Q5413" s="1"/>
      <c r="R5413" s="1"/>
      <c r="S5413" s="1"/>
      <c r="T5413" s="1"/>
      <c r="U5413" s="2">
        <f>IFERROR(__xludf.DUMMYFUNCTION("""COMPUTED_VALUE"""),0.0)</f>
        <v>0</v>
      </c>
      <c r="V5413" s="1" t="str">
        <f>IFERROR(__xludf.DUMMYFUNCTION("""COMPUTED_VALUE"""),"#N/A")</f>
        <v>#N/A</v>
      </c>
      <c r="W5413" s="1" t="str">
        <f>IFERROR(__xludf.DUMMYFUNCTION("""COMPUTED_VALUE"""),"#N/A")</f>
        <v>#N/A</v>
      </c>
    </row>
    <row r="5414">
      <c r="O5414" s="1" t="str">
        <f>IFERROR(__xludf.DUMMYFUNCTION("""COMPUTED_VALUE"""),"#VALUE!")</f>
        <v>#VALUE!</v>
      </c>
      <c r="P5414" s="1" t="str">
        <f>IFERROR(__xludf.DUMMYFUNCTION("""COMPUTED_VALUE"""),"#N/A")</f>
        <v>#N/A</v>
      </c>
      <c r="Q5414" s="1"/>
      <c r="R5414" s="1"/>
      <c r="S5414" s="1"/>
      <c r="T5414" s="1"/>
      <c r="U5414" s="2">
        <f>IFERROR(__xludf.DUMMYFUNCTION("""COMPUTED_VALUE"""),0.0)</f>
        <v>0</v>
      </c>
      <c r="V5414" s="1" t="str">
        <f>IFERROR(__xludf.DUMMYFUNCTION("""COMPUTED_VALUE"""),"#N/A")</f>
        <v>#N/A</v>
      </c>
      <c r="W5414" s="1" t="str">
        <f>IFERROR(__xludf.DUMMYFUNCTION("""COMPUTED_VALUE"""),"#N/A")</f>
        <v>#N/A</v>
      </c>
    </row>
    <row r="5415">
      <c r="O5415" s="1" t="str">
        <f>IFERROR(__xludf.DUMMYFUNCTION("""COMPUTED_VALUE"""),"#VALUE!")</f>
        <v>#VALUE!</v>
      </c>
      <c r="P5415" s="1" t="str">
        <f>IFERROR(__xludf.DUMMYFUNCTION("""COMPUTED_VALUE"""),"#N/A")</f>
        <v>#N/A</v>
      </c>
      <c r="Q5415" s="1"/>
      <c r="R5415" s="1"/>
      <c r="S5415" s="1"/>
      <c r="T5415" s="1"/>
      <c r="U5415" s="2">
        <f>IFERROR(__xludf.DUMMYFUNCTION("""COMPUTED_VALUE"""),0.0)</f>
        <v>0</v>
      </c>
      <c r="V5415" s="1" t="str">
        <f>IFERROR(__xludf.DUMMYFUNCTION("""COMPUTED_VALUE"""),"#N/A")</f>
        <v>#N/A</v>
      </c>
      <c r="W5415" s="1" t="str">
        <f>IFERROR(__xludf.DUMMYFUNCTION("""COMPUTED_VALUE"""),"#N/A")</f>
        <v>#N/A</v>
      </c>
    </row>
    <row r="5416">
      <c r="O5416" s="1" t="str">
        <f>IFERROR(__xludf.DUMMYFUNCTION("""COMPUTED_VALUE"""),"#VALUE!")</f>
        <v>#VALUE!</v>
      </c>
      <c r="P5416" s="1" t="str">
        <f>IFERROR(__xludf.DUMMYFUNCTION("""COMPUTED_VALUE"""),"#N/A")</f>
        <v>#N/A</v>
      </c>
      <c r="Q5416" s="1"/>
      <c r="R5416" s="1"/>
      <c r="S5416" s="1"/>
      <c r="T5416" s="1"/>
      <c r="U5416" s="2">
        <f>IFERROR(__xludf.DUMMYFUNCTION("""COMPUTED_VALUE"""),0.0)</f>
        <v>0</v>
      </c>
      <c r="V5416" s="1" t="str">
        <f>IFERROR(__xludf.DUMMYFUNCTION("""COMPUTED_VALUE"""),"#N/A")</f>
        <v>#N/A</v>
      </c>
      <c r="W5416" s="1" t="str">
        <f>IFERROR(__xludf.DUMMYFUNCTION("""COMPUTED_VALUE"""),"#N/A")</f>
        <v>#N/A</v>
      </c>
    </row>
    <row r="5417">
      <c r="O5417" s="1" t="str">
        <f>IFERROR(__xludf.DUMMYFUNCTION("""COMPUTED_VALUE"""),"#VALUE!")</f>
        <v>#VALUE!</v>
      </c>
      <c r="P5417" s="1" t="str">
        <f>IFERROR(__xludf.DUMMYFUNCTION("""COMPUTED_VALUE"""),"#N/A")</f>
        <v>#N/A</v>
      </c>
      <c r="Q5417" s="1"/>
      <c r="R5417" s="1"/>
      <c r="S5417" s="1"/>
      <c r="T5417" s="1"/>
      <c r="U5417" s="2">
        <f>IFERROR(__xludf.DUMMYFUNCTION("""COMPUTED_VALUE"""),0.0)</f>
        <v>0</v>
      </c>
      <c r="V5417" s="1" t="str">
        <f>IFERROR(__xludf.DUMMYFUNCTION("""COMPUTED_VALUE"""),"#N/A")</f>
        <v>#N/A</v>
      </c>
      <c r="W5417" s="1" t="str">
        <f>IFERROR(__xludf.DUMMYFUNCTION("""COMPUTED_VALUE"""),"#N/A")</f>
        <v>#N/A</v>
      </c>
    </row>
    <row r="5418">
      <c r="O5418" s="1" t="str">
        <f>IFERROR(__xludf.DUMMYFUNCTION("""COMPUTED_VALUE"""),"#VALUE!")</f>
        <v>#VALUE!</v>
      </c>
      <c r="P5418" s="1" t="str">
        <f>IFERROR(__xludf.DUMMYFUNCTION("""COMPUTED_VALUE"""),"#N/A")</f>
        <v>#N/A</v>
      </c>
      <c r="Q5418" s="1"/>
      <c r="R5418" s="1"/>
      <c r="S5418" s="1"/>
      <c r="T5418" s="1"/>
      <c r="U5418" s="2">
        <f>IFERROR(__xludf.DUMMYFUNCTION("""COMPUTED_VALUE"""),0.0)</f>
        <v>0</v>
      </c>
      <c r="V5418" s="1" t="str">
        <f>IFERROR(__xludf.DUMMYFUNCTION("""COMPUTED_VALUE"""),"#N/A")</f>
        <v>#N/A</v>
      </c>
      <c r="W5418" s="1" t="str">
        <f>IFERROR(__xludf.DUMMYFUNCTION("""COMPUTED_VALUE"""),"#N/A")</f>
        <v>#N/A</v>
      </c>
    </row>
    <row r="5419">
      <c r="O5419" s="1" t="str">
        <f>IFERROR(__xludf.DUMMYFUNCTION("""COMPUTED_VALUE"""),"#VALUE!")</f>
        <v>#VALUE!</v>
      </c>
      <c r="P5419" s="1" t="str">
        <f>IFERROR(__xludf.DUMMYFUNCTION("""COMPUTED_VALUE"""),"#N/A")</f>
        <v>#N/A</v>
      </c>
      <c r="Q5419" s="1"/>
      <c r="R5419" s="1"/>
      <c r="S5419" s="1"/>
      <c r="T5419" s="1"/>
      <c r="U5419" s="2">
        <f>IFERROR(__xludf.DUMMYFUNCTION("""COMPUTED_VALUE"""),0.0)</f>
        <v>0</v>
      </c>
      <c r="V5419" s="1" t="str">
        <f>IFERROR(__xludf.DUMMYFUNCTION("""COMPUTED_VALUE"""),"#N/A")</f>
        <v>#N/A</v>
      </c>
      <c r="W5419" s="1" t="str">
        <f>IFERROR(__xludf.DUMMYFUNCTION("""COMPUTED_VALUE"""),"#N/A")</f>
        <v>#N/A</v>
      </c>
    </row>
    <row r="5420">
      <c r="O5420" s="1" t="str">
        <f>IFERROR(__xludf.DUMMYFUNCTION("""COMPUTED_VALUE"""),"#VALUE!")</f>
        <v>#VALUE!</v>
      </c>
      <c r="P5420" s="1" t="str">
        <f>IFERROR(__xludf.DUMMYFUNCTION("""COMPUTED_VALUE"""),"#N/A")</f>
        <v>#N/A</v>
      </c>
      <c r="Q5420" s="1"/>
      <c r="R5420" s="1"/>
      <c r="S5420" s="1"/>
      <c r="T5420" s="1"/>
      <c r="U5420" s="2">
        <f>IFERROR(__xludf.DUMMYFUNCTION("""COMPUTED_VALUE"""),0.0)</f>
        <v>0</v>
      </c>
      <c r="V5420" s="1" t="str">
        <f>IFERROR(__xludf.DUMMYFUNCTION("""COMPUTED_VALUE"""),"#N/A")</f>
        <v>#N/A</v>
      </c>
      <c r="W5420" s="1" t="str">
        <f>IFERROR(__xludf.DUMMYFUNCTION("""COMPUTED_VALUE"""),"#N/A")</f>
        <v>#N/A</v>
      </c>
    </row>
    <row r="5421">
      <c r="O5421" s="1" t="str">
        <f>IFERROR(__xludf.DUMMYFUNCTION("""COMPUTED_VALUE"""),"#VALUE!")</f>
        <v>#VALUE!</v>
      </c>
      <c r="P5421" s="1" t="str">
        <f>IFERROR(__xludf.DUMMYFUNCTION("""COMPUTED_VALUE"""),"#N/A")</f>
        <v>#N/A</v>
      </c>
      <c r="Q5421" s="1"/>
      <c r="R5421" s="1"/>
      <c r="S5421" s="1"/>
      <c r="T5421" s="1"/>
      <c r="U5421" s="2">
        <f>IFERROR(__xludf.DUMMYFUNCTION("""COMPUTED_VALUE"""),0.0)</f>
        <v>0</v>
      </c>
      <c r="V5421" s="1" t="str">
        <f>IFERROR(__xludf.DUMMYFUNCTION("""COMPUTED_VALUE"""),"#N/A")</f>
        <v>#N/A</v>
      </c>
      <c r="W5421" s="1" t="str">
        <f>IFERROR(__xludf.DUMMYFUNCTION("""COMPUTED_VALUE"""),"#N/A")</f>
        <v>#N/A</v>
      </c>
    </row>
    <row r="5422">
      <c r="O5422" s="1" t="str">
        <f>IFERROR(__xludf.DUMMYFUNCTION("""COMPUTED_VALUE"""),"#VALUE!")</f>
        <v>#VALUE!</v>
      </c>
      <c r="P5422" s="1" t="str">
        <f>IFERROR(__xludf.DUMMYFUNCTION("""COMPUTED_VALUE"""),"#N/A")</f>
        <v>#N/A</v>
      </c>
      <c r="Q5422" s="1"/>
      <c r="R5422" s="1"/>
      <c r="S5422" s="1"/>
      <c r="T5422" s="1"/>
      <c r="U5422" s="2">
        <f>IFERROR(__xludf.DUMMYFUNCTION("""COMPUTED_VALUE"""),0.0)</f>
        <v>0</v>
      </c>
      <c r="V5422" s="1" t="str">
        <f>IFERROR(__xludf.DUMMYFUNCTION("""COMPUTED_VALUE"""),"#N/A")</f>
        <v>#N/A</v>
      </c>
      <c r="W5422" s="1" t="str">
        <f>IFERROR(__xludf.DUMMYFUNCTION("""COMPUTED_VALUE"""),"#N/A")</f>
        <v>#N/A</v>
      </c>
    </row>
    <row r="5423">
      <c r="O5423" s="1" t="str">
        <f>IFERROR(__xludf.DUMMYFUNCTION("""COMPUTED_VALUE"""),"#VALUE!")</f>
        <v>#VALUE!</v>
      </c>
      <c r="P5423" s="1" t="str">
        <f>IFERROR(__xludf.DUMMYFUNCTION("""COMPUTED_VALUE"""),"#N/A")</f>
        <v>#N/A</v>
      </c>
      <c r="Q5423" s="1"/>
      <c r="R5423" s="1"/>
      <c r="S5423" s="1"/>
      <c r="T5423" s="1"/>
      <c r="U5423" s="2">
        <f>IFERROR(__xludf.DUMMYFUNCTION("""COMPUTED_VALUE"""),0.0)</f>
        <v>0</v>
      </c>
      <c r="V5423" s="1" t="str">
        <f>IFERROR(__xludf.DUMMYFUNCTION("""COMPUTED_VALUE"""),"#N/A")</f>
        <v>#N/A</v>
      </c>
      <c r="W5423" s="1" t="str">
        <f>IFERROR(__xludf.DUMMYFUNCTION("""COMPUTED_VALUE"""),"#N/A")</f>
        <v>#N/A</v>
      </c>
    </row>
    <row r="5424">
      <c r="O5424" s="1" t="str">
        <f>IFERROR(__xludf.DUMMYFUNCTION("""COMPUTED_VALUE"""),"#VALUE!")</f>
        <v>#VALUE!</v>
      </c>
      <c r="P5424" s="1" t="str">
        <f>IFERROR(__xludf.DUMMYFUNCTION("""COMPUTED_VALUE"""),"#N/A")</f>
        <v>#N/A</v>
      </c>
      <c r="Q5424" s="1"/>
      <c r="R5424" s="1"/>
      <c r="S5424" s="1"/>
      <c r="T5424" s="1"/>
      <c r="U5424" s="2">
        <f>IFERROR(__xludf.DUMMYFUNCTION("""COMPUTED_VALUE"""),0.0)</f>
        <v>0</v>
      </c>
      <c r="V5424" s="1" t="str">
        <f>IFERROR(__xludf.DUMMYFUNCTION("""COMPUTED_VALUE"""),"#N/A")</f>
        <v>#N/A</v>
      </c>
      <c r="W5424" s="1" t="str">
        <f>IFERROR(__xludf.DUMMYFUNCTION("""COMPUTED_VALUE"""),"#N/A")</f>
        <v>#N/A</v>
      </c>
    </row>
    <row r="5425">
      <c r="O5425" s="1" t="str">
        <f>IFERROR(__xludf.DUMMYFUNCTION("""COMPUTED_VALUE"""),"#VALUE!")</f>
        <v>#VALUE!</v>
      </c>
      <c r="P5425" s="1" t="str">
        <f>IFERROR(__xludf.DUMMYFUNCTION("""COMPUTED_VALUE"""),"#N/A")</f>
        <v>#N/A</v>
      </c>
      <c r="Q5425" s="1"/>
      <c r="R5425" s="1"/>
      <c r="S5425" s="1"/>
      <c r="T5425" s="1"/>
      <c r="U5425" s="2">
        <f>IFERROR(__xludf.DUMMYFUNCTION("""COMPUTED_VALUE"""),0.0)</f>
        <v>0</v>
      </c>
      <c r="V5425" s="1" t="str">
        <f>IFERROR(__xludf.DUMMYFUNCTION("""COMPUTED_VALUE"""),"#N/A")</f>
        <v>#N/A</v>
      </c>
      <c r="W5425" s="1" t="str">
        <f>IFERROR(__xludf.DUMMYFUNCTION("""COMPUTED_VALUE"""),"#N/A")</f>
        <v>#N/A</v>
      </c>
    </row>
    <row r="5426">
      <c r="O5426" s="1" t="str">
        <f>IFERROR(__xludf.DUMMYFUNCTION("""COMPUTED_VALUE"""),"#VALUE!")</f>
        <v>#VALUE!</v>
      </c>
      <c r="P5426" s="1" t="str">
        <f>IFERROR(__xludf.DUMMYFUNCTION("""COMPUTED_VALUE"""),"#N/A")</f>
        <v>#N/A</v>
      </c>
      <c r="Q5426" s="1"/>
      <c r="R5426" s="1"/>
      <c r="S5426" s="1"/>
      <c r="T5426" s="1"/>
      <c r="U5426" s="2">
        <f>IFERROR(__xludf.DUMMYFUNCTION("""COMPUTED_VALUE"""),0.0)</f>
        <v>0</v>
      </c>
      <c r="V5426" s="1" t="str">
        <f>IFERROR(__xludf.DUMMYFUNCTION("""COMPUTED_VALUE"""),"#N/A")</f>
        <v>#N/A</v>
      </c>
      <c r="W5426" s="1" t="str">
        <f>IFERROR(__xludf.DUMMYFUNCTION("""COMPUTED_VALUE"""),"#N/A")</f>
        <v>#N/A</v>
      </c>
    </row>
    <row r="5427">
      <c r="O5427" s="1" t="str">
        <f>IFERROR(__xludf.DUMMYFUNCTION("""COMPUTED_VALUE"""),"#VALUE!")</f>
        <v>#VALUE!</v>
      </c>
      <c r="P5427" s="1" t="str">
        <f>IFERROR(__xludf.DUMMYFUNCTION("""COMPUTED_VALUE"""),"#N/A")</f>
        <v>#N/A</v>
      </c>
      <c r="Q5427" s="1"/>
      <c r="R5427" s="1"/>
      <c r="S5427" s="1"/>
      <c r="T5427" s="1"/>
      <c r="U5427" s="2">
        <f>IFERROR(__xludf.DUMMYFUNCTION("""COMPUTED_VALUE"""),0.0)</f>
        <v>0</v>
      </c>
      <c r="V5427" s="1" t="str">
        <f>IFERROR(__xludf.DUMMYFUNCTION("""COMPUTED_VALUE"""),"#N/A")</f>
        <v>#N/A</v>
      </c>
      <c r="W5427" s="1" t="str">
        <f>IFERROR(__xludf.DUMMYFUNCTION("""COMPUTED_VALUE"""),"#N/A")</f>
        <v>#N/A</v>
      </c>
    </row>
    <row r="5428">
      <c r="O5428" s="1" t="str">
        <f>IFERROR(__xludf.DUMMYFUNCTION("""COMPUTED_VALUE"""),"#VALUE!")</f>
        <v>#VALUE!</v>
      </c>
      <c r="P5428" s="1" t="str">
        <f>IFERROR(__xludf.DUMMYFUNCTION("""COMPUTED_VALUE"""),"#N/A")</f>
        <v>#N/A</v>
      </c>
      <c r="Q5428" s="1"/>
      <c r="R5428" s="1"/>
      <c r="S5428" s="1"/>
      <c r="T5428" s="1"/>
      <c r="U5428" s="2">
        <f>IFERROR(__xludf.DUMMYFUNCTION("""COMPUTED_VALUE"""),0.0)</f>
        <v>0</v>
      </c>
      <c r="V5428" s="1" t="str">
        <f>IFERROR(__xludf.DUMMYFUNCTION("""COMPUTED_VALUE"""),"#N/A")</f>
        <v>#N/A</v>
      </c>
      <c r="W5428" s="1" t="str">
        <f>IFERROR(__xludf.DUMMYFUNCTION("""COMPUTED_VALUE"""),"#N/A")</f>
        <v>#N/A</v>
      </c>
    </row>
    <row r="5429">
      <c r="O5429" s="1" t="str">
        <f>IFERROR(__xludf.DUMMYFUNCTION("""COMPUTED_VALUE"""),"#VALUE!")</f>
        <v>#VALUE!</v>
      </c>
      <c r="P5429" s="1" t="str">
        <f>IFERROR(__xludf.DUMMYFUNCTION("""COMPUTED_VALUE"""),"#N/A")</f>
        <v>#N/A</v>
      </c>
      <c r="Q5429" s="1"/>
      <c r="R5429" s="1"/>
      <c r="S5429" s="1"/>
      <c r="T5429" s="1"/>
      <c r="U5429" s="2">
        <f>IFERROR(__xludf.DUMMYFUNCTION("""COMPUTED_VALUE"""),0.0)</f>
        <v>0</v>
      </c>
      <c r="V5429" s="1" t="str">
        <f>IFERROR(__xludf.DUMMYFUNCTION("""COMPUTED_VALUE"""),"#N/A")</f>
        <v>#N/A</v>
      </c>
      <c r="W5429" s="1" t="str">
        <f>IFERROR(__xludf.DUMMYFUNCTION("""COMPUTED_VALUE"""),"#N/A")</f>
        <v>#N/A</v>
      </c>
    </row>
    <row r="5430">
      <c r="O5430" s="1" t="str">
        <f>IFERROR(__xludf.DUMMYFUNCTION("""COMPUTED_VALUE"""),"#VALUE!")</f>
        <v>#VALUE!</v>
      </c>
      <c r="P5430" s="1" t="str">
        <f>IFERROR(__xludf.DUMMYFUNCTION("""COMPUTED_VALUE"""),"#N/A")</f>
        <v>#N/A</v>
      </c>
      <c r="Q5430" s="1"/>
      <c r="R5430" s="1"/>
      <c r="S5430" s="1"/>
      <c r="T5430" s="1"/>
      <c r="U5430" s="2">
        <f>IFERROR(__xludf.DUMMYFUNCTION("""COMPUTED_VALUE"""),0.0)</f>
        <v>0</v>
      </c>
      <c r="V5430" s="1" t="str">
        <f>IFERROR(__xludf.DUMMYFUNCTION("""COMPUTED_VALUE"""),"#N/A")</f>
        <v>#N/A</v>
      </c>
      <c r="W5430" s="1" t="str">
        <f>IFERROR(__xludf.DUMMYFUNCTION("""COMPUTED_VALUE"""),"#N/A")</f>
        <v>#N/A</v>
      </c>
    </row>
    <row r="5431">
      <c r="O5431" s="1" t="str">
        <f>IFERROR(__xludf.DUMMYFUNCTION("""COMPUTED_VALUE"""),"#VALUE!")</f>
        <v>#VALUE!</v>
      </c>
      <c r="P5431" s="1" t="str">
        <f>IFERROR(__xludf.DUMMYFUNCTION("""COMPUTED_VALUE"""),"#N/A")</f>
        <v>#N/A</v>
      </c>
      <c r="Q5431" s="1"/>
      <c r="R5431" s="1"/>
      <c r="S5431" s="1"/>
      <c r="T5431" s="1"/>
      <c r="U5431" s="2">
        <f>IFERROR(__xludf.DUMMYFUNCTION("""COMPUTED_VALUE"""),0.0)</f>
        <v>0</v>
      </c>
      <c r="V5431" s="1" t="str">
        <f>IFERROR(__xludf.DUMMYFUNCTION("""COMPUTED_VALUE"""),"#N/A")</f>
        <v>#N/A</v>
      </c>
      <c r="W5431" s="1" t="str">
        <f>IFERROR(__xludf.DUMMYFUNCTION("""COMPUTED_VALUE"""),"#N/A")</f>
        <v>#N/A</v>
      </c>
    </row>
    <row r="5432">
      <c r="O5432" s="1" t="str">
        <f>IFERROR(__xludf.DUMMYFUNCTION("""COMPUTED_VALUE"""),"#VALUE!")</f>
        <v>#VALUE!</v>
      </c>
      <c r="P5432" s="1" t="str">
        <f>IFERROR(__xludf.DUMMYFUNCTION("""COMPUTED_VALUE"""),"#N/A")</f>
        <v>#N/A</v>
      </c>
      <c r="Q5432" s="1"/>
      <c r="R5432" s="1"/>
      <c r="S5432" s="1"/>
      <c r="T5432" s="1"/>
      <c r="U5432" s="2">
        <f>IFERROR(__xludf.DUMMYFUNCTION("""COMPUTED_VALUE"""),0.0)</f>
        <v>0</v>
      </c>
      <c r="V5432" s="1" t="str">
        <f>IFERROR(__xludf.DUMMYFUNCTION("""COMPUTED_VALUE"""),"#N/A")</f>
        <v>#N/A</v>
      </c>
      <c r="W5432" s="1" t="str">
        <f>IFERROR(__xludf.DUMMYFUNCTION("""COMPUTED_VALUE"""),"#N/A")</f>
        <v>#N/A</v>
      </c>
    </row>
    <row r="5433">
      <c r="O5433" s="1" t="str">
        <f>IFERROR(__xludf.DUMMYFUNCTION("""COMPUTED_VALUE"""),"#VALUE!")</f>
        <v>#VALUE!</v>
      </c>
      <c r="P5433" s="1" t="str">
        <f>IFERROR(__xludf.DUMMYFUNCTION("""COMPUTED_VALUE"""),"#N/A")</f>
        <v>#N/A</v>
      </c>
      <c r="Q5433" s="1"/>
      <c r="R5433" s="1"/>
      <c r="S5433" s="1"/>
      <c r="T5433" s="1"/>
      <c r="U5433" s="2">
        <f>IFERROR(__xludf.DUMMYFUNCTION("""COMPUTED_VALUE"""),0.0)</f>
        <v>0</v>
      </c>
      <c r="V5433" s="1" t="str">
        <f>IFERROR(__xludf.DUMMYFUNCTION("""COMPUTED_VALUE"""),"#N/A")</f>
        <v>#N/A</v>
      </c>
      <c r="W5433" s="1" t="str">
        <f>IFERROR(__xludf.DUMMYFUNCTION("""COMPUTED_VALUE"""),"#N/A")</f>
        <v>#N/A</v>
      </c>
    </row>
    <row r="5434">
      <c r="O5434" s="1" t="str">
        <f>IFERROR(__xludf.DUMMYFUNCTION("""COMPUTED_VALUE"""),"#VALUE!")</f>
        <v>#VALUE!</v>
      </c>
      <c r="P5434" s="1" t="str">
        <f>IFERROR(__xludf.DUMMYFUNCTION("""COMPUTED_VALUE"""),"#N/A")</f>
        <v>#N/A</v>
      </c>
      <c r="Q5434" s="1"/>
      <c r="R5434" s="1"/>
      <c r="S5434" s="1"/>
      <c r="T5434" s="1"/>
      <c r="U5434" s="2">
        <f>IFERROR(__xludf.DUMMYFUNCTION("""COMPUTED_VALUE"""),0.0)</f>
        <v>0</v>
      </c>
      <c r="V5434" s="1" t="str">
        <f>IFERROR(__xludf.DUMMYFUNCTION("""COMPUTED_VALUE"""),"#N/A")</f>
        <v>#N/A</v>
      </c>
      <c r="W5434" s="1" t="str">
        <f>IFERROR(__xludf.DUMMYFUNCTION("""COMPUTED_VALUE"""),"#N/A")</f>
        <v>#N/A</v>
      </c>
    </row>
    <row r="5435">
      <c r="O5435" s="1" t="str">
        <f>IFERROR(__xludf.DUMMYFUNCTION("""COMPUTED_VALUE"""),"#VALUE!")</f>
        <v>#VALUE!</v>
      </c>
      <c r="P5435" s="1" t="str">
        <f>IFERROR(__xludf.DUMMYFUNCTION("""COMPUTED_VALUE"""),"#N/A")</f>
        <v>#N/A</v>
      </c>
      <c r="Q5435" s="1"/>
      <c r="R5435" s="1"/>
      <c r="S5435" s="1"/>
      <c r="T5435" s="1"/>
      <c r="U5435" s="2">
        <f>IFERROR(__xludf.DUMMYFUNCTION("""COMPUTED_VALUE"""),0.0)</f>
        <v>0</v>
      </c>
      <c r="V5435" s="1" t="str">
        <f>IFERROR(__xludf.DUMMYFUNCTION("""COMPUTED_VALUE"""),"#N/A")</f>
        <v>#N/A</v>
      </c>
      <c r="W5435" s="1" t="str">
        <f>IFERROR(__xludf.DUMMYFUNCTION("""COMPUTED_VALUE"""),"#N/A")</f>
        <v>#N/A</v>
      </c>
    </row>
    <row r="5436">
      <c r="O5436" s="1" t="str">
        <f>IFERROR(__xludf.DUMMYFUNCTION("""COMPUTED_VALUE"""),"#VALUE!")</f>
        <v>#VALUE!</v>
      </c>
      <c r="P5436" s="1" t="str">
        <f>IFERROR(__xludf.DUMMYFUNCTION("""COMPUTED_VALUE"""),"#N/A")</f>
        <v>#N/A</v>
      </c>
      <c r="Q5436" s="1"/>
      <c r="R5436" s="1"/>
      <c r="S5436" s="1"/>
      <c r="T5436" s="1"/>
      <c r="U5436" s="2">
        <f>IFERROR(__xludf.DUMMYFUNCTION("""COMPUTED_VALUE"""),0.0)</f>
        <v>0</v>
      </c>
      <c r="V5436" s="1" t="str">
        <f>IFERROR(__xludf.DUMMYFUNCTION("""COMPUTED_VALUE"""),"#N/A")</f>
        <v>#N/A</v>
      </c>
      <c r="W5436" s="1" t="str">
        <f>IFERROR(__xludf.DUMMYFUNCTION("""COMPUTED_VALUE"""),"#N/A")</f>
        <v>#N/A</v>
      </c>
    </row>
    <row r="5437">
      <c r="O5437" s="1" t="str">
        <f>IFERROR(__xludf.DUMMYFUNCTION("""COMPUTED_VALUE"""),"#VALUE!")</f>
        <v>#VALUE!</v>
      </c>
      <c r="P5437" s="1" t="str">
        <f>IFERROR(__xludf.DUMMYFUNCTION("""COMPUTED_VALUE"""),"#N/A")</f>
        <v>#N/A</v>
      </c>
      <c r="Q5437" s="1"/>
      <c r="R5437" s="1"/>
      <c r="S5437" s="1"/>
      <c r="T5437" s="1"/>
      <c r="U5437" s="2">
        <f>IFERROR(__xludf.DUMMYFUNCTION("""COMPUTED_VALUE"""),0.0)</f>
        <v>0</v>
      </c>
      <c r="V5437" s="1" t="str">
        <f>IFERROR(__xludf.DUMMYFUNCTION("""COMPUTED_VALUE"""),"#N/A")</f>
        <v>#N/A</v>
      </c>
      <c r="W5437" s="1" t="str">
        <f>IFERROR(__xludf.DUMMYFUNCTION("""COMPUTED_VALUE"""),"#N/A")</f>
        <v>#N/A</v>
      </c>
    </row>
    <row r="5438">
      <c r="O5438" s="1" t="str">
        <f>IFERROR(__xludf.DUMMYFUNCTION("""COMPUTED_VALUE"""),"#VALUE!")</f>
        <v>#VALUE!</v>
      </c>
      <c r="P5438" s="1" t="str">
        <f>IFERROR(__xludf.DUMMYFUNCTION("""COMPUTED_VALUE"""),"#N/A")</f>
        <v>#N/A</v>
      </c>
      <c r="Q5438" s="1"/>
      <c r="R5438" s="1"/>
      <c r="S5438" s="1"/>
      <c r="T5438" s="1"/>
      <c r="U5438" s="2">
        <f>IFERROR(__xludf.DUMMYFUNCTION("""COMPUTED_VALUE"""),0.0)</f>
        <v>0</v>
      </c>
      <c r="V5438" s="1" t="str">
        <f>IFERROR(__xludf.DUMMYFUNCTION("""COMPUTED_VALUE"""),"#N/A")</f>
        <v>#N/A</v>
      </c>
      <c r="W5438" s="1" t="str">
        <f>IFERROR(__xludf.DUMMYFUNCTION("""COMPUTED_VALUE"""),"#N/A")</f>
        <v>#N/A</v>
      </c>
    </row>
    <row r="5439">
      <c r="O5439" s="1" t="str">
        <f>IFERROR(__xludf.DUMMYFUNCTION("""COMPUTED_VALUE"""),"#VALUE!")</f>
        <v>#VALUE!</v>
      </c>
      <c r="P5439" s="1" t="str">
        <f>IFERROR(__xludf.DUMMYFUNCTION("""COMPUTED_VALUE"""),"#N/A")</f>
        <v>#N/A</v>
      </c>
      <c r="Q5439" s="1"/>
      <c r="R5439" s="1"/>
      <c r="S5439" s="1"/>
      <c r="T5439" s="1"/>
      <c r="U5439" s="2">
        <f>IFERROR(__xludf.DUMMYFUNCTION("""COMPUTED_VALUE"""),0.0)</f>
        <v>0</v>
      </c>
      <c r="V5439" s="1" t="str">
        <f>IFERROR(__xludf.DUMMYFUNCTION("""COMPUTED_VALUE"""),"#N/A")</f>
        <v>#N/A</v>
      </c>
      <c r="W5439" s="1" t="str">
        <f>IFERROR(__xludf.DUMMYFUNCTION("""COMPUTED_VALUE"""),"#N/A")</f>
        <v>#N/A</v>
      </c>
    </row>
    <row r="5440">
      <c r="O5440" s="1" t="str">
        <f>IFERROR(__xludf.DUMMYFUNCTION("""COMPUTED_VALUE"""),"#VALUE!")</f>
        <v>#VALUE!</v>
      </c>
      <c r="P5440" s="1" t="str">
        <f>IFERROR(__xludf.DUMMYFUNCTION("""COMPUTED_VALUE"""),"#N/A")</f>
        <v>#N/A</v>
      </c>
      <c r="Q5440" s="1"/>
      <c r="R5440" s="1"/>
      <c r="S5440" s="1"/>
      <c r="T5440" s="1"/>
      <c r="U5440" s="2">
        <f>IFERROR(__xludf.DUMMYFUNCTION("""COMPUTED_VALUE"""),0.0)</f>
        <v>0</v>
      </c>
      <c r="V5440" s="1" t="str">
        <f>IFERROR(__xludf.DUMMYFUNCTION("""COMPUTED_VALUE"""),"#N/A")</f>
        <v>#N/A</v>
      </c>
      <c r="W5440" s="1" t="str">
        <f>IFERROR(__xludf.DUMMYFUNCTION("""COMPUTED_VALUE"""),"#N/A")</f>
        <v>#N/A</v>
      </c>
    </row>
    <row r="5441">
      <c r="O5441" s="1" t="str">
        <f>IFERROR(__xludf.DUMMYFUNCTION("""COMPUTED_VALUE"""),"#VALUE!")</f>
        <v>#VALUE!</v>
      </c>
      <c r="P5441" s="1" t="str">
        <f>IFERROR(__xludf.DUMMYFUNCTION("""COMPUTED_VALUE"""),"#N/A")</f>
        <v>#N/A</v>
      </c>
      <c r="Q5441" s="1"/>
      <c r="R5441" s="1"/>
      <c r="S5441" s="1"/>
      <c r="T5441" s="1"/>
      <c r="U5441" s="2">
        <f>IFERROR(__xludf.DUMMYFUNCTION("""COMPUTED_VALUE"""),0.0)</f>
        <v>0</v>
      </c>
      <c r="V5441" s="1" t="str">
        <f>IFERROR(__xludf.DUMMYFUNCTION("""COMPUTED_VALUE"""),"#N/A")</f>
        <v>#N/A</v>
      </c>
      <c r="W5441" s="1" t="str">
        <f>IFERROR(__xludf.DUMMYFUNCTION("""COMPUTED_VALUE"""),"#N/A")</f>
        <v>#N/A</v>
      </c>
    </row>
    <row r="5442">
      <c r="O5442" s="1" t="str">
        <f>IFERROR(__xludf.DUMMYFUNCTION("""COMPUTED_VALUE"""),"#VALUE!")</f>
        <v>#VALUE!</v>
      </c>
      <c r="P5442" s="1" t="str">
        <f>IFERROR(__xludf.DUMMYFUNCTION("""COMPUTED_VALUE"""),"#N/A")</f>
        <v>#N/A</v>
      </c>
      <c r="Q5442" s="1"/>
      <c r="R5442" s="1"/>
      <c r="S5442" s="1"/>
      <c r="T5442" s="1"/>
      <c r="U5442" s="2">
        <f>IFERROR(__xludf.DUMMYFUNCTION("""COMPUTED_VALUE"""),0.0)</f>
        <v>0</v>
      </c>
      <c r="V5442" s="1" t="str">
        <f>IFERROR(__xludf.DUMMYFUNCTION("""COMPUTED_VALUE"""),"#N/A")</f>
        <v>#N/A</v>
      </c>
      <c r="W5442" s="1" t="str">
        <f>IFERROR(__xludf.DUMMYFUNCTION("""COMPUTED_VALUE"""),"#N/A")</f>
        <v>#N/A</v>
      </c>
    </row>
    <row r="5443">
      <c r="O5443" s="1" t="str">
        <f>IFERROR(__xludf.DUMMYFUNCTION("""COMPUTED_VALUE"""),"#VALUE!")</f>
        <v>#VALUE!</v>
      </c>
      <c r="P5443" s="1" t="str">
        <f>IFERROR(__xludf.DUMMYFUNCTION("""COMPUTED_VALUE"""),"#N/A")</f>
        <v>#N/A</v>
      </c>
      <c r="Q5443" s="1"/>
      <c r="R5443" s="1"/>
      <c r="S5443" s="1"/>
      <c r="T5443" s="1"/>
      <c r="U5443" s="2">
        <f>IFERROR(__xludf.DUMMYFUNCTION("""COMPUTED_VALUE"""),0.0)</f>
        <v>0</v>
      </c>
      <c r="V5443" s="1" t="str">
        <f>IFERROR(__xludf.DUMMYFUNCTION("""COMPUTED_VALUE"""),"#N/A")</f>
        <v>#N/A</v>
      </c>
      <c r="W5443" s="1" t="str">
        <f>IFERROR(__xludf.DUMMYFUNCTION("""COMPUTED_VALUE"""),"#N/A")</f>
        <v>#N/A</v>
      </c>
    </row>
    <row r="5444">
      <c r="O5444" s="1" t="str">
        <f>IFERROR(__xludf.DUMMYFUNCTION("""COMPUTED_VALUE"""),"#VALUE!")</f>
        <v>#VALUE!</v>
      </c>
      <c r="P5444" s="1" t="str">
        <f>IFERROR(__xludf.DUMMYFUNCTION("""COMPUTED_VALUE"""),"#N/A")</f>
        <v>#N/A</v>
      </c>
      <c r="Q5444" s="1"/>
      <c r="R5444" s="1"/>
      <c r="S5444" s="1"/>
      <c r="T5444" s="1"/>
      <c r="U5444" s="2">
        <f>IFERROR(__xludf.DUMMYFUNCTION("""COMPUTED_VALUE"""),0.0)</f>
        <v>0</v>
      </c>
      <c r="V5444" s="1" t="str">
        <f>IFERROR(__xludf.DUMMYFUNCTION("""COMPUTED_VALUE"""),"#N/A")</f>
        <v>#N/A</v>
      </c>
      <c r="W5444" s="1" t="str">
        <f>IFERROR(__xludf.DUMMYFUNCTION("""COMPUTED_VALUE"""),"#N/A")</f>
        <v>#N/A</v>
      </c>
    </row>
    <row r="5445">
      <c r="O5445" s="1" t="str">
        <f>IFERROR(__xludf.DUMMYFUNCTION("""COMPUTED_VALUE"""),"#VALUE!")</f>
        <v>#VALUE!</v>
      </c>
      <c r="P5445" s="1" t="str">
        <f>IFERROR(__xludf.DUMMYFUNCTION("""COMPUTED_VALUE"""),"#N/A")</f>
        <v>#N/A</v>
      </c>
      <c r="Q5445" s="1"/>
      <c r="R5445" s="1"/>
      <c r="S5445" s="1"/>
      <c r="T5445" s="1"/>
      <c r="U5445" s="2">
        <f>IFERROR(__xludf.DUMMYFUNCTION("""COMPUTED_VALUE"""),0.0)</f>
        <v>0</v>
      </c>
      <c r="V5445" s="1" t="str">
        <f>IFERROR(__xludf.DUMMYFUNCTION("""COMPUTED_VALUE"""),"#N/A")</f>
        <v>#N/A</v>
      </c>
      <c r="W5445" s="1" t="str">
        <f>IFERROR(__xludf.DUMMYFUNCTION("""COMPUTED_VALUE"""),"#N/A")</f>
        <v>#N/A</v>
      </c>
    </row>
    <row r="5446">
      <c r="O5446" s="1" t="str">
        <f>IFERROR(__xludf.DUMMYFUNCTION("""COMPUTED_VALUE"""),"#VALUE!")</f>
        <v>#VALUE!</v>
      </c>
      <c r="P5446" s="1" t="str">
        <f>IFERROR(__xludf.DUMMYFUNCTION("""COMPUTED_VALUE"""),"#N/A")</f>
        <v>#N/A</v>
      </c>
      <c r="Q5446" s="1"/>
      <c r="R5446" s="1"/>
      <c r="S5446" s="1"/>
      <c r="T5446" s="1"/>
      <c r="U5446" s="2">
        <f>IFERROR(__xludf.DUMMYFUNCTION("""COMPUTED_VALUE"""),0.0)</f>
        <v>0</v>
      </c>
      <c r="V5446" s="1" t="str">
        <f>IFERROR(__xludf.DUMMYFUNCTION("""COMPUTED_VALUE"""),"#N/A")</f>
        <v>#N/A</v>
      </c>
      <c r="W5446" s="1" t="str">
        <f>IFERROR(__xludf.DUMMYFUNCTION("""COMPUTED_VALUE"""),"#N/A")</f>
        <v>#N/A</v>
      </c>
    </row>
    <row r="5447">
      <c r="O5447" s="1" t="str">
        <f>IFERROR(__xludf.DUMMYFUNCTION("""COMPUTED_VALUE"""),"#VALUE!")</f>
        <v>#VALUE!</v>
      </c>
      <c r="P5447" s="1" t="str">
        <f>IFERROR(__xludf.DUMMYFUNCTION("""COMPUTED_VALUE"""),"#N/A")</f>
        <v>#N/A</v>
      </c>
      <c r="Q5447" s="1"/>
      <c r="R5447" s="1"/>
      <c r="S5447" s="1"/>
      <c r="T5447" s="1"/>
      <c r="U5447" s="2">
        <f>IFERROR(__xludf.DUMMYFUNCTION("""COMPUTED_VALUE"""),0.0)</f>
        <v>0</v>
      </c>
      <c r="V5447" s="1" t="str">
        <f>IFERROR(__xludf.DUMMYFUNCTION("""COMPUTED_VALUE"""),"#N/A")</f>
        <v>#N/A</v>
      </c>
      <c r="W5447" s="1" t="str">
        <f>IFERROR(__xludf.DUMMYFUNCTION("""COMPUTED_VALUE"""),"#N/A")</f>
        <v>#N/A</v>
      </c>
    </row>
    <row r="5448">
      <c r="O5448" s="1" t="str">
        <f>IFERROR(__xludf.DUMMYFUNCTION("""COMPUTED_VALUE"""),"#VALUE!")</f>
        <v>#VALUE!</v>
      </c>
      <c r="P5448" s="1" t="str">
        <f>IFERROR(__xludf.DUMMYFUNCTION("""COMPUTED_VALUE"""),"#N/A")</f>
        <v>#N/A</v>
      </c>
      <c r="Q5448" s="1"/>
      <c r="R5448" s="1"/>
      <c r="S5448" s="1"/>
      <c r="T5448" s="1"/>
      <c r="U5448" s="2">
        <f>IFERROR(__xludf.DUMMYFUNCTION("""COMPUTED_VALUE"""),0.0)</f>
        <v>0</v>
      </c>
      <c r="V5448" s="1" t="str">
        <f>IFERROR(__xludf.DUMMYFUNCTION("""COMPUTED_VALUE"""),"#N/A")</f>
        <v>#N/A</v>
      </c>
      <c r="W5448" s="1" t="str">
        <f>IFERROR(__xludf.DUMMYFUNCTION("""COMPUTED_VALUE"""),"#N/A")</f>
        <v>#N/A</v>
      </c>
    </row>
    <row r="5449">
      <c r="O5449" s="1" t="str">
        <f>IFERROR(__xludf.DUMMYFUNCTION("""COMPUTED_VALUE"""),"#VALUE!")</f>
        <v>#VALUE!</v>
      </c>
      <c r="P5449" s="1" t="str">
        <f>IFERROR(__xludf.DUMMYFUNCTION("""COMPUTED_VALUE"""),"#N/A")</f>
        <v>#N/A</v>
      </c>
      <c r="Q5449" s="1"/>
      <c r="R5449" s="1"/>
      <c r="S5449" s="1"/>
      <c r="T5449" s="1"/>
      <c r="U5449" s="2">
        <f>IFERROR(__xludf.DUMMYFUNCTION("""COMPUTED_VALUE"""),0.0)</f>
        <v>0</v>
      </c>
      <c r="V5449" s="1" t="str">
        <f>IFERROR(__xludf.DUMMYFUNCTION("""COMPUTED_VALUE"""),"#N/A")</f>
        <v>#N/A</v>
      </c>
      <c r="W5449" s="1" t="str">
        <f>IFERROR(__xludf.DUMMYFUNCTION("""COMPUTED_VALUE"""),"#N/A")</f>
        <v>#N/A</v>
      </c>
    </row>
    <row r="5450">
      <c r="O5450" s="1" t="str">
        <f>IFERROR(__xludf.DUMMYFUNCTION("""COMPUTED_VALUE"""),"#VALUE!")</f>
        <v>#VALUE!</v>
      </c>
      <c r="P5450" s="1" t="str">
        <f>IFERROR(__xludf.DUMMYFUNCTION("""COMPUTED_VALUE"""),"#N/A")</f>
        <v>#N/A</v>
      </c>
      <c r="Q5450" s="1"/>
      <c r="R5450" s="1"/>
      <c r="S5450" s="1"/>
      <c r="T5450" s="1"/>
      <c r="U5450" s="2">
        <f>IFERROR(__xludf.DUMMYFUNCTION("""COMPUTED_VALUE"""),0.0)</f>
        <v>0</v>
      </c>
      <c r="V5450" s="1" t="str">
        <f>IFERROR(__xludf.DUMMYFUNCTION("""COMPUTED_VALUE"""),"#N/A")</f>
        <v>#N/A</v>
      </c>
      <c r="W5450" s="1" t="str">
        <f>IFERROR(__xludf.DUMMYFUNCTION("""COMPUTED_VALUE"""),"#N/A")</f>
        <v>#N/A</v>
      </c>
    </row>
    <row r="5451">
      <c r="O5451" s="1" t="str">
        <f>IFERROR(__xludf.DUMMYFUNCTION("""COMPUTED_VALUE"""),"#VALUE!")</f>
        <v>#VALUE!</v>
      </c>
      <c r="P5451" s="1" t="str">
        <f>IFERROR(__xludf.DUMMYFUNCTION("""COMPUTED_VALUE"""),"#N/A")</f>
        <v>#N/A</v>
      </c>
      <c r="Q5451" s="1"/>
      <c r="R5451" s="1"/>
      <c r="S5451" s="1"/>
      <c r="T5451" s="1"/>
      <c r="U5451" s="2">
        <f>IFERROR(__xludf.DUMMYFUNCTION("""COMPUTED_VALUE"""),0.0)</f>
        <v>0</v>
      </c>
      <c r="V5451" s="1" t="str">
        <f>IFERROR(__xludf.DUMMYFUNCTION("""COMPUTED_VALUE"""),"#N/A")</f>
        <v>#N/A</v>
      </c>
      <c r="W5451" s="1" t="str">
        <f>IFERROR(__xludf.DUMMYFUNCTION("""COMPUTED_VALUE"""),"#N/A")</f>
        <v>#N/A</v>
      </c>
    </row>
    <row r="5452">
      <c r="O5452" s="1" t="str">
        <f>IFERROR(__xludf.DUMMYFUNCTION("""COMPUTED_VALUE"""),"#VALUE!")</f>
        <v>#VALUE!</v>
      </c>
      <c r="P5452" s="1" t="str">
        <f>IFERROR(__xludf.DUMMYFUNCTION("""COMPUTED_VALUE"""),"#N/A")</f>
        <v>#N/A</v>
      </c>
      <c r="Q5452" s="1"/>
      <c r="R5452" s="1"/>
      <c r="S5452" s="1"/>
      <c r="T5452" s="1"/>
      <c r="U5452" s="2">
        <f>IFERROR(__xludf.DUMMYFUNCTION("""COMPUTED_VALUE"""),0.0)</f>
        <v>0</v>
      </c>
      <c r="V5452" s="1" t="str">
        <f>IFERROR(__xludf.DUMMYFUNCTION("""COMPUTED_VALUE"""),"#N/A")</f>
        <v>#N/A</v>
      </c>
      <c r="W5452" s="1" t="str">
        <f>IFERROR(__xludf.DUMMYFUNCTION("""COMPUTED_VALUE"""),"#N/A")</f>
        <v>#N/A</v>
      </c>
    </row>
    <row r="5453">
      <c r="O5453" s="1" t="str">
        <f>IFERROR(__xludf.DUMMYFUNCTION("""COMPUTED_VALUE"""),"#VALUE!")</f>
        <v>#VALUE!</v>
      </c>
      <c r="P5453" s="1" t="str">
        <f>IFERROR(__xludf.DUMMYFUNCTION("""COMPUTED_VALUE"""),"#N/A")</f>
        <v>#N/A</v>
      </c>
      <c r="Q5453" s="1"/>
      <c r="R5453" s="1"/>
      <c r="S5453" s="1"/>
      <c r="T5453" s="1"/>
      <c r="U5453" s="2">
        <f>IFERROR(__xludf.DUMMYFUNCTION("""COMPUTED_VALUE"""),0.0)</f>
        <v>0</v>
      </c>
      <c r="V5453" s="1" t="str">
        <f>IFERROR(__xludf.DUMMYFUNCTION("""COMPUTED_VALUE"""),"#N/A")</f>
        <v>#N/A</v>
      </c>
      <c r="W5453" s="1" t="str">
        <f>IFERROR(__xludf.DUMMYFUNCTION("""COMPUTED_VALUE"""),"#N/A")</f>
        <v>#N/A</v>
      </c>
    </row>
    <row r="5454">
      <c r="O5454" s="1" t="str">
        <f>IFERROR(__xludf.DUMMYFUNCTION("""COMPUTED_VALUE"""),"#VALUE!")</f>
        <v>#VALUE!</v>
      </c>
      <c r="P5454" s="1" t="str">
        <f>IFERROR(__xludf.DUMMYFUNCTION("""COMPUTED_VALUE"""),"#N/A")</f>
        <v>#N/A</v>
      </c>
      <c r="Q5454" s="1"/>
      <c r="R5454" s="1"/>
      <c r="S5454" s="1"/>
      <c r="T5454" s="1"/>
      <c r="U5454" s="2">
        <f>IFERROR(__xludf.DUMMYFUNCTION("""COMPUTED_VALUE"""),0.0)</f>
        <v>0</v>
      </c>
      <c r="V5454" s="1" t="str">
        <f>IFERROR(__xludf.DUMMYFUNCTION("""COMPUTED_VALUE"""),"#N/A")</f>
        <v>#N/A</v>
      </c>
      <c r="W5454" s="1" t="str">
        <f>IFERROR(__xludf.DUMMYFUNCTION("""COMPUTED_VALUE"""),"#N/A")</f>
        <v>#N/A</v>
      </c>
    </row>
    <row r="5455">
      <c r="O5455" s="1" t="str">
        <f>IFERROR(__xludf.DUMMYFUNCTION("""COMPUTED_VALUE"""),"#VALUE!")</f>
        <v>#VALUE!</v>
      </c>
      <c r="P5455" s="1" t="str">
        <f>IFERROR(__xludf.DUMMYFUNCTION("""COMPUTED_VALUE"""),"#N/A")</f>
        <v>#N/A</v>
      </c>
      <c r="Q5455" s="1"/>
      <c r="R5455" s="1"/>
      <c r="S5455" s="1"/>
      <c r="T5455" s="1"/>
      <c r="U5455" s="2">
        <f>IFERROR(__xludf.DUMMYFUNCTION("""COMPUTED_VALUE"""),0.0)</f>
        <v>0</v>
      </c>
      <c r="V5455" s="1" t="str">
        <f>IFERROR(__xludf.DUMMYFUNCTION("""COMPUTED_VALUE"""),"#N/A")</f>
        <v>#N/A</v>
      </c>
      <c r="W5455" s="1" t="str">
        <f>IFERROR(__xludf.DUMMYFUNCTION("""COMPUTED_VALUE"""),"#N/A")</f>
        <v>#N/A</v>
      </c>
    </row>
    <row r="5456">
      <c r="O5456" s="1" t="str">
        <f>IFERROR(__xludf.DUMMYFUNCTION("""COMPUTED_VALUE"""),"#VALUE!")</f>
        <v>#VALUE!</v>
      </c>
      <c r="P5456" s="1" t="str">
        <f>IFERROR(__xludf.DUMMYFUNCTION("""COMPUTED_VALUE"""),"#N/A")</f>
        <v>#N/A</v>
      </c>
      <c r="Q5456" s="1"/>
      <c r="R5456" s="1"/>
      <c r="S5456" s="1"/>
      <c r="T5456" s="1"/>
      <c r="U5456" s="2">
        <f>IFERROR(__xludf.DUMMYFUNCTION("""COMPUTED_VALUE"""),0.0)</f>
        <v>0</v>
      </c>
      <c r="V5456" s="1" t="str">
        <f>IFERROR(__xludf.DUMMYFUNCTION("""COMPUTED_VALUE"""),"#N/A")</f>
        <v>#N/A</v>
      </c>
      <c r="W5456" s="1" t="str">
        <f>IFERROR(__xludf.DUMMYFUNCTION("""COMPUTED_VALUE"""),"#N/A")</f>
        <v>#N/A</v>
      </c>
    </row>
    <row r="5457">
      <c r="O5457" s="1" t="str">
        <f>IFERROR(__xludf.DUMMYFUNCTION("""COMPUTED_VALUE"""),"#VALUE!")</f>
        <v>#VALUE!</v>
      </c>
      <c r="P5457" s="1" t="str">
        <f>IFERROR(__xludf.DUMMYFUNCTION("""COMPUTED_VALUE"""),"#N/A")</f>
        <v>#N/A</v>
      </c>
      <c r="Q5457" s="1"/>
      <c r="R5457" s="1"/>
      <c r="S5457" s="1"/>
      <c r="T5457" s="1"/>
      <c r="U5457" s="2">
        <f>IFERROR(__xludf.DUMMYFUNCTION("""COMPUTED_VALUE"""),0.0)</f>
        <v>0</v>
      </c>
      <c r="V5457" s="1" t="str">
        <f>IFERROR(__xludf.DUMMYFUNCTION("""COMPUTED_VALUE"""),"#N/A")</f>
        <v>#N/A</v>
      </c>
      <c r="W5457" s="1" t="str">
        <f>IFERROR(__xludf.DUMMYFUNCTION("""COMPUTED_VALUE"""),"#N/A")</f>
        <v>#N/A</v>
      </c>
    </row>
    <row r="5458">
      <c r="O5458" s="1" t="str">
        <f>IFERROR(__xludf.DUMMYFUNCTION("""COMPUTED_VALUE"""),"#VALUE!")</f>
        <v>#VALUE!</v>
      </c>
      <c r="P5458" s="1" t="str">
        <f>IFERROR(__xludf.DUMMYFUNCTION("""COMPUTED_VALUE"""),"#N/A")</f>
        <v>#N/A</v>
      </c>
      <c r="Q5458" s="1"/>
      <c r="R5458" s="1"/>
      <c r="S5458" s="1"/>
      <c r="T5458" s="1"/>
      <c r="U5458" s="2">
        <f>IFERROR(__xludf.DUMMYFUNCTION("""COMPUTED_VALUE"""),0.0)</f>
        <v>0</v>
      </c>
      <c r="V5458" s="1" t="str">
        <f>IFERROR(__xludf.DUMMYFUNCTION("""COMPUTED_VALUE"""),"#N/A")</f>
        <v>#N/A</v>
      </c>
      <c r="W5458" s="1" t="str">
        <f>IFERROR(__xludf.DUMMYFUNCTION("""COMPUTED_VALUE"""),"#N/A")</f>
        <v>#N/A</v>
      </c>
    </row>
    <row r="5459">
      <c r="O5459" s="1" t="str">
        <f>IFERROR(__xludf.DUMMYFUNCTION("""COMPUTED_VALUE"""),"#VALUE!")</f>
        <v>#VALUE!</v>
      </c>
      <c r="P5459" s="1" t="str">
        <f>IFERROR(__xludf.DUMMYFUNCTION("""COMPUTED_VALUE"""),"#N/A")</f>
        <v>#N/A</v>
      </c>
      <c r="Q5459" s="1"/>
      <c r="R5459" s="1"/>
      <c r="S5459" s="1"/>
      <c r="T5459" s="1"/>
      <c r="U5459" s="2">
        <f>IFERROR(__xludf.DUMMYFUNCTION("""COMPUTED_VALUE"""),0.0)</f>
        <v>0</v>
      </c>
      <c r="V5459" s="1" t="str">
        <f>IFERROR(__xludf.DUMMYFUNCTION("""COMPUTED_VALUE"""),"#N/A")</f>
        <v>#N/A</v>
      </c>
      <c r="W5459" s="1" t="str">
        <f>IFERROR(__xludf.DUMMYFUNCTION("""COMPUTED_VALUE"""),"#N/A")</f>
        <v>#N/A</v>
      </c>
    </row>
    <row r="5460">
      <c r="O5460" s="1" t="str">
        <f>IFERROR(__xludf.DUMMYFUNCTION("""COMPUTED_VALUE"""),"#VALUE!")</f>
        <v>#VALUE!</v>
      </c>
      <c r="P5460" s="1" t="str">
        <f>IFERROR(__xludf.DUMMYFUNCTION("""COMPUTED_VALUE"""),"#N/A")</f>
        <v>#N/A</v>
      </c>
      <c r="Q5460" s="1"/>
      <c r="R5460" s="1"/>
      <c r="S5460" s="1"/>
      <c r="T5460" s="1"/>
      <c r="U5460" s="2">
        <f>IFERROR(__xludf.DUMMYFUNCTION("""COMPUTED_VALUE"""),0.0)</f>
        <v>0</v>
      </c>
      <c r="V5460" s="1" t="str">
        <f>IFERROR(__xludf.DUMMYFUNCTION("""COMPUTED_VALUE"""),"#N/A")</f>
        <v>#N/A</v>
      </c>
      <c r="W5460" s="1" t="str">
        <f>IFERROR(__xludf.DUMMYFUNCTION("""COMPUTED_VALUE"""),"#N/A")</f>
        <v>#N/A</v>
      </c>
    </row>
    <row r="5461">
      <c r="O5461" s="1" t="str">
        <f>IFERROR(__xludf.DUMMYFUNCTION("""COMPUTED_VALUE"""),"#VALUE!")</f>
        <v>#VALUE!</v>
      </c>
      <c r="P5461" s="1" t="str">
        <f>IFERROR(__xludf.DUMMYFUNCTION("""COMPUTED_VALUE"""),"#N/A")</f>
        <v>#N/A</v>
      </c>
      <c r="Q5461" s="1"/>
      <c r="R5461" s="1"/>
      <c r="S5461" s="1"/>
      <c r="T5461" s="1"/>
      <c r="U5461" s="2">
        <f>IFERROR(__xludf.DUMMYFUNCTION("""COMPUTED_VALUE"""),0.0)</f>
        <v>0</v>
      </c>
      <c r="V5461" s="1" t="str">
        <f>IFERROR(__xludf.DUMMYFUNCTION("""COMPUTED_VALUE"""),"#N/A")</f>
        <v>#N/A</v>
      </c>
      <c r="W5461" s="1" t="str">
        <f>IFERROR(__xludf.DUMMYFUNCTION("""COMPUTED_VALUE"""),"#N/A")</f>
        <v>#N/A</v>
      </c>
    </row>
    <row r="5462">
      <c r="O5462" s="1" t="str">
        <f>IFERROR(__xludf.DUMMYFUNCTION("""COMPUTED_VALUE"""),"#VALUE!")</f>
        <v>#VALUE!</v>
      </c>
      <c r="P5462" s="1" t="str">
        <f>IFERROR(__xludf.DUMMYFUNCTION("""COMPUTED_VALUE"""),"#N/A")</f>
        <v>#N/A</v>
      </c>
      <c r="Q5462" s="1"/>
      <c r="R5462" s="1"/>
      <c r="S5462" s="1"/>
      <c r="T5462" s="1"/>
      <c r="U5462" s="2">
        <f>IFERROR(__xludf.DUMMYFUNCTION("""COMPUTED_VALUE"""),0.0)</f>
        <v>0</v>
      </c>
      <c r="V5462" s="1" t="str">
        <f>IFERROR(__xludf.DUMMYFUNCTION("""COMPUTED_VALUE"""),"#N/A")</f>
        <v>#N/A</v>
      </c>
      <c r="W5462" s="1" t="str">
        <f>IFERROR(__xludf.DUMMYFUNCTION("""COMPUTED_VALUE"""),"#N/A")</f>
        <v>#N/A</v>
      </c>
    </row>
    <row r="5463">
      <c r="O5463" s="1" t="str">
        <f>IFERROR(__xludf.DUMMYFUNCTION("""COMPUTED_VALUE"""),"#VALUE!")</f>
        <v>#VALUE!</v>
      </c>
      <c r="P5463" s="1" t="str">
        <f>IFERROR(__xludf.DUMMYFUNCTION("""COMPUTED_VALUE"""),"#N/A")</f>
        <v>#N/A</v>
      </c>
      <c r="Q5463" s="1"/>
      <c r="R5463" s="1"/>
      <c r="S5463" s="1"/>
      <c r="T5463" s="1"/>
      <c r="U5463" s="2">
        <f>IFERROR(__xludf.DUMMYFUNCTION("""COMPUTED_VALUE"""),0.0)</f>
        <v>0</v>
      </c>
      <c r="V5463" s="1" t="str">
        <f>IFERROR(__xludf.DUMMYFUNCTION("""COMPUTED_VALUE"""),"#N/A")</f>
        <v>#N/A</v>
      </c>
      <c r="W5463" s="1" t="str">
        <f>IFERROR(__xludf.DUMMYFUNCTION("""COMPUTED_VALUE"""),"#N/A")</f>
        <v>#N/A</v>
      </c>
    </row>
    <row r="5464">
      <c r="O5464" s="1" t="str">
        <f>IFERROR(__xludf.DUMMYFUNCTION("""COMPUTED_VALUE"""),"#VALUE!")</f>
        <v>#VALUE!</v>
      </c>
      <c r="P5464" s="1" t="str">
        <f>IFERROR(__xludf.DUMMYFUNCTION("""COMPUTED_VALUE"""),"#N/A")</f>
        <v>#N/A</v>
      </c>
      <c r="Q5464" s="1"/>
      <c r="R5464" s="1"/>
      <c r="S5464" s="1"/>
      <c r="T5464" s="1"/>
      <c r="U5464" s="2">
        <f>IFERROR(__xludf.DUMMYFUNCTION("""COMPUTED_VALUE"""),0.0)</f>
        <v>0</v>
      </c>
      <c r="V5464" s="1" t="str">
        <f>IFERROR(__xludf.DUMMYFUNCTION("""COMPUTED_VALUE"""),"#N/A")</f>
        <v>#N/A</v>
      </c>
      <c r="W5464" s="1" t="str">
        <f>IFERROR(__xludf.DUMMYFUNCTION("""COMPUTED_VALUE"""),"#N/A")</f>
        <v>#N/A</v>
      </c>
    </row>
    <row r="5465">
      <c r="O5465" s="1" t="str">
        <f>IFERROR(__xludf.DUMMYFUNCTION("""COMPUTED_VALUE"""),"#VALUE!")</f>
        <v>#VALUE!</v>
      </c>
      <c r="P5465" s="1" t="str">
        <f>IFERROR(__xludf.DUMMYFUNCTION("""COMPUTED_VALUE"""),"#N/A")</f>
        <v>#N/A</v>
      </c>
      <c r="Q5465" s="1"/>
      <c r="R5465" s="1"/>
      <c r="S5465" s="1"/>
      <c r="T5465" s="1"/>
      <c r="U5465" s="2">
        <f>IFERROR(__xludf.DUMMYFUNCTION("""COMPUTED_VALUE"""),0.0)</f>
        <v>0</v>
      </c>
      <c r="V5465" s="1" t="str">
        <f>IFERROR(__xludf.DUMMYFUNCTION("""COMPUTED_VALUE"""),"#N/A")</f>
        <v>#N/A</v>
      </c>
      <c r="W5465" s="1" t="str">
        <f>IFERROR(__xludf.DUMMYFUNCTION("""COMPUTED_VALUE"""),"#N/A")</f>
        <v>#N/A</v>
      </c>
    </row>
    <row r="5466">
      <c r="O5466" s="1" t="str">
        <f>IFERROR(__xludf.DUMMYFUNCTION("""COMPUTED_VALUE"""),"#VALUE!")</f>
        <v>#VALUE!</v>
      </c>
      <c r="P5466" s="1" t="str">
        <f>IFERROR(__xludf.DUMMYFUNCTION("""COMPUTED_VALUE"""),"#N/A")</f>
        <v>#N/A</v>
      </c>
      <c r="Q5466" s="1"/>
      <c r="R5466" s="1"/>
      <c r="S5466" s="1"/>
      <c r="T5466" s="1"/>
      <c r="U5466" s="2">
        <f>IFERROR(__xludf.DUMMYFUNCTION("""COMPUTED_VALUE"""),0.0)</f>
        <v>0</v>
      </c>
      <c r="V5466" s="1" t="str">
        <f>IFERROR(__xludf.DUMMYFUNCTION("""COMPUTED_VALUE"""),"#N/A")</f>
        <v>#N/A</v>
      </c>
      <c r="W5466" s="1" t="str">
        <f>IFERROR(__xludf.DUMMYFUNCTION("""COMPUTED_VALUE"""),"#N/A")</f>
        <v>#N/A</v>
      </c>
    </row>
    <row r="5467">
      <c r="O5467" s="1" t="str">
        <f>IFERROR(__xludf.DUMMYFUNCTION("""COMPUTED_VALUE"""),"#VALUE!")</f>
        <v>#VALUE!</v>
      </c>
      <c r="P5467" s="1" t="str">
        <f>IFERROR(__xludf.DUMMYFUNCTION("""COMPUTED_VALUE"""),"#N/A")</f>
        <v>#N/A</v>
      </c>
      <c r="Q5467" s="1"/>
      <c r="R5467" s="1"/>
      <c r="S5467" s="1"/>
      <c r="T5467" s="1"/>
      <c r="U5467" s="2">
        <f>IFERROR(__xludf.DUMMYFUNCTION("""COMPUTED_VALUE"""),0.0)</f>
        <v>0</v>
      </c>
      <c r="V5467" s="1" t="str">
        <f>IFERROR(__xludf.DUMMYFUNCTION("""COMPUTED_VALUE"""),"#N/A")</f>
        <v>#N/A</v>
      </c>
      <c r="W5467" s="1" t="str">
        <f>IFERROR(__xludf.DUMMYFUNCTION("""COMPUTED_VALUE"""),"#N/A")</f>
        <v>#N/A</v>
      </c>
    </row>
    <row r="5468">
      <c r="O5468" s="1" t="str">
        <f>IFERROR(__xludf.DUMMYFUNCTION("""COMPUTED_VALUE"""),"#VALUE!")</f>
        <v>#VALUE!</v>
      </c>
      <c r="P5468" s="1" t="str">
        <f>IFERROR(__xludf.DUMMYFUNCTION("""COMPUTED_VALUE"""),"#N/A")</f>
        <v>#N/A</v>
      </c>
      <c r="Q5468" s="1"/>
      <c r="R5468" s="1"/>
      <c r="S5468" s="1"/>
      <c r="T5468" s="1"/>
      <c r="U5468" s="2">
        <f>IFERROR(__xludf.DUMMYFUNCTION("""COMPUTED_VALUE"""),0.0)</f>
        <v>0</v>
      </c>
      <c r="V5468" s="1" t="str">
        <f>IFERROR(__xludf.DUMMYFUNCTION("""COMPUTED_VALUE"""),"#N/A")</f>
        <v>#N/A</v>
      </c>
      <c r="W5468" s="1" t="str">
        <f>IFERROR(__xludf.DUMMYFUNCTION("""COMPUTED_VALUE"""),"#N/A")</f>
        <v>#N/A</v>
      </c>
    </row>
    <row r="5469">
      <c r="O5469" s="1" t="str">
        <f>IFERROR(__xludf.DUMMYFUNCTION("""COMPUTED_VALUE"""),"#VALUE!")</f>
        <v>#VALUE!</v>
      </c>
      <c r="P5469" s="1" t="str">
        <f>IFERROR(__xludf.DUMMYFUNCTION("""COMPUTED_VALUE"""),"#N/A")</f>
        <v>#N/A</v>
      </c>
      <c r="Q5469" s="1"/>
      <c r="R5469" s="1"/>
      <c r="S5469" s="1"/>
      <c r="T5469" s="1"/>
      <c r="U5469" s="2">
        <f>IFERROR(__xludf.DUMMYFUNCTION("""COMPUTED_VALUE"""),0.0)</f>
        <v>0</v>
      </c>
      <c r="V5469" s="1" t="str">
        <f>IFERROR(__xludf.DUMMYFUNCTION("""COMPUTED_VALUE"""),"#N/A")</f>
        <v>#N/A</v>
      </c>
      <c r="W5469" s="1" t="str">
        <f>IFERROR(__xludf.DUMMYFUNCTION("""COMPUTED_VALUE"""),"#N/A")</f>
        <v>#N/A</v>
      </c>
    </row>
    <row r="5470">
      <c r="O5470" s="1" t="str">
        <f>IFERROR(__xludf.DUMMYFUNCTION("""COMPUTED_VALUE"""),"#VALUE!")</f>
        <v>#VALUE!</v>
      </c>
      <c r="P5470" s="1" t="str">
        <f>IFERROR(__xludf.DUMMYFUNCTION("""COMPUTED_VALUE"""),"#N/A")</f>
        <v>#N/A</v>
      </c>
      <c r="Q5470" s="1"/>
      <c r="R5470" s="1"/>
      <c r="S5470" s="1"/>
      <c r="T5470" s="1"/>
      <c r="U5470" s="2">
        <f>IFERROR(__xludf.DUMMYFUNCTION("""COMPUTED_VALUE"""),0.0)</f>
        <v>0</v>
      </c>
      <c r="V5470" s="1" t="str">
        <f>IFERROR(__xludf.DUMMYFUNCTION("""COMPUTED_VALUE"""),"#N/A")</f>
        <v>#N/A</v>
      </c>
      <c r="W5470" s="1" t="str">
        <f>IFERROR(__xludf.DUMMYFUNCTION("""COMPUTED_VALUE"""),"#N/A")</f>
        <v>#N/A</v>
      </c>
    </row>
    <row r="5471">
      <c r="O5471" s="1" t="str">
        <f>IFERROR(__xludf.DUMMYFUNCTION("""COMPUTED_VALUE"""),"#VALUE!")</f>
        <v>#VALUE!</v>
      </c>
      <c r="P5471" s="1" t="str">
        <f>IFERROR(__xludf.DUMMYFUNCTION("""COMPUTED_VALUE"""),"#N/A")</f>
        <v>#N/A</v>
      </c>
      <c r="Q5471" s="1"/>
      <c r="R5471" s="1"/>
      <c r="S5471" s="1"/>
      <c r="T5471" s="1"/>
      <c r="U5471" s="2">
        <f>IFERROR(__xludf.DUMMYFUNCTION("""COMPUTED_VALUE"""),0.0)</f>
        <v>0</v>
      </c>
      <c r="V5471" s="1" t="str">
        <f>IFERROR(__xludf.DUMMYFUNCTION("""COMPUTED_VALUE"""),"#N/A")</f>
        <v>#N/A</v>
      </c>
      <c r="W5471" s="1" t="str">
        <f>IFERROR(__xludf.DUMMYFUNCTION("""COMPUTED_VALUE"""),"#N/A")</f>
        <v>#N/A</v>
      </c>
    </row>
    <row r="5472">
      <c r="O5472" s="1" t="str">
        <f>IFERROR(__xludf.DUMMYFUNCTION("""COMPUTED_VALUE"""),"#VALUE!")</f>
        <v>#VALUE!</v>
      </c>
      <c r="P5472" s="1" t="str">
        <f>IFERROR(__xludf.DUMMYFUNCTION("""COMPUTED_VALUE"""),"#N/A")</f>
        <v>#N/A</v>
      </c>
      <c r="Q5472" s="1"/>
      <c r="R5472" s="1"/>
      <c r="S5472" s="1"/>
      <c r="T5472" s="1"/>
      <c r="U5472" s="2">
        <f>IFERROR(__xludf.DUMMYFUNCTION("""COMPUTED_VALUE"""),0.0)</f>
        <v>0</v>
      </c>
      <c r="V5472" s="1" t="str">
        <f>IFERROR(__xludf.DUMMYFUNCTION("""COMPUTED_VALUE"""),"#N/A")</f>
        <v>#N/A</v>
      </c>
      <c r="W5472" s="1" t="str">
        <f>IFERROR(__xludf.DUMMYFUNCTION("""COMPUTED_VALUE"""),"#N/A")</f>
        <v>#N/A</v>
      </c>
    </row>
    <row r="5473">
      <c r="O5473" s="1" t="str">
        <f>IFERROR(__xludf.DUMMYFUNCTION("""COMPUTED_VALUE"""),"#VALUE!")</f>
        <v>#VALUE!</v>
      </c>
      <c r="P5473" s="1" t="str">
        <f>IFERROR(__xludf.DUMMYFUNCTION("""COMPUTED_VALUE"""),"#N/A")</f>
        <v>#N/A</v>
      </c>
      <c r="Q5473" s="1"/>
      <c r="R5473" s="1"/>
      <c r="S5473" s="1"/>
      <c r="T5473" s="1"/>
      <c r="U5473" s="2">
        <f>IFERROR(__xludf.DUMMYFUNCTION("""COMPUTED_VALUE"""),0.0)</f>
        <v>0</v>
      </c>
      <c r="V5473" s="1" t="str">
        <f>IFERROR(__xludf.DUMMYFUNCTION("""COMPUTED_VALUE"""),"#N/A")</f>
        <v>#N/A</v>
      </c>
      <c r="W5473" s="1" t="str">
        <f>IFERROR(__xludf.DUMMYFUNCTION("""COMPUTED_VALUE"""),"#N/A")</f>
        <v>#N/A</v>
      </c>
    </row>
    <row r="5474">
      <c r="O5474" s="1" t="str">
        <f>IFERROR(__xludf.DUMMYFUNCTION("""COMPUTED_VALUE"""),"#VALUE!")</f>
        <v>#VALUE!</v>
      </c>
      <c r="P5474" s="1" t="str">
        <f>IFERROR(__xludf.DUMMYFUNCTION("""COMPUTED_VALUE"""),"#N/A")</f>
        <v>#N/A</v>
      </c>
      <c r="Q5474" s="1"/>
      <c r="R5474" s="1"/>
      <c r="S5474" s="1"/>
      <c r="T5474" s="1"/>
      <c r="U5474" s="2">
        <f>IFERROR(__xludf.DUMMYFUNCTION("""COMPUTED_VALUE"""),0.0)</f>
        <v>0</v>
      </c>
      <c r="V5474" s="1" t="str">
        <f>IFERROR(__xludf.DUMMYFUNCTION("""COMPUTED_VALUE"""),"#N/A")</f>
        <v>#N/A</v>
      </c>
      <c r="W5474" s="1" t="str">
        <f>IFERROR(__xludf.DUMMYFUNCTION("""COMPUTED_VALUE"""),"#N/A")</f>
        <v>#N/A</v>
      </c>
    </row>
    <row r="5475">
      <c r="O5475" s="1" t="str">
        <f>IFERROR(__xludf.DUMMYFUNCTION("""COMPUTED_VALUE"""),"#VALUE!")</f>
        <v>#VALUE!</v>
      </c>
      <c r="P5475" s="1" t="str">
        <f>IFERROR(__xludf.DUMMYFUNCTION("""COMPUTED_VALUE"""),"#N/A")</f>
        <v>#N/A</v>
      </c>
      <c r="Q5475" s="1"/>
      <c r="R5475" s="1"/>
      <c r="S5475" s="1"/>
      <c r="T5475" s="1"/>
      <c r="U5475" s="2">
        <f>IFERROR(__xludf.DUMMYFUNCTION("""COMPUTED_VALUE"""),0.0)</f>
        <v>0</v>
      </c>
      <c r="V5475" s="1" t="str">
        <f>IFERROR(__xludf.DUMMYFUNCTION("""COMPUTED_VALUE"""),"#N/A")</f>
        <v>#N/A</v>
      </c>
      <c r="W5475" s="1" t="str">
        <f>IFERROR(__xludf.DUMMYFUNCTION("""COMPUTED_VALUE"""),"#N/A")</f>
        <v>#N/A</v>
      </c>
    </row>
    <row r="5476">
      <c r="O5476" s="1" t="str">
        <f>IFERROR(__xludf.DUMMYFUNCTION("""COMPUTED_VALUE"""),"#VALUE!")</f>
        <v>#VALUE!</v>
      </c>
      <c r="P5476" s="1" t="str">
        <f>IFERROR(__xludf.DUMMYFUNCTION("""COMPUTED_VALUE"""),"#N/A")</f>
        <v>#N/A</v>
      </c>
      <c r="Q5476" s="1"/>
      <c r="R5476" s="1"/>
      <c r="S5476" s="1"/>
      <c r="T5476" s="1"/>
      <c r="U5476" s="2">
        <f>IFERROR(__xludf.DUMMYFUNCTION("""COMPUTED_VALUE"""),0.0)</f>
        <v>0</v>
      </c>
      <c r="V5476" s="1" t="str">
        <f>IFERROR(__xludf.DUMMYFUNCTION("""COMPUTED_VALUE"""),"#N/A")</f>
        <v>#N/A</v>
      </c>
      <c r="W5476" s="1" t="str">
        <f>IFERROR(__xludf.DUMMYFUNCTION("""COMPUTED_VALUE"""),"#N/A")</f>
        <v>#N/A</v>
      </c>
    </row>
    <row r="5477">
      <c r="O5477" s="1" t="str">
        <f>IFERROR(__xludf.DUMMYFUNCTION("""COMPUTED_VALUE"""),"#VALUE!")</f>
        <v>#VALUE!</v>
      </c>
      <c r="P5477" s="1" t="str">
        <f>IFERROR(__xludf.DUMMYFUNCTION("""COMPUTED_VALUE"""),"#N/A")</f>
        <v>#N/A</v>
      </c>
      <c r="Q5477" s="1"/>
      <c r="R5477" s="1"/>
      <c r="S5477" s="1"/>
      <c r="T5477" s="1"/>
      <c r="U5477" s="2">
        <f>IFERROR(__xludf.DUMMYFUNCTION("""COMPUTED_VALUE"""),0.0)</f>
        <v>0</v>
      </c>
      <c r="V5477" s="1" t="str">
        <f>IFERROR(__xludf.DUMMYFUNCTION("""COMPUTED_VALUE"""),"#N/A")</f>
        <v>#N/A</v>
      </c>
      <c r="W5477" s="1" t="str">
        <f>IFERROR(__xludf.DUMMYFUNCTION("""COMPUTED_VALUE"""),"#N/A")</f>
        <v>#N/A</v>
      </c>
    </row>
    <row r="5478">
      <c r="O5478" s="1" t="str">
        <f>IFERROR(__xludf.DUMMYFUNCTION("""COMPUTED_VALUE"""),"#VALUE!")</f>
        <v>#VALUE!</v>
      </c>
      <c r="P5478" s="1" t="str">
        <f>IFERROR(__xludf.DUMMYFUNCTION("""COMPUTED_VALUE"""),"#N/A")</f>
        <v>#N/A</v>
      </c>
      <c r="Q5478" s="1"/>
      <c r="R5478" s="1"/>
      <c r="S5478" s="1"/>
      <c r="T5478" s="1"/>
      <c r="U5478" s="2">
        <f>IFERROR(__xludf.DUMMYFUNCTION("""COMPUTED_VALUE"""),0.0)</f>
        <v>0</v>
      </c>
      <c r="V5478" s="1" t="str">
        <f>IFERROR(__xludf.DUMMYFUNCTION("""COMPUTED_VALUE"""),"#N/A")</f>
        <v>#N/A</v>
      </c>
      <c r="W5478" s="1" t="str">
        <f>IFERROR(__xludf.DUMMYFUNCTION("""COMPUTED_VALUE"""),"#N/A")</f>
        <v>#N/A</v>
      </c>
    </row>
    <row r="5479">
      <c r="O5479" s="1" t="str">
        <f>IFERROR(__xludf.DUMMYFUNCTION("""COMPUTED_VALUE"""),"#VALUE!")</f>
        <v>#VALUE!</v>
      </c>
      <c r="P5479" s="1" t="str">
        <f>IFERROR(__xludf.DUMMYFUNCTION("""COMPUTED_VALUE"""),"#N/A")</f>
        <v>#N/A</v>
      </c>
      <c r="Q5479" s="1"/>
      <c r="R5479" s="1"/>
      <c r="S5479" s="1"/>
      <c r="T5479" s="1"/>
      <c r="U5479" s="2">
        <f>IFERROR(__xludf.DUMMYFUNCTION("""COMPUTED_VALUE"""),0.0)</f>
        <v>0</v>
      </c>
      <c r="V5479" s="1" t="str">
        <f>IFERROR(__xludf.DUMMYFUNCTION("""COMPUTED_VALUE"""),"#N/A")</f>
        <v>#N/A</v>
      </c>
      <c r="W5479" s="1" t="str">
        <f>IFERROR(__xludf.DUMMYFUNCTION("""COMPUTED_VALUE"""),"#N/A")</f>
        <v>#N/A</v>
      </c>
    </row>
    <row r="5480">
      <c r="O5480" s="1" t="str">
        <f>IFERROR(__xludf.DUMMYFUNCTION("""COMPUTED_VALUE"""),"#VALUE!")</f>
        <v>#VALUE!</v>
      </c>
      <c r="P5480" s="1" t="str">
        <f>IFERROR(__xludf.DUMMYFUNCTION("""COMPUTED_VALUE"""),"#N/A")</f>
        <v>#N/A</v>
      </c>
      <c r="Q5480" s="1"/>
      <c r="R5480" s="1"/>
      <c r="S5480" s="1"/>
      <c r="T5480" s="1"/>
      <c r="U5480" s="2">
        <f>IFERROR(__xludf.DUMMYFUNCTION("""COMPUTED_VALUE"""),0.0)</f>
        <v>0</v>
      </c>
      <c r="V5480" s="1" t="str">
        <f>IFERROR(__xludf.DUMMYFUNCTION("""COMPUTED_VALUE"""),"#N/A")</f>
        <v>#N/A</v>
      </c>
      <c r="W5480" s="1" t="str">
        <f>IFERROR(__xludf.DUMMYFUNCTION("""COMPUTED_VALUE"""),"#N/A")</f>
        <v>#N/A</v>
      </c>
    </row>
    <row r="5481">
      <c r="O5481" s="1" t="str">
        <f>IFERROR(__xludf.DUMMYFUNCTION("""COMPUTED_VALUE"""),"#VALUE!")</f>
        <v>#VALUE!</v>
      </c>
      <c r="P5481" s="1" t="str">
        <f>IFERROR(__xludf.DUMMYFUNCTION("""COMPUTED_VALUE"""),"#N/A")</f>
        <v>#N/A</v>
      </c>
      <c r="Q5481" s="1"/>
      <c r="R5481" s="1"/>
      <c r="S5481" s="1"/>
      <c r="T5481" s="1"/>
      <c r="U5481" s="2">
        <f>IFERROR(__xludf.DUMMYFUNCTION("""COMPUTED_VALUE"""),0.0)</f>
        <v>0</v>
      </c>
      <c r="V5481" s="1" t="str">
        <f>IFERROR(__xludf.DUMMYFUNCTION("""COMPUTED_VALUE"""),"#N/A")</f>
        <v>#N/A</v>
      </c>
      <c r="W5481" s="1" t="str">
        <f>IFERROR(__xludf.DUMMYFUNCTION("""COMPUTED_VALUE"""),"#N/A")</f>
        <v>#N/A</v>
      </c>
    </row>
    <row r="5482">
      <c r="O5482" s="1" t="str">
        <f>IFERROR(__xludf.DUMMYFUNCTION("""COMPUTED_VALUE"""),"#VALUE!")</f>
        <v>#VALUE!</v>
      </c>
      <c r="P5482" s="1" t="str">
        <f>IFERROR(__xludf.DUMMYFUNCTION("""COMPUTED_VALUE"""),"#N/A")</f>
        <v>#N/A</v>
      </c>
      <c r="Q5482" s="1"/>
      <c r="R5482" s="1"/>
      <c r="S5482" s="1"/>
      <c r="T5482" s="1"/>
      <c r="U5482" s="2">
        <f>IFERROR(__xludf.DUMMYFUNCTION("""COMPUTED_VALUE"""),0.0)</f>
        <v>0</v>
      </c>
      <c r="V5482" s="1" t="str">
        <f>IFERROR(__xludf.DUMMYFUNCTION("""COMPUTED_VALUE"""),"#N/A")</f>
        <v>#N/A</v>
      </c>
      <c r="W5482" s="1" t="str">
        <f>IFERROR(__xludf.DUMMYFUNCTION("""COMPUTED_VALUE"""),"#N/A")</f>
        <v>#N/A</v>
      </c>
    </row>
    <row r="5483">
      <c r="O5483" s="1" t="str">
        <f>IFERROR(__xludf.DUMMYFUNCTION("""COMPUTED_VALUE"""),"#VALUE!")</f>
        <v>#VALUE!</v>
      </c>
      <c r="P5483" s="1" t="str">
        <f>IFERROR(__xludf.DUMMYFUNCTION("""COMPUTED_VALUE"""),"#N/A")</f>
        <v>#N/A</v>
      </c>
      <c r="Q5483" s="1"/>
      <c r="R5483" s="1"/>
      <c r="S5483" s="1"/>
      <c r="T5483" s="1"/>
      <c r="U5483" s="2">
        <f>IFERROR(__xludf.DUMMYFUNCTION("""COMPUTED_VALUE"""),0.0)</f>
        <v>0</v>
      </c>
      <c r="V5483" s="1" t="str">
        <f>IFERROR(__xludf.DUMMYFUNCTION("""COMPUTED_VALUE"""),"#N/A")</f>
        <v>#N/A</v>
      </c>
      <c r="W5483" s="1" t="str">
        <f>IFERROR(__xludf.DUMMYFUNCTION("""COMPUTED_VALUE"""),"#N/A")</f>
        <v>#N/A</v>
      </c>
    </row>
    <row r="5484">
      <c r="O5484" s="1" t="str">
        <f>IFERROR(__xludf.DUMMYFUNCTION("""COMPUTED_VALUE"""),"#VALUE!")</f>
        <v>#VALUE!</v>
      </c>
      <c r="P5484" s="1" t="str">
        <f>IFERROR(__xludf.DUMMYFUNCTION("""COMPUTED_VALUE"""),"#N/A")</f>
        <v>#N/A</v>
      </c>
      <c r="Q5484" s="1"/>
      <c r="R5484" s="1"/>
      <c r="S5484" s="1"/>
      <c r="T5484" s="1"/>
      <c r="U5484" s="2">
        <f>IFERROR(__xludf.DUMMYFUNCTION("""COMPUTED_VALUE"""),0.0)</f>
        <v>0</v>
      </c>
      <c r="V5484" s="1" t="str">
        <f>IFERROR(__xludf.DUMMYFUNCTION("""COMPUTED_VALUE"""),"#N/A")</f>
        <v>#N/A</v>
      </c>
      <c r="W5484" s="1" t="str">
        <f>IFERROR(__xludf.DUMMYFUNCTION("""COMPUTED_VALUE"""),"#N/A")</f>
        <v>#N/A</v>
      </c>
    </row>
    <row r="5485">
      <c r="O5485" s="1" t="str">
        <f>IFERROR(__xludf.DUMMYFUNCTION("""COMPUTED_VALUE"""),"#VALUE!")</f>
        <v>#VALUE!</v>
      </c>
      <c r="P5485" s="1" t="str">
        <f>IFERROR(__xludf.DUMMYFUNCTION("""COMPUTED_VALUE"""),"#N/A")</f>
        <v>#N/A</v>
      </c>
      <c r="Q5485" s="1"/>
      <c r="R5485" s="1"/>
      <c r="S5485" s="1"/>
      <c r="T5485" s="1"/>
      <c r="U5485" s="2">
        <f>IFERROR(__xludf.DUMMYFUNCTION("""COMPUTED_VALUE"""),0.0)</f>
        <v>0</v>
      </c>
      <c r="V5485" s="1" t="str">
        <f>IFERROR(__xludf.DUMMYFUNCTION("""COMPUTED_VALUE"""),"#N/A")</f>
        <v>#N/A</v>
      </c>
      <c r="W5485" s="1" t="str">
        <f>IFERROR(__xludf.DUMMYFUNCTION("""COMPUTED_VALUE"""),"#N/A")</f>
        <v>#N/A</v>
      </c>
    </row>
    <row r="5486">
      <c r="O5486" s="1" t="str">
        <f>IFERROR(__xludf.DUMMYFUNCTION("""COMPUTED_VALUE"""),"#VALUE!")</f>
        <v>#VALUE!</v>
      </c>
      <c r="P5486" s="1" t="str">
        <f>IFERROR(__xludf.DUMMYFUNCTION("""COMPUTED_VALUE"""),"#N/A")</f>
        <v>#N/A</v>
      </c>
      <c r="Q5486" s="1"/>
      <c r="R5486" s="1"/>
      <c r="S5486" s="1"/>
      <c r="T5486" s="1"/>
      <c r="U5486" s="2">
        <f>IFERROR(__xludf.DUMMYFUNCTION("""COMPUTED_VALUE"""),0.0)</f>
        <v>0</v>
      </c>
      <c r="V5486" s="1" t="str">
        <f>IFERROR(__xludf.DUMMYFUNCTION("""COMPUTED_VALUE"""),"#N/A")</f>
        <v>#N/A</v>
      </c>
      <c r="W5486" s="1" t="str">
        <f>IFERROR(__xludf.DUMMYFUNCTION("""COMPUTED_VALUE"""),"#N/A")</f>
        <v>#N/A</v>
      </c>
    </row>
    <row r="5487">
      <c r="O5487" s="1" t="str">
        <f>IFERROR(__xludf.DUMMYFUNCTION("""COMPUTED_VALUE"""),"#VALUE!")</f>
        <v>#VALUE!</v>
      </c>
      <c r="P5487" s="1" t="str">
        <f>IFERROR(__xludf.DUMMYFUNCTION("""COMPUTED_VALUE"""),"#N/A")</f>
        <v>#N/A</v>
      </c>
      <c r="Q5487" s="1"/>
      <c r="R5487" s="1"/>
      <c r="S5487" s="1"/>
      <c r="T5487" s="1"/>
      <c r="U5487" s="2">
        <f>IFERROR(__xludf.DUMMYFUNCTION("""COMPUTED_VALUE"""),0.0)</f>
        <v>0</v>
      </c>
      <c r="V5487" s="1" t="str">
        <f>IFERROR(__xludf.DUMMYFUNCTION("""COMPUTED_VALUE"""),"#N/A")</f>
        <v>#N/A</v>
      </c>
      <c r="W5487" s="1" t="str">
        <f>IFERROR(__xludf.DUMMYFUNCTION("""COMPUTED_VALUE"""),"#N/A")</f>
        <v>#N/A</v>
      </c>
    </row>
    <row r="5488">
      <c r="O5488" s="1" t="str">
        <f>IFERROR(__xludf.DUMMYFUNCTION("""COMPUTED_VALUE"""),"#VALUE!")</f>
        <v>#VALUE!</v>
      </c>
      <c r="P5488" s="1" t="str">
        <f>IFERROR(__xludf.DUMMYFUNCTION("""COMPUTED_VALUE"""),"#N/A")</f>
        <v>#N/A</v>
      </c>
      <c r="Q5488" s="1"/>
      <c r="R5488" s="1"/>
      <c r="S5488" s="1"/>
      <c r="T5488" s="1"/>
      <c r="U5488" s="2">
        <f>IFERROR(__xludf.DUMMYFUNCTION("""COMPUTED_VALUE"""),0.0)</f>
        <v>0</v>
      </c>
      <c r="V5488" s="1" t="str">
        <f>IFERROR(__xludf.DUMMYFUNCTION("""COMPUTED_VALUE"""),"#N/A")</f>
        <v>#N/A</v>
      </c>
      <c r="W5488" s="1" t="str">
        <f>IFERROR(__xludf.DUMMYFUNCTION("""COMPUTED_VALUE"""),"#N/A")</f>
        <v>#N/A</v>
      </c>
    </row>
    <row r="5489">
      <c r="O5489" s="1" t="str">
        <f>IFERROR(__xludf.DUMMYFUNCTION("""COMPUTED_VALUE"""),"#VALUE!")</f>
        <v>#VALUE!</v>
      </c>
      <c r="P5489" s="1" t="str">
        <f>IFERROR(__xludf.DUMMYFUNCTION("""COMPUTED_VALUE"""),"#N/A")</f>
        <v>#N/A</v>
      </c>
      <c r="Q5489" s="1"/>
      <c r="R5489" s="1"/>
      <c r="S5489" s="1"/>
      <c r="T5489" s="1"/>
      <c r="U5489" s="2">
        <f>IFERROR(__xludf.DUMMYFUNCTION("""COMPUTED_VALUE"""),0.0)</f>
        <v>0</v>
      </c>
      <c r="V5489" s="1" t="str">
        <f>IFERROR(__xludf.DUMMYFUNCTION("""COMPUTED_VALUE"""),"#N/A")</f>
        <v>#N/A</v>
      </c>
      <c r="W5489" s="1" t="str">
        <f>IFERROR(__xludf.DUMMYFUNCTION("""COMPUTED_VALUE"""),"#N/A")</f>
        <v>#N/A</v>
      </c>
    </row>
    <row r="5490">
      <c r="O5490" s="1" t="str">
        <f>IFERROR(__xludf.DUMMYFUNCTION("""COMPUTED_VALUE"""),"#VALUE!")</f>
        <v>#VALUE!</v>
      </c>
      <c r="P5490" s="1" t="str">
        <f>IFERROR(__xludf.DUMMYFUNCTION("""COMPUTED_VALUE"""),"#N/A")</f>
        <v>#N/A</v>
      </c>
      <c r="Q5490" s="1"/>
      <c r="R5490" s="1"/>
      <c r="S5490" s="1"/>
      <c r="T5490" s="1"/>
      <c r="U5490" s="2">
        <f>IFERROR(__xludf.DUMMYFUNCTION("""COMPUTED_VALUE"""),0.0)</f>
        <v>0</v>
      </c>
      <c r="V5490" s="1" t="str">
        <f>IFERROR(__xludf.DUMMYFUNCTION("""COMPUTED_VALUE"""),"#N/A")</f>
        <v>#N/A</v>
      </c>
      <c r="W5490" s="1" t="str">
        <f>IFERROR(__xludf.DUMMYFUNCTION("""COMPUTED_VALUE"""),"#N/A")</f>
        <v>#N/A</v>
      </c>
    </row>
    <row r="5491">
      <c r="O5491" s="1" t="str">
        <f>IFERROR(__xludf.DUMMYFUNCTION("""COMPUTED_VALUE"""),"#VALUE!")</f>
        <v>#VALUE!</v>
      </c>
      <c r="P5491" s="1" t="str">
        <f>IFERROR(__xludf.DUMMYFUNCTION("""COMPUTED_VALUE"""),"#N/A")</f>
        <v>#N/A</v>
      </c>
      <c r="Q5491" s="1"/>
      <c r="R5491" s="1"/>
      <c r="S5491" s="1"/>
      <c r="T5491" s="1"/>
      <c r="U5491" s="2">
        <f>IFERROR(__xludf.DUMMYFUNCTION("""COMPUTED_VALUE"""),0.0)</f>
        <v>0</v>
      </c>
      <c r="V5491" s="1" t="str">
        <f>IFERROR(__xludf.DUMMYFUNCTION("""COMPUTED_VALUE"""),"#N/A")</f>
        <v>#N/A</v>
      </c>
      <c r="W5491" s="1" t="str">
        <f>IFERROR(__xludf.DUMMYFUNCTION("""COMPUTED_VALUE"""),"#N/A")</f>
        <v>#N/A</v>
      </c>
    </row>
    <row r="5492">
      <c r="O5492" s="1" t="str">
        <f>IFERROR(__xludf.DUMMYFUNCTION("""COMPUTED_VALUE"""),"#VALUE!")</f>
        <v>#VALUE!</v>
      </c>
      <c r="P5492" s="1" t="str">
        <f>IFERROR(__xludf.DUMMYFUNCTION("""COMPUTED_VALUE"""),"#N/A")</f>
        <v>#N/A</v>
      </c>
      <c r="Q5492" s="1"/>
      <c r="R5492" s="1"/>
      <c r="S5492" s="1"/>
      <c r="T5492" s="1"/>
      <c r="U5492" s="2">
        <f>IFERROR(__xludf.DUMMYFUNCTION("""COMPUTED_VALUE"""),0.0)</f>
        <v>0</v>
      </c>
      <c r="V5492" s="1" t="str">
        <f>IFERROR(__xludf.DUMMYFUNCTION("""COMPUTED_VALUE"""),"#N/A")</f>
        <v>#N/A</v>
      </c>
      <c r="W5492" s="1" t="str">
        <f>IFERROR(__xludf.DUMMYFUNCTION("""COMPUTED_VALUE"""),"#N/A")</f>
        <v>#N/A</v>
      </c>
    </row>
    <row r="5493">
      <c r="O5493" s="1" t="str">
        <f>IFERROR(__xludf.DUMMYFUNCTION("""COMPUTED_VALUE"""),"#VALUE!")</f>
        <v>#VALUE!</v>
      </c>
      <c r="P5493" s="1" t="str">
        <f>IFERROR(__xludf.DUMMYFUNCTION("""COMPUTED_VALUE"""),"#N/A")</f>
        <v>#N/A</v>
      </c>
      <c r="Q5493" s="1"/>
      <c r="R5493" s="1"/>
      <c r="S5493" s="1"/>
      <c r="T5493" s="1"/>
      <c r="U5493" s="2">
        <f>IFERROR(__xludf.DUMMYFUNCTION("""COMPUTED_VALUE"""),0.0)</f>
        <v>0</v>
      </c>
      <c r="V5493" s="1" t="str">
        <f>IFERROR(__xludf.DUMMYFUNCTION("""COMPUTED_VALUE"""),"#N/A")</f>
        <v>#N/A</v>
      </c>
      <c r="W5493" s="1" t="str">
        <f>IFERROR(__xludf.DUMMYFUNCTION("""COMPUTED_VALUE"""),"#N/A")</f>
        <v>#N/A</v>
      </c>
    </row>
    <row r="5494">
      <c r="O5494" s="1" t="str">
        <f>IFERROR(__xludf.DUMMYFUNCTION("""COMPUTED_VALUE"""),"#VALUE!")</f>
        <v>#VALUE!</v>
      </c>
      <c r="P5494" s="1" t="str">
        <f>IFERROR(__xludf.DUMMYFUNCTION("""COMPUTED_VALUE"""),"#N/A")</f>
        <v>#N/A</v>
      </c>
      <c r="Q5494" s="1"/>
      <c r="R5494" s="1"/>
      <c r="S5494" s="1"/>
      <c r="T5494" s="1"/>
      <c r="U5494" s="2">
        <f>IFERROR(__xludf.DUMMYFUNCTION("""COMPUTED_VALUE"""),0.0)</f>
        <v>0</v>
      </c>
      <c r="V5494" s="1" t="str">
        <f>IFERROR(__xludf.DUMMYFUNCTION("""COMPUTED_VALUE"""),"#N/A")</f>
        <v>#N/A</v>
      </c>
      <c r="W5494" s="1" t="str">
        <f>IFERROR(__xludf.DUMMYFUNCTION("""COMPUTED_VALUE"""),"#N/A")</f>
        <v>#N/A</v>
      </c>
    </row>
    <row r="5495">
      <c r="O5495" s="1" t="str">
        <f>IFERROR(__xludf.DUMMYFUNCTION("""COMPUTED_VALUE"""),"#VALUE!")</f>
        <v>#VALUE!</v>
      </c>
      <c r="P5495" s="1" t="str">
        <f>IFERROR(__xludf.DUMMYFUNCTION("""COMPUTED_VALUE"""),"#N/A")</f>
        <v>#N/A</v>
      </c>
      <c r="Q5495" s="1"/>
      <c r="R5495" s="1"/>
      <c r="S5495" s="1"/>
      <c r="T5495" s="1"/>
      <c r="U5495" s="2">
        <f>IFERROR(__xludf.DUMMYFUNCTION("""COMPUTED_VALUE"""),0.0)</f>
        <v>0</v>
      </c>
      <c r="V5495" s="1" t="str">
        <f>IFERROR(__xludf.DUMMYFUNCTION("""COMPUTED_VALUE"""),"#N/A")</f>
        <v>#N/A</v>
      </c>
      <c r="W5495" s="1" t="str">
        <f>IFERROR(__xludf.DUMMYFUNCTION("""COMPUTED_VALUE"""),"#N/A")</f>
        <v>#N/A</v>
      </c>
    </row>
    <row r="5496">
      <c r="O5496" s="1" t="str">
        <f>IFERROR(__xludf.DUMMYFUNCTION("""COMPUTED_VALUE"""),"#VALUE!")</f>
        <v>#VALUE!</v>
      </c>
      <c r="P5496" s="1" t="str">
        <f>IFERROR(__xludf.DUMMYFUNCTION("""COMPUTED_VALUE"""),"#N/A")</f>
        <v>#N/A</v>
      </c>
      <c r="Q5496" s="1"/>
      <c r="R5496" s="1"/>
      <c r="S5496" s="1"/>
      <c r="T5496" s="1"/>
      <c r="U5496" s="2">
        <f>IFERROR(__xludf.DUMMYFUNCTION("""COMPUTED_VALUE"""),0.0)</f>
        <v>0</v>
      </c>
      <c r="V5496" s="1" t="str">
        <f>IFERROR(__xludf.DUMMYFUNCTION("""COMPUTED_VALUE"""),"#N/A")</f>
        <v>#N/A</v>
      </c>
      <c r="W5496" s="1" t="str">
        <f>IFERROR(__xludf.DUMMYFUNCTION("""COMPUTED_VALUE"""),"#N/A")</f>
        <v>#N/A</v>
      </c>
    </row>
    <row r="5497">
      <c r="O5497" s="1" t="str">
        <f>IFERROR(__xludf.DUMMYFUNCTION("""COMPUTED_VALUE"""),"#VALUE!")</f>
        <v>#VALUE!</v>
      </c>
      <c r="P5497" s="1" t="str">
        <f>IFERROR(__xludf.DUMMYFUNCTION("""COMPUTED_VALUE"""),"#N/A")</f>
        <v>#N/A</v>
      </c>
      <c r="Q5497" s="1"/>
      <c r="R5497" s="1"/>
      <c r="S5497" s="1"/>
      <c r="T5497" s="1"/>
      <c r="U5497" s="2">
        <f>IFERROR(__xludf.DUMMYFUNCTION("""COMPUTED_VALUE"""),0.0)</f>
        <v>0</v>
      </c>
      <c r="V5497" s="1" t="str">
        <f>IFERROR(__xludf.DUMMYFUNCTION("""COMPUTED_VALUE"""),"#N/A")</f>
        <v>#N/A</v>
      </c>
      <c r="W5497" s="1" t="str">
        <f>IFERROR(__xludf.DUMMYFUNCTION("""COMPUTED_VALUE"""),"#N/A")</f>
        <v>#N/A</v>
      </c>
    </row>
    <row r="5498">
      <c r="O5498" s="1" t="str">
        <f>IFERROR(__xludf.DUMMYFUNCTION("""COMPUTED_VALUE"""),"#VALUE!")</f>
        <v>#VALUE!</v>
      </c>
      <c r="P5498" s="1" t="str">
        <f>IFERROR(__xludf.DUMMYFUNCTION("""COMPUTED_VALUE"""),"#N/A")</f>
        <v>#N/A</v>
      </c>
      <c r="Q5498" s="1"/>
      <c r="R5498" s="1"/>
      <c r="S5498" s="1"/>
      <c r="T5498" s="1"/>
      <c r="U5498" s="2">
        <f>IFERROR(__xludf.DUMMYFUNCTION("""COMPUTED_VALUE"""),0.0)</f>
        <v>0</v>
      </c>
      <c r="V5498" s="1" t="str">
        <f>IFERROR(__xludf.DUMMYFUNCTION("""COMPUTED_VALUE"""),"#N/A")</f>
        <v>#N/A</v>
      </c>
      <c r="W5498" s="1" t="str">
        <f>IFERROR(__xludf.DUMMYFUNCTION("""COMPUTED_VALUE"""),"#N/A")</f>
        <v>#N/A</v>
      </c>
    </row>
    <row r="5499">
      <c r="O5499" s="1" t="str">
        <f>IFERROR(__xludf.DUMMYFUNCTION("""COMPUTED_VALUE"""),"#VALUE!")</f>
        <v>#VALUE!</v>
      </c>
      <c r="P5499" s="1" t="str">
        <f>IFERROR(__xludf.DUMMYFUNCTION("""COMPUTED_VALUE"""),"#N/A")</f>
        <v>#N/A</v>
      </c>
      <c r="Q5499" s="1"/>
      <c r="R5499" s="1"/>
      <c r="S5499" s="1"/>
      <c r="T5499" s="1"/>
      <c r="U5499" s="2">
        <f>IFERROR(__xludf.DUMMYFUNCTION("""COMPUTED_VALUE"""),0.0)</f>
        <v>0</v>
      </c>
      <c r="V5499" s="1" t="str">
        <f>IFERROR(__xludf.DUMMYFUNCTION("""COMPUTED_VALUE"""),"#N/A")</f>
        <v>#N/A</v>
      </c>
      <c r="W5499" s="1" t="str">
        <f>IFERROR(__xludf.DUMMYFUNCTION("""COMPUTED_VALUE"""),"#N/A")</f>
        <v>#N/A</v>
      </c>
    </row>
    <row r="5500">
      <c r="O5500" s="1" t="str">
        <f>IFERROR(__xludf.DUMMYFUNCTION("""COMPUTED_VALUE"""),"#VALUE!")</f>
        <v>#VALUE!</v>
      </c>
      <c r="P5500" s="1" t="str">
        <f>IFERROR(__xludf.DUMMYFUNCTION("""COMPUTED_VALUE"""),"#N/A")</f>
        <v>#N/A</v>
      </c>
      <c r="Q5500" s="1"/>
      <c r="R5500" s="1"/>
      <c r="S5500" s="1"/>
      <c r="T5500" s="1"/>
      <c r="U5500" s="2">
        <f>IFERROR(__xludf.DUMMYFUNCTION("""COMPUTED_VALUE"""),0.0)</f>
        <v>0</v>
      </c>
      <c r="V5500" s="1" t="str">
        <f>IFERROR(__xludf.DUMMYFUNCTION("""COMPUTED_VALUE"""),"#N/A")</f>
        <v>#N/A</v>
      </c>
      <c r="W5500" s="1" t="str">
        <f>IFERROR(__xludf.DUMMYFUNCTION("""COMPUTED_VALUE"""),"#N/A")</f>
        <v>#N/A</v>
      </c>
    </row>
    <row r="5501">
      <c r="O5501" s="1" t="str">
        <f>IFERROR(__xludf.DUMMYFUNCTION("""COMPUTED_VALUE"""),"#VALUE!")</f>
        <v>#VALUE!</v>
      </c>
      <c r="P5501" s="1" t="str">
        <f>IFERROR(__xludf.DUMMYFUNCTION("""COMPUTED_VALUE"""),"#N/A")</f>
        <v>#N/A</v>
      </c>
      <c r="Q5501" s="1"/>
      <c r="R5501" s="1"/>
      <c r="S5501" s="1"/>
      <c r="T5501" s="1"/>
      <c r="U5501" s="2">
        <f>IFERROR(__xludf.DUMMYFUNCTION("""COMPUTED_VALUE"""),0.0)</f>
        <v>0</v>
      </c>
      <c r="V5501" s="1" t="str">
        <f>IFERROR(__xludf.DUMMYFUNCTION("""COMPUTED_VALUE"""),"#N/A")</f>
        <v>#N/A</v>
      </c>
      <c r="W5501" s="1" t="str">
        <f>IFERROR(__xludf.DUMMYFUNCTION("""COMPUTED_VALUE"""),"#N/A")</f>
        <v>#N/A</v>
      </c>
    </row>
    <row r="5502">
      <c r="O5502" s="1" t="str">
        <f>IFERROR(__xludf.DUMMYFUNCTION("""COMPUTED_VALUE"""),"#VALUE!")</f>
        <v>#VALUE!</v>
      </c>
      <c r="P5502" s="1" t="str">
        <f>IFERROR(__xludf.DUMMYFUNCTION("""COMPUTED_VALUE"""),"#N/A")</f>
        <v>#N/A</v>
      </c>
      <c r="Q5502" s="1"/>
      <c r="R5502" s="1"/>
      <c r="S5502" s="1"/>
      <c r="T5502" s="1"/>
      <c r="U5502" s="2">
        <f>IFERROR(__xludf.DUMMYFUNCTION("""COMPUTED_VALUE"""),0.0)</f>
        <v>0</v>
      </c>
      <c r="V5502" s="1" t="str">
        <f>IFERROR(__xludf.DUMMYFUNCTION("""COMPUTED_VALUE"""),"#N/A")</f>
        <v>#N/A</v>
      </c>
      <c r="W5502" s="1" t="str">
        <f>IFERROR(__xludf.DUMMYFUNCTION("""COMPUTED_VALUE"""),"#N/A")</f>
        <v>#N/A</v>
      </c>
    </row>
    <row r="5503">
      <c r="O5503" s="1" t="str">
        <f>IFERROR(__xludf.DUMMYFUNCTION("""COMPUTED_VALUE"""),"#VALUE!")</f>
        <v>#VALUE!</v>
      </c>
      <c r="P5503" s="1" t="str">
        <f>IFERROR(__xludf.DUMMYFUNCTION("""COMPUTED_VALUE"""),"#N/A")</f>
        <v>#N/A</v>
      </c>
      <c r="Q5503" s="1"/>
      <c r="R5503" s="1"/>
      <c r="S5503" s="1"/>
      <c r="T5503" s="1"/>
      <c r="U5503" s="2">
        <f>IFERROR(__xludf.DUMMYFUNCTION("""COMPUTED_VALUE"""),0.0)</f>
        <v>0</v>
      </c>
      <c r="V5503" s="1" t="str">
        <f>IFERROR(__xludf.DUMMYFUNCTION("""COMPUTED_VALUE"""),"#N/A")</f>
        <v>#N/A</v>
      </c>
      <c r="W5503" s="1" t="str">
        <f>IFERROR(__xludf.DUMMYFUNCTION("""COMPUTED_VALUE"""),"#N/A")</f>
        <v>#N/A</v>
      </c>
    </row>
    <row r="5504">
      <c r="O5504" s="1" t="str">
        <f>IFERROR(__xludf.DUMMYFUNCTION("""COMPUTED_VALUE"""),"#VALUE!")</f>
        <v>#VALUE!</v>
      </c>
      <c r="P5504" s="1" t="str">
        <f>IFERROR(__xludf.DUMMYFUNCTION("""COMPUTED_VALUE"""),"#N/A")</f>
        <v>#N/A</v>
      </c>
      <c r="Q5504" s="1"/>
      <c r="R5504" s="1"/>
      <c r="S5504" s="1"/>
      <c r="T5504" s="1"/>
      <c r="U5504" s="2">
        <f>IFERROR(__xludf.DUMMYFUNCTION("""COMPUTED_VALUE"""),0.0)</f>
        <v>0</v>
      </c>
      <c r="V5504" s="1" t="str">
        <f>IFERROR(__xludf.DUMMYFUNCTION("""COMPUTED_VALUE"""),"#N/A")</f>
        <v>#N/A</v>
      </c>
      <c r="W5504" s="1" t="str">
        <f>IFERROR(__xludf.DUMMYFUNCTION("""COMPUTED_VALUE"""),"#N/A")</f>
        <v>#N/A</v>
      </c>
    </row>
    <row r="5505">
      <c r="O5505" s="1" t="str">
        <f>IFERROR(__xludf.DUMMYFUNCTION("""COMPUTED_VALUE"""),"#VALUE!")</f>
        <v>#VALUE!</v>
      </c>
      <c r="P5505" s="1" t="str">
        <f>IFERROR(__xludf.DUMMYFUNCTION("""COMPUTED_VALUE"""),"#N/A")</f>
        <v>#N/A</v>
      </c>
      <c r="Q5505" s="1"/>
      <c r="R5505" s="1"/>
      <c r="S5505" s="1"/>
      <c r="T5505" s="1"/>
      <c r="U5505" s="2">
        <f>IFERROR(__xludf.DUMMYFUNCTION("""COMPUTED_VALUE"""),0.0)</f>
        <v>0</v>
      </c>
      <c r="V5505" s="1" t="str">
        <f>IFERROR(__xludf.DUMMYFUNCTION("""COMPUTED_VALUE"""),"#N/A")</f>
        <v>#N/A</v>
      </c>
      <c r="W5505" s="1" t="str">
        <f>IFERROR(__xludf.DUMMYFUNCTION("""COMPUTED_VALUE"""),"#N/A")</f>
        <v>#N/A</v>
      </c>
    </row>
    <row r="5506">
      <c r="O5506" s="1" t="str">
        <f>IFERROR(__xludf.DUMMYFUNCTION("""COMPUTED_VALUE"""),"#VALUE!")</f>
        <v>#VALUE!</v>
      </c>
      <c r="P5506" s="1" t="str">
        <f>IFERROR(__xludf.DUMMYFUNCTION("""COMPUTED_VALUE"""),"#N/A")</f>
        <v>#N/A</v>
      </c>
      <c r="Q5506" s="1"/>
      <c r="R5506" s="1"/>
      <c r="S5506" s="1"/>
      <c r="T5506" s="1"/>
      <c r="U5506" s="2">
        <f>IFERROR(__xludf.DUMMYFUNCTION("""COMPUTED_VALUE"""),0.0)</f>
        <v>0</v>
      </c>
      <c r="V5506" s="1" t="str">
        <f>IFERROR(__xludf.DUMMYFUNCTION("""COMPUTED_VALUE"""),"#N/A")</f>
        <v>#N/A</v>
      </c>
      <c r="W5506" s="1" t="str">
        <f>IFERROR(__xludf.DUMMYFUNCTION("""COMPUTED_VALUE"""),"#N/A")</f>
        <v>#N/A</v>
      </c>
    </row>
    <row r="5507">
      <c r="O5507" s="1" t="str">
        <f>IFERROR(__xludf.DUMMYFUNCTION("""COMPUTED_VALUE"""),"#VALUE!")</f>
        <v>#VALUE!</v>
      </c>
      <c r="P5507" s="1" t="str">
        <f>IFERROR(__xludf.DUMMYFUNCTION("""COMPUTED_VALUE"""),"#N/A")</f>
        <v>#N/A</v>
      </c>
      <c r="Q5507" s="1"/>
      <c r="R5507" s="1"/>
      <c r="S5507" s="1"/>
      <c r="T5507" s="1"/>
      <c r="U5507" s="2">
        <f>IFERROR(__xludf.DUMMYFUNCTION("""COMPUTED_VALUE"""),0.0)</f>
        <v>0</v>
      </c>
      <c r="V5507" s="1" t="str">
        <f>IFERROR(__xludf.DUMMYFUNCTION("""COMPUTED_VALUE"""),"#N/A")</f>
        <v>#N/A</v>
      </c>
      <c r="W5507" s="1" t="str">
        <f>IFERROR(__xludf.DUMMYFUNCTION("""COMPUTED_VALUE"""),"#N/A")</f>
        <v>#N/A</v>
      </c>
    </row>
    <row r="5508">
      <c r="O5508" s="1" t="str">
        <f>IFERROR(__xludf.DUMMYFUNCTION("""COMPUTED_VALUE"""),"#VALUE!")</f>
        <v>#VALUE!</v>
      </c>
      <c r="P5508" s="1" t="str">
        <f>IFERROR(__xludf.DUMMYFUNCTION("""COMPUTED_VALUE"""),"#N/A")</f>
        <v>#N/A</v>
      </c>
      <c r="Q5508" s="1"/>
      <c r="R5508" s="1"/>
      <c r="S5508" s="1"/>
      <c r="T5508" s="1"/>
      <c r="U5508" s="2">
        <f>IFERROR(__xludf.DUMMYFUNCTION("""COMPUTED_VALUE"""),0.0)</f>
        <v>0</v>
      </c>
      <c r="V5508" s="1" t="str">
        <f>IFERROR(__xludf.DUMMYFUNCTION("""COMPUTED_VALUE"""),"#N/A")</f>
        <v>#N/A</v>
      </c>
      <c r="W5508" s="1" t="str">
        <f>IFERROR(__xludf.DUMMYFUNCTION("""COMPUTED_VALUE"""),"#N/A")</f>
        <v>#N/A</v>
      </c>
    </row>
    <row r="5509">
      <c r="O5509" s="1" t="str">
        <f>IFERROR(__xludf.DUMMYFUNCTION("""COMPUTED_VALUE"""),"#VALUE!")</f>
        <v>#VALUE!</v>
      </c>
      <c r="P5509" s="1" t="str">
        <f>IFERROR(__xludf.DUMMYFUNCTION("""COMPUTED_VALUE"""),"#N/A")</f>
        <v>#N/A</v>
      </c>
      <c r="Q5509" s="1"/>
      <c r="R5509" s="1"/>
      <c r="S5509" s="1"/>
      <c r="T5509" s="1"/>
      <c r="U5509" s="2">
        <f>IFERROR(__xludf.DUMMYFUNCTION("""COMPUTED_VALUE"""),0.0)</f>
        <v>0</v>
      </c>
      <c r="V5509" s="1" t="str">
        <f>IFERROR(__xludf.DUMMYFUNCTION("""COMPUTED_VALUE"""),"#N/A")</f>
        <v>#N/A</v>
      </c>
      <c r="W5509" s="1" t="str">
        <f>IFERROR(__xludf.DUMMYFUNCTION("""COMPUTED_VALUE"""),"#N/A")</f>
        <v>#N/A</v>
      </c>
    </row>
    <row r="5510">
      <c r="O5510" s="1" t="str">
        <f>IFERROR(__xludf.DUMMYFUNCTION("""COMPUTED_VALUE"""),"#VALUE!")</f>
        <v>#VALUE!</v>
      </c>
      <c r="P5510" s="1" t="str">
        <f>IFERROR(__xludf.DUMMYFUNCTION("""COMPUTED_VALUE"""),"#N/A")</f>
        <v>#N/A</v>
      </c>
      <c r="Q5510" s="1"/>
      <c r="R5510" s="1"/>
      <c r="S5510" s="1"/>
      <c r="T5510" s="1"/>
      <c r="U5510" s="2">
        <f>IFERROR(__xludf.DUMMYFUNCTION("""COMPUTED_VALUE"""),0.0)</f>
        <v>0</v>
      </c>
      <c r="V5510" s="1" t="str">
        <f>IFERROR(__xludf.DUMMYFUNCTION("""COMPUTED_VALUE"""),"#N/A")</f>
        <v>#N/A</v>
      </c>
      <c r="W5510" s="1" t="str">
        <f>IFERROR(__xludf.DUMMYFUNCTION("""COMPUTED_VALUE"""),"#N/A")</f>
        <v>#N/A</v>
      </c>
    </row>
    <row r="5511">
      <c r="O5511" s="1" t="str">
        <f>IFERROR(__xludf.DUMMYFUNCTION("""COMPUTED_VALUE"""),"#VALUE!")</f>
        <v>#VALUE!</v>
      </c>
      <c r="P5511" s="1" t="str">
        <f>IFERROR(__xludf.DUMMYFUNCTION("""COMPUTED_VALUE"""),"#N/A")</f>
        <v>#N/A</v>
      </c>
      <c r="Q5511" s="1"/>
      <c r="R5511" s="1"/>
      <c r="S5511" s="1"/>
      <c r="T5511" s="1"/>
      <c r="U5511" s="2">
        <f>IFERROR(__xludf.DUMMYFUNCTION("""COMPUTED_VALUE"""),0.0)</f>
        <v>0</v>
      </c>
      <c r="V5511" s="1" t="str">
        <f>IFERROR(__xludf.DUMMYFUNCTION("""COMPUTED_VALUE"""),"#N/A")</f>
        <v>#N/A</v>
      </c>
      <c r="W5511" s="1" t="str">
        <f>IFERROR(__xludf.DUMMYFUNCTION("""COMPUTED_VALUE"""),"#N/A")</f>
        <v>#N/A</v>
      </c>
    </row>
    <row r="5512">
      <c r="O5512" s="1" t="str">
        <f>IFERROR(__xludf.DUMMYFUNCTION("""COMPUTED_VALUE"""),"#VALUE!")</f>
        <v>#VALUE!</v>
      </c>
      <c r="P5512" s="1" t="str">
        <f>IFERROR(__xludf.DUMMYFUNCTION("""COMPUTED_VALUE"""),"#N/A")</f>
        <v>#N/A</v>
      </c>
      <c r="Q5512" s="1"/>
      <c r="R5512" s="1"/>
      <c r="S5512" s="1"/>
      <c r="T5512" s="1"/>
      <c r="U5512" s="2">
        <f>IFERROR(__xludf.DUMMYFUNCTION("""COMPUTED_VALUE"""),0.0)</f>
        <v>0</v>
      </c>
      <c r="V5512" s="1" t="str">
        <f>IFERROR(__xludf.DUMMYFUNCTION("""COMPUTED_VALUE"""),"#N/A")</f>
        <v>#N/A</v>
      </c>
      <c r="W5512" s="1" t="str">
        <f>IFERROR(__xludf.DUMMYFUNCTION("""COMPUTED_VALUE"""),"#N/A")</f>
        <v>#N/A</v>
      </c>
    </row>
    <row r="5513">
      <c r="O5513" s="1" t="str">
        <f>IFERROR(__xludf.DUMMYFUNCTION("""COMPUTED_VALUE"""),"#VALUE!")</f>
        <v>#VALUE!</v>
      </c>
      <c r="P5513" s="1" t="str">
        <f>IFERROR(__xludf.DUMMYFUNCTION("""COMPUTED_VALUE"""),"#N/A")</f>
        <v>#N/A</v>
      </c>
      <c r="Q5513" s="1"/>
      <c r="R5513" s="1"/>
      <c r="S5513" s="1"/>
      <c r="T5513" s="1"/>
      <c r="U5513" s="2">
        <f>IFERROR(__xludf.DUMMYFUNCTION("""COMPUTED_VALUE"""),0.0)</f>
        <v>0</v>
      </c>
      <c r="V5513" s="1" t="str">
        <f>IFERROR(__xludf.DUMMYFUNCTION("""COMPUTED_VALUE"""),"#N/A")</f>
        <v>#N/A</v>
      </c>
      <c r="W5513" s="1" t="str">
        <f>IFERROR(__xludf.DUMMYFUNCTION("""COMPUTED_VALUE"""),"#N/A")</f>
        <v>#N/A</v>
      </c>
    </row>
    <row r="5514">
      <c r="O5514" s="1" t="str">
        <f>IFERROR(__xludf.DUMMYFUNCTION("""COMPUTED_VALUE"""),"#VALUE!")</f>
        <v>#VALUE!</v>
      </c>
      <c r="P5514" s="1" t="str">
        <f>IFERROR(__xludf.DUMMYFUNCTION("""COMPUTED_VALUE"""),"#N/A")</f>
        <v>#N/A</v>
      </c>
      <c r="Q5514" s="1"/>
      <c r="R5514" s="1"/>
      <c r="S5514" s="1"/>
      <c r="T5514" s="1"/>
      <c r="U5514" s="2">
        <f>IFERROR(__xludf.DUMMYFUNCTION("""COMPUTED_VALUE"""),0.0)</f>
        <v>0</v>
      </c>
      <c r="V5514" s="1" t="str">
        <f>IFERROR(__xludf.DUMMYFUNCTION("""COMPUTED_VALUE"""),"#N/A")</f>
        <v>#N/A</v>
      </c>
      <c r="W5514" s="1" t="str">
        <f>IFERROR(__xludf.DUMMYFUNCTION("""COMPUTED_VALUE"""),"#N/A")</f>
        <v>#N/A</v>
      </c>
    </row>
    <row r="5515">
      <c r="O5515" s="1" t="str">
        <f>IFERROR(__xludf.DUMMYFUNCTION("""COMPUTED_VALUE"""),"#VALUE!")</f>
        <v>#VALUE!</v>
      </c>
      <c r="P5515" s="1" t="str">
        <f>IFERROR(__xludf.DUMMYFUNCTION("""COMPUTED_VALUE"""),"#N/A")</f>
        <v>#N/A</v>
      </c>
      <c r="Q5515" s="1"/>
      <c r="R5515" s="1"/>
      <c r="S5515" s="1"/>
      <c r="T5515" s="1"/>
      <c r="U5515" s="2">
        <f>IFERROR(__xludf.DUMMYFUNCTION("""COMPUTED_VALUE"""),0.0)</f>
        <v>0</v>
      </c>
      <c r="V5515" s="1" t="str">
        <f>IFERROR(__xludf.DUMMYFUNCTION("""COMPUTED_VALUE"""),"#N/A")</f>
        <v>#N/A</v>
      </c>
      <c r="W5515" s="1" t="str">
        <f>IFERROR(__xludf.DUMMYFUNCTION("""COMPUTED_VALUE"""),"#N/A")</f>
        <v>#N/A</v>
      </c>
    </row>
    <row r="5516">
      <c r="O5516" s="1" t="str">
        <f>IFERROR(__xludf.DUMMYFUNCTION("""COMPUTED_VALUE"""),"#VALUE!")</f>
        <v>#VALUE!</v>
      </c>
      <c r="P5516" s="1" t="str">
        <f>IFERROR(__xludf.DUMMYFUNCTION("""COMPUTED_VALUE"""),"#N/A")</f>
        <v>#N/A</v>
      </c>
      <c r="Q5516" s="1"/>
      <c r="R5516" s="1"/>
      <c r="S5516" s="1"/>
      <c r="T5516" s="1"/>
      <c r="U5516" s="2">
        <f>IFERROR(__xludf.DUMMYFUNCTION("""COMPUTED_VALUE"""),0.0)</f>
        <v>0</v>
      </c>
      <c r="V5516" s="1" t="str">
        <f>IFERROR(__xludf.DUMMYFUNCTION("""COMPUTED_VALUE"""),"#N/A")</f>
        <v>#N/A</v>
      </c>
      <c r="W5516" s="1" t="str">
        <f>IFERROR(__xludf.DUMMYFUNCTION("""COMPUTED_VALUE"""),"#N/A")</f>
        <v>#N/A</v>
      </c>
    </row>
    <row r="5517">
      <c r="O5517" s="1" t="str">
        <f>IFERROR(__xludf.DUMMYFUNCTION("""COMPUTED_VALUE"""),"#VALUE!")</f>
        <v>#VALUE!</v>
      </c>
      <c r="P5517" s="1" t="str">
        <f>IFERROR(__xludf.DUMMYFUNCTION("""COMPUTED_VALUE"""),"#N/A")</f>
        <v>#N/A</v>
      </c>
      <c r="Q5517" s="1"/>
      <c r="R5517" s="1"/>
      <c r="S5517" s="1"/>
      <c r="T5517" s="1"/>
      <c r="U5517" s="2">
        <f>IFERROR(__xludf.DUMMYFUNCTION("""COMPUTED_VALUE"""),0.0)</f>
        <v>0</v>
      </c>
      <c r="V5517" s="1" t="str">
        <f>IFERROR(__xludf.DUMMYFUNCTION("""COMPUTED_VALUE"""),"#N/A")</f>
        <v>#N/A</v>
      </c>
      <c r="W5517" s="1" t="str">
        <f>IFERROR(__xludf.DUMMYFUNCTION("""COMPUTED_VALUE"""),"#N/A")</f>
        <v>#N/A</v>
      </c>
    </row>
    <row r="5518">
      <c r="O5518" s="1" t="str">
        <f>IFERROR(__xludf.DUMMYFUNCTION("""COMPUTED_VALUE"""),"#VALUE!")</f>
        <v>#VALUE!</v>
      </c>
      <c r="P5518" s="1" t="str">
        <f>IFERROR(__xludf.DUMMYFUNCTION("""COMPUTED_VALUE"""),"#N/A")</f>
        <v>#N/A</v>
      </c>
      <c r="Q5518" s="1"/>
      <c r="R5518" s="1"/>
      <c r="S5518" s="1"/>
      <c r="T5518" s="1"/>
      <c r="U5518" s="2">
        <f>IFERROR(__xludf.DUMMYFUNCTION("""COMPUTED_VALUE"""),0.0)</f>
        <v>0</v>
      </c>
      <c r="V5518" s="1" t="str">
        <f>IFERROR(__xludf.DUMMYFUNCTION("""COMPUTED_VALUE"""),"#N/A")</f>
        <v>#N/A</v>
      </c>
      <c r="W5518" s="1" t="str">
        <f>IFERROR(__xludf.DUMMYFUNCTION("""COMPUTED_VALUE"""),"#N/A")</f>
        <v>#N/A</v>
      </c>
    </row>
    <row r="5519">
      <c r="O5519" s="1" t="str">
        <f>IFERROR(__xludf.DUMMYFUNCTION("""COMPUTED_VALUE"""),"#VALUE!")</f>
        <v>#VALUE!</v>
      </c>
      <c r="P5519" s="1" t="str">
        <f>IFERROR(__xludf.DUMMYFUNCTION("""COMPUTED_VALUE"""),"#N/A")</f>
        <v>#N/A</v>
      </c>
      <c r="Q5519" s="1"/>
      <c r="R5519" s="1"/>
      <c r="S5519" s="1"/>
      <c r="T5519" s="1"/>
      <c r="U5519" s="2">
        <f>IFERROR(__xludf.DUMMYFUNCTION("""COMPUTED_VALUE"""),0.0)</f>
        <v>0</v>
      </c>
      <c r="V5519" s="1" t="str">
        <f>IFERROR(__xludf.DUMMYFUNCTION("""COMPUTED_VALUE"""),"#N/A")</f>
        <v>#N/A</v>
      </c>
      <c r="W5519" s="1" t="str">
        <f>IFERROR(__xludf.DUMMYFUNCTION("""COMPUTED_VALUE"""),"#N/A")</f>
        <v>#N/A</v>
      </c>
    </row>
    <row r="5520">
      <c r="O5520" s="1" t="str">
        <f>IFERROR(__xludf.DUMMYFUNCTION("""COMPUTED_VALUE"""),"#VALUE!")</f>
        <v>#VALUE!</v>
      </c>
      <c r="P5520" s="1" t="str">
        <f>IFERROR(__xludf.DUMMYFUNCTION("""COMPUTED_VALUE"""),"#N/A")</f>
        <v>#N/A</v>
      </c>
      <c r="Q5520" s="1"/>
      <c r="R5520" s="1"/>
      <c r="S5520" s="1"/>
      <c r="T5520" s="1"/>
      <c r="U5520" s="2">
        <f>IFERROR(__xludf.DUMMYFUNCTION("""COMPUTED_VALUE"""),0.0)</f>
        <v>0</v>
      </c>
      <c r="V5520" s="1" t="str">
        <f>IFERROR(__xludf.DUMMYFUNCTION("""COMPUTED_VALUE"""),"#N/A")</f>
        <v>#N/A</v>
      </c>
      <c r="W5520" s="1" t="str">
        <f>IFERROR(__xludf.DUMMYFUNCTION("""COMPUTED_VALUE"""),"#N/A")</f>
        <v>#N/A</v>
      </c>
    </row>
    <row r="5521">
      <c r="O5521" s="1" t="str">
        <f>IFERROR(__xludf.DUMMYFUNCTION("""COMPUTED_VALUE"""),"#VALUE!")</f>
        <v>#VALUE!</v>
      </c>
      <c r="P5521" s="1" t="str">
        <f>IFERROR(__xludf.DUMMYFUNCTION("""COMPUTED_VALUE"""),"#N/A")</f>
        <v>#N/A</v>
      </c>
      <c r="Q5521" s="1"/>
      <c r="R5521" s="1"/>
      <c r="S5521" s="1"/>
      <c r="T5521" s="1"/>
      <c r="U5521" s="2">
        <f>IFERROR(__xludf.DUMMYFUNCTION("""COMPUTED_VALUE"""),0.0)</f>
        <v>0</v>
      </c>
      <c r="V5521" s="1" t="str">
        <f>IFERROR(__xludf.DUMMYFUNCTION("""COMPUTED_VALUE"""),"#N/A")</f>
        <v>#N/A</v>
      </c>
      <c r="W5521" s="1" t="str">
        <f>IFERROR(__xludf.DUMMYFUNCTION("""COMPUTED_VALUE"""),"#N/A")</f>
        <v>#N/A</v>
      </c>
    </row>
    <row r="5522">
      <c r="O5522" s="1" t="str">
        <f>IFERROR(__xludf.DUMMYFUNCTION("""COMPUTED_VALUE"""),"#VALUE!")</f>
        <v>#VALUE!</v>
      </c>
      <c r="P5522" s="1" t="str">
        <f>IFERROR(__xludf.DUMMYFUNCTION("""COMPUTED_VALUE"""),"#N/A")</f>
        <v>#N/A</v>
      </c>
      <c r="Q5522" s="1"/>
      <c r="R5522" s="1"/>
      <c r="S5522" s="1"/>
      <c r="T5522" s="1"/>
      <c r="U5522" s="2">
        <f>IFERROR(__xludf.DUMMYFUNCTION("""COMPUTED_VALUE"""),0.0)</f>
        <v>0</v>
      </c>
      <c r="V5522" s="1" t="str">
        <f>IFERROR(__xludf.DUMMYFUNCTION("""COMPUTED_VALUE"""),"#N/A")</f>
        <v>#N/A</v>
      </c>
      <c r="W5522" s="1" t="str">
        <f>IFERROR(__xludf.DUMMYFUNCTION("""COMPUTED_VALUE"""),"#N/A")</f>
        <v>#N/A</v>
      </c>
    </row>
    <row r="5523">
      <c r="O5523" s="1" t="str">
        <f>IFERROR(__xludf.DUMMYFUNCTION("""COMPUTED_VALUE"""),"#VALUE!")</f>
        <v>#VALUE!</v>
      </c>
      <c r="P5523" s="1" t="str">
        <f>IFERROR(__xludf.DUMMYFUNCTION("""COMPUTED_VALUE"""),"#N/A")</f>
        <v>#N/A</v>
      </c>
      <c r="Q5523" s="1"/>
      <c r="R5523" s="1"/>
      <c r="S5523" s="1"/>
      <c r="T5523" s="1"/>
      <c r="U5523" s="2">
        <f>IFERROR(__xludf.DUMMYFUNCTION("""COMPUTED_VALUE"""),0.0)</f>
        <v>0</v>
      </c>
      <c r="V5523" s="1" t="str">
        <f>IFERROR(__xludf.DUMMYFUNCTION("""COMPUTED_VALUE"""),"#N/A")</f>
        <v>#N/A</v>
      </c>
      <c r="W5523" s="1" t="str">
        <f>IFERROR(__xludf.DUMMYFUNCTION("""COMPUTED_VALUE"""),"#N/A")</f>
        <v>#N/A</v>
      </c>
    </row>
    <row r="5524">
      <c r="O5524" s="1" t="str">
        <f>IFERROR(__xludf.DUMMYFUNCTION("""COMPUTED_VALUE"""),"#VALUE!")</f>
        <v>#VALUE!</v>
      </c>
      <c r="P5524" s="1" t="str">
        <f>IFERROR(__xludf.DUMMYFUNCTION("""COMPUTED_VALUE"""),"#N/A")</f>
        <v>#N/A</v>
      </c>
      <c r="Q5524" s="1"/>
      <c r="R5524" s="1"/>
      <c r="S5524" s="1"/>
      <c r="T5524" s="1"/>
      <c r="U5524" s="2">
        <f>IFERROR(__xludf.DUMMYFUNCTION("""COMPUTED_VALUE"""),0.0)</f>
        <v>0</v>
      </c>
      <c r="V5524" s="1" t="str">
        <f>IFERROR(__xludf.DUMMYFUNCTION("""COMPUTED_VALUE"""),"#N/A")</f>
        <v>#N/A</v>
      </c>
      <c r="W5524" s="1" t="str">
        <f>IFERROR(__xludf.DUMMYFUNCTION("""COMPUTED_VALUE"""),"#N/A")</f>
        <v>#N/A</v>
      </c>
    </row>
    <row r="5525">
      <c r="O5525" s="1" t="str">
        <f>IFERROR(__xludf.DUMMYFUNCTION("""COMPUTED_VALUE"""),"#VALUE!")</f>
        <v>#VALUE!</v>
      </c>
      <c r="P5525" s="1" t="str">
        <f>IFERROR(__xludf.DUMMYFUNCTION("""COMPUTED_VALUE"""),"#N/A")</f>
        <v>#N/A</v>
      </c>
      <c r="Q5525" s="1"/>
      <c r="R5525" s="1"/>
      <c r="S5525" s="1"/>
      <c r="T5525" s="1"/>
      <c r="U5525" s="2">
        <f>IFERROR(__xludf.DUMMYFUNCTION("""COMPUTED_VALUE"""),0.0)</f>
        <v>0</v>
      </c>
      <c r="V5525" s="1" t="str">
        <f>IFERROR(__xludf.DUMMYFUNCTION("""COMPUTED_VALUE"""),"#N/A")</f>
        <v>#N/A</v>
      </c>
      <c r="W5525" s="1" t="str">
        <f>IFERROR(__xludf.DUMMYFUNCTION("""COMPUTED_VALUE"""),"#N/A")</f>
        <v>#N/A</v>
      </c>
    </row>
    <row r="5526">
      <c r="O5526" s="1" t="str">
        <f>IFERROR(__xludf.DUMMYFUNCTION("""COMPUTED_VALUE"""),"#VALUE!")</f>
        <v>#VALUE!</v>
      </c>
      <c r="P5526" s="1" t="str">
        <f>IFERROR(__xludf.DUMMYFUNCTION("""COMPUTED_VALUE"""),"#N/A")</f>
        <v>#N/A</v>
      </c>
      <c r="Q5526" s="1"/>
      <c r="R5526" s="1"/>
      <c r="S5526" s="1"/>
      <c r="T5526" s="1"/>
      <c r="U5526" s="2">
        <f>IFERROR(__xludf.DUMMYFUNCTION("""COMPUTED_VALUE"""),0.0)</f>
        <v>0</v>
      </c>
      <c r="V5526" s="1" t="str">
        <f>IFERROR(__xludf.DUMMYFUNCTION("""COMPUTED_VALUE"""),"#N/A")</f>
        <v>#N/A</v>
      </c>
      <c r="W5526" s="1" t="str">
        <f>IFERROR(__xludf.DUMMYFUNCTION("""COMPUTED_VALUE"""),"#N/A")</f>
        <v>#N/A</v>
      </c>
    </row>
    <row r="5527">
      <c r="O5527" s="1" t="str">
        <f>IFERROR(__xludf.DUMMYFUNCTION("""COMPUTED_VALUE"""),"#VALUE!")</f>
        <v>#VALUE!</v>
      </c>
      <c r="P5527" s="1" t="str">
        <f>IFERROR(__xludf.DUMMYFUNCTION("""COMPUTED_VALUE"""),"#N/A")</f>
        <v>#N/A</v>
      </c>
      <c r="Q5527" s="1"/>
      <c r="R5527" s="1"/>
      <c r="S5527" s="1"/>
      <c r="T5527" s="1"/>
      <c r="U5527" s="2">
        <f>IFERROR(__xludf.DUMMYFUNCTION("""COMPUTED_VALUE"""),0.0)</f>
        <v>0</v>
      </c>
      <c r="V5527" s="1" t="str">
        <f>IFERROR(__xludf.DUMMYFUNCTION("""COMPUTED_VALUE"""),"#N/A")</f>
        <v>#N/A</v>
      </c>
      <c r="W5527" s="1" t="str">
        <f>IFERROR(__xludf.DUMMYFUNCTION("""COMPUTED_VALUE"""),"#N/A")</f>
        <v>#N/A</v>
      </c>
    </row>
    <row r="5528">
      <c r="O5528" s="1" t="str">
        <f>IFERROR(__xludf.DUMMYFUNCTION("""COMPUTED_VALUE"""),"#VALUE!")</f>
        <v>#VALUE!</v>
      </c>
      <c r="P5528" s="1" t="str">
        <f>IFERROR(__xludf.DUMMYFUNCTION("""COMPUTED_VALUE"""),"#N/A")</f>
        <v>#N/A</v>
      </c>
      <c r="Q5528" s="1"/>
      <c r="R5528" s="1"/>
      <c r="S5528" s="1"/>
      <c r="T5528" s="1"/>
      <c r="U5528" s="2">
        <f>IFERROR(__xludf.DUMMYFUNCTION("""COMPUTED_VALUE"""),0.0)</f>
        <v>0</v>
      </c>
      <c r="V5528" s="1" t="str">
        <f>IFERROR(__xludf.DUMMYFUNCTION("""COMPUTED_VALUE"""),"#N/A")</f>
        <v>#N/A</v>
      </c>
      <c r="W5528" s="1" t="str">
        <f>IFERROR(__xludf.DUMMYFUNCTION("""COMPUTED_VALUE"""),"#N/A")</f>
        <v>#N/A</v>
      </c>
    </row>
    <row r="5529">
      <c r="O5529" s="1" t="str">
        <f>IFERROR(__xludf.DUMMYFUNCTION("""COMPUTED_VALUE"""),"#VALUE!")</f>
        <v>#VALUE!</v>
      </c>
      <c r="P5529" s="1" t="str">
        <f>IFERROR(__xludf.DUMMYFUNCTION("""COMPUTED_VALUE"""),"#N/A")</f>
        <v>#N/A</v>
      </c>
      <c r="Q5529" s="1"/>
      <c r="R5529" s="1"/>
      <c r="S5529" s="1"/>
      <c r="T5529" s="1"/>
      <c r="U5529" s="2">
        <f>IFERROR(__xludf.DUMMYFUNCTION("""COMPUTED_VALUE"""),0.0)</f>
        <v>0</v>
      </c>
      <c r="V5529" s="1" t="str">
        <f>IFERROR(__xludf.DUMMYFUNCTION("""COMPUTED_VALUE"""),"#N/A")</f>
        <v>#N/A</v>
      </c>
      <c r="W5529" s="1" t="str">
        <f>IFERROR(__xludf.DUMMYFUNCTION("""COMPUTED_VALUE"""),"#N/A")</f>
        <v>#N/A</v>
      </c>
    </row>
    <row r="5530">
      <c r="O5530" s="1" t="str">
        <f>IFERROR(__xludf.DUMMYFUNCTION("""COMPUTED_VALUE"""),"#VALUE!")</f>
        <v>#VALUE!</v>
      </c>
      <c r="P5530" s="1" t="str">
        <f>IFERROR(__xludf.DUMMYFUNCTION("""COMPUTED_VALUE"""),"#N/A")</f>
        <v>#N/A</v>
      </c>
      <c r="Q5530" s="1"/>
      <c r="R5530" s="1"/>
      <c r="S5530" s="1"/>
      <c r="T5530" s="1"/>
      <c r="U5530" s="2">
        <f>IFERROR(__xludf.DUMMYFUNCTION("""COMPUTED_VALUE"""),0.0)</f>
        <v>0</v>
      </c>
      <c r="V5530" s="1" t="str">
        <f>IFERROR(__xludf.DUMMYFUNCTION("""COMPUTED_VALUE"""),"#N/A")</f>
        <v>#N/A</v>
      </c>
      <c r="W5530" s="1" t="str">
        <f>IFERROR(__xludf.DUMMYFUNCTION("""COMPUTED_VALUE"""),"#N/A")</f>
        <v>#N/A</v>
      </c>
    </row>
    <row r="5531">
      <c r="O5531" s="1" t="str">
        <f>IFERROR(__xludf.DUMMYFUNCTION("""COMPUTED_VALUE"""),"#VALUE!")</f>
        <v>#VALUE!</v>
      </c>
      <c r="P5531" s="1" t="str">
        <f>IFERROR(__xludf.DUMMYFUNCTION("""COMPUTED_VALUE"""),"#N/A")</f>
        <v>#N/A</v>
      </c>
      <c r="Q5531" s="1"/>
      <c r="R5531" s="1"/>
      <c r="S5531" s="1"/>
      <c r="T5531" s="1"/>
      <c r="U5531" s="2">
        <f>IFERROR(__xludf.DUMMYFUNCTION("""COMPUTED_VALUE"""),0.0)</f>
        <v>0</v>
      </c>
      <c r="V5531" s="1" t="str">
        <f>IFERROR(__xludf.DUMMYFUNCTION("""COMPUTED_VALUE"""),"#N/A")</f>
        <v>#N/A</v>
      </c>
      <c r="W5531" s="1" t="str">
        <f>IFERROR(__xludf.DUMMYFUNCTION("""COMPUTED_VALUE"""),"#N/A")</f>
        <v>#N/A</v>
      </c>
    </row>
    <row r="5532">
      <c r="O5532" s="1" t="str">
        <f>IFERROR(__xludf.DUMMYFUNCTION("""COMPUTED_VALUE"""),"#VALUE!")</f>
        <v>#VALUE!</v>
      </c>
      <c r="P5532" s="1" t="str">
        <f>IFERROR(__xludf.DUMMYFUNCTION("""COMPUTED_VALUE"""),"#N/A")</f>
        <v>#N/A</v>
      </c>
      <c r="Q5532" s="1"/>
      <c r="R5532" s="1"/>
      <c r="S5532" s="1"/>
      <c r="T5532" s="1"/>
      <c r="U5532" s="2">
        <f>IFERROR(__xludf.DUMMYFUNCTION("""COMPUTED_VALUE"""),0.0)</f>
        <v>0</v>
      </c>
      <c r="V5532" s="1" t="str">
        <f>IFERROR(__xludf.DUMMYFUNCTION("""COMPUTED_VALUE"""),"#N/A")</f>
        <v>#N/A</v>
      </c>
      <c r="W5532" s="1" t="str">
        <f>IFERROR(__xludf.DUMMYFUNCTION("""COMPUTED_VALUE"""),"#N/A")</f>
        <v>#N/A</v>
      </c>
    </row>
    <row r="5533">
      <c r="O5533" s="1" t="str">
        <f>IFERROR(__xludf.DUMMYFUNCTION("""COMPUTED_VALUE"""),"#VALUE!")</f>
        <v>#VALUE!</v>
      </c>
      <c r="P5533" s="1" t="str">
        <f>IFERROR(__xludf.DUMMYFUNCTION("""COMPUTED_VALUE"""),"#N/A")</f>
        <v>#N/A</v>
      </c>
      <c r="Q5533" s="1"/>
      <c r="R5533" s="1"/>
      <c r="S5533" s="1"/>
      <c r="T5533" s="1"/>
      <c r="U5533" s="2">
        <f>IFERROR(__xludf.DUMMYFUNCTION("""COMPUTED_VALUE"""),0.0)</f>
        <v>0</v>
      </c>
      <c r="V5533" s="1" t="str">
        <f>IFERROR(__xludf.DUMMYFUNCTION("""COMPUTED_VALUE"""),"#N/A")</f>
        <v>#N/A</v>
      </c>
      <c r="W5533" s="1" t="str">
        <f>IFERROR(__xludf.DUMMYFUNCTION("""COMPUTED_VALUE"""),"#N/A")</f>
        <v>#N/A</v>
      </c>
    </row>
    <row r="5534">
      <c r="O5534" s="1" t="str">
        <f>IFERROR(__xludf.DUMMYFUNCTION("""COMPUTED_VALUE"""),"#VALUE!")</f>
        <v>#VALUE!</v>
      </c>
      <c r="P5534" s="1" t="str">
        <f>IFERROR(__xludf.DUMMYFUNCTION("""COMPUTED_VALUE"""),"#N/A")</f>
        <v>#N/A</v>
      </c>
      <c r="Q5534" s="1"/>
      <c r="R5534" s="1"/>
      <c r="S5534" s="1"/>
      <c r="T5534" s="1"/>
      <c r="U5534" s="2">
        <f>IFERROR(__xludf.DUMMYFUNCTION("""COMPUTED_VALUE"""),0.0)</f>
        <v>0</v>
      </c>
      <c r="V5534" s="1" t="str">
        <f>IFERROR(__xludf.DUMMYFUNCTION("""COMPUTED_VALUE"""),"#N/A")</f>
        <v>#N/A</v>
      </c>
      <c r="W5534" s="1" t="str">
        <f>IFERROR(__xludf.DUMMYFUNCTION("""COMPUTED_VALUE"""),"#N/A")</f>
        <v>#N/A</v>
      </c>
    </row>
    <row r="5535">
      <c r="O5535" s="1" t="str">
        <f>IFERROR(__xludf.DUMMYFUNCTION("""COMPUTED_VALUE"""),"#VALUE!")</f>
        <v>#VALUE!</v>
      </c>
      <c r="P5535" s="1" t="str">
        <f>IFERROR(__xludf.DUMMYFUNCTION("""COMPUTED_VALUE"""),"#N/A")</f>
        <v>#N/A</v>
      </c>
      <c r="Q5535" s="1"/>
      <c r="R5535" s="1"/>
      <c r="S5535" s="1"/>
      <c r="T5535" s="1"/>
      <c r="U5535" s="2">
        <f>IFERROR(__xludf.DUMMYFUNCTION("""COMPUTED_VALUE"""),0.0)</f>
        <v>0</v>
      </c>
      <c r="V5535" s="1" t="str">
        <f>IFERROR(__xludf.DUMMYFUNCTION("""COMPUTED_VALUE"""),"#N/A")</f>
        <v>#N/A</v>
      </c>
      <c r="W5535" s="1" t="str">
        <f>IFERROR(__xludf.DUMMYFUNCTION("""COMPUTED_VALUE"""),"#N/A")</f>
        <v>#N/A</v>
      </c>
    </row>
    <row r="5536">
      <c r="O5536" s="1" t="str">
        <f>IFERROR(__xludf.DUMMYFUNCTION("""COMPUTED_VALUE"""),"#VALUE!")</f>
        <v>#VALUE!</v>
      </c>
      <c r="P5536" s="1" t="str">
        <f>IFERROR(__xludf.DUMMYFUNCTION("""COMPUTED_VALUE"""),"#N/A")</f>
        <v>#N/A</v>
      </c>
      <c r="Q5536" s="1"/>
      <c r="R5536" s="1"/>
      <c r="S5536" s="1"/>
      <c r="T5536" s="1"/>
      <c r="U5536" s="2">
        <f>IFERROR(__xludf.DUMMYFUNCTION("""COMPUTED_VALUE"""),0.0)</f>
        <v>0</v>
      </c>
      <c r="V5536" s="1" t="str">
        <f>IFERROR(__xludf.DUMMYFUNCTION("""COMPUTED_VALUE"""),"#N/A")</f>
        <v>#N/A</v>
      </c>
      <c r="W5536" s="1" t="str">
        <f>IFERROR(__xludf.DUMMYFUNCTION("""COMPUTED_VALUE"""),"#N/A")</f>
        <v>#N/A</v>
      </c>
    </row>
    <row r="5537">
      <c r="O5537" s="1" t="str">
        <f>IFERROR(__xludf.DUMMYFUNCTION("""COMPUTED_VALUE"""),"#VALUE!")</f>
        <v>#VALUE!</v>
      </c>
      <c r="P5537" s="1" t="str">
        <f>IFERROR(__xludf.DUMMYFUNCTION("""COMPUTED_VALUE"""),"#N/A")</f>
        <v>#N/A</v>
      </c>
      <c r="Q5537" s="1"/>
      <c r="R5537" s="1"/>
      <c r="S5537" s="1"/>
      <c r="T5537" s="1"/>
      <c r="U5537" s="2">
        <f>IFERROR(__xludf.DUMMYFUNCTION("""COMPUTED_VALUE"""),0.0)</f>
        <v>0</v>
      </c>
      <c r="V5537" s="1" t="str">
        <f>IFERROR(__xludf.DUMMYFUNCTION("""COMPUTED_VALUE"""),"#N/A")</f>
        <v>#N/A</v>
      </c>
      <c r="W5537" s="1" t="str">
        <f>IFERROR(__xludf.DUMMYFUNCTION("""COMPUTED_VALUE"""),"#N/A")</f>
        <v>#N/A</v>
      </c>
    </row>
    <row r="5538">
      <c r="O5538" s="1" t="str">
        <f>IFERROR(__xludf.DUMMYFUNCTION("""COMPUTED_VALUE"""),"#VALUE!")</f>
        <v>#VALUE!</v>
      </c>
      <c r="P5538" s="1" t="str">
        <f>IFERROR(__xludf.DUMMYFUNCTION("""COMPUTED_VALUE"""),"#N/A")</f>
        <v>#N/A</v>
      </c>
      <c r="Q5538" s="1"/>
      <c r="R5538" s="1"/>
      <c r="S5538" s="1"/>
      <c r="T5538" s="1"/>
      <c r="U5538" s="2">
        <f>IFERROR(__xludf.DUMMYFUNCTION("""COMPUTED_VALUE"""),0.0)</f>
        <v>0</v>
      </c>
      <c r="V5538" s="1" t="str">
        <f>IFERROR(__xludf.DUMMYFUNCTION("""COMPUTED_VALUE"""),"#N/A")</f>
        <v>#N/A</v>
      </c>
      <c r="W5538" s="1" t="str">
        <f>IFERROR(__xludf.DUMMYFUNCTION("""COMPUTED_VALUE"""),"#N/A")</f>
        <v>#N/A</v>
      </c>
    </row>
    <row r="5539">
      <c r="O5539" s="1" t="str">
        <f>IFERROR(__xludf.DUMMYFUNCTION("""COMPUTED_VALUE"""),"#VALUE!")</f>
        <v>#VALUE!</v>
      </c>
      <c r="P5539" s="1" t="str">
        <f>IFERROR(__xludf.DUMMYFUNCTION("""COMPUTED_VALUE"""),"#N/A")</f>
        <v>#N/A</v>
      </c>
      <c r="Q5539" s="1"/>
      <c r="R5539" s="1"/>
      <c r="S5539" s="1"/>
      <c r="T5539" s="1"/>
      <c r="U5539" s="2">
        <f>IFERROR(__xludf.DUMMYFUNCTION("""COMPUTED_VALUE"""),0.0)</f>
        <v>0</v>
      </c>
      <c r="V5539" s="1" t="str">
        <f>IFERROR(__xludf.DUMMYFUNCTION("""COMPUTED_VALUE"""),"#N/A")</f>
        <v>#N/A</v>
      </c>
      <c r="W5539" s="1" t="str">
        <f>IFERROR(__xludf.DUMMYFUNCTION("""COMPUTED_VALUE"""),"#N/A")</f>
        <v>#N/A</v>
      </c>
    </row>
    <row r="5540">
      <c r="O5540" s="1" t="str">
        <f>IFERROR(__xludf.DUMMYFUNCTION("""COMPUTED_VALUE"""),"#VALUE!")</f>
        <v>#VALUE!</v>
      </c>
      <c r="P5540" s="1" t="str">
        <f>IFERROR(__xludf.DUMMYFUNCTION("""COMPUTED_VALUE"""),"#N/A")</f>
        <v>#N/A</v>
      </c>
      <c r="Q5540" s="1"/>
      <c r="R5540" s="1"/>
      <c r="S5540" s="1"/>
      <c r="T5540" s="1"/>
      <c r="U5540" s="2">
        <f>IFERROR(__xludf.DUMMYFUNCTION("""COMPUTED_VALUE"""),0.0)</f>
        <v>0</v>
      </c>
      <c r="V5540" s="1" t="str">
        <f>IFERROR(__xludf.DUMMYFUNCTION("""COMPUTED_VALUE"""),"#N/A")</f>
        <v>#N/A</v>
      </c>
      <c r="W5540" s="1" t="str">
        <f>IFERROR(__xludf.DUMMYFUNCTION("""COMPUTED_VALUE"""),"#N/A")</f>
        <v>#N/A</v>
      </c>
    </row>
    <row r="5541">
      <c r="O5541" s="1" t="str">
        <f>IFERROR(__xludf.DUMMYFUNCTION("""COMPUTED_VALUE"""),"#VALUE!")</f>
        <v>#VALUE!</v>
      </c>
      <c r="P5541" s="1" t="str">
        <f>IFERROR(__xludf.DUMMYFUNCTION("""COMPUTED_VALUE"""),"#N/A")</f>
        <v>#N/A</v>
      </c>
      <c r="Q5541" s="1"/>
      <c r="R5541" s="1"/>
      <c r="S5541" s="1"/>
      <c r="T5541" s="1"/>
      <c r="U5541" s="2">
        <f>IFERROR(__xludf.DUMMYFUNCTION("""COMPUTED_VALUE"""),0.0)</f>
        <v>0</v>
      </c>
      <c r="V5541" s="1" t="str">
        <f>IFERROR(__xludf.DUMMYFUNCTION("""COMPUTED_VALUE"""),"#N/A")</f>
        <v>#N/A</v>
      </c>
      <c r="W5541" s="1" t="str">
        <f>IFERROR(__xludf.DUMMYFUNCTION("""COMPUTED_VALUE"""),"#N/A")</f>
        <v>#N/A</v>
      </c>
    </row>
    <row r="5542">
      <c r="O5542" s="1" t="str">
        <f>IFERROR(__xludf.DUMMYFUNCTION("""COMPUTED_VALUE"""),"#VALUE!")</f>
        <v>#VALUE!</v>
      </c>
      <c r="P5542" s="1" t="str">
        <f>IFERROR(__xludf.DUMMYFUNCTION("""COMPUTED_VALUE"""),"#N/A")</f>
        <v>#N/A</v>
      </c>
      <c r="Q5542" s="1"/>
      <c r="R5542" s="1"/>
      <c r="S5542" s="1"/>
      <c r="T5542" s="1"/>
      <c r="U5542" s="2">
        <f>IFERROR(__xludf.DUMMYFUNCTION("""COMPUTED_VALUE"""),0.0)</f>
        <v>0</v>
      </c>
      <c r="V5542" s="1" t="str">
        <f>IFERROR(__xludf.DUMMYFUNCTION("""COMPUTED_VALUE"""),"#N/A")</f>
        <v>#N/A</v>
      </c>
      <c r="W5542" s="1" t="str">
        <f>IFERROR(__xludf.DUMMYFUNCTION("""COMPUTED_VALUE"""),"#N/A")</f>
        <v>#N/A</v>
      </c>
    </row>
    <row r="5543">
      <c r="O5543" s="1" t="str">
        <f>IFERROR(__xludf.DUMMYFUNCTION("""COMPUTED_VALUE"""),"#VALUE!")</f>
        <v>#VALUE!</v>
      </c>
      <c r="P5543" s="1" t="str">
        <f>IFERROR(__xludf.DUMMYFUNCTION("""COMPUTED_VALUE"""),"#N/A")</f>
        <v>#N/A</v>
      </c>
      <c r="Q5543" s="1"/>
      <c r="R5543" s="1"/>
      <c r="S5543" s="1"/>
      <c r="T5543" s="1"/>
      <c r="U5543" s="2">
        <f>IFERROR(__xludf.DUMMYFUNCTION("""COMPUTED_VALUE"""),0.0)</f>
        <v>0</v>
      </c>
      <c r="V5543" s="1" t="str">
        <f>IFERROR(__xludf.DUMMYFUNCTION("""COMPUTED_VALUE"""),"#N/A")</f>
        <v>#N/A</v>
      </c>
      <c r="W5543" s="1" t="str">
        <f>IFERROR(__xludf.DUMMYFUNCTION("""COMPUTED_VALUE"""),"#N/A")</f>
        <v>#N/A</v>
      </c>
    </row>
    <row r="5544">
      <c r="O5544" s="1" t="str">
        <f>IFERROR(__xludf.DUMMYFUNCTION("""COMPUTED_VALUE"""),"#VALUE!")</f>
        <v>#VALUE!</v>
      </c>
      <c r="P5544" s="1" t="str">
        <f>IFERROR(__xludf.DUMMYFUNCTION("""COMPUTED_VALUE"""),"#N/A")</f>
        <v>#N/A</v>
      </c>
      <c r="Q5544" s="1"/>
      <c r="R5544" s="1"/>
      <c r="S5544" s="1"/>
      <c r="T5544" s="1"/>
      <c r="U5544" s="2">
        <f>IFERROR(__xludf.DUMMYFUNCTION("""COMPUTED_VALUE"""),0.0)</f>
        <v>0</v>
      </c>
      <c r="V5544" s="1" t="str">
        <f>IFERROR(__xludf.DUMMYFUNCTION("""COMPUTED_VALUE"""),"#N/A")</f>
        <v>#N/A</v>
      </c>
      <c r="W5544" s="1" t="str">
        <f>IFERROR(__xludf.DUMMYFUNCTION("""COMPUTED_VALUE"""),"#N/A")</f>
        <v>#N/A</v>
      </c>
    </row>
    <row r="5545">
      <c r="O5545" s="1" t="str">
        <f>IFERROR(__xludf.DUMMYFUNCTION("""COMPUTED_VALUE"""),"#VALUE!")</f>
        <v>#VALUE!</v>
      </c>
      <c r="P5545" s="1" t="str">
        <f>IFERROR(__xludf.DUMMYFUNCTION("""COMPUTED_VALUE"""),"#N/A")</f>
        <v>#N/A</v>
      </c>
      <c r="Q5545" s="1"/>
      <c r="R5545" s="1"/>
      <c r="S5545" s="1"/>
      <c r="T5545" s="1"/>
      <c r="U5545" s="2">
        <f>IFERROR(__xludf.DUMMYFUNCTION("""COMPUTED_VALUE"""),0.0)</f>
        <v>0</v>
      </c>
      <c r="V5545" s="1" t="str">
        <f>IFERROR(__xludf.DUMMYFUNCTION("""COMPUTED_VALUE"""),"#N/A")</f>
        <v>#N/A</v>
      </c>
      <c r="W5545" s="1" t="str">
        <f>IFERROR(__xludf.DUMMYFUNCTION("""COMPUTED_VALUE"""),"#N/A")</f>
        <v>#N/A</v>
      </c>
    </row>
    <row r="5546">
      <c r="O5546" s="1" t="str">
        <f>IFERROR(__xludf.DUMMYFUNCTION("""COMPUTED_VALUE"""),"#VALUE!")</f>
        <v>#VALUE!</v>
      </c>
      <c r="P5546" s="1" t="str">
        <f>IFERROR(__xludf.DUMMYFUNCTION("""COMPUTED_VALUE"""),"#N/A")</f>
        <v>#N/A</v>
      </c>
      <c r="Q5546" s="1"/>
      <c r="R5546" s="1"/>
      <c r="S5546" s="1"/>
      <c r="T5546" s="1"/>
      <c r="U5546" s="2">
        <f>IFERROR(__xludf.DUMMYFUNCTION("""COMPUTED_VALUE"""),0.0)</f>
        <v>0</v>
      </c>
      <c r="V5546" s="1" t="str">
        <f>IFERROR(__xludf.DUMMYFUNCTION("""COMPUTED_VALUE"""),"#N/A")</f>
        <v>#N/A</v>
      </c>
      <c r="W5546" s="1" t="str">
        <f>IFERROR(__xludf.DUMMYFUNCTION("""COMPUTED_VALUE"""),"#N/A")</f>
        <v>#N/A</v>
      </c>
    </row>
    <row r="5547">
      <c r="O5547" s="1" t="str">
        <f>IFERROR(__xludf.DUMMYFUNCTION("""COMPUTED_VALUE"""),"#VALUE!")</f>
        <v>#VALUE!</v>
      </c>
      <c r="P5547" s="1" t="str">
        <f>IFERROR(__xludf.DUMMYFUNCTION("""COMPUTED_VALUE"""),"#N/A")</f>
        <v>#N/A</v>
      </c>
      <c r="Q5547" s="1"/>
      <c r="R5547" s="1"/>
      <c r="S5547" s="1"/>
      <c r="T5547" s="1"/>
      <c r="U5547" s="2">
        <f>IFERROR(__xludf.DUMMYFUNCTION("""COMPUTED_VALUE"""),0.0)</f>
        <v>0</v>
      </c>
      <c r="V5547" s="1" t="str">
        <f>IFERROR(__xludf.DUMMYFUNCTION("""COMPUTED_VALUE"""),"#N/A")</f>
        <v>#N/A</v>
      </c>
      <c r="W5547" s="1" t="str">
        <f>IFERROR(__xludf.DUMMYFUNCTION("""COMPUTED_VALUE"""),"#N/A")</f>
        <v>#N/A</v>
      </c>
    </row>
    <row r="5548">
      <c r="O5548" s="1" t="str">
        <f>IFERROR(__xludf.DUMMYFUNCTION("""COMPUTED_VALUE"""),"#VALUE!")</f>
        <v>#VALUE!</v>
      </c>
      <c r="P5548" s="1" t="str">
        <f>IFERROR(__xludf.DUMMYFUNCTION("""COMPUTED_VALUE"""),"#N/A")</f>
        <v>#N/A</v>
      </c>
      <c r="Q5548" s="1"/>
      <c r="R5548" s="1"/>
      <c r="S5548" s="1"/>
      <c r="T5548" s="1"/>
      <c r="U5548" s="2">
        <f>IFERROR(__xludf.DUMMYFUNCTION("""COMPUTED_VALUE"""),0.0)</f>
        <v>0</v>
      </c>
      <c r="V5548" s="1" t="str">
        <f>IFERROR(__xludf.DUMMYFUNCTION("""COMPUTED_VALUE"""),"#N/A")</f>
        <v>#N/A</v>
      </c>
      <c r="W5548" s="1" t="str">
        <f>IFERROR(__xludf.DUMMYFUNCTION("""COMPUTED_VALUE"""),"#N/A")</f>
        <v>#N/A</v>
      </c>
    </row>
    <row r="5549">
      <c r="O5549" s="1" t="str">
        <f>IFERROR(__xludf.DUMMYFUNCTION("""COMPUTED_VALUE"""),"#VALUE!")</f>
        <v>#VALUE!</v>
      </c>
      <c r="P5549" s="1" t="str">
        <f>IFERROR(__xludf.DUMMYFUNCTION("""COMPUTED_VALUE"""),"#N/A")</f>
        <v>#N/A</v>
      </c>
      <c r="Q5549" s="1"/>
      <c r="R5549" s="1"/>
      <c r="S5549" s="1"/>
      <c r="T5549" s="1"/>
      <c r="U5549" s="2">
        <f>IFERROR(__xludf.DUMMYFUNCTION("""COMPUTED_VALUE"""),0.0)</f>
        <v>0</v>
      </c>
      <c r="V5549" s="1" t="str">
        <f>IFERROR(__xludf.DUMMYFUNCTION("""COMPUTED_VALUE"""),"#N/A")</f>
        <v>#N/A</v>
      </c>
      <c r="W5549" s="1" t="str">
        <f>IFERROR(__xludf.DUMMYFUNCTION("""COMPUTED_VALUE"""),"#N/A")</f>
        <v>#N/A</v>
      </c>
    </row>
    <row r="5550">
      <c r="O5550" s="1" t="str">
        <f>IFERROR(__xludf.DUMMYFUNCTION("""COMPUTED_VALUE"""),"#VALUE!")</f>
        <v>#VALUE!</v>
      </c>
      <c r="P5550" s="1" t="str">
        <f>IFERROR(__xludf.DUMMYFUNCTION("""COMPUTED_VALUE"""),"#N/A")</f>
        <v>#N/A</v>
      </c>
      <c r="Q5550" s="1"/>
      <c r="R5550" s="1"/>
      <c r="S5550" s="1"/>
      <c r="T5550" s="1"/>
      <c r="U5550" s="2">
        <f>IFERROR(__xludf.DUMMYFUNCTION("""COMPUTED_VALUE"""),0.0)</f>
        <v>0</v>
      </c>
      <c r="V5550" s="1" t="str">
        <f>IFERROR(__xludf.DUMMYFUNCTION("""COMPUTED_VALUE"""),"#N/A")</f>
        <v>#N/A</v>
      </c>
      <c r="W5550" s="1" t="str">
        <f>IFERROR(__xludf.DUMMYFUNCTION("""COMPUTED_VALUE"""),"#N/A")</f>
        <v>#N/A</v>
      </c>
    </row>
    <row r="5551">
      <c r="O5551" s="1" t="str">
        <f>IFERROR(__xludf.DUMMYFUNCTION("""COMPUTED_VALUE"""),"#VALUE!")</f>
        <v>#VALUE!</v>
      </c>
      <c r="P5551" s="1" t="str">
        <f>IFERROR(__xludf.DUMMYFUNCTION("""COMPUTED_VALUE"""),"#N/A")</f>
        <v>#N/A</v>
      </c>
      <c r="Q5551" s="1"/>
      <c r="R5551" s="1"/>
      <c r="S5551" s="1"/>
      <c r="T5551" s="1"/>
      <c r="U5551" s="2">
        <f>IFERROR(__xludf.DUMMYFUNCTION("""COMPUTED_VALUE"""),0.0)</f>
        <v>0</v>
      </c>
      <c r="V5551" s="1" t="str">
        <f>IFERROR(__xludf.DUMMYFUNCTION("""COMPUTED_VALUE"""),"#N/A")</f>
        <v>#N/A</v>
      </c>
      <c r="W5551" s="1" t="str">
        <f>IFERROR(__xludf.DUMMYFUNCTION("""COMPUTED_VALUE"""),"#N/A")</f>
        <v>#N/A</v>
      </c>
    </row>
    <row r="5552">
      <c r="O5552" s="1" t="str">
        <f>IFERROR(__xludf.DUMMYFUNCTION("""COMPUTED_VALUE"""),"#VALUE!")</f>
        <v>#VALUE!</v>
      </c>
      <c r="P5552" s="1" t="str">
        <f>IFERROR(__xludf.DUMMYFUNCTION("""COMPUTED_VALUE"""),"#N/A")</f>
        <v>#N/A</v>
      </c>
      <c r="Q5552" s="1"/>
      <c r="R5552" s="1"/>
      <c r="S5552" s="1"/>
      <c r="T5552" s="1"/>
      <c r="U5552" s="2">
        <f>IFERROR(__xludf.DUMMYFUNCTION("""COMPUTED_VALUE"""),0.0)</f>
        <v>0</v>
      </c>
      <c r="V5552" s="1" t="str">
        <f>IFERROR(__xludf.DUMMYFUNCTION("""COMPUTED_VALUE"""),"#N/A")</f>
        <v>#N/A</v>
      </c>
      <c r="W5552" s="1" t="str">
        <f>IFERROR(__xludf.DUMMYFUNCTION("""COMPUTED_VALUE"""),"#N/A")</f>
        <v>#N/A</v>
      </c>
    </row>
    <row r="5553">
      <c r="O5553" s="1" t="str">
        <f>IFERROR(__xludf.DUMMYFUNCTION("""COMPUTED_VALUE"""),"#VALUE!")</f>
        <v>#VALUE!</v>
      </c>
      <c r="P5553" s="1" t="str">
        <f>IFERROR(__xludf.DUMMYFUNCTION("""COMPUTED_VALUE"""),"#N/A")</f>
        <v>#N/A</v>
      </c>
      <c r="Q5553" s="1"/>
      <c r="R5553" s="1"/>
      <c r="S5553" s="1"/>
      <c r="T5553" s="1"/>
      <c r="U5553" s="2">
        <f>IFERROR(__xludf.DUMMYFUNCTION("""COMPUTED_VALUE"""),0.0)</f>
        <v>0</v>
      </c>
      <c r="V5553" s="1" t="str">
        <f>IFERROR(__xludf.DUMMYFUNCTION("""COMPUTED_VALUE"""),"#N/A")</f>
        <v>#N/A</v>
      </c>
      <c r="W5553" s="1" t="str">
        <f>IFERROR(__xludf.DUMMYFUNCTION("""COMPUTED_VALUE"""),"#N/A")</f>
        <v>#N/A</v>
      </c>
    </row>
    <row r="5554">
      <c r="O5554" s="1" t="str">
        <f>IFERROR(__xludf.DUMMYFUNCTION("""COMPUTED_VALUE"""),"#VALUE!")</f>
        <v>#VALUE!</v>
      </c>
      <c r="P5554" s="1" t="str">
        <f>IFERROR(__xludf.DUMMYFUNCTION("""COMPUTED_VALUE"""),"#N/A")</f>
        <v>#N/A</v>
      </c>
      <c r="Q5554" s="1"/>
      <c r="R5554" s="1"/>
      <c r="S5554" s="1"/>
      <c r="T5554" s="1"/>
      <c r="U5554" s="2">
        <f>IFERROR(__xludf.DUMMYFUNCTION("""COMPUTED_VALUE"""),0.0)</f>
        <v>0</v>
      </c>
      <c r="V5554" s="1" t="str">
        <f>IFERROR(__xludf.DUMMYFUNCTION("""COMPUTED_VALUE"""),"#N/A")</f>
        <v>#N/A</v>
      </c>
      <c r="W5554" s="1" t="str">
        <f>IFERROR(__xludf.DUMMYFUNCTION("""COMPUTED_VALUE"""),"#N/A")</f>
        <v>#N/A</v>
      </c>
    </row>
    <row r="5555">
      <c r="O5555" s="1" t="str">
        <f>IFERROR(__xludf.DUMMYFUNCTION("""COMPUTED_VALUE"""),"#VALUE!")</f>
        <v>#VALUE!</v>
      </c>
      <c r="P5555" s="1" t="str">
        <f>IFERROR(__xludf.DUMMYFUNCTION("""COMPUTED_VALUE"""),"#N/A")</f>
        <v>#N/A</v>
      </c>
      <c r="Q5555" s="1"/>
      <c r="R5555" s="1"/>
      <c r="S5555" s="1"/>
      <c r="T5555" s="1"/>
      <c r="U5555" s="2">
        <f>IFERROR(__xludf.DUMMYFUNCTION("""COMPUTED_VALUE"""),0.0)</f>
        <v>0</v>
      </c>
      <c r="V5555" s="1" t="str">
        <f>IFERROR(__xludf.DUMMYFUNCTION("""COMPUTED_VALUE"""),"#N/A")</f>
        <v>#N/A</v>
      </c>
      <c r="W5555" s="1" t="str">
        <f>IFERROR(__xludf.DUMMYFUNCTION("""COMPUTED_VALUE"""),"#N/A")</f>
        <v>#N/A</v>
      </c>
    </row>
    <row r="5556">
      <c r="O5556" s="1" t="str">
        <f>IFERROR(__xludf.DUMMYFUNCTION("""COMPUTED_VALUE"""),"#VALUE!")</f>
        <v>#VALUE!</v>
      </c>
      <c r="P5556" s="1" t="str">
        <f>IFERROR(__xludf.DUMMYFUNCTION("""COMPUTED_VALUE"""),"#N/A")</f>
        <v>#N/A</v>
      </c>
      <c r="Q5556" s="1"/>
      <c r="R5556" s="1"/>
      <c r="S5556" s="1"/>
      <c r="T5556" s="1"/>
      <c r="U5556" s="2">
        <f>IFERROR(__xludf.DUMMYFUNCTION("""COMPUTED_VALUE"""),0.0)</f>
        <v>0</v>
      </c>
      <c r="V5556" s="1" t="str">
        <f>IFERROR(__xludf.DUMMYFUNCTION("""COMPUTED_VALUE"""),"#N/A")</f>
        <v>#N/A</v>
      </c>
      <c r="W5556" s="1" t="str">
        <f>IFERROR(__xludf.DUMMYFUNCTION("""COMPUTED_VALUE"""),"#N/A")</f>
        <v>#N/A</v>
      </c>
    </row>
    <row r="5557">
      <c r="O5557" s="1" t="str">
        <f>IFERROR(__xludf.DUMMYFUNCTION("""COMPUTED_VALUE"""),"#VALUE!")</f>
        <v>#VALUE!</v>
      </c>
      <c r="P5557" s="1" t="str">
        <f>IFERROR(__xludf.DUMMYFUNCTION("""COMPUTED_VALUE"""),"#N/A")</f>
        <v>#N/A</v>
      </c>
      <c r="Q5557" s="1"/>
      <c r="R5557" s="1"/>
      <c r="S5557" s="1"/>
      <c r="T5557" s="1"/>
      <c r="U5557" s="2">
        <f>IFERROR(__xludf.DUMMYFUNCTION("""COMPUTED_VALUE"""),0.0)</f>
        <v>0</v>
      </c>
      <c r="V5557" s="1" t="str">
        <f>IFERROR(__xludf.DUMMYFUNCTION("""COMPUTED_VALUE"""),"#N/A")</f>
        <v>#N/A</v>
      </c>
      <c r="W5557" s="1" t="str">
        <f>IFERROR(__xludf.DUMMYFUNCTION("""COMPUTED_VALUE"""),"#N/A")</f>
        <v>#N/A</v>
      </c>
    </row>
    <row r="5558">
      <c r="O5558" s="1" t="str">
        <f>IFERROR(__xludf.DUMMYFUNCTION("""COMPUTED_VALUE"""),"#VALUE!")</f>
        <v>#VALUE!</v>
      </c>
      <c r="P5558" s="1" t="str">
        <f>IFERROR(__xludf.DUMMYFUNCTION("""COMPUTED_VALUE"""),"#N/A")</f>
        <v>#N/A</v>
      </c>
      <c r="Q5558" s="1"/>
      <c r="R5558" s="1"/>
      <c r="S5558" s="1"/>
      <c r="T5558" s="1"/>
      <c r="U5558" s="2">
        <f>IFERROR(__xludf.DUMMYFUNCTION("""COMPUTED_VALUE"""),0.0)</f>
        <v>0</v>
      </c>
      <c r="V5558" s="1" t="str">
        <f>IFERROR(__xludf.DUMMYFUNCTION("""COMPUTED_VALUE"""),"#N/A")</f>
        <v>#N/A</v>
      </c>
      <c r="W5558" s="1" t="str">
        <f>IFERROR(__xludf.DUMMYFUNCTION("""COMPUTED_VALUE"""),"#N/A")</f>
        <v>#N/A</v>
      </c>
    </row>
    <row r="5559">
      <c r="O5559" s="1" t="str">
        <f>IFERROR(__xludf.DUMMYFUNCTION("""COMPUTED_VALUE"""),"#VALUE!")</f>
        <v>#VALUE!</v>
      </c>
      <c r="P5559" s="1" t="str">
        <f>IFERROR(__xludf.DUMMYFUNCTION("""COMPUTED_VALUE"""),"#N/A")</f>
        <v>#N/A</v>
      </c>
      <c r="Q5559" s="1"/>
      <c r="R5559" s="1"/>
      <c r="S5559" s="1"/>
      <c r="T5559" s="1"/>
      <c r="U5559" s="2">
        <f>IFERROR(__xludf.DUMMYFUNCTION("""COMPUTED_VALUE"""),0.0)</f>
        <v>0</v>
      </c>
      <c r="V5559" s="1" t="str">
        <f>IFERROR(__xludf.DUMMYFUNCTION("""COMPUTED_VALUE"""),"#N/A")</f>
        <v>#N/A</v>
      </c>
      <c r="W5559" s="1" t="str">
        <f>IFERROR(__xludf.DUMMYFUNCTION("""COMPUTED_VALUE"""),"#N/A")</f>
        <v>#N/A</v>
      </c>
    </row>
    <row r="5560">
      <c r="O5560" s="1" t="str">
        <f>IFERROR(__xludf.DUMMYFUNCTION("""COMPUTED_VALUE"""),"#VALUE!")</f>
        <v>#VALUE!</v>
      </c>
      <c r="P5560" s="1" t="str">
        <f>IFERROR(__xludf.DUMMYFUNCTION("""COMPUTED_VALUE"""),"#N/A")</f>
        <v>#N/A</v>
      </c>
      <c r="Q5560" s="1"/>
      <c r="R5560" s="1"/>
      <c r="S5560" s="1"/>
      <c r="T5560" s="1"/>
      <c r="U5560" s="2">
        <f>IFERROR(__xludf.DUMMYFUNCTION("""COMPUTED_VALUE"""),0.0)</f>
        <v>0</v>
      </c>
      <c r="V5560" s="1" t="str">
        <f>IFERROR(__xludf.DUMMYFUNCTION("""COMPUTED_VALUE"""),"#N/A")</f>
        <v>#N/A</v>
      </c>
      <c r="W5560" s="1" t="str">
        <f>IFERROR(__xludf.DUMMYFUNCTION("""COMPUTED_VALUE"""),"#N/A")</f>
        <v>#N/A</v>
      </c>
    </row>
    <row r="5561">
      <c r="O5561" s="1" t="str">
        <f>IFERROR(__xludf.DUMMYFUNCTION("""COMPUTED_VALUE"""),"#VALUE!")</f>
        <v>#VALUE!</v>
      </c>
      <c r="P5561" s="1" t="str">
        <f>IFERROR(__xludf.DUMMYFUNCTION("""COMPUTED_VALUE"""),"#N/A")</f>
        <v>#N/A</v>
      </c>
      <c r="Q5561" s="1"/>
      <c r="R5561" s="1"/>
      <c r="S5561" s="1"/>
      <c r="T5561" s="1"/>
      <c r="U5561" s="2">
        <f>IFERROR(__xludf.DUMMYFUNCTION("""COMPUTED_VALUE"""),0.0)</f>
        <v>0</v>
      </c>
      <c r="V5561" s="1" t="str">
        <f>IFERROR(__xludf.DUMMYFUNCTION("""COMPUTED_VALUE"""),"#N/A")</f>
        <v>#N/A</v>
      </c>
      <c r="W5561" s="1" t="str">
        <f>IFERROR(__xludf.DUMMYFUNCTION("""COMPUTED_VALUE"""),"#N/A")</f>
        <v>#N/A</v>
      </c>
    </row>
    <row r="5562">
      <c r="O5562" s="1" t="str">
        <f>IFERROR(__xludf.DUMMYFUNCTION("""COMPUTED_VALUE"""),"#VALUE!")</f>
        <v>#VALUE!</v>
      </c>
      <c r="P5562" s="1" t="str">
        <f>IFERROR(__xludf.DUMMYFUNCTION("""COMPUTED_VALUE"""),"#N/A")</f>
        <v>#N/A</v>
      </c>
      <c r="Q5562" s="1"/>
      <c r="R5562" s="1"/>
      <c r="S5562" s="1"/>
      <c r="T5562" s="1"/>
      <c r="U5562" s="2">
        <f>IFERROR(__xludf.DUMMYFUNCTION("""COMPUTED_VALUE"""),0.0)</f>
        <v>0</v>
      </c>
      <c r="V5562" s="1" t="str">
        <f>IFERROR(__xludf.DUMMYFUNCTION("""COMPUTED_VALUE"""),"#N/A")</f>
        <v>#N/A</v>
      </c>
      <c r="W5562" s="1" t="str">
        <f>IFERROR(__xludf.DUMMYFUNCTION("""COMPUTED_VALUE"""),"#N/A")</f>
        <v>#N/A</v>
      </c>
    </row>
    <row r="5563">
      <c r="O5563" s="1" t="str">
        <f>IFERROR(__xludf.DUMMYFUNCTION("""COMPUTED_VALUE"""),"#VALUE!")</f>
        <v>#VALUE!</v>
      </c>
      <c r="P5563" s="1" t="str">
        <f>IFERROR(__xludf.DUMMYFUNCTION("""COMPUTED_VALUE"""),"#N/A")</f>
        <v>#N/A</v>
      </c>
      <c r="Q5563" s="1"/>
      <c r="R5563" s="1"/>
      <c r="S5563" s="1"/>
      <c r="T5563" s="1"/>
      <c r="U5563" s="2">
        <f>IFERROR(__xludf.DUMMYFUNCTION("""COMPUTED_VALUE"""),0.0)</f>
        <v>0</v>
      </c>
      <c r="V5563" s="1" t="str">
        <f>IFERROR(__xludf.DUMMYFUNCTION("""COMPUTED_VALUE"""),"#N/A")</f>
        <v>#N/A</v>
      </c>
      <c r="W5563" s="1" t="str">
        <f>IFERROR(__xludf.DUMMYFUNCTION("""COMPUTED_VALUE"""),"#N/A")</f>
        <v>#N/A</v>
      </c>
    </row>
    <row r="5564">
      <c r="O5564" s="1" t="str">
        <f>IFERROR(__xludf.DUMMYFUNCTION("""COMPUTED_VALUE"""),"#VALUE!")</f>
        <v>#VALUE!</v>
      </c>
      <c r="P5564" s="1" t="str">
        <f>IFERROR(__xludf.DUMMYFUNCTION("""COMPUTED_VALUE"""),"#N/A")</f>
        <v>#N/A</v>
      </c>
      <c r="Q5564" s="1"/>
      <c r="R5564" s="1"/>
      <c r="S5564" s="1"/>
      <c r="T5564" s="1"/>
      <c r="U5564" s="2">
        <f>IFERROR(__xludf.DUMMYFUNCTION("""COMPUTED_VALUE"""),0.0)</f>
        <v>0</v>
      </c>
      <c r="V5564" s="1" t="str">
        <f>IFERROR(__xludf.DUMMYFUNCTION("""COMPUTED_VALUE"""),"#N/A")</f>
        <v>#N/A</v>
      </c>
      <c r="W5564" s="1" t="str">
        <f>IFERROR(__xludf.DUMMYFUNCTION("""COMPUTED_VALUE"""),"#N/A")</f>
        <v>#N/A</v>
      </c>
    </row>
    <row r="5565">
      <c r="O5565" s="1" t="str">
        <f>IFERROR(__xludf.DUMMYFUNCTION("""COMPUTED_VALUE"""),"#VALUE!")</f>
        <v>#VALUE!</v>
      </c>
      <c r="P5565" s="1" t="str">
        <f>IFERROR(__xludf.DUMMYFUNCTION("""COMPUTED_VALUE"""),"#N/A")</f>
        <v>#N/A</v>
      </c>
      <c r="Q5565" s="1"/>
      <c r="R5565" s="1"/>
      <c r="S5565" s="1"/>
      <c r="T5565" s="1"/>
      <c r="U5565" s="2">
        <f>IFERROR(__xludf.DUMMYFUNCTION("""COMPUTED_VALUE"""),0.0)</f>
        <v>0</v>
      </c>
      <c r="V5565" s="1" t="str">
        <f>IFERROR(__xludf.DUMMYFUNCTION("""COMPUTED_VALUE"""),"#N/A")</f>
        <v>#N/A</v>
      </c>
      <c r="W5565" s="1" t="str">
        <f>IFERROR(__xludf.DUMMYFUNCTION("""COMPUTED_VALUE"""),"#N/A")</f>
        <v>#N/A</v>
      </c>
    </row>
    <row r="5566">
      <c r="O5566" s="1" t="str">
        <f>IFERROR(__xludf.DUMMYFUNCTION("""COMPUTED_VALUE"""),"#VALUE!")</f>
        <v>#VALUE!</v>
      </c>
      <c r="P5566" s="1" t="str">
        <f>IFERROR(__xludf.DUMMYFUNCTION("""COMPUTED_VALUE"""),"#N/A")</f>
        <v>#N/A</v>
      </c>
      <c r="Q5566" s="1"/>
      <c r="R5566" s="1"/>
      <c r="S5566" s="1"/>
      <c r="T5566" s="1"/>
      <c r="U5566" s="2">
        <f>IFERROR(__xludf.DUMMYFUNCTION("""COMPUTED_VALUE"""),0.0)</f>
        <v>0</v>
      </c>
      <c r="V5566" s="1" t="str">
        <f>IFERROR(__xludf.DUMMYFUNCTION("""COMPUTED_VALUE"""),"#N/A")</f>
        <v>#N/A</v>
      </c>
      <c r="W5566" s="1" t="str">
        <f>IFERROR(__xludf.DUMMYFUNCTION("""COMPUTED_VALUE"""),"#N/A")</f>
        <v>#N/A</v>
      </c>
    </row>
    <row r="5567">
      <c r="O5567" s="1" t="str">
        <f>IFERROR(__xludf.DUMMYFUNCTION("""COMPUTED_VALUE"""),"#VALUE!")</f>
        <v>#VALUE!</v>
      </c>
      <c r="P5567" s="1" t="str">
        <f>IFERROR(__xludf.DUMMYFUNCTION("""COMPUTED_VALUE"""),"#N/A")</f>
        <v>#N/A</v>
      </c>
      <c r="Q5567" s="1"/>
      <c r="R5567" s="1"/>
      <c r="S5567" s="1"/>
      <c r="T5567" s="1"/>
      <c r="U5567" s="2">
        <f>IFERROR(__xludf.DUMMYFUNCTION("""COMPUTED_VALUE"""),0.0)</f>
        <v>0</v>
      </c>
      <c r="V5567" s="1" t="str">
        <f>IFERROR(__xludf.DUMMYFUNCTION("""COMPUTED_VALUE"""),"#N/A")</f>
        <v>#N/A</v>
      </c>
      <c r="W5567" s="1" t="str">
        <f>IFERROR(__xludf.DUMMYFUNCTION("""COMPUTED_VALUE"""),"#N/A")</f>
        <v>#N/A</v>
      </c>
    </row>
    <row r="5568">
      <c r="O5568" s="1" t="str">
        <f>IFERROR(__xludf.DUMMYFUNCTION("""COMPUTED_VALUE"""),"#VALUE!")</f>
        <v>#VALUE!</v>
      </c>
      <c r="P5568" s="1" t="str">
        <f>IFERROR(__xludf.DUMMYFUNCTION("""COMPUTED_VALUE"""),"#N/A")</f>
        <v>#N/A</v>
      </c>
      <c r="Q5568" s="1"/>
      <c r="R5568" s="1"/>
      <c r="S5568" s="1"/>
      <c r="T5568" s="1"/>
      <c r="U5568" s="2">
        <f>IFERROR(__xludf.DUMMYFUNCTION("""COMPUTED_VALUE"""),0.0)</f>
        <v>0</v>
      </c>
      <c r="V5568" s="1" t="str">
        <f>IFERROR(__xludf.DUMMYFUNCTION("""COMPUTED_VALUE"""),"#N/A")</f>
        <v>#N/A</v>
      </c>
      <c r="W5568" s="1" t="str">
        <f>IFERROR(__xludf.DUMMYFUNCTION("""COMPUTED_VALUE"""),"#N/A")</f>
        <v>#N/A</v>
      </c>
    </row>
    <row r="5569">
      <c r="O5569" s="1" t="str">
        <f>IFERROR(__xludf.DUMMYFUNCTION("""COMPUTED_VALUE"""),"#VALUE!")</f>
        <v>#VALUE!</v>
      </c>
      <c r="P5569" s="1" t="str">
        <f>IFERROR(__xludf.DUMMYFUNCTION("""COMPUTED_VALUE"""),"#N/A")</f>
        <v>#N/A</v>
      </c>
      <c r="Q5569" s="1"/>
      <c r="R5569" s="1"/>
      <c r="S5569" s="1"/>
      <c r="T5569" s="1"/>
      <c r="U5569" s="2">
        <f>IFERROR(__xludf.DUMMYFUNCTION("""COMPUTED_VALUE"""),0.0)</f>
        <v>0</v>
      </c>
      <c r="V5569" s="1" t="str">
        <f>IFERROR(__xludf.DUMMYFUNCTION("""COMPUTED_VALUE"""),"#N/A")</f>
        <v>#N/A</v>
      </c>
      <c r="W5569" s="1" t="str">
        <f>IFERROR(__xludf.DUMMYFUNCTION("""COMPUTED_VALUE"""),"#N/A")</f>
        <v>#N/A</v>
      </c>
    </row>
    <row r="5570">
      <c r="O5570" s="1" t="str">
        <f>IFERROR(__xludf.DUMMYFUNCTION("""COMPUTED_VALUE"""),"#VALUE!")</f>
        <v>#VALUE!</v>
      </c>
      <c r="P5570" s="1" t="str">
        <f>IFERROR(__xludf.DUMMYFUNCTION("""COMPUTED_VALUE"""),"#N/A")</f>
        <v>#N/A</v>
      </c>
      <c r="Q5570" s="1"/>
      <c r="R5570" s="1"/>
      <c r="S5570" s="1"/>
      <c r="T5570" s="1"/>
      <c r="U5570" s="2">
        <f>IFERROR(__xludf.DUMMYFUNCTION("""COMPUTED_VALUE"""),0.0)</f>
        <v>0</v>
      </c>
      <c r="V5570" s="1" t="str">
        <f>IFERROR(__xludf.DUMMYFUNCTION("""COMPUTED_VALUE"""),"#N/A")</f>
        <v>#N/A</v>
      </c>
      <c r="W5570" s="1" t="str">
        <f>IFERROR(__xludf.DUMMYFUNCTION("""COMPUTED_VALUE"""),"#N/A")</f>
        <v>#N/A</v>
      </c>
    </row>
    <row r="5571">
      <c r="O5571" s="1" t="str">
        <f>IFERROR(__xludf.DUMMYFUNCTION("""COMPUTED_VALUE"""),"#VALUE!")</f>
        <v>#VALUE!</v>
      </c>
      <c r="P5571" s="1" t="str">
        <f>IFERROR(__xludf.DUMMYFUNCTION("""COMPUTED_VALUE"""),"#N/A")</f>
        <v>#N/A</v>
      </c>
      <c r="Q5571" s="1"/>
      <c r="R5571" s="1"/>
      <c r="S5571" s="1"/>
      <c r="T5571" s="1"/>
      <c r="U5571" s="2">
        <f>IFERROR(__xludf.DUMMYFUNCTION("""COMPUTED_VALUE"""),0.0)</f>
        <v>0</v>
      </c>
      <c r="V5571" s="1" t="str">
        <f>IFERROR(__xludf.DUMMYFUNCTION("""COMPUTED_VALUE"""),"#N/A")</f>
        <v>#N/A</v>
      </c>
      <c r="W5571" s="1" t="str">
        <f>IFERROR(__xludf.DUMMYFUNCTION("""COMPUTED_VALUE"""),"#N/A")</f>
        <v>#N/A</v>
      </c>
    </row>
    <row r="5572">
      <c r="O5572" s="1" t="str">
        <f>IFERROR(__xludf.DUMMYFUNCTION("""COMPUTED_VALUE"""),"#VALUE!")</f>
        <v>#VALUE!</v>
      </c>
      <c r="P5572" s="1" t="str">
        <f>IFERROR(__xludf.DUMMYFUNCTION("""COMPUTED_VALUE"""),"#N/A")</f>
        <v>#N/A</v>
      </c>
      <c r="Q5572" s="1"/>
      <c r="R5572" s="1"/>
      <c r="S5572" s="1"/>
      <c r="T5572" s="1"/>
      <c r="U5572" s="2">
        <f>IFERROR(__xludf.DUMMYFUNCTION("""COMPUTED_VALUE"""),0.0)</f>
        <v>0</v>
      </c>
      <c r="V5572" s="1" t="str">
        <f>IFERROR(__xludf.DUMMYFUNCTION("""COMPUTED_VALUE"""),"#N/A")</f>
        <v>#N/A</v>
      </c>
      <c r="W5572" s="1" t="str">
        <f>IFERROR(__xludf.DUMMYFUNCTION("""COMPUTED_VALUE"""),"#N/A")</f>
        <v>#N/A</v>
      </c>
    </row>
    <row r="5573">
      <c r="O5573" s="1" t="str">
        <f>IFERROR(__xludf.DUMMYFUNCTION("""COMPUTED_VALUE"""),"#VALUE!")</f>
        <v>#VALUE!</v>
      </c>
      <c r="P5573" s="1" t="str">
        <f>IFERROR(__xludf.DUMMYFUNCTION("""COMPUTED_VALUE"""),"#N/A")</f>
        <v>#N/A</v>
      </c>
      <c r="Q5573" s="1"/>
      <c r="R5573" s="1"/>
      <c r="S5573" s="1"/>
      <c r="T5573" s="1"/>
      <c r="U5573" s="2">
        <f>IFERROR(__xludf.DUMMYFUNCTION("""COMPUTED_VALUE"""),0.0)</f>
        <v>0</v>
      </c>
      <c r="V5573" s="1" t="str">
        <f>IFERROR(__xludf.DUMMYFUNCTION("""COMPUTED_VALUE"""),"#N/A")</f>
        <v>#N/A</v>
      </c>
      <c r="W5573" s="1" t="str">
        <f>IFERROR(__xludf.DUMMYFUNCTION("""COMPUTED_VALUE"""),"#N/A")</f>
        <v>#N/A</v>
      </c>
    </row>
    <row r="5574">
      <c r="O5574" s="1" t="str">
        <f>IFERROR(__xludf.DUMMYFUNCTION("""COMPUTED_VALUE"""),"#VALUE!")</f>
        <v>#VALUE!</v>
      </c>
      <c r="P5574" s="1" t="str">
        <f>IFERROR(__xludf.DUMMYFUNCTION("""COMPUTED_VALUE"""),"#N/A")</f>
        <v>#N/A</v>
      </c>
      <c r="Q5574" s="1"/>
      <c r="R5574" s="1"/>
      <c r="S5574" s="1"/>
      <c r="T5574" s="1"/>
      <c r="U5574" s="2">
        <f>IFERROR(__xludf.DUMMYFUNCTION("""COMPUTED_VALUE"""),0.0)</f>
        <v>0</v>
      </c>
      <c r="V5574" s="1" t="str">
        <f>IFERROR(__xludf.DUMMYFUNCTION("""COMPUTED_VALUE"""),"#N/A")</f>
        <v>#N/A</v>
      </c>
      <c r="W5574" s="1" t="str">
        <f>IFERROR(__xludf.DUMMYFUNCTION("""COMPUTED_VALUE"""),"#N/A")</f>
        <v>#N/A</v>
      </c>
    </row>
    <row r="5575">
      <c r="O5575" s="1" t="str">
        <f>IFERROR(__xludf.DUMMYFUNCTION("""COMPUTED_VALUE"""),"#VALUE!")</f>
        <v>#VALUE!</v>
      </c>
      <c r="P5575" s="1" t="str">
        <f>IFERROR(__xludf.DUMMYFUNCTION("""COMPUTED_VALUE"""),"#N/A")</f>
        <v>#N/A</v>
      </c>
      <c r="Q5575" s="1"/>
      <c r="R5575" s="1"/>
      <c r="S5575" s="1"/>
      <c r="T5575" s="1"/>
      <c r="U5575" s="2">
        <f>IFERROR(__xludf.DUMMYFUNCTION("""COMPUTED_VALUE"""),0.0)</f>
        <v>0</v>
      </c>
      <c r="V5575" s="1" t="str">
        <f>IFERROR(__xludf.DUMMYFUNCTION("""COMPUTED_VALUE"""),"#N/A")</f>
        <v>#N/A</v>
      </c>
      <c r="W5575" s="1" t="str">
        <f>IFERROR(__xludf.DUMMYFUNCTION("""COMPUTED_VALUE"""),"#N/A")</f>
        <v>#N/A</v>
      </c>
    </row>
    <row r="5576">
      <c r="O5576" s="1" t="str">
        <f>IFERROR(__xludf.DUMMYFUNCTION("""COMPUTED_VALUE"""),"#VALUE!")</f>
        <v>#VALUE!</v>
      </c>
      <c r="P5576" s="1" t="str">
        <f>IFERROR(__xludf.DUMMYFUNCTION("""COMPUTED_VALUE"""),"#N/A")</f>
        <v>#N/A</v>
      </c>
      <c r="Q5576" s="1"/>
      <c r="R5576" s="1"/>
      <c r="S5576" s="1"/>
      <c r="T5576" s="1"/>
      <c r="U5576" s="2">
        <f>IFERROR(__xludf.DUMMYFUNCTION("""COMPUTED_VALUE"""),0.0)</f>
        <v>0</v>
      </c>
      <c r="V5576" s="1" t="str">
        <f>IFERROR(__xludf.DUMMYFUNCTION("""COMPUTED_VALUE"""),"#N/A")</f>
        <v>#N/A</v>
      </c>
      <c r="W5576" s="1" t="str">
        <f>IFERROR(__xludf.DUMMYFUNCTION("""COMPUTED_VALUE"""),"#N/A")</f>
        <v>#N/A</v>
      </c>
    </row>
    <row r="5577">
      <c r="O5577" s="1" t="str">
        <f>IFERROR(__xludf.DUMMYFUNCTION("""COMPUTED_VALUE"""),"#VALUE!")</f>
        <v>#VALUE!</v>
      </c>
      <c r="P5577" s="1" t="str">
        <f>IFERROR(__xludf.DUMMYFUNCTION("""COMPUTED_VALUE"""),"#N/A")</f>
        <v>#N/A</v>
      </c>
      <c r="Q5577" s="1"/>
      <c r="R5577" s="1"/>
      <c r="S5577" s="1"/>
      <c r="T5577" s="1"/>
      <c r="U5577" s="2">
        <f>IFERROR(__xludf.DUMMYFUNCTION("""COMPUTED_VALUE"""),0.0)</f>
        <v>0</v>
      </c>
      <c r="V5577" s="1" t="str">
        <f>IFERROR(__xludf.DUMMYFUNCTION("""COMPUTED_VALUE"""),"#N/A")</f>
        <v>#N/A</v>
      </c>
      <c r="W5577" s="1" t="str">
        <f>IFERROR(__xludf.DUMMYFUNCTION("""COMPUTED_VALUE"""),"#N/A")</f>
        <v>#N/A</v>
      </c>
    </row>
    <row r="5578">
      <c r="O5578" s="1" t="str">
        <f>IFERROR(__xludf.DUMMYFUNCTION("""COMPUTED_VALUE"""),"#VALUE!")</f>
        <v>#VALUE!</v>
      </c>
      <c r="P5578" s="1" t="str">
        <f>IFERROR(__xludf.DUMMYFUNCTION("""COMPUTED_VALUE"""),"#N/A")</f>
        <v>#N/A</v>
      </c>
      <c r="Q5578" s="1"/>
      <c r="R5578" s="1"/>
      <c r="S5578" s="1"/>
      <c r="T5578" s="1"/>
      <c r="U5578" s="2">
        <f>IFERROR(__xludf.DUMMYFUNCTION("""COMPUTED_VALUE"""),0.0)</f>
        <v>0</v>
      </c>
      <c r="V5578" s="1" t="str">
        <f>IFERROR(__xludf.DUMMYFUNCTION("""COMPUTED_VALUE"""),"#N/A")</f>
        <v>#N/A</v>
      </c>
      <c r="W5578" s="1" t="str">
        <f>IFERROR(__xludf.DUMMYFUNCTION("""COMPUTED_VALUE"""),"#N/A")</f>
        <v>#N/A</v>
      </c>
    </row>
    <row r="5579">
      <c r="O5579" s="1" t="str">
        <f>IFERROR(__xludf.DUMMYFUNCTION("""COMPUTED_VALUE"""),"#VALUE!")</f>
        <v>#VALUE!</v>
      </c>
      <c r="P5579" s="1" t="str">
        <f>IFERROR(__xludf.DUMMYFUNCTION("""COMPUTED_VALUE"""),"#N/A")</f>
        <v>#N/A</v>
      </c>
      <c r="Q5579" s="1"/>
      <c r="R5579" s="1"/>
      <c r="S5579" s="1"/>
      <c r="T5579" s="1"/>
      <c r="U5579" s="2">
        <f>IFERROR(__xludf.DUMMYFUNCTION("""COMPUTED_VALUE"""),0.0)</f>
        <v>0</v>
      </c>
      <c r="V5579" s="1" t="str">
        <f>IFERROR(__xludf.DUMMYFUNCTION("""COMPUTED_VALUE"""),"#N/A")</f>
        <v>#N/A</v>
      </c>
      <c r="W5579" s="1" t="str">
        <f>IFERROR(__xludf.DUMMYFUNCTION("""COMPUTED_VALUE"""),"#N/A")</f>
        <v>#N/A</v>
      </c>
    </row>
    <row r="5580">
      <c r="O5580" s="1" t="str">
        <f>IFERROR(__xludf.DUMMYFUNCTION("""COMPUTED_VALUE"""),"#VALUE!")</f>
        <v>#VALUE!</v>
      </c>
      <c r="P5580" s="1" t="str">
        <f>IFERROR(__xludf.DUMMYFUNCTION("""COMPUTED_VALUE"""),"#N/A")</f>
        <v>#N/A</v>
      </c>
      <c r="Q5580" s="1"/>
      <c r="R5580" s="1"/>
      <c r="S5580" s="1"/>
      <c r="T5580" s="1"/>
      <c r="U5580" s="2">
        <f>IFERROR(__xludf.DUMMYFUNCTION("""COMPUTED_VALUE"""),0.0)</f>
        <v>0</v>
      </c>
      <c r="V5580" s="1" t="str">
        <f>IFERROR(__xludf.DUMMYFUNCTION("""COMPUTED_VALUE"""),"#N/A")</f>
        <v>#N/A</v>
      </c>
      <c r="W5580" s="1" t="str">
        <f>IFERROR(__xludf.DUMMYFUNCTION("""COMPUTED_VALUE"""),"#N/A")</f>
        <v>#N/A</v>
      </c>
    </row>
    <row r="5581">
      <c r="O5581" s="1" t="str">
        <f>IFERROR(__xludf.DUMMYFUNCTION("""COMPUTED_VALUE"""),"#VALUE!")</f>
        <v>#VALUE!</v>
      </c>
      <c r="P5581" s="1" t="str">
        <f>IFERROR(__xludf.DUMMYFUNCTION("""COMPUTED_VALUE"""),"#N/A")</f>
        <v>#N/A</v>
      </c>
      <c r="Q5581" s="1"/>
      <c r="R5581" s="1"/>
      <c r="S5581" s="1"/>
      <c r="T5581" s="1"/>
      <c r="U5581" s="2">
        <f>IFERROR(__xludf.DUMMYFUNCTION("""COMPUTED_VALUE"""),0.0)</f>
        <v>0</v>
      </c>
      <c r="V5581" s="1" t="str">
        <f>IFERROR(__xludf.DUMMYFUNCTION("""COMPUTED_VALUE"""),"#N/A")</f>
        <v>#N/A</v>
      </c>
      <c r="W5581" s="1" t="str">
        <f>IFERROR(__xludf.DUMMYFUNCTION("""COMPUTED_VALUE"""),"#N/A")</f>
        <v>#N/A</v>
      </c>
    </row>
    <row r="5582">
      <c r="O5582" s="1" t="str">
        <f>IFERROR(__xludf.DUMMYFUNCTION("""COMPUTED_VALUE"""),"#VALUE!")</f>
        <v>#VALUE!</v>
      </c>
      <c r="P5582" s="1" t="str">
        <f>IFERROR(__xludf.DUMMYFUNCTION("""COMPUTED_VALUE"""),"#N/A")</f>
        <v>#N/A</v>
      </c>
      <c r="Q5582" s="1"/>
      <c r="R5582" s="1"/>
      <c r="S5582" s="1"/>
      <c r="T5582" s="1"/>
      <c r="U5582" s="2">
        <f>IFERROR(__xludf.DUMMYFUNCTION("""COMPUTED_VALUE"""),0.0)</f>
        <v>0</v>
      </c>
      <c r="V5582" s="1" t="str">
        <f>IFERROR(__xludf.DUMMYFUNCTION("""COMPUTED_VALUE"""),"#N/A")</f>
        <v>#N/A</v>
      </c>
      <c r="W5582" s="1" t="str">
        <f>IFERROR(__xludf.DUMMYFUNCTION("""COMPUTED_VALUE"""),"#N/A")</f>
        <v>#N/A</v>
      </c>
    </row>
    <row r="5583">
      <c r="O5583" s="1" t="str">
        <f>IFERROR(__xludf.DUMMYFUNCTION("""COMPUTED_VALUE"""),"#VALUE!")</f>
        <v>#VALUE!</v>
      </c>
      <c r="P5583" s="1" t="str">
        <f>IFERROR(__xludf.DUMMYFUNCTION("""COMPUTED_VALUE"""),"#N/A")</f>
        <v>#N/A</v>
      </c>
      <c r="Q5583" s="1"/>
      <c r="R5583" s="1"/>
      <c r="S5583" s="1"/>
      <c r="T5583" s="1"/>
      <c r="U5583" s="2">
        <f>IFERROR(__xludf.DUMMYFUNCTION("""COMPUTED_VALUE"""),0.0)</f>
        <v>0</v>
      </c>
      <c r="V5583" s="1" t="str">
        <f>IFERROR(__xludf.DUMMYFUNCTION("""COMPUTED_VALUE"""),"#N/A")</f>
        <v>#N/A</v>
      </c>
      <c r="W5583" s="1" t="str">
        <f>IFERROR(__xludf.DUMMYFUNCTION("""COMPUTED_VALUE"""),"#N/A")</f>
        <v>#N/A</v>
      </c>
    </row>
    <row r="5584">
      <c r="O5584" s="1" t="str">
        <f>IFERROR(__xludf.DUMMYFUNCTION("""COMPUTED_VALUE"""),"#VALUE!")</f>
        <v>#VALUE!</v>
      </c>
      <c r="P5584" s="1" t="str">
        <f>IFERROR(__xludf.DUMMYFUNCTION("""COMPUTED_VALUE"""),"#N/A")</f>
        <v>#N/A</v>
      </c>
      <c r="Q5584" s="1"/>
      <c r="R5584" s="1"/>
      <c r="S5584" s="1"/>
      <c r="T5584" s="1"/>
      <c r="U5584" s="2">
        <f>IFERROR(__xludf.DUMMYFUNCTION("""COMPUTED_VALUE"""),0.0)</f>
        <v>0</v>
      </c>
      <c r="V5584" s="1" t="str">
        <f>IFERROR(__xludf.DUMMYFUNCTION("""COMPUTED_VALUE"""),"#N/A")</f>
        <v>#N/A</v>
      </c>
      <c r="W5584" s="1" t="str">
        <f>IFERROR(__xludf.DUMMYFUNCTION("""COMPUTED_VALUE"""),"#N/A")</f>
        <v>#N/A</v>
      </c>
    </row>
    <row r="5585">
      <c r="O5585" s="1" t="str">
        <f>IFERROR(__xludf.DUMMYFUNCTION("""COMPUTED_VALUE"""),"#VALUE!")</f>
        <v>#VALUE!</v>
      </c>
      <c r="P5585" s="1" t="str">
        <f>IFERROR(__xludf.DUMMYFUNCTION("""COMPUTED_VALUE"""),"#N/A")</f>
        <v>#N/A</v>
      </c>
      <c r="Q5585" s="1"/>
      <c r="R5585" s="1"/>
      <c r="S5585" s="1"/>
      <c r="T5585" s="1"/>
      <c r="U5585" s="2">
        <f>IFERROR(__xludf.DUMMYFUNCTION("""COMPUTED_VALUE"""),0.0)</f>
        <v>0</v>
      </c>
      <c r="V5585" s="1" t="str">
        <f>IFERROR(__xludf.DUMMYFUNCTION("""COMPUTED_VALUE"""),"#N/A")</f>
        <v>#N/A</v>
      </c>
      <c r="W5585" s="1" t="str">
        <f>IFERROR(__xludf.DUMMYFUNCTION("""COMPUTED_VALUE"""),"#N/A")</f>
        <v>#N/A</v>
      </c>
    </row>
    <row r="5586">
      <c r="O5586" s="1" t="str">
        <f>IFERROR(__xludf.DUMMYFUNCTION("""COMPUTED_VALUE"""),"#VALUE!")</f>
        <v>#VALUE!</v>
      </c>
      <c r="P5586" s="1" t="str">
        <f>IFERROR(__xludf.DUMMYFUNCTION("""COMPUTED_VALUE"""),"#N/A")</f>
        <v>#N/A</v>
      </c>
      <c r="Q5586" s="1"/>
      <c r="R5586" s="1"/>
      <c r="S5586" s="1"/>
      <c r="T5586" s="1"/>
      <c r="U5586" s="2">
        <f>IFERROR(__xludf.DUMMYFUNCTION("""COMPUTED_VALUE"""),0.0)</f>
        <v>0</v>
      </c>
      <c r="V5586" s="1" t="str">
        <f>IFERROR(__xludf.DUMMYFUNCTION("""COMPUTED_VALUE"""),"#N/A")</f>
        <v>#N/A</v>
      </c>
      <c r="W5586" s="1" t="str">
        <f>IFERROR(__xludf.DUMMYFUNCTION("""COMPUTED_VALUE"""),"#N/A")</f>
        <v>#N/A</v>
      </c>
    </row>
    <row r="5587">
      <c r="O5587" s="1" t="str">
        <f>IFERROR(__xludf.DUMMYFUNCTION("""COMPUTED_VALUE"""),"#VALUE!")</f>
        <v>#VALUE!</v>
      </c>
      <c r="P5587" s="1" t="str">
        <f>IFERROR(__xludf.DUMMYFUNCTION("""COMPUTED_VALUE"""),"#N/A")</f>
        <v>#N/A</v>
      </c>
      <c r="Q5587" s="1"/>
      <c r="R5587" s="1"/>
      <c r="S5587" s="1"/>
      <c r="T5587" s="1"/>
      <c r="U5587" s="2">
        <f>IFERROR(__xludf.DUMMYFUNCTION("""COMPUTED_VALUE"""),0.0)</f>
        <v>0</v>
      </c>
      <c r="V5587" s="1" t="str">
        <f>IFERROR(__xludf.DUMMYFUNCTION("""COMPUTED_VALUE"""),"#N/A")</f>
        <v>#N/A</v>
      </c>
      <c r="W5587" s="1" t="str">
        <f>IFERROR(__xludf.DUMMYFUNCTION("""COMPUTED_VALUE"""),"#N/A")</f>
        <v>#N/A</v>
      </c>
    </row>
    <row r="5588">
      <c r="O5588" s="1" t="str">
        <f>IFERROR(__xludf.DUMMYFUNCTION("""COMPUTED_VALUE"""),"#VALUE!")</f>
        <v>#VALUE!</v>
      </c>
      <c r="P5588" s="1" t="str">
        <f>IFERROR(__xludf.DUMMYFUNCTION("""COMPUTED_VALUE"""),"#N/A")</f>
        <v>#N/A</v>
      </c>
      <c r="Q5588" s="1"/>
      <c r="R5588" s="1"/>
      <c r="S5588" s="1"/>
      <c r="T5588" s="1"/>
      <c r="U5588" s="2">
        <f>IFERROR(__xludf.DUMMYFUNCTION("""COMPUTED_VALUE"""),0.0)</f>
        <v>0</v>
      </c>
      <c r="V5588" s="1" t="str">
        <f>IFERROR(__xludf.DUMMYFUNCTION("""COMPUTED_VALUE"""),"#N/A")</f>
        <v>#N/A</v>
      </c>
      <c r="W5588" s="1" t="str">
        <f>IFERROR(__xludf.DUMMYFUNCTION("""COMPUTED_VALUE"""),"#N/A")</f>
        <v>#N/A</v>
      </c>
    </row>
    <row r="5589">
      <c r="O5589" s="1" t="str">
        <f>IFERROR(__xludf.DUMMYFUNCTION("""COMPUTED_VALUE"""),"#VALUE!")</f>
        <v>#VALUE!</v>
      </c>
      <c r="P5589" s="1" t="str">
        <f>IFERROR(__xludf.DUMMYFUNCTION("""COMPUTED_VALUE"""),"#N/A")</f>
        <v>#N/A</v>
      </c>
      <c r="Q5589" s="1"/>
      <c r="R5589" s="1"/>
      <c r="S5589" s="1"/>
      <c r="T5589" s="1"/>
      <c r="U5589" s="2">
        <f>IFERROR(__xludf.DUMMYFUNCTION("""COMPUTED_VALUE"""),0.0)</f>
        <v>0</v>
      </c>
      <c r="V5589" s="1" t="str">
        <f>IFERROR(__xludf.DUMMYFUNCTION("""COMPUTED_VALUE"""),"#N/A")</f>
        <v>#N/A</v>
      </c>
      <c r="W5589" s="1" t="str">
        <f>IFERROR(__xludf.DUMMYFUNCTION("""COMPUTED_VALUE"""),"#N/A")</f>
        <v>#N/A</v>
      </c>
    </row>
    <row r="5590">
      <c r="O5590" s="1" t="str">
        <f>IFERROR(__xludf.DUMMYFUNCTION("""COMPUTED_VALUE"""),"#VALUE!")</f>
        <v>#VALUE!</v>
      </c>
      <c r="P5590" s="1" t="str">
        <f>IFERROR(__xludf.DUMMYFUNCTION("""COMPUTED_VALUE"""),"#N/A")</f>
        <v>#N/A</v>
      </c>
      <c r="Q5590" s="1"/>
      <c r="R5590" s="1"/>
      <c r="S5590" s="1"/>
      <c r="T5590" s="1"/>
      <c r="U5590" s="2">
        <f>IFERROR(__xludf.DUMMYFUNCTION("""COMPUTED_VALUE"""),0.0)</f>
        <v>0</v>
      </c>
      <c r="V5590" s="1" t="str">
        <f>IFERROR(__xludf.DUMMYFUNCTION("""COMPUTED_VALUE"""),"#N/A")</f>
        <v>#N/A</v>
      </c>
      <c r="W5590" s="1" t="str">
        <f>IFERROR(__xludf.DUMMYFUNCTION("""COMPUTED_VALUE"""),"#N/A")</f>
        <v>#N/A</v>
      </c>
    </row>
    <row r="5591">
      <c r="O5591" s="1" t="str">
        <f>IFERROR(__xludf.DUMMYFUNCTION("""COMPUTED_VALUE"""),"#VALUE!")</f>
        <v>#VALUE!</v>
      </c>
      <c r="P5591" s="1" t="str">
        <f>IFERROR(__xludf.DUMMYFUNCTION("""COMPUTED_VALUE"""),"#N/A")</f>
        <v>#N/A</v>
      </c>
      <c r="Q5591" s="1"/>
      <c r="R5591" s="1"/>
      <c r="S5591" s="1"/>
      <c r="T5591" s="1"/>
      <c r="U5591" s="2">
        <f>IFERROR(__xludf.DUMMYFUNCTION("""COMPUTED_VALUE"""),0.0)</f>
        <v>0</v>
      </c>
      <c r="V5591" s="1" t="str">
        <f>IFERROR(__xludf.DUMMYFUNCTION("""COMPUTED_VALUE"""),"#N/A")</f>
        <v>#N/A</v>
      </c>
      <c r="W5591" s="1" t="str">
        <f>IFERROR(__xludf.DUMMYFUNCTION("""COMPUTED_VALUE"""),"#N/A")</f>
        <v>#N/A</v>
      </c>
    </row>
    <row r="5592">
      <c r="O5592" s="1" t="str">
        <f>IFERROR(__xludf.DUMMYFUNCTION("""COMPUTED_VALUE"""),"#VALUE!")</f>
        <v>#VALUE!</v>
      </c>
      <c r="P5592" s="1" t="str">
        <f>IFERROR(__xludf.DUMMYFUNCTION("""COMPUTED_VALUE"""),"#N/A")</f>
        <v>#N/A</v>
      </c>
      <c r="Q5592" s="1"/>
      <c r="R5592" s="1"/>
      <c r="S5592" s="1"/>
      <c r="T5592" s="1"/>
      <c r="U5592" s="2">
        <f>IFERROR(__xludf.DUMMYFUNCTION("""COMPUTED_VALUE"""),0.0)</f>
        <v>0</v>
      </c>
      <c r="V5592" s="1" t="str">
        <f>IFERROR(__xludf.DUMMYFUNCTION("""COMPUTED_VALUE"""),"#N/A")</f>
        <v>#N/A</v>
      </c>
      <c r="W5592" s="1" t="str">
        <f>IFERROR(__xludf.DUMMYFUNCTION("""COMPUTED_VALUE"""),"#N/A")</f>
        <v>#N/A</v>
      </c>
    </row>
    <row r="5593">
      <c r="O5593" s="1" t="str">
        <f>IFERROR(__xludf.DUMMYFUNCTION("""COMPUTED_VALUE"""),"#VALUE!")</f>
        <v>#VALUE!</v>
      </c>
      <c r="P5593" s="1" t="str">
        <f>IFERROR(__xludf.DUMMYFUNCTION("""COMPUTED_VALUE"""),"#N/A")</f>
        <v>#N/A</v>
      </c>
      <c r="Q5593" s="1"/>
      <c r="R5593" s="1"/>
      <c r="S5593" s="1"/>
      <c r="T5593" s="1"/>
      <c r="U5593" s="2">
        <f>IFERROR(__xludf.DUMMYFUNCTION("""COMPUTED_VALUE"""),0.0)</f>
        <v>0</v>
      </c>
      <c r="V5593" s="1" t="str">
        <f>IFERROR(__xludf.DUMMYFUNCTION("""COMPUTED_VALUE"""),"#N/A")</f>
        <v>#N/A</v>
      </c>
      <c r="W5593" s="1" t="str">
        <f>IFERROR(__xludf.DUMMYFUNCTION("""COMPUTED_VALUE"""),"#N/A")</f>
        <v>#N/A</v>
      </c>
    </row>
    <row r="5594">
      <c r="O5594" s="1" t="str">
        <f>IFERROR(__xludf.DUMMYFUNCTION("""COMPUTED_VALUE"""),"#VALUE!")</f>
        <v>#VALUE!</v>
      </c>
      <c r="P5594" s="1" t="str">
        <f>IFERROR(__xludf.DUMMYFUNCTION("""COMPUTED_VALUE"""),"#N/A")</f>
        <v>#N/A</v>
      </c>
      <c r="Q5594" s="1"/>
      <c r="R5594" s="1"/>
      <c r="S5594" s="1"/>
      <c r="T5594" s="1"/>
      <c r="U5594" s="2">
        <f>IFERROR(__xludf.DUMMYFUNCTION("""COMPUTED_VALUE"""),0.0)</f>
        <v>0</v>
      </c>
      <c r="V5594" s="1" t="str">
        <f>IFERROR(__xludf.DUMMYFUNCTION("""COMPUTED_VALUE"""),"#N/A")</f>
        <v>#N/A</v>
      </c>
      <c r="W5594" s="1" t="str">
        <f>IFERROR(__xludf.DUMMYFUNCTION("""COMPUTED_VALUE"""),"#N/A")</f>
        <v>#N/A</v>
      </c>
    </row>
    <row r="5595">
      <c r="O5595" s="1" t="str">
        <f>IFERROR(__xludf.DUMMYFUNCTION("""COMPUTED_VALUE"""),"#VALUE!")</f>
        <v>#VALUE!</v>
      </c>
      <c r="P5595" s="1" t="str">
        <f>IFERROR(__xludf.DUMMYFUNCTION("""COMPUTED_VALUE"""),"#N/A")</f>
        <v>#N/A</v>
      </c>
      <c r="Q5595" s="1"/>
      <c r="R5595" s="1"/>
      <c r="S5595" s="1"/>
      <c r="T5595" s="1"/>
      <c r="U5595" s="2">
        <f>IFERROR(__xludf.DUMMYFUNCTION("""COMPUTED_VALUE"""),0.0)</f>
        <v>0</v>
      </c>
      <c r="V5595" s="1" t="str">
        <f>IFERROR(__xludf.DUMMYFUNCTION("""COMPUTED_VALUE"""),"#N/A")</f>
        <v>#N/A</v>
      </c>
      <c r="W5595" s="1" t="str">
        <f>IFERROR(__xludf.DUMMYFUNCTION("""COMPUTED_VALUE"""),"#N/A")</f>
        <v>#N/A</v>
      </c>
    </row>
    <row r="5596">
      <c r="O5596" s="1" t="str">
        <f>IFERROR(__xludf.DUMMYFUNCTION("""COMPUTED_VALUE"""),"#VALUE!")</f>
        <v>#VALUE!</v>
      </c>
      <c r="P5596" s="1" t="str">
        <f>IFERROR(__xludf.DUMMYFUNCTION("""COMPUTED_VALUE"""),"#N/A")</f>
        <v>#N/A</v>
      </c>
      <c r="Q5596" s="1"/>
      <c r="R5596" s="1"/>
      <c r="S5596" s="1"/>
      <c r="T5596" s="1"/>
      <c r="U5596" s="2">
        <f>IFERROR(__xludf.DUMMYFUNCTION("""COMPUTED_VALUE"""),0.0)</f>
        <v>0</v>
      </c>
      <c r="V5596" s="1" t="str">
        <f>IFERROR(__xludf.DUMMYFUNCTION("""COMPUTED_VALUE"""),"#N/A")</f>
        <v>#N/A</v>
      </c>
      <c r="W5596" s="1" t="str">
        <f>IFERROR(__xludf.DUMMYFUNCTION("""COMPUTED_VALUE"""),"#N/A")</f>
        <v>#N/A</v>
      </c>
    </row>
    <row r="5597">
      <c r="O5597" s="1" t="str">
        <f>IFERROR(__xludf.DUMMYFUNCTION("""COMPUTED_VALUE"""),"#VALUE!")</f>
        <v>#VALUE!</v>
      </c>
      <c r="P5597" s="1" t="str">
        <f>IFERROR(__xludf.DUMMYFUNCTION("""COMPUTED_VALUE"""),"#N/A")</f>
        <v>#N/A</v>
      </c>
      <c r="Q5597" s="1"/>
      <c r="R5597" s="1"/>
      <c r="S5597" s="1"/>
      <c r="T5597" s="1"/>
      <c r="U5597" s="2">
        <f>IFERROR(__xludf.DUMMYFUNCTION("""COMPUTED_VALUE"""),0.0)</f>
        <v>0</v>
      </c>
      <c r="V5597" s="1" t="str">
        <f>IFERROR(__xludf.DUMMYFUNCTION("""COMPUTED_VALUE"""),"#N/A")</f>
        <v>#N/A</v>
      </c>
      <c r="W5597" s="1" t="str">
        <f>IFERROR(__xludf.DUMMYFUNCTION("""COMPUTED_VALUE"""),"#N/A")</f>
        <v>#N/A</v>
      </c>
    </row>
    <row r="5598">
      <c r="O5598" s="1" t="str">
        <f>IFERROR(__xludf.DUMMYFUNCTION("""COMPUTED_VALUE"""),"#VALUE!")</f>
        <v>#VALUE!</v>
      </c>
      <c r="P5598" s="1" t="str">
        <f>IFERROR(__xludf.DUMMYFUNCTION("""COMPUTED_VALUE"""),"#N/A")</f>
        <v>#N/A</v>
      </c>
      <c r="Q5598" s="1"/>
      <c r="R5598" s="1"/>
      <c r="S5598" s="1"/>
      <c r="T5598" s="1"/>
      <c r="U5598" s="2">
        <f>IFERROR(__xludf.DUMMYFUNCTION("""COMPUTED_VALUE"""),0.0)</f>
        <v>0</v>
      </c>
      <c r="V5598" s="1" t="str">
        <f>IFERROR(__xludf.DUMMYFUNCTION("""COMPUTED_VALUE"""),"#N/A")</f>
        <v>#N/A</v>
      </c>
      <c r="W5598" s="1" t="str">
        <f>IFERROR(__xludf.DUMMYFUNCTION("""COMPUTED_VALUE"""),"#N/A")</f>
        <v>#N/A</v>
      </c>
    </row>
    <row r="5599">
      <c r="O5599" s="1" t="str">
        <f>IFERROR(__xludf.DUMMYFUNCTION("""COMPUTED_VALUE"""),"#VALUE!")</f>
        <v>#VALUE!</v>
      </c>
      <c r="P5599" s="1" t="str">
        <f>IFERROR(__xludf.DUMMYFUNCTION("""COMPUTED_VALUE"""),"#N/A")</f>
        <v>#N/A</v>
      </c>
      <c r="Q5599" s="1"/>
      <c r="R5599" s="1"/>
      <c r="S5599" s="1"/>
      <c r="T5599" s="1"/>
      <c r="U5599" s="2">
        <f>IFERROR(__xludf.DUMMYFUNCTION("""COMPUTED_VALUE"""),0.0)</f>
        <v>0</v>
      </c>
      <c r="V5599" s="1" t="str">
        <f>IFERROR(__xludf.DUMMYFUNCTION("""COMPUTED_VALUE"""),"#N/A")</f>
        <v>#N/A</v>
      </c>
      <c r="W5599" s="1" t="str">
        <f>IFERROR(__xludf.DUMMYFUNCTION("""COMPUTED_VALUE"""),"#N/A")</f>
        <v>#N/A</v>
      </c>
    </row>
    <row r="5600">
      <c r="O5600" s="1" t="str">
        <f>IFERROR(__xludf.DUMMYFUNCTION("""COMPUTED_VALUE"""),"#VALUE!")</f>
        <v>#VALUE!</v>
      </c>
      <c r="P5600" s="1" t="str">
        <f>IFERROR(__xludf.DUMMYFUNCTION("""COMPUTED_VALUE"""),"#N/A")</f>
        <v>#N/A</v>
      </c>
      <c r="Q5600" s="1"/>
      <c r="R5600" s="1"/>
      <c r="S5600" s="1"/>
      <c r="T5600" s="1"/>
      <c r="U5600" s="2">
        <f>IFERROR(__xludf.DUMMYFUNCTION("""COMPUTED_VALUE"""),0.0)</f>
        <v>0</v>
      </c>
      <c r="V5600" s="1" t="str">
        <f>IFERROR(__xludf.DUMMYFUNCTION("""COMPUTED_VALUE"""),"#N/A")</f>
        <v>#N/A</v>
      </c>
      <c r="W5600" s="1" t="str">
        <f>IFERROR(__xludf.DUMMYFUNCTION("""COMPUTED_VALUE"""),"#N/A")</f>
        <v>#N/A</v>
      </c>
    </row>
    <row r="5601">
      <c r="O5601" s="1" t="str">
        <f>IFERROR(__xludf.DUMMYFUNCTION("""COMPUTED_VALUE"""),"#VALUE!")</f>
        <v>#VALUE!</v>
      </c>
      <c r="P5601" s="1" t="str">
        <f>IFERROR(__xludf.DUMMYFUNCTION("""COMPUTED_VALUE"""),"#N/A")</f>
        <v>#N/A</v>
      </c>
      <c r="Q5601" s="1"/>
      <c r="R5601" s="1"/>
      <c r="S5601" s="1"/>
      <c r="T5601" s="1"/>
      <c r="U5601" s="2">
        <f>IFERROR(__xludf.DUMMYFUNCTION("""COMPUTED_VALUE"""),0.0)</f>
        <v>0</v>
      </c>
      <c r="V5601" s="1" t="str">
        <f>IFERROR(__xludf.DUMMYFUNCTION("""COMPUTED_VALUE"""),"#N/A")</f>
        <v>#N/A</v>
      </c>
      <c r="W5601" s="1" t="str">
        <f>IFERROR(__xludf.DUMMYFUNCTION("""COMPUTED_VALUE"""),"#N/A")</f>
        <v>#N/A</v>
      </c>
    </row>
    <row r="5602">
      <c r="O5602" s="1" t="str">
        <f>IFERROR(__xludf.DUMMYFUNCTION("""COMPUTED_VALUE"""),"#VALUE!")</f>
        <v>#VALUE!</v>
      </c>
      <c r="P5602" s="1" t="str">
        <f>IFERROR(__xludf.DUMMYFUNCTION("""COMPUTED_VALUE"""),"#N/A")</f>
        <v>#N/A</v>
      </c>
      <c r="Q5602" s="1"/>
      <c r="R5602" s="1"/>
      <c r="S5602" s="1"/>
      <c r="T5602" s="1"/>
      <c r="U5602" s="2">
        <f>IFERROR(__xludf.DUMMYFUNCTION("""COMPUTED_VALUE"""),0.0)</f>
        <v>0</v>
      </c>
      <c r="V5602" s="1" t="str">
        <f>IFERROR(__xludf.DUMMYFUNCTION("""COMPUTED_VALUE"""),"#N/A")</f>
        <v>#N/A</v>
      </c>
      <c r="W5602" s="1" t="str">
        <f>IFERROR(__xludf.DUMMYFUNCTION("""COMPUTED_VALUE"""),"#N/A")</f>
        <v>#N/A</v>
      </c>
    </row>
    <row r="5603">
      <c r="O5603" s="1" t="str">
        <f>IFERROR(__xludf.DUMMYFUNCTION("""COMPUTED_VALUE"""),"#VALUE!")</f>
        <v>#VALUE!</v>
      </c>
      <c r="P5603" s="1" t="str">
        <f>IFERROR(__xludf.DUMMYFUNCTION("""COMPUTED_VALUE"""),"#N/A")</f>
        <v>#N/A</v>
      </c>
      <c r="Q5603" s="1"/>
      <c r="R5603" s="1"/>
      <c r="S5603" s="1"/>
      <c r="T5603" s="1"/>
      <c r="U5603" s="2">
        <f>IFERROR(__xludf.DUMMYFUNCTION("""COMPUTED_VALUE"""),0.0)</f>
        <v>0</v>
      </c>
      <c r="V5603" s="1" t="str">
        <f>IFERROR(__xludf.DUMMYFUNCTION("""COMPUTED_VALUE"""),"#N/A")</f>
        <v>#N/A</v>
      </c>
      <c r="W5603" s="1" t="str">
        <f>IFERROR(__xludf.DUMMYFUNCTION("""COMPUTED_VALUE"""),"#N/A")</f>
        <v>#N/A</v>
      </c>
    </row>
    <row r="5604">
      <c r="O5604" s="1" t="str">
        <f>IFERROR(__xludf.DUMMYFUNCTION("""COMPUTED_VALUE"""),"#VALUE!")</f>
        <v>#VALUE!</v>
      </c>
      <c r="P5604" s="1" t="str">
        <f>IFERROR(__xludf.DUMMYFUNCTION("""COMPUTED_VALUE"""),"#N/A")</f>
        <v>#N/A</v>
      </c>
      <c r="Q5604" s="1"/>
      <c r="R5604" s="1"/>
      <c r="S5604" s="1"/>
      <c r="T5604" s="1"/>
      <c r="U5604" s="2">
        <f>IFERROR(__xludf.DUMMYFUNCTION("""COMPUTED_VALUE"""),0.0)</f>
        <v>0</v>
      </c>
      <c r="V5604" s="1" t="str">
        <f>IFERROR(__xludf.DUMMYFUNCTION("""COMPUTED_VALUE"""),"#N/A")</f>
        <v>#N/A</v>
      </c>
      <c r="W5604" s="1" t="str">
        <f>IFERROR(__xludf.DUMMYFUNCTION("""COMPUTED_VALUE"""),"#N/A")</f>
        <v>#N/A</v>
      </c>
    </row>
    <row r="5605">
      <c r="O5605" s="1" t="str">
        <f>IFERROR(__xludf.DUMMYFUNCTION("""COMPUTED_VALUE"""),"#VALUE!")</f>
        <v>#VALUE!</v>
      </c>
      <c r="P5605" s="1" t="str">
        <f>IFERROR(__xludf.DUMMYFUNCTION("""COMPUTED_VALUE"""),"#N/A")</f>
        <v>#N/A</v>
      </c>
      <c r="Q5605" s="1"/>
      <c r="R5605" s="1"/>
      <c r="S5605" s="1"/>
      <c r="T5605" s="1"/>
      <c r="U5605" s="2">
        <f>IFERROR(__xludf.DUMMYFUNCTION("""COMPUTED_VALUE"""),0.0)</f>
        <v>0</v>
      </c>
      <c r="V5605" s="1" t="str">
        <f>IFERROR(__xludf.DUMMYFUNCTION("""COMPUTED_VALUE"""),"#N/A")</f>
        <v>#N/A</v>
      </c>
      <c r="W5605" s="1" t="str">
        <f>IFERROR(__xludf.DUMMYFUNCTION("""COMPUTED_VALUE"""),"#N/A")</f>
        <v>#N/A</v>
      </c>
    </row>
    <row r="5606">
      <c r="O5606" s="1" t="str">
        <f>IFERROR(__xludf.DUMMYFUNCTION("""COMPUTED_VALUE"""),"#VALUE!")</f>
        <v>#VALUE!</v>
      </c>
      <c r="P5606" s="1" t="str">
        <f>IFERROR(__xludf.DUMMYFUNCTION("""COMPUTED_VALUE"""),"#N/A")</f>
        <v>#N/A</v>
      </c>
      <c r="Q5606" s="1"/>
      <c r="R5606" s="1"/>
      <c r="S5606" s="1"/>
      <c r="T5606" s="1"/>
      <c r="U5606" s="2">
        <f>IFERROR(__xludf.DUMMYFUNCTION("""COMPUTED_VALUE"""),0.0)</f>
        <v>0</v>
      </c>
      <c r="V5606" s="1" t="str">
        <f>IFERROR(__xludf.DUMMYFUNCTION("""COMPUTED_VALUE"""),"#N/A")</f>
        <v>#N/A</v>
      </c>
      <c r="W5606" s="1" t="str">
        <f>IFERROR(__xludf.DUMMYFUNCTION("""COMPUTED_VALUE"""),"#N/A")</f>
        <v>#N/A</v>
      </c>
    </row>
    <row r="5607">
      <c r="O5607" s="1" t="str">
        <f>IFERROR(__xludf.DUMMYFUNCTION("""COMPUTED_VALUE"""),"#VALUE!")</f>
        <v>#VALUE!</v>
      </c>
      <c r="P5607" s="1" t="str">
        <f>IFERROR(__xludf.DUMMYFUNCTION("""COMPUTED_VALUE"""),"#N/A")</f>
        <v>#N/A</v>
      </c>
      <c r="Q5607" s="1"/>
      <c r="R5607" s="1"/>
      <c r="S5607" s="1"/>
      <c r="T5607" s="1"/>
      <c r="U5607" s="2">
        <f>IFERROR(__xludf.DUMMYFUNCTION("""COMPUTED_VALUE"""),0.0)</f>
        <v>0</v>
      </c>
      <c r="V5607" s="1" t="str">
        <f>IFERROR(__xludf.DUMMYFUNCTION("""COMPUTED_VALUE"""),"#N/A")</f>
        <v>#N/A</v>
      </c>
      <c r="W5607" s="1" t="str">
        <f>IFERROR(__xludf.DUMMYFUNCTION("""COMPUTED_VALUE"""),"#N/A")</f>
        <v>#N/A</v>
      </c>
    </row>
    <row r="11360">
      <c r="A11360" s="3" t="str">
        <f>IFERROR(__xludf.DUMMYFUNCTION("QUERY(IMPORTRANGE(""https://docs.google.com/spreadsheets/d/1JGTi65YnTuv9teYH-Sh_1zJ2DQuYwrhI7IduKe-0B_Y/edit?gid=1043963021#gid=1043963021"", ""[Import] Training Blocks - Weekly!A11360:S25000""),
 ""SELECT Col1, Col2, Col6, Col7, Col8, Col13, Col14, Col15"&amp;", Col16, Col17, Col18, Col19 
  WHERE Col1 IS NOT NULL"", 1)"),"2026 Apr")</f>
        <v>2026 Apr</v>
      </c>
      <c r="B11360" s="1" t="str">
        <f>IFERROR(__xludf.DUMMYFUNCTION("""COMPUTED_VALUE"""),"6-Apr-2026")</f>
        <v>6-Apr-2026</v>
      </c>
      <c r="C11360" s="1" t="str">
        <f>IFERROR(__xludf.DUMMYFUNCTION("""COMPUTED_VALUE"""),"Segment-specific Support")</f>
        <v>Segment-specific Support</v>
      </c>
      <c r="D11360" s="1" t="str">
        <f>IFERROR(__xludf.DUMMYFUNCTION("""COMPUTED_VALUE"""),"71cc12d6-81ad-4480-9557-ff6a318e3277")</f>
        <v>71cc12d6-81ad-4480-9557-ff6a318e3277</v>
      </c>
      <c r="E11360" s="1" t="str">
        <f>IFERROR(__xludf.DUMMYFUNCTION("""COMPUTED_VALUE"""),"361726424776")</f>
        <v>361726424776</v>
      </c>
      <c r="F11360" s="1" t="str">
        <f>IFERROR(__xludf.DUMMYFUNCTION("""COMPUTED_VALUE"""),"")</f>
        <v/>
      </c>
      <c r="G11360" s="1" t="str">
        <f>IFERROR(__xludf.DUMMYFUNCTION("""COMPUTED_VALUE"""),"1")</f>
        <v>1</v>
      </c>
      <c r="H11360" s="1" t="str">
        <f>IFERROR(__xludf.DUMMYFUNCTION("""COMPUTED_VALUE"""),"1.00")</f>
        <v>1.00</v>
      </c>
      <c r="I11360" s="1" t="str">
        <f>IFERROR(__xludf.DUMMYFUNCTION("""COMPUTED_VALUE"""),"100.00%")</f>
        <v>100.00%</v>
      </c>
      <c r="J11360" s="1" t="str">
        <f>IFERROR(__xludf.DUMMYFUNCTION("""COMPUTED_VALUE"""),"Jonathan Dimaculangan")</f>
        <v>Jonathan Dimaculangan</v>
      </c>
      <c r="K11360" s="1" t="str">
        <f>IFERROR(__xludf.DUMMYFUNCTION("""COMPUTED_VALUE"""),"Flourish Support")</f>
        <v>Flourish Support</v>
      </c>
      <c r="L11360" s="1" t="str">
        <f>IFERROR(__xludf.DUMMYFUNCTION("""COMPUTED_VALUE"""),"SSS Flourish")</f>
        <v>SSS Flourish</v>
      </c>
    </row>
    <row r="11361">
      <c r="A11361" s="1" t="str">
        <f>IFERROR(__xludf.DUMMYFUNCTION("""COMPUTED_VALUE"""),"2026 Apr")</f>
        <v>2026 Apr</v>
      </c>
      <c r="B11361" s="4">
        <f>IFERROR(__xludf.DUMMYFUNCTION("""COMPUTED_VALUE"""),46118.0)</f>
        <v>46118</v>
      </c>
      <c r="C11361" s="1" t="str">
        <f>IFERROR(__xludf.DUMMYFUNCTION("""COMPUTED_VALUE"""),"Core Product Support")</f>
        <v>Core Product Support</v>
      </c>
      <c r="D11361" s="1" t="str">
        <f>IFERROR(__xludf.DUMMYFUNCTION("""COMPUTED_VALUE"""),"ed8e075f-7119-4833-8af3-4c353a3fdda1")</f>
        <v>ed8e075f-7119-4833-8af3-4c353a3fdda1</v>
      </c>
      <c r="E11361" s="1">
        <f>IFERROR(__xludf.DUMMYFUNCTION("""COMPUTED_VALUE"""),4.502516921487E12)</f>
        <v>4502516921487</v>
      </c>
      <c r="F11361" s="1"/>
      <c r="G11361" s="1">
        <f>IFERROR(__xludf.DUMMYFUNCTION("""COMPUTED_VALUE"""),1.25)</f>
        <v>1.25</v>
      </c>
      <c r="H11361" s="2">
        <f>IFERROR(__xludf.DUMMYFUNCTION("""COMPUTED_VALUE"""),1.25)</f>
        <v>1.25</v>
      </c>
      <c r="I11361" s="5">
        <f>IFERROR(__xludf.DUMMYFUNCTION("""COMPUTED_VALUE"""),1.0)</f>
        <v>1</v>
      </c>
      <c r="J11361" s="1" t="str">
        <f>IFERROR(__xludf.DUMMYFUNCTION("""COMPUTED_VALUE"""),"Jem Mondoñedo")</f>
        <v>Jem Mondoñedo</v>
      </c>
      <c r="K11361" s="1" t="str">
        <f>IFERROR(__xludf.DUMMYFUNCTION("""COMPUTED_VALUE"""),"Advanced Billing &amp; Subscriptions")</f>
        <v>Advanced Billing &amp; Subscriptions</v>
      </c>
      <c r="L11361" s="1" t="str">
        <f>IFERROR(__xludf.DUMMYFUNCTION("""COMPUTED_VALUE"""),"CPS Advanced Billing and Subscriptions (ABS)")</f>
        <v>CPS Advanced Billing and Subscriptions (ABS)</v>
      </c>
    </row>
    <row r="11362">
      <c r="A11362" s="1" t="str">
        <f>IFERROR(__xludf.DUMMYFUNCTION("""COMPUTED_VALUE"""),"2026 Apr")</f>
        <v>2026 Apr</v>
      </c>
      <c r="B11362" s="4">
        <f>IFERROR(__xludf.DUMMYFUNCTION("""COMPUTED_VALUE"""),46118.0)</f>
        <v>46118</v>
      </c>
      <c r="C11362" s="1" t="str">
        <f>IFERROR(__xludf.DUMMYFUNCTION("""COMPUTED_VALUE"""),"Admin Support")</f>
        <v>Admin Support</v>
      </c>
      <c r="D11362" s="1" t="str">
        <f>IFERROR(__xludf.DUMMYFUNCTION("""COMPUTED_VALUE"""),"000279e3-fb19-4b90-a95c-080adc98c9aa")</f>
        <v>000279e3-fb19-4b90-a95c-080adc98c9aa</v>
      </c>
      <c r="E11362" s="1">
        <f>IFERROR(__xludf.DUMMYFUNCTION("""COMPUTED_VALUE"""),3.61861297935E11)</f>
        <v>361861297935</v>
      </c>
      <c r="F11362" s="1"/>
      <c r="G11362" s="1">
        <f>IFERROR(__xludf.DUMMYFUNCTION("""COMPUTED_VALUE"""),0.25)</f>
        <v>0.25</v>
      </c>
      <c r="H11362" s="2">
        <f>IFERROR(__xludf.DUMMYFUNCTION("""COMPUTED_VALUE"""),0.25)</f>
        <v>0.25</v>
      </c>
      <c r="I11362" s="5">
        <f>IFERROR(__xludf.DUMMYFUNCTION("""COMPUTED_VALUE"""),1.0)</f>
        <v>1</v>
      </c>
      <c r="J11362" s="1" t="str">
        <f>IFERROR(__xludf.DUMMYFUNCTION("""COMPUTED_VALUE"""),"AL Suarez")</f>
        <v>AL Suarez</v>
      </c>
      <c r="K11362" s="1" t="str">
        <f>IFERROR(__xludf.DUMMYFUNCTION("""COMPUTED_VALUE"""),"Advanced Billing &amp; Subscriptions")</f>
        <v>Advanced Billing &amp; Subscriptions</v>
      </c>
      <c r="L11362" s="1" t="str">
        <f>IFERROR(__xludf.DUMMYFUNCTION("""COMPUTED_VALUE"""),"CPS Advanced Billing and Subscriptions (ABS)")</f>
        <v>CPS Advanced Billing and Subscriptions (ABS)</v>
      </c>
    </row>
    <row r="11363">
      <c r="A11363" s="1" t="str">
        <f>IFERROR(__xludf.DUMMYFUNCTION("""COMPUTED_VALUE"""),"2026 Apr")</f>
        <v>2026 Apr</v>
      </c>
      <c r="B11363" s="4">
        <f>IFERROR(__xludf.DUMMYFUNCTION("""COMPUTED_VALUE"""),46118.0)</f>
        <v>46118</v>
      </c>
      <c r="C11363" s="1" t="str">
        <f>IFERROR(__xludf.DUMMYFUNCTION("""COMPUTED_VALUE"""),"Print Support")</f>
        <v>Print Support</v>
      </c>
      <c r="D11363" s="1" t="str">
        <f>IFERROR(__xludf.DUMMYFUNCTION("""COMPUTED_VALUE"""),"61035b18-fc2e-492c-ae7d-227048511bcf")</f>
        <v>61035b18-fc2e-492c-ae7d-227048511bcf</v>
      </c>
      <c r="E11363" s="1"/>
      <c r="F11363" s="1"/>
      <c r="G11363" s="1">
        <f>IFERROR(__xludf.DUMMYFUNCTION("""COMPUTED_VALUE"""),0.67)</f>
        <v>0.67</v>
      </c>
      <c r="H11363" s="2">
        <f>IFERROR(__xludf.DUMMYFUNCTION("""COMPUTED_VALUE"""),0.67)</f>
        <v>0.67</v>
      </c>
      <c r="I11363" s="5">
        <f>IFERROR(__xludf.DUMMYFUNCTION("""COMPUTED_VALUE"""),1.0)</f>
        <v>1</v>
      </c>
      <c r="J11363" s="1" t="str">
        <f>IFERROR(__xludf.DUMMYFUNCTION("""COMPUTED_VALUE"""),"Gem Agoncillo")</f>
        <v>Gem Agoncillo</v>
      </c>
      <c r="K11363" s="1" t="str">
        <f>IFERROR(__xludf.DUMMYFUNCTION("""COMPUTED_VALUE"""),"Print Design Support")</f>
        <v>Print Design Support</v>
      </c>
      <c r="L11363" s="1" t="str">
        <f>IFERROR(__xludf.DUMMYFUNCTION("""COMPUTED_VALUE"""),"Print Print Design")</f>
        <v>Print Print Design</v>
      </c>
    </row>
    <row r="11364">
      <c r="A11364" s="1" t="str">
        <f>IFERROR(__xludf.DUMMYFUNCTION("""COMPUTED_VALUE"""),"2026 Apr")</f>
        <v>2026 Apr</v>
      </c>
      <c r="B11364" s="4">
        <f>IFERROR(__xludf.DUMMYFUNCTION("""COMPUTED_VALUE"""),46118.0)</f>
        <v>46118</v>
      </c>
      <c r="C11364" s="1" t="str">
        <f>IFERROR(__xludf.DUMMYFUNCTION("""COMPUTED_VALUE"""),"Core Product Support")</f>
        <v>Core Product Support</v>
      </c>
      <c r="D11364" s="1" t="str">
        <f>IFERROR(__xludf.DUMMYFUNCTION("""COMPUTED_VALUE"""),"7f6e3175-f6cd-4a70-93aa-118856f83921")</f>
        <v>7f6e3175-f6cd-4a70-93aa-118856f83921</v>
      </c>
      <c r="E11364" s="1">
        <f>IFERROR(__xludf.DUMMYFUNCTION("""COMPUTED_VALUE"""),1.0333019153039E13)</f>
        <v>10333019153039</v>
      </c>
      <c r="F11364" s="1">
        <f>IFERROR(__xludf.DUMMYFUNCTION("""COMPUTED_VALUE"""),0.5)</f>
        <v>0.5</v>
      </c>
      <c r="G11364" s="1">
        <f>IFERROR(__xludf.DUMMYFUNCTION("""COMPUTED_VALUE"""),1.25)</f>
        <v>1.25</v>
      </c>
      <c r="H11364" s="2">
        <f>IFERROR(__xludf.DUMMYFUNCTION("""COMPUTED_VALUE"""),1.75)</f>
        <v>1.75</v>
      </c>
      <c r="I11364" s="5">
        <f>IFERROR(__xludf.DUMMYFUNCTION("""COMPUTED_VALUE"""),0.7142857142857143)</f>
        <v>0.7142857143</v>
      </c>
      <c r="J11364" s="1" t="str">
        <f>IFERROR(__xludf.DUMMYFUNCTION("""COMPUTED_VALUE"""),"Belle Bentazal")</f>
        <v>Belle Bentazal</v>
      </c>
      <c r="K11364" s="1" t="str">
        <f>IFERROR(__xludf.DUMMYFUNCTION("""COMPUTED_VALUE"""),"Advanced Product Support")</f>
        <v>Advanced Product Support</v>
      </c>
      <c r="L11364" s="1" t="str">
        <f>IFERROR(__xludf.DUMMYFUNCTION("""COMPUTED_VALUE"""),"CPS Advanced Product Support (APS)")</f>
        <v>CPS Advanced Product Support (APS)</v>
      </c>
    </row>
    <row r="11365">
      <c r="A11365" s="1" t="str">
        <f>IFERROR(__xludf.DUMMYFUNCTION("""COMPUTED_VALUE"""),"2026 Apr")</f>
        <v>2026 Apr</v>
      </c>
      <c r="B11365" s="4">
        <f>IFERROR(__xludf.DUMMYFUNCTION("""COMPUTED_VALUE"""),46118.0)</f>
        <v>46118</v>
      </c>
      <c r="C11365" s="1" t="str">
        <f>IFERROR(__xludf.DUMMYFUNCTION("""COMPUTED_VALUE"""),"Segment-specific Support")</f>
        <v>Segment-specific Support</v>
      </c>
      <c r="D11365" s="1" t="str">
        <f>IFERROR(__xludf.DUMMYFUNCTION("""COMPUTED_VALUE"""),"8941a42e-630f-4e32-ac1a-aa9495a2b319")</f>
        <v>8941a42e-630f-4e32-ac1a-aa9495a2b319</v>
      </c>
      <c r="E11365" s="1">
        <f>IFERROR(__xludf.DUMMYFUNCTION("""COMPUTED_VALUE"""),3.61731514775E11)</f>
        <v>361731514775</v>
      </c>
      <c r="F11365" s="1"/>
      <c r="G11365" s="1"/>
      <c r="H11365" s="2">
        <f>IFERROR(__xludf.DUMMYFUNCTION("""COMPUTED_VALUE"""),0.0)</f>
        <v>0</v>
      </c>
      <c r="I11365" s="5"/>
      <c r="J11365" s="1" t="str">
        <f>IFERROR(__xludf.DUMMYFUNCTION("""COMPUTED_VALUE"""),"Aileen Dayanghirang")</f>
        <v>Aileen Dayanghirang</v>
      </c>
      <c r="K11365" s="1" t="str">
        <f>IFERROR(__xludf.DUMMYFUNCTION("""COMPUTED_VALUE"""),"Creators Support")</f>
        <v>Creators Support</v>
      </c>
      <c r="L11365" s="1" t="str">
        <f>IFERROR(__xludf.DUMMYFUNCTION("""COMPUTED_VALUE"""),"SSS Creators")</f>
        <v>SSS Creators</v>
      </c>
    </row>
    <row r="11366">
      <c r="A11366" s="1" t="str">
        <f>IFERROR(__xludf.DUMMYFUNCTION("""COMPUTED_VALUE"""),"2026 Apr")</f>
        <v>2026 Apr</v>
      </c>
      <c r="B11366" s="4">
        <f>IFERROR(__xludf.DUMMYFUNCTION("""COMPUTED_VALUE"""),46118.0)</f>
        <v>46118</v>
      </c>
      <c r="C11366" s="1" t="str">
        <f>IFERROR(__xludf.DUMMYFUNCTION("""COMPUTED_VALUE"""),"Segment-specific Support")</f>
        <v>Segment-specific Support</v>
      </c>
      <c r="D11366" s="1" t="str">
        <f>IFERROR(__xludf.DUMMYFUNCTION("""COMPUTED_VALUE"""),"dfd09cbc-1248-47f6-96ff-bb4b2c38ce63")</f>
        <v>dfd09cbc-1248-47f6-96ff-bb4b2c38ce63</v>
      </c>
      <c r="E11366" s="1">
        <f>IFERROR(__xludf.DUMMYFUNCTION("""COMPUTED_VALUE"""),3.61725262736E11)</f>
        <v>361725262736</v>
      </c>
      <c r="F11366" s="1"/>
      <c r="G11366" s="1"/>
      <c r="H11366" s="2">
        <f>IFERROR(__xludf.DUMMYFUNCTION("""COMPUTED_VALUE"""),0.0)</f>
        <v>0</v>
      </c>
      <c r="I11366" s="5"/>
      <c r="J11366" s="1" t="str">
        <f>IFERROR(__xludf.DUMMYFUNCTION("""COMPUTED_VALUE"""),"Gucci Nava")</f>
        <v>Gucci Nava</v>
      </c>
      <c r="K11366" s="1" t="str">
        <f>IFERROR(__xludf.DUMMYFUNCTION("""COMPUTED_VALUE"""),"Affinity Support")</f>
        <v>Affinity Support</v>
      </c>
      <c r="L11366" s="1" t="str">
        <f>IFERROR(__xludf.DUMMYFUNCTION("""COMPUTED_VALUE"""),"SSS Affinity - L1")</f>
        <v>SSS Affinity - L1</v>
      </c>
    </row>
    <row r="11367">
      <c r="A11367" s="1" t="str">
        <f>IFERROR(__xludf.DUMMYFUNCTION("""COMPUTED_VALUE"""),"2026 Apr")</f>
        <v>2026 Apr</v>
      </c>
      <c r="B11367" s="4">
        <f>IFERROR(__xludf.DUMMYFUNCTION("""COMPUTED_VALUE"""),46118.0)</f>
        <v>46118</v>
      </c>
      <c r="C11367" s="1" t="str">
        <f>IFERROR(__xludf.DUMMYFUNCTION("""COMPUTED_VALUE"""),"Segment-specific Support")</f>
        <v>Segment-specific Support</v>
      </c>
      <c r="D11367" s="1" t="str">
        <f>IFERROR(__xludf.DUMMYFUNCTION("""COMPUTED_VALUE"""),"14ab0e6b-ba36-4083-a4df-79ae04c36179")</f>
        <v>14ab0e6b-ba36-4083-a4df-79ae04c36179</v>
      </c>
      <c r="E11367" s="1">
        <f>IFERROR(__xludf.DUMMYFUNCTION("""COMPUTED_VALUE"""),1.0548580059023E13)</f>
        <v>10548580059023</v>
      </c>
      <c r="F11367" s="1"/>
      <c r="G11367" s="1">
        <f>IFERROR(__xludf.DUMMYFUNCTION("""COMPUTED_VALUE"""),1.0)</f>
        <v>1</v>
      </c>
      <c r="H11367" s="2">
        <f>IFERROR(__xludf.DUMMYFUNCTION("""COMPUTED_VALUE"""),1.0)</f>
        <v>1</v>
      </c>
      <c r="I11367" s="5">
        <f>IFERROR(__xludf.DUMMYFUNCTION("""COMPUTED_VALUE"""),1.0)</f>
        <v>1</v>
      </c>
      <c r="J11367" s="1" t="str">
        <f>IFERROR(__xludf.DUMMYFUNCTION("""COMPUTED_VALUE"""),"Jonathan Dimaculangan")</f>
        <v>Jonathan Dimaculangan</v>
      </c>
      <c r="K11367" s="1" t="str">
        <f>IFERROR(__xludf.DUMMYFUNCTION("""COMPUTED_VALUE"""),"Flourish Support")</f>
        <v>Flourish Support</v>
      </c>
      <c r="L11367" s="1" t="str">
        <f>IFERROR(__xludf.DUMMYFUNCTION("""COMPUTED_VALUE"""),"SSS Flourish")</f>
        <v>SSS Flourish</v>
      </c>
    </row>
    <row r="11368">
      <c r="A11368" s="1" t="str">
        <f>IFERROR(__xludf.DUMMYFUNCTION("""COMPUTED_VALUE"""),"2026 Apr")</f>
        <v>2026 Apr</v>
      </c>
      <c r="B11368" s="4">
        <f>IFERROR(__xludf.DUMMYFUNCTION("""COMPUTED_VALUE"""),46118.0)</f>
        <v>46118</v>
      </c>
      <c r="C11368" s="1" t="str">
        <f>IFERROR(__xludf.DUMMYFUNCTION("""COMPUTED_VALUE"""),"Admin Support")</f>
        <v>Admin Support</v>
      </c>
      <c r="D11368" s="1" t="str">
        <f>IFERROR(__xludf.DUMMYFUNCTION("""COMPUTED_VALUE"""),"37c57b4f-487c-4c75-8926-0d22cc125dcf")</f>
        <v>37c57b4f-487c-4c75-8926-0d22cc125dcf</v>
      </c>
      <c r="E11368" s="1">
        <f>IFERROR(__xludf.DUMMYFUNCTION("""COMPUTED_VALUE"""),9.153765932815E12)</f>
        <v>9153765932815</v>
      </c>
      <c r="F11368" s="1"/>
      <c r="G11368" s="1"/>
      <c r="H11368" s="2">
        <f>IFERROR(__xludf.DUMMYFUNCTION("""COMPUTED_VALUE"""),0.0)</f>
        <v>0</v>
      </c>
      <c r="I11368" s="5"/>
      <c r="J11368" s="1" t="str">
        <f>IFERROR(__xludf.DUMMYFUNCTION("""COMPUTED_VALUE"""),"Tash Kelly")</f>
        <v>Tash Kelly</v>
      </c>
      <c r="K11368" s="1" t="str">
        <f>IFERROR(__xludf.DUMMYFUNCTION("""COMPUTED_VALUE"""),"Admin Support EMEA")</f>
        <v>Admin Support EMEA</v>
      </c>
      <c r="L11368" s="1" t="str">
        <f>IFERROR(__xludf.DUMMYFUNCTION("""COMPUTED_VALUE"""),"Admin EMEA")</f>
        <v>Admin EMEA</v>
      </c>
    </row>
    <row r="11369">
      <c r="A11369" s="1" t="str">
        <f>IFERROR(__xludf.DUMMYFUNCTION("""COMPUTED_VALUE"""),"2026 Apr")</f>
        <v>2026 Apr</v>
      </c>
      <c r="B11369" s="4">
        <f>IFERROR(__xludf.DUMMYFUNCTION("""COMPUTED_VALUE"""),46118.0)</f>
        <v>46118</v>
      </c>
      <c r="C11369" s="1" t="str">
        <f>IFERROR(__xludf.DUMMYFUNCTION("""COMPUTED_VALUE"""),"Segment-specific Support")</f>
        <v>Segment-specific Support</v>
      </c>
      <c r="D11369" s="1" t="str">
        <f>IFERROR(__xludf.DUMMYFUNCTION("""COMPUTED_VALUE"""),"745adc44-2fda-43ea-bdcd-39c28e369ddc")</f>
        <v>745adc44-2fda-43ea-bdcd-39c28e369ddc</v>
      </c>
      <c r="E11369" s="1">
        <f>IFERROR(__xludf.DUMMYFUNCTION("""COMPUTED_VALUE"""),3.61731943495E11)</f>
        <v>361731943495</v>
      </c>
      <c r="F11369" s="1"/>
      <c r="G11369" s="1">
        <f>IFERROR(__xludf.DUMMYFUNCTION("""COMPUTED_VALUE"""),0.17)</f>
        <v>0.17</v>
      </c>
      <c r="H11369" s="2">
        <f>IFERROR(__xludf.DUMMYFUNCTION("""COMPUTED_VALUE"""),0.17)</f>
        <v>0.17</v>
      </c>
      <c r="I11369" s="5">
        <f>IFERROR(__xludf.DUMMYFUNCTION("""COMPUTED_VALUE"""),1.0)</f>
        <v>1</v>
      </c>
      <c r="J11369" s="1" t="str">
        <f>IFERROR(__xludf.DUMMYFUNCTION("""COMPUTED_VALUE"""),"Rose Gabilan")</f>
        <v>Rose Gabilan</v>
      </c>
      <c r="K11369" s="1" t="str">
        <f>IFERROR(__xludf.DUMMYFUNCTION("""COMPUTED_VALUE"""),"Affinity Support")</f>
        <v>Affinity Support</v>
      </c>
      <c r="L11369" s="1" t="str">
        <f>IFERROR(__xludf.DUMMYFUNCTION("""COMPUTED_VALUE"""),"SSS Affinity - L1")</f>
        <v>SSS Affinity - L1</v>
      </c>
    </row>
    <row r="11370">
      <c r="A11370" s="1" t="str">
        <f>IFERROR(__xludf.DUMMYFUNCTION("""COMPUTED_VALUE"""),"2026 Apr")</f>
        <v>2026 Apr</v>
      </c>
      <c r="B11370" s="4">
        <f>IFERROR(__xludf.DUMMYFUNCTION("""COMPUTED_VALUE"""),46118.0)</f>
        <v>46118</v>
      </c>
      <c r="C11370" s="1" t="str">
        <f>IFERROR(__xludf.DUMMYFUNCTION("""COMPUTED_VALUE"""),"Print Support")</f>
        <v>Print Support</v>
      </c>
      <c r="D11370" s="1" t="str">
        <f>IFERROR(__xludf.DUMMYFUNCTION("""COMPUTED_VALUE"""),"98326c76-87c9-4e59-a377-8cc144d863d0")</f>
        <v>98326c76-87c9-4e59-a377-8cc144d863d0</v>
      </c>
      <c r="E11370" s="1">
        <f>IFERROR(__xludf.DUMMYFUNCTION("""COMPUTED_VALUE"""),5.902016055567E12)</f>
        <v>5902016055567</v>
      </c>
      <c r="F11370" s="1"/>
      <c r="G11370" s="1"/>
      <c r="H11370" s="2">
        <f>IFERROR(__xludf.DUMMYFUNCTION("""COMPUTED_VALUE"""),0.0)</f>
        <v>0</v>
      </c>
      <c r="I11370" s="5"/>
      <c r="J11370" s="1" t="str">
        <f>IFERROR(__xludf.DUMMYFUNCTION("""COMPUTED_VALUE"""),"Rae Erlano")</f>
        <v>Rae Erlano</v>
      </c>
      <c r="K11370" s="1" t="str">
        <f>IFERROR(__xludf.DUMMYFUNCTION("""COMPUTED_VALUE"""),"Print Support PH")</f>
        <v>Print Support PH</v>
      </c>
      <c r="L11370" s="1" t="str">
        <f>IFERROR(__xludf.DUMMYFUNCTION("""COMPUTED_VALUE"""),"Print Print - SEE")</f>
        <v>Print Print - SEE</v>
      </c>
    </row>
    <row r="11371">
      <c r="A11371" s="1" t="str">
        <f>IFERROR(__xludf.DUMMYFUNCTION("""COMPUTED_VALUE"""),"2026 Apr")</f>
        <v>2026 Apr</v>
      </c>
      <c r="B11371" s="4">
        <f>IFERROR(__xludf.DUMMYFUNCTION("""COMPUTED_VALUE"""),46118.0)</f>
        <v>46118</v>
      </c>
      <c r="C11371" s="1" t="str">
        <f>IFERROR(__xludf.DUMMYFUNCTION("""COMPUTED_VALUE"""),"Print Support")</f>
        <v>Print Support</v>
      </c>
      <c r="D11371" s="1" t="str">
        <f>IFERROR(__xludf.DUMMYFUNCTION("""COMPUTED_VALUE"""),"233133e3-a3d0-492d-bb55-8a7c4ffc4966")</f>
        <v>233133e3-a3d0-492d-bb55-8a7c4ffc4966</v>
      </c>
      <c r="E11371" s="1">
        <f>IFERROR(__xludf.DUMMYFUNCTION("""COMPUTED_VALUE"""),5.902016026895E12)</f>
        <v>5902016026895</v>
      </c>
      <c r="F11371" s="1"/>
      <c r="G11371" s="1"/>
      <c r="H11371" s="2">
        <f>IFERROR(__xludf.DUMMYFUNCTION("""COMPUTED_VALUE"""),0.0)</f>
        <v>0</v>
      </c>
      <c r="I11371" s="5"/>
      <c r="J11371" s="1" t="str">
        <f>IFERROR(__xludf.DUMMYFUNCTION("""COMPUTED_VALUE"""),"Althea Mercado")</f>
        <v>Althea Mercado</v>
      </c>
      <c r="K11371" s="1" t="str">
        <f>IFERROR(__xludf.DUMMYFUNCTION("""COMPUTED_VALUE"""),"Print Support PH")</f>
        <v>Print Support PH</v>
      </c>
      <c r="L11371" s="1" t="str">
        <f>IFERROR(__xludf.DUMMYFUNCTION("""COMPUTED_VALUE"""),"Print Print - CHT")</f>
        <v>Print Print - CHT</v>
      </c>
    </row>
    <row r="11372">
      <c r="A11372" s="1" t="str">
        <f>IFERROR(__xludf.DUMMYFUNCTION("""COMPUTED_VALUE"""),"2026 Apr")</f>
        <v>2026 Apr</v>
      </c>
      <c r="B11372" s="4">
        <f>IFERROR(__xludf.DUMMYFUNCTION("""COMPUTED_VALUE"""),46118.0)</f>
        <v>46118</v>
      </c>
      <c r="C11372" s="1" t="str">
        <f>IFERROR(__xludf.DUMMYFUNCTION("""COMPUTED_VALUE"""),"Print Support")</f>
        <v>Print Support</v>
      </c>
      <c r="D11372" s="1" t="str">
        <f>IFERROR(__xludf.DUMMYFUNCTION("""COMPUTED_VALUE"""),"0dc0eea0-be83-425b-9b40-b42bc444972b")</f>
        <v>0dc0eea0-be83-425b-9b40-b42bc444972b</v>
      </c>
      <c r="E11372" s="1"/>
      <c r="F11372" s="1"/>
      <c r="G11372" s="1"/>
      <c r="H11372" s="2">
        <f>IFERROR(__xludf.DUMMYFUNCTION("""COMPUTED_VALUE"""),0.0)</f>
        <v>0</v>
      </c>
      <c r="I11372" s="5"/>
      <c r="J11372" s="1" t="str">
        <f>IFERROR(__xludf.DUMMYFUNCTION("""COMPUTED_VALUE"""),"G-Anne Murillo")</f>
        <v>G-Anne Murillo</v>
      </c>
      <c r="K11372" s="1" t="str">
        <f>IFERROR(__xludf.DUMMYFUNCTION("""COMPUTED_VALUE"""),"Print Design Support")</f>
        <v>Print Design Support</v>
      </c>
      <c r="L11372" s="1" t="str">
        <f>IFERROR(__xludf.DUMMYFUNCTION("""COMPUTED_VALUE"""),"Print Print Design")</f>
        <v>Print Print Design</v>
      </c>
    </row>
    <row r="11373">
      <c r="A11373" s="1" t="str">
        <f>IFERROR(__xludf.DUMMYFUNCTION("""COMPUTED_VALUE"""),"2026 Apr")</f>
        <v>2026 Apr</v>
      </c>
      <c r="B11373" s="4">
        <f>IFERROR(__xludf.DUMMYFUNCTION("""COMPUTED_VALUE"""),46118.0)</f>
        <v>46118</v>
      </c>
      <c r="C11373" s="1" t="str">
        <f>IFERROR(__xludf.DUMMYFUNCTION("""COMPUTED_VALUE"""),"High Sensitivity Support")</f>
        <v>High Sensitivity Support</v>
      </c>
      <c r="D11373" s="1" t="str">
        <f>IFERROR(__xludf.DUMMYFUNCTION("""COMPUTED_VALUE"""),"63913765-f42c-45e4-8f9a-eb96d52c2d61")</f>
        <v>63913765-f42c-45e4-8f9a-eb96d52c2d61</v>
      </c>
      <c r="E11373" s="1">
        <f>IFERROR(__xludf.DUMMYFUNCTION("""COMPUTED_VALUE"""),1.0333018822031E13)</f>
        <v>10333018822031</v>
      </c>
      <c r="F11373" s="1"/>
      <c r="G11373" s="1">
        <f>IFERROR(__xludf.DUMMYFUNCTION("""COMPUTED_VALUE"""),2.0)</f>
        <v>2</v>
      </c>
      <c r="H11373" s="2">
        <f>IFERROR(__xludf.DUMMYFUNCTION("""COMPUTED_VALUE"""),2.0)</f>
        <v>2</v>
      </c>
      <c r="I11373" s="5">
        <f>IFERROR(__xludf.DUMMYFUNCTION("""COMPUTED_VALUE"""),1.0)</f>
        <v>1</v>
      </c>
      <c r="J11373" s="1" t="str">
        <f>IFERROR(__xludf.DUMMYFUNCTION("""COMPUTED_VALUE"""),"Rex Villamor")</f>
        <v>Rex Villamor</v>
      </c>
      <c r="K11373" s="1" t="str">
        <f>IFERROR(__xludf.DUMMYFUNCTION("""COMPUTED_VALUE"""),"Advanced Product Support")</f>
        <v>Advanced Product Support</v>
      </c>
      <c r="L11373" s="1" t="str">
        <f>IFERROR(__xludf.DUMMYFUNCTION("""COMPUTED_VALUE"""),"CPS Advanced Product Support (APS)")</f>
        <v>CPS Advanced Product Support (APS)</v>
      </c>
    </row>
    <row r="11374">
      <c r="A11374" s="1" t="str">
        <f>IFERROR(__xludf.DUMMYFUNCTION("""COMPUTED_VALUE"""),"2026 Apr")</f>
        <v>2026 Apr</v>
      </c>
      <c r="B11374" s="4">
        <f>IFERROR(__xludf.DUMMYFUNCTION("""COMPUTED_VALUE"""),46118.0)</f>
        <v>46118</v>
      </c>
      <c r="C11374" s="1" t="str">
        <f>IFERROR(__xludf.DUMMYFUNCTION("""COMPUTED_VALUE"""),"Core Product Support")</f>
        <v>Core Product Support</v>
      </c>
      <c r="D11374" s="1" t="str">
        <f>IFERROR(__xludf.DUMMYFUNCTION("""COMPUTED_VALUE"""),"ab157f99-7ffd-4d9d-9c79-c3cf66911088")</f>
        <v>ab157f99-7ffd-4d9d-9c79-c3cf66911088</v>
      </c>
      <c r="E11374" s="1">
        <f>IFERROR(__xludf.DUMMYFUNCTION("""COMPUTED_VALUE"""),3.61731646775E11)</f>
        <v>361731646775</v>
      </c>
      <c r="F11374" s="1">
        <f>IFERROR(__xludf.DUMMYFUNCTION("""COMPUTED_VALUE"""),0.5)</f>
        <v>0.5</v>
      </c>
      <c r="G11374" s="1">
        <f>IFERROR(__xludf.DUMMYFUNCTION("""COMPUTED_VALUE"""),5.25)</f>
        <v>5.25</v>
      </c>
      <c r="H11374" s="2">
        <f>IFERROR(__xludf.DUMMYFUNCTION("""COMPUTED_VALUE"""),5.75)</f>
        <v>5.75</v>
      </c>
      <c r="I11374" s="5">
        <f>IFERROR(__xludf.DUMMYFUNCTION("""COMPUTED_VALUE"""),0.9130434782608695)</f>
        <v>0.9130434783</v>
      </c>
      <c r="J11374" s="1" t="str">
        <f>IFERROR(__xludf.DUMMYFUNCTION("""COMPUTED_VALUE"""),"Sieg Ballelos")</f>
        <v>Sieg Ballelos</v>
      </c>
      <c r="K11374" s="1" t="str">
        <f>IFERROR(__xludf.DUMMYFUNCTION("""COMPUTED_VALUE"""),"Core Product Support Escalation Team")</f>
        <v>Core Product Support Escalation Team</v>
      </c>
      <c r="L11374"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375">
      <c r="A11375" s="1" t="str">
        <f>IFERROR(__xludf.DUMMYFUNCTION("""COMPUTED_VALUE"""),"2026 Apr")</f>
        <v>2026 Apr</v>
      </c>
      <c r="B11375" s="4">
        <f>IFERROR(__xludf.DUMMYFUNCTION("""COMPUTED_VALUE"""),46118.0)</f>
        <v>46118</v>
      </c>
      <c r="C11375" s="1" t="str">
        <f>IFERROR(__xludf.DUMMYFUNCTION("""COMPUTED_VALUE"""),"Admin Support")</f>
        <v>Admin Support</v>
      </c>
      <c r="D11375" s="1" t="str">
        <f>IFERROR(__xludf.DUMMYFUNCTION("""COMPUTED_VALUE"""),"eb8376ed-4cf6-4826-b5fb-2b6844150189")</f>
        <v>eb8376ed-4cf6-4826-b5fb-2b6844150189</v>
      </c>
      <c r="E11375" s="1">
        <f>IFERROR(__xludf.DUMMYFUNCTION("""COMPUTED_VALUE"""),3.61731516535E11)</f>
        <v>361731516535</v>
      </c>
      <c r="F11375" s="1"/>
      <c r="G11375" s="1">
        <f>IFERROR(__xludf.DUMMYFUNCTION("""COMPUTED_VALUE"""),0.25)</f>
        <v>0.25</v>
      </c>
      <c r="H11375" s="2">
        <f>IFERROR(__xludf.DUMMYFUNCTION("""COMPUTED_VALUE"""),0.25)</f>
        <v>0.25</v>
      </c>
      <c r="I11375" s="5">
        <f>IFERROR(__xludf.DUMMYFUNCTION("""COMPUTED_VALUE"""),1.0)</f>
        <v>1</v>
      </c>
      <c r="J11375" s="1" t="str">
        <f>IFERROR(__xludf.DUMMYFUNCTION("""COMPUTED_VALUE"""),"Ann Dumlao")</f>
        <v>Ann Dumlao</v>
      </c>
      <c r="K11375" s="1" t="str">
        <f>IFERROR(__xludf.DUMMYFUNCTION("""COMPUTED_VALUE"""),"Admin Omni Support")</f>
        <v>Admin Omni Support</v>
      </c>
      <c r="L11375" s="1" t="str">
        <f>IFERROR(__xludf.DUMMYFUNCTION("""COMPUTED_VALUE"""),"Admin Omni Support")</f>
        <v>Admin Omni Support</v>
      </c>
    </row>
    <row r="11376">
      <c r="A11376" s="1" t="str">
        <f>IFERROR(__xludf.DUMMYFUNCTION("""COMPUTED_VALUE"""),"2026 Apr")</f>
        <v>2026 Apr</v>
      </c>
      <c r="B11376" s="4">
        <f>IFERROR(__xludf.DUMMYFUNCTION("""COMPUTED_VALUE"""),46118.0)</f>
        <v>46118</v>
      </c>
      <c r="C11376" s="1" t="str">
        <f>IFERROR(__xludf.DUMMYFUNCTION("""COMPUTED_VALUE"""),"Segment-specific Support")</f>
        <v>Segment-specific Support</v>
      </c>
      <c r="D11376" s="1" t="str">
        <f>IFERROR(__xludf.DUMMYFUNCTION("""COMPUTED_VALUE"""),"5f0cce5a-c29c-416c-a9e9-e7e3fa282c8a")</f>
        <v>5f0cce5a-c29c-416c-a9e9-e7e3fa282c8a</v>
      </c>
      <c r="E11376" s="1">
        <f>IFERROR(__xludf.DUMMYFUNCTION("""COMPUTED_VALUE"""),9.903289405711E12)</f>
        <v>9903289405711</v>
      </c>
      <c r="F11376" s="1"/>
      <c r="G11376" s="1">
        <f>IFERROR(__xludf.DUMMYFUNCTION("""COMPUTED_VALUE"""),1.0)</f>
        <v>1</v>
      </c>
      <c r="H11376" s="2">
        <f>IFERROR(__xludf.DUMMYFUNCTION("""COMPUTED_VALUE"""),1.0)</f>
        <v>1</v>
      </c>
      <c r="I11376" s="5">
        <f>IFERROR(__xludf.DUMMYFUNCTION("""COMPUTED_VALUE"""),1.0)</f>
        <v>1</v>
      </c>
      <c r="J11376" s="1" t="str">
        <f>IFERROR(__xludf.DUMMYFUNCTION("""COMPUTED_VALUE"""),"Jonathan Dimaculangan")</f>
        <v>Jonathan Dimaculangan</v>
      </c>
      <c r="K11376" s="1" t="str">
        <f>IFERROR(__xludf.DUMMYFUNCTION("""COMPUTED_VALUE"""),"Flourish Support")</f>
        <v>Flourish Support</v>
      </c>
      <c r="L11376" s="1" t="str">
        <f>IFERROR(__xludf.DUMMYFUNCTION("""COMPUTED_VALUE"""),"SSS Flourish")</f>
        <v>SSS Flourish</v>
      </c>
    </row>
    <row r="11377">
      <c r="A11377" s="1" t="str">
        <f>IFERROR(__xludf.DUMMYFUNCTION("""COMPUTED_VALUE"""),"2026 Apr")</f>
        <v>2026 Apr</v>
      </c>
      <c r="B11377" s="4">
        <f>IFERROR(__xludf.DUMMYFUNCTION("""COMPUTED_VALUE"""),46118.0)</f>
        <v>46118</v>
      </c>
      <c r="C11377" s="1" t="str">
        <f>IFERROR(__xludf.DUMMYFUNCTION("""COMPUTED_VALUE"""),"Core Product Support")</f>
        <v>Core Product Support</v>
      </c>
      <c r="D11377" s="1" t="str">
        <f>IFERROR(__xludf.DUMMYFUNCTION("""COMPUTED_VALUE"""),"618f1bf8-5458-45df-85f7-93c4f29332f8")</f>
        <v>618f1bf8-5458-45df-85f7-93c4f29332f8</v>
      </c>
      <c r="E11377" s="1">
        <f>IFERROR(__xludf.DUMMYFUNCTION("""COMPUTED_VALUE"""),3.61724667256E11)</f>
        <v>361724667256</v>
      </c>
      <c r="F11377" s="1">
        <f>IFERROR(__xludf.DUMMYFUNCTION("""COMPUTED_VALUE"""),0.5)</f>
        <v>0.5</v>
      </c>
      <c r="G11377" s="1">
        <f>IFERROR(__xludf.DUMMYFUNCTION("""COMPUTED_VALUE"""),2.5)</f>
        <v>2.5</v>
      </c>
      <c r="H11377" s="2">
        <f>IFERROR(__xludf.DUMMYFUNCTION("""COMPUTED_VALUE"""),3.0)</f>
        <v>3</v>
      </c>
      <c r="I11377" s="5">
        <f>IFERROR(__xludf.DUMMYFUNCTION("""COMPUTED_VALUE"""),0.8333333333333334)</f>
        <v>0.8333333333</v>
      </c>
      <c r="J11377" s="1" t="str">
        <f>IFERROR(__xludf.DUMMYFUNCTION("""COMPUTED_VALUE"""),"Ellaine Estayo")</f>
        <v>Ellaine Estayo</v>
      </c>
      <c r="K11377" s="1" t="str">
        <f>IFERROR(__xludf.DUMMYFUNCTION("""COMPUTED_VALUE"""),"Core Product Support Escalation Team")</f>
        <v>Core Product Support Escalation Team</v>
      </c>
      <c r="L11377"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378">
      <c r="A11378" s="1" t="str">
        <f>IFERROR(__xludf.DUMMYFUNCTION("""COMPUTED_VALUE"""),"2026 Apr")</f>
        <v>2026 Apr</v>
      </c>
      <c r="B11378" s="4">
        <f>IFERROR(__xludf.DUMMYFUNCTION("""COMPUTED_VALUE"""),46118.0)</f>
        <v>46118</v>
      </c>
      <c r="C11378" s="1" t="str">
        <f>IFERROR(__xludf.DUMMYFUNCTION("""COMPUTED_VALUE"""),"Print Support")</f>
        <v>Print Support</v>
      </c>
      <c r="D11378" s="1" t="str">
        <f>IFERROR(__xludf.DUMMYFUNCTION("""COMPUTED_VALUE"""),"9e452879-93e7-461c-b1a1-1bd079930eb2")</f>
        <v>9e452879-93e7-461c-b1a1-1bd079930eb2</v>
      </c>
      <c r="E11378" s="1">
        <f>IFERROR(__xludf.DUMMYFUNCTION("""COMPUTED_VALUE"""),1.0548609842831E13)</f>
        <v>10548609842831</v>
      </c>
      <c r="F11378" s="1"/>
      <c r="G11378" s="1">
        <f>IFERROR(__xludf.DUMMYFUNCTION("""COMPUTED_VALUE"""),0.67)</f>
        <v>0.67</v>
      </c>
      <c r="H11378" s="2">
        <f>IFERROR(__xludf.DUMMYFUNCTION("""COMPUTED_VALUE"""),0.67)</f>
        <v>0.67</v>
      </c>
      <c r="I11378" s="5">
        <f>IFERROR(__xludf.DUMMYFUNCTION("""COMPUTED_VALUE"""),1.0)</f>
        <v>1</v>
      </c>
      <c r="J11378" s="1" t="str">
        <f>IFERROR(__xludf.DUMMYFUNCTION("""COMPUTED_VALUE"""),"Louise Dianne Estrella")</f>
        <v>Louise Dianne Estrella</v>
      </c>
      <c r="K11378" s="1" t="str">
        <f>IFERROR(__xludf.DUMMYFUNCTION("""COMPUTED_VALUE"""),"Print Support PH")</f>
        <v>Print Support PH</v>
      </c>
      <c r="L11378" s="1" t="str">
        <f>IFERROR(__xludf.DUMMYFUNCTION("""COMPUTED_VALUE"""),"Print Print - CHT")</f>
        <v>Print Print - CHT</v>
      </c>
    </row>
    <row r="11379">
      <c r="A11379" s="1" t="str">
        <f>IFERROR(__xludf.DUMMYFUNCTION("""COMPUTED_VALUE"""),"2026 Apr")</f>
        <v>2026 Apr</v>
      </c>
      <c r="B11379" s="4">
        <f>IFERROR(__xludf.DUMMYFUNCTION("""COMPUTED_VALUE"""),46118.0)</f>
        <v>46118</v>
      </c>
      <c r="C11379" s="1" t="str">
        <f>IFERROR(__xludf.DUMMYFUNCTION("""COMPUTED_VALUE"""),"Core Product Support")</f>
        <v>Core Product Support</v>
      </c>
      <c r="D11379" s="1" t="str">
        <f>IFERROR(__xludf.DUMMYFUNCTION("""COMPUTED_VALUE"""),"2a3cbb81-c61e-4e7d-8a9e-ed241403cd4d")</f>
        <v>2a3cbb81-c61e-4e7d-8a9e-ed241403cd4d</v>
      </c>
      <c r="E11379" s="1">
        <f>IFERROR(__xludf.DUMMYFUNCTION("""COMPUTED_VALUE"""),1.0333033832463E13)</f>
        <v>10333033832463</v>
      </c>
      <c r="F11379" s="1"/>
      <c r="G11379" s="1">
        <f>IFERROR(__xludf.DUMMYFUNCTION("""COMPUTED_VALUE"""),1.25)</f>
        <v>1.25</v>
      </c>
      <c r="H11379" s="2">
        <f>IFERROR(__xludf.DUMMYFUNCTION("""COMPUTED_VALUE"""),1.25)</f>
        <v>1.25</v>
      </c>
      <c r="I11379" s="5">
        <f>IFERROR(__xludf.DUMMYFUNCTION("""COMPUTED_VALUE"""),1.0)</f>
        <v>1</v>
      </c>
      <c r="J11379" s="1" t="str">
        <f>IFERROR(__xludf.DUMMYFUNCTION("""COMPUTED_VALUE"""),"Cherry Macam")</f>
        <v>Cherry Macam</v>
      </c>
      <c r="K11379" s="1" t="str">
        <f>IFERROR(__xludf.DUMMYFUNCTION("""COMPUTED_VALUE"""),"Advanced Billing &amp; Subscriptions")</f>
        <v>Advanced Billing &amp; Subscriptions</v>
      </c>
      <c r="L11379" s="1" t="str">
        <f>IFERROR(__xludf.DUMMYFUNCTION("""COMPUTED_VALUE"""),"CPS Advanced Billing and Subscriptions (ABS)")</f>
        <v>CPS Advanced Billing and Subscriptions (ABS)</v>
      </c>
    </row>
    <row r="11380">
      <c r="A11380" s="1" t="str">
        <f>IFERROR(__xludf.DUMMYFUNCTION("""COMPUTED_VALUE"""),"2026 Apr")</f>
        <v>2026 Apr</v>
      </c>
      <c r="B11380" s="4">
        <f>IFERROR(__xludf.DUMMYFUNCTION("""COMPUTED_VALUE"""),46118.0)</f>
        <v>46118</v>
      </c>
      <c r="C11380" s="1" t="str">
        <f>IFERROR(__xludf.DUMMYFUNCTION("""COMPUTED_VALUE"""),"Segment-specific Support")</f>
        <v>Segment-specific Support</v>
      </c>
      <c r="D11380" s="1" t="str">
        <f>IFERROR(__xludf.DUMMYFUNCTION("""COMPUTED_VALUE"""),"b9ec9518-1035-4039-9e89-56312867ff3e")</f>
        <v>b9ec9518-1035-4039-9e89-56312867ff3e</v>
      </c>
      <c r="E11380" s="1">
        <f>IFERROR(__xludf.DUMMYFUNCTION("""COMPUTED_VALUE"""),1.0548609971215E13)</f>
        <v>10548609971215</v>
      </c>
      <c r="F11380" s="1"/>
      <c r="G11380" s="1">
        <f>IFERROR(__xludf.DUMMYFUNCTION("""COMPUTED_VALUE"""),0.17)</f>
        <v>0.17</v>
      </c>
      <c r="H11380" s="2">
        <f>IFERROR(__xludf.DUMMYFUNCTION("""COMPUTED_VALUE"""),0.17)</f>
        <v>0.17</v>
      </c>
      <c r="I11380" s="5">
        <f>IFERROR(__xludf.DUMMYFUNCTION("""COMPUTED_VALUE"""),1.0)</f>
        <v>1</v>
      </c>
      <c r="J11380" s="1" t="str">
        <f>IFERROR(__xludf.DUMMYFUNCTION("""COMPUTED_VALUE"""),"Gucci Nava")</f>
        <v>Gucci Nava</v>
      </c>
      <c r="K11380" s="1" t="str">
        <f>IFERROR(__xludf.DUMMYFUNCTION("""COMPUTED_VALUE"""),"Print Support PH")</f>
        <v>Print Support PH</v>
      </c>
      <c r="L11380" s="1" t="str">
        <f>IFERROR(__xludf.DUMMYFUNCTION("""COMPUTED_VALUE"""),"Print Print - CHT")</f>
        <v>Print Print - CHT</v>
      </c>
    </row>
    <row r="11381">
      <c r="A11381" s="1" t="str">
        <f>IFERROR(__xludf.DUMMYFUNCTION("""COMPUTED_VALUE"""),"2026 Apr")</f>
        <v>2026 Apr</v>
      </c>
      <c r="B11381" s="4">
        <f>IFERROR(__xludf.DUMMYFUNCTION("""COMPUTED_VALUE"""),46118.0)</f>
        <v>46118</v>
      </c>
      <c r="C11381" s="1" t="str">
        <f>IFERROR(__xludf.DUMMYFUNCTION("""COMPUTED_VALUE"""),"Core Product Support")</f>
        <v>Core Product Support</v>
      </c>
      <c r="D11381" s="1" t="str">
        <f>IFERROR(__xludf.DUMMYFUNCTION("""COMPUTED_VALUE"""),"b80ae9d0-5920-40ea-8338-5b197b10c2ea")</f>
        <v>b80ae9d0-5920-40ea-8338-5b197b10c2ea</v>
      </c>
      <c r="E11381" s="1">
        <f>IFERROR(__xludf.DUMMYFUNCTION("""COMPUTED_VALUE"""),3.61857411916E11)</f>
        <v>361857411916</v>
      </c>
      <c r="F11381" s="1"/>
      <c r="G11381" s="1">
        <f>IFERROR(__xludf.DUMMYFUNCTION("""COMPUTED_VALUE"""),1.25)</f>
        <v>1.25</v>
      </c>
      <c r="H11381" s="2">
        <f>IFERROR(__xludf.DUMMYFUNCTION("""COMPUTED_VALUE"""),1.25)</f>
        <v>1.25</v>
      </c>
      <c r="I11381" s="5">
        <f>IFERROR(__xludf.DUMMYFUNCTION("""COMPUTED_VALUE"""),1.0)</f>
        <v>1</v>
      </c>
      <c r="J11381" s="1" t="str">
        <f>IFERROR(__xludf.DUMMYFUNCTION("""COMPUTED_VALUE"""),"Jahmie Mae Barrameda")</f>
        <v>Jahmie Mae Barrameda</v>
      </c>
      <c r="K11381" s="1" t="str">
        <f>IFERROR(__xludf.DUMMYFUNCTION("""COMPUTED_VALUE"""),"Advanced Billing &amp; Subscriptions")</f>
        <v>Advanced Billing &amp; Subscriptions</v>
      </c>
      <c r="L11381" s="1" t="str">
        <f>IFERROR(__xludf.DUMMYFUNCTION("""COMPUTED_VALUE"""),"CPS Advanced Billing and Subscriptions (ABS)")</f>
        <v>CPS Advanced Billing and Subscriptions (ABS)</v>
      </c>
    </row>
    <row r="11382">
      <c r="A11382" s="1" t="str">
        <f>IFERROR(__xludf.DUMMYFUNCTION("""COMPUTED_VALUE"""),"2026 Apr")</f>
        <v>2026 Apr</v>
      </c>
      <c r="B11382" s="4">
        <f>IFERROR(__xludf.DUMMYFUNCTION("""COMPUTED_VALUE"""),46118.0)</f>
        <v>46118</v>
      </c>
      <c r="C11382" s="1" t="str">
        <f>IFERROR(__xludf.DUMMYFUNCTION("""COMPUTED_VALUE"""),"Print Support")</f>
        <v>Print Support</v>
      </c>
      <c r="D11382" s="1" t="str">
        <f>IFERROR(__xludf.DUMMYFUNCTION("""COMPUTED_VALUE"""),"96960398-b413-404a-acdf-c9c07c7a947d")</f>
        <v>96960398-b413-404a-acdf-c9c07c7a947d</v>
      </c>
      <c r="E11382" s="1">
        <f>IFERROR(__xludf.DUMMYFUNCTION("""COMPUTED_VALUE"""),3.61744077956E11)</f>
        <v>361744077956</v>
      </c>
      <c r="F11382" s="1"/>
      <c r="G11382" s="1"/>
      <c r="H11382" s="2">
        <f>IFERROR(__xludf.DUMMYFUNCTION("""COMPUTED_VALUE"""),0.0)</f>
        <v>0</v>
      </c>
      <c r="I11382" s="5"/>
      <c r="J11382" s="1" t="str">
        <f>IFERROR(__xludf.DUMMYFUNCTION("""COMPUTED_VALUE"""),"Rae Erlano")</f>
        <v>Rae Erlano</v>
      </c>
      <c r="K11382" s="1" t="str">
        <f>IFERROR(__xludf.DUMMYFUNCTION("""COMPUTED_VALUE"""),"Print Support PH")</f>
        <v>Print Support PH</v>
      </c>
      <c r="L11382" s="1" t="str">
        <f>IFERROR(__xludf.DUMMYFUNCTION("""COMPUTED_VALUE"""),"Print Print - SEE")</f>
        <v>Print Print - SEE</v>
      </c>
    </row>
    <row r="11383">
      <c r="A11383" s="1" t="str">
        <f>IFERROR(__xludf.DUMMYFUNCTION("""COMPUTED_VALUE"""),"2026 Apr")</f>
        <v>2026 Apr</v>
      </c>
      <c r="B11383" s="4">
        <f>IFERROR(__xludf.DUMMYFUNCTION("""COMPUTED_VALUE"""),46118.0)</f>
        <v>46118</v>
      </c>
      <c r="C11383" s="1" t="str">
        <f>IFERROR(__xludf.DUMMYFUNCTION("""COMPUTED_VALUE"""),"Print Support")</f>
        <v>Print Support</v>
      </c>
      <c r="D11383" s="1" t="str">
        <f>IFERROR(__xludf.DUMMYFUNCTION("""COMPUTED_VALUE"""),"b85e88a5-e05e-4b99-8314-1a4152e7f993")</f>
        <v>b85e88a5-e05e-4b99-8314-1a4152e7f993</v>
      </c>
      <c r="E11383" s="1"/>
      <c r="F11383" s="1"/>
      <c r="G11383" s="1">
        <f>IFERROR(__xludf.DUMMYFUNCTION("""COMPUTED_VALUE"""),0.67)</f>
        <v>0.67</v>
      </c>
      <c r="H11383" s="2">
        <f>IFERROR(__xludf.DUMMYFUNCTION("""COMPUTED_VALUE"""),0.67)</f>
        <v>0.67</v>
      </c>
      <c r="I11383" s="5">
        <f>IFERROR(__xludf.DUMMYFUNCTION("""COMPUTED_VALUE"""),1.0)</f>
        <v>1</v>
      </c>
      <c r="J11383" s="1" t="str">
        <f>IFERROR(__xludf.DUMMYFUNCTION("""COMPUTED_VALUE"""),"Rei De Jesus")</f>
        <v>Rei De Jesus</v>
      </c>
      <c r="K11383" s="1" t="str">
        <f>IFERROR(__xludf.DUMMYFUNCTION("""COMPUTED_VALUE"""),"Print Design Support")</f>
        <v>Print Design Support</v>
      </c>
      <c r="L11383" s="1" t="str">
        <f>IFERROR(__xludf.DUMMYFUNCTION("""COMPUTED_VALUE"""),"Print Print Design")</f>
        <v>Print Print Design</v>
      </c>
    </row>
    <row r="11384">
      <c r="A11384" s="1" t="str">
        <f>IFERROR(__xludf.DUMMYFUNCTION("""COMPUTED_VALUE"""),"2026 Apr")</f>
        <v>2026 Apr</v>
      </c>
      <c r="B11384" s="4">
        <f>IFERROR(__xludf.DUMMYFUNCTION("""COMPUTED_VALUE"""),46118.0)</f>
        <v>46118</v>
      </c>
      <c r="C11384" s="1" t="str">
        <f>IFERROR(__xludf.DUMMYFUNCTION("""COMPUTED_VALUE"""),"High Sensitivity Support")</f>
        <v>High Sensitivity Support</v>
      </c>
      <c r="D11384" s="1" t="str">
        <f>IFERROR(__xludf.DUMMYFUNCTION("""COMPUTED_VALUE"""),"f734e8ae-d81c-444b-8238-0989a571ddfc")</f>
        <v>f734e8ae-d81c-444b-8238-0989a571ddfc</v>
      </c>
      <c r="E11384" s="1">
        <f>IFERROR(__xludf.DUMMYFUNCTION("""COMPUTED_VALUE"""),1.0548626331023E13)</f>
        <v>10548626331023</v>
      </c>
      <c r="F11384" s="1"/>
      <c r="G11384" s="1">
        <f>IFERROR(__xludf.DUMMYFUNCTION("""COMPUTED_VALUE"""),2.0)</f>
        <v>2</v>
      </c>
      <c r="H11384" s="2">
        <f>IFERROR(__xludf.DUMMYFUNCTION("""COMPUTED_VALUE"""),2.0)</f>
        <v>2</v>
      </c>
      <c r="I11384" s="5">
        <f>IFERROR(__xludf.DUMMYFUNCTION("""COMPUTED_VALUE"""),1.0)</f>
        <v>1</v>
      </c>
      <c r="J11384" s="1" t="str">
        <f>IFERROR(__xludf.DUMMYFUNCTION("""COMPUTED_VALUE"""),"Xandy Azarcon")</f>
        <v>Xandy Azarcon</v>
      </c>
      <c r="K11384" s="1" t="str">
        <f>IFERROR(__xludf.DUMMYFUNCTION("""COMPUTED_VALUE"""),"High Sensitivity Support PH")</f>
        <v>High Sensitivity Support PH</v>
      </c>
      <c r="L11384" s="1" t="str">
        <f>IFERROR(__xludf.DUMMYFUNCTION("""COMPUTED_VALUE"""),"HSS High Sensitivity Support PH - CHT")</f>
        <v>HSS High Sensitivity Support PH - CHT</v>
      </c>
    </row>
    <row r="11385">
      <c r="A11385" s="1" t="str">
        <f>IFERROR(__xludf.DUMMYFUNCTION("""COMPUTED_VALUE"""),"2026 Apr")</f>
        <v>2026 Apr</v>
      </c>
      <c r="B11385" s="4">
        <f>IFERROR(__xludf.DUMMYFUNCTION("""COMPUTED_VALUE"""),46118.0)</f>
        <v>46118</v>
      </c>
      <c r="C11385" s="1" t="str">
        <f>IFERROR(__xludf.DUMMYFUNCTION("""COMPUTED_VALUE"""),"Admin Support")</f>
        <v>Admin Support</v>
      </c>
      <c r="D11385" s="1" t="str">
        <f>IFERROR(__xludf.DUMMYFUNCTION("""COMPUTED_VALUE"""),"325d8c4b-104e-45b5-8c24-46aee9a25b01")</f>
        <v>325d8c4b-104e-45b5-8c24-46aee9a25b01</v>
      </c>
      <c r="E11385" s="1">
        <f>IFERROR(__xludf.DUMMYFUNCTION("""COMPUTED_VALUE"""),9.582702695695E12)</f>
        <v>9582702695695</v>
      </c>
      <c r="F11385" s="1"/>
      <c r="G11385" s="1"/>
      <c r="H11385" s="2">
        <f>IFERROR(__xludf.DUMMYFUNCTION("""COMPUTED_VALUE"""),0.0)</f>
        <v>0</v>
      </c>
      <c r="I11385" s="5"/>
      <c r="J11385" s="1" t="str">
        <f>IFERROR(__xludf.DUMMYFUNCTION("""COMPUTED_VALUE"""),"Nate Vela")</f>
        <v>Nate Vela</v>
      </c>
      <c r="K11385" s="1" t="str">
        <f>IFERROR(__xludf.DUMMYFUNCTION("""COMPUTED_VALUE"""),"Admin Support NA")</f>
        <v>Admin Support NA</v>
      </c>
      <c r="L11385" s="1" t="str">
        <f>IFERROR(__xludf.DUMMYFUNCTION("""COMPUTED_VALUE"""),"Admin NA")</f>
        <v>Admin NA</v>
      </c>
    </row>
    <row r="11386">
      <c r="A11386" s="1" t="str">
        <f>IFERROR(__xludf.DUMMYFUNCTION("""COMPUTED_VALUE"""),"2026 Apr")</f>
        <v>2026 Apr</v>
      </c>
      <c r="B11386" s="4">
        <f>IFERROR(__xludf.DUMMYFUNCTION("""COMPUTED_VALUE"""),46118.0)</f>
        <v>46118</v>
      </c>
      <c r="C11386" s="1" t="str">
        <f>IFERROR(__xludf.DUMMYFUNCTION("""COMPUTED_VALUE"""),"Print Support")</f>
        <v>Print Support</v>
      </c>
      <c r="D11386" s="1" t="str">
        <f>IFERROR(__xludf.DUMMYFUNCTION("""COMPUTED_VALUE"""),"afe991ce-72f0-4a1b-ae15-865b9a416d53")</f>
        <v>afe991ce-72f0-4a1b-ae15-865b9a416d53</v>
      </c>
      <c r="E11386" s="1">
        <f>IFERROR(__xludf.DUMMYFUNCTION("""COMPUTED_VALUE"""),3.61694632195E11)</f>
        <v>361694632195</v>
      </c>
      <c r="F11386" s="1"/>
      <c r="G11386" s="1"/>
      <c r="H11386" s="2">
        <f>IFERROR(__xludf.DUMMYFUNCTION("""COMPUTED_VALUE"""),0.0)</f>
        <v>0</v>
      </c>
      <c r="I11386" s="5"/>
      <c r="J11386" s="1" t="str">
        <f>IFERROR(__xludf.DUMMYFUNCTION("""COMPUTED_VALUE"""),"Memae Faustino")</f>
        <v>Memae Faustino</v>
      </c>
      <c r="K11386" s="1" t="str">
        <f>IFERROR(__xludf.DUMMYFUNCTION("""COMPUTED_VALUE"""),"Print Support PH")</f>
        <v>Print Support PH</v>
      </c>
      <c r="L11386" s="1" t="str">
        <f>IFERROR(__xludf.DUMMYFUNCTION("""COMPUTED_VALUE"""),"Print Print - SEE")</f>
        <v>Print Print - SEE</v>
      </c>
    </row>
    <row r="11387">
      <c r="A11387" s="1" t="str">
        <f>IFERROR(__xludf.DUMMYFUNCTION("""COMPUTED_VALUE"""),"2026 Apr")</f>
        <v>2026 Apr</v>
      </c>
      <c r="B11387" s="4">
        <f>IFERROR(__xludf.DUMMYFUNCTION("""COMPUTED_VALUE"""),46118.0)</f>
        <v>46118</v>
      </c>
      <c r="C11387" s="1" t="str">
        <f>IFERROR(__xludf.DUMMYFUNCTION("""COMPUTED_VALUE"""),"Print Support")</f>
        <v>Print Support</v>
      </c>
      <c r="D11387" s="1" t="str">
        <f>IFERROR(__xludf.DUMMYFUNCTION("""COMPUTED_VALUE"""),"b0701057-db2b-4208-bb14-e0c4e8b8f1ee")</f>
        <v>b0701057-db2b-4208-bb14-e0c4e8b8f1ee</v>
      </c>
      <c r="E11387" s="1"/>
      <c r="F11387" s="1"/>
      <c r="G11387" s="1"/>
      <c r="H11387" s="2">
        <f>IFERROR(__xludf.DUMMYFUNCTION("""COMPUTED_VALUE"""),0.0)</f>
        <v>0</v>
      </c>
      <c r="I11387" s="5"/>
      <c r="J11387" s="1" t="str">
        <f>IFERROR(__xludf.DUMMYFUNCTION("""COMPUTED_VALUE"""),"Aliza Dote")</f>
        <v>Aliza Dote</v>
      </c>
      <c r="K11387" s="1" t="str">
        <f>IFERROR(__xludf.DUMMYFUNCTION("""COMPUTED_VALUE"""),"Print Design Support")</f>
        <v>Print Design Support</v>
      </c>
      <c r="L11387" s="1" t="str">
        <f>IFERROR(__xludf.DUMMYFUNCTION("""COMPUTED_VALUE"""),"Print Print Design")</f>
        <v>Print Print Design</v>
      </c>
    </row>
    <row r="11388">
      <c r="A11388" s="1" t="str">
        <f>IFERROR(__xludf.DUMMYFUNCTION("""COMPUTED_VALUE"""),"2026 Apr")</f>
        <v>2026 Apr</v>
      </c>
      <c r="B11388" s="4">
        <f>IFERROR(__xludf.DUMMYFUNCTION("""COMPUTED_VALUE"""),46118.0)</f>
        <v>46118</v>
      </c>
      <c r="C11388" s="1" t="str">
        <f>IFERROR(__xludf.DUMMYFUNCTION("""COMPUTED_VALUE"""),"Core Product Support")</f>
        <v>Core Product Support</v>
      </c>
      <c r="D11388" s="1" t="str">
        <f>IFERROR(__xludf.DUMMYFUNCTION("""COMPUTED_VALUE"""),"e49eb420-7bd7-4503-a1d0-35028e015e43")</f>
        <v>e49eb420-7bd7-4503-a1d0-35028e015e43</v>
      </c>
      <c r="E11388" s="1">
        <f>IFERROR(__xludf.DUMMYFUNCTION("""COMPUTED_VALUE"""),5.047314693263E12)</f>
        <v>5047314693263</v>
      </c>
      <c r="F11388" s="1"/>
      <c r="G11388" s="1">
        <f>IFERROR(__xludf.DUMMYFUNCTION("""COMPUTED_VALUE"""),1.0)</f>
        <v>1</v>
      </c>
      <c r="H11388" s="2">
        <f>IFERROR(__xludf.DUMMYFUNCTION("""COMPUTED_VALUE"""),1.0)</f>
        <v>1</v>
      </c>
      <c r="I11388" s="5">
        <f>IFERROR(__xludf.DUMMYFUNCTION("""COMPUTED_VALUE"""),1.0)</f>
        <v>1</v>
      </c>
      <c r="J11388" s="1" t="str">
        <f>IFERROR(__xludf.DUMMYFUNCTION("""COMPUTED_VALUE"""),"Cate Velasco")</f>
        <v>Cate Velasco</v>
      </c>
      <c r="K11388" s="1" t="str">
        <f>IFERROR(__xludf.DUMMYFUNCTION("""COMPUTED_VALUE"""),"Advanced Product Support")</f>
        <v>Advanced Product Support</v>
      </c>
      <c r="L11388" s="1" t="str">
        <f>IFERROR(__xludf.DUMMYFUNCTION("""COMPUTED_VALUE"""),"CPS Advanced Product Support (APS)")</f>
        <v>CPS Advanced Product Support (APS)</v>
      </c>
    </row>
    <row r="11389">
      <c r="A11389" s="1" t="str">
        <f>IFERROR(__xludf.DUMMYFUNCTION("""COMPUTED_VALUE"""),"2026 Apr")</f>
        <v>2026 Apr</v>
      </c>
      <c r="B11389" s="4">
        <f>IFERROR(__xludf.DUMMYFUNCTION("""COMPUTED_VALUE"""),46118.0)</f>
        <v>46118</v>
      </c>
      <c r="C11389" s="1" t="str">
        <f>IFERROR(__xludf.DUMMYFUNCTION("""COMPUTED_VALUE"""),"Print Support")</f>
        <v>Print Support</v>
      </c>
      <c r="D11389" s="1" t="str">
        <f>IFERROR(__xludf.DUMMYFUNCTION("""COMPUTED_VALUE"""),"03a2ac9e-65a5-409e-851b-a4c93a003187")</f>
        <v>03a2ac9e-65a5-409e-851b-a4c93a003187</v>
      </c>
      <c r="E11389" s="1">
        <f>IFERROR(__xludf.DUMMYFUNCTION("""COMPUTED_VALUE"""),5.202378807439E12)</f>
        <v>5202378807439</v>
      </c>
      <c r="F11389" s="1"/>
      <c r="G11389" s="1"/>
      <c r="H11389" s="2">
        <f>IFERROR(__xludf.DUMMYFUNCTION("""COMPUTED_VALUE"""),0.0)</f>
        <v>0</v>
      </c>
      <c r="I11389" s="5"/>
      <c r="J11389" s="1" t="str">
        <f>IFERROR(__xludf.DUMMYFUNCTION("""COMPUTED_VALUE"""),"Althea Mercado")</f>
        <v>Althea Mercado</v>
      </c>
      <c r="K11389" s="1" t="str">
        <f>IFERROR(__xludf.DUMMYFUNCTION("""COMPUTED_VALUE"""),"Print Support PH")</f>
        <v>Print Support PH</v>
      </c>
      <c r="L11389" s="1" t="str">
        <f>IFERROR(__xludf.DUMMYFUNCTION("""COMPUTED_VALUE"""),"Print Print - CHT")</f>
        <v>Print Print - CHT</v>
      </c>
    </row>
    <row r="11390">
      <c r="A11390" s="1" t="str">
        <f>IFERROR(__xludf.DUMMYFUNCTION("""COMPUTED_VALUE"""),"2026 Apr")</f>
        <v>2026 Apr</v>
      </c>
      <c r="B11390" s="4">
        <f>IFERROR(__xludf.DUMMYFUNCTION("""COMPUTED_VALUE"""),46118.0)</f>
        <v>46118</v>
      </c>
      <c r="C11390" s="1" t="str">
        <f>IFERROR(__xludf.DUMMYFUNCTION("""COMPUTED_VALUE"""),"Segment-specific Support")</f>
        <v>Segment-specific Support</v>
      </c>
      <c r="D11390" s="1" t="str">
        <f>IFERROR(__xludf.DUMMYFUNCTION("""COMPUTED_VALUE"""),"f7d8f8dd-7764-471d-8254-300956d0e1c6")</f>
        <v>f7d8f8dd-7764-471d-8254-300956d0e1c6</v>
      </c>
      <c r="E11390" s="1">
        <f>IFERROR(__xludf.DUMMYFUNCTION("""COMPUTED_VALUE"""),3.61750003915E11)</f>
        <v>361750003915</v>
      </c>
      <c r="F11390" s="1"/>
      <c r="G11390" s="1">
        <f>IFERROR(__xludf.DUMMYFUNCTION("""COMPUTED_VALUE"""),0.17)</f>
        <v>0.17</v>
      </c>
      <c r="H11390" s="2">
        <f>IFERROR(__xludf.DUMMYFUNCTION("""COMPUTED_VALUE"""),0.17)</f>
        <v>0.17</v>
      </c>
      <c r="I11390" s="5">
        <f>IFERROR(__xludf.DUMMYFUNCTION("""COMPUTED_VALUE"""),1.0)</f>
        <v>1</v>
      </c>
      <c r="J11390" s="1" t="str">
        <f>IFERROR(__xludf.DUMMYFUNCTION("""COMPUTED_VALUE"""),"Gucci Nava")</f>
        <v>Gucci Nava</v>
      </c>
      <c r="K11390" s="1" t="str">
        <f>IFERROR(__xludf.DUMMYFUNCTION("""COMPUTED_VALUE"""),"Affinity Support")</f>
        <v>Affinity Support</v>
      </c>
      <c r="L11390" s="1" t="str">
        <f>IFERROR(__xludf.DUMMYFUNCTION("""COMPUTED_VALUE"""),"SSS Affinity - L1")</f>
        <v>SSS Affinity - L1</v>
      </c>
    </row>
    <row r="11391">
      <c r="A11391" s="1" t="str">
        <f>IFERROR(__xludf.DUMMYFUNCTION("""COMPUTED_VALUE"""),"2026 Apr")</f>
        <v>2026 Apr</v>
      </c>
      <c r="B11391" s="4">
        <f>IFERROR(__xludf.DUMMYFUNCTION("""COMPUTED_VALUE"""),46118.0)</f>
        <v>46118</v>
      </c>
      <c r="C11391" s="1" t="str">
        <f>IFERROR(__xludf.DUMMYFUNCTION("""COMPUTED_VALUE"""),"Core Product Support")</f>
        <v>Core Product Support</v>
      </c>
      <c r="D11391" s="1" t="str">
        <f>IFERROR(__xludf.DUMMYFUNCTION("""COMPUTED_VALUE"""),"1309ddc0-c081-4df4-b17d-ed2c31b14169")</f>
        <v>1309ddc0-c081-4df4-b17d-ed2c31b14169</v>
      </c>
      <c r="E11391" s="1">
        <f>IFERROR(__xludf.DUMMYFUNCTION("""COMPUTED_VALUE"""),3.61964324516E11)</f>
        <v>361964324516</v>
      </c>
      <c r="F11391" s="1"/>
      <c r="G11391" s="1">
        <f>IFERROR(__xludf.DUMMYFUNCTION("""COMPUTED_VALUE"""),1.25)</f>
        <v>1.25</v>
      </c>
      <c r="H11391" s="2">
        <f>IFERROR(__xludf.DUMMYFUNCTION("""COMPUTED_VALUE"""),1.25)</f>
        <v>1.25</v>
      </c>
      <c r="I11391" s="5">
        <f>IFERROR(__xludf.DUMMYFUNCTION("""COMPUTED_VALUE"""),1.0)</f>
        <v>1</v>
      </c>
      <c r="J11391" s="1" t="str">
        <f>IFERROR(__xludf.DUMMYFUNCTION("""COMPUTED_VALUE"""),"Ayza Marie Pascual")</f>
        <v>Ayza Marie Pascual</v>
      </c>
      <c r="K11391" s="1" t="str">
        <f>IFERROR(__xludf.DUMMYFUNCTION("""COMPUTED_VALUE"""),"Advanced Billing &amp; Subscriptions")</f>
        <v>Advanced Billing &amp; Subscriptions</v>
      </c>
      <c r="L11391" s="1" t="str">
        <f>IFERROR(__xludf.DUMMYFUNCTION("""COMPUTED_VALUE"""),"CPS Advanced Billing and Subscriptions (ABS)")</f>
        <v>CPS Advanced Billing and Subscriptions (ABS)</v>
      </c>
    </row>
    <row r="11392">
      <c r="A11392" s="1" t="str">
        <f>IFERROR(__xludf.DUMMYFUNCTION("""COMPUTED_VALUE"""),"2026 Apr")</f>
        <v>2026 Apr</v>
      </c>
      <c r="B11392" s="4">
        <f>IFERROR(__xludf.DUMMYFUNCTION("""COMPUTED_VALUE"""),46118.0)</f>
        <v>46118</v>
      </c>
      <c r="C11392" s="1" t="str">
        <f>IFERROR(__xludf.DUMMYFUNCTION("""COMPUTED_VALUE"""),"Admin Support")</f>
        <v>Admin Support</v>
      </c>
      <c r="D11392" s="1" t="str">
        <f>IFERROR(__xludf.DUMMYFUNCTION("""COMPUTED_VALUE"""),"7cdd4051-dd81-4e04-a905-67a7a6826826")</f>
        <v>7cdd4051-dd81-4e04-a905-67a7a6826826</v>
      </c>
      <c r="E11392" s="1">
        <f>IFERROR(__xludf.DUMMYFUNCTION("""COMPUTED_VALUE"""),9.795895003151E12)</f>
        <v>9795895003151</v>
      </c>
      <c r="F11392" s="1"/>
      <c r="G11392" s="1"/>
      <c r="H11392" s="2">
        <f>IFERROR(__xludf.DUMMYFUNCTION("""COMPUTED_VALUE"""),0.0)</f>
        <v>0</v>
      </c>
      <c r="I11392" s="5"/>
      <c r="J11392" s="1" t="str">
        <f>IFERROR(__xludf.DUMMYFUNCTION("""COMPUTED_VALUE"""),"Karla Mananghaya")</f>
        <v>Karla Mananghaya</v>
      </c>
      <c r="K11392" s="1" t="str">
        <f>IFERROR(__xludf.DUMMYFUNCTION("""COMPUTED_VALUE"""),"Admin Support Service Escalation Team")</f>
        <v>Admin Support Service Escalation Team</v>
      </c>
      <c r="L11392" s="1" t="str">
        <f>IFERROR(__xludf.DUMMYFUNCTION("""COMPUTED_VALUE"""),"Admin ASSET")</f>
        <v>Admin ASSET</v>
      </c>
    </row>
    <row r="11393">
      <c r="A11393" s="1" t="str">
        <f>IFERROR(__xludf.DUMMYFUNCTION("""COMPUTED_VALUE"""),"2026 Apr")</f>
        <v>2026 Apr</v>
      </c>
      <c r="B11393" s="4">
        <f>IFERROR(__xludf.DUMMYFUNCTION("""COMPUTED_VALUE"""),46118.0)</f>
        <v>46118</v>
      </c>
      <c r="C11393" s="1" t="str">
        <f>IFERROR(__xludf.DUMMYFUNCTION("""COMPUTED_VALUE"""),"Core Product Support")</f>
        <v>Core Product Support</v>
      </c>
      <c r="D11393" s="1" t="str">
        <f>IFERROR(__xludf.DUMMYFUNCTION("""COMPUTED_VALUE"""),"4829712e-df33-4828-83e5-b005d53d0ece")</f>
        <v>4829712e-df33-4828-83e5-b005d53d0ece</v>
      </c>
      <c r="E11393" s="1">
        <f>IFERROR(__xludf.DUMMYFUNCTION("""COMPUTED_VALUE"""),3.61861297795E11)</f>
        <v>361861297795</v>
      </c>
      <c r="F11393" s="1"/>
      <c r="G11393" s="1">
        <f>IFERROR(__xludf.DUMMYFUNCTION("""COMPUTED_VALUE"""),1.0)</f>
        <v>1</v>
      </c>
      <c r="H11393" s="2">
        <f>IFERROR(__xludf.DUMMYFUNCTION("""COMPUTED_VALUE"""),1.0)</f>
        <v>1</v>
      </c>
      <c r="I11393" s="5">
        <f>IFERROR(__xludf.DUMMYFUNCTION("""COMPUTED_VALUE"""),1.0)</f>
        <v>1</v>
      </c>
      <c r="J11393" s="1" t="str">
        <f>IFERROR(__xludf.DUMMYFUNCTION("""COMPUTED_VALUE"""),"Jahmie Mae Barrameda")</f>
        <v>Jahmie Mae Barrameda</v>
      </c>
      <c r="K11393" s="1" t="str">
        <f>IFERROR(__xludf.DUMMYFUNCTION("""COMPUTED_VALUE"""),"Advanced Billing &amp; Subscriptions")</f>
        <v>Advanced Billing &amp; Subscriptions</v>
      </c>
      <c r="L11393" s="1" t="str">
        <f>IFERROR(__xludf.DUMMYFUNCTION("""COMPUTED_VALUE"""),"CPS Advanced Billing and Subscriptions (ABS)")</f>
        <v>CPS Advanced Billing and Subscriptions (ABS)</v>
      </c>
    </row>
    <row r="11394">
      <c r="A11394" s="1" t="str">
        <f>IFERROR(__xludf.DUMMYFUNCTION("""COMPUTED_VALUE"""),"2026 Apr")</f>
        <v>2026 Apr</v>
      </c>
      <c r="B11394" s="4">
        <f>IFERROR(__xludf.DUMMYFUNCTION("""COMPUTED_VALUE"""),46118.0)</f>
        <v>46118</v>
      </c>
      <c r="C11394" s="1" t="str">
        <f>IFERROR(__xludf.DUMMYFUNCTION("""COMPUTED_VALUE"""),"Print Support")</f>
        <v>Print Support</v>
      </c>
      <c r="D11394" s="1" t="str">
        <f>IFERROR(__xludf.DUMMYFUNCTION("""COMPUTED_VALUE"""),"4bb09346-5fba-40f0-ac06-0b644e9a6f20")</f>
        <v>4bb09346-5fba-40f0-ac06-0b644e9a6f20</v>
      </c>
      <c r="E11394" s="1"/>
      <c r="F11394" s="1"/>
      <c r="G11394" s="1">
        <f>IFERROR(__xludf.DUMMYFUNCTION("""COMPUTED_VALUE"""),45.0)</f>
        <v>45</v>
      </c>
      <c r="H11394" s="2">
        <f>IFERROR(__xludf.DUMMYFUNCTION("""COMPUTED_VALUE"""),45.0)</f>
        <v>45</v>
      </c>
      <c r="I11394" s="5">
        <f>IFERROR(__xludf.DUMMYFUNCTION("""COMPUTED_VALUE"""),1.0)</f>
        <v>1</v>
      </c>
      <c r="J11394" s="1" t="str">
        <f>IFERROR(__xludf.DUMMYFUNCTION("""COMPUTED_VALUE"""),"G-Anne Murillo")</f>
        <v>G-Anne Murillo</v>
      </c>
      <c r="K11394" s="1" t="str">
        <f>IFERROR(__xludf.DUMMYFUNCTION("""COMPUTED_VALUE"""),"Print Design Support")</f>
        <v>Print Design Support</v>
      </c>
      <c r="L11394" s="1" t="str">
        <f>IFERROR(__xludf.DUMMYFUNCTION("""COMPUTED_VALUE"""),"Print Print Design")</f>
        <v>Print Print Design</v>
      </c>
    </row>
    <row r="11395">
      <c r="A11395" s="1" t="str">
        <f>IFERROR(__xludf.DUMMYFUNCTION("""COMPUTED_VALUE"""),"2026 Apr")</f>
        <v>2026 Apr</v>
      </c>
      <c r="B11395" s="4">
        <f>IFERROR(__xludf.DUMMYFUNCTION("""COMPUTED_VALUE"""),46118.0)</f>
        <v>46118</v>
      </c>
      <c r="C11395" s="1" t="str">
        <f>IFERROR(__xludf.DUMMYFUNCTION("""COMPUTED_VALUE"""),"Core Product Support")</f>
        <v>Core Product Support</v>
      </c>
      <c r="D11395" s="1" t="str">
        <f>IFERROR(__xludf.DUMMYFUNCTION("""COMPUTED_VALUE"""),"1eb2b14b-89e0-4d0c-8dba-b1677f4e689a")</f>
        <v>1eb2b14b-89e0-4d0c-8dba-b1677f4e689a</v>
      </c>
      <c r="E11395" s="1">
        <f>IFERROR(__xludf.DUMMYFUNCTION("""COMPUTED_VALUE"""),1.0548589296399E13)</f>
        <v>10548589296399</v>
      </c>
      <c r="F11395" s="1"/>
      <c r="G11395" s="1">
        <f>IFERROR(__xludf.DUMMYFUNCTION("""COMPUTED_VALUE"""),1.25)</f>
        <v>1.25</v>
      </c>
      <c r="H11395" s="2">
        <f>IFERROR(__xludf.DUMMYFUNCTION("""COMPUTED_VALUE"""),1.25)</f>
        <v>1.25</v>
      </c>
      <c r="I11395" s="5">
        <f>IFERROR(__xludf.DUMMYFUNCTION("""COMPUTED_VALUE"""),1.0)</f>
        <v>1</v>
      </c>
      <c r="J11395" s="1" t="str">
        <f>IFERROR(__xludf.DUMMYFUNCTION("""COMPUTED_VALUE"""),"Jahmie Mae Barrameda")</f>
        <v>Jahmie Mae Barrameda</v>
      </c>
      <c r="K11395" s="1" t="str">
        <f>IFERROR(__xludf.DUMMYFUNCTION("""COMPUTED_VALUE"""),"Advanced Billing &amp; Subscriptions")</f>
        <v>Advanced Billing &amp; Subscriptions</v>
      </c>
      <c r="L11395" s="1" t="str">
        <f>IFERROR(__xludf.DUMMYFUNCTION("""COMPUTED_VALUE"""),"CPS Advanced Billing and Subscriptions (ABS)")</f>
        <v>CPS Advanced Billing and Subscriptions (ABS)</v>
      </c>
    </row>
    <row r="11396">
      <c r="A11396" s="1" t="str">
        <f>IFERROR(__xludf.DUMMYFUNCTION("""COMPUTED_VALUE"""),"2026 Apr")</f>
        <v>2026 Apr</v>
      </c>
      <c r="B11396" s="4">
        <f>IFERROR(__xludf.DUMMYFUNCTION("""COMPUTED_VALUE"""),46118.0)</f>
        <v>46118</v>
      </c>
      <c r="C11396" s="1" t="str">
        <f>IFERROR(__xludf.DUMMYFUNCTION("""COMPUTED_VALUE"""),"Segment-specific Support")</f>
        <v>Segment-specific Support</v>
      </c>
      <c r="D11396" s="1" t="str">
        <f>IFERROR(__xludf.DUMMYFUNCTION("""COMPUTED_VALUE"""),"dc7b19dd-5e76-4150-a120-c97f83b2d671")</f>
        <v>dc7b19dd-5e76-4150-a120-c97f83b2d671</v>
      </c>
      <c r="E11396" s="1"/>
      <c r="F11396" s="1"/>
      <c r="G11396" s="1"/>
      <c r="H11396" s="2">
        <f>IFERROR(__xludf.DUMMYFUNCTION("""COMPUTED_VALUE"""),0.0)</f>
        <v>0</v>
      </c>
      <c r="I11396" s="5"/>
      <c r="J11396" s="1" t="str">
        <f>IFERROR(__xludf.DUMMYFUNCTION("""COMPUTED_VALUE"""),"Leigh Davison")</f>
        <v>Leigh Davison</v>
      </c>
      <c r="K11396" s="1" t="str">
        <f>IFERROR(__xludf.DUMMYFUNCTION("""COMPUTED_VALUE"""),"#N/A")</f>
        <v>#N/A</v>
      </c>
      <c r="L11396" s="1"/>
    </row>
    <row r="11397">
      <c r="A11397" s="1" t="str">
        <f>IFERROR(__xludf.DUMMYFUNCTION("""COMPUTED_VALUE"""),"2026 Apr")</f>
        <v>2026 Apr</v>
      </c>
      <c r="B11397" s="4">
        <f>IFERROR(__xludf.DUMMYFUNCTION("""COMPUTED_VALUE"""),46118.0)</f>
        <v>46118</v>
      </c>
      <c r="C11397" s="1" t="str">
        <f>IFERROR(__xludf.DUMMYFUNCTION("""COMPUTED_VALUE"""),"Admin Support")</f>
        <v>Admin Support</v>
      </c>
      <c r="D11397" s="1" t="str">
        <f>IFERROR(__xludf.DUMMYFUNCTION("""COMPUTED_VALUE"""),"7b0ced0a-55fc-49e4-b47c-ffbf2567dce1")</f>
        <v>7b0ced0a-55fc-49e4-b47c-ffbf2567dce1</v>
      </c>
      <c r="E11397" s="1">
        <f>IFERROR(__xludf.DUMMYFUNCTION("""COMPUTED_VALUE"""),3.61725486916E11)</f>
        <v>361725486916</v>
      </c>
      <c r="F11397" s="1"/>
      <c r="G11397" s="1">
        <f>IFERROR(__xludf.DUMMYFUNCTION("""COMPUTED_VALUE"""),0.25)</f>
        <v>0.25</v>
      </c>
      <c r="H11397" s="2">
        <f>IFERROR(__xludf.DUMMYFUNCTION("""COMPUTED_VALUE"""),0.25)</f>
        <v>0.25</v>
      </c>
      <c r="I11397" s="5">
        <f>IFERROR(__xludf.DUMMYFUNCTION("""COMPUTED_VALUE"""),1.0)</f>
        <v>1</v>
      </c>
      <c r="J11397" s="1" t="str">
        <f>IFERROR(__xludf.DUMMYFUNCTION("""COMPUTED_VALUE"""),"AL Suarez")</f>
        <v>AL Suarez</v>
      </c>
      <c r="K11397" s="1" t="str">
        <f>IFERROR(__xludf.DUMMYFUNCTION("""COMPUTED_VALUE"""),"Admin Direct Support")</f>
        <v>Admin Direct Support</v>
      </c>
      <c r="L11397" s="1" t="str">
        <f>IFERROR(__xludf.DUMMYFUNCTION("""COMPUTED_VALUE"""),"Admin Direct Support")</f>
        <v>Admin Direct Support</v>
      </c>
    </row>
    <row r="11398">
      <c r="A11398" s="1" t="str">
        <f>IFERROR(__xludf.DUMMYFUNCTION("""COMPUTED_VALUE"""),"2026 Apr")</f>
        <v>2026 Apr</v>
      </c>
      <c r="B11398" s="4">
        <f>IFERROR(__xludf.DUMMYFUNCTION("""COMPUTED_VALUE"""),46118.0)</f>
        <v>46118</v>
      </c>
      <c r="C11398" s="1" t="str">
        <f>IFERROR(__xludf.DUMMYFUNCTION("""COMPUTED_VALUE"""),"Core Product Support")</f>
        <v>Core Product Support</v>
      </c>
      <c r="D11398" s="1" t="str">
        <f>IFERROR(__xludf.DUMMYFUNCTION("""COMPUTED_VALUE"""),"3d997536-cb7f-49c5-af3e-e19fdf30bffc")</f>
        <v>3d997536-cb7f-49c5-af3e-e19fdf30bffc</v>
      </c>
      <c r="E11398" s="1">
        <f>IFERROR(__xludf.DUMMYFUNCTION("""COMPUTED_VALUE"""),5.047288728079E12)</f>
        <v>5047288728079</v>
      </c>
      <c r="F11398" s="1">
        <f>IFERROR(__xludf.DUMMYFUNCTION("""COMPUTED_VALUE"""),0.5)</f>
        <v>0.5</v>
      </c>
      <c r="G11398" s="1">
        <f>IFERROR(__xludf.DUMMYFUNCTION("""COMPUTED_VALUE"""),2.5)</f>
        <v>2.5</v>
      </c>
      <c r="H11398" s="2">
        <f>IFERROR(__xludf.DUMMYFUNCTION("""COMPUTED_VALUE"""),3.0)</f>
        <v>3</v>
      </c>
      <c r="I11398" s="5">
        <f>IFERROR(__xludf.DUMMYFUNCTION("""COMPUTED_VALUE"""),0.8333333333333334)</f>
        <v>0.8333333333</v>
      </c>
      <c r="J11398" s="1" t="str">
        <f>IFERROR(__xludf.DUMMYFUNCTION("""COMPUTED_VALUE"""),"Ellaine Estayo")</f>
        <v>Ellaine Estayo</v>
      </c>
      <c r="K11398" s="1" t="str">
        <f>IFERROR(__xludf.DUMMYFUNCTION("""COMPUTED_VALUE"""),"Core Product Support Escalation Team")</f>
        <v>Core Product Support Escalation Team</v>
      </c>
      <c r="L11398"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399">
      <c r="A11399" s="1" t="str">
        <f>IFERROR(__xludf.DUMMYFUNCTION("""COMPUTED_VALUE"""),"2026 Apr")</f>
        <v>2026 Apr</v>
      </c>
      <c r="B11399" s="4">
        <f>IFERROR(__xludf.DUMMYFUNCTION("""COMPUTED_VALUE"""),46118.0)</f>
        <v>46118</v>
      </c>
      <c r="C11399" s="1" t="str">
        <f>IFERROR(__xludf.DUMMYFUNCTION("""COMPUTED_VALUE"""),"Admin Support")</f>
        <v>Admin Support</v>
      </c>
      <c r="D11399" s="1" t="str">
        <f>IFERROR(__xludf.DUMMYFUNCTION("""COMPUTED_VALUE"""),"c7dd845d-4621-4bea-affd-b79e038f7157")</f>
        <v>c7dd845d-4621-4bea-affd-b79e038f7157</v>
      </c>
      <c r="E11399" s="1">
        <f>IFERROR(__xludf.DUMMYFUNCTION("""COMPUTED_VALUE"""),3.61733077235E11)</f>
        <v>361733077235</v>
      </c>
      <c r="F11399" s="1"/>
      <c r="G11399" s="1">
        <f>IFERROR(__xludf.DUMMYFUNCTION("""COMPUTED_VALUE"""),0.25)</f>
        <v>0.25</v>
      </c>
      <c r="H11399" s="2">
        <f>IFERROR(__xludf.DUMMYFUNCTION("""COMPUTED_VALUE"""),0.25)</f>
        <v>0.25</v>
      </c>
      <c r="I11399" s="5">
        <f>IFERROR(__xludf.DUMMYFUNCTION("""COMPUTED_VALUE"""),1.0)</f>
        <v>1</v>
      </c>
      <c r="J11399" s="1" t="str">
        <f>IFERROR(__xludf.DUMMYFUNCTION("""COMPUTED_VALUE"""),"Kelden Laguting")</f>
        <v>Kelden Laguting</v>
      </c>
      <c r="K11399" s="1" t="str">
        <f>IFERROR(__xludf.DUMMYFUNCTION("""COMPUTED_VALUE"""),"Admin Omni Support")</f>
        <v>Admin Omni Support</v>
      </c>
      <c r="L11399" s="1" t="str">
        <f>IFERROR(__xludf.DUMMYFUNCTION("""COMPUTED_VALUE"""),"Admin Omni Support")</f>
        <v>Admin Omni Support</v>
      </c>
    </row>
    <row r="11400">
      <c r="A11400" s="1" t="str">
        <f>IFERROR(__xludf.DUMMYFUNCTION("""COMPUTED_VALUE"""),"2026 Apr")</f>
        <v>2026 Apr</v>
      </c>
      <c r="B11400" s="4">
        <f>IFERROR(__xludf.DUMMYFUNCTION("""COMPUTED_VALUE"""),46118.0)</f>
        <v>46118</v>
      </c>
      <c r="C11400" s="1" t="str">
        <f>IFERROR(__xludf.DUMMYFUNCTION("""COMPUTED_VALUE"""),"Print Support")</f>
        <v>Print Support</v>
      </c>
      <c r="D11400" s="1" t="str">
        <f>IFERROR(__xludf.DUMMYFUNCTION("""COMPUTED_VALUE"""),"2f47c76e-714d-4a76-a0f8-309c2f542347")</f>
        <v>2f47c76e-714d-4a76-a0f8-309c2f542347</v>
      </c>
      <c r="E11400" s="1">
        <f>IFERROR(__xludf.DUMMYFUNCTION("""COMPUTED_VALUE"""),9.795981813775E12)</f>
        <v>9795981813775</v>
      </c>
      <c r="F11400" s="1"/>
      <c r="G11400" s="1"/>
      <c r="H11400" s="2">
        <f>IFERROR(__xludf.DUMMYFUNCTION("""COMPUTED_VALUE"""),0.0)</f>
        <v>0</v>
      </c>
      <c r="I11400" s="5"/>
      <c r="J11400" s="1" t="str">
        <f>IFERROR(__xludf.DUMMYFUNCTION("""COMPUTED_VALUE"""),"Louise Dianne Estrella")</f>
        <v>Louise Dianne Estrella</v>
      </c>
      <c r="K11400" s="1" t="str">
        <f>IFERROR(__xludf.DUMMYFUNCTION("""COMPUTED_VALUE"""),"Print Support PH")</f>
        <v>Print Support PH</v>
      </c>
      <c r="L11400" s="1" t="str">
        <f>IFERROR(__xludf.DUMMYFUNCTION("""COMPUTED_VALUE"""),"Print Print - CHT")</f>
        <v>Print Print - CHT</v>
      </c>
    </row>
    <row r="11401">
      <c r="A11401" s="1" t="str">
        <f>IFERROR(__xludf.DUMMYFUNCTION("""COMPUTED_VALUE"""),"2026 Apr")</f>
        <v>2026 Apr</v>
      </c>
      <c r="B11401" s="4">
        <f>IFERROR(__xludf.DUMMYFUNCTION("""COMPUTED_VALUE"""),46118.0)</f>
        <v>46118</v>
      </c>
      <c r="C11401" s="1" t="str">
        <f>IFERROR(__xludf.DUMMYFUNCTION("""COMPUTED_VALUE"""),"Admin Support")</f>
        <v>Admin Support</v>
      </c>
      <c r="D11401" s="1" t="str">
        <f>IFERROR(__xludf.DUMMYFUNCTION("""COMPUTED_VALUE"""),"7e09e164-9198-4707-9738-44a04cc51b7c")</f>
        <v>7e09e164-9198-4707-9738-44a04cc51b7c</v>
      </c>
      <c r="E11401" s="1">
        <f>IFERROR(__xludf.DUMMYFUNCTION("""COMPUTED_VALUE"""),3.61724965056E11)</f>
        <v>361724965056</v>
      </c>
      <c r="F11401" s="1"/>
      <c r="G11401" s="1">
        <f>IFERROR(__xludf.DUMMYFUNCTION("""COMPUTED_VALUE"""),1.75)</f>
        <v>1.75</v>
      </c>
      <c r="H11401" s="2">
        <f>IFERROR(__xludf.DUMMYFUNCTION("""COMPUTED_VALUE"""),1.75)</f>
        <v>1.75</v>
      </c>
      <c r="I11401" s="5">
        <f>IFERROR(__xludf.DUMMYFUNCTION("""COMPUTED_VALUE"""),1.0)</f>
        <v>1</v>
      </c>
      <c r="J11401" s="1" t="str">
        <f>IFERROR(__xludf.DUMMYFUNCTION("""COMPUTED_VALUE"""),"Kelden Laguting")</f>
        <v>Kelden Laguting</v>
      </c>
      <c r="K11401" s="1" t="str">
        <f>IFERROR(__xludf.DUMMYFUNCTION("""COMPUTED_VALUE"""),"Admin Omni Support")</f>
        <v>Admin Omni Support</v>
      </c>
      <c r="L11401" s="1" t="str">
        <f>IFERROR(__xludf.DUMMYFUNCTION("""COMPUTED_VALUE"""),"Admin Omni Support")</f>
        <v>Admin Omni Support</v>
      </c>
    </row>
    <row r="11402">
      <c r="A11402" s="1" t="str">
        <f>IFERROR(__xludf.DUMMYFUNCTION("""COMPUTED_VALUE"""),"2026 Apr")</f>
        <v>2026 Apr</v>
      </c>
      <c r="B11402" s="4">
        <f>IFERROR(__xludf.DUMMYFUNCTION("""COMPUTED_VALUE"""),46118.0)</f>
        <v>46118</v>
      </c>
      <c r="C11402" s="1" t="str">
        <f>IFERROR(__xludf.DUMMYFUNCTION("""COMPUTED_VALUE"""),"Core Product Support")</f>
        <v>Core Product Support</v>
      </c>
      <c r="D11402" s="1" t="str">
        <f>IFERROR(__xludf.DUMMYFUNCTION("""COMPUTED_VALUE"""),"a75c3ed6-de83-40cb-ad3d-ac0eaa323ceb")</f>
        <v>a75c3ed6-de83-40cb-ad3d-ac0eaa323ceb</v>
      </c>
      <c r="E11402" s="1">
        <f>IFERROR(__xludf.DUMMYFUNCTION("""COMPUTED_VALUE"""),7.631065796495E12)</f>
        <v>7631065796495</v>
      </c>
      <c r="F11402" s="1"/>
      <c r="G11402" s="1">
        <f>IFERROR(__xludf.DUMMYFUNCTION("""COMPUTED_VALUE"""),1.25)</f>
        <v>1.25</v>
      </c>
      <c r="H11402" s="2">
        <f>IFERROR(__xludf.DUMMYFUNCTION("""COMPUTED_VALUE"""),1.25)</f>
        <v>1.25</v>
      </c>
      <c r="I11402" s="5">
        <f>IFERROR(__xludf.DUMMYFUNCTION("""COMPUTED_VALUE"""),1.0)</f>
        <v>1</v>
      </c>
      <c r="J11402" s="1" t="str">
        <f>IFERROR(__xludf.DUMMYFUNCTION("""COMPUTED_VALUE"""),"Cherry Macam")</f>
        <v>Cherry Macam</v>
      </c>
      <c r="K11402" s="1" t="str">
        <f>IFERROR(__xludf.DUMMYFUNCTION("""COMPUTED_VALUE"""),"Advanced Billing &amp; Subscriptions")</f>
        <v>Advanced Billing &amp; Subscriptions</v>
      </c>
      <c r="L11402" s="1" t="str">
        <f>IFERROR(__xludf.DUMMYFUNCTION("""COMPUTED_VALUE"""),"CPS Advanced Billing and Subscriptions (ABS)")</f>
        <v>CPS Advanced Billing and Subscriptions (ABS)</v>
      </c>
    </row>
    <row r="11403">
      <c r="A11403" s="1" t="str">
        <f>IFERROR(__xludf.DUMMYFUNCTION("""COMPUTED_VALUE"""),"2026 Apr")</f>
        <v>2026 Apr</v>
      </c>
      <c r="B11403" s="4">
        <f>IFERROR(__xludf.DUMMYFUNCTION("""COMPUTED_VALUE"""),46118.0)</f>
        <v>46118</v>
      </c>
      <c r="C11403" s="1" t="str">
        <f>IFERROR(__xludf.DUMMYFUNCTION("""COMPUTED_VALUE"""),"Print Support")</f>
        <v>Print Support</v>
      </c>
      <c r="D11403" s="1" t="str">
        <f>IFERROR(__xludf.DUMMYFUNCTION("""COMPUTED_VALUE"""),"5edc36fa-9df2-47e0-bbda-2c0b5a323efc")</f>
        <v>5edc36fa-9df2-47e0-bbda-2c0b5a323efc</v>
      </c>
      <c r="E11403" s="1"/>
      <c r="F11403" s="1"/>
      <c r="G11403" s="1">
        <f>IFERROR(__xludf.DUMMYFUNCTION("""COMPUTED_VALUE"""),45.0)</f>
        <v>45</v>
      </c>
      <c r="H11403" s="2">
        <f>IFERROR(__xludf.DUMMYFUNCTION("""COMPUTED_VALUE"""),45.0)</f>
        <v>45</v>
      </c>
      <c r="I11403" s="5">
        <f>IFERROR(__xludf.DUMMYFUNCTION("""COMPUTED_VALUE"""),1.0)</f>
        <v>1</v>
      </c>
      <c r="J11403" s="1" t="str">
        <f>IFERROR(__xludf.DUMMYFUNCTION("""COMPUTED_VALUE"""),"Gem Agoncillo")</f>
        <v>Gem Agoncillo</v>
      </c>
      <c r="K11403" s="1" t="str">
        <f>IFERROR(__xludf.DUMMYFUNCTION("""COMPUTED_VALUE"""),"Print Design Support")</f>
        <v>Print Design Support</v>
      </c>
      <c r="L11403" s="1" t="str">
        <f>IFERROR(__xludf.DUMMYFUNCTION("""COMPUTED_VALUE"""),"Print Print Design")</f>
        <v>Print Print Design</v>
      </c>
    </row>
    <row r="11404">
      <c r="A11404" s="1" t="str">
        <f>IFERROR(__xludf.DUMMYFUNCTION("""COMPUTED_VALUE"""),"2026 Apr")</f>
        <v>2026 Apr</v>
      </c>
      <c r="B11404" s="4">
        <f>IFERROR(__xludf.DUMMYFUNCTION("""COMPUTED_VALUE"""),46118.0)</f>
        <v>46118</v>
      </c>
      <c r="C11404" s="1" t="str">
        <f>IFERROR(__xludf.DUMMYFUNCTION("""COMPUTED_VALUE"""),"High Sensitivity Support")</f>
        <v>High Sensitivity Support</v>
      </c>
      <c r="D11404" s="1" t="str">
        <f>IFERROR(__xludf.DUMMYFUNCTION("""COMPUTED_VALUE"""),"19c32062-e149-4a3e-82ea-708be4d86c06")</f>
        <v>19c32062-e149-4a3e-82ea-708be4d86c06</v>
      </c>
      <c r="E11404" s="1">
        <f>IFERROR(__xludf.DUMMYFUNCTION("""COMPUTED_VALUE"""),8.904494969999E12)</f>
        <v>8904494969999</v>
      </c>
      <c r="F11404" s="1"/>
      <c r="G11404" s="1"/>
      <c r="H11404" s="2">
        <f>IFERROR(__xludf.DUMMYFUNCTION("""COMPUTED_VALUE"""),0.0)</f>
        <v>0</v>
      </c>
      <c r="I11404" s="5"/>
      <c r="J11404" s="1" t="str">
        <f>IFERROR(__xludf.DUMMYFUNCTION("""COMPUTED_VALUE"""),"Issi Afable")</f>
        <v>Issi Afable</v>
      </c>
      <c r="K11404" s="1" t="str">
        <f>IFERROR(__xludf.DUMMYFUNCTION("""COMPUTED_VALUE"""),"High Sensitivity Support PH")</f>
        <v>High Sensitivity Support PH</v>
      </c>
      <c r="L11404" s="1" t="str">
        <f>IFERROR(__xludf.DUMMYFUNCTION("""COMPUTED_VALUE"""),"HSS High Sensitivity Support PH - SEE")</f>
        <v>HSS High Sensitivity Support PH - SEE</v>
      </c>
    </row>
    <row r="11405">
      <c r="A11405" s="1" t="str">
        <f>IFERROR(__xludf.DUMMYFUNCTION("""COMPUTED_VALUE"""),"2026 Apr")</f>
        <v>2026 Apr</v>
      </c>
      <c r="B11405" s="4">
        <f>IFERROR(__xludf.DUMMYFUNCTION("""COMPUTED_VALUE"""),46118.0)</f>
        <v>46118</v>
      </c>
      <c r="C11405" s="1" t="str">
        <f>IFERROR(__xludf.DUMMYFUNCTION("""COMPUTED_VALUE"""),"Print Support")</f>
        <v>Print Support</v>
      </c>
      <c r="D11405" s="1" t="str">
        <f>IFERROR(__xludf.DUMMYFUNCTION("""COMPUTED_VALUE"""),"5efa61d3-4fd2-4d01-a492-e08cab6832f9")</f>
        <v>5efa61d3-4fd2-4d01-a492-e08cab6832f9</v>
      </c>
      <c r="E11405" s="1">
        <f>IFERROR(__xludf.DUMMYFUNCTION("""COMPUTED_VALUE"""),5.902015961999E12)</f>
        <v>5902015961999</v>
      </c>
      <c r="F11405" s="1"/>
      <c r="G11405" s="1"/>
      <c r="H11405" s="2">
        <f>IFERROR(__xludf.DUMMYFUNCTION("""COMPUTED_VALUE"""),0.0)</f>
        <v>0</v>
      </c>
      <c r="I11405" s="5"/>
      <c r="J11405" s="1" t="str">
        <f>IFERROR(__xludf.DUMMYFUNCTION("""COMPUTED_VALUE"""),"Jen Momo")</f>
        <v>Jen Momo</v>
      </c>
      <c r="K11405" s="1" t="str">
        <f>IFERROR(__xludf.DUMMYFUNCTION("""COMPUTED_VALUE"""),"Print Support PH")</f>
        <v>Print Support PH</v>
      </c>
      <c r="L11405" s="1" t="str">
        <f>IFERROR(__xludf.DUMMYFUNCTION("""COMPUTED_VALUE"""),"Print Print - CHT")</f>
        <v>Print Print - CHT</v>
      </c>
    </row>
    <row r="11406">
      <c r="A11406" s="1" t="str">
        <f>IFERROR(__xludf.DUMMYFUNCTION("""COMPUTED_VALUE"""),"2026 Apr")</f>
        <v>2026 Apr</v>
      </c>
      <c r="B11406" s="4">
        <f>IFERROR(__xludf.DUMMYFUNCTION("""COMPUTED_VALUE"""),46118.0)</f>
        <v>46118</v>
      </c>
      <c r="C11406" s="1" t="str">
        <f>IFERROR(__xludf.DUMMYFUNCTION("""COMPUTED_VALUE"""),"Core Product Support")</f>
        <v>Core Product Support</v>
      </c>
      <c r="D11406" s="1" t="str">
        <f>IFERROR(__xludf.DUMMYFUNCTION("""COMPUTED_VALUE"""),"1ee13beb-f5ac-4c80-bcfb-9f0dc190fe68")</f>
        <v>1ee13beb-f5ac-4c80-bcfb-9f0dc190fe68</v>
      </c>
      <c r="E11406" s="1">
        <f>IFERROR(__xludf.DUMMYFUNCTION("""COMPUTED_VALUE"""),3.61725115656E11)</f>
        <v>361725115656</v>
      </c>
      <c r="F11406" s="1">
        <f>IFERROR(__xludf.DUMMYFUNCTION("""COMPUTED_VALUE"""),0.5)</f>
        <v>0.5</v>
      </c>
      <c r="G11406" s="1">
        <f>IFERROR(__xludf.DUMMYFUNCTION("""COMPUTED_VALUE"""),1.5)</f>
        <v>1.5</v>
      </c>
      <c r="H11406" s="2">
        <f>IFERROR(__xludf.DUMMYFUNCTION("""COMPUTED_VALUE"""),2.0)</f>
        <v>2</v>
      </c>
      <c r="I11406" s="5">
        <f>IFERROR(__xludf.DUMMYFUNCTION("""COMPUTED_VALUE"""),0.75)</f>
        <v>0.75</v>
      </c>
      <c r="J11406" s="1" t="str">
        <f>IFERROR(__xludf.DUMMYFUNCTION("""COMPUTED_VALUE"""),"Ellaine Estayo")</f>
        <v>Ellaine Estayo</v>
      </c>
      <c r="K11406" s="1" t="str">
        <f>IFERROR(__xludf.DUMMYFUNCTION("""COMPUTED_VALUE"""),"Core Product Support Escalation Team")</f>
        <v>Core Product Support Escalation Team</v>
      </c>
      <c r="L11406"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407">
      <c r="A11407" s="1" t="str">
        <f>IFERROR(__xludf.DUMMYFUNCTION("""COMPUTED_VALUE"""),"2026 Apr")</f>
        <v>2026 Apr</v>
      </c>
      <c r="B11407" s="4">
        <f>IFERROR(__xludf.DUMMYFUNCTION("""COMPUTED_VALUE"""),46118.0)</f>
        <v>46118</v>
      </c>
      <c r="C11407" s="1" t="str">
        <f>IFERROR(__xludf.DUMMYFUNCTION("""COMPUTED_VALUE"""),"Core Product Support")</f>
        <v>Core Product Support</v>
      </c>
      <c r="D11407" s="1" t="str">
        <f>IFERROR(__xludf.DUMMYFUNCTION("""COMPUTED_VALUE"""),"d625e596-8198-45f9-94ea-d04d6f6a8b27")</f>
        <v>d625e596-8198-45f9-94ea-d04d6f6a8b27</v>
      </c>
      <c r="E11407" s="1">
        <f>IFERROR(__xludf.DUMMYFUNCTION("""COMPUTED_VALUE"""),1.0333049701519E13)</f>
        <v>10333049701519</v>
      </c>
      <c r="F11407" s="1">
        <f>IFERROR(__xludf.DUMMYFUNCTION("""COMPUTED_VALUE"""),1.0)</f>
        <v>1</v>
      </c>
      <c r="G11407" s="1">
        <f>IFERROR(__xludf.DUMMYFUNCTION("""COMPUTED_VALUE"""),1.25)</f>
        <v>1.25</v>
      </c>
      <c r="H11407" s="2">
        <f>IFERROR(__xludf.DUMMYFUNCTION("""COMPUTED_VALUE"""),2.25)</f>
        <v>2.25</v>
      </c>
      <c r="I11407" s="5">
        <f>IFERROR(__xludf.DUMMYFUNCTION("""COMPUTED_VALUE"""),0.5555555555555556)</f>
        <v>0.5555555556</v>
      </c>
      <c r="J11407" s="1" t="str">
        <f>IFERROR(__xludf.DUMMYFUNCTION("""COMPUTED_VALUE"""),"Vinz Lazaro")</f>
        <v>Vinz Lazaro</v>
      </c>
      <c r="K11407" s="1" t="str">
        <f>IFERROR(__xludf.DUMMYFUNCTION("""COMPUTED_VALUE"""),"Advanced Product Support")</f>
        <v>Advanced Product Support</v>
      </c>
      <c r="L11407" s="1" t="str">
        <f>IFERROR(__xludf.DUMMYFUNCTION("""COMPUTED_VALUE"""),"CPS Advanced Product Support (APS)")</f>
        <v>CPS Advanced Product Support (APS)</v>
      </c>
    </row>
    <row r="11408">
      <c r="A11408" s="1" t="str">
        <f>IFERROR(__xludf.DUMMYFUNCTION("""COMPUTED_VALUE"""),"2026 Apr")</f>
        <v>2026 Apr</v>
      </c>
      <c r="B11408" s="4">
        <f>IFERROR(__xludf.DUMMYFUNCTION("""COMPUTED_VALUE"""),46118.0)</f>
        <v>46118</v>
      </c>
      <c r="C11408" s="1" t="str">
        <f>IFERROR(__xludf.DUMMYFUNCTION("""COMPUTED_VALUE"""),"Segment-specific Support")</f>
        <v>Segment-specific Support</v>
      </c>
      <c r="D11408" s="1" t="str">
        <f>IFERROR(__xludf.DUMMYFUNCTION("""COMPUTED_VALUE"""),"c9fa58e5-ccb3-4c72-a2e7-5a6fc2210b69")</f>
        <v>c9fa58e5-ccb3-4c72-a2e7-5a6fc2210b69</v>
      </c>
      <c r="E11408" s="1">
        <f>IFERROR(__xludf.DUMMYFUNCTION("""COMPUTED_VALUE"""),1.1401981299343E13)</f>
        <v>11401981299343</v>
      </c>
      <c r="F11408" s="1"/>
      <c r="G11408" s="1"/>
      <c r="H11408" s="2">
        <f>IFERROR(__xludf.DUMMYFUNCTION("""COMPUTED_VALUE"""),0.0)</f>
        <v>0</v>
      </c>
      <c r="I11408" s="5"/>
      <c r="J11408" s="1" t="str">
        <f>IFERROR(__xludf.DUMMYFUNCTION("""COMPUTED_VALUE"""),"Aileen Dayanghirang")</f>
        <v>Aileen Dayanghirang</v>
      </c>
      <c r="K11408" s="1" t="str">
        <f>IFERROR(__xludf.DUMMYFUNCTION("""COMPUTED_VALUE"""),"Creators Support")</f>
        <v>Creators Support</v>
      </c>
      <c r="L11408" s="1" t="str">
        <f>IFERROR(__xludf.DUMMYFUNCTION("""COMPUTED_VALUE"""),"SSS Creators")</f>
        <v>SSS Creators</v>
      </c>
    </row>
    <row r="11409">
      <c r="A11409" s="1" t="str">
        <f>IFERROR(__xludf.DUMMYFUNCTION("""COMPUTED_VALUE"""),"2026 Apr")</f>
        <v>2026 Apr</v>
      </c>
      <c r="B11409" s="4">
        <f>IFERROR(__xludf.DUMMYFUNCTION("""COMPUTED_VALUE"""),46118.0)</f>
        <v>46118</v>
      </c>
      <c r="C11409" s="1" t="str">
        <f>IFERROR(__xludf.DUMMYFUNCTION("""COMPUTED_VALUE"""),"Admin Support")</f>
        <v>Admin Support</v>
      </c>
      <c r="D11409" s="1" t="str">
        <f>IFERROR(__xludf.DUMMYFUNCTION("""COMPUTED_VALUE"""),"6695b35c-7a53-4eb2-bcfc-9808f8e07dd8")</f>
        <v>6695b35c-7a53-4eb2-bcfc-9808f8e07dd8</v>
      </c>
      <c r="E11409" s="1">
        <f>IFERROR(__xludf.DUMMYFUNCTION("""COMPUTED_VALUE"""),3.61732164295E11)</f>
        <v>361732164295</v>
      </c>
      <c r="F11409" s="1"/>
      <c r="G11409" s="1"/>
      <c r="H11409" s="2">
        <f>IFERROR(__xludf.DUMMYFUNCTION("""COMPUTED_VALUE"""),0.0)</f>
        <v>0</v>
      </c>
      <c r="I11409" s="5"/>
      <c r="J11409" s="1" t="str">
        <f>IFERROR(__xludf.DUMMYFUNCTION("""COMPUTED_VALUE"""),"Kelden Laguting")</f>
        <v>Kelden Laguting</v>
      </c>
      <c r="K11409" s="1" t="str">
        <f>IFERROR(__xludf.DUMMYFUNCTION("""COMPUTED_VALUE"""),"Admin Omni Support")</f>
        <v>Admin Omni Support</v>
      </c>
      <c r="L11409" s="1" t="str">
        <f>IFERROR(__xludf.DUMMYFUNCTION("""COMPUTED_VALUE"""),"Admin Omni Support")</f>
        <v>Admin Omni Support</v>
      </c>
    </row>
    <row r="11410">
      <c r="A11410" s="1" t="str">
        <f>IFERROR(__xludf.DUMMYFUNCTION("""COMPUTED_VALUE"""),"2026 Apr")</f>
        <v>2026 Apr</v>
      </c>
      <c r="B11410" s="4">
        <f>IFERROR(__xludf.DUMMYFUNCTION("""COMPUTED_VALUE"""),46118.0)</f>
        <v>46118</v>
      </c>
      <c r="C11410" s="1" t="str">
        <f>IFERROR(__xludf.DUMMYFUNCTION("""COMPUTED_VALUE"""),"Core Product Support")</f>
        <v>Core Product Support</v>
      </c>
      <c r="D11410" s="1" t="str">
        <f>IFERROR(__xludf.DUMMYFUNCTION("""COMPUTED_VALUE"""),"a460fd1a-1ef6-4034-a4ca-14a4c4765f42")</f>
        <v>a460fd1a-1ef6-4034-a4ca-14a4c4765f42</v>
      </c>
      <c r="E11410" s="1">
        <f>IFERROR(__xludf.DUMMYFUNCTION("""COMPUTED_VALUE"""),9.107766464399E12)</f>
        <v>9107766464399</v>
      </c>
      <c r="F11410" s="1"/>
      <c r="G11410" s="1">
        <f>IFERROR(__xludf.DUMMYFUNCTION("""COMPUTED_VALUE"""),2.0)</f>
        <v>2</v>
      </c>
      <c r="H11410" s="2">
        <f>IFERROR(__xludf.DUMMYFUNCTION("""COMPUTED_VALUE"""),2.0)</f>
        <v>2</v>
      </c>
      <c r="I11410" s="5">
        <f>IFERROR(__xludf.DUMMYFUNCTION("""COMPUTED_VALUE"""),1.0)</f>
        <v>1</v>
      </c>
      <c r="J11410" s="1" t="str">
        <f>IFERROR(__xludf.DUMMYFUNCTION("""COMPUTED_VALUE"""),"Ana Lazaro")</f>
        <v>Ana Lazaro</v>
      </c>
      <c r="K11410" s="1" t="str">
        <f>IFERROR(__xludf.DUMMYFUNCTION("""COMPUTED_VALUE"""),"Advanced Billing &amp; Subscriptions")</f>
        <v>Advanced Billing &amp; Subscriptions</v>
      </c>
      <c r="L11410" s="1" t="str">
        <f>IFERROR(__xludf.DUMMYFUNCTION("""COMPUTED_VALUE"""),"CPS Advanced Billing and Subscriptions (ABS)")</f>
        <v>CPS Advanced Billing and Subscriptions (ABS)</v>
      </c>
    </row>
    <row r="11411">
      <c r="A11411" s="1" t="str">
        <f>IFERROR(__xludf.DUMMYFUNCTION("""COMPUTED_VALUE"""),"2026 Apr")</f>
        <v>2026 Apr</v>
      </c>
      <c r="B11411" s="4">
        <f>IFERROR(__xludf.DUMMYFUNCTION("""COMPUTED_VALUE"""),46118.0)</f>
        <v>46118</v>
      </c>
      <c r="C11411" s="1" t="str">
        <f>IFERROR(__xludf.DUMMYFUNCTION("""COMPUTED_VALUE"""),"Print Support")</f>
        <v>Print Support</v>
      </c>
      <c r="D11411" s="1" t="str">
        <f>IFERROR(__xludf.DUMMYFUNCTION("""COMPUTED_VALUE"""),"2ffdab50-ba8e-4ff1-a8d9-e609f47d6cbd")</f>
        <v>2ffdab50-ba8e-4ff1-a8d9-e609f47d6cbd</v>
      </c>
      <c r="E11411" s="1">
        <f>IFERROR(__xludf.DUMMYFUNCTION("""COMPUTED_VALUE"""),3.61731515115E11)</f>
        <v>361731515115</v>
      </c>
      <c r="F11411" s="1"/>
      <c r="G11411" s="1"/>
      <c r="H11411" s="2">
        <f>IFERROR(__xludf.DUMMYFUNCTION("""COMPUTED_VALUE"""),0.0)</f>
        <v>0</v>
      </c>
      <c r="I11411" s="5"/>
      <c r="J11411" s="1" t="str">
        <f>IFERROR(__xludf.DUMMYFUNCTION("""COMPUTED_VALUE"""),"Jen Momo")</f>
        <v>Jen Momo</v>
      </c>
      <c r="K11411" s="1" t="str">
        <f>IFERROR(__xludf.DUMMYFUNCTION("""COMPUTED_VALUE"""),"Print Support PH")</f>
        <v>Print Support PH</v>
      </c>
      <c r="L11411" s="1" t="str">
        <f>IFERROR(__xludf.DUMMYFUNCTION("""COMPUTED_VALUE"""),"Print Print - CHT")</f>
        <v>Print Print - CHT</v>
      </c>
    </row>
    <row r="11412">
      <c r="A11412" s="1" t="str">
        <f>IFERROR(__xludf.DUMMYFUNCTION("""COMPUTED_VALUE"""),"2026 Apr")</f>
        <v>2026 Apr</v>
      </c>
      <c r="B11412" s="4">
        <f>IFERROR(__xludf.DUMMYFUNCTION("""COMPUTED_VALUE"""),46118.0)</f>
        <v>46118</v>
      </c>
      <c r="C11412" s="1" t="str">
        <f>IFERROR(__xludf.DUMMYFUNCTION("""COMPUTED_VALUE"""),"Core Product Support")</f>
        <v>Core Product Support</v>
      </c>
      <c r="D11412" s="1" t="str">
        <f>IFERROR(__xludf.DUMMYFUNCTION("""COMPUTED_VALUE"""),"53c72618-3bf9-4bcf-adf4-39677fd20e1f")</f>
        <v>53c72618-3bf9-4bcf-adf4-39677fd20e1f</v>
      </c>
      <c r="E11412" s="1">
        <f>IFERROR(__xludf.DUMMYFUNCTION("""COMPUTED_VALUE"""),1.1035324543247E13)</f>
        <v>11035324543247</v>
      </c>
      <c r="F11412" s="1"/>
      <c r="G11412" s="1">
        <f>IFERROR(__xludf.DUMMYFUNCTION("""COMPUTED_VALUE"""),1.0)</f>
        <v>1</v>
      </c>
      <c r="H11412" s="2">
        <f>IFERROR(__xludf.DUMMYFUNCTION("""COMPUTED_VALUE"""),1.0)</f>
        <v>1</v>
      </c>
      <c r="I11412" s="5">
        <f>IFERROR(__xludf.DUMMYFUNCTION("""COMPUTED_VALUE"""),1.0)</f>
        <v>1</v>
      </c>
      <c r="J11412" s="1" t="str">
        <f>IFERROR(__xludf.DUMMYFUNCTION("""COMPUTED_VALUE"""),"Ayza Marie Pascual")</f>
        <v>Ayza Marie Pascual</v>
      </c>
      <c r="K11412" s="1" t="str">
        <f>IFERROR(__xludf.DUMMYFUNCTION("""COMPUTED_VALUE"""),"Advanced Billing &amp; Subscriptions")</f>
        <v>Advanced Billing &amp; Subscriptions</v>
      </c>
      <c r="L11412" s="1" t="str">
        <f>IFERROR(__xludf.DUMMYFUNCTION("""COMPUTED_VALUE"""),"CPS Advanced Billing and Subscriptions (ABS)")</f>
        <v>CPS Advanced Billing and Subscriptions (ABS)</v>
      </c>
    </row>
    <row r="11413">
      <c r="A11413" s="1" t="str">
        <f>IFERROR(__xludf.DUMMYFUNCTION("""COMPUTED_VALUE"""),"2026 Apr")</f>
        <v>2026 Apr</v>
      </c>
      <c r="B11413" s="4">
        <f>IFERROR(__xludf.DUMMYFUNCTION("""COMPUTED_VALUE"""),46118.0)</f>
        <v>46118</v>
      </c>
      <c r="C11413" s="1" t="str">
        <f>IFERROR(__xludf.DUMMYFUNCTION("""COMPUTED_VALUE"""),"Core Product Support")</f>
        <v>Core Product Support</v>
      </c>
      <c r="D11413" s="1" t="str">
        <f>IFERROR(__xludf.DUMMYFUNCTION("""COMPUTED_VALUE"""),"08e80e21-5eab-4b4f-bd2a-c3d833caa4fc")</f>
        <v>08e80e21-5eab-4b4f-bd2a-c3d833caa4fc</v>
      </c>
      <c r="E11413" s="1">
        <f>IFERROR(__xludf.DUMMYFUNCTION("""COMPUTED_VALUE"""),8.409877156495E12)</f>
        <v>8409877156495</v>
      </c>
      <c r="F11413" s="1"/>
      <c r="G11413" s="1">
        <f>IFERROR(__xludf.DUMMYFUNCTION("""COMPUTED_VALUE"""),1.25)</f>
        <v>1.25</v>
      </c>
      <c r="H11413" s="2">
        <f>IFERROR(__xludf.DUMMYFUNCTION("""COMPUTED_VALUE"""),1.25)</f>
        <v>1.25</v>
      </c>
      <c r="I11413" s="5">
        <f>IFERROR(__xludf.DUMMYFUNCTION("""COMPUTED_VALUE"""),1.0)</f>
        <v>1</v>
      </c>
      <c r="J11413" s="1" t="str">
        <f>IFERROR(__xludf.DUMMYFUNCTION("""COMPUTED_VALUE"""),"Jahmie Mae Barrameda")</f>
        <v>Jahmie Mae Barrameda</v>
      </c>
      <c r="K11413" s="1" t="str">
        <f>IFERROR(__xludf.DUMMYFUNCTION("""COMPUTED_VALUE"""),"Advanced Billing &amp; Subscriptions")</f>
        <v>Advanced Billing &amp; Subscriptions</v>
      </c>
      <c r="L11413" s="1" t="str">
        <f>IFERROR(__xludf.DUMMYFUNCTION("""COMPUTED_VALUE"""),"CPS Advanced Billing and Subscriptions (ABS)")</f>
        <v>CPS Advanced Billing and Subscriptions (ABS)</v>
      </c>
    </row>
    <row r="11414">
      <c r="A11414" s="1" t="str">
        <f>IFERROR(__xludf.DUMMYFUNCTION("""COMPUTED_VALUE"""),"2026 Apr")</f>
        <v>2026 Apr</v>
      </c>
      <c r="B11414" s="4">
        <f>IFERROR(__xludf.DUMMYFUNCTION("""COMPUTED_VALUE"""),46118.0)</f>
        <v>46118</v>
      </c>
      <c r="C11414" s="1" t="str">
        <f>IFERROR(__xludf.DUMMYFUNCTION("""COMPUTED_VALUE"""),"Core Product Support")</f>
        <v>Core Product Support</v>
      </c>
      <c r="D11414" s="1" t="str">
        <f>IFERROR(__xludf.DUMMYFUNCTION("""COMPUTED_VALUE"""),"41e73ce2-bda5-4412-b2d5-381b4a0a0fdd")</f>
        <v>41e73ce2-bda5-4412-b2d5-381b4a0a0fdd</v>
      </c>
      <c r="E11414" s="1">
        <f>IFERROR(__xludf.DUMMYFUNCTION("""COMPUTED_VALUE"""),3.61750008275E11)</f>
        <v>361750008275</v>
      </c>
      <c r="F11414" s="1">
        <f>IFERROR(__xludf.DUMMYFUNCTION("""COMPUTED_VALUE"""),0.5)</f>
        <v>0.5</v>
      </c>
      <c r="G11414" s="1">
        <f>IFERROR(__xludf.DUMMYFUNCTION("""COMPUTED_VALUE"""),2.5)</f>
        <v>2.5</v>
      </c>
      <c r="H11414" s="2">
        <f>IFERROR(__xludf.DUMMYFUNCTION("""COMPUTED_VALUE"""),3.0)</f>
        <v>3</v>
      </c>
      <c r="I11414" s="5">
        <f>IFERROR(__xludf.DUMMYFUNCTION("""COMPUTED_VALUE"""),0.8333333333333334)</f>
        <v>0.8333333333</v>
      </c>
      <c r="J11414" s="1" t="str">
        <f>IFERROR(__xludf.DUMMYFUNCTION("""COMPUTED_VALUE"""),"Jelyn Elmido")</f>
        <v>Jelyn Elmido</v>
      </c>
      <c r="K11414" s="1" t="str">
        <f>IFERROR(__xludf.DUMMYFUNCTION("""COMPUTED_VALUE"""),"Core Product Support Escalation Team")</f>
        <v>Core Product Support Escalation Team</v>
      </c>
      <c r="L11414"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415">
      <c r="A11415" s="1" t="str">
        <f>IFERROR(__xludf.DUMMYFUNCTION("""COMPUTED_VALUE"""),"2026 Apr")</f>
        <v>2026 Apr</v>
      </c>
      <c r="B11415" s="4">
        <f>IFERROR(__xludf.DUMMYFUNCTION("""COMPUTED_VALUE"""),46118.0)</f>
        <v>46118</v>
      </c>
      <c r="C11415" s="1" t="str">
        <f>IFERROR(__xludf.DUMMYFUNCTION("""COMPUTED_VALUE"""),"Print Support")</f>
        <v>Print Support</v>
      </c>
      <c r="D11415" s="1" t="str">
        <f>IFERROR(__xludf.DUMMYFUNCTION("""COMPUTED_VALUE"""),"a8e62322-b2dc-4c8a-842a-2a259dac6528")</f>
        <v>a8e62322-b2dc-4c8a-842a-2a259dac6528</v>
      </c>
      <c r="E11415" s="1">
        <f>IFERROR(__xludf.DUMMYFUNCTION("""COMPUTED_VALUE"""),9.285106592655E12)</f>
        <v>9285106592655</v>
      </c>
      <c r="F11415" s="1"/>
      <c r="G11415" s="1"/>
      <c r="H11415" s="2">
        <f>IFERROR(__xludf.DUMMYFUNCTION("""COMPUTED_VALUE"""),0.0)</f>
        <v>0</v>
      </c>
      <c r="I11415" s="5"/>
      <c r="J11415" s="1" t="str">
        <f>IFERROR(__xludf.DUMMYFUNCTION("""COMPUTED_VALUE"""),"Althea Mercado")</f>
        <v>Althea Mercado</v>
      </c>
      <c r="K11415" s="1" t="str">
        <f>IFERROR(__xludf.DUMMYFUNCTION("""COMPUTED_VALUE"""),"Print Support PH")</f>
        <v>Print Support PH</v>
      </c>
      <c r="L11415" s="1" t="str">
        <f>IFERROR(__xludf.DUMMYFUNCTION("""COMPUTED_VALUE"""),"Print Print - CHT")</f>
        <v>Print Print - CHT</v>
      </c>
    </row>
    <row r="11416">
      <c r="A11416" s="1" t="str">
        <f>IFERROR(__xludf.DUMMYFUNCTION("""COMPUTED_VALUE"""),"2026 Apr")</f>
        <v>2026 Apr</v>
      </c>
      <c r="B11416" s="4">
        <f>IFERROR(__xludf.DUMMYFUNCTION("""COMPUTED_VALUE"""),46118.0)</f>
        <v>46118</v>
      </c>
      <c r="C11416" s="1" t="str">
        <f>IFERROR(__xludf.DUMMYFUNCTION("""COMPUTED_VALUE"""),"Admin Support")</f>
        <v>Admin Support</v>
      </c>
      <c r="D11416" s="1" t="str">
        <f>IFERROR(__xludf.DUMMYFUNCTION("""COMPUTED_VALUE"""),"ab14ac10-6fdd-4acd-92a0-afc53948f957")</f>
        <v>ab14ac10-6fdd-4acd-92a0-afc53948f957</v>
      </c>
      <c r="E11416" s="1">
        <f>IFERROR(__xludf.DUMMYFUNCTION("""COMPUTED_VALUE"""),3.61731791675E11)</f>
        <v>361731791675</v>
      </c>
      <c r="F11416" s="1"/>
      <c r="G11416" s="1">
        <f>IFERROR(__xludf.DUMMYFUNCTION("""COMPUTED_VALUE"""),0.25)</f>
        <v>0.25</v>
      </c>
      <c r="H11416" s="2">
        <f>IFERROR(__xludf.DUMMYFUNCTION("""COMPUTED_VALUE"""),0.25)</f>
        <v>0.25</v>
      </c>
      <c r="I11416" s="5">
        <f>IFERROR(__xludf.DUMMYFUNCTION("""COMPUTED_VALUE"""),1.0)</f>
        <v>1</v>
      </c>
      <c r="J11416" s="1" t="str">
        <f>IFERROR(__xludf.DUMMYFUNCTION("""COMPUTED_VALUE"""),"Pau Palmero")</f>
        <v>Pau Palmero</v>
      </c>
      <c r="K11416" s="1" t="str">
        <f>IFERROR(__xludf.DUMMYFUNCTION("""COMPUTED_VALUE"""),"Admin Omni Support")</f>
        <v>Admin Omni Support</v>
      </c>
      <c r="L11416" s="1" t="str">
        <f>IFERROR(__xludf.DUMMYFUNCTION("""COMPUTED_VALUE"""),"Admin Omni Support")</f>
        <v>Admin Omni Support</v>
      </c>
    </row>
    <row r="11417">
      <c r="A11417" s="1" t="str">
        <f>IFERROR(__xludf.DUMMYFUNCTION("""COMPUTED_VALUE"""),"2026 Apr")</f>
        <v>2026 Apr</v>
      </c>
      <c r="B11417" s="4">
        <f>IFERROR(__xludf.DUMMYFUNCTION("""COMPUTED_VALUE"""),46118.0)</f>
        <v>46118</v>
      </c>
      <c r="C11417" s="1" t="str">
        <f>IFERROR(__xludf.DUMMYFUNCTION("""COMPUTED_VALUE"""),"Segment-specific Support")</f>
        <v>Segment-specific Support</v>
      </c>
      <c r="D11417" s="1" t="str">
        <f>IFERROR(__xludf.DUMMYFUNCTION("""COMPUTED_VALUE"""),"b3a312bb-80a6-4404-a83b-85b5d7be9789")</f>
        <v>b3a312bb-80a6-4404-a83b-85b5d7be9789</v>
      </c>
      <c r="E11417" s="1">
        <f>IFERROR(__xludf.DUMMYFUNCTION("""COMPUTED_VALUE"""),9.903274706831E12)</f>
        <v>9903274706831</v>
      </c>
      <c r="F11417" s="1"/>
      <c r="G11417" s="1">
        <f>IFERROR(__xludf.DUMMYFUNCTION("""COMPUTED_VALUE"""),1.0)</f>
        <v>1</v>
      </c>
      <c r="H11417" s="2">
        <f>IFERROR(__xludf.DUMMYFUNCTION("""COMPUTED_VALUE"""),1.0)</f>
        <v>1</v>
      </c>
      <c r="I11417" s="5">
        <f>IFERROR(__xludf.DUMMYFUNCTION("""COMPUTED_VALUE"""),1.0)</f>
        <v>1</v>
      </c>
      <c r="J11417" s="1" t="str">
        <f>IFERROR(__xludf.DUMMYFUNCTION("""COMPUTED_VALUE"""),"Jonathan Dimaculangan")</f>
        <v>Jonathan Dimaculangan</v>
      </c>
      <c r="K11417" s="1" t="str">
        <f>IFERROR(__xludf.DUMMYFUNCTION("""COMPUTED_VALUE"""),"Flourish Support")</f>
        <v>Flourish Support</v>
      </c>
      <c r="L11417" s="1" t="str">
        <f>IFERROR(__xludf.DUMMYFUNCTION("""COMPUTED_VALUE"""),"SSS Flourish")</f>
        <v>SSS Flourish</v>
      </c>
    </row>
    <row r="11418">
      <c r="A11418" s="1" t="str">
        <f>IFERROR(__xludf.DUMMYFUNCTION("""COMPUTED_VALUE"""),"2026 Apr")</f>
        <v>2026 Apr</v>
      </c>
      <c r="B11418" s="4">
        <f>IFERROR(__xludf.DUMMYFUNCTION("""COMPUTED_VALUE"""),46118.0)</f>
        <v>46118</v>
      </c>
      <c r="C11418" s="1" t="str">
        <f>IFERROR(__xludf.DUMMYFUNCTION("""COMPUTED_VALUE"""),"Core Product Support")</f>
        <v>Core Product Support</v>
      </c>
      <c r="D11418" s="1" t="str">
        <f>IFERROR(__xludf.DUMMYFUNCTION("""COMPUTED_VALUE"""),"c820bf34-a16a-4ab5-afca-78d6c71226e3")</f>
        <v>c820bf34-a16a-4ab5-afca-78d6c71226e3</v>
      </c>
      <c r="E11418" s="1">
        <f>IFERROR(__xludf.DUMMYFUNCTION("""COMPUTED_VALUE"""),3.61731943295E11)</f>
        <v>361731943295</v>
      </c>
      <c r="F11418" s="1">
        <f>IFERROR(__xludf.DUMMYFUNCTION("""COMPUTED_VALUE"""),0.5)</f>
        <v>0.5</v>
      </c>
      <c r="G11418" s="1">
        <f>IFERROR(__xludf.DUMMYFUNCTION("""COMPUTED_VALUE"""),2.5)</f>
        <v>2.5</v>
      </c>
      <c r="H11418" s="2">
        <f>IFERROR(__xludf.DUMMYFUNCTION("""COMPUTED_VALUE"""),3.0)</f>
        <v>3</v>
      </c>
      <c r="I11418" s="5">
        <f>IFERROR(__xludf.DUMMYFUNCTION("""COMPUTED_VALUE"""),0.8333333333333334)</f>
        <v>0.8333333333</v>
      </c>
      <c r="J11418" s="1" t="str">
        <f>IFERROR(__xludf.DUMMYFUNCTION("""COMPUTED_VALUE"""),"Jelyn Elmido")</f>
        <v>Jelyn Elmido</v>
      </c>
      <c r="K11418" s="1" t="str">
        <f>IFERROR(__xludf.DUMMYFUNCTION("""COMPUTED_VALUE"""),"Core Product Support Escalation Team")</f>
        <v>Core Product Support Escalation Team</v>
      </c>
      <c r="L11418"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419">
      <c r="A11419" s="1" t="str">
        <f>IFERROR(__xludf.DUMMYFUNCTION("""COMPUTED_VALUE"""),"2026 Apr")</f>
        <v>2026 Apr</v>
      </c>
      <c r="B11419" s="4">
        <f>IFERROR(__xludf.DUMMYFUNCTION("""COMPUTED_VALUE"""),46118.0)</f>
        <v>46118</v>
      </c>
      <c r="C11419" s="1" t="str">
        <f>IFERROR(__xludf.DUMMYFUNCTION("""COMPUTED_VALUE"""),"Multilingual Support")</f>
        <v>Multilingual Support</v>
      </c>
      <c r="D11419" s="1" t="str">
        <f>IFERROR(__xludf.DUMMYFUNCTION("""COMPUTED_VALUE"""),"283e2e77-f88a-4efa-b94d-fff3a66e663f")</f>
        <v>283e2e77-f88a-4efa-b94d-fff3a66e663f</v>
      </c>
      <c r="E11419" s="1">
        <f>IFERROR(__xludf.DUMMYFUNCTION("""COMPUTED_VALUE"""),3.61731791575E11)</f>
        <v>361731791575</v>
      </c>
      <c r="F11419" s="1"/>
      <c r="G11419" s="1"/>
      <c r="H11419" s="2">
        <f>IFERROR(__xludf.DUMMYFUNCTION("""COMPUTED_VALUE"""),0.0)</f>
        <v>0</v>
      </c>
      <c r="I11419" s="5"/>
      <c r="J11419" s="1" t="str">
        <f>IFERROR(__xludf.DUMMYFUNCTION("""COMPUTED_VALUE"""),"Arlene Maurillo")</f>
        <v>Arlene Maurillo</v>
      </c>
      <c r="K11419" s="1" t="str">
        <f>IFERROR(__xludf.DUMMYFUNCTION("""COMPUTED_VALUE"""),"PHL, Multilingual Support")</f>
        <v>PHL, Multilingual Support</v>
      </c>
      <c r="L11419" s="1" t="str">
        <f>IFERROR(__xludf.DUMMYFUNCTION("""COMPUTED_VALUE"""),"ML French Support")</f>
        <v>ML French Support</v>
      </c>
    </row>
    <row r="11420">
      <c r="A11420" s="1" t="str">
        <f>IFERROR(__xludf.DUMMYFUNCTION("""COMPUTED_VALUE"""),"2026 Apr")</f>
        <v>2026 Apr</v>
      </c>
      <c r="B11420" s="4">
        <f>IFERROR(__xludf.DUMMYFUNCTION("""COMPUTED_VALUE"""),46118.0)</f>
        <v>46118</v>
      </c>
      <c r="C11420" s="1" t="str">
        <f>IFERROR(__xludf.DUMMYFUNCTION("""COMPUTED_VALUE"""),"Print Support")</f>
        <v>Print Support</v>
      </c>
      <c r="D11420" s="1" t="str">
        <f>IFERROR(__xludf.DUMMYFUNCTION("""COMPUTED_VALUE"""),"759bff0c-8571-44a6-ac6a-7e74510a6a62")</f>
        <v>759bff0c-8571-44a6-ac6a-7e74510a6a62</v>
      </c>
      <c r="E11420" s="1">
        <f>IFERROR(__xludf.DUMMYFUNCTION("""COMPUTED_VALUE"""),6.839686960271E12)</f>
        <v>6839686960271</v>
      </c>
      <c r="F11420" s="1"/>
      <c r="G11420" s="1"/>
      <c r="H11420" s="2">
        <f>IFERROR(__xludf.DUMMYFUNCTION("""COMPUTED_VALUE"""),0.0)</f>
        <v>0</v>
      </c>
      <c r="I11420" s="5"/>
      <c r="J11420" s="1" t="str">
        <f>IFERROR(__xludf.DUMMYFUNCTION("""COMPUTED_VALUE"""),"Althea Mercado")</f>
        <v>Althea Mercado</v>
      </c>
      <c r="K11420" s="1" t="str">
        <f>IFERROR(__xludf.DUMMYFUNCTION("""COMPUTED_VALUE"""),"Print Support PH")</f>
        <v>Print Support PH</v>
      </c>
      <c r="L11420" s="1" t="str">
        <f>IFERROR(__xludf.DUMMYFUNCTION("""COMPUTED_VALUE"""),"Print Print - CHT")</f>
        <v>Print Print - CHT</v>
      </c>
    </row>
    <row r="11421">
      <c r="A11421" s="1" t="str">
        <f>IFERROR(__xludf.DUMMYFUNCTION("""COMPUTED_VALUE"""),"2026 Apr")</f>
        <v>2026 Apr</v>
      </c>
      <c r="B11421" s="4">
        <f>IFERROR(__xludf.DUMMYFUNCTION("""COMPUTED_VALUE"""),46118.0)</f>
        <v>46118</v>
      </c>
      <c r="C11421" s="1" t="str">
        <f>IFERROR(__xludf.DUMMYFUNCTION("""COMPUTED_VALUE"""),"Print Support")</f>
        <v>Print Support</v>
      </c>
      <c r="D11421" s="1" t="str">
        <f>IFERROR(__xludf.DUMMYFUNCTION("""COMPUTED_VALUE"""),"435dbe60-cec1-4cb2-b1d3-b030b9d41646")</f>
        <v>435dbe60-cec1-4cb2-b1d3-b030b9d41646</v>
      </c>
      <c r="E11421" s="1">
        <f>IFERROR(__xludf.DUMMYFUNCTION("""COMPUTED_VALUE"""),3.61724666876E11)</f>
        <v>361724666876</v>
      </c>
      <c r="F11421" s="1"/>
      <c r="G11421" s="1"/>
      <c r="H11421" s="2">
        <f>IFERROR(__xludf.DUMMYFUNCTION("""COMPUTED_VALUE"""),0.0)</f>
        <v>0</v>
      </c>
      <c r="I11421" s="5"/>
      <c r="J11421" s="1" t="str">
        <f>IFERROR(__xludf.DUMMYFUNCTION("""COMPUTED_VALUE"""),"Rae Erlano")</f>
        <v>Rae Erlano</v>
      </c>
      <c r="K11421" s="1" t="str">
        <f>IFERROR(__xludf.DUMMYFUNCTION("""COMPUTED_VALUE"""),"Print Support PH")</f>
        <v>Print Support PH</v>
      </c>
      <c r="L11421" s="1" t="str">
        <f>IFERROR(__xludf.DUMMYFUNCTION("""COMPUTED_VALUE"""),"Print Print - SEE")</f>
        <v>Print Print - SEE</v>
      </c>
    </row>
    <row r="11422">
      <c r="A11422" s="1" t="str">
        <f>IFERROR(__xludf.DUMMYFUNCTION("""COMPUTED_VALUE"""),"2026 Apr")</f>
        <v>2026 Apr</v>
      </c>
      <c r="B11422" s="4">
        <f>IFERROR(__xludf.DUMMYFUNCTION("""COMPUTED_VALUE"""),46118.0)</f>
        <v>46118</v>
      </c>
      <c r="C11422" s="1" t="str">
        <f>IFERROR(__xludf.DUMMYFUNCTION("""COMPUTED_VALUE"""),"Core Product Support")</f>
        <v>Core Product Support</v>
      </c>
      <c r="D11422" s="1" t="str">
        <f>IFERROR(__xludf.DUMMYFUNCTION("""COMPUTED_VALUE"""),"d49e1c15-2cd1-4e35-9b3a-8acda7c42425")</f>
        <v>d49e1c15-2cd1-4e35-9b3a-8acda7c42425</v>
      </c>
      <c r="E11422" s="1">
        <f>IFERROR(__xludf.DUMMYFUNCTION("""COMPUTED_VALUE"""),1.1401961091343E13)</f>
        <v>11401961091343</v>
      </c>
      <c r="F11422" s="1">
        <f>IFERROR(__xludf.DUMMYFUNCTION("""COMPUTED_VALUE"""),0.5)</f>
        <v>0.5</v>
      </c>
      <c r="G11422" s="1">
        <f>IFERROR(__xludf.DUMMYFUNCTION("""COMPUTED_VALUE"""),1.25)</f>
        <v>1.25</v>
      </c>
      <c r="H11422" s="2">
        <f>IFERROR(__xludf.DUMMYFUNCTION("""COMPUTED_VALUE"""),1.75)</f>
        <v>1.75</v>
      </c>
      <c r="I11422" s="5">
        <f>IFERROR(__xludf.DUMMYFUNCTION("""COMPUTED_VALUE"""),0.7142857142857143)</f>
        <v>0.7142857143</v>
      </c>
      <c r="J11422" s="1" t="str">
        <f>IFERROR(__xludf.DUMMYFUNCTION("""COMPUTED_VALUE"""),"Cate Velasco")</f>
        <v>Cate Velasco</v>
      </c>
      <c r="K11422" s="1" t="str">
        <f>IFERROR(__xludf.DUMMYFUNCTION("""COMPUTED_VALUE"""),"Advanced Product Support")</f>
        <v>Advanced Product Support</v>
      </c>
      <c r="L11422" s="1" t="str">
        <f>IFERROR(__xludf.DUMMYFUNCTION("""COMPUTED_VALUE"""),"CPS Advanced Product Support (APS)")</f>
        <v>CPS Advanced Product Support (APS)</v>
      </c>
    </row>
    <row r="11423">
      <c r="A11423" s="1" t="str">
        <f>IFERROR(__xludf.DUMMYFUNCTION("""COMPUTED_VALUE"""),"2026 Apr")</f>
        <v>2026 Apr</v>
      </c>
      <c r="B11423" s="4">
        <f>IFERROR(__xludf.DUMMYFUNCTION("""COMPUTED_VALUE"""),46118.0)</f>
        <v>46118</v>
      </c>
      <c r="C11423" s="1" t="str">
        <f>IFERROR(__xludf.DUMMYFUNCTION("""COMPUTED_VALUE"""),"Segment-specific Support")</f>
        <v>Segment-specific Support</v>
      </c>
      <c r="D11423" s="1" t="str">
        <f>IFERROR(__xludf.DUMMYFUNCTION("""COMPUTED_VALUE"""),"273af0e8-ae9e-4171-b68c-6f2448bbd29f")</f>
        <v>273af0e8-ae9e-4171-b68c-6f2448bbd29f</v>
      </c>
      <c r="E11423" s="1">
        <f>IFERROR(__xludf.DUMMYFUNCTION("""COMPUTED_VALUE"""),1.1401981037583E13)</f>
        <v>11401981037583</v>
      </c>
      <c r="F11423" s="1"/>
      <c r="G11423" s="1"/>
      <c r="H11423" s="2">
        <f>IFERROR(__xludf.DUMMYFUNCTION("""COMPUTED_VALUE"""),0.0)</f>
        <v>0</v>
      </c>
      <c r="I11423" s="5"/>
      <c r="J11423" s="1" t="str">
        <f>IFERROR(__xludf.DUMMYFUNCTION("""COMPUTED_VALUE"""),"Aileen Dayanghirang")</f>
        <v>Aileen Dayanghirang</v>
      </c>
      <c r="K11423" s="1" t="str">
        <f>IFERROR(__xludf.DUMMYFUNCTION("""COMPUTED_VALUE"""),"Creators Support")</f>
        <v>Creators Support</v>
      </c>
      <c r="L11423" s="1" t="str">
        <f>IFERROR(__xludf.DUMMYFUNCTION("""COMPUTED_VALUE"""),"SSS Creators")</f>
        <v>SSS Creators</v>
      </c>
    </row>
    <row r="11424">
      <c r="A11424" s="1" t="str">
        <f>IFERROR(__xludf.DUMMYFUNCTION("""COMPUTED_VALUE"""),"2026 Apr")</f>
        <v>2026 Apr</v>
      </c>
      <c r="B11424" s="4">
        <f>IFERROR(__xludf.DUMMYFUNCTION("""COMPUTED_VALUE"""),46118.0)</f>
        <v>46118</v>
      </c>
      <c r="C11424" s="1" t="str">
        <f>IFERROR(__xludf.DUMMYFUNCTION("""COMPUTED_VALUE"""),"Admin Support")</f>
        <v>Admin Support</v>
      </c>
      <c r="D11424" s="1" t="str">
        <f>IFERROR(__xludf.DUMMYFUNCTION("""COMPUTED_VALUE"""),"d497a055-f2f2-4063-8890-6c9684355e4c")</f>
        <v>d497a055-f2f2-4063-8890-6c9684355e4c</v>
      </c>
      <c r="E11424" s="1">
        <f>IFERROR(__xludf.DUMMYFUNCTION("""COMPUTED_VALUE"""),3.61731515255E11)</f>
        <v>361731515255</v>
      </c>
      <c r="F11424" s="1"/>
      <c r="G11424" s="1"/>
      <c r="H11424" s="2">
        <f>IFERROR(__xludf.DUMMYFUNCTION("""COMPUTED_VALUE"""),0.0)</f>
        <v>0</v>
      </c>
      <c r="I11424" s="5"/>
      <c r="J11424" s="1" t="str">
        <f>IFERROR(__xludf.DUMMYFUNCTION("""COMPUTED_VALUE"""),"Karla Mananghaya")</f>
        <v>Karla Mananghaya</v>
      </c>
      <c r="K11424" s="1" t="str">
        <f>IFERROR(__xludf.DUMMYFUNCTION("""COMPUTED_VALUE"""),"Admin Support Service Escalation Team")</f>
        <v>Admin Support Service Escalation Team</v>
      </c>
      <c r="L11424" s="1" t="str">
        <f>IFERROR(__xludf.DUMMYFUNCTION("""COMPUTED_VALUE"""),"Admin ASSET")</f>
        <v>Admin ASSET</v>
      </c>
    </row>
    <row r="11425">
      <c r="A11425" s="1" t="str">
        <f>IFERROR(__xludf.DUMMYFUNCTION("""COMPUTED_VALUE"""),"2026 Apr")</f>
        <v>2026 Apr</v>
      </c>
      <c r="B11425" s="4">
        <f>IFERROR(__xludf.DUMMYFUNCTION("""COMPUTED_VALUE"""),46118.0)</f>
        <v>46118</v>
      </c>
      <c r="C11425" s="1" t="str">
        <f>IFERROR(__xludf.DUMMYFUNCTION("""COMPUTED_VALUE"""),"High Sensitivity Support")</f>
        <v>High Sensitivity Support</v>
      </c>
      <c r="D11425" s="1" t="str">
        <f>IFERROR(__xludf.DUMMYFUNCTION("""COMPUTED_VALUE"""),"725213c8-63bc-41f4-927e-adac2805ced0")</f>
        <v>725213c8-63bc-41f4-927e-adac2805ced0</v>
      </c>
      <c r="E11425" s="1">
        <f>IFERROR(__xludf.DUMMYFUNCTION("""COMPUTED_VALUE"""),3.61688633916E11)</f>
        <v>361688633916</v>
      </c>
      <c r="F11425" s="1"/>
      <c r="G11425" s="1">
        <f>IFERROR(__xludf.DUMMYFUNCTION("""COMPUTED_VALUE"""),2.0)</f>
        <v>2</v>
      </c>
      <c r="H11425" s="2">
        <f>IFERROR(__xludf.DUMMYFUNCTION("""COMPUTED_VALUE"""),2.0)</f>
        <v>2</v>
      </c>
      <c r="I11425" s="5">
        <f>IFERROR(__xludf.DUMMYFUNCTION("""COMPUTED_VALUE"""),1.0)</f>
        <v>1</v>
      </c>
      <c r="J11425" s="1" t="str">
        <f>IFERROR(__xludf.DUMMYFUNCTION("""COMPUTED_VALUE"""),"Xandy Azarcon")</f>
        <v>Xandy Azarcon</v>
      </c>
      <c r="K11425" s="1" t="str">
        <f>IFERROR(__xludf.DUMMYFUNCTION("""COMPUTED_VALUE"""),"High Sensitivity Support PH")</f>
        <v>High Sensitivity Support PH</v>
      </c>
      <c r="L11425" s="1" t="str">
        <f>IFERROR(__xludf.DUMMYFUNCTION("""COMPUTED_VALUE"""),"HSS High Sensitivity Support PH - CHT")</f>
        <v>HSS High Sensitivity Support PH - CHT</v>
      </c>
    </row>
    <row r="11426">
      <c r="A11426" s="1" t="str">
        <f>IFERROR(__xludf.DUMMYFUNCTION("""COMPUTED_VALUE"""),"2026 Apr")</f>
        <v>2026 Apr</v>
      </c>
      <c r="B11426" s="4">
        <f>IFERROR(__xludf.DUMMYFUNCTION("""COMPUTED_VALUE"""),46118.0)</f>
        <v>46118</v>
      </c>
      <c r="C11426" s="1" t="str">
        <f>IFERROR(__xludf.DUMMYFUNCTION("""COMPUTED_VALUE"""),"Print Support")</f>
        <v>Print Support</v>
      </c>
      <c r="D11426" s="1" t="str">
        <f>IFERROR(__xludf.DUMMYFUNCTION("""COMPUTED_VALUE"""),"adc14770-23af-4d9e-965d-0e955af819e0")</f>
        <v>adc14770-23af-4d9e-965d-0e955af819e0</v>
      </c>
      <c r="E11426" s="1">
        <f>IFERROR(__xludf.DUMMYFUNCTION("""COMPUTED_VALUE"""),3.61734092356E11)</f>
        <v>361734092356</v>
      </c>
      <c r="F11426" s="1"/>
      <c r="G11426" s="1"/>
      <c r="H11426" s="2">
        <f>IFERROR(__xludf.DUMMYFUNCTION("""COMPUTED_VALUE"""),0.0)</f>
        <v>0</v>
      </c>
      <c r="I11426" s="5"/>
      <c r="J11426" s="1" t="str">
        <f>IFERROR(__xludf.DUMMYFUNCTION("""COMPUTED_VALUE"""),"Memae Faustino")</f>
        <v>Memae Faustino</v>
      </c>
      <c r="K11426" s="1" t="str">
        <f>IFERROR(__xludf.DUMMYFUNCTION("""COMPUTED_VALUE"""),"Print Support PH")</f>
        <v>Print Support PH</v>
      </c>
      <c r="L11426" s="1" t="str">
        <f>IFERROR(__xludf.DUMMYFUNCTION("""COMPUTED_VALUE"""),"Print Print - SEE")</f>
        <v>Print Print - SEE</v>
      </c>
    </row>
    <row r="11427">
      <c r="A11427" s="1" t="str">
        <f>IFERROR(__xludf.DUMMYFUNCTION("""COMPUTED_VALUE"""),"2026 Apr")</f>
        <v>2026 Apr</v>
      </c>
      <c r="B11427" s="4">
        <f>IFERROR(__xludf.DUMMYFUNCTION("""COMPUTED_VALUE"""),46118.0)</f>
        <v>46118</v>
      </c>
      <c r="C11427" s="1" t="str">
        <f>IFERROR(__xludf.DUMMYFUNCTION("""COMPUTED_VALUE"""),"High Sensitivity Support")</f>
        <v>High Sensitivity Support</v>
      </c>
      <c r="D11427" s="1" t="str">
        <f>IFERROR(__xludf.DUMMYFUNCTION("""COMPUTED_VALUE"""),"d9cfc12e-6b04-430c-bb3b-22b9d67ee77c")</f>
        <v>d9cfc12e-6b04-430c-bb3b-22b9d67ee77c</v>
      </c>
      <c r="E11427" s="1">
        <f>IFERROR(__xludf.DUMMYFUNCTION("""COMPUTED_VALUE"""),9.795905277839E12)</f>
        <v>9795905277839</v>
      </c>
      <c r="F11427" s="1"/>
      <c r="G11427" s="1"/>
      <c r="H11427" s="2">
        <f>IFERROR(__xludf.DUMMYFUNCTION("""COMPUTED_VALUE"""),0.0)</f>
        <v>0</v>
      </c>
      <c r="I11427" s="5"/>
      <c r="J11427" s="1" t="str">
        <f>IFERROR(__xludf.DUMMYFUNCTION("""COMPUTED_VALUE"""),"Issi Afable")</f>
        <v>Issi Afable</v>
      </c>
      <c r="K11427" s="1" t="str">
        <f>IFERROR(__xludf.DUMMYFUNCTION("""COMPUTED_VALUE"""),"High Sensitivity Support PH")</f>
        <v>High Sensitivity Support PH</v>
      </c>
      <c r="L11427" s="1" t="str">
        <f>IFERROR(__xludf.DUMMYFUNCTION("""COMPUTED_VALUE"""),"HSS High Sensitivity Support PH - SEE")</f>
        <v>HSS High Sensitivity Support PH - SEE</v>
      </c>
    </row>
    <row r="11428">
      <c r="A11428" s="1" t="str">
        <f>IFERROR(__xludf.DUMMYFUNCTION("""COMPUTED_VALUE"""),"2026 Apr")</f>
        <v>2026 Apr</v>
      </c>
      <c r="B11428" s="4">
        <f>IFERROR(__xludf.DUMMYFUNCTION("""COMPUTED_VALUE"""),46118.0)</f>
        <v>46118</v>
      </c>
      <c r="C11428" s="1" t="str">
        <f>IFERROR(__xludf.DUMMYFUNCTION("""COMPUTED_VALUE"""),"Segment-specific Support")</f>
        <v>Segment-specific Support</v>
      </c>
      <c r="D11428" s="1" t="str">
        <f>IFERROR(__xludf.DUMMYFUNCTION("""COMPUTED_VALUE"""),"3d323952-7a8c-47c6-b544-d2dc82c67c07")</f>
        <v>3d323952-7a8c-47c6-b544-d2dc82c67c07</v>
      </c>
      <c r="E11428" s="1"/>
      <c r="F11428" s="1"/>
      <c r="G11428" s="1"/>
      <c r="H11428" s="2">
        <f>IFERROR(__xludf.DUMMYFUNCTION("""COMPUTED_VALUE"""),0.0)</f>
        <v>0</v>
      </c>
      <c r="I11428" s="5"/>
      <c r="J11428" s="1" t="str">
        <f>IFERROR(__xludf.DUMMYFUNCTION("""COMPUTED_VALUE"""),"Leigh Davison")</f>
        <v>Leigh Davison</v>
      </c>
      <c r="K11428" s="1" t="str">
        <f>IFERROR(__xludf.DUMMYFUNCTION("""COMPUTED_VALUE"""),"#N/A")</f>
        <v>#N/A</v>
      </c>
      <c r="L11428" s="1"/>
    </row>
    <row r="11429">
      <c r="A11429" s="1" t="str">
        <f>IFERROR(__xludf.DUMMYFUNCTION("""COMPUTED_VALUE"""),"2026 Apr")</f>
        <v>2026 Apr</v>
      </c>
      <c r="B11429" s="4">
        <f>IFERROR(__xludf.DUMMYFUNCTION("""COMPUTED_VALUE"""),46118.0)</f>
        <v>46118</v>
      </c>
      <c r="C11429" s="1" t="str">
        <f>IFERROR(__xludf.DUMMYFUNCTION("""COMPUTED_VALUE"""),"Core Product Support")</f>
        <v>Core Product Support</v>
      </c>
      <c r="D11429" s="1" t="str">
        <f>IFERROR(__xludf.DUMMYFUNCTION("""COMPUTED_VALUE"""),"d5b38678-ef33-449e-a4d3-7a7a69f2f5cb")</f>
        <v>d5b38678-ef33-449e-a4d3-7a7a69f2f5cb</v>
      </c>
      <c r="E11429" s="1">
        <f>IFERROR(__xludf.DUMMYFUNCTION("""COMPUTED_VALUE"""),3.61857411736E11)</f>
        <v>361857411736</v>
      </c>
      <c r="F11429" s="1"/>
      <c r="G11429" s="1">
        <f>IFERROR(__xludf.DUMMYFUNCTION("""COMPUTED_VALUE"""),1.25)</f>
        <v>1.25</v>
      </c>
      <c r="H11429" s="2">
        <f>IFERROR(__xludf.DUMMYFUNCTION("""COMPUTED_VALUE"""),1.25)</f>
        <v>1.25</v>
      </c>
      <c r="I11429" s="5">
        <f>IFERROR(__xludf.DUMMYFUNCTION("""COMPUTED_VALUE"""),1.0)</f>
        <v>1</v>
      </c>
      <c r="J11429" s="1" t="str">
        <f>IFERROR(__xludf.DUMMYFUNCTION("""COMPUTED_VALUE"""),"Jahmie Mae Barrameda")</f>
        <v>Jahmie Mae Barrameda</v>
      </c>
      <c r="K11429" s="1" t="str">
        <f>IFERROR(__xludf.DUMMYFUNCTION("""COMPUTED_VALUE"""),"Advanced Billing &amp; Subscriptions")</f>
        <v>Advanced Billing &amp; Subscriptions</v>
      </c>
      <c r="L11429" s="1" t="str">
        <f>IFERROR(__xludf.DUMMYFUNCTION("""COMPUTED_VALUE"""),"CPS Advanced Billing and Subscriptions (ABS)")</f>
        <v>CPS Advanced Billing and Subscriptions (ABS)</v>
      </c>
    </row>
    <row r="11430">
      <c r="A11430" s="1" t="str">
        <f>IFERROR(__xludf.DUMMYFUNCTION("""COMPUTED_VALUE"""),"2026 Apr")</f>
        <v>2026 Apr</v>
      </c>
      <c r="B11430" s="4">
        <f>IFERROR(__xludf.DUMMYFUNCTION("""COMPUTED_VALUE"""),46118.0)</f>
        <v>46118</v>
      </c>
      <c r="C11430" s="1" t="str">
        <f>IFERROR(__xludf.DUMMYFUNCTION("""COMPUTED_VALUE"""),"Admin Support")</f>
        <v>Admin Support</v>
      </c>
      <c r="D11430" s="1" t="str">
        <f>IFERROR(__xludf.DUMMYFUNCTION("""COMPUTED_VALUE"""),"65280774-7b68-4e6a-9312-4389148cbc01")</f>
        <v>65280774-7b68-4e6a-9312-4389148cbc01</v>
      </c>
      <c r="E11430" s="1">
        <f>IFERROR(__xludf.DUMMYFUNCTION("""COMPUTED_VALUE"""),1.0548588461839E13)</f>
        <v>10548588461839</v>
      </c>
      <c r="F11430" s="1"/>
      <c r="G11430" s="1"/>
      <c r="H11430" s="2">
        <f>IFERROR(__xludf.DUMMYFUNCTION("""COMPUTED_VALUE"""),0.0)</f>
        <v>0</v>
      </c>
      <c r="I11430" s="5"/>
      <c r="J11430" s="1" t="str">
        <f>IFERROR(__xludf.DUMMYFUNCTION("""COMPUTED_VALUE"""),"Karla Mananghaya")</f>
        <v>Karla Mananghaya</v>
      </c>
      <c r="K11430" s="1" t="str">
        <f>IFERROR(__xludf.DUMMYFUNCTION("""COMPUTED_VALUE"""),"Admin Support Service Escalation Team")</f>
        <v>Admin Support Service Escalation Team</v>
      </c>
      <c r="L11430" s="1" t="str">
        <f>IFERROR(__xludf.DUMMYFUNCTION("""COMPUTED_VALUE"""),"Admin ASSET")</f>
        <v>Admin ASSET</v>
      </c>
    </row>
    <row r="11431">
      <c r="A11431" s="1" t="str">
        <f>IFERROR(__xludf.DUMMYFUNCTION("""COMPUTED_VALUE"""),"2026 Apr")</f>
        <v>2026 Apr</v>
      </c>
      <c r="B11431" s="4">
        <f>IFERROR(__xludf.DUMMYFUNCTION("""COMPUTED_VALUE"""),46118.0)</f>
        <v>46118</v>
      </c>
      <c r="C11431" s="1" t="str">
        <f>IFERROR(__xludf.DUMMYFUNCTION("""COMPUTED_VALUE"""),"Core Product Support")</f>
        <v>Core Product Support</v>
      </c>
      <c r="D11431" s="1" t="str">
        <f>IFERROR(__xludf.DUMMYFUNCTION("""COMPUTED_VALUE"""),"0a5a8f36-7865-4df1-a7d1-fdbafdddd3eb")</f>
        <v>0a5a8f36-7865-4df1-a7d1-fdbafdddd3eb</v>
      </c>
      <c r="E11431" s="1">
        <f>IFERROR(__xludf.DUMMYFUNCTION("""COMPUTED_VALUE"""),3.61731792395E11)</f>
        <v>361731792395</v>
      </c>
      <c r="F11431" s="1"/>
      <c r="G11431" s="1"/>
      <c r="H11431" s="2">
        <f>IFERROR(__xludf.DUMMYFUNCTION("""COMPUTED_VALUE"""),0.0)</f>
        <v>0</v>
      </c>
      <c r="I11431" s="5"/>
      <c r="J11431" s="1" t="str">
        <f>IFERROR(__xludf.DUMMYFUNCTION("""COMPUTED_VALUE"""),"Sieg Ballelos")</f>
        <v>Sieg Ballelos</v>
      </c>
      <c r="K11431" s="1" t="str">
        <f>IFERROR(__xludf.DUMMYFUNCTION("""COMPUTED_VALUE"""),"Core Product Support Escalation Team")</f>
        <v>Core Product Support Escalation Team</v>
      </c>
      <c r="L11431"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432">
      <c r="A11432" s="1" t="str">
        <f>IFERROR(__xludf.DUMMYFUNCTION("""COMPUTED_VALUE"""),"2026 Apr")</f>
        <v>2026 Apr</v>
      </c>
      <c r="B11432" s="4">
        <f>IFERROR(__xludf.DUMMYFUNCTION("""COMPUTED_VALUE"""),46118.0)</f>
        <v>46118</v>
      </c>
      <c r="C11432" s="1" t="str">
        <f>IFERROR(__xludf.DUMMYFUNCTION("""COMPUTED_VALUE"""),"Core Product Support")</f>
        <v>Core Product Support</v>
      </c>
      <c r="D11432" s="1" t="str">
        <f>IFERROR(__xludf.DUMMYFUNCTION("""COMPUTED_VALUE"""),"626e971a-a1f2-466b-b3f0-fd32790eb440")</f>
        <v>626e971a-a1f2-466b-b3f0-fd32790eb440</v>
      </c>
      <c r="E11432" s="1">
        <f>IFERROR(__xludf.DUMMYFUNCTION("""COMPUTED_VALUE"""),8.904494781967E12)</f>
        <v>8904494781967</v>
      </c>
      <c r="F11432" s="1"/>
      <c r="G11432" s="1">
        <f>IFERROR(__xludf.DUMMYFUNCTION("""COMPUTED_VALUE"""),1.25)</f>
        <v>1.25</v>
      </c>
      <c r="H11432" s="2">
        <f>IFERROR(__xludf.DUMMYFUNCTION("""COMPUTED_VALUE"""),1.25)</f>
        <v>1.25</v>
      </c>
      <c r="I11432" s="5">
        <f>IFERROR(__xludf.DUMMYFUNCTION("""COMPUTED_VALUE"""),1.0)</f>
        <v>1</v>
      </c>
      <c r="J11432" s="1" t="str">
        <f>IFERROR(__xludf.DUMMYFUNCTION("""COMPUTED_VALUE"""),"Ana Lazaro")</f>
        <v>Ana Lazaro</v>
      </c>
      <c r="K11432" s="1" t="str">
        <f>IFERROR(__xludf.DUMMYFUNCTION("""COMPUTED_VALUE"""),"Advanced Billing &amp; Subscriptions")</f>
        <v>Advanced Billing &amp; Subscriptions</v>
      </c>
      <c r="L11432" s="1" t="str">
        <f>IFERROR(__xludf.DUMMYFUNCTION("""COMPUTED_VALUE"""),"CPS Advanced Billing and Subscriptions (ABS)")</f>
        <v>CPS Advanced Billing and Subscriptions (ABS)</v>
      </c>
    </row>
    <row r="11433">
      <c r="A11433" s="1" t="str">
        <f>IFERROR(__xludf.DUMMYFUNCTION("""COMPUTED_VALUE"""),"2026 Apr")</f>
        <v>2026 Apr</v>
      </c>
      <c r="B11433" s="4">
        <f>IFERROR(__xludf.DUMMYFUNCTION("""COMPUTED_VALUE"""),46118.0)</f>
        <v>46118</v>
      </c>
      <c r="C11433" s="1" t="str">
        <f>IFERROR(__xludf.DUMMYFUNCTION("""COMPUTED_VALUE"""),"Segment-specific Support")</f>
        <v>Segment-specific Support</v>
      </c>
      <c r="D11433" s="1" t="str">
        <f>IFERROR(__xludf.DUMMYFUNCTION("""COMPUTED_VALUE"""),"238df195-1311-420b-9bfc-80204048a0d0")</f>
        <v>238df195-1311-420b-9bfc-80204048a0d0</v>
      </c>
      <c r="E11433" s="1">
        <f>IFERROR(__xludf.DUMMYFUNCTION("""COMPUTED_VALUE"""),1.0548626062351E13)</f>
        <v>10548626062351</v>
      </c>
      <c r="F11433" s="1"/>
      <c r="G11433" s="1"/>
      <c r="H11433" s="2">
        <f>IFERROR(__xludf.DUMMYFUNCTION("""COMPUTED_VALUE"""),0.0)</f>
        <v>0</v>
      </c>
      <c r="I11433" s="5"/>
      <c r="J11433" s="1" t="str">
        <f>IFERROR(__xludf.DUMMYFUNCTION("""COMPUTED_VALUE"""),"Rose Gabilan")</f>
        <v>Rose Gabilan</v>
      </c>
      <c r="K11433" s="1" t="str">
        <f>IFERROR(__xludf.DUMMYFUNCTION("""COMPUTED_VALUE"""),"Affinity Support")</f>
        <v>Affinity Support</v>
      </c>
      <c r="L11433" s="1" t="str">
        <f>IFERROR(__xludf.DUMMYFUNCTION("""COMPUTED_VALUE"""),"SSS Affinity - L1")</f>
        <v>SSS Affinity - L1</v>
      </c>
    </row>
    <row r="11434">
      <c r="A11434" s="1" t="str">
        <f>IFERROR(__xludf.DUMMYFUNCTION("""COMPUTED_VALUE"""),"2026 Apr")</f>
        <v>2026 Apr</v>
      </c>
      <c r="B11434" s="4">
        <f>IFERROR(__xludf.DUMMYFUNCTION("""COMPUTED_VALUE"""),46118.0)</f>
        <v>46118</v>
      </c>
      <c r="C11434" s="1" t="str">
        <f>IFERROR(__xludf.DUMMYFUNCTION("""COMPUTED_VALUE"""),"Admin Support")</f>
        <v>Admin Support</v>
      </c>
      <c r="D11434" s="1" t="str">
        <f>IFERROR(__xludf.DUMMYFUNCTION("""COMPUTED_VALUE"""),"4790af32-fa25-48b3-bdc4-76770b6ef929")</f>
        <v>4790af32-fa25-48b3-bdc4-76770b6ef929</v>
      </c>
      <c r="E11434" s="1">
        <f>IFERROR(__xludf.DUMMYFUNCTION("""COMPUTED_VALUE"""),9.107735174799E12)</f>
        <v>9107735174799</v>
      </c>
      <c r="F11434" s="1"/>
      <c r="G11434" s="1">
        <f>IFERROR(__xludf.DUMMYFUNCTION("""COMPUTED_VALUE"""),1.0)</f>
        <v>1</v>
      </c>
      <c r="H11434" s="2">
        <f>IFERROR(__xludf.DUMMYFUNCTION("""COMPUTED_VALUE"""),1.0)</f>
        <v>1</v>
      </c>
      <c r="I11434" s="5">
        <f>IFERROR(__xludf.DUMMYFUNCTION("""COMPUTED_VALUE"""),1.0)</f>
        <v>1</v>
      </c>
      <c r="J11434" s="1" t="str">
        <f>IFERROR(__xludf.DUMMYFUNCTION("""COMPUTED_VALUE"""),"Pau Palmero")</f>
        <v>Pau Palmero</v>
      </c>
      <c r="K11434" s="1" t="str">
        <f>IFERROR(__xludf.DUMMYFUNCTION("""COMPUTED_VALUE"""),"Admin Omni Support")</f>
        <v>Admin Omni Support</v>
      </c>
      <c r="L11434" s="1" t="str">
        <f>IFERROR(__xludf.DUMMYFUNCTION("""COMPUTED_VALUE"""),"Admin Omni Support")</f>
        <v>Admin Omni Support</v>
      </c>
    </row>
    <row r="11435">
      <c r="A11435" s="1" t="str">
        <f>IFERROR(__xludf.DUMMYFUNCTION("""COMPUTED_VALUE"""),"2026 Apr")</f>
        <v>2026 Apr</v>
      </c>
      <c r="B11435" s="4">
        <f>IFERROR(__xludf.DUMMYFUNCTION("""COMPUTED_VALUE"""),46118.0)</f>
        <v>46118</v>
      </c>
      <c r="C11435" s="1" t="str">
        <f>IFERROR(__xludf.DUMMYFUNCTION("""COMPUTED_VALUE"""),"Multilingual Support")</f>
        <v>Multilingual Support</v>
      </c>
      <c r="D11435" s="1" t="str">
        <f>IFERROR(__xludf.DUMMYFUNCTION("""COMPUTED_VALUE"""),"c4abd336-8a5c-43a4-942f-2d3f5b2e85fd")</f>
        <v>c4abd336-8a5c-43a4-942f-2d3f5b2e85fd</v>
      </c>
      <c r="E11435" s="1">
        <f>IFERROR(__xludf.DUMMYFUNCTION("""COMPUTED_VALUE"""),6.936778850319E12)</f>
        <v>6936778850319</v>
      </c>
      <c r="F11435" s="1"/>
      <c r="G11435" s="1"/>
      <c r="H11435" s="2">
        <f>IFERROR(__xludf.DUMMYFUNCTION("""COMPUTED_VALUE"""),0.0)</f>
        <v>0</v>
      </c>
      <c r="I11435" s="5"/>
      <c r="J11435" s="1" t="str">
        <f>IFERROR(__xludf.DUMMYFUNCTION("""COMPUTED_VALUE"""),"Arlene Maurillo")</f>
        <v>Arlene Maurillo</v>
      </c>
      <c r="K11435" s="1" t="str">
        <f>IFERROR(__xludf.DUMMYFUNCTION("""COMPUTED_VALUE"""),"PHL, Multilingual Support")</f>
        <v>PHL, Multilingual Support</v>
      </c>
      <c r="L11435" s="1" t="str">
        <f>IFERROR(__xludf.DUMMYFUNCTION("""COMPUTED_VALUE"""),"ML Japanese Support")</f>
        <v>ML Japanese Support</v>
      </c>
    </row>
    <row r="11436">
      <c r="A11436" s="1" t="str">
        <f>IFERROR(__xludf.DUMMYFUNCTION("""COMPUTED_VALUE"""),"2026 Apr")</f>
        <v>2026 Apr</v>
      </c>
      <c r="B11436" s="4">
        <f>IFERROR(__xludf.DUMMYFUNCTION("""COMPUTED_VALUE"""),46118.0)</f>
        <v>46118</v>
      </c>
      <c r="C11436" s="1" t="str">
        <f>IFERROR(__xludf.DUMMYFUNCTION("""COMPUTED_VALUE"""),"Core Product Support")</f>
        <v>Core Product Support</v>
      </c>
      <c r="D11436" s="1" t="str">
        <f>IFERROR(__xludf.DUMMYFUNCTION("""COMPUTED_VALUE"""),"99085273-2cc4-4932-aad9-eac22f3b9709")</f>
        <v>99085273-2cc4-4932-aad9-eac22f3b9709</v>
      </c>
      <c r="E11436" s="1">
        <f>IFERROR(__xludf.DUMMYFUNCTION("""COMPUTED_VALUE"""),3.61732054935E11)</f>
        <v>361732054935</v>
      </c>
      <c r="F11436" s="1"/>
      <c r="G11436" s="1">
        <f>IFERROR(__xludf.DUMMYFUNCTION("""COMPUTED_VALUE"""),1.25)</f>
        <v>1.25</v>
      </c>
      <c r="H11436" s="2">
        <f>IFERROR(__xludf.DUMMYFUNCTION("""COMPUTED_VALUE"""),1.25)</f>
        <v>1.25</v>
      </c>
      <c r="I11436" s="5">
        <f>IFERROR(__xludf.DUMMYFUNCTION("""COMPUTED_VALUE"""),1.0)</f>
        <v>1</v>
      </c>
      <c r="J11436" s="1" t="str">
        <f>IFERROR(__xludf.DUMMYFUNCTION("""COMPUTED_VALUE"""),"Jem Mondoñedo")</f>
        <v>Jem Mondoñedo</v>
      </c>
      <c r="K11436" s="1" t="str">
        <f>IFERROR(__xludf.DUMMYFUNCTION("""COMPUTED_VALUE"""),"Advanced Billing &amp; Subscriptions")</f>
        <v>Advanced Billing &amp; Subscriptions</v>
      </c>
      <c r="L11436" s="1" t="str">
        <f>IFERROR(__xludf.DUMMYFUNCTION("""COMPUTED_VALUE"""),"CPS Advanced Billing and Subscriptions (ABS)")</f>
        <v>CPS Advanced Billing and Subscriptions (ABS)</v>
      </c>
    </row>
    <row r="11437">
      <c r="A11437" s="1" t="str">
        <f>IFERROR(__xludf.DUMMYFUNCTION("""COMPUTED_VALUE"""),"2026 Apr")</f>
        <v>2026 Apr</v>
      </c>
      <c r="B11437" s="4">
        <f>IFERROR(__xludf.DUMMYFUNCTION("""COMPUTED_VALUE"""),46118.0)</f>
        <v>46118</v>
      </c>
      <c r="C11437" s="1" t="str">
        <f>IFERROR(__xludf.DUMMYFUNCTION("""COMPUTED_VALUE"""),"Admin Support")</f>
        <v>Admin Support</v>
      </c>
      <c r="D11437" s="1" t="str">
        <f>IFERROR(__xludf.DUMMYFUNCTION("""COMPUTED_VALUE"""),"c4296942-0752-4ab1-a016-50f83ec4677d")</f>
        <v>c4296942-0752-4ab1-a016-50f83ec4677d</v>
      </c>
      <c r="E11437" s="1">
        <f>IFERROR(__xludf.DUMMYFUNCTION("""COMPUTED_VALUE"""),3.61732055015E11)</f>
        <v>361732055015</v>
      </c>
      <c r="F11437" s="1"/>
      <c r="G11437" s="1">
        <f>IFERROR(__xludf.DUMMYFUNCTION("""COMPUTED_VALUE"""),0.25)</f>
        <v>0.25</v>
      </c>
      <c r="H11437" s="2">
        <f>IFERROR(__xludf.DUMMYFUNCTION("""COMPUTED_VALUE"""),0.25)</f>
        <v>0.25</v>
      </c>
      <c r="I11437" s="5">
        <f>IFERROR(__xludf.DUMMYFUNCTION("""COMPUTED_VALUE"""),1.0)</f>
        <v>1</v>
      </c>
      <c r="J11437" s="1" t="str">
        <f>IFERROR(__xludf.DUMMYFUNCTION("""COMPUTED_VALUE"""),"AL Suarez")</f>
        <v>AL Suarez</v>
      </c>
      <c r="K11437" s="1" t="str">
        <f>IFERROR(__xludf.DUMMYFUNCTION("""COMPUTED_VALUE"""),"Admin Direct Support")</f>
        <v>Admin Direct Support</v>
      </c>
      <c r="L11437" s="1" t="str">
        <f>IFERROR(__xludf.DUMMYFUNCTION("""COMPUTED_VALUE"""),"Admin Direct Support")</f>
        <v>Admin Direct Support</v>
      </c>
    </row>
    <row r="11438">
      <c r="A11438" s="1" t="str">
        <f>IFERROR(__xludf.DUMMYFUNCTION("""COMPUTED_VALUE"""),"2026 Apr")</f>
        <v>2026 Apr</v>
      </c>
      <c r="B11438" s="4">
        <f>IFERROR(__xludf.DUMMYFUNCTION("""COMPUTED_VALUE"""),46118.0)</f>
        <v>46118</v>
      </c>
      <c r="C11438" s="1" t="str">
        <f>IFERROR(__xludf.DUMMYFUNCTION("""COMPUTED_VALUE"""),"Print Support")</f>
        <v>Print Support</v>
      </c>
      <c r="D11438" s="1" t="str">
        <f>IFERROR(__xludf.DUMMYFUNCTION("""COMPUTED_VALUE"""),"e612249c-8f64-415b-befe-bb7e6027b43c")</f>
        <v>e612249c-8f64-415b-befe-bb7e6027b43c</v>
      </c>
      <c r="E11438" s="1">
        <f>IFERROR(__xludf.DUMMYFUNCTION("""COMPUTED_VALUE"""),1.3475806334735E13)</f>
        <v>13475806334735</v>
      </c>
      <c r="F11438" s="1"/>
      <c r="G11438" s="1"/>
      <c r="H11438" s="2">
        <f>IFERROR(__xludf.DUMMYFUNCTION("""COMPUTED_VALUE"""),0.0)</f>
        <v>0</v>
      </c>
      <c r="I11438" s="5"/>
      <c r="J11438" s="1" t="str">
        <f>IFERROR(__xludf.DUMMYFUNCTION("""COMPUTED_VALUE"""),"Rei De Jesus")</f>
        <v>Rei De Jesus</v>
      </c>
      <c r="K11438" s="1" t="str">
        <f>IFERROR(__xludf.DUMMYFUNCTION("""COMPUTED_VALUE"""),"Print Design Support")</f>
        <v>Print Design Support</v>
      </c>
      <c r="L11438" s="1" t="str">
        <f>IFERROR(__xludf.DUMMYFUNCTION("""COMPUTED_VALUE"""),"Print Print Design")</f>
        <v>Print Print Design</v>
      </c>
    </row>
    <row r="11439">
      <c r="A11439" s="1" t="str">
        <f>IFERROR(__xludf.DUMMYFUNCTION("""COMPUTED_VALUE"""),"2026 Apr")</f>
        <v>2026 Apr</v>
      </c>
      <c r="B11439" s="4">
        <f>IFERROR(__xludf.DUMMYFUNCTION("""COMPUTED_VALUE"""),46118.0)</f>
        <v>46118</v>
      </c>
      <c r="C11439" s="1" t="str">
        <f>IFERROR(__xludf.DUMMYFUNCTION("""COMPUTED_VALUE"""),"Core Product Support")</f>
        <v>Core Product Support</v>
      </c>
      <c r="D11439" s="1" t="str">
        <f>IFERROR(__xludf.DUMMYFUNCTION("""COMPUTED_VALUE"""),"3623161b-ff5b-4aee-8826-3d6522587a06")</f>
        <v>3623161b-ff5b-4aee-8826-3d6522587a06</v>
      </c>
      <c r="E11439" s="1"/>
      <c r="F11439" s="1"/>
      <c r="G11439" s="1">
        <f>IFERROR(__xludf.DUMMYFUNCTION("""COMPUTED_VALUE"""),1.25)</f>
        <v>1.25</v>
      </c>
      <c r="H11439" s="2">
        <f>IFERROR(__xludf.DUMMYFUNCTION("""COMPUTED_VALUE"""),1.25)</f>
        <v>1.25</v>
      </c>
      <c r="I11439" s="5">
        <f>IFERROR(__xludf.DUMMYFUNCTION("""COMPUTED_VALUE"""),1.0)</f>
        <v>1</v>
      </c>
      <c r="J11439" s="1" t="str">
        <f>IFERROR(__xludf.DUMMYFUNCTION("""COMPUTED_VALUE"""),"Cherry Macam")</f>
        <v>Cherry Macam</v>
      </c>
      <c r="K11439" s="1" t="str">
        <f>IFERROR(__xludf.DUMMYFUNCTION("""COMPUTED_VALUE"""),"Advanced Billing &amp; Subscriptions")</f>
        <v>Advanced Billing &amp; Subscriptions</v>
      </c>
      <c r="L11439" s="1" t="str">
        <f>IFERROR(__xludf.DUMMYFUNCTION("""COMPUTED_VALUE"""),"CPS Advanced Billing and Subscriptions (ABS)")</f>
        <v>CPS Advanced Billing and Subscriptions (ABS)</v>
      </c>
    </row>
    <row r="11440">
      <c r="A11440" s="1" t="str">
        <f>IFERROR(__xludf.DUMMYFUNCTION("""COMPUTED_VALUE"""),"2026 Apr")</f>
        <v>2026 Apr</v>
      </c>
      <c r="B11440" s="4">
        <f>IFERROR(__xludf.DUMMYFUNCTION("""COMPUTED_VALUE"""),46118.0)</f>
        <v>46118</v>
      </c>
      <c r="C11440" s="1" t="str">
        <f>IFERROR(__xludf.DUMMYFUNCTION("""COMPUTED_VALUE"""),"Admin Support")</f>
        <v>Admin Support</v>
      </c>
      <c r="D11440" s="1" t="str">
        <f>IFERROR(__xludf.DUMMYFUNCTION("""COMPUTED_VALUE"""),"ae4ace4e-6cd8-4a8d-bb18-10768406ce5b")</f>
        <v>ae4ace4e-6cd8-4a8d-bb18-10768406ce5b</v>
      </c>
      <c r="E11440" s="1">
        <f>IFERROR(__xludf.DUMMYFUNCTION("""COMPUTED_VALUE"""),3.61725374736E11)</f>
        <v>361725374736</v>
      </c>
      <c r="F11440" s="1"/>
      <c r="G11440" s="1">
        <f>IFERROR(__xludf.DUMMYFUNCTION("""COMPUTED_VALUE"""),0.25)</f>
        <v>0.25</v>
      </c>
      <c r="H11440" s="2">
        <f>IFERROR(__xludf.DUMMYFUNCTION("""COMPUTED_VALUE"""),0.25)</f>
        <v>0.25</v>
      </c>
      <c r="I11440" s="5">
        <f>IFERROR(__xludf.DUMMYFUNCTION("""COMPUTED_VALUE"""),1.0)</f>
        <v>1</v>
      </c>
      <c r="J11440" s="1" t="str">
        <f>IFERROR(__xludf.DUMMYFUNCTION("""COMPUTED_VALUE"""),"Pau Palmero")</f>
        <v>Pau Palmero</v>
      </c>
      <c r="K11440" s="1" t="str">
        <f>IFERROR(__xludf.DUMMYFUNCTION("""COMPUTED_VALUE"""),"Admin Omni Support")</f>
        <v>Admin Omni Support</v>
      </c>
      <c r="L11440" s="1" t="str">
        <f>IFERROR(__xludf.DUMMYFUNCTION("""COMPUTED_VALUE"""),"Admin Omni Support")</f>
        <v>Admin Omni Support</v>
      </c>
    </row>
    <row r="11441">
      <c r="A11441" s="1" t="str">
        <f>IFERROR(__xludf.DUMMYFUNCTION("""COMPUTED_VALUE"""),"2026 Apr")</f>
        <v>2026 Apr</v>
      </c>
      <c r="B11441" s="4">
        <f>IFERROR(__xludf.DUMMYFUNCTION("""COMPUTED_VALUE"""),46118.0)</f>
        <v>46118</v>
      </c>
      <c r="C11441" s="1" t="str">
        <f>IFERROR(__xludf.DUMMYFUNCTION("""COMPUTED_VALUE"""),"Print Support")</f>
        <v>Print Support</v>
      </c>
      <c r="D11441" s="1" t="str">
        <f>IFERROR(__xludf.DUMMYFUNCTION("""COMPUTED_VALUE"""),"099dd243-b724-478e-9692-79686402a18c")</f>
        <v>099dd243-b724-478e-9692-79686402a18c</v>
      </c>
      <c r="E11441" s="1">
        <f>IFERROR(__xludf.DUMMYFUNCTION("""COMPUTED_VALUE"""),3.61731348935E11)</f>
        <v>361731348935</v>
      </c>
      <c r="F11441" s="1"/>
      <c r="G11441" s="1"/>
      <c r="H11441" s="2">
        <f>IFERROR(__xludf.DUMMYFUNCTION("""COMPUTED_VALUE"""),0.0)</f>
        <v>0</v>
      </c>
      <c r="I11441" s="5"/>
      <c r="J11441" s="1" t="str">
        <f>IFERROR(__xludf.DUMMYFUNCTION("""COMPUTED_VALUE"""),"Memae Faustino")</f>
        <v>Memae Faustino</v>
      </c>
      <c r="K11441" s="1" t="str">
        <f>IFERROR(__xludf.DUMMYFUNCTION("""COMPUTED_VALUE"""),"Print Support PH")</f>
        <v>Print Support PH</v>
      </c>
      <c r="L11441" s="1" t="str">
        <f>IFERROR(__xludf.DUMMYFUNCTION("""COMPUTED_VALUE"""),"Print Print - SEE")</f>
        <v>Print Print - SEE</v>
      </c>
    </row>
    <row r="11442">
      <c r="A11442" s="1" t="str">
        <f>IFERROR(__xludf.DUMMYFUNCTION("""COMPUTED_VALUE"""),"2026 Apr")</f>
        <v>2026 Apr</v>
      </c>
      <c r="B11442" s="4">
        <f>IFERROR(__xludf.DUMMYFUNCTION("""COMPUTED_VALUE"""),46118.0)</f>
        <v>46118</v>
      </c>
      <c r="C11442" s="1" t="str">
        <f>IFERROR(__xludf.DUMMYFUNCTION("""COMPUTED_VALUE"""),"Multilingual Support")</f>
        <v>Multilingual Support</v>
      </c>
      <c r="D11442" s="1" t="str">
        <f>IFERROR(__xludf.DUMMYFUNCTION("""COMPUTED_VALUE"""),"65e111e9-ab12-453f-afa3-155200027cc6")</f>
        <v>65e111e9-ab12-453f-afa3-155200027cc6</v>
      </c>
      <c r="E11442" s="1">
        <f>IFERROR(__xludf.DUMMYFUNCTION("""COMPUTED_VALUE"""),6.392444639375E12)</f>
        <v>6392444639375</v>
      </c>
      <c r="F11442" s="1"/>
      <c r="G11442" s="1"/>
      <c r="H11442" s="2">
        <f>IFERROR(__xludf.DUMMYFUNCTION("""COMPUTED_VALUE"""),0.0)</f>
        <v>0</v>
      </c>
      <c r="I11442" s="5"/>
      <c r="J11442" s="1" t="str">
        <f>IFERROR(__xludf.DUMMYFUNCTION("""COMPUTED_VALUE"""),"Arlene Maurillo")</f>
        <v>Arlene Maurillo</v>
      </c>
      <c r="K11442" s="1" t="str">
        <f>IFERROR(__xludf.DUMMYFUNCTION("""COMPUTED_VALUE"""),"PHL, Multilingual Support")</f>
        <v>PHL, Multilingual Support</v>
      </c>
      <c r="L11442" s="1" t="str">
        <f>IFERROR(__xludf.DUMMYFUNCTION("""COMPUTED_VALUE"""),"ML Portuguese Support")</f>
        <v>ML Portuguese Support</v>
      </c>
    </row>
    <row r="11443">
      <c r="A11443" s="1" t="str">
        <f>IFERROR(__xludf.DUMMYFUNCTION("""COMPUTED_VALUE"""),"2026 Apr")</f>
        <v>2026 Apr</v>
      </c>
      <c r="B11443" s="4">
        <f>IFERROR(__xludf.DUMMYFUNCTION("""COMPUTED_VALUE"""),46118.0)</f>
        <v>46118</v>
      </c>
      <c r="C11443" s="1" t="str">
        <f>IFERROR(__xludf.DUMMYFUNCTION("""COMPUTED_VALUE"""),"Print Support")</f>
        <v>Print Support</v>
      </c>
      <c r="D11443" s="1" t="str">
        <f>IFERROR(__xludf.DUMMYFUNCTION("""COMPUTED_VALUE"""),"1d59ca6e-6219-4532-99a2-f499de8a1287")</f>
        <v>1d59ca6e-6219-4532-99a2-f499de8a1287</v>
      </c>
      <c r="E11443" s="1"/>
      <c r="F11443" s="1"/>
      <c r="G11443" s="1"/>
      <c r="H11443" s="2">
        <f>IFERROR(__xludf.DUMMYFUNCTION("""COMPUTED_VALUE"""),0.0)</f>
        <v>0</v>
      </c>
      <c r="I11443" s="5"/>
      <c r="J11443" s="1" t="str">
        <f>IFERROR(__xludf.DUMMYFUNCTION("""COMPUTED_VALUE"""),"Aliza Dote")</f>
        <v>Aliza Dote</v>
      </c>
      <c r="K11443" s="1" t="str">
        <f>IFERROR(__xludf.DUMMYFUNCTION("""COMPUTED_VALUE"""),"Print Design Support")</f>
        <v>Print Design Support</v>
      </c>
      <c r="L11443" s="1" t="str">
        <f>IFERROR(__xludf.DUMMYFUNCTION("""COMPUTED_VALUE"""),"Print Print Design")</f>
        <v>Print Print Design</v>
      </c>
    </row>
    <row r="11444">
      <c r="A11444" s="1" t="str">
        <f>IFERROR(__xludf.DUMMYFUNCTION("""COMPUTED_VALUE"""),"2026 Apr")</f>
        <v>2026 Apr</v>
      </c>
      <c r="B11444" s="4">
        <f>IFERROR(__xludf.DUMMYFUNCTION("""COMPUTED_VALUE"""),46118.0)</f>
        <v>46118</v>
      </c>
      <c r="C11444" s="1" t="str">
        <f>IFERROR(__xludf.DUMMYFUNCTION("""COMPUTED_VALUE"""),"Print Support")</f>
        <v>Print Support</v>
      </c>
      <c r="D11444" s="1" t="str">
        <f>IFERROR(__xludf.DUMMYFUNCTION("""COMPUTED_VALUE"""),"3eea6a70-1d1f-4def-93fa-d9de190c7fd7")</f>
        <v>3eea6a70-1d1f-4def-93fa-d9de190c7fd7</v>
      </c>
      <c r="E11444" s="1">
        <f>IFERROR(__xludf.DUMMYFUNCTION("""COMPUTED_VALUE"""),3.61726424736E11)</f>
        <v>361726424736</v>
      </c>
      <c r="F11444" s="1"/>
      <c r="G11444" s="1"/>
      <c r="H11444" s="2">
        <f>IFERROR(__xludf.DUMMYFUNCTION("""COMPUTED_VALUE"""),0.0)</f>
        <v>0</v>
      </c>
      <c r="I11444" s="5"/>
      <c r="J11444" s="1" t="str">
        <f>IFERROR(__xludf.DUMMYFUNCTION("""COMPUTED_VALUE"""),"Memae Faustino")</f>
        <v>Memae Faustino</v>
      </c>
      <c r="K11444" s="1" t="str">
        <f>IFERROR(__xludf.DUMMYFUNCTION("""COMPUTED_VALUE"""),"Print Support PH")</f>
        <v>Print Support PH</v>
      </c>
      <c r="L11444" s="1" t="str">
        <f>IFERROR(__xludf.DUMMYFUNCTION("""COMPUTED_VALUE"""),"Print Print - SEE")</f>
        <v>Print Print - SEE</v>
      </c>
    </row>
    <row r="11445">
      <c r="A11445" s="1" t="str">
        <f>IFERROR(__xludf.DUMMYFUNCTION("""COMPUTED_VALUE"""),"2026 Apr")</f>
        <v>2026 Apr</v>
      </c>
      <c r="B11445" s="4">
        <f>IFERROR(__xludf.DUMMYFUNCTION("""COMPUTED_VALUE"""),46118.0)</f>
        <v>46118</v>
      </c>
      <c r="C11445" s="1" t="str">
        <f>IFERROR(__xludf.DUMMYFUNCTION("""COMPUTED_VALUE"""),"High Sensitivity Support")</f>
        <v>High Sensitivity Support</v>
      </c>
      <c r="D11445" s="1" t="str">
        <f>IFERROR(__xludf.DUMMYFUNCTION("""COMPUTED_VALUE"""),"10c46fa3-c076-41b6-9aad-4ec7c4a07294")</f>
        <v>10c46fa3-c076-41b6-9aad-4ec7c4a07294</v>
      </c>
      <c r="E11445" s="1">
        <f>IFERROR(__xludf.DUMMYFUNCTION("""COMPUTED_VALUE"""),7.235815910671E12)</f>
        <v>7235815910671</v>
      </c>
      <c r="F11445" s="1"/>
      <c r="G11445" s="1">
        <f>IFERROR(__xludf.DUMMYFUNCTION("""COMPUTED_VALUE"""),2.0)</f>
        <v>2</v>
      </c>
      <c r="H11445" s="2">
        <f>IFERROR(__xludf.DUMMYFUNCTION("""COMPUTED_VALUE"""),2.0)</f>
        <v>2</v>
      </c>
      <c r="I11445" s="5">
        <f>IFERROR(__xludf.DUMMYFUNCTION("""COMPUTED_VALUE"""),1.0)</f>
        <v>1</v>
      </c>
      <c r="J11445" s="1" t="str">
        <f>IFERROR(__xludf.DUMMYFUNCTION("""COMPUTED_VALUE"""),"Xandy Azarcon")</f>
        <v>Xandy Azarcon</v>
      </c>
      <c r="K11445" s="1" t="str">
        <f>IFERROR(__xludf.DUMMYFUNCTION("""COMPUTED_VALUE"""),"High Sensitivity Support PH")</f>
        <v>High Sensitivity Support PH</v>
      </c>
      <c r="L11445" s="1" t="str">
        <f>IFERROR(__xludf.DUMMYFUNCTION("""COMPUTED_VALUE"""),"HSS High Sensitivity Support PH - CHT")</f>
        <v>HSS High Sensitivity Support PH - CHT</v>
      </c>
    </row>
    <row r="11446">
      <c r="A11446" s="1" t="str">
        <f>IFERROR(__xludf.DUMMYFUNCTION("""COMPUTED_VALUE"""),"2026 Apr")</f>
        <v>2026 Apr</v>
      </c>
      <c r="B11446" s="4">
        <f>IFERROR(__xludf.DUMMYFUNCTION("""COMPUTED_VALUE"""),46118.0)</f>
        <v>46118</v>
      </c>
      <c r="C11446" s="1" t="str">
        <f>IFERROR(__xludf.DUMMYFUNCTION("""COMPUTED_VALUE"""),"Segment-specific Support")</f>
        <v>Segment-specific Support</v>
      </c>
      <c r="D11446" s="1" t="str">
        <f>IFERROR(__xludf.DUMMYFUNCTION("""COMPUTED_VALUE"""),"1140418d-c28b-42e8-83aa-3a112ddc96f7")</f>
        <v>1140418d-c28b-42e8-83aa-3a112ddc96f7</v>
      </c>
      <c r="E11446" s="1"/>
      <c r="F11446" s="1"/>
      <c r="G11446" s="1"/>
      <c r="H11446" s="2">
        <f>IFERROR(__xludf.DUMMYFUNCTION("""COMPUTED_VALUE"""),0.0)</f>
        <v>0</v>
      </c>
      <c r="I11446" s="5"/>
      <c r="J11446" s="1" t="str">
        <f>IFERROR(__xludf.DUMMYFUNCTION("""COMPUTED_VALUE"""),"Leigh Davison")</f>
        <v>Leigh Davison</v>
      </c>
      <c r="K11446" s="1" t="str">
        <f>IFERROR(__xludf.DUMMYFUNCTION("""COMPUTED_VALUE"""),"#N/A")</f>
        <v>#N/A</v>
      </c>
      <c r="L11446" s="1"/>
    </row>
    <row r="11447">
      <c r="A11447" s="1" t="str">
        <f>IFERROR(__xludf.DUMMYFUNCTION("""COMPUTED_VALUE"""),"2026 Apr")</f>
        <v>2026 Apr</v>
      </c>
      <c r="B11447" s="4">
        <f>IFERROR(__xludf.DUMMYFUNCTION("""COMPUTED_VALUE"""),46118.0)</f>
        <v>46118</v>
      </c>
      <c r="C11447" s="1" t="str">
        <f>IFERROR(__xludf.DUMMYFUNCTION("""COMPUTED_VALUE"""),"Core Product Support")</f>
        <v>Core Product Support</v>
      </c>
      <c r="D11447" s="1" t="str">
        <f>IFERROR(__xludf.DUMMYFUNCTION("""COMPUTED_VALUE"""),"cf4102e5-f522-43ac-bf51-15cc96666fde")</f>
        <v>cf4102e5-f522-43ac-bf51-15cc96666fde</v>
      </c>
      <c r="E11447" s="1"/>
      <c r="F11447" s="1">
        <f>IFERROR(__xludf.DUMMYFUNCTION("""COMPUTED_VALUE"""),0.5)</f>
        <v>0.5</v>
      </c>
      <c r="G11447" s="1">
        <f>IFERROR(__xludf.DUMMYFUNCTION("""COMPUTED_VALUE"""),1.25)</f>
        <v>1.25</v>
      </c>
      <c r="H11447" s="2">
        <f>IFERROR(__xludf.DUMMYFUNCTION("""COMPUTED_VALUE"""),1.75)</f>
        <v>1.75</v>
      </c>
      <c r="I11447" s="5">
        <f>IFERROR(__xludf.DUMMYFUNCTION("""COMPUTED_VALUE"""),0.7142857142857143)</f>
        <v>0.7142857143</v>
      </c>
      <c r="J11447" s="1" t="str">
        <f>IFERROR(__xludf.DUMMYFUNCTION("""COMPUTED_VALUE"""),"Mikhaela Decangchon")</f>
        <v>Mikhaela Decangchon</v>
      </c>
      <c r="K11447" s="1" t="str">
        <f>IFERROR(__xludf.DUMMYFUNCTION("""COMPUTED_VALUE"""),"Advanced Product Support")</f>
        <v>Advanced Product Support</v>
      </c>
      <c r="L11447" s="1" t="str">
        <f>IFERROR(__xludf.DUMMYFUNCTION("""COMPUTED_VALUE"""),"CPS Advanced Product Support (APS)")</f>
        <v>CPS Advanced Product Support (APS)</v>
      </c>
    </row>
    <row r="11448">
      <c r="A11448" s="1" t="str">
        <f>IFERROR(__xludf.DUMMYFUNCTION("""COMPUTED_VALUE"""),"2026 Apr")</f>
        <v>2026 Apr</v>
      </c>
      <c r="B11448" s="4">
        <f>IFERROR(__xludf.DUMMYFUNCTION("""COMPUTED_VALUE"""),46118.0)</f>
        <v>46118</v>
      </c>
      <c r="C11448" s="1" t="str">
        <f>IFERROR(__xludf.DUMMYFUNCTION("""COMPUTED_VALUE"""),"Core Product Support")</f>
        <v>Core Product Support</v>
      </c>
      <c r="D11448" s="1" t="str">
        <f>IFERROR(__xludf.DUMMYFUNCTION("""COMPUTED_VALUE"""),"b0e1557c-d0d9-4265-a67b-f94aae240d24")</f>
        <v>b0e1557c-d0d9-4265-a67b-f94aae240d24</v>
      </c>
      <c r="E11448" s="1">
        <f>IFERROR(__xludf.DUMMYFUNCTION("""COMPUTED_VALUE"""),8.519267619343E12)</f>
        <v>8519267619343</v>
      </c>
      <c r="F11448" s="1"/>
      <c r="G11448" s="1">
        <f>IFERROR(__xludf.DUMMYFUNCTION("""COMPUTED_VALUE"""),1.25)</f>
        <v>1.25</v>
      </c>
      <c r="H11448" s="2">
        <f>IFERROR(__xludf.DUMMYFUNCTION("""COMPUTED_VALUE"""),1.25)</f>
        <v>1.25</v>
      </c>
      <c r="I11448" s="5">
        <f>IFERROR(__xludf.DUMMYFUNCTION("""COMPUTED_VALUE"""),1.0)</f>
        <v>1</v>
      </c>
      <c r="J11448" s="1" t="str">
        <f>IFERROR(__xludf.DUMMYFUNCTION("""COMPUTED_VALUE"""),"Jahmie Mae Barrameda")</f>
        <v>Jahmie Mae Barrameda</v>
      </c>
      <c r="K11448" s="1" t="str">
        <f>IFERROR(__xludf.DUMMYFUNCTION("""COMPUTED_VALUE"""),"Advanced Billing &amp; Subscriptions")</f>
        <v>Advanced Billing &amp; Subscriptions</v>
      </c>
      <c r="L11448" s="1" t="str">
        <f>IFERROR(__xludf.DUMMYFUNCTION("""COMPUTED_VALUE"""),"CPS Advanced Billing and Subscriptions (ABS)")</f>
        <v>CPS Advanced Billing and Subscriptions (ABS)</v>
      </c>
    </row>
    <row r="11449">
      <c r="A11449" s="1" t="str">
        <f>IFERROR(__xludf.DUMMYFUNCTION("""COMPUTED_VALUE"""),"2026 Apr")</f>
        <v>2026 Apr</v>
      </c>
      <c r="B11449" s="4">
        <f>IFERROR(__xludf.DUMMYFUNCTION("""COMPUTED_VALUE"""),46118.0)</f>
        <v>46118</v>
      </c>
      <c r="C11449" s="1" t="str">
        <f>IFERROR(__xludf.DUMMYFUNCTION("""COMPUTED_VALUE"""),"Core Product Support")</f>
        <v>Core Product Support</v>
      </c>
      <c r="D11449" s="1" t="str">
        <f>IFERROR(__xludf.DUMMYFUNCTION("""COMPUTED_VALUE"""),"042e5ee4-7da0-42f9-92d0-d66496630cb9")</f>
        <v>042e5ee4-7da0-42f9-92d0-d66496630cb9</v>
      </c>
      <c r="E11449" s="1">
        <f>IFERROR(__xludf.DUMMYFUNCTION("""COMPUTED_VALUE"""),3.61861298335E11)</f>
        <v>361861298335</v>
      </c>
      <c r="F11449" s="1"/>
      <c r="G11449" s="1">
        <f>IFERROR(__xludf.DUMMYFUNCTION("""COMPUTED_VALUE"""),1.25)</f>
        <v>1.25</v>
      </c>
      <c r="H11449" s="2">
        <f>IFERROR(__xludf.DUMMYFUNCTION("""COMPUTED_VALUE"""),1.25)</f>
        <v>1.25</v>
      </c>
      <c r="I11449" s="5">
        <f>IFERROR(__xludf.DUMMYFUNCTION("""COMPUTED_VALUE"""),1.0)</f>
        <v>1</v>
      </c>
      <c r="J11449" s="1" t="str">
        <f>IFERROR(__xludf.DUMMYFUNCTION("""COMPUTED_VALUE"""),"Renette Bok")</f>
        <v>Renette Bok</v>
      </c>
      <c r="K11449" s="1" t="str">
        <f>IFERROR(__xludf.DUMMYFUNCTION("""COMPUTED_VALUE"""),"Advanced Billing &amp; Subscriptions")</f>
        <v>Advanced Billing &amp; Subscriptions</v>
      </c>
      <c r="L11449" s="1" t="str">
        <f>IFERROR(__xludf.DUMMYFUNCTION("""COMPUTED_VALUE"""),"CPS Advanced Billing and Subscriptions (ABS)")</f>
        <v>CPS Advanced Billing and Subscriptions (ABS)</v>
      </c>
    </row>
    <row r="11450">
      <c r="A11450" s="1" t="str">
        <f>IFERROR(__xludf.DUMMYFUNCTION("""COMPUTED_VALUE"""),"2026 Apr")</f>
        <v>2026 Apr</v>
      </c>
      <c r="B11450" s="4">
        <f>IFERROR(__xludf.DUMMYFUNCTION("""COMPUTED_VALUE"""),46118.0)</f>
        <v>46118</v>
      </c>
      <c r="C11450" s="1" t="str">
        <f>IFERROR(__xludf.DUMMYFUNCTION("""COMPUTED_VALUE"""),"Core Product Support")</f>
        <v>Core Product Support</v>
      </c>
      <c r="D11450" s="1" t="str">
        <f>IFERROR(__xludf.DUMMYFUNCTION("""COMPUTED_VALUE"""),"0cc61976-099e-4704-9248-c0d612333122")</f>
        <v>0cc61976-099e-4704-9248-c0d612333122</v>
      </c>
      <c r="E11450" s="1">
        <f>IFERROR(__xludf.DUMMYFUNCTION("""COMPUTED_VALUE"""),4.502607605263E12)</f>
        <v>4502607605263</v>
      </c>
      <c r="F11450" s="1"/>
      <c r="G11450" s="1">
        <f>IFERROR(__xludf.DUMMYFUNCTION("""COMPUTED_VALUE"""),1.5)</f>
        <v>1.5</v>
      </c>
      <c r="H11450" s="2">
        <f>IFERROR(__xludf.DUMMYFUNCTION("""COMPUTED_VALUE"""),1.5)</f>
        <v>1.5</v>
      </c>
      <c r="I11450" s="5">
        <f>IFERROR(__xludf.DUMMYFUNCTION("""COMPUTED_VALUE"""),1.0)</f>
        <v>1</v>
      </c>
      <c r="J11450" s="1" t="str">
        <f>IFERROR(__xludf.DUMMYFUNCTION("""COMPUTED_VALUE"""),"Ellaine Estayo")</f>
        <v>Ellaine Estayo</v>
      </c>
      <c r="K11450" s="1" t="str">
        <f>IFERROR(__xludf.DUMMYFUNCTION("""COMPUTED_VALUE"""),"Core Product Support Escalation Team")</f>
        <v>Core Product Support Escalation Team</v>
      </c>
      <c r="L11450"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451">
      <c r="A11451" s="1" t="str">
        <f>IFERROR(__xludf.DUMMYFUNCTION("""COMPUTED_VALUE"""),"2026 Apr")</f>
        <v>2026 Apr</v>
      </c>
      <c r="B11451" s="4">
        <f>IFERROR(__xludf.DUMMYFUNCTION("""COMPUTED_VALUE"""),46118.0)</f>
        <v>46118</v>
      </c>
      <c r="C11451" s="1" t="str">
        <f>IFERROR(__xludf.DUMMYFUNCTION("""COMPUTED_VALUE"""),"Print Support")</f>
        <v>Print Support</v>
      </c>
      <c r="D11451" s="1" t="str">
        <f>IFERROR(__xludf.DUMMYFUNCTION("""COMPUTED_VALUE"""),"1eb6d900-9254-4ad7-b5e2-1f27f00e2077")</f>
        <v>1eb6d900-9254-4ad7-b5e2-1f27f00e2077</v>
      </c>
      <c r="E11451" s="1">
        <f>IFERROR(__xludf.DUMMYFUNCTION("""COMPUTED_VALUE"""),1.3477715168271E13)</f>
        <v>13477715168271</v>
      </c>
      <c r="F11451" s="1"/>
      <c r="G11451" s="1">
        <f>IFERROR(__xludf.DUMMYFUNCTION("""COMPUTED_VALUE"""),0.67)</f>
        <v>0.67</v>
      </c>
      <c r="H11451" s="2">
        <f>IFERROR(__xludf.DUMMYFUNCTION("""COMPUTED_VALUE"""),0.67)</f>
        <v>0.67</v>
      </c>
      <c r="I11451" s="5">
        <f>IFERROR(__xludf.DUMMYFUNCTION("""COMPUTED_VALUE"""),1.0)</f>
        <v>1</v>
      </c>
      <c r="J11451" s="1" t="str">
        <f>IFERROR(__xludf.DUMMYFUNCTION("""COMPUTED_VALUE"""),"Jan Domingo")</f>
        <v>Jan Domingo</v>
      </c>
      <c r="K11451" s="1" t="str">
        <f>IFERROR(__xludf.DUMMYFUNCTION("""COMPUTED_VALUE"""),"Print Design Support")</f>
        <v>Print Design Support</v>
      </c>
      <c r="L11451" s="1" t="str">
        <f>IFERROR(__xludf.DUMMYFUNCTION("""COMPUTED_VALUE"""),"Print Print Design")</f>
        <v>Print Print Design</v>
      </c>
    </row>
    <row r="11452">
      <c r="A11452" s="1" t="str">
        <f>IFERROR(__xludf.DUMMYFUNCTION("""COMPUTED_VALUE"""),"2026 Apr")</f>
        <v>2026 Apr</v>
      </c>
      <c r="B11452" s="4">
        <f>IFERROR(__xludf.DUMMYFUNCTION("""COMPUTED_VALUE"""),46118.0)</f>
        <v>46118</v>
      </c>
      <c r="C11452" s="1" t="str">
        <f>IFERROR(__xludf.DUMMYFUNCTION("""COMPUTED_VALUE"""),"Core Product Support")</f>
        <v>Core Product Support</v>
      </c>
      <c r="D11452" s="1" t="str">
        <f>IFERROR(__xludf.DUMMYFUNCTION("""COMPUTED_VALUE"""),"fb4299a4-0e59-4c64-8fbb-5fd3f6a3cb3e")</f>
        <v>fb4299a4-0e59-4c64-8fbb-5fd3f6a3cb3e</v>
      </c>
      <c r="E11452" s="1">
        <f>IFERROR(__xludf.DUMMYFUNCTION("""COMPUTED_VALUE"""),3.61964324536E11)</f>
        <v>361964324536</v>
      </c>
      <c r="F11452" s="1">
        <f>IFERROR(__xludf.DUMMYFUNCTION("""COMPUTED_VALUE"""),0.5)</f>
        <v>0.5</v>
      </c>
      <c r="G11452" s="1">
        <f>IFERROR(__xludf.DUMMYFUNCTION("""COMPUTED_VALUE"""),2.5)</f>
        <v>2.5</v>
      </c>
      <c r="H11452" s="2">
        <f>IFERROR(__xludf.DUMMYFUNCTION("""COMPUTED_VALUE"""),3.0)</f>
        <v>3</v>
      </c>
      <c r="I11452" s="5">
        <f>IFERROR(__xludf.DUMMYFUNCTION("""COMPUTED_VALUE"""),0.8333333333333334)</f>
        <v>0.8333333333</v>
      </c>
      <c r="J11452" s="1" t="str">
        <f>IFERROR(__xludf.DUMMYFUNCTION("""COMPUTED_VALUE"""),"Sieg Ballelos")</f>
        <v>Sieg Ballelos</v>
      </c>
      <c r="K11452" s="1" t="str">
        <f>IFERROR(__xludf.DUMMYFUNCTION("""COMPUTED_VALUE"""),"Core Product Support Escalation Team")</f>
        <v>Core Product Support Escalation Team</v>
      </c>
      <c r="L11452"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453">
      <c r="A11453" s="1" t="str">
        <f>IFERROR(__xludf.DUMMYFUNCTION("""COMPUTED_VALUE"""),"2026 Apr")</f>
        <v>2026 Apr</v>
      </c>
      <c r="B11453" s="4">
        <f>IFERROR(__xludf.DUMMYFUNCTION("""COMPUTED_VALUE"""),46118.0)</f>
        <v>46118</v>
      </c>
      <c r="C11453" s="1" t="str">
        <f>IFERROR(__xludf.DUMMYFUNCTION("""COMPUTED_VALUE"""),"Admin Support")</f>
        <v>Admin Support</v>
      </c>
      <c r="D11453" s="1" t="str">
        <f>IFERROR(__xludf.DUMMYFUNCTION("""COMPUTED_VALUE"""),"b9737663-79f8-4cad-a8f9-6db9a37d36bf")</f>
        <v>b9737663-79f8-4cad-a8f9-6db9a37d36bf</v>
      </c>
      <c r="E11453" s="1">
        <f>IFERROR(__xludf.DUMMYFUNCTION("""COMPUTED_VALUE"""),3.61726427416E11)</f>
        <v>361726427416</v>
      </c>
      <c r="F11453" s="1"/>
      <c r="G11453" s="1"/>
      <c r="H11453" s="2">
        <f>IFERROR(__xludf.DUMMYFUNCTION("""COMPUTED_VALUE"""),0.0)</f>
        <v>0</v>
      </c>
      <c r="I11453" s="5"/>
      <c r="J11453" s="1" t="str">
        <f>IFERROR(__xludf.DUMMYFUNCTION("""COMPUTED_VALUE"""),"Karla Mananghaya")</f>
        <v>Karla Mananghaya</v>
      </c>
      <c r="K11453" s="1" t="str">
        <f>IFERROR(__xludf.DUMMYFUNCTION("""COMPUTED_VALUE"""),"Admin Support Service Escalation Team")</f>
        <v>Admin Support Service Escalation Team</v>
      </c>
      <c r="L11453" s="1" t="str">
        <f>IFERROR(__xludf.DUMMYFUNCTION("""COMPUTED_VALUE"""),"Admin ASSET")</f>
        <v>Admin ASSET</v>
      </c>
    </row>
    <row r="11454">
      <c r="A11454" s="1" t="str">
        <f>IFERROR(__xludf.DUMMYFUNCTION("""COMPUTED_VALUE"""),"2026 Apr")</f>
        <v>2026 Apr</v>
      </c>
      <c r="B11454" s="4">
        <f>IFERROR(__xludf.DUMMYFUNCTION("""COMPUTED_VALUE"""),46118.0)</f>
        <v>46118</v>
      </c>
      <c r="C11454" s="1" t="str">
        <f>IFERROR(__xludf.DUMMYFUNCTION("""COMPUTED_VALUE"""),"Core Product Support")</f>
        <v>Core Product Support</v>
      </c>
      <c r="D11454" s="1" t="str">
        <f>IFERROR(__xludf.DUMMYFUNCTION("""COMPUTED_VALUE"""),"253d67a9-d468-454b-b17c-b16b05cc6794")</f>
        <v>253d67a9-d468-454b-b17c-b16b05cc6794</v>
      </c>
      <c r="E11454" s="1">
        <f>IFERROR(__xludf.DUMMYFUNCTION("""COMPUTED_VALUE"""),1.0333034131599E13)</f>
        <v>10333034131599</v>
      </c>
      <c r="F11454" s="1"/>
      <c r="G11454" s="1">
        <f>IFERROR(__xludf.DUMMYFUNCTION("""COMPUTED_VALUE"""),1.25)</f>
        <v>1.25</v>
      </c>
      <c r="H11454" s="2">
        <f>IFERROR(__xludf.DUMMYFUNCTION("""COMPUTED_VALUE"""),1.25)</f>
        <v>1.25</v>
      </c>
      <c r="I11454" s="5">
        <f>IFERROR(__xludf.DUMMYFUNCTION("""COMPUTED_VALUE"""),1.0)</f>
        <v>1</v>
      </c>
      <c r="J11454" s="1" t="str">
        <f>IFERROR(__xludf.DUMMYFUNCTION("""COMPUTED_VALUE"""),"Cherry Macam")</f>
        <v>Cherry Macam</v>
      </c>
      <c r="K11454" s="1" t="str">
        <f>IFERROR(__xludf.DUMMYFUNCTION("""COMPUTED_VALUE"""),"Advanced Billing &amp; Subscriptions")</f>
        <v>Advanced Billing &amp; Subscriptions</v>
      </c>
      <c r="L11454" s="1" t="str">
        <f>IFERROR(__xludf.DUMMYFUNCTION("""COMPUTED_VALUE"""),"CPS Advanced Billing and Subscriptions (ABS)")</f>
        <v>CPS Advanced Billing and Subscriptions (ABS)</v>
      </c>
    </row>
    <row r="11455">
      <c r="A11455" s="1" t="str">
        <f>IFERROR(__xludf.DUMMYFUNCTION("""COMPUTED_VALUE"""),"2026 Apr")</f>
        <v>2026 Apr</v>
      </c>
      <c r="B11455" s="4">
        <f>IFERROR(__xludf.DUMMYFUNCTION("""COMPUTED_VALUE"""),46118.0)</f>
        <v>46118</v>
      </c>
      <c r="C11455" s="1" t="str">
        <f>IFERROR(__xludf.DUMMYFUNCTION("""COMPUTED_VALUE"""),"Core Product Support")</f>
        <v>Core Product Support</v>
      </c>
      <c r="D11455" s="1" t="str">
        <f>IFERROR(__xludf.DUMMYFUNCTION("""COMPUTED_VALUE"""),"e2ffb663-8d10-4463-8bb8-3bd130fdce1c")</f>
        <v>e2ffb663-8d10-4463-8bb8-3bd130fdce1c</v>
      </c>
      <c r="E11455" s="1">
        <f>IFERROR(__xludf.DUMMYFUNCTION("""COMPUTED_VALUE"""),1.1279730843407E13)</f>
        <v>11279730843407</v>
      </c>
      <c r="F11455" s="1"/>
      <c r="G11455" s="1">
        <f>IFERROR(__xludf.DUMMYFUNCTION("""COMPUTED_VALUE"""),1.25)</f>
        <v>1.25</v>
      </c>
      <c r="H11455" s="2">
        <f>IFERROR(__xludf.DUMMYFUNCTION("""COMPUTED_VALUE"""),1.25)</f>
        <v>1.25</v>
      </c>
      <c r="I11455" s="5">
        <f>IFERROR(__xludf.DUMMYFUNCTION("""COMPUTED_VALUE"""),1.0)</f>
        <v>1</v>
      </c>
      <c r="J11455" s="1" t="str">
        <f>IFERROR(__xludf.DUMMYFUNCTION("""COMPUTED_VALUE"""),"Ayza Marie Pascual")</f>
        <v>Ayza Marie Pascual</v>
      </c>
      <c r="K11455" s="1" t="str">
        <f>IFERROR(__xludf.DUMMYFUNCTION("""COMPUTED_VALUE"""),"Advanced Billing &amp; Subscriptions")</f>
        <v>Advanced Billing &amp; Subscriptions</v>
      </c>
      <c r="L11455" s="1" t="str">
        <f>IFERROR(__xludf.DUMMYFUNCTION("""COMPUTED_VALUE"""),"CPS Advanced Billing and Subscriptions (ABS)")</f>
        <v>CPS Advanced Billing and Subscriptions (ABS)</v>
      </c>
    </row>
    <row r="11456">
      <c r="A11456" s="1" t="str">
        <f>IFERROR(__xludf.DUMMYFUNCTION("""COMPUTED_VALUE"""),"2026 Apr")</f>
        <v>2026 Apr</v>
      </c>
      <c r="B11456" s="4">
        <f>IFERROR(__xludf.DUMMYFUNCTION("""COMPUTED_VALUE"""),46118.0)</f>
        <v>46118</v>
      </c>
      <c r="C11456" s="1" t="str">
        <f>IFERROR(__xludf.DUMMYFUNCTION("""COMPUTED_VALUE"""),"Core Product Support")</f>
        <v>Core Product Support</v>
      </c>
      <c r="D11456" s="1" t="str">
        <f>IFERROR(__xludf.DUMMYFUNCTION("""COMPUTED_VALUE"""),"1a6492df-fa9a-416f-b1d1-da6edc22036f")</f>
        <v>1a6492df-fa9a-416f-b1d1-da6edc22036f</v>
      </c>
      <c r="E11456" s="1">
        <f>IFERROR(__xludf.DUMMYFUNCTION("""COMPUTED_VALUE"""),7.874569114383E12)</f>
        <v>7874569114383</v>
      </c>
      <c r="F11456" s="1"/>
      <c r="G11456" s="1">
        <f>IFERROR(__xludf.DUMMYFUNCTION("""COMPUTED_VALUE"""),1.25)</f>
        <v>1.25</v>
      </c>
      <c r="H11456" s="2">
        <f>IFERROR(__xludf.DUMMYFUNCTION("""COMPUTED_VALUE"""),1.25)</f>
        <v>1.25</v>
      </c>
      <c r="I11456" s="5">
        <f>IFERROR(__xludf.DUMMYFUNCTION("""COMPUTED_VALUE"""),1.0)</f>
        <v>1</v>
      </c>
      <c r="J11456" s="1" t="str">
        <f>IFERROR(__xludf.DUMMYFUNCTION("""COMPUTED_VALUE"""),"Ana Lazaro")</f>
        <v>Ana Lazaro</v>
      </c>
      <c r="K11456" s="1" t="str">
        <f>IFERROR(__xludf.DUMMYFUNCTION("""COMPUTED_VALUE"""),"Advanced Billing &amp; Subscriptions")</f>
        <v>Advanced Billing &amp; Subscriptions</v>
      </c>
      <c r="L11456" s="1" t="str">
        <f>IFERROR(__xludf.DUMMYFUNCTION("""COMPUTED_VALUE"""),"CPS Advanced Billing and Subscriptions (ABS)")</f>
        <v>CPS Advanced Billing and Subscriptions (ABS)</v>
      </c>
    </row>
    <row r="11457">
      <c r="A11457" s="1" t="str">
        <f>IFERROR(__xludf.DUMMYFUNCTION("""COMPUTED_VALUE"""),"2026 Apr")</f>
        <v>2026 Apr</v>
      </c>
      <c r="B11457" s="4">
        <f>IFERROR(__xludf.DUMMYFUNCTION("""COMPUTED_VALUE"""),46118.0)</f>
        <v>46118</v>
      </c>
      <c r="C11457" s="1" t="str">
        <f>IFERROR(__xludf.DUMMYFUNCTION("""COMPUTED_VALUE"""),"High Sensitivity Support")</f>
        <v>High Sensitivity Support</v>
      </c>
      <c r="D11457" s="1" t="str">
        <f>IFERROR(__xludf.DUMMYFUNCTION("""COMPUTED_VALUE"""),"8b075f45-27b1-469e-bbc3-e97261e6934d")</f>
        <v>8b075f45-27b1-469e-bbc3-e97261e6934d</v>
      </c>
      <c r="E11457" s="1">
        <f>IFERROR(__xludf.DUMMYFUNCTION("""COMPUTED_VALUE"""),5.202423769487E12)</f>
        <v>5202423769487</v>
      </c>
      <c r="F11457" s="1"/>
      <c r="G11457" s="1">
        <f>IFERROR(__xludf.DUMMYFUNCTION("""COMPUTED_VALUE"""),2.0)</f>
        <v>2</v>
      </c>
      <c r="H11457" s="2">
        <f>IFERROR(__xludf.DUMMYFUNCTION("""COMPUTED_VALUE"""),2.0)</f>
        <v>2</v>
      </c>
      <c r="I11457" s="5">
        <f>IFERROR(__xludf.DUMMYFUNCTION("""COMPUTED_VALUE"""),1.0)</f>
        <v>1</v>
      </c>
      <c r="J11457" s="1" t="str">
        <f>IFERROR(__xludf.DUMMYFUNCTION("""COMPUTED_VALUE"""),"Rex Villamor")</f>
        <v>Rex Villamor</v>
      </c>
      <c r="K11457" s="1" t="str">
        <f>IFERROR(__xludf.DUMMYFUNCTION("""COMPUTED_VALUE"""),"High Sensitivity Support PH")</f>
        <v>High Sensitivity Support PH</v>
      </c>
      <c r="L11457" s="1" t="str">
        <f>IFERROR(__xludf.DUMMYFUNCTION("""COMPUTED_VALUE"""),"HSS High Sensitivity Support PH - CHT")</f>
        <v>HSS High Sensitivity Support PH - CHT</v>
      </c>
    </row>
    <row r="11458">
      <c r="A11458" s="1" t="str">
        <f>IFERROR(__xludf.DUMMYFUNCTION("""COMPUTED_VALUE"""),"2026 Apr")</f>
        <v>2026 Apr</v>
      </c>
      <c r="B11458" s="4">
        <f>IFERROR(__xludf.DUMMYFUNCTION("""COMPUTED_VALUE"""),46118.0)</f>
        <v>46118</v>
      </c>
      <c r="C11458" s="1" t="str">
        <f>IFERROR(__xludf.DUMMYFUNCTION("""COMPUTED_VALUE"""),"Segment-specific Support")</f>
        <v>Segment-specific Support</v>
      </c>
      <c r="D11458" s="1" t="str">
        <f>IFERROR(__xludf.DUMMYFUNCTION("""COMPUTED_VALUE"""),"68027150-37ee-48bc-8dee-e459591aca37")</f>
        <v>68027150-37ee-48bc-8dee-e459591aca37</v>
      </c>
      <c r="E11458" s="1">
        <f>IFERROR(__xludf.DUMMYFUNCTION("""COMPUTED_VALUE"""),9.586408606607E12)</f>
        <v>9586408606607</v>
      </c>
      <c r="F11458" s="1"/>
      <c r="G11458" s="1">
        <f>IFERROR(__xludf.DUMMYFUNCTION("""COMPUTED_VALUE"""),0.17)</f>
        <v>0.17</v>
      </c>
      <c r="H11458" s="2">
        <f>IFERROR(__xludf.DUMMYFUNCTION("""COMPUTED_VALUE"""),0.17)</f>
        <v>0.17</v>
      </c>
      <c r="I11458" s="5">
        <f>IFERROR(__xludf.DUMMYFUNCTION("""COMPUTED_VALUE"""),1.0)</f>
        <v>1</v>
      </c>
      <c r="J11458" s="1" t="str">
        <f>IFERROR(__xludf.DUMMYFUNCTION("""COMPUTED_VALUE"""),"Rose Gabilan")</f>
        <v>Rose Gabilan</v>
      </c>
      <c r="K11458" s="1" t="str">
        <f>IFERROR(__xludf.DUMMYFUNCTION("""COMPUTED_VALUE"""),"Affinity Support")</f>
        <v>Affinity Support</v>
      </c>
      <c r="L11458" s="1" t="str">
        <f>IFERROR(__xludf.DUMMYFUNCTION("""COMPUTED_VALUE"""),"SSS Affinity - L1")</f>
        <v>SSS Affinity - L1</v>
      </c>
    </row>
    <row r="11459">
      <c r="A11459" s="1" t="str">
        <f>IFERROR(__xludf.DUMMYFUNCTION("""COMPUTED_VALUE"""),"2026 Apr")</f>
        <v>2026 Apr</v>
      </c>
      <c r="B11459" s="4">
        <f>IFERROR(__xludf.DUMMYFUNCTION("""COMPUTED_VALUE"""),46118.0)</f>
        <v>46118</v>
      </c>
      <c r="C11459" s="1" t="str">
        <f>IFERROR(__xludf.DUMMYFUNCTION("""COMPUTED_VALUE"""),"Core Product Support")</f>
        <v>Core Product Support</v>
      </c>
      <c r="D11459" s="1" t="str">
        <f>IFERROR(__xludf.DUMMYFUNCTION("""COMPUTED_VALUE"""),"2417322d-d75a-4184-9e3c-95ae48393a05")</f>
        <v>2417322d-d75a-4184-9e3c-95ae48393a05</v>
      </c>
      <c r="E11459" s="1">
        <f>IFERROR(__xludf.DUMMYFUNCTION("""COMPUTED_VALUE"""),3.61861297995E11)</f>
        <v>361861297995</v>
      </c>
      <c r="F11459" s="1"/>
      <c r="G11459" s="1">
        <f>IFERROR(__xludf.DUMMYFUNCTION("""COMPUTED_VALUE"""),1.25)</f>
        <v>1.25</v>
      </c>
      <c r="H11459" s="2">
        <f>IFERROR(__xludf.DUMMYFUNCTION("""COMPUTED_VALUE"""),1.25)</f>
        <v>1.25</v>
      </c>
      <c r="I11459" s="5">
        <f>IFERROR(__xludf.DUMMYFUNCTION("""COMPUTED_VALUE"""),1.0)</f>
        <v>1</v>
      </c>
      <c r="J11459" s="1" t="str">
        <f>IFERROR(__xludf.DUMMYFUNCTION("""COMPUTED_VALUE"""),"Jem Mondoñedo")</f>
        <v>Jem Mondoñedo</v>
      </c>
      <c r="K11459" s="1" t="str">
        <f>IFERROR(__xludf.DUMMYFUNCTION("""COMPUTED_VALUE"""),"Advanced Billing &amp; Subscriptions")</f>
        <v>Advanced Billing &amp; Subscriptions</v>
      </c>
      <c r="L11459" s="1" t="str">
        <f>IFERROR(__xludf.DUMMYFUNCTION("""COMPUTED_VALUE"""),"CPS Advanced Billing and Subscriptions (ABS)")</f>
        <v>CPS Advanced Billing and Subscriptions (ABS)</v>
      </c>
    </row>
    <row r="11460">
      <c r="A11460" s="1" t="str">
        <f>IFERROR(__xludf.DUMMYFUNCTION("""COMPUTED_VALUE"""),"2026 Apr")</f>
        <v>2026 Apr</v>
      </c>
      <c r="B11460" s="4">
        <f>IFERROR(__xludf.DUMMYFUNCTION("""COMPUTED_VALUE"""),46118.0)</f>
        <v>46118</v>
      </c>
      <c r="C11460" s="1" t="str">
        <f>IFERROR(__xludf.DUMMYFUNCTION("""COMPUTED_VALUE"""),"Segment-specific Support")</f>
        <v>Segment-specific Support</v>
      </c>
      <c r="D11460" s="1" t="str">
        <f>IFERROR(__xludf.DUMMYFUNCTION("""COMPUTED_VALUE"""),"4cae5e1d-2159-4afc-b9cd-a826e7f3982e")</f>
        <v>4cae5e1d-2159-4afc-b9cd-a826e7f3982e</v>
      </c>
      <c r="E11460" s="1">
        <f>IFERROR(__xludf.DUMMYFUNCTION("""COMPUTED_VALUE"""),3.61726424816E11)</f>
        <v>361726424816</v>
      </c>
      <c r="F11460" s="1"/>
      <c r="G11460" s="1"/>
      <c r="H11460" s="2">
        <f>IFERROR(__xludf.DUMMYFUNCTION("""COMPUTED_VALUE"""),0.0)</f>
        <v>0</v>
      </c>
      <c r="I11460" s="5"/>
      <c r="J11460" s="1" t="str">
        <f>IFERROR(__xludf.DUMMYFUNCTION("""COMPUTED_VALUE"""),"Aileen Dayanghirang")</f>
        <v>Aileen Dayanghirang</v>
      </c>
      <c r="K11460" s="1" t="str">
        <f>IFERROR(__xludf.DUMMYFUNCTION("""COMPUTED_VALUE"""),"Creators Support")</f>
        <v>Creators Support</v>
      </c>
      <c r="L11460" s="1" t="str">
        <f>IFERROR(__xludf.DUMMYFUNCTION("""COMPUTED_VALUE"""),"SSS Creators")</f>
        <v>SSS Creators</v>
      </c>
    </row>
    <row r="11461">
      <c r="A11461" s="1" t="str">
        <f>IFERROR(__xludf.DUMMYFUNCTION("""COMPUTED_VALUE"""),"2026 Apr")</f>
        <v>2026 Apr</v>
      </c>
      <c r="B11461" s="4">
        <f>IFERROR(__xludf.DUMMYFUNCTION("""COMPUTED_VALUE"""),46118.0)</f>
        <v>46118</v>
      </c>
      <c r="C11461" s="1" t="str">
        <f>IFERROR(__xludf.DUMMYFUNCTION("""COMPUTED_VALUE"""),"Core Product Support")</f>
        <v>Core Product Support</v>
      </c>
      <c r="D11461" s="1" t="str">
        <f>IFERROR(__xludf.DUMMYFUNCTION("""COMPUTED_VALUE"""),"ecc3a54c-2b13-4ea5-ad1e-96b8b278e7da")</f>
        <v>ecc3a54c-2b13-4ea5-ad1e-96b8b278e7da</v>
      </c>
      <c r="E11461" s="1">
        <f>IFERROR(__xludf.DUMMYFUNCTION("""COMPUTED_VALUE"""),1.0333050571535E13)</f>
        <v>10333050571535</v>
      </c>
      <c r="F11461" s="1">
        <f>IFERROR(__xludf.DUMMYFUNCTION("""COMPUTED_VALUE"""),0.5)</f>
        <v>0.5</v>
      </c>
      <c r="G11461" s="1">
        <f>IFERROR(__xludf.DUMMYFUNCTION("""COMPUTED_VALUE"""),1.25)</f>
        <v>1.25</v>
      </c>
      <c r="H11461" s="2">
        <f>IFERROR(__xludf.DUMMYFUNCTION("""COMPUTED_VALUE"""),1.75)</f>
        <v>1.75</v>
      </c>
      <c r="I11461" s="5">
        <f>IFERROR(__xludf.DUMMYFUNCTION("""COMPUTED_VALUE"""),0.7142857142857143)</f>
        <v>0.7142857143</v>
      </c>
      <c r="J11461" s="1" t="str">
        <f>IFERROR(__xludf.DUMMYFUNCTION("""COMPUTED_VALUE"""),"Mikhaela Decangchon")</f>
        <v>Mikhaela Decangchon</v>
      </c>
      <c r="K11461" s="1" t="str">
        <f>IFERROR(__xludf.DUMMYFUNCTION("""COMPUTED_VALUE"""),"Advanced Product Support")</f>
        <v>Advanced Product Support</v>
      </c>
      <c r="L11461" s="1" t="str">
        <f>IFERROR(__xludf.DUMMYFUNCTION("""COMPUTED_VALUE"""),"CPS Advanced Product Support (APS)")</f>
        <v>CPS Advanced Product Support (APS)</v>
      </c>
    </row>
    <row r="11462">
      <c r="A11462" s="1" t="str">
        <f>IFERROR(__xludf.DUMMYFUNCTION("""COMPUTED_VALUE"""),"2026 Apr")</f>
        <v>2026 Apr</v>
      </c>
      <c r="B11462" s="4">
        <f>IFERROR(__xludf.DUMMYFUNCTION("""COMPUTED_VALUE"""),46118.0)</f>
        <v>46118</v>
      </c>
      <c r="C11462" s="1" t="str">
        <f>IFERROR(__xludf.DUMMYFUNCTION("""COMPUTED_VALUE"""),"Print Support")</f>
        <v>Print Support</v>
      </c>
      <c r="D11462" s="1" t="str">
        <f>IFERROR(__xludf.DUMMYFUNCTION("""COMPUTED_VALUE"""),"c6cec3c3-9fe7-48ea-b63e-7658cdee4747")</f>
        <v>c6cec3c3-9fe7-48ea-b63e-7658cdee4747</v>
      </c>
      <c r="E11462" s="1">
        <f>IFERROR(__xludf.DUMMYFUNCTION("""COMPUTED_VALUE"""),5.901960272783E12)</f>
        <v>5901960272783</v>
      </c>
      <c r="F11462" s="1"/>
      <c r="G11462" s="1"/>
      <c r="H11462" s="2">
        <f>IFERROR(__xludf.DUMMYFUNCTION("""COMPUTED_VALUE"""),0.0)</f>
        <v>0</v>
      </c>
      <c r="I11462" s="5"/>
      <c r="J11462" s="1" t="str">
        <f>IFERROR(__xludf.DUMMYFUNCTION("""COMPUTED_VALUE"""),"Althea Mercado")</f>
        <v>Althea Mercado</v>
      </c>
      <c r="K11462" s="1" t="str">
        <f>IFERROR(__xludf.DUMMYFUNCTION("""COMPUTED_VALUE"""),"Print Support PH")</f>
        <v>Print Support PH</v>
      </c>
      <c r="L11462" s="1" t="str">
        <f>IFERROR(__xludf.DUMMYFUNCTION("""COMPUTED_VALUE"""),"Print Print - CHT")</f>
        <v>Print Print - CHT</v>
      </c>
    </row>
    <row r="11463">
      <c r="A11463" s="1" t="str">
        <f>IFERROR(__xludf.DUMMYFUNCTION("""COMPUTED_VALUE"""),"2026 Apr")</f>
        <v>2026 Apr</v>
      </c>
      <c r="B11463" s="4">
        <f>IFERROR(__xludf.DUMMYFUNCTION("""COMPUTED_VALUE"""),46118.0)</f>
        <v>46118</v>
      </c>
      <c r="C11463" s="1" t="str">
        <f>IFERROR(__xludf.DUMMYFUNCTION("""COMPUTED_VALUE"""),"Admin Support")</f>
        <v>Admin Support</v>
      </c>
      <c r="D11463" s="1" t="str">
        <f>IFERROR(__xludf.DUMMYFUNCTION("""COMPUTED_VALUE"""),"f1bbdd3e-ea42-496f-87a0-14d656a67a92")</f>
        <v>f1bbdd3e-ea42-496f-87a0-14d656a67a92</v>
      </c>
      <c r="E11463" s="1">
        <f>IFERROR(__xludf.DUMMYFUNCTION("""COMPUTED_VALUE"""),5.563904587279E12)</f>
        <v>5563904587279</v>
      </c>
      <c r="F11463" s="1"/>
      <c r="G11463" s="1"/>
      <c r="H11463" s="2">
        <f>IFERROR(__xludf.DUMMYFUNCTION("""COMPUTED_VALUE"""),0.0)</f>
        <v>0</v>
      </c>
      <c r="I11463" s="5"/>
      <c r="J11463" s="1" t="str">
        <f>IFERROR(__xludf.DUMMYFUNCTION("""COMPUTED_VALUE"""),"Nate Vela")</f>
        <v>Nate Vela</v>
      </c>
      <c r="K11463" s="1" t="str">
        <f>IFERROR(__xludf.DUMMYFUNCTION("""COMPUTED_VALUE"""),"Admin Support NA")</f>
        <v>Admin Support NA</v>
      </c>
      <c r="L11463" s="1" t="str">
        <f>IFERROR(__xludf.DUMMYFUNCTION("""COMPUTED_VALUE"""),"Admin NA")</f>
        <v>Admin NA</v>
      </c>
    </row>
    <row r="11464">
      <c r="A11464" s="1" t="str">
        <f>IFERROR(__xludf.DUMMYFUNCTION("""COMPUTED_VALUE"""),"2026 Apr")</f>
        <v>2026 Apr</v>
      </c>
      <c r="B11464" s="4">
        <f>IFERROR(__xludf.DUMMYFUNCTION("""COMPUTED_VALUE"""),46118.0)</f>
        <v>46118</v>
      </c>
      <c r="C11464" s="1" t="str">
        <f>IFERROR(__xludf.DUMMYFUNCTION("""COMPUTED_VALUE"""),"Core Product Support")</f>
        <v>Core Product Support</v>
      </c>
      <c r="D11464" s="1" t="str">
        <f>IFERROR(__xludf.DUMMYFUNCTION("""COMPUTED_VALUE"""),"3146744a-956c-4560-bc5a-70bcebe20785")</f>
        <v>3146744a-956c-4560-bc5a-70bcebe20785</v>
      </c>
      <c r="E11464" s="1">
        <f>IFERROR(__xludf.DUMMYFUNCTION("""COMPUTED_VALUE"""),3.61861297835E11)</f>
        <v>361861297835</v>
      </c>
      <c r="F11464" s="1"/>
      <c r="G11464" s="1">
        <f>IFERROR(__xludf.DUMMYFUNCTION("""COMPUTED_VALUE"""),1.25)</f>
        <v>1.25</v>
      </c>
      <c r="H11464" s="2">
        <f>IFERROR(__xludf.DUMMYFUNCTION("""COMPUTED_VALUE"""),1.25)</f>
        <v>1.25</v>
      </c>
      <c r="I11464" s="5">
        <f>IFERROR(__xludf.DUMMYFUNCTION("""COMPUTED_VALUE"""),1.0)</f>
        <v>1</v>
      </c>
      <c r="J11464" s="1" t="str">
        <f>IFERROR(__xludf.DUMMYFUNCTION("""COMPUTED_VALUE"""),"Jem Mondoñedo")</f>
        <v>Jem Mondoñedo</v>
      </c>
      <c r="K11464" s="1" t="str">
        <f>IFERROR(__xludf.DUMMYFUNCTION("""COMPUTED_VALUE"""),"Advanced Billing &amp; Subscriptions")</f>
        <v>Advanced Billing &amp; Subscriptions</v>
      </c>
      <c r="L11464" s="1" t="str">
        <f>IFERROR(__xludf.DUMMYFUNCTION("""COMPUTED_VALUE"""),"CPS Advanced Billing and Subscriptions (ABS)")</f>
        <v>CPS Advanced Billing and Subscriptions (ABS)</v>
      </c>
    </row>
    <row r="11465">
      <c r="A11465" s="1" t="str">
        <f>IFERROR(__xludf.DUMMYFUNCTION("""COMPUTED_VALUE"""),"2026 Apr")</f>
        <v>2026 Apr</v>
      </c>
      <c r="B11465" s="4">
        <f>IFERROR(__xludf.DUMMYFUNCTION("""COMPUTED_VALUE"""),46118.0)</f>
        <v>46118</v>
      </c>
      <c r="C11465" s="1" t="str">
        <f>IFERROR(__xludf.DUMMYFUNCTION("""COMPUTED_VALUE"""),"Print Support")</f>
        <v>Print Support</v>
      </c>
      <c r="D11465" s="1" t="str">
        <f>IFERROR(__xludf.DUMMYFUNCTION("""COMPUTED_VALUE"""),"30527ca4-aa21-4ba1-bf53-3e00c15dfada")</f>
        <v>30527ca4-aa21-4ba1-bf53-3e00c15dfada</v>
      </c>
      <c r="E11465" s="1">
        <f>IFERROR(__xludf.DUMMYFUNCTION("""COMPUTED_VALUE"""),5.359149526287E12)</f>
        <v>5359149526287</v>
      </c>
      <c r="F11465" s="1"/>
      <c r="G11465" s="1"/>
      <c r="H11465" s="2">
        <f>IFERROR(__xludf.DUMMYFUNCTION("""COMPUTED_VALUE"""),0.0)</f>
        <v>0</v>
      </c>
      <c r="I11465" s="5"/>
      <c r="J11465" s="1" t="str">
        <f>IFERROR(__xludf.DUMMYFUNCTION("""COMPUTED_VALUE"""),"Louise Dianne Estrella")</f>
        <v>Louise Dianne Estrella</v>
      </c>
      <c r="K11465" s="1" t="str">
        <f>IFERROR(__xludf.DUMMYFUNCTION("""COMPUTED_VALUE"""),"Print Support PH")</f>
        <v>Print Support PH</v>
      </c>
      <c r="L11465" s="1" t="str">
        <f>IFERROR(__xludf.DUMMYFUNCTION("""COMPUTED_VALUE"""),"Print Print - CHT")</f>
        <v>Print Print - CHT</v>
      </c>
    </row>
    <row r="11466">
      <c r="A11466" s="1" t="str">
        <f>IFERROR(__xludf.DUMMYFUNCTION("""COMPUTED_VALUE"""),"2026 Apr")</f>
        <v>2026 Apr</v>
      </c>
      <c r="B11466" s="4">
        <f>IFERROR(__xludf.DUMMYFUNCTION("""COMPUTED_VALUE"""),46118.0)</f>
        <v>46118</v>
      </c>
      <c r="C11466" s="1" t="str">
        <f>IFERROR(__xludf.DUMMYFUNCTION("""COMPUTED_VALUE"""),"High Sensitivity Support")</f>
        <v>High Sensitivity Support</v>
      </c>
      <c r="D11466" s="1" t="str">
        <f>IFERROR(__xludf.DUMMYFUNCTION("""COMPUTED_VALUE"""),"ed28aa1c-230f-414c-b415-191d703a8bac")</f>
        <v>ed28aa1c-230f-414c-b415-191d703a8bac</v>
      </c>
      <c r="E11466" s="1">
        <f>IFERROR(__xludf.DUMMYFUNCTION("""COMPUTED_VALUE"""),8.409870322319E12)</f>
        <v>8409870322319</v>
      </c>
      <c r="F11466" s="1"/>
      <c r="G11466" s="1">
        <f>IFERROR(__xludf.DUMMYFUNCTION("""COMPUTED_VALUE"""),2.0)</f>
        <v>2</v>
      </c>
      <c r="H11466" s="2">
        <f>IFERROR(__xludf.DUMMYFUNCTION("""COMPUTED_VALUE"""),2.0)</f>
        <v>2</v>
      </c>
      <c r="I11466" s="5">
        <f>IFERROR(__xludf.DUMMYFUNCTION("""COMPUTED_VALUE"""),1.0)</f>
        <v>1</v>
      </c>
      <c r="J11466" s="1" t="str">
        <f>IFERROR(__xludf.DUMMYFUNCTION("""COMPUTED_VALUE"""),"Rossheen Pura")</f>
        <v>Rossheen Pura</v>
      </c>
      <c r="K11466" s="1" t="str">
        <f>IFERROR(__xludf.DUMMYFUNCTION("""COMPUTED_VALUE"""),"High Sensitivity Support PH")</f>
        <v>High Sensitivity Support PH</v>
      </c>
      <c r="L11466" s="1" t="str">
        <f>IFERROR(__xludf.DUMMYFUNCTION("""COMPUTED_VALUE"""),"HSS High Sensitivity Support PH - CHT")</f>
        <v>HSS High Sensitivity Support PH - CHT</v>
      </c>
    </row>
    <row r="11467">
      <c r="A11467" s="1" t="str">
        <f>IFERROR(__xludf.DUMMYFUNCTION("""COMPUTED_VALUE"""),"2026 Apr")</f>
        <v>2026 Apr</v>
      </c>
      <c r="B11467" s="4">
        <f>IFERROR(__xludf.DUMMYFUNCTION("""COMPUTED_VALUE"""),46118.0)</f>
        <v>46118</v>
      </c>
      <c r="C11467" s="1" t="str">
        <f>IFERROR(__xludf.DUMMYFUNCTION("""COMPUTED_VALUE"""),"Segment-specific Support")</f>
        <v>Segment-specific Support</v>
      </c>
      <c r="D11467" s="1" t="str">
        <f>IFERROR(__xludf.DUMMYFUNCTION("""COMPUTED_VALUE"""),"df9ba7dd-188f-4978-8344-eb262fcbed64")</f>
        <v>df9ba7dd-188f-4978-8344-eb262fcbed64</v>
      </c>
      <c r="E11467" s="1">
        <f>IFERROR(__xludf.DUMMYFUNCTION("""COMPUTED_VALUE"""),5.729839272719E12)</f>
        <v>5729839272719</v>
      </c>
      <c r="F11467" s="1"/>
      <c r="G11467" s="1"/>
      <c r="H11467" s="2">
        <f>IFERROR(__xludf.DUMMYFUNCTION("""COMPUTED_VALUE"""),0.0)</f>
        <v>0</v>
      </c>
      <c r="I11467" s="5"/>
      <c r="J11467" s="1" t="str">
        <f>IFERROR(__xludf.DUMMYFUNCTION("""COMPUTED_VALUE"""),"Rose Gabilan")</f>
        <v>Rose Gabilan</v>
      </c>
      <c r="K11467" s="1" t="str">
        <f>IFERROR(__xludf.DUMMYFUNCTION("""COMPUTED_VALUE"""),"Affinity Support")</f>
        <v>Affinity Support</v>
      </c>
      <c r="L11467" s="1" t="str">
        <f>IFERROR(__xludf.DUMMYFUNCTION("""COMPUTED_VALUE"""),"SSS Affinity - L1")</f>
        <v>SSS Affinity - L1</v>
      </c>
    </row>
    <row r="11468">
      <c r="A11468" s="1" t="str">
        <f>IFERROR(__xludf.DUMMYFUNCTION("""COMPUTED_VALUE"""),"2026 Apr")</f>
        <v>2026 Apr</v>
      </c>
      <c r="B11468" s="4">
        <f>IFERROR(__xludf.DUMMYFUNCTION("""COMPUTED_VALUE"""),46118.0)</f>
        <v>46118</v>
      </c>
      <c r="C11468" s="1" t="str">
        <f>IFERROR(__xludf.DUMMYFUNCTION("""COMPUTED_VALUE"""),"Print Support")</f>
        <v>Print Support</v>
      </c>
      <c r="D11468" s="1" t="str">
        <f>IFERROR(__xludf.DUMMYFUNCTION("""COMPUTED_VALUE"""),"438e36b3-4d38-44fd-b78d-2f3e27dfd609")</f>
        <v>438e36b3-4d38-44fd-b78d-2f3e27dfd609</v>
      </c>
      <c r="E11468" s="1">
        <f>IFERROR(__xludf.DUMMYFUNCTION("""COMPUTED_VALUE"""),5.359189606799E12)</f>
        <v>5359189606799</v>
      </c>
      <c r="F11468" s="1"/>
      <c r="G11468" s="1"/>
      <c r="H11468" s="2">
        <f>IFERROR(__xludf.DUMMYFUNCTION("""COMPUTED_VALUE"""),0.0)</f>
        <v>0</v>
      </c>
      <c r="I11468" s="5"/>
      <c r="J11468" s="1" t="str">
        <f>IFERROR(__xludf.DUMMYFUNCTION("""COMPUTED_VALUE"""),"Louise Dianne Estrella")</f>
        <v>Louise Dianne Estrella</v>
      </c>
      <c r="K11468" s="1" t="str">
        <f>IFERROR(__xludf.DUMMYFUNCTION("""COMPUTED_VALUE"""),"Print Support PH")</f>
        <v>Print Support PH</v>
      </c>
      <c r="L11468" s="1" t="str">
        <f>IFERROR(__xludf.DUMMYFUNCTION("""COMPUTED_VALUE"""),"Print Print - CHT")</f>
        <v>Print Print - CHT</v>
      </c>
    </row>
    <row r="11469">
      <c r="A11469" s="1" t="str">
        <f>IFERROR(__xludf.DUMMYFUNCTION("""COMPUTED_VALUE"""),"2026 Apr")</f>
        <v>2026 Apr</v>
      </c>
      <c r="B11469" s="4">
        <f>IFERROR(__xludf.DUMMYFUNCTION("""COMPUTED_VALUE"""),46118.0)</f>
        <v>46118</v>
      </c>
      <c r="C11469" s="1" t="str">
        <f>IFERROR(__xludf.DUMMYFUNCTION("""COMPUTED_VALUE"""),"Admin Support")</f>
        <v>Admin Support</v>
      </c>
      <c r="D11469" s="1" t="str">
        <f>IFERROR(__xludf.DUMMYFUNCTION("""COMPUTED_VALUE"""),"d7fa60f7-5345-4940-b70f-a9ee1e24882e")</f>
        <v>d7fa60f7-5345-4940-b70f-a9ee1e24882e</v>
      </c>
      <c r="E11469" s="1">
        <f>IFERROR(__xludf.DUMMYFUNCTION("""COMPUTED_VALUE"""),3.61731792375E11)</f>
        <v>361731792375</v>
      </c>
      <c r="F11469" s="1"/>
      <c r="G11469" s="1"/>
      <c r="H11469" s="2">
        <f>IFERROR(__xludf.DUMMYFUNCTION("""COMPUTED_VALUE"""),0.0)</f>
        <v>0</v>
      </c>
      <c r="I11469" s="5"/>
      <c r="J11469" s="1" t="str">
        <f>IFERROR(__xludf.DUMMYFUNCTION("""COMPUTED_VALUE"""),"Karla Mananghaya")</f>
        <v>Karla Mananghaya</v>
      </c>
      <c r="K11469" s="1" t="str">
        <f>IFERROR(__xludf.DUMMYFUNCTION("""COMPUTED_VALUE"""),"Admin Support Service Escalation Team")</f>
        <v>Admin Support Service Escalation Team</v>
      </c>
      <c r="L11469" s="1" t="str">
        <f>IFERROR(__xludf.DUMMYFUNCTION("""COMPUTED_VALUE"""),"Admin ASSET")</f>
        <v>Admin ASSET</v>
      </c>
    </row>
    <row r="11470">
      <c r="A11470" s="1" t="str">
        <f>IFERROR(__xludf.DUMMYFUNCTION("""COMPUTED_VALUE"""),"2026 Apr")</f>
        <v>2026 Apr</v>
      </c>
      <c r="B11470" s="4">
        <f>IFERROR(__xludf.DUMMYFUNCTION("""COMPUTED_VALUE"""),46118.0)</f>
        <v>46118</v>
      </c>
      <c r="C11470" s="1" t="str">
        <f>IFERROR(__xludf.DUMMYFUNCTION("""COMPUTED_VALUE"""),"Core Product Support")</f>
        <v>Core Product Support</v>
      </c>
      <c r="D11470" s="1" t="str">
        <f>IFERROR(__xludf.DUMMYFUNCTION("""COMPUTED_VALUE"""),"5a22b3ea-0755-416b-a006-f5a0d4b19aba")</f>
        <v>5a22b3ea-0755-416b-a006-f5a0d4b19aba</v>
      </c>
      <c r="E11470" s="1">
        <f>IFERROR(__xludf.DUMMYFUNCTION("""COMPUTED_VALUE"""),5.202392949391E12)</f>
        <v>5202392949391</v>
      </c>
      <c r="F11470" s="1">
        <f>IFERROR(__xludf.DUMMYFUNCTION("""COMPUTED_VALUE"""),0.5)</f>
        <v>0.5</v>
      </c>
      <c r="G11470" s="1">
        <f>IFERROR(__xludf.DUMMYFUNCTION("""COMPUTED_VALUE"""),2.5)</f>
        <v>2.5</v>
      </c>
      <c r="H11470" s="2">
        <f>IFERROR(__xludf.DUMMYFUNCTION("""COMPUTED_VALUE"""),3.0)</f>
        <v>3</v>
      </c>
      <c r="I11470" s="5">
        <f>IFERROR(__xludf.DUMMYFUNCTION("""COMPUTED_VALUE"""),0.8333333333333334)</f>
        <v>0.8333333333</v>
      </c>
      <c r="J11470" s="1" t="str">
        <f>IFERROR(__xludf.DUMMYFUNCTION("""COMPUTED_VALUE"""),"Sieg Ballelos")</f>
        <v>Sieg Ballelos</v>
      </c>
      <c r="K11470" s="1" t="str">
        <f>IFERROR(__xludf.DUMMYFUNCTION("""COMPUTED_VALUE"""),"Core Product Support Escalation Team")</f>
        <v>Core Product Support Escalation Team</v>
      </c>
      <c r="L11470"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471">
      <c r="A11471" s="1" t="str">
        <f>IFERROR(__xludf.DUMMYFUNCTION("""COMPUTED_VALUE"""),"2026 Apr")</f>
        <v>2026 Apr</v>
      </c>
      <c r="B11471" s="4">
        <f>IFERROR(__xludf.DUMMYFUNCTION("""COMPUTED_VALUE"""),46118.0)</f>
        <v>46118</v>
      </c>
      <c r="C11471" s="1" t="str">
        <f>IFERROR(__xludf.DUMMYFUNCTION("""COMPUTED_VALUE"""),"Core Product Support")</f>
        <v>Core Product Support</v>
      </c>
      <c r="D11471" s="1" t="str">
        <f>IFERROR(__xludf.DUMMYFUNCTION("""COMPUTED_VALUE"""),"0ae24c9b-6172-4326-bb51-99cd5756da29")</f>
        <v>0ae24c9b-6172-4326-bb51-99cd5756da29</v>
      </c>
      <c r="E11471" s="1">
        <f>IFERROR(__xludf.DUMMYFUNCTION("""COMPUTED_VALUE"""),8.904479838351E12)</f>
        <v>8904479838351</v>
      </c>
      <c r="F11471" s="1"/>
      <c r="G11471" s="1">
        <f>IFERROR(__xludf.DUMMYFUNCTION("""COMPUTED_VALUE"""),1.25)</f>
        <v>1.25</v>
      </c>
      <c r="H11471" s="2">
        <f>IFERROR(__xludf.DUMMYFUNCTION("""COMPUTED_VALUE"""),1.25)</f>
        <v>1.25</v>
      </c>
      <c r="I11471" s="5">
        <f>IFERROR(__xludf.DUMMYFUNCTION("""COMPUTED_VALUE"""),1.0)</f>
        <v>1</v>
      </c>
      <c r="J11471" s="1" t="str">
        <f>IFERROR(__xludf.DUMMYFUNCTION("""COMPUTED_VALUE"""),"Ana Lazaro")</f>
        <v>Ana Lazaro</v>
      </c>
      <c r="K11471" s="1" t="str">
        <f>IFERROR(__xludf.DUMMYFUNCTION("""COMPUTED_VALUE"""),"Advanced Billing &amp; Subscriptions")</f>
        <v>Advanced Billing &amp; Subscriptions</v>
      </c>
      <c r="L11471" s="1" t="str">
        <f>IFERROR(__xludf.DUMMYFUNCTION("""COMPUTED_VALUE"""),"CPS Advanced Billing and Subscriptions (ABS)")</f>
        <v>CPS Advanced Billing and Subscriptions (ABS)</v>
      </c>
    </row>
    <row r="11472">
      <c r="A11472" s="1" t="str">
        <f>IFERROR(__xludf.DUMMYFUNCTION("""COMPUTED_VALUE"""),"2026 Apr")</f>
        <v>2026 Apr</v>
      </c>
      <c r="B11472" s="4">
        <f>IFERROR(__xludf.DUMMYFUNCTION("""COMPUTED_VALUE"""),46118.0)</f>
        <v>46118</v>
      </c>
      <c r="C11472" s="1" t="str">
        <f>IFERROR(__xludf.DUMMYFUNCTION("""COMPUTED_VALUE"""),"Segment-specific Support")</f>
        <v>Segment-specific Support</v>
      </c>
      <c r="D11472" s="1" t="str">
        <f>IFERROR(__xludf.DUMMYFUNCTION("""COMPUTED_VALUE"""),"702a1682-65ec-47f2-b736-d60aecc92e68")</f>
        <v>702a1682-65ec-47f2-b736-d60aecc92e68</v>
      </c>
      <c r="E11472" s="1">
        <f>IFERROR(__xludf.DUMMYFUNCTION("""COMPUTED_VALUE"""),3.61726425496E11)</f>
        <v>361726425496</v>
      </c>
      <c r="F11472" s="1"/>
      <c r="G11472" s="1"/>
      <c r="H11472" s="2">
        <f>IFERROR(__xludf.DUMMYFUNCTION("""COMPUTED_VALUE"""),0.0)</f>
        <v>0</v>
      </c>
      <c r="I11472" s="5"/>
      <c r="J11472" s="1" t="str">
        <f>IFERROR(__xludf.DUMMYFUNCTION("""COMPUTED_VALUE"""),"Aileen Dayanghirang")</f>
        <v>Aileen Dayanghirang</v>
      </c>
      <c r="K11472" s="1" t="str">
        <f>IFERROR(__xludf.DUMMYFUNCTION("""COMPUTED_VALUE"""),"Creators Support")</f>
        <v>Creators Support</v>
      </c>
      <c r="L11472" s="1" t="str">
        <f>IFERROR(__xludf.DUMMYFUNCTION("""COMPUTED_VALUE"""),"SSS Creators")</f>
        <v>SSS Creators</v>
      </c>
    </row>
    <row r="11473">
      <c r="A11473" s="1" t="str">
        <f>IFERROR(__xludf.DUMMYFUNCTION("""COMPUTED_VALUE"""),"2026 Apr")</f>
        <v>2026 Apr</v>
      </c>
      <c r="B11473" s="4">
        <f>IFERROR(__xludf.DUMMYFUNCTION("""COMPUTED_VALUE"""),46118.0)</f>
        <v>46118</v>
      </c>
      <c r="C11473" s="1" t="str">
        <f>IFERROR(__xludf.DUMMYFUNCTION("""COMPUTED_VALUE"""),"Print Support")</f>
        <v>Print Support</v>
      </c>
      <c r="D11473" s="1" t="str">
        <f>IFERROR(__xludf.DUMMYFUNCTION("""COMPUTED_VALUE"""),"5b9a60b0-b877-48e1-8013-eb7cdd15bd64")</f>
        <v>5b9a60b0-b877-48e1-8013-eb7cdd15bd64</v>
      </c>
      <c r="E11473" s="1">
        <f>IFERROR(__xludf.DUMMYFUNCTION("""COMPUTED_VALUE"""),3.61825394516E11)</f>
        <v>361825394516</v>
      </c>
      <c r="F11473" s="1"/>
      <c r="G11473" s="1">
        <f>IFERROR(__xludf.DUMMYFUNCTION("""COMPUTED_VALUE"""),45.0)</f>
        <v>45</v>
      </c>
      <c r="H11473" s="2">
        <f>IFERROR(__xludf.DUMMYFUNCTION("""COMPUTED_VALUE"""),45.0)</f>
        <v>45</v>
      </c>
      <c r="I11473" s="5">
        <f>IFERROR(__xludf.DUMMYFUNCTION("""COMPUTED_VALUE"""),1.0)</f>
        <v>1</v>
      </c>
      <c r="J11473" s="1" t="str">
        <f>IFERROR(__xludf.DUMMYFUNCTION("""COMPUTED_VALUE"""),"G-Anne Murillo")</f>
        <v>G-Anne Murillo</v>
      </c>
      <c r="K11473" s="1" t="str">
        <f>IFERROR(__xludf.DUMMYFUNCTION("""COMPUTED_VALUE"""),"Print Design Support")</f>
        <v>Print Design Support</v>
      </c>
      <c r="L11473" s="1" t="str">
        <f>IFERROR(__xludf.DUMMYFUNCTION("""COMPUTED_VALUE"""),"Print Print Design")</f>
        <v>Print Print Design</v>
      </c>
    </row>
    <row r="11474">
      <c r="A11474" s="1" t="str">
        <f>IFERROR(__xludf.DUMMYFUNCTION("""COMPUTED_VALUE"""),"2026 Apr")</f>
        <v>2026 Apr</v>
      </c>
      <c r="B11474" s="4">
        <f>IFERROR(__xludf.DUMMYFUNCTION("""COMPUTED_VALUE"""),46118.0)</f>
        <v>46118</v>
      </c>
      <c r="C11474" s="1" t="str">
        <f>IFERROR(__xludf.DUMMYFUNCTION("""COMPUTED_VALUE"""),"Admin Support")</f>
        <v>Admin Support</v>
      </c>
      <c r="D11474" s="1" t="str">
        <f>IFERROR(__xludf.DUMMYFUNCTION("""COMPUTED_VALUE"""),"582c23f3-af21-4402-83b6-920f8fd6fe88")</f>
        <v>582c23f3-af21-4402-83b6-920f8fd6fe88</v>
      </c>
      <c r="E11474" s="1">
        <f>IFERROR(__xludf.DUMMYFUNCTION("""COMPUTED_VALUE"""),5.566843512207E12)</f>
        <v>5566843512207</v>
      </c>
      <c r="F11474" s="1"/>
      <c r="G11474" s="1">
        <f>IFERROR(__xludf.DUMMYFUNCTION("""COMPUTED_VALUE"""),0.25)</f>
        <v>0.25</v>
      </c>
      <c r="H11474" s="2">
        <f>IFERROR(__xludf.DUMMYFUNCTION("""COMPUTED_VALUE"""),0.25)</f>
        <v>0.25</v>
      </c>
      <c r="I11474" s="5">
        <f>IFERROR(__xludf.DUMMYFUNCTION("""COMPUTED_VALUE"""),1.0)</f>
        <v>1</v>
      </c>
      <c r="J11474" s="1" t="str">
        <f>IFERROR(__xludf.DUMMYFUNCTION("""COMPUTED_VALUE"""),"AL Suarez")</f>
        <v>AL Suarez</v>
      </c>
      <c r="K11474" s="1" t="str">
        <f>IFERROR(__xludf.DUMMYFUNCTION("""COMPUTED_VALUE"""),"Print Support PH")</f>
        <v>Print Support PH</v>
      </c>
      <c r="L11474" s="1" t="str">
        <f>IFERROR(__xludf.DUMMYFUNCTION("""COMPUTED_VALUE"""),"Print Print - CHT")</f>
        <v>Print Print - CHT</v>
      </c>
    </row>
    <row r="11475">
      <c r="A11475" s="1" t="str">
        <f>IFERROR(__xludf.DUMMYFUNCTION("""COMPUTED_VALUE"""),"2026 Apr")</f>
        <v>2026 Apr</v>
      </c>
      <c r="B11475" s="4">
        <f>IFERROR(__xludf.DUMMYFUNCTION("""COMPUTED_VALUE"""),46118.0)</f>
        <v>46118</v>
      </c>
      <c r="C11475" s="1" t="str">
        <f>IFERROR(__xludf.DUMMYFUNCTION("""COMPUTED_VALUE"""),"Core Product Support")</f>
        <v>Core Product Support</v>
      </c>
      <c r="D11475" s="1" t="str">
        <f>IFERROR(__xludf.DUMMYFUNCTION("""COMPUTED_VALUE"""),"09e60261-b17e-4b45-ad03-6bfb6c6777b6")</f>
        <v>09e60261-b17e-4b45-ad03-6bfb6c6777b6</v>
      </c>
      <c r="E11475" s="1">
        <f>IFERROR(__xludf.DUMMYFUNCTION("""COMPUTED_VALUE"""),1.0548600594575E13)</f>
        <v>10548600594575</v>
      </c>
      <c r="F11475" s="1"/>
      <c r="G11475" s="1">
        <f>IFERROR(__xludf.DUMMYFUNCTION("""COMPUTED_VALUE"""),1.25)</f>
        <v>1.25</v>
      </c>
      <c r="H11475" s="2">
        <f>IFERROR(__xludf.DUMMYFUNCTION("""COMPUTED_VALUE"""),1.25)</f>
        <v>1.25</v>
      </c>
      <c r="I11475" s="5">
        <f>IFERROR(__xludf.DUMMYFUNCTION("""COMPUTED_VALUE"""),1.0)</f>
        <v>1</v>
      </c>
      <c r="J11475" s="1" t="str">
        <f>IFERROR(__xludf.DUMMYFUNCTION("""COMPUTED_VALUE"""),"Jem Mondoñedo")</f>
        <v>Jem Mondoñedo</v>
      </c>
      <c r="K11475" s="1" t="str">
        <f>IFERROR(__xludf.DUMMYFUNCTION("""COMPUTED_VALUE"""),"Advanced Billing &amp; Subscriptions")</f>
        <v>Advanced Billing &amp; Subscriptions</v>
      </c>
      <c r="L11475" s="1" t="str">
        <f>IFERROR(__xludf.DUMMYFUNCTION("""COMPUTED_VALUE"""),"CPS Advanced Billing and Subscriptions (ABS)")</f>
        <v>CPS Advanced Billing and Subscriptions (ABS)</v>
      </c>
    </row>
    <row r="11476">
      <c r="A11476" s="1" t="str">
        <f>IFERROR(__xludf.DUMMYFUNCTION("""COMPUTED_VALUE"""),"2026 Apr")</f>
        <v>2026 Apr</v>
      </c>
      <c r="B11476" s="4">
        <f>IFERROR(__xludf.DUMMYFUNCTION("""COMPUTED_VALUE"""),46118.0)</f>
        <v>46118</v>
      </c>
      <c r="C11476" s="1" t="str">
        <f>IFERROR(__xludf.DUMMYFUNCTION("""COMPUTED_VALUE"""),"Multilingual Support")</f>
        <v>Multilingual Support</v>
      </c>
      <c r="D11476" s="1" t="str">
        <f>IFERROR(__xludf.DUMMYFUNCTION("""COMPUTED_VALUE"""),"a08e6c23-8f56-4eb2-a86d-ff398e709601")</f>
        <v>a08e6c23-8f56-4eb2-a86d-ff398e709601</v>
      </c>
      <c r="E11476" s="1">
        <f>IFERROR(__xludf.DUMMYFUNCTION("""COMPUTED_VALUE"""),3.61744520136E11)</f>
        <v>361744520136</v>
      </c>
      <c r="F11476" s="1"/>
      <c r="G11476" s="1"/>
      <c r="H11476" s="2">
        <f>IFERROR(__xludf.DUMMYFUNCTION("""COMPUTED_VALUE"""),0.0)</f>
        <v>0</v>
      </c>
      <c r="I11476" s="5"/>
      <c r="J11476" s="1" t="str">
        <f>IFERROR(__xludf.DUMMYFUNCTION("""COMPUTED_VALUE"""),"Arlene Maurillo")</f>
        <v>Arlene Maurillo</v>
      </c>
      <c r="K11476" s="1" t="str">
        <f>IFERROR(__xludf.DUMMYFUNCTION("""COMPUTED_VALUE"""),"PHL, Multilingual Support")</f>
        <v>PHL, Multilingual Support</v>
      </c>
      <c r="L11476" s="1" t="str">
        <f>IFERROR(__xludf.DUMMYFUNCTION("""COMPUTED_VALUE"""),"ML Spanish Support")</f>
        <v>ML Spanish Support</v>
      </c>
    </row>
    <row r="11477">
      <c r="A11477" s="1" t="str">
        <f>IFERROR(__xludf.DUMMYFUNCTION("""COMPUTED_VALUE"""),"2026 Apr")</f>
        <v>2026 Apr</v>
      </c>
      <c r="B11477" s="4">
        <f>IFERROR(__xludf.DUMMYFUNCTION("""COMPUTED_VALUE"""),46118.0)</f>
        <v>46118</v>
      </c>
      <c r="C11477" s="1" t="str">
        <f>IFERROR(__xludf.DUMMYFUNCTION("""COMPUTED_VALUE"""),"Core Product Support")</f>
        <v>Core Product Support</v>
      </c>
      <c r="D11477" s="1" t="str">
        <f>IFERROR(__xludf.DUMMYFUNCTION("""COMPUTED_VALUE"""),"9160bc84-9174-4736-bd46-926c52c66223")</f>
        <v>9160bc84-9174-4736-bd46-926c52c66223</v>
      </c>
      <c r="E11477" s="1">
        <f>IFERROR(__xludf.DUMMYFUNCTION("""COMPUTED_VALUE"""),3.61731516675E11)</f>
        <v>361731516675</v>
      </c>
      <c r="F11477" s="1"/>
      <c r="G11477" s="1">
        <f>IFERROR(__xludf.DUMMYFUNCTION("""COMPUTED_VALUE"""),1.25)</f>
        <v>1.25</v>
      </c>
      <c r="H11477" s="2">
        <f>IFERROR(__xludf.DUMMYFUNCTION("""COMPUTED_VALUE"""),1.25)</f>
        <v>1.25</v>
      </c>
      <c r="I11477" s="5">
        <f>IFERROR(__xludf.DUMMYFUNCTION("""COMPUTED_VALUE"""),1.0)</f>
        <v>1</v>
      </c>
      <c r="J11477" s="1" t="str">
        <f>IFERROR(__xludf.DUMMYFUNCTION("""COMPUTED_VALUE"""),"Cherry Macam")</f>
        <v>Cherry Macam</v>
      </c>
      <c r="K11477" s="1" t="str">
        <f>IFERROR(__xludf.DUMMYFUNCTION("""COMPUTED_VALUE"""),"Advanced Billing &amp; Subscriptions")</f>
        <v>Advanced Billing &amp; Subscriptions</v>
      </c>
      <c r="L11477" s="1" t="str">
        <f>IFERROR(__xludf.DUMMYFUNCTION("""COMPUTED_VALUE"""),"CPS Advanced Billing and Subscriptions (ABS)")</f>
        <v>CPS Advanced Billing and Subscriptions (ABS)</v>
      </c>
    </row>
    <row r="11478">
      <c r="A11478" s="1" t="str">
        <f>IFERROR(__xludf.DUMMYFUNCTION("""COMPUTED_VALUE"""),"2026 Apr")</f>
        <v>2026 Apr</v>
      </c>
      <c r="B11478" s="4">
        <f>IFERROR(__xludf.DUMMYFUNCTION("""COMPUTED_VALUE"""),46118.0)</f>
        <v>46118</v>
      </c>
      <c r="C11478" s="1" t="str">
        <f>IFERROR(__xludf.DUMMYFUNCTION("""COMPUTED_VALUE"""),"Core Product Support")</f>
        <v>Core Product Support</v>
      </c>
      <c r="D11478" s="1" t="str">
        <f>IFERROR(__xludf.DUMMYFUNCTION("""COMPUTED_VALUE"""),"4db6d8c1-797e-4f39-9494-3babf0366bc0")</f>
        <v>4db6d8c1-797e-4f39-9494-3babf0366bc0</v>
      </c>
      <c r="E11478" s="1">
        <f>IFERROR(__xludf.DUMMYFUNCTION("""COMPUTED_VALUE"""),3.61731943715E11)</f>
        <v>361731943715</v>
      </c>
      <c r="F11478" s="1">
        <f>IFERROR(__xludf.DUMMYFUNCTION("""COMPUTED_VALUE"""),0.5)</f>
        <v>0.5</v>
      </c>
      <c r="G11478" s="1">
        <f>IFERROR(__xludf.DUMMYFUNCTION("""COMPUTED_VALUE"""),2.0)</f>
        <v>2</v>
      </c>
      <c r="H11478" s="2">
        <f>IFERROR(__xludf.DUMMYFUNCTION("""COMPUTED_VALUE"""),2.5)</f>
        <v>2.5</v>
      </c>
      <c r="I11478" s="5">
        <f>IFERROR(__xludf.DUMMYFUNCTION("""COMPUTED_VALUE"""),0.8)</f>
        <v>0.8</v>
      </c>
      <c r="J11478" s="1" t="str">
        <f>IFERROR(__xludf.DUMMYFUNCTION("""COMPUTED_VALUE"""),"Sieg Ballelos")</f>
        <v>Sieg Ballelos</v>
      </c>
      <c r="K11478" s="1" t="str">
        <f>IFERROR(__xludf.DUMMYFUNCTION("""COMPUTED_VALUE"""),"Core Product Support Escalation Team")</f>
        <v>Core Product Support Escalation Team</v>
      </c>
      <c r="L11478"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479">
      <c r="A11479" s="1" t="str">
        <f>IFERROR(__xludf.DUMMYFUNCTION("""COMPUTED_VALUE"""),"2026 Apr")</f>
        <v>2026 Apr</v>
      </c>
      <c r="B11479" s="4">
        <f>IFERROR(__xludf.DUMMYFUNCTION("""COMPUTED_VALUE"""),46118.0)</f>
        <v>46118</v>
      </c>
      <c r="C11479" s="1" t="str">
        <f>IFERROR(__xludf.DUMMYFUNCTION("""COMPUTED_VALUE"""),"Core Product Support")</f>
        <v>Core Product Support</v>
      </c>
      <c r="D11479" s="1" t="str">
        <f>IFERROR(__xludf.DUMMYFUNCTION("""COMPUTED_VALUE"""),"961e0a53-62a6-4087-8811-6449381daa52")</f>
        <v>961e0a53-62a6-4087-8811-6449381daa52</v>
      </c>
      <c r="E11479" s="1">
        <f>IFERROR(__xludf.DUMMYFUNCTION("""COMPUTED_VALUE"""),3.61694638315E11)</f>
        <v>361694638315</v>
      </c>
      <c r="F11479" s="1">
        <f>IFERROR(__xludf.DUMMYFUNCTION("""COMPUTED_VALUE"""),0.5)</f>
        <v>0.5</v>
      </c>
      <c r="G11479" s="1">
        <f>IFERROR(__xludf.DUMMYFUNCTION("""COMPUTED_VALUE"""),2.5)</f>
        <v>2.5</v>
      </c>
      <c r="H11479" s="2">
        <f>IFERROR(__xludf.DUMMYFUNCTION("""COMPUTED_VALUE"""),3.0)</f>
        <v>3</v>
      </c>
      <c r="I11479" s="5">
        <f>IFERROR(__xludf.DUMMYFUNCTION("""COMPUTED_VALUE"""),0.8333333333333334)</f>
        <v>0.8333333333</v>
      </c>
      <c r="J11479" s="1" t="str">
        <f>IFERROR(__xludf.DUMMYFUNCTION("""COMPUTED_VALUE"""),"Ellaine Estayo")</f>
        <v>Ellaine Estayo</v>
      </c>
      <c r="K11479" s="1" t="str">
        <f>IFERROR(__xludf.DUMMYFUNCTION("""COMPUTED_VALUE"""),"Core Product Support Escalation Team")</f>
        <v>Core Product Support Escalation Team</v>
      </c>
      <c r="L11479"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480">
      <c r="A11480" s="1" t="str">
        <f>IFERROR(__xludf.DUMMYFUNCTION("""COMPUTED_VALUE"""),"2026 Apr")</f>
        <v>2026 Apr</v>
      </c>
      <c r="B11480" s="4">
        <f>IFERROR(__xludf.DUMMYFUNCTION("""COMPUTED_VALUE"""),46118.0)</f>
        <v>46118</v>
      </c>
      <c r="C11480" s="1" t="str">
        <f>IFERROR(__xludf.DUMMYFUNCTION("""COMPUTED_VALUE"""),"Print Support")</f>
        <v>Print Support</v>
      </c>
      <c r="D11480" s="1" t="str">
        <f>IFERROR(__xludf.DUMMYFUNCTION("""COMPUTED_VALUE"""),"4b906fe3-66c8-454a-a7d0-1f50f4b6cdf4")</f>
        <v>4b906fe3-66c8-454a-a7d0-1f50f4b6cdf4</v>
      </c>
      <c r="E11480" s="1">
        <f>IFERROR(__xludf.DUMMYFUNCTION("""COMPUTED_VALUE"""),3.61825398056E11)</f>
        <v>361825398056</v>
      </c>
      <c r="F11480" s="1"/>
      <c r="G11480" s="1">
        <f>IFERROR(__xludf.DUMMYFUNCTION("""COMPUTED_VALUE"""),45.0)</f>
        <v>45</v>
      </c>
      <c r="H11480" s="2">
        <f>IFERROR(__xludf.DUMMYFUNCTION("""COMPUTED_VALUE"""),45.0)</f>
        <v>45</v>
      </c>
      <c r="I11480" s="5">
        <f>IFERROR(__xludf.DUMMYFUNCTION("""COMPUTED_VALUE"""),1.0)</f>
        <v>1</v>
      </c>
      <c r="J11480" s="1" t="str">
        <f>IFERROR(__xludf.DUMMYFUNCTION("""COMPUTED_VALUE"""),"Rei De Jesus")</f>
        <v>Rei De Jesus</v>
      </c>
      <c r="K11480" s="1" t="str">
        <f>IFERROR(__xludf.DUMMYFUNCTION("""COMPUTED_VALUE"""),"Print Design Support")</f>
        <v>Print Design Support</v>
      </c>
      <c r="L11480" s="1" t="str">
        <f>IFERROR(__xludf.DUMMYFUNCTION("""COMPUTED_VALUE"""),"Print Print Design")</f>
        <v>Print Print Design</v>
      </c>
    </row>
    <row r="11481">
      <c r="A11481" s="1" t="str">
        <f>IFERROR(__xludf.DUMMYFUNCTION("""COMPUTED_VALUE"""),"2026 Apr")</f>
        <v>2026 Apr</v>
      </c>
      <c r="B11481" s="4">
        <f>IFERROR(__xludf.DUMMYFUNCTION("""COMPUTED_VALUE"""),46118.0)</f>
        <v>46118</v>
      </c>
      <c r="C11481" s="1" t="str">
        <f>IFERROR(__xludf.DUMMYFUNCTION("""COMPUTED_VALUE"""),"Core Product Support")</f>
        <v>Core Product Support</v>
      </c>
      <c r="D11481" s="1" t="str">
        <f>IFERROR(__xludf.DUMMYFUNCTION("""COMPUTED_VALUE"""),"7f8ea57d-3bc6-435c-ac89-36216f416d2b")</f>
        <v>7f8ea57d-3bc6-435c-ac89-36216f416d2b</v>
      </c>
      <c r="E11481" s="1">
        <f>IFERROR(__xludf.DUMMYFUNCTION("""COMPUTED_VALUE"""),5.202392782223E12)</f>
        <v>5202392782223</v>
      </c>
      <c r="F11481" s="1"/>
      <c r="G11481" s="1">
        <f>IFERROR(__xludf.DUMMYFUNCTION("""COMPUTED_VALUE"""),1.25)</f>
        <v>1.25</v>
      </c>
      <c r="H11481" s="2">
        <f>IFERROR(__xludf.DUMMYFUNCTION("""COMPUTED_VALUE"""),1.25)</f>
        <v>1.25</v>
      </c>
      <c r="I11481" s="5">
        <f>IFERROR(__xludf.DUMMYFUNCTION("""COMPUTED_VALUE"""),1.0)</f>
        <v>1</v>
      </c>
      <c r="J11481" s="1" t="str">
        <f>IFERROR(__xludf.DUMMYFUNCTION("""COMPUTED_VALUE"""),"Renette Bok")</f>
        <v>Renette Bok</v>
      </c>
      <c r="K11481" s="1" t="str">
        <f>IFERROR(__xludf.DUMMYFUNCTION("""COMPUTED_VALUE"""),"Advanced Billing &amp; Subscriptions")</f>
        <v>Advanced Billing &amp; Subscriptions</v>
      </c>
      <c r="L11481" s="1" t="str">
        <f>IFERROR(__xludf.DUMMYFUNCTION("""COMPUTED_VALUE"""),"CPS Advanced Billing and Subscriptions (ABS)")</f>
        <v>CPS Advanced Billing and Subscriptions (ABS)</v>
      </c>
    </row>
    <row r="11482">
      <c r="A11482" s="1" t="str">
        <f>IFERROR(__xludf.DUMMYFUNCTION("""COMPUTED_VALUE"""),"2026 Apr")</f>
        <v>2026 Apr</v>
      </c>
      <c r="B11482" s="4">
        <f>IFERROR(__xludf.DUMMYFUNCTION("""COMPUTED_VALUE"""),46118.0)</f>
        <v>46118</v>
      </c>
      <c r="C11482" s="1" t="str">
        <f>IFERROR(__xludf.DUMMYFUNCTION("""COMPUTED_VALUE"""),"Core Product Support")</f>
        <v>Core Product Support</v>
      </c>
      <c r="D11482" s="1" t="str">
        <f>IFERROR(__xludf.DUMMYFUNCTION("""COMPUTED_VALUE"""),"5aed746e-cb5c-469a-8821-9e6506c7b9e6")</f>
        <v>5aed746e-cb5c-469a-8821-9e6506c7b9e6</v>
      </c>
      <c r="E11482" s="1">
        <f>IFERROR(__xludf.DUMMYFUNCTION("""COMPUTED_VALUE"""),3.61731350535E11)</f>
        <v>361731350535</v>
      </c>
      <c r="F11482" s="1">
        <f>IFERROR(__xludf.DUMMYFUNCTION("""COMPUTED_VALUE"""),0.5)</f>
        <v>0.5</v>
      </c>
      <c r="G11482" s="1">
        <f>IFERROR(__xludf.DUMMYFUNCTION("""COMPUTED_VALUE"""),1.25)</f>
        <v>1.25</v>
      </c>
      <c r="H11482" s="2">
        <f>IFERROR(__xludf.DUMMYFUNCTION("""COMPUTED_VALUE"""),1.75)</f>
        <v>1.75</v>
      </c>
      <c r="I11482" s="5">
        <f>IFERROR(__xludf.DUMMYFUNCTION("""COMPUTED_VALUE"""),0.7142857142857143)</f>
        <v>0.7142857143</v>
      </c>
      <c r="J11482" s="1" t="str">
        <f>IFERROR(__xludf.DUMMYFUNCTION("""COMPUTED_VALUE"""),"Vinz Lazaro")</f>
        <v>Vinz Lazaro</v>
      </c>
      <c r="K11482" s="1" t="str">
        <f>IFERROR(__xludf.DUMMYFUNCTION("""COMPUTED_VALUE"""),"Advanced Product Support")</f>
        <v>Advanced Product Support</v>
      </c>
      <c r="L11482" s="1" t="str">
        <f>IFERROR(__xludf.DUMMYFUNCTION("""COMPUTED_VALUE"""),"CPS Advanced Product Support (APS)")</f>
        <v>CPS Advanced Product Support (APS)</v>
      </c>
    </row>
    <row r="11483">
      <c r="A11483" s="1" t="str">
        <f>IFERROR(__xludf.DUMMYFUNCTION("""COMPUTED_VALUE"""),"2026 Apr")</f>
        <v>2026 Apr</v>
      </c>
      <c r="B11483" s="4">
        <f>IFERROR(__xludf.DUMMYFUNCTION("""COMPUTED_VALUE"""),46118.0)</f>
        <v>46118</v>
      </c>
      <c r="C11483" s="1" t="str">
        <f>IFERROR(__xludf.DUMMYFUNCTION("""COMPUTED_VALUE"""),"Core Product Support")</f>
        <v>Core Product Support</v>
      </c>
      <c r="D11483" s="1" t="str">
        <f>IFERROR(__xludf.DUMMYFUNCTION("""COMPUTED_VALUE"""),"a5566f0b-0c7b-4dd5-a5bf-cc571ed45f36")</f>
        <v>a5566f0b-0c7b-4dd5-a5bf-cc571ed45f36</v>
      </c>
      <c r="E11483" s="1">
        <f>IFERROR(__xludf.DUMMYFUNCTION("""COMPUTED_VALUE"""),1.0333033796879E13)</f>
        <v>10333033796879</v>
      </c>
      <c r="F11483" s="1">
        <f>IFERROR(__xludf.DUMMYFUNCTION("""COMPUTED_VALUE"""),0.5)</f>
        <v>0.5</v>
      </c>
      <c r="G11483" s="1">
        <f>IFERROR(__xludf.DUMMYFUNCTION("""COMPUTED_VALUE"""),1.25)</f>
        <v>1.25</v>
      </c>
      <c r="H11483" s="2">
        <f>IFERROR(__xludf.DUMMYFUNCTION("""COMPUTED_VALUE"""),1.75)</f>
        <v>1.75</v>
      </c>
      <c r="I11483" s="5">
        <f>IFERROR(__xludf.DUMMYFUNCTION("""COMPUTED_VALUE"""),0.7142857142857143)</f>
        <v>0.7142857143</v>
      </c>
      <c r="J11483" s="1" t="str">
        <f>IFERROR(__xludf.DUMMYFUNCTION("""COMPUTED_VALUE"""),"Cate Velasco")</f>
        <v>Cate Velasco</v>
      </c>
      <c r="K11483" s="1" t="str">
        <f>IFERROR(__xludf.DUMMYFUNCTION("""COMPUTED_VALUE"""),"Advanced Product Support")</f>
        <v>Advanced Product Support</v>
      </c>
      <c r="L11483" s="1" t="str">
        <f>IFERROR(__xludf.DUMMYFUNCTION("""COMPUTED_VALUE"""),"CPS Advanced Product Support (APS)")</f>
        <v>CPS Advanced Product Support (APS)</v>
      </c>
    </row>
    <row r="11484">
      <c r="A11484" s="1" t="str">
        <f>IFERROR(__xludf.DUMMYFUNCTION("""COMPUTED_VALUE"""),"2026 Apr")</f>
        <v>2026 Apr</v>
      </c>
      <c r="B11484" s="4">
        <f>IFERROR(__xludf.DUMMYFUNCTION("""COMPUTED_VALUE"""),46118.0)</f>
        <v>46118</v>
      </c>
      <c r="C11484" s="1" t="str">
        <f>IFERROR(__xludf.DUMMYFUNCTION("""COMPUTED_VALUE"""),"Segment-specific Support")</f>
        <v>Segment-specific Support</v>
      </c>
      <c r="D11484" s="1" t="str">
        <f>IFERROR(__xludf.DUMMYFUNCTION("""COMPUTED_VALUE"""),"98f36067-d801-431b-ba9a-fcb9a6ae433a")</f>
        <v>98f36067-d801-431b-ba9a-fcb9a6ae433a</v>
      </c>
      <c r="E11484" s="1">
        <f>IFERROR(__xludf.DUMMYFUNCTION("""COMPUTED_VALUE"""),3.61731350795E11)</f>
        <v>361731350795</v>
      </c>
      <c r="F11484" s="1"/>
      <c r="G11484" s="1">
        <f>IFERROR(__xludf.DUMMYFUNCTION("""COMPUTED_VALUE"""),0.17)</f>
        <v>0.17</v>
      </c>
      <c r="H11484" s="2">
        <f>IFERROR(__xludf.DUMMYFUNCTION("""COMPUTED_VALUE"""),0.17)</f>
        <v>0.17</v>
      </c>
      <c r="I11484" s="5">
        <f>IFERROR(__xludf.DUMMYFUNCTION("""COMPUTED_VALUE"""),1.0)</f>
        <v>1</v>
      </c>
      <c r="J11484" s="1" t="str">
        <f>IFERROR(__xludf.DUMMYFUNCTION("""COMPUTED_VALUE"""),"Rose Gabilan")</f>
        <v>Rose Gabilan</v>
      </c>
      <c r="K11484" s="1" t="str">
        <f>IFERROR(__xludf.DUMMYFUNCTION("""COMPUTED_VALUE"""),"Affinity Support")</f>
        <v>Affinity Support</v>
      </c>
      <c r="L11484" s="1" t="str">
        <f>IFERROR(__xludf.DUMMYFUNCTION("""COMPUTED_VALUE"""),"SSS Affinity - L1")</f>
        <v>SSS Affinity - L1</v>
      </c>
    </row>
    <row r="11485">
      <c r="A11485" s="1" t="str">
        <f>IFERROR(__xludf.DUMMYFUNCTION("""COMPUTED_VALUE"""),"2026 Apr")</f>
        <v>2026 Apr</v>
      </c>
      <c r="B11485" s="4">
        <f>IFERROR(__xludf.DUMMYFUNCTION("""COMPUTED_VALUE"""),46118.0)</f>
        <v>46118</v>
      </c>
      <c r="C11485" s="1" t="str">
        <f>IFERROR(__xludf.DUMMYFUNCTION("""COMPUTED_VALUE"""),"Core Product Support")</f>
        <v>Core Product Support</v>
      </c>
      <c r="D11485" s="1" t="str">
        <f>IFERROR(__xludf.DUMMYFUNCTION("""COMPUTED_VALUE"""),"7d586eb5-1b74-4e56-b56f-6c2807700cb7")</f>
        <v>7d586eb5-1b74-4e56-b56f-6c2807700cb7</v>
      </c>
      <c r="E11485" s="1">
        <f>IFERROR(__xludf.DUMMYFUNCTION("""COMPUTED_VALUE"""),5.202378938383E12)</f>
        <v>5202378938383</v>
      </c>
      <c r="F11485" s="1">
        <f>IFERROR(__xludf.DUMMYFUNCTION("""COMPUTED_VALUE"""),0.5)</f>
        <v>0.5</v>
      </c>
      <c r="G11485" s="1">
        <f>IFERROR(__xludf.DUMMYFUNCTION("""COMPUTED_VALUE"""),2.5)</f>
        <v>2.5</v>
      </c>
      <c r="H11485" s="2">
        <f>IFERROR(__xludf.DUMMYFUNCTION("""COMPUTED_VALUE"""),3.0)</f>
        <v>3</v>
      </c>
      <c r="I11485" s="5">
        <f>IFERROR(__xludf.DUMMYFUNCTION("""COMPUTED_VALUE"""),0.8333333333333334)</f>
        <v>0.8333333333</v>
      </c>
      <c r="J11485" s="1" t="str">
        <f>IFERROR(__xludf.DUMMYFUNCTION("""COMPUTED_VALUE"""),"Sieg Ballelos")</f>
        <v>Sieg Ballelos</v>
      </c>
      <c r="K11485" s="1" t="str">
        <f>IFERROR(__xludf.DUMMYFUNCTION("""COMPUTED_VALUE"""),"Core Product Support Escalation Team")</f>
        <v>Core Product Support Escalation Team</v>
      </c>
      <c r="L11485"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486">
      <c r="A11486" s="1" t="str">
        <f>IFERROR(__xludf.DUMMYFUNCTION("""COMPUTED_VALUE"""),"2026 Apr")</f>
        <v>2026 Apr</v>
      </c>
      <c r="B11486" s="4">
        <f>IFERROR(__xludf.DUMMYFUNCTION("""COMPUTED_VALUE"""),46118.0)</f>
        <v>46118</v>
      </c>
      <c r="C11486" s="1" t="str">
        <f>IFERROR(__xludf.DUMMYFUNCTION("""COMPUTED_VALUE"""),"Core Product Support")</f>
        <v>Core Product Support</v>
      </c>
      <c r="D11486" s="1" t="str">
        <f>IFERROR(__xludf.DUMMYFUNCTION("""COMPUTED_VALUE"""),"c7d7e66b-4dfe-47b9-a47f-66af76d8fb19")</f>
        <v>c7d7e66b-4dfe-47b9-a47f-66af76d8fb19</v>
      </c>
      <c r="E11486" s="1">
        <f>IFERROR(__xludf.DUMMYFUNCTION("""COMPUTED_VALUE"""),1.1401981374607E13)</f>
        <v>11401981374607</v>
      </c>
      <c r="F11486" s="1">
        <f>IFERROR(__xludf.DUMMYFUNCTION("""COMPUTED_VALUE"""),0.5)</f>
        <v>0.5</v>
      </c>
      <c r="G11486" s="1">
        <f>IFERROR(__xludf.DUMMYFUNCTION("""COMPUTED_VALUE"""),1.25)</f>
        <v>1.25</v>
      </c>
      <c r="H11486" s="2">
        <f>IFERROR(__xludf.DUMMYFUNCTION("""COMPUTED_VALUE"""),1.75)</f>
        <v>1.75</v>
      </c>
      <c r="I11486" s="5">
        <f>IFERROR(__xludf.DUMMYFUNCTION("""COMPUTED_VALUE"""),0.7142857142857143)</f>
        <v>0.7142857143</v>
      </c>
      <c r="J11486" s="1" t="str">
        <f>IFERROR(__xludf.DUMMYFUNCTION("""COMPUTED_VALUE"""),"Belle Bentazal")</f>
        <v>Belle Bentazal</v>
      </c>
      <c r="K11486" s="1" t="str">
        <f>IFERROR(__xludf.DUMMYFUNCTION("""COMPUTED_VALUE"""),"Advanced Product Support")</f>
        <v>Advanced Product Support</v>
      </c>
      <c r="L11486" s="1" t="str">
        <f>IFERROR(__xludf.DUMMYFUNCTION("""COMPUTED_VALUE"""),"CPS Advanced Product Support (APS)")</f>
        <v>CPS Advanced Product Support (APS)</v>
      </c>
    </row>
    <row r="11487">
      <c r="A11487" s="1" t="str">
        <f>IFERROR(__xludf.DUMMYFUNCTION("""COMPUTED_VALUE"""),"2026 Apr")</f>
        <v>2026 Apr</v>
      </c>
      <c r="B11487" s="4">
        <f>IFERROR(__xludf.DUMMYFUNCTION("""COMPUTED_VALUE"""),46118.0)</f>
        <v>46118</v>
      </c>
      <c r="C11487" s="1" t="str">
        <f>IFERROR(__xludf.DUMMYFUNCTION("""COMPUTED_VALUE"""),"Print Support")</f>
        <v>Print Support</v>
      </c>
      <c r="D11487" s="1" t="str">
        <f>IFERROR(__xludf.DUMMYFUNCTION("""COMPUTED_VALUE"""),"10b96ef4-077e-4868-9c27-17d96d8b4f68")</f>
        <v>10b96ef4-077e-4868-9c27-17d96d8b4f68</v>
      </c>
      <c r="E11487" s="1">
        <f>IFERROR(__xludf.DUMMYFUNCTION("""COMPUTED_VALUE"""),3.61744117796E11)</f>
        <v>361744117796</v>
      </c>
      <c r="F11487" s="1"/>
      <c r="G11487" s="1"/>
      <c r="H11487" s="2">
        <f>IFERROR(__xludf.DUMMYFUNCTION("""COMPUTED_VALUE"""),0.0)</f>
        <v>0</v>
      </c>
      <c r="I11487" s="5"/>
      <c r="J11487" s="1" t="str">
        <f>IFERROR(__xludf.DUMMYFUNCTION("""COMPUTED_VALUE"""),"Jen Momo")</f>
        <v>Jen Momo</v>
      </c>
      <c r="K11487" s="1" t="str">
        <f>IFERROR(__xludf.DUMMYFUNCTION("""COMPUTED_VALUE"""),"Print Support PH")</f>
        <v>Print Support PH</v>
      </c>
      <c r="L11487" s="1" t="str">
        <f>IFERROR(__xludf.DUMMYFUNCTION("""COMPUTED_VALUE"""),"Print Print - CHT")</f>
        <v>Print Print - CHT</v>
      </c>
    </row>
    <row r="11488">
      <c r="A11488" s="1" t="str">
        <f>IFERROR(__xludf.DUMMYFUNCTION("""COMPUTED_VALUE"""),"2026 Apr")</f>
        <v>2026 Apr</v>
      </c>
      <c r="B11488" s="4">
        <f>IFERROR(__xludf.DUMMYFUNCTION("""COMPUTED_VALUE"""),46118.0)</f>
        <v>46118</v>
      </c>
      <c r="C11488" s="1" t="str">
        <f>IFERROR(__xludf.DUMMYFUNCTION("""COMPUTED_VALUE"""),"Print Support")</f>
        <v>Print Support</v>
      </c>
      <c r="D11488" s="1" t="str">
        <f>IFERROR(__xludf.DUMMYFUNCTION("""COMPUTED_VALUE"""),"12eca747-9244-47cb-894e-d3c873c08566")</f>
        <v>12eca747-9244-47cb-894e-d3c873c08566</v>
      </c>
      <c r="E11488" s="1">
        <f>IFERROR(__xludf.DUMMYFUNCTION("""COMPUTED_VALUE"""),1.0548625681423E13)</f>
        <v>10548625681423</v>
      </c>
      <c r="F11488" s="1"/>
      <c r="G11488" s="1"/>
      <c r="H11488" s="2">
        <f>IFERROR(__xludf.DUMMYFUNCTION("""COMPUTED_VALUE"""),0.0)</f>
        <v>0</v>
      </c>
      <c r="I11488" s="5"/>
      <c r="J11488" s="1" t="str">
        <f>IFERROR(__xludf.DUMMYFUNCTION("""COMPUTED_VALUE"""),"Louise Dianne Estrella")</f>
        <v>Louise Dianne Estrella</v>
      </c>
      <c r="K11488" s="1" t="str">
        <f>IFERROR(__xludf.DUMMYFUNCTION("""COMPUTED_VALUE"""),"Print Support PH")</f>
        <v>Print Support PH</v>
      </c>
      <c r="L11488" s="1" t="str">
        <f>IFERROR(__xludf.DUMMYFUNCTION("""COMPUTED_VALUE"""),"Print Print - CHT")</f>
        <v>Print Print - CHT</v>
      </c>
    </row>
    <row r="11489">
      <c r="A11489" s="1" t="str">
        <f>IFERROR(__xludf.DUMMYFUNCTION("""COMPUTED_VALUE"""),"2026 Apr")</f>
        <v>2026 Apr</v>
      </c>
      <c r="B11489" s="4">
        <f>IFERROR(__xludf.DUMMYFUNCTION("""COMPUTED_VALUE"""),46118.0)</f>
        <v>46118</v>
      </c>
      <c r="C11489" s="1" t="str">
        <f>IFERROR(__xludf.DUMMYFUNCTION("""COMPUTED_VALUE"""),"Multilingual Support")</f>
        <v>Multilingual Support</v>
      </c>
      <c r="D11489" s="1" t="str">
        <f>IFERROR(__xludf.DUMMYFUNCTION("""COMPUTED_VALUE"""),"757d9757-27bf-49d1-a07c-15a426289b02")</f>
        <v>757d9757-27bf-49d1-a07c-15a426289b02</v>
      </c>
      <c r="E11489" s="1">
        <f>IFERROR(__xludf.DUMMYFUNCTION("""COMPUTED_VALUE"""),1.1819962468111E13)</f>
        <v>11819962468111</v>
      </c>
      <c r="F11489" s="1"/>
      <c r="G11489" s="1"/>
      <c r="H11489" s="2">
        <f>IFERROR(__xludf.DUMMYFUNCTION("""COMPUTED_VALUE"""),0.0)</f>
        <v>0</v>
      </c>
      <c r="I11489" s="5"/>
      <c r="J11489" s="1" t="str">
        <f>IFERROR(__xludf.DUMMYFUNCTION("""COMPUTED_VALUE"""),"Arlene Maurillo")</f>
        <v>Arlene Maurillo</v>
      </c>
      <c r="K11489" s="1" t="str">
        <f>IFERROR(__xludf.DUMMYFUNCTION("""COMPUTED_VALUE"""),"PHL, Multilingual Support")</f>
        <v>PHL, Multilingual Support</v>
      </c>
      <c r="L11489" s="1" t="str">
        <f>IFERROR(__xludf.DUMMYFUNCTION("""COMPUTED_VALUE"""),"ML Spanish Support")</f>
        <v>ML Spanish Support</v>
      </c>
    </row>
    <row r="11490">
      <c r="A11490" s="1" t="str">
        <f>IFERROR(__xludf.DUMMYFUNCTION("""COMPUTED_VALUE"""),"2026 Apr")</f>
        <v>2026 Apr</v>
      </c>
      <c r="B11490" s="4">
        <f>IFERROR(__xludf.DUMMYFUNCTION("""COMPUTED_VALUE"""),46118.0)</f>
        <v>46118</v>
      </c>
      <c r="C11490" s="1" t="str">
        <f>IFERROR(__xludf.DUMMYFUNCTION("""COMPUTED_VALUE"""),"Core Product Support")</f>
        <v>Core Product Support</v>
      </c>
      <c r="D11490" s="1" t="str">
        <f>IFERROR(__xludf.DUMMYFUNCTION("""COMPUTED_VALUE"""),"a3fade96-9131-4bb4-90c2-f54d385ec4bf")</f>
        <v>a3fade96-9131-4bb4-90c2-f54d385ec4bf</v>
      </c>
      <c r="E11490" s="1">
        <f>IFERROR(__xludf.DUMMYFUNCTION("""COMPUTED_VALUE"""),3.61724829156E11)</f>
        <v>361724829156</v>
      </c>
      <c r="F11490" s="1"/>
      <c r="G11490" s="1">
        <f>IFERROR(__xludf.DUMMYFUNCTION("""COMPUTED_VALUE"""),2.0)</f>
        <v>2</v>
      </c>
      <c r="H11490" s="2">
        <f>IFERROR(__xludf.DUMMYFUNCTION("""COMPUTED_VALUE"""),2.0)</f>
        <v>2</v>
      </c>
      <c r="I11490" s="5">
        <f>IFERROR(__xludf.DUMMYFUNCTION("""COMPUTED_VALUE"""),1.0)</f>
        <v>1</v>
      </c>
      <c r="J11490" s="1" t="str">
        <f>IFERROR(__xludf.DUMMYFUNCTION("""COMPUTED_VALUE"""),"Sieg Ballelos")</f>
        <v>Sieg Ballelos</v>
      </c>
      <c r="K11490" s="1" t="str">
        <f>IFERROR(__xludf.DUMMYFUNCTION("""COMPUTED_VALUE"""),"Core Product Support Escalation Team")</f>
        <v>Core Product Support Escalation Team</v>
      </c>
      <c r="L11490"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491">
      <c r="A11491" s="1" t="str">
        <f>IFERROR(__xludf.DUMMYFUNCTION("""COMPUTED_VALUE"""),"2026 Apr")</f>
        <v>2026 Apr</v>
      </c>
      <c r="B11491" s="4">
        <f>IFERROR(__xludf.DUMMYFUNCTION("""COMPUTED_VALUE"""),46118.0)</f>
        <v>46118</v>
      </c>
      <c r="C11491" s="1" t="str">
        <f>IFERROR(__xludf.DUMMYFUNCTION("""COMPUTED_VALUE"""),"Admin Support")</f>
        <v>Admin Support</v>
      </c>
      <c r="D11491" s="1" t="str">
        <f>IFERROR(__xludf.DUMMYFUNCTION("""COMPUTED_VALUE"""),"09d87fc9-bd97-4b66-b6e5-fc2d50b135a4")</f>
        <v>09d87fc9-bd97-4b66-b6e5-fc2d50b135a4</v>
      </c>
      <c r="E11491" s="1">
        <f>IFERROR(__xludf.DUMMYFUNCTION("""COMPUTED_VALUE"""),3.61725260596E11)</f>
        <v>361725260596</v>
      </c>
      <c r="F11491" s="1"/>
      <c r="G11491" s="1">
        <f>IFERROR(__xludf.DUMMYFUNCTION("""COMPUTED_VALUE"""),0.25)</f>
        <v>0.25</v>
      </c>
      <c r="H11491" s="2">
        <f>IFERROR(__xludf.DUMMYFUNCTION("""COMPUTED_VALUE"""),0.25)</f>
        <v>0.25</v>
      </c>
      <c r="I11491" s="5">
        <f>IFERROR(__xludf.DUMMYFUNCTION("""COMPUTED_VALUE"""),1.0)</f>
        <v>1</v>
      </c>
      <c r="J11491" s="1" t="str">
        <f>IFERROR(__xludf.DUMMYFUNCTION("""COMPUTED_VALUE"""),"AL Suarez")</f>
        <v>AL Suarez</v>
      </c>
      <c r="K11491" s="1" t="str">
        <f>IFERROR(__xludf.DUMMYFUNCTION("""COMPUTED_VALUE"""),"Admin Direct Support")</f>
        <v>Admin Direct Support</v>
      </c>
      <c r="L11491" s="1" t="str">
        <f>IFERROR(__xludf.DUMMYFUNCTION("""COMPUTED_VALUE"""),"Admin Direct Support")</f>
        <v>Admin Direct Support</v>
      </c>
    </row>
    <row r="11492">
      <c r="A11492" s="1" t="str">
        <f>IFERROR(__xludf.DUMMYFUNCTION("""COMPUTED_VALUE"""),"2026 Apr")</f>
        <v>2026 Apr</v>
      </c>
      <c r="B11492" s="4">
        <f>IFERROR(__xludf.DUMMYFUNCTION("""COMPUTED_VALUE"""),46118.0)</f>
        <v>46118</v>
      </c>
      <c r="C11492" s="1" t="str">
        <f>IFERROR(__xludf.DUMMYFUNCTION("""COMPUTED_VALUE"""),"Core Product Support")</f>
        <v>Core Product Support</v>
      </c>
      <c r="D11492" s="1" t="str">
        <f>IFERROR(__xludf.DUMMYFUNCTION("""COMPUTED_VALUE"""),"f955e205-68df-47fa-8f47-3ee8758dc76e")</f>
        <v>f955e205-68df-47fa-8f47-3ee8758dc76e</v>
      </c>
      <c r="E11492" s="1">
        <f>IFERROR(__xludf.DUMMYFUNCTION("""COMPUTED_VALUE"""),6.839679630095E12)</f>
        <v>6839679630095</v>
      </c>
      <c r="F11492" s="1"/>
      <c r="G11492" s="1">
        <f>IFERROR(__xludf.DUMMYFUNCTION("""COMPUTED_VALUE"""),1.25)</f>
        <v>1.25</v>
      </c>
      <c r="H11492" s="2">
        <f>IFERROR(__xludf.DUMMYFUNCTION("""COMPUTED_VALUE"""),1.25)</f>
        <v>1.25</v>
      </c>
      <c r="I11492" s="5">
        <f>IFERROR(__xludf.DUMMYFUNCTION("""COMPUTED_VALUE"""),1.0)</f>
        <v>1</v>
      </c>
      <c r="J11492" s="1" t="str">
        <f>IFERROR(__xludf.DUMMYFUNCTION("""COMPUTED_VALUE"""),"Ayza Marie Pascual")</f>
        <v>Ayza Marie Pascual</v>
      </c>
      <c r="K11492" s="1" t="str">
        <f>IFERROR(__xludf.DUMMYFUNCTION("""COMPUTED_VALUE"""),"Advanced Billing &amp; Subscriptions")</f>
        <v>Advanced Billing &amp; Subscriptions</v>
      </c>
      <c r="L11492" s="1" t="str">
        <f>IFERROR(__xludf.DUMMYFUNCTION("""COMPUTED_VALUE"""),"CPS Advanced Billing and Subscriptions (ABS)")</f>
        <v>CPS Advanced Billing and Subscriptions (ABS)</v>
      </c>
    </row>
    <row r="11493">
      <c r="A11493" s="1" t="str">
        <f>IFERROR(__xludf.DUMMYFUNCTION("""COMPUTED_VALUE"""),"2026 Apr")</f>
        <v>2026 Apr</v>
      </c>
      <c r="B11493" s="4">
        <f>IFERROR(__xludf.DUMMYFUNCTION("""COMPUTED_VALUE"""),46118.0)</f>
        <v>46118</v>
      </c>
      <c r="C11493" s="1" t="str">
        <f>IFERROR(__xludf.DUMMYFUNCTION("""COMPUTED_VALUE"""),"Core Product Support")</f>
        <v>Core Product Support</v>
      </c>
      <c r="D11493" s="1" t="str">
        <f>IFERROR(__xludf.DUMMYFUNCTION("""COMPUTED_VALUE"""),"00be8036-de23-4dcc-a683-b039df965fa3")</f>
        <v>00be8036-de23-4dcc-a683-b039df965fa3</v>
      </c>
      <c r="E11493" s="1">
        <f>IFERROR(__xludf.DUMMYFUNCTION("""COMPUTED_VALUE"""),3.61861298295E11)</f>
        <v>361861298295</v>
      </c>
      <c r="F11493" s="1">
        <f>IFERROR(__xludf.DUMMYFUNCTION("""COMPUTED_VALUE"""),0.5)</f>
        <v>0.5</v>
      </c>
      <c r="G11493" s="1">
        <f>IFERROR(__xludf.DUMMYFUNCTION("""COMPUTED_VALUE"""),2.5)</f>
        <v>2.5</v>
      </c>
      <c r="H11493" s="2">
        <f>IFERROR(__xludf.DUMMYFUNCTION("""COMPUTED_VALUE"""),3.0)</f>
        <v>3</v>
      </c>
      <c r="I11493" s="5">
        <f>IFERROR(__xludf.DUMMYFUNCTION("""COMPUTED_VALUE"""),0.8333333333333334)</f>
        <v>0.8333333333</v>
      </c>
      <c r="J11493" s="1" t="str">
        <f>IFERROR(__xludf.DUMMYFUNCTION("""COMPUTED_VALUE"""),"Ellaine Estayo")</f>
        <v>Ellaine Estayo</v>
      </c>
      <c r="K11493" s="1" t="str">
        <f>IFERROR(__xludf.DUMMYFUNCTION("""COMPUTED_VALUE"""),"Core Product Support Escalation Team")</f>
        <v>Core Product Support Escalation Team</v>
      </c>
      <c r="L11493"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494">
      <c r="A11494" s="1" t="str">
        <f>IFERROR(__xludf.DUMMYFUNCTION("""COMPUTED_VALUE"""),"2026 Apr")</f>
        <v>2026 Apr</v>
      </c>
      <c r="B11494" s="4">
        <f>IFERROR(__xludf.DUMMYFUNCTION("""COMPUTED_VALUE"""),46118.0)</f>
        <v>46118</v>
      </c>
      <c r="C11494" s="1" t="str">
        <f>IFERROR(__xludf.DUMMYFUNCTION("""COMPUTED_VALUE"""),"Core Product Support")</f>
        <v>Core Product Support</v>
      </c>
      <c r="D11494" s="1" t="str">
        <f>IFERROR(__xludf.DUMMYFUNCTION("""COMPUTED_VALUE"""),"5f0096f6-f7a7-4fe8-ac45-0435aaacdfb4")</f>
        <v>5f0096f6-f7a7-4fe8-ac45-0435aaacdfb4</v>
      </c>
      <c r="E11494" s="1">
        <f>IFERROR(__xludf.DUMMYFUNCTION("""COMPUTED_VALUE"""),1.1035371839887E13)</f>
        <v>11035371839887</v>
      </c>
      <c r="F11494" s="1"/>
      <c r="G11494" s="1">
        <f>IFERROR(__xludf.DUMMYFUNCTION("""COMPUTED_VALUE"""),0.5)</f>
        <v>0.5</v>
      </c>
      <c r="H11494" s="2">
        <f>IFERROR(__xludf.DUMMYFUNCTION("""COMPUTED_VALUE"""),0.5)</f>
        <v>0.5</v>
      </c>
      <c r="I11494" s="5">
        <f>IFERROR(__xludf.DUMMYFUNCTION("""COMPUTED_VALUE"""),1.0)</f>
        <v>1</v>
      </c>
      <c r="J11494" s="1" t="str">
        <f>IFERROR(__xludf.DUMMYFUNCTION("""COMPUTED_VALUE"""),"Ayza Marie Pascual")</f>
        <v>Ayza Marie Pascual</v>
      </c>
      <c r="K11494" s="1" t="str">
        <f>IFERROR(__xludf.DUMMYFUNCTION("""COMPUTED_VALUE"""),"Advanced Billing &amp; Subscriptions")</f>
        <v>Advanced Billing &amp; Subscriptions</v>
      </c>
      <c r="L11494" s="1" t="str">
        <f>IFERROR(__xludf.DUMMYFUNCTION("""COMPUTED_VALUE"""),"CPS Advanced Billing and Subscriptions (ABS)")</f>
        <v>CPS Advanced Billing and Subscriptions (ABS)</v>
      </c>
    </row>
    <row r="11495">
      <c r="A11495" s="1" t="str">
        <f>IFERROR(__xludf.DUMMYFUNCTION("""COMPUTED_VALUE"""),"2026 Apr")</f>
        <v>2026 Apr</v>
      </c>
      <c r="B11495" s="4">
        <f>IFERROR(__xludf.DUMMYFUNCTION("""COMPUTED_VALUE"""),46118.0)</f>
        <v>46118</v>
      </c>
      <c r="C11495" s="1" t="str">
        <f>IFERROR(__xludf.DUMMYFUNCTION("""COMPUTED_VALUE"""),"Segment-specific Support")</f>
        <v>Segment-specific Support</v>
      </c>
      <c r="D11495" s="1" t="str">
        <f>IFERROR(__xludf.DUMMYFUNCTION("""COMPUTED_VALUE"""),"a5b6f808-7e87-4668-a7a6-2faa138923c8")</f>
        <v>a5b6f808-7e87-4668-a7a6-2faa138923c8</v>
      </c>
      <c r="E11495" s="1">
        <f>IFERROR(__xludf.DUMMYFUNCTION("""COMPUTED_VALUE"""),1.1279766049295E13)</f>
        <v>11279766049295</v>
      </c>
      <c r="F11495" s="1"/>
      <c r="G11495" s="1">
        <f>IFERROR(__xludf.DUMMYFUNCTION("""COMPUTED_VALUE"""),0.17)</f>
        <v>0.17</v>
      </c>
      <c r="H11495" s="2">
        <f>IFERROR(__xludf.DUMMYFUNCTION("""COMPUTED_VALUE"""),0.17)</f>
        <v>0.17</v>
      </c>
      <c r="I11495" s="5">
        <f>IFERROR(__xludf.DUMMYFUNCTION("""COMPUTED_VALUE"""),1.0)</f>
        <v>1</v>
      </c>
      <c r="J11495" s="1" t="str">
        <f>IFERROR(__xludf.DUMMYFUNCTION("""COMPUTED_VALUE"""),"Gucci Nava")</f>
        <v>Gucci Nava</v>
      </c>
      <c r="K11495" s="1" t="str">
        <f>IFERROR(__xludf.DUMMYFUNCTION("""COMPUTED_VALUE"""),"Print Support PH")</f>
        <v>Print Support PH</v>
      </c>
      <c r="L11495" s="1" t="str">
        <f>IFERROR(__xludf.DUMMYFUNCTION("""COMPUTED_VALUE"""),"Print Print - CHT")</f>
        <v>Print Print - CHT</v>
      </c>
    </row>
    <row r="11496">
      <c r="A11496" s="1" t="str">
        <f>IFERROR(__xludf.DUMMYFUNCTION("""COMPUTED_VALUE"""),"2026 Apr")</f>
        <v>2026 Apr</v>
      </c>
      <c r="B11496" s="4">
        <f>IFERROR(__xludf.DUMMYFUNCTION("""COMPUTED_VALUE"""),46118.0)</f>
        <v>46118</v>
      </c>
      <c r="C11496" s="1" t="str">
        <f>IFERROR(__xludf.DUMMYFUNCTION("""COMPUTED_VALUE"""),"Print Support")</f>
        <v>Print Support</v>
      </c>
      <c r="D11496" s="1" t="str">
        <f>IFERROR(__xludf.DUMMYFUNCTION("""COMPUTED_VALUE"""),"b5bf3764-4c76-47b7-b10d-b1f8e9a0087e")</f>
        <v>b5bf3764-4c76-47b7-b10d-b1f8e9a0087e</v>
      </c>
      <c r="E11496" s="1">
        <f>IFERROR(__xludf.DUMMYFUNCTION("""COMPUTED_VALUE"""),6.839674714895E12)</f>
        <v>6839674714895</v>
      </c>
      <c r="F11496" s="1"/>
      <c r="G11496" s="1"/>
      <c r="H11496" s="2">
        <f>IFERROR(__xludf.DUMMYFUNCTION("""COMPUTED_VALUE"""),0.0)</f>
        <v>0</v>
      </c>
      <c r="I11496" s="5"/>
      <c r="J11496" s="1" t="str">
        <f>IFERROR(__xludf.DUMMYFUNCTION("""COMPUTED_VALUE"""),"Jen Momo")</f>
        <v>Jen Momo</v>
      </c>
      <c r="K11496" s="1" t="str">
        <f>IFERROR(__xludf.DUMMYFUNCTION("""COMPUTED_VALUE"""),"Print Support PH")</f>
        <v>Print Support PH</v>
      </c>
      <c r="L11496" s="1" t="str">
        <f>IFERROR(__xludf.DUMMYFUNCTION("""COMPUTED_VALUE"""),"Print Print - CHT")</f>
        <v>Print Print - CHT</v>
      </c>
    </row>
    <row r="11497">
      <c r="A11497" s="1" t="str">
        <f>IFERROR(__xludf.DUMMYFUNCTION("""COMPUTED_VALUE"""),"2026 Apr")</f>
        <v>2026 Apr</v>
      </c>
      <c r="B11497" s="4">
        <f>IFERROR(__xludf.DUMMYFUNCTION("""COMPUTED_VALUE"""),46118.0)</f>
        <v>46118</v>
      </c>
      <c r="C11497" s="1" t="str">
        <f>IFERROR(__xludf.DUMMYFUNCTION("""COMPUTED_VALUE"""),"#N/A")</f>
        <v>#N/A</v>
      </c>
      <c r="D11497" s="1" t="str">
        <f>IFERROR(__xludf.DUMMYFUNCTION("""COMPUTED_VALUE"""),"f27be24b-81af-42d9-a1fc-c197e2d977ca")</f>
        <v>f27be24b-81af-42d9-a1fc-c197e2d977ca</v>
      </c>
      <c r="E11497" s="1">
        <f>IFERROR(__xludf.DUMMYFUNCTION("""COMPUTED_VALUE"""),5.651704924431E12)</f>
        <v>5651704924431</v>
      </c>
      <c r="F11497" s="1"/>
      <c r="G11497" s="1"/>
      <c r="H11497" s="2">
        <f>IFERROR(__xludf.DUMMYFUNCTION("""COMPUTED_VALUE"""),0.0)</f>
        <v>0</v>
      </c>
      <c r="I11497" s="5"/>
      <c r="J11497" s="1" t="str">
        <f>IFERROR(__xludf.DUMMYFUNCTION("""COMPUTED_VALUE"""),"#N/A")</f>
        <v>#N/A</v>
      </c>
      <c r="K11497" s="1" t="str">
        <f>IFERROR(__xludf.DUMMYFUNCTION("""COMPUTED_VALUE"""),"#N/A")</f>
        <v>#N/A</v>
      </c>
      <c r="L11497" s="1" t="str">
        <f>IFERROR(__xludf.DUMMYFUNCTION("""COMPUTED_VALUE"""),"#N/A")</f>
        <v>#N/A</v>
      </c>
    </row>
    <row r="11498">
      <c r="A11498" s="1" t="str">
        <f>IFERROR(__xludf.DUMMYFUNCTION("""COMPUTED_VALUE"""),"2026 Apr")</f>
        <v>2026 Apr</v>
      </c>
      <c r="B11498" s="4">
        <f>IFERROR(__xludf.DUMMYFUNCTION("""COMPUTED_VALUE"""),46118.0)</f>
        <v>46118</v>
      </c>
      <c r="C11498" s="1" t="str">
        <f>IFERROR(__xludf.DUMMYFUNCTION("""COMPUTED_VALUE"""),"Admin Support")</f>
        <v>Admin Support</v>
      </c>
      <c r="D11498" s="1" t="str">
        <f>IFERROR(__xludf.DUMMYFUNCTION("""COMPUTED_VALUE"""),"d50b210b-01b8-4681-be11-0604b6046af3")</f>
        <v>d50b210b-01b8-4681-be11-0604b6046af3</v>
      </c>
      <c r="E11498" s="1">
        <f>IFERROR(__xludf.DUMMYFUNCTION("""COMPUTED_VALUE"""),1.0333049788943E13)</f>
        <v>10333049788943</v>
      </c>
      <c r="F11498" s="1"/>
      <c r="G11498" s="1">
        <f>IFERROR(__xludf.DUMMYFUNCTION("""COMPUTED_VALUE"""),0.25)</f>
        <v>0.25</v>
      </c>
      <c r="H11498" s="2">
        <f>IFERROR(__xludf.DUMMYFUNCTION("""COMPUTED_VALUE"""),0.25)</f>
        <v>0.25</v>
      </c>
      <c r="I11498" s="5">
        <f>IFERROR(__xludf.DUMMYFUNCTION("""COMPUTED_VALUE"""),1.0)</f>
        <v>1</v>
      </c>
      <c r="J11498" s="1" t="str">
        <f>IFERROR(__xludf.DUMMYFUNCTION("""COMPUTED_VALUE"""),"AL Suarez")</f>
        <v>AL Suarez</v>
      </c>
      <c r="K11498" s="1" t="str">
        <f>IFERROR(__xludf.DUMMYFUNCTION("""COMPUTED_VALUE"""),"Admin Direct Support")</f>
        <v>Admin Direct Support</v>
      </c>
      <c r="L11498" s="1" t="str">
        <f>IFERROR(__xludf.DUMMYFUNCTION("""COMPUTED_VALUE"""),"Admin Direct Support")</f>
        <v>Admin Direct Support</v>
      </c>
    </row>
    <row r="11499">
      <c r="A11499" s="1" t="str">
        <f>IFERROR(__xludf.DUMMYFUNCTION("""COMPUTED_VALUE"""),"2026 Apr")</f>
        <v>2026 Apr</v>
      </c>
      <c r="B11499" s="4">
        <f>IFERROR(__xludf.DUMMYFUNCTION("""COMPUTED_VALUE"""),46118.0)</f>
        <v>46118</v>
      </c>
      <c r="C11499" s="1" t="str">
        <f>IFERROR(__xludf.DUMMYFUNCTION("""COMPUTED_VALUE"""),"High Sensitivity Support")</f>
        <v>High Sensitivity Support</v>
      </c>
      <c r="D11499" s="1" t="str">
        <f>IFERROR(__xludf.DUMMYFUNCTION("""COMPUTED_VALUE"""),"bdf574f0-069d-4493-a93e-73eb74edd906")</f>
        <v>bdf574f0-069d-4493-a93e-73eb74edd906</v>
      </c>
      <c r="E11499" s="1">
        <f>IFERROR(__xludf.DUMMYFUNCTION("""COMPUTED_VALUE"""),3.61725261136E11)</f>
        <v>361725261136</v>
      </c>
      <c r="F11499" s="1"/>
      <c r="G11499" s="1">
        <f>IFERROR(__xludf.DUMMYFUNCTION("""COMPUTED_VALUE"""),2.0)</f>
        <v>2</v>
      </c>
      <c r="H11499" s="2">
        <f>IFERROR(__xludf.DUMMYFUNCTION("""COMPUTED_VALUE"""),2.0)</f>
        <v>2</v>
      </c>
      <c r="I11499" s="5">
        <f>IFERROR(__xludf.DUMMYFUNCTION("""COMPUTED_VALUE"""),1.0)</f>
        <v>1</v>
      </c>
      <c r="J11499" s="1" t="str">
        <f>IFERROR(__xludf.DUMMYFUNCTION("""COMPUTED_VALUE"""),"Rex Villamor")</f>
        <v>Rex Villamor</v>
      </c>
      <c r="K11499" s="1" t="str">
        <f>IFERROR(__xludf.DUMMYFUNCTION("""COMPUTED_VALUE"""),"High Sensitivity Support PH")</f>
        <v>High Sensitivity Support PH</v>
      </c>
      <c r="L11499" s="1" t="str">
        <f>IFERROR(__xludf.DUMMYFUNCTION("""COMPUTED_VALUE"""),"HSS High Sensitivity Support PH - CHT")</f>
        <v>HSS High Sensitivity Support PH - CHT</v>
      </c>
    </row>
    <row r="11500">
      <c r="A11500" s="1" t="str">
        <f>IFERROR(__xludf.DUMMYFUNCTION("""COMPUTED_VALUE"""),"2026 Apr")</f>
        <v>2026 Apr</v>
      </c>
      <c r="B11500" s="4">
        <f>IFERROR(__xludf.DUMMYFUNCTION("""COMPUTED_VALUE"""),46118.0)</f>
        <v>46118</v>
      </c>
      <c r="C11500" s="1" t="str">
        <f>IFERROR(__xludf.DUMMYFUNCTION("""COMPUTED_VALUE"""),"Core Product Support")</f>
        <v>Core Product Support</v>
      </c>
      <c r="D11500" s="1" t="str">
        <f>IFERROR(__xludf.DUMMYFUNCTION("""COMPUTED_VALUE"""),"1f5a4168-ecb9-42df-a403-8c86095beba7")</f>
        <v>1f5a4168-ecb9-42df-a403-8c86095beba7</v>
      </c>
      <c r="E11500" s="1"/>
      <c r="F11500" s="1">
        <f>IFERROR(__xludf.DUMMYFUNCTION("""COMPUTED_VALUE"""),0.5)</f>
        <v>0.5</v>
      </c>
      <c r="G11500" s="1">
        <f>IFERROR(__xludf.DUMMYFUNCTION("""COMPUTED_VALUE"""),1.25)</f>
        <v>1.25</v>
      </c>
      <c r="H11500" s="2">
        <f>IFERROR(__xludf.DUMMYFUNCTION("""COMPUTED_VALUE"""),1.75)</f>
        <v>1.75</v>
      </c>
      <c r="I11500" s="5">
        <f>IFERROR(__xludf.DUMMYFUNCTION("""COMPUTED_VALUE"""),0.7142857142857143)</f>
        <v>0.7142857143</v>
      </c>
      <c r="J11500" s="1" t="str">
        <f>IFERROR(__xludf.DUMMYFUNCTION("""COMPUTED_VALUE"""),"Mikhaela Decangchon")</f>
        <v>Mikhaela Decangchon</v>
      </c>
      <c r="K11500" s="1" t="str">
        <f>IFERROR(__xludf.DUMMYFUNCTION("""COMPUTED_VALUE"""),"Advanced Product Support")</f>
        <v>Advanced Product Support</v>
      </c>
      <c r="L11500" s="1" t="str">
        <f>IFERROR(__xludf.DUMMYFUNCTION("""COMPUTED_VALUE"""),"CPS Advanced Product Support (APS)")</f>
        <v>CPS Advanced Product Support (APS)</v>
      </c>
    </row>
    <row r="11501">
      <c r="A11501" s="1" t="str">
        <f>IFERROR(__xludf.DUMMYFUNCTION("""COMPUTED_VALUE"""),"2026 Apr")</f>
        <v>2026 Apr</v>
      </c>
      <c r="B11501" s="4">
        <f>IFERROR(__xludf.DUMMYFUNCTION("""COMPUTED_VALUE"""),46118.0)</f>
        <v>46118</v>
      </c>
      <c r="C11501" s="1" t="str">
        <f>IFERROR(__xludf.DUMMYFUNCTION("""COMPUTED_VALUE"""),"Admin Support")</f>
        <v>Admin Support</v>
      </c>
      <c r="D11501" s="1" t="str">
        <f>IFERROR(__xludf.DUMMYFUNCTION("""COMPUTED_VALUE"""),"d34aba25-1e55-4f8e-b85b-ef3d3928a2d3")</f>
        <v>d34aba25-1e55-4f8e-b85b-ef3d3928a2d3</v>
      </c>
      <c r="E11501" s="1">
        <f>IFERROR(__xludf.DUMMYFUNCTION("""COMPUTED_VALUE"""),5.566810533775E12)</f>
        <v>5566810533775</v>
      </c>
      <c r="F11501" s="1"/>
      <c r="G11501" s="1"/>
      <c r="H11501" s="2">
        <f>IFERROR(__xludf.DUMMYFUNCTION("""COMPUTED_VALUE"""),0.0)</f>
        <v>0</v>
      </c>
      <c r="I11501" s="5"/>
      <c r="J11501" s="1" t="str">
        <f>IFERROR(__xludf.DUMMYFUNCTION("""COMPUTED_VALUE"""),"AL Suarez")</f>
        <v>AL Suarez</v>
      </c>
      <c r="K11501" s="1" t="str">
        <f>IFERROR(__xludf.DUMMYFUNCTION("""COMPUTED_VALUE"""),"Print Support PH")</f>
        <v>Print Support PH</v>
      </c>
      <c r="L11501" s="1" t="str">
        <f>IFERROR(__xludf.DUMMYFUNCTION("""COMPUTED_VALUE"""),"Print Print - CHT")</f>
        <v>Print Print - CHT</v>
      </c>
    </row>
    <row r="11502">
      <c r="A11502" s="1" t="str">
        <f>IFERROR(__xludf.DUMMYFUNCTION("""COMPUTED_VALUE"""),"2026 Apr")</f>
        <v>2026 Apr</v>
      </c>
      <c r="B11502" s="4">
        <f>IFERROR(__xludf.DUMMYFUNCTION("""COMPUTED_VALUE"""),46118.0)</f>
        <v>46118</v>
      </c>
      <c r="C11502" s="1" t="str">
        <f>IFERROR(__xludf.DUMMYFUNCTION("""COMPUTED_VALUE"""),"Admin Support")</f>
        <v>Admin Support</v>
      </c>
      <c r="D11502" s="1" t="str">
        <f>IFERROR(__xludf.DUMMYFUNCTION("""COMPUTED_VALUE"""),"16e689aa-95b5-4a8b-8cac-123c1b896177")</f>
        <v>16e689aa-95b5-4a8b-8cac-123c1b896177</v>
      </c>
      <c r="E11502" s="1">
        <f>IFERROR(__xludf.DUMMYFUNCTION("""COMPUTED_VALUE"""),1.4859859582863E13)</f>
        <v>14859859582863</v>
      </c>
      <c r="F11502" s="1"/>
      <c r="G11502" s="1">
        <f>IFERROR(__xludf.DUMMYFUNCTION("""COMPUTED_VALUE"""),0.25)</f>
        <v>0.25</v>
      </c>
      <c r="H11502" s="2">
        <f>IFERROR(__xludf.DUMMYFUNCTION("""COMPUTED_VALUE"""),0.25)</f>
        <v>0.25</v>
      </c>
      <c r="I11502" s="5">
        <f>IFERROR(__xludf.DUMMYFUNCTION("""COMPUTED_VALUE"""),1.0)</f>
        <v>1</v>
      </c>
      <c r="J11502" s="1" t="str">
        <f>IFERROR(__xludf.DUMMYFUNCTION("""COMPUTED_VALUE"""),"AL Suarez")</f>
        <v>AL Suarez</v>
      </c>
      <c r="K11502" s="1" t="str">
        <f>IFERROR(__xludf.DUMMYFUNCTION("""COMPUTED_VALUE"""),"Admin Direct Support")</f>
        <v>Admin Direct Support</v>
      </c>
      <c r="L11502" s="1" t="str">
        <f>IFERROR(__xludf.DUMMYFUNCTION("""COMPUTED_VALUE"""),"Admin Direct Support")</f>
        <v>Admin Direct Support</v>
      </c>
    </row>
    <row r="11503">
      <c r="A11503" s="1" t="str">
        <f>IFERROR(__xludf.DUMMYFUNCTION("""COMPUTED_VALUE"""),"2026 Apr")</f>
        <v>2026 Apr</v>
      </c>
      <c r="B11503" s="4">
        <f>IFERROR(__xludf.DUMMYFUNCTION("""COMPUTED_VALUE"""),46118.0)</f>
        <v>46118</v>
      </c>
      <c r="C11503" s="1" t="str">
        <f>IFERROR(__xludf.DUMMYFUNCTION("""COMPUTED_VALUE"""),"Core Product Support")</f>
        <v>Core Product Support</v>
      </c>
      <c r="D11503" s="1" t="str">
        <f>IFERROR(__xludf.DUMMYFUNCTION("""COMPUTED_VALUE"""),"c5ba42b5-b56e-4880-adbe-57292f722509")</f>
        <v>c5ba42b5-b56e-4880-adbe-57292f722509</v>
      </c>
      <c r="E11503" s="1">
        <f>IFERROR(__xludf.DUMMYFUNCTION("""COMPUTED_VALUE"""),1.1401945362575E13)</f>
        <v>11401945362575</v>
      </c>
      <c r="F11503" s="1"/>
      <c r="G11503" s="1">
        <f>IFERROR(__xludf.DUMMYFUNCTION("""COMPUTED_VALUE"""),1.0)</f>
        <v>1</v>
      </c>
      <c r="H11503" s="2">
        <f>IFERROR(__xludf.DUMMYFUNCTION("""COMPUTED_VALUE"""),1.0)</f>
        <v>1</v>
      </c>
      <c r="I11503" s="5">
        <f>IFERROR(__xludf.DUMMYFUNCTION("""COMPUTED_VALUE"""),1.0)</f>
        <v>1</v>
      </c>
      <c r="J11503" s="1" t="str">
        <f>IFERROR(__xludf.DUMMYFUNCTION("""COMPUTED_VALUE"""),"Ayza Marie Pascual")</f>
        <v>Ayza Marie Pascual</v>
      </c>
      <c r="K11503" s="1" t="str">
        <f>IFERROR(__xludf.DUMMYFUNCTION("""COMPUTED_VALUE"""),"Advanced Billing &amp; Subscriptions")</f>
        <v>Advanced Billing &amp; Subscriptions</v>
      </c>
      <c r="L11503" s="1" t="str">
        <f>IFERROR(__xludf.DUMMYFUNCTION("""COMPUTED_VALUE"""),"CPS Advanced Billing and Subscriptions (ABS)")</f>
        <v>CPS Advanced Billing and Subscriptions (ABS)</v>
      </c>
    </row>
    <row r="11504">
      <c r="A11504" s="1" t="str">
        <f>IFERROR(__xludf.DUMMYFUNCTION("""COMPUTED_VALUE"""),"2026 Apr")</f>
        <v>2026 Apr</v>
      </c>
      <c r="B11504" s="4">
        <f>IFERROR(__xludf.DUMMYFUNCTION("""COMPUTED_VALUE"""),46118.0)</f>
        <v>46118</v>
      </c>
      <c r="C11504" s="1" t="str">
        <f>IFERROR(__xludf.DUMMYFUNCTION("""COMPUTED_VALUE"""),"Print Support")</f>
        <v>Print Support</v>
      </c>
      <c r="D11504" s="1" t="str">
        <f>IFERROR(__xludf.DUMMYFUNCTION("""COMPUTED_VALUE"""),"f154e992-ffb0-484a-b731-9da1092e886a")</f>
        <v>f154e992-ffb0-484a-b731-9da1092e886a</v>
      </c>
      <c r="E11504" s="1"/>
      <c r="F11504" s="1"/>
      <c r="G11504" s="1">
        <f>IFERROR(__xludf.DUMMYFUNCTION("""COMPUTED_VALUE"""),45.0)</f>
        <v>45</v>
      </c>
      <c r="H11504" s="2">
        <f>IFERROR(__xludf.DUMMYFUNCTION("""COMPUTED_VALUE"""),45.0)</f>
        <v>45</v>
      </c>
      <c r="I11504" s="5">
        <f>IFERROR(__xludf.DUMMYFUNCTION("""COMPUTED_VALUE"""),1.0)</f>
        <v>1</v>
      </c>
      <c r="J11504" s="1" t="str">
        <f>IFERROR(__xludf.DUMMYFUNCTION("""COMPUTED_VALUE"""),"Gem Agoncillo")</f>
        <v>Gem Agoncillo</v>
      </c>
      <c r="K11504" s="1" t="str">
        <f>IFERROR(__xludf.DUMMYFUNCTION("""COMPUTED_VALUE"""),"Print Design Support")</f>
        <v>Print Design Support</v>
      </c>
      <c r="L11504" s="1" t="str">
        <f>IFERROR(__xludf.DUMMYFUNCTION("""COMPUTED_VALUE"""),"Print Print Design")</f>
        <v>Print Print Design</v>
      </c>
    </row>
    <row r="11505">
      <c r="A11505" s="1" t="str">
        <f>IFERROR(__xludf.DUMMYFUNCTION("""COMPUTED_VALUE"""),"2026 Apr")</f>
        <v>2026 Apr</v>
      </c>
      <c r="B11505" s="4">
        <f>IFERROR(__xludf.DUMMYFUNCTION("""COMPUTED_VALUE"""),46118.0)</f>
        <v>46118</v>
      </c>
      <c r="C11505" s="1" t="str">
        <f>IFERROR(__xludf.DUMMYFUNCTION("""COMPUTED_VALUE"""),"Core Product Support")</f>
        <v>Core Product Support</v>
      </c>
      <c r="D11505" s="1" t="str">
        <f>IFERROR(__xludf.DUMMYFUNCTION("""COMPUTED_VALUE"""),"123e8c80-f84d-46ba-8ddf-e514a808d270")</f>
        <v>123e8c80-f84d-46ba-8ddf-e514a808d270</v>
      </c>
      <c r="E11505" s="1">
        <f>IFERROR(__xludf.DUMMYFUNCTION("""COMPUTED_VALUE"""),7.235815845903E12)</f>
        <v>7235815845903</v>
      </c>
      <c r="F11505" s="1"/>
      <c r="G11505" s="1">
        <f>IFERROR(__xludf.DUMMYFUNCTION("""COMPUTED_VALUE"""),0.5)</f>
        <v>0.5</v>
      </c>
      <c r="H11505" s="2">
        <f>IFERROR(__xludf.DUMMYFUNCTION("""COMPUTED_VALUE"""),0.5)</f>
        <v>0.5</v>
      </c>
      <c r="I11505" s="5">
        <f>IFERROR(__xludf.DUMMYFUNCTION("""COMPUTED_VALUE"""),1.0)</f>
        <v>1</v>
      </c>
      <c r="J11505" s="1" t="str">
        <f>IFERROR(__xludf.DUMMYFUNCTION("""COMPUTED_VALUE"""),"Cherry Macam")</f>
        <v>Cherry Macam</v>
      </c>
      <c r="K11505" s="1" t="str">
        <f>IFERROR(__xludf.DUMMYFUNCTION("""COMPUTED_VALUE"""),"Advanced Billing &amp; Subscriptions")</f>
        <v>Advanced Billing &amp; Subscriptions</v>
      </c>
      <c r="L11505" s="1" t="str">
        <f>IFERROR(__xludf.DUMMYFUNCTION("""COMPUTED_VALUE"""),"CPS Advanced Billing and Subscriptions (ABS)")</f>
        <v>CPS Advanced Billing and Subscriptions (ABS)</v>
      </c>
    </row>
    <row r="11506">
      <c r="A11506" s="1" t="str">
        <f>IFERROR(__xludf.DUMMYFUNCTION("""COMPUTED_VALUE"""),"2026 Apr")</f>
        <v>2026 Apr</v>
      </c>
      <c r="B11506" s="4">
        <f>IFERROR(__xludf.DUMMYFUNCTION("""COMPUTED_VALUE"""),46118.0)</f>
        <v>46118</v>
      </c>
      <c r="C11506" s="1" t="str">
        <f>IFERROR(__xludf.DUMMYFUNCTION("""COMPUTED_VALUE"""),"High Sensitivity Support")</f>
        <v>High Sensitivity Support</v>
      </c>
      <c r="D11506" s="1" t="str">
        <f>IFERROR(__xludf.DUMMYFUNCTION("""COMPUTED_VALUE"""),"12813a5b-5274-49dd-9f6b-59da40c97ee7")</f>
        <v>12813a5b-5274-49dd-9f6b-59da40c97ee7</v>
      </c>
      <c r="E11506" s="1">
        <f>IFERROR(__xludf.DUMMYFUNCTION("""COMPUTED_VALUE"""),9.795905227023E12)</f>
        <v>9795905227023</v>
      </c>
      <c r="F11506" s="1"/>
      <c r="G11506" s="1">
        <f>IFERROR(__xludf.DUMMYFUNCTION("""COMPUTED_VALUE"""),2.0)</f>
        <v>2</v>
      </c>
      <c r="H11506" s="2">
        <f>IFERROR(__xludf.DUMMYFUNCTION("""COMPUTED_VALUE"""),2.0)</f>
        <v>2</v>
      </c>
      <c r="I11506" s="5">
        <f>IFERROR(__xludf.DUMMYFUNCTION("""COMPUTED_VALUE"""),1.0)</f>
        <v>1</v>
      </c>
      <c r="J11506" s="1" t="str">
        <f>IFERROR(__xludf.DUMMYFUNCTION("""COMPUTED_VALUE"""),"Xandy Azarcon")</f>
        <v>Xandy Azarcon</v>
      </c>
      <c r="K11506" s="1" t="str">
        <f>IFERROR(__xludf.DUMMYFUNCTION("""COMPUTED_VALUE"""),"High Sensitivity Support PH")</f>
        <v>High Sensitivity Support PH</v>
      </c>
      <c r="L11506" s="1" t="str">
        <f>IFERROR(__xludf.DUMMYFUNCTION("""COMPUTED_VALUE"""),"HSS High Sensitivity Support PH - CHT")</f>
        <v>HSS High Sensitivity Support PH - CHT</v>
      </c>
    </row>
    <row r="11507">
      <c r="A11507" s="1" t="str">
        <f>IFERROR(__xludf.DUMMYFUNCTION("""COMPUTED_VALUE"""),"2026 Apr")</f>
        <v>2026 Apr</v>
      </c>
      <c r="B11507" s="4">
        <f>IFERROR(__xludf.DUMMYFUNCTION("""COMPUTED_VALUE"""),46118.0)</f>
        <v>46118</v>
      </c>
      <c r="C11507" s="1" t="str">
        <f>IFERROR(__xludf.DUMMYFUNCTION("""COMPUTED_VALUE"""),"Admin Support")</f>
        <v>Admin Support</v>
      </c>
      <c r="D11507" s="1" t="str">
        <f>IFERROR(__xludf.DUMMYFUNCTION("""COMPUTED_VALUE"""),"3a47626d-5d83-4eb3-99f0-da594375a7a4")</f>
        <v>3a47626d-5d83-4eb3-99f0-da594375a7a4</v>
      </c>
      <c r="E11507" s="1">
        <f>IFERROR(__xludf.DUMMYFUNCTION("""COMPUTED_VALUE"""),3.61731944855E11)</f>
        <v>361731944855</v>
      </c>
      <c r="F11507" s="1"/>
      <c r="G11507" s="1"/>
      <c r="H11507" s="2">
        <f>IFERROR(__xludf.DUMMYFUNCTION("""COMPUTED_VALUE"""),0.0)</f>
        <v>0</v>
      </c>
      <c r="I11507" s="5"/>
      <c r="J11507" s="1" t="str">
        <f>IFERROR(__xludf.DUMMYFUNCTION("""COMPUTED_VALUE"""),"Kelden Laguting")</f>
        <v>Kelden Laguting</v>
      </c>
      <c r="K11507" s="1" t="str">
        <f>IFERROR(__xludf.DUMMYFUNCTION("""COMPUTED_VALUE"""),"Admin Omni Support")</f>
        <v>Admin Omni Support</v>
      </c>
      <c r="L11507" s="1" t="str">
        <f>IFERROR(__xludf.DUMMYFUNCTION("""COMPUTED_VALUE"""),"Admin Omni Support")</f>
        <v>Admin Omni Support</v>
      </c>
    </row>
    <row r="11508">
      <c r="A11508" s="1" t="str">
        <f>IFERROR(__xludf.DUMMYFUNCTION("""COMPUTED_VALUE"""),"2026 Apr")</f>
        <v>2026 Apr</v>
      </c>
      <c r="B11508" s="4">
        <f>IFERROR(__xludf.DUMMYFUNCTION("""COMPUTED_VALUE"""),46118.0)</f>
        <v>46118</v>
      </c>
      <c r="C11508" s="1" t="str">
        <f>IFERROR(__xludf.DUMMYFUNCTION("""COMPUTED_VALUE"""),"Core Product Support")</f>
        <v>Core Product Support</v>
      </c>
      <c r="D11508" s="1" t="str">
        <f>IFERROR(__xludf.DUMMYFUNCTION("""COMPUTED_VALUE"""),"4ab45a4c-a376-4058-a184-5b3f466a5947")</f>
        <v>4ab45a4c-a376-4058-a184-5b3f466a5947</v>
      </c>
      <c r="E11508" s="1">
        <f>IFERROR(__xludf.DUMMYFUNCTION("""COMPUTED_VALUE"""),4.967084440335E12)</f>
        <v>4967084440335</v>
      </c>
      <c r="F11508" s="1"/>
      <c r="G11508" s="1">
        <f>IFERROR(__xludf.DUMMYFUNCTION("""COMPUTED_VALUE"""),0.5)</f>
        <v>0.5</v>
      </c>
      <c r="H11508" s="2">
        <f>IFERROR(__xludf.DUMMYFUNCTION("""COMPUTED_VALUE"""),0.5)</f>
        <v>0.5</v>
      </c>
      <c r="I11508" s="5">
        <f>IFERROR(__xludf.DUMMYFUNCTION("""COMPUTED_VALUE"""),1.0)</f>
        <v>1</v>
      </c>
      <c r="J11508" s="1" t="str">
        <f>IFERROR(__xludf.DUMMYFUNCTION("""COMPUTED_VALUE"""),"Ayza Marie Pascual")</f>
        <v>Ayza Marie Pascual</v>
      </c>
      <c r="K11508" s="1" t="str">
        <f>IFERROR(__xludf.DUMMYFUNCTION("""COMPUTED_VALUE"""),"Advanced Billing &amp; Subscriptions")</f>
        <v>Advanced Billing &amp; Subscriptions</v>
      </c>
      <c r="L11508" s="1" t="str">
        <f>IFERROR(__xludf.DUMMYFUNCTION("""COMPUTED_VALUE"""),"CPS Advanced Billing and Subscriptions (ABS)")</f>
        <v>CPS Advanced Billing and Subscriptions (ABS)</v>
      </c>
    </row>
    <row r="11509">
      <c r="A11509" s="1" t="str">
        <f>IFERROR(__xludf.DUMMYFUNCTION("""COMPUTED_VALUE"""),"2026 Apr")</f>
        <v>2026 Apr</v>
      </c>
      <c r="B11509" s="4">
        <f>IFERROR(__xludf.DUMMYFUNCTION("""COMPUTED_VALUE"""),46118.0)</f>
        <v>46118</v>
      </c>
      <c r="C11509" s="1" t="str">
        <f>IFERROR(__xludf.DUMMYFUNCTION("""COMPUTED_VALUE"""),"Print Support")</f>
        <v>Print Support</v>
      </c>
      <c r="D11509" s="1" t="str">
        <f>IFERROR(__xludf.DUMMYFUNCTION("""COMPUTED_VALUE"""),"73b91882-25ef-4c9c-8b6f-9152a825d832")</f>
        <v>73b91882-25ef-4c9c-8b6f-9152a825d832</v>
      </c>
      <c r="E11509" s="1">
        <f>IFERROR(__xludf.DUMMYFUNCTION("""COMPUTED_VALUE"""),3.61825397936E11)</f>
        <v>361825397936</v>
      </c>
      <c r="F11509" s="1"/>
      <c r="G11509" s="1">
        <f>IFERROR(__xludf.DUMMYFUNCTION("""COMPUTED_VALUE"""),45.0)</f>
        <v>45</v>
      </c>
      <c r="H11509" s="2">
        <f>IFERROR(__xludf.DUMMYFUNCTION("""COMPUTED_VALUE"""),45.0)</f>
        <v>45</v>
      </c>
      <c r="I11509" s="5">
        <f>IFERROR(__xludf.DUMMYFUNCTION("""COMPUTED_VALUE"""),1.0)</f>
        <v>1</v>
      </c>
      <c r="J11509" s="1" t="str">
        <f>IFERROR(__xludf.DUMMYFUNCTION("""COMPUTED_VALUE"""),"Jan Domingo")</f>
        <v>Jan Domingo</v>
      </c>
      <c r="K11509" s="1" t="str">
        <f>IFERROR(__xludf.DUMMYFUNCTION("""COMPUTED_VALUE"""),"Print Design Support")</f>
        <v>Print Design Support</v>
      </c>
      <c r="L11509" s="1" t="str">
        <f>IFERROR(__xludf.DUMMYFUNCTION("""COMPUTED_VALUE"""),"Print Print Design")</f>
        <v>Print Print Design</v>
      </c>
    </row>
    <row r="11510">
      <c r="A11510" s="1" t="str">
        <f>IFERROR(__xludf.DUMMYFUNCTION("""COMPUTED_VALUE"""),"2026 Apr")</f>
        <v>2026 Apr</v>
      </c>
      <c r="B11510" s="4">
        <f>IFERROR(__xludf.DUMMYFUNCTION("""COMPUTED_VALUE"""),46118.0)</f>
        <v>46118</v>
      </c>
      <c r="C11510" s="1" t="str">
        <f>IFERROR(__xludf.DUMMYFUNCTION("""COMPUTED_VALUE"""),"Core Product Support")</f>
        <v>Core Product Support</v>
      </c>
      <c r="D11510" s="1" t="str">
        <f>IFERROR(__xludf.DUMMYFUNCTION("""COMPUTED_VALUE"""),"75169e9a-969f-480f-aae4-eff49591cf56")</f>
        <v>75169e9a-969f-480f-aae4-eff49591cf56</v>
      </c>
      <c r="E11510" s="1"/>
      <c r="F11510" s="1">
        <f>IFERROR(__xludf.DUMMYFUNCTION("""COMPUTED_VALUE"""),0.5)</f>
        <v>0.5</v>
      </c>
      <c r="G11510" s="1">
        <f>IFERROR(__xludf.DUMMYFUNCTION("""COMPUTED_VALUE"""),1.25)</f>
        <v>1.25</v>
      </c>
      <c r="H11510" s="2">
        <f>IFERROR(__xludf.DUMMYFUNCTION("""COMPUTED_VALUE"""),1.75)</f>
        <v>1.75</v>
      </c>
      <c r="I11510" s="5">
        <f>IFERROR(__xludf.DUMMYFUNCTION("""COMPUTED_VALUE"""),0.7142857142857143)</f>
        <v>0.7142857143</v>
      </c>
      <c r="J11510" s="1" t="str">
        <f>IFERROR(__xludf.DUMMYFUNCTION("""COMPUTED_VALUE"""),"Belle Bentazal")</f>
        <v>Belle Bentazal</v>
      </c>
      <c r="K11510" s="1" t="str">
        <f>IFERROR(__xludf.DUMMYFUNCTION("""COMPUTED_VALUE"""),"Advanced Product Support")</f>
        <v>Advanced Product Support</v>
      </c>
      <c r="L11510" s="1" t="str">
        <f>IFERROR(__xludf.DUMMYFUNCTION("""COMPUTED_VALUE"""),"CPS Advanced Product Support (APS)")</f>
        <v>CPS Advanced Product Support (APS)</v>
      </c>
    </row>
    <row r="11511">
      <c r="A11511" s="1" t="str">
        <f>IFERROR(__xludf.DUMMYFUNCTION("""COMPUTED_VALUE"""),"2026 Apr")</f>
        <v>2026 Apr</v>
      </c>
      <c r="B11511" s="4">
        <f>IFERROR(__xludf.DUMMYFUNCTION("""COMPUTED_VALUE"""),46118.0)</f>
        <v>46118</v>
      </c>
      <c r="C11511" s="1" t="str">
        <f>IFERROR(__xludf.DUMMYFUNCTION("""COMPUTED_VALUE"""),"Core Product Support")</f>
        <v>Core Product Support</v>
      </c>
      <c r="D11511" s="1" t="str">
        <f>IFERROR(__xludf.DUMMYFUNCTION("""COMPUTED_VALUE"""),"d235389b-3321-47e0-9816-c2275d682304")</f>
        <v>d235389b-3321-47e0-9816-c2275d682304</v>
      </c>
      <c r="E11511" s="1">
        <f>IFERROR(__xludf.DUMMYFUNCTION("""COMPUTED_VALUE"""),5.202378916623E12)</f>
        <v>5202378916623</v>
      </c>
      <c r="F11511" s="1"/>
      <c r="G11511" s="1">
        <f>IFERROR(__xludf.DUMMYFUNCTION("""COMPUTED_VALUE"""),1.25)</f>
        <v>1.25</v>
      </c>
      <c r="H11511" s="2">
        <f>IFERROR(__xludf.DUMMYFUNCTION("""COMPUTED_VALUE"""),1.25)</f>
        <v>1.25</v>
      </c>
      <c r="I11511" s="5">
        <f>IFERROR(__xludf.DUMMYFUNCTION("""COMPUTED_VALUE"""),1.0)</f>
        <v>1</v>
      </c>
      <c r="J11511" s="1" t="str">
        <f>IFERROR(__xludf.DUMMYFUNCTION("""COMPUTED_VALUE"""),"Renette Bok")</f>
        <v>Renette Bok</v>
      </c>
      <c r="K11511" s="1" t="str">
        <f>IFERROR(__xludf.DUMMYFUNCTION("""COMPUTED_VALUE"""),"Advanced Billing &amp; Subscriptions")</f>
        <v>Advanced Billing &amp; Subscriptions</v>
      </c>
      <c r="L11511" s="1" t="str">
        <f>IFERROR(__xludf.DUMMYFUNCTION("""COMPUTED_VALUE"""),"CPS Advanced Billing and Subscriptions (ABS)")</f>
        <v>CPS Advanced Billing and Subscriptions (ABS)</v>
      </c>
    </row>
    <row r="11512">
      <c r="A11512" s="1" t="str">
        <f>IFERROR(__xludf.DUMMYFUNCTION("""COMPUTED_VALUE"""),"2026 Apr")</f>
        <v>2026 Apr</v>
      </c>
      <c r="B11512" s="4">
        <f>IFERROR(__xludf.DUMMYFUNCTION("""COMPUTED_VALUE"""),46118.0)</f>
        <v>46118</v>
      </c>
      <c r="C11512" s="1" t="str">
        <f>IFERROR(__xludf.DUMMYFUNCTION("""COMPUTED_VALUE"""),"Core Product Support")</f>
        <v>Core Product Support</v>
      </c>
      <c r="D11512" s="1" t="str">
        <f>IFERROR(__xludf.DUMMYFUNCTION("""COMPUTED_VALUE"""),"e5eebde5-1bdf-4fc4-a4e5-e5f13689363d")</f>
        <v>e5eebde5-1bdf-4fc4-a4e5-e5f13689363d</v>
      </c>
      <c r="E11512" s="1">
        <f>IFERROR(__xludf.DUMMYFUNCTION("""COMPUTED_VALUE"""),8.303581036047E12)</f>
        <v>8303581036047</v>
      </c>
      <c r="F11512" s="1">
        <f>IFERROR(__xludf.DUMMYFUNCTION("""COMPUTED_VALUE"""),0.5)</f>
        <v>0.5</v>
      </c>
      <c r="G11512" s="1">
        <f>IFERROR(__xludf.DUMMYFUNCTION("""COMPUTED_VALUE"""),1.25)</f>
        <v>1.25</v>
      </c>
      <c r="H11512" s="2">
        <f>IFERROR(__xludf.DUMMYFUNCTION("""COMPUTED_VALUE"""),1.75)</f>
        <v>1.75</v>
      </c>
      <c r="I11512" s="5">
        <f>IFERROR(__xludf.DUMMYFUNCTION("""COMPUTED_VALUE"""),0.7142857142857143)</f>
        <v>0.7142857143</v>
      </c>
      <c r="J11512" s="1" t="str">
        <f>IFERROR(__xludf.DUMMYFUNCTION("""COMPUTED_VALUE"""),"Belle Bentazal")</f>
        <v>Belle Bentazal</v>
      </c>
      <c r="K11512" s="1" t="str">
        <f>IFERROR(__xludf.DUMMYFUNCTION("""COMPUTED_VALUE"""),"Advanced Product Support")</f>
        <v>Advanced Product Support</v>
      </c>
      <c r="L11512" s="1" t="str">
        <f>IFERROR(__xludf.DUMMYFUNCTION("""COMPUTED_VALUE"""),"CPS Advanced Product Support (APS)")</f>
        <v>CPS Advanced Product Support (APS)</v>
      </c>
    </row>
    <row r="11513">
      <c r="A11513" s="1" t="str">
        <f>IFERROR(__xludf.DUMMYFUNCTION("""COMPUTED_VALUE"""),"2026 Apr")</f>
        <v>2026 Apr</v>
      </c>
      <c r="B11513" s="4">
        <f>IFERROR(__xludf.DUMMYFUNCTION("""COMPUTED_VALUE"""),46118.0)</f>
        <v>46118</v>
      </c>
      <c r="C11513" s="1" t="str">
        <f>IFERROR(__xludf.DUMMYFUNCTION("""COMPUTED_VALUE"""),"Admin Support")</f>
        <v>Admin Support</v>
      </c>
      <c r="D11513" s="1" t="str">
        <f>IFERROR(__xludf.DUMMYFUNCTION("""COMPUTED_VALUE"""),"bb9992e4-86b4-4be4-9177-e09f03299559")</f>
        <v>bb9992e4-86b4-4be4-9177-e09f03299559</v>
      </c>
      <c r="E11513" s="1">
        <f>IFERROR(__xludf.DUMMYFUNCTION("""COMPUTED_VALUE"""),3.61724830696E11)</f>
        <v>361724830696</v>
      </c>
      <c r="F11513" s="1"/>
      <c r="G11513" s="1">
        <f>IFERROR(__xludf.DUMMYFUNCTION("""COMPUTED_VALUE"""),0.25)</f>
        <v>0.25</v>
      </c>
      <c r="H11513" s="2">
        <f>IFERROR(__xludf.DUMMYFUNCTION("""COMPUTED_VALUE"""),0.25)</f>
        <v>0.25</v>
      </c>
      <c r="I11513" s="5">
        <f>IFERROR(__xludf.DUMMYFUNCTION("""COMPUTED_VALUE"""),1.0)</f>
        <v>1</v>
      </c>
      <c r="J11513" s="1" t="str">
        <f>IFERROR(__xludf.DUMMYFUNCTION("""COMPUTED_VALUE"""),"Kelden Laguting")</f>
        <v>Kelden Laguting</v>
      </c>
      <c r="K11513" s="1" t="str">
        <f>IFERROR(__xludf.DUMMYFUNCTION("""COMPUTED_VALUE"""),"Admin Omni Support")</f>
        <v>Admin Omni Support</v>
      </c>
      <c r="L11513" s="1" t="str">
        <f>IFERROR(__xludf.DUMMYFUNCTION("""COMPUTED_VALUE"""),"Admin Omni Support")</f>
        <v>Admin Omni Support</v>
      </c>
    </row>
    <row r="11514">
      <c r="A11514" s="1" t="str">
        <f>IFERROR(__xludf.DUMMYFUNCTION("""COMPUTED_VALUE"""),"2026 Apr")</f>
        <v>2026 Apr</v>
      </c>
      <c r="B11514" s="4">
        <f>IFERROR(__xludf.DUMMYFUNCTION("""COMPUTED_VALUE"""),46118.0)</f>
        <v>46118</v>
      </c>
      <c r="C11514" s="1" t="str">
        <f>IFERROR(__xludf.DUMMYFUNCTION("""COMPUTED_VALUE"""),"Core Product Support")</f>
        <v>Core Product Support</v>
      </c>
      <c r="D11514" s="1" t="str">
        <f>IFERROR(__xludf.DUMMYFUNCTION("""COMPUTED_VALUE"""),"1fa942bd-1815-4054-9636-810d3c7d937c")</f>
        <v>1fa942bd-1815-4054-9636-810d3c7d937c</v>
      </c>
      <c r="E11514" s="1">
        <f>IFERROR(__xludf.DUMMYFUNCTION("""COMPUTED_VALUE"""),3.61731348455E11)</f>
        <v>361731348455</v>
      </c>
      <c r="F11514" s="1">
        <f>IFERROR(__xludf.DUMMYFUNCTION("""COMPUTED_VALUE"""),0.5)</f>
        <v>0.5</v>
      </c>
      <c r="G11514" s="1">
        <f>IFERROR(__xludf.DUMMYFUNCTION("""COMPUTED_VALUE"""),2.5)</f>
        <v>2.5</v>
      </c>
      <c r="H11514" s="2">
        <f>IFERROR(__xludf.DUMMYFUNCTION("""COMPUTED_VALUE"""),3.0)</f>
        <v>3</v>
      </c>
      <c r="I11514" s="5">
        <f>IFERROR(__xludf.DUMMYFUNCTION("""COMPUTED_VALUE"""),0.8333333333333334)</f>
        <v>0.8333333333</v>
      </c>
      <c r="J11514" s="1" t="str">
        <f>IFERROR(__xludf.DUMMYFUNCTION("""COMPUTED_VALUE"""),"Sieg Ballelos")</f>
        <v>Sieg Ballelos</v>
      </c>
      <c r="K11514" s="1" t="str">
        <f>IFERROR(__xludf.DUMMYFUNCTION("""COMPUTED_VALUE"""),"Core Product Support Escalation Team")</f>
        <v>Core Product Support Escalation Team</v>
      </c>
      <c r="L11514"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515">
      <c r="A11515" s="1" t="str">
        <f>IFERROR(__xludf.DUMMYFUNCTION("""COMPUTED_VALUE"""),"2026 Apr")</f>
        <v>2026 Apr</v>
      </c>
      <c r="B11515" s="4">
        <f>IFERROR(__xludf.DUMMYFUNCTION("""COMPUTED_VALUE"""),46118.0)</f>
        <v>46118</v>
      </c>
      <c r="C11515" s="1" t="str">
        <f>IFERROR(__xludf.DUMMYFUNCTION("""COMPUTED_VALUE"""),"Core Product Support")</f>
        <v>Core Product Support</v>
      </c>
      <c r="D11515" s="1" t="str">
        <f>IFERROR(__xludf.DUMMYFUNCTION("""COMPUTED_VALUE"""),"b366931c-0597-40c7-babb-0a89ffc75e01")</f>
        <v>b366931c-0597-40c7-babb-0a89ffc75e01</v>
      </c>
      <c r="E11515" s="1"/>
      <c r="F11515" s="1"/>
      <c r="G11515" s="1">
        <f>IFERROR(__xludf.DUMMYFUNCTION("""COMPUTED_VALUE"""),1.25)</f>
        <v>1.25</v>
      </c>
      <c r="H11515" s="2">
        <f>IFERROR(__xludf.DUMMYFUNCTION("""COMPUTED_VALUE"""),1.25)</f>
        <v>1.25</v>
      </c>
      <c r="I11515" s="5">
        <f>IFERROR(__xludf.DUMMYFUNCTION("""COMPUTED_VALUE"""),1.0)</f>
        <v>1</v>
      </c>
      <c r="J11515" s="1" t="str">
        <f>IFERROR(__xludf.DUMMYFUNCTION("""COMPUTED_VALUE"""),"Cherry Macam")</f>
        <v>Cherry Macam</v>
      </c>
      <c r="K11515" s="1" t="str">
        <f>IFERROR(__xludf.DUMMYFUNCTION("""COMPUTED_VALUE"""),"Advanced Billing &amp; Subscriptions")</f>
        <v>Advanced Billing &amp; Subscriptions</v>
      </c>
      <c r="L11515" s="1" t="str">
        <f>IFERROR(__xludf.DUMMYFUNCTION("""COMPUTED_VALUE"""),"CPS Advanced Billing and Subscriptions (ABS)")</f>
        <v>CPS Advanced Billing and Subscriptions (ABS)</v>
      </c>
    </row>
    <row r="11516">
      <c r="A11516" s="1" t="str">
        <f>IFERROR(__xludf.DUMMYFUNCTION("""COMPUTED_VALUE"""),"2026 Apr")</f>
        <v>2026 Apr</v>
      </c>
      <c r="B11516" s="4">
        <f>IFERROR(__xludf.DUMMYFUNCTION("""COMPUTED_VALUE"""),46118.0)</f>
        <v>46118</v>
      </c>
      <c r="C11516" s="1" t="str">
        <f>IFERROR(__xludf.DUMMYFUNCTION("""COMPUTED_VALUE"""),"Core Product Support")</f>
        <v>Core Product Support</v>
      </c>
      <c r="D11516" s="1" t="str">
        <f>IFERROR(__xludf.DUMMYFUNCTION("""COMPUTED_VALUE"""),"d8cafb49-0513-4066-8298-8198c1c303c8")</f>
        <v>d8cafb49-0513-4066-8298-8198c1c303c8</v>
      </c>
      <c r="E11516" s="1">
        <f>IFERROR(__xludf.DUMMYFUNCTION("""COMPUTED_VALUE"""),5.566859239951E12)</f>
        <v>5566859239951</v>
      </c>
      <c r="F11516" s="1"/>
      <c r="G11516" s="1">
        <f>IFERROR(__xludf.DUMMYFUNCTION("""COMPUTED_VALUE"""),1.25)</f>
        <v>1.25</v>
      </c>
      <c r="H11516" s="2">
        <f>IFERROR(__xludf.DUMMYFUNCTION("""COMPUTED_VALUE"""),1.25)</f>
        <v>1.25</v>
      </c>
      <c r="I11516" s="5">
        <f>IFERROR(__xludf.DUMMYFUNCTION("""COMPUTED_VALUE"""),1.0)</f>
        <v>1</v>
      </c>
      <c r="J11516" s="1" t="str">
        <f>IFERROR(__xludf.DUMMYFUNCTION("""COMPUTED_VALUE"""),"Jahmie Mae Barrameda")</f>
        <v>Jahmie Mae Barrameda</v>
      </c>
      <c r="K11516" s="1" t="str">
        <f>IFERROR(__xludf.DUMMYFUNCTION("""COMPUTED_VALUE"""),"Advanced Billing &amp; Subscriptions")</f>
        <v>Advanced Billing &amp; Subscriptions</v>
      </c>
      <c r="L11516" s="1" t="str">
        <f>IFERROR(__xludf.DUMMYFUNCTION("""COMPUTED_VALUE"""),"CPS Advanced Billing and Subscriptions (ABS)")</f>
        <v>CPS Advanced Billing and Subscriptions (ABS)</v>
      </c>
    </row>
    <row r="11517">
      <c r="A11517" s="1" t="str">
        <f>IFERROR(__xludf.DUMMYFUNCTION("""COMPUTED_VALUE"""),"2026 Apr")</f>
        <v>2026 Apr</v>
      </c>
      <c r="B11517" s="4">
        <f>IFERROR(__xludf.DUMMYFUNCTION("""COMPUTED_VALUE"""),46118.0)</f>
        <v>46118</v>
      </c>
      <c r="C11517" s="1" t="str">
        <f>IFERROR(__xludf.DUMMYFUNCTION("""COMPUTED_VALUE"""),"Print Support")</f>
        <v>Print Support</v>
      </c>
      <c r="D11517" s="1" t="str">
        <f>IFERROR(__xludf.DUMMYFUNCTION("""COMPUTED_VALUE"""),"b38dd32d-e840-4454-9bff-9270032e26ec")</f>
        <v>b38dd32d-e840-4454-9bff-9270032e26ec</v>
      </c>
      <c r="E11517" s="1">
        <f>IFERROR(__xludf.DUMMYFUNCTION("""COMPUTED_VALUE"""),1.1279671882767E13)</f>
        <v>11279671882767</v>
      </c>
      <c r="F11517" s="1"/>
      <c r="G11517" s="1"/>
      <c r="H11517" s="2">
        <f>IFERROR(__xludf.DUMMYFUNCTION("""COMPUTED_VALUE"""),0.0)</f>
        <v>0</v>
      </c>
      <c r="I11517" s="5"/>
      <c r="J11517" s="1" t="str">
        <f>IFERROR(__xludf.DUMMYFUNCTION("""COMPUTED_VALUE"""),"Jen Momo")</f>
        <v>Jen Momo</v>
      </c>
      <c r="K11517" s="1" t="str">
        <f>IFERROR(__xludf.DUMMYFUNCTION("""COMPUTED_VALUE"""),"Print Support PH")</f>
        <v>Print Support PH</v>
      </c>
      <c r="L11517" s="1" t="str">
        <f>IFERROR(__xludf.DUMMYFUNCTION("""COMPUTED_VALUE"""),"Print Print - CHT")</f>
        <v>Print Print - CHT</v>
      </c>
    </row>
    <row r="11518">
      <c r="A11518" s="1" t="str">
        <f>IFERROR(__xludf.DUMMYFUNCTION("""COMPUTED_VALUE"""),"2026 Apr")</f>
        <v>2026 Apr</v>
      </c>
      <c r="B11518" s="4">
        <f>IFERROR(__xludf.DUMMYFUNCTION("""COMPUTED_VALUE"""),46118.0)</f>
        <v>46118</v>
      </c>
      <c r="C11518" s="1" t="str">
        <f>IFERROR(__xludf.DUMMYFUNCTION("""COMPUTED_VALUE"""),"Segment-specific Support")</f>
        <v>Segment-specific Support</v>
      </c>
      <c r="D11518" s="1" t="str">
        <f>IFERROR(__xludf.DUMMYFUNCTION("""COMPUTED_VALUE"""),"f6ab909a-8fae-4139-af23-d06c28a32b8c")</f>
        <v>f6ab909a-8fae-4139-af23-d06c28a32b8c</v>
      </c>
      <c r="E11518" s="1">
        <f>IFERROR(__xludf.DUMMYFUNCTION("""COMPUTED_VALUE"""),3.61724667376E11)</f>
        <v>361724667376</v>
      </c>
      <c r="F11518" s="1"/>
      <c r="G11518" s="1">
        <f>IFERROR(__xludf.DUMMYFUNCTION("""COMPUTED_VALUE"""),0.17)</f>
        <v>0.17</v>
      </c>
      <c r="H11518" s="2">
        <f>IFERROR(__xludf.DUMMYFUNCTION("""COMPUTED_VALUE"""),0.17)</f>
        <v>0.17</v>
      </c>
      <c r="I11518" s="5">
        <f>IFERROR(__xludf.DUMMYFUNCTION("""COMPUTED_VALUE"""),1.0)</f>
        <v>1</v>
      </c>
      <c r="J11518" s="1" t="str">
        <f>IFERROR(__xludf.DUMMYFUNCTION("""COMPUTED_VALUE"""),"Gucci Nava")</f>
        <v>Gucci Nava</v>
      </c>
      <c r="K11518" s="1" t="str">
        <f>IFERROR(__xludf.DUMMYFUNCTION("""COMPUTED_VALUE"""),"Affinity Support")</f>
        <v>Affinity Support</v>
      </c>
      <c r="L11518" s="1" t="str">
        <f>IFERROR(__xludf.DUMMYFUNCTION("""COMPUTED_VALUE"""),"SSS Affinity - L1")</f>
        <v>SSS Affinity - L1</v>
      </c>
    </row>
    <row r="11519">
      <c r="A11519" s="1" t="str">
        <f>IFERROR(__xludf.DUMMYFUNCTION("""COMPUTED_VALUE"""),"2026 Apr")</f>
        <v>2026 Apr</v>
      </c>
      <c r="B11519" s="4">
        <f>IFERROR(__xludf.DUMMYFUNCTION("""COMPUTED_VALUE"""),46118.0)</f>
        <v>46118</v>
      </c>
      <c r="C11519" s="1" t="str">
        <f>IFERROR(__xludf.DUMMYFUNCTION("""COMPUTED_VALUE"""),"High Sensitivity Support")</f>
        <v>High Sensitivity Support</v>
      </c>
      <c r="D11519" s="1" t="str">
        <f>IFERROR(__xludf.DUMMYFUNCTION("""COMPUTED_VALUE"""),"0bb396c0-8b48-4382-addc-66818b7167ec")</f>
        <v>0bb396c0-8b48-4382-addc-66818b7167ec</v>
      </c>
      <c r="E11519" s="1">
        <f>IFERROR(__xludf.DUMMYFUNCTION("""COMPUTED_VALUE"""),5.566867976335E12)</f>
        <v>5566867976335</v>
      </c>
      <c r="F11519" s="1"/>
      <c r="G11519" s="1"/>
      <c r="H11519" s="2">
        <f>IFERROR(__xludf.DUMMYFUNCTION("""COMPUTED_VALUE"""),0.0)</f>
        <v>0</v>
      </c>
      <c r="I11519" s="5"/>
      <c r="J11519" s="1" t="str">
        <f>IFERROR(__xludf.DUMMYFUNCTION("""COMPUTED_VALUE"""),"Issi Afable")</f>
        <v>Issi Afable</v>
      </c>
      <c r="K11519" s="1" t="str">
        <f>IFERROR(__xludf.DUMMYFUNCTION("""COMPUTED_VALUE"""),"High Sensitivity Support PH")</f>
        <v>High Sensitivity Support PH</v>
      </c>
      <c r="L11519" s="1" t="str">
        <f>IFERROR(__xludf.DUMMYFUNCTION("""COMPUTED_VALUE"""),"HSS High Sensitivity Support PH - SEE")</f>
        <v>HSS High Sensitivity Support PH - SEE</v>
      </c>
    </row>
    <row r="11520">
      <c r="A11520" s="1" t="str">
        <f>IFERROR(__xludf.DUMMYFUNCTION("""COMPUTED_VALUE"""),"2026 Apr")</f>
        <v>2026 Apr</v>
      </c>
      <c r="B11520" s="4">
        <f>IFERROR(__xludf.DUMMYFUNCTION("""COMPUTED_VALUE"""),46118.0)</f>
        <v>46118</v>
      </c>
      <c r="C11520" s="1" t="str">
        <f>IFERROR(__xludf.DUMMYFUNCTION("""COMPUTED_VALUE"""),"Print Support")</f>
        <v>Print Support</v>
      </c>
      <c r="D11520" s="1" t="str">
        <f>IFERROR(__xludf.DUMMYFUNCTION("""COMPUTED_VALUE"""),"bfafe2d2-bab4-4d76-87e0-5b42d5285805")</f>
        <v>bfafe2d2-bab4-4d76-87e0-5b42d5285805</v>
      </c>
      <c r="E11520" s="1">
        <f>IFERROR(__xludf.DUMMYFUNCTION("""COMPUTED_VALUE"""),5.202379009423E12)</f>
        <v>5202379009423</v>
      </c>
      <c r="F11520" s="1"/>
      <c r="G11520" s="1"/>
      <c r="H11520" s="2">
        <f>IFERROR(__xludf.DUMMYFUNCTION("""COMPUTED_VALUE"""),0.0)</f>
        <v>0</v>
      </c>
      <c r="I11520" s="5"/>
      <c r="J11520" s="1" t="str">
        <f>IFERROR(__xludf.DUMMYFUNCTION("""COMPUTED_VALUE"""),"Althea Mercado")</f>
        <v>Althea Mercado</v>
      </c>
      <c r="K11520" s="1" t="str">
        <f>IFERROR(__xludf.DUMMYFUNCTION("""COMPUTED_VALUE"""),"Print Support PH")</f>
        <v>Print Support PH</v>
      </c>
      <c r="L11520" s="1" t="str">
        <f>IFERROR(__xludf.DUMMYFUNCTION("""COMPUTED_VALUE"""),"Print Print - CHT")</f>
        <v>Print Print - CHT</v>
      </c>
    </row>
    <row r="11521">
      <c r="A11521" s="1" t="str">
        <f>IFERROR(__xludf.DUMMYFUNCTION("""COMPUTED_VALUE"""),"2026 Apr")</f>
        <v>2026 Apr</v>
      </c>
      <c r="B11521" s="4">
        <f>IFERROR(__xludf.DUMMYFUNCTION("""COMPUTED_VALUE"""),46118.0)</f>
        <v>46118</v>
      </c>
      <c r="C11521" s="1" t="str">
        <f>IFERROR(__xludf.DUMMYFUNCTION("""COMPUTED_VALUE"""),"Segment-specific Support")</f>
        <v>Segment-specific Support</v>
      </c>
      <c r="D11521" s="1" t="str">
        <f>IFERROR(__xludf.DUMMYFUNCTION("""COMPUTED_VALUE"""),"b90f8a46-e368-46ef-b5dc-431b192c7ebd")</f>
        <v>b90f8a46-e368-46ef-b5dc-431b192c7ebd</v>
      </c>
      <c r="E11521" s="1"/>
      <c r="F11521" s="1"/>
      <c r="G11521" s="1"/>
      <c r="H11521" s="2">
        <f>IFERROR(__xludf.DUMMYFUNCTION("""COMPUTED_VALUE"""),0.0)</f>
        <v>0</v>
      </c>
      <c r="I11521" s="5"/>
      <c r="J11521" s="1" t="str">
        <f>IFERROR(__xludf.DUMMYFUNCTION("""COMPUTED_VALUE"""),"Leigh Davison")</f>
        <v>Leigh Davison</v>
      </c>
      <c r="K11521" s="1" t="str">
        <f>IFERROR(__xludf.DUMMYFUNCTION("""COMPUTED_VALUE"""),"#N/A")</f>
        <v>#N/A</v>
      </c>
      <c r="L11521" s="1"/>
    </row>
    <row r="11522">
      <c r="A11522" s="1" t="str">
        <f>IFERROR(__xludf.DUMMYFUNCTION("""COMPUTED_VALUE"""),"2026 Apr")</f>
        <v>2026 Apr</v>
      </c>
      <c r="B11522" s="4">
        <f>IFERROR(__xludf.DUMMYFUNCTION("""COMPUTED_VALUE"""),46118.0)</f>
        <v>46118</v>
      </c>
      <c r="C11522" s="1" t="str">
        <f>IFERROR(__xludf.DUMMYFUNCTION("""COMPUTED_VALUE"""),"Core Product Support")</f>
        <v>Core Product Support</v>
      </c>
      <c r="D11522" s="1" t="str">
        <f>IFERROR(__xludf.DUMMYFUNCTION("""COMPUTED_VALUE"""),"c0f3492c-b6e0-4663-88e9-07ef49890f6a")</f>
        <v>c0f3492c-b6e0-4663-88e9-07ef49890f6a</v>
      </c>
      <c r="E11522" s="1">
        <f>IFERROR(__xludf.DUMMYFUNCTION("""COMPUTED_VALUE"""),7.437401161487E12)</f>
        <v>7437401161487</v>
      </c>
      <c r="F11522" s="1"/>
      <c r="G11522" s="1">
        <f>IFERROR(__xludf.DUMMYFUNCTION("""COMPUTED_VALUE"""),1.25)</f>
        <v>1.25</v>
      </c>
      <c r="H11522" s="2">
        <f>IFERROR(__xludf.DUMMYFUNCTION("""COMPUTED_VALUE"""),1.25)</f>
        <v>1.25</v>
      </c>
      <c r="I11522" s="5">
        <f>IFERROR(__xludf.DUMMYFUNCTION("""COMPUTED_VALUE"""),1.0)</f>
        <v>1</v>
      </c>
      <c r="J11522" s="1" t="str">
        <f>IFERROR(__xludf.DUMMYFUNCTION("""COMPUTED_VALUE"""),"Renette Bok")</f>
        <v>Renette Bok</v>
      </c>
      <c r="K11522" s="1" t="str">
        <f>IFERROR(__xludf.DUMMYFUNCTION("""COMPUTED_VALUE"""),"Advanced Billing &amp; Subscriptions")</f>
        <v>Advanced Billing &amp; Subscriptions</v>
      </c>
      <c r="L11522" s="1" t="str">
        <f>IFERROR(__xludf.DUMMYFUNCTION("""COMPUTED_VALUE"""),"CPS Advanced Billing and Subscriptions (ABS)")</f>
        <v>CPS Advanced Billing and Subscriptions (ABS)</v>
      </c>
    </row>
    <row r="11523">
      <c r="A11523" s="1" t="str">
        <f>IFERROR(__xludf.DUMMYFUNCTION("""COMPUTED_VALUE"""),"2026 Apr")</f>
        <v>2026 Apr</v>
      </c>
      <c r="B11523" s="4">
        <f>IFERROR(__xludf.DUMMYFUNCTION("""COMPUTED_VALUE"""),46118.0)</f>
        <v>46118</v>
      </c>
      <c r="C11523" s="1" t="str">
        <f>IFERROR(__xludf.DUMMYFUNCTION("""COMPUTED_VALUE"""),"Core Product Support")</f>
        <v>Core Product Support</v>
      </c>
      <c r="D11523" s="1" t="str">
        <f>IFERROR(__xludf.DUMMYFUNCTION("""COMPUTED_VALUE"""),"3335501a-b303-4b1b-b874-e502875b9c00")</f>
        <v>3335501a-b303-4b1b-b874-e502875b9c00</v>
      </c>
      <c r="E11523" s="1">
        <f>IFERROR(__xludf.DUMMYFUNCTION("""COMPUTED_VALUE"""),5.901973624079E12)</f>
        <v>5901973624079</v>
      </c>
      <c r="F11523" s="1">
        <f>IFERROR(__xludf.DUMMYFUNCTION("""COMPUTED_VALUE"""),0.5)</f>
        <v>0.5</v>
      </c>
      <c r="G11523" s="1">
        <f>IFERROR(__xludf.DUMMYFUNCTION("""COMPUTED_VALUE"""),2.5)</f>
        <v>2.5</v>
      </c>
      <c r="H11523" s="2">
        <f>IFERROR(__xludf.DUMMYFUNCTION("""COMPUTED_VALUE"""),3.0)</f>
        <v>3</v>
      </c>
      <c r="I11523" s="5">
        <f>IFERROR(__xludf.DUMMYFUNCTION("""COMPUTED_VALUE"""),0.8333333333333334)</f>
        <v>0.8333333333</v>
      </c>
      <c r="J11523" s="1" t="str">
        <f>IFERROR(__xludf.DUMMYFUNCTION("""COMPUTED_VALUE"""),"Jelyn Elmido")</f>
        <v>Jelyn Elmido</v>
      </c>
      <c r="K11523" s="1" t="str">
        <f>IFERROR(__xludf.DUMMYFUNCTION("""COMPUTED_VALUE"""),"Core Product Support Escalation Team")</f>
        <v>Core Product Support Escalation Team</v>
      </c>
      <c r="L11523"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524">
      <c r="A11524" s="1" t="str">
        <f>IFERROR(__xludf.DUMMYFUNCTION("""COMPUTED_VALUE"""),"2026 Apr")</f>
        <v>2026 Apr</v>
      </c>
      <c r="B11524" s="4">
        <f>IFERROR(__xludf.DUMMYFUNCTION("""COMPUTED_VALUE"""),46118.0)</f>
        <v>46118</v>
      </c>
      <c r="C11524" s="1" t="str">
        <f>IFERROR(__xludf.DUMMYFUNCTION("""COMPUTED_VALUE"""),"Print Support")</f>
        <v>Print Support</v>
      </c>
      <c r="D11524" s="1" t="str">
        <f>IFERROR(__xludf.DUMMYFUNCTION("""COMPUTED_VALUE"""),"81f19830-f845-4879-96ee-0654dc8f6f68")</f>
        <v>81f19830-f845-4879-96ee-0654dc8f6f68</v>
      </c>
      <c r="E11524" s="1">
        <f>IFERROR(__xludf.DUMMYFUNCTION("""COMPUTED_VALUE"""),3.61750058635E11)</f>
        <v>361750058635</v>
      </c>
      <c r="F11524" s="1"/>
      <c r="G11524" s="1"/>
      <c r="H11524" s="2">
        <f>IFERROR(__xludf.DUMMYFUNCTION("""COMPUTED_VALUE"""),0.0)</f>
        <v>0</v>
      </c>
      <c r="I11524" s="5"/>
      <c r="J11524" s="1" t="str">
        <f>IFERROR(__xludf.DUMMYFUNCTION("""COMPUTED_VALUE"""),"Louise Dianne Estrella")</f>
        <v>Louise Dianne Estrella</v>
      </c>
      <c r="K11524" s="1" t="str">
        <f>IFERROR(__xludf.DUMMYFUNCTION("""COMPUTED_VALUE"""),"Print Support PH")</f>
        <v>Print Support PH</v>
      </c>
      <c r="L11524" s="1" t="str">
        <f>IFERROR(__xludf.DUMMYFUNCTION("""COMPUTED_VALUE"""),"Print Print - CHT")</f>
        <v>Print Print - CHT</v>
      </c>
    </row>
    <row r="11525">
      <c r="A11525" s="1" t="str">
        <f>IFERROR(__xludf.DUMMYFUNCTION("""COMPUTED_VALUE"""),"2026 Apr")</f>
        <v>2026 Apr</v>
      </c>
      <c r="B11525" s="4">
        <f>IFERROR(__xludf.DUMMYFUNCTION("""COMPUTED_VALUE"""),46118.0)</f>
        <v>46118</v>
      </c>
      <c r="C11525" s="1" t="str">
        <f>IFERROR(__xludf.DUMMYFUNCTION("""COMPUTED_VALUE"""),"Core Product Support")</f>
        <v>Core Product Support</v>
      </c>
      <c r="D11525" s="1" t="str">
        <f>IFERROR(__xludf.DUMMYFUNCTION("""COMPUTED_VALUE"""),"2e981db7-61ee-4b53-aef6-4c4cc65464d7")</f>
        <v>2e981db7-61ee-4b53-aef6-4c4cc65464d7</v>
      </c>
      <c r="E11525" s="1">
        <f>IFERROR(__xludf.DUMMYFUNCTION("""COMPUTED_VALUE"""),8.904435850895E12)</f>
        <v>8904435850895</v>
      </c>
      <c r="F11525" s="1">
        <f>IFERROR(__xludf.DUMMYFUNCTION("""COMPUTED_VALUE"""),0.5)</f>
        <v>0.5</v>
      </c>
      <c r="G11525" s="1">
        <f>IFERROR(__xludf.DUMMYFUNCTION("""COMPUTED_VALUE"""),1.25)</f>
        <v>1.25</v>
      </c>
      <c r="H11525" s="2">
        <f>IFERROR(__xludf.DUMMYFUNCTION("""COMPUTED_VALUE"""),1.75)</f>
        <v>1.75</v>
      </c>
      <c r="I11525" s="5">
        <f>IFERROR(__xludf.DUMMYFUNCTION("""COMPUTED_VALUE"""),0.7142857142857143)</f>
        <v>0.7142857143</v>
      </c>
      <c r="J11525" s="1" t="str">
        <f>IFERROR(__xludf.DUMMYFUNCTION("""COMPUTED_VALUE"""),"Mikhaela Decangchon")</f>
        <v>Mikhaela Decangchon</v>
      </c>
      <c r="K11525" s="1" t="str">
        <f>IFERROR(__xludf.DUMMYFUNCTION("""COMPUTED_VALUE"""),"Advanced Product Support")</f>
        <v>Advanced Product Support</v>
      </c>
      <c r="L11525" s="1" t="str">
        <f>IFERROR(__xludf.DUMMYFUNCTION("""COMPUTED_VALUE"""),"CPS Advanced Product Support (APS)")</f>
        <v>CPS Advanced Product Support (APS)</v>
      </c>
    </row>
    <row r="11526">
      <c r="A11526" s="1" t="str">
        <f>IFERROR(__xludf.DUMMYFUNCTION("""COMPUTED_VALUE"""),"2026 Apr")</f>
        <v>2026 Apr</v>
      </c>
      <c r="B11526" s="4">
        <f>IFERROR(__xludf.DUMMYFUNCTION("""COMPUTED_VALUE"""),46118.0)</f>
        <v>46118</v>
      </c>
      <c r="C11526" s="1" t="str">
        <f>IFERROR(__xludf.DUMMYFUNCTION("""COMPUTED_VALUE"""),"Segment-specific Support")</f>
        <v>Segment-specific Support</v>
      </c>
      <c r="D11526" s="1" t="str">
        <f>IFERROR(__xludf.DUMMYFUNCTION("""COMPUTED_VALUE"""),"a9175f4e-c2a3-4f80-bd6c-76adc2cfcef8")</f>
        <v>a9175f4e-c2a3-4f80-bd6c-76adc2cfcef8</v>
      </c>
      <c r="E11526" s="1">
        <f>IFERROR(__xludf.DUMMYFUNCTION("""COMPUTED_VALUE"""),5.359144633743E12)</f>
        <v>5359144633743</v>
      </c>
      <c r="F11526" s="1"/>
      <c r="G11526" s="1"/>
      <c r="H11526" s="2">
        <f>IFERROR(__xludf.DUMMYFUNCTION("""COMPUTED_VALUE"""),0.0)</f>
        <v>0</v>
      </c>
      <c r="I11526" s="5"/>
      <c r="J11526" s="1" t="str">
        <f>IFERROR(__xludf.DUMMYFUNCTION("""COMPUTED_VALUE"""),"Rose Gabilan")</f>
        <v>Rose Gabilan</v>
      </c>
      <c r="K11526" s="1" t="str">
        <f>IFERROR(__xludf.DUMMYFUNCTION("""COMPUTED_VALUE"""),"Affinity Support")</f>
        <v>Affinity Support</v>
      </c>
      <c r="L11526" s="1" t="str">
        <f>IFERROR(__xludf.DUMMYFUNCTION("""COMPUTED_VALUE"""),"SSS Affinity - L1")</f>
        <v>SSS Affinity - L1</v>
      </c>
    </row>
    <row r="11527">
      <c r="A11527" s="1" t="str">
        <f>IFERROR(__xludf.DUMMYFUNCTION("""COMPUTED_VALUE"""),"2026 Apr")</f>
        <v>2026 Apr</v>
      </c>
      <c r="B11527" s="4">
        <f>IFERROR(__xludf.DUMMYFUNCTION("""COMPUTED_VALUE"""),46118.0)</f>
        <v>46118</v>
      </c>
      <c r="C11527" s="1" t="str">
        <f>IFERROR(__xludf.DUMMYFUNCTION("""COMPUTED_VALUE"""),"Segment-specific Support")</f>
        <v>Segment-specific Support</v>
      </c>
      <c r="D11527" s="1" t="str">
        <f>IFERROR(__xludf.DUMMYFUNCTION("""COMPUTED_VALUE"""),"c099fecd-f2e4-4b33-8ba3-1c6779033d42")</f>
        <v>c099fecd-f2e4-4b33-8ba3-1c6779033d42</v>
      </c>
      <c r="E11527" s="1">
        <f>IFERROR(__xludf.DUMMYFUNCTION("""COMPUTED_VALUE"""),5.901988081807E12)</f>
        <v>5901988081807</v>
      </c>
      <c r="F11527" s="1"/>
      <c r="G11527" s="1">
        <f>IFERROR(__xludf.DUMMYFUNCTION("""COMPUTED_VALUE"""),0.17)</f>
        <v>0.17</v>
      </c>
      <c r="H11527" s="2">
        <f>IFERROR(__xludf.DUMMYFUNCTION("""COMPUTED_VALUE"""),0.17)</f>
        <v>0.17</v>
      </c>
      <c r="I11527" s="5">
        <f>IFERROR(__xludf.DUMMYFUNCTION("""COMPUTED_VALUE"""),1.0)</f>
        <v>1</v>
      </c>
      <c r="J11527" s="1" t="str">
        <f>IFERROR(__xludf.DUMMYFUNCTION("""COMPUTED_VALUE"""),"Gucci Nava")</f>
        <v>Gucci Nava</v>
      </c>
      <c r="K11527" s="1" t="str">
        <f>IFERROR(__xludf.DUMMYFUNCTION("""COMPUTED_VALUE"""),"Print Support PH")</f>
        <v>Print Support PH</v>
      </c>
      <c r="L11527" s="1" t="str">
        <f>IFERROR(__xludf.DUMMYFUNCTION("""COMPUTED_VALUE"""),"Print Print - CHT")</f>
        <v>Print Print - CHT</v>
      </c>
    </row>
    <row r="11528">
      <c r="A11528" s="1" t="str">
        <f>IFERROR(__xludf.DUMMYFUNCTION("""COMPUTED_VALUE"""),"2026 Apr")</f>
        <v>2026 Apr</v>
      </c>
      <c r="B11528" s="4">
        <f>IFERROR(__xludf.DUMMYFUNCTION("""COMPUTED_VALUE"""),46118.0)</f>
        <v>46118</v>
      </c>
      <c r="C11528" s="1" t="str">
        <f>IFERROR(__xludf.DUMMYFUNCTION("""COMPUTED_VALUE"""),"Print Support")</f>
        <v>Print Support</v>
      </c>
      <c r="D11528" s="1" t="str">
        <f>IFERROR(__xludf.DUMMYFUNCTION("""COMPUTED_VALUE"""),"f49619b0-d053-442f-946d-b652dbfb2703")</f>
        <v>f49619b0-d053-442f-946d-b652dbfb2703</v>
      </c>
      <c r="E11528" s="1"/>
      <c r="F11528" s="1"/>
      <c r="G11528" s="1">
        <f>IFERROR(__xludf.DUMMYFUNCTION("""COMPUTED_VALUE"""),0.67)</f>
        <v>0.67</v>
      </c>
      <c r="H11528" s="2">
        <f>IFERROR(__xludf.DUMMYFUNCTION("""COMPUTED_VALUE"""),0.67)</f>
        <v>0.67</v>
      </c>
      <c r="I11528" s="5">
        <f>IFERROR(__xludf.DUMMYFUNCTION("""COMPUTED_VALUE"""),1.0)</f>
        <v>1</v>
      </c>
      <c r="J11528" s="1" t="str">
        <f>IFERROR(__xludf.DUMMYFUNCTION("""COMPUTED_VALUE"""),"Aliza Dote")</f>
        <v>Aliza Dote</v>
      </c>
      <c r="K11528" s="1" t="str">
        <f>IFERROR(__xludf.DUMMYFUNCTION("""COMPUTED_VALUE"""),"Print Design Support")</f>
        <v>Print Design Support</v>
      </c>
      <c r="L11528" s="1" t="str">
        <f>IFERROR(__xludf.DUMMYFUNCTION("""COMPUTED_VALUE"""),"Print Print Design")</f>
        <v>Print Print Design</v>
      </c>
    </row>
    <row r="11529">
      <c r="A11529" s="1" t="str">
        <f>IFERROR(__xludf.DUMMYFUNCTION("""COMPUTED_VALUE"""),"2026 Apr")</f>
        <v>2026 Apr</v>
      </c>
      <c r="B11529" s="4">
        <f>IFERROR(__xludf.DUMMYFUNCTION("""COMPUTED_VALUE"""),46118.0)</f>
        <v>46118</v>
      </c>
      <c r="C11529" s="1" t="str">
        <f>IFERROR(__xludf.DUMMYFUNCTION("""COMPUTED_VALUE"""),"Core Product Support")</f>
        <v>Core Product Support</v>
      </c>
      <c r="D11529" s="1" t="str">
        <f>IFERROR(__xludf.DUMMYFUNCTION("""COMPUTED_VALUE"""),"34b01611-0778-4238-845c-71a5fb4b19f1")</f>
        <v>34b01611-0778-4238-845c-71a5fb4b19f1</v>
      </c>
      <c r="E11529" s="1">
        <f>IFERROR(__xludf.DUMMYFUNCTION("""COMPUTED_VALUE"""),1.0005722473615E13)</f>
        <v>10005722473615</v>
      </c>
      <c r="F11529" s="1"/>
      <c r="G11529" s="1">
        <f>IFERROR(__xludf.DUMMYFUNCTION("""COMPUTED_VALUE"""),0.25)</f>
        <v>0.25</v>
      </c>
      <c r="H11529" s="2">
        <f>IFERROR(__xludf.DUMMYFUNCTION("""COMPUTED_VALUE"""),0.25)</f>
        <v>0.25</v>
      </c>
      <c r="I11529" s="5">
        <f>IFERROR(__xludf.DUMMYFUNCTION("""COMPUTED_VALUE"""),1.0)</f>
        <v>1</v>
      </c>
      <c r="J11529" s="1" t="str">
        <f>IFERROR(__xludf.DUMMYFUNCTION("""COMPUTED_VALUE"""),"Jahmie Mae Barrameda")</f>
        <v>Jahmie Mae Barrameda</v>
      </c>
      <c r="K11529" s="1" t="str">
        <f>IFERROR(__xludf.DUMMYFUNCTION("""COMPUTED_VALUE"""),"Advanced Billing &amp; Subscriptions")</f>
        <v>Advanced Billing &amp; Subscriptions</v>
      </c>
      <c r="L11529" s="1" t="str">
        <f>IFERROR(__xludf.DUMMYFUNCTION("""COMPUTED_VALUE"""),"CPS Advanced Billing and Subscriptions (ABS)")</f>
        <v>CPS Advanced Billing and Subscriptions (ABS)</v>
      </c>
    </row>
    <row r="11530">
      <c r="A11530" s="1" t="str">
        <f>IFERROR(__xludf.DUMMYFUNCTION("""COMPUTED_VALUE"""),"2026 Apr")</f>
        <v>2026 Apr</v>
      </c>
      <c r="B11530" s="4">
        <f>IFERROR(__xludf.DUMMYFUNCTION("""COMPUTED_VALUE"""),46118.0)</f>
        <v>46118</v>
      </c>
      <c r="C11530" s="1" t="str">
        <f>IFERROR(__xludf.DUMMYFUNCTION("""COMPUTED_VALUE"""),"Core Product Support")</f>
        <v>Core Product Support</v>
      </c>
      <c r="D11530" s="1" t="str">
        <f>IFERROR(__xludf.DUMMYFUNCTION("""COMPUTED_VALUE"""),"29f1cfbb-326c-4f39-b32d-9350f380b21a")</f>
        <v>29f1cfbb-326c-4f39-b32d-9350f380b21a</v>
      </c>
      <c r="E11530" s="1">
        <f>IFERROR(__xludf.DUMMYFUNCTION("""COMPUTED_VALUE"""),3.61732161455E11)</f>
        <v>361732161455</v>
      </c>
      <c r="F11530" s="1"/>
      <c r="G11530" s="1">
        <f>IFERROR(__xludf.DUMMYFUNCTION("""COMPUTED_VALUE"""),0.5)</f>
        <v>0.5</v>
      </c>
      <c r="H11530" s="2">
        <f>IFERROR(__xludf.DUMMYFUNCTION("""COMPUTED_VALUE"""),0.5)</f>
        <v>0.5</v>
      </c>
      <c r="I11530" s="5">
        <f>IFERROR(__xludf.DUMMYFUNCTION("""COMPUTED_VALUE"""),1.0)</f>
        <v>1</v>
      </c>
      <c r="J11530" s="1" t="str">
        <f>IFERROR(__xludf.DUMMYFUNCTION("""COMPUTED_VALUE"""),"Jelyn Elmido")</f>
        <v>Jelyn Elmido</v>
      </c>
      <c r="K11530" s="1" t="str">
        <f>IFERROR(__xludf.DUMMYFUNCTION("""COMPUTED_VALUE"""),"Core Product Support Escalation Team")</f>
        <v>Core Product Support Escalation Team</v>
      </c>
      <c r="L11530"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531">
      <c r="A11531" s="1" t="str">
        <f>IFERROR(__xludf.DUMMYFUNCTION("""COMPUTED_VALUE"""),"2026 Apr")</f>
        <v>2026 Apr</v>
      </c>
      <c r="B11531" s="4">
        <f>IFERROR(__xludf.DUMMYFUNCTION("""COMPUTED_VALUE"""),46118.0)</f>
        <v>46118</v>
      </c>
      <c r="C11531" s="1" t="str">
        <f>IFERROR(__xludf.DUMMYFUNCTION("""COMPUTED_VALUE"""),"Print Support")</f>
        <v>Print Support</v>
      </c>
      <c r="D11531" s="1" t="str">
        <f>IFERROR(__xludf.DUMMYFUNCTION("""COMPUTED_VALUE"""),"e7288a86-def8-455e-9571-0e09ee52eb10")</f>
        <v>e7288a86-def8-455e-9571-0e09ee52eb10</v>
      </c>
      <c r="E11531" s="1">
        <f>IFERROR(__xludf.DUMMYFUNCTION("""COMPUTED_VALUE"""),5.566843775631E12)</f>
        <v>5566843775631</v>
      </c>
      <c r="F11531" s="1"/>
      <c r="G11531" s="1">
        <f>IFERROR(__xludf.DUMMYFUNCTION("""COMPUTED_VALUE"""),0.67)</f>
        <v>0.67</v>
      </c>
      <c r="H11531" s="2">
        <f>IFERROR(__xludf.DUMMYFUNCTION("""COMPUTED_VALUE"""),0.67)</f>
        <v>0.67</v>
      </c>
      <c r="I11531" s="5">
        <f>IFERROR(__xludf.DUMMYFUNCTION("""COMPUTED_VALUE"""),1.0)</f>
        <v>1</v>
      </c>
      <c r="J11531" s="1" t="str">
        <f>IFERROR(__xludf.DUMMYFUNCTION("""COMPUTED_VALUE"""),"Louise Dianne Estrella")</f>
        <v>Louise Dianne Estrella</v>
      </c>
      <c r="K11531" s="1" t="str">
        <f>IFERROR(__xludf.DUMMYFUNCTION("""COMPUTED_VALUE"""),"Print Support PH")</f>
        <v>Print Support PH</v>
      </c>
      <c r="L11531" s="1" t="str">
        <f>IFERROR(__xludf.DUMMYFUNCTION("""COMPUTED_VALUE"""),"Print Print - CHT")</f>
        <v>Print Print - CHT</v>
      </c>
    </row>
    <row r="11532">
      <c r="A11532" s="1" t="str">
        <f>IFERROR(__xludf.DUMMYFUNCTION("""COMPUTED_VALUE"""),"2026 Apr")</f>
        <v>2026 Apr</v>
      </c>
      <c r="B11532" s="4">
        <f>IFERROR(__xludf.DUMMYFUNCTION("""COMPUTED_VALUE"""),46118.0)</f>
        <v>46118</v>
      </c>
      <c r="C11532" s="1" t="str">
        <f>IFERROR(__xludf.DUMMYFUNCTION("""COMPUTED_VALUE"""),"Admin Support")</f>
        <v>Admin Support</v>
      </c>
      <c r="D11532" s="1" t="str">
        <f>IFERROR(__xludf.DUMMYFUNCTION("""COMPUTED_VALUE"""),"c771ba05-3c70-40d0-afa5-186bade746f2")</f>
        <v>c771ba05-3c70-40d0-afa5-186bade746f2</v>
      </c>
      <c r="E11532" s="1">
        <f>IFERROR(__xludf.DUMMYFUNCTION("""COMPUTED_VALUE"""),7.437392979983E12)</f>
        <v>7437392979983</v>
      </c>
      <c r="F11532" s="1"/>
      <c r="G11532" s="1">
        <f>IFERROR(__xludf.DUMMYFUNCTION("""COMPUTED_VALUE"""),0.25)</f>
        <v>0.25</v>
      </c>
      <c r="H11532" s="2">
        <f>IFERROR(__xludf.DUMMYFUNCTION("""COMPUTED_VALUE"""),0.25)</f>
        <v>0.25</v>
      </c>
      <c r="I11532" s="5">
        <f>IFERROR(__xludf.DUMMYFUNCTION("""COMPUTED_VALUE"""),1.0)</f>
        <v>1</v>
      </c>
      <c r="J11532" s="1" t="str">
        <f>IFERROR(__xludf.DUMMYFUNCTION("""COMPUTED_VALUE"""),"Ann Dumlao")</f>
        <v>Ann Dumlao</v>
      </c>
      <c r="K11532" s="1" t="str">
        <f>IFERROR(__xludf.DUMMYFUNCTION("""COMPUTED_VALUE"""),"Admin Omni Support")</f>
        <v>Admin Omni Support</v>
      </c>
      <c r="L11532" s="1" t="str">
        <f>IFERROR(__xludf.DUMMYFUNCTION("""COMPUTED_VALUE"""),"Admin Omni Support")</f>
        <v>Admin Omni Support</v>
      </c>
    </row>
    <row r="11533">
      <c r="A11533" s="1" t="str">
        <f>IFERROR(__xludf.DUMMYFUNCTION("""COMPUTED_VALUE"""),"2026 Apr")</f>
        <v>2026 Apr</v>
      </c>
      <c r="B11533" s="4">
        <f>IFERROR(__xludf.DUMMYFUNCTION("""COMPUTED_VALUE"""),46118.0)</f>
        <v>46118</v>
      </c>
      <c r="C11533" s="1" t="str">
        <f>IFERROR(__xludf.DUMMYFUNCTION("""COMPUTED_VALUE"""),"Admin Support")</f>
        <v>Admin Support</v>
      </c>
      <c r="D11533" s="1" t="str">
        <f>IFERROR(__xludf.DUMMYFUNCTION("""COMPUTED_VALUE"""),"5e57a2c8-fe7b-40fb-b179-0090e8e3060b")</f>
        <v>5e57a2c8-fe7b-40fb-b179-0090e8e3060b</v>
      </c>
      <c r="E11533" s="1">
        <f>IFERROR(__xludf.DUMMYFUNCTION("""COMPUTED_VALUE"""),3.61733079315E11)</f>
        <v>361733079315</v>
      </c>
      <c r="F11533" s="1"/>
      <c r="G11533" s="1">
        <f>IFERROR(__xludf.DUMMYFUNCTION("""COMPUTED_VALUE"""),0.25)</f>
        <v>0.25</v>
      </c>
      <c r="H11533" s="2">
        <f>IFERROR(__xludf.DUMMYFUNCTION("""COMPUTED_VALUE"""),0.25)</f>
        <v>0.25</v>
      </c>
      <c r="I11533" s="5">
        <f>IFERROR(__xludf.DUMMYFUNCTION("""COMPUTED_VALUE"""),1.0)</f>
        <v>1</v>
      </c>
      <c r="J11533" s="1" t="str">
        <f>IFERROR(__xludf.DUMMYFUNCTION("""COMPUTED_VALUE"""),"Ann Dumlao")</f>
        <v>Ann Dumlao</v>
      </c>
      <c r="K11533" s="1" t="str">
        <f>IFERROR(__xludf.DUMMYFUNCTION("""COMPUTED_VALUE"""),"Admin Omni Support")</f>
        <v>Admin Omni Support</v>
      </c>
      <c r="L11533" s="1" t="str">
        <f>IFERROR(__xludf.DUMMYFUNCTION("""COMPUTED_VALUE"""),"Admin Omni Support")</f>
        <v>Admin Omni Support</v>
      </c>
    </row>
    <row r="11534">
      <c r="A11534" s="1" t="str">
        <f>IFERROR(__xludf.DUMMYFUNCTION("""COMPUTED_VALUE"""),"2026 Apr")</f>
        <v>2026 Apr</v>
      </c>
      <c r="B11534" s="4">
        <f>IFERROR(__xludf.DUMMYFUNCTION("""COMPUTED_VALUE"""),46118.0)</f>
        <v>46118</v>
      </c>
      <c r="C11534" s="1" t="str">
        <f>IFERROR(__xludf.DUMMYFUNCTION("""COMPUTED_VALUE"""),"High Sensitivity Support")</f>
        <v>High Sensitivity Support</v>
      </c>
      <c r="D11534" s="1" t="str">
        <f>IFERROR(__xludf.DUMMYFUNCTION("""COMPUTED_VALUE"""),"b7fd1097-c419-4ccc-9d67-4b66f71021a1")</f>
        <v>b7fd1097-c419-4ccc-9d67-4b66f71021a1</v>
      </c>
      <c r="E11534" s="1">
        <f>IFERROR(__xludf.DUMMYFUNCTION("""COMPUTED_VALUE"""),8.139562541455E12)</f>
        <v>8139562541455</v>
      </c>
      <c r="F11534" s="1"/>
      <c r="G11534" s="1">
        <f>IFERROR(__xludf.DUMMYFUNCTION("""COMPUTED_VALUE"""),2.0)</f>
        <v>2</v>
      </c>
      <c r="H11534" s="2">
        <f>IFERROR(__xludf.DUMMYFUNCTION("""COMPUTED_VALUE"""),2.0)</f>
        <v>2</v>
      </c>
      <c r="I11534" s="5">
        <f>IFERROR(__xludf.DUMMYFUNCTION("""COMPUTED_VALUE"""),1.0)</f>
        <v>1</v>
      </c>
      <c r="J11534" s="1" t="str">
        <f>IFERROR(__xludf.DUMMYFUNCTION("""COMPUTED_VALUE"""),"Rossheen Pura")</f>
        <v>Rossheen Pura</v>
      </c>
      <c r="K11534" s="1" t="str">
        <f>IFERROR(__xludf.DUMMYFUNCTION("""COMPUTED_VALUE"""),"High Sensitivity Support PH")</f>
        <v>High Sensitivity Support PH</v>
      </c>
      <c r="L11534" s="1" t="str">
        <f>IFERROR(__xludf.DUMMYFUNCTION("""COMPUTED_VALUE"""),"HSS High Sensitivity Support PH - CHT")</f>
        <v>HSS High Sensitivity Support PH - CHT</v>
      </c>
    </row>
    <row r="11535">
      <c r="A11535" s="1" t="str">
        <f>IFERROR(__xludf.DUMMYFUNCTION("""COMPUTED_VALUE"""),"2026 Apr")</f>
        <v>2026 Apr</v>
      </c>
      <c r="B11535" s="4">
        <f>IFERROR(__xludf.DUMMYFUNCTION("""COMPUTED_VALUE"""),46118.0)</f>
        <v>46118</v>
      </c>
      <c r="C11535" s="1" t="str">
        <f>IFERROR(__xludf.DUMMYFUNCTION("""COMPUTED_VALUE"""),"Core Product Support")</f>
        <v>Core Product Support</v>
      </c>
      <c r="D11535" s="1" t="str">
        <f>IFERROR(__xludf.DUMMYFUNCTION("""COMPUTED_VALUE"""),"20080360-d6b6-487a-ad2b-4d92f14a3e3a")</f>
        <v>20080360-d6b6-487a-ad2b-4d92f14a3e3a</v>
      </c>
      <c r="E11535" s="1">
        <f>IFERROR(__xludf.DUMMYFUNCTION("""COMPUTED_VALUE"""),5.901973593231E12)</f>
        <v>5901973593231</v>
      </c>
      <c r="F11535" s="1">
        <f>IFERROR(__xludf.DUMMYFUNCTION("""COMPUTED_VALUE"""),0.5)</f>
        <v>0.5</v>
      </c>
      <c r="G11535" s="1">
        <f>IFERROR(__xludf.DUMMYFUNCTION("""COMPUTED_VALUE"""),1.25)</f>
        <v>1.25</v>
      </c>
      <c r="H11535" s="2">
        <f>IFERROR(__xludf.DUMMYFUNCTION("""COMPUTED_VALUE"""),1.75)</f>
        <v>1.75</v>
      </c>
      <c r="I11535" s="5">
        <f>IFERROR(__xludf.DUMMYFUNCTION("""COMPUTED_VALUE"""),0.7142857142857143)</f>
        <v>0.7142857143</v>
      </c>
      <c r="J11535" s="1" t="str">
        <f>IFERROR(__xludf.DUMMYFUNCTION("""COMPUTED_VALUE"""),"Vinz Lazaro")</f>
        <v>Vinz Lazaro</v>
      </c>
      <c r="K11535" s="1" t="str">
        <f>IFERROR(__xludf.DUMMYFUNCTION("""COMPUTED_VALUE"""),"Advanced Product Support")</f>
        <v>Advanced Product Support</v>
      </c>
      <c r="L11535" s="1" t="str">
        <f>IFERROR(__xludf.DUMMYFUNCTION("""COMPUTED_VALUE"""),"CPS Advanced Product Support (APS)")</f>
        <v>CPS Advanced Product Support (APS)</v>
      </c>
    </row>
    <row r="11536">
      <c r="A11536" s="1" t="str">
        <f>IFERROR(__xludf.DUMMYFUNCTION("""COMPUTED_VALUE"""),"2026 Apr")</f>
        <v>2026 Apr</v>
      </c>
      <c r="B11536" s="4">
        <f>IFERROR(__xludf.DUMMYFUNCTION("""COMPUTED_VALUE"""),46118.0)</f>
        <v>46118</v>
      </c>
      <c r="C11536" s="1" t="str">
        <f>IFERROR(__xludf.DUMMYFUNCTION("""COMPUTED_VALUE"""),"High Sensitivity Support")</f>
        <v>High Sensitivity Support</v>
      </c>
      <c r="D11536" s="1" t="str">
        <f>IFERROR(__xludf.DUMMYFUNCTION("""COMPUTED_VALUE"""),"27bbaf2c-6971-4b55-91a0-193260eb00dd")</f>
        <v>27bbaf2c-6971-4b55-91a0-193260eb00dd</v>
      </c>
      <c r="E11536" s="1">
        <f>IFERROR(__xludf.DUMMYFUNCTION("""COMPUTED_VALUE"""),5.202441057551E12)</f>
        <v>5202441057551</v>
      </c>
      <c r="F11536" s="1"/>
      <c r="G11536" s="1"/>
      <c r="H11536" s="2">
        <f>IFERROR(__xludf.DUMMYFUNCTION("""COMPUTED_VALUE"""),0.0)</f>
        <v>0</v>
      </c>
      <c r="I11536" s="5"/>
      <c r="J11536" s="1" t="str">
        <f>IFERROR(__xludf.DUMMYFUNCTION("""COMPUTED_VALUE"""),"Xandy Azarcon")</f>
        <v>Xandy Azarcon</v>
      </c>
      <c r="K11536" s="1" t="str">
        <f>IFERROR(__xludf.DUMMYFUNCTION("""COMPUTED_VALUE"""),"High Sensitivity Support PH")</f>
        <v>High Sensitivity Support PH</v>
      </c>
      <c r="L11536" s="1" t="str">
        <f>IFERROR(__xludf.DUMMYFUNCTION("""COMPUTED_VALUE"""),"HSS High Sensitivity Support PH - CHT")</f>
        <v>HSS High Sensitivity Support PH - CHT</v>
      </c>
    </row>
    <row r="11537">
      <c r="A11537" s="1" t="str">
        <f>IFERROR(__xludf.DUMMYFUNCTION("""COMPUTED_VALUE"""),"2026 Apr")</f>
        <v>2026 Apr</v>
      </c>
      <c r="B11537" s="4">
        <f>IFERROR(__xludf.DUMMYFUNCTION("""COMPUTED_VALUE"""),46118.0)</f>
        <v>46118</v>
      </c>
      <c r="C11537" s="1" t="str">
        <f>IFERROR(__xludf.DUMMYFUNCTION("""COMPUTED_VALUE"""),"Print Support")</f>
        <v>Print Support</v>
      </c>
      <c r="D11537" s="1" t="str">
        <f>IFERROR(__xludf.DUMMYFUNCTION("""COMPUTED_VALUE"""),"b1b482a6-c097-431c-a83d-5d00e89da6bf")</f>
        <v>b1b482a6-c097-431c-a83d-5d00e89da6bf</v>
      </c>
      <c r="E11537" s="1">
        <f>IFERROR(__xludf.DUMMYFUNCTION("""COMPUTED_VALUE"""),3.61724962836E11)</f>
        <v>361724962836</v>
      </c>
      <c r="F11537" s="1"/>
      <c r="G11537" s="1"/>
      <c r="H11537" s="2">
        <f>IFERROR(__xludf.DUMMYFUNCTION("""COMPUTED_VALUE"""),0.0)</f>
        <v>0</v>
      </c>
      <c r="I11537" s="5"/>
      <c r="J11537" s="1" t="str">
        <f>IFERROR(__xludf.DUMMYFUNCTION("""COMPUTED_VALUE"""),"Althea Mercado")</f>
        <v>Althea Mercado</v>
      </c>
      <c r="K11537" s="1" t="str">
        <f>IFERROR(__xludf.DUMMYFUNCTION("""COMPUTED_VALUE"""),"Print Support PH")</f>
        <v>Print Support PH</v>
      </c>
      <c r="L11537" s="1" t="str">
        <f>IFERROR(__xludf.DUMMYFUNCTION("""COMPUTED_VALUE"""),"Print Print - CHT")</f>
        <v>Print Print - CHT</v>
      </c>
    </row>
    <row r="11538">
      <c r="A11538" s="1" t="str">
        <f>IFERROR(__xludf.DUMMYFUNCTION("""COMPUTED_VALUE"""),"2026 Apr")</f>
        <v>2026 Apr</v>
      </c>
      <c r="B11538" s="4">
        <f>IFERROR(__xludf.DUMMYFUNCTION("""COMPUTED_VALUE"""),46118.0)</f>
        <v>46118</v>
      </c>
      <c r="C11538" s="1" t="str">
        <f>IFERROR(__xludf.DUMMYFUNCTION("""COMPUTED_VALUE"""),"Core Product Support")</f>
        <v>Core Product Support</v>
      </c>
      <c r="D11538" s="1" t="str">
        <f>IFERROR(__xludf.DUMMYFUNCTION("""COMPUTED_VALUE"""),"426201d1-0b5d-4900-95cc-7a8b0c35e471")</f>
        <v>426201d1-0b5d-4900-95cc-7a8b0c35e471</v>
      </c>
      <c r="E11538" s="1">
        <f>IFERROR(__xludf.DUMMYFUNCTION("""COMPUTED_VALUE"""),7.235417174415E12)</f>
        <v>7235417174415</v>
      </c>
      <c r="F11538" s="1"/>
      <c r="G11538" s="1">
        <f>IFERROR(__xludf.DUMMYFUNCTION("""COMPUTED_VALUE"""),1.25)</f>
        <v>1.25</v>
      </c>
      <c r="H11538" s="2">
        <f>IFERROR(__xludf.DUMMYFUNCTION("""COMPUTED_VALUE"""),1.25)</f>
        <v>1.25</v>
      </c>
      <c r="I11538" s="5">
        <f>IFERROR(__xludf.DUMMYFUNCTION("""COMPUTED_VALUE"""),1.0)</f>
        <v>1</v>
      </c>
      <c r="J11538" s="1" t="str">
        <f>IFERROR(__xludf.DUMMYFUNCTION("""COMPUTED_VALUE"""),"Ana Lazaro")</f>
        <v>Ana Lazaro</v>
      </c>
      <c r="K11538" s="1" t="str">
        <f>IFERROR(__xludf.DUMMYFUNCTION("""COMPUTED_VALUE"""),"Advanced Billing &amp; Subscriptions")</f>
        <v>Advanced Billing &amp; Subscriptions</v>
      </c>
      <c r="L11538" s="1" t="str">
        <f>IFERROR(__xludf.DUMMYFUNCTION("""COMPUTED_VALUE"""),"CPS Advanced Billing and Subscriptions (ABS)")</f>
        <v>CPS Advanced Billing and Subscriptions (ABS)</v>
      </c>
    </row>
    <row r="11539">
      <c r="A11539" s="1" t="str">
        <f>IFERROR(__xludf.DUMMYFUNCTION("""COMPUTED_VALUE"""),"2026 Apr")</f>
        <v>2026 Apr</v>
      </c>
      <c r="B11539" s="4">
        <f>IFERROR(__xludf.DUMMYFUNCTION("""COMPUTED_VALUE"""),46118.0)</f>
        <v>46118</v>
      </c>
      <c r="C11539" s="1" t="str">
        <f>IFERROR(__xludf.DUMMYFUNCTION("""COMPUTED_VALUE"""),"Print Support")</f>
        <v>Print Support</v>
      </c>
      <c r="D11539" s="1" t="str">
        <f>IFERROR(__xludf.DUMMYFUNCTION("""COMPUTED_VALUE"""),"ae33c457-9730-4b61-af51-a03edb80253a")</f>
        <v>ae33c457-9730-4b61-af51-a03edb80253a</v>
      </c>
      <c r="E11539" s="1">
        <f>IFERROR(__xludf.DUMMYFUNCTION("""COMPUTED_VALUE"""),3.61733077175E11)</f>
        <v>361733077175</v>
      </c>
      <c r="F11539" s="1"/>
      <c r="G11539" s="1"/>
      <c r="H11539" s="2">
        <f>IFERROR(__xludf.DUMMYFUNCTION("""COMPUTED_VALUE"""),0.0)</f>
        <v>0</v>
      </c>
      <c r="I11539" s="5"/>
      <c r="J11539" s="1" t="str">
        <f>IFERROR(__xludf.DUMMYFUNCTION("""COMPUTED_VALUE"""),"Louise Dianne Estrella")</f>
        <v>Louise Dianne Estrella</v>
      </c>
      <c r="K11539" s="1" t="str">
        <f>IFERROR(__xludf.DUMMYFUNCTION("""COMPUTED_VALUE"""),"Print Support PH")</f>
        <v>Print Support PH</v>
      </c>
      <c r="L11539" s="1" t="str">
        <f>IFERROR(__xludf.DUMMYFUNCTION("""COMPUTED_VALUE"""),"Print Print - CHT")</f>
        <v>Print Print - CHT</v>
      </c>
    </row>
    <row r="11540">
      <c r="A11540" s="1" t="str">
        <f>IFERROR(__xludf.DUMMYFUNCTION("""COMPUTED_VALUE"""),"2026 Apr")</f>
        <v>2026 Apr</v>
      </c>
      <c r="B11540" s="4">
        <f>IFERROR(__xludf.DUMMYFUNCTION("""COMPUTED_VALUE"""),46118.0)</f>
        <v>46118</v>
      </c>
      <c r="C11540" s="1" t="str">
        <f>IFERROR(__xludf.DUMMYFUNCTION("""COMPUTED_VALUE"""),"High Sensitivity Support")</f>
        <v>High Sensitivity Support</v>
      </c>
      <c r="D11540" s="1" t="str">
        <f>IFERROR(__xludf.DUMMYFUNCTION("""COMPUTED_VALUE"""),"3a5a6ab5-8abf-422b-9670-8975c03a0818")</f>
        <v>3a5a6ab5-8abf-422b-9670-8975c03a0818</v>
      </c>
      <c r="E11540" s="1">
        <f>IFERROR(__xludf.DUMMYFUNCTION("""COMPUTED_VALUE"""),3.61725260976E11)</f>
        <v>361725260976</v>
      </c>
      <c r="F11540" s="1"/>
      <c r="G11540" s="1">
        <f>IFERROR(__xludf.DUMMYFUNCTION("""COMPUTED_VALUE"""),2.0)</f>
        <v>2</v>
      </c>
      <c r="H11540" s="2">
        <f>IFERROR(__xludf.DUMMYFUNCTION("""COMPUTED_VALUE"""),2.0)</f>
        <v>2</v>
      </c>
      <c r="I11540" s="5">
        <f>IFERROR(__xludf.DUMMYFUNCTION("""COMPUTED_VALUE"""),1.0)</f>
        <v>1</v>
      </c>
      <c r="J11540" s="1" t="str">
        <f>IFERROR(__xludf.DUMMYFUNCTION("""COMPUTED_VALUE"""),"Rossheen Pura")</f>
        <v>Rossheen Pura</v>
      </c>
      <c r="K11540" s="1" t="str">
        <f>IFERROR(__xludf.DUMMYFUNCTION("""COMPUTED_VALUE"""),"High Sensitivity Support PH")</f>
        <v>High Sensitivity Support PH</v>
      </c>
      <c r="L11540" s="1" t="str">
        <f>IFERROR(__xludf.DUMMYFUNCTION("""COMPUTED_VALUE"""),"HSS High Sensitivity Support PH - CHT")</f>
        <v>HSS High Sensitivity Support PH - CHT</v>
      </c>
    </row>
    <row r="11541">
      <c r="A11541" s="1" t="str">
        <f>IFERROR(__xludf.DUMMYFUNCTION("""COMPUTED_VALUE"""),"2026 Apr")</f>
        <v>2026 Apr</v>
      </c>
      <c r="B11541" s="4">
        <f>IFERROR(__xludf.DUMMYFUNCTION("""COMPUTED_VALUE"""),46118.0)</f>
        <v>46118</v>
      </c>
      <c r="C11541" s="1" t="str">
        <f>IFERROR(__xludf.DUMMYFUNCTION("""COMPUTED_VALUE"""),"Core Product Support")</f>
        <v>Core Product Support</v>
      </c>
      <c r="D11541" s="1" t="str">
        <f>IFERROR(__xludf.DUMMYFUNCTION("""COMPUTED_VALUE"""),"ec2c53f2-66fa-462e-9ac9-b9e626e485b4")</f>
        <v>ec2c53f2-66fa-462e-9ac9-b9e626e485b4</v>
      </c>
      <c r="E11541" s="1">
        <f>IFERROR(__xludf.DUMMYFUNCTION("""COMPUTED_VALUE"""),5.047318720783E12)</f>
        <v>5047318720783</v>
      </c>
      <c r="F11541" s="1">
        <f>IFERROR(__xludf.DUMMYFUNCTION("""COMPUTED_VALUE"""),0.5)</f>
        <v>0.5</v>
      </c>
      <c r="G11541" s="1">
        <f>IFERROR(__xludf.DUMMYFUNCTION("""COMPUTED_VALUE"""),1.0)</f>
        <v>1</v>
      </c>
      <c r="H11541" s="2">
        <f>IFERROR(__xludf.DUMMYFUNCTION("""COMPUTED_VALUE"""),1.5)</f>
        <v>1.5</v>
      </c>
      <c r="I11541" s="5">
        <f>IFERROR(__xludf.DUMMYFUNCTION("""COMPUTED_VALUE"""),0.6666666666666666)</f>
        <v>0.6666666667</v>
      </c>
      <c r="J11541" s="1" t="str">
        <f>IFERROR(__xludf.DUMMYFUNCTION("""COMPUTED_VALUE"""),"Vinz Lazaro")</f>
        <v>Vinz Lazaro</v>
      </c>
      <c r="K11541" s="1" t="str">
        <f>IFERROR(__xludf.DUMMYFUNCTION("""COMPUTED_VALUE"""),"Advanced Product Support")</f>
        <v>Advanced Product Support</v>
      </c>
      <c r="L11541" s="1" t="str">
        <f>IFERROR(__xludf.DUMMYFUNCTION("""COMPUTED_VALUE"""),"CPS Advanced Product Support (APS)")</f>
        <v>CPS Advanced Product Support (APS)</v>
      </c>
    </row>
    <row r="11542">
      <c r="A11542" s="1" t="str">
        <f>IFERROR(__xludf.DUMMYFUNCTION("""COMPUTED_VALUE"""),"2026 Apr")</f>
        <v>2026 Apr</v>
      </c>
      <c r="B11542" s="4">
        <f>IFERROR(__xludf.DUMMYFUNCTION("""COMPUTED_VALUE"""),46118.0)</f>
        <v>46118</v>
      </c>
      <c r="C11542" s="1" t="str">
        <f>IFERROR(__xludf.DUMMYFUNCTION("""COMPUTED_VALUE"""),"High Sensitivity Support")</f>
        <v>High Sensitivity Support</v>
      </c>
      <c r="D11542" s="1" t="str">
        <f>IFERROR(__xludf.DUMMYFUNCTION("""COMPUTED_VALUE"""),"ac409d1d-146f-4f2e-97cf-ac668184be31")</f>
        <v>ac409d1d-146f-4f2e-97cf-ac668184be31</v>
      </c>
      <c r="E11542" s="1">
        <f>IFERROR(__xludf.DUMMYFUNCTION("""COMPUTED_VALUE"""),9.285050515215E12)</f>
        <v>9285050515215</v>
      </c>
      <c r="F11542" s="1"/>
      <c r="G11542" s="1">
        <f>IFERROR(__xludf.DUMMYFUNCTION("""COMPUTED_VALUE"""),2.0)</f>
        <v>2</v>
      </c>
      <c r="H11542" s="2">
        <f>IFERROR(__xludf.DUMMYFUNCTION("""COMPUTED_VALUE"""),2.0)</f>
        <v>2</v>
      </c>
      <c r="I11542" s="5">
        <f>IFERROR(__xludf.DUMMYFUNCTION("""COMPUTED_VALUE"""),1.0)</f>
        <v>1</v>
      </c>
      <c r="J11542" s="1" t="str">
        <f>IFERROR(__xludf.DUMMYFUNCTION("""COMPUTED_VALUE"""),"Xandy Azarcon")</f>
        <v>Xandy Azarcon</v>
      </c>
      <c r="K11542" s="1" t="str">
        <f>IFERROR(__xludf.DUMMYFUNCTION("""COMPUTED_VALUE"""),"High Sensitivity Support PH")</f>
        <v>High Sensitivity Support PH</v>
      </c>
      <c r="L11542" s="1" t="str">
        <f>IFERROR(__xludf.DUMMYFUNCTION("""COMPUTED_VALUE"""),"HSS High Sensitivity Support PH - CHT")</f>
        <v>HSS High Sensitivity Support PH - CHT</v>
      </c>
    </row>
    <row r="11543">
      <c r="A11543" s="1" t="str">
        <f>IFERROR(__xludf.DUMMYFUNCTION("""COMPUTED_VALUE"""),"2026 Apr")</f>
        <v>2026 Apr</v>
      </c>
      <c r="B11543" s="4">
        <f>IFERROR(__xludf.DUMMYFUNCTION("""COMPUTED_VALUE"""),46118.0)</f>
        <v>46118</v>
      </c>
      <c r="C11543" s="1" t="str">
        <f>IFERROR(__xludf.DUMMYFUNCTION("""COMPUTED_VALUE"""),"Admin Support")</f>
        <v>Admin Support</v>
      </c>
      <c r="D11543" s="1" t="str">
        <f>IFERROR(__xludf.DUMMYFUNCTION("""COMPUTED_VALUE"""),"390ace33-d7f9-4dda-8f95-3d06e72320ce")</f>
        <v>390ace33-d7f9-4dda-8f95-3d06e72320ce</v>
      </c>
      <c r="E11543" s="1">
        <f>IFERROR(__xludf.DUMMYFUNCTION("""COMPUTED_VALUE"""),3.61724963216E11)</f>
        <v>361724963216</v>
      </c>
      <c r="F11543" s="1"/>
      <c r="G11543" s="1"/>
      <c r="H11543" s="2">
        <f>IFERROR(__xludf.DUMMYFUNCTION("""COMPUTED_VALUE"""),0.0)</f>
        <v>0</v>
      </c>
      <c r="I11543" s="5"/>
      <c r="J11543" s="1" t="str">
        <f>IFERROR(__xludf.DUMMYFUNCTION("""COMPUTED_VALUE"""),"Karla Mananghaya")</f>
        <v>Karla Mananghaya</v>
      </c>
      <c r="K11543" s="1" t="str">
        <f>IFERROR(__xludf.DUMMYFUNCTION("""COMPUTED_VALUE"""),"Admin Support Service Escalation Team")</f>
        <v>Admin Support Service Escalation Team</v>
      </c>
      <c r="L11543" s="1" t="str">
        <f>IFERROR(__xludf.DUMMYFUNCTION("""COMPUTED_VALUE"""),"Admin ASSET")</f>
        <v>Admin ASSET</v>
      </c>
    </row>
    <row r="11544">
      <c r="A11544" s="1" t="str">
        <f>IFERROR(__xludf.DUMMYFUNCTION("""COMPUTED_VALUE"""),"2026 Apr")</f>
        <v>2026 Apr</v>
      </c>
      <c r="B11544" s="4">
        <f>IFERROR(__xludf.DUMMYFUNCTION("""COMPUTED_VALUE"""),46118.0)</f>
        <v>46118</v>
      </c>
      <c r="C11544" s="1" t="str">
        <f>IFERROR(__xludf.DUMMYFUNCTION("""COMPUTED_VALUE"""),"Core Product Support")</f>
        <v>Core Product Support</v>
      </c>
      <c r="D11544" s="1" t="str">
        <f>IFERROR(__xludf.DUMMYFUNCTION("""COMPUTED_VALUE"""),"4213e169-349c-47c9-b613-f4356c986a3d")</f>
        <v>4213e169-349c-47c9-b613-f4356c986a3d</v>
      </c>
      <c r="E11544" s="1">
        <f>IFERROR(__xludf.DUMMYFUNCTION("""COMPUTED_VALUE"""),1.0548588312463E13)</f>
        <v>10548588312463</v>
      </c>
      <c r="F11544" s="1">
        <f>IFERROR(__xludf.DUMMYFUNCTION("""COMPUTED_VALUE"""),0.5)</f>
        <v>0.5</v>
      </c>
      <c r="G11544" s="1">
        <f>IFERROR(__xludf.DUMMYFUNCTION("""COMPUTED_VALUE"""),1.25)</f>
        <v>1.25</v>
      </c>
      <c r="H11544" s="2">
        <f>IFERROR(__xludf.DUMMYFUNCTION("""COMPUTED_VALUE"""),1.75)</f>
        <v>1.75</v>
      </c>
      <c r="I11544" s="5">
        <f>IFERROR(__xludf.DUMMYFUNCTION("""COMPUTED_VALUE"""),0.7142857142857143)</f>
        <v>0.7142857143</v>
      </c>
      <c r="J11544" s="1" t="str">
        <f>IFERROR(__xludf.DUMMYFUNCTION("""COMPUTED_VALUE"""),"Belle Bentazal")</f>
        <v>Belle Bentazal</v>
      </c>
      <c r="K11544" s="1" t="str">
        <f>IFERROR(__xludf.DUMMYFUNCTION("""COMPUTED_VALUE"""),"Advanced Product Support")</f>
        <v>Advanced Product Support</v>
      </c>
      <c r="L11544" s="1" t="str">
        <f>IFERROR(__xludf.DUMMYFUNCTION("""COMPUTED_VALUE"""),"CPS Advanced Product Support (APS)")</f>
        <v>CPS Advanced Product Support (APS)</v>
      </c>
    </row>
    <row r="11545">
      <c r="A11545" s="1" t="str">
        <f>IFERROR(__xludf.DUMMYFUNCTION("""COMPUTED_VALUE"""),"2026 Apr")</f>
        <v>2026 Apr</v>
      </c>
      <c r="B11545" s="4">
        <f>IFERROR(__xludf.DUMMYFUNCTION("""COMPUTED_VALUE"""),46118.0)</f>
        <v>46118</v>
      </c>
      <c r="C11545" s="1" t="str">
        <f>IFERROR(__xludf.DUMMYFUNCTION("""COMPUTED_VALUE"""),"Core Product Support")</f>
        <v>Core Product Support</v>
      </c>
      <c r="D11545" s="1" t="str">
        <f>IFERROR(__xludf.DUMMYFUNCTION("""COMPUTED_VALUE"""),"3d49537c-dbf0-4f04-896b-1d3cc141a183")</f>
        <v>3d49537c-dbf0-4f04-896b-1d3cc141a183</v>
      </c>
      <c r="E11545" s="1">
        <f>IFERROR(__xludf.DUMMYFUNCTION("""COMPUTED_VALUE"""),5.901988041103E12)</f>
        <v>5901988041103</v>
      </c>
      <c r="F11545" s="1"/>
      <c r="G11545" s="1">
        <f>IFERROR(__xludf.DUMMYFUNCTION("""COMPUTED_VALUE"""),0.5)</f>
        <v>0.5</v>
      </c>
      <c r="H11545" s="2">
        <f>IFERROR(__xludf.DUMMYFUNCTION("""COMPUTED_VALUE"""),0.5)</f>
        <v>0.5</v>
      </c>
      <c r="I11545" s="5">
        <f>IFERROR(__xludf.DUMMYFUNCTION("""COMPUTED_VALUE"""),1.0)</f>
        <v>1</v>
      </c>
      <c r="J11545" s="1" t="str">
        <f>IFERROR(__xludf.DUMMYFUNCTION("""COMPUTED_VALUE"""),"Jem Mondoñedo")</f>
        <v>Jem Mondoñedo</v>
      </c>
      <c r="K11545" s="1" t="str">
        <f>IFERROR(__xludf.DUMMYFUNCTION("""COMPUTED_VALUE"""),"Advanced Billing &amp; Subscriptions")</f>
        <v>Advanced Billing &amp; Subscriptions</v>
      </c>
      <c r="L11545" s="1" t="str">
        <f>IFERROR(__xludf.DUMMYFUNCTION("""COMPUTED_VALUE"""),"CPS Advanced Billing and Subscriptions (ABS)")</f>
        <v>CPS Advanced Billing and Subscriptions (ABS)</v>
      </c>
    </row>
    <row r="11546">
      <c r="A11546" s="1" t="str">
        <f>IFERROR(__xludf.DUMMYFUNCTION("""COMPUTED_VALUE"""),"2026 Apr")</f>
        <v>2026 Apr</v>
      </c>
      <c r="B11546" s="4">
        <f>IFERROR(__xludf.DUMMYFUNCTION("""COMPUTED_VALUE"""),46118.0)</f>
        <v>46118</v>
      </c>
      <c r="C11546" s="1" t="str">
        <f>IFERROR(__xludf.DUMMYFUNCTION("""COMPUTED_VALUE"""),"Core Product Support")</f>
        <v>Core Product Support</v>
      </c>
      <c r="D11546" s="1" t="str">
        <f>IFERROR(__xludf.DUMMYFUNCTION("""COMPUTED_VALUE"""),"b5f49a72-6ea0-44a0-8325-970c0e83dea7")</f>
        <v>b5f49a72-6ea0-44a0-8325-970c0e83dea7</v>
      </c>
      <c r="E11546" s="1">
        <f>IFERROR(__xludf.DUMMYFUNCTION("""COMPUTED_VALUE"""),9.586408388239E12)</f>
        <v>9586408388239</v>
      </c>
      <c r="F11546" s="1">
        <f>IFERROR(__xludf.DUMMYFUNCTION("""COMPUTED_VALUE"""),0.5)</f>
        <v>0.5</v>
      </c>
      <c r="G11546" s="1">
        <f>IFERROR(__xludf.DUMMYFUNCTION("""COMPUTED_VALUE"""),1.25)</f>
        <v>1.25</v>
      </c>
      <c r="H11546" s="2">
        <f>IFERROR(__xludf.DUMMYFUNCTION("""COMPUTED_VALUE"""),1.75)</f>
        <v>1.75</v>
      </c>
      <c r="I11546" s="5">
        <f>IFERROR(__xludf.DUMMYFUNCTION("""COMPUTED_VALUE"""),0.7142857142857143)</f>
        <v>0.7142857143</v>
      </c>
      <c r="J11546" s="1" t="str">
        <f>IFERROR(__xludf.DUMMYFUNCTION("""COMPUTED_VALUE"""),"Belle Bentazal")</f>
        <v>Belle Bentazal</v>
      </c>
      <c r="K11546" s="1" t="str">
        <f>IFERROR(__xludf.DUMMYFUNCTION("""COMPUTED_VALUE"""),"Advanced Product Support")</f>
        <v>Advanced Product Support</v>
      </c>
      <c r="L11546" s="1" t="str">
        <f>IFERROR(__xludf.DUMMYFUNCTION("""COMPUTED_VALUE"""),"CPS Advanced Product Support (APS)")</f>
        <v>CPS Advanced Product Support (APS)</v>
      </c>
    </row>
    <row r="11547">
      <c r="A11547" s="1" t="str">
        <f>IFERROR(__xludf.DUMMYFUNCTION("""COMPUTED_VALUE"""),"2026 Apr")</f>
        <v>2026 Apr</v>
      </c>
      <c r="B11547" s="4">
        <f>IFERROR(__xludf.DUMMYFUNCTION("""COMPUTED_VALUE"""),46118.0)</f>
        <v>46118</v>
      </c>
      <c r="C11547" s="1" t="str">
        <f>IFERROR(__xludf.DUMMYFUNCTION("""COMPUTED_VALUE"""),"Admin Support")</f>
        <v>Admin Support</v>
      </c>
      <c r="D11547" s="1" t="str">
        <f>IFERROR(__xludf.DUMMYFUNCTION("""COMPUTED_VALUE"""),"3960812e-748b-47a3-8dea-3a0c6b21aee1")</f>
        <v>3960812e-748b-47a3-8dea-3a0c6b21aee1</v>
      </c>
      <c r="E11547" s="1">
        <f>IFERROR(__xludf.DUMMYFUNCTION("""COMPUTED_VALUE"""),9.107749076367E12)</f>
        <v>9107749076367</v>
      </c>
      <c r="F11547" s="1"/>
      <c r="G11547" s="1">
        <f>IFERROR(__xludf.DUMMYFUNCTION("""COMPUTED_VALUE"""),0.25)</f>
        <v>0.25</v>
      </c>
      <c r="H11547" s="2">
        <f>IFERROR(__xludf.DUMMYFUNCTION("""COMPUTED_VALUE"""),0.25)</f>
        <v>0.25</v>
      </c>
      <c r="I11547" s="5">
        <f>IFERROR(__xludf.DUMMYFUNCTION("""COMPUTED_VALUE"""),1.0)</f>
        <v>1</v>
      </c>
      <c r="J11547" s="1" t="str">
        <f>IFERROR(__xludf.DUMMYFUNCTION("""COMPUTED_VALUE"""),"Ann Dumlao")</f>
        <v>Ann Dumlao</v>
      </c>
      <c r="K11547" s="1" t="str">
        <f>IFERROR(__xludf.DUMMYFUNCTION("""COMPUTED_VALUE"""),"Admin Omni Support")</f>
        <v>Admin Omni Support</v>
      </c>
      <c r="L11547" s="1" t="str">
        <f>IFERROR(__xludf.DUMMYFUNCTION("""COMPUTED_VALUE"""),"Admin Omni Support")</f>
        <v>Admin Omni Support</v>
      </c>
    </row>
    <row r="11548">
      <c r="A11548" s="1" t="str">
        <f>IFERROR(__xludf.DUMMYFUNCTION("""COMPUTED_VALUE"""),"2026 Apr")</f>
        <v>2026 Apr</v>
      </c>
      <c r="B11548" s="4">
        <f>IFERROR(__xludf.DUMMYFUNCTION("""COMPUTED_VALUE"""),46118.0)</f>
        <v>46118</v>
      </c>
      <c r="C11548" s="1" t="str">
        <f>IFERROR(__xludf.DUMMYFUNCTION("""COMPUTED_VALUE"""),"Segment-specific Support")</f>
        <v>Segment-specific Support</v>
      </c>
      <c r="D11548" s="1" t="str">
        <f>IFERROR(__xludf.DUMMYFUNCTION("""COMPUTED_VALUE"""),"0519f8dd-38e2-4c44-b925-77b43587196d")</f>
        <v>0519f8dd-38e2-4c44-b925-77b43587196d</v>
      </c>
      <c r="E11548" s="1">
        <f>IFERROR(__xludf.DUMMYFUNCTION("""COMPUTED_VALUE"""),3.61731348815E11)</f>
        <v>361731348815</v>
      </c>
      <c r="F11548" s="1"/>
      <c r="G11548" s="1"/>
      <c r="H11548" s="2">
        <f>IFERROR(__xludf.DUMMYFUNCTION("""COMPUTED_VALUE"""),0.0)</f>
        <v>0</v>
      </c>
      <c r="I11548" s="5"/>
      <c r="J11548" s="1" t="str">
        <f>IFERROR(__xludf.DUMMYFUNCTION("""COMPUTED_VALUE"""),"Aileen Dayanghirang")</f>
        <v>Aileen Dayanghirang</v>
      </c>
      <c r="K11548" s="1" t="str">
        <f>IFERROR(__xludf.DUMMYFUNCTION("""COMPUTED_VALUE"""),"Creators Support")</f>
        <v>Creators Support</v>
      </c>
      <c r="L11548" s="1" t="str">
        <f>IFERROR(__xludf.DUMMYFUNCTION("""COMPUTED_VALUE"""),"SSS Creators")</f>
        <v>SSS Creators</v>
      </c>
    </row>
    <row r="11549">
      <c r="A11549" s="1" t="str">
        <f>IFERROR(__xludf.DUMMYFUNCTION("""COMPUTED_VALUE"""),"2026 Apr")</f>
        <v>2026 Apr</v>
      </c>
      <c r="B11549" s="4">
        <f>IFERROR(__xludf.DUMMYFUNCTION("""COMPUTED_VALUE"""),46118.0)</f>
        <v>46118</v>
      </c>
      <c r="C11549" s="1" t="str">
        <f>IFERROR(__xludf.DUMMYFUNCTION("""COMPUTED_VALUE"""),"Core Product Support")</f>
        <v>Core Product Support</v>
      </c>
      <c r="D11549" s="1" t="str">
        <f>IFERROR(__xludf.DUMMYFUNCTION("""COMPUTED_VALUE"""),"3ea48634-b6a2-4b3f-b17e-bc63a77dd069")</f>
        <v>3ea48634-b6a2-4b3f-b17e-bc63a77dd069</v>
      </c>
      <c r="E11549" s="1">
        <f>IFERROR(__xludf.DUMMYFUNCTION("""COMPUTED_VALUE"""),3.61969384715E11)</f>
        <v>361969384715</v>
      </c>
      <c r="F11549" s="1"/>
      <c r="G11549" s="1">
        <f>IFERROR(__xludf.DUMMYFUNCTION("""COMPUTED_VALUE"""),1.25)</f>
        <v>1.25</v>
      </c>
      <c r="H11549" s="2">
        <f>IFERROR(__xludf.DUMMYFUNCTION("""COMPUTED_VALUE"""),1.25)</f>
        <v>1.25</v>
      </c>
      <c r="I11549" s="5">
        <f>IFERROR(__xludf.DUMMYFUNCTION("""COMPUTED_VALUE"""),1.0)</f>
        <v>1</v>
      </c>
      <c r="J11549" s="1" t="str">
        <f>IFERROR(__xludf.DUMMYFUNCTION("""COMPUTED_VALUE"""),"Jem Mondoñedo")</f>
        <v>Jem Mondoñedo</v>
      </c>
      <c r="K11549" s="1" t="str">
        <f>IFERROR(__xludf.DUMMYFUNCTION("""COMPUTED_VALUE"""),"Advanced Billing &amp; Subscriptions")</f>
        <v>Advanced Billing &amp; Subscriptions</v>
      </c>
      <c r="L11549" s="1" t="str">
        <f>IFERROR(__xludf.DUMMYFUNCTION("""COMPUTED_VALUE"""),"CPS Advanced Billing and Subscriptions (ABS)")</f>
        <v>CPS Advanced Billing and Subscriptions (ABS)</v>
      </c>
    </row>
    <row r="11550">
      <c r="A11550" s="1" t="str">
        <f>IFERROR(__xludf.DUMMYFUNCTION("""COMPUTED_VALUE"""),"2026 Apr")</f>
        <v>2026 Apr</v>
      </c>
      <c r="B11550" s="4">
        <f>IFERROR(__xludf.DUMMYFUNCTION("""COMPUTED_VALUE"""),46118.0)</f>
        <v>46118</v>
      </c>
      <c r="C11550" s="1" t="str">
        <f>IFERROR(__xludf.DUMMYFUNCTION("""COMPUTED_VALUE"""),"Core Product Support")</f>
        <v>Core Product Support</v>
      </c>
      <c r="D11550" s="1" t="str">
        <f>IFERROR(__xludf.DUMMYFUNCTION("""COMPUTED_VALUE"""),"f26b7878-f252-4db1-b6ae-1278d851d7f9")</f>
        <v>f26b7878-f252-4db1-b6ae-1278d851d7f9</v>
      </c>
      <c r="E11550" s="1">
        <f>IFERROR(__xludf.DUMMYFUNCTION("""COMPUTED_VALUE"""),3.61731792295E11)</f>
        <v>361731792295</v>
      </c>
      <c r="F11550" s="1"/>
      <c r="G11550" s="1"/>
      <c r="H11550" s="2">
        <f>IFERROR(__xludf.DUMMYFUNCTION("""COMPUTED_VALUE"""),0.0)</f>
        <v>0</v>
      </c>
      <c r="I11550" s="5"/>
      <c r="J11550" s="1" t="str">
        <f>IFERROR(__xludf.DUMMYFUNCTION("""COMPUTED_VALUE"""),"Jelyn Elmido")</f>
        <v>Jelyn Elmido</v>
      </c>
      <c r="K11550" s="1" t="str">
        <f>IFERROR(__xludf.DUMMYFUNCTION("""COMPUTED_VALUE"""),"Core Product Support Escalation Team")</f>
        <v>Core Product Support Escalation Team</v>
      </c>
      <c r="L11550"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551">
      <c r="A11551" s="1" t="str">
        <f>IFERROR(__xludf.DUMMYFUNCTION("""COMPUTED_VALUE"""),"2026 Apr")</f>
        <v>2026 Apr</v>
      </c>
      <c r="B11551" s="4">
        <f>IFERROR(__xludf.DUMMYFUNCTION("""COMPUTED_VALUE"""),46118.0)</f>
        <v>46118</v>
      </c>
      <c r="C11551" s="1" t="str">
        <f>IFERROR(__xludf.DUMMYFUNCTION("""COMPUTED_VALUE"""),"Print Support")</f>
        <v>Print Support</v>
      </c>
      <c r="D11551" s="1" t="str">
        <f>IFERROR(__xludf.DUMMYFUNCTION("""COMPUTED_VALUE"""),"5957e659-d004-4b50-a833-96d89b506744")</f>
        <v>5957e659-d004-4b50-a833-96d89b506744</v>
      </c>
      <c r="E11551" s="1">
        <f>IFERROR(__xludf.DUMMYFUNCTION("""COMPUTED_VALUE"""),1.3475786244239E13)</f>
        <v>13475786244239</v>
      </c>
      <c r="F11551" s="1"/>
      <c r="G11551" s="1">
        <f>IFERROR(__xludf.DUMMYFUNCTION("""COMPUTED_VALUE"""),0.67)</f>
        <v>0.67</v>
      </c>
      <c r="H11551" s="2">
        <f>IFERROR(__xludf.DUMMYFUNCTION("""COMPUTED_VALUE"""),0.67)</f>
        <v>0.67</v>
      </c>
      <c r="I11551" s="5">
        <f>IFERROR(__xludf.DUMMYFUNCTION("""COMPUTED_VALUE"""),1.0)</f>
        <v>1</v>
      </c>
      <c r="J11551" s="1" t="str">
        <f>IFERROR(__xludf.DUMMYFUNCTION("""COMPUTED_VALUE"""),"Gem Agoncillo")</f>
        <v>Gem Agoncillo</v>
      </c>
      <c r="K11551" s="1" t="str">
        <f>IFERROR(__xludf.DUMMYFUNCTION("""COMPUTED_VALUE"""),"Print Design Support")</f>
        <v>Print Design Support</v>
      </c>
      <c r="L11551" s="1" t="str">
        <f>IFERROR(__xludf.DUMMYFUNCTION("""COMPUTED_VALUE"""),"Print Print Design")</f>
        <v>Print Print Design</v>
      </c>
    </row>
    <row r="11552">
      <c r="A11552" s="1" t="str">
        <f>IFERROR(__xludf.DUMMYFUNCTION("""COMPUTED_VALUE"""),"2026 Apr")</f>
        <v>2026 Apr</v>
      </c>
      <c r="B11552" s="4">
        <f>IFERROR(__xludf.DUMMYFUNCTION("""COMPUTED_VALUE"""),46118.0)</f>
        <v>46118</v>
      </c>
      <c r="C11552" s="1" t="str">
        <f>IFERROR(__xludf.DUMMYFUNCTION("""COMPUTED_VALUE"""),"Admin Support")</f>
        <v>Admin Support</v>
      </c>
      <c r="D11552" s="1" t="str">
        <f>IFERROR(__xludf.DUMMYFUNCTION("""COMPUTED_VALUE"""),"aba1b506-4ed6-4f4a-abad-f264703b1937")</f>
        <v>aba1b506-4ed6-4f4a-abad-f264703b1937</v>
      </c>
      <c r="E11552" s="1">
        <f>IFERROR(__xludf.DUMMYFUNCTION("""COMPUTED_VALUE"""),9.684963584655E12)</f>
        <v>9684963584655</v>
      </c>
      <c r="F11552" s="1"/>
      <c r="G11552" s="1"/>
      <c r="H11552" s="2">
        <f>IFERROR(__xludf.DUMMYFUNCTION("""COMPUTED_VALUE"""),0.0)</f>
        <v>0</v>
      </c>
      <c r="I11552" s="5"/>
      <c r="J11552" s="1" t="str">
        <f>IFERROR(__xludf.DUMMYFUNCTION("""COMPUTED_VALUE"""),"Nate Vela")</f>
        <v>Nate Vela</v>
      </c>
      <c r="K11552" s="1" t="str">
        <f>IFERROR(__xludf.DUMMYFUNCTION("""COMPUTED_VALUE"""),"Admin Support NA")</f>
        <v>Admin Support NA</v>
      </c>
      <c r="L11552" s="1" t="str">
        <f>IFERROR(__xludf.DUMMYFUNCTION("""COMPUTED_VALUE"""),"Admin NA")</f>
        <v>Admin NA</v>
      </c>
    </row>
    <row r="11553">
      <c r="A11553" s="1" t="str">
        <f>IFERROR(__xludf.DUMMYFUNCTION("""COMPUTED_VALUE"""),"2026 Apr")</f>
        <v>2026 Apr</v>
      </c>
      <c r="B11553" s="4">
        <f>IFERROR(__xludf.DUMMYFUNCTION("""COMPUTED_VALUE"""),46118.0)</f>
        <v>46118</v>
      </c>
      <c r="C11553" s="1" t="str">
        <f>IFERROR(__xludf.DUMMYFUNCTION("""COMPUTED_VALUE"""),"Segment-specific Support")</f>
        <v>Segment-specific Support</v>
      </c>
      <c r="D11553" s="1" t="str">
        <f>IFERROR(__xludf.DUMMYFUNCTION("""COMPUTED_VALUE"""),"f6982094-ab6f-4fbb-9491-b95f8c7da23e")</f>
        <v>f6982094-ab6f-4fbb-9491-b95f8c7da23e</v>
      </c>
      <c r="E11553" s="1"/>
      <c r="F11553" s="1"/>
      <c r="G11553" s="1"/>
      <c r="H11553" s="2">
        <f>IFERROR(__xludf.DUMMYFUNCTION("""COMPUTED_VALUE"""),0.0)</f>
        <v>0</v>
      </c>
      <c r="I11553" s="5"/>
      <c r="J11553" s="1" t="str">
        <f>IFERROR(__xludf.DUMMYFUNCTION("""COMPUTED_VALUE"""),"Leigh Davison")</f>
        <v>Leigh Davison</v>
      </c>
      <c r="K11553" s="1" t="str">
        <f>IFERROR(__xludf.DUMMYFUNCTION("""COMPUTED_VALUE"""),"#N/A")</f>
        <v>#N/A</v>
      </c>
      <c r="L11553" s="1"/>
    </row>
    <row r="11554">
      <c r="A11554" s="1" t="str">
        <f>IFERROR(__xludf.DUMMYFUNCTION("""COMPUTED_VALUE"""),"2026 Apr")</f>
        <v>2026 Apr</v>
      </c>
      <c r="B11554" s="4">
        <f>IFERROR(__xludf.DUMMYFUNCTION("""COMPUTED_VALUE"""),46118.0)</f>
        <v>46118</v>
      </c>
      <c r="C11554" s="1" t="str">
        <f>IFERROR(__xludf.DUMMYFUNCTION("""COMPUTED_VALUE"""),"Core Product Support")</f>
        <v>Core Product Support</v>
      </c>
      <c r="D11554" s="1" t="str">
        <f>IFERROR(__xludf.DUMMYFUNCTION("""COMPUTED_VALUE"""),"34f2d71e-2948-4046-b11a-6ec3d91fb2f7")</f>
        <v>34f2d71e-2948-4046-b11a-6ec3d91fb2f7</v>
      </c>
      <c r="E11554" s="1">
        <f>IFERROR(__xludf.DUMMYFUNCTION("""COMPUTED_VALUE"""),3.61725261076E11)</f>
        <v>361725261076</v>
      </c>
      <c r="F11554" s="1">
        <f>IFERROR(__xludf.DUMMYFUNCTION("""COMPUTED_VALUE"""),0.5)</f>
        <v>0.5</v>
      </c>
      <c r="G11554" s="1">
        <f>IFERROR(__xludf.DUMMYFUNCTION("""COMPUTED_VALUE"""),2.5)</f>
        <v>2.5</v>
      </c>
      <c r="H11554" s="2">
        <f>IFERROR(__xludf.DUMMYFUNCTION("""COMPUTED_VALUE"""),3.0)</f>
        <v>3</v>
      </c>
      <c r="I11554" s="5">
        <f>IFERROR(__xludf.DUMMYFUNCTION("""COMPUTED_VALUE"""),0.8333333333333334)</f>
        <v>0.8333333333</v>
      </c>
      <c r="J11554" s="1" t="str">
        <f>IFERROR(__xludf.DUMMYFUNCTION("""COMPUTED_VALUE"""),"Jelyn Elmido")</f>
        <v>Jelyn Elmido</v>
      </c>
      <c r="K11554" s="1" t="str">
        <f>IFERROR(__xludf.DUMMYFUNCTION("""COMPUTED_VALUE"""),"Core Product Support Escalation Team")</f>
        <v>Core Product Support Escalation Team</v>
      </c>
      <c r="L11554"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555">
      <c r="A11555" s="1" t="str">
        <f>IFERROR(__xludf.DUMMYFUNCTION("""COMPUTED_VALUE"""),"2026 Apr")</f>
        <v>2026 Apr</v>
      </c>
      <c r="B11555" s="4">
        <f>IFERROR(__xludf.DUMMYFUNCTION("""COMPUTED_VALUE"""),46118.0)</f>
        <v>46118</v>
      </c>
      <c r="C11555" s="1" t="str">
        <f>IFERROR(__xludf.DUMMYFUNCTION("""COMPUTED_VALUE"""),"Core Product Support")</f>
        <v>Core Product Support</v>
      </c>
      <c r="D11555" s="1" t="str">
        <f>IFERROR(__xludf.DUMMYFUNCTION("""COMPUTED_VALUE"""),"d0bf168c-4c21-43be-abef-2d821133980c")</f>
        <v>d0bf168c-4c21-43be-abef-2d821133980c</v>
      </c>
      <c r="E11555" s="1">
        <f>IFERROR(__xludf.DUMMYFUNCTION("""COMPUTED_VALUE"""),7.437371735567E12)</f>
        <v>7437371735567</v>
      </c>
      <c r="F11555" s="1"/>
      <c r="G11555" s="1">
        <f>IFERROR(__xludf.DUMMYFUNCTION("""COMPUTED_VALUE"""),1.25)</f>
        <v>1.25</v>
      </c>
      <c r="H11555" s="2">
        <f>IFERROR(__xludf.DUMMYFUNCTION("""COMPUTED_VALUE"""),1.25)</f>
        <v>1.25</v>
      </c>
      <c r="I11555" s="5">
        <f>IFERROR(__xludf.DUMMYFUNCTION("""COMPUTED_VALUE"""),1.0)</f>
        <v>1</v>
      </c>
      <c r="J11555" s="1" t="str">
        <f>IFERROR(__xludf.DUMMYFUNCTION("""COMPUTED_VALUE"""),"Renette Bok")</f>
        <v>Renette Bok</v>
      </c>
      <c r="K11555" s="1" t="str">
        <f>IFERROR(__xludf.DUMMYFUNCTION("""COMPUTED_VALUE"""),"Advanced Billing &amp; Subscriptions")</f>
        <v>Advanced Billing &amp; Subscriptions</v>
      </c>
      <c r="L11555" s="1" t="str">
        <f>IFERROR(__xludf.DUMMYFUNCTION("""COMPUTED_VALUE"""),"CPS Advanced Billing and Subscriptions (ABS)")</f>
        <v>CPS Advanced Billing and Subscriptions (ABS)</v>
      </c>
    </row>
    <row r="11556">
      <c r="A11556" s="1" t="str">
        <f>IFERROR(__xludf.DUMMYFUNCTION("""COMPUTED_VALUE"""),"2026 Apr")</f>
        <v>2026 Apr</v>
      </c>
      <c r="B11556" s="4">
        <f>IFERROR(__xludf.DUMMYFUNCTION("""COMPUTED_VALUE"""),46118.0)</f>
        <v>46118</v>
      </c>
      <c r="C11556" s="1" t="str">
        <f>IFERROR(__xludf.DUMMYFUNCTION("""COMPUTED_VALUE"""),"High Sensitivity Support")</f>
        <v>High Sensitivity Support</v>
      </c>
      <c r="D11556" s="1" t="str">
        <f>IFERROR(__xludf.DUMMYFUNCTION("""COMPUTED_VALUE"""),"f56a1f10-27ad-435d-9c50-8e847d04dbcf")</f>
        <v>f56a1f10-27ad-435d-9c50-8e847d04dbcf</v>
      </c>
      <c r="E11556" s="1">
        <f>IFERROR(__xludf.DUMMYFUNCTION("""COMPUTED_VALUE"""),5.566811301007E12)</f>
        <v>5566811301007</v>
      </c>
      <c r="F11556" s="1"/>
      <c r="G11556" s="1"/>
      <c r="H11556" s="2">
        <f>IFERROR(__xludf.DUMMYFUNCTION("""COMPUTED_VALUE"""),0.0)</f>
        <v>0</v>
      </c>
      <c r="I11556" s="5"/>
      <c r="J11556" s="1" t="str">
        <f>IFERROR(__xludf.DUMMYFUNCTION("""COMPUTED_VALUE"""),"Issi Afable")</f>
        <v>Issi Afable</v>
      </c>
      <c r="K11556" s="1" t="str">
        <f>IFERROR(__xludf.DUMMYFUNCTION("""COMPUTED_VALUE"""),"High Sensitivity Support PH")</f>
        <v>High Sensitivity Support PH</v>
      </c>
      <c r="L11556" s="1" t="str">
        <f>IFERROR(__xludf.DUMMYFUNCTION("""COMPUTED_VALUE"""),"HSS High Sensitivity Support PH - SEE")</f>
        <v>HSS High Sensitivity Support PH - SEE</v>
      </c>
    </row>
    <row r="11557">
      <c r="A11557" s="1" t="str">
        <f>IFERROR(__xludf.DUMMYFUNCTION("""COMPUTED_VALUE"""),"2026 Apr")</f>
        <v>2026 Apr</v>
      </c>
      <c r="B11557" s="4">
        <f>IFERROR(__xludf.DUMMYFUNCTION("""COMPUTED_VALUE"""),46118.0)</f>
        <v>46118</v>
      </c>
      <c r="C11557" s="1" t="str">
        <f>IFERROR(__xludf.DUMMYFUNCTION("""COMPUTED_VALUE"""),"Print Support")</f>
        <v>Print Support</v>
      </c>
      <c r="D11557" s="1" t="str">
        <f>IFERROR(__xludf.DUMMYFUNCTION("""COMPUTED_VALUE"""),"298f0d76-bd7a-4274-ba39-7bf5fff1a6f0")</f>
        <v>298f0d76-bd7a-4274-ba39-7bf5fff1a6f0</v>
      </c>
      <c r="E11557" s="1"/>
      <c r="F11557" s="1"/>
      <c r="G11557" s="1">
        <f>IFERROR(__xludf.DUMMYFUNCTION("""COMPUTED_VALUE"""),45.0)</f>
        <v>45</v>
      </c>
      <c r="H11557" s="2">
        <f>IFERROR(__xludf.DUMMYFUNCTION("""COMPUTED_VALUE"""),45.0)</f>
        <v>45</v>
      </c>
      <c r="I11557" s="5">
        <f>IFERROR(__xludf.DUMMYFUNCTION("""COMPUTED_VALUE"""),1.0)</f>
        <v>1</v>
      </c>
      <c r="J11557" s="1" t="str">
        <f>IFERROR(__xludf.DUMMYFUNCTION("""COMPUTED_VALUE"""),"Gem Agoncillo")</f>
        <v>Gem Agoncillo</v>
      </c>
      <c r="K11557" s="1" t="str">
        <f>IFERROR(__xludf.DUMMYFUNCTION("""COMPUTED_VALUE"""),"Print Design Support")</f>
        <v>Print Design Support</v>
      </c>
      <c r="L11557" s="1" t="str">
        <f>IFERROR(__xludf.DUMMYFUNCTION("""COMPUTED_VALUE"""),"Print Print Design")</f>
        <v>Print Print Design</v>
      </c>
    </row>
    <row r="11558">
      <c r="A11558" s="1" t="str">
        <f>IFERROR(__xludf.DUMMYFUNCTION("""COMPUTED_VALUE"""),"2026 Apr")</f>
        <v>2026 Apr</v>
      </c>
      <c r="B11558" s="4">
        <f>IFERROR(__xludf.DUMMYFUNCTION("""COMPUTED_VALUE"""),46118.0)</f>
        <v>46118</v>
      </c>
      <c r="C11558" s="1" t="str">
        <f>IFERROR(__xludf.DUMMYFUNCTION("""COMPUTED_VALUE"""),"Segment-specific Support")</f>
        <v>Segment-specific Support</v>
      </c>
      <c r="D11558" s="1" t="str">
        <f>IFERROR(__xludf.DUMMYFUNCTION("""COMPUTED_VALUE"""),"6a7b954c-b6c3-49ee-b531-c1516331ca46")</f>
        <v>6a7b954c-b6c3-49ee-b531-c1516331ca46</v>
      </c>
      <c r="E11558" s="1">
        <f>IFERROR(__xludf.DUMMYFUNCTION("""COMPUTED_VALUE"""),3.61725484216E11)</f>
        <v>361725484216</v>
      </c>
      <c r="F11558" s="1"/>
      <c r="G11558" s="1"/>
      <c r="H11558" s="2">
        <f>IFERROR(__xludf.DUMMYFUNCTION("""COMPUTED_VALUE"""),0.0)</f>
        <v>0</v>
      </c>
      <c r="I11558" s="5"/>
      <c r="J11558" s="1" t="str">
        <f>IFERROR(__xludf.DUMMYFUNCTION("""COMPUTED_VALUE"""),"Rose Gabilan")</f>
        <v>Rose Gabilan</v>
      </c>
      <c r="K11558" s="1" t="str">
        <f>IFERROR(__xludf.DUMMYFUNCTION("""COMPUTED_VALUE"""),"Print Support PH")</f>
        <v>Print Support PH</v>
      </c>
      <c r="L11558" s="1" t="str">
        <f>IFERROR(__xludf.DUMMYFUNCTION("""COMPUTED_VALUE"""),"Print Print - CHT")</f>
        <v>Print Print - CHT</v>
      </c>
    </row>
    <row r="11559">
      <c r="A11559" s="1" t="str">
        <f>IFERROR(__xludf.DUMMYFUNCTION("""COMPUTED_VALUE"""),"2026 Apr")</f>
        <v>2026 Apr</v>
      </c>
      <c r="B11559" s="4">
        <f>IFERROR(__xludf.DUMMYFUNCTION("""COMPUTED_VALUE"""),46118.0)</f>
        <v>46118</v>
      </c>
      <c r="C11559" s="1" t="str">
        <f>IFERROR(__xludf.DUMMYFUNCTION("""COMPUTED_VALUE"""),"Print Support")</f>
        <v>Print Support</v>
      </c>
      <c r="D11559" s="1" t="str">
        <f>IFERROR(__xludf.DUMMYFUNCTION("""COMPUTED_VALUE"""),"795981ce-4d10-4d82-8c86-abfaee5aa819")</f>
        <v>795981ce-4d10-4d82-8c86-abfaee5aa819</v>
      </c>
      <c r="E11559" s="1"/>
      <c r="F11559" s="1"/>
      <c r="G11559" s="1"/>
      <c r="H11559" s="2">
        <f>IFERROR(__xludf.DUMMYFUNCTION("""COMPUTED_VALUE"""),0.0)</f>
        <v>0</v>
      </c>
      <c r="I11559" s="5"/>
      <c r="J11559" s="1" t="str">
        <f>IFERROR(__xludf.DUMMYFUNCTION("""COMPUTED_VALUE"""),"Rei De Jesus")</f>
        <v>Rei De Jesus</v>
      </c>
      <c r="K11559" s="1" t="str">
        <f>IFERROR(__xludf.DUMMYFUNCTION("""COMPUTED_VALUE"""),"Print Design Support")</f>
        <v>Print Design Support</v>
      </c>
      <c r="L11559" s="1" t="str">
        <f>IFERROR(__xludf.DUMMYFUNCTION("""COMPUTED_VALUE"""),"Print Print Design")</f>
        <v>Print Print Design</v>
      </c>
    </row>
    <row r="11560">
      <c r="A11560" s="1" t="str">
        <f>IFERROR(__xludf.DUMMYFUNCTION("""COMPUTED_VALUE"""),"2026 Apr")</f>
        <v>2026 Apr</v>
      </c>
      <c r="B11560" s="4">
        <f>IFERROR(__xludf.DUMMYFUNCTION("""COMPUTED_VALUE"""),46118.0)</f>
        <v>46118</v>
      </c>
      <c r="C11560" s="1" t="str">
        <f>IFERROR(__xludf.DUMMYFUNCTION("""COMPUTED_VALUE"""),"Core Product Support")</f>
        <v>Core Product Support</v>
      </c>
      <c r="D11560" s="1" t="str">
        <f>IFERROR(__xludf.DUMMYFUNCTION("""COMPUTED_VALUE"""),"c3188fb3-23e5-43d8-86c2-072029c768d3")</f>
        <v>c3188fb3-23e5-43d8-86c2-072029c768d3</v>
      </c>
      <c r="E11560" s="1">
        <f>IFERROR(__xludf.DUMMYFUNCTION("""COMPUTED_VALUE"""),1.0808000160399E13)</f>
        <v>10808000160399</v>
      </c>
      <c r="F11560" s="1">
        <f>IFERROR(__xludf.DUMMYFUNCTION("""COMPUTED_VALUE"""),0.5)</f>
        <v>0.5</v>
      </c>
      <c r="G11560" s="1">
        <f>IFERROR(__xludf.DUMMYFUNCTION("""COMPUTED_VALUE"""),1.25)</f>
        <v>1.25</v>
      </c>
      <c r="H11560" s="2">
        <f>IFERROR(__xludf.DUMMYFUNCTION("""COMPUTED_VALUE"""),1.75)</f>
        <v>1.75</v>
      </c>
      <c r="I11560" s="5">
        <f>IFERROR(__xludf.DUMMYFUNCTION("""COMPUTED_VALUE"""),0.7142857142857143)</f>
        <v>0.7142857143</v>
      </c>
      <c r="J11560" s="1" t="str">
        <f>IFERROR(__xludf.DUMMYFUNCTION("""COMPUTED_VALUE"""),"Cate Velasco")</f>
        <v>Cate Velasco</v>
      </c>
      <c r="K11560" s="1" t="str">
        <f>IFERROR(__xludf.DUMMYFUNCTION("""COMPUTED_VALUE"""),"Advanced Product Support")</f>
        <v>Advanced Product Support</v>
      </c>
      <c r="L11560" s="1" t="str">
        <f>IFERROR(__xludf.DUMMYFUNCTION("""COMPUTED_VALUE"""),"CPS Advanced Product Support (APS)")</f>
        <v>CPS Advanced Product Support (APS)</v>
      </c>
    </row>
    <row r="11561">
      <c r="A11561" s="1" t="str">
        <f>IFERROR(__xludf.DUMMYFUNCTION("""COMPUTED_VALUE"""),"2026 Apr")</f>
        <v>2026 Apr</v>
      </c>
      <c r="B11561" s="4">
        <f>IFERROR(__xludf.DUMMYFUNCTION("""COMPUTED_VALUE"""),46118.0)</f>
        <v>46118</v>
      </c>
      <c r="C11561" s="1" t="str">
        <f>IFERROR(__xludf.DUMMYFUNCTION("""COMPUTED_VALUE"""),"Core Product Support")</f>
        <v>Core Product Support</v>
      </c>
      <c r="D11561" s="1" t="str">
        <f>IFERROR(__xludf.DUMMYFUNCTION("""COMPUTED_VALUE"""),"64aee857-09bd-4a17-90d8-7b6e2d71c216")</f>
        <v>64aee857-09bd-4a17-90d8-7b6e2d71c216</v>
      </c>
      <c r="E11561" s="1">
        <f>IFERROR(__xludf.DUMMYFUNCTION("""COMPUTED_VALUE"""),3.61725374316E11)</f>
        <v>361725374316</v>
      </c>
      <c r="F11561" s="1"/>
      <c r="G11561" s="1">
        <f>IFERROR(__xludf.DUMMYFUNCTION("""COMPUTED_VALUE"""),4.25)</f>
        <v>4.25</v>
      </c>
      <c r="H11561" s="2">
        <f>IFERROR(__xludf.DUMMYFUNCTION("""COMPUTED_VALUE"""),4.25)</f>
        <v>4.25</v>
      </c>
      <c r="I11561" s="5">
        <f>IFERROR(__xludf.DUMMYFUNCTION("""COMPUTED_VALUE"""),1.0)</f>
        <v>1</v>
      </c>
      <c r="J11561" s="1" t="str">
        <f>IFERROR(__xludf.DUMMYFUNCTION("""COMPUTED_VALUE"""),"Sieg Ballelos")</f>
        <v>Sieg Ballelos</v>
      </c>
      <c r="K11561" s="1" t="str">
        <f>IFERROR(__xludf.DUMMYFUNCTION("""COMPUTED_VALUE"""),"Core Product Support Escalation Team")</f>
        <v>Core Product Support Escalation Team</v>
      </c>
      <c r="L11561"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562">
      <c r="A11562" s="1" t="str">
        <f>IFERROR(__xludf.DUMMYFUNCTION("""COMPUTED_VALUE"""),"2026 Apr")</f>
        <v>2026 Apr</v>
      </c>
      <c r="B11562" s="4">
        <f>IFERROR(__xludf.DUMMYFUNCTION("""COMPUTED_VALUE"""),46118.0)</f>
        <v>46118</v>
      </c>
      <c r="C11562" s="1" t="str">
        <f>IFERROR(__xludf.DUMMYFUNCTION("""COMPUTED_VALUE"""),"High Sensitivity Support")</f>
        <v>High Sensitivity Support</v>
      </c>
      <c r="D11562" s="1" t="str">
        <f>IFERROR(__xludf.DUMMYFUNCTION("""COMPUTED_VALUE"""),"c7c30477-846d-4f22-bc04-2aab19385d44")</f>
        <v>c7c30477-846d-4f22-bc04-2aab19385d44</v>
      </c>
      <c r="E11562" s="1">
        <f>IFERROR(__xludf.DUMMYFUNCTION("""COMPUTED_VALUE"""),5.359149433359E12)</f>
        <v>5359149433359</v>
      </c>
      <c r="F11562" s="1"/>
      <c r="G11562" s="1">
        <f>IFERROR(__xludf.DUMMYFUNCTION("""COMPUTED_VALUE"""),2.0)</f>
        <v>2</v>
      </c>
      <c r="H11562" s="2">
        <f>IFERROR(__xludf.DUMMYFUNCTION("""COMPUTED_VALUE"""),2.0)</f>
        <v>2</v>
      </c>
      <c r="I11562" s="5">
        <f>IFERROR(__xludf.DUMMYFUNCTION("""COMPUTED_VALUE"""),1.0)</f>
        <v>1</v>
      </c>
      <c r="J11562" s="1" t="str">
        <f>IFERROR(__xludf.DUMMYFUNCTION("""COMPUTED_VALUE"""),"Xandy Azarcon")</f>
        <v>Xandy Azarcon</v>
      </c>
      <c r="K11562" s="1" t="str">
        <f>IFERROR(__xludf.DUMMYFUNCTION("""COMPUTED_VALUE"""),"High Sensitivity Support PH")</f>
        <v>High Sensitivity Support PH</v>
      </c>
      <c r="L11562" s="1" t="str">
        <f>IFERROR(__xludf.DUMMYFUNCTION("""COMPUTED_VALUE"""),"HSS High Sensitivity Support PH - CHT")</f>
        <v>HSS High Sensitivity Support PH - CHT</v>
      </c>
    </row>
    <row r="11563">
      <c r="A11563" s="1" t="str">
        <f>IFERROR(__xludf.DUMMYFUNCTION("""COMPUTED_VALUE"""),"2026 Apr")</f>
        <v>2026 Apr</v>
      </c>
      <c r="B11563" s="4">
        <f>IFERROR(__xludf.DUMMYFUNCTION("""COMPUTED_VALUE"""),46118.0)</f>
        <v>46118</v>
      </c>
      <c r="C11563" s="1" t="str">
        <f>IFERROR(__xludf.DUMMYFUNCTION("""COMPUTED_VALUE"""),"High Sensitivity Support")</f>
        <v>High Sensitivity Support</v>
      </c>
      <c r="D11563" s="1" t="str">
        <f>IFERROR(__xludf.DUMMYFUNCTION("""COMPUTED_VALUE"""),"42147b58-e8e5-4766-a41a-8d98cf8a5872")</f>
        <v>42147b58-e8e5-4766-a41a-8d98cf8a5872</v>
      </c>
      <c r="E11563" s="1">
        <f>IFERROR(__xludf.DUMMYFUNCTION("""COMPUTED_VALUE"""),5.359185373455E12)</f>
        <v>5359185373455</v>
      </c>
      <c r="F11563" s="1"/>
      <c r="G11563" s="1">
        <f>IFERROR(__xludf.DUMMYFUNCTION("""COMPUTED_VALUE"""),2.0)</f>
        <v>2</v>
      </c>
      <c r="H11563" s="2">
        <f>IFERROR(__xludf.DUMMYFUNCTION("""COMPUTED_VALUE"""),2.0)</f>
        <v>2</v>
      </c>
      <c r="I11563" s="5">
        <f>IFERROR(__xludf.DUMMYFUNCTION("""COMPUTED_VALUE"""),1.0)</f>
        <v>1</v>
      </c>
      <c r="J11563" s="1" t="str">
        <f>IFERROR(__xludf.DUMMYFUNCTION("""COMPUTED_VALUE"""),"Rossheen Pura")</f>
        <v>Rossheen Pura</v>
      </c>
      <c r="K11563" s="1" t="str">
        <f>IFERROR(__xludf.DUMMYFUNCTION("""COMPUTED_VALUE"""),"High Sensitivity Support PH")</f>
        <v>High Sensitivity Support PH</v>
      </c>
      <c r="L11563" s="1" t="str">
        <f>IFERROR(__xludf.DUMMYFUNCTION("""COMPUTED_VALUE"""),"HSS High Sensitivity Support PH - CHT")</f>
        <v>HSS High Sensitivity Support PH - CHT</v>
      </c>
    </row>
    <row r="11564">
      <c r="A11564" s="1" t="str">
        <f>IFERROR(__xludf.DUMMYFUNCTION("""COMPUTED_VALUE"""),"2026 Apr")</f>
        <v>2026 Apr</v>
      </c>
      <c r="B11564" s="4">
        <f>IFERROR(__xludf.DUMMYFUNCTION("""COMPUTED_VALUE"""),46118.0)</f>
        <v>46118</v>
      </c>
      <c r="C11564" s="1" t="str">
        <f>IFERROR(__xludf.DUMMYFUNCTION("""COMPUTED_VALUE"""),"Core Product Support")</f>
        <v>Core Product Support</v>
      </c>
      <c r="D11564" s="1" t="str">
        <f>IFERROR(__xludf.DUMMYFUNCTION("""COMPUTED_VALUE"""),"b70eebc6-c7c9-48bc-a876-82736f994fb9")</f>
        <v>b70eebc6-c7c9-48bc-a876-82736f994fb9</v>
      </c>
      <c r="E11564" s="1">
        <f>IFERROR(__xludf.DUMMYFUNCTION("""COMPUTED_VALUE"""),1.1401980902415E13)</f>
        <v>11401980902415</v>
      </c>
      <c r="F11564" s="1"/>
      <c r="G11564" s="1">
        <f>IFERROR(__xludf.DUMMYFUNCTION("""COMPUTED_VALUE"""),1.25)</f>
        <v>1.25</v>
      </c>
      <c r="H11564" s="2">
        <f>IFERROR(__xludf.DUMMYFUNCTION("""COMPUTED_VALUE"""),1.25)</f>
        <v>1.25</v>
      </c>
      <c r="I11564" s="5">
        <f>IFERROR(__xludf.DUMMYFUNCTION("""COMPUTED_VALUE"""),1.0)</f>
        <v>1</v>
      </c>
      <c r="J11564" s="1" t="str">
        <f>IFERROR(__xludf.DUMMYFUNCTION("""COMPUTED_VALUE"""),"Ayza Marie Pascual")</f>
        <v>Ayza Marie Pascual</v>
      </c>
      <c r="K11564" s="1" t="str">
        <f>IFERROR(__xludf.DUMMYFUNCTION("""COMPUTED_VALUE"""),"Advanced Billing &amp; Subscriptions")</f>
        <v>Advanced Billing &amp; Subscriptions</v>
      </c>
      <c r="L11564" s="1" t="str">
        <f>IFERROR(__xludf.DUMMYFUNCTION("""COMPUTED_VALUE"""),"CPS Advanced Billing and Subscriptions (ABS)")</f>
        <v>CPS Advanced Billing and Subscriptions (ABS)</v>
      </c>
    </row>
    <row r="11565">
      <c r="A11565" s="1" t="str">
        <f>IFERROR(__xludf.DUMMYFUNCTION("""COMPUTED_VALUE"""),"2026 Apr")</f>
        <v>2026 Apr</v>
      </c>
      <c r="B11565" s="4">
        <f>IFERROR(__xludf.DUMMYFUNCTION("""COMPUTED_VALUE"""),46118.0)</f>
        <v>46118</v>
      </c>
      <c r="C11565" s="1" t="str">
        <f>IFERROR(__xludf.DUMMYFUNCTION("""COMPUTED_VALUE"""),"Core Product Support")</f>
        <v>Core Product Support</v>
      </c>
      <c r="D11565" s="1" t="str">
        <f>IFERROR(__xludf.DUMMYFUNCTION("""COMPUTED_VALUE"""),"9d825d2e-3519-4559-9782-f32e81d2d824")</f>
        <v>9d825d2e-3519-4559-9782-f32e81d2d824</v>
      </c>
      <c r="E11565" s="1">
        <f>IFERROR(__xludf.DUMMYFUNCTION("""COMPUTED_VALUE"""),3.61861297715E11)</f>
        <v>361861297715</v>
      </c>
      <c r="F11565" s="1"/>
      <c r="G11565" s="1">
        <f>IFERROR(__xludf.DUMMYFUNCTION("""COMPUTED_VALUE"""),1.25)</f>
        <v>1.25</v>
      </c>
      <c r="H11565" s="2">
        <f>IFERROR(__xludf.DUMMYFUNCTION("""COMPUTED_VALUE"""),1.25)</f>
        <v>1.25</v>
      </c>
      <c r="I11565" s="5">
        <f>IFERROR(__xludf.DUMMYFUNCTION("""COMPUTED_VALUE"""),1.0)</f>
        <v>1</v>
      </c>
      <c r="J11565" s="1" t="str">
        <f>IFERROR(__xludf.DUMMYFUNCTION("""COMPUTED_VALUE"""),"Jem Mondoñedo")</f>
        <v>Jem Mondoñedo</v>
      </c>
      <c r="K11565" s="1" t="str">
        <f>IFERROR(__xludf.DUMMYFUNCTION("""COMPUTED_VALUE"""),"Advanced Billing &amp; Subscriptions")</f>
        <v>Advanced Billing &amp; Subscriptions</v>
      </c>
      <c r="L11565" s="1" t="str">
        <f>IFERROR(__xludf.DUMMYFUNCTION("""COMPUTED_VALUE"""),"CPS Advanced Billing and Subscriptions (ABS)")</f>
        <v>CPS Advanced Billing and Subscriptions (ABS)</v>
      </c>
    </row>
    <row r="11566">
      <c r="A11566" s="1" t="str">
        <f>IFERROR(__xludf.DUMMYFUNCTION("""COMPUTED_VALUE"""),"2026 Apr")</f>
        <v>2026 Apr</v>
      </c>
      <c r="B11566" s="4">
        <f>IFERROR(__xludf.DUMMYFUNCTION("""COMPUTED_VALUE"""),46118.0)</f>
        <v>46118</v>
      </c>
      <c r="C11566" s="1" t="str">
        <f>IFERROR(__xludf.DUMMYFUNCTION("""COMPUTED_VALUE"""),"Core Product Support")</f>
        <v>Core Product Support</v>
      </c>
      <c r="D11566" s="1" t="str">
        <f>IFERROR(__xludf.DUMMYFUNCTION("""COMPUTED_VALUE"""),"f05426fa-d3ef-48ef-9506-1b0d003468b9")</f>
        <v>f05426fa-d3ef-48ef-9506-1b0d003468b9</v>
      </c>
      <c r="E11566" s="1">
        <f>IFERROR(__xludf.DUMMYFUNCTION("""COMPUTED_VALUE"""),8.409892191631E12)</f>
        <v>8409892191631</v>
      </c>
      <c r="F11566" s="1"/>
      <c r="G11566" s="1">
        <f>IFERROR(__xludf.DUMMYFUNCTION("""COMPUTED_VALUE"""),1.25)</f>
        <v>1.25</v>
      </c>
      <c r="H11566" s="2">
        <f>IFERROR(__xludf.DUMMYFUNCTION("""COMPUTED_VALUE"""),1.25)</f>
        <v>1.25</v>
      </c>
      <c r="I11566" s="5">
        <f>IFERROR(__xludf.DUMMYFUNCTION("""COMPUTED_VALUE"""),1.0)</f>
        <v>1</v>
      </c>
      <c r="J11566" s="1" t="str">
        <f>IFERROR(__xludf.DUMMYFUNCTION("""COMPUTED_VALUE"""),"Jahmie Mae Barrameda")</f>
        <v>Jahmie Mae Barrameda</v>
      </c>
      <c r="K11566" s="1" t="str">
        <f>IFERROR(__xludf.DUMMYFUNCTION("""COMPUTED_VALUE"""),"Advanced Billing &amp; Subscriptions")</f>
        <v>Advanced Billing &amp; Subscriptions</v>
      </c>
      <c r="L11566" s="1" t="str">
        <f>IFERROR(__xludf.DUMMYFUNCTION("""COMPUTED_VALUE"""),"CPS Advanced Billing and Subscriptions (ABS)")</f>
        <v>CPS Advanced Billing and Subscriptions (ABS)</v>
      </c>
    </row>
    <row r="11567">
      <c r="A11567" s="1" t="str">
        <f>IFERROR(__xludf.DUMMYFUNCTION("""COMPUTED_VALUE"""),"2026 Apr")</f>
        <v>2026 Apr</v>
      </c>
      <c r="B11567" s="4">
        <f>IFERROR(__xludf.DUMMYFUNCTION("""COMPUTED_VALUE"""),46118.0)</f>
        <v>46118</v>
      </c>
      <c r="C11567" s="1" t="str">
        <f>IFERROR(__xludf.DUMMYFUNCTION("""COMPUTED_VALUE"""),"Multilingual Support")</f>
        <v>Multilingual Support</v>
      </c>
      <c r="D11567" s="1" t="str">
        <f>IFERROR(__xludf.DUMMYFUNCTION("""COMPUTED_VALUE"""),"ddff770a-8bbb-4a78-9bec-f5c563c6b901")</f>
        <v>ddff770a-8bbb-4a78-9bec-f5c563c6b901</v>
      </c>
      <c r="E11567" s="1">
        <f>IFERROR(__xludf.DUMMYFUNCTION("""COMPUTED_VALUE"""),4.759846838031E12)</f>
        <v>4759846838031</v>
      </c>
      <c r="F11567" s="1"/>
      <c r="G11567" s="1"/>
      <c r="H11567" s="2">
        <f>IFERROR(__xludf.DUMMYFUNCTION("""COMPUTED_VALUE"""),0.0)</f>
        <v>0</v>
      </c>
      <c r="I11567" s="5"/>
      <c r="J11567" s="1" t="str">
        <f>IFERROR(__xludf.DUMMYFUNCTION("""COMPUTED_VALUE"""),"Arlene Maurillo")</f>
        <v>Arlene Maurillo</v>
      </c>
      <c r="K11567" s="1" t="str">
        <f>IFERROR(__xludf.DUMMYFUNCTION("""COMPUTED_VALUE"""),"PHL, Multilingual Support")</f>
        <v>PHL, Multilingual Support</v>
      </c>
      <c r="L11567" s="1" t="str">
        <f>IFERROR(__xludf.DUMMYFUNCTION("""COMPUTED_VALUE"""),"ML Portuguese Support")</f>
        <v>ML Portuguese Support</v>
      </c>
    </row>
    <row r="11568">
      <c r="A11568" s="1" t="str">
        <f>IFERROR(__xludf.DUMMYFUNCTION("""COMPUTED_VALUE"""),"2026 Apr")</f>
        <v>2026 Apr</v>
      </c>
      <c r="B11568" s="4">
        <f>IFERROR(__xludf.DUMMYFUNCTION("""COMPUTED_VALUE"""),46118.0)</f>
        <v>46118</v>
      </c>
      <c r="C11568" s="1" t="str">
        <f>IFERROR(__xludf.DUMMYFUNCTION("""COMPUTED_VALUE"""),"Core Product Support")</f>
        <v>Core Product Support</v>
      </c>
      <c r="D11568" s="1" t="str">
        <f>IFERROR(__xludf.DUMMYFUNCTION("""COMPUTED_VALUE"""),"50370a17-1382-4a9f-8e42-5d34af042f22")</f>
        <v>50370a17-1382-4a9f-8e42-5d34af042f22</v>
      </c>
      <c r="E11568" s="1">
        <f>IFERROR(__xludf.DUMMYFUNCTION("""COMPUTED_VALUE"""),1.1401981770511E13)</f>
        <v>11401981770511</v>
      </c>
      <c r="F11568" s="1">
        <f>IFERROR(__xludf.DUMMYFUNCTION("""COMPUTED_VALUE"""),0.5)</f>
        <v>0.5</v>
      </c>
      <c r="G11568" s="1">
        <f>IFERROR(__xludf.DUMMYFUNCTION("""COMPUTED_VALUE"""),1.25)</f>
        <v>1.25</v>
      </c>
      <c r="H11568" s="2">
        <f>IFERROR(__xludf.DUMMYFUNCTION("""COMPUTED_VALUE"""),1.75)</f>
        <v>1.75</v>
      </c>
      <c r="I11568" s="5">
        <f>IFERROR(__xludf.DUMMYFUNCTION("""COMPUTED_VALUE"""),0.7142857142857143)</f>
        <v>0.7142857143</v>
      </c>
      <c r="J11568" s="1" t="str">
        <f>IFERROR(__xludf.DUMMYFUNCTION("""COMPUTED_VALUE"""),"Mikhaela Decangchon")</f>
        <v>Mikhaela Decangchon</v>
      </c>
      <c r="K11568" s="1" t="str">
        <f>IFERROR(__xludf.DUMMYFUNCTION("""COMPUTED_VALUE"""),"Advanced Product Support")</f>
        <v>Advanced Product Support</v>
      </c>
      <c r="L11568" s="1" t="str">
        <f>IFERROR(__xludf.DUMMYFUNCTION("""COMPUTED_VALUE"""),"CPS Advanced Product Support (APS)")</f>
        <v>CPS Advanced Product Support (APS)</v>
      </c>
    </row>
    <row r="11569">
      <c r="A11569" s="1" t="str">
        <f>IFERROR(__xludf.DUMMYFUNCTION("""COMPUTED_VALUE"""),"2026 Apr")</f>
        <v>2026 Apr</v>
      </c>
      <c r="B11569" s="4">
        <f>IFERROR(__xludf.DUMMYFUNCTION("""COMPUTED_VALUE"""),46118.0)</f>
        <v>46118</v>
      </c>
      <c r="C11569" s="1" t="str">
        <f>IFERROR(__xludf.DUMMYFUNCTION("""COMPUTED_VALUE"""),"Core Product Support")</f>
        <v>Core Product Support</v>
      </c>
      <c r="D11569" s="1" t="str">
        <f>IFERROR(__xludf.DUMMYFUNCTION("""COMPUTED_VALUE"""),"6472d23f-e427-46f0-a9cb-1e9b17ddfd44")</f>
        <v>6472d23f-e427-46f0-a9cb-1e9b17ddfd44</v>
      </c>
      <c r="E11569" s="1">
        <f>IFERROR(__xludf.DUMMYFUNCTION("""COMPUTED_VALUE"""),1.0548627051023E13)</f>
        <v>10548627051023</v>
      </c>
      <c r="F11569" s="1">
        <f>IFERROR(__xludf.DUMMYFUNCTION("""COMPUTED_VALUE"""),0.5)</f>
        <v>0.5</v>
      </c>
      <c r="G11569" s="1">
        <f>IFERROR(__xludf.DUMMYFUNCTION("""COMPUTED_VALUE"""),2.5)</f>
        <v>2.5</v>
      </c>
      <c r="H11569" s="2">
        <f>IFERROR(__xludf.DUMMYFUNCTION("""COMPUTED_VALUE"""),3.0)</f>
        <v>3</v>
      </c>
      <c r="I11569" s="5">
        <f>IFERROR(__xludf.DUMMYFUNCTION("""COMPUTED_VALUE"""),0.8333333333333334)</f>
        <v>0.8333333333</v>
      </c>
      <c r="J11569" s="1" t="str">
        <f>IFERROR(__xludf.DUMMYFUNCTION("""COMPUTED_VALUE"""),"Belle Bentazal")</f>
        <v>Belle Bentazal</v>
      </c>
      <c r="K11569" s="1" t="str">
        <f>IFERROR(__xludf.DUMMYFUNCTION("""COMPUTED_VALUE"""),"Advanced Product Support")</f>
        <v>Advanced Product Support</v>
      </c>
      <c r="L11569" s="1" t="str">
        <f>IFERROR(__xludf.DUMMYFUNCTION("""COMPUTED_VALUE"""),"CPS Advanced Product Support (APS)")</f>
        <v>CPS Advanced Product Support (APS)</v>
      </c>
    </row>
    <row r="11570">
      <c r="A11570" s="1" t="str">
        <f>IFERROR(__xludf.DUMMYFUNCTION("""COMPUTED_VALUE"""),"2026 Apr")</f>
        <v>2026 Apr</v>
      </c>
      <c r="B11570" s="4">
        <f>IFERROR(__xludf.DUMMYFUNCTION("""COMPUTED_VALUE"""),46118.0)</f>
        <v>46118</v>
      </c>
      <c r="C11570" s="1" t="str">
        <f>IFERROR(__xludf.DUMMYFUNCTION("""COMPUTED_VALUE"""),"Core Product Support")</f>
        <v>Core Product Support</v>
      </c>
      <c r="D11570" s="1" t="str">
        <f>IFERROR(__xludf.DUMMYFUNCTION("""COMPUTED_VALUE"""),"03428ca1-a361-4015-9a9f-9609cb3ad0fe")</f>
        <v>03428ca1-a361-4015-9a9f-9609cb3ad0fe</v>
      </c>
      <c r="E11570" s="1">
        <f>IFERROR(__xludf.DUMMYFUNCTION("""COMPUTED_VALUE"""),5.047314651919E12)</f>
        <v>5047314651919</v>
      </c>
      <c r="F11570" s="1">
        <f>IFERROR(__xludf.DUMMYFUNCTION("""COMPUTED_VALUE"""),0.5)</f>
        <v>0.5</v>
      </c>
      <c r="G11570" s="1">
        <f>IFERROR(__xludf.DUMMYFUNCTION("""COMPUTED_VALUE"""),2.5)</f>
        <v>2.5</v>
      </c>
      <c r="H11570" s="2">
        <f>IFERROR(__xludf.DUMMYFUNCTION("""COMPUTED_VALUE"""),3.0)</f>
        <v>3</v>
      </c>
      <c r="I11570" s="5">
        <f>IFERROR(__xludf.DUMMYFUNCTION("""COMPUTED_VALUE"""),0.8333333333333334)</f>
        <v>0.8333333333</v>
      </c>
      <c r="J11570" s="1" t="str">
        <f>IFERROR(__xludf.DUMMYFUNCTION("""COMPUTED_VALUE"""),"Jelyn Elmido")</f>
        <v>Jelyn Elmido</v>
      </c>
      <c r="K11570" s="1" t="str">
        <f>IFERROR(__xludf.DUMMYFUNCTION("""COMPUTED_VALUE"""),"Core Product Support Escalation Team")</f>
        <v>Core Product Support Escalation Team</v>
      </c>
      <c r="L11570"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571">
      <c r="A11571" s="1" t="str">
        <f>IFERROR(__xludf.DUMMYFUNCTION("""COMPUTED_VALUE"""),"2026 Apr")</f>
        <v>2026 Apr</v>
      </c>
      <c r="B11571" s="4">
        <f>IFERROR(__xludf.DUMMYFUNCTION("""COMPUTED_VALUE"""),46118.0)</f>
        <v>46118</v>
      </c>
      <c r="C11571" s="1" t="str">
        <f>IFERROR(__xludf.DUMMYFUNCTION("""COMPUTED_VALUE"""),"Core Product Support")</f>
        <v>Core Product Support</v>
      </c>
      <c r="D11571" s="1" t="str">
        <f>IFERROR(__xludf.DUMMYFUNCTION("""COMPUTED_VALUE"""),"eb75942b-e616-42a5-bbc5-1d6cc92843bb")</f>
        <v>eb75942b-e616-42a5-bbc5-1d6cc92843bb</v>
      </c>
      <c r="E11571" s="1">
        <f>IFERROR(__xludf.DUMMYFUNCTION("""COMPUTED_VALUE"""),7.437355919375E12)</f>
        <v>7437355919375</v>
      </c>
      <c r="F11571" s="1"/>
      <c r="G11571" s="1">
        <f>IFERROR(__xludf.DUMMYFUNCTION("""COMPUTED_VALUE"""),1.25)</f>
        <v>1.25</v>
      </c>
      <c r="H11571" s="2">
        <f>IFERROR(__xludf.DUMMYFUNCTION("""COMPUTED_VALUE"""),1.25)</f>
        <v>1.25</v>
      </c>
      <c r="I11571" s="5">
        <f>IFERROR(__xludf.DUMMYFUNCTION("""COMPUTED_VALUE"""),1.0)</f>
        <v>1</v>
      </c>
      <c r="J11571" s="1" t="str">
        <f>IFERROR(__xludf.DUMMYFUNCTION("""COMPUTED_VALUE"""),"Ana Lazaro")</f>
        <v>Ana Lazaro</v>
      </c>
      <c r="K11571" s="1" t="str">
        <f>IFERROR(__xludf.DUMMYFUNCTION("""COMPUTED_VALUE"""),"Advanced Billing &amp; Subscriptions")</f>
        <v>Advanced Billing &amp; Subscriptions</v>
      </c>
      <c r="L11571" s="1" t="str">
        <f>IFERROR(__xludf.DUMMYFUNCTION("""COMPUTED_VALUE"""),"CPS Advanced Billing and Subscriptions (ABS)")</f>
        <v>CPS Advanced Billing and Subscriptions (ABS)</v>
      </c>
    </row>
    <row r="11572">
      <c r="A11572" s="1" t="str">
        <f>IFERROR(__xludf.DUMMYFUNCTION("""COMPUTED_VALUE"""),"2026 Apr")</f>
        <v>2026 Apr</v>
      </c>
      <c r="B11572" s="4">
        <f>IFERROR(__xludf.DUMMYFUNCTION("""COMPUTED_VALUE"""),46118.0)</f>
        <v>46118</v>
      </c>
      <c r="C11572" s="1" t="str">
        <f>IFERROR(__xludf.DUMMYFUNCTION("""COMPUTED_VALUE"""),"Admin Support")</f>
        <v>Admin Support</v>
      </c>
      <c r="D11572" s="1" t="str">
        <f>IFERROR(__xludf.DUMMYFUNCTION("""COMPUTED_VALUE"""),"3f58d026-d7af-4464-8ba2-17fb4976b8ac")</f>
        <v>3f58d026-d7af-4464-8ba2-17fb4976b8ac</v>
      </c>
      <c r="E11572" s="1">
        <f>IFERROR(__xludf.DUMMYFUNCTION("""COMPUTED_VALUE"""),3.61724668516E11)</f>
        <v>361724668516</v>
      </c>
      <c r="F11572" s="1"/>
      <c r="G11572" s="1"/>
      <c r="H11572" s="2">
        <f>IFERROR(__xludf.DUMMYFUNCTION("""COMPUTED_VALUE"""),0.0)</f>
        <v>0</v>
      </c>
      <c r="I11572" s="5"/>
      <c r="J11572" s="1" t="str">
        <f>IFERROR(__xludf.DUMMYFUNCTION("""COMPUTED_VALUE"""),"Karla Mananghaya")</f>
        <v>Karla Mananghaya</v>
      </c>
      <c r="K11572" s="1" t="str">
        <f>IFERROR(__xludf.DUMMYFUNCTION("""COMPUTED_VALUE"""),"Admin Support Service Escalation Team")</f>
        <v>Admin Support Service Escalation Team</v>
      </c>
      <c r="L11572" s="1" t="str">
        <f>IFERROR(__xludf.DUMMYFUNCTION("""COMPUTED_VALUE"""),"Admin ASSET")</f>
        <v>Admin ASSET</v>
      </c>
    </row>
    <row r="11573">
      <c r="A11573" s="1" t="str">
        <f>IFERROR(__xludf.DUMMYFUNCTION("""COMPUTED_VALUE"""),"2026 Apr")</f>
        <v>2026 Apr</v>
      </c>
      <c r="B11573" s="4">
        <f>IFERROR(__xludf.DUMMYFUNCTION("""COMPUTED_VALUE"""),46118.0)</f>
        <v>46118</v>
      </c>
      <c r="C11573" s="1" t="str">
        <f>IFERROR(__xludf.DUMMYFUNCTION("""COMPUTED_VALUE"""),"Admin Support")</f>
        <v>Admin Support</v>
      </c>
      <c r="D11573" s="1" t="str">
        <f>IFERROR(__xludf.DUMMYFUNCTION("""COMPUTED_VALUE"""),"021b74ea-5511-4b56-9f2a-6ea9d6443caa")</f>
        <v>021b74ea-5511-4b56-9f2a-6ea9d6443caa</v>
      </c>
      <c r="E11573" s="1">
        <f>IFERROR(__xludf.DUMMYFUNCTION("""COMPUTED_VALUE"""),3.61725374416E11)</f>
        <v>361725374416</v>
      </c>
      <c r="F11573" s="1"/>
      <c r="G11573" s="1">
        <f>IFERROR(__xludf.DUMMYFUNCTION("""COMPUTED_VALUE"""),0.25)</f>
        <v>0.25</v>
      </c>
      <c r="H11573" s="2">
        <f>IFERROR(__xludf.DUMMYFUNCTION("""COMPUTED_VALUE"""),0.25)</f>
        <v>0.25</v>
      </c>
      <c r="I11573" s="5">
        <f>IFERROR(__xludf.DUMMYFUNCTION("""COMPUTED_VALUE"""),1.0)</f>
        <v>1</v>
      </c>
      <c r="J11573" s="1" t="str">
        <f>IFERROR(__xludf.DUMMYFUNCTION("""COMPUTED_VALUE"""),"Pau Palmero")</f>
        <v>Pau Palmero</v>
      </c>
      <c r="K11573" s="1" t="str">
        <f>IFERROR(__xludf.DUMMYFUNCTION("""COMPUTED_VALUE"""),"Admin Omni Support")</f>
        <v>Admin Omni Support</v>
      </c>
      <c r="L11573" s="1" t="str">
        <f>IFERROR(__xludf.DUMMYFUNCTION("""COMPUTED_VALUE"""),"Admin Omni Support")</f>
        <v>Admin Omni Support</v>
      </c>
    </row>
    <row r="11574">
      <c r="A11574" s="1" t="str">
        <f>IFERROR(__xludf.DUMMYFUNCTION("""COMPUTED_VALUE"""),"2026 Apr")</f>
        <v>2026 Apr</v>
      </c>
      <c r="B11574" s="4">
        <f>IFERROR(__xludf.DUMMYFUNCTION("""COMPUTED_VALUE"""),46118.0)</f>
        <v>46118</v>
      </c>
      <c r="C11574" s="1" t="str">
        <f>IFERROR(__xludf.DUMMYFUNCTION("""COMPUTED_VALUE"""),"Admin Support")</f>
        <v>Admin Support</v>
      </c>
      <c r="D11574" s="1" t="str">
        <f>IFERROR(__xludf.DUMMYFUNCTION("""COMPUTED_VALUE"""),"328935f7-c639-4b8f-8512-a9641b2cf808")</f>
        <v>328935f7-c639-4b8f-8512-a9641b2cf808</v>
      </c>
      <c r="E11574" s="1">
        <f>IFERROR(__xludf.DUMMYFUNCTION("""COMPUTED_VALUE"""),3.61731648215E11)</f>
        <v>361731648215</v>
      </c>
      <c r="F11574" s="1"/>
      <c r="G11574" s="1">
        <f>IFERROR(__xludf.DUMMYFUNCTION("""COMPUTED_VALUE"""),0.25)</f>
        <v>0.25</v>
      </c>
      <c r="H11574" s="2">
        <f>IFERROR(__xludf.DUMMYFUNCTION("""COMPUTED_VALUE"""),0.25)</f>
        <v>0.25</v>
      </c>
      <c r="I11574" s="5">
        <f>IFERROR(__xludf.DUMMYFUNCTION("""COMPUTED_VALUE"""),1.0)</f>
        <v>1</v>
      </c>
      <c r="J11574" s="1" t="str">
        <f>IFERROR(__xludf.DUMMYFUNCTION("""COMPUTED_VALUE"""),"Pau Palmero")</f>
        <v>Pau Palmero</v>
      </c>
      <c r="K11574" s="1" t="str">
        <f>IFERROR(__xludf.DUMMYFUNCTION("""COMPUTED_VALUE"""),"Admin Omni Support")</f>
        <v>Admin Omni Support</v>
      </c>
      <c r="L11574" s="1" t="str">
        <f>IFERROR(__xludf.DUMMYFUNCTION("""COMPUTED_VALUE"""),"Admin Omni Support")</f>
        <v>Admin Omni Support</v>
      </c>
    </row>
    <row r="11575">
      <c r="A11575" s="1" t="str">
        <f>IFERROR(__xludf.DUMMYFUNCTION("""COMPUTED_VALUE"""),"2026 Apr")</f>
        <v>2026 Apr</v>
      </c>
      <c r="B11575" s="4">
        <f>IFERROR(__xludf.DUMMYFUNCTION("""COMPUTED_VALUE"""),46118.0)</f>
        <v>46118</v>
      </c>
      <c r="C11575" s="1" t="str">
        <f>IFERROR(__xludf.DUMMYFUNCTION("""COMPUTED_VALUE"""),"Core Product Support")</f>
        <v>Core Product Support</v>
      </c>
      <c r="D11575" s="1" t="str">
        <f>IFERROR(__xludf.DUMMYFUNCTION("""COMPUTED_VALUE"""),"157b66db-b9f4-4a3d-a00a-5cf3eefe9b58")</f>
        <v>157b66db-b9f4-4a3d-a00a-5cf3eefe9b58</v>
      </c>
      <c r="E11575" s="1">
        <f>IFERROR(__xludf.DUMMYFUNCTION("""COMPUTED_VALUE"""),3.61731791835E11)</f>
        <v>361731791835</v>
      </c>
      <c r="F11575" s="1"/>
      <c r="G11575" s="1">
        <f>IFERROR(__xludf.DUMMYFUNCTION("""COMPUTED_VALUE"""),1.25)</f>
        <v>1.25</v>
      </c>
      <c r="H11575" s="2">
        <f>IFERROR(__xludf.DUMMYFUNCTION("""COMPUTED_VALUE"""),1.25)</f>
        <v>1.25</v>
      </c>
      <c r="I11575" s="5">
        <f>IFERROR(__xludf.DUMMYFUNCTION("""COMPUTED_VALUE"""),1.0)</f>
        <v>1</v>
      </c>
      <c r="J11575" s="1" t="str">
        <f>IFERROR(__xludf.DUMMYFUNCTION("""COMPUTED_VALUE"""),"Renette Bok")</f>
        <v>Renette Bok</v>
      </c>
      <c r="K11575" s="1" t="str">
        <f>IFERROR(__xludf.DUMMYFUNCTION("""COMPUTED_VALUE"""),"Advanced Billing &amp; Subscriptions")</f>
        <v>Advanced Billing &amp; Subscriptions</v>
      </c>
      <c r="L11575" s="1" t="str">
        <f>IFERROR(__xludf.DUMMYFUNCTION("""COMPUTED_VALUE"""),"CPS Advanced Billing and Subscriptions (ABS)")</f>
        <v>CPS Advanced Billing and Subscriptions (ABS)</v>
      </c>
    </row>
    <row r="11576">
      <c r="A11576" s="1" t="str">
        <f>IFERROR(__xludf.DUMMYFUNCTION("""COMPUTED_VALUE"""),"2026 Apr")</f>
        <v>2026 Apr</v>
      </c>
      <c r="B11576" s="4">
        <f>IFERROR(__xludf.DUMMYFUNCTION("""COMPUTED_VALUE"""),46118.0)</f>
        <v>46118</v>
      </c>
      <c r="C11576" s="1" t="str">
        <f>IFERROR(__xludf.DUMMYFUNCTION("""COMPUTED_VALUE"""),"Core Product Support")</f>
        <v>Core Product Support</v>
      </c>
      <c r="D11576" s="1" t="str">
        <f>IFERROR(__xludf.DUMMYFUNCTION("""COMPUTED_VALUE"""),"9f2b3750-482b-4498-a201-4e32c8fad021")</f>
        <v>9f2b3750-482b-4498-a201-4e32c8fad021</v>
      </c>
      <c r="E11576" s="1">
        <f>IFERROR(__xludf.DUMMYFUNCTION("""COMPUTED_VALUE"""),3.61861298275E11)</f>
        <v>361861298275</v>
      </c>
      <c r="F11576" s="1">
        <f>IFERROR(__xludf.DUMMYFUNCTION("""COMPUTED_VALUE"""),0.5)</f>
        <v>0.5</v>
      </c>
      <c r="G11576" s="1">
        <f>IFERROR(__xludf.DUMMYFUNCTION("""COMPUTED_VALUE"""),2.5)</f>
        <v>2.5</v>
      </c>
      <c r="H11576" s="2">
        <f>IFERROR(__xludf.DUMMYFUNCTION("""COMPUTED_VALUE"""),3.0)</f>
        <v>3</v>
      </c>
      <c r="I11576" s="5">
        <f>IFERROR(__xludf.DUMMYFUNCTION("""COMPUTED_VALUE"""),0.8333333333333334)</f>
        <v>0.8333333333</v>
      </c>
      <c r="J11576" s="1" t="str">
        <f>IFERROR(__xludf.DUMMYFUNCTION("""COMPUTED_VALUE"""),"Jelyn Elmido")</f>
        <v>Jelyn Elmido</v>
      </c>
      <c r="K11576" s="1" t="str">
        <f>IFERROR(__xludf.DUMMYFUNCTION("""COMPUTED_VALUE"""),"Core Product Support Escalation Team")</f>
        <v>Core Product Support Escalation Team</v>
      </c>
      <c r="L11576"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577">
      <c r="A11577" s="1" t="str">
        <f>IFERROR(__xludf.DUMMYFUNCTION("""COMPUTED_VALUE"""),"2026 Apr")</f>
        <v>2026 Apr</v>
      </c>
      <c r="B11577" s="4">
        <f>IFERROR(__xludf.DUMMYFUNCTION("""COMPUTED_VALUE"""),46118.0)</f>
        <v>46118</v>
      </c>
      <c r="C11577" s="1" t="str">
        <f>IFERROR(__xludf.DUMMYFUNCTION("""COMPUTED_VALUE"""),"High Sensitivity Support")</f>
        <v>High Sensitivity Support</v>
      </c>
      <c r="D11577" s="1" t="str">
        <f>IFERROR(__xludf.DUMMYFUNCTION("""COMPUTED_VALUE"""),"572f7cc4-e4a6-4132-92cf-6f6ba75ee4d7")</f>
        <v>572f7cc4-e4a6-4132-92cf-6f6ba75ee4d7</v>
      </c>
      <c r="E11577" s="1">
        <f>IFERROR(__xludf.DUMMYFUNCTION("""COMPUTED_VALUE"""),5.202419220111E12)</f>
        <v>5202419220111</v>
      </c>
      <c r="F11577" s="1"/>
      <c r="G11577" s="1"/>
      <c r="H11577" s="2">
        <f>IFERROR(__xludf.DUMMYFUNCTION("""COMPUTED_VALUE"""),0.0)</f>
        <v>0</v>
      </c>
      <c r="I11577" s="5"/>
      <c r="J11577" s="1" t="str">
        <f>IFERROR(__xludf.DUMMYFUNCTION("""COMPUTED_VALUE"""),"Issi Afable")</f>
        <v>Issi Afable</v>
      </c>
      <c r="K11577" s="1" t="str">
        <f>IFERROR(__xludf.DUMMYFUNCTION("""COMPUTED_VALUE"""),"High Sensitivity Support PH")</f>
        <v>High Sensitivity Support PH</v>
      </c>
      <c r="L11577" s="1" t="str">
        <f>IFERROR(__xludf.DUMMYFUNCTION("""COMPUTED_VALUE"""),"HSS High Sensitivity Support PH - SEE")</f>
        <v>HSS High Sensitivity Support PH - SEE</v>
      </c>
    </row>
    <row r="11578">
      <c r="A11578" s="1" t="str">
        <f>IFERROR(__xludf.DUMMYFUNCTION("""COMPUTED_VALUE"""),"2026 Apr")</f>
        <v>2026 Apr</v>
      </c>
      <c r="B11578" s="4">
        <f>IFERROR(__xludf.DUMMYFUNCTION("""COMPUTED_VALUE"""),46118.0)</f>
        <v>46118</v>
      </c>
      <c r="C11578" s="1" t="str">
        <f>IFERROR(__xludf.DUMMYFUNCTION("""COMPUTED_VALUE"""),"Segment-specific Support")</f>
        <v>Segment-specific Support</v>
      </c>
      <c r="D11578" s="1" t="str">
        <f>IFERROR(__xludf.DUMMYFUNCTION("""COMPUTED_VALUE"""),"78d3efd2-2d00-4986-b5cc-7ca6a1d3542d")</f>
        <v>78d3efd2-2d00-4986-b5cc-7ca6a1d3542d</v>
      </c>
      <c r="E11578" s="1">
        <f>IFERROR(__xludf.DUMMYFUNCTION("""COMPUTED_VALUE"""),5.566867981071E12)</f>
        <v>5566867981071</v>
      </c>
      <c r="F11578" s="1"/>
      <c r="G11578" s="1">
        <f>IFERROR(__xludf.DUMMYFUNCTION("""COMPUTED_VALUE"""),0.17)</f>
        <v>0.17</v>
      </c>
      <c r="H11578" s="2">
        <f>IFERROR(__xludf.DUMMYFUNCTION("""COMPUTED_VALUE"""),0.17)</f>
        <v>0.17</v>
      </c>
      <c r="I11578" s="5">
        <f>IFERROR(__xludf.DUMMYFUNCTION("""COMPUTED_VALUE"""),1.0)</f>
        <v>1</v>
      </c>
      <c r="J11578" s="1" t="str">
        <f>IFERROR(__xludf.DUMMYFUNCTION("""COMPUTED_VALUE"""),"Gucci Nava")</f>
        <v>Gucci Nava</v>
      </c>
      <c r="K11578" s="1" t="str">
        <f>IFERROR(__xludf.DUMMYFUNCTION("""COMPUTED_VALUE"""),"Affinity Support")</f>
        <v>Affinity Support</v>
      </c>
      <c r="L11578" s="1" t="str">
        <f>IFERROR(__xludf.DUMMYFUNCTION("""COMPUTED_VALUE"""),"SSS Affinity - L1")</f>
        <v>SSS Affinity - L1</v>
      </c>
    </row>
    <row r="11579">
      <c r="A11579" s="1" t="str">
        <f>IFERROR(__xludf.DUMMYFUNCTION("""COMPUTED_VALUE"""),"2026 Apr")</f>
        <v>2026 Apr</v>
      </c>
      <c r="B11579" s="4">
        <f>IFERROR(__xludf.DUMMYFUNCTION("""COMPUTED_VALUE"""),46118.0)</f>
        <v>46118</v>
      </c>
      <c r="C11579" s="1" t="str">
        <f>IFERROR(__xludf.DUMMYFUNCTION("""COMPUTED_VALUE"""),"Print Support")</f>
        <v>Print Support</v>
      </c>
      <c r="D11579" s="1" t="str">
        <f>IFERROR(__xludf.DUMMYFUNCTION("""COMPUTED_VALUE"""),"03738c45-2c9f-44bf-bb4b-58a2fe9fdf5d")</f>
        <v>03738c45-2c9f-44bf-bb4b-58a2fe9fdf5d</v>
      </c>
      <c r="E11579" s="1"/>
      <c r="F11579" s="1"/>
      <c r="G11579" s="1"/>
      <c r="H11579" s="2">
        <f>IFERROR(__xludf.DUMMYFUNCTION("""COMPUTED_VALUE"""),0.0)</f>
        <v>0</v>
      </c>
      <c r="I11579" s="5"/>
      <c r="J11579" s="1" t="str">
        <f>IFERROR(__xludf.DUMMYFUNCTION("""COMPUTED_VALUE"""),"Aliza Dote")</f>
        <v>Aliza Dote</v>
      </c>
      <c r="K11579" s="1" t="str">
        <f>IFERROR(__xludf.DUMMYFUNCTION("""COMPUTED_VALUE"""),"Print Design Support")</f>
        <v>Print Design Support</v>
      </c>
      <c r="L11579" s="1" t="str">
        <f>IFERROR(__xludf.DUMMYFUNCTION("""COMPUTED_VALUE"""),"Print Print Design")</f>
        <v>Print Print Design</v>
      </c>
    </row>
    <row r="11580">
      <c r="A11580" s="1" t="str">
        <f>IFERROR(__xludf.DUMMYFUNCTION("""COMPUTED_VALUE"""),"2026 Apr")</f>
        <v>2026 Apr</v>
      </c>
      <c r="B11580" s="4">
        <f>IFERROR(__xludf.DUMMYFUNCTION("""COMPUTED_VALUE"""),46118.0)</f>
        <v>46118</v>
      </c>
      <c r="C11580" s="1" t="str">
        <f>IFERROR(__xludf.DUMMYFUNCTION("""COMPUTED_VALUE"""),"Core Product Support")</f>
        <v>Core Product Support</v>
      </c>
      <c r="D11580" s="1" t="str">
        <f>IFERROR(__xludf.DUMMYFUNCTION("""COMPUTED_VALUE"""),"9c934de8-6199-4bb2-bcc9-bd8b70ec7a9c")</f>
        <v>9c934de8-6199-4bb2-bcc9-bd8b70ec7a9c</v>
      </c>
      <c r="E11580" s="1">
        <f>IFERROR(__xludf.DUMMYFUNCTION("""COMPUTED_VALUE"""),9.795939875087E12)</f>
        <v>9795939875087</v>
      </c>
      <c r="F11580" s="1">
        <f>IFERROR(__xludf.DUMMYFUNCTION("""COMPUTED_VALUE"""),0.5)</f>
        <v>0.5</v>
      </c>
      <c r="G11580" s="1">
        <f>IFERROR(__xludf.DUMMYFUNCTION("""COMPUTED_VALUE"""),1.25)</f>
        <v>1.25</v>
      </c>
      <c r="H11580" s="2">
        <f>IFERROR(__xludf.DUMMYFUNCTION("""COMPUTED_VALUE"""),1.75)</f>
        <v>1.75</v>
      </c>
      <c r="I11580" s="5">
        <f>IFERROR(__xludf.DUMMYFUNCTION("""COMPUTED_VALUE"""),0.7142857142857143)</f>
        <v>0.7142857143</v>
      </c>
      <c r="J11580" s="1" t="str">
        <f>IFERROR(__xludf.DUMMYFUNCTION("""COMPUTED_VALUE"""),"Cate Velasco")</f>
        <v>Cate Velasco</v>
      </c>
      <c r="K11580" s="1" t="str">
        <f>IFERROR(__xludf.DUMMYFUNCTION("""COMPUTED_VALUE"""),"Advanced Product Support")</f>
        <v>Advanced Product Support</v>
      </c>
      <c r="L11580" s="1" t="str">
        <f>IFERROR(__xludf.DUMMYFUNCTION("""COMPUTED_VALUE"""),"CPS Advanced Product Support (APS)")</f>
        <v>CPS Advanced Product Support (APS)</v>
      </c>
    </row>
    <row r="11581">
      <c r="A11581" s="1" t="str">
        <f>IFERROR(__xludf.DUMMYFUNCTION("""COMPUTED_VALUE"""),"2026 Apr")</f>
        <v>2026 Apr</v>
      </c>
      <c r="B11581" s="4">
        <f>IFERROR(__xludf.DUMMYFUNCTION("""COMPUTED_VALUE"""),46118.0)</f>
        <v>46118</v>
      </c>
      <c r="C11581" s="1" t="str">
        <f>IFERROR(__xludf.DUMMYFUNCTION("""COMPUTED_VALUE"""),"Core Product Support")</f>
        <v>Core Product Support</v>
      </c>
      <c r="D11581" s="1" t="str">
        <f>IFERROR(__xludf.DUMMYFUNCTION("""COMPUTED_VALUE"""),"0f8d8927-aad1-40c2-82ac-95b7b823eec0")</f>
        <v>0f8d8927-aad1-40c2-82ac-95b7b823eec0</v>
      </c>
      <c r="E11581" s="1">
        <f>IFERROR(__xludf.DUMMYFUNCTION("""COMPUTED_VALUE"""),5.202441056015E12)</f>
        <v>5202441056015</v>
      </c>
      <c r="F11581" s="1"/>
      <c r="G11581" s="1">
        <f>IFERROR(__xludf.DUMMYFUNCTION("""COMPUTED_VALUE"""),1.0)</f>
        <v>1</v>
      </c>
      <c r="H11581" s="2">
        <f>IFERROR(__xludf.DUMMYFUNCTION("""COMPUTED_VALUE"""),1.0)</f>
        <v>1</v>
      </c>
      <c r="I11581" s="5">
        <f>IFERROR(__xludf.DUMMYFUNCTION("""COMPUTED_VALUE"""),1.0)</f>
        <v>1</v>
      </c>
      <c r="J11581" s="1" t="str">
        <f>IFERROR(__xludf.DUMMYFUNCTION("""COMPUTED_VALUE"""),"Renette Bok")</f>
        <v>Renette Bok</v>
      </c>
      <c r="K11581" s="1" t="str">
        <f>IFERROR(__xludf.DUMMYFUNCTION("""COMPUTED_VALUE"""),"Advanced Billing &amp; Subscriptions")</f>
        <v>Advanced Billing &amp; Subscriptions</v>
      </c>
      <c r="L11581" s="1" t="str">
        <f>IFERROR(__xludf.DUMMYFUNCTION("""COMPUTED_VALUE"""),"CPS Advanced Billing and Subscriptions (ABS)")</f>
        <v>CPS Advanced Billing and Subscriptions (ABS)</v>
      </c>
    </row>
    <row r="11582">
      <c r="A11582" s="1" t="str">
        <f>IFERROR(__xludf.DUMMYFUNCTION("""COMPUTED_VALUE"""),"2026 Apr")</f>
        <v>2026 Apr</v>
      </c>
      <c r="B11582" s="4">
        <f>IFERROR(__xludf.DUMMYFUNCTION("""COMPUTED_VALUE"""),46118.0)</f>
        <v>46118</v>
      </c>
      <c r="C11582" s="1" t="str">
        <f>IFERROR(__xludf.DUMMYFUNCTION("""COMPUTED_VALUE"""),"Core Product Support")</f>
        <v>Core Product Support</v>
      </c>
      <c r="D11582" s="1" t="str">
        <f>IFERROR(__xludf.DUMMYFUNCTION("""COMPUTED_VALUE"""),"e33e46e4-d59d-4c5b-9834-288e99d79b63")</f>
        <v>e33e46e4-d59d-4c5b-9834-288e99d79b63</v>
      </c>
      <c r="E11582" s="1">
        <f>IFERROR(__xludf.DUMMYFUNCTION("""COMPUTED_VALUE"""),1.0333049582991E13)</f>
        <v>10333049582991</v>
      </c>
      <c r="F11582" s="1">
        <f>IFERROR(__xludf.DUMMYFUNCTION("""COMPUTED_VALUE"""),0.5)</f>
        <v>0.5</v>
      </c>
      <c r="G11582" s="1">
        <f>IFERROR(__xludf.DUMMYFUNCTION("""COMPUTED_VALUE"""),1.25)</f>
        <v>1.25</v>
      </c>
      <c r="H11582" s="2">
        <f>IFERROR(__xludf.DUMMYFUNCTION("""COMPUTED_VALUE"""),1.75)</f>
        <v>1.75</v>
      </c>
      <c r="I11582" s="5">
        <f>IFERROR(__xludf.DUMMYFUNCTION("""COMPUTED_VALUE"""),0.7142857142857143)</f>
        <v>0.7142857143</v>
      </c>
      <c r="J11582" s="1" t="str">
        <f>IFERROR(__xludf.DUMMYFUNCTION("""COMPUTED_VALUE"""),"Cate Velasco")</f>
        <v>Cate Velasco</v>
      </c>
      <c r="K11582" s="1" t="str">
        <f>IFERROR(__xludf.DUMMYFUNCTION("""COMPUTED_VALUE"""),"Advanced Product Support")</f>
        <v>Advanced Product Support</v>
      </c>
      <c r="L11582" s="1" t="str">
        <f>IFERROR(__xludf.DUMMYFUNCTION("""COMPUTED_VALUE"""),"CPS Advanced Product Support (APS)")</f>
        <v>CPS Advanced Product Support (APS)</v>
      </c>
    </row>
    <row r="11583">
      <c r="A11583" s="1" t="str">
        <f>IFERROR(__xludf.DUMMYFUNCTION("""COMPUTED_VALUE"""),"2026 Apr")</f>
        <v>2026 Apr</v>
      </c>
      <c r="B11583" s="4">
        <f>IFERROR(__xludf.DUMMYFUNCTION("""COMPUTED_VALUE"""),46118.0)</f>
        <v>46118</v>
      </c>
      <c r="C11583" s="1" t="str">
        <f>IFERROR(__xludf.DUMMYFUNCTION("""COMPUTED_VALUE"""),"Core Product Support")</f>
        <v>Core Product Support</v>
      </c>
      <c r="D11583" s="1" t="str">
        <f>IFERROR(__xludf.DUMMYFUNCTION("""COMPUTED_VALUE"""),"748f7375-5497-4286-b6df-38229b609d09")</f>
        <v>748f7375-5497-4286-b6df-38229b609d09</v>
      </c>
      <c r="E11583" s="1"/>
      <c r="F11583" s="1">
        <f>IFERROR(__xludf.DUMMYFUNCTION("""COMPUTED_VALUE"""),0.5)</f>
        <v>0.5</v>
      </c>
      <c r="G11583" s="1">
        <f>IFERROR(__xludf.DUMMYFUNCTION("""COMPUTED_VALUE"""),1.25)</f>
        <v>1.25</v>
      </c>
      <c r="H11583" s="2">
        <f>IFERROR(__xludf.DUMMYFUNCTION("""COMPUTED_VALUE"""),1.75)</f>
        <v>1.75</v>
      </c>
      <c r="I11583" s="5">
        <f>IFERROR(__xludf.DUMMYFUNCTION("""COMPUTED_VALUE"""),0.7142857142857143)</f>
        <v>0.7142857143</v>
      </c>
      <c r="J11583" s="1" t="str">
        <f>IFERROR(__xludf.DUMMYFUNCTION("""COMPUTED_VALUE"""),"Mikhaela Decangchon")</f>
        <v>Mikhaela Decangchon</v>
      </c>
      <c r="K11583" s="1" t="str">
        <f>IFERROR(__xludf.DUMMYFUNCTION("""COMPUTED_VALUE"""),"Advanced Product Support")</f>
        <v>Advanced Product Support</v>
      </c>
      <c r="L11583" s="1" t="str">
        <f>IFERROR(__xludf.DUMMYFUNCTION("""COMPUTED_VALUE"""),"CPS Advanced Product Support (APS)")</f>
        <v>CPS Advanced Product Support (APS)</v>
      </c>
    </row>
    <row r="11584">
      <c r="A11584" s="1" t="str">
        <f>IFERROR(__xludf.DUMMYFUNCTION("""COMPUTED_VALUE"""),"2026 Apr")</f>
        <v>2026 Apr</v>
      </c>
      <c r="B11584" s="4">
        <f>IFERROR(__xludf.DUMMYFUNCTION("""COMPUTED_VALUE"""),46118.0)</f>
        <v>46118</v>
      </c>
      <c r="C11584" s="1" t="str">
        <f>IFERROR(__xludf.DUMMYFUNCTION("""COMPUTED_VALUE"""),"Admin Support")</f>
        <v>Admin Support</v>
      </c>
      <c r="D11584" s="1" t="str">
        <f>IFERROR(__xludf.DUMMYFUNCTION("""COMPUTED_VALUE"""),"8d05170b-44c2-4973-963a-14bb293f18ab")</f>
        <v>8d05170b-44c2-4973-963a-14bb293f18ab</v>
      </c>
      <c r="E11584" s="1">
        <f>IFERROR(__xludf.DUMMYFUNCTION("""COMPUTED_VALUE"""),3.61731348415E11)</f>
        <v>361731348415</v>
      </c>
      <c r="F11584" s="1"/>
      <c r="G11584" s="1">
        <f>IFERROR(__xludf.DUMMYFUNCTION("""COMPUTED_VALUE"""),0.25)</f>
        <v>0.25</v>
      </c>
      <c r="H11584" s="2">
        <f>IFERROR(__xludf.DUMMYFUNCTION("""COMPUTED_VALUE"""),0.25)</f>
        <v>0.25</v>
      </c>
      <c r="I11584" s="5">
        <f>IFERROR(__xludf.DUMMYFUNCTION("""COMPUTED_VALUE"""),1.0)</f>
        <v>1</v>
      </c>
      <c r="J11584" s="1" t="str">
        <f>IFERROR(__xludf.DUMMYFUNCTION("""COMPUTED_VALUE"""),"Kelden Laguting")</f>
        <v>Kelden Laguting</v>
      </c>
      <c r="K11584" s="1" t="str">
        <f>IFERROR(__xludf.DUMMYFUNCTION("""COMPUTED_VALUE"""),"Admin Omni Support")</f>
        <v>Admin Omni Support</v>
      </c>
      <c r="L11584" s="1" t="str">
        <f>IFERROR(__xludf.DUMMYFUNCTION("""COMPUTED_VALUE"""),"Admin Omni Support")</f>
        <v>Admin Omni Support</v>
      </c>
    </row>
    <row r="11585">
      <c r="A11585" s="1" t="str">
        <f>IFERROR(__xludf.DUMMYFUNCTION("""COMPUTED_VALUE"""),"2026 Apr")</f>
        <v>2026 Apr</v>
      </c>
      <c r="B11585" s="4">
        <f>IFERROR(__xludf.DUMMYFUNCTION("""COMPUTED_VALUE"""),46118.0)</f>
        <v>46118</v>
      </c>
      <c r="C11585" s="1" t="str">
        <f>IFERROR(__xludf.DUMMYFUNCTION("""COMPUTED_VALUE"""),"Admin Support")</f>
        <v>Admin Support</v>
      </c>
      <c r="D11585" s="1" t="str">
        <f>IFERROR(__xludf.DUMMYFUNCTION("""COMPUTED_VALUE"""),"c51116f5-04d9-48df-a12a-dbf63eaf9c18")</f>
        <v>c51116f5-04d9-48df-a12a-dbf63eaf9c18</v>
      </c>
      <c r="E11585" s="1">
        <f>IFERROR(__xludf.DUMMYFUNCTION("""COMPUTED_VALUE"""),3.61731647035E11)</f>
        <v>361731647035</v>
      </c>
      <c r="F11585" s="1"/>
      <c r="G11585" s="1">
        <f>IFERROR(__xludf.DUMMYFUNCTION("""COMPUTED_VALUE"""),0.25)</f>
        <v>0.25</v>
      </c>
      <c r="H11585" s="2">
        <f>IFERROR(__xludf.DUMMYFUNCTION("""COMPUTED_VALUE"""),0.25)</f>
        <v>0.25</v>
      </c>
      <c r="I11585" s="5">
        <f>IFERROR(__xludf.DUMMYFUNCTION("""COMPUTED_VALUE"""),1.0)</f>
        <v>1</v>
      </c>
      <c r="J11585" s="1" t="str">
        <f>IFERROR(__xludf.DUMMYFUNCTION("""COMPUTED_VALUE"""),"Ann Dumlao")</f>
        <v>Ann Dumlao</v>
      </c>
      <c r="K11585" s="1" t="str">
        <f>IFERROR(__xludf.DUMMYFUNCTION("""COMPUTED_VALUE"""),"Admin Omni Support")</f>
        <v>Admin Omni Support</v>
      </c>
      <c r="L11585" s="1" t="str">
        <f>IFERROR(__xludf.DUMMYFUNCTION("""COMPUTED_VALUE"""),"Admin Omni Support")</f>
        <v>Admin Omni Support</v>
      </c>
    </row>
    <row r="11586">
      <c r="A11586" s="1" t="str">
        <f>IFERROR(__xludf.DUMMYFUNCTION("""COMPUTED_VALUE"""),"2026 Apr")</f>
        <v>2026 Apr</v>
      </c>
      <c r="B11586" s="4">
        <f>IFERROR(__xludf.DUMMYFUNCTION("""COMPUTED_VALUE"""),46118.0)</f>
        <v>46118</v>
      </c>
      <c r="C11586" s="1" t="str">
        <f>IFERROR(__xludf.DUMMYFUNCTION("""COMPUTED_VALUE"""),"Core Product Support")</f>
        <v>Core Product Support</v>
      </c>
      <c r="D11586" s="1" t="str">
        <f>IFERROR(__xludf.DUMMYFUNCTION("""COMPUTED_VALUE"""),"ee26274a-f5bb-4f8f-aa29-94921d6e67a9")</f>
        <v>ee26274a-f5bb-4f8f-aa29-94921d6e67a9</v>
      </c>
      <c r="E11586" s="1">
        <f>IFERROR(__xludf.DUMMYFUNCTION("""COMPUTED_VALUE"""),9.107717956879E12)</f>
        <v>9107717956879</v>
      </c>
      <c r="F11586" s="1"/>
      <c r="G11586" s="1">
        <f>IFERROR(__xludf.DUMMYFUNCTION("""COMPUTED_VALUE"""),1.25)</f>
        <v>1.25</v>
      </c>
      <c r="H11586" s="2">
        <f>IFERROR(__xludf.DUMMYFUNCTION("""COMPUTED_VALUE"""),1.25)</f>
        <v>1.25</v>
      </c>
      <c r="I11586" s="5">
        <f>IFERROR(__xludf.DUMMYFUNCTION("""COMPUTED_VALUE"""),1.0)</f>
        <v>1</v>
      </c>
      <c r="J11586" s="1" t="str">
        <f>IFERROR(__xludf.DUMMYFUNCTION("""COMPUTED_VALUE"""),"Cherry Macam")</f>
        <v>Cherry Macam</v>
      </c>
      <c r="K11586" s="1" t="str">
        <f>IFERROR(__xludf.DUMMYFUNCTION("""COMPUTED_VALUE"""),"Advanced Billing &amp; Subscriptions")</f>
        <v>Advanced Billing &amp; Subscriptions</v>
      </c>
      <c r="L11586" s="1" t="str">
        <f>IFERROR(__xludf.DUMMYFUNCTION("""COMPUTED_VALUE"""),"CPS Advanced Billing and Subscriptions (ABS)")</f>
        <v>CPS Advanced Billing and Subscriptions (ABS)</v>
      </c>
    </row>
    <row r="11587">
      <c r="A11587" s="1" t="str">
        <f>IFERROR(__xludf.DUMMYFUNCTION("""COMPUTED_VALUE"""),"2026 Apr")</f>
        <v>2026 Apr</v>
      </c>
      <c r="B11587" s="4">
        <f>IFERROR(__xludf.DUMMYFUNCTION("""COMPUTED_VALUE"""),46118.0)</f>
        <v>46118</v>
      </c>
      <c r="C11587" s="1" t="str">
        <f>IFERROR(__xludf.DUMMYFUNCTION("""COMPUTED_VALUE"""),"Core Product Support")</f>
        <v>Core Product Support</v>
      </c>
      <c r="D11587" s="1" t="str">
        <f>IFERROR(__xludf.DUMMYFUNCTION("""COMPUTED_VALUE"""),"5ea08393-858d-4206-8dfa-ad5aa870f108")</f>
        <v>5ea08393-858d-4206-8dfa-ad5aa870f108</v>
      </c>
      <c r="E11587" s="1">
        <f>IFERROR(__xludf.DUMMYFUNCTION("""COMPUTED_VALUE"""),1.1279733674255E13)</f>
        <v>11279733674255</v>
      </c>
      <c r="F11587" s="1"/>
      <c r="G11587" s="1">
        <f>IFERROR(__xludf.DUMMYFUNCTION("""COMPUTED_VALUE"""),1.5)</f>
        <v>1.5</v>
      </c>
      <c r="H11587" s="2">
        <f>IFERROR(__xludf.DUMMYFUNCTION("""COMPUTED_VALUE"""),1.5)</f>
        <v>1.5</v>
      </c>
      <c r="I11587" s="5">
        <f>IFERROR(__xludf.DUMMYFUNCTION("""COMPUTED_VALUE"""),1.0)</f>
        <v>1</v>
      </c>
      <c r="J11587" s="1" t="str">
        <f>IFERROR(__xludf.DUMMYFUNCTION("""COMPUTED_VALUE"""),"Ayza Marie Pascual")</f>
        <v>Ayza Marie Pascual</v>
      </c>
      <c r="K11587" s="1" t="str">
        <f>IFERROR(__xludf.DUMMYFUNCTION("""COMPUTED_VALUE"""),"Advanced Billing &amp; Subscriptions")</f>
        <v>Advanced Billing &amp; Subscriptions</v>
      </c>
      <c r="L11587" s="1" t="str">
        <f>IFERROR(__xludf.DUMMYFUNCTION("""COMPUTED_VALUE"""),"CPS Advanced Billing and Subscriptions (ABS)")</f>
        <v>CPS Advanced Billing and Subscriptions (ABS)</v>
      </c>
    </row>
    <row r="11588">
      <c r="A11588" s="1" t="str">
        <f>IFERROR(__xludf.DUMMYFUNCTION("""COMPUTED_VALUE"""),"2026 Apr")</f>
        <v>2026 Apr</v>
      </c>
      <c r="B11588" s="4">
        <f>IFERROR(__xludf.DUMMYFUNCTION("""COMPUTED_VALUE"""),46118.0)</f>
        <v>46118</v>
      </c>
      <c r="C11588" s="1" t="str">
        <f>IFERROR(__xludf.DUMMYFUNCTION("""COMPUTED_VALUE"""),"Core Product Support")</f>
        <v>Core Product Support</v>
      </c>
      <c r="D11588" s="1" t="str">
        <f>IFERROR(__xludf.DUMMYFUNCTION("""COMPUTED_VALUE"""),"9ec42277-802e-4dea-b288-c3f190cff1eb")</f>
        <v>9ec42277-802e-4dea-b288-c3f190cff1eb</v>
      </c>
      <c r="E11588" s="1">
        <f>IFERROR(__xludf.DUMMYFUNCTION("""COMPUTED_VALUE"""),3.61726427476E11)</f>
        <v>361726427476</v>
      </c>
      <c r="F11588" s="1">
        <f>IFERROR(__xludf.DUMMYFUNCTION("""COMPUTED_VALUE"""),0.5)</f>
        <v>0.5</v>
      </c>
      <c r="G11588" s="1">
        <f>IFERROR(__xludf.DUMMYFUNCTION("""COMPUTED_VALUE"""),2.5)</f>
        <v>2.5</v>
      </c>
      <c r="H11588" s="2">
        <f>IFERROR(__xludf.DUMMYFUNCTION("""COMPUTED_VALUE"""),3.0)</f>
        <v>3</v>
      </c>
      <c r="I11588" s="5">
        <f>IFERROR(__xludf.DUMMYFUNCTION("""COMPUTED_VALUE"""),0.8333333333333334)</f>
        <v>0.8333333333</v>
      </c>
      <c r="J11588" s="1" t="str">
        <f>IFERROR(__xludf.DUMMYFUNCTION("""COMPUTED_VALUE"""),"Ellaine Estayo")</f>
        <v>Ellaine Estayo</v>
      </c>
      <c r="K11588" s="1" t="str">
        <f>IFERROR(__xludf.DUMMYFUNCTION("""COMPUTED_VALUE"""),"Core Product Support Escalation Team")</f>
        <v>Core Product Support Escalation Team</v>
      </c>
      <c r="L11588"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589">
      <c r="A11589" s="1" t="str">
        <f>IFERROR(__xludf.DUMMYFUNCTION("""COMPUTED_VALUE"""),"2026 Apr")</f>
        <v>2026 Apr</v>
      </c>
      <c r="B11589" s="4">
        <f>IFERROR(__xludf.DUMMYFUNCTION("""COMPUTED_VALUE"""),46118.0)</f>
        <v>46118</v>
      </c>
      <c r="C11589" s="1" t="str">
        <f>IFERROR(__xludf.DUMMYFUNCTION("""COMPUTED_VALUE"""),"Print Support")</f>
        <v>Print Support</v>
      </c>
      <c r="D11589" s="1" t="str">
        <f>IFERROR(__xludf.DUMMYFUNCTION("""COMPUTED_VALUE"""),"9e3b5d29-0e29-4565-a70a-6e7ee3c7be84")</f>
        <v>9e3b5d29-0e29-4565-a70a-6e7ee3c7be84</v>
      </c>
      <c r="E11589" s="1">
        <f>IFERROR(__xludf.DUMMYFUNCTION("""COMPUTED_VALUE"""),1.0548602091791E13)</f>
        <v>10548602091791</v>
      </c>
      <c r="F11589" s="1"/>
      <c r="G11589" s="1"/>
      <c r="H11589" s="2">
        <f>IFERROR(__xludf.DUMMYFUNCTION("""COMPUTED_VALUE"""),0.0)</f>
        <v>0</v>
      </c>
      <c r="I11589" s="5"/>
      <c r="J11589" s="1" t="str">
        <f>IFERROR(__xludf.DUMMYFUNCTION("""COMPUTED_VALUE"""),"Jen Momo")</f>
        <v>Jen Momo</v>
      </c>
      <c r="K11589" s="1" t="str">
        <f>IFERROR(__xludf.DUMMYFUNCTION("""COMPUTED_VALUE"""),"Print Support PH")</f>
        <v>Print Support PH</v>
      </c>
      <c r="L11589" s="1" t="str">
        <f>IFERROR(__xludf.DUMMYFUNCTION("""COMPUTED_VALUE"""),"Print Print - CHT")</f>
        <v>Print Print - CHT</v>
      </c>
    </row>
    <row r="11590">
      <c r="A11590" s="1" t="str">
        <f>IFERROR(__xludf.DUMMYFUNCTION("""COMPUTED_VALUE"""),"2026 Apr")</f>
        <v>2026 Apr</v>
      </c>
      <c r="B11590" s="4">
        <f>IFERROR(__xludf.DUMMYFUNCTION("""COMPUTED_VALUE"""),46118.0)</f>
        <v>46118</v>
      </c>
      <c r="C11590" s="1" t="str">
        <f>IFERROR(__xludf.DUMMYFUNCTION("""COMPUTED_VALUE"""),"Segment-specific Support")</f>
        <v>Segment-specific Support</v>
      </c>
      <c r="D11590" s="1" t="str">
        <f>IFERROR(__xludf.DUMMYFUNCTION("""COMPUTED_VALUE"""),"eda8dc46-d638-4955-b85e-554ac98c41d8")</f>
        <v>eda8dc46-d638-4955-b85e-554ac98c41d8</v>
      </c>
      <c r="E11590" s="1">
        <f>IFERROR(__xludf.DUMMYFUNCTION("""COMPUTED_VALUE"""),3.61731943235E11)</f>
        <v>361731943235</v>
      </c>
      <c r="F11590" s="1"/>
      <c r="G11590" s="1"/>
      <c r="H11590" s="2">
        <f>IFERROR(__xludf.DUMMYFUNCTION("""COMPUTED_VALUE"""),0.0)</f>
        <v>0</v>
      </c>
      <c r="I11590" s="5"/>
      <c r="J11590" s="1" t="str">
        <f>IFERROR(__xludf.DUMMYFUNCTION("""COMPUTED_VALUE"""),"Aileen Dayanghirang")</f>
        <v>Aileen Dayanghirang</v>
      </c>
      <c r="K11590" s="1" t="str">
        <f>IFERROR(__xludf.DUMMYFUNCTION("""COMPUTED_VALUE"""),"Creators Support")</f>
        <v>Creators Support</v>
      </c>
      <c r="L11590" s="1" t="str">
        <f>IFERROR(__xludf.DUMMYFUNCTION("""COMPUTED_VALUE"""),"SSS Creators")</f>
        <v>SSS Creators</v>
      </c>
    </row>
    <row r="11591">
      <c r="A11591" s="1" t="str">
        <f>IFERROR(__xludf.DUMMYFUNCTION("""COMPUTED_VALUE"""),"2026 Apr")</f>
        <v>2026 Apr</v>
      </c>
      <c r="B11591" s="4">
        <f>IFERROR(__xludf.DUMMYFUNCTION("""COMPUTED_VALUE"""),46118.0)</f>
        <v>46118</v>
      </c>
      <c r="C11591" s="1" t="str">
        <f>IFERROR(__xludf.DUMMYFUNCTION("""COMPUTED_VALUE"""),"Admin Support")</f>
        <v>Admin Support</v>
      </c>
      <c r="D11591" s="1" t="str">
        <f>IFERROR(__xludf.DUMMYFUNCTION("""COMPUTED_VALUE"""),"1135d838-4518-48e7-a5b8-f1738f44245c")</f>
        <v>1135d838-4518-48e7-a5b8-f1738f44245c</v>
      </c>
      <c r="E11591" s="1">
        <f>IFERROR(__xludf.DUMMYFUNCTION("""COMPUTED_VALUE"""),9.795666354191E12)</f>
        <v>9795666354191</v>
      </c>
      <c r="F11591" s="1"/>
      <c r="G11591" s="1"/>
      <c r="H11591" s="2">
        <f>IFERROR(__xludf.DUMMYFUNCTION("""COMPUTED_VALUE"""),0.0)</f>
        <v>0</v>
      </c>
      <c r="I11591" s="5"/>
      <c r="J11591" s="1" t="str">
        <f>IFERROR(__xludf.DUMMYFUNCTION("""COMPUTED_VALUE"""),"Elise Cesario Mendes")</f>
        <v>Elise Cesario Mendes</v>
      </c>
      <c r="K11591" s="1" t="str">
        <f>IFERROR(__xludf.DUMMYFUNCTION("""COMPUTED_VALUE"""),"Admin Support APJ")</f>
        <v>Admin Support APJ</v>
      </c>
      <c r="L11591" s="1" t="str">
        <f>IFERROR(__xludf.DUMMYFUNCTION("""COMPUTED_VALUE"""),"Admin APJ")</f>
        <v>Admin APJ</v>
      </c>
    </row>
    <row r="11592">
      <c r="A11592" s="1" t="str">
        <f>IFERROR(__xludf.DUMMYFUNCTION("""COMPUTED_VALUE"""),"2026 Apr")</f>
        <v>2026 Apr</v>
      </c>
      <c r="B11592" s="4">
        <f>IFERROR(__xludf.DUMMYFUNCTION("""COMPUTED_VALUE"""),46118.0)</f>
        <v>46118</v>
      </c>
      <c r="C11592" s="1" t="str">
        <f>IFERROR(__xludf.DUMMYFUNCTION("""COMPUTED_VALUE"""),"High Sensitivity Support")</f>
        <v>High Sensitivity Support</v>
      </c>
      <c r="D11592" s="1" t="str">
        <f>IFERROR(__xludf.DUMMYFUNCTION("""COMPUTED_VALUE"""),"a3bbe934-01ae-4e93-9369-021e3581998d")</f>
        <v>a3bbe934-01ae-4e93-9369-021e3581998d</v>
      </c>
      <c r="E11592" s="1">
        <f>IFERROR(__xludf.DUMMYFUNCTION("""COMPUTED_VALUE"""),8.409869745551E12)</f>
        <v>8409869745551</v>
      </c>
      <c r="F11592" s="1"/>
      <c r="G11592" s="1">
        <f>IFERROR(__xludf.DUMMYFUNCTION("""COMPUTED_VALUE"""),2.0)</f>
        <v>2</v>
      </c>
      <c r="H11592" s="2">
        <f>IFERROR(__xludf.DUMMYFUNCTION("""COMPUTED_VALUE"""),2.0)</f>
        <v>2</v>
      </c>
      <c r="I11592" s="5">
        <f>IFERROR(__xludf.DUMMYFUNCTION("""COMPUTED_VALUE"""),1.0)</f>
        <v>1</v>
      </c>
      <c r="J11592" s="1" t="str">
        <f>IFERROR(__xludf.DUMMYFUNCTION("""COMPUTED_VALUE"""),"Rex Villamor")</f>
        <v>Rex Villamor</v>
      </c>
      <c r="K11592" s="1" t="str">
        <f>IFERROR(__xludf.DUMMYFUNCTION("""COMPUTED_VALUE"""),"High Sensitivity Support PH")</f>
        <v>High Sensitivity Support PH</v>
      </c>
      <c r="L11592" s="1" t="str">
        <f>IFERROR(__xludf.DUMMYFUNCTION("""COMPUTED_VALUE"""),"HSS High Sensitivity Support PH - CHT")</f>
        <v>HSS High Sensitivity Support PH - CHT</v>
      </c>
    </row>
    <row r="11593">
      <c r="A11593" s="1" t="str">
        <f>IFERROR(__xludf.DUMMYFUNCTION("""COMPUTED_VALUE"""),"2026 Apr")</f>
        <v>2026 Apr</v>
      </c>
      <c r="B11593" s="4">
        <f>IFERROR(__xludf.DUMMYFUNCTION("""COMPUTED_VALUE"""),46118.0)</f>
        <v>46118</v>
      </c>
      <c r="C11593" s="1" t="str">
        <f>IFERROR(__xludf.DUMMYFUNCTION("""COMPUTED_VALUE"""),"Core Product Support")</f>
        <v>Core Product Support</v>
      </c>
      <c r="D11593" s="1" t="str">
        <f>IFERROR(__xludf.DUMMYFUNCTION("""COMPUTED_VALUE"""),"3160ea91-bbe8-47f3-b356-db1889bfb947")</f>
        <v>3160ea91-bbe8-47f3-b356-db1889bfb947</v>
      </c>
      <c r="E11593" s="1">
        <f>IFERROR(__xludf.DUMMYFUNCTION("""COMPUTED_VALUE"""),8.904462217231E12)</f>
        <v>8904462217231</v>
      </c>
      <c r="F11593" s="1"/>
      <c r="G11593" s="1">
        <f>IFERROR(__xludf.DUMMYFUNCTION("""COMPUTED_VALUE"""),1.0)</f>
        <v>1</v>
      </c>
      <c r="H11593" s="2">
        <f>IFERROR(__xludf.DUMMYFUNCTION("""COMPUTED_VALUE"""),1.0)</f>
        <v>1</v>
      </c>
      <c r="I11593" s="5">
        <f>IFERROR(__xludf.DUMMYFUNCTION("""COMPUTED_VALUE"""),1.0)</f>
        <v>1</v>
      </c>
      <c r="J11593" s="1" t="str">
        <f>IFERROR(__xludf.DUMMYFUNCTION("""COMPUTED_VALUE"""),"Ana Lazaro")</f>
        <v>Ana Lazaro</v>
      </c>
      <c r="K11593" s="1" t="str">
        <f>IFERROR(__xludf.DUMMYFUNCTION("""COMPUTED_VALUE"""),"Advanced Billing &amp; Subscriptions")</f>
        <v>Advanced Billing &amp; Subscriptions</v>
      </c>
      <c r="L11593" s="1" t="str">
        <f>IFERROR(__xludf.DUMMYFUNCTION("""COMPUTED_VALUE"""),"CPS Advanced Billing and Subscriptions (ABS)")</f>
        <v>CPS Advanced Billing and Subscriptions (ABS)</v>
      </c>
    </row>
    <row r="11594">
      <c r="A11594" s="1" t="str">
        <f>IFERROR(__xludf.DUMMYFUNCTION("""COMPUTED_VALUE"""),"2026 Apr")</f>
        <v>2026 Apr</v>
      </c>
      <c r="B11594" s="4">
        <f>IFERROR(__xludf.DUMMYFUNCTION("""COMPUTED_VALUE"""),46118.0)</f>
        <v>46118</v>
      </c>
      <c r="C11594" s="1" t="str">
        <f>IFERROR(__xludf.DUMMYFUNCTION("""COMPUTED_VALUE"""),"High Sensitivity Support")</f>
        <v>High Sensitivity Support</v>
      </c>
      <c r="D11594" s="1" t="str">
        <f>IFERROR(__xludf.DUMMYFUNCTION("""COMPUTED_VALUE"""),"70180db3-ebfc-42fc-99e7-d954cb886c98")</f>
        <v>70180db3-ebfc-42fc-99e7-d954cb886c98</v>
      </c>
      <c r="E11594" s="1">
        <f>IFERROR(__xludf.DUMMYFUNCTION("""COMPUTED_VALUE"""),3.61733077415E11)</f>
        <v>361733077415</v>
      </c>
      <c r="F11594" s="1"/>
      <c r="G11594" s="1">
        <f>IFERROR(__xludf.DUMMYFUNCTION("""COMPUTED_VALUE"""),2.0)</f>
        <v>2</v>
      </c>
      <c r="H11594" s="2">
        <f>IFERROR(__xludf.DUMMYFUNCTION("""COMPUTED_VALUE"""),2.0)</f>
        <v>2</v>
      </c>
      <c r="I11594" s="5">
        <f>IFERROR(__xludf.DUMMYFUNCTION("""COMPUTED_VALUE"""),1.0)</f>
        <v>1</v>
      </c>
      <c r="J11594" s="1" t="str">
        <f>IFERROR(__xludf.DUMMYFUNCTION("""COMPUTED_VALUE"""),"Rex Villamor")</f>
        <v>Rex Villamor</v>
      </c>
      <c r="K11594" s="1" t="str">
        <f>IFERROR(__xludf.DUMMYFUNCTION("""COMPUTED_VALUE"""),"High Sensitivity Support PH")</f>
        <v>High Sensitivity Support PH</v>
      </c>
      <c r="L11594" s="1" t="str">
        <f>IFERROR(__xludf.DUMMYFUNCTION("""COMPUTED_VALUE"""),"HSS High Sensitivity Support PH - CHT")</f>
        <v>HSS High Sensitivity Support PH - CHT</v>
      </c>
    </row>
    <row r="11595">
      <c r="A11595" s="1" t="str">
        <f>IFERROR(__xludf.DUMMYFUNCTION("""COMPUTED_VALUE"""),"2026 Apr")</f>
        <v>2026 Apr</v>
      </c>
      <c r="B11595" s="4">
        <f>IFERROR(__xludf.DUMMYFUNCTION("""COMPUTED_VALUE"""),46118.0)</f>
        <v>46118</v>
      </c>
      <c r="C11595" s="1" t="str">
        <f>IFERROR(__xludf.DUMMYFUNCTION("""COMPUTED_VALUE"""),"Admin Support")</f>
        <v>Admin Support</v>
      </c>
      <c r="D11595" s="1" t="str">
        <f>IFERROR(__xludf.DUMMYFUNCTION("""COMPUTED_VALUE"""),"0c4907ba-7b85-4f42-8afb-a62cdeb8fbd3")</f>
        <v>0c4907ba-7b85-4f42-8afb-a62cdeb8fbd3</v>
      </c>
      <c r="E11595" s="1">
        <f>IFERROR(__xludf.DUMMYFUNCTION("""COMPUTED_VALUE"""),3.61731944975E11)</f>
        <v>361731944975</v>
      </c>
      <c r="F11595" s="1"/>
      <c r="G11595" s="1">
        <f>IFERROR(__xludf.DUMMYFUNCTION("""COMPUTED_VALUE"""),0.25)</f>
        <v>0.25</v>
      </c>
      <c r="H11595" s="2">
        <f>IFERROR(__xludf.DUMMYFUNCTION("""COMPUTED_VALUE"""),0.25)</f>
        <v>0.25</v>
      </c>
      <c r="I11595" s="5">
        <f>IFERROR(__xludf.DUMMYFUNCTION("""COMPUTED_VALUE"""),1.0)</f>
        <v>1</v>
      </c>
      <c r="J11595" s="1" t="str">
        <f>IFERROR(__xludf.DUMMYFUNCTION("""COMPUTED_VALUE"""),"Pau Palmero")</f>
        <v>Pau Palmero</v>
      </c>
      <c r="K11595" s="1" t="str">
        <f>IFERROR(__xludf.DUMMYFUNCTION("""COMPUTED_VALUE"""),"Admin Omni Support")</f>
        <v>Admin Omni Support</v>
      </c>
      <c r="L11595" s="1" t="str">
        <f>IFERROR(__xludf.DUMMYFUNCTION("""COMPUTED_VALUE"""),"Admin Omni Support")</f>
        <v>Admin Omni Support</v>
      </c>
    </row>
    <row r="11596">
      <c r="A11596" s="1" t="str">
        <f>IFERROR(__xludf.DUMMYFUNCTION("""COMPUTED_VALUE"""),"2026 Apr")</f>
        <v>2026 Apr</v>
      </c>
      <c r="B11596" s="4">
        <f>IFERROR(__xludf.DUMMYFUNCTION("""COMPUTED_VALUE"""),46118.0)</f>
        <v>46118</v>
      </c>
      <c r="C11596" s="1" t="str">
        <f>IFERROR(__xludf.DUMMYFUNCTION("""COMPUTED_VALUE"""),"Segment-specific Support")</f>
        <v>Segment-specific Support</v>
      </c>
      <c r="D11596" s="1" t="str">
        <f>IFERROR(__xludf.DUMMYFUNCTION("""COMPUTED_VALUE"""),"31a45902-65b1-4f86-b78c-0681d92ba3b9")</f>
        <v>31a45902-65b1-4f86-b78c-0681d92ba3b9</v>
      </c>
      <c r="E11596" s="1"/>
      <c r="F11596" s="1"/>
      <c r="G11596" s="1"/>
      <c r="H11596" s="2">
        <f>IFERROR(__xludf.DUMMYFUNCTION("""COMPUTED_VALUE"""),0.0)</f>
        <v>0</v>
      </c>
      <c r="I11596" s="5"/>
      <c r="J11596" s="1" t="str">
        <f>IFERROR(__xludf.DUMMYFUNCTION("""COMPUTED_VALUE"""),"Leigh Davison")</f>
        <v>Leigh Davison</v>
      </c>
      <c r="K11596" s="1" t="str">
        <f>IFERROR(__xludf.DUMMYFUNCTION("""COMPUTED_VALUE"""),"#N/A")</f>
        <v>#N/A</v>
      </c>
      <c r="L11596" s="1"/>
    </row>
    <row r="11597">
      <c r="A11597" s="1" t="str">
        <f>IFERROR(__xludf.DUMMYFUNCTION("""COMPUTED_VALUE"""),"2026 Apr")</f>
        <v>2026 Apr</v>
      </c>
      <c r="B11597" s="4">
        <f>IFERROR(__xludf.DUMMYFUNCTION("""COMPUTED_VALUE"""),46118.0)</f>
        <v>46118</v>
      </c>
      <c r="C11597" s="1" t="str">
        <f>IFERROR(__xludf.DUMMYFUNCTION("""COMPUTED_VALUE"""),"Admin Support")</f>
        <v>Admin Support</v>
      </c>
      <c r="D11597" s="1" t="str">
        <f>IFERROR(__xludf.DUMMYFUNCTION("""COMPUTED_VALUE"""),"f3e01c36-ae47-4587-bb42-c4f8b42102e5")</f>
        <v>f3e01c36-ae47-4587-bb42-c4f8b42102e5</v>
      </c>
      <c r="E11597" s="1">
        <f>IFERROR(__xludf.DUMMYFUNCTION("""COMPUTED_VALUE"""),3.61725484056E11)</f>
        <v>361725484056</v>
      </c>
      <c r="F11597" s="1"/>
      <c r="G11597" s="1">
        <f>IFERROR(__xludf.DUMMYFUNCTION("""COMPUTED_VALUE"""),0.25)</f>
        <v>0.25</v>
      </c>
      <c r="H11597" s="2">
        <f>IFERROR(__xludf.DUMMYFUNCTION("""COMPUTED_VALUE"""),0.25)</f>
        <v>0.25</v>
      </c>
      <c r="I11597" s="5">
        <f>IFERROR(__xludf.DUMMYFUNCTION("""COMPUTED_VALUE"""),1.0)</f>
        <v>1</v>
      </c>
      <c r="J11597" s="1" t="str">
        <f>IFERROR(__xludf.DUMMYFUNCTION("""COMPUTED_VALUE"""),"Ann Dumlao")</f>
        <v>Ann Dumlao</v>
      </c>
      <c r="K11597" s="1" t="str">
        <f>IFERROR(__xludf.DUMMYFUNCTION("""COMPUTED_VALUE"""),"Admin Omni Support")</f>
        <v>Admin Omni Support</v>
      </c>
      <c r="L11597" s="1" t="str">
        <f>IFERROR(__xludf.DUMMYFUNCTION("""COMPUTED_VALUE"""),"Admin Omni Support")</f>
        <v>Admin Omni Support</v>
      </c>
    </row>
    <row r="11598">
      <c r="A11598" s="1" t="str">
        <f>IFERROR(__xludf.DUMMYFUNCTION("""COMPUTED_VALUE"""),"2026 Apr")</f>
        <v>2026 Apr</v>
      </c>
      <c r="B11598" s="4">
        <f>IFERROR(__xludf.DUMMYFUNCTION("""COMPUTED_VALUE"""),46118.0)</f>
        <v>46118</v>
      </c>
      <c r="C11598" s="1" t="str">
        <f>IFERROR(__xludf.DUMMYFUNCTION("""COMPUTED_VALUE"""),"Segment-specific Support")</f>
        <v>Segment-specific Support</v>
      </c>
      <c r="D11598" s="1" t="str">
        <f>IFERROR(__xludf.DUMMYFUNCTION("""COMPUTED_VALUE"""),"546334b1-0aad-492a-9c63-26532ca8c5fc")</f>
        <v>546334b1-0aad-492a-9c63-26532ca8c5fc</v>
      </c>
      <c r="E11598" s="1"/>
      <c r="F11598" s="1"/>
      <c r="G11598" s="1"/>
      <c r="H11598" s="2">
        <f>IFERROR(__xludf.DUMMYFUNCTION("""COMPUTED_VALUE"""),0.0)</f>
        <v>0</v>
      </c>
      <c r="I11598" s="5"/>
      <c r="J11598" s="1" t="str">
        <f>IFERROR(__xludf.DUMMYFUNCTION("""COMPUTED_VALUE"""),"Leigh Davison")</f>
        <v>Leigh Davison</v>
      </c>
      <c r="K11598" s="1" t="str">
        <f>IFERROR(__xludf.DUMMYFUNCTION("""COMPUTED_VALUE"""),"#N/A")</f>
        <v>#N/A</v>
      </c>
      <c r="L11598" s="1"/>
    </row>
    <row r="11599">
      <c r="A11599" s="1" t="str">
        <f>IFERROR(__xludf.DUMMYFUNCTION("""COMPUTED_VALUE"""),"2026 Apr")</f>
        <v>2026 Apr</v>
      </c>
      <c r="B11599" s="4">
        <f>IFERROR(__xludf.DUMMYFUNCTION("""COMPUTED_VALUE"""),46118.0)</f>
        <v>46118</v>
      </c>
      <c r="C11599" s="1" t="str">
        <f>IFERROR(__xludf.DUMMYFUNCTION("""COMPUTED_VALUE"""),"Segment-specific Support")</f>
        <v>Segment-specific Support</v>
      </c>
      <c r="D11599" s="1" t="str">
        <f>IFERROR(__xludf.DUMMYFUNCTION("""COMPUTED_VALUE"""),"0a760e6d-f69c-4cfc-a59a-917274456550")</f>
        <v>0a760e6d-f69c-4cfc-a59a-917274456550</v>
      </c>
      <c r="E11599" s="1">
        <f>IFERROR(__xludf.DUMMYFUNCTION("""COMPUTED_VALUE"""),5.047314632975E12)</f>
        <v>5047314632975</v>
      </c>
      <c r="F11599" s="1"/>
      <c r="G11599" s="1">
        <f>IFERROR(__xludf.DUMMYFUNCTION("""COMPUTED_VALUE"""),0.17)</f>
        <v>0.17</v>
      </c>
      <c r="H11599" s="2">
        <f>IFERROR(__xludf.DUMMYFUNCTION("""COMPUTED_VALUE"""),0.17)</f>
        <v>0.17</v>
      </c>
      <c r="I11599" s="5">
        <f>IFERROR(__xludf.DUMMYFUNCTION("""COMPUTED_VALUE"""),1.0)</f>
        <v>1</v>
      </c>
      <c r="J11599" s="1" t="str">
        <f>IFERROR(__xludf.DUMMYFUNCTION("""COMPUTED_VALUE"""),"Rose Gabilan")</f>
        <v>Rose Gabilan</v>
      </c>
      <c r="K11599" s="1" t="str">
        <f>IFERROR(__xludf.DUMMYFUNCTION("""COMPUTED_VALUE"""),"Affinity Support")</f>
        <v>Affinity Support</v>
      </c>
      <c r="L11599" s="1" t="str">
        <f>IFERROR(__xludf.DUMMYFUNCTION("""COMPUTED_VALUE"""),"SSS Affinity - L1")</f>
        <v>SSS Affinity - L1</v>
      </c>
    </row>
    <row r="11600">
      <c r="A11600" s="1" t="str">
        <f>IFERROR(__xludf.DUMMYFUNCTION("""COMPUTED_VALUE"""),"2026 Apr")</f>
        <v>2026 Apr</v>
      </c>
      <c r="B11600" s="4">
        <f>IFERROR(__xludf.DUMMYFUNCTION("""COMPUTED_VALUE"""),46118.0)</f>
        <v>46118</v>
      </c>
      <c r="C11600" s="1" t="str">
        <f>IFERROR(__xludf.DUMMYFUNCTION("""COMPUTED_VALUE"""),"Admin Support")</f>
        <v>Admin Support</v>
      </c>
      <c r="D11600" s="1" t="str">
        <f>IFERROR(__xludf.DUMMYFUNCTION("""COMPUTED_VALUE"""),"97756389-1733-4bfe-bf0b-b3fe225fe510")</f>
        <v>97756389-1733-4bfe-bf0b-b3fe225fe510</v>
      </c>
      <c r="E11600" s="1">
        <f>IFERROR(__xludf.DUMMYFUNCTION("""COMPUTED_VALUE"""),9.153847235087E12)</f>
        <v>9153847235087</v>
      </c>
      <c r="F11600" s="1"/>
      <c r="G11600" s="1"/>
      <c r="H11600" s="2">
        <f>IFERROR(__xludf.DUMMYFUNCTION("""COMPUTED_VALUE"""),0.0)</f>
        <v>0</v>
      </c>
      <c r="I11600" s="5"/>
      <c r="J11600" s="1" t="str">
        <f>IFERROR(__xludf.DUMMYFUNCTION("""COMPUTED_VALUE"""),"Tash Kelly")</f>
        <v>Tash Kelly</v>
      </c>
      <c r="K11600" s="1" t="str">
        <f>IFERROR(__xludf.DUMMYFUNCTION("""COMPUTED_VALUE"""),"Admin Support EMEA")</f>
        <v>Admin Support EMEA</v>
      </c>
      <c r="L11600" s="1" t="str">
        <f>IFERROR(__xludf.DUMMYFUNCTION("""COMPUTED_VALUE"""),"Admin EMEA")</f>
        <v>Admin EMEA</v>
      </c>
    </row>
    <row r="11601">
      <c r="A11601" s="1" t="str">
        <f>IFERROR(__xludf.DUMMYFUNCTION("""COMPUTED_VALUE"""),"2026 Apr")</f>
        <v>2026 Apr</v>
      </c>
      <c r="B11601" s="4">
        <f>IFERROR(__xludf.DUMMYFUNCTION("""COMPUTED_VALUE"""),46118.0)</f>
        <v>46118</v>
      </c>
      <c r="C11601" s="1" t="str">
        <f>IFERROR(__xludf.DUMMYFUNCTION("""COMPUTED_VALUE"""),"Admin Support")</f>
        <v>Admin Support</v>
      </c>
      <c r="D11601" s="1" t="str">
        <f>IFERROR(__xludf.DUMMYFUNCTION("""COMPUTED_VALUE"""),"b8e64047-ce95-4bd1-ba70-97209dbdd968")</f>
        <v>b8e64047-ce95-4bd1-ba70-97209dbdd968</v>
      </c>
      <c r="E11601" s="1">
        <f>IFERROR(__xludf.DUMMYFUNCTION("""COMPUTED_VALUE"""),5.813415515279E12)</f>
        <v>5813415515279</v>
      </c>
      <c r="F11601" s="1"/>
      <c r="G11601" s="1"/>
      <c r="H11601" s="2">
        <f>IFERROR(__xludf.DUMMYFUNCTION("""COMPUTED_VALUE"""),0.0)</f>
        <v>0</v>
      </c>
      <c r="I11601" s="5"/>
      <c r="J11601" s="1" t="str">
        <f>IFERROR(__xludf.DUMMYFUNCTION("""COMPUTED_VALUE"""),"Nate Vela")</f>
        <v>Nate Vela</v>
      </c>
      <c r="K11601" s="1" t="str">
        <f>IFERROR(__xludf.DUMMYFUNCTION("""COMPUTED_VALUE"""),"Admin Support NA")</f>
        <v>Admin Support NA</v>
      </c>
      <c r="L11601" s="1" t="str">
        <f>IFERROR(__xludf.DUMMYFUNCTION("""COMPUTED_VALUE"""),"Admin NA")</f>
        <v>Admin NA</v>
      </c>
    </row>
    <row r="11602">
      <c r="A11602" s="1" t="str">
        <f>IFERROR(__xludf.DUMMYFUNCTION("""COMPUTED_VALUE"""),"2026 Apr")</f>
        <v>2026 Apr</v>
      </c>
      <c r="B11602" s="4">
        <f>IFERROR(__xludf.DUMMYFUNCTION("""COMPUTED_VALUE"""),46118.0)</f>
        <v>46118</v>
      </c>
      <c r="C11602" s="1" t="str">
        <f>IFERROR(__xludf.DUMMYFUNCTION("""COMPUTED_VALUE"""),"Print Support")</f>
        <v>Print Support</v>
      </c>
      <c r="D11602" s="1" t="str">
        <f>IFERROR(__xludf.DUMMYFUNCTION("""COMPUTED_VALUE"""),"0a8eade5-f55e-4b55-9dca-c83c736a8818")</f>
        <v>0a8eade5-f55e-4b55-9dca-c83c736a8818</v>
      </c>
      <c r="E11602" s="1">
        <f>IFERROR(__xludf.DUMMYFUNCTION("""COMPUTED_VALUE"""),3.61744044436E11)</f>
        <v>361744044436</v>
      </c>
      <c r="F11602" s="1"/>
      <c r="G11602" s="1"/>
      <c r="H11602" s="2">
        <f>IFERROR(__xludf.DUMMYFUNCTION("""COMPUTED_VALUE"""),0.0)</f>
        <v>0</v>
      </c>
      <c r="I11602" s="5"/>
      <c r="J11602" s="1" t="str">
        <f>IFERROR(__xludf.DUMMYFUNCTION("""COMPUTED_VALUE"""),"Jen Momo")</f>
        <v>Jen Momo</v>
      </c>
      <c r="K11602" s="1" t="str">
        <f>IFERROR(__xludf.DUMMYFUNCTION("""COMPUTED_VALUE"""),"Print Support PH")</f>
        <v>Print Support PH</v>
      </c>
      <c r="L11602" s="1" t="str">
        <f>IFERROR(__xludf.DUMMYFUNCTION("""COMPUTED_VALUE"""),"Print Print - CHT")</f>
        <v>Print Print - CHT</v>
      </c>
    </row>
    <row r="11603">
      <c r="A11603" s="1" t="str">
        <f>IFERROR(__xludf.DUMMYFUNCTION("""COMPUTED_VALUE"""),"2026 Apr")</f>
        <v>2026 Apr</v>
      </c>
      <c r="B11603" s="4">
        <f>IFERROR(__xludf.DUMMYFUNCTION("""COMPUTED_VALUE"""),46118.0)</f>
        <v>46118</v>
      </c>
      <c r="C11603" s="1" t="str">
        <f>IFERROR(__xludf.DUMMYFUNCTION("""COMPUTED_VALUE"""),"Print Support")</f>
        <v>Print Support</v>
      </c>
      <c r="D11603" s="1" t="str">
        <f>IFERROR(__xludf.DUMMYFUNCTION("""COMPUTED_VALUE"""),"7938e720-2f23-4ae8-a8bc-a1aeb68883d0")</f>
        <v>7938e720-2f23-4ae8-a8bc-a1aeb68883d0</v>
      </c>
      <c r="E11603" s="1">
        <f>IFERROR(__xludf.DUMMYFUNCTION("""COMPUTED_VALUE"""),5.359144671119E12)</f>
        <v>5359144671119</v>
      </c>
      <c r="F11603" s="1"/>
      <c r="G11603" s="1"/>
      <c r="H11603" s="2">
        <f>IFERROR(__xludf.DUMMYFUNCTION("""COMPUTED_VALUE"""),0.0)</f>
        <v>0</v>
      </c>
      <c r="I11603" s="5"/>
      <c r="J11603" s="1" t="str">
        <f>IFERROR(__xludf.DUMMYFUNCTION("""COMPUTED_VALUE"""),"Louise Dianne Estrella")</f>
        <v>Louise Dianne Estrella</v>
      </c>
      <c r="K11603" s="1" t="str">
        <f>IFERROR(__xludf.DUMMYFUNCTION("""COMPUTED_VALUE"""),"Print Support PH")</f>
        <v>Print Support PH</v>
      </c>
      <c r="L11603" s="1" t="str">
        <f>IFERROR(__xludf.DUMMYFUNCTION("""COMPUTED_VALUE"""),"Print Print - CHT")</f>
        <v>Print Print - CHT</v>
      </c>
    </row>
    <row r="11604">
      <c r="A11604" s="1" t="str">
        <f>IFERROR(__xludf.DUMMYFUNCTION("""COMPUTED_VALUE"""),"2026 Apr")</f>
        <v>2026 Apr</v>
      </c>
      <c r="B11604" s="4">
        <f>IFERROR(__xludf.DUMMYFUNCTION("""COMPUTED_VALUE"""),46118.0)</f>
        <v>46118</v>
      </c>
      <c r="C11604" s="1" t="str">
        <f>IFERROR(__xludf.DUMMYFUNCTION("""COMPUTED_VALUE"""),"Admin Support")</f>
        <v>Admin Support</v>
      </c>
      <c r="D11604" s="1" t="str">
        <f>IFERROR(__xludf.DUMMYFUNCTION("""COMPUTED_VALUE"""),"7bf5cef1-9473-43c3-9aff-115283ed0e7a")</f>
        <v>7bf5cef1-9473-43c3-9aff-115283ed0e7a</v>
      </c>
      <c r="E11604" s="1">
        <f>IFERROR(__xludf.DUMMYFUNCTION("""COMPUTED_VALUE"""),1.0005707260559E13)</f>
        <v>10005707260559</v>
      </c>
      <c r="F11604" s="1"/>
      <c r="G11604" s="1">
        <f>IFERROR(__xludf.DUMMYFUNCTION("""COMPUTED_VALUE"""),0.25)</f>
        <v>0.25</v>
      </c>
      <c r="H11604" s="2">
        <f>IFERROR(__xludf.DUMMYFUNCTION("""COMPUTED_VALUE"""),0.25)</f>
        <v>0.25</v>
      </c>
      <c r="I11604" s="5">
        <f>IFERROR(__xludf.DUMMYFUNCTION("""COMPUTED_VALUE"""),1.0)</f>
        <v>1</v>
      </c>
      <c r="J11604" s="1" t="str">
        <f>IFERROR(__xludf.DUMMYFUNCTION("""COMPUTED_VALUE"""),"AL Suarez")</f>
        <v>AL Suarez</v>
      </c>
      <c r="K11604" s="1" t="str">
        <f>IFERROR(__xludf.DUMMYFUNCTION("""COMPUTED_VALUE"""),"Advanced Billing &amp; Subscriptions")</f>
        <v>Advanced Billing &amp; Subscriptions</v>
      </c>
      <c r="L11604" s="1" t="str">
        <f>IFERROR(__xludf.DUMMYFUNCTION("""COMPUTED_VALUE"""),"CPS Advanced Billing and Subscriptions (ABS)")</f>
        <v>CPS Advanced Billing and Subscriptions (ABS)</v>
      </c>
    </row>
    <row r="11605">
      <c r="A11605" s="1" t="str">
        <f>IFERROR(__xludf.DUMMYFUNCTION("""COMPUTED_VALUE"""),"2026 Apr")</f>
        <v>2026 Apr</v>
      </c>
      <c r="B11605" s="4">
        <f>IFERROR(__xludf.DUMMYFUNCTION("""COMPUTED_VALUE"""),46118.0)</f>
        <v>46118</v>
      </c>
      <c r="C11605" s="1" t="str">
        <f>IFERROR(__xludf.DUMMYFUNCTION("""COMPUTED_VALUE"""),"Segment-specific Support")</f>
        <v>Segment-specific Support</v>
      </c>
      <c r="D11605" s="1" t="str">
        <f>IFERROR(__xludf.DUMMYFUNCTION("""COMPUTED_VALUE"""),"ea5d3075-1c56-458e-abc7-f25ded5a9d76")</f>
        <v>ea5d3075-1c56-458e-abc7-f25ded5a9d76</v>
      </c>
      <c r="E11605" s="1">
        <f>IFERROR(__xludf.DUMMYFUNCTION("""COMPUTED_VALUE"""),1.1401961186319E13)</f>
        <v>11401961186319</v>
      </c>
      <c r="F11605" s="1"/>
      <c r="G11605" s="1"/>
      <c r="H11605" s="2">
        <f>IFERROR(__xludf.DUMMYFUNCTION("""COMPUTED_VALUE"""),0.0)</f>
        <v>0</v>
      </c>
      <c r="I11605" s="5"/>
      <c r="J11605" s="1" t="str">
        <f>IFERROR(__xludf.DUMMYFUNCTION("""COMPUTED_VALUE"""),"Aileen Dayanghirang")</f>
        <v>Aileen Dayanghirang</v>
      </c>
      <c r="K11605" s="1" t="str">
        <f>IFERROR(__xludf.DUMMYFUNCTION("""COMPUTED_VALUE"""),"Creators Support")</f>
        <v>Creators Support</v>
      </c>
      <c r="L11605" s="1" t="str">
        <f>IFERROR(__xludf.DUMMYFUNCTION("""COMPUTED_VALUE"""),"SSS Creators")</f>
        <v>SSS Creators</v>
      </c>
    </row>
    <row r="11606">
      <c r="A11606" s="1" t="str">
        <f>IFERROR(__xludf.DUMMYFUNCTION("""COMPUTED_VALUE"""),"2026 Apr")</f>
        <v>2026 Apr</v>
      </c>
      <c r="B11606" s="4">
        <f>IFERROR(__xludf.DUMMYFUNCTION("""COMPUTED_VALUE"""),46118.0)</f>
        <v>46118</v>
      </c>
      <c r="C11606" s="1" t="str">
        <f>IFERROR(__xludf.DUMMYFUNCTION("""COMPUTED_VALUE"""),"Admin Support")</f>
        <v>Admin Support</v>
      </c>
      <c r="D11606" s="1" t="str">
        <f>IFERROR(__xludf.DUMMYFUNCTION("""COMPUTED_VALUE"""),"ac612821-c478-4ed1-8b21-3e20fb1b17d4")</f>
        <v>ac612821-c478-4ed1-8b21-3e20fb1b17d4</v>
      </c>
      <c r="E11606" s="1">
        <f>IFERROR(__xludf.DUMMYFUNCTION("""COMPUTED_VALUE"""),8.409862611087E12)</f>
        <v>8409862611087</v>
      </c>
      <c r="F11606" s="1"/>
      <c r="G11606" s="1"/>
      <c r="H11606" s="2">
        <f>IFERROR(__xludf.DUMMYFUNCTION("""COMPUTED_VALUE"""),0.0)</f>
        <v>0</v>
      </c>
      <c r="I11606" s="5"/>
      <c r="J11606" s="1" t="str">
        <f>IFERROR(__xludf.DUMMYFUNCTION("""COMPUTED_VALUE"""),"Karla Mananghaya")</f>
        <v>Karla Mananghaya</v>
      </c>
      <c r="K11606" s="1" t="str">
        <f>IFERROR(__xludf.DUMMYFUNCTION("""COMPUTED_VALUE"""),"Admin Support Service Escalation Team")</f>
        <v>Admin Support Service Escalation Team</v>
      </c>
      <c r="L11606" s="1" t="str">
        <f>IFERROR(__xludf.DUMMYFUNCTION("""COMPUTED_VALUE"""),"Admin ASSET")</f>
        <v>Admin ASSET</v>
      </c>
    </row>
    <row r="11607">
      <c r="A11607" s="1" t="str">
        <f>IFERROR(__xludf.DUMMYFUNCTION("""COMPUTED_VALUE"""),"2026 Apr")</f>
        <v>2026 Apr</v>
      </c>
      <c r="B11607" s="4">
        <f>IFERROR(__xludf.DUMMYFUNCTION("""COMPUTED_VALUE"""),46118.0)</f>
        <v>46118</v>
      </c>
      <c r="C11607" s="1" t="str">
        <f>IFERROR(__xludf.DUMMYFUNCTION("""COMPUTED_VALUE"""),"Multilingual Support")</f>
        <v>Multilingual Support</v>
      </c>
      <c r="D11607" s="1" t="str">
        <f>IFERROR(__xludf.DUMMYFUNCTION("""COMPUTED_VALUE"""),"c643f4d3-31ef-4155-ba4e-a552baeb6f23")</f>
        <v>c643f4d3-31ef-4155-ba4e-a552baeb6f23</v>
      </c>
      <c r="E11607" s="1">
        <f>IFERROR(__xludf.DUMMYFUNCTION("""COMPUTED_VALUE"""),3.61726424916E11)</f>
        <v>361726424916</v>
      </c>
      <c r="F11607" s="1"/>
      <c r="G11607" s="1"/>
      <c r="H11607" s="2">
        <f>IFERROR(__xludf.DUMMYFUNCTION("""COMPUTED_VALUE"""),0.0)</f>
        <v>0</v>
      </c>
      <c r="I11607" s="5"/>
      <c r="J11607" s="1" t="str">
        <f>IFERROR(__xludf.DUMMYFUNCTION("""COMPUTED_VALUE"""),"Arlene Maurillo")</f>
        <v>Arlene Maurillo</v>
      </c>
      <c r="K11607" s="1" t="str">
        <f>IFERROR(__xludf.DUMMYFUNCTION("""COMPUTED_VALUE"""),"PHL, Multilingual Support")</f>
        <v>PHL, Multilingual Support</v>
      </c>
      <c r="L11607" s="1" t="str">
        <f>IFERROR(__xludf.DUMMYFUNCTION("""COMPUTED_VALUE"""),"ML French Support")</f>
        <v>ML French Support</v>
      </c>
    </row>
    <row r="11608">
      <c r="A11608" s="1" t="str">
        <f>IFERROR(__xludf.DUMMYFUNCTION("""COMPUTED_VALUE"""),"2026 Apr")</f>
        <v>2026 Apr</v>
      </c>
      <c r="B11608" s="4">
        <f>IFERROR(__xludf.DUMMYFUNCTION("""COMPUTED_VALUE"""),46118.0)</f>
        <v>46118</v>
      </c>
      <c r="C11608" s="1" t="str">
        <f>IFERROR(__xludf.DUMMYFUNCTION("""COMPUTED_VALUE"""),"High Sensitivity Support")</f>
        <v>High Sensitivity Support</v>
      </c>
      <c r="D11608" s="1" t="str">
        <f>IFERROR(__xludf.DUMMYFUNCTION("""COMPUTED_VALUE"""),"19ca9753-f76b-4593-ad5b-20f0e6bda57d")</f>
        <v>19ca9753-f76b-4593-ad5b-20f0e6bda57d</v>
      </c>
      <c r="E11608" s="1">
        <f>IFERROR(__xludf.DUMMYFUNCTION("""COMPUTED_VALUE"""),3.61694652335E11)</f>
        <v>361694652335</v>
      </c>
      <c r="F11608" s="1"/>
      <c r="G11608" s="1"/>
      <c r="H11608" s="2">
        <f>IFERROR(__xludf.DUMMYFUNCTION("""COMPUTED_VALUE"""),0.0)</f>
        <v>0</v>
      </c>
      <c r="I11608" s="5"/>
      <c r="J11608" s="1" t="str">
        <f>IFERROR(__xludf.DUMMYFUNCTION("""COMPUTED_VALUE"""),"Xandy Azarcon")</f>
        <v>Xandy Azarcon</v>
      </c>
      <c r="K11608" s="1" t="str">
        <f>IFERROR(__xludf.DUMMYFUNCTION("""COMPUTED_VALUE"""),"High Sensitivity Support PH")</f>
        <v>High Sensitivity Support PH</v>
      </c>
      <c r="L11608" s="1" t="str">
        <f>IFERROR(__xludf.DUMMYFUNCTION("""COMPUTED_VALUE"""),"HSS High Sensitivity Support PH - CHT")</f>
        <v>HSS High Sensitivity Support PH - CHT</v>
      </c>
    </row>
    <row r="11609">
      <c r="A11609" s="1" t="str">
        <f>IFERROR(__xludf.DUMMYFUNCTION("""COMPUTED_VALUE"""),"2026 Apr")</f>
        <v>2026 Apr</v>
      </c>
      <c r="B11609" s="4">
        <f>IFERROR(__xludf.DUMMYFUNCTION("""COMPUTED_VALUE"""),46118.0)</f>
        <v>46118</v>
      </c>
      <c r="C11609" s="1" t="str">
        <f>IFERROR(__xludf.DUMMYFUNCTION("""COMPUTED_VALUE"""),"Print Support")</f>
        <v>Print Support</v>
      </c>
      <c r="D11609" s="1" t="str">
        <f>IFERROR(__xludf.DUMMYFUNCTION("""COMPUTED_VALUE"""),"05869263-0d01-4309-8f73-ab6deb080e16")</f>
        <v>05869263-0d01-4309-8f73-ab6deb080e16</v>
      </c>
      <c r="E11609" s="1"/>
      <c r="F11609" s="1"/>
      <c r="G11609" s="1">
        <f>IFERROR(__xludf.DUMMYFUNCTION("""COMPUTED_VALUE"""),0.67)</f>
        <v>0.67</v>
      </c>
      <c r="H11609" s="2">
        <f>IFERROR(__xludf.DUMMYFUNCTION("""COMPUTED_VALUE"""),0.67)</f>
        <v>0.67</v>
      </c>
      <c r="I11609" s="5">
        <f>IFERROR(__xludf.DUMMYFUNCTION("""COMPUTED_VALUE"""),1.0)</f>
        <v>1</v>
      </c>
      <c r="J11609" s="1" t="str">
        <f>IFERROR(__xludf.DUMMYFUNCTION("""COMPUTED_VALUE"""),"G-Anne Murillo")</f>
        <v>G-Anne Murillo</v>
      </c>
      <c r="K11609" s="1" t="str">
        <f>IFERROR(__xludf.DUMMYFUNCTION("""COMPUTED_VALUE"""),"Print Design Support")</f>
        <v>Print Design Support</v>
      </c>
      <c r="L11609" s="1" t="str">
        <f>IFERROR(__xludf.DUMMYFUNCTION("""COMPUTED_VALUE"""),"Print Print Design")</f>
        <v>Print Print Design</v>
      </c>
    </row>
    <row r="11610">
      <c r="A11610" s="1" t="str">
        <f>IFERROR(__xludf.DUMMYFUNCTION("""COMPUTED_VALUE"""),"2026 Apr")</f>
        <v>2026 Apr</v>
      </c>
      <c r="B11610" s="4">
        <f>IFERROR(__xludf.DUMMYFUNCTION("""COMPUTED_VALUE"""),46118.0)</f>
        <v>46118</v>
      </c>
      <c r="C11610" s="1" t="str">
        <f>IFERROR(__xludf.DUMMYFUNCTION("""COMPUTED_VALUE"""),"Print Support")</f>
        <v>Print Support</v>
      </c>
      <c r="D11610" s="1" t="str">
        <f>IFERROR(__xludf.DUMMYFUNCTION("""COMPUTED_VALUE"""),"5fe68c01-0359-40ab-9a6d-78a5cd050024")</f>
        <v>5fe68c01-0359-40ab-9a6d-78a5cd050024</v>
      </c>
      <c r="E11610" s="1"/>
      <c r="F11610" s="1"/>
      <c r="G11610" s="1"/>
      <c r="H11610" s="2">
        <f>IFERROR(__xludf.DUMMYFUNCTION("""COMPUTED_VALUE"""),0.0)</f>
        <v>0</v>
      </c>
      <c r="I11610" s="5"/>
      <c r="J11610" s="1" t="str">
        <f>IFERROR(__xludf.DUMMYFUNCTION("""COMPUTED_VALUE"""),"Jan Domingo")</f>
        <v>Jan Domingo</v>
      </c>
      <c r="K11610" s="1" t="str">
        <f>IFERROR(__xludf.DUMMYFUNCTION("""COMPUTED_VALUE"""),"Print Design Support")</f>
        <v>Print Design Support</v>
      </c>
      <c r="L11610" s="1" t="str">
        <f>IFERROR(__xludf.DUMMYFUNCTION("""COMPUTED_VALUE"""),"Print Print Design")</f>
        <v>Print Print Design</v>
      </c>
    </row>
    <row r="11611">
      <c r="A11611" s="1" t="str">
        <f>IFERROR(__xludf.DUMMYFUNCTION("""COMPUTED_VALUE"""),"2026 Apr")</f>
        <v>2026 Apr</v>
      </c>
      <c r="B11611" s="4">
        <f>IFERROR(__xludf.DUMMYFUNCTION("""COMPUTED_VALUE"""),46118.0)</f>
        <v>46118</v>
      </c>
      <c r="C11611" s="1" t="str">
        <f>IFERROR(__xludf.DUMMYFUNCTION("""COMPUTED_VALUE"""),"Print Support")</f>
        <v>Print Support</v>
      </c>
      <c r="D11611" s="1" t="str">
        <f>IFERROR(__xludf.DUMMYFUNCTION("""COMPUTED_VALUE"""),"50551296-1c12-4ee1-842f-b3c74e1d0706")</f>
        <v>50551296-1c12-4ee1-842f-b3c74e1d0706</v>
      </c>
      <c r="E11611" s="1">
        <f>IFERROR(__xludf.DUMMYFUNCTION("""COMPUTED_VALUE"""),3.61725486956E11)</f>
        <v>361725486956</v>
      </c>
      <c r="F11611" s="1"/>
      <c r="G11611" s="1"/>
      <c r="H11611" s="2">
        <f>IFERROR(__xludf.DUMMYFUNCTION("""COMPUTED_VALUE"""),0.0)</f>
        <v>0</v>
      </c>
      <c r="I11611" s="5"/>
      <c r="J11611" s="1" t="str">
        <f>IFERROR(__xludf.DUMMYFUNCTION("""COMPUTED_VALUE"""),"Memae Faustino")</f>
        <v>Memae Faustino</v>
      </c>
      <c r="K11611" s="1" t="str">
        <f>IFERROR(__xludf.DUMMYFUNCTION("""COMPUTED_VALUE"""),"Print Support PH")</f>
        <v>Print Support PH</v>
      </c>
      <c r="L11611" s="1" t="str">
        <f>IFERROR(__xludf.DUMMYFUNCTION("""COMPUTED_VALUE"""),"Print Print - SEE")</f>
        <v>Print Print - SEE</v>
      </c>
    </row>
    <row r="11612">
      <c r="A11612" s="1" t="str">
        <f>IFERROR(__xludf.DUMMYFUNCTION("""COMPUTED_VALUE"""),"2026 Apr")</f>
        <v>2026 Apr</v>
      </c>
      <c r="B11612" s="4">
        <f>IFERROR(__xludf.DUMMYFUNCTION("""COMPUTED_VALUE"""),46118.0)</f>
        <v>46118</v>
      </c>
      <c r="C11612" s="1" t="str">
        <f>IFERROR(__xludf.DUMMYFUNCTION("""COMPUTED_VALUE"""),"Core Product Support")</f>
        <v>Core Product Support</v>
      </c>
      <c r="D11612" s="1" t="str">
        <f>IFERROR(__xludf.DUMMYFUNCTION("""COMPUTED_VALUE"""),"4dbfa916-5ac6-473d-aa13-5812e02f0be2")</f>
        <v>4dbfa916-5ac6-473d-aa13-5812e02f0be2</v>
      </c>
      <c r="E11612" s="1">
        <f>IFERROR(__xludf.DUMMYFUNCTION("""COMPUTED_VALUE"""),9.586394042255E12)</f>
        <v>9586394042255</v>
      </c>
      <c r="F11612" s="1">
        <f>IFERROR(__xludf.DUMMYFUNCTION("""COMPUTED_VALUE"""),0.5)</f>
        <v>0.5</v>
      </c>
      <c r="G11612" s="1">
        <f>IFERROR(__xludf.DUMMYFUNCTION("""COMPUTED_VALUE"""),1.25)</f>
        <v>1.25</v>
      </c>
      <c r="H11612" s="2">
        <f>IFERROR(__xludf.DUMMYFUNCTION("""COMPUTED_VALUE"""),1.75)</f>
        <v>1.75</v>
      </c>
      <c r="I11612" s="5">
        <f>IFERROR(__xludf.DUMMYFUNCTION("""COMPUTED_VALUE"""),0.7142857142857143)</f>
        <v>0.7142857143</v>
      </c>
      <c r="J11612" s="1" t="str">
        <f>IFERROR(__xludf.DUMMYFUNCTION("""COMPUTED_VALUE"""),"Vinz Lazaro")</f>
        <v>Vinz Lazaro</v>
      </c>
      <c r="K11612" s="1" t="str">
        <f>IFERROR(__xludf.DUMMYFUNCTION("""COMPUTED_VALUE"""),"Advanced Product Support")</f>
        <v>Advanced Product Support</v>
      </c>
      <c r="L11612" s="1" t="str">
        <f>IFERROR(__xludf.DUMMYFUNCTION("""COMPUTED_VALUE"""),"CPS Advanced Product Support (APS)")</f>
        <v>CPS Advanced Product Support (APS)</v>
      </c>
    </row>
    <row r="11613">
      <c r="A11613" s="1" t="str">
        <f>IFERROR(__xludf.DUMMYFUNCTION("""COMPUTED_VALUE"""),"2026 Apr")</f>
        <v>2026 Apr</v>
      </c>
      <c r="B11613" s="4">
        <f>IFERROR(__xludf.DUMMYFUNCTION("""COMPUTED_VALUE"""),46118.0)</f>
        <v>46118</v>
      </c>
      <c r="C11613" s="1" t="str">
        <f>IFERROR(__xludf.DUMMYFUNCTION("""COMPUTED_VALUE"""),"Print Support")</f>
        <v>Print Support</v>
      </c>
      <c r="D11613" s="1" t="str">
        <f>IFERROR(__xludf.DUMMYFUNCTION("""COMPUTED_VALUE"""),"9c6c901c-ce92-460f-9d6d-5ee12b03a1ec")</f>
        <v>9c6c901c-ce92-460f-9d6d-5ee12b03a1ec</v>
      </c>
      <c r="E11613" s="1"/>
      <c r="F11613" s="1"/>
      <c r="G11613" s="1">
        <f>IFERROR(__xludf.DUMMYFUNCTION("""COMPUTED_VALUE"""),45.0)</f>
        <v>45</v>
      </c>
      <c r="H11613" s="2">
        <f>IFERROR(__xludf.DUMMYFUNCTION("""COMPUTED_VALUE"""),45.0)</f>
        <v>45</v>
      </c>
      <c r="I11613" s="5">
        <f>IFERROR(__xludf.DUMMYFUNCTION("""COMPUTED_VALUE"""),1.0)</f>
        <v>1</v>
      </c>
      <c r="J11613" s="1" t="str">
        <f>IFERROR(__xludf.DUMMYFUNCTION("""COMPUTED_VALUE"""),"Rei De Jesus")</f>
        <v>Rei De Jesus</v>
      </c>
      <c r="K11613" s="1" t="str">
        <f>IFERROR(__xludf.DUMMYFUNCTION("""COMPUTED_VALUE"""),"Print Design Support")</f>
        <v>Print Design Support</v>
      </c>
      <c r="L11613" s="1" t="str">
        <f>IFERROR(__xludf.DUMMYFUNCTION("""COMPUTED_VALUE"""),"Print Print Design")</f>
        <v>Print Print Design</v>
      </c>
    </row>
    <row r="11614">
      <c r="A11614" s="1" t="str">
        <f>IFERROR(__xludf.DUMMYFUNCTION("""COMPUTED_VALUE"""),"2026 Apr")</f>
        <v>2026 Apr</v>
      </c>
      <c r="B11614" s="4">
        <f>IFERROR(__xludf.DUMMYFUNCTION("""COMPUTED_VALUE"""),46118.0)</f>
        <v>46118</v>
      </c>
      <c r="C11614" s="1" t="str">
        <f>IFERROR(__xludf.DUMMYFUNCTION("""COMPUTED_VALUE"""),"Core Product Support")</f>
        <v>Core Product Support</v>
      </c>
      <c r="D11614" s="1" t="str">
        <f>IFERROR(__xludf.DUMMYFUNCTION("""COMPUTED_VALUE"""),"cc817a63-c749-4aa1-ad3c-e3d33f5e04ff")</f>
        <v>cc817a63-c749-4aa1-ad3c-e3d33f5e04ff</v>
      </c>
      <c r="E11614" s="1">
        <f>IFERROR(__xludf.DUMMYFUNCTION("""COMPUTED_VALUE"""),5.566828557583E12)</f>
        <v>5566828557583</v>
      </c>
      <c r="F11614" s="1"/>
      <c r="G11614" s="1">
        <f>IFERROR(__xludf.DUMMYFUNCTION("""COMPUTED_VALUE"""),1.25)</f>
        <v>1.25</v>
      </c>
      <c r="H11614" s="2">
        <f>IFERROR(__xludf.DUMMYFUNCTION("""COMPUTED_VALUE"""),1.25)</f>
        <v>1.25</v>
      </c>
      <c r="I11614" s="5">
        <f>IFERROR(__xludf.DUMMYFUNCTION("""COMPUTED_VALUE"""),1.0)</f>
        <v>1</v>
      </c>
      <c r="J11614" s="1" t="str">
        <f>IFERROR(__xludf.DUMMYFUNCTION("""COMPUTED_VALUE"""),"Renette Bok")</f>
        <v>Renette Bok</v>
      </c>
      <c r="K11614" s="1" t="str">
        <f>IFERROR(__xludf.DUMMYFUNCTION("""COMPUTED_VALUE"""),"Advanced Billing &amp; Subscriptions")</f>
        <v>Advanced Billing &amp; Subscriptions</v>
      </c>
      <c r="L11614" s="1" t="str">
        <f>IFERROR(__xludf.DUMMYFUNCTION("""COMPUTED_VALUE"""),"CPS Advanced Billing and Subscriptions (ABS)")</f>
        <v>CPS Advanced Billing and Subscriptions (ABS)</v>
      </c>
    </row>
    <row r="11615">
      <c r="A11615" s="1" t="str">
        <f>IFERROR(__xludf.DUMMYFUNCTION("""COMPUTED_VALUE"""),"2026 Apr")</f>
        <v>2026 Apr</v>
      </c>
      <c r="B11615" s="4">
        <f>IFERROR(__xludf.DUMMYFUNCTION("""COMPUTED_VALUE"""),46118.0)</f>
        <v>46118</v>
      </c>
      <c r="C11615" s="1" t="str">
        <f>IFERROR(__xludf.DUMMYFUNCTION("""COMPUTED_VALUE"""),"Multilingual Support")</f>
        <v>Multilingual Support</v>
      </c>
      <c r="D11615" s="1" t="str">
        <f>IFERROR(__xludf.DUMMYFUNCTION("""COMPUTED_VALUE"""),"6f52f807-9641-4f21-b34f-312ae3e9b3c9")</f>
        <v>6f52f807-9641-4f21-b34f-312ae3e9b3c9</v>
      </c>
      <c r="E11615" s="1">
        <f>IFERROR(__xludf.DUMMYFUNCTION("""COMPUTED_VALUE"""),3.61724828456E11)</f>
        <v>361724828456</v>
      </c>
      <c r="F11615" s="1"/>
      <c r="G11615" s="1"/>
      <c r="H11615" s="2">
        <f>IFERROR(__xludf.DUMMYFUNCTION("""COMPUTED_VALUE"""),0.0)</f>
        <v>0</v>
      </c>
      <c r="I11615" s="5"/>
      <c r="J11615" s="1" t="str">
        <f>IFERROR(__xludf.DUMMYFUNCTION("""COMPUTED_VALUE"""),"Arlene Maurillo")</f>
        <v>Arlene Maurillo</v>
      </c>
      <c r="K11615" s="1" t="str">
        <f>IFERROR(__xludf.DUMMYFUNCTION("""COMPUTED_VALUE"""),"PHL, Multilingual Support")</f>
        <v>PHL, Multilingual Support</v>
      </c>
      <c r="L11615" s="1" t="str">
        <f>IFERROR(__xludf.DUMMYFUNCTION("""COMPUTED_VALUE"""),"ML Russian Support")</f>
        <v>ML Russian Support</v>
      </c>
    </row>
    <row r="11616">
      <c r="A11616" s="1" t="str">
        <f>IFERROR(__xludf.DUMMYFUNCTION("""COMPUTED_VALUE"""),"2026 Apr")</f>
        <v>2026 Apr</v>
      </c>
      <c r="B11616" s="4">
        <f>IFERROR(__xludf.DUMMYFUNCTION("""COMPUTED_VALUE"""),46118.0)</f>
        <v>46118</v>
      </c>
      <c r="C11616" s="1" t="str">
        <f>IFERROR(__xludf.DUMMYFUNCTION("""COMPUTED_VALUE"""),"Core Product Support")</f>
        <v>Core Product Support</v>
      </c>
      <c r="D11616" s="1" t="str">
        <f>IFERROR(__xludf.DUMMYFUNCTION("""COMPUTED_VALUE"""),"e9348ef0-6be7-4d18-8f01-bbb3181a2030")</f>
        <v>e9348ef0-6be7-4d18-8f01-bbb3181a2030</v>
      </c>
      <c r="E11616" s="1">
        <f>IFERROR(__xludf.DUMMYFUNCTION("""COMPUTED_VALUE"""),8.904451015951E12)</f>
        <v>8904451015951</v>
      </c>
      <c r="F11616" s="1"/>
      <c r="G11616" s="1">
        <f>IFERROR(__xludf.DUMMYFUNCTION("""COMPUTED_VALUE"""),1.25)</f>
        <v>1.25</v>
      </c>
      <c r="H11616" s="2">
        <f>IFERROR(__xludf.DUMMYFUNCTION("""COMPUTED_VALUE"""),1.25)</f>
        <v>1.25</v>
      </c>
      <c r="I11616" s="5">
        <f>IFERROR(__xludf.DUMMYFUNCTION("""COMPUTED_VALUE"""),1.0)</f>
        <v>1</v>
      </c>
      <c r="J11616" s="1" t="str">
        <f>IFERROR(__xludf.DUMMYFUNCTION("""COMPUTED_VALUE"""),"Ana Lazaro")</f>
        <v>Ana Lazaro</v>
      </c>
      <c r="K11616" s="1" t="str">
        <f>IFERROR(__xludf.DUMMYFUNCTION("""COMPUTED_VALUE"""),"Advanced Billing &amp; Subscriptions")</f>
        <v>Advanced Billing &amp; Subscriptions</v>
      </c>
      <c r="L11616" s="1" t="str">
        <f>IFERROR(__xludf.DUMMYFUNCTION("""COMPUTED_VALUE"""),"CPS Advanced Billing and Subscriptions (ABS)")</f>
        <v>CPS Advanced Billing and Subscriptions (ABS)</v>
      </c>
    </row>
    <row r="11617">
      <c r="A11617" s="1" t="str">
        <f>IFERROR(__xludf.DUMMYFUNCTION("""COMPUTED_VALUE"""),"2026 Apr")</f>
        <v>2026 Apr</v>
      </c>
      <c r="B11617" s="4">
        <f>IFERROR(__xludf.DUMMYFUNCTION("""COMPUTED_VALUE"""),46118.0)</f>
        <v>46118</v>
      </c>
      <c r="C11617" s="1" t="str">
        <f>IFERROR(__xludf.DUMMYFUNCTION("""COMPUTED_VALUE"""),"Core Product Support")</f>
        <v>Core Product Support</v>
      </c>
      <c r="D11617" s="1" t="str">
        <f>IFERROR(__xludf.DUMMYFUNCTION("""COMPUTED_VALUE"""),"5917755d-94e1-4bcf-b3d5-736f4efd635f")</f>
        <v>5917755d-94e1-4bcf-b3d5-736f4efd635f</v>
      </c>
      <c r="E11617" s="1">
        <f>IFERROR(__xludf.DUMMYFUNCTION("""COMPUTED_VALUE"""),3.61725488916E11)</f>
        <v>361725488916</v>
      </c>
      <c r="F11617" s="1">
        <f>IFERROR(__xludf.DUMMYFUNCTION("""COMPUTED_VALUE"""),0.5)</f>
        <v>0.5</v>
      </c>
      <c r="G11617" s="1">
        <f>IFERROR(__xludf.DUMMYFUNCTION("""COMPUTED_VALUE"""),2.5)</f>
        <v>2.5</v>
      </c>
      <c r="H11617" s="2">
        <f>IFERROR(__xludf.DUMMYFUNCTION("""COMPUTED_VALUE"""),3.0)</f>
        <v>3</v>
      </c>
      <c r="I11617" s="5">
        <f>IFERROR(__xludf.DUMMYFUNCTION("""COMPUTED_VALUE"""),0.8333333333333334)</f>
        <v>0.8333333333</v>
      </c>
      <c r="J11617" s="1" t="str">
        <f>IFERROR(__xludf.DUMMYFUNCTION("""COMPUTED_VALUE"""),"Jelyn Elmido")</f>
        <v>Jelyn Elmido</v>
      </c>
      <c r="K11617" s="1" t="str">
        <f>IFERROR(__xludf.DUMMYFUNCTION("""COMPUTED_VALUE"""),"Core Product Support Escalation Team")</f>
        <v>Core Product Support Escalation Team</v>
      </c>
      <c r="L11617"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618">
      <c r="A11618" s="1" t="str">
        <f>IFERROR(__xludf.DUMMYFUNCTION("""COMPUTED_VALUE"""),"2026 Apr")</f>
        <v>2026 Apr</v>
      </c>
      <c r="B11618" s="4">
        <f>IFERROR(__xludf.DUMMYFUNCTION("""COMPUTED_VALUE"""),46118.0)</f>
        <v>46118</v>
      </c>
      <c r="C11618" s="1" t="str">
        <f>IFERROR(__xludf.DUMMYFUNCTION("""COMPUTED_VALUE"""),"Admin Support")</f>
        <v>Admin Support</v>
      </c>
      <c r="D11618" s="1" t="str">
        <f>IFERROR(__xludf.DUMMYFUNCTION("""COMPUTED_VALUE"""),"869426c4-df7f-4a39-b2f3-8e70e583ed69")</f>
        <v>869426c4-df7f-4a39-b2f3-8e70e583ed69</v>
      </c>
      <c r="E11618" s="1">
        <f>IFERROR(__xludf.DUMMYFUNCTION("""COMPUTED_VALUE"""),3.61725115636E11)</f>
        <v>361725115636</v>
      </c>
      <c r="F11618" s="1"/>
      <c r="G11618" s="1">
        <f>IFERROR(__xludf.DUMMYFUNCTION("""COMPUTED_VALUE"""),0.25)</f>
        <v>0.25</v>
      </c>
      <c r="H11618" s="2">
        <f>IFERROR(__xludf.DUMMYFUNCTION("""COMPUTED_VALUE"""),0.25)</f>
        <v>0.25</v>
      </c>
      <c r="I11618" s="5">
        <f>IFERROR(__xludf.DUMMYFUNCTION("""COMPUTED_VALUE"""),1.0)</f>
        <v>1</v>
      </c>
      <c r="J11618" s="1" t="str">
        <f>IFERROR(__xludf.DUMMYFUNCTION("""COMPUTED_VALUE"""),"Pau Palmero")</f>
        <v>Pau Palmero</v>
      </c>
      <c r="K11618" s="1" t="str">
        <f>IFERROR(__xludf.DUMMYFUNCTION("""COMPUTED_VALUE"""),"Admin Omni Support")</f>
        <v>Admin Omni Support</v>
      </c>
      <c r="L11618" s="1" t="str">
        <f>IFERROR(__xludf.DUMMYFUNCTION("""COMPUTED_VALUE"""),"Admin Omni Support")</f>
        <v>Admin Omni Support</v>
      </c>
    </row>
    <row r="11619">
      <c r="A11619" s="1" t="str">
        <f>IFERROR(__xludf.DUMMYFUNCTION("""COMPUTED_VALUE"""),"2026 Apr")</f>
        <v>2026 Apr</v>
      </c>
      <c r="B11619" s="4">
        <f>IFERROR(__xludf.DUMMYFUNCTION("""COMPUTED_VALUE"""),46118.0)</f>
        <v>46118</v>
      </c>
      <c r="C11619" s="1" t="str">
        <f>IFERROR(__xludf.DUMMYFUNCTION("""COMPUTED_VALUE"""),"Print Support")</f>
        <v>Print Support</v>
      </c>
      <c r="D11619" s="1" t="str">
        <f>IFERROR(__xludf.DUMMYFUNCTION("""COMPUTED_VALUE"""),"cb7f900d-e2ff-4ff8-b74f-c2db90bdfb62")</f>
        <v>cb7f900d-e2ff-4ff8-b74f-c2db90bdfb62</v>
      </c>
      <c r="E11619" s="1">
        <f>IFERROR(__xludf.DUMMYFUNCTION("""COMPUTED_VALUE"""),3.61750052875E11)</f>
        <v>361750052875</v>
      </c>
      <c r="F11619" s="1"/>
      <c r="G11619" s="1"/>
      <c r="H11619" s="2">
        <f>IFERROR(__xludf.DUMMYFUNCTION("""COMPUTED_VALUE"""),0.0)</f>
        <v>0</v>
      </c>
      <c r="I11619" s="5"/>
      <c r="J11619" s="1" t="str">
        <f>IFERROR(__xludf.DUMMYFUNCTION("""COMPUTED_VALUE"""),"Jen Momo")</f>
        <v>Jen Momo</v>
      </c>
      <c r="K11619" s="1" t="str">
        <f>IFERROR(__xludf.DUMMYFUNCTION("""COMPUTED_VALUE"""),"Print Support PH")</f>
        <v>Print Support PH</v>
      </c>
      <c r="L11619" s="1" t="str">
        <f>IFERROR(__xludf.DUMMYFUNCTION("""COMPUTED_VALUE"""),"Print Print - CHT")</f>
        <v>Print Print - CHT</v>
      </c>
    </row>
    <row r="11620">
      <c r="A11620" s="1" t="str">
        <f>IFERROR(__xludf.DUMMYFUNCTION("""COMPUTED_VALUE"""),"2026 Apr")</f>
        <v>2026 Apr</v>
      </c>
      <c r="B11620" s="4">
        <f>IFERROR(__xludf.DUMMYFUNCTION("""COMPUTED_VALUE"""),46125.0)</f>
        <v>46125</v>
      </c>
      <c r="C11620" s="1" t="str">
        <f>IFERROR(__xludf.DUMMYFUNCTION("""COMPUTED_VALUE"""),"Segment-specific Support")</f>
        <v>Segment-specific Support</v>
      </c>
      <c r="D11620" s="1" t="str">
        <f>IFERROR(__xludf.DUMMYFUNCTION("""COMPUTED_VALUE"""),"71cc12d6-81ad-4480-9557-ff6a318e3277")</f>
        <v>71cc12d6-81ad-4480-9557-ff6a318e3277</v>
      </c>
      <c r="E11620" s="1">
        <f>IFERROR(__xludf.DUMMYFUNCTION("""COMPUTED_VALUE"""),3.61726424776E11)</f>
        <v>361726424776</v>
      </c>
      <c r="F11620" s="1"/>
      <c r="G11620" s="1"/>
      <c r="H11620" s="2">
        <f>IFERROR(__xludf.DUMMYFUNCTION("""COMPUTED_VALUE"""),0.0)</f>
        <v>0</v>
      </c>
      <c r="I11620" s="5"/>
      <c r="J11620" s="1" t="str">
        <f>IFERROR(__xludf.DUMMYFUNCTION("""COMPUTED_VALUE"""),"Jonathan Dimaculangan")</f>
        <v>Jonathan Dimaculangan</v>
      </c>
      <c r="K11620" s="1" t="str">
        <f>IFERROR(__xludf.DUMMYFUNCTION("""COMPUTED_VALUE"""),"Flourish Support")</f>
        <v>Flourish Support</v>
      </c>
      <c r="L11620" s="1" t="str">
        <f>IFERROR(__xludf.DUMMYFUNCTION("""COMPUTED_VALUE"""),"SSS Flourish")</f>
        <v>SSS Flourish</v>
      </c>
    </row>
    <row r="11621">
      <c r="A11621" s="1" t="str">
        <f>IFERROR(__xludf.DUMMYFUNCTION("""COMPUTED_VALUE"""),"2026 Apr")</f>
        <v>2026 Apr</v>
      </c>
      <c r="B11621" s="4">
        <f>IFERROR(__xludf.DUMMYFUNCTION("""COMPUTED_VALUE"""),46125.0)</f>
        <v>46125</v>
      </c>
      <c r="C11621" s="1" t="str">
        <f>IFERROR(__xludf.DUMMYFUNCTION("""COMPUTED_VALUE"""),"Core Product Support")</f>
        <v>Core Product Support</v>
      </c>
      <c r="D11621" s="1" t="str">
        <f>IFERROR(__xludf.DUMMYFUNCTION("""COMPUTED_VALUE"""),"ed8e075f-7119-4833-8af3-4c353a3fdda1")</f>
        <v>ed8e075f-7119-4833-8af3-4c353a3fdda1</v>
      </c>
      <c r="E11621" s="1">
        <f>IFERROR(__xludf.DUMMYFUNCTION("""COMPUTED_VALUE"""),4.502516921487E12)</f>
        <v>4502516921487</v>
      </c>
      <c r="F11621" s="1"/>
      <c r="G11621" s="1">
        <f>IFERROR(__xludf.DUMMYFUNCTION("""COMPUTED_VALUE"""),1.25)</f>
        <v>1.25</v>
      </c>
      <c r="H11621" s="2">
        <f>IFERROR(__xludf.DUMMYFUNCTION("""COMPUTED_VALUE"""),1.25)</f>
        <v>1.25</v>
      </c>
      <c r="I11621" s="5">
        <f>IFERROR(__xludf.DUMMYFUNCTION("""COMPUTED_VALUE"""),1.0)</f>
        <v>1</v>
      </c>
      <c r="J11621" s="1" t="str">
        <f>IFERROR(__xludf.DUMMYFUNCTION("""COMPUTED_VALUE"""),"Jem Mondoñedo")</f>
        <v>Jem Mondoñedo</v>
      </c>
      <c r="K11621" s="1" t="str">
        <f>IFERROR(__xludf.DUMMYFUNCTION("""COMPUTED_VALUE"""),"Advanced Billing &amp; Subscriptions")</f>
        <v>Advanced Billing &amp; Subscriptions</v>
      </c>
      <c r="L11621" s="1" t="str">
        <f>IFERROR(__xludf.DUMMYFUNCTION("""COMPUTED_VALUE"""),"CPS Advanced Billing and Subscriptions (ABS)")</f>
        <v>CPS Advanced Billing and Subscriptions (ABS)</v>
      </c>
    </row>
    <row r="11622">
      <c r="A11622" s="1" t="str">
        <f>IFERROR(__xludf.DUMMYFUNCTION("""COMPUTED_VALUE"""),"2026 Apr")</f>
        <v>2026 Apr</v>
      </c>
      <c r="B11622" s="4">
        <f>IFERROR(__xludf.DUMMYFUNCTION("""COMPUTED_VALUE"""),46125.0)</f>
        <v>46125</v>
      </c>
      <c r="C11622" s="1" t="str">
        <f>IFERROR(__xludf.DUMMYFUNCTION("""COMPUTED_VALUE"""),"Admin Support")</f>
        <v>Admin Support</v>
      </c>
      <c r="D11622" s="1" t="str">
        <f>IFERROR(__xludf.DUMMYFUNCTION("""COMPUTED_VALUE"""),"000279e3-fb19-4b90-a95c-080adc98c9aa")</f>
        <v>000279e3-fb19-4b90-a95c-080adc98c9aa</v>
      </c>
      <c r="E11622" s="1">
        <f>IFERROR(__xludf.DUMMYFUNCTION("""COMPUTED_VALUE"""),3.61861297935E11)</f>
        <v>361861297935</v>
      </c>
      <c r="F11622" s="1"/>
      <c r="G11622" s="1">
        <f>IFERROR(__xludf.DUMMYFUNCTION("""COMPUTED_VALUE"""),0.25)</f>
        <v>0.25</v>
      </c>
      <c r="H11622" s="2">
        <f>IFERROR(__xludf.DUMMYFUNCTION("""COMPUTED_VALUE"""),0.25)</f>
        <v>0.25</v>
      </c>
      <c r="I11622" s="5">
        <f>IFERROR(__xludf.DUMMYFUNCTION("""COMPUTED_VALUE"""),1.0)</f>
        <v>1</v>
      </c>
      <c r="J11622" s="1" t="str">
        <f>IFERROR(__xludf.DUMMYFUNCTION("""COMPUTED_VALUE"""),"AL Suarez")</f>
        <v>AL Suarez</v>
      </c>
      <c r="K11622" s="1" t="str">
        <f>IFERROR(__xludf.DUMMYFUNCTION("""COMPUTED_VALUE"""),"Advanced Billing &amp; Subscriptions")</f>
        <v>Advanced Billing &amp; Subscriptions</v>
      </c>
      <c r="L11622" s="1" t="str">
        <f>IFERROR(__xludf.DUMMYFUNCTION("""COMPUTED_VALUE"""),"CPS Advanced Billing and Subscriptions (ABS)")</f>
        <v>CPS Advanced Billing and Subscriptions (ABS)</v>
      </c>
    </row>
    <row r="11623">
      <c r="A11623" s="1" t="str">
        <f>IFERROR(__xludf.DUMMYFUNCTION("""COMPUTED_VALUE"""),"2026 Apr")</f>
        <v>2026 Apr</v>
      </c>
      <c r="B11623" s="4">
        <f>IFERROR(__xludf.DUMMYFUNCTION("""COMPUTED_VALUE"""),46125.0)</f>
        <v>46125</v>
      </c>
      <c r="C11623" s="1" t="str">
        <f>IFERROR(__xludf.DUMMYFUNCTION("""COMPUTED_VALUE"""),"Print Support")</f>
        <v>Print Support</v>
      </c>
      <c r="D11623" s="1" t="str">
        <f>IFERROR(__xludf.DUMMYFUNCTION("""COMPUTED_VALUE"""),"61035b18-fc2e-492c-ae7d-227048511bcf")</f>
        <v>61035b18-fc2e-492c-ae7d-227048511bcf</v>
      </c>
      <c r="E11623" s="1"/>
      <c r="F11623" s="1"/>
      <c r="G11623" s="1"/>
      <c r="H11623" s="2">
        <f>IFERROR(__xludf.DUMMYFUNCTION("""COMPUTED_VALUE"""),0.0)</f>
        <v>0</v>
      </c>
      <c r="I11623" s="5"/>
      <c r="J11623" s="1" t="str">
        <f>IFERROR(__xludf.DUMMYFUNCTION("""COMPUTED_VALUE"""),"Gem Agoncillo")</f>
        <v>Gem Agoncillo</v>
      </c>
      <c r="K11623" s="1" t="str">
        <f>IFERROR(__xludf.DUMMYFUNCTION("""COMPUTED_VALUE"""),"Print Design Support")</f>
        <v>Print Design Support</v>
      </c>
      <c r="L11623" s="1" t="str">
        <f>IFERROR(__xludf.DUMMYFUNCTION("""COMPUTED_VALUE"""),"Print Print Design")</f>
        <v>Print Print Design</v>
      </c>
    </row>
    <row r="11624">
      <c r="A11624" s="1" t="str">
        <f>IFERROR(__xludf.DUMMYFUNCTION("""COMPUTED_VALUE"""),"2026 Apr")</f>
        <v>2026 Apr</v>
      </c>
      <c r="B11624" s="4">
        <f>IFERROR(__xludf.DUMMYFUNCTION("""COMPUTED_VALUE"""),46125.0)</f>
        <v>46125</v>
      </c>
      <c r="C11624" s="1" t="str">
        <f>IFERROR(__xludf.DUMMYFUNCTION("""COMPUTED_VALUE"""),"Core Product Support")</f>
        <v>Core Product Support</v>
      </c>
      <c r="D11624" s="1" t="str">
        <f>IFERROR(__xludf.DUMMYFUNCTION("""COMPUTED_VALUE"""),"7f6e3175-f6cd-4a70-93aa-118856f83921")</f>
        <v>7f6e3175-f6cd-4a70-93aa-118856f83921</v>
      </c>
      <c r="E11624" s="1">
        <f>IFERROR(__xludf.DUMMYFUNCTION("""COMPUTED_VALUE"""),1.0333019153039E13)</f>
        <v>10333019153039</v>
      </c>
      <c r="F11624" s="1"/>
      <c r="G11624" s="1">
        <f>IFERROR(__xludf.DUMMYFUNCTION("""COMPUTED_VALUE"""),1.25)</f>
        <v>1.25</v>
      </c>
      <c r="H11624" s="2">
        <f>IFERROR(__xludf.DUMMYFUNCTION("""COMPUTED_VALUE"""),1.25)</f>
        <v>1.25</v>
      </c>
      <c r="I11624" s="5">
        <f>IFERROR(__xludf.DUMMYFUNCTION("""COMPUTED_VALUE"""),1.0)</f>
        <v>1</v>
      </c>
      <c r="J11624" s="1" t="str">
        <f>IFERROR(__xludf.DUMMYFUNCTION("""COMPUTED_VALUE"""),"Belle Bentazal")</f>
        <v>Belle Bentazal</v>
      </c>
      <c r="K11624" s="1" t="str">
        <f>IFERROR(__xludf.DUMMYFUNCTION("""COMPUTED_VALUE"""),"Advanced Product Support")</f>
        <v>Advanced Product Support</v>
      </c>
      <c r="L11624" s="1" t="str">
        <f>IFERROR(__xludf.DUMMYFUNCTION("""COMPUTED_VALUE"""),"CPS Advanced Product Support (APS)")</f>
        <v>CPS Advanced Product Support (APS)</v>
      </c>
    </row>
    <row r="11625">
      <c r="A11625" s="1" t="str">
        <f>IFERROR(__xludf.DUMMYFUNCTION("""COMPUTED_VALUE"""),"2026 Apr")</f>
        <v>2026 Apr</v>
      </c>
      <c r="B11625" s="4">
        <f>IFERROR(__xludf.DUMMYFUNCTION("""COMPUTED_VALUE"""),46125.0)</f>
        <v>46125</v>
      </c>
      <c r="C11625" s="1" t="str">
        <f>IFERROR(__xludf.DUMMYFUNCTION("""COMPUTED_VALUE"""),"Segment-specific Support")</f>
        <v>Segment-specific Support</v>
      </c>
      <c r="D11625" s="1" t="str">
        <f>IFERROR(__xludf.DUMMYFUNCTION("""COMPUTED_VALUE"""),"8941a42e-630f-4e32-ac1a-aa9495a2b319")</f>
        <v>8941a42e-630f-4e32-ac1a-aa9495a2b319</v>
      </c>
      <c r="E11625" s="1">
        <f>IFERROR(__xludf.DUMMYFUNCTION("""COMPUTED_VALUE"""),3.61731514775E11)</f>
        <v>361731514775</v>
      </c>
      <c r="F11625" s="1"/>
      <c r="G11625" s="1"/>
      <c r="H11625" s="2">
        <f>IFERROR(__xludf.DUMMYFUNCTION("""COMPUTED_VALUE"""),0.0)</f>
        <v>0</v>
      </c>
      <c r="I11625" s="5"/>
      <c r="J11625" s="1" t="str">
        <f>IFERROR(__xludf.DUMMYFUNCTION("""COMPUTED_VALUE"""),"Aileen Dayanghirang")</f>
        <v>Aileen Dayanghirang</v>
      </c>
      <c r="K11625" s="1" t="str">
        <f>IFERROR(__xludf.DUMMYFUNCTION("""COMPUTED_VALUE"""),"Creators Support")</f>
        <v>Creators Support</v>
      </c>
      <c r="L11625" s="1" t="str">
        <f>IFERROR(__xludf.DUMMYFUNCTION("""COMPUTED_VALUE"""),"SSS Creators")</f>
        <v>SSS Creators</v>
      </c>
    </row>
    <row r="11626">
      <c r="A11626" s="1" t="str">
        <f>IFERROR(__xludf.DUMMYFUNCTION("""COMPUTED_VALUE"""),"2026 Apr")</f>
        <v>2026 Apr</v>
      </c>
      <c r="B11626" s="4">
        <f>IFERROR(__xludf.DUMMYFUNCTION("""COMPUTED_VALUE"""),46125.0)</f>
        <v>46125</v>
      </c>
      <c r="C11626" s="1" t="str">
        <f>IFERROR(__xludf.DUMMYFUNCTION("""COMPUTED_VALUE"""),"Segment-specific Support")</f>
        <v>Segment-specific Support</v>
      </c>
      <c r="D11626" s="1" t="str">
        <f>IFERROR(__xludf.DUMMYFUNCTION("""COMPUTED_VALUE"""),"dfd09cbc-1248-47f6-96ff-bb4b2c38ce63")</f>
        <v>dfd09cbc-1248-47f6-96ff-bb4b2c38ce63</v>
      </c>
      <c r="E11626" s="1">
        <f>IFERROR(__xludf.DUMMYFUNCTION("""COMPUTED_VALUE"""),3.61725262736E11)</f>
        <v>361725262736</v>
      </c>
      <c r="F11626" s="1"/>
      <c r="G11626" s="1"/>
      <c r="H11626" s="2">
        <f>IFERROR(__xludf.DUMMYFUNCTION("""COMPUTED_VALUE"""),0.0)</f>
        <v>0</v>
      </c>
      <c r="I11626" s="5"/>
      <c r="J11626" s="1" t="str">
        <f>IFERROR(__xludf.DUMMYFUNCTION("""COMPUTED_VALUE"""),"Gucci Nava")</f>
        <v>Gucci Nava</v>
      </c>
      <c r="K11626" s="1" t="str">
        <f>IFERROR(__xludf.DUMMYFUNCTION("""COMPUTED_VALUE"""),"Affinity Support")</f>
        <v>Affinity Support</v>
      </c>
      <c r="L11626" s="1" t="str">
        <f>IFERROR(__xludf.DUMMYFUNCTION("""COMPUTED_VALUE"""),"SSS Affinity - L1")</f>
        <v>SSS Affinity - L1</v>
      </c>
    </row>
    <row r="11627">
      <c r="A11627" s="1" t="str">
        <f>IFERROR(__xludf.DUMMYFUNCTION("""COMPUTED_VALUE"""),"2026 Apr")</f>
        <v>2026 Apr</v>
      </c>
      <c r="B11627" s="4">
        <f>IFERROR(__xludf.DUMMYFUNCTION("""COMPUTED_VALUE"""),46125.0)</f>
        <v>46125</v>
      </c>
      <c r="C11627" s="1" t="str">
        <f>IFERROR(__xludf.DUMMYFUNCTION("""COMPUTED_VALUE"""),"Segment-specific Support")</f>
        <v>Segment-specific Support</v>
      </c>
      <c r="D11627" s="1" t="str">
        <f>IFERROR(__xludf.DUMMYFUNCTION("""COMPUTED_VALUE"""),"14ab0e6b-ba36-4083-a4df-79ae04c36179")</f>
        <v>14ab0e6b-ba36-4083-a4df-79ae04c36179</v>
      </c>
      <c r="E11627" s="1">
        <f>IFERROR(__xludf.DUMMYFUNCTION("""COMPUTED_VALUE"""),1.0548580059023E13)</f>
        <v>10548580059023</v>
      </c>
      <c r="F11627" s="1"/>
      <c r="G11627" s="1">
        <f>IFERROR(__xludf.DUMMYFUNCTION("""COMPUTED_VALUE"""),2.5)</f>
        <v>2.5</v>
      </c>
      <c r="H11627" s="2">
        <f>IFERROR(__xludf.DUMMYFUNCTION("""COMPUTED_VALUE"""),2.5)</f>
        <v>2.5</v>
      </c>
      <c r="I11627" s="5">
        <f>IFERROR(__xludf.DUMMYFUNCTION("""COMPUTED_VALUE"""),1.0)</f>
        <v>1</v>
      </c>
      <c r="J11627" s="1" t="str">
        <f>IFERROR(__xludf.DUMMYFUNCTION("""COMPUTED_VALUE"""),"Jonathan Dimaculangan")</f>
        <v>Jonathan Dimaculangan</v>
      </c>
      <c r="K11627" s="1" t="str">
        <f>IFERROR(__xludf.DUMMYFUNCTION("""COMPUTED_VALUE"""),"Flourish Support")</f>
        <v>Flourish Support</v>
      </c>
      <c r="L11627" s="1" t="str">
        <f>IFERROR(__xludf.DUMMYFUNCTION("""COMPUTED_VALUE"""),"SSS Flourish")</f>
        <v>SSS Flourish</v>
      </c>
    </row>
    <row r="11628">
      <c r="A11628" s="1" t="str">
        <f>IFERROR(__xludf.DUMMYFUNCTION("""COMPUTED_VALUE"""),"2026 Apr")</f>
        <v>2026 Apr</v>
      </c>
      <c r="B11628" s="4">
        <f>IFERROR(__xludf.DUMMYFUNCTION("""COMPUTED_VALUE"""),46125.0)</f>
        <v>46125</v>
      </c>
      <c r="C11628" s="1" t="str">
        <f>IFERROR(__xludf.DUMMYFUNCTION("""COMPUTED_VALUE"""),"Admin Support")</f>
        <v>Admin Support</v>
      </c>
      <c r="D11628" s="1" t="str">
        <f>IFERROR(__xludf.DUMMYFUNCTION("""COMPUTED_VALUE"""),"37c57b4f-487c-4c75-8926-0d22cc125dcf")</f>
        <v>37c57b4f-487c-4c75-8926-0d22cc125dcf</v>
      </c>
      <c r="E11628" s="1">
        <f>IFERROR(__xludf.DUMMYFUNCTION("""COMPUTED_VALUE"""),9.153765932815E12)</f>
        <v>9153765932815</v>
      </c>
      <c r="F11628" s="1"/>
      <c r="G11628" s="1"/>
      <c r="H11628" s="2">
        <f>IFERROR(__xludf.DUMMYFUNCTION("""COMPUTED_VALUE"""),0.0)</f>
        <v>0</v>
      </c>
      <c r="I11628" s="5"/>
      <c r="J11628" s="1" t="str">
        <f>IFERROR(__xludf.DUMMYFUNCTION("""COMPUTED_VALUE"""),"Tash Kelly")</f>
        <v>Tash Kelly</v>
      </c>
      <c r="K11628" s="1" t="str">
        <f>IFERROR(__xludf.DUMMYFUNCTION("""COMPUTED_VALUE"""),"Admin Support EMEA")</f>
        <v>Admin Support EMEA</v>
      </c>
      <c r="L11628" s="1" t="str">
        <f>IFERROR(__xludf.DUMMYFUNCTION("""COMPUTED_VALUE"""),"Admin EMEA")</f>
        <v>Admin EMEA</v>
      </c>
    </row>
    <row r="11629">
      <c r="A11629" s="1" t="str">
        <f>IFERROR(__xludf.DUMMYFUNCTION("""COMPUTED_VALUE"""),"2026 Apr")</f>
        <v>2026 Apr</v>
      </c>
      <c r="B11629" s="4">
        <f>IFERROR(__xludf.DUMMYFUNCTION("""COMPUTED_VALUE"""),46125.0)</f>
        <v>46125</v>
      </c>
      <c r="C11629" s="1" t="str">
        <f>IFERROR(__xludf.DUMMYFUNCTION("""COMPUTED_VALUE"""),"Segment-specific Support")</f>
        <v>Segment-specific Support</v>
      </c>
      <c r="D11629" s="1" t="str">
        <f>IFERROR(__xludf.DUMMYFUNCTION("""COMPUTED_VALUE"""),"745adc44-2fda-43ea-bdcd-39c28e369ddc")</f>
        <v>745adc44-2fda-43ea-bdcd-39c28e369ddc</v>
      </c>
      <c r="E11629" s="1">
        <f>IFERROR(__xludf.DUMMYFUNCTION("""COMPUTED_VALUE"""),3.61731943495E11)</f>
        <v>361731943495</v>
      </c>
      <c r="F11629" s="1"/>
      <c r="G11629" s="1"/>
      <c r="H11629" s="2">
        <f>IFERROR(__xludf.DUMMYFUNCTION("""COMPUTED_VALUE"""),0.0)</f>
        <v>0</v>
      </c>
      <c r="I11629" s="5"/>
      <c r="J11629" s="1" t="str">
        <f>IFERROR(__xludf.DUMMYFUNCTION("""COMPUTED_VALUE"""),"Rose Gabilan")</f>
        <v>Rose Gabilan</v>
      </c>
      <c r="K11629" s="1" t="str">
        <f>IFERROR(__xludf.DUMMYFUNCTION("""COMPUTED_VALUE"""),"Affinity Support")</f>
        <v>Affinity Support</v>
      </c>
      <c r="L11629" s="1" t="str">
        <f>IFERROR(__xludf.DUMMYFUNCTION("""COMPUTED_VALUE"""),"SSS Affinity - L1")</f>
        <v>SSS Affinity - L1</v>
      </c>
    </row>
    <row r="11630">
      <c r="A11630" s="1" t="str">
        <f>IFERROR(__xludf.DUMMYFUNCTION("""COMPUTED_VALUE"""),"2026 Apr")</f>
        <v>2026 Apr</v>
      </c>
      <c r="B11630" s="4">
        <f>IFERROR(__xludf.DUMMYFUNCTION("""COMPUTED_VALUE"""),46125.0)</f>
        <v>46125</v>
      </c>
      <c r="C11630" s="1" t="str">
        <f>IFERROR(__xludf.DUMMYFUNCTION("""COMPUTED_VALUE"""),"Print Support")</f>
        <v>Print Support</v>
      </c>
      <c r="D11630" s="1" t="str">
        <f>IFERROR(__xludf.DUMMYFUNCTION("""COMPUTED_VALUE"""),"98326c76-87c9-4e59-a377-8cc144d863d0")</f>
        <v>98326c76-87c9-4e59-a377-8cc144d863d0</v>
      </c>
      <c r="E11630" s="1">
        <f>IFERROR(__xludf.DUMMYFUNCTION("""COMPUTED_VALUE"""),5.902016055567E12)</f>
        <v>5902016055567</v>
      </c>
      <c r="F11630" s="1"/>
      <c r="G11630" s="1"/>
      <c r="H11630" s="2">
        <f>IFERROR(__xludf.DUMMYFUNCTION("""COMPUTED_VALUE"""),0.0)</f>
        <v>0</v>
      </c>
      <c r="I11630" s="5"/>
      <c r="J11630" s="1" t="str">
        <f>IFERROR(__xludf.DUMMYFUNCTION("""COMPUTED_VALUE"""),"Rae Erlano")</f>
        <v>Rae Erlano</v>
      </c>
      <c r="K11630" s="1" t="str">
        <f>IFERROR(__xludf.DUMMYFUNCTION("""COMPUTED_VALUE"""),"Print Support PH")</f>
        <v>Print Support PH</v>
      </c>
      <c r="L11630" s="1" t="str">
        <f>IFERROR(__xludf.DUMMYFUNCTION("""COMPUTED_VALUE"""),"Print Print - SEE")</f>
        <v>Print Print - SEE</v>
      </c>
    </row>
    <row r="11631">
      <c r="A11631" s="1" t="str">
        <f>IFERROR(__xludf.DUMMYFUNCTION("""COMPUTED_VALUE"""),"2026 Apr")</f>
        <v>2026 Apr</v>
      </c>
      <c r="B11631" s="4">
        <f>IFERROR(__xludf.DUMMYFUNCTION("""COMPUTED_VALUE"""),46125.0)</f>
        <v>46125</v>
      </c>
      <c r="C11631" s="1" t="str">
        <f>IFERROR(__xludf.DUMMYFUNCTION("""COMPUTED_VALUE"""),"Print Support")</f>
        <v>Print Support</v>
      </c>
      <c r="D11631" s="1" t="str">
        <f>IFERROR(__xludf.DUMMYFUNCTION("""COMPUTED_VALUE"""),"233133e3-a3d0-492d-bb55-8a7c4ffc4966")</f>
        <v>233133e3-a3d0-492d-bb55-8a7c4ffc4966</v>
      </c>
      <c r="E11631" s="1">
        <f>IFERROR(__xludf.DUMMYFUNCTION("""COMPUTED_VALUE"""),5.902016026895E12)</f>
        <v>5902016026895</v>
      </c>
      <c r="F11631" s="1"/>
      <c r="G11631" s="1"/>
      <c r="H11631" s="2">
        <f>IFERROR(__xludf.DUMMYFUNCTION("""COMPUTED_VALUE"""),0.0)</f>
        <v>0</v>
      </c>
      <c r="I11631" s="5"/>
      <c r="J11631" s="1" t="str">
        <f>IFERROR(__xludf.DUMMYFUNCTION("""COMPUTED_VALUE"""),"Althea Mercado")</f>
        <v>Althea Mercado</v>
      </c>
      <c r="K11631" s="1" t="str">
        <f>IFERROR(__xludf.DUMMYFUNCTION("""COMPUTED_VALUE"""),"Print Support PH")</f>
        <v>Print Support PH</v>
      </c>
      <c r="L11631" s="1" t="str">
        <f>IFERROR(__xludf.DUMMYFUNCTION("""COMPUTED_VALUE"""),"Print Print - CHT")</f>
        <v>Print Print - CHT</v>
      </c>
    </row>
    <row r="11632">
      <c r="A11632" s="1" t="str">
        <f>IFERROR(__xludf.DUMMYFUNCTION("""COMPUTED_VALUE"""),"2026 Apr")</f>
        <v>2026 Apr</v>
      </c>
      <c r="B11632" s="4">
        <f>IFERROR(__xludf.DUMMYFUNCTION("""COMPUTED_VALUE"""),46125.0)</f>
        <v>46125</v>
      </c>
      <c r="C11632" s="1" t="str">
        <f>IFERROR(__xludf.DUMMYFUNCTION("""COMPUTED_VALUE"""),"Print Support")</f>
        <v>Print Support</v>
      </c>
      <c r="D11632" s="1" t="str">
        <f>IFERROR(__xludf.DUMMYFUNCTION("""COMPUTED_VALUE"""),"0dc0eea0-be83-425b-9b40-b42bc444972b")</f>
        <v>0dc0eea0-be83-425b-9b40-b42bc444972b</v>
      </c>
      <c r="E11632" s="1"/>
      <c r="F11632" s="1"/>
      <c r="G11632" s="1"/>
      <c r="H11632" s="2">
        <f>IFERROR(__xludf.DUMMYFUNCTION("""COMPUTED_VALUE"""),0.0)</f>
        <v>0</v>
      </c>
      <c r="I11632" s="5"/>
      <c r="J11632" s="1" t="str">
        <f>IFERROR(__xludf.DUMMYFUNCTION("""COMPUTED_VALUE"""),"G-Anne Murillo")</f>
        <v>G-Anne Murillo</v>
      </c>
      <c r="K11632" s="1" t="str">
        <f>IFERROR(__xludf.DUMMYFUNCTION("""COMPUTED_VALUE"""),"Print Design Support")</f>
        <v>Print Design Support</v>
      </c>
      <c r="L11632" s="1" t="str">
        <f>IFERROR(__xludf.DUMMYFUNCTION("""COMPUTED_VALUE"""),"Print Print Design")</f>
        <v>Print Print Design</v>
      </c>
    </row>
    <row r="11633">
      <c r="A11633" s="1" t="str">
        <f>IFERROR(__xludf.DUMMYFUNCTION("""COMPUTED_VALUE"""),"2026 Apr")</f>
        <v>2026 Apr</v>
      </c>
      <c r="B11633" s="4">
        <f>IFERROR(__xludf.DUMMYFUNCTION("""COMPUTED_VALUE"""),46125.0)</f>
        <v>46125</v>
      </c>
      <c r="C11633" s="1" t="str">
        <f>IFERROR(__xludf.DUMMYFUNCTION("""COMPUTED_VALUE"""),"High Sensitivity Support")</f>
        <v>High Sensitivity Support</v>
      </c>
      <c r="D11633" s="1" t="str">
        <f>IFERROR(__xludf.DUMMYFUNCTION("""COMPUTED_VALUE"""),"63913765-f42c-45e4-8f9a-eb96d52c2d61")</f>
        <v>63913765-f42c-45e4-8f9a-eb96d52c2d61</v>
      </c>
      <c r="E11633" s="1">
        <f>IFERROR(__xludf.DUMMYFUNCTION("""COMPUTED_VALUE"""),1.0333018822031E13)</f>
        <v>10333018822031</v>
      </c>
      <c r="F11633" s="1"/>
      <c r="G11633" s="1"/>
      <c r="H11633" s="2">
        <f>IFERROR(__xludf.DUMMYFUNCTION("""COMPUTED_VALUE"""),0.0)</f>
        <v>0</v>
      </c>
      <c r="I11633" s="5"/>
      <c r="J11633" s="1" t="str">
        <f>IFERROR(__xludf.DUMMYFUNCTION("""COMPUTED_VALUE"""),"Rex Villamor")</f>
        <v>Rex Villamor</v>
      </c>
      <c r="K11633" s="1" t="str">
        <f>IFERROR(__xludf.DUMMYFUNCTION("""COMPUTED_VALUE"""),"Advanced Product Support")</f>
        <v>Advanced Product Support</v>
      </c>
      <c r="L11633" s="1" t="str">
        <f>IFERROR(__xludf.DUMMYFUNCTION("""COMPUTED_VALUE"""),"CPS Advanced Product Support (APS)")</f>
        <v>CPS Advanced Product Support (APS)</v>
      </c>
    </row>
    <row r="11634">
      <c r="A11634" s="1" t="str">
        <f>IFERROR(__xludf.DUMMYFUNCTION("""COMPUTED_VALUE"""),"2026 Apr")</f>
        <v>2026 Apr</v>
      </c>
      <c r="B11634" s="4">
        <f>IFERROR(__xludf.DUMMYFUNCTION("""COMPUTED_VALUE"""),46125.0)</f>
        <v>46125</v>
      </c>
      <c r="C11634" s="1" t="str">
        <f>IFERROR(__xludf.DUMMYFUNCTION("""COMPUTED_VALUE"""),"Core Product Support")</f>
        <v>Core Product Support</v>
      </c>
      <c r="D11634" s="1" t="str">
        <f>IFERROR(__xludf.DUMMYFUNCTION("""COMPUTED_VALUE"""),"ab157f99-7ffd-4d9d-9c79-c3cf66911088")</f>
        <v>ab157f99-7ffd-4d9d-9c79-c3cf66911088</v>
      </c>
      <c r="E11634" s="1">
        <f>IFERROR(__xludf.DUMMYFUNCTION("""COMPUTED_VALUE"""),3.61731646775E11)</f>
        <v>361731646775</v>
      </c>
      <c r="F11634" s="1"/>
      <c r="G11634" s="1">
        <f>IFERROR(__xludf.DUMMYFUNCTION("""COMPUTED_VALUE"""),2.5)</f>
        <v>2.5</v>
      </c>
      <c r="H11634" s="2">
        <f>IFERROR(__xludf.DUMMYFUNCTION("""COMPUTED_VALUE"""),2.5)</f>
        <v>2.5</v>
      </c>
      <c r="I11634" s="5">
        <f>IFERROR(__xludf.DUMMYFUNCTION("""COMPUTED_VALUE"""),1.0)</f>
        <v>1</v>
      </c>
      <c r="J11634" s="1" t="str">
        <f>IFERROR(__xludf.DUMMYFUNCTION("""COMPUTED_VALUE"""),"Sieg Ballelos")</f>
        <v>Sieg Ballelos</v>
      </c>
      <c r="K11634" s="1" t="str">
        <f>IFERROR(__xludf.DUMMYFUNCTION("""COMPUTED_VALUE"""),"Core Product Support Escalation Team")</f>
        <v>Core Product Support Escalation Team</v>
      </c>
      <c r="L11634"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635">
      <c r="A11635" s="1" t="str">
        <f>IFERROR(__xludf.DUMMYFUNCTION("""COMPUTED_VALUE"""),"2026 Apr")</f>
        <v>2026 Apr</v>
      </c>
      <c r="B11635" s="4">
        <f>IFERROR(__xludf.DUMMYFUNCTION("""COMPUTED_VALUE"""),46125.0)</f>
        <v>46125</v>
      </c>
      <c r="C11635" s="1" t="str">
        <f>IFERROR(__xludf.DUMMYFUNCTION("""COMPUTED_VALUE"""),"Admin Support")</f>
        <v>Admin Support</v>
      </c>
      <c r="D11635" s="1" t="str">
        <f>IFERROR(__xludf.DUMMYFUNCTION("""COMPUTED_VALUE"""),"eb8376ed-4cf6-4826-b5fb-2b6844150189")</f>
        <v>eb8376ed-4cf6-4826-b5fb-2b6844150189</v>
      </c>
      <c r="E11635" s="1">
        <f>IFERROR(__xludf.DUMMYFUNCTION("""COMPUTED_VALUE"""),3.61731516535E11)</f>
        <v>361731516535</v>
      </c>
      <c r="F11635" s="1"/>
      <c r="G11635" s="1">
        <f>IFERROR(__xludf.DUMMYFUNCTION("""COMPUTED_VALUE"""),0.25)</f>
        <v>0.25</v>
      </c>
      <c r="H11635" s="2">
        <f>IFERROR(__xludf.DUMMYFUNCTION("""COMPUTED_VALUE"""),0.25)</f>
        <v>0.25</v>
      </c>
      <c r="I11635" s="5">
        <f>IFERROR(__xludf.DUMMYFUNCTION("""COMPUTED_VALUE"""),1.0)</f>
        <v>1</v>
      </c>
      <c r="J11635" s="1" t="str">
        <f>IFERROR(__xludf.DUMMYFUNCTION("""COMPUTED_VALUE"""),"Ann Dumlao")</f>
        <v>Ann Dumlao</v>
      </c>
      <c r="K11635" s="1" t="str">
        <f>IFERROR(__xludf.DUMMYFUNCTION("""COMPUTED_VALUE"""),"Admin Omni Support")</f>
        <v>Admin Omni Support</v>
      </c>
      <c r="L11635" s="1" t="str">
        <f>IFERROR(__xludf.DUMMYFUNCTION("""COMPUTED_VALUE"""),"Admin Omni Support")</f>
        <v>Admin Omni Support</v>
      </c>
    </row>
    <row r="11636">
      <c r="A11636" s="1" t="str">
        <f>IFERROR(__xludf.DUMMYFUNCTION("""COMPUTED_VALUE"""),"2026 Apr")</f>
        <v>2026 Apr</v>
      </c>
      <c r="B11636" s="4">
        <f>IFERROR(__xludf.DUMMYFUNCTION("""COMPUTED_VALUE"""),46125.0)</f>
        <v>46125</v>
      </c>
      <c r="C11636" s="1" t="str">
        <f>IFERROR(__xludf.DUMMYFUNCTION("""COMPUTED_VALUE"""),"Segment-specific Support")</f>
        <v>Segment-specific Support</v>
      </c>
      <c r="D11636" s="1" t="str">
        <f>IFERROR(__xludf.DUMMYFUNCTION("""COMPUTED_VALUE"""),"5f0cce5a-c29c-416c-a9e9-e7e3fa282c8a")</f>
        <v>5f0cce5a-c29c-416c-a9e9-e7e3fa282c8a</v>
      </c>
      <c r="E11636" s="1">
        <f>IFERROR(__xludf.DUMMYFUNCTION("""COMPUTED_VALUE"""),9.903289405711E12)</f>
        <v>9903289405711</v>
      </c>
      <c r="F11636" s="1"/>
      <c r="G11636" s="1"/>
      <c r="H11636" s="2">
        <f>IFERROR(__xludf.DUMMYFUNCTION("""COMPUTED_VALUE"""),0.0)</f>
        <v>0</v>
      </c>
      <c r="I11636" s="5"/>
      <c r="J11636" s="1" t="str">
        <f>IFERROR(__xludf.DUMMYFUNCTION("""COMPUTED_VALUE"""),"Jonathan Dimaculangan")</f>
        <v>Jonathan Dimaculangan</v>
      </c>
      <c r="K11636" s="1" t="str">
        <f>IFERROR(__xludf.DUMMYFUNCTION("""COMPUTED_VALUE"""),"Flourish Support")</f>
        <v>Flourish Support</v>
      </c>
      <c r="L11636" s="1" t="str">
        <f>IFERROR(__xludf.DUMMYFUNCTION("""COMPUTED_VALUE"""),"SSS Flourish")</f>
        <v>SSS Flourish</v>
      </c>
    </row>
    <row r="11637">
      <c r="A11637" s="1" t="str">
        <f>IFERROR(__xludf.DUMMYFUNCTION("""COMPUTED_VALUE"""),"2026 Apr")</f>
        <v>2026 Apr</v>
      </c>
      <c r="B11637" s="4">
        <f>IFERROR(__xludf.DUMMYFUNCTION("""COMPUTED_VALUE"""),46125.0)</f>
        <v>46125</v>
      </c>
      <c r="C11637" s="1" t="str">
        <f>IFERROR(__xludf.DUMMYFUNCTION("""COMPUTED_VALUE"""),"Core Product Support")</f>
        <v>Core Product Support</v>
      </c>
      <c r="D11637" s="1" t="str">
        <f>IFERROR(__xludf.DUMMYFUNCTION("""COMPUTED_VALUE"""),"618f1bf8-5458-45df-85f7-93c4f29332f8")</f>
        <v>618f1bf8-5458-45df-85f7-93c4f29332f8</v>
      </c>
      <c r="E11637" s="1">
        <f>IFERROR(__xludf.DUMMYFUNCTION("""COMPUTED_VALUE"""),3.61724667256E11)</f>
        <v>361724667256</v>
      </c>
      <c r="F11637" s="1"/>
      <c r="G11637" s="1">
        <f>IFERROR(__xludf.DUMMYFUNCTION("""COMPUTED_VALUE"""),2.0)</f>
        <v>2</v>
      </c>
      <c r="H11637" s="2">
        <f>IFERROR(__xludf.DUMMYFUNCTION("""COMPUTED_VALUE"""),2.0)</f>
        <v>2</v>
      </c>
      <c r="I11637" s="5">
        <f>IFERROR(__xludf.DUMMYFUNCTION("""COMPUTED_VALUE"""),1.0)</f>
        <v>1</v>
      </c>
      <c r="J11637" s="1" t="str">
        <f>IFERROR(__xludf.DUMMYFUNCTION("""COMPUTED_VALUE"""),"Ellaine Estayo")</f>
        <v>Ellaine Estayo</v>
      </c>
      <c r="K11637" s="1" t="str">
        <f>IFERROR(__xludf.DUMMYFUNCTION("""COMPUTED_VALUE"""),"Core Product Support Escalation Team")</f>
        <v>Core Product Support Escalation Team</v>
      </c>
      <c r="L11637"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638">
      <c r="A11638" s="1" t="str">
        <f>IFERROR(__xludf.DUMMYFUNCTION("""COMPUTED_VALUE"""),"2026 Apr")</f>
        <v>2026 Apr</v>
      </c>
      <c r="B11638" s="4">
        <f>IFERROR(__xludf.DUMMYFUNCTION("""COMPUTED_VALUE"""),46125.0)</f>
        <v>46125</v>
      </c>
      <c r="C11638" s="1" t="str">
        <f>IFERROR(__xludf.DUMMYFUNCTION("""COMPUTED_VALUE"""),"Print Support")</f>
        <v>Print Support</v>
      </c>
      <c r="D11638" s="1" t="str">
        <f>IFERROR(__xludf.DUMMYFUNCTION("""COMPUTED_VALUE"""),"9e452879-93e7-461c-b1a1-1bd079930eb2")</f>
        <v>9e452879-93e7-461c-b1a1-1bd079930eb2</v>
      </c>
      <c r="E11638" s="1">
        <f>IFERROR(__xludf.DUMMYFUNCTION("""COMPUTED_VALUE"""),1.0548609842831E13)</f>
        <v>10548609842831</v>
      </c>
      <c r="F11638" s="1"/>
      <c r="G11638" s="1"/>
      <c r="H11638" s="2">
        <f>IFERROR(__xludf.DUMMYFUNCTION("""COMPUTED_VALUE"""),0.0)</f>
        <v>0</v>
      </c>
      <c r="I11638" s="5"/>
      <c r="J11638" s="1" t="str">
        <f>IFERROR(__xludf.DUMMYFUNCTION("""COMPUTED_VALUE"""),"Louise Dianne Estrella")</f>
        <v>Louise Dianne Estrella</v>
      </c>
      <c r="K11638" s="1" t="str">
        <f>IFERROR(__xludf.DUMMYFUNCTION("""COMPUTED_VALUE"""),"Print Support PH")</f>
        <v>Print Support PH</v>
      </c>
      <c r="L11638" s="1" t="str">
        <f>IFERROR(__xludf.DUMMYFUNCTION("""COMPUTED_VALUE"""),"Print Print - CHT")</f>
        <v>Print Print - CHT</v>
      </c>
    </row>
    <row r="11639">
      <c r="A11639" s="1" t="str">
        <f>IFERROR(__xludf.DUMMYFUNCTION("""COMPUTED_VALUE"""),"2026 Apr")</f>
        <v>2026 Apr</v>
      </c>
      <c r="B11639" s="4">
        <f>IFERROR(__xludf.DUMMYFUNCTION("""COMPUTED_VALUE"""),46125.0)</f>
        <v>46125</v>
      </c>
      <c r="C11639" s="1" t="str">
        <f>IFERROR(__xludf.DUMMYFUNCTION("""COMPUTED_VALUE"""),"Core Product Support")</f>
        <v>Core Product Support</v>
      </c>
      <c r="D11639" s="1" t="str">
        <f>IFERROR(__xludf.DUMMYFUNCTION("""COMPUTED_VALUE"""),"2a3cbb81-c61e-4e7d-8a9e-ed241403cd4d")</f>
        <v>2a3cbb81-c61e-4e7d-8a9e-ed241403cd4d</v>
      </c>
      <c r="E11639" s="1">
        <f>IFERROR(__xludf.DUMMYFUNCTION("""COMPUTED_VALUE"""),1.0333033832463E13)</f>
        <v>10333033832463</v>
      </c>
      <c r="F11639" s="1"/>
      <c r="G11639" s="1">
        <f>IFERROR(__xludf.DUMMYFUNCTION("""COMPUTED_VALUE"""),1.0)</f>
        <v>1</v>
      </c>
      <c r="H11639" s="2">
        <f>IFERROR(__xludf.DUMMYFUNCTION("""COMPUTED_VALUE"""),1.0)</f>
        <v>1</v>
      </c>
      <c r="I11639" s="5">
        <f>IFERROR(__xludf.DUMMYFUNCTION("""COMPUTED_VALUE"""),1.0)</f>
        <v>1</v>
      </c>
      <c r="J11639" s="1" t="str">
        <f>IFERROR(__xludf.DUMMYFUNCTION("""COMPUTED_VALUE"""),"Cherry Macam")</f>
        <v>Cherry Macam</v>
      </c>
      <c r="K11639" s="1" t="str">
        <f>IFERROR(__xludf.DUMMYFUNCTION("""COMPUTED_VALUE"""),"Advanced Billing &amp; Subscriptions")</f>
        <v>Advanced Billing &amp; Subscriptions</v>
      </c>
      <c r="L11639" s="1" t="str">
        <f>IFERROR(__xludf.DUMMYFUNCTION("""COMPUTED_VALUE"""),"CPS Advanced Billing and Subscriptions (ABS)")</f>
        <v>CPS Advanced Billing and Subscriptions (ABS)</v>
      </c>
    </row>
    <row r="11640">
      <c r="A11640" s="1" t="str">
        <f>IFERROR(__xludf.DUMMYFUNCTION("""COMPUTED_VALUE"""),"2026 Apr")</f>
        <v>2026 Apr</v>
      </c>
      <c r="B11640" s="4">
        <f>IFERROR(__xludf.DUMMYFUNCTION("""COMPUTED_VALUE"""),46125.0)</f>
        <v>46125</v>
      </c>
      <c r="C11640" s="1" t="str">
        <f>IFERROR(__xludf.DUMMYFUNCTION("""COMPUTED_VALUE"""),"Segment-specific Support")</f>
        <v>Segment-specific Support</v>
      </c>
      <c r="D11640" s="1" t="str">
        <f>IFERROR(__xludf.DUMMYFUNCTION("""COMPUTED_VALUE"""),"b9ec9518-1035-4039-9e89-56312867ff3e")</f>
        <v>b9ec9518-1035-4039-9e89-56312867ff3e</v>
      </c>
      <c r="E11640" s="1">
        <f>IFERROR(__xludf.DUMMYFUNCTION("""COMPUTED_VALUE"""),1.0548609971215E13)</f>
        <v>10548609971215</v>
      </c>
      <c r="F11640" s="1"/>
      <c r="G11640" s="1">
        <f>IFERROR(__xludf.DUMMYFUNCTION("""COMPUTED_VALUE"""),2.5)</f>
        <v>2.5</v>
      </c>
      <c r="H11640" s="2">
        <f>IFERROR(__xludf.DUMMYFUNCTION("""COMPUTED_VALUE"""),2.5)</f>
        <v>2.5</v>
      </c>
      <c r="I11640" s="5">
        <f>IFERROR(__xludf.DUMMYFUNCTION("""COMPUTED_VALUE"""),1.0)</f>
        <v>1</v>
      </c>
      <c r="J11640" s="1" t="str">
        <f>IFERROR(__xludf.DUMMYFUNCTION("""COMPUTED_VALUE"""),"Gucci Nava")</f>
        <v>Gucci Nava</v>
      </c>
      <c r="K11640" s="1" t="str">
        <f>IFERROR(__xludf.DUMMYFUNCTION("""COMPUTED_VALUE"""),"Print Support PH")</f>
        <v>Print Support PH</v>
      </c>
      <c r="L11640" s="1" t="str">
        <f>IFERROR(__xludf.DUMMYFUNCTION("""COMPUTED_VALUE"""),"Print Print - CHT")</f>
        <v>Print Print - CHT</v>
      </c>
    </row>
    <row r="11641">
      <c r="A11641" s="1" t="str">
        <f>IFERROR(__xludf.DUMMYFUNCTION("""COMPUTED_VALUE"""),"2026 Apr")</f>
        <v>2026 Apr</v>
      </c>
      <c r="B11641" s="4">
        <f>IFERROR(__xludf.DUMMYFUNCTION("""COMPUTED_VALUE"""),46125.0)</f>
        <v>46125</v>
      </c>
      <c r="C11641" s="1" t="str">
        <f>IFERROR(__xludf.DUMMYFUNCTION("""COMPUTED_VALUE"""),"Core Product Support")</f>
        <v>Core Product Support</v>
      </c>
      <c r="D11641" s="1" t="str">
        <f>IFERROR(__xludf.DUMMYFUNCTION("""COMPUTED_VALUE"""),"b80ae9d0-5920-40ea-8338-5b197b10c2ea")</f>
        <v>b80ae9d0-5920-40ea-8338-5b197b10c2ea</v>
      </c>
      <c r="E11641" s="1">
        <f>IFERROR(__xludf.DUMMYFUNCTION("""COMPUTED_VALUE"""),3.61857411916E11)</f>
        <v>361857411916</v>
      </c>
      <c r="F11641" s="1"/>
      <c r="G11641" s="1">
        <f>IFERROR(__xludf.DUMMYFUNCTION("""COMPUTED_VALUE"""),1.25)</f>
        <v>1.25</v>
      </c>
      <c r="H11641" s="2">
        <f>IFERROR(__xludf.DUMMYFUNCTION("""COMPUTED_VALUE"""),1.25)</f>
        <v>1.25</v>
      </c>
      <c r="I11641" s="5">
        <f>IFERROR(__xludf.DUMMYFUNCTION("""COMPUTED_VALUE"""),1.0)</f>
        <v>1</v>
      </c>
      <c r="J11641" s="1" t="str">
        <f>IFERROR(__xludf.DUMMYFUNCTION("""COMPUTED_VALUE"""),"Jahmie Mae Barrameda")</f>
        <v>Jahmie Mae Barrameda</v>
      </c>
      <c r="K11641" s="1" t="str">
        <f>IFERROR(__xludf.DUMMYFUNCTION("""COMPUTED_VALUE"""),"Advanced Billing &amp; Subscriptions")</f>
        <v>Advanced Billing &amp; Subscriptions</v>
      </c>
      <c r="L11641" s="1" t="str">
        <f>IFERROR(__xludf.DUMMYFUNCTION("""COMPUTED_VALUE"""),"CPS Advanced Billing and Subscriptions (ABS)")</f>
        <v>CPS Advanced Billing and Subscriptions (ABS)</v>
      </c>
    </row>
    <row r="11642">
      <c r="A11642" s="1" t="str">
        <f>IFERROR(__xludf.DUMMYFUNCTION("""COMPUTED_VALUE"""),"2026 Apr")</f>
        <v>2026 Apr</v>
      </c>
      <c r="B11642" s="4">
        <f>IFERROR(__xludf.DUMMYFUNCTION("""COMPUTED_VALUE"""),46125.0)</f>
        <v>46125</v>
      </c>
      <c r="C11642" s="1" t="str">
        <f>IFERROR(__xludf.DUMMYFUNCTION("""COMPUTED_VALUE"""),"Print Support")</f>
        <v>Print Support</v>
      </c>
      <c r="D11642" s="1" t="str">
        <f>IFERROR(__xludf.DUMMYFUNCTION("""COMPUTED_VALUE"""),"96960398-b413-404a-acdf-c9c07c7a947d")</f>
        <v>96960398-b413-404a-acdf-c9c07c7a947d</v>
      </c>
      <c r="E11642" s="1">
        <f>IFERROR(__xludf.DUMMYFUNCTION("""COMPUTED_VALUE"""),3.61744077956E11)</f>
        <v>361744077956</v>
      </c>
      <c r="F11642" s="1"/>
      <c r="G11642" s="1"/>
      <c r="H11642" s="2">
        <f>IFERROR(__xludf.DUMMYFUNCTION("""COMPUTED_VALUE"""),0.0)</f>
        <v>0</v>
      </c>
      <c r="I11642" s="5"/>
      <c r="J11642" s="1" t="str">
        <f>IFERROR(__xludf.DUMMYFUNCTION("""COMPUTED_VALUE"""),"Rae Erlano")</f>
        <v>Rae Erlano</v>
      </c>
      <c r="K11642" s="1" t="str">
        <f>IFERROR(__xludf.DUMMYFUNCTION("""COMPUTED_VALUE"""),"Print Support PH")</f>
        <v>Print Support PH</v>
      </c>
      <c r="L11642" s="1" t="str">
        <f>IFERROR(__xludf.DUMMYFUNCTION("""COMPUTED_VALUE"""),"Print Print - SEE")</f>
        <v>Print Print - SEE</v>
      </c>
    </row>
    <row r="11643">
      <c r="A11643" s="1" t="str">
        <f>IFERROR(__xludf.DUMMYFUNCTION("""COMPUTED_VALUE"""),"2026 Apr")</f>
        <v>2026 Apr</v>
      </c>
      <c r="B11643" s="4">
        <f>IFERROR(__xludf.DUMMYFUNCTION("""COMPUTED_VALUE"""),46125.0)</f>
        <v>46125</v>
      </c>
      <c r="C11643" s="1" t="str">
        <f>IFERROR(__xludf.DUMMYFUNCTION("""COMPUTED_VALUE"""),"Print Support")</f>
        <v>Print Support</v>
      </c>
      <c r="D11643" s="1" t="str">
        <f>IFERROR(__xludf.DUMMYFUNCTION("""COMPUTED_VALUE"""),"b85e88a5-e05e-4b99-8314-1a4152e7f993")</f>
        <v>b85e88a5-e05e-4b99-8314-1a4152e7f993</v>
      </c>
      <c r="E11643" s="1"/>
      <c r="F11643" s="1"/>
      <c r="G11643" s="1"/>
      <c r="H11643" s="2">
        <f>IFERROR(__xludf.DUMMYFUNCTION("""COMPUTED_VALUE"""),0.0)</f>
        <v>0</v>
      </c>
      <c r="I11643" s="5"/>
      <c r="J11643" s="1" t="str">
        <f>IFERROR(__xludf.DUMMYFUNCTION("""COMPUTED_VALUE"""),"Rei De Jesus")</f>
        <v>Rei De Jesus</v>
      </c>
      <c r="K11643" s="1" t="str">
        <f>IFERROR(__xludf.DUMMYFUNCTION("""COMPUTED_VALUE"""),"Print Design Support")</f>
        <v>Print Design Support</v>
      </c>
      <c r="L11643" s="1" t="str">
        <f>IFERROR(__xludf.DUMMYFUNCTION("""COMPUTED_VALUE"""),"Print Print Design")</f>
        <v>Print Print Design</v>
      </c>
    </row>
    <row r="11644">
      <c r="A11644" s="1" t="str">
        <f>IFERROR(__xludf.DUMMYFUNCTION("""COMPUTED_VALUE"""),"2026 Apr")</f>
        <v>2026 Apr</v>
      </c>
      <c r="B11644" s="4">
        <f>IFERROR(__xludf.DUMMYFUNCTION("""COMPUTED_VALUE"""),46125.0)</f>
        <v>46125</v>
      </c>
      <c r="C11644" s="1" t="str">
        <f>IFERROR(__xludf.DUMMYFUNCTION("""COMPUTED_VALUE"""),"High Sensitivity Support")</f>
        <v>High Sensitivity Support</v>
      </c>
      <c r="D11644" s="1" t="str">
        <f>IFERROR(__xludf.DUMMYFUNCTION("""COMPUTED_VALUE"""),"f734e8ae-d81c-444b-8238-0989a571ddfc")</f>
        <v>f734e8ae-d81c-444b-8238-0989a571ddfc</v>
      </c>
      <c r="E11644" s="1">
        <f>IFERROR(__xludf.DUMMYFUNCTION("""COMPUTED_VALUE"""),1.0548626331023E13)</f>
        <v>10548626331023</v>
      </c>
      <c r="F11644" s="1"/>
      <c r="G11644" s="1"/>
      <c r="H11644" s="2">
        <f>IFERROR(__xludf.DUMMYFUNCTION("""COMPUTED_VALUE"""),0.0)</f>
        <v>0</v>
      </c>
      <c r="I11644" s="5"/>
      <c r="J11644" s="1" t="str">
        <f>IFERROR(__xludf.DUMMYFUNCTION("""COMPUTED_VALUE"""),"Xandy Azarcon")</f>
        <v>Xandy Azarcon</v>
      </c>
      <c r="K11644" s="1" t="str">
        <f>IFERROR(__xludf.DUMMYFUNCTION("""COMPUTED_VALUE"""),"High Sensitivity Support PH")</f>
        <v>High Sensitivity Support PH</v>
      </c>
      <c r="L11644" s="1" t="str">
        <f>IFERROR(__xludf.DUMMYFUNCTION("""COMPUTED_VALUE"""),"HSS High Sensitivity Support PH - CHT")</f>
        <v>HSS High Sensitivity Support PH - CHT</v>
      </c>
    </row>
    <row r="11645">
      <c r="A11645" s="1" t="str">
        <f>IFERROR(__xludf.DUMMYFUNCTION("""COMPUTED_VALUE"""),"2026 Apr")</f>
        <v>2026 Apr</v>
      </c>
      <c r="B11645" s="4">
        <f>IFERROR(__xludf.DUMMYFUNCTION("""COMPUTED_VALUE"""),46125.0)</f>
        <v>46125</v>
      </c>
      <c r="C11645" s="1" t="str">
        <f>IFERROR(__xludf.DUMMYFUNCTION("""COMPUTED_VALUE"""),"Admin Support")</f>
        <v>Admin Support</v>
      </c>
      <c r="D11645" s="1" t="str">
        <f>IFERROR(__xludf.DUMMYFUNCTION("""COMPUTED_VALUE"""),"325d8c4b-104e-45b5-8c24-46aee9a25b01")</f>
        <v>325d8c4b-104e-45b5-8c24-46aee9a25b01</v>
      </c>
      <c r="E11645" s="1">
        <f>IFERROR(__xludf.DUMMYFUNCTION("""COMPUTED_VALUE"""),9.582702695695E12)</f>
        <v>9582702695695</v>
      </c>
      <c r="F11645" s="1"/>
      <c r="G11645" s="1"/>
      <c r="H11645" s="2">
        <f>IFERROR(__xludf.DUMMYFUNCTION("""COMPUTED_VALUE"""),0.0)</f>
        <v>0</v>
      </c>
      <c r="I11645" s="5"/>
      <c r="J11645" s="1" t="str">
        <f>IFERROR(__xludf.DUMMYFUNCTION("""COMPUTED_VALUE"""),"Nate Vela")</f>
        <v>Nate Vela</v>
      </c>
      <c r="K11645" s="1" t="str">
        <f>IFERROR(__xludf.DUMMYFUNCTION("""COMPUTED_VALUE"""),"Admin Support NA")</f>
        <v>Admin Support NA</v>
      </c>
      <c r="L11645" s="1" t="str">
        <f>IFERROR(__xludf.DUMMYFUNCTION("""COMPUTED_VALUE"""),"Admin NA")</f>
        <v>Admin NA</v>
      </c>
    </row>
    <row r="11646">
      <c r="A11646" s="1" t="str">
        <f>IFERROR(__xludf.DUMMYFUNCTION("""COMPUTED_VALUE"""),"2026 Apr")</f>
        <v>2026 Apr</v>
      </c>
      <c r="B11646" s="4">
        <f>IFERROR(__xludf.DUMMYFUNCTION("""COMPUTED_VALUE"""),46125.0)</f>
        <v>46125</v>
      </c>
      <c r="C11646" s="1" t="str">
        <f>IFERROR(__xludf.DUMMYFUNCTION("""COMPUTED_VALUE"""),"Print Support")</f>
        <v>Print Support</v>
      </c>
      <c r="D11646" s="1" t="str">
        <f>IFERROR(__xludf.DUMMYFUNCTION("""COMPUTED_VALUE"""),"afe991ce-72f0-4a1b-ae15-865b9a416d53")</f>
        <v>afe991ce-72f0-4a1b-ae15-865b9a416d53</v>
      </c>
      <c r="E11646" s="1">
        <f>IFERROR(__xludf.DUMMYFUNCTION("""COMPUTED_VALUE"""),3.61694632195E11)</f>
        <v>361694632195</v>
      </c>
      <c r="F11646" s="1"/>
      <c r="G11646" s="1"/>
      <c r="H11646" s="2">
        <f>IFERROR(__xludf.DUMMYFUNCTION("""COMPUTED_VALUE"""),0.0)</f>
        <v>0</v>
      </c>
      <c r="I11646" s="5"/>
      <c r="J11646" s="1" t="str">
        <f>IFERROR(__xludf.DUMMYFUNCTION("""COMPUTED_VALUE"""),"Memae Faustino")</f>
        <v>Memae Faustino</v>
      </c>
      <c r="K11646" s="1" t="str">
        <f>IFERROR(__xludf.DUMMYFUNCTION("""COMPUTED_VALUE"""),"Print Support PH")</f>
        <v>Print Support PH</v>
      </c>
      <c r="L11646" s="1" t="str">
        <f>IFERROR(__xludf.DUMMYFUNCTION("""COMPUTED_VALUE"""),"Print Print - SEE")</f>
        <v>Print Print - SEE</v>
      </c>
    </row>
    <row r="11647">
      <c r="A11647" s="1" t="str">
        <f>IFERROR(__xludf.DUMMYFUNCTION("""COMPUTED_VALUE"""),"2026 Apr")</f>
        <v>2026 Apr</v>
      </c>
      <c r="B11647" s="4">
        <f>IFERROR(__xludf.DUMMYFUNCTION("""COMPUTED_VALUE"""),46125.0)</f>
        <v>46125</v>
      </c>
      <c r="C11647" s="1" t="str">
        <f>IFERROR(__xludf.DUMMYFUNCTION("""COMPUTED_VALUE"""),"Print Support")</f>
        <v>Print Support</v>
      </c>
      <c r="D11647" s="1" t="str">
        <f>IFERROR(__xludf.DUMMYFUNCTION("""COMPUTED_VALUE"""),"b0701057-db2b-4208-bb14-e0c4e8b8f1ee")</f>
        <v>b0701057-db2b-4208-bb14-e0c4e8b8f1ee</v>
      </c>
      <c r="E11647" s="1"/>
      <c r="F11647" s="1"/>
      <c r="G11647" s="1"/>
      <c r="H11647" s="2">
        <f>IFERROR(__xludf.DUMMYFUNCTION("""COMPUTED_VALUE"""),0.0)</f>
        <v>0</v>
      </c>
      <c r="I11647" s="5"/>
      <c r="J11647" s="1" t="str">
        <f>IFERROR(__xludf.DUMMYFUNCTION("""COMPUTED_VALUE"""),"Aliza Dote")</f>
        <v>Aliza Dote</v>
      </c>
      <c r="K11647" s="1" t="str">
        <f>IFERROR(__xludf.DUMMYFUNCTION("""COMPUTED_VALUE"""),"Print Design Support")</f>
        <v>Print Design Support</v>
      </c>
      <c r="L11647" s="1" t="str">
        <f>IFERROR(__xludf.DUMMYFUNCTION("""COMPUTED_VALUE"""),"Print Print Design")</f>
        <v>Print Print Design</v>
      </c>
    </row>
    <row r="11648">
      <c r="A11648" s="1" t="str">
        <f>IFERROR(__xludf.DUMMYFUNCTION("""COMPUTED_VALUE"""),"2026 Apr")</f>
        <v>2026 Apr</v>
      </c>
      <c r="B11648" s="4">
        <f>IFERROR(__xludf.DUMMYFUNCTION("""COMPUTED_VALUE"""),46125.0)</f>
        <v>46125</v>
      </c>
      <c r="C11648" s="1" t="str">
        <f>IFERROR(__xludf.DUMMYFUNCTION("""COMPUTED_VALUE"""),"Core Product Support")</f>
        <v>Core Product Support</v>
      </c>
      <c r="D11648" s="1" t="str">
        <f>IFERROR(__xludf.DUMMYFUNCTION("""COMPUTED_VALUE"""),"e49eb420-7bd7-4503-a1d0-35028e015e43")</f>
        <v>e49eb420-7bd7-4503-a1d0-35028e015e43</v>
      </c>
      <c r="E11648" s="1">
        <f>IFERROR(__xludf.DUMMYFUNCTION("""COMPUTED_VALUE"""),5.047314693263E12)</f>
        <v>5047314693263</v>
      </c>
      <c r="F11648" s="1"/>
      <c r="G11648" s="1">
        <f>IFERROR(__xludf.DUMMYFUNCTION("""COMPUTED_VALUE"""),1.25)</f>
        <v>1.25</v>
      </c>
      <c r="H11648" s="2">
        <f>IFERROR(__xludf.DUMMYFUNCTION("""COMPUTED_VALUE"""),1.25)</f>
        <v>1.25</v>
      </c>
      <c r="I11648" s="5">
        <f>IFERROR(__xludf.DUMMYFUNCTION("""COMPUTED_VALUE"""),1.0)</f>
        <v>1</v>
      </c>
      <c r="J11648" s="1" t="str">
        <f>IFERROR(__xludf.DUMMYFUNCTION("""COMPUTED_VALUE"""),"Cate Velasco")</f>
        <v>Cate Velasco</v>
      </c>
      <c r="K11648" s="1" t="str">
        <f>IFERROR(__xludf.DUMMYFUNCTION("""COMPUTED_VALUE"""),"Advanced Product Support")</f>
        <v>Advanced Product Support</v>
      </c>
      <c r="L11648" s="1" t="str">
        <f>IFERROR(__xludf.DUMMYFUNCTION("""COMPUTED_VALUE"""),"CPS Advanced Product Support (APS)")</f>
        <v>CPS Advanced Product Support (APS)</v>
      </c>
    </row>
    <row r="11649">
      <c r="A11649" s="1" t="str">
        <f>IFERROR(__xludf.DUMMYFUNCTION("""COMPUTED_VALUE"""),"2026 Apr")</f>
        <v>2026 Apr</v>
      </c>
      <c r="B11649" s="4">
        <f>IFERROR(__xludf.DUMMYFUNCTION("""COMPUTED_VALUE"""),46125.0)</f>
        <v>46125</v>
      </c>
      <c r="C11649" s="1" t="str">
        <f>IFERROR(__xludf.DUMMYFUNCTION("""COMPUTED_VALUE"""),"Print Support")</f>
        <v>Print Support</v>
      </c>
      <c r="D11649" s="1" t="str">
        <f>IFERROR(__xludf.DUMMYFUNCTION("""COMPUTED_VALUE"""),"03a2ac9e-65a5-409e-851b-a4c93a003187")</f>
        <v>03a2ac9e-65a5-409e-851b-a4c93a003187</v>
      </c>
      <c r="E11649" s="1">
        <f>IFERROR(__xludf.DUMMYFUNCTION("""COMPUTED_VALUE"""),5.202378807439E12)</f>
        <v>5202378807439</v>
      </c>
      <c r="F11649" s="1"/>
      <c r="G11649" s="1"/>
      <c r="H11649" s="2">
        <f>IFERROR(__xludf.DUMMYFUNCTION("""COMPUTED_VALUE"""),0.0)</f>
        <v>0</v>
      </c>
      <c r="I11649" s="5"/>
      <c r="J11649" s="1" t="str">
        <f>IFERROR(__xludf.DUMMYFUNCTION("""COMPUTED_VALUE"""),"Althea Mercado")</f>
        <v>Althea Mercado</v>
      </c>
      <c r="K11649" s="1" t="str">
        <f>IFERROR(__xludf.DUMMYFUNCTION("""COMPUTED_VALUE"""),"Print Support PH")</f>
        <v>Print Support PH</v>
      </c>
      <c r="L11649" s="1" t="str">
        <f>IFERROR(__xludf.DUMMYFUNCTION("""COMPUTED_VALUE"""),"Print Print - CHT")</f>
        <v>Print Print - CHT</v>
      </c>
    </row>
    <row r="11650">
      <c r="A11650" s="1" t="str">
        <f>IFERROR(__xludf.DUMMYFUNCTION("""COMPUTED_VALUE"""),"2026 Apr")</f>
        <v>2026 Apr</v>
      </c>
      <c r="B11650" s="4">
        <f>IFERROR(__xludf.DUMMYFUNCTION("""COMPUTED_VALUE"""),46125.0)</f>
        <v>46125</v>
      </c>
      <c r="C11650" s="1" t="str">
        <f>IFERROR(__xludf.DUMMYFUNCTION("""COMPUTED_VALUE"""),"Segment-specific Support")</f>
        <v>Segment-specific Support</v>
      </c>
      <c r="D11650" s="1" t="str">
        <f>IFERROR(__xludf.DUMMYFUNCTION("""COMPUTED_VALUE"""),"f7d8f8dd-7764-471d-8254-300956d0e1c6")</f>
        <v>f7d8f8dd-7764-471d-8254-300956d0e1c6</v>
      </c>
      <c r="E11650" s="1">
        <f>IFERROR(__xludf.DUMMYFUNCTION("""COMPUTED_VALUE"""),3.61750003915E11)</f>
        <v>361750003915</v>
      </c>
      <c r="F11650" s="1"/>
      <c r="G11650" s="1"/>
      <c r="H11650" s="2">
        <f>IFERROR(__xludf.DUMMYFUNCTION("""COMPUTED_VALUE"""),0.0)</f>
        <v>0</v>
      </c>
      <c r="I11650" s="5"/>
      <c r="J11650" s="1" t="str">
        <f>IFERROR(__xludf.DUMMYFUNCTION("""COMPUTED_VALUE"""),"Gucci Nava")</f>
        <v>Gucci Nava</v>
      </c>
      <c r="K11650" s="1" t="str">
        <f>IFERROR(__xludf.DUMMYFUNCTION("""COMPUTED_VALUE"""),"Affinity Support")</f>
        <v>Affinity Support</v>
      </c>
      <c r="L11650" s="1" t="str">
        <f>IFERROR(__xludf.DUMMYFUNCTION("""COMPUTED_VALUE"""),"SSS Affinity - L1")</f>
        <v>SSS Affinity - L1</v>
      </c>
    </row>
    <row r="11651">
      <c r="A11651" s="1" t="str">
        <f>IFERROR(__xludf.DUMMYFUNCTION("""COMPUTED_VALUE"""),"2026 Apr")</f>
        <v>2026 Apr</v>
      </c>
      <c r="B11651" s="4">
        <f>IFERROR(__xludf.DUMMYFUNCTION("""COMPUTED_VALUE"""),46125.0)</f>
        <v>46125</v>
      </c>
      <c r="C11651" s="1" t="str">
        <f>IFERROR(__xludf.DUMMYFUNCTION("""COMPUTED_VALUE"""),"Core Product Support")</f>
        <v>Core Product Support</v>
      </c>
      <c r="D11651" s="1" t="str">
        <f>IFERROR(__xludf.DUMMYFUNCTION("""COMPUTED_VALUE"""),"1309ddc0-c081-4df4-b17d-ed2c31b14169")</f>
        <v>1309ddc0-c081-4df4-b17d-ed2c31b14169</v>
      </c>
      <c r="E11651" s="1">
        <f>IFERROR(__xludf.DUMMYFUNCTION("""COMPUTED_VALUE"""),3.61964324516E11)</f>
        <v>361964324516</v>
      </c>
      <c r="F11651" s="1"/>
      <c r="G11651" s="1">
        <f>IFERROR(__xludf.DUMMYFUNCTION("""COMPUTED_VALUE"""),1.25)</f>
        <v>1.25</v>
      </c>
      <c r="H11651" s="2">
        <f>IFERROR(__xludf.DUMMYFUNCTION("""COMPUTED_VALUE"""),1.25)</f>
        <v>1.25</v>
      </c>
      <c r="I11651" s="5">
        <f>IFERROR(__xludf.DUMMYFUNCTION("""COMPUTED_VALUE"""),1.0)</f>
        <v>1</v>
      </c>
      <c r="J11651" s="1" t="str">
        <f>IFERROR(__xludf.DUMMYFUNCTION("""COMPUTED_VALUE"""),"Ayza Marie Pascual")</f>
        <v>Ayza Marie Pascual</v>
      </c>
      <c r="K11651" s="1" t="str">
        <f>IFERROR(__xludf.DUMMYFUNCTION("""COMPUTED_VALUE"""),"Advanced Billing &amp; Subscriptions")</f>
        <v>Advanced Billing &amp; Subscriptions</v>
      </c>
      <c r="L11651" s="1" t="str">
        <f>IFERROR(__xludf.DUMMYFUNCTION("""COMPUTED_VALUE"""),"CPS Advanced Billing and Subscriptions (ABS)")</f>
        <v>CPS Advanced Billing and Subscriptions (ABS)</v>
      </c>
    </row>
    <row r="11652">
      <c r="A11652" s="1" t="str">
        <f>IFERROR(__xludf.DUMMYFUNCTION("""COMPUTED_VALUE"""),"2026 Apr")</f>
        <v>2026 Apr</v>
      </c>
      <c r="B11652" s="4">
        <f>IFERROR(__xludf.DUMMYFUNCTION("""COMPUTED_VALUE"""),46125.0)</f>
        <v>46125</v>
      </c>
      <c r="C11652" s="1" t="str">
        <f>IFERROR(__xludf.DUMMYFUNCTION("""COMPUTED_VALUE"""),"Admin Support")</f>
        <v>Admin Support</v>
      </c>
      <c r="D11652" s="1" t="str">
        <f>IFERROR(__xludf.DUMMYFUNCTION("""COMPUTED_VALUE"""),"7cdd4051-dd81-4e04-a905-67a7a6826826")</f>
        <v>7cdd4051-dd81-4e04-a905-67a7a6826826</v>
      </c>
      <c r="E11652" s="1">
        <f>IFERROR(__xludf.DUMMYFUNCTION("""COMPUTED_VALUE"""),9.795895003151E12)</f>
        <v>9795895003151</v>
      </c>
      <c r="F11652" s="1"/>
      <c r="G11652" s="1"/>
      <c r="H11652" s="2">
        <f>IFERROR(__xludf.DUMMYFUNCTION("""COMPUTED_VALUE"""),0.0)</f>
        <v>0</v>
      </c>
      <c r="I11652" s="5"/>
      <c r="J11652" s="1" t="str">
        <f>IFERROR(__xludf.DUMMYFUNCTION("""COMPUTED_VALUE"""),"Karla Mananghaya")</f>
        <v>Karla Mananghaya</v>
      </c>
      <c r="K11652" s="1" t="str">
        <f>IFERROR(__xludf.DUMMYFUNCTION("""COMPUTED_VALUE"""),"Admin Support Service Escalation Team")</f>
        <v>Admin Support Service Escalation Team</v>
      </c>
      <c r="L11652" s="1" t="str">
        <f>IFERROR(__xludf.DUMMYFUNCTION("""COMPUTED_VALUE"""),"Admin ASSET")</f>
        <v>Admin ASSET</v>
      </c>
    </row>
    <row r="11653">
      <c r="A11653" s="1" t="str">
        <f>IFERROR(__xludf.DUMMYFUNCTION("""COMPUTED_VALUE"""),"2026 Apr")</f>
        <v>2026 Apr</v>
      </c>
      <c r="B11653" s="4">
        <f>IFERROR(__xludf.DUMMYFUNCTION("""COMPUTED_VALUE"""),46125.0)</f>
        <v>46125</v>
      </c>
      <c r="C11653" s="1" t="str">
        <f>IFERROR(__xludf.DUMMYFUNCTION("""COMPUTED_VALUE"""),"Core Product Support")</f>
        <v>Core Product Support</v>
      </c>
      <c r="D11653" s="1" t="str">
        <f>IFERROR(__xludf.DUMMYFUNCTION("""COMPUTED_VALUE"""),"4829712e-df33-4828-83e5-b005d53d0ece")</f>
        <v>4829712e-df33-4828-83e5-b005d53d0ece</v>
      </c>
      <c r="E11653" s="1">
        <f>IFERROR(__xludf.DUMMYFUNCTION("""COMPUTED_VALUE"""),3.61861297795E11)</f>
        <v>361861297795</v>
      </c>
      <c r="F11653" s="1"/>
      <c r="G11653" s="1">
        <f>IFERROR(__xludf.DUMMYFUNCTION("""COMPUTED_VALUE"""),1.25)</f>
        <v>1.25</v>
      </c>
      <c r="H11653" s="2">
        <f>IFERROR(__xludf.DUMMYFUNCTION("""COMPUTED_VALUE"""),1.25)</f>
        <v>1.25</v>
      </c>
      <c r="I11653" s="5">
        <f>IFERROR(__xludf.DUMMYFUNCTION("""COMPUTED_VALUE"""),1.0)</f>
        <v>1</v>
      </c>
      <c r="J11653" s="1" t="str">
        <f>IFERROR(__xludf.DUMMYFUNCTION("""COMPUTED_VALUE"""),"Jahmie Mae Barrameda")</f>
        <v>Jahmie Mae Barrameda</v>
      </c>
      <c r="K11653" s="1" t="str">
        <f>IFERROR(__xludf.DUMMYFUNCTION("""COMPUTED_VALUE"""),"Advanced Billing &amp; Subscriptions")</f>
        <v>Advanced Billing &amp; Subscriptions</v>
      </c>
      <c r="L11653" s="1" t="str">
        <f>IFERROR(__xludf.DUMMYFUNCTION("""COMPUTED_VALUE"""),"CPS Advanced Billing and Subscriptions (ABS)")</f>
        <v>CPS Advanced Billing and Subscriptions (ABS)</v>
      </c>
    </row>
    <row r="11654">
      <c r="A11654" s="1" t="str">
        <f>IFERROR(__xludf.DUMMYFUNCTION("""COMPUTED_VALUE"""),"2026 Apr")</f>
        <v>2026 Apr</v>
      </c>
      <c r="B11654" s="4">
        <f>IFERROR(__xludf.DUMMYFUNCTION("""COMPUTED_VALUE"""),46125.0)</f>
        <v>46125</v>
      </c>
      <c r="C11654" s="1" t="str">
        <f>IFERROR(__xludf.DUMMYFUNCTION("""COMPUTED_VALUE"""),"Print Support")</f>
        <v>Print Support</v>
      </c>
      <c r="D11654" s="1" t="str">
        <f>IFERROR(__xludf.DUMMYFUNCTION("""COMPUTED_VALUE"""),"4bb09346-5fba-40f0-ac06-0b644e9a6f20")</f>
        <v>4bb09346-5fba-40f0-ac06-0b644e9a6f20</v>
      </c>
      <c r="E11654" s="1"/>
      <c r="F11654" s="1"/>
      <c r="G11654" s="1"/>
      <c r="H11654" s="2">
        <f>IFERROR(__xludf.DUMMYFUNCTION("""COMPUTED_VALUE"""),0.0)</f>
        <v>0</v>
      </c>
      <c r="I11654" s="5"/>
      <c r="J11654" s="1" t="str">
        <f>IFERROR(__xludf.DUMMYFUNCTION("""COMPUTED_VALUE"""),"G-Anne Murillo")</f>
        <v>G-Anne Murillo</v>
      </c>
      <c r="K11654" s="1" t="str">
        <f>IFERROR(__xludf.DUMMYFUNCTION("""COMPUTED_VALUE"""),"Print Design Support")</f>
        <v>Print Design Support</v>
      </c>
      <c r="L11654" s="1" t="str">
        <f>IFERROR(__xludf.DUMMYFUNCTION("""COMPUTED_VALUE"""),"Print Print Design")</f>
        <v>Print Print Design</v>
      </c>
    </row>
    <row r="11655">
      <c r="A11655" s="1" t="str">
        <f>IFERROR(__xludf.DUMMYFUNCTION("""COMPUTED_VALUE"""),"2026 Apr")</f>
        <v>2026 Apr</v>
      </c>
      <c r="B11655" s="4">
        <f>IFERROR(__xludf.DUMMYFUNCTION("""COMPUTED_VALUE"""),46125.0)</f>
        <v>46125</v>
      </c>
      <c r="C11655" s="1" t="str">
        <f>IFERROR(__xludf.DUMMYFUNCTION("""COMPUTED_VALUE"""),"Core Product Support")</f>
        <v>Core Product Support</v>
      </c>
      <c r="D11655" s="1" t="str">
        <f>IFERROR(__xludf.DUMMYFUNCTION("""COMPUTED_VALUE"""),"1eb2b14b-89e0-4d0c-8dba-b1677f4e689a")</f>
        <v>1eb2b14b-89e0-4d0c-8dba-b1677f4e689a</v>
      </c>
      <c r="E11655" s="1">
        <f>IFERROR(__xludf.DUMMYFUNCTION("""COMPUTED_VALUE"""),1.0548589296399E13)</f>
        <v>10548589296399</v>
      </c>
      <c r="F11655" s="1"/>
      <c r="G11655" s="1">
        <f>IFERROR(__xludf.DUMMYFUNCTION("""COMPUTED_VALUE"""),1.25)</f>
        <v>1.25</v>
      </c>
      <c r="H11655" s="2">
        <f>IFERROR(__xludf.DUMMYFUNCTION("""COMPUTED_VALUE"""),1.25)</f>
        <v>1.25</v>
      </c>
      <c r="I11655" s="5">
        <f>IFERROR(__xludf.DUMMYFUNCTION("""COMPUTED_VALUE"""),1.0)</f>
        <v>1</v>
      </c>
      <c r="J11655" s="1" t="str">
        <f>IFERROR(__xludf.DUMMYFUNCTION("""COMPUTED_VALUE"""),"Jahmie Mae Barrameda")</f>
        <v>Jahmie Mae Barrameda</v>
      </c>
      <c r="K11655" s="1" t="str">
        <f>IFERROR(__xludf.DUMMYFUNCTION("""COMPUTED_VALUE"""),"Advanced Billing &amp; Subscriptions")</f>
        <v>Advanced Billing &amp; Subscriptions</v>
      </c>
      <c r="L11655" s="1" t="str">
        <f>IFERROR(__xludf.DUMMYFUNCTION("""COMPUTED_VALUE"""),"CPS Advanced Billing and Subscriptions (ABS)")</f>
        <v>CPS Advanced Billing and Subscriptions (ABS)</v>
      </c>
    </row>
    <row r="11656">
      <c r="A11656" s="1" t="str">
        <f>IFERROR(__xludf.DUMMYFUNCTION("""COMPUTED_VALUE"""),"2026 Apr")</f>
        <v>2026 Apr</v>
      </c>
      <c r="B11656" s="4">
        <f>IFERROR(__xludf.DUMMYFUNCTION("""COMPUTED_VALUE"""),46125.0)</f>
        <v>46125</v>
      </c>
      <c r="C11656" s="1" t="str">
        <f>IFERROR(__xludf.DUMMYFUNCTION("""COMPUTED_VALUE"""),"Segment-specific Support")</f>
        <v>Segment-specific Support</v>
      </c>
      <c r="D11656" s="1" t="str">
        <f>IFERROR(__xludf.DUMMYFUNCTION("""COMPUTED_VALUE"""),"dc7b19dd-5e76-4150-a120-c97f83b2d671")</f>
        <v>dc7b19dd-5e76-4150-a120-c97f83b2d671</v>
      </c>
      <c r="E11656" s="1"/>
      <c r="F11656" s="1"/>
      <c r="G11656" s="1"/>
      <c r="H11656" s="2">
        <f>IFERROR(__xludf.DUMMYFUNCTION("""COMPUTED_VALUE"""),0.0)</f>
        <v>0</v>
      </c>
      <c r="I11656" s="5"/>
      <c r="J11656" s="1" t="str">
        <f>IFERROR(__xludf.DUMMYFUNCTION("""COMPUTED_VALUE"""),"Leigh Davison")</f>
        <v>Leigh Davison</v>
      </c>
      <c r="K11656" s="1" t="str">
        <f>IFERROR(__xludf.DUMMYFUNCTION("""COMPUTED_VALUE"""),"#N/A")</f>
        <v>#N/A</v>
      </c>
      <c r="L11656" s="1"/>
    </row>
    <row r="11657">
      <c r="A11657" s="1" t="str">
        <f>IFERROR(__xludf.DUMMYFUNCTION("""COMPUTED_VALUE"""),"2026 Apr")</f>
        <v>2026 Apr</v>
      </c>
      <c r="B11657" s="4">
        <f>IFERROR(__xludf.DUMMYFUNCTION("""COMPUTED_VALUE"""),46125.0)</f>
        <v>46125</v>
      </c>
      <c r="C11657" s="1" t="str">
        <f>IFERROR(__xludf.DUMMYFUNCTION("""COMPUTED_VALUE"""),"Admin Support")</f>
        <v>Admin Support</v>
      </c>
      <c r="D11657" s="1" t="str">
        <f>IFERROR(__xludf.DUMMYFUNCTION("""COMPUTED_VALUE"""),"7b0ced0a-55fc-49e4-b47c-ffbf2567dce1")</f>
        <v>7b0ced0a-55fc-49e4-b47c-ffbf2567dce1</v>
      </c>
      <c r="E11657" s="1">
        <f>IFERROR(__xludf.DUMMYFUNCTION("""COMPUTED_VALUE"""),3.61725486916E11)</f>
        <v>361725486916</v>
      </c>
      <c r="F11657" s="1"/>
      <c r="G11657" s="1">
        <f>IFERROR(__xludf.DUMMYFUNCTION("""COMPUTED_VALUE"""),0.25)</f>
        <v>0.25</v>
      </c>
      <c r="H11657" s="2">
        <f>IFERROR(__xludf.DUMMYFUNCTION("""COMPUTED_VALUE"""),0.25)</f>
        <v>0.25</v>
      </c>
      <c r="I11657" s="5">
        <f>IFERROR(__xludf.DUMMYFUNCTION("""COMPUTED_VALUE"""),1.0)</f>
        <v>1</v>
      </c>
      <c r="J11657" s="1" t="str">
        <f>IFERROR(__xludf.DUMMYFUNCTION("""COMPUTED_VALUE"""),"AL Suarez")</f>
        <v>AL Suarez</v>
      </c>
      <c r="K11657" s="1" t="str">
        <f>IFERROR(__xludf.DUMMYFUNCTION("""COMPUTED_VALUE"""),"Admin Direct Support")</f>
        <v>Admin Direct Support</v>
      </c>
      <c r="L11657" s="1" t="str">
        <f>IFERROR(__xludf.DUMMYFUNCTION("""COMPUTED_VALUE"""),"Admin Direct Support")</f>
        <v>Admin Direct Support</v>
      </c>
    </row>
    <row r="11658">
      <c r="A11658" s="1" t="str">
        <f>IFERROR(__xludf.DUMMYFUNCTION("""COMPUTED_VALUE"""),"2026 Apr")</f>
        <v>2026 Apr</v>
      </c>
      <c r="B11658" s="4">
        <f>IFERROR(__xludf.DUMMYFUNCTION("""COMPUTED_VALUE"""),46125.0)</f>
        <v>46125</v>
      </c>
      <c r="C11658" s="1" t="str">
        <f>IFERROR(__xludf.DUMMYFUNCTION("""COMPUTED_VALUE"""),"Core Product Support")</f>
        <v>Core Product Support</v>
      </c>
      <c r="D11658" s="1" t="str">
        <f>IFERROR(__xludf.DUMMYFUNCTION("""COMPUTED_VALUE"""),"3d997536-cb7f-49c5-af3e-e19fdf30bffc")</f>
        <v>3d997536-cb7f-49c5-af3e-e19fdf30bffc</v>
      </c>
      <c r="E11658" s="1">
        <f>IFERROR(__xludf.DUMMYFUNCTION("""COMPUTED_VALUE"""),5.047288728079E12)</f>
        <v>5047288728079</v>
      </c>
      <c r="F11658" s="1"/>
      <c r="G11658" s="1">
        <f>IFERROR(__xludf.DUMMYFUNCTION("""COMPUTED_VALUE"""),2.5)</f>
        <v>2.5</v>
      </c>
      <c r="H11658" s="2">
        <f>IFERROR(__xludf.DUMMYFUNCTION("""COMPUTED_VALUE"""),2.5)</f>
        <v>2.5</v>
      </c>
      <c r="I11658" s="5">
        <f>IFERROR(__xludf.DUMMYFUNCTION("""COMPUTED_VALUE"""),1.0)</f>
        <v>1</v>
      </c>
      <c r="J11658" s="1" t="str">
        <f>IFERROR(__xludf.DUMMYFUNCTION("""COMPUTED_VALUE"""),"Ellaine Estayo")</f>
        <v>Ellaine Estayo</v>
      </c>
      <c r="K11658" s="1" t="str">
        <f>IFERROR(__xludf.DUMMYFUNCTION("""COMPUTED_VALUE"""),"Core Product Support Escalation Team")</f>
        <v>Core Product Support Escalation Team</v>
      </c>
      <c r="L11658"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659">
      <c r="A11659" s="1" t="str">
        <f>IFERROR(__xludf.DUMMYFUNCTION("""COMPUTED_VALUE"""),"2026 Apr")</f>
        <v>2026 Apr</v>
      </c>
      <c r="B11659" s="4">
        <f>IFERROR(__xludf.DUMMYFUNCTION("""COMPUTED_VALUE"""),46125.0)</f>
        <v>46125</v>
      </c>
      <c r="C11659" s="1" t="str">
        <f>IFERROR(__xludf.DUMMYFUNCTION("""COMPUTED_VALUE"""),"Admin Support")</f>
        <v>Admin Support</v>
      </c>
      <c r="D11659" s="1" t="str">
        <f>IFERROR(__xludf.DUMMYFUNCTION("""COMPUTED_VALUE"""),"c7dd845d-4621-4bea-affd-b79e038f7157")</f>
        <v>c7dd845d-4621-4bea-affd-b79e038f7157</v>
      </c>
      <c r="E11659" s="1">
        <f>IFERROR(__xludf.DUMMYFUNCTION("""COMPUTED_VALUE"""),3.61733077235E11)</f>
        <v>361733077235</v>
      </c>
      <c r="F11659" s="1"/>
      <c r="G11659" s="1">
        <f>IFERROR(__xludf.DUMMYFUNCTION("""COMPUTED_VALUE"""),0.25)</f>
        <v>0.25</v>
      </c>
      <c r="H11659" s="2">
        <f>IFERROR(__xludf.DUMMYFUNCTION("""COMPUTED_VALUE"""),0.25)</f>
        <v>0.25</v>
      </c>
      <c r="I11659" s="5">
        <f>IFERROR(__xludf.DUMMYFUNCTION("""COMPUTED_VALUE"""),1.0)</f>
        <v>1</v>
      </c>
      <c r="J11659" s="1" t="str">
        <f>IFERROR(__xludf.DUMMYFUNCTION("""COMPUTED_VALUE"""),"Kelden Laguting")</f>
        <v>Kelden Laguting</v>
      </c>
      <c r="K11659" s="1" t="str">
        <f>IFERROR(__xludf.DUMMYFUNCTION("""COMPUTED_VALUE"""),"Admin Omni Support")</f>
        <v>Admin Omni Support</v>
      </c>
      <c r="L11659" s="1" t="str">
        <f>IFERROR(__xludf.DUMMYFUNCTION("""COMPUTED_VALUE"""),"Admin Omni Support")</f>
        <v>Admin Omni Support</v>
      </c>
    </row>
    <row r="11660">
      <c r="A11660" s="1" t="str">
        <f>IFERROR(__xludf.DUMMYFUNCTION("""COMPUTED_VALUE"""),"2026 Apr")</f>
        <v>2026 Apr</v>
      </c>
      <c r="B11660" s="4">
        <f>IFERROR(__xludf.DUMMYFUNCTION("""COMPUTED_VALUE"""),46125.0)</f>
        <v>46125</v>
      </c>
      <c r="C11660" s="1" t="str">
        <f>IFERROR(__xludf.DUMMYFUNCTION("""COMPUTED_VALUE"""),"Print Support")</f>
        <v>Print Support</v>
      </c>
      <c r="D11660" s="1" t="str">
        <f>IFERROR(__xludf.DUMMYFUNCTION("""COMPUTED_VALUE"""),"2f47c76e-714d-4a76-a0f8-309c2f542347")</f>
        <v>2f47c76e-714d-4a76-a0f8-309c2f542347</v>
      </c>
      <c r="E11660" s="1">
        <f>IFERROR(__xludf.DUMMYFUNCTION("""COMPUTED_VALUE"""),9.795981813775E12)</f>
        <v>9795981813775</v>
      </c>
      <c r="F11660" s="1"/>
      <c r="G11660" s="1"/>
      <c r="H11660" s="2">
        <f>IFERROR(__xludf.DUMMYFUNCTION("""COMPUTED_VALUE"""),0.0)</f>
        <v>0</v>
      </c>
      <c r="I11660" s="5"/>
      <c r="J11660" s="1" t="str">
        <f>IFERROR(__xludf.DUMMYFUNCTION("""COMPUTED_VALUE"""),"Louise Dianne Estrella")</f>
        <v>Louise Dianne Estrella</v>
      </c>
      <c r="K11660" s="1" t="str">
        <f>IFERROR(__xludf.DUMMYFUNCTION("""COMPUTED_VALUE"""),"Print Support PH")</f>
        <v>Print Support PH</v>
      </c>
      <c r="L11660" s="1" t="str">
        <f>IFERROR(__xludf.DUMMYFUNCTION("""COMPUTED_VALUE"""),"Print Print - CHT")</f>
        <v>Print Print - CHT</v>
      </c>
    </row>
    <row r="11661">
      <c r="A11661" s="1" t="str">
        <f>IFERROR(__xludf.DUMMYFUNCTION("""COMPUTED_VALUE"""),"2026 Apr")</f>
        <v>2026 Apr</v>
      </c>
      <c r="B11661" s="4">
        <f>IFERROR(__xludf.DUMMYFUNCTION("""COMPUTED_VALUE"""),46125.0)</f>
        <v>46125</v>
      </c>
      <c r="C11661" s="1" t="str">
        <f>IFERROR(__xludf.DUMMYFUNCTION("""COMPUTED_VALUE"""),"Admin Support")</f>
        <v>Admin Support</v>
      </c>
      <c r="D11661" s="1" t="str">
        <f>IFERROR(__xludf.DUMMYFUNCTION("""COMPUTED_VALUE"""),"7e09e164-9198-4707-9738-44a04cc51b7c")</f>
        <v>7e09e164-9198-4707-9738-44a04cc51b7c</v>
      </c>
      <c r="E11661" s="1">
        <f>IFERROR(__xludf.DUMMYFUNCTION("""COMPUTED_VALUE"""),3.61724965056E11)</f>
        <v>361724965056</v>
      </c>
      <c r="F11661" s="1"/>
      <c r="G11661" s="1">
        <f>IFERROR(__xludf.DUMMYFUNCTION("""COMPUTED_VALUE"""),0.25)</f>
        <v>0.25</v>
      </c>
      <c r="H11661" s="2">
        <f>IFERROR(__xludf.DUMMYFUNCTION("""COMPUTED_VALUE"""),0.25)</f>
        <v>0.25</v>
      </c>
      <c r="I11661" s="5">
        <f>IFERROR(__xludf.DUMMYFUNCTION("""COMPUTED_VALUE"""),1.0)</f>
        <v>1</v>
      </c>
      <c r="J11661" s="1" t="str">
        <f>IFERROR(__xludf.DUMMYFUNCTION("""COMPUTED_VALUE"""),"Kelden Laguting")</f>
        <v>Kelden Laguting</v>
      </c>
      <c r="K11661" s="1" t="str">
        <f>IFERROR(__xludf.DUMMYFUNCTION("""COMPUTED_VALUE"""),"Admin Omni Support")</f>
        <v>Admin Omni Support</v>
      </c>
      <c r="L11661" s="1" t="str">
        <f>IFERROR(__xludf.DUMMYFUNCTION("""COMPUTED_VALUE"""),"Admin Omni Support")</f>
        <v>Admin Omni Support</v>
      </c>
    </row>
    <row r="11662">
      <c r="A11662" s="1" t="str">
        <f>IFERROR(__xludf.DUMMYFUNCTION("""COMPUTED_VALUE"""),"2026 Apr")</f>
        <v>2026 Apr</v>
      </c>
      <c r="B11662" s="4">
        <f>IFERROR(__xludf.DUMMYFUNCTION("""COMPUTED_VALUE"""),46125.0)</f>
        <v>46125</v>
      </c>
      <c r="C11662" s="1" t="str">
        <f>IFERROR(__xludf.DUMMYFUNCTION("""COMPUTED_VALUE"""),"Core Product Support")</f>
        <v>Core Product Support</v>
      </c>
      <c r="D11662" s="1" t="str">
        <f>IFERROR(__xludf.DUMMYFUNCTION("""COMPUTED_VALUE"""),"a75c3ed6-de83-40cb-ad3d-ac0eaa323ceb")</f>
        <v>a75c3ed6-de83-40cb-ad3d-ac0eaa323ceb</v>
      </c>
      <c r="E11662" s="1">
        <f>IFERROR(__xludf.DUMMYFUNCTION("""COMPUTED_VALUE"""),7.631065796495E12)</f>
        <v>7631065796495</v>
      </c>
      <c r="F11662" s="1"/>
      <c r="G11662" s="1">
        <f>IFERROR(__xludf.DUMMYFUNCTION("""COMPUTED_VALUE"""),0.75)</f>
        <v>0.75</v>
      </c>
      <c r="H11662" s="2">
        <f>IFERROR(__xludf.DUMMYFUNCTION("""COMPUTED_VALUE"""),0.75)</f>
        <v>0.75</v>
      </c>
      <c r="I11662" s="5">
        <f>IFERROR(__xludf.DUMMYFUNCTION("""COMPUTED_VALUE"""),1.0)</f>
        <v>1</v>
      </c>
      <c r="J11662" s="1" t="str">
        <f>IFERROR(__xludf.DUMMYFUNCTION("""COMPUTED_VALUE"""),"Cherry Macam")</f>
        <v>Cherry Macam</v>
      </c>
      <c r="K11662" s="1" t="str">
        <f>IFERROR(__xludf.DUMMYFUNCTION("""COMPUTED_VALUE"""),"Advanced Billing &amp; Subscriptions")</f>
        <v>Advanced Billing &amp; Subscriptions</v>
      </c>
      <c r="L11662" s="1" t="str">
        <f>IFERROR(__xludf.DUMMYFUNCTION("""COMPUTED_VALUE"""),"CPS Advanced Billing and Subscriptions (ABS)")</f>
        <v>CPS Advanced Billing and Subscriptions (ABS)</v>
      </c>
    </row>
    <row r="11663">
      <c r="A11663" s="1" t="str">
        <f>IFERROR(__xludf.DUMMYFUNCTION("""COMPUTED_VALUE"""),"2026 Apr")</f>
        <v>2026 Apr</v>
      </c>
      <c r="B11663" s="4">
        <f>IFERROR(__xludf.DUMMYFUNCTION("""COMPUTED_VALUE"""),46125.0)</f>
        <v>46125</v>
      </c>
      <c r="C11663" s="1" t="str">
        <f>IFERROR(__xludf.DUMMYFUNCTION("""COMPUTED_VALUE"""),"Print Support")</f>
        <v>Print Support</v>
      </c>
      <c r="D11663" s="1" t="str">
        <f>IFERROR(__xludf.DUMMYFUNCTION("""COMPUTED_VALUE"""),"5edc36fa-9df2-47e0-bbda-2c0b5a323efc")</f>
        <v>5edc36fa-9df2-47e0-bbda-2c0b5a323efc</v>
      </c>
      <c r="E11663" s="1"/>
      <c r="F11663" s="1"/>
      <c r="G11663" s="1"/>
      <c r="H11663" s="2">
        <f>IFERROR(__xludf.DUMMYFUNCTION("""COMPUTED_VALUE"""),0.0)</f>
        <v>0</v>
      </c>
      <c r="I11663" s="5"/>
      <c r="J11663" s="1" t="str">
        <f>IFERROR(__xludf.DUMMYFUNCTION("""COMPUTED_VALUE"""),"Gem Agoncillo")</f>
        <v>Gem Agoncillo</v>
      </c>
      <c r="K11663" s="1" t="str">
        <f>IFERROR(__xludf.DUMMYFUNCTION("""COMPUTED_VALUE"""),"Print Design Support")</f>
        <v>Print Design Support</v>
      </c>
      <c r="L11663" s="1" t="str">
        <f>IFERROR(__xludf.DUMMYFUNCTION("""COMPUTED_VALUE"""),"Print Print Design")</f>
        <v>Print Print Design</v>
      </c>
    </row>
    <row r="11664">
      <c r="A11664" s="1" t="str">
        <f>IFERROR(__xludf.DUMMYFUNCTION("""COMPUTED_VALUE"""),"2026 Apr")</f>
        <v>2026 Apr</v>
      </c>
      <c r="B11664" s="4">
        <f>IFERROR(__xludf.DUMMYFUNCTION("""COMPUTED_VALUE"""),46125.0)</f>
        <v>46125</v>
      </c>
      <c r="C11664" s="1" t="str">
        <f>IFERROR(__xludf.DUMMYFUNCTION("""COMPUTED_VALUE"""),"High Sensitivity Support")</f>
        <v>High Sensitivity Support</v>
      </c>
      <c r="D11664" s="1" t="str">
        <f>IFERROR(__xludf.DUMMYFUNCTION("""COMPUTED_VALUE"""),"19c32062-e149-4a3e-82ea-708be4d86c06")</f>
        <v>19c32062-e149-4a3e-82ea-708be4d86c06</v>
      </c>
      <c r="E11664" s="1">
        <f>IFERROR(__xludf.DUMMYFUNCTION("""COMPUTED_VALUE"""),8.904494969999E12)</f>
        <v>8904494969999</v>
      </c>
      <c r="F11664" s="1"/>
      <c r="G11664" s="1"/>
      <c r="H11664" s="2">
        <f>IFERROR(__xludf.DUMMYFUNCTION("""COMPUTED_VALUE"""),0.0)</f>
        <v>0</v>
      </c>
      <c r="I11664" s="5"/>
      <c r="J11664" s="1" t="str">
        <f>IFERROR(__xludf.DUMMYFUNCTION("""COMPUTED_VALUE"""),"Issi Afable")</f>
        <v>Issi Afable</v>
      </c>
      <c r="K11664" s="1" t="str">
        <f>IFERROR(__xludf.DUMMYFUNCTION("""COMPUTED_VALUE"""),"High Sensitivity Support PH")</f>
        <v>High Sensitivity Support PH</v>
      </c>
      <c r="L11664" s="1" t="str">
        <f>IFERROR(__xludf.DUMMYFUNCTION("""COMPUTED_VALUE"""),"HSS High Sensitivity Support PH - SEE")</f>
        <v>HSS High Sensitivity Support PH - SEE</v>
      </c>
    </row>
    <row r="11665">
      <c r="A11665" s="1" t="str">
        <f>IFERROR(__xludf.DUMMYFUNCTION("""COMPUTED_VALUE"""),"2026 Apr")</f>
        <v>2026 Apr</v>
      </c>
      <c r="B11665" s="4">
        <f>IFERROR(__xludf.DUMMYFUNCTION("""COMPUTED_VALUE"""),46125.0)</f>
        <v>46125</v>
      </c>
      <c r="C11665" s="1" t="str">
        <f>IFERROR(__xludf.DUMMYFUNCTION("""COMPUTED_VALUE"""),"Print Support")</f>
        <v>Print Support</v>
      </c>
      <c r="D11665" s="1" t="str">
        <f>IFERROR(__xludf.DUMMYFUNCTION("""COMPUTED_VALUE"""),"5efa61d3-4fd2-4d01-a492-e08cab6832f9")</f>
        <v>5efa61d3-4fd2-4d01-a492-e08cab6832f9</v>
      </c>
      <c r="E11665" s="1">
        <f>IFERROR(__xludf.DUMMYFUNCTION("""COMPUTED_VALUE"""),5.902015961999E12)</f>
        <v>5902015961999</v>
      </c>
      <c r="F11665" s="1"/>
      <c r="G11665" s="1"/>
      <c r="H11665" s="2">
        <f>IFERROR(__xludf.DUMMYFUNCTION("""COMPUTED_VALUE"""),0.0)</f>
        <v>0</v>
      </c>
      <c r="I11665" s="5"/>
      <c r="J11665" s="1" t="str">
        <f>IFERROR(__xludf.DUMMYFUNCTION("""COMPUTED_VALUE"""),"Jen Momo")</f>
        <v>Jen Momo</v>
      </c>
      <c r="K11665" s="1" t="str">
        <f>IFERROR(__xludf.DUMMYFUNCTION("""COMPUTED_VALUE"""),"Print Support PH")</f>
        <v>Print Support PH</v>
      </c>
      <c r="L11665" s="1" t="str">
        <f>IFERROR(__xludf.DUMMYFUNCTION("""COMPUTED_VALUE"""),"Print Print - CHT")</f>
        <v>Print Print - CHT</v>
      </c>
    </row>
    <row r="11666">
      <c r="A11666" s="1" t="str">
        <f>IFERROR(__xludf.DUMMYFUNCTION("""COMPUTED_VALUE"""),"2026 Apr")</f>
        <v>2026 Apr</v>
      </c>
      <c r="B11666" s="4">
        <f>IFERROR(__xludf.DUMMYFUNCTION("""COMPUTED_VALUE"""),46125.0)</f>
        <v>46125</v>
      </c>
      <c r="C11666" s="1" t="str">
        <f>IFERROR(__xludf.DUMMYFUNCTION("""COMPUTED_VALUE"""),"Core Product Support")</f>
        <v>Core Product Support</v>
      </c>
      <c r="D11666" s="1" t="str">
        <f>IFERROR(__xludf.DUMMYFUNCTION("""COMPUTED_VALUE"""),"1ee13beb-f5ac-4c80-bcfb-9f0dc190fe68")</f>
        <v>1ee13beb-f5ac-4c80-bcfb-9f0dc190fe68</v>
      </c>
      <c r="E11666" s="1">
        <f>IFERROR(__xludf.DUMMYFUNCTION("""COMPUTED_VALUE"""),3.61725115656E11)</f>
        <v>361725115656</v>
      </c>
      <c r="F11666" s="1"/>
      <c r="G11666" s="1">
        <f>IFERROR(__xludf.DUMMYFUNCTION("""COMPUTED_VALUE"""),2.5)</f>
        <v>2.5</v>
      </c>
      <c r="H11666" s="2">
        <f>IFERROR(__xludf.DUMMYFUNCTION("""COMPUTED_VALUE"""),2.5)</f>
        <v>2.5</v>
      </c>
      <c r="I11666" s="5">
        <f>IFERROR(__xludf.DUMMYFUNCTION("""COMPUTED_VALUE"""),1.0)</f>
        <v>1</v>
      </c>
      <c r="J11666" s="1" t="str">
        <f>IFERROR(__xludf.DUMMYFUNCTION("""COMPUTED_VALUE"""),"Ellaine Estayo")</f>
        <v>Ellaine Estayo</v>
      </c>
      <c r="K11666" s="1" t="str">
        <f>IFERROR(__xludf.DUMMYFUNCTION("""COMPUTED_VALUE"""),"Core Product Support Escalation Team")</f>
        <v>Core Product Support Escalation Team</v>
      </c>
      <c r="L11666"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667">
      <c r="A11667" s="1" t="str">
        <f>IFERROR(__xludf.DUMMYFUNCTION("""COMPUTED_VALUE"""),"2026 Apr")</f>
        <v>2026 Apr</v>
      </c>
      <c r="B11667" s="4">
        <f>IFERROR(__xludf.DUMMYFUNCTION("""COMPUTED_VALUE"""),46125.0)</f>
        <v>46125</v>
      </c>
      <c r="C11667" s="1" t="str">
        <f>IFERROR(__xludf.DUMMYFUNCTION("""COMPUTED_VALUE"""),"Core Product Support")</f>
        <v>Core Product Support</v>
      </c>
      <c r="D11667" s="1" t="str">
        <f>IFERROR(__xludf.DUMMYFUNCTION("""COMPUTED_VALUE"""),"d625e596-8198-45f9-94ea-d04d6f6a8b27")</f>
        <v>d625e596-8198-45f9-94ea-d04d6f6a8b27</v>
      </c>
      <c r="E11667" s="1">
        <f>IFERROR(__xludf.DUMMYFUNCTION("""COMPUTED_VALUE"""),1.0333049701519E13)</f>
        <v>10333049701519</v>
      </c>
      <c r="F11667" s="1"/>
      <c r="G11667" s="1">
        <f>IFERROR(__xludf.DUMMYFUNCTION("""COMPUTED_VALUE"""),1.25)</f>
        <v>1.25</v>
      </c>
      <c r="H11667" s="2">
        <f>IFERROR(__xludf.DUMMYFUNCTION("""COMPUTED_VALUE"""),1.25)</f>
        <v>1.25</v>
      </c>
      <c r="I11667" s="5">
        <f>IFERROR(__xludf.DUMMYFUNCTION("""COMPUTED_VALUE"""),1.0)</f>
        <v>1</v>
      </c>
      <c r="J11667" s="1" t="str">
        <f>IFERROR(__xludf.DUMMYFUNCTION("""COMPUTED_VALUE"""),"Vinz Lazaro")</f>
        <v>Vinz Lazaro</v>
      </c>
      <c r="K11667" s="1" t="str">
        <f>IFERROR(__xludf.DUMMYFUNCTION("""COMPUTED_VALUE"""),"Advanced Product Support")</f>
        <v>Advanced Product Support</v>
      </c>
      <c r="L11667" s="1" t="str">
        <f>IFERROR(__xludf.DUMMYFUNCTION("""COMPUTED_VALUE"""),"CPS Advanced Product Support (APS)")</f>
        <v>CPS Advanced Product Support (APS)</v>
      </c>
    </row>
    <row r="11668">
      <c r="A11668" s="1" t="str">
        <f>IFERROR(__xludf.DUMMYFUNCTION("""COMPUTED_VALUE"""),"2026 Apr")</f>
        <v>2026 Apr</v>
      </c>
      <c r="B11668" s="4">
        <f>IFERROR(__xludf.DUMMYFUNCTION("""COMPUTED_VALUE"""),46125.0)</f>
        <v>46125</v>
      </c>
      <c r="C11668" s="1" t="str">
        <f>IFERROR(__xludf.DUMMYFUNCTION("""COMPUTED_VALUE"""),"Segment-specific Support")</f>
        <v>Segment-specific Support</v>
      </c>
      <c r="D11668" s="1" t="str">
        <f>IFERROR(__xludf.DUMMYFUNCTION("""COMPUTED_VALUE"""),"c9fa58e5-ccb3-4c72-a2e7-5a6fc2210b69")</f>
        <v>c9fa58e5-ccb3-4c72-a2e7-5a6fc2210b69</v>
      </c>
      <c r="E11668" s="1">
        <f>IFERROR(__xludf.DUMMYFUNCTION("""COMPUTED_VALUE"""),1.1401981299343E13)</f>
        <v>11401981299343</v>
      </c>
      <c r="F11668" s="1"/>
      <c r="G11668" s="1"/>
      <c r="H11668" s="2">
        <f>IFERROR(__xludf.DUMMYFUNCTION("""COMPUTED_VALUE"""),0.0)</f>
        <v>0</v>
      </c>
      <c r="I11668" s="5"/>
      <c r="J11668" s="1" t="str">
        <f>IFERROR(__xludf.DUMMYFUNCTION("""COMPUTED_VALUE"""),"Aileen Dayanghirang")</f>
        <v>Aileen Dayanghirang</v>
      </c>
      <c r="K11668" s="1" t="str">
        <f>IFERROR(__xludf.DUMMYFUNCTION("""COMPUTED_VALUE"""),"Creators Support")</f>
        <v>Creators Support</v>
      </c>
      <c r="L11668" s="1" t="str">
        <f>IFERROR(__xludf.DUMMYFUNCTION("""COMPUTED_VALUE"""),"SSS Creators")</f>
        <v>SSS Creators</v>
      </c>
    </row>
    <row r="11669">
      <c r="A11669" s="1" t="str">
        <f>IFERROR(__xludf.DUMMYFUNCTION("""COMPUTED_VALUE"""),"2026 Apr")</f>
        <v>2026 Apr</v>
      </c>
      <c r="B11669" s="4">
        <f>IFERROR(__xludf.DUMMYFUNCTION("""COMPUTED_VALUE"""),46125.0)</f>
        <v>46125</v>
      </c>
      <c r="C11669" s="1" t="str">
        <f>IFERROR(__xludf.DUMMYFUNCTION("""COMPUTED_VALUE"""),"Admin Support")</f>
        <v>Admin Support</v>
      </c>
      <c r="D11669" s="1" t="str">
        <f>IFERROR(__xludf.DUMMYFUNCTION("""COMPUTED_VALUE"""),"6695b35c-7a53-4eb2-bcfc-9808f8e07dd8")</f>
        <v>6695b35c-7a53-4eb2-bcfc-9808f8e07dd8</v>
      </c>
      <c r="E11669" s="1">
        <f>IFERROR(__xludf.DUMMYFUNCTION("""COMPUTED_VALUE"""),3.61732164295E11)</f>
        <v>361732164295</v>
      </c>
      <c r="F11669" s="1"/>
      <c r="G11669" s="1"/>
      <c r="H11669" s="2">
        <f>IFERROR(__xludf.DUMMYFUNCTION("""COMPUTED_VALUE"""),0.0)</f>
        <v>0</v>
      </c>
      <c r="I11669" s="5"/>
      <c r="J11669" s="1" t="str">
        <f>IFERROR(__xludf.DUMMYFUNCTION("""COMPUTED_VALUE"""),"Kelden Laguting")</f>
        <v>Kelden Laguting</v>
      </c>
      <c r="K11669" s="1" t="str">
        <f>IFERROR(__xludf.DUMMYFUNCTION("""COMPUTED_VALUE"""),"Admin Omni Support")</f>
        <v>Admin Omni Support</v>
      </c>
      <c r="L11669" s="1" t="str">
        <f>IFERROR(__xludf.DUMMYFUNCTION("""COMPUTED_VALUE"""),"Admin Omni Support")</f>
        <v>Admin Omni Support</v>
      </c>
    </row>
    <row r="11670">
      <c r="A11670" s="1" t="str">
        <f>IFERROR(__xludf.DUMMYFUNCTION("""COMPUTED_VALUE"""),"2026 Apr")</f>
        <v>2026 Apr</v>
      </c>
      <c r="B11670" s="4">
        <f>IFERROR(__xludf.DUMMYFUNCTION("""COMPUTED_VALUE"""),46125.0)</f>
        <v>46125</v>
      </c>
      <c r="C11670" s="1" t="str">
        <f>IFERROR(__xludf.DUMMYFUNCTION("""COMPUTED_VALUE"""),"Core Product Support")</f>
        <v>Core Product Support</v>
      </c>
      <c r="D11670" s="1" t="str">
        <f>IFERROR(__xludf.DUMMYFUNCTION("""COMPUTED_VALUE"""),"a460fd1a-1ef6-4034-a4ca-14a4c4765f42")</f>
        <v>a460fd1a-1ef6-4034-a4ca-14a4c4765f42</v>
      </c>
      <c r="E11670" s="1">
        <f>IFERROR(__xludf.DUMMYFUNCTION("""COMPUTED_VALUE"""),9.107766464399E12)</f>
        <v>9107766464399</v>
      </c>
      <c r="F11670" s="1"/>
      <c r="G11670" s="1">
        <f>IFERROR(__xludf.DUMMYFUNCTION("""COMPUTED_VALUE"""),1.25)</f>
        <v>1.25</v>
      </c>
      <c r="H11670" s="2">
        <f>IFERROR(__xludf.DUMMYFUNCTION("""COMPUTED_VALUE"""),1.25)</f>
        <v>1.25</v>
      </c>
      <c r="I11670" s="5">
        <f>IFERROR(__xludf.DUMMYFUNCTION("""COMPUTED_VALUE"""),1.0)</f>
        <v>1</v>
      </c>
      <c r="J11670" s="1" t="str">
        <f>IFERROR(__xludf.DUMMYFUNCTION("""COMPUTED_VALUE"""),"Ana Lazaro")</f>
        <v>Ana Lazaro</v>
      </c>
      <c r="K11670" s="1" t="str">
        <f>IFERROR(__xludf.DUMMYFUNCTION("""COMPUTED_VALUE"""),"Advanced Billing &amp; Subscriptions")</f>
        <v>Advanced Billing &amp; Subscriptions</v>
      </c>
      <c r="L11670" s="1" t="str">
        <f>IFERROR(__xludf.DUMMYFUNCTION("""COMPUTED_VALUE"""),"CPS Advanced Billing and Subscriptions (ABS)")</f>
        <v>CPS Advanced Billing and Subscriptions (ABS)</v>
      </c>
    </row>
    <row r="11671">
      <c r="A11671" s="1" t="str">
        <f>IFERROR(__xludf.DUMMYFUNCTION("""COMPUTED_VALUE"""),"2026 Apr")</f>
        <v>2026 Apr</v>
      </c>
      <c r="B11671" s="4">
        <f>IFERROR(__xludf.DUMMYFUNCTION("""COMPUTED_VALUE"""),46125.0)</f>
        <v>46125</v>
      </c>
      <c r="C11671" s="1" t="str">
        <f>IFERROR(__xludf.DUMMYFUNCTION("""COMPUTED_VALUE"""),"Print Support")</f>
        <v>Print Support</v>
      </c>
      <c r="D11671" s="1" t="str">
        <f>IFERROR(__xludf.DUMMYFUNCTION("""COMPUTED_VALUE"""),"2ffdab50-ba8e-4ff1-a8d9-e609f47d6cbd")</f>
        <v>2ffdab50-ba8e-4ff1-a8d9-e609f47d6cbd</v>
      </c>
      <c r="E11671" s="1">
        <f>IFERROR(__xludf.DUMMYFUNCTION("""COMPUTED_VALUE"""),3.61731515115E11)</f>
        <v>361731515115</v>
      </c>
      <c r="F11671" s="1"/>
      <c r="G11671" s="1"/>
      <c r="H11671" s="2">
        <f>IFERROR(__xludf.DUMMYFUNCTION("""COMPUTED_VALUE"""),0.0)</f>
        <v>0</v>
      </c>
      <c r="I11671" s="5"/>
      <c r="J11671" s="1" t="str">
        <f>IFERROR(__xludf.DUMMYFUNCTION("""COMPUTED_VALUE"""),"Jen Momo")</f>
        <v>Jen Momo</v>
      </c>
      <c r="K11671" s="1" t="str">
        <f>IFERROR(__xludf.DUMMYFUNCTION("""COMPUTED_VALUE"""),"Print Support PH")</f>
        <v>Print Support PH</v>
      </c>
      <c r="L11671" s="1" t="str">
        <f>IFERROR(__xludf.DUMMYFUNCTION("""COMPUTED_VALUE"""),"Print Print - CHT")</f>
        <v>Print Print - CHT</v>
      </c>
    </row>
    <row r="11672">
      <c r="A11672" s="1" t="str">
        <f>IFERROR(__xludf.DUMMYFUNCTION("""COMPUTED_VALUE"""),"2026 Apr")</f>
        <v>2026 Apr</v>
      </c>
      <c r="B11672" s="4">
        <f>IFERROR(__xludf.DUMMYFUNCTION("""COMPUTED_VALUE"""),46125.0)</f>
        <v>46125</v>
      </c>
      <c r="C11672" s="1" t="str">
        <f>IFERROR(__xludf.DUMMYFUNCTION("""COMPUTED_VALUE"""),"Core Product Support")</f>
        <v>Core Product Support</v>
      </c>
      <c r="D11672" s="1" t="str">
        <f>IFERROR(__xludf.DUMMYFUNCTION("""COMPUTED_VALUE"""),"53c72618-3bf9-4bcf-adf4-39677fd20e1f")</f>
        <v>53c72618-3bf9-4bcf-adf4-39677fd20e1f</v>
      </c>
      <c r="E11672" s="1">
        <f>IFERROR(__xludf.DUMMYFUNCTION("""COMPUTED_VALUE"""),1.1035324543247E13)</f>
        <v>11035324543247</v>
      </c>
      <c r="F11672" s="1"/>
      <c r="G11672" s="1">
        <f>IFERROR(__xludf.DUMMYFUNCTION("""COMPUTED_VALUE"""),1.25)</f>
        <v>1.25</v>
      </c>
      <c r="H11672" s="2">
        <f>IFERROR(__xludf.DUMMYFUNCTION("""COMPUTED_VALUE"""),1.25)</f>
        <v>1.25</v>
      </c>
      <c r="I11672" s="5">
        <f>IFERROR(__xludf.DUMMYFUNCTION("""COMPUTED_VALUE"""),1.0)</f>
        <v>1</v>
      </c>
      <c r="J11672" s="1" t="str">
        <f>IFERROR(__xludf.DUMMYFUNCTION("""COMPUTED_VALUE"""),"Ayza Marie Pascual")</f>
        <v>Ayza Marie Pascual</v>
      </c>
      <c r="K11672" s="1" t="str">
        <f>IFERROR(__xludf.DUMMYFUNCTION("""COMPUTED_VALUE"""),"Advanced Billing &amp; Subscriptions")</f>
        <v>Advanced Billing &amp; Subscriptions</v>
      </c>
      <c r="L11672" s="1" t="str">
        <f>IFERROR(__xludf.DUMMYFUNCTION("""COMPUTED_VALUE"""),"CPS Advanced Billing and Subscriptions (ABS)")</f>
        <v>CPS Advanced Billing and Subscriptions (ABS)</v>
      </c>
    </row>
    <row r="11673">
      <c r="A11673" s="1" t="str">
        <f>IFERROR(__xludf.DUMMYFUNCTION("""COMPUTED_VALUE"""),"2026 Apr")</f>
        <v>2026 Apr</v>
      </c>
      <c r="B11673" s="4">
        <f>IFERROR(__xludf.DUMMYFUNCTION("""COMPUTED_VALUE"""),46125.0)</f>
        <v>46125</v>
      </c>
      <c r="C11673" s="1" t="str">
        <f>IFERROR(__xludf.DUMMYFUNCTION("""COMPUTED_VALUE"""),"Core Product Support")</f>
        <v>Core Product Support</v>
      </c>
      <c r="D11673" s="1" t="str">
        <f>IFERROR(__xludf.DUMMYFUNCTION("""COMPUTED_VALUE"""),"08e80e21-5eab-4b4f-bd2a-c3d833caa4fc")</f>
        <v>08e80e21-5eab-4b4f-bd2a-c3d833caa4fc</v>
      </c>
      <c r="E11673" s="1">
        <f>IFERROR(__xludf.DUMMYFUNCTION("""COMPUTED_VALUE"""),8.409877156495E12)</f>
        <v>8409877156495</v>
      </c>
      <c r="F11673" s="1"/>
      <c r="G11673" s="1">
        <f>IFERROR(__xludf.DUMMYFUNCTION("""COMPUTED_VALUE"""),1.25)</f>
        <v>1.25</v>
      </c>
      <c r="H11673" s="2">
        <f>IFERROR(__xludf.DUMMYFUNCTION("""COMPUTED_VALUE"""),1.25)</f>
        <v>1.25</v>
      </c>
      <c r="I11673" s="5">
        <f>IFERROR(__xludf.DUMMYFUNCTION("""COMPUTED_VALUE"""),1.0)</f>
        <v>1</v>
      </c>
      <c r="J11673" s="1" t="str">
        <f>IFERROR(__xludf.DUMMYFUNCTION("""COMPUTED_VALUE"""),"Jahmie Mae Barrameda")</f>
        <v>Jahmie Mae Barrameda</v>
      </c>
      <c r="K11673" s="1" t="str">
        <f>IFERROR(__xludf.DUMMYFUNCTION("""COMPUTED_VALUE"""),"Advanced Billing &amp; Subscriptions")</f>
        <v>Advanced Billing &amp; Subscriptions</v>
      </c>
      <c r="L11673" s="1" t="str">
        <f>IFERROR(__xludf.DUMMYFUNCTION("""COMPUTED_VALUE"""),"CPS Advanced Billing and Subscriptions (ABS)")</f>
        <v>CPS Advanced Billing and Subscriptions (ABS)</v>
      </c>
    </row>
    <row r="11674">
      <c r="A11674" s="1" t="str">
        <f>IFERROR(__xludf.DUMMYFUNCTION("""COMPUTED_VALUE"""),"2026 Apr")</f>
        <v>2026 Apr</v>
      </c>
      <c r="B11674" s="4">
        <f>IFERROR(__xludf.DUMMYFUNCTION("""COMPUTED_VALUE"""),46125.0)</f>
        <v>46125</v>
      </c>
      <c r="C11674" s="1" t="str">
        <f>IFERROR(__xludf.DUMMYFUNCTION("""COMPUTED_VALUE"""),"Core Product Support")</f>
        <v>Core Product Support</v>
      </c>
      <c r="D11674" s="1" t="str">
        <f>IFERROR(__xludf.DUMMYFUNCTION("""COMPUTED_VALUE"""),"41e73ce2-bda5-4412-b2d5-381b4a0a0fdd")</f>
        <v>41e73ce2-bda5-4412-b2d5-381b4a0a0fdd</v>
      </c>
      <c r="E11674" s="1">
        <f>IFERROR(__xludf.DUMMYFUNCTION("""COMPUTED_VALUE"""),3.61750008275E11)</f>
        <v>361750008275</v>
      </c>
      <c r="F11674" s="1"/>
      <c r="G11674" s="1">
        <f>IFERROR(__xludf.DUMMYFUNCTION("""COMPUTED_VALUE"""),2.5)</f>
        <v>2.5</v>
      </c>
      <c r="H11674" s="2">
        <f>IFERROR(__xludf.DUMMYFUNCTION("""COMPUTED_VALUE"""),2.5)</f>
        <v>2.5</v>
      </c>
      <c r="I11674" s="5">
        <f>IFERROR(__xludf.DUMMYFUNCTION("""COMPUTED_VALUE"""),1.0)</f>
        <v>1</v>
      </c>
      <c r="J11674" s="1" t="str">
        <f>IFERROR(__xludf.DUMMYFUNCTION("""COMPUTED_VALUE"""),"Jelyn Elmido")</f>
        <v>Jelyn Elmido</v>
      </c>
      <c r="K11674" s="1" t="str">
        <f>IFERROR(__xludf.DUMMYFUNCTION("""COMPUTED_VALUE"""),"Core Product Support Escalation Team")</f>
        <v>Core Product Support Escalation Team</v>
      </c>
      <c r="L11674"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675">
      <c r="A11675" s="1" t="str">
        <f>IFERROR(__xludf.DUMMYFUNCTION("""COMPUTED_VALUE"""),"2026 Apr")</f>
        <v>2026 Apr</v>
      </c>
      <c r="B11675" s="4">
        <f>IFERROR(__xludf.DUMMYFUNCTION("""COMPUTED_VALUE"""),46125.0)</f>
        <v>46125</v>
      </c>
      <c r="C11675" s="1" t="str">
        <f>IFERROR(__xludf.DUMMYFUNCTION("""COMPUTED_VALUE"""),"Print Support")</f>
        <v>Print Support</v>
      </c>
      <c r="D11675" s="1" t="str">
        <f>IFERROR(__xludf.DUMMYFUNCTION("""COMPUTED_VALUE"""),"a8e62322-b2dc-4c8a-842a-2a259dac6528")</f>
        <v>a8e62322-b2dc-4c8a-842a-2a259dac6528</v>
      </c>
      <c r="E11675" s="1">
        <f>IFERROR(__xludf.DUMMYFUNCTION("""COMPUTED_VALUE"""),9.285106592655E12)</f>
        <v>9285106592655</v>
      </c>
      <c r="F11675" s="1"/>
      <c r="G11675" s="1"/>
      <c r="H11675" s="2">
        <f>IFERROR(__xludf.DUMMYFUNCTION("""COMPUTED_VALUE"""),0.0)</f>
        <v>0</v>
      </c>
      <c r="I11675" s="5"/>
      <c r="J11675" s="1" t="str">
        <f>IFERROR(__xludf.DUMMYFUNCTION("""COMPUTED_VALUE"""),"Althea Mercado")</f>
        <v>Althea Mercado</v>
      </c>
      <c r="K11675" s="1" t="str">
        <f>IFERROR(__xludf.DUMMYFUNCTION("""COMPUTED_VALUE"""),"Print Support PH")</f>
        <v>Print Support PH</v>
      </c>
      <c r="L11675" s="1" t="str">
        <f>IFERROR(__xludf.DUMMYFUNCTION("""COMPUTED_VALUE"""),"Print Print - CHT")</f>
        <v>Print Print - CHT</v>
      </c>
    </row>
    <row r="11676">
      <c r="A11676" s="1" t="str">
        <f>IFERROR(__xludf.DUMMYFUNCTION("""COMPUTED_VALUE"""),"2026 Apr")</f>
        <v>2026 Apr</v>
      </c>
      <c r="B11676" s="4">
        <f>IFERROR(__xludf.DUMMYFUNCTION("""COMPUTED_VALUE"""),46125.0)</f>
        <v>46125</v>
      </c>
      <c r="C11676" s="1" t="str">
        <f>IFERROR(__xludf.DUMMYFUNCTION("""COMPUTED_VALUE"""),"Admin Support")</f>
        <v>Admin Support</v>
      </c>
      <c r="D11676" s="1" t="str">
        <f>IFERROR(__xludf.DUMMYFUNCTION("""COMPUTED_VALUE"""),"ab14ac10-6fdd-4acd-92a0-afc53948f957")</f>
        <v>ab14ac10-6fdd-4acd-92a0-afc53948f957</v>
      </c>
      <c r="E11676" s="1">
        <f>IFERROR(__xludf.DUMMYFUNCTION("""COMPUTED_VALUE"""),3.61731791675E11)</f>
        <v>361731791675</v>
      </c>
      <c r="F11676" s="1"/>
      <c r="G11676" s="1">
        <f>IFERROR(__xludf.DUMMYFUNCTION("""COMPUTED_VALUE"""),0.25)</f>
        <v>0.25</v>
      </c>
      <c r="H11676" s="2">
        <f>IFERROR(__xludf.DUMMYFUNCTION("""COMPUTED_VALUE"""),0.25)</f>
        <v>0.25</v>
      </c>
      <c r="I11676" s="5">
        <f>IFERROR(__xludf.DUMMYFUNCTION("""COMPUTED_VALUE"""),1.0)</f>
        <v>1</v>
      </c>
      <c r="J11676" s="1" t="str">
        <f>IFERROR(__xludf.DUMMYFUNCTION("""COMPUTED_VALUE"""),"Pau Palmero")</f>
        <v>Pau Palmero</v>
      </c>
      <c r="K11676" s="1" t="str">
        <f>IFERROR(__xludf.DUMMYFUNCTION("""COMPUTED_VALUE"""),"Admin Omni Support")</f>
        <v>Admin Omni Support</v>
      </c>
      <c r="L11676" s="1" t="str">
        <f>IFERROR(__xludf.DUMMYFUNCTION("""COMPUTED_VALUE"""),"Admin Omni Support")</f>
        <v>Admin Omni Support</v>
      </c>
    </row>
    <row r="11677">
      <c r="A11677" s="1" t="str">
        <f>IFERROR(__xludf.DUMMYFUNCTION("""COMPUTED_VALUE"""),"2026 Apr")</f>
        <v>2026 Apr</v>
      </c>
      <c r="B11677" s="4">
        <f>IFERROR(__xludf.DUMMYFUNCTION("""COMPUTED_VALUE"""),46125.0)</f>
        <v>46125</v>
      </c>
      <c r="C11677" s="1" t="str">
        <f>IFERROR(__xludf.DUMMYFUNCTION("""COMPUTED_VALUE"""),"Segment-specific Support")</f>
        <v>Segment-specific Support</v>
      </c>
      <c r="D11677" s="1" t="str">
        <f>IFERROR(__xludf.DUMMYFUNCTION("""COMPUTED_VALUE"""),"b3a312bb-80a6-4404-a83b-85b5d7be9789")</f>
        <v>b3a312bb-80a6-4404-a83b-85b5d7be9789</v>
      </c>
      <c r="E11677" s="1">
        <f>IFERROR(__xludf.DUMMYFUNCTION("""COMPUTED_VALUE"""),9.903274706831E12)</f>
        <v>9903274706831</v>
      </c>
      <c r="F11677" s="1"/>
      <c r="G11677" s="1"/>
      <c r="H11677" s="2">
        <f>IFERROR(__xludf.DUMMYFUNCTION("""COMPUTED_VALUE"""),0.0)</f>
        <v>0</v>
      </c>
      <c r="I11677" s="5"/>
      <c r="J11677" s="1" t="str">
        <f>IFERROR(__xludf.DUMMYFUNCTION("""COMPUTED_VALUE"""),"Jonathan Dimaculangan")</f>
        <v>Jonathan Dimaculangan</v>
      </c>
      <c r="K11677" s="1" t="str">
        <f>IFERROR(__xludf.DUMMYFUNCTION("""COMPUTED_VALUE"""),"Flourish Support")</f>
        <v>Flourish Support</v>
      </c>
      <c r="L11677" s="1" t="str">
        <f>IFERROR(__xludf.DUMMYFUNCTION("""COMPUTED_VALUE"""),"SSS Flourish")</f>
        <v>SSS Flourish</v>
      </c>
    </row>
    <row r="11678">
      <c r="A11678" s="1" t="str">
        <f>IFERROR(__xludf.DUMMYFUNCTION("""COMPUTED_VALUE"""),"2026 Apr")</f>
        <v>2026 Apr</v>
      </c>
      <c r="B11678" s="4">
        <f>IFERROR(__xludf.DUMMYFUNCTION("""COMPUTED_VALUE"""),46125.0)</f>
        <v>46125</v>
      </c>
      <c r="C11678" s="1" t="str">
        <f>IFERROR(__xludf.DUMMYFUNCTION("""COMPUTED_VALUE"""),"Core Product Support")</f>
        <v>Core Product Support</v>
      </c>
      <c r="D11678" s="1" t="str">
        <f>IFERROR(__xludf.DUMMYFUNCTION("""COMPUTED_VALUE"""),"c820bf34-a16a-4ab5-afca-78d6c71226e3")</f>
        <v>c820bf34-a16a-4ab5-afca-78d6c71226e3</v>
      </c>
      <c r="E11678" s="1">
        <f>IFERROR(__xludf.DUMMYFUNCTION("""COMPUTED_VALUE"""),3.61731943295E11)</f>
        <v>361731943295</v>
      </c>
      <c r="F11678" s="1"/>
      <c r="G11678" s="1">
        <f>IFERROR(__xludf.DUMMYFUNCTION("""COMPUTED_VALUE"""),2.5)</f>
        <v>2.5</v>
      </c>
      <c r="H11678" s="2">
        <f>IFERROR(__xludf.DUMMYFUNCTION("""COMPUTED_VALUE"""),2.5)</f>
        <v>2.5</v>
      </c>
      <c r="I11678" s="5">
        <f>IFERROR(__xludf.DUMMYFUNCTION("""COMPUTED_VALUE"""),1.0)</f>
        <v>1</v>
      </c>
      <c r="J11678" s="1" t="str">
        <f>IFERROR(__xludf.DUMMYFUNCTION("""COMPUTED_VALUE"""),"Jelyn Elmido")</f>
        <v>Jelyn Elmido</v>
      </c>
      <c r="K11678" s="1" t="str">
        <f>IFERROR(__xludf.DUMMYFUNCTION("""COMPUTED_VALUE"""),"Core Product Support Escalation Team")</f>
        <v>Core Product Support Escalation Team</v>
      </c>
      <c r="L11678"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679">
      <c r="A11679" s="1" t="str">
        <f>IFERROR(__xludf.DUMMYFUNCTION("""COMPUTED_VALUE"""),"2026 Apr")</f>
        <v>2026 Apr</v>
      </c>
      <c r="B11679" s="4">
        <f>IFERROR(__xludf.DUMMYFUNCTION("""COMPUTED_VALUE"""),46125.0)</f>
        <v>46125</v>
      </c>
      <c r="C11679" s="1" t="str">
        <f>IFERROR(__xludf.DUMMYFUNCTION("""COMPUTED_VALUE"""),"Multilingual Support")</f>
        <v>Multilingual Support</v>
      </c>
      <c r="D11679" s="1" t="str">
        <f>IFERROR(__xludf.DUMMYFUNCTION("""COMPUTED_VALUE"""),"283e2e77-f88a-4efa-b94d-fff3a66e663f")</f>
        <v>283e2e77-f88a-4efa-b94d-fff3a66e663f</v>
      </c>
      <c r="E11679" s="1">
        <f>IFERROR(__xludf.DUMMYFUNCTION("""COMPUTED_VALUE"""),3.61731791575E11)</f>
        <v>361731791575</v>
      </c>
      <c r="F11679" s="1"/>
      <c r="G11679" s="1"/>
      <c r="H11679" s="2">
        <f>IFERROR(__xludf.DUMMYFUNCTION("""COMPUTED_VALUE"""),0.0)</f>
        <v>0</v>
      </c>
      <c r="I11679" s="5"/>
      <c r="J11679" s="1" t="str">
        <f>IFERROR(__xludf.DUMMYFUNCTION("""COMPUTED_VALUE"""),"Arlene Maurillo")</f>
        <v>Arlene Maurillo</v>
      </c>
      <c r="K11679" s="1" t="str">
        <f>IFERROR(__xludf.DUMMYFUNCTION("""COMPUTED_VALUE"""),"PHL, Multilingual Support")</f>
        <v>PHL, Multilingual Support</v>
      </c>
      <c r="L11679" s="1" t="str">
        <f>IFERROR(__xludf.DUMMYFUNCTION("""COMPUTED_VALUE"""),"ML French Support")</f>
        <v>ML French Support</v>
      </c>
    </row>
    <row r="11680">
      <c r="A11680" s="1" t="str">
        <f>IFERROR(__xludf.DUMMYFUNCTION("""COMPUTED_VALUE"""),"2026 Apr")</f>
        <v>2026 Apr</v>
      </c>
      <c r="B11680" s="4">
        <f>IFERROR(__xludf.DUMMYFUNCTION("""COMPUTED_VALUE"""),46125.0)</f>
        <v>46125</v>
      </c>
      <c r="C11680" s="1" t="str">
        <f>IFERROR(__xludf.DUMMYFUNCTION("""COMPUTED_VALUE"""),"Print Support")</f>
        <v>Print Support</v>
      </c>
      <c r="D11680" s="1" t="str">
        <f>IFERROR(__xludf.DUMMYFUNCTION("""COMPUTED_VALUE"""),"759bff0c-8571-44a6-ac6a-7e74510a6a62")</f>
        <v>759bff0c-8571-44a6-ac6a-7e74510a6a62</v>
      </c>
      <c r="E11680" s="1">
        <f>IFERROR(__xludf.DUMMYFUNCTION("""COMPUTED_VALUE"""),6.839686960271E12)</f>
        <v>6839686960271</v>
      </c>
      <c r="F11680" s="1"/>
      <c r="G11680" s="1"/>
      <c r="H11680" s="2">
        <f>IFERROR(__xludf.DUMMYFUNCTION("""COMPUTED_VALUE"""),0.0)</f>
        <v>0</v>
      </c>
      <c r="I11680" s="5"/>
      <c r="J11680" s="1" t="str">
        <f>IFERROR(__xludf.DUMMYFUNCTION("""COMPUTED_VALUE"""),"Althea Mercado")</f>
        <v>Althea Mercado</v>
      </c>
      <c r="K11680" s="1" t="str">
        <f>IFERROR(__xludf.DUMMYFUNCTION("""COMPUTED_VALUE"""),"Print Support PH")</f>
        <v>Print Support PH</v>
      </c>
      <c r="L11680" s="1" t="str">
        <f>IFERROR(__xludf.DUMMYFUNCTION("""COMPUTED_VALUE"""),"Print Print - CHT")</f>
        <v>Print Print - CHT</v>
      </c>
    </row>
    <row r="11681">
      <c r="A11681" s="1" t="str">
        <f>IFERROR(__xludf.DUMMYFUNCTION("""COMPUTED_VALUE"""),"2026 Apr")</f>
        <v>2026 Apr</v>
      </c>
      <c r="B11681" s="4">
        <f>IFERROR(__xludf.DUMMYFUNCTION("""COMPUTED_VALUE"""),46125.0)</f>
        <v>46125</v>
      </c>
      <c r="C11681" s="1" t="str">
        <f>IFERROR(__xludf.DUMMYFUNCTION("""COMPUTED_VALUE"""),"Print Support")</f>
        <v>Print Support</v>
      </c>
      <c r="D11681" s="1" t="str">
        <f>IFERROR(__xludf.DUMMYFUNCTION("""COMPUTED_VALUE"""),"435dbe60-cec1-4cb2-b1d3-b030b9d41646")</f>
        <v>435dbe60-cec1-4cb2-b1d3-b030b9d41646</v>
      </c>
      <c r="E11681" s="1">
        <f>IFERROR(__xludf.DUMMYFUNCTION("""COMPUTED_VALUE"""),3.61724666876E11)</f>
        <v>361724666876</v>
      </c>
      <c r="F11681" s="1"/>
      <c r="G11681" s="1"/>
      <c r="H11681" s="2">
        <f>IFERROR(__xludf.DUMMYFUNCTION("""COMPUTED_VALUE"""),0.0)</f>
        <v>0</v>
      </c>
      <c r="I11681" s="5"/>
      <c r="J11681" s="1" t="str">
        <f>IFERROR(__xludf.DUMMYFUNCTION("""COMPUTED_VALUE"""),"Rae Erlano")</f>
        <v>Rae Erlano</v>
      </c>
      <c r="K11681" s="1" t="str">
        <f>IFERROR(__xludf.DUMMYFUNCTION("""COMPUTED_VALUE"""),"Print Support PH")</f>
        <v>Print Support PH</v>
      </c>
      <c r="L11681" s="1" t="str">
        <f>IFERROR(__xludf.DUMMYFUNCTION("""COMPUTED_VALUE"""),"Print Print - SEE")</f>
        <v>Print Print - SEE</v>
      </c>
    </row>
    <row r="11682">
      <c r="A11682" s="1" t="str">
        <f>IFERROR(__xludf.DUMMYFUNCTION("""COMPUTED_VALUE"""),"2026 Apr")</f>
        <v>2026 Apr</v>
      </c>
      <c r="B11682" s="4">
        <f>IFERROR(__xludf.DUMMYFUNCTION("""COMPUTED_VALUE"""),46125.0)</f>
        <v>46125</v>
      </c>
      <c r="C11682" s="1" t="str">
        <f>IFERROR(__xludf.DUMMYFUNCTION("""COMPUTED_VALUE"""),"Core Product Support")</f>
        <v>Core Product Support</v>
      </c>
      <c r="D11682" s="1" t="str">
        <f>IFERROR(__xludf.DUMMYFUNCTION("""COMPUTED_VALUE"""),"d49e1c15-2cd1-4e35-9b3a-8acda7c42425")</f>
        <v>d49e1c15-2cd1-4e35-9b3a-8acda7c42425</v>
      </c>
      <c r="E11682" s="1">
        <f>IFERROR(__xludf.DUMMYFUNCTION("""COMPUTED_VALUE"""),1.1401961091343E13)</f>
        <v>11401961091343</v>
      </c>
      <c r="F11682" s="1"/>
      <c r="G11682" s="1">
        <f>IFERROR(__xludf.DUMMYFUNCTION("""COMPUTED_VALUE"""),1.25)</f>
        <v>1.25</v>
      </c>
      <c r="H11682" s="2">
        <f>IFERROR(__xludf.DUMMYFUNCTION("""COMPUTED_VALUE"""),1.25)</f>
        <v>1.25</v>
      </c>
      <c r="I11682" s="5">
        <f>IFERROR(__xludf.DUMMYFUNCTION("""COMPUTED_VALUE"""),1.0)</f>
        <v>1</v>
      </c>
      <c r="J11682" s="1" t="str">
        <f>IFERROR(__xludf.DUMMYFUNCTION("""COMPUTED_VALUE"""),"Cate Velasco")</f>
        <v>Cate Velasco</v>
      </c>
      <c r="K11682" s="1" t="str">
        <f>IFERROR(__xludf.DUMMYFUNCTION("""COMPUTED_VALUE"""),"Advanced Product Support")</f>
        <v>Advanced Product Support</v>
      </c>
      <c r="L11682" s="1" t="str">
        <f>IFERROR(__xludf.DUMMYFUNCTION("""COMPUTED_VALUE"""),"CPS Advanced Product Support (APS)")</f>
        <v>CPS Advanced Product Support (APS)</v>
      </c>
    </row>
    <row r="11683">
      <c r="A11683" s="1" t="str">
        <f>IFERROR(__xludf.DUMMYFUNCTION("""COMPUTED_VALUE"""),"2026 Apr")</f>
        <v>2026 Apr</v>
      </c>
      <c r="B11683" s="4">
        <f>IFERROR(__xludf.DUMMYFUNCTION("""COMPUTED_VALUE"""),46125.0)</f>
        <v>46125</v>
      </c>
      <c r="C11683" s="1" t="str">
        <f>IFERROR(__xludf.DUMMYFUNCTION("""COMPUTED_VALUE"""),"Segment-specific Support")</f>
        <v>Segment-specific Support</v>
      </c>
      <c r="D11683" s="1" t="str">
        <f>IFERROR(__xludf.DUMMYFUNCTION("""COMPUTED_VALUE"""),"273af0e8-ae9e-4171-b68c-6f2448bbd29f")</f>
        <v>273af0e8-ae9e-4171-b68c-6f2448bbd29f</v>
      </c>
      <c r="E11683" s="1">
        <f>IFERROR(__xludf.DUMMYFUNCTION("""COMPUTED_VALUE"""),1.1401981037583E13)</f>
        <v>11401981037583</v>
      </c>
      <c r="F11683" s="1"/>
      <c r="G11683" s="1"/>
      <c r="H11683" s="2">
        <f>IFERROR(__xludf.DUMMYFUNCTION("""COMPUTED_VALUE"""),0.0)</f>
        <v>0</v>
      </c>
      <c r="I11683" s="5"/>
      <c r="J11683" s="1" t="str">
        <f>IFERROR(__xludf.DUMMYFUNCTION("""COMPUTED_VALUE"""),"Aileen Dayanghirang")</f>
        <v>Aileen Dayanghirang</v>
      </c>
      <c r="K11683" s="1" t="str">
        <f>IFERROR(__xludf.DUMMYFUNCTION("""COMPUTED_VALUE"""),"Creators Support")</f>
        <v>Creators Support</v>
      </c>
      <c r="L11683" s="1" t="str">
        <f>IFERROR(__xludf.DUMMYFUNCTION("""COMPUTED_VALUE"""),"SSS Creators")</f>
        <v>SSS Creators</v>
      </c>
    </row>
    <row r="11684">
      <c r="A11684" s="1" t="str">
        <f>IFERROR(__xludf.DUMMYFUNCTION("""COMPUTED_VALUE"""),"2026 Apr")</f>
        <v>2026 Apr</v>
      </c>
      <c r="B11684" s="4">
        <f>IFERROR(__xludf.DUMMYFUNCTION("""COMPUTED_VALUE"""),46125.0)</f>
        <v>46125</v>
      </c>
      <c r="C11684" s="1" t="str">
        <f>IFERROR(__xludf.DUMMYFUNCTION("""COMPUTED_VALUE"""),"Admin Support")</f>
        <v>Admin Support</v>
      </c>
      <c r="D11684" s="1" t="str">
        <f>IFERROR(__xludf.DUMMYFUNCTION("""COMPUTED_VALUE"""),"d497a055-f2f2-4063-8890-6c9684355e4c")</f>
        <v>d497a055-f2f2-4063-8890-6c9684355e4c</v>
      </c>
      <c r="E11684" s="1">
        <f>IFERROR(__xludf.DUMMYFUNCTION("""COMPUTED_VALUE"""),3.61731515255E11)</f>
        <v>361731515255</v>
      </c>
      <c r="F11684" s="1"/>
      <c r="G11684" s="1"/>
      <c r="H11684" s="2">
        <f>IFERROR(__xludf.DUMMYFUNCTION("""COMPUTED_VALUE"""),0.0)</f>
        <v>0</v>
      </c>
      <c r="I11684" s="5"/>
      <c r="J11684" s="1" t="str">
        <f>IFERROR(__xludf.DUMMYFUNCTION("""COMPUTED_VALUE"""),"Karla Mananghaya")</f>
        <v>Karla Mananghaya</v>
      </c>
      <c r="K11684" s="1" t="str">
        <f>IFERROR(__xludf.DUMMYFUNCTION("""COMPUTED_VALUE"""),"Admin Support Service Escalation Team")</f>
        <v>Admin Support Service Escalation Team</v>
      </c>
      <c r="L11684" s="1" t="str">
        <f>IFERROR(__xludf.DUMMYFUNCTION("""COMPUTED_VALUE"""),"Admin ASSET")</f>
        <v>Admin ASSET</v>
      </c>
    </row>
    <row r="11685">
      <c r="A11685" s="1" t="str">
        <f>IFERROR(__xludf.DUMMYFUNCTION("""COMPUTED_VALUE"""),"2026 Apr")</f>
        <v>2026 Apr</v>
      </c>
      <c r="B11685" s="4">
        <f>IFERROR(__xludf.DUMMYFUNCTION("""COMPUTED_VALUE"""),46125.0)</f>
        <v>46125</v>
      </c>
      <c r="C11685" s="1" t="str">
        <f>IFERROR(__xludf.DUMMYFUNCTION("""COMPUTED_VALUE"""),"High Sensitivity Support")</f>
        <v>High Sensitivity Support</v>
      </c>
      <c r="D11685" s="1" t="str">
        <f>IFERROR(__xludf.DUMMYFUNCTION("""COMPUTED_VALUE"""),"725213c8-63bc-41f4-927e-adac2805ced0")</f>
        <v>725213c8-63bc-41f4-927e-adac2805ced0</v>
      </c>
      <c r="E11685" s="1">
        <f>IFERROR(__xludf.DUMMYFUNCTION("""COMPUTED_VALUE"""),3.61688633916E11)</f>
        <v>361688633916</v>
      </c>
      <c r="F11685" s="1"/>
      <c r="G11685" s="1"/>
      <c r="H11685" s="2">
        <f>IFERROR(__xludf.DUMMYFUNCTION("""COMPUTED_VALUE"""),0.0)</f>
        <v>0</v>
      </c>
      <c r="I11685" s="5"/>
      <c r="J11685" s="1" t="str">
        <f>IFERROR(__xludf.DUMMYFUNCTION("""COMPUTED_VALUE"""),"Xandy Azarcon")</f>
        <v>Xandy Azarcon</v>
      </c>
      <c r="K11685" s="1" t="str">
        <f>IFERROR(__xludf.DUMMYFUNCTION("""COMPUTED_VALUE"""),"High Sensitivity Support PH")</f>
        <v>High Sensitivity Support PH</v>
      </c>
      <c r="L11685" s="1" t="str">
        <f>IFERROR(__xludf.DUMMYFUNCTION("""COMPUTED_VALUE"""),"HSS High Sensitivity Support PH - CHT")</f>
        <v>HSS High Sensitivity Support PH - CHT</v>
      </c>
    </row>
    <row r="11686">
      <c r="A11686" s="1" t="str">
        <f>IFERROR(__xludf.DUMMYFUNCTION("""COMPUTED_VALUE"""),"2026 Apr")</f>
        <v>2026 Apr</v>
      </c>
      <c r="B11686" s="4">
        <f>IFERROR(__xludf.DUMMYFUNCTION("""COMPUTED_VALUE"""),46125.0)</f>
        <v>46125</v>
      </c>
      <c r="C11686" s="1" t="str">
        <f>IFERROR(__xludf.DUMMYFUNCTION("""COMPUTED_VALUE"""),"Print Support")</f>
        <v>Print Support</v>
      </c>
      <c r="D11686" s="1" t="str">
        <f>IFERROR(__xludf.DUMMYFUNCTION("""COMPUTED_VALUE"""),"adc14770-23af-4d9e-965d-0e955af819e0")</f>
        <v>adc14770-23af-4d9e-965d-0e955af819e0</v>
      </c>
      <c r="E11686" s="1">
        <f>IFERROR(__xludf.DUMMYFUNCTION("""COMPUTED_VALUE"""),3.61734092356E11)</f>
        <v>361734092356</v>
      </c>
      <c r="F11686" s="1"/>
      <c r="G11686" s="1"/>
      <c r="H11686" s="2">
        <f>IFERROR(__xludf.DUMMYFUNCTION("""COMPUTED_VALUE"""),0.0)</f>
        <v>0</v>
      </c>
      <c r="I11686" s="5"/>
      <c r="J11686" s="1" t="str">
        <f>IFERROR(__xludf.DUMMYFUNCTION("""COMPUTED_VALUE"""),"Memae Faustino")</f>
        <v>Memae Faustino</v>
      </c>
      <c r="K11686" s="1" t="str">
        <f>IFERROR(__xludf.DUMMYFUNCTION("""COMPUTED_VALUE"""),"Print Support PH")</f>
        <v>Print Support PH</v>
      </c>
      <c r="L11686" s="1" t="str">
        <f>IFERROR(__xludf.DUMMYFUNCTION("""COMPUTED_VALUE"""),"Print Print - SEE")</f>
        <v>Print Print - SEE</v>
      </c>
    </row>
    <row r="11687">
      <c r="A11687" s="1" t="str">
        <f>IFERROR(__xludf.DUMMYFUNCTION("""COMPUTED_VALUE"""),"2026 Apr")</f>
        <v>2026 Apr</v>
      </c>
      <c r="B11687" s="4">
        <f>IFERROR(__xludf.DUMMYFUNCTION("""COMPUTED_VALUE"""),46125.0)</f>
        <v>46125</v>
      </c>
      <c r="C11687" s="1" t="str">
        <f>IFERROR(__xludf.DUMMYFUNCTION("""COMPUTED_VALUE"""),"High Sensitivity Support")</f>
        <v>High Sensitivity Support</v>
      </c>
      <c r="D11687" s="1" t="str">
        <f>IFERROR(__xludf.DUMMYFUNCTION("""COMPUTED_VALUE"""),"d9cfc12e-6b04-430c-bb3b-22b9d67ee77c")</f>
        <v>d9cfc12e-6b04-430c-bb3b-22b9d67ee77c</v>
      </c>
      <c r="E11687" s="1">
        <f>IFERROR(__xludf.DUMMYFUNCTION("""COMPUTED_VALUE"""),9.795905277839E12)</f>
        <v>9795905277839</v>
      </c>
      <c r="F11687" s="1"/>
      <c r="G11687" s="1"/>
      <c r="H11687" s="2">
        <f>IFERROR(__xludf.DUMMYFUNCTION("""COMPUTED_VALUE"""),0.0)</f>
        <v>0</v>
      </c>
      <c r="I11687" s="5"/>
      <c r="J11687" s="1" t="str">
        <f>IFERROR(__xludf.DUMMYFUNCTION("""COMPUTED_VALUE"""),"Issi Afable")</f>
        <v>Issi Afable</v>
      </c>
      <c r="K11687" s="1" t="str">
        <f>IFERROR(__xludf.DUMMYFUNCTION("""COMPUTED_VALUE"""),"High Sensitivity Support PH")</f>
        <v>High Sensitivity Support PH</v>
      </c>
      <c r="L11687" s="1" t="str">
        <f>IFERROR(__xludf.DUMMYFUNCTION("""COMPUTED_VALUE"""),"HSS High Sensitivity Support PH - SEE")</f>
        <v>HSS High Sensitivity Support PH - SEE</v>
      </c>
    </row>
    <row r="11688">
      <c r="A11688" s="1" t="str">
        <f>IFERROR(__xludf.DUMMYFUNCTION("""COMPUTED_VALUE"""),"2026 Apr")</f>
        <v>2026 Apr</v>
      </c>
      <c r="B11688" s="4">
        <f>IFERROR(__xludf.DUMMYFUNCTION("""COMPUTED_VALUE"""),46125.0)</f>
        <v>46125</v>
      </c>
      <c r="C11688" s="1" t="str">
        <f>IFERROR(__xludf.DUMMYFUNCTION("""COMPUTED_VALUE"""),"Segment-specific Support")</f>
        <v>Segment-specific Support</v>
      </c>
      <c r="D11688" s="1" t="str">
        <f>IFERROR(__xludf.DUMMYFUNCTION("""COMPUTED_VALUE"""),"3d323952-7a8c-47c6-b544-d2dc82c67c07")</f>
        <v>3d323952-7a8c-47c6-b544-d2dc82c67c07</v>
      </c>
      <c r="E11688" s="1"/>
      <c r="F11688" s="1"/>
      <c r="G11688" s="1"/>
      <c r="H11688" s="2">
        <f>IFERROR(__xludf.DUMMYFUNCTION("""COMPUTED_VALUE"""),0.0)</f>
        <v>0</v>
      </c>
      <c r="I11688" s="5"/>
      <c r="J11688" s="1" t="str">
        <f>IFERROR(__xludf.DUMMYFUNCTION("""COMPUTED_VALUE"""),"Leigh Davison")</f>
        <v>Leigh Davison</v>
      </c>
      <c r="K11688" s="1" t="str">
        <f>IFERROR(__xludf.DUMMYFUNCTION("""COMPUTED_VALUE"""),"#N/A")</f>
        <v>#N/A</v>
      </c>
      <c r="L11688" s="1"/>
    </row>
    <row r="11689">
      <c r="A11689" s="1" t="str">
        <f>IFERROR(__xludf.DUMMYFUNCTION("""COMPUTED_VALUE"""),"2026 Apr")</f>
        <v>2026 Apr</v>
      </c>
      <c r="B11689" s="4">
        <f>IFERROR(__xludf.DUMMYFUNCTION("""COMPUTED_VALUE"""),46125.0)</f>
        <v>46125</v>
      </c>
      <c r="C11689" s="1" t="str">
        <f>IFERROR(__xludf.DUMMYFUNCTION("""COMPUTED_VALUE"""),"Core Product Support")</f>
        <v>Core Product Support</v>
      </c>
      <c r="D11689" s="1" t="str">
        <f>IFERROR(__xludf.DUMMYFUNCTION("""COMPUTED_VALUE"""),"d5b38678-ef33-449e-a4d3-7a7a69f2f5cb")</f>
        <v>d5b38678-ef33-449e-a4d3-7a7a69f2f5cb</v>
      </c>
      <c r="E11689" s="1">
        <f>IFERROR(__xludf.DUMMYFUNCTION("""COMPUTED_VALUE"""),3.61857411736E11)</f>
        <v>361857411736</v>
      </c>
      <c r="F11689" s="1"/>
      <c r="G11689" s="1">
        <f>IFERROR(__xludf.DUMMYFUNCTION("""COMPUTED_VALUE"""),1.25)</f>
        <v>1.25</v>
      </c>
      <c r="H11689" s="2">
        <f>IFERROR(__xludf.DUMMYFUNCTION("""COMPUTED_VALUE"""),1.25)</f>
        <v>1.25</v>
      </c>
      <c r="I11689" s="5">
        <f>IFERROR(__xludf.DUMMYFUNCTION("""COMPUTED_VALUE"""),1.0)</f>
        <v>1</v>
      </c>
      <c r="J11689" s="1" t="str">
        <f>IFERROR(__xludf.DUMMYFUNCTION("""COMPUTED_VALUE"""),"Jahmie Mae Barrameda")</f>
        <v>Jahmie Mae Barrameda</v>
      </c>
      <c r="K11689" s="1" t="str">
        <f>IFERROR(__xludf.DUMMYFUNCTION("""COMPUTED_VALUE"""),"Advanced Billing &amp; Subscriptions")</f>
        <v>Advanced Billing &amp; Subscriptions</v>
      </c>
      <c r="L11689" s="1" t="str">
        <f>IFERROR(__xludf.DUMMYFUNCTION("""COMPUTED_VALUE"""),"CPS Advanced Billing and Subscriptions (ABS)")</f>
        <v>CPS Advanced Billing and Subscriptions (ABS)</v>
      </c>
    </row>
    <row r="11690">
      <c r="A11690" s="1" t="str">
        <f>IFERROR(__xludf.DUMMYFUNCTION("""COMPUTED_VALUE"""),"2026 Apr")</f>
        <v>2026 Apr</v>
      </c>
      <c r="B11690" s="4">
        <f>IFERROR(__xludf.DUMMYFUNCTION("""COMPUTED_VALUE"""),46125.0)</f>
        <v>46125</v>
      </c>
      <c r="C11690" s="1" t="str">
        <f>IFERROR(__xludf.DUMMYFUNCTION("""COMPUTED_VALUE"""),"Admin Support")</f>
        <v>Admin Support</v>
      </c>
      <c r="D11690" s="1" t="str">
        <f>IFERROR(__xludf.DUMMYFUNCTION("""COMPUTED_VALUE"""),"65280774-7b68-4e6a-9312-4389148cbc01")</f>
        <v>65280774-7b68-4e6a-9312-4389148cbc01</v>
      </c>
      <c r="E11690" s="1">
        <f>IFERROR(__xludf.DUMMYFUNCTION("""COMPUTED_VALUE"""),1.0548588461839E13)</f>
        <v>10548588461839</v>
      </c>
      <c r="F11690" s="1"/>
      <c r="G11690" s="1"/>
      <c r="H11690" s="2">
        <f>IFERROR(__xludf.DUMMYFUNCTION("""COMPUTED_VALUE"""),0.0)</f>
        <v>0</v>
      </c>
      <c r="I11690" s="5"/>
      <c r="J11690" s="1" t="str">
        <f>IFERROR(__xludf.DUMMYFUNCTION("""COMPUTED_VALUE"""),"Karla Mananghaya")</f>
        <v>Karla Mananghaya</v>
      </c>
      <c r="K11690" s="1" t="str">
        <f>IFERROR(__xludf.DUMMYFUNCTION("""COMPUTED_VALUE"""),"Admin Support Service Escalation Team")</f>
        <v>Admin Support Service Escalation Team</v>
      </c>
      <c r="L11690" s="1" t="str">
        <f>IFERROR(__xludf.DUMMYFUNCTION("""COMPUTED_VALUE"""),"Admin ASSET")</f>
        <v>Admin ASSET</v>
      </c>
    </row>
    <row r="11691">
      <c r="A11691" s="1" t="str">
        <f>IFERROR(__xludf.DUMMYFUNCTION("""COMPUTED_VALUE"""),"2026 Apr")</f>
        <v>2026 Apr</v>
      </c>
      <c r="B11691" s="4">
        <f>IFERROR(__xludf.DUMMYFUNCTION("""COMPUTED_VALUE"""),46125.0)</f>
        <v>46125</v>
      </c>
      <c r="C11691" s="1" t="str">
        <f>IFERROR(__xludf.DUMMYFUNCTION("""COMPUTED_VALUE"""),"Core Product Support")</f>
        <v>Core Product Support</v>
      </c>
      <c r="D11691" s="1" t="str">
        <f>IFERROR(__xludf.DUMMYFUNCTION("""COMPUTED_VALUE"""),"0a5a8f36-7865-4df1-a7d1-fdbafdddd3eb")</f>
        <v>0a5a8f36-7865-4df1-a7d1-fdbafdddd3eb</v>
      </c>
      <c r="E11691" s="1">
        <f>IFERROR(__xludf.DUMMYFUNCTION("""COMPUTED_VALUE"""),3.61731792395E11)</f>
        <v>361731792395</v>
      </c>
      <c r="F11691" s="1"/>
      <c r="G11691" s="1">
        <f>IFERROR(__xludf.DUMMYFUNCTION("""COMPUTED_VALUE"""),2.5)</f>
        <v>2.5</v>
      </c>
      <c r="H11691" s="2">
        <f>IFERROR(__xludf.DUMMYFUNCTION("""COMPUTED_VALUE"""),2.5)</f>
        <v>2.5</v>
      </c>
      <c r="I11691" s="5">
        <f>IFERROR(__xludf.DUMMYFUNCTION("""COMPUTED_VALUE"""),1.0)</f>
        <v>1</v>
      </c>
      <c r="J11691" s="1" t="str">
        <f>IFERROR(__xludf.DUMMYFUNCTION("""COMPUTED_VALUE"""),"Sieg Ballelos")</f>
        <v>Sieg Ballelos</v>
      </c>
      <c r="K11691" s="1" t="str">
        <f>IFERROR(__xludf.DUMMYFUNCTION("""COMPUTED_VALUE"""),"Core Product Support Escalation Team")</f>
        <v>Core Product Support Escalation Team</v>
      </c>
      <c r="L11691"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692">
      <c r="A11692" s="1" t="str">
        <f>IFERROR(__xludf.DUMMYFUNCTION("""COMPUTED_VALUE"""),"2026 Apr")</f>
        <v>2026 Apr</v>
      </c>
      <c r="B11692" s="4">
        <f>IFERROR(__xludf.DUMMYFUNCTION("""COMPUTED_VALUE"""),46125.0)</f>
        <v>46125</v>
      </c>
      <c r="C11692" s="1" t="str">
        <f>IFERROR(__xludf.DUMMYFUNCTION("""COMPUTED_VALUE"""),"Core Product Support")</f>
        <v>Core Product Support</v>
      </c>
      <c r="D11692" s="1" t="str">
        <f>IFERROR(__xludf.DUMMYFUNCTION("""COMPUTED_VALUE"""),"626e971a-a1f2-466b-b3f0-fd32790eb440")</f>
        <v>626e971a-a1f2-466b-b3f0-fd32790eb440</v>
      </c>
      <c r="E11692" s="1">
        <f>IFERROR(__xludf.DUMMYFUNCTION("""COMPUTED_VALUE"""),8.904494781967E12)</f>
        <v>8904494781967</v>
      </c>
      <c r="F11692" s="1"/>
      <c r="G11692" s="1">
        <f>IFERROR(__xludf.DUMMYFUNCTION("""COMPUTED_VALUE"""),1.25)</f>
        <v>1.25</v>
      </c>
      <c r="H11692" s="2">
        <f>IFERROR(__xludf.DUMMYFUNCTION("""COMPUTED_VALUE"""),1.25)</f>
        <v>1.25</v>
      </c>
      <c r="I11692" s="5">
        <f>IFERROR(__xludf.DUMMYFUNCTION("""COMPUTED_VALUE"""),1.0)</f>
        <v>1</v>
      </c>
      <c r="J11692" s="1" t="str">
        <f>IFERROR(__xludf.DUMMYFUNCTION("""COMPUTED_VALUE"""),"Ana Lazaro")</f>
        <v>Ana Lazaro</v>
      </c>
      <c r="K11692" s="1" t="str">
        <f>IFERROR(__xludf.DUMMYFUNCTION("""COMPUTED_VALUE"""),"Advanced Billing &amp; Subscriptions")</f>
        <v>Advanced Billing &amp; Subscriptions</v>
      </c>
      <c r="L11692" s="1" t="str">
        <f>IFERROR(__xludf.DUMMYFUNCTION("""COMPUTED_VALUE"""),"CPS Advanced Billing and Subscriptions (ABS)")</f>
        <v>CPS Advanced Billing and Subscriptions (ABS)</v>
      </c>
    </row>
    <row r="11693">
      <c r="A11693" s="1" t="str">
        <f>IFERROR(__xludf.DUMMYFUNCTION("""COMPUTED_VALUE"""),"2026 Apr")</f>
        <v>2026 Apr</v>
      </c>
      <c r="B11693" s="4">
        <f>IFERROR(__xludf.DUMMYFUNCTION("""COMPUTED_VALUE"""),46125.0)</f>
        <v>46125</v>
      </c>
      <c r="C11693" s="1" t="str">
        <f>IFERROR(__xludf.DUMMYFUNCTION("""COMPUTED_VALUE"""),"Segment-specific Support")</f>
        <v>Segment-specific Support</v>
      </c>
      <c r="D11693" s="1" t="str">
        <f>IFERROR(__xludf.DUMMYFUNCTION("""COMPUTED_VALUE"""),"238df195-1311-420b-9bfc-80204048a0d0")</f>
        <v>238df195-1311-420b-9bfc-80204048a0d0</v>
      </c>
      <c r="E11693" s="1">
        <f>IFERROR(__xludf.DUMMYFUNCTION("""COMPUTED_VALUE"""),1.0548626062351E13)</f>
        <v>10548626062351</v>
      </c>
      <c r="F11693" s="1"/>
      <c r="G11693" s="1"/>
      <c r="H11693" s="2">
        <f>IFERROR(__xludf.DUMMYFUNCTION("""COMPUTED_VALUE"""),0.0)</f>
        <v>0</v>
      </c>
      <c r="I11693" s="5"/>
      <c r="J11693" s="1" t="str">
        <f>IFERROR(__xludf.DUMMYFUNCTION("""COMPUTED_VALUE"""),"Rose Gabilan")</f>
        <v>Rose Gabilan</v>
      </c>
      <c r="K11693" s="1" t="str">
        <f>IFERROR(__xludf.DUMMYFUNCTION("""COMPUTED_VALUE"""),"Affinity Support")</f>
        <v>Affinity Support</v>
      </c>
      <c r="L11693" s="1" t="str">
        <f>IFERROR(__xludf.DUMMYFUNCTION("""COMPUTED_VALUE"""),"SSS Affinity - L1")</f>
        <v>SSS Affinity - L1</v>
      </c>
    </row>
    <row r="11694">
      <c r="A11694" s="1" t="str">
        <f>IFERROR(__xludf.DUMMYFUNCTION("""COMPUTED_VALUE"""),"2026 Apr")</f>
        <v>2026 Apr</v>
      </c>
      <c r="B11694" s="4">
        <f>IFERROR(__xludf.DUMMYFUNCTION("""COMPUTED_VALUE"""),46125.0)</f>
        <v>46125</v>
      </c>
      <c r="C11694" s="1" t="str">
        <f>IFERROR(__xludf.DUMMYFUNCTION("""COMPUTED_VALUE"""),"Admin Support")</f>
        <v>Admin Support</v>
      </c>
      <c r="D11694" s="1" t="str">
        <f>IFERROR(__xludf.DUMMYFUNCTION("""COMPUTED_VALUE"""),"4790af32-fa25-48b3-bdc4-76770b6ef929")</f>
        <v>4790af32-fa25-48b3-bdc4-76770b6ef929</v>
      </c>
      <c r="E11694" s="1">
        <f>IFERROR(__xludf.DUMMYFUNCTION("""COMPUTED_VALUE"""),9.107735174799E12)</f>
        <v>9107735174799</v>
      </c>
      <c r="F11694" s="1"/>
      <c r="G11694" s="1">
        <f>IFERROR(__xludf.DUMMYFUNCTION("""COMPUTED_VALUE"""),0.5)</f>
        <v>0.5</v>
      </c>
      <c r="H11694" s="2">
        <f>IFERROR(__xludf.DUMMYFUNCTION("""COMPUTED_VALUE"""),0.5)</f>
        <v>0.5</v>
      </c>
      <c r="I11694" s="5">
        <f>IFERROR(__xludf.DUMMYFUNCTION("""COMPUTED_VALUE"""),1.0)</f>
        <v>1</v>
      </c>
      <c r="J11694" s="1" t="str">
        <f>IFERROR(__xludf.DUMMYFUNCTION("""COMPUTED_VALUE"""),"Pau Palmero")</f>
        <v>Pau Palmero</v>
      </c>
      <c r="K11694" s="1" t="str">
        <f>IFERROR(__xludf.DUMMYFUNCTION("""COMPUTED_VALUE"""),"Admin Omni Support")</f>
        <v>Admin Omni Support</v>
      </c>
      <c r="L11694" s="1" t="str">
        <f>IFERROR(__xludf.DUMMYFUNCTION("""COMPUTED_VALUE"""),"Admin Omni Support")</f>
        <v>Admin Omni Support</v>
      </c>
    </row>
    <row r="11695">
      <c r="A11695" s="1" t="str">
        <f>IFERROR(__xludf.DUMMYFUNCTION("""COMPUTED_VALUE"""),"2026 Apr")</f>
        <v>2026 Apr</v>
      </c>
      <c r="B11695" s="4">
        <f>IFERROR(__xludf.DUMMYFUNCTION("""COMPUTED_VALUE"""),46125.0)</f>
        <v>46125</v>
      </c>
      <c r="C11695" s="1" t="str">
        <f>IFERROR(__xludf.DUMMYFUNCTION("""COMPUTED_VALUE"""),"Multilingual Support")</f>
        <v>Multilingual Support</v>
      </c>
      <c r="D11695" s="1" t="str">
        <f>IFERROR(__xludf.DUMMYFUNCTION("""COMPUTED_VALUE"""),"c4abd336-8a5c-43a4-942f-2d3f5b2e85fd")</f>
        <v>c4abd336-8a5c-43a4-942f-2d3f5b2e85fd</v>
      </c>
      <c r="E11695" s="1">
        <f>IFERROR(__xludf.DUMMYFUNCTION("""COMPUTED_VALUE"""),6.936778850319E12)</f>
        <v>6936778850319</v>
      </c>
      <c r="F11695" s="1"/>
      <c r="G11695" s="1"/>
      <c r="H11695" s="2">
        <f>IFERROR(__xludf.DUMMYFUNCTION("""COMPUTED_VALUE"""),0.0)</f>
        <v>0</v>
      </c>
      <c r="I11695" s="5"/>
      <c r="J11695" s="1" t="str">
        <f>IFERROR(__xludf.DUMMYFUNCTION("""COMPUTED_VALUE"""),"Arlene Maurillo")</f>
        <v>Arlene Maurillo</v>
      </c>
      <c r="K11695" s="1" t="str">
        <f>IFERROR(__xludf.DUMMYFUNCTION("""COMPUTED_VALUE"""),"PHL, Multilingual Support")</f>
        <v>PHL, Multilingual Support</v>
      </c>
      <c r="L11695" s="1" t="str">
        <f>IFERROR(__xludf.DUMMYFUNCTION("""COMPUTED_VALUE"""),"ML Japanese Support")</f>
        <v>ML Japanese Support</v>
      </c>
    </row>
    <row r="11696">
      <c r="A11696" s="1" t="str">
        <f>IFERROR(__xludf.DUMMYFUNCTION("""COMPUTED_VALUE"""),"2026 Apr")</f>
        <v>2026 Apr</v>
      </c>
      <c r="B11696" s="4">
        <f>IFERROR(__xludf.DUMMYFUNCTION("""COMPUTED_VALUE"""),46125.0)</f>
        <v>46125</v>
      </c>
      <c r="C11696" s="1" t="str">
        <f>IFERROR(__xludf.DUMMYFUNCTION("""COMPUTED_VALUE"""),"Core Product Support")</f>
        <v>Core Product Support</v>
      </c>
      <c r="D11696" s="1" t="str">
        <f>IFERROR(__xludf.DUMMYFUNCTION("""COMPUTED_VALUE"""),"99085273-2cc4-4932-aad9-eac22f3b9709")</f>
        <v>99085273-2cc4-4932-aad9-eac22f3b9709</v>
      </c>
      <c r="E11696" s="1">
        <f>IFERROR(__xludf.DUMMYFUNCTION("""COMPUTED_VALUE"""),3.61732054935E11)</f>
        <v>361732054935</v>
      </c>
      <c r="F11696" s="1"/>
      <c r="G11696" s="1">
        <f>IFERROR(__xludf.DUMMYFUNCTION("""COMPUTED_VALUE"""),1.25)</f>
        <v>1.25</v>
      </c>
      <c r="H11696" s="2">
        <f>IFERROR(__xludf.DUMMYFUNCTION("""COMPUTED_VALUE"""),1.25)</f>
        <v>1.25</v>
      </c>
      <c r="I11696" s="5">
        <f>IFERROR(__xludf.DUMMYFUNCTION("""COMPUTED_VALUE"""),1.0)</f>
        <v>1</v>
      </c>
      <c r="J11696" s="1" t="str">
        <f>IFERROR(__xludf.DUMMYFUNCTION("""COMPUTED_VALUE"""),"Jem Mondoñedo")</f>
        <v>Jem Mondoñedo</v>
      </c>
      <c r="K11696" s="1" t="str">
        <f>IFERROR(__xludf.DUMMYFUNCTION("""COMPUTED_VALUE"""),"Advanced Billing &amp; Subscriptions")</f>
        <v>Advanced Billing &amp; Subscriptions</v>
      </c>
      <c r="L11696" s="1" t="str">
        <f>IFERROR(__xludf.DUMMYFUNCTION("""COMPUTED_VALUE"""),"CPS Advanced Billing and Subscriptions (ABS)")</f>
        <v>CPS Advanced Billing and Subscriptions (ABS)</v>
      </c>
    </row>
    <row r="11697">
      <c r="A11697" s="1" t="str">
        <f>IFERROR(__xludf.DUMMYFUNCTION("""COMPUTED_VALUE"""),"2026 Apr")</f>
        <v>2026 Apr</v>
      </c>
      <c r="B11697" s="4">
        <f>IFERROR(__xludf.DUMMYFUNCTION("""COMPUTED_VALUE"""),46125.0)</f>
        <v>46125</v>
      </c>
      <c r="C11697" s="1" t="str">
        <f>IFERROR(__xludf.DUMMYFUNCTION("""COMPUTED_VALUE"""),"Admin Support")</f>
        <v>Admin Support</v>
      </c>
      <c r="D11697" s="1" t="str">
        <f>IFERROR(__xludf.DUMMYFUNCTION("""COMPUTED_VALUE"""),"c4296942-0752-4ab1-a016-50f83ec4677d")</f>
        <v>c4296942-0752-4ab1-a016-50f83ec4677d</v>
      </c>
      <c r="E11697" s="1">
        <f>IFERROR(__xludf.DUMMYFUNCTION("""COMPUTED_VALUE"""),3.61732055015E11)</f>
        <v>361732055015</v>
      </c>
      <c r="F11697" s="1"/>
      <c r="G11697" s="1">
        <f>IFERROR(__xludf.DUMMYFUNCTION("""COMPUTED_VALUE"""),0.25)</f>
        <v>0.25</v>
      </c>
      <c r="H11697" s="2">
        <f>IFERROR(__xludf.DUMMYFUNCTION("""COMPUTED_VALUE"""),0.25)</f>
        <v>0.25</v>
      </c>
      <c r="I11697" s="5">
        <f>IFERROR(__xludf.DUMMYFUNCTION("""COMPUTED_VALUE"""),1.0)</f>
        <v>1</v>
      </c>
      <c r="J11697" s="1" t="str">
        <f>IFERROR(__xludf.DUMMYFUNCTION("""COMPUTED_VALUE"""),"AL Suarez")</f>
        <v>AL Suarez</v>
      </c>
      <c r="K11697" s="1" t="str">
        <f>IFERROR(__xludf.DUMMYFUNCTION("""COMPUTED_VALUE"""),"Admin Direct Support")</f>
        <v>Admin Direct Support</v>
      </c>
      <c r="L11697" s="1" t="str">
        <f>IFERROR(__xludf.DUMMYFUNCTION("""COMPUTED_VALUE"""),"Admin Direct Support")</f>
        <v>Admin Direct Support</v>
      </c>
    </row>
    <row r="11698">
      <c r="A11698" s="1" t="str">
        <f>IFERROR(__xludf.DUMMYFUNCTION("""COMPUTED_VALUE"""),"2026 Apr")</f>
        <v>2026 Apr</v>
      </c>
      <c r="B11698" s="4">
        <f>IFERROR(__xludf.DUMMYFUNCTION("""COMPUTED_VALUE"""),46125.0)</f>
        <v>46125</v>
      </c>
      <c r="C11698" s="1" t="str">
        <f>IFERROR(__xludf.DUMMYFUNCTION("""COMPUTED_VALUE"""),"Print Support")</f>
        <v>Print Support</v>
      </c>
      <c r="D11698" s="1" t="str">
        <f>IFERROR(__xludf.DUMMYFUNCTION("""COMPUTED_VALUE"""),"e612249c-8f64-415b-befe-bb7e6027b43c")</f>
        <v>e612249c-8f64-415b-befe-bb7e6027b43c</v>
      </c>
      <c r="E11698" s="1">
        <f>IFERROR(__xludf.DUMMYFUNCTION("""COMPUTED_VALUE"""),1.3475806334735E13)</f>
        <v>13475806334735</v>
      </c>
      <c r="F11698" s="1"/>
      <c r="G11698" s="1"/>
      <c r="H11698" s="2">
        <f>IFERROR(__xludf.DUMMYFUNCTION("""COMPUTED_VALUE"""),0.0)</f>
        <v>0</v>
      </c>
      <c r="I11698" s="5"/>
      <c r="J11698" s="1" t="str">
        <f>IFERROR(__xludf.DUMMYFUNCTION("""COMPUTED_VALUE"""),"Rei De Jesus")</f>
        <v>Rei De Jesus</v>
      </c>
      <c r="K11698" s="1" t="str">
        <f>IFERROR(__xludf.DUMMYFUNCTION("""COMPUTED_VALUE"""),"Print Design Support")</f>
        <v>Print Design Support</v>
      </c>
      <c r="L11698" s="1" t="str">
        <f>IFERROR(__xludf.DUMMYFUNCTION("""COMPUTED_VALUE"""),"Print Print Design")</f>
        <v>Print Print Design</v>
      </c>
    </row>
    <row r="11699">
      <c r="A11699" s="1" t="str">
        <f>IFERROR(__xludf.DUMMYFUNCTION("""COMPUTED_VALUE"""),"2026 Apr")</f>
        <v>2026 Apr</v>
      </c>
      <c r="B11699" s="4">
        <f>IFERROR(__xludf.DUMMYFUNCTION("""COMPUTED_VALUE"""),46125.0)</f>
        <v>46125</v>
      </c>
      <c r="C11699" s="1" t="str">
        <f>IFERROR(__xludf.DUMMYFUNCTION("""COMPUTED_VALUE"""),"Core Product Support")</f>
        <v>Core Product Support</v>
      </c>
      <c r="D11699" s="1" t="str">
        <f>IFERROR(__xludf.DUMMYFUNCTION("""COMPUTED_VALUE"""),"3623161b-ff5b-4aee-8826-3d6522587a06")</f>
        <v>3623161b-ff5b-4aee-8826-3d6522587a06</v>
      </c>
      <c r="E11699" s="1"/>
      <c r="F11699" s="1"/>
      <c r="G11699" s="1">
        <f>IFERROR(__xludf.DUMMYFUNCTION("""COMPUTED_VALUE"""),1.25)</f>
        <v>1.25</v>
      </c>
      <c r="H11699" s="2">
        <f>IFERROR(__xludf.DUMMYFUNCTION("""COMPUTED_VALUE"""),1.25)</f>
        <v>1.25</v>
      </c>
      <c r="I11699" s="5">
        <f>IFERROR(__xludf.DUMMYFUNCTION("""COMPUTED_VALUE"""),1.0)</f>
        <v>1</v>
      </c>
      <c r="J11699" s="1" t="str">
        <f>IFERROR(__xludf.DUMMYFUNCTION("""COMPUTED_VALUE"""),"Cherry Macam")</f>
        <v>Cherry Macam</v>
      </c>
      <c r="K11699" s="1" t="str">
        <f>IFERROR(__xludf.DUMMYFUNCTION("""COMPUTED_VALUE"""),"Advanced Billing &amp; Subscriptions")</f>
        <v>Advanced Billing &amp; Subscriptions</v>
      </c>
      <c r="L11699" s="1" t="str">
        <f>IFERROR(__xludf.DUMMYFUNCTION("""COMPUTED_VALUE"""),"CPS Advanced Billing and Subscriptions (ABS)")</f>
        <v>CPS Advanced Billing and Subscriptions (ABS)</v>
      </c>
    </row>
    <row r="11700">
      <c r="A11700" s="1" t="str">
        <f>IFERROR(__xludf.DUMMYFUNCTION("""COMPUTED_VALUE"""),"2026 Apr")</f>
        <v>2026 Apr</v>
      </c>
      <c r="B11700" s="4">
        <f>IFERROR(__xludf.DUMMYFUNCTION("""COMPUTED_VALUE"""),46125.0)</f>
        <v>46125</v>
      </c>
      <c r="C11700" s="1" t="str">
        <f>IFERROR(__xludf.DUMMYFUNCTION("""COMPUTED_VALUE"""),"Admin Support")</f>
        <v>Admin Support</v>
      </c>
      <c r="D11700" s="1" t="str">
        <f>IFERROR(__xludf.DUMMYFUNCTION("""COMPUTED_VALUE"""),"ae4ace4e-6cd8-4a8d-bb18-10768406ce5b")</f>
        <v>ae4ace4e-6cd8-4a8d-bb18-10768406ce5b</v>
      </c>
      <c r="E11700" s="1">
        <f>IFERROR(__xludf.DUMMYFUNCTION("""COMPUTED_VALUE"""),3.61725374736E11)</f>
        <v>361725374736</v>
      </c>
      <c r="F11700" s="1"/>
      <c r="G11700" s="1">
        <f>IFERROR(__xludf.DUMMYFUNCTION("""COMPUTED_VALUE"""),2.75)</f>
        <v>2.75</v>
      </c>
      <c r="H11700" s="2">
        <f>IFERROR(__xludf.DUMMYFUNCTION("""COMPUTED_VALUE"""),2.75)</f>
        <v>2.75</v>
      </c>
      <c r="I11700" s="5">
        <f>IFERROR(__xludf.DUMMYFUNCTION("""COMPUTED_VALUE"""),1.0)</f>
        <v>1</v>
      </c>
      <c r="J11700" s="1" t="str">
        <f>IFERROR(__xludf.DUMMYFUNCTION("""COMPUTED_VALUE"""),"Pau Palmero")</f>
        <v>Pau Palmero</v>
      </c>
      <c r="K11700" s="1" t="str">
        <f>IFERROR(__xludf.DUMMYFUNCTION("""COMPUTED_VALUE"""),"Admin Omni Support")</f>
        <v>Admin Omni Support</v>
      </c>
      <c r="L11700" s="1" t="str">
        <f>IFERROR(__xludf.DUMMYFUNCTION("""COMPUTED_VALUE"""),"Admin Omni Support")</f>
        <v>Admin Omni Support</v>
      </c>
    </row>
    <row r="11701">
      <c r="A11701" s="1" t="str">
        <f>IFERROR(__xludf.DUMMYFUNCTION("""COMPUTED_VALUE"""),"2026 Apr")</f>
        <v>2026 Apr</v>
      </c>
      <c r="B11701" s="4">
        <f>IFERROR(__xludf.DUMMYFUNCTION("""COMPUTED_VALUE"""),46125.0)</f>
        <v>46125</v>
      </c>
      <c r="C11701" s="1" t="str">
        <f>IFERROR(__xludf.DUMMYFUNCTION("""COMPUTED_VALUE"""),"Print Support")</f>
        <v>Print Support</v>
      </c>
      <c r="D11701" s="1" t="str">
        <f>IFERROR(__xludf.DUMMYFUNCTION("""COMPUTED_VALUE"""),"099dd243-b724-478e-9692-79686402a18c")</f>
        <v>099dd243-b724-478e-9692-79686402a18c</v>
      </c>
      <c r="E11701" s="1">
        <f>IFERROR(__xludf.DUMMYFUNCTION("""COMPUTED_VALUE"""),3.61731348935E11)</f>
        <v>361731348935</v>
      </c>
      <c r="F11701" s="1"/>
      <c r="G11701" s="1"/>
      <c r="H11701" s="2">
        <f>IFERROR(__xludf.DUMMYFUNCTION("""COMPUTED_VALUE"""),0.0)</f>
        <v>0</v>
      </c>
      <c r="I11701" s="5"/>
      <c r="J11701" s="1" t="str">
        <f>IFERROR(__xludf.DUMMYFUNCTION("""COMPUTED_VALUE"""),"Memae Faustino")</f>
        <v>Memae Faustino</v>
      </c>
      <c r="K11701" s="1" t="str">
        <f>IFERROR(__xludf.DUMMYFUNCTION("""COMPUTED_VALUE"""),"Print Support PH")</f>
        <v>Print Support PH</v>
      </c>
      <c r="L11701" s="1" t="str">
        <f>IFERROR(__xludf.DUMMYFUNCTION("""COMPUTED_VALUE"""),"Print Print - SEE")</f>
        <v>Print Print - SEE</v>
      </c>
    </row>
    <row r="11702">
      <c r="A11702" s="1" t="str">
        <f>IFERROR(__xludf.DUMMYFUNCTION("""COMPUTED_VALUE"""),"2026 Apr")</f>
        <v>2026 Apr</v>
      </c>
      <c r="B11702" s="4">
        <f>IFERROR(__xludf.DUMMYFUNCTION("""COMPUTED_VALUE"""),46125.0)</f>
        <v>46125</v>
      </c>
      <c r="C11702" s="1" t="str">
        <f>IFERROR(__xludf.DUMMYFUNCTION("""COMPUTED_VALUE"""),"Multilingual Support")</f>
        <v>Multilingual Support</v>
      </c>
      <c r="D11702" s="1" t="str">
        <f>IFERROR(__xludf.DUMMYFUNCTION("""COMPUTED_VALUE"""),"65e111e9-ab12-453f-afa3-155200027cc6")</f>
        <v>65e111e9-ab12-453f-afa3-155200027cc6</v>
      </c>
      <c r="E11702" s="1">
        <f>IFERROR(__xludf.DUMMYFUNCTION("""COMPUTED_VALUE"""),6.392444639375E12)</f>
        <v>6392444639375</v>
      </c>
      <c r="F11702" s="1"/>
      <c r="G11702" s="1"/>
      <c r="H11702" s="2">
        <f>IFERROR(__xludf.DUMMYFUNCTION("""COMPUTED_VALUE"""),0.0)</f>
        <v>0</v>
      </c>
      <c r="I11702" s="5"/>
      <c r="J11702" s="1" t="str">
        <f>IFERROR(__xludf.DUMMYFUNCTION("""COMPUTED_VALUE"""),"Arlene Maurillo")</f>
        <v>Arlene Maurillo</v>
      </c>
      <c r="K11702" s="1" t="str">
        <f>IFERROR(__xludf.DUMMYFUNCTION("""COMPUTED_VALUE"""),"PHL, Multilingual Support")</f>
        <v>PHL, Multilingual Support</v>
      </c>
      <c r="L11702" s="1" t="str">
        <f>IFERROR(__xludf.DUMMYFUNCTION("""COMPUTED_VALUE"""),"ML Portuguese Support")</f>
        <v>ML Portuguese Support</v>
      </c>
    </row>
    <row r="11703">
      <c r="A11703" s="1" t="str">
        <f>IFERROR(__xludf.DUMMYFUNCTION("""COMPUTED_VALUE"""),"2026 Apr")</f>
        <v>2026 Apr</v>
      </c>
      <c r="B11703" s="4">
        <f>IFERROR(__xludf.DUMMYFUNCTION("""COMPUTED_VALUE"""),46125.0)</f>
        <v>46125</v>
      </c>
      <c r="C11703" s="1" t="str">
        <f>IFERROR(__xludf.DUMMYFUNCTION("""COMPUTED_VALUE"""),"Print Support")</f>
        <v>Print Support</v>
      </c>
      <c r="D11703" s="1" t="str">
        <f>IFERROR(__xludf.DUMMYFUNCTION("""COMPUTED_VALUE"""),"1d59ca6e-6219-4532-99a2-f499de8a1287")</f>
        <v>1d59ca6e-6219-4532-99a2-f499de8a1287</v>
      </c>
      <c r="E11703" s="1"/>
      <c r="F11703" s="1"/>
      <c r="G11703" s="1"/>
      <c r="H11703" s="2">
        <f>IFERROR(__xludf.DUMMYFUNCTION("""COMPUTED_VALUE"""),0.0)</f>
        <v>0</v>
      </c>
      <c r="I11703" s="5"/>
      <c r="J11703" s="1" t="str">
        <f>IFERROR(__xludf.DUMMYFUNCTION("""COMPUTED_VALUE"""),"Aliza Dote")</f>
        <v>Aliza Dote</v>
      </c>
      <c r="K11703" s="1" t="str">
        <f>IFERROR(__xludf.DUMMYFUNCTION("""COMPUTED_VALUE"""),"Print Design Support")</f>
        <v>Print Design Support</v>
      </c>
      <c r="L11703" s="1" t="str">
        <f>IFERROR(__xludf.DUMMYFUNCTION("""COMPUTED_VALUE"""),"Print Print Design")</f>
        <v>Print Print Design</v>
      </c>
    </row>
    <row r="11704">
      <c r="A11704" s="1" t="str">
        <f>IFERROR(__xludf.DUMMYFUNCTION("""COMPUTED_VALUE"""),"2026 Apr")</f>
        <v>2026 Apr</v>
      </c>
      <c r="B11704" s="4">
        <f>IFERROR(__xludf.DUMMYFUNCTION("""COMPUTED_VALUE"""),46125.0)</f>
        <v>46125</v>
      </c>
      <c r="C11704" s="1" t="str">
        <f>IFERROR(__xludf.DUMMYFUNCTION("""COMPUTED_VALUE"""),"Print Support")</f>
        <v>Print Support</v>
      </c>
      <c r="D11704" s="1" t="str">
        <f>IFERROR(__xludf.DUMMYFUNCTION("""COMPUTED_VALUE"""),"3eea6a70-1d1f-4def-93fa-d9de190c7fd7")</f>
        <v>3eea6a70-1d1f-4def-93fa-d9de190c7fd7</v>
      </c>
      <c r="E11704" s="1">
        <f>IFERROR(__xludf.DUMMYFUNCTION("""COMPUTED_VALUE"""),3.61726424736E11)</f>
        <v>361726424736</v>
      </c>
      <c r="F11704" s="1"/>
      <c r="G11704" s="1"/>
      <c r="H11704" s="2">
        <f>IFERROR(__xludf.DUMMYFUNCTION("""COMPUTED_VALUE"""),0.0)</f>
        <v>0</v>
      </c>
      <c r="I11704" s="5"/>
      <c r="J11704" s="1" t="str">
        <f>IFERROR(__xludf.DUMMYFUNCTION("""COMPUTED_VALUE"""),"Memae Faustino")</f>
        <v>Memae Faustino</v>
      </c>
      <c r="K11704" s="1" t="str">
        <f>IFERROR(__xludf.DUMMYFUNCTION("""COMPUTED_VALUE"""),"Print Support PH")</f>
        <v>Print Support PH</v>
      </c>
      <c r="L11704" s="1" t="str">
        <f>IFERROR(__xludf.DUMMYFUNCTION("""COMPUTED_VALUE"""),"Print Print - SEE")</f>
        <v>Print Print - SEE</v>
      </c>
    </row>
    <row r="11705">
      <c r="A11705" s="1" t="str">
        <f>IFERROR(__xludf.DUMMYFUNCTION("""COMPUTED_VALUE"""),"2026 Apr")</f>
        <v>2026 Apr</v>
      </c>
      <c r="B11705" s="4">
        <f>IFERROR(__xludf.DUMMYFUNCTION("""COMPUTED_VALUE"""),46125.0)</f>
        <v>46125</v>
      </c>
      <c r="C11705" s="1" t="str">
        <f>IFERROR(__xludf.DUMMYFUNCTION("""COMPUTED_VALUE"""),"High Sensitivity Support")</f>
        <v>High Sensitivity Support</v>
      </c>
      <c r="D11705" s="1" t="str">
        <f>IFERROR(__xludf.DUMMYFUNCTION("""COMPUTED_VALUE"""),"10c46fa3-c076-41b6-9aad-4ec7c4a07294")</f>
        <v>10c46fa3-c076-41b6-9aad-4ec7c4a07294</v>
      </c>
      <c r="E11705" s="1">
        <f>IFERROR(__xludf.DUMMYFUNCTION("""COMPUTED_VALUE"""),7.235815910671E12)</f>
        <v>7235815910671</v>
      </c>
      <c r="F11705" s="1"/>
      <c r="G11705" s="1"/>
      <c r="H11705" s="2">
        <f>IFERROR(__xludf.DUMMYFUNCTION("""COMPUTED_VALUE"""),0.0)</f>
        <v>0</v>
      </c>
      <c r="I11705" s="5"/>
      <c r="J11705" s="1" t="str">
        <f>IFERROR(__xludf.DUMMYFUNCTION("""COMPUTED_VALUE"""),"Xandy Azarcon")</f>
        <v>Xandy Azarcon</v>
      </c>
      <c r="K11705" s="1" t="str">
        <f>IFERROR(__xludf.DUMMYFUNCTION("""COMPUTED_VALUE"""),"High Sensitivity Support PH")</f>
        <v>High Sensitivity Support PH</v>
      </c>
      <c r="L11705" s="1" t="str">
        <f>IFERROR(__xludf.DUMMYFUNCTION("""COMPUTED_VALUE"""),"HSS High Sensitivity Support PH - CHT")</f>
        <v>HSS High Sensitivity Support PH - CHT</v>
      </c>
    </row>
    <row r="11706">
      <c r="A11706" s="1" t="str">
        <f>IFERROR(__xludf.DUMMYFUNCTION("""COMPUTED_VALUE"""),"2026 Apr")</f>
        <v>2026 Apr</v>
      </c>
      <c r="B11706" s="4">
        <f>IFERROR(__xludf.DUMMYFUNCTION("""COMPUTED_VALUE"""),46125.0)</f>
        <v>46125</v>
      </c>
      <c r="C11706" s="1" t="str">
        <f>IFERROR(__xludf.DUMMYFUNCTION("""COMPUTED_VALUE"""),"Segment-specific Support")</f>
        <v>Segment-specific Support</v>
      </c>
      <c r="D11706" s="1" t="str">
        <f>IFERROR(__xludf.DUMMYFUNCTION("""COMPUTED_VALUE"""),"1140418d-c28b-42e8-83aa-3a112ddc96f7")</f>
        <v>1140418d-c28b-42e8-83aa-3a112ddc96f7</v>
      </c>
      <c r="E11706" s="1"/>
      <c r="F11706" s="1"/>
      <c r="G11706" s="1"/>
      <c r="H11706" s="2">
        <f>IFERROR(__xludf.DUMMYFUNCTION("""COMPUTED_VALUE"""),0.0)</f>
        <v>0</v>
      </c>
      <c r="I11706" s="5"/>
      <c r="J11706" s="1" t="str">
        <f>IFERROR(__xludf.DUMMYFUNCTION("""COMPUTED_VALUE"""),"Leigh Davison")</f>
        <v>Leigh Davison</v>
      </c>
      <c r="K11706" s="1" t="str">
        <f>IFERROR(__xludf.DUMMYFUNCTION("""COMPUTED_VALUE"""),"#N/A")</f>
        <v>#N/A</v>
      </c>
      <c r="L11706" s="1"/>
    </row>
    <row r="11707">
      <c r="A11707" s="1" t="str">
        <f>IFERROR(__xludf.DUMMYFUNCTION("""COMPUTED_VALUE"""),"2026 Apr")</f>
        <v>2026 Apr</v>
      </c>
      <c r="B11707" s="4">
        <f>IFERROR(__xludf.DUMMYFUNCTION("""COMPUTED_VALUE"""),46125.0)</f>
        <v>46125</v>
      </c>
      <c r="C11707" s="1" t="str">
        <f>IFERROR(__xludf.DUMMYFUNCTION("""COMPUTED_VALUE"""),"Core Product Support")</f>
        <v>Core Product Support</v>
      </c>
      <c r="D11707" s="1" t="str">
        <f>IFERROR(__xludf.DUMMYFUNCTION("""COMPUTED_VALUE"""),"cf4102e5-f522-43ac-bf51-15cc96666fde")</f>
        <v>cf4102e5-f522-43ac-bf51-15cc96666fde</v>
      </c>
      <c r="E11707" s="1"/>
      <c r="F11707" s="1"/>
      <c r="G11707" s="1">
        <f>IFERROR(__xludf.DUMMYFUNCTION("""COMPUTED_VALUE"""),1.25)</f>
        <v>1.25</v>
      </c>
      <c r="H11707" s="2">
        <f>IFERROR(__xludf.DUMMYFUNCTION("""COMPUTED_VALUE"""),1.25)</f>
        <v>1.25</v>
      </c>
      <c r="I11707" s="5">
        <f>IFERROR(__xludf.DUMMYFUNCTION("""COMPUTED_VALUE"""),1.0)</f>
        <v>1</v>
      </c>
      <c r="J11707" s="1" t="str">
        <f>IFERROR(__xludf.DUMMYFUNCTION("""COMPUTED_VALUE"""),"Mikhaela Decangchon")</f>
        <v>Mikhaela Decangchon</v>
      </c>
      <c r="K11707" s="1" t="str">
        <f>IFERROR(__xludf.DUMMYFUNCTION("""COMPUTED_VALUE"""),"Advanced Product Support")</f>
        <v>Advanced Product Support</v>
      </c>
      <c r="L11707" s="1" t="str">
        <f>IFERROR(__xludf.DUMMYFUNCTION("""COMPUTED_VALUE"""),"CPS Advanced Product Support (APS)")</f>
        <v>CPS Advanced Product Support (APS)</v>
      </c>
    </row>
    <row r="11708">
      <c r="A11708" s="1" t="str">
        <f>IFERROR(__xludf.DUMMYFUNCTION("""COMPUTED_VALUE"""),"2026 Apr")</f>
        <v>2026 Apr</v>
      </c>
      <c r="B11708" s="4">
        <f>IFERROR(__xludf.DUMMYFUNCTION("""COMPUTED_VALUE"""),46125.0)</f>
        <v>46125</v>
      </c>
      <c r="C11708" s="1" t="str">
        <f>IFERROR(__xludf.DUMMYFUNCTION("""COMPUTED_VALUE"""),"Core Product Support")</f>
        <v>Core Product Support</v>
      </c>
      <c r="D11708" s="1" t="str">
        <f>IFERROR(__xludf.DUMMYFUNCTION("""COMPUTED_VALUE"""),"b0e1557c-d0d9-4265-a67b-f94aae240d24")</f>
        <v>b0e1557c-d0d9-4265-a67b-f94aae240d24</v>
      </c>
      <c r="E11708" s="1">
        <f>IFERROR(__xludf.DUMMYFUNCTION("""COMPUTED_VALUE"""),8.519267619343E12)</f>
        <v>8519267619343</v>
      </c>
      <c r="F11708" s="1"/>
      <c r="G11708" s="1">
        <f>IFERROR(__xludf.DUMMYFUNCTION("""COMPUTED_VALUE"""),1.25)</f>
        <v>1.25</v>
      </c>
      <c r="H11708" s="2">
        <f>IFERROR(__xludf.DUMMYFUNCTION("""COMPUTED_VALUE"""),1.25)</f>
        <v>1.25</v>
      </c>
      <c r="I11708" s="5">
        <f>IFERROR(__xludf.DUMMYFUNCTION("""COMPUTED_VALUE"""),1.0)</f>
        <v>1</v>
      </c>
      <c r="J11708" s="1" t="str">
        <f>IFERROR(__xludf.DUMMYFUNCTION("""COMPUTED_VALUE"""),"Jahmie Mae Barrameda")</f>
        <v>Jahmie Mae Barrameda</v>
      </c>
      <c r="K11708" s="1" t="str">
        <f>IFERROR(__xludf.DUMMYFUNCTION("""COMPUTED_VALUE"""),"Advanced Billing &amp; Subscriptions")</f>
        <v>Advanced Billing &amp; Subscriptions</v>
      </c>
      <c r="L11708" s="1" t="str">
        <f>IFERROR(__xludf.DUMMYFUNCTION("""COMPUTED_VALUE"""),"CPS Advanced Billing and Subscriptions (ABS)")</f>
        <v>CPS Advanced Billing and Subscriptions (ABS)</v>
      </c>
    </row>
    <row r="11709">
      <c r="A11709" s="1" t="str">
        <f>IFERROR(__xludf.DUMMYFUNCTION("""COMPUTED_VALUE"""),"2026 Apr")</f>
        <v>2026 Apr</v>
      </c>
      <c r="B11709" s="4">
        <f>IFERROR(__xludf.DUMMYFUNCTION("""COMPUTED_VALUE"""),46125.0)</f>
        <v>46125</v>
      </c>
      <c r="C11709" s="1" t="str">
        <f>IFERROR(__xludf.DUMMYFUNCTION("""COMPUTED_VALUE"""),"Core Product Support")</f>
        <v>Core Product Support</v>
      </c>
      <c r="D11709" s="1" t="str">
        <f>IFERROR(__xludf.DUMMYFUNCTION("""COMPUTED_VALUE"""),"042e5ee4-7da0-42f9-92d0-d66496630cb9")</f>
        <v>042e5ee4-7da0-42f9-92d0-d66496630cb9</v>
      </c>
      <c r="E11709" s="1">
        <f>IFERROR(__xludf.DUMMYFUNCTION("""COMPUTED_VALUE"""),3.61861298335E11)</f>
        <v>361861298335</v>
      </c>
      <c r="F11709" s="1"/>
      <c r="G11709" s="1">
        <f>IFERROR(__xludf.DUMMYFUNCTION("""COMPUTED_VALUE"""),1.25)</f>
        <v>1.25</v>
      </c>
      <c r="H11709" s="2">
        <f>IFERROR(__xludf.DUMMYFUNCTION("""COMPUTED_VALUE"""),1.25)</f>
        <v>1.25</v>
      </c>
      <c r="I11709" s="5">
        <f>IFERROR(__xludf.DUMMYFUNCTION("""COMPUTED_VALUE"""),1.0)</f>
        <v>1</v>
      </c>
      <c r="J11709" s="1" t="str">
        <f>IFERROR(__xludf.DUMMYFUNCTION("""COMPUTED_VALUE"""),"Renette Bok")</f>
        <v>Renette Bok</v>
      </c>
      <c r="K11709" s="1" t="str">
        <f>IFERROR(__xludf.DUMMYFUNCTION("""COMPUTED_VALUE"""),"Advanced Billing &amp; Subscriptions")</f>
        <v>Advanced Billing &amp; Subscriptions</v>
      </c>
      <c r="L11709" s="1" t="str">
        <f>IFERROR(__xludf.DUMMYFUNCTION("""COMPUTED_VALUE"""),"CPS Advanced Billing and Subscriptions (ABS)")</f>
        <v>CPS Advanced Billing and Subscriptions (ABS)</v>
      </c>
    </row>
    <row r="11710">
      <c r="A11710" s="1" t="str">
        <f>IFERROR(__xludf.DUMMYFUNCTION("""COMPUTED_VALUE"""),"2026 Apr")</f>
        <v>2026 Apr</v>
      </c>
      <c r="B11710" s="4">
        <f>IFERROR(__xludf.DUMMYFUNCTION("""COMPUTED_VALUE"""),46125.0)</f>
        <v>46125</v>
      </c>
      <c r="C11710" s="1" t="str">
        <f>IFERROR(__xludf.DUMMYFUNCTION("""COMPUTED_VALUE"""),"Core Product Support")</f>
        <v>Core Product Support</v>
      </c>
      <c r="D11710" s="1" t="str">
        <f>IFERROR(__xludf.DUMMYFUNCTION("""COMPUTED_VALUE"""),"0cc61976-099e-4704-9248-c0d612333122")</f>
        <v>0cc61976-099e-4704-9248-c0d612333122</v>
      </c>
      <c r="E11710" s="1">
        <f>IFERROR(__xludf.DUMMYFUNCTION("""COMPUTED_VALUE"""),4.502607605263E12)</f>
        <v>4502607605263</v>
      </c>
      <c r="F11710" s="1"/>
      <c r="G11710" s="1">
        <f>IFERROR(__xludf.DUMMYFUNCTION("""COMPUTED_VALUE"""),2.5)</f>
        <v>2.5</v>
      </c>
      <c r="H11710" s="2">
        <f>IFERROR(__xludf.DUMMYFUNCTION("""COMPUTED_VALUE"""),2.5)</f>
        <v>2.5</v>
      </c>
      <c r="I11710" s="5">
        <f>IFERROR(__xludf.DUMMYFUNCTION("""COMPUTED_VALUE"""),1.0)</f>
        <v>1</v>
      </c>
      <c r="J11710" s="1" t="str">
        <f>IFERROR(__xludf.DUMMYFUNCTION("""COMPUTED_VALUE"""),"Ellaine Estayo")</f>
        <v>Ellaine Estayo</v>
      </c>
      <c r="K11710" s="1" t="str">
        <f>IFERROR(__xludf.DUMMYFUNCTION("""COMPUTED_VALUE"""),"Core Product Support Escalation Team")</f>
        <v>Core Product Support Escalation Team</v>
      </c>
      <c r="L11710"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711">
      <c r="A11711" s="1" t="str">
        <f>IFERROR(__xludf.DUMMYFUNCTION("""COMPUTED_VALUE"""),"2026 Apr")</f>
        <v>2026 Apr</v>
      </c>
      <c r="B11711" s="4">
        <f>IFERROR(__xludf.DUMMYFUNCTION("""COMPUTED_VALUE"""),46125.0)</f>
        <v>46125</v>
      </c>
      <c r="C11711" s="1" t="str">
        <f>IFERROR(__xludf.DUMMYFUNCTION("""COMPUTED_VALUE"""),"Print Support")</f>
        <v>Print Support</v>
      </c>
      <c r="D11711" s="1" t="str">
        <f>IFERROR(__xludf.DUMMYFUNCTION("""COMPUTED_VALUE"""),"1eb6d900-9254-4ad7-b5e2-1f27f00e2077")</f>
        <v>1eb6d900-9254-4ad7-b5e2-1f27f00e2077</v>
      </c>
      <c r="E11711" s="1">
        <f>IFERROR(__xludf.DUMMYFUNCTION("""COMPUTED_VALUE"""),1.3477715168271E13)</f>
        <v>13477715168271</v>
      </c>
      <c r="F11711" s="1"/>
      <c r="G11711" s="1"/>
      <c r="H11711" s="2">
        <f>IFERROR(__xludf.DUMMYFUNCTION("""COMPUTED_VALUE"""),0.0)</f>
        <v>0</v>
      </c>
      <c r="I11711" s="5"/>
      <c r="J11711" s="1" t="str">
        <f>IFERROR(__xludf.DUMMYFUNCTION("""COMPUTED_VALUE"""),"Jan Domingo")</f>
        <v>Jan Domingo</v>
      </c>
      <c r="K11711" s="1" t="str">
        <f>IFERROR(__xludf.DUMMYFUNCTION("""COMPUTED_VALUE"""),"Print Design Support")</f>
        <v>Print Design Support</v>
      </c>
      <c r="L11711" s="1" t="str">
        <f>IFERROR(__xludf.DUMMYFUNCTION("""COMPUTED_VALUE"""),"Print Print Design")</f>
        <v>Print Print Design</v>
      </c>
    </row>
    <row r="11712">
      <c r="A11712" s="1" t="str">
        <f>IFERROR(__xludf.DUMMYFUNCTION("""COMPUTED_VALUE"""),"2026 Apr")</f>
        <v>2026 Apr</v>
      </c>
      <c r="B11712" s="4">
        <f>IFERROR(__xludf.DUMMYFUNCTION("""COMPUTED_VALUE"""),46125.0)</f>
        <v>46125</v>
      </c>
      <c r="C11712" s="1" t="str">
        <f>IFERROR(__xludf.DUMMYFUNCTION("""COMPUTED_VALUE"""),"Core Product Support")</f>
        <v>Core Product Support</v>
      </c>
      <c r="D11712" s="1" t="str">
        <f>IFERROR(__xludf.DUMMYFUNCTION("""COMPUTED_VALUE"""),"fb4299a4-0e59-4c64-8fbb-5fd3f6a3cb3e")</f>
        <v>fb4299a4-0e59-4c64-8fbb-5fd3f6a3cb3e</v>
      </c>
      <c r="E11712" s="1">
        <f>IFERROR(__xludf.DUMMYFUNCTION("""COMPUTED_VALUE"""),3.61964324536E11)</f>
        <v>361964324536</v>
      </c>
      <c r="F11712" s="1"/>
      <c r="G11712" s="1">
        <f>IFERROR(__xludf.DUMMYFUNCTION("""COMPUTED_VALUE"""),2.0)</f>
        <v>2</v>
      </c>
      <c r="H11712" s="2">
        <f>IFERROR(__xludf.DUMMYFUNCTION("""COMPUTED_VALUE"""),2.0)</f>
        <v>2</v>
      </c>
      <c r="I11712" s="5">
        <f>IFERROR(__xludf.DUMMYFUNCTION("""COMPUTED_VALUE"""),1.0)</f>
        <v>1</v>
      </c>
      <c r="J11712" s="1" t="str">
        <f>IFERROR(__xludf.DUMMYFUNCTION("""COMPUTED_VALUE"""),"Sieg Ballelos")</f>
        <v>Sieg Ballelos</v>
      </c>
      <c r="K11712" s="1" t="str">
        <f>IFERROR(__xludf.DUMMYFUNCTION("""COMPUTED_VALUE"""),"Core Product Support Escalation Team")</f>
        <v>Core Product Support Escalation Team</v>
      </c>
      <c r="L11712"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713">
      <c r="A11713" s="1" t="str">
        <f>IFERROR(__xludf.DUMMYFUNCTION("""COMPUTED_VALUE"""),"2026 Apr")</f>
        <v>2026 Apr</v>
      </c>
      <c r="B11713" s="4">
        <f>IFERROR(__xludf.DUMMYFUNCTION("""COMPUTED_VALUE"""),46125.0)</f>
        <v>46125</v>
      </c>
      <c r="C11713" s="1" t="str">
        <f>IFERROR(__xludf.DUMMYFUNCTION("""COMPUTED_VALUE"""),"Admin Support")</f>
        <v>Admin Support</v>
      </c>
      <c r="D11713" s="1" t="str">
        <f>IFERROR(__xludf.DUMMYFUNCTION("""COMPUTED_VALUE"""),"b9737663-79f8-4cad-a8f9-6db9a37d36bf")</f>
        <v>b9737663-79f8-4cad-a8f9-6db9a37d36bf</v>
      </c>
      <c r="E11713" s="1">
        <f>IFERROR(__xludf.DUMMYFUNCTION("""COMPUTED_VALUE"""),3.61726427416E11)</f>
        <v>361726427416</v>
      </c>
      <c r="F11713" s="1"/>
      <c r="G11713" s="1"/>
      <c r="H11713" s="2">
        <f>IFERROR(__xludf.DUMMYFUNCTION("""COMPUTED_VALUE"""),0.0)</f>
        <v>0</v>
      </c>
      <c r="I11713" s="5"/>
      <c r="J11713" s="1" t="str">
        <f>IFERROR(__xludf.DUMMYFUNCTION("""COMPUTED_VALUE"""),"Karla Mananghaya")</f>
        <v>Karla Mananghaya</v>
      </c>
      <c r="K11713" s="1" t="str">
        <f>IFERROR(__xludf.DUMMYFUNCTION("""COMPUTED_VALUE"""),"Admin Support Service Escalation Team")</f>
        <v>Admin Support Service Escalation Team</v>
      </c>
      <c r="L11713" s="1" t="str">
        <f>IFERROR(__xludf.DUMMYFUNCTION("""COMPUTED_VALUE"""),"Admin ASSET")</f>
        <v>Admin ASSET</v>
      </c>
    </row>
    <row r="11714">
      <c r="A11714" s="1" t="str">
        <f>IFERROR(__xludf.DUMMYFUNCTION("""COMPUTED_VALUE"""),"2026 Apr")</f>
        <v>2026 Apr</v>
      </c>
      <c r="B11714" s="4">
        <f>IFERROR(__xludf.DUMMYFUNCTION("""COMPUTED_VALUE"""),46125.0)</f>
        <v>46125</v>
      </c>
      <c r="C11714" s="1" t="str">
        <f>IFERROR(__xludf.DUMMYFUNCTION("""COMPUTED_VALUE"""),"Core Product Support")</f>
        <v>Core Product Support</v>
      </c>
      <c r="D11714" s="1" t="str">
        <f>IFERROR(__xludf.DUMMYFUNCTION("""COMPUTED_VALUE"""),"253d67a9-d468-454b-b17c-b16b05cc6794")</f>
        <v>253d67a9-d468-454b-b17c-b16b05cc6794</v>
      </c>
      <c r="E11714" s="1">
        <f>IFERROR(__xludf.DUMMYFUNCTION("""COMPUTED_VALUE"""),1.0333034131599E13)</f>
        <v>10333034131599</v>
      </c>
      <c r="F11714" s="1"/>
      <c r="G11714" s="1">
        <f>IFERROR(__xludf.DUMMYFUNCTION("""COMPUTED_VALUE"""),1.25)</f>
        <v>1.25</v>
      </c>
      <c r="H11714" s="2">
        <f>IFERROR(__xludf.DUMMYFUNCTION("""COMPUTED_VALUE"""),1.25)</f>
        <v>1.25</v>
      </c>
      <c r="I11714" s="5">
        <f>IFERROR(__xludf.DUMMYFUNCTION("""COMPUTED_VALUE"""),1.0)</f>
        <v>1</v>
      </c>
      <c r="J11714" s="1" t="str">
        <f>IFERROR(__xludf.DUMMYFUNCTION("""COMPUTED_VALUE"""),"Cherry Macam")</f>
        <v>Cherry Macam</v>
      </c>
      <c r="K11714" s="1" t="str">
        <f>IFERROR(__xludf.DUMMYFUNCTION("""COMPUTED_VALUE"""),"Advanced Billing &amp; Subscriptions")</f>
        <v>Advanced Billing &amp; Subscriptions</v>
      </c>
      <c r="L11714" s="1" t="str">
        <f>IFERROR(__xludf.DUMMYFUNCTION("""COMPUTED_VALUE"""),"CPS Advanced Billing and Subscriptions (ABS)")</f>
        <v>CPS Advanced Billing and Subscriptions (ABS)</v>
      </c>
    </row>
    <row r="11715">
      <c r="A11715" s="1" t="str">
        <f>IFERROR(__xludf.DUMMYFUNCTION("""COMPUTED_VALUE"""),"2026 Apr")</f>
        <v>2026 Apr</v>
      </c>
      <c r="B11715" s="4">
        <f>IFERROR(__xludf.DUMMYFUNCTION("""COMPUTED_VALUE"""),46125.0)</f>
        <v>46125</v>
      </c>
      <c r="C11715" s="1" t="str">
        <f>IFERROR(__xludf.DUMMYFUNCTION("""COMPUTED_VALUE"""),"Core Product Support")</f>
        <v>Core Product Support</v>
      </c>
      <c r="D11715" s="1" t="str">
        <f>IFERROR(__xludf.DUMMYFUNCTION("""COMPUTED_VALUE"""),"e2ffb663-8d10-4463-8bb8-3bd130fdce1c")</f>
        <v>e2ffb663-8d10-4463-8bb8-3bd130fdce1c</v>
      </c>
      <c r="E11715" s="1">
        <f>IFERROR(__xludf.DUMMYFUNCTION("""COMPUTED_VALUE"""),1.1279730843407E13)</f>
        <v>11279730843407</v>
      </c>
      <c r="F11715" s="1"/>
      <c r="G11715" s="1">
        <f>IFERROR(__xludf.DUMMYFUNCTION("""COMPUTED_VALUE"""),1.0)</f>
        <v>1</v>
      </c>
      <c r="H11715" s="2">
        <f>IFERROR(__xludf.DUMMYFUNCTION("""COMPUTED_VALUE"""),1.0)</f>
        <v>1</v>
      </c>
      <c r="I11715" s="5">
        <f>IFERROR(__xludf.DUMMYFUNCTION("""COMPUTED_VALUE"""),1.0)</f>
        <v>1</v>
      </c>
      <c r="J11715" s="1" t="str">
        <f>IFERROR(__xludf.DUMMYFUNCTION("""COMPUTED_VALUE"""),"Ayza Marie Pascual")</f>
        <v>Ayza Marie Pascual</v>
      </c>
      <c r="K11715" s="1" t="str">
        <f>IFERROR(__xludf.DUMMYFUNCTION("""COMPUTED_VALUE"""),"Advanced Billing &amp; Subscriptions")</f>
        <v>Advanced Billing &amp; Subscriptions</v>
      </c>
      <c r="L11715" s="1" t="str">
        <f>IFERROR(__xludf.DUMMYFUNCTION("""COMPUTED_VALUE"""),"CPS Advanced Billing and Subscriptions (ABS)")</f>
        <v>CPS Advanced Billing and Subscriptions (ABS)</v>
      </c>
    </row>
    <row r="11716">
      <c r="A11716" s="1" t="str">
        <f>IFERROR(__xludf.DUMMYFUNCTION("""COMPUTED_VALUE"""),"2026 Apr")</f>
        <v>2026 Apr</v>
      </c>
      <c r="B11716" s="4">
        <f>IFERROR(__xludf.DUMMYFUNCTION("""COMPUTED_VALUE"""),46125.0)</f>
        <v>46125</v>
      </c>
      <c r="C11716" s="1" t="str">
        <f>IFERROR(__xludf.DUMMYFUNCTION("""COMPUTED_VALUE"""),"Core Product Support")</f>
        <v>Core Product Support</v>
      </c>
      <c r="D11716" s="1" t="str">
        <f>IFERROR(__xludf.DUMMYFUNCTION("""COMPUTED_VALUE"""),"1a6492df-fa9a-416f-b1d1-da6edc22036f")</f>
        <v>1a6492df-fa9a-416f-b1d1-da6edc22036f</v>
      </c>
      <c r="E11716" s="1">
        <f>IFERROR(__xludf.DUMMYFUNCTION("""COMPUTED_VALUE"""),7.874569114383E12)</f>
        <v>7874569114383</v>
      </c>
      <c r="F11716" s="1"/>
      <c r="G11716" s="1">
        <f>IFERROR(__xludf.DUMMYFUNCTION("""COMPUTED_VALUE"""),1.0)</f>
        <v>1</v>
      </c>
      <c r="H11716" s="2">
        <f>IFERROR(__xludf.DUMMYFUNCTION("""COMPUTED_VALUE"""),1.0)</f>
        <v>1</v>
      </c>
      <c r="I11716" s="5">
        <f>IFERROR(__xludf.DUMMYFUNCTION("""COMPUTED_VALUE"""),1.0)</f>
        <v>1</v>
      </c>
      <c r="J11716" s="1" t="str">
        <f>IFERROR(__xludf.DUMMYFUNCTION("""COMPUTED_VALUE"""),"Ana Lazaro")</f>
        <v>Ana Lazaro</v>
      </c>
      <c r="K11716" s="1" t="str">
        <f>IFERROR(__xludf.DUMMYFUNCTION("""COMPUTED_VALUE"""),"Advanced Billing &amp; Subscriptions")</f>
        <v>Advanced Billing &amp; Subscriptions</v>
      </c>
      <c r="L11716" s="1" t="str">
        <f>IFERROR(__xludf.DUMMYFUNCTION("""COMPUTED_VALUE"""),"CPS Advanced Billing and Subscriptions (ABS)")</f>
        <v>CPS Advanced Billing and Subscriptions (ABS)</v>
      </c>
    </row>
    <row r="11717">
      <c r="A11717" s="1" t="str">
        <f>IFERROR(__xludf.DUMMYFUNCTION("""COMPUTED_VALUE"""),"2026 Apr")</f>
        <v>2026 Apr</v>
      </c>
      <c r="B11717" s="4">
        <f>IFERROR(__xludf.DUMMYFUNCTION("""COMPUTED_VALUE"""),46125.0)</f>
        <v>46125</v>
      </c>
      <c r="C11717" s="1" t="str">
        <f>IFERROR(__xludf.DUMMYFUNCTION("""COMPUTED_VALUE"""),"High Sensitivity Support")</f>
        <v>High Sensitivity Support</v>
      </c>
      <c r="D11717" s="1" t="str">
        <f>IFERROR(__xludf.DUMMYFUNCTION("""COMPUTED_VALUE"""),"8b075f45-27b1-469e-bbc3-e97261e6934d")</f>
        <v>8b075f45-27b1-469e-bbc3-e97261e6934d</v>
      </c>
      <c r="E11717" s="1">
        <f>IFERROR(__xludf.DUMMYFUNCTION("""COMPUTED_VALUE"""),5.202423769487E12)</f>
        <v>5202423769487</v>
      </c>
      <c r="F11717" s="1"/>
      <c r="G11717" s="1"/>
      <c r="H11717" s="2">
        <f>IFERROR(__xludf.DUMMYFUNCTION("""COMPUTED_VALUE"""),0.0)</f>
        <v>0</v>
      </c>
      <c r="I11717" s="5"/>
      <c r="J11717" s="1" t="str">
        <f>IFERROR(__xludf.DUMMYFUNCTION("""COMPUTED_VALUE"""),"Rex Villamor")</f>
        <v>Rex Villamor</v>
      </c>
      <c r="K11717" s="1" t="str">
        <f>IFERROR(__xludf.DUMMYFUNCTION("""COMPUTED_VALUE"""),"High Sensitivity Support PH")</f>
        <v>High Sensitivity Support PH</v>
      </c>
      <c r="L11717" s="1" t="str">
        <f>IFERROR(__xludf.DUMMYFUNCTION("""COMPUTED_VALUE"""),"HSS High Sensitivity Support PH - CHT")</f>
        <v>HSS High Sensitivity Support PH - CHT</v>
      </c>
    </row>
    <row r="11718">
      <c r="A11718" s="1" t="str">
        <f>IFERROR(__xludf.DUMMYFUNCTION("""COMPUTED_VALUE"""),"2026 Apr")</f>
        <v>2026 Apr</v>
      </c>
      <c r="B11718" s="4">
        <f>IFERROR(__xludf.DUMMYFUNCTION("""COMPUTED_VALUE"""),46125.0)</f>
        <v>46125</v>
      </c>
      <c r="C11718" s="1" t="str">
        <f>IFERROR(__xludf.DUMMYFUNCTION("""COMPUTED_VALUE"""),"Segment-specific Support")</f>
        <v>Segment-specific Support</v>
      </c>
      <c r="D11718" s="1" t="str">
        <f>IFERROR(__xludf.DUMMYFUNCTION("""COMPUTED_VALUE"""),"68027150-37ee-48bc-8dee-e459591aca37")</f>
        <v>68027150-37ee-48bc-8dee-e459591aca37</v>
      </c>
      <c r="E11718" s="1">
        <f>IFERROR(__xludf.DUMMYFUNCTION("""COMPUTED_VALUE"""),9.586408606607E12)</f>
        <v>9586408606607</v>
      </c>
      <c r="F11718" s="1"/>
      <c r="G11718" s="1"/>
      <c r="H11718" s="2">
        <f>IFERROR(__xludf.DUMMYFUNCTION("""COMPUTED_VALUE"""),0.0)</f>
        <v>0</v>
      </c>
      <c r="I11718" s="5"/>
      <c r="J11718" s="1" t="str">
        <f>IFERROR(__xludf.DUMMYFUNCTION("""COMPUTED_VALUE"""),"Rose Gabilan")</f>
        <v>Rose Gabilan</v>
      </c>
      <c r="K11718" s="1" t="str">
        <f>IFERROR(__xludf.DUMMYFUNCTION("""COMPUTED_VALUE"""),"Affinity Support")</f>
        <v>Affinity Support</v>
      </c>
      <c r="L11718" s="1" t="str">
        <f>IFERROR(__xludf.DUMMYFUNCTION("""COMPUTED_VALUE"""),"SSS Affinity - L1")</f>
        <v>SSS Affinity - L1</v>
      </c>
    </row>
    <row r="11719">
      <c r="A11719" s="1" t="str">
        <f>IFERROR(__xludf.DUMMYFUNCTION("""COMPUTED_VALUE"""),"2026 Apr")</f>
        <v>2026 Apr</v>
      </c>
      <c r="B11719" s="4">
        <f>IFERROR(__xludf.DUMMYFUNCTION("""COMPUTED_VALUE"""),46125.0)</f>
        <v>46125</v>
      </c>
      <c r="C11719" s="1" t="str">
        <f>IFERROR(__xludf.DUMMYFUNCTION("""COMPUTED_VALUE"""),"Core Product Support")</f>
        <v>Core Product Support</v>
      </c>
      <c r="D11719" s="1" t="str">
        <f>IFERROR(__xludf.DUMMYFUNCTION("""COMPUTED_VALUE"""),"2417322d-d75a-4184-9e3c-95ae48393a05")</f>
        <v>2417322d-d75a-4184-9e3c-95ae48393a05</v>
      </c>
      <c r="E11719" s="1">
        <f>IFERROR(__xludf.DUMMYFUNCTION("""COMPUTED_VALUE"""),3.61861297995E11)</f>
        <v>361861297995</v>
      </c>
      <c r="F11719" s="1"/>
      <c r="G11719" s="1">
        <f>IFERROR(__xludf.DUMMYFUNCTION("""COMPUTED_VALUE"""),1.25)</f>
        <v>1.25</v>
      </c>
      <c r="H11719" s="2">
        <f>IFERROR(__xludf.DUMMYFUNCTION("""COMPUTED_VALUE"""),1.25)</f>
        <v>1.25</v>
      </c>
      <c r="I11719" s="5">
        <f>IFERROR(__xludf.DUMMYFUNCTION("""COMPUTED_VALUE"""),1.0)</f>
        <v>1</v>
      </c>
      <c r="J11719" s="1" t="str">
        <f>IFERROR(__xludf.DUMMYFUNCTION("""COMPUTED_VALUE"""),"Jem Mondoñedo")</f>
        <v>Jem Mondoñedo</v>
      </c>
      <c r="K11719" s="1" t="str">
        <f>IFERROR(__xludf.DUMMYFUNCTION("""COMPUTED_VALUE"""),"Advanced Billing &amp; Subscriptions")</f>
        <v>Advanced Billing &amp; Subscriptions</v>
      </c>
      <c r="L11719" s="1" t="str">
        <f>IFERROR(__xludf.DUMMYFUNCTION("""COMPUTED_VALUE"""),"CPS Advanced Billing and Subscriptions (ABS)")</f>
        <v>CPS Advanced Billing and Subscriptions (ABS)</v>
      </c>
    </row>
    <row r="11720">
      <c r="A11720" s="1" t="str">
        <f>IFERROR(__xludf.DUMMYFUNCTION("""COMPUTED_VALUE"""),"2026 Apr")</f>
        <v>2026 Apr</v>
      </c>
      <c r="B11720" s="4">
        <f>IFERROR(__xludf.DUMMYFUNCTION("""COMPUTED_VALUE"""),46125.0)</f>
        <v>46125</v>
      </c>
      <c r="C11720" s="1" t="str">
        <f>IFERROR(__xludf.DUMMYFUNCTION("""COMPUTED_VALUE"""),"Segment-specific Support")</f>
        <v>Segment-specific Support</v>
      </c>
      <c r="D11720" s="1" t="str">
        <f>IFERROR(__xludf.DUMMYFUNCTION("""COMPUTED_VALUE"""),"4cae5e1d-2159-4afc-b9cd-a826e7f3982e")</f>
        <v>4cae5e1d-2159-4afc-b9cd-a826e7f3982e</v>
      </c>
      <c r="E11720" s="1">
        <f>IFERROR(__xludf.DUMMYFUNCTION("""COMPUTED_VALUE"""),3.61726424816E11)</f>
        <v>361726424816</v>
      </c>
      <c r="F11720" s="1"/>
      <c r="G11720" s="1"/>
      <c r="H11720" s="2">
        <f>IFERROR(__xludf.DUMMYFUNCTION("""COMPUTED_VALUE"""),0.0)</f>
        <v>0</v>
      </c>
      <c r="I11720" s="5"/>
      <c r="J11720" s="1" t="str">
        <f>IFERROR(__xludf.DUMMYFUNCTION("""COMPUTED_VALUE"""),"Aileen Dayanghirang")</f>
        <v>Aileen Dayanghirang</v>
      </c>
      <c r="K11720" s="1" t="str">
        <f>IFERROR(__xludf.DUMMYFUNCTION("""COMPUTED_VALUE"""),"Creators Support")</f>
        <v>Creators Support</v>
      </c>
      <c r="L11720" s="1" t="str">
        <f>IFERROR(__xludf.DUMMYFUNCTION("""COMPUTED_VALUE"""),"SSS Creators")</f>
        <v>SSS Creators</v>
      </c>
    </row>
    <row r="11721">
      <c r="A11721" s="1" t="str">
        <f>IFERROR(__xludf.DUMMYFUNCTION("""COMPUTED_VALUE"""),"2026 Apr")</f>
        <v>2026 Apr</v>
      </c>
      <c r="B11721" s="4">
        <f>IFERROR(__xludf.DUMMYFUNCTION("""COMPUTED_VALUE"""),46125.0)</f>
        <v>46125</v>
      </c>
      <c r="C11721" s="1" t="str">
        <f>IFERROR(__xludf.DUMMYFUNCTION("""COMPUTED_VALUE"""),"Core Product Support")</f>
        <v>Core Product Support</v>
      </c>
      <c r="D11721" s="1" t="str">
        <f>IFERROR(__xludf.DUMMYFUNCTION("""COMPUTED_VALUE"""),"ecc3a54c-2b13-4ea5-ad1e-96b8b278e7da")</f>
        <v>ecc3a54c-2b13-4ea5-ad1e-96b8b278e7da</v>
      </c>
      <c r="E11721" s="1">
        <f>IFERROR(__xludf.DUMMYFUNCTION("""COMPUTED_VALUE"""),1.0333050571535E13)</f>
        <v>10333050571535</v>
      </c>
      <c r="F11721" s="1"/>
      <c r="G11721" s="1">
        <f>IFERROR(__xludf.DUMMYFUNCTION("""COMPUTED_VALUE"""),1.25)</f>
        <v>1.25</v>
      </c>
      <c r="H11721" s="2">
        <f>IFERROR(__xludf.DUMMYFUNCTION("""COMPUTED_VALUE"""),1.25)</f>
        <v>1.25</v>
      </c>
      <c r="I11721" s="5">
        <f>IFERROR(__xludf.DUMMYFUNCTION("""COMPUTED_VALUE"""),1.0)</f>
        <v>1</v>
      </c>
      <c r="J11721" s="1" t="str">
        <f>IFERROR(__xludf.DUMMYFUNCTION("""COMPUTED_VALUE"""),"Mikhaela Decangchon")</f>
        <v>Mikhaela Decangchon</v>
      </c>
      <c r="K11721" s="1" t="str">
        <f>IFERROR(__xludf.DUMMYFUNCTION("""COMPUTED_VALUE"""),"Advanced Product Support")</f>
        <v>Advanced Product Support</v>
      </c>
      <c r="L11721" s="1" t="str">
        <f>IFERROR(__xludf.DUMMYFUNCTION("""COMPUTED_VALUE"""),"CPS Advanced Product Support (APS)")</f>
        <v>CPS Advanced Product Support (APS)</v>
      </c>
    </row>
    <row r="11722">
      <c r="A11722" s="1" t="str">
        <f>IFERROR(__xludf.DUMMYFUNCTION("""COMPUTED_VALUE"""),"2026 Apr")</f>
        <v>2026 Apr</v>
      </c>
      <c r="B11722" s="4">
        <f>IFERROR(__xludf.DUMMYFUNCTION("""COMPUTED_VALUE"""),46125.0)</f>
        <v>46125</v>
      </c>
      <c r="C11722" s="1" t="str">
        <f>IFERROR(__xludf.DUMMYFUNCTION("""COMPUTED_VALUE"""),"Print Support")</f>
        <v>Print Support</v>
      </c>
      <c r="D11722" s="1" t="str">
        <f>IFERROR(__xludf.DUMMYFUNCTION("""COMPUTED_VALUE"""),"c6cec3c3-9fe7-48ea-b63e-7658cdee4747")</f>
        <v>c6cec3c3-9fe7-48ea-b63e-7658cdee4747</v>
      </c>
      <c r="E11722" s="1">
        <f>IFERROR(__xludf.DUMMYFUNCTION("""COMPUTED_VALUE"""),5.901960272783E12)</f>
        <v>5901960272783</v>
      </c>
      <c r="F11722" s="1"/>
      <c r="G11722" s="1"/>
      <c r="H11722" s="2">
        <f>IFERROR(__xludf.DUMMYFUNCTION("""COMPUTED_VALUE"""),0.0)</f>
        <v>0</v>
      </c>
      <c r="I11722" s="5"/>
      <c r="J11722" s="1" t="str">
        <f>IFERROR(__xludf.DUMMYFUNCTION("""COMPUTED_VALUE"""),"Althea Mercado")</f>
        <v>Althea Mercado</v>
      </c>
      <c r="K11722" s="1" t="str">
        <f>IFERROR(__xludf.DUMMYFUNCTION("""COMPUTED_VALUE"""),"Print Support PH")</f>
        <v>Print Support PH</v>
      </c>
      <c r="L11722" s="1" t="str">
        <f>IFERROR(__xludf.DUMMYFUNCTION("""COMPUTED_VALUE"""),"Print Print - CHT")</f>
        <v>Print Print - CHT</v>
      </c>
    </row>
    <row r="11723">
      <c r="A11723" s="1" t="str">
        <f>IFERROR(__xludf.DUMMYFUNCTION("""COMPUTED_VALUE"""),"2026 Apr")</f>
        <v>2026 Apr</v>
      </c>
      <c r="B11723" s="4">
        <f>IFERROR(__xludf.DUMMYFUNCTION("""COMPUTED_VALUE"""),46125.0)</f>
        <v>46125</v>
      </c>
      <c r="C11723" s="1" t="str">
        <f>IFERROR(__xludf.DUMMYFUNCTION("""COMPUTED_VALUE"""),"Admin Support")</f>
        <v>Admin Support</v>
      </c>
      <c r="D11723" s="1" t="str">
        <f>IFERROR(__xludf.DUMMYFUNCTION("""COMPUTED_VALUE"""),"f1bbdd3e-ea42-496f-87a0-14d656a67a92")</f>
        <v>f1bbdd3e-ea42-496f-87a0-14d656a67a92</v>
      </c>
      <c r="E11723" s="1">
        <f>IFERROR(__xludf.DUMMYFUNCTION("""COMPUTED_VALUE"""),5.563904587279E12)</f>
        <v>5563904587279</v>
      </c>
      <c r="F11723" s="1"/>
      <c r="G11723" s="1"/>
      <c r="H11723" s="2">
        <f>IFERROR(__xludf.DUMMYFUNCTION("""COMPUTED_VALUE"""),0.0)</f>
        <v>0</v>
      </c>
      <c r="I11723" s="5"/>
      <c r="J11723" s="1" t="str">
        <f>IFERROR(__xludf.DUMMYFUNCTION("""COMPUTED_VALUE"""),"Nate Vela")</f>
        <v>Nate Vela</v>
      </c>
      <c r="K11723" s="1" t="str">
        <f>IFERROR(__xludf.DUMMYFUNCTION("""COMPUTED_VALUE"""),"Admin Support NA")</f>
        <v>Admin Support NA</v>
      </c>
      <c r="L11723" s="1" t="str">
        <f>IFERROR(__xludf.DUMMYFUNCTION("""COMPUTED_VALUE"""),"Admin NA")</f>
        <v>Admin NA</v>
      </c>
    </row>
    <row r="11724">
      <c r="A11724" s="1" t="str">
        <f>IFERROR(__xludf.DUMMYFUNCTION("""COMPUTED_VALUE"""),"2026 Apr")</f>
        <v>2026 Apr</v>
      </c>
      <c r="B11724" s="4">
        <f>IFERROR(__xludf.DUMMYFUNCTION("""COMPUTED_VALUE"""),46125.0)</f>
        <v>46125</v>
      </c>
      <c r="C11724" s="1" t="str">
        <f>IFERROR(__xludf.DUMMYFUNCTION("""COMPUTED_VALUE"""),"Core Product Support")</f>
        <v>Core Product Support</v>
      </c>
      <c r="D11724" s="1" t="str">
        <f>IFERROR(__xludf.DUMMYFUNCTION("""COMPUTED_VALUE"""),"3146744a-956c-4560-bc5a-70bcebe20785")</f>
        <v>3146744a-956c-4560-bc5a-70bcebe20785</v>
      </c>
      <c r="E11724" s="1">
        <f>IFERROR(__xludf.DUMMYFUNCTION("""COMPUTED_VALUE"""),3.61861297835E11)</f>
        <v>361861297835</v>
      </c>
      <c r="F11724" s="1"/>
      <c r="G11724" s="1">
        <f>IFERROR(__xludf.DUMMYFUNCTION("""COMPUTED_VALUE"""),1.25)</f>
        <v>1.25</v>
      </c>
      <c r="H11724" s="2">
        <f>IFERROR(__xludf.DUMMYFUNCTION("""COMPUTED_VALUE"""),1.25)</f>
        <v>1.25</v>
      </c>
      <c r="I11724" s="5">
        <f>IFERROR(__xludf.DUMMYFUNCTION("""COMPUTED_VALUE"""),1.0)</f>
        <v>1</v>
      </c>
      <c r="J11724" s="1" t="str">
        <f>IFERROR(__xludf.DUMMYFUNCTION("""COMPUTED_VALUE"""),"Jem Mondoñedo")</f>
        <v>Jem Mondoñedo</v>
      </c>
      <c r="K11724" s="1" t="str">
        <f>IFERROR(__xludf.DUMMYFUNCTION("""COMPUTED_VALUE"""),"Advanced Billing &amp; Subscriptions")</f>
        <v>Advanced Billing &amp; Subscriptions</v>
      </c>
      <c r="L11724" s="1" t="str">
        <f>IFERROR(__xludf.DUMMYFUNCTION("""COMPUTED_VALUE"""),"CPS Advanced Billing and Subscriptions (ABS)")</f>
        <v>CPS Advanced Billing and Subscriptions (ABS)</v>
      </c>
    </row>
    <row r="11725">
      <c r="A11725" s="1" t="str">
        <f>IFERROR(__xludf.DUMMYFUNCTION("""COMPUTED_VALUE"""),"2026 Apr")</f>
        <v>2026 Apr</v>
      </c>
      <c r="B11725" s="4">
        <f>IFERROR(__xludf.DUMMYFUNCTION("""COMPUTED_VALUE"""),46125.0)</f>
        <v>46125</v>
      </c>
      <c r="C11725" s="1" t="str">
        <f>IFERROR(__xludf.DUMMYFUNCTION("""COMPUTED_VALUE"""),"Print Support")</f>
        <v>Print Support</v>
      </c>
      <c r="D11725" s="1" t="str">
        <f>IFERROR(__xludf.DUMMYFUNCTION("""COMPUTED_VALUE"""),"30527ca4-aa21-4ba1-bf53-3e00c15dfada")</f>
        <v>30527ca4-aa21-4ba1-bf53-3e00c15dfada</v>
      </c>
      <c r="E11725" s="1">
        <f>IFERROR(__xludf.DUMMYFUNCTION("""COMPUTED_VALUE"""),5.359149526287E12)</f>
        <v>5359149526287</v>
      </c>
      <c r="F11725" s="1"/>
      <c r="G11725" s="1"/>
      <c r="H11725" s="2">
        <f>IFERROR(__xludf.DUMMYFUNCTION("""COMPUTED_VALUE"""),0.0)</f>
        <v>0</v>
      </c>
      <c r="I11725" s="5"/>
      <c r="J11725" s="1" t="str">
        <f>IFERROR(__xludf.DUMMYFUNCTION("""COMPUTED_VALUE"""),"Louise Dianne Estrella")</f>
        <v>Louise Dianne Estrella</v>
      </c>
      <c r="K11725" s="1" t="str">
        <f>IFERROR(__xludf.DUMMYFUNCTION("""COMPUTED_VALUE"""),"Print Support PH")</f>
        <v>Print Support PH</v>
      </c>
      <c r="L11725" s="1" t="str">
        <f>IFERROR(__xludf.DUMMYFUNCTION("""COMPUTED_VALUE"""),"Print Print - CHT")</f>
        <v>Print Print - CHT</v>
      </c>
    </row>
    <row r="11726">
      <c r="A11726" s="1" t="str">
        <f>IFERROR(__xludf.DUMMYFUNCTION("""COMPUTED_VALUE"""),"2026 Apr")</f>
        <v>2026 Apr</v>
      </c>
      <c r="B11726" s="4">
        <f>IFERROR(__xludf.DUMMYFUNCTION("""COMPUTED_VALUE"""),46125.0)</f>
        <v>46125</v>
      </c>
      <c r="C11726" s="1" t="str">
        <f>IFERROR(__xludf.DUMMYFUNCTION("""COMPUTED_VALUE"""),"High Sensitivity Support")</f>
        <v>High Sensitivity Support</v>
      </c>
      <c r="D11726" s="1" t="str">
        <f>IFERROR(__xludf.DUMMYFUNCTION("""COMPUTED_VALUE"""),"ed28aa1c-230f-414c-b415-191d703a8bac")</f>
        <v>ed28aa1c-230f-414c-b415-191d703a8bac</v>
      </c>
      <c r="E11726" s="1">
        <f>IFERROR(__xludf.DUMMYFUNCTION("""COMPUTED_VALUE"""),8.409870322319E12)</f>
        <v>8409870322319</v>
      </c>
      <c r="F11726" s="1"/>
      <c r="G11726" s="1"/>
      <c r="H11726" s="2">
        <f>IFERROR(__xludf.DUMMYFUNCTION("""COMPUTED_VALUE"""),0.0)</f>
        <v>0</v>
      </c>
      <c r="I11726" s="5"/>
      <c r="J11726" s="1" t="str">
        <f>IFERROR(__xludf.DUMMYFUNCTION("""COMPUTED_VALUE"""),"Rossheen Pura")</f>
        <v>Rossheen Pura</v>
      </c>
      <c r="K11726" s="1" t="str">
        <f>IFERROR(__xludf.DUMMYFUNCTION("""COMPUTED_VALUE"""),"High Sensitivity Support PH")</f>
        <v>High Sensitivity Support PH</v>
      </c>
      <c r="L11726" s="1" t="str">
        <f>IFERROR(__xludf.DUMMYFUNCTION("""COMPUTED_VALUE"""),"HSS High Sensitivity Support PH - CHT")</f>
        <v>HSS High Sensitivity Support PH - CHT</v>
      </c>
    </row>
    <row r="11727">
      <c r="A11727" s="1" t="str">
        <f>IFERROR(__xludf.DUMMYFUNCTION("""COMPUTED_VALUE"""),"2026 Apr")</f>
        <v>2026 Apr</v>
      </c>
      <c r="B11727" s="4">
        <f>IFERROR(__xludf.DUMMYFUNCTION("""COMPUTED_VALUE"""),46125.0)</f>
        <v>46125</v>
      </c>
      <c r="C11727" s="1" t="str">
        <f>IFERROR(__xludf.DUMMYFUNCTION("""COMPUTED_VALUE"""),"Segment-specific Support")</f>
        <v>Segment-specific Support</v>
      </c>
      <c r="D11727" s="1" t="str">
        <f>IFERROR(__xludf.DUMMYFUNCTION("""COMPUTED_VALUE"""),"df9ba7dd-188f-4978-8344-eb262fcbed64")</f>
        <v>df9ba7dd-188f-4978-8344-eb262fcbed64</v>
      </c>
      <c r="E11727" s="1">
        <f>IFERROR(__xludf.DUMMYFUNCTION("""COMPUTED_VALUE"""),5.729839272719E12)</f>
        <v>5729839272719</v>
      </c>
      <c r="F11727" s="1"/>
      <c r="G11727" s="1"/>
      <c r="H11727" s="2">
        <f>IFERROR(__xludf.DUMMYFUNCTION("""COMPUTED_VALUE"""),0.0)</f>
        <v>0</v>
      </c>
      <c r="I11727" s="5"/>
      <c r="J11727" s="1" t="str">
        <f>IFERROR(__xludf.DUMMYFUNCTION("""COMPUTED_VALUE"""),"Rose Gabilan")</f>
        <v>Rose Gabilan</v>
      </c>
      <c r="K11727" s="1" t="str">
        <f>IFERROR(__xludf.DUMMYFUNCTION("""COMPUTED_VALUE"""),"Affinity Support")</f>
        <v>Affinity Support</v>
      </c>
      <c r="L11727" s="1" t="str">
        <f>IFERROR(__xludf.DUMMYFUNCTION("""COMPUTED_VALUE"""),"SSS Affinity - L1")</f>
        <v>SSS Affinity - L1</v>
      </c>
    </row>
    <row r="11728">
      <c r="A11728" s="1" t="str">
        <f>IFERROR(__xludf.DUMMYFUNCTION("""COMPUTED_VALUE"""),"2026 Apr")</f>
        <v>2026 Apr</v>
      </c>
      <c r="B11728" s="4">
        <f>IFERROR(__xludf.DUMMYFUNCTION("""COMPUTED_VALUE"""),46125.0)</f>
        <v>46125</v>
      </c>
      <c r="C11728" s="1" t="str">
        <f>IFERROR(__xludf.DUMMYFUNCTION("""COMPUTED_VALUE"""),"Print Support")</f>
        <v>Print Support</v>
      </c>
      <c r="D11728" s="1" t="str">
        <f>IFERROR(__xludf.DUMMYFUNCTION("""COMPUTED_VALUE"""),"438e36b3-4d38-44fd-b78d-2f3e27dfd609")</f>
        <v>438e36b3-4d38-44fd-b78d-2f3e27dfd609</v>
      </c>
      <c r="E11728" s="1">
        <f>IFERROR(__xludf.DUMMYFUNCTION("""COMPUTED_VALUE"""),5.359189606799E12)</f>
        <v>5359189606799</v>
      </c>
      <c r="F11728" s="1"/>
      <c r="G11728" s="1"/>
      <c r="H11728" s="2">
        <f>IFERROR(__xludf.DUMMYFUNCTION("""COMPUTED_VALUE"""),0.0)</f>
        <v>0</v>
      </c>
      <c r="I11728" s="5"/>
      <c r="J11728" s="1" t="str">
        <f>IFERROR(__xludf.DUMMYFUNCTION("""COMPUTED_VALUE"""),"Louise Dianne Estrella")</f>
        <v>Louise Dianne Estrella</v>
      </c>
      <c r="K11728" s="1" t="str">
        <f>IFERROR(__xludf.DUMMYFUNCTION("""COMPUTED_VALUE"""),"Print Support PH")</f>
        <v>Print Support PH</v>
      </c>
      <c r="L11728" s="1" t="str">
        <f>IFERROR(__xludf.DUMMYFUNCTION("""COMPUTED_VALUE"""),"Print Print - CHT")</f>
        <v>Print Print - CHT</v>
      </c>
    </row>
    <row r="11729">
      <c r="A11729" s="1" t="str">
        <f>IFERROR(__xludf.DUMMYFUNCTION("""COMPUTED_VALUE"""),"2026 Apr")</f>
        <v>2026 Apr</v>
      </c>
      <c r="B11729" s="4">
        <f>IFERROR(__xludf.DUMMYFUNCTION("""COMPUTED_VALUE"""),46125.0)</f>
        <v>46125</v>
      </c>
      <c r="C11729" s="1" t="str">
        <f>IFERROR(__xludf.DUMMYFUNCTION("""COMPUTED_VALUE"""),"Admin Support")</f>
        <v>Admin Support</v>
      </c>
      <c r="D11729" s="1" t="str">
        <f>IFERROR(__xludf.DUMMYFUNCTION("""COMPUTED_VALUE"""),"d7fa60f7-5345-4940-b70f-a9ee1e24882e")</f>
        <v>d7fa60f7-5345-4940-b70f-a9ee1e24882e</v>
      </c>
      <c r="E11729" s="1">
        <f>IFERROR(__xludf.DUMMYFUNCTION("""COMPUTED_VALUE"""),3.61731792375E11)</f>
        <v>361731792375</v>
      </c>
      <c r="F11729" s="1"/>
      <c r="G11729" s="1">
        <f>IFERROR(__xludf.DUMMYFUNCTION("""COMPUTED_VALUE"""),1.5)</f>
        <v>1.5</v>
      </c>
      <c r="H11729" s="2">
        <f>IFERROR(__xludf.DUMMYFUNCTION("""COMPUTED_VALUE"""),1.5)</f>
        <v>1.5</v>
      </c>
      <c r="I11729" s="5">
        <f>IFERROR(__xludf.DUMMYFUNCTION("""COMPUTED_VALUE"""),1.0)</f>
        <v>1</v>
      </c>
      <c r="J11729" s="1" t="str">
        <f>IFERROR(__xludf.DUMMYFUNCTION("""COMPUTED_VALUE"""),"Karla Mananghaya")</f>
        <v>Karla Mananghaya</v>
      </c>
      <c r="K11729" s="1" t="str">
        <f>IFERROR(__xludf.DUMMYFUNCTION("""COMPUTED_VALUE"""),"Admin Support Service Escalation Team")</f>
        <v>Admin Support Service Escalation Team</v>
      </c>
      <c r="L11729" s="1" t="str">
        <f>IFERROR(__xludf.DUMMYFUNCTION("""COMPUTED_VALUE"""),"Admin ASSET")</f>
        <v>Admin ASSET</v>
      </c>
    </row>
    <row r="11730">
      <c r="A11730" s="1" t="str">
        <f>IFERROR(__xludf.DUMMYFUNCTION("""COMPUTED_VALUE"""),"2026 Apr")</f>
        <v>2026 Apr</v>
      </c>
      <c r="B11730" s="4">
        <f>IFERROR(__xludf.DUMMYFUNCTION("""COMPUTED_VALUE"""),46125.0)</f>
        <v>46125</v>
      </c>
      <c r="C11730" s="1" t="str">
        <f>IFERROR(__xludf.DUMMYFUNCTION("""COMPUTED_VALUE"""),"Core Product Support")</f>
        <v>Core Product Support</v>
      </c>
      <c r="D11730" s="1" t="str">
        <f>IFERROR(__xludf.DUMMYFUNCTION("""COMPUTED_VALUE"""),"5a22b3ea-0755-416b-a006-f5a0d4b19aba")</f>
        <v>5a22b3ea-0755-416b-a006-f5a0d4b19aba</v>
      </c>
      <c r="E11730" s="1">
        <f>IFERROR(__xludf.DUMMYFUNCTION("""COMPUTED_VALUE"""),5.202392949391E12)</f>
        <v>5202392949391</v>
      </c>
      <c r="F11730" s="1"/>
      <c r="G11730" s="1">
        <f>IFERROR(__xludf.DUMMYFUNCTION("""COMPUTED_VALUE"""),2.5)</f>
        <v>2.5</v>
      </c>
      <c r="H11730" s="2">
        <f>IFERROR(__xludf.DUMMYFUNCTION("""COMPUTED_VALUE"""),2.5)</f>
        <v>2.5</v>
      </c>
      <c r="I11730" s="5">
        <f>IFERROR(__xludf.DUMMYFUNCTION("""COMPUTED_VALUE"""),1.0)</f>
        <v>1</v>
      </c>
      <c r="J11730" s="1" t="str">
        <f>IFERROR(__xludf.DUMMYFUNCTION("""COMPUTED_VALUE"""),"Sieg Ballelos")</f>
        <v>Sieg Ballelos</v>
      </c>
      <c r="K11730" s="1" t="str">
        <f>IFERROR(__xludf.DUMMYFUNCTION("""COMPUTED_VALUE"""),"Core Product Support Escalation Team")</f>
        <v>Core Product Support Escalation Team</v>
      </c>
      <c r="L11730"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731">
      <c r="A11731" s="1" t="str">
        <f>IFERROR(__xludf.DUMMYFUNCTION("""COMPUTED_VALUE"""),"2026 Apr")</f>
        <v>2026 Apr</v>
      </c>
      <c r="B11731" s="4">
        <f>IFERROR(__xludf.DUMMYFUNCTION("""COMPUTED_VALUE"""),46125.0)</f>
        <v>46125</v>
      </c>
      <c r="C11731" s="1" t="str">
        <f>IFERROR(__xludf.DUMMYFUNCTION("""COMPUTED_VALUE"""),"Core Product Support")</f>
        <v>Core Product Support</v>
      </c>
      <c r="D11731" s="1" t="str">
        <f>IFERROR(__xludf.DUMMYFUNCTION("""COMPUTED_VALUE"""),"0ae24c9b-6172-4326-bb51-99cd5756da29")</f>
        <v>0ae24c9b-6172-4326-bb51-99cd5756da29</v>
      </c>
      <c r="E11731" s="1">
        <f>IFERROR(__xludf.DUMMYFUNCTION("""COMPUTED_VALUE"""),8.904479838351E12)</f>
        <v>8904479838351</v>
      </c>
      <c r="F11731" s="1"/>
      <c r="G11731" s="1">
        <f>IFERROR(__xludf.DUMMYFUNCTION("""COMPUTED_VALUE"""),0.5)</f>
        <v>0.5</v>
      </c>
      <c r="H11731" s="2">
        <f>IFERROR(__xludf.DUMMYFUNCTION("""COMPUTED_VALUE"""),0.5)</f>
        <v>0.5</v>
      </c>
      <c r="I11731" s="5">
        <f>IFERROR(__xludf.DUMMYFUNCTION("""COMPUTED_VALUE"""),1.0)</f>
        <v>1</v>
      </c>
      <c r="J11731" s="1" t="str">
        <f>IFERROR(__xludf.DUMMYFUNCTION("""COMPUTED_VALUE"""),"Ana Lazaro")</f>
        <v>Ana Lazaro</v>
      </c>
      <c r="K11731" s="1" t="str">
        <f>IFERROR(__xludf.DUMMYFUNCTION("""COMPUTED_VALUE"""),"Advanced Billing &amp; Subscriptions")</f>
        <v>Advanced Billing &amp; Subscriptions</v>
      </c>
      <c r="L11731" s="1" t="str">
        <f>IFERROR(__xludf.DUMMYFUNCTION("""COMPUTED_VALUE"""),"CPS Advanced Billing and Subscriptions (ABS)")</f>
        <v>CPS Advanced Billing and Subscriptions (ABS)</v>
      </c>
    </row>
    <row r="11732">
      <c r="A11732" s="1" t="str">
        <f>IFERROR(__xludf.DUMMYFUNCTION("""COMPUTED_VALUE"""),"2026 Apr")</f>
        <v>2026 Apr</v>
      </c>
      <c r="B11732" s="4">
        <f>IFERROR(__xludf.DUMMYFUNCTION("""COMPUTED_VALUE"""),46125.0)</f>
        <v>46125</v>
      </c>
      <c r="C11732" s="1" t="str">
        <f>IFERROR(__xludf.DUMMYFUNCTION("""COMPUTED_VALUE"""),"Segment-specific Support")</f>
        <v>Segment-specific Support</v>
      </c>
      <c r="D11732" s="1" t="str">
        <f>IFERROR(__xludf.DUMMYFUNCTION("""COMPUTED_VALUE"""),"702a1682-65ec-47f2-b736-d60aecc92e68")</f>
        <v>702a1682-65ec-47f2-b736-d60aecc92e68</v>
      </c>
      <c r="E11732" s="1">
        <f>IFERROR(__xludf.DUMMYFUNCTION("""COMPUTED_VALUE"""),3.61726425496E11)</f>
        <v>361726425496</v>
      </c>
      <c r="F11732" s="1"/>
      <c r="G11732" s="1"/>
      <c r="H11732" s="2">
        <f>IFERROR(__xludf.DUMMYFUNCTION("""COMPUTED_VALUE"""),0.0)</f>
        <v>0</v>
      </c>
      <c r="I11732" s="5"/>
      <c r="J11732" s="1" t="str">
        <f>IFERROR(__xludf.DUMMYFUNCTION("""COMPUTED_VALUE"""),"Aileen Dayanghirang")</f>
        <v>Aileen Dayanghirang</v>
      </c>
      <c r="K11732" s="1" t="str">
        <f>IFERROR(__xludf.DUMMYFUNCTION("""COMPUTED_VALUE"""),"Creators Support")</f>
        <v>Creators Support</v>
      </c>
      <c r="L11732" s="1" t="str">
        <f>IFERROR(__xludf.DUMMYFUNCTION("""COMPUTED_VALUE"""),"SSS Creators")</f>
        <v>SSS Creators</v>
      </c>
    </row>
    <row r="11733">
      <c r="A11733" s="1" t="str">
        <f>IFERROR(__xludf.DUMMYFUNCTION("""COMPUTED_VALUE"""),"2026 Apr")</f>
        <v>2026 Apr</v>
      </c>
      <c r="B11733" s="4">
        <f>IFERROR(__xludf.DUMMYFUNCTION("""COMPUTED_VALUE"""),46125.0)</f>
        <v>46125</v>
      </c>
      <c r="C11733" s="1" t="str">
        <f>IFERROR(__xludf.DUMMYFUNCTION("""COMPUTED_VALUE"""),"Print Support")</f>
        <v>Print Support</v>
      </c>
      <c r="D11733" s="1" t="str">
        <f>IFERROR(__xludf.DUMMYFUNCTION("""COMPUTED_VALUE"""),"5b9a60b0-b877-48e1-8013-eb7cdd15bd64")</f>
        <v>5b9a60b0-b877-48e1-8013-eb7cdd15bd64</v>
      </c>
      <c r="E11733" s="1">
        <f>IFERROR(__xludf.DUMMYFUNCTION("""COMPUTED_VALUE"""),3.61825394516E11)</f>
        <v>361825394516</v>
      </c>
      <c r="F11733" s="1"/>
      <c r="G11733" s="1"/>
      <c r="H11733" s="2">
        <f>IFERROR(__xludf.DUMMYFUNCTION("""COMPUTED_VALUE"""),0.0)</f>
        <v>0</v>
      </c>
      <c r="I11733" s="5"/>
      <c r="J11733" s="1" t="str">
        <f>IFERROR(__xludf.DUMMYFUNCTION("""COMPUTED_VALUE"""),"G-Anne Murillo")</f>
        <v>G-Anne Murillo</v>
      </c>
      <c r="K11733" s="1" t="str">
        <f>IFERROR(__xludf.DUMMYFUNCTION("""COMPUTED_VALUE"""),"Print Design Support")</f>
        <v>Print Design Support</v>
      </c>
      <c r="L11733" s="1" t="str">
        <f>IFERROR(__xludf.DUMMYFUNCTION("""COMPUTED_VALUE"""),"Print Print Design")</f>
        <v>Print Print Design</v>
      </c>
    </row>
    <row r="11734">
      <c r="A11734" s="1" t="str">
        <f>IFERROR(__xludf.DUMMYFUNCTION("""COMPUTED_VALUE"""),"2026 Apr")</f>
        <v>2026 Apr</v>
      </c>
      <c r="B11734" s="4">
        <f>IFERROR(__xludf.DUMMYFUNCTION("""COMPUTED_VALUE"""),46125.0)</f>
        <v>46125</v>
      </c>
      <c r="C11734" s="1" t="str">
        <f>IFERROR(__xludf.DUMMYFUNCTION("""COMPUTED_VALUE"""),"Admin Support")</f>
        <v>Admin Support</v>
      </c>
      <c r="D11734" s="1" t="str">
        <f>IFERROR(__xludf.DUMMYFUNCTION("""COMPUTED_VALUE"""),"582c23f3-af21-4402-83b6-920f8fd6fe88")</f>
        <v>582c23f3-af21-4402-83b6-920f8fd6fe88</v>
      </c>
      <c r="E11734" s="1">
        <f>IFERROR(__xludf.DUMMYFUNCTION("""COMPUTED_VALUE"""),5.566843512207E12)</f>
        <v>5566843512207</v>
      </c>
      <c r="F11734" s="1"/>
      <c r="G11734" s="1">
        <f>IFERROR(__xludf.DUMMYFUNCTION("""COMPUTED_VALUE"""),0.25)</f>
        <v>0.25</v>
      </c>
      <c r="H11734" s="2">
        <f>IFERROR(__xludf.DUMMYFUNCTION("""COMPUTED_VALUE"""),0.25)</f>
        <v>0.25</v>
      </c>
      <c r="I11734" s="5">
        <f>IFERROR(__xludf.DUMMYFUNCTION("""COMPUTED_VALUE"""),1.0)</f>
        <v>1</v>
      </c>
      <c r="J11734" s="1" t="str">
        <f>IFERROR(__xludf.DUMMYFUNCTION("""COMPUTED_VALUE"""),"AL Suarez")</f>
        <v>AL Suarez</v>
      </c>
      <c r="K11734" s="1" t="str">
        <f>IFERROR(__xludf.DUMMYFUNCTION("""COMPUTED_VALUE"""),"Print Support PH")</f>
        <v>Print Support PH</v>
      </c>
      <c r="L11734" s="1" t="str">
        <f>IFERROR(__xludf.DUMMYFUNCTION("""COMPUTED_VALUE"""),"Print Print - CHT")</f>
        <v>Print Print - CHT</v>
      </c>
    </row>
    <row r="11735">
      <c r="A11735" s="1" t="str">
        <f>IFERROR(__xludf.DUMMYFUNCTION("""COMPUTED_VALUE"""),"2026 Apr")</f>
        <v>2026 Apr</v>
      </c>
      <c r="B11735" s="4">
        <f>IFERROR(__xludf.DUMMYFUNCTION("""COMPUTED_VALUE"""),46125.0)</f>
        <v>46125</v>
      </c>
      <c r="C11735" s="1" t="str">
        <f>IFERROR(__xludf.DUMMYFUNCTION("""COMPUTED_VALUE"""),"Core Product Support")</f>
        <v>Core Product Support</v>
      </c>
      <c r="D11735" s="1" t="str">
        <f>IFERROR(__xludf.DUMMYFUNCTION("""COMPUTED_VALUE"""),"09e60261-b17e-4b45-ad03-6bfb6c6777b6")</f>
        <v>09e60261-b17e-4b45-ad03-6bfb6c6777b6</v>
      </c>
      <c r="E11735" s="1">
        <f>IFERROR(__xludf.DUMMYFUNCTION("""COMPUTED_VALUE"""),1.0548600594575E13)</f>
        <v>10548600594575</v>
      </c>
      <c r="F11735" s="1"/>
      <c r="G11735" s="1">
        <f>IFERROR(__xludf.DUMMYFUNCTION("""COMPUTED_VALUE"""),1.25)</f>
        <v>1.25</v>
      </c>
      <c r="H11735" s="2">
        <f>IFERROR(__xludf.DUMMYFUNCTION("""COMPUTED_VALUE"""),1.25)</f>
        <v>1.25</v>
      </c>
      <c r="I11735" s="5">
        <f>IFERROR(__xludf.DUMMYFUNCTION("""COMPUTED_VALUE"""),1.0)</f>
        <v>1</v>
      </c>
      <c r="J11735" s="1" t="str">
        <f>IFERROR(__xludf.DUMMYFUNCTION("""COMPUTED_VALUE"""),"Jem Mondoñedo")</f>
        <v>Jem Mondoñedo</v>
      </c>
      <c r="K11735" s="1" t="str">
        <f>IFERROR(__xludf.DUMMYFUNCTION("""COMPUTED_VALUE"""),"Advanced Billing &amp; Subscriptions")</f>
        <v>Advanced Billing &amp; Subscriptions</v>
      </c>
      <c r="L11735" s="1" t="str">
        <f>IFERROR(__xludf.DUMMYFUNCTION("""COMPUTED_VALUE"""),"CPS Advanced Billing and Subscriptions (ABS)")</f>
        <v>CPS Advanced Billing and Subscriptions (ABS)</v>
      </c>
    </row>
    <row r="11736">
      <c r="A11736" s="1" t="str">
        <f>IFERROR(__xludf.DUMMYFUNCTION("""COMPUTED_VALUE"""),"2026 Apr")</f>
        <v>2026 Apr</v>
      </c>
      <c r="B11736" s="4">
        <f>IFERROR(__xludf.DUMMYFUNCTION("""COMPUTED_VALUE"""),46125.0)</f>
        <v>46125</v>
      </c>
      <c r="C11736" s="1" t="str">
        <f>IFERROR(__xludf.DUMMYFUNCTION("""COMPUTED_VALUE"""),"Multilingual Support")</f>
        <v>Multilingual Support</v>
      </c>
      <c r="D11736" s="1" t="str">
        <f>IFERROR(__xludf.DUMMYFUNCTION("""COMPUTED_VALUE"""),"a08e6c23-8f56-4eb2-a86d-ff398e709601")</f>
        <v>a08e6c23-8f56-4eb2-a86d-ff398e709601</v>
      </c>
      <c r="E11736" s="1">
        <f>IFERROR(__xludf.DUMMYFUNCTION("""COMPUTED_VALUE"""),3.61744520136E11)</f>
        <v>361744520136</v>
      </c>
      <c r="F11736" s="1"/>
      <c r="G11736" s="1"/>
      <c r="H11736" s="2">
        <f>IFERROR(__xludf.DUMMYFUNCTION("""COMPUTED_VALUE"""),0.0)</f>
        <v>0</v>
      </c>
      <c r="I11736" s="5"/>
      <c r="J11736" s="1" t="str">
        <f>IFERROR(__xludf.DUMMYFUNCTION("""COMPUTED_VALUE"""),"Arlene Maurillo")</f>
        <v>Arlene Maurillo</v>
      </c>
      <c r="K11736" s="1" t="str">
        <f>IFERROR(__xludf.DUMMYFUNCTION("""COMPUTED_VALUE"""),"PHL, Multilingual Support")</f>
        <v>PHL, Multilingual Support</v>
      </c>
      <c r="L11736" s="1" t="str">
        <f>IFERROR(__xludf.DUMMYFUNCTION("""COMPUTED_VALUE"""),"ML Spanish Support")</f>
        <v>ML Spanish Support</v>
      </c>
    </row>
    <row r="11737">
      <c r="A11737" s="1" t="str">
        <f>IFERROR(__xludf.DUMMYFUNCTION("""COMPUTED_VALUE"""),"2026 Apr")</f>
        <v>2026 Apr</v>
      </c>
      <c r="B11737" s="4">
        <f>IFERROR(__xludf.DUMMYFUNCTION("""COMPUTED_VALUE"""),46125.0)</f>
        <v>46125</v>
      </c>
      <c r="C11737" s="1" t="str">
        <f>IFERROR(__xludf.DUMMYFUNCTION("""COMPUTED_VALUE"""),"Core Product Support")</f>
        <v>Core Product Support</v>
      </c>
      <c r="D11737" s="1" t="str">
        <f>IFERROR(__xludf.DUMMYFUNCTION("""COMPUTED_VALUE"""),"9160bc84-9174-4736-bd46-926c52c66223")</f>
        <v>9160bc84-9174-4736-bd46-926c52c66223</v>
      </c>
      <c r="E11737" s="1">
        <f>IFERROR(__xludf.DUMMYFUNCTION("""COMPUTED_VALUE"""),3.61731516675E11)</f>
        <v>361731516675</v>
      </c>
      <c r="F11737" s="1"/>
      <c r="G11737" s="1">
        <f>IFERROR(__xludf.DUMMYFUNCTION("""COMPUTED_VALUE"""),1.25)</f>
        <v>1.25</v>
      </c>
      <c r="H11737" s="2">
        <f>IFERROR(__xludf.DUMMYFUNCTION("""COMPUTED_VALUE"""),1.25)</f>
        <v>1.25</v>
      </c>
      <c r="I11737" s="5">
        <f>IFERROR(__xludf.DUMMYFUNCTION("""COMPUTED_VALUE"""),1.0)</f>
        <v>1</v>
      </c>
      <c r="J11737" s="1" t="str">
        <f>IFERROR(__xludf.DUMMYFUNCTION("""COMPUTED_VALUE"""),"Cherry Macam")</f>
        <v>Cherry Macam</v>
      </c>
      <c r="K11737" s="1" t="str">
        <f>IFERROR(__xludf.DUMMYFUNCTION("""COMPUTED_VALUE"""),"Advanced Billing &amp; Subscriptions")</f>
        <v>Advanced Billing &amp; Subscriptions</v>
      </c>
      <c r="L11737" s="1" t="str">
        <f>IFERROR(__xludf.DUMMYFUNCTION("""COMPUTED_VALUE"""),"CPS Advanced Billing and Subscriptions (ABS)")</f>
        <v>CPS Advanced Billing and Subscriptions (ABS)</v>
      </c>
    </row>
    <row r="11738">
      <c r="A11738" s="1" t="str">
        <f>IFERROR(__xludf.DUMMYFUNCTION("""COMPUTED_VALUE"""),"2026 Apr")</f>
        <v>2026 Apr</v>
      </c>
      <c r="B11738" s="4">
        <f>IFERROR(__xludf.DUMMYFUNCTION("""COMPUTED_VALUE"""),46125.0)</f>
        <v>46125</v>
      </c>
      <c r="C11738" s="1" t="str">
        <f>IFERROR(__xludf.DUMMYFUNCTION("""COMPUTED_VALUE"""),"Core Product Support")</f>
        <v>Core Product Support</v>
      </c>
      <c r="D11738" s="1" t="str">
        <f>IFERROR(__xludf.DUMMYFUNCTION("""COMPUTED_VALUE"""),"4db6d8c1-797e-4f39-9494-3babf0366bc0")</f>
        <v>4db6d8c1-797e-4f39-9494-3babf0366bc0</v>
      </c>
      <c r="E11738" s="1">
        <f>IFERROR(__xludf.DUMMYFUNCTION("""COMPUTED_VALUE"""),3.61731943715E11)</f>
        <v>361731943715</v>
      </c>
      <c r="F11738" s="1"/>
      <c r="G11738" s="1">
        <f>IFERROR(__xludf.DUMMYFUNCTION("""COMPUTED_VALUE"""),2.5)</f>
        <v>2.5</v>
      </c>
      <c r="H11738" s="2">
        <f>IFERROR(__xludf.DUMMYFUNCTION("""COMPUTED_VALUE"""),2.5)</f>
        <v>2.5</v>
      </c>
      <c r="I11738" s="5">
        <f>IFERROR(__xludf.DUMMYFUNCTION("""COMPUTED_VALUE"""),1.0)</f>
        <v>1</v>
      </c>
      <c r="J11738" s="1" t="str">
        <f>IFERROR(__xludf.DUMMYFUNCTION("""COMPUTED_VALUE"""),"Sieg Ballelos")</f>
        <v>Sieg Ballelos</v>
      </c>
      <c r="K11738" s="1" t="str">
        <f>IFERROR(__xludf.DUMMYFUNCTION("""COMPUTED_VALUE"""),"Core Product Support Escalation Team")</f>
        <v>Core Product Support Escalation Team</v>
      </c>
      <c r="L11738"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739">
      <c r="A11739" s="1" t="str">
        <f>IFERROR(__xludf.DUMMYFUNCTION("""COMPUTED_VALUE"""),"2026 Apr")</f>
        <v>2026 Apr</v>
      </c>
      <c r="B11739" s="4">
        <f>IFERROR(__xludf.DUMMYFUNCTION("""COMPUTED_VALUE"""),46125.0)</f>
        <v>46125</v>
      </c>
      <c r="C11739" s="1" t="str">
        <f>IFERROR(__xludf.DUMMYFUNCTION("""COMPUTED_VALUE"""),"Core Product Support")</f>
        <v>Core Product Support</v>
      </c>
      <c r="D11739" s="1" t="str">
        <f>IFERROR(__xludf.DUMMYFUNCTION("""COMPUTED_VALUE"""),"961e0a53-62a6-4087-8811-6449381daa52")</f>
        <v>961e0a53-62a6-4087-8811-6449381daa52</v>
      </c>
      <c r="E11739" s="1">
        <f>IFERROR(__xludf.DUMMYFUNCTION("""COMPUTED_VALUE"""),3.61694638315E11)</f>
        <v>361694638315</v>
      </c>
      <c r="F11739" s="1"/>
      <c r="G11739" s="1">
        <f>IFERROR(__xludf.DUMMYFUNCTION("""COMPUTED_VALUE"""),1.5)</f>
        <v>1.5</v>
      </c>
      <c r="H11739" s="2">
        <f>IFERROR(__xludf.DUMMYFUNCTION("""COMPUTED_VALUE"""),1.5)</f>
        <v>1.5</v>
      </c>
      <c r="I11739" s="5">
        <f>IFERROR(__xludf.DUMMYFUNCTION("""COMPUTED_VALUE"""),1.0)</f>
        <v>1</v>
      </c>
      <c r="J11739" s="1" t="str">
        <f>IFERROR(__xludf.DUMMYFUNCTION("""COMPUTED_VALUE"""),"Ellaine Estayo")</f>
        <v>Ellaine Estayo</v>
      </c>
      <c r="K11739" s="1" t="str">
        <f>IFERROR(__xludf.DUMMYFUNCTION("""COMPUTED_VALUE"""),"Core Product Support Escalation Team")</f>
        <v>Core Product Support Escalation Team</v>
      </c>
      <c r="L11739"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740">
      <c r="A11740" s="1" t="str">
        <f>IFERROR(__xludf.DUMMYFUNCTION("""COMPUTED_VALUE"""),"2026 Apr")</f>
        <v>2026 Apr</v>
      </c>
      <c r="B11740" s="4">
        <f>IFERROR(__xludf.DUMMYFUNCTION("""COMPUTED_VALUE"""),46125.0)</f>
        <v>46125</v>
      </c>
      <c r="C11740" s="1" t="str">
        <f>IFERROR(__xludf.DUMMYFUNCTION("""COMPUTED_VALUE"""),"Print Support")</f>
        <v>Print Support</v>
      </c>
      <c r="D11740" s="1" t="str">
        <f>IFERROR(__xludf.DUMMYFUNCTION("""COMPUTED_VALUE"""),"4b906fe3-66c8-454a-a7d0-1f50f4b6cdf4")</f>
        <v>4b906fe3-66c8-454a-a7d0-1f50f4b6cdf4</v>
      </c>
      <c r="E11740" s="1">
        <f>IFERROR(__xludf.DUMMYFUNCTION("""COMPUTED_VALUE"""),3.61825398056E11)</f>
        <v>361825398056</v>
      </c>
      <c r="F11740" s="1"/>
      <c r="G11740" s="1"/>
      <c r="H11740" s="2">
        <f>IFERROR(__xludf.DUMMYFUNCTION("""COMPUTED_VALUE"""),0.0)</f>
        <v>0</v>
      </c>
      <c r="I11740" s="5"/>
      <c r="J11740" s="1" t="str">
        <f>IFERROR(__xludf.DUMMYFUNCTION("""COMPUTED_VALUE"""),"Rei De Jesus")</f>
        <v>Rei De Jesus</v>
      </c>
      <c r="K11740" s="1" t="str">
        <f>IFERROR(__xludf.DUMMYFUNCTION("""COMPUTED_VALUE"""),"Print Design Support")</f>
        <v>Print Design Support</v>
      </c>
      <c r="L11740" s="1" t="str">
        <f>IFERROR(__xludf.DUMMYFUNCTION("""COMPUTED_VALUE"""),"Print Print Design")</f>
        <v>Print Print Design</v>
      </c>
    </row>
    <row r="11741">
      <c r="A11741" s="1" t="str">
        <f>IFERROR(__xludf.DUMMYFUNCTION("""COMPUTED_VALUE"""),"2026 Apr")</f>
        <v>2026 Apr</v>
      </c>
      <c r="B11741" s="4">
        <f>IFERROR(__xludf.DUMMYFUNCTION("""COMPUTED_VALUE"""),46125.0)</f>
        <v>46125</v>
      </c>
      <c r="C11741" s="1" t="str">
        <f>IFERROR(__xludf.DUMMYFUNCTION("""COMPUTED_VALUE"""),"Core Product Support")</f>
        <v>Core Product Support</v>
      </c>
      <c r="D11741" s="1" t="str">
        <f>IFERROR(__xludf.DUMMYFUNCTION("""COMPUTED_VALUE"""),"7f8ea57d-3bc6-435c-ac89-36216f416d2b")</f>
        <v>7f8ea57d-3bc6-435c-ac89-36216f416d2b</v>
      </c>
      <c r="E11741" s="1">
        <f>IFERROR(__xludf.DUMMYFUNCTION("""COMPUTED_VALUE"""),5.202392782223E12)</f>
        <v>5202392782223</v>
      </c>
      <c r="F11741" s="1"/>
      <c r="G11741" s="1">
        <f>IFERROR(__xludf.DUMMYFUNCTION("""COMPUTED_VALUE"""),1.25)</f>
        <v>1.25</v>
      </c>
      <c r="H11741" s="2">
        <f>IFERROR(__xludf.DUMMYFUNCTION("""COMPUTED_VALUE"""),1.25)</f>
        <v>1.25</v>
      </c>
      <c r="I11741" s="5">
        <f>IFERROR(__xludf.DUMMYFUNCTION("""COMPUTED_VALUE"""),1.0)</f>
        <v>1</v>
      </c>
      <c r="J11741" s="1" t="str">
        <f>IFERROR(__xludf.DUMMYFUNCTION("""COMPUTED_VALUE"""),"Renette Bok")</f>
        <v>Renette Bok</v>
      </c>
      <c r="K11741" s="1" t="str">
        <f>IFERROR(__xludf.DUMMYFUNCTION("""COMPUTED_VALUE"""),"Advanced Billing &amp; Subscriptions")</f>
        <v>Advanced Billing &amp; Subscriptions</v>
      </c>
      <c r="L11741" s="1" t="str">
        <f>IFERROR(__xludf.DUMMYFUNCTION("""COMPUTED_VALUE"""),"CPS Advanced Billing and Subscriptions (ABS)")</f>
        <v>CPS Advanced Billing and Subscriptions (ABS)</v>
      </c>
    </row>
    <row r="11742">
      <c r="A11742" s="1" t="str">
        <f>IFERROR(__xludf.DUMMYFUNCTION("""COMPUTED_VALUE"""),"2026 Apr")</f>
        <v>2026 Apr</v>
      </c>
      <c r="B11742" s="4">
        <f>IFERROR(__xludf.DUMMYFUNCTION("""COMPUTED_VALUE"""),46125.0)</f>
        <v>46125</v>
      </c>
      <c r="C11742" s="1" t="str">
        <f>IFERROR(__xludf.DUMMYFUNCTION("""COMPUTED_VALUE"""),"Core Product Support")</f>
        <v>Core Product Support</v>
      </c>
      <c r="D11742" s="1" t="str">
        <f>IFERROR(__xludf.DUMMYFUNCTION("""COMPUTED_VALUE"""),"5aed746e-cb5c-469a-8821-9e6506c7b9e6")</f>
        <v>5aed746e-cb5c-469a-8821-9e6506c7b9e6</v>
      </c>
      <c r="E11742" s="1">
        <f>IFERROR(__xludf.DUMMYFUNCTION("""COMPUTED_VALUE"""),3.61731350535E11)</f>
        <v>361731350535</v>
      </c>
      <c r="F11742" s="1"/>
      <c r="G11742" s="1">
        <f>IFERROR(__xludf.DUMMYFUNCTION("""COMPUTED_VALUE"""),1.25)</f>
        <v>1.25</v>
      </c>
      <c r="H11742" s="2">
        <f>IFERROR(__xludf.DUMMYFUNCTION("""COMPUTED_VALUE"""),1.25)</f>
        <v>1.25</v>
      </c>
      <c r="I11742" s="5">
        <f>IFERROR(__xludf.DUMMYFUNCTION("""COMPUTED_VALUE"""),1.0)</f>
        <v>1</v>
      </c>
      <c r="J11742" s="1" t="str">
        <f>IFERROR(__xludf.DUMMYFUNCTION("""COMPUTED_VALUE"""),"Vinz Lazaro")</f>
        <v>Vinz Lazaro</v>
      </c>
      <c r="K11742" s="1" t="str">
        <f>IFERROR(__xludf.DUMMYFUNCTION("""COMPUTED_VALUE"""),"Advanced Product Support")</f>
        <v>Advanced Product Support</v>
      </c>
      <c r="L11742" s="1" t="str">
        <f>IFERROR(__xludf.DUMMYFUNCTION("""COMPUTED_VALUE"""),"CPS Advanced Product Support (APS)")</f>
        <v>CPS Advanced Product Support (APS)</v>
      </c>
    </row>
    <row r="11743">
      <c r="A11743" s="1" t="str">
        <f>IFERROR(__xludf.DUMMYFUNCTION("""COMPUTED_VALUE"""),"2026 Apr")</f>
        <v>2026 Apr</v>
      </c>
      <c r="B11743" s="4">
        <f>IFERROR(__xludf.DUMMYFUNCTION("""COMPUTED_VALUE"""),46125.0)</f>
        <v>46125</v>
      </c>
      <c r="C11743" s="1" t="str">
        <f>IFERROR(__xludf.DUMMYFUNCTION("""COMPUTED_VALUE"""),"Core Product Support")</f>
        <v>Core Product Support</v>
      </c>
      <c r="D11743" s="1" t="str">
        <f>IFERROR(__xludf.DUMMYFUNCTION("""COMPUTED_VALUE"""),"a5566f0b-0c7b-4dd5-a5bf-cc571ed45f36")</f>
        <v>a5566f0b-0c7b-4dd5-a5bf-cc571ed45f36</v>
      </c>
      <c r="E11743" s="1">
        <f>IFERROR(__xludf.DUMMYFUNCTION("""COMPUTED_VALUE"""),1.0333033796879E13)</f>
        <v>10333033796879</v>
      </c>
      <c r="F11743" s="1"/>
      <c r="G11743" s="1">
        <f>IFERROR(__xludf.DUMMYFUNCTION("""COMPUTED_VALUE"""),1.25)</f>
        <v>1.25</v>
      </c>
      <c r="H11743" s="2">
        <f>IFERROR(__xludf.DUMMYFUNCTION("""COMPUTED_VALUE"""),1.25)</f>
        <v>1.25</v>
      </c>
      <c r="I11743" s="5">
        <f>IFERROR(__xludf.DUMMYFUNCTION("""COMPUTED_VALUE"""),1.0)</f>
        <v>1</v>
      </c>
      <c r="J11743" s="1" t="str">
        <f>IFERROR(__xludf.DUMMYFUNCTION("""COMPUTED_VALUE"""),"Cate Velasco")</f>
        <v>Cate Velasco</v>
      </c>
      <c r="K11743" s="1" t="str">
        <f>IFERROR(__xludf.DUMMYFUNCTION("""COMPUTED_VALUE"""),"Advanced Product Support")</f>
        <v>Advanced Product Support</v>
      </c>
      <c r="L11743" s="1" t="str">
        <f>IFERROR(__xludf.DUMMYFUNCTION("""COMPUTED_VALUE"""),"CPS Advanced Product Support (APS)")</f>
        <v>CPS Advanced Product Support (APS)</v>
      </c>
    </row>
    <row r="11744">
      <c r="A11744" s="1" t="str">
        <f>IFERROR(__xludf.DUMMYFUNCTION("""COMPUTED_VALUE"""),"2026 Apr")</f>
        <v>2026 Apr</v>
      </c>
      <c r="B11744" s="4">
        <f>IFERROR(__xludf.DUMMYFUNCTION("""COMPUTED_VALUE"""),46125.0)</f>
        <v>46125</v>
      </c>
      <c r="C11744" s="1" t="str">
        <f>IFERROR(__xludf.DUMMYFUNCTION("""COMPUTED_VALUE"""),"Segment-specific Support")</f>
        <v>Segment-specific Support</v>
      </c>
      <c r="D11744" s="1" t="str">
        <f>IFERROR(__xludf.DUMMYFUNCTION("""COMPUTED_VALUE"""),"98f36067-d801-431b-ba9a-fcb9a6ae433a")</f>
        <v>98f36067-d801-431b-ba9a-fcb9a6ae433a</v>
      </c>
      <c r="E11744" s="1">
        <f>IFERROR(__xludf.DUMMYFUNCTION("""COMPUTED_VALUE"""),3.61731350795E11)</f>
        <v>361731350795</v>
      </c>
      <c r="F11744" s="1"/>
      <c r="G11744" s="1"/>
      <c r="H11744" s="2">
        <f>IFERROR(__xludf.DUMMYFUNCTION("""COMPUTED_VALUE"""),0.0)</f>
        <v>0</v>
      </c>
      <c r="I11744" s="5"/>
      <c r="J11744" s="1" t="str">
        <f>IFERROR(__xludf.DUMMYFUNCTION("""COMPUTED_VALUE"""),"Rose Gabilan")</f>
        <v>Rose Gabilan</v>
      </c>
      <c r="K11744" s="1" t="str">
        <f>IFERROR(__xludf.DUMMYFUNCTION("""COMPUTED_VALUE"""),"Affinity Support")</f>
        <v>Affinity Support</v>
      </c>
      <c r="L11744" s="1" t="str">
        <f>IFERROR(__xludf.DUMMYFUNCTION("""COMPUTED_VALUE"""),"SSS Affinity - L1")</f>
        <v>SSS Affinity - L1</v>
      </c>
    </row>
    <row r="11745">
      <c r="A11745" s="1" t="str">
        <f>IFERROR(__xludf.DUMMYFUNCTION("""COMPUTED_VALUE"""),"2026 Apr")</f>
        <v>2026 Apr</v>
      </c>
      <c r="B11745" s="4">
        <f>IFERROR(__xludf.DUMMYFUNCTION("""COMPUTED_VALUE"""),46125.0)</f>
        <v>46125</v>
      </c>
      <c r="C11745" s="1" t="str">
        <f>IFERROR(__xludf.DUMMYFUNCTION("""COMPUTED_VALUE"""),"Core Product Support")</f>
        <v>Core Product Support</v>
      </c>
      <c r="D11745" s="1" t="str">
        <f>IFERROR(__xludf.DUMMYFUNCTION("""COMPUTED_VALUE"""),"7d586eb5-1b74-4e56-b56f-6c2807700cb7")</f>
        <v>7d586eb5-1b74-4e56-b56f-6c2807700cb7</v>
      </c>
      <c r="E11745" s="1">
        <f>IFERROR(__xludf.DUMMYFUNCTION("""COMPUTED_VALUE"""),5.202378938383E12)</f>
        <v>5202378938383</v>
      </c>
      <c r="F11745" s="1"/>
      <c r="G11745" s="1">
        <f>IFERROR(__xludf.DUMMYFUNCTION("""COMPUTED_VALUE"""),2.5)</f>
        <v>2.5</v>
      </c>
      <c r="H11745" s="2">
        <f>IFERROR(__xludf.DUMMYFUNCTION("""COMPUTED_VALUE"""),2.5)</f>
        <v>2.5</v>
      </c>
      <c r="I11745" s="5">
        <f>IFERROR(__xludf.DUMMYFUNCTION("""COMPUTED_VALUE"""),1.0)</f>
        <v>1</v>
      </c>
      <c r="J11745" s="1" t="str">
        <f>IFERROR(__xludf.DUMMYFUNCTION("""COMPUTED_VALUE"""),"Sieg Ballelos")</f>
        <v>Sieg Ballelos</v>
      </c>
      <c r="K11745" s="1" t="str">
        <f>IFERROR(__xludf.DUMMYFUNCTION("""COMPUTED_VALUE"""),"Core Product Support Escalation Team")</f>
        <v>Core Product Support Escalation Team</v>
      </c>
      <c r="L11745"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746">
      <c r="A11746" s="1" t="str">
        <f>IFERROR(__xludf.DUMMYFUNCTION("""COMPUTED_VALUE"""),"2026 Apr")</f>
        <v>2026 Apr</v>
      </c>
      <c r="B11746" s="4">
        <f>IFERROR(__xludf.DUMMYFUNCTION("""COMPUTED_VALUE"""),46125.0)</f>
        <v>46125</v>
      </c>
      <c r="C11746" s="1" t="str">
        <f>IFERROR(__xludf.DUMMYFUNCTION("""COMPUTED_VALUE"""),"Core Product Support")</f>
        <v>Core Product Support</v>
      </c>
      <c r="D11746" s="1" t="str">
        <f>IFERROR(__xludf.DUMMYFUNCTION("""COMPUTED_VALUE"""),"c7d7e66b-4dfe-47b9-a47f-66af76d8fb19")</f>
        <v>c7d7e66b-4dfe-47b9-a47f-66af76d8fb19</v>
      </c>
      <c r="E11746" s="1">
        <f>IFERROR(__xludf.DUMMYFUNCTION("""COMPUTED_VALUE"""),1.1401981374607E13)</f>
        <v>11401981374607</v>
      </c>
      <c r="F11746" s="1"/>
      <c r="G11746" s="1">
        <f>IFERROR(__xludf.DUMMYFUNCTION("""COMPUTED_VALUE"""),1.25)</f>
        <v>1.25</v>
      </c>
      <c r="H11746" s="2">
        <f>IFERROR(__xludf.DUMMYFUNCTION("""COMPUTED_VALUE"""),1.25)</f>
        <v>1.25</v>
      </c>
      <c r="I11746" s="5">
        <f>IFERROR(__xludf.DUMMYFUNCTION("""COMPUTED_VALUE"""),1.0)</f>
        <v>1</v>
      </c>
      <c r="J11746" s="1" t="str">
        <f>IFERROR(__xludf.DUMMYFUNCTION("""COMPUTED_VALUE"""),"Belle Bentazal")</f>
        <v>Belle Bentazal</v>
      </c>
      <c r="K11746" s="1" t="str">
        <f>IFERROR(__xludf.DUMMYFUNCTION("""COMPUTED_VALUE"""),"Advanced Product Support")</f>
        <v>Advanced Product Support</v>
      </c>
      <c r="L11746" s="1" t="str">
        <f>IFERROR(__xludf.DUMMYFUNCTION("""COMPUTED_VALUE"""),"CPS Advanced Product Support (APS)")</f>
        <v>CPS Advanced Product Support (APS)</v>
      </c>
    </row>
    <row r="11747">
      <c r="A11747" s="1" t="str">
        <f>IFERROR(__xludf.DUMMYFUNCTION("""COMPUTED_VALUE"""),"2026 Apr")</f>
        <v>2026 Apr</v>
      </c>
      <c r="B11747" s="4">
        <f>IFERROR(__xludf.DUMMYFUNCTION("""COMPUTED_VALUE"""),46125.0)</f>
        <v>46125</v>
      </c>
      <c r="C11747" s="1" t="str">
        <f>IFERROR(__xludf.DUMMYFUNCTION("""COMPUTED_VALUE"""),"Print Support")</f>
        <v>Print Support</v>
      </c>
      <c r="D11747" s="1" t="str">
        <f>IFERROR(__xludf.DUMMYFUNCTION("""COMPUTED_VALUE"""),"10b96ef4-077e-4868-9c27-17d96d8b4f68")</f>
        <v>10b96ef4-077e-4868-9c27-17d96d8b4f68</v>
      </c>
      <c r="E11747" s="1">
        <f>IFERROR(__xludf.DUMMYFUNCTION("""COMPUTED_VALUE"""),3.61744117796E11)</f>
        <v>361744117796</v>
      </c>
      <c r="F11747" s="1"/>
      <c r="G11747" s="1">
        <f>IFERROR(__xludf.DUMMYFUNCTION("""COMPUTED_VALUE"""),2.5)</f>
        <v>2.5</v>
      </c>
      <c r="H11747" s="2">
        <f>IFERROR(__xludf.DUMMYFUNCTION("""COMPUTED_VALUE"""),2.5)</f>
        <v>2.5</v>
      </c>
      <c r="I11747" s="5">
        <f>IFERROR(__xludf.DUMMYFUNCTION("""COMPUTED_VALUE"""),1.0)</f>
        <v>1</v>
      </c>
      <c r="J11747" s="1" t="str">
        <f>IFERROR(__xludf.DUMMYFUNCTION("""COMPUTED_VALUE"""),"Jen Momo")</f>
        <v>Jen Momo</v>
      </c>
      <c r="K11747" s="1" t="str">
        <f>IFERROR(__xludf.DUMMYFUNCTION("""COMPUTED_VALUE"""),"Print Support PH")</f>
        <v>Print Support PH</v>
      </c>
      <c r="L11747" s="1" t="str">
        <f>IFERROR(__xludf.DUMMYFUNCTION("""COMPUTED_VALUE"""),"Print Print - CHT")</f>
        <v>Print Print - CHT</v>
      </c>
    </row>
    <row r="11748">
      <c r="A11748" s="1" t="str">
        <f>IFERROR(__xludf.DUMMYFUNCTION("""COMPUTED_VALUE"""),"2026 Apr")</f>
        <v>2026 Apr</v>
      </c>
      <c r="B11748" s="4">
        <f>IFERROR(__xludf.DUMMYFUNCTION("""COMPUTED_VALUE"""),46125.0)</f>
        <v>46125</v>
      </c>
      <c r="C11748" s="1" t="str">
        <f>IFERROR(__xludf.DUMMYFUNCTION("""COMPUTED_VALUE"""),"Print Support")</f>
        <v>Print Support</v>
      </c>
      <c r="D11748" s="1" t="str">
        <f>IFERROR(__xludf.DUMMYFUNCTION("""COMPUTED_VALUE"""),"12eca747-9244-47cb-894e-d3c873c08566")</f>
        <v>12eca747-9244-47cb-894e-d3c873c08566</v>
      </c>
      <c r="E11748" s="1">
        <f>IFERROR(__xludf.DUMMYFUNCTION("""COMPUTED_VALUE"""),1.0548625681423E13)</f>
        <v>10548625681423</v>
      </c>
      <c r="F11748" s="1"/>
      <c r="G11748" s="1">
        <f>IFERROR(__xludf.DUMMYFUNCTION("""COMPUTED_VALUE"""),2.5)</f>
        <v>2.5</v>
      </c>
      <c r="H11748" s="2">
        <f>IFERROR(__xludf.DUMMYFUNCTION("""COMPUTED_VALUE"""),2.5)</f>
        <v>2.5</v>
      </c>
      <c r="I11748" s="5">
        <f>IFERROR(__xludf.DUMMYFUNCTION("""COMPUTED_VALUE"""),1.0)</f>
        <v>1</v>
      </c>
      <c r="J11748" s="1" t="str">
        <f>IFERROR(__xludf.DUMMYFUNCTION("""COMPUTED_VALUE"""),"Louise Dianne Estrella")</f>
        <v>Louise Dianne Estrella</v>
      </c>
      <c r="K11748" s="1" t="str">
        <f>IFERROR(__xludf.DUMMYFUNCTION("""COMPUTED_VALUE"""),"Print Support PH")</f>
        <v>Print Support PH</v>
      </c>
      <c r="L11748" s="1" t="str">
        <f>IFERROR(__xludf.DUMMYFUNCTION("""COMPUTED_VALUE"""),"Print Print - CHT")</f>
        <v>Print Print - CHT</v>
      </c>
    </row>
    <row r="11749">
      <c r="A11749" s="1" t="str">
        <f>IFERROR(__xludf.DUMMYFUNCTION("""COMPUTED_VALUE"""),"2026 Apr")</f>
        <v>2026 Apr</v>
      </c>
      <c r="B11749" s="4">
        <f>IFERROR(__xludf.DUMMYFUNCTION("""COMPUTED_VALUE"""),46125.0)</f>
        <v>46125</v>
      </c>
      <c r="C11749" s="1" t="str">
        <f>IFERROR(__xludf.DUMMYFUNCTION("""COMPUTED_VALUE"""),"Multilingual Support")</f>
        <v>Multilingual Support</v>
      </c>
      <c r="D11749" s="1" t="str">
        <f>IFERROR(__xludf.DUMMYFUNCTION("""COMPUTED_VALUE"""),"757d9757-27bf-49d1-a07c-15a426289b02")</f>
        <v>757d9757-27bf-49d1-a07c-15a426289b02</v>
      </c>
      <c r="E11749" s="1">
        <f>IFERROR(__xludf.DUMMYFUNCTION("""COMPUTED_VALUE"""),1.1819962468111E13)</f>
        <v>11819962468111</v>
      </c>
      <c r="F11749" s="1"/>
      <c r="G11749" s="1"/>
      <c r="H11749" s="2">
        <f>IFERROR(__xludf.DUMMYFUNCTION("""COMPUTED_VALUE"""),0.0)</f>
        <v>0</v>
      </c>
      <c r="I11749" s="5"/>
      <c r="J11749" s="1" t="str">
        <f>IFERROR(__xludf.DUMMYFUNCTION("""COMPUTED_VALUE"""),"Arlene Maurillo")</f>
        <v>Arlene Maurillo</v>
      </c>
      <c r="K11749" s="1" t="str">
        <f>IFERROR(__xludf.DUMMYFUNCTION("""COMPUTED_VALUE"""),"PHL, Multilingual Support")</f>
        <v>PHL, Multilingual Support</v>
      </c>
      <c r="L11749" s="1" t="str">
        <f>IFERROR(__xludf.DUMMYFUNCTION("""COMPUTED_VALUE"""),"ML Spanish Support")</f>
        <v>ML Spanish Support</v>
      </c>
    </row>
    <row r="11750">
      <c r="A11750" s="1" t="str">
        <f>IFERROR(__xludf.DUMMYFUNCTION("""COMPUTED_VALUE"""),"2026 Apr")</f>
        <v>2026 Apr</v>
      </c>
      <c r="B11750" s="4">
        <f>IFERROR(__xludf.DUMMYFUNCTION("""COMPUTED_VALUE"""),46125.0)</f>
        <v>46125</v>
      </c>
      <c r="C11750" s="1" t="str">
        <f>IFERROR(__xludf.DUMMYFUNCTION("""COMPUTED_VALUE"""),"Core Product Support")</f>
        <v>Core Product Support</v>
      </c>
      <c r="D11750" s="1" t="str">
        <f>IFERROR(__xludf.DUMMYFUNCTION("""COMPUTED_VALUE"""),"a3fade96-9131-4bb4-90c2-f54d385ec4bf")</f>
        <v>a3fade96-9131-4bb4-90c2-f54d385ec4bf</v>
      </c>
      <c r="E11750" s="1">
        <f>IFERROR(__xludf.DUMMYFUNCTION("""COMPUTED_VALUE"""),3.61724829156E11)</f>
        <v>361724829156</v>
      </c>
      <c r="F11750" s="1"/>
      <c r="G11750" s="1">
        <f>IFERROR(__xludf.DUMMYFUNCTION("""COMPUTED_VALUE"""),2.5)</f>
        <v>2.5</v>
      </c>
      <c r="H11750" s="2">
        <f>IFERROR(__xludf.DUMMYFUNCTION("""COMPUTED_VALUE"""),2.5)</f>
        <v>2.5</v>
      </c>
      <c r="I11750" s="5">
        <f>IFERROR(__xludf.DUMMYFUNCTION("""COMPUTED_VALUE"""),1.0)</f>
        <v>1</v>
      </c>
      <c r="J11750" s="1" t="str">
        <f>IFERROR(__xludf.DUMMYFUNCTION("""COMPUTED_VALUE"""),"Sieg Ballelos")</f>
        <v>Sieg Ballelos</v>
      </c>
      <c r="K11750" s="1" t="str">
        <f>IFERROR(__xludf.DUMMYFUNCTION("""COMPUTED_VALUE"""),"Core Product Support Escalation Team")</f>
        <v>Core Product Support Escalation Team</v>
      </c>
      <c r="L11750"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751">
      <c r="A11751" s="1" t="str">
        <f>IFERROR(__xludf.DUMMYFUNCTION("""COMPUTED_VALUE"""),"2026 Apr")</f>
        <v>2026 Apr</v>
      </c>
      <c r="B11751" s="4">
        <f>IFERROR(__xludf.DUMMYFUNCTION("""COMPUTED_VALUE"""),46125.0)</f>
        <v>46125</v>
      </c>
      <c r="C11751" s="1" t="str">
        <f>IFERROR(__xludf.DUMMYFUNCTION("""COMPUTED_VALUE"""),"Admin Support")</f>
        <v>Admin Support</v>
      </c>
      <c r="D11751" s="1" t="str">
        <f>IFERROR(__xludf.DUMMYFUNCTION("""COMPUTED_VALUE"""),"09d87fc9-bd97-4b66-b6e5-fc2d50b135a4")</f>
        <v>09d87fc9-bd97-4b66-b6e5-fc2d50b135a4</v>
      </c>
      <c r="E11751" s="1">
        <f>IFERROR(__xludf.DUMMYFUNCTION("""COMPUTED_VALUE"""),3.61725260596E11)</f>
        <v>361725260596</v>
      </c>
      <c r="F11751" s="1"/>
      <c r="G11751" s="1">
        <f>IFERROR(__xludf.DUMMYFUNCTION("""COMPUTED_VALUE"""),0.25)</f>
        <v>0.25</v>
      </c>
      <c r="H11751" s="2">
        <f>IFERROR(__xludf.DUMMYFUNCTION("""COMPUTED_VALUE"""),0.25)</f>
        <v>0.25</v>
      </c>
      <c r="I11751" s="5">
        <f>IFERROR(__xludf.DUMMYFUNCTION("""COMPUTED_VALUE"""),1.0)</f>
        <v>1</v>
      </c>
      <c r="J11751" s="1" t="str">
        <f>IFERROR(__xludf.DUMMYFUNCTION("""COMPUTED_VALUE"""),"AL Suarez")</f>
        <v>AL Suarez</v>
      </c>
      <c r="K11751" s="1" t="str">
        <f>IFERROR(__xludf.DUMMYFUNCTION("""COMPUTED_VALUE"""),"Admin Direct Support")</f>
        <v>Admin Direct Support</v>
      </c>
      <c r="L11751" s="1" t="str">
        <f>IFERROR(__xludf.DUMMYFUNCTION("""COMPUTED_VALUE"""),"Admin Direct Support")</f>
        <v>Admin Direct Support</v>
      </c>
    </row>
    <row r="11752">
      <c r="A11752" s="1" t="str">
        <f>IFERROR(__xludf.DUMMYFUNCTION("""COMPUTED_VALUE"""),"2026 Apr")</f>
        <v>2026 Apr</v>
      </c>
      <c r="B11752" s="4">
        <f>IFERROR(__xludf.DUMMYFUNCTION("""COMPUTED_VALUE"""),46125.0)</f>
        <v>46125</v>
      </c>
      <c r="C11752" s="1" t="str">
        <f>IFERROR(__xludf.DUMMYFUNCTION("""COMPUTED_VALUE"""),"Core Product Support")</f>
        <v>Core Product Support</v>
      </c>
      <c r="D11752" s="1" t="str">
        <f>IFERROR(__xludf.DUMMYFUNCTION("""COMPUTED_VALUE"""),"f955e205-68df-47fa-8f47-3ee8758dc76e")</f>
        <v>f955e205-68df-47fa-8f47-3ee8758dc76e</v>
      </c>
      <c r="E11752" s="1">
        <f>IFERROR(__xludf.DUMMYFUNCTION("""COMPUTED_VALUE"""),6.839679630095E12)</f>
        <v>6839679630095</v>
      </c>
      <c r="F11752" s="1"/>
      <c r="G11752" s="1">
        <f>IFERROR(__xludf.DUMMYFUNCTION("""COMPUTED_VALUE"""),1.25)</f>
        <v>1.25</v>
      </c>
      <c r="H11752" s="2">
        <f>IFERROR(__xludf.DUMMYFUNCTION("""COMPUTED_VALUE"""),1.25)</f>
        <v>1.25</v>
      </c>
      <c r="I11752" s="5">
        <f>IFERROR(__xludf.DUMMYFUNCTION("""COMPUTED_VALUE"""),1.0)</f>
        <v>1</v>
      </c>
      <c r="J11752" s="1" t="str">
        <f>IFERROR(__xludf.DUMMYFUNCTION("""COMPUTED_VALUE"""),"Ayza Marie Pascual")</f>
        <v>Ayza Marie Pascual</v>
      </c>
      <c r="K11752" s="1" t="str">
        <f>IFERROR(__xludf.DUMMYFUNCTION("""COMPUTED_VALUE"""),"Advanced Billing &amp; Subscriptions")</f>
        <v>Advanced Billing &amp; Subscriptions</v>
      </c>
      <c r="L11752" s="1" t="str">
        <f>IFERROR(__xludf.DUMMYFUNCTION("""COMPUTED_VALUE"""),"CPS Advanced Billing and Subscriptions (ABS)")</f>
        <v>CPS Advanced Billing and Subscriptions (ABS)</v>
      </c>
    </row>
    <row r="11753">
      <c r="A11753" s="1" t="str">
        <f>IFERROR(__xludf.DUMMYFUNCTION("""COMPUTED_VALUE"""),"2026 Apr")</f>
        <v>2026 Apr</v>
      </c>
      <c r="B11753" s="4">
        <f>IFERROR(__xludf.DUMMYFUNCTION("""COMPUTED_VALUE"""),46125.0)</f>
        <v>46125</v>
      </c>
      <c r="C11753" s="1" t="str">
        <f>IFERROR(__xludf.DUMMYFUNCTION("""COMPUTED_VALUE"""),"Core Product Support")</f>
        <v>Core Product Support</v>
      </c>
      <c r="D11753" s="1" t="str">
        <f>IFERROR(__xludf.DUMMYFUNCTION("""COMPUTED_VALUE"""),"00be8036-de23-4dcc-a683-b039df965fa3")</f>
        <v>00be8036-de23-4dcc-a683-b039df965fa3</v>
      </c>
      <c r="E11753" s="1">
        <f>IFERROR(__xludf.DUMMYFUNCTION("""COMPUTED_VALUE"""),3.61861298295E11)</f>
        <v>361861298295</v>
      </c>
      <c r="F11753" s="1"/>
      <c r="G11753" s="1">
        <f>IFERROR(__xludf.DUMMYFUNCTION("""COMPUTED_VALUE"""),2.0)</f>
        <v>2</v>
      </c>
      <c r="H11753" s="2">
        <f>IFERROR(__xludf.DUMMYFUNCTION("""COMPUTED_VALUE"""),2.0)</f>
        <v>2</v>
      </c>
      <c r="I11753" s="5">
        <f>IFERROR(__xludf.DUMMYFUNCTION("""COMPUTED_VALUE"""),1.0)</f>
        <v>1</v>
      </c>
      <c r="J11753" s="1" t="str">
        <f>IFERROR(__xludf.DUMMYFUNCTION("""COMPUTED_VALUE"""),"Ellaine Estayo")</f>
        <v>Ellaine Estayo</v>
      </c>
      <c r="K11753" s="1" t="str">
        <f>IFERROR(__xludf.DUMMYFUNCTION("""COMPUTED_VALUE"""),"Core Product Support Escalation Team")</f>
        <v>Core Product Support Escalation Team</v>
      </c>
      <c r="L11753"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754">
      <c r="A11754" s="1" t="str">
        <f>IFERROR(__xludf.DUMMYFUNCTION("""COMPUTED_VALUE"""),"2026 Apr")</f>
        <v>2026 Apr</v>
      </c>
      <c r="B11754" s="4">
        <f>IFERROR(__xludf.DUMMYFUNCTION("""COMPUTED_VALUE"""),46125.0)</f>
        <v>46125</v>
      </c>
      <c r="C11754" s="1" t="str">
        <f>IFERROR(__xludf.DUMMYFUNCTION("""COMPUTED_VALUE"""),"Core Product Support")</f>
        <v>Core Product Support</v>
      </c>
      <c r="D11754" s="1" t="str">
        <f>IFERROR(__xludf.DUMMYFUNCTION("""COMPUTED_VALUE"""),"5f0096f6-f7a7-4fe8-ac45-0435aaacdfb4")</f>
        <v>5f0096f6-f7a7-4fe8-ac45-0435aaacdfb4</v>
      </c>
      <c r="E11754" s="1">
        <f>IFERROR(__xludf.DUMMYFUNCTION("""COMPUTED_VALUE"""),1.1035371839887E13)</f>
        <v>11035371839887</v>
      </c>
      <c r="F11754" s="1"/>
      <c r="G11754" s="1">
        <f>IFERROR(__xludf.DUMMYFUNCTION("""COMPUTED_VALUE"""),0.25)</f>
        <v>0.25</v>
      </c>
      <c r="H11754" s="2">
        <f>IFERROR(__xludf.DUMMYFUNCTION("""COMPUTED_VALUE"""),0.25)</f>
        <v>0.25</v>
      </c>
      <c r="I11754" s="5">
        <f>IFERROR(__xludf.DUMMYFUNCTION("""COMPUTED_VALUE"""),1.0)</f>
        <v>1</v>
      </c>
      <c r="J11754" s="1" t="str">
        <f>IFERROR(__xludf.DUMMYFUNCTION("""COMPUTED_VALUE"""),"Ayza Marie Pascual")</f>
        <v>Ayza Marie Pascual</v>
      </c>
      <c r="K11754" s="1" t="str">
        <f>IFERROR(__xludf.DUMMYFUNCTION("""COMPUTED_VALUE"""),"Advanced Billing &amp; Subscriptions")</f>
        <v>Advanced Billing &amp; Subscriptions</v>
      </c>
      <c r="L11754" s="1" t="str">
        <f>IFERROR(__xludf.DUMMYFUNCTION("""COMPUTED_VALUE"""),"CPS Advanced Billing and Subscriptions (ABS)")</f>
        <v>CPS Advanced Billing and Subscriptions (ABS)</v>
      </c>
    </row>
    <row r="11755">
      <c r="A11755" s="1" t="str">
        <f>IFERROR(__xludf.DUMMYFUNCTION("""COMPUTED_VALUE"""),"2026 Apr")</f>
        <v>2026 Apr</v>
      </c>
      <c r="B11755" s="4">
        <f>IFERROR(__xludf.DUMMYFUNCTION("""COMPUTED_VALUE"""),46125.0)</f>
        <v>46125</v>
      </c>
      <c r="C11755" s="1" t="str">
        <f>IFERROR(__xludf.DUMMYFUNCTION("""COMPUTED_VALUE"""),"Segment-specific Support")</f>
        <v>Segment-specific Support</v>
      </c>
      <c r="D11755" s="1" t="str">
        <f>IFERROR(__xludf.DUMMYFUNCTION("""COMPUTED_VALUE"""),"a5b6f808-7e87-4668-a7a6-2faa138923c8")</f>
        <v>a5b6f808-7e87-4668-a7a6-2faa138923c8</v>
      </c>
      <c r="E11755" s="1">
        <f>IFERROR(__xludf.DUMMYFUNCTION("""COMPUTED_VALUE"""),1.1279766049295E13)</f>
        <v>11279766049295</v>
      </c>
      <c r="F11755" s="1"/>
      <c r="G11755" s="1"/>
      <c r="H11755" s="2">
        <f>IFERROR(__xludf.DUMMYFUNCTION("""COMPUTED_VALUE"""),0.0)</f>
        <v>0</v>
      </c>
      <c r="I11755" s="5"/>
      <c r="J11755" s="1" t="str">
        <f>IFERROR(__xludf.DUMMYFUNCTION("""COMPUTED_VALUE"""),"Gucci Nava")</f>
        <v>Gucci Nava</v>
      </c>
      <c r="K11755" s="1" t="str">
        <f>IFERROR(__xludf.DUMMYFUNCTION("""COMPUTED_VALUE"""),"Print Support PH")</f>
        <v>Print Support PH</v>
      </c>
      <c r="L11755" s="1" t="str">
        <f>IFERROR(__xludf.DUMMYFUNCTION("""COMPUTED_VALUE"""),"Print Print - CHT")</f>
        <v>Print Print - CHT</v>
      </c>
    </row>
    <row r="11756">
      <c r="A11756" s="1" t="str">
        <f>IFERROR(__xludf.DUMMYFUNCTION("""COMPUTED_VALUE"""),"2026 Apr")</f>
        <v>2026 Apr</v>
      </c>
      <c r="B11756" s="4">
        <f>IFERROR(__xludf.DUMMYFUNCTION("""COMPUTED_VALUE"""),46125.0)</f>
        <v>46125</v>
      </c>
      <c r="C11756" s="1" t="str">
        <f>IFERROR(__xludf.DUMMYFUNCTION("""COMPUTED_VALUE"""),"Print Support")</f>
        <v>Print Support</v>
      </c>
      <c r="D11756" s="1" t="str">
        <f>IFERROR(__xludf.DUMMYFUNCTION("""COMPUTED_VALUE"""),"b5bf3764-4c76-47b7-b10d-b1f8e9a0087e")</f>
        <v>b5bf3764-4c76-47b7-b10d-b1f8e9a0087e</v>
      </c>
      <c r="E11756" s="1">
        <f>IFERROR(__xludf.DUMMYFUNCTION("""COMPUTED_VALUE"""),6.839674714895E12)</f>
        <v>6839674714895</v>
      </c>
      <c r="F11756" s="1"/>
      <c r="G11756" s="1"/>
      <c r="H11756" s="2">
        <f>IFERROR(__xludf.DUMMYFUNCTION("""COMPUTED_VALUE"""),0.0)</f>
        <v>0</v>
      </c>
      <c r="I11756" s="5"/>
      <c r="J11756" s="1" t="str">
        <f>IFERROR(__xludf.DUMMYFUNCTION("""COMPUTED_VALUE"""),"Jen Momo")</f>
        <v>Jen Momo</v>
      </c>
      <c r="K11756" s="1" t="str">
        <f>IFERROR(__xludf.DUMMYFUNCTION("""COMPUTED_VALUE"""),"Print Support PH")</f>
        <v>Print Support PH</v>
      </c>
      <c r="L11756" s="1" t="str">
        <f>IFERROR(__xludf.DUMMYFUNCTION("""COMPUTED_VALUE"""),"Print Print - CHT")</f>
        <v>Print Print - CHT</v>
      </c>
    </row>
    <row r="11757">
      <c r="A11757" s="1" t="str">
        <f>IFERROR(__xludf.DUMMYFUNCTION("""COMPUTED_VALUE"""),"2026 Apr")</f>
        <v>2026 Apr</v>
      </c>
      <c r="B11757" s="4">
        <f>IFERROR(__xludf.DUMMYFUNCTION("""COMPUTED_VALUE"""),46125.0)</f>
        <v>46125</v>
      </c>
      <c r="C11757" s="1" t="str">
        <f>IFERROR(__xludf.DUMMYFUNCTION("""COMPUTED_VALUE"""),"#N/A")</f>
        <v>#N/A</v>
      </c>
      <c r="D11757" s="1" t="str">
        <f>IFERROR(__xludf.DUMMYFUNCTION("""COMPUTED_VALUE"""),"f27be24b-81af-42d9-a1fc-c197e2d977ca")</f>
        <v>f27be24b-81af-42d9-a1fc-c197e2d977ca</v>
      </c>
      <c r="E11757" s="1">
        <f>IFERROR(__xludf.DUMMYFUNCTION("""COMPUTED_VALUE"""),5.651704924431E12)</f>
        <v>5651704924431</v>
      </c>
      <c r="F11757" s="1"/>
      <c r="G11757" s="1"/>
      <c r="H11757" s="2">
        <f>IFERROR(__xludf.DUMMYFUNCTION("""COMPUTED_VALUE"""),0.0)</f>
        <v>0</v>
      </c>
      <c r="I11757" s="5"/>
      <c r="J11757" s="1" t="str">
        <f>IFERROR(__xludf.DUMMYFUNCTION("""COMPUTED_VALUE"""),"#N/A")</f>
        <v>#N/A</v>
      </c>
      <c r="K11757" s="1" t="str">
        <f>IFERROR(__xludf.DUMMYFUNCTION("""COMPUTED_VALUE"""),"#N/A")</f>
        <v>#N/A</v>
      </c>
      <c r="L11757" s="1" t="str">
        <f>IFERROR(__xludf.DUMMYFUNCTION("""COMPUTED_VALUE"""),"#N/A")</f>
        <v>#N/A</v>
      </c>
    </row>
    <row r="11758">
      <c r="A11758" s="1" t="str">
        <f>IFERROR(__xludf.DUMMYFUNCTION("""COMPUTED_VALUE"""),"2026 Apr")</f>
        <v>2026 Apr</v>
      </c>
      <c r="B11758" s="4">
        <f>IFERROR(__xludf.DUMMYFUNCTION("""COMPUTED_VALUE"""),46125.0)</f>
        <v>46125</v>
      </c>
      <c r="C11758" s="1" t="str">
        <f>IFERROR(__xludf.DUMMYFUNCTION("""COMPUTED_VALUE"""),"Admin Support")</f>
        <v>Admin Support</v>
      </c>
      <c r="D11758" s="1" t="str">
        <f>IFERROR(__xludf.DUMMYFUNCTION("""COMPUTED_VALUE"""),"d50b210b-01b8-4681-be11-0604b6046af3")</f>
        <v>d50b210b-01b8-4681-be11-0604b6046af3</v>
      </c>
      <c r="E11758" s="1">
        <f>IFERROR(__xludf.DUMMYFUNCTION("""COMPUTED_VALUE"""),1.0333049788943E13)</f>
        <v>10333049788943</v>
      </c>
      <c r="F11758" s="1"/>
      <c r="G11758" s="1">
        <f>IFERROR(__xludf.DUMMYFUNCTION("""COMPUTED_VALUE"""),0.25)</f>
        <v>0.25</v>
      </c>
      <c r="H11758" s="2">
        <f>IFERROR(__xludf.DUMMYFUNCTION("""COMPUTED_VALUE"""),0.25)</f>
        <v>0.25</v>
      </c>
      <c r="I11758" s="5">
        <f>IFERROR(__xludf.DUMMYFUNCTION("""COMPUTED_VALUE"""),1.0)</f>
        <v>1</v>
      </c>
      <c r="J11758" s="1" t="str">
        <f>IFERROR(__xludf.DUMMYFUNCTION("""COMPUTED_VALUE"""),"AL Suarez")</f>
        <v>AL Suarez</v>
      </c>
      <c r="K11758" s="1" t="str">
        <f>IFERROR(__xludf.DUMMYFUNCTION("""COMPUTED_VALUE"""),"Admin Direct Support")</f>
        <v>Admin Direct Support</v>
      </c>
      <c r="L11758" s="1" t="str">
        <f>IFERROR(__xludf.DUMMYFUNCTION("""COMPUTED_VALUE"""),"Admin Direct Support")</f>
        <v>Admin Direct Support</v>
      </c>
    </row>
    <row r="11759">
      <c r="A11759" s="1" t="str">
        <f>IFERROR(__xludf.DUMMYFUNCTION("""COMPUTED_VALUE"""),"2026 Apr")</f>
        <v>2026 Apr</v>
      </c>
      <c r="B11759" s="4">
        <f>IFERROR(__xludf.DUMMYFUNCTION("""COMPUTED_VALUE"""),46125.0)</f>
        <v>46125</v>
      </c>
      <c r="C11759" s="1" t="str">
        <f>IFERROR(__xludf.DUMMYFUNCTION("""COMPUTED_VALUE"""),"High Sensitivity Support")</f>
        <v>High Sensitivity Support</v>
      </c>
      <c r="D11759" s="1" t="str">
        <f>IFERROR(__xludf.DUMMYFUNCTION("""COMPUTED_VALUE"""),"bdf574f0-069d-4493-a93e-73eb74edd906")</f>
        <v>bdf574f0-069d-4493-a93e-73eb74edd906</v>
      </c>
      <c r="E11759" s="1">
        <f>IFERROR(__xludf.DUMMYFUNCTION("""COMPUTED_VALUE"""),3.61725261136E11)</f>
        <v>361725261136</v>
      </c>
      <c r="F11759" s="1"/>
      <c r="G11759" s="1"/>
      <c r="H11759" s="2">
        <f>IFERROR(__xludf.DUMMYFUNCTION("""COMPUTED_VALUE"""),0.0)</f>
        <v>0</v>
      </c>
      <c r="I11759" s="5"/>
      <c r="J11759" s="1" t="str">
        <f>IFERROR(__xludf.DUMMYFUNCTION("""COMPUTED_VALUE"""),"Rex Villamor")</f>
        <v>Rex Villamor</v>
      </c>
      <c r="K11759" s="1" t="str">
        <f>IFERROR(__xludf.DUMMYFUNCTION("""COMPUTED_VALUE"""),"High Sensitivity Support PH")</f>
        <v>High Sensitivity Support PH</v>
      </c>
      <c r="L11759" s="1" t="str">
        <f>IFERROR(__xludf.DUMMYFUNCTION("""COMPUTED_VALUE"""),"HSS High Sensitivity Support PH - CHT")</f>
        <v>HSS High Sensitivity Support PH - CHT</v>
      </c>
    </row>
    <row r="11760">
      <c r="A11760" s="1" t="str">
        <f>IFERROR(__xludf.DUMMYFUNCTION("""COMPUTED_VALUE"""),"2026 Apr")</f>
        <v>2026 Apr</v>
      </c>
      <c r="B11760" s="4">
        <f>IFERROR(__xludf.DUMMYFUNCTION("""COMPUTED_VALUE"""),46125.0)</f>
        <v>46125</v>
      </c>
      <c r="C11760" s="1" t="str">
        <f>IFERROR(__xludf.DUMMYFUNCTION("""COMPUTED_VALUE"""),"Core Product Support")</f>
        <v>Core Product Support</v>
      </c>
      <c r="D11760" s="1" t="str">
        <f>IFERROR(__xludf.DUMMYFUNCTION("""COMPUTED_VALUE"""),"1f5a4168-ecb9-42df-a403-8c86095beba7")</f>
        <v>1f5a4168-ecb9-42df-a403-8c86095beba7</v>
      </c>
      <c r="E11760" s="1"/>
      <c r="F11760" s="1"/>
      <c r="G11760" s="1">
        <f>IFERROR(__xludf.DUMMYFUNCTION("""COMPUTED_VALUE"""),1.25)</f>
        <v>1.25</v>
      </c>
      <c r="H11760" s="2">
        <f>IFERROR(__xludf.DUMMYFUNCTION("""COMPUTED_VALUE"""),1.25)</f>
        <v>1.25</v>
      </c>
      <c r="I11760" s="5">
        <f>IFERROR(__xludf.DUMMYFUNCTION("""COMPUTED_VALUE"""),1.0)</f>
        <v>1</v>
      </c>
      <c r="J11760" s="1" t="str">
        <f>IFERROR(__xludf.DUMMYFUNCTION("""COMPUTED_VALUE"""),"Mikhaela Decangchon")</f>
        <v>Mikhaela Decangchon</v>
      </c>
      <c r="K11760" s="1" t="str">
        <f>IFERROR(__xludf.DUMMYFUNCTION("""COMPUTED_VALUE"""),"Advanced Product Support")</f>
        <v>Advanced Product Support</v>
      </c>
      <c r="L11760" s="1" t="str">
        <f>IFERROR(__xludf.DUMMYFUNCTION("""COMPUTED_VALUE"""),"CPS Advanced Product Support (APS)")</f>
        <v>CPS Advanced Product Support (APS)</v>
      </c>
    </row>
    <row r="11761">
      <c r="A11761" s="1" t="str">
        <f>IFERROR(__xludf.DUMMYFUNCTION("""COMPUTED_VALUE"""),"2026 Apr")</f>
        <v>2026 Apr</v>
      </c>
      <c r="B11761" s="4">
        <f>IFERROR(__xludf.DUMMYFUNCTION("""COMPUTED_VALUE"""),46125.0)</f>
        <v>46125</v>
      </c>
      <c r="C11761" s="1" t="str">
        <f>IFERROR(__xludf.DUMMYFUNCTION("""COMPUTED_VALUE"""),"Admin Support")</f>
        <v>Admin Support</v>
      </c>
      <c r="D11761" s="1" t="str">
        <f>IFERROR(__xludf.DUMMYFUNCTION("""COMPUTED_VALUE"""),"d34aba25-1e55-4f8e-b85b-ef3d3928a2d3")</f>
        <v>d34aba25-1e55-4f8e-b85b-ef3d3928a2d3</v>
      </c>
      <c r="E11761" s="1">
        <f>IFERROR(__xludf.DUMMYFUNCTION("""COMPUTED_VALUE"""),5.566810533775E12)</f>
        <v>5566810533775</v>
      </c>
      <c r="F11761" s="1"/>
      <c r="G11761" s="1">
        <f>IFERROR(__xludf.DUMMYFUNCTION("""COMPUTED_VALUE"""),0.25)</f>
        <v>0.25</v>
      </c>
      <c r="H11761" s="2">
        <f>IFERROR(__xludf.DUMMYFUNCTION("""COMPUTED_VALUE"""),0.25)</f>
        <v>0.25</v>
      </c>
      <c r="I11761" s="5">
        <f>IFERROR(__xludf.DUMMYFUNCTION("""COMPUTED_VALUE"""),1.0)</f>
        <v>1</v>
      </c>
      <c r="J11761" s="1" t="str">
        <f>IFERROR(__xludf.DUMMYFUNCTION("""COMPUTED_VALUE"""),"AL Suarez")</f>
        <v>AL Suarez</v>
      </c>
      <c r="K11761" s="1" t="str">
        <f>IFERROR(__xludf.DUMMYFUNCTION("""COMPUTED_VALUE"""),"Print Support PH")</f>
        <v>Print Support PH</v>
      </c>
      <c r="L11761" s="1" t="str">
        <f>IFERROR(__xludf.DUMMYFUNCTION("""COMPUTED_VALUE"""),"Print Print - CHT")</f>
        <v>Print Print - CHT</v>
      </c>
    </row>
    <row r="11762">
      <c r="A11762" s="1" t="str">
        <f>IFERROR(__xludf.DUMMYFUNCTION("""COMPUTED_VALUE"""),"2026 Apr")</f>
        <v>2026 Apr</v>
      </c>
      <c r="B11762" s="4">
        <f>IFERROR(__xludf.DUMMYFUNCTION("""COMPUTED_VALUE"""),46125.0)</f>
        <v>46125</v>
      </c>
      <c r="C11762" s="1" t="str">
        <f>IFERROR(__xludf.DUMMYFUNCTION("""COMPUTED_VALUE"""),"Admin Support")</f>
        <v>Admin Support</v>
      </c>
      <c r="D11762" s="1" t="str">
        <f>IFERROR(__xludf.DUMMYFUNCTION("""COMPUTED_VALUE"""),"16e689aa-95b5-4a8b-8cac-123c1b896177")</f>
        <v>16e689aa-95b5-4a8b-8cac-123c1b896177</v>
      </c>
      <c r="E11762" s="1">
        <f>IFERROR(__xludf.DUMMYFUNCTION("""COMPUTED_VALUE"""),1.4859859582863E13)</f>
        <v>14859859582863</v>
      </c>
      <c r="F11762" s="1"/>
      <c r="G11762" s="1">
        <f>IFERROR(__xludf.DUMMYFUNCTION("""COMPUTED_VALUE"""),0.25)</f>
        <v>0.25</v>
      </c>
      <c r="H11762" s="2">
        <f>IFERROR(__xludf.DUMMYFUNCTION("""COMPUTED_VALUE"""),0.25)</f>
        <v>0.25</v>
      </c>
      <c r="I11762" s="5">
        <f>IFERROR(__xludf.DUMMYFUNCTION("""COMPUTED_VALUE"""),1.0)</f>
        <v>1</v>
      </c>
      <c r="J11762" s="1" t="str">
        <f>IFERROR(__xludf.DUMMYFUNCTION("""COMPUTED_VALUE"""),"AL Suarez")</f>
        <v>AL Suarez</v>
      </c>
      <c r="K11762" s="1" t="str">
        <f>IFERROR(__xludf.DUMMYFUNCTION("""COMPUTED_VALUE"""),"Admin Direct Support")</f>
        <v>Admin Direct Support</v>
      </c>
      <c r="L11762" s="1" t="str">
        <f>IFERROR(__xludf.DUMMYFUNCTION("""COMPUTED_VALUE"""),"Admin Direct Support")</f>
        <v>Admin Direct Support</v>
      </c>
    </row>
    <row r="11763">
      <c r="A11763" s="1" t="str">
        <f>IFERROR(__xludf.DUMMYFUNCTION("""COMPUTED_VALUE"""),"2026 Apr")</f>
        <v>2026 Apr</v>
      </c>
      <c r="B11763" s="4">
        <f>IFERROR(__xludf.DUMMYFUNCTION("""COMPUTED_VALUE"""),46125.0)</f>
        <v>46125</v>
      </c>
      <c r="C11763" s="1" t="str">
        <f>IFERROR(__xludf.DUMMYFUNCTION("""COMPUTED_VALUE"""),"Core Product Support")</f>
        <v>Core Product Support</v>
      </c>
      <c r="D11763" s="1" t="str">
        <f>IFERROR(__xludf.DUMMYFUNCTION("""COMPUTED_VALUE"""),"c5ba42b5-b56e-4880-adbe-57292f722509")</f>
        <v>c5ba42b5-b56e-4880-adbe-57292f722509</v>
      </c>
      <c r="E11763" s="1">
        <f>IFERROR(__xludf.DUMMYFUNCTION("""COMPUTED_VALUE"""),1.1401945362575E13)</f>
        <v>11401945362575</v>
      </c>
      <c r="F11763" s="1"/>
      <c r="G11763" s="1">
        <f>IFERROR(__xludf.DUMMYFUNCTION("""COMPUTED_VALUE"""),1.25)</f>
        <v>1.25</v>
      </c>
      <c r="H11763" s="2">
        <f>IFERROR(__xludf.DUMMYFUNCTION("""COMPUTED_VALUE"""),1.25)</f>
        <v>1.25</v>
      </c>
      <c r="I11763" s="5">
        <f>IFERROR(__xludf.DUMMYFUNCTION("""COMPUTED_VALUE"""),1.0)</f>
        <v>1</v>
      </c>
      <c r="J11763" s="1" t="str">
        <f>IFERROR(__xludf.DUMMYFUNCTION("""COMPUTED_VALUE"""),"Ayza Marie Pascual")</f>
        <v>Ayza Marie Pascual</v>
      </c>
      <c r="K11763" s="1" t="str">
        <f>IFERROR(__xludf.DUMMYFUNCTION("""COMPUTED_VALUE"""),"Advanced Billing &amp; Subscriptions")</f>
        <v>Advanced Billing &amp; Subscriptions</v>
      </c>
      <c r="L11763" s="1" t="str">
        <f>IFERROR(__xludf.DUMMYFUNCTION("""COMPUTED_VALUE"""),"CPS Advanced Billing and Subscriptions (ABS)")</f>
        <v>CPS Advanced Billing and Subscriptions (ABS)</v>
      </c>
    </row>
    <row r="11764">
      <c r="A11764" s="1" t="str">
        <f>IFERROR(__xludf.DUMMYFUNCTION("""COMPUTED_VALUE"""),"2026 Apr")</f>
        <v>2026 Apr</v>
      </c>
      <c r="B11764" s="4">
        <f>IFERROR(__xludf.DUMMYFUNCTION("""COMPUTED_VALUE"""),46125.0)</f>
        <v>46125</v>
      </c>
      <c r="C11764" s="1" t="str">
        <f>IFERROR(__xludf.DUMMYFUNCTION("""COMPUTED_VALUE"""),"Print Support")</f>
        <v>Print Support</v>
      </c>
      <c r="D11764" s="1" t="str">
        <f>IFERROR(__xludf.DUMMYFUNCTION("""COMPUTED_VALUE"""),"f154e992-ffb0-484a-b731-9da1092e886a")</f>
        <v>f154e992-ffb0-484a-b731-9da1092e886a</v>
      </c>
      <c r="E11764" s="1"/>
      <c r="F11764" s="1"/>
      <c r="G11764" s="1"/>
      <c r="H11764" s="2">
        <f>IFERROR(__xludf.DUMMYFUNCTION("""COMPUTED_VALUE"""),0.0)</f>
        <v>0</v>
      </c>
      <c r="I11764" s="5"/>
      <c r="J11764" s="1" t="str">
        <f>IFERROR(__xludf.DUMMYFUNCTION("""COMPUTED_VALUE"""),"Gem Agoncillo")</f>
        <v>Gem Agoncillo</v>
      </c>
      <c r="K11764" s="1" t="str">
        <f>IFERROR(__xludf.DUMMYFUNCTION("""COMPUTED_VALUE"""),"Print Design Support")</f>
        <v>Print Design Support</v>
      </c>
      <c r="L11764" s="1" t="str">
        <f>IFERROR(__xludf.DUMMYFUNCTION("""COMPUTED_VALUE"""),"Print Print Design")</f>
        <v>Print Print Design</v>
      </c>
    </row>
    <row r="11765">
      <c r="A11765" s="1" t="str">
        <f>IFERROR(__xludf.DUMMYFUNCTION("""COMPUTED_VALUE"""),"2026 Apr")</f>
        <v>2026 Apr</v>
      </c>
      <c r="B11765" s="4">
        <f>IFERROR(__xludf.DUMMYFUNCTION("""COMPUTED_VALUE"""),46125.0)</f>
        <v>46125</v>
      </c>
      <c r="C11765" s="1" t="str">
        <f>IFERROR(__xludf.DUMMYFUNCTION("""COMPUTED_VALUE"""),"Core Product Support")</f>
        <v>Core Product Support</v>
      </c>
      <c r="D11765" s="1" t="str">
        <f>IFERROR(__xludf.DUMMYFUNCTION("""COMPUTED_VALUE"""),"123e8c80-f84d-46ba-8ddf-e514a808d270")</f>
        <v>123e8c80-f84d-46ba-8ddf-e514a808d270</v>
      </c>
      <c r="E11765" s="1">
        <f>IFERROR(__xludf.DUMMYFUNCTION("""COMPUTED_VALUE"""),7.235815845903E12)</f>
        <v>7235815845903</v>
      </c>
      <c r="F11765" s="1"/>
      <c r="G11765" s="1">
        <f>IFERROR(__xludf.DUMMYFUNCTION("""COMPUTED_VALUE"""),1.25)</f>
        <v>1.25</v>
      </c>
      <c r="H11765" s="2">
        <f>IFERROR(__xludf.DUMMYFUNCTION("""COMPUTED_VALUE"""),1.25)</f>
        <v>1.25</v>
      </c>
      <c r="I11765" s="5">
        <f>IFERROR(__xludf.DUMMYFUNCTION("""COMPUTED_VALUE"""),1.0)</f>
        <v>1</v>
      </c>
      <c r="J11765" s="1" t="str">
        <f>IFERROR(__xludf.DUMMYFUNCTION("""COMPUTED_VALUE"""),"Cherry Macam")</f>
        <v>Cherry Macam</v>
      </c>
      <c r="K11765" s="1" t="str">
        <f>IFERROR(__xludf.DUMMYFUNCTION("""COMPUTED_VALUE"""),"Advanced Billing &amp; Subscriptions")</f>
        <v>Advanced Billing &amp; Subscriptions</v>
      </c>
      <c r="L11765" s="1" t="str">
        <f>IFERROR(__xludf.DUMMYFUNCTION("""COMPUTED_VALUE"""),"CPS Advanced Billing and Subscriptions (ABS)")</f>
        <v>CPS Advanced Billing and Subscriptions (ABS)</v>
      </c>
    </row>
    <row r="11766">
      <c r="A11766" s="1" t="str">
        <f>IFERROR(__xludf.DUMMYFUNCTION("""COMPUTED_VALUE"""),"2026 Apr")</f>
        <v>2026 Apr</v>
      </c>
      <c r="B11766" s="4">
        <f>IFERROR(__xludf.DUMMYFUNCTION("""COMPUTED_VALUE"""),46125.0)</f>
        <v>46125</v>
      </c>
      <c r="C11766" s="1" t="str">
        <f>IFERROR(__xludf.DUMMYFUNCTION("""COMPUTED_VALUE"""),"High Sensitivity Support")</f>
        <v>High Sensitivity Support</v>
      </c>
      <c r="D11766" s="1" t="str">
        <f>IFERROR(__xludf.DUMMYFUNCTION("""COMPUTED_VALUE"""),"12813a5b-5274-49dd-9f6b-59da40c97ee7")</f>
        <v>12813a5b-5274-49dd-9f6b-59da40c97ee7</v>
      </c>
      <c r="E11766" s="1">
        <f>IFERROR(__xludf.DUMMYFUNCTION("""COMPUTED_VALUE"""),9.795905227023E12)</f>
        <v>9795905227023</v>
      </c>
      <c r="F11766" s="1"/>
      <c r="G11766" s="1"/>
      <c r="H11766" s="2">
        <f>IFERROR(__xludf.DUMMYFUNCTION("""COMPUTED_VALUE"""),0.0)</f>
        <v>0</v>
      </c>
      <c r="I11766" s="5"/>
      <c r="J11766" s="1" t="str">
        <f>IFERROR(__xludf.DUMMYFUNCTION("""COMPUTED_VALUE"""),"Xandy Azarcon")</f>
        <v>Xandy Azarcon</v>
      </c>
      <c r="K11766" s="1" t="str">
        <f>IFERROR(__xludf.DUMMYFUNCTION("""COMPUTED_VALUE"""),"High Sensitivity Support PH")</f>
        <v>High Sensitivity Support PH</v>
      </c>
      <c r="L11766" s="1" t="str">
        <f>IFERROR(__xludf.DUMMYFUNCTION("""COMPUTED_VALUE"""),"HSS High Sensitivity Support PH - CHT")</f>
        <v>HSS High Sensitivity Support PH - CHT</v>
      </c>
    </row>
    <row r="11767">
      <c r="A11767" s="1" t="str">
        <f>IFERROR(__xludf.DUMMYFUNCTION("""COMPUTED_VALUE"""),"2026 Apr")</f>
        <v>2026 Apr</v>
      </c>
      <c r="B11767" s="4">
        <f>IFERROR(__xludf.DUMMYFUNCTION("""COMPUTED_VALUE"""),46125.0)</f>
        <v>46125</v>
      </c>
      <c r="C11767" s="1" t="str">
        <f>IFERROR(__xludf.DUMMYFUNCTION("""COMPUTED_VALUE"""),"Admin Support")</f>
        <v>Admin Support</v>
      </c>
      <c r="D11767" s="1" t="str">
        <f>IFERROR(__xludf.DUMMYFUNCTION("""COMPUTED_VALUE"""),"3a47626d-5d83-4eb3-99f0-da594375a7a4")</f>
        <v>3a47626d-5d83-4eb3-99f0-da594375a7a4</v>
      </c>
      <c r="E11767" s="1">
        <f>IFERROR(__xludf.DUMMYFUNCTION("""COMPUTED_VALUE"""),3.61731944855E11)</f>
        <v>361731944855</v>
      </c>
      <c r="F11767" s="1"/>
      <c r="G11767" s="1">
        <f>IFERROR(__xludf.DUMMYFUNCTION("""COMPUTED_VALUE"""),1.5)</f>
        <v>1.5</v>
      </c>
      <c r="H11767" s="2">
        <f>IFERROR(__xludf.DUMMYFUNCTION("""COMPUTED_VALUE"""),1.5)</f>
        <v>1.5</v>
      </c>
      <c r="I11767" s="5">
        <f>IFERROR(__xludf.DUMMYFUNCTION("""COMPUTED_VALUE"""),1.0)</f>
        <v>1</v>
      </c>
      <c r="J11767" s="1" t="str">
        <f>IFERROR(__xludf.DUMMYFUNCTION("""COMPUTED_VALUE"""),"Kelden Laguting")</f>
        <v>Kelden Laguting</v>
      </c>
      <c r="K11767" s="1" t="str">
        <f>IFERROR(__xludf.DUMMYFUNCTION("""COMPUTED_VALUE"""),"Admin Omni Support")</f>
        <v>Admin Omni Support</v>
      </c>
      <c r="L11767" s="1" t="str">
        <f>IFERROR(__xludf.DUMMYFUNCTION("""COMPUTED_VALUE"""),"Admin Omni Support")</f>
        <v>Admin Omni Support</v>
      </c>
    </row>
    <row r="11768">
      <c r="A11768" s="1" t="str">
        <f>IFERROR(__xludf.DUMMYFUNCTION("""COMPUTED_VALUE"""),"2026 Apr")</f>
        <v>2026 Apr</v>
      </c>
      <c r="B11768" s="4">
        <f>IFERROR(__xludf.DUMMYFUNCTION("""COMPUTED_VALUE"""),46125.0)</f>
        <v>46125</v>
      </c>
      <c r="C11768" s="1" t="str">
        <f>IFERROR(__xludf.DUMMYFUNCTION("""COMPUTED_VALUE"""),"Core Product Support")</f>
        <v>Core Product Support</v>
      </c>
      <c r="D11768" s="1" t="str">
        <f>IFERROR(__xludf.DUMMYFUNCTION("""COMPUTED_VALUE"""),"4ab45a4c-a376-4058-a184-5b3f466a5947")</f>
        <v>4ab45a4c-a376-4058-a184-5b3f466a5947</v>
      </c>
      <c r="E11768" s="1">
        <f>IFERROR(__xludf.DUMMYFUNCTION("""COMPUTED_VALUE"""),4.967084440335E12)</f>
        <v>4967084440335</v>
      </c>
      <c r="F11768" s="1"/>
      <c r="G11768" s="1"/>
      <c r="H11768" s="2">
        <f>IFERROR(__xludf.DUMMYFUNCTION("""COMPUTED_VALUE"""),0.0)</f>
        <v>0</v>
      </c>
      <c r="I11768" s="5"/>
      <c r="J11768" s="1" t="str">
        <f>IFERROR(__xludf.DUMMYFUNCTION("""COMPUTED_VALUE"""),"Ayza Marie Pascual")</f>
        <v>Ayza Marie Pascual</v>
      </c>
      <c r="K11768" s="1" t="str">
        <f>IFERROR(__xludf.DUMMYFUNCTION("""COMPUTED_VALUE"""),"Advanced Billing &amp; Subscriptions")</f>
        <v>Advanced Billing &amp; Subscriptions</v>
      </c>
      <c r="L11768" s="1" t="str">
        <f>IFERROR(__xludf.DUMMYFUNCTION("""COMPUTED_VALUE"""),"CPS Advanced Billing and Subscriptions (ABS)")</f>
        <v>CPS Advanced Billing and Subscriptions (ABS)</v>
      </c>
    </row>
    <row r="11769">
      <c r="A11769" s="1" t="str">
        <f>IFERROR(__xludf.DUMMYFUNCTION("""COMPUTED_VALUE"""),"2026 Apr")</f>
        <v>2026 Apr</v>
      </c>
      <c r="B11769" s="4">
        <f>IFERROR(__xludf.DUMMYFUNCTION("""COMPUTED_VALUE"""),46125.0)</f>
        <v>46125</v>
      </c>
      <c r="C11769" s="1" t="str">
        <f>IFERROR(__xludf.DUMMYFUNCTION("""COMPUTED_VALUE"""),"Print Support")</f>
        <v>Print Support</v>
      </c>
      <c r="D11769" s="1" t="str">
        <f>IFERROR(__xludf.DUMMYFUNCTION("""COMPUTED_VALUE"""),"73b91882-25ef-4c9c-8b6f-9152a825d832")</f>
        <v>73b91882-25ef-4c9c-8b6f-9152a825d832</v>
      </c>
      <c r="E11769" s="1">
        <f>IFERROR(__xludf.DUMMYFUNCTION("""COMPUTED_VALUE"""),3.61825397936E11)</f>
        <v>361825397936</v>
      </c>
      <c r="F11769" s="1"/>
      <c r="G11769" s="1">
        <f>IFERROR(__xludf.DUMMYFUNCTION("""COMPUTED_VALUE"""),0.67)</f>
        <v>0.67</v>
      </c>
      <c r="H11769" s="2">
        <f>IFERROR(__xludf.DUMMYFUNCTION("""COMPUTED_VALUE"""),0.67)</f>
        <v>0.67</v>
      </c>
      <c r="I11769" s="5">
        <f>IFERROR(__xludf.DUMMYFUNCTION("""COMPUTED_VALUE"""),1.0)</f>
        <v>1</v>
      </c>
      <c r="J11769" s="1" t="str">
        <f>IFERROR(__xludf.DUMMYFUNCTION("""COMPUTED_VALUE"""),"Jan Domingo")</f>
        <v>Jan Domingo</v>
      </c>
      <c r="K11769" s="1" t="str">
        <f>IFERROR(__xludf.DUMMYFUNCTION("""COMPUTED_VALUE"""),"Print Design Support")</f>
        <v>Print Design Support</v>
      </c>
      <c r="L11769" s="1" t="str">
        <f>IFERROR(__xludf.DUMMYFUNCTION("""COMPUTED_VALUE"""),"Print Print Design")</f>
        <v>Print Print Design</v>
      </c>
    </row>
    <row r="11770">
      <c r="A11770" s="1" t="str">
        <f>IFERROR(__xludf.DUMMYFUNCTION("""COMPUTED_VALUE"""),"2026 Apr")</f>
        <v>2026 Apr</v>
      </c>
      <c r="B11770" s="4">
        <f>IFERROR(__xludf.DUMMYFUNCTION("""COMPUTED_VALUE"""),46125.0)</f>
        <v>46125</v>
      </c>
      <c r="C11770" s="1" t="str">
        <f>IFERROR(__xludf.DUMMYFUNCTION("""COMPUTED_VALUE"""),"Core Product Support")</f>
        <v>Core Product Support</v>
      </c>
      <c r="D11770" s="1" t="str">
        <f>IFERROR(__xludf.DUMMYFUNCTION("""COMPUTED_VALUE"""),"75169e9a-969f-480f-aae4-eff49591cf56")</f>
        <v>75169e9a-969f-480f-aae4-eff49591cf56</v>
      </c>
      <c r="E11770" s="1"/>
      <c r="F11770" s="1"/>
      <c r="G11770" s="1">
        <f>IFERROR(__xludf.DUMMYFUNCTION("""COMPUTED_VALUE"""),1.25)</f>
        <v>1.25</v>
      </c>
      <c r="H11770" s="2">
        <f>IFERROR(__xludf.DUMMYFUNCTION("""COMPUTED_VALUE"""),1.25)</f>
        <v>1.25</v>
      </c>
      <c r="I11770" s="5">
        <f>IFERROR(__xludf.DUMMYFUNCTION("""COMPUTED_VALUE"""),1.0)</f>
        <v>1</v>
      </c>
      <c r="J11770" s="1" t="str">
        <f>IFERROR(__xludf.DUMMYFUNCTION("""COMPUTED_VALUE"""),"Belle Bentazal")</f>
        <v>Belle Bentazal</v>
      </c>
      <c r="K11770" s="1" t="str">
        <f>IFERROR(__xludf.DUMMYFUNCTION("""COMPUTED_VALUE"""),"Advanced Product Support")</f>
        <v>Advanced Product Support</v>
      </c>
      <c r="L11770" s="1" t="str">
        <f>IFERROR(__xludf.DUMMYFUNCTION("""COMPUTED_VALUE"""),"CPS Advanced Product Support (APS)")</f>
        <v>CPS Advanced Product Support (APS)</v>
      </c>
    </row>
    <row r="11771">
      <c r="A11771" s="1" t="str">
        <f>IFERROR(__xludf.DUMMYFUNCTION("""COMPUTED_VALUE"""),"2026 Apr")</f>
        <v>2026 Apr</v>
      </c>
      <c r="B11771" s="4">
        <f>IFERROR(__xludf.DUMMYFUNCTION("""COMPUTED_VALUE"""),46125.0)</f>
        <v>46125</v>
      </c>
      <c r="C11771" s="1" t="str">
        <f>IFERROR(__xludf.DUMMYFUNCTION("""COMPUTED_VALUE"""),"Core Product Support")</f>
        <v>Core Product Support</v>
      </c>
      <c r="D11771" s="1" t="str">
        <f>IFERROR(__xludf.DUMMYFUNCTION("""COMPUTED_VALUE"""),"d235389b-3321-47e0-9816-c2275d682304")</f>
        <v>d235389b-3321-47e0-9816-c2275d682304</v>
      </c>
      <c r="E11771" s="1">
        <f>IFERROR(__xludf.DUMMYFUNCTION("""COMPUTED_VALUE"""),5.202378916623E12)</f>
        <v>5202378916623</v>
      </c>
      <c r="F11771" s="1"/>
      <c r="G11771" s="1">
        <f>IFERROR(__xludf.DUMMYFUNCTION("""COMPUTED_VALUE"""),1.25)</f>
        <v>1.25</v>
      </c>
      <c r="H11771" s="2">
        <f>IFERROR(__xludf.DUMMYFUNCTION("""COMPUTED_VALUE"""),1.25)</f>
        <v>1.25</v>
      </c>
      <c r="I11771" s="5">
        <f>IFERROR(__xludf.DUMMYFUNCTION("""COMPUTED_VALUE"""),1.0)</f>
        <v>1</v>
      </c>
      <c r="J11771" s="1" t="str">
        <f>IFERROR(__xludf.DUMMYFUNCTION("""COMPUTED_VALUE"""),"Renette Bok")</f>
        <v>Renette Bok</v>
      </c>
      <c r="K11771" s="1" t="str">
        <f>IFERROR(__xludf.DUMMYFUNCTION("""COMPUTED_VALUE"""),"Advanced Billing &amp; Subscriptions")</f>
        <v>Advanced Billing &amp; Subscriptions</v>
      </c>
      <c r="L11771" s="1" t="str">
        <f>IFERROR(__xludf.DUMMYFUNCTION("""COMPUTED_VALUE"""),"CPS Advanced Billing and Subscriptions (ABS)")</f>
        <v>CPS Advanced Billing and Subscriptions (ABS)</v>
      </c>
    </row>
    <row r="11772">
      <c r="A11772" s="1" t="str">
        <f>IFERROR(__xludf.DUMMYFUNCTION("""COMPUTED_VALUE"""),"2026 Apr")</f>
        <v>2026 Apr</v>
      </c>
      <c r="B11772" s="4">
        <f>IFERROR(__xludf.DUMMYFUNCTION("""COMPUTED_VALUE"""),46125.0)</f>
        <v>46125</v>
      </c>
      <c r="C11772" s="1" t="str">
        <f>IFERROR(__xludf.DUMMYFUNCTION("""COMPUTED_VALUE"""),"Core Product Support")</f>
        <v>Core Product Support</v>
      </c>
      <c r="D11772" s="1" t="str">
        <f>IFERROR(__xludf.DUMMYFUNCTION("""COMPUTED_VALUE"""),"e5eebde5-1bdf-4fc4-a4e5-e5f13689363d")</f>
        <v>e5eebde5-1bdf-4fc4-a4e5-e5f13689363d</v>
      </c>
      <c r="E11772" s="1">
        <f>IFERROR(__xludf.DUMMYFUNCTION("""COMPUTED_VALUE"""),8.303581036047E12)</f>
        <v>8303581036047</v>
      </c>
      <c r="F11772" s="1"/>
      <c r="G11772" s="1">
        <f>IFERROR(__xludf.DUMMYFUNCTION("""COMPUTED_VALUE"""),1.25)</f>
        <v>1.25</v>
      </c>
      <c r="H11772" s="2">
        <f>IFERROR(__xludf.DUMMYFUNCTION("""COMPUTED_VALUE"""),1.25)</f>
        <v>1.25</v>
      </c>
      <c r="I11772" s="5">
        <f>IFERROR(__xludf.DUMMYFUNCTION("""COMPUTED_VALUE"""),1.0)</f>
        <v>1</v>
      </c>
      <c r="J11772" s="1" t="str">
        <f>IFERROR(__xludf.DUMMYFUNCTION("""COMPUTED_VALUE"""),"Belle Bentazal")</f>
        <v>Belle Bentazal</v>
      </c>
      <c r="K11772" s="1" t="str">
        <f>IFERROR(__xludf.DUMMYFUNCTION("""COMPUTED_VALUE"""),"Advanced Product Support")</f>
        <v>Advanced Product Support</v>
      </c>
      <c r="L11772" s="1" t="str">
        <f>IFERROR(__xludf.DUMMYFUNCTION("""COMPUTED_VALUE"""),"CPS Advanced Product Support (APS)")</f>
        <v>CPS Advanced Product Support (APS)</v>
      </c>
    </row>
    <row r="11773">
      <c r="A11773" s="1" t="str">
        <f>IFERROR(__xludf.DUMMYFUNCTION("""COMPUTED_VALUE"""),"2026 Apr")</f>
        <v>2026 Apr</v>
      </c>
      <c r="B11773" s="4">
        <f>IFERROR(__xludf.DUMMYFUNCTION("""COMPUTED_VALUE"""),46125.0)</f>
        <v>46125</v>
      </c>
      <c r="C11773" s="1" t="str">
        <f>IFERROR(__xludf.DUMMYFUNCTION("""COMPUTED_VALUE"""),"Admin Support")</f>
        <v>Admin Support</v>
      </c>
      <c r="D11773" s="1" t="str">
        <f>IFERROR(__xludf.DUMMYFUNCTION("""COMPUTED_VALUE"""),"bb9992e4-86b4-4be4-9177-e09f03299559")</f>
        <v>bb9992e4-86b4-4be4-9177-e09f03299559</v>
      </c>
      <c r="E11773" s="1">
        <f>IFERROR(__xludf.DUMMYFUNCTION("""COMPUTED_VALUE"""),3.61724830696E11)</f>
        <v>361724830696</v>
      </c>
      <c r="F11773" s="1"/>
      <c r="G11773" s="1">
        <f>IFERROR(__xludf.DUMMYFUNCTION("""COMPUTED_VALUE"""),0.25)</f>
        <v>0.25</v>
      </c>
      <c r="H11773" s="2">
        <f>IFERROR(__xludf.DUMMYFUNCTION("""COMPUTED_VALUE"""),0.25)</f>
        <v>0.25</v>
      </c>
      <c r="I11773" s="5">
        <f>IFERROR(__xludf.DUMMYFUNCTION("""COMPUTED_VALUE"""),1.0)</f>
        <v>1</v>
      </c>
      <c r="J11773" s="1" t="str">
        <f>IFERROR(__xludf.DUMMYFUNCTION("""COMPUTED_VALUE"""),"Kelden Laguting")</f>
        <v>Kelden Laguting</v>
      </c>
      <c r="K11773" s="1" t="str">
        <f>IFERROR(__xludf.DUMMYFUNCTION("""COMPUTED_VALUE"""),"Admin Omni Support")</f>
        <v>Admin Omni Support</v>
      </c>
      <c r="L11773" s="1" t="str">
        <f>IFERROR(__xludf.DUMMYFUNCTION("""COMPUTED_VALUE"""),"Admin Omni Support")</f>
        <v>Admin Omni Support</v>
      </c>
    </row>
    <row r="11774">
      <c r="A11774" s="1" t="str">
        <f>IFERROR(__xludf.DUMMYFUNCTION("""COMPUTED_VALUE"""),"2026 Apr")</f>
        <v>2026 Apr</v>
      </c>
      <c r="B11774" s="4">
        <f>IFERROR(__xludf.DUMMYFUNCTION("""COMPUTED_VALUE"""),46125.0)</f>
        <v>46125</v>
      </c>
      <c r="C11774" s="1" t="str">
        <f>IFERROR(__xludf.DUMMYFUNCTION("""COMPUTED_VALUE"""),"Core Product Support")</f>
        <v>Core Product Support</v>
      </c>
      <c r="D11774" s="1" t="str">
        <f>IFERROR(__xludf.DUMMYFUNCTION("""COMPUTED_VALUE"""),"1fa942bd-1815-4054-9636-810d3c7d937c")</f>
        <v>1fa942bd-1815-4054-9636-810d3c7d937c</v>
      </c>
      <c r="E11774" s="1">
        <f>IFERROR(__xludf.DUMMYFUNCTION("""COMPUTED_VALUE"""),3.61731348455E11)</f>
        <v>361731348455</v>
      </c>
      <c r="F11774" s="1"/>
      <c r="G11774" s="1">
        <f>IFERROR(__xludf.DUMMYFUNCTION("""COMPUTED_VALUE"""),2.0)</f>
        <v>2</v>
      </c>
      <c r="H11774" s="2">
        <f>IFERROR(__xludf.DUMMYFUNCTION("""COMPUTED_VALUE"""),2.0)</f>
        <v>2</v>
      </c>
      <c r="I11774" s="5">
        <f>IFERROR(__xludf.DUMMYFUNCTION("""COMPUTED_VALUE"""),1.0)</f>
        <v>1</v>
      </c>
      <c r="J11774" s="1" t="str">
        <f>IFERROR(__xludf.DUMMYFUNCTION("""COMPUTED_VALUE"""),"Sieg Ballelos")</f>
        <v>Sieg Ballelos</v>
      </c>
      <c r="K11774" s="1" t="str">
        <f>IFERROR(__xludf.DUMMYFUNCTION("""COMPUTED_VALUE"""),"Core Product Support Escalation Team")</f>
        <v>Core Product Support Escalation Team</v>
      </c>
      <c r="L11774"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775">
      <c r="A11775" s="1" t="str">
        <f>IFERROR(__xludf.DUMMYFUNCTION("""COMPUTED_VALUE"""),"2026 Apr")</f>
        <v>2026 Apr</v>
      </c>
      <c r="B11775" s="4">
        <f>IFERROR(__xludf.DUMMYFUNCTION("""COMPUTED_VALUE"""),46125.0)</f>
        <v>46125</v>
      </c>
      <c r="C11775" s="1" t="str">
        <f>IFERROR(__xludf.DUMMYFUNCTION("""COMPUTED_VALUE"""),"Core Product Support")</f>
        <v>Core Product Support</v>
      </c>
      <c r="D11775" s="1" t="str">
        <f>IFERROR(__xludf.DUMMYFUNCTION("""COMPUTED_VALUE"""),"b366931c-0597-40c7-babb-0a89ffc75e01")</f>
        <v>b366931c-0597-40c7-babb-0a89ffc75e01</v>
      </c>
      <c r="E11775" s="1"/>
      <c r="F11775" s="1"/>
      <c r="G11775" s="1">
        <f>IFERROR(__xludf.DUMMYFUNCTION("""COMPUTED_VALUE"""),1.25)</f>
        <v>1.25</v>
      </c>
      <c r="H11775" s="2">
        <f>IFERROR(__xludf.DUMMYFUNCTION("""COMPUTED_VALUE"""),1.25)</f>
        <v>1.25</v>
      </c>
      <c r="I11775" s="5">
        <f>IFERROR(__xludf.DUMMYFUNCTION("""COMPUTED_VALUE"""),1.0)</f>
        <v>1</v>
      </c>
      <c r="J11775" s="1" t="str">
        <f>IFERROR(__xludf.DUMMYFUNCTION("""COMPUTED_VALUE"""),"Cherry Macam")</f>
        <v>Cherry Macam</v>
      </c>
      <c r="K11775" s="1" t="str">
        <f>IFERROR(__xludf.DUMMYFUNCTION("""COMPUTED_VALUE"""),"Advanced Billing &amp; Subscriptions")</f>
        <v>Advanced Billing &amp; Subscriptions</v>
      </c>
      <c r="L11775" s="1" t="str">
        <f>IFERROR(__xludf.DUMMYFUNCTION("""COMPUTED_VALUE"""),"CPS Advanced Billing and Subscriptions (ABS)")</f>
        <v>CPS Advanced Billing and Subscriptions (ABS)</v>
      </c>
    </row>
    <row r="11776">
      <c r="A11776" s="1" t="str">
        <f>IFERROR(__xludf.DUMMYFUNCTION("""COMPUTED_VALUE"""),"2026 Apr")</f>
        <v>2026 Apr</v>
      </c>
      <c r="B11776" s="4">
        <f>IFERROR(__xludf.DUMMYFUNCTION("""COMPUTED_VALUE"""),46125.0)</f>
        <v>46125</v>
      </c>
      <c r="C11776" s="1" t="str">
        <f>IFERROR(__xludf.DUMMYFUNCTION("""COMPUTED_VALUE"""),"Core Product Support")</f>
        <v>Core Product Support</v>
      </c>
      <c r="D11776" s="1" t="str">
        <f>IFERROR(__xludf.DUMMYFUNCTION("""COMPUTED_VALUE"""),"d8cafb49-0513-4066-8298-8198c1c303c8")</f>
        <v>d8cafb49-0513-4066-8298-8198c1c303c8</v>
      </c>
      <c r="E11776" s="1">
        <f>IFERROR(__xludf.DUMMYFUNCTION("""COMPUTED_VALUE"""),5.566859239951E12)</f>
        <v>5566859239951</v>
      </c>
      <c r="F11776" s="1"/>
      <c r="G11776" s="1">
        <f>IFERROR(__xludf.DUMMYFUNCTION("""COMPUTED_VALUE"""),1.25)</f>
        <v>1.25</v>
      </c>
      <c r="H11776" s="2">
        <f>IFERROR(__xludf.DUMMYFUNCTION("""COMPUTED_VALUE"""),1.25)</f>
        <v>1.25</v>
      </c>
      <c r="I11776" s="5">
        <f>IFERROR(__xludf.DUMMYFUNCTION("""COMPUTED_VALUE"""),1.0)</f>
        <v>1</v>
      </c>
      <c r="J11776" s="1" t="str">
        <f>IFERROR(__xludf.DUMMYFUNCTION("""COMPUTED_VALUE"""),"Jahmie Mae Barrameda")</f>
        <v>Jahmie Mae Barrameda</v>
      </c>
      <c r="K11776" s="1" t="str">
        <f>IFERROR(__xludf.DUMMYFUNCTION("""COMPUTED_VALUE"""),"Advanced Billing &amp; Subscriptions")</f>
        <v>Advanced Billing &amp; Subscriptions</v>
      </c>
      <c r="L11776" s="1" t="str">
        <f>IFERROR(__xludf.DUMMYFUNCTION("""COMPUTED_VALUE"""),"CPS Advanced Billing and Subscriptions (ABS)")</f>
        <v>CPS Advanced Billing and Subscriptions (ABS)</v>
      </c>
    </row>
    <row r="11777">
      <c r="A11777" s="1" t="str">
        <f>IFERROR(__xludf.DUMMYFUNCTION("""COMPUTED_VALUE"""),"2026 Apr")</f>
        <v>2026 Apr</v>
      </c>
      <c r="B11777" s="4">
        <f>IFERROR(__xludf.DUMMYFUNCTION("""COMPUTED_VALUE"""),46125.0)</f>
        <v>46125</v>
      </c>
      <c r="C11777" s="1" t="str">
        <f>IFERROR(__xludf.DUMMYFUNCTION("""COMPUTED_VALUE"""),"Print Support")</f>
        <v>Print Support</v>
      </c>
      <c r="D11777" s="1" t="str">
        <f>IFERROR(__xludf.DUMMYFUNCTION("""COMPUTED_VALUE"""),"b38dd32d-e840-4454-9bff-9270032e26ec")</f>
        <v>b38dd32d-e840-4454-9bff-9270032e26ec</v>
      </c>
      <c r="E11777" s="1">
        <f>IFERROR(__xludf.DUMMYFUNCTION("""COMPUTED_VALUE"""),1.1279671882767E13)</f>
        <v>11279671882767</v>
      </c>
      <c r="F11777" s="1"/>
      <c r="G11777" s="1"/>
      <c r="H11777" s="2">
        <f>IFERROR(__xludf.DUMMYFUNCTION("""COMPUTED_VALUE"""),0.0)</f>
        <v>0</v>
      </c>
      <c r="I11777" s="5"/>
      <c r="J11777" s="1" t="str">
        <f>IFERROR(__xludf.DUMMYFUNCTION("""COMPUTED_VALUE"""),"Jen Momo")</f>
        <v>Jen Momo</v>
      </c>
      <c r="K11777" s="1" t="str">
        <f>IFERROR(__xludf.DUMMYFUNCTION("""COMPUTED_VALUE"""),"Print Support PH")</f>
        <v>Print Support PH</v>
      </c>
      <c r="L11777" s="1" t="str">
        <f>IFERROR(__xludf.DUMMYFUNCTION("""COMPUTED_VALUE"""),"Print Print - CHT")</f>
        <v>Print Print - CHT</v>
      </c>
    </row>
    <row r="11778">
      <c r="A11778" s="1" t="str">
        <f>IFERROR(__xludf.DUMMYFUNCTION("""COMPUTED_VALUE"""),"2026 Apr")</f>
        <v>2026 Apr</v>
      </c>
      <c r="B11778" s="4">
        <f>IFERROR(__xludf.DUMMYFUNCTION("""COMPUTED_VALUE"""),46125.0)</f>
        <v>46125</v>
      </c>
      <c r="C11778" s="1" t="str">
        <f>IFERROR(__xludf.DUMMYFUNCTION("""COMPUTED_VALUE"""),"Segment-specific Support")</f>
        <v>Segment-specific Support</v>
      </c>
      <c r="D11778" s="1" t="str">
        <f>IFERROR(__xludf.DUMMYFUNCTION("""COMPUTED_VALUE"""),"f6ab909a-8fae-4139-af23-d06c28a32b8c")</f>
        <v>f6ab909a-8fae-4139-af23-d06c28a32b8c</v>
      </c>
      <c r="E11778" s="1">
        <f>IFERROR(__xludf.DUMMYFUNCTION("""COMPUTED_VALUE"""),3.61724667376E11)</f>
        <v>361724667376</v>
      </c>
      <c r="F11778" s="1"/>
      <c r="G11778" s="1"/>
      <c r="H11778" s="2">
        <f>IFERROR(__xludf.DUMMYFUNCTION("""COMPUTED_VALUE"""),0.0)</f>
        <v>0</v>
      </c>
      <c r="I11778" s="5"/>
      <c r="J11778" s="1" t="str">
        <f>IFERROR(__xludf.DUMMYFUNCTION("""COMPUTED_VALUE"""),"Gucci Nava")</f>
        <v>Gucci Nava</v>
      </c>
      <c r="K11778" s="1" t="str">
        <f>IFERROR(__xludf.DUMMYFUNCTION("""COMPUTED_VALUE"""),"Affinity Support")</f>
        <v>Affinity Support</v>
      </c>
      <c r="L11778" s="1" t="str">
        <f>IFERROR(__xludf.DUMMYFUNCTION("""COMPUTED_VALUE"""),"SSS Affinity - L1")</f>
        <v>SSS Affinity - L1</v>
      </c>
    </row>
    <row r="11779">
      <c r="A11779" s="1" t="str">
        <f>IFERROR(__xludf.DUMMYFUNCTION("""COMPUTED_VALUE"""),"2026 Apr")</f>
        <v>2026 Apr</v>
      </c>
      <c r="B11779" s="4">
        <f>IFERROR(__xludf.DUMMYFUNCTION("""COMPUTED_VALUE"""),46125.0)</f>
        <v>46125</v>
      </c>
      <c r="C11779" s="1" t="str">
        <f>IFERROR(__xludf.DUMMYFUNCTION("""COMPUTED_VALUE"""),"High Sensitivity Support")</f>
        <v>High Sensitivity Support</v>
      </c>
      <c r="D11779" s="1" t="str">
        <f>IFERROR(__xludf.DUMMYFUNCTION("""COMPUTED_VALUE"""),"0bb396c0-8b48-4382-addc-66818b7167ec")</f>
        <v>0bb396c0-8b48-4382-addc-66818b7167ec</v>
      </c>
      <c r="E11779" s="1">
        <f>IFERROR(__xludf.DUMMYFUNCTION("""COMPUTED_VALUE"""),5.566867976335E12)</f>
        <v>5566867976335</v>
      </c>
      <c r="F11779" s="1"/>
      <c r="G11779" s="1"/>
      <c r="H11779" s="2">
        <f>IFERROR(__xludf.DUMMYFUNCTION("""COMPUTED_VALUE"""),0.0)</f>
        <v>0</v>
      </c>
      <c r="I11779" s="5"/>
      <c r="J11779" s="1" t="str">
        <f>IFERROR(__xludf.DUMMYFUNCTION("""COMPUTED_VALUE"""),"Issi Afable")</f>
        <v>Issi Afable</v>
      </c>
      <c r="K11779" s="1" t="str">
        <f>IFERROR(__xludf.DUMMYFUNCTION("""COMPUTED_VALUE"""),"High Sensitivity Support PH")</f>
        <v>High Sensitivity Support PH</v>
      </c>
      <c r="L11779" s="1" t="str">
        <f>IFERROR(__xludf.DUMMYFUNCTION("""COMPUTED_VALUE"""),"HSS High Sensitivity Support PH - SEE")</f>
        <v>HSS High Sensitivity Support PH - SEE</v>
      </c>
    </row>
    <row r="11780">
      <c r="A11780" s="1" t="str">
        <f>IFERROR(__xludf.DUMMYFUNCTION("""COMPUTED_VALUE"""),"2026 Apr")</f>
        <v>2026 Apr</v>
      </c>
      <c r="B11780" s="4">
        <f>IFERROR(__xludf.DUMMYFUNCTION("""COMPUTED_VALUE"""),46125.0)</f>
        <v>46125</v>
      </c>
      <c r="C11780" s="1" t="str">
        <f>IFERROR(__xludf.DUMMYFUNCTION("""COMPUTED_VALUE"""),"Print Support")</f>
        <v>Print Support</v>
      </c>
      <c r="D11780" s="1" t="str">
        <f>IFERROR(__xludf.DUMMYFUNCTION("""COMPUTED_VALUE"""),"bfafe2d2-bab4-4d76-87e0-5b42d5285805")</f>
        <v>bfafe2d2-bab4-4d76-87e0-5b42d5285805</v>
      </c>
      <c r="E11780" s="1">
        <f>IFERROR(__xludf.DUMMYFUNCTION("""COMPUTED_VALUE"""),5.202379009423E12)</f>
        <v>5202379009423</v>
      </c>
      <c r="F11780" s="1"/>
      <c r="G11780" s="1"/>
      <c r="H11780" s="2">
        <f>IFERROR(__xludf.DUMMYFUNCTION("""COMPUTED_VALUE"""),0.0)</f>
        <v>0</v>
      </c>
      <c r="I11780" s="5"/>
      <c r="J11780" s="1" t="str">
        <f>IFERROR(__xludf.DUMMYFUNCTION("""COMPUTED_VALUE"""),"Althea Mercado")</f>
        <v>Althea Mercado</v>
      </c>
      <c r="K11780" s="1" t="str">
        <f>IFERROR(__xludf.DUMMYFUNCTION("""COMPUTED_VALUE"""),"Print Support PH")</f>
        <v>Print Support PH</v>
      </c>
      <c r="L11780" s="1" t="str">
        <f>IFERROR(__xludf.DUMMYFUNCTION("""COMPUTED_VALUE"""),"Print Print - CHT")</f>
        <v>Print Print - CHT</v>
      </c>
    </row>
    <row r="11781">
      <c r="A11781" s="1" t="str">
        <f>IFERROR(__xludf.DUMMYFUNCTION("""COMPUTED_VALUE"""),"2026 Apr")</f>
        <v>2026 Apr</v>
      </c>
      <c r="B11781" s="4">
        <f>IFERROR(__xludf.DUMMYFUNCTION("""COMPUTED_VALUE"""),46125.0)</f>
        <v>46125</v>
      </c>
      <c r="C11781" s="1" t="str">
        <f>IFERROR(__xludf.DUMMYFUNCTION("""COMPUTED_VALUE"""),"Segment-specific Support")</f>
        <v>Segment-specific Support</v>
      </c>
      <c r="D11781" s="1" t="str">
        <f>IFERROR(__xludf.DUMMYFUNCTION("""COMPUTED_VALUE"""),"b90f8a46-e368-46ef-b5dc-431b192c7ebd")</f>
        <v>b90f8a46-e368-46ef-b5dc-431b192c7ebd</v>
      </c>
      <c r="E11781" s="1"/>
      <c r="F11781" s="1"/>
      <c r="G11781" s="1"/>
      <c r="H11781" s="2">
        <f>IFERROR(__xludf.DUMMYFUNCTION("""COMPUTED_VALUE"""),0.0)</f>
        <v>0</v>
      </c>
      <c r="I11781" s="5"/>
      <c r="J11781" s="1" t="str">
        <f>IFERROR(__xludf.DUMMYFUNCTION("""COMPUTED_VALUE"""),"Leigh Davison")</f>
        <v>Leigh Davison</v>
      </c>
      <c r="K11781" s="1" t="str">
        <f>IFERROR(__xludf.DUMMYFUNCTION("""COMPUTED_VALUE"""),"#N/A")</f>
        <v>#N/A</v>
      </c>
      <c r="L11781" s="1"/>
    </row>
    <row r="11782">
      <c r="A11782" s="1" t="str">
        <f>IFERROR(__xludf.DUMMYFUNCTION("""COMPUTED_VALUE"""),"2026 Apr")</f>
        <v>2026 Apr</v>
      </c>
      <c r="B11782" s="4">
        <f>IFERROR(__xludf.DUMMYFUNCTION("""COMPUTED_VALUE"""),46125.0)</f>
        <v>46125</v>
      </c>
      <c r="C11782" s="1" t="str">
        <f>IFERROR(__xludf.DUMMYFUNCTION("""COMPUTED_VALUE"""),"Core Product Support")</f>
        <v>Core Product Support</v>
      </c>
      <c r="D11782" s="1" t="str">
        <f>IFERROR(__xludf.DUMMYFUNCTION("""COMPUTED_VALUE"""),"c0f3492c-b6e0-4663-88e9-07ef49890f6a")</f>
        <v>c0f3492c-b6e0-4663-88e9-07ef49890f6a</v>
      </c>
      <c r="E11782" s="1">
        <f>IFERROR(__xludf.DUMMYFUNCTION("""COMPUTED_VALUE"""),7.437401161487E12)</f>
        <v>7437401161487</v>
      </c>
      <c r="F11782" s="1"/>
      <c r="G11782" s="1">
        <f>IFERROR(__xludf.DUMMYFUNCTION("""COMPUTED_VALUE"""),1.25)</f>
        <v>1.25</v>
      </c>
      <c r="H11782" s="2">
        <f>IFERROR(__xludf.DUMMYFUNCTION("""COMPUTED_VALUE"""),1.25)</f>
        <v>1.25</v>
      </c>
      <c r="I11782" s="5">
        <f>IFERROR(__xludf.DUMMYFUNCTION("""COMPUTED_VALUE"""),1.0)</f>
        <v>1</v>
      </c>
      <c r="J11782" s="1" t="str">
        <f>IFERROR(__xludf.DUMMYFUNCTION("""COMPUTED_VALUE"""),"Renette Bok")</f>
        <v>Renette Bok</v>
      </c>
      <c r="K11782" s="1" t="str">
        <f>IFERROR(__xludf.DUMMYFUNCTION("""COMPUTED_VALUE"""),"Advanced Billing &amp; Subscriptions")</f>
        <v>Advanced Billing &amp; Subscriptions</v>
      </c>
      <c r="L11782" s="1" t="str">
        <f>IFERROR(__xludf.DUMMYFUNCTION("""COMPUTED_VALUE"""),"CPS Advanced Billing and Subscriptions (ABS)")</f>
        <v>CPS Advanced Billing and Subscriptions (ABS)</v>
      </c>
    </row>
    <row r="11783">
      <c r="A11783" s="1" t="str">
        <f>IFERROR(__xludf.DUMMYFUNCTION("""COMPUTED_VALUE"""),"2026 Apr")</f>
        <v>2026 Apr</v>
      </c>
      <c r="B11783" s="4">
        <f>IFERROR(__xludf.DUMMYFUNCTION("""COMPUTED_VALUE"""),46125.0)</f>
        <v>46125</v>
      </c>
      <c r="C11783" s="1" t="str">
        <f>IFERROR(__xludf.DUMMYFUNCTION("""COMPUTED_VALUE"""),"Core Product Support")</f>
        <v>Core Product Support</v>
      </c>
      <c r="D11783" s="1" t="str">
        <f>IFERROR(__xludf.DUMMYFUNCTION("""COMPUTED_VALUE"""),"3335501a-b303-4b1b-b874-e502875b9c00")</f>
        <v>3335501a-b303-4b1b-b874-e502875b9c00</v>
      </c>
      <c r="E11783" s="1">
        <f>IFERROR(__xludf.DUMMYFUNCTION("""COMPUTED_VALUE"""),5.901973624079E12)</f>
        <v>5901973624079</v>
      </c>
      <c r="F11783" s="1"/>
      <c r="G11783" s="1"/>
      <c r="H11783" s="2">
        <f>IFERROR(__xludf.DUMMYFUNCTION("""COMPUTED_VALUE"""),0.0)</f>
        <v>0</v>
      </c>
      <c r="I11783" s="5"/>
      <c r="J11783" s="1" t="str">
        <f>IFERROR(__xludf.DUMMYFUNCTION("""COMPUTED_VALUE"""),"Jelyn Elmido")</f>
        <v>Jelyn Elmido</v>
      </c>
      <c r="K11783" s="1" t="str">
        <f>IFERROR(__xludf.DUMMYFUNCTION("""COMPUTED_VALUE"""),"Core Product Support Escalation Team")</f>
        <v>Core Product Support Escalation Team</v>
      </c>
      <c r="L11783"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784">
      <c r="A11784" s="1" t="str">
        <f>IFERROR(__xludf.DUMMYFUNCTION("""COMPUTED_VALUE"""),"2026 Apr")</f>
        <v>2026 Apr</v>
      </c>
      <c r="B11784" s="4">
        <f>IFERROR(__xludf.DUMMYFUNCTION("""COMPUTED_VALUE"""),46125.0)</f>
        <v>46125</v>
      </c>
      <c r="C11784" s="1" t="str">
        <f>IFERROR(__xludf.DUMMYFUNCTION("""COMPUTED_VALUE"""),"Print Support")</f>
        <v>Print Support</v>
      </c>
      <c r="D11784" s="1" t="str">
        <f>IFERROR(__xludf.DUMMYFUNCTION("""COMPUTED_VALUE"""),"81f19830-f845-4879-96ee-0654dc8f6f68")</f>
        <v>81f19830-f845-4879-96ee-0654dc8f6f68</v>
      </c>
      <c r="E11784" s="1">
        <f>IFERROR(__xludf.DUMMYFUNCTION("""COMPUTED_VALUE"""),3.61750058635E11)</f>
        <v>361750058635</v>
      </c>
      <c r="F11784" s="1"/>
      <c r="G11784" s="1"/>
      <c r="H11784" s="2">
        <f>IFERROR(__xludf.DUMMYFUNCTION("""COMPUTED_VALUE"""),0.0)</f>
        <v>0</v>
      </c>
      <c r="I11784" s="5"/>
      <c r="J11784" s="1" t="str">
        <f>IFERROR(__xludf.DUMMYFUNCTION("""COMPUTED_VALUE"""),"Louise Dianne Estrella")</f>
        <v>Louise Dianne Estrella</v>
      </c>
      <c r="K11784" s="1" t="str">
        <f>IFERROR(__xludf.DUMMYFUNCTION("""COMPUTED_VALUE"""),"Print Support PH")</f>
        <v>Print Support PH</v>
      </c>
      <c r="L11784" s="1" t="str">
        <f>IFERROR(__xludf.DUMMYFUNCTION("""COMPUTED_VALUE"""),"Print Print - CHT")</f>
        <v>Print Print - CHT</v>
      </c>
    </row>
    <row r="11785">
      <c r="A11785" s="1" t="str">
        <f>IFERROR(__xludf.DUMMYFUNCTION("""COMPUTED_VALUE"""),"2026 Apr")</f>
        <v>2026 Apr</v>
      </c>
      <c r="B11785" s="4">
        <f>IFERROR(__xludf.DUMMYFUNCTION("""COMPUTED_VALUE"""),46125.0)</f>
        <v>46125</v>
      </c>
      <c r="C11785" s="1" t="str">
        <f>IFERROR(__xludf.DUMMYFUNCTION("""COMPUTED_VALUE"""),"Core Product Support")</f>
        <v>Core Product Support</v>
      </c>
      <c r="D11785" s="1" t="str">
        <f>IFERROR(__xludf.DUMMYFUNCTION("""COMPUTED_VALUE"""),"2e981db7-61ee-4b53-aef6-4c4cc65464d7")</f>
        <v>2e981db7-61ee-4b53-aef6-4c4cc65464d7</v>
      </c>
      <c r="E11785" s="1">
        <f>IFERROR(__xludf.DUMMYFUNCTION("""COMPUTED_VALUE"""),8.904435850895E12)</f>
        <v>8904435850895</v>
      </c>
      <c r="F11785" s="1"/>
      <c r="G11785" s="1">
        <f>IFERROR(__xludf.DUMMYFUNCTION("""COMPUTED_VALUE"""),1.25)</f>
        <v>1.25</v>
      </c>
      <c r="H11785" s="2">
        <f>IFERROR(__xludf.DUMMYFUNCTION("""COMPUTED_VALUE"""),1.25)</f>
        <v>1.25</v>
      </c>
      <c r="I11785" s="5">
        <f>IFERROR(__xludf.DUMMYFUNCTION("""COMPUTED_VALUE"""),1.0)</f>
        <v>1</v>
      </c>
      <c r="J11785" s="1" t="str">
        <f>IFERROR(__xludf.DUMMYFUNCTION("""COMPUTED_VALUE"""),"Mikhaela Decangchon")</f>
        <v>Mikhaela Decangchon</v>
      </c>
      <c r="K11785" s="1" t="str">
        <f>IFERROR(__xludf.DUMMYFUNCTION("""COMPUTED_VALUE"""),"Advanced Product Support")</f>
        <v>Advanced Product Support</v>
      </c>
      <c r="L11785" s="1" t="str">
        <f>IFERROR(__xludf.DUMMYFUNCTION("""COMPUTED_VALUE"""),"CPS Advanced Product Support (APS)")</f>
        <v>CPS Advanced Product Support (APS)</v>
      </c>
    </row>
    <row r="11786">
      <c r="A11786" s="1" t="str">
        <f>IFERROR(__xludf.DUMMYFUNCTION("""COMPUTED_VALUE"""),"2026 Apr")</f>
        <v>2026 Apr</v>
      </c>
      <c r="B11786" s="4">
        <f>IFERROR(__xludf.DUMMYFUNCTION("""COMPUTED_VALUE"""),46125.0)</f>
        <v>46125</v>
      </c>
      <c r="C11786" s="1" t="str">
        <f>IFERROR(__xludf.DUMMYFUNCTION("""COMPUTED_VALUE"""),"Segment-specific Support")</f>
        <v>Segment-specific Support</v>
      </c>
      <c r="D11786" s="1" t="str">
        <f>IFERROR(__xludf.DUMMYFUNCTION("""COMPUTED_VALUE"""),"a9175f4e-c2a3-4f80-bd6c-76adc2cfcef8")</f>
        <v>a9175f4e-c2a3-4f80-bd6c-76adc2cfcef8</v>
      </c>
      <c r="E11786" s="1">
        <f>IFERROR(__xludf.DUMMYFUNCTION("""COMPUTED_VALUE"""),5.359144633743E12)</f>
        <v>5359144633743</v>
      </c>
      <c r="F11786" s="1"/>
      <c r="G11786" s="1"/>
      <c r="H11786" s="2">
        <f>IFERROR(__xludf.DUMMYFUNCTION("""COMPUTED_VALUE"""),0.0)</f>
        <v>0</v>
      </c>
      <c r="I11786" s="5"/>
      <c r="J11786" s="1" t="str">
        <f>IFERROR(__xludf.DUMMYFUNCTION("""COMPUTED_VALUE"""),"Rose Gabilan")</f>
        <v>Rose Gabilan</v>
      </c>
      <c r="K11786" s="1" t="str">
        <f>IFERROR(__xludf.DUMMYFUNCTION("""COMPUTED_VALUE"""),"Affinity Support")</f>
        <v>Affinity Support</v>
      </c>
      <c r="L11786" s="1" t="str">
        <f>IFERROR(__xludf.DUMMYFUNCTION("""COMPUTED_VALUE"""),"SSS Affinity - L1")</f>
        <v>SSS Affinity - L1</v>
      </c>
    </row>
    <row r="11787">
      <c r="A11787" s="1" t="str">
        <f>IFERROR(__xludf.DUMMYFUNCTION("""COMPUTED_VALUE"""),"2026 Apr")</f>
        <v>2026 Apr</v>
      </c>
      <c r="B11787" s="4">
        <f>IFERROR(__xludf.DUMMYFUNCTION("""COMPUTED_VALUE"""),46125.0)</f>
        <v>46125</v>
      </c>
      <c r="C11787" s="1" t="str">
        <f>IFERROR(__xludf.DUMMYFUNCTION("""COMPUTED_VALUE"""),"Segment-specific Support")</f>
        <v>Segment-specific Support</v>
      </c>
      <c r="D11787" s="1" t="str">
        <f>IFERROR(__xludf.DUMMYFUNCTION("""COMPUTED_VALUE"""),"c099fecd-f2e4-4b33-8ba3-1c6779033d42")</f>
        <v>c099fecd-f2e4-4b33-8ba3-1c6779033d42</v>
      </c>
      <c r="E11787" s="1">
        <f>IFERROR(__xludf.DUMMYFUNCTION("""COMPUTED_VALUE"""),5.901988081807E12)</f>
        <v>5901988081807</v>
      </c>
      <c r="F11787" s="1"/>
      <c r="G11787" s="1"/>
      <c r="H11787" s="2">
        <f>IFERROR(__xludf.DUMMYFUNCTION("""COMPUTED_VALUE"""),0.0)</f>
        <v>0</v>
      </c>
      <c r="I11787" s="5"/>
      <c r="J11787" s="1" t="str">
        <f>IFERROR(__xludf.DUMMYFUNCTION("""COMPUTED_VALUE"""),"Gucci Nava")</f>
        <v>Gucci Nava</v>
      </c>
      <c r="K11787" s="1" t="str">
        <f>IFERROR(__xludf.DUMMYFUNCTION("""COMPUTED_VALUE"""),"Print Support PH")</f>
        <v>Print Support PH</v>
      </c>
      <c r="L11787" s="1" t="str">
        <f>IFERROR(__xludf.DUMMYFUNCTION("""COMPUTED_VALUE"""),"Print Print - CHT")</f>
        <v>Print Print - CHT</v>
      </c>
    </row>
    <row r="11788">
      <c r="A11788" s="1" t="str">
        <f>IFERROR(__xludf.DUMMYFUNCTION("""COMPUTED_VALUE"""),"2026 Apr")</f>
        <v>2026 Apr</v>
      </c>
      <c r="B11788" s="4">
        <f>IFERROR(__xludf.DUMMYFUNCTION("""COMPUTED_VALUE"""),46125.0)</f>
        <v>46125</v>
      </c>
      <c r="C11788" s="1" t="str">
        <f>IFERROR(__xludf.DUMMYFUNCTION("""COMPUTED_VALUE"""),"Print Support")</f>
        <v>Print Support</v>
      </c>
      <c r="D11788" s="1" t="str">
        <f>IFERROR(__xludf.DUMMYFUNCTION("""COMPUTED_VALUE"""),"f49619b0-d053-442f-946d-b652dbfb2703")</f>
        <v>f49619b0-d053-442f-946d-b652dbfb2703</v>
      </c>
      <c r="E11788" s="1"/>
      <c r="F11788" s="1"/>
      <c r="G11788" s="1"/>
      <c r="H11788" s="2">
        <f>IFERROR(__xludf.DUMMYFUNCTION("""COMPUTED_VALUE"""),0.0)</f>
        <v>0</v>
      </c>
      <c r="I11788" s="5"/>
      <c r="J11788" s="1" t="str">
        <f>IFERROR(__xludf.DUMMYFUNCTION("""COMPUTED_VALUE"""),"Aliza Dote")</f>
        <v>Aliza Dote</v>
      </c>
      <c r="K11788" s="1" t="str">
        <f>IFERROR(__xludf.DUMMYFUNCTION("""COMPUTED_VALUE"""),"Print Design Support")</f>
        <v>Print Design Support</v>
      </c>
      <c r="L11788" s="1" t="str">
        <f>IFERROR(__xludf.DUMMYFUNCTION("""COMPUTED_VALUE"""),"Print Print Design")</f>
        <v>Print Print Design</v>
      </c>
    </row>
    <row r="11789">
      <c r="A11789" s="1" t="str">
        <f>IFERROR(__xludf.DUMMYFUNCTION("""COMPUTED_VALUE"""),"2026 Apr")</f>
        <v>2026 Apr</v>
      </c>
      <c r="B11789" s="4">
        <f>IFERROR(__xludf.DUMMYFUNCTION("""COMPUTED_VALUE"""),46125.0)</f>
        <v>46125</v>
      </c>
      <c r="C11789" s="1" t="str">
        <f>IFERROR(__xludf.DUMMYFUNCTION("""COMPUTED_VALUE"""),"Core Product Support")</f>
        <v>Core Product Support</v>
      </c>
      <c r="D11789" s="1" t="str">
        <f>IFERROR(__xludf.DUMMYFUNCTION("""COMPUTED_VALUE"""),"34b01611-0778-4238-845c-71a5fb4b19f1")</f>
        <v>34b01611-0778-4238-845c-71a5fb4b19f1</v>
      </c>
      <c r="E11789" s="1">
        <f>IFERROR(__xludf.DUMMYFUNCTION("""COMPUTED_VALUE"""),1.0005722473615E13)</f>
        <v>10005722473615</v>
      </c>
      <c r="F11789" s="1"/>
      <c r="G11789" s="1">
        <f>IFERROR(__xludf.DUMMYFUNCTION("""COMPUTED_VALUE"""),0.75)</f>
        <v>0.75</v>
      </c>
      <c r="H11789" s="2">
        <f>IFERROR(__xludf.DUMMYFUNCTION("""COMPUTED_VALUE"""),0.75)</f>
        <v>0.75</v>
      </c>
      <c r="I11789" s="5">
        <f>IFERROR(__xludf.DUMMYFUNCTION("""COMPUTED_VALUE"""),1.0)</f>
        <v>1</v>
      </c>
      <c r="J11789" s="1" t="str">
        <f>IFERROR(__xludf.DUMMYFUNCTION("""COMPUTED_VALUE"""),"Jahmie Mae Barrameda")</f>
        <v>Jahmie Mae Barrameda</v>
      </c>
      <c r="K11789" s="1" t="str">
        <f>IFERROR(__xludf.DUMMYFUNCTION("""COMPUTED_VALUE"""),"Advanced Billing &amp; Subscriptions")</f>
        <v>Advanced Billing &amp; Subscriptions</v>
      </c>
      <c r="L11789" s="1" t="str">
        <f>IFERROR(__xludf.DUMMYFUNCTION("""COMPUTED_VALUE"""),"CPS Advanced Billing and Subscriptions (ABS)")</f>
        <v>CPS Advanced Billing and Subscriptions (ABS)</v>
      </c>
    </row>
    <row r="11790">
      <c r="A11790" s="1" t="str">
        <f>IFERROR(__xludf.DUMMYFUNCTION("""COMPUTED_VALUE"""),"2026 Apr")</f>
        <v>2026 Apr</v>
      </c>
      <c r="B11790" s="4">
        <f>IFERROR(__xludf.DUMMYFUNCTION("""COMPUTED_VALUE"""),46125.0)</f>
        <v>46125</v>
      </c>
      <c r="C11790" s="1" t="str">
        <f>IFERROR(__xludf.DUMMYFUNCTION("""COMPUTED_VALUE"""),"Core Product Support")</f>
        <v>Core Product Support</v>
      </c>
      <c r="D11790" s="1" t="str">
        <f>IFERROR(__xludf.DUMMYFUNCTION("""COMPUTED_VALUE"""),"29f1cfbb-326c-4f39-b32d-9350f380b21a")</f>
        <v>29f1cfbb-326c-4f39-b32d-9350f380b21a</v>
      </c>
      <c r="E11790" s="1">
        <f>IFERROR(__xludf.DUMMYFUNCTION("""COMPUTED_VALUE"""),3.61732161455E11)</f>
        <v>361732161455</v>
      </c>
      <c r="F11790" s="1"/>
      <c r="G11790" s="1">
        <f>IFERROR(__xludf.DUMMYFUNCTION("""COMPUTED_VALUE"""),1.0)</f>
        <v>1</v>
      </c>
      <c r="H11790" s="2">
        <f>IFERROR(__xludf.DUMMYFUNCTION("""COMPUTED_VALUE"""),1.0)</f>
        <v>1</v>
      </c>
      <c r="I11790" s="5">
        <f>IFERROR(__xludf.DUMMYFUNCTION("""COMPUTED_VALUE"""),1.0)</f>
        <v>1</v>
      </c>
      <c r="J11790" s="1" t="str">
        <f>IFERROR(__xludf.DUMMYFUNCTION("""COMPUTED_VALUE"""),"Jelyn Elmido")</f>
        <v>Jelyn Elmido</v>
      </c>
      <c r="K11790" s="1" t="str">
        <f>IFERROR(__xludf.DUMMYFUNCTION("""COMPUTED_VALUE"""),"Core Product Support Escalation Team")</f>
        <v>Core Product Support Escalation Team</v>
      </c>
      <c r="L11790"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791">
      <c r="A11791" s="1" t="str">
        <f>IFERROR(__xludf.DUMMYFUNCTION("""COMPUTED_VALUE"""),"2026 Apr")</f>
        <v>2026 Apr</v>
      </c>
      <c r="B11791" s="4">
        <f>IFERROR(__xludf.DUMMYFUNCTION("""COMPUTED_VALUE"""),46125.0)</f>
        <v>46125</v>
      </c>
      <c r="C11791" s="1" t="str">
        <f>IFERROR(__xludf.DUMMYFUNCTION("""COMPUTED_VALUE"""),"Print Support")</f>
        <v>Print Support</v>
      </c>
      <c r="D11791" s="1" t="str">
        <f>IFERROR(__xludf.DUMMYFUNCTION("""COMPUTED_VALUE"""),"e7288a86-def8-455e-9571-0e09ee52eb10")</f>
        <v>e7288a86-def8-455e-9571-0e09ee52eb10</v>
      </c>
      <c r="E11791" s="1">
        <f>IFERROR(__xludf.DUMMYFUNCTION("""COMPUTED_VALUE"""),5.566843775631E12)</f>
        <v>5566843775631</v>
      </c>
      <c r="F11791" s="1"/>
      <c r="G11791" s="1"/>
      <c r="H11791" s="2">
        <f>IFERROR(__xludf.DUMMYFUNCTION("""COMPUTED_VALUE"""),0.0)</f>
        <v>0</v>
      </c>
      <c r="I11791" s="5"/>
      <c r="J11791" s="1" t="str">
        <f>IFERROR(__xludf.DUMMYFUNCTION("""COMPUTED_VALUE"""),"Louise Dianne Estrella")</f>
        <v>Louise Dianne Estrella</v>
      </c>
      <c r="K11791" s="1" t="str">
        <f>IFERROR(__xludf.DUMMYFUNCTION("""COMPUTED_VALUE"""),"Print Support PH")</f>
        <v>Print Support PH</v>
      </c>
      <c r="L11791" s="1" t="str">
        <f>IFERROR(__xludf.DUMMYFUNCTION("""COMPUTED_VALUE"""),"Print Print - CHT")</f>
        <v>Print Print - CHT</v>
      </c>
    </row>
    <row r="11792">
      <c r="A11792" s="1" t="str">
        <f>IFERROR(__xludf.DUMMYFUNCTION("""COMPUTED_VALUE"""),"2026 Apr")</f>
        <v>2026 Apr</v>
      </c>
      <c r="B11792" s="4">
        <f>IFERROR(__xludf.DUMMYFUNCTION("""COMPUTED_VALUE"""),46125.0)</f>
        <v>46125</v>
      </c>
      <c r="C11792" s="1" t="str">
        <f>IFERROR(__xludf.DUMMYFUNCTION("""COMPUTED_VALUE"""),"Admin Support")</f>
        <v>Admin Support</v>
      </c>
      <c r="D11792" s="1" t="str">
        <f>IFERROR(__xludf.DUMMYFUNCTION("""COMPUTED_VALUE"""),"c771ba05-3c70-40d0-afa5-186bade746f2")</f>
        <v>c771ba05-3c70-40d0-afa5-186bade746f2</v>
      </c>
      <c r="E11792" s="1">
        <f>IFERROR(__xludf.DUMMYFUNCTION("""COMPUTED_VALUE"""),7.437392979983E12)</f>
        <v>7437392979983</v>
      </c>
      <c r="F11792" s="1"/>
      <c r="G11792" s="1">
        <f>IFERROR(__xludf.DUMMYFUNCTION("""COMPUTED_VALUE"""),0.25)</f>
        <v>0.25</v>
      </c>
      <c r="H11792" s="2">
        <f>IFERROR(__xludf.DUMMYFUNCTION("""COMPUTED_VALUE"""),0.25)</f>
        <v>0.25</v>
      </c>
      <c r="I11792" s="5">
        <f>IFERROR(__xludf.DUMMYFUNCTION("""COMPUTED_VALUE"""),1.0)</f>
        <v>1</v>
      </c>
      <c r="J11792" s="1" t="str">
        <f>IFERROR(__xludf.DUMMYFUNCTION("""COMPUTED_VALUE"""),"Ann Dumlao")</f>
        <v>Ann Dumlao</v>
      </c>
      <c r="K11792" s="1" t="str">
        <f>IFERROR(__xludf.DUMMYFUNCTION("""COMPUTED_VALUE"""),"Admin Omni Support")</f>
        <v>Admin Omni Support</v>
      </c>
      <c r="L11792" s="1" t="str">
        <f>IFERROR(__xludf.DUMMYFUNCTION("""COMPUTED_VALUE"""),"Admin Omni Support")</f>
        <v>Admin Omni Support</v>
      </c>
    </row>
    <row r="11793">
      <c r="A11793" s="1" t="str">
        <f>IFERROR(__xludf.DUMMYFUNCTION("""COMPUTED_VALUE"""),"2026 Apr")</f>
        <v>2026 Apr</v>
      </c>
      <c r="B11793" s="4">
        <f>IFERROR(__xludf.DUMMYFUNCTION("""COMPUTED_VALUE"""),46125.0)</f>
        <v>46125</v>
      </c>
      <c r="C11793" s="1" t="str">
        <f>IFERROR(__xludf.DUMMYFUNCTION("""COMPUTED_VALUE"""),"Admin Support")</f>
        <v>Admin Support</v>
      </c>
      <c r="D11793" s="1" t="str">
        <f>IFERROR(__xludf.DUMMYFUNCTION("""COMPUTED_VALUE"""),"5e57a2c8-fe7b-40fb-b179-0090e8e3060b")</f>
        <v>5e57a2c8-fe7b-40fb-b179-0090e8e3060b</v>
      </c>
      <c r="E11793" s="1">
        <f>IFERROR(__xludf.DUMMYFUNCTION("""COMPUTED_VALUE"""),3.61733079315E11)</f>
        <v>361733079315</v>
      </c>
      <c r="F11793" s="1"/>
      <c r="G11793" s="1">
        <f>IFERROR(__xludf.DUMMYFUNCTION("""COMPUTED_VALUE"""),0.25)</f>
        <v>0.25</v>
      </c>
      <c r="H11793" s="2">
        <f>IFERROR(__xludf.DUMMYFUNCTION("""COMPUTED_VALUE"""),0.25)</f>
        <v>0.25</v>
      </c>
      <c r="I11793" s="5">
        <f>IFERROR(__xludf.DUMMYFUNCTION("""COMPUTED_VALUE"""),1.0)</f>
        <v>1</v>
      </c>
      <c r="J11793" s="1" t="str">
        <f>IFERROR(__xludf.DUMMYFUNCTION("""COMPUTED_VALUE"""),"Ann Dumlao")</f>
        <v>Ann Dumlao</v>
      </c>
      <c r="K11793" s="1" t="str">
        <f>IFERROR(__xludf.DUMMYFUNCTION("""COMPUTED_VALUE"""),"Admin Omni Support")</f>
        <v>Admin Omni Support</v>
      </c>
      <c r="L11793" s="1" t="str">
        <f>IFERROR(__xludf.DUMMYFUNCTION("""COMPUTED_VALUE"""),"Admin Omni Support")</f>
        <v>Admin Omni Support</v>
      </c>
    </row>
    <row r="11794">
      <c r="A11794" s="1" t="str">
        <f>IFERROR(__xludf.DUMMYFUNCTION("""COMPUTED_VALUE"""),"2026 Apr")</f>
        <v>2026 Apr</v>
      </c>
      <c r="B11794" s="4">
        <f>IFERROR(__xludf.DUMMYFUNCTION("""COMPUTED_VALUE"""),46125.0)</f>
        <v>46125</v>
      </c>
      <c r="C11794" s="1" t="str">
        <f>IFERROR(__xludf.DUMMYFUNCTION("""COMPUTED_VALUE"""),"High Sensitivity Support")</f>
        <v>High Sensitivity Support</v>
      </c>
      <c r="D11794" s="1" t="str">
        <f>IFERROR(__xludf.DUMMYFUNCTION("""COMPUTED_VALUE"""),"b7fd1097-c419-4ccc-9d67-4b66f71021a1")</f>
        <v>b7fd1097-c419-4ccc-9d67-4b66f71021a1</v>
      </c>
      <c r="E11794" s="1">
        <f>IFERROR(__xludf.DUMMYFUNCTION("""COMPUTED_VALUE"""),8.139562541455E12)</f>
        <v>8139562541455</v>
      </c>
      <c r="F11794" s="1"/>
      <c r="G11794" s="1"/>
      <c r="H11794" s="2">
        <f>IFERROR(__xludf.DUMMYFUNCTION("""COMPUTED_VALUE"""),0.0)</f>
        <v>0</v>
      </c>
      <c r="I11794" s="5"/>
      <c r="J11794" s="1" t="str">
        <f>IFERROR(__xludf.DUMMYFUNCTION("""COMPUTED_VALUE"""),"Rossheen Pura")</f>
        <v>Rossheen Pura</v>
      </c>
      <c r="K11794" s="1" t="str">
        <f>IFERROR(__xludf.DUMMYFUNCTION("""COMPUTED_VALUE"""),"High Sensitivity Support PH")</f>
        <v>High Sensitivity Support PH</v>
      </c>
      <c r="L11794" s="1" t="str">
        <f>IFERROR(__xludf.DUMMYFUNCTION("""COMPUTED_VALUE"""),"HSS High Sensitivity Support PH - CHT")</f>
        <v>HSS High Sensitivity Support PH - CHT</v>
      </c>
    </row>
    <row r="11795">
      <c r="A11795" s="1" t="str">
        <f>IFERROR(__xludf.DUMMYFUNCTION("""COMPUTED_VALUE"""),"2026 Apr")</f>
        <v>2026 Apr</v>
      </c>
      <c r="B11795" s="4">
        <f>IFERROR(__xludf.DUMMYFUNCTION("""COMPUTED_VALUE"""),46125.0)</f>
        <v>46125</v>
      </c>
      <c r="C11795" s="1" t="str">
        <f>IFERROR(__xludf.DUMMYFUNCTION("""COMPUTED_VALUE"""),"Core Product Support")</f>
        <v>Core Product Support</v>
      </c>
      <c r="D11795" s="1" t="str">
        <f>IFERROR(__xludf.DUMMYFUNCTION("""COMPUTED_VALUE"""),"20080360-d6b6-487a-ad2b-4d92f14a3e3a")</f>
        <v>20080360-d6b6-487a-ad2b-4d92f14a3e3a</v>
      </c>
      <c r="E11795" s="1">
        <f>IFERROR(__xludf.DUMMYFUNCTION("""COMPUTED_VALUE"""),5.901973593231E12)</f>
        <v>5901973593231</v>
      </c>
      <c r="F11795" s="1"/>
      <c r="G11795" s="1">
        <f>IFERROR(__xludf.DUMMYFUNCTION("""COMPUTED_VALUE"""),1.25)</f>
        <v>1.25</v>
      </c>
      <c r="H11795" s="2">
        <f>IFERROR(__xludf.DUMMYFUNCTION("""COMPUTED_VALUE"""),1.25)</f>
        <v>1.25</v>
      </c>
      <c r="I11795" s="5">
        <f>IFERROR(__xludf.DUMMYFUNCTION("""COMPUTED_VALUE"""),1.0)</f>
        <v>1</v>
      </c>
      <c r="J11795" s="1" t="str">
        <f>IFERROR(__xludf.DUMMYFUNCTION("""COMPUTED_VALUE"""),"Vinz Lazaro")</f>
        <v>Vinz Lazaro</v>
      </c>
      <c r="K11795" s="1" t="str">
        <f>IFERROR(__xludf.DUMMYFUNCTION("""COMPUTED_VALUE"""),"Advanced Product Support")</f>
        <v>Advanced Product Support</v>
      </c>
      <c r="L11795" s="1" t="str">
        <f>IFERROR(__xludf.DUMMYFUNCTION("""COMPUTED_VALUE"""),"CPS Advanced Product Support (APS)")</f>
        <v>CPS Advanced Product Support (APS)</v>
      </c>
    </row>
    <row r="11796">
      <c r="A11796" s="1" t="str">
        <f>IFERROR(__xludf.DUMMYFUNCTION("""COMPUTED_VALUE"""),"2026 Apr")</f>
        <v>2026 Apr</v>
      </c>
      <c r="B11796" s="4">
        <f>IFERROR(__xludf.DUMMYFUNCTION("""COMPUTED_VALUE"""),46125.0)</f>
        <v>46125</v>
      </c>
      <c r="C11796" s="1" t="str">
        <f>IFERROR(__xludf.DUMMYFUNCTION("""COMPUTED_VALUE"""),"High Sensitivity Support")</f>
        <v>High Sensitivity Support</v>
      </c>
      <c r="D11796" s="1" t="str">
        <f>IFERROR(__xludf.DUMMYFUNCTION("""COMPUTED_VALUE"""),"27bbaf2c-6971-4b55-91a0-193260eb00dd")</f>
        <v>27bbaf2c-6971-4b55-91a0-193260eb00dd</v>
      </c>
      <c r="E11796" s="1">
        <f>IFERROR(__xludf.DUMMYFUNCTION("""COMPUTED_VALUE"""),5.202441057551E12)</f>
        <v>5202441057551</v>
      </c>
      <c r="F11796" s="1"/>
      <c r="G11796" s="1"/>
      <c r="H11796" s="2">
        <f>IFERROR(__xludf.DUMMYFUNCTION("""COMPUTED_VALUE"""),0.0)</f>
        <v>0</v>
      </c>
      <c r="I11796" s="5"/>
      <c r="J11796" s="1" t="str">
        <f>IFERROR(__xludf.DUMMYFUNCTION("""COMPUTED_VALUE"""),"Xandy Azarcon")</f>
        <v>Xandy Azarcon</v>
      </c>
      <c r="K11796" s="1" t="str">
        <f>IFERROR(__xludf.DUMMYFUNCTION("""COMPUTED_VALUE"""),"High Sensitivity Support PH")</f>
        <v>High Sensitivity Support PH</v>
      </c>
      <c r="L11796" s="1" t="str">
        <f>IFERROR(__xludf.DUMMYFUNCTION("""COMPUTED_VALUE"""),"HSS High Sensitivity Support PH - CHT")</f>
        <v>HSS High Sensitivity Support PH - CHT</v>
      </c>
    </row>
    <row r="11797">
      <c r="A11797" s="1" t="str">
        <f>IFERROR(__xludf.DUMMYFUNCTION("""COMPUTED_VALUE"""),"2026 Apr")</f>
        <v>2026 Apr</v>
      </c>
      <c r="B11797" s="4">
        <f>IFERROR(__xludf.DUMMYFUNCTION("""COMPUTED_VALUE"""),46125.0)</f>
        <v>46125</v>
      </c>
      <c r="C11797" s="1" t="str">
        <f>IFERROR(__xludf.DUMMYFUNCTION("""COMPUTED_VALUE"""),"Print Support")</f>
        <v>Print Support</v>
      </c>
      <c r="D11797" s="1" t="str">
        <f>IFERROR(__xludf.DUMMYFUNCTION("""COMPUTED_VALUE"""),"b1b482a6-c097-431c-a83d-5d00e89da6bf")</f>
        <v>b1b482a6-c097-431c-a83d-5d00e89da6bf</v>
      </c>
      <c r="E11797" s="1">
        <f>IFERROR(__xludf.DUMMYFUNCTION("""COMPUTED_VALUE"""),3.61724962836E11)</f>
        <v>361724962836</v>
      </c>
      <c r="F11797" s="1"/>
      <c r="G11797" s="1"/>
      <c r="H11797" s="2">
        <f>IFERROR(__xludf.DUMMYFUNCTION("""COMPUTED_VALUE"""),0.0)</f>
        <v>0</v>
      </c>
      <c r="I11797" s="5"/>
      <c r="J11797" s="1" t="str">
        <f>IFERROR(__xludf.DUMMYFUNCTION("""COMPUTED_VALUE"""),"Althea Mercado")</f>
        <v>Althea Mercado</v>
      </c>
      <c r="K11797" s="1" t="str">
        <f>IFERROR(__xludf.DUMMYFUNCTION("""COMPUTED_VALUE"""),"Print Support PH")</f>
        <v>Print Support PH</v>
      </c>
      <c r="L11797" s="1" t="str">
        <f>IFERROR(__xludf.DUMMYFUNCTION("""COMPUTED_VALUE"""),"Print Print - CHT")</f>
        <v>Print Print - CHT</v>
      </c>
    </row>
    <row r="11798">
      <c r="A11798" s="1" t="str">
        <f>IFERROR(__xludf.DUMMYFUNCTION("""COMPUTED_VALUE"""),"2026 Apr")</f>
        <v>2026 Apr</v>
      </c>
      <c r="B11798" s="4">
        <f>IFERROR(__xludf.DUMMYFUNCTION("""COMPUTED_VALUE"""),46125.0)</f>
        <v>46125</v>
      </c>
      <c r="C11798" s="1" t="str">
        <f>IFERROR(__xludf.DUMMYFUNCTION("""COMPUTED_VALUE"""),"Core Product Support")</f>
        <v>Core Product Support</v>
      </c>
      <c r="D11798" s="1" t="str">
        <f>IFERROR(__xludf.DUMMYFUNCTION("""COMPUTED_VALUE"""),"426201d1-0b5d-4900-95cc-7a8b0c35e471")</f>
        <v>426201d1-0b5d-4900-95cc-7a8b0c35e471</v>
      </c>
      <c r="E11798" s="1">
        <f>IFERROR(__xludf.DUMMYFUNCTION("""COMPUTED_VALUE"""),7.235417174415E12)</f>
        <v>7235417174415</v>
      </c>
      <c r="F11798" s="1"/>
      <c r="G11798" s="1">
        <f>IFERROR(__xludf.DUMMYFUNCTION("""COMPUTED_VALUE"""),1.25)</f>
        <v>1.25</v>
      </c>
      <c r="H11798" s="2">
        <f>IFERROR(__xludf.DUMMYFUNCTION("""COMPUTED_VALUE"""),1.25)</f>
        <v>1.25</v>
      </c>
      <c r="I11798" s="5">
        <f>IFERROR(__xludf.DUMMYFUNCTION("""COMPUTED_VALUE"""),1.0)</f>
        <v>1</v>
      </c>
      <c r="J11798" s="1" t="str">
        <f>IFERROR(__xludf.DUMMYFUNCTION("""COMPUTED_VALUE"""),"Ana Lazaro")</f>
        <v>Ana Lazaro</v>
      </c>
      <c r="K11798" s="1" t="str">
        <f>IFERROR(__xludf.DUMMYFUNCTION("""COMPUTED_VALUE"""),"Advanced Billing &amp; Subscriptions")</f>
        <v>Advanced Billing &amp; Subscriptions</v>
      </c>
      <c r="L11798" s="1" t="str">
        <f>IFERROR(__xludf.DUMMYFUNCTION("""COMPUTED_VALUE"""),"CPS Advanced Billing and Subscriptions (ABS)")</f>
        <v>CPS Advanced Billing and Subscriptions (ABS)</v>
      </c>
    </row>
    <row r="11799">
      <c r="A11799" s="1" t="str">
        <f>IFERROR(__xludf.DUMMYFUNCTION("""COMPUTED_VALUE"""),"2026 Apr")</f>
        <v>2026 Apr</v>
      </c>
      <c r="B11799" s="4">
        <f>IFERROR(__xludf.DUMMYFUNCTION("""COMPUTED_VALUE"""),46125.0)</f>
        <v>46125</v>
      </c>
      <c r="C11799" s="1" t="str">
        <f>IFERROR(__xludf.DUMMYFUNCTION("""COMPUTED_VALUE"""),"Print Support")</f>
        <v>Print Support</v>
      </c>
      <c r="D11799" s="1" t="str">
        <f>IFERROR(__xludf.DUMMYFUNCTION("""COMPUTED_VALUE"""),"ae33c457-9730-4b61-af51-a03edb80253a")</f>
        <v>ae33c457-9730-4b61-af51-a03edb80253a</v>
      </c>
      <c r="E11799" s="1">
        <f>IFERROR(__xludf.DUMMYFUNCTION("""COMPUTED_VALUE"""),3.61733077175E11)</f>
        <v>361733077175</v>
      </c>
      <c r="F11799" s="1"/>
      <c r="G11799" s="1"/>
      <c r="H11799" s="2">
        <f>IFERROR(__xludf.DUMMYFUNCTION("""COMPUTED_VALUE"""),0.0)</f>
        <v>0</v>
      </c>
      <c r="I11799" s="5"/>
      <c r="J11799" s="1" t="str">
        <f>IFERROR(__xludf.DUMMYFUNCTION("""COMPUTED_VALUE"""),"Louise Dianne Estrella")</f>
        <v>Louise Dianne Estrella</v>
      </c>
      <c r="K11799" s="1" t="str">
        <f>IFERROR(__xludf.DUMMYFUNCTION("""COMPUTED_VALUE"""),"Print Support PH")</f>
        <v>Print Support PH</v>
      </c>
      <c r="L11799" s="1" t="str">
        <f>IFERROR(__xludf.DUMMYFUNCTION("""COMPUTED_VALUE"""),"Print Print - CHT")</f>
        <v>Print Print - CHT</v>
      </c>
    </row>
    <row r="11800">
      <c r="A11800" s="1" t="str">
        <f>IFERROR(__xludf.DUMMYFUNCTION("""COMPUTED_VALUE"""),"2026 Apr")</f>
        <v>2026 Apr</v>
      </c>
      <c r="B11800" s="4">
        <f>IFERROR(__xludf.DUMMYFUNCTION("""COMPUTED_VALUE"""),46125.0)</f>
        <v>46125</v>
      </c>
      <c r="C11800" s="1" t="str">
        <f>IFERROR(__xludf.DUMMYFUNCTION("""COMPUTED_VALUE"""),"High Sensitivity Support")</f>
        <v>High Sensitivity Support</v>
      </c>
      <c r="D11800" s="1" t="str">
        <f>IFERROR(__xludf.DUMMYFUNCTION("""COMPUTED_VALUE"""),"3a5a6ab5-8abf-422b-9670-8975c03a0818")</f>
        <v>3a5a6ab5-8abf-422b-9670-8975c03a0818</v>
      </c>
      <c r="E11800" s="1">
        <f>IFERROR(__xludf.DUMMYFUNCTION("""COMPUTED_VALUE"""),3.61725260976E11)</f>
        <v>361725260976</v>
      </c>
      <c r="F11800" s="1"/>
      <c r="G11800" s="1"/>
      <c r="H11800" s="2">
        <f>IFERROR(__xludf.DUMMYFUNCTION("""COMPUTED_VALUE"""),0.0)</f>
        <v>0</v>
      </c>
      <c r="I11800" s="5"/>
      <c r="J11800" s="1" t="str">
        <f>IFERROR(__xludf.DUMMYFUNCTION("""COMPUTED_VALUE"""),"Rossheen Pura")</f>
        <v>Rossheen Pura</v>
      </c>
      <c r="K11800" s="1" t="str">
        <f>IFERROR(__xludf.DUMMYFUNCTION("""COMPUTED_VALUE"""),"High Sensitivity Support PH")</f>
        <v>High Sensitivity Support PH</v>
      </c>
      <c r="L11800" s="1" t="str">
        <f>IFERROR(__xludf.DUMMYFUNCTION("""COMPUTED_VALUE"""),"HSS High Sensitivity Support PH - CHT")</f>
        <v>HSS High Sensitivity Support PH - CHT</v>
      </c>
    </row>
    <row r="11801">
      <c r="A11801" s="1" t="str">
        <f>IFERROR(__xludf.DUMMYFUNCTION("""COMPUTED_VALUE"""),"2026 Apr")</f>
        <v>2026 Apr</v>
      </c>
      <c r="B11801" s="4">
        <f>IFERROR(__xludf.DUMMYFUNCTION("""COMPUTED_VALUE"""),46125.0)</f>
        <v>46125</v>
      </c>
      <c r="C11801" s="1" t="str">
        <f>IFERROR(__xludf.DUMMYFUNCTION("""COMPUTED_VALUE"""),"Core Product Support")</f>
        <v>Core Product Support</v>
      </c>
      <c r="D11801" s="1" t="str">
        <f>IFERROR(__xludf.DUMMYFUNCTION("""COMPUTED_VALUE"""),"ec2c53f2-66fa-462e-9ac9-b9e626e485b4")</f>
        <v>ec2c53f2-66fa-462e-9ac9-b9e626e485b4</v>
      </c>
      <c r="E11801" s="1">
        <f>IFERROR(__xludf.DUMMYFUNCTION("""COMPUTED_VALUE"""),5.047318720783E12)</f>
        <v>5047318720783</v>
      </c>
      <c r="F11801" s="1"/>
      <c r="G11801" s="1">
        <f>IFERROR(__xludf.DUMMYFUNCTION("""COMPUTED_VALUE"""),1.25)</f>
        <v>1.25</v>
      </c>
      <c r="H11801" s="2">
        <f>IFERROR(__xludf.DUMMYFUNCTION("""COMPUTED_VALUE"""),1.25)</f>
        <v>1.25</v>
      </c>
      <c r="I11801" s="5">
        <f>IFERROR(__xludf.DUMMYFUNCTION("""COMPUTED_VALUE"""),1.0)</f>
        <v>1</v>
      </c>
      <c r="J11801" s="1" t="str">
        <f>IFERROR(__xludf.DUMMYFUNCTION("""COMPUTED_VALUE"""),"Vinz Lazaro")</f>
        <v>Vinz Lazaro</v>
      </c>
      <c r="K11801" s="1" t="str">
        <f>IFERROR(__xludf.DUMMYFUNCTION("""COMPUTED_VALUE"""),"Advanced Product Support")</f>
        <v>Advanced Product Support</v>
      </c>
      <c r="L11801" s="1" t="str">
        <f>IFERROR(__xludf.DUMMYFUNCTION("""COMPUTED_VALUE"""),"CPS Advanced Product Support (APS)")</f>
        <v>CPS Advanced Product Support (APS)</v>
      </c>
    </row>
    <row r="11802">
      <c r="A11802" s="1" t="str">
        <f>IFERROR(__xludf.DUMMYFUNCTION("""COMPUTED_VALUE"""),"2026 Apr")</f>
        <v>2026 Apr</v>
      </c>
      <c r="B11802" s="4">
        <f>IFERROR(__xludf.DUMMYFUNCTION("""COMPUTED_VALUE"""),46125.0)</f>
        <v>46125</v>
      </c>
      <c r="C11802" s="1" t="str">
        <f>IFERROR(__xludf.DUMMYFUNCTION("""COMPUTED_VALUE"""),"High Sensitivity Support")</f>
        <v>High Sensitivity Support</v>
      </c>
      <c r="D11802" s="1" t="str">
        <f>IFERROR(__xludf.DUMMYFUNCTION("""COMPUTED_VALUE"""),"ac409d1d-146f-4f2e-97cf-ac668184be31")</f>
        <v>ac409d1d-146f-4f2e-97cf-ac668184be31</v>
      </c>
      <c r="E11802" s="1">
        <f>IFERROR(__xludf.DUMMYFUNCTION("""COMPUTED_VALUE"""),9.285050515215E12)</f>
        <v>9285050515215</v>
      </c>
      <c r="F11802" s="1"/>
      <c r="G11802" s="1"/>
      <c r="H11802" s="2">
        <f>IFERROR(__xludf.DUMMYFUNCTION("""COMPUTED_VALUE"""),0.0)</f>
        <v>0</v>
      </c>
      <c r="I11802" s="5"/>
      <c r="J11802" s="1" t="str">
        <f>IFERROR(__xludf.DUMMYFUNCTION("""COMPUTED_VALUE"""),"Xandy Azarcon")</f>
        <v>Xandy Azarcon</v>
      </c>
      <c r="K11802" s="1" t="str">
        <f>IFERROR(__xludf.DUMMYFUNCTION("""COMPUTED_VALUE"""),"High Sensitivity Support PH")</f>
        <v>High Sensitivity Support PH</v>
      </c>
      <c r="L11802" s="1" t="str">
        <f>IFERROR(__xludf.DUMMYFUNCTION("""COMPUTED_VALUE"""),"HSS High Sensitivity Support PH - CHT")</f>
        <v>HSS High Sensitivity Support PH - CHT</v>
      </c>
    </row>
    <row r="11803">
      <c r="A11803" s="1" t="str">
        <f>IFERROR(__xludf.DUMMYFUNCTION("""COMPUTED_VALUE"""),"2026 Apr")</f>
        <v>2026 Apr</v>
      </c>
      <c r="B11803" s="4">
        <f>IFERROR(__xludf.DUMMYFUNCTION("""COMPUTED_VALUE"""),46125.0)</f>
        <v>46125</v>
      </c>
      <c r="C11803" s="1" t="str">
        <f>IFERROR(__xludf.DUMMYFUNCTION("""COMPUTED_VALUE"""),"Admin Support")</f>
        <v>Admin Support</v>
      </c>
      <c r="D11803" s="1" t="str">
        <f>IFERROR(__xludf.DUMMYFUNCTION("""COMPUTED_VALUE"""),"390ace33-d7f9-4dda-8f95-3d06e72320ce")</f>
        <v>390ace33-d7f9-4dda-8f95-3d06e72320ce</v>
      </c>
      <c r="E11803" s="1">
        <f>IFERROR(__xludf.DUMMYFUNCTION("""COMPUTED_VALUE"""),3.61724963216E11)</f>
        <v>361724963216</v>
      </c>
      <c r="F11803" s="1"/>
      <c r="G11803" s="1"/>
      <c r="H11803" s="2">
        <f>IFERROR(__xludf.DUMMYFUNCTION("""COMPUTED_VALUE"""),0.0)</f>
        <v>0</v>
      </c>
      <c r="I11803" s="5"/>
      <c r="J11803" s="1" t="str">
        <f>IFERROR(__xludf.DUMMYFUNCTION("""COMPUTED_VALUE"""),"Karla Mananghaya")</f>
        <v>Karla Mananghaya</v>
      </c>
      <c r="K11803" s="1" t="str">
        <f>IFERROR(__xludf.DUMMYFUNCTION("""COMPUTED_VALUE"""),"Admin Support Service Escalation Team")</f>
        <v>Admin Support Service Escalation Team</v>
      </c>
      <c r="L11803" s="1" t="str">
        <f>IFERROR(__xludf.DUMMYFUNCTION("""COMPUTED_VALUE"""),"Admin ASSET")</f>
        <v>Admin ASSET</v>
      </c>
    </row>
    <row r="11804">
      <c r="A11804" s="1" t="str">
        <f>IFERROR(__xludf.DUMMYFUNCTION("""COMPUTED_VALUE"""),"2026 Apr")</f>
        <v>2026 Apr</v>
      </c>
      <c r="B11804" s="4">
        <f>IFERROR(__xludf.DUMMYFUNCTION("""COMPUTED_VALUE"""),46125.0)</f>
        <v>46125</v>
      </c>
      <c r="C11804" s="1" t="str">
        <f>IFERROR(__xludf.DUMMYFUNCTION("""COMPUTED_VALUE"""),"Core Product Support")</f>
        <v>Core Product Support</v>
      </c>
      <c r="D11804" s="1" t="str">
        <f>IFERROR(__xludf.DUMMYFUNCTION("""COMPUTED_VALUE"""),"4213e169-349c-47c9-b613-f4356c986a3d")</f>
        <v>4213e169-349c-47c9-b613-f4356c986a3d</v>
      </c>
      <c r="E11804" s="1">
        <f>IFERROR(__xludf.DUMMYFUNCTION("""COMPUTED_VALUE"""),1.0548588312463E13)</f>
        <v>10548588312463</v>
      </c>
      <c r="F11804" s="1"/>
      <c r="G11804" s="1">
        <f>IFERROR(__xludf.DUMMYFUNCTION("""COMPUTED_VALUE"""),1.25)</f>
        <v>1.25</v>
      </c>
      <c r="H11804" s="2">
        <f>IFERROR(__xludf.DUMMYFUNCTION("""COMPUTED_VALUE"""),1.25)</f>
        <v>1.25</v>
      </c>
      <c r="I11804" s="5">
        <f>IFERROR(__xludf.DUMMYFUNCTION("""COMPUTED_VALUE"""),1.0)</f>
        <v>1</v>
      </c>
      <c r="J11804" s="1" t="str">
        <f>IFERROR(__xludf.DUMMYFUNCTION("""COMPUTED_VALUE"""),"Belle Bentazal")</f>
        <v>Belle Bentazal</v>
      </c>
      <c r="K11804" s="1" t="str">
        <f>IFERROR(__xludf.DUMMYFUNCTION("""COMPUTED_VALUE"""),"Advanced Product Support")</f>
        <v>Advanced Product Support</v>
      </c>
      <c r="L11804" s="1" t="str">
        <f>IFERROR(__xludf.DUMMYFUNCTION("""COMPUTED_VALUE"""),"CPS Advanced Product Support (APS)")</f>
        <v>CPS Advanced Product Support (APS)</v>
      </c>
    </row>
    <row r="11805">
      <c r="A11805" s="1" t="str">
        <f>IFERROR(__xludf.DUMMYFUNCTION("""COMPUTED_VALUE"""),"2026 Apr")</f>
        <v>2026 Apr</v>
      </c>
      <c r="B11805" s="4">
        <f>IFERROR(__xludf.DUMMYFUNCTION("""COMPUTED_VALUE"""),46125.0)</f>
        <v>46125</v>
      </c>
      <c r="C11805" s="1" t="str">
        <f>IFERROR(__xludf.DUMMYFUNCTION("""COMPUTED_VALUE"""),"Core Product Support")</f>
        <v>Core Product Support</v>
      </c>
      <c r="D11805" s="1" t="str">
        <f>IFERROR(__xludf.DUMMYFUNCTION("""COMPUTED_VALUE"""),"3d49537c-dbf0-4f04-896b-1d3cc141a183")</f>
        <v>3d49537c-dbf0-4f04-896b-1d3cc141a183</v>
      </c>
      <c r="E11805" s="1">
        <f>IFERROR(__xludf.DUMMYFUNCTION("""COMPUTED_VALUE"""),5.901988041103E12)</f>
        <v>5901988041103</v>
      </c>
      <c r="F11805" s="1"/>
      <c r="G11805" s="1">
        <f>IFERROR(__xludf.DUMMYFUNCTION("""COMPUTED_VALUE"""),1.0)</f>
        <v>1</v>
      </c>
      <c r="H11805" s="2">
        <f>IFERROR(__xludf.DUMMYFUNCTION("""COMPUTED_VALUE"""),1.0)</f>
        <v>1</v>
      </c>
      <c r="I11805" s="5">
        <f>IFERROR(__xludf.DUMMYFUNCTION("""COMPUTED_VALUE"""),1.0)</f>
        <v>1</v>
      </c>
      <c r="J11805" s="1" t="str">
        <f>IFERROR(__xludf.DUMMYFUNCTION("""COMPUTED_VALUE"""),"Jem Mondoñedo")</f>
        <v>Jem Mondoñedo</v>
      </c>
      <c r="K11805" s="1" t="str">
        <f>IFERROR(__xludf.DUMMYFUNCTION("""COMPUTED_VALUE"""),"Advanced Billing &amp; Subscriptions")</f>
        <v>Advanced Billing &amp; Subscriptions</v>
      </c>
      <c r="L11805" s="1" t="str">
        <f>IFERROR(__xludf.DUMMYFUNCTION("""COMPUTED_VALUE"""),"CPS Advanced Billing and Subscriptions (ABS)")</f>
        <v>CPS Advanced Billing and Subscriptions (ABS)</v>
      </c>
    </row>
    <row r="11806">
      <c r="A11806" s="1" t="str">
        <f>IFERROR(__xludf.DUMMYFUNCTION("""COMPUTED_VALUE"""),"2026 Apr")</f>
        <v>2026 Apr</v>
      </c>
      <c r="B11806" s="4">
        <f>IFERROR(__xludf.DUMMYFUNCTION("""COMPUTED_VALUE"""),46125.0)</f>
        <v>46125</v>
      </c>
      <c r="C11806" s="1" t="str">
        <f>IFERROR(__xludf.DUMMYFUNCTION("""COMPUTED_VALUE"""),"Core Product Support")</f>
        <v>Core Product Support</v>
      </c>
      <c r="D11806" s="1" t="str">
        <f>IFERROR(__xludf.DUMMYFUNCTION("""COMPUTED_VALUE"""),"b5f49a72-6ea0-44a0-8325-970c0e83dea7")</f>
        <v>b5f49a72-6ea0-44a0-8325-970c0e83dea7</v>
      </c>
      <c r="E11806" s="1">
        <f>IFERROR(__xludf.DUMMYFUNCTION("""COMPUTED_VALUE"""),9.586408388239E12)</f>
        <v>9586408388239</v>
      </c>
      <c r="F11806" s="1"/>
      <c r="G11806" s="1">
        <f>IFERROR(__xludf.DUMMYFUNCTION("""COMPUTED_VALUE"""),1.25)</f>
        <v>1.25</v>
      </c>
      <c r="H11806" s="2">
        <f>IFERROR(__xludf.DUMMYFUNCTION("""COMPUTED_VALUE"""),1.25)</f>
        <v>1.25</v>
      </c>
      <c r="I11806" s="5">
        <f>IFERROR(__xludf.DUMMYFUNCTION("""COMPUTED_VALUE"""),1.0)</f>
        <v>1</v>
      </c>
      <c r="J11806" s="1" t="str">
        <f>IFERROR(__xludf.DUMMYFUNCTION("""COMPUTED_VALUE"""),"Belle Bentazal")</f>
        <v>Belle Bentazal</v>
      </c>
      <c r="K11806" s="1" t="str">
        <f>IFERROR(__xludf.DUMMYFUNCTION("""COMPUTED_VALUE"""),"Advanced Product Support")</f>
        <v>Advanced Product Support</v>
      </c>
      <c r="L11806" s="1" t="str">
        <f>IFERROR(__xludf.DUMMYFUNCTION("""COMPUTED_VALUE"""),"CPS Advanced Product Support (APS)")</f>
        <v>CPS Advanced Product Support (APS)</v>
      </c>
    </row>
    <row r="11807">
      <c r="A11807" s="1" t="str">
        <f>IFERROR(__xludf.DUMMYFUNCTION("""COMPUTED_VALUE"""),"2026 Apr")</f>
        <v>2026 Apr</v>
      </c>
      <c r="B11807" s="4">
        <f>IFERROR(__xludf.DUMMYFUNCTION("""COMPUTED_VALUE"""),46125.0)</f>
        <v>46125</v>
      </c>
      <c r="C11807" s="1" t="str">
        <f>IFERROR(__xludf.DUMMYFUNCTION("""COMPUTED_VALUE"""),"Admin Support")</f>
        <v>Admin Support</v>
      </c>
      <c r="D11807" s="1" t="str">
        <f>IFERROR(__xludf.DUMMYFUNCTION("""COMPUTED_VALUE"""),"3960812e-748b-47a3-8dea-3a0c6b21aee1")</f>
        <v>3960812e-748b-47a3-8dea-3a0c6b21aee1</v>
      </c>
      <c r="E11807" s="1">
        <f>IFERROR(__xludf.DUMMYFUNCTION("""COMPUTED_VALUE"""),9.107749076367E12)</f>
        <v>9107749076367</v>
      </c>
      <c r="F11807" s="1"/>
      <c r="G11807" s="1">
        <f>IFERROR(__xludf.DUMMYFUNCTION("""COMPUTED_VALUE"""),0.25)</f>
        <v>0.25</v>
      </c>
      <c r="H11807" s="2">
        <f>IFERROR(__xludf.DUMMYFUNCTION("""COMPUTED_VALUE"""),0.25)</f>
        <v>0.25</v>
      </c>
      <c r="I11807" s="5">
        <f>IFERROR(__xludf.DUMMYFUNCTION("""COMPUTED_VALUE"""),1.0)</f>
        <v>1</v>
      </c>
      <c r="J11807" s="1" t="str">
        <f>IFERROR(__xludf.DUMMYFUNCTION("""COMPUTED_VALUE"""),"Ann Dumlao")</f>
        <v>Ann Dumlao</v>
      </c>
      <c r="K11807" s="1" t="str">
        <f>IFERROR(__xludf.DUMMYFUNCTION("""COMPUTED_VALUE"""),"Admin Omni Support")</f>
        <v>Admin Omni Support</v>
      </c>
      <c r="L11807" s="1" t="str">
        <f>IFERROR(__xludf.DUMMYFUNCTION("""COMPUTED_VALUE"""),"Admin Omni Support")</f>
        <v>Admin Omni Support</v>
      </c>
    </row>
    <row r="11808">
      <c r="A11808" s="1" t="str">
        <f>IFERROR(__xludf.DUMMYFUNCTION("""COMPUTED_VALUE"""),"2026 Apr")</f>
        <v>2026 Apr</v>
      </c>
      <c r="B11808" s="4">
        <f>IFERROR(__xludf.DUMMYFUNCTION("""COMPUTED_VALUE"""),46125.0)</f>
        <v>46125</v>
      </c>
      <c r="C11808" s="1" t="str">
        <f>IFERROR(__xludf.DUMMYFUNCTION("""COMPUTED_VALUE"""),"Segment-specific Support")</f>
        <v>Segment-specific Support</v>
      </c>
      <c r="D11808" s="1" t="str">
        <f>IFERROR(__xludf.DUMMYFUNCTION("""COMPUTED_VALUE"""),"0519f8dd-38e2-4c44-b925-77b43587196d")</f>
        <v>0519f8dd-38e2-4c44-b925-77b43587196d</v>
      </c>
      <c r="E11808" s="1">
        <f>IFERROR(__xludf.DUMMYFUNCTION("""COMPUTED_VALUE"""),3.61731348815E11)</f>
        <v>361731348815</v>
      </c>
      <c r="F11808" s="1"/>
      <c r="G11808" s="1"/>
      <c r="H11808" s="2">
        <f>IFERROR(__xludf.DUMMYFUNCTION("""COMPUTED_VALUE"""),0.0)</f>
        <v>0</v>
      </c>
      <c r="I11808" s="5"/>
      <c r="J11808" s="1" t="str">
        <f>IFERROR(__xludf.DUMMYFUNCTION("""COMPUTED_VALUE"""),"Aileen Dayanghirang")</f>
        <v>Aileen Dayanghirang</v>
      </c>
      <c r="K11808" s="1" t="str">
        <f>IFERROR(__xludf.DUMMYFUNCTION("""COMPUTED_VALUE"""),"Creators Support")</f>
        <v>Creators Support</v>
      </c>
      <c r="L11808" s="1" t="str">
        <f>IFERROR(__xludf.DUMMYFUNCTION("""COMPUTED_VALUE"""),"SSS Creators")</f>
        <v>SSS Creators</v>
      </c>
    </row>
    <row r="11809">
      <c r="A11809" s="1" t="str">
        <f>IFERROR(__xludf.DUMMYFUNCTION("""COMPUTED_VALUE"""),"2026 Apr")</f>
        <v>2026 Apr</v>
      </c>
      <c r="B11809" s="4">
        <f>IFERROR(__xludf.DUMMYFUNCTION("""COMPUTED_VALUE"""),46125.0)</f>
        <v>46125</v>
      </c>
      <c r="C11809" s="1" t="str">
        <f>IFERROR(__xludf.DUMMYFUNCTION("""COMPUTED_VALUE"""),"Core Product Support")</f>
        <v>Core Product Support</v>
      </c>
      <c r="D11809" s="1" t="str">
        <f>IFERROR(__xludf.DUMMYFUNCTION("""COMPUTED_VALUE"""),"3ea48634-b6a2-4b3f-b17e-bc63a77dd069")</f>
        <v>3ea48634-b6a2-4b3f-b17e-bc63a77dd069</v>
      </c>
      <c r="E11809" s="1">
        <f>IFERROR(__xludf.DUMMYFUNCTION("""COMPUTED_VALUE"""),3.61969384715E11)</f>
        <v>361969384715</v>
      </c>
      <c r="F11809" s="1"/>
      <c r="G11809" s="1">
        <f>IFERROR(__xludf.DUMMYFUNCTION("""COMPUTED_VALUE"""),0.75)</f>
        <v>0.75</v>
      </c>
      <c r="H11809" s="2">
        <f>IFERROR(__xludf.DUMMYFUNCTION("""COMPUTED_VALUE"""),0.75)</f>
        <v>0.75</v>
      </c>
      <c r="I11809" s="5">
        <f>IFERROR(__xludf.DUMMYFUNCTION("""COMPUTED_VALUE"""),1.0)</f>
        <v>1</v>
      </c>
      <c r="J11809" s="1" t="str">
        <f>IFERROR(__xludf.DUMMYFUNCTION("""COMPUTED_VALUE"""),"Jem Mondoñedo")</f>
        <v>Jem Mondoñedo</v>
      </c>
      <c r="K11809" s="1" t="str">
        <f>IFERROR(__xludf.DUMMYFUNCTION("""COMPUTED_VALUE"""),"Advanced Billing &amp; Subscriptions")</f>
        <v>Advanced Billing &amp; Subscriptions</v>
      </c>
      <c r="L11809" s="1" t="str">
        <f>IFERROR(__xludf.DUMMYFUNCTION("""COMPUTED_VALUE"""),"CPS Advanced Billing and Subscriptions (ABS)")</f>
        <v>CPS Advanced Billing and Subscriptions (ABS)</v>
      </c>
    </row>
    <row r="11810">
      <c r="A11810" s="1" t="str">
        <f>IFERROR(__xludf.DUMMYFUNCTION("""COMPUTED_VALUE"""),"2026 Apr")</f>
        <v>2026 Apr</v>
      </c>
      <c r="B11810" s="4">
        <f>IFERROR(__xludf.DUMMYFUNCTION("""COMPUTED_VALUE"""),46125.0)</f>
        <v>46125</v>
      </c>
      <c r="C11810" s="1" t="str">
        <f>IFERROR(__xludf.DUMMYFUNCTION("""COMPUTED_VALUE"""),"Core Product Support")</f>
        <v>Core Product Support</v>
      </c>
      <c r="D11810" s="1" t="str">
        <f>IFERROR(__xludf.DUMMYFUNCTION("""COMPUTED_VALUE"""),"f26b7878-f252-4db1-b6ae-1278d851d7f9")</f>
        <v>f26b7878-f252-4db1-b6ae-1278d851d7f9</v>
      </c>
      <c r="E11810" s="1">
        <f>IFERROR(__xludf.DUMMYFUNCTION("""COMPUTED_VALUE"""),3.61731792295E11)</f>
        <v>361731792295</v>
      </c>
      <c r="F11810" s="1"/>
      <c r="G11810" s="1">
        <f>IFERROR(__xludf.DUMMYFUNCTION("""COMPUTED_VALUE"""),1.5)</f>
        <v>1.5</v>
      </c>
      <c r="H11810" s="2">
        <f>IFERROR(__xludf.DUMMYFUNCTION("""COMPUTED_VALUE"""),1.5)</f>
        <v>1.5</v>
      </c>
      <c r="I11810" s="5">
        <f>IFERROR(__xludf.DUMMYFUNCTION("""COMPUTED_VALUE"""),1.0)</f>
        <v>1</v>
      </c>
      <c r="J11810" s="1" t="str">
        <f>IFERROR(__xludf.DUMMYFUNCTION("""COMPUTED_VALUE"""),"Jelyn Elmido")</f>
        <v>Jelyn Elmido</v>
      </c>
      <c r="K11810" s="1" t="str">
        <f>IFERROR(__xludf.DUMMYFUNCTION("""COMPUTED_VALUE"""),"Core Product Support Escalation Team")</f>
        <v>Core Product Support Escalation Team</v>
      </c>
      <c r="L11810"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811">
      <c r="A11811" s="1" t="str">
        <f>IFERROR(__xludf.DUMMYFUNCTION("""COMPUTED_VALUE"""),"2026 Apr")</f>
        <v>2026 Apr</v>
      </c>
      <c r="B11811" s="4">
        <f>IFERROR(__xludf.DUMMYFUNCTION("""COMPUTED_VALUE"""),46125.0)</f>
        <v>46125</v>
      </c>
      <c r="C11811" s="1" t="str">
        <f>IFERROR(__xludf.DUMMYFUNCTION("""COMPUTED_VALUE"""),"Print Support")</f>
        <v>Print Support</v>
      </c>
      <c r="D11811" s="1" t="str">
        <f>IFERROR(__xludf.DUMMYFUNCTION("""COMPUTED_VALUE"""),"5957e659-d004-4b50-a833-96d89b506744")</f>
        <v>5957e659-d004-4b50-a833-96d89b506744</v>
      </c>
      <c r="E11811" s="1">
        <f>IFERROR(__xludf.DUMMYFUNCTION("""COMPUTED_VALUE"""),1.3475786244239E13)</f>
        <v>13475786244239</v>
      </c>
      <c r="F11811" s="1"/>
      <c r="G11811" s="1"/>
      <c r="H11811" s="2">
        <f>IFERROR(__xludf.DUMMYFUNCTION("""COMPUTED_VALUE"""),0.0)</f>
        <v>0</v>
      </c>
      <c r="I11811" s="5"/>
      <c r="J11811" s="1" t="str">
        <f>IFERROR(__xludf.DUMMYFUNCTION("""COMPUTED_VALUE"""),"Gem Agoncillo")</f>
        <v>Gem Agoncillo</v>
      </c>
      <c r="K11811" s="1" t="str">
        <f>IFERROR(__xludf.DUMMYFUNCTION("""COMPUTED_VALUE"""),"Print Design Support")</f>
        <v>Print Design Support</v>
      </c>
      <c r="L11811" s="1" t="str">
        <f>IFERROR(__xludf.DUMMYFUNCTION("""COMPUTED_VALUE"""),"Print Print Design")</f>
        <v>Print Print Design</v>
      </c>
    </row>
    <row r="11812">
      <c r="A11812" s="1" t="str">
        <f>IFERROR(__xludf.DUMMYFUNCTION("""COMPUTED_VALUE"""),"2026 Apr")</f>
        <v>2026 Apr</v>
      </c>
      <c r="B11812" s="4">
        <f>IFERROR(__xludf.DUMMYFUNCTION("""COMPUTED_VALUE"""),46125.0)</f>
        <v>46125</v>
      </c>
      <c r="C11812" s="1" t="str">
        <f>IFERROR(__xludf.DUMMYFUNCTION("""COMPUTED_VALUE"""),"Admin Support")</f>
        <v>Admin Support</v>
      </c>
      <c r="D11812" s="1" t="str">
        <f>IFERROR(__xludf.DUMMYFUNCTION("""COMPUTED_VALUE"""),"aba1b506-4ed6-4f4a-abad-f264703b1937")</f>
        <v>aba1b506-4ed6-4f4a-abad-f264703b1937</v>
      </c>
      <c r="E11812" s="1">
        <f>IFERROR(__xludf.DUMMYFUNCTION("""COMPUTED_VALUE"""),9.684963584655E12)</f>
        <v>9684963584655</v>
      </c>
      <c r="F11812" s="1"/>
      <c r="G11812" s="1"/>
      <c r="H11812" s="2">
        <f>IFERROR(__xludf.DUMMYFUNCTION("""COMPUTED_VALUE"""),0.0)</f>
        <v>0</v>
      </c>
      <c r="I11812" s="5"/>
      <c r="J11812" s="1" t="str">
        <f>IFERROR(__xludf.DUMMYFUNCTION("""COMPUTED_VALUE"""),"Nate Vela")</f>
        <v>Nate Vela</v>
      </c>
      <c r="K11812" s="1" t="str">
        <f>IFERROR(__xludf.DUMMYFUNCTION("""COMPUTED_VALUE"""),"Admin Support NA")</f>
        <v>Admin Support NA</v>
      </c>
      <c r="L11812" s="1" t="str">
        <f>IFERROR(__xludf.DUMMYFUNCTION("""COMPUTED_VALUE"""),"Admin NA")</f>
        <v>Admin NA</v>
      </c>
    </row>
    <row r="11813">
      <c r="A11813" s="1" t="str">
        <f>IFERROR(__xludf.DUMMYFUNCTION("""COMPUTED_VALUE"""),"2026 Apr")</f>
        <v>2026 Apr</v>
      </c>
      <c r="B11813" s="4">
        <f>IFERROR(__xludf.DUMMYFUNCTION("""COMPUTED_VALUE"""),46125.0)</f>
        <v>46125</v>
      </c>
      <c r="C11813" s="1" t="str">
        <f>IFERROR(__xludf.DUMMYFUNCTION("""COMPUTED_VALUE"""),"Segment-specific Support")</f>
        <v>Segment-specific Support</v>
      </c>
      <c r="D11813" s="1" t="str">
        <f>IFERROR(__xludf.DUMMYFUNCTION("""COMPUTED_VALUE"""),"f6982094-ab6f-4fbb-9491-b95f8c7da23e")</f>
        <v>f6982094-ab6f-4fbb-9491-b95f8c7da23e</v>
      </c>
      <c r="E11813" s="1"/>
      <c r="F11813" s="1"/>
      <c r="G11813" s="1"/>
      <c r="H11813" s="2">
        <f>IFERROR(__xludf.DUMMYFUNCTION("""COMPUTED_VALUE"""),0.0)</f>
        <v>0</v>
      </c>
      <c r="I11813" s="5"/>
      <c r="J11813" s="1" t="str">
        <f>IFERROR(__xludf.DUMMYFUNCTION("""COMPUTED_VALUE"""),"Leigh Davison")</f>
        <v>Leigh Davison</v>
      </c>
      <c r="K11813" s="1" t="str">
        <f>IFERROR(__xludf.DUMMYFUNCTION("""COMPUTED_VALUE"""),"#N/A")</f>
        <v>#N/A</v>
      </c>
      <c r="L11813" s="1"/>
    </row>
    <row r="11814">
      <c r="A11814" s="1" t="str">
        <f>IFERROR(__xludf.DUMMYFUNCTION("""COMPUTED_VALUE"""),"2026 Apr")</f>
        <v>2026 Apr</v>
      </c>
      <c r="B11814" s="4">
        <f>IFERROR(__xludf.DUMMYFUNCTION("""COMPUTED_VALUE"""),46125.0)</f>
        <v>46125</v>
      </c>
      <c r="C11814" s="1" t="str">
        <f>IFERROR(__xludf.DUMMYFUNCTION("""COMPUTED_VALUE"""),"Core Product Support")</f>
        <v>Core Product Support</v>
      </c>
      <c r="D11814" s="1" t="str">
        <f>IFERROR(__xludf.DUMMYFUNCTION("""COMPUTED_VALUE"""),"34f2d71e-2948-4046-b11a-6ec3d91fb2f7")</f>
        <v>34f2d71e-2948-4046-b11a-6ec3d91fb2f7</v>
      </c>
      <c r="E11814" s="1">
        <f>IFERROR(__xludf.DUMMYFUNCTION("""COMPUTED_VALUE"""),3.61725261076E11)</f>
        <v>361725261076</v>
      </c>
      <c r="F11814" s="1"/>
      <c r="G11814" s="1">
        <f>IFERROR(__xludf.DUMMYFUNCTION("""COMPUTED_VALUE"""),2.5)</f>
        <v>2.5</v>
      </c>
      <c r="H11814" s="2">
        <f>IFERROR(__xludf.DUMMYFUNCTION("""COMPUTED_VALUE"""),2.5)</f>
        <v>2.5</v>
      </c>
      <c r="I11814" s="5">
        <f>IFERROR(__xludf.DUMMYFUNCTION("""COMPUTED_VALUE"""),1.0)</f>
        <v>1</v>
      </c>
      <c r="J11814" s="1" t="str">
        <f>IFERROR(__xludf.DUMMYFUNCTION("""COMPUTED_VALUE"""),"Jelyn Elmido")</f>
        <v>Jelyn Elmido</v>
      </c>
      <c r="K11814" s="1" t="str">
        <f>IFERROR(__xludf.DUMMYFUNCTION("""COMPUTED_VALUE"""),"Core Product Support Escalation Team")</f>
        <v>Core Product Support Escalation Team</v>
      </c>
      <c r="L11814"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815">
      <c r="A11815" s="1" t="str">
        <f>IFERROR(__xludf.DUMMYFUNCTION("""COMPUTED_VALUE"""),"2026 Apr")</f>
        <v>2026 Apr</v>
      </c>
      <c r="B11815" s="4">
        <f>IFERROR(__xludf.DUMMYFUNCTION("""COMPUTED_VALUE"""),46125.0)</f>
        <v>46125</v>
      </c>
      <c r="C11815" s="1" t="str">
        <f>IFERROR(__xludf.DUMMYFUNCTION("""COMPUTED_VALUE"""),"Core Product Support")</f>
        <v>Core Product Support</v>
      </c>
      <c r="D11815" s="1" t="str">
        <f>IFERROR(__xludf.DUMMYFUNCTION("""COMPUTED_VALUE"""),"d0bf168c-4c21-43be-abef-2d821133980c")</f>
        <v>d0bf168c-4c21-43be-abef-2d821133980c</v>
      </c>
      <c r="E11815" s="1">
        <f>IFERROR(__xludf.DUMMYFUNCTION("""COMPUTED_VALUE"""),7.437371735567E12)</f>
        <v>7437371735567</v>
      </c>
      <c r="F11815" s="1"/>
      <c r="G11815" s="1">
        <f>IFERROR(__xludf.DUMMYFUNCTION("""COMPUTED_VALUE"""),1.25)</f>
        <v>1.25</v>
      </c>
      <c r="H11815" s="2">
        <f>IFERROR(__xludf.DUMMYFUNCTION("""COMPUTED_VALUE"""),1.25)</f>
        <v>1.25</v>
      </c>
      <c r="I11815" s="5">
        <f>IFERROR(__xludf.DUMMYFUNCTION("""COMPUTED_VALUE"""),1.0)</f>
        <v>1</v>
      </c>
      <c r="J11815" s="1" t="str">
        <f>IFERROR(__xludf.DUMMYFUNCTION("""COMPUTED_VALUE"""),"Renette Bok")</f>
        <v>Renette Bok</v>
      </c>
      <c r="K11815" s="1" t="str">
        <f>IFERROR(__xludf.DUMMYFUNCTION("""COMPUTED_VALUE"""),"Advanced Billing &amp; Subscriptions")</f>
        <v>Advanced Billing &amp; Subscriptions</v>
      </c>
      <c r="L11815" s="1" t="str">
        <f>IFERROR(__xludf.DUMMYFUNCTION("""COMPUTED_VALUE"""),"CPS Advanced Billing and Subscriptions (ABS)")</f>
        <v>CPS Advanced Billing and Subscriptions (ABS)</v>
      </c>
    </row>
    <row r="11816">
      <c r="A11816" s="1" t="str">
        <f>IFERROR(__xludf.DUMMYFUNCTION("""COMPUTED_VALUE"""),"2026 Apr")</f>
        <v>2026 Apr</v>
      </c>
      <c r="B11816" s="4">
        <f>IFERROR(__xludf.DUMMYFUNCTION("""COMPUTED_VALUE"""),46125.0)</f>
        <v>46125</v>
      </c>
      <c r="C11816" s="1" t="str">
        <f>IFERROR(__xludf.DUMMYFUNCTION("""COMPUTED_VALUE"""),"High Sensitivity Support")</f>
        <v>High Sensitivity Support</v>
      </c>
      <c r="D11816" s="1" t="str">
        <f>IFERROR(__xludf.DUMMYFUNCTION("""COMPUTED_VALUE"""),"f56a1f10-27ad-435d-9c50-8e847d04dbcf")</f>
        <v>f56a1f10-27ad-435d-9c50-8e847d04dbcf</v>
      </c>
      <c r="E11816" s="1">
        <f>IFERROR(__xludf.DUMMYFUNCTION("""COMPUTED_VALUE"""),5.566811301007E12)</f>
        <v>5566811301007</v>
      </c>
      <c r="F11816" s="1"/>
      <c r="G11816" s="1"/>
      <c r="H11816" s="2">
        <f>IFERROR(__xludf.DUMMYFUNCTION("""COMPUTED_VALUE"""),0.0)</f>
        <v>0</v>
      </c>
      <c r="I11816" s="5"/>
      <c r="J11816" s="1" t="str">
        <f>IFERROR(__xludf.DUMMYFUNCTION("""COMPUTED_VALUE"""),"Issi Afable")</f>
        <v>Issi Afable</v>
      </c>
      <c r="K11816" s="1" t="str">
        <f>IFERROR(__xludf.DUMMYFUNCTION("""COMPUTED_VALUE"""),"High Sensitivity Support PH")</f>
        <v>High Sensitivity Support PH</v>
      </c>
      <c r="L11816" s="1" t="str">
        <f>IFERROR(__xludf.DUMMYFUNCTION("""COMPUTED_VALUE"""),"HSS High Sensitivity Support PH - SEE")</f>
        <v>HSS High Sensitivity Support PH - SEE</v>
      </c>
    </row>
    <row r="11817">
      <c r="A11817" s="1" t="str">
        <f>IFERROR(__xludf.DUMMYFUNCTION("""COMPUTED_VALUE"""),"2026 Apr")</f>
        <v>2026 Apr</v>
      </c>
      <c r="B11817" s="4">
        <f>IFERROR(__xludf.DUMMYFUNCTION("""COMPUTED_VALUE"""),46125.0)</f>
        <v>46125</v>
      </c>
      <c r="C11817" s="1" t="str">
        <f>IFERROR(__xludf.DUMMYFUNCTION("""COMPUTED_VALUE"""),"Print Support")</f>
        <v>Print Support</v>
      </c>
      <c r="D11817" s="1" t="str">
        <f>IFERROR(__xludf.DUMMYFUNCTION("""COMPUTED_VALUE"""),"298f0d76-bd7a-4274-ba39-7bf5fff1a6f0")</f>
        <v>298f0d76-bd7a-4274-ba39-7bf5fff1a6f0</v>
      </c>
      <c r="E11817" s="1"/>
      <c r="F11817" s="1"/>
      <c r="G11817" s="1"/>
      <c r="H11817" s="2">
        <f>IFERROR(__xludf.DUMMYFUNCTION("""COMPUTED_VALUE"""),0.0)</f>
        <v>0</v>
      </c>
      <c r="I11817" s="5"/>
      <c r="J11817" s="1" t="str">
        <f>IFERROR(__xludf.DUMMYFUNCTION("""COMPUTED_VALUE"""),"Gem Agoncillo")</f>
        <v>Gem Agoncillo</v>
      </c>
      <c r="K11817" s="1" t="str">
        <f>IFERROR(__xludf.DUMMYFUNCTION("""COMPUTED_VALUE"""),"Print Design Support")</f>
        <v>Print Design Support</v>
      </c>
      <c r="L11817" s="1" t="str">
        <f>IFERROR(__xludf.DUMMYFUNCTION("""COMPUTED_VALUE"""),"Print Print Design")</f>
        <v>Print Print Design</v>
      </c>
    </row>
    <row r="11818">
      <c r="A11818" s="1" t="str">
        <f>IFERROR(__xludf.DUMMYFUNCTION("""COMPUTED_VALUE"""),"2026 Apr")</f>
        <v>2026 Apr</v>
      </c>
      <c r="B11818" s="4">
        <f>IFERROR(__xludf.DUMMYFUNCTION("""COMPUTED_VALUE"""),46125.0)</f>
        <v>46125</v>
      </c>
      <c r="C11818" s="1" t="str">
        <f>IFERROR(__xludf.DUMMYFUNCTION("""COMPUTED_VALUE"""),"Segment-specific Support")</f>
        <v>Segment-specific Support</v>
      </c>
      <c r="D11818" s="1" t="str">
        <f>IFERROR(__xludf.DUMMYFUNCTION("""COMPUTED_VALUE"""),"6a7b954c-b6c3-49ee-b531-c1516331ca46")</f>
        <v>6a7b954c-b6c3-49ee-b531-c1516331ca46</v>
      </c>
      <c r="E11818" s="1">
        <f>IFERROR(__xludf.DUMMYFUNCTION("""COMPUTED_VALUE"""),3.61725484216E11)</f>
        <v>361725484216</v>
      </c>
      <c r="F11818" s="1"/>
      <c r="G11818" s="1"/>
      <c r="H11818" s="2">
        <f>IFERROR(__xludf.DUMMYFUNCTION("""COMPUTED_VALUE"""),0.0)</f>
        <v>0</v>
      </c>
      <c r="I11818" s="5"/>
      <c r="J11818" s="1" t="str">
        <f>IFERROR(__xludf.DUMMYFUNCTION("""COMPUTED_VALUE"""),"Rose Gabilan")</f>
        <v>Rose Gabilan</v>
      </c>
      <c r="K11818" s="1" t="str">
        <f>IFERROR(__xludf.DUMMYFUNCTION("""COMPUTED_VALUE"""),"Print Support PH")</f>
        <v>Print Support PH</v>
      </c>
      <c r="L11818" s="1" t="str">
        <f>IFERROR(__xludf.DUMMYFUNCTION("""COMPUTED_VALUE"""),"Print Print - CHT")</f>
        <v>Print Print - CHT</v>
      </c>
    </row>
    <row r="11819">
      <c r="A11819" s="1" t="str">
        <f>IFERROR(__xludf.DUMMYFUNCTION("""COMPUTED_VALUE"""),"2026 Apr")</f>
        <v>2026 Apr</v>
      </c>
      <c r="B11819" s="4">
        <f>IFERROR(__xludf.DUMMYFUNCTION("""COMPUTED_VALUE"""),46125.0)</f>
        <v>46125</v>
      </c>
      <c r="C11819" s="1" t="str">
        <f>IFERROR(__xludf.DUMMYFUNCTION("""COMPUTED_VALUE"""),"Print Support")</f>
        <v>Print Support</v>
      </c>
      <c r="D11819" s="1" t="str">
        <f>IFERROR(__xludf.DUMMYFUNCTION("""COMPUTED_VALUE"""),"795981ce-4d10-4d82-8c86-abfaee5aa819")</f>
        <v>795981ce-4d10-4d82-8c86-abfaee5aa819</v>
      </c>
      <c r="E11819" s="1"/>
      <c r="F11819" s="1"/>
      <c r="G11819" s="1"/>
      <c r="H11819" s="2">
        <f>IFERROR(__xludf.DUMMYFUNCTION("""COMPUTED_VALUE"""),0.0)</f>
        <v>0</v>
      </c>
      <c r="I11819" s="5"/>
      <c r="J11819" s="1" t="str">
        <f>IFERROR(__xludf.DUMMYFUNCTION("""COMPUTED_VALUE"""),"Rei De Jesus")</f>
        <v>Rei De Jesus</v>
      </c>
      <c r="K11819" s="1" t="str">
        <f>IFERROR(__xludf.DUMMYFUNCTION("""COMPUTED_VALUE"""),"Print Design Support")</f>
        <v>Print Design Support</v>
      </c>
      <c r="L11819" s="1" t="str">
        <f>IFERROR(__xludf.DUMMYFUNCTION("""COMPUTED_VALUE"""),"Print Print Design")</f>
        <v>Print Print Design</v>
      </c>
    </row>
    <row r="11820">
      <c r="A11820" s="1" t="str">
        <f>IFERROR(__xludf.DUMMYFUNCTION("""COMPUTED_VALUE"""),"2026 Apr")</f>
        <v>2026 Apr</v>
      </c>
      <c r="B11820" s="4">
        <f>IFERROR(__xludf.DUMMYFUNCTION("""COMPUTED_VALUE"""),46125.0)</f>
        <v>46125</v>
      </c>
      <c r="C11820" s="1" t="str">
        <f>IFERROR(__xludf.DUMMYFUNCTION("""COMPUTED_VALUE"""),"Core Product Support")</f>
        <v>Core Product Support</v>
      </c>
      <c r="D11820" s="1" t="str">
        <f>IFERROR(__xludf.DUMMYFUNCTION("""COMPUTED_VALUE"""),"c3188fb3-23e5-43d8-86c2-072029c768d3")</f>
        <v>c3188fb3-23e5-43d8-86c2-072029c768d3</v>
      </c>
      <c r="E11820" s="1">
        <f>IFERROR(__xludf.DUMMYFUNCTION("""COMPUTED_VALUE"""),1.0808000160399E13)</f>
        <v>10808000160399</v>
      </c>
      <c r="F11820" s="1"/>
      <c r="G11820" s="1">
        <f>IFERROR(__xludf.DUMMYFUNCTION("""COMPUTED_VALUE"""),1.25)</f>
        <v>1.25</v>
      </c>
      <c r="H11820" s="2">
        <f>IFERROR(__xludf.DUMMYFUNCTION("""COMPUTED_VALUE"""),1.25)</f>
        <v>1.25</v>
      </c>
      <c r="I11820" s="5">
        <f>IFERROR(__xludf.DUMMYFUNCTION("""COMPUTED_VALUE"""),1.0)</f>
        <v>1</v>
      </c>
      <c r="J11820" s="1" t="str">
        <f>IFERROR(__xludf.DUMMYFUNCTION("""COMPUTED_VALUE"""),"Cate Velasco")</f>
        <v>Cate Velasco</v>
      </c>
      <c r="K11820" s="1" t="str">
        <f>IFERROR(__xludf.DUMMYFUNCTION("""COMPUTED_VALUE"""),"Advanced Product Support")</f>
        <v>Advanced Product Support</v>
      </c>
      <c r="L11820" s="1" t="str">
        <f>IFERROR(__xludf.DUMMYFUNCTION("""COMPUTED_VALUE"""),"CPS Advanced Product Support (APS)")</f>
        <v>CPS Advanced Product Support (APS)</v>
      </c>
    </row>
    <row r="11821">
      <c r="A11821" s="1" t="str">
        <f>IFERROR(__xludf.DUMMYFUNCTION("""COMPUTED_VALUE"""),"2026 Apr")</f>
        <v>2026 Apr</v>
      </c>
      <c r="B11821" s="4">
        <f>IFERROR(__xludf.DUMMYFUNCTION("""COMPUTED_VALUE"""),46125.0)</f>
        <v>46125</v>
      </c>
      <c r="C11821" s="1" t="str">
        <f>IFERROR(__xludf.DUMMYFUNCTION("""COMPUTED_VALUE"""),"Core Product Support")</f>
        <v>Core Product Support</v>
      </c>
      <c r="D11821" s="1" t="str">
        <f>IFERROR(__xludf.DUMMYFUNCTION("""COMPUTED_VALUE"""),"64aee857-09bd-4a17-90d8-7b6e2d71c216")</f>
        <v>64aee857-09bd-4a17-90d8-7b6e2d71c216</v>
      </c>
      <c r="E11821" s="1">
        <f>IFERROR(__xludf.DUMMYFUNCTION("""COMPUTED_VALUE"""),3.61725374316E11)</f>
        <v>361725374316</v>
      </c>
      <c r="F11821" s="1"/>
      <c r="G11821" s="1">
        <f>IFERROR(__xludf.DUMMYFUNCTION("""COMPUTED_VALUE"""),2.5)</f>
        <v>2.5</v>
      </c>
      <c r="H11821" s="2">
        <f>IFERROR(__xludf.DUMMYFUNCTION("""COMPUTED_VALUE"""),2.5)</f>
        <v>2.5</v>
      </c>
      <c r="I11821" s="5">
        <f>IFERROR(__xludf.DUMMYFUNCTION("""COMPUTED_VALUE"""),1.0)</f>
        <v>1</v>
      </c>
      <c r="J11821" s="1" t="str">
        <f>IFERROR(__xludf.DUMMYFUNCTION("""COMPUTED_VALUE"""),"Sieg Ballelos")</f>
        <v>Sieg Ballelos</v>
      </c>
      <c r="K11821" s="1" t="str">
        <f>IFERROR(__xludf.DUMMYFUNCTION("""COMPUTED_VALUE"""),"Core Product Support Escalation Team")</f>
        <v>Core Product Support Escalation Team</v>
      </c>
      <c r="L11821"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822">
      <c r="A11822" s="1" t="str">
        <f>IFERROR(__xludf.DUMMYFUNCTION("""COMPUTED_VALUE"""),"2026 Apr")</f>
        <v>2026 Apr</v>
      </c>
      <c r="B11822" s="4">
        <f>IFERROR(__xludf.DUMMYFUNCTION("""COMPUTED_VALUE"""),46125.0)</f>
        <v>46125</v>
      </c>
      <c r="C11822" s="1" t="str">
        <f>IFERROR(__xludf.DUMMYFUNCTION("""COMPUTED_VALUE"""),"High Sensitivity Support")</f>
        <v>High Sensitivity Support</v>
      </c>
      <c r="D11822" s="1" t="str">
        <f>IFERROR(__xludf.DUMMYFUNCTION("""COMPUTED_VALUE"""),"c7c30477-846d-4f22-bc04-2aab19385d44")</f>
        <v>c7c30477-846d-4f22-bc04-2aab19385d44</v>
      </c>
      <c r="E11822" s="1">
        <f>IFERROR(__xludf.DUMMYFUNCTION("""COMPUTED_VALUE"""),5.359149433359E12)</f>
        <v>5359149433359</v>
      </c>
      <c r="F11822" s="1"/>
      <c r="G11822" s="1"/>
      <c r="H11822" s="2">
        <f>IFERROR(__xludf.DUMMYFUNCTION("""COMPUTED_VALUE"""),0.0)</f>
        <v>0</v>
      </c>
      <c r="I11822" s="5"/>
      <c r="J11822" s="1" t="str">
        <f>IFERROR(__xludf.DUMMYFUNCTION("""COMPUTED_VALUE"""),"Xandy Azarcon")</f>
        <v>Xandy Azarcon</v>
      </c>
      <c r="K11822" s="1" t="str">
        <f>IFERROR(__xludf.DUMMYFUNCTION("""COMPUTED_VALUE"""),"High Sensitivity Support PH")</f>
        <v>High Sensitivity Support PH</v>
      </c>
      <c r="L11822" s="1" t="str">
        <f>IFERROR(__xludf.DUMMYFUNCTION("""COMPUTED_VALUE"""),"HSS High Sensitivity Support PH - CHT")</f>
        <v>HSS High Sensitivity Support PH - CHT</v>
      </c>
    </row>
    <row r="11823">
      <c r="A11823" s="1" t="str">
        <f>IFERROR(__xludf.DUMMYFUNCTION("""COMPUTED_VALUE"""),"2026 Apr")</f>
        <v>2026 Apr</v>
      </c>
      <c r="B11823" s="4">
        <f>IFERROR(__xludf.DUMMYFUNCTION("""COMPUTED_VALUE"""),46125.0)</f>
        <v>46125</v>
      </c>
      <c r="C11823" s="1" t="str">
        <f>IFERROR(__xludf.DUMMYFUNCTION("""COMPUTED_VALUE"""),"High Sensitivity Support")</f>
        <v>High Sensitivity Support</v>
      </c>
      <c r="D11823" s="1" t="str">
        <f>IFERROR(__xludf.DUMMYFUNCTION("""COMPUTED_VALUE"""),"42147b58-e8e5-4766-a41a-8d98cf8a5872")</f>
        <v>42147b58-e8e5-4766-a41a-8d98cf8a5872</v>
      </c>
      <c r="E11823" s="1">
        <f>IFERROR(__xludf.DUMMYFUNCTION("""COMPUTED_VALUE"""),5.359185373455E12)</f>
        <v>5359185373455</v>
      </c>
      <c r="F11823" s="1"/>
      <c r="G11823" s="1"/>
      <c r="H11823" s="2">
        <f>IFERROR(__xludf.DUMMYFUNCTION("""COMPUTED_VALUE"""),0.0)</f>
        <v>0</v>
      </c>
      <c r="I11823" s="5"/>
      <c r="J11823" s="1" t="str">
        <f>IFERROR(__xludf.DUMMYFUNCTION("""COMPUTED_VALUE"""),"Rossheen Pura")</f>
        <v>Rossheen Pura</v>
      </c>
      <c r="K11823" s="1" t="str">
        <f>IFERROR(__xludf.DUMMYFUNCTION("""COMPUTED_VALUE"""),"High Sensitivity Support PH")</f>
        <v>High Sensitivity Support PH</v>
      </c>
      <c r="L11823" s="1" t="str">
        <f>IFERROR(__xludf.DUMMYFUNCTION("""COMPUTED_VALUE"""),"HSS High Sensitivity Support PH - CHT")</f>
        <v>HSS High Sensitivity Support PH - CHT</v>
      </c>
    </row>
    <row r="11824">
      <c r="A11824" s="1" t="str">
        <f>IFERROR(__xludf.DUMMYFUNCTION("""COMPUTED_VALUE"""),"2026 Apr")</f>
        <v>2026 Apr</v>
      </c>
      <c r="B11824" s="4">
        <f>IFERROR(__xludf.DUMMYFUNCTION("""COMPUTED_VALUE"""),46125.0)</f>
        <v>46125</v>
      </c>
      <c r="C11824" s="1" t="str">
        <f>IFERROR(__xludf.DUMMYFUNCTION("""COMPUTED_VALUE"""),"Core Product Support")</f>
        <v>Core Product Support</v>
      </c>
      <c r="D11824" s="1" t="str">
        <f>IFERROR(__xludf.DUMMYFUNCTION("""COMPUTED_VALUE"""),"b70eebc6-c7c9-48bc-a876-82736f994fb9")</f>
        <v>b70eebc6-c7c9-48bc-a876-82736f994fb9</v>
      </c>
      <c r="E11824" s="1">
        <f>IFERROR(__xludf.DUMMYFUNCTION("""COMPUTED_VALUE"""),1.1401980902415E13)</f>
        <v>11401980902415</v>
      </c>
      <c r="F11824" s="1"/>
      <c r="G11824" s="1">
        <f>IFERROR(__xludf.DUMMYFUNCTION("""COMPUTED_VALUE"""),1.25)</f>
        <v>1.25</v>
      </c>
      <c r="H11824" s="2">
        <f>IFERROR(__xludf.DUMMYFUNCTION("""COMPUTED_VALUE"""),1.25)</f>
        <v>1.25</v>
      </c>
      <c r="I11824" s="5">
        <f>IFERROR(__xludf.DUMMYFUNCTION("""COMPUTED_VALUE"""),1.0)</f>
        <v>1</v>
      </c>
      <c r="J11824" s="1" t="str">
        <f>IFERROR(__xludf.DUMMYFUNCTION("""COMPUTED_VALUE"""),"Ayza Marie Pascual")</f>
        <v>Ayza Marie Pascual</v>
      </c>
      <c r="K11824" s="1" t="str">
        <f>IFERROR(__xludf.DUMMYFUNCTION("""COMPUTED_VALUE"""),"Advanced Billing &amp; Subscriptions")</f>
        <v>Advanced Billing &amp; Subscriptions</v>
      </c>
      <c r="L11824" s="1" t="str">
        <f>IFERROR(__xludf.DUMMYFUNCTION("""COMPUTED_VALUE"""),"CPS Advanced Billing and Subscriptions (ABS)")</f>
        <v>CPS Advanced Billing and Subscriptions (ABS)</v>
      </c>
    </row>
    <row r="11825">
      <c r="A11825" s="1" t="str">
        <f>IFERROR(__xludf.DUMMYFUNCTION("""COMPUTED_VALUE"""),"2026 Apr")</f>
        <v>2026 Apr</v>
      </c>
      <c r="B11825" s="4">
        <f>IFERROR(__xludf.DUMMYFUNCTION("""COMPUTED_VALUE"""),46125.0)</f>
        <v>46125</v>
      </c>
      <c r="C11825" s="1" t="str">
        <f>IFERROR(__xludf.DUMMYFUNCTION("""COMPUTED_VALUE"""),"Core Product Support")</f>
        <v>Core Product Support</v>
      </c>
      <c r="D11825" s="1" t="str">
        <f>IFERROR(__xludf.DUMMYFUNCTION("""COMPUTED_VALUE"""),"9d825d2e-3519-4559-9782-f32e81d2d824")</f>
        <v>9d825d2e-3519-4559-9782-f32e81d2d824</v>
      </c>
      <c r="E11825" s="1">
        <f>IFERROR(__xludf.DUMMYFUNCTION("""COMPUTED_VALUE"""),3.61861297715E11)</f>
        <v>361861297715</v>
      </c>
      <c r="F11825" s="1"/>
      <c r="G11825" s="1">
        <f>IFERROR(__xludf.DUMMYFUNCTION("""COMPUTED_VALUE"""),1.25)</f>
        <v>1.25</v>
      </c>
      <c r="H11825" s="2">
        <f>IFERROR(__xludf.DUMMYFUNCTION("""COMPUTED_VALUE"""),1.25)</f>
        <v>1.25</v>
      </c>
      <c r="I11825" s="5">
        <f>IFERROR(__xludf.DUMMYFUNCTION("""COMPUTED_VALUE"""),1.0)</f>
        <v>1</v>
      </c>
      <c r="J11825" s="1" t="str">
        <f>IFERROR(__xludf.DUMMYFUNCTION("""COMPUTED_VALUE"""),"Jem Mondoñedo")</f>
        <v>Jem Mondoñedo</v>
      </c>
      <c r="K11825" s="1" t="str">
        <f>IFERROR(__xludf.DUMMYFUNCTION("""COMPUTED_VALUE"""),"Advanced Billing &amp; Subscriptions")</f>
        <v>Advanced Billing &amp; Subscriptions</v>
      </c>
      <c r="L11825" s="1" t="str">
        <f>IFERROR(__xludf.DUMMYFUNCTION("""COMPUTED_VALUE"""),"CPS Advanced Billing and Subscriptions (ABS)")</f>
        <v>CPS Advanced Billing and Subscriptions (ABS)</v>
      </c>
    </row>
    <row r="11826">
      <c r="A11826" s="1" t="str">
        <f>IFERROR(__xludf.DUMMYFUNCTION("""COMPUTED_VALUE"""),"2026 Apr")</f>
        <v>2026 Apr</v>
      </c>
      <c r="B11826" s="4">
        <f>IFERROR(__xludf.DUMMYFUNCTION("""COMPUTED_VALUE"""),46125.0)</f>
        <v>46125</v>
      </c>
      <c r="C11826" s="1" t="str">
        <f>IFERROR(__xludf.DUMMYFUNCTION("""COMPUTED_VALUE"""),"Core Product Support")</f>
        <v>Core Product Support</v>
      </c>
      <c r="D11826" s="1" t="str">
        <f>IFERROR(__xludf.DUMMYFUNCTION("""COMPUTED_VALUE"""),"f05426fa-d3ef-48ef-9506-1b0d003468b9")</f>
        <v>f05426fa-d3ef-48ef-9506-1b0d003468b9</v>
      </c>
      <c r="E11826" s="1">
        <f>IFERROR(__xludf.DUMMYFUNCTION("""COMPUTED_VALUE"""),8.409892191631E12)</f>
        <v>8409892191631</v>
      </c>
      <c r="F11826" s="1"/>
      <c r="G11826" s="1">
        <f>IFERROR(__xludf.DUMMYFUNCTION("""COMPUTED_VALUE"""),1.25)</f>
        <v>1.25</v>
      </c>
      <c r="H11826" s="2">
        <f>IFERROR(__xludf.DUMMYFUNCTION("""COMPUTED_VALUE"""),1.25)</f>
        <v>1.25</v>
      </c>
      <c r="I11826" s="5">
        <f>IFERROR(__xludf.DUMMYFUNCTION("""COMPUTED_VALUE"""),1.0)</f>
        <v>1</v>
      </c>
      <c r="J11826" s="1" t="str">
        <f>IFERROR(__xludf.DUMMYFUNCTION("""COMPUTED_VALUE"""),"Jahmie Mae Barrameda")</f>
        <v>Jahmie Mae Barrameda</v>
      </c>
      <c r="K11826" s="1" t="str">
        <f>IFERROR(__xludf.DUMMYFUNCTION("""COMPUTED_VALUE"""),"Advanced Billing &amp; Subscriptions")</f>
        <v>Advanced Billing &amp; Subscriptions</v>
      </c>
      <c r="L11826" s="1" t="str">
        <f>IFERROR(__xludf.DUMMYFUNCTION("""COMPUTED_VALUE"""),"CPS Advanced Billing and Subscriptions (ABS)")</f>
        <v>CPS Advanced Billing and Subscriptions (ABS)</v>
      </c>
    </row>
    <row r="11827">
      <c r="A11827" s="1" t="str">
        <f>IFERROR(__xludf.DUMMYFUNCTION("""COMPUTED_VALUE"""),"2026 Apr")</f>
        <v>2026 Apr</v>
      </c>
      <c r="B11827" s="4">
        <f>IFERROR(__xludf.DUMMYFUNCTION("""COMPUTED_VALUE"""),46125.0)</f>
        <v>46125</v>
      </c>
      <c r="C11827" s="1" t="str">
        <f>IFERROR(__xludf.DUMMYFUNCTION("""COMPUTED_VALUE"""),"Multilingual Support")</f>
        <v>Multilingual Support</v>
      </c>
      <c r="D11827" s="1" t="str">
        <f>IFERROR(__xludf.DUMMYFUNCTION("""COMPUTED_VALUE"""),"ddff770a-8bbb-4a78-9bec-f5c563c6b901")</f>
        <v>ddff770a-8bbb-4a78-9bec-f5c563c6b901</v>
      </c>
      <c r="E11827" s="1">
        <f>IFERROR(__xludf.DUMMYFUNCTION("""COMPUTED_VALUE"""),4.759846838031E12)</f>
        <v>4759846838031</v>
      </c>
      <c r="F11827" s="1"/>
      <c r="G11827" s="1"/>
      <c r="H11827" s="2">
        <f>IFERROR(__xludf.DUMMYFUNCTION("""COMPUTED_VALUE"""),0.0)</f>
        <v>0</v>
      </c>
      <c r="I11827" s="5"/>
      <c r="J11827" s="1" t="str">
        <f>IFERROR(__xludf.DUMMYFUNCTION("""COMPUTED_VALUE"""),"Arlene Maurillo")</f>
        <v>Arlene Maurillo</v>
      </c>
      <c r="K11827" s="1" t="str">
        <f>IFERROR(__xludf.DUMMYFUNCTION("""COMPUTED_VALUE"""),"PHL, Multilingual Support")</f>
        <v>PHL, Multilingual Support</v>
      </c>
      <c r="L11827" s="1" t="str">
        <f>IFERROR(__xludf.DUMMYFUNCTION("""COMPUTED_VALUE"""),"ML Portuguese Support")</f>
        <v>ML Portuguese Support</v>
      </c>
    </row>
    <row r="11828">
      <c r="A11828" s="1" t="str">
        <f>IFERROR(__xludf.DUMMYFUNCTION("""COMPUTED_VALUE"""),"2026 Apr")</f>
        <v>2026 Apr</v>
      </c>
      <c r="B11828" s="4">
        <f>IFERROR(__xludf.DUMMYFUNCTION("""COMPUTED_VALUE"""),46125.0)</f>
        <v>46125</v>
      </c>
      <c r="C11828" s="1" t="str">
        <f>IFERROR(__xludf.DUMMYFUNCTION("""COMPUTED_VALUE"""),"Core Product Support")</f>
        <v>Core Product Support</v>
      </c>
      <c r="D11828" s="1" t="str">
        <f>IFERROR(__xludf.DUMMYFUNCTION("""COMPUTED_VALUE"""),"50370a17-1382-4a9f-8e42-5d34af042f22")</f>
        <v>50370a17-1382-4a9f-8e42-5d34af042f22</v>
      </c>
      <c r="E11828" s="1">
        <f>IFERROR(__xludf.DUMMYFUNCTION("""COMPUTED_VALUE"""),1.1401981770511E13)</f>
        <v>11401981770511</v>
      </c>
      <c r="F11828" s="1"/>
      <c r="G11828" s="1">
        <f>IFERROR(__xludf.DUMMYFUNCTION("""COMPUTED_VALUE"""),1.25)</f>
        <v>1.25</v>
      </c>
      <c r="H11828" s="2">
        <f>IFERROR(__xludf.DUMMYFUNCTION("""COMPUTED_VALUE"""),1.25)</f>
        <v>1.25</v>
      </c>
      <c r="I11828" s="5">
        <f>IFERROR(__xludf.DUMMYFUNCTION("""COMPUTED_VALUE"""),1.0)</f>
        <v>1</v>
      </c>
      <c r="J11828" s="1" t="str">
        <f>IFERROR(__xludf.DUMMYFUNCTION("""COMPUTED_VALUE"""),"Mikhaela Decangchon")</f>
        <v>Mikhaela Decangchon</v>
      </c>
      <c r="K11828" s="1" t="str">
        <f>IFERROR(__xludf.DUMMYFUNCTION("""COMPUTED_VALUE"""),"Advanced Product Support")</f>
        <v>Advanced Product Support</v>
      </c>
      <c r="L11828" s="1" t="str">
        <f>IFERROR(__xludf.DUMMYFUNCTION("""COMPUTED_VALUE"""),"CPS Advanced Product Support (APS)")</f>
        <v>CPS Advanced Product Support (APS)</v>
      </c>
    </row>
    <row r="11829">
      <c r="A11829" s="1" t="str">
        <f>IFERROR(__xludf.DUMMYFUNCTION("""COMPUTED_VALUE"""),"2026 Apr")</f>
        <v>2026 Apr</v>
      </c>
      <c r="B11829" s="4">
        <f>IFERROR(__xludf.DUMMYFUNCTION("""COMPUTED_VALUE"""),46125.0)</f>
        <v>46125</v>
      </c>
      <c r="C11829" s="1" t="str">
        <f>IFERROR(__xludf.DUMMYFUNCTION("""COMPUTED_VALUE"""),"Core Product Support")</f>
        <v>Core Product Support</v>
      </c>
      <c r="D11829" s="1" t="str">
        <f>IFERROR(__xludf.DUMMYFUNCTION("""COMPUTED_VALUE"""),"6472d23f-e427-46f0-a9cb-1e9b17ddfd44")</f>
        <v>6472d23f-e427-46f0-a9cb-1e9b17ddfd44</v>
      </c>
      <c r="E11829" s="1">
        <f>IFERROR(__xludf.DUMMYFUNCTION("""COMPUTED_VALUE"""),1.0548627051023E13)</f>
        <v>10548627051023</v>
      </c>
      <c r="F11829" s="1"/>
      <c r="G11829" s="1">
        <f>IFERROR(__xludf.DUMMYFUNCTION("""COMPUTED_VALUE"""),1.25)</f>
        <v>1.25</v>
      </c>
      <c r="H11829" s="2">
        <f>IFERROR(__xludf.DUMMYFUNCTION("""COMPUTED_VALUE"""),1.25)</f>
        <v>1.25</v>
      </c>
      <c r="I11829" s="5">
        <f>IFERROR(__xludf.DUMMYFUNCTION("""COMPUTED_VALUE"""),1.0)</f>
        <v>1</v>
      </c>
      <c r="J11829" s="1" t="str">
        <f>IFERROR(__xludf.DUMMYFUNCTION("""COMPUTED_VALUE"""),"Belle Bentazal")</f>
        <v>Belle Bentazal</v>
      </c>
      <c r="K11829" s="1" t="str">
        <f>IFERROR(__xludf.DUMMYFUNCTION("""COMPUTED_VALUE"""),"Advanced Product Support")</f>
        <v>Advanced Product Support</v>
      </c>
      <c r="L11829" s="1" t="str">
        <f>IFERROR(__xludf.DUMMYFUNCTION("""COMPUTED_VALUE"""),"CPS Advanced Product Support (APS)")</f>
        <v>CPS Advanced Product Support (APS)</v>
      </c>
    </row>
    <row r="11830">
      <c r="A11830" s="1" t="str">
        <f>IFERROR(__xludf.DUMMYFUNCTION("""COMPUTED_VALUE"""),"2026 Apr")</f>
        <v>2026 Apr</v>
      </c>
      <c r="B11830" s="4">
        <f>IFERROR(__xludf.DUMMYFUNCTION("""COMPUTED_VALUE"""),46125.0)</f>
        <v>46125</v>
      </c>
      <c r="C11830" s="1" t="str">
        <f>IFERROR(__xludf.DUMMYFUNCTION("""COMPUTED_VALUE"""),"Core Product Support")</f>
        <v>Core Product Support</v>
      </c>
      <c r="D11830" s="1" t="str">
        <f>IFERROR(__xludf.DUMMYFUNCTION("""COMPUTED_VALUE"""),"03428ca1-a361-4015-9a9f-9609cb3ad0fe")</f>
        <v>03428ca1-a361-4015-9a9f-9609cb3ad0fe</v>
      </c>
      <c r="E11830" s="1">
        <f>IFERROR(__xludf.DUMMYFUNCTION("""COMPUTED_VALUE"""),5.047314651919E12)</f>
        <v>5047314651919</v>
      </c>
      <c r="F11830" s="1"/>
      <c r="G11830" s="1">
        <f>IFERROR(__xludf.DUMMYFUNCTION("""COMPUTED_VALUE"""),2.5)</f>
        <v>2.5</v>
      </c>
      <c r="H11830" s="2">
        <f>IFERROR(__xludf.DUMMYFUNCTION("""COMPUTED_VALUE"""),2.5)</f>
        <v>2.5</v>
      </c>
      <c r="I11830" s="5">
        <f>IFERROR(__xludf.DUMMYFUNCTION("""COMPUTED_VALUE"""),1.0)</f>
        <v>1</v>
      </c>
      <c r="J11830" s="1" t="str">
        <f>IFERROR(__xludf.DUMMYFUNCTION("""COMPUTED_VALUE"""),"Jelyn Elmido")</f>
        <v>Jelyn Elmido</v>
      </c>
      <c r="K11830" s="1" t="str">
        <f>IFERROR(__xludf.DUMMYFUNCTION("""COMPUTED_VALUE"""),"Core Product Support Escalation Team")</f>
        <v>Core Product Support Escalation Team</v>
      </c>
      <c r="L11830"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831">
      <c r="A11831" s="1" t="str">
        <f>IFERROR(__xludf.DUMMYFUNCTION("""COMPUTED_VALUE"""),"2026 Apr")</f>
        <v>2026 Apr</v>
      </c>
      <c r="B11831" s="4">
        <f>IFERROR(__xludf.DUMMYFUNCTION("""COMPUTED_VALUE"""),46125.0)</f>
        <v>46125</v>
      </c>
      <c r="C11831" s="1" t="str">
        <f>IFERROR(__xludf.DUMMYFUNCTION("""COMPUTED_VALUE"""),"Core Product Support")</f>
        <v>Core Product Support</v>
      </c>
      <c r="D11831" s="1" t="str">
        <f>IFERROR(__xludf.DUMMYFUNCTION("""COMPUTED_VALUE"""),"eb75942b-e616-42a5-bbc5-1d6cc92843bb")</f>
        <v>eb75942b-e616-42a5-bbc5-1d6cc92843bb</v>
      </c>
      <c r="E11831" s="1">
        <f>IFERROR(__xludf.DUMMYFUNCTION("""COMPUTED_VALUE"""),7.437355919375E12)</f>
        <v>7437355919375</v>
      </c>
      <c r="F11831" s="1"/>
      <c r="G11831" s="1">
        <f>IFERROR(__xludf.DUMMYFUNCTION("""COMPUTED_VALUE"""),1.25)</f>
        <v>1.25</v>
      </c>
      <c r="H11831" s="2">
        <f>IFERROR(__xludf.DUMMYFUNCTION("""COMPUTED_VALUE"""),1.25)</f>
        <v>1.25</v>
      </c>
      <c r="I11831" s="5">
        <f>IFERROR(__xludf.DUMMYFUNCTION("""COMPUTED_VALUE"""),1.0)</f>
        <v>1</v>
      </c>
      <c r="J11831" s="1" t="str">
        <f>IFERROR(__xludf.DUMMYFUNCTION("""COMPUTED_VALUE"""),"Ana Lazaro")</f>
        <v>Ana Lazaro</v>
      </c>
      <c r="K11831" s="1" t="str">
        <f>IFERROR(__xludf.DUMMYFUNCTION("""COMPUTED_VALUE"""),"Advanced Billing &amp; Subscriptions")</f>
        <v>Advanced Billing &amp; Subscriptions</v>
      </c>
      <c r="L11831" s="1" t="str">
        <f>IFERROR(__xludf.DUMMYFUNCTION("""COMPUTED_VALUE"""),"CPS Advanced Billing and Subscriptions (ABS)")</f>
        <v>CPS Advanced Billing and Subscriptions (ABS)</v>
      </c>
    </row>
    <row r="11832">
      <c r="A11832" s="1" t="str">
        <f>IFERROR(__xludf.DUMMYFUNCTION("""COMPUTED_VALUE"""),"2026 Apr")</f>
        <v>2026 Apr</v>
      </c>
      <c r="B11832" s="4">
        <f>IFERROR(__xludf.DUMMYFUNCTION("""COMPUTED_VALUE"""),46125.0)</f>
        <v>46125</v>
      </c>
      <c r="C11832" s="1" t="str">
        <f>IFERROR(__xludf.DUMMYFUNCTION("""COMPUTED_VALUE"""),"Admin Support")</f>
        <v>Admin Support</v>
      </c>
      <c r="D11832" s="1" t="str">
        <f>IFERROR(__xludf.DUMMYFUNCTION("""COMPUTED_VALUE"""),"3f58d026-d7af-4464-8ba2-17fb4976b8ac")</f>
        <v>3f58d026-d7af-4464-8ba2-17fb4976b8ac</v>
      </c>
      <c r="E11832" s="1">
        <f>IFERROR(__xludf.DUMMYFUNCTION("""COMPUTED_VALUE"""),3.61724668516E11)</f>
        <v>361724668516</v>
      </c>
      <c r="F11832" s="1"/>
      <c r="G11832" s="1"/>
      <c r="H11832" s="2">
        <f>IFERROR(__xludf.DUMMYFUNCTION("""COMPUTED_VALUE"""),0.0)</f>
        <v>0</v>
      </c>
      <c r="I11832" s="5"/>
      <c r="J11832" s="1" t="str">
        <f>IFERROR(__xludf.DUMMYFUNCTION("""COMPUTED_VALUE"""),"Karla Mananghaya")</f>
        <v>Karla Mananghaya</v>
      </c>
      <c r="K11832" s="1" t="str">
        <f>IFERROR(__xludf.DUMMYFUNCTION("""COMPUTED_VALUE"""),"Admin Support Service Escalation Team")</f>
        <v>Admin Support Service Escalation Team</v>
      </c>
      <c r="L11832" s="1" t="str">
        <f>IFERROR(__xludf.DUMMYFUNCTION("""COMPUTED_VALUE"""),"Admin ASSET")</f>
        <v>Admin ASSET</v>
      </c>
    </row>
    <row r="11833">
      <c r="A11833" s="1" t="str">
        <f>IFERROR(__xludf.DUMMYFUNCTION("""COMPUTED_VALUE"""),"2026 Apr")</f>
        <v>2026 Apr</v>
      </c>
      <c r="B11833" s="4">
        <f>IFERROR(__xludf.DUMMYFUNCTION("""COMPUTED_VALUE"""),46125.0)</f>
        <v>46125</v>
      </c>
      <c r="C11833" s="1" t="str">
        <f>IFERROR(__xludf.DUMMYFUNCTION("""COMPUTED_VALUE"""),"Admin Support")</f>
        <v>Admin Support</v>
      </c>
      <c r="D11833" s="1" t="str">
        <f>IFERROR(__xludf.DUMMYFUNCTION("""COMPUTED_VALUE"""),"021b74ea-5511-4b56-9f2a-6ea9d6443caa")</f>
        <v>021b74ea-5511-4b56-9f2a-6ea9d6443caa</v>
      </c>
      <c r="E11833" s="1">
        <f>IFERROR(__xludf.DUMMYFUNCTION("""COMPUTED_VALUE"""),3.61725374416E11)</f>
        <v>361725374416</v>
      </c>
      <c r="F11833" s="1"/>
      <c r="G11833" s="1">
        <f>IFERROR(__xludf.DUMMYFUNCTION("""COMPUTED_VALUE"""),0.25)</f>
        <v>0.25</v>
      </c>
      <c r="H11833" s="2">
        <f>IFERROR(__xludf.DUMMYFUNCTION("""COMPUTED_VALUE"""),0.25)</f>
        <v>0.25</v>
      </c>
      <c r="I11833" s="5">
        <f>IFERROR(__xludf.DUMMYFUNCTION("""COMPUTED_VALUE"""),1.0)</f>
        <v>1</v>
      </c>
      <c r="J11833" s="1" t="str">
        <f>IFERROR(__xludf.DUMMYFUNCTION("""COMPUTED_VALUE"""),"Pau Palmero")</f>
        <v>Pau Palmero</v>
      </c>
      <c r="K11833" s="1" t="str">
        <f>IFERROR(__xludf.DUMMYFUNCTION("""COMPUTED_VALUE"""),"Admin Omni Support")</f>
        <v>Admin Omni Support</v>
      </c>
      <c r="L11833" s="1" t="str">
        <f>IFERROR(__xludf.DUMMYFUNCTION("""COMPUTED_VALUE"""),"Admin Omni Support")</f>
        <v>Admin Omni Support</v>
      </c>
    </row>
    <row r="11834">
      <c r="A11834" s="1" t="str">
        <f>IFERROR(__xludf.DUMMYFUNCTION("""COMPUTED_VALUE"""),"2026 Apr")</f>
        <v>2026 Apr</v>
      </c>
      <c r="B11834" s="4">
        <f>IFERROR(__xludf.DUMMYFUNCTION("""COMPUTED_VALUE"""),46125.0)</f>
        <v>46125</v>
      </c>
      <c r="C11834" s="1" t="str">
        <f>IFERROR(__xludf.DUMMYFUNCTION("""COMPUTED_VALUE"""),"Admin Support")</f>
        <v>Admin Support</v>
      </c>
      <c r="D11834" s="1" t="str">
        <f>IFERROR(__xludf.DUMMYFUNCTION("""COMPUTED_VALUE"""),"328935f7-c639-4b8f-8512-a9641b2cf808")</f>
        <v>328935f7-c639-4b8f-8512-a9641b2cf808</v>
      </c>
      <c r="E11834" s="1">
        <f>IFERROR(__xludf.DUMMYFUNCTION("""COMPUTED_VALUE"""),3.61731648215E11)</f>
        <v>361731648215</v>
      </c>
      <c r="F11834" s="1"/>
      <c r="G11834" s="1">
        <f>IFERROR(__xludf.DUMMYFUNCTION("""COMPUTED_VALUE"""),0.25)</f>
        <v>0.25</v>
      </c>
      <c r="H11834" s="2">
        <f>IFERROR(__xludf.DUMMYFUNCTION("""COMPUTED_VALUE"""),0.25)</f>
        <v>0.25</v>
      </c>
      <c r="I11834" s="5">
        <f>IFERROR(__xludf.DUMMYFUNCTION("""COMPUTED_VALUE"""),1.0)</f>
        <v>1</v>
      </c>
      <c r="J11834" s="1" t="str">
        <f>IFERROR(__xludf.DUMMYFUNCTION("""COMPUTED_VALUE"""),"Pau Palmero")</f>
        <v>Pau Palmero</v>
      </c>
      <c r="K11834" s="1" t="str">
        <f>IFERROR(__xludf.DUMMYFUNCTION("""COMPUTED_VALUE"""),"Admin Omni Support")</f>
        <v>Admin Omni Support</v>
      </c>
      <c r="L11834" s="1" t="str">
        <f>IFERROR(__xludf.DUMMYFUNCTION("""COMPUTED_VALUE"""),"Admin Omni Support")</f>
        <v>Admin Omni Support</v>
      </c>
    </row>
    <row r="11835">
      <c r="A11835" s="1" t="str">
        <f>IFERROR(__xludf.DUMMYFUNCTION("""COMPUTED_VALUE"""),"2026 Apr")</f>
        <v>2026 Apr</v>
      </c>
      <c r="B11835" s="4">
        <f>IFERROR(__xludf.DUMMYFUNCTION("""COMPUTED_VALUE"""),46125.0)</f>
        <v>46125</v>
      </c>
      <c r="C11835" s="1" t="str">
        <f>IFERROR(__xludf.DUMMYFUNCTION("""COMPUTED_VALUE"""),"Core Product Support")</f>
        <v>Core Product Support</v>
      </c>
      <c r="D11835" s="1" t="str">
        <f>IFERROR(__xludf.DUMMYFUNCTION("""COMPUTED_VALUE"""),"157b66db-b9f4-4a3d-a00a-5cf3eefe9b58")</f>
        <v>157b66db-b9f4-4a3d-a00a-5cf3eefe9b58</v>
      </c>
      <c r="E11835" s="1">
        <f>IFERROR(__xludf.DUMMYFUNCTION("""COMPUTED_VALUE"""),3.61731791835E11)</f>
        <v>361731791835</v>
      </c>
      <c r="F11835" s="1"/>
      <c r="G11835" s="1">
        <f>IFERROR(__xludf.DUMMYFUNCTION("""COMPUTED_VALUE"""),1.0)</f>
        <v>1</v>
      </c>
      <c r="H11835" s="2">
        <f>IFERROR(__xludf.DUMMYFUNCTION("""COMPUTED_VALUE"""),1.0)</f>
        <v>1</v>
      </c>
      <c r="I11835" s="5">
        <f>IFERROR(__xludf.DUMMYFUNCTION("""COMPUTED_VALUE"""),1.0)</f>
        <v>1</v>
      </c>
      <c r="J11835" s="1" t="str">
        <f>IFERROR(__xludf.DUMMYFUNCTION("""COMPUTED_VALUE"""),"Renette Bok")</f>
        <v>Renette Bok</v>
      </c>
      <c r="K11835" s="1" t="str">
        <f>IFERROR(__xludf.DUMMYFUNCTION("""COMPUTED_VALUE"""),"Advanced Billing &amp; Subscriptions")</f>
        <v>Advanced Billing &amp; Subscriptions</v>
      </c>
      <c r="L11835" s="1" t="str">
        <f>IFERROR(__xludf.DUMMYFUNCTION("""COMPUTED_VALUE"""),"CPS Advanced Billing and Subscriptions (ABS)")</f>
        <v>CPS Advanced Billing and Subscriptions (ABS)</v>
      </c>
    </row>
    <row r="11836">
      <c r="A11836" s="1" t="str">
        <f>IFERROR(__xludf.DUMMYFUNCTION("""COMPUTED_VALUE"""),"2026 Apr")</f>
        <v>2026 Apr</v>
      </c>
      <c r="B11836" s="4">
        <f>IFERROR(__xludf.DUMMYFUNCTION("""COMPUTED_VALUE"""),46125.0)</f>
        <v>46125</v>
      </c>
      <c r="C11836" s="1" t="str">
        <f>IFERROR(__xludf.DUMMYFUNCTION("""COMPUTED_VALUE"""),"Core Product Support")</f>
        <v>Core Product Support</v>
      </c>
      <c r="D11836" s="1" t="str">
        <f>IFERROR(__xludf.DUMMYFUNCTION("""COMPUTED_VALUE"""),"9f2b3750-482b-4498-a201-4e32c8fad021")</f>
        <v>9f2b3750-482b-4498-a201-4e32c8fad021</v>
      </c>
      <c r="E11836" s="1">
        <f>IFERROR(__xludf.DUMMYFUNCTION("""COMPUTED_VALUE"""),3.61861298275E11)</f>
        <v>361861298275</v>
      </c>
      <c r="F11836" s="1"/>
      <c r="G11836" s="1">
        <f>IFERROR(__xludf.DUMMYFUNCTION("""COMPUTED_VALUE"""),2.5)</f>
        <v>2.5</v>
      </c>
      <c r="H11836" s="2">
        <f>IFERROR(__xludf.DUMMYFUNCTION("""COMPUTED_VALUE"""),2.5)</f>
        <v>2.5</v>
      </c>
      <c r="I11836" s="5">
        <f>IFERROR(__xludf.DUMMYFUNCTION("""COMPUTED_VALUE"""),1.0)</f>
        <v>1</v>
      </c>
      <c r="J11836" s="1" t="str">
        <f>IFERROR(__xludf.DUMMYFUNCTION("""COMPUTED_VALUE"""),"Jelyn Elmido")</f>
        <v>Jelyn Elmido</v>
      </c>
      <c r="K11836" s="1" t="str">
        <f>IFERROR(__xludf.DUMMYFUNCTION("""COMPUTED_VALUE"""),"Core Product Support Escalation Team")</f>
        <v>Core Product Support Escalation Team</v>
      </c>
      <c r="L11836"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837">
      <c r="A11837" s="1" t="str">
        <f>IFERROR(__xludf.DUMMYFUNCTION("""COMPUTED_VALUE"""),"2026 Apr")</f>
        <v>2026 Apr</v>
      </c>
      <c r="B11837" s="4">
        <f>IFERROR(__xludf.DUMMYFUNCTION("""COMPUTED_VALUE"""),46125.0)</f>
        <v>46125</v>
      </c>
      <c r="C11837" s="1" t="str">
        <f>IFERROR(__xludf.DUMMYFUNCTION("""COMPUTED_VALUE"""),"High Sensitivity Support")</f>
        <v>High Sensitivity Support</v>
      </c>
      <c r="D11837" s="1" t="str">
        <f>IFERROR(__xludf.DUMMYFUNCTION("""COMPUTED_VALUE"""),"572f7cc4-e4a6-4132-92cf-6f6ba75ee4d7")</f>
        <v>572f7cc4-e4a6-4132-92cf-6f6ba75ee4d7</v>
      </c>
      <c r="E11837" s="1">
        <f>IFERROR(__xludf.DUMMYFUNCTION("""COMPUTED_VALUE"""),5.202419220111E12)</f>
        <v>5202419220111</v>
      </c>
      <c r="F11837" s="1"/>
      <c r="G11837" s="1"/>
      <c r="H11837" s="2">
        <f>IFERROR(__xludf.DUMMYFUNCTION("""COMPUTED_VALUE"""),0.0)</f>
        <v>0</v>
      </c>
      <c r="I11837" s="5"/>
      <c r="J11837" s="1" t="str">
        <f>IFERROR(__xludf.DUMMYFUNCTION("""COMPUTED_VALUE"""),"Issi Afable")</f>
        <v>Issi Afable</v>
      </c>
      <c r="K11837" s="1" t="str">
        <f>IFERROR(__xludf.DUMMYFUNCTION("""COMPUTED_VALUE"""),"High Sensitivity Support PH")</f>
        <v>High Sensitivity Support PH</v>
      </c>
      <c r="L11837" s="1" t="str">
        <f>IFERROR(__xludf.DUMMYFUNCTION("""COMPUTED_VALUE"""),"HSS High Sensitivity Support PH - SEE")</f>
        <v>HSS High Sensitivity Support PH - SEE</v>
      </c>
    </row>
    <row r="11838">
      <c r="A11838" s="1" t="str">
        <f>IFERROR(__xludf.DUMMYFUNCTION("""COMPUTED_VALUE"""),"2026 Apr")</f>
        <v>2026 Apr</v>
      </c>
      <c r="B11838" s="4">
        <f>IFERROR(__xludf.DUMMYFUNCTION("""COMPUTED_VALUE"""),46125.0)</f>
        <v>46125</v>
      </c>
      <c r="C11838" s="1" t="str">
        <f>IFERROR(__xludf.DUMMYFUNCTION("""COMPUTED_VALUE"""),"Segment-specific Support")</f>
        <v>Segment-specific Support</v>
      </c>
      <c r="D11838" s="1" t="str">
        <f>IFERROR(__xludf.DUMMYFUNCTION("""COMPUTED_VALUE"""),"78d3efd2-2d00-4986-b5cc-7ca6a1d3542d")</f>
        <v>78d3efd2-2d00-4986-b5cc-7ca6a1d3542d</v>
      </c>
      <c r="E11838" s="1">
        <f>IFERROR(__xludf.DUMMYFUNCTION("""COMPUTED_VALUE"""),5.566867981071E12)</f>
        <v>5566867981071</v>
      </c>
      <c r="F11838" s="1"/>
      <c r="G11838" s="1"/>
      <c r="H11838" s="2">
        <f>IFERROR(__xludf.DUMMYFUNCTION("""COMPUTED_VALUE"""),0.0)</f>
        <v>0</v>
      </c>
      <c r="I11838" s="5"/>
      <c r="J11838" s="1" t="str">
        <f>IFERROR(__xludf.DUMMYFUNCTION("""COMPUTED_VALUE"""),"Gucci Nava")</f>
        <v>Gucci Nava</v>
      </c>
      <c r="K11838" s="1" t="str">
        <f>IFERROR(__xludf.DUMMYFUNCTION("""COMPUTED_VALUE"""),"Affinity Support")</f>
        <v>Affinity Support</v>
      </c>
      <c r="L11838" s="1" t="str">
        <f>IFERROR(__xludf.DUMMYFUNCTION("""COMPUTED_VALUE"""),"SSS Affinity - L1")</f>
        <v>SSS Affinity - L1</v>
      </c>
    </row>
    <row r="11839">
      <c r="A11839" s="1" t="str">
        <f>IFERROR(__xludf.DUMMYFUNCTION("""COMPUTED_VALUE"""),"2026 Apr")</f>
        <v>2026 Apr</v>
      </c>
      <c r="B11839" s="4">
        <f>IFERROR(__xludf.DUMMYFUNCTION("""COMPUTED_VALUE"""),46125.0)</f>
        <v>46125</v>
      </c>
      <c r="C11839" s="1" t="str">
        <f>IFERROR(__xludf.DUMMYFUNCTION("""COMPUTED_VALUE"""),"Print Support")</f>
        <v>Print Support</v>
      </c>
      <c r="D11839" s="1" t="str">
        <f>IFERROR(__xludf.DUMMYFUNCTION("""COMPUTED_VALUE"""),"03738c45-2c9f-44bf-bb4b-58a2fe9fdf5d")</f>
        <v>03738c45-2c9f-44bf-bb4b-58a2fe9fdf5d</v>
      </c>
      <c r="E11839" s="1"/>
      <c r="F11839" s="1"/>
      <c r="G11839" s="1"/>
      <c r="H11839" s="2">
        <f>IFERROR(__xludf.DUMMYFUNCTION("""COMPUTED_VALUE"""),0.0)</f>
        <v>0</v>
      </c>
      <c r="I11839" s="5"/>
      <c r="J11839" s="1" t="str">
        <f>IFERROR(__xludf.DUMMYFUNCTION("""COMPUTED_VALUE"""),"Aliza Dote")</f>
        <v>Aliza Dote</v>
      </c>
      <c r="K11839" s="1" t="str">
        <f>IFERROR(__xludf.DUMMYFUNCTION("""COMPUTED_VALUE"""),"Print Design Support")</f>
        <v>Print Design Support</v>
      </c>
      <c r="L11839" s="1" t="str">
        <f>IFERROR(__xludf.DUMMYFUNCTION("""COMPUTED_VALUE"""),"Print Print Design")</f>
        <v>Print Print Design</v>
      </c>
    </row>
    <row r="11840">
      <c r="A11840" s="1" t="str">
        <f>IFERROR(__xludf.DUMMYFUNCTION("""COMPUTED_VALUE"""),"2026 Apr")</f>
        <v>2026 Apr</v>
      </c>
      <c r="B11840" s="4">
        <f>IFERROR(__xludf.DUMMYFUNCTION("""COMPUTED_VALUE"""),46125.0)</f>
        <v>46125</v>
      </c>
      <c r="C11840" s="1" t="str">
        <f>IFERROR(__xludf.DUMMYFUNCTION("""COMPUTED_VALUE"""),"Core Product Support")</f>
        <v>Core Product Support</v>
      </c>
      <c r="D11840" s="1" t="str">
        <f>IFERROR(__xludf.DUMMYFUNCTION("""COMPUTED_VALUE"""),"9c934de8-6199-4bb2-bcc9-bd8b70ec7a9c")</f>
        <v>9c934de8-6199-4bb2-bcc9-bd8b70ec7a9c</v>
      </c>
      <c r="E11840" s="1">
        <f>IFERROR(__xludf.DUMMYFUNCTION("""COMPUTED_VALUE"""),9.795939875087E12)</f>
        <v>9795939875087</v>
      </c>
      <c r="F11840" s="1"/>
      <c r="G11840" s="1">
        <f>IFERROR(__xludf.DUMMYFUNCTION("""COMPUTED_VALUE"""),1.25)</f>
        <v>1.25</v>
      </c>
      <c r="H11840" s="2">
        <f>IFERROR(__xludf.DUMMYFUNCTION("""COMPUTED_VALUE"""),1.25)</f>
        <v>1.25</v>
      </c>
      <c r="I11840" s="5">
        <f>IFERROR(__xludf.DUMMYFUNCTION("""COMPUTED_VALUE"""),1.0)</f>
        <v>1</v>
      </c>
      <c r="J11840" s="1" t="str">
        <f>IFERROR(__xludf.DUMMYFUNCTION("""COMPUTED_VALUE"""),"Cate Velasco")</f>
        <v>Cate Velasco</v>
      </c>
      <c r="K11840" s="1" t="str">
        <f>IFERROR(__xludf.DUMMYFUNCTION("""COMPUTED_VALUE"""),"Advanced Product Support")</f>
        <v>Advanced Product Support</v>
      </c>
      <c r="L11840" s="1" t="str">
        <f>IFERROR(__xludf.DUMMYFUNCTION("""COMPUTED_VALUE"""),"CPS Advanced Product Support (APS)")</f>
        <v>CPS Advanced Product Support (APS)</v>
      </c>
    </row>
    <row r="11841">
      <c r="A11841" s="1" t="str">
        <f>IFERROR(__xludf.DUMMYFUNCTION("""COMPUTED_VALUE"""),"2026 Apr")</f>
        <v>2026 Apr</v>
      </c>
      <c r="B11841" s="4">
        <f>IFERROR(__xludf.DUMMYFUNCTION("""COMPUTED_VALUE"""),46125.0)</f>
        <v>46125</v>
      </c>
      <c r="C11841" s="1" t="str">
        <f>IFERROR(__xludf.DUMMYFUNCTION("""COMPUTED_VALUE"""),"Core Product Support")</f>
        <v>Core Product Support</v>
      </c>
      <c r="D11841" s="1" t="str">
        <f>IFERROR(__xludf.DUMMYFUNCTION("""COMPUTED_VALUE"""),"0f8d8927-aad1-40c2-82ac-95b7b823eec0")</f>
        <v>0f8d8927-aad1-40c2-82ac-95b7b823eec0</v>
      </c>
      <c r="E11841" s="1">
        <f>IFERROR(__xludf.DUMMYFUNCTION("""COMPUTED_VALUE"""),5.202441056015E12)</f>
        <v>5202441056015</v>
      </c>
      <c r="F11841" s="1"/>
      <c r="G11841" s="1">
        <f>IFERROR(__xludf.DUMMYFUNCTION("""COMPUTED_VALUE"""),1.25)</f>
        <v>1.25</v>
      </c>
      <c r="H11841" s="2">
        <f>IFERROR(__xludf.DUMMYFUNCTION("""COMPUTED_VALUE"""),1.25)</f>
        <v>1.25</v>
      </c>
      <c r="I11841" s="5">
        <f>IFERROR(__xludf.DUMMYFUNCTION("""COMPUTED_VALUE"""),1.0)</f>
        <v>1</v>
      </c>
      <c r="J11841" s="1" t="str">
        <f>IFERROR(__xludf.DUMMYFUNCTION("""COMPUTED_VALUE"""),"Renette Bok")</f>
        <v>Renette Bok</v>
      </c>
      <c r="K11841" s="1" t="str">
        <f>IFERROR(__xludf.DUMMYFUNCTION("""COMPUTED_VALUE"""),"Advanced Billing &amp; Subscriptions")</f>
        <v>Advanced Billing &amp; Subscriptions</v>
      </c>
      <c r="L11841" s="1" t="str">
        <f>IFERROR(__xludf.DUMMYFUNCTION("""COMPUTED_VALUE"""),"CPS Advanced Billing and Subscriptions (ABS)")</f>
        <v>CPS Advanced Billing and Subscriptions (ABS)</v>
      </c>
    </row>
    <row r="11842">
      <c r="A11842" s="1" t="str">
        <f>IFERROR(__xludf.DUMMYFUNCTION("""COMPUTED_VALUE"""),"2026 Apr")</f>
        <v>2026 Apr</v>
      </c>
      <c r="B11842" s="4">
        <f>IFERROR(__xludf.DUMMYFUNCTION("""COMPUTED_VALUE"""),46125.0)</f>
        <v>46125</v>
      </c>
      <c r="C11842" s="1" t="str">
        <f>IFERROR(__xludf.DUMMYFUNCTION("""COMPUTED_VALUE"""),"Core Product Support")</f>
        <v>Core Product Support</v>
      </c>
      <c r="D11842" s="1" t="str">
        <f>IFERROR(__xludf.DUMMYFUNCTION("""COMPUTED_VALUE"""),"e33e46e4-d59d-4c5b-9834-288e99d79b63")</f>
        <v>e33e46e4-d59d-4c5b-9834-288e99d79b63</v>
      </c>
      <c r="E11842" s="1">
        <f>IFERROR(__xludf.DUMMYFUNCTION("""COMPUTED_VALUE"""),1.0333049582991E13)</f>
        <v>10333049582991</v>
      </c>
      <c r="F11842" s="1"/>
      <c r="G11842" s="1">
        <f>IFERROR(__xludf.DUMMYFUNCTION("""COMPUTED_VALUE"""),1.25)</f>
        <v>1.25</v>
      </c>
      <c r="H11842" s="2">
        <f>IFERROR(__xludf.DUMMYFUNCTION("""COMPUTED_VALUE"""),1.25)</f>
        <v>1.25</v>
      </c>
      <c r="I11842" s="5">
        <f>IFERROR(__xludf.DUMMYFUNCTION("""COMPUTED_VALUE"""),1.0)</f>
        <v>1</v>
      </c>
      <c r="J11842" s="1" t="str">
        <f>IFERROR(__xludf.DUMMYFUNCTION("""COMPUTED_VALUE"""),"Cate Velasco")</f>
        <v>Cate Velasco</v>
      </c>
      <c r="K11842" s="1" t="str">
        <f>IFERROR(__xludf.DUMMYFUNCTION("""COMPUTED_VALUE"""),"Advanced Product Support")</f>
        <v>Advanced Product Support</v>
      </c>
      <c r="L11842" s="1" t="str">
        <f>IFERROR(__xludf.DUMMYFUNCTION("""COMPUTED_VALUE"""),"CPS Advanced Product Support (APS)")</f>
        <v>CPS Advanced Product Support (APS)</v>
      </c>
    </row>
    <row r="11843">
      <c r="A11843" s="1" t="str">
        <f>IFERROR(__xludf.DUMMYFUNCTION("""COMPUTED_VALUE"""),"2026 Apr")</f>
        <v>2026 Apr</v>
      </c>
      <c r="B11843" s="4">
        <f>IFERROR(__xludf.DUMMYFUNCTION("""COMPUTED_VALUE"""),46125.0)</f>
        <v>46125</v>
      </c>
      <c r="C11843" s="1" t="str">
        <f>IFERROR(__xludf.DUMMYFUNCTION("""COMPUTED_VALUE"""),"Core Product Support")</f>
        <v>Core Product Support</v>
      </c>
      <c r="D11843" s="1" t="str">
        <f>IFERROR(__xludf.DUMMYFUNCTION("""COMPUTED_VALUE"""),"748f7375-5497-4286-b6df-38229b609d09")</f>
        <v>748f7375-5497-4286-b6df-38229b609d09</v>
      </c>
      <c r="E11843" s="1"/>
      <c r="F11843" s="1"/>
      <c r="G11843" s="1">
        <f>IFERROR(__xludf.DUMMYFUNCTION("""COMPUTED_VALUE"""),1.25)</f>
        <v>1.25</v>
      </c>
      <c r="H11843" s="2">
        <f>IFERROR(__xludf.DUMMYFUNCTION("""COMPUTED_VALUE"""),1.25)</f>
        <v>1.25</v>
      </c>
      <c r="I11843" s="5">
        <f>IFERROR(__xludf.DUMMYFUNCTION("""COMPUTED_VALUE"""),1.0)</f>
        <v>1</v>
      </c>
      <c r="J11843" s="1" t="str">
        <f>IFERROR(__xludf.DUMMYFUNCTION("""COMPUTED_VALUE"""),"Mikhaela Decangchon")</f>
        <v>Mikhaela Decangchon</v>
      </c>
      <c r="K11843" s="1" t="str">
        <f>IFERROR(__xludf.DUMMYFUNCTION("""COMPUTED_VALUE"""),"Advanced Product Support")</f>
        <v>Advanced Product Support</v>
      </c>
      <c r="L11843" s="1" t="str">
        <f>IFERROR(__xludf.DUMMYFUNCTION("""COMPUTED_VALUE"""),"CPS Advanced Product Support (APS)")</f>
        <v>CPS Advanced Product Support (APS)</v>
      </c>
    </row>
    <row r="11844">
      <c r="A11844" s="1" t="str">
        <f>IFERROR(__xludf.DUMMYFUNCTION("""COMPUTED_VALUE"""),"2026 Apr")</f>
        <v>2026 Apr</v>
      </c>
      <c r="B11844" s="4">
        <f>IFERROR(__xludf.DUMMYFUNCTION("""COMPUTED_VALUE"""),46125.0)</f>
        <v>46125</v>
      </c>
      <c r="C11844" s="1" t="str">
        <f>IFERROR(__xludf.DUMMYFUNCTION("""COMPUTED_VALUE"""),"Admin Support")</f>
        <v>Admin Support</v>
      </c>
      <c r="D11844" s="1" t="str">
        <f>IFERROR(__xludf.DUMMYFUNCTION("""COMPUTED_VALUE"""),"8d05170b-44c2-4973-963a-14bb293f18ab")</f>
        <v>8d05170b-44c2-4973-963a-14bb293f18ab</v>
      </c>
      <c r="E11844" s="1">
        <f>IFERROR(__xludf.DUMMYFUNCTION("""COMPUTED_VALUE"""),3.61731348415E11)</f>
        <v>361731348415</v>
      </c>
      <c r="F11844" s="1"/>
      <c r="G11844" s="1">
        <f>IFERROR(__xludf.DUMMYFUNCTION("""COMPUTED_VALUE"""),0.25)</f>
        <v>0.25</v>
      </c>
      <c r="H11844" s="2">
        <f>IFERROR(__xludf.DUMMYFUNCTION("""COMPUTED_VALUE"""),0.25)</f>
        <v>0.25</v>
      </c>
      <c r="I11844" s="5">
        <f>IFERROR(__xludf.DUMMYFUNCTION("""COMPUTED_VALUE"""),1.0)</f>
        <v>1</v>
      </c>
      <c r="J11844" s="1" t="str">
        <f>IFERROR(__xludf.DUMMYFUNCTION("""COMPUTED_VALUE"""),"Kelden Laguting")</f>
        <v>Kelden Laguting</v>
      </c>
      <c r="K11844" s="1" t="str">
        <f>IFERROR(__xludf.DUMMYFUNCTION("""COMPUTED_VALUE"""),"Admin Omni Support")</f>
        <v>Admin Omni Support</v>
      </c>
      <c r="L11844" s="1" t="str">
        <f>IFERROR(__xludf.DUMMYFUNCTION("""COMPUTED_VALUE"""),"Admin Omni Support")</f>
        <v>Admin Omni Support</v>
      </c>
    </row>
    <row r="11845">
      <c r="A11845" s="1" t="str">
        <f>IFERROR(__xludf.DUMMYFUNCTION("""COMPUTED_VALUE"""),"2026 Apr")</f>
        <v>2026 Apr</v>
      </c>
      <c r="B11845" s="4">
        <f>IFERROR(__xludf.DUMMYFUNCTION("""COMPUTED_VALUE"""),46125.0)</f>
        <v>46125</v>
      </c>
      <c r="C11845" s="1" t="str">
        <f>IFERROR(__xludf.DUMMYFUNCTION("""COMPUTED_VALUE"""),"Admin Support")</f>
        <v>Admin Support</v>
      </c>
      <c r="D11845" s="1" t="str">
        <f>IFERROR(__xludf.DUMMYFUNCTION("""COMPUTED_VALUE"""),"c51116f5-04d9-48df-a12a-dbf63eaf9c18")</f>
        <v>c51116f5-04d9-48df-a12a-dbf63eaf9c18</v>
      </c>
      <c r="E11845" s="1">
        <f>IFERROR(__xludf.DUMMYFUNCTION("""COMPUTED_VALUE"""),3.61731647035E11)</f>
        <v>361731647035</v>
      </c>
      <c r="F11845" s="1"/>
      <c r="G11845" s="1">
        <f>IFERROR(__xludf.DUMMYFUNCTION("""COMPUTED_VALUE"""),0.25)</f>
        <v>0.25</v>
      </c>
      <c r="H11845" s="2">
        <f>IFERROR(__xludf.DUMMYFUNCTION("""COMPUTED_VALUE"""),0.25)</f>
        <v>0.25</v>
      </c>
      <c r="I11845" s="5">
        <f>IFERROR(__xludf.DUMMYFUNCTION("""COMPUTED_VALUE"""),1.0)</f>
        <v>1</v>
      </c>
      <c r="J11845" s="1" t="str">
        <f>IFERROR(__xludf.DUMMYFUNCTION("""COMPUTED_VALUE"""),"Ann Dumlao")</f>
        <v>Ann Dumlao</v>
      </c>
      <c r="K11845" s="1" t="str">
        <f>IFERROR(__xludf.DUMMYFUNCTION("""COMPUTED_VALUE"""),"Admin Omni Support")</f>
        <v>Admin Omni Support</v>
      </c>
      <c r="L11845" s="1" t="str">
        <f>IFERROR(__xludf.DUMMYFUNCTION("""COMPUTED_VALUE"""),"Admin Omni Support")</f>
        <v>Admin Omni Support</v>
      </c>
    </row>
    <row r="11846">
      <c r="A11846" s="1" t="str">
        <f>IFERROR(__xludf.DUMMYFUNCTION("""COMPUTED_VALUE"""),"2026 Apr")</f>
        <v>2026 Apr</v>
      </c>
      <c r="B11846" s="4">
        <f>IFERROR(__xludf.DUMMYFUNCTION("""COMPUTED_VALUE"""),46125.0)</f>
        <v>46125</v>
      </c>
      <c r="C11846" s="1" t="str">
        <f>IFERROR(__xludf.DUMMYFUNCTION("""COMPUTED_VALUE"""),"Core Product Support")</f>
        <v>Core Product Support</v>
      </c>
      <c r="D11846" s="1" t="str">
        <f>IFERROR(__xludf.DUMMYFUNCTION("""COMPUTED_VALUE"""),"ee26274a-f5bb-4f8f-aa29-94921d6e67a9")</f>
        <v>ee26274a-f5bb-4f8f-aa29-94921d6e67a9</v>
      </c>
      <c r="E11846" s="1">
        <f>IFERROR(__xludf.DUMMYFUNCTION("""COMPUTED_VALUE"""),9.107717956879E12)</f>
        <v>9107717956879</v>
      </c>
      <c r="F11846" s="1"/>
      <c r="G11846" s="1">
        <f>IFERROR(__xludf.DUMMYFUNCTION("""COMPUTED_VALUE"""),1.25)</f>
        <v>1.25</v>
      </c>
      <c r="H11846" s="2">
        <f>IFERROR(__xludf.DUMMYFUNCTION("""COMPUTED_VALUE"""),1.25)</f>
        <v>1.25</v>
      </c>
      <c r="I11846" s="5">
        <f>IFERROR(__xludf.DUMMYFUNCTION("""COMPUTED_VALUE"""),1.0)</f>
        <v>1</v>
      </c>
      <c r="J11846" s="1" t="str">
        <f>IFERROR(__xludf.DUMMYFUNCTION("""COMPUTED_VALUE"""),"Cherry Macam")</f>
        <v>Cherry Macam</v>
      </c>
      <c r="K11846" s="1" t="str">
        <f>IFERROR(__xludf.DUMMYFUNCTION("""COMPUTED_VALUE"""),"Advanced Billing &amp; Subscriptions")</f>
        <v>Advanced Billing &amp; Subscriptions</v>
      </c>
      <c r="L11846" s="1" t="str">
        <f>IFERROR(__xludf.DUMMYFUNCTION("""COMPUTED_VALUE"""),"CPS Advanced Billing and Subscriptions (ABS)")</f>
        <v>CPS Advanced Billing and Subscriptions (ABS)</v>
      </c>
    </row>
    <row r="11847">
      <c r="A11847" s="1" t="str">
        <f>IFERROR(__xludf.DUMMYFUNCTION("""COMPUTED_VALUE"""),"2026 Apr")</f>
        <v>2026 Apr</v>
      </c>
      <c r="B11847" s="4">
        <f>IFERROR(__xludf.DUMMYFUNCTION("""COMPUTED_VALUE"""),46125.0)</f>
        <v>46125</v>
      </c>
      <c r="C11847" s="1" t="str">
        <f>IFERROR(__xludf.DUMMYFUNCTION("""COMPUTED_VALUE"""),"Core Product Support")</f>
        <v>Core Product Support</v>
      </c>
      <c r="D11847" s="1" t="str">
        <f>IFERROR(__xludf.DUMMYFUNCTION("""COMPUTED_VALUE"""),"5ea08393-858d-4206-8dfa-ad5aa870f108")</f>
        <v>5ea08393-858d-4206-8dfa-ad5aa870f108</v>
      </c>
      <c r="E11847" s="1">
        <f>IFERROR(__xludf.DUMMYFUNCTION("""COMPUTED_VALUE"""),1.1279733674255E13)</f>
        <v>11279733674255</v>
      </c>
      <c r="F11847" s="1"/>
      <c r="G11847" s="1">
        <f>IFERROR(__xludf.DUMMYFUNCTION("""COMPUTED_VALUE"""),1.25)</f>
        <v>1.25</v>
      </c>
      <c r="H11847" s="2">
        <f>IFERROR(__xludf.DUMMYFUNCTION("""COMPUTED_VALUE"""),1.25)</f>
        <v>1.25</v>
      </c>
      <c r="I11847" s="5">
        <f>IFERROR(__xludf.DUMMYFUNCTION("""COMPUTED_VALUE"""),1.0)</f>
        <v>1</v>
      </c>
      <c r="J11847" s="1" t="str">
        <f>IFERROR(__xludf.DUMMYFUNCTION("""COMPUTED_VALUE"""),"Ayza Marie Pascual")</f>
        <v>Ayza Marie Pascual</v>
      </c>
      <c r="K11847" s="1" t="str">
        <f>IFERROR(__xludf.DUMMYFUNCTION("""COMPUTED_VALUE"""),"Advanced Billing &amp; Subscriptions")</f>
        <v>Advanced Billing &amp; Subscriptions</v>
      </c>
      <c r="L11847" s="1" t="str">
        <f>IFERROR(__xludf.DUMMYFUNCTION("""COMPUTED_VALUE"""),"CPS Advanced Billing and Subscriptions (ABS)")</f>
        <v>CPS Advanced Billing and Subscriptions (ABS)</v>
      </c>
    </row>
    <row r="11848">
      <c r="A11848" s="1" t="str">
        <f>IFERROR(__xludf.DUMMYFUNCTION("""COMPUTED_VALUE"""),"2026 Apr")</f>
        <v>2026 Apr</v>
      </c>
      <c r="B11848" s="4">
        <f>IFERROR(__xludf.DUMMYFUNCTION("""COMPUTED_VALUE"""),46125.0)</f>
        <v>46125</v>
      </c>
      <c r="C11848" s="1" t="str">
        <f>IFERROR(__xludf.DUMMYFUNCTION("""COMPUTED_VALUE"""),"Core Product Support")</f>
        <v>Core Product Support</v>
      </c>
      <c r="D11848" s="1" t="str">
        <f>IFERROR(__xludf.DUMMYFUNCTION("""COMPUTED_VALUE"""),"9ec42277-802e-4dea-b288-c3f190cff1eb")</f>
        <v>9ec42277-802e-4dea-b288-c3f190cff1eb</v>
      </c>
      <c r="E11848" s="1">
        <f>IFERROR(__xludf.DUMMYFUNCTION("""COMPUTED_VALUE"""),3.61726427476E11)</f>
        <v>361726427476</v>
      </c>
      <c r="F11848" s="1"/>
      <c r="G11848" s="1">
        <f>IFERROR(__xludf.DUMMYFUNCTION("""COMPUTED_VALUE"""),2.5)</f>
        <v>2.5</v>
      </c>
      <c r="H11848" s="2">
        <f>IFERROR(__xludf.DUMMYFUNCTION("""COMPUTED_VALUE"""),2.5)</f>
        <v>2.5</v>
      </c>
      <c r="I11848" s="5">
        <f>IFERROR(__xludf.DUMMYFUNCTION("""COMPUTED_VALUE"""),1.0)</f>
        <v>1</v>
      </c>
      <c r="J11848" s="1" t="str">
        <f>IFERROR(__xludf.DUMMYFUNCTION("""COMPUTED_VALUE"""),"Ellaine Estayo")</f>
        <v>Ellaine Estayo</v>
      </c>
      <c r="K11848" s="1" t="str">
        <f>IFERROR(__xludf.DUMMYFUNCTION("""COMPUTED_VALUE"""),"Core Product Support Escalation Team")</f>
        <v>Core Product Support Escalation Team</v>
      </c>
      <c r="L11848"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849">
      <c r="A11849" s="1" t="str">
        <f>IFERROR(__xludf.DUMMYFUNCTION("""COMPUTED_VALUE"""),"2026 Apr")</f>
        <v>2026 Apr</v>
      </c>
      <c r="B11849" s="4">
        <f>IFERROR(__xludf.DUMMYFUNCTION("""COMPUTED_VALUE"""),46125.0)</f>
        <v>46125</v>
      </c>
      <c r="C11849" s="1" t="str">
        <f>IFERROR(__xludf.DUMMYFUNCTION("""COMPUTED_VALUE"""),"Print Support")</f>
        <v>Print Support</v>
      </c>
      <c r="D11849" s="1" t="str">
        <f>IFERROR(__xludf.DUMMYFUNCTION("""COMPUTED_VALUE"""),"9e3b5d29-0e29-4565-a70a-6e7ee3c7be84")</f>
        <v>9e3b5d29-0e29-4565-a70a-6e7ee3c7be84</v>
      </c>
      <c r="E11849" s="1">
        <f>IFERROR(__xludf.DUMMYFUNCTION("""COMPUTED_VALUE"""),1.0548602091791E13)</f>
        <v>10548602091791</v>
      </c>
      <c r="F11849" s="1"/>
      <c r="G11849" s="1"/>
      <c r="H11849" s="2">
        <f>IFERROR(__xludf.DUMMYFUNCTION("""COMPUTED_VALUE"""),0.0)</f>
        <v>0</v>
      </c>
      <c r="I11849" s="5"/>
      <c r="J11849" s="1" t="str">
        <f>IFERROR(__xludf.DUMMYFUNCTION("""COMPUTED_VALUE"""),"Jen Momo")</f>
        <v>Jen Momo</v>
      </c>
      <c r="K11849" s="1" t="str">
        <f>IFERROR(__xludf.DUMMYFUNCTION("""COMPUTED_VALUE"""),"Print Support PH")</f>
        <v>Print Support PH</v>
      </c>
      <c r="L11849" s="1" t="str">
        <f>IFERROR(__xludf.DUMMYFUNCTION("""COMPUTED_VALUE"""),"Print Print - CHT")</f>
        <v>Print Print - CHT</v>
      </c>
    </row>
    <row r="11850">
      <c r="A11850" s="1" t="str">
        <f>IFERROR(__xludf.DUMMYFUNCTION("""COMPUTED_VALUE"""),"2026 Apr")</f>
        <v>2026 Apr</v>
      </c>
      <c r="B11850" s="4">
        <f>IFERROR(__xludf.DUMMYFUNCTION("""COMPUTED_VALUE"""),46125.0)</f>
        <v>46125</v>
      </c>
      <c r="C11850" s="1" t="str">
        <f>IFERROR(__xludf.DUMMYFUNCTION("""COMPUTED_VALUE"""),"Segment-specific Support")</f>
        <v>Segment-specific Support</v>
      </c>
      <c r="D11850" s="1" t="str">
        <f>IFERROR(__xludf.DUMMYFUNCTION("""COMPUTED_VALUE"""),"eda8dc46-d638-4955-b85e-554ac98c41d8")</f>
        <v>eda8dc46-d638-4955-b85e-554ac98c41d8</v>
      </c>
      <c r="E11850" s="1">
        <f>IFERROR(__xludf.DUMMYFUNCTION("""COMPUTED_VALUE"""),3.61731943235E11)</f>
        <v>361731943235</v>
      </c>
      <c r="F11850" s="1"/>
      <c r="G11850" s="1"/>
      <c r="H11850" s="2">
        <f>IFERROR(__xludf.DUMMYFUNCTION("""COMPUTED_VALUE"""),0.0)</f>
        <v>0</v>
      </c>
      <c r="I11850" s="5"/>
      <c r="J11850" s="1" t="str">
        <f>IFERROR(__xludf.DUMMYFUNCTION("""COMPUTED_VALUE"""),"Aileen Dayanghirang")</f>
        <v>Aileen Dayanghirang</v>
      </c>
      <c r="K11850" s="1" t="str">
        <f>IFERROR(__xludf.DUMMYFUNCTION("""COMPUTED_VALUE"""),"Creators Support")</f>
        <v>Creators Support</v>
      </c>
      <c r="L11850" s="1" t="str">
        <f>IFERROR(__xludf.DUMMYFUNCTION("""COMPUTED_VALUE"""),"SSS Creators")</f>
        <v>SSS Creators</v>
      </c>
    </row>
    <row r="11851">
      <c r="A11851" s="1" t="str">
        <f>IFERROR(__xludf.DUMMYFUNCTION("""COMPUTED_VALUE"""),"2026 Apr")</f>
        <v>2026 Apr</v>
      </c>
      <c r="B11851" s="4">
        <f>IFERROR(__xludf.DUMMYFUNCTION("""COMPUTED_VALUE"""),46125.0)</f>
        <v>46125</v>
      </c>
      <c r="C11851" s="1" t="str">
        <f>IFERROR(__xludf.DUMMYFUNCTION("""COMPUTED_VALUE"""),"Admin Support")</f>
        <v>Admin Support</v>
      </c>
      <c r="D11851" s="1" t="str">
        <f>IFERROR(__xludf.DUMMYFUNCTION("""COMPUTED_VALUE"""),"1135d838-4518-48e7-a5b8-f1738f44245c")</f>
        <v>1135d838-4518-48e7-a5b8-f1738f44245c</v>
      </c>
      <c r="E11851" s="1">
        <f>IFERROR(__xludf.DUMMYFUNCTION("""COMPUTED_VALUE"""),9.795666354191E12)</f>
        <v>9795666354191</v>
      </c>
      <c r="F11851" s="1"/>
      <c r="G11851" s="1"/>
      <c r="H11851" s="2">
        <f>IFERROR(__xludf.DUMMYFUNCTION("""COMPUTED_VALUE"""),0.0)</f>
        <v>0</v>
      </c>
      <c r="I11851" s="5"/>
      <c r="J11851" s="1" t="str">
        <f>IFERROR(__xludf.DUMMYFUNCTION("""COMPUTED_VALUE"""),"Elise Cesario Mendes")</f>
        <v>Elise Cesario Mendes</v>
      </c>
      <c r="K11851" s="1" t="str">
        <f>IFERROR(__xludf.DUMMYFUNCTION("""COMPUTED_VALUE"""),"Admin Support APJ")</f>
        <v>Admin Support APJ</v>
      </c>
      <c r="L11851" s="1" t="str">
        <f>IFERROR(__xludf.DUMMYFUNCTION("""COMPUTED_VALUE"""),"Admin APJ")</f>
        <v>Admin APJ</v>
      </c>
    </row>
    <row r="11852">
      <c r="A11852" s="1" t="str">
        <f>IFERROR(__xludf.DUMMYFUNCTION("""COMPUTED_VALUE"""),"2026 Apr")</f>
        <v>2026 Apr</v>
      </c>
      <c r="B11852" s="4">
        <f>IFERROR(__xludf.DUMMYFUNCTION("""COMPUTED_VALUE"""),46125.0)</f>
        <v>46125</v>
      </c>
      <c r="C11852" s="1" t="str">
        <f>IFERROR(__xludf.DUMMYFUNCTION("""COMPUTED_VALUE"""),"High Sensitivity Support")</f>
        <v>High Sensitivity Support</v>
      </c>
      <c r="D11852" s="1" t="str">
        <f>IFERROR(__xludf.DUMMYFUNCTION("""COMPUTED_VALUE"""),"a3bbe934-01ae-4e93-9369-021e3581998d")</f>
        <v>a3bbe934-01ae-4e93-9369-021e3581998d</v>
      </c>
      <c r="E11852" s="1">
        <f>IFERROR(__xludf.DUMMYFUNCTION("""COMPUTED_VALUE"""),8.409869745551E12)</f>
        <v>8409869745551</v>
      </c>
      <c r="F11852" s="1"/>
      <c r="G11852" s="1"/>
      <c r="H11852" s="2">
        <f>IFERROR(__xludf.DUMMYFUNCTION("""COMPUTED_VALUE"""),0.0)</f>
        <v>0</v>
      </c>
      <c r="I11852" s="5"/>
      <c r="J11852" s="1" t="str">
        <f>IFERROR(__xludf.DUMMYFUNCTION("""COMPUTED_VALUE"""),"Rex Villamor")</f>
        <v>Rex Villamor</v>
      </c>
      <c r="K11852" s="1" t="str">
        <f>IFERROR(__xludf.DUMMYFUNCTION("""COMPUTED_VALUE"""),"High Sensitivity Support PH")</f>
        <v>High Sensitivity Support PH</v>
      </c>
      <c r="L11852" s="1" t="str">
        <f>IFERROR(__xludf.DUMMYFUNCTION("""COMPUTED_VALUE"""),"HSS High Sensitivity Support PH - CHT")</f>
        <v>HSS High Sensitivity Support PH - CHT</v>
      </c>
    </row>
    <row r="11853">
      <c r="A11853" s="1" t="str">
        <f>IFERROR(__xludf.DUMMYFUNCTION("""COMPUTED_VALUE"""),"2026 Apr")</f>
        <v>2026 Apr</v>
      </c>
      <c r="B11853" s="4">
        <f>IFERROR(__xludf.DUMMYFUNCTION("""COMPUTED_VALUE"""),46125.0)</f>
        <v>46125</v>
      </c>
      <c r="C11853" s="1" t="str">
        <f>IFERROR(__xludf.DUMMYFUNCTION("""COMPUTED_VALUE"""),"Core Product Support")</f>
        <v>Core Product Support</v>
      </c>
      <c r="D11853" s="1" t="str">
        <f>IFERROR(__xludf.DUMMYFUNCTION("""COMPUTED_VALUE"""),"3160ea91-bbe8-47f3-b356-db1889bfb947")</f>
        <v>3160ea91-bbe8-47f3-b356-db1889bfb947</v>
      </c>
      <c r="E11853" s="1">
        <f>IFERROR(__xludf.DUMMYFUNCTION("""COMPUTED_VALUE"""),8.904462217231E12)</f>
        <v>8904462217231</v>
      </c>
      <c r="F11853" s="1"/>
      <c r="G11853" s="1">
        <f>IFERROR(__xludf.DUMMYFUNCTION("""COMPUTED_VALUE"""),1.25)</f>
        <v>1.25</v>
      </c>
      <c r="H11853" s="2">
        <f>IFERROR(__xludf.DUMMYFUNCTION("""COMPUTED_VALUE"""),1.25)</f>
        <v>1.25</v>
      </c>
      <c r="I11853" s="5">
        <f>IFERROR(__xludf.DUMMYFUNCTION("""COMPUTED_VALUE"""),1.0)</f>
        <v>1</v>
      </c>
      <c r="J11853" s="1" t="str">
        <f>IFERROR(__xludf.DUMMYFUNCTION("""COMPUTED_VALUE"""),"Ana Lazaro")</f>
        <v>Ana Lazaro</v>
      </c>
      <c r="K11853" s="1" t="str">
        <f>IFERROR(__xludf.DUMMYFUNCTION("""COMPUTED_VALUE"""),"Advanced Billing &amp; Subscriptions")</f>
        <v>Advanced Billing &amp; Subscriptions</v>
      </c>
      <c r="L11853" s="1" t="str">
        <f>IFERROR(__xludf.DUMMYFUNCTION("""COMPUTED_VALUE"""),"CPS Advanced Billing and Subscriptions (ABS)")</f>
        <v>CPS Advanced Billing and Subscriptions (ABS)</v>
      </c>
    </row>
    <row r="11854">
      <c r="A11854" s="1" t="str">
        <f>IFERROR(__xludf.DUMMYFUNCTION("""COMPUTED_VALUE"""),"2026 Apr")</f>
        <v>2026 Apr</v>
      </c>
      <c r="B11854" s="4">
        <f>IFERROR(__xludf.DUMMYFUNCTION("""COMPUTED_VALUE"""),46125.0)</f>
        <v>46125</v>
      </c>
      <c r="C11854" s="1" t="str">
        <f>IFERROR(__xludf.DUMMYFUNCTION("""COMPUTED_VALUE"""),"High Sensitivity Support")</f>
        <v>High Sensitivity Support</v>
      </c>
      <c r="D11854" s="1" t="str">
        <f>IFERROR(__xludf.DUMMYFUNCTION("""COMPUTED_VALUE"""),"70180db3-ebfc-42fc-99e7-d954cb886c98")</f>
        <v>70180db3-ebfc-42fc-99e7-d954cb886c98</v>
      </c>
      <c r="E11854" s="1">
        <f>IFERROR(__xludf.DUMMYFUNCTION("""COMPUTED_VALUE"""),3.61733077415E11)</f>
        <v>361733077415</v>
      </c>
      <c r="F11854" s="1"/>
      <c r="G11854" s="1"/>
      <c r="H11854" s="2">
        <f>IFERROR(__xludf.DUMMYFUNCTION("""COMPUTED_VALUE"""),0.0)</f>
        <v>0</v>
      </c>
      <c r="I11854" s="5"/>
      <c r="J11854" s="1" t="str">
        <f>IFERROR(__xludf.DUMMYFUNCTION("""COMPUTED_VALUE"""),"Rex Villamor")</f>
        <v>Rex Villamor</v>
      </c>
      <c r="K11854" s="1" t="str">
        <f>IFERROR(__xludf.DUMMYFUNCTION("""COMPUTED_VALUE"""),"High Sensitivity Support PH")</f>
        <v>High Sensitivity Support PH</v>
      </c>
      <c r="L11854" s="1" t="str">
        <f>IFERROR(__xludf.DUMMYFUNCTION("""COMPUTED_VALUE"""),"HSS High Sensitivity Support PH - CHT")</f>
        <v>HSS High Sensitivity Support PH - CHT</v>
      </c>
    </row>
    <row r="11855">
      <c r="A11855" s="1" t="str">
        <f>IFERROR(__xludf.DUMMYFUNCTION("""COMPUTED_VALUE"""),"2026 Apr")</f>
        <v>2026 Apr</v>
      </c>
      <c r="B11855" s="4">
        <f>IFERROR(__xludf.DUMMYFUNCTION("""COMPUTED_VALUE"""),46125.0)</f>
        <v>46125</v>
      </c>
      <c r="C11855" s="1" t="str">
        <f>IFERROR(__xludf.DUMMYFUNCTION("""COMPUTED_VALUE"""),"Admin Support")</f>
        <v>Admin Support</v>
      </c>
      <c r="D11855" s="1" t="str">
        <f>IFERROR(__xludf.DUMMYFUNCTION("""COMPUTED_VALUE"""),"0c4907ba-7b85-4f42-8afb-a62cdeb8fbd3")</f>
        <v>0c4907ba-7b85-4f42-8afb-a62cdeb8fbd3</v>
      </c>
      <c r="E11855" s="1">
        <f>IFERROR(__xludf.DUMMYFUNCTION("""COMPUTED_VALUE"""),3.61731944975E11)</f>
        <v>361731944975</v>
      </c>
      <c r="F11855" s="1"/>
      <c r="G11855" s="1"/>
      <c r="H11855" s="2">
        <f>IFERROR(__xludf.DUMMYFUNCTION("""COMPUTED_VALUE"""),0.0)</f>
        <v>0</v>
      </c>
      <c r="I11855" s="5"/>
      <c r="J11855" s="1" t="str">
        <f>IFERROR(__xludf.DUMMYFUNCTION("""COMPUTED_VALUE"""),"Pau Palmero")</f>
        <v>Pau Palmero</v>
      </c>
      <c r="K11855" s="1" t="str">
        <f>IFERROR(__xludf.DUMMYFUNCTION("""COMPUTED_VALUE"""),"Admin Omni Support")</f>
        <v>Admin Omni Support</v>
      </c>
      <c r="L11855" s="1" t="str">
        <f>IFERROR(__xludf.DUMMYFUNCTION("""COMPUTED_VALUE"""),"Admin Omni Support")</f>
        <v>Admin Omni Support</v>
      </c>
    </row>
    <row r="11856">
      <c r="A11856" s="1" t="str">
        <f>IFERROR(__xludf.DUMMYFUNCTION("""COMPUTED_VALUE"""),"2026 Apr")</f>
        <v>2026 Apr</v>
      </c>
      <c r="B11856" s="4">
        <f>IFERROR(__xludf.DUMMYFUNCTION("""COMPUTED_VALUE"""),46125.0)</f>
        <v>46125</v>
      </c>
      <c r="C11856" s="1" t="str">
        <f>IFERROR(__xludf.DUMMYFUNCTION("""COMPUTED_VALUE"""),"Segment-specific Support")</f>
        <v>Segment-specific Support</v>
      </c>
      <c r="D11856" s="1" t="str">
        <f>IFERROR(__xludf.DUMMYFUNCTION("""COMPUTED_VALUE"""),"31a45902-65b1-4f86-b78c-0681d92ba3b9")</f>
        <v>31a45902-65b1-4f86-b78c-0681d92ba3b9</v>
      </c>
      <c r="E11856" s="1"/>
      <c r="F11856" s="1"/>
      <c r="G11856" s="1"/>
      <c r="H11856" s="2">
        <f>IFERROR(__xludf.DUMMYFUNCTION("""COMPUTED_VALUE"""),0.0)</f>
        <v>0</v>
      </c>
      <c r="I11856" s="5"/>
      <c r="J11856" s="1" t="str">
        <f>IFERROR(__xludf.DUMMYFUNCTION("""COMPUTED_VALUE"""),"Leigh Davison")</f>
        <v>Leigh Davison</v>
      </c>
      <c r="K11856" s="1" t="str">
        <f>IFERROR(__xludf.DUMMYFUNCTION("""COMPUTED_VALUE"""),"#N/A")</f>
        <v>#N/A</v>
      </c>
      <c r="L11856" s="1"/>
    </row>
    <row r="11857">
      <c r="A11857" s="1" t="str">
        <f>IFERROR(__xludf.DUMMYFUNCTION("""COMPUTED_VALUE"""),"2026 Apr")</f>
        <v>2026 Apr</v>
      </c>
      <c r="B11857" s="4">
        <f>IFERROR(__xludf.DUMMYFUNCTION("""COMPUTED_VALUE"""),46125.0)</f>
        <v>46125</v>
      </c>
      <c r="C11857" s="1" t="str">
        <f>IFERROR(__xludf.DUMMYFUNCTION("""COMPUTED_VALUE"""),"Admin Support")</f>
        <v>Admin Support</v>
      </c>
      <c r="D11857" s="1" t="str">
        <f>IFERROR(__xludf.DUMMYFUNCTION("""COMPUTED_VALUE"""),"f3e01c36-ae47-4587-bb42-c4f8b42102e5")</f>
        <v>f3e01c36-ae47-4587-bb42-c4f8b42102e5</v>
      </c>
      <c r="E11857" s="1">
        <f>IFERROR(__xludf.DUMMYFUNCTION("""COMPUTED_VALUE"""),3.61725484056E11)</f>
        <v>361725484056</v>
      </c>
      <c r="F11857" s="1"/>
      <c r="G11857" s="1">
        <f>IFERROR(__xludf.DUMMYFUNCTION("""COMPUTED_VALUE"""),0.25)</f>
        <v>0.25</v>
      </c>
      <c r="H11857" s="2">
        <f>IFERROR(__xludf.DUMMYFUNCTION("""COMPUTED_VALUE"""),0.25)</f>
        <v>0.25</v>
      </c>
      <c r="I11857" s="5">
        <f>IFERROR(__xludf.DUMMYFUNCTION("""COMPUTED_VALUE"""),1.0)</f>
        <v>1</v>
      </c>
      <c r="J11857" s="1" t="str">
        <f>IFERROR(__xludf.DUMMYFUNCTION("""COMPUTED_VALUE"""),"Ann Dumlao")</f>
        <v>Ann Dumlao</v>
      </c>
      <c r="K11857" s="1" t="str">
        <f>IFERROR(__xludf.DUMMYFUNCTION("""COMPUTED_VALUE"""),"Admin Omni Support")</f>
        <v>Admin Omni Support</v>
      </c>
      <c r="L11857" s="1" t="str">
        <f>IFERROR(__xludf.DUMMYFUNCTION("""COMPUTED_VALUE"""),"Admin Omni Support")</f>
        <v>Admin Omni Support</v>
      </c>
    </row>
    <row r="11858">
      <c r="A11858" s="1" t="str">
        <f>IFERROR(__xludf.DUMMYFUNCTION("""COMPUTED_VALUE"""),"2026 Apr")</f>
        <v>2026 Apr</v>
      </c>
      <c r="B11858" s="4">
        <f>IFERROR(__xludf.DUMMYFUNCTION("""COMPUTED_VALUE"""),46125.0)</f>
        <v>46125</v>
      </c>
      <c r="C11858" s="1" t="str">
        <f>IFERROR(__xludf.DUMMYFUNCTION("""COMPUTED_VALUE"""),"Segment-specific Support")</f>
        <v>Segment-specific Support</v>
      </c>
      <c r="D11858" s="1" t="str">
        <f>IFERROR(__xludf.DUMMYFUNCTION("""COMPUTED_VALUE"""),"546334b1-0aad-492a-9c63-26532ca8c5fc")</f>
        <v>546334b1-0aad-492a-9c63-26532ca8c5fc</v>
      </c>
      <c r="E11858" s="1"/>
      <c r="F11858" s="1"/>
      <c r="G11858" s="1"/>
      <c r="H11858" s="2">
        <f>IFERROR(__xludf.DUMMYFUNCTION("""COMPUTED_VALUE"""),0.0)</f>
        <v>0</v>
      </c>
      <c r="I11858" s="5"/>
      <c r="J11858" s="1" t="str">
        <f>IFERROR(__xludf.DUMMYFUNCTION("""COMPUTED_VALUE"""),"Leigh Davison")</f>
        <v>Leigh Davison</v>
      </c>
      <c r="K11858" s="1" t="str">
        <f>IFERROR(__xludf.DUMMYFUNCTION("""COMPUTED_VALUE"""),"#N/A")</f>
        <v>#N/A</v>
      </c>
      <c r="L11858" s="1"/>
    </row>
    <row r="11859">
      <c r="A11859" s="1" t="str">
        <f>IFERROR(__xludf.DUMMYFUNCTION("""COMPUTED_VALUE"""),"2026 Apr")</f>
        <v>2026 Apr</v>
      </c>
      <c r="B11859" s="4">
        <f>IFERROR(__xludf.DUMMYFUNCTION("""COMPUTED_VALUE"""),46125.0)</f>
        <v>46125</v>
      </c>
      <c r="C11859" s="1" t="str">
        <f>IFERROR(__xludf.DUMMYFUNCTION("""COMPUTED_VALUE"""),"Segment-specific Support")</f>
        <v>Segment-specific Support</v>
      </c>
      <c r="D11859" s="1" t="str">
        <f>IFERROR(__xludf.DUMMYFUNCTION("""COMPUTED_VALUE"""),"0a760e6d-f69c-4cfc-a59a-917274456550")</f>
        <v>0a760e6d-f69c-4cfc-a59a-917274456550</v>
      </c>
      <c r="E11859" s="1">
        <f>IFERROR(__xludf.DUMMYFUNCTION("""COMPUTED_VALUE"""),5.047314632975E12)</f>
        <v>5047314632975</v>
      </c>
      <c r="F11859" s="1"/>
      <c r="G11859" s="1"/>
      <c r="H11859" s="2">
        <f>IFERROR(__xludf.DUMMYFUNCTION("""COMPUTED_VALUE"""),0.0)</f>
        <v>0</v>
      </c>
      <c r="I11859" s="5"/>
      <c r="J11859" s="1" t="str">
        <f>IFERROR(__xludf.DUMMYFUNCTION("""COMPUTED_VALUE"""),"Rose Gabilan")</f>
        <v>Rose Gabilan</v>
      </c>
      <c r="K11859" s="1" t="str">
        <f>IFERROR(__xludf.DUMMYFUNCTION("""COMPUTED_VALUE"""),"Affinity Support")</f>
        <v>Affinity Support</v>
      </c>
      <c r="L11859" s="1" t="str">
        <f>IFERROR(__xludf.DUMMYFUNCTION("""COMPUTED_VALUE"""),"SSS Affinity - L1")</f>
        <v>SSS Affinity - L1</v>
      </c>
    </row>
    <row r="11860">
      <c r="A11860" s="1" t="str">
        <f>IFERROR(__xludf.DUMMYFUNCTION("""COMPUTED_VALUE"""),"2026 Apr")</f>
        <v>2026 Apr</v>
      </c>
      <c r="B11860" s="4">
        <f>IFERROR(__xludf.DUMMYFUNCTION("""COMPUTED_VALUE"""),46125.0)</f>
        <v>46125</v>
      </c>
      <c r="C11860" s="1" t="str">
        <f>IFERROR(__xludf.DUMMYFUNCTION("""COMPUTED_VALUE"""),"Admin Support")</f>
        <v>Admin Support</v>
      </c>
      <c r="D11860" s="1" t="str">
        <f>IFERROR(__xludf.DUMMYFUNCTION("""COMPUTED_VALUE"""),"97756389-1733-4bfe-bf0b-b3fe225fe510")</f>
        <v>97756389-1733-4bfe-bf0b-b3fe225fe510</v>
      </c>
      <c r="E11860" s="1">
        <f>IFERROR(__xludf.DUMMYFUNCTION("""COMPUTED_VALUE"""),9.153847235087E12)</f>
        <v>9153847235087</v>
      </c>
      <c r="F11860" s="1"/>
      <c r="G11860" s="1"/>
      <c r="H11860" s="2">
        <f>IFERROR(__xludf.DUMMYFUNCTION("""COMPUTED_VALUE"""),0.0)</f>
        <v>0</v>
      </c>
      <c r="I11860" s="5"/>
      <c r="J11860" s="1" t="str">
        <f>IFERROR(__xludf.DUMMYFUNCTION("""COMPUTED_VALUE"""),"Tash Kelly")</f>
        <v>Tash Kelly</v>
      </c>
      <c r="K11860" s="1" t="str">
        <f>IFERROR(__xludf.DUMMYFUNCTION("""COMPUTED_VALUE"""),"Admin Support EMEA")</f>
        <v>Admin Support EMEA</v>
      </c>
      <c r="L11860" s="1" t="str">
        <f>IFERROR(__xludf.DUMMYFUNCTION("""COMPUTED_VALUE"""),"Admin EMEA")</f>
        <v>Admin EMEA</v>
      </c>
    </row>
    <row r="11861">
      <c r="A11861" s="1" t="str">
        <f>IFERROR(__xludf.DUMMYFUNCTION("""COMPUTED_VALUE"""),"2026 Apr")</f>
        <v>2026 Apr</v>
      </c>
      <c r="B11861" s="4">
        <f>IFERROR(__xludf.DUMMYFUNCTION("""COMPUTED_VALUE"""),46125.0)</f>
        <v>46125</v>
      </c>
      <c r="C11861" s="1" t="str">
        <f>IFERROR(__xludf.DUMMYFUNCTION("""COMPUTED_VALUE"""),"Admin Support")</f>
        <v>Admin Support</v>
      </c>
      <c r="D11861" s="1" t="str">
        <f>IFERROR(__xludf.DUMMYFUNCTION("""COMPUTED_VALUE"""),"b8e64047-ce95-4bd1-ba70-97209dbdd968")</f>
        <v>b8e64047-ce95-4bd1-ba70-97209dbdd968</v>
      </c>
      <c r="E11861" s="1">
        <f>IFERROR(__xludf.DUMMYFUNCTION("""COMPUTED_VALUE"""),5.813415515279E12)</f>
        <v>5813415515279</v>
      </c>
      <c r="F11861" s="1"/>
      <c r="G11861" s="1"/>
      <c r="H11861" s="2">
        <f>IFERROR(__xludf.DUMMYFUNCTION("""COMPUTED_VALUE"""),0.0)</f>
        <v>0</v>
      </c>
      <c r="I11861" s="5"/>
      <c r="J11861" s="1" t="str">
        <f>IFERROR(__xludf.DUMMYFUNCTION("""COMPUTED_VALUE"""),"Nate Vela")</f>
        <v>Nate Vela</v>
      </c>
      <c r="K11861" s="1" t="str">
        <f>IFERROR(__xludf.DUMMYFUNCTION("""COMPUTED_VALUE"""),"Admin Support NA")</f>
        <v>Admin Support NA</v>
      </c>
      <c r="L11861" s="1" t="str">
        <f>IFERROR(__xludf.DUMMYFUNCTION("""COMPUTED_VALUE"""),"Admin NA")</f>
        <v>Admin NA</v>
      </c>
    </row>
    <row r="11862">
      <c r="A11862" s="1" t="str">
        <f>IFERROR(__xludf.DUMMYFUNCTION("""COMPUTED_VALUE"""),"2026 Apr")</f>
        <v>2026 Apr</v>
      </c>
      <c r="B11862" s="4">
        <f>IFERROR(__xludf.DUMMYFUNCTION("""COMPUTED_VALUE"""),46125.0)</f>
        <v>46125</v>
      </c>
      <c r="C11862" s="1" t="str">
        <f>IFERROR(__xludf.DUMMYFUNCTION("""COMPUTED_VALUE"""),"Print Support")</f>
        <v>Print Support</v>
      </c>
      <c r="D11862" s="1" t="str">
        <f>IFERROR(__xludf.DUMMYFUNCTION("""COMPUTED_VALUE"""),"0a8eade5-f55e-4b55-9dca-c83c736a8818")</f>
        <v>0a8eade5-f55e-4b55-9dca-c83c736a8818</v>
      </c>
      <c r="E11862" s="1">
        <f>IFERROR(__xludf.DUMMYFUNCTION("""COMPUTED_VALUE"""),3.61744044436E11)</f>
        <v>361744044436</v>
      </c>
      <c r="F11862" s="1"/>
      <c r="G11862" s="1"/>
      <c r="H11862" s="2">
        <f>IFERROR(__xludf.DUMMYFUNCTION("""COMPUTED_VALUE"""),0.0)</f>
        <v>0</v>
      </c>
      <c r="I11862" s="5"/>
      <c r="J11862" s="1" t="str">
        <f>IFERROR(__xludf.DUMMYFUNCTION("""COMPUTED_VALUE"""),"Jen Momo")</f>
        <v>Jen Momo</v>
      </c>
      <c r="K11862" s="1" t="str">
        <f>IFERROR(__xludf.DUMMYFUNCTION("""COMPUTED_VALUE"""),"Print Support PH")</f>
        <v>Print Support PH</v>
      </c>
      <c r="L11862" s="1" t="str">
        <f>IFERROR(__xludf.DUMMYFUNCTION("""COMPUTED_VALUE"""),"Print Print - CHT")</f>
        <v>Print Print - CHT</v>
      </c>
    </row>
    <row r="11863">
      <c r="A11863" s="1" t="str">
        <f>IFERROR(__xludf.DUMMYFUNCTION("""COMPUTED_VALUE"""),"2026 Apr")</f>
        <v>2026 Apr</v>
      </c>
      <c r="B11863" s="4">
        <f>IFERROR(__xludf.DUMMYFUNCTION("""COMPUTED_VALUE"""),46125.0)</f>
        <v>46125</v>
      </c>
      <c r="C11863" s="1" t="str">
        <f>IFERROR(__xludf.DUMMYFUNCTION("""COMPUTED_VALUE"""),"Print Support")</f>
        <v>Print Support</v>
      </c>
      <c r="D11863" s="1" t="str">
        <f>IFERROR(__xludf.DUMMYFUNCTION("""COMPUTED_VALUE"""),"7938e720-2f23-4ae8-a8bc-a1aeb68883d0")</f>
        <v>7938e720-2f23-4ae8-a8bc-a1aeb68883d0</v>
      </c>
      <c r="E11863" s="1">
        <f>IFERROR(__xludf.DUMMYFUNCTION("""COMPUTED_VALUE"""),5.359144671119E12)</f>
        <v>5359144671119</v>
      </c>
      <c r="F11863" s="1"/>
      <c r="G11863" s="1"/>
      <c r="H11863" s="2">
        <f>IFERROR(__xludf.DUMMYFUNCTION("""COMPUTED_VALUE"""),0.0)</f>
        <v>0</v>
      </c>
      <c r="I11863" s="5"/>
      <c r="J11863" s="1" t="str">
        <f>IFERROR(__xludf.DUMMYFUNCTION("""COMPUTED_VALUE"""),"Louise Dianne Estrella")</f>
        <v>Louise Dianne Estrella</v>
      </c>
      <c r="K11863" s="1" t="str">
        <f>IFERROR(__xludf.DUMMYFUNCTION("""COMPUTED_VALUE"""),"Print Support PH")</f>
        <v>Print Support PH</v>
      </c>
      <c r="L11863" s="1" t="str">
        <f>IFERROR(__xludf.DUMMYFUNCTION("""COMPUTED_VALUE"""),"Print Print - CHT")</f>
        <v>Print Print - CHT</v>
      </c>
    </row>
    <row r="11864">
      <c r="A11864" s="1" t="str">
        <f>IFERROR(__xludf.DUMMYFUNCTION("""COMPUTED_VALUE"""),"2026 Apr")</f>
        <v>2026 Apr</v>
      </c>
      <c r="B11864" s="4">
        <f>IFERROR(__xludf.DUMMYFUNCTION("""COMPUTED_VALUE"""),46125.0)</f>
        <v>46125</v>
      </c>
      <c r="C11864" s="1" t="str">
        <f>IFERROR(__xludf.DUMMYFUNCTION("""COMPUTED_VALUE"""),"Admin Support")</f>
        <v>Admin Support</v>
      </c>
      <c r="D11864" s="1" t="str">
        <f>IFERROR(__xludf.DUMMYFUNCTION("""COMPUTED_VALUE"""),"7bf5cef1-9473-43c3-9aff-115283ed0e7a")</f>
        <v>7bf5cef1-9473-43c3-9aff-115283ed0e7a</v>
      </c>
      <c r="E11864" s="1">
        <f>IFERROR(__xludf.DUMMYFUNCTION("""COMPUTED_VALUE"""),1.0005707260559E13)</f>
        <v>10005707260559</v>
      </c>
      <c r="F11864" s="1"/>
      <c r="G11864" s="1">
        <f>IFERROR(__xludf.DUMMYFUNCTION("""COMPUTED_VALUE"""),0.25)</f>
        <v>0.25</v>
      </c>
      <c r="H11864" s="2">
        <f>IFERROR(__xludf.DUMMYFUNCTION("""COMPUTED_VALUE"""),0.25)</f>
        <v>0.25</v>
      </c>
      <c r="I11864" s="5">
        <f>IFERROR(__xludf.DUMMYFUNCTION("""COMPUTED_VALUE"""),1.0)</f>
        <v>1</v>
      </c>
      <c r="J11864" s="1" t="str">
        <f>IFERROR(__xludf.DUMMYFUNCTION("""COMPUTED_VALUE"""),"AL Suarez")</f>
        <v>AL Suarez</v>
      </c>
      <c r="K11864" s="1" t="str">
        <f>IFERROR(__xludf.DUMMYFUNCTION("""COMPUTED_VALUE"""),"Advanced Billing &amp; Subscriptions")</f>
        <v>Advanced Billing &amp; Subscriptions</v>
      </c>
      <c r="L11864" s="1" t="str">
        <f>IFERROR(__xludf.DUMMYFUNCTION("""COMPUTED_VALUE"""),"CPS Advanced Billing and Subscriptions (ABS)")</f>
        <v>CPS Advanced Billing and Subscriptions (ABS)</v>
      </c>
    </row>
    <row r="11865">
      <c r="A11865" s="1" t="str">
        <f>IFERROR(__xludf.DUMMYFUNCTION("""COMPUTED_VALUE"""),"2026 Apr")</f>
        <v>2026 Apr</v>
      </c>
      <c r="B11865" s="4">
        <f>IFERROR(__xludf.DUMMYFUNCTION("""COMPUTED_VALUE"""),46125.0)</f>
        <v>46125</v>
      </c>
      <c r="C11865" s="1" t="str">
        <f>IFERROR(__xludf.DUMMYFUNCTION("""COMPUTED_VALUE"""),"Segment-specific Support")</f>
        <v>Segment-specific Support</v>
      </c>
      <c r="D11865" s="1" t="str">
        <f>IFERROR(__xludf.DUMMYFUNCTION("""COMPUTED_VALUE"""),"ea5d3075-1c56-458e-abc7-f25ded5a9d76")</f>
        <v>ea5d3075-1c56-458e-abc7-f25ded5a9d76</v>
      </c>
      <c r="E11865" s="1">
        <f>IFERROR(__xludf.DUMMYFUNCTION("""COMPUTED_VALUE"""),1.1401961186319E13)</f>
        <v>11401961186319</v>
      </c>
      <c r="F11865" s="1"/>
      <c r="G11865" s="1"/>
      <c r="H11865" s="2">
        <f>IFERROR(__xludf.DUMMYFUNCTION("""COMPUTED_VALUE"""),0.0)</f>
        <v>0</v>
      </c>
      <c r="I11865" s="5"/>
      <c r="J11865" s="1" t="str">
        <f>IFERROR(__xludf.DUMMYFUNCTION("""COMPUTED_VALUE"""),"Aileen Dayanghirang")</f>
        <v>Aileen Dayanghirang</v>
      </c>
      <c r="K11865" s="1" t="str">
        <f>IFERROR(__xludf.DUMMYFUNCTION("""COMPUTED_VALUE"""),"Creators Support")</f>
        <v>Creators Support</v>
      </c>
      <c r="L11865" s="1" t="str">
        <f>IFERROR(__xludf.DUMMYFUNCTION("""COMPUTED_VALUE"""),"SSS Creators")</f>
        <v>SSS Creators</v>
      </c>
    </row>
    <row r="11866">
      <c r="A11866" s="1" t="str">
        <f>IFERROR(__xludf.DUMMYFUNCTION("""COMPUTED_VALUE"""),"2026 Apr")</f>
        <v>2026 Apr</v>
      </c>
      <c r="B11866" s="4">
        <f>IFERROR(__xludf.DUMMYFUNCTION("""COMPUTED_VALUE"""),46125.0)</f>
        <v>46125</v>
      </c>
      <c r="C11866" s="1" t="str">
        <f>IFERROR(__xludf.DUMMYFUNCTION("""COMPUTED_VALUE"""),"Admin Support")</f>
        <v>Admin Support</v>
      </c>
      <c r="D11866" s="1" t="str">
        <f>IFERROR(__xludf.DUMMYFUNCTION("""COMPUTED_VALUE"""),"ac612821-c478-4ed1-8b21-3e20fb1b17d4")</f>
        <v>ac612821-c478-4ed1-8b21-3e20fb1b17d4</v>
      </c>
      <c r="E11866" s="1">
        <f>IFERROR(__xludf.DUMMYFUNCTION("""COMPUTED_VALUE"""),8.409862611087E12)</f>
        <v>8409862611087</v>
      </c>
      <c r="F11866" s="1"/>
      <c r="G11866" s="1"/>
      <c r="H11866" s="2">
        <f>IFERROR(__xludf.DUMMYFUNCTION("""COMPUTED_VALUE"""),0.0)</f>
        <v>0</v>
      </c>
      <c r="I11866" s="5"/>
      <c r="J11866" s="1" t="str">
        <f>IFERROR(__xludf.DUMMYFUNCTION("""COMPUTED_VALUE"""),"Karla Mananghaya")</f>
        <v>Karla Mananghaya</v>
      </c>
      <c r="K11866" s="1" t="str">
        <f>IFERROR(__xludf.DUMMYFUNCTION("""COMPUTED_VALUE"""),"Admin Support Service Escalation Team")</f>
        <v>Admin Support Service Escalation Team</v>
      </c>
      <c r="L11866" s="1" t="str">
        <f>IFERROR(__xludf.DUMMYFUNCTION("""COMPUTED_VALUE"""),"Admin ASSET")</f>
        <v>Admin ASSET</v>
      </c>
    </row>
    <row r="11867">
      <c r="A11867" s="1" t="str">
        <f>IFERROR(__xludf.DUMMYFUNCTION("""COMPUTED_VALUE"""),"2026 Apr")</f>
        <v>2026 Apr</v>
      </c>
      <c r="B11867" s="4">
        <f>IFERROR(__xludf.DUMMYFUNCTION("""COMPUTED_VALUE"""),46125.0)</f>
        <v>46125</v>
      </c>
      <c r="C11867" s="1" t="str">
        <f>IFERROR(__xludf.DUMMYFUNCTION("""COMPUTED_VALUE"""),"Multilingual Support")</f>
        <v>Multilingual Support</v>
      </c>
      <c r="D11867" s="1" t="str">
        <f>IFERROR(__xludf.DUMMYFUNCTION("""COMPUTED_VALUE"""),"c643f4d3-31ef-4155-ba4e-a552baeb6f23")</f>
        <v>c643f4d3-31ef-4155-ba4e-a552baeb6f23</v>
      </c>
      <c r="E11867" s="1">
        <f>IFERROR(__xludf.DUMMYFUNCTION("""COMPUTED_VALUE"""),3.61726424916E11)</f>
        <v>361726424916</v>
      </c>
      <c r="F11867" s="1"/>
      <c r="G11867" s="1"/>
      <c r="H11867" s="2">
        <f>IFERROR(__xludf.DUMMYFUNCTION("""COMPUTED_VALUE"""),0.0)</f>
        <v>0</v>
      </c>
      <c r="I11867" s="5"/>
      <c r="J11867" s="1" t="str">
        <f>IFERROR(__xludf.DUMMYFUNCTION("""COMPUTED_VALUE"""),"Arlene Maurillo")</f>
        <v>Arlene Maurillo</v>
      </c>
      <c r="K11867" s="1" t="str">
        <f>IFERROR(__xludf.DUMMYFUNCTION("""COMPUTED_VALUE"""),"PHL, Multilingual Support")</f>
        <v>PHL, Multilingual Support</v>
      </c>
      <c r="L11867" s="1" t="str">
        <f>IFERROR(__xludf.DUMMYFUNCTION("""COMPUTED_VALUE"""),"ML French Support")</f>
        <v>ML French Support</v>
      </c>
    </row>
    <row r="11868">
      <c r="A11868" s="1" t="str">
        <f>IFERROR(__xludf.DUMMYFUNCTION("""COMPUTED_VALUE"""),"2026 Apr")</f>
        <v>2026 Apr</v>
      </c>
      <c r="B11868" s="4">
        <f>IFERROR(__xludf.DUMMYFUNCTION("""COMPUTED_VALUE"""),46125.0)</f>
        <v>46125</v>
      </c>
      <c r="C11868" s="1" t="str">
        <f>IFERROR(__xludf.DUMMYFUNCTION("""COMPUTED_VALUE"""),"High Sensitivity Support")</f>
        <v>High Sensitivity Support</v>
      </c>
      <c r="D11868" s="1" t="str">
        <f>IFERROR(__xludf.DUMMYFUNCTION("""COMPUTED_VALUE"""),"19ca9753-f76b-4593-ad5b-20f0e6bda57d")</f>
        <v>19ca9753-f76b-4593-ad5b-20f0e6bda57d</v>
      </c>
      <c r="E11868" s="1">
        <f>IFERROR(__xludf.DUMMYFUNCTION("""COMPUTED_VALUE"""),3.61694652335E11)</f>
        <v>361694652335</v>
      </c>
      <c r="F11868" s="1"/>
      <c r="G11868" s="1"/>
      <c r="H11868" s="2">
        <f>IFERROR(__xludf.DUMMYFUNCTION("""COMPUTED_VALUE"""),0.0)</f>
        <v>0</v>
      </c>
      <c r="I11868" s="5"/>
      <c r="J11868" s="1" t="str">
        <f>IFERROR(__xludf.DUMMYFUNCTION("""COMPUTED_VALUE"""),"Xandy Azarcon")</f>
        <v>Xandy Azarcon</v>
      </c>
      <c r="K11868" s="1" t="str">
        <f>IFERROR(__xludf.DUMMYFUNCTION("""COMPUTED_VALUE"""),"High Sensitivity Support PH")</f>
        <v>High Sensitivity Support PH</v>
      </c>
      <c r="L11868" s="1" t="str">
        <f>IFERROR(__xludf.DUMMYFUNCTION("""COMPUTED_VALUE"""),"HSS High Sensitivity Support PH - CHT")</f>
        <v>HSS High Sensitivity Support PH - CHT</v>
      </c>
    </row>
    <row r="11869">
      <c r="A11869" s="1" t="str">
        <f>IFERROR(__xludf.DUMMYFUNCTION("""COMPUTED_VALUE"""),"2026 Apr")</f>
        <v>2026 Apr</v>
      </c>
      <c r="B11869" s="4">
        <f>IFERROR(__xludf.DUMMYFUNCTION("""COMPUTED_VALUE"""),46125.0)</f>
        <v>46125</v>
      </c>
      <c r="C11869" s="1" t="str">
        <f>IFERROR(__xludf.DUMMYFUNCTION("""COMPUTED_VALUE"""),"Print Support")</f>
        <v>Print Support</v>
      </c>
      <c r="D11869" s="1" t="str">
        <f>IFERROR(__xludf.DUMMYFUNCTION("""COMPUTED_VALUE"""),"05869263-0d01-4309-8f73-ab6deb080e16")</f>
        <v>05869263-0d01-4309-8f73-ab6deb080e16</v>
      </c>
      <c r="E11869" s="1"/>
      <c r="F11869" s="1"/>
      <c r="G11869" s="1"/>
      <c r="H11869" s="2">
        <f>IFERROR(__xludf.DUMMYFUNCTION("""COMPUTED_VALUE"""),0.0)</f>
        <v>0</v>
      </c>
      <c r="I11869" s="5"/>
      <c r="J11869" s="1" t="str">
        <f>IFERROR(__xludf.DUMMYFUNCTION("""COMPUTED_VALUE"""),"G-Anne Murillo")</f>
        <v>G-Anne Murillo</v>
      </c>
      <c r="K11869" s="1" t="str">
        <f>IFERROR(__xludf.DUMMYFUNCTION("""COMPUTED_VALUE"""),"Print Design Support")</f>
        <v>Print Design Support</v>
      </c>
      <c r="L11869" s="1" t="str">
        <f>IFERROR(__xludf.DUMMYFUNCTION("""COMPUTED_VALUE"""),"Print Print Design")</f>
        <v>Print Print Design</v>
      </c>
    </row>
    <row r="11870">
      <c r="A11870" s="1" t="str">
        <f>IFERROR(__xludf.DUMMYFUNCTION("""COMPUTED_VALUE"""),"2026 Apr")</f>
        <v>2026 Apr</v>
      </c>
      <c r="B11870" s="4">
        <f>IFERROR(__xludf.DUMMYFUNCTION("""COMPUTED_VALUE"""),46125.0)</f>
        <v>46125</v>
      </c>
      <c r="C11870" s="1" t="str">
        <f>IFERROR(__xludf.DUMMYFUNCTION("""COMPUTED_VALUE"""),"Print Support")</f>
        <v>Print Support</v>
      </c>
      <c r="D11870" s="1" t="str">
        <f>IFERROR(__xludf.DUMMYFUNCTION("""COMPUTED_VALUE"""),"5fe68c01-0359-40ab-9a6d-78a5cd050024")</f>
        <v>5fe68c01-0359-40ab-9a6d-78a5cd050024</v>
      </c>
      <c r="E11870" s="1"/>
      <c r="F11870" s="1"/>
      <c r="G11870" s="1"/>
      <c r="H11870" s="2">
        <f>IFERROR(__xludf.DUMMYFUNCTION("""COMPUTED_VALUE"""),0.0)</f>
        <v>0</v>
      </c>
      <c r="I11870" s="5"/>
      <c r="J11870" s="1" t="str">
        <f>IFERROR(__xludf.DUMMYFUNCTION("""COMPUTED_VALUE"""),"Jan Domingo")</f>
        <v>Jan Domingo</v>
      </c>
      <c r="K11870" s="1" t="str">
        <f>IFERROR(__xludf.DUMMYFUNCTION("""COMPUTED_VALUE"""),"Print Design Support")</f>
        <v>Print Design Support</v>
      </c>
      <c r="L11870" s="1" t="str">
        <f>IFERROR(__xludf.DUMMYFUNCTION("""COMPUTED_VALUE"""),"Print Print Design")</f>
        <v>Print Print Design</v>
      </c>
    </row>
    <row r="11871">
      <c r="A11871" s="1" t="str">
        <f>IFERROR(__xludf.DUMMYFUNCTION("""COMPUTED_VALUE"""),"2026 Apr")</f>
        <v>2026 Apr</v>
      </c>
      <c r="B11871" s="4">
        <f>IFERROR(__xludf.DUMMYFUNCTION("""COMPUTED_VALUE"""),46125.0)</f>
        <v>46125</v>
      </c>
      <c r="C11871" s="1" t="str">
        <f>IFERROR(__xludf.DUMMYFUNCTION("""COMPUTED_VALUE"""),"Print Support")</f>
        <v>Print Support</v>
      </c>
      <c r="D11871" s="1" t="str">
        <f>IFERROR(__xludf.DUMMYFUNCTION("""COMPUTED_VALUE"""),"50551296-1c12-4ee1-842f-b3c74e1d0706")</f>
        <v>50551296-1c12-4ee1-842f-b3c74e1d0706</v>
      </c>
      <c r="E11871" s="1">
        <f>IFERROR(__xludf.DUMMYFUNCTION("""COMPUTED_VALUE"""),3.61725486956E11)</f>
        <v>361725486956</v>
      </c>
      <c r="F11871" s="1"/>
      <c r="G11871" s="1"/>
      <c r="H11871" s="2">
        <f>IFERROR(__xludf.DUMMYFUNCTION("""COMPUTED_VALUE"""),0.0)</f>
        <v>0</v>
      </c>
      <c r="I11871" s="5"/>
      <c r="J11871" s="1" t="str">
        <f>IFERROR(__xludf.DUMMYFUNCTION("""COMPUTED_VALUE"""),"Memae Faustino")</f>
        <v>Memae Faustino</v>
      </c>
      <c r="K11871" s="1" t="str">
        <f>IFERROR(__xludf.DUMMYFUNCTION("""COMPUTED_VALUE"""),"Print Support PH")</f>
        <v>Print Support PH</v>
      </c>
      <c r="L11871" s="1" t="str">
        <f>IFERROR(__xludf.DUMMYFUNCTION("""COMPUTED_VALUE"""),"Print Print - SEE")</f>
        <v>Print Print - SEE</v>
      </c>
    </row>
    <row r="11872">
      <c r="A11872" s="1" t="str">
        <f>IFERROR(__xludf.DUMMYFUNCTION("""COMPUTED_VALUE"""),"2026 Apr")</f>
        <v>2026 Apr</v>
      </c>
      <c r="B11872" s="4">
        <f>IFERROR(__xludf.DUMMYFUNCTION("""COMPUTED_VALUE"""),46125.0)</f>
        <v>46125</v>
      </c>
      <c r="C11872" s="1" t="str">
        <f>IFERROR(__xludf.DUMMYFUNCTION("""COMPUTED_VALUE"""),"Core Product Support")</f>
        <v>Core Product Support</v>
      </c>
      <c r="D11872" s="1" t="str">
        <f>IFERROR(__xludf.DUMMYFUNCTION("""COMPUTED_VALUE"""),"4dbfa916-5ac6-473d-aa13-5812e02f0be2")</f>
        <v>4dbfa916-5ac6-473d-aa13-5812e02f0be2</v>
      </c>
      <c r="E11872" s="1">
        <f>IFERROR(__xludf.DUMMYFUNCTION("""COMPUTED_VALUE"""),9.586394042255E12)</f>
        <v>9586394042255</v>
      </c>
      <c r="F11872" s="1"/>
      <c r="G11872" s="1">
        <f>IFERROR(__xludf.DUMMYFUNCTION("""COMPUTED_VALUE"""),1.25)</f>
        <v>1.25</v>
      </c>
      <c r="H11872" s="2">
        <f>IFERROR(__xludf.DUMMYFUNCTION("""COMPUTED_VALUE"""),1.25)</f>
        <v>1.25</v>
      </c>
      <c r="I11872" s="5">
        <f>IFERROR(__xludf.DUMMYFUNCTION("""COMPUTED_VALUE"""),1.0)</f>
        <v>1</v>
      </c>
      <c r="J11872" s="1" t="str">
        <f>IFERROR(__xludf.DUMMYFUNCTION("""COMPUTED_VALUE"""),"Vinz Lazaro")</f>
        <v>Vinz Lazaro</v>
      </c>
      <c r="K11872" s="1" t="str">
        <f>IFERROR(__xludf.DUMMYFUNCTION("""COMPUTED_VALUE"""),"Advanced Product Support")</f>
        <v>Advanced Product Support</v>
      </c>
      <c r="L11872" s="1" t="str">
        <f>IFERROR(__xludf.DUMMYFUNCTION("""COMPUTED_VALUE"""),"CPS Advanced Product Support (APS)")</f>
        <v>CPS Advanced Product Support (APS)</v>
      </c>
    </row>
    <row r="11873">
      <c r="A11873" s="1" t="str">
        <f>IFERROR(__xludf.DUMMYFUNCTION("""COMPUTED_VALUE"""),"2026 Apr")</f>
        <v>2026 Apr</v>
      </c>
      <c r="B11873" s="4">
        <f>IFERROR(__xludf.DUMMYFUNCTION("""COMPUTED_VALUE"""),46125.0)</f>
        <v>46125</v>
      </c>
      <c r="C11873" s="1" t="str">
        <f>IFERROR(__xludf.DUMMYFUNCTION("""COMPUTED_VALUE"""),"Print Support")</f>
        <v>Print Support</v>
      </c>
      <c r="D11873" s="1" t="str">
        <f>IFERROR(__xludf.DUMMYFUNCTION("""COMPUTED_VALUE"""),"9c6c901c-ce92-460f-9d6d-5ee12b03a1ec")</f>
        <v>9c6c901c-ce92-460f-9d6d-5ee12b03a1ec</v>
      </c>
      <c r="E11873" s="1"/>
      <c r="F11873" s="1"/>
      <c r="G11873" s="1"/>
      <c r="H11873" s="2">
        <f>IFERROR(__xludf.DUMMYFUNCTION("""COMPUTED_VALUE"""),0.0)</f>
        <v>0</v>
      </c>
      <c r="I11873" s="5"/>
      <c r="J11873" s="1" t="str">
        <f>IFERROR(__xludf.DUMMYFUNCTION("""COMPUTED_VALUE"""),"Rei De Jesus")</f>
        <v>Rei De Jesus</v>
      </c>
      <c r="K11873" s="1" t="str">
        <f>IFERROR(__xludf.DUMMYFUNCTION("""COMPUTED_VALUE"""),"Print Design Support")</f>
        <v>Print Design Support</v>
      </c>
      <c r="L11873" s="1" t="str">
        <f>IFERROR(__xludf.DUMMYFUNCTION("""COMPUTED_VALUE"""),"Print Print Design")</f>
        <v>Print Print Design</v>
      </c>
    </row>
    <row r="11874">
      <c r="A11874" s="1" t="str">
        <f>IFERROR(__xludf.DUMMYFUNCTION("""COMPUTED_VALUE"""),"2026 Apr")</f>
        <v>2026 Apr</v>
      </c>
      <c r="B11874" s="4">
        <f>IFERROR(__xludf.DUMMYFUNCTION("""COMPUTED_VALUE"""),46125.0)</f>
        <v>46125</v>
      </c>
      <c r="C11874" s="1" t="str">
        <f>IFERROR(__xludf.DUMMYFUNCTION("""COMPUTED_VALUE"""),"Core Product Support")</f>
        <v>Core Product Support</v>
      </c>
      <c r="D11874" s="1" t="str">
        <f>IFERROR(__xludf.DUMMYFUNCTION("""COMPUTED_VALUE"""),"cc817a63-c749-4aa1-ad3c-e3d33f5e04ff")</f>
        <v>cc817a63-c749-4aa1-ad3c-e3d33f5e04ff</v>
      </c>
      <c r="E11874" s="1">
        <f>IFERROR(__xludf.DUMMYFUNCTION("""COMPUTED_VALUE"""),5.566828557583E12)</f>
        <v>5566828557583</v>
      </c>
      <c r="F11874" s="1"/>
      <c r="G11874" s="1">
        <f>IFERROR(__xludf.DUMMYFUNCTION("""COMPUTED_VALUE"""),1.25)</f>
        <v>1.25</v>
      </c>
      <c r="H11874" s="2">
        <f>IFERROR(__xludf.DUMMYFUNCTION("""COMPUTED_VALUE"""),1.25)</f>
        <v>1.25</v>
      </c>
      <c r="I11874" s="5">
        <f>IFERROR(__xludf.DUMMYFUNCTION("""COMPUTED_VALUE"""),1.0)</f>
        <v>1</v>
      </c>
      <c r="J11874" s="1" t="str">
        <f>IFERROR(__xludf.DUMMYFUNCTION("""COMPUTED_VALUE"""),"Renette Bok")</f>
        <v>Renette Bok</v>
      </c>
      <c r="K11874" s="1" t="str">
        <f>IFERROR(__xludf.DUMMYFUNCTION("""COMPUTED_VALUE"""),"Advanced Billing &amp; Subscriptions")</f>
        <v>Advanced Billing &amp; Subscriptions</v>
      </c>
      <c r="L11874" s="1" t="str">
        <f>IFERROR(__xludf.DUMMYFUNCTION("""COMPUTED_VALUE"""),"CPS Advanced Billing and Subscriptions (ABS)")</f>
        <v>CPS Advanced Billing and Subscriptions (ABS)</v>
      </c>
    </row>
    <row r="11875">
      <c r="A11875" s="1" t="str">
        <f>IFERROR(__xludf.DUMMYFUNCTION("""COMPUTED_VALUE"""),"2026 Apr")</f>
        <v>2026 Apr</v>
      </c>
      <c r="B11875" s="4">
        <f>IFERROR(__xludf.DUMMYFUNCTION("""COMPUTED_VALUE"""),46125.0)</f>
        <v>46125</v>
      </c>
      <c r="C11875" s="1" t="str">
        <f>IFERROR(__xludf.DUMMYFUNCTION("""COMPUTED_VALUE"""),"Multilingual Support")</f>
        <v>Multilingual Support</v>
      </c>
      <c r="D11875" s="1" t="str">
        <f>IFERROR(__xludf.DUMMYFUNCTION("""COMPUTED_VALUE"""),"6f52f807-9641-4f21-b34f-312ae3e9b3c9")</f>
        <v>6f52f807-9641-4f21-b34f-312ae3e9b3c9</v>
      </c>
      <c r="E11875" s="1">
        <f>IFERROR(__xludf.DUMMYFUNCTION("""COMPUTED_VALUE"""),3.61724828456E11)</f>
        <v>361724828456</v>
      </c>
      <c r="F11875" s="1"/>
      <c r="G11875" s="1"/>
      <c r="H11875" s="2">
        <f>IFERROR(__xludf.DUMMYFUNCTION("""COMPUTED_VALUE"""),0.0)</f>
        <v>0</v>
      </c>
      <c r="I11875" s="5"/>
      <c r="J11875" s="1" t="str">
        <f>IFERROR(__xludf.DUMMYFUNCTION("""COMPUTED_VALUE"""),"Arlene Maurillo")</f>
        <v>Arlene Maurillo</v>
      </c>
      <c r="K11875" s="1" t="str">
        <f>IFERROR(__xludf.DUMMYFUNCTION("""COMPUTED_VALUE"""),"PHL, Multilingual Support")</f>
        <v>PHL, Multilingual Support</v>
      </c>
      <c r="L11875" s="1" t="str">
        <f>IFERROR(__xludf.DUMMYFUNCTION("""COMPUTED_VALUE"""),"ML Russian Support")</f>
        <v>ML Russian Support</v>
      </c>
    </row>
    <row r="11876">
      <c r="A11876" s="1" t="str">
        <f>IFERROR(__xludf.DUMMYFUNCTION("""COMPUTED_VALUE"""),"2026 Apr")</f>
        <v>2026 Apr</v>
      </c>
      <c r="B11876" s="4">
        <f>IFERROR(__xludf.DUMMYFUNCTION("""COMPUTED_VALUE"""),46125.0)</f>
        <v>46125</v>
      </c>
      <c r="C11876" s="1" t="str">
        <f>IFERROR(__xludf.DUMMYFUNCTION("""COMPUTED_VALUE"""),"Core Product Support")</f>
        <v>Core Product Support</v>
      </c>
      <c r="D11876" s="1" t="str">
        <f>IFERROR(__xludf.DUMMYFUNCTION("""COMPUTED_VALUE"""),"e9348ef0-6be7-4d18-8f01-bbb3181a2030")</f>
        <v>e9348ef0-6be7-4d18-8f01-bbb3181a2030</v>
      </c>
      <c r="E11876" s="1">
        <f>IFERROR(__xludf.DUMMYFUNCTION("""COMPUTED_VALUE"""),8.904451015951E12)</f>
        <v>8904451015951</v>
      </c>
      <c r="F11876" s="1"/>
      <c r="G11876" s="1">
        <f>IFERROR(__xludf.DUMMYFUNCTION("""COMPUTED_VALUE"""),1.25)</f>
        <v>1.25</v>
      </c>
      <c r="H11876" s="2">
        <f>IFERROR(__xludf.DUMMYFUNCTION("""COMPUTED_VALUE"""),1.25)</f>
        <v>1.25</v>
      </c>
      <c r="I11876" s="5">
        <f>IFERROR(__xludf.DUMMYFUNCTION("""COMPUTED_VALUE"""),1.0)</f>
        <v>1</v>
      </c>
      <c r="J11876" s="1" t="str">
        <f>IFERROR(__xludf.DUMMYFUNCTION("""COMPUTED_VALUE"""),"Ana Lazaro")</f>
        <v>Ana Lazaro</v>
      </c>
      <c r="K11876" s="1" t="str">
        <f>IFERROR(__xludf.DUMMYFUNCTION("""COMPUTED_VALUE"""),"Advanced Billing &amp; Subscriptions")</f>
        <v>Advanced Billing &amp; Subscriptions</v>
      </c>
      <c r="L11876" s="1" t="str">
        <f>IFERROR(__xludf.DUMMYFUNCTION("""COMPUTED_VALUE"""),"CPS Advanced Billing and Subscriptions (ABS)")</f>
        <v>CPS Advanced Billing and Subscriptions (ABS)</v>
      </c>
    </row>
    <row r="11877">
      <c r="A11877" s="1" t="str">
        <f>IFERROR(__xludf.DUMMYFUNCTION("""COMPUTED_VALUE"""),"2026 Apr")</f>
        <v>2026 Apr</v>
      </c>
      <c r="B11877" s="4">
        <f>IFERROR(__xludf.DUMMYFUNCTION("""COMPUTED_VALUE"""),46125.0)</f>
        <v>46125</v>
      </c>
      <c r="C11877" s="1" t="str">
        <f>IFERROR(__xludf.DUMMYFUNCTION("""COMPUTED_VALUE"""),"Core Product Support")</f>
        <v>Core Product Support</v>
      </c>
      <c r="D11877" s="1" t="str">
        <f>IFERROR(__xludf.DUMMYFUNCTION("""COMPUTED_VALUE"""),"5917755d-94e1-4bcf-b3d5-736f4efd635f")</f>
        <v>5917755d-94e1-4bcf-b3d5-736f4efd635f</v>
      </c>
      <c r="E11877" s="1">
        <f>IFERROR(__xludf.DUMMYFUNCTION("""COMPUTED_VALUE"""),3.61725488916E11)</f>
        <v>361725488916</v>
      </c>
      <c r="F11877" s="1"/>
      <c r="G11877" s="1">
        <f>IFERROR(__xludf.DUMMYFUNCTION("""COMPUTED_VALUE"""),2.5)</f>
        <v>2.5</v>
      </c>
      <c r="H11877" s="2">
        <f>IFERROR(__xludf.DUMMYFUNCTION("""COMPUTED_VALUE"""),2.5)</f>
        <v>2.5</v>
      </c>
      <c r="I11877" s="5">
        <f>IFERROR(__xludf.DUMMYFUNCTION("""COMPUTED_VALUE"""),1.0)</f>
        <v>1</v>
      </c>
      <c r="J11877" s="1" t="str">
        <f>IFERROR(__xludf.DUMMYFUNCTION("""COMPUTED_VALUE"""),"Jelyn Elmido")</f>
        <v>Jelyn Elmido</v>
      </c>
      <c r="K11877" s="1" t="str">
        <f>IFERROR(__xludf.DUMMYFUNCTION("""COMPUTED_VALUE"""),"Core Product Support Escalation Team")</f>
        <v>Core Product Support Escalation Team</v>
      </c>
      <c r="L11877"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878">
      <c r="A11878" s="1" t="str">
        <f>IFERROR(__xludf.DUMMYFUNCTION("""COMPUTED_VALUE"""),"2026 Apr")</f>
        <v>2026 Apr</v>
      </c>
      <c r="B11878" s="4">
        <f>IFERROR(__xludf.DUMMYFUNCTION("""COMPUTED_VALUE"""),46125.0)</f>
        <v>46125</v>
      </c>
      <c r="C11878" s="1" t="str">
        <f>IFERROR(__xludf.DUMMYFUNCTION("""COMPUTED_VALUE"""),"Admin Support")</f>
        <v>Admin Support</v>
      </c>
      <c r="D11878" s="1" t="str">
        <f>IFERROR(__xludf.DUMMYFUNCTION("""COMPUTED_VALUE"""),"869426c4-df7f-4a39-b2f3-8e70e583ed69")</f>
        <v>869426c4-df7f-4a39-b2f3-8e70e583ed69</v>
      </c>
      <c r="E11878" s="1">
        <f>IFERROR(__xludf.DUMMYFUNCTION("""COMPUTED_VALUE"""),3.61725115636E11)</f>
        <v>361725115636</v>
      </c>
      <c r="F11878" s="1"/>
      <c r="G11878" s="1">
        <f>IFERROR(__xludf.DUMMYFUNCTION("""COMPUTED_VALUE"""),0.25)</f>
        <v>0.25</v>
      </c>
      <c r="H11878" s="2">
        <f>IFERROR(__xludf.DUMMYFUNCTION("""COMPUTED_VALUE"""),0.25)</f>
        <v>0.25</v>
      </c>
      <c r="I11878" s="5">
        <f>IFERROR(__xludf.DUMMYFUNCTION("""COMPUTED_VALUE"""),1.0)</f>
        <v>1</v>
      </c>
      <c r="J11878" s="1" t="str">
        <f>IFERROR(__xludf.DUMMYFUNCTION("""COMPUTED_VALUE"""),"Pau Palmero")</f>
        <v>Pau Palmero</v>
      </c>
      <c r="K11878" s="1" t="str">
        <f>IFERROR(__xludf.DUMMYFUNCTION("""COMPUTED_VALUE"""),"Admin Omni Support")</f>
        <v>Admin Omni Support</v>
      </c>
      <c r="L11878" s="1" t="str">
        <f>IFERROR(__xludf.DUMMYFUNCTION("""COMPUTED_VALUE"""),"Admin Omni Support")</f>
        <v>Admin Omni Support</v>
      </c>
    </row>
    <row r="11879">
      <c r="A11879" s="1" t="str">
        <f>IFERROR(__xludf.DUMMYFUNCTION("""COMPUTED_VALUE"""),"2026 Apr")</f>
        <v>2026 Apr</v>
      </c>
      <c r="B11879" s="4">
        <f>IFERROR(__xludf.DUMMYFUNCTION("""COMPUTED_VALUE"""),46125.0)</f>
        <v>46125</v>
      </c>
      <c r="C11879" s="1" t="str">
        <f>IFERROR(__xludf.DUMMYFUNCTION("""COMPUTED_VALUE"""),"Print Support")</f>
        <v>Print Support</v>
      </c>
      <c r="D11879" s="1" t="str">
        <f>IFERROR(__xludf.DUMMYFUNCTION("""COMPUTED_VALUE"""),"cb7f900d-e2ff-4ff8-b74f-c2db90bdfb62")</f>
        <v>cb7f900d-e2ff-4ff8-b74f-c2db90bdfb62</v>
      </c>
      <c r="E11879" s="1">
        <f>IFERROR(__xludf.DUMMYFUNCTION("""COMPUTED_VALUE"""),3.61750052875E11)</f>
        <v>361750052875</v>
      </c>
      <c r="F11879" s="1"/>
      <c r="G11879" s="1"/>
      <c r="H11879" s="2">
        <f>IFERROR(__xludf.DUMMYFUNCTION("""COMPUTED_VALUE"""),0.0)</f>
        <v>0</v>
      </c>
      <c r="I11879" s="5"/>
      <c r="J11879" s="1" t="str">
        <f>IFERROR(__xludf.DUMMYFUNCTION("""COMPUTED_VALUE"""),"Jen Momo")</f>
        <v>Jen Momo</v>
      </c>
      <c r="K11879" s="1" t="str">
        <f>IFERROR(__xludf.DUMMYFUNCTION("""COMPUTED_VALUE"""),"Print Support PH")</f>
        <v>Print Support PH</v>
      </c>
      <c r="L11879" s="1" t="str">
        <f>IFERROR(__xludf.DUMMYFUNCTION("""COMPUTED_VALUE"""),"Print Print - CHT")</f>
        <v>Print Print - CHT</v>
      </c>
    </row>
    <row r="11880">
      <c r="A11880" s="1" t="str">
        <f>IFERROR(__xludf.DUMMYFUNCTION("""COMPUTED_VALUE"""),"2026 Apr")</f>
        <v>2026 Apr</v>
      </c>
      <c r="B11880" s="4">
        <f>IFERROR(__xludf.DUMMYFUNCTION("""COMPUTED_VALUE"""),46132.0)</f>
        <v>46132</v>
      </c>
      <c r="C11880" s="1" t="str">
        <f>IFERROR(__xludf.DUMMYFUNCTION("""COMPUTED_VALUE"""),"Segment-specific Support")</f>
        <v>Segment-specific Support</v>
      </c>
      <c r="D11880" s="1" t="str">
        <f>IFERROR(__xludf.DUMMYFUNCTION("""COMPUTED_VALUE"""),"71cc12d6-81ad-4480-9557-ff6a318e3277")</f>
        <v>71cc12d6-81ad-4480-9557-ff6a318e3277</v>
      </c>
      <c r="E11880" s="1">
        <f>IFERROR(__xludf.DUMMYFUNCTION("""COMPUTED_VALUE"""),3.61726424776E11)</f>
        <v>361726424776</v>
      </c>
      <c r="F11880" s="1"/>
      <c r="G11880" s="1"/>
      <c r="H11880" s="2">
        <f>IFERROR(__xludf.DUMMYFUNCTION("""COMPUTED_VALUE"""),0.0)</f>
        <v>0</v>
      </c>
      <c r="I11880" s="5"/>
      <c r="J11880" s="1" t="str">
        <f>IFERROR(__xludf.DUMMYFUNCTION("""COMPUTED_VALUE"""),"Jonathan Dimaculangan")</f>
        <v>Jonathan Dimaculangan</v>
      </c>
      <c r="K11880" s="1" t="str">
        <f>IFERROR(__xludf.DUMMYFUNCTION("""COMPUTED_VALUE"""),"Flourish Support")</f>
        <v>Flourish Support</v>
      </c>
      <c r="L11880" s="1" t="str">
        <f>IFERROR(__xludf.DUMMYFUNCTION("""COMPUTED_VALUE"""),"SSS Flourish")</f>
        <v>SSS Flourish</v>
      </c>
    </row>
    <row r="11881">
      <c r="A11881" s="1" t="str">
        <f>IFERROR(__xludf.DUMMYFUNCTION("""COMPUTED_VALUE"""),"2026 Apr")</f>
        <v>2026 Apr</v>
      </c>
      <c r="B11881" s="4">
        <f>IFERROR(__xludf.DUMMYFUNCTION("""COMPUTED_VALUE"""),46132.0)</f>
        <v>46132</v>
      </c>
      <c r="C11881" s="1" t="str">
        <f>IFERROR(__xludf.DUMMYFUNCTION("""COMPUTED_VALUE"""),"Core Product Support")</f>
        <v>Core Product Support</v>
      </c>
      <c r="D11881" s="1" t="str">
        <f>IFERROR(__xludf.DUMMYFUNCTION("""COMPUTED_VALUE"""),"ed8e075f-7119-4833-8af3-4c353a3fdda1")</f>
        <v>ed8e075f-7119-4833-8af3-4c353a3fdda1</v>
      </c>
      <c r="E11881" s="1">
        <f>IFERROR(__xludf.DUMMYFUNCTION("""COMPUTED_VALUE"""),4.502516921487E12)</f>
        <v>4502516921487</v>
      </c>
      <c r="F11881" s="1"/>
      <c r="G11881" s="1">
        <f>IFERROR(__xludf.DUMMYFUNCTION("""COMPUTED_VALUE"""),1.25)</f>
        <v>1.25</v>
      </c>
      <c r="H11881" s="2">
        <f>IFERROR(__xludf.DUMMYFUNCTION("""COMPUTED_VALUE"""),1.25)</f>
        <v>1.25</v>
      </c>
      <c r="I11881" s="5">
        <f>IFERROR(__xludf.DUMMYFUNCTION("""COMPUTED_VALUE"""),1.0)</f>
        <v>1</v>
      </c>
      <c r="J11881" s="1" t="str">
        <f>IFERROR(__xludf.DUMMYFUNCTION("""COMPUTED_VALUE"""),"Jem Mondoñedo")</f>
        <v>Jem Mondoñedo</v>
      </c>
      <c r="K11881" s="1" t="str">
        <f>IFERROR(__xludf.DUMMYFUNCTION("""COMPUTED_VALUE"""),"Advanced Billing &amp; Subscriptions")</f>
        <v>Advanced Billing &amp; Subscriptions</v>
      </c>
      <c r="L11881" s="1" t="str">
        <f>IFERROR(__xludf.DUMMYFUNCTION("""COMPUTED_VALUE"""),"CPS Advanced Billing and Subscriptions (ABS)")</f>
        <v>CPS Advanced Billing and Subscriptions (ABS)</v>
      </c>
    </row>
    <row r="11882">
      <c r="A11882" s="1" t="str">
        <f>IFERROR(__xludf.DUMMYFUNCTION("""COMPUTED_VALUE"""),"2026 Apr")</f>
        <v>2026 Apr</v>
      </c>
      <c r="B11882" s="4">
        <f>IFERROR(__xludf.DUMMYFUNCTION("""COMPUTED_VALUE"""),46132.0)</f>
        <v>46132</v>
      </c>
      <c r="C11882" s="1" t="str">
        <f>IFERROR(__xludf.DUMMYFUNCTION("""COMPUTED_VALUE"""),"Admin Support")</f>
        <v>Admin Support</v>
      </c>
      <c r="D11882" s="1" t="str">
        <f>IFERROR(__xludf.DUMMYFUNCTION("""COMPUTED_VALUE"""),"000279e3-fb19-4b90-a95c-080adc98c9aa")</f>
        <v>000279e3-fb19-4b90-a95c-080adc98c9aa</v>
      </c>
      <c r="E11882" s="1">
        <f>IFERROR(__xludf.DUMMYFUNCTION("""COMPUTED_VALUE"""),3.61861297935E11)</f>
        <v>361861297935</v>
      </c>
      <c r="F11882" s="1"/>
      <c r="G11882" s="1">
        <f>IFERROR(__xludf.DUMMYFUNCTION("""COMPUTED_VALUE"""),0.25)</f>
        <v>0.25</v>
      </c>
      <c r="H11882" s="2">
        <f>IFERROR(__xludf.DUMMYFUNCTION("""COMPUTED_VALUE"""),0.25)</f>
        <v>0.25</v>
      </c>
      <c r="I11882" s="5">
        <f>IFERROR(__xludf.DUMMYFUNCTION("""COMPUTED_VALUE"""),1.0)</f>
        <v>1</v>
      </c>
      <c r="J11882" s="1" t="str">
        <f>IFERROR(__xludf.DUMMYFUNCTION("""COMPUTED_VALUE"""),"AL Suarez")</f>
        <v>AL Suarez</v>
      </c>
      <c r="K11882" s="1" t="str">
        <f>IFERROR(__xludf.DUMMYFUNCTION("""COMPUTED_VALUE"""),"Advanced Billing &amp; Subscriptions")</f>
        <v>Advanced Billing &amp; Subscriptions</v>
      </c>
      <c r="L11882" s="1" t="str">
        <f>IFERROR(__xludf.DUMMYFUNCTION("""COMPUTED_VALUE"""),"CPS Advanced Billing and Subscriptions (ABS)")</f>
        <v>CPS Advanced Billing and Subscriptions (ABS)</v>
      </c>
    </row>
    <row r="11883">
      <c r="A11883" s="1" t="str">
        <f>IFERROR(__xludf.DUMMYFUNCTION("""COMPUTED_VALUE"""),"2026 Apr")</f>
        <v>2026 Apr</v>
      </c>
      <c r="B11883" s="4">
        <f>IFERROR(__xludf.DUMMYFUNCTION("""COMPUTED_VALUE"""),46132.0)</f>
        <v>46132</v>
      </c>
      <c r="C11883" s="1" t="str">
        <f>IFERROR(__xludf.DUMMYFUNCTION("""COMPUTED_VALUE"""),"Print Support")</f>
        <v>Print Support</v>
      </c>
      <c r="D11883" s="1" t="str">
        <f>IFERROR(__xludf.DUMMYFUNCTION("""COMPUTED_VALUE"""),"61035b18-fc2e-492c-ae7d-227048511bcf")</f>
        <v>61035b18-fc2e-492c-ae7d-227048511bcf</v>
      </c>
      <c r="E11883" s="1"/>
      <c r="F11883" s="1"/>
      <c r="G11883" s="1"/>
      <c r="H11883" s="2">
        <f>IFERROR(__xludf.DUMMYFUNCTION("""COMPUTED_VALUE"""),0.0)</f>
        <v>0</v>
      </c>
      <c r="I11883" s="5"/>
      <c r="J11883" s="1" t="str">
        <f>IFERROR(__xludf.DUMMYFUNCTION("""COMPUTED_VALUE"""),"Gem Agoncillo")</f>
        <v>Gem Agoncillo</v>
      </c>
      <c r="K11883" s="1" t="str">
        <f>IFERROR(__xludf.DUMMYFUNCTION("""COMPUTED_VALUE"""),"Print Design Support")</f>
        <v>Print Design Support</v>
      </c>
      <c r="L11883" s="1" t="str">
        <f>IFERROR(__xludf.DUMMYFUNCTION("""COMPUTED_VALUE"""),"Print Print Design")</f>
        <v>Print Print Design</v>
      </c>
    </row>
    <row r="11884">
      <c r="A11884" s="1" t="str">
        <f>IFERROR(__xludf.DUMMYFUNCTION("""COMPUTED_VALUE"""),"2026 Apr")</f>
        <v>2026 Apr</v>
      </c>
      <c r="B11884" s="4">
        <f>IFERROR(__xludf.DUMMYFUNCTION("""COMPUTED_VALUE"""),46132.0)</f>
        <v>46132</v>
      </c>
      <c r="C11884" s="1" t="str">
        <f>IFERROR(__xludf.DUMMYFUNCTION("""COMPUTED_VALUE"""),"Core Product Support")</f>
        <v>Core Product Support</v>
      </c>
      <c r="D11884" s="1" t="str">
        <f>IFERROR(__xludf.DUMMYFUNCTION("""COMPUTED_VALUE"""),"7f6e3175-f6cd-4a70-93aa-118856f83921")</f>
        <v>7f6e3175-f6cd-4a70-93aa-118856f83921</v>
      </c>
      <c r="E11884" s="1">
        <f>IFERROR(__xludf.DUMMYFUNCTION("""COMPUTED_VALUE"""),1.0333019153039E13)</f>
        <v>10333019153039</v>
      </c>
      <c r="F11884" s="1"/>
      <c r="G11884" s="1">
        <f>IFERROR(__xludf.DUMMYFUNCTION("""COMPUTED_VALUE"""),1.25)</f>
        <v>1.25</v>
      </c>
      <c r="H11884" s="2">
        <f>IFERROR(__xludf.DUMMYFUNCTION("""COMPUTED_VALUE"""),1.25)</f>
        <v>1.25</v>
      </c>
      <c r="I11884" s="5">
        <f>IFERROR(__xludf.DUMMYFUNCTION("""COMPUTED_VALUE"""),1.0)</f>
        <v>1</v>
      </c>
      <c r="J11884" s="1" t="str">
        <f>IFERROR(__xludf.DUMMYFUNCTION("""COMPUTED_VALUE"""),"Belle Bentazal")</f>
        <v>Belle Bentazal</v>
      </c>
      <c r="K11884" s="1" t="str">
        <f>IFERROR(__xludf.DUMMYFUNCTION("""COMPUTED_VALUE"""),"Advanced Product Support")</f>
        <v>Advanced Product Support</v>
      </c>
      <c r="L11884" s="1" t="str">
        <f>IFERROR(__xludf.DUMMYFUNCTION("""COMPUTED_VALUE"""),"CPS Advanced Product Support (APS)")</f>
        <v>CPS Advanced Product Support (APS)</v>
      </c>
    </row>
    <row r="11885">
      <c r="A11885" s="1" t="str">
        <f>IFERROR(__xludf.DUMMYFUNCTION("""COMPUTED_VALUE"""),"2026 Apr")</f>
        <v>2026 Apr</v>
      </c>
      <c r="B11885" s="4">
        <f>IFERROR(__xludf.DUMMYFUNCTION("""COMPUTED_VALUE"""),46132.0)</f>
        <v>46132</v>
      </c>
      <c r="C11885" s="1" t="str">
        <f>IFERROR(__xludf.DUMMYFUNCTION("""COMPUTED_VALUE"""),"Segment-specific Support")</f>
        <v>Segment-specific Support</v>
      </c>
      <c r="D11885" s="1" t="str">
        <f>IFERROR(__xludf.DUMMYFUNCTION("""COMPUTED_VALUE"""),"8941a42e-630f-4e32-ac1a-aa9495a2b319")</f>
        <v>8941a42e-630f-4e32-ac1a-aa9495a2b319</v>
      </c>
      <c r="E11885" s="1">
        <f>IFERROR(__xludf.DUMMYFUNCTION("""COMPUTED_VALUE"""),3.61731514775E11)</f>
        <v>361731514775</v>
      </c>
      <c r="F11885" s="1"/>
      <c r="G11885" s="1"/>
      <c r="H11885" s="2">
        <f>IFERROR(__xludf.DUMMYFUNCTION("""COMPUTED_VALUE"""),0.0)</f>
        <v>0</v>
      </c>
      <c r="I11885" s="5"/>
      <c r="J11885" s="1" t="str">
        <f>IFERROR(__xludf.DUMMYFUNCTION("""COMPUTED_VALUE"""),"Aileen Dayanghirang")</f>
        <v>Aileen Dayanghirang</v>
      </c>
      <c r="K11885" s="1" t="str">
        <f>IFERROR(__xludf.DUMMYFUNCTION("""COMPUTED_VALUE"""),"Creators Support")</f>
        <v>Creators Support</v>
      </c>
      <c r="L11885" s="1" t="str">
        <f>IFERROR(__xludf.DUMMYFUNCTION("""COMPUTED_VALUE"""),"SSS Creators")</f>
        <v>SSS Creators</v>
      </c>
    </row>
    <row r="11886">
      <c r="A11886" s="1" t="str">
        <f>IFERROR(__xludf.DUMMYFUNCTION("""COMPUTED_VALUE"""),"2026 Apr")</f>
        <v>2026 Apr</v>
      </c>
      <c r="B11886" s="4">
        <f>IFERROR(__xludf.DUMMYFUNCTION("""COMPUTED_VALUE"""),46132.0)</f>
        <v>46132</v>
      </c>
      <c r="C11886" s="1" t="str">
        <f>IFERROR(__xludf.DUMMYFUNCTION("""COMPUTED_VALUE"""),"Segment-specific Support")</f>
        <v>Segment-specific Support</v>
      </c>
      <c r="D11886" s="1" t="str">
        <f>IFERROR(__xludf.DUMMYFUNCTION("""COMPUTED_VALUE"""),"dfd09cbc-1248-47f6-96ff-bb4b2c38ce63")</f>
        <v>dfd09cbc-1248-47f6-96ff-bb4b2c38ce63</v>
      </c>
      <c r="E11886" s="1">
        <f>IFERROR(__xludf.DUMMYFUNCTION("""COMPUTED_VALUE"""),3.61725262736E11)</f>
        <v>361725262736</v>
      </c>
      <c r="F11886" s="1"/>
      <c r="G11886" s="1"/>
      <c r="H11886" s="2">
        <f>IFERROR(__xludf.DUMMYFUNCTION("""COMPUTED_VALUE"""),0.0)</f>
        <v>0</v>
      </c>
      <c r="I11886" s="5"/>
      <c r="J11886" s="1" t="str">
        <f>IFERROR(__xludf.DUMMYFUNCTION("""COMPUTED_VALUE"""),"Gucci Nava")</f>
        <v>Gucci Nava</v>
      </c>
      <c r="K11886" s="1" t="str">
        <f>IFERROR(__xludf.DUMMYFUNCTION("""COMPUTED_VALUE"""),"Affinity Support")</f>
        <v>Affinity Support</v>
      </c>
      <c r="L11886" s="1" t="str">
        <f>IFERROR(__xludf.DUMMYFUNCTION("""COMPUTED_VALUE"""),"SSS Affinity - L1")</f>
        <v>SSS Affinity - L1</v>
      </c>
    </row>
    <row r="11887">
      <c r="A11887" s="1" t="str">
        <f>IFERROR(__xludf.DUMMYFUNCTION("""COMPUTED_VALUE"""),"2026 Apr")</f>
        <v>2026 Apr</v>
      </c>
      <c r="B11887" s="4">
        <f>IFERROR(__xludf.DUMMYFUNCTION("""COMPUTED_VALUE"""),46132.0)</f>
        <v>46132</v>
      </c>
      <c r="C11887" s="1" t="str">
        <f>IFERROR(__xludf.DUMMYFUNCTION("""COMPUTED_VALUE"""),"Segment-specific Support")</f>
        <v>Segment-specific Support</v>
      </c>
      <c r="D11887" s="1" t="str">
        <f>IFERROR(__xludf.DUMMYFUNCTION("""COMPUTED_VALUE"""),"14ab0e6b-ba36-4083-a4df-79ae04c36179")</f>
        <v>14ab0e6b-ba36-4083-a4df-79ae04c36179</v>
      </c>
      <c r="E11887" s="1">
        <f>IFERROR(__xludf.DUMMYFUNCTION("""COMPUTED_VALUE"""),1.0548580059023E13)</f>
        <v>10548580059023</v>
      </c>
      <c r="F11887" s="1"/>
      <c r="G11887" s="1"/>
      <c r="H11887" s="2">
        <f>IFERROR(__xludf.DUMMYFUNCTION("""COMPUTED_VALUE"""),0.0)</f>
        <v>0</v>
      </c>
      <c r="I11887" s="5"/>
      <c r="J11887" s="1" t="str">
        <f>IFERROR(__xludf.DUMMYFUNCTION("""COMPUTED_VALUE"""),"Jonathan Dimaculangan")</f>
        <v>Jonathan Dimaculangan</v>
      </c>
      <c r="K11887" s="1" t="str">
        <f>IFERROR(__xludf.DUMMYFUNCTION("""COMPUTED_VALUE"""),"Flourish Support")</f>
        <v>Flourish Support</v>
      </c>
      <c r="L11887" s="1" t="str">
        <f>IFERROR(__xludf.DUMMYFUNCTION("""COMPUTED_VALUE"""),"SSS Flourish")</f>
        <v>SSS Flourish</v>
      </c>
    </row>
    <row r="11888">
      <c r="A11888" s="1" t="str">
        <f>IFERROR(__xludf.DUMMYFUNCTION("""COMPUTED_VALUE"""),"2026 Apr")</f>
        <v>2026 Apr</v>
      </c>
      <c r="B11888" s="4">
        <f>IFERROR(__xludf.DUMMYFUNCTION("""COMPUTED_VALUE"""),46132.0)</f>
        <v>46132</v>
      </c>
      <c r="C11888" s="1" t="str">
        <f>IFERROR(__xludf.DUMMYFUNCTION("""COMPUTED_VALUE"""),"Admin Support")</f>
        <v>Admin Support</v>
      </c>
      <c r="D11888" s="1" t="str">
        <f>IFERROR(__xludf.DUMMYFUNCTION("""COMPUTED_VALUE"""),"37c57b4f-487c-4c75-8926-0d22cc125dcf")</f>
        <v>37c57b4f-487c-4c75-8926-0d22cc125dcf</v>
      </c>
      <c r="E11888" s="1">
        <f>IFERROR(__xludf.DUMMYFUNCTION("""COMPUTED_VALUE"""),9.153765932815E12)</f>
        <v>9153765932815</v>
      </c>
      <c r="F11888" s="1"/>
      <c r="G11888" s="1"/>
      <c r="H11888" s="2">
        <f>IFERROR(__xludf.DUMMYFUNCTION("""COMPUTED_VALUE"""),0.0)</f>
        <v>0</v>
      </c>
      <c r="I11888" s="5"/>
      <c r="J11888" s="1" t="str">
        <f>IFERROR(__xludf.DUMMYFUNCTION("""COMPUTED_VALUE"""),"Tash Kelly")</f>
        <v>Tash Kelly</v>
      </c>
      <c r="K11888" s="1" t="str">
        <f>IFERROR(__xludf.DUMMYFUNCTION("""COMPUTED_VALUE"""),"Admin Support EMEA")</f>
        <v>Admin Support EMEA</v>
      </c>
      <c r="L11888" s="1" t="str">
        <f>IFERROR(__xludf.DUMMYFUNCTION("""COMPUTED_VALUE"""),"Admin EMEA")</f>
        <v>Admin EMEA</v>
      </c>
    </row>
    <row r="11889">
      <c r="A11889" s="1" t="str">
        <f>IFERROR(__xludf.DUMMYFUNCTION("""COMPUTED_VALUE"""),"2026 Apr")</f>
        <v>2026 Apr</v>
      </c>
      <c r="B11889" s="4">
        <f>IFERROR(__xludf.DUMMYFUNCTION("""COMPUTED_VALUE"""),46132.0)</f>
        <v>46132</v>
      </c>
      <c r="C11889" s="1" t="str">
        <f>IFERROR(__xludf.DUMMYFUNCTION("""COMPUTED_VALUE"""),"Segment-specific Support")</f>
        <v>Segment-specific Support</v>
      </c>
      <c r="D11889" s="1" t="str">
        <f>IFERROR(__xludf.DUMMYFUNCTION("""COMPUTED_VALUE"""),"745adc44-2fda-43ea-bdcd-39c28e369ddc")</f>
        <v>745adc44-2fda-43ea-bdcd-39c28e369ddc</v>
      </c>
      <c r="E11889" s="1">
        <f>IFERROR(__xludf.DUMMYFUNCTION("""COMPUTED_VALUE"""),3.61731943495E11)</f>
        <v>361731943495</v>
      </c>
      <c r="F11889" s="1"/>
      <c r="G11889" s="1"/>
      <c r="H11889" s="2">
        <f>IFERROR(__xludf.DUMMYFUNCTION("""COMPUTED_VALUE"""),0.0)</f>
        <v>0</v>
      </c>
      <c r="I11889" s="5"/>
      <c r="J11889" s="1" t="str">
        <f>IFERROR(__xludf.DUMMYFUNCTION("""COMPUTED_VALUE"""),"Rose Gabilan")</f>
        <v>Rose Gabilan</v>
      </c>
      <c r="K11889" s="1" t="str">
        <f>IFERROR(__xludf.DUMMYFUNCTION("""COMPUTED_VALUE"""),"Affinity Support")</f>
        <v>Affinity Support</v>
      </c>
      <c r="L11889" s="1" t="str">
        <f>IFERROR(__xludf.DUMMYFUNCTION("""COMPUTED_VALUE"""),"SSS Affinity - L1")</f>
        <v>SSS Affinity - L1</v>
      </c>
    </row>
    <row r="11890">
      <c r="A11890" s="1" t="str">
        <f>IFERROR(__xludf.DUMMYFUNCTION("""COMPUTED_VALUE"""),"2026 Apr")</f>
        <v>2026 Apr</v>
      </c>
      <c r="B11890" s="4">
        <f>IFERROR(__xludf.DUMMYFUNCTION("""COMPUTED_VALUE"""),46132.0)</f>
        <v>46132</v>
      </c>
      <c r="C11890" s="1" t="str">
        <f>IFERROR(__xludf.DUMMYFUNCTION("""COMPUTED_VALUE"""),"Print Support")</f>
        <v>Print Support</v>
      </c>
      <c r="D11890" s="1" t="str">
        <f>IFERROR(__xludf.DUMMYFUNCTION("""COMPUTED_VALUE"""),"98326c76-87c9-4e59-a377-8cc144d863d0")</f>
        <v>98326c76-87c9-4e59-a377-8cc144d863d0</v>
      </c>
      <c r="E11890" s="1">
        <f>IFERROR(__xludf.DUMMYFUNCTION("""COMPUTED_VALUE"""),5.902016055567E12)</f>
        <v>5902016055567</v>
      </c>
      <c r="F11890" s="1"/>
      <c r="G11890" s="1"/>
      <c r="H11890" s="2">
        <f>IFERROR(__xludf.DUMMYFUNCTION("""COMPUTED_VALUE"""),0.0)</f>
        <v>0</v>
      </c>
      <c r="I11890" s="5"/>
      <c r="J11890" s="1" t="str">
        <f>IFERROR(__xludf.DUMMYFUNCTION("""COMPUTED_VALUE"""),"Rae Erlano")</f>
        <v>Rae Erlano</v>
      </c>
      <c r="K11890" s="1" t="str">
        <f>IFERROR(__xludf.DUMMYFUNCTION("""COMPUTED_VALUE"""),"Print Support PH")</f>
        <v>Print Support PH</v>
      </c>
      <c r="L11890" s="1" t="str">
        <f>IFERROR(__xludf.DUMMYFUNCTION("""COMPUTED_VALUE"""),"Print Print - SEE")</f>
        <v>Print Print - SEE</v>
      </c>
    </row>
    <row r="11891">
      <c r="A11891" s="1" t="str">
        <f>IFERROR(__xludf.DUMMYFUNCTION("""COMPUTED_VALUE"""),"2026 Apr")</f>
        <v>2026 Apr</v>
      </c>
      <c r="B11891" s="4">
        <f>IFERROR(__xludf.DUMMYFUNCTION("""COMPUTED_VALUE"""),46132.0)</f>
        <v>46132</v>
      </c>
      <c r="C11891" s="1" t="str">
        <f>IFERROR(__xludf.DUMMYFUNCTION("""COMPUTED_VALUE"""),"Print Support")</f>
        <v>Print Support</v>
      </c>
      <c r="D11891" s="1" t="str">
        <f>IFERROR(__xludf.DUMMYFUNCTION("""COMPUTED_VALUE"""),"233133e3-a3d0-492d-bb55-8a7c4ffc4966")</f>
        <v>233133e3-a3d0-492d-bb55-8a7c4ffc4966</v>
      </c>
      <c r="E11891" s="1">
        <f>IFERROR(__xludf.DUMMYFUNCTION("""COMPUTED_VALUE"""),5.902016026895E12)</f>
        <v>5902016026895</v>
      </c>
      <c r="F11891" s="1"/>
      <c r="G11891" s="1"/>
      <c r="H11891" s="2">
        <f>IFERROR(__xludf.DUMMYFUNCTION("""COMPUTED_VALUE"""),0.0)</f>
        <v>0</v>
      </c>
      <c r="I11891" s="5"/>
      <c r="J11891" s="1" t="str">
        <f>IFERROR(__xludf.DUMMYFUNCTION("""COMPUTED_VALUE"""),"Althea Mercado")</f>
        <v>Althea Mercado</v>
      </c>
      <c r="K11891" s="1" t="str">
        <f>IFERROR(__xludf.DUMMYFUNCTION("""COMPUTED_VALUE"""),"Print Support PH")</f>
        <v>Print Support PH</v>
      </c>
      <c r="L11891" s="1" t="str">
        <f>IFERROR(__xludf.DUMMYFUNCTION("""COMPUTED_VALUE"""),"Print Print - CHT")</f>
        <v>Print Print - CHT</v>
      </c>
    </row>
    <row r="11892">
      <c r="A11892" s="1" t="str">
        <f>IFERROR(__xludf.DUMMYFUNCTION("""COMPUTED_VALUE"""),"2026 Apr")</f>
        <v>2026 Apr</v>
      </c>
      <c r="B11892" s="4">
        <f>IFERROR(__xludf.DUMMYFUNCTION("""COMPUTED_VALUE"""),46132.0)</f>
        <v>46132</v>
      </c>
      <c r="C11892" s="1" t="str">
        <f>IFERROR(__xludf.DUMMYFUNCTION("""COMPUTED_VALUE"""),"Print Support")</f>
        <v>Print Support</v>
      </c>
      <c r="D11892" s="1" t="str">
        <f>IFERROR(__xludf.DUMMYFUNCTION("""COMPUTED_VALUE"""),"0dc0eea0-be83-425b-9b40-b42bc444972b")</f>
        <v>0dc0eea0-be83-425b-9b40-b42bc444972b</v>
      </c>
      <c r="E11892" s="1"/>
      <c r="F11892" s="1"/>
      <c r="G11892" s="1"/>
      <c r="H11892" s="2">
        <f>IFERROR(__xludf.DUMMYFUNCTION("""COMPUTED_VALUE"""),0.0)</f>
        <v>0</v>
      </c>
      <c r="I11892" s="5"/>
      <c r="J11892" s="1" t="str">
        <f>IFERROR(__xludf.DUMMYFUNCTION("""COMPUTED_VALUE"""),"G-Anne Murillo")</f>
        <v>G-Anne Murillo</v>
      </c>
      <c r="K11892" s="1" t="str">
        <f>IFERROR(__xludf.DUMMYFUNCTION("""COMPUTED_VALUE"""),"Print Design Support")</f>
        <v>Print Design Support</v>
      </c>
      <c r="L11892" s="1" t="str">
        <f>IFERROR(__xludf.DUMMYFUNCTION("""COMPUTED_VALUE"""),"Print Print Design")</f>
        <v>Print Print Design</v>
      </c>
    </row>
    <row r="11893">
      <c r="A11893" s="1" t="str">
        <f>IFERROR(__xludf.DUMMYFUNCTION("""COMPUTED_VALUE"""),"2026 Apr")</f>
        <v>2026 Apr</v>
      </c>
      <c r="B11893" s="4">
        <f>IFERROR(__xludf.DUMMYFUNCTION("""COMPUTED_VALUE"""),46132.0)</f>
        <v>46132</v>
      </c>
      <c r="C11893" s="1" t="str">
        <f>IFERROR(__xludf.DUMMYFUNCTION("""COMPUTED_VALUE"""),"High Sensitivity Support")</f>
        <v>High Sensitivity Support</v>
      </c>
      <c r="D11893" s="1" t="str">
        <f>IFERROR(__xludf.DUMMYFUNCTION("""COMPUTED_VALUE"""),"63913765-f42c-45e4-8f9a-eb96d52c2d61")</f>
        <v>63913765-f42c-45e4-8f9a-eb96d52c2d61</v>
      </c>
      <c r="E11893" s="1">
        <f>IFERROR(__xludf.DUMMYFUNCTION("""COMPUTED_VALUE"""),1.0333018822031E13)</f>
        <v>10333018822031</v>
      </c>
      <c r="F11893" s="1"/>
      <c r="G11893" s="1"/>
      <c r="H11893" s="2">
        <f>IFERROR(__xludf.DUMMYFUNCTION("""COMPUTED_VALUE"""),0.0)</f>
        <v>0</v>
      </c>
      <c r="I11893" s="5"/>
      <c r="J11893" s="1" t="str">
        <f>IFERROR(__xludf.DUMMYFUNCTION("""COMPUTED_VALUE"""),"Rex Villamor")</f>
        <v>Rex Villamor</v>
      </c>
      <c r="K11893" s="1" t="str">
        <f>IFERROR(__xludf.DUMMYFUNCTION("""COMPUTED_VALUE"""),"Advanced Product Support")</f>
        <v>Advanced Product Support</v>
      </c>
      <c r="L11893" s="1" t="str">
        <f>IFERROR(__xludf.DUMMYFUNCTION("""COMPUTED_VALUE"""),"CPS Advanced Product Support (APS)")</f>
        <v>CPS Advanced Product Support (APS)</v>
      </c>
    </row>
    <row r="11894">
      <c r="A11894" s="1" t="str">
        <f>IFERROR(__xludf.DUMMYFUNCTION("""COMPUTED_VALUE"""),"2026 Apr")</f>
        <v>2026 Apr</v>
      </c>
      <c r="B11894" s="4">
        <f>IFERROR(__xludf.DUMMYFUNCTION("""COMPUTED_VALUE"""),46132.0)</f>
        <v>46132</v>
      </c>
      <c r="C11894" s="1" t="str">
        <f>IFERROR(__xludf.DUMMYFUNCTION("""COMPUTED_VALUE"""),"Core Product Support")</f>
        <v>Core Product Support</v>
      </c>
      <c r="D11894" s="1" t="str">
        <f>IFERROR(__xludf.DUMMYFUNCTION("""COMPUTED_VALUE"""),"ab157f99-7ffd-4d9d-9c79-c3cf66911088")</f>
        <v>ab157f99-7ffd-4d9d-9c79-c3cf66911088</v>
      </c>
      <c r="E11894" s="1">
        <f>IFERROR(__xludf.DUMMYFUNCTION("""COMPUTED_VALUE"""),3.61731646775E11)</f>
        <v>361731646775</v>
      </c>
      <c r="F11894" s="1"/>
      <c r="G11894" s="1">
        <f>IFERROR(__xludf.DUMMYFUNCTION("""COMPUTED_VALUE"""),2.5)</f>
        <v>2.5</v>
      </c>
      <c r="H11894" s="2">
        <f>IFERROR(__xludf.DUMMYFUNCTION("""COMPUTED_VALUE"""),2.5)</f>
        <v>2.5</v>
      </c>
      <c r="I11894" s="5">
        <f>IFERROR(__xludf.DUMMYFUNCTION("""COMPUTED_VALUE"""),1.0)</f>
        <v>1</v>
      </c>
      <c r="J11894" s="1" t="str">
        <f>IFERROR(__xludf.DUMMYFUNCTION("""COMPUTED_VALUE"""),"Sieg Ballelos")</f>
        <v>Sieg Ballelos</v>
      </c>
      <c r="K11894" s="1" t="str">
        <f>IFERROR(__xludf.DUMMYFUNCTION("""COMPUTED_VALUE"""),"Core Product Support Escalation Team")</f>
        <v>Core Product Support Escalation Team</v>
      </c>
      <c r="L11894"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895">
      <c r="A11895" s="1" t="str">
        <f>IFERROR(__xludf.DUMMYFUNCTION("""COMPUTED_VALUE"""),"2026 Apr")</f>
        <v>2026 Apr</v>
      </c>
      <c r="B11895" s="4">
        <f>IFERROR(__xludf.DUMMYFUNCTION("""COMPUTED_VALUE"""),46132.0)</f>
        <v>46132</v>
      </c>
      <c r="C11895" s="1" t="str">
        <f>IFERROR(__xludf.DUMMYFUNCTION("""COMPUTED_VALUE"""),"Admin Support")</f>
        <v>Admin Support</v>
      </c>
      <c r="D11895" s="1" t="str">
        <f>IFERROR(__xludf.DUMMYFUNCTION("""COMPUTED_VALUE"""),"eb8376ed-4cf6-4826-b5fb-2b6844150189")</f>
        <v>eb8376ed-4cf6-4826-b5fb-2b6844150189</v>
      </c>
      <c r="E11895" s="1">
        <f>IFERROR(__xludf.DUMMYFUNCTION("""COMPUTED_VALUE"""),3.61731516535E11)</f>
        <v>361731516535</v>
      </c>
      <c r="F11895" s="1"/>
      <c r="G11895" s="1">
        <f>IFERROR(__xludf.DUMMYFUNCTION("""COMPUTED_VALUE"""),0.25)</f>
        <v>0.25</v>
      </c>
      <c r="H11895" s="2">
        <f>IFERROR(__xludf.DUMMYFUNCTION("""COMPUTED_VALUE"""),0.25)</f>
        <v>0.25</v>
      </c>
      <c r="I11895" s="5">
        <f>IFERROR(__xludf.DUMMYFUNCTION("""COMPUTED_VALUE"""),1.0)</f>
        <v>1</v>
      </c>
      <c r="J11895" s="1" t="str">
        <f>IFERROR(__xludf.DUMMYFUNCTION("""COMPUTED_VALUE"""),"Ann Dumlao")</f>
        <v>Ann Dumlao</v>
      </c>
      <c r="K11895" s="1" t="str">
        <f>IFERROR(__xludf.DUMMYFUNCTION("""COMPUTED_VALUE"""),"Admin Omni Support")</f>
        <v>Admin Omni Support</v>
      </c>
      <c r="L11895" s="1" t="str">
        <f>IFERROR(__xludf.DUMMYFUNCTION("""COMPUTED_VALUE"""),"Admin Omni Support")</f>
        <v>Admin Omni Support</v>
      </c>
    </row>
    <row r="11896">
      <c r="A11896" s="1" t="str">
        <f>IFERROR(__xludf.DUMMYFUNCTION("""COMPUTED_VALUE"""),"2026 Apr")</f>
        <v>2026 Apr</v>
      </c>
      <c r="B11896" s="4">
        <f>IFERROR(__xludf.DUMMYFUNCTION("""COMPUTED_VALUE"""),46132.0)</f>
        <v>46132</v>
      </c>
      <c r="C11896" s="1" t="str">
        <f>IFERROR(__xludf.DUMMYFUNCTION("""COMPUTED_VALUE"""),"Segment-specific Support")</f>
        <v>Segment-specific Support</v>
      </c>
      <c r="D11896" s="1" t="str">
        <f>IFERROR(__xludf.DUMMYFUNCTION("""COMPUTED_VALUE"""),"5f0cce5a-c29c-416c-a9e9-e7e3fa282c8a")</f>
        <v>5f0cce5a-c29c-416c-a9e9-e7e3fa282c8a</v>
      </c>
      <c r="E11896" s="1">
        <f>IFERROR(__xludf.DUMMYFUNCTION("""COMPUTED_VALUE"""),9.903289405711E12)</f>
        <v>9903289405711</v>
      </c>
      <c r="F11896" s="1"/>
      <c r="G11896" s="1"/>
      <c r="H11896" s="2">
        <f>IFERROR(__xludf.DUMMYFUNCTION("""COMPUTED_VALUE"""),0.0)</f>
        <v>0</v>
      </c>
      <c r="I11896" s="5"/>
      <c r="J11896" s="1" t="str">
        <f>IFERROR(__xludf.DUMMYFUNCTION("""COMPUTED_VALUE"""),"Jonathan Dimaculangan")</f>
        <v>Jonathan Dimaculangan</v>
      </c>
      <c r="K11896" s="1" t="str">
        <f>IFERROR(__xludf.DUMMYFUNCTION("""COMPUTED_VALUE"""),"Flourish Support")</f>
        <v>Flourish Support</v>
      </c>
      <c r="L11896" s="1" t="str">
        <f>IFERROR(__xludf.DUMMYFUNCTION("""COMPUTED_VALUE"""),"SSS Flourish")</f>
        <v>SSS Flourish</v>
      </c>
    </row>
    <row r="11897">
      <c r="A11897" s="1" t="str">
        <f>IFERROR(__xludf.DUMMYFUNCTION("""COMPUTED_VALUE"""),"2026 Apr")</f>
        <v>2026 Apr</v>
      </c>
      <c r="B11897" s="4">
        <f>IFERROR(__xludf.DUMMYFUNCTION("""COMPUTED_VALUE"""),46132.0)</f>
        <v>46132</v>
      </c>
      <c r="C11897" s="1" t="str">
        <f>IFERROR(__xludf.DUMMYFUNCTION("""COMPUTED_VALUE"""),"Core Product Support")</f>
        <v>Core Product Support</v>
      </c>
      <c r="D11897" s="1" t="str">
        <f>IFERROR(__xludf.DUMMYFUNCTION("""COMPUTED_VALUE"""),"618f1bf8-5458-45df-85f7-93c4f29332f8")</f>
        <v>618f1bf8-5458-45df-85f7-93c4f29332f8</v>
      </c>
      <c r="E11897" s="1">
        <f>IFERROR(__xludf.DUMMYFUNCTION("""COMPUTED_VALUE"""),3.61724667256E11)</f>
        <v>361724667256</v>
      </c>
      <c r="F11897" s="1"/>
      <c r="G11897" s="1">
        <f>IFERROR(__xludf.DUMMYFUNCTION("""COMPUTED_VALUE"""),1.0)</f>
        <v>1</v>
      </c>
      <c r="H11897" s="2">
        <f>IFERROR(__xludf.DUMMYFUNCTION("""COMPUTED_VALUE"""),1.0)</f>
        <v>1</v>
      </c>
      <c r="I11897" s="5">
        <f>IFERROR(__xludf.DUMMYFUNCTION("""COMPUTED_VALUE"""),1.0)</f>
        <v>1</v>
      </c>
      <c r="J11897" s="1" t="str">
        <f>IFERROR(__xludf.DUMMYFUNCTION("""COMPUTED_VALUE"""),"Ellaine Estayo")</f>
        <v>Ellaine Estayo</v>
      </c>
      <c r="K11897" s="1" t="str">
        <f>IFERROR(__xludf.DUMMYFUNCTION("""COMPUTED_VALUE"""),"Core Product Support Escalation Team")</f>
        <v>Core Product Support Escalation Team</v>
      </c>
      <c r="L11897"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898">
      <c r="A11898" s="1" t="str">
        <f>IFERROR(__xludf.DUMMYFUNCTION("""COMPUTED_VALUE"""),"2026 Apr")</f>
        <v>2026 Apr</v>
      </c>
      <c r="B11898" s="4">
        <f>IFERROR(__xludf.DUMMYFUNCTION("""COMPUTED_VALUE"""),46132.0)</f>
        <v>46132</v>
      </c>
      <c r="C11898" s="1" t="str">
        <f>IFERROR(__xludf.DUMMYFUNCTION("""COMPUTED_VALUE"""),"Print Support")</f>
        <v>Print Support</v>
      </c>
      <c r="D11898" s="1" t="str">
        <f>IFERROR(__xludf.DUMMYFUNCTION("""COMPUTED_VALUE"""),"9e452879-93e7-461c-b1a1-1bd079930eb2")</f>
        <v>9e452879-93e7-461c-b1a1-1bd079930eb2</v>
      </c>
      <c r="E11898" s="1">
        <f>IFERROR(__xludf.DUMMYFUNCTION("""COMPUTED_VALUE"""),1.0548609842831E13)</f>
        <v>10548609842831</v>
      </c>
      <c r="F11898" s="1"/>
      <c r="G11898" s="1"/>
      <c r="H11898" s="2">
        <f>IFERROR(__xludf.DUMMYFUNCTION("""COMPUTED_VALUE"""),0.0)</f>
        <v>0</v>
      </c>
      <c r="I11898" s="5"/>
      <c r="J11898" s="1" t="str">
        <f>IFERROR(__xludf.DUMMYFUNCTION("""COMPUTED_VALUE"""),"Louise Dianne Estrella")</f>
        <v>Louise Dianne Estrella</v>
      </c>
      <c r="K11898" s="1" t="str">
        <f>IFERROR(__xludf.DUMMYFUNCTION("""COMPUTED_VALUE"""),"Print Support PH")</f>
        <v>Print Support PH</v>
      </c>
      <c r="L11898" s="1" t="str">
        <f>IFERROR(__xludf.DUMMYFUNCTION("""COMPUTED_VALUE"""),"Print Print - CHT")</f>
        <v>Print Print - CHT</v>
      </c>
    </row>
    <row r="11899">
      <c r="A11899" s="1" t="str">
        <f>IFERROR(__xludf.DUMMYFUNCTION("""COMPUTED_VALUE"""),"2026 Apr")</f>
        <v>2026 Apr</v>
      </c>
      <c r="B11899" s="4">
        <f>IFERROR(__xludf.DUMMYFUNCTION("""COMPUTED_VALUE"""),46132.0)</f>
        <v>46132</v>
      </c>
      <c r="C11899" s="1" t="str">
        <f>IFERROR(__xludf.DUMMYFUNCTION("""COMPUTED_VALUE"""),"Core Product Support")</f>
        <v>Core Product Support</v>
      </c>
      <c r="D11899" s="1" t="str">
        <f>IFERROR(__xludf.DUMMYFUNCTION("""COMPUTED_VALUE"""),"2a3cbb81-c61e-4e7d-8a9e-ed241403cd4d")</f>
        <v>2a3cbb81-c61e-4e7d-8a9e-ed241403cd4d</v>
      </c>
      <c r="E11899" s="1">
        <f>IFERROR(__xludf.DUMMYFUNCTION("""COMPUTED_VALUE"""),1.0333033832463E13)</f>
        <v>10333033832463</v>
      </c>
      <c r="F11899" s="1"/>
      <c r="G11899" s="1">
        <f>IFERROR(__xludf.DUMMYFUNCTION("""COMPUTED_VALUE"""),1.25)</f>
        <v>1.25</v>
      </c>
      <c r="H11899" s="2">
        <f>IFERROR(__xludf.DUMMYFUNCTION("""COMPUTED_VALUE"""),1.25)</f>
        <v>1.25</v>
      </c>
      <c r="I11899" s="5">
        <f>IFERROR(__xludf.DUMMYFUNCTION("""COMPUTED_VALUE"""),1.0)</f>
        <v>1</v>
      </c>
      <c r="J11899" s="1" t="str">
        <f>IFERROR(__xludf.DUMMYFUNCTION("""COMPUTED_VALUE"""),"Cherry Macam")</f>
        <v>Cherry Macam</v>
      </c>
      <c r="K11899" s="1" t="str">
        <f>IFERROR(__xludf.DUMMYFUNCTION("""COMPUTED_VALUE"""),"Advanced Billing &amp; Subscriptions")</f>
        <v>Advanced Billing &amp; Subscriptions</v>
      </c>
      <c r="L11899" s="1" t="str">
        <f>IFERROR(__xludf.DUMMYFUNCTION("""COMPUTED_VALUE"""),"CPS Advanced Billing and Subscriptions (ABS)")</f>
        <v>CPS Advanced Billing and Subscriptions (ABS)</v>
      </c>
    </row>
    <row r="11900">
      <c r="A11900" s="1" t="str">
        <f>IFERROR(__xludf.DUMMYFUNCTION("""COMPUTED_VALUE"""),"2026 Apr")</f>
        <v>2026 Apr</v>
      </c>
      <c r="B11900" s="4">
        <f>IFERROR(__xludf.DUMMYFUNCTION("""COMPUTED_VALUE"""),46132.0)</f>
        <v>46132</v>
      </c>
      <c r="C11900" s="1" t="str">
        <f>IFERROR(__xludf.DUMMYFUNCTION("""COMPUTED_VALUE"""),"Segment-specific Support")</f>
        <v>Segment-specific Support</v>
      </c>
      <c r="D11900" s="1" t="str">
        <f>IFERROR(__xludf.DUMMYFUNCTION("""COMPUTED_VALUE"""),"b9ec9518-1035-4039-9e89-56312867ff3e")</f>
        <v>b9ec9518-1035-4039-9e89-56312867ff3e</v>
      </c>
      <c r="E11900" s="1">
        <f>IFERROR(__xludf.DUMMYFUNCTION("""COMPUTED_VALUE"""),1.0548609971215E13)</f>
        <v>10548609971215</v>
      </c>
      <c r="F11900" s="1"/>
      <c r="G11900" s="1"/>
      <c r="H11900" s="2">
        <f>IFERROR(__xludf.DUMMYFUNCTION("""COMPUTED_VALUE"""),0.0)</f>
        <v>0</v>
      </c>
      <c r="I11900" s="5"/>
      <c r="J11900" s="1" t="str">
        <f>IFERROR(__xludf.DUMMYFUNCTION("""COMPUTED_VALUE"""),"Gucci Nava")</f>
        <v>Gucci Nava</v>
      </c>
      <c r="K11900" s="1" t="str">
        <f>IFERROR(__xludf.DUMMYFUNCTION("""COMPUTED_VALUE"""),"Print Support PH")</f>
        <v>Print Support PH</v>
      </c>
      <c r="L11900" s="1" t="str">
        <f>IFERROR(__xludf.DUMMYFUNCTION("""COMPUTED_VALUE"""),"Print Print - CHT")</f>
        <v>Print Print - CHT</v>
      </c>
    </row>
    <row r="11901">
      <c r="A11901" s="1" t="str">
        <f>IFERROR(__xludf.DUMMYFUNCTION("""COMPUTED_VALUE"""),"2026 Apr")</f>
        <v>2026 Apr</v>
      </c>
      <c r="B11901" s="4">
        <f>IFERROR(__xludf.DUMMYFUNCTION("""COMPUTED_VALUE"""),46132.0)</f>
        <v>46132</v>
      </c>
      <c r="C11901" s="1" t="str">
        <f>IFERROR(__xludf.DUMMYFUNCTION("""COMPUTED_VALUE"""),"Core Product Support")</f>
        <v>Core Product Support</v>
      </c>
      <c r="D11901" s="1" t="str">
        <f>IFERROR(__xludf.DUMMYFUNCTION("""COMPUTED_VALUE"""),"b80ae9d0-5920-40ea-8338-5b197b10c2ea")</f>
        <v>b80ae9d0-5920-40ea-8338-5b197b10c2ea</v>
      </c>
      <c r="E11901" s="1">
        <f>IFERROR(__xludf.DUMMYFUNCTION("""COMPUTED_VALUE"""),3.61857411916E11)</f>
        <v>361857411916</v>
      </c>
      <c r="F11901" s="1"/>
      <c r="G11901" s="1">
        <f>IFERROR(__xludf.DUMMYFUNCTION("""COMPUTED_VALUE"""),1.25)</f>
        <v>1.25</v>
      </c>
      <c r="H11901" s="2">
        <f>IFERROR(__xludf.DUMMYFUNCTION("""COMPUTED_VALUE"""),1.25)</f>
        <v>1.25</v>
      </c>
      <c r="I11901" s="5">
        <f>IFERROR(__xludf.DUMMYFUNCTION("""COMPUTED_VALUE"""),1.0)</f>
        <v>1</v>
      </c>
      <c r="J11901" s="1" t="str">
        <f>IFERROR(__xludf.DUMMYFUNCTION("""COMPUTED_VALUE"""),"Jahmie Mae Barrameda")</f>
        <v>Jahmie Mae Barrameda</v>
      </c>
      <c r="K11901" s="1" t="str">
        <f>IFERROR(__xludf.DUMMYFUNCTION("""COMPUTED_VALUE"""),"Advanced Billing &amp; Subscriptions")</f>
        <v>Advanced Billing &amp; Subscriptions</v>
      </c>
      <c r="L11901" s="1" t="str">
        <f>IFERROR(__xludf.DUMMYFUNCTION("""COMPUTED_VALUE"""),"CPS Advanced Billing and Subscriptions (ABS)")</f>
        <v>CPS Advanced Billing and Subscriptions (ABS)</v>
      </c>
    </row>
    <row r="11902">
      <c r="A11902" s="1" t="str">
        <f>IFERROR(__xludf.DUMMYFUNCTION("""COMPUTED_VALUE"""),"2026 Apr")</f>
        <v>2026 Apr</v>
      </c>
      <c r="B11902" s="4">
        <f>IFERROR(__xludf.DUMMYFUNCTION("""COMPUTED_VALUE"""),46132.0)</f>
        <v>46132</v>
      </c>
      <c r="C11902" s="1" t="str">
        <f>IFERROR(__xludf.DUMMYFUNCTION("""COMPUTED_VALUE"""),"Print Support")</f>
        <v>Print Support</v>
      </c>
      <c r="D11902" s="1" t="str">
        <f>IFERROR(__xludf.DUMMYFUNCTION("""COMPUTED_VALUE"""),"96960398-b413-404a-acdf-c9c07c7a947d")</f>
        <v>96960398-b413-404a-acdf-c9c07c7a947d</v>
      </c>
      <c r="E11902" s="1">
        <f>IFERROR(__xludf.DUMMYFUNCTION("""COMPUTED_VALUE"""),3.61744077956E11)</f>
        <v>361744077956</v>
      </c>
      <c r="F11902" s="1"/>
      <c r="G11902" s="1"/>
      <c r="H11902" s="2">
        <f>IFERROR(__xludf.DUMMYFUNCTION("""COMPUTED_VALUE"""),0.0)</f>
        <v>0</v>
      </c>
      <c r="I11902" s="5"/>
      <c r="J11902" s="1" t="str">
        <f>IFERROR(__xludf.DUMMYFUNCTION("""COMPUTED_VALUE"""),"Rae Erlano")</f>
        <v>Rae Erlano</v>
      </c>
      <c r="K11902" s="1" t="str">
        <f>IFERROR(__xludf.DUMMYFUNCTION("""COMPUTED_VALUE"""),"Print Support PH")</f>
        <v>Print Support PH</v>
      </c>
      <c r="L11902" s="1" t="str">
        <f>IFERROR(__xludf.DUMMYFUNCTION("""COMPUTED_VALUE"""),"Print Print - SEE")</f>
        <v>Print Print - SEE</v>
      </c>
    </row>
    <row r="11903">
      <c r="A11903" s="1" t="str">
        <f>IFERROR(__xludf.DUMMYFUNCTION("""COMPUTED_VALUE"""),"2026 Apr")</f>
        <v>2026 Apr</v>
      </c>
      <c r="B11903" s="4">
        <f>IFERROR(__xludf.DUMMYFUNCTION("""COMPUTED_VALUE"""),46132.0)</f>
        <v>46132</v>
      </c>
      <c r="C11903" s="1" t="str">
        <f>IFERROR(__xludf.DUMMYFUNCTION("""COMPUTED_VALUE"""),"Print Support")</f>
        <v>Print Support</v>
      </c>
      <c r="D11903" s="1" t="str">
        <f>IFERROR(__xludf.DUMMYFUNCTION("""COMPUTED_VALUE"""),"b85e88a5-e05e-4b99-8314-1a4152e7f993")</f>
        <v>b85e88a5-e05e-4b99-8314-1a4152e7f993</v>
      </c>
      <c r="E11903" s="1"/>
      <c r="F11903" s="1"/>
      <c r="G11903" s="1"/>
      <c r="H11903" s="2">
        <f>IFERROR(__xludf.DUMMYFUNCTION("""COMPUTED_VALUE"""),0.0)</f>
        <v>0</v>
      </c>
      <c r="I11903" s="5"/>
      <c r="J11903" s="1" t="str">
        <f>IFERROR(__xludf.DUMMYFUNCTION("""COMPUTED_VALUE"""),"Rei De Jesus")</f>
        <v>Rei De Jesus</v>
      </c>
      <c r="K11903" s="1" t="str">
        <f>IFERROR(__xludf.DUMMYFUNCTION("""COMPUTED_VALUE"""),"Print Design Support")</f>
        <v>Print Design Support</v>
      </c>
      <c r="L11903" s="1" t="str">
        <f>IFERROR(__xludf.DUMMYFUNCTION("""COMPUTED_VALUE"""),"Print Print Design")</f>
        <v>Print Print Design</v>
      </c>
    </row>
    <row r="11904">
      <c r="A11904" s="1" t="str">
        <f>IFERROR(__xludf.DUMMYFUNCTION("""COMPUTED_VALUE"""),"2026 Apr")</f>
        <v>2026 Apr</v>
      </c>
      <c r="B11904" s="4">
        <f>IFERROR(__xludf.DUMMYFUNCTION("""COMPUTED_VALUE"""),46132.0)</f>
        <v>46132</v>
      </c>
      <c r="C11904" s="1" t="str">
        <f>IFERROR(__xludf.DUMMYFUNCTION("""COMPUTED_VALUE"""),"High Sensitivity Support")</f>
        <v>High Sensitivity Support</v>
      </c>
      <c r="D11904" s="1" t="str">
        <f>IFERROR(__xludf.DUMMYFUNCTION("""COMPUTED_VALUE"""),"f734e8ae-d81c-444b-8238-0989a571ddfc")</f>
        <v>f734e8ae-d81c-444b-8238-0989a571ddfc</v>
      </c>
      <c r="E11904" s="1">
        <f>IFERROR(__xludf.DUMMYFUNCTION("""COMPUTED_VALUE"""),1.0548626331023E13)</f>
        <v>10548626331023</v>
      </c>
      <c r="F11904" s="1"/>
      <c r="G11904" s="1"/>
      <c r="H11904" s="2">
        <f>IFERROR(__xludf.DUMMYFUNCTION("""COMPUTED_VALUE"""),0.0)</f>
        <v>0</v>
      </c>
      <c r="I11904" s="5"/>
      <c r="J11904" s="1" t="str">
        <f>IFERROR(__xludf.DUMMYFUNCTION("""COMPUTED_VALUE"""),"Xandy Azarcon")</f>
        <v>Xandy Azarcon</v>
      </c>
      <c r="K11904" s="1" t="str">
        <f>IFERROR(__xludf.DUMMYFUNCTION("""COMPUTED_VALUE"""),"High Sensitivity Support PH")</f>
        <v>High Sensitivity Support PH</v>
      </c>
      <c r="L11904" s="1" t="str">
        <f>IFERROR(__xludf.DUMMYFUNCTION("""COMPUTED_VALUE"""),"HSS High Sensitivity Support PH - CHT")</f>
        <v>HSS High Sensitivity Support PH - CHT</v>
      </c>
    </row>
    <row r="11905">
      <c r="A11905" s="1" t="str">
        <f>IFERROR(__xludf.DUMMYFUNCTION("""COMPUTED_VALUE"""),"2026 Apr")</f>
        <v>2026 Apr</v>
      </c>
      <c r="B11905" s="4">
        <f>IFERROR(__xludf.DUMMYFUNCTION("""COMPUTED_VALUE"""),46132.0)</f>
        <v>46132</v>
      </c>
      <c r="C11905" s="1" t="str">
        <f>IFERROR(__xludf.DUMMYFUNCTION("""COMPUTED_VALUE"""),"Admin Support")</f>
        <v>Admin Support</v>
      </c>
      <c r="D11905" s="1" t="str">
        <f>IFERROR(__xludf.DUMMYFUNCTION("""COMPUTED_VALUE"""),"325d8c4b-104e-45b5-8c24-46aee9a25b01")</f>
        <v>325d8c4b-104e-45b5-8c24-46aee9a25b01</v>
      </c>
      <c r="E11905" s="1">
        <f>IFERROR(__xludf.DUMMYFUNCTION("""COMPUTED_VALUE"""),9.582702695695E12)</f>
        <v>9582702695695</v>
      </c>
      <c r="F11905" s="1"/>
      <c r="G11905" s="1"/>
      <c r="H11905" s="2">
        <f>IFERROR(__xludf.DUMMYFUNCTION("""COMPUTED_VALUE"""),0.0)</f>
        <v>0</v>
      </c>
      <c r="I11905" s="5"/>
      <c r="J11905" s="1" t="str">
        <f>IFERROR(__xludf.DUMMYFUNCTION("""COMPUTED_VALUE"""),"Nate Vela")</f>
        <v>Nate Vela</v>
      </c>
      <c r="K11905" s="1" t="str">
        <f>IFERROR(__xludf.DUMMYFUNCTION("""COMPUTED_VALUE"""),"Admin Support NA")</f>
        <v>Admin Support NA</v>
      </c>
      <c r="L11905" s="1" t="str">
        <f>IFERROR(__xludf.DUMMYFUNCTION("""COMPUTED_VALUE"""),"Admin NA")</f>
        <v>Admin NA</v>
      </c>
    </row>
    <row r="11906">
      <c r="A11906" s="1" t="str">
        <f>IFERROR(__xludf.DUMMYFUNCTION("""COMPUTED_VALUE"""),"2026 Apr")</f>
        <v>2026 Apr</v>
      </c>
      <c r="B11906" s="4">
        <f>IFERROR(__xludf.DUMMYFUNCTION("""COMPUTED_VALUE"""),46132.0)</f>
        <v>46132</v>
      </c>
      <c r="C11906" s="1" t="str">
        <f>IFERROR(__xludf.DUMMYFUNCTION("""COMPUTED_VALUE"""),"Print Support")</f>
        <v>Print Support</v>
      </c>
      <c r="D11906" s="1" t="str">
        <f>IFERROR(__xludf.DUMMYFUNCTION("""COMPUTED_VALUE"""),"afe991ce-72f0-4a1b-ae15-865b9a416d53")</f>
        <v>afe991ce-72f0-4a1b-ae15-865b9a416d53</v>
      </c>
      <c r="E11906" s="1">
        <f>IFERROR(__xludf.DUMMYFUNCTION("""COMPUTED_VALUE"""),3.61694632195E11)</f>
        <v>361694632195</v>
      </c>
      <c r="F11906" s="1"/>
      <c r="G11906" s="1"/>
      <c r="H11906" s="2">
        <f>IFERROR(__xludf.DUMMYFUNCTION("""COMPUTED_VALUE"""),0.0)</f>
        <v>0</v>
      </c>
      <c r="I11906" s="5"/>
      <c r="J11906" s="1" t="str">
        <f>IFERROR(__xludf.DUMMYFUNCTION("""COMPUTED_VALUE"""),"Memae Faustino")</f>
        <v>Memae Faustino</v>
      </c>
      <c r="K11906" s="1" t="str">
        <f>IFERROR(__xludf.DUMMYFUNCTION("""COMPUTED_VALUE"""),"Print Support PH")</f>
        <v>Print Support PH</v>
      </c>
      <c r="L11906" s="1" t="str">
        <f>IFERROR(__xludf.DUMMYFUNCTION("""COMPUTED_VALUE"""),"Print Print - SEE")</f>
        <v>Print Print - SEE</v>
      </c>
    </row>
    <row r="11907">
      <c r="A11907" s="1" t="str">
        <f>IFERROR(__xludf.DUMMYFUNCTION("""COMPUTED_VALUE"""),"2026 Apr")</f>
        <v>2026 Apr</v>
      </c>
      <c r="B11907" s="4">
        <f>IFERROR(__xludf.DUMMYFUNCTION("""COMPUTED_VALUE"""),46132.0)</f>
        <v>46132</v>
      </c>
      <c r="C11907" s="1" t="str">
        <f>IFERROR(__xludf.DUMMYFUNCTION("""COMPUTED_VALUE"""),"Print Support")</f>
        <v>Print Support</v>
      </c>
      <c r="D11907" s="1" t="str">
        <f>IFERROR(__xludf.DUMMYFUNCTION("""COMPUTED_VALUE"""),"b0701057-db2b-4208-bb14-e0c4e8b8f1ee")</f>
        <v>b0701057-db2b-4208-bb14-e0c4e8b8f1ee</v>
      </c>
      <c r="E11907" s="1"/>
      <c r="F11907" s="1"/>
      <c r="G11907" s="1"/>
      <c r="H11907" s="2">
        <f>IFERROR(__xludf.DUMMYFUNCTION("""COMPUTED_VALUE"""),0.0)</f>
        <v>0</v>
      </c>
      <c r="I11907" s="5"/>
      <c r="J11907" s="1" t="str">
        <f>IFERROR(__xludf.DUMMYFUNCTION("""COMPUTED_VALUE"""),"Aliza Dote")</f>
        <v>Aliza Dote</v>
      </c>
      <c r="K11907" s="1" t="str">
        <f>IFERROR(__xludf.DUMMYFUNCTION("""COMPUTED_VALUE"""),"Print Design Support")</f>
        <v>Print Design Support</v>
      </c>
      <c r="L11907" s="1" t="str">
        <f>IFERROR(__xludf.DUMMYFUNCTION("""COMPUTED_VALUE"""),"Print Print Design")</f>
        <v>Print Print Design</v>
      </c>
    </row>
    <row r="11908">
      <c r="A11908" s="1" t="str">
        <f>IFERROR(__xludf.DUMMYFUNCTION("""COMPUTED_VALUE"""),"2026 Apr")</f>
        <v>2026 Apr</v>
      </c>
      <c r="B11908" s="4">
        <f>IFERROR(__xludf.DUMMYFUNCTION("""COMPUTED_VALUE"""),46132.0)</f>
        <v>46132</v>
      </c>
      <c r="C11908" s="1" t="str">
        <f>IFERROR(__xludf.DUMMYFUNCTION("""COMPUTED_VALUE"""),"Core Product Support")</f>
        <v>Core Product Support</v>
      </c>
      <c r="D11908" s="1" t="str">
        <f>IFERROR(__xludf.DUMMYFUNCTION("""COMPUTED_VALUE"""),"e49eb420-7bd7-4503-a1d0-35028e015e43")</f>
        <v>e49eb420-7bd7-4503-a1d0-35028e015e43</v>
      </c>
      <c r="E11908" s="1">
        <f>IFERROR(__xludf.DUMMYFUNCTION("""COMPUTED_VALUE"""),5.047314693263E12)</f>
        <v>5047314693263</v>
      </c>
      <c r="F11908" s="1"/>
      <c r="G11908" s="1">
        <f>IFERROR(__xludf.DUMMYFUNCTION("""COMPUTED_VALUE"""),1.25)</f>
        <v>1.25</v>
      </c>
      <c r="H11908" s="2">
        <f>IFERROR(__xludf.DUMMYFUNCTION("""COMPUTED_VALUE"""),1.25)</f>
        <v>1.25</v>
      </c>
      <c r="I11908" s="5">
        <f>IFERROR(__xludf.DUMMYFUNCTION("""COMPUTED_VALUE"""),1.0)</f>
        <v>1</v>
      </c>
      <c r="J11908" s="1" t="str">
        <f>IFERROR(__xludf.DUMMYFUNCTION("""COMPUTED_VALUE"""),"Cate Velasco")</f>
        <v>Cate Velasco</v>
      </c>
      <c r="K11908" s="1" t="str">
        <f>IFERROR(__xludf.DUMMYFUNCTION("""COMPUTED_VALUE"""),"Advanced Product Support")</f>
        <v>Advanced Product Support</v>
      </c>
      <c r="L11908" s="1" t="str">
        <f>IFERROR(__xludf.DUMMYFUNCTION("""COMPUTED_VALUE"""),"CPS Advanced Product Support (APS)")</f>
        <v>CPS Advanced Product Support (APS)</v>
      </c>
    </row>
    <row r="11909">
      <c r="A11909" s="1" t="str">
        <f>IFERROR(__xludf.DUMMYFUNCTION("""COMPUTED_VALUE"""),"2026 Apr")</f>
        <v>2026 Apr</v>
      </c>
      <c r="B11909" s="4">
        <f>IFERROR(__xludf.DUMMYFUNCTION("""COMPUTED_VALUE"""),46132.0)</f>
        <v>46132</v>
      </c>
      <c r="C11909" s="1" t="str">
        <f>IFERROR(__xludf.DUMMYFUNCTION("""COMPUTED_VALUE"""),"Print Support")</f>
        <v>Print Support</v>
      </c>
      <c r="D11909" s="1" t="str">
        <f>IFERROR(__xludf.DUMMYFUNCTION("""COMPUTED_VALUE"""),"03a2ac9e-65a5-409e-851b-a4c93a003187")</f>
        <v>03a2ac9e-65a5-409e-851b-a4c93a003187</v>
      </c>
      <c r="E11909" s="1">
        <f>IFERROR(__xludf.DUMMYFUNCTION("""COMPUTED_VALUE"""),5.202378807439E12)</f>
        <v>5202378807439</v>
      </c>
      <c r="F11909" s="1"/>
      <c r="G11909" s="1"/>
      <c r="H11909" s="2">
        <f>IFERROR(__xludf.DUMMYFUNCTION("""COMPUTED_VALUE"""),0.0)</f>
        <v>0</v>
      </c>
      <c r="I11909" s="5"/>
      <c r="J11909" s="1" t="str">
        <f>IFERROR(__xludf.DUMMYFUNCTION("""COMPUTED_VALUE"""),"Althea Mercado")</f>
        <v>Althea Mercado</v>
      </c>
      <c r="K11909" s="1" t="str">
        <f>IFERROR(__xludf.DUMMYFUNCTION("""COMPUTED_VALUE"""),"Print Support PH")</f>
        <v>Print Support PH</v>
      </c>
      <c r="L11909" s="1" t="str">
        <f>IFERROR(__xludf.DUMMYFUNCTION("""COMPUTED_VALUE"""),"Print Print - CHT")</f>
        <v>Print Print - CHT</v>
      </c>
    </row>
    <row r="11910">
      <c r="A11910" s="1" t="str">
        <f>IFERROR(__xludf.DUMMYFUNCTION("""COMPUTED_VALUE"""),"2026 Apr")</f>
        <v>2026 Apr</v>
      </c>
      <c r="B11910" s="4">
        <f>IFERROR(__xludf.DUMMYFUNCTION("""COMPUTED_VALUE"""),46132.0)</f>
        <v>46132</v>
      </c>
      <c r="C11910" s="1" t="str">
        <f>IFERROR(__xludf.DUMMYFUNCTION("""COMPUTED_VALUE"""),"Segment-specific Support")</f>
        <v>Segment-specific Support</v>
      </c>
      <c r="D11910" s="1" t="str">
        <f>IFERROR(__xludf.DUMMYFUNCTION("""COMPUTED_VALUE"""),"f7d8f8dd-7764-471d-8254-300956d0e1c6")</f>
        <v>f7d8f8dd-7764-471d-8254-300956d0e1c6</v>
      </c>
      <c r="E11910" s="1">
        <f>IFERROR(__xludf.DUMMYFUNCTION("""COMPUTED_VALUE"""),3.61750003915E11)</f>
        <v>361750003915</v>
      </c>
      <c r="F11910" s="1"/>
      <c r="G11910" s="1"/>
      <c r="H11910" s="2">
        <f>IFERROR(__xludf.DUMMYFUNCTION("""COMPUTED_VALUE"""),0.0)</f>
        <v>0</v>
      </c>
      <c r="I11910" s="5"/>
      <c r="J11910" s="1" t="str">
        <f>IFERROR(__xludf.DUMMYFUNCTION("""COMPUTED_VALUE"""),"Gucci Nava")</f>
        <v>Gucci Nava</v>
      </c>
      <c r="K11910" s="1" t="str">
        <f>IFERROR(__xludf.DUMMYFUNCTION("""COMPUTED_VALUE"""),"Affinity Support")</f>
        <v>Affinity Support</v>
      </c>
      <c r="L11910" s="1" t="str">
        <f>IFERROR(__xludf.DUMMYFUNCTION("""COMPUTED_VALUE"""),"SSS Affinity - L1")</f>
        <v>SSS Affinity - L1</v>
      </c>
    </row>
    <row r="11911">
      <c r="A11911" s="1" t="str">
        <f>IFERROR(__xludf.DUMMYFUNCTION("""COMPUTED_VALUE"""),"2026 Apr")</f>
        <v>2026 Apr</v>
      </c>
      <c r="B11911" s="4">
        <f>IFERROR(__xludf.DUMMYFUNCTION("""COMPUTED_VALUE"""),46132.0)</f>
        <v>46132</v>
      </c>
      <c r="C11911" s="1" t="str">
        <f>IFERROR(__xludf.DUMMYFUNCTION("""COMPUTED_VALUE"""),"Core Product Support")</f>
        <v>Core Product Support</v>
      </c>
      <c r="D11911" s="1" t="str">
        <f>IFERROR(__xludf.DUMMYFUNCTION("""COMPUTED_VALUE"""),"1309ddc0-c081-4df4-b17d-ed2c31b14169")</f>
        <v>1309ddc0-c081-4df4-b17d-ed2c31b14169</v>
      </c>
      <c r="E11911" s="1">
        <f>IFERROR(__xludf.DUMMYFUNCTION("""COMPUTED_VALUE"""),3.61964324516E11)</f>
        <v>361964324516</v>
      </c>
      <c r="F11911" s="1"/>
      <c r="G11911" s="1">
        <f>IFERROR(__xludf.DUMMYFUNCTION("""COMPUTED_VALUE"""),1.0)</f>
        <v>1</v>
      </c>
      <c r="H11911" s="2">
        <f>IFERROR(__xludf.DUMMYFUNCTION("""COMPUTED_VALUE"""),1.0)</f>
        <v>1</v>
      </c>
      <c r="I11911" s="5">
        <f>IFERROR(__xludf.DUMMYFUNCTION("""COMPUTED_VALUE"""),1.0)</f>
        <v>1</v>
      </c>
      <c r="J11911" s="1" t="str">
        <f>IFERROR(__xludf.DUMMYFUNCTION("""COMPUTED_VALUE"""),"Ayza Marie Pascual")</f>
        <v>Ayza Marie Pascual</v>
      </c>
      <c r="K11911" s="1" t="str">
        <f>IFERROR(__xludf.DUMMYFUNCTION("""COMPUTED_VALUE"""),"Advanced Billing &amp; Subscriptions")</f>
        <v>Advanced Billing &amp; Subscriptions</v>
      </c>
      <c r="L11911" s="1" t="str">
        <f>IFERROR(__xludf.DUMMYFUNCTION("""COMPUTED_VALUE"""),"CPS Advanced Billing and Subscriptions (ABS)")</f>
        <v>CPS Advanced Billing and Subscriptions (ABS)</v>
      </c>
    </row>
    <row r="11912">
      <c r="A11912" s="1" t="str">
        <f>IFERROR(__xludf.DUMMYFUNCTION("""COMPUTED_VALUE"""),"2026 Apr")</f>
        <v>2026 Apr</v>
      </c>
      <c r="B11912" s="4">
        <f>IFERROR(__xludf.DUMMYFUNCTION("""COMPUTED_VALUE"""),46132.0)</f>
        <v>46132</v>
      </c>
      <c r="C11912" s="1" t="str">
        <f>IFERROR(__xludf.DUMMYFUNCTION("""COMPUTED_VALUE"""),"Admin Support")</f>
        <v>Admin Support</v>
      </c>
      <c r="D11912" s="1" t="str">
        <f>IFERROR(__xludf.DUMMYFUNCTION("""COMPUTED_VALUE"""),"7cdd4051-dd81-4e04-a905-67a7a6826826")</f>
        <v>7cdd4051-dd81-4e04-a905-67a7a6826826</v>
      </c>
      <c r="E11912" s="1">
        <f>IFERROR(__xludf.DUMMYFUNCTION("""COMPUTED_VALUE"""),9.795895003151E12)</f>
        <v>9795895003151</v>
      </c>
      <c r="F11912" s="1"/>
      <c r="G11912" s="1"/>
      <c r="H11912" s="2">
        <f>IFERROR(__xludf.DUMMYFUNCTION("""COMPUTED_VALUE"""),0.0)</f>
        <v>0</v>
      </c>
      <c r="I11912" s="5"/>
      <c r="J11912" s="1" t="str">
        <f>IFERROR(__xludf.DUMMYFUNCTION("""COMPUTED_VALUE"""),"Karla Mananghaya")</f>
        <v>Karla Mananghaya</v>
      </c>
      <c r="K11912" s="1" t="str">
        <f>IFERROR(__xludf.DUMMYFUNCTION("""COMPUTED_VALUE"""),"Admin Support Service Escalation Team")</f>
        <v>Admin Support Service Escalation Team</v>
      </c>
      <c r="L11912" s="1" t="str">
        <f>IFERROR(__xludf.DUMMYFUNCTION("""COMPUTED_VALUE"""),"Admin ASSET")</f>
        <v>Admin ASSET</v>
      </c>
    </row>
    <row r="11913">
      <c r="A11913" s="1" t="str">
        <f>IFERROR(__xludf.DUMMYFUNCTION("""COMPUTED_VALUE"""),"2026 Apr")</f>
        <v>2026 Apr</v>
      </c>
      <c r="B11913" s="4">
        <f>IFERROR(__xludf.DUMMYFUNCTION("""COMPUTED_VALUE"""),46132.0)</f>
        <v>46132</v>
      </c>
      <c r="C11913" s="1" t="str">
        <f>IFERROR(__xludf.DUMMYFUNCTION("""COMPUTED_VALUE"""),"Core Product Support")</f>
        <v>Core Product Support</v>
      </c>
      <c r="D11913" s="1" t="str">
        <f>IFERROR(__xludf.DUMMYFUNCTION("""COMPUTED_VALUE"""),"4829712e-df33-4828-83e5-b005d53d0ece")</f>
        <v>4829712e-df33-4828-83e5-b005d53d0ece</v>
      </c>
      <c r="E11913" s="1">
        <f>IFERROR(__xludf.DUMMYFUNCTION("""COMPUTED_VALUE"""),3.61861297795E11)</f>
        <v>361861297795</v>
      </c>
      <c r="F11913" s="1"/>
      <c r="G11913" s="1">
        <f>IFERROR(__xludf.DUMMYFUNCTION("""COMPUTED_VALUE"""),1.25)</f>
        <v>1.25</v>
      </c>
      <c r="H11913" s="2">
        <f>IFERROR(__xludf.DUMMYFUNCTION("""COMPUTED_VALUE"""),1.25)</f>
        <v>1.25</v>
      </c>
      <c r="I11913" s="5">
        <f>IFERROR(__xludf.DUMMYFUNCTION("""COMPUTED_VALUE"""),1.0)</f>
        <v>1</v>
      </c>
      <c r="J11913" s="1" t="str">
        <f>IFERROR(__xludf.DUMMYFUNCTION("""COMPUTED_VALUE"""),"Jahmie Mae Barrameda")</f>
        <v>Jahmie Mae Barrameda</v>
      </c>
      <c r="K11913" s="1" t="str">
        <f>IFERROR(__xludf.DUMMYFUNCTION("""COMPUTED_VALUE"""),"Advanced Billing &amp; Subscriptions")</f>
        <v>Advanced Billing &amp; Subscriptions</v>
      </c>
      <c r="L11913" s="1" t="str">
        <f>IFERROR(__xludf.DUMMYFUNCTION("""COMPUTED_VALUE"""),"CPS Advanced Billing and Subscriptions (ABS)")</f>
        <v>CPS Advanced Billing and Subscriptions (ABS)</v>
      </c>
    </row>
    <row r="11914">
      <c r="A11914" s="1" t="str">
        <f>IFERROR(__xludf.DUMMYFUNCTION("""COMPUTED_VALUE"""),"2026 Apr")</f>
        <v>2026 Apr</v>
      </c>
      <c r="B11914" s="4">
        <f>IFERROR(__xludf.DUMMYFUNCTION("""COMPUTED_VALUE"""),46132.0)</f>
        <v>46132</v>
      </c>
      <c r="C11914" s="1" t="str">
        <f>IFERROR(__xludf.DUMMYFUNCTION("""COMPUTED_VALUE"""),"Print Support")</f>
        <v>Print Support</v>
      </c>
      <c r="D11914" s="1" t="str">
        <f>IFERROR(__xludf.DUMMYFUNCTION("""COMPUTED_VALUE"""),"4bb09346-5fba-40f0-ac06-0b644e9a6f20")</f>
        <v>4bb09346-5fba-40f0-ac06-0b644e9a6f20</v>
      </c>
      <c r="E11914" s="1"/>
      <c r="F11914" s="1"/>
      <c r="G11914" s="1"/>
      <c r="H11914" s="2">
        <f>IFERROR(__xludf.DUMMYFUNCTION("""COMPUTED_VALUE"""),0.0)</f>
        <v>0</v>
      </c>
      <c r="I11914" s="5"/>
      <c r="J11914" s="1" t="str">
        <f>IFERROR(__xludf.DUMMYFUNCTION("""COMPUTED_VALUE"""),"G-Anne Murillo")</f>
        <v>G-Anne Murillo</v>
      </c>
      <c r="K11914" s="1" t="str">
        <f>IFERROR(__xludf.DUMMYFUNCTION("""COMPUTED_VALUE"""),"Print Design Support")</f>
        <v>Print Design Support</v>
      </c>
      <c r="L11914" s="1" t="str">
        <f>IFERROR(__xludf.DUMMYFUNCTION("""COMPUTED_VALUE"""),"Print Print Design")</f>
        <v>Print Print Design</v>
      </c>
    </row>
    <row r="11915">
      <c r="A11915" s="1" t="str">
        <f>IFERROR(__xludf.DUMMYFUNCTION("""COMPUTED_VALUE"""),"2026 Apr")</f>
        <v>2026 Apr</v>
      </c>
      <c r="B11915" s="4">
        <f>IFERROR(__xludf.DUMMYFUNCTION("""COMPUTED_VALUE"""),46132.0)</f>
        <v>46132</v>
      </c>
      <c r="C11915" s="1" t="str">
        <f>IFERROR(__xludf.DUMMYFUNCTION("""COMPUTED_VALUE"""),"Core Product Support")</f>
        <v>Core Product Support</v>
      </c>
      <c r="D11915" s="1" t="str">
        <f>IFERROR(__xludf.DUMMYFUNCTION("""COMPUTED_VALUE"""),"1eb2b14b-89e0-4d0c-8dba-b1677f4e689a")</f>
        <v>1eb2b14b-89e0-4d0c-8dba-b1677f4e689a</v>
      </c>
      <c r="E11915" s="1">
        <f>IFERROR(__xludf.DUMMYFUNCTION("""COMPUTED_VALUE"""),1.0548589296399E13)</f>
        <v>10548589296399</v>
      </c>
      <c r="F11915" s="1"/>
      <c r="G11915" s="1">
        <f>IFERROR(__xludf.DUMMYFUNCTION("""COMPUTED_VALUE"""),1.25)</f>
        <v>1.25</v>
      </c>
      <c r="H11915" s="2">
        <f>IFERROR(__xludf.DUMMYFUNCTION("""COMPUTED_VALUE"""),1.25)</f>
        <v>1.25</v>
      </c>
      <c r="I11915" s="5">
        <f>IFERROR(__xludf.DUMMYFUNCTION("""COMPUTED_VALUE"""),1.0)</f>
        <v>1</v>
      </c>
      <c r="J11915" s="1" t="str">
        <f>IFERROR(__xludf.DUMMYFUNCTION("""COMPUTED_VALUE"""),"Jahmie Mae Barrameda")</f>
        <v>Jahmie Mae Barrameda</v>
      </c>
      <c r="K11915" s="1" t="str">
        <f>IFERROR(__xludf.DUMMYFUNCTION("""COMPUTED_VALUE"""),"Advanced Billing &amp; Subscriptions")</f>
        <v>Advanced Billing &amp; Subscriptions</v>
      </c>
      <c r="L11915" s="1" t="str">
        <f>IFERROR(__xludf.DUMMYFUNCTION("""COMPUTED_VALUE"""),"CPS Advanced Billing and Subscriptions (ABS)")</f>
        <v>CPS Advanced Billing and Subscriptions (ABS)</v>
      </c>
    </row>
    <row r="11916">
      <c r="A11916" s="1" t="str">
        <f>IFERROR(__xludf.DUMMYFUNCTION("""COMPUTED_VALUE"""),"2026 Apr")</f>
        <v>2026 Apr</v>
      </c>
      <c r="B11916" s="4">
        <f>IFERROR(__xludf.DUMMYFUNCTION("""COMPUTED_VALUE"""),46132.0)</f>
        <v>46132</v>
      </c>
      <c r="C11916" s="1" t="str">
        <f>IFERROR(__xludf.DUMMYFUNCTION("""COMPUTED_VALUE"""),"Segment-specific Support")</f>
        <v>Segment-specific Support</v>
      </c>
      <c r="D11916" s="1" t="str">
        <f>IFERROR(__xludf.DUMMYFUNCTION("""COMPUTED_VALUE"""),"dc7b19dd-5e76-4150-a120-c97f83b2d671")</f>
        <v>dc7b19dd-5e76-4150-a120-c97f83b2d671</v>
      </c>
      <c r="E11916" s="1"/>
      <c r="F11916" s="1"/>
      <c r="G11916" s="1"/>
      <c r="H11916" s="2">
        <f>IFERROR(__xludf.DUMMYFUNCTION("""COMPUTED_VALUE"""),0.0)</f>
        <v>0</v>
      </c>
      <c r="I11916" s="5"/>
      <c r="J11916" s="1" t="str">
        <f>IFERROR(__xludf.DUMMYFUNCTION("""COMPUTED_VALUE"""),"Leigh Davison")</f>
        <v>Leigh Davison</v>
      </c>
      <c r="K11916" s="1" t="str">
        <f>IFERROR(__xludf.DUMMYFUNCTION("""COMPUTED_VALUE"""),"#N/A")</f>
        <v>#N/A</v>
      </c>
      <c r="L11916" s="1"/>
    </row>
    <row r="11917">
      <c r="A11917" s="1" t="str">
        <f>IFERROR(__xludf.DUMMYFUNCTION("""COMPUTED_VALUE"""),"2026 Apr")</f>
        <v>2026 Apr</v>
      </c>
      <c r="B11917" s="4">
        <f>IFERROR(__xludf.DUMMYFUNCTION("""COMPUTED_VALUE"""),46132.0)</f>
        <v>46132</v>
      </c>
      <c r="C11917" s="1" t="str">
        <f>IFERROR(__xludf.DUMMYFUNCTION("""COMPUTED_VALUE"""),"Admin Support")</f>
        <v>Admin Support</v>
      </c>
      <c r="D11917" s="1" t="str">
        <f>IFERROR(__xludf.DUMMYFUNCTION("""COMPUTED_VALUE"""),"7b0ced0a-55fc-49e4-b47c-ffbf2567dce1")</f>
        <v>7b0ced0a-55fc-49e4-b47c-ffbf2567dce1</v>
      </c>
      <c r="E11917" s="1">
        <f>IFERROR(__xludf.DUMMYFUNCTION("""COMPUTED_VALUE"""),3.61725486916E11)</f>
        <v>361725486916</v>
      </c>
      <c r="F11917" s="1"/>
      <c r="G11917" s="1">
        <f>IFERROR(__xludf.DUMMYFUNCTION("""COMPUTED_VALUE"""),0.25)</f>
        <v>0.25</v>
      </c>
      <c r="H11917" s="2">
        <f>IFERROR(__xludf.DUMMYFUNCTION("""COMPUTED_VALUE"""),0.25)</f>
        <v>0.25</v>
      </c>
      <c r="I11917" s="5">
        <f>IFERROR(__xludf.DUMMYFUNCTION("""COMPUTED_VALUE"""),1.0)</f>
        <v>1</v>
      </c>
      <c r="J11917" s="1" t="str">
        <f>IFERROR(__xludf.DUMMYFUNCTION("""COMPUTED_VALUE"""),"AL Suarez")</f>
        <v>AL Suarez</v>
      </c>
      <c r="K11917" s="1" t="str">
        <f>IFERROR(__xludf.DUMMYFUNCTION("""COMPUTED_VALUE"""),"Admin Direct Support")</f>
        <v>Admin Direct Support</v>
      </c>
      <c r="L11917" s="1" t="str">
        <f>IFERROR(__xludf.DUMMYFUNCTION("""COMPUTED_VALUE"""),"Admin Direct Support")</f>
        <v>Admin Direct Support</v>
      </c>
    </row>
    <row r="11918">
      <c r="A11918" s="1" t="str">
        <f>IFERROR(__xludf.DUMMYFUNCTION("""COMPUTED_VALUE"""),"2026 Apr")</f>
        <v>2026 Apr</v>
      </c>
      <c r="B11918" s="4">
        <f>IFERROR(__xludf.DUMMYFUNCTION("""COMPUTED_VALUE"""),46132.0)</f>
        <v>46132</v>
      </c>
      <c r="C11918" s="1" t="str">
        <f>IFERROR(__xludf.DUMMYFUNCTION("""COMPUTED_VALUE"""),"Core Product Support")</f>
        <v>Core Product Support</v>
      </c>
      <c r="D11918" s="1" t="str">
        <f>IFERROR(__xludf.DUMMYFUNCTION("""COMPUTED_VALUE"""),"3d997536-cb7f-49c5-af3e-e19fdf30bffc")</f>
        <v>3d997536-cb7f-49c5-af3e-e19fdf30bffc</v>
      </c>
      <c r="E11918" s="1">
        <f>IFERROR(__xludf.DUMMYFUNCTION("""COMPUTED_VALUE"""),5.047288728079E12)</f>
        <v>5047288728079</v>
      </c>
      <c r="F11918" s="1"/>
      <c r="G11918" s="1">
        <f>IFERROR(__xludf.DUMMYFUNCTION("""COMPUTED_VALUE"""),2.5)</f>
        <v>2.5</v>
      </c>
      <c r="H11918" s="2">
        <f>IFERROR(__xludf.DUMMYFUNCTION("""COMPUTED_VALUE"""),2.5)</f>
        <v>2.5</v>
      </c>
      <c r="I11918" s="5">
        <f>IFERROR(__xludf.DUMMYFUNCTION("""COMPUTED_VALUE"""),1.0)</f>
        <v>1</v>
      </c>
      <c r="J11918" s="1" t="str">
        <f>IFERROR(__xludf.DUMMYFUNCTION("""COMPUTED_VALUE"""),"Ellaine Estayo")</f>
        <v>Ellaine Estayo</v>
      </c>
      <c r="K11918" s="1" t="str">
        <f>IFERROR(__xludf.DUMMYFUNCTION("""COMPUTED_VALUE"""),"Core Product Support Escalation Team")</f>
        <v>Core Product Support Escalation Team</v>
      </c>
      <c r="L11918"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919">
      <c r="A11919" s="1" t="str">
        <f>IFERROR(__xludf.DUMMYFUNCTION("""COMPUTED_VALUE"""),"2026 Apr")</f>
        <v>2026 Apr</v>
      </c>
      <c r="B11919" s="4">
        <f>IFERROR(__xludf.DUMMYFUNCTION("""COMPUTED_VALUE"""),46132.0)</f>
        <v>46132</v>
      </c>
      <c r="C11919" s="1" t="str">
        <f>IFERROR(__xludf.DUMMYFUNCTION("""COMPUTED_VALUE"""),"Admin Support")</f>
        <v>Admin Support</v>
      </c>
      <c r="D11919" s="1" t="str">
        <f>IFERROR(__xludf.DUMMYFUNCTION("""COMPUTED_VALUE"""),"c7dd845d-4621-4bea-affd-b79e038f7157")</f>
        <v>c7dd845d-4621-4bea-affd-b79e038f7157</v>
      </c>
      <c r="E11919" s="1">
        <f>IFERROR(__xludf.DUMMYFUNCTION("""COMPUTED_VALUE"""),3.61733077235E11)</f>
        <v>361733077235</v>
      </c>
      <c r="F11919" s="1"/>
      <c r="G11919" s="1">
        <f>IFERROR(__xludf.DUMMYFUNCTION("""COMPUTED_VALUE"""),0.25)</f>
        <v>0.25</v>
      </c>
      <c r="H11919" s="2">
        <f>IFERROR(__xludf.DUMMYFUNCTION("""COMPUTED_VALUE"""),0.25)</f>
        <v>0.25</v>
      </c>
      <c r="I11919" s="5">
        <f>IFERROR(__xludf.DUMMYFUNCTION("""COMPUTED_VALUE"""),1.0)</f>
        <v>1</v>
      </c>
      <c r="J11919" s="1" t="str">
        <f>IFERROR(__xludf.DUMMYFUNCTION("""COMPUTED_VALUE"""),"Kelden Laguting")</f>
        <v>Kelden Laguting</v>
      </c>
      <c r="K11919" s="1" t="str">
        <f>IFERROR(__xludf.DUMMYFUNCTION("""COMPUTED_VALUE"""),"Admin Omni Support")</f>
        <v>Admin Omni Support</v>
      </c>
      <c r="L11919" s="1" t="str">
        <f>IFERROR(__xludf.DUMMYFUNCTION("""COMPUTED_VALUE"""),"Admin Omni Support")</f>
        <v>Admin Omni Support</v>
      </c>
    </row>
    <row r="11920">
      <c r="A11920" s="1" t="str">
        <f>IFERROR(__xludf.DUMMYFUNCTION("""COMPUTED_VALUE"""),"2026 Apr")</f>
        <v>2026 Apr</v>
      </c>
      <c r="B11920" s="4">
        <f>IFERROR(__xludf.DUMMYFUNCTION("""COMPUTED_VALUE"""),46132.0)</f>
        <v>46132</v>
      </c>
      <c r="C11920" s="1" t="str">
        <f>IFERROR(__xludf.DUMMYFUNCTION("""COMPUTED_VALUE"""),"Print Support")</f>
        <v>Print Support</v>
      </c>
      <c r="D11920" s="1" t="str">
        <f>IFERROR(__xludf.DUMMYFUNCTION("""COMPUTED_VALUE"""),"2f47c76e-714d-4a76-a0f8-309c2f542347")</f>
        <v>2f47c76e-714d-4a76-a0f8-309c2f542347</v>
      </c>
      <c r="E11920" s="1">
        <f>IFERROR(__xludf.DUMMYFUNCTION("""COMPUTED_VALUE"""),9.795981813775E12)</f>
        <v>9795981813775</v>
      </c>
      <c r="F11920" s="1"/>
      <c r="G11920" s="1"/>
      <c r="H11920" s="2">
        <f>IFERROR(__xludf.DUMMYFUNCTION("""COMPUTED_VALUE"""),0.0)</f>
        <v>0</v>
      </c>
      <c r="I11920" s="5"/>
      <c r="J11920" s="1" t="str">
        <f>IFERROR(__xludf.DUMMYFUNCTION("""COMPUTED_VALUE"""),"Louise Dianne Estrella")</f>
        <v>Louise Dianne Estrella</v>
      </c>
      <c r="K11920" s="1" t="str">
        <f>IFERROR(__xludf.DUMMYFUNCTION("""COMPUTED_VALUE"""),"Print Support PH")</f>
        <v>Print Support PH</v>
      </c>
      <c r="L11920" s="1" t="str">
        <f>IFERROR(__xludf.DUMMYFUNCTION("""COMPUTED_VALUE"""),"Print Print - CHT")</f>
        <v>Print Print - CHT</v>
      </c>
    </row>
    <row r="11921">
      <c r="A11921" s="1" t="str">
        <f>IFERROR(__xludf.DUMMYFUNCTION("""COMPUTED_VALUE"""),"2026 Apr")</f>
        <v>2026 Apr</v>
      </c>
      <c r="B11921" s="4">
        <f>IFERROR(__xludf.DUMMYFUNCTION("""COMPUTED_VALUE"""),46132.0)</f>
        <v>46132</v>
      </c>
      <c r="C11921" s="1" t="str">
        <f>IFERROR(__xludf.DUMMYFUNCTION("""COMPUTED_VALUE"""),"Admin Support")</f>
        <v>Admin Support</v>
      </c>
      <c r="D11921" s="1" t="str">
        <f>IFERROR(__xludf.DUMMYFUNCTION("""COMPUTED_VALUE"""),"7e09e164-9198-4707-9738-44a04cc51b7c")</f>
        <v>7e09e164-9198-4707-9738-44a04cc51b7c</v>
      </c>
      <c r="E11921" s="1">
        <f>IFERROR(__xludf.DUMMYFUNCTION("""COMPUTED_VALUE"""),3.61724965056E11)</f>
        <v>361724965056</v>
      </c>
      <c r="F11921" s="1"/>
      <c r="G11921" s="1">
        <f>IFERROR(__xludf.DUMMYFUNCTION("""COMPUTED_VALUE"""),0.25)</f>
        <v>0.25</v>
      </c>
      <c r="H11921" s="2">
        <f>IFERROR(__xludf.DUMMYFUNCTION("""COMPUTED_VALUE"""),0.25)</f>
        <v>0.25</v>
      </c>
      <c r="I11921" s="5">
        <f>IFERROR(__xludf.DUMMYFUNCTION("""COMPUTED_VALUE"""),1.0)</f>
        <v>1</v>
      </c>
      <c r="J11921" s="1" t="str">
        <f>IFERROR(__xludf.DUMMYFUNCTION("""COMPUTED_VALUE"""),"Kelden Laguting")</f>
        <v>Kelden Laguting</v>
      </c>
      <c r="K11921" s="1" t="str">
        <f>IFERROR(__xludf.DUMMYFUNCTION("""COMPUTED_VALUE"""),"Admin Omni Support")</f>
        <v>Admin Omni Support</v>
      </c>
      <c r="L11921" s="1" t="str">
        <f>IFERROR(__xludf.DUMMYFUNCTION("""COMPUTED_VALUE"""),"Admin Omni Support")</f>
        <v>Admin Omni Support</v>
      </c>
    </row>
    <row r="11922">
      <c r="A11922" s="1" t="str">
        <f>IFERROR(__xludf.DUMMYFUNCTION("""COMPUTED_VALUE"""),"2026 Apr")</f>
        <v>2026 Apr</v>
      </c>
      <c r="B11922" s="4">
        <f>IFERROR(__xludf.DUMMYFUNCTION("""COMPUTED_VALUE"""),46132.0)</f>
        <v>46132</v>
      </c>
      <c r="C11922" s="1" t="str">
        <f>IFERROR(__xludf.DUMMYFUNCTION("""COMPUTED_VALUE"""),"Core Product Support")</f>
        <v>Core Product Support</v>
      </c>
      <c r="D11922" s="1" t="str">
        <f>IFERROR(__xludf.DUMMYFUNCTION("""COMPUTED_VALUE"""),"a75c3ed6-de83-40cb-ad3d-ac0eaa323ceb")</f>
        <v>a75c3ed6-de83-40cb-ad3d-ac0eaa323ceb</v>
      </c>
      <c r="E11922" s="1">
        <f>IFERROR(__xludf.DUMMYFUNCTION("""COMPUTED_VALUE"""),7.631065796495E12)</f>
        <v>7631065796495</v>
      </c>
      <c r="F11922" s="1"/>
      <c r="G11922" s="1">
        <f>IFERROR(__xludf.DUMMYFUNCTION("""COMPUTED_VALUE"""),1.25)</f>
        <v>1.25</v>
      </c>
      <c r="H11922" s="2">
        <f>IFERROR(__xludf.DUMMYFUNCTION("""COMPUTED_VALUE"""),1.25)</f>
        <v>1.25</v>
      </c>
      <c r="I11922" s="5">
        <f>IFERROR(__xludf.DUMMYFUNCTION("""COMPUTED_VALUE"""),1.0)</f>
        <v>1</v>
      </c>
      <c r="J11922" s="1" t="str">
        <f>IFERROR(__xludf.DUMMYFUNCTION("""COMPUTED_VALUE"""),"Cherry Macam")</f>
        <v>Cherry Macam</v>
      </c>
      <c r="K11922" s="1" t="str">
        <f>IFERROR(__xludf.DUMMYFUNCTION("""COMPUTED_VALUE"""),"Advanced Billing &amp; Subscriptions")</f>
        <v>Advanced Billing &amp; Subscriptions</v>
      </c>
      <c r="L11922" s="1" t="str">
        <f>IFERROR(__xludf.DUMMYFUNCTION("""COMPUTED_VALUE"""),"CPS Advanced Billing and Subscriptions (ABS)")</f>
        <v>CPS Advanced Billing and Subscriptions (ABS)</v>
      </c>
    </row>
    <row r="11923">
      <c r="A11923" s="1" t="str">
        <f>IFERROR(__xludf.DUMMYFUNCTION("""COMPUTED_VALUE"""),"2026 Apr")</f>
        <v>2026 Apr</v>
      </c>
      <c r="B11923" s="4">
        <f>IFERROR(__xludf.DUMMYFUNCTION("""COMPUTED_VALUE"""),46132.0)</f>
        <v>46132</v>
      </c>
      <c r="C11923" s="1" t="str">
        <f>IFERROR(__xludf.DUMMYFUNCTION("""COMPUTED_VALUE"""),"Print Support")</f>
        <v>Print Support</v>
      </c>
      <c r="D11923" s="1" t="str">
        <f>IFERROR(__xludf.DUMMYFUNCTION("""COMPUTED_VALUE"""),"5edc36fa-9df2-47e0-bbda-2c0b5a323efc")</f>
        <v>5edc36fa-9df2-47e0-bbda-2c0b5a323efc</v>
      </c>
      <c r="E11923" s="1"/>
      <c r="F11923" s="1"/>
      <c r="G11923" s="1"/>
      <c r="H11923" s="2">
        <f>IFERROR(__xludf.DUMMYFUNCTION("""COMPUTED_VALUE"""),0.0)</f>
        <v>0</v>
      </c>
      <c r="I11923" s="5"/>
      <c r="J11923" s="1" t="str">
        <f>IFERROR(__xludf.DUMMYFUNCTION("""COMPUTED_VALUE"""),"Gem Agoncillo")</f>
        <v>Gem Agoncillo</v>
      </c>
      <c r="K11923" s="1" t="str">
        <f>IFERROR(__xludf.DUMMYFUNCTION("""COMPUTED_VALUE"""),"Print Design Support")</f>
        <v>Print Design Support</v>
      </c>
      <c r="L11923" s="1" t="str">
        <f>IFERROR(__xludf.DUMMYFUNCTION("""COMPUTED_VALUE"""),"Print Print Design")</f>
        <v>Print Print Design</v>
      </c>
    </row>
    <row r="11924">
      <c r="A11924" s="1" t="str">
        <f>IFERROR(__xludf.DUMMYFUNCTION("""COMPUTED_VALUE"""),"2026 Apr")</f>
        <v>2026 Apr</v>
      </c>
      <c r="B11924" s="4">
        <f>IFERROR(__xludf.DUMMYFUNCTION("""COMPUTED_VALUE"""),46132.0)</f>
        <v>46132</v>
      </c>
      <c r="C11924" s="1" t="str">
        <f>IFERROR(__xludf.DUMMYFUNCTION("""COMPUTED_VALUE"""),"High Sensitivity Support")</f>
        <v>High Sensitivity Support</v>
      </c>
      <c r="D11924" s="1" t="str">
        <f>IFERROR(__xludf.DUMMYFUNCTION("""COMPUTED_VALUE"""),"19c32062-e149-4a3e-82ea-708be4d86c06")</f>
        <v>19c32062-e149-4a3e-82ea-708be4d86c06</v>
      </c>
      <c r="E11924" s="1">
        <f>IFERROR(__xludf.DUMMYFUNCTION("""COMPUTED_VALUE"""),8.904494969999E12)</f>
        <v>8904494969999</v>
      </c>
      <c r="F11924" s="1"/>
      <c r="G11924" s="1"/>
      <c r="H11924" s="2">
        <f>IFERROR(__xludf.DUMMYFUNCTION("""COMPUTED_VALUE"""),0.0)</f>
        <v>0</v>
      </c>
      <c r="I11924" s="5"/>
      <c r="J11924" s="1" t="str">
        <f>IFERROR(__xludf.DUMMYFUNCTION("""COMPUTED_VALUE"""),"Issi Afable")</f>
        <v>Issi Afable</v>
      </c>
      <c r="K11924" s="1" t="str">
        <f>IFERROR(__xludf.DUMMYFUNCTION("""COMPUTED_VALUE"""),"High Sensitivity Support PH")</f>
        <v>High Sensitivity Support PH</v>
      </c>
      <c r="L11924" s="1" t="str">
        <f>IFERROR(__xludf.DUMMYFUNCTION("""COMPUTED_VALUE"""),"HSS High Sensitivity Support PH - SEE")</f>
        <v>HSS High Sensitivity Support PH - SEE</v>
      </c>
    </row>
    <row r="11925">
      <c r="A11925" s="1" t="str">
        <f>IFERROR(__xludf.DUMMYFUNCTION("""COMPUTED_VALUE"""),"2026 Apr")</f>
        <v>2026 Apr</v>
      </c>
      <c r="B11925" s="4">
        <f>IFERROR(__xludf.DUMMYFUNCTION("""COMPUTED_VALUE"""),46132.0)</f>
        <v>46132</v>
      </c>
      <c r="C11925" s="1" t="str">
        <f>IFERROR(__xludf.DUMMYFUNCTION("""COMPUTED_VALUE"""),"Print Support")</f>
        <v>Print Support</v>
      </c>
      <c r="D11925" s="1" t="str">
        <f>IFERROR(__xludf.DUMMYFUNCTION("""COMPUTED_VALUE"""),"5efa61d3-4fd2-4d01-a492-e08cab6832f9")</f>
        <v>5efa61d3-4fd2-4d01-a492-e08cab6832f9</v>
      </c>
      <c r="E11925" s="1">
        <f>IFERROR(__xludf.DUMMYFUNCTION("""COMPUTED_VALUE"""),5.902015961999E12)</f>
        <v>5902015961999</v>
      </c>
      <c r="F11925" s="1"/>
      <c r="G11925" s="1"/>
      <c r="H11925" s="2">
        <f>IFERROR(__xludf.DUMMYFUNCTION("""COMPUTED_VALUE"""),0.0)</f>
        <v>0</v>
      </c>
      <c r="I11925" s="5"/>
      <c r="J11925" s="1" t="str">
        <f>IFERROR(__xludf.DUMMYFUNCTION("""COMPUTED_VALUE"""),"Jen Momo")</f>
        <v>Jen Momo</v>
      </c>
      <c r="K11925" s="1" t="str">
        <f>IFERROR(__xludf.DUMMYFUNCTION("""COMPUTED_VALUE"""),"Print Support PH")</f>
        <v>Print Support PH</v>
      </c>
      <c r="L11925" s="1" t="str">
        <f>IFERROR(__xludf.DUMMYFUNCTION("""COMPUTED_VALUE"""),"Print Print - CHT")</f>
        <v>Print Print - CHT</v>
      </c>
    </row>
    <row r="11926">
      <c r="A11926" s="1" t="str">
        <f>IFERROR(__xludf.DUMMYFUNCTION("""COMPUTED_VALUE"""),"2026 Apr")</f>
        <v>2026 Apr</v>
      </c>
      <c r="B11926" s="4">
        <f>IFERROR(__xludf.DUMMYFUNCTION("""COMPUTED_VALUE"""),46132.0)</f>
        <v>46132</v>
      </c>
      <c r="C11926" s="1" t="str">
        <f>IFERROR(__xludf.DUMMYFUNCTION("""COMPUTED_VALUE"""),"Core Product Support")</f>
        <v>Core Product Support</v>
      </c>
      <c r="D11926" s="1" t="str">
        <f>IFERROR(__xludf.DUMMYFUNCTION("""COMPUTED_VALUE"""),"1ee13beb-f5ac-4c80-bcfb-9f0dc190fe68")</f>
        <v>1ee13beb-f5ac-4c80-bcfb-9f0dc190fe68</v>
      </c>
      <c r="E11926" s="1">
        <f>IFERROR(__xludf.DUMMYFUNCTION("""COMPUTED_VALUE"""),3.61725115656E11)</f>
        <v>361725115656</v>
      </c>
      <c r="F11926" s="1"/>
      <c r="G11926" s="1">
        <f>IFERROR(__xludf.DUMMYFUNCTION("""COMPUTED_VALUE"""),2.5)</f>
        <v>2.5</v>
      </c>
      <c r="H11926" s="2">
        <f>IFERROR(__xludf.DUMMYFUNCTION("""COMPUTED_VALUE"""),2.5)</f>
        <v>2.5</v>
      </c>
      <c r="I11926" s="5">
        <f>IFERROR(__xludf.DUMMYFUNCTION("""COMPUTED_VALUE"""),1.0)</f>
        <v>1</v>
      </c>
      <c r="J11926" s="1" t="str">
        <f>IFERROR(__xludf.DUMMYFUNCTION("""COMPUTED_VALUE"""),"Ellaine Estayo")</f>
        <v>Ellaine Estayo</v>
      </c>
      <c r="K11926" s="1" t="str">
        <f>IFERROR(__xludf.DUMMYFUNCTION("""COMPUTED_VALUE"""),"Core Product Support Escalation Team")</f>
        <v>Core Product Support Escalation Team</v>
      </c>
      <c r="L11926"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927">
      <c r="A11927" s="1" t="str">
        <f>IFERROR(__xludf.DUMMYFUNCTION("""COMPUTED_VALUE"""),"2026 Apr")</f>
        <v>2026 Apr</v>
      </c>
      <c r="B11927" s="4">
        <f>IFERROR(__xludf.DUMMYFUNCTION("""COMPUTED_VALUE"""),46132.0)</f>
        <v>46132</v>
      </c>
      <c r="C11927" s="1" t="str">
        <f>IFERROR(__xludf.DUMMYFUNCTION("""COMPUTED_VALUE"""),"Core Product Support")</f>
        <v>Core Product Support</v>
      </c>
      <c r="D11927" s="1" t="str">
        <f>IFERROR(__xludf.DUMMYFUNCTION("""COMPUTED_VALUE"""),"d625e596-8198-45f9-94ea-d04d6f6a8b27")</f>
        <v>d625e596-8198-45f9-94ea-d04d6f6a8b27</v>
      </c>
      <c r="E11927" s="1">
        <f>IFERROR(__xludf.DUMMYFUNCTION("""COMPUTED_VALUE"""),1.0333049701519E13)</f>
        <v>10333049701519</v>
      </c>
      <c r="F11927" s="1"/>
      <c r="G11927" s="1">
        <f>IFERROR(__xludf.DUMMYFUNCTION("""COMPUTED_VALUE"""),1.25)</f>
        <v>1.25</v>
      </c>
      <c r="H11927" s="2">
        <f>IFERROR(__xludf.DUMMYFUNCTION("""COMPUTED_VALUE"""),1.25)</f>
        <v>1.25</v>
      </c>
      <c r="I11927" s="5">
        <f>IFERROR(__xludf.DUMMYFUNCTION("""COMPUTED_VALUE"""),1.0)</f>
        <v>1</v>
      </c>
      <c r="J11927" s="1" t="str">
        <f>IFERROR(__xludf.DUMMYFUNCTION("""COMPUTED_VALUE"""),"Vinz Lazaro")</f>
        <v>Vinz Lazaro</v>
      </c>
      <c r="K11927" s="1" t="str">
        <f>IFERROR(__xludf.DUMMYFUNCTION("""COMPUTED_VALUE"""),"Advanced Product Support")</f>
        <v>Advanced Product Support</v>
      </c>
      <c r="L11927" s="1" t="str">
        <f>IFERROR(__xludf.DUMMYFUNCTION("""COMPUTED_VALUE"""),"CPS Advanced Product Support (APS)")</f>
        <v>CPS Advanced Product Support (APS)</v>
      </c>
    </row>
    <row r="11928">
      <c r="A11928" s="1" t="str">
        <f>IFERROR(__xludf.DUMMYFUNCTION("""COMPUTED_VALUE"""),"2026 Apr")</f>
        <v>2026 Apr</v>
      </c>
      <c r="B11928" s="4">
        <f>IFERROR(__xludf.DUMMYFUNCTION("""COMPUTED_VALUE"""),46132.0)</f>
        <v>46132</v>
      </c>
      <c r="C11928" s="1" t="str">
        <f>IFERROR(__xludf.DUMMYFUNCTION("""COMPUTED_VALUE"""),"Segment-specific Support")</f>
        <v>Segment-specific Support</v>
      </c>
      <c r="D11928" s="1" t="str">
        <f>IFERROR(__xludf.DUMMYFUNCTION("""COMPUTED_VALUE"""),"c9fa58e5-ccb3-4c72-a2e7-5a6fc2210b69")</f>
        <v>c9fa58e5-ccb3-4c72-a2e7-5a6fc2210b69</v>
      </c>
      <c r="E11928" s="1">
        <f>IFERROR(__xludf.DUMMYFUNCTION("""COMPUTED_VALUE"""),1.1401981299343E13)</f>
        <v>11401981299343</v>
      </c>
      <c r="F11928" s="1"/>
      <c r="G11928" s="1"/>
      <c r="H11928" s="2">
        <f>IFERROR(__xludf.DUMMYFUNCTION("""COMPUTED_VALUE"""),0.0)</f>
        <v>0</v>
      </c>
      <c r="I11928" s="5"/>
      <c r="J11928" s="1" t="str">
        <f>IFERROR(__xludf.DUMMYFUNCTION("""COMPUTED_VALUE"""),"Aileen Dayanghirang")</f>
        <v>Aileen Dayanghirang</v>
      </c>
      <c r="K11928" s="1" t="str">
        <f>IFERROR(__xludf.DUMMYFUNCTION("""COMPUTED_VALUE"""),"Creators Support")</f>
        <v>Creators Support</v>
      </c>
      <c r="L11928" s="1" t="str">
        <f>IFERROR(__xludf.DUMMYFUNCTION("""COMPUTED_VALUE"""),"SSS Creators")</f>
        <v>SSS Creators</v>
      </c>
    </row>
    <row r="11929">
      <c r="A11929" s="1" t="str">
        <f>IFERROR(__xludf.DUMMYFUNCTION("""COMPUTED_VALUE"""),"2026 Apr")</f>
        <v>2026 Apr</v>
      </c>
      <c r="B11929" s="4">
        <f>IFERROR(__xludf.DUMMYFUNCTION("""COMPUTED_VALUE"""),46132.0)</f>
        <v>46132</v>
      </c>
      <c r="C11929" s="1" t="str">
        <f>IFERROR(__xludf.DUMMYFUNCTION("""COMPUTED_VALUE"""),"Admin Support")</f>
        <v>Admin Support</v>
      </c>
      <c r="D11929" s="1" t="str">
        <f>IFERROR(__xludf.DUMMYFUNCTION("""COMPUTED_VALUE"""),"6695b35c-7a53-4eb2-bcfc-9808f8e07dd8")</f>
        <v>6695b35c-7a53-4eb2-bcfc-9808f8e07dd8</v>
      </c>
      <c r="E11929" s="1">
        <f>IFERROR(__xludf.DUMMYFUNCTION("""COMPUTED_VALUE"""),3.61732164295E11)</f>
        <v>361732164295</v>
      </c>
      <c r="F11929" s="1"/>
      <c r="G11929" s="1">
        <f>IFERROR(__xludf.DUMMYFUNCTION("""COMPUTED_VALUE"""),0.25)</f>
        <v>0.25</v>
      </c>
      <c r="H11929" s="2">
        <f>IFERROR(__xludf.DUMMYFUNCTION("""COMPUTED_VALUE"""),0.25)</f>
        <v>0.25</v>
      </c>
      <c r="I11929" s="5">
        <f>IFERROR(__xludf.DUMMYFUNCTION("""COMPUTED_VALUE"""),1.0)</f>
        <v>1</v>
      </c>
      <c r="J11929" s="1" t="str">
        <f>IFERROR(__xludf.DUMMYFUNCTION("""COMPUTED_VALUE"""),"Kelden Laguting")</f>
        <v>Kelden Laguting</v>
      </c>
      <c r="K11929" s="1" t="str">
        <f>IFERROR(__xludf.DUMMYFUNCTION("""COMPUTED_VALUE"""),"Admin Omni Support")</f>
        <v>Admin Omni Support</v>
      </c>
      <c r="L11929" s="1" t="str">
        <f>IFERROR(__xludf.DUMMYFUNCTION("""COMPUTED_VALUE"""),"Admin Omni Support")</f>
        <v>Admin Omni Support</v>
      </c>
    </row>
    <row r="11930">
      <c r="A11930" s="1" t="str">
        <f>IFERROR(__xludf.DUMMYFUNCTION("""COMPUTED_VALUE"""),"2026 Apr")</f>
        <v>2026 Apr</v>
      </c>
      <c r="B11930" s="4">
        <f>IFERROR(__xludf.DUMMYFUNCTION("""COMPUTED_VALUE"""),46132.0)</f>
        <v>46132</v>
      </c>
      <c r="C11930" s="1" t="str">
        <f>IFERROR(__xludf.DUMMYFUNCTION("""COMPUTED_VALUE"""),"Core Product Support")</f>
        <v>Core Product Support</v>
      </c>
      <c r="D11930" s="1" t="str">
        <f>IFERROR(__xludf.DUMMYFUNCTION("""COMPUTED_VALUE"""),"a460fd1a-1ef6-4034-a4ca-14a4c4765f42")</f>
        <v>a460fd1a-1ef6-4034-a4ca-14a4c4765f42</v>
      </c>
      <c r="E11930" s="1">
        <f>IFERROR(__xludf.DUMMYFUNCTION("""COMPUTED_VALUE"""),9.107766464399E12)</f>
        <v>9107766464399</v>
      </c>
      <c r="F11930" s="1"/>
      <c r="G11930" s="1">
        <f>IFERROR(__xludf.DUMMYFUNCTION("""COMPUTED_VALUE"""),1.25)</f>
        <v>1.25</v>
      </c>
      <c r="H11930" s="2">
        <f>IFERROR(__xludf.DUMMYFUNCTION("""COMPUTED_VALUE"""),1.25)</f>
        <v>1.25</v>
      </c>
      <c r="I11930" s="5">
        <f>IFERROR(__xludf.DUMMYFUNCTION("""COMPUTED_VALUE"""),1.0)</f>
        <v>1</v>
      </c>
      <c r="J11930" s="1" t="str">
        <f>IFERROR(__xludf.DUMMYFUNCTION("""COMPUTED_VALUE"""),"Ana Lazaro")</f>
        <v>Ana Lazaro</v>
      </c>
      <c r="K11930" s="1" t="str">
        <f>IFERROR(__xludf.DUMMYFUNCTION("""COMPUTED_VALUE"""),"Advanced Billing &amp; Subscriptions")</f>
        <v>Advanced Billing &amp; Subscriptions</v>
      </c>
      <c r="L11930" s="1" t="str">
        <f>IFERROR(__xludf.DUMMYFUNCTION("""COMPUTED_VALUE"""),"CPS Advanced Billing and Subscriptions (ABS)")</f>
        <v>CPS Advanced Billing and Subscriptions (ABS)</v>
      </c>
    </row>
    <row r="11931">
      <c r="A11931" s="1" t="str">
        <f>IFERROR(__xludf.DUMMYFUNCTION("""COMPUTED_VALUE"""),"2026 Apr")</f>
        <v>2026 Apr</v>
      </c>
      <c r="B11931" s="4">
        <f>IFERROR(__xludf.DUMMYFUNCTION("""COMPUTED_VALUE"""),46132.0)</f>
        <v>46132</v>
      </c>
      <c r="C11931" s="1" t="str">
        <f>IFERROR(__xludf.DUMMYFUNCTION("""COMPUTED_VALUE"""),"Print Support")</f>
        <v>Print Support</v>
      </c>
      <c r="D11931" s="1" t="str">
        <f>IFERROR(__xludf.DUMMYFUNCTION("""COMPUTED_VALUE"""),"2ffdab50-ba8e-4ff1-a8d9-e609f47d6cbd")</f>
        <v>2ffdab50-ba8e-4ff1-a8d9-e609f47d6cbd</v>
      </c>
      <c r="E11931" s="1">
        <f>IFERROR(__xludf.DUMMYFUNCTION("""COMPUTED_VALUE"""),3.61731515115E11)</f>
        <v>361731515115</v>
      </c>
      <c r="F11931" s="1"/>
      <c r="G11931" s="1"/>
      <c r="H11931" s="2">
        <f>IFERROR(__xludf.DUMMYFUNCTION("""COMPUTED_VALUE"""),0.0)</f>
        <v>0</v>
      </c>
      <c r="I11931" s="5"/>
      <c r="J11931" s="1" t="str">
        <f>IFERROR(__xludf.DUMMYFUNCTION("""COMPUTED_VALUE"""),"Jen Momo")</f>
        <v>Jen Momo</v>
      </c>
      <c r="K11931" s="1" t="str">
        <f>IFERROR(__xludf.DUMMYFUNCTION("""COMPUTED_VALUE"""),"Print Support PH")</f>
        <v>Print Support PH</v>
      </c>
      <c r="L11931" s="1" t="str">
        <f>IFERROR(__xludf.DUMMYFUNCTION("""COMPUTED_VALUE"""),"Print Print - CHT")</f>
        <v>Print Print - CHT</v>
      </c>
    </row>
    <row r="11932">
      <c r="A11932" s="1" t="str">
        <f>IFERROR(__xludf.DUMMYFUNCTION("""COMPUTED_VALUE"""),"2026 Apr")</f>
        <v>2026 Apr</v>
      </c>
      <c r="B11932" s="4">
        <f>IFERROR(__xludf.DUMMYFUNCTION("""COMPUTED_VALUE"""),46132.0)</f>
        <v>46132</v>
      </c>
      <c r="C11932" s="1" t="str">
        <f>IFERROR(__xludf.DUMMYFUNCTION("""COMPUTED_VALUE"""),"Core Product Support")</f>
        <v>Core Product Support</v>
      </c>
      <c r="D11932" s="1" t="str">
        <f>IFERROR(__xludf.DUMMYFUNCTION("""COMPUTED_VALUE"""),"53c72618-3bf9-4bcf-adf4-39677fd20e1f")</f>
        <v>53c72618-3bf9-4bcf-adf4-39677fd20e1f</v>
      </c>
      <c r="E11932" s="1">
        <f>IFERROR(__xludf.DUMMYFUNCTION("""COMPUTED_VALUE"""),1.1035324543247E13)</f>
        <v>11035324543247</v>
      </c>
      <c r="F11932" s="1"/>
      <c r="G11932" s="1">
        <f>IFERROR(__xludf.DUMMYFUNCTION("""COMPUTED_VALUE"""),1.25)</f>
        <v>1.25</v>
      </c>
      <c r="H11932" s="2">
        <f>IFERROR(__xludf.DUMMYFUNCTION("""COMPUTED_VALUE"""),1.25)</f>
        <v>1.25</v>
      </c>
      <c r="I11932" s="5">
        <f>IFERROR(__xludf.DUMMYFUNCTION("""COMPUTED_VALUE"""),1.0)</f>
        <v>1</v>
      </c>
      <c r="J11932" s="1" t="str">
        <f>IFERROR(__xludf.DUMMYFUNCTION("""COMPUTED_VALUE"""),"Ayza Marie Pascual")</f>
        <v>Ayza Marie Pascual</v>
      </c>
      <c r="K11932" s="1" t="str">
        <f>IFERROR(__xludf.DUMMYFUNCTION("""COMPUTED_VALUE"""),"Advanced Billing &amp; Subscriptions")</f>
        <v>Advanced Billing &amp; Subscriptions</v>
      </c>
      <c r="L11932" s="1" t="str">
        <f>IFERROR(__xludf.DUMMYFUNCTION("""COMPUTED_VALUE"""),"CPS Advanced Billing and Subscriptions (ABS)")</f>
        <v>CPS Advanced Billing and Subscriptions (ABS)</v>
      </c>
    </row>
    <row r="11933">
      <c r="A11933" s="1" t="str">
        <f>IFERROR(__xludf.DUMMYFUNCTION("""COMPUTED_VALUE"""),"2026 Apr")</f>
        <v>2026 Apr</v>
      </c>
      <c r="B11933" s="4">
        <f>IFERROR(__xludf.DUMMYFUNCTION("""COMPUTED_VALUE"""),46132.0)</f>
        <v>46132</v>
      </c>
      <c r="C11933" s="1" t="str">
        <f>IFERROR(__xludf.DUMMYFUNCTION("""COMPUTED_VALUE"""),"Core Product Support")</f>
        <v>Core Product Support</v>
      </c>
      <c r="D11933" s="1" t="str">
        <f>IFERROR(__xludf.DUMMYFUNCTION("""COMPUTED_VALUE"""),"08e80e21-5eab-4b4f-bd2a-c3d833caa4fc")</f>
        <v>08e80e21-5eab-4b4f-bd2a-c3d833caa4fc</v>
      </c>
      <c r="E11933" s="1">
        <f>IFERROR(__xludf.DUMMYFUNCTION("""COMPUTED_VALUE"""),8.409877156495E12)</f>
        <v>8409877156495</v>
      </c>
      <c r="F11933" s="1"/>
      <c r="G11933" s="1">
        <f>IFERROR(__xludf.DUMMYFUNCTION("""COMPUTED_VALUE"""),1.25)</f>
        <v>1.25</v>
      </c>
      <c r="H11933" s="2">
        <f>IFERROR(__xludf.DUMMYFUNCTION("""COMPUTED_VALUE"""),1.25)</f>
        <v>1.25</v>
      </c>
      <c r="I11933" s="5">
        <f>IFERROR(__xludf.DUMMYFUNCTION("""COMPUTED_VALUE"""),1.0)</f>
        <v>1</v>
      </c>
      <c r="J11933" s="1" t="str">
        <f>IFERROR(__xludf.DUMMYFUNCTION("""COMPUTED_VALUE"""),"Jahmie Mae Barrameda")</f>
        <v>Jahmie Mae Barrameda</v>
      </c>
      <c r="K11933" s="1" t="str">
        <f>IFERROR(__xludf.DUMMYFUNCTION("""COMPUTED_VALUE"""),"Advanced Billing &amp; Subscriptions")</f>
        <v>Advanced Billing &amp; Subscriptions</v>
      </c>
      <c r="L11933" s="1" t="str">
        <f>IFERROR(__xludf.DUMMYFUNCTION("""COMPUTED_VALUE"""),"CPS Advanced Billing and Subscriptions (ABS)")</f>
        <v>CPS Advanced Billing and Subscriptions (ABS)</v>
      </c>
    </row>
    <row r="11934">
      <c r="A11934" s="1" t="str">
        <f>IFERROR(__xludf.DUMMYFUNCTION("""COMPUTED_VALUE"""),"2026 Apr")</f>
        <v>2026 Apr</v>
      </c>
      <c r="B11934" s="4">
        <f>IFERROR(__xludf.DUMMYFUNCTION("""COMPUTED_VALUE"""),46132.0)</f>
        <v>46132</v>
      </c>
      <c r="C11934" s="1" t="str">
        <f>IFERROR(__xludf.DUMMYFUNCTION("""COMPUTED_VALUE"""),"Core Product Support")</f>
        <v>Core Product Support</v>
      </c>
      <c r="D11934" s="1" t="str">
        <f>IFERROR(__xludf.DUMMYFUNCTION("""COMPUTED_VALUE"""),"41e73ce2-bda5-4412-b2d5-381b4a0a0fdd")</f>
        <v>41e73ce2-bda5-4412-b2d5-381b4a0a0fdd</v>
      </c>
      <c r="E11934" s="1">
        <f>IFERROR(__xludf.DUMMYFUNCTION("""COMPUTED_VALUE"""),3.61750008275E11)</f>
        <v>361750008275</v>
      </c>
      <c r="F11934" s="1"/>
      <c r="G11934" s="1">
        <f>IFERROR(__xludf.DUMMYFUNCTION("""COMPUTED_VALUE"""),2.5)</f>
        <v>2.5</v>
      </c>
      <c r="H11934" s="2">
        <f>IFERROR(__xludf.DUMMYFUNCTION("""COMPUTED_VALUE"""),2.5)</f>
        <v>2.5</v>
      </c>
      <c r="I11934" s="5">
        <f>IFERROR(__xludf.DUMMYFUNCTION("""COMPUTED_VALUE"""),1.0)</f>
        <v>1</v>
      </c>
      <c r="J11934" s="1" t="str">
        <f>IFERROR(__xludf.DUMMYFUNCTION("""COMPUTED_VALUE"""),"Jelyn Elmido")</f>
        <v>Jelyn Elmido</v>
      </c>
      <c r="K11934" s="1" t="str">
        <f>IFERROR(__xludf.DUMMYFUNCTION("""COMPUTED_VALUE"""),"Core Product Support Escalation Team")</f>
        <v>Core Product Support Escalation Team</v>
      </c>
      <c r="L11934"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935">
      <c r="A11935" s="1" t="str">
        <f>IFERROR(__xludf.DUMMYFUNCTION("""COMPUTED_VALUE"""),"2026 Apr")</f>
        <v>2026 Apr</v>
      </c>
      <c r="B11935" s="4">
        <f>IFERROR(__xludf.DUMMYFUNCTION("""COMPUTED_VALUE"""),46132.0)</f>
        <v>46132</v>
      </c>
      <c r="C11935" s="1" t="str">
        <f>IFERROR(__xludf.DUMMYFUNCTION("""COMPUTED_VALUE"""),"Print Support")</f>
        <v>Print Support</v>
      </c>
      <c r="D11935" s="1" t="str">
        <f>IFERROR(__xludf.DUMMYFUNCTION("""COMPUTED_VALUE"""),"a8e62322-b2dc-4c8a-842a-2a259dac6528")</f>
        <v>a8e62322-b2dc-4c8a-842a-2a259dac6528</v>
      </c>
      <c r="E11935" s="1">
        <f>IFERROR(__xludf.DUMMYFUNCTION("""COMPUTED_VALUE"""),9.285106592655E12)</f>
        <v>9285106592655</v>
      </c>
      <c r="F11935" s="1"/>
      <c r="G11935" s="1"/>
      <c r="H11935" s="2">
        <f>IFERROR(__xludf.DUMMYFUNCTION("""COMPUTED_VALUE"""),0.0)</f>
        <v>0</v>
      </c>
      <c r="I11935" s="5"/>
      <c r="J11935" s="1" t="str">
        <f>IFERROR(__xludf.DUMMYFUNCTION("""COMPUTED_VALUE"""),"Althea Mercado")</f>
        <v>Althea Mercado</v>
      </c>
      <c r="K11935" s="1" t="str">
        <f>IFERROR(__xludf.DUMMYFUNCTION("""COMPUTED_VALUE"""),"Print Support PH")</f>
        <v>Print Support PH</v>
      </c>
      <c r="L11935" s="1" t="str">
        <f>IFERROR(__xludf.DUMMYFUNCTION("""COMPUTED_VALUE"""),"Print Print - CHT")</f>
        <v>Print Print - CHT</v>
      </c>
    </row>
    <row r="11936">
      <c r="A11936" s="1" t="str">
        <f>IFERROR(__xludf.DUMMYFUNCTION("""COMPUTED_VALUE"""),"2026 Apr")</f>
        <v>2026 Apr</v>
      </c>
      <c r="B11936" s="4">
        <f>IFERROR(__xludf.DUMMYFUNCTION("""COMPUTED_VALUE"""),46132.0)</f>
        <v>46132</v>
      </c>
      <c r="C11936" s="1" t="str">
        <f>IFERROR(__xludf.DUMMYFUNCTION("""COMPUTED_VALUE"""),"Admin Support")</f>
        <v>Admin Support</v>
      </c>
      <c r="D11936" s="1" t="str">
        <f>IFERROR(__xludf.DUMMYFUNCTION("""COMPUTED_VALUE"""),"ab14ac10-6fdd-4acd-92a0-afc53948f957")</f>
        <v>ab14ac10-6fdd-4acd-92a0-afc53948f957</v>
      </c>
      <c r="E11936" s="1">
        <f>IFERROR(__xludf.DUMMYFUNCTION("""COMPUTED_VALUE"""),3.61731791675E11)</f>
        <v>361731791675</v>
      </c>
      <c r="F11936" s="1"/>
      <c r="G11936" s="1">
        <f>IFERROR(__xludf.DUMMYFUNCTION("""COMPUTED_VALUE"""),0.25)</f>
        <v>0.25</v>
      </c>
      <c r="H11936" s="2">
        <f>IFERROR(__xludf.DUMMYFUNCTION("""COMPUTED_VALUE"""),0.25)</f>
        <v>0.25</v>
      </c>
      <c r="I11936" s="5">
        <f>IFERROR(__xludf.DUMMYFUNCTION("""COMPUTED_VALUE"""),1.0)</f>
        <v>1</v>
      </c>
      <c r="J11936" s="1" t="str">
        <f>IFERROR(__xludf.DUMMYFUNCTION("""COMPUTED_VALUE"""),"Pau Palmero")</f>
        <v>Pau Palmero</v>
      </c>
      <c r="K11936" s="1" t="str">
        <f>IFERROR(__xludf.DUMMYFUNCTION("""COMPUTED_VALUE"""),"Admin Omni Support")</f>
        <v>Admin Omni Support</v>
      </c>
      <c r="L11936" s="1" t="str">
        <f>IFERROR(__xludf.DUMMYFUNCTION("""COMPUTED_VALUE"""),"Admin Omni Support")</f>
        <v>Admin Omni Support</v>
      </c>
    </row>
    <row r="11937">
      <c r="A11937" s="1" t="str">
        <f>IFERROR(__xludf.DUMMYFUNCTION("""COMPUTED_VALUE"""),"2026 Apr")</f>
        <v>2026 Apr</v>
      </c>
      <c r="B11937" s="4">
        <f>IFERROR(__xludf.DUMMYFUNCTION("""COMPUTED_VALUE"""),46132.0)</f>
        <v>46132</v>
      </c>
      <c r="C11937" s="1" t="str">
        <f>IFERROR(__xludf.DUMMYFUNCTION("""COMPUTED_VALUE"""),"Segment-specific Support")</f>
        <v>Segment-specific Support</v>
      </c>
      <c r="D11937" s="1" t="str">
        <f>IFERROR(__xludf.DUMMYFUNCTION("""COMPUTED_VALUE"""),"b3a312bb-80a6-4404-a83b-85b5d7be9789")</f>
        <v>b3a312bb-80a6-4404-a83b-85b5d7be9789</v>
      </c>
      <c r="E11937" s="1">
        <f>IFERROR(__xludf.DUMMYFUNCTION("""COMPUTED_VALUE"""),9.903274706831E12)</f>
        <v>9903274706831</v>
      </c>
      <c r="F11937" s="1"/>
      <c r="G11937" s="1"/>
      <c r="H11937" s="2">
        <f>IFERROR(__xludf.DUMMYFUNCTION("""COMPUTED_VALUE"""),0.0)</f>
        <v>0</v>
      </c>
      <c r="I11937" s="5"/>
      <c r="J11937" s="1" t="str">
        <f>IFERROR(__xludf.DUMMYFUNCTION("""COMPUTED_VALUE"""),"Jonathan Dimaculangan")</f>
        <v>Jonathan Dimaculangan</v>
      </c>
      <c r="K11937" s="1" t="str">
        <f>IFERROR(__xludf.DUMMYFUNCTION("""COMPUTED_VALUE"""),"Flourish Support")</f>
        <v>Flourish Support</v>
      </c>
      <c r="L11937" s="1" t="str">
        <f>IFERROR(__xludf.DUMMYFUNCTION("""COMPUTED_VALUE"""),"SSS Flourish")</f>
        <v>SSS Flourish</v>
      </c>
    </row>
    <row r="11938">
      <c r="A11938" s="1" t="str">
        <f>IFERROR(__xludf.DUMMYFUNCTION("""COMPUTED_VALUE"""),"2026 Apr")</f>
        <v>2026 Apr</v>
      </c>
      <c r="B11938" s="4">
        <f>IFERROR(__xludf.DUMMYFUNCTION("""COMPUTED_VALUE"""),46132.0)</f>
        <v>46132</v>
      </c>
      <c r="C11938" s="1" t="str">
        <f>IFERROR(__xludf.DUMMYFUNCTION("""COMPUTED_VALUE"""),"Core Product Support")</f>
        <v>Core Product Support</v>
      </c>
      <c r="D11938" s="1" t="str">
        <f>IFERROR(__xludf.DUMMYFUNCTION("""COMPUTED_VALUE"""),"c820bf34-a16a-4ab5-afca-78d6c71226e3")</f>
        <v>c820bf34-a16a-4ab5-afca-78d6c71226e3</v>
      </c>
      <c r="E11938" s="1">
        <f>IFERROR(__xludf.DUMMYFUNCTION("""COMPUTED_VALUE"""),3.61731943295E11)</f>
        <v>361731943295</v>
      </c>
      <c r="F11938" s="1"/>
      <c r="G11938" s="1">
        <f>IFERROR(__xludf.DUMMYFUNCTION("""COMPUTED_VALUE"""),2.5)</f>
        <v>2.5</v>
      </c>
      <c r="H11938" s="2">
        <f>IFERROR(__xludf.DUMMYFUNCTION("""COMPUTED_VALUE"""),2.5)</f>
        <v>2.5</v>
      </c>
      <c r="I11938" s="5">
        <f>IFERROR(__xludf.DUMMYFUNCTION("""COMPUTED_VALUE"""),1.0)</f>
        <v>1</v>
      </c>
      <c r="J11938" s="1" t="str">
        <f>IFERROR(__xludf.DUMMYFUNCTION("""COMPUTED_VALUE"""),"Jelyn Elmido")</f>
        <v>Jelyn Elmido</v>
      </c>
      <c r="K11938" s="1" t="str">
        <f>IFERROR(__xludf.DUMMYFUNCTION("""COMPUTED_VALUE"""),"Core Product Support Escalation Team")</f>
        <v>Core Product Support Escalation Team</v>
      </c>
      <c r="L11938"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939">
      <c r="A11939" s="1" t="str">
        <f>IFERROR(__xludf.DUMMYFUNCTION("""COMPUTED_VALUE"""),"2026 Apr")</f>
        <v>2026 Apr</v>
      </c>
      <c r="B11939" s="4">
        <f>IFERROR(__xludf.DUMMYFUNCTION("""COMPUTED_VALUE"""),46132.0)</f>
        <v>46132</v>
      </c>
      <c r="C11939" s="1" t="str">
        <f>IFERROR(__xludf.DUMMYFUNCTION("""COMPUTED_VALUE"""),"Multilingual Support")</f>
        <v>Multilingual Support</v>
      </c>
      <c r="D11939" s="1" t="str">
        <f>IFERROR(__xludf.DUMMYFUNCTION("""COMPUTED_VALUE"""),"283e2e77-f88a-4efa-b94d-fff3a66e663f")</f>
        <v>283e2e77-f88a-4efa-b94d-fff3a66e663f</v>
      </c>
      <c r="E11939" s="1">
        <f>IFERROR(__xludf.DUMMYFUNCTION("""COMPUTED_VALUE"""),3.61731791575E11)</f>
        <v>361731791575</v>
      </c>
      <c r="F11939" s="1"/>
      <c r="G11939" s="1"/>
      <c r="H11939" s="2">
        <f>IFERROR(__xludf.DUMMYFUNCTION("""COMPUTED_VALUE"""),0.0)</f>
        <v>0</v>
      </c>
      <c r="I11939" s="5"/>
      <c r="J11939" s="1" t="str">
        <f>IFERROR(__xludf.DUMMYFUNCTION("""COMPUTED_VALUE"""),"Arlene Maurillo")</f>
        <v>Arlene Maurillo</v>
      </c>
      <c r="K11939" s="1" t="str">
        <f>IFERROR(__xludf.DUMMYFUNCTION("""COMPUTED_VALUE"""),"PHL, Multilingual Support")</f>
        <v>PHL, Multilingual Support</v>
      </c>
      <c r="L11939" s="1" t="str">
        <f>IFERROR(__xludf.DUMMYFUNCTION("""COMPUTED_VALUE"""),"ML French Support")</f>
        <v>ML French Support</v>
      </c>
    </row>
    <row r="11940">
      <c r="A11940" s="1" t="str">
        <f>IFERROR(__xludf.DUMMYFUNCTION("""COMPUTED_VALUE"""),"2026 Apr")</f>
        <v>2026 Apr</v>
      </c>
      <c r="B11940" s="4">
        <f>IFERROR(__xludf.DUMMYFUNCTION("""COMPUTED_VALUE"""),46132.0)</f>
        <v>46132</v>
      </c>
      <c r="C11940" s="1" t="str">
        <f>IFERROR(__xludf.DUMMYFUNCTION("""COMPUTED_VALUE"""),"Print Support")</f>
        <v>Print Support</v>
      </c>
      <c r="D11940" s="1" t="str">
        <f>IFERROR(__xludf.DUMMYFUNCTION("""COMPUTED_VALUE"""),"759bff0c-8571-44a6-ac6a-7e74510a6a62")</f>
        <v>759bff0c-8571-44a6-ac6a-7e74510a6a62</v>
      </c>
      <c r="E11940" s="1">
        <f>IFERROR(__xludf.DUMMYFUNCTION("""COMPUTED_VALUE"""),6.839686960271E12)</f>
        <v>6839686960271</v>
      </c>
      <c r="F11940" s="1"/>
      <c r="G11940" s="1"/>
      <c r="H11940" s="2">
        <f>IFERROR(__xludf.DUMMYFUNCTION("""COMPUTED_VALUE"""),0.0)</f>
        <v>0</v>
      </c>
      <c r="I11940" s="5"/>
      <c r="J11940" s="1" t="str">
        <f>IFERROR(__xludf.DUMMYFUNCTION("""COMPUTED_VALUE"""),"Althea Mercado")</f>
        <v>Althea Mercado</v>
      </c>
      <c r="K11940" s="1" t="str">
        <f>IFERROR(__xludf.DUMMYFUNCTION("""COMPUTED_VALUE"""),"Print Support PH")</f>
        <v>Print Support PH</v>
      </c>
      <c r="L11940" s="1" t="str">
        <f>IFERROR(__xludf.DUMMYFUNCTION("""COMPUTED_VALUE"""),"Print Print - CHT")</f>
        <v>Print Print - CHT</v>
      </c>
    </row>
    <row r="11941">
      <c r="A11941" s="1" t="str">
        <f>IFERROR(__xludf.DUMMYFUNCTION("""COMPUTED_VALUE"""),"2026 Apr")</f>
        <v>2026 Apr</v>
      </c>
      <c r="B11941" s="4">
        <f>IFERROR(__xludf.DUMMYFUNCTION("""COMPUTED_VALUE"""),46132.0)</f>
        <v>46132</v>
      </c>
      <c r="C11941" s="1" t="str">
        <f>IFERROR(__xludf.DUMMYFUNCTION("""COMPUTED_VALUE"""),"Print Support")</f>
        <v>Print Support</v>
      </c>
      <c r="D11941" s="1" t="str">
        <f>IFERROR(__xludf.DUMMYFUNCTION("""COMPUTED_VALUE"""),"435dbe60-cec1-4cb2-b1d3-b030b9d41646")</f>
        <v>435dbe60-cec1-4cb2-b1d3-b030b9d41646</v>
      </c>
      <c r="E11941" s="1">
        <f>IFERROR(__xludf.DUMMYFUNCTION("""COMPUTED_VALUE"""),3.61724666876E11)</f>
        <v>361724666876</v>
      </c>
      <c r="F11941" s="1"/>
      <c r="G11941" s="1"/>
      <c r="H11941" s="2">
        <f>IFERROR(__xludf.DUMMYFUNCTION("""COMPUTED_VALUE"""),0.0)</f>
        <v>0</v>
      </c>
      <c r="I11941" s="5"/>
      <c r="J11941" s="1" t="str">
        <f>IFERROR(__xludf.DUMMYFUNCTION("""COMPUTED_VALUE"""),"Rae Erlano")</f>
        <v>Rae Erlano</v>
      </c>
      <c r="K11941" s="1" t="str">
        <f>IFERROR(__xludf.DUMMYFUNCTION("""COMPUTED_VALUE"""),"Print Support PH")</f>
        <v>Print Support PH</v>
      </c>
      <c r="L11941" s="1" t="str">
        <f>IFERROR(__xludf.DUMMYFUNCTION("""COMPUTED_VALUE"""),"Print Print - SEE")</f>
        <v>Print Print - SEE</v>
      </c>
    </row>
    <row r="11942">
      <c r="A11942" s="1" t="str">
        <f>IFERROR(__xludf.DUMMYFUNCTION("""COMPUTED_VALUE"""),"2026 Apr")</f>
        <v>2026 Apr</v>
      </c>
      <c r="B11942" s="4">
        <f>IFERROR(__xludf.DUMMYFUNCTION("""COMPUTED_VALUE"""),46132.0)</f>
        <v>46132</v>
      </c>
      <c r="C11942" s="1" t="str">
        <f>IFERROR(__xludf.DUMMYFUNCTION("""COMPUTED_VALUE"""),"Core Product Support")</f>
        <v>Core Product Support</v>
      </c>
      <c r="D11942" s="1" t="str">
        <f>IFERROR(__xludf.DUMMYFUNCTION("""COMPUTED_VALUE"""),"d49e1c15-2cd1-4e35-9b3a-8acda7c42425")</f>
        <v>d49e1c15-2cd1-4e35-9b3a-8acda7c42425</v>
      </c>
      <c r="E11942" s="1">
        <f>IFERROR(__xludf.DUMMYFUNCTION("""COMPUTED_VALUE"""),1.1401961091343E13)</f>
        <v>11401961091343</v>
      </c>
      <c r="F11942" s="1"/>
      <c r="G11942" s="1">
        <f>IFERROR(__xludf.DUMMYFUNCTION("""COMPUTED_VALUE"""),0.75)</f>
        <v>0.75</v>
      </c>
      <c r="H11942" s="2">
        <f>IFERROR(__xludf.DUMMYFUNCTION("""COMPUTED_VALUE"""),0.75)</f>
        <v>0.75</v>
      </c>
      <c r="I11942" s="5">
        <f>IFERROR(__xludf.DUMMYFUNCTION("""COMPUTED_VALUE"""),1.0)</f>
        <v>1</v>
      </c>
      <c r="J11942" s="1" t="str">
        <f>IFERROR(__xludf.DUMMYFUNCTION("""COMPUTED_VALUE"""),"Cate Velasco")</f>
        <v>Cate Velasco</v>
      </c>
      <c r="K11942" s="1" t="str">
        <f>IFERROR(__xludf.DUMMYFUNCTION("""COMPUTED_VALUE"""),"Advanced Product Support")</f>
        <v>Advanced Product Support</v>
      </c>
      <c r="L11942" s="1" t="str">
        <f>IFERROR(__xludf.DUMMYFUNCTION("""COMPUTED_VALUE"""),"CPS Advanced Product Support (APS)")</f>
        <v>CPS Advanced Product Support (APS)</v>
      </c>
    </row>
    <row r="11943">
      <c r="A11943" s="1" t="str">
        <f>IFERROR(__xludf.DUMMYFUNCTION("""COMPUTED_VALUE"""),"2026 Apr")</f>
        <v>2026 Apr</v>
      </c>
      <c r="B11943" s="4">
        <f>IFERROR(__xludf.DUMMYFUNCTION("""COMPUTED_VALUE"""),46132.0)</f>
        <v>46132</v>
      </c>
      <c r="C11943" s="1" t="str">
        <f>IFERROR(__xludf.DUMMYFUNCTION("""COMPUTED_VALUE"""),"Segment-specific Support")</f>
        <v>Segment-specific Support</v>
      </c>
      <c r="D11943" s="1" t="str">
        <f>IFERROR(__xludf.DUMMYFUNCTION("""COMPUTED_VALUE"""),"273af0e8-ae9e-4171-b68c-6f2448bbd29f")</f>
        <v>273af0e8-ae9e-4171-b68c-6f2448bbd29f</v>
      </c>
      <c r="E11943" s="1">
        <f>IFERROR(__xludf.DUMMYFUNCTION("""COMPUTED_VALUE"""),1.1401981037583E13)</f>
        <v>11401981037583</v>
      </c>
      <c r="F11943" s="1"/>
      <c r="G11943" s="1"/>
      <c r="H11943" s="2">
        <f>IFERROR(__xludf.DUMMYFUNCTION("""COMPUTED_VALUE"""),0.0)</f>
        <v>0</v>
      </c>
      <c r="I11943" s="5"/>
      <c r="J11943" s="1" t="str">
        <f>IFERROR(__xludf.DUMMYFUNCTION("""COMPUTED_VALUE"""),"Aileen Dayanghirang")</f>
        <v>Aileen Dayanghirang</v>
      </c>
      <c r="K11943" s="1" t="str">
        <f>IFERROR(__xludf.DUMMYFUNCTION("""COMPUTED_VALUE"""),"Creators Support")</f>
        <v>Creators Support</v>
      </c>
      <c r="L11943" s="1" t="str">
        <f>IFERROR(__xludf.DUMMYFUNCTION("""COMPUTED_VALUE"""),"SSS Creators")</f>
        <v>SSS Creators</v>
      </c>
    </row>
    <row r="11944">
      <c r="A11944" s="1" t="str">
        <f>IFERROR(__xludf.DUMMYFUNCTION("""COMPUTED_VALUE"""),"2026 Apr")</f>
        <v>2026 Apr</v>
      </c>
      <c r="B11944" s="4">
        <f>IFERROR(__xludf.DUMMYFUNCTION("""COMPUTED_VALUE"""),46132.0)</f>
        <v>46132</v>
      </c>
      <c r="C11944" s="1" t="str">
        <f>IFERROR(__xludf.DUMMYFUNCTION("""COMPUTED_VALUE"""),"Admin Support")</f>
        <v>Admin Support</v>
      </c>
      <c r="D11944" s="1" t="str">
        <f>IFERROR(__xludf.DUMMYFUNCTION("""COMPUTED_VALUE"""),"d497a055-f2f2-4063-8890-6c9684355e4c")</f>
        <v>d497a055-f2f2-4063-8890-6c9684355e4c</v>
      </c>
      <c r="E11944" s="1">
        <f>IFERROR(__xludf.DUMMYFUNCTION("""COMPUTED_VALUE"""),3.61731515255E11)</f>
        <v>361731515255</v>
      </c>
      <c r="F11944" s="1"/>
      <c r="G11944" s="1"/>
      <c r="H11944" s="2">
        <f>IFERROR(__xludf.DUMMYFUNCTION("""COMPUTED_VALUE"""),0.0)</f>
        <v>0</v>
      </c>
      <c r="I11944" s="5"/>
      <c r="J11944" s="1" t="str">
        <f>IFERROR(__xludf.DUMMYFUNCTION("""COMPUTED_VALUE"""),"Karla Mananghaya")</f>
        <v>Karla Mananghaya</v>
      </c>
      <c r="K11944" s="1" t="str">
        <f>IFERROR(__xludf.DUMMYFUNCTION("""COMPUTED_VALUE"""),"Admin Support Service Escalation Team")</f>
        <v>Admin Support Service Escalation Team</v>
      </c>
      <c r="L11944" s="1" t="str">
        <f>IFERROR(__xludf.DUMMYFUNCTION("""COMPUTED_VALUE"""),"Admin ASSET")</f>
        <v>Admin ASSET</v>
      </c>
    </row>
    <row r="11945">
      <c r="A11945" s="1" t="str">
        <f>IFERROR(__xludf.DUMMYFUNCTION("""COMPUTED_VALUE"""),"2026 Apr")</f>
        <v>2026 Apr</v>
      </c>
      <c r="B11945" s="4">
        <f>IFERROR(__xludf.DUMMYFUNCTION("""COMPUTED_VALUE"""),46132.0)</f>
        <v>46132</v>
      </c>
      <c r="C11945" s="1" t="str">
        <f>IFERROR(__xludf.DUMMYFUNCTION("""COMPUTED_VALUE"""),"High Sensitivity Support")</f>
        <v>High Sensitivity Support</v>
      </c>
      <c r="D11945" s="1" t="str">
        <f>IFERROR(__xludf.DUMMYFUNCTION("""COMPUTED_VALUE"""),"725213c8-63bc-41f4-927e-adac2805ced0")</f>
        <v>725213c8-63bc-41f4-927e-adac2805ced0</v>
      </c>
      <c r="E11945" s="1">
        <f>IFERROR(__xludf.DUMMYFUNCTION("""COMPUTED_VALUE"""),3.61688633916E11)</f>
        <v>361688633916</v>
      </c>
      <c r="F11945" s="1"/>
      <c r="G11945" s="1"/>
      <c r="H11945" s="2">
        <f>IFERROR(__xludf.DUMMYFUNCTION("""COMPUTED_VALUE"""),0.0)</f>
        <v>0</v>
      </c>
      <c r="I11945" s="5"/>
      <c r="J11945" s="1" t="str">
        <f>IFERROR(__xludf.DUMMYFUNCTION("""COMPUTED_VALUE"""),"Xandy Azarcon")</f>
        <v>Xandy Azarcon</v>
      </c>
      <c r="K11945" s="1" t="str">
        <f>IFERROR(__xludf.DUMMYFUNCTION("""COMPUTED_VALUE"""),"High Sensitivity Support PH")</f>
        <v>High Sensitivity Support PH</v>
      </c>
      <c r="L11945" s="1" t="str">
        <f>IFERROR(__xludf.DUMMYFUNCTION("""COMPUTED_VALUE"""),"HSS High Sensitivity Support PH - CHT")</f>
        <v>HSS High Sensitivity Support PH - CHT</v>
      </c>
    </row>
    <row r="11946">
      <c r="A11946" s="1" t="str">
        <f>IFERROR(__xludf.DUMMYFUNCTION("""COMPUTED_VALUE"""),"2026 Apr")</f>
        <v>2026 Apr</v>
      </c>
      <c r="B11946" s="4">
        <f>IFERROR(__xludf.DUMMYFUNCTION("""COMPUTED_VALUE"""),46132.0)</f>
        <v>46132</v>
      </c>
      <c r="C11946" s="1" t="str">
        <f>IFERROR(__xludf.DUMMYFUNCTION("""COMPUTED_VALUE"""),"Print Support")</f>
        <v>Print Support</v>
      </c>
      <c r="D11946" s="1" t="str">
        <f>IFERROR(__xludf.DUMMYFUNCTION("""COMPUTED_VALUE"""),"adc14770-23af-4d9e-965d-0e955af819e0")</f>
        <v>adc14770-23af-4d9e-965d-0e955af819e0</v>
      </c>
      <c r="E11946" s="1">
        <f>IFERROR(__xludf.DUMMYFUNCTION("""COMPUTED_VALUE"""),3.61734092356E11)</f>
        <v>361734092356</v>
      </c>
      <c r="F11946" s="1"/>
      <c r="G11946" s="1"/>
      <c r="H11946" s="2">
        <f>IFERROR(__xludf.DUMMYFUNCTION("""COMPUTED_VALUE"""),0.0)</f>
        <v>0</v>
      </c>
      <c r="I11946" s="5"/>
      <c r="J11946" s="1" t="str">
        <f>IFERROR(__xludf.DUMMYFUNCTION("""COMPUTED_VALUE"""),"Memae Faustino")</f>
        <v>Memae Faustino</v>
      </c>
      <c r="K11946" s="1" t="str">
        <f>IFERROR(__xludf.DUMMYFUNCTION("""COMPUTED_VALUE"""),"Print Support PH")</f>
        <v>Print Support PH</v>
      </c>
      <c r="L11946" s="1" t="str">
        <f>IFERROR(__xludf.DUMMYFUNCTION("""COMPUTED_VALUE"""),"Print Print - SEE")</f>
        <v>Print Print - SEE</v>
      </c>
    </row>
    <row r="11947">
      <c r="A11947" s="1" t="str">
        <f>IFERROR(__xludf.DUMMYFUNCTION("""COMPUTED_VALUE"""),"2026 Apr")</f>
        <v>2026 Apr</v>
      </c>
      <c r="B11947" s="4">
        <f>IFERROR(__xludf.DUMMYFUNCTION("""COMPUTED_VALUE"""),46132.0)</f>
        <v>46132</v>
      </c>
      <c r="C11947" s="1" t="str">
        <f>IFERROR(__xludf.DUMMYFUNCTION("""COMPUTED_VALUE"""),"High Sensitivity Support")</f>
        <v>High Sensitivity Support</v>
      </c>
      <c r="D11947" s="1" t="str">
        <f>IFERROR(__xludf.DUMMYFUNCTION("""COMPUTED_VALUE"""),"d9cfc12e-6b04-430c-bb3b-22b9d67ee77c")</f>
        <v>d9cfc12e-6b04-430c-bb3b-22b9d67ee77c</v>
      </c>
      <c r="E11947" s="1">
        <f>IFERROR(__xludf.DUMMYFUNCTION("""COMPUTED_VALUE"""),9.795905277839E12)</f>
        <v>9795905277839</v>
      </c>
      <c r="F11947" s="1"/>
      <c r="G11947" s="1"/>
      <c r="H11947" s="2">
        <f>IFERROR(__xludf.DUMMYFUNCTION("""COMPUTED_VALUE"""),0.0)</f>
        <v>0</v>
      </c>
      <c r="I11947" s="5"/>
      <c r="J11947" s="1" t="str">
        <f>IFERROR(__xludf.DUMMYFUNCTION("""COMPUTED_VALUE"""),"Issi Afable")</f>
        <v>Issi Afable</v>
      </c>
      <c r="K11947" s="1" t="str">
        <f>IFERROR(__xludf.DUMMYFUNCTION("""COMPUTED_VALUE"""),"High Sensitivity Support PH")</f>
        <v>High Sensitivity Support PH</v>
      </c>
      <c r="L11947" s="1" t="str">
        <f>IFERROR(__xludf.DUMMYFUNCTION("""COMPUTED_VALUE"""),"HSS High Sensitivity Support PH - SEE")</f>
        <v>HSS High Sensitivity Support PH - SEE</v>
      </c>
    </row>
    <row r="11948">
      <c r="A11948" s="1" t="str">
        <f>IFERROR(__xludf.DUMMYFUNCTION("""COMPUTED_VALUE"""),"2026 Apr")</f>
        <v>2026 Apr</v>
      </c>
      <c r="B11948" s="4">
        <f>IFERROR(__xludf.DUMMYFUNCTION("""COMPUTED_VALUE"""),46132.0)</f>
        <v>46132</v>
      </c>
      <c r="C11948" s="1" t="str">
        <f>IFERROR(__xludf.DUMMYFUNCTION("""COMPUTED_VALUE"""),"Segment-specific Support")</f>
        <v>Segment-specific Support</v>
      </c>
      <c r="D11948" s="1" t="str">
        <f>IFERROR(__xludf.DUMMYFUNCTION("""COMPUTED_VALUE"""),"3d323952-7a8c-47c6-b544-d2dc82c67c07")</f>
        <v>3d323952-7a8c-47c6-b544-d2dc82c67c07</v>
      </c>
      <c r="E11948" s="1"/>
      <c r="F11948" s="1"/>
      <c r="G11948" s="1"/>
      <c r="H11948" s="2">
        <f>IFERROR(__xludf.DUMMYFUNCTION("""COMPUTED_VALUE"""),0.0)</f>
        <v>0</v>
      </c>
      <c r="I11948" s="5"/>
      <c r="J11948" s="1" t="str">
        <f>IFERROR(__xludf.DUMMYFUNCTION("""COMPUTED_VALUE"""),"Leigh Davison")</f>
        <v>Leigh Davison</v>
      </c>
      <c r="K11948" s="1" t="str">
        <f>IFERROR(__xludf.DUMMYFUNCTION("""COMPUTED_VALUE"""),"#N/A")</f>
        <v>#N/A</v>
      </c>
      <c r="L11948" s="1"/>
    </row>
    <row r="11949">
      <c r="A11949" s="1" t="str">
        <f>IFERROR(__xludf.DUMMYFUNCTION("""COMPUTED_VALUE"""),"2026 Apr")</f>
        <v>2026 Apr</v>
      </c>
      <c r="B11949" s="4">
        <f>IFERROR(__xludf.DUMMYFUNCTION("""COMPUTED_VALUE"""),46132.0)</f>
        <v>46132</v>
      </c>
      <c r="C11949" s="1" t="str">
        <f>IFERROR(__xludf.DUMMYFUNCTION("""COMPUTED_VALUE"""),"Core Product Support")</f>
        <v>Core Product Support</v>
      </c>
      <c r="D11949" s="1" t="str">
        <f>IFERROR(__xludf.DUMMYFUNCTION("""COMPUTED_VALUE"""),"d5b38678-ef33-449e-a4d3-7a7a69f2f5cb")</f>
        <v>d5b38678-ef33-449e-a4d3-7a7a69f2f5cb</v>
      </c>
      <c r="E11949" s="1">
        <f>IFERROR(__xludf.DUMMYFUNCTION("""COMPUTED_VALUE"""),3.61857411736E11)</f>
        <v>361857411736</v>
      </c>
      <c r="F11949" s="1"/>
      <c r="G11949" s="1">
        <f>IFERROR(__xludf.DUMMYFUNCTION("""COMPUTED_VALUE"""),1.0)</f>
        <v>1</v>
      </c>
      <c r="H11949" s="2">
        <f>IFERROR(__xludf.DUMMYFUNCTION("""COMPUTED_VALUE"""),1.0)</f>
        <v>1</v>
      </c>
      <c r="I11949" s="5">
        <f>IFERROR(__xludf.DUMMYFUNCTION("""COMPUTED_VALUE"""),1.0)</f>
        <v>1</v>
      </c>
      <c r="J11949" s="1" t="str">
        <f>IFERROR(__xludf.DUMMYFUNCTION("""COMPUTED_VALUE"""),"Jahmie Mae Barrameda")</f>
        <v>Jahmie Mae Barrameda</v>
      </c>
      <c r="K11949" s="1" t="str">
        <f>IFERROR(__xludf.DUMMYFUNCTION("""COMPUTED_VALUE"""),"Advanced Billing &amp; Subscriptions")</f>
        <v>Advanced Billing &amp; Subscriptions</v>
      </c>
      <c r="L11949" s="1" t="str">
        <f>IFERROR(__xludf.DUMMYFUNCTION("""COMPUTED_VALUE"""),"CPS Advanced Billing and Subscriptions (ABS)")</f>
        <v>CPS Advanced Billing and Subscriptions (ABS)</v>
      </c>
    </row>
    <row r="11950">
      <c r="A11950" s="1" t="str">
        <f>IFERROR(__xludf.DUMMYFUNCTION("""COMPUTED_VALUE"""),"2026 Apr")</f>
        <v>2026 Apr</v>
      </c>
      <c r="B11950" s="4">
        <f>IFERROR(__xludf.DUMMYFUNCTION("""COMPUTED_VALUE"""),46132.0)</f>
        <v>46132</v>
      </c>
      <c r="C11950" s="1" t="str">
        <f>IFERROR(__xludf.DUMMYFUNCTION("""COMPUTED_VALUE"""),"Admin Support")</f>
        <v>Admin Support</v>
      </c>
      <c r="D11950" s="1" t="str">
        <f>IFERROR(__xludf.DUMMYFUNCTION("""COMPUTED_VALUE"""),"65280774-7b68-4e6a-9312-4389148cbc01")</f>
        <v>65280774-7b68-4e6a-9312-4389148cbc01</v>
      </c>
      <c r="E11950" s="1">
        <f>IFERROR(__xludf.DUMMYFUNCTION("""COMPUTED_VALUE"""),1.0548588461839E13)</f>
        <v>10548588461839</v>
      </c>
      <c r="F11950" s="1"/>
      <c r="G11950" s="1"/>
      <c r="H11950" s="2">
        <f>IFERROR(__xludf.DUMMYFUNCTION("""COMPUTED_VALUE"""),0.0)</f>
        <v>0</v>
      </c>
      <c r="I11950" s="5"/>
      <c r="J11950" s="1" t="str">
        <f>IFERROR(__xludf.DUMMYFUNCTION("""COMPUTED_VALUE"""),"Karla Mananghaya")</f>
        <v>Karla Mananghaya</v>
      </c>
      <c r="K11950" s="1" t="str">
        <f>IFERROR(__xludf.DUMMYFUNCTION("""COMPUTED_VALUE"""),"Admin Support Service Escalation Team")</f>
        <v>Admin Support Service Escalation Team</v>
      </c>
      <c r="L11950" s="1" t="str">
        <f>IFERROR(__xludf.DUMMYFUNCTION("""COMPUTED_VALUE"""),"Admin ASSET")</f>
        <v>Admin ASSET</v>
      </c>
    </row>
    <row r="11951">
      <c r="A11951" s="1" t="str">
        <f>IFERROR(__xludf.DUMMYFUNCTION("""COMPUTED_VALUE"""),"2026 Apr")</f>
        <v>2026 Apr</v>
      </c>
      <c r="B11951" s="4">
        <f>IFERROR(__xludf.DUMMYFUNCTION("""COMPUTED_VALUE"""),46132.0)</f>
        <v>46132</v>
      </c>
      <c r="C11951" s="1" t="str">
        <f>IFERROR(__xludf.DUMMYFUNCTION("""COMPUTED_VALUE"""),"Core Product Support")</f>
        <v>Core Product Support</v>
      </c>
      <c r="D11951" s="1" t="str">
        <f>IFERROR(__xludf.DUMMYFUNCTION("""COMPUTED_VALUE"""),"0a5a8f36-7865-4df1-a7d1-fdbafdddd3eb")</f>
        <v>0a5a8f36-7865-4df1-a7d1-fdbafdddd3eb</v>
      </c>
      <c r="E11951" s="1">
        <f>IFERROR(__xludf.DUMMYFUNCTION("""COMPUTED_VALUE"""),3.61731792395E11)</f>
        <v>361731792395</v>
      </c>
      <c r="F11951" s="1"/>
      <c r="G11951" s="1">
        <f>IFERROR(__xludf.DUMMYFUNCTION("""COMPUTED_VALUE"""),2.5)</f>
        <v>2.5</v>
      </c>
      <c r="H11951" s="2">
        <f>IFERROR(__xludf.DUMMYFUNCTION("""COMPUTED_VALUE"""),2.5)</f>
        <v>2.5</v>
      </c>
      <c r="I11951" s="5">
        <f>IFERROR(__xludf.DUMMYFUNCTION("""COMPUTED_VALUE"""),1.0)</f>
        <v>1</v>
      </c>
      <c r="J11951" s="1" t="str">
        <f>IFERROR(__xludf.DUMMYFUNCTION("""COMPUTED_VALUE"""),"Sieg Ballelos")</f>
        <v>Sieg Ballelos</v>
      </c>
      <c r="K11951" s="1" t="str">
        <f>IFERROR(__xludf.DUMMYFUNCTION("""COMPUTED_VALUE"""),"Core Product Support Escalation Team")</f>
        <v>Core Product Support Escalation Team</v>
      </c>
      <c r="L11951"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952">
      <c r="A11952" s="1" t="str">
        <f>IFERROR(__xludf.DUMMYFUNCTION("""COMPUTED_VALUE"""),"2026 Apr")</f>
        <v>2026 Apr</v>
      </c>
      <c r="B11952" s="4">
        <f>IFERROR(__xludf.DUMMYFUNCTION("""COMPUTED_VALUE"""),46132.0)</f>
        <v>46132</v>
      </c>
      <c r="C11952" s="1" t="str">
        <f>IFERROR(__xludf.DUMMYFUNCTION("""COMPUTED_VALUE"""),"Core Product Support")</f>
        <v>Core Product Support</v>
      </c>
      <c r="D11952" s="1" t="str">
        <f>IFERROR(__xludf.DUMMYFUNCTION("""COMPUTED_VALUE"""),"626e971a-a1f2-466b-b3f0-fd32790eb440")</f>
        <v>626e971a-a1f2-466b-b3f0-fd32790eb440</v>
      </c>
      <c r="E11952" s="1">
        <f>IFERROR(__xludf.DUMMYFUNCTION("""COMPUTED_VALUE"""),8.904494781967E12)</f>
        <v>8904494781967</v>
      </c>
      <c r="F11952" s="1"/>
      <c r="G11952" s="1">
        <f>IFERROR(__xludf.DUMMYFUNCTION("""COMPUTED_VALUE"""),1.0)</f>
        <v>1</v>
      </c>
      <c r="H11952" s="2">
        <f>IFERROR(__xludf.DUMMYFUNCTION("""COMPUTED_VALUE"""),1.0)</f>
        <v>1</v>
      </c>
      <c r="I11952" s="5">
        <f>IFERROR(__xludf.DUMMYFUNCTION("""COMPUTED_VALUE"""),1.0)</f>
        <v>1</v>
      </c>
      <c r="J11952" s="1" t="str">
        <f>IFERROR(__xludf.DUMMYFUNCTION("""COMPUTED_VALUE"""),"Ana Lazaro")</f>
        <v>Ana Lazaro</v>
      </c>
      <c r="K11952" s="1" t="str">
        <f>IFERROR(__xludf.DUMMYFUNCTION("""COMPUTED_VALUE"""),"Advanced Billing &amp; Subscriptions")</f>
        <v>Advanced Billing &amp; Subscriptions</v>
      </c>
      <c r="L11952" s="1" t="str">
        <f>IFERROR(__xludf.DUMMYFUNCTION("""COMPUTED_VALUE"""),"CPS Advanced Billing and Subscriptions (ABS)")</f>
        <v>CPS Advanced Billing and Subscriptions (ABS)</v>
      </c>
    </row>
    <row r="11953">
      <c r="A11953" s="1" t="str">
        <f>IFERROR(__xludf.DUMMYFUNCTION("""COMPUTED_VALUE"""),"2026 Apr")</f>
        <v>2026 Apr</v>
      </c>
      <c r="B11953" s="4">
        <f>IFERROR(__xludf.DUMMYFUNCTION("""COMPUTED_VALUE"""),46132.0)</f>
        <v>46132</v>
      </c>
      <c r="C11953" s="1" t="str">
        <f>IFERROR(__xludf.DUMMYFUNCTION("""COMPUTED_VALUE"""),"Segment-specific Support")</f>
        <v>Segment-specific Support</v>
      </c>
      <c r="D11953" s="1" t="str">
        <f>IFERROR(__xludf.DUMMYFUNCTION("""COMPUTED_VALUE"""),"238df195-1311-420b-9bfc-80204048a0d0")</f>
        <v>238df195-1311-420b-9bfc-80204048a0d0</v>
      </c>
      <c r="E11953" s="1">
        <f>IFERROR(__xludf.DUMMYFUNCTION("""COMPUTED_VALUE"""),1.0548626062351E13)</f>
        <v>10548626062351</v>
      </c>
      <c r="F11953" s="1"/>
      <c r="G11953" s="1"/>
      <c r="H11953" s="2">
        <f>IFERROR(__xludf.DUMMYFUNCTION("""COMPUTED_VALUE"""),0.0)</f>
        <v>0</v>
      </c>
      <c r="I11953" s="5"/>
      <c r="J11953" s="1" t="str">
        <f>IFERROR(__xludf.DUMMYFUNCTION("""COMPUTED_VALUE"""),"Rose Gabilan")</f>
        <v>Rose Gabilan</v>
      </c>
      <c r="K11953" s="1" t="str">
        <f>IFERROR(__xludf.DUMMYFUNCTION("""COMPUTED_VALUE"""),"Affinity Support")</f>
        <v>Affinity Support</v>
      </c>
      <c r="L11953" s="1" t="str">
        <f>IFERROR(__xludf.DUMMYFUNCTION("""COMPUTED_VALUE"""),"SSS Affinity - L1")</f>
        <v>SSS Affinity - L1</v>
      </c>
    </row>
    <row r="11954">
      <c r="A11954" s="1" t="str">
        <f>IFERROR(__xludf.DUMMYFUNCTION("""COMPUTED_VALUE"""),"2026 Apr")</f>
        <v>2026 Apr</v>
      </c>
      <c r="B11954" s="4">
        <f>IFERROR(__xludf.DUMMYFUNCTION("""COMPUTED_VALUE"""),46132.0)</f>
        <v>46132</v>
      </c>
      <c r="C11954" s="1" t="str">
        <f>IFERROR(__xludf.DUMMYFUNCTION("""COMPUTED_VALUE"""),"Admin Support")</f>
        <v>Admin Support</v>
      </c>
      <c r="D11954" s="1" t="str">
        <f>IFERROR(__xludf.DUMMYFUNCTION("""COMPUTED_VALUE"""),"4790af32-fa25-48b3-bdc4-76770b6ef929")</f>
        <v>4790af32-fa25-48b3-bdc4-76770b6ef929</v>
      </c>
      <c r="E11954" s="1">
        <f>IFERROR(__xludf.DUMMYFUNCTION("""COMPUTED_VALUE"""),9.107735174799E12)</f>
        <v>9107735174799</v>
      </c>
      <c r="F11954" s="1"/>
      <c r="G11954" s="1">
        <f>IFERROR(__xludf.DUMMYFUNCTION("""COMPUTED_VALUE"""),1.25)</f>
        <v>1.25</v>
      </c>
      <c r="H11954" s="2">
        <f>IFERROR(__xludf.DUMMYFUNCTION("""COMPUTED_VALUE"""),1.25)</f>
        <v>1.25</v>
      </c>
      <c r="I11954" s="5">
        <f>IFERROR(__xludf.DUMMYFUNCTION("""COMPUTED_VALUE"""),1.0)</f>
        <v>1</v>
      </c>
      <c r="J11954" s="1" t="str">
        <f>IFERROR(__xludf.DUMMYFUNCTION("""COMPUTED_VALUE"""),"Pau Palmero")</f>
        <v>Pau Palmero</v>
      </c>
      <c r="K11954" s="1" t="str">
        <f>IFERROR(__xludf.DUMMYFUNCTION("""COMPUTED_VALUE"""),"Admin Omni Support")</f>
        <v>Admin Omni Support</v>
      </c>
      <c r="L11954" s="1" t="str">
        <f>IFERROR(__xludf.DUMMYFUNCTION("""COMPUTED_VALUE"""),"Admin Omni Support")</f>
        <v>Admin Omni Support</v>
      </c>
    </row>
    <row r="11955">
      <c r="A11955" s="1" t="str">
        <f>IFERROR(__xludf.DUMMYFUNCTION("""COMPUTED_VALUE"""),"2026 Apr")</f>
        <v>2026 Apr</v>
      </c>
      <c r="B11955" s="4">
        <f>IFERROR(__xludf.DUMMYFUNCTION("""COMPUTED_VALUE"""),46132.0)</f>
        <v>46132</v>
      </c>
      <c r="C11955" s="1" t="str">
        <f>IFERROR(__xludf.DUMMYFUNCTION("""COMPUTED_VALUE"""),"Multilingual Support")</f>
        <v>Multilingual Support</v>
      </c>
      <c r="D11955" s="1" t="str">
        <f>IFERROR(__xludf.DUMMYFUNCTION("""COMPUTED_VALUE"""),"c4abd336-8a5c-43a4-942f-2d3f5b2e85fd")</f>
        <v>c4abd336-8a5c-43a4-942f-2d3f5b2e85fd</v>
      </c>
      <c r="E11955" s="1">
        <f>IFERROR(__xludf.DUMMYFUNCTION("""COMPUTED_VALUE"""),6.936778850319E12)</f>
        <v>6936778850319</v>
      </c>
      <c r="F11955" s="1"/>
      <c r="G11955" s="1"/>
      <c r="H11955" s="2">
        <f>IFERROR(__xludf.DUMMYFUNCTION("""COMPUTED_VALUE"""),0.0)</f>
        <v>0</v>
      </c>
      <c r="I11955" s="5"/>
      <c r="J11955" s="1" t="str">
        <f>IFERROR(__xludf.DUMMYFUNCTION("""COMPUTED_VALUE"""),"Arlene Maurillo")</f>
        <v>Arlene Maurillo</v>
      </c>
      <c r="K11955" s="1" t="str">
        <f>IFERROR(__xludf.DUMMYFUNCTION("""COMPUTED_VALUE"""),"PHL, Multilingual Support")</f>
        <v>PHL, Multilingual Support</v>
      </c>
      <c r="L11955" s="1" t="str">
        <f>IFERROR(__xludf.DUMMYFUNCTION("""COMPUTED_VALUE"""),"ML Japanese Support")</f>
        <v>ML Japanese Support</v>
      </c>
    </row>
    <row r="11956">
      <c r="A11956" s="1" t="str">
        <f>IFERROR(__xludf.DUMMYFUNCTION("""COMPUTED_VALUE"""),"2026 Apr")</f>
        <v>2026 Apr</v>
      </c>
      <c r="B11956" s="4">
        <f>IFERROR(__xludf.DUMMYFUNCTION("""COMPUTED_VALUE"""),46132.0)</f>
        <v>46132</v>
      </c>
      <c r="C11956" s="1" t="str">
        <f>IFERROR(__xludf.DUMMYFUNCTION("""COMPUTED_VALUE"""),"Core Product Support")</f>
        <v>Core Product Support</v>
      </c>
      <c r="D11956" s="1" t="str">
        <f>IFERROR(__xludf.DUMMYFUNCTION("""COMPUTED_VALUE"""),"99085273-2cc4-4932-aad9-eac22f3b9709")</f>
        <v>99085273-2cc4-4932-aad9-eac22f3b9709</v>
      </c>
      <c r="E11956" s="1">
        <f>IFERROR(__xludf.DUMMYFUNCTION("""COMPUTED_VALUE"""),3.61732054935E11)</f>
        <v>361732054935</v>
      </c>
      <c r="F11956" s="1"/>
      <c r="G11956" s="1">
        <f>IFERROR(__xludf.DUMMYFUNCTION("""COMPUTED_VALUE"""),1.0)</f>
        <v>1</v>
      </c>
      <c r="H11956" s="2">
        <f>IFERROR(__xludf.DUMMYFUNCTION("""COMPUTED_VALUE"""),1.0)</f>
        <v>1</v>
      </c>
      <c r="I11956" s="5">
        <f>IFERROR(__xludf.DUMMYFUNCTION("""COMPUTED_VALUE"""),1.0)</f>
        <v>1</v>
      </c>
      <c r="J11956" s="1" t="str">
        <f>IFERROR(__xludf.DUMMYFUNCTION("""COMPUTED_VALUE"""),"Jem Mondoñedo")</f>
        <v>Jem Mondoñedo</v>
      </c>
      <c r="K11956" s="1" t="str">
        <f>IFERROR(__xludf.DUMMYFUNCTION("""COMPUTED_VALUE"""),"Advanced Billing &amp; Subscriptions")</f>
        <v>Advanced Billing &amp; Subscriptions</v>
      </c>
      <c r="L11956" s="1" t="str">
        <f>IFERROR(__xludf.DUMMYFUNCTION("""COMPUTED_VALUE"""),"CPS Advanced Billing and Subscriptions (ABS)")</f>
        <v>CPS Advanced Billing and Subscriptions (ABS)</v>
      </c>
    </row>
    <row r="11957">
      <c r="A11957" s="1" t="str">
        <f>IFERROR(__xludf.DUMMYFUNCTION("""COMPUTED_VALUE"""),"2026 Apr")</f>
        <v>2026 Apr</v>
      </c>
      <c r="B11957" s="4">
        <f>IFERROR(__xludf.DUMMYFUNCTION("""COMPUTED_VALUE"""),46132.0)</f>
        <v>46132</v>
      </c>
      <c r="C11957" s="1" t="str">
        <f>IFERROR(__xludf.DUMMYFUNCTION("""COMPUTED_VALUE"""),"Admin Support")</f>
        <v>Admin Support</v>
      </c>
      <c r="D11957" s="1" t="str">
        <f>IFERROR(__xludf.DUMMYFUNCTION("""COMPUTED_VALUE"""),"c4296942-0752-4ab1-a016-50f83ec4677d")</f>
        <v>c4296942-0752-4ab1-a016-50f83ec4677d</v>
      </c>
      <c r="E11957" s="1">
        <f>IFERROR(__xludf.DUMMYFUNCTION("""COMPUTED_VALUE"""),3.61732055015E11)</f>
        <v>361732055015</v>
      </c>
      <c r="F11957" s="1"/>
      <c r="G11957" s="1">
        <f>IFERROR(__xludf.DUMMYFUNCTION("""COMPUTED_VALUE"""),0.25)</f>
        <v>0.25</v>
      </c>
      <c r="H11957" s="2">
        <f>IFERROR(__xludf.DUMMYFUNCTION("""COMPUTED_VALUE"""),0.25)</f>
        <v>0.25</v>
      </c>
      <c r="I11957" s="5">
        <f>IFERROR(__xludf.DUMMYFUNCTION("""COMPUTED_VALUE"""),1.0)</f>
        <v>1</v>
      </c>
      <c r="J11957" s="1" t="str">
        <f>IFERROR(__xludf.DUMMYFUNCTION("""COMPUTED_VALUE"""),"AL Suarez")</f>
        <v>AL Suarez</v>
      </c>
      <c r="K11957" s="1" t="str">
        <f>IFERROR(__xludf.DUMMYFUNCTION("""COMPUTED_VALUE"""),"Admin Direct Support")</f>
        <v>Admin Direct Support</v>
      </c>
      <c r="L11957" s="1" t="str">
        <f>IFERROR(__xludf.DUMMYFUNCTION("""COMPUTED_VALUE"""),"Admin Direct Support")</f>
        <v>Admin Direct Support</v>
      </c>
    </row>
    <row r="11958">
      <c r="A11958" s="1" t="str">
        <f>IFERROR(__xludf.DUMMYFUNCTION("""COMPUTED_VALUE"""),"2026 Apr")</f>
        <v>2026 Apr</v>
      </c>
      <c r="B11958" s="4">
        <f>IFERROR(__xludf.DUMMYFUNCTION("""COMPUTED_VALUE"""),46132.0)</f>
        <v>46132</v>
      </c>
      <c r="C11958" s="1" t="str">
        <f>IFERROR(__xludf.DUMMYFUNCTION("""COMPUTED_VALUE"""),"Print Support")</f>
        <v>Print Support</v>
      </c>
      <c r="D11958" s="1" t="str">
        <f>IFERROR(__xludf.DUMMYFUNCTION("""COMPUTED_VALUE"""),"e612249c-8f64-415b-befe-bb7e6027b43c")</f>
        <v>e612249c-8f64-415b-befe-bb7e6027b43c</v>
      </c>
      <c r="E11958" s="1">
        <f>IFERROR(__xludf.DUMMYFUNCTION("""COMPUTED_VALUE"""),1.3475806334735E13)</f>
        <v>13475806334735</v>
      </c>
      <c r="F11958" s="1"/>
      <c r="G11958" s="1"/>
      <c r="H11958" s="2">
        <f>IFERROR(__xludf.DUMMYFUNCTION("""COMPUTED_VALUE"""),0.0)</f>
        <v>0</v>
      </c>
      <c r="I11958" s="5"/>
      <c r="J11958" s="1" t="str">
        <f>IFERROR(__xludf.DUMMYFUNCTION("""COMPUTED_VALUE"""),"Rei De Jesus")</f>
        <v>Rei De Jesus</v>
      </c>
      <c r="K11958" s="1" t="str">
        <f>IFERROR(__xludf.DUMMYFUNCTION("""COMPUTED_VALUE"""),"Print Design Support")</f>
        <v>Print Design Support</v>
      </c>
      <c r="L11958" s="1" t="str">
        <f>IFERROR(__xludf.DUMMYFUNCTION("""COMPUTED_VALUE"""),"Print Print Design")</f>
        <v>Print Print Design</v>
      </c>
    </row>
    <row r="11959">
      <c r="A11959" s="1" t="str">
        <f>IFERROR(__xludf.DUMMYFUNCTION("""COMPUTED_VALUE"""),"2026 Apr")</f>
        <v>2026 Apr</v>
      </c>
      <c r="B11959" s="4">
        <f>IFERROR(__xludf.DUMMYFUNCTION("""COMPUTED_VALUE"""),46132.0)</f>
        <v>46132</v>
      </c>
      <c r="C11959" s="1" t="str">
        <f>IFERROR(__xludf.DUMMYFUNCTION("""COMPUTED_VALUE"""),"Core Product Support")</f>
        <v>Core Product Support</v>
      </c>
      <c r="D11959" s="1" t="str">
        <f>IFERROR(__xludf.DUMMYFUNCTION("""COMPUTED_VALUE"""),"3623161b-ff5b-4aee-8826-3d6522587a06")</f>
        <v>3623161b-ff5b-4aee-8826-3d6522587a06</v>
      </c>
      <c r="E11959" s="1"/>
      <c r="F11959" s="1"/>
      <c r="G11959" s="1">
        <f>IFERROR(__xludf.DUMMYFUNCTION("""COMPUTED_VALUE"""),1.25)</f>
        <v>1.25</v>
      </c>
      <c r="H11959" s="2">
        <f>IFERROR(__xludf.DUMMYFUNCTION("""COMPUTED_VALUE"""),1.25)</f>
        <v>1.25</v>
      </c>
      <c r="I11959" s="5">
        <f>IFERROR(__xludf.DUMMYFUNCTION("""COMPUTED_VALUE"""),1.0)</f>
        <v>1</v>
      </c>
      <c r="J11959" s="1" t="str">
        <f>IFERROR(__xludf.DUMMYFUNCTION("""COMPUTED_VALUE"""),"Cherry Macam")</f>
        <v>Cherry Macam</v>
      </c>
      <c r="K11959" s="1" t="str">
        <f>IFERROR(__xludf.DUMMYFUNCTION("""COMPUTED_VALUE"""),"Advanced Billing &amp; Subscriptions")</f>
        <v>Advanced Billing &amp; Subscriptions</v>
      </c>
      <c r="L11959" s="1" t="str">
        <f>IFERROR(__xludf.DUMMYFUNCTION("""COMPUTED_VALUE"""),"CPS Advanced Billing and Subscriptions (ABS)")</f>
        <v>CPS Advanced Billing and Subscriptions (ABS)</v>
      </c>
    </row>
    <row r="11960">
      <c r="A11960" s="1" t="str">
        <f>IFERROR(__xludf.DUMMYFUNCTION("""COMPUTED_VALUE"""),"2026 Apr")</f>
        <v>2026 Apr</v>
      </c>
      <c r="B11960" s="4">
        <f>IFERROR(__xludf.DUMMYFUNCTION("""COMPUTED_VALUE"""),46132.0)</f>
        <v>46132</v>
      </c>
      <c r="C11960" s="1" t="str">
        <f>IFERROR(__xludf.DUMMYFUNCTION("""COMPUTED_VALUE"""),"Admin Support")</f>
        <v>Admin Support</v>
      </c>
      <c r="D11960" s="1" t="str">
        <f>IFERROR(__xludf.DUMMYFUNCTION("""COMPUTED_VALUE"""),"ae4ace4e-6cd8-4a8d-bb18-10768406ce5b")</f>
        <v>ae4ace4e-6cd8-4a8d-bb18-10768406ce5b</v>
      </c>
      <c r="E11960" s="1">
        <f>IFERROR(__xludf.DUMMYFUNCTION("""COMPUTED_VALUE"""),3.61725374736E11)</f>
        <v>361725374736</v>
      </c>
      <c r="F11960" s="1"/>
      <c r="G11960" s="1">
        <f>IFERROR(__xludf.DUMMYFUNCTION("""COMPUTED_VALUE"""),0.25)</f>
        <v>0.25</v>
      </c>
      <c r="H11960" s="2">
        <f>IFERROR(__xludf.DUMMYFUNCTION("""COMPUTED_VALUE"""),0.25)</f>
        <v>0.25</v>
      </c>
      <c r="I11960" s="5">
        <f>IFERROR(__xludf.DUMMYFUNCTION("""COMPUTED_VALUE"""),1.0)</f>
        <v>1</v>
      </c>
      <c r="J11960" s="1" t="str">
        <f>IFERROR(__xludf.DUMMYFUNCTION("""COMPUTED_VALUE"""),"Pau Palmero")</f>
        <v>Pau Palmero</v>
      </c>
      <c r="K11960" s="1" t="str">
        <f>IFERROR(__xludf.DUMMYFUNCTION("""COMPUTED_VALUE"""),"Admin Omni Support")</f>
        <v>Admin Omni Support</v>
      </c>
      <c r="L11960" s="1" t="str">
        <f>IFERROR(__xludf.DUMMYFUNCTION("""COMPUTED_VALUE"""),"Admin Omni Support")</f>
        <v>Admin Omni Support</v>
      </c>
    </row>
    <row r="11961">
      <c r="A11961" s="1" t="str">
        <f>IFERROR(__xludf.DUMMYFUNCTION("""COMPUTED_VALUE"""),"2026 Apr")</f>
        <v>2026 Apr</v>
      </c>
      <c r="B11961" s="4">
        <f>IFERROR(__xludf.DUMMYFUNCTION("""COMPUTED_VALUE"""),46132.0)</f>
        <v>46132</v>
      </c>
      <c r="C11961" s="1" t="str">
        <f>IFERROR(__xludf.DUMMYFUNCTION("""COMPUTED_VALUE"""),"Print Support")</f>
        <v>Print Support</v>
      </c>
      <c r="D11961" s="1" t="str">
        <f>IFERROR(__xludf.DUMMYFUNCTION("""COMPUTED_VALUE"""),"099dd243-b724-478e-9692-79686402a18c")</f>
        <v>099dd243-b724-478e-9692-79686402a18c</v>
      </c>
      <c r="E11961" s="1">
        <f>IFERROR(__xludf.DUMMYFUNCTION("""COMPUTED_VALUE"""),3.61731348935E11)</f>
        <v>361731348935</v>
      </c>
      <c r="F11961" s="1"/>
      <c r="G11961" s="1"/>
      <c r="H11961" s="2">
        <f>IFERROR(__xludf.DUMMYFUNCTION("""COMPUTED_VALUE"""),0.0)</f>
        <v>0</v>
      </c>
      <c r="I11961" s="5"/>
      <c r="J11961" s="1" t="str">
        <f>IFERROR(__xludf.DUMMYFUNCTION("""COMPUTED_VALUE"""),"Memae Faustino")</f>
        <v>Memae Faustino</v>
      </c>
      <c r="K11961" s="1" t="str">
        <f>IFERROR(__xludf.DUMMYFUNCTION("""COMPUTED_VALUE"""),"Print Support PH")</f>
        <v>Print Support PH</v>
      </c>
      <c r="L11961" s="1" t="str">
        <f>IFERROR(__xludf.DUMMYFUNCTION("""COMPUTED_VALUE"""),"Print Print - SEE")</f>
        <v>Print Print - SEE</v>
      </c>
    </row>
    <row r="11962">
      <c r="A11962" s="1" t="str">
        <f>IFERROR(__xludf.DUMMYFUNCTION("""COMPUTED_VALUE"""),"2026 Apr")</f>
        <v>2026 Apr</v>
      </c>
      <c r="B11962" s="4">
        <f>IFERROR(__xludf.DUMMYFUNCTION("""COMPUTED_VALUE"""),46132.0)</f>
        <v>46132</v>
      </c>
      <c r="C11962" s="1" t="str">
        <f>IFERROR(__xludf.DUMMYFUNCTION("""COMPUTED_VALUE"""),"Multilingual Support")</f>
        <v>Multilingual Support</v>
      </c>
      <c r="D11962" s="1" t="str">
        <f>IFERROR(__xludf.DUMMYFUNCTION("""COMPUTED_VALUE"""),"65e111e9-ab12-453f-afa3-155200027cc6")</f>
        <v>65e111e9-ab12-453f-afa3-155200027cc6</v>
      </c>
      <c r="E11962" s="1">
        <f>IFERROR(__xludf.DUMMYFUNCTION("""COMPUTED_VALUE"""),6.392444639375E12)</f>
        <v>6392444639375</v>
      </c>
      <c r="F11962" s="1"/>
      <c r="G11962" s="1"/>
      <c r="H11962" s="2">
        <f>IFERROR(__xludf.DUMMYFUNCTION("""COMPUTED_VALUE"""),0.0)</f>
        <v>0</v>
      </c>
      <c r="I11962" s="5"/>
      <c r="J11962" s="1" t="str">
        <f>IFERROR(__xludf.DUMMYFUNCTION("""COMPUTED_VALUE"""),"Arlene Maurillo")</f>
        <v>Arlene Maurillo</v>
      </c>
      <c r="K11962" s="1" t="str">
        <f>IFERROR(__xludf.DUMMYFUNCTION("""COMPUTED_VALUE"""),"PHL, Multilingual Support")</f>
        <v>PHL, Multilingual Support</v>
      </c>
      <c r="L11962" s="1" t="str">
        <f>IFERROR(__xludf.DUMMYFUNCTION("""COMPUTED_VALUE"""),"ML Portuguese Support")</f>
        <v>ML Portuguese Support</v>
      </c>
    </row>
    <row r="11963">
      <c r="A11963" s="1" t="str">
        <f>IFERROR(__xludf.DUMMYFUNCTION("""COMPUTED_VALUE"""),"2026 Apr")</f>
        <v>2026 Apr</v>
      </c>
      <c r="B11963" s="4">
        <f>IFERROR(__xludf.DUMMYFUNCTION("""COMPUTED_VALUE"""),46132.0)</f>
        <v>46132</v>
      </c>
      <c r="C11963" s="1" t="str">
        <f>IFERROR(__xludf.DUMMYFUNCTION("""COMPUTED_VALUE"""),"Print Support")</f>
        <v>Print Support</v>
      </c>
      <c r="D11963" s="1" t="str">
        <f>IFERROR(__xludf.DUMMYFUNCTION("""COMPUTED_VALUE"""),"1d59ca6e-6219-4532-99a2-f499de8a1287")</f>
        <v>1d59ca6e-6219-4532-99a2-f499de8a1287</v>
      </c>
      <c r="E11963" s="1"/>
      <c r="F11963" s="1"/>
      <c r="G11963" s="1"/>
      <c r="H11963" s="2">
        <f>IFERROR(__xludf.DUMMYFUNCTION("""COMPUTED_VALUE"""),0.0)</f>
        <v>0</v>
      </c>
      <c r="I11963" s="5"/>
      <c r="J11963" s="1" t="str">
        <f>IFERROR(__xludf.DUMMYFUNCTION("""COMPUTED_VALUE"""),"Aliza Dote")</f>
        <v>Aliza Dote</v>
      </c>
      <c r="K11963" s="1" t="str">
        <f>IFERROR(__xludf.DUMMYFUNCTION("""COMPUTED_VALUE"""),"Print Design Support")</f>
        <v>Print Design Support</v>
      </c>
      <c r="L11963" s="1" t="str">
        <f>IFERROR(__xludf.DUMMYFUNCTION("""COMPUTED_VALUE"""),"Print Print Design")</f>
        <v>Print Print Design</v>
      </c>
    </row>
    <row r="11964">
      <c r="A11964" s="1" t="str">
        <f>IFERROR(__xludf.DUMMYFUNCTION("""COMPUTED_VALUE"""),"2026 Apr")</f>
        <v>2026 Apr</v>
      </c>
      <c r="B11964" s="4">
        <f>IFERROR(__xludf.DUMMYFUNCTION("""COMPUTED_VALUE"""),46132.0)</f>
        <v>46132</v>
      </c>
      <c r="C11964" s="1" t="str">
        <f>IFERROR(__xludf.DUMMYFUNCTION("""COMPUTED_VALUE"""),"Print Support")</f>
        <v>Print Support</v>
      </c>
      <c r="D11964" s="1" t="str">
        <f>IFERROR(__xludf.DUMMYFUNCTION("""COMPUTED_VALUE"""),"3eea6a70-1d1f-4def-93fa-d9de190c7fd7")</f>
        <v>3eea6a70-1d1f-4def-93fa-d9de190c7fd7</v>
      </c>
      <c r="E11964" s="1">
        <f>IFERROR(__xludf.DUMMYFUNCTION("""COMPUTED_VALUE"""),3.61726424736E11)</f>
        <v>361726424736</v>
      </c>
      <c r="F11964" s="1"/>
      <c r="G11964" s="1"/>
      <c r="H11964" s="2">
        <f>IFERROR(__xludf.DUMMYFUNCTION("""COMPUTED_VALUE"""),0.0)</f>
        <v>0</v>
      </c>
      <c r="I11964" s="5"/>
      <c r="J11964" s="1" t="str">
        <f>IFERROR(__xludf.DUMMYFUNCTION("""COMPUTED_VALUE"""),"Memae Faustino")</f>
        <v>Memae Faustino</v>
      </c>
      <c r="K11964" s="1" t="str">
        <f>IFERROR(__xludf.DUMMYFUNCTION("""COMPUTED_VALUE"""),"Print Support PH")</f>
        <v>Print Support PH</v>
      </c>
      <c r="L11964" s="1" t="str">
        <f>IFERROR(__xludf.DUMMYFUNCTION("""COMPUTED_VALUE"""),"Print Print - SEE")</f>
        <v>Print Print - SEE</v>
      </c>
    </row>
    <row r="11965">
      <c r="A11965" s="1" t="str">
        <f>IFERROR(__xludf.DUMMYFUNCTION("""COMPUTED_VALUE"""),"2026 Apr")</f>
        <v>2026 Apr</v>
      </c>
      <c r="B11965" s="4">
        <f>IFERROR(__xludf.DUMMYFUNCTION("""COMPUTED_VALUE"""),46132.0)</f>
        <v>46132</v>
      </c>
      <c r="C11965" s="1" t="str">
        <f>IFERROR(__xludf.DUMMYFUNCTION("""COMPUTED_VALUE"""),"High Sensitivity Support")</f>
        <v>High Sensitivity Support</v>
      </c>
      <c r="D11965" s="1" t="str">
        <f>IFERROR(__xludf.DUMMYFUNCTION("""COMPUTED_VALUE"""),"10c46fa3-c076-41b6-9aad-4ec7c4a07294")</f>
        <v>10c46fa3-c076-41b6-9aad-4ec7c4a07294</v>
      </c>
      <c r="E11965" s="1">
        <f>IFERROR(__xludf.DUMMYFUNCTION("""COMPUTED_VALUE"""),7.235815910671E12)</f>
        <v>7235815910671</v>
      </c>
      <c r="F11965" s="1"/>
      <c r="G11965" s="1"/>
      <c r="H11965" s="2">
        <f>IFERROR(__xludf.DUMMYFUNCTION("""COMPUTED_VALUE"""),0.0)</f>
        <v>0</v>
      </c>
      <c r="I11965" s="5"/>
      <c r="J11965" s="1" t="str">
        <f>IFERROR(__xludf.DUMMYFUNCTION("""COMPUTED_VALUE"""),"Xandy Azarcon")</f>
        <v>Xandy Azarcon</v>
      </c>
      <c r="K11965" s="1" t="str">
        <f>IFERROR(__xludf.DUMMYFUNCTION("""COMPUTED_VALUE"""),"High Sensitivity Support PH")</f>
        <v>High Sensitivity Support PH</v>
      </c>
      <c r="L11965" s="1" t="str">
        <f>IFERROR(__xludf.DUMMYFUNCTION("""COMPUTED_VALUE"""),"HSS High Sensitivity Support PH - CHT")</f>
        <v>HSS High Sensitivity Support PH - CHT</v>
      </c>
    </row>
    <row r="11966">
      <c r="A11966" s="1" t="str">
        <f>IFERROR(__xludf.DUMMYFUNCTION("""COMPUTED_VALUE"""),"2026 Apr")</f>
        <v>2026 Apr</v>
      </c>
      <c r="B11966" s="4">
        <f>IFERROR(__xludf.DUMMYFUNCTION("""COMPUTED_VALUE"""),46132.0)</f>
        <v>46132</v>
      </c>
      <c r="C11966" s="1" t="str">
        <f>IFERROR(__xludf.DUMMYFUNCTION("""COMPUTED_VALUE"""),"Segment-specific Support")</f>
        <v>Segment-specific Support</v>
      </c>
      <c r="D11966" s="1" t="str">
        <f>IFERROR(__xludf.DUMMYFUNCTION("""COMPUTED_VALUE"""),"1140418d-c28b-42e8-83aa-3a112ddc96f7")</f>
        <v>1140418d-c28b-42e8-83aa-3a112ddc96f7</v>
      </c>
      <c r="E11966" s="1"/>
      <c r="F11966" s="1"/>
      <c r="G11966" s="1"/>
      <c r="H11966" s="2">
        <f>IFERROR(__xludf.DUMMYFUNCTION("""COMPUTED_VALUE"""),0.0)</f>
        <v>0</v>
      </c>
      <c r="I11966" s="5"/>
      <c r="J11966" s="1" t="str">
        <f>IFERROR(__xludf.DUMMYFUNCTION("""COMPUTED_VALUE"""),"Leigh Davison")</f>
        <v>Leigh Davison</v>
      </c>
      <c r="K11966" s="1" t="str">
        <f>IFERROR(__xludf.DUMMYFUNCTION("""COMPUTED_VALUE"""),"#N/A")</f>
        <v>#N/A</v>
      </c>
      <c r="L11966" s="1"/>
    </row>
    <row r="11967">
      <c r="A11967" s="1" t="str">
        <f>IFERROR(__xludf.DUMMYFUNCTION("""COMPUTED_VALUE"""),"2026 Apr")</f>
        <v>2026 Apr</v>
      </c>
      <c r="B11967" s="4">
        <f>IFERROR(__xludf.DUMMYFUNCTION("""COMPUTED_VALUE"""),46132.0)</f>
        <v>46132</v>
      </c>
      <c r="C11967" s="1" t="str">
        <f>IFERROR(__xludf.DUMMYFUNCTION("""COMPUTED_VALUE"""),"Core Product Support")</f>
        <v>Core Product Support</v>
      </c>
      <c r="D11967" s="1" t="str">
        <f>IFERROR(__xludf.DUMMYFUNCTION("""COMPUTED_VALUE"""),"cf4102e5-f522-43ac-bf51-15cc96666fde")</f>
        <v>cf4102e5-f522-43ac-bf51-15cc96666fde</v>
      </c>
      <c r="E11967" s="1"/>
      <c r="F11967" s="1"/>
      <c r="G11967" s="1">
        <f>IFERROR(__xludf.DUMMYFUNCTION("""COMPUTED_VALUE"""),1.25)</f>
        <v>1.25</v>
      </c>
      <c r="H11967" s="2">
        <f>IFERROR(__xludf.DUMMYFUNCTION("""COMPUTED_VALUE"""),1.25)</f>
        <v>1.25</v>
      </c>
      <c r="I11967" s="5">
        <f>IFERROR(__xludf.DUMMYFUNCTION("""COMPUTED_VALUE"""),1.0)</f>
        <v>1</v>
      </c>
      <c r="J11967" s="1" t="str">
        <f>IFERROR(__xludf.DUMMYFUNCTION("""COMPUTED_VALUE"""),"Mikhaela Decangchon")</f>
        <v>Mikhaela Decangchon</v>
      </c>
      <c r="K11967" s="1" t="str">
        <f>IFERROR(__xludf.DUMMYFUNCTION("""COMPUTED_VALUE"""),"Advanced Product Support")</f>
        <v>Advanced Product Support</v>
      </c>
      <c r="L11967" s="1" t="str">
        <f>IFERROR(__xludf.DUMMYFUNCTION("""COMPUTED_VALUE"""),"CPS Advanced Product Support (APS)")</f>
        <v>CPS Advanced Product Support (APS)</v>
      </c>
    </row>
    <row r="11968">
      <c r="A11968" s="1" t="str">
        <f>IFERROR(__xludf.DUMMYFUNCTION("""COMPUTED_VALUE"""),"2026 Apr")</f>
        <v>2026 Apr</v>
      </c>
      <c r="B11968" s="4">
        <f>IFERROR(__xludf.DUMMYFUNCTION("""COMPUTED_VALUE"""),46132.0)</f>
        <v>46132</v>
      </c>
      <c r="C11968" s="1" t="str">
        <f>IFERROR(__xludf.DUMMYFUNCTION("""COMPUTED_VALUE"""),"Core Product Support")</f>
        <v>Core Product Support</v>
      </c>
      <c r="D11968" s="1" t="str">
        <f>IFERROR(__xludf.DUMMYFUNCTION("""COMPUTED_VALUE"""),"b0e1557c-d0d9-4265-a67b-f94aae240d24")</f>
        <v>b0e1557c-d0d9-4265-a67b-f94aae240d24</v>
      </c>
      <c r="E11968" s="1">
        <f>IFERROR(__xludf.DUMMYFUNCTION("""COMPUTED_VALUE"""),8.519267619343E12)</f>
        <v>8519267619343</v>
      </c>
      <c r="F11968" s="1"/>
      <c r="G11968" s="1">
        <f>IFERROR(__xludf.DUMMYFUNCTION("""COMPUTED_VALUE"""),1.25)</f>
        <v>1.25</v>
      </c>
      <c r="H11968" s="2">
        <f>IFERROR(__xludf.DUMMYFUNCTION("""COMPUTED_VALUE"""),1.25)</f>
        <v>1.25</v>
      </c>
      <c r="I11968" s="5">
        <f>IFERROR(__xludf.DUMMYFUNCTION("""COMPUTED_VALUE"""),1.0)</f>
        <v>1</v>
      </c>
      <c r="J11968" s="1" t="str">
        <f>IFERROR(__xludf.DUMMYFUNCTION("""COMPUTED_VALUE"""),"Jahmie Mae Barrameda")</f>
        <v>Jahmie Mae Barrameda</v>
      </c>
      <c r="K11968" s="1" t="str">
        <f>IFERROR(__xludf.DUMMYFUNCTION("""COMPUTED_VALUE"""),"Advanced Billing &amp; Subscriptions")</f>
        <v>Advanced Billing &amp; Subscriptions</v>
      </c>
      <c r="L11968" s="1" t="str">
        <f>IFERROR(__xludf.DUMMYFUNCTION("""COMPUTED_VALUE"""),"CPS Advanced Billing and Subscriptions (ABS)")</f>
        <v>CPS Advanced Billing and Subscriptions (ABS)</v>
      </c>
    </row>
    <row r="11969">
      <c r="A11969" s="1" t="str">
        <f>IFERROR(__xludf.DUMMYFUNCTION("""COMPUTED_VALUE"""),"2026 Apr")</f>
        <v>2026 Apr</v>
      </c>
      <c r="B11969" s="4">
        <f>IFERROR(__xludf.DUMMYFUNCTION("""COMPUTED_VALUE"""),46132.0)</f>
        <v>46132</v>
      </c>
      <c r="C11969" s="1" t="str">
        <f>IFERROR(__xludf.DUMMYFUNCTION("""COMPUTED_VALUE"""),"Core Product Support")</f>
        <v>Core Product Support</v>
      </c>
      <c r="D11969" s="1" t="str">
        <f>IFERROR(__xludf.DUMMYFUNCTION("""COMPUTED_VALUE"""),"042e5ee4-7da0-42f9-92d0-d66496630cb9")</f>
        <v>042e5ee4-7da0-42f9-92d0-d66496630cb9</v>
      </c>
      <c r="E11969" s="1">
        <f>IFERROR(__xludf.DUMMYFUNCTION("""COMPUTED_VALUE"""),3.61861298335E11)</f>
        <v>361861298335</v>
      </c>
      <c r="F11969" s="1"/>
      <c r="G11969" s="1">
        <f>IFERROR(__xludf.DUMMYFUNCTION("""COMPUTED_VALUE"""),1.25)</f>
        <v>1.25</v>
      </c>
      <c r="H11969" s="2">
        <f>IFERROR(__xludf.DUMMYFUNCTION("""COMPUTED_VALUE"""),1.25)</f>
        <v>1.25</v>
      </c>
      <c r="I11969" s="5">
        <f>IFERROR(__xludf.DUMMYFUNCTION("""COMPUTED_VALUE"""),1.0)</f>
        <v>1</v>
      </c>
      <c r="J11969" s="1" t="str">
        <f>IFERROR(__xludf.DUMMYFUNCTION("""COMPUTED_VALUE"""),"Renette Bok")</f>
        <v>Renette Bok</v>
      </c>
      <c r="K11969" s="1" t="str">
        <f>IFERROR(__xludf.DUMMYFUNCTION("""COMPUTED_VALUE"""),"Advanced Billing &amp; Subscriptions")</f>
        <v>Advanced Billing &amp; Subscriptions</v>
      </c>
      <c r="L11969" s="1" t="str">
        <f>IFERROR(__xludf.DUMMYFUNCTION("""COMPUTED_VALUE"""),"CPS Advanced Billing and Subscriptions (ABS)")</f>
        <v>CPS Advanced Billing and Subscriptions (ABS)</v>
      </c>
    </row>
    <row r="11970">
      <c r="A11970" s="1" t="str">
        <f>IFERROR(__xludf.DUMMYFUNCTION("""COMPUTED_VALUE"""),"2026 Apr")</f>
        <v>2026 Apr</v>
      </c>
      <c r="B11970" s="4">
        <f>IFERROR(__xludf.DUMMYFUNCTION("""COMPUTED_VALUE"""),46132.0)</f>
        <v>46132</v>
      </c>
      <c r="C11970" s="1" t="str">
        <f>IFERROR(__xludf.DUMMYFUNCTION("""COMPUTED_VALUE"""),"Core Product Support")</f>
        <v>Core Product Support</v>
      </c>
      <c r="D11970" s="1" t="str">
        <f>IFERROR(__xludf.DUMMYFUNCTION("""COMPUTED_VALUE"""),"0cc61976-099e-4704-9248-c0d612333122")</f>
        <v>0cc61976-099e-4704-9248-c0d612333122</v>
      </c>
      <c r="E11970" s="1">
        <f>IFERROR(__xludf.DUMMYFUNCTION("""COMPUTED_VALUE"""),4.502607605263E12)</f>
        <v>4502607605263</v>
      </c>
      <c r="F11970" s="1"/>
      <c r="G11970" s="1">
        <f>IFERROR(__xludf.DUMMYFUNCTION("""COMPUTED_VALUE"""),2.5)</f>
        <v>2.5</v>
      </c>
      <c r="H11970" s="2">
        <f>IFERROR(__xludf.DUMMYFUNCTION("""COMPUTED_VALUE"""),2.5)</f>
        <v>2.5</v>
      </c>
      <c r="I11970" s="5">
        <f>IFERROR(__xludf.DUMMYFUNCTION("""COMPUTED_VALUE"""),1.0)</f>
        <v>1</v>
      </c>
      <c r="J11970" s="1" t="str">
        <f>IFERROR(__xludf.DUMMYFUNCTION("""COMPUTED_VALUE"""),"Ellaine Estayo")</f>
        <v>Ellaine Estayo</v>
      </c>
      <c r="K11970" s="1" t="str">
        <f>IFERROR(__xludf.DUMMYFUNCTION("""COMPUTED_VALUE"""),"Core Product Support Escalation Team")</f>
        <v>Core Product Support Escalation Team</v>
      </c>
      <c r="L11970"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971">
      <c r="A11971" s="1" t="str">
        <f>IFERROR(__xludf.DUMMYFUNCTION("""COMPUTED_VALUE"""),"2026 Apr")</f>
        <v>2026 Apr</v>
      </c>
      <c r="B11971" s="4">
        <f>IFERROR(__xludf.DUMMYFUNCTION("""COMPUTED_VALUE"""),46132.0)</f>
        <v>46132</v>
      </c>
      <c r="C11971" s="1" t="str">
        <f>IFERROR(__xludf.DUMMYFUNCTION("""COMPUTED_VALUE"""),"Print Support")</f>
        <v>Print Support</v>
      </c>
      <c r="D11971" s="1" t="str">
        <f>IFERROR(__xludf.DUMMYFUNCTION("""COMPUTED_VALUE"""),"1eb6d900-9254-4ad7-b5e2-1f27f00e2077")</f>
        <v>1eb6d900-9254-4ad7-b5e2-1f27f00e2077</v>
      </c>
      <c r="E11971" s="1">
        <f>IFERROR(__xludf.DUMMYFUNCTION("""COMPUTED_VALUE"""),1.3477715168271E13)</f>
        <v>13477715168271</v>
      </c>
      <c r="F11971" s="1"/>
      <c r="G11971" s="1"/>
      <c r="H11971" s="2">
        <f>IFERROR(__xludf.DUMMYFUNCTION("""COMPUTED_VALUE"""),0.0)</f>
        <v>0</v>
      </c>
      <c r="I11971" s="5"/>
      <c r="J11971" s="1" t="str">
        <f>IFERROR(__xludf.DUMMYFUNCTION("""COMPUTED_VALUE"""),"Jan Domingo")</f>
        <v>Jan Domingo</v>
      </c>
      <c r="K11971" s="1" t="str">
        <f>IFERROR(__xludf.DUMMYFUNCTION("""COMPUTED_VALUE"""),"Print Design Support")</f>
        <v>Print Design Support</v>
      </c>
      <c r="L11971" s="1" t="str">
        <f>IFERROR(__xludf.DUMMYFUNCTION("""COMPUTED_VALUE"""),"Print Print Design")</f>
        <v>Print Print Design</v>
      </c>
    </row>
    <row r="11972">
      <c r="A11972" s="1" t="str">
        <f>IFERROR(__xludf.DUMMYFUNCTION("""COMPUTED_VALUE"""),"2026 Apr")</f>
        <v>2026 Apr</v>
      </c>
      <c r="B11972" s="4">
        <f>IFERROR(__xludf.DUMMYFUNCTION("""COMPUTED_VALUE"""),46132.0)</f>
        <v>46132</v>
      </c>
      <c r="C11972" s="1" t="str">
        <f>IFERROR(__xludf.DUMMYFUNCTION("""COMPUTED_VALUE"""),"Core Product Support")</f>
        <v>Core Product Support</v>
      </c>
      <c r="D11972" s="1" t="str">
        <f>IFERROR(__xludf.DUMMYFUNCTION("""COMPUTED_VALUE"""),"fb4299a4-0e59-4c64-8fbb-5fd3f6a3cb3e")</f>
        <v>fb4299a4-0e59-4c64-8fbb-5fd3f6a3cb3e</v>
      </c>
      <c r="E11972" s="1">
        <f>IFERROR(__xludf.DUMMYFUNCTION("""COMPUTED_VALUE"""),3.61964324536E11)</f>
        <v>361964324536</v>
      </c>
      <c r="F11972" s="1"/>
      <c r="G11972" s="1">
        <f>IFERROR(__xludf.DUMMYFUNCTION("""COMPUTED_VALUE"""),2.5)</f>
        <v>2.5</v>
      </c>
      <c r="H11972" s="2">
        <f>IFERROR(__xludf.DUMMYFUNCTION("""COMPUTED_VALUE"""),2.5)</f>
        <v>2.5</v>
      </c>
      <c r="I11972" s="5">
        <f>IFERROR(__xludf.DUMMYFUNCTION("""COMPUTED_VALUE"""),1.0)</f>
        <v>1</v>
      </c>
      <c r="J11972" s="1" t="str">
        <f>IFERROR(__xludf.DUMMYFUNCTION("""COMPUTED_VALUE"""),"Sieg Ballelos")</f>
        <v>Sieg Ballelos</v>
      </c>
      <c r="K11972" s="1" t="str">
        <f>IFERROR(__xludf.DUMMYFUNCTION("""COMPUTED_VALUE"""),"Core Product Support Escalation Team")</f>
        <v>Core Product Support Escalation Team</v>
      </c>
      <c r="L11972"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973">
      <c r="A11973" s="1" t="str">
        <f>IFERROR(__xludf.DUMMYFUNCTION("""COMPUTED_VALUE"""),"2026 Apr")</f>
        <v>2026 Apr</v>
      </c>
      <c r="B11973" s="4">
        <f>IFERROR(__xludf.DUMMYFUNCTION("""COMPUTED_VALUE"""),46132.0)</f>
        <v>46132</v>
      </c>
      <c r="C11973" s="1" t="str">
        <f>IFERROR(__xludf.DUMMYFUNCTION("""COMPUTED_VALUE"""),"Admin Support")</f>
        <v>Admin Support</v>
      </c>
      <c r="D11973" s="1" t="str">
        <f>IFERROR(__xludf.DUMMYFUNCTION("""COMPUTED_VALUE"""),"b9737663-79f8-4cad-a8f9-6db9a37d36bf")</f>
        <v>b9737663-79f8-4cad-a8f9-6db9a37d36bf</v>
      </c>
      <c r="E11973" s="1">
        <f>IFERROR(__xludf.DUMMYFUNCTION("""COMPUTED_VALUE"""),3.61726427416E11)</f>
        <v>361726427416</v>
      </c>
      <c r="F11973" s="1"/>
      <c r="G11973" s="1"/>
      <c r="H11973" s="2">
        <f>IFERROR(__xludf.DUMMYFUNCTION("""COMPUTED_VALUE"""),0.0)</f>
        <v>0</v>
      </c>
      <c r="I11973" s="5"/>
      <c r="J11973" s="1" t="str">
        <f>IFERROR(__xludf.DUMMYFUNCTION("""COMPUTED_VALUE"""),"Karla Mananghaya")</f>
        <v>Karla Mananghaya</v>
      </c>
      <c r="K11973" s="1" t="str">
        <f>IFERROR(__xludf.DUMMYFUNCTION("""COMPUTED_VALUE"""),"Admin Support Service Escalation Team")</f>
        <v>Admin Support Service Escalation Team</v>
      </c>
      <c r="L11973" s="1" t="str">
        <f>IFERROR(__xludf.DUMMYFUNCTION("""COMPUTED_VALUE"""),"Admin ASSET")</f>
        <v>Admin ASSET</v>
      </c>
    </row>
    <row r="11974">
      <c r="A11974" s="1" t="str">
        <f>IFERROR(__xludf.DUMMYFUNCTION("""COMPUTED_VALUE"""),"2026 Apr")</f>
        <v>2026 Apr</v>
      </c>
      <c r="B11974" s="4">
        <f>IFERROR(__xludf.DUMMYFUNCTION("""COMPUTED_VALUE"""),46132.0)</f>
        <v>46132</v>
      </c>
      <c r="C11974" s="1" t="str">
        <f>IFERROR(__xludf.DUMMYFUNCTION("""COMPUTED_VALUE"""),"Core Product Support")</f>
        <v>Core Product Support</v>
      </c>
      <c r="D11974" s="1" t="str">
        <f>IFERROR(__xludf.DUMMYFUNCTION("""COMPUTED_VALUE"""),"253d67a9-d468-454b-b17c-b16b05cc6794")</f>
        <v>253d67a9-d468-454b-b17c-b16b05cc6794</v>
      </c>
      <c r="E11974" s="1">
        <f>IFERROR(__xludf.DUMMYFUNCTION("""COMPUTED_VALUE"""),1.0333034131599E13)</f>
        <v>10333034131599</v>
      </c>
      <c r="F11974" s="1"/>
      <c r="G11974" s="1">
        <f>IFERROR(__xludf.DUMMYFUNCTION("""COMPUTED_VALUE"""),1.25)</f>
        <v>1.25</v>
      </c>
      <c r="H11974" s="2">
        <f>IFERROR(__xludf.DUMMYFUNCTION("""COMPUTED_VALUE"""),1.25)</f>
        <v>1.25</v>
      </c>
      <c r="I11974" s="5">
        <f>IFERROR(__xludf.DUMMYFUNCTION("""COMPUTED_VALUE"""),1.0)</f>
        <v>1</v>
      </c>
      <c r="J11974" s="1" t="str">
        <f>IFERROR(__xludf.DUMMYFUNCTION("""COMPUTED_VALUE"""),"Cherry Macam")</f>
        <v>Cherry Macam</v>
      </c>
      <c r="K11974" s="1" t="str">
        <f>IFERROR(__xludf.DUMMYFUNCTION("""COMPUTED_VALUE"""),"Advanced Billing &amp; Subscriptions")</f>
        <v>Advanced Billing &amp; Subscriptions</v>
      </c>
      <c r="L11974" s="1" t="str">
        <f>IFERROR(__xludf.DUMMYFUNCTION("""COMPUTED_VALUE"""),"CPS Advanced Billing and Subscriptions (ABS)")</f>
        <v>CPS Advanced Billing and Subscriptions (ABS)</v>
      </c>
    </row>
    <row r="11975">
      <c r="A11975" s="1" t="str">
        <f>IFERROR(__xludf.DUMMYFUNCTION("""COMPUTED_VALUE"""),"2026 Apr")</f>
        <v>2026 Apr</v>
      </c>
      <c r="B11975" s="4">
        <f>IFERROR(__xludf.DUMMYFUNCTION("""COMPUTED_VALUE"""),46132.0)</f>
        <v>46132</v>
      </c>
      <c r="C11975" s="1" t="str">
        <f>IFERROR(__xludf.DUMMYFUNCTION("""COMPUTED_VALUE"""),"Core Product Support")</f>
        <v>Core Product Support</v>
      </c>
      <c r="D11975" s="1" t="str">
        <f>IFERROR(__xludf.DUMMYFUNCTION("""COMPUTED_VALUE"""),"e2ffb663-8d10-4463-8bb8-3bd130fdce1c")</f>
        <v>e2ffb663-8d10-4463-8bb8-3bd130fdce1c</v>
      </c>
      <c r="E11975" s="1">
        <f>IFERROR(__xludf.DUMMYFUNCTION("""COMPUTED_VALUE"""),1.1279730843407E13)</f>
        <v>11279730843407</v>
      </c>
      <c r="F11975" s="1"/>
      <c r="G11975" s="1">
        <f>IFERROR(__xludf.DUMMYFUNCTION("""COMPUTED_VALUE"""),1.0)</f>
        <v>1</v>
      </c>
      <c r="H11975" s="2">
        <f>IFERROR(__xludf.DUMMYFUNCTION("""COMPUTED_VALUE"""),1.0)</f>
        <v>1</v>
      </c>
      <c r="I11975" s="5">
        <f>IFERROR(__xludf.DUMMYFUNCTION("""COMPUTED_VALUE"""),1.0)</f>
        <v>1</v>
      </c>
      <c r="J11975" s="1" t="str">
        <f>IFERROR(__xludf.DUMMYFUNCTION("""COMPUTED_VALUE"""),"Ayza Marie Pascual")</f>
        <v>Ayza Marie Pascual</v>
      </c>
      <c r="K11975" s="1" t="str">
        <f>IFERROR(__xludf.DUMMYFUNCTION("""COMPUTED_VALUE"""),"Advanced Billing &amp; Subscriptions")</f>
        <v>Advanced Billing &amp; Subscriptions</v>
      </c>
      <c r="L11975" s="1" t="str">
        <f>IFERROR(__xludf.DUMMYFUNCTION("""COMPUTED_VALUE"""),"CPS Advanced Billing and Subscriptions (ABS)")</f>
        <v>CPS Advanced Billing and Subscriptions (ABS)</v>
      </c>
    </row>
    <row r="11976">
      <c r="A11976" s="1" t="str">
        <f>IFERROR(__xludf.DUMMYFUNCTION("""COMPUTED_VALUE"""),"2026 Apr")</f>
        <v>2026 Apr</v>
      </c>
      <c r="B11976" s="4">
        <f>IFERROR(__xludf.DUMMYFUNCTION("""COMPUTED_VALUE"""),46132.0)</f>
        <v>46132</v>
      </c>
      <c r="C11976" s="1" t="str">
        <f>IFERROR(__xludf.DUMMYFUNCTION("""COMPUTED_VALUE"""),"Core Product Support")</f>
        <v>Core Product Support</v>
      </c>
      <c r="D11976" s="1" t="str">
        <f>IFERROR(__xludf.DUMMYFUNCTION("""COMPUTED_VALUE"""),"1a6492df-fa9a-416f-b1d1-da6edc22036f")</f>
        <v>1a6492df-fa9a-416f-b1d1-da6edc22036f</v>
      </c>
      <c r="E11976" s="1">
        <f>IFERROR(__xludf.DUMMYFUNCTION("""COMPUTED_VALUE"""),7.874569114383E12)</f>
        <v>7874569114383</v>
      </c>
      <c r="F11976" s="1"/>
      <c r="G11976" s="1">
        <f>IFERROR(__xludf.DUMMYFUNCTION("""COMPUTED_VALUE"""),1.25)</f>
        <v>1.25</v>
      </c>
      <c r="H11976" s="2">
        <f>IFERROR(__xludf.DUMMYFUNCTION("""COMPUTED_VALUE"""),1.25)</f>
        <v>1.25</v>
      </c>
      <c r="I11976" s="5">
        <f>IFERROR(__xludf.DUMMYFUNCTION("""COMPUTED_VALUE"""),1.0)</f>
        <v>1</v>
      </c>
      <c r="J11976" s="1" t="str">
        <f>IFERROR(__xludf.DUMMYFUNCTION("""COMPUTED_VALUE"""),"Ana Lazaro")</f>
        <v>Ana Lazaro</v>
      </c>
      <c r="K11976" s="1" t="str">
        <f>IFERROR(__xludf.DUMMYFUNCTION("""COMPUTED_VALUE"""),"Advanced Billing &amp; Subscriptions")</f>
        <v>Advanced Billing &amp; Subscriptions</v>
      </c>
      <c r="L11976" s="1" t="str">
        <f>IFERROR(__xludf.DUMMYFUNCTION("""COMPUTED_VALUE"""),"CPS Advanced Billing and Subscriptions (ABS)")</f>
        <v>CPS Advanced Billing and Subscriptions (ABS)</v>
      </c>
    </row>
    <row r="11977">
      <c r="A11977" s="1" t="str">
        <f>IFERROR(__xludf.DUMMYFUNCTION("""COMPUTED_VALUE"""),"2026 Apr")</f>
        <v>2026 Apr</v>
      </c>
      <c r="B11977" s="4">
        <f>IFERROR(__xludf.DUMMYFUNCTION("""COMPUTED_VALUE"""),46132.0)</f>
        <v>46132</v>
      </c>
      <c r="C11977" s="1" t="str">
        <f>IFERROR(__xludf.DUMMYFUNCTION("""COMPUTED_VALUE"""),"High Sensitivity Support")</f>
        <v>High Sensitivity Support</v>
      </c>
      <c r="D11977" s="1" t="str">
        <f>IFERROR(__xludf.DUMMYFUNCTION("""COMPUTED_VALUE"""),"8b075f45-27b1-469e-bbc3-e97261e6934d")</f>
        <v>8b075f45-27b1-469e-bbc3-e97261e6934d</v>
      </c>
      <c r="E11977" s="1">
        <f>IFERROR(__xludf.DUMMYFUNCTION("""COMPUTED_VALUE"""),5.202423769487E12)</f>
        <v>5202423769487</v>
      </c>
      <c r="F11977" s="1"/>
      <c r="G11977" s="1"/>
      <c r="H11977" s="2">
        <f>IFERROR(__xludf.DUMMYFUNCTION("""COMPUTED_VALUE"""),0.0)</f>
        <v>0</v>
      </c>
      <c r="I11977" s="5"/>
      <c r="J11977" s="1" t="str">
        <f>IFERROR(__xludf.DUMMYFUNCTION("""COMPUTED_VALUE"""),"Rex Villamor")</f>
        <v>Rex Villamor</v>
      </c>
      <c r="K11977" s="1" t="str">
        <f>IFERROR(__xludf.DUMMYFUNCTION("""COMPUTED_VALUE"""),"High Sensitivity Support PH")</f>
        <v>High Sensitivity Support PH</v>
      </c>
      <c r="L11977" s="1" t="str">
        <f>IFERROR(__xludf.DUMMYFUNCTION("""COMPUTED_VALUE"""),"HSS High Sensitivity Support PH - CHT")</f>
        <v>HSS High Sensitivity Support PH - CHT</v>
      </c>
    </row>
    <row r="11978">
      <c r="A11978" s="1" t="str">
        <f>IFERROR(__xludf.DUMMYFUNCTION("""COMPUTED_VALUE"""),"2026 Apr")</f>
        <v>2026 Apr</v>
      </c>
      <c r="B11978" s="4">
        <f>IFERROR(__xludf.DUMMYFUNCTION("""COMPUTED_VALUE"""),46132.0)</f>
        <v>46132</v>
      </c>
      <c r="C11978" s="1" t="str">
        <f>IFERROR(__xludf.DUMMYFUNCTION("""COMPUTED_VALUE"""),"Segment-specific Support")</f>
        <v>Segment-specific Support</v>
      </c>
      <c r="D11978" s="1" t="str">
        <f>IFERROR(__xludf.DUMMYFUNCTION("""COMPUTED_VALUE"""),"68027150-37ee-48bc-8dee-e459591aca37")</f>
        <v>68027150-37ee-48bc-8dee-e459591aca37</v>
      </c>
      <c r="E11978" s="1">
        <f>IFERROR(__xludf.DUMMYFUNCTION("""COMPUTED_VALUE"""),9.586408606607E12)</f>
        <v>9586408606607</v>
      </c>
      <c r="F11978" s="1"/>
      <c r="G11978" s="1"/>
      <c r="H11978" s="2">
        <f>IFERROR(__xludf.DUMMYFUNCTION("""COMPUTED_VALUE"""),0.0)</f>
        <v>0</v>
      </c>
      <c r="I11978" s="5"/>
      <c r="J11978" s="1" t="str">
        <f>IFERROR(__xludf.DUMMYFUNCTION("""COMPUTED_VALUE"""),"Rose Gabilan")</f>
        <v>Rose Gabilan</v>
      </c>
      <c r="K11978" s="1" t="str">
        <f>IFERROR(__xludf.DUMMYFUNCTION("""COMPUTED_VALUE"""),"Affinity Support")</f>
        <v>Affinity Support</v>
      </c>
      <c r="L11978" s="1" t="str">
        <f>IFERROR(__xludf.DUMMYFUNCTION("""COMPUTED_VALUE"""),"SSS Affinity - L1")</f>
        <v>SSS Affinity - L1</v>
      </c>
    </row>
    <row r="11979">
      <c r="A11979" s="1" t="str">
        <f>IFERROR(__xludf.DUMMYFUNCTION("""COMPUTED_VALUE"""),"2026 Apr")</f>
        <v>2026 Apr</v>
      </c>
      <c r="B11979" s="4">
        <f>IFERROR(__xludf.DUMMYFUNCTION("""COMPUTED_VALUE"""),46132.0)</f>
        <v>46132</v>
      </c>
      <c r="C11979" s="1" t="str">
        <f>IFERROR(__xludf.DUMMYFUNCTION("""COMPUTED_VALUE"""),"Core Product Support")</f>
        <v>Core Product Support</v>
      </c>
      <c r="D11979" s="1" t="str">
        <f>IFERROR(__xludf.DUMMYFUNCTION("""COMPUTED_VALUE"""),"2417322d-d75a-4184-9e3c-95ae48393a05")</f>
        <v>2417322d-d75a-4184-9e3c-95ae48393a05</v>
      </c>
      <c r="E11979" s="1">
        <f>IFERROR(__xludf.DUMMYFUNCTION("""COMPUTED_VALUE"""),3.61861297995E11)</f>
        <v>361861297995</v>
      </c>
      <c r="F11979" s="1"/>
      <c r="G11979" s="1">
        <f>IFERROR(__xludf.DUMMYFUNCTION("""COMPUTED_VALUE"""),1.25)</f>
        <v>1.25</v>
      </c>
      <c r="H11979" s="2">
        <f>IFERROR(__xludf.DUMMYFUNCTION("""COMPUTED_VALUE"""),1.25)</f>
        <v>1.25</v>
      </c>
      <c r="I11979" s="5">
        <f>IFERROR(__xludf.DUMMYFUNCTION("""COMPUTED_VALUE"""),1.0)</f>
        <v>1</v>
      </c>
      <c r="J11979" s="1" t="str">
        <f>IFERROR(__xludf.DUMMYFUNCTION("""COMPUTED_VALUE"""),"Jem Mondoñedo")</f>
        <v>Jem Mondoñedo</v>
      </c>
      <c r="K11979" s="1" t="str">
        <f>IFERROR(__xludf.DUMMYFUNCTION("""COMPUTED_VALUE"""),"Advanced Billing &amp; Subscriptions")</f>
        <v>Advanced Billing &amp; Subscriptions</v>
      </c>
      <c r="L11979" s="1" t="str">
        <f>IFERROR(__xludf.DUMMYFUNCTION("""COMPUTED_VALUE"""),"CPS Advanced Billing and Subscriptions (ABS)")</f>
        <v>CPS Advanced Billing and Subscriptions (ABS)</v>
      </c>
    </row>
    <row r="11980">
      <c r="A11980" s="1" t="str">
        <f>IFERROR(__xludf.DUMMYFUNCTION("""COMPUTED_VALUE"""),"2026 Apr")</f>
        <v>2026 Apr</v>
      </c>
      <c r="B11980" s="4">
        <f>IFERROR(__xludf.DUMMYFUNCTION("""COMPUTED_VALUE"""),46132.0)</f>
        <v>46132</v>
      </c>
      <c r="C11980" s="1" t="str">
        <f>IFERROR(__xludf.DUMMYFUNCTION("""COMPUTED_VALUE"""),"Segment-specific Support")</f>
        <v>Segment-specific Support</v>
      </c>
      <c r="D11980" s="1" t="str">
        <f>IFERROR(__xludf.DUMMYFUNCTION("""COMPUTED_VALUE"""),"4cae5e1d-2159-4afc-b9cd-a826e7f3982e")</f>
        <v>4cae5e1d-2159-4afc-b9cd-a826e7f3982e</v>
      </c>
      <c r="E11980" s="1">
        <f>IFERROR(__xludf.DUMMYFUNCTION("""COMPUTED_VALUE"""),3.61726424816E11)</f>
        <v>361726424816</v>
      </c>
      <c r="F11980" s="1"/>
      <c r="G11980" s="1"/>
      <c r="H11980" s="2">
        <f>IFERROR(__xludf.DUMMYFUNCTION("""COMPUTED_VALUE"""),0.0)</f>
        <v>0</v>
      </c>
      <c r="I11980" s="5"/>
      <c r="J11980" s="1" t="str">
        <f>IFERROR(__xludf.DUMMYFUNCTION("""COMPUTED_VALUE"""),"Aileen Dayanghirang")</f>
        <v>Aileen Dayanghirang</v>
      </c>
      <c r="K11980" s="1" t="str">
        <f>IFERROR(__xludf.DUMMYFUNCTION("""COMPUTED_VALUE"""),"Creators Support")</f>
        <v>Creators Support</v>
      </c>
      <c r="L11980" s="1" t="str">
        <f>IFERROR(__xludf.DUMMYFUNCTION("""COMPUTED_VALUE"""),"SSS Creators")</f>
        <v>SSS Creators</v>
      </c>
    </row>
    <row r="11981">
      <c r="A11981" s="1" t="str">
        <f>IFERROR(__xludf.DUMMYFUNCTION("""COMPUTED_VALUE"""),"2026 Apr")</f>
        <v>2026 Apr</v>
      </c>
      <c r="B11981" s="4">
        <f>IFERROR(__xludf.DUMMYFUNCTION("""COMPUTED_VALUE"""),46132.0)</f>
        <v>46132</v>
      </c>
      <c r="C11981" s="1" t="str">
        <f>IFERROR(__xludf.DUMMYFUNCTION("""COMPUTED_VALUE"""),"Core Product Support")</f>
        <v>Core Product Support</v>
      </c>
      <c r="D11981" s="1" t="str">
        <f>IFERROR(__xludf.DUMMYFUNCTION("""COMPUTED_VALUE"""),"ecc3a54c-2b13-4ea5-ad1e-96b8b278e7da")</f>
        <v>ecc3a54c-2b13-4ea5-ad1e-96b8b278e7da</v>
      </c>
      <c r="E11981" s="1">
        <f>IFERROR(__xludf.DUMMYFUNCTION("""COMPUTED_VALUE"""),1.0333050571535E13)</f>
        <v>10333050571535</v>
      </c>
      <c r="F11981" s="1"/>
      <c r="G11981" s="1">
        <f>IFERROR(__xludf.DUMMYFUNCTION("""COMPUTED_VALUE"""),1.25)</f>
        <v>1.25</v>
      </c>
      <c r="H11981" s="2">
        <f>IFERROR(__xludf.DUMMYFUNCTION("""COMPUTED_VALUE"""),1.25)</f>
        <v>1.25</v>
      </c>
      <c r="I11981" s="5">
        <f>IFERROR(__xludf.DUMMYFUNCTION("""COMPUTED_VALUE"""),1.0)</f>
        <v>1</v>
      </c>
      <c r="J11981" s="1" t="str">
        <f>IFERROR(__xludf.DUMMYFUNCTION("""COMPUTED_VALUE"""),"Mikhaela Decangchon")</f>
        <v>Mikhaela Decangchon</v>
      </c>
      <c r="K11981" s="1" t="str">
        <f>IFERROR(__xludf.DUMMYFUNCTION("""COMPUTED_VALUE"""),"Advanced Product Support")</f>
        <v>Advanced Product Support</v>
      </c>
      <c r="L11981" s="1" t="str">
        <f>IFERROR(__xludf.DUMMYFUNCTION("""COMPUTED_VALUE"""),"CPS Advanced Product Support (APS)")</f>
        <v>CPS Advanced Product Support (APS)</v>
      </c>
    </row>
    <row r="11982">
      <c r="A11982" s="1" t="str">
        <f>IFERROR(__xludf.DUMMYFUNCTION("""COMPUTED_VALUE"""),"2026 Apr")</f>
        <v>2026 Apr</v>
      </c>
      <c r="B11982" s="4">
        <f>IFERROR(__xludf.DUMMYFUNCTION("""COMPUTED_VALUE"""),46132.0)</f>
        <v>46132</v>
      </c>
      <c r="C11982" s="1" t="str">
        <f>IFERROR(__xludf.DUMMYFUNCTION("""COMPUTED_VALUE"""),"Print Support")</f>
        <v>Print Support</v>
      </c>
      <c r="D11982" s="1" t="str">
        <f>IFERROR(__xludf.DUMMYFUNCTION("""COMPUTED_VALUE"""),"c6cec3c3-9fe7-48ea-b63e-7658cdee4747")</f>
        <v>c6cec3c3-9fe7-48ea-b63e-7658cdee4747</v>
      </c>
      <c r="E11982" s="1">
        <f>IFERROR(__xludf.DUMMYFUNCTION("""COMPUTED_VALUE"""),5.901960272783E12)</f>
        <v>5901960272783</v>
      </c>
      <c r="F11982" s="1"/>
      <c r="G11982" s="1"/>
      <c r="H11982" s="2">
        <f>IFERROR(__xludf.DUMMYFUNCTION("""COMPUTED_VALUE"""),0.0)</f>
        <v>0</v>
      </c>
      <c r="I11982" s="5"/>
      <c r="J11982" s="1" t="str">
        <f>IFERROR(__xludf.DUMMYFUNCTION("""COMPUTED_VALUE"""),"Althea Mercado")</f>
        <v>Althea Mercado</v>
      </c>
      <c r="K11982" s="1" t="str">
        <f>IFERROR(__xludf.DUMMYFUNCTION("""COMPUTED_VALUE"""),"Print Support PH")</f>
        <v>Print Support PH</v>
      </c>
      <c r="L11982" s="1" t="str">
        <f>IFERROR(__xludf.DUMMYFUNCTION("""COMPUTED_VALUE"""),"Print Print - CHT")</f>
        <v>Print Print - CHT</v>
      </c>
    </row>
    <row r="11983">
      <c r="A11983" s="1" t="str">
        <f>IFERROR(__xludf.DUMMYFUNCTION("""COMPUTED_VALUE"""),"2026 Apr")</f>
        <v>2026 Apr</v>
      </c>
      <c r="B11983" s="4">
        <f>IFERROR(__xludf.DUMMYFUNCTION("""COMPUTED_VALUE"""),46132.0)</f>
        <v>46132</v>
      </c>
      <c r="C11983" s="1" t="str">
        <f>IFERROR(__xludf.DUMMYFUNCTION("""COMPUTED_VALUE"""),"Admin Support")</f>
        <v>Admin Support</v>
      </c>
      <c r="D11983" s="1" t="str">
        <f>IFERROR(__xludf.DUMMYFUNCTION("""COMPUTED_VALUE"""),"f1bbdd3e-ea42-496f-87a0-14d656a67a92")</f>
        <v>f1bbdd3e-ea42-496f-87a0-14d656a67a92</v>
      </c>
      <c r="E11983" s="1">
        <f>IFERROR(__xludf.DUMMYFUNCTION("""COMPUTED_VALUE"""),5.563904587279E12)</f>
        <v>5563904587279</v>
      </c>
      <c r="F11983" s="1"/>
      <c r="G11983" s="1"/>
      <c r="H11983" s="2">
        <f>IFERROR(__xludf.DUMMYFUNCTION("""COMPUTED_VALUE"""),0.0)</f>
        <v>0</v>
      </c>
      <c r="I11983" s="5"/>
      <c r="J11983" s="1" t="str">
        <f>IFERROR(__xludf.DUMMYFUNCTION("""COMPUTED_VALUE"""),"Nate Vela")</f>
        <v>Nate Vela</v>
      </c>
      <c r="K11983" s="1" t="str">
        <f>IFERROR(__xludf.DUMMYFUNCTION("""COMPUTED_VALUE"""),"Admin Support NA")</f>
        <v>Admin Support NA</v>
      </c>
      <c r="L11983" s="1" t="str">
        <f>IFERROR(__xludf.DUMMYFUNCTION("""COMPUTED_VALUE"""),"Admin NA")</f>
        <v>Admin NA</v>
      </c>
    </row>
    <row r="11984">
      <c r="A11984" s="1" t="str">
        <f>IFERROR(__xludf.DUMMYFUNCTION("""COMPUTED_VALUE"""),"2026 Apr")</f>
        <v>2026 Apr</v>
      </c>
      <c r="B11984" s="4">
        <f>IFERROR(__xludf.DUMMYFUNCTION("""COMPUTED_VALUE"""),46132.0)</f>
        <v>46132</v>
      </c>
      <c r="C11984" s="1" t="str">
        <f>IFERROR(__xludf.DUMMYFUNCTION("""COMPUTED_VALUE"""),"Core Product Support")</f>
        <v>Core Product Support</v>
      </c>
      <c r="D11984" s="1" t="str">
        <f>IFERROR(__xludf.DUMMYFUNCTION("""COMPUTED_VALUE"""),"3146744a-956c-4560-bc5a-70bcebe20785")</f>
        <v>3146744a-956c-4560-bc5a-70bcebe20785</v>
      </c>
      <c r="E11984" s="1">
        <f>IFERROR(__xludf.DUMMYFUNCTION("""COMPUTED_VALUE"""),3.61861297835E11)</f>
        <v>361861297835</v>
      </c>
      <c r="F11984" s="1"/>
      <c r="G11984" s="1">
        <f>IFERROR(__xludf.DUMMYFUNCTION("""COMPUTED_VALUE"""),1.25)</f>
        <v>1.25</v>
      </c>
      <c r="H11984" s="2">
        <f>IFERROR(__xludf.DUMMYFUNCTION("""COMPUTED_VALUE"""),1.25)</f>
        <v>1.25</v>
      </c>
      <c r="I11984" s="5">
        <f>IFERROR(__xludf.DUMMYFUNCTION("""COMPUTED_VALUE"""),1.0)</f>
        <v>1</v>
      </c>
      <c r="J11984" s="1" t="str">
        <f>IFERROR(__xludf.DUMMYFUNCTION("""COMPUTED_VALUE"""),"Jem Mondoñedo")</f>
        <v>Jem Mondoñedo</v>
      </c>
      <c r="K11984" s="1" t="str">
        <f>IFERROR(__xludf.DUMMYFUNCTION("""COMPUTED_VALUE"""),"Advanced Billing &amp; Subscriptions")</f>
        <v>Advanced Billing &amp; Subscriptions</v>
      </c>
      <c r="L11984" s="1" t="str">
        <f>IFERROR(__xludf.DUMMYFUNCTION("""COMPUTED_VALUE"""),"CPS Advanced Billing and Subscriptions (ABS)")</f>
        <v>CPS Advanced Billing and Subscriptions (ABS)</v>
      </c>
    </row>
    <row r="11985">
      <c r="A11985" s="1" t="str">
        <f>IFERROR(__xludf.DUMMYFUNCTION("""COMPUTED_VALUE"""),"2026 Apr")</f>
        <v>2026 Apr</v>
      </c>
      <c r="B11985" s="4">
        <f>IFERROR(__xludf.DUMMYFUNCTION("""COMPUTED_VALUE"""),46132.0)</f>
        <v>46132</v>
      </c>
      <c r="C11985" s="1" t="str">
        <f>IFERROR(__xludf.DUMMYFUNCTION("""COMPUTED_VALUE"""),"Print Support")</f>
        <v>Print Support</v>
      </c>
      <c r="D11985" s="1" t="str">
        <f>IFERROR(__xludf.DUMMYFUNCTION("""COMPUTED_VALUE"""),"30527ca4-aa21-4ba1-bf53-3e00c15dfada")</f>
        <v>30527ca4-aa21-4ba1-bf53-3e00c15dfada</v>
      </c>
      <c r="E11985" s="1">
        <f>IFERROR(__xludf.DUMMYFUNCTION("""COMPUTED_VALUE"""),5.359149526287E12)</f>
        <v>5359149526287</v>
      </c>
      <c r="F11985" s="1"/>
      <c r="G11985" s="1"/>
      <c r="H11985" s="2">
        <f>IFERROR(__xludf.DUMMYFUNCTION("""COMPUTED_VALUE"""),0.0)</f>
        <v>0</v>
      </c>
      <c r="I11985" s="5"/>
      <c r="J11985" s="1" t="str">
        <f>IFERROR(__xludf.DUMMYFUNCTION("""COMPUTED_VALUE"""),"Louise Dianne Estrella")</f>
        <v>Louise Dianne Estrella</v>
      </c>
      <c r="K11985" s="1" t="str">
        <f>IFERROR(__xludf.DUMMYFUNCTION("""COMPUTED_VALUE"""),"Print Support PH")</f>
        <v>Print Support PH</v>
      </c>
      <c r="L11985" s="1" t="str">
        <f>IFERROR(__xludf.DUMMYFUNCTION("""COMPUTED_VALUE"""),"Print Print - CHT")</f>
        <v>Print Print - CHT</v>
      </c>
    </row>
    <row r="11986">
      <c r="A11986" s="1" t="str">
        <f>IFERROR(__xludf.DUMMYFUNCTION("""COMPUTED_VALUE"""),"2026 Apr")</f>
        <v>2026 Apr</v>
      </c>
      <c r="B11986" s="4">
        <f>IFERROR(__xludf.DUMMYFUNCTION("""COMPUTED_VALUE"""),46132.0)</f>
        <v>46132</v>
      </c>
      <c r="C11986" s="1" t="str">
        <f>IFERROR(__xludf.DUMMYFUNCTION("""COMPUTED_VALUE"""),"High Sensitivity Support")</f>
        <v>High Sensitivity Support</v>
      </c>
      <c r="D11986" s="1" t="str">
        <f>IFERROR(__xludf.DUMMYFUNCTION("""COMPUTED_VALUE"""),"ed28aa1c-230f-414c-b415-191d703a8bac")</f>
        <v>ed28aa1c-230f-414c-b415-191d703a8bac</v>
      </c>
      <c r="E11986" s="1">
        <f>IFERROR(__xludf.DUMMYFUNCTION("""COMPUTED_VALUE"""),8.409870322319E12)</f>
        <v>8409870322319</v>
      </c>
      <c r="F11986" s="1"/>
      <c r="G11986" s="1"/>
      <c r="H11986" s="2">
        <f>IFERROR(__xludf.DUMMYFUNCTION("""COMPUTED_VALUE"""),0.0)</f>
        <v>0</v>
      </c>
      <c r="I11986" s="5"/>
      <c r="J11986" s="1" t="str">
        <f>IFERROR(__xludf.DUMMYFUNCTION("""COMPUTED_VALUE"""),"Rossheen Pura")</f>
        <v>Rossheen Pura</v>
      </c>
      <c r="K11986" s="1" t="str">
        <f>IFERROR(__xludf.DUMMYFUNCTION("""COMPUTED_VALUE"""),"High Sensitivity Support PH")</f>
        <v>High Sensitivity Support PH</v>
      </c>
      <c r="L11986" s="1" t="str">
        <f>IFERROR(__xludf.DUMMYFUNCTION("""COMPUTED_VALUE"""),"HSS High Sensitivity Support PH - CHT")</f>
        <v>HSS High Sensitivity Support PH - CHT</v>
      </c>
    </row>
    <row r="11987">
      <c r="A11987" s="1" t="str">
        <f>IFERROR(__xludf.DUMMYFUNCTION("""COMPUTED_VALUE"""),"2026 Apr")</f>
        <v>2026 Apr</v>
      </c>
      <c r="B11987" s="4">
        <f>IFERROR(__xludf.DUMMYFUNCTION("""COMPUTED_VALUE"""),46132.0)</f>
        <v>46132</v>
      </c>
      <c r="C11987" s="1" t="str">
        <f>IFERROR(__xludf.DUMMYFUNCTION("""COMPUTED_VALUE"""),"Segment-specific Support")</f>
        <v>Segment-specific Support</v>
      </c>
      <c r="D11987" s="1" t="str">
        <f>IFERROR(__xludf.DUMMYFUNCTION("""COMPUTED_VALUE"""),"df9ba7dd-188f-4978-8344-eb262fcbed64")</f>
        <v>df9ba7dd-188f-4978-8344-eb262fcbed64</v>
      </c>
      <c r="E11987" s="1">
        <f>IFERROR(__xludf.DUMMYFUNCTION("""COMPUTED_VALUE"""),5.729839272719E12)</f>
        <v>5729839272719</v>
      </c>
      <c r="F11987" s="1"/>
      <c r="G11987" s="1"/>
      <c r="H11987" s="2">
        <f>IFERROR(__xludf.DUMMYFUNCTION("""COMPUTED_VALUE"""),0.0)</f>
        <v>0</v>
      </c>
      <c r="I11987" s="5"/>
      <c r="J11987" s="1" t="str">
        <f>IFERROR(__xludf.DUMMYFUNCTION("""COMPUTED_VALUE"""),"Rose Gabilan")</f>
        <v>Rose Gabilan</v>
      </c>
      <c r="K11987" s="1" t="str">
        <f>IFERROR(__xludf.DUMMYFUNCTION("""COMPUTED_VALUE"""),"Affinity Support")</f>
        <v>Affinity Support</v>
      </c>
      <c r="L11987" s="1" t="str">
        <f>IFERROR(__xludf.DUMMYFUNCTION("""COMPUTED_VALUE"""),"SSS Affinity - L1")</f>
        <v>SSS Affinity - L1</v>
      </c>
    </row>
    <row r="11988">
      <c r="A11988" s="1" t="str">
        <f>IFERROR(__xludf.DUMMYFUNCTION("""COMPUTED_VALUE"""),"2026 Apr")</f>
        <v>2026 Apr</v>
      </c>
      <c r="B11988" s="4">
        <f>IFERROR(__xludf.DUMMYFUNCTION("""COMPUTED_VALUE"""),46132.0)</f>
        <v>46132</v>
      </c>
      <c r="C11988" s="1" t="str">
        <f>IFERROR(__xludf.DUMMYFUNCTION("""COMPUTED_VALUE"""),"Print Support")</f>
        <v>Print Support</v>
      </c>
      <c r="D11988" s="1" t="str">
        <f>IFERROR(__xludf.DUMMYFUNCTION("""COMPUTED_VALUE"""),"438e36b3-4d38-44fd-b78d-2f3e27dfd609")</f>
        <v>438e36b3-4d38-44fd-b78d-2f3e27dfd609</v>
      </c>
      <c r="E11988" s="1">
        <f>IFERROR(__xludf.DUMMYFUNCTION("""COMPUTED_VALUE"""),5.359189606799E12)</f>
        <v>5359189606799</v>
      </c>
      <c r="F11988" s="1"/>
      <c r="G11988" s="1"/>
      <c r="H11988" s="2">
        <f>IFERROR(__xludf.DUMMYFUNCTION("""COMPUTED_VALUE"""),0.0)</f>
        <v>0</v>
      </c>
      <c r="I11988" s="5"/>
      <c r="J11988" s="1" t="str">
        <f>IFERROR(__xludf.DUMMYFUNCTION("""COMPUTED_VALUE"""),"Louise Dianne Estrella")</f>
        <v>Louise Dianne Estrella</v>
      </c>
      <c r="K11988" s="1" t="str">
        <f>IFERROR(__xludf.DUMMYFUNCTION("""COMPUTED_VALUE"""),"Print Support PH")</f>
        <v>Print Support PH</v>
      </c>
      <c r="L11988" s="1" t="str">
        <f>IFERROR(__xludf.DUMMYFUNCTION("""COMPUTED_VALUE"""),"Print Print - CHT")</f>
        <v>Print Print - CHT</v>
      </c>
    </row>
    <row r="11989">
      <c r="A11989" s="1" t="str">
        <f>IFERROR(__xludf.DUMMYFUNCTION("""COMPUTED_VALUE"""),"2026 Apr")</f>
        <v>2026 Apr</v>
      </c>
      <c r="B11989" s="4">
        <f>IFERROR(__xludf.DUMMYFUNCTION("""COMPUTED_VALUE"""),46132.0)</f>
        <v>46132</v>
      </c>
      <c r="C11989" s="1" t="str">
        <f>IFERROR(__xludf.DUMMYFUNCTION("""COMPUTED_VALUE"""),"Admin Support")</f>
        <v>Admin Support</v>
      </c>
      <c r="D11989" s="1" t="str">
        <f>IFERROR(__xludf.DUMMYFUNCTION("""COMPUTED_VALUE"""),"d7fa60f7-5345-4940-b70f-a9ee1e24882e")</f>
        <v>d7fa60f7-5345-4940-b70f-a9ee1e24882e</v>
      </c>
      <c r="E11989" s="1">
        <f>IFERROR(__xludf.DUMMYFUNCTION("""COMPUTED_VALUE"""),3.61731792375E11)</f>
        <v>361731792375</v>
      </c>
      <c r="F11989" s="1"/>
      <c r="G11989" s="1"/>
      <c r="H11989" s="2">
        <f>IFERROR(__xludf.DUMMYFUNCTION("""COMPUTED_VALUE"""),0.0)</f>
        <v>0</v>
      </c>
      <c r="I11989" s="5"/>
      <c r="J11989" s="1" t="str">
        <f>IFERROR(__xludf.DUMMYFUNCTION("""COMPUTED_VALUE"""),"Karla Mananghaya")</f>
        <v>Karla Mananghaya</v>
      </c>
      <c r="K11989" s="1" t="str">
        <f>IFERROR(__xludf.DUMMYFUNCTION("""COMPUTED_VALUE"""),"Admin Support Service Escalation Team")</f>
        <v>Admin Support Service Escalation Team</v>
      </c>
      <c r="L11989" s="1" t="str">
        <f>IFERROR(__xludf.DUMMYFUNCTION("""COMPUTED_VALUE"""),"Admin ASSET")</f>
        <v>Admin ASSET</v>
      </c>
    </row>
    <row r="11990">
      <c r="A11990" s="1" t="str">
        <f>IFERROR(__xludf.DUMMYFUNCTION("""COMPUTED_VALUE"""),"2026 Apr")</f>
        <v>2026 Apr</v>
      </c>
      <c r="B11990" s="4">
        <f>IFERROR(__xludf.DUMMYFUNCTION("""COMPUTED_VALUE"""),46132.0)</f>
        <v>46132</v>
      </c>
      <c r="C11990" s="1" t="str">
        <f>IFERROR(__xludf.DUMMYFUNCTION("""COMPUTED_VALUE"""),"Core Product Support")</f>
        <v>Core Product Support</v>
      </c>
      <c r="D11990" s="1" t="str">
        <f>IFERROR(__xludf.DUMMYFUNCTION("""COMPUTED_VALUE"""),"5a22b3ea-0755-416b-a006-f5a0d4b19aba")</f>
        <v>5a22b3ea-0755-416b-a006-f5a0d4b19aba</v>
      </c>
      <c r="E11990" s="1">
        <f>IFERROR(__xludf.DUMMYFUNCTION("""COMPUTED_VALUE"""),5.202392949391E12)</f>
        <v>5202392949391</v>
      </c>
      <c r="F11990" s="1"/>
      <c r="G11990" s="1">
        <f>IFERROR(__xludf.DUMMYFUNCTION("""COMPUTED_VALUE"""),2.5)</f>
        <v>2.5</v>
      </c>
      <c r="H11990" s="2">
        <f>IFERROR(__xludf.DUMMYFUNCTION("""COMPUTED_VALUE"""),2.5)</f>
        <v>2.5</v>
      </c>
      <c r="I11990" s="5">
        <f>IFERROR(__xludf.DUMMYFUNCTION("""COMPUTED_VALUE"""),1.0)</f>
        <v>1</v>
      </c>
      <c r="J11990" s="1" t="str">
        <f>IFERROR(__xludf.DUMMYFUNCTION("""COMPUTED_VALUE"""),"Sieg Ballelos")</f>
        <v>Sieg Ballelos</v>
      </c>
      <c r="K11990" s="1" t="str">
        <f>IFERROR(__xludf.DUMMYFUNCTION("""COMPUTED_VALUE"""),"Core Product Support Escalation Team")</f>
        <v>Core Product Support Escalation Team</v>
      </c>
      <c r="L11990"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991">
      <c r="A11991" s="1" t="str">
        <f>IFERROR(__xludf.DUMMYFUNCTION("""COMPUTED_VALUE"""),"2026 Apr")</f>
        <v>2026 Apr</v>
      </c>
      <c r="B11991" s="4">
        <f>IFERROR(__xludf.DUMMYFUNCTION("""COMPUTED_VALUE"""),46132.0)</f>
        <v>46132</v>
      </c>
      <c r="C11991" s="1" t="str">
        <f>IFERROR(__xludf.DUMMYFUNCTION("""COMPUTED_VALUE"""),"Core Product Support")</f>
        <v>Core Product Support</v>
      </c>
      <c r="D11991" s="1" t="str">
        <f>IFERROR(__xludf.DUMMYFUNCTION("""COMPUTED_VALUE"""),"0ae24c9b-6172-4326-bb51-99cd5756da29")</f>
        <v>0ae24c9b-6172-4326-bb51-99cd5756da29</v>
      </c>
      <c r="E11991" s="1">
        <f>IFERROR(__xludf.DUMMYFUNCTION("""COMPUTED_VALUE"""),8.904479838351E12)</f>
        <v>8904479838351</v>
      </c>
      <c r="F11991" s="1"/>
      <c r="G11991" s="1">
        <f>IFERROR(__xludf.DUMMYFUNCTION("""COMPUTED_VALUE"""),1.25)</f>
        <v>1.25</v>
      </c>
      <c r="H11991" s="2">
        <f>IFERROR(__xludf.DUMMYFUNCTION("""COMPUTED_VALUE"""),1.25)</f>
        <v>1.25</v>
      </c>
      <c r="I11991" s="5">
        <f>IFERROR(__xludf.DUMMYFUNCTION("""COMPUTED_VALUE"""),1.0)</f>
        <v>1</v>
      </c>
      <c r="J11991" s="1" t="str">
        <f>IFERROR(__xludf.DUMMYFUNCTION("""COMPUTED_VALUE"""),"Ana Lazaro")</f>
        <v>Ana Lazaro</v>
      </c>
      <c r="K11991" s="1" t="str">
        <f>IFERROR(__xludf.DUMMYFUNCTION("""COMPUTED_VALUE"""),"Advanced Billing &amp; Subscriptions")</f>
        <v>Advanced Billing &amp; Subscriptions</v>
      </c>
      <c r="L11991" s="1" t="str">
        <f>IFERROR(__xludf.DUMMYFUNCTION("""COMPUTED_VALUE"""),"CPS Advanced Billing and Subscriptions (ABS)")</f>
        <v>CPS Advanced Billing and Subscriptions (ABS)</v>
      </c>
    </row>
    <row r="11992">
      <c r="A11992" s="1" t="str">
        <f>IFERROR(__xludf.DUMMYFUNCTION("""COMPUTED_VALUE"""),"2026 Apr")</f>
        <v>2026 Apr</v>
      </c>
      <c r="B11992" s="4">
        <f>IFERROR(__xludf.DUMMYFUNCTION("""COMPUTED_VALUE"""),46132.0)</f>
        <v>46132</v>
      </c>
      <c r="C11992" s="1" t="str">
        <f>IFERROR(__xludf.DUMMYFUNCTION("""COMPUTED_VALUE"""),"Segment-specific Support")</f>
        <v>Segment-specific Support</v>
      </c>
      <c r="D11992" s="1" t="str">
        <f>IFERROR(__xludf.DUMMYFUNCTION("""COMPUTED_VALUE"""),"702a1682-65ec-47f2-b736-d60aecc92e68")</f>
        <v>702a1682-65ec-47f2-b736-d60aecc92e68</v>
      </c>
      <c r="E11992" s="1">
        <f>IFERROR(__xludf.DUMMYFUNCTION("""COMPUTED_VALUE"""),3.61726425496E11)</f>
        <v>361726425496</v>
      </c>
      <c r="F11992" s="1"/>
      <c r="G11992" s="1"/>
      <c r="H11992" s="2">
        <f>IFERROR(__xludf.DUMMYFUNCTION("""COMPUTED_VALUE"""),0.0)</f>
        <v>0</v>
      </c>
      <c r="I11992" s="5"/>
      <c r="J11992" s="1" t="str">
        <f>IFERROR(__xludf.DUMMYFUNCTION("""COMPUTED_VALUE"""),"Aileen Dayanghirang")</f>
        <v>Aileen Dayanghirang</v>
      </c>
      <c r="K11992" s="1" t="str">
        <f>IFERROR(__xludf.DUMMYFUNCTION("""COMPUTED_VALUE"""),"Creators Support")</f>
        <v>Creators Support</v>
      </c>
      <c r="L11992" s="1" t="str">
        <f>IFERROR(__xludf.DUMMYFUNCTION("""COMPUTED_VALUE"""),"SSS Creators")</f>
        <v>SSS Creators</v>
      </c>
    </row>
    <row r="11993">
      <c r="A11993" s="1" t="str">
        <f>IFERROR(__xludf.DUMMYFUNCTION("""COMPUTED_VALUE"""),"2026 Apr")</f>
        <v>2026 Apr</v>
      </c>
      <c r="B11993" s="4">
        <f>IFERROR(__xludf.DUMMYFUNCTION("""COMPUTED_VALUE"""),46132.0)</f>
        <v>46132</v>
      </c>
      <c r="C11993" s="1" t="str">
        <f>IFERROR(__xludf.DUMMYFUNCTION("""COMPUTED_VALUE"""),"Print Support")</f>
        <v>Print Support</v>
      </c>
      <c r="D11993" s="1" t="str">
        <f>IFERROR(__xludf.DUMMYFUNCTION("""COMPUTED_VALUE"""),"5b9a60b0-b877-48e1-8013-eb7cdd15bd64")</f>
        <v>5b9a60b0-b877-48e1-8013-eb7cdd15bd64</v>
      </c>
      <c r="E11993" s="1">
        <f>IFERROR(__xludf.DUMMYFUNCTION("""COMPUTED_VALUE"""),3.61825394516E11)</f>
        <v>361825394516</v>
      </c>
      <c r="F11993" s="1"/>
      <c r="G11993" s="1"/>
      <c r="H11993" s="2">
        <f>IFERROR(__xludf.DUMMYFUNCTION("""COMPUTED_VALUE"""),0.0)</f>
        <v>0</v>
      </c>
      <c r="I11993" s="5"/>
      <c r="J11993" s="1" t="str">
        <f>IFERROR(__xludf.DUMMYFUNCTION("""COMPUTED_VALUE"""),"G-Anne Murillo")</f>
        <v>G-Anne Murillo</v>
      </c>
      <c r="K11993" s="1" t="str">
        <f>IFERROR(__xludf.DUMMYFUNCTION("""COMPUTED_VALUE"""),"Print Design Support")</f>
        <v>Print Design Support</v>
      </c>
      <c r="L11993" s="1" t="str">
        <f>IFERROR(__xludf.DUMMYFUNCTION("""COMPUTED_VALUE"""),"Print Print Design")</f>
        <v>Print Print Design</v>
      </c>
    </row>
    <row r="11994">
      <c r="A11994" s="1" t="str">
        <f>IFERROR(__xludf.DUMMYFUNCTION("""COMPUTED_VALUE"""),"2026 Apr")</f>
        <v>2026 Apr</v>
      </c>
      <c r="B11994" s="4">
        <f>IFERROR(__xludf.DUMMYFUNCTION("""COMPUTED_VALUE"""),46132.0)</f>
        <v>46132</v>
      </c>
      <c r="C11994" s="1" t="str">
        <f>IFERROR(__xludf.DUMMYFUNCTION("""COMPUTED_VALUE"""),"Admin Support")</f>
        <v>Admin Support</v>
      </c>
      <c r="D11994" s="1" t="str">
        <f>IFERROR(__xludf.DUMMYFUNCTION("""COMPUTED_VALUE"""),"582c23f3-af21-4402-83b6-920f8fd6fe88")</f>
        <v>582c23f3-af21-4402-83b6-920f8fd6fe88</v>
      </c>
      <c r="E11994" s="1">
        <f>IFERROR(__xludf.DUMMYFUNCTION("""COMPUTED_VALUE"""),5.566843512207E12)</f>
        <v>5566843512207</v>
      </c>
      <c r="F11994" s="1"/>
      <c r="G11994" s="1">
        <f>IFERROR(__xludf.DUMMYFUNCTION("""COMPUTED_VALUE"""),0.25)</f>
        <v>0.25</v>
      </c>
      <c r="H11994" s="2">
        <f>IFERROR(__xludf.DUMMYFUNCTION("""COMPUTED_VALUE"""),0.25)</f>
        <v>0.25</v>
      </c>
      <c r="I11994" s="5">
        <f>IFERROR(__xludf.DUMMYFUNCTION("""COMPUTED_VALUE"""),1.0)</f>
        <v>1</v>
      </c>
      <c r="J11994" s="1" t="str">
        <f>IFERROR(__xludf.DUMMYFUNCTION("""COMPUTED_VALUE"""),"AL Suarez")</f>
        <v>AL Suarez</v>
      </c>
      <c r="K11994" s="1" t="str">
        <f>IFERROR(__xludf.DUMMYFUNCTION("""COMPUTED_VALUE"""),"Print Support PH")</f>
        <v>Print Support PH</v>
      </c>
      <c r="L11994" s="1" t="str">
        <f>IFERROR(__xludf.DUMMYFUNCTION("""COMPUTED_VALUE"""),"Print Print - CHT")</f>
        <v>Print Print - CHT</v>
      </c>
    </row>
    <row r="11995">
      <c r="A11995" s="1" t="str">
        <f>IFERROR(__xludf.DUMMYFUNCTION("""COMPUTED_VALUE"""),"2026 Apr")</f>
        <v>2026 Apr</v>
      </c>
      <c r="B11995" s="4">
        <f>IFERROR(__xludf.DUMMYFUNCTION("""COMPUTED_VALUE"""),46132.0)</f>
        <v>46132</v>
      </c>
      <c r="C11995" s="1" t="str">
        <f>IFERROR(__xludf.DUMMYFUNCTION("""COMPUTED_VALUE"""),"Core Product Support")</f>
        <v>Core Product Support</v>
      </c>
      <c r="D11995" s="1" t="str">
        <f>IFERROR(__xludf.DUMMYFUNCTION("""COMPUTED_VALUE"""),"09e60261-b17e-4b45-ad03-6bfb6c6777b6")</f>
        <v>09e60261-b17e-4b45-ad03-6bfb6c6777b6</v>
      </c>
      <c r="E11995" s="1">
        <f>IFERROR(__xludf.DUMMYFUNCTION("""COMPUTED_VALUE"""),1.0548600594575E13)</f>
        <v>10548600594575</v>
      </c>
      <c r="F11995" s="1"/>
      <c r="G11995" s="1">
        <f>IFERROR(__xludf.DUMMYFUNCTION("""COMPUTED_VALUE"""),1.25)</f>
        <v>1.25</v>
      </c>
      <c r="H11995" s="2">
        <f>IFERROR(__xludf.DUMMYFUNCTION("""COMPUTED_VALUE"""),1.25)</f>
        <v>1.25</v>
      </c>
      <c r="I11995" s="5">
        <f>IFERROR(__xludf.DUMMYFUNCTION("""COMPUTED_VALUE"""),1.0)</f>
        <v>1</v>
      </c>
      <c r="J11995" s="1" t="str">
        <f>IFERROR(__xludf.DUMMYFUNCTION("""COMPUTED_VALUE"""),"Jem Mondoñedo")</f>
        <v>Jem Mondoñedo</v>
      </c>
      <c r="K11995" s="1" t="str">
        <f>IFERROR(__xludf.DUMMYFUNCTION("""COMPUTED_VALUE"""),"Advanced Billing &amp; Subscriptions")</f>
        <v>Advanced Billing &amp; Subscriptions</v>
      </c>
      <c r="L11995" s="1" t="str">
        <f>IFERROR(__xludf.DUMMYFUNCTION("""COMPUTED_VALUE"""),"CPS Advanced Billing and Subscriptions (ABS)")</f>
        <v>CPS Advanced Billing and Subscriptions (ABS)</v>
      </c>
    </row>
    <row r="11996">
      <c r="A11996" s="1" t="str">
        <f>IFERROR(__xludf.DUMMYFUNCTION("""COMPUTED_VALUE"""),"2026 Apr")</f>
        <v>2026 Apr</v>
      </c>
      <c r="B11996" s="4">
        <f>IFERROR(__xludf.DUMMYFUNCTION("""COMPUTED_VALUE"""),46132.0)</f>
        <v>46132</v>
      </c>
      <c r="C11996" s="1" t="str">
        <f>IFERROR(__xludf.DUMMYFUNCTION("""COMPUTED_VALUE"""),"Multilingual Support")</f>
        <v>Multilingual Support</v>
      </c>
      <c r="D11996" s="1" t="str">
        <f>IFERROR(__xludf.DUMMYFUNCTION("""COMPUTED_VALUE"""),"a08e6c23-8f56-4eb2-a86d-ff398e709601")</f>
        <v>a08e6c23-8f56-4eb2-a86d-ff398e709601</v>
      </c>
      <c r="E11996" s="1">
        <f>IFERROR(__xludf.DUMMYFUNCTION("""COMPUTED_VALUE"""),3.61744520136E11)</f>
        <v>361744520136</v>
      </c>
      <c r="F11996" s="1"/>
      <c r="G11996" s="1"/>
      <c r="H11996" s="2">
        <f>IFERROR(__xludf.DUMMYFUNCTION("""COMPUTED_VALUE"""),0.0)</f>
        <v>0</v>
      </c>
      <c r="I11996" s="5"/>
      <c r="J11996" s="1" t="str">
        <f>IFERROR(__xludf.DUMMYFUNCTION("""COMPUTED_VALUE"""),"Arlene Maurillo")</f>
        <v>Arlene Maurillo</v>
      </c>
      <c r="K11996" s="1" t="str">
        <f>IFERROR(__xludf.DUMMYFUNCTION("""COMPUTED_VALUE"""),"PHL, Multilingual Support")</f>
        <v>PHL, Multilingual Support</v>
      </c>
      <c r="L11996" s="1" t="str">
        <f>IFERROR(__xludf.DUMMYFUNCTION("""COMPUTED_VALUE"""),"ML Spanish Support")</f>
        <v>ML Spanish Support</v>
      </c>
    </row>
    <row r="11997">
      <c r="A11997" s="1" t="str">
        <f>IFERROR(__xludf.DUMMYFUNCTION("""COMPUTED_VALUE"""),"2026 Apr")</f>
        <v>2026 Apr</v>
      </c>
      <c r="B11997" s="4">
        <f>IFERROR(__xludf.DUMMYFUNCTION("""COMPUTED_VALUE"""),46132.0)</f>
        <v>46132</v>
      </c>
      <c r="C11997" s="1" t="str">
        <f>IFERROR(__xludf.DUMMYFUNCTION("""COMPUTED_VALUE"""),"Core Product Support")</f>
        <v>Core Product Support</v>
      </c>
      <c r="D11997" s="1" t="str">
        <f>IFERROR(__xludf.DUMMYFUNCTION("""COMPUTED_VALUE"""),"9160bc84-9174-4736-bd46-926c52c66223")</f>
        <v>9160bc84-9174-4736-bd46-926c52c66223</v>
      </c>
      <c r="E11997" s="1">
        <f>IFERROR(__xludf.DUMMYFUNCTION("""COMPUTED_VALUE"""),3.61731516675E11)</f>
        <v>361731516675</v>
      </c>
      <c r="F11997" s="1"/>
      <c r="G11997" s="1">
        <f>IFERROR(__xludf.DUMMYFUNCTION("""COMPUTED_VALUE"""),1.25)</f>
        <v>1.25</v>
      </c>
      <c r="H11997" s="2">
        <f>IFERROR(__xludf.DUMMYFUNCTION("""COMPUTED_VALUE"""),1.25)</f>
        <v>1.25</v>
      </c>
      <c r="I11997" s="5">
        <f>IFERROR(__xludf.DUMMYFUNCTION("""COMPUTED_VALUE"""),1.0)</f>
        <v>1</v>
      </c>
      <c r="J11997" s="1" t="str">
        <f>IFERROR(__xludf.DUMMYFUNCTION("""COMPUTED_VALUE"""),"Cherry Macam")</f>
        <v>Cherry Macam</v>
      </c>
      <c r="K11997" s="1" t="str">
        <f>IFERROR(__xludf.DUMMYFUNCTION("""COMPUTED_VALUE"""),"Advanced Billing &amp; Subscriptions")</f>
        <v>Advanced Billing &amp; Subscriptions</v>
      </c>
      <c r="L11997" s="1" t="str">
        <f>IFERROR(__xludf.DUMMYFUNCTION("""COMPUTED_VALUE"""),"CPS Advanced Billing and Subscriptions (ABS)")</f>
        <v>CPS Advanced Billing and Subscriptions (ABS)</v>
      </c>
    </row>
    <row r="11998">
      <c r="A11998" s="1" t="str">
        <f>IFERROR(__xludf.DUMMYFUNCTION("""COMPUTED_VALUE"""),"2026 Apr")</f>
        <v>2026 Apr</v>
      </c>
      <c r="B11998" s="4">
        <f>IFERROR(__xludf.DUMMYFUNCTION("""COMPUTED_VALUE"""),46132.0)</f>
        <v>46132</v>
      </c>
      <c r="C11998" s="1" t="str">
        <f>IFERROR(__xludf.DUMMYFUNCTION("""COMPUTED_VALUE"""),"Core Product Support")</f>
        <v>Core Product Support</v>
      </c>
      <c r="D11998" s="1" t="str">
        <f>IFERROR(__xludf.DUMMYFUNCTION("""COMPUTED_VALUE"""),"4db6d8c1-797e-4f39-9494-3babf0366bc0")</f>
        <v>4db6d8c1-797e-4f39-9494-3babf0366bc0</v>
      </c>
      <c r="E11998" s="1">
        <f>IFERROR(__xludf.DUMMYFUNCTION("""COMPUTED_VALUE"""),3.61731943715E11)</f>
        <v>361731943715</v>
      </c>
      <c r="F11998" s="1"/>
      <c r="G11998" s="1">
        <f>IFERROR(__xludf.DUMMYFUNCTION("""COMPUTED_VALUE"""),2.5)</f>
        <v>2.5</v>
      </c>
      <c r="H11998" s="2">
        <f>IFERROR(__xludf.DUMMYFUNCTION("""COMPUTED_VALUE"""),2.5)</f>
        <v>2.5</v>
      </c>
      <c r="I11998" s="5">
        <f>IFERROR(__xludf.DUMMYFUNCTION("""COMPUTED_VALUE"""),1.0)</f>
        <v>1</v>
      </c>
      <c r="J11998" s="1" t="str">
        <f>IFERROR(__xludf.DUMMYFUNCTION("""COMPUTED_VALUE"""),"Sieg Ballelos")</f>
        <v>Sieg Ballelos</v>
      </c>
      <c r="K11998" s="1" t="str">
        <f>IFERROR(__xludf.DUMMYFUNCTION("""COMPUTED_VALUE"""),"Core Product Support Escalation Team")</f>
        <v>Core Product Support Escalation Team</v>
      </c>
      <c r="L11998"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1999">
      <c r="A11999" s="1" t="str">
        <f>IFERROR(__xludf.DUMMYFUNCTION("""COMPUTED_VALUE"""),"2026 Apr")</f>
        <v>2026 Apr</v>
      </c>
      <c r="B11999" s="4">
        <f>IFERROR(__xludf.DUMMYFUNCTION("""COMPUTED_VALUE"""),46132.0)</f>
        <v>46132</v>
      </c>
      <c r="C11999" s="1" t="str">
        <f>IFERROR(__xludf.DUMMYFUNCTION("""COMPUTED_VALUE"""),"Core Product Support")</f>
        <v>Core Product Support</v>
      </c>
      <c r="D11999" s="1" t="str">
        <f>IFERROR(__xludf.DUMMYFUNCTION("""COMPUTED_VALUE"""),"961e0a53-62a6-4087-8811-6449381daa52")</f>
        <v>961e0a53-62a6-4087-8811-6449381daa52</v>
      </c>
      <c r="E11999" s="1">
        <f>IFERROR(__xludf.DUMMYFUNCTION("""COMPUTED_VALUE"""),3.61694638315E11)</f>
        <v>361694638315</v>
      </c>
      <c r="F11999" s="1"/>
      <c r="G11999" s="1">
        <f>IFERROR(__xludf.DUMMYFUNCTION("""COMPUTED_VALUE"""),1.5)</f>
        <v>1.5</v>
      </c>
      <c r="H11999" s="2">
        <f>IFERROR(__xludf.DUMMYFUNCTION("""COMPUTED_VALUE"""),1.5)</f>
        <v>1.5</v>
      </c>
      <c r="I11999" s="5">
        <f>IFERROR(__xludf.DUMMYFUNCTION("""COMPUTED_VALUE"""),1.0)</f>
        <v>1</v>
      </c>
      <c r="J11999" s="1" t="str">
        <f>IFERROR(__xludf.DUMMYFUNCTION("""COMPUTED_VALUE"""),"Ellaine Estayo")</f>
        <v>Ellaine Estayo</v>
      </c>
      <c r="K11999" s="1" t="str">
        <f>IFERROR(__xludf.DUMMYFUNCTION("""COMPUTED_VALUE"""),"Core Product Support Escalation Team")</f>
        <v>Core Product Support Escalation Team</v>
      </c>
      <c r="L11999"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2000">
      <c r="A12000" s="1" t="str">
        <f>IFERROR(__xludf.DUMMYFUNCTION("""COMPUTED_VALUE"""),"2026 Apr")</f>
        <v>2026 Apr</v>
      </c>
      <c r="B12000" s="4">
        <f>IFERROR(__xludf.DUMMYFUNCTION("""COMPUTED_VALUE"""),46132.0)</f>
        <v>46132</v>
      </c>
      <c r="C12000" s="1" t="str">
        <f>IFERROR(__xludf.DUMMYFUNCTION("""COMPUTED_VALUE"""),"Print Support")</f>
        <v>Print Support</v>
      </c>
      <c r="D12000" s="1" t="str">
        <f>IFERROR(__xludf.DUMMYFUNCTION("""COMPUTED_VALUE"""),"4b906fe3-66c8-454a-a7d0-1f50f4b6cdf4")</f>
        <v>4b906fe3-66c8-454a-a7d0-1f50f4b6cdf4</v>
      </c>
      <c r="E12000" s="1">
        <f>IFERROR(__xludf.DUMMYFUNCTION("""COMPUTED_VALUE"""),3.61825398056E11)</f>
        <v>361825398056</v>
      </c>
      <c r="F12000" s="1"/>
      <c r="G12000" s="1"/>
      <c r="H12000" s="2">
        <f>IFERROR(__xludf.DUMMYFUNCTION("""COMPUTED_VALUE"""),0.0)</f>
        <v>0</v>
      </c>
      <c r="I12000" s="5"/>
      <c r="J12000" s="1" t="str">
        <f>IFERROR(__xludf.DUMMYFUNCTION("""COMPUTED_VALUE"""),"Rei De Jesus")</f>
        <v>Rei De Jesus</v>
      </c>
      <c r="K12000" s="1" t="str">
        <f>IFERROR(__xludf.DUMMYFUNCTION("""COMPUTED_VALUE"""),"Print Design Support")</f>
        <v>Print Design Support</v>
      </c>
      <c r="L12000" s="1" t="str">
        <f>IFERROR(__xludf.DUMMYFUNCTION("""COMPUTED_VALUE"""),"Print Print Design")</f>
        <v>Print Print Design</v>
      </c>
    </row>
    <row r="12001">
      <c r="A12001" s="1" t="str">
        <f>IFERROR(__xludf.DUMMYFUNCTION("""COMPUTED_VALUE"""),"2026 Apr")</f>
        <v>2026 Apr</v>
      </c>
      <c r="B12001" s="4">
        <f>IFERROR(__xludf.DUMMYFUNCTION("""COMPUTED_VALUE"""),46132.0)</f>
        <v>46132</v>
      </c>
      <c r="C12001" s="1" t="str">
        <f>IFERROR(__xludf.DUMMYFUNCTION("""COMPUTED_VALUE"""),"Core Product Support")</f>
        <v>Core Product Support</v>
      </c>
      <c r="D12001" s="1" t="str">
        <f>IFERROR(__xludf.DUMMYFUNCTION("""COMPUTED_VALUE"""),"7f8ea57d-3bc6-435c-ac89-36216f416d2b")</f>
        <v>7f8ea57d-3bc6-435c-ac89-36216f416d2b</v>
      </c>
      <c r="E12001" s="1">
        <f>IFERROR(__xludf.DUMMYFUNCTION("""COMPUTED_VALUE"""),5.202392782223E12)</f>
        <v>5202392782223</v>
      </c>
      <c r="F12001" s="1"/>
      <c r="G12001" s="1">
        <f>IFERROR(__xludf.DUMMYFUNCTION("""COMPUTED_VALUE"""),1.25)</f>
        <v>1.25</v>
      </c>
      <c r="H12001" s="2">
        <f>IFERROR(__xludf.DUMMYFUNCTION("""COMPUTED_VALUE"""),1.25)</f>
        <v>1.25</v>
      </c>
      <c r="I12001" s="5">
        <f>IFERROR(__xludf.DUMMYFUNCTION("""COMPUTED_VALUE"""),1.0)</f>
        <v>1</v>
      </c>
      <c r="J12001" s="1" t="str">
        <f>IFERROR(__xludf.DUMMYFUNCTION("""COMPUTED_VALUE"""),"Renette Bok")</f>
        <v>Renette Bok</v>
      </c>
      <c r="K12001" s="1" t="str">
        <f>IFERROR(__xludf.DUMMYFUNCTION("""COMPUTED_VALUE"""),"Advanced Billing &amp; Subscriptions")</f>
        <v>Advanced Billing &amp; Subscriptions</v>
      </c>
      <c r="L12001" s="1" t="str">
        <f>IFERROR(__xludf.DUMMYFUNCTION("""COMPUTED_VALUE"""),"CPS Advanced Billing and Subscriptions (ABS)")</f>
        <v>CPS Advanced Billing and Subscriptions (ABS)</v>
      </c>
    </row>
    <row r="12002">
      <c r="A12002" s="1" t="str">
        <f>IFERROR(__xludf.DUMMYFUNCTION("""COMPUTED_VALUE"""),"2026 Apr")</f>
        <v>2026 Apr</v>
      </c>
      <c r="B12002" s="4">
        <f>IFERROR(__xludf.DUMMYFUNCTION("""COMPUTED_VALUE"""),46132.0)</f>
        <v>46132</v>
      </c>
      <c r="C12002" s="1" t="str">
        <f>IFERROR(__xludf.DUMMYFUNCTION("""COMPUTED_VALUE"""),"Core Product Support")</f>
        <v>Core Product Support</v>
      </c>
      <c r="D12002" s="1" t="str">
        <f>IFERROR(__xludf.DUMMYFUNCTION("""COMPUTED_VALUE"""),"5aed746e-cb5c-469a-8821-9e6506c7b9e6")</f>
        <v>5aed746e-cb5c-469a-8821-9e6506c7b9e6</v>
      </c>
      <c r="E12002" s="1">
        <f>IFERROR(__xludf.DUMMYFUNCTION("""COMPUTED_VALUE"""),3.61731350535E11)</f>
        <v>361731350535</v>
      </c>
      <c r="F12002" s="1"/>
      <c r="G12002" s="1">
        <f>IFERROR(__xludf.DUMMYFUNCTION("""COMPUTED_VALUE"""),1.25)</f>
        <v>1.25</v>
      </c>
      <c r="H12002" s="2">
        <f>IFERROR(__xludf.DUMMYFUNCTION("""COMPUTED_VALUE"""),1.25)</f>
        <v>1.25</v>
      </c>
      <c r="I12002" s="5">
        <f>IFERROR(__xludf.DUMMYFUNCTION("""COMPUTED_VALUE"""),1.0)</f>
        <v>1</v>
      </c>
      <c r="J12002" s="1" t="str">
        <f>IFERROR(__xludf.DUMMYFUNCTION("""COMPUTED_VALUE"""),"Vinz Lazaro")</f>
        <v>Vinz Lazaro</v>
      </c>
      <c r="K12002" s="1" t="str">
        <f>IFERROR(__xludf.DUMMYFUNCTION("""COMPUTED_VALUE"""),"Advanced Product Support")</f>
        <v>Advanced Product Support</v>
      </c>
      <c r="L12002" s="1" t="str">
        <f>IFERROR(__xludf.DUMMYFUNCTION("""COMPUTED_VALUE"""),"CPS Advanced Product Support (APS)")</f>
        <v>CPS Advanced Product Support (APS)</v>
      </c>
    </row>
    <row r="12003">
      <c r="A12003" s="1" t="str">
        <f>IFERROR(__xludf.DUMMYFUNCTION("""COMPUTED_VALUE"""),"2026 Apr")</f>
        <v>2026 Apr</v>
      </c>
      <c r="B12003" s="4">
        <f>IFERROR(__xludf.DUMMYFUNCTION("""COMPUTED_VALUE"""),46132.0)</f>
        <v>46132</v>
      </c>
      <c r="C12003" s="1" t="str">
        <f>IFERROR(__xludf.DUMMYFUNCTION("""COMPUTED_VALUE"""),"Core Product Support")</f>
        <v>Core Product Support</v>
      </c>
      <c r="D12003" s="1" t="str">
        <f>IFERROR(__xludf.DUMMYFUNCTION("""COMPUTED_VALUE"""),"a5566f0b-0c7b-4dd5-a5bf-cc571ed45f36")</f>
        <v>a5566f0b-0c7b-4dd5-a5bf-cc571ed45f36</v>
      </c>
      <c r="E12003" s="1">
        <f>IFERROR(__xludf.DUMMYFUNCTION("""COMPUTED_VALUE"""),1.0333033796879E13)</f>
        <v>10333033796879</v>
      </c>
      <c r="F12003" s="1"/>
      <c r="G12003" s="1">
        <f>IFERROR(__xludf.DUMMYFUNCTION("""COMPUTED_VALUE"""),1.25)</f>
        <v>1.25</v>
      </c>
      <c r="H12003" s="2">
        <f>IFERROR(__xludf.DUMMYFUNCTION("""COMPUTED_VALUE"""),1.25)</f>
        <v>1.25</v>
      </c>
      <c r="I12003" s="5">
        <f>IFERROR(__xludf.DUMMYFUNCTION("""COMPUTED_VALUE"""),1.0)</f>
        <v>1</v>
      </c>
      <c r="J12003" s="1" t="str">
        <f>IFERROR(__xludf.DUMMYFUNCTION("""COMPUTED_VALUE"""),"Cate Velasco")</f>
        <v>Cate Velasco</v>
      </c>
      <c r="K12003" s="1" t="str">
        <f>IFERROR(__xludf.DUMMYFUNCTION("""COMPUTED_VALUE"""),"Advanced Product Support")</f>
        <v>Advanced Product Support</v>
      </c>
      <c r="L12003" s="1" t="str">
        <f>IFERROR(__xludf.DUMMYFUNCTION("""COMPUTED_VALUE"""),"CPS Advanced Product Support (APS)")</f>
        <v>CPS Advanced Product Support (APS)</v>
      </c>
    </row>
    <row r="12004">
      <c r="A12004" s="1" t="str">
        <f>IFERROR(__xludf.DUMMYFUNCTION("""COMPUTED_VALUE"""),"2026 Apr")</f>
        <v>2026 Apr</v>
      </c>
      <c r="B12004" s="4">
        <f>IFERROR(__xludf.DUMMYFUNCTION("""COMPUTED_VALUE"""),46132.0)</f>
        <v>46132</v>
      </c>
      <c r="C12004" s="1" t="str">
        <f>IFERROR(__xludf.DUMMYFUNCTION("""COMPUTED_VALUE"""),"Segment-specific Support")</f>
        <v>Segment-specific Support</v>
      </c>
      <c r="D12004" s="1" t="str">
        <f>IFERROR(__xludf.DUMMYFUNCTION("""COMPUTED_VALUE"""),"98f36067-d801-431b-ba9a-fcb9a6ae433a")</f>
        <v>98f36067-d801-431b-ba9a-fcb9a6ae433a</v>
      </c>
      <c r="E12004" s="1">
        <f>IFERROR(__xludf.DUMMYFUNCTION("""COMPUTED_VALUE"""),3.61731350795E11)</f>
        <v>361731350795</v>
      </c>
      <c r="F12004" s="1"/>
      <c r="G12004" s="1"/>
      <c r="H12004" s="2">
        <f>IFERROR(__xludf.DUMMYFUNCTION("""COMPUTED_VALUE"""),0.0)</f>
        <v>0</v>
      </c>
      <c r="I12004" s="5"/>
      <c r="J12004" s="1" t="str">
        <f>IFERROR(__xludf.DUMMYFUNCTION("""COMPUTED_VALUE"""),"Rose Gabilan")</f>
        <v>Rose Gabilan</v>
      </c>
      <c r="K12004" s="1" t="str">
        <f>IFERROR(__xludf.DUMMYFUNCTION("""COMPUTED_VALUE"""),"Affinity Support")</f>
        <v>Affinity Support</v>
      </c>
      <c r="L12004" s="1" t="str">
        <f>IFERROR(__xludf.DUMMYFUNCTION("""COMPUTED_VALUE"""),"SSS Affinity - L1")</f>
        <v>SSS Affinity - L1</v>
      </c>
    </row>
    <row r="12005">
      <c r="A12005" s="1" t="str">
        <f>IFERROR(__xludf.DUMMYFUNCTION("""COMPUTED_VALUE"""),"2026 Apr")</f>
        <v>2026 Apr</v>
      </c>
      <c r="B12005" s="4">
        <f>IFERROR(__xludf.DUMMYFUNCTION("""COMPUTED_VALUE"""),46132.0)</f>
        <v>46132</v>
      </c>
      <c r="C12005" s="1" t="str">
        <f>IFERROR(__xludf.DUMMYFUNCTION("""COMPUTED_VALUE"""),"Core Product Support")</f>
        <v>Core Product Support</v>
      </c>
      <c r="D12005" s="1" t="str">
        <f>IFERROR(__xludf.DUMMYFUNCTION("""COMPUTED_VALUE"""),"7d586eb5-1b74-4e56-b56f-6c2807700cb7")</f>
        <v>7d586eb5-1b74-4e56-b56f-6c2807700cb7</v>
      </c>
      <c r="E12005" s="1">
        <f>IFERROR(__xludf.DUMMYFUNCTION("""COMPUTED_VALUE"""),5.202378938383E12)</f>
        <v>5202378938383</v>
      </c>
      <c r="F12005" s="1"/>
      <c r="G12005" s="1">
        <f>IFERROR(__xludf.DUMMYFUNCTION("""COMPUTED_VALUE"""),2.5)</f>
        <v>2.5</v>
      </c>
      <c r="H12005" s="2">
        <f>IFERROR(__xludf.DUMMYFUNCTION("""COMPUTED_VALUE"""),2.5)</f>
        <v>2.5</v>
      </c>
      <c r="I12005" s="5">
        <f>IFERROR(__xludf.DUMMYFUNCTION("""COMPUTED_VALUE"""),1.0)</f>
        <v>1</v>
      </c>
      <c r="J12005" s="1" t="str">
        <f>IFERROR(__xludf.DUMMYFUNCTION("""COMPUTED_VALUE"""),"Sieg Ballelos")</f>
        <v>Sieg Ballelos</v>
      </c>
      <c r="K12005" s="1" t="str">
        <f>IFERROR(__xludf.DUMMYFUNCTION("""COMPUTED_VALUE"""),"Core Product Support Escalation Team")</f>
        <v>Core Product Support Escalation Team</v>
      </c>
      <c r="L12005"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2006">
      <c r="A12006" s="1" t="str">
        <f>IFERROR(__xludf.DUMMYFUNCTION("""COMPUTED_VALUE"""),"2026 Apr")</f>
        <v>2026 Apr</v>
      </c>
      <c r="B12006" s="4">
        <f>IFERROR(__xludf.DUMMYFUNCTION("""COMPUTED_VALUE"""),46132.0)</f>
        <v>46132</v>
      </c>
      <c r="C12006" s="1" t="str">
        <f>IFERROR(__xludf.DUMMYFUNCTION("""COMPUTED_VALUE"""),"Core Product Support")</f>
        <v>Core Product Support</v>
      </c>
      <c r="D12006" s="1" t="str">
        <f>IFERROR(__xludf.DUMMYFUNCTION("""COMPUTED_VALUE"""),"c7d7e66b-4dfe-47b9-a47f-66af76d8fb19")</f>
        <v>c7d7e66b-4dfe-47b9-a47f-66af76d8fb19</v>
      </c>
      <c r="E12006" s="1">
        <f>IFERROR(__xludf.DUMMYFUNCTION("""COMPUTED_VALUE"""),1.1401981374607E13)</f>
        <v>11401981374607</v>
      </c>
      <c r="F12006" s="1"/>
      <c r="G12006" s="1">
        <f>IFERROR(__xludf.DUMMYFUNCTION("""COMPUTED_VALUE"""),1.25)</f>
        <v>1.25</v>
      </c>
      <c r="H12006" s="2">
        <f>IFERROR(__xludf.DUMMYFUNCTION("""COMPUTED_VALUE"""),1.25)</f>
        <v>1.25</v>
      </c>
      <c r="I12006" s="5">
        <f>IFERROR(__xludf.DUMMYFUNCTION("""COMPUTED_VALUE"""),1.0)</f>
        <v>1</v>
      </c>
      <c r="J12006" s="1" t="str">
        <f>IFERROR(__xludf.DUMMYFUNCTION("""COMPUTED_VALUE"""),"Belle Bentazal")</f>
        <v>Belle Bentazal</v>
      </c>
      <c r="K12006" s="1" t="str">
        <f>IFERROR(__xludf.DUMMYFUNCTION("""COMPUTED_VALUE"""),"Advanced Product Support")</f>
        <v>Advanced Product Support</v>
      </c>
      <c r="L12006" s="1" t="str">
        <f>IFERROR(__xludf.DUMMYFUNCTION("""COMPUTED_VALUE"""),"CPS Advanced Product Support (APS)")</f>
        <v>CPS Advanced Product Support (APS)</v>
      </c>
    </row>
    <row r="12007">
      <c r="A12007" s="1" t="str">
        <f>IFERROR(__xludf.DUMMYFUNCTION("""COMPUTED_VALUE"""),"2026 Apr")</f>
        <v>2026 Apr</v>
      </c>
      <c r="B12007" s="4">
        <f>IFERROR(__xludf.DUMMYFUNCTION("""COMPUTED_VALUE"""),46132.0)</f>
        <v>46132</v>
      </c>
      <c r="C12007" s="1" t="str">
        <f>IFERROR(__xludf.DUMMYFUNCTION("""COMPUTED_VALUE"""),"Print Support")</f>
        <v>Print Support</v>
      </c>
      <c r="D12007" s="1" t="str">
        <f>IFERROR(__xludf.DUMMYFUNCTION("""COMPUTED_VALUE"""),"10b96ef4-077e-4868-9c27-17d96d8b4f68")</f>
        <v>10b96ef4-077e-4868-9c27-17d96d8b4f68</v>
      </c>
      <c r="E12007" s="1">
        <f>IFERROR(__xludf.DUMMYFUNCTION("""COMPUTED_VALUE"""),3.61744117796E11)</f>
        <v>361744117796</v>
      </c>
      <c r="F12007" s="1"/>
      <c r="G12007" s="1"/>
      <c r="H12007" s="2">
        <f>IFERROR(__xludf.DUMMYFUNCTION("""COMPUTED_VALUE"""),0.0)</f>
        <v>0</v>
      </c>
      <c r="I12007" s="5"/>
      <c r="J12007" s="1" t="str">
        <f>IFERROR(__xludf.DUMMYFUNCTION("""COMPUTED_VALUE"""),"Jen Momo")</f>
        <v>Jen Momo</v>
      </c>
      <c r="K12007" s="1" t="str">
        <f>IFERROR(__xludf.DUMMYFUNCTION("""COMPUTED_VALUE"""),"Print Support PH")</f>
        <v>Print Support PH</v>
      </c>
      <c r="L12007" s="1" t="str">
        <f>IFERROR(__xludf.DUMMYFUNCTION("""COMPUTED_VALUE"""),"Print Print - CHT")</f>
        <v>Print Print - CHT</v>
      </c>
    </row>
    <row r="12008">
      <c r="A12008" s="1" t="str">
        <f>IFERROR(__xludf.DUMMYFUNCTION("""COMPUTED_VALUE"""),"2026 Apr")</f>
        <v>2026 Apr</v>
      </c>
      <c r="B12008" s="4">
        <f>IFERROR(__xludf.DUMMYFUNCTION("""COMPUTED_VALUE"""),46132.0)</f>
        <v>46132</v>
      </c>
      <c r="C12008" s="1" t="str">
        <f>IFERROR(__xludf.DUMMYFUNCTION("""COMPUTED_VALUE"""),"Print Support")</f>
        <v>Print Support</v>
      </c>
      <c r="D12008" s="1" t="str">
        <f>IFERROR(__xludf.DUMMYFUNCTION("""COMPUTED_VALUE"""),"12eca747-9244-47cb-894e-d3c873c08566")</f>
        <v>12eca747-9244-47cb-894e-d3c873c08566</v>
      </c>
      <c r="E12008" s="1">
        <f>IFERROR(__xludf.DUMMYFUNCTION("""COMPUTED_VALUE"""),1.0548625681423E13)</f>
        <v>10548625681423</v>
      </c>
      <c r="F12008" s="1"/>
      <c r="G12008" s="1"/>
      <c r="H12008" s="2">
        <f>IFERROR(__xludf.DUMMYFUNCTION("""COMPUTED_VALUE"""),0.0)</f>
        <v>0</v>
      </c>
      <c r="I12008" s="5"/>
      <c r="J12008" s="1" t="str">
        <f>IFERROR(__xludf.DUMMYFUNCTION("""COMPUTED_VALUE"""),"Louise Dianne Estrella")</f>
        <v>Louise Dianne Estrella</v>
      </c>
      <c r="K12008" s="1" t="str">
        <f>IFERROR(__xludf.DUMMYFUNCTION("""COMPUTED_VALUE"""),"Print Support PH")</f>
        <v>Print Support PH</v>
      </c>
      <c r="L12008" s="1" t="str">
        <f>IFERROR(__xludf.DUMMYFUNCTION("""COMPUTED_VALUE"""),"Print Print - CHT")</f>
        <v>Print Print - CHT</v>
      </c>
    </row>
    <row r="12009">
      <c r="A12009" s="1" t="str">
        <f>IFERROR(__xludf.DUMMYFUNCTION("""COMPUTED_VALUE"""),"2026 Apr")</f>
        <v>2026 Apr</v>
      </c>
      <c r="B12009" s="4">
        <f>IFERROR(__xludf.DUMMYFUNCTION("""COMPUTED_VALUE"""),46132.0)</f>
        <v>46132</v>
      </c>
      <c r="C12009" s="1" t="str">
        <f>IFERROR(__xludf.DUMMYFUNCTION("""COMPUTED_VALUE"""),"Multilingual Support")</f>
        <v>Multilingual Support</v>
      </c>
      <c r="D12009" s="1" t="str">
        <f>IFERROR(__xludf.DUMMYFUNCTION("""COMPUTED_VALUE"""),"757d9757-27bf-49d1-a07c-15a426289b02")</f>
        <v>757d9757-27bf-49d1-a07c-15a426289b02</v>
      </c>
      <c r="E12009" s="1">
        <f>IFERROR(__xludf.DUMMYFUNCTION("""COMPUTED_VALUE"""),1.1819962468111E13)</f>
        <v>11819962468111</v>
      </c>
      <c r="F12009" s="1"/>
      <c r="G12009" s="1"/>
      <c r="H12009" s="2">
        <f>IFERROR(__xludf.DUMMYFUNCTION("""COMPUTED_VALUE"""),0.0)</f>
        <v>0</v>
      </c>
      <c r="I12009" s="5"/>
      <c r="J12009" s="1" t="str">
        <f>IFERROR(__xludf.DUMMYFUNCTION("""COMPUTED_VALUE"""),"Arlene Maurillo")</f>
        <v>Arlene Maurillo</v>
      </c>
      <c r="K12009" s="1" t="str">
        <f>IFERROR(__xludf.DUMMYFUNCTION("""COMPUTED_VALUE"""),"PHL, Multilingual Support")</f>
        <v>PHL, Multilingual Support</v>
      </c>
      <c r="L12009" s="1" t="str">
        <f>IFERROR(__xludf.DUMMYFUNCTION("""COMPUTED_VALUE"""),"ML Spanish Support")</f>
        <v>ML Spanish Support</v>
      </c>
    </row>
    <row r="12010">
      <c r="A12010" s="1" t="str">
        <f>IFERROR(__xludf.DUMMYFUNCTION("""COMPUTED_VALUE"""),"2026 Apr")</f>
        <v>2026 Apr</v>
      </c>
      <c r="B12010" s="4">
        <f>IFERROR(__xludf.DUMMYFUNCTION("""COMPUTED_VALUE"""),46132.0)</f>
        <v>46132</v>
      </c>
      <c r="C12010" s="1" t="str">
        <f>IFERROR(__xludf.DUMMYFUNCTION("""COMPUTED_VALUE"""),"Core Product Support")</f>
        <v>Core Product Support</v>
      </c>
      <c r="D12010" s="1" t="str">
        <f>IFERROR(__xludf.DUMMYFUNCTION("""COMPUTED_VALUE"""),"a3fade96-9131-4bb4-90c2-f54d385ec4bf")</f>
        <v>a3fade96-9131-4bb4-90c2-f54d385ec4bf</v>
      </c>
      <c r="E12010" s="1">
        <f>IFERROR(__xludf.DUMMYFUNCTION("""COMPUTED_VALUE"""),3.61724829156E11)</f>
        <v>361724829156</v>
      </c>
      <c r="F12010" s="1"/>
      <c r="G12010" s="1">
        <f>IFERROR(__xludf.DUMMYFUNCTION("""COMPUTED_VALUE"""),2.5)</f>
        <v>2.5</v>
      </c>
      <c r="H12010" s="2">
        <f>IFERROR(__xludf.DUMMYFUNCTION("""COMPUTED_VALUE"""),2.5)</f>
        <v>2.5</v>
      </c>
      <c r="I12010" s="5">
        <f>IFERROR(__xludf.DUMMYFUNCTION("""COMPUTED_VALUE"""),1.0)</f>
        <v>1</v>
      </c>
      <c r="J12010" s="1" t="str">
        <f>IFERROR(__xludf.DUMMYFUNCTION("""COMPUTED_VALUE"""),"Sieg Ballelos")</f>
        <v>Sieg Ballelos</v>
      </c>
      <c r="K12010" s="1" t="str">
        <f>IFERROR(__xludf.DUMMYFUNCTION("""COMPUTED_VALUE"""),"Core Product Support Escalation Team")</f>
        <v>Core Product Support Escalation Team</v>
      </c>
      <c r="L12010"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2011">
      <c r="A12011" s="1" t="str">
        <f>IFERROR(__xludf.DUMMYFUNCTION("""COMPUTED_VALUE"""),"2026 Apr")</f>
        <v>2026 Apr</v>
      </c>
      <c r="B12011" s="4">
        <f>IFERROR(__xludf.DUMMYFUNCTION("""COMPUTED_VALUE"""),46132.0)</f>
        <v>46132</v>
      </c>
      <c r="C12011" s="1" t="str">
        <f>IFERROR(__xludf.DUMMYFUNCTION("""COMPUTED_VALUE"""),"Admin Support")</f>
        <v>Admin Support</v>
      </c>
      <c r="D12011" s="1" t="str">
        <f>IFERROR(__xludf.DUMMYFUNCTION("""COMPUTED_VALUE"""),"09d87fc9-bd97-4b66-b6e5-fc2d50b135a4")</f>
        <v>09d87fc9-bd97-4b66-b6e5-fc2d50b135a4</v>
      </c>
      <c r="E12011" s="1">
        <f>IFERROR(__xludf.DUMMYFUNCTION("""COMPUTED_VALUE"""),3.61725260596E11)</f>
        <v>361725260596</v>
      </c>
      <c r="F12011" s="1"/>
      <c r="G12011" s="1">
        <f>IFERROR(__xludf.DUMMYFUNCTION("""COMPUTED_VALUE"""),0.25)</f>
        <v>0.25</v>
      </c>
      <c r="H12011" s="2">
        <f>IFERROR(__xludf.DUMMYFUNCTION("""COMPUTED_VALUE"""),0.25)</f>
        <v>0.25</v>
      </c>
      <c r="I12011" s="5">
        <f>IFERROR(__xludf.DUMMYFUNCTION("""COMPUTED_VALUE"""),1.0)</f>
        <v>1</v>
      </c>
      <c r="J12011" s="1" t="str">
        <f>IFERROR(__xludf.DUMMYFUNCTION("""COMPUTED_VALUE"""),"AL Suarez")</f>
        <v>AL Suarez</v>
      </c>
      <c r="K12011" s="1" t="str">
        <f>IFERROR(__xludf.DUMMYFUNCTION("""COMPUTED_VALUE"""),"Admin Direct Support")</f>
        <v>Admin Direct Support</v>
      </c>
      <c r="L12011" s="1" t="str">
        <f>IFERROR(__xludf.DUMMYFUNCTION("""COMPUTED_VALUE"""),"Admin Direct Support")</f>
        <v>Admin Direct Support</v>
      </c>
    </row>
    <row r="12012">
      <c r="A12012" s="1" t="str">
        <f>IFERROR(__xludf.DUMMYFUNCTION("""COMPUTED_VALUE"""),"2026 Apr")</f>
        <v>2026 Apr</v>
      </c>
      <c r="B12012" s="4">
        <f>IFERROR(__xludf.DUMMYFUNCTION("""COMPUTED_VALUE"""),46132.0)</f>
        <v>46132</v>
      </c>
      <c r="C12012" s="1" t="str">
        <f>IFERROR(__xludf.DUMMYFUNCTION("""COMPUTED_VALUE"""),"Core Product Support")</f>
        <v>Core Product Support</v>
      </c>
      <c r="D12012" s="1" t="str">
        <f>IFERROR(__xludf.DUMMYFUNCTION("""COMPUTED_VALUE"""),"f955e205-68df-47fa-8f47-3ee8758dc76e")</f>
        <v>f955e205-68df-47fa-8f47-3ee8758dc76e</v>
      </c>
      <c r="E12012" s="1">
        <f>IFERROR(__xludf.DUMMYFUNCTION("""COMPUTED_VALUE"""),6.839679630095E12)</f>
        <v>6839679630095</v>
      </c>
      <c r="F12012" s="1"/>
      <c r="G12012" s="1">
        <f>IFERROR(__xludf.DUMMYFUNCTION("""COMPUTED_VALUE"""),1.25)</f>
        <v>1.25</v>
      </c>
      <c r="H12012" s="2">
        <f>IFERROR(__xludf.DUMMYFUNCTION("""COMPUTED_VALUE"""),1.25)</f>
        <v>1.25</v>
      </c>
      <c r="I12012" s="5">
        <f>IFERROR(__xludf.DUMMYFUNCTION("""COMPUTED_VALUE"""),1.0)</f>
        <v>1</v>
      </c>
      <c r="J12012" s="1" t="str">
        <f>IFERROR(__xludf.DUMMYFUNCTION("""COMPUTED_VALUE"""),"Ayza Marie Pascual")</f>
        <v>Ayza Marie Pascual</v>
      </c>
      <c r="K12012" s="1" t="str">
        <f>IFERROR(__xludf.DUMMYFUNCTION("""COMPUTED_VALUE"""),"Advanced Billing &amp; Subscriptions")</f>
        <v>Advanced Billing &amp; Subscriptions</v>
      </c>
      <c r="L12012" s="1" t="str">
        <f>IFERROR(__xludf.DUMMYFUNCTION("""COMPUTED_VALUE"""),"CPS Advanced Billing and Subscriptions (ABS)")</f>
        <v>CPS Advanced Billing and Subscriptions (ABS)</v>
      </c>
    </row>
    <row r="12013">
      <c r="A12013" s="1" t="str">
        <f>IFERROR(__xludf.DUMMYFUNCTION("""COMPUTED_VALUE"""),"2026 Apr")</f>
        <v>2026 Apr</v>
      </c>
      <c r="B12013" s="4">
        <f>IFERROR(__xludf.DUMMYFUNCTION("""COMPUTED_VALUE"""),46132.0)</f>
        <v>46132</v>
      </c>
      <c r="C12013" s="1" t="str">
        <f>IFERROR(__xludf.DUMMYFUNCTION("""COMPUTED_VALUE"""),"Core Product Support")</f>
        <v>Core Product Support</v>
      </c>
      <c r="D12013" s="1" t="str">
        <f>IFERROR(__xludf.DUMMYFUNCTION("""COMPUTED_VALUE"""),"00be8036-de23-4dcc-a683-b039df965fa3")</f>
        <v>00be8036-de23-4dcc-a683-b039df965fa3</v>
      </c>
      <c r="E12013" s="1">
        <f>IFERROR(__xludf.DUMMYFUNCTION("""COMPUTED_VALUE"""),3.61861298295E11)</f>
        <v>361861298295</v>
      </c>
      <c r="F12013" s="1"/>
      <c r="G12013" s="1">
        <f>IFERROR(__xludf.DUMMYFUNCTION("""COMPUTED_VALUE"""),2.5)</f>
        <v>2.5</v>
      </c>
      <c r="H12013" s="2">
        <f>IFERROR(__xludf.DUMMYFUNCTION("""COMPUTED_VALUE"""),2.5)</f>
        <v>2.5</v>
      </c>
      <c r="I12013" s="5">
        <f>IFERROR(__xludf.DUMMYFUNCTION("""COMPUTED_VALUE"""),1.0)</f>
        <v>1</v>
      </c>
      <c r="J12013" s="1" t="str">
        <f>IFERROR(__xludf.DUMMYFUNCTION("""COMPUTED_VALUE"""),"Ellaine Estayo")</f>
        <v>Ellaine Estayo</v>
      </c>
      <c r="K12013" s="1" t="str">
        <f>IFERROR(__xludf.DUMMYFUNCTION("""COMPUTED_VALUE"""),"Core Product Support Escalation Team")</f>
        <v>Core Product Support Escalation Team</v>
      </c>
      <c r="L12013"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2014">
      <c r="A12014" s="1" t="str">
        <f>IFERROR(__xludf.DUMMYFUNCTION("""COMPUTED_VALUE"""),"2026 Apr")</f>
        <v>2026 Apr</v>
      </c>
      <c r="B12014" s="4">
        <f>IFERROR(__xludf.DUMMYFUNCTION("""COMPUTED_VALUE"""),46132.0)</f>
        <v>46132</v>
      </c>
      <c r="C12014" s="1" t="str">
        <f>IFERROR(__xludf.DUMMYFUNCTION("""COMPUTED_VALUE"""),"Core Product Support")</f>
        <v>Core Product Support</v>
      </c>
      <c r="D12014" s="1" t="str">
        <f>IFERROR(__xludf.DUMMYFUNCTION("""COMPUTED_VALUE"""),"5f0096f6-f7a7-4fe8-ac45-0435aaacdfb4")</f>
        <v>5f0096f6-f7a7-4fe8-ac45-0435aaacdfb4</v>
      </c>
      <c r="E12014" s="1">
        <f>IFERROR(__xludf.DUMMYFUNCTION("""COMPUTED_VALUE"""),1.1035371839887E13)</f>
        <v>11035371839887</v>
      </c>
      <c r="F12014" s="1"/>
      <c r="G12014" s="1">
        <f>IFERROR(__xludf.DUMMYFUNCTION("""COMPUTED_VALUE"""),1.25)</f>
        <v>1.25</v>
      </c>
      <c r="H12014" s="2">
        <f>IFERROR(__xludf.DUMMYFUNCTION("""COMPUTED_VALUE"""),1.25)</f>
        <v>1.25</v>
      </c>
      <c r="I12014" s="5">
        <f>IFERROR(__xludf.DUMMYFUNCTION("""COMPUTED_VALUE"""),1.0)</f>
        <v>1</v>
      </c>
      <c r="J12014" s="1" t="str">
        <f>IFERROR(__xludf.DUMMYFUNCTION("""COMPUTED_VALUE"""),"Ayza Marie Pascual")</f>
        <v>Ayza Marie Pascual</v>
      </c>
      <c r="K12014" s="1" t="str">
        <f>IFERROR(__xludf.DUMMYFUNCTION("""COMPUTED_VALUE"""),"Advanced Billing &amp; Subscriptions")</f>
        <v>Advanced Billing &amp; Subscriptions</v>
      </c>
      <c r="L12014" s="1" t="str">
        <f>IFERROR(__xludf.DUMMYFUNCTION("""COMPUTED_VALUE"""),"CPS Advanced Billing and Subscriptions (ABS)")</f>
        <v>CPS Advanced Billing and Subscriptions (ABS)</v>
      </c>
    </row>
    <row r="12015">
      <c r="A12015" s="1" t="str">
        <f>IFERROR(__xludf.DUMMYFUNCTION("""COMPUTED_VALUE"""),"2026 Apr")</f>
        <v>2026 Apr</v>
      </c>
      <c r="B12015" s="4">
        <f>IFERROR(__xludf.DUMMYFUNCTION("""COMPUTED_VALUE"""),46132.0)</f>
        <v>46132</v>
      </c>
      <c r="C12015" s="1" t="str">
        <f>IFERROR(__xludf.DUMMYFUNCTION("""COMPUTED_VALUE"""),"Segment-specific Support")</f>
        <v>Segment-specific Support</v>
      </c>
      <c r="D12015" s="1" t="str">
        <f>IFERROR(__xludf.DUMMYFUNCTION("""COMPUTED_VALUE"""),"a5b6f808-7e87-4668-a7a6-2faa138923c8")</f>
        <v>a5b6f808-7e87-4668-a7a6-2faa138923c8</v>
      </c>
      <c r="E12015" s="1">
        <f>IFERROR(__xludf.DUMMYFUNCTION("""COMPUTED_VALUE"""),1.1279766049295E13)</f>
        <v>11279766049295</v>
      </c>
      <c r="F12015" s="1"/>
      <c r="G12015" s="1"/>
      <c r="H12015" s="2">
        <f>IFERROR(__xludf.DUMMYFUNCTION("""COMPUTED_VALUE"""),0.0)</f>
        <v>0</v>
      </c>
      <c r="I12015" s="5"/>
      <c r="J12015" s="1" t="str">
        <f>IFERROR(__xludf.DUMMYFUNCTION("""COMPUTED_VALUE"""),"Gucci Nava")</f>
        <v>Gucci Nava</v>
      </c>
      <c r="K12015" s="1" t="str">
        <f>IFERROR(__xludf.DUMMYFUNCTION("""COMPUTED_VALUE"""),"Print Support PH")</f>
        <v>Print Support PH</v>
      </c>
      <c r="L12015" s="1" t="str">
        <f>IFERROR(__xludf.DUMMYFUNCTION("""COMPUTED_VALUE"""),"Print Print - CHT")</f>
        <v>Print Print - CHT</v>
      </c>
    </row>
    <row r="12016">
      <c r="A12016" s="1" t="str">
        <f>IFERROR(__xludf.DUMMYFUNCTION("""COMPUTED_VALUE"""),"2026 Apr")</f>
        <v>2026 Apr</v>
      </c>
      <c r="B12016" s="4">
        <f>IFERROR(__xludf.DUMMYFUNCTION("""COMPUTED_VALUE"""),46132.0)</f>
        <v>46132</v>
      </c>
      <c r="C12016" s="1" t="str">
        <f>IFERROR(__xludf.DUMMYFUNCTION("""COMPUTED_VALUE"""),"Print Support")</f>
        <v>Print Support</v>
      </c>
      <c r="D12016" s="1" t="str">
        <f>IFERROR(__xludf.DUMMYFUNCTION("""COMPUTED_VALUE"""),"b5bf3764-4c76-47b7-b10d-b1f8e9a0087e")</f>
        <v>b5bf3764-4c76-47b7-b10d-b1f8e9a0087e</v>
      </c>
      <c r="E12016" s="1">
        <f>IFERROR(__xludf.DUMMYFUNCTION("""COMPUTED_VALUE"""),6.839674714895E12)</f>
        <v>6839674714895</v>
      </c>
      <c r="F12016" s="1"/>
      <c r="G12016" s="1"/>
      <c r="H12016" s="2">
        <f>IFERROR(__xludf.DUMMYFUNCTION("""COMPUTED_VALUE"""),0.0)</f>
        <v>0</v>
      </c>
      <c r="I12016" s="5"/>
      <c r="J12016" s="1" t="str">
        <f>IFERROR(__xludf.DUMMYFUNCTION("""COMPUTED_VALUE"""),"Jen Momo")</f>
        <v>Jen Momo</v>
      </c>
      <c r="K12016" s="1" t="str">
        <f>IFERROR(__xludf.DUMMYFUNCTION("""COMPUTED_VALUE"""),"Print Support PH")</f>
        <v>Print Support PH</v>
      </c>
      <c r="L12016" s="1" t="str">
        <f>IFERROR(__xludf.DUMMYFUNCTION("""COMPUTED_VALUE"""),"Print Print - CHT")</f>
        <v>Print Print - CHT</v>
      </c>
    </row>
    <row r="12017">
      <c r="A12017" s="1" t="str">
        <f>IFERROR(__xludf.DUMMYFUNCTION("""COMPUTED_VALUE"""),"2026 Apr")</f>
        <v>2026 Apr</v>
      </c>
      <c r="B12017" s="4">
        <f>IFERROR(__xludf.DUMMYFUNCTION("""COMPUTED_VALUE"""),46132.0)</f>
        <v>46132</v>
      </c>
      <c r="C12017" s="1" t="str">
        <f>IFERROR(__xludf.DUMMYFUNCTION("""COMPUTED_VALUE"""),"#N/A")</f>
        <v>#N/A</v>
      </c>
      <c r="D12017" s="1" t="str">
        <f>IFERROR(__xludf.DUMMYFUNCTION("""COMPUTED_VALUE"""),"f27be24b-81af-42d9-a1fc-c197e2d977ca")</f>
        <v>f27be24b-81af-42d9-a1fc-c197e2d977ca</v>
      </c>
      <c r="E12017" s="1">
        <f>IFERROR(__xludf.DUMMYFUNCTION("""COMPUTED_VALUE"""),5.651704924431E12)</f>
        <v>5651704924431</v>
      </c>
      <c r="F12017" s="1"/>
      <c r="G12017" s="1"/>
      <c r="H12017" s="2">
        <f>IFERROR(__xludf.DUMMYFUNCTION("""COMPUTED_VALUE"""),0.0)</f>
        <v>0</v>
      </c>
      <c r="I12017" s="5"/>
      <c r="J12017" s="1" t="str">
        <f>IFERROR(__xludf.DUMMYFUNCTION("""COMPUTED_VALUE"""),"#N/A")</f>
        <v>#N/A</v>
      </c>
      <c r="K12017" s="1" t="str">
        <f>IFERROR(__xludf.DUMMYFUNCTION("""COMPUTED_VALUE"""),"#N/A")</f>
        <v>#N/A</v>
      </c>
      <c r="L12017" s="1" t="str">
        <f>IFERROR(__xludf.DUMMYFUNCTION("""COMPUTED_VALUE"""),"#N/A")</f>
        <v>#N/A</v>
      </c>
    </row>
    <row r="12018">
      <c r="A12018" s="1" t="str">
        <f>IFERROR(__xludf.DUMMYFUNCTION("""COMPUTED_VALUE"""),"2026 Apr")</f>
        <v>2026 Apr</v>
      </c>
      <c r="B12018" s="4">
        <f>IFERROR(__xludf.DUMMYFUNCTION("""COMPUTED_VALUE"""),46132.0)</f>
        <v>46132</v>
      </c>
      <c r="C12018" s="1" t="str">
        <f>IFERROR(__xludf.DUMMYFUNCTION("""COMPUTED_VALUE"""),"Admin Support")</f>
        <v>Admin Support</v>
      </c>
      <c r="D12018" s="1" t="str">
        <f>IFERROR(__xludf.DUMMYFUNCTION("""COMPUTED_VALUE"""),"d50b210b-01b8-4681-be11-0604b6046af3")</f>
        <v>d50b210b-01b8-4681-be11-0604b6046af3</v>
      </c>
      <c r="E12018" s="1">
        <f>IFERROR(__xludf.DUMMYFUNCTION("""COMPUTED_VALUE"""),1.0333049788943E13)</f>
        <v>10333049788943</v>
      </c>
      <c r="F12018" s="1"/>
      <c r="G12018" s="1">
        <f>IFERROR(__xludf.DUMMYFUNCTION("""COMPUTED_VALUE"""),0.25)</f>
        <v>0.25</v>
      </c>
      <c r="H12018" s="2">
        <f>IFERROR(__xludf.DUMMYFUNCTION("""COMPUTED_VALUE"""),0.25)</f>
        <v>0.25</v>
      </c>
      <c r="I12018" s="5">
        <f>IFERROR(__xludf.DUMMYFUNCTION("""COMPUTED_VALUE"""),1.0)</f>
        <v>1</v>
      </c>
      <c r="J12018" s="1" t="str">
        <f>IFERROR(__xludf.DUMMYFUNCTION("""COMPUTED_VALUE"""),"AL Suarez")</f>
        <v>AL Suarez</v>
      </c>
      <c r="K12018" s="1" t="str">
        <f>IFERROR(__xludf.DUMMYFUNCTION("""COMPUTED_VALUE"""),"Admin Direct Support")</f>
        <v>Admin Direct Support</v>
      </c>
      <c r="L12018" s="1" t="str">
        <f>IFERROR(__xludf.DUMMYFUNCTION("""COMPUTED_VALUE"""),"Admin Direct Support")</f>
        <v>Admin Direct Support</v>
      </c>
    </row>
    <row r="12019">
      <c r="A12019" s="1" t="str">
        <f>IFERROR(__xludf.DUMMYFUNCTION("""COMPUTED_VALUE"""),"2026 Apr")</f>
        <v>2026 Apr</v>
      </c>
      <c r="B12019" s="4">
        <f>IFERROR(__xludf.DUMMYFUNCTION("""COMPUTED_VALUE"""),46132.0)</f>
        <v>46132</v>
      </c>
      <c r="C12019" s="1" t="str">
        <f>IFERROR(__xludf.DUMMYFUNCTION("""COMPUTED_VALUE"""),"High Sensitivity Support")</f>
        <v>High Sensitivity Support</v>
      </c>
      <c r="D12019" s="1" t="str">
        <f>IFERROR(__xludf.DUMMYFUNCTION("""COMPUTED_VALUE"""),"bdf574f0-069d-4493-a93e-73eb74edd906")</f>
        <v>bdf574f0-069d-4493-a93e-73eb74edd906</v>
      </c>
      <c r="E12019" s="1">
        <f>IFERROR(__xludf.DUMMYFUNCTION("""COMPUTED_VALUE"""),3.61725261136E11)</f>
        <v>361725261136</v>
      </c>
      <c r="F12019" s="1"/>
      <c r="G12019" s="1"/>
      <c r="H12019" s="2">
        <f>IFERROR(__xludf.DUMMYFUNCTION("""COMPUTED_VALUE"""),0.0)</f>
        <v>0</v>
      </c>
      <c r="I12019" s="5"/>
      <c r="J12019" s="1" t="str">
        <f>IFERROR(__xludf.DUMMYFUNCTION("""COMPUTED_VALUE"""),"Rex Villamor")</f>
        <v>Rex Villamor</v>
      </c>
      <c r="K12019" s="1" t="str">
        <f>IFERROR(__xludf.DUMMYFUNCTION("""COMPUTED_VALUE"""),"High Sensitivity Support PH")</f>
        <v>High Sensitivity Support PH</v>
      </c>
      <c r="L12019" s="1" t="str">
        <f>IFERROR(__xludf.DUMMYFUNCTION("""COMPUTED_VALUE"""),"HSS High Sensitivity Support PH - CHT")</f>
        <v>HSS High Sensitivity Support PH - CHT</v>
      </c>
    </row>
    <row r="12020">
      <c r="A12020" s="1" t="str">
        <f>IFERROR(__xludf.DUMMYFUNCTION("""COMPUTED_VALUE"""),"2026 Apr")</f>
        <v>2026 Apr</v>
      </c>
      <c r="B12020" s="4">
        <f>IFERROR(__xludf.DUMMYFUNCTION("""COMPUTED_VALUE"""),46132.0)</f>
        <v>46132</v>
      </c>
      <c r="C12020" s="1" t="str">
        <f>IFERROR(__xludf.DUMMYFUNCTION("""COMPUTED_VALUE"""),"Core Product Support")</f>
        <v>Core Product Support</v>
      </c>
      <c r="D12020" s="1" t="str">
        <f>IFERROR(__xludf.DUMMYFUNCTION("""COMPUTED_VALUE"""),"1f5a4168-ecb9-42df-a403-8c86095beba7")</f>
        <v>1f5a4168-ecb9-42df-a403-8c86095beba7</v>
      </c>
      <c r="E12020" s="1"/>
      <c r="F12020" s="1"/>
      <c r="G12020" s="1">
        <f>IFERROR(__xludf.DUMMYFUNCTION("""COMPUTED_VALUE"""),1.25)</f>
        <v>1.25</v>
      </c>
      <c r="H12020" s="2">
        <f>IFERROR(__xludf.DUMMYFUNCTION("""COMPUTED_VALUE"""),1.25)</f>
        <v>1.25</v>
      </c>
      <c r="I12020" s="5">
        <f>IFERROR(__xludf.DUMMYFUNCTION("""COMPUTED_VALUE"""),1.0)</f>
        <v>1</v>
      </c>
      <c r="J12020" s="1" t="str">
        <f>IFERROR(__xludf.DUMMYFUNCTION("""COMPUTED_VALUE"""),"Mikhaela Decangchon")</f>
        <v>Mikhaela Decangchon</v>
      </c>
      <c r="K12020" s="1" t="str">
        <f>IFERROR(__xludf.DUMMYFUNCTION("""COMPUTED_VALUE"""),"Advanced Product Support")</f>
        <v>Advanced Product Support</v>
      </c>
      <c r="L12020" s="1" t="str">
        <f>IFERROR(__xludf.DUMMYFUNCTION("""COMPUTED_VALUE"""),"CPS Advanced Product Support (APS)")</f>
        <v>CPS Advanced Product Support (APS)</v>
      </c>
    </row>
    <row r="12021">
      <c r="A12021" s="1" t="str">
        <f>IFERROR(__xludf.DUMMYFUNCTION("""COMPUTED_VALUE"""),"2026 Apr")</f>
        <v>2026 Apr</v>
      </c>
      <c r="B12021" s="4">
        <f>IFERROR(__xludf.DUMMYFUNCTION("""COMPUTED_VALUE"""),46132.0)</f>
        <v>46132</v>
      </c>
      <c r="C12021" s="1" t="str">
        <f>IFERROR(__xludf.DUMMYFUNCTION("""COMPUTED_VALUE"""),"Admin Support")</f>
        <v>Admin Support</v>
      </c>
      <c r="D12021" s="1" t="str">
        <f>IFERROR(__xludf.DUMMYFUNCTION("""COMPUTED_VALUE"""),"d34aba25-1e55-4f8e-b85b-ef3d3928a2d3")</f>
        <v>d34aba25-1e55-4f8e-b85b-ef3d3928a2d3</v>
      </c>
      <c r="E12021" s="1">
        <f>IFERROR(__xludf.DUMMYFUNCTION("""COMPUTED_VALUE"""),5.566810533775E12)</f>
        <v>5566810533775</v>
      </c>
      <c r="F12021" s="1"/>
      <c r="G12021" s="1">
        <f>IFERROR(__xludf.DUMMYFUNCTION("""COMPUTED_VALUE"""),0.25)</f>
        <v>0.25</v>
      </c>
      <c r="H12021" s="2">
        <f>IFERROR(__xludf.DUMMYFUNCTION("""COMPUTED_VALUE"""),0.25)</f>
        <v>0.25</v>
      </c>
      <c r="I12021" s="5">
        <f>IFERROR(__xludf.DUMMYFUNCTION("""COMPUTED_VALUE"""),1.0)</f>
        <v>1</v>
      </c>
      <c r="J12021" s="1" t="str">
        <f>IFERROR(__xludf.DUMMYFUNCTION("""COMPUTED_VALUE"""),"AL Suarez")</f>
        <v>AL Suarez</v>
      </c>
      <c r="K12021" s="1" t="str">
        <f>IFERROR(__xludf.DUMMYFUNCTION("""COMPUTED_VALUE"""),"Print Support PH")</f>
        <v>Print Support PH</v>
      </c>
      <c r="L12021" s="1" t="str">
        <f>IFERROR(__xludf.DUMMYFUNCTION("""COMPUTED_VALUE"""),"Print Print - CHT")</f>
        <v>Print Print - CHT</v>
      </c>
    </row>
    <row r="12022">
      <c r="A12022" s="1" t="str">
        <f>IFERROR(__xludf.DUMMYFUNCTION("""COMPUTED_VALUE"""),"2026 Apr")</f>
        <v>2026 Apr</v>
      </c>
      <c r="B12022" s="4">
        <f>IFERROR(__xludf.DUMMYFUNCTION("""COMPUTED_VALUE"""),46132.0)</f>
        <v>46132</v>
      </c>
      <c r="C12022" s="1" t="str">
        <f>IFERROR(__xludf.DUMMYFUNCTION("""COMPUTED_VALUE"""),"Admin Support")</f>
        <v>Admin Support</v>
      </c>
      <c r="D12022" s="1" t="str">
        <f>IFERROR(__xludf.DUMMYFUNCTION("""COMPUTED_VALUE"""),"16e689aa-95b5-4a8b-8cac-123c1b896177")</f>
        <v>16e689aa-95b5-4a8b-8cac-123c1b896177</v>
      </c>
      <c r="E12022" s="1">
        <f>IFERROR(__xludf.DUMMYFUNCTION("""COMPUTED_VALUE"""),1.4859859582863E13)</f>
        <v>14859859582863</v>
      </c>
      <c r="F12022" s="1"/>
      <c r="G12022" s="1">
        <f>IFERROR(__xludf.DUMMYFUNCTION("""COMPUTED_VALUE"""),0.25)</f>
        <v>0.25</v>
      </c>
      <c r="H12022" s="2">
        <f>IFERROR(__xludf.DUMMYFUNCTION("""COMPUTED_VALUE"""),0.25)</f>
        <v>0.25</v>
      </c>
      <c r="I12022" s="5">
        <f>IFERROR(__xludf.DUMMYFUNCTION("""COMPUTED_VALUE"""),1.0)</f>
        <v>1</v>
      </c>
      <c r="J12022" s="1" t="str">
        <f>IFERROR(__xludf.DUMMYFUNCTION("""COMPUTED_VALUE"""),"AL Suarez")</f>
        <v>AL Suarez</v>
      </c>
      <c r="K12022" s="1" t="str">
        <f>IFERROR(__xludf.DUMMYFUNCTION("""COMPUTED_VALUE"""),"Admin Direct Support")</f>
        <v>Admin Direct Support</v>
      </c>
      <c r="L12022" s="1" t="str">
        <f>IFERROR(__xludf.DUMMYFUNCTION("""COMPUTED_VALUE"""),"Admin Direct Support")</f>
        <v>Admin Direct Support</v>
      </c>
    </row>
    <row r="12023">
      <c r="A12023" s="1" t="str">
        <f>IFERROR(__xludf.DUMMYFUNCTION("""COMPUTED_VALUE"""),"2026 Apr")</f>
        <v>2026 Apr</v>
      </c>
      <c r="B12023" s="4">
        <f>IFERROR(__xludf.DUMMYFUNCTION("""COMPUTED_VALUE"""),46132.0)</f>
        <v>46132</v>
      </c>
      <c r="C12023" s="1" t="str">
        <f>IFERROR(__xludf.DUMMYFUNCTION("""COMPUTED_VALUE"""),"Core Product Support")</f>
        <v>Core Product Support</v>
      </c>
      <c r="D12023" s="1" t="str">
        <f>IFERROR(__xludf.DUMMYFUNCTION("""COMPUTED_VALUE"""),"c5ba42b5-b56e-4880-adbe-57292f722509")</f>
        <v>c5ba42b5-b56e-4880-adbe-57292f722509</v>
      </c>
      <c r="E12023" s="1">
        <f>IFERROR(__xludf.DUMMYFUNCTION("""COMPUTED_VALUE"""),1.1401945362575E13)</f>
        <v>11401945362575</v>
      </c>
      <c r="F12023" s="1"/>
      <c r="G12023" s="1">
        <f>IFERROR(__xludf.DUMMYFUNCTION("""COMPUTED_VALUE"""),1.25)</f>
        <v>1.25</v>
      </c>
      <c r="H12023" s="2">
        <f>IFERROR(__xludf.DUMMYFUNCTION("""COMPUTED_VALUE"""),1.25)</f>
        <v>1.25</v>
      </c>
      <c r="I12023" s="5">
        <f>IFERROR(__xludf.DUMMYFUNCTION("""COMPUTED_VALUE"""),1.0)</f>
        <v>1</v>
      </c>
      <c r="J12023" s="1" t="str">
        <f>IFERROR(__xludf.DUMMYFUNCTION("""COMPUTED_VALUE"""),"Ayza Marie Pascual")</f>
        <v>Ayza Marie Pascual</v>
      </c>
      <c r="K12023" s="1" t="str">
        <f>IFERROR(__xludf.DUMMYFUNCTION("""COMPUTED_VALUE"""),"Advanced Billing &amp; Subscriptions")</f>
        <v>Advanced Billing &amp; Subscriptions</v>
      </c>
      <c r="L12023" s="1" t="str">
        <f>IFERROR(__xludf.DUMMYFUNCTION("""COMPUTED_VALUE"""),"CPS Advanced Billing and Subscriptions (ABS)")</f>
        <v>CPS Advanced Billing and Subscriptions (ABS)</v>
      </c>
    </row>
    <row r="12024">
      <c r="A12024" s="1" t="str">
        <f>IFERROR(__xludf.DUMMYFUNCTION("""COMPUTED_VALUE"""),"2026 Apr")</f>
        <v>2026 Apr</v>
      </c>
      <c r="B12024" s="4">
        <f>IFERROR(__xludf.DUMMYFUNCTION("""COMPUTED_VALUE"""),46132.0)</f>
        <v>46132</v>
      </c>
      <c r="C12024" s="1" t="str">
        <f>IFERROR(__xludf.DUMMYFUNCTION("""COMPUTED_VALUE"""),"Print Support")</f>
        <v>Print Support</v>
      </c>
      <c r="D12024" s="1" t="str">
        <f>IFERROR(__xludf.DUMMYFUNCTION("""COMPUTED_VALUE"""),"f154e992-ffb0-484a-b731-9da1092e886a")</f>
        <v>f154e992-ffb0-484a-b731-9da1092e886a</v>
      </c>
      <c r="E12024" s="1"/>
      <c r="F12024" s="1"/>
      <c r="G12024" s="1"/>
      <c r="H12024" s="2">
        <f>IFERROR(__xludf.DUMMYFUNCTION("""COMPUTED_VALUE"""),0.0)</f>
        <v>0</v>
      </c>
      <c r="I12024" s="5"/>
      <c r="J12024" s="1" t="str">
        <f>IFERROR(__xludf.DUMMYFUNCTION("""COMPUTED_VALUE"""),"Gem Agoncillo")</f>
        <v>Gem Agoncillo</v>
      </c>
      <c r="K12024" s="1" t="str">
        <f>IFERROR(__xludf.DUMMYFUNCTION("""COMPUTED_VALUE"""),"Print Design Support")</f>
        <v>Print Design Support</v>
      </c>
      <c r="L12024" s="1" t="str">
        <f>IFERROR(__xludf.DUMMYFUNCTION("""COMPUTED_VALUE"""),"Print Print Design")</f>
        <v>Print Print Design</v>
      </c>
    </row>
    <row r="12025">
      <c r="A12025" s="1" t="str">
        <f>IFERROR(__xludf.DUMMYFUNCTION("""COMPUTED_VALUE"""),"2026 Apr")</f>
        <v>2026 Apr</v>
      </c>
      <c r="B12025" s="4">
        <f>IFERROR(__xludf.DUMMYFUNCTION("""COMPUTED_VALUE"""),46132.0)</f>
        <v>46132</v>
      </c>
      <c r="C12025" s="1" t="str">
        <f>IFERROR(__xludf.DUMMYFUNCTION("""COMPUTED_VALUE"""),"Core Product Support")</f>
        <v>Core Product Support</v>
      </c>
      <c r="D12025" s="1" t="str">
        <f>IFERROR(__xludf.DUMMYFUNCTION("""COMPUTED_VALUE"""),"123e8c80-f84d-46ba-8ddf-e514a808d270")</f>
        <v>123e8c80-f84d-46ba-8ddf-e514a808d270</v>
      </c>
      <c r="E12025" s="1">
        <f>IFERROR(__xludf.DUMMYFUNCTION("""COMPUTED_VALUE"""),7.235815845903E12)</f>
        <v>7235815845903</v>
      </c>
      <c r="F12025" s="1"/>
      <c r="G12025" s="1">
        <f>IFERROR(__xludf.DUMMYFUNCTION("""COMPUTED_VALUE"""),1.25)</f>
        <v>1.25</v>
      </c>
      <c r="H12025" s="2">
        <f>IFERROR(__xludf.DUMMYFUNCTION("""COMPUTED_VALUE"""),1.25)</f>
        <v>1.25</v>
      </c>
      <c r="I12025" s="5">
        <f>IFERROR(__xludf.DUMMYFUNCTION("""COMPUTED_VALUE"""),1.0)</f>
        <v>1</v>
      </c>
      <c r="J12025" s="1" t="str">
        <f>IFERROR(__xludf.DUMMYFUNCTION("""COMPUTED_VALUE"""),"Cherry Macam")</f>
        <v>Cherry Macam</v>
      </c>
      <c r="K12025" s="1" t="str">
        <f>IFERROR(__xludf.DUMMYFUNCTION("""COMPUTED_VALUE"""),"Advanced Billing &amp; Subscriptions")</f>
        <v>Advanced Billing &amp; Subscriptions</v>
      </c>
      <c r="L12025" s="1" t="str">
        <f>IFERROR(__xludf.DUMMYFUNCTION("""COMPUTED_VALUE"""),"CPS Advanced Billing and Subscriptions (ABS)")</f>
        <v>CPS Advanced Billing and Subscriptions (ABS)</v>
      </c>
    </row>
    <row r="12026">
      <c r="A12026" s="1" t="str">
        <f>IFERROR(__xludf.DUMMYFUNCTION("""COMPUTED_VALUE"""),"2026 Apr")</f>
        <v>2026 Apr</v>
      </c>
      <c r="B12026" s="4">
        <f>IFERROR(__xludf.DUMMYFUNCTION("""COMPUTED_VALUE"""),46132.0)</f>
        <v>46132</v>
      </c>
      <c r="C12026" s="1" t="str">
        <f>IFERROR(__xludf.DUMMYFUNCTION("""COMPUTED_VALUE"""),"High Sensitivity Support")</f>
        <v>High Sensitivity Support</v>
      </c>
      <c r="D12026" s="1" t="str">
        <f>IFERROR(__xludf.DUMMYFUNCTION("""COMPUTED_VALUE"""),"12813a5b-5274-49dd-9f6b-59da40c97ee7")</f>
        <v>12813a5b-5274-49dd-9f6b-59da40c97ee7</v>
      </c>
      <c r="E12026" s="1">
        <f>IFERROR(__xludf.DUMMYFUNCTION("""COMPUTED_VALUE"""),9.795905227023E12)</f>
        <v>9795905227023</v>
      </c>
      <c r="F12026" s="1"/>
      <c r="G12026" s="1"/>
      <c r="H12026" s="2">
        <f>IFERROR(__xludf.DUMMYFUNCTION("""COMPUTED_VALUE"""),0.0)</f>
        <v>0</v>
      </c>
      <c r="I12026" s="5"/>
      <c r="J12026" s="1" t="str">
        <f>IFERROR(__xludf.DUMMYFUNCTION("""COMPUTED_VALUE"""),"Xandy Azarcon")</f>
        <v>Xandy Azarcon</v>
      </c>
      <c r="K12026" s="1" t="str">
        <f>IFERROR(__xludf.DUMMYFUNCTION("""COMPUTED_VALUE"""),"High Sensitivity Support PH")</f>
        <v>High Sensitivity Support PH</v>
      </c>
      <c r="L12026" s="1" t="str">
        <f>IFERROR(__xludf.DUMMYFUNCTION("""COMPUTED_VALUE"""),"HSS High Sensitivity Support PH - CHT")</f>
        <v>HSS High Sensitivity Support PH - CHT</v>
      </c>
    </row>
    <row r="12027">
      <c r="A12027" s="1" t="str">
        <f>IFERROR(__xludf.DUMMYFUNCTION("""COMPUTED_VALUE"""),"2026 Apr")</f>
        <v>2026 Apr</v>
      </c>
      <c r="B12027" s="4">
        <f>IFERROR(__xludf.DUMMYFUNCTION("""COMPUTED_VALUE"""),46132.0)</f>
        <v>46132</v>
      </c>
      <c r="C12027" s="1" t="str">
        <f>IFERROR(__xludf.DUMMYFUNCTION("""COMPUTED_VALUE"""),"Admin Support")</f>
        <v>Admin Support</v>
      </c>
      <c r="D12027" s="1" t="str">
        <f>IFERROR(__xludf.DUMMYFUNCTION("""COMPUTED_VALUE"""),"3a47626d-5d83-4eb3-99f0-da594375a7a4")</f>
        <v>3a47626d-5d83-4eb3-99f0-da594375a7a4</v>
      </c>
      <c r="E12027" s="1">
        <f>IFERROR(__xludf.DUMMYFUNCTION("""COMPUTED_VALUE"""),3.61731944855E11)</f>
        <v>361731944855</v>
      </c>
      <c r="F12027" s="1"/>
      <c r="G12027" s="1"/>
      <c r="H12027" s="2">
        <f>IFERROR(__xludf.DUMMYFUNCTION("""COMPUTED_VALUE"""),0.0)</f>
        <v>0</v>
      </c>
      <c r="I12027" s="5"/>
      <c r="J12027" s="1" t="str">
        <f>IFERROR(__xludf.DUMMYFUNCTION("""COMPUTED_VALUE"""),"Kelden Laguting")</f>
        <v>Kelden Laguting</v>
      </c>
      <c r="K12027" s="1" t="str">
        <f>IFERROR(__xludf.DUMMYFUNCTION("""COMPUTED_VALUE"""),"Admin Omni Support")</f>
        <v>Admin Omni Support</v>
      </c>
      <c r="L12027" s="1" t="str">
        <f>IFERROR(__xludf.DUMMYFUNCTION("""COMPUTED_VALUE"""),"Admin Omni Support")</f>
        <v>Admin Omni Support</v>
      </c>
    </row>
    <row r="12028">
      <c r="A12028" s="1" t="str">
        <f>IFERROR(__xludf.DUMMYFUNCTION("""COMPUTED_VALUE"""),"2026 Apr")</f>
        <v>2026 Apr</v>
      </c>
      <c r="B12028" s="4">
        <f>IFERROR(__xludf.DUMMYFUNCTION("""COMPUTED_VALUE"""),46132.0)</f>
        <v>46132</v>
      </c>
      <c r="C12028" s="1" t="str">
        <f>IFERROR(__xludf.DUMMYFUNCTION("""COMPUTED_VALUE"""),"Core Product Support")</f>
        <v>Core Product Support</v>
      </c>
      <c r="D12028" s="1" t="str">
        <f>IFERROR(__xludf.DUMMYFUNCTION("""COMPUTED_VALUE"""),"4ab45a4c-a376-4058-a184-5b3f466a5947")</f>
        <v>4ab45a4c-a376-4058-a184-5b3f466a5947</v>
      </c>
      <c r="E12028" s="1">
        <f>IFERROR(__xludf.DUMMYFUNCTION("""COMPUTED_VALUE"""),4.967084440335E12)</f>
        <v>4967084440335</v>
      </c>
      <c r="F12028" s="1"/>
      <c r="G12028" s="1">
        <f>IFERROR(__xludf.DUMMYFUNCTION("""COMPUTED_VALUE"""),1.25)</f>
        <v>1.25</v>
      </c>
      <c r="H12028" s="2">
        <f>IFERROR(__xludf.DUMMYFUNCTION("""COMPUTED_VALUE"""),1.25)</f>
        <v>1.25</v>
      </c>
      <c r="I12028" s="5">
        <f>IFERROR(__xludf.DUMMYFUNCTION("""COMPUTED_VALUE"""),1.0)</f>
        <v>1</v>
      </c>
      <c r="J12028" s="1" t="str">
        <f>IFERROR(__xludf.DUMMYFUNCTION("""COMPUTED_VALUE"""),"Ayza Marie Pascual")</f>
        <v>Ayza Marie Pascual</v>
      </c>
      <c r="K12028" s="1" t="str">
        <f>IFERROR(__xludf.DUMMYFUNCTION("""COMPUTED_VALUE"""),"Advanced Billing &amp; Subscriptions")</f>
        <v>Advanced Billing &amp; Subscriptions</v>
      </c>
      <c r="L12028" s="1" t="str">
        <f>IFERROR(__xludf.DUMMYFUNCTION("""COMPUTED_VALUE"""),"CPS Advanced Billing and Subscriptions (ABS)")</f>
        <v>CPS Advanced Billing and Subscriptions (ABS)</v>
      </c>
    </row>
    <row r="12029">
      <c r="A12029" s="1" t="str">
        <f>IFERROR(__xludf.DUMMYFUNCTION("""COMPUTED_VALUE"""),"2026 Apr")</f>
        <v>2026 Apr</v>
      </c>
      <c r="B12029" s="4">
        <f>IFERROR(__xludf.DUMMYFUNCTION("""COMPUTED_VALUE"""),46132.0)</f>
        <v>46132</v>
      </c>
      <c r="C12029" s="1" t="str">
        <f>IFERROR(__xludf.DUMMYFUNCTION("""COMPUTED_VALUE"""),"Print Support")</f>
        <v>Print Support</v>
      </c>
      <c r="D12029" s="1" t="str">
        <f>IFERROR(__xludf.DUMMYFUNCTION("""COMPUTED_VALUE"""),"73b91882-25ef-4c9c-8b6f-9152a825d832")</f>
        <v>73b91882-25ef-4c9c-8b6f-9152a825d832</v>
      </c>
      <c r="E12029" s="1">
        <f>IFERROR(__xludf.DUMMYFUNCTION("""COMPUTED_VALUE"""),3.61825397936E11)</f>
        <v>361825397936</v>
      </c>
      <c r="F12029" s="1"/>
      <c r="G12029" s="1"/>
      <c r="H12029" s="2">
        <f>IFERROR(__xludf.DUMMYFUNCTION("""COMPUTED_VALUE"""),0.0)</f>
        <v>0</v>
      </c>
      <c r="I12029" s="5"/>
      <c r="J12029" s="1" t="str">
        <f>IFERROR(__xludf.DUMMYFUNCTION("""COMPUTED_VALUE"""),"Jan Domingo")</f>
        <v>Jan Domingo</v>
      </c>
      <c r="K12029" s="1" t="str">
        <f>IFERROR(__xludf.DUMMYFUNCTION("""COMPUTED_VALUE"""),"Print Design Support")</f>
        <v>Print Design Support</v>
      </c>
      <c r="L12029" s="1" t="str">
        <f>IFERROR(__xludf.DUMMYFUNCTION("""COMPUTED_VALUE"""),"Print Print Design")</f>
        <v>Print Print Design</v>
      </c>
    </row>
    <row r="12030">
      <c r="A12030" s="1" t="str">
        <f>IFERROR(__xludf.DUMMYFUNCTION("""COMPUTED_VALUE"""),"2026 Apr")</f>
        <v>2026 Apr</v>
      </c>
      <c r="B12030" s="4">
        <f>IFERROR(__xludf.DUMMYFUNCTION("""COMPUTED_VALUE"""),46132.0)</f>
        <v>46132</v>
      </c>
      <c r="C12030" s="1" t="str">
        <f>IFERROR(__xludf.DUMMYFUNCTION("""COMPUTED_VALUE"""),"Core Product Support")</f>
        <v>Core Product Support</v>
      </c>
      <c r="D12030" s="1" t="str">
        <f>IFERROR(__xludf.DUMMYFUNCTION("""COMPUTED_VALUE"""),"75169e9a-969f-480f-aae4-eff49591cf56")</f>
        <v>75169e9a-969f-480f-aae4-eff49591cf56</v>
      </c>
      <c r="E12030" s="1"/>
      <c r="F12030" s="1"/>
      <c r="G12030" s="1">
        <f>IFERROR(__xludf.DUMMYFUNCTION("""COMPUTED_VALUE"""),1.25)</f>
        <v>1.25</v>
      </c>
      <c r="H12030" s="2">
        <f>IFERROR(__xludf.DUMMYFUNCTION("""COMPUTED_VALUE"""),1.25)</f>
        <v>1.25</v>
      </c>
      <c r="I12030" s="5">
        <f>IFERROR(__xludf.DUMMYFUNCTION("""COMPUTED_VALUE"""),1.0)</f>
        <v>1</v>
      </c>
      <c r="J12030" s="1" t="str">
        <f>IFERROR(__xludf.DUMMYFUNCTION("""COMPUTED_VALUE"""),"Belle Bentazal")</f>
        <v>Belle Bentazal</v>
      </c>
      <c r="K12030" s="1" t="str">
        <f>IFERROR(__xludf.DUMMYFUNCTION("""COMPUTED_VALUE"""),"Advanced Product Support")</f>
        <v>Advanced Product Support</v>
      </c>
      <c r="L12030" s="1" t="str">
        <f>IFERROR(__xludf.DUMMYFUNCTION("""COMPUTED_VALUE"""),"CPS Advanced Product Support (APS)")</f>
        <v>CPS Advanced Product Support (APS)</v>
      </c>
    </row>
    <row r="12031">
      <c r="A12031" s="1" t="str">
        <f>IFERROR(__xludf.DUMMYFUNCTION("""COMPUTED_VALUE"""),"2026 Apr")</f>
        <v>2026 Apr</v>
      </c>
      <c r="B12031" s="4">
        <f>IFERROR(__xludf.DUMMYFUNCTION("""COMPUTED_VALUE"""),46132.0)</f>
        <v>46132</v>
      </c>
      <c r="C12031" s="1" t="str">
        <f>IFERROR(__xludf.DUMMYFUNCTION("""COMPUTED_VALUE"""),"Core Product Support")</f>
        <v>Core Product Support</v>
      </c>
      <c r="D12031" s="1" t="str">
        <f>IFERROR(__xludf.DUMMYFUNCTION("""COMPUTED_VALUE"""),"d235389b-3321-47e0-9816-c2275d682304")</f>
        <v>d235389b-3321-47e0-9816-c2275d682304</v>
      </c>
      <c r="E12031" s="1">
        <f>IFERROR(__xludf.DUMMYFUNCTION("""COMPUTED_VALUE"""),5.202378916623E12)</f>
        <v>5202378916623</v>
      </c>
      <c r="F12031" s="1"/>
      <c r="G12031" s="1">
        <f>IFERROR(__xludf.DUMMYFUNCTION("""COMPUTED_VALUE"""),1.25)</f>
        <v>1.25</v>
      </c>
      <c r="H12031" s="2">
        <f>IFERROR(__xludf.DUMMYFUNCTION("""COMPUTED_VALUE"""),1.25)</f>
        <v>1.25</v>
      </c>
      <c r="I12031" s="5">
        <f>IFERROR(__xludf.DUMMYFUNCTION("""COMPUTED_VALUE"""),1.0)</f>
        <v>1</v>
      </c>
      <c r="J12031" s="1" t="str">
        <f>IFERROR(__xludf.DUMMYFUNCTION("""COMPUTED_VALUE"""),"Renette Bok")</f>
        <v>Renette Bok</v>
      </c>
      <c r="K12031" s="1" t="str">
        <f>IFERROR(__xludf.DUMMYFUNCTION("""COMPUTED_VALUE"""),"Advanced Billing &amp; Subscriptions")</f>
        <v>Advanced Billing &amp; Subscriptions</v>
      </c>
      <c r="L12031" s="1" t="str">
        <f>IFERROR(__xludf.DUMMYFUNCTION("""COMPUTED_VALUE"""),"CPS Advanced Billing and Subscriptions (ABS)")</f>
        <v>CPS Advanced Billing and Subscriptions (ABS)</v>
      </c>
    </row>
    <row r="12032">
      <c r="A12032" s="1" t="str">
        <f>IFERROR(__xludf.DUMMYFUNCTION("""COMPUTED_VALUE"""),"2026 Apr")</f>
        <v>2026 Apr</v>
      </c>
      <c r="B12032" s="4">
        <f>IFERROR(__xludf.DUMMYFUNCTION("""COMPUTED_VALUE"""),46132.0)</f>
        <v>46132</v>
      </c>
      <c r="C12032" s="1" t="str">
        <f>IFERROR(__xludf.DUMMYFUNCTION("""COMPUTED_VALUE"""),"Core Product Support")</f>
        <v>Core Product Support</v>
      </c>
      <c r="D12032" s="1" t="str">
        <f>IFERROR(__xludf.DUMMYFUNCTION("""COMPUTED_VALUE"""),"e5eebde5-1bdf-4fc4-a4e5-e5f13689363d")</f>
        <v>e5eebde5-1bdf-4fc4-a4e5-e5f13689363d</v>
      </c>
      <c r="E12032" s="1">
        <f>IFERROR(__xludf.DUMMYFUNCTION("""COMPUTED_VALUE"""),8.303581036047E12)</f>
        <v>8303581036047</v>
      </c>
      <c r="F12032" s="1"/>
      <c r="G12032" s="1">
        <f>IFERROR(__xludf.DUMMYFUNCTION("""COMPUTED_VALUE"""),1.25)</f>
        <v>1.25</v>
      </c>
      <c r="H12032" s="2">
        <f>IFERROR(__xludf.DUMMYFUNCTION("""COMPUTED_VALUE"""),1.25)</f>
        <v>1.25</v>
      </c>
      <c r="I12032" s="5">
        <f>IFERROR(__xludf.DUMMYFUNCTION("""COMPUTED_VALUE"""),1.0)</f>
        <v>1</v>
      </c>
      <c r="J12032" s="1" t="str">
        <f>IFERROR(__xludf.DUMMYFUNCTION("""COMPUTED_VALUE"""),"Belle Bentazal")</f>
        <v>Belle Bentazal</v>
      </c>
      <c r="K12032" s="1" t="str">
        <f>IFERROR(__xludf.DUMMYFUNCTION("""COMPUTED_VALUE"""),"Advanced Product Support")</f>
        <v>Advanced Product Support</v>
      </c>
      <c r="L12032" s="1" t="str">
        <f>IFERROR(__xludf.DUMMYFUNCTION("""COMPUTED_VALUE"""),"CPS Advanced Product Support (APS)")</f>
        <v>CPS Advanced Product Support (APS)</v>
      </c>
    </row>
    <row r="12033">
      <c r="A12033" s="1" t="str">
        <f>IFERROR(__xludf.DUMMYFUNCTION("""COMPUTED_VALUE"""),"2026 Apr")</f>
        <v>2026 Apr</v>
      </c>
      <c r="B12033" s="4">
        <f>IFERROR(__xludf.DUMMYFUNCTION("""COMPUTED_VALUE"""),46132.0)</f>
        <v>46132</v>
      </c>
      <c r="C12033" s="1" t="str">
        <f>IFERROR(__xludf.DUMMYFUNCTION("""COMPUTED_VALUE"""),"Admin Support")</f>
        <v>Admin Support</v>
      </c>
      <c r="D12033" s="1" t="str">
        <f>IFERROR(__xludf.DUMMYFUNCTION("""COMPUTED_VALUE"""),"bb9992e4-86b4-4be4-9177-e09f03299559")</f>
        <v>bb9992e4-86b4-4be4-9177-e09f03299559</v>
      </c>
      <c r="E12033" s="1">
        <f>IFERROR(__xludf.DUMMYFUNCTION("""COMPUTED_VALUE"""),3.61724830696E11)</f>
        <v>361724830696</v>
      </c>
      <c r="F12033" s="1"/>
      <c r="G12033" s="1">
        <f>IFERROR(__xludf.DUMMYFUNCTION("""COMPUTED_VALUE"""),0.25)</f>
        <v>0.25</v>
      </c>
      <c r="H12033" s="2">
        <f>IFERROR(__xludf.DUMMYFUNCTION("""COMPUTED_VALUE"""),0.25)</f>
        <v>0.25</v>
      </c>
      <c r="I12033" s="5">
        <f>IFERROR(__xludf.DUMMYFUNCTION("""COMPUTED_VALUE"""),1.0)</f>
        <v>1</v>
      </c>
      <c r="J12033" s="1" t="str">
        <f>IFERROR(__xludf.DUMMYFUNCTION("""COMPUTED_VALUE"""),"Kelden Laguting")</f>
        <v>Kelden Laguting</v>
      </c>
      <c r="K12033" s="1" t="str">
        <f>IFERROR(__xludf.DUMMYFUNCTION("""COMPUTED_VALUE"""),"Admin Omni Support")</f>
        <v>Admin Omni Support</v>
      </c>
      <c r="L12033" s="1" t="str">
        <f>IFERROR(__xludf.DUMMYFUNCTION("""COMPUTED_VALUE"""),"Admin Omni Support")</f>
        <v>Admin Omni Support</v>
      </c>
    </row>
    <row r="12034">
      <c r="A12034" s="1" t="str">
        <f>IFERROR(__xludf.DUMMYFUNCTION("""COMPUTED_VALUE"""),"2026 Apr")</f>
        <v>2026 Apr</v>
      </c>
      <c r="B12034" s="4">
        <f>IFERROR(__xludf.DUMMYFUNCTION("""COMPUTED_VALUE"""),46132.0)</f>
        <v>46132</v>
      </c>
      <c r="C12034" s="1" t="str">
        <f>IFERROR(__xludf.DUMMYFUNCTION("""COMPUTED_VALUE"""),"Core Product Support")</f>
        <v>Core Product Support</v>
      </c>
      <c r="D12034" s="1" t="str">
        <f>IFERROR(__xludf.DUMMYFUNCTION("""COMPUTED_VALUE"""),"1fa942bd-1815-4054-9636-810d3c7d937c")</f>
        <v>1fa942bd-1815-4054-9636-810d3c7d937c</v>
      </c>
      <c r="E12034" s="1">
        <f>IFERROR(__xludf.DUMMYFUNCTION("""COMPUTED_VALUE"""),3.61731348455E11)</f>
        <v>361731348455</v>
      </c>
      <c r="F12034" s="1"/>
      <c r="G12034" s="1">
        <f>IFERROR(__xludf.DUMMYFUNCTION("""COMPUTED_VALUE"""),2.5)</f>
        <v>2.5</v>
      </c>
      <c r="H12034" s="2">
        <f>IFERROR(__xludf.DUMMYFUNCTION("""COMPUTED_VALUE"""),2.5)</f>
        <v>2.5</v>
      </c>
      <c r="I12034" s="5">
        <f>IFERROR(__xludf.DUMMYFUNCTION("""COMPUTED_VALUE"""),1.0)</f>
        <v>1</v>
      </c>
      <c r="J12034" s="1" t="str">
        <f>IFERROR(__xludf.DUMMYFUNCTION("""COMPUTED_VALUE"""),"Sieg Ballelos")</f>
        <v>Sieg Ballelos</v>
      </c>
      <c r="K12034" s="1" t="str">
        <f>IFERROR(__xludf.DUMMYFUNCTION("""COMPUTED_VALUE"""),"Core Product Support Escalation Team")</f>
        <v>Core Product Support Escalation Team</v>
      </c>
      <c r="L12034"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2035">
      <c r="A12035" s="1" t="str">
        <f>IFERROR(__xludf.DUMMYFUNCTION("""COMPUTED_VALUE"""),"2026 Apr")</f>
        <v>2026 Apr</v>
      </c>
      <c r="B12035" s="4">
        <f>IFERROR(__xludf.DUMMYFUNCTION("""COMPUTED_VALUE"""),46132.0)</f>
        <v>46132</v>
      </c>
      <c r="C12035" s="1" t="str">
        <f>IFERROR(__xludf.DUMMYFUNCTION("""COMPUTED_VALUE"""),"Core Product Support")</f>
        <v>Core Product Support</v>
      </c>
      <c r="D12035" s="1" t="str">
        <f>IFERROR(__xludf.DUMMYFUNCTION("""COMPUTED_VALUE"""),"b366931c-0597-40c7-babb-0a89ffc75e01")</f>
        <v>b366931c-0597-40c7-babb-0a89ffc75e01</v>
      </c>
      <c r="E12035" s="1"/>
      <c r="F12035" s="1"/>
      <c r="G12035" s="1">
        <f>IFERROR(__xludf.DUMMYFUNCTION("""COMPUTED_VALUE"""),1.25)</f>
        <v>1.25</v>
      </c>
      <c r="H12035" s="2">
        <f>IFERROR(__xludf.DUMMYFUNCTION("""COMPUTED_VALUE"""),1.25)</f>
        <v>1.25</v>
      </c>
      <c r="I12035" s="5">
        <f>IFERROR(__xludf.DUMMYFUNCTION("""COMPUTED_VALUE"""),1.0)</f>
        <v>1</v>
      </c>
      <c r="J12035" s="1" t="str">
        <f>IFERROR(__xludf.DUMMYFUNCTION("""COMPUTED_VALUE"""),"Cherry Macam")</f>
        <v>Cherry Macam</v>
      </c>
      <c r="K12035" s="1" t="str">
        <f>IFERROR(__xludf.DUMMYFUNCTION("""COMPUTED_VALUE"""),"Advanced Billing &amp; Subscriptions")</f>
        <v>Advanced Billing &amp; Subscriptions</v>
      </c>
      <c r="L12035" s="1" t="str">
        <f>IFERROR(__xludf.DUMMYFUNCTION("""COMPUTED_VALUE"""),"CPS Advanced Billing and Subscriptions (ABS)")</f>
        <v>CPS Advanced Billing and Subscriptions (ABS)</v>
      </c>
    </row>
    <row r="12036">
      <c r="A12036" s="1" t="str">
        <f>IFERROR(__xludf.DUMMYFUNCTION("""COMPUTED_VALUE"""),"2026 Apr")</f>
        <v>2026 Apr</v>
      </c>
      <c r="B12036" s="4">
        <f>IFERROR(__xludf.DUMMYFUNCTION("""COMPUTED_VALUE"""),46132.0)</f>
        <v>46132</v>
      </c>
      <c r="C12036" s="1" t="str">
        <f>IFERROR(__xludf.DUMMYFUNCTION("""COMPUTED_VALUE"""),"Core Product Support")</f>
        <v>Core Product Support</v>
      </c>
      <c r="D12036" s="1" t="str">
        <f>IFERROR(__xludf.DUMMYFUNCTION("""COMPUTED_VALUE"""),"d8cafb49-0513-4066-8298-8198c1c303c8")</f>
        <v>d8cafb49-0513-4066-8298-8198c1c303c8</v>
      </c>
      <c r="E12036" s="1">
        <f>IFERROR(__xludf.DUMMYFUNCTION("""COMPUTED_VALUE"""),5.566859239951E12)</f>
        <v>5566859239951</v>
      </c>
      <c r="F12036" s="1"/>
      <c r="G12036" s="1">
        <f>IFERROR(__xludf.DUMMYFUNCTION("""COMPUTED_VALUE"""),1.25)</f>
        <v>1.25</v>
      </c>
      <c r="H12036" s="2">
        <f>IFERROR(__xludf.DUMMYFUNCTION("""COMPUTED_VALUE"""),1.25)</f>
        <v>1.25</v>
      </c>
      <c r="I12036" s="5">
        <f>IFERROR(__xludf.DUMMYFUNCTION("""COMPUTED_VALUE"""),1.0)</f>
        <v>1</v>
      </c>
      <c r="J12036" s="1" t="str">
        <f>IFERROR(__xludf.DUMMYFUNCTION("""COMPUTED_VALUE"""),"Jahmie Mae Barrameda")</f>
        <v>Jahmie Mae Barrameda</v>
      </c>
      <c r="K12036" s="1" t="str">
        <f>IFERROR(__xludf.DUMMYFUNCTION("""COMPUTED_VALUE"""),"Advanced Billing &amp; Subscriptions")</f>
        <v>Advanced Billing &amp; Subscriptions</v>
      </c>
      <c r="L12036" s="1" t="str">
        <f>IFERROR(__xludf.DUMMYFUNCTION("""COMPUTED_VALUE"""),"CPS Advanced Billing and Subscriptions (ABS)")</f>
        <v>CPS Advanced Billing and Subscriptions (ABS)</v>
      </c>
    </row>
    <row r="12037">
      <c r="A12037" s="1" t="str">
        <f>IFERROR(__xludf.DUMMYFUNCTION("""COMPUTED_VALUE"""),"2026 Apr")</f>
        <v>2026 Apr</v>
      </c>
      <c r="B12037" s="4">
        <f>IFERROR(__xludf.DUMMYFUNCTION("""COMPUTED_VALUE"""),46132.0)</f>
        <v>46132</v>
      </c>
      <c r="C12037" s="1" t="str">
        <f>IFERROR(__xludf.DUMMYFUNCTION("""COMPUTED_VALUE"""),"Print Support")</f>
        <v>Print Support</v>
      </c>
      <c r="D12037" s="1" t="str">
        <f>IFERROR(__xludf.DUMMYFUNCTION("""COMPUTED_VALUE"""),"b38dd32d-e840-4454-9bff-9270032e26ec")</f>
        <v>b38dd32d-e840-4454-9bff-9270032e26ec</v>
      </c>
      <c r="E12037" s="1">
        <f>IFERROR(__xludf.DUMMYFUNCTION("""COMPUTED_VALUE"""),1.1279671882767E13)</f>
        <v>11279671882767</v>
      </c>
      <c r="F12037" s="1"/>
      <c r="G12037" s="1"/>
      <c r="H12037" s="2">
        <f>IFERROR(__xludf.DUMMYFUNCTION("""COMPUTED_VALUE"""),0.0)</f>
        <v>0</v>
      </c>
      <c r="I12037" s="5"/>
      <c r="J12037" s="1" t="str">
        <f>IFERROR(__xludf.DUMMYFUNCTION("""COMPUTED_VALUE"""),"Jen Momo")</f>
        <v>Jen Momo</v>
      </c>
      <c r="K12037" s="1" t="str">
        <f>IFERROR(__xludf.DUMMYFUNCTION("""COMPUTED_VALUE"""),"Print Support PH")</f>
        <v>Print Support PH</v>
      </c>
      <c r="L12037" s="1" t="str">
        <f>IFERROR(__xludf.DUMMYFUNCTION("""COMPUTED_VALUE"""),"Print Print - CHT")</f>
        <v>Print Print - CHT</v>
      </c>
    </row>
    <row r="12038">
      <c r="A12038" s="1" t="str">
        <f>IFERROR(__xludf.DUMMYFUNCTION("""COMPUTED_VALUE"""),"2026 Apr")</f>
        <v>2026 Apr</v>
      </c>
      <c r="B12038" s="4">
        <f>IFERROR(__xludf.DUMMYFUNCTION("""COMPUTED_VALUE"""),46132.0)</f>
        <v>46132</v>
      </c>
      <c r="C12038" s="1" t="str">
        <f>IFERROR(__xludf.DUMMYFUNCTION("""COMPUTED_VALUE"""),"Segment-specific Support")</f>
        <v>Segment-specific Support</v>
      </c>
      <c r="D12038" s="1" t="str">
        <f>IFERROR(__xludf.DUMMYFUNCTION("""COMPUTED_VALUE"""),"f6ab909a-8fae-4139-af23-d06c28a32b8c")</f>
        <v>f6ab909a-8fae-4139-af23-d06c28a32b8c</v>
      </c>
      <c r="E12038" s="1">
        <f>IFERROR(__xludf.DUMMYFUNCTION("""COMPUTED_VALUE"""),3.61724667376E11)</f>
        <v>361724667376</v>
      </c>
      <c r="F12038" s="1"/>
      <c r="G12038" s="1"/>
      <c r="H12038" s="2">
        <f>IFERROR(__xludf.DUMMYFUNCTION("""COMPUTED_VALUE"""),0.0)</f>
        <v>0</v>
      </c>
      <c r="I12038" s="5"/>
      <c r="J12038" s="1" t="str">
        <f>IFERROR(__xludf.DUMMYFUNCTION("""COMPUTED_VALUE"""),"Gucci Nava")</f>
        <v>Gucci Nava</v>
      </c>
      <c r="K12038" s="1" t="str">
        <f>IFERROR(__xludf.DUMMYFUNCTION("""COMPUTED_VALUE"""),"Affinity Support")</f>
        <v>Affinity Support</v>
      </c>
      <c r="L12038" s="1" t="str">
        <f>IFERROR(__xludf.DUMMYFUNCTION("""COMPUTED_VALUE"""),"SSS Affinity - L1")</f>
        <v>SSS Affinity - L1</v>
      </c>
    </row>
    <row r="12039">
      <c r="A12039" s="1" t="str">
        <f>IFERROR(__xludf.DUMMYFUNCTION("""COMPUTED_VALUE"""),"2026 Apr")</f>
        <v>2026 Apr</v>
      </c>
      <c r="B12039" s="4">
        <f>IFERROR(__xludf.DUMMYFUNCTION("""COMPUTED_VALUE"""),46132.0)</f>
        <v>46132</v>
      </c>
      <c r="C12039" s="1" t="str">
        <f>IFERROR(__xludf.DUMMYFUNCTION("""COMPUTED_VALUE"""),"High Sensitivity Support")</f>
        <v>High Sensitivity Support</v>
      </c>
      <c r="D12039" s="1" t="str">
        <f>IFERROR(__xludf.DUMMYFUNCTION("""COMPUTED_VALUE"""),"0bb396c0-8b48-4382-addc-66818b7167ec")</f>
        <v>0bb396c0-8b48-4382-addc-66818b7167ec</v>
      </c>
      <c r="E12039" s="1">
        <f>IFERROR(__xludf.DUMMYFUNCTION("""COMPUTED_VALUE"""),5.566867976335E12)</f>
        <v>5566867976335</v>
      </c>
      <c r="F12039" s="1"/>
      <c r="G12039" s="1"/>
      <c r="H12039" s="2">
        <f>IFERROR(__xludf.DUMMYFUNCTION("""COMPUTED_VALUE"""),0.0)</f>
        <v>0</v>
      </c>
      <c r="I12039" s="5"/>
      <c r="J12039" s="1" t="str">
        <f>IFERROR(__xludf.DUMMYFUNCTION("""COMPUTED_VALUE"""),"Issi Afable")</f>
        <v>Issi Afable</v>
      </c>
      <c r="K12039" s="1" t="str">
        <f>IFERROR(__xludf.DUMMYFUNCTION("""COMPUTED_VALUE"""),"High Sensitivity Support PH")</f>
        <v>High Sensitivity Support PH</v>
      </c>
      <c r="L12039" s="1" t="str">
        <f>IFERROR(__xludf.DUMMYFUNCTION("""COMPUTED_VALUE"""),"HSS High Sensitivity Support PH - SEE")</f>
        <v>HSS High Sensitivity Support PH - SEE</v>
      </c>
    </row>
    <row r="12040">
      <c r="A12040" s="1" t="str">
        <f>IFERROR(__xludf.DUMMYFUNCTION("""COMPUTED_VALUE"""),"2026 Apr")</f>
        <v>2026 Apr</v>
      </c>
      <c r="B12040" s="4">
        <f>IFERROR(__xludf.DUMMYFUNCTION("""COMPUTED_VALUE"""),46132.0)</f>
        <v>46132</v>
      </c>
      <c r="C12040" s="1" t="str">
        <f>IFERROR(__xludf.DUMMYFUNCTION("""COMPUTED_VALUE"""),"Print Support")</f>
        <v>Print Support</v>
      </c>
      <c r="D12040" s="1" t="str">
        <f>IFERROR(__xludf.DUMMYFUNCTION("""COMPUTED_VALUE"""),"bfafe2d2-bab4-4d76-87e0-5b42d5285805")</f>
        <v>bfafe2d2-bab4-4d76-87e0-5b42d5285805</v>
      </c>
      <c r="E12040" s="1">
        <f>IFERROR(__xludf.DUMMYFUNCTION("""COMPUTED_VALUE"""),5.202379009423E12)</f>
        <v>5202379009423</v>
      </c>
      <c r="F12040" s="1"/>
      <c r="G12040" s="1"/>
      <c r="H12040" s="2">
        <f>IFERROR(__xludf.DUMMYFUNCTION("""COMPUTED_VALUE"""),0.0)</f>
        <v>0</v>
      </c>
      <c r="I12040" s="5"/>
      <c r="J12040" s="1" t="str">
        <f>IFERROR(__xludf.DUMMYFUNCTION("""COMPUTED_VALUE"""),"Althea Mercado")</f>
        <v>Althea Mercado</v>
      </c>
      <c r="K12040" s="1" t="str">
        <f>IFERROR(__xludf.DUMMYFUNCTION("""COMPUTED_VALUE"""),"Print Support PH")</f>
        <v>Print Support PH</v>
      </c>
      <c r="L12040" s="1" t="str">
        <f>IFERROR(__xludf.DUMMYFUNCTION("""COMPUTED_VALUE"""),"Print Print - CHT")</f>
        <v>Print Print - CHT</v>
      </c>
    </row>
    <row r="12041">
      <c r="A12041" s="1" t="str">
        <f>IFERROR(__xludf.DUMMYFUNCTION("""COMPUTED_VALUE"""),"2026 Apr")</f>
        <v>2026 Apr</v>
      </c>
      <c r="B12041" s="4">
        <f>IFERROR(__xludf.DUMMYFUNCTION("""COMPUTED_VALUE"""),46132.0)</f>
        <v>46132</v>
      </c>
      <c r="C12041" s="1" t="str">
        <f>IFERROR(__xludf.DUMMYFUNCTION("""COMPUTED_VALUE"""),"Segment-specific Support")</f>
        <v>Segment-specific Support</v>
      </c>
      <c r="D12041" s="1" t="str">
        <f>IFERROR(__xludf.DUMMYFUNCTION("""COMPUTED_VALUE"""),"b90f8a46-e368-46ef-b5dc-431b192c7ebd")</f>
        <v>b90f8a46-e368-46ef-b5dc-431b192c7ebd</v>
      </c>
      <c r="E12041" s="1"/>
      <c r="F12041" s="1"/>
      <c r="G12041" s="1"/>
      <c r="H12041" s="2">
        <f>IFERROR(__xludf.DUMMYFUNCTION("""COMPUTED_VALUE"""),0.0)</f>
        <v>0</v>
      </c>
      <c r="I12041" s="5"/>
      <c r="J12041" s="1" t="str">
        <f>IFERROR(__xludf.DUMMYFUNCTION("""COMPUTED_VALUE"""),"Leigh Davison")</f>
        <v>Leigh Davison</v>
      </c>
      <c r="K12041" s="1" t="str">
        <f>IFERROR(__xludf.DUMMYFUNCTION("""COMPUTED_VALUE"""),"#N/A")</f>
        <v>#N/A</v>
      </c>
      <c r="L12041" s="1"/>
    </row>
    <row r="12042">
      <c r="A12042" s="1" t="str">
        <f>IFERROR(__xludf.DUMMYFUNCTION("""COMPUTED_VALUE"""),"2026 Apr")</f>
        <v>2026 Apr</v>
      </c>
      <c r="B12042" s="4">
        <f>IFERROR(__xludf.DUMMYFUNCTION("""COMPUTED_VALUE"""),46132.0)</f>
        <v>46132</v>
      </c>
      <c r="C12042" s="1" t="str">
        <f>IFERROR(__xludf.DUMMYFUNCTION("""COMPUTED_VALUE"""),"Core Product Support")</f>
        <v>Core Product Support</v>
      </c>
      <c r="D12042" s="1" t="str">
        <f>IFERROR(__xludf.DUMMYFUNCTION("""COMPUTED_VALUE"""),"c0f3492c-b6e0-4663-88e9-07ef49890f6a")</f>
        <v>c0f3492c-b6e0-4663-88e9-07ef49890f6a</v>
      </c>
      <c r="E12042" s="1">
        <f>IFERROR(__xludf.DUMMYFUNCTION("""COMPUTED_VALUE"""),7.437401161487E12)</f>
        <v>7437401161487</v>
      </c>
      <c r="F12042" s="1"/>
      <c r="G12042" s="1">
        <f>IFERROR(__xludf.DUMMYFUNCTION("""COMPUTED_VALUE"""),1.25)</f>
        <v>1.25</v>
      </c>
      <c r="H12042" s="2">
        <f>IFERROR(__xludf.DUMMYFUNCTION("""COMPUTED_VALUE"""),1.25)</f>
        <v>1.25</v>
      </c>
      <c r="I12042" s="5">
        <f>IFERROR(__xludf.DUMMYFUNCTION("""COMPUTED_VALUE"""),1.0)</f>
        <v>1</v>
      </c>
      <c r="J12042" s="1" t="str">
        <f>IFERROR(__xludf.DUMMYFUNCTION("""COMPUTED_VALUE"""),"Renette Bok")</f>
        <v>Renette Bok</v>
      </c>
      <c r="K12042" s="1" t="str">
        <f>IFERROR(__xludf.DUMMYFUNCTION("""COMPUTED_VALUE"""),"Advanced Billing &amp; Subscriptions")</f>
        <v>Advanced Billing &amp; Subscriptions</v>
      </c>
      <c r="L12042" s="1" t="str">
        <f>IFERROR(__xludf.DUMMYFUNCTION("""COMPUTED_VALUE"""),"CPS Advanced Billing and Subscriptions (ABS)")</f>
        <v>CPS Advanced Billing and Subscriptions (ABS)</v>
      </c>
    </row>
    <row r="12043">
      <c r="A12043" s="1" t="str">
        <f>IFERROR(__xludf.DUMMYFUNCTION("""COMPUTED_VALUE"""),"2026 Apr")</f>
        <v>2026 Apr</v>
      </c>
      <c r="B12043" s="4">
        <f>IFERROR(__xludf.DUMMYFUNCTION("""COMPUTED_VALUE"""),46132.0)</f>
        <v>46132</v>
      </c>
      <c r="C12043" s="1" t="str">
        <f>IFERROR(__xludf.DUMMYFUNCTION("""COMPUTED_VALUE"""),"Core Product Support")</f>
        <v>Core Product Support</v>
      </c>
      <c r="D12043" s="1" t="str">
        <f>IFERROR(__xludf.DUMMYFUNCTION("""COMPUTED_VALUE"""),"3335501a-b303-4b1b-b874-e502875b9c00")</f>
        <v>3335501a-b303-4b1b-b874-e502875b9c00</v>
      </c>
      <c r="E12043" s="1">
        <f>IFERROR(__xludf.DUMMYFUNCTION("""COMPUTED_VALUE"""),5.901973624079E12)</f>
        <v>5901973624079</v>
      </c>
      <c r="F12043" s="1"/>
      <c r="G12043" s="1"/>
      <c r="H12043" s="2">
        <f>IFERROR(__xludf.DUMMYFUNCTION("""COMPUTED_VALUE"""),0.0)</f>
        <v>0</v>
      </c>
      <c r="I12043" s="5"/>
      <c r="J12043" s="1" t="str">
        <f>IFERROR(__xludf.DUMMYFUNCTION("""COMPUTED_VALUE"""),"Jelyn Elmido")</f>
        <v>Jelyn Elmido</v>
      </c>
      <c r="K12043" s="1" t="str">
        <f>IFERROR(__xludf.DUMMYFUNCTION("""COMPUTED_VALUE"""),"Core Product Support Escalation Team")</f>
        <v>Core Product Support Escalation Team</v>
      </c>
      <c r="L12043"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2044">
      <c r="A12044" s="1" t="str">
        <f>IFERROR(__xludf.DUMMYFUNCTION("""COMPUTED_VALUE"""),"2026 Apr")</f>
        <v>2026 Apr</v>
      </c>
      <c r="B12044" s="4">
        <f>IFERROR(__xludf.DUMMYFUNCTION("""COMPUTED_VALUE"""),46132.0)</f>
        <v>46132</v>
      </c>
      <c r="C12044" s="1" t="str">
        <f>IFERROR(__xludf.DUMMYFUNCTION("""COMPUTED_VALUE"""),"Print Support")</f>
        <v>Print Support</v>
      </c>
      <c r="D12044" s="1" t="str">
        <f>IFERROR(__xludf.DUMMYFUNCTION("""COMPUTED_VALUE"""),"81f19830-f845-4879-96ee-0654dc8f6f68")</f>
        <v>81f19830-f845-4879-96ee-0654dc8f6f68</v>
      </c>
      <c r="E12044" s="1">
        <f>IFERROR(__xludf.DUMMYFUNCTION("""COMPUTED_VALUE"""),3.61750058635E11)</f>
        <v>361750058635</v>
      </c>
      <c r="F12044" s="1"/>
      <c r="G12044" s="1"/>
      <c r="H12044" s="2">
        <f>IFERROR(__xludf.DUMMYFUNCTION("""COMPUTED_VALUE"""),0.0)</f>
        <v>0</v>
      </c>
      <c r="I12044" s="5"/>
      <c r="J12044" s="1" t="str">
        <f>IFERROR(__xludf.DUMMYFUNCTION("""COMPUTED_VALUE"""),"Louise Dianne Estrella")</f>
        <v>Louise Dianne Estrella</v>
      </c>
      <c r="K12044" s="1" t="str">
        <f>IFERROR(__xludf.DUMMYFUNCTION("""COMPUTED_VALUE"""),"Print Support PH")</f>
        <v>Print Support PH</v>
      </c>
      <c r="L12044" s="1" t="str">
        <f>IFERROR(__xludf.DUMMYFUNCTION("""COMPUTED_VALUE"""),"Print Print - CHT")</f>
        <v>Print Print - CHT</v>
      </c>
    </row>
    <row r="12045">
      <c r="A12045" s="1" t="str">
        <f>IFERROR(__xludf.DUMMYFUNCTION("""COMPUTED_VALUE"""),"2026 Apr")</f>
        <v>2026 Apr</v>
      </c>
      <c r="B12045" s="4">
        <f>IFERROR(__xludf.DUMMYFUNCTION("""COMPUTED_VALUE"""),46132.0)</f>
        <v>46132</v>
      </c>
      <c r="C12045" s="1" t="str">
        <f>IFERROR(__xludf.DUMMYFUNCTION("""COMPUTED_VALUE"""),"Core Product Support")</f>
        <v>Core Product Support</v>
      </c>
      <c r="D12045" s="1" t="str">
        <f>IFERROR(__xludf.DUMMYFUNCTION("""COMPUTED_VALUE"""),"2e981db7-61ee-4b53-aef6-4c4cc65464d7")</f>
        <v>2e981db7-61ee-4b53-aef6-4c4cc65464d7</v>
      </c>
      <c r="E12045" s="1">
        <f>IFERROR(__xludf.DUMMYFUNCTION("""COMPUTED_VALUE"""),8.904435850895E12)</f>
        <v>8904435850895</v>
      </c>
      <c r="F12045" s="1"/>
      <c r="G12045" s="1">
        <f>IFERROR(__xludf.DUMMYFUNCTION("""COMPUTED_VALUE"""),1.25)</f>
        <v>1.25</v>
      </c>
      <c r="H12045" s="2">
        <f>IFERROR(__xludf.DUMMYFUNCTION("""COMPUTED_VALUE"""),1.25)</f>
        <v>1.25</v>
      </c>
      <c r="I12045" s="5">
        <f>IFERROR(__xludf.DUMMYFUNCTION("""COMPUTED_VALUE"""),1.0)</f>
        <v>1</v>
      </c>
      <c r="J12045" s="1" t="str">
        <f>IFERROR(__xludf.DUMMYFUNCTION("""COMPUTED_VALUE"""),"Mikhaela Decangchon")</f>
        <v>Mikhaela Decangchon</v>
      </c>
      <c r="K12045" s="1" t="str">
        <f>IFERROR(__xludf.DUMMYFUNCTION("""COMPUTED_VALUE"""),"Advanced Product Support")</f>
        <v>Advanced Product Support</v>
      </c>
      <c r="L12045" s="1" t="str">
        <f>IFERROR(__xludf.DUMMYFUNCTION("""COMPUTED_VALUE"""),"CPS Advanced Product Support (APS)")</f>
        <v>CPS Advanced Product Support (APS)</v>
      </c>
    </row>
    <row r="12046">
      <c r="A12046" s="1" t="str">
        <f>IFERROR(__xludf.DUMMYFUNCTION("""COMPUTED_VALUE"""),"2026 Apr")</f>
        <v>2026 Apr</v>
      </c>
      <c r="B12046" s="4">
        <f>IFERROR(__xludf.DUMMYFUNCTION("""COMPUTED_VALUE"""),46132.0)</f>
        <v>46132</v>
      </c>
      <c r="C12046" s="1" t="str">
        <f>IFERROR(__xludf.DUMMYFUNCTION("""COMPUTED_VALUE"""),"Segment-specific Support")</f>
        <v>Segment-specific Support</v>
      </c>
      <c r="D12046" s="1" t="str">
        <f>IFERROR(__xludf.DUMMYFUNCTION("""COMPUTED_VALUE"""),"a9175f4e-c2a3-4f80-bd6c-76adc2cfcef8")</f>
        <v>a9175f4e-c2a3-4f80-bd6c-76adc2cfcef8</v>
      </c>
      <c r="E12046" s="1">
        <f>IFERROR(__xludf.DUMMYFUNCTION("""COMPUTED_VALUE"""),5.359144633743E12)</f>
        <v>5359144633743</v>
      </c>
      <c r="F12046" s="1"/>
      <c r="G12046" s="1"/>
      <c r="H12046" s="2">
        <f>IFERROR(__xludf.DUMMYFUNCTION("""COMPUTED_VALUE"""),0.0)</f>
        <v>0</v>
      </c>
      <c r="I12046" s="5"/>
      <c r="J12046" s="1" t="str">
        <f>IFERROR(__xludf.DUMMYFUNCTION("""COMPUTED_VALUE"""),"Rose Gabilan")</f>
        <v>Rose Gabilan</v>
      </c>
      <c r="K12046" s="1" t="str">
        <f>IFERROR(__xludf.DUMMYFUNCTION("""COMPUTED_VALUE"""),"Affinity Support")</f>
        <v>Affinity Support</v>
      </c>
      <c r="L12046" s="1" t="str">
        <f>IFERROR(__xludf.DUMMYFUNCTION("""COMPUTED_VALUE"""),"SSS Affinity - L1")</f>
        <v>SSS Affinity - L1</v>
      </c>
    </row>
    <row r="12047">
      <c r="A12047" s="1" t="str">
        <f>IFERROR(__xludf.DUMMYFUNCTION("""COMPUTED_VALUE"""),"2026 Apr")</f>
        <v>2026 Apr</v>
      </c>
      <c r="B12047" s="4">
        <f>IFERROR(__xludf.DUMMYFUNCTION("""COMPUTED_VALUE"""),46132.0)</f>
        <v>46132</v>
      </c>
      <c r="C12047" s="1" t="str">
        <f>IFERROR(__xludf.DUMMYFUNCTION("""COMPUTED_VALUE"""),"Segment-specific Support")</f>
        <v>Segment-specific Support</v>
      </c>
      <c r="D12047" s="1" t="str">
        <f>IFERROR(__xludf.DUMMYFUNCTION("""COMPUTED_VALUE"""),"c099fecd-f2e4-4b33-8ba3-1c6779033d42")</f>
        <v>c099fecd-f2e4-4b33-8ba3-1c6779033d42</v>
      </c>
      <c r="E12047" s="1">
        <f>IFERROR(__xludf.DUMMYFUNCTION("""COMPUTED_VALUE"""),5.901988081807E12)</f>
        <v>5901988081807</v>
      </c>
      <c r="F12047" s="1"/>
      <c r="G12047" s="1"/>
      <c r="H12047" s="2">
        <f>IFERROR(__xludf.DUMMYFUNCTION("""COMPUTED_VALUE"""),0.0)</f>
        <v>0</v>
      </c>
      <c r="I12047" s="5"/>
      <c r="J12047" s="1" t="str">
        <f>IFERROR(__xludf.DUMMYFUNCTION("""COMPUTED_VALUE"""),"Gucci Nava")</f>
        <v>Gucci Nava</v>
      </c>
      <c r="K12047" s="1" t="str">
        <f>IFERROR(__xludf.DUMMYFUNCTION("""COMPUTED_VALUE"""),"Print Support PH")</f>
        <v>Print Support PH</v>
      </c>
      <c r="L12047" s="1" t="str">
        <f>IFERROR(__xludf.DUMMYFUNCTION("""COMPUTED_VALUE"""),"Print Print - CHT")</f>
        <v>Print Print - CHT</v>
      </c>
    </row>
    <row r="12048">
      <c r="A12048" s="1" t="str">
        <f>IFERROR(__xludf.DUMMYFUNCTION("""COMPUTED_VALUE"""),"2026 Apr")</f>
        <v>2026 Apr</v>
      </c>
      <c r="B12048" s="4">
        <f>IFERROR(__xludf.DUMMYFUNCTION("""COMPUTED_VALUE"""),46132.0)</f>
        <v>46132</v>
      </c>
      <c r="C12048" s="1" t="str">
        <f>IFERROR(__xludf.DUMMYFUNCTION("""COMPUTED_VALUE"""),"Print Support")</f>
        <v>Print Support</v>
      </c>
      <c r="D12048" s="1" t="str">
        <f>IFERROR(__xludf.DUMMYFUNCTION("""COMPUTED_VALUE"""),"f49619b0-d053-442f-946d-b652dbfb2703")</f>
        <v>f49619b0-d053-442f-946d-b652dbfb2703</v>
      </c>
      <c r="E12048" s="1"/>
      <c r="F12048" s="1"/>
      <c r="G12048" s="1"/>
      <c r="H12048" s="2">
        <f>IFERROR(__xludf.DUMMYFUNCTION("""COMPUTED_VALUE"""),0.0)</f>
        <v>0</v>
      </c>
      <c r="I12048" s="5"/>
      <c r="J12048" s="1" t="str">
        <f>IFERROR(__xludf.DUMMYFUNCTION("""COMPUTED_VALUE"""),"Aliza Dote")</f>
        <v>Aliza Dote</v>
      </c>
      <c r="K12048" s="1" t="str">
        <f>IFERROR(__xludf.DUMMYFUNCTION("""COMPUTED_VALUE"""),"Print Design Support")</f>
        <v>Print Design Support</v>
      </c>
      <c r="L12048" s="1" t="str">
        <f>IFERROR(__xludf.DUMMYFUNCTION("""COMPUTED_VALUE"""),"Print Print Design")</f>
        <v>Print Print Design</v>
      </c>
    </row>
    <row r="12049">
      <c r="A12049" s="1" t="str">
        <f>IFERROR(__xludf.DUMMYFUNCTION("""COMPUTED_VALUE"""),"2026 Apr")</f>
        <v>2026 Apr</v>
      </c>
      <c r="B12049" s="4">
        <f>IFERROR(__xludf.DUMMYFUNCTION("""COMPUTED_VALUE"""),46132.0)</f>
        <v>46132</v>
      </c>
      <c r="C12049" s="1" t="str">
        <f>IFERROR(__xludf.DUMMYFUNCTION("""COMPUTED_VALUE"""),"Core Product Support")</f>
        <v>Core Product Support</v>
      </c>
      <c r="D12049" s="1" t="str">
        <f>IFERROR(__xludf.DUMMYFUNCTION("""COMPUTED_VALUE"""),"34b01611-0778-4238-845c-71a5fb4b19f1")</f>
        <v>34b01611-0778-4238-845c-71a5fb4b19f1</v>
      </c>
      <c r="E12049" s="1">
        <f>IFERROR(__xludf.DUMMYFUNCTION("""COMPUTED_VALUE"""),1.0005722473615E13)</f>
        <v>10005722473615</v>
      </c>
      <c r="F12049" s="1"/>
      <c r="G12049" s="1">
        <f>IFERROR(__xludf.DUMMYFUNCTION("""COMPUTED_VALUE"""),0.75)</f>
        <v>0.75</v>
      </c>
      <c r="H12049" s="2">
        <f>IFERROR(__xludf.DUMMYFUNCTION("""COMPUTED_VALUE"""),0.75)</f>
        <v>0.75</v>
      </c>
      <c r="I12049" s="5">
        <f>IFERROR(__xludf.DUMMYFUNCTION("""COMPUTED_VALUE"""),1.0)</f>
        <v>1</v>
      </c>
      <c r="J12049" s="1" t="str">
        <f>IFERROR(__xludf.DUMMYFUNCTION("""COMPUTED_VALUE"""),"Jahmie Mae Barrameda")</f>
        <v>Jahmie Mae Barrameda</v>
      </c>
      <c r="K12049" s="1" t="str">
        <f>IFERROR(__xludf.DUMMYFUNCTION("""COMPUTED_VALUE"""),"Advanced Billing &amp; Subscriptions")</f>
        <v>Advanced Billing &amp; Subscriptions</v>
      </c>
      <c r="L12049" s="1" t="str">
        <f>IFERROR(__xludf.DUMMYFUNCTION("""COMPUTED_VALUE"""),"CPS Advanced Billing and Subscriptions (ABS)")</f>
        <v>CPS Advanced Billing and Subscriptions (ABS)</v>
      </c>
    </row>
    <row r="12050">
      <c r="A12050" s="1" t="str">
        <f>IFERROR(__xludf.DUMMYFUNCTION("""COMPUTED_VALUE"""),"2026 Apr")</f>
        <v>2026 Apr</v>
      </c>
      <c r="B12050" s="4">
        <f>IFERROR(__xludf.DUMMYFUNCTION("""COMPUTED_VALUE"""),46132.0)</f>
        <v>46132</v>
      </c>
      <c r="C12050" s="1" t="str">
        <f>IFERROR(__xludf.DUMMYFUNCTION("""COMPUTED_VALUE"""),"Core Product Support")</f>
        <v>Core Product Support</v>
      </c>
      <c r="D12050" s="1" t="str">
        <f>IFERROR(__xludf.DUMMYFUNCTION("""COMPUTED_VALUE"""),"29f1cfbb-326c-4f39-b32d-9350f380b21a")</f>
        <v>29f1cfbb-326c-4f39-b32d-9350f380b21a</v>
      </c>
      <c r="E12050" s="1">
        <f>IFERROR(__xludf.DUMMYFUNCTION("""COMPUTED_VALUE"""),3.61732161455E11)</f>
        <v>361732161455</v>
      </c>
      <c r="F12050" s="1"/>
      <c r="G12050" s="1">
        <f>IFERROR(__xludf.DUMMYFUNCTION("""COMPUTED_VALUE"""),2.5)</f>
        <v>2.5</v>
      </c>
      <c r="H12050" s="2">
        <f>IFERROR(__xludf.DUMMYFUNCTION("""COMPUTED_VALUE"""),2.5)</f>
        <v>2.5</v>
      </c>
      <c r="I12050" s="5">
        <f>IFERROR(__xludf.DUMMYFUNCTION("""COMPUTED_VALUE"""),1.0)</f>
        <v>1</v>
      </c>
      <c r="J12050" s="1" t="str">
        <f>IFERROR(__xludf.DUMMYFUNCTION("""COMPUTED_VALUE"""),"Jelyn Elmido")</f>
        <v>Jelyn Elmido</v>
      </c>
      <c r="K12050" s="1" t="str">
        <f>IFERROR(__xludf.DUMMYFUNCTION("""COMPUTED_VALUE"""),"Core Product Support Escalation Team")</f>
        <v>Core Product Support Escalation Team</v>
      </c>
      <c r="L12050"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2051">
      <c r="A12051" s="1" t="str">
        <f>IFERROR(__xludf.DUMMYFUNCTION("""COMPUTED_VALUE"""),"2026 Apr")</f>
        <v>2026 Apr</v>
      </c>
      <c r="B12051" s="4">
        <f>IFERROR(__xludf.DUMMYFUNCTION("""COMPUTED_VALUE"""),46132.0)</f>
        <v>46132</v>
      </c>
      <c r="C12051" s="1" t="str">
        <f>IFERROR(__xludf.DUMMYFUNCTION("""COMPUTED_VALUE"""),"Print Support")</f>
        <v>Print Support</v>
      </c>
      <c r="D12051" s="1" t="str">
        <f>IFERROR(__xludf.DUMMYFUNCTION("""COMPUTED_VALUE"""),"e7288a86-def8-455e-9571-0e09ee52eb10")</f>
        <v>e7288a86-def8-455e-9571-0e09ee52eb10</v>
      </c>
      <c r="E12051" s="1">
        <f>IFERROR(__xludf.DUMMYFUNCTION("""COMPUTED_VALUE"""),5.566843775631E12)</f>
        <v>5566843775631</v>
      </c>
      <c r="F12051" s="1"/>
      <c r="G12051" s="1"/>
      <c r="H12051" s="2">
        <f>IFERROR(__xludf.DUMMYFUNCTION("""COMPUTED_VALUE"""),0.0)</f>
        <v>0</v>
      </c>
      <c r="I12051" s="5"/>
      <c r="J12051" s="1" t="str">
        <f>IFERROR(__xludf.DUMMYFUNCTION("""COMPUTED_VALUE"""),"Louise Dianne Estrella")</f>
        <v>Louise Dianne Estrella</v>
      </c>
      <c r="K12051" s="1" t="str">
        <f>IFERROR(__xludf.DUMMYFUNCTION("""COMPUTED_VALUE"""),"Print Support PH")</f>
        <v>Print Support PH</v>
      </c>
      <c r="L12051" s="1" t="str">
        <f>IFERROR(__xludf.DUMMYFUNCTION("""COMPUTED_VALUE"""),"Print Print - CHT")</f>
        <v>Print Print - CHT</v>
      </c>
    </row>
    <row r="12052">
      <c r="A12052" s="1" t="str">
        <f>IFERROR(__xludf.DUMMYFUNCTION("""COMPUTED_VALUE"""),"2026 Apr")</f>
        <v>2026 Apr</v>
      </c>
      <c r="B12052" s="4">
        <f>IFERROR(__xludf.DUMMYFUNCTION("""COMPUTED_VALUE"""),46132.0)</f>
        <v>46132</v>
      </c>
      <c r="C12052" s="1" t="str">
        <f>IFERROR(__xludf.DUMMYFUNCTION("""COMPUTED_VALUE"""),"Admin Support")</f>
        <v>Admin Support</v>
      </c>
      <c r="D12052" s="1" t="str">
        <f>IFERROR(__xludf.DUMMYFUNCTION("""COMPUTED_VALUE"""),"c771ba05-3c70-40d0-afa5-186bade746f2")</f>
        <v>c771ba05-3c70-40d0-afa5-186bade746f2</v>
      </c>
      <c r="E12052" s="1">
        <f>IFERROR(__xludf.DUMMYFUNCTION("""COMPUTED_VALUE"""),7.437392979983E12)</f>
        <v>7437392979983</v>
      </c>
      <c r="F12052" s="1"/>
      <c r="G12052" s="1">
        <f>IFERROR(__xludf.DUMMYFUNCTION("""COMPUTED_VALUE"""),0.25)</f>
        <v>0.25</v>
      </c>
      <c r="H12052" s="2">
        <f>IFERROR(__xludf.DUMMYFUNCTION("""COMPUTED_VALUE"""),0.25)</f>
        <v>0.25</v>
      </c>
      <c r="I12052" s="5">
        <f>IFERROR(__xludf.DUMMYFUNCTION("""COMPUTED_VALUE"""),1.0)</f>
        <v>1</v>
      </c>
      <c r="J12052" s="1" t="str">
        <f>IFERROR(__xludf.DUMMYFUNCTION("""COMPUTED_VALUE"""),"Ann Dumlao")</f>
        <v>Ann Dumlao</v>
      </c>
      <c r="K12052" s="1" t="str">
        <f>IFERROR(__xludf.DUMMYFUNCTION("""COMPUTED_VALUE"""),"Admin Omni Support")</f>
        <v>Admin Omni Support</v>
      </c>
      <c r="L12052" s="1" t="str">
        <f>IFERROR(__xludf.DUMMYFUNCTION("""COMPUTED_VALUE"""),"Admin Omni Support")</f>
        <v>Admin Omni Support</v>
      </c>
    </row>
    <row r="12053">
      <c r="A12053" s="1" t="str">
        <f>IFERROR(__xludf.DUMMYFUNCTION("""COMPUTED_VALUE"""),"2026 Apr")</f>
        <v>2026 Apr</v>
      </c>
      <c r="B12053" s="4">
        <f>IFERROR(__xludf.DUMMYFUNCTION("""COMPUTED_VALUE"""),46132.0)</f>
        <v>46132</v>
      </c>
      <c r="C12053" s="1" t="str">
        <f>IFERROR(__xludf.DUMMYFUNCTION("""COMPUTED_VALUE"""),"Admin Support")</f>
        <v>Admin Support</v>
      </c>
      <c r="D12053" s="1" t="str">
        <f>IFERROR(__xludf.DUMMYFUNCTION("""COMPUTED_VALUE"""),"5e57a2c8-fe7b-40fb-b179-0090e8e3060b")</f>
        <v>5e57a2c8-fe7b-40fb-b179-0090e8e3060b</v>
      </c>
      <c r="E12053" s="1">
        <f>IFERROR(__xludf.DUMMYFUNCTION("""COMPUTED_VALUE"""),3.61733079315E11)</f>
        <v>361733079315</v>
      </c>
      <c r="F12053" s="1"/>
      <c r="G12053" s="1">
        <f>IFERROR(__xludf.DUMMYFUNCTION("""COMPUTED_VALUE"""),0.25)</f>
        <v>0.25</v>
      </c>
      <c r="H12053" s="2">
        <f>IFERROR(__xludf.DUMMYFUNCTION("""COMPUTED_VALUE"""),0.25)</f>
        <v>0.25</v>
      </c>
      <c r="I12053" s="5">
        <f>IFERROR(__xludf.DUMMYFUNCTION("""COMPUTED_VALUE"""),1.0)</f>
        <v>1</v>
      </c>
      <c r="J12053" s="1" t="str">
        <f>IFERROR(__xludf.DUMMYFUNCTION("""COMPUTED_VALUE"""),"Ann Dumlao")</f>
        <v>Ann Dumlao</v>
      </c>
      <c r="K12053" s="1" t="str">
        <f>IFERROR(__xludf.DUMMYFUNCTION("""COMPUTED_VALUE"""),"Admin Omni Support")</f>
        <v>Admin Omni Support</v>
      </c>
      <c r="L12053" s="1" t="str">
        <f>IFERROR(__xludf.DUMMYFUNCTION("""COMPUTED_VALUE"""),"Admin Omni Support")</f>
        <v>Admin Omni Support</v>
      </c>
    </row>
    <row r="12054">
      <c r="A12054" s="1" t="str">
        <f>IFERROR(__xludf.DUMMYFUNCTION("""COMPUTED_VALUE"""),"2026 Apr")</f>
        <v>2026 Apr</v>
      </c>
      <c r="B12054" s="4">
        <f>IFERROR(__xludf.DUMMYFUNCTION("""COMPUTED_VALUE"""),46132.0)</f>
        <v>46132</v>
      </c>
      <c r="C12054" s="1" t="str">
        <f>IFERROR(__xludf.DUMMYFUNCTION("""COMPUTED_VALUE"""),"High Sensitivity Support")</f>
        <v>High Sensitivity Support</v>
      </c>
      <c r="D12054" s="1" t="str">
        <f>IFERROR(__xludf.DUMMYFUNCTION("""COMPUTED_VALUE"""),"b7fd1097-c419-4ccc-9d67-4b66f71021a1")</f>
        <v>b7fd1097-c419-4ccc-9d67-4b66f71021a1</v>
      </c>
      <c r="E12054" s="1">
        <f>IFERROR(__xludf.DUMMYFUNCTION("""COMPUTED_VALUE"""),8.139562541455E12)</f>
        <v>8139562541455</v>
      </c>
      <c r="F12054" s="1"/>
      <c r="G12054" s="1"/>
      <c r="H12054" s="2">
        <f>IFERROR(__xludf.DUMMYFUNCTION("""COMPUTED_VALUE"""),0.0)</f>
        <v>0</v>
      </c>
      <c r="I12054" s="5"/>
      <c r="J12054" s="1" t="str">
        <f>IFERROR(__xludf.DUMMYFUNCTION("""COMPUTED_VALUE"""),"Rossheen Pura")</f>
        <v>Rossheen Pura</v>
      </c>
      <c r="K12054" s="1" t="str">
        <f>IFERROR(__xludf.DUMMYFUNCTION("""COMPUTED_VALUE"""),"High Sensitivity Support PH")</f>
        <v>High Sensitivity Support PH</v>
      </c>
      <c r="L12054" s="1" t="str">
        <f>IFERROR(__xludf.DUMMYFUNCTION("""COMPUTED_VALUE"""),"HSS High Sensitivity Support PH - CHT")</f>
        <v>HSS High Sensitivity Support PH - CHT</v>
      </c>
    </row>
    <row r="12055">
      <c r="A12055" s="1" t="str">
        <f>IFERROR(__xludf.DUMMYFUNCTION("""COMPUTED_VALUE"""),"2026 Apr")</f>
        <v>2026 Apr</v>
      </c>
      <c r="B12055" s="4">
        <f>IFERROR(__xludf.DUMMYFUNCTION("""COMPUTED_VALUE"""),46132.0)</f>
        <v>46132</v>
      </c>
      <c r="C12055" s="1" t="str">
        <f>IFERROR(__xludf.DUMMYFUNCTION("""COMPUTED_VALUE"""),"Core Product Support")</f>
        <v>Core Product Support</v>
      </c>
      <c r="D12055" s="1" t="str">
        <f>IFERROR(__xludf.DUMMYFUNCTION("""COMPUTED_VALUE"""),"20080360-d6b6-487a-ad2b-4d92f14a3e3a")</f>
        <v>20080360-d6b6-487a-ad2b-4d92f14a3e3a</v>
      </c>
      <c r="E12055" s="1">
        <f>IFERROR(__xludf.DUMMYFUNCTION("""COMPUTED_VALUE"""),5.901973593231E12)</f>
        <v>5901973593231</v>
      </c>
      <c r="F12055" s="1"/>
      <c r="G12055" s="1">
        <f>IFERROR(__xludf.DUMMYFUNCTION("""COMPUTED_VALUE"""),1.25)</f>
        <v>1.25</v>
      </c>
      <c r="H12055" s="2">
        <f>IFERROR(__xludf.DUMMYFUNCTION("""COMPUTED_VALUE"""),1.25)</f>
        <v>1.25</v>
      </c>
      <c r="I12055" s="5">
        <f>IFERROR(__xludf.DUMMYFUNCTION("""COMPUTED_VALUE"""),1.0)</f>
        <v>1</v>
      </c>
      <c r="J12055" s="1" t="str">
        <f>IFERROR(__xludf.DUMMYFUNCTION("""COMPUTED_VALUE"""),"Vinz Lazaro")</f>
        <v>Vinz Lazaro</v>
      </c>
      <c r="K12055" s="1" t="str">
        <f>IFERROR(__xludf.DUMMYFUNCTION("""COMPUTED_VALUE"""),"Advanced Product Support")</f>
        <v>Advanced Product Support</v>
      </c>
      <c r="L12055" s="1" t="str">
        <f>IFERROR(__xludf.DUMMYFUNCTION("""COMPUTED_VALUE"""),"CPS Advanced Product Support (APS)")</f>
        <v>CPS Advanced Product Support (APS)</v>
      </c>
    </row>
    <row r="12056">
      <c r="A12056" s="1" t="str">
        <f>IFERROR(__xludf.DUMMYFUNCTION("""COMPUTED_VALUE"""),"2026 Apr")</f>
        <v>2026 Apr</v>
      </c>
      <c r="B12056" s="4">
        <f>IFERROR(__xludf.DUMMYFUNCTION("""COMPUTED_VALUE"""),46132.0)</f>
        <v>46132</v>
      </c>
      <c r="C12056" s="1" t="str">
        <f>IFERROR(__xludf.DUMMYFUNCTION("""COMPUTED_VALUE"""),"High Sensitivity Support")</f>
        <v>High Sensitivity Support</v>
      </c>
      <c r="D12056" s="1" t="str">
        <f>IFERROR(__xludf.DUMMYFUNCTION("""COMPUTED_VALUE"""),"27bbaf2c-6971-4b55-91a0-193260eb00dd")</f>
        <v>27bbaf2c-6971-4b55-91a0-193260eb00dd</v>
      </c>
      <c r="E12056" s="1">
        <f>IFERROR(__xludf.DUMMYFUNCTION("""COMPUTED_VALUE"""),5.202441057551E12)</f>
        <v>5202441057551</v>
      </c>
      <c r="F12056" s="1"/>
      <c r="G12056" s="1"/>
      <c r="H12056" s="2">
        <f>IFERROR(__xludf.DUMMYFUNCTION("""COMPUTED_VALUE"""),0.0)</f>
        <v>0</v>
      </c>
      <c r="I12056" s="5"/>
      <c r="J12056" s="1" t="str">
        <f>IFERROR(__xludf.DUMMYFUNCTION("""COMPUTED_VALUE"""),"Xandy Azarcon")</f>
        <v>Xandy Azarcon</v>
      </c>
      <c r="K12056" s="1" t="str">
        <f>IFERROR(__xludf.DUMMYFUNCTION("""COMPUTED_VALUE"""),"High Sensitivity Support PH")</f>
        <v>High Sensitivity Support PH</v>
      </c>
      <c r="L12056" s="1" t="str">
        <f>IFERROR(__xludf.DUMMYFUNCTION("""COMPUTED_VALUE"""),"HSS High Sensitivity Support PH - CHT")</f>
        <v>HSS High Sensitivity Support PH - CHT</v>
      </c>
    </row>
    <row r="12057">
      <c r="A12057" s="1" t="str">
        <f>IFERROR(__xludf.DUMMYFUNCTION("""COMPUTED_VALUE"""),"2026 Apr")</f>
        <v>2026 Apr</v>
      </c>
      <c r="B12057" s="4">
        <f>IFERROR(__xludf.DUMMYFUNCTION("""COMPUTED_VALUE"""),46132.0)</f>
        <v>46132</v>
      </c>
      <c r="C12057" s="1" t="str">
        <f>IFERROR(__xludf.DUMMYFUNCTION("""COMPUTED_VALUE"""),"Print Support")</f>
        <v>Print Support</v>
      </c>
      <c r="D12057" s="1" t="str">
        <f>IFERROR(__xludf.DUMMYFUNCTION("""COMPUTED_VALUE"""),"b1b482a6-c097-431c-a83d-5d00e89da6bf")</f>
        <v>b1b482a6-c097-431c-a83d-5d00e89da6bf</v>
      </c>
      <c r="E12057" s="1">
        <f>IFERROR(__xludf.DUMMYFUNCTION("""COMPUTED_VALUE"""),3.61724962836E11)</f>
        <v>361724962836</v>
      </c>
      <c r="F12057" s="1"/>
      <c r="G12057" s="1"/>
      <c r="H12057" s="2">
        <f>IFERROR(__xludf.DUMMYFUNCTION("""COMPUTED_VALUE"""),0.0)</f>
        <v>0</v>
      </c>
      <c r="I12057" s="5"/>
      <c r="J12057" s="1" t="str">
        <f>IFERROR(__xludf.DUMMYFUNCTION("""COMPUTED_VALUE"""),"Althea Mercado")</f>
        <v>Althea Mercado</v>
      </c>
      <c r="K12057" s="1" t="str">
        <f>IFERROR(__xludf.DUMMYFUNCTION("""COMPUTED_VALUE"""),"Print Support PH")</f>
        <v>Print Support PH</v>
      </c>
      <c r="L12057" s="1" t="str">
        <f>IFERROR(__xludf.DUMMYFUNCTION("""COMPUTED_VALUE"""),"Print Print - CHT")</f>
        <v>Print Print - CHT</v>
      </c>
    </row>
    <row r="12058">
      <c r="A12058" s="1" t="str">
        <f>IFERROR(__xludf.DUMMYFUNCTION("""COMPUTED_VALUE"""),"2026 Apr")</f>
        <v>2026 Apr</v>
      </c>
      <c r="B12058" s="4">
        <f>IFERROR(__xludf.DUMMYFUNCTION("""COMPUTED_VALUE"""),46132.0)</f>
        <v>46132</v>
      </c>
      <c r="C12058" s="1" t="str">
        <f>IFERROR(__xludf.DUMMYFUNCTION("""COMPUTED_VALUE"""),"Core Product Support")</f>
        <v>Core Product Support</v>
      </c>
      <c r="D12058" s="1" t="str">
        <f>IFERROR(__xludf.DUMMYFUNCTION("""COMPUTED_VALUE"""),"426201d1-0b5d-4900-95cc-7a8b0c35e471")</f>
        <v>426201d1-0b5d-4900-95cc-7a8b0c35e471</v>
      </c>
      <c r="E12058" s="1">
        <f>IFERROR(__xludf.DUMMYFUNCTION("""COMPUTED_VALUE"""),7.235417174415E12)</f>
        <v>7235417174415</v>
      </c>
      <c r="F12058" s="1"/>
      <c r="G12058" s="1">
        <f>IFERROR(__xludf.DUMMYFUNCTION("""COMPUTED_VALUE"""),1.0)</f>
        <v>1</v>
      </c>
      <c r="H12058" s="2">
        <f>IFERROR(__xludf.DUMMYFUNCTION("""COMPUTED_VALUE"""),1.0)</f>
        <v>1</v>
      </c>
      <c r="I12058" s="5">
        <f>IFERROR(__xludf.DUMMYFUNCTION("""COMPUTED_VALUE"""),1.0)</f>
        <v>1</v>
      </c>
      <c r="J12058" s="1" t="str">
        <f>IFERROR(__xludf.DUMMYFUNCTION("""COMPUTED_VALUE"""),"Ana Lazaro")</f>
        <v>Ana Lazaro</v>
      </c>
      <c r="K12058" s="1" t="str">
        <f>IFERROR(__xludf.DUMMYFUNCTION("""COMPUTED_VALUE"""),"Advanced Billing &amp; Subscriptions")</f>
        <v>Advanced Billing &amp; Subscriptions</v>
      </c>
      <c r="L12058" s="1" t="str">
        <f>IFERROR(__xludf.DUMMYFUNCTION("""COMPUTED_VALUE"""),"CPS Advanced Billing and Subscriptions (ABS)")</f>
        <v>CPS Advanced Billing and Subscriptions (ABS)</v>
      </c>
    </row>
    <row r="12059">
      <c r="A12059" s="1" t="str">
        <f>IFERROR(__xludf.DUMMYFUNCTION("""COMPUTED_VALUE"""),"2026 Apr")</f>
        <v>2026 Apr</v>
      </c>
      <c r="B12059" s="4">
        <f>IFERROR(__xludf.DUMMYFUNCTION("""COMPUTED_VALUE"""),46132.0)</f>
        <v>46132</v>
      </c>
      <c r="C12059" s="1" t="str">
        <f>IFERROR(__xludf.DUMMYFUNCTION("""COMPUTED_VALUE"""),"Print Support")</f>
        <v>Print Support</v>
      </c>
      <c r="D12059" s="1" t="str">
        <f>IFERROR(__xludf.DUMMYFUNCTION("""COMPUTED_VALUE"""),"ae33c457-9730-4b61-af51-a03edb80253a")</f>
        <v>ae33c457-9730-4b61-af51-a03edb80253a</v>
      </c>
      <c r="E12059" s="1">
        <f>IFERROR(__xludf.DUMMYFUNCTION("""COMPUTED_VALUE"""),3.61733077175E11)</f>
        <v>361733077175</v>
      </c>
      <c r="F12059" s="1"/>
      <c r="G12059" s="1"/>
      <c r="H12059" s="2">
        <f>IFERROR(__xludf.DUMMYFUNCTION("""COMPUTED_VALUE"""),0.0)</f>
        <v>0</v>
      </c>
      <c r="I12059" s="5"/>
      <c r="J12059" s="1" t="str">
        <f>IFERROR(__xludf.DUMMYFUNCTION("""COMPUTED_VALUE"""),"Louise Dianne Estrella")</f>
        <v>Louise Dianne Estrella</v>
      </c>
      <c r="K12059" s="1" t="str">
        <f>IFERROR(__xludf.DUMMYFUNCTION("""COMPUTED_VALUE"""),"Print Support PH")</f>
        <v>Print Support PH</v>
      </c>
      <c r="L12059" s="1" t="str">
        <f>IFERROR(__xludf.DUMMYFUNCTION("""COMPUTED_VALUE"""),"Print Print - CHT")</f>
        <v>Print Print - CHT</v>
      </c>
    </row>
    <row r="12060">
      <c r="A12060" s="1" t="str">
        <f>IFERROR(__xludf.DUMMYFUNCTION("""COMPUTED_VALUE"""),"2026 Apr")</f>
        <v>2026 Apr</v>
      </c>
      <c r="B12060" s="4">
        <f>IFERROR(__xludf.DUMMYFUNCTION("""COMPUTED_VALUE"""),46132.0)</f>
        <v>46132</v>
      </c>
      <c r="C12060" s="1" t="str">
        <f>IFERROR(__xludf.DUMMYFUNCTION("""COMPUTED_VALUE"""),"High Sensitivity Support")</f>
        <v>High Sensitivity Support</v>
      </c>
      <c r="D12060" s="1" t="str">
        <f>IFERROR(__xludf.DUMMYFUNCTION("""COMPUTED_VALUE"""),"3a5a6ab5-8abf-422b-9670-8975c03a0818")</f>
        <v>3a5a6ab5-8abf-422b-9670-8975c03a0818</v>
      </c>
      <c r="E12060" s="1">
        <f>IFERROR(__xludf.DUMMYFUNCTION("""COMPUTED_VALUE"""),3.61725260976E11)</f>
        <v>361725260976</v>
      </c>
      <c r="F12060" s="1"/>
      <c r="G12060" s="1"/>
      <c r="H12060" s="2">
        <f>IFERROR(__xludf.DUMMYFUNCTION("""COMPUTED_VALUE"""),0.0)</f>
        <v>0</v>
      </c>
      <c r="I12060" s="5"/>
      <c r="J12060" s="1" t="str">
        <f>IFERROR(__xludf.DUMMYFUNCTION("""COMPUTED_VALUE"""),"Rossheen Pura")</f>
        <v>Rossheen Pura</v>
      </c>
      <c r="K12060" s="1" t="str">
        <f>IFERROR(__xludf.DUMMYFUNCTION("""COMPUTED_VALUE"""),"High Sensitivity Support PH")</f>
        <v>High Sensitivity Support PH</v>
      </c>
      <c r="L12060" s="1" t="str">
        <f>IFERROR(__xludf.DUMMYFUNCTION("""COMPUTED_VALUE"""),"HSS High Sensitivity Support PH - CHT")</f>
        <v>HSS High Sensitivity Support PH - CHT</v>
      </c>
    </row>
    <row r="12061">
      <c r="A12061" s="1" t="str">
        <f>IFERROR(__xludf.DUMMYFUNCTION("""COMPUTED_VALUE"""),"2026 Apr")</f>
        <v>2026 Apr</v>
      </c>
      <c r="B12061" s="4">
        <f>IFERROR(__xludf.DUMMYFUNCTION("""COMPUTED_VALUE"""),46132.0)</f>
        <v>46132</v>
      </c>
      <c r="C12061" s="1" t="str">
        <f>IFERROR(__xludf.DUMMYFUNCTION("""COMPUTED_VALUE"""),"Core Product Support")</f>
        <v>Core Product Support</v>
      </c>
      <c r="D12061" s="1" t="str">
        <f>IFERROR(__xludf.DUMMYFUNCTION("""COMPUTED_VALUE"""),"ec2c53f2-66fa-462e-9ac9-b9e626e485b4")</f>
        <v>ec2c53f2-66fa-462e-9ac9-b9e626e485b4</v>
      </c>
      <c r="E12061" s="1">
        <f>IFERROR(__xludf.DUMMYFUNCTION("""COMPUTED_VALUE"""),5.047318720783E12)</f>
        <v>5047318720783</v>
      </c>
      <c r="F12061" s="1"/>
      <c r="G12061" s="1">
        <f>IFERROR(__xludf.DUMMYFUNCTION("""COMPUTED_VALUE"""),1.25)</f>
        <v>1.25</v>
      </c>
      <c r="H12061" s="2">
        <f>IFERROR(__xludf.DUMMYFUNCTION("""COMPUTED_VALUE"""),1.25)</f>
        <v>1.25</v>
      </c>
      <c r="I12061" s="5">
        <f>IFERROR(__xludf.DUMMYFUNCTION("""COMPUTED_VALUE"""),1.0)</f>
        <v>1</v>
      </c>
      <c r="J12061" s="1" t="str">
        <f>IFERROR(__xludf.DUMMYFUNCTION("""COMPUTED_VALUE"""),"Vinz Lazaro")</f>
        <v>Vinz Lazaro</v>
      </c>
      <c r="K12061" s="1" t="str">
        <f>IFERROR(__xludf.DUMMYFUNCTION("""COMPUTED_VALUE"""),"Advanced Product Support")</f>
        <v>Advanced Product Support</v>
      </c>
      <c r="L12061" s="1" t="str">
        <f>IFERROR(__xludf.DUMMYFUNCTION("""COMPUTED_VALUE"""),"CPS Advanced Product Support (APS)")</f>
        <v>CPS Advanced Product Support (APS)</v>
      </c>
    </row>
    <row r="12062">
      <c r="A12062" s="1" t="str">
        <f>IFERROR(__xludf.DUMMYFUNCTION("""COMPUTED_VALUE"""),"2026 Apr")</f>
        <v>2026 Apr</v>
      </c>
      <c r="B12062" s="4">
        <f>IFERROR(__xludf.DUMMYFUNCTION("""COMPUTED_VALUE"""),46132.0)</f>
        <v>46132</v>
      </c>
      <c r="C12062" s="1" t="str">
        <f>IFERROR(__xludf.DUMMYFUNCTION("""COMPUTED_VALUE"""),"High Sensitivity Support")</f>
        <v>High Sensitivity Support</v>
      </c>
      <c r="D12062" s="1" t="str">
        <f>IFERROR(__xludf.DUMMYFUNCTION("""COMPUTED_VALUE"""),"ac409d1d-146f-4f2e-97cf-ac668184be31")</f>
        <v>ac409d1d-146f-4f2e-97cf-ac668184be31</v>
      </c>
      <c r="E12062" s="1">
        <f>IFERROR(__xludf.DUMMYFUNCTION("""COMPUTED_VALUE"""),9.285050515215E12)</f>
        <v>9285050515215</v>
      </c>
      <c r="F12062" s="1"/>
      <c r="G12062" s="1"/>
      <c r="H12062" s="2">
        <f>IFERROR(__xludf.DUMMYFUNCTION("""COMPUTED_VALUE"""),0.0)</f>
        <v>0</v>
      </c>
      <c r="I12062" s="5"/>
      <c r="J12062" s="1" t="str">
        <f>IFERROR(__xludf.DUMMYFUNCTION("""COMPUTED_VALUE"""),"Xandy Azarcon")</f>
        <v>Xandy Azarcon</v>
      </c>
      <c r="K12062" s="1" t="str">
        <f>IFERROR(__xludf.DUMMYFUNCTION("""COMPUTED_VALUE"""),"High Sensitivity Support PH")</f>
        <v>High Sensitivity Support PH</v>
      </c>
      <c r="L12062" s="1" t="str">
        <f>IFERROR(__xludf.DUMMYFUNCTION("""COMPUTED_VALUE"""),"HSS High Sensitivity Support PH - CHT")</f>
        <v>HSS High Sensitivity Support PH - CHT</v>
      </c>
    </row>
    <row r="12063">
      <c r="A12063" s="1" t="str">
        <f>IFERROR(__xludf.DUMMYFUNCTION("""COMPUTED_VALUE"""),"2026 Apr")</f>
        <v>2026 Apr</v>
      </c>
      <c r="B12063" s="4">
        <f>IFERROR(__xludf.DUMMYFUNCTION("""COMPUTED_VALUE"""),46132.0)</f>
        <v>46132</v>
      </c>
      <c r="C12063" s="1" t="str">
        <f>IFERROR(__xludf.DUMMYFUNCTION("""COMPUTED_VALUE"""),"Admin Support")</f>
        <v>Admin Support</v>
      </c>
      <c r="D12063" s="1" t="str">
        <f>IFERROR(__xludf.DUMMYFUNCTION("""COMPUTED_VALUE"""),"390ace33-d7f9-4dda-8f95-3d06e72320ce")</f>
        <v>390ace33-d7f9-4dda-8f95-3d06e72320ce</v>
      </c>
      <c r="E12063" s="1">
        <f>IFERROR(__xludf.DUMMYFUNCTION("""COMPUTED_VALUE"""),3.61724963216E11)</f>
        <v>361724963216</v>
      </c>
      <c r="F12063" s="1"/>
      <c r="G12063" s="1"/>
      <c r="H12063" s="2">
        <f>IFERROR(__xludf.DUMMYFUNCTION("""COMPUTED_VALUE"""),0.0)</f>
        <v>0</v>
      </c>
      <c r="I12063" s="5"/>
      <c r="J12063" s="1" t="str">
        <f>IFERROR(__xludf.DUMMYFUNCTION("""COMPUTED_VALUE"""),"Karla Mananghaya")</f>
        <v>Karla Mananghaya</v>
      </c>
      <c r="K12063" s="1" t="str">
        <f>IFERROR(__xludf.DUMMYFUNCTION("""COMPUTED_VALUE"""),"Admin Support Service Escalation Team")</f>
        <v>Admin Support Service Escalation Team</v>
      </c>
      <c r="L12063" s="1" t="str">
        <f>IFERROR(__xludf.DUMMYFUNCTION("""COMPUTED_VALUE"""),"Admin ASSET")</f>
        <v>Admin ASSET</v>
      </c>
    </row>
    <row r="12064">
      <c r="A12064" s="1" t="str">
        <f>IFERROR(__xludf.DUMMYFUNCTION("""COMPUTED_VALUE"""),"2026 Apr")</f>
        <v>2026 Apr</v>
      </c>
      <c r="B12064" s="4">
        <f>IFERROR(__xludf.DUMMYFUNCTION("""COMPUTED_VALUE"""),46132.0)</f>
        <v>46132</v>
      </c>
      <c r="C12064" s="1" t="str">
        <f>IFERROR(__xludf.DUMMYFUNCTION("""COMPUTED_VALUE"""),"Core Product Support")</f>
        <v>Core Product Support</v>
      </c>
      <c r="D12064" s="1" t="str">
        <f>IFERROR(__xludf.DUMMYFUNCTION("""COMPUTED_VALUE"""),"4213e169-349c-47c9-b613-f4356c986a3d")</f>
        <v>4213e169-349c-47c9-b613-f4356c986a3d</v>
      </c>
      <c r="E12064" s="1">
        <f>IFERROR(__xludf.DUMMYFUNCTION("""COMPUTED_VALUE"""),1.0548588312463E13)</f>
        <v>10548588312463</v>
      </c>
      <c r="F12064" s="1"/>
      <c r="G12064" s="1">
        <f>IFERROR(__xludf.DUMMYFUNCTION("""COMPUTED_VALUE"""),1.25)</f>
        <v>1.25</v>
      </c>
      <c r="H12064" s="2">
        <f>IFERROR(__xludf.DUMMYFUNCTION("""COMPUTED_VALUE"""),1.25)</f>
        <v>1.25</v>
      </c>
      <c r="I12064" s="5">
        <f>IFERROR(__xludf.DUMMYFUNCTION("""COMPUTED_VALUE"""),1.0)</f>
        <v>1</v>
      </c>
      <c r="J12064" s="1" t="str">
        <f>IFERROR(__xludf.DUMMYFUNCTION("""COMPUTED_VALUE"""),"Belle Bentazal")</f>
        <v>Belle Bentazal</v>
      </c>
      <c r="K12064" s="1" t="str">
        <f>IFERROR(__xludf.DUMMYFUNCTION("""COMPUTED_VALUE"""),"Advanced Product Support")</f>
        <v>Advanced Product Support</v>
      </c>
      <c r="L12064" s="1" t="str">
        <f>IFERROR(__xludf.DUMMYFUNCTION("""COMPUTED_VALUE"""),"CPS Advanced Product Support (APS)")</f>
        <v>CPS Advanced Product Support (APS)</v>
      </c>
    </row>
    <row r="12065">
      <c r="A12065" s="1" t="str">
        <f>IFERROR(__xludf.DUMMYFUNCTION("""COMPUTED_VALUE"""),"2026 Apr")</f>
        <v>2026 Apr</v>
      </c>
      <c r="B12065" s="4">
        <f>IFERROR(__xludf.DUMMYFUNCTION("""COMPUTED_VALUE"""),46132.0)</f>
        <v>46132</v>
      </c>
      <c r="C12065" s="1" t="str">
        <f>IFERROR(__xludf.DUMMYFUNCTION("""COMPUTED_VALUE"""),"Core Product Support")</f>
        <v>Core Product Support</v>
      </c>
      <c r="D12065" s="1" t="str">
        <f>IFERROR(__xludf.DUMMYFUNCTION("""COMPUTED_VALUE"""),"3d49537c-dbf0-4f04-896b-1d3cc141a183")</f>
        <v>3d49537c-dbf0-4f04-896b-1d3cc141a183</v>
      </c>
      <c r="E12065" s="1">
        <f>IFERROR(__xludf.DUMMYFUNCTION("""COMPUTED_VALUE"""),5.901988041103E12)</f>
        <v>5901988041103</v>
      </c>
      <c r="F12065" s="1"/>
      <c r="G12065" s="1">
        <f>IFERROR(__xludf.DUMMYFUNCTION("""COMPUTED_VALUE"""),1.25)</f>
        <v>1.25</v>
      </c>
      <c r="H12065" s="2">
        <f>IFERROR(__xludf.DUMMYFUNCTION("""COMPUTED_VALUE"""),1.25)</f>
        <v>1.25</v>
      </c>
      <c r="I12065" s="5">
        <f>IFERROR(__xludf.DUMMYFUNCTION("""COMPUTED_VALUE"""),1.0)</f>
        <v>1</v>
      </c>
      <c r="J12065" s="1" t="str">
        <f>IFERROR(__xludf.DUMMYFUNCTION("""COMPUTED_VALUE"""),"Jem Mondoñedo")</f>
        <v>Jem Mondoñedo</v>
      </c>
      <c r="K12065" s="1" t="str">
        <f>IFERROR(__xludf.DUMMYFUNCTION("""COMPUTED_VALUE"""),"Advanced Billing &amp; Subscriptions")</f>
        <v>Advanced Billing &amp; Subscriptions</v>
      </c>
      <c r="L12065" s="1" t="str">
        <f>IFERROR(__xludf.DUMMYFUNCTION("""COMPUTED_VALUE"""),"CPS Advanced Billing and Subscriptions (ABS)")</f>
        <v>CPS Advanced Billing and Subscriptions (ABS)</v>
      </c>
    </row>
    <row r="12066">
      <c r="A12066" s="1" t="str">
        <f>IFERROR(__xludf.DUMMYFUNCTION("""COMPUTED_VALUE"""),"2026 Apr")</f>
        <v>2026 Apr</v>
      </c>
      <c r="B12066" s="4">
        <f>IFERROR(__xludf.DUMMYFUNCTION("""COMPUTED_VALUE"""),46132.0)</f>
        <v>46132</v>
      </c>
      <c r="C12066" s="1" t="str">
        <f>IFERROR(__xludf.DUMMYFUNCTION("""COMPUTED_VALUE"""),"Core Product Support")</f>
        <v>Core Product Support</v>
      </c>
      <c r="D12066" s="1" t="str">
        <f>IFERROR(__xludf.DUMMYFUNCTION("""COMPUTED_VALUE"""),"b5f49a72-6ea0-44a0-8325-970c0e83dea7")</f>
        <v>b5f49a72-6ea0-44a0-8325-970c0e83dea7</v>
      </c>
      <c r="E12066" s="1">
        <f>IFERROR(__xludf.DUMMYFUNCTION("""COMPUTED_VALUE"""),9.586408388239E12)</f>
        <v>9586408388239</v>
      </c>
      <c r="F12066" s="1"/>
      <c r="G12066" s="1">
        <f>IFERROR(__xludf.DUMMYFUNCTION("""COMPUTED_VALUE"""),1.25)</f>
        <v>1.25</v>
      </c>
      <c r="H12066" s="2">
        <f>IFERROR(__xludf.DUMMYFUNCTION("""COMPUTED_VALUE"""),1.25)</f>
        <v>1.25</v>
      </c>
      <c r="I12066" s="5">
        <f>IFERROR(__xludf.DUMMYFUNCTION("""COMPUTED_VALUE"""),1.0)</f>
        <v>1</v>
      </c>
      <c r="J12066" s="1" t="str">
        <f>IFERROR(__xludf.DUMMYFUNCTION("""COMPUTED_VALUE"""),"Belle Bentazal")</f>
        <v>Belle Bentazal</v>
      </c>
      <c r="K12066" s="1" t="str">
        <f>IFERROR(__xludf.DUMMYFUNCTION("""COMPUTED_VALUE"""),"Advanced Product Support")</f>
        <v>Advanced Product Support</v>
      </c>
      <c r="L12066" s="1" t="str">
        <f>IFERROR(__xludf.DUMMYFUNCTION("""COMPUTED_VALUE"""),"CPS Advanced Product Support (APS)")</f>
        <v>CPS Advanced Product Support (APS)</v>
      </c>
    </row>
    <row r="12067">
      <c r="A12067" s="1" t="str">
        <f>IFERROR(__xludf.DUMMYFUNCTION("""COMPUTED_VALUE"""),"2026 Apr")</f>
        <v>2026 Apr</v>
      </c>
      <c r="B12067" s="4">
        <f>IFERROR(__xludf.DUMMYFUNCTION("""COMPUTED_VALUE"""),46132.0)</f>
        <v>46132</v>
      </c>
      <c r="C12067" s="1" t="str">
        <f>IFERROR(__xludf.DUMMYFUNCTION("""COMPUTED_VALUE"""),"Admin Support")</f>
        <v>Admin Support</v>
      </c>
      <c r="D12067" s="1" t="str">
        <f>IFERROR(__xludf.DUMMYFUNCTION("""COMPUTED_VALUE"""),"3960812e-748b-47a3-8dea-3a0c6b21aee1")</f>
        <v>3960812e-748b-47a3-8dea-3a0c6b21aee1</v>
      </c>
      <c r="E12067" s="1">
        <f>IFERROR(__xludf.DUMMYFUNCTION("""COMPUTED_VALUE"""),9.107749076367E12)</f>
        <v>9107749076367</v>
      </c>
      <c r="F12067" s="1"/>
      <c r="G12067" s="1">
        <f>IFERROR(__xludf.DUMMYFUNCTION("""COMPUTED_VALUE"""),0.25)</f>
        <v>0.25</v>
      </c>
      <c r="H12067" s="2">
        <f>IFERROR(__xludf.DUMMYFUNCTION("""COMPUTED_VALUE"""),0.25)</f>
        <v>0.25</v>
      </c>
      <c r="I12067" s="5">
        <f>IFERROR(__xludf.DUMMYFUNCTION("""COMPUTED_VALUE"""),1.0)</f>
        <v>1</v>
      </c>
      <c r="J12067" s="1" t="str">
        <f>IFERROR(__xludf.DUMMYFUNCTION("""COMPUTED_VALUE"""),"Ann Dumlao")</f>
        <v>Ann Dumlao</v>
      </c>
      <c r="K12067" s="1" t="str">
        <f>IFERROR(__xludf.DUMMYFUNCTION("""COMPUTED_VALUE"""),"Admin Omni Support")</f>
        <v>Admin Omni Support</v>
      </c>
      <c r="L12067" s="1" t="str">
        <f>IFERROR(__xludf.DUMMYFUNCTION("""COMPUTED_VALUE"""),"Admin Omni Support")</f>
        <v>Admin Omni Support</v>
      </c>
    </row>
    <row r="12068">
      <c r="A12068" s="1" t="str">
        <f>IFERROR(__xludf.DUMMYFUNCTION("""COMPUTED_VALUE"""),"2026 Apr")</f>
        <v>2026 Apr</v>
      </c>
      <c r="B12068" s="4">
        <f>IFERROR(__xludf.DUMMYFUNCTION("""COMPUTED_VALUE"""),46132.0)</f>
        <v>46132</v>
      </c>
      <c r="C12068" s="1" t="str">
        <f>IFERROR(__xludf.DUMMYFUNCTION("""COMPUTED_VALUE"""),"Segment-specific Support")</f>
        <v>Segment-specific Support</v>
      </c>
      <c r="D12068" s="1" t="str">
        <f>IFERROR(__xludf.DUMMYFUNCTION("""COMPUTED_VALUE"""),"0519f8dd-38e2-4c44-b925-77b43587196d")</f>
        <v>0519f8dd-38e2-4c44-b925-77b43587196d</v>
      </c>
      <c r="E12068" s="1">
        <f>IFERROR(__xludf.DUMMYFUNCTION("""COMPUTED_VALUE"""),3.61731348815E11)</f>
        <v>361731348815</v>
      </c>
      <c r="F12068" s="1"/>
      <c r="G12068" s="1"/>
      <c r="H12068" s="2">
        <f>IFERROR(__xludf.DUMMYFUNCTION("""COMPUTED_VALUE"""),0.0)</f>
        <v>0</v>
      </c>
      <c r="I12068" s="5"/>
      <c r="J12068" s="1" t="str">
        <f>IFERROR(__xludf.DUMMYFUNCTION("""COMPUTED_VALUE"""),"Aileen Dayanghirang")</f>
        <v>Aileen Dayanghirang</v>
      </c>
      <c r="K12068" s="1" t="str">
        <f>IFERROR(__xludf.DUMMYFUNCTION("""COMPUTED_VALUE"""),"Creators Support")</f>
        <v>Creators Support</v>
      </c>
      <c r="L12068" s="1" t="str">
        <f>IFERROR(__xludf.DUMMYFUNCTION("""COMPUTED_VALUE"""),"SSS Creators")</f>
        <v>SSS Creators</v>
      </c>
    </row>
    <row r="12069">
      <c r="A12069" s="1" t="str">
        <f>IFERROR(__xludf.DUMMYFUNCTION("""COMPUTED_VALUE"""),"2026 Apr")</f>
        <v>2026 Apr</v>
      </c>
      <c r="B12069" s="4">
        <f>IFERROR(__xludf.DUMMYFUNCTION("""COMPUTED_VALUE"""),46132.0)</f>
        <v>46132</v>
      </c>
      <c r="C12069" s="1" t="str">
        <f>IFERROR(__xludf.DUMMYFUNCTION("""COMPUTED_VALUE"""),"Core Product Support")</f>
        <v>Core Product Support</v>
      </c>
      <c r="D12069" s="1" t="str">
        <f>IFERROR(__xludf.DUMMYFUNCTION("""COMPUTED_VALUE"""),"3ea48634-b6a2-4b3f-b17e-bc63a77dd069")</f>
        <v>3ea48634-b6a2-4b3f-b17e-bc63a77dd069</v>
      </c>
      <c r="E12069" s="1">
        <f>IFERROR(__xludf.DUMMYFUNCTION("""COMPUTED_VALUE"""),3.61969384715E11)</f>
        <v>361969384715</v>
      </c>
      <c r="F12069" s="1"/>
      <c r="G12069" s="1">
        <f>IFERROR(__xludf.DUMMYFUNCTION("""COMPUTED_VALUE"""),1.25)</f>
        <v>1.25</v>
      </c>
      <c r="H12069" s="2">
        <f>IFERROR(__xludf.DUMMYFUNCTION("""COMPUTED_VALUE"""),1.25)</f>
        <v>1.25</v>
      </c>
      <c r="I12069" s="5">
        <f>IFERROR(__xludf.DUMMYFUNCTION("""COMPUTED_VALUE"""),1.0)</f>
        <v>1</v>
      </c>
      <c r="J12069" s="1" t="str">
        <f>IFERROR(__xludf.DUMMYFUNCTION("""COMPUTED_VALUE"""),"Jem Mondoñedo")</f>
        <v>Jem Mondoñedo</v>
      </c>
      <c r="K12069" s="1" t="str">
        <f>IFERROR(__xludf.DUMMYFUNCTION("""COMPUTED_VALUE"""),"Advanced Billing &amp; Subscriptions")</f>
        <v>Advanced Billing &amp; Subscriptions</v>
      </c>
      <c r="L12069" s="1" t="str">
        <f>IFERROR(__xludf.DUMMYFUNCTION("""COMPUTED_VALUE"""),"CPS Advanced Billing and Subscriptions (ABS)")</f>
        <v>CPS Advanced Billing and Subscriptions (ABS)</v>
      </c>
    </row>
    <row r="12070">
      <c r="A12070" s="1" t="str">
        <f>IFERROR(__xludf.DUMMYFUNCTION("""COMPUTED_VALUE"""),"2026 Apr")</f>
        <v>2026 Apr</v>
      </c>
      <c r="B12070" s="4">
        <f>IFERROR(__xludf.DUMMYFUNCTION("""COMPUTED_VALUE"""),46132.0)</f>
        <v>46132</v>
      </c>
      <c r="C12070" s="1" t="str">
        <f>IFERROR(__xludf.DUMMYFUNCTION("""COMPUTED_VALUE"""),"Core Product Support")</f>
        <v>Core Product Support</v>
      </c>
      <c r="D12070" s="1" t="str">
        <f>IFERROR(__xludf.DUMMYFUNCTION("""COMPUTED_VALUE"""),"f26b7878-f252-4db1-b6ae-1278d851d7f9")</f>
        <v>f26b7878-f252-4db1-b6ae-1278d851d7f9</v>
      </c>
      <c r="E12070" s="1">
        <f>IFERROR(__xludf.DUMMYFUNCTION("""COMPUTED_VALUE"""),3.61731792295E11)</f>
        <v>361731792295</v>
      </c>
      <c r="F12070" s="1"/>
      <c r="G12070" s="1">
        <f>IFERROR(__xludf.DUMMYFUNCTION("""COMPUTED_VALUE"""),2.5)</f>
        <v>2.5</v>
      </c>
      <c r="H12070" s="2">
        <f>IFERROR(__xludf.DUMMYFUNCTION("""COMPUTED_VALUE"""),2.5)</f>
        <v>2.5</v>
      </c>
      <c r="I12070" s="5">
        <f>IFERROR(__xludf.DUMMYFUNCTION("""COMPUTED_VALUE"""),1.0)</f>
        <v>1</v>
      </c>
      <c r="J12070" s="1" t="str">
        <f>IFERROR(__xludf.DUMMYFUNCTION("""COMPUTED_VALUE"""),"Jelyn Elmido")</f>
        <v>Jelyn Elmido</v>
      </c>
      <c r="K12070" s="1" t="str">
        <f>IFERROR(__xludf.DUMMYFUNCTION("""COMPUTED_VALUE"""),"Core Product Support Escalation Team")</f>
        <v>Core Product Support Escalation Team</v>
      </c>
      <c r="L12070"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2071">
      <c r="A12071" s="1" t="str">
        <f>IFERROR(__xludf.DUMMYFUNCTION("""COMPUTED_VALUE"""),"2026 Apr")</f>
        <v>2026 Apr</v>
      </c>
      <c r="B12071" s="4">
        <f>IFERROR(__xludf.DUMMYFUNCTION("""COMPUTED_VALUE"""),46132.0)</f>
        <v>46132</v>
      </c>
      <c r="C12071" s="1" t="str">
        <f>IFERROR(__xludf.DUMMYFUNCTION("""COMPUTED_VALUE"""),"Print Support")</f>
        <v>Print Support</v>
      </c>
      <c r="D12071" s="1" t="str">
        <f>IFERROR(__xludf.DUMMYFUNCTION("""COMPUTED_VALUE"""),"5957e659-d004-4b50-a833-96d89b506744")</f>
        <v>5957e659-d004-4b50-a833-96d89b506744</v>
      </c>
      <c r="E12071" s="1">
        <f>IFERROR(__xludf.DUMMYFUNCTION("""COMPUTED_VALUE"""),1.3475786244239E13)</f>
        <v>13475786244239</v>
      </c>
      <c r="F12071" s="1"/>
      <c r="G12071" s="1"/>
      <c r="H12071" s="2">
        <f>IFERROR(__xludf.DUMMYFUNCTION("""COMPUTED_VALUE"""),0.0)</f>
        <v>0</v>
      </c>
      <c r="I12071" s="5"/>
      <c r="J12071" s="1" t="str">
        <f>IFERROR(__xludf.DUMMYFUNCTION("""COMPUTED_VALUE"""),"Gem Agoncillo")</f>
        <v>Gem Agoncillo</v>
      </c>
      <c r="K12071" s="1" t="str">
        <f>IFERROR(__xludf.DUMMYFUNCTION("""COMPUTED_VALUE"""),"Print Design Support")</f>
        <v>Print Design Support</v>
      </c>
      <c r="L12071" s="1" t="str">
        <f>IFERROR(__xludf.DUMMYFUNCTION("""COMPUTED_VALUE"""),"Print Print Design")</f>
        <v>Print Print Design</v>
      </c>
    </row>
    <row r="12072">
      <c r="A12072" s="1" t="str">
        <f>IFERROR(__xludf.DUMMYFUNCTION("""COMPUTED_VALUE"""),"2026 Apr")</f>
        <v>2026 Apr</v>
      </c>
      <c r="B12072" s="4">
        <f>IFERROR(__xludf.DUMMYFUNCTION("""COMPUTED_VALUE"""),46132.0)</f>
        <v>46132</v>
      </c>
      <c r="C12072" s="1" t="str">
        <f>IFERROR(__xludf.DUMMYFUNCTION("""COMPUTED_VALUE"""),"Admin Support")</f>
        <v>Admin Support</v>
      </c>
      <c r="D12072" s="1" t="str">
        <f>IFERROR(__xludf.DUMMYFUNCTION("""COMPUTED_VALUE"""),"aba1b506-4ed6-4f4a-abad-f264703b1937")</f>
        <v>aba1b506-4ed6-4f4a-abad-f264703b1937</v>
      </c>
      <c r="E12072" s="1">
        <f>IFERROR(__xludf.DUMMYFUNCTION("""COMPUTED_VALUE"""),9.684963584655E12)</f>
        <v>9684963584655</v>
      </c>
      <c r="F12072" s="1"/>
      <c r="G12072" s="1"/>
      <c r="H12072" s="2">
        <f>IFERROR(__xludf.DUMMYFUNCTION("""COMPUTED_VALUE"""),0.0)</f>
        <v>0</v>
      </c>
      <c r="I12072" s="5"/>
      <c r="J12072" s="1" t="str">
        <f>IFERROR(__xludf.DUMMYFUNCTION("""COMPUTED_VALUE"""),"Nate Vela")</f>
        <v>Nate Vela</v>
      </c>
      <c r="K12072" s="1" t="str">
        <f>IFERROR(__xludf.DUMMYFUNCTION("""COMPUTED_VALUE"""),"Admin Support NA")</f>
        <v>Admin Support NA</v>
      </c>
      <c r="L12072" s="1" t="str">
        <f>IFERROR(__xludf.DUMMYFUNCTION("""COMPUTED_VALUE"""),"Admin NA")</f>
        <v>Admin NA</v>
      </c>
    </row>
    <row r="12073">
      <c r="A12073" s="1" t="str">
        <f>IFERROR(__xludf.DUMMYFUNCTION("""COMPUTED_VALUE"""),"2026 Apr")</f>
        <v>2026 Apr</v>
      </c>
      <c r="B12073" s="4">
        <f>IFERROR(__xludf.DUMMYFUNCTION("""COMPUTED_VALUE"""),46132.0)</f>
        <v>46132</v>
      </c>
      <c r="C12073" s="1" t="str">
        <f>IFERROR(__xludf.DUMMYFUNCTION("""COMPUTED_VALUE"""),"Segment-specific Support")</f>
        <v>Segment-specific Support</v>
      </c>
      <c r="D12073" s="1" t="str">
        <f>IFERROR(__xludf.DUMMYFUNCTION("""COMPUTED_VALUE"""),"f6982094-ab6f-4fbb-9491-b95f8c7da23e")</f>
        <v>f6982094-ab6f-4fbb-9491-b95f8c7da23e</v>
      </c>
      <c r="E12073" s="1"/>
      <c r="F12073" s="1"/>
      <c r="G12073" s="1"/>
      <c r="H12073" s="2">
        <f>IFERROR(__xludf.DUMMYFUNCTION("""COMPUTED_VALUE"""),0.0)</f>
        <v>0</v>
      </c>
      <c r="I12073" s="5"/>
      <c r="J12073" s="1" t="str">
        <f>IFERROR(__xludf.DUMMYFUNCTION("""COMPUTED_VALUE"""),"Leigh Davison")</f>
        <v>Leigh Davison</v>
      </c>
      <c r="K12073" s="1" t="str">
        <f>IFERROR(__xludf.DUMMYFUNCTION("""COMPUTED_VALUE"""),"#N/A")</f>
        <v>#N/A</v>
      </c>
      <c r="L12073" s="1"/>
    </row>
    <row r="12074">
      <c r="A12074" s="1" t="str">
        <f>IFERROR(__xludf.DUMMYFUNCTION("""COMPUTED_VALUE"""),"2026 Apr")</f>
        <v>2026 Apr</v>
      </c>
      <c r="B12074" s="4">
        <f>IFERROR(__xludf.DUMMYFUNCTION("""COMPUTED_VALUE"""),46132.0)</f>
        <v>46132</v>
      </c>
      <c r="C12074" s="1" t="str">
        <f>IFERROR(__xludf.DUMMYFUNCTION("""COMPUTED_VALUE"""),"Core Product Support")</f>
        <v>Core Product Support</v>
      </c>
      <c r="D12074" s="1" t="str">
        <f>IFERROR(__xludf.DUMMYFUNCTION("""COMPUTED_VALUE"""),"34f2d71e-2948-4046-b11a-6ec3d91fb2f7")</f>
        <v>34f2d71e-2948-4046-b11a-6ec3d91fb2f7</v>
      </c>
      <c r="E12074" s="1">
        <f>IFERROR(__xludf.DUMMYFUNCTION("""COMPUTED_VALUE"""),3.61725261076E11)</f>
        <v>361725261076</v>
      </c>
      <c r="F12074" s="1"/>
      <c r="G12074" s="1">
        <f>IFERROR(__xludf.DUMMYFUNCTION("""COMPUTED_VALUE"""),2.5)</f>
        <v>2.5</v>
      </c>
      <c r="H12074" s="2">
        <f>IFERROR(__xludf.DUMMYFUNCTION("""COMPUTED_VALUE"""),2.5)</f>
        <v>2.5</v>
      </c>
      <c r="I12074" s="5">
        <f>IFERROR(__xludf.DUMMYFUNCTION("""COMPUTED_VALUE"""),1.0)</f>
        <v>1</v>
      </c>
      <c r="J12074" s="1" t="str">
        <f>IFERROR(__xludf.DUMMYFUNCTION("""COMPUTED_VALUE"""),"Jelyn Elmido")</f>
        <v>Jelyn Elmido</v>
      </c>
      <c r="K12074" s="1" t="str">
        <f>IFERROR(__xludf.DUMMYFUNCTION("""COMPUTED_VALUE"""),"Core Product Support Escalation Team")</f>
        <v>Core Product Support Escalation Team</v>
      </c>
      <c r="L12074"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2075">
      <c r="A12075" s="1" t="str">
        <f>IFERROR(__xludf.DUMMYFUNCTION("""COMPUTED_VALUE"""),"2026 Apr")</f>
        <v>2026 Apr</v>
      </c>
      <c r="B12075" s="4">
        <f>IFERROR(__xludf.DUMMYFUNCTION("""COMPUTED_VALUE"""),46132.0)</f>
        <v>46132</v>
      </c>
      <c r="C12075" s="1" t="str">
        <f>IFERROR(__xludf.DUMMYFUNCTION("""COMPUTED_VALUE"""),"Core Product Support")</f>
        <v>Core Product Support</v>
      </c>
      <c r="D12075" s="1" t="str">
        <f>IFERROR(__xludf.DUMMYFUNCTION("""COMPUTED_VALUE"""),"d0bf168c-4c21-43be-abef-2d821133980c")</f>
        <v>d0bf168c-4c21-43be-abef-2d821133980c</v>
      </c>
      <c r="E12075" s="1">
        <f>IFERROR(__xludf.DUMMYFUNCTION("""COMPUTED_VALUE"""),7.437371735567E12)</f>
        <v>7437371735567</v>
      </c>
      <c r="F12075" s="1"/>
      <c r="G12075" s="1">
        <f>IFERROR(__xludf.DUMMYFUNCTION("""COMPUTED_VALUE"""),1.25)</f>
        <v>1.25</v>
      </c>
      <c r="H12075" s="2">
        <f>IFERROR(__xludf.DUMMYFUNCTION("""COMPUTED_VALUE"""),1.25)</f>
        <v>1.25</v>
      </c>
      <c r="I12075" s="5">
        <f>IFERROR(__xludf.DUMMYFUNCTION("""COMPUTED_VALUE"""),1.0)</f>
        <v>1</v>
      </c>
      <c r="J12075" s="1" t="str">
        <f>IFERROR(__xludf.DUMMYFUNCTION("""COMPUTED_VALUE"""),"Renette Bok")</f>
        <v>Renette Bok</v>
      </c>
      <c r="K12075" s="1" t="str">
        <f>IFERROR(__xludf.DUMMYFUNCTION("""COMPUTED_VALUE"""),"Advanced Billing &amp; Subscriptions")</f>
        <v>Advanced Billing &amp; Subscriptions</v>
      </c>
      <c r="L12075" s="1" t="str">
        <f>IFERROR(__xludf.DUMMYFUNCTION("""COMPUTED_VALUE"""),"CPS Advanced Billing and Subscriptions (ABS)")</f>
        <v>CPS Advanced Billing and Subscriptions (ABS)</v>
      </c>
    </row>
    <row r="12076">
      <c r="A12076" s="1" t="str">
        <f>IFERROR(__xludf.DUMMYFUNCTION("""COMPUTED_VALUE"""),"2026 Apr")</f>
        <v>2026 Apr</v>
      </c>
      <c r="B12076" s="4">
        <f>IFERROR(__xludf.DUMMYFUNCTION("""COMPUTED_VALUE"""),46132.0)</f>
        <v>46132</v>
      </c>
      <c r="C12076" s="1" t="str">
        <f>IFERROR(__xludf.DUMMYFUNCTION("""COMPUTED_VALUE"""),"High Sensitivity Support")</f>
        <v>High Sensitivity Support</v>
      </c>
      <c r="D12076" s="1" t="str">
        <f>IFERROR(__xludf.DUMMYFUNCTION("""COMPUTED_VALUE"""),"f56a1f10-27ad-435d-9c50-8e847d04dbcf")</f>
        <v>f56a1f10-27ad-435d-9c50-8e847d04dbcf</v>
      </c>
      <c r="E12076" s="1">
        <f>IFERROR(__xludf.DUMMYFUNCTION("""COMPUTED_VALUE"""),5.566811301007E12)</f>
        <v>5566811301007</v>
      </c>
      <c r="F12076" s="1"/>
      <c r="G12076" s="1"/>
      <c r="H12076" s="2">
        <f>IFERROR(__xludf.DUMMYFUNCTION("""COMPUTED_VALUE"""),0.0)</f>
        <v>0</v>
      </c>
      <c r="I12076" s="5"/>
      <c r="J12076" s="1" t="str">
        <f>IFERROR(__xludf.DUMMYFUNCTION("""COMPUTED_VALUE"""),"Issi Afable")</f>
        <v>Issi Afable</v>
      </c>
      <c r="K12076" s="1" t="str">
        <f>IFERROR(__xludf.DUMMYFUNCTION("""COMPUTED_VALUE"""),"High Sensitivity Support PH")</f>
        <v>High Sensitivity Support PH</v>
      </c>
      <c r="L12076" s="1" t="str">
        <f>IFERROR(__xludf.DUMMYFUNCTION("""COMPUTED_VALUE"""),"HSS High Sensitivity Support PH - SEE")</f>
        <v>HSS High Sensitivity Support PH - SEE</v>
      </c>
    </row>
    <row r="12077">
      <c r="A12077" s="1" t="str">
        <f>IFERROR(__xludf.DUMMYFUNCTION("""COMPUTED_VALUE"""),"2026 Apr")</f>
        <v>2026 Apr</v>
      </c>
      <c r="B12077" s="4">
        <f>IFERROR(__xludf.DUMMYFUNCTION("""COMPUTED_VALUE"""),46132.0)</f>
        <v>46132</v>
      </c>
      <c r="C12077" s="1" t="str">
        <f>IFERROR(__xludf.DUMMYFUNCTION("""COMPUTED_VALUE"""),"Print Support")</f>
        <v>Print Support</v>
      </c>
      <c r="D12077" s="1" t="str">
        <f>IFERROR(__xludf.DUMMYFUNCTION("""COMPUTED_VALUE"""),"298f0d76-bd7a-4274-ba39-7bf5fff1a6f0")</f>
        <v>298f0d76-bd7a-4274-ba39-7bf5fff1a6f0</v>
      </c>
      <c r="E12077" s="1"/>
      <c r="F12077" s="1"/>
      <c r="G12077" s="1"/>
      <c r="H12077" s="2">
        <f>IFERROR(__xludf.DUMMYFUNCTION("""COMPUTED_VALUE"""),0.0)</f>
        <v>0</v>
      </c>
      <c r="I12077" s="5"/>
      <c r="J12077" s="1" t="str">
        <f>IFERROR(__xludf.DUMMYFUNCTION("""COMPUTED_VALUE"""),"Gem Agoncillo")</f>
        <v>Gem Agoncillo</v>
      </c>
      <c r="K12077" s="1" t="str">
        <f>IFERROR(__xludf.DUMMYFUNCTION("""COMPUTED_VALUE"""),"Print Design Support")</f>
        <v>Print Design Support</v>
      </c>
      <c r="L12077" s="1" t="str">
        <f>IFERROR(__xludf.DUMMYFUNCTION("""COMPUTED_VALUE"""),"Print Print Design")</f>
        <v>Print Print Design</v>
      </c>
    </row>
    <row r="12078">
      <c r="A12078" s="1" t="str">
        <f>IFERROR(__xludf.DUMMYFUNCTION("""COMPUTED_VALUE"""),"2026 Apr")</f>
        <v>2026 Apr</v>
      </c>
      <c r="B12078" s="4">
        <f>IFERROR(__xludf.DUMMYFUNCTION("""COMPUTED_VALUE"""),46132.0)</f>
        <v>46132</v>
      </c>
      <c r="C12078" s="1" t="str">
        <f>IFERROR(__xludf.DUMMYFUNCTION("""COMPUTED_VALUE"""),"Segment-specific Support")</f>
        <v>Segment-specific Support</v>
      </c>
      <c r="D12078" s="1" t="str">
        <f>IFERROR(__xludf.DUMMYFUNCTION("""COMPUTED_VALUE"""),"6a7b954c-b6c3-49ee-b531-c1516331ca46")</f>
        <v>6a7b954c-b6c3-49ee-b531-c1516331ca46</v>
      </c>
      <c r="E12078" s="1">
        <f>IFERROR(__xludf.DUMMYFUNCTION("""COMPUTED_VALUE"""),3.61725484216E11)</f>
        <v>361725484216</v>
      </c>
      <c r="F12078" s="1"/>
      <c r="G12078" s="1"/>
      <c r="H12078" s="2">
        <f>IFERROR(__xludf.DUMMYFUNCTION("""COMPUTED_VALUE"""),0.0)</f>
        <v>0</v>
      </c>
      <c r="I12078" s="5"/>
      <c r="J12078" s="1" t="str">
        <f>IFERROR(__xludf.DUMMYFUNCTION("""COMPUTED_VALUE"""),"Rose Gabilan")</f>
        <v>Rose Gabilan</v>
      </c>
      <c r="K12078" s="1" t="str">
        <f>IFERROR(__xludf.DUMMYFUNCTION("""COMPUTED_VALUE"""),"Print Support PH")</f>
        <v>Print Support PH</v>
      </c>
      <c r="L12078" s="1" t="str">
        <f>IFERROR(__xludf.DUMMYFUNCTION("""COMPUTED_VALUE"""),"Print Print - CHT")</f>
        <v>Print Print - CHT</v>
      </c>
    </row>
    <row r="12079">
      <c r="A12079" s="1" t="str">
        <f>IFERROR(__xludf.DUMMYFUNCTION("""COMPUTED_VALUE"""),"2026 Apr")</f>
        <v>2026 Apr</v>
      </c>
      <c r="B12079" s="4">
        <f>IFERROR(__xludf.DUMMYFUNCTION("""COMPUTED_VALUE"""),46132.0)</f>
        <v>46132</v>
      </c>
      <c r="C12079" s="1" t="str">
        <f>IFERROR(__xludf.DUMMYFUNCTION("""COMPUTED_VALUE"""),"Print Support")</f>
        <v>Print Support</v>
      </c>
      <c r="D12079" s="1" t="str">
        <f>IFERROR(__xludf.DUMMYFUNCTION("""COMPUTED_VALUE"""),"795981ce-4d10-4d82-8c86-abfaee5aa819")</f>
        <v>795981ce-4d10-4d82-8c86-abfaee5aa819</v>
      </c>
      <c r="E12079" s="1"/>
      <c r="F12079" s="1"/>
      <c r="G12079" s="1"/>
      <c r="H12079" s="2">
        <f>IFERROR(__xludf.DUMMYFUNCTION("""COMPUTED_VALUE"""),0.0)</f>
        <v>0</v>
      </c>
      <c r="I12079" s="5"/>
      <c r="J12079" s="1" t="str">
        <f>IFERROR(__xludf.DUMMYFUNCTION("""COMPUTED_VALUE"""),"Rei De Jesus")</f>
        <v>Rei De Jesus</v>
      </c>
      <c r="K12079" s="1" t="str">
        <f>IFERROR(__xludf.DUMMYFUNCTION("""COMPUTED_VALUE"""),"Print Design Support")</f>
        <v>Print Design Support</v>
      </c>
      <c r="L12079" s="1" t="str">
        <f>IFERROR(__xludf.DUMMYFUNCTION("""COMPUTED_VALUE"""),"Print Print Design")</f>
        <v>Print Print Design</v>
      </c>
    </row>
    <row r="12080">
      <c r="A12080" s="1" t="str">
        <f>IFERROR(__xludf.DUMMYFUNCTION("""COMPUTED_VALUE"""),"2026 Apr")</f>
        <v>2026 Apr</v>
      </c>
      <c r="B12080" s="4">
        <f>IFERROR(__xludf.DUMMYFUNCTION("""COMPUTED_VALUE"""),46132.0)</f>
        <v>46132</v>
      </c>
      <c r="C12080" s="1" t="str">
        <f>IFERROR(__xludf.DUMMYFUNCTION("""COMPUTED_VALUE"""),"Core Product Support")</f>
        <v>Core Product Support</v>
      </c>
      <c r="D12080" s="1" t="str">
        <f>IFERROR(__xludf.DUMMYFUNCTION("""COMPUTED_VALUE"""),"c3188fb3-23e5-43d8-86c2-072029c768d3")</f>
        <v>c3188fb3-23e5-43d8-86c2-072029c768d3</v>
      </c>
      <c r="E12080" s="1">
        <f>IFERROR(__xludf.DUMMYFUNCTION("""COMPUTED_VALUE"""),1.0808000160399E13)</f>
        <v>10808000160399</v>
      </c>
      <c r="F12080" s="1"/>
      <c r="G12080" s="1">
        <f>IFERROR(__xludf.DUMMYFUNCTION("""COMPUTED_VALUE"""),1.25)</f>
        <v>1.25</v>
      </c>
      <c r="H12080" s="2">
        <f>IFERROR(__xludf.DUMMYFUNCTION("""COMPUTED_VALUE"""),1.25)</f>
        <v>1.25</v>
      </c>
      <c r="I12080" s="5">
        <f>IFERROR(__xludf.DUMMYFUNCTION("""COMPUTED_VALUE"""),1.0)</f>
        <v>1</v>
      </c>
      <c r="J12080" s="1" t="str">
        <f>IFERROR(__xludf.DUMMYFUNCTION("""COMPUTED_VALUE"""),"Cate Velasco")</f>
        <v>Cate Velasco</v>
      </c>
      <c r="K12080" s="1" t="str">
        <f>IFERROR(__xludf.DUMMYFUNCTION("""COMPUTED_VALUE"""),"Advanced Product Support")</f>
        <v>Advanced Product Support</v>
      </c>
      <c r="L12080" s="1" t="str">
        <f>IFERROR(__xludf.DUMMYFUNCTION("""COMPUTED_VALUE"""),"CPS Advanced Product Support (APS)")</f>
        <v>CPS Advanced Product Support (APS)</v>
      </c>
    </row>
    <row r="12081">
      <c r="A12081" s="1" t="str">
        <f>IFERROR(__xludf.DUMMYFUNCTION("""COMPUTED_VALUE"""),"2026 Apr")</f>
        <v>2026 Apr</v>
      </c>
      <c r="B12081" s="4">
        <f>IFERROR(__xludf.DUMMYFUNCTION("""COMPUTED_VALUE"""),46132.0)</f>
        <v>46132</v>
      </c>
      <c r="C12081" s="1" t="str">
        <f>IFERROR(__xludf.DUMMYFUNCTION("""COMPUTED_VALUE"""),"Core Product Support")</f>
        <v>Core Product Support</v>
      </c>
      <c r="D12081" s="1" t="str">
        <f>IFERROR(__xludf.DUMMYFUNCTION("""COMPUTED_VALUE"""),"64aee857-09bd-4a17-90d8-7b6e2d71c216")</f>
        <v>64aee857-09bd-4a17-90d8-7b6e2d71c216</v>
      </c>
      <c r="E12081" s="1">
        <f>IFERROR(__xludf.DUMMYFUNCTION("""COMPUTED_VALUE"""),3.61725374316E11)</f>
        <v>361725374316</v>
      </c>
      <c r="F12081" s="1"/>
      <c r="G12081" s="1">
        <f>IFERROR(__xludf.DUMMYFUNCTION("""COMPUTED_VALUE"""),2.5)</f>
        <v>2.5</v>
      </c>
      <c r="H12081" s="2">
        <f>IFERROR(__xludf.DUMMYFUNCTION("""COMPUTED_VALUE"""),2.5)</f>
        <v>2.5</v>
      </c>
      <c r="I12081" s="5">
        <f>IFERROR(__xludf.DUMMYFUNCTION("""COMPUTED_VALUE"""),1.0)</f>
        <v>1</v>
      </c>
      <c r="J12081" s="1" t="str">
        <f>IFERROR(__xludf.DUMMYFUNCTION("""COMPUTED_VALUE"""),"Sieg Ballelos")</f>
        <v>Sieg Ballelos</v>
      </c>
      <c r="K12081" s="1" t="str">
        <f>IFERROR(__xludf.DUMMYFUNCTION("""COMPUTED_VALUE"""),"Core Product Support Escalation Team")</f>
        <v>Core Product Support Escalation Team</v>
      </c>
      <c r="L12081"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2082">
      <c r="A12082" s="1" t="str">
        <f>IFERROR(__xludf.DUMMYFUNCTION("""COMPUTED_VALUE"""),"2026 Apr")</f>
        <v>2026 Apr</v>
      </c>
      <c r="B12082" s="4">
        <f>IFERROR(__xludf.DUMMYFUNCTION("""COMPUTED_VALUE"""),46132.0)</f>
        <v>46132</v>
      </c>
      <c r="C12082" s="1" t="str">
        <f>IFERROR(__xludf.DUMMYFUNCTION("""COMPUTED_VALUE"""),"High Sensitivity Support")</f>
        <v>High Sensitivity Support</v>
      </c>
      <c r="D12082" s="1" t="str">
        <f>IFERROR(__xludf.DUMMYFUNCTION("""COMPUTED_VALUE"""),"c7c30477-846d-4f22-bc04-2aab19385d44")</f>
        <v>c7c30477-846d-4f22-bc04-2aab19385d44</v>
      </c>
      <c r="E12082" s="1">
        <f>IFERROR(__xludf.DUMMYFUNCTION("""COMPUTED_VALUE"""),5.359149433359E12)</f>
        <v>5359149433359</v>
      </c>
      <c r="F12082" s="1"/>
      <c r="G12082" s="1"/>
      <c r="H12082" s="2">
        <f>IFERROR(__xludf.DUMMYFUNCTION("""COMPUTED_VALUE"""),0.0)</f>
        <v>0</v>
      </c>
      <c r="I12082" s="5"/>
      <c r="J12082" s="1" t="str">
        <f>IFERROR(__xludf.DUMMYFUNCTION("""COMPUTED_VALUE"""),"Xandy Azarcon")</f>
        <v>Xandy Azarcon</v>
      </c>
      <c r="K12082" s="1" t="str">
        <f>IFERROR(__xludf.DUMMYFUNCTION("""COMPUTED_VALUE"""),"High Sensitivity Support PH")</f>
        <v>High Sensitivity Support PH</v>
      </c>
      <c r="L12082" s="1" t="str">
        <f>IFERROR(__xludf.DUMMYFUNCTION("""COMPUTED_VALUE"""),"HSS High Sensitivity Support PH - CHT")</f>
        <v>HSS High Sensitivity Support PH - CHT</v>
      </c>
    </row>
    <row r="12083">
      <c r="A12083" s="1" t="str">
        <f>IFERROR(__xludf.DUMMYFUNCTION("""COMPUTED_VALUE"""),"2026 Apr")</f>
        <v>2026 Apr</v>
      </c>
      <c r="B12083" s="4">
        <f>IFERROR(__xludf.DUMMYFUNCTION("""COMPUTED_VALUE"""),46132.0)</f>
        <v>46132</v>
      </c>
      <c r="C12083" s="1" t="str">
        <f>IFERROR(__xludf.DUMMYFUNCTION("""COMPUTED_VALUE"""),"High Sensitivity Support")</f>
        <v>High Sensitivity Support</v>
      </c>
      <c r="D12083" s="1" t="str">
        <f>IFERROR(__xludf.DUMMYFUNCTION("""COMPUTED_VALUE"""),"42147b58-e8e5-4766-a41a-8d98cf8a5872")</f>
        <v>42147b58-e8e5-4766-a41a-8d98cf8a5872</v>
      </c>
      <c r="E12083" s="1">
        <f>IFERROR(__xludf.DUMMYFUNCTION("""COMPUTED_VALUE"""),5.359185373455E12)</f>
        <v>5359185373455</v>
      </c>
      <c r="F12083" s="1"/>
      <c r="G12083" s="1"/>
      <c r="H12083" s="2">
        <f>IFERROR(__xludf.DUMMYFUNCTION("""COMPUTED_VALUE"""),0.0)</f>
        <v>0</v>
      </c>
      <c r="I12083" s="5"/>
      <c r="J12083" s="1" t="str">
        <f>IFERROR(__xludf.DUMMYFUNCTION("""COMPUTED_VALUE"""),"Rossheen Pura")</f>
        <v>Rossheen Pura</v>
      </c>
      <c r="K12083" s="1" t="str">
        <f>IFERROR(__xludf.DUMMYFUNCTION("""COMPUTED_VALUE"""),"High Sensitivity Support PH")</f>
        <v>High Sensitivity Support PH</v>
      </c>
      <c r="L12083" s="1" t="str">
        <f>IFERROR(__xludf.DUMMYFUNCTION("""COMPUTED_VALUE"""),"HSS High Sensitivity Support PH - CHT")</f>
        <v>HSS High Sensitivity Support PH - CHT</v>
      </c>
    </row>
    <row r="12084">
      <c r="A12084" s="1" t="str">
        <f>IFERROR(__xludf.DUMMYFUNCTION("""COMPUTED_VALUE"""),"2026 Apr")</f>
        <v>2026 Apr</v>
      </c>
      <c r="B12084" s="4">
        <f>IFERROR(__xludf.DUMMYFUNCTION("""COMPUTED_VALUE"""),46132.0)</f>
        <v>46132</v>
      </c>
      <c r="C12084" s="1" t="str">
        <f>IFERROR(__xludf.DUMMYFUNCTION("""COMPUTED_VALUE"""),"Core Product Support")</f>
        <v>Core Product Support</v>
      </c>
      <c r="D12084" s="1" t="str">
        <f>IFERROR(__xludf.DUMMYFUNCTION("""COMPUTED_VALUE"""),"b70eebc6-c7c9-48bc-a876-82736f994fb9")</f>
        <v>b70eebc6-c7c9-48bc-a876-82736f994fb9</v>
      </c>
      <c r="E12084" s="1">
        <f>IFERROR(__xludf.DUMMYFUNCTION("""COMPUTED_VALUE"""),1.1401980902415E13)</f>
        <v>11401980902415</v>
      </c>
      <c r="F12084" s="1"/>
      <c r="G12084" s="1">
        <f>IFERROR(__xludf.DUMMYFUNCTION("""COMPUTED_VALUE"""),1.25)</f>
        <v>1.25</v>
      </c>
      <c r="H12084" s="2">
        <f>IFERROR(__xludf.DUMMYFUNCTION("""COMPUTED_VALUE"""),1.25)</f>
        <v>1.25</v>
      </c>
      <c r="I12084" s="5">
        <f>IFERROR(__xludf.DUMMYFUNCTION("""COMPUTED_VALUE"""),1.0)</f>
        <v>1</v>
      </c>
      <c r="J12084" s="1" t="str">
        <f>IFERROR(__xludf.DUMMYFUNCTION("""COMPUTED_VALUE"""),"Ayza Marie Pascual")</f>
        <v>Ayza Marie Pascual</v>
      </c>
      <c r="K12084" s="1" t="str">
        <f>IFERROR(__xludf.DUMMYFUNCTION("""COMPUTED_VALUE"""),"Advanced Billing &amp; Subscriptions")</f>
        <v>Advanced Billing &amp; Subscriptions</v>
      </c>
      <c r="L12084" s="1" t="str">
        <f>IFERROR(__xludf.DUMMYFUNCTION("""COMPUTED_VALUE"""),"CPS Advanced Billing and Subscriptions (ABS)")</f>
        <v>CPS Advanced Billing and Subscriptions (ABS)</v>
      </c>
    </row>
    <row r="12085">
      <c r="A12085" s="1" t="str">
        <f>IFERROR(__xludf.DUMMYFUNCTION("""COMPUTED_VALUE"""),"2026 Apr")</f>
        <v>2026 Apr</v>
      </c>
      <c r="B12085" s="4">
        <f>IFERROR(__xludf.DUMMYFUNCTION("""COMPUTED_VALUE"""),46132.0)</f>
        <v>46132</v>
      </c>
      <c r="C12085" s="1" t="str">
        <f>IFERROR(__xludf.DUMMYFUNCTION("""COMPUTED_VALUE"""),"Core Product Support")</f>
        <v>Core Product Support</v>
      </c>
      <c r="D12085" s="1" t="str">
        <f>IFERROR(__xludf.DUMMYFUNCTION("""COMPUTED_VALUE"""),"9d825d2e-3519-4559-9782-f32e81d2d824")</f>
        <v>9d825d2e-3519-4559-9782-f32e81d2d824</v>
      </c>
      <c r="E12085" s="1">
        <f>IFERROR(__xludf.DUMMYFUNCTION("""COMPUTED_VALUE"""),3.61861297715E11)</f>
        <v>361861297715</v>
      </c>
      <c r="F12085" s="1"/>
      <c r="G12085" s="1">
        <f>IFERROR(__xludf.DUMMYFUNCTION("""COMPUTED_VALUE"""),1.25)</f>
        <v>1.25</v>
      </c>
      <c r="H12085" s="2">
        <f>IFERROR(__xludf.DUMMYFUNCTION("""COMPUTED_VALUE"""),1.25)</f>
        <v>1.25</v>
      </c>
      <c r="I12085" s="5">
        <f>IFERROR(__xludf.DUMMYFUNCTION("""COMPUTED_VALUE"""),1.0)</f>
        <v>1</v>
      </c>
      <c r="J12085" s="1" t="str">
        <f>IFERROR(__xludf.DUMMYFUNCTION("""COMPUTED_VALUE"""),"Jem Mondoñedo")</f>
        <v>Jem Mondoñedo</v>
      </c>
      <c r="K12085" s="1" t="str">
        <f>IFERROR(__xludf.DUMMYFUNCTION("""COMPUTED_VALUE"""),"Advanced Billing &amp; Subscriptions")</f>
        <v>Advanced Billing &amp; Subscriptions</v>
      </c>
      <c r="L12085" s="1" t="str">
        <f>IFERROR(__xludf.DUMMYFUNCTION("""COMPUTED_VALUE"""),"CPS Advanced Billing and Subscriptions (ABS)")</f>
        <v>CPS Advanced Billing and Subscriptions (ABS)</v>
      </c>
    </row>
    <row r="12086">
      <c r="A12086" s="1" t="str">
        <f>IFERROR(__xludf.DUMMYFUNCTION("""COMPUTED_VALUE"""),"2026 Apr")</f>
        <v>2026 Apr</v>
      </c>
      <c r="B12086" s="4">
        <f>IFERROR(__xludf.DUMMYFUNCTION("""COMPUTED_VALUE"""),46132.0)</f>
        <v>46132</v>
      </c>
      <c r="C12086" s="1" t="str">
        <f>IFERROR(__xludf.DUMMYFUNCTION("""COMPUTED_VALUE"""),"Core Product Support")</f>
        <v>Core Product Support</v>
      </c>
      <c r="D12086" s="1" t="str">
        <f>IFERROR(__xludf.DUMMYFUNCTION("""COMPUTED_VALUE"""),"f05426fa-d3ef-48ef-9506-1b0d003468b9")</f>
        <v>f05426fa-d3ef-48ef-9506-1b0d003468b9</v>
      </c>
      <c r="E12086" s="1">
        <f>IFERROR(__xludf.DUMMYFUNCTION("""COMPUTED_VALUE"""),8.409892191631E12)</f>
        <v>8409892191631</v>
      </c>
      <c r="F12086" s="1"/>
      <c r="G12086" s="1">
        <f>IFERROR(__xludf.DUMMYFUNCTION("""COMPUTED_VALUE"""),1.25)</f>
        <v>1.25</v>
      </c>
      <c r="H12086" s="2">
        <f>IFERROR(__xludf.DUMMYFUNCTION("""COMPUTED_VALUE"""),1.25)</f>
        <v>1.25</v>
      </c>
      <c r="I12086" s="5">
        <f>IFERROR(__xludf.DUMMYFUNCTION("""COMPUTED_VALUE"""),1.0)</f>
        <v>1</v>
      </c>
      <c r="J12086" s="1" t="str">
        <f>IFERROR(__xludf.DUMMYFUNCTION("""COMPUTED_VALUE"""),"Jahmie Mae Barrameda")</f>
        <v>Jahmie Mae Barrameda</v>
      </c>
      <c r="K12086" s="1" t="str">
        <f>IFERROR(__xludf.DUMMYFUNCTION("""COMPUTED_VALUE"""),"Advanced Billing &amp; Subscriptions")</f>
        <v>Advanced Billing &amp; Subscriptions</v>
      </c>
      <c r="L12086" s="1" t="str">
        <f>IFERROR(__xludf.DUMMYFUNCTION("""COMPUTED_VALUE"""),"CPS Advanced Billing and Subscriptions (ABS)")</f>
        <v>CPS Advanced Billing and Subscriptions (ABS)</v>
      </c>
    </row>
    <row r="12087">
      <c r="A12087" s="1" t="str">
        <f>IFERROR(__xludf.DUMMYFUNCTION("""COMPUTED_VALUE"""),"2026 Apr")</f>
        <v>2026 Apr</v>
      </c>
      <c r="B12087" s="4">
        <f>IFERROR(__xludf.DUMMYFUNCTION("""COMPUTED_VALUE"""),46132.0)</f>
        <v>46132</v>
      </c>
      <c r="C12087" s="1" t="str">
        <f>IFERROR(__xludf.DUMMYFUNCTION("""COMPUTED_VALUE"""),"Multilingual Support")</f>
        <v>Multilingual Support</v>
      </c>
      <c r="D12087" s="1" t="str">
        <f>IFERROR(__xludf.DUMMYFUNCTION("""COMPUTED_VALUE"""),"ddff770a-8bbb-4a78-9bec-f5c563c6b901")</f>
        <v>ddff770a-8bbb-4a78-9bec-f5c563c6b901</v>
      </c>
      <c r="E12087" s="1">
        <f>IFERROR(__xludf.DUMMYFUNCTION("""COMPUTED_VALUE"""),4.759846838031E12)</f>
        <v>4759846838031</v>
      </c>
      <c r="F12087" s="1"/>
      <c r="G12087" s="1"/>
      <c r="H12087" s="2">
        <f>IFERROR(__xludf.DUMMYFUNCTION("""COMPUTED_VALUE"""),0.0)</f>
        <v>0</v>
      </c>
      <c r="I12087" s="5"/>
      <c r="J12087" s="1" t="str">
        <f>IFERROR(__xludf.DUMMYFUNCTION("""COMPUTED_VALUE"""),"Arlene Maurillo")</f>
        <v>Arlene Maurillo</v>
      </c>
      <c r="K12087" s="1" t="str">
        <f>IFERROR(__xludf.DUMMYFUNCTION("""COMPUTED_VALUE"""),"PHL, Multilingual Support")</f>
        <v>PHL, Multilingual Support</v>
      </c>
      <c r="L12087" s="1" t="str">
        <f>IFERROR(__xludf.DUMMYFUNCTION("""COMPUTED_VALUE"""),"ML Portuguese Support")</f>
        <v>ML Portuguese Support</v>
      </c>
    </row>
    <row r="12088">
      <c r="A12088" s="1" t="str">
        <f>IFERROR(__xludf.DUMMYFUNCTION("""COMPUTED_VALUE"""),"2026 Apr")</f>
        <v>2026 Apr</v>
      </c>
      <c r="B12088" s="4">
        <f>IFERROR(__xludf.DUMMYFUNCTION("""COMPUTED_VALUE"""),46132.0)</f>
        <v>46132</v>
      </c>
      <c r="C12088" s="1" t="str">
        <f>IFERROR(__xludf.DUMMYFUNCTION("""COMPUTED_VALUE"""),"Core Product Support")</f>
        <v>Core Product Support</v>
      </c>
      <c r="D12088" s="1" t="str">
        <f>IFERROR(__xludf.DUMMYFUNCTION("""COMPUTED_VALUE"""),"50370a17-1382-4a9f-8e42-5d34af042f22")</f>
        <v>50370a17-1382-4a9f-8e42-5d34af042f22</v>
      </c>
      <c r="E12088" s="1">
        <f>IFERROR(__xludf.DUMMYFUNCTION("""COMPUTED_VALUE"""),1.1401981770511E13)</f>
        <v>11401981770511</v>
      </c>
      <c r="F12088" s="1"/>
      <c r="G12088" s="1">
        <f>IFERROR(__xludf.DUMMYFUNCTION("""COMPUTED_VALUE"""),1.25)</f>
        <v>1.25</v>
      </c>
      <c r="H12088" s="2">
        <f>IFERROR(__xludf.DUMMYFUNCTION("""COMPUTED_VALUE"""),1.25)</f>
        <v>1.25</v>
      </c>
      <c r="I12088" s="5">
        <f>IFERROR(__xludf.DUMMYFUNCTION("""COMPUTED_VALUE"""),1.0)</f>
        <v>1</v>
      </c>
      <c r="J12088" s="1" t="str">
        <f>IFERROR(__xludf.DUMMYFUNCTION("""COMPUTED_VALUE"""),"Mikhaela Decangchon")</f>
        <v>Mikhaela Decangchon</v>
      </c>
      <c r="K12088" s="1" t="str">
        <f>IFERROR(__xludf.DUMMYFUNCTION("""COMPUTED_VALUE"""),"Advanced Product Support")</f>
        <v>Advanced Product Support</v>
      </c>
      <c r="L12088" s="1" t="str">
        <f>IFERROR(__xludf.DUMMYFUNCTION("""COMPUTED_VALUE"""),"CPS Advanced Product Support (APS)")</f>
        <v>CPS Advanced Product Support (APS)</v>
      </c>
    </row>
    <row r="12089">
      <c r="A12089" s="1" t="str">
        <f>IFERROR(__xludf.DUMMYFUNCTION("""COMPUTED_VALUE"""),"2026 Apr")</f>
        <v>2026 Apr</v>
      </c>
      <c r="B12089" s="4">
        <f>IFERROR(__xludf.DUMMYFUNCTION("""COMPUTED_VALUE"""),46132.0)</f>
        <v>46132</v>
      </c>
      <c r="C12089" s="1" t="str">
        <f>IFERROR(__xludf.DUMMYFUNCTION("""COMPUTED_VALUE"""),"Core Product Support")</f>
        <v>Core Product Support</v>
      </c>
      <c r="D12089" s="1" t="str">
        <f>IFERROR(__xludf.DUMMYFUNCTION("""COMPUTED_VALUE"""),"6472d23f-e427-46f0-a9cb-1e9b17ddfd44")</f>
        <v>6472d23f-e427-46f0-a9cb-1e9b17ddfd44</v>
      </c>
      <c r="E12089" s="1">
        <f>IFERROR(__xludf.DUMMYFUNCTION("""COMPUTED_VALUE"""),1.0548627051023E13)</f>
        <v>10548627051023</v>
      </c>
      <c r="F12089" s="1"/>
      <c r="G12089" s="1">
        <f>IFERROR(__xludf.DUMMYFUNCTION("""COMPUTED_VALUE"""),1.25)</f>
        <v>1.25</v>
      </c>
      <c r="H12089" s="2">
        <f>IFERROR(__xludf.DUMMYFUNCTION("""COMPUTED_VALUE"""),1.25)</f>
        <v>1.25</v>
      </c>
      <c r="I12089" s="5">
        <f>IFERROR(__xludf.DUMMYFUNCTION("""COMPUTED_VALUE"""),1.0)</f>
        <v>1</v>
      </c>
      <c r="J12089" s="1" t="str">
        <f>IFERROR(__xludf.DUMMYFUNCTION("""COMPUTED_VALUE"""),"Belle Bentazal")</f>
        <v>Belle Bentazal</v>
      </c>
      <c r="K12089" s="1" t="str">
        <f>IFERROR(__xludf.DUMMYFUNCTION("""COMPUTED_VALUE"""),"Advanced Product Support")</f>
        <v>Advanced Product Support</v>
      </c>
      <c r="L12089" s="1" t="str">
        <f>IFERROR(__xludf.DUMMYFUNCTION("""COMPUTED_VALUE"""),"CPS Advanced Product Support (APS)")</f>
        <v>CPS Advanced Product Support (APS)</v>
      </c>
    </row>
    <row r="12090">
      <c r="A12090" s="1" t="str">
        <f>IFERROR(__xludf.DUMMYFUNCTION("""COMPUTED_VALUE"""),"2026 Apr")</f>
        <v>2026 Apr</v>
      </c>
      <c r="B12090" s="4">
        <f>IFERROR(__xludf.DUMMYFUNCTION("""COMPUTED_VALUE"""),46132.0)</f>
        <v>46132</v>
      </c>
      <c r="C12090" s="1" t="str">
        <f>IFERROR(__xludf.DUMMYFUNCTION("""COMPUTED_VALUE"""),"Core Product Support")</f>
        <v>Core Product Support</v>
      </c>
      <c r="D12090" s="1" t="str">
        <f>IFERROR(__xludf.DUMMYFUNCTION("""COMPUTED_VALUE"""),"03428ca1-a361-4015-9a9f-9609cb3ad0fe")</f>
        <v>03428ca1-a361-4015-9a9f-9609cb3ad0fe</v>
      </c>
      <c r="E12090" s="1">
        <f>IFERROR(__xludf.DUMMYFUNCTION("""COMPUTED_VALUE"""),5.047314651919E12)</f>
        <v>5047314651919</v>
      </c>
      <c r="F12090" s="1"/>
      <c r="G12090" s="1">
        <f>IFERROR(__xludf.DUMMYFUNCTION("""COMPUTED_VALUE"""),2.5)</f>
        <v>2.5</v>
      </c>
      <c r="H12090" s="2">
        <f>IFERROR(__xludf.DUMMYFUNCTION("""COMPUTED_VALUE"""),2.5)</f>
        <v>2.5</v>
      </c>
      <c r="I12090" s="5">
        <f>IFERROR(__xludf.DUMMYFUNCTION("""COMPUTED_VALUE"""),1.0)</f>
        <v>1</v>
      </c>
      <c r="J12090" s="1" t="str">
        <f>IFERROR(__xludf.DUMMYFUNCTION("""COMPUTED_VALUE"""),"Jelyn Elmido")</f>
        <v>Jelyn Elmido</v>
      </c>
      <c r="K12090" s="1" t="str">
        <f>IFERROR(__xludf.DUMMYFUNCTION("""COMPUTED_VALUE"""),"Core Product Support Escalation Team")</f>
        <v>Core Product Support Escalation Team</v>
      </c>
      <c r="L12090"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2091">
      <c r="A12091" s="1" t="str">
        <f>IFERROR(__xludf.DUMMYFUNCTION("""COMPUTED_VALUE"""),"2026 Apr")</f>
        <v>2026 Apr</v>
      </c>
      <c r="B12091" s="4">
        <f>IFERROR(__xludf.DUMMYFUNCTION("""COMPUTED_VALUE"""),46132.0)</f>
        <v>46132</v>
      </c>
      <c r="C12091" s="1" t="str">
        <f>IFERROR(__xludf.DUMMYFUNCTION("""COMPUTED_VALUE"""),"Core Product Support")</f>
        <v>Core Product Support</v>
      </c>
      <c r="D12091" s="1" t="str">
        <f>IFERROR(__xludf.DUMMYFUNCTION("""COMPUTED_VALUE"""),"eb75942b-e616-42a5-bbc5-1d6cc92843bb")</f>
        <v>eb75942b-e616-42a5-bbc5-1d6cc92843bb</v>
      </c>
      <c r="E12091" s="1">
        <f>IFERROR(__xludf.DUMMYFUNCTION("""COMPUTED_VALUE"""),7.437355919375E12)</f>
        <v>7437355919375</v>
      </c>
      <c r="F12091" s="1"/>
      <c r="G12091" s="1">
        <f>IFERROR(__xludf.DUMMYFUNCTION("""COMPUTED_VALUE"""),1.25)</f>
        <v>1.25</v>
      </c>
      <c r="H12091" s="2">
        <f>IFERROR(__xludf.DUMMYFUNCTION("""COMPUTED_VALUE"""),1.25)</f>
        <v>1.25</v>
      </c>
      <c r="I12091" s="5">
        <f>IFERROR(__xludf.DUMMYFUNCTION("""COMPUTED_VALUE"""),1.0)</f>
        <v>1</v>
      </c>
      <c r="J12091" s="1" t="str">
        <f>IFERROR(__xludf.DUMMYFUNCTION("""COMPUTED_VALUE"""),"Ana Lazaro")</f>
        <v>Ana Lazaro</v>
      </c>
      <c r="K12091" s="1" t="str">
        <f>IFERROR(__xludf.DUMMYFUNCTION("""COMPUTED_VALUE"""),"Advanced Billing &amp; Subscriptions")</f>
        <v>Advanced Billing &amp; Subscriptions</v>
      </c>
      <c r="L12091" s="1" t="str">
        <f>IFERROR(__xludf.DUMMYFUNCTION("""COMPUTED_VALUE"""),"CPS Advanced Billing and Subscriptions (ABS)")</f>
        <v>CPS Advanced Billing and Subscriptions (ABS)</v>
      </c>
    </row>
    <row r="12092">
      <c r="A12092" s="1" t="str">
        <f>IFERROR(__xludf.DUMMYFUNCTION("""COMPUTED_VALUE"""),"2026 Apr")</f>
        <v>2026 Apr</v>
      </c>
      <c r="B12092" s="4">
        <f>IFERROR(__xludf.DUMMYFUNCTION("""COMPUTED_VALUE"""),46132.0)</f>
        <v>46132</v>
      </c>
      <c r="C12092" s="1" t="str">
        <f>IFERROR(__xludf.DUMMYFUNCTION("""COMPUTED_VALUE"""),"Admin Support")</f>
        <v>Admin Support</v>
      </c>
      <c r="D12092" s="1" t="str">
        <f>IFERROR(__xludf.DUMMYFUNCTION("""COMPUTED_VALUE"""),"3f58d026-d7af-4464-8ba2-17fb4976b8ac")</f>
        <v>3f58d026-d7af-4464-8ba2-17fb4976b8ac</v>
      </c>
      <c r="E12092" s="1">
        <f>IFERROR(__xludf.DUMMYFUNCTION("""COMPUTED_VALUE"""),3.61724668516E11)</f>
        <v>361724668516</v>
      </c>
      <c r="F12092" s="1"/>
      <c r="G12092" s="1"/>
      <c r="H12092" s="2">
        <f>IFERROR(__xludf.DUMMYFUNCTION("""COMPUTED_VALUE"""),0.0)</f>
        <v>0</v>
      </c>
      <c r="I12092" s="5"/>
      <c r="J12092" s="1" t="str">
        <f>IFERROR(__xludf.DUMMYFUNCTION("""COMPUTED_VALUE"""),"Karla Mananghaya")</f>
        <v>Karla Mananghaya</v>
      </c>
      <c r="K12092" s="1" t="str">
        <f>IFERROR(__xludf.DUMMYFUNCTION("""COMPUTED_VALUE"""),"Admin Support Service Escalation Team")</f>
        <v>Admin Support Service Escalation Team</v>
      </c>
      <c r="L12092" s="1" t="str">
        <f>IFERROR(__xludf.DUMMYFUNCTION("""COMPUTED_VALUE"""),"Admin ASSET")</f>
        <v>Admin ASSET</v>
      </c>
    </row>
    <row r="12093">
      <c r="A12093" s="1" t="str">
        <f>IFERROR(__xludf.DUMMYFUNCTION("""COMPUTED_VALUE"""),"2026 Apr")</f>
        <v>2026 Apr</v>
      </c>
      <c r="B12093" s="4">
        <f>IFERROR(__xludf.DUMMYFUNCTION("""COMPUTED_VALUE"""),46132.0)</f>
        <v>46132</v>
      </c>
      <c r="C12093" s="1" t="str">
        <f>IFERROR(__xludf.DUMMYFUNCTION("""COMPUTED_VALUE"""),"Admin Support")</f>
        <v>Admin Support</v>
      </c>
      <c r="D12093" s="1" t="str">
        <f>IFERROR(__xludf.DUMMYFUNCTION("""COMPUTED_VALUE"""),"021b74ea-5511-4b56-9f2a-6ea9d6443caa")</f>
        <v>021b74ea-5511-4b56-9f2a-6ea9d6443caa</v>
      </c>
      <c r="E12093" s="1">
        <f>IFERROR(__xludf.DUMMYFUNCTION("""COMPUTED_VALUE"""),3.61725374416E11)</f>
        <v>361725374416</v>
      </c>
      <c r="F12093" s="1"/>
      <c r="G12093" s="1">
        <f>IFERROR(__xludf.DUMMYFUNCTION("""COMPUTED_VALUE"""),0.25)</f>
        <v>0.25</v>
      </c>
      <c r="H12093" s="2">
        <f>IFERROR(__xludf.DUMMYFUNCTION("""COMPUTED_VALUE"""),0.25)</f>
        <v>0.25</v>
      </c>
      <c r="I12093" s="5">
        <f>IFERROR(__xludf.DUMMYFUNCTION("""COMPUTED_VALUE"""),1.0)</f>
        <v>1</v>
      </c>
      <c r="J12093" s="1" t="str">
        <f>IFERROR(__xludf.DUMMYFUNCTION("""COMPUTED_VALUE"""),"Pau Palmero")</f>
        <v>Pau Palmero</v>
      </c>
      <c r="K12093" s="1" t="str">
        <f>IFERROR(__xludf.DUMMYFUNCTION("""COMPUTED_VALUE"""),"Admin Omni Support")</f>
        <v>Admin Omni Support</v>
      </c>
      <c r="L12093" s="1" t="str">
        <f>IFERROR(__xludf.DUMMYFUNCTION("""COMPUTED_VALUE"""),"Admin Omni Support")</f>
        <v>Admin Omni Support</v>
      </c>
    </row>
    <row r="12094">
      <c r="A12094" s="1" t="str">
        <f>IFERROR(__xludf.DUMMYFUNCTION("""COMPUTED_VALUE"""),"2026 Apr")</f>
        <v>2026 Apr</v>
      </c>
      <c r="B12094" s="4">
        <f>IFERROR(__xludf.DUMMYFUNCTION("""COMPUTED_VALUE"""),46132.0)</f>
        <v>46132</v>
      </c>
      <c r="C12094" s="1" t="str">
        <f>IFERROR(__xludf.DUMMYFUNCTION("""COMPUTED_VALUE"""),"Admin Support")</f>
        <v>Admin Support</v>
      </c>
      <c r="D12094" s="1" t="str">
        <f>IFERROR(__xludf.DUMMYFUNCTION("""COMPUTED_VALUE"""),"328935f7-c639-4b8f-8512-a9641b2cf808")</f>
        <v>328935f7-c639-4b8f-8512-a9641b2cf808</v>
      </c>
      <c r="E12094" s="1">
        <f>IFERROR(__xludf.DUMMYFUNCTION("""COMPUTED_VALUE"""),3.61731648215E11)</f>
        <v>361731648215</v>
      </c>
      <c r="F12094" s="1"/>
      <c r="G12094" s="1">
        <f>IFERROR(__xludf.DUMMYFUNCTION("""COMPUTED_VALUE"""),0.25)</f>
        <v>0.25</v>
      </c>
      <c r="H12094" s="2">
        <f>IFERROR(__xludf.DUMMYFUNCTION("""COMPUTED_VALUE"""),0.25)</f>
        <v>0.25</v>
      </c>
      <c r="I12094" s="5">
        <f>IFERROR(__xludf.DUMMYFUNCTION("""COMPUTED_VALUE"""),1.0)</f>
        <v>1</v>
      </c>
      <c r="J12094" s="1" t="str">
        <f>IFERROR(__xludf.DUMMYFUNCTION("""COMPUTED_VALUE"""),"Pau Palmero")</f>
        <v>Pau Palmero</v>
      </c>
      <c r="K12094" s="1" t="str">
        <f>IFERROR(__xludf.DUMMYFUNCTION("""COMPUTED_VALUE"""),"Admin Omni Support")</f>
        <v>Admin Omni Support</v>
      </c>
      <c r="L12094" s="1" t="str">
        <f>IFERROR(__xludf.DUMMYFUNCTION("""COMPUTED_VALUE"""),"Admin Omni Support")</f>
        <v>Admin Omni Support</v>
      </c>
    </row>
    <row r="12095">
      <c r="A12095" s="1" t="str">
        <f>IFERROR(__xludf.DUMMYFUNCTION("""COMPUTED_VALUE"""),"2026 Apr")</f>
        <v>2026 Apr</v>
      </c>
      <c r="B12095" s="4">
        <f>IFERROR(__xludf.DUMMYFUNCTION("""COMPUTED_VALUE"""),46132.0)</f>
        <v>46132</v>
      </c>
      <c r="C12095" s="1" t="str">
        <f>IFERROR(__xludf.DUMMYFUNCTION("""COMPUTED_VALUE"""),"Core Product Support")</f>
        <v>Core Product Support</v>
      </c>
      <c r="D12095" s="1" t="str">
        <f>IFERROR(__xludf.DUMMYFUNCTION("""COMPUTED_VALUE"""),"157b66db-b9f4-4a3d-a00a-5cf3eefe9b58")</f>
        <v>157b66db-b9f4-4a3d-a00a-5cf3eefe9b58</v>
      </c>
      <c r="E12095" s="1">
        <f>IFERROR(__xludf.DUMMYFUNCTION("""COMPUTED_VALUE"""),3.61731791835E11)</f>
        <v>361731791835</v>
      </c>
      <c r="F12095" s="1"/>
      <c r="G12095" s="1">
        <f>IFERROR(__xludf.DUMMYFUNCTION("""COMPUTED_VALUE"""),1.25)</f>
        <v>1.25</v>
      </c>
      <c r="H12095" s="2">
        <f>IFERROR(__xludf.DUMMYFUNCTION("""COMPUTED_VALUE"""),1.25)</f>
        <v>1.25</v>
      </c>
      <c r="I12095" s="5">
        <f>IFERROR(__xludf.DUMMYFUNCTION("""COMPUTED_VALUE"""),1.0)</f>
        <v>1</v>
      </c>
      <c r="J12095" s="1" t="str">
        <f>IFERROR(__xludf.DUMMYFUNCTION("""COMPUTED_VALUE"""),"Renette Bok")</f>
        <v>Renette Bok</v>
      </c>
      <c r="K12095" s="1" t="str">
        <f>IFERROR(__xludf.DUMMYFUNCTION("""COMPUTED_VALUE"""),"Advanced Billing &amp; Subscriptions")</f>
        <v>Advanced Billing &amp; Subscriptions</v>
      </c>
      <c r="L12095" s="1" t="str">
        <f>IFERROR(__xludf.DUMMYFUNCTION("""COMPUTED_VALUE"""),"CPS Advanced Billing and Subscriptions (ABS)")</f>
        <v>CPS Advanced Billing and Subscriptions (ABS)</v>
      </c>
    </row>
    <row r="12096">
      <c r="A12096" s="1" t="str">
        <f>IFERROR(__xludf.DUMMYFUNCTION("""COMPUTED_VALUE"""),"2026 Apr")</f>
        <v>2026 Apr</v>
      </c>
      <c r="B12096" s="4">
        <f>IFERROR(__xludf.DUMMYFUNCTION("""COMPUTED_VALUE"""),46132.0)</f>
        <v>46132</v>
      </c>
      <c r="C12096" s="1" t="str">
        <f>IFERROR(__xludf.DUMMYFUNCTION("""COMPUTED_VALUE"""),"Core Product Support")</f>
        <v>Core Product Support</v>
      </c>
      <c r="D12096" s="1" t="str">
        <f>IFERROR(__xludf.DUMMYFUNCTION("""COMPUTED_VALUE"""),"9f2b3750-482b-4498-a201-4e32c8fad021")</f>
        <v>9f2b3750-482b-4498-a201-4e32c8fad021</v>
      </c>
      <c r="E12096" s="1">
        <f>IFERROR(__xludf.DUMMYFUNCTION("""COMPUTED_VALUE"""),3.61861298275E11)</f>
        <v>361861298275</v>
      </c>
      <c r="F12096" s="1"/>
      <c r="G12096" s="1">
        <f>IFERROR(__xludf.DUMMYFUNCTION("""COMPUTED_VALUE"""),2.0)</f>
        <v>2</v>
      </c>
      <c r="H12096" s="2">
        <f>IFERROR(__xludf.DUMMYFUNCTION("""COMPUTED_VALUE"""),2.0)</f>
        <v>2</v>
      </c>
      <c r="I12096" s="5">
        <f>IFERROR(__xludf.DUMMYFUNCTION("""COMPUTED_VALUE"""),1.0)</f>
        <v>1</v>
      </c>
      <c r="J12096" s="1" t="str">
        <f>IFERROR(__xludf.DUMMYFUNCTION("""COMPUTED_VALUE"""),"Jelyn Elmido")</f>
        <v>Jelyn Elmido</v>
      </c>
      <c r="K12096" s="1" t="str">
        <f>IFERROR(__xludf.DUMMYFUNCTION("""COMPUTED_VALUE"""),"Core Product Support Escalation Team")</f>
        <v>Core Product Support Escalation Team</v>
      </c>
      <c r="L12096"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2097">
      <c r="A12097" s="1" t="str">
        <f>IFERROR(__xludf.DUMMYFUNCTION("""COMPUTED_VALUE"""),"2026 Apr")</f>
        <v>2026 Apr</v>
      </c>
      <c r="B12097" s="4">
        <f>IFERROR(__xludf.DUMMYFUNCTION("""COMPUTED_VALUE"""),46132.0)</f>
        <v>46132</v>
      </c>
      <c r="C12097" s="1" t="str">
        <f>IFERROR(__xludf.DUMMYFUNCTION("""COMPUTED_VALUE"""),"High Sensitivity Support")</f>
        <v>High Sensitivity Support</v>
      </c>
      <c r="D12097" s="1" t="str">
        <f>IFERROR(__xludf.DUMMYFUNCTION("""COMPUTED_VALUE"""),"572f7cc4-e4a6-4132-92cf-6f6ba75ee4d7")</f>
        <v>572f7cc4-e4a6-4132-92cf-6f6ba75ee4d7</v>
      </c>
      <c r="E12097" s="1">
        <f>IFERROR(__xludf.DUMMYFUNCTION("""COMPUTED_VALUE"""),5.202419220111E12)</f>
        <v>5202419220111</v>
      </c>
      <c r="F12097" s="1"/>
      <c r="G12097" s="1"/>
      <c r="H12097" s="2">
        <f>IFERROR(__xludf.DUMMYFUNCTION("""COMPUTED_VALUE"""),0.0)</f>
        <v>0</v>
      </c>
      <c r="I12097" s="5"/>
      <c r="J12097" s="1" t="str">
        <f>IFERROR(__xludf.DUMMYFUNCTION("""COMPUTED_VALUE"""),"Issi Afable")</f>
        <v>Issi Afable</v>
      </c>
      <c r="K12097" s="1" t="str">
        <f>IFERROR(__xludf.DUMMYFUNCTION("""COMPUTED_VALUE"""),"High Sensitivity Support PH")</f>
        <v>High Sensitivity Support PH</v>
      </c>
      <c r="L12097" s="1" t="str">
        <f>IFERROR(__xludf.DUMMYFUNCTION("""COMPUTED_VALUE"""),"HSS High Sensitivity Support PH - SEE")</f>
        <v>HSS High Sensitivity Support PH - SEE</v>
      </c>
    </row>
    <row r="12098">
      <c r="A12098" s="1" t="str">
        <f>IFERROR(__xludf.DUMMYFUNCTION("""COMPUTED_VALUE"""),"2026 Apr")</f>
        <v>2026 Apr</v>
      </c>
      <c r="B12098" s="4">
        <f>IFERROR(__xludf.DUMMYFUNCTION("""COMPUTED_VALUE"""),46132.0)</f>
        <v>46132</v>
      </c>
      <c r="C12098" s="1" t="str">
        <f>IFERROR(__xludf.DUMMYFUNCTION("""COMPUTED_VALUE"""),"Segment-specific Support")</f>
        <v>Segment-specific Support</v>
      </c>
      <c r="D12098" s="1" t="str">
        <f>IFERROR(__xludf.DUMMYFUNCTION("""COMPUTED_VALUE"""),"78d3efd2-2d00-4986-b5cc-7ca6a1d3542d")</f>
        <v>78d3efd2-2d00-4986-b5cc-7ca6a1d3542d</v>
      </c>
      <c r="E12098" s="1">
        <f>IFERROR(__xludf.DUMMYFUNCTION("""COMPUTED_VALUE"""),5.566867981071E12)</f>
        <v>5566867981071</v>
      </c>
      <c r="F12098" s="1"/>
      <c r="G12098" s="1"/>
      <c r="H12098" s="2">
        <f>IFERROR(__xludf.DUMMYFUNCTION("""COMPUTED_VALUE"""),0.0)</f>
        <v>0</v>
      </c>
      <c r="I12098" s="5"/>
      <c r="J12098" s="1" t="str">
        <f>IFERROR(__xludf.DUMMYFUNCTION("""COMPUTED_VALUE"""),"Gucci Nava")</f>
        <v>Gucci Nava</v>
      </c>
      <c r="K12098" s="1" t="str">
        <f>IFERROR(__xludf.DUMMYFUNCTION("""COMPUTED_VALUE"""),"Affinity Support")</f>
        <v>Affinity Support</v>
      </c>
      <c r="L12098" s="1" t="str">
        <f>IFERROR(__xludf.DUMMYFUNCTION("""COMPUTED_VALUE"""),"SSS Affinity - L1")</f>
        <v>SSS Affinity - L1</v>
      </c>
    </row>
    <row r="12099">
      <c r="A12099" s="1" t="str">
        <f>IFERROR(__xludf.DUMMYFUNCTION("""COMPUTED_VALUE"""),"2026 Apr")</f>
        <v>2026 Apr</v>
      </c>
      <c r="B12099" s="4">
        <f>IFERROR(__xludf.DUMMYFUNCTION("""COMPUTED_VALUE"""),46132.0)</f>
        <v>46132</v>
      </c>
      <c r="C12099" s="1" t="str">
        <f>IFERROR(__xludf.DUMMYFUNCTION("""COMPUTED_VALUE"""),"Print Support")</f>
        <v>Print Support</v>
      </c>
      <c r="D12099" s="1" t="str">
        <f>IFERROR(__xludf.DUMMYFUNCTION("""COMPUTED_VALUE"""),"03738c45-2c9f-44bf-bb4b-58a2fe9fdf5d")</f>
        <v>03738c45-2c9f-44bf-bb4b-58a2fe9fdf5d</v>
      </c>
      <c r="E12099" s="1"/>
      <c r="F12099" s="1"/>
      <c r="G12099" s="1"/>
      <c r="H12099" s="2">
        <f>IFERROR(__xludf.DUMMYFUNCTION("""COMPUTED_VALUE"""),0.0)</f>
        <v>0</v>
      </c>
      <c r="I12099" s="5"/>
      <c r="J12099" s="1" t="str">
        <f>IFERROR(__xludf.DUMMYFUNCTION("""COMPUTED_VALUE"""),"Aliza Dote")</f>
        <v>Aliza Dote</v>
      </c>
      <c r="K12099" s="1" t="str">
        <f>IFERROR(__xludf.DUMMYFUNCTION("""COMPUTED_VALUE"""),"Print Design Support")</f>
        <v>Print Design Support</v>
      </c>
      <c r="L12099" s="1" t="str">
        <f>IFERROR(__xludf.DUMMYFUNCTION("""COMPUTED_VALUE"""),"Print Print Design")</f>
        <v>Print Print Design</v>
      </c>
    </row>
    <row r="12100">
      <c r="A12100" s="1" t="str">
        <f>IFERROR(__xludf.DUMMYFUNCTION("""COMPUTED_VALUE"""),"2026 Apr")</f>
        <v>2026 Apr</v>
      </c>
      <c r="B12100" s="4">
        <f>IFERROR(__xludf.DUMMYFUNCTION("""COMPUTED_VALUE"""),46132.0)</f>
        <v>46132</v>
      </c>
      <c r="C12100" s="1" t="str">
        <f>IFERROR(__xludf.DUMMYFUNCTION("""COMPUTED_VALUE"""),"Core Product Support")</f>
        <v>Core Product Support</v>
      </c>
      <c r="D12100" s="1" t="str">
        <f>IFERROR(__xludf.DUMMYFUNCTION("""COMPUTED_VALUE"""),"9c934de8-6199-4bb2-bcc9-bd8b70ec7a9c")</f>
        <v>9c934de8-6199-4bb2-bcc9-bd8b70ec7a9c</v>
      </c>
      <c r="E12100" s="1">
        <f>IFERROR(__xludf.DUMMYFUNCTION("""COMPUTED_VALUE"""),9.795939875087E12)</f>
        <v>9795939875087</v>
      </c>
      <c r="F12100" s="1"/>
      <c r="G12100" s="1">
        <f>IFERROR(__xludf.DUMMYFUNCTION("""COMPUTED_VALUE"""),1.25)</f>
        <v>1.25</v>
      </c>
      <c r="H12100" s="2">
        <f>IFERROR(__xludf.DUMMYFUNCTION("""COMPUTED_VALUE"""),1.25)</f>
        <v>1.25</v>
      </c>
      <c r="I12100" s="5">
        <f>IFERROR(__xludf.DUMMYFUNCTION("""COMPUTED_VALUE"""),1.0)</f>
        <v>1</v>
      </c>
      <c r="J12100" s="1" t="str">
        <f>IFERROR(__xludf.DUMMYFUNCTION("""COMPUTED_VALUE"""),"Cate Velasco")</f>
        <v>Cate Velasco</v>
      </c>
      <c r="K12100" s="1" t="str">
        <f>IFERROR(__xludf.DUMMYFUNCTION("""COMPUTED_VALUE"""),"Advanced Product Support")</f>
        <v>Advanced Product Support</v>
      </c>
      <c r="L12100" s="1" t="str">
        <f>IFERROR(__xludf.DUMMYFUNCTION("""COMPUTED_VALUE"""),"CPS Advanced Product Support (APS)")</f>
        <v>CPS Advanced Product Support (APS)</v>
      </c>
    </row>
    <row r="12101">
      <c r="A12101" s="1" t="str">
        <f>IFERROR(__xludf.DUMMYFUNCTION("""COMPUTED_VALUE"""),"2026 Apr")</f>
        <v>2026 Apr</v>
      </c>
      <c r="B12101" s="4">
        <f>IFERROR(__xludf.DUMMYFUNCTION("""COMPUTED_VALUE"""),46132.0)</f>
        <v>46132</v>
      </c>
      <c r="C12101" s="1" t="str">
        <f>IFERROR(__xludf.DUMMYFUNCTION("""COMPUTED_VALUE"""),"Core Product Support")</f>
        <v>Core Product Support</v>
      </c>
      <c r="D12101" s="1" t="str">
        <f>IFERROR(__xludf.DUMMYFUNCTION("""COMPUTED_VALUE"""),"0f8d8927-aad1-40c2-82ac-95b7b823eec0")</f>
        <v>0f8d8927-aad1-40c2-82ac-95b7b823eec0</v>
      </c>
      <c r="E12101" s="1">
        <f>IFERROR(__xludf.DUMMYFUNCTION("""COMPUTED_VALUE"""),5.202441056015E12)</f>
        <v>5202441056015</v>
      </c>
      <c r="F12101" s="1"/>
      <c r="G12101" s="1">
        <f>IFERROR(__xludf.DUMMYFUNCTION("""COMPUTED_VALUE"""),1.25)</f>
        <v>1.25</v>
      </c>
      <c r="H12101" s="2">
        <f>IFERROR(__xludf.DUMMYFUNCTION("""COMPUTED_VALUE"""),1.25)</f>
        <v>1.25</v>
      </c>
      <c r="I12101" s="5">
        <f>IFERROR(__xludf.DUMMYFUNCTION("""COMPUTED_VALUE"""),1.0)</f>
        <v>1</v>
      </c>
      <c r="J12101" s="1" t="str">
        <f>IFERROR(__xludf.DUMMYFUNCTION("""COMPUTED_VALUE"""),"Renette Bok")</f>
        <v>Renette Bok</v>
      </c>
      <c r="K12101" s="1" t="str">
        <f>IFERROR(__xludf.DUMMYFUNCTION("""COMPUTED_VALUE"""),"Advanced Billing &amp; Subscriptions")</f>
        <v>Advanced Billing &amp; Subscriptions</v>
      </c>
      <c r="L12101" s="1" t="str">
        <f>IFERROR(__xludf.DUMMYFUNCTION("""COMPUTED_VALUE"""),"CPS Advanced Billing and Subscriptions (ABS)")</f>
        <v>CPS Advanced Billing and Subscriptions (ABS)</v>
      </c>
    </row>
    <row r="12102">
      <c r="A12102" s="1" t="str">
        <f>IFERROR(__xludf.DUMMYFUNCTION("""COMPUTED_VALUE"""),"2026 Apr")</f>
        <v>2026 Apr</v>
      </c>
      <c r="B12102" s="4">
        <f>IFERROR(__xludf.DUMMYFUNCTION("""COMPUTED_VALUE"""),46132.0)</f>
        <v>46132</v>
      </c>
      <c r="C12102" s="1" t="str">
        <f>IFERROR(__xludf.DUMMYFUNCTION("""COMPUTED_VALUE"""),"Core Product Support")</f>
        <v>Core Product Support</v>
      </c>
      <c r="D12102" s="1" t="str">
        <f>IFERROR(__xludf.DUMMYFUNCTION("""COMPUTED_VALUE"""),"e33e46e4-d59d-4c5b-9834-288e99d79b63")</f>
        <v>e33e46e4-d59d-4c5b-9834-288e99d79b63</v>
      </c>
      <c r="E12102" s="1">
        <f>IFERROR(__xludf.DUMMYFUNCTION("""COMPUTED_VALUE"""),1.0333049582991E13)</f>
        <v>10333049582991</v>
      </c>
      <c r="F12102" s="1"/>
      <c r="G12102" s="1">
        <f>IFERROR(__xludf.DUMMYFUNCTION("""COMPUTED_VALUE"""),1.25)</f>
        <v>1.25</v>
      </c>
      <c r="H12102" s="2">
        <f>IFERROR(__xludf.DUMMYFUNCTION("""COMPUTED_VALUE"""),1.25)</f>
        <v>1.25</v>
      </c>
      <c r="I12102" s="5">
        <f>IFERROR(__xludf.DUMMYFUNCTION("""COMPUTED_VALUE"""),1.0)</f>
        <v>1</v>
      </c>
      <c r="J12102" s="1" t="str">
        <f>IFERROR(__xludf.DUMMYFUNCTION("""COMPUTED_VALUE"""),"Cate Velasco")</f>
        <v>Cate Velasco</v>
      </c>
      <c r="K12102" s="1" t="str">
        <f>IFERROR(__xludf.DUMMYFUNCTION("""COMPUTED_VALUE"""),"Advanced Product Support")</f>
        <v>Advanced Product Support</v>
      </c>
      <c r="L12102" s="1" t="str">
        <f>IFERROR(__xludf.DUMMYFUNCTION("""COMPUTED_VALUE"""),"CPS Advanced Product Support (APS)")</f>
        <v>CPS Advanced Product Support (APS)</v>
      </c>
    </row>
    <row r="12103">
      <c r="A12103" s="1" t="str">
        <f>IFERROR(__xludf.DUMMYFUNCTION("""COMPUTED_VALUE"""),"2026 Apr")</f>
        <v>2026 Apr</v>
      </c>
      <c r="B12103" s="4">
        <f>IFERROR(__xludf.DUMMYFUNCTION("""COMPUTED_VALUE"""),46132.0)</f>
        <v>46132</v>
      </c>
      <c r="C12103" s="1" t="str">
        <f>IFERROR(__xludf.DUMMYFUNCTION("""COMPUTED_VALUE"""),"Core Product Support")</f>
        <v>Core Product Support</v>
      </c>
      <c r="D12103" s="1" t="str">
        <f>IFERROR(__xludf.DUMMYFUNCTION("""COMPUTED_VALUE"""),"748f7375-5497-4286-b6df-38229b609d09")</f>
        <v>748f7375-5497-4286-b6df-38229b609d09</v>
      </c>
      <c r="E12103" s="1"/>
      <c r="F12103" s="1"/>
      <c r="G12103" s="1">
        <f>IFERROR(__xludf.DUMMYFUNCTION("""COMPUTED_VALUE"""),1.25)</f>
        <v>1.25</v>
      </c>
      <c r="H12103" s="2">
        <f>IFERROR(__xludf.DUMMYFUNCTION("""COMPUTED_VALUE"""),1.25)</f>
        <v>1.25</v>
      </c>
      <c r="I12103" s="5">
        <f>IFERROR(__xludf.DUMMYFUNCTION("""COMPUTED_VALUE"""),1.0)</f>
        <v>1</v>
      </c>
      <c r="J12103" s="1" t="str">
        <f>IFERROR(__xludf.DUMMYFUNCTION("""COMPUTED_VALUE"""),"Mikhaela Decangchon")</f>
        <v>Mikhaela Decangchon</v>
      </c>
      <c r="K12103" s="1" t="str">
        <f>IFERROR(__xludf.DUMMYFUNCTION("""COMPUTED_VALUE"""),"Advanced Product Support")</f>
        <v>Advanced Product Support</v>
      </c>
      <c r="L12103" s="1" t="str">
        <f>IFERROR(__xludf.DUMMYFUNCTION("""COMPUTED_VALUE"""),"CPS Advanced Product Support (APS)")</f>
        <v>CPS Advanced Product Support (APS)</v>
      </c>
    </row>
    <row r="12104">
      <c r="A12104" s="1" t="str">
        <f>IFERROR(__xludf.DUMMYFUNCTION("""COMPUTED_VALUE"""),"2026 Apr")</f>
        <v>2026 Apr</v>
      </c>
      <c r="B12104" s="4">
        <f>IFERROR(__xludf.DUMMYFUNCTION("""COMPUTED_VALUE"""),46132.0)</f>
        <v>46132</v>
      </c>
      <c r="C12104" s="1" t="str">
        <f>IFERROR(__xludf.DUMMYFUNCTION("""COMPUTED_VALUE"""),"Admin Support")</f>
        <v>Admin Support</v>
      </c>
      <c r="D12104" s="1" t="str">
        <f>IFERROR(__xludf.DUMMYFUNCTION("""COMPUTED_VALUE"""),"8d05170b-44c2-4973-963a-14bb293f18ab")</f>
        <v>8d05170b-44c2-4973-963a-14bb293f18ab</v>
      </c>
      <c r="E12104" s="1">
        <f>IFERROR(__xludf.DUMMYFUNCTION("""COMPUTED_VALUE"""),3.61731348415E11)</f>
        <v>361731348415</v>
      </c>
      <c r="F12104" s="1"/>
      <c r="G12104" s="1">
        <f>IFERROR(__xludf.DUMMYFUNCTION("""COMPUTED_VALUE"""),0.25)</f>
        <v>0.25</v>
      </c>
      <c r="H12104" s="2">
        <f>IFERROR(__xludf.DUMMYFUNCTION("""COMPUTED_VALUE"""),0.25)</f>
        <v>0.25</v>
      </c>
      <c r="I12104" s="5">
        <f>IFERROR(__xludf.DUMMYFUNCTION("""COMPUTED_VALUE"""),1.0)</f>
        <v>1</v>
      </c>
      <c r="J12104" s="1" t="str">
        <f>IFERROR(__xludf.DUMMYFUNCTION("""COMPUTED_VALUE"""),"Kelden Laguting")</f>
        <v>Kelden Laguting</v>
      </c>
      <c r="K12104" s="1" t="str">
        <f>IFERROR(__xludf.DUMMYFUNCTION("""COMPUTED_VALUE"""),"Admin Omni Support")</f>
        <v>Admin Omni Support</v>
      </c>
      <c r="L12104" s="1" t="str">
        <f>IFERROR(__xludf.DUMMYFUNCTION("""COMPUTED_VALUE"""),"Admin Omni Support")</f>
        <v>Admin Omni Support</v>
      </c>
    </row>
    <row r="12105">
      <c r="A12105" s="1" t="str">
        <f>IFERROR(__xludf.DUMMYFUNCTION("""COMPUTED_VALUE"""),"2026 Apr")</f>
        <v>2026 Apr</v>
      </c>
      <c r="B12105" s="4">
        <f>IFERROR(__xludf.DUMMYFUNCTION("""COMPUTED_VALUE"""),46132.0)</f>
        <v>46132</v>
      </c>
      <c r="C12105" s="1" t="str">
        <f>IFERROR(__xludf.DUMMYFUNCTION("""COMPUTED_VALUE"""),"Admin Support")</f>
        <v>Admin Support</v>
      </c>
      <c r="D12105" s="1" t="str">
        <f>IFERROR(__xludf.DUMMYFUNCTION("""COMPUTED_VALUE"""),"c51116f5-04d9-48df-a12a-dbf63eaf9c18")</f>
        <v>c51116f5-04d9-48df-a12a-dbf63eaf9c18</v>
      </c>
      <c r="E12105" s="1">
        <f>IFERROR(__xludf.DUMMYFUNCTION("""COMPUTED_VALUE"""),3.61731647035E11)</f>
        <v>361731647035</v>
      </c>
      <c r="F12105" s="1"/>
      <c r="G12105" s="1">
        <f>IFERROR(__xludf.DUMMYFUNCTION("""COMPUTED_VALUE"""),2.5)</f>
        <v>2.5</v>
      </c>
      <c r="H12105" s="2">
        <f>IFERROR(__xludf.DUMMYFUNCTION("""COMPUTED_VALUE"""),2.5)</f>
        <v>2.5</v>
      </c>
      <c r="I12105" s="5">
        <f>IFERROR(__xludf.DUMMYFUNCTION("""COMPUTED_VALUE"""),1.0)</f>
        <v>1</v>
      </c>
      <c r="J12105" s="1" t="str">
        <f>IFERROR(__xludf.DUMMYFUNCTION("""COMPUTED_VALUE"""),"Ann Dumlao")</f>
        <v>Ann Dumlao</v>
      </c>
      <c r="K12105" s="1" t="str">
        <f>IFERROR(__xludf.DUMMYFUNCTION("""COMPUTED_VALUE"""),"Admin Omni Support")</f>
        <v>Admin Omni Support</v>
      </c>
      <c r="L12105" s="1" t="str">
        <f>IFERROR(__xludf.DUMMYFUNCTION("""COMPUTED_VALUE"""),"Admin Omni Support")</f>
        <v>Admin Omni Support</v>
      </c>
    </row>
    <row r="12106">
      <c r="A12106" s="1" t="str">
        <f>IFERROR(__xludf.DUMMYFUNCTION("""COMPUTED_VALUE"""),"2026 Apr")</f>
        <v>2026 Apr</v>
      </c>
      <c r="B12106" s="4">
        <f>IFERROR(__xludf.DUMMYFUNCTION("""COMPUTED_VALUE"""),46132.0)</f>
        <v>46132</v>
      </c>
      <c r="C12106" s="1" t="str">
        <f>IFERROR(__xludf.DUMMYFUNCTION("""COMPUTED_VALUE"""),"Core Product Support")</f>
        <v>Core Product Support</v>
      </c>
      <c r="D12106" s="1" t="str">
        <f>IFERROR(__xludf.DUMMYFUNCTION("""COMPUTED_VALUE"""),"ee26274a-f5bb-4f8f-aa29-94921d6e67a9")</f>
        <v>ee26274a-f5bb-4f8f-aa29-94921d6e67a9</v>
      </c>
      <c r="E12106" s="1">
        <f>IFERROR(__xludf.DUMMYFUNCTION("""COMPUTED_VALUE"""),9.107717956879E12)</f>
        <v>9107717956879</v>
      </c>
      <c r="F12106" s="1"/>
      <c r="G12106" s="1">
        <f>IFERROR(__xludf.DUMMYFUNCTION("""COMPUTED_VALUE"""),1.25)</f>
        <v>1.25</v>
      </c>
      <c r="H12106" s="2">
        <f>IFERROR(__xludf.DUMMYFUNCTION("""COMPUTED_VALUE"""),1.25)</f>
        <v>1.25</v>
      </c>
      <c r="I12106" s="5">
        <f>IFERROR(__xludf.DUMMYFUNCTION("""COMPUTED_VALUE"""),1.0)</f>
        <v>1</v>
      </c>
      <c r="J12106" s="1" t="str">
        <f>IFERROR(__xludf.DUMMYFUNCTION("""COMPUTED_VALUE"""),"Cherry Macam")</f>
        <v>Cherry Macam</v>
      </c>
      <c r="K12106" s="1" t="str">
        <f>IFERROR(__xludf.DUMMYFUNCTION("""COMPUTED_VALUE"""),"Advanced Billing &amp; Subscriptions")</f>
        <v>Advanced Billing &amp; Subscriptions</v>
      </c>
      <c r="L12106" s="1" t="str">
        <f>IFERROR(__xludf.DUMMYFUNCTION("""COMPUTED_VALUE"""),"CPS Advanced Billing and Subscriptions (ABS)")</f>
        <v>CPS Advanced Billing and Subscriptions (ABS)</v>
      </c>
    </row>
    <row r="12107">
      <c r="A12107" s="1" t="str">
        <f>IFERROR(__xludf.DUMMYFUNCTION("""COMPUTED_VALUE"""),"2026 Apr")</f>
        <v>2026 Apr</v>
      </c>
      <c r="B12107" s="4">
        <f>IFERROR(__xludf.DUMMYFUNCTION("""COMPUTED_VALUE"""),46132.0)</f>
        <v>46132</v>
      </c>
      <c r="C12107" s="1" t="str">
        <f>IFERROR(__xludf.DUMMYFUNCTION("""COMPUTED_VALUE"""),"Core Product Support")</f>
        <v>Core Product Support</v>
      </c>
      <c r="D12107" s="1" t="str">
        <f>IFERROR(__xludf.DUMMYFUNCTION("""COMPUTED_VALUE"""),"5ea08393-858d-4206-8dfa-ad5aa870f108")</f>
        <v>5ea08393-858d-4206-8dfa-ad5aa870f108</v>
      </c>
      <c r="E12107" s="1">
        <f>IFERROR(__xludf.DUMMYFUNCTION("""COMPUTED_VALUE"""),1.1279733674255E13)</f>
        <v>11279733674255</v>
      </c>
      <c r="F12107" s="1"/>
      <c r="G12107" s="1">
        <f>IFERROR(__xludf.DUMMYFUNCTION("""COMPUTED_VALUE"""),1.0)</f>
        <v>1</v>
      </c>
      <c r="H12107" s="2">
        <f>IFERROR(__xludf.DUMMYFUNCTION("""COMPUTED_VALUE"""),1.0)</f>
        <v>1</v>
      </c>
      <c r="I12107" s="5">
        <f>IFERROR(__xludf.DUMMYFUNCTION("""COMPUTED_VALUE"""),1.0)</f>
        <v>1</v>
      </c>
      <c r="J12107" s="1" t="str">
        <f>IFERROR(__xludf.DUMMYFUNCTION("""COMPUTED_VALUE"""),"Ayza Marie Pascual")</f>
        <v>Ayza Marie Pascual</v>
      </c>
      <c r="K12107" s="1" t="str">
        <f>IFERROR(__xludf.DUMMYFUNCTION("""COMPUTED_VALUE"""),"Advanced Billing &amp; Subscriptions")</f>
        <v>Advanced Billing &amp; Subscriptions</v>
      </c>
      <c r="L12107" s="1" t="str">
        <f>IFERROR(__xludf.DUMMYFUNCTION("""COMPUTED_VALUE"""),"CPS Advanced Billing and Subscriptions (ABS)")</f>
        <v>CPS Advanced Billing and Subscriptions (ABS)</v>
      </c>
    </row>
    <row r="12108">
      <c r="A12108" s="1" t="str">
        <f>IFERROR(__xludf.DUMMYFUNCTION("""COMPUTED_VALUE"""),"2026 Apr")</f>
        <v>2026 Apr</v>
      </c>
      <c r="B12108" s="4">
        <f>IFERROR(__xludf.DUMMYFUNCTION("""COMPUTED_VALUE"""),46132.0)</f>
        <v>46132</v>
      </c>
      <c r="C12108" s="1" t="str">
        <f>IFERROR(__xludf.DUMMYFUNCTION("""COMPUTED_VALUE"""),"Core Product Support")</f>
        <v>Core Product Support</v>
      </c>
      <c r="D12108" s="1" t="str">
        <f>IFERROR(__xludf.DUMMYFUNCTION("""COMPUTED_VALUE"""),"9ec42277-802e-4dea-b288-c3f190cff1eb")</f>
        <v>9ec42277-802e-4dea-b288-c3f190cff1eb</v>
      </c>
      <c r="E12108" s="1">
        <f>IFERROR(__xludf.DUMMYFUNCTION("""COMPUTED_VALUE"""),3.61726427476E11)</f>
        <v>361726427476</v>
      </c>
      <c r="F12108" s="1"/>
      <c r="G12108" s="1">
        <f>IFERROR(__xludf.DUMMYFUNCTION("""COMPUTED_VALUE"""),2.5)</f>
        <v>2.5</v>
      </c>
      <c r="H12108" s="2">
        <f>IFERROR(__xludf.DUMMYFUNCTION("""COMPUTED_VALUE"""),2.5)</f>
        <v>2.5</v>
      </c>
      <c r="I12108" s="5">
        <f>IFERROR(__xludf.DUMMYFUNCTION("""COMPUTED_VALUE"""),1.0)</f>
        <v>1</v>
      </c>
      <c r="J12108" s="1" t="str">
        <f>IFERROR(__xludf.DUMMYFUNCTION("""COMPUTED_VALUE"""),"Ellaine Estayo")</f>
        <v>Ellaine Estayo</v>
      </c>
      <c r="K12108" s="1" t="str">
        <f>IFERROR(__xludf.DUMMYFUNCTION("""COMPUTED_VALUE"""),"Core Product Support Escalation Team")</f>
        <v>Core Product Support Escalation Team</v>
      </c>
      <c r="L12108"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2109">
      <c r="A12109" s="1" t="str">
        <f>IFERROR(__xludf.DUMMYFUNCTION("""COMPUTED_VALUE"""),"2026 Apr")</f>
        <v>2026 Apr</v>
      </c>
      <c r="B12109" s="4">
        <f>IFERROR(__xludf.DUMMYFUNCTION("""COMPUTED_VALUE"""),46132.0)</f>
        <v>46132</v>
      </c>
      <c r="C12109" s="1" t="str">
        <f>IFERROR(__xludf.DUMMYFUNCTION("""COMPUTED_VALUE"""),"Print Support")</f>
        <v>Print Support</v>
      </c>
      <c r="D12109" s="1" t="str">
        <f>IFERROR(__xludf.DUMMYFUNCTION("""COMPUTED_VALUE"""),"9e3b5d29-0e29-4565-a70a-6e7ee3c7be84")</f>
        <v>9e3b5d29-0e29-4565-a70a-6e7ee3c7be84</v>
      </c>
      <c r="E12109" s="1">
        <f>IFERROR(__xludf.DUMMYFUNCTION("""COMPUTED_VALUE"""),1.0548602091791E13)</f>
        <v>10548602091791</v>
      </c>
      <c r="F12109" s="1"/>
      <c r="G12109" s="1"/>
      <c r="H12109" s="2">
        <f>IFERROR(__xludf.DUMMYFUNCTION("""COMPUTED_VALUE"""),0.0)</f>
        <v>0</v>
      </c>
      <c r="I12109" s="5"/>
      <c r="J12109" s="1" t="str">
        <f>IFERROR(__xludf.DUMMYFUNCTION("""COMPUTED_VALUE"""),"Jen Momo")</f>
        <v>Jen Momo</v>
      </c>
      <c r="K12109" s="1" t="str">
        <f>IFERROR(__xludf.DUMMYFUNCTION("""COMPUTED_VALUE"""),"Print Support PH")</f>
        <v>Print Support PH</v>
      </c>
      <c r="L12109" s="1" t="str">
        <f>IFERROR(__xludf.DUMMYFUNCTION("""COMPUTED_VALUE"""),"Print Print - CHT")</f>
        <v>Print Print - CHT</v>
      </c>
    </row>
    <row r="12110">
      <c r="A12110" s="1" t="str">
        <f>IFERROR(__xludf.DUMMYFUNCTION("""COMPUTED_VALUE"""),"2026 Apr")</f>
        <v>2026 Apr</v>
      </c>
      <c r="B12110" s="4">
        <f>IFERROR(__xludf.DUMMYFUNCTION("""COMPUTED_VALUE"""),46132.0)</f>
        <v>46132</v>
      </c>
      <c r="C12110" s="1" t="str">
        <f>IFERROR(__xludf.DUMMYFUNCTION("""COMPUTED_VALUE"""),"Segment-specific Support")</f>
        <v>Segment-specific Support</v>
      </c>
      <c r="D12110" s="1" t="str">
        <f>IFERROR(__xludf.DUMMYFUNCTION("""COMPUTED_VALUE"""),"eda8dc46-d638-4955-b85e-554ac98c41d8")</f>
        <v>eda8dc46-d638-4955-b85e-554ac98c41d8</v>
      </c>
      <c r="E12110" s="1">
        <f>IFERROR(__xludf.DUMMYFUNCTION("""COMPUTED_VALUE"""),3.61731943235E11)</f>
        <v>361731943235</v>
      </c>
      <c r="F12110" s="1"/>
      <c r="G12110" s="1"/>
      <c r="H12110" s="2">
        <f>IFERROR(__xludf.DUMMYFUNCTION("""COMPUTED_VALUE"""),0.0)</f>
        <v>0</v>
      </c>
      <c r="I12110" s="5"/>
      <c r="J12110" s="1" t="str">
        <f>IFERROR(__xludf.DUMMYFUNCTION("""COMPUTED_VALUE"""),"Aileen Dayanghirang")</f>
        <v>Aileen Dayanghirang</v>
      </c>
      <c r="K12110" s="1" t="str">
        <f>IFERROR(__xludf.DUMMYFUNCTION("""COMPUTED_VALUE"""),"Creators Support")</f>
        <v>Creators Support</v>
      </c>
      <c r="L12110" s="1" t="str">
        <f>IFERROR(__xludf.DUMMYFUNCTION("""COMPUTED_VALUE"""),"SSS Creators")</f>
        <v>SSS Creators</v>
      </c>
    </row>
    <row r="12111">
      <c r="A12111" s="1" t="str">
        <f>IFERROR(__xludf.DUMMYFUNCTION("""COMPUTED_VALUE"""),"2026 Apr")</f>
        <v>2026 Apr</v>
      </c>
      <c r="B12111" s="4">
        <f>IFERROR(__xludf.DUMMYFUNCTION("""COMPUTED_VALUE"""),46132.0)</f>
        <v>46132</v>
      </c>
      <c r="C12111" s="1" t="str">
        <f>IFERROR(__xludf.DUMMYFUNCTION("""COMPUTED_VALUE"""),"Admin Support")</f>
        <v>Admin Support</v>
      </c>
      <c r="D12111" s="1" t="str">
        <f>IFERROR(__xludf.DUMMYFUNCTION("""COMPUTED_VALUE"""),"1135d838-4518-48e7-a5b8-f1738f44245c")</f>
        <v>1135d838-4518-48e7-a5b8-f1738f44245c</v>
      </c>
      <c r="E12111" s="1">
        <f>IFERROR(__xludf.DUMMYFUNCTION("""COMPUTED_VALUE"""),9.795666354191E12)</f>
        <v>9795666354191</v>
      </c>
      <c r="F12111" s="1"/>
      <c r="G12111" s="1"/>
      <c r="H12111" s="2">
        <f>IFERROR(__xludf.DUMMYFUNCTION("""COMPUTED_VALUE"""),0.0)</f>
        <v>0</v>
      </c>
      <c r="I12111" s="5"/>
      <c r="J12111" s="1" t="str">
        <f>IFERROR(__xludf.DUMMYFUNCTION("""COMPUTED_VALUE"""),"Elise Cesario Mendes")</f>
        <v>Elise Cesario Mendes</v>
      </c>
      <c r="K12111" s="1" t="str">
        <f>IFERROR(__xludf.DUMMYFUNCTION("""COMPUTED_VALUE"""),"Admin Support APJ")</f>
        <v>Admin Support APJ</v>
      </c>
      <c r="L12111" s="1" t="str">
        <f>IFERROR(__xludf.DUMMYFUNCTION("""COMPUTED_VALUE"""),"Admin APJ")</f>
        <v>Admin APJ</v>
      </c>
    </row>
    <row r="12112">
      <c r="A12112" s="1" t="str">
        <f>IFERROR(__xludf.DUMMYFUNCTION("""COMPUTED_VALUE"""),"2026 Apr")</f>
        <v>2026 Apr</v>
      </c>
      <c r="B12112" s="4">
        <f>IFERROR(__xludf.DUMMYFUNCTION("""COMPUTED_VALUE"""),46132.0)</f>
        <v>46132</v>
      </c>
      <c r="C12112" s="1" t="str">
        <f>IFERROR(__xludf.DUMMYFUNCTION("""COMPUTED_VALUE"""),"High Sensitivity Support")</f>
        <v>High Sensitivity Support</v>
      </c>
      <c r="D12112" s="1" t="str">
        <f>IFERROR(__xludf.DUMMYFUNCTION("""COMPUTED_VALUE"""),"a3bbe934-01ae-4e93-9369-021e3581998d")</f>
        <v>a3bbe934-01ae-4e93-9369-021e3581998d</v>
      </c>
      <c r="E12112" s="1">
        <f>IFERROR(__xludf.DUMMYFUNCTION("""COMPUTED_VALUE"""),8.409869745551E12)</f>
        <v>8409869745551</v>
      </c>
      <c r="F12112" s="1"/>
      <c r="G12112" s="1"/>
      <c r="H12112" s="2">
        <f>IFERROR(__xludf.DUMMYFUNCTION("""COMPUTED_VALUE"""),0.0)</f>
        <v>0</v>
      </c>
      <c r="I12112" s="5"/>
      <c r="J12112" s="1" t="str">
        <f>IFERROR(__xludf.DUMMYFUNCTION("""COMPUTED_VALUE"""),"Rex Villamor")</f>
        <v>Rex Villamor</v>
      </c>
      <c r="K12112" s="1" t="str">
        <f>IFERROR(__xludf.DUMMYFUNCTION("""COMPUTED_VALUE"""),"High Sensitivity Support PH")</f>
        <v>High Sensitivity Support PH</v>
      </c>
      <c r="L12112" s="1" t="str">
        <f>IFERROR(__xludf.DUMMYFUNCTION("""COMPUTED_VALUE"""),"HSS High Sensitivity Support PH - CHT")</f>
        <v>HSS High Sensitivity Support PH - CHT</v>
      </c>
    </row>
    <row r="12113">
      <c r="A12113" s="1" t="str">
        <f>IFERROR(__xludf.DUMMYFUNCTION("""COMPUTED_VALUE"""),"2026 Apr")</f>
        <v>2026 Apr</v>
      </c>
      <c r="B12113" s="4">
        <f>IFERROR(__xludf.DUMMYFUNCTION("""COMPUTED_VALUE"""),46132.0)</f>
        <v>46132</v>
      </c>
      <c r="C12113" s="1" t="str">
        <f>IFERROR(__xludf.DUMMYFUNCTION("""COMPUTED_VALUE"""),"Core Product Support")</f>
        <v>Core Product Support</v>
      </c>
      <c r="D12113" s="1" t="str">
        <f>IFERROR(__xludf.DUMMYFUNCTION("""COMPUTED_VALUE"""),"3160ea91-bbe8-47f3-b356-db1889bfb947")</f>
        <v>3160ea91-bbe8-47f3-b356-db1889bfb947</v>
      </c>
      <c r="E12113" s="1">
        <f>IFERROR(__xludf.DUMMYFUNCTION("""COMPUTED_VALUE"""),8.904462217231E12)</f>
        <v>8904462217231</v>
      </c>
      <c r="F12113" s="1"/>
      <c r="G12113" s="1">
        <f>IFERROR(__xludf.DUMMYFUNCTION("""COMPUTED_VALUE"""),1.25)</f>
        <v>1.25</v>
      </c>
      <c r="H12113" s="2">
        <f>IFERROR(__xludf.DUMMYFUNCTION("""COMPUTED_VALUE"""),1.25)</f>
        <v>1.25</v>
      </c>
      <c r="I12113" s="5">
        <f>IFERROR(__xludf.DUMMYFUNCTION("""COMPUTED_VALUE"""),1.0)</f>
        <v>1</v>
      </c>
      <c r="J12113" s="1" t="str">
        <f>IFERROR(__xludf.DUMMYFUNCTION("""COMPUTED_VALUE"""),"Ana Lazaro")</f>
        <v>Ana Lazaro</v>
      </c>
      <c r="K12113" s="1" t="str">
        <f>IFERROR(__xludf.DUMMYFUNCTION("""COMPUTED_VALUE"""),"Advanced Billing &amp; Subscriptions")</f>
        <v>Advanced Billing &amp; Subscriptions</v>
      </c>
      <c r="L12113" s="1" t="str">
        <f>IFERROR(__xludf.DUMMYFUNCTION("""COMPUTED_VALUE"""),"CPS Advanced Billing and Subscriptions (ABS)")</f>
        <v>CPS Advanced Billing and Subscriptions (ABS)</v>
      </c>
    </row>
    <row r="12114">
      <c r="A12114" s="1" t="str">
        <f>IFERROR(__xludf.DUMMYFUNCTION("""COMPUTED_VALUE"""),"2026 Apr")</f>
        <v>2026 Apr</v>
      </c>
      <c r="B12114" s="4">
        <f>IFERROR(__xludf.DUMMYFUNCTION("""COMPUTED_VALUE"""),46132.0)</f>
        <v>46132</v>
      </c>
      <c r="C12114" s="1" t="str">
        <f>IFERROR(__xludf.DUMMYFUNCTION("""COMPUTED_VALUE"""),"High Sensitivity Support")</f>
        <v>High Sensitivity Support</v>
      </c>
      <c r="D12114" s="1" t="str">
        <f>IFERROR(__xludf.DUMMYFUNCTION("""COMPUTED_VALUE"""),"70180db3-ebfc-42fc-99e7-d954cb886c98")</f>
        <v>70180db3-ebfc-42fc-99e7-d954cb886c98</v>
      </c>
      <c r="E12114" s="1">
        <f>IFERROR(__xludf.DUMMYFUNCTION("""COMPUTED_VALUE"""),3.61733077415E11)</f>
        <v>361733077415</v>
      </c>
      <c r="F12114" s="1"/>
      <c r="G12114" s="1"/>
      <c r="H12114" s="2">
        <f>IFERROR(__xludf.DUMMYFUNCTION("""COMPUTED_VALUE"""),0.0)</f>
        <v>0</v>
      </c>
      <c r="I12114" s="5"/>
      <c r="J12114" s="1" t="str">
        <f>IFERROR(__xludf.DUMMYFUNCTION("""COMPUTED_VALUE"""),"Rex Villamor")</f>
        <v>Rex Villamor</v>
      </c>
      <c r="K12114" s="1" t="str">
        <f>IFERROR(__xludf.DUMMYFUNCTION("""COMPUTED_VALUE"""),"High Sensitivity Support PH")</f>
        <v>High Sensitivity Support PH</v>
      </c>
      <c r="L12114" s="1" t="str">
        <f>IFERROR(__xludf.DUMMYFUNCTION("""COMPUTED_VALUE"""),"HSS High Sensitivity Support PH - CHT")</f>
        <v>HSS High Sensitivity Support PH - CHT</v>
      </c>
    </row>
    <row r="12115">
      <c r="A12115" s="1" t="str">
        <f>IFERROR(__xludf.DUMMYFUNCTION("""COMPUTED_VALUE"""),"2026 Apr")</f>
        <v>2026 Apr</v>
      </c>
      <c r="B12115" s="4">
        <f>IFERROR(__xludf.DUMMYFUNCTION("""COMPUTED_VALUE"""),46132.0)</f>
        <v>46132</v>
      </c>
      <c r="C12115" s="1" t="str">
        <f>IFERROR(__xludf.DUMMYFUNCTION("""COMPUTED_VALUE"""),"Admin Support")</f>
        <v>Admin Support</v>
      </c>
      <c r="D12115" s="1" t="str">
        <f>IFERROR(__xludf.DUMMYFUNCTION("""COMPUTED_VALUE"""),"0c4907ba-7b85-4f42-8afb-a62cdeb8fbd3")</f>
        <v>0c4907ba-7b85-4f42-8afb-a62cdeb8fbd3</v>
      </c>
      <c r="E12115" s="1">
        <f>IFERROR(__xludf.DUMMYFUNCTION("""COMPUTED_VALUE"""),3.61731944975E11)</f>
        <v>361731944975</v>
      </c>
      <c r="F12115" s="1"/>
      <c r="G12115" s="1">
        <f>IFERROR(__xludf.DUMMYFUNCTION("""COMPUTED_VALUE"""),0.25)</f>
        <v>0.25</v>
      </c>
      <c r="H12115" s="2">
        <f>IFERROR(__xludf.DUMMYFUNCTION("""COMPUTED_VALUE"""),0.25)</f>
        <v>0.25</v>
      </c>
      <c r="I12115" s="5">
        <f>IFERROR(__xludf.DUMMYFUNCTION("""COMPUTED_VALUE"""),1.0)</f>
        <v>1</v>
      </c>
      <c r="J12115" s="1" t="str">
        <f>IFERROR(__xludf.DUMMYFUNCTION("""COMPUTED_VALUE"""),"Pau Palmero")</f>
        <v>Pau Palmero</v>
      </c>
      <c r="K12115" s="1" t="str">
        <f>IFERROR(__xludf.DUMMYFUNCTION("""COMPUTED_VALUE"""),"Admin Omni Support")</f>
        <v>Admin Omni Support</v>
      </c>
      <c r="L12115" s="1" t="str">
        <f>IFERROR(__xludf.DUMMYFUNCTION("""COMPUTED_VALUE"""),"Admin Omni Support")</f>
        <v>Admin Omni Support</v>
      </c>
    </row>
    <row r="12116">
      <c r="A12116" s="1" t="str">
        <f>IFERROR(__xludf.DUMMYFUNCTION("""COMPUTED_VALUE"""),"2026 Apr")</f>
        <v>2026 Apr</v>
      </c>
      <c r="B12116" s="4">
        <f>IFERROR(__xludf.DUMMYFUNCTION("""COMPUTED_VALUE"""),46132.0)</f>
        <v>46132</v>
      </c>
      <c r="C12116" s="1" t="str">
        <f>IFERROR(__xludf.DUMMYFUNCTION("""COMPUTED_VALUE"""),"Segment-specific Support")</f>
        <v>Segment-specific Support</v>
      </c>
      <c r="D12116" s="1" t="str">
        <f>IFERROR(__xludf.DUMMYFUNCTION("""COMPUTED_VALUE"""),"31a45902-65b1-4f86-b78c-0681d92ba3b9")</f>
        <v>31a45902-65b1-4f86-b78c-0681d92ba3b9</v>
      </c>
      <c r="E12116" s="1"/>
      <c r="F12116" s="1"/>
      <c r="G12116" s="1"/>
      <c r="H12116" s="2">
        <f>IFERROR(__xludf.DUMMYFUNCTION("""COMPUTED_VALUE"""),0.0)</f>
        <v>0</v>
      </c>
      <c r="I12116" s="5"/>
      <c r="J12116" s="1" t="str">
        <f>IFERROR(__xludf.DUMMYFUNCTION("""COMPUTED_VALUE"""),"Leigh Davison")</f>
        <v>Leigh Davison</v>
      </c>
      <c r="K12116" s="1" t="str">
        <f>IFERROR(__xludf.DUMMYFUNCTION("""COMPUTED_VALUE"""),"#N/A")</f>
        <v>#N/A</v>
      </c>
      <c r="L12116" s="1"/>
    </row>
    <row r="12117">
      <c r="A12117" s="1" t="str">
        <f>IFERROR(__xludf.DUMMYFUNCTION("""COMPUTED_VALUE"""),"2026 Apr")</f>
        <v>2026 Apr</v>
      </c>
      <c r="B12117" s="4">
        <f>IFERROR(__xludf.DUMMYFUNCTION("""COMPUTED_VALUE"""),46132.0)</f>
        <v>46132</v>
      </c>
      <c r="C12117" s="1" t="str">
        <f>IFERROR(__xludf.DUMMYFUNCTION("""COMPUTED_VALUE"""),"Admin Support")</f>
        <v>Admin Support</v>
      </c>
      <c r="D12117" s="1" t="str">
        <f>IFERROR(__xludf.DUMMYFUNCTION("""COMPUTED_VALUE"""),"f3e01c36-ae47-4587-bb42-c4f8b42102e5")</f>
        <v>f3e01c36-ae47-4587-bb42-c4f8b42102e5</v>
      </c>
      <c r="E12117" s="1">
        <f>IFERROR(__xludf.DUMMYFUNCTION("""COMPUTED_VALUE"""),3.61725484056E11)</f>
        <v>361725484056</v>
      </c>
      <c r="F12117" s="1"/>
      <c r="G12117" s="1">
        <f>IFERROR(__xludf.DUMMYFUNCTION("""COMPUTED_VALUE"""),0.25)</f>
        <v>0.25</v>
      </c>
      <c r="H12117" s="2">
        <f>IFERROR(__xludf.DUMMYFUNCTION("""COMPUTED_VALUE"""),0.25)</f>
        <v>0.25</v>
      </c>
      <c r="I12117" s="5">
        <f>IFERROR(__xludf.DUMMYFUNCTION("""COMPUTED_VALUE"""),1.0)</f>
        <v>1</v>
      </c>
      <c r="J12117" s="1" t="str">
        <f>IFERROR(__xludf.DUMMYFUNCTION("""COMPUTED_VALUE"""),"Ann Dumlao")</f>
        <v>Ann Dumlao</v>
      </c>
      <c r="K12117" s="1" t="str">
        <f>IFERROR(__xludf.DUMMYFUNCTION("""COMPUTED_VALUE"""),"Admin Omni Support")</f>
        <v>Admin Omni Support</v>
      </c>
      <c r="L12117" s="1" t="str">
        <f>IFERROR(__xludf.DUMMYFUNCTION("""COMPUTED_VALUE"""),"Admin Omni Support")</f>
        <v>Admin Omni Support</v>
      </c>
    </row>
    <row r="12118">
      <c r="A12118" s="1" t="str">
        <f>IFERROR(__xludf.DUMMYFUNCTION("""COMPUTED_VALUE"""),"2026 Apr")</f>
        <v>2026 Apr</v>
      </c>
      <c r="B12118" s="4">
        <f>IFERROR(__xludf.DUMMYFUNCTION("""COMPUTED_VALUE"""),46132.0)</f>
        <v>46132</v>
      </c>
      <c r="C12118" s="1" t="str">
        <f>IFERROR(__xludf.DUMMYFUNCTION("""COMPUTED_VALUE"""),"Segment-specific Support")</f>
        <v>Segment-specific Support</v>
      </c>
      <c r="D12118" s="1" t="str">
        <f>IFERROR(__xludf.DUMMYFUNCTION("""COMPUTED_VALUE"""),"546334b1-0aad-492a-9c63-26532ca8c5fc")</f>
        <v>546334b1-0aad-492a-9c63-26532ca8c5fc</v>
      </c>
      <c r="E12118" s="1"/>
      <c r="F12118" s="1"/>
      <c r="G12118" s="1"/>
      <c r="H12118" s="2">
        <f>IFERROR(__xludf.DUMMYFUNCTION("""COMPUTED_VALUE"""),0.0)</f>
        <v>0</v>
      </c>
      <c r="I12118" s="5"/>
      <c r="J12118" s="1" t="str">
        <f>IFERROR(__xludf.DUMMYFUNCTION("""COMPUTED_VALUE"""),"Leigh Davison")</f>
        <v>Leigh Davison</v>
      </c>
      <c r="K12118" s="1" t="str">
        <f>IFERROR(__xludf.DUMMYFUNCTION("""COMPUTED_VALUE"""),"#N/A")</f>
        <v>#N/A</v>
      </c>
      <c r="L12118" s="1"/>
    </row>
    <row r="12119">
      <c r="A12119" s="1" t="str">
        <f>IFERROR(__xludf.DUMMYFUNCTION("""COMPUTED_VALUE"""),"2026 Apr")</f>
        <v>2026 Apr</v>
      </c>
      <c r="B12119" s="4">
        <f>IFERROR(__xludf.DUMMYFUNCTION("""COMPUTED_VALUE"""),46132.0)</f>
        <v>46132</v>
      </c>
      <c r="C12119" s="1" t="str">
        <f>IFERROR(__xludf.DUMMYFUNCTION("""COMPUTED_VALUE"""),"Segment-specific Support")</f>
        <v>Segment-specific Support</v>
      </c>
      <c r="D12119" s="1" t="str">
        <f>IFERROR(__xludf.DUMMYFUNCTION("""COMPUTED_VALUE"""),"0a760e6d-f69c-4cfc-a59a-917274456550")</f>
        <v>0a760e6d-f69c-4cfc-a59a-917274456550</v>
      </c>
      <c r="E12119" s="1">
        <f>IFERROR(__xludf.DUMMYFUNCTION("""COMPUTED_VALUE"""),5.047314632975E12)</f>
        <v>5047314632975</v>
      </c>
      <c r="F12119" s="1"/>
      <c r="G12119" s="1"/>
      <c r="H12119" s="2">
        <f>IFERROR(__xludf.DUMMYFUNCTION("""COMPUTED_VALUE"""),0.0)</f>
        <v>0</v>
      </c>
      <c r="I12119" s="5"/>
      <c r="J12119" s="1" t="str">
        <f>IFERROR(__xludf.DUMMYFUNCTION("""COMPUTED_VALUE"""),"Rose Gabilan")</f>
        <v>Rose Gabilan</v>
      </c>
      <c r="K12119" s="1" t="str">
        <f>IFERROR(__xludf.DUMMYFUNCTION("""COMPUTED_VALUE"""),"Affinity Support")</f>
        <v>Affinity Support</v>
      </c>
      <c r="L12119" s="1" t="str">
        <f>IFERROR(__xludf.DUMMYFUNCTION("""COMPUTED_VALUE"""),"SSS Affinity - L1")</f>
        <v>SSS Affinity - L1</v>
      </c>
    </row>
    <row r="12120">
      <c r="A12120" s="1" t="str">
        <f>IFERROR(__xludf.DUMMYFUNCTION("""COMPUTED_VALUE"""),"2026 Apr")</f>
        <v>2026 Apr</v>
      </c>
      <c r="B12120" s="4">
        <f>IFERROR(__xludf.DUMMYFUNCTION("""COMPUTED_VALUE"""),46132.0)</f>
        <v>46132</v>
      </c>
      <c r="C12120" s="1" t="str">
        <f>IFERROR(__xludf.DUMMYFUNCTION("""COMPUTED_VALUE"""),"Admin Support")</f>
        <v>Admin Support</v>
      </c>
      <c r="D12120" s="1" t="str">
        <f>IFERROR(__xludf.DUMMYFUNCTION("""COMPUTED_VALUE"""),"97756389-1733-4bfe-bf0b-b3fe225fe510")</f>
        <v>97756389-1733-4bfe-bf0b-b3fe225fe510</v>
      </c>
      <c r="E12120" s="1">
        <f>IFERROR(__xludf.DUMMYFUNCTION("""COMPUTED_VALUE"""),9.153847235087E12)</f>
        <v>9153847235087</v>
      </c>
      <c r="F12120" s="1"/>
      <c r="G12120" s="1"/>
      <c r="H12120" s="2">
        <f>IFERROR(__xludf.DUMMYFUNCTION("""COMPUTED_VALUE"""),0.0)</f>
        <v>0</v>
      </c>
      <c r="I12120" s="5"/>
      <c r="J12120" s="1" t="str">
        <f>IFERROR(__xludf.DUMMYFUNCTION("""COMPUTED_VALUE"""),"Tash Kelly")</f>
        <v>Tash Kelly</v>
      </c>
      <c r="K12120" s="1" t="str">
        <f>IFERROR(__xludf.DUMMYFUNCTION("""COMPUTED_VALUE"""),"Admin Support EMEA")</f>
        <v>Admin Support EMEA</v>
      </c>
      <c r="L12120" s="1" t="str">
        <f>IFERROR(__xludf.DUMMYFUNCTION("""COMPUTED_VALUE"""),"Admin EMEA")</f>
        <v>Admin EMEA</v>
      </c>
    </row>
    <row r="12121">
      <c r="A12121" s="1" t="str">
        <f>IFERROR(__xludf.DUMMYFUNCTION("""COMPUTED_VALUE"""),"2026 Apr")</f>
        <v>2026 Apr</v>
      </c>
      <c r="B12121" s="4">
        <f>IFERROR(__xludf.DUMMYFUNCTION("""COMPUTED_VALUE"""),46132.0)</f>
        <v>46132</v>
      </c>
      <c r="C12121" s="1" t="str">
        <f>IFERROR(__xludf.DUMMYFUNCTION("""COMPUTED_VALUE"""),"Admin Support")</f>
        <v>Admin Support</v>
      </c>
      <c r="D12121" s="1" t="str">
        <f>IFERROR(__xludf.DUMMYFUNCTION("""COMPUTED_VALUE"""),"b8e64047-ce95-4bd1-ba70-97209dbdd968")</f>
        <v>b8e64047-ce95-4bd1-ba70-97209dbdd968</v>
      </c>
      <c r="E12121" s="1">
        <f>IFERROR(__xludf.DUMMYFUNCTION("""COMPUTED_VALUE"""),5.813415515279E12)</f>
        <v>5813415515279</v>
      </c>
      <c r="F12121" s="1"/>
      <c r="G12121" s="1"/>
      <c r="H12121" s="2">
        <f>IFERROR(__xludf.DUMMYFUNCTION("""COMPUTED_VALUE"""),0.0)</f>
        <v>0</v>
      </c>
      <c r="I12121" s="5"/>
      <c r="J12121" s="1" t="str">
        <f>IFERROR(__xludf.DUMMYFUNCTION("""COMPUTED_VALUE"""),"Nate Vela")</f>
        <v>Nate Vela</v>
      </c>
      <c r="K12121" s="1" t="str">
        <f>IFERROR(__xludf.DUMMYFUNCTION("""COMPUTED_VALUE"""),"Admin Support NA")</f>
        <v>Admin Support NA</v>
      </c>
      <c r="L12121" s="1" t="str">
        <f>IFERROR(__xludf.DUMMYFUNCTION("""COMPUTED_VALUE"""),"Admin NA")</f>
        <v>Admin NA</v>
      </c>
    </row>
    <row r="12122">
      <c r="A12122" s="1" t="str">
        <f>IFERROR(__xludf.DUMMYFUNCTION("""COMPUTED_VALUE"""),"2026 Apr")</f>
        <v>2026 Apr</v>
      </c>
      <c r="B12122" s="4">
        <f>IFERROR(__xludf.DUMMYFUNCTION("""COMPUTED_VALUE"""),46132.0)</f>
        <v>46132</v>
      </c>
      <c r="C12122" s="1" t="str">
        <f>IFERROR(__xludf.DUMMYFUNCTION("""COMPUTED_VALUE"""),"Print Support")</f>
        <v>Print Support</v>
      </c>
      <c r="D12122" s="1" t="str">
        <f>IFERROR(__xludf.DUMMYFUNCTION("""COMPUTED_VALUE"""),"0a8eade5-f55e-4b55-9dca-c83c736a8818")</f>
        <v>0a8eade5-f55e-4b55-9dca-c83c736a8818</v>
      </c>
      <c r="E12122" s="1">
        <f>IFERROR(__xludf.DUMMYFUNCTION("""COMPUTED_VALUE"""),3.61744044436E11)</f>
        <v>361744044436</v>
      </c>
      <c r="F12122" s="1"/>
      <c r="G12122" s="1"/>
      <c r="H12122" s="2">
        <f>IFERROR(__xludf.DUMMYFUNCTION("""COMPUTED_VALUE"""),0.0)</f>
        <v>0</v>
      </c>
      <c r="I12122" s="5"/>
      <c r="J12122" s="1" t="str">
        <f>IFERROR(__xludf.DUMMYFUNCTION("""COMPUTED_VALUE"""),"Jen Momo")</f>
        <v>Jen Momo</v>
      </c>
      <c r="K12122" s="1" t="str">
        <f>IFERROR(__xludf.DUMMYFUNCTION("""COMPUTED_VALUE"""),"Print Support PH")</f>
        <v>Print Support PH</v>
      </c>
      <c r="L12122" s="1" t="str">
        <f>IFERROR(__xludf.DUMMYFUNCTION("""COMPUTED_VALUE"""),"Print Print - CHT")</f>
        <v>Print Print - CHT</v>
      </c>
    </row>
    <row r="12123">
      <c r="A12123" s="1" t="str">
        <f>IFERROR(__xludf.DUMMYFUNCTION("""COMPUTED_VALUE"""),"2026 Apr")</f>
        <v>2026 Apr</v>
      </c>
      <c r="B12123" s="4">
        <f>IFERROR(__xludf.DUMMYFUNCTION("""COMPUTED_VALUE"""),46132.0)</f>
        <v>46132</v>
      </c>
      <c r="C12123" s="1" t="str">
        <f>IFERROR(__xludf.DUMMYFUNCTION("""COMPUTED_VALUE"""),"Print Support")</f>
        <v>Print Support</v>
      </c>
      <c r="D12123" s="1" t="str">
        <f>IFERROR(__xludf.DUMMYFUNCTION("""COMPUTED_VALUE"""),"7938e720-2f23-4ae8-a8bc-a1aeb68883d0")</f>
        <v>7938e720-2f23-4ae8-a8bc-a1aeb68883d0</v>
      </c>
      <c r="E12123" s="1">
        <f>IFERROR(__xludf.DUMMYFUNCTION("""COMPUTED_VALUE"""),5.359144671119E12)</f>
        <v>5359144671119</v>
      </c>
      <c r="F12123" s="1"/>
      <c r="G12123" s="1"/>
      <c r="H12123" s="2">
        <f>IFERROR(__xludf.DUMMYFUNCTION("""COMPUTED_VALUE"""),0.0)</f>
        <v>0</v>
      </c>
      <c r="I12123" s="5"/>
      <c r="J12123" s="1" t="str">
        <f>IFERROR(__xludf.DUMMYFUNCTION("""COMPUTED_VALUE"""),"Louise Dianne Estrella")</f>
        <v>Louise Dianne Estrella</v>
      </c>
      <c r="K12123" s="1" t="str">
        <f>IFERROR(__xludf.DUMMYFUNCTION("""COMPUTED_VALUE"""),"Print Support PH")</f>
        <v>Print Support PH</v>
      </c>
      <c r="L12123" s="1" t="str">
        <f>IFERROR(__xludf.DUMMYFUNCTION("""COMPUTED_VALUE"""),"Print Print - CHT")</f>
        <v>Print Print - CHT</v>
      </c>
    </row>
    <row r="12124">
      <c r="A12124" s="1" t="str">
        <f>IFERROR(__xludf.DUMMYFUNCTION("""COMPUTED_VALUE"""),"2026 Apr")</f>
        <v>2026 Apr</v>
      </c>
      <c r="B12124" s="4">
        <f>IFERROR(__xludf.DUMMYFUNCTION("""COMPUTED_VALUE"""),46132.0)</f>
        <v>46132</v>
      </c>
      <c r="C12124" s="1" t="str">
        <f>IFERROR(__xludf.DUMMYFUNCTION("""COMPUTED_VALUE"""),"Admin Support")</f>
        <v>Admin Support</v>
      </c>
      <c r="D12124" s="1" t="str">
        <f>IFERROR(__xludf.DUMMYFUNCTION("""COMPUTED_VALUE"""),"7bf5cef1-9473-43c3-9aff-115283ed0e7a")</f>
        <v>7bf5cef1-9473-43c3-9aff-115283ed0e7a</v>
      </c>
      <c r="E12124" s="1">
        <f>IFERROR(__xludf.DUMMYFUNCTION("""COMPUTED_VALUE"""),1.0005707260559E13)</f>
        <v>10005707260559</v>
      </c>
      <c r="F12124" s="1"/>
      <c r="G12124" s="1">
        <f>IFERROR(__xludf.DUMMYFUNCTION("""COMPUTED_VALUE"""),0.25)</f>
        <v>0.25</v>
      </c>
      <c r="H12124" s="2">
        <f>IFERROR(__xludf.DUMMYFUNCTION("""COMPUTED_VALUE"""),0.25)</f>
        <v>0.25</v>
      </c>
      <c r="I12124" s="5">
        <f>IFERROR(__xludf.DUMMYFUNCTION("""COMPUTED_VALUE"""),1.0)</f>
        <v>1</v>
      </c>
      <c r="J12124" s="1" t="str">
        <f>IFERROR(__xludf.DUMMYFUNCTION("""COMPUTED_VALUE"""),"AL Suarez")</f>
        <v>AL Suarez</v>
      </c>
      <c r="K12124" s="1" t="str">
        <f>IFERROR(__xludf.DUMMYFUNCTION("""COMPUTED_VALUE"""),"Advanced Billing &amp; Subscriptions")</f>
        <v>Advanced Billing &amp; Subscriptions</v>
      </c>
      <c r="L12124" s="1" t="str">
        <f>IFERROR(__xludf.DUMMYFUNCTION("""COMPUTED_VALUE"""),"CPS Advanced Billing and Subscriptions (ABS)")</f>
        <v>CPS Advanced Billing and Subscriptions (ABS)</v>
      </c>
    </row>
    <row r="12125">
      <c r="A12125" s="1" t="str">
        <f>IFERROR(__xludf.DUMMYFUNCTION("""COMPUTED_VALUE"""),"2026 Apr")</f>
        <v>2026 Apr</v>
      </c>
      <c r="B12125" s="4">
        <f>IFERROR(__xludf.DUMMYFUNCTION("""COMPUTED_VALUE"""),46132.0)</f>
        <v>46132</v>
      </c>
      <c r="C12125" s="1" t="str">
        <f>IFERROR(__xludf.DUMMYFUNCTION("""COMPUTED_VALUE"""),"Segment-specific Support")</f>
        <v>Segment-specific Support</v>
      </c>
      <c r="D12125" s="1" t="str">
        <f>IFERROR(__xludf.DUMMYFUNCTION("""COMPUTED_VALUE"""),"ea5d3075-1c56-458e-abc7-f25ded5a9d76")</f>
        <v>ea5d3075-1c56-458e-abc7-f25ded5a9d76</v>
      </c>
      <c r="E12125" s="1">
        <f>IFERROR(__xludf.DUMMYFUNCTION("""COMPUTED_VALUE"""),1.1401961186319E13)</f>
        <v>11401961186319</v>
      </c>
      <c r="F12125" s="1"/>
      <c r="G12125" s="1"/>
      <c r="H12125" s="2">
        <f>IFERROR(__xludf.DUMMYFUNCTION("""COMPUTED_VALUE"""),0.0)</f>
        <v>0</v>
      </c>
      <c r="I12125" s="5"/>
      <c r="J12125" s="1" t="str">
        <f>IFERROR(__xludf.DUMMYFUNCTION("""COMPUTED_VALUE"""),"Aileen Dayanghirang")</f>
        <v>Aileen Dayanghirang</v>
      </c>
      <c r="K12125" s="1" t="str">
        <f>IFERROR(__xludf.DUMMYFUNCTION("""COMPUTED_VALUE"""),"Creators Support")</f>
        <v>Creators Support</v>
      </c>
      <c r="L12125" s="1" t="str">
        <f>IFERROR(__xludf.DUMMYFUNCTION("""COMPUTED_VALUE"""),"SSS Creators")</f>
        <v>SSS Creators</v>
      </c>
    </row>
    <row r="12126">
      <c r="A12126" s="1" t="str">
        <f>IFERROR(__xludf.DUMMYFUNCTION("""COMPUTED_VALUE"""),"2026 Apr")</f>
        <v>2026 Apr</v>
      </c>
      <c r="B12126" s="4">
        <f>IFERROR(__xludf.DUMMYFUNCTION("""COMPUTED_VALUE"""),46132.0)</f>
        <v>46132</v>
      </c>
      <c r="C12126" s="1" t="str">
        <f>IFERROR(__xludf.DUMMYFUNCTION("""COMPUTED_VALUE"""),"Admin Support")</f>
        <v>Admin Support</v>
      </c>
      <c r="D12126" s="1" t="str">
        <f>IFERROR(__xludf.DUMMYFUNCTION("""COMPUTED_VALUE"""),"ac612821-c478-4ed1-8b21-3e20fb1b17d4")</f>
        <v>ac612821-c478-4ed1-8b21-3e20fb1b17d4</v>
      </c>
      <c r="E12126" s="1">
        <f>IFERROR(__xludf.DUMMYFUNCTION("""COMPUTED_VALUE"""),8.409862611087E12)</f>
        <v>8409862611087</v>
      </c>
      <c r="F12126" s="1"/>
      <c r="G12126" s="1"/>
      <c r="H12126" s="2">
        <f>IFERROR(__xludf.DUMMYFUNCTION("""COMPUTED_VALUE"""),0.0)</f>
        <v>0</v>
      </c>
      <c r="I12126" s="5"/>
      <c r="J12126" s="1" t="str">
        <f>IFERROR(__xludf.DUMMYFUNCTION("""COMPUTED_VALUE"""),"Karla Mananghaya")</f>
        <v>Karla Mananghaya</v>
      </c>
      <c r="K12126" s="1" t="str">
        <f>IFERROR(__xludf.DUMMYFUNCTION("""COMPUTED_VALUE"""),"Admin Support Service Escalation Team")</f>
        <v>Admin Support Service Escalation Team</v>
      </c>
      <c r="L12126" s="1" t="str">
        <f>IFERROR(__xludf.DUMMYFUNCTION("""COMPUTED_VALUE"""),"Admin ASSET")</f>
        <v>Admin ASSET</v>
      </c>
    </row>
    <row r="12127">
      <c r="A12127" s="1" t="str">
        <f>IFERROR(__xludf.DUMMYFUNCTION("""COMPUTED_VALUE"""),"2026 Apr")</f>
        <v>2026 Apr</v>
      </c>
      <c r="B12127" s="4">
        <f>IFERROR(__xludf.DUMMYFUNCTION("""COMPUTED_VALUE"""),46132.0)</f>
        <v>46132</v>
      </c>
      <c r="C12127" s="1" t="str">
        <f>IFERROR(__xludf.DUMMYFUNCTION("""COMPUTED_VALUE"""),"Multilingual Support")</f>
        <v>Multilingual Support</v>
      </c>
      <c r="D12127" s="1" t="str">
        <f>IFERROR(__xludf.DUMMYFUNCTION("""COMPUTED_VALUE"""),"c643f4d3-31ef-4155-ba4e-a552baeb6f23")</f>
        <v>c643f4d3-31ef-4155-ba4e-a552baeb6f23</v>
      </c>
      <c r="E12127" s="1">
        <f>IFERROR(__xludf.DUMMYFUNCTION("""COMPUTED_VALUE"""),3.61726424916E11)</f>
        <v>361726424916</v>
      </c>
      <c r="F12127" s="1"/>
      <c r="G12127" s="1"/>
      <c r="H12127" s="2">
        <f>IFERROR(__xludf.DUMMYFUNCTION("""COMPUTED_VALUE"""),0.0)</f>
        <v>0</v>
      </c>
      <c r="I12127" s="5"/>
      <c r="J12127" s="1" t="str">
        <f>IFERROR(__xludf.DUMMYFUNCTION("""COMPUTED_VALUE"""),"Arlene Maurillo")</f>
        <v>Arlene Maurillo</v>
      </c>
      <c r="K12127" s="1" t="str">
        <f>IFERROR(__xludf.DUMMYFUNCTION("""COMPUTED_VALUE"""),"PHL, Multilingual Support")</f>
        <v>PHL, Multilingual Support</v>
      </c>
      <c r="L12127" s="1" t="str">
        <f>IFERROR(__xludf.DUMMYFUNCTION("""COMPUTED_VALUE"""),"ML French Support")</f>
        <v>ML French Support</v>
      </c>
    </row>
    <row r="12128">
      <c r="A12128" s="1" t="str">
        <f>IFERROR(__xludf.DUMMYFUNCTION("""COMPUTED_VALUE"""),"2026 Apr")</f>
        <v>2026 Apr</v>
      </c>
      <c r="B12128" s="4">
        <f>IFERROR(__xludf.DUMMYFUNCTION("""COMPUTED_VALUE"""),46132.0)</f>
        <v>46132</v>
      </c>
      <c r="C12128" s="1" t="str">
        <f>IFERROR(__xludf.DUMMYFUNCTION("""COMPUTED_VALUE"""),"High Sensitivity Support")</f>
        <v>High Sensitivity Support</v>
      </c>
      <c r="D12128" s="1" t="str">
        <f>IFERROR(__xludf.DUMMYFUNCTION("""COMPUTED_VALUE"""),"19ca9753-f76b-4593-ad5b-20f0e6bda57d")</f>
        <v>19ca9753-f76b-4593-ad5b-20f0e6bda57d</v>
      </c>
      <c r="E12128" s="1">
        <f>IFERROR(__xludf.DUMMYFUNCTION("""COMPUTED_VALUE"""),3.61694652335E11)</f>
        <v>361694652335</v>
      </c>
      <c r="F12128" s="1"/>
      <c r="G12128" s="1"/>
      <c r="H12128" s="2">
        <f>IFERROR(__xludf.DUMMYFUNCTION("""COMPUTED_VALUE"""),0.0)</f>
        <v>0</v>
      </c>
      <c r="I12128" s="5"/>
      <c r="J12128" s="1" t="str">
        <f>IFERROR(__xludf.DUMMYFUNCTION("""COMPUTED_VALUE"""),"Xandy Azarcon")</f>
        <v>Xandy Azarcon</v>
      </c>
      <c r="K12128" s="1" t="str">
        <f>IFERROR(__xludf.DUMMYFUNCTION("""COMPUTED_VALUE"""),"High Sensitivity Support PH")</f>
        <v>High Sensitivity Support PH</v>
      </c>
      <c r="L12128" s="1" t="str">
        <f>IFERROR(__xludf.DUMMYFUNCTION("""COMPUTED_VALUE"""),"HSS High Sensitivity Support PH - CHT")</f>
        <v>HSS High Sensitivity Support PH - CHT</v>
      </c>
    </row>
    <row r="12129">
      <c r="A12129" s="1" t="str">
        <f>IFERROR(__xludf.DUMMYFUNCTION("""COMPUTED_VALUE"""),"2026 Apr")</f>
        <v>2026 Apr</v>
      </c>
      <c r="B12129" s="4">
        <f>IFERROR(__xludf.DUMMYFUNCTION("""COMPUTED_VALUE"""),46132.0)</f>
        <v>46132</v>
      </c>
      <c r="C12129" s="1" t="str">
        <f>IFERROR(__xludf.DUMMYFUNCTION("""COMPUTED_VALUE"""),"Print Support")</f>
        <v>Print Support</v>
      </c>
      <c r="D12129" s="1" t="str">
        <f>IFERROR(__xludf.DUMMYFUNCTION("""COMPUTED_VALUE"""),"05869263-0d01-4309-8f73-ab6deb080e16")</f>
        <v>05869263-0d01-4309-8f73-ab6deb080e16</v>
      </c>
      <c r="E12129" s="1"/>
      <c r="F12129" s="1"/>
      <c r="G12129" s="1"/>
      <c r="H12129" s="2">
        <f>IFERROR(__xludf.DUMMYFUNCTION("""COMPUTED_VALUE"""),0.0)</f>
        <v>0</v>
      </c>
      <c r="I12129" s="5"/>
      <c r="J12129" s="1" t="str">
        <f>IFERROR(__xludf.DUMMYFUNCTION("""COMPUTED_VALUE"""),"G-Anne Murillo")</f>
        <v>G-Anne Murillo</v>
      </c>
      <c r="K12129" s="1" t="str">
        <f>IFERROR(__xludf.DUMMYFUNCTION("""COMPUTED_VALUE"""),"Print Design Support")</f>
        <v>Print Design Support</v>
      </c>
      <c r="L12129" s="1" t="str">
        <f>IFERROR(__xludf.DUMMYFUNCTION("""COMPUTED_VALUE"""),"Print Print Design")</f>
        <v>Print Print Design</v>
      </c>
    </row>
    <row r="12130">
      <c r="A12130" s="1" t="str">
        <f>IFERROR(__xludf.DUMMYFUNCTION("""COMPUTED_VALUE"""),"2026 Apr")</f>
        <v>2026 Apr</v>
      </c>
      <c r="B12130" s="4">
        <f>IFERROR(__xludf.DUMMYFUNCTION("""COMPUTED_VALUE"""),46132.0)</f>
        <v>46132</v>
      </c>
      <c r="C12130" s="1" t="str">
        <f>IFERROR(__xludf.DUMMYFUNCTION("""COMPUTED_VALUE"""),"Print Support")</f>
        <v>Print Support</v>
      </c>
      <c r="D12130" s="1" t="str">
        <f>IFERROR(__xludf.DUMMYFUNCTION("""COMPUTED_VALUE"""),"5fe68c01-0359-40ab-9a6d-78a5cd050024")</f>
        <v>5fe68c01-0359-40ab-9a6d-78a5cd050024</v>
      </c>
      <c r="E12130" s="1"/>
      <c r="F12130" s="1"/>
      <c r="G12130" s="1"/>
      <c r="H12130" s="2">
        <f>IFERROR(__xludf.DUMMYFUNCTION("""COMPUTED_VALUE"""),0.0)</f>
        <v>0</v>
      </c>
      <c r="I12130" s="5"/>
      <c r="J12130" s="1" t="str">
        <f>IFERROR(__xludf.DUMMYFUNCTION("""COMPUTED_VALUE"""),"Jan Domingo")</f>
        <v>Jan Domingo</v>
      </c>
      <c r="K12130" s="1" t="str">
        <f>IFERROR(__xludf.DUMMYFUNCTION("""COMPUTED_VALUE"""),"Print Design Support")</f>
        <v>Print Design Support</v>
      </c>
      <c r="L12130" s="1" t="str">
        <f>IFERROR(__xludf.DUMMYFUNCTION("""COMPUTED_VALUE"""),"Print Print Design")</f>
        <v>Print Print Design</v>
      </c>
    </row>
    <row r="12131">
      <c r="A12131" s="1" t="str">
        <f>IFERROR(__xludf.DUMMYFUNCTION("""COMPUTED_VALUE"""),"2026 Apr")</f>
        <v>2026 Apr</v>
      </c>
      <c r="B12131" s="4">
        <f>IFERROR(__xludf.DUMMYFUNCTION("""COMPUTED_VALUE"""),46132.0)</f>
        <v>46132</v>
      </c>
      <c r="C12131" s="1" t="str">
        <f>IFERROR(__xludf.DUMMYFUNCTION("""COMPUTED_VALUE"""),"Print Support")</f>
        <v>Print Support</v>
      </c>
      <c r="D12131" s="1" t="str">
        <f>IFERROR(__xludf.DUMMYFUNCTION("""COMPUTED_VALUE"""),"50551296-1c12-4ee1-842f-b3c74e1d0706")</f>
        <v>50551296-1c12-4ee1-842f-b3c74e1d0706</v>
      </c>
      <c r="E12131" s="1">
        <f>IFERROR(__xludf.DUMMYFUNCTION("""COMPUTED_VALUE"""),3.61725486956E11)</f>
        <v>361725486956</v>
      </c>
      <c r="F12131" s="1"/>
      <c r="G12131" s="1"/>
      <c r="H12131" s="2">
        <f>IFERROR(__xludf.DUMMYFUNCTION("""COMPUTED_VALUE"""),0.0)</f>
        <v>0</v>
      </c>
      <c r="I12131" s="5"/>
      <c r="J12131" s="1" t="str">
        <f>IFERROR(__xludf.DUMMYFUNCTION("""COMPUTED_VALUE"""),"Memae Faustino")</f>
        <v>Memae Faustino</v>
      </c>
      <c r="K12131" s="1" t="str">
        <f>IFERROR(__xludf.DUMMYFUNCTION("""COMPUTED_VALUE"""),"Print Support PH")</f>
        <v>Print Support PH</v>
      </c>
      <c r="L12131" s="1" t="str">
        <f>IFERROR(__xludf.DUMMYFUNCTION("""COMPUTED_VALUE"""),"Print Print - SEE")</f>
        <v>Print Print - SEE</v>
      </c>
    </row>
    <row r="12132">
      <c r="A12132" s="1" t="str">
        <f>IFERROR(__xludf.DUMMYFUNCTION("""COMPUTED_VALUE"""),"2026 Apr")</f>
        <v>2026 Apr</v>
      </c>
      <c r="B12132" s="4">
        <f>IFERROR(__xludf.DUMMYFUNCTION("""COMPUTED_VALUE"""),46132.0)</f>
        <v>46132</v>
      </c>
      <c r="C12132" s="1" t="str">
        <f>IFERROR(__xludf.DUMMYFUNCTION("""COMPUTED_VALUE"""),"Core Product Support")</f>
        <v>Core Product Support</v>
      </c>
      <c r="D12132" s="1" t="str">
        <f>IFERROR(__xludf.DUMMYFUNCTION("""COMPUTED_VALUE"""),"4dbfa916-5ac6-473d-aa13-5812e02f0be2")</f>
        <v>4dbfa916-5ac6-473d-aa13-5812e02f0be2</v>
      </c>
      <c r="E12132" s="1">
        <f>IFERROR(__xludf.DUMMYFUNCTION("""COMPUTED_VALUE"""),9.586394042255E12)</f>
        <v>9586394042255</v>
      </c>
      <c r="F12132" s="1"/>
      <c r="G12132" s="1">
        <f>IFERROR(__xludf.DUMMYFUNCTION("""COMPUTED_VALUE"""),1.25)</f>
        <v>1.25</v>
      </c>
      <c r="H12132" s="2">
        <f>IFERROR(__xludf.DUMMYFUNCTION("""COMPUTED_VALUE"""),1.25)</f>
        <v>1.25</v>
      </c>
      <c r="I12132" s="5">
        <f>IFERROR(__xludf.DUMMYFUNCTION("""COMPUTED_VALUE"""),1.0)</f>
        <v>1</v>
      </c>
      <c r="J12132" s="1" t="str">
        <f>IFERROR(__xludf.DUMMYFUNCTION("""COMPUTED_VALUE"""),"Vinz Lazaro")</f>
        <v>Vinz Lazaro</v>
      </c>
      <c r="K12132" s="1" t="str">
        <f>IFERROR(__xludf.DUMMYFUNCTION("""COMPUTED_VALUE"""),"Advanced Product Support")</f>
        <v>Advanced Product Support</v>
      </c>
      <c r="L12132" s="1" t="str">
        <f>IFERROR(__xludf.DUMMYFUNCTION("""COMPUTED_VALUE"""),"CPS Advanced Product Support (APS)")</f>
        <v>CPS Advanced Product Support (APS)</v>
      </c>
    </row>
    <row r="12133">
      <c r="A12133" s="1" t="str">
        <f>IFERROR(__xludf.DUMMYFUNCTION("""COMPUTED_VALUE"""),"2026 Apr")</f>
        <v>2026 Apr</v>
      </c>
      <c r="B12133" s="4">
        <f>IFERROR(__xludf.DUMMYFUNCTION("""COMPUTED_VALUE"""),46132.0)</f>
        <v>46132</v>
      </c>
      <c r="C12133" s="1" t="str">
        <f>IFERROR(__xludf.DUMMYFUNCTION("""COMPUTED_VALUE"""),"Print Support")</f>
        <v>Print Support</v>
      </c>
      <c r="D12133" s="1" t="str">
        <f>IFERROR(__xludf.DUMMYFUNCTION("""COMPUTED_VALUE"""),"9c6c901c-ce92-460f-9d6d-5ee12b03a1ec")</f>
        <v>9c6c901c-ce92-460f-9d6d-5ee12b03a1ec</v>
      </c>
      <c r="E12133" s="1"/>
      <c r="F12133" s="1"/>
      <c r="G12133" s="1"/>
      <c r="H12133" s="2">
        <f>IFERROR(__xludf.DUMMYFUNCTION("""COMPUTED_VALUE"""),0.0)</f>
        <v>0</v>
      </c>
      <c r="I12133" s="5"/>
      <c r="J12133" s="1" t="str">
        <f>IFERROR(__xludf.DUMMYFUNCTION("""COMPUTED_VALUE"""),"Rei De Jesus")</f>
        <v>Rei De Jesus</v>
      </c>
      <c r="K12133" s="1" t="str">
        <f>IFERROR(__xludf.DUMMYFUNCTION("""COMPUTED_VALUE"""),"Print Design Support")</f>
        <v>Print Design Support</v>
      </c>
      <c r="L12133" s="1" t="str">
        <f>IFERROR(__xludf.DUMMYFUNCTION("""COMPUTED_VALUE"""),"Print Print Design")</f>
        <v>Print Print Design</v>
      </c>
    </row>
    <row r="12134">
      <c r="A12134" s="1" t="str">
        <f>IFERROR(__xludf.DUMMYFUNCTION("""COMPUTED_VALUE"""),"2026 Apr")</f>
        <v>2026 Apr</v>
      </c>
      <c r="B12134" s="4">
        <f>IFERROR(__xludf.DUMMYFUNCTION("""COMPUTED_VALUE"""),46132.0)</f>
        <v>46132</v>
      </c>
      <c r="C12134" s="1" t="str">
        <f>IFERROR(__xludf.DUMMYFUNCTION("""COMPUTED_VALUE"""),"Core Product Support")</f>
        <v>Core Product Support</v>
      </c>
      <c r="D12134" s="1" t="str">
        <f>IFERROR(__xludf.DUMMYFUNCTION("""COMPUTED_VALUE"""),"cc817a63-c749-4aa1-ad3c-e3d33f5e04ff")</f>
        <v>cc817a63-c749-4aa1-ad3c-e3d33f5e04ff</v>
      </c>
      <c r="E12134" s="1">
        <f>IFERROR(__xludf.DUMMYFUNCTION("""COMPUTED_VALUE"""),5.566828557583E12)</f>
        <v>5566828557583</v>
      </c>
      <c r="F12134" s="1"/>
      <c r="G12134" s="1">
        <f>IFERROR(__xludf.DUMMYFUNCTION("""COMPUTED_VALUE"""),1.25)</f>
        <v>1.25</v>
      </c>
      <c r="H12134" s="2">
        <f>IFERROR(__xludf.DUMMYFUNCTION("""COMPUTED_VALUE"""),1.25)</f>
        <v>1.25</v>
      </c>
      <c r="I12134" s="5">
        <f>IFERROR(__xludf.DUMMYFUNCTION("""COMPUTED_VALUE"""),1.0)</f>
        <v>1</v>
      </c>
      <c r="J12134" s="1" t="str">
        <f>IFERROR(__xludf.DUMMYFUNCTION("""COMPUTED_VALUE"""),"Renette Bok")</f>
        <v>Renette Bok</v>
      </c>
      <c r="K12134" s="1" t="str">
        <f>IFERROR(__xludf.DUMMYFUNCTION("""COMPUTED_VALUE"""),"Advanced Billing &amp; Subscriptions")</f>
        <v>Advanced Billing &amp; Subscriptions</v>
      </c>
      <c r="L12134" s="1" t="str">
        <f>IFERROR(__xludf.DUMMYFUNCTION("""COMPUTED_VALUE"""),"CPS Advanced Billing and Subscriptions (ABS)")</f>
        <v>CPS Advanced Billing and Subscriptions (ABS)</v>
      </c>
    </row>
    <row r="12135">
      <c r="A12135" s="1" t="str">
        <f>IFERROR(__xludf.DUMMYFUNCTION("""COMPUTED_VALUE"""),"2026 Apr")</f>
        <v>2026 Apr</v>
      </c>
      <c r="B12135" s="4">
        <f>IFERROR(__xludf.DUMMYFUNCTION("""COMPUTED_VALUE"""),46132.0)</f>
        <v>46132</v>
      </c>
      <c r="C12135" s="1" t="str">
        <f>IFERROR(__xludf.DUMMYFUNCTION("""COMPUTED_VALUE"""),"Multilingual Support")</f>
        <v>Multilingual Support</v>
      </c>
      <c r="D12135" s="1" t="str">
        <f>IFERROR(__xludf.DUMMYFUNCTION("""COMPUTED_VALUE"""),"6f52f807-9641-4f21-b34f-312ae3e9b3c9")</f>
        <v>6f52f807-9641-4f21-b34f-312ae3e9b3c9</v>
      </c>
      <c r="E12135" s="1">
        <f>IFERROR(__xludf.DUMMYFUNCTION("""COMPUTED_VALUE"""),3.61724828456E11)</f>
        <v>361724828456</v>
      </c>
      <c r="F12135" s="1"/>
      <c r="G12135" s="1"/>
      <c r="H12135" s="2">
        <f>IFERROR(__xludf.DUMMYFUNCTION("""COMPUTED_VALUE"""),0.0)</f>
        <v>0</v>
      </c>
      <c r="I12135" s="5"/>
      <c r="J12135" s="1" t="str">
        <f>IFERROR(__xludf.DUMMYFUNCTION("""COMPUTED_VALUE"""),"Arlene Maurillo")</f>
        <v>Arlene Maurillo</v>
      </c>
      <c r="K12135" s="1" t="str">
        <f>IFERROR(__xludf.DUMMYFUNCTION("""COMPUTED_VALUE"""),"PHL, Multilingual Support")</f>
        <v>PHL, Multilingual Support</v>
      </c>
      <c r="L12135" s="1" t="str">
        <f>IFERROR(__xludf.DUMMYFUNCTION("""COMPUTED_VALUE"""),"ML Russian Support")</f>
        <v>ML Russian Support</v>
      </c>
    </row>
    <row r="12136">
      <c r="A12136" s="1" t="str">
        <f>IFERROR(__xludf.DUMMYFUNCTION("""COMPUTED_VALUE"""),"2026 Apr")</f>
        <v>2026 Apr</v>
      </c>
      <c r="B12136" s="4">
        <f>IFERROR(__xludf.DUMMYFUNCTION("""COMPUTED_VALUE"""),46132.0)</f>
        <v>46132</v>
      </c>
      <c r="C12136" s="1" t="str">
        <f>IFERROR(__xludf.DUMMYFUNCTION("""COMPUTED_VALUE"""),"Core Product Support")</f>
        <v>Core Product Support</v>
      </c>
      <c r="D12136" s="1" t="str">
        <f>IFERROR(__xludf.DUMMYFUNCTION("""COMPUTED_VALUE"""),"e9348ef0-6be7-4d18-8f01-bbb3181a2030")</f>
        <v>e9348ef0-6be7-4d18-8f01-bbb3181a2030</v>
      </c>
      <c r="E12136" s="1">
        <f>IFERROR(__xludf.DUMMYFUNCTION("""COMPUTED_VALUE"""),8.904451015951E12)</f>
        <v>8904451015951</v>
      </c>
      <c r="F12136" s="1"/>
      <c r="G12136" s="1">
        <f>IFERROR(__xludf.DUMMYFUNCTION("""COMPUTED_VALUE"""),1.25)</f>
        <v>1.25</v>
      </c>
      <c r="H12136" s="2">
        <f>IFERROR(__xludf.DUMMYFUNCTION("""COMPUTED_VALUE"""),1.25)</f>
        <v>1.25</v>
      </c>
      <c r="I12136" s="5">
        <f>IFERROR(__xludf.DUMMYFUNCTION("""COMPUTED_VALUE"""),1.0)</f>
        <v>1</v>
      </c>
      <c r="J12136" s="1" t="str">
        <f>IFERROR(__xludf.DUMMYFUNCTION("""COMPUTED_VALUE"""),"Ana Lazaro")</f>
        <v>Ana Lazaro</v>
      </c>
      <c r="K12136" s="1" t="str">
        <f>IFERROR(__xludf.DUMMYFUNCTION("""COMPUTED_VALUE"""),"Advanced Billing &amp; Subscriptions")</f>
        <v>Advanced Billing &amp; Subscriptions</v>
      </c>
      <c r="L12136" s="1" t="str">
        <f>IFERROR(__xludf.DUMMYFUNCTION("""COMPUTED_VALUE"""),"CPS Advanced Billing and Subscriptions (ABS)")</f>
        <v>CPS Advanced Billing and Subscriptions (ABS)</v>
      </c>
    </row>
    <row r="12137">
      <c r="A12137" s="1" t="str">
        <f>IFERROR(__xludf.DUMMYFUNCTION("""COMPUTED_VALUE"""),"2026 Apr")</f>
        <v>2026 Apr</v>
      </c>
      <c r="B12137" s="4">
        <f>IFERROR(__xludf.DUMMYFUNCTION("""COMPUTED_VALUE"""),46132.0)</f>
        <v>46132</v>
      </c>
      <c r="C12137" s="1" t="str">
        <f>IFERROR(__xludf.DUMMYFUNCTION("""COMPUTED_VALUE"""),"Core Product Support")</f>
        <v>Core Product Support</v>
      </c>
      <c r="D12137" s="1" t="str">
        <f>IFERROR(__xludf.DUMMYFUNCTION("""COMPUTED_VALUE"""),"5917755d-94e1-4bcf-b3d5-736f4efd635f")</f>
        <v>5917755d-94e1-4bcf-b3d5-736f4efd635f</v>
      </c>
      <c r="E12137" s="1">
        <f>IFERROR(__xludf.DUMMYFUNCTION("""COMPUTED_VALUE"""),3.61725488916E11)</f>
        <v>361725488916</v>
      </c>
      <c r="F12137" s="1"/>
      <c r="G12137" s="1">
        <f>IFERROR(__xludf.DUMMYFUNCTION("""COMPUTED_VALUE"""),2.5)</f>
        <v>2.5</v>
      </c>
      <c r="H12137" s="2">
        <f>IFERROR(__xludf.DUMMYFUNCTION("""COMPUTED_VALUE"""),2.5)</f>
        <v>2.5</v>
      </c>
      <c r="I12137" s="5">
        <f>IFERROR(__xludf.DUMMYFUNCTION("""COMPUTED_VALUE"""),1.0)</f>
        <v>1</v>
      </c>
      <c r="J12137" s="1" t="str">
        <f>IFERROR(__xludf.DUMMYFUNCTION("""COMPUTED_VALUE"""),"Jelyn Elmido")</f>
        <v>Jelyn Elmido</v>
      </c>
      <c r="K12137" s="1" t="str">
        <f>IFERROR(__xludf.DUMMYFUNCTION("""COMPUTED_VALUE"""),"Core Product Support Escalation Team")</f>
        <v>Core Product Support Escalation Team</v>
      </c>
      <c r="L12137"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2138">
      <c r="A12138" s="1" t="str">
        <f>IFERROR(__xludf.DUMMYFUNCTION("""COMPUTED_VALUE"""),"2026 Apr")</f>
        <v>2026 Apr</v>
      </c>
      <c r="B12138" s="4">
        <f>IFERROR(__xludf.DUMMYFUNCTION("""COMPUTED_VALUE"""),46132.0)</f>
        <v>46132</v>
      </c>
      <c r="C12138" s="1" t="str">
        <f>IFERROR(__xludf.DUMMYFUNCTION("""COMPUTED_VALUE"""),"Admin Support")</f>
        <v>Admin Support</v>
      </c>
      <c r="D12138" s="1" t="str">
        <f>IFERROR(__xludf.DUMMYFUNCTION("""COMPUTED_VALUE"""),"869426c4-df7f-4a39-b2f3-8e70e583ed69")</f>
        <v>869426c4-df7f-4a39-b2f3-8e70e583ed69</v>
      </c>
      <c r="E12138" s="1">
        <f>IFERROR(__xludf.DUMMYFUNCTION("""COMPUTED_VALUE"""),3.61725115636E11)</f>
        <v>361725115636</v>
      </c>
      <c r="F12138" s="1"/>
      <c r="G12138" s="1"/>
      <c r="H12138" s="2">
        <f>IFERROR(__xludf.DUMMYFUNCTION("""COMPUTED_VALUE"""),0.0)</f>
        <v>0</v>
      </c>
      <c r="I12138" s="5"/>
      <c r="J12138" s="1" t="str">
        <f>IFERROR(__xludf.DUMMYFUNCTION("""COMPUTED_VALUE"""),"Pau Palmero")</f>
        <v>Pau Palmero</v>
      </c>
      <c r="K12138" s="1" t="str">
        <f>IFERROR(__xludf.DUMMYFUNCTION("""COMPUTED_VALUE"""),"Admin Omni Support")</f>
        <v>Admin Omni Support</v>
      </c>
      <c r="L12138" s="1" t="str">
        <f>IFERROR(__xludf.DUMMYFUNCTION("""COMPUTED_VALUE"""),"Admin Omni Support")</f>
        <v>Admin Omni Support</v>
      </c>
    </row>
    <row r="12139">
      <c r="A12139" s="1" t="str">
        <f>IFERROR(__xludf.DUMMYFUNCTION("""COMPUTED_VALUE"""),"2026 Apr")</f>
        <v>2026 Apr</v>
      </c>
      <c r="B12139" s="4">
        <f>IFERROR(__xludf.DUMMYFUNCTION("""COMPUTED_VALUE"""),46132.0)</f>
        <v>46132</v>
      </c>
      <c r="C12139" s="1" t="str">
        <f>IFERROR(__xludf.DUMMYFUNCTION("""COMPUTED_VALUE"""),"Print Support")</f>
        <v>Print Support</v>
      </c>
      <c r="D12139" s="1" t="str">
        <f>IFERROR(__xludf.DUMMYFUNCTION("""COMPUTED_VALUE"""),"cb7f900d-e2ff-4ff8-b74f-c2db90bdfb62")</f>
        <v>cb7f900d-e2ff-4ff8-b74f-c2db90bdfb62</v>
      </c>
      <c r="E12139" s="1">
        <f>IFERROR(__xludf.DUMMYFUNCTION("""COMPUTED_VALUE"""),3.61750052875E11)</f>
        <v>361750052875</v>
      </c>
      <c r="F12139" s="1"/>
      <c r="G12139" s="1"/>
      <c r="H12139" s="2">
        <f>IFERROR(__xludf.DUMMYFUNCTION("""COMPUTED_VALUE"""),0.0)</f>
        <v>0</v>
      </c>
      <c r="I12139" s="5"/>
      <c r="J12139" s="1" t="str">
        <f>IFERROR(__xludf.DUMMYFUNCTION("""COMPUTED_VALUE"""),"Jen Momo")</f>
        <v>Jen Momo</v>
      </c>
      <c r="K12139" s="1" t="str">
        <f>IFERROR(__xludf.DUMMYFUNCTION("""COMPUTED_VALUE"""),"Print Support PH")</f>
        <v>Print Support PH</v>
      </c>
      <c r="L12139" s="1" t="str">
        <f>IFERROR(__xludf.DUMMYFUNCTION("""COMPUTED_VALUE"""),"Print Print - CHT")</f>
        <v>Print Print - CHT</v>
      </c>
    </row>
    <row r="12140">
      <c r="A12140" s="1" t="str">
        <f>IFERROR(__xludf.DUMMYFUNCTION("""COMPUTED_VALUE"""),"2026 Apr")</f>
        <v>2026 Apr</v>
      </c>
      <c r="B12140" s="4">
        <f>IFERROR(__xludf.DUMMYFUNCTION("""COMPUTED_VALUE"""),46139.0)</f>
        <v>46139</v>
      </c>
      <c r="C12140" s="1" t="str">
        <f>IFERROR(__xludf.DUMMYFUNCTION("""COMPUTED_VALUE"""),"Segment-specific Support")</f>
        <v>Segment-specific Support</v>
      </c>
      <c r="D12140" s="1" t="str">
        <f>IFERROR(__xludf.DUMMYFUNCTION("""COMPUTED_VALUE"""),"71cc12d6-81ad-4480-9557-ff6a318e3277")</f>
        <v>71cc12d6-81ad-4480-9557-ff6a318e3277</v>
      </c>
      <c r="E12140" s="1">
        <f>IFERROR(__xludf.DUMMYFUNCTION("""COMPUTED_VALUE"""),3.61726424776E11)</f>
        <v>361726424776</v>
      </c>
      <c r="F12140" s="1"/>
      <c r="G12140" s="1"/>
      <c r="H12140" s="2">
        <f>IFERROR(__xludf.DUMMYFUNCTION("""COMPUTED_VALUE"""),0.0)</f>
        <v>0</v>
      </c>
      <c r="I12140" s="5"/>
      <c r="J12140" s="1" t="str">
        <f>IFERROR(__xludf.DUMMYFUNCTION("""COMPUTED_VALUE"""),"Jonathan Dimaculangan")</f>
        <v>Jonathan Dimaculangan</v>
      </c>
      <c r="K12140" s="1" t="str">
        <f>IFERROR(__xludf.DUMMYFUNCTION("""COMPUTED_VALUE"""),"Flourish Support")</f>
        <v>Flourish Support</v>
      </c>
      <c r="L12140" s="1" t="str">
        <f>IFERROR(__xludf.DUMMYFUNCTION("""COMPUTED_VALUE"""),"SSS Flourish")</f>
        <v>SSS Flourish</v>
      </c>
    </row>
    <row r="12141">
      <c r="A12141" s="1" t="str">
        <f>IFERROR(__xludf.DUMMYFUNCTION("""COMPUTED_VALUE"""),"2026 Apr")</f>
        <v>2026 Apr</v>
      </c>
      <c r="B12141" s="4">
        <f>IFERROR(__xludf.DUMMYFUNCTION("""COMPUTED_VALUE"""),46139.0)</f>
        <v>46139</v>
      </c>
      <c r="C12141" s="1" t="str">
        <f>IFERROR(__xludf.DUMMYFUNCTION("""COMPUTED_VALUE"""),"Core Product Support")</f>
        <v>Core Product Support</v>
      </c>
      <c r="D12141" s="1" t="str">
        <f>IFERROR(__xludf.DUMMYFUNCTION("""COMPUTED_VALUE"""),"ed8e075f-7119-4833-8af3-4c353a3fdda1")</f>
        <v>ed8e075f-7119-4833-8af3-4c353a3fdda1</v>
      </c>
      <c r="E12141" s="1">
        <f>IFERROR(__xludf.DUMMYFUNCTION("""COMPUTED_VALUE"""),4.502516921487E12)</f>
        <v>4502516921487</v>
      </c>
      <c r="F12141" s="1"/>
      <c r="G12141" s="1">
        <f>IFERROR(__xludf.DUMMYFUNCTION("""COMPUTED_VALUE"""),1.25)</f>
        <v>1.25</v>
      </c>
      <c r="H12141" s="2">
        <f>IFERROR(__xludf.DUMMYFUNCTION("""COMPUTED_VALUE"""),1.25)</f>
        <v>1.25</v>
      </c>
      <c r="I12141" s="5">
        <f>IFERROR(__xludf.DUMMYFUNCTION("""COMPUTED_VALUE"""),1.0)</f>
        <v>1</v>
      </c>
      <c r="J12141" s="1" t="str">
        <f>IFERROR(__xludf.DUMMYFUNCTION("""COMPUTED_VALUE"""),"Jem Mondoñedo")</f>
        <v>Jem Mondoñedo</v>
      </c>
      <c r="K12141" s="1" t="str">
        <f>IFERROR(__xludf.DUMMYFUNCTION("""COMPUTED_VALUE"""),"Advanced Billing &amp; Subscriptions")</f>
        <v>Advanced Billing &amp; Subscriptions</v>
      </c>
      <c r="L12141" s="1" t="str">
        <f>IFERROR(__xludf.DUMMYFUNCTION("""COMPUTED_VALUE"""),"CPS Advanced Billing and Subscriptions (ABS)")</f>
        <v>CPS Advanced Billing and Subscriptions (ABS)</v>
      </c>
    </row>
    <row r="12142">
      <c r="A12142" s="1" t="str">
        <f>IFERROR(__xludf.DUMMYFUNCTION("""COMPUTED_VALUE"""),"2026 Apr")</f>
        <v>2026 Apr</v>
      </c>
      <c r="B12142" s="4">
        <f>IFERROR(__xludf.DUMMYFUNCTION("""COMPUTED_VALUE"""),46139.0)</f>
        <v>46139</v>
      </c>
      <c r="C12142" s="1" t="str">
        <f>IFERROR(__xludf.DUMMYFUNCTION("""COMPUTED_VALUE"""),"Admin Support")</f>
        <v>Admin Support</v>
      </c>
      <c r="D12142" s="1" t="str">
        <f>IFERROR(__xludf.DUMMYFUNCTION("""COMPUTED_VALUE"""),"000279e3-fb19-4b90-a95c-080adc98c9aa")</f>
        <v>000279e3-fb19-4b90-a95c-080adc98c9aa</v>
      </c>
      <c r="E12142" s="1">
        <f>IFERROR(__xludf.DUMMYFUNCTION("""COMPUTED_VALUE"""),3.61861297935E11)</f>
        <v>361861297935</v>
      </c>
      <c r="F12142" s="1"/>
      <c r="G12142" s="1">
        <f>IFERROR(__xludf.DUMMYFUNCTION("""COMPUTED_VALUE"""),0.25)</f>
        <v>0.25</v>
      </c>
      <c r="H12142" s="2">
        <f>IFERROR(__xludf.DUMMYFUNCTION("""COMPUTED_VALUE"""),0.25)</f>
        <v>0.25</v>
      </c>
      <c r="I12142" s="5">
        <f>IFERROR(__xludf.DUMMYFUNCTION("""COMPUTED_VALUE"""),1.0)</f>
        <v>1</v>
      </c>
      <c r="J12142" s="1" t="str">
        <f>IFERROR(__xludf.DUMMYFUNCTION("""COMPUTED_VALUE"""),"AL Suarez")</f>
        <v>AL Suarez</v>
      </c>
      <c r="K12142" s="1" t="str">
        <f>IFERROR(__xludf.DUMMYFUNCTION("""COMPUTED_VALUE"""),"Advanced Billing &amp; Subscriptions")</f>
        <v>Advanced Billing &amp; Subscriptions</v>
      </c>
      <c r="L12142" s="1" t="str">
        <f>IFERROR(__xludf.DUMMYFUNCTION("""COMPUTED_VALUE"""),"CPS Advanced Billing and Subscriptions (ABS)")</f>
        <v>CPS Advanced Billing and Subscriptions (ABS)</v>
      </c>
    </row>
    <row r="12143">
      <c r="A12143" s="1" t="str">
        <f>IFERROR(__xludf.DUMMYFUNCTION("""COMPUTED_VALUE"""),"2026 Apr")</f>
        <v>2026 Apr</v>
      </c>
      <c r="B12143" s="4">
        <f>IFERROR(__xludf.DUMMYFUNCTION("""COMPUTED_VALUE"""),46139.0)</f>
        <v>46139</v>
      </c>
      <c r="C12143" s="1" t="str">
        <f>IFERROR(__xludf.DUMMYFUNCTION("""COMPUTED_VALUE"""),"Print Support")</f>
        <v>Print Support</v>
      </c>
      <c r="D12143" s="1" t="str">
        <f>IFERROR(__xludf.DUMMYFUNCTION("""COMPUTED_VALUE"""),"61035b18-fc2e-492c-ae7d-227048511bcf")</f>
        <v>61035b18-fc2e-492c-ae7d-227048511bcf</v>
      </c>
      <c r="E12143" s="1"/>
      <c r="F12143" s="1"/>
      <c r="G12143" s="1"/>
      <c r="H12143" s="2">
        <f>IFERROR(__xludf.DUMMYFUNCTION("""COMPUTED_VALUE"""),0.0)</f>
        <v>0</v>
      </c>
      <c r="I12143" s="5"/>
      <c r="J12143" s="1" t="str">
        <f>IFERROR(__xludf.DUMMYFUNCTION("""COMPUTED_VALUE"""),"Gem Agoncillo")</f>
        <v>Gem Agoncillo</v>
      </c>
      <c r="K12143" s="1" t="str">
        <f>IFERROR(__xludf.DUMMYFUNCTION("""COMPUTED_VALUE"""),"Print Design Support")</f>
        <v>Print Design Support</v>
      </c>
      <c r="L12143" s="1" t="str">
        <f>IFERROR(__xludf.DUMMYFUNCTION("""COMPUTED_VALUE"""),"Print Print Design")</f>
        <v>Print Print Design</v>
      </c>
    </row>
    <row r="12144">
      <c r="A12144" s="1" t="str">
        <f>IFERROR(__xludf.DUMMYFUNCTION("""COMPUTED_VALUE"""),"2026 Apr")</f>
        <v>2026 Apr</v>
      </c>
      <c r="B12144" s="4">
        <f>IFERROR(__xludf.DUMMYFUNCTION("""COMPUTED_VALUE"""),46139.0)</f>
        <v>46139</v>
      </c>
      <c r="C12144" s="1" t="str">
        <f>IFERROR(__xludf.DUMMYFUNCTION("""COMPUTED_VALUE"""),"Core Product Support")</f>
        <v>Core Product Support</v>
      </c>
      <c r="D12144" s="1" t="str">
        <f>IFERROR(__xludf.DUMMYFUNCTION("""COMPUTED_VALUE"""),"7f6e3175-f6cd-4a70-93aa-118856f83921")</f>
        <v>7f6e3175-f6cd-4a70-93aa-118856f83921</v>
      </c>
      <c r="E12144" s="1">
        <f>IFERROR(__xludf.DUMMYFUNCTION("""COMPUTED_VALUE"""),1.0333019153039E13)</f>
        <v>10333019153039</v>
      </c>
      <c r="F12144" s="1"/>
      <c r="G12144" s="1">
        <f>IFERROR(__xludf.DUMMYFUNCTION("""COMPUTED_VALUE"""),1.25)</f>
        <v>1.25</v>
      </c>
      <c r="H12144" s="2">
        <f>IFERROR(__xludf.DUMMYFUNCTION("""COMPUTED_VALUE"""),1.25)</f>
        <v>1.25</v>
      </c>
      <c r="I12144" s="5">
        <f>IFERROR(__xludf.DUMMYFUNCTION("""COMPUTED_VALUE"""),1.0)</f>
        <v>1</v>
      </c>
      <c r="J12144" s="1" t="str">
        <f>IFERROR(__xludf.DUMMYFUNCTION("""COMPUTED_VALUE"""),"Belle Bentazal")</f>
        <v>Belle Bentazal</v>
      </c>
      <c r="K12144" s="1" t="str">
        <f>IFERROR(__xludf.DUMMYFUNCTION("""COMPUTED_VALUE"""),"Advanced Product Support")</f>
        <v>Advanced Product Support</v>
      </c>
      <c r="L12144" s="1" t="str">
        <f>IFERROR(__xludf.DUMMYFUNCTION("""COMPUTED_VALUE"""),"CPS Advanced Product Support (APS)")</f>
        <v>CPS Advanced Product Support (APS)</v>
      </c>
    </row>
    <row r="12145">
      <c r="A12145" s="1" t="str">
        <f>IFERROR(__xludf.DUMMYFUNCTION("""COMPUTED_VALUE"""),"2026 Apr")</f>
        <v>2026 Apr</v>
      </c>
      <c r="B12145" s="4">
        <f>IFERROR(__xludf.DUMMYFUNCTION("""COMPUTED_VALUE"""),46139.0)</f>
        <v>46139</v>
      </c>
      <c r="C12145" s="1" t="str">
        <f>IFERROR(__xludf.DUMMYFUNCTION("""COMPUTED_VALUE"""),"Segment-specific Support")</f>
        <v>Segment-specific Support</v>
      </c>
      <c r="D12145" s="1" t="str">
        <f>IFERROR(__xludf.DUMMYFUNCTION("""COMPUTED_VALUE"""),"8941a42e-630f-4e32-ac1a-aa9495a2b319")</f>
        <v>8941a42e-630f-4e32-ac1a-aa9495a2b319</v>
      </c>
      <c r="E12145" s="1">
        <f>IFERROR(__xludf.DUMMYFUNCTION("""COMPUTED_VALUE"""),3.61731514775E11)</f>
        <v>361731514775</v>
      </c>
      <c r="F12145" s="1"/>
      <c r="G12145" s="1"/>
      <c r="H12145" s="2">
        <f>IFERROR(__xludf.DUMMYFUNCTION("""COMPUTED_VALUE"""),0.0)</f>
        <v>0</v>
      </c>
      <c r="I12145" s="5"/>
      <c r="J12145" s="1" t="str">
        <f>IFERROR(__xludf.DUMMYFUNCTION("""COMPUTED_VALUE"""),"Aileen Dayanghirang")</f>
        <v>Aileen Dayanghirang</v>
      </c>
      <c r="K12145" s="1" t="str">
        <f>IFERROR(__xludf.DUMMYFUNCTION("""COMPUTED_VALUE"""),"Creators Support")</f>
        <v>Creators Support</v>
      </c>
      <c r="L12145" s="1" t="str">
        <f>IFERROR(__xludf.DUMMYFUNCTION("""COMPUTED_VALUE"""),"SSS Creators")</f>
        <v>SSS Creators</v>
      </c>
    </row>
    <row r="12146">
      <c r="A12146" s="1" t="str">
        <f>IFERROR(__xludf.DUMMYFUNCTION("""COMPUTED_VALUE"""),"2026 Apr")</f>
        <v>2026 Apr</v>
      </c>
      <c r="B12146" s="4">
        <f>IFERROR(__xludf.DUMMYFUNCTION("""COMPUTED_VALUE"""),46139.0)</f>
        <v>46139</v>
      </c>
      <c r="C12146" s="1" t="str">
        <f>IFERROR(__xludf.DUMMYFUNCTION("""COMPUTED_VALUE"""),"Segment-specific Support")</f>
        <v>Segment-specific Support</v>
      </c>
      <c r="D12146" s="1" t="str">
        <f>IFERROR(__xludf.DUMMYFUNCTION("""COMPUTED_VALUE"""),"dfd09cbc-1248-47f6-96ff-bb4b2c38ce63")</f>
        <v>dfd09cbc-1248-47f6-96ff-bb4b2c38ce63</v>
      </c>
      <c r="E12146" s="1">
        <f>IFERROR(__xludf.DUMMYFUNCTION("""COMPUTED_VALUE"""),3.61725262736E11)</f>
        <v>361725262736</v>
      </c>
      <c r="F12146" s="1"/>
      <c r="G12146" s="1"/>
      <c r="H12146" s="2">
        <f>IFERROR(__xludf.DUMMYFUNCTION("""COMPUTED_VALUE"""),0.0)</f>
        <v>0</v>
      </c>
      <c r="I12146" s="5"/>
      <c r="J12146" s="1" t="str">
        <f>IFERROR(__xludf.DUMMYFUNCTION("""COMPUTED_VALUE"""),"Gucci Nava")</f>
        <v>Gucci Nava</v>
      </c>
      <c r="K12146" s="1" t="str">
        <f>IFERROR(__xludf.DUMMYFUNCTION("""COMPUTED_VALUE"""),"Affinity Support")</f>
        <v>Affinity Support</v>
      </c>
      <c r="L12146" s="1" t="str">
        <f>IFERROR(__xludf.DUMMYFUNCTION("""COMPUTED_VALUE"""),"SSS Affinity - L1")</f>
        <v>SSS Affinity - L1</v>
      </c>
    </row>
    <row r="12147">
      <c r="A12147" s="1" t="str">
        <f>IFERROR(__xludf.DUMMYFUNCTION("""COMPUTED_VALUE"""),"2026 Apr")</f>
        <v>2026 Apr</v>
      </c>
      <c r="B12147" s="4">
        <f>IFERROR(__xludf.DUMMYFUNCTION("""COMPUTED_VALUE"""),46139.0)</f>
        <v>46139</v>
      </c>
      <c r="C12147" s="1" t="str">
        <f>IFERROR(__xludf.DUMMYFUNCTION("""COMPUTED_VALUE"""),"Segment-specific Support")</f>
        <v>Segment-specific Support</v>
      </c>
      <c r="D12147" s="1" t="str">
        <f>IFERROR(__xludf.DUMMYFUNCTION("""COMPUTED_VALUE"""),"14ab0e6b-ba36-4083-a4df-79ae04c36179")</f>
        <v>14ab0e6b-ba36-4083-a4df-79ae04c36179</v>
      </c>
      <c r="E12147" s="1">
        <f>IFERROR(__xludf.DUMMYFUNCTION("""COMPUTED_VALUE"""),1.0548580059023E13)</f>
        <v>10548580059023</v>
      </c>
      <c r="F12147" s="1"/>
      <c r="G12147" s="1"/>
      <c r="H12147" s="2">
        <f>IFERROR(__xludf.DUMMYFUNCTION("""COMPUTED_VALUE"""),0.0)</f>
        <v>0</v>
      </c>
      <c r="I12147" s="5"/>
      <c r="J12147" s="1" t="str">
        <f>IFERROR(__xludf.DUMMYFUNCTION("""COMPUTED_VALUE"""),"Jonathan Dimaculangan")</f>
        <v>Jonathan Dimaculangan</v>
      </c>
      <c r="K12147" s="1" t="str">
        <f>IFERROR(__xludf.DUMMYFUNCTION("""COMPUTED_VALUE"""),"Flourish Support")</f>
        <v>Flourish Support</v>
      </c>
      <c r="L12147" s="1" t="str">
        <f>IFERROR(__xludf.DUMMYFUNCTION("""COMPUTED_VALUE"""),"SSS Flourish")</f>
        <v>SSS Flourish</v>
      </c>
    </row>
    <row r="12148">
      <c r="A12148" s="1" t="str">
        <f>IFERROR(__xludf.DUMMYFUNCTION("""COMPUTED_VALUE"""),"2026 Apr")</f>
        <v>2026 Apr</v>
      </c>
      <c r="B12148" s="4">
        <f>IFERROR(__xludf.DUMMYFUNCTION("""COMPUTED_VALUE"""),46139.0)</f>
        <v>46139</v>
      </c>
      <c r="C12148" s="1" t="str">
        <f>IFERROR(__xludf.DUMMYFUNCTION("""COMPUTED_VALUE"""),"Admin Support")</f>
        <v>Admin Support</v>
      </c>
      <c r="D12148" s="1" t="str">
        <f>IFERROR(__xludf.DUMMYFUNCTION("""COMPUTED_VALUE"""),"37c57b4f-487c-4c75-8926-0d22cc125dcf")</f>
        <v>37c57b4f-487c-4c75-8926-0d22cc125dcf</v>
      </c>
      <c r="E12148" s="1">
        <f>IFERROR(__xludf.DUMMYFUNCTION("""COMPUTED_VALUE"""),9.153765932815E12)</f>
        <v>9153765932815</v>
      </c>
      <c r="F12148" s="1"/>
      <c r="G12148" s="1"/>
      <c r="H12148" s="2">
        <f>IFERROR(__xludf.DUMMYFUNCTION("""COMPUTED_VALUE"""),0.0)</f>
        <v>0</v>
      </c>
      <c r="I12148" s="5"/>
      <c r="J12148" s="1" t="str">
        <f>IFERROR(__xludf.DUMMYFUNCTION("""COMPUTED_VALUE"""),"Tash Kelly")</f>
        <v>Tash Kelly</v>
      </c>
      <c r="K12148" s="1" t="str">
        <f>IFERROR(__xludf.DUMMYFUNCTION("""COMPUTED_VALUE"""),"Admin Support EMEA")</f>
        <v>Admin Support EMEA</v>
      </c>
      <c r="L12148" s="1" t="str">
        <f>IFERROR(__xludf.DUMMYFUNCTION("""COMPUTED_VALUE"""),"Admin EMEA")</f>
        <v>Admin EMEA</v>
      </c>
    </row>
    <row r="12149">
      <c r="A12149" s="1" t="str">
        <f>IFERROR(__xludf.DUMMYFUNCTION("""COMPUTED_VALUE"""),"2026 Apr")</f>
        <v>2026 Apr</v>
      </c>
      <c r="B12149" s="4">
        <f>IFERROR(__xludf.DUMMYFUNCTION("""COMPUTED_VALUE"""),46139.0)</f>
        <v>46139</v>
      </c>
      <c r="C12149" s="1" t="str">
        <f>IFERROR(__xludf.DUMMYFUNCTION("""COMPUTED_VALUE"""),"Segment-specific Support")</f>
        <v>Segment-specific Support</v>
      </c>
      <c r="D12149" s="1" t="str">
        <f>IFERROR(__xludf.DUMMYFUNCTION("""COMPUTED_VALUE"""),"745adc44-2fda-43ea-bdcd-39c28e369ddc")</f>
        <v>745adc44-2fda-43ea-bdcd-39c28e369ddc</v>
      </c>
      <c r="E12149" s="1">
        <f>IFERROR(__xludf.DUMMYFUNCTION("""COMPUTED_VALUE"""),3.61731943495E11)</f>
        <v>361731943495</v>
      </c>
      <c r="F12149" s="1"/>
      <c r="G12149" s="1"/>
      <c r="H12149" s="2">
        <f>IFERROR(__xludf.DUMMYFUNCTION("""COMPUTED_VALUE"""),0.0)</f>
        <v>0</v>
      </c>
      <c r="I12149" s="5"/>
      <c r="J12149" s="1" t="str">
        <f>IFERROR(__xludf.DUMMYFUNCTION("""COMPUTED_VALUE"""),"Rose Gabilan")</f>
        <v>Rose Gabilan</v>
      </c>
      <c r="K12149" s="1" t="str">
        <f>IFERROR(__xludf.DUMMYFUNCTION("""COMPUTED_VALUE"""),"Affinity Support")</f>
        <v>Affinity Support</v>
      </c>
      <c r="L12149" s="1" t="str">
        <f>IFERROR(__xludf.DUMMYFUNCTION("""COMPUTED_VALUE"""),"SSS Affinity - L1")</f>
        <v>SSS Affinity - L1</v>
      </c>
    </row>
    <row r="12150">
      <c r="A12150" s="1" t="str">
        <f>IFERROR(__xludf.DUMMYFUNCTION("""COMPUTED_VALUE"""),"2026 Apr")</f>
        <v>2026 Apr</v>
      </c>
      <c r="B12150" s="4">
        <f>IFERROR(__xludf.DUMMYFUNCTION("""COMPUTED_VALUE"""),46139.0)</f>
        <v>46139</v>
      </c>
      <c r="C12150" s="1" t="str">
        <f>IFERROR(__xludf.DUMMYFUNCTION("""COMPUTED_VALUE"""),"Print Support")</f>
        <v>Print Support</v>
      </c>
      <c r="D12150" s="1" t="str">
        <f>IFERROR(__xludf.DUMMYFUNCTION("""COMPUTED_VALUE"""),"98326c76-87c9-4e59-a377-8cc144d863d0")</f>
        <v>98326c76-87c9-4e59-a377-8cc144d863d0</v>
      </c>
      <c r="E12150" s="1">
        <f>IFERROR(__xludf.DUMMYFUNCTION("""COMPUTED_VALUE"""),5.902016055567E12)</f>
        <v>5902016055567</v>
      </c>
      <c r="F12150" s="1"/>
      <c r="G12150" s="1"/>
      <c r="H12150" s="2">
        <f>IFERROR(__xludf.DUMMYFUNCTION("""COMPUTED_VALUE"""),0.0)</f>
        <v>0</v>
      </c>
      <c r="I12150" s="5"/>
      <c r="J12150" s="1" t="str">
        <f>IFERROR(__xludf.DUMMYFUNCTION("""COMPUTED_VALUE"""),"Rae Erlano")</f>
        <v>Rae Erlano</v>
      </c>
      <c r="K12150" s="1" t="str">
        <f>IFERROR(__xludf.DUMMYFUNCTION("""COMPUTED_VALUE"""),"Print Support PH")</f>
        <v>Print Support PH</v>
      </c>
      <c r="L12150" s="1" t="str">
        <f>IFERROR(__xludf.DUMMYFUNCTION("""COMPUTED_VALUE"""),"Print Print - SEE")</f>
        <v>Print Print - SEE</v>
      </c>
    </row>
    <row r="12151">
      <c r="A12151" s="1" t="str">
        <f>IFERROR(__xludf.DUMMYFUNCTION("""COMPUTED_VALUE"""),"2026 Apr")</f>
        <v>2026 Apr</v>
      </c>
      <c r="B12151" s="4">
        <f>IFERROR(__xludf.DUMMYFUNCTION("""COMPUTED_VALUE"""),46139.0)</f>
        <v>46139</v>
      </c>
      <c r="C12151" s="1" t="str">
        <f>IFERROR(__xludf.DUMMYFUNCTION("""COMPUTED_VALUE"""),"Print Support")</f>
        <v>Print Support</v>
      </c>
      <c r="D12151" s="1" t="str">
        <f>IFERROR(__xludf.DUMMYFUNCTION("""COMPUTED_VALUE"""),"233133e3-a3d0-492d-bb55-8a7c4ffc4966")</f>
        <v>233133e3-a3d0-492d-bb55-8a7c4ffc4966</v>
      </c>
      <c r="E12151" s="1">
        <f>IFERROR(__xludf.DUMMYFUNCTION("""COMPUTED_VALUE"""),5.902016026895E12)</f>
        <v>5902016026895</v>
      </c>
      <c r="F12151" s="1"/>
      <c r="G12151" s="1"/>
      <c r="H12151" s="2">
        <f>IFERROR(__xludf.DUMMYFUNCTION("""COMPUTED_VALUE"""),0.0)</f>
        <v>0</v>
      </c>
      <c r="I12151" s="5"/>
      <c r="J12151" s="1" t="str">
        <f>IFERROR(__xludf.DUMMYFUNCTION("""COMPUTED_VALUE"""),"Althea Mercado")</f>
        <v>Althea Mercado</v>
      </c>
      <c r="K12151" s="1" t="str">
        <f>IFERROR(__xludf.DUMMYFUNCTION("""COMPUTED_VALUE"""),"Print Support PH")</f>
        <v>Print Support PH</v>
      </c>
      <c r="L12151" s="1" t="str">
        <f>IFERROR(__xludf.DUMMYFUNCTION("""COMPUTED_VALUE"""),"Print Print - CHT")</f>
        <v>Print Print - CHT</v>
      </c>
    </row>
    <row r="12152">
      <c r="A12152" s="1" t="str">
        <f>IFERROR(__xludf.DUMMYFUNCTION("""COMPUTED_VALUE"""),"2026 Apr")</f>
        <v>2026 Apr</v>
      </c>
      <c r="B12152" s="4">
        <f>IFERROR(__xludf.DUMMYFUNCTION("""COMPUTED_VALUE"""),46139.0)</f>
        <v>46139</v>
      </c>
      <c r="C12152" s="1" t="str">
        <f>IFERROR(__xludf.DUMMYFUNCTION("""COMPUTED_VALUE"""),"Print Support")</f>
        <v>Print Support</v>
      </c>
      <c r="D12152" s="1" t="str">
        <f>IFERROR(__xludf.DUMMYFUNCTION("""COMPUTED_VALUE"""),"0dc0eea0-be83-425b-9b40-b42bc444972b")</f>
        <v>0dc0eea0-be83-425b-9b40-b42bc444972b</v>
      </c>
      <c r="E12152" s="1"/>
      <c r="F12152" s="1"/>
      <c r="G12152" s="1"/>
      <c r="H12152" s="2">
        <f>IFERROR(__xludf.DUMMYFUNCTION("""COMPUTED_VALUE"""),0.0)</f>
        <v>0</v>
      </c>
      <c r="I12152" s="5"/>
      <c r="J12152" s="1" t="str">
        <f>IFERROR(__xludf.DUMMYFUNCTION("""COMPUTED_VALUE"""),"G-Anne Murillo")</f>
        <v>G-Anne Murillo</v>
      </c>
      <c r="K12152" s="1" t="str">
        <f>IFERROR(__xludf.DUMMYFUNCTION("""COMPUTED_VALUE"""),"Print Design Support")</f>
        <v>Print Design Support</v>
      </c>
      <c r="L12152" s="1" t="str">
        <f>IFERROR(__xludf.DUMMYFUNCTION("""COMPUTED_VALUE"""),"Print Print Design")</f>
        <v>Print Print Design</v>
      </c>
    </row>
    <row r="12153">
      <c r="A12153" s="1" t="str">
        <f>IFERROR(__xludf.DUMMYFUNCTION("""COMPUTED_VALUE"""),"2026 Apr")</f>
        <v>2026 Apr</v>
      </c>
      <c r="B12153" s="4">
        <f>IFERROR(__xludf.DUMMYFUNCTION("""COMPUTED_VALUE"""),46139.0)</f>
        <v>46139</v>
      </c>
      <c r="C12153" s="1" t="str">
        <f>IFERROR(__xludf.DUMMYFUNCTION("""COMPUTED_VALUE"""),"High Sensitivity Support")</f>
        <v>High Sensitivity Support</v>
      </c>
      <c r="D12153" s="1" t="str">
        <f>IFERROR(__xludf.DUMMYFUNCTION("""COMPUTED_VALUE"""),"63913765-f42c-45e4-8f9a-eb96d52c2d61")</f>
        <v>63913765-f42c-45e4-8f9a-eb96d52c2d61</v>
      </c>
      <c r="E12153" s="1">
        <f>IFERROR(__xludf.DUMMYFUNCTION("""COMPUTED_VALUE"""),1.0333018822031E13)</f>
        <v>10333018822031</v>
      </c>
      <c r="F12153" s="1"/>
      <c r="G12153" s="1"/>
      <c r="H12153" s="2">
        <f>IFERROR(__xludf.DUMMYFUNCTION("""COMPUTED_VALUE"""),0.0)</f>
        <v>0</v>
      </c>
      <c r="I12153" s="5"/>
      <c r="J12153" s="1" t="str">
        <f>IFERROR(__xludf.DUMMYFUNCTION("""COMPUTED_VALUE"""),"Rex Villamor")</f>
        <v>Rex Villamor</v>
      </c>
      <c r="K12153" s="1" t="str">
        <f>IFERROR(__xludf.DUMMYFUNCTION("""COMPUTED_VALUE"""),"Advanced Product Support")</f>
        <v>Advanced Product Support</v>
      </c>
      <c r="L12153" s="1" t="str">
        <f>IFERROR(__xludf.DUMMYFUNCTION("""COMPUTED_VALUE"""),"CPS Advanced Product Support (APS)")</f>
        <v>CPS Advanced Product Support (APS)</v>
      </c>
    </row>
    <row r="12154">
      <c r="A12154" s="1" t="str">
        <f>IFERROR(__xludf.DUMMYFUNCTION("""COMPUTED_VALUE"""),"2026 Apr")</f>
        <v>2026 Apr</v>
      </c>
      <c r="B12154" s="4">
        <f>IFERROR(__xludf.DUMMYFUNCTION("""COMPUTED_VALUE"""),46139.0)</f>
        <v>46139</v>
      </c>
      <c r="C12154" s="1" t="str">
        <f>IFERROR(__xludf.DUMMYFUNCTION("""COMPUTED_VALUE"""),"Core Product Support")</f>
        <v>Core Product Support</v>
      </c>
      <c r="D12154" s="1" t="str">
        <f>IFERROR(__xludf.DUMMYFUNCTION("""COMPUTED_VALUE"""),"ab157f99-7ffd-4d9d-9c79-c3cf66911088")</f>
        <v>ab157f99-7ffd-4d9d-9c79-c3cf66911088</v>
      </c>
      <c r="E12154" s="1">
        <f>IFERROR(__xludf.DUMMYFUNCTION("""COMPUTED_VALUE"""),3.61731646775E11)</f>
        <v>361731646775</v>
      </c>
      <c r="F12154" s="1"/>
      <c r="G12154" s="1">
        <f>IFERROR(__xludf.DUMMYFUNCTION("""COMPUTED_VALUE"""),2.5)</f>
        <v>2.5</v>
      </c>
      <c r="H12154" s="2">
        <f>IFERROR(__xludf.DUMMYFUNCTION("""COMPUTED_VALUE"""),2.5)</f>
        <v>2.5</v>
      </c>
      <c r="I12154" s="5">
        <f>IFERROR(__xludf.DUMMYFUNCTION("""COMPUTED_VALUE"""),1.0)</f>
        <v>1</v>
      </c>
      <c r="J12154" s="1" t="str">
        <f>IFERROR(__xludf.DUMMYFUNCTION("""COMPUTED_VALUE"""),"Sieg Ballelos")</f>
        <v>Sieg Ballelos</v>
      </c>
      <c r="K12154" s="1" t="str">
        <f>IFERROR(__xludf.DUMMYFUNCTION("""COMPUTED_VALUE"""),"Core Product Support Escalation Team")</f>
        <v>Core Product Support Escalation Team</v>
      </c>
      <c r="L12154"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2155">
      <c r="A12155" s="1" t="str">
        <f>IFERROR(__xludf.DUMMYFUNCTION("""COMPUTED_VALUE"""),"2026 Apr")</f>
        <v>2026 Apr</v>
      </c>
      <c r="B12155" s="4">
        <f>IFERROR(__xludf.DUMMYFUNCTION("""COMPUTED_VALUE"""),46139.0)</f>
        <v>46139</v>
      </c>
      <c r="C12155" s="1" t="str">
        <f>IFERROR(__xludf.DUMMYFUNCTION("""COMPUTED_VALUE"""),"Admin Support")</f>
        <v>Admin Support</v>
      </c>
      <c r="D12155" s="1" t="str">
        <f>IFERROR(__xludf.DUMMYFUNCTION("""COMPUTED_VALUE"""),"eb8376ed-4cf6-4826-b5fb-2b6844150189")</f>
        <v>eb8376ed-4cf6-4826-b5fb-2b6844150189</v>
      </c>
      <c r="E12155" s="1">
        <f>IFERROR(__xludf.DUMMYFUNCTION("""COMPUTED_VALUE"""),3.61731516535E11)</f>
        <v>361731516535</v>
      </c>
      <c r="F12155" s="1"/>
      <c r="G12155" s="1">
        <f>IFERROR(__xludf.DUMMYFUNCTION("""COMPUTED_VALUE"""),0.25)</f>
        <v>0.25</v>
      </c>
      <c r="H12155" s="2">
        <f>IFERROR(__xludf.DUMMYFUNCTION("""COMPUTED_VALUE"""),0.25)</f>
        <v>0.25</v>
      </c>
      <c r="I12155" s="5">
        <f>IFERROR(__xludf.DUMMYFUNCTION("""COMPUTED_VALUE"""),1.0)</f>
        <v>1</v>
      </c>
      <c r="J12155" s="1" t="str">
        <f>IFERROR(__xludf.DUMMYFUNCTION("""COMPUTED_VALUE"""),"Ann Dumlao")</f>
        <v>Ann Dumlao</v>
      </c>
      <c r="K12155" s="1" t="str">
        <f>IFERROR(__xludf.DUMMYFUNCTION("""COMPUTED_VALUE"""),"Admin Omni Support")</f>
        <v>Admin Omni Support</v>
      </c>
      <c r="L12155" s="1" t="str">
        <f>IFERROR(__xludf.DUMMYFUNCTION("""COMPUTED_VALUE"""),"Admin Omni Support")</f>
        <v>Admin Omni Support</v>
      </c>
    </row>
    <row r="12156">
      <c r="A12156" s="1" t="str">
        <f>IFERROR(__xludf.DUMMYFUNCTION("""COMPUTED_VALUE"""),"2026 Apr")</f>
        <v>2026 Apr</v>
      </c>
      <c r="B12156" s="4">
        <f>IFERROR(__xludf.DUMMYFUNCTION("""COMPUTED_VALUE"""),46139.0)</f>
        <v>46139</v>
      </c>
      <c r="C12156" s="1" t="str">
        <f>IFERROR(__xludf.DUMMYFUNCTION("""COMPUTED_VALUE"""),"Segment-specific Support")</f>
        <v>Segment-specific Support</v>
      </c>
      <c r="D12156" s="1" t="str">
        <f>IFERROR(__xludf.DUMMYFUNCTION("""COMPUTED_VALUE"""),"5f0cce5a-c29c-416c-a9e9-e7e3fa282c8a")</f>
        <v>5f0cce5a-c29c-416c-a9e9-e7e3fa282c8a</v>
      </c>
      <c r="E12156" s="1">
        <f>IFERROR(__xludf.DUMMYFUNCTION("""COMPUTED_VALUE"""),9.903289405711E12)</f>
        <v>9903289405711</v>
      </c>
      <c r="F12156" s="1"/>
      <c r="G12156" s="1"/>
      <c r="H12156" s="2">
        <f>IFERROR(__xludf.DUMMYFUNCTION("""COMPUTED_VALUE"""),0.0)</f>
        <v>0</v>
      </c>
      <c r="I12156" s="5"/>
      <c r="J12156" s="1" t="str">
        <f>IFERROR(__xludf.DUMMYFUNCTION("""COMPUTED_VALUE"""),"Jonathan Dimaculangan")</f>
        <v>Jonathan Dimaculangan</v>
      </c>
      <c r="K12156" s="1" t="str">
        <f>IFERROR(__xludf.DUMMYFUNCTION("""COMPUTED_VALUE"""),"Flourish Support")</f>
        <v>Flourish Support</v>
      </c>
      <c r="L12156" s="1" t="str">
        <f>IFERROR(__xludf.DUMMYFUNCTION("""COMPUTED_VALUE"""),"SSS Flourish")</f>
        <v>SSS Flourish</v>
      </c>
    </row>
    <row r="12157">
      <c r="A12157" s="1" t="str">
        <f>IFERROR(__xludf.DUMMYFUNCTION("""COMPUTED_VALUE"""),"2026 Apr")</f>
        <v>2026 Apr</v>
      </c>
      <c r="B12157" s="4">
        <f>IFERROR(__xludf.DUMMYFUNCTION("""COMPUTED_VALUE"""),46139.0)</f>
        <v>46139</v>
      </c>
      <c r="C12157" s="1" t="str">
        <f>IFERROR(__xludf.DUMMYFUNCTION("""COMPUTED_VALUE"""),"Core Product Support")</f>
        <v>Core Product Support</v>
      </c>
      <c r="D12157" s="1" t="str">
        <f>IFERROR(__xludf.DUMMYFUNCTION("""COMPUTED_VALUE"""),"618f1bf8-5458-45df-85f7-93c4f29332f8")</f>
        <v>618f1bf8-5458-45df-85f7-93c4f29332f8</v>
      </c>
      <c r="E12157" s="1">
        <f>IFERROR(__xludf.DUMMYFUNCTION("""COMPUTED_VALUE"""),3.61724667256E11)</f>
        <v>361724667256</v>
      </c>
      <c r="F12157" s="1"/>
      <c r="G12157" s="1">
        <f>IFERROR(__xludf.DUMMYFUNCTION("""COMPUTED_VALUE"""),0.5)</f>
        <v>0.5</v>
      </c>
      <c r="H12157" s="2">
        <f>IFERROR(__xludf.DUMMYFUNCTION("""COMPUTED_VALUE"""),0.5)</f>
        <v>0.5</v>
      </c>
      <c r="I12157" s="5">
        <f>IFERROR(__xludf.DUMMYFUNCTION("""COMPUTED_VALUE"""),1.0)</f>
        <v>1</v>
      </c>
      <c r="J12157" s="1" t="str">
        <f>IFERROR(__xludf.DUMMYFUNCTION("""COMPUTED_VALUE"""),"Ellaine Estayo")</f>
        <v>Ellaine Estayo</v>
      </c>
      <c r="K12157" s="1" t="str">
        <f>IFERROR(__xludf.DUMMYFUNCTION("""COMPUTED_VALUE"""),"Core Product Support Escalation Team")</f>
        <v>Core Product Support Escalation Team</v>
      </c>
      <c r="L12157"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2158">
      <c r="A12158" s="1" t="str">
        <f>IFERROR(__xludf.DUMMYFUNCTION("""COMPUTED_VALUE"""),"2026 Apr")</f>
        <v>2026 Apr</v>
      </c>
      <c r="B12158" s="4">
        <f>IFERROR(__xludf.DUMMYFUNCTION("""COMPUTED_VALUE"""),46139.0)</f>
        <v>46139</v>
      </c>
      <c r="C12158" s="1" t="str">
        <f>IFERROR(__xludf.DUMMYFUNCTION("""COMPUTED_VALUE"""),"Print Support")</f>
        <v>Print Support</v>
      </c>
      <c r="D12158" s="1" t="str">
        <f>IFERROR(__xludf.DUMMYFUNCTION("""COMPUTED_VALUE"""),"9e452879-93e7-461c-b1a1-1bd079930eb2")</f>
        <v>9e452879-93e7-461c-b1a1-1bd079930eb2</v>
      </c>
      <c r="E12158" s="1">
        <f>IFERROR(__xludf.DUMMYFUNCTION("""COMPUTED_VALUE"""),1.0548609842831E13)</f>
        <v>10548609842831</v>
      </c>
      <c r="F12158" s="1"/>
      <c r="G12158" s="1"/>
      <c r="H12158" s="2">
        <f>IFERROR(__xludf.DUMMYFUNCTION("""COMPUTED_VALUE"""),0.0)</f>
        <v>0</v>
      </c>
      <c r="I12158" s="5"/>
      <c r="J12158" s="1" t="str">
        <f>IFERROR(__xludf.DUMMYFUNCTION("""COMPUTED_VALUE"""),"Louise Dianne Estrella")</f>
        <v>Louise Dianne Estrella</v>
      </c>
      <c r="K12158" s="1" t="str">
        <f>IFERROR(__xludf.DUMMYFUNCTION("""COMPUTED_VALUE"""),"Print Support PH")</f>
        <v>Print Support PH</v>
      </c>
      <c r="L12158" s="1" t="str">
        <f>IFERROR(__xludf.DUMMYFUNCTION("""COMPUTED_VALUE"""),"Print Print - CHT")</f>
        <v>Print Print - CHT</v>
      </c>
    </row>
    <row r="12159">
      <c r="A12159" s="1" t="str">
        <f>IFERROR(__xludf.DUMMYFUNCTION("""COMPUTED_VALUE"""),"2026 Apr")</f>
        <v>2026 Apr</v>
      </c>
      <c r="B12159" s="4">
        <f>IFERROR(__xludf.DUMMYFUNCTION("""COMPUTED_VALUE"""),46139.0)</f>
        <v>46139</v>
      </c>
      <c r="C12159" s="1" t="str">
        <f>IFERROR(__xludf.DUMMYFUNCTION("""COMPUTED_VALUE"""),"Core Product Support")</f>
        <v>Core Product Support</v>
      </c>
      <c r="D12159" s="1" t="str">
        <f>IFERROR(__xludf.DUMMYFUNCTION("""COMPUTED_VALUE"""),"2a3cbb81-c61e-4e7d-8a9e-ed241403cd4d")</f>
        <v>2a3cbb81-c61e-4e7d-8a9e-ed241403cd4d</v>
      </c>
      <c r="E12159" s="1">
        <f>IFERROR(__xludf.DUMMYFUNCTION("""COMPUTED_VALUE"""),1.0333033832463E13)</f>
        <v>10333033832463</v>
      </c>
      <c r="F12159" s="1"/>
      <c r="G12159" s="1">
        <f>IFERROR(__xludf.DUMMYFUNCTION("""COMPUTED_VALUE"""),1.25)</f>
        <v>1.25</v>
      </c>
      <c r="H12159" s="2">
        <f>IFERROR(__xludf.DUMMYFUNCTION("""COMPUTED_VALUE"""),1.25)</f>
        <v>1.25</v>
      </c>
      <c r="I12159" s="5">
        <f>IFERROR(__xludf.DUMMYFUNCTION("""COMPUTED_VALUE"""),1.0)</f>
        <v>1</v>
      </c>
      <c r="J12159" s="1" t="str">
        <f>IFERROR(__xludf.DUMMYFUNCTION("""COMPUTED_VALUE"""),"Cherry Macam")</f>
        <v>Cherry Macam</v>
      </c>
      <c r="K12159" s="1" t="str">
        <f>IFERROR(__xludf.DUMMYFUNCTION("""COMPUTED_VALUE"""),"Advanced Billing &amp; Subscriptions")</f>
        <v>Advanced Billing &amp; Subscriptions</v>
      </c>
      <c r="L12159" s="1" t="str">
        <f>IFERROR(__xludf.DUMMYFUNCTION("""COMPUTED_VALUE"""),"CPS Advanced Billing and Subscriptions (ABS)")</f>
        <v>CPS Advanced Billing and Subscriptions (ABS)</v>
      </c>
    </row>
    <row r="12160">
      <c r="A12160" s="1" t="str">
        <f>IFERROR(__xludf.DUMMYFUNCTION("""COMPUTED_VALUE"""),"2026 Apr")</f>
        <v>2026 Apr</v>
      </c>
      <c r="B12160" s="4">
        <f>IFERROR(__xludf.DUMMYFUNCTION("""COMPUTED_VALUE"""),46139.0)</f>
        <v>46139</v>
      </c>
      <c r="C12160" s="1" t="str">
        <f>IFERROR(__xludf.DUMMYFUNCTION("""COMPUTED_VALUE"""),"Segment-specific Support")</f>
        <v>Segment-specific Support</v>
      </c>
      <c r="D12160" s="1" t="str">
        <f>IFERROR(__xludf.DUMMYFUNCTION("""COMPUTED_VALUE"""),"b9ec9518-1035-4039-9e89-56312867ff3e")</f>
        <v>b9ec9518-1035-4039-9e89-56312867ff3e</v>
      </c>
      <c r="E12160" s="1">
        <f>IFERROR(__xludf.DUMMYFUNCTION("""COMPUTED_VALUE"""),1.0548609971215E13)</f>
        <v>10548609971215</v>
      </c>
      <c r="F12160" s="1"/>
      <c r="G12160" s="1"/>
      <c r="H12160" s="2">
        <f>IFERROR(__xludf.DUMMYFUNCTION("""COMPUTED_VALUE"""),0.0)</f>
        <v>0</v>
      </c>
      <c r="I12160" s="5"/>
      <c r="J12160" s="1" t="str">
        <f>IFERROR(__xludf.DUMMYFUNCTION("""COMPUTED_VALUE"""),"Gucci Nava")</f>
        <v>Gucci Nava</v>
      </c>
      <c r="K12160" s="1" t="str">
        <f>IFERROR(__xludf.DUMMYFUNCTION("""COMPUTED_VALUE"""),"Print Support PH")</f>
        <v>Print Support PH</v>
      </c>
      <c r="L12160" s="1" t="str">
        <f>IFERROR(__xludf.DUMMYFUNCTION("""COMPUTED_VALUE"""),"Print Print - CHT")</f>
        <v>Print Print - CHT</v>
      </c>
    </row>
    <row r="12161">
      <c r="A12161" s="1" t="str">
        <f>IFERROR(__xludf.DUMMYFUNCTION("""COMPUTED_VALUE"""),"2026 Apr")</f>
        <v>2026 Apr</v>
      </c>
      <c r="B12161" s="4">
        <f>IFERROR(__xludf.DUMMYFUNCTION("""COMPUTED_VALUE"""),46139.0)</f>
        <v>46139</v>
      </c>
      <c r="C12161" s="1" t="str">
        <f>IFERROR(__xludf.DUMMYFUNCTION("""COMPUTED_VALUE"""),"Core Product Support")</f>
        <v>Core Product Support</v>
      </c>
      <c r="D12161" s="1" t="str">
        <f>IFERROR(__xludf.DUMMYFUNCTION("""COMPUTED_VALUE"""),"b80ae9d0-5920-40ea-8338-5b197b10c2ea")</f>
        <v>b80ae9d0-5920-40ea-8338-5b197b10c2ea</v>
      </c>
      <c r="E12161" s="1">
        <f>IFERROR(__xludf.DUMMYFUNCTION("""COMPUTED_VALUE"""),3.61857411916E11)</f>
        <v>361857411916</v>
      </c>
      <c r="F12161" s="1"/>
      <c r="G12161" s="1">
        <f>IFERROR(__xludf.DUMMYFUNCTION("""COMPUTED_VALUE"""),1.25)</f>
        <v>1.25</v>
      </c>
      <c r="H12161" s="2">
        <f>IFERROR(__xludf.DUMMYFUNCTION("""COMPUTED_VALUE"""),1.25)</f>
        <v>1.25</v>
      </c>
      <c r="I12161" s="5">
        <f>IFERROR(__xludf.DUMMYFUNCTION("""COMPUTED_VALUE"""),1.0)</f>
        <v>1</v>
      </c>
      <c r="J12161" s="1" t="str">
        <f>IFERROR(__xludf.DUMMYFUNCTION("""COMPUTED_VALUE"""),"Jahmie Mae Barrameda")</f>
        <v>Jahmie Mae Barrameda</v>
      </c>
      <c r="K12161" s="1" t="str">
        <f>IFERROR(__xludf.DUMMYFUNCTION("""COMPUTED_VALUE"""),"Advanced Billing &amp; Subscriptions")</f>
        <v>Advanced Billing &amp; Subscriptions</v>
      </c>
      <c r="L12161" s="1" t="str">
        <f>IFERROR(__xludf.DUMMYFUNCTION("""COMPUTED_VALUE"""),"CPS Advanced Billing and Subscriptions (ABS)")</f>
        <v>CPS Advanced Billing and Subscriptions (ABS)</v>
      </c>
    </row>
    <row r="12162">
      <c r="A12162" s="1" t="str">
        <f>IFERROR(__xludf.DUMMYFUNCTION("""COMPUTED_VALUE"""),"2026 Apr")</f>
        <v>2026 Apr</v>
      </c>
      <c r="B12162" s="4">
        <f>IFERROR(__xludf.DUMMYFUNCTION("""COMPUTED_VALUE"""),46139.0)</f>
        <v>46139</v>
      </c>
      <c r="C12162" s="1" t="str">
        <f>IFERROR(__xludf.DUMMYFUNCTION("""COMPUTED_VALUE"""),"Print Support")</f>
        <v>Print Support</v>
      </c>
      <c r="D12162" s="1" t="str">
        <f>IFERROR(__xludf.DUMMYFUNCTION("""COMPUTED_VALUE"""),"96960398-b413-404a-acdf-c9c07c7a947d")</f>
        <v>96960398-b413-404a-acdf-c9c07c7a947d</v>
      </c>
      <c r="E12162" s="1">
        <f>IFERROR(__xludf.DUMMYFUNCTION("""COMPUTED_VALUE"""),3.61744077956E11)</f>
        <v>361744077956</v>
      </c>
      <c r="F12162" s="1"/>
      <c r="G12162" s="1"/>
      <c r="H12162" s="2">
        <f>IFERROR(__xludf.DUMMYFUNCTION("""COMPUTED_VALUE"""),0.0)</f>
        <v>0</v>
      </c>
      <c r="I12162" s="5"/>
      <c r="J12162" s="1" t="str">
        <f>IFERROR(__xludf.DUMMYFUNCTION("""COMPUTED_VALUE"""),"Rae Erlano")</f>
        <v>Rae Erlano</v>
      </c>
      <c r="K12162" s="1" t="str">
        <f>IFERROR(__xludf.DUMMYFUNCTION("""COMPUTED_VALUE"""),"Print Support PH")</f>
        <v>Print Support PH</v>
      </c>
      <c r="L12162" s="1" t="str">
        <f>IFERROR(__xludf.DUMMYFUNCTION("""COMPUTED_VALUE"""),"Print Print - SEE")</f>
        <v>Print Print - SEE</v>
      </c>
    </row>
    <row r="12163">
      <c r="A12163" s="1" t="str">
        <f>IFERROR(__xludf.DUMMYFUNCTION("""COMPUTED_VALUE"""),"2026 Apr")</f>
        <v>2026 Apr</v>
      </c>
      <c r="B12163" s="4">
        <f>IFERROR(__xludf.DUMMYFUNCTION("""COMPUTED_VALUE"""),46139.0)</f>
        <v>46139</v>
      </c>
      <c r="C12163" s="1" t="str">
        <f>IFERROR(__xludf.DUMMYFUNCTION("""COMPUTED_VALUE"""),"Print Support")</f>
        <v>Print Support</v>
      </c>
      <c r="D12163" s="1" t="str">
        <f>IFERROR(__xludf.DUMMYFUNCTION("""COMPUTED_VALUE"""),"b85e88a5-e05e-4b99-8314-1a4152e7f993")</f>
        <v>b85e88a5-e05e-4b99-8314-1a4152e7f993</v>
      </c>
      <c r="E12163" s="1"/>
      <c r="F12163" s="1"/>
      <c r="G12163" s="1"/>
      <c r="H12163" s="2">
        <f>IFERROR(__xludf.DUMMYFUNCTION("""COMPUTED_VALUE"""),0.0)</f>
        <v>0</v>
      </c>
      <c r="I12163" s="5"/>
      <c r="J12163" s="1" t="str">
        <f>IFERROR(__xludf.DUMMYFUNCTION("""COMPUTED_VALUE"""),"Rei De Jesus")</f>
        <v>Rei De Jesus</v>
      </c>
      <c r="K12163" s="1" t="str">
        <f>IFERROR(__xludf.DUMMYFUNCTION("""COMPUTED_VALUE"""),"Print Design Support")</f>
        <v>Print Design Support</v>
      </c>
      <c r="L12163" s="1" t="str">
        <f>IFERROR(__xludf.DUMMYFUNCTION("""COMPUTED_VALUE"""),"Print Print Design")</f>
        <v>Print Print Design</v>
      </c>
    </row>
    <row r="12164">
      <c r="A12164" s="1" t="str">
        <f>IFERROR(__xludf.DUMMYFUNCTION("""COMPUTED_VALUE"""),"2026 Apr")</f>
        <v>2026 Apr</v>
      </c>
      <c r="B12164" s="4">
        <f>IFERROR(__xludf.DUMMYFUNCTION("""COMPUTED_VALUE"""),46139.0)</f>
        <v>46139</v>
      </c>
      <c r="C12164" s="1" t="str">
        <f>IFERROR(__xludf.DUMMYFUNCTION("""COMPUTED_VALUE"""),"High Sensitivity Support")</f>
        <v>High Sensitivity Support</v>
      </c>
      <c r="D12164" s="1" t="str">
        <f>IFERROR(__xludf.DUMMYFUNCTION("""COMPUTED_VALUE"""),"f734e8ae-d81c-444b-8238-0989a571ddfc")</f>
        <v>f734e8ae-d81c-444b-8238-0989a571ddfc</v>
      </c>
      <c r="E12164" s="1">
        <f>IFERROR(__xludf.DUMMYFUNCTION("""COMPUTED_VALUE"""),1.0548626331023E13)</f>
        <v>10548626331023</v>
      </c>
      <c r="F12164" s="1"/>
      <c r="G12164" s="1"/>
      <c r="H12164" s="2">
        <f>IFERROR(__xludf.DUMMYFUNCTION("""COMPUTED_VALUE"""),0.0)</f>
        <v>0</v>
      </c>
      <c r="I12164" s="5"/>
      <c r="J12164" s="1" t="str">
        <f>IFERROR(__xludf.DUMMYFUNCTION("""COMPUTED_VALUE"""),"Xandy Azarcon")</f>
        <v>Xandy Azarcon</v>
      </c>
      <c r="K12164" s="1" t="str">
        <f>IFERROR(__xludf.DUMMYFUNCTION("""COMPUTED_VALUE"""),"High Sensitivity Support PH")</f>
        <v>High Sensitivity Support PH</v>
      </c>
      <c r="L12164" s="1" t="str">
        <f>IFERROR(__xludf.DUMMYFUNCTION("""COMPUTED_VALUE"""),"HSS High Sensitivity Support PH - CHT")</f>
        <v>HSS High Sensitivity Support PH - CHT</v>
      </c>
    </row>
    <row r="12165">
      <c r="A12165" s="1" t="str">
        <f>IFERROR(__xludf.DUMMYFUNCTION("""COMPUTED_VALUE"""),"2026 Apr")</f>
        <v>2026 Apr</v>
      </c>
      <c r="B12165" s="4">
        <f>IFERROR(__xludf.DUMMYFUNCTION("""COMPUTED_VALUE"""),46139.0)</f>
        <v>46139</v>
      </c>
      <c r="C12165" s="1" t="str">
        <f>IFERROR(__xludf.DUMMYFUNCTION("""COMPUTED_VALUE"""),"Admin Support")</f>
        <v>Admin Support</v>
      </c>
      <c r="D12165" s="1" t="str">
        <f>IFERROR(__xludf.DUMMYFUNCTION("""COMPUTED_VALUE"""),"325d8c4b-104e-45b5-8c24-46aee9a25b01")</f>
        <v>325d8c4b-104e-45b5-8c24-46aee9a25b01</v>
      </c>
      <c r="E12165" s="1">
        <f>IFERROR(__xludf.DUMMYFUNCTION("""COMPUTED_VALUE"""),9.582702695695E12)</f>
        <v>9582702695695</v>
      </c>
      <c r="F12165" s="1"/>
      <c r="G12165" s="1"/>
      <c r="H12165" s="2">
        <f>IFERROR(__xludf.DUMMYFUNCTION("""COMPUTED_VALUE"""),0.0)</f>
        <v>0</v>
      </c>
      <c r="I12165" s="5"/>
      <c r="J12165" s="1" t="str">
        <f>IFERROR(__xludf.DUMMYFUNCTION("""COMPUTED_VALUE"""),"Nate Vela")</f>
        <v>Nate Vela</v>
      </c>
      <c r="K12165" s="1" t="str">
        <f>IFERROR(__xludf.DUMMYFUNCTION("""COMPUTED_VALUE"""),"Admin Support NA")</f>
        <v>Admin Support NA</v>
      </c>
      <c r="L12165" s="1" t="str">
        <f>IFERROR(__xludf.DUMMYFUNCTION("""COMPUTED_VALUE"""),"Admin NA")</f>
        <v>Admin NA</v>
      </c>
    </row>
    <row r="12166">
      <c r="A12166" s="1" t="str">
        <f>IFERROR(__xludf.DUMMYFUNCTION("""COMPUTED_VALUE"""),"2026 Apr")</f>
        <v>2026 Apr</v>
      </c>
      <c r="B12166" s="4">
        <f>IFERROR(__xludf.DUMMYFUNCTION("""COMPUTED_VALUE"""),46139.0)</f>
        <v>46139</v>
      </c>
      <c r="C12166" s="1" t="str">
        <f>IFERROR(__xludf.DUMMYFUNCTION("""COMPUTED_VALUE"""),"Print Support")</f>
        <v>Print Support</v>
      </c>
      <c r="D12166" s="1" t="str">
        <f>IFERROR(__xludf.DUMMYFUNCTION("""COMPUTED_VALUE"""),"afe991ce-72f0-4a1b-ae15-865b9a416d53")</f>
        <v>afe991ce-72f0-4a1b-ae15-865b9a416d53</v>
      </c>
      <c r="E12166" s="1">
        <f>IFERROR(__xludf.DUMMYFUNCTION("""COMPUTED_VALUE"""),3.61694632195E11)</f>
        <v>361694632195</v>
      </c>
      <c r="F12166" s="1"/>
      <c r="G12166" s="1"/>
      <c r="H12166" s="2">
        <f>IFERROR(__xludf.DUMMYFUNCTION("""COMPUTED_VALUE"""),0.0)</f>
        <v>0</v>
      </c>
      <c r="I12166" s="5"/>
      <c r="J12166" s="1" t="str">
        <f>IFERROR(__xludf.DUMMYFUNCTION("""COMPUTED_VALUE"""),"Memae Faustino")</f>
        <v>Memae Faustino</v>
      </c>
      <c r="K12166" s="1" t="str">
        <f>IFERROR(__xludf.DUMMYFUNCTION("""COMPUTED_VALUE"""),"Print Support PH")</f>
        <v>Print Support PH</v>
      </c>
      <c r="L12166" s="1" t="str">
        <f>IFERROR(__xludf.DUMMYFUNCTION("""COMPUTED_VALUE"""),"Print Print - SEE")</f>
        <v>Print Print - SEE</v>
      </c>
    </row>
    <row r="12167">
      <c r="A12167" s="1" t="str">
        <f>IFERROR(__xludf.DUMMYFUNCTION("""COMPUTED_VALUE"""),"2026 Apr")</f>
        <v>2026 Apr</v>
      </c>
      <c r="B12167" s="4">
        <f>IFERROR(__xludf.DUMMYFUNCTION("""COMPUTED_VALUE"""),46139.0)</f>
        <v>46139</v>
      </c>
      <c r="C12167" s="1" t="str">
        <f>IFERROR(__xludf.DUMMYFUNCTION("""COMPUTED_VALUE"""),"Print Support")</f>
        <v>Print Support</v>
      </c>
      <c r="D12167" s="1" t="str">
        <f>IFERROR(__xludf.DUMMYFUNCTION("""COMPUTED_VALUE"""),"b0701057-db2b-4208-bb14-e0c4e8b8f1ee")</f>
        <v>b0701057-db2b-4208-bb14-e0c4e8b8f1ee</v>
      </c>
      <c r="E12167" s="1"/>
      <c r="F12167" s="1"/>
      <c r="G12167" s="1"/>
      <c r="H12167" s="2">
        <f>IFERROR(__xludf.DUMMYFUNCTION("""COMPUTED_VALUE"""),0.0)</f>
        <v>0</v>
      </c>
      <c r="I12167" s="5"/>
      <c r="J12167" s="1" t="str">
        <f>IFERROR(__xludf.DUMMYFUNCTION("""COMPUTED_VALUE"""),"Aliza Dote")</f>
        <v>Aliza Dote</v>
      </c>
      <c r="K12167" s="1" t="str">
        <f>IFERROR(__xludf.DUMMYFUNCTION("""COMPUTED_VALUE"""),"Print Design Support")</f>
        <v>Print Design Support</v>
      </c>
      <c r="L12167" s="1" t="str">
        <f>IFERROR(__xludf.DUMMYFUNCTION("""COMPUTED_VALUE"""),"Print Print Design")</f>
        <v>Print Print Design</v>
      </c>
    </row>
    <row r="12168">
      <c r="A12168" s="1" t="str">
        <f>IFERROR(__xludf.DUMMYFUNCTION("""COMPUTED_VALUE"""),"2026 Apr")</f>
        <v>2026 Apr</v>
      </c>
      <c r="B12168" s="4">
        <f>IFERROR(__xludf.DUMMYFUNCTION("""COMPUTED_VALUE"""),46139.0)</f>
        <v>46139</v>
      </c>
      <c r="C12168" s="1" t="str">
        <f>IFERROR(__xludf.DUMMYFUNCTION("""COMPUTED_VALUE"""),"Core Product Support")</f>
        <v>Core Product Support</v>
      </c>
      <c r="D12168" s="1" t="str">
        <f>IFERROR(__xludf.DUMMYFUNCTION("""COMPUTED_VALUE"""),"e49eb420-7bd7-4503-a1d0-35028e015e43")</f>
        <v>e49eb420-7bd7-4503-a1d0-35028e015e43</v>
      </c>
      <c r="E12168" s="1">
        <f>IFERROR(__xludf.DUMMYFUNCTION("""COMPUTED_VALUE"""),5.047314693263E12)</f>
        <v>5047314693263</v>
      </c>
      <c r="F12168" s="1"/>
      <c r="G12168" s="1">
        <f>IFERROR(__xludf.DUMMYFUNCTION("""COMPUTED_VALUE"""),1.25)</f>
        <v>1.25</v>
      </c>
      <c r="H12168" s="2">
        <f>IFERROR(__xludf.DUMMYFUNCTION("""COMPUTED_VALUE"""),1.25)</f>
        <v>1.25</v>
      </c>
      <c r="I12168" s="5">
        <f>IFERROR(__xludf.DUMMYFUNCTION("""COMPUTED_VALUE"""),1.0)</f>
        <v>1</v>
      </c>
      <c r="J12168" s="1" t="str">
        <f>IFERROR(__xludf.DUMMYFUNCTION("""COMPUTED_VALUE"""),"Cate Velasco")</f>
        <v>Cate Velasco</v>
      </c>
      <c r="K12168" s="1" t="str">
        <f>IFERROR(__xludf.DUMMYFUNCTION("""COMPUTED_VALUE"""),"Advanced Product Support")</f>
        <v>Advanced Product Support</v>
      </c>
      <c r="L12168" s="1" t="str">
        <f>IFERROR(__xludf.DUMMYFUNCTION("""COMPUTED_VALUE"""),"CPS Advanced Product Support (APS)")</f>
        <v>CPS Advanced Product Support (APS)</v>
      </c>
    </row>
    <row r="12169">
      <c r="A12169" s="1" t="str">
        <f>IFERROR(__xludf.DUMMYFUNCTION("""COMPUTED_VALUE"""),"2026 Apr")</f>
        <v>2026 Apr</v>
      </c>
      <c r="B12169" s="4">
        <f>IFERROR(__xludf.DUMMYFUNCTION("""COMPUTED_VALUE"""),46139.0)</f>
        <v>46139</v>
      </c>
      <c r="C12169" s="1" t="str">
        <f>IFERROR(__xludf.DUMMYFUNCTION("""COMPUTED_VALUE"""),"Print Support")</f>
        <v>Print Support</v>
      </c>
      <c r="D12169" s="1" t="str">
        <f>IFERROR(__xludf.DUMMYFUNCTION("""COMPUTED_VALUE"""),"03a2ac9e-65a5-409e-851b-a4c93a003187")</f>
        <v>03a2ac9e-65a5-409e-851b-a4c93a003187</v>
      </c>
      <c r="E12169" s="1">
        <f>IFERROR(__xludf.DUMMYFUNCTION("""COMPUTED_VALUE"""),5.202378807439E12)</f>
        <v>5202378807439</v>
      </c>
      <c r="F12169" s="1"/>
      <c r="G12169" s="1"/>
      <c r="H12169" s="2">
        <f>IFERROR(__xludf.DUMMYFUNCTION("""COMPUTED_VALUE"""),0.0)</f>
        <v>0</v>
      </c>
      <c r="I12169" s="5"/>
      <c r="J12169" s="1" t="str">
        <f>IFERROR(__xludf.DUMMYFUNCTION("""COMPUTED_VALUE"""),"Althea Mercado")</f>
        <v>Althea Mercado</v>
      </c>
      <c r="K12169" s="1" t="str">
        <f>IFERROR(__xludf.DUMMYFUNCTION("""COMPUTED_VALUE"""),"Print Support PH")</f>
        <v>Print Support PH</v>
      </c>
      <c r="L12169" s="1" t="str">
        <f>IFERROR(__xludf.DUMMYFUNCTION("""COMPUTED_VALUE"""),"Print Print - CHT")</f>
        <v>Print Print - CHT</v>
      </c>
    </row>
    <row r="12170">
      <c r="A12170" s="1" t="str">
        <f>IFERROR(__xludf.DUMMYFUNCTION("""COMPUTED_VALUE"""),"2026 Apr")</f>
        <v>2026 Apr</v>
      </c>
      <c r="B12170" s="4">
        <f>IFERROR(__xludf.DUMMYFUNCTION("""COMPUTED_VALUE"""),46139.0)</f>
        <v>46139</v>
      </c>
      <c r="C12170" s="1" t="str">
        <f>IFERROR(__xludf.DUMMYFUNCTION("""COMPUTED_VALUE"""),"Segment-specific Support")</f>
        <v>Segment-specific Support</v>
      </c>
      <c r="D12170" s="1" t="str">
        <f>IFERROR(__xludf.DUMMYFUNCTION("""COMPUTED_VALUE"""),"f7d8f8dd-7764-471d-8254-300956d0e1c6")</f>
        <v>f7d8f8dd-7764-471d-8254-300956d0e1c6</v>
      </c>
      <c r="E12170" s="1">
        <f>IFERROR(__xludf.DUMMYFUNCTION("""COMPUTED_VALUE"""),3.61750003915E11)</f>
        <v>361750003915</v>
      </c>
      <c r="F12170" s="1"/>
      <c r="G12170" s="1"/>
      <c r="H12170" s="2">
        <f>IFERROR(__xludf.DUMMYFUNCTION("""COMPUTED_VALUE"""),0.0)</f>
        <v>0</v>
      </c>
      <c r="I12170" s="5"/>
      <c r="J12170" s="1" t="str">
        <f>IFERROR(__xludf.DUMMYFUNCTION("""COMPUTED_VALUE"""),"Gucci Nava")</f>
        <v>Gucci Nava</v>
      </c>
      <c r="K12170" s="1" t="str">
        <f>IFERROR(__xludf.DUMMYFUNCTION("""COMPUTED_VALUE"""),"Affinity Support")</f>
        <v>Affinity Support</v>
      </c>
      <c r="L12170" s="1" t="str">
        <f>IFERROR(__xludf.DUMMYFUNCTION("""COMPUTED_VALUE"""),"SSS Affinity - L1")</f>
        <v>SSS Affinity - L1</v>
      </c>
    </row>
    <row r="12171">
      <c r="A12171" s="1" t="str">
        <f>IFERROR(__xludf.DUMMYFUNCTION("""COMPUTED_VALUE"""),"2026 Apr")</f>
        <v>2026 Apr</v>
      </c>
      <c r="B12171" s="4">
        <f>IFERROR(__xludf.DUMMYFUNCTION("""COMPUTED_VALUE"""),46139.0)</f>
        <v>46139</v>
      </c>
      <c r="C12171" s="1" t="str">
        <f>IFERROR(__xludf.DUMMYFUNCTION("""COMPUTED_VALUE"""),"Core Product Support")</f>
        <v>Core Product Support</v>
      </c>
      <c r="D12171" s="1" t="str">
        <f>IFERROR(__xludf.DUMMYFUNCTION("""COMPUTED_VALUE"""),"1309ddc0-c081-4df4-b17d-ed2c31b14169")</f>
        <v>1309ddc0-c081-4df4-b17d-ed2c31b14169</v>
      </c>
      <c r="E12171" s="1">
        <f>IFERROR(__xludf.DUMMYFUNCTION("""COMPUTED_VALUE"""),3.61964324516E11)</f>
        <v>361964324516</v>
      </c>
      <c r="F12171" s="1"/>
      <c r="G12171" s="1">
        <f>IFERROR(__xludf.DUMMYFUNCTION("""COMPUTED_VALUE"""),0.25)</f>
        <v>0.25</v>
      </c>
      <c r="H12171" s="2">
        <f>IFERROR(__xludf.DUMMYFUNCTION("""COMPUTED_VALUE"""),0.25)</f>
        <v>0.25</v>
      </c>
      <c r="I12171" s="5">
        <f>IFERROR(__xludf.DUMMYFUNCTION("""COMPUTED_VALUE"""),1.0)</f>
        <v>1</v>
      </c>
      <c r="J12171" s="1" t="str">
        <f>IFERROR(__xludf.DUMMYFUNCTION("""COMPUTED_VALUE"""),"Ayza Marie Pascual")</f>
        <v>Ayza Marie Pascual</v>
      </c>
      <c r="K12171" s="1" t="str">
        <f>IFERROR(__xludf.DUMMYFUNCTION("""COMPUTED_VALUE"""),"Advanced Billing &amp; Subscriptions")</f>
        <v>Advanced Billing &amp; Subscriptions</v>
      </c>
      <c r="L12171" s="1" t="str">
        <f>IFERROR(__xludf.DUMMYFUNCTION("""COMPUTED_VALUE"""),"CPS Advanced Billing and Subscriptions (ABS)")</f>
        <v>CPS Advanced Billing and Subscriptions (ABS)</v>
      </c>
    </row>
    <row r="12172">
      <c r="A12172" s="1" t="str">
        <f>IFERROR(__xludf.DUMMYFUNCTION("""COMPUTED_VALUE"""),"2026 Apr")</f>
        <v>2026 Apr</v>
      </c>
      <c r="B12172" s="4">
        <f>IFERROR(__xludf.DUMMYFUNCTION("""COMPUTED_VALUE"""),46139.0)</f>
        <v>46139</v>
      </c>
      <c r="C12172" s="1" t="str">
        <f>IFERROR(__xludf.DUMMYFUNCTION("""COMPUTED_VALUE"""),"Admin Support")</f>
        <v>Admin Support</v>
      </c>
      <c r="D12172" s="1" t="str">
        <f>IFERROR(__xludf.DUMMYFUNCTION("""COMPUTED_VALUE"""),"7cdd4051-dd81-4e04-a905-67a7a6826826")</f>
        <v>7cdd4051-dd81-4e04-a905-67a7a6826826</v>
      </c>
      <c r="E12172" s="1">
        <f>IFERROR(__xludf.DUMMYFUNCTION("""COMPUTED_VALUE"""),9.795895003151E12)</f>
        <v>9795895003151</v>
      </c>
      <c r="F12172" s="1"/>
      <c r="G12172" s="1"/>
      <c r="H12172" s="2">
        <f>IFERROR(__xludf.DUMMYFUNCTION("""COMPUTED_VALUE"""),0.0)</f>
        <v>0</v>
      </c>
      <c r="I12172" s="5"/>
      <c r="J12172" s="1" t="str">
        <f>IFERROR(__xludf.DUMMYFUNCTION("""COMPUTED_VALUE"""),"Karla Mananghaya")</f>
        <v>Karla Mananghaya</v>
      </c>
      <c r="K12172" s="1" t="str">
        <f>IFERROR(__xludf.DUMMYFUNCTION("""COMPUTED_VALUE"""),"Admin Support Service Escalation Team")</f>
        <v>Admin Support Service Escalation Team</v>
      </c>
      <c r="L12172" s="1" t="str">
        <f>IFERROR(__xludf.DUMMYFUNCTION("""COMPUTED_VALUE"""),"Admin ASSET")</f>
        <v>Admin ASSET</v>
      </c>
    </row>
    <row r="12173">
      <c r="A12173" s="1" t="str">
        <f>IFERROR(__xludf.DUMMYFUNCTION("""COMPUTED_VALUE"""),"2026 Apr")</f>
        <v>2026 Apr</v>
      </c>
      <c r="B12173" s="4">
        <f>IFERROR(__xludf.DUMMYFUNCTION("""COMPUTED_VALUE"""),46139.0)</f>
        <v>46139</v>
      </c>
      <c r="C12173" s="1" t="str">
        <f>IFERROR(__xludf.DUMMYFUNCTION("""COMPUTED_VALUE"""),"Core Product Support")</f>
        <v>Core Product Support</v>
      </c>
      <c r="D12173" s="1" t="str">
        <f>IFERROR(__xludf.DUMMYFUNCTION("""COMPUTED_VALUE"""),"4829712e-df33-4828-83e5-b005d53d0ece")</f>
        <v>4829712e-df33-4828-83e5-b005d53d0ece</v>
      </c>
      <c r="E12173" s="1">
        <f>IFERROR(__xludf.DUMMYFUNCTION("""COMPUTED_VALUE"""),3.61861297795E11)</f>
        <v>361861297795</v>
      </c>
      <c r="F12173" s="1"/>
      <c r="G12173" s="1">
        <f>IFERROR(__xludf.DUMMYFUNCTION("""COMPUTED_VALUE"""),1.0)</f>
        <v>1</v>
      </c>
      <c r="H12173" s="2">
        <f>IFERROR(__xludf.DUMMYFUNCTION("""COMPUTED_VALUE"""),1.0)</f>
        <v>1</v>
      </c>
      <c r="I12173" s="5">
        <f>IFERROR(__xludf.DUMMYFUNCTION("""COMPUTED_VALUE"""),1.0)</f>
        <v>1</v>
      </c>
      <c r="J12173" s="1" t="str">
        <f>IFERROR(__xludf.DUMMYFUNCTION("""COMPUTED_VALUE"""),"Jahmie Mae Barrameda")</f>
        <v>Jahmie Mae Barrameda</v>
      </c>
      <c r="K12173" s="1" t="str">
        <f>IFERROR(__xludf.DUMMYFUNCTION("""COMPUTED_VALUE"""),"Advanced Billing &amp; Subscriptions")</f>
        <v>Advanced Billing &amp; Subscriptions</v>
      </c>
      <c r="L12173" s="1" t="str">
        <f>IFERROR(__xludf.DUMMYFUNCTION("""COMPUTED_VALUE"""),"CPS Advanced Billing and Subscriptions (ABS)")</f>
        <v>CPS Advanced Billing and Subscriptions (ABS)</v>
      </c>
    </row>
    <row r="12174">
      <c r="A12174" s="1" t="str">
        <f>IFERROR(__xludf.DUMMYFUNCTION("""COMPUTED_VALUE"""),"2026 Apr")</f>
        <v>2026 Apr</v>
      </c>
      <c r="B12174" s="4">
        <f>IFERROR(__xludf.DUMMYFUNCTION("""COMPUTED_VALUE"""),46139.0)</f>
        <v>46139</v>
      </c>
      <c r="C12174" s="1" t="str">
        <f>IFERROR(__xludf.DUMMYFUNCTION("""COMPUTED_VALUE"""),"Print Support")</f>
        <v>Print Support</v>
      </c>
      <c r="D12174" s="1" t="str">
        <f>IFERROR(__xludf.DUMMYFUNCTION("""COMPUTED_VALUE"""),"4bb09346-5fba-40f0-ac06-0b644e9a6f20")</f>
        <v>4bb09346-5fba-40f0-ac06-0b644e9a6f20</v>
      </c>
      <c r="E12174" s="1"/>
      <c r="F12174" s="1"/>
      <c r="G12174" s="1"/>
      <c r="H12174" s="2">
        <f>IFERROR(__xludf.DUMMYFUNCTION("""COMPUTED_VALUE"""),0.0)</f>
        <v>0</v>
      </c>
      <c r="I12174" s="5"/>
      <c r="J12174" s="1" t="str">
        <f>IFERROR(__xludf.DUMMYFUNCTION("""COMPUTED_VALUE"""),"G-Anne Murillo")</f>
        <v>G-Anne Murillo</v>
      </c>
      <c r="K12174" s="1" t="str">
        <f>IFERROR(__xludf.DUMMYFUNCTION("""COMPUTED_VALUE"""),"Print Design Support")</f>
        <v>Print Design Support</v>
      </c>
      <c r="L12174" s="1" t="str">
        <f>IFERROR(__xludf.DUMMYFUNCTION("""COMPUTED_VALUE"""),"Print Print Design")</f>
        <v>Print Print Design</v>
      </c>
    </row>
    <row r="12175">
      <c r="A12175" s="1" t="str">
        <f>IFERROR(__xludf.DUMMYFUNCTION("""COMPUTED_VALUE"""),"2026 Apr")</f>
        <v>2026 Apr</v>
      </c>
      <c r="B12175" s="4">
        <f>IFERROR(__xludf.DUMMYFUNCTION("""COMPUTED_VALUE"""),46139.0)</f>
        <v>46139</v>
      </c>
      <c r="C12175" s="1" t="str">
        <f>IFERROR(__xludf.DUMMYFUNCTION("""COMPUTED_VALUE"""),"Core Product Support")</f>
        <v>Core Product Support</v>
      </c>
      <c r="D12175" s="1" t="str">
        <f>IFERROR(__xludf.DUMMYFUNCTION("""COMPUTED_VALUE"""),"1eb2b14b-89e0-4d0c-8dba-b1677f4e689a")</f>
        <v>1eb2b14b-89e0-4d0c-8dba-b1677f4e689a</v>
      </c>
      <c r="E12175" s="1">
        <f>IFERROR(__xludf.DUMMYFUNCTION("""COMPUTED_VALUE"""),1.0548589296399E13)</f>
        <v>10548589296399</v>
      </c>
      <c r="F12175" s="1"/>
      <c r="G12175" s="1">
        <f>IFERROR(__xludf.DUMMYFUNCTION("""COMPUTED_VALUE"""),1.25)</f>
        <v>1.25</v>
      </c>
      <c r="H12175" s="2">
        <f>IFERROR(__xludf.DUMMYFUNCTION("""COMPUTED_VALUE"""),1.25)</f>
        <v>1.25</v>
      </c>
      <c r="I12175" s="5">
        <f>IFERROR(__xludf.DUMMYFUNCTION("""COMPUTED_VALUE"""),1.0)</f>
        <v>1</v>
      </c>
      <c r="J12175" s="1" t="str">
        <f>IFERROR(__xludf.DUMMYFUNCTION("""COMPUTED_VALUE"""),"Jahmie Mae Barrameda")</f>
        <v>Jahmie Mae Barrameda</v>
      </c>
      <c r="K12175" s="1" t="str">
        <f>IFERROR(__xludf.DUMMYFUNCTION("""COMPUTED_VALUE"""),"Advanced Billing &amp; Subscriptions")</f>
        <v>Advanced Billing &amp; Subscriptions</v>
      </c>
      <c r="L12175" s="1" t="str">
        <f>IFERROR(__xludf.DUMMYFUNCTION("""COMPUTED_VALUE"""),"CPS Advanced Billing and Subscriptions (ABS)")</f>
        <v>CPS Advanced Billing and Subscriptions (ABS)</v>
      </c>
    </row>
    <row r="12176">
      <c r="A12176" s="1" t="str">
        <f>IFERROR(__xludf.DUMMYFUNCTION("""COMPUTED_VALUE"""),"2026 Apr")</f>
        <v>2026 Apr</v>
      </c>
      <c r="B12176" s="4">
        <f>IFERROR(__xludf.DUMMYFUNCTION("""COMPUTED_VALUE"""),46139.0)</f>
        <v>46139</v>
      </c>
      <c r="C12176" s="1" t="str">
        <f>IFERROR(__xludf.DUMMYFUNCTION("""COMPUTED_VALUE"""),"Segment-specific Support")</f>
        <v>Segment-specific Support</v>
      </c>
      <c r="D12176" s="1" t="str">
        <f>IFERROR(__xludf.DUMMYFUNCTION("""COMPUTED_VALUE"""),"dc7b19dd-5e76-4150-a120-c97f83b2d671")</f>
        <v>dc7b19dd-5e76-4150-a120-c97f83b2d671</v>
      </c>
      <c r="E12176" s="1"/>
      <c r="F12176" s="1"/>
      <c r="G12176" s="1"/>
      <c r="H12176" s="2">
        <f>IFERROR(__xludf.DUMMYFUNCTION("""COMPUTED_VALUE"""),0.0)</f>
        <v>0</v>
      </c>
      <c r="I12176" s="5"/>
      <c r="J12176" s="1" t="str">
        <f>IFERROR(__xludf.DUMMYFUNCTION("""COMPUTED_VALUE"""),"Leigh Davison")</f>
        <v>Leigh Davison</v>
      </c>
      <c r="K12176" s="1" t="str">
        <f>IFERROR(__xludf.DUMMYFUNCTION("""COMPUTED_VALUE"""),"#N/A")</f>
        <v>#N/A</v>
      </c>
      <c r="L12176" s="1"/>
    </row>
    <row r="12177">
      <c r="A12177" s="1" t="str">
        <f>IFERROR(__xludf.DUMMYFUNCTION("""COMPUTED_VALUE"""),"2026 Apr")</f>
        <v>2026 Apr</v>
      </c>
      <c r="B12177" s="4">
        <f>IFERROR(__xludf.DUMMYFUNCTION("""COMPUTED_VALUE"""),46139.0)</f>
        <v>46139</v>
      </c>
      <c r="C12177" s="1" t="str">
        <f>IFERROR(__xludf.DUMMYFUNCTION("""COMPUTED_VALUE"""),"Admin Support")</f>
        <v>Admin Support</v>
      </c>
      <c r="D12177" s="1" t="str">
        <f>IFERROR(__xludf.DUMMYFUNCTION("""COMPUTED_VALUE"""),"7b0ced0a-55fc-49e4-b47c-ffbf2567dce1")</f>
        <v>7b0ced0a-55fc-49e4-b47c-ffbf2567dce1</v>
      </c>
      <c r="E12177" s="1">
        <f>IFERROR(__xludf.DUMMYFUNCTION("""COMPUTED_VALUE"""),3.61725486916E11)</f>
        <v>361725486916</v>
      </c>
      <c r="F12177" s="1"/>
      <c r="G12177" s="1">
        <f>IFERROR(__xludf.DUMMYFUNCTION("""COMPUTED_VALUE"""),0.25)</f>
        <v>0.25</v>
      </c>
      <c r="H12177" s="2">
        <f>IFERROR(__xludf.DUMMYFUNCTION("""COMPUTED_VALUE"""),0.25)</f>
        <v>0.25</v>
      </c>
      <c r="I12177" s="5">
        <f>IFERROR(__xludf.DUMMYFUNCTION("""COMPUTED_VALUE"""),1.0)</f>
        <v>1</v>
      </c>
      <c r="J12177" s="1" t="str">
        <f>IFERROR(__xludf.DUMMYFUNCTION("""COMPUTED_VALUE"""),"AL Suarez")</f>
        <v>AL Suarez</v>
      </c>
      <c r="K12177" s="1" t="str">
        <f>IFERROR(__xludf.DUMMYFUNCTION("""COMPUTED_VALUE"""),"Admin Direct Support")</f>
        <v>Admin Direct Support</v>
      </c>
      <c r="L12177" s="1" t="str">
        <f>IFERROR(__xludf.DUMMYFUNCTION("""COMPUTED_VALUE"""),"Admin Direct Support")</f>
        <v>Admin Direct Support</v>
      </c>
    </row>
    <row r="12178">
      <c r="A12178" s="1" t="str">
        <f>IFERROR(__xludf.DUMMYFUNCTION("""COMPUTED_VALUE"""),"2026 Apr")</f>
        <v>2026 Apr</v>
      </c>
      <c r="B12178" s="4">
        <f>IFERROR(__xludf.DUMMYFUNCTION("""COMPUTED_VALUE"""),46139.0)</f>
        <v>46139</v>
      </c>
      <c r="C12178" s="1" t="str">
        <f>IFERROR(__xludf.DUMMYFUNCTION("""COMPUTED_VALUE"""),"Core Product Support")</f>
        <v>Core Product Support</v>
      </c>
      <c r="D12178" s="1" t="str">
        <f>IFERROR(__xludf.DUMMYFUNCTION("""COMPUTED_VALUE"""),"3d997536-cb7f-49c5-af3e-e19fdf30bffc")</f>
        <v>3d997536-cb7f-49c5-af3e-e19fdf30bffc</v>
      </c>
      <c r="E12178" s="1">
        <f>IFERROR(__xludf.DUMMYFUNCTION("""COMPUTED_VALUE"""),5.047288728079E12)</f>
        <v>5047288728079</v>
      </c>
      <c r="F12178" s="1"/>
      <c r="G12178" s="1">
        <f>IFERROR(__xludf.DUMMYFUNCTION("""COMPUTED_VALUE"""),2.5)</f>
        <v>2.5</v>
      </c>
      <c r="H12178" s="2">
        <f>IFERROR(__xludf.DUMMYFUNCTION("""COMPUTED_VALUE"""),2.5)</f>
        <v>2.5</v>
      </c>
      <c r="I12178" s="5">
        <f>IFERROR(__xludf.DUMMYFUNCTION("""COMPUTED_VALUE"""),1.0)</f>
        <v>1</v>
      </c>
      <c r="J12178" s="1" t="str">
        <f>IFERROR(__xludf.DUMMYFUNCTION("""COMPUTED_VALUE"""),"Ellaine Estayo")</f>
        <v>Ellaine Estayo</v>
      </c>
      <c r="K12178" s="1" t="str">
        <f>IFERROR(__xludf.DUMMYFUNCTION("""COMPUTED_VALUE"""),"Core Product Support Escalation Team")</f>
        <v>Core Product Support Escalation Team</v>
      </c>
      <c r="L12178"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2179">
      <c r="A12179" s="1" t="str">
        <f>IFERROR(__xludf.DUMMYFUNCTION("""COMPUTED_VALUE"""),"2026 Apr")</f>
        <v>2026 Apr</v>
      </c>
      <c r="B12179" s="4">
        <f>IFERROR(__xludf.DUMMYFUNCTION("""COMPUTED_VALUE"""),46139.0)</f>
        <v>46139</v>
      </c>
      <c r="C12179" s="1" t="str">
        <f>IFERROR(__xludf.DUMMYFUNCTION("""COMPUTED_VALUE"""),"Admin Support")</f>
        <v>Admin Support</v>
      </c>
      <c r="D12179" s="1" t="str">
        <f>IFERROR(__xludf.DUMMYFUNCTION("""COMPUTED_VALUE"""),"c7dd845d-4621-4bea-affd-b79e038f7157")</f>
        <v>c7dd845d-4621-4bea-affd-b79e038f7157</v>
      </c>
      <c r="E12179" s="1">
        <f>IFERROR(__xludf.DUMMYFUNCTION("""COMPUTED_VALUE"""),3.61733077235E11)</f>
        <v>361733077235</v>
      </c>
      <c r="F12179" s="1"/>
      <c r="G12179" s="1">
        <f>IFERROR(__xludf.DUMMYFUNCTION("""COMPUTED_VALUE"""),0.25)</f>
        <v>0.25</v>
      </c>
      <c r="H12179" s="2">
        <f>IFERROR(__xludf.DUMMYFUNCTION("""COMPUTED_VALUE"""),0.25)</f>
        <v>0.25</v>
      </c>
      <c r="I12179" s="5">
        <f>IFERROR(__xludf.DUMMYFUNCTION("""COMPUTED_VALUE"""),1.0)</f>
        <v>1</v>
      </c>
      <c r="J12179" s="1" t="str">
        <f>IFERROR(__xludf.DUMMYFUNCTION("""COMPUTED_VALUE"""),"Kelden Laguting")</f>
        <v>Kelden Laguting</v>
      </c>
      <c r="K12179" s="1" t="str">
        <f>IFERROR(__xludf.DUMMYFUNCTION("""COMPUTED_VALUE"""),"Admin Omni Support")</f>
        <v>Admin Omni Support</v>
      </c>
      <c r="L12179" s="1" t="str">
        <f>IFERROR(__xludf.DUMMYFUNCTION("""COMPUTED_VALUE"""),"Admin Omni Support")</f>
        <v>Admin Omni Support</v>
      </c>
    </row>
    <row r="12180">
      <c r="A12180" s="1" t="str">
        <f>IFERROR(__xludf.DUMMYFUNCTION("""COMPUTED_VALUE"""),"2026 Apr")</f>
        <v>2026 Apr</v>
      </c>
      <c r="B12180" s="4">
        <f>IFERROR(__xludf.DUMMYFUNCTION("""COMPUTED_VALUE"""),46139.0)</f>
        <v>46139</v>
      </c>
      <c r="C12180" s="1" t="str">
        <f>IFERROR(__xludf.DUMMYFUNCTION("""COMPUTED_VALUE"""),"Print Support")</f>
        <v>Print Support</v>
      </c>
      <c r="D12180" s="1" t="str">
        <f>IFERROR(__xludf.DUMMYFUNCTION("""COMPUTED_VALUE"""),"2f47c76e-714d-4a76-a0f8-309c2f542347")</f>
        <v>2f47c76e-714d-4a76-a0f8-309c2f542347</v>
      </c>
      <c r="E12180" s="1">
        <f>IFERROR(__xludf.DUMMYFUNCTION("""COMPUTED_VALUE"""),9.795981813775E12)</f>
        <v>9795981813775</v>
      </c>
      <c r="F12180" s="1"/>
      <c r="G12180" s="1"/>
      <c r="H12180" s="2">
        <f>IFERROR(__xludf.DUMMYFUNCTION("""COMPUTED_VALUE"""),0.0)</f>
        <v>0</v>
      </c>
      <c r="I12180" s="5"/>
      <c r="J12180" s="1" t="str">
        <f>IFERROR(__xludf.DUMMYFUNCTION("""COMPUTED_VALUE"""),"Louise Dianne Estrella")</f>
        <v>Louise Dianne Estrella</v>
      </c>
      <c r="K12180" s="1" t="str">
        <f>IFERROR(__xludf.DUMMYFUNCTION("""COMPUTED_VALUE"""),"Print Support PH")</f>
        <v>Print Support PH</v>
      </c>
      <c r="L12180" s="1" t="str">
        <f>IFERROR(__xludf.DUMMYFUNCTION("""COMPUTED_VALUE"""),"Print Print - CHT")</f>
        <v>Print Print - CHT</v>
      </c>
    </row>
    <row r="12181">
      <c r="A12181" s="1" t="str">
        <f>IFERROR(__xludf.DUMMYFUNCTION("""COMPUTED_VALUE"""),"2026 Apr")</f>
        <v>2026 Apr</v>
      </c>
      <c r="B12181" s="4">
        <f>IFERROR(__xludf.DUMMYFUNCTION("""COMPUTED_VALUE"""),46139.0)</f>
        <v>46139</v>
      </c>
      <c r="C12181" s="1" t="str">
        <f>IFERROR(__xludf.DUMMYFUNCTION("""COMPUTED_VALUE"""),"Admin Support")</f>
        <v>Admin Support</v>
      </c>
      <c r="D12181" s="1" t="str">
        <f>IFERROR(__xludf.DUMMYFUNCTION("""COMPUTED_VALUE"""),"7e09e164-9198-4707-9738-44a04cc51b7c")</f>
        <v>7e09e164-9198-4707-9738-44a04cc51b7c</v>
      </c>
      <c r="E12181" s="1">
        <f>IFERROR(__xludf.DUMMYFUNCTION("""COMPUTED_VALUE"""),3.61724965056E11)</f>
        <v>361724965056</v>
      </c>
      <c r="F12181" s="1"/>
      <c r="G12181" s="1">
        <f>IFERROR(__xludf.DUMMYFUNCTION("""COMPUTED_VALUE"""),0.25)</f>
        <v>0.25</v>
      </c>
      <c r="H12181" s="2">
        <f>IFERROR(__xludf.DUMMYFUNCTION("""COMPUTED_VALUE"""),0.25)</f>
        <v>0.25</v>
      </c>
      <c r="I12181" s="5">
        <f>IFERROR(__xludf.DUMMYFUNCTION("""COMPUTED_VALUE"""),1.0)</f>
        <v>1</v>
      </c>
      <c r="J12181" s="1" t="str">
        <f>IFERROR(__xludf.DUMMYFUNCTION("""COMPUTED_VALUE"""),"Kelden Laguting")</f>
        <v>Kelden Laguting</v>
      </c>
      <c r="K12181" s="1" t="str">
        <f>IFERROR(__xludf.DUMMYFUNCTION("""COMPUTED_VALUE"""),"Admin Omni Support")</f>
        <v>Admin Omni Support</v>
      </c>
      <c r="L12181" s="1" t="str">
        <f>IFERROR(__xludf.DUMMYFUNCTION("""COMPUTED_VALUE"""),"Admin Omni Support")</f>
        <v>Admin Omni Support</v>
      </c>
    </row>
    <row r="12182">
      <c r="A12182" s="1" t="str">
        <f>IFERROR(__xludf.DUMMYFUNCTION("""COMPUTED_VALUE"""),"2026 Apr")</f>
        <v>2026 Apr</v>
      </c>
      <c r="B12182" s="4">
        <f>IFERROR(__xludf.DUMMYFUNCTION("""COMPUTED_VALUE"""),46139.0)</f>
        <v>46139</v>
      </c>
      <c r="C12182" s="1" t="str">
        <f>IFERROR(__xludf.DUMMYFUNCTION("""COMPUTED_VALUE"""),"Core Product Support")</f>
        <v>Core Product Support</v>
      </c>
      <c r="D12182" s="1" t="str">
        <f>IFERROR(__xludf.DUMMYFUNCTION("""COMPUTED_VALUE"""),"a75c3ed6-de83-40cb-ad3d-ac0eaa323ceb")</f>
        <v>a75c3ed6-de83-40cb-ad3d-ac0eaa323ceb</v>
      </c>
      <c r="E12182" s="1">
        <f>IFERROR(__xludf.DUMMYFUNCTION("""COMPUTED_VALUE"""),7.631065796495E12)</f>
        <v>7631065796495</v>
      </c>
      <c r="F12182" s="1"/>
      <c r="G12182" s="1">
        <f>IFERROR(__xludf.DUMMYFUNCTION("""COMPUTED_VALUE"""),1.25)</f>
        <v>1.25</v>
      </c>
      <c r="H12182" s="2">
        <f>IFERROR(__xludf.DUMMYFUNCTION("""COMPUTED_VALUE"""),1.25)</f>
        <v>1.25</v>
      </c>
      <c r="I12182" s="5">
        <f>IFERROR(__xludf.DUMMYFUNCTION("""COMPUTED_VALUE"""),1.0)</f>
        <v>1</v>
      </c>
      <c r="J12182" s="1" t="str">
        <f>IFERROR(__xludf.DUMMYFUNCTION("""COMPUTED_VALUE"""),"Cherry Macam")</f>
        <v>Cherry Macam</v>
      </c>
      <c r="K12182" s="1" t="str">
        <f>IFERROR(__xludf.DUMMYFUNCTION("""COMPUTED_VALUE"""),"Advanced Billing &amp; Subscriptions")</f>
        <v>Advanced Billing &amp; Subscriptions</v>
      </c>
      <c r="L12182" s="1" t="str">
        <f>IFERROR(__xludf.DUMMYFUNCTION("""COMPUTED_VALUE"""),"CPS Advanced Billing and Subscriptions (ABS)")</f>
        <v>CPS Advanced Billing and Subscriptions (ABS)</v>
      </c>
    </row>
    <row r="12183">
      <c r="A12183" s="1" t="str">
        <f>IFERROR(__xludf.DUMMYFUNCTION("""COMPUTED_VALUE"""),"2026 Apr")</f>
        <v>2026 Apr</v>
      </c>
      <c r="B12183" s="4">
        <f>IFERROR(__xludf.DUMMYFUNCTION("""COMPUTED_VALUE"""),46139.0)</f>
        <v>46139</v>
      </c>
      <c r="C12183" s="1" t="str">
        <f>IFERROR(__xludf.DUMMYFUNCTION("""COMPUTED_VALUE"""),"Print Support")</f>
        <v>Print Support</v>
      </c>
      <c r="D12183" s="1" t="str">
        <f>IFERROR(__xludf.DUMMYFUNCTION("""COMPUTED_VALUE"""),"5edc36fa-9df2-47e0-bbda-2c0b5a323efc")</f>
        <v>5edc36fa-9df2-47e0-bbda-2c0b5a323efc</v>
      </c>
      <c r="E12183" s="1"/>
      <c r="F12183" s="1"/>
      <c r="G12183" s="1"/>
      <c r="H12183" s="2">
        <f>IFERROR(__xludf.DUMMYFUNCTION("""COMPUTED_VALUE"""),0.0)</f>
        <v>0</v>
      </c>
      <c r="I12183" s="5"/>
      <c r="J12183" s="1" t="str">
        <f>IFERROR(__xludf.DUMMYFUNCTION("""COMPUTED_VALUE"""),"Gem Agoncillo")</f>
        <v>Gem Agoncillo</v>
      </c>
      <c r="K12183" s="1" t="str">
        <f>IFERROR(__xludf.DUMMYFUNCTION("""COMPUTED_VALUE"""),"Print Design Support")</f>
        <v>Print Design Support</v>
      </c>
      <c r="L12183" s="1" t="str">
        <f>IFERROR(__xludf.DUMMYFUNCTION("""COMPUTED_VALUE"""),"Print Print Design")</f>
        <v>Print Print Design</v>
      </c>
    </row>
    <row r="12184">
      <c r="A12184" s="1" t="str">
        <f>IFERROR(__xludf.DUMMYFUNCTION("""COMPUTED_VALUE"""),"2026 Apr")</f>
        <v>2026 Apr</v>
      </c>
      <c r="B12184" s="4">
        <f>IFERROR(__xludf.DUMMYFUNCTION("""COMPUTED_VALUE"""),46139.0)</f>
        <v>46139</v>
      </c>
      <c r="C12184" s="1" t="str">
        <f>IFERROR(__xludf.DUMMYFUNCTION("""COMPUTED_VALUE"""),"High Sensitivity Support")</f>
        <v>High Sensitivity Support</v>
      </c>
      <c r="D12184" s="1" t="str">
        <f>IFERROR(__xludf.DUMMYFUNCTION("""COMPUTED_VALUE"""),"19c32062-e149-4a3e-82ea-708be4d86c06")</f>
        <v>19c32062-e149-4a3e-82ea-708be4d86c06</v>
      </c>
      <c r="E12184" s="1">
        <f>IFERROR(__xludf.DUMMYFUNCTION("""COMPUTED_VALUE"""),8.904494969999E12)</f>
        <v>8904494969999</v>
      </c>
      <c r="F12184" s="1"/>
      <c r="G12184" s="1"/>
      <c r="H12184" s="2">
        <f>IFERROR(__xludf.DUMMYFUNCTION("""COMPUTED_VALUE"""),0.0)</f>
        <v>0</v>
      </c>
      <c r="I12184" s="5"/>
      <c r="J12184" s="1" t="str">
        <f>IFERROR(__xludf.DUMMYFUNCTION("""COMPUTED_VALUE"""),"Issi Afable")</f>
        <v>Issi Afable</v>
      </c>
      <c r="K12184" s="1" t="str">
        <f>IFERROR(__xludf.DUMMYFUNCTION("""COMPUTED_VALUE"""),"High Sensitivity Support PH")</f>
        <v>High Sensitivity Support PH</v>
      </c>
      <c r="L12184" s="1" t="str">
        <f>IFERROR(__xludf.DUMMYFUNCTION("""COMPUTED_VALUE"""),"HSS High Sensitivity Support PH - SEE")</f>
        <v>HSS High Sensitivity Support PH - SEE</v>
      </c>
    </row>
    <row r="12185">
      <c r="A12185" s="1" t="str">
        <f>IFERROR(__xludf.DUMMYFUNCTION("""COMPUTED_VALUE"""),"2026 Apr")</f>
        <v>2026 Apr</v>
      </c>
      <c r="B12185" s="4">
        <f>IFERROR(__xludf.DUMMYFUNCTION("""COMPUTED_VALUE"""),46139.0)</f>
        <v>46139</v>
      </c>
      <c r="C12185" s="1" t="str">
        <f>IFERROR(__xludf.DUMMYFUNCTION("""COMPUTED_VALUE"""),"Print Support")</f>
        <v>Print Support</v>
      </c>
      <c r="D12185" s="1" t="str">
        <f>IFERROR(__xludf.DUMMYFUNCTION("""COMPUTED_VALUE"""),"5efa61d3-4fd2-4d01-a492-e08cab6832f9")</f>
        <v>5efa61d3-4fd2-4d01-a492-e08cab6832f9</v>
      </c>
      <c r="E12185" s="1">
        <f>IFERROR(__xludf.DUMMYFUNCTION("""COMPUTED_VALUE"""),5.902015961999E12)</f>
        <v>5902015961999</v>
      </c>
      <c r="F12185" s="1"/>
      <c r="G12185" s="1"/>
      <c r="H12185" s="2">
        <f>IFERROR(__xludf.DUMMYFUNCTION("""COMPUTED_VALUE"""),0.0)</f>
        <v>0</v>
      </c>
      <c r="I12185" s="5"/>
      <c r="J12185" s="1" t="str">
        <f>IFERROR(__xludf.DUMMYFUNCTION("""COMPUTED_VALUE"""),"Jen Momo")</f>
        <v>Jen Momo</v>
      </c>
      <c r="K12185" s="1" t="str">
        <f>IFERROR(__xludf.DUMMYFUNCTION("""COMPUTED_VALUE"""),"Print Support PH")</f>
        <v>Print Support PH</v>
      </c>
      <c r="L12185" s="1" t="str">
        <f>IFERROR(__xludf.DUMMYFUNCTION("""COMPUTED_VALUE"""),"Print Print - CHT")</f>
        <v>Print Print - CHT</v>
      </c>
    </row>
    <row r="12186">
      <c r="A12186" s="1" t="str">
        <f>IFERROR(__xludf.DUMMYFUNCTION("""COMPUTED_VALUE"""),"2026 Apr")</f>
        <v>2026 Apr</v>
      </c>
      <c r="B12186" s="4">
        <f>IFERROR(__xludf.DUMMYFUNCTION("""COMPUTED_VALUE"""),46139.0)</f>
        <v>46139</v>
      </c>
      <c r="C12186" s="1" t="str">
        <f>IFERROR(__xludf.DUMMYFUNCTION("""COMPUTED_VALUE"""),"Core Product Support")</f>
        <v>Core Product Support</v>
      </c>
      <c r="D12186" s="1" t="str">
        <f>IFERROR(__xludf.DUMMYFUNCTION("""COMPUTED_VALUE"""),"1ee13beb-f5ac-4c80-bcfb-9f0dc190fe68")</f>
        <v>1ee13beb-f5ac-4c80-bcfb-9f0dc190fe68</v>
      </c>
      <c r="E12186" s="1">
        <f>IFERROR(__xludf.DUMMYFUNCTION("""COMPUTED_VALUE"""),3.61725115656E11)</f>
        <v>361725115656</v>
      </c>
      <c r="F12186" s="1"/>
      <c r="G12186" s="1">
        <f>IFERROR(__xludf.DUMMYFUNCTION("""COMPUTED_VALUE"""),2.5)</f>
        <v>2.5</v>
      </c>
      <c r="H12186" s="2">
        <f>IFERROR(__xludf.DUMMYFUNCTION("""COMPUTED_VALUE"""),2.5)</f>
        <v>2.5</v>
      </c>
      <c r="I12186" s="5">
        <f>IFERROR(__xludf.DUMMYFUNCTION("""COMPUTED_VALUE"""),1.0)</f>
        <v>1</v>
      </c>
      <c r="J12186" s="1" t="str">
        <f>IFERROR(__xludf.DUMMYFUNCTION("""COMPUTED_VALUE"""),"Ellaine Estayo")</f>
        <v>Ellaine Estayo</v>
      </c>
      <c r="K12186" s="1" t="str">
        <f>IFERROR(__xludf.DUMMYFUNCTION("""COMPUTED_VALUE"""),"Core Product Support Escalation Team")</f>
        <v>Core Product Support Escalation Team</v>
      </c>
      <c r="L12186"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2187">
      <c r="A12187" s="1" t="str">
        <f>IFERROR(__xludf.DUMMYFUNCTION("""COMPUTED_VALUE"""),"2026 Apr")</f>
        <v>2026 Apr</v>
      </c>
      <c r="B12187" s="4">
        <f>IFERROR(__xludf.DUMMYFUNCTION("""COMPUTED_VALUE"""),46139.0)</f>
        <v>46139</v>
      </c>
      <c r="C12187" s="1" t="str">
        <f>IFERROR(__xludf.DUMMYFUNCTION("""COMPUTED_VALUE"""),"Core Product Support")</f>
        <v>Core Product Support</v>
      </c>
      <c r="D12187" s="1" t="str">
        <f>IFERROR(__xludf.DUMMYFUNCTION("""COMPUTED_VALUE"""),"d625e596-8198-45f9-94ea-d04d6f6a8b27")</f>
        <v>d625e596-8198-45f9-94ea-d04d6f6a8b27</v>
      </c>
      <c r="E12187" s="1">
        <f>IFERROR(__xludf.DUMMYFUNCTION("""COMPUTED_VALUE"""),1.0333049701519E13)</f>
        <v>10333049701519</v>
      </c>
      <c r="F12187" s="1"/>
      <c r="G12187" s="1">
        <f>IFERROR(__xludf.DUMMYFUNCTION("""COMPUTED_VALUE"""),1.25)</f>
        <v>1.25</v>
      </c>
      <c r="H12187" s="2">
        <f>IFERROR(__xludf.DUMMYFUNCTION("""COMPUTED_VALUE"""),1.25)</f>
        <v>1.25</v>
      </c>
      <c r="I12187" s="5">
        <f>IFERROR(__xludf.DUMMYFUNCTION("""COMPUTED_VALUE"""),1.0)</f>
        <v>1</v>
      </c>
      <c r="J12187" s="1" t="str">
        <f>IFERROR(__xludf.DUMMYFUNCTION("""COMPUTED_VALUE"""),"Vinz Lazaro")</f>
        <v>Vinz Lazaro</v>
      </c>
      <c r="K12187" s="1" t="str">
        <f>IFERROR(__xludf.DUMMYFUNCTION("""COMPUTED_VALUE"""),"Advanced Product Support")</f>
        <v>Advanced Product Support</v>
      </c>
      <c r="L12187" s="1" t="str">
        <f>IFERROR(__xludf.DUMMYFUNCTION("""COMPUTED_VALUE"""),"CPS Advanced Product Support (APS)")</f>
        <v>CPS Advanced Product Support (APS)</v>
      </c>
    </row>
    <row r="12188">
      <c r="A12188" s="1" t="str">
        <f>IFERROR(__xludf.DUMMYFUNCTION("""COMPUTED_VALUE"""),"2026 Apr")</f>
        <v>2026 Apr</v>
      </c>
      <c r="B12188" s="4">
        <f>IFERROR(__xludf.DUMMYFUNCTION("""COMPUTED_VALUE"""),46139.0)</f>
        <v>46139</v>
      </c>
      <c r="C12188" s="1" t="str">
        <f>IFERROR(__xludf.DUMMYFUNCTION("""COMPUTED_VALUE"""),"Segment-specific Support")</f>
        <v>Segment-specific Support</v>
      </c>
      <c r="D12188" s="1" t="str">
        <f>IFERROR(__xludf.DUMMYFUNCTION("""COMPUTED_VALUE"""),"c9fa58e5-ccb3-4c72-a2e7-5a6fc2210b69")</f>
        <v>c9fa58e5-ccb3-4c72-a2e7-5a6fc2210b69</v>
      </c>
      <c r="E12188" s="1">
        <f>IFERROR(__xludf.DUMMYFUNCTION("""COMPUTED_VALUE"""),1.1401981299343E13)</f>
        <v>11401981299343</v>
      </c>
      <c r="F12188" s="1"/>
      <c r="G12188" s="1"/>
      <c r="H12188" s="2">
        <f>IFERROR(__xludf.DUMMYFUNCTION("""COMPUTED_VALUE"""),0.0)</f>
        <v>0</v>
      </c>
      <c r="I12188" s="5"/>
      <c r="J12188" s="1" t="str">
        <f>IFERROR(__xludf.DUMMYFUNCTION("""COMPUTED_VALUE"""),"Aileen Dayanghirang")</f>
        <v>Aileen Dayanghirang</v>
      </c>
      <c r="K12188" s="1" t="str">
        <f>IFERROR(__xludf.DUMMYFUNCTION("""COMPUTED_VALUE"""),"Creators Support")</f>
        <v>Creators Support</v>
      </c>
      <c r="L12188" s="1" t="str">
        <f>IFERROR(__xludf.DUMMYFUNCTION("""COMPUTED_VALUE"""),"SSS Creators")</f>
        <v>SSS Creators</v>
      </c>
    </row>
    <row r="12189">
      <c r="A12189" s="1" t="str">
        <f>IFERROR(__xludf.DUMMYFUNCTION("""COMPUTED_VALUE"""),"2026 Apr")</f>
        <v>2026 Apr</v>
      </c>
      <c r="B12189" s="4">
        <f>IFERROR(__xludf.DUMMYFUNCTION("""COMPUTED_VALUE"""),46139.0)</f>
        <v>46139</v>
      </c>
      <c r="C12189" s="1" t="str">
        <f>IFERROR(__xludf.DUMMYFUNCTION("""COMPUTED_VALUE"""),"Admin Support")</f>
        <v>Admin Support</v>
      </c>
      <c r="D12189" s="1" t="str">
        <f>IFERROR(__xludf.DUMMYFUNCTION("""COMPUTED_VALUE"""),"6695b35c-7a53-4eb2-bcfc-9808f8e07dd8")</f>
        <v>6695b35c-7a53-4eb2-bcfc-9808f8e07dd8</v>
      </c>
      <c r="E12189" s="1">
        <f>IFERROR(__xludf.DUMMYFUNCTION("""COMPUTED_VALUE"""),3.61732164295E11)</f>
        <v>361732164295</v>
      </c>
      <c r="F12189" s="1"/>
      <c r="G12189" s="1">
        <f>IFERROR(__xludf.DUMMYFUNCTION("""COMPUTED_VALUE"""),0.25)</f>
        <v>0.25</v>
      </c>
      <c r="H12189" s="2">
        <f>IFERROR(__xludf.DUMMYFUNCTION("""COMPUTED_VALUE"""),0.25)</f>
        <v>0.25</v>
      </c>
      <c r="I12189" s="5">
        <f>IFERROR(__xludf.DUMMYFUNCTION("""COMPUTED_VALUE"""),1.0)</f>
        <v>1</v>
      </c>
      <c r="J12189" s="1" t="str">
        <f>IFERROR(__xludf.DUMMYFUNCTION("""COMPUTED_VALUE"""),"Kelden Laguting")</f>
        <v>Kelden Laguting</v>
      </c>
      <c r="K12189" s="1" t="str">
        <f>IFERROR(__xludf.DUMMYFUNCTION("""COMPUTED_VALUE"""),"Admin Omni Support")</f>
        <v>Admin Omni Support</v>
      </c>
      <c r="L12189" s="1" t="str">
        <f>IFERROR(__xludf.DUMMYFUNCTION("""COMPUTED_VALUE"""),"Admin Omni Support")</f>
        <v>Admin Omni Support</v>
      </c>
    </row>
    <row r="12190">
      <c r="A12190" s="1" t="str">
        <f>IFERROR(__xludf.DUMMYFUNCTION("""COMPUTED_VALUE"""),"2026 Apr")</f>
        <v>2026 Apr</v>
      </c>
      <c r="B12190" s="4">
        <f>IFERROR(__xludf.DUMMYFUNCTION("""COMPUTED_VALUE"""),46139.0)</f>
        <v>46139</v>
      </c>
      <c r="C12190" s="1" t="str">
        <f>IFERROR(__xludf.DUMMYFUNCTION("""COMPUTED_VALUE"""),"Core Product Support")</f>
        <v>Core Product Support</v>
      </c>
      <c r="D12190" s="1" t="str">
        <f>IFERROR(__xludf.DUMMYFUNCTION("""COMPUTED_VALUE"""),"a460fd1a-1ef6-4034-a4ca-14a4c4765f42")</f>
        <v>a460fd1a-1ef6-4034-a4ca-14a4c4765f42</v>
      </c>
      <c r="E12190" s="1">
        <f>IFERROR(__xludf.DUMMYFUNCTION("""COMPUTED_VALUE"""),9.107766464399E12)</f>
        <v>9107766464399</v>
      </c>
      <c r="F12190" s="1"/>
      <c r="G12190" s="1">
        <f>IFERROR(__xludf.DUMMYFUNCTION("""COMPUTED_VALUE"""),1.25)</f>
        <v>1.25</v>
      </c>
      <c r="H12190" s="2">
        <f>IFERROR(__xludf.DUMMYFUNCTION("""COMPUTED_VALUE"""),1.25)</f>
        <v>1.25</v>
      </c>
      <c r="I12190" s="5">
        <f>IFERROR(__xludf.DUMMYFUNCTION("""COMPUTED_VALUE"""),1.0)</f>
        <v>1</v>
      </c>
      <c r="J12190" s="1" t="str">
        <f>IFERROR(__xludf.DUMMYFUNCTION("""COMPUTED_VALUE"""),"Ana Lazaro")</f>
        <v>Ana Lazaro</v>
      </c>
      <c r="K12190" s="1" t="str">
        <f>IFERROR(__xludf.DUMMYFUNCTION("""COMPUTED_VALUE"""),"Advanced Billing &amp; Subscriptions")</f>
        <v>Advanced Billing &amp; Subscriptions</v>
      </c>
      <c r="L12190" s="1" t="str">
        <f>IFERROR(__xludf.DUMMYFUNCTION("""COMPUTED_VALUE"""),"CPS Advanced Billing and Subscriptions (ABS)")</f>
        <v>CPS Advanced Billing and Subscriptions (ABS)</v>
      </c>
    </row>
    <row r="12191">
      <c r="A12191" s="1" t="str">
        <f>IFERROR(__xludf.DUMMYFUNCTION("""COMPUTED_VALUE"""),"2026 Apr")</f>
        <v>2026 Apr</v>
      </c>
      <c r="B12191" s="4">
        <f>IFERROR(__xludf.DUMMYFUNCTION("""COMPUTED_VALUE"""),46139.0)</f>
        <v>46139</v>
      </c>
      <c r="C12191" s="1" t="str">
        <f>IFERROR(__xludf.DUMMYFUNCTION("""COMPUTED_VALUE"""),"Print Support")</f>
        <v>Print Support</v>
      </c>
      <c r="D12191" s="1" t="str">
        <f>IFERROR(__xludf.DUMMYFUNCTION("""COMPUTED_VALUE"""),"2ffdab50-ba8e-4ff1-a8d9-e609f47d6cbd")</f>
        <v>2ffdab50-ba8e-4ff1-a8d9-e609f47d6cbd</v>
      </c>
      <c r="E12191" s="1">
        <f>IFERROR(__xludf.DUMMYFUNCTION("""COMPUTED_VALUE"""),3.61731515115E11)</f>
        <v>361731515115</v>
      </c>
      <c r="F12191" s="1"/>
      <c r="G12191" s="1"/>
      <c r="H12191" s="2">
        <f>IFERROR(__xludf.DUMMYFUNCTION("""COMPUTED_VALUE"""),0.0)</f>
        <v>0</v>
      </c>
      <c r="I12191" s="5"/>
      <c r="J12191" s="1" t="str">
        <f>IFERROR(__xludf.DUMMYFUNCTION("""COMPUTED_VALUE"""),"Jen Momo")</f>
        <v>Jen Momo</v>
      </c>
      <c r="K12191" s="1" t="str">
        <f>IFERROR(__xludf.DUMMYFUNCTION("""COMPUTED_VALUE"""),"Print Support PH")</f>
        <v>Print Support PH</v>
      </c>
      <c r="L12191" s="1" t="str">
        <f>IFERROR(__xludf.DUMMYFUNCTION("""COMPUTED_VALUE"""),"Print Print - CHT")</f>
        <v>Print Print - CHT</v>
      </c>
    </row>
    <row r="12192">
      <c r="A12192" s="1" t="str">
        <f>IFERROR(__xludf.DUMMYFUNCTION("""COMPUTED_VALUE"""),"2026 Apr")</f>
        <v>2026 Apr</v>
      </c>
      <c r="B12192" s="4">
        <f>IFERROR(__xludf.DUMMYFUNCTION("""COMPUTED_VALUE"""),46139.0)</f>
        <v>46139</v>
      </c>
      <c r="C12192" s="1" t="str">
        <f>IFERROR(__xludf.DUMMYFUNCTION("""COMPUTED_VALUE"""),"Core Product Support")</f>
        <v>Core Product Support</v>
      </c>
      <c r="D12192" s="1" t="str">
        <f>IFERROR(__xludf.DUMMYFUNCTION("""COMPUTED_VALUE"""),"53c72618-3bf9-4bcf-adf4-39677fd20e1f")</f>
        <v>53c72618-3bf9-4bcf-adf4-39677fd20e1f</v>
      </c>
      <c r="E12192" s="1">
        <f>IFERROR(__xludf.DUMMYFUNCTION("""COMPUTED_VALUE"""),1.1035324543247E13)</f>
        <v>11035324543247</v>
      </c>
      <c r="F12192" s="1"/>
      <c r="G12192" s="1">
        <f>IFERROR(__xludf.DUMMYFUNCTION("""COMPUTED_VALUE"""),1.25)</f>
        <v>1.25</v>
      </c>
      <c r="H12192" s="2">
        <f>IFERROR(__xludf.DUMMYFUNCTION("""COMPUTED_VALUE"""),1.25)</f>
        <v>1.25</v>
      </c>
      <c r="I12192" s="5">
        <f>IFERROR(__xludf.DUMMYFUNCTION("""COMPUTED_VALUE"""),1.0)</f>
        <v>1</v>
      </c>
      <c r="J12192" s="1" t="str">
        <f>IFERROR(__xludf.DUMMYFUNCTION("""COMPUTED_VALUE"""),"Ayza Marie Pascual")</f>
        <v>Ayza Marie Pascual</v>
      </c>
      <c r="K12192" s="1" t="str">
        <f>IFERROR(__xludf.DUMMYFUNCTION("""COMPUTED_VALUE"""),"Advanced Billing &amp; Subscriptions")</f>
        <v>Advanced Billing &amp; Subscriptions</v>
      </c>
      <c r="L12192" s="1" t="str">
        <f>IFERROR(__xludf.DUMMYFUNCTION("""COMPUTED_VALUE"""),"CPS Advanced Billing and Subscriptions (ABS)")</f>
        <v>CPS Advanced Billing and Subscriptions (ABS)</v>
      </c>
    </row>
    <row r="12193">
      <c r="A12193" s="1" t="str">
        <f>IFERROR(__xludf.DUMMYFUNCTION("""COMPUTED_VALUE"""),"2026 Apr")</f>
        <v>2026 Apr</v>
      </c>
      <c r="B12193" s="4">
        <f>IFERROR(__xludf.DUMMYFUNCTION("""COMPUTED_VALUE"""),46139.0)</f>
        <v>46139</v>
      </c>
      <c r="C12193" s="1" t="str">
        <f>IFERROR(__xludf.DUMMYFUNCTION("""COMPUTED_VALUE"""),"Core Product Support")</f>
        <v>Core Product Support</v>
      </c>
      <c r="D12193" s="1" t="str">
        <f>IFERROR(__xludf.DUMMYFUNCTION("""COMPUTED_VALUE"""),"08e80e21-5eab-4b4f-bd2a-c3d833caa4fc")</f>
        <v>08e80e21-5eab-4b4f-bd2a-c3d833caa4fc</v>
      </c>
      <c r="E12193" s="1">
        <f>IFERROR(__xludf.DUMMYFUNCTION("""COMPUTED_VALUE"""),8.409877156495E12)</f>
        <v>8409877156495</v>
      </c>
      <c r="F12193" s="1"/>
      <c r="G12193" s="1">
        <f>IFERROR(__xludf.DUMMYFUNCTION("""COMPUTED_VALUE"""),1.25)</f>
        <v>1.25</v>
      </c>
      <c r="H12193" s="2">
        <f>IFERROR(__xludf.DUMMYFUNCTION("""COMPUTED_VALUE"""),1.25)</f>
        <v>1.25</v>
      </c>
      <c r="I12193" s="5">
        <f>IFERROR(__xludf.DUMMYFUNCTION("""COMPUTED_VALUE"""),1.0)</f>
        <v>1</v>
      </c>
      <c r="J12193" s="1" t="str">
        <f>IFERROR(__xludf.DUMMYFUNCTION("""COMPUTED_VALUE"""),"Jahmie Mae Barrameda")</f>
        <v>Jahmie Mae Barrameda</v>
      </c>
      <c r="K12193" s="1" t="str">
        <f>IFERROR(__xludf.DUMMYFUNCTION("""COMPUTED_VALUE"""),"Advanced Billing &amp; Subscriptions")</f>
        <v>Advanced Billing &amp; Subscriptions</v>
      </c>
      <c r="L12193" s="1" t="str">
        <f>IFERROR(__xludf.DUMMYFUNCTION("""COMPUTED_VALUE"""),"CPS Advanced Billing and Subscriptions (ABS)")</f>
        <v>CPS Advanced Billing and Subscriptions (ABS)</v>
      </c>
    </row>
    <row r="12194">
      <c r="A12194" s="1" t="str">
        <f>IFERROR(__xludf.DUMMYFUNCTION("""COMPUTED_VALUE"""),"2026 Apr")</f>
        <v>2026 Apr</v>
      </c>
      <c r="B12194" s="4">
        <f>IFERROR(__xludf.DUMMYFUNCTION("""COMPUTED_VALUE"""),46139.0)</f>
        <v>46139</v>
      </c>
      <c r="C12194" s="1" t="str">
        <f>IFERROR(__xludf.DUMMYFUNCTION("""COMPUTED_VALUE"""),"Core Product Support")</f>
        <v>Core Product Support</v>
      </c>
      <c r="D12194" s="1" t="str">
        <f>IFERROR(__xludf.DUMMYFUNCTION("""COMPUTED_VALUE"""),"41e73ce2-bda5-4412-b2d5-381b4a0a0fdd")</f>
        <v>41e73ce2-bda5-4412-b2d5-381b4a0a0fdd</v>
      </c>
      <c r="E12194" s="1">
        <f>IFERROR(__xludf.DUMMYFUNCTION("""COMPUTED_VALUE"""),3.61750008275E11)</f>
        <v>361750008275</v>
      </c>
      <c r="F12194" s="1"/>
      <c r="G12194" s="1">
        <f>IFERROR(__xludf.DUMMYFUNCTION("""COMPUTED_VALUE"""),2.5)</f>
        <v>2.5</v>
      </c>
      <c r="H12194" s="2">
        <f>IFERROR(__xludf.DUMMYFUNCTION("""COMPUTED_VALUE"""),2.5)</f>
        <v>2.5</v>
      </c>
      <c r="I12194" s="5">
        <f>IFERROR(__xludf.DUMMYFUNCTION("""COMPUTED_VALUE"""),1.0)</f>
        <v>1</v>
      </c>
      <c r="J12194" s="1" t="str">
        <f>IFERROR(__xludf.DUMMYFUNCTION("""COMPUTED_VALUE"""),"Jelyn Elmido")</f>
        <v>Jelyn Elmido</v>
      </c>
      <c r="K12194" s="1" t="str">
        <f>IFERROR(__xludf.DUMMYFUNCTION("""COMPUTED_VALUE"""),"Core Product Support Escalation Team")</f>
        <v>Core Product Support Escalation Team</v>
      </c>
      <c r="L12194"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2195">
      <c r="A12195" s="1" t="str">
        <f>IFERROR(__xludf.DUMMYFUNCTION("""COMPUTED_VALUE"""),"2026 Apr")</f>
        <v>2026 Apr</v>
      </c>
      <c r="B12195" s="4">
        <f>IFERROR(__xludf.DUMMYFUNCTION("""COMPUTED_VALUE"""),46139.0)</f>
        <v>46139</v>
      </c>
      <c r="C12195" s="1" t="str">
        <f>IFERROR(__xludf.DUMMYFUNCTION("""COMPUTED_VALUE"""),"Print Support")</f>
        <v>Print Support</v>
      </c>
      <c r="D12195" s="1" t="str">
        <f>IFERROR(__xludf.DUMMYFUNCTION("""COMPUTED_VALUE"""),"a8e62322-b2dc-4c8a-842a-2a259dac6528")</f>
        <v>a8e62322-b2dc-4c8a-842a-2a259dac6528</v>
      </c>
      <c r="E12195" s="1">
        <f>IFERROR(__xludf.DUMMYFUNCTION("""COMPUTED_VALUE"""),9.285106592655E12)</f>
        <v>9285106592655</v>
      </c>
      <c r="F12195" s="1"/>
      <c r="G12195" s="1"/>
      <c r="H12195" s="2">
        <f>IFERROR(__xludf.DUMMYFUNCTION("""COMPUTED_VALUE"""),0.0)</f>
        <v>0</v>
      </c>
      <c r="I12195" s="5"/>
      <c r="J12195" s="1" t="str">
        <f>IFERROR(__xludf.DUMMYFUNCTION("""COMPUTED_VALUE"""),"Althea Mercado")</f>
        <v>Althea Mercado</v>
      </c>
      <c r="K12195" s="1" t="str">
        <f>IFERROR(__xludf.DUMMYFUNCTION("""COMPUTED_VALUE"""),"Print Support PH")</f>
        <v>Print Support PH</v>
      </c>
      <c r="L12195" s="1" t="str">
        <f>IFERROR(__xludf.DUMMYFUNCTION("""COMPUTED_VALUE"""),"Print Print - CHT")</f>
        <v>Print Print - CHT</v>
      </c>
    </row>
    <row r="12196">
      <c r="A12196" s="1" t="str">
        <f>IFERROR(__xludf.DUMMYFUNCTION("""COMPUTED_VALUE"""),"2026 Apr")</f>
        <v>2026 Apr</v>
      </c>
      <c r="B12196" s="4">
        <f>IFERROR(__xludf.DUMMYFUNCTION("""COMPUTED_VALUE"""),46139.0)</f>
        <v>46139</v>
      </c>
      <c r="C12196" s="1" t="str">
        <f>IFERROR(__xludf.DUMMYFUNCTION("""COMPUTED_VALUE"""),"Admin Support")</f>
        <v>Admin Support</v>
      </c>
      <c r="D12196" s="1" t="str">
        <f>IFERROR(__xludf.DUMMYFUNCTION("""COMPUTED_VALUE"""),"ab14ac10-6fdd-4acd-92a0-afc53948f957")</f>
        <v>ab14ac10-6fdd-4acd-92a0-afc53948f957</v>
      </c>
      <c r="E12196" s="1">
        <f>IFERROR(__xludf.DUMMYFUNCTION("""COMPUTED_VALUE"""),3.61731791675E11)</f>
        <v>361731791675</v>
      </c>
      <c r="F12196" s="1"/>
      <c r="G12196" s="1">
        <f>IFERROR(__xludf.DUMMYFUNCTION("""COMPUTED_VALUE"""),0.25)</f>
        <v>0.25</v>
      </c>
      <c r="H12196" s="2">
        <f>IFERROR(__xludf.DUMMYFUNCTION("""COMPUTED_VALUE"""),0.25)</f>
        <v>0.25</v>
      </c>
      <c r="I12196" s="5">
        <f>IFERROR(__xludf.DUMMYFUNCTION("""COMPUTED_VALUE"""),1.0)</f>
        <v>1</v>
      </c>
      <c r="J12196" s="1" t="str">
        <f>IFERROR(__xludf.DUMMYFUNCTION("""COMPUTED_VALUE"""),"Pau Palmero")</f>
        <v>Pau Palmero</v>
      </c>
      <c r="K12196" s="1" t="str">
        <f>IFERROR(__xludf.DUMMYFUNCTION("""COMPUTED_VALUE"""),"Admin Omni Support")</f>
        <v>Admin Omni Support</v>
      </c>
      <c r="L12196" s="1" t="str">
        <f>IFERROR(__xludf.DUMMYFUNCTION("""COMPUTED_VALUE"""),"Admin Omni Support")</f>
        <v>Admin Omni Support</v>
      </c>
    </row>
    <row r="12197">
      <c r="A12197" s="1" t="str">
        <f>IFERROR(__xludf.DUMMYFUNCTION("""COMPUTED_VALUE"""),"2026 Apr")</f>
        <v>2026 Apr</v>
      </c>
      <c r="B12197" s="4">
        <f>IFERROR(__xludf.DUMMYFUNCTION("""COMPUTED_VALUE"""),46139.0)</f>
        <v>46139</v>
      </c>
      <c r="C12197" s="1" t="str">
        <f>IFERROR(__xludf.DUMMYFUNCTION("""COMPUTED_VALUE"""),"Segment-specific Support")</f>
        <v>Segment-specific Support</v>
      </c>
      <c r="D12197" s="1" t="str">
        <f>IFERROR(__xludf.DUMMYFUNCTION("""COMPUTED_VALUE"""),"b3a312bb-80a6-4404-a83b-85b5d7be9789")</f>
        <v>b3a312bb-80a6-4404-a83b-85b5d7be9789</v>
      </c>
      <c r="E12197" s="1">
        <f>IFERROR(__xludf.DUMMYFUNCTION("""COMPUTED_VALUE"""),9.903274706831E12)</f>
        <v>9903274706831</v>
      </c>
      <c r="F12197" s="1"/>
      <c r="G12197" s="1"/>
      <c r="H12197" s="2">
        <f>IFERROR(__xludf.DUMMYFUNCTION("""COMPUTED_VALUE"""),0.0)</f>
        <v>0</v>
      </c>
      <c r="I12197" s="5"/>
      <c r="J12197" s="1" t="str">
        <f>IFERROR(__xludf.DUMMYFUNCTION("""COMPUTED_VALUE"""),"Jonathan Dimaculangan")</f>
        <v>Jonathan Dimaculangan</v>
      </c>
      <c r="K12197" s="1" t="str">
        <f>IFERROR(__xludf.DUMMYFUNCTION("""COMPUTED_VALUE"""),"Flourish Support")</f>
        <v>Flourish Support</v>
      </c>
      <c r="L12197" s="1" t="str">
        <f>IFERROR(__xludf.DUMMYFUNCTION("""COMPUTED_VALUE"""),"SSS Flourish")</f>
        <v>SSS Flourish</v>
      </c>
    </row>
    <row r="12198">
      <c r="A12198" s="1" t="str">
        <f>IFERROR(__xludf.DUMMYFUNCTION("""COMPUTED_VALUE"""),"2026 Apr")</f>
        <v>2026 Apr</v>
      </c>
      <c r="B12198" s="4">
        <f>IFERROR(__xludf.DUMMYFUNCTION("""COMPUTED_VALUE"""),46139.0)</f>
        <v>46139</v>
      </c>
      <c r="C12198" s="1" t="str">
        <f>IFERROR(__xludf.DUMMYFUNCTION("""COMPUTED_VALUE"""),"Core Product Support")</f>
        <v>Core Product Support</v>
      </c>
      <c r="D12198" s="1" t="str">
        <f>IFERROR(__xludf.DUMMYFUNCTION("""COMPUTED_VALUE"""),"c820bf34-a16a-4ab5-afca-78d6c71226e3")</f>
        <v>c820bf34-a16a-4ab5-afca-78d6c71226e3</v>
      </c>
      <c r="E12198" s="1">
        <f>IFERROR(__xludf.DUMMYFUNCTION("""COMPUTED_VALUE"""),3.61731943295E11)</f>
        <v>361731943295</v>
      </c>
      <c r="F12198" s="1"/>
      <c r="G12198" s="1">
        <f>IFERROR(__xludf.DUMMYFUNCTION("""COMPUTED_VALUE"""),2.5)</f>
        <v>2.5</v>
      </c>
      <c r="H12198" s="2">
        <f>IFERROR(__xludf.DUMMYFUNCTION("""COMPUTED_VALUE"""),2.5)</f>
        <v>2.5</v>
      </c>
      <c r="I12198" s="5">
        <f>IFERROR(__xludf.DUMMYFUNCTION("""COMPUTED_VALUE"""),1.0)</f>
        <v>1</v>
      </c>
      <c r="J12198" s="1" t="str">
        <f>IFERROR(__xludf.DUMMYFUNCTION("""COMPUTED_VALUE"""),"Jelyn Elmido")</f>
        <v>Jelyn Elmido</v>
      </c>
      <c r="K12198" s="1" t="str">
        <f>IFERROR(__xludf.DUMMYFUNCTION("""COMPUTED_VALUE"""),"Core Product Support Escalation Team")</f>
        <v>Core Product Support Escalation Team</v>
      </c>
      <c r="L12198"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2199">
      <c r="A12199" s="1" t="str">
        <f>IFERROR(__xludf.DUMMYFUNCTION("""COMPUTED_VALUE"""),"2026 Apr")</f>
        <v>2026 Apr</v>
      </c>
      <c r="B12199" s="4">
        <f>IFERROR(__xludf.DUMMYFUNCTION("""COMPUTED_VALUE"""),46139.0)</f>
        <v>46139</v>
      </c>
      <c r="C12199" s="1" t="str">
        <f>IFERROR(__xludf.DUMMYFUNCTION("""COMPUTED_VALUE"""),"Multilingual Support")</f>
        <v>Multilingual Support</v>
      </c>
      <c r="D12199" s="1" t="str">
        <f>IFERROR(__xludf.DUMMYFUNCTION("""COMPUTED_VALUE"""),"283e2e77-f88a-4efa-b94d-fff3a66e663f")</f>
        <v>283e2e77-f88a-4efa-b94d-fff3a66e663f</v>
      </c>
      <c r="E12199" s="1">
        <f>IFERROR(__xludf.DUMMYFUNCTION("""COMPUTED_VALUE"""),3.61731791575E11)</f>
        <v>361731791575</v>
      </c>
      <c r="F12199" s="1"/>
      <c r="G12199" s="1"/>
      <c r="H12199" s="2">
        <f>IFERROR(__xludf.DUMMYFUNCTION("""COMPUTED_VALUE"""),0.0)</f>
        <v>0</v>
      </c>
      <c r="I12199" s="5"/>
      <c r="J12199" s="1" t="str">
        <f>IFERROR(__xludf.DUMMYFUNCTION("""COMPUTED_VALUE"""),"Arlene Maurillo")</f>
        <v>Arlene Maurillo</v>
      </c>
      <c r="K12199" s="1" t="str">
        <f>IFERROR(__xludf.DUMMYFUNCTION("""COMPUTED_VALUE"""),"PHL, Multilingual Support")</f>
        <v>PHL, Multilingual Support</v>
      </c>
      <c r="L12199" s="1" t="str">
        <f>IFERROR(__xludf.DUMMYFUNCTION("""COMPUTED_VALUE"""),"ML French Support")</f>
        <v>ML French Support</v>
      </c>
    </row>
    <row r="12200">
      <c r="A12200" s="1" t="str">
        <f>IFERROR(__xludf.DUMMYFUNCTION("""COMPUTED_VALUE"""),"2026 Apr")</f>
        <v>2026 Apr</v>
      </c>
      <c r="B12200" s="4">
        <f>IFERROR(__xludf.DUMMYFUNCTION("""COMPUTED_VALUE"""),46139.0)</f>
        <v>46139</v>
      </c>
      <c r="C12200" s="1" t="str">
        <f>IFERROR(__xludf.DUMMYFUNCTION("""COMPUTED_VALUE"""),"Print Support")</f>
        <v>Print Support</v>
      </c>
      <c r="D12200" s="1" t="str">
        <f>IFERROR(__xludf.DUMMYFUNCTION("""COMPUTED_VALUE"""),"759bff0c-8571-44a6-ac6a-7e74510a6a62")</f>
        <v>759bff0c-8571-44a6-ac6a-7e74510a6a62</v>
      </c>
      <c r="E12200" s="1">
        <f>IFERROR(__xludf.DUMMYFUNCTION("""COMPUTED_VALUE"""),6.839686960271E12)</f>
        <v>6839686960271</v>
      </c>
      <c r="F12200" s="1"/>
      <c r="G12200" s="1"/>
      <c r="H12200" s="2">
        <f>IFERROR(__xludf.DUMMYFUNCTION("""COMPUTED_VALUE"""),0.0)</f>
        <v>0</v>
      </c>
      <c r="I12200" s="5"/>
      <c r="J12200" s="1" t="str">
        <f>IFERROR(__xludf.DUMMYFUNCTION("""COMPUTED_VALUE"""),"Althea Mercado")</f>
        <v>Althea Mercado</v>
      </c>
      <c r="K12200" s="1" t="str">
        <f>IFERROR(__xludf.DUMMYFUNCTION("""COMPUTED_VALUE"""),"Print Support PH")</f>
        <v>Print Support PH</v>
      </c>
      <c r="L12200" s="1" t="str">
        <f>IFERROR(__xludf.DUMMYFUNCTION("""COMPUTED_VALUE"""),"Print Print - CHT")</f>
        <v>Print Print - CHT</v>
      </c>
    </row>
    <row r="12201">
      <c r="A12201" s="1" t="str">
        <f>IFERROR(__xludf.DUMMYFUNCTION("""COMPUTED_VALUE"""),"2026 Apr")</f>
        <v>2026 Apr</v>
      </c>
      <c r="B12201" s="4">
        <f>IFERROR(__xludf.DUMMYFUNCTION("""COMPUTED_VALUE"""),46139.0)</f>
        <v>46139</v>
      </c>
      <c r="C12201" s="1" t="str">
        <f>IFERROR(__xludf.DUMMYFUNCTION("""COMPUTED_VALUE"""),"Print Support")</f>
        <v>Print Support</v>
      </c>
      <c r="D12201" s="1" t="str">
        <f>IFERROR(__xludf.DUMMYFUNCTION("""COMPUTED_VALUE"""),"435dbe60-cec1-4cb2-b1d3-b030b9d41646")</f>
        <v>435dbe60-cec1-4cb2-b1d3-b030b9d41646</v>
      </c>
      <c r="E12201" s="1">
        <f>IFERROR(__xludf.DUMMYFUNCTION("""COMPUTED_VALUE"""),3.61724666876E11)</f>
        <v>361724666876</v>
      </c>
      <c r="F12201" s="1"/>
      <c r="G12201" s="1"/>
      <c r="H12201" s="2">
        <f>IFERROR(__xludf.DUMMYFUNCTION("""COMPUTED_VALUE"""),0.0)</f>
        <v>0</v>
      </c>
      <c r="I12201" s="5"/>
      <c r="J12201" s="1" t="str">
        <f>IFERROR(__xludf.DUMMYFUNCTION("""COMPUTED_VALUE"""),"Rae Erlano")</f>
        <v>Rae Erlano</v>
      </c>
      <c r="K12201" s="1" t="str">
        <f>IFERROR(__xludf.DUMMYFUNCTION("""COMPUTED_VALUE"""),"Print Support PH")</f>
        <v>Print Support PH</v>
      </c>
      <c r="L12201" s="1" t="str">
        <f>IFERROR(__xludf.DUMMYFUNCTION("""COMPUTED_VALUE"""),"Print Print - SEE")</f>
        <v>Print Print - SEE</v>
      </c>
    </row>
    <row r="12202">
      <c r="A12202" s="1" t="str">
        <f>IFERROR(__xludf.DUMMYFUNCTION("""COMPUTED_VALUE"""),"2026 Apr")</f>
        <v>2026 Apr</v>
      </c>
      <c r="B12202" s="4">
        <f>IFERROR(__xludf.DUMMYFUNCTION("""COMPUTED_VALUE"""),46139.0)</f>
        <v>46139</v>
      </c>
      <c r="C12202" s="1" t="str">
        <f>IFERROR(__xludf.DUMMYFUNCTION("""COMPUTED_VALUE"""),"Core Product Support")</f>
        <v>Core Product Support</v>
      </c>
      <c r="D12202" s="1" t="str">
        <f>IFERROR(__xludf.DUMMYFUNCTION("""COMPUTED_VALUE"""),"d49e1c15-2cd1-4e35-9b3a-8acda7c42425")</f>
        <v>d49e1c15-2cd1-4e35-9b3a-8acda7c42425</v>
      </c>
      <c r="E12202" s="1">
        <f>IFERROR(__xludf.DUMMYFUNCTION("""COMPUTED_VALUE"""),1.1401961091343E13)</f>
        <v>11401961091343</v>
      </c>
      <c r="F12202" s="1"/>
      <c r="G12202" s="1">
        <f>IFERROR(__xludf.DUMMYFUNCTION("""COMPUTED_VALUE"""),1.25)</f>
        <v>1.25</v>
      </c>
      <c r="H12202" s="2">
        <f>IFERROR(__xludf.DUMMYFUNCTION("""COMPUTED_VALUE"""),1.25)</f>
        <v>1.25</v>
      </c>
      <c r="I12202" s="5">
        <f>IFERROR(__xludf.DUMMYFUNCTION("""COMPUTED_VALUE"""),1.0)</f>
        <v>1</v>
      </c>
      <c r="J12202" s="1" t="str">
        <f>IFERROR(__xludf.DUMMYFUNCTION("""COMPUTED_VALUE"""),"Cate Velasco")</f>
        <v>Cate Velasco</v>
      </c>
      <c r="K12202" s="1" t="str">
        <f>IFERROR(__xludf.DUMMYFUNCTION("""COMPUTED_VALUE"""),"Advanced Product Support")</f>
        <v>Advanced Product Support</v>
      </c>
      <c r="L12202" s="1" t="str">
        <f>IFERROR(__xludf.DUMMYFUNCTION("""COMPUTED_VALUE"""),"CPS Advanced Product Support (APS)")</f>
        <v>CPS Advanced Product Support (APS)</v>
      </c>
    </row>
    <row r="12203">
      <c r="A12203" s="1" t="str">
        <f>IFERROR(__xludf.DUMMYFUNCTION("""COMPUTED_VALUE"""),"2026 Apr")</f>
        <v>2026 Apr</v>
      </c>
      <c r="B12203" s="4">
        <f>IFERROR(__xludf.DUMMYFUNCTION("""COMPUTED_VALUE"""),46139.0)</f>
        <v>46139</v>
      </c>
      <c r="C12203" s="1" t="str">
        <f>IFERROR(__xludf.DUMMYFUNCTION("""COMPUTED_VALUE"""),"Segment-specific Support")</f>
        <v>Segment-specific Support</v>
      </c>
      <c r="D12203" s="1" t="str">
        <f>IFERROR(__xludf.DUMMYFUNCTION("""COMPUTED_VALUE"""),"273af0e8-ae9e-4171-b68c-6f2448bbd29f")</f>
        <v>273af0e8-ae9e-4171-b68c-6f2448bbd29f</v>
      </c>
      <c r="E12203" s="1">
        <f>IFERROR(__xludf.DUMMYFUNCTION("""COMPUTED_VALUE"""),1.1401981037583E13)</f>
        <v>11401981037583</v>
      </c>
      <c r="F12203" s="1"/>
      <c r="G12203" s="1"/>
      <c r="H12203" s="2">
        <f>IFERROR(__xludf.DUMMYFUNCTION("""COMPUTED_VALUE"""),0.0)</f>
        <v>0</v>
      </c>
      <c r="I12203" s="5"/>
      <c r="J12203" s="1" t="str">
        <f>IFERROR(__xludf.DUMMYFUNCTION("""COMPUTED_VALUE"""),"Aileen Dayanghirang")</f>
        <v>Aileen Dayanghirang</v>
      </c>
      <c r="K12203" s="1" t="str">
        <f>IFERROR(__xludf.DUMMYFUNCTION("""COMPUTED_VALUE"""),"Creators Support")</f>
        <v>Creators Support</v>
      </c>
      <c r="L12203" s="1" t="str">
        <f>IFERROR(__xludf.DUMMYFUNCTION("""COMPUTED_VALUE"""),"SSS Creators")</f>
        <v>SSS Creators</v>
      </c>
    </row>
    <row r="12204">
      <c r="A12204" s="1" t="str">
        <f>IFERROR(__xludf.DUMMYFUNCTION("""COMPUTED_VALUE"""),"2026 Apr")</f>
        <v>2026 Apr</v>
      </c>
      <c r="B12204" s="4">
        <f>IFERROR(__xludf.DUMMYFUNCTION("""COMPUTED_VALUE"""),46139.0)</f>
        <v>46139</v>
      </c>
      <c r="C12204" s="1" t="str">
        <f>IFERROR(__xludf.DUMMYFUNCTION("""COMPUTED_VALUE"""),"Admin Support")</f>
        <v>Admin Support</v>
      </c>
      <c r="D12204" s="1" t="str">
        <f>IFERROR(__xludf.DUMMYFUNCTION("""COMPUTED_VALUE"""),"d497a055-f2f2-4063-8890-6c9684355e4c")</f>
        <v>d497a055-f2f2-4063-8890-6c9684355e4c</v>
      </c>
      <c r="E12204" s="1">
        <f>IFERROR(__xludf.DUMMYFUNCTION("""COMPUTED_VALUE"""),3.61731515255E11)</f>
        <v>361731515255</v>
      </c>
      <c r="F12204" s="1"/>
      <c r="G12204" s="1"/>
      <c r="H12204" s="2">
        <f>IFERROR(__xludf.DUMMYFUNCTION("""COMPUTED_VALUE"""),0.0)</f>
        <v>0</v>
      </c>
      <c r="I12204" s="5"/>
      <c r="J12204" s="1" t="str">
        <f>IFERROR(__xludf.DUMMYFUNCTION("""COMPUTED_VALUE"""),"Karla Mananghaya")</f>
        <v>Karla Mananghaya</v>
      </c>
      <c r="K12204" s="1" t="str">
        <f>IFERROR(__xludf.DUMMYFUNCTION("""COMPUTED_VALUE"""),"Admin Support Service Escalation Team")</f>
        <v>Admin Support Service Escalation Team</v>
      </c>
      <c r="L12204" s="1" t="str">
        <f>IFERROR(__xludf.DUMMYFUNCTION("""COMPUTED_VALUE"""),"Admin ASSET")</f>
        <v>Admin ASSET</v>
      </c>
    </row>
    <row r="12205">
      <c r="A12205" s="1" t="str">
        <f>IFERROR(__xludf.DUMMYFUNCTION("""COMPUTED_VALUE"""),"2026 Apr")</f>
        <v>2026 Apr</v>
      </c>
      <c r="B12205" s="4">
        <f>IFERROR(__xludf.DUMMYFUNCTION("""COMPUTED_VALUE"""),46139.0)</f>
        <v>46139</v>
      </c>
      <c r="C12205" s="1" t="str">
        <f>IFERROR(__xludf.DUMMYFUNCTION("""COMPUTED_VALUE"""),"High Sensitivity Support")</f>
        <v>High Sensitivity Support</v>
      </c>
      <c r="D12205" s="1" t="str">
        <f>IFERROR(__xludf.DUMMYFUNCTION("""COMPUTED_VALUE"""),"725213c8-63bc-41f4-927e-adac2805ced0")</f>
        <v>725213c8-63bc-41f4-927e-adac2805ced0</v>
      </c>
      <c r="E12205" s="1">
        <f>IFERROR(__xludf.DUMMYFUNCTION("""COMPUTED_VALUE"""),3.61688633916E11)</f>
        <v>361688633916</v>
      </c>
      <c r="F12205" s="1"/>
      <c r="G12205" s="1"/>
      <c r="H12205" s="2">
        <f>IFERROR(__xludf.DUMMYFUNCTION("""COMPUTED_VALUE"""),0.0)</f>
        <v>0</v>
      </c>
      <c r="I12205" s="5"/>
      <c r="J12205" s="1" t="str">
        <f>IFERROR(__xludf.DUMMYFUNCTION("""COMPUTED_VALUE"""),"Xandy Azarcon")</f>
        <v>Xandy Azarcon</v>
      </c>
      <c r="K12205" s="1" t="str">
        <f>IFERROR(__xludf.DUMMYFUNCTION("""COMPUTED_VALUE"""),"High Sensitivity Support PH")</f>
        <v>High Sensitivity Support PH</v>
      </c>
      <c r="L12205" s="1" t="str">
        <f>IFERROR(__xludf.DUMMYFUNCTION("""COMPUTED_VALUE"""),"HSS High Sensitivity Support PH - CHT")</f>
        <v>HSS High Sensitivity Support PH - CHT</v>
      </c>
    </row>
    <row r="12206">
      <c r="A12206" s="1" t="str">
        <f>IFERROR(__xludf.DUMMYFUNCTION("""COMPUTED_VALUE"""),"2026 Apr")</f>
        <v>2026 Apr</v>
      </c>
      <c r="B12206" s="4">
        <f>IFERROR(__xludf.DUMMYFUNCTION("""COMPUTED_VALUE"""),46139.0)</f>
        <v>46139</v>
      </c>
      <c r="C12206" s="1" t="str">
        <f>IFERROR(__xludf.DUMMYFUNCTION("""COMPUTED_VALUE"""),"Print Support")</f>
        <v>Print Support</v>
      </c>
      <c r="D12206" s="1" t="str">
        <f>IFERROR(__xludf.DUMMYFUNCTION("""COMPUTED_VALUE"""),"adc14770-23af-4d9e-965d-0e955af819e0")</f>
        <v>adc14770-23af-4d9e-965d-0e955af819e0</v>
      </c>
      <c r="E12206" s="1">
        <f>IFERROR(__xludf.DUMMYFUNCTION("""COMPUTED_VALUE"""),3.61734092356E11)</f>
        <v>361734092356</v>
      </c>
      <c r="F12206" s="1"/>
      <c r="G12206" s="1"/>
      <c r="H12206" s="2">
        <f>IFERROR(__xludf.DUMMYFUNCTION("""COMPUTED_VALUE"""),0.0)</f>
        <v>0</v>
      </c>
      <c r="I12206" s="5"/>
      <c r="J12206" s="1" t="str">
        <f>IFERROR(__xludf.DUMMYFUNCTION("""COMPUTED_VALUE"""),"Memae Faustino")</f>
        <v>Memae Faustino</v>
      </c>
      <c r="K12206" s="1" t="str">
        <f>IFERROR(__xludf.DUMMYFUNCTION("""COMPUTED_VALUE"""),"Print Support PH")</f>
        <v>Print Support PH</v>
      </c>
      <c r="L12206" s="1" t="str">
        <f>IFERROR(__xludf.DUMMYFUNCTION("""COMPUTED_VALUE"""),"Print Print - SEE")</f>
        <v>Print Print - SEE</v>
      </c>
    </row>
    <row r="12207">
      <c r="A12207" s="1" t="str">
        <f>IFERROR(__xludf.DUMMYFUNCTION("""COMPUTED_VALUE"""),"2026 Apr")</f>
        <v>2026 Apr</v>
      </c>
      <c r="B12207" s="4">
        <f>IFERROR(__xludf.DUMMYFUNCTION("""COMPUTED_VALUE"""),46139.0)</f>
        <v>46139</v>
      </c>
      <c r="C12207" s="1" t="str">
        <f>IFERROR(__xludf.DUMMYFUNCTION("""COMPUTED_VALUE"""),"High Sensitivity Support")</f>
        <v>High Sensitivity Support</v>
      </c>
      <c r="D12207" s="1" t="str">
        <f>IFERROR(__xludf.DUMMYFUNCTION("""COMPUTED_VALUE"""),"d9cfc12e-6b04-430c-bb3b-22b9d67ee77c")</f>
        <v>d9cfc12e-6b04-430c-bb3b-22b9d67ee77c</v>
      </c>
      <c r="E12207" s="1">
        <f>IFERROR(__xludf.DUMMYFUNCTION("""COMPUTED_VALUE"""),9.795905277839E12)</f>
        <v>9795905277839</v>
      </c>
      <c r="F12207" s="1"/>
      <c r="G12207" s="1"/>
      <c r="H12207" s="2">
        <f>IFERROR(__xludf.DUMMYFUNCTION("""COMPUTED_VALUE"""),0.0)</f>
        <v>0</v>
      </c>
      <c r="I12207" s="5"/>
      <c r="J12207" s="1" t="str">
        <f>IFERROR(__xludf.DUMMYFUNCTION("""COMPUTED_VALUE"""),"Issi Afable")</f>
        <v>Issi Afable</v>
      </c>
      <c r="K12207" s="1" t="str">
        <f>IFERROR(__xludf.DUMMYFUNCTION("""COMPUTED_VALUE"""),"High Sensitivity Support PH")</f>
        <v>High Sensitivity Support PH</v>
      </c>
      <c r="L12207" s="1" t="str">
        <f>IFERROR(__xludf.DUMMYFUNCTION("""COMPUTED_VALUE"""),"HSS High Sensitivity Support PH - SEE")</f>
        <v>HSS High Sensitivity Support PH - SEE</v>
      </c>
    </row>
    <row r="12208">
      <c r="A12208" s="1" t="str">
        <f>IFERROR(__xludf.DUMMYFUNCTION("""COMPUTED_VALUE"""),"2026 Apr")</f>
        <v>2026 Apr</v>
      </c>
      <c r="B12208" s="4">
        <f>IFERROR(__xludf.DUMMYFUNCTION("""COMPUTED_VALUE"""),46139.0)</f>
        <v>46139</v>
      </c>
      <c r="C12208" s="1" t="str">
        <f>IFERROR(__xludf.DUMMYFUNCTION("""COMPUTED_VALUE"""),"Segment-specific Support")</f>
        <v>Segment-specific Support</v>
      </c>
      <c r="D12208" s="1" t="str">
        <f>IFERROR(__xludf.DUMMYFUNCTION("""COMPUTED_VALUE"""),"3d323952-7a8c-47c6-b544-d2dc82c67c07")</f>
        <v>3d323952-7a8c-47c6-b544-d2dc82c67c07</v>
      </c>
      <c r="E12208" s="1"/>
      <c r="F12208" s="1"/>
      <c r="G12208" s="1"/>
      <c r="H12208" s="2">
        <f>IFERROR(__xludf.DUMMYFUNCTION("""COMPUTED_VALUE"""),0.0)</f>
        <v>0</v>
      </c>
      <c r="I12208" s="5"/>
      <c r="J12208" s="1" t="str">
        <f>IFERROR(__xludf.DUMMYFUNCTION("""COMPUTED_VALUE"""),"Leigh Davison")</f>
        <v>Leigh Davison</v>
      </c>
      <c r="K12208" s="1" t="str">
        <f>IFERROR(__xludf.DUMMYFUNCTION("""COMPUTED_VALUE"""),"#N/A")</f>
        <v>#N/A</v>
      </c>
      <c r="L12208" s="1"/>
    </row>
    <row r="12209">
      <c r="A12209" s="1" t="str">
        <f>IFERROR(__xludf.DUMMYFUNCTION("""COMPUTED_VALUE"""),"2026 Apr")</f>
        <v>2026 Apr</v>
      </c>
      <c r="B12209" s="4">
        <f>IFERROR(__xludf.DUMMYFUNCTION("""COMPUTED_VALUE"""),46139.0)</f>
        <v>46139</v>
      </c>
      <c r="C12209" s="1" t="str">
        <f>IFERROR(__xludf.DUMMYFUNCTION("""COMPUTED_VALUE"""),"Core Product Support")</f>
        <v>Core Product Support</v>
      </c>
      <c r="D12209" s="1" t="str">
        <f>IFERROR(__xludf.DUMMYFUNCTION("""COMPUTED_VALUE"""),"d5b38678-ef33-449e-a4d3-7a7a69f2f5cb")</f>
        <v>d5b38678-ef33-449e-a4d3-7a7a69f2f5cb</v>
      </c>
      <c r="E12209" s="1">
        <f>IFERROR(__xludf.DUMMYFUNCTION("""COMPUTED_VALUE"""),3.61857411736E11)</f>
        <v>361857411736</v>
      </c>
      <c r="F12209" s="1"/>
      <c r="G12209" s="1">
        <f>IFERROR(__xludf.DUMMYFUNCTION("""COMPUTED_VALUE"""),1.25)</f>
        <v>1.25</v>
      </c>
      <c r="H12209" s="2">
        <f>IFERROR(__xludf.DUMMYFUNCTION("""COMPUTED_VALUE"""),1.25)</f>
        <v>1.25</v>
      </c>
      <c r="I12209" s="5">
        <f>IFERROR(__xludf.DUMMYFUNCTION("""COMPUTED_VALUE"""),1.0)</f>
        <v>1</v>
      </c>
      <c r="J12209" s="1" t="str">
        <f>IFERROR(__xludf.DUMMYFUNCTION("""COMPUTED_VALUE"""),"Jahmie Mae Barrameda")</f>
        <v>Jahmie Mae Barrameda</v>
      </c>
      <c r="K12209" s="1" t="str">
        <f>IFERROR(__xludf.DUMMYFUNCTION("""COMPUTED_VALUE"""),"Advanced Billing &amp; Subscriptions")</f>
        <v>Advanced Billing &amp; Subscriptions</v>
      </c>
      <c r="L12209" s="1" t="str">
        <f>IFERROR(__xludf.DUMMYFUNCTION("""COMPUTED_VALUE"""),"CPS Advanced Billing and Subscriptions (ABS)")</f>
        <v>CPS Advanced Billing and Subscriptions (ABS)</v>
      </c>
    </row>
    <row r="12210">
      <c r="A12210" s="1" t="str">
        <f>IFERROR(__xludf.DUMMYFUNCTION("""COMPUTED_VALUE"""),"2026 Apr")</f>
        <v>2026 Apr</v>
      </c>
      <c r="B12210" s="4">
        <f>IFERROR(__xludf.DUMMYFUNCTION("""COMPUTED_VALUE"""),46139.0)</f>
        <v>46139</v>
      </c>
      <c r="C12210" s="1" t="str">
        <f>IFERROR(__xludf.DUMMYFUNCTION("""COMPUTED_VALUE"""),"Admin Support")</f>
        <v>Admin Support</v>
      </c>
      <c r="D12210" s="1" t="str">
        <f>IFERROR(__xludf.DUMMYFUNCTION("""COMPUTED_VALUE"""),"65280774-7b68-4e6a-9312-4389148cbc01")</f>
        <v>65280774-7b68-4e6a-9312-4389148cbc01</v>
      </c>
      <c r="E12210" s="1">
        <f>IFERROR(__xludf.DUMMYFUNCTION("""COMPUTED_VALUE"""),1.0548588461839E13)</f>
        <v>10548588461839</v>
      </c>
      <c r="F12210" s="1"/>
      <c r="G12210" s="1"/>
      <c r="H12210" s="2">
        <f>IFERROR(__xludf.DUMMYFUNCTION("""COMPUTED_VALUE"""),0.0)</f>
        <v>0</v>
      </c>
      <c r="I12210" s="5"/>
      <c r="J12210" s="1" t="str">
        <f>IFERROR(__xludf.DUMMYFUNCTION("""COMPUTED_VALUE"""),"Karla Mananghaya")</f>
        <v>Karla Mananghaya</v>
      </c>
      <c r="K12210" s="1" t="str">
        <f>IFERROR(__xludf.DUMMYFUNCTION("""COMPUTED_VALUE"""),"Admin Support Service Escalation Team")</f>
        <v>Admin Support Service Escalation Team</v>
      </c>
      <c r="L12210" s="1" t="str">
        <f>IFERROR(__xludf.DUMMYFUNCTION("""COMPUTED_VALUE"""),"Admin ASSET")</f>
        <v>Admin ASSET</v>
      </c>
    </row>
    <row r="12211">
      <c r="A12211" s="1" t="str">
        <f>IFERROR(__xludf.DUMMYFUNCTION("""COMPUTED_VALUE"""),"2026 Apr")</f>
        <v>2026 Apr</v>
      </c>
      <c r="B12211" s="4">
        <f>IFERROR(__xludf.DUMMYFUNCTION("""COMPUTED_VALUE"""),46139.0)</f>
        <v>46139</v>
      </c>
      <c r="C12211" s="1" t="str">
        <f>IFERROR(__xludf.DUMMYFUNCTION("""COMPUTED_VALUE"""),"Core Product Support")</f>
        <v>Core Product Support</v>
      </c>
      <c r="D12211" s="1" t="str">
        <f>IFERROR(__xludf.DUMMYFUNCTION("""COMPUTED_VALUE"""),"0a5a8f36-7865-4df1-a7d1-fdbafdddd3eb")</f>
        <v>0a5a8f36-7865-4df1-a7d1-fdbafdddd3eb</v>
      </c>
      <c r="E12211" s="1">
        <f>IFERROR(__xludf.DUMMYFUNCTION("""COMPUTED_VALUE"""),3.61731792395E11)</f>
        <v>361731792395</v>
      </c>
      <c r="F12211" s="1"/>
      <c r="G12211" s="1">
        <f>IFERROR(__xludf.DUMMYFUNCTION("""COMPUTED_VALUE"""),2.5)</f>
        <v>2.5</v>
      </c>
      <c r="H12211" s="2">
        <f>IFERROR(__xludf.DUMMYFUNCTION("""COMPUTED_VALUE"""),2.5)</f>
        <v>2.5</v>
      </c>
      <c r="I12211" s="5">
        <f>IFERROR(__xludf.DUMMYFUNCTION("""COMPUTED_VALUE"""),1.0)</f>
        <v>1</v>
      </c>
      <c r="J12211" s="1" t="str">
        <f>IFERROR(__xludf.DUMMYFUNCTION("""COMPUTED_VALUE"""),"Sieg Ballelos")</f>
        <v>Sieg Ballelos</v>
      </c>
      <c r="K12211" s="1" t="str">
        <f>IFERROR(__xludf.DUMMYFUNCTION("""COMPUTED_VALUE"""),"Core Product Support Escalation Team")</f>
        <v>Core Product Support Escalation Team</v>
      </c>
      <c r="L12211"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2212">
      <c r="A12212" s="1" t="str">
        <f>IFERROR(__xludf.DUMMYFUNCTION("""COMPUTED_VALUE"""),"2026 Apr")</f>
        <v>2026 Apr</v>
      </c>
      <c r="B12212" s="4">
        <f>IFERROR(__xludf.DUMMYFUNCTION("""COMPUTED_VALUE"""),46139.0)</f>
        <v>46139</v>
      </c>
      <c r="C12212" s="1" t="str">
        <f>IFERROR(__xludf.DUMMYFUNCTION("""COMPUTED_VALUE"""),"Core Product Support")</f>
        <v>Core Product Support</v>
      </c>
      <c r="D12212" s="1" t="str">
        <f>IFERROR(__xludf.DUMMYFUNCTION("""COMPUTED_VALUE"""),"626e971a-a1f2-466b-b3f0-fd32790eb440")</f>
        <v>626e971a-a1f2-466b-b3f0-fd32790eb440</v>
      </c>
      <c r="E12212" s="1">
        <f>IFERROR(__xludf.DUMMYFUNCTION("""COMPUTED_VALUE"""),8.904494781967E12)</f>
        <v>8904494781967</v>
      </c>
      <c r="F12212" s="1"/>
      <c r="G12212" s="1">
        <f>IFERROR(__xludf.DUMMYFUNCTION("""COMPUTED_VALUE"""),1.0)</f>
        <v>1</v>
      </c>
      <c r="H12212" s="2">
        <f>IFERROR(__xludf.DUMMYFUNCTION("""COMPUTED_VALUE"""),1.0)</f>
        <v>1</v>
      </c>
      <c r="I12212" s="5">
        <f>IFERROR(__xludf.DUMMYFUNCTION("""COMPUTED_VALUE"""),1.0)</f>
        <v>1</v>
      </c>
      <c r="J12212" s="1" t="str">
        <f>IFERROR(__xludf.DUMMYFUNCTION("""COMPUTED_VALUE"""),"Ana Lazaro")</f>
        <v>Ana Lazaro</v>
      </c>
      <c r="K12212" s="1" t="str">
        <f>IFERROR(__xludf.DUMMYFUNCTION("""COMPUTED_VALUE"""),"Advanced Billing &amp; Subscriptions")</f>
        <v>Advanced Billing &amp; Subscriptions</v>
      </c>
      <c r="L12212" s="1" t="str">
        <f>IFERROR(__xludf.DUMMYFUNCTION("""COMPUTED_VALUE"""),"CPS Advanced Billing and Subscriptions (ABS)")</f>
        <v>CPS Advanced Billing and Subscriptions (ABS)</v>
      </c>
    </row>
    <row r="12213">
      <c r="A12213" s="1" t="str">
        <f>IFERROR(__xludf.DUMMYFUNCTION("""COMPUTED_VALUE"""),"2026 Apr")</f>
        <v>2026 Apr</v>
      </c>
      <c r="B12213" s="4">
        <f>IFERROR(__xludf.DUMMYFUNCTION("""COMPUTED_VALUE"""),46139.0)</f>
        <v>46139</v>
      </c>
      <c r="C12213" s="1" t="str">
        <f>IFERROR(__xludf.DUMMYFUNCTION("""COMPUTED_VALUE"""),"Segment-specific Support")</f>
        <v>Segment-specific Support</v>
      </c>
      <c r="D12213" s="1" t="str">
        <f>IFERROR(__xludf.DUMMYFUNCTION("""COMPUTED_VALUE"""),"238df195-1311-420b-9bfc-80204048a0d0")</f>
        <v>238df195-1311-420b-9bfc-80204048a0d0</v>
      </c>
      <c r="E12213" s="1">
        <f>IFERROR(__xludf.DUMMYFUNCTION("""COMPUTED_VALUE"""),1.0548626062351E13)</f>
        <v>10548626062351</v>
      </c>
      <c r="F12213" s="1"/>
      <c r="G12213" s="1"/>
      <c r="H12213" s="2">
        <f>IFERROR(__xludf.DUMMYFUNCTION("""COMPUTED_VALUE"""),0.0)</f>
        <v>0</v>
      </c>
      <c r="I12213" s="5"/>
      <c r="J12213" s="1" t="str">
        <f>IFERROR(__xludf.DUMMYFUNCTION("""COMPUTED_VALUE"""),"Rose Gabilan")</f>
        <v>Rose Gabilan</v>
      </c>
      <c r="K12213" s="1" t="str">
        <f>IFERROR(__xludf.DUMMYFUNCTION("""COMPUTED_VALUE"""),"Affinity Support")</f>
        <v>Affinity Support</v>
      </c>
      <c r="L12213" s="1" t="str">
        <f>IFERROR(__xludf.DUMMYFUNCTION("""COMPUTED_VALUE"""),"SSS Affinity - L1")</f>
        <v>SSS Affinity - L1</v>
      </c>
    </row>
    <row r="12214">
      <c r="A12214" s="1" t="str">
        <f>IFERROR(__xludf.DUMMYFUNCTION("""COMPUTED_VALUE"""),"2026 Apr")</f>
        <v>2026 Apr</v>
      </c>
      <c r="B12214" s="4">
        <f>IFERROR(__xludf.DUMMYFUNCTION("""COMPUTED_VALUE"""),46139.0)</f>
        <v>46139</v>
      </c>
      <c r="C12214" s="1" t="str">
        <f>IFERROR(__xludf.DUMMYFUNCTION("""COMPUTED_VALUE"""),"Admin Support")</f>
        <v>Admin Support</v>
      </c>
      <c r="D12214" s="1" t="str">
        <f>IFERROR(__xludf.DUMMYFUNCTION("""COMPUTED_VALUE"""),"4790af32-fa25-48b3-bdc4-76770b6ef929")</f>
        <v>4790af32-fa25-48b3-bdc4-76770b6ef929</v>
      </c>
      <c r="E12214" s="1">
        <f>IFERROR(__xludf.DUMMYFUNCTION("""COMPUTED_VALUE"""),9.107735174799E12)</f>
        <v>9107735174799</v>
      </c>
      <c r="F12214" s="1"/>
      <c r="G12214" s="1">
        <f>IFERROR(__xludf.DUMMYFUNCTION("""COMPUTED_VALUE"""),1.25)</f>
        <v>1.25</v>
      </c>
      <c r="H12214" s="2">
        <f>IFERROR(__xludf.DUMMYFUNCTION("""COMPUTED_VALUE"""),1.25)</f>
        <v>1.25</v>
      </c>
      <c r="I12214" s="5">
        <f>IFERROR(__xludf.DUMMYFUNCTION("""COMPUTED_VALUE"""),1.0)</f>
        <v>1</v>
      </c>
      <c r="J12214" s="1" t="str">
        <f>IFERROR(__xludf.DUMMYFUNCTION("""COMPUTED_VALUE"""),"Pau Palmero")</f>
        <v>Pau Palmero</v>
      </c>
      <c r="K12214" s="1" t="str">
        <f>IFERROR(__xludf.DUMMYFUNCTION("""COMPUTED_VALUE"""),"Admin Omni Support")</f>
        <v>Admin Omni Support</v>
      </c>
      <c r="L12214" s="1" t="str">
        <f>IFERROR(__xludf.DUMMYFUNCTION("""COMPUTED_VALUE"""),"Admin Omni Support")</f>
        <v>Admin Omni Support</v>
      </c>
    </row>
    <row r="12215">
      <c r="A12215" s="1" t="str">
        <f>IFERROR(__xludf.DUMMYFUNCTION("""COMPUTED_VALUE"""),"2026 Apr")</f>
        <v>2026 Apr</v>
      </c>
      <c r="B12215" s="4">
        <f>IFERROR(__xludf.DUMMYFUNCTION("""COMPUTED_VALUE"""),46139.0)</f>
        <v>46139</v>
      </c>
      <c r="C12215" s="1" t="str">
        <f>IFERROR(__xludf.DUMMYFUNCTION("""COMPUTED_VALUE"""),"Multilingual Support")</f>
        <v>Multilingual Support</v>
      </c>
      <c r="D12215" s="1" t="str">
        <f>IFERROR(__xludf.DUMMYFUNCTION("""COMPUTED_VALUE"""),"c4abd336-8a5c-43a4-942f-2d3f5b2e85fd")</f>
        <v>c4abd336-8a5c-43a4-942f-2d3f5b2e85fd</v>
      </c>
      <c r="E12215" s="1">
        <f>IFERROR(__xludf.DUMMYFUNCTION("""COMPUTED_VALUE"""),6.936778850319E12)</f>
        <v>6936778850319</v>
      </c>
      <c r="F12215" s="1"/>
      <c r="G12215" s="1"/>
      <c r="H12215" s="2">
        <f>IFERROR(__xludf.DUMMYFUNCTION("""COMPUTED_VALUE"""),0.0)</f>
        <v>0</v>
      </c>
      <c r="I12215" s="5"/>
      <c r="J12215" s="1" t="str">
        <f>IFERROR(__xludf.DUMMYFUNCTION("""COMPUTED_VALUE"""),"Arlene Maurillo")</f>
        <v>Arlene Maurillo</v>
      </c>
      <c r="K12215" s="1" t="str">
        <f>IFERROR(__xludf.DUMMYFUNCTION("""COMPUTED_VALUE"""),"PHL, Multilingual Support")</f>
        <v>PHL, Multilingual Support</v>
      </c>
      <c r="L12215" s="1" t="str">
        <f>IFERROR(__xludf.DUMMYFUNCTION("""COMPUTED_VALUE"""),"ML Japanese Support")</f>
        <v>ML Japanese Support</v>
      </c>
    </row>
    <row r="12216">
      <c r="A12216" s="1" t="str">
        <f>IFERROR(__xludf.DUMMYFUNCTION("""COMPUTED_VALUE"""),"2026 Apr")</f>
        <v>2026 Apr</v>
      </c>
      <c r="B12216" s="4">
        <f>IFERROR(__xludf.DUMMYFUNCTION("""COMPUTED_VALUE"""),46139.0)</f>
        <v>46139</v>
      </c>
      <c r="C12216" s="1" t="str">
        <f>IFERROR(__xludf.DUMMYFUNCTION("""COMPUTED_VALUE"""),"Core Product Support")</f>
        <v>Core Product Support</v>
      </c>
      <c r="D12216" s="1" t="str">
        <f>IFERROR(__xludf.DUMMYFUNCTION("""COMPUTED_VALUE"""),"99085273-2cc4-4932-aad9-eac22f3b9709")</f>
        <v>99085273-2cc4-4932-aad9-eac22f3b9709</v>
      </c>
      <c r="E12216" s="1">
        <f>IFERROR(__xludf.DUMMYFUNCTION("""COMPUTED_VALUE"""),3.61732054935E11)</f>
        <v>361732054935</v>
      </c>
      <c r="F12216" s="1"/>
      <c r="G12216" s="1">
        <f>IFERROR(__xludf.DUMMYFUNCTION("""COMPUTED_VALUE"""),1.0)</f>
        <v>1</v>
      </c>
      <c r="H12216" s="2">
        <f>IFERROR(__xludf.DUMMYFUNCTION("""COMPUTED_VALUE"""),1.0)</f>
        <v>1</v>
      </c>
      <c r="I12216" s="5">
        <f>IFERROR(__xludf.DUMMYFUNCTION("""COMPUTED_VALUE"""),1.0)</f>
        <v>1</v>
      </c>
      <c r="J12216" s="1" t="str">
        <f>IFERROR(__xludf.DUMMYFUNCTION("""COMPUTED_VALUE"""),"Jem Mondoñedo")</f>
        <v>Jem Mondoñedo</v>
      </c>
      <c r="K12216" s="1" t="str">
        <f>IFERROR(__xludf.DUMMYFUNCTION("""COMPUTED_VALUE"""),"Advanced Billing &amp; Subscriptions")</f>
        <v>Advanced Billing &amp; Subscriptions</v>
      </c>
      <c r="L12216" s="1" t="str">
        <f>IFERROR(__xludf.DUMMYFUNCTION("""COMPUTED_VALUE"""),"CPS Advanced Billing and Subscriptions (ABS)")</f>
        <v>CPS Advanced Billing and Subscriptions (ABS)</v>
      </c>
    </row>
    <row r="12217">
      <c r="A12217" s="1" t="str">
        <f>IFERROR(__xludf.DUMMYFUNCTION("""COMPUTED_VALUE"""),"2026 Apr")</f>
        <v>2026 Apr</v>
      </c>
      <c r="B12217" s="4">
        <f>IFERROR(__xludf.DUMMYFUNCTION("""COMPUTED_VALUE"""),46139.0)</f>
        <v>46139</v>
      </c>
      <c r="C12217" s="1" t="str">
        <f>IFERROR(__xludf.DUMMYFUNCTION("""COMPUTED_VALUE"""),"Admin Support")</f>
        <v>Admin Support</v>
      </c>
      <c r="D12217" s="1" t="str">
        <f>IFERROR(__xludf.DUMMYFUNCTION("""COMPUTED_VALUE"""),"c4296942-0752-4ab1-a016-50f83ec4677d")</f>
        <v>c4296942-0752-4ab1-a016-50f83ec4677d</v>
      </c>
      <c r="E12217" s="1">
        <f>IFERROR(__xludf.DUMMYFUNCTION("""COMPUTED_VALUE"""),3.61732055015E11)</f>
        <v>361732055015</v>
      </c>
      <c r="F12217" s="1"/>
      <c r="G12217" s="1">
        <f>IFERROR(__xludf.DUMMYFUNCTION("""COMPUTED_VALUE"""),0.25)</f>
        <v>0.25</v>
      </c>
      <c r="H12217" s="2">
        <f>IFERROR(__xludf.DUMMYFUNCTION("""COMPUTED_VALUE"""),0.25)</f>
        <v>0.25</v>
      </c>
      <c r="I12217" s="5">
        <f>IFERROR(__xludf.DUMMYFUNCTION("""COMPUTED_VALUE"""),1.0)</f>
        <v>1</v>
      </c>
      <c r="J12217" s="1" t="str">
        <f>IFERROR(__xludf.DUMMYFUNCTION("""COMPUTED_VALUE"""),"AL Suarez")</f>
        <v>AL Suarez</v>
      </c>
      <c r="K12217" s="1" t="str">
        <f>IFERROR(__xludf.DUMMYFUNCTION("""COMPUTED_VALUE"""),"Admin Direct Support")</f>
        <v>Admin Direct Support</v>
      </c>
      <c r="L12217" s="1" t="str">
        <f>IFERROR(__xludf.DUMMYFUNCTION("""COMPUTED_VALUE"""),"Admin Direct Support")</f>
        <v>Admin Direct Support</v>
      </c>
    </row>
    <row r="12218">
      <c r="A12218" s="1" t="str">
        <f>IFERROR(__xludf.DUMMYFUNCTION("""COMPUTED_VALUE"""),"2026 Apr")</f>
        <v>2026 Apr</v>
      </c>
      <c r="B12218" s="4">
        <f>IFERROR(__xludf.DUMMYFUNCTION("""COMPUTED_VALUE"""),46139.0)</f>
        <v>46139</v>
      </c>
      <c r="C12218" s="1" t="str">
        <f>IFERROR(__xludf.DUMMYFUNCTION("""COMPUTED_VALUE"""),"Print Support")</f>
        <v>Print Support</v>
      </c>
      <c r="D12218" s="1" t="str">
        <f>IFERROR(__xludf.DUMMYFUNCTION("""COMPUTED_VALUE"""),"e612249c-8f64-415b-befe-bb7e6027b43c")</f>
        <v>e612249c-8f64-415b-befe-bb7e6027b43c</v>
      </c>
      <c r="E12218" s="1">
        <f>IFERROR(__xludf.DUMMYFUNCTION("""COMPUTED_VALUE"""),1.3475806334735E13)</f>
        <v>13475806334735</v>
      </c>
      <c r="F12218" s="1"/>
      <c r="G12218" s="1"/>
      <c r="H12218" s="2">
        <f>IFERROR(__xludf.DUMMYFUNCTION("""COMPUTED_VALUE"""),0.0)</f>
        <v>0</v>
      </c>
      <c r="I12218" s="5"/>
      <c r="J12218" s="1" t="str">
        <f>IFERROR(__xludf.DUMMYFUNCTION("""COMPUTED_VALUE"""),"Rei De Jesus")</f>
        <v>Rei De Jesus</v>
      </c>
      <c r="K12218" s="1" t="str">
        <f>IFERROR(__xludf.DUMMYFUNCTION("""COMPUTED_VALUE"""),"Print Design Support")</f>
        <v>Print Design Support</v>
      </c>
      <c r="L12218" s="1" t="str">
        <f>IFERROR(__xludf.DUMMYFUNCTION("""COMPUTED_VALUE"""),"Print Print Design")</f>
        <v>Print Print Design</v>
      </c>
    </row>
    <row r="12219">
      <c r="A12219" s="1" t="str">
        <f>IFERROR(__xludf.DUMMYFUNCTION("""COMPUTED_VALUE"""),"2026 Apr")</f>
        <v>2026 Apr</v>
      </c>
      <c r="B12219" s="4">
        <f>IFERROR(__xludf.DUMMYFUNCTION("""COMPUTED_VALUE"""),46139.0)</f>
        <v>46139</v>
      </c>
      <c r="C12219" s="1" t="str">
        <f>IFERROR(__xludf.DUMMYFUNCTION("""COMPUTED_VALUE"""),"Core Product Support")</f>
        <v>Core Product Support</v>
      </c>
      <c r="D12219" s="1" t="str">
        <f>IFERROR(__xludf.DUMMYFUNCTION("""COMPUTED_VALUE"""),"3623161b-ff5b-4aee-8826-3d6522587a06")</f>
        <v>3623161b-ff5b-4aee-8826-3d6522587a06</v>
      </c>
      <c r="E12219" s="1"/>
      <c r="F12219" s="1"/>
      <c r="G12219" s="1">
        <f>IFERROR(__xludf.DUMMYFUNCTION("""COMPUTED_VALUE"""),1.25)</f>
        <v>1.25</v>
      </c>
      <c r="H12219" s="2">
        <f>IFERROR(__xludf.DUMMYFUNCTION("""COMPUTED_VALUE"""),1.25)</f>
        <v>1.25</v>
      </c>
      <c r="I12219" s="5">
        <f>IFERROR(__xludf.DUMMYFUNCTION("""COMPUTED_VALUE"""),1.0)</f>
        <v>1</v>
      </c>
      <c r="J12219" s="1" t="str">
        <f>IFERROR(__xludf.DUMMYFUNCTION("""COMPUTED_VALUE"""),"Cherry Macam")</f>
        <v>Cherry Macam</v>
      </c>
      <c r="K12219" s="1" t="str">
        <f>IFERROR(__xludf.DUMMYFUNCTION("""COMPUTED_VALUE"""),"Advanced Billing &amp; Subscriptions")</f>
        <v>Advanced Billing &amp; Subscriptions</v>
      </c>
      <c r="L12219" s="1" t="str">
        <f>IFERROR(__xludf.DUMMYFUNCTION("""COMPUTED_VALUE"""),"CPS Advanced Billing and Subscriptions (ABS)")</f>
        <v>CPS Advanced Billing and Subscriptions (ABS)</v>
      </c>
    </row>
    <row r="12220">
      <c r="A12220" s="1" t="str">
        <f>IFERROR(__xludf.DUMMYFUNCTION("""COMPUTED_VALUE"""),"2026 Apr")</f>
        <v>2026 Apr</v>
      </c>
      <c r="B12220" s="4">
        <f>IFERROR(__xludf.DUMMYFUNCTION("""COMPUTED_VALUE"""),46139.0)</f>
        <v>46139</v>
      </c>
      <c r="C12220" s="1" t="str">
        <f>IFERROR(__xludf.DUMMYFUNCTION("""COMPUTED_VALUE"""),"Admin Support")</f>
        <v>Admin Support</v>
      </c>
      <c r="D12220" s="1" t="str">
        <f>IFERROR(__xludf.DUMMYFUNCTION("""COMPUTED_VALUE"""),"ae4ace4e-6cd8-4a8d-bb18-10768406ce5b")</f>
        <v>ae4ace4e-6cd8-4a8d-bb18-10768406ce5b</v>
      </c>
      <c r="E12220" s="1">
        <f>IFERROR(__xludf.DUMMYFUNCTION("""COMPUTED_VALUE"""),3.61725374736E11)</f>
        <v>361725374736</v>
      </c>
      <c r="F12220" s="1"/>
      <c r="G12220" s="1">
        <f>IFERROR(__xludf.DUMMYFUNCTION("""COMPUTED_VALUE"""),0.25)</f>
        <v>0.25</v>
      </c>
      <c r="H12220" s="2">
        <f>IFERROR(__xludf.DUMMYFUNCTION("""COMPUTED_VALUE"""),0.25)</f>
        <v>0.25</v>
      </c>
      <c r="I12220" s="5">
        <f>IFERROR(__xludf.DUMMYFUNCTION("""COMPUTED_VALUE"""),1.0)</f>
        <v>1</v>
      </c>
      <c r="J12220" s="1" t="str">
        <f>IFERROR(__xludf.DUMMYFUNCTION("""COMPUTED_VALUE"""),"Pau Palmero")</f>
        <v>Pau Palmero</v>
      </c>
      <c r="K12220" s="1" t="str">
        <f>IFERROR(__xludf.DUMMYFUNCTION("""COMPUTED_VALUE"""),"Admin Omni Support")</f>
        <v>Admin Omni Support</v>
      </c>
      <c r="L12220" s="1" t="str">
        <f>IFERROR(__xludf.DUMMYFUNCTION("""COMPUTED_VALUE"""),"Admin Omni Support")</f>
        <v>Admin Omni Support</v>
      </c>
    </row>
    <row r="12221">
      <c r="A12221" s="1" t="str">
        <f>IFERROR(__xludf.DUMMYFUNCTION("""COMPUTED_VALUE"""),"2026 Apr")</f>
        <v>2026 Apr</v>
      </c>
      <c r="B12221" s="4">
        <f>IFERROR(__xludf.DUMMYFUNCTION("""COMPUTED_VALUE"""),46139.0)</f>
        <v>46139</v>
      </c>
      <c r="C12221" s="1" t="str">
        <f>IFERROR(__xludf.DUMMYFUNCTION("""COMPUTED_VALUE"""),"Print Support")</f>
        <v>Print Support</v>
      </c>
      <c r="D12221" s="1" t="str">
        <f>IFERROR(__xludf.DUMMYFUNCTION("""COMPUTED_VALUE"""),"099dd243-b724-478e-9692-79686402a18c")</f>
        <v>099dd243-b724-478e-9692-79686402a18c</v>
      </c>
      <c r="E12221" s="1">
        <f>IFERROR(__xludf.DUMMYFUNCTION("""COMPUTED_VALUE"""),3.61731348935E11)</f>
        <v>361731348935</v>
      </c>
      <c r="F12221" s="1"/>
      <c r="G12221" s="1"/>
      <c r="H12221" s="2">
        <f>IFERROR(__xludf.DUMMYFUNCTION("""COMPUTED_VALUE"""),0.0)</f>
        <v>0</v>
      </c>
      <c r="I12221" s="5"/>
      <c r="J12221" s="1" t="str">
        <f>IFERROR(__xludf.DUMMYFUNCTION("""COMPUTED_VALUE"""),"Memae Faustino")</f>
        <v>Memae Faustino</v>
      </c>
      <c r="K12221" s="1" t="str">
        <f>IFERROR(__xludf.DUMMYFUNCTION("""COMPUTED_VALUE"""),"Print Support PH")</f>
        <v>Print Support PH</v>
      </c>
      <c r="L12221" s="1" t="str">
        <f>IFERROR(__xludf.DUMMYFUNCTION("""COMPUTED_VALUE"""),"Print Print - SEE")</f>
        <v>Print Print - SEE</v>
      </c>
    </row>
    <row r="12222">
      <c r="A12222" s="1" t="str">
        <f>IFERROR(__xludf.DUMMYFUNCTION("""COMPUTED_VALUE"""),"2026 Apr")</f>
        <v>2026 Apr</v>
      </c>
      <c r="B12222" s="4">
        <f>IFERROR(__xludf.DUMMYFUNCTION("""COMPUTED_VALUE"""),46139.0)</f>
        <v>46139</v>
      </c>
      <c r="C12222" s="1" t="str">
        <f>IFERROR(__xludf.DUMMYFUNCTION("""COMPUTED_VALUE"""),"Multilingual Support")</f>
        <v>Multilingual Support</v>
      </c>
      <c r="D12222" s="1" t="str">
        <f>IFERROR(__xludf.DUMMYFUNCTION("""COMPUTED_VALUE"""),"65e111e9-ab12-453f-afa3-155200027cc6")</f>
        <v>65e111e9-ab12-453f-afa3-155200027cc6</v>
      </c>
      <c r="E12222" s="1">
        <f>IFERROR(__xludf.DUMMYFUNCTION("""COMPUTED_VALUE"""),6.392444639375E12)</f>
        <v>6392444639375</v>
      </c>
      <c r="F12222" s="1"/>
      <c r="G12222" s="1"/>
      <c r="H12222" s="2">
        <f>IFERROR(__xludf.DUMMYFUNCTION("""COMPUTED_VALUE"""),0.0)</f>
        <v>0</v>
      </c>
      <c r="I12222" s="5"/>
      <c r="J12222" s="1" t="str">
        <f>IFERROR(__xludf.DUMMYFUNCTION("""COMPUTED_VALUE"""),"Arlene Maurillo")</f>
        <v>Arlene Maurillo</v>
      </c>
      <c r="K12222" s="1" t="str">
        <f>IFERROR(__xludf.DUMMYFUNCTION("""COMPUTED_VALUE"""),"PHL, Multilingual Support")</f>
        <v>PHL, Multilingual Support</v>
      </c>
      <c r="L12222" s="1" t="str">
        <f>IFERROR(__xludf.DUMMYFUNCTION("""COMPUTED_VALUE"""),"ML Portuguese Support")</f>
        <v>ML Portuguese Support</v>
      </c>
    </row>
    <row r="12223">
      <c r="A12223" s="1" t="str">
        <f>IFERROR(__xludf.DUMMYFUNCTION("""COMPUTED_VALUE"""),"2026 Apr")</f>
        <v>2026 Apr</v>
      </c>
      <c r="B12223" s="4">
        <f>IFERROR(__xludf.DUMMYFUNCTION("""COMPUTED_VALUE"""),46139.0)</f>
        <v>46139</v>
      </c>
      <c r="C12223" s="1" t="str">
        <f>IFERROR(__xludf.DUMMYFUNCTION("""COMPUTED_VALUE"""),"Print Support")</f>
        <v>Print Support</v>
      </c>
      <c r="D12223" s="1" t="str">
        <f>IFERROR(__xludf.DUMMYFUNCTION("""COMPUTED_VALUE"""),"1d59ca6e-6219-4532-99a2-f499de8a1287")</f>
        <v>1d59ca6e-6219-4532-99a2-f499de8a1287</v>
      </c>
      <c r="E12223" s="1"/>
      <c r="F12223" s="1"/>
      <c r="G12223" s="1"/>
      <c r="H12223" s="2">
        <f>IFERROR(__xludf.DUMMYFUNCTION("""COMPUTED_VALUE"""),0.0)</f>
        <v>0</v>
      </c>
      <c r="I12223" s="5"/>
      <c r="J12223" s="1" t="str">
        <f>IFERROR(__xludf.DUMMYFUNCTION("""COMPUTED_VALUE"""),"Aliza Dote")</f>
        <v>Aliza Dote</v>
      </c>
      <c r="K12223" s="1" t="str">
        <f>IFERROR(__xludf.DUMMYFUNCTION("""COMPUTED_VALUE"""),"Print Design Support")</f>
        <v>Print Design Support</v>
      </c>
      <c r="L12223" s="1" t="str">
        <f>IFERROR(__xludf.DUMMYFUNCTION("""COMPUTED_VALUE"""),"Print Print Design")</f>
        <v>Print Print Design</v>
      </c>
    </row>
    <row r="12224">
      <c r="A12224" s="1" t="str">
        <f>IFERROR(__xludf.DUMMYFUNCTION("""COMPUTED_VALUE"""),"2026 Apr")</f>
        <v>2026 Apr</v>
      </c>
      <c r="B12224" s="4">
        <f>IFERROR(__xludf.DUMMYFUNCTION("""COMPUTED_VALUE"""),46139.0)</f>
        <v>46139</v>
      </c>
      <c r="C12224" s="1" t="str">
        <f>IFERROR(__xludf.DUMMYFUNCTION("""COMPUTED_VALUE"""),"Print Support")</f>
        <v>Print Support</v>
      </c>
      <c r="D12224" s="1" t="str">
        <f>IFERROR(__xludf.DUMMYFUNCTION("""COMPUTED_VALUE"""),"3eea6a70-1d1f-4def-93fa-d9de190c7fd7")</f>
        <v>3eea6a70-1d1f-4def-93fa-d9de190c7fd7</v>
      </c>
      <c r="E12224" s="1">
        <f>IFERROR(__xludf.DUMMYFUNCTION("""COMPUTED_VALUE"""),3.61726424736E11)</f>
        <v>361726424736</v>
      </c>
      <c r="F12224" s="1"/>
      <c r="G12224" s="1"/>
      <c r="H12224" s="2">
        <f>IFERROR(__xludf.DUMMYFUNCTION("""COMPUTED_VALUE"""),0.0)</f>
        <v>0</v>
      </c>
      <c r="I12224" s="5"/>
      <c r="J12224" s="1" t="str">
        <f>IFERROR(__xludf.DUMMYFUNCTION("""COMPUTED_VALUE"""),"Memae Faustino")</f>
        <v>Memae Faustino</v>
      </c>
      <c r="K12224" s="1" t="str">
        <f>IFERROR(__xludf.DUMMYFUNCTION("""COMPUTED_VALUE"""),"Print Support PH")</f>
        <v>Print Support PH</v>
      </c>
      <c r="L12224" s="1" t="str">
        <f>IFERROR(__xludf.DUMMYFUNCTION("""COMPUTED_VALUE"""),"Print Print - SEE")</f>
        <v>Print Print - SEE</v>
      </c>
    </row>
    <row r="12225">
      <c r="A12225" s="1" t="str">
        <f>IFERROR(__xludf.DUMMYFUNCTION("""COMPUTED_VALUE"""),"2026 Apr")</f>
        <v>2026 Apr</v>
      </c>
      <c r="B12225" s="4">
        <f>IFERROR(__xludf.DUMMYFUNCTION("""COMPUTED_VALUE"""),46139.0)</f>
        <v>46139</v>
      </c>
      <c r="C12225" s="1" t="str">
        <f>IFERROR(__xludf.DUMMYFUNCTION("""COMPUTED_VALUE"""),"High Sensitivity Support")</f>
        <v>High Sensitivity Support</v>
      </c>
      <c r="D12225" s="1" t="str">
        <f>IFERROR(__xludf.DUMMYFUNCTION("""COMPUTED_VALUE"""),"10c46fa3-c076-41b6-9aad-4ec7c4a07294")</f>
        <v>10c46fa3-c076-41b6-9aad-4ec7c4a07294</v>
      </c>
      <c r="E12225" s="1">
        <f>IFERROR(__xludf.DUMMYFUNCTION("""COMPUTED_VALUE"""),7.235815910671E12)</f>
        <v>7235815910671</v>
      </c>
      <c r="F12225" s="1"/>
      <c r="G12225" s="1"/>
      <c r="H12225" s="2">
        <f>IFERROR(__xludf.DUMMYFUNCTION("""COMPUTED_VALUE"""),0.0)</f>
        <v>0</v>
      </c>
      <c r="I12225" s="5"/>
      <c r="J12225" s="1" t="str">
        <f>IFERROR(__xludf.DUMMYFUNCTION("""COMPUTED_VALUE"""),"Xandy Azarcon")</f>
        <v>Xandy Azarcon</v>
      </c>
      <c r="K12225" s="1" t="str">
        <f>IFERROR(__xludf.DUMMYFUNCTION("""COMPUTED_VALUE"""),"High Sensitivity Support PH")</f>
        <v>High Sensitivity Support PH</v>
      </c>
      <c r="L12225" s="1" t="str">
        <f>IFERROR(__xludf.DUMMYFUNCTION("""COMPUTED_VALUE"""),"HSS High Sensitivity Support PH - CHT")</f>
        <v>HSS High Sensitivity Support PH - CHT</v>
      </c>
    </row>
    <row r="12226">
      <c r="A12226" s="1" t="str">
        <f>IFERROR(__xludf.DUMMYFUNCTION("""COMPUTED_VALUE"""),"2026 Apr")</f>
        <v>2026 Apr</v>
      </c>
      <c r="B12226" s="4">
        <f>IFERROR(__xludf.DUMMYFUNCTION("""COMPUTED_VALUE"""),46139.0)</f>
        <v>46139</v>
      </c>
      <c r="C12226" s="1" t="str">
        <f>IFERROR(__xludf.DUMMYFUNCTION("""COMPUTED_VALUE"""),"Segment-specific Support")</f>
        <v>Segment-specific Support</v>
      </c>
      <c r="D12226" s="1" t="str">
        <f>IFERROR(__xludf.DUMMYFUNCTION("""COMPUTED_VALUE"""),"1140418d-c28b-42e8-83aa-3a112ddc96f7")</f>
        <v>1140418d-c28b-42e8-83aa-3a112ddc96f7</v>
      </c>
      <c r="E12226" s="1"/>
      <c r="F12226" s="1"/>
      <c r="G12226" s="1"/>
      <c r="H12226" s="2">
        <f>IFERROR(__xludf.DUMMYFUNCTION("""COMPUTED_VALUE"""),0.0)</f>
        <v>0</v>
      </c>
      <c r="I12226" s="5"/>
      <c r="J12226" s="1" t="str">
        <f>IFERROR(__xludf.DUMMYFUNCTION("""COMPUTED_VALUE"""),"Leigh Davison")</f>
        <v>Leigh Davison</v>
      </c>
      <c r="K12226" s="1" t="str">
        <f>IFERROR(__xludf.DUMMYFUNCTION("""COMPUTED_VALUE"""),"#N/A")</f>
        <v>#N/A</v>
      </c>
      <c r="L12226" s="1"/>
    </row>
    <row r="12227">
      <c r="A12227" s="1" t="str">
        <f>IFERROR(__xludf.DUMMYFUNCTION("""COMPUTED_VALUE"""),"2026 Apr")</f>
        <v>2026 Apr</v>
      </c>
      <c r="B12227" s="4">
        <f>IFERROR(__xludf.DUMMYFUNCTION("""COMPUTED_VALUE"""),46139.0)</f>
        <v>46139</v>
      </c>
      <c r="C12227" s="1" t="str">
        <f>IFERROR(__xludf.DUMMYFUNCTION("""COMPUTED_VALUE"""),"Core Product Support")</f>
        <v>Core Product Support</v>
      </c>
      <c r="D12227" s="1" t="str">
        <f>IFERROR(__xludf.DUMMYFUNCTION("""COMPUTED_VALUE"""),"cf4102e5-f522-43ac-bf51-15cc96666fde")</f>
        <v>cf4102e5-f522-43ac-bf51-15cc96666fde</v>
      </c>
      <c r="E12227" s="1"/>
      <c r="F12227" s="1"/>
      <c r="G12227" s="1">
        <f>IFERROR(__xludf.DUMMYFUNCTION("""COMPUTED_VALUE"""),1.25)</f>
        <v>1.25</v>
      </c>
      <c r="H12227" s="2">
        <f>IFERROR(__xludf.DUMMYFUNCTION("""COMPUTED_VALUE"""),1.25)</f>
        <v>1.25</v>
      </c>
      <c r="I12227" s="5">
        <f>IFERROR(__xludf.DUMMYFUNCTION("""COMPUTED_VALUE"""),1.0)</f>
        <v>1</v>
      </c>
      <c r="J12227" s="1" t="str">
        <f>IFERROR(__xludf.DUMMYFUNCTION("""COMPUTED_VALUE"""),"Mikhaela Decangchon")</f>
        <v>Mikhaela Decangchon</v>
      </c>
      <c r="K12227" s="1" t="str">
        <f>IFERROR(__xludf.DUMMYFUNCTION("""COMPUTED_VALUE"""),"Advanced Product Support")</f>
        <v>Advanced Product Support</v>
      </c>
      <c r="L12227" s="1" t="str">
        <f>IFERROR(__xludf.DUMMYFUNCTION("""COMPUTED_VALUE"""),"CPS Advanced Product Support (APS)")</f>
        <v>CPS Advanced Product Support (APS)</v>
      </c>
    </row>
    <row r="12228">
      <c r="A12228" s="1" t="str">
        <f>IFERROR(__xludf.DUMMYFUNCTION("""COMPUTED_VALUE"""),"2026 Apr")</f>
        <v>2026 Apr</v>
      </c>
      <c r="B12228" s="4">
        <f>IFERROR(__xludf.DUMMYFUNCTION("""COMPUTED_VALUE"""),46139.0)</f>
        <v>46139</v>
      </c>
      <c r="C12228" s="1" t="str">
        <f>IFERROR(__xludf.DUMMYFUNCTION("""COMPUTED_VALUE"""),"Core Product Support")</f>
        <v>Core Product Support</v>
      </c>
      <c r="D12228" s="1" t="str">
        <f>IFERROR(__xludf.DUMMYFUNCTION("""COMPUTED_VALUE"""),"b0e1557c-d0d9-4265-a67b-f94aae240d24")</f>
        <v>b0e1557c-d0d9-4265-a67b-f94aae240d24</v>
      </c>
      <c r="E12228" s="1">
        <f>IFERROR(__xludf.DUMMYFUNCTION("""COMPUTED_VALUE"""),8.519267619343E12)</f>
        <v>8519267619343</v>
      </c>
      <c r="F12228" s="1"/>
      <c r="G12228" s="1">
        <f>IFERROR(__xludf.DUMMYFUNCTION("""COMPUTED_VALUE"""),1.25)</f>
        <v>1.25</v>
      </c>
      <c r="H12228" s="2">
        <f>IFERROR(__xludf.DUMMYFUNCTION("""COMPUTED_VALUE"""),1.25)</f>
        <v>1.25</v>
      </c>
      <c r="I12228" s="5">
        <f>IFERROR(__xludf.DUMMYFUNCTION("""COMPUTED_VALUE"""),1.0)</f>
        <v>1</v>
      </c>
      <c r="J12228" s="1" t="str">
        <f>IFERROR(__xludf.DUMMYFUNCTION("""COMPUTED_VALUE"""),"Jahmie Mae Barrameda")</f>
        <v>Jahmie Mae Barrameda</v>
      </c>
      <c r="K12228" s="1" t="str">
        <f>IFERROR(__xludf.DUMMYFUNCTION("""COMPUTED_VALUE"""),"Advanced Billing &amp; Subscriptions")</f>
        <v>Advanced Billing &amp; Subscriptions</v>
      </c>
      <c r="L12228" s="1" t="str">
        <f>IFERROR(__xludf.DUMMYFUNCTION("""COMPUTED_VALUE"""),"CPS Advanced Billing and Subscriptions (ABS)")</f>
        <v>CPS Advanced Billing and Subscriptions (ABS)</v>
      </c>
    </row>
    <row r="12229">
      <c r="A12229" s="1" t="str">
        <f>IFERROR(__xludf.DUMMYFUNCTION("""COMPUTED_VALUE"""),"2026 Apr")</f>
        <v>2026 Apr</v>
      </c>
      <c r="B12229" s="4">
        <f>IFERROR(__xludf.DUMMYFUNCTION("""COMPUTED_VALUE"""),46139.0)</f>
        <v>46139</v>
      </c>
      <c r="C12229" s="1" t="str">
        <f>IFERROR(__xludf.DUMMYFUNCTION("""COMPUTED_VALUE"""),"Core Product Support")</f>
        <v>Core Product Support</v>
      </c>
      <c r="D12229" s="1" t="str">
        <f>IFERROR(__xludf.DUMMYFUNCTION("""COMPUTED_VALUE"""),"042e5ee4-7da0-42f9-92d0-d66496630cb9")</f>
        <v>042e5ee4-7da0-42f9-92d0-d66496630cb9</v>
      </c>
      <c r="E12229" s="1">
        <f>IFERROR(__xludf.DUMMYFUNCTION("""COMPUTED_VALUE"""),3.61861298335E11)</f>
        <v>361861298335</v>
      </c>
      <c r="F12229" s="1"/>
      <c r="G12229" s="1">
        <f>IFERROR(__xludf.DUMMYFUNCTION("""COMPUTED_VALUE"""),1.25)</f>
        <v>1.25</v>
      </c>
      <c r="H12229" s="2">
        <f>IFERROR(__xludf.DUMMYFUNCTION("""COMPUTED_VALUE"""),1.25)</f>
        <v>1.25</v>
      </c>
      <c r="I12229" s="5">
        <f>IFERROR(__xludf.DUMMYFUNCTION("""COMPUTED_VALUE"""),1.0)</f>
        <v>1</v>
      </c>
      <c r="J12229" s="1" t="str">
        <f>IFERROR(__xludf.DUMMYFUNCTION("""COMPUTED_VALUE"""),"Renette Bok")</f>
        <v>Renette Bok</v>
      </c>
      <c r="K12229" s="1" t="str">
        <f>IFERROR(__xludf.DUMMYFUNCTION("""COMPUTED_VALUE"""),"Advanced Billing &amp; Subscriptions")</f>
        <v>Advanced Billing &amp; Subscriptions</v>
      </c>
      <c r="L12229" s="1" t="str">
        <f>IFERROR(__xludf.DUMMYFUNCTION("""COMPUTED_VALUE"""),"CPS Advanced Billing and Subscriptions (ABS)")</f>
        <v>CPS Advanced Billing and Subscriptions (ABS)</v>
      </c>
    </row>
    <row r="12230">
      <c r="A12230" s="1" t="str">
        <f>IFERROR(__xludf.DUMMYFUNCTION("""COMPUTED_VALUE"""),"2026 Apr")</f>
        <v>2026 Apr</v>
      </c>
      <c r="B12230" s="4">
        <f>IFERROR(__xludf.DUMMYFUNCTION("""COMPUTED_VALUE"""),46139.0)</f>
        <v>46139</v>
      </c>
      <c r="C12230" s="1" t="str">
        <f>IFERROR(__xludf.DUMMYFUNCTION("""COMPUTED_VALUE"""),"Core Product Support")</f>
        <v>Core Product Support</v>
      </c>
      <c r="D12230" s="1" t="str">
        <f>IFERROR(__xludf.DUMMYFUNCTION("""COMPUTED_VALUE"""),"0cc61976-099e-4704-9248-c0d612333122")</f>
        <v>0cc61976-099e-4704-9248-c0d612333122</v>
      </c>
      <c r="E12230" s="1">
        <f>IFERROR(__xludf.DUMMYFUNCTION("""COMPUTED_VALUE"""),4.502607605263E12)</f>
        <v>4502607605263</v>
      </c>
      <c r="F12230" s="1"/>
      <c r="G12230" s="1">
        <f>IFERROR(__xludf.DUMMYFUNCTION("""COMPUTED_VALUE"""),2.5)</f>
        <v>2.5</v>
      </c>
      <c r="H12230" s="2">
        <f>IFERROR(__xludf.DUMMYFUNCTION("""COMPUTED_VALUE"""),2.5)</f>
        <v>2.5</v>
      </c>
      <c r="I12230" s="5">
        <f>IFERROR(__xludf.DUMMYFUNCTION("""COMPUTED_VALUE"""),1.0)</f>
        <v>1</v>
      </c>
      <c r="J12230" s="1" t="str">
        <f>IFERROR(__xludf.DUMMYFUNCTION("""COMPUTED_VALUE"""),"Ellaine Estayo")</f>
        <v>Ellaine Estayo</v>
      </c>
      <c r="K12230" s="1" t="str">
        <f>IFERROR(__xludf.DUMMYFUNCTION("""COMPUTED_VALUE"""),"Core Product Support Escalation Team")</f>
        <v>Core Product Support Escalation Team</v>
      </c>
      <c r="L12230"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2231">
      <c r="A12231" s="1" t="str">
        <f>IFERROR(__xludf.DUMMYFUNCTION("""COMPUTED_VALUE"""),"2026 Apr")</f>
        <v>2026 Apr</v>
      </c>
      <c r="B12231" s="4">
        <f>IFERROR(__xludf.DUMMYFUNCTION("""COMPUTED_VALUE"""),46139.0)</f>
        <v>46139</v>
      </c>
      <c r="C12231" s="1" t="str">
        <f>IFERROR(__xludf.DUMMYFUNCTION("""COMPUTED_VALUE"""),"Print Support")</f>
        <v>Print Support</v>
      </c>
      <c r="D12231" s="1" t="str">
        <f>IFERROR(__xludf.DUMMYFUNCTION("""COMPUTED_VALUE"""),"1eb6d900-9254-4ad7-b5e2-1f27f00e2077")</f>
        <v>1eb6d900-9254-4ad7-b5e2-1f27f00e2077</v>
      </c>
      <c r="E12231" s="1">
        <f>IFERROR(__xludf.DUMMYFUNCTION("""COMPUTED_VALUE"""),1.3477715168271E13)</f>
        <v>13477715168271</v>
      </c>
      <c r="F12231" s="1"/>
      <c r="G12231" s="1"/>
      <c r="H12231" s="2">
        <f>IFERROR(__xludf.DUMMYFUNCTION("""COMPUTED_VALUE"""),0.0)</f>
        <v>0</v>
      </c>
      <c r="I12231" s="5"/>
      <c r="J12231" s="1" t="str">
        <f>IFERROR(__xludf.DUMMYFUNCTION("""COMPUTED_VALUE"""),"Jan Domingo")</f>
        <v>Jan Domingo</v>
      </c>
      <c r="K12231" s="1" t="str">
        <f>IFERROR(__xludf.DUMMYFUNCTION("""COMPUTED_VALUE"""),"Print Design Support")</f>
        <v>Print Design Support</v>
      </c>
      <c r="L12231" s="1" t="str">
        <f>IFERROR(__xludf.DUMMYFUNCTION("""COMPUTED_VALUE"""),"Print Print Design")</f>
        <v>Print Print Design</v>
      </c>
    </row>
    <row r="12232">
      <c r="A12232" s="1" t="str">
        <f>IFERROR(__xludf.DUMMYFUNCTION("""COMPUTED_VALUE"""),"2026 Apr")</f>
        <v>2026 Apr</v>
      </c>
      <c r="B12232" s="4">
        <f>IFERROR(__xludf.DUMMYFUNCTION("""COMPUTED_VALUE"""),46139.0)</f>
        <v>46139</v>
      </c>
      <c r="C12232" s="1" t="str">
        <f>IFERROR(__xludf.DUMMYFUNCTION("""COMPUTED_VALUE"""),"Core Product Support")</f>
        <v>Core Product Support</v>
      </c>
      <c r="D12232" s="1" t="str">
        <f>IFERROR(__xludf.DUMMYFUNCTION("""COMPUTED_VALUE"""),"fb4299a4-0e59-4c64-8fbb-5fd3f6a3cb3e")</f>
        <v>fb4299a4-0e59-4c64-8fbb-5fd3f6a3cb3e</v>
      </c>
      <c r="E12232" s="1">
        <f>IFERROR(__xludf.DUMMYFUNCTION("""COMPUTED_VALUE"""),3.61964324536E11)</f>
        <v>361964324536</v>
      </c>
      <c r="F12232" s="1"/>
      <c r="G12232" s="1">
        <f>IFERROR(__xludf.DUMMYFUNCTION("""COMPUTED_VALUE"""),2.0)</f>
        <v>2</v>
      </c>
      <c r="H12232" s="2">
        <f>IFERROR(__xludf.DUMMYFUNCTION("""COMPUTED_VALUE"""),2.0)</f>
        <v>2</v>
      </c>
      <c r="I12232" s="5">
        <f>IFERROR(__xludf.DUMMYFUNCTION("""COMPUTED_VALUE"""),1.0)</f>
        <v>1</v>
      </c>
      <c r="J12232" s="1" t="str">
        <f>IFERROR(__xludf.DUMMYFUNCTION("""COMPUTED_VALUE"""),"Sieg Ballelos")</f>
        <v>Sieg Ballelos</v>
      </c>
      <c r="K12232" s="1" t="str">
        <f>IFERROR(__xludf.DUMMYFUNCTION("""COMPUTED_VALUE"""),"Core Product Support Escalation Team")</f>
        <v>Core Product Support Escalation Team</v>
      </c>
      <c r="L12232"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2233">
      <c r="A12233" s="1" t="str">
        <f>IFERROR(__xludf.DUMMYFUNCTION("""COMPUTED_VALUE"""),"2026 Apr")</f>
        <v>2026 Apr</v>
      </c>
      <c r="B12233" s="4">
        <f>IFERROR(__xludf.DUMMYFUNCTION("""COMPUTED_VALUE"""),46139.0)</f>
        <v>46139</v>
      </c>
      <c r="C12233" s="1" t="str">
        <f>IFERROR(__xludf.DUMMYFUNCTION("""COMPUTED_VALUE"""),"Admin Support")</f>
        <v>Admin Support</v>
      </c>
      <c r="D12233" s="1" t="str">
        <f>IFERROR(__xludf.DUMMYFUNCTION("""COMPUTED_VALUE"""),"b9737663-79f8-4cad-a8f9-6db9a37d36bf")</f>
        <v>b9737663-79f8-4cad-a8f9-6db9a37d36bf</v>
      </c>
      <c r="E12233" s="1">
        <f>IFERROR(__xludf.DUMMYFUNCTION("""COMPUTED_VALUE"""),3.61726427416E11)</f>
        <v>361726427416</v>
      </c>
      <c r="F12233" s="1"/>
      <c r="G12233" s="1"/>
      <c r="H12233" s="2">
        <f>IFERROR(__xludf.DUMMYFUNCTION("""COMPUTED_VALUE"""),0.0)</f>
        <v>0</v>
      </c>
      <c r="I12233" s="5"/>
      <c r="J12233" s="1" t="str">
        <f>IFERROR(__xludf.DUMMYFUNCTION("""COMPUTED_VALUE"""),"Karla Mananghaya")</f>
        <v>Karla Mananghaya</v>
      </c>
      <c r="K12233" s="1" t="str">
        <f>IFERROR(__xludf.DUMMYFUNCTION("""COMPUTED_VALUE"""),"Admin Support Service Escalation Team")</f>
        <v>Admin Support Service Escalation Team</v>
      </c>
      <c r="L12233" s="1" t="str">
        <f>IFERROR(__xludf.DUMMYFUNCTION("""COMPUTED_VALUE"""),"Admin ASSET")</f>
        <v>Admin ASSET</v>
      </c>
    </row>
    <row r="12234">
      <c r="A12234" s="1" t="str">
        <f>IFERROR(__xludf.DUMMYFUNCTION("""COMPUTED_VALUE"""),"2026 Apr")</f>
        <v>2026 Apr</v>
      </c>
      <c r="B12234" s="4">
        <f>IFERROR(__xludf.DUMMYFUNCTION("""COMPUTED_VALUE"""),46139.0)</f>
        <v>46139</v>
      </c>
      <c r="C12234" s="1" t="str">
        <f>IFERROR(__xludf.DUMMYFUNCTION("""COMPUTED_VALUE"""),"Core Product Support")</f>
        <v>Core Product Support</v>
      </c>
      <c r="D12234" s="1" t="str">
        <f>IFERROR(__xludf.DUMMYFUNCTION("""COMPUTED_VALUE"""),"253d67a9-d468-454b-b17c-b16b05cc6794")</f>
        <v>253d67a9-d468-454b-b17c-b16b05cc6794</v>
      </c>
      <c r="E12234" s="1">
        <f>IFERROR(__xludf.DUMMYFUNCTION("""COMPUTED_VALUE"""),1.0333034131599E13)</f>
        <v>10333034131599</v>
      </c>
      <c r="F12234" s="1"/>
      <c r="G12234" s="1">
        <f>IFERROR(__xludf.DUMMYFUNCTION("""COMPUTED_VALUE"""),1.25)</f>
        <v>1.25</v>
      </c>
      <c r="H12234" s="2">
        <f>IFERROR(__xludf.DUMMYFUNCTION("""COMPUTED_VALUE"""),1.25)</f>
        <v>1.25</v>
      </c>
      <c r="I12234" s="5">
        <f>IFERROR(__xludf.DUMMYFUNCTION("""COMPUTED_VALUE"""),1.0)</f>
        <v>1</v>
      </c>
      <c r="J12234" s="1" t="str">
        <f>IFERROR(__xludf.DUMMYFUNCTION("""COMPUTED_VALUE"""),"Cherry Macam")</f>
        <v>Cherry Macam</v>
      </c>
      <c r="K12234" s="1" t="str">
        <f>IFERROR(__xludf.DUMMYFUNCTION("""COMPUTED_VALUE"""),"Advanced Billing &amp; Subscriptions")</f>
        <v>Advanced Billing &amp; Subscriptions</v>
      </c>
      <c r="L12234" s="1" t="str">
        <f>IFERROR(__xludf.DUMMYFUNCTION("""COMPUTED_VALUE"""),"CPS Advanced Billing and Subscriptions (ABS)")</f>
        <v>CPS Advanced Billing and Subscriptions (ABS)</v>
      </c>
    </row>
    <row r="12235">
      <c r="A12235" s="1" t="str">
        <f>IFERROR(__xludf.DUMMYFUNCTION("""COMPUTED_VALUE"""),"2026 Apr")</f>
        <v>2026 Apr</v>
      </c>
      <c r="B12235" s="4">
        <f>IFERROR(__xludf.DUMMYFUNCTION("""COMPUTED_VALUE"""),46139.0)</f>
        <v>46139</v>
      </c>
      <c r="C12235" s="1" t="str">
        <f>IFERROR(__xludf.DUMMYFUNCTION("""COMPUTED_VALUE"""),"Core Product Support")</f>
        <v>Core Product Support</v>
      </c>
      <c r="D12235" s="1" t="str">
        <f>IFERROR(__xludf.DUMMYFUNCTION("""COMPUTED_VALUE"""),"e2ffb663-8d10-4463-8bb8-3bd130fdce1c")</f>
        <v>e2ffb663-8d10-4463-8bb8-3bd130fdce1c</v>
      </c>
      <c r="E12235" s="1">
        <f>IFERROR(__xludf.DUMMYFUNCTION("""COMPUTED_VALUE"""),1.1279730843407E13)</f>
        <v>11279730843407</v>
      </c>
      <c r="F12235" s="1"/>
      <c r="G12235" s="1">
        <f>IFERROR(__xludf.DUMMYFUNCTION("""COMPUTED_VALUE"""),1.25)</f>
        <v>1.25</v>
      </c>
      <c r="H12235" s="2">
        <f>IFERROR(__xludf.DUMMYFUNCTION("""COMPUTED_VALUE"""),1.25)</f>
        <v>1.25</v>
      </c>
      <c r="I12235" s="5">
        <f>IFERROR(__xludf.DUMMYFUNCTION("""COMPUTED_VALUE"""),1.0)</f>
        <v>1</v>
      </c>
      <c r="J12235" s="1" t="str">
        <f>IFERROR(__xludf.DUMMYFUNCTION("""COMPUTED_VALUE"""),"Ayza Marie Pascual")</f>
        <v>Ayza Marie Pascual</v>
      </c>
      <c r="K12235" s="1" t="str">
        <f>IFERROR(__xludf.DUMMYFUNCTION("""COMPUTED_VALUE"""),"Advanced Billing &amp; Subscriptions")</f>
        <v>Advanced Billing &amp; Subscriptions</v>
      </c>
      <c r="L12235" s="1" t="str">
        <f>IFERROR(__xludf.DUMMYFUNCTION("""COMPUTED_VALUE"""),"CPS Advanced Billing and Subscriptions (ABS)")</f>
        <v>CPS Advanced Billing and Subscriptions (ABS)</v>
      </c>
    </row>
    <row r="12236">
      <c r="A12236" s="1" t="str">
        <f>IFERROR(__xludf.DUMMYFUNCTION("""COMPUTED_VALUE"""),"2026 Apr")</f>
        <v>2026 Apr</v>
      </c>
      <c r="B12236" s="4">
        <f>IFERROR(__xludf.DUMMYFUNCTION("""COMPUTED_VALUE"""),46139.0)</f>
        <v>46139</v>
      </c>
      <c r="C12236" s="1" t="str">
        <f>IFERROR(__xludf.DUMMYFUNCTION("""COMPUTED_VALUE"""),"Core Product Support")</f>
        <v>Core Product Support</v>
      </c>
      <c r="D12236" s="1" t="str">
        <f>IFERROR(__xludf.DUMMYFUNCTION("""COMPUTED_VALUE"""),"1a6492df-fa9a-416f-b1d1-da6edc22036f")</f>
        <v>1a6492df-fa9a-416f-b1d1-da6edc22036f</v>
      </c>
      <c r="E12236" s="1">
        <f>IFERROR(__xludf.DUMMYFUNCTION("""COMPUTED_VALUE"""),7.874569114383E12)</f>
        <v>7874569114383</v>
      </c>
      <c r="F12236" s="1"/>
      <c r="G12236" s="1">
        <f>IFERROR(__xludf.DUMMYFUNCTION("""COMPUTED_VALUE"""),1.25)</f>
        <v>1.25</v>
      </c>
      <c r="H12236" s="2">
        <f>IFERROR(__xludf.DUMMYFUNCTION("""COMPUTED_VALUE"""),1.25)</f>
        <v>1.25</v>
      </c>
      <c r="I12236" s="5">
        <f>IFERROR(__xludf.DUMMYFUNCTION("""COMPUTED_VALUE"""),1.0)</f>
        <v>1</v>
      </c>
      <c r="J12236" s="1" t="str">
        <f>IFERROR(__xludf.DUMMYFUNCTION("""COMPUTED_VALUE"""),"Ana Lazaro")</f>
        <v>Ana Lazaro</v>
      </c>
      <c r="K12236" s="1" t="str">
        <f>IFERROR(__xludf.DUMMYFUNCTION("""COMPUTED_VALUE"""),"Advanced Billing &amp; Subscriptions")</f>
        <v>Advanced Billing &amp; Subscriptions</v>
      </c>
      <c r="L12236" s="1" t="str">
        <f>IFERROR(__xludf.DUMMYFUNCTION("""COMPUTED_VALUE"""),"CPS Advanced Billing and Subscriptions (ABS)")</f>
        <v>CPS Advanced Billing and Subscriptions (ABS)</v>
      </c>
    </row>
    <row r="12237">
      <c r="A12237" s="1" t="str">
        <f>IFERROR(__xludf.DUMMYFUNCTION("""COMPUTED_VALUE"""),"2026 Apr")</f>
        <v>2026 Apr</v>
      </c>
      <c r="B12237" s="4">
        <f>IFERROR(__xludf.DUMMYFUNCTION("""COMPUTED_VALUE"""),46139.0)</f>
        <v>46139</v>
      </c>
      <c r="C12237" s="1" t="str">
        <f>IFERROR(__xludf.DUMMYFUNCTION("""COMPUTED_VALUE"""),"High Sensitivity Support")</f>
        <v>High Sensitivity Support</v>
      </c>
      <c r="D12237" s="1" t="str">
        <f>IFERROR(__xludf.DUMMYFUNCTION("""COMPUTED_VALUE"""),"8b075f45-27b1-469e-bbc3-e97261e6934d")</f>
        <v>8b075f45-27b1-469e-bbc3-e97261e6934d</v>
      </c>
      <c r="E12237" s="1">
        <f>IFERROR(__xludf.DUMMYFUNCTION("""COMPUTED_VALUE"""),5.202423769487E12)</f>
        <v>5202423769487</v>
      </c>
      <c r="F12237" s="1"/>
      <c r="G12237" s="1"/>
      <c r="H12237" s="2">
        <f>IFERROR(__xludf.DUMMYFUNCTION("""COMPUTED_VALUE"""),0.0)</f>
        <v>0</v>
      </c>
      <c r="I12237" s="5"/>
      <c r="J12237" s="1" t="str">
        <f>IFERROR(__xludf.DUMMYFUNCTION("""COMPUTED_VALUE"""),"Rex Villamor")</f>
        <v>Rex Villamor</v>
      </c>
      <c r="K12237" s="1" t="str">
        <f>IFERROR(__xludf.DUMMYFUNCTION("""COMPUTED_VALUE"""),"High Sensitivity Support PH")</f>
        <v>High Sensitivity Support PH</v>
      </c>
      <c r="L12237" s="1" t="str">
        <f>IFERROR(__xludf.DUMMYFUNCTION("""COMPUTED_VALUE"""),"HSS High Sensitivity Support PH - CHT")</f>
        <v>HSS High Sensitivity Support PH - CHT</v>
      </c>
    </row>
    <row r="12238">
      <c r="A12238" s="1" t="str">
        <f>IFERROR(__xludf.DUMMYFUNCTION("""COMPUTED_VALUE"""),"2026 Apr")</f>
        <v>2026 Apr</v>
      </c>
      <c r="B12238" s="4">
        <f>IFERROR(__xludf.DUMMYFUNCTION("""COMPUTED_VALUE"""),46139.0)</f>
        <v>46139</v>
      </c>
      <c r="C12238" s="1" t="str">
        <f>IFERROR(__xludf.DUMMYFUNCTION("""COMPUTED_VALUE"""),"Segment-specific Support")</f>
        <v>Segment-specific Support</v>
      </c>
      <c r="D12238" s="1" t="str">
        <f>IFERROR(__xludf.DUMMYFUNCTION("""COMPUTED_VALUE"""),"68027150-37ee-48bc-8dee-e459591aca37")</f>
        <v>68027150-37ee-48bc-8dee-e459591aca37</v>
      </c>
      <c r="E12238" s="1">
        <f>IFERROR(__xludf.DUMMYFUNCTION("""COMPUTED_VALUE"""),9.586408606607E12)</f>
        <v>9586408606607</v>
      </c>
      <c r="F12238" s="1"/>
      <c r="G12238" s="1"/>
      <c r="H12238" s="2">
        <f>IFERROR(__xludf.DUMMYFUNCTION("""COMPUTED_VALUE"""),0.0)</f>
        <v>0</v>
      </c>
      <c r="I12238" s="5"/>
      <c r="J12238" s="1" t="str">
        <f>IFERROR(__xludf.DUMMYFUNCTION("""COMPUTED_VALUE"""),"Rose Gabilan")</f>
        <v>Rose Gabilan</v>
      </c>
      <c r="K12238" s="1" t="str">
        <f>IFERROR(__xludf.DUMMYFUNCTION("""COMPUTED_VALUE"""),"Affinity Support")</f>
        <v>Affinity Support</v>
      </c>
      <c r="L12238" s="1" t="str">
        <f>IFERROR(__xludf.DUMMYFUNCTION("""COMPUTED_VALUE"""),"SSS Affinity - L1")</f>
        <v>SSS Affinity - L1</v>
      </c>
    </row>
    <row r="12239">
      <c r="A12239" s="1" t="str">
        <f>IFERROR(__xludf.DUMMYFUNCTION("""COMPUTED_VALUE"""),"2026 Apr")</f>
        <v>2026 Apr</v>
      </c>
      <c r="B12239" s="4">
        <f>IFERROR(__xludf.DUMMYFUNCTION("""COMPUTED_VALUE"""),46139.0)</f>
        <v>46139</v>
      </c>
      <c r="C12239" s="1" t="str">
        <f>IFERROR(__xludf.DUMMYFUNCTION("""COMPUTED_VALUE"""),"Core Product Support")</f>
        <v>Core Product Support</v>
      </c>
      <c r="D12239" s="1" t="str">
        <f>IFERROR(__xludf.DUMMYFUNCTION("""COMPUTED_VALUE"""),"2417322d-d75a-4184-9e3c-95ae48393a05")</f>
        <v>2417322d-d75a-4184-9e3c-95ae48393a05</v>
      </c>
      <c r="E12239" s="1">
        <f>IFERROR(__xludf.DUMMYFUNCTION("""COMPUTED_VALUE"""),3.61861297995E11)</f>
        <v>361861297995</v>
      </c>
      <c r="F12239" s="1"/>
      <c r="G12239" s="1">
        <f>IFERROR(__xludf.DUMMYFUNCTION("""COMPUTED_VALUE"""),1.25)</f>
        <v>1.25</v>
      </c>
      <c r="H12239" s="2">
        <f>IFERROR(__xludf.DUMMYFUNCTION("""COMPUTED_VALUE"""),1.25)</f>
        <v>1.25</v>
      </c>
      <c r="I12239" s="5">
        <f>IFERROR(__xludf.DUMMYFUNCTION("""COMPUTED_VALUE"""),1.0)</f>
        <v>1</v>
      </c>
      <c r="J12239" s="1" t="str">
        <f>IFERROR(__xludf.DUMMYFUNCTION("""COMPUTED_VALUE"""),"Jem Mondoñedo")</f>
        <v>Jem Mondoñedo</v>
      </c>
      <c r="K12239" s="1" t="str">
        <f>IFERROR(__xludf.DUMMYFUNCTION("""COMPUTED_VALUE"""),"Advanced Billing &amp; Subscriptions")</f>
        <v>Advanced Billing &amp; Subscriptions</v>
      </c>
      <c r="L12239" s="1" t="str">
        <f>IFERROR(__xludf.DUMMYFUNCTION("""COMPUTED_VALUE"""),"CPS Advanced Billing and Subscriptions (ABS)")</f>
        <v>CPS Advanced Billing and Subscriptions (ABS)</v>
      </c>
    </row>
    <row r="12240">
      <c r="A12240" s="1" t="str">
        <f>IFERROR(__xludf.DUMMYFUNCTION("""COMPUTED_VALUE"""),"2026 Apr")</f>
        <v>2026 Apr</v>
      </c>
      <c r="B12240" s="4">
        <f>IFERROR(__xludf.DUMMYFUNCTION("""COMPUTED_VALUE"""),46139.0)</f>
        <v>46139</v>
      </c>
      <c r="C12240" s="1" t="str">
        <f>IFERROR(__xludf.DUMMYFUNCTION("""COMPUTED_VALUE"""),"Segment-specific Support")</f>
        <v>Segment-specific Support</v>
      </c>
      <c r="D12240" s="1" t="str">
        <f>IFERROR(__xludf.DUMMYFUNCTION("""COMPUTED_VALUE"""),"4cae5e1d-2159-4afc-b9cd-a826e7f3982e")</f>
        <v>4cae5e1d-2159-4afc-b9cd-a826e7f3982e</v>
      </c>
      <c r="E12240" s="1">
        <f>IFERROR(__xludf.DUMMYFUNCTION("""COMPUTED_VALUE"""),3.61726424816E11)</f>
        <v>361726424816</v>
      </c>
      <c r="F12240" s="1"/>
      <c r="G12240" s="1"/>
      <c r="H12240" s="2">
        <f>IFERROR(__xludf.DUMMYFUNCTION("""COMPUTED_VALUE"""),0.0)</f>
        <v>0</v>
      </c>
      <c r="I12240" s="5"/>
      <c r="J12240" s="1" t="str">
        <f>IFERROR(__xludf.DUMMYFUNCTION("""COMPUTED_VALUE"""),"Aileen Dayanghirang")</f>
        <v>Aileen Dayanghirang</v>
      </c>
      <c r="K12240" s="1" t="str">
        <f>IFERROR(__xludf.DUMMYFUNCTION("""COMPUTED_VALUE"""),"Creators Support")</f>
        <v>Creators Support</v>
      </c>
      <c r="L12240" s="1" t="str">
        <f>IFERROR(__xludf.DUMMYFUNCTION("""COMPUTED_VALUE"""),"SSS Creators")</f>
        <v>SSS Creators</v>
      </c>
    </row>
    <row r="12241">
      <c r="A12241" s="1" t="str">
        <f>IFERROR(__xludf.DUMMYFUNCTION("""COMPUTED_VALUE"""),"2026 Apr")</f>
        <v>2026 Apr</v>
      </c>
      <c r="B12241" s="4">
        <f>IFERROR(__xludf.DUMMYFUNCTION("""COMPUTED_VALUE"""),46139.0)</f>
        <v>46139</v>
      </c>
      <c r="C12241" s="1" t="str">
        <f>IFERROR(__xludf.DUMMYFUNCTION("""COMPUTED_VALUE"""),"Core Product Support")</f>
        <v>Core Product Support</v>
      </c>
      <c r="D12241" s="1" t="str">
        <f>IFERROR(__xludf.DUMMYFUNCTION("""COMPUTED_VALUE"""),"ecc3a54c-2b13-4ea5-ad1e-96b8b278e7da")</f>
        <v>ecc3a54c-2b13-4ea5-ad1e-96b8b278e7da</v>
      </c>
      <c r="E12241" s="1">
        <f>IFERROR(__xludf.DUMMYFUNCTION("""COMPUTED_VALUE"""),1.0333050571535E13)</f>
        <v>10333050571535</v>
      </c>
      <c r="F12241" s="1"/>
      <c r="G12241" s="1">
        <f>IFERROR(__xludf.DUMMYFUNCTION("""COMPUTED_VALUE"""),1.25)</f>
        <v>1.25</v>
      </c>
      <c r="H12241" s="2">
        <f>IFERROR(__xludf.DUMMYFUNCTION("""COMPUTED_VALUE"""),1.25)</f>
        <v>1.25</v>
      </c>
      <c r="I12241" s="5">
        <f>IFERROR(__xludf.DUMMYFUNCTION("""COMPUTED_VALUE"""),1.0)</f>
        <v>1</v>
      </c>
      <c r="J12241" s="1" t="str">
        <f>IFERROR(__xludf.DUMMYFUNCTION("""COMPUTED_VALUE"""),"Mikhaela Decangchon")</f>
        <v>Mikhaela Decangchon</v>
      </c>
      <c r="K12241" s="1" t="str">
        <f>IFERROR(__xludf.DUMMYFUNCTION("""COMPUTED_VALUE"""),"Advanced Product Support")</f>
        <v>Advanced Product Support</v>
      </c>
      <c r="L12241" s="1" t="str">
        <f>IFERROR(__xludf.DUMMYFUNCTION("""COMPUTED_VALUE"""),"CPS Advanced Product Support (APS)")</f>
        <v>CPS Advanced Product Support (APS)</v>
      </c>
    </row>
    <row r="12242">
      <c r="A12242" s="1" t="str">
        <f>IFERROR(__xludf.DUMMYFUNCTION("""COMPUTED_VALUE"""),"2026 Apr")</f>
        <v>2026 Apr</v>
      </c>
      <c r="B12242" s="4">
        <f>IFERROR(__xludf.DUMMYFUNCTION("""COMPUTED_VALUE"""),46139.0)</f>
        <v>46139</v>
      </c>
      <c r="C12242" s="1" t="str">
        <f>IFERROR(__xludf.DUMMYFUNCTION("""COMPUTED_VALUE"""),"Print Support")</f>
        <v>Print Support</v>
      </c>
      <c r="D12242" s="1" t="str">
        <f>IFERROR(__xludf.DUMMYFUNCTION("""COMPUTED_VALUE"""),"c6cec3c3-9fe7-48ea-b63e-7658cdee4747")</f>
        <v>c6cec3c3-9fe7-48ea-b63e-7658cdee4747</v>
      </c>
      <c r="E12242" s="1">
        <f>IFERROR(__xludf.DUMMYFUNCTION("""COMPUTED_VALUE"""),5.901960272783E12)</f>
        <v>5901960272783</v>
      </c>
      <c r="F12242" s="1"/>
      <c r="G12242" s="1"/>
      <c r="H12242" s="2">
        <f>IFERROR(__xludf.DUMMYFUNCTION("""COMPUTED_VALUE"""),0.0)</f>
        <v>0</v>
      </c>
      <c r="I12242" s="5"/>
      <c r="J12242" s="1" t="str">
        <f>IFERROR(__xludf.DUMMYFUNCTION("""COMPUTED_VALUE"""),"Althea Mercado")</f>
        <v>Althea Mercado</v>
      </c>
      <c r="K12242" s="1" t="str">
        <f>IFERROR(__xludf.DUMMYFUNCTION("""COMPUTED_VALUE"""),"Print Support PH")</f>
        <v>Print Support PH</v>
      </c>
      <c r="L12242" s="1" t="str">
        <f>IFERROR(__xludf.DUMMYFUNCTION("""COMPUTED_VALUE"""),"Print Print - CHT")</f>
        <v>Print Print - CHT</v>
      </c>
    </row>
    <row r="12243">
      <c r="A12243" s="1" t="str">
        <f>IFERROR(__xludf.DUMMYFUNCTION("""COMPUTED_VALUE"""),"2026 Apr")</f>
        <v>2026 Apr</v>
      </c>
      <c r="B12243" s="4">
        <f>IFERROR(__xludf.DUMMYFUNCTION("""COMPUTED_VALUE"""),46139.0)</f>
        <v>46139</v>
      </c>
      <c r="C12243" s="1" t="str">
        <f>IFERROR(__xludf.DUMMYFUNCTION("""COMPUTED_VALUE"""),"Admin Support")</f>
        <v>Admin Support</v>
      </c>
      <c r="D12243" s="1" t="str">
        <f>IFERROR(__xludf.DUMMYFUNCTION("""COMPUTED_VALUE"""),"f1bbdd3e-ea42-496f-87a0-14d656a67a92")</f>
        <v>f1bbdd3e-ea42-496f-87a0-14d656a67a92</v>
      </c>
      <c r="E12243" s="1">
        <f>IFERROR(__xludf.DUMMYFUNCTION("""COMPUTED_VALUE"""),5.563904587279E12)</f>
        <v>5563904587279</v>
      </c>
      <c r="F12243" s="1"/>
      <c r="G12243" s="1"/>
      <c r="H12243" s="2">
        <f>IFERROR(__xludf.DUMMYFUNCTION("""COMPUTED_VALUE"""),0.0)</f>
        <v>0</v>
      </c>
      <c r="I12243" s="5"/>
      <c r="J12243" s="1" t="str">
        <f>IFERROR(__xludf.DUMMYFUNCTION("""COMPUTED_VALUE"""),"Nate Vela")</f>
        <v>Nate Vela</v>
      </c>
      <c r="K12243" s="1" t="str">
        <f>IFERROR(__xludf.DUMMYFUNCTION("""COMPUTED_VALUE"""),"Admin Support NA")</f>
        <v>Admin Support NA</v>
      </c>
      <c r="L12243" s="1" t="str">
        <f>IFERROR(__xludf.DUMMYFUNCTION("""COMPUTED_VALUE"""),"Admin NA")</f>
        <v>Admin NA</v>
      </c>
    </row>
    <row r="12244">
      <c r="A12244" s="1" t="str">
        <f>IFERROR(__xludf.DUMMYFUNCTION("""COMPUTED_VALUE"""),"2026 Apr")</f>
        <v>2026 Apr</v>
      </c>
      <c r="B12244" s="4">
        <f>IFERROR(__xludf.DUMMYFUNCTION("""COMPUTED_VALUE"""),46139.0)</f>
        <v>46139</v>
      </c>
      <c r="C12244" s="1" t="str">
        <f>IFERROR(__xludf.DUMMYFUNCTION("""COMPUTED_VALUE"""),"Core Product Support")</f>
        <v>Core Product Support</v>
      </c>
      <c r="D12244" s="1" t="str">
        <f>IFERROR(__xludf.DUMMYFUNCTION("""COMPUTED_VALUE"""),"3146744a-956c-4560-bc5a-70bcebe20785")</f>
        <v>3146744a-956c-4560-bc5a-70bcebe20785</v>
      </c>
      <c r="E12244" s="1">
        <f>IFERROR(__xludf.DUMMYFUNCTION("""COMPUTED_VALUE"""),3.61861297835E11)</f>
        <v>361861297835</v>
      </c>
      <c r="F12244" s="1"/>
      <c r="G12244" s="1">
        <f>IFERROR(__xludf.DUMMYFUNCTION("""COMPUTED_VALUE"""),1.0)</f>
        <v>1</v>
      </c>
      <c r="H12244" s="2">
        <f>IFERROR(__xludf.DUMMYFUNCTION("""COMPUTED_VALUE"""),1.0)</f>
        <v>1</v>
      </c>
      <c r="I12244" s="5">
        <f>IFERROR(__xludf.DUMMYFUNCTION("""COMPUTED_VALUE"""),1.0)</f>
        <v>1</v>
      </c>
      <c r="J12244" s="1" t="str">
        <f>IFERROR(__xludf.DUMMYFUNCTION("""COMPUTED_VALUE"""),"Jem Mondoñedo")</f>
        <v>Jem Mondoñedo</v>
      </c>
      <c r="K12244" s="1" t="str">
        <f>IFERROR(__xludf.DUMMYFUNCTION("""COMPUTED_VALUE"""),"Advanced Billing &amp; Subscriptions")</f>
        <v>Advanced Billing &amp; Subscriptions</v>
      </c>
      <c r="L12244" s="1" t="str">
        <f>IFERROR(__xludf.DUMMYFUNCTION("""COMPUTED_VALUE"""),"CPS Advanced Billing and Subscriptions (ABS)")</f>
        <v>CPS Advanced Billing and Subscriptions (ABS)</v>
      </c>
    </row>
    <row r="12245">
      <c r="A12245" s="1" t="str">
        <f>IFERROR(__xludf.DUMMYFUNCTION("""COMPUTED_VALUE"""),"2026 Apr")</f>
        <v>2026 Apr</v>
      </c>
      <c r="B12245" s="4">
        <f>IFERROR(__xludf.DUMMYFUNCTION("""COMPUTED_VALUE"""),46139.0)</f>
        <v>46139</v>
      </c>
      <c r="C12245" s="1" t="str">
        <f>IFERROR(__xludf.DUMMYFUNCTION("""COMPUTED_VALUE"""),"Print Support")</f>
        <v>Print Support</v>
      </c>
      <c r="D12245" s="1" t="str">
        <f>IFERROR(__xludf.DUMMYFUNCTION("""COMPUTED_VALUE"""),"30527ca4-aa21-4ba1-bf53-3e00c15dfada")</f>
        <v>30527ca4-aa21-4ba1-bf53-3e00c15dfada</v>
      </c>
      <c r="E12245" s="1">
        <f>IFERROR(__xludf.DUMMYFUNCTION("""COMPUTED_VALUE"""),5.359149526287E12)</f>
        <v>5359149526287</v>
      </c>
      <c r="F12245" s="1"/>
      <c r="G12245" s="1"/>
      <c r="H12245" s="2">
        <f>IFERROR(__xludf.DUMMYFUNCTION("""COMPUTED_VALUE"""),0.0)</f>
        <v>0</v>
      </c>
      <c r="I12245" s="5"/>
      <c r="J12245" s="1" t="str">
        <f>IFERROR(__xludf.DUMMYFUNCTION("""COMPUTED_VALUE"""),"Louise Dianne Estrella")</f>
        <v>Louise Dianne Estrella</v>
      </c>
      <c r="K12245" s="1" t="str">
        <f>IFERROR(__xludf.DUMMYFUNCTION("""COMPUTED_VALUE"""),"Print Support PH")</f>
        <v>Print Support PH</v>
      </c>
      <c r="L12245" s="1" t="str">
        <f>IFERROR(__xludf.DUMMYFUNCTION("""COMPUTED_VALUE"""),"Print Print - CHT")</f>
        <v>Print Print - CHT</v>
      </c>
    </row>
    <row r="12246">
      <c r="A12246" s="1" t="str">
        <f>IFERROR(__xludf.DUMMYFUNCTION("""COMPUTED_VALUE"""),"2026 Apr")</f>
        <v>2026 Apr</v>
      </c>
      <c r="B12246" s="4">
        <f>IFERROR(__xludf.DUMMYFUNCTION("""COMPUTED_VALUE"""),46139.0)</f>
        <v>46139</v>
      </c>
      <c r="C12246" s="1" t="str">
        <f>IFERROR(__xludf.DUMMYFUNCTION("""COMPUTED_VALUE"""),"High Sensitivity Support")</f>
        <v>High Sensitivity Support</v>
      </c>
      <c r="D12246" s="1" t="str">
        <f>IFERROR(__xludf.DUMMYFUNCTION("""COMPUTED_VALUE"""),"ed28aa1c-230f-414c-b415-191d703a8bac")</f>
        <v>ed28aa1c-230f-414c-b415-191d703a8bac</v>
      </c>
      <c r="E12246" s="1">
        <f>IFERROR(__xludf.DUMMYFUNCTION("""COMPUTED_VALUE"""),8.409870322319E12)</f>
        <v>8409870322319</v>
      </c>
      <c r="F12246" s="1"/>
      <c r="G12246" s="1"/>
      <c r="H12246" s="2">
        <f>IFERROR(__xludf.DUMMYFUNCTION("""COMPUTED_VALUE"""),0.0)</f>
        <v>0</v>
      </c>
      <c r="I12246" s="5"/>
      <c r="J12246" s="1" t="str">
        <f>IFERROR(__xludf.DUMMYFUNCTION("""COMPUTED_VALUE"""),"Rossheen Pura")</f>
        <v>Rossheen Pura</v>
      </c>
      <c r="K12246" s="1" t="str">
        <f>IFERROR(__xludf.DUMMYFUNCTION("""COMPUTED_VALUE"""),"High Sensitivity Support PH")</f>
        <v>High Sensitivity Support PH</v>
      </c>
      <c r="L12246" s="1" t="str">
        <f>IFERROR(__xludf.DUMMYFUNCTION("""COMPUTED_VALUE"""),"HSS High Sensitivity Support PH - CHT")</f>
        <v>HSS High Sensitivity Support PH - CHT</v>
      </c>
    </row>
    <row r="12247">
      <c r="A12247" s="1" t="str">
        <f>IFERROR(__xludf.DUMMYFUNCTION("""COMPUTED_VALUE"""),"2026 Apr")</f>
        <v>2026 Apr</v>
      </c>
      <c r="B12247" s="4">
        <f>IFERROR(__xludf.DUMMYFUNCTION("""COMPUTED_VALUE"""),46139.0)</f>
        <v>46139</v>
      </c>
      <c r="C12247" s="1" t="str">
        <f>IFERROR(__xludf.DUMMYFUNCTION("""COMPUTED_VALUE"""),"Segment-specific Support")</f>
        <v>Segment-specific Support</v>
      </c>
      <c r="D12247" s="1" t="str">
        <f>IFERROR(__xludf.DUMMYFUNCTION("""COMPUTED_VALUE"""),"df9ba7dd-188f-4978-8344-eb262fcbed64")</f>
        <v>df9ba7dd-188f-4978-8344-eb262fcbed64</v>
      </c>
      <c r="E12247" s="1">
        <f>IFERROR(__xludf.DUMMYFUNCTION("""COMPUTED_VALUE"""),5.729839272719E12)</f>
        <v>5729839272719</v>
      </c>
      <c r="F12247" s="1"/>
      <c r="G12247" s="1"/>
      <c r="H12247" s="2">
        <f>IFERROR(__xludf.DUMMYFUNCTION("""COMPUTED_VALUE"""),0.0)</f>
        <v>0</v>
      </c>
      <c r="I12247" s="5"/>
      <c r="J12247" s="1" t="str">
        <f>IFERROR(__xludf.DUMMYFUNCTION("""COMPUTED_VALUE"""),"Rose Gabilan")</f>
        <v>Rose Gabilan</v>
      </c>
      <c r="K12247" s="1" t="str">
        <f>IFERROR(__xludf.DUMMYFUNCTION("""COMPUTED_VALUE"""),"Affinity Support")</f>
        <v>Affinity Support</v>
      </c>
      <c r="L12247" s="1" t="str">
        <f>IFERROR(__xludf.DUMMYFUNCTION("""COMPUTED_VALUE"""),"SSS Affinity - L1")</f>
        <v>SSS Affinity - L1</v>
      </c>
    </row>
    <row r="12248">
      <c r="A12248" s="1" t="str">
        <f>IFERROR(__xludf.DUMMYFUNCTION("""COMPUTED_VALUE"""),"2026 Apr")</f>
        <v>2026 Apr</v>
      </c>
      <c r="B12248" s="4">
        <f>IFERROR(__xludf.DUMMYFUNCTION("""COMPUTED_VALUE"""),46139.0)</f>
        <v>46139</v>
      </c>
      <c r="C12248" s="1" t="str">
        <f>IFERROR(__xludf.DUMMYFUNCTION("""COMPUTED_VALUE"""),"Print Support")</f>
        <v>Print Support</v>
      </c>
      <c r="D12248" s="1" t="str">
        <f>IFERROR(__xludf.DUMMYFUNCTION("""COMPUTED_VALUE"""),"438e36b3-4d38-44fd-b78d-2f3e27dfd609")</f>
        <v>438e36b3-4d38-44fd-b78d-2f3e27dfd609</v>
      </c>
      <c r="E12248" s="1">
        <f>IFERROR(__xludf.DUMMYFUNCTION("""COMPUTED_VALUE"""),5.359189606799E12)</f>
        <v>5359189606799</v>
      </c>
      <c r="F12248" s="1"/>
      <c r="G12248" s="1"/>
      <c r="H12248" s="2">
        <f>IFERROR(__xludf.DUMMYFUNCTION("""COMPUTED_VALUE"""),0.0)</f>
        <v>0</v>
      </c>
      <c r="I12248" s="5"/>
      <c r="J12248" s="1" t="str">
        <f>IFERROR(__xludf.DUMMYFUNCTION("""COMPUTED_VALUE"""),"Louise Dianne Estrella")</f>
        <v>Louise Dianne Estrella</v>
      </c>
      <c r="K12248" s="1" t="str">
        <f>IFERROR(__xludf.DUMMYFUNCTION("""COMPUTED_VALUE"""),"Print Support PH")</f>
        <v>Print Support PH</v>
      </c>
      <c r="L12248" s="1" t="str">
        <f>IFERROR(__xludf.DUMMYFUNCTION("""COMPUTED_VALUE"""),"Print Print - CHT")</f>
        <v>Print Print - CHT</v>
      </c>
    </row>
    <row r="12249">
      <c r="A12249" s="1" t="str">
        <f>IFERROR(__xludf.DUMMYFUNCTION("""COMPUTED_VALUE"""),"2026 Apr")</f>
        <v>2026 Apr</v>
      </c>
      <c r="B12249" s="4">
        <f>IFERROR(__xludf.DUMMYFUNCTION("""COMPUTED_VALUE"""),46139.0)</f>
        <v>46139</v>
      </c>
      <c r="C12249" s="1" t="str">
        <f>IFERROR(__xludf.DUMMYFUNCTION("""COMPUTED_VALUE"""),"Admin Support")</f>
        <v>Admin Support</v>
      </c>
      <c r="D12249" s="1" t="str">
        <f>IFERROR(__xludf.DUMMYFUNCTION("""COMPUTED_VALUE"""),"d7fa60f7-5345-4940-b70f-a9ee1e24882e")</f>
        <v>d7fa60f7-5345-4940-b70f-a9ee1e24882e</v>
      </c>
      <c r="E12249" s="1">
        <f>IFERROR(__xludf.DUMMYFUNCTION("""COMPUTED_VALUE"""),3.61731792375E11)</f>
        <v>361731792375</v>
      </c>
      <c r="F12249" s="1"/>
      <c r="G12249" s="1"/>
      <c r="H12249" s="2">
        <f>IFERROR(__xludf.DUMMYFUNCTION("""COMPUTED_VALUE"""),0.0)</f>
        <v>0</v>
      </c>
      <c r="I12249" s="5"/>
      <c r="J12249" s="1" t="str">
        <f>IFERROR(__xludf.DUMMYFUNCTION("""COMPUTED_VALUE"""),"Karla Mananghaya")</f>
        <v>Karla Mananghaya</v>
      </c>
      <c r="K12249" s="1" t="str">
        <f>IFERROR(__xludf.DUMMYFUNCTION("""COMPUTED_VALUE"""),"Admin Support Service Escalation Team")</f>
        <v>Admin Support Service Escalation Team</v>
      </c>
      <c r="L12249" s="1" t="str">
        <f>IFERROR(__xludf.DUMMYFUNCTION("""COMPUTED_VALUE"""),"Admin ASSET")</f>
        <v>Admin ASSET</v>
      </c>
    </row>
    <row r="12250">
      <c r="A12250" s="1" t="str">
        <f>IFERROR(__xludf.DUMMYFUNCTION("""COMPUTED_VALUE"""),"2026 Apr")</f>
        <v>2026 Apr</v>
      </c>
      <c r="B12250" s="4">
        <f>IFERROR(__xludf.DUMMYFUNCTION("""COMPUTED_VALUE"""),46139.0)</f>
        <v>46139</v>
      </c>
      <c r="C12250" s="1" t="str">
        <f>IFERROR(__xludf.DUMMYFUNCTION("""COMPUTED_VALUE"""),"Core Product Support")</f>
        <v>Core Product Support</v>
      </c>
      <c r="D12250" s="1" t="str">
        <f>IFERROR(__xludf.DUMMYFUNCTION("""COMPUTED_VALUE"""),"5a22b3ea-0755-416b-a006-f5a0d4b19aba")</f>
        <v>5a22b3ea-0755-416b-a006-f5a0d4b19aba</v>
      </c>
      <c r="E12250" s="1">
        <f>IFERROR(__xludf.DUMMYFUNCTION("""COMPUTED_VALUE"""),5.202392949391E12)</f>
        <v>5202392949391</v>
      </c>
      <c r="F12250" s="1"/>
      <c r="G12250" s="1">
        <f>IFERROR(__xludf.DUMMYFUNCTION("""COMPUTED_VALUE"""),2.5)</f>
        <v>2.5</v>
      </c>
      <c r="H12250" s="2">
        <f>IFERROR(__xludf.DUMMYFUNCTION("""COMPUTED_VALUE"""),2.5)</f>
        <v>2.5</v>
      </c>
      <c r="I12250" s="5">
        <f>IFERROR(__xludf.DUMMYFUNCTION("""COMPUTED_VALUE"""),1.0)</f>
        <v>1</v>
      </c>
      <c r="J12250" s="1" t="str">
        <f>IFERROR(__xludf.DUMMYFUNCTION("""COMPUTED_VALUE"""),"Sieg Ballelos")</f>
        <v>Sieg Ballelos</v>
      </c>
      <c r="K12250" s="1" t="str">
        <f>IFERROR(__xludf.DUMMYFUNCTION("""COMPUTED_VALUE"""),"Core Product Support Escalation Team")</f>
        <v>Core Product Support Escalation Team</v>
      </c>
      <c r="L12250"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2251">
      <c r="A12251" s="1" t="str">
        <f>IFERROR(__xludf.DUMMYFUNCTION("""COMPUTED_VALUE"""),"2026 Apr")</f>
        <v>2026 Apr</v>
      </c>
      <c r="B12251" s="4">
        <f>IFERROR(__xludf.DUMMYFUNCTION("""COMPUTED_VALUE"""),46139.0)</f>
        <v>46139</v>
      </c>
      <c r="C12251" s="1" t="str">
        <f>IFERROR(__xludf.DUMMYFUNCTION("""COMPUTED_VALUE"""),"Core Product Support")</f>
        <v>Core Product Support</v>
      </c>
      <c r="D12251" s="1" t="str">
        <f>IFERROR(__xludf.DUMMYFUNCTION("""COMPUTED_VALUE"""),"0ae24c9b-6172-4326-bb51-99cd5756da29")</f>
        <v>0ae24c9b-6172-4326-bb51-99cd5756da29</v>
      </c>
      <c r="E12251" s="1">
        <f>IFERROR(__xludf.DUMMYFUNCTION("""COMPUTED_VALUE"""),8.904479838351E12)</f>
        <v>8904479838351</v>
      </c>
      <c r="F12251" s="1"/>
      <c r="G12251" s="1">
        <f>IFERROR(__xludf.DUMMYFUNCTION("""COMPUTED_VALUE"""),1.25)</f>
        <v>1.25</v>
      </c>
      <c r="H12251" s="2">
        <f>IFERROR(__xludf.DUMMYFUNCTION("""COMPUTED_VALUE"""),1.25)</f>
        <v>1.25</v>
      </c>
      <c r="I12251" s="5">
        <f>IFERROR(__xludf.DUMMYFUNCTION("""COMPUTED_VALUE"""),1.0)</f>
        <v>1</v>
      </c>
      <c r="J12251" s="1" t="str">
        <f>IFERROR(__xludf.DUMMYFUNCTION("""COMPUTED_VALUE"""),"Ana Lazaro")</f>
        <v>Ana Lazaro</v>
      </c>
      <c r="K12251" s="1" t="str">
        <f>IFERROR(__xludf.DUMMYFUNCTION("""COMPUTED_VALUE"""),"Advanced Billing &amp; Subscriptions")</f>
        <v>Advanced Billing &amp; Subscriptions</v>
      </c>
      <c r="L12251" s="1" t="str">
        <f>IFERROR(__xludf.DUMMYFUNCTION("""COMPUTED_VALUE"""),"CPS Advanced Billing and Subscriptions (ABS)")</f>
        <v>CPS Advanced Billing and Subscriptions (ABS)</v>
      </c>
    </row>
    <row r="12252">
      <c r="A12252" s="1" t="str">
        <f>IFERROR(__xludf.DUMMYFUNCTION("""COMPUTED_VALUE"""),"2026 Apr")</f>
        <v>2026 Apr</v>
      </c>
      <c r="B12252" s="4">
        <f>IFERROR(__xludf.DUMMYFUNCTION("""COMPUTED_VALUE"""),46139.0)</f>
        <v>46139</v>
      </c>
      <c r="C12252" s="1" t="str">
        <f>IFERROR(__xludf.DUMMYFUNCTION("""COMPUTED_VALUE"""),"Segment-specific Support")</f>
        <v>Segment-specific Support</v>
      </c>
      <c r="D12252" s="1" t="str">
        <f>IFERROR(__xludf.DUMMYFUNCTION("""COMPUTED_VALUE"""),"702a1682-65ec-47f2-b736-d60aecc92e68")</f>
        <v>702a1682-65ec-47f2-b736-d60aecc92e68</v>
      </c>
      <c r="E12252" s="1">
        <f>IFERROR(__xludf.DUMMYFUNCTION("""COMPUTED_VALUE"""),3.61726425496E11)</f>
        <v>361726425496</v>
      </c>
      <c r="F12252" s="1"/>
      <c r="G12252" s="1"/>
      <c r="H12252" s="2">
        <f>IFERROR(__xludf.DUMMYFUNCTION("""COMPUTED_VALUE"""),0.0)</f>
        <v>0</v>
      </c>
      <c r="I12252" s="5"/>
      <c r="J12252" s="1" t="str">
        <f>IFERROR(__xludf.DUMMYFUNCTION("""COMPUTED_VALUE"""),"Aileen Dayanghirang")</f>
        <v>Aileen Dayanghirang</v>
      </c>
      <c r="K12252" s="1" t="str">
        <f>IFERROR(__xludf.DUMMYFUNCTION("""COMPUTED_VALUE"""),"Creators Support")</f>
        <v>Creators Support</v>
      </c>
      <c r="L12252" s="1" t="str">
        <f>IFERROR(__xludf.DUMMYFUNCTION("""COMPUTED_VALUE"""),"SSS Creators")</f>
        <v>SSS Creators</v>
      </c>
    </row>
    <row r="12253">
      <c r="A12253" s="1" t="str">
        <f>IFERROR(__xludf.DUMMYFUNCTION("""COMPUTED_VALUE"""),"2026 Apr")</f>
        <v>2026 Apr</v>
      </c>
      <c r="B12253" s="4">
        <f>IFERROR(__xludf.DUMMYFUNCTION("""COMPUTED_VALUE"""),46139.0)</f>
        <v>46139</v>
      </c>
      <c r="C12253" s="1" t="str">
        <f>IFERROR(__xludf.DUMMYFUNCTION("""COMPUTED_VALUE"""),"Print Support")</f>
        <v>Print Support</v>
      </c>
      <c r="D12253" s="1" t="str">
        <f>IFERROR(__xludf.DUMMYFUNCTION("""COMPUTED_VALUE"""),"5b9a60b0-b877-48e1-8013-eb7cdd15bd64")</f>
        <v>5b9a60b0-b877-48e1-8013-eb7cdd15bd64</v>
      </c>
      <c r="E12253" s="1">
        <f>IFERROR(__xludf.DUMMYFUNCTION("""COMPUTED_VALUE"""),3.61825394516E11)</f>
        <v>361825394516</v>
      </c>
      <c r="F12253" s="1"/>
      <c r="G12253" s="1"/>
      <c r="H12253" s="2">
        <f>IFERROR(__xludf.DUMMYFUNCTION("""COMPUTED_VALUE"""),0.0)</f>
        <v>0</v>
      </c>
      <c r="I12253" s="5"/>
      <c r="J12253" s="1" t="str">
        <f>IFERROR(__xludf.DUMMYFUNCTION("""COMPUTED_VALUE"""),"G-Anne Murillo")</f>
        <v>G-Anne Murillo</v>
      </c>
      <c r="K12253" s="1" t="str">
        <f>IFERROR(__xludf.DUMMYFUNCTION("""COMPUTED_VALUE"""),"Print Design Support")</f>
        <v>Print Design Support</v>
      </c>
      <c r="L12253" s="1" t="str">
        <f>IFERROR(__xludf.DUMMYFUNCTION("""COMPUTED_VALUE"""),"Print Print Design")</f>
        <v>Print Print Design</v>
      </c>
    </row>
    <row r="12254">
      <c r="A12254" s="1" t="str">
        <f>IFERROR(__xludf.DUMMYFUNCTION("""COMPUTED_VALUE"""),"2026 Apr")</f>
        <v>2026 Apr</v>
      </c>
      <c r="B12254" s="4">
        <f>IFERROR(__xludf.DUMMYFUNCTION("""COMPUTED_VALUE"""),46139.0)</f>
        <v>46139</v>
      </c>
      <c r="C12254" s="1" t="str">
        <f>IFERROR(__xludf.DUMMYFUNCTION("""COMPUTED_VALUE"""),"Admin Support")</f>
        <v>Admin Support</v>
      </c>
      <c r="D12254" s="1" t="str">
        <f>IFERROR(__xludf.DUMMYFUNCTION("""COMPUTED_VALUE"""),"582c23f3-af21-4402-83b6-920f8fd6fe88")</f>
        <v>582c23f3-af21-4402-83b6-920f8fd6fe88</v>
      </c>
      <c r="E12254" s="1">
        <f>IFERROR(__xludf.DUMMYFUNCTION("""COMPUTED_VALUE"""),5.566843512207E12)</f>
        <v>5566843512207</v>
      </c>
      <c r="F12254" s="1"/>
      <c r="G12254" s="1">
        <f>IFERROR(__xludf.DUMMYFUNCTION("""COMPUTED_VALUE"""),0.25)</f>
        <v>0.25</v>
      </c>
      <c r="H12254" s="2">
        <f>IFERROR(__xludf.DUMMYFUNCTION("""COMPUTED_VALUE"""),0.25)</f>
        <v>0.25</v>
      </c>
      <c r="I12254" s="5">
        <f>IFERROR(__xludf.DUMMYFUNCTION("""COMPUTED_VALUE"""),1.0)</f>
        <v>1</v>
      </c>
      <c r="J12254" s="1" t="str">
        <f>IFERROR(__xludf.DUMMYFUNCTION("""COMPUTED_VALUE"""),"AL Suarez")</f>
        <v>AL Suarez</v>
      </c>
      <c r="K12254" s="1" t="str">
        <f>IFERROR(__xludf.DUMMYFUNCTION("""COMPUTED_VALUE"""),"Print Support PH")</f>
        <v>Print Support PH</v>
      </c>
      <c r="L12254" s="1" t="str">
        <f>IFERROR(__xludf.DUMMYFUNCTION("""COMPUTED_VALUE"""),"Print Print - CHT")</f>
        <v>Print Print - CHT</v>
      </c>
    </row>
    <row r="12255">
      <c r="A12255" s="1" t="str">
        <f>IFERROR(__xludf.DUMMYFUNCTION("""COMPUTED_VALUE"""),"2026 Apr")</f>
        <v>2026 Apr</v>
      </c>
      <c r="B12255" s="4">
        <f>IFERROR(__xludf.DUMMYFUNCTION("""COMPUTED_VALUE"""),46139.0)</f>
        <v>46139</v>
      </c>
      <c r="C12255" s="1" t="str">
        <f>IFERROR(__xludf.DUMMYFUNCTION("""COMPUTED_VALUE"""),"Core Product Support")</f>
        <v>Core Product Support</v>
      </c>
      <c r="D12255" s="1" t="str">
        <f>IFERROR(__xludf.DUMMYFUNCTION("""COMPUTED_VALUE"""),"09e60261-b17e-4b45-ad03-6bfb6c6777b6")</f>
        <v>09e60261-b17e-4b45-ad03-6bfb6c6777b6</v>
      </c>
      <c r="E12255" s="1">
        <f>IFERROR(__xludf.DUMMYFUNCTION("""COMPUTED_VALUE"""),1.0548600594575E13)</f>
        <v>10548600594575</v>
      </c>
      <c r="F12255" s="1"/>
      <c r="G12255" s="1">
        <f>IFERROR(__xludf.DUMMYFUNCTION("""COMPUTED_VALUE"""),1.25)</f>
        <v>1.25</v>
      </c>
      <c r="H12255" s="2">
        <f>IFERROR(__xludf.DUMMYFUNCTION("""COMPUTED_VALUE"""),1.25)</f>
        <v>1.25</v>
      </c>
      <c r="I12255" s="5">
        <f>IFERROR(__xludf.DUMMYFUNCTION("""COMPUTED_VALUE"""),1.0)</f>
        <v>1</v>
      </c>
      <c r="J12255" s="1" t="str">
        <f>IFERROR(__xludf.DUMMYFUNCTION("""COMPUTED_VALUE"""),"Jem Mondoñedo")</f>
        <v>Jem Mondoñedo</v>
      </c>
      <c r="K12255" s="1" t="str">
        <f>IFERROR(__xludf.DUMMYFUNCTION("""COMPUTED_VALUE"""),"Advanced Billing &amp; Subscriptions")</f>
        <v>Advanced Billing &amp; Subscriptions</v>
      </c>
      <c r="L12255" s="1" t="str">
        <f>IFERROR(__xludf.DUMMYFUNCTION("""COMPUTED_VALUE"""),"CPS Advanced Billing and Subscriptions (ABS)")</f>
        <v>CPS Advanced Billing and Subscriptions (ABS)</v>
      </c>
    </row>
    <row r="12256">
      <c r="A12256" s="1" t="str">
        <f>IFERROR(__xludf.DUMMYFUNCTION("""COMPUTED_VALUE"""),"2026 Apr")</f>
        <v>2026 Apr</v>
      </c>
      <c r="B12256" s="4">
        <f>IFERROR(__xludf.DUMMYFUNCTION("""COMPUTED_VALUE"""),46139.0)</f>
        <v>46139</v>
      </c>
      <c r="C12256" s="1" t="str">
        <f>IFERROR(__xludf.DUMMYFUNCTION("""COMPUTED_VALUE"""),"Multilingual Support")</f>
        <v>Multilingual Support</v>
      </c>
      <c r="D12256" s="1" t="str">
        <f>IFERROR(__xludf.DUMMYFUNCTION("""COMPUTED_VALUE"""),"a08e6c23-8f56-4eb2-a86d-ff398e709601")</f>
        <v>a08e6c23-8f56-4eb2-a86d-ff398e709601</v>
      </c>
      <c r="E12256" s="1">
        <f>IFERROR(__xludf.DUMMYFUNCTION("""COMPUTED_VALUE"""),3.61744520136E11)</f>
        <v>361744520136</v>
      </c>
      <c r="F12256" s="1"/>
      <c r="G12256" s="1"/>
      <c r="H12256" s="2">
        <f>IFERROR(__xludf.DUMMYFUNCTION("""COMPUTED_VALUE"""),0.0)</f>
        <v>0</v>
      </c>
      <c r="I12256" s="5"/>
      <c r="J12256" s="1" t="str">
        <f>IFERROR(__xludf.DUMMYFUNCTION("""COMPUTED_VALUE"""),"Arlene Maurillo")</f>
        <v>Arlene Maurillo</v>
      </c>
      <c r="K12256" s="1" t="str">
        <f>IFERROR(__xludf.DUMMYFUNCTION("""COMPUTED_VALUE"""),"PHL, Multilingual Support")</f>
        <v>PHL, Multilingual Support</v>
      </c>
      <c r="L12256" s="1" t="str">
        <f>IFERROR(__xludf.DUMMYFUNCTION("""COMPUTED_VALUE"""),"ML Spanish Support")</f>
        <v>ML Spanish Support</v>
      </c>
    </row>
    <row r="12257">
      <c r="A12257" s="1" t="str">
        <f>IFERROR(__xludf.DUMMYFUNCTION("""COMPUTED_VALUE"""),"2026 Apr")</f>
        <v>2026 Apr</v>
      </c>
      <c r="B12257" s="4">
        <f>IFERROR(__xludf.DUMMYFUNCTION("""COMPUTED_VALUE"""),46139.0)</f>
        <v>46139</v>
      </c>
      <c r="C12257" s="1" t="str">
        <f>IFERROR(__xludf.DUMMYFUNCTION("""COMPUTED_VALUE"""),"Core Product Support")</f>
        <v>Core Product Support</v>
      </c>
      <c r="D12257" s="1" t="str">
        <f>IFERROR(__xludf.DUMMYFUNCTION("""COMPUTED_VALUE"""),"9160bc84-9174-4736-bd46-926c52c66223")</f>
        <v>9160bc84-9174-4736-bd46-926c52c66223</v>
      </c>
      <c r="E12257" s="1">
        <f>IFERROR(__xludf.DUMMYFUNCTION("""COMPUTED_VALUE"""),3.61731516675E11)</f>
        <v>361731516675</v>
      </c>
      <c r="F12257" s="1"/>
      <c r="G12257" s="1">
        <f>IFERROR(__xludf.DUMMYFUNCTION("""COMPUTED_VALUE"""),1.25)</f>
        <v>1.25</v>
      </c>
      <c r="H12257" s="2">
        <f>IFERROR(__xludf.DUMMYFUNCTION("""COMPUTED_VALUE"""),1.25)</f>
        <v>1.25</v>
      </c>
      <c r="I12257" s="5">
        <f>IFERROR(__xludf.DUMMYFUNCTION("""COMPUTED_VALUE"""),1.0)</f>
        <v>1</v>
      </c>
      <c r="J12257" s="1" t="str">
        <f>IFERROR(__xludf.DUMMYFUNCTION("""COMPUTED_VALUE"""),"Cherry Macam")</f>
        <v>Cherry Macam</v>
      </c>
      <c r="K12257" s="1" t="str">
        <f>IFERROR(__xludf.DUMMYFUNCTION("""COMPUTED_VALUE"""),"Advanced Billing &amp; Subscriptions")</f>
        <v>Advanced Billing &amp; Subscriptions</v>
      </c>
      <c r="L12257" s="1" t="str">
        <f>IFERROR(__xludf.DUMMYFUNCTION("""COMPUTED_VALUE"""),"CPS Advanced Billing and Subscriptions (ABS)")</f>
        <v>CPS Advanced Billing and Subscriptions (ABS)</v>
      </c>
    </row>
    <row r="12258">
      <c r="A12258" s="1" t="str">
        <f>IFERROR(__xludf.DUMMYFUNCTION("""COMPUTED_VALUE"""),"2026 Apr")</f>
        <v>2026 Apr</v>
      </c>
      <c r="B12258" s="4">
        <f>IFERROR(__xludf.DUMMYFUNCTION("""COMPUTED_VALUE"""),46139.0)</f>
        <v>46139</v>
      </c>
      <c r="C12258" s="1" t="str">
        <f>IFERROR(__xludf.DUMMYFUNCTION("""COMPUTED_VALUE"""),"Core Product Support")</f>
        <v>Core Product Support</v>
      </c>
      <c r="D12258" s="1" t="str">
        <f>IFERROR(__xludf.DUMMYFUNCTION("""COMPUTED_VALUE"""),"4db6d8c1-797e-4f39-9494-3babf0366bc0")</f>
        <v>4db6d8c1-797e-4f39-9494-3babf0366bc0</v>
      </c>
      <c r="E12258" s="1">
        <f>IFERROR(__xludf.DUMMYFUNCTION("""COMPUTED_VALUE"""),3.61731943715E11)</f>
        <v>361731943715</v>
      </c>
      <c r="F12258" s="1"/>
      <c r="G12258" s="1">
        <f>IFERROR(__xludf.DUMMYFUNCTION("""COMPUTED_VALUE"""),2.5)</f>
        <v>2.5</v>
      </c>
      <c r="H12258" s="2">
        <f>IFERROR(__xludf.DUMMYFUNCTION("""COMPUTED_VALUE"""),2.5)</f>
        <v>2.5</v>
      </c>
      <c r="I12258" s="5">
        <f>IFERROR(__xludf.DUMMYFUNCTION("""COMPUTED_VALUE"""),1.0)</f>
        <v>1</v>
      </c>
      <c r="J12258" s="1" t="str">
        <f>IFERROR(__xludf.DUMMYFUNCTION("""COMPUTED_VALUE"""),"Sieg Ballelos")</f>
        <v>Sieg Ballelos</v>
      </c>
      <c r="K12258" s="1" t="str">
        <f>IFERROR(__xludf.DUMMYFUNCTION("""COMPUTED_VALUE"""),"Core Product Support Escalation Team")</f>
        <v>Core Product Support Escalation Team</v>
      </c>
      <c r="L12258"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2259">
      <c r="A12259" s="1" t="str">
        <f>IFERROR(__xludf.DUMMYFUNCTION("""COMPUTED_VALUE"""),"2026 Apr")</f>
        <v>2026 Apr</v>
      </c>
      <c r="B12259" s="4">
        <f>IFERROR(__xludf.DUMMYFUNCTION("""COMPUTED_VALUE"""),46139.0)</f>
        <v>46139</v>
      </c>
      <c r="C12259" s="1" t="str">
        <f>IFERROR(__xludf.DUMMYFUNCTION("""COMPUTED_VALUE"""),"Core Product Support")</f>
        <v>Core Product Support</v>
      </c>
      <c r="D12259" s="1" t="str">
        <f>IFERROR(__xludf.DUMMYFUNCTION("""COMPUTED_VALUE"""),"961e0a53-62a6-4087-8811-6449381daa52")</f>
        <v>961e0a53-62a6-4087-8811-6449381daa52</v>
      </c>
      <c r="E12259" s="1">
        <f>IFERROR(__xludf.DUMMYFUNCTION("""COMPUTED_VALUE"""),3.61694638315E11)</f>
        <v>361694638315</v>
      </c>
      <c r="F12259" s="1"/>
      <c r="G12259" s="1">
        <f>IFERROR(__xludf.DUMMYFUNCTION("""COMPUTED_VALUE"""),0.5)</f>
        <v>0.5</v>
      </c>
      <c r="H12259" s="2">
        <f>IFERROR(__xludf.DUMMYFUNCTION("""COMPUTED_VALUE"""),0.5)</f>
        <v>0.5</v>
      </c>
      <c r="I12259" s="5">
        <f>IFERROR(__xludf.DUMMYFUNCTION("""COMPUTED_VALUE"""),1.0)</f>
        <v>1</v>
      </c>
      <c r="J12259" s="1" t="str">
        <f>IFERROR(__xludf.DUMMYFUNCTION("""COMPUTED_VALUE"""),"Ellaine Estayo")</f>
        <v>Ellaine Estayo</v>
      </c>
      <c r="K12259" s="1" t="str">
        <f>IFERROR(__xludf.DUMMYFUNCTION("""COMPUTED_VALUE"""),"Core Product Support Escalation Team")</f>
        <v>Core Product Support Escalation Team</v>
      </c>
      <c r="L12259"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2260">
      <c r="A12260" s="1" t="str">
        <f>IFERROR(__xludf.DUMMYFUNCTION("""COMPUTED_VALUE"""),"2026 Apr")</f>
        <v>2026 Apr</v>
      </c>
      <c r="B12260" s="4">
        <f>IFERROR(__xludf.DUMMYFUNCTION("""COMPUTED_VALUE"""),46139.0)</f>
        <v>46139</v>
      </c>
      <c r="C12260" s="1" t="str">
        <f>IFERROR(__xludf.DUMMYFUNCTION("""COMPUTED_VALUE"""),"Print Support")</f>
        <v>Print Support</v>
      </c>
      <c r="D12260" s="1" t="str">
        <f>IFERROR(__xludf.DUMMYFUNCTION("""COMPUTED_VALUE"""),"4b906fe3-66c8-454a-a7d0-1f50f4b6cdf4")</f>
        <v>4b906fe3-66c8-454a-a7d0-1f50f4b6cdf4</v>
      </c>
      <c r="E12260" s="1">
        <f>IFERROR(__xludf.DUMMYFUNCTION("""COMPUTED_VALUE"""),3.61825398056E11)</f>
        <v>361825398056</v>
      </c>
      <c r="F12260" s="1"/>
      <c r="G12260" s="1"/>
      <c r="H12260" s="2">
        <f>IFERROR(__xludf.DUMMYFUNCTION("""COMPUTED_VALUE"""),0.0)</f>
        <v>0</v>
      </c>
      <c r="I12260" s="5"/>
      <c r="J12260" s="1" t="str">
        <f>IFERROR(__xludf.DUMMYFUNCTION("""COMPUTED_VALUE"""),"Rei De Jesus")</f>
        <v>Rei De Jesus</v>
      </c>
      <c r="K12260" s="1" t="str">
        <f>IFERROR(__xludf.DUMMYFUNCTION("""COMPUTED_VALUE"""),"Print Design Support")</f>
        <v>Print Design Support</v>
      </c>
      <c r="L12260" s="1" t="str">
        <f>IFERROR(__xludf.DUMMYFUNCTION("""COMPUTED_VALUE"""),"Print Print Design")</f>
        <v>Print Print Design</v>
      </c>
    </row>
    <row r="12261">
      <c r="A12261" s="1" t="str">
        <f>IFERROR(__xludf.DUMMYFUNCTION("""COMPUTED_VALUE"""),"2026 Apr")</f>
        <v>2026 Apr</v>
      </c>
      <c r="B12261" s="4">
        <f>IFERROR(__xludf.DUMMYFUNCTION("""COMPUTED_VALUE"""),46139.0)</f>
        <v>46139</v>
      </c>
      <c r="C12261" s="1" t="str">
        <f>IFERROR(__xludf.DUMMYFUNCTION("""COMPUTED_VALUE"""),"Core Product Support")</f>
        <v>Core Product Support</v>
      </c>
      <c r="D12261" s="1" t="str">
        <f>IFERROR(__xludf.DUMMYFUNCTION("""COMPUTED_VALUE"""),"7f8ea57d-3bc6-435c-ac89-36216f416d2b")</f>
        <v>7f8ea57d-3bc6-435c-ac89-36216f416d2b</v>
      </c>
      <c r="E12261" s="1">
        <f>IFERROR(__xludf.DUMMYFUNCTION("""COMPUTED_VALUE"""),5.202392782223E12)</f>
        <v>5202392782223</v>
      </c>
      <c r="F12261" s="1"/>
      <c r="G12261" s="1">
        <f>IFERROR(__xludf.DUMMYFUNCTION("""COMPUTED_VALUE"""),1.25)</f>
        <v>1.25</v>
      </c>
      <c r="H12261" s="2">
        <f>IFERROR(__xludf.DUMMYFUNCTION("""COMPUTED_VALUE"""),1.25)</f>
        <v>1.25</v>
      </c>
      <c r="I12261" s="5">
        <f>IFERROR(__xludf.DUMMYFUNCTION("""COMPUTED_VALUE"""),1.0)</f>
        <v>1</v>
      </c>
      <c r="J12261" s="1" t="str">
        <f>IFERROR(__xludf.DUMMYFUNCTION("""COMPUTED_VALUE"""),"Renette Bok")</f>
        <v>Renette Bok</v>
      </c>
      <c r="K12261" s="1" t="str">
        <f>IFERROR(__xludf.DUMMYFUNCTION("""COMPUTED_VALUE"""),"Advanced Billing &amp; Subscriptions")</f>
        <v>Advanced Billing &amp; Subscriptions</v>
      </c>
      <c r="L12261" s="1" t="str">
        <f>IFERROR(__xludf.DUMMYFUNCTION("""COMPUTED_VALUE"""),"CPS Advanced Billing and Subscriptions (ABS)")</f>
        <v>CPS Advanced Billing and Subscriptions (ABS)</v>
      </c>
    </row>
    <row r="12262">
      <c r="A12262" s="1" t="str">
        <f>IFERROR(__xludf.DUMMYFUNCTION("""COMPUTED_VALUE"""),"2026 Apr")</f>
        <v>2026 Apr</v>
      </c>
      <c r="B12262" s="4">
        <f>IFERROR(__xludf.DUMMYFUNCTION("""COMPUTED_VALUE"""),46139.0)</f>
        <v>46139</v>
      </c>
      <c r="C12262" s="1" t="str">
        <f>IFERROR(__xludf.DUMMYFUNCTION("""COMPUTED_VALUE"""),"Core Product Support")</f>
        <v>Core Product Support</v>
      </c>
      <c r="D12262" s="1" t="str">
        <f>IFERROR(__xludf.DUMMYFUNCTION("""COMPUTED_VALUE"""),"5aed746e-cb5c-469a-8821-9e6506c7b9e6")</f>
        <v>5aed746e-cb5c-469a-8821-9e6506c7b9e6</v>
      </c>
      <c r="E12262" s="1">
        <f>IFERROR(__xludf.DUMMYFUNCTION("""COMPUTED_VALUE"""),3.61731350535E11)</f>
        <v>361731350535</v>
      </c>
      <c r="F12262" s="1"/>
      <c r="G12262" s="1">
        <f>IFERROR(__xludf.DUMMYFUNCTION("""COMPUTED_VALUE"""),1.25)</f>
        <v>1.25</v>
      </c>
      <c r="H12262" s="2">
        <f>IFERROR(__xludf.DUMMYFUNCTION("""COMPUTED_VALUE"""),1.25)</f>
        <v>1.25</v>
      </c>
      <c r="I12262" s="5">
        <f>IFERROR(__xludf.DUMMYFUNCTION("""COMPUTED_VALUE"""),1.0)</f>
        <v>1</v>
      </c>
      <c r="J12262" s="1" t="str">
        <f>IFERROR(__xludf.DUMMYFUNCTION("""COMPUTED_VALUE"""),"Vinz Lazaro")</f>
        <v>Vinz Lazaro</v>
      </c>
      <c r="K12262" s="1" t="str">
        <f>IFERROR(__xludf.DUMMYFUNCTION("""COMPUTED_VALUE"""),"Advanced Product Support")</f>
        <v>Advanced Product Support</v>
      </c>
      <c r="L12262" s="1" t="str">
        <f>IFERROR(__xludf.DUMMYFUNCTION("""COMPUTED_VALUE"""),"CPS Advanced Product Support (APS)")</f>
        <v>CPS Advanced Product Support (APS)</v>
      </c>
    </row>
    <row r="12263">
      <c r="A12263" s="1" t="str">
        <f>IFERROR(__xludf.DUMMYFUNCTION("""COMPUTED_VALUE"""),"2026 Apr")</f>
        <v>2026 Apr</v>
      </c>
      <c r="B12263" s="4">
        <f>IFERROR(__xludf.DUMMYFUNCTION("""COMPUTED_VALUE"""),46139.0)</f>
        <v>46139</v>
      </c>
      <c r="C12263" s="1" t="str">
        <f>IFERROR(__xludf.DUMMYFUNCTION("""COMPUTED_VALUE"""),"Core Product Support")</f>
        <v>Core Product Support</v>
      </c>
      <c r="D12263" s="1" t="str">
        <f>IFERROR(__xludf.DUMMYFUNCTION("""COMPUTED_VALUE"""),"a5566f0b-0c7b-4dd5-a5bf-cc571ed45f36")</f>
        <v>a5566f0b-0c7b-4dd5-a5bf-cc571ed45f36</v>
      </c>
      <c r="E12263" s="1">
        <f>IFERROR(__xludf.DUMMYFUNCTION("""COMPUTED_VALUE"""),1.0333033796879E13)</f>
        <v>10333033796879</v>
      </c>
      <c r="F12263" s="1"/>
      <c r="G12263" s="1">
        <f>IFERROR(__xludf.DUMMYFUNCTION("""COMPUTED_VALUE"""),1.25)</f>
        <v>1.25</v>
      </c>
      <c r="H12263" s="2">
        <f>IFERROR(__xludf.DUMMYFUNCTION("""COMPUTED_VALUE"""),1.25)</f>
        <v>1.25</v>
      </c>
      <c r="I12263" s="5">
        <f>IFERROR(__xludf.DUMMYFUNCTION("""COMPUTED_VALUE"""),1.0)</f>
        <v>1</v>
      </c>
      <c r="J12263" s="1" t="str">
        <f>IFERROR(__xludf.DUMMYFUNCTION("""COMPUTED_VALUE"""),"Cate Velasco")</f>
        <v>Cate Velasco</v>
      </c>
      <c r="K12263" s="1" t="str">
        <f>IFERROR(__xludf.DUMMYFUNCTION("""COMPUTED_VALUE"""),"Advanced Product Support")</f>
        <v>Advanced Product Support</v>
      </c>
      <c r="L12263" s="1" t="str">
        <f>IFERROR(__xludf.DUMMYFUNCTION("""COMPUTED_VALUE"""),"CPS Advanced Product Support (APS)")</f>
        <v>CPS Advanced Product Support (APS)</v>
      </c>
    </row>
    <row r="12264">
      <c r="A12264" s="1" t="str">
        <f>IFERROR(__xludf.DUMMYFUNCTION("""COMPUTED_VALUE"""),"2026 Apr")</f>
        <v>2026 Apr</v>
      </c>
      <c r="B12264" s="4">
        <f>IFERROR(__xludf.DUMMYFUNCTION("""COMPUTED_VALUE"""),46139.0)</f>
        <v>46139</v>
      </c>
      <c r="C12264" s="1" t="str">
        <f>IFERROR(__xludf.DUMMYFUNCTION("""COMPUTED_VALUE"""),"Segment-specific Support")</f>
        <v>Segment-specific Support</v>
      </c>
      <c r="D12264" s="1" t="str">
        <f>IFERROR(__xludf.DUMMYFUNCTION("""COMPUTED_VALUE"""),"98f36067-d801-431b-ba9a-fcb9a6ae433a")</f>
        <v>98f36067-d801-431b-ba9a-fcb9a6ae433a</v>
      </c>
      <c r="E12264" s="1">
        <f>IFERROR(__xludf.DUMMYFUNCTION("""COMPUTED_VALUE"""),3.61731350795E11)</f>
        <v>361731350795</v>
      </c>
      <c r="F12264" s="1"/>
      <c r="G12264" s="1"/>
      <c r="H12264" s="2">
        <f>IFERROR(__xludf.DUMMYFUNCTION("""COMPUTED_VALUE"""),0.0)</f>
        <v>0</v>
      </c>
      <c r="I12264" s="5"/>
      <c r="J12264" s="1" t="str">
        <f>IFERROR(__xludf.DUMMYFUNCTION("""COMPUTED_VALUE"""),"Rose Gabilan")</f>
        <v>Rose Gabilan</v>
      </c>
      <c r="K12264" s="1" t="str">
        <f>IFERROR(__xludf.DUMMYFUNCTION("""COMPUTED_VALUE"""),"Affinity Support")</f>
        <v>Affinity Support</v>
      </c>
      <c r="L12264" s="1" t="str">
        <f>IFERROR(__xludf.DUMMYFUNCTION("""COMPUTED_VALUE"""),"SSS Affinity - L1")</f>
        <v>SSS Affinity - L1</v>
      </c>
    </row>
    <row r="12265">
      <c r="A12265" s="1" t="str">
        <f>IFERROR(__xludf.DUMMYFUNCTION("""COMPUTED_VALUE"""),"2026 Apr")</f>
        <v>2026 Apr</v>
      </c>
      <c r="B12265" s="4">
        <f>IFERROR(__xludf.DUMMYFUNCTION("""COMPUTED_VALUE"""),46139.0)</f>
        <v>46139</v>
      </c>
      <c r="C12265" s="1" t="str">
        <f>IFERROR(__xludf.DUMMYFUNCTION("""COMPUTED_VALUE"""),"Core Product Support")</f>
        <v>Core Product Support</v>
      </c>
      <c r="D12265" s="1" t="str">
        <f>IFERROR(__xludf.DUMMYFUNCTION("""COMPUTED_VALUE"""),"7d586eb5-1b74-4e56-b56f-6c2807700cb7")</f>
        <v>7d586eb5-1b74-4e56-b56f-6c2807700cb7</v>
      </c>
      <c r="E12265" s="1">
        <f>IFERROR(__xludf.DUMMYFUNCTION("""COMPUTED_VALUE"""),5.202378938383E12)</f>
        <v>5202378938383</v>
      </c>
      <c r="F12265" s="1"/>
      <c r="G12265" s="1">
        <f>IFERROR(__xludf.DUMMYFUNCTION("""COMPUTED_VALUE"""),2.5)</f>
        <v>2.5</v>
      </c>
      <c r="H12265" s="2">
        <f>IFERROR(__xludf.DUMMYFUNCTION("""COMPUTED_VALUE"""),2.5)</f>
        <v>2.5</v>
      </c>
      <c r="I12265" s="5">
        <f>IFERROR(__xludf.DUMMYFUNCTION("""COMPUTED_VALUE"""),1.0)</f>
        <v>1</v>
      </c>
      <c r="J12265" s="1" t="str">
        <f>IFERROR(__xludf.DUMMYFUNCTION("""COMPUTED_VALUE"""),"Sieg Ballelos")</f>
        <v>Sieg Ballelos</v>
      </c>
      <c r="K12265" s="1" t="str">
        <f>IFERROR(__xludf.DUMMYFUNCTION("""COMPUTED_VALUE"""),"Core Product Support Escalation Team")</f>
        <v>Core Product Support Escalation Team</v>
      </c>
      <c r="L12265"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2266">
      <c r="A12266" s="1" t="str">
        <f>IFERROR(__xludf.DUMMYFUNCTION("""COMPUTED_VALUE"""),"2026 Apr")</f>
        <v>2026 Apr</v>
      </c>
      <c r="B12266" s="4">
        <f>IFERROR(__xludf.DUMMYFUNCTION("""COMPUTED_VALUE"""),46139.0)</f>
        <v>46139</v>
      </c>
      <c r="C12266" s="1" t="str">
        <f>IFERROR(__xludf.DUMMYFUNCTION("""COMPUTED_VALUE"""),"Core Product Support")</f>
        <v>Core Product Support</v>
      </c>
      <c r="D12266" s="1" t="str">
        <f>IFERROR(__xludf.DUMMYFUNCTION("""COMPUTED_VALUE"""),"c7d7e66b-4dfe-47b9-a47f-66af76d8fb19")</f>
        <v>c7d7e66b-4dfe-47b9-a47f-66af76d8fb19</v>
      </c>
      <c r="E12266" s="1">
        <f>IFERROR(__xludf.DUMMYFUNCTION("""COMPUTED_VALUE"""),1.1401981374607E13)</f>
        <v>11401981374607</v>
      </c>
      <c r="F12266" s="1"/>
      <c r="G12266" s="1">
        <f>IFERROR(__xludf.DUMMYFUNCTION("""COMPUTED_VALUE"""),1.25)</f>
        <v>1.25</v>
      </c>
      <c r="H12266" s="2">
        <f>IFERROR(__xludf.DUMMYFUNCTION("""COMPUTED_VALUE"""),1.25)</f>
        <v>1.25</v>
      </c>
      <c r="I12266" s="5">
        <f>IFERROR(__xludf.DUMMYFUNCTION("""COMPUTED_VALUE"""),1.0)</f>
        <v>1</v>
      </c>
      <c r="J12266" s="1" t="str">
        <f>IFERROR(__xludf.DUMMYFUNCTION("""COMPUTED_VALUE"""),"Belle Bentazal")</f>
        <v>Belle Bentazal</v>
      </c>
      <c r="K12266" s="1" t="str">
        <f>IFERROR(__xludf.DUMMYFUNCTION("""COMPUTED_VALUE"""),"Advanced Product Support")</f>
        <v>Advanced Product Support</v>
      </c>
      <c r="L12266" s="1" t="str">
        <f>IFERROR(__xludf.DUMMYFUNCTION("""COMPUTED_VALUE"""),"CPS Advanced Product Support (APS)")</f>
        <v>CPS Advanced Product Support (APS)</v>
      </c>
    </row>
    <row r="12267">
      <c r="A12267" s="1" t="str">
        <f>IFERROR(__xludf.DUMMYFUNCTION("""COMPUTED_VALUE"""),"2026 Apr")</f>
        <v>2026 Apr</v>
      </c>
      <c r="B12267" s="4">
        <f>IFERROR(__xludf.DUMMYFUNCTION("""COMPUTED_VALUE"""),46139.0)</f>
        <v>46139</v>
      </c>
      <c r="C12267" s="1" t="str">
        <f>IFERROR(__xludf.DUMMYFUNCTION("""COMPUTED_VALUE"""),"Print Support")</f>
        <v>Print Support</v>
      </c>
      <c r="D12267" s="1" t="str">
        <f>IFERROR(__xludf.DUMMYFUNCTION("""COMPUTED_VALUE"""),"10b96ef4-077e-4868-9c27-17d96d8b4f68")</f>
        <v>10b96ef4-077e-4868-9c27-17d96d8b4f68</v>
      </c>
      <c r="E12267" s="1">
        <f>IFERROR(__xludf.DUMMYFUNCTION("""COMPUTED_VALUE"""),3.61744117796E11)</f>
        <v>361744117796</v>
      </c>
      <c r="F12267" s="1"/>
      <c r="G12267" s="1"/>
      <c r="H12267" s="2">
        <f>IFERROR(__xludf.DUMMYFUNCTION("""COMPUTED_VALUE"""),0.0)</f>
        <v>0</v>
      </c>
      <c r="I12267" s="5"/>
      <c r="J12267" s="1" t="str">
        <f>IFERROR(__xludf.DUMMYFUNCTION("""COMPUTED_VALUE"""),"Jen Momo")</f>
        <v>Jen Momo</v>
      </c>
      <c r="K12267" s="1" t="str">
        <f>IFERROR(__xludf.DUMMYFUNCTION("""COMPUTED_VALUE"""),"Print Support PH")</f>
        <v>Print Support PH</v>
      </c>
      <c r="L12267" s="1" t="str">
        <f>IFERROR(__xludf.DUMMYFUNCTION("""COMPUTED_VALUE"""),"Print Print - CHT")</f>
        <v>Print Print - CHT</v>
      </c>
    </row>
    <row r="12268">
      <c r="A12268" s="1" t="str">
        <f>IFERROR(__xludf.DUMMYFUNCTION("""COMPUTED_VALUE"""),"2026 Apr")</f>
        <v>2026 Apr</v>
      </c>
      <c r="B12268" s="4">
        <f>IFERROR(__xludf.DUMMYFUNCTION("""COMPUTED_VALUE"""),46139.0)</f>
        <v>46139</v>
      </c>
      <c r="C12268" s="1" t="str">
        <f>IFERROR(__xludf.DUMMYFUNCTION("""COMPUTED_VALUE"""),"Print Support")</f>
        <v>Print Support</v>
      </c>
      <c r="D12268" s="1" t="str">
        <f>IFERROR(__xludf.DUMMYFUNCTION("""COMPUTED_VALUE"""),"12eca747-9244-47cb-894e-d3c873c08566")</f>
        <v>12eca747-9244-47cb-894e-d3c873c08566</v>
      </c>
      <c r="E12268" s="1">
        <f>IFERROR(__xludf.DUMMYFUNCTION("""COMPUTED_VALUE"""),1.0548625681423E13)</f>
        <v>10548625681423</v>
      </c>
      <c r="F12268" s="1"/>
      <c r="G12268" s="1"/>
      <c r="H12268" s="2">
        <f>IFERROR(__xludf.DUMMYFUNCTION("""COMPUTED_VALUE"""),0.0)</f>
        <v>0</v>
      </c>
      <c r="I12268" s="5"/>
      <c r="J12268" s="1" t="str">
        <f>IFERROR(__xludf.DUMMYFUNCTION("""COMPUTED_VALUE"""),"Louise Dianne Estrella")</f>
        <v>Louise Dianne Estrella</v>
      </c>
      <c r="K12268" s="1" t="str">
        <f>IFERROR(__xludf.DUMMYFUNCTION("""COMPUTED_VALUE"""),"Print Support PH")</f>
        <v>Print Support PH</v>
      </c>
      <c r="L12268" s="1" t="str">
        <f>IFERROR(__xludf.DUMMYFUNCTION("""COMPUTED_VALUE"""),"Print Print - CHT")</f>
        <v>Print Print - CHT</v>
      </c>
    </row>
    <row r="12269">
      <c r="A12269" s="1" t="str">
        <f>IFERROR(__xludf.DUMMYFUNCTION("""COMPUTED_VALUE"""),"2026 Apr")</f>
        <v>2026 Apr</v>
      </c>
      <c r="B12269" s="4">
        <f>IFERROR(__xludf.DUMMYFUNCTION("""COMPUTED_VALUE"""),46139.0)</f>
        <v>46139</v>
      </c>
      <c r="C12269" s="1" t="str">
        <f>IFERROR(__xludf.DUMMYFUNCTION("""COMPUTED_VALUE"""),"Multilingual Support")</f>
        <v>Multilingual Support</v>
      </c>
      <c r="D12269" s="1" t="str">
        <f>IFERROR(__xludf.DUMMYFUNCTION("""COMPUTED_VALUE"""),"757d9757-27bf-49d1-a07c-15a426289b02")</f>
        <v>757d9757-27bf-49d1-a07c-15a426289b02</v>
      </c>
      <c r="E12269" s="1">
        <f>IFERROR(__xludf.DUMMYFUNCTION("""COMPUTED_VALUE"""),1.1819962468111E13)</f>
        <v>11819962468111</v>
      </c>
      <c r="F12269" s="1"/>
      <c r="G12269" s="1"/>
      <c r="H12269" s="2">
        <f>IFERROR(__xludf.DUMMYFUNCTION("""COMPUTED_VALUE"""),0.0)</f>
        <v>0</v>
      </c>
      <c r="I12269" s="5"/>
      <c r="J12269" s="1" t="str">
        <f>IFERROR(__xludf.DUMMYFUNCTION("""COMPUTED_VALUE"""),"Arlene Maurillo")</f>
        <v>Arlene Maurillo</v>
      </c>
      <c r="K12269" s="1" t="str">
        <f>IFERROR(__xludf.DUMMYFUNCTION("""COMPUTED_VALUE"""),"PHL, Multilingual Support")</f>
        <v>PHL, Multilingual Support</v>
      </c>
      <c r="L12269" s="1" t="str">
        <f>IFERROR(__xludf.DUMMYFUNCTION("""COMPUTED_VALUE"""),"ML Spanish Support")</f>
        <v>ML Spanish Support</v>
      </c>
    </row>
    <row r="12270">
      <c r="A12270" s="1" t="str">
        <f>IFERROR(__xludf.DUMMYFUNCTION("""COMPUTED_VALUE"""),"2026 Apr")</f>
        <v>2026 Apr</v>
      </c>
      <c r="B12270" s="4">
        <f>IFERROR(__xludf.DUMMYFUNCTION("""COMPUTED_VALUE"""),46139.0)</f>
        <v>46139</v>
      </c>
      <c r="C12270" s="1" t="str">
        <f>IFERROR(__xludf.DUMMYFUNCTION("""COMPUTED_VALUE"""),"Core Product Support")</f>
        <v>Core Product Support</v>
      </c>
      <c r="D12270" s="1" t="str">
        <f>IFERROR(__xludf.DUMMYFUNCTION("""COMPUTED_VALUE"""),"a3fade96-9131-4bb4-90c2-f54d385ec4bf")</f>
        <v>a3fade96-9131-4bb4-90c2-f54d385ec4bf</v>
      </c>
      <c r="E12270" s="1">
        <f>IFERROR(__xludf.DUMMYFUNCTION("""COMPUTED_VALUE"""),3.61724829156E11)</f>
        <v>361724829156</v>
      </c>
      <c r="F12270" s="1"/>
      <c r="G12270" s="1">
        <f>IFERROR(__xludf.DUMMYFUNCTION("""COMPUTED_VALUE"""),2.5)</f>
        <v>2.5</v>
      </c>
      <c r="H12270" s="2">
        <f>IFERROR(__xludf.DUMMYFUNCTION("""COMPUTED_VALUE"""),2.5)</f>
        <v>2.5</v>
      </c>
      <c r="I12270" s="5">
        <f>IFERROR(__xludf.DUMMYFUNCTION("""COMPUTED_VALUE"""),1.0)</f>
        <v>1</v>
      </c>
      <c r="J12270" s="1" t="str">
        <f>IFERROR(__xludf.DUMMYFUNCTION("""COMPUTED_VALUE"""),"Sieg Ballelos")</f>
        <v>Sieg Ballelos</v>
      </c>
      <c r="K12270" s="1" t="str">
        <f>IFERROR(__xludf.DUMMYFUNCTION("""COMPUTED_VALUE"""),"Core Product Support Escalation Team")</f>
        <v>Core Product Support Escalation Team</v>
      </c>
      <c r="L12270"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2271">
      <c r="A12271" s="1" t="str">
        <f>IFERROR(__xludf.DUMMYFUNCTION("""COMPUTED_VALUE"""),"2026 Apr")</f>
        <v>2026 Apr</v>
      </c>
      <c r="B12271" s="4">
        <f>IFERROR(__xludf.DUMMYFUNCTION("""COMPUTED_VALUE"""),46139.0)</f>
        <v>46139</v>
      </c>
      <c r="C12271" s="1" t="str">
        <f>IFERROR(__xludf.DUMMYFUNCTION("""COMPUTED_VALUE"""),"Admin Support")</f>
        <v>Admin Support</v>
      </c>
      <c r="D12271" s="1" t="str">
        <f>IFERROR(__xludf.DUMMYFUNCTION("""COMPUTED_VALUE"""),"09d87fc9-bd97-4b66-b6e5-fc2d50b135a4")</f>
        <v>09d87fc9-bd97-4b66-b6e5-fc2d50b135a4</v>
      </c>
      <c r="E12271" s="1">
        <f>IFERROR(__xludf.DUMMYFUNCTION("""COMPUTED_VALUE"""),3.61725260596E11)</f>
        <v>361725260596</v>
      </c>
      <c r="F12271" s="1"/>
      <c r="G12271" s="1">
        <f>IFERROR(__xludf.DUMMYFUNCTION("""COMPUTED_VALUE"""),0.25)</f>
        <v>0.25</v>
      </c>
      <c r="H12271" s="2">
        <f>IFERROR(__xludf.DUMMYFUNCTION("""COMPUTED_VALUE"""),0.25)</f>
        <v>0.25</v>
      </c>
      <c r="I12271" s="5">
        <f>IFERROR(__xludf.DUMMYFUNCTION("""COMPUTED_VALUE"""),1.0)</f>
        <v>1</v>
      </c>
      <c r="J12271" s="1" t="str">
        <f>IFERROR(__xludf.DUMMYFUNCTION("""COMPUTED_VALUE"""),"AL Suarez")</f>
        <v>AL Suarez</v>
      </c>
      <c r="K12271" s="1" t="str">
        <f>IFERROR(__xludf.DUMMYFUNCTION("""COMPUTED_VALUE"""),"Admin Direct Support")</f>
        <v>Admin Direct Support</v>
      </c>
      <c r="L12271" s="1" t="str">
        <f>IFERROR(__xludf.DUMMYFUNCTION("""COMPUTED_VALUE"""),"Admin Direct Support")</f>
        <v>Admin Direct Support</v>
      </c>
    </row>
    <row r="12272">
      <c r="A12272" s="1" t="str">
        <f>IFERROR(__xludf.DUMMYFUNCTION("""COMPUTED_VALUE"""),"2026 Apr")</f>
        <v>2026 Apr</v>
      </c>
      <c r="B12272" s="4">
        <f>IFERROR(__xludf.DUMMYFUNCTION("""COMPUTED_VALUE"""),46139.0)</f>
        <v>46139</v>
      </c>
      <c r="C12272" s="1" t="str">
        <f>IFERROR(__xludf.DUMMYFUNCTION("""COMPUTED_VALUE"""),"Core Product Support")</f>
        <v>Core Product Support</v>
      </c>
      <c r="D12272" s="1" t="str">
        <f>IFERROR(__xludf.DUMMYFUNCTION("""COMPUTED_VALUE"""),"f955e205-68df-47fa-8f47-3ee8758dc76e")</f>
        <v>f955e205-68df-47fa-8f47-3ee8758dc76e</v>
      </c>
      <c r="E12272" s="1">
        <f>IFERROR(__xludf.DUMMYFUNCTION("""COMPUTED_VALUE"""),6.839679630095E12)</f>
        <v>6839679630095</v>
      </c>
      <c r="F12272" s="1"/>
      <c r="G12272" s="1">
        <f>IFERROR(__xludf.DUMMYFUNCTION("""COMPUTED_VALUE"""),1.25)</f>
        <v>1.25</v>
      </c>
      <c r="H12272" s="2">
        <f>IFERROR(__xludf.DUMMYFUNCTION("""COMPUTED_VALUE"""),1.25)</f>
        <v>1.25</v>
      </c>
      <c r="I12272" s="5">
        <f>IFERROR(__xludf.DUMMYFUNCTION("""COMPUTED_VALUE"""),1.0)</f>
        <v>1</v>
      </c>
      <c r="J12272" s="1" t="str">
        <f>IFERROR(__xludf.DUMMYFUNCTION("""COMPUTED_VALUE"""),"Ayza Marie Pascual")</f>
        <v>Ayza Marie Pascual</v>
      </c>
      <c r="K12272" s="1" t="str">
        <f>IFERROR(__xludf.DUMMYFUNCTION("""COMPUTED_VALUE"""),"Advanced Billing &amp; Subscriptions")</f>
        <v>Advanced Billing &amp; Subscriptions</v>
      </c>
      <c r="L12272" s="1" t="str">
        <f>IFERROR(__xludf.DUMMYFUNCTION("""COMPUTED_VALUE"""),"CPS Advanced Billing and Subscriptions (ABS)")</f>
        <v>CPS Advanced Billing and Subscriptions (ABS)</v>
      </c>
    </row>
    <row r="12273">
      <c r="A12273" s="1" t="str">
        <f>IFERROR(__xludf.DUMMYFUNCTION("""COMPUTED_VALUE"""),"2026 Apr")</f>
        <v>2026 Apr</v>
      </c>
      <c r="B12273" s="4">
        <f>IFERROR(__xludf.DUMMYFUNCTION("""COMPUTED_VALUE"""),46139.0)</f>
        <v>46139</v>
      </c>
      <c r="C12273" s="1" t="str">
        <f>IFERROR(__xludf.DUMMYFUNCTION("""COMPUTED_VALUE"""),"Core Product Support")</f>
        <v>Core Product Support</v>
      </c>
      <c r="D12273" s="1" t="str">
        <f>IFERROR(__xludf.DUMMYFUNCTION("""COMPUTED_VALUE"""),"00be8036-de23-4dcc-a683-b039df965fa3")</f>
        <v>00be8036-de23-4dcc-a683-b039df965fa3</v>
      </c>
      <c r="E12273" s="1">
        <f>IFERROR(__xludf.DUMMYFUNCTION("""COMPUTED_VALUE"""),3.61861298295E11)</f>
        <v>361861298295</v>
      </c>
      <c r="F12273" s="1"/>
      <c r="G12273" s="1">
        <f>IFERROR(__xludf.DUMMYFUNCTION("""COMPUTED_VALUE"""),2.5)</f>
        <v>2.5</v>
      </c>
      <c r="H12273" s="2">
        <f>IFERROR(__xludf.DUMMYFUNCTION("""COMPUTED_VALUE"""),2.5)</f>
        <v>2.5</v>
      </c>
      <c r="I12273" s="5">
        <f>IFERROR(__xludf.DUMMYFUNCTION("""COMPUTED_VALUE"""),1.0)</f>
        <v>1</v>
      </c>
      <c r="J12273" s="1" t="str">
        <f>IFERROR(__xludf.DUMMYFUNCTION("""COMPUTED_VALUE"""),"Ellaine Estayo")</f>
        <v>Ellaine Estayo</v>
      </c>
      <c r="K12273" s="1" t="str">
        <f>IFERROR(__xludf.DUMMYFUNCTION("""COMPUTED_VALUE"""),"Core Product Support Escalation Team")</f>
        <v>Core Product Support Escalation Team</v>
      </c>
      <c r="L12273"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2274">
      <c r="A12274" s="1" t="str">
        <f>IFERROR(__xludf.DUMMYFUNCTION("""COMPUTED_VALUE"""),"2026 Apr")</f>
        <v>2026 Apr</v>
      </c>
      <c r="B12274" s="4">
        <f>IFERROR(__xludf.DUMMYFUNCTION("""COMPUTED_VALUE"""),46139.0)</f>
        <v>46139</v>
      </c>
      <c r="C12274" s="1" t="str">
        <f>IFERROR(__xludf.DUMMYFUNCTION("""COMPUTED_VALUE"""),"Core Product Support")</f>
        <v>Core Product Support</v>
      </c>
      <c r="D12274" s="1" t="str">
        <f>IFERROR(__xludf.DUMMYFUNCTION("""COMPUTED_VALUE"""),"5f0096f6-f7a7-4fe8-ac45-0435aaacdfb4")</f>
        <v>5f0096f6-f7a7-4fe8-ac45-0435aaacdfb4</v>
      </c>
      <c r="E12274" s="1">
        <f>IFERROR(__xludf.DUMMYFUNCTION("""COMPUTED_VALUE"""),1.1035371839887E13)</f>
        <v>11035371839887</v>
      </c>
      <c r="F12274" s="1"/>
      <c r="G12274" s="1">
        <f>IFERROR(__xludf.DUMMYFUNCTION("""COMPUTED_VALUE"""),1.25)</f>
        <v>1.25</v>
      </c>
      <c r="H12274" s="2">
        <f>IFERROR(__xludf.DUMMYFUNCTION("""COMPUTED_VALUE"""),1.25)</f>
        <v>1.25</v>
      </c>
      <c r="I12274" s="5">
        <f>IFERROR(__xludf.DUMMYFUNCTION("""COMPUTED_VALUE"""),1.0)</f>
        <v>1</v>
      </c>
      <c r="J12274" s="1" t="str">
        <f>IFERROR(__xludf.DUMMYFUNCTION("""COMPUTED_VALUE"""),"Ayza Marie Pascual")</f>
        <v>Ayza Marie Pascual</v>
      </c>
      <c r="K12274" s="1" t="str">
        <f>IFERROR(__xludf.DUMMYFUNCTION("""COMPUTED_VALUE"""),"Advanced Billing &amp; Subscriptions")</f>
        <v>Advanced Billing &amp; Subscriptions</v>
      </c>
      <c r="L12274" s="1" t="str">
        <f>IFERROR(__xludf.DUMMYFUNCTION("""COMPUTED_VALUE"""),"CPS Advanced Billing and Subscriptions (ABS)")</f>
        <v>CPS Advanced Billing and Subscriptions (ABS)</v>
      </c>
    </row>
    <row r="12275">
      <c r="A12275" s="1" t="str">
        <f>IFERROR(__xludf.DUMMYFUNCTION("""COMPUTED_VALUE"""),"2026 Apr")</f>
        <v>2026 Apr</v>
      </c>
      <c r="B12275" s="4">
        <f>IFERROR(__xludf.DUMMYFUNCTION("""COMPUTED_VALUE"""),46139.0)</f>
        <v>46139</v>
      </c>
      <c r="C12275" s="1" t="str">
        <f>IFERROR(__xludf.DUMMYFUNCTION("""COMPUTED_VALUE"""),"Segment-specific Support")</f>
        <v>Segment-specific Support</v>
      </c>
      <c r="D12275" s="1" t="str">
        <f>IFERROR(__xludf.DUMMYFUNCTION("""COMPUTED_VALUE"""),"a5b6f808-7e87-4668-a7a6-2faa138923c8")</f>
        <v>a5b6f808-7e87-4668-a7a6-2faa138923c8</v>
      </c>
      <c r="E12275" s="1">
        <f>IFERROR(__xludf.DUMMYFUNCTION("""COMPUTED_VALUE"""),1.1279766049295E13)</f>
        <v>11279766049295</v>
      </c>
      <c r="F12275" s="1"/>
      <c r="G12275" s="1"/>
      <c r="H12275" s="2">
        <f>IFERROR(__xludf.DUMMYFUNCTION("""COMPUTED_VALUE"""),0.0)</f>
        <v>0</v>
      </c>
      <c r="I12275" s="5"/>
      <c r="J12275" s="1" t="str">
        <f>IFERROR(__xludf.DUMMYFUNCTION("""COMPUTED_VALUE"""),"Gucci Nava")</f>
        <v>Gucci Nava</v>
      </c>
      <c r="K12275" s="1" t="str">
        <f>IFERROR(__xludf.DUMMYFUNCTION("""COMPUTED_VALUE"""),"Print Support PH")</f>
        <v>Print Support PH</v>
      </c>
      <c r="L12275" s="1" t="str">
        <f>IFERROR(__xludf.DUMMYFUNCTION("""COMPUTED_VALUE"""),"Print Print - CHT")</f>
        <v>Print Print - CHT</v>
      </c>
    </row>
    <row r="12276">
      <c r="A12276" s="1" t="str">
        <f>IFERROR(__xludf.DUMMYFUNCTION("""COMPUTED_VALUE"""),"2026 Apr")</f>
        <v>2026 Apr</v>
      </c>
      <c r="B12276" s="4">
        <f>IFERROR(__xludf.DUMMYFUNCTION("""COMPUTED_VALUE"""),46139.0)</f>
        <v>46139</v>
      </c>
      <c r="C12276" s="1" t="str">
        <f>IFERROR(__xludf.DUMMYFUNCTION("""COMPUTED_VALUE"""),"Print Support")</f>
        <v>Print Support</v>
      </c>
      <c r="D12276" s="1" t="str">
        <f>IFERROR(__xludf.DUMMYFUNCTION("""COMPUTED_VALUE"""),"b5bf3764-4c76-47b7-b10d-b1f8e9a0087e")</f>
        <v>b5bf3764-4c76-47b7-b10d-b1f8e9a0087e</v>
      </c>
      <c r="E12276" s="1">
        <f>IFERROR(__xludf.DUMMYFUNCTION("""COMPUTED_VALUE"""),6.839674714895E12)</f>
        <v>6839674714895</v>
      </c>
      <c r="F12276" s="1"/>
      <c r="G12276" s="1"/>
      <c r="H12276" s="2">
        <f>IFERROR(__xludf.DUMMYFUNCTION("""COMPUTED_VALUE"""),0.0)</f>
        <v>0</v>
      </c>
      <c r="I12276" s="5"/>
      <c r="J12276" s="1" t="str">
        <f>IFERROR(__xludf.DUMMYFUNCTION("""COMPUTED_VALUE"""),"Jen Momo")</f>
        <v>Jen Momo</v>
      </c>
      <c r="K12276" s="1" t="str">
        <f>IFERROR(__xludf.DUMMYFUNCTION("""COMPUTED_VALUE"""),"Print Support PH")</f>
        <v>Print Support PH</v>
      </c>
      <c r="L12276" s="1" t="str">
        <f>IFERROR(__xludf.DUMMYFUNCTION("""COMPUTED_VALUE"""),"Print Print - CHT")</f>
        <v>Print Print - CHT</v>
      </c>
    </row>
    <row r="12277">
      <c r="A12277" s="1" t="str">
        <f>IFERROR(__xludf.DUMMYFUNCTION("""COMPUTED_VALUE"""),"2026 Apr")</f>
        <v>2026 Apr</v>
      </c>
      <c r="B12277" s="4">
        <f>IFERROR(__xludf.DUMMYFUNCTION("""COMPUTED_VALUE"""),46139.0)</f>
        <v>46139</v>
      </c>
      <c r="C12277" s="1" t="str">
        <f>IFERROR(__xludf.DUMMYFUNCTION("""COMPUTED_VALUE"""),"#N/A")</f>
        <v>#N/A</v>
      </c>
      <c r="D12277" s="1" t="str">
        <f>IFERROR(__xludf.DUMMYFUNCTION("""COMPUTED_VALUE"""),"f27be24b-81af-42d9-a1fc-c197e2d977ca")</f>
        <v>f27be24b-81af-42d9-a1fc-c197e2d977ca</v>
      </c>
      <c r="E12277" s="1">
        <f>IFERROR(__xludf.DUMMYFUNCTION("""COMPUTED_VALUE"""),5.651704924431E12)</f>
        <v>5651704924431</v>
      </c>
      <c r="F12277" s="1"/>
      <c r="G12277" s="1"/>
      <c r="H12277" s="2">
        <f>IFERROR(__xludf.DUMMYFUNCTION("""COMPUTED_VALUE"""),0.0)</f>
        <v>0</v>
      </c>
      <c r="I12277" s="5"/>
      <c r="J12277" s="1" t="str">
        <f>IFERROR(__xludf.DUMMYFUNCTION("""COMPUTED_VALUE"""),"#N/A")</f>
        <v>#N/A</v>
      </c>
      <c r="K12277" s="1" t="str">
        <f>IFERROR(__xludf.DUMMYFUNCTION("""COMPUTED_VALUE"""),"#N/A")</f>
        <v>#N/A</v>
      </c>
      <c r="L12277" s="1" t="str">
        <f>IFERROR(__xludf.DUMMYFUNCTION("""COMPUTED_VALUE"""),"#N/A")</f>
        <v>#N/A</v>
      </c>
    </row>
    <row r="12278">
      <c r="A12278" s="1" t="str">
        <f>IFERROR(__xludf.DUMMYFUNCTION("""COMPUTED_VALUE"""),"2026 Apr")</f>
        <v>2026 Apr</v>
      </c>
      <c r="B12278" s="4">
        <f>IFERROR(__xludf.DUMMYFUNCTION("""COMPUTED_VALUE"""),46139.0)</f>
        <v>46139</v>
      </c>
      <c r="C12278" s="1" t="str">
        <f>IFERROR(__xludf.DUMMYFUNCTION("""COMPUTED_VALUE"""),"Admin Support")</f>
        <v>Admin Support</v>
      </c>
      <c r="D12278" s="1" t="str">
        <f>IFERROR(__xludf.DUMMYFUNCTION("""COMPUTED_VALUE"""),"d50b210b-01b8-4681-be11-0604b6046af3")</f>
        <v>d50b210b-01b8-4681-be11-0604b6046af3</v>
      </c>
      <c r="E12278" s="1">
        <f>IFERROR(__xludf.DUMMYFUNCTION("""COMPUTED_VALUE"""),1.0333049788943E13)</f>
        <v>10333049788943</v>
      </c>
      <c r="F12278" s="1"/>
      <c r="G12278" s="1">
        <f>IFERROR(__xludf.DUMMYFUNCTION("""COMPUTED_VALUE"""),0.25)</f>
        <v>0.25</v>
      </c>
      <c r="H12278" s="2">
        <f>IFERROR(__xludf.DUMMYFUNCTION("""COMPUTED_VALUE"""),0.25)</f>
        <v>0.25</v>
      </c>
      <c r="I12278" s="5">
        <f>IFERROR(__xludf.DUMMYFUNCTION("""COMPUTED_VALUE"""),1.0)</f>
        <v>1</v>
      </c>
      <c r="J12278" s="1" t="str">
        <f>IFERROR(__xludf.DUMMYFUNCTION("""COMPUTED_VALUE"""),"AL Suarez")</f>
        <v>AL Suarez</v>
      </c>
      <c r="K12278" s="1" t="str">
        <f>IFERROR(__xludf.DUMMYFUNCTION("""COMPUTED_VALUE"""),"Admin Direct Support")</f>
        <v>Admin Direct Support</v>
      </c>
      <c r="L12278" s="1" t="str">
        <f>IFERROR(__xludf.DUMMYFUNCTION("""COMPUTED_VALUE"""),"Admin Direct Support")</f>
        <v>Admin Direct Support</v>
      </c>
    </row>
    <row r="12279">
      <c r="A12279" s="1" t="str">
        <f>IFERROR(__xludf.DUMMYFUNCTION("""COMPUTED_VALUE"""),"2026 Apr")</f>
        <v>2026 Apr</v>
      </c>
      <c r="B12279" s="4">
        <f>IFERROR(__xludf.DUMMYFUNCTION("""COMPUTED_VALUE"""),46139.0)</f>
        <v>46139</v>
      </c>
      <c r="C12279" s="1" t="str">
        <f>IFERROR(__xludf.DUMMYFUNCTION("""COMPUTED_VALUE"""),"High Sensitivity Support")</f>
        <v>High Sensitivity Support</v>
      </c>
      <c r="D12279" s="1" t="str">
        <f>IFERROR(__xludf.DUMMYFUNCTION("""COMPUTED_VALUE"""),"bdf574f0-069d-4493-a93e-73eb74edd906")</f>
        <v>bdf574f0-069d-4493-a93e-73eb74edd906</v>
      </c>
      <c r="E12279" s="1">
        <f>IFERROR(__xludf.DUMMYFUNCTION("""COMPUTED_VALUE"""),3.61725261136E11)</f>
        <v>361725261136</v>
      </c>
      <c r="F12279" s="1"/>
      <c r="G12279" s="1"/>
      <c r="H12279" s="2">
        <f>IFERROR(__xludf.DUMMYFUNCTION("""COMPUTED_VALUE"""),0.0)</f>
        <v>0</v>
      </c>
      <c r="I12279" s="5"/>
      <c r="J12279" s="1" t="str">
        <f>IFERROR(__xludf.DUMMYFUNCTION("""COMPUTED_VALUE"""),"Rex Villamor")</f>
        <v>Rex Villamor</v>
      </c>
      <c r="K12279" s="1" t="str">
        <f>IFERROR(__xludf.DUMMYFUNCTION("""COMPUTED_VALUE"""),"High Sensitivity Support PH")</f>
        <v>High Sensitivity Support PH</v>
      </c>
      <c r="L12279" s="1" t="str">
        <f>IFERROR(__xludf.DUMMYFUNCTION("""COMPUTED_VALUE"""),"HSS High Sensitivity Support PH - CHT")</f>
        <v>HSS High Sensitivity Support PH - CHT</v>
      </c>
    </row>
    <row r="12280">
      <c r="A12280" s="1" t="str">
        <f>IFERROR(__xludf.DUMMYFUNCTION("""COMPUTED_VALUE"""),"2026 Apr")</f>
        <v>2026 Apr</v>
      </c>
      <c r="B12280" s="4">
        <f>IFERROR(__xludf.DUMMYFUNCTION("""COMPUTED_VALUE"""),46139.0)</f>
        <v>46139</v>
      </c>
      <c r="C12280" s="1" t="str">
        <f>IFERROR(__xludf.DUMMYFUNCTION("""COMPUTED_VALUE"""),"Core Product Support")</f>
        <v>Core Product Support</v>
      </c>
      <c r="D12280" s="1" t="str">
        <f>IFERROR(__xludf.DUMMYFUNCTION("""COMPUTED_VALUE"""),"1f5a4168-ecb9-42df-a403-8c86095beba7")</f>
        <v>1f5a4168-ecb9-42df-a403-8c86095beba7</v>
      </c>
      <c r="E12280" s="1"/>
      <c r="F12280" s="1"/>
      <c r="G12280" s="1">
        <f>IFERROR(__xludf.DUMMYFUNCTION("""COMPUTED_VALUE"""),1.25)</f>
        <v>1.25</v>
      </c>
      <c r="H12280" s="2">
        <f>IFERROR(__xludf.DUMMYFUNCTION("""COMPUTED_VALUE"""),1.25)</f>
        <v>1.25</v>
      </c>
      <c r="I12280" s="5">
        <f>IFERROR(__xludf.DUMMYFUNCTION("""COMPUTED_VALUE"""),1.0)</f>
        <v>1</v>
      </c>
      <c r="J12280" s="1" t="str">
        <f>IFERROR(__xludf.DUMMYFUNCTION("""COMPUTED_VALUE"""),"Mikhaela Decangchon")</f>
        <v>Mikhaela Decangchon</v>
      </c>
      <c r="K12280" s="1" t="str">
        <f>IFERROR(__xludf.DUMMYFUNCTION("""COMPUTED_VALUE"""),"Advanced Product Support")</f>
        <v>Advanced Product Support</v>
      </c>
      <c r="L12280" s="1" t="str">
        <f>IFERROR(__xludf.DUMMYFUNCTION("""COMPUTED_VALUE"""),"CPS Advanced Product Support (APS)")</f>
        <v>CPS Advanced Product Support (APS)</v>
      </c>
    </row>
    <row r="12281">
      <c r="A12281" s="1" t="str">
        <f>IFERROR(__xludf.DUMMYFUNCTION("""COMPUTED_VALUE"""),"2026 Apr")</f>
        <v>2026 Apr</v>
      </c>
      <c r="B12281" s="4">
        <f>IFERROR(__xludf.DUMMYFUNCTION("""COMPUTED_VALUE"""),46139.0)</f>
        <v>46139</v>
      </c>
      <c r="C12281" s="1" t="str">
        <f>IFERROR(__xludf.DUMMYFUNCTION("""COMPUTED_VALUE"""),"Admin Support")</f>
        <v>Admin Support</v>
      </c>
      <c r="D12281" s="1" t="str">
        <f>IFERROR(__xludf.DUMMYFUNCTION("""COMPUTED_VALUE"""),"d34aba25-1e55-4f8e-b85b-ef3d3928a2d3")</f>
        <v>d34aba25-1e55-4f8e-b85b-ef3d3928a2d3</v>
      </c>
      <c r="E12281" s="1">
        <f>IFERROR(__xludf.DUMMYFUNCTION("""COMPUTED_VALUE"""),5.566810533775E12)</f>
        <v>5566810533775</v>
      </c>
      <c r="F12281" s="1"/>
      <c r="G12281" s="1">
        <f>IFERROR(__xludf.DUMMYFUNCTION("""COMPUTED_VALUE"""),0.25)</f>
        <v>0.25</v>
      </c>
      <c r="H12281" s="2">
        <f>IFERROR(__xludf.DUMMYFUNCTION("""COMPUTED_VALUE"""),0.25)</f>
        <v>0.25</v>
      </c>
      <c r="I12281" s="5">
        <f>IFERROR(__xludf.DUMMYFUNCTION("""COMPUTED_VALUE"""),1.0)</f>
        <v>1</v>
      </c>
      <c r="J12281" s="1" t="str">
        <f>IFERROR(__xludf.DUMMYFUNCTION("""COMPUTED_VALUE"""),"AL Suarez")</f>
        <v>AL Suarez</v>
      </c>
      <c r="K12281" s="1" t="str">
        <f>IFERROR(__xludf.DUMMYFUNCTION("""COMPUTED_VALUE"""),"Print Support PH")</f>
        <v>Print Support PH</v>
      </c>
      <c r="L12281" s="1" t="str">
        <f>IFERROR(__xludf.DUMMYFUNCTION("""COMPUTED_VALUE"""),"Print Print - CHT")</f>
        <v>Print Print - CHT</v>
      </c>
    </row>
    <row r="12282">
      <c r="A12282" s="1" t="str">
        <f>IFERROR(__xludf.DUMMYFUNCTION("""COMPUTED_VALUE"""),"2026 Apr")</f>
        <v>2026 Apr</v>
      </c>
      <c r="B12282" s="4">
        <f>IFERROR(__xludf.DUMMYFUNCTION("""COMPUTED_VALUE"""),46139.0)</f>
        <v>46139</v>
      </c>
      <c r="C12282" s="1" t="str">
        <f>IFERROR(__xludf.DUMMYFUNCTION("""COMPUTED_VALUE"""),"Admin Support")</f>
        <v>Admin Support</v>
      </c>
      <c r="D12282" s="1" t="str">
        <f>IFERROR(__xludf.DUMMYFUNCTION("""COMPUTED_VALUE"""),"16e689aa-95b5-4a8b-8cac-123c1b896177")</f>
        <v>16e689aa-95b5-4a8b-8cac-123c1b896177</v>
      </c>
      <c r="E12282" s="1">
        <f>IFERROR(__xludf.DUMMYFUNCTION("""COMPUTED_VALUE"""),1.4859859582863E13)</f>
        <v>14859859582863</v>
      </c>
      <c r="F12282" s="1"/>
      <c r="G12282" s="1">
        <f>IFERROR(__xludf.DUMMYFUNCTION("""COMPUTED_VALUE"""),0.25)</f>
        <v>0.25</v>
      </c>
      <c r="H12282" s="2">
        <f>IFERROR(__xludf.DUMMYFUNCTION("""COMPUTED_VALUE"""),0.25)</f>
        <v>0.25</v>
      </c>
      <c r="I12282" s="5">
        <f>IFERROR(__xludf.DUMMYFUNCTION("""COMPUTED_VALUE"""),1.0)</f>
        <v>1</v>
      </c>
      <c r="J12282" s="1" t="str">
        <f>IFERROR(__xludf.DUMMYFUNCTION("""COMPUTED_VALUE"""),"AL Suarez")</f>
        <v>AL Suarez</v>
      </c>
      <c r="K12282" s="1" t="str">
        <f>IFERROR(__xludf.DUMMYFUNCTION("""COMPUTED_VALUE"""),"Admin Direct Support")</f>
        <v>Admin Direct Support</v>
      </c>
      <c r="L12282" s="1" t="str">
        <f>IFERROR(__xludf.DUMMYFUNCTION("""COMPUTED_VALUE"""),"Admin Direct Support")</f>
        <v>Admin Direct Support</v>
      </c>
    </row>
    <row r="12283">
      <c r="A12283" s="1" t="str">
        <f>IFERROR(__xludf.DUMMYFUNCTION("""COMPUTED_VALUE"""),"2026 Apr")</f>
        <v>2026 Apr</v>
      </c>
      <c r="B12283" s="4">
        <f>IFERROR(__xludf.DUMMYFUNCTION("""COMPUTED_VALUE"""),46139.0)</f>
        <v>46139</v>
      </c>
      <c r="C12283" s="1" t="str">
        <f>IFERROR(__xludf.DUMMYFUNCTION("""COMPUTED_VALUE"""),"Core Product Support")</f>
        <v>Core Product Support</v>
      </c>
      <c r="D12283" s="1" t="str">
        <f>IFERROR(__xludf.DUMMYFUNCTION("""COMPUTED_VALUE"""),"c5ba42b5-b56e-4880-adbe-57292f722509")</f>
        <v>c5ba42b5-b56e-4880-adbe-57292f722509</v>
      </c>
      <c r="E12283" s="1">
        <f>IFERROR(__xludf.DUMMYFUNCTION("""COMPUTED_VALUE"""),1.1401945362575E13)</f>
        <v>11401945362575</v>
      </c>
      <c r="F12283" s="1"/>
      <c r="G12283" s="1">
        <f>IFERROR(__xludf.DUMMYFUNCTION("""COMPUTED_VALUE"""),1.25)</f>
        <v>1.25</v>
      </c>
      <c r="H12283" s="2">
        <f>IFERROR(__xludf.DUMMYFUNCTION("""COMPUTED_VALUE"""),1.25)</f>
        <v>1.25</v>
      </c>
      <c r="I12283" s="5">
        <f>IFERROR(__xludf.DUMMYFUNCTION("""COMPUTED_VALUE"""),1.0)</f>
        <v>1</v>
      </c>
      <c r="J12283" s="1" t="str">
        <f>IFERROR(__xludf.DUMMYFUNCTION("""COMPUTED_VALUE"""),"Ayza Marie Pascual")</f>
        <v>Ayza Marie Pascual</v>
      </c>
      <c r="K12283" s="1" t="str">
        <f>IFERROR(__xludf.DUMMYFUNCTION("""COMPUTED_VALUE"""),"Advanced Billing &amp; Subscriptions")</f>
        <v>Advanced Billing &amp; Subscriptions</v>
      </c>
      <c r="L12283" s="1" t="str">
        <f>IFERROR(__xludf.DUMMYFUNCTION("""COMPUTED_VALUE"""),"CPS Advanced Billing and Subscriptions (ABS)")</f>
        <v>CPS Advanced Billing and Subscriptions (ABS)</v>
      </c>
    </row>
    <row r="12284">
      <c r="A12284" s="1" t="str">
        <f>IFERROR(__xludf.DUMMYFUNCTION("""COMPUTED_VALUE"""),"2026 Apr")</f>
        <v>2026 Apr</v>
      </c>
      <c r="B12284" s="4">
        <f>IFERROR(__xludf.DUMMYFUNCTION("""COMPUTED_VALUE"""),46139.0)</f>
        <v>46139</v>
      </c>
      <c r="C12284" s="1" t="str">
        <f>IFERROR(__xludf.DUMMYFUNCTION("""COMPUTED_VALUE"""),"Print Support")</f>
        <v>Print Support</v>
      </c>
      <c r="D12284" s="1" t="str">
        <f>IFERROR(__xludf.DUMMYFUNCTION("""COMPUTED_VALUE"""),"f154e992-ffb0-484a-b731-9da1092e886a")</f>
        <v>f154e992-ffb0-484a-b731-9da1092e886a</v>
      </c>
      <c r="E12284" s="1"/>
      <c r="F12284" s="1"/>
      <c r="G12284" s="1"/>
      <c r="H12284" s="2">
        <f>IFERROR(__xludf.DUMMYFUNCTION("""COMPUTED_VALUE"""),0.0)</f>
        <v>0</v>
      </c>
      <c r="I12284" s="5"/>
      <c r="J12284" s="1" t="str">
        <f>IFERROR(__xludf.DUMMYFUNCTION("""COMPUTED_VALUE"""),"Gem Agoncillo")</f>
        <v>Gem Agoncillo</v>
      </c>
      <c r="K12284" s="1" t="str">
        <f>IFERROR(__xludf.DUMMYFUNCTION("""COMPUTED_VALUE"""),"Print Design Support")</f>
        <v>Print Design Support</v>
      </c>
      <c r="L12284" s="1" t="str">
        <f>IFERROR(__xludf.DUMMYFUNCTION("""COMPUTED_VALUE"""),"Print Print Design")</f>
        <v>Print Print Design</v>
      </c>
    </row>
    <row r="12285">
      <c r="A12285" s="1" t="str">
        <f>IFERROR(__xludf.DUMMYFUNCTION("""COMPUTED_VALUE"""),"2026 Apr")</f>
        <v>2026 Apr</v>
      </c>
      <c r="B12285" s="4">
        <f>IFERROR(__xludf.DUMMYFUNCTION("""COMPUTED_VALUE"""),46139.0)</f>
        <v>46139</v>
      </c>
      <c r="C12285" s="1" t="str">
        <f>IFERROR(__xludf.DUMMYFUNCTION("""COMPUTED_VALUE"""),"Core Product Support")</f>
        <v>Core Product Support</v>
      </c>
      <c r="D12285" s="1" t="str">
        <f>IFERROR(__xludf.DUMMYFUNCTION("""COMPUTED_VALUE"""),"123e8c80-f84d-46ba-8ddf-e514a808d270")</f>
        <v>123e8c80-f84d-46ba-8ddf-e514a808d270</v>
      </c>
      <c r="E12285" s="1">
        <f>IFERROR(__xludf.DUMMYFUNCTION("""COMPUTED_VALUE"""),7.235815845903E12)</f>
        <v>7235815845903</v>
      </c>
      <c r="F12285" s="1"/>
      <c r="G12285" s="1">
        <f>IFERROR(__xludf.DUMMYFUNCTION("""COMPUTED_VALUE"""),1.25)</f>
        <v>1.25</v>
      </c>
      <c r="H12285" s="2">
        <f>IFERROR(__xludf.DUMMYFUNCTION("""COMPUTED_VALUE"""),1.25)</f>
        <v>1.25</v>
      </c>
      <c r="I12285" s="5">
        <f>IFERROR(__xludf.DUMMYFUNCTION("""COMPUTED_VALUE"""),1.0)</f>
        <v>1</v>
      </c>
      <c r="J12285" s="1" t="str">
        <f>IFERROR(__xludf.DUMMYFUNCTION("""COMPUTED_VALUE"""),"Cherry Macam")</f>
        <v>Cherry Macam</v>
      </c>
      <c r="K12285" s="1" t="str">
        <f>IFERROR(__xludf.DUMMYFUNCTION("""COMPUTED_VALUE"""),"Advanced Billing &amp; Subscriptions")</f>
        <v>Advanced Billing &amp; Subscriptions</v>
      </c>
      <c r="L12285" s="1" t="str">
        <f>IFERROR(__xludf.DUMMYFUNCTION("""COMPUTED_VALUE"""),"CPS Advanced Billing and Subscriptions (ABS)")</f>
        <v>CPS Advanced Billing and Subscriptions (ABS)</v>
      </c>
    </row>
    <row r="12286">
      <c r="A12286" s="1" t="str">
        <f>IFERROR(__xludf.DUMMYFUNCTION("""COMPUTED_VALUE"""),"2026 Apr")</f>
        <v>2026 Apr</v>
      </c>
      <c r="B12286" s="4">
        <f>IFERROR(__xludf.DUMMYFUNCTION("""COMPUTED_VALUE"""),46139.0)</f>
        <v>46139</v>
      </c>
      <c r="C12286" s="1" t="str">
        <f>IFERROR(__xludf.DUMMYFUNCTION("""COMPUTED_VALUE"""),"High Sensitivity Support")</f>
        <v>High Sensitivity Support</v>
      </c>
      <c r="D12286" s="1" t="str">
        <f>IFERROR(__xludf.DUMMYFUNCTION("""COMPUTED_VALUE"""),"12813a5b-5274-49dd-9f6b-59da40c97ee7")</f>
        <v>12813a5b-5274-49dd-9f6b-59da40c97ee7</v>
      </c>
      <c r="E12286" s="1">
        <f>IFERROR(__xludf.DUMMYFUNCTION("""COMPUTED_VALUE"""),9.795905227023E12)</f>
        <v>9795905227023</v>
      </c>
      <c r="F12286" s="1"/>
      <c r="G12286" s="1"/>
      <c r="H12286" s="2">
        <f>IFERROR(__xludf.DUMMYFUNCTION("""COMPUTED_VALUE"""),0.0)</f>
        <v>0</v>
      </c>
      <c r="I12286" s="5"/>
      <c r="J12286" s="1" t="str">
        <f>IFERROR(__xludf.DUMMYFUNCTION("""COMPUTED_VALUE"""),"Xandy Azarcon")</f>
        <v>Xandy Azarcon</v>
      </c>
      <c r="K12286" s="1" t="str">
        <f>IFERROR(__xludf.DUMMYFUNCTION("""COMPUTED_VALUE"""),"High Sensitivity Support PH")</f>
        <v>High Sensitivity Support PH</v>
      </c>
      <c r="L12286" s="1" t="str">
        <f>IFERROR(__xludf.DUMMYFUNCTION("""COMPUTED_VALUE"""),"HSS High Sensitivity Support PH - CHT")</f>
        <v>HSS High Sensitivity Support PH - CHT</v>
      </c>
    </row>
    <row r="12287">
      <c r="A12287" s="1" t="str">
        <f>IFERROR(__xludf.DUMMYFUNCTION("""COMPUTED_VALUE"""),"2026 Apr")</f>
        <v>2026 Apr</v>
      </c>
      <c r="B12287" s="4">
        <f>IFERROR(__xludf.DUMMYFUNCTION("""COMPUTED_VALUE"""),46139.0)</f>
        <v>46139</v>
      </c>
      <c r="C12287" s="1" t="str">
        <f>IFERROR(__xludf.DUMMYFUNCTION("""COMPUTED_VALUE"""),"Admin Support")</f>
        <v>Admin Support</v>
      </c>
      <c r="D12287" s="1" t="str">
        <f>IFERROR(__xludf.DUMMYFUNCTION("""COMPUTED_VALUE"""),"3a47626d-5d83-4eb3-99f0-da594375a7a4")</f>
        <v>3a47626d-5d83-4eb3-99f0-da594375a7a4</v>
      </c>
      <c r="E12287" s="1">
        <f>IFERROR(__xludf.DUMMYFUNCTION("""COMPUTED_VALUE"""),3.61731944855E11)</f>
        <v>361731944855</v>
      </c>
      <c r="F12287" s="1"/>
      <c r="G12287" s="1"/>
      <c r="H12287" s="2">
        <f>IFERROR(__xludf.DUMMYFUNCTION("""COMPUTED_VALUE"""),0.0)</f>
        <v>0</v>
      </c>
      <c r="I12287" s="5"/>
      <c r="J12287" s="1" t="str">
        <f>IFERROR(__xludf.DUMMYFUNCTION("""COMPUTED_VALUE"""),"Kelden Laguting")</f>
        <v>Kelden Laguting</v>
      </c>
      <c r="K12287" s="1" t="str">
        <f>IFERROR(__xludf.DUMMYFUNCTION("""COMPUTED_VALUE"""),"Admin Omni Support")</f>
        <v>Admin Omni Support</v>
      </c>
      <c r="L12287" s="1" t="str">
        <f>IFERROR(__xludf.DUMMYFUNCTION("""COMPUTED_VALUE"""),"Admin Omni Support")</f>
        <v>Admin Omni Support</v>
      </c>
    </row>
    <row r="12288">
      <c r="A12288" s="1" t="str">
        <f>IFERROR(__xludf.DUMMYFUNCTION("""COMPUTED_VALUE"""),"2026 Apr")</f>
        <v>2026 Apr</v>
      </c>
      <c r="B12288" s="4">
        <f>IFERROR(__xludf.DUMMYFUNCTION("""COMPUTED_VALUE"""),46139.0)</f>
        <v>46139</v>
      </c>
      <c r="C12288" s="1" t="str">
        <f>IFERROR(__xludf.DUMMYFUNCTION("""COMPUTED_VALUE"""),"Core Product Support")</f>
        <v>Core Product Support</v>
      </c>
      <c r="D12288" s="1" t="str">
        <f>IFERROR(__xludf.DUMMYFUNCTION("""COMPUTED_VALUE"""),"4ab45a4c-a376-4058-a184-5b3f466a5947")</f>
        <v>4ab45a4c-a376-4058-a184-5b3f466a5947</v>
      </c>
      <c r="E12288" s="1">
        <f>IFERROR(__xludf.DUMMYFUNCTION("""COMPUTED_VALUE"""),4.967084440335E12)</f>
        <v>4967084440335</v>
      </c>
      <c r="F12288" s="1"/>
      <c r="G12288" s="1">
        <f>IFERROR(__xludf.DUMMYFUNCTION("""COMPUTED_VALUE"""),1.25)</f>
        <v>1.25</v>
      </c>
      <c r="H12288" s="2">
        <f>IFERROR(__xludf.DUMMYFUNCTION("""COMPUTED_VALUE"""),1.25)</f>
        <v>1.25</v>
      </c>
      <c r="I12288" s="5">
        <f>IFERROR(__xludf.DUMMYFUNCTION("""COMPUTED_VALUE"""),1.0)</f>
        <v>1</v>
      </c>
      <c r="J12288" s="1" t="str">
        <f>IFERROR(__xludf.DUMMYFUNCTION("""COMPUTED_VALUE"""),"Ayza Marie Pascual")</f>
        <v>Ayza Marie Pascual</v>
      </c>
      <c r="K12288" s="1" t="str">
        <f>IFERROR(__xludf.DUMMYFUNCTION("""COMPUTED_VALUE"""),"Advanced Billing &amp; Subscriptions")</f>
        <v>Advanced Billing &amp; Subscriptions</v>
      </c>
      <c r="L12288" s="1" t="str">
        <f>IFERROR(__xludf.DUMMYFUNCTION("""COMPUTED_VALUE"""),"CPS Advanced Billing and Subscriptions (ABS)")</f>
        <v>CPS Advanced Billing and Subscriptions (ABS)</v>
      </c>
    </row>
    <row r="12289">
      <c r="A12289" s="1" t="str">
        <f>IFERROR(__xludf.DUMMYFUNCTION("""COMPUTED_VALUE"""),"2026 Apr")</f>
        <v>2026 Apr</v>
      </c>
      <c r="B12289" s="4">
        <f>IFERROR(__xludf.DUMMYFUNCTION("""COMPUTED_VALUE"""),46139.0)</f>
        <v>46139</v>
      </c>
      <c r="C12289" s="1" t="str">
        <f>IFERROR(__xludf.DUMMYFUNCTION("""COMPUTED_VALUE"""),"Print Support")</f>
        <v>Print Support</v>
      </c>
      <c r="D12289" s="1" t="str">
        <f>IFERROR(__xludf.DUMMYFUNCTION("""COMPUTED_VALUE"""),"73b91882-25ef-4c9c-8b6f-9152a825d832")</f>
        <v>73b91882-25ef-4c9c-8b6f-9152a825d832</v>
      </c>
      <c r="E12289" s="1">
        <f>IFERROR(__xludf.DUMMYFUNCTION("""COMPUTED_VALUE"""),3.61825397936E11)</f>
        <v>361825397936</v>
      </c>
      <c r="F12289" s="1"/>
      <c r="G12289" s="1"/>
      <c r="H12289" s="2">
        <f>IFERROR(__xludf.DUMMYFUNCTION("""COMPUTED_VALUE"""),0.0)</f>
        <v>0</v>
      </c>
      <c r="I12289" s="5"/>
      <c r="J12289" s="1" t="str">
        <f>IFERROR(__xludf.DUMMYFUNCTION("""COMPUTED_VALUE"""),"Jan Domingo")</f>
        <v>Jan Domingo</v>
      </c>
      <c r="K12289" s="1" t="str">
        <f>IFERROR(__xludf.DUMMYFUNCTION("""COMPUTED_VALUE"""),"Print Design Support")</f>
        <v>Print Design Support</v>
      </c>
      <c r="L12289" s="1" t="str">
        <f>IFERROR(__xludf.DUMMYFUNCTION("""COMPUTED_VALUE"""),"Print Print Design")</f>
        <v>Print Print Design</v>
      </c>
    </row>
    <row r="12290">
      <c r="A12290" s="1" t="str">
        <f>IFERROR(__xludf.DUMMYFUNCTION("""COMPUTED_VALUE"""),"2026 Apr")</f>
        <v>2026 Apr</v>
      </c>
      <c r="B12290" s="4">
        <f>IFERROR(__xludf.DUMMYFUNCTION("""COMPUTED_VALUE"""),46139.0)</f>
        <v>46139</v>
      </c>
      <c r="C12290" s="1" t="str">
        <f>IFERROR(__xludf.DUMMYFUNCTION("""COMPUTED_VALUE"""),"Core Product Support")</f>
        <v>Core Product Support</v>
      </c>
      <c r="D12290" s="1" t="str">
        <f>IFERROR(__xludf.DUMMYFUNCTION("""COMPUTED_VALUE"""),"75169e9a-969f-480f-aae4-eff49591cf56")</f>
        <v>75169e9a-969f-480f-aae4-eff49591cf56</v>
      </c>
      <c r="E12290" s="1"/>
      <c r="F12290" s="1"/>
      <c r="G12290" s="1">
        <f>IFERROR(__xludf.DUMMYFUNCTION("""COMPUTED_VALUE"""),1.25)</f>
        <v>1.25</v>
      </c>
      <c r="H12290" s="2">
        <f>IFERROR(__xludf.DUMMYFUNCTION("""COMPUTED_VALUE"""),1.25)</f>
        <v>1.25</v>
      </c>
      <c r="I12290" s="5">
        <f>IFERROR(__xludf.DUMMYFUNCTION("""COMPUTED_VALUE"""),1.0)</f>
        <v>1</v>
      </c>
      <c r="J12290" s="1" t="str">
        <f>IFERROR(__xludf.DUMMYFUNCTION("""COMPUTED_VALUE"""),"Belle Bentazal")</f>
        <v>Belle Bentazal</v>
      </c>
      <c r="K12290" s="1" t="str">
        <f>IFERROR(__xludf.DUMMYFUNCTION("""COMPUTED_VALUE"""),"Advanced Product Support")</f>
        <v>Advanced Product Support</v>
      </c>
      <c r="L12290" s="1" t="str">
        <f>IFERROR(__xludf.DUMMYFUNCTION("""COMPUTED_VALUE"""),"CPS Advanced Product Support (APS)")</f>
        <v>CPS Advanced Product Support (APS)</v>
      </c>
    </row>
    <row r="12291">
      <c r="A12291" s="1" t="str">
        <f>IFERROR(__xludf.DUMMYFUNCTION("""COMPUTED_VALUE"""),"2026 Apr")</f>
        <v>2026 Apr</v>
      </c>
      <c r="B12291" s="4">
        <f>IFERROR(__xludf.DUMMYFUNCTION("""COMPUTED_VALUE"""),46139.0)</f>
        <v>46139</v>
      </c>
      <c r="C12291" s="1" t="str">
        <f>IFERROR(__xludf.DUMMYFUNCTION("""COMPUTED_VALUE"""),"Core Product Support")</f>
        <v>Core Product Support</v>
      </c>
      <c r="D12291" s="1" t="str">
        <f>IFERROR(__xludf.DUMMYFUNCTION("""COMPUTED_VALUE"""),"d235389b-3321-47e0-9816-c2275d682304")</f>
        <v>d235389b-3321-47e0-9816-c2275d682304</v>
      </c>
      <c r="E12291" s="1">
        <f>IFERROR(__xludf.DUMMYFUNCTION("""COMPUTED_VALUE"""),5.202378916623E12)</f>
        <v>5202378916623</v>
      </c>
      <c r="F12291" s="1"/>
      <c r="G12291" s="1">
        <f>IFERROR(__xludf.DUMMYFUNCTION("""COMPUTED_VALUE"""),1.25)</f>
        <v>1.25</v>
      </c>
      <c r="H12291" s="2">
        <f>IFERROR(__xludf.DUMMYFUNCTION("""COMPUTED_VALUE"""),1.25)</f>
        <v>1.25</v>
      </c>
      <c r="I12291" s="5">
        <f>IFERROR(__xludf.DUMMYFUNCTION("""COMPUTED_VALUE"""),1.0)</f>
        <v>1</v>
      </c>
      <c r="J12291" s="1" t="str">
        <f>IFERROR(__xludf.DUMMYFUNCTION("""COMPUTED_VALUE"""),"Renette Bok")</f>
        <v>Renette Bok</v>
      </c>
      <c r="K12291" s="1" t="str">
        <f>IFERROR(__xludf.DUMMYFUNCTION("""COMPUTED_VALUE"""),"Advanced Billing &amp; Subscriptions")</f>
        <v>Advanced Billing &amp; Subscriptions</v>
      </c>
      <c r="L12291" s="1" t="str">
        <f>IFERROR(__xludf.DUMMYFUNCTION("""COMPUTED_VALUE"""),"CPS Advanced Billing and Subscriptions (ABS)")</f>
        <v>CPS Advanced Billing and Subscriptions (ABS)</v>
      </c>
    </row>
    <row r="12292">
      <c r="A12292" s="1" t="str">
        <f>IFERROR(__xludf.DUMMYFUNCTION("""COMPUTED_VALUE"""),"2026 Apr")</f>
        <v>2026 Apr</v>
      </c>
      <c r="B12292" s="4">
        <f>IFERROR(__xludf.DUMMYFUNCTION("""COMPUTED_VALUE"""),46139.0)</f>
        <v>46139</v>
      </c>
      <c r="C12292" s="1" t="str">
        <f>IFERROR(__xludf.DUMMYFUNCTION("""COMPUTED_VALUE"""),"Core Product Support")</f>
        <v>Core Product Support</v>
      </c>
      <c r="D12292" s="1" t="str">
        <f>IFERROR(__xludf.DUMMYFUNCTION("""COMPUTED_VALUE"""),"e5eebde5-1bdf-4fc4-a4e5-e5f13689363d")</f>
        <v>e5eebde5-1bdf-4fc4-a4e5-e5f13689363d</v>
      </c>
      <c r="E12292" s="1">
        <f>IFERROR(__xludf.DUMMYFUNCTION("""COMPUTED_VALUE"""),8.303581036047E12)</f>
        <v>8303581036047</v>
      </c>
      <c r="F12292" s="1"/>
      <c r="G12292" s="1">
        <f>IFERROR(__xludf.DUMMYFUNCTION("""COMPUTED_VALUE"""),1.25)</f>
        <v>1.25</v>
      </c>
      <c r="H12292" s="2">
        <f>IFERROR(__xludf.DUMMYFUNCTION("""COMPUTED_VALUE"""),1.25)</f>
        <v>1.25</v>
      </c>
      <c r="I12292" s="5">
        <f>IFERROR(__xludf.DUMMYFUNCTION("""COMPUTED_VALUE"""),1.0)</f>
        <v>1</v>
      </c>
      <c r="J12292" s="1" t="str">
        <f>IFERROR(__xludf.DUMMYFUNCTION("""COMPUTED_VALUE"""),"Belle Bentazal")</f>
        <v>Belle Bentazal</v>
      </c>
      <c r="K12292" s="1" t="str">
        <f>IFERROR(__xludf.DUMMYFUNCTION("""COMPUTED_VALUE"""),"Advanced Product Support")</f>
        <v>Advanced Product Support</v>
      </c>
      <c r="L12292" s="1" t="str">
        <f>IFERROR(__xludf.DUMMYFUNCTION("""COMPUTED_VALUE"""),"CPS Advanced Product Support (APS)")</f>
        <v>CPS Advanced Product Support (APS)</v>
      </c>
    </row>
    <row r="12293">
      <c r="A12293" s="1" t="str">
        <f>IFERROR(__xludf.DUMMYFUNCTION("""COMPUTED_VALUE"""),"2026 Apr")</f>
        <v>2026 Apr</v>
      </c>
      <c r="B12293" s="4">
        <f>IFERROR(__xludf.DUMMYFUNCTION("""COMPUTED_VALUE"""),46139.0)</f>
        <v>46139</v>
      </c>
      <c r="C12293" s="1" t="str">
        <f>IFERROR(__xludf.DUMMYFUNCTION("""COMPUTED_VALUE"""),"Admin Support")</f>
        <v>Admin Support</v>
      </c>
      <c r="D12293" s="1" t="str">
        <f>IFERROR(__xludf.DUMMYFUNCTION("""COMPUTED_VALUE"""),"bb9992e4-86b4-4be4-9177-e09f03299559")</f>
        <v>bb9992e4-86b4-4be4-9177-e09f03299559</v>
      </c>
      <c r="E12293" s="1">
        <f>IFERROR(__xludf.DUMMYFUNCTION("""COMPUTED_VALUE"""),3.61724830696E11)</f>
        <v>361724830696</v>
      </c>
      <c r="F12293" s="1"/>
      <c r="G12293" s="1">
        <f>IFERROR(__xludf.DUMMYFUNCTION("""COMPUTED_VALUE"""),0.25)</f>
        <v>0.25</v>
      </c>
      <c r="H12293" s="2">
        <f>IFERROR(__xludf.DUMMYFUNCTION("""COMPUTED_VALUE"""),0.25)</f>
        <v>0.25</v>
      </c>
      <c r="I12293" s="5">
        <f>IFERROR(__xludf.DUMMYFUNCTION("""COMPUTED_VALUE"""),1.0)</f>
        <v>1</v>
      </c>
      <c r="J12293" s="1" t="str">
        <f>IFERROR(__xludf.DUMMYFUNCTION("""COMPUTED_VALUE"""),"Kelden Laguting")</f>
        <v>Kelden Laguting</v>
      </c>
      <c r="K12293" s="1" t="str">
        <f>IFERROR(__xludf.DUMMYFUNCTION("""COMPUTED_VALUE"""),"Admin Omni Support")</f>
        <v>Admin Omni Support</v>
      </c>
      <c r="L12293" s="1" t="str">
        <f>IFERROR(__xludf.DUMMYFUNCTION("""COMPUTED_VALUE"""),"Admin Omni Support")</f>
        <v>Admin Omni Support</v>
      </c>
    </row>
    <row r="12294">
      <c r="A12294" s="1" t="str">
        <f>IFERROR(__xludf.DUMMYFUNCTION("""COMPUTED_VALUE"""),"2026 Apr")</f>
        <v>2026 Apr</v>
      </c>
      <c r="B12294" s="4">
        <f>IFERROR(__xludf.DUMMYFUNCTION("""COMPUTED_VALUE"""),46139.0)</f>
        <v>46139</v>
      </c>
      <c r="C12294" s="1" t="str">
        <f>IFERROR(__xludf.DUMMYFUNCTION("""COMPUTED_VALUE"""),"Core Product Support")</f>
        <v>Core Product Support</v>
      </c>
      <c r="D12294" s="1" t="str">
        <f>IFERROR(__xludf.DUMMYFUNCTION("""COMPUTED_VALUE"""),"1fa942bd-1815-4054-9636-810d3c7d937c")</f>
        <v>1fa942bd-1815-4054-9636-810d3c7d937c</v>
      </c>
      <c r="E12294" s="1">
        <f>IFERROR(__xludf.DUMMYFUNCTION("""COMPUTED_VALUE"""),3.61731348455E11)</f>
        <v>361731348455</v>
      </c>
      <c r="F12294" s="1"/>
      <c r="G12294" s="1">
        <f>IFERROR(__xludf.DUMMYFUNCTION("""COMPUTED_VALUE"""),2.5)</f>
        <v>2.5</v>
      </c>
      <c r="H12294" s="2">
        <f>IFERROR(__xludf.DUMMYFUNCTION("""COMPUTED_VALUE"""),2.5)</f>
        <v>2.5</v>
      </c>
      <c r="I12294" s="5">
        <f>IFERROR(__xludf.DUMMYFUNCTION("""COMPUTED_VALUE"""),1.0)</f>
        <v>1</v>
      </c>
      <c r="J12294" s="1" t="str">
        <f>IFERROR(__xludf.DUMMYFUNCTION("""COMPUTED_VALUE"""),"Sieg Ballelos")</f>
        <v>Sieg Ballelos</v>
      </c>
      <c r="K12294" s="1" t="str">
        <f>IFERROR(__xludf.DUMMYFUNCTION("""COMPUTED_VALUE"""),"Core Product Support Escalation Team")</f>
        <v>Core Product Support Escalation Team</v>
      </c>
      <c r="L12294"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2295">
      <c r="A12295" s="1" t="str">
        <f>IFERROR(__xludf.DUMMYFUNCTION("""COMPUTED_VALUE"""),"2026 Apr")</f>
        <v>2026 Apr</v>
      </c>
      <c r="B12295" s="4">
        <f>IFERROR(__xludf.DUMMYFUNCTION("""COMPUTED_VALUE"""),46139.0)</f>
        <v>46139</v>
      </c>
      <c r="C12295" s="1" t="str">
        <f>IFERROR(__xludf.DUMMYFUNCTION("""COMPUTED_VALUE"""),"Core Product Support")</f>
        <v>Core Product Support</v>
      </c>
      <c r="D12295" s="1" t="str">
        <f>IFERROR(__xludf.DUMMYFUNCTION("""COMPUTED_VALUE"""),"b366931c-0597-40c7-babb-0a89ffc75e01")</f>
        <v>b366931c-0597-40c7-babb-0a89ffc75e01</v>
      </c>
      <c r="E12295" s="1"/>
      <c r="F12295" s="1"/>
      <c r="G12295" s="1">
        <f>IFERROR(__xludf.DUMMYFUNCTION("""COMPUTED_VALUE"""),1.25)</f>
        <v>1.25</v>
      </c>
      <c r="H12295" s="2">
        <f>IFERROR(__xludf.DUMMYFUNCTION("""COMPUTED_VALUE"""),1.25)</f>
        <v>1.25</v>
      </c>
      <c r="I12295" s="5">
        <f>IFERROR(__xludf.DUMMYFUNCTION("""COMPUTED_VALUE"""),1.0)</f>
        <v>1</v>
      </c>
      <c r="J12295" s="1" t="str">
        <f>IFERROR(__xludf.DUMMYFUNCTION("""COMPUTED_VALUE"""),"Cherry Macam")</f>
        <v>Cherry Macam</v>
      </c>
      <c r="K12295" s="1" t="str">
        <f>IFERROR(__xludf.DUMMYFUNCTION("""COMPUTED_VALUE"""),"Advanced Billing &amp; Subscriptions")</f>
        <v>Advanced Billing &amp; Subscriptions</v>
      </c>
      <c r="L12295" s="1" t="str">
        <f>IFERROR(__xludf.DUMMYFUNCTION("""COMPUTED_VALUE"""),"CPS Advanced Billing and Subscriptions (ABS)")</f>
        <v>CPS Advanced Billing and Subscriptions (ABS)</v>
      </c>
    </row>
    <row r="12296">
      <c r="A12296" s="1" t="str">
        <f>IFERROR(__xludf.DUMMYFUNCTION("""COMPUTED_VALUE"""),"2026 Apr")</f>
        <v>2026 Apr</v>
      </c>
      <c r="B12296" s="4">
        <f>IFERROR(__xludf.DUMMYFUNCTION("""COMPUTED_VALUE"""),46139.0)</f>
        <v>46139</v>
      </c>
      <c r="C12296" s="1" t="str">
        <f>IFERROR(__xludf.DUMMYFUNCTION("""COMPUTED_VALUE"""),"Core Product Support")</f>
        <v>Core Product Support</v>
      </c>
      <c r="D12296" s="1" t="str">
        <f>IFERROR(__xludf.DUMMYFUNCTION("""COMPUTED_VALUE"""),"d8cafb49-0513-4066-8298-8198c1c303c8")</f>
        <v>d8cafb49-0513-4066-8298-8198c1c303c8</v>
      </c>
      <c r="E12296" s="1">
        <f>IFERROR(__xludf.DUMMYFUNCTION("""COMPUTED_VALUE"""),5.566859239951E12)</f>
        <v>5566859239951</v>
      </c>
      <c r="F12296" s="1"/>
      <c r="G12296" s="1">
        <f>IFERROR(__xludf.DUMMYFUNCTION("""COMPUTED_VALUE"""),1.25)</f>
        <v>1.25</v>
      </c>
      <c r="H12296" s="2">
        <f>IFERROR(__xludf.DUMMYFUNCTION("""COMPUTED_VALUE"""),1.25)</f>
        <v>1.25</v>
      </c>
      <c r="I12296" s="5">
        <f>IFERROR(__xludf.DUMMYFUNCTION("""COMPUTED_VALUE"""),1.0)</f>
        <v>1</v>
      </c>
      <c r="J12296" s="1" t="str">
        <f>IFERROR(__xludf.DUMMYFUNCTION("""COMPUTED_VALUE"""),"Jahmie Mae Barrameda")</f>
        <v>Jahmie Mae Barrameda</v>
      </c>
      <c r="K12296" s="1" t="str">
        <f>IFERROR(__xludf.DUMMYFUNCTION("""COMPUTED_VALUE"""),"Advanced Billing &amp; Subscriptions")</f>
        <v>Advanced Billing &amp; Subscriptions</v>
      </c>
      <c r="L12296" s="1" t="str">
        <f>IFERROR(__xludf.DUMMYFUNCTION("""COMPUTED_VALUE"""),"CPS Advanced Billing and Subscriptions (ABS)")</f>
        <v>CPS Advanced Billing and Subscriptions (ABS)</v>
      </c>
    </row>
    <row r="12297">
      <c r="A12297" s="1" t="str">
        <f>IFERROR(__xludf.DUMMYFUNCTION("""COMPUTED_VALUE"""),"2026 Apr")</f>
        <v>2026 Apr</v>
      </c>
      <c r="B12297" s="4">
        <f>IFERROR(__xludf.DUMMYFUNCTION("""COMPUTED_VALUE"""),46139.0)</f>
        <v>46139</v>
      </c>
      <c r="C12297" s="1" t="str">
        <f>IFERROR(__xludf.DUMMYFUNCTION("""COMPUTED_VALUE"""),"Print Support")</f>
        <v>Print Support</v>
      </c>
      <c r="D12297" s="1" t="str">
        <f>IFERROR(__xludf.DUMMYFUNCTION("""COMPUTED_VALUE"""),"b38dd32d-e840-4454-9bff-9270032e26ec")</f>
        <v>b38dd32d-e840-4454-9bff-9270032e26ec</v>
      </c>
      <c r="E12297" s="1">
        <f>IFERROR(__xludf.DUMMYFUNCTION("""COMPUTED_VALUE"""),1.1279671882767E13)</f>
        <v>11279671882767</v>
      </c>
      <c r="F12297" s="1"/>
      <c r="G12297" s="1"/>
      <c r="H12297" s="2">
        <f>IFERROR(__xludf.DUMMYFUNCTION("""COMPUTED_VALUE"""),0.0)</f>
        <v>0</v>
      </c>
      <c r="I12297" s="5"/>
      <c r="J12297" s="1" t="str">
        <f>IFERROR(__xludf.DUMMYFUNCTION("""COMPUTED_VALUE"""),"Jen Momo")</f>
        <v>Jen Momo</v>
      </c>
      <c r="K12297" s="1" t="str">
        <f>IFERROR(__xludf.DUMMYFUNCTION("""COMPUTED_VALUE"""),"Print Support PH")</f>
        <v>Print Support PH</v>
      </c>
      <c r="L12297" s="1" t="str">
        <f>IFERROR(__xludf.DUMMYFUNCTION("""COMPUTED_VALUE"""),"Print Print - CHT")</f>
        <v>Print Print - CHT</v>
      </c>
    </row>
    <row r="12298">
      <c r="A12298" s="1" t="str">
        <f>IFERROR(__xludf.DUMMYFUNCTION("""COMPUTED_VALUE"""),"2026 Apr")</f>
        <v>2026 Apr</v>
      </c>
      <c r="B12298" s="4">
        <f>IFERROR(__xludf.DUMMYFUNCTION("""COMPUTED_VALUE"""),46139.0)</f>
        <v>46139</v>
      </c>
      <c r="C12298" s="1" t="str">
        <f>IFERROR(__xludf.DUMMYFUNCTION("""COMPUTED_VALUE"""),"Segment-specific Support")</f>
        <v>Segment-specific Support</v>
      </c>
      <c r="D12298" s="1" t="str">
        <f>IFERROR(__xludf.DUMMYFUNCTION("""COMPUTED_VALUE"""),"f6ab909a-8fae-4139-af23-d06c28a32b8c")</f>
        <v>f6ab909a-8fae-4139-af23-d06c28a32b8c</v>
      </c>
      <c r="E12298" s="1">
        <f>IFERROR(__xludf.DUMMYFUNCTION("""COMPUTED_VALUE"""),3.61724667376E11)</f>
        <v>361724667376</v>
      </c>
      <c r="F12298" s="1"/>
      <c r="G12298" s="1"/>
      <c r="H12298" s="2">
        <f>IFERROR(__xludf.DUMMYFUNCTION("""COMPUTED_VALUE"""),0.0)</f>
        <v>0</v>
      </c>
      <c r="I12298" s="5"/>
      <c r="J12298" s="1" t="str">
        <f>IFERROR(__xludf.DUMMYFUNCTION("""COMPUTED_VALUE"""),"Gucci Nava")</f>
        <v>Gucci Nava</v>
      </c>
      <c r="K12298" s="1" t="str">
        <f>IFERROR(__xludf.DUMMYFUNCTION("""COMPUTED_VALUE"""),"Affinity Support")</f>
        <v>Affinity Support</v>
      </c>
      <c r="L12298" s="1" t="str">
        <f>IFERROR(__xludf.DUMMYFUNCTION("""COMPUTED_VALUE"""),"SSS Affinity - L1")</f>
        <v>SSS Affinity - L1</v>
      </c>
    </row>
    <row r="12299">
      <c r="A12299" s="1" t="str">
        <f>IFERROR(__xludf.DUMMYFUNCTION("""COMPUTED_VALUE"""),"2026 Apr")</f>
        <v>2026 Apr</v>
      </c>
      <c r="B12299" s="4">
        <f>IFERROR(__xludf.DUMMYFUNCTION("""COMPUTED_VALUE"""),46139.0)</f>
        <v>46139</v>
      </c>
      <c r="C12299" s="1" t="str">
        <f>IFERROR(__xludf.DUMMYFUNCTION("""COMPUTED_VALUE"""),"High Sensitivity Support")</f>
        <v>High Sensitivity Support</v>
      </c>
      <c r="D12299" s="1" t="str">
        <f>IFERROR(__xludf.DUMMYFUNCTION("""COMPUTED_VALUE"""),"0bb396c0-8b48-4382-addc-66818b7167ec")</f>
        <v>0bb396c0-8b48-4382-addc-66818b7167ec</v>
      </c>
      <c r="E12299" s="1">
        <f>IFERROR(__xludf.DUMMYFUNCTION("""COMPUTED_VALUE"""),5.566867976335E12)</f>
        <v>5566867976335</v>
      </c>
      <c r="F12299" s="1"/>
      <c r="G12299" s="1"/>
      <c r="H12299" s="2">
        <f>IFERROR(__xludf.DUMMYFUNCTION("""COMPUTED_VALUE"""),0.0)</f>
        <v>0</v>
      </c>
      <c r="I12299" s="5"/>
      <c r="J12299" s="1" t="str">
        <f>IFERROR(__xludf.DUMMYFUNCTION("""COMPUTED_VALUE"""),"Issi Afable")</f>
        <v>Issi Afable</v>
      </c>
      <c r="K12299" s="1" t="str">
        <f>IFERROR(__xludf.DUMMYFUNCTION("""COMPUTED_VALUE"""),"High Sensitivity Support PH")</f>
        <v>High Sensitivity Support PH</v>
      </c>
      <c r="L12299" s="1" t="str">
        <f>IFERROR(__xludf.DUMMYFUNCTION("""COMPUTED_VALUE"""),"HSS High Sensitivity Support PH - SEE")</f>
        <v>HSS High Sensitivity Support PH - SEE</v>
      </c>
    </row>
    <row r="12300">
      <c r="A12300" s="1" t="str">
        <f>IFERROR(__xludf.DUMMYFUNCTION("""COMPUTED_VALUE"""),"2026 Apr")</f>
        <v>2026 Apr</v>
      </c>
      <c r="B12300" s="4">
        <f>IFERROR(__xludf.DUMMYFUNCTION("""COMPUTED_VALUE"""),46139.0)</f>
        <v>46139</v>
      </c>
      <c r="C12300" s="1" t="str">
        <f>IFERROR(__xludf.DUMMYFUNCTION("""COMPUTED_VALUE"""),"Print Support")</f>
        <v>Print Support</v>
      </c>
      <c r="D12300" s="1" t="str">
        <f>IFERROR(__xludf.DUMMYFUNCTION("""COMPUTED_VALUE"""),"bfafe2d2-bab4-4d76-87e0-5b42d5285805")</f>
        <v>bfafe2d2-bab4-4d76-87e0-5b42d5285805</v>
      </c>
      <c r="E12300" s="1">
        <f>IFERROR(__xludf.DUMMYFUNCTION("""COMPUTED_VALUE"""),5.202379009423E12)</f>
        <v>5202379009423</v>
      </c>
      <c r="F12300" s="1"/>
      <c r="G12300" s="1"/>
      <c r="H12300" s="2">
        <f>IFERROR(__xludf.DUMMYFUNCTION("""COMPUTED_VALUE"""),0.0)</f>
        <v>0</v>
      </c>
      <c r="I12300" s="5"/>
      <c r="J12300" s="1" t="str">
        <f>IFERROR(__xludf.DUMMYFUNCTION("""COMPUTED_VALUE"""),"Althea Mercado")</f>
        <v>Althea Mercado</v>
      </c>
      <c r="K12300" s="1" t="str">
        <f>IFERROR(__xludf.DUMMYFUNCTION("""COMPUTED_VALUE"""),"Print Support PH")</f>
        <v>Print Support PH</v>
      </c>
      <c r="L12300" s="1" t="str">
        <f>IFERROR(__xludf.DUMMYFUNCTION("""COMPUTED_VALUE"""),"Print Print - CHT")</f>
        <v>Print Print - CHT</v>
      </c>
    </row>
    <row r="12301">
      <c r="A12301" s="1" t="str">
        <f>IFERROR(__xludf.DUMMYFUNCTION("""COMPUTED_VALUE"""),"2026 Apr")</f>
        <v>2026 Apr</v>
      </c>
      <c r="B12301" s="4">
        <f>IFERROR(__xludf.DUMMYFUNCTION("""COMPUTED_VALUE"""),46139.0)</f>
        <v>46139</v>
      </c>
      <c r="C12301" s="1" t="str">
        <f>IFERROR(__xludf.DUMMYFUNCTION("""COMPUTED_VALUE"""),"Segment-specific Support")</f>
        <v>Segment-specific Support</v>
      </c>
      <c r="D12301" s="1" t="str">
        <f>IFERROR(__xludf.DUMMYFUNCTION("""COMPUTED_VALUE"""),"b90f8a46-e368-46ef-b5dc-431b192c7ebd")</f>
        <v>b90f8a46-e368-46ef-b5dc-431b192c7ebd</v>
      </c>
      <c r="E12301" s="1"/>
      <c r="F12301" s="1"/>
      <c r="G12301" s="1"/>
      <c r="H12301" s="2">
        <f>IFERROR(__xludf.DUMMYFUNCTION("""COMPUTED_VALUE"""),0.0)</f>
        <v>0</v>
      </c>
      <c r="I12301" s="5"/>
      <c r="J12301" s="1" t="str">
        <f>IFERROR(__xludf.DUMMYFUNCTION("""COMPUTED_VALUE"""),"Leigh Davison")</f>
        <v>Leigh Davison</v>
      </c>
      <c r="K12301" s="1" t="str">
        <f>IFERROR(__xludf.DUMMYFUNCTION("""COMPUTED_VALUE"""),"#N/A")</f>
        <v>#N/A</v>
      </c>
      <c r="L12301" s="1"/>
    </row>
    <row r="12302">
      <c r="A12302" s="1" t="str">
        <f>IFERROR(__xludf.DUMMYFUNCTION("""COMPUTED_VALUE"""),"2026 Apr")</f>
        <v>2026 Apr</v>
      </c>
      <c r="B12302" s="4">
        <f>IFERROR(__xludf.DUMMYFUNCTION("""COMPUTED_VALUE"""),46139.0)</f>
        <v>46139</v>
      </c>
      <c r="C12302" s="1" t="str">
        <f>IFERROR(__xludf.DUMMYFUNCTION("""COMPUTED_VALUE"""),"Core Product Support")</f>
        <v>Core Product Support</v>
      </c>
      <c r="D12302" s="1" t="str">
        <f>IFERROR(__xludf.DUMMYFUNCTION("""COMPUTED_VALUE"""),"c0f3492c-b6e0-4663-88e9-07ef49890f6a")</f>
        <v>c0f3492c-b6e0-4663-88e9-07ef49890f6a</v>
      </c>
      <c r="E12302" s="1">
        <f>IFERROR(__xludf.DUMMYFUNCTION("""COMPUTED_VALUE"""),7.437401161487E12)</f>
        <v>7437401161487</v>
      </c>
      <c r="F12302" s="1"/>
      <c r="G12302" s="1">
        <f>IFERROR(__xludf.DUMMYFUNCTION("""COMPUTED_VALUE"""),1.25)</f>
        <v>1.25</v>
      </c>
      <c r="H12302" s="2">
        <f>IFERROR(__xludf.DUMMYFUNCTION("""COMPUTED_VALUE"""),1.25)</f>
        <v>1.25</v>
      </c>
      <c r="I12302" s="5">
        <f>IFERROR(__xludf.DUMMYFUNCTION("""COMPUTED_VALUE"""),1.0)</f>
        <v>1</v>
      </c>
      <c r="J12302" s="1" t="str">
        <f>IFERROR(__xludf.DUMMYFUNCTION("""COMPUTED_VALUE"""),"Renette Bok")</f>
        <v>Renette Bok</v>
      </c>
      <c r="K12302" s="1" t="str">
        <f>IFERROR(__xludf.DUMMYFUNCTION("""COMPUTED_VALUE"""),"Advanced Billing &amp; Subscriptions")</f>
        <v>Advanced Billing &amp; Subscriptions</v>
      </c>
      <c r="L12302" s="1" t="str">
        <f>IFERROR(__xludf.DUMMYFUNCTION("""COMPUTED_VALUE"""),"CPS Advanced Billing and Subscriptions (ABS)")</f>
        <v>CPS Advanced Billing and Subscriptions (ABS)</v>
      </c>
    </row>
    <row r="12303">
      <c r="A12303" s="1" t="str">
        <f>IFERROR(__xludf.DUMMYFUNCTION("""COMPUTED_VALUE"""),"2026 Apr")</f>
        <v>2026 Apr</v>
      </c>
      <c r="B12303" s="4">
        <f>IFERROR(__xludf.DUMMYFUNCTION("""COMPUTED_VALUE"""),46139.0)</f>
        <v>46139</v>
      </c>
      <c r="C12303" s="1" t="str">
        <f>IFERROR(__xludf.DUMMYFUNCTION("""COMPUTED_VALUE"""),"Core Product Support")</f>
        <v>Core Product Support</v>
      </c>
      <c r="D12303" s="1" t="str">
        <f>IFERROR(__xludf.DUMMYFUNCTION("""COMPUTED_VALUE"""),"3335501a-b303-4b1b-b874-e502875b9c00")</f>
        <v>3335501a-b303-4b1b-b874-e502875b9c00</v>
      </c>
      <c r="E12303" s="1">
        <f>IFERROR(__xludf.DUMMYFUNCTION("""COMPUTED_VALUE"""),5.901973624079E12)</f>
        <v>5901973624079</v>
      </c>
      <c r="F12303" s="1"/>
      <c r="G12303" s="1">
        <f>IFERROR(__xludf.DUMMYFUNCTION("""COMPUTED_VALUE"""),2.5)</f>
        <v>2.5</v>
      </c>
      <c r="H12303" s="2">
        <f>IFERROR(__xludf.DUMMYFUNCTION("""COMPUTED_VALUE"""),2.5)</f>
        <v>2.5</v>
      </c>
      <c r="I12303" s="5">
        <f>IFERROR(__xludf.DUMMYFUNCTION("""COMPUTED_VALUE"""),1.0)</f>
        <v>1</v>
      </c>
      <c r="J12303" s="1" t="str">
        <f>IFERROR(__xludf.DUMMYFUNCTION("""COMPUTED_VALUE"""),"Jelyn Elmido")</f>
        <v>Jelyn Elmido</v>
      </c>
      <c r="K12303" s="1" t="str">
        <f>IFERROR(__xludf.DUMMYFUNCTION("""COMPUTED_VALUE"""),"Core Product Support Escalation Team")</f>
        <v>Core Product Support Escalation Team</v>
      </c>
      <c r="L12303"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2304">
      <c r="A12304" s="1" t="str">
        <f>IFERROR(__xludf.DUMMYFUNCTION("""COMPUTED_VALUE"""),"2026 Apr")</f>
        <v>2026 Apr</v>
      </c>
      <c r="B12304" s="4">
        <f>IFERROR(__xludf.DUMMYFUNCTION("""COMPUTED_VALUE"""),46139.0)</f>
        <v>46139</v>
      </c>
      <c r="C12304" s="1" t="str">
        <f>IFERROR(__xludf.DUMMYFUNCTION("""COMPUTED_VALUE"""),"Print Support")</f>
        <v>Print Support</v>
      </c>
      <c r="D12304" s="1" t="str">
        <f>IFERROR(__xludf.DUMMYFUNCTION("""COMPUTED_VALUE"""),"81f19830-f845-4879-96ee-0654dc8f6f68")</f>
        <v>81f19830-f845-4879-96ee-0654dc8f6f68</v>
      </c>
      <c r="E12304" s="1">
        <f>IFERROR(__xludf.DUMMYFUNCTION("""COMPUTED_VALUE"""),3.61750058635E11)</f>
        <v>361750058635</v>
      </c>
      <c r="F12304" s="1"/>
      <c r="G12304" s="1"/>
      <c r="H12304" s="2">
        <f>IFERROR(__xludf.DUMMYFUNCTION("""COMPUTED_VALUE"""),0.0)</f>
        <v>0</v>
      </c>
      <c r="I12304" s="5"/>
      <c r="J12304" s="1" t="str">
        <f>IFERROR(__xludf.DUMMYFUNCTION("""COMPUTED_VALUE"""),"Louise Dianne Estrella")</f>
        <v>Louise Dianne Estrella</v>
      </c>
      <c r="K12304" s="1" t="str">
        <f>IFERROR(__xludf.DUMMYFUNCTION("""COMPUTED_VALUE"""),"Print Support PH")</f>
        <v>Print Support PH</v>
      </c>
      <c r="L12304" s="1" t="str">
        <f>IFERROR(__xludf.DUMMYFUNCTION("""COMPUTED_VALUE"""),"Print Print - CHT")</f>
        <v>Print Print - CHT</v>
      </c>
    </row>
    <row r="12305">
      <c r="A12305" s="1" t="str">
        <f>IFERROR(__xludf.DUMMYFUNCTION("""COMPUTED_VALUE"""),"2026 Apr")</f>
        <v>2026 Apr</v>
      </c>
      <c r="B12305" s="4">
        <f>IFERROR(__xludf.DUMMYFUNCTION("""COMPUTED_VALUE"""),46139.0)</f>
        <v>46139</v>
      </c>
      <c r="C12305" s="1" t="str">
        <f>IFERROR(__xludf.DUMMYFUNCTION("""COMPUTED_VALUE"""),"Core Product Support")</f>
        <v>Core Product Support</v>
      </c>
      <c r="D12305" s="1" t="str">
        <f>IFERROR(__xludf.DUMMYFUNCTION("""COMPUTED_VALUE"""),"2e981db7-61ee-4b53-aef6-4c4cc65464d7")</f>
        <v>2e981db7-61ee-4b53-aef6-4c4cc65464d7</v>
      </c>
      <c r="E12305" s="1">
        <f>IFERROR(__xludf.DUMMYFUNCTION("""COMPUTED_VALUE"""),8.904435850895E12)</f>
        <v>8904435850895</v>
      </c>
      <c r="F12305" s="1"/>
      <c r="G12305" s="1">
        <f>IFERROR(__xludf.DUMMYFUNCTION("""COMPUTED_VALUE"""),1.25)</f>
        <v>1.25</v>
      </c>
      <c r="H12305" s="2">
        <f>IFERROR(__xludf.DUMMYFUNCTION("""COMPUTED_VALUE"""),1.25)</f>
        <v>1.25</v>
      </c>
      <c r="I12305" s="5">
        <f>IFERROR(__xludf.DUMMYFUNCTION("""COMPUTED_VALUE"""),1.0)</f>
        <v>1</v>
      </c>
      <c r="J12305" s="1" t="str">
        <f>IFERROR(__xludf.DUMMYFUNCTION("""COMPUTED_VALUE"""),"Mikhaela Decangchon")</f>
        <v>Mikhaela Decangchon</v>
      </c>
      <c r="K12305" s="1" t="str">
        <f>IFERROR(__xludf.DUMMYFUNCTION("""COMPUTED_VALUE"""),"Advanced Product Support")</f>
        <v>Advanced Product Support</v>
      </c>
      <c r="L12305" s="1" t="str">
        <f>IFERROR(__xludf.DUMMYFUNCTION("""COMPUTED_VALUE"""),"CPS Advanced Product Support (APS)")</f>
        <v>CPS Advanced Product Support (APS)</v>
      </c>
    </row>
    <row r="12306">
      <c r="A12306" s="1" t="str">
        <f>IFERROR(__xludf.DUMMYFUNCTION("""COMPUTED_VALUE"""),"2026 Apr")</f>
        <v>2026 Apr</v>
      </c>
      <c r="B12306" s="4">
        <f>IFERROR(__xludf.DUMMYFUNCTION("""COMPUTED_VALUE"""),46139.0)</f>
        <v>46139</v>
      </c>
      <c r="C12306" s="1" t="str">
        <f>IFERROR(__xludf.DUMMYFUNCTION("""COMPUTED_VALUE"""),"Segment-specific Support")</f>
        <v>Segment-specific Support</v>
      </c>
      <c r="D12306" s="1" t="str">
        <f>IFERROR(__xludf.DUMMYFUNCTION("""COMPUTED_VALUE"""),"a9175f4e-c2a3-4f80-bd6c-76adc2cfcef8")</f>
        <v>a9175f4e-c2a3-4f80-bd6c-76adc2cfcef8</v>
      </c>
      <c r="E12306" s="1">
        <f>IFERROR(__xludf.DUMMYFUNCTION("""COMPUTED_VALUE"""),5.359144633743E12)</f>
        <v>5359144633743</v>
      </c>
      <c r="F12306" s="1"/>
      <c r="G12306" s="1"/>
      <c r="H12306" s="2">
        <f>IFERROR(__xludf.DUMMYFUNCTION("""COMPUTED_VALUE"""),0.0)</f>
        <v>0</v>
      </c>
      <c r="I12306" s="5"/>
      <c r="J12306" s="1" t="str">
        <f>IFERROR(__xludf.DUMMYFUNCTION("""COMPUTED_VALUE"""),"Rose Gabilan")</f>
        <v>Rose Gabilan</v>
      </c>
      <c r="K12306" s="1" t="str">
        <f>IFERROR(__xludf.DUMMYFUNCTION("""COMPUTED_VALUE"""),"Affinity Support")</f>
        <v>Affinity Support</v>
      </c>
      <c r="L12306" s="1" t="str">
        <f>IFERROR(__xludf.DUMMYFUNCTION("""COMPUTED_VALUE"""),"SSS Affinity - L1")</f>
        <v>SSS Affinity - L1</v>
      </c>
    </row>
    <row r="12307">
      <c r="A12307" s="1" t="str">
        <f>IFERROR(__xludf.DUMMYFUNCTION("""COMPUTED_VALUE"""),"2026 Apr")</f>
        <v>2026 Apr</v>
      </c>
      <c r="B12307" s="4">
        <f>IFERROR(__xludf.DUMMYFUNCTION("""COMPUTED_VALUE"""),46139.0)</f>
        <v>46139</v>
      </c>
      <c r="C12307" s="1" t="str">
        <f>IFERROR(__xludf.DUMMYFUNCTION("""COMPUTED_VALUE"""),"Segment-specific Support")</f>
        <v>Segment-specific Support</v>
      </c>
      <c r="D12307" s="1" t="str">
        <f>IFERROR(__xludf.DUMMYFUNCTION("""COMPUTED_VALUE"""),"c099fecd-f2e4-4b33-8ba3-1c6779033d42")</f>
        <v>c099fecd-f2e4-4b33-8ba3-1c6779033d42</v>
      </c>
      <c r="E12307" s="1">
        <f>IFERROR(__xludf.DUMMYFUNCTION("""COMPUTED_VALUE"""),5.901988081807E12)</f>
        <v>5901988081807</v>
      </c>
      <c r="F12307" s="1"/>
      <c r="G12307" s="1"/>
      <c r="H12307" s="2">
        <f>IFERROR(__xludf.DUMMYFUNCTION("""COMPUTED_VALUE"""),0.0)</f>
        <v>0</v>
      </c>
      <c r="I12307" s="5"/>
      <c r="J12307" s="1" t="str">
        <f>IFERROR(__xludf.DUMMYFUNCTION("""COMPUTED_VALUE"""),"Gucci Nava")</f>
        <v>Gucci Nava</v>
      </c>
      <c r="K12307" s="1" t="str">
        <f>IFERROR(__xludf.DUMMYFUNCTION("""COMPUTED_VALUE"""),"Print Support PH")</f>
        <v>Print Support PH</v>
      </c>
      <c r="L12307" s="1" t="str">
        <f>IFERROR(__xludf.DUMMYFUNCTION("""COMPUTED_VALUE"""),"Print Print - CHT")</f>
        <v>Print Print - CHT</v>
      </c>
    </row>
    <row r="12308">
      <c r="A12308" s="1" t="str">
        <f>IFERROR(__xludf.DUMMYFUNCTION("""COMPUTED_VALUE"""),"2026 Apr")</f>
        <v>2026 Apr</v>
      </c>
      <c r="B12308" s="4">
        <f>IFERROR(__xludf.DUMMYFUNCTION("""COMPUTED_VALUE"""),46139.0)</f>
        <v>46139</v>
      </c>
      <c r="C12308" s="1" t="str">
        <f>IFERROR(__xludf.DUMMYFUNCTION("""COMPUTED_VALUE"""),"Print Support")</f>
        <v>Print Support</v>
      </c>
      <c r="D12308" s="1" t="str">
        <f>IFERROR(__xludf.DUMMYFUNCTION("""COMPUTED_VALUE"""),"f49619b0-d053-442f-946d-b652dbfb2703")</f>
        <v>f49619b0-d053-442f-946d-b652dbfb2703</v>
      </c>
      <c r="E12308" s="1"/>
      <c r="F12308" s="1"/>
      <c r="G12308" s="1"/>
      <c r="H12308" s="2">
        <f>IFERROR(__xludf.DUMMYFUNCTION("""COMPUTED_VALUE"""),0.0)</f>
        <v>0</v>
      </c>
      <c r="I12308" s="5"/>
      <c r="J12308" s="1" t="str">
        <f>IFERROR(__xludf.DUMMYFUNCTION("""COMPUTED_VALUE"""),"Aliza Dote")</f>
        <v>Aliza Dote</v>
      </c>
      <c r="K12308" s="1" t="str">
        <f>IFERROR(__xludf.DUMMYFUNCTION("""COMPUTED_VALUE"""),"Print Design Support")</f>
        <v>Print Design Support</v>
      </c>
      <c r="L12308" s="1" t="str">
        <f>IFERROR(__xludf.DUMMYFUNCTION("""COMPUTED_VALUE"""),"Print Print Design")</f>
        <v>Print Print Design</v>
      </c>
    </row>
    <row r="12309">
      <c r="A12309" s="1" t="str">
        <f>IFERROR(__xludf.DUMMYFUNCTION("""COMPUTED_VALUE"""),"2026 Apr")</f>
        <v>2026 Apr</v>
      </c>
      <c r="B12309" s="4">
        <f>IFERROR(__xludf.DUMMYFUNCTION("""COMPUTED_VALUE"""),46139.0)</f>
        <v>46139</v>
      </c>
      <c r="C12309" s="1" t="str">
        <f>IFERROR(__xludf.DUMMYFUNCTION("""COMPUTED_VALUE"""),"Core Product Support")</f>
        <v>Core Product Support</v>
      </c>
      <c r="D12309" s="1" t="str">
        <f>IFERROR(__xludf.DUMMYFUNCTION("""COMPUTED_VALUE"""),"34b01611-0778-4238-845c-71a5fb4b19f1")</f>
        <v>34b01611-0778-4238-845c-71a5fb4b19f1</v>
      </c>
      <c r="E12309" s="1">
        <f>IFERROR(__xludf.DUMMYFUNCTION("""COMPUTED_VALUE"""),1.0005722473615E13)</f>
        <v>10005722473615</v>
      </c>
      <c r="F12309" s="1"/>
      <c r="G12309" s="1">
        <f>IFERROR(__xludf.DUMMYFUNCTION("""COMPUTED_VALUE"""),0.75)</f>
        <v>0.75</v>
      </c>
      <c r="H12309" s="2">
        <f>IFERROR(__xludf.DUMMYFUNCTION("""COMPUTED_VALUE"""),0.75)</f>
        <v>0.75</v>
      </c>
      <c r="I12309" s="5">
        <f>IFERROR(__xludf.DUMMYFUNCTION("""COMPUTED_VALUE"""),1.0)</f>
        <v>1</v>
      </c>
      <c r="J12309" s="1" t="str">
        <f>IFERROR(__xludf.DUMMYFUNCTION("""COMPUTED_VALUE"""),"Jahmie Mae Barrameda")</f>
        <v>Jahmie Mae Barrameda</v>
      </c>
      <c r="K12309" s="1" t="str">
        <f>IFERROR(__xludf.DUMMYFUNCTION("""COMPUTED_VALUE"""),"Advanced Billing &amp; Subscriptions")</f>
        <v>Advanced Billing &amp; Subscriptions</v>
      </c>
      <c r="L12309" s="1" t="str">
        <f>IFERROR(__xludf.DUMMYFUNCTION("""COMPUTED_VALUE"""),"CPS Advanced Billing and Subscriptions (ABS)")</f>
        <v>CPS Advanced Billing and Subscriptions (ABS)</v>
      </c>
    </row>
    <row r="12310">
      <c r="A12310" s="1" t="str">
        <f>IFERROR(__xludf.DUMMYFUNCTION("""COMPUTED_VALUE"""),"2026 Apr")</f>
        <v>2026 Apr</v>
      </c>
      <c r="B12310" s="4">
        <f>IFERROR(__xludf.DUMMYFUNCTION("""COMPUTED_VALUE"""),46139.0)</f>
        <v>46139</v>
      </c>
      <c r="C12310" s="1" t="str">
        <f>IFERROR(__xludf.DUMMYFUNCTION("""COMPUTED_VALUE"""),"Core Product Support")</f>
        <v>Core Product Support</v>
      </c>
      <c r="D12310" s="1" t="str">
        <f>IFERROR(__xludf.DUMMYFUNCTION("""COMPUTED_VALUE"""),"29f1cfbb-326c-4f39-b32d-9350f380b21a")</f>
        <v>29f1cfbb-326c-4f39-b32d-9350f380b21a</v>
      </c>
      <c r="E12310" s="1">
        <f>IFERROR(__xludf.DUMMYFUNCTION("""COMPUTED_VALUE"""),3.61732161455E11)</f>
        <v>361732161455</v>
      </c>
      <c r="F12310" s="1"/>
      <c r="G12310" s="1">
        <f>IFERROR(__xludf.DUMMYFUNCTION("""COMPUTED_VALUE"""),2.5)</f>
        <v>2.5</v>
      </c>
      <c r="H12310" s="2">
        <f>IFERROR(__xludf.DUMMYFUNCTION("""COMPUTED_VALUE"""),2.5)</f>
        <v>2.5</v>
      </c>
      <c r="I12310" s="5">
        <f>IFERROR(__xludf.DUMMYFUNCTION("""COMPUTED_VALUE"""),1.0)</f>
        <v>1</v>
      </c>
      <c r="J12310" s="1" t="str">
        <f>IFERROR(__xludf.DUMMYFUNCTION("""COMPUTED_VALUE"""),"Jelyn Elmido")</f>
        <v>Jelyn Elmido</v>
      </c>
      <c r="K12310" s="1" t="str">
        <f>IFERROR(__xludf.DUMMYFUNCTION("""COMPUTED_VALUE"""),"Core Product Support Escalation Team")</f>
        <v>Core Product Support Escalation Team</v>
      </c>
      <c r="L12310"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2311">
      <c r="A12311" s="1" t="str">
        <f>IFERROR(__xludf.DUMMYFUNCTION("""COMPUTED_VALUE"""),"2026 Apr")</f>
        <v>2026 Apr</v>
      </c>
      <c r="B12311" s="4">
        <f>IFERROR(__xludf.DUMMYFUNCTION("""COMPUTED_VALUE"""),46139.0)</f>
        <v>46139</v>
      </c>
      <c r="C12311" s="1" t="str">
        <f>IFERROR(__xludf.DUMMYFUNCTION("""COMPUTED_VALUE"""),"Print Support")</f>
        <v>Print Support</v>
      </c>
      <c r="D12311" s="1" t="str">
        <f>IFERROR(__xludf.DUMMYFUNCTION("""COMPUTED_VALUE"""),"e7288a86-def8-455e-9571-0e09ee52eb10")</f>
        <v>e7288a86-def8-455e-9571-0e09ee52eb10</v>
      </c>
      <c r="E12311" s="1">
        <f>IFERROR(__xludf.DUMMYFUNCTION("""COMPUTED_VALUE"""),5.566843775631E12)</f>
        <v>5566843775631</v>
      </c>
      <c r="F12311" s="1"/>
      <c r="G12311" s="1"/>
      <c r="H12311" s="2">
        <f>IFERROR(__xludf.DUMMYFUNCTION("""COMPUTED_VALUE"""),0.0)</f>
        <v>0</v>
      </c>
      <c r="I12311" s="5"/>
      <c r="J12311" s="1" t="str">
        <f>IFERROR(__xludf.DUMMYFUNCTION("""COMPUTED_VALUE"""),"Louise Dianne Estrella")</f>
        <v>Louise Dianne Estrella</v>
      </c>
      <c r="K12311" s="1" t="str">
        <f>IFERROR(__xludf.DUMMYFUNCTION("""COMPUTED_VALUE"""),"Print Support PH")</f>
        <v>Print Support PH</v>
      </c>
      <c r="L12311" s="1" t="str">
        <f>IFERROR(__xludf.DUMMYFUNCTION("""COMPUTED_VALUE"""),"Print Print - CHT")</f>
        <v>Print Print - CHT</v>
      </c>
    </row>
    <row r="12312">
      <c r="A12312" s="1" t="str">
        <f>IFERROR(__xludf.DUMMYFUNCTION("""COMPUTED_VALUE"""),"2026 Apr")</f>
        <v>2026 Apr</v>
      </c>
      <c r="B12312" s="4">
        <f>IFERROR(__xludf.DUMMYFUNCTION("""COMPUTED_VALUE"""),46139.0)</f>
        <v>46139</v>
      </c>
      <c r="C12312" s="1" t="str">
        <f>IFERROR(__xludf.DUMMYFUNCTION("""COMPUTED_VALUE"""),"Admin Support")</f>
        <v>Admin Support</v>
      </c>
      <c r="D12312" s="1" t="str">
        <f>IFERROR(__xludf.DUMMYFUNCTION("""COMPUTED_VALUE"""),"c771ba05-3c70-40d0-afa5-186bade746f2")</f>
        <v>c771ba05-3c70-40d0-afa5-186bade746f2</v>
      </c>
      <c r="E12312" s="1">
        <f>IFERROR(__xludf.DUMMYFUNCTION("""COMPUTED_VALUE"""),7.437392979983E12)</f>
        <v>7437392979983</v>
      </c>
      <c r="F12312" s="1"/>
      <c r="G12312" s="1">
        <f>IFERROR(__xludf.DUMMYFUNCTION("""COMPUTED_VALUE"""),0.25)</f>
        <v>0.25</v>
      </c>
      <c r="H12312" s="2">
        <f>IFERROR(__xludf.DUMMYFUNCTION("""COMPUTED_VALUE"""),0.25)</f>
        <v>0.25</v>
      </c>
      <c r="I12312" s="5">
        <f>IFERROR(__xludf.DUMMYFUNCTION("""COMPUTED_VALUE"""),1.0)</f>
        <v>1</v>
      </c>
      <c r="J12312" s="1" t="str">
        <f>IFERROR(__xludf.DUMMYFUNCTION("""COMPUTED_VALUE"""),"Ann Dumlao")</f>
        <v>Ann Dumlao</v>
      </c>
      <c r="K12312" s="1" t="str">
        <f>IFERROR(__xludf.DUMMYFUNCTION("""COMPUTED_VALUE"""),"Admin Omni Support")</f>
        <v>Admin Omni Support</v>
      </c>
      <c r="L12312" s="1" t="str">
        <f>IFERROR(__xludf.DUMMYFUNCTION("""COMPUTED_VALUE"""),"Admin Omni Support")</f>
        <v>Admin Omni Support</v>
      </c>
    </row>
    <row r="12313">
      <c r="A12313" s="1" t="str">
        <f>IFERROR(__xludf.DUMMYFUNCTION("""COMPUTED_VALUE"""),"2026 Apr")</f>
        <v>2026 Apr</v>
      </c>
      <c r="B12313" s="4">
        <f>IFERROR(__xludf.DUMMYFUNCTION("""COMPUTED_VALUE"""),46139.0)</f>
        <v>46139</v>
      </c>
      <c r="C12313" s="1" t="str">
        <f>IFERROR(__xludf.DUMMYFUNCTION("""COMPUTED_VALUE"""),"Admin Support")</f>
        <v>Admin Support</v>
      </c>
      <c r="D12313" s="1" t="str">
        <f>IFERROR(__xludf.DUMMYFUNCTION("""COMPUTED_VALUE"""),"5e57a2c8-fe7b-40fb-b179-0090e8e3060b")</f>
        <v>5e57a2c8-fe7b-40fb-b179-0090e8e3060b</v>
      </c>
      <c r="E12313" s="1">
        <f>IFERROR(__xludf.DUMMYFUNCTION("""COMPUTED_VALUE"""),3.61733079315E11)</f>
        <v>361733079315</v>
      </c>
      <c r="F12313" s="1"/>
      <c r="G12313" s="1">
        <f>IFERROR(__xludf.DUMMYFUNCTION("""COMPUTED_VALUE"""),0.25)</f>
        <v>0.25</v>
      </c>
      <c r="H12313" s="2">
        <f>IFERROR(__xludf.DUMMYFUNCTION("""COMPUTED_VALUE"""),0.25)</f>
        <v>0.25</v>
      </c>
      <c r="I12313" s="5">
        <f>IFERROR(__xludf.DUMMYFUNCTION("""COMPUTED_VALUE"""),1.0)</f>
        <v>1</v>
      </c>
      <c r="J12313" s="1" t="str">
        <f>IFERROR(__xludf.DUMMYFUNCTION("""COMPUTED_VALUE"""),"Ann Dumlao")</f>
        <v>Ann Dumlao</v>
      </c>
      <c r="K12313" s="1" t="str">
        <f>IFERROR(__xludf.DUMMYFUNCTION("""COMPUTED_VALUE"""),"Admin Omni Support")</f>
        <v>Admin Omni Support</v>
      </c>
      <c r="L12313" s="1" t="str">
        <f>IFERROR(__xludf.DUMMYFUNCTION("""COMPUTED_VALUE"""),"Admin Omni Support")</f>
        <v>Admin Omni Support</v>
      </c>
    </row>
    <row r="12314">
      <c r="A12314" s="1" t="str">
        <f>IFERROR(__xludf.DUMMYFUNCTION("""COMPUTED_VALUE"""),"2026 Apr")</f>
        <v>2026 Apr</v>
      </c>
      <c r="B12314" s="4">
        <f>IFERROR(__xludf.DUMMYFUNCTION("""COMPUTED_VALUE"""),46139.0)</f>
        <v>46139</v>
      </c>
      <c r="C12314" s="1" t="str">
        <f>IFERROR(__xludf.DUMMYFUNCTION("""COMPUTED_VALUE"""),"High Sensitivity Support")</f>
        <v>High Sensitivity Support</v>
      </c>
      <c r="D12314" s="1" t="str">
        <f>IFERROR(__xludf.DUMMYFUNCTION("""COMPUTED_VALUE"""),"b7fd1097-c419-4ccc-9d67-4b66f71021a1")</f>
        <v>b7fd1097-c419-4ccc-9d67-4b66f71021a1</v>
      </c>
      <c r="E12314" s="1">
        <f>IFERROR(__xludf.DUMMYFUNCTION("""COMPUTED_VALUE"""),8.139562541455E12)</f>
        <v>8139562541455</v>
      </c>
      <c r="F12314" s="1"/>
      <c r="G12314" s="1"/>
      <c r="H12314" s="2">
        <f>IFERROR(__xludf.DUMMYFUNCTION("""COMPUTED_VALUE"""),0.0)</f>
        <v>0</v>
      </c>
      <c r="I12314" s="5"/>
      <c r="J12314" s="1" t="str">
        <f>IFERROR(__xludf.DUMMYFUNCTION("""COMPUTED_VALUE"""),"Rossheen Pura")</f>
        <v>Rossheen Pura</v>
      </c>
      <c r="K12314" s="1" t="str">
        <f>IFERROR(__xludf.DUMMYFUNCTION("""COMPUTED_VALUE"""),"High Sensitivity Support PH")</f>
        <v>High Sensitivity Support PH</v>
      </c>
      <c r="L12314" s="1" t="str">
        <f>IFERROR(__xludf.DUMMYFUNCTION("""COMPUTED_VALUE"""),"HSS High Sensitivity Support PH - CHT")</f>
        <v>HSS High Sensitivity Support PH - CHT</v>
      </c>
    </row>
    <row r="12315">
      <c r="A12315" s="1" t="str">
        <f>IFERROR(__xludf.DUMMYFUNCTION("""COMPUTED_VALUE"""),"2026 Apr")</f>
        <v>2026 Apr</v>
      </c>
      <c r="B12315" s="4">
        <f>IFERROR(__xludf.DUMMYFUNCTION("""COMPUTED_VALUE"""),46139.0)</f>
        <v>46139</v>
      </c>
      <c r="C12315" s="1" t="str">
        <f>IFERROR(__xludf.DUMMYFUNCTION("""COMPUTED_VALUE"""),"Core Product Support")</f>
        <v>Core Product Support</v>
      </c>
      <c r="D12315" s="1" t="str">
        <f>IFERROR(__xludf.DUMMYFUNCTION("""COMPUTED_VALUE"""),"20080360-d6b6-487a-ad2b-4d92f14a3e3a")</f>
        <v>20080360-d6b6-487a-ad2b-4d92f14a3e3a</v>
      </c>
      <c r="E12315" s="1">
        <f>IFERROR(__xludf.DUMMYFUNCTION("""COMPUTED_VALUE"""),5.901973593231E12)</f>
        <v>5901973593231</v>
      </c>
      <c r="F12315" s="1"/>
      <c r="G12315" s="1">
        <f>IFERROR(__xludf.DUMMYFUNCTION("""COMPUTED_VALUE"""),1.25)</f>
        <v>1.25</v>
      </c>
      <c r="H12315" s="2">
        <f>IFERROR(__xludf.DUMMYFUNCTION("""COMPUTED_VALUE"""),1.25)</f>
        <v>1.25</v>
      </c>
      <c r="I12315" s="5">
        <f>IFERROR(__xludf.DUMMYFUNCTION("""COMPUTED_VALUE"""),1.0)</f>
        <v>1</v>
      </c>
      <c r="J12315" s="1" t="str">
        <f>IFERROR(__xludf.DUMMYFUNCTION("""COMPUTED_VALUE"""),"Vinz Lazaro")</f>
        <v>Vinz Lazaro</v>
      </c>
      <c r="K12315" s="1" t="str">
        <f>IFERROR(__xludf.DUMMYFUNCTION("""COMPUTED_VALUE"""),"Advanced Product Support")</f>
        <v>Advanced Product Support</v>
      </c>
      <c r="L12315" s="1" t="str">
        <f>IFERROR(__xludf.DUMMYFUNCTION("""COMPUTED_VALUE"""),"CPS Advanced Product Support (APS)")</f>
        <v>CPS Advanced Product Support (APS)</v>
      </c>
    </row>
    <row r="12316">
      <c r="A12316" s="1" t="str">
        <f>IFERROR(__xludf.DUMMYFUNCTION("""COMPUTED_VALUE"""),"2026 Apr")</f>
        <v>2026 Apr</v>
      </c>
      <c r="B12316" s="4">
        <f>IFERROR(__xludf.DUMMYFUNCTION("""COMPUTED_VALUE"""),46139.0)</f>
        <v>46139</v>
      </c>
      <c r="C12316" s="1" t="str">
        <f>IFERROR(__xludf.DUMMYFUNCTION("""COMPUTED_VALUE"""),"High Sensitivity Support")</f>
        <v>High Sensitivity Support</v>
      </c>
      <c r="D12316" s="1" t="str">
        <f>IFERROR(__xludf.DUMMYFUNCTION("""COMPUTED_VALUE"""),"27bbaf2c-6971-4b55-91a0-193260eb00dd")</f>
        <v>27bbaf2c-6971-4b55-91a0-193260eb00dd</v>
      </c>
      <c r="E12316" s="1">
        <f>IFERROR(__xludf.DUMMYFUNCTION("""COMPUTED_VALUE"""),5.202441057551E12)</f>
        <v>5202441057551</v>
      </c>
      <c r="F12316" s="1"/>
      <c r="G12316" s="1"/>
      <c r="H12316" s="2">
        <f>IFERROR(__xludf.DUMMYFUNCTION("""COMPUTED_VALUE"""),0.0)</f>
        <v>0</v>
      </c>
      <c r="I12316" s="5"/>
      <c r="J12316" s="1" t="str">
        <f>IFERROR(__xludf.DUMMYFUNCTION("""COMPUTED_VALUE"""),"Xandy Azarcon")</f>
        <v>Xandy Azarcon</v>
      </c>
      <c r="K12316" s="1" t="str">
        <f>IFERROR(__xludf.DUMMYFUNCTION("""COMPUTED_VALUE"""),"High Sensitivity Support PH")</f>
        <v>High Sensitivity Support PH</v>
      </c>
      <c r="L12316" s="1" t="str">
        <f>IFERROR(__xludf.DUMMYFUNCTION("""COMPUTED_VALUE"""),"HSS High Sensitivity Support PH - CHT")</f>
        <v>HSS High Sensitivity Support PH - CHT</v>
      </c>
    </row>
    <row r="12317">
      <c r="A12317" s="1" t="str">
        <f>IFERROR(__xludf.DUMMYFUNCTION("""COMPUTED_VALUE"""),"2026 Apr")</f>
        <v>2026 Apr</v>
      </c>
      <c r="B12317" s="4">
        <f>IFERROR(__xludf.DUMMYFUNCTION("""COMPUTED_VALUE"""),46139.0)</f>
        <v>46139</v>
      </c>
      <c r="C12317" s="1" t="str">
        <f>IFERROR(__xludf.DUMMYFUNCTION("""COMPUTED_VALUE"""),"Print Support")</f>
        <v>Print Support</v>
      </c>
      <c r="D12317" s="1" t="str">
        <f>IFERROR(__xludf.DUMMYFUNCTION("""COMPUTED_VALUE"""),"b1b482a6-c097-431c-a83d-5d00e89da6bf")</f>
        <v>b1b482a6-c097-431c-a83d-5d00e89da6bf</v>
      </c>
      <c r="E12317" s="1">
        <f>IFERROR(__xludf.DUMMYFUNCTION("""COMPUTED_VALUE"""),3.61724962836E11)</f>
        <v>361724962836</v>
      </c>
      <c r="F12317" s="1"/>
      <c r="G12317" s="1"/>
      <c r="H12317" s="2">
        <f>IFERROR(__xludf.DUMMYFUNCTION("""COMPUTED_VALUE"""),0.0)</f>
        <v>0</v>
      </c>
      <c r="I12317" s="5"/>
      <c r="J12317" s="1" t="str">
        <f>IFERROR(__xludf.DUMMYFUNCTION("""COMPUTED_VALUE"""),"Althea Mercado")</f>
        <v>Althea Mercado</v>
      </c>
      <c r="K12317" s="1" t="str">
        <f>IFERROR(__xludf.DUMMYFUNCTION("""COMPUTED_VALUE"""),"Print Support PH")</f>
        <v>Print Support PH</v>
      </c>
      <c r="L12317" s="1" t="str">
        <f>IFERROR(__xludf.DUMMYFUNCTION("""COMPUTED_VALUE"""),"Print Print - CHT")</f>
        <v>Print Print - CHT</v>
      </c>
    </row>
    <row r="12318">
      <c r="A12318" s="1" t="str">
        <f>IFERROR(__xludf.DUMMYFUNCTION("""COMPUTED_VALUE"""),"2026 Apr")</f>
        <v>2026 Apr</v>
      </c>
      <c r="B12318" s="4">
        <f>IFERROR(__xludf.DUMMYFUNCTION("""COMPUTED_VALUE"""),46139.0)</f>
        <v>46139</v>
      </c>
      <c r="C12318" s="1" t="str">
        <f>IFERROR(__xludf.DUMMYFUNCTION("""COMPUTED_VALUE"""),"Core Product Support")</f>
        <v>Core Product Support</v>
      </c>
      <c r="D12318" s="1" t="str">
        <f>IFERROR(__xludf.DUMMYFUNCTION("""COMPUTED_VALUE"""),"426201d1-0b5d-4900-95cc-7a8b0c35e471")</f>
        <v>426201d1-0b5d-4900-95cc-7a8b0c35e471</v>
      </c>
      <c r="E12318" s="1">
        <f>IFERROR(__xludf.DUMMYFUNCTION("""COMPUTED_VALUE"""),7.235417174415E12)</f>
        <v>7235417174415</v>
      </c>
      <c r="F12318" s="1"/>
      <c r="G12318" s="1">
        <f>IFERROR(__xludf.DUMMYFUNCTION("""COMPUTED_VALUE"""),0.75)</f>
        <v>0.75</v>
      </c>
      <c r="H12318" s="2">
        <f>IFERROR(__xludf.DUMMYFUNCTION("""COMPUTED_VALUE"""),0.75)</f>
        <v>0.75</v>
      </c>
      <c r="I12318" s="5">
        <f>IFERROR(__xludf.DUMMYFUNCTION("""COMPUTED_VALUE"""),1.0)</f>
        <v>1</v>
      </c>
      <c r="J12318" s="1" t="str">
        <f>IFERROR(__xludf.DUMMYFUNCTION("""COMPUTED_VALUE"""),"Ana Lazaro")</f>
        <v>Ana Lazaro</v>
      </c>
      <c r="K12318" s="1" t="str">
        <f>IFERROR(__xludf.DUMMYFUNCTION("""COMPUTED_VALUE"""),"Advanced Billing &amp; Subscriptions")</f>
        <v>Advanced Billing &amp; Subscriptions</v>
      </c>
      <c r="L12318" s="1" t="str">
        <f>IFERROR(__xludf.DUMMYFUNCTION("""COMPUTED_VALUE"""),"CPS Advanced Billing and Subscriptions (ABS)")</f>
        <v>CPS Advanced Billing and Subscriptions (ABS)</v>
      </c>
    </row>
    <row r="12319">
      <c r="A12319" s="1" t="str">
        <f>IFERROR(__xludf.DUMMYFUNCTION("""COMPUTED_VALUE"""),"2026 Apr")</f>
        <v>2026 Apr</v>
      </c>
      <c r="B12319" s="4">
        <f>IFERROR(__xludf.DUMMYFUNCTION("""COMPUTED_VALUE"""),46139.0)</f>
        <v>46139</v>
      </c>
      <c r="C12319" s="1" t="str">
        <f>IFERROR(__xludf.DUMMYFUNCTION("""COMPUTED_VALUE"""),"Print Support")</f>
        <v>Print Support</v>
      </c>
      <c r="D12319" s="1" t="str">
        <f>IFERROR(__xludf.DUMMYFUNCTION("""COMPUTED_VALUE"""),"ae33c457-9730-4b61-af51-a03edb80253a")</f>
        <v>ae33c457-9730-4b61-af51-a03edb80253a</v>
      </c>
      <c r="E12319" s="1">
        <f>IFERROR(__xludf.DUMMYFUNCTION("""COMPUTED_VALUE"""),3.61733077175E11)</f>
        <v>361733077175</v>
      </c>
      <c r="F12319" s="1"/>
      <c r="G12319" s="1"/>
      <c r="H12319" s="2">
        <f>IFERROR(__xludf.DUMMYFUNCTION("""COMPUTED_VALUE"""),0.0)</f>
        <v>0</v>
      </c>
      <c r="I12319" s="5"/>
      <c r="J12319" s="1" t="str">
        <f>IFERROR(__xludf.DUMMYFUNCTION("""COMPUTED_VALUE"""),"Louise Dianne Estrella")</f>
        <v>Louise Dianne Estrella</v>
      </c>
      <c r="K12319" s="1" t="str">
        <f>IFERROR(__xludf.DUMMYFUNCTION("""COMPUTED_VALUE"""),"Print Support PH")</f>
        <v>Print Support PH</v>
      </c>
      <c r="L12319" s="1" t="str">
        <f>IFERROR(__xludf.DUMMYFUNCTION("""COMPUTED_VALUE"""),"Print Print - CHT")</f>
        <v>Print Print - CHT</v>
      </c>
    </row>
    <row r="12320">
      <c r="A12320" s="1" t="str">
        <f>IFERROR(__xludf.DUMMYFUNCTION("""COMPUTED_VALUE"""),"2026 Apr")</f>
        <v>2026 Apr</v>
      </c>
      <c r="B12320" s="4">
        <f>IFERROR(__xludf.DUMMYFUNCTION("""COMPUTED_VALUE"""),46139.0)</f>
        <v>46139</v>
      </c>
      <c r="C12320" s="1" t="str">
        <f>IFERROR(__xludf.DUMMYFUNCTION("""COMPUTED_VALUE"""),"High Sensitivity Support")</f>
        <v>High Sensitivity Support</v>
      </c>
      <c r="D12320" s="1" t="str">
        <f>IFERROR(__xludf.DUMMYFUNCTION("""COMPUTED_VALUE"""),"3a5a6ab5-8abf-422b-9670-8975c03a0818")</f>
        <v>3a5a6ab5-8abf-422b-9670-8975c03a0818</v>
      </c>
      <c r="E12320" s="1">
        <f>IFERROR(__xludf.DUMMYFUNCTION("""COMPUTED_VALUE"""),3.61725260976E11)</f>
        <v>361725260976</v>
      </c>
      <c r="F12320" s="1"/>
      <c r="G12320" s="1"/>
      <c r="H12320" s="2">
        <f>IFERROR(__xludf.DUMMYFUNCTION("""COMPUTED_VALUE"""),0.0)</f>
        <v>0</v>
      </c>
      <c r="I12320" s="5"/>
      <c r="J12320" s="1" t="str">
        <f>IFERROR(__xludf.DUMMYFUNCTION("""COMPUTED_VALUE"""),"Rossheen Pura")</f>
        <v>Rossheen Pura</v>
      </c>
      <c r="K12320" s="1" t="str">
        <f>IFERROR(__xludf.DUMMYFUNCTION("""COMPUTED_VALUE"""),"High Sensitivity Support PH")</f>
        <v>High Sensitivity Support PH</v>
      </c>
      <c r="L12320" s="1" t="str">
        <f>IFERROR(__xludf.DUMMYFUNCTION("""COMPUTED_VALUE"""),"HSS High Sensitivity Support PH - CHT")</f>
        <v>HSS High Sensitivity Support PH - CHT</v>
      </c>
    </row>
    <row r="12321">
      <c r="A12321" s="1" t="str">
        <f>IFERROR(__xludf.DUMMYFUNCTION("""COMPUTED_VALUE"""),"2026 Apr")</f>
        <v>2026 Apr</v>
      </c>
      <c r="B12321" s="4">
        <f>IFERROR(__xludf.DUMMYFUNCTION("""COMPUTED_VALUE"""),46139.0)</f>
        <v>46139</v>
      </c>
      <c r="C12321" s="1" t="str">
        <f>IFERROR(__xludf.DUMMYFUNCTION("""COMPUTED_VALUE"""),"Core Product Support")</f>
        <v>Core Product Support</v>
      </c>
      <c r="D12321" s="1" t="str">
        <f>IFERROR(__xludf.DUMMYFUNCTION("""COMPUTED_VALUE"""),"ec2c53f2-66fa-462e-9ac9-b9e626e485b4")</f>
        <v>ec2c53f2-66fa-462e-9ac9-b9e626e485b4</v>
      </c>
      <c r="E12321" s="1">
        <f>IFERROR(__xludf.DUMMYFUNCTION("""COMPUTED_VALUE"""),5.047318720783E12)</f>
        <v>5047318720783</v>
      </c>
      <c r="F12321" s="1"/>
      <c r="G12321" s="1">
        <f>IFERROR(__xludf.DUMMYFUNCTION("""COMPUTED_VALUE"""),1.25)</f>
        <v>1.25</v>
      </c>
      <c r="H12321" s="2">
        <f>IFERROR(__xludf.DUMMYFUNCTION("""COMPUTED_VALUE"""),1.25)</f>
        <v>1.25</v>
      </c>
      <c r="I12321" s="5">
        <f>IFERROR(__xludf.DUMMYFUNCTION("""COMPUTED_VALUE"""),1.0)</f>
        <v>1</v>
      </c>
      <c r="J12321" s="1" t="str">
        <f>IFERROR(__xludf.DUMMYFUNCTION("""COMPUTED_VALUE"""),"Vinz Lazaro")</f>
        <v>Vinz Lazaro</v>
      </c>
      <c r="K12321" s="1" t="str">
        <f>IFERROR(__xludf.DUMMYFUNCTION("""COMPUTED_VALUE"""),"Advanced Product Support")</f>
        <v>Advanced Product Support</v>
      </c>
      <c r="L12321" s="1" t="str">
        <f>IFERROR(__xludf.DUMMYFUNCTION("""COMPUTED_VALUE"""),"CPS Advanced Product Support (APS)")</f>
        <v>CPS Advanced Product Support (APS)</v>
      </c>
    </row>
    <row r="12322">
      <c r="A12322" s="1" t="str">
        <f>IFERROR(__xludf.DUMMYFUNCTION("""COMPUTED_VALUE"""),"2026 Apr")</f>
        <v>2026 Apr</v>
      </c>
      <c r="B12322" s="4">
        <f>IFERROR(__xludf.DUMMYFUNCTION("""COMPUTED_VALUE"""),46139.0)</f>
        <v>46139</v>
      </c>
      <c r="C12322" s="1" t="str">
        <f>IFERROR(__xludf.DUMMYFUNCTION("""COMPUTED_VALUE"""),"High Sensitivity Support")</f>
        <v>High Sensitivity Support</v>
      </c>
      <c r="D12322" s="1" t="str">
        <f>IFERROR(__xludf.DUMMYFUNCTION("""COMPUTED_VALUE"""),"ac409d1d-146f-4f2e-97cf-ac668184be31")</f>
        <v>ac409d1d-146f-4f2e-97cf-ac668184be31</v>
      </c>
      <c r="E12322" s="1">
        <f>IFERROR(__xludf.DUMMYFUNCTION("""COMPUTED_VALUE"""),9.285050515215E12)</f>
        <v>9285050515215</v>
      </c>
      <c r="F12322" s="1"/>
      <c r="G12322" s="1"/>
      <c r="H12322" s="2">
        <f>IFERROR(__xludf.DUMMYFUNCTION("""COMPUTED_VALUE"""),0.0)</f>
        <v>0</v>
      </c>
      <c r="I12322" s="5"/>
      <c r="J12322" s="1" t="str">
        <f>IFERROR(__xludf.DUMMYFUNCTION("""COMPUTED_VALUE"""),"Xandy Azarcon")</f>
        <v>Xandy Azarcon</v>
      </c>
      <c r="K12322" s="1" t="str">
        <f>IFERROR(__xludf.DUMMYFUNCTION("""COMPUTED_VALUE"""),"High Sensitivity Support PH")</f>
        <v>High Sensitivity Support PH</v>
      </c>
      <c r="L12322" s="1" t="str">
        <f>IFERROR(__xludf.DUMMYFUNCTION("""COMPUTED_VALUE"""),"HSS High Sensitivity Support PH - CHT")</f>
        <v>HSS High Sensitivity Support PH - CHT</v>
      </c>
    </row>
    <row r="12323">
      <c r="A12323" s="1" t="str">
        <f>IFERROR(__xludf.DUMMYFUNCTION("""COMPUTED_VALUE"""),"2026 Apr")</f>
        <v>2026 Apr</v>
      </c>
      <c r="B12323" s="4">
        <f>IFERROR(__xludf.DUMMYFUNCTION("""COMPUTED_VALUE"""),46139.0)</f>
        <v>46139</v>
      </c>
      <c r="C12323" s="1" t="str">
        <f>IFERROR(__xludf.DUMMYFUNCTION("""COMPUTED_VALUE"""),"Admin Support")</f>
        <v>Admin Support</v>
      </c>
      <c r="D12323" s="1" t="str">
        <f>IFERROR(__xludf.DUMMYFUNCTION("""COMPUTED_VALUE"""),"390ace33-d7f9-4dda-8f95-3d06e72320ce")</f>
        <v>390ace33-d7f9-4dda-8f95-3d06e72320ce</v>
      </c>
      <c r="E12323" s="1">
        <f>IFERROR(__xludf.DUMMYFUNCTION("""COMPUTED_VALUE"""),3.61724963216E11)</f>
        <v>361724963216</v>
      </c>
      <c r="F12323" s="1"/>
      <c r="G12323" s="1"/>
      <c r="H12323" s="2">
        <f>IFERROR(__xludf.DUMMYFUNCTION("""COMPUTED_VALUE"""),0.0)</f>
        <v>0</v>
      </c>
      <c r="I12323" s="5"/>
      <c r="J12323" s="1" t="str">
        <f>IFERROR(__xludf.DUMMYFUNCTION("""COMPUTED_VALUE"""),"Karla Mananghaya")</f>
        <v>Karla Mananghaya</v>
      </c>
      <c r="K12323" s="1" t="str">
        <f>IFERROR(__xludf.DUMMYFUNCTION("""COMPUTED_VALUE"""),"Admin Support Service Escalation Team")</f>
        <v>Admin Support Service Escalation Team</v>
      </c>
      <c r="L12323" s="1" t="str">
        <f>IFERROR(__xludf.DUMMYFUNCTION("""COMPUTED_VALUE"""),"Admin ASSET")</f>
        <v>Admin ASSET</v>
      </c>
    </row>
    <row r="12324">
      <c r="A12324" s="1" t="str">
        <f>IFERROR(__xludf.DUMMYFUNCTION("""COMPUTED_VALUE"""),"2026 Apr")</f>
        <v>2026 Apr</v>
      </c>
      <c r="B12324" s="4">
        <f>IFERROR(__xludf.DUMMYFUNCTION("""COMPUTED_VALUE"""),46139.0)</f>
        <v>46139</v>
      </c>
      <c r="C12324" s="1" t="str">
        <f>IFERROR(__xludf.DUMMYFUNCTION("""COMPUTED_VALUE"""),"Core Product Support")</f>
        <v>Core Product Support</v>
      </c>
      <c r="D12324" s="1" t="str">
        <f>IFERROR(__xludf.DUMMYFUNCTION("""COMPUTED_VALUE"""),"4213e169-349c-47c9-b613-f4356c986a3d")</f>
        <v>4213e169-349c-47c9-b613-f4356c986a3d</v>
      </c>
      <c r="E12324" s="1">
        <f>IFERROR(__xludf.DUMMYFUNCTION("""COMPUTED_VALUE"""),1.0548588312463E13)</f>
        <v>10548588312463</v>
      </c>
      <c r="F12324" s="1"/>
      <c r="G12324" s="1">
        <f>IFERROR(__xludf.DUMMYFUNCTION("""COMPUTED_VALUE"""),1.25)</f>
        <v>1.25</v>
      </c>
      <c r="H12324" s="2">
        <f>IFERROR(__xludf.DUMMYFUNCTION("""COMPUTED_VALUE"""),1.25)</f>
        <v>1.25</v>
      </c>
      <c r="I12324" s="5">
        <f>IFERROR(__xludf.DUMMYFUNCTION("""COMPUTED_VALUE"""),1.0)</f>
        <v>1</v>
      </c>
      <c r="J12324" s="1" t="str">
        <f>IFERROR(__xludf.DUMMYFUNCTION("""COMPUTED_VALUE"""),"Belle Bentazal")</f>
        <v>Belle Bentazal</v>
      </c>
      <c r="K12324" s="1" t="str">
        <f>IFERROR(__xludf.DUMMYFUNCTION("""COMPUTED_VALUE"""),"Advanced Product Support")</f>
        <v>Advanced Product Support</v>
      </c>
      <c r="L12324" s="1" t="str">
        <f>IFERROR(__xludf.DUMMYFUNCTION("""COMPUTED_VALUE"""),"CPS Advanced Product Support (APS)")</f>
        <v>CPS Advanced Product Support (APS)</v>
      </c>
    </row>
    <row r="12325">
      <c r="A12325" s="1" t="str">
        <f>IFERROR(__xludf.DUMMYFUNCTION("""COMPUTED_VALUE"""),"2026 Apr")</f>
        <v>2026 Apr</v>
      </c>
      <c r="B12325" s="4">
        <f>IFERROR(__xludf.DUMMYFUNCTION("""COMPUTED_VALUE"""),46139.0)</f>
        <v>46139</v>
      </c>
      <c r="C12325" s="1" t="str">
        <f>IFERROR(__xludf.DUMMYFUNCTION("""COMPUTED_VALUE"""),"Core Product Support")</f>
        <v>Core Product Support</v>
      </c>
      <c r="D12325" s="1" t="str">
        <f>IFERROR(__xludf.DUMMYFUNCTION("""COMPUTED_VALUE"""),"3d49537c-dbf0-4f04-896b-1d3cc141a183")</f>
        <v>3d49537c-dbf0-4f04-896b-1d3cc141a183</v>
      </c>
      <c r="E12325" s="1">
        <f>IFERROR(__xludf.DUMMYFUNCTION("""COMPUTED_VALUE"""),5.901988041103E12)</f>
        <v>5901988041103</v>
      </c>
      <c r="F12325" s="1"/>
      <c r="G12325" s="1">
        <f>IFERROR(__xludf.DUMMYFUNCTION("""COMPUTED_VALUE"""),1.25)</f>
        <v>1.25</v>
      </c>
      <c r="H12325" s="2">
        <f>IFERROR(__xludf.DUMMYFUNCTION("""COMPUTED_VALUE"""),1.25)</f>
        <v>1.25</v>
      </c>
      <c r="I12325" s="5">
        <f>IFERROR(__xludf.DUMMYFUNCTION("""COMPUTED_VALUE"""),1.0)</f>
        <v>1</v>
      </c>
      <c r="J12325" s="1" t="str">
        <f>IFERROR(__xludf.DUMMYFUNCTION("""COMPUTED_VALUE"""),"Jem Mondoñedo")</f>
        <v>Jem Mondoñedo</v>
      </c>
      <c r="K12325" s="1" t="str">
        <f>IFERROR(__xludf.DUMMYFUNCTION("""COMPUTED_VALUE"""),"Advanced Billing &amp; Subscriptions")</f>
        <v>Advanced Billing &amp; Subscriptions</v>
      </c>
      <c r="L12325" s="1" t="str">
        <f>IFERROR(__xludf.DUMMYFUNCTION("""COMPUTED_VALUE"""),"CPS Advanced Billing and Subscriptions (ABS)")</f>
        <v>CPS Advanced Billing and Subscriptions (ABS)</v>
      </c>
    </row>
    <row r="12326">
      <c r="A12326" s="1" t="str">
        <f>IFERROR(__xludf.DUMMYFUNCTION("""COMPUTED_VALUE"""),"2026 Apr")</f>
        <v>2026 Apr</v>
      </c>
      <c r="B12326" s="4">
        <f>IFERROR(__xludf.DUMMYFUNCTION("""COMPUTED_VALUE"""),46139.0)</f>
        <v>46139</v>
      </c>
      <c r="C12326" s="1" t="str">
        <f>IFERROR(__xludf.DUMMYFUNCTION("""COMPUTED_VALUE"""),"Core Product Support")</f>
        <v>Core Product Support</v>
      </c>
      <c r="D12326" s="1" t="str">
        <f>IFERROR(__xludf.DUMMYFUNCTION("""COMPUTED_VALUE"""),"b5f49a72-6ea0-44a0-8325-970c0e83dea7")</f>
        <v>b5f49a72-6ea0-44a0-8325-970c0e83dea7</v>
      </c>
      <c r="E12326" s="1">
        <f>IFERROR(__xludf.DUMMYFUNCTION("""COMPUTED_VALUE"""),9.586408388239E12)</f>
        <v>9586408388239</v>
      </c>
      <c r="F12326" s="1"/>
      <c r="G12326" s="1">
        <f>IFERROR(__xludf.DUMMYFUNCTION("""COMPUTED_VALUE"""),1.25)</f>
        <v>1.25</v>
      </c>
      <c r="H12326" s="2">
        <f>IFERROR(__xludf.DUMMYFUNCTION("""COMPUTED_VALUE"""),1.25)</f>
        <v>1.25</v>
      </c>
      <c r="I12326" s="5">
        <f>IFERROR(__xludf.DUMMYFUNCTION("""COMPUTED_VALUE"""),1.0)</f>
        <v>1</v>
      </c>
      <c r="J12326" s="1" t="str">
        <f>IFERROR(__xludf.DUMMYFUNCTION("""COMPUTED_VALUE"""),"Belle Bentazal")</f>
        <v>Belle Bentazal</v>
      </c>
      <c r="K12326" s="1" t="str">
        <f>IFERROR(__xludf.DUMMYFUNCTION("""COMPUTED_VALUE"""),"Advanced Product Support")</f>
        <v>Advanced Product Support</v>
      </c>
      <c r="L12326" s="1" t="str">
        <f>IFERROR(__xludf.DUMMYFUNCTION("""COMPUTED_VALUE"""),"CPS Advanced Product Support (APS)")</f>
        <v>CPS Advanced Product Support (APS)</v>
      </c>
    </row>
    <row r="12327">
      <c r="A12327" s="1" t="str">
        <f>IFERROR(__xludf.DUMMYFUNCTION("""COMPUTED_VALUE"""),"2026 Apr")</f>
        <v>2026 Apr</v>
      </c>
      <c r="B12327" s="4">
        <f>IFERROR(__xludf.DUMMYFUNCTION("""COMPUTED_VALUE"""),46139.0)</f>
        <v>46139</v>
      </c>
      <c r="C12327" s="1" t="str">
        <f>IFERROR(__xludf.DUMMYFUNCTION("""COMPUTED_VALUE"""),"Admin Support")</f>
        <v>Admin Support</v>
      </c>
      <c r="D12327" s="1" t="str">
        <f>IFERROR(__xludf.DUMMYFUNCTION("""COMPUTED_VALUE"""),"3960812e-748b-47a3-8dea-3a0c6b21aee1")</f>
        <v>3960812e-748b-47a3-8dea-3a0c6b21aee1</v>
      </c>
      <c r="E12327" s="1">
        <f>IFERROR(__xludf.DUMMYFUNCTION("""COMPUTED_VALUE"""),9.107749076367E12)</f>
        <v>9107749076367</v>
      </c>
      <c r="F12327" s="1"/>
      <c r="G12327" s="1">
        <f>IFERROR(__xludf.DUMMYFUNCTION("""COMPUTED_VALUE"""),0.25)</f>
        <v>0.25</v>
      </c>
      <c r="H12327" s="2">
        <f>IFERROR(__xludf.DUMMYFUNCTION("""COMPUTED_VALUE"""),0.25)</f>
        <v>0.25</v>
      </c>
      <c r="I12327" s="5">
        <f>IFERROR(__xludf.DUMMYFUNCTION("""COMPUTED_VALUE"""),1.0)</f>
        <v>1</v>
      </c>
      <c r="J12327" s="1" t="str">
        <f>IFERROR(__xludf.DUMMYFUNCTION("""COMPUTED_VALUE"""),"Ann Dumlao")</f>
        <v>Ann Dumlao</v>
      </c>
      <c r="K12327" s="1" t="str">
        <f>IFERROR(__xludf.DUMMYFUNCTION("""COMPUTED_VALUE"""),"Admin Omni Support")</f>
        <v>Admin Omni Support</v>
      </c>
      <c r="L12327" s="1" t="str">
        <f>IFERROR(__xludf.DUMMYFUNCTION("""COMPUTED_VALUE"""),"Admin Omni Support")</f>
        <v>Admin Omni Support</v>
      </c>
    </row>
    <row r="12328">
      <c r="A12328" s="1" t="str">
        <f>IFERROR(__xludf.DUMMYFUNCTION("""COMPUTED_VALUE"""),"2026 Apr")</f>
        <v>2026 Apr</v>
      </c>
      <c r="B12328" s="4">
        <f>IFERROR(__xludf.DUMMYFUNCTION("""COMPUTED_VALUE"""),46139.0)</f>
        <v>46139</v>
      </c>
      <c r="C12328" s="1" t="str">
        <f>IFERROR(__xludf.DUMMYFUNCTION("""COMPUTED_VALUE"""),"Segment-specific Support")</f>
        <v>Segment-specific Support</v>
      </c>
      <c r="D12328" s="1" t="str">
        <f>IFERROR(__xludf.DUMMYFUNCTION("""COMPUTED_VALUE"""),"0519f8dd-38e2-4c44-b925-77b43587196d")</f>
        <v>0519f8dd-38e2-4c44-b925-77b43587196d</v>
      </c>
      <c r="E12328" s="1">
        <f>IFERROR(__xludf.DUMMYFUNCTION("""COMPUTED_VALUE"""),3.61731348815E11)</f>
        <v>361731348815</v>
      </c>
      <c r="F12328" s="1"/>
      <c r="G12328" s="1"/>
      <c r="H12328" s="2">
        <f>IFERROR(__xludf.DUMMYFUNCTION("""COMPUTED_VALUE"""),0.0)</f>
        <v>0</v>
      </c>
      <c r="I12328" s="5"/>
      <c r="J12328" s="1" t="str">
        <f>IFERROR(__xludf.DUMMYFUNCTION("""COMPUTED_VALUE"""),"Aileen Dayanghirang")</f>
        <v>Aileen Dayanghirang</v>
      </c>
      <c r="K12328" s="1" t="str">
        <f>IFERROR(__xludf.DUMMYFUNCTION("""COMPUTED_VALUE"""),"Creators Support")</f>
        <v>Creators Support</v>
      </c>
      <c r="L12328" s="1" t="str">
        <f>IFERROR(__xludf.DUMMYFUNCTION("""COMPUTED_VALUE"""),"SSS Creators")</f>
        <v>SSS Creators</v>
      </c>
    </row>
    <row r="12329">
      <c r="A12329" s="1" t="str">
        <f>IFERROR(__xludf.DUMMYFUNCTION("""COMPUTED_VALUE"""),"2026 Apr")</f>
        <v>2026 Apr</v>
      </c>
      <c r="B12329" s="4">
        <f>IFERROR(__xludf.DUMMYFUNCTION("""COMPUTED_VALUE"""),46139.0)</f>
        <v>46139</v>
      </c>
      <c r="C12329" s="1" t="str">
        <f>IFERROR(__xludf.DUMMYFUNCTION("""COMPUTED_VALUE"""),"Core Product Support")</f>
        <v>Core Product Support</v>
      </c>
      <c r="D12329" s="1" t="str">
        <f>IFERROR(__xludf.DUMMYFUNCTION("""COMPUTED_VALUE"""),"3ea48634-b6a2-4b3f-b17e-bc63a77dd069")</f>
        <v>3ea48634-b6a2-4b3f-b17e-bc63a77dd069</v>
      </c>
      <c r="E12329" s="1">
        <f>IFERROR(__xludf.DUMMYFUNCTION("""COMPUTED_VALUE"""),3.61969384715E11)</f>
        <v>361969384715</v>
      </c>
      <c r="F12329" s="1"/>
      <c r="G12329" s="1">
        <f>IFERROR(__xludf.DUMMYFUNCTION("""COMPUTED_VALUE"""),1.25)</f>
        <v>1.25</v>
      </c>
      <c r="H12329" s="2">
        <f>IFERROR(__xludf.DUMMYFUNCTION("""COMPUTED_VALUE"""),1.25)</f>
        <v>1.25</v>
      </c>
      <c r="I12329" s="5">
        <f>IFERROR(__xludf.DUMMYFUNCTION("""COMPUTED_VALUE"""),1.0)</f>
        <v>1</v>
      </c>
      <c r="J12329" s="1" t="str">
        <f>IFERROR(__xludf.DUMMYFUNCTION("""COMPUTED_VALUE"""),"Jem Mondoñedo")</f>
        <v>Jem Mondoñedo</v>
      </c>
      <c r="K12329" s="1" t="str">
        <f>IFERROR(__xludf.DUMMYFUNCTION("""COMPUTED_VALUE"""),"Advanced Billing &amp; Subscriptions")</f>
        <v>Advanced Billing &amp; Subscriptions</v>
      </c>
      <c r="L12329" s="1" t="str">
        <f>IFERROR(__xludf.DUMMYFUNCTION("""COMPUTED_VALUE"""),"CPS Advanced Billing and Subscriptions (ABS)")</f>
        <v>CPS Advanced Billing and Subscriptions (ABS)</v>
      </c>
    </row>
    <row r="12330">
      <c r="A12330" s="1" t="str">
        <f>IFERROR(__xludf.DUMMYFUNCTION("""COMPUTED_VALUE"""),"2026 Apr")</f>
        <v>2026 Apr</v>
      </c>
      <c r="B12330" s="4">
        <f>IFERROR(__xludf.DUMMYFUNCTION("""COMPUTED_VALUE"""),46139.0)</f>
        <v>46139</v>
      </c>
      <c r="C12330" s="1" t="str">
        <f>IFERROR(__xludf.DUMMYFUNCTION("""COMPUTED_VALUE"""),"Core Product Support")</f>
        <v>Core Product Support</v>
      </c>
      <c r="D12330" s="1" t="str">
        <f>IFERROR(__xludf.DUMMYFUNCTION("""COMPUTED_VALUE"""),"f26b7878-f252-4db1-b6ae-1278d851d7f9")</f>
        <v>f26b7878-f252-4db1-b6ae-1278d851d7f9</v>
      </c>
      <c r="E12330" s="1">
        <f>IFERROR(__xludf.DUMMYFUNCTION("""COMPUTED_VALUE"""),3.61731792295E11)</f>
        <v>361731792295</v>
      </c>
      <c r="F12330" s="1"/>
      <c r="G12330" s="1">
        <f>IFERROR(__xludf.DUMMYFUNCTION("""COMPUTED_VALUE"""),2.5)</f>
        <v>2.5</v>
      </c>
      <c r="H12330" s="2">
        <f>IFERROR(__xludf.DUMMYFUNCTION("""COMPUTED_VALUE"""),2.5)</f>
        <v>2.5</v>
      </c>
      <c r="I12330" s="5">
        <f>IFERROR(__xludf.DUMMYFUNCTION("""COMPUTED_VALUE"""),1.0)</f>
        <v>1</v>
      </c>
      <c r="J12330" s="1" t="str">
        <f>IFERROR(__xludf.DUMMYFUNCTION("""COMPUTED_VALUE"""),"Jelyn Elmido")</f>
        <v>Jelyn Elmido</v>
      </c>
      <c r="K12330" s="1" t="str">
        <f>IFERROR(__xludf.DUMMYFUNCTION("""COMPUTED_VALUE"""),"Core Product Support Escalation Team")</f>
        <v>Core Product Support Escalation Team</v>
      </c>
      <c r="L12330"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2331">
      <c r="A12331" s="1" t="str">
        <f>IFERROR(__xludf.DUMMYFUNCTION("""COMPUTED_VALUE"""),"2026 Apr")</f>
        <v>2026 Apr</v>
      </c>
      <c r="B12331" s="4">
        <f>IFERROR(__xludf.DUMMYFUNCTION("""COMPUTED_VALUE"""),46139.0)</f>
        <v>46139</v>
      </c>
      <c r="C12331" s="1" t="str">
        <f>IFERROR(__xludf.DUMMYFUNCTION("""COMPUTED_VALUE"""),"Print Support")</f>
        <v>Print Support</v>
      </c>
      <c r="D12331" s="1" t="str">
        <f>IFERROR(__xludf.DUMMYFUNCTION("""COMPUTED_VALUE"""),"5957e659-d004-4b50-a833-96d89b506744")</f>
        <v>5957e659-d004-4b50-a833-96d89b506744</v>
      </c>
      <c r="E12331" s="1">
        <f>IFERROR(__xludf.DUMMYFUNCTION("""COMPUTED_VALUE"""),1.3475786244239E13)</f>
        <v>13475786244239</v>
      </c>
      <c r="F12331" s="1"/>
      <c r="G12331" s="1"/>
      <c r="H12331" s="2">
        <f>IFERROR(__xludf.DUMMYFUNCTION("""COMPUTED_VALUE"""),0.0)</f>
        <v>0</v>
      </c>
      <c r="I12331" s="5"/>
      <c r="J12331" s="1" t="str">
        <f>IFERROR(__xludf.DUMMYFUNCTION("""COMPUTED_VALUE"""),"Gem Agoncillo")</f>
        <v>Gem Agoncillo</v>
      </c>
      <c r="K12331" s="1" t="str">
        <f>IFERROR(__xludf.DUMMYFUNCTION("""COMPUTED_VALUE"""),"Print Design Support")</f>
        <v>Print Design Support</v>
      </c>
      <c r="L12331" s="1" t="str">
        <f>IFERROR(__xludf.DUMMYFUNCTION("""COMPUTED_VALUE"""),"Print Print Design")</f>
        <v>Print Print Design</v>
      </c>
    </row>
    <row r="12332">
      <c r="A12332" s="1" t="str">
        <f>IFERROR(__xludf.DUMMYFUNCTION("""COMPUTED_VALUE"""),"2026 Apr")</f>
        <v>2026 Apr</v>
      </c>
      <c r="B12332" s="4">
        <f>IFERROR(__xludf.DUMMYFUNCTION("""COMPUTED_VALUE"""),46139.0)</f>
        <v>46139</v>
      </c>
      <c r="C12332" s="1" t="str">
        <f>IFERROR(__xludf.DUMMYFUNCTION("""COMPUTED_VALUE"""),"Admin Support")</f>
        <v>Admin Support</v>
      </c>
      <c r="D12332" s="1" t="str">
        <f>IFERROR(__xludf.DUMMYFUNCTION("""COMPUTED_VALUE"""),"aba1b506-4ed6-4f4a-abad-f264703b1937")</f>
        <v>aba1b506-4ed6-4f4a-abad-f264703b1937</v>
      </c>
      <c r="E12332" s="1">
        <f>IFERROR(__xludf.DUMMYFUNCTION("""COMPUTED_VALUE"""),9.684963584655E12)</f>
        <v>9684963584655</v>
      </c>
      <c r="F12332" s="1"/>
      <c r="G12332" s="1"/>
      <c r="H12332" s="2">
        <f>IFERROR(__xludf.DUMMYFUNCTION("""COMPUTED_VALUE"""),0.0)</f>
        <v>0</v>
      </c>
      <c r="I12332" s="5"/>
      <c r="J12332" s="1" t="str">
        <f>IFERROR(__xludf.DUMMYFUNCTION("""COMPUTED_VALUE"""),"Nate Vela")</f>
        <v>Nate Vela</v>
      </c>
      <c r="K12332" s="1" t="str">
        <f>IFERROR(__xludf.DUMMYFUNCTION("""COMPUTED_VALUE"""),"Admin Support NA")</f>
        <v>Admin Support NA</v>
      </c>
      <c r="L12332" s="1" t="str">
        <f>IFERROR(__xludf.DUMMYFUNCTION("""COMPUTED_VALUE"""),"Admin NA")</f>
        <v>Admin NA</v>
      </c>
    </row>
    <row r="12333">
      <c r="A12333" s="1" t="str">
        <f>IFERROR(__xludf.DUMMYFUNCTION("""COMPUTED_VALUE"""),"2026 Apr")</f>
        <v>2026 Apr</v>
      </c>
      <c r="B12333" s="4">
        <f>IFERROR(__xludf.DUMMYFUNCTION("""COMPUTED_VALUE"""),46139.0)</f>
        <v>46139</v>
      </c>
      <c r="C12333" s="1" t="str">
        <f>IFERROR(__xludf.DUMMYFUNCTION("""COMPUTED_VALUE"""),"Segment-specific Support")</f>
        <v>Segment-specific Support</v>
      </c>
      <c r="D12333" s="1" t="str">
        <f>IFERROR(__xludf.DUMMYFUNCTION("""COMPUTED_VALUE"""),"f6982094-ab6f-4fbb-9491-b95f8c7da23e")</f>
        <v>f6982094-ab6f-4fbb-9491-b95f8c7da23e</v>
      </c>
      <c r="E12333" s="1"/>
      <c r="F12333" s="1"/>
      <c r="G12333" s="1"/>
      <c r="H12333" s="2">
        <f>IFERROR(__xludf.DUMMYFUNCTION("""COMPUTED_VALUE"""),0.0)</f>
        <v>0</v>
      </c>
      <c r="I12333" s="5"/>
      <c r="J12333" s="1" t="str">
        <f>IFERROR(__xludf.DUMMYFUNCTION("""COMPUTED_VALUE"""),"Leigh Davison")</f>
        <v>Leigh Davison</v>
      </c>
      <c r="K12333" s="1" t="str">
        <f>IFERROR(__xludf.DUMMYFUNCTION("""COMPUTED_VALUE"""),"#N/A")</f>
        <v>#N/A</v>
      </c>
      <c r="L12333" s="1"/>
    </row>
    <row r="12334">
      <c r="A12334" s="1" t="str">
        <f>IFERROR(__xludf.DUMMYFUNCTION("""COMPUTED_VALUE"""),"2026 Apr")</f>
        <v>2026 Apr</v>
      </c>
      <c r="B12334" s="4">
        <f>IFERROR(__xludf.DUMMYFUNCTION("""COMPUTED_VALUE"""),46139.0)</f>
        <v>46139</v>
      </c>
      <c r="C12334" s="1" t="str">
        <f>IFERROR(__xludf.DUMMYFUNCTION("""COMPUTED_VALUE"""),"Core Product Support")</f>
        <v>Core Product Support</v>
      </c>
      <c r="D12334" s="1" t="str">
        <f>IFERROR(__xludf.DUMMYFUNCTION("""COMPUTED_VALUE"""),"34f2d71e-2948-4046-b11a-6ec3d91fb2f7")</f>
        <v>34f2d71e-2948-4046-b11a-6ec3d91fb2f7</v>
      </c>
      <c r="E12334" s="1">
        <f>IFERROR(__xludf.DUMMYFUNCTION("""COMPUTED_VALUE"""),3.61725261076E11)</f>
        <v>361725261076</v>
      </c>
      <c r="F12334" s="1"/>
      <c r="G12334" s="1">
        <f>IFERROR(__xludf.DUMMYFUNCTION("""COMPUTED_VALUE"""),2.5)</f>
        <v>2.5</v>
      </c>
      <c r="H12334" s="2">
        <f>IFERROR(__xludf.DUMMYFUNCTION("""COMPUTED_VALUE"""),2.5)</f>
        <v>2.5</v>
      </c>
      <c r="I12334" s="5">
        <f>IFERROR(__xludf.DUMMYFUNCTION("""COMPUTED_VALUE"""),1.0)</f>
        <v>1</v>
      </c>
      <c r="J12334" s="1" t="str">
        <f>IFERROR(__xludf.DUMMYFUNCTION("""COMPUTED_VALUE"""),"Jelyn Elmido")</f>
        <v>Jelyn Elmido</v>
      </c>
      <c r="K12334" s="1" t="str">
        <f>IFERROR(__xludf.DUMMYFUNCTION("""COMPUTED_VALUE"""),"Core Product Support Escalation Team")</f>
        <v>Core Product Support Escalation Team</v>
      </c>
      <c r="L12334"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2335">
      <c r="A12335" s="1" t="str">
        <f>IFERROR(__xludf.DUMMYFUNCTION("""COMPUTED_VALUE"""),"2026 Apr")</f>
        <v>2026 Apr</v>
      </c>
      <c r="B12335" s="4">
        <f>IFERROR(__xludf.DUMMYFUNCTION("""COMPUTED_VALUE"""),46139.0)</f>
        <v>46139</v>
      </c>
      <c r="C12335" s="1" t="str">
        <f>IFERROR(__xludf.DUMMYFUNCTION("""COMPUTED_VALUE"""),"Core Product Support")</f>
        <v>Core Product Support</v>
      </c>
      <c r="D12335" s="1" t="str">
        <f>IFERROR(__xludf.DUMMYFUNCTION("""COMPUTED_VALUE"""),"d0bf168c-4c21-43be-abef-2d821133980c")</f>
        <v>d0bf168c-4c21-43be-abef-2d821133980c</v>
      </c>
      <c r="E12335" s="1">
        <f>IFERROR(__xludf.DUMMYFUNCTION("""COMPUTED_VALUE"""),7.437371735567E12)</f>
        <v>7437371735567</v>
      </c>
      <c r="F12335" s="1"/>
      <c r="G12335" s="1">
        <f>IFERROR(__xludf.DUMMYFUNCTION("""COMPUTED_VALUE"""),1.25)</f>
        <v>1.25</v>
      </c>
      <c r="H12335" s="2">
        <f>IFERROR(__xludf.DUMMYFUNCTION("""COMPUTED_VALUE"""),1.25)</f>
        <v>1.25</v>
      </c>
      <c r="I12335" s="5">
        <f>IFERROR(__xludf.DUMMYFUNCTION("""COMPUTED_VALUE"""),1.0)</f>
        <v>1</v>
      </c>
      <c r="J12335" s="1" t="str">
        <f>IFERROR(__xludf.DUMMYFUNCTION("""COMPUTED_VALUE"""),"Renette Bok")</f>
        <v>Renette Bok</v>
      </c>
      <c r="K12335" s="1" t="str">
        <f>IFERROR(__xludf.DUMMYFUNCTION("""COMPUTED_VALUE"""),"Advanced Billing &amp; Subscriptions")</f>
        <v>Advanced Billing &amp; Subscriptions</v>
      </c>
      <c r="L12335" s="1" t="str">
        <f>IFERROR(__xludf.DUMMYFUNCTION("""COMPUTED_VALUE"""),"CPS Advanced Billing and Subscriptions (ABS)")</f>
        <v>CPS Advanced Billing and Subscriptions (ABS)</v>
      </c>
    </row>
    <row r="12336">
      <c r="A12336" s="1" t="str">
        <f>IFERROR(__xludf.DUMMYFUNCTION("""COMPUTED_VALUE"""),"2026 Apr")</f>
        <v>2026 Apr</v>
      </c>
      <c r="B12336" s="4">
        <f>IFERROR(__xludf.DUMMYFUNCTION("""COMPUTED_VALUE"""),46139.0)</f>
        <v>46139</v>
      </c>
      <c r="C12336" s="1" t="str">
        <f>IFERROR(__xludf.DUMMYFUNCTION("""COMPUTED_VALUE"""),"High Sensitivity Support")</f>
        <v>High Sensitivity Support</v>
      </c>
      <c r="D12336" s="1" t="str">
        <f>IFERROR(__xludf.DUMMYFUNCTION("""COMPUTED_VALUE"""),"f56a1f10-27ad-435d-9c50-8e847d04dbcf")</f>
        <v>f56a1f10-27ad-435d-9c50-8e847d04dbcf</v>
      </c>
      <c r="E12336" s="1">
        <f>IFERROR(__xludf.DUMMYFUNCTION("""COMPUTED_VALUE"""),5.566811301007E12)</f>
        <v>5566811301007</v>
      </c>
      <c r="F12336" s="1"/>
      <c r="G12336" s="1"/>
      <c r="H12336" s="2">
        <f>IFERROR(__xludf.DUMMYFUNCTION("""COMPUTED_VALUE"""),0.0)</f>
        <v>0</v>
      </c>
      <c r="I12336" s="5"/>
      <c r="J12336" s="1" t="str">
        <f>IFERROR(__xludf.DUMMYFUNCTION("""COMPUTED_VALUE"""),"Issi Afable")</f>
        <v>Issi Afable</v>
      </c>
      <c r="K12336" s="1" t="str">
        <f>IFERROR(__xludf.DUMMYFUNCTION("""COMPUTED_VALUE"""),"High Sensitivity Support PH")</f>
        <v>High Sensitivity Support PH</v>
      </c>
      <c r="L12336" s="1" t="str">
        <f>IFERROR(__xludf.DUMMYFUNCTION("""COMPUTED_VALUE"""),"HSS High Sensitivity Support PH - SEE")</f>
        <v>HSS High Sensitivity Support PH - SEE</v>
      </c>
    </row>
    <row r="12337">
      <c r="A12337" s="1" t="str">
        <f>IFERROR(__xludf.DUMMYFUNCTION("""COMPUTED_VALUE"""),"2026 Apr")</f>
        <v>2026 Apr</v>
      </c>
      <c r="B12337" s="4">
        <f>IFERROR(__xludf.DUMMYFUNCTION("""COMPUTED_VALUE"""),46139.0)</f>
        <v>46139</v>
      </c>
      <c r="C12337" s="1" t="str">
        <f>IFERROR(__xludf.DUMMYFUNCTION("""COMPUTED_VALUE"""),"Print Support")</f>
        <v>Print Support</v>
      </c>
      <c r="D12337" s="1" t="str">
        <f>IFERROR(__xludf.DUMMYFUNCTION("""COMPUTED_VALUE"""),"298f0d76-bd7a-4274-ba39-7bf5fff1a6f0")</f>
        <v>298f0d76-bd7a-4274-ba39-7bf5fff1a6f0</v>
      </c>
      <c r="E12337" s="1"/>
      <c r="F12337" s="1"/>
      <c r="G12337" s="1"/>
      <c r="H12337" s="2">
        <f>IFERROR(__xludf.DUMMYFUNCTION("""COMPUTED_VALUE"""),0.0)</f>
        <v>0</v>
      </c>
      <c r="I12337" s="5"/>
      <c r="J12337" s="1" t="str">
        <f>IFERROR(__xludf.DUMMYFUNCTION("""COMPUTED_VALUE"""),"Gem Agoncillo")</f>
        <v>Gem Agoncillo</v>
      </c>
      <c r="K12337" s="1" t="str">
        <f>IFERROR(__xludf.DUMMYFUNCTION("""COMPUTED_VALUE"""),"Print Design Support")</f>
        <v>Print Design Support</v>
      </c>
      <c r="L12337" s="1" t="str">
        <f>IFERROR(__xludf.DUMMYFUNCTION("""COMPUTED_VALUE"""),"Print Print Design")</f>
        <v>Print Print Design</v>
      </c>
    </row>
    <row r="12338">
      <c r="A12338" s="1" t="str">
        <f>IFERROR(__xludf.DUMMYFUNCTION("""COMPUTED_VALUE"""),"2026 Apr")</f>
        <v>2026 Apr</v>
      </c>
      <c r="B12338" s="4">
        <f>IFERROR(__xludf.DUMMYFUNCTION("""COMPUTED_VALUE"""),46139.0)</f>
        <v>46139</v>
      </c>
      <c r="C12338" s="1" t="str">
        <f>IFERROR(__xludf.DUMMYFUNCTION("""COMPUTED_VALUE"""),"Segment-specific Support")</f>
        <v>Segment-specific Support</v>
      </c>
      <c r="D12338" s="1" t="str">
        <f>IFERROR(__xludf.DUMMYFUNCTION("""COMPUTED_VALUE"""),"6a7b954c-b6c3-49ee-b531-c1516331ca46")</f>
        <v>6a7b954c-b6c3-49ee-b531-c1516331ca46</v>
      </c>
      <c r="E12338" s="1">
        <f>IFERROR(__xludf.DUMMYFUNCTION("""COMPUTED_VALUE"""),3.61725484216E11)</f>
        <v>361725484216</v>
      </c>
      <c r="F12338" s="1"/>
      <c r="G12338" s="1"/>
      <c r="H12338" s="2">
        <f>IFERROR(__xludf.DUMMYFUNCTION("""COMPUTED_VALUE"""),0.0)</f>
        <v>0</v>
      </c>
      <c r="I12338" s="5"/>
      <c r="J12338" s="1" t="str">
        <f>IFERROR(__xludf.DUMMYFUNCTION("""COMPUTED_VALUE"""),"Rose Gabilan")</f>
        <v>Rose Gabilan</v>
      </c>
      <c r="K12338" s="1" t="str">
        <f>IFERROR(__xludf.DUMMYFUNCTION("""COMPUTED_VALUE"""),"Print Support PH")</f>
        <v>Print Support PH</v>
      </c>
      <c r="L12338" s="1" t="str">
        <f>IFERROR(__xludf.DUMMYFUNCTION("""COMPUTED_VALUE"""),"Print Print - CHT")</f>
        <v>Print Print - CHT</v>
      </c>
    </row>
    <row r="12339">
      <c r="A12339" s="1" t="str">
        <f>IFERROR(__xludf.DUMMYFUNCTION("""COMPUTED_VALUE"""),"2026 Apr")</f>
        <v>2026 Apr</v>
      </c>
      <c r="B12339" s="4">
        <f>IFERROR(__xludf.DUMMYFUNCTION("""COMPUTED_VALUE"""),46139.0)</f>
        <v>46139</v>
      </c>
      <c r="C12339" s="1" t="str">
        <f>IFERROR(__xludf.DUMMYFUNCTION("""COMPUTED_VALUE"""),"Print Support")</f>
        <v>Print Support</v>
      </c>
      <c r="D12339" s="1" t="str">
        <f>IFERROR(__xludf.DUMMYFUNCTION("""COMPUTED_VALUE"""),"795981ce-4d10-4d82-8c86-abfaee5aa819")</f>
        <v>795981ce-4d10-4d82-8c86-abfaee5aa819</v>
      </c>
      <c r="E12339" s="1"/>
      <c r="F12339" s="1"/>
      <c r="G12339" s="1"/>
      <c r="H12339" s="2">
        <f>IFERROR(__xludf.DUMMYFUNCTION("""COMPUTED_VALUE"""),0.0)</f>
        <v>0</v>
      </c>
      <c r="I12339" s="5"/>
      <c r="J12339" s="1" t="str">
        <f>IFERROR(__xludf.DUMMYFUNCTION("""COMPUTED_VALUE"""),"Rei De Jesus")</f>
        <v>Rei De Jesus</v>
      </c>
      <c r="K12339" s="1" t="str">
        <f>IFERROR(__xludf.DUMMYFUNCTION("""COMPUTED_VALUE"""),"Print Design Support")</f>
        <v>Print Design Support</v>
      </c>
      <c r="L12339" s="1" t="str">
        <f>IFERROR(__xludf.DUMMYFUNCTION("""COMPUTED_VALUE"""),"Print Print Design")</f>
        <v>Print Print Design</v>
      </c>
    </row>
    <row r="12340">
      <c r="A12340" s="1" t="str">
        <f>IFERROR(__xludf.DUMMYFUNCTION("""COMPUTED_VALUE"""),"2026 Apr")</f>
        <v>2026 Apr</v>
      </c>
      <c r="B12340" s="4">
        <f>IFERROR(__xludf.DUMMYFUNCTION("""COMPUTED_VALUE"""),46139.0)</f>
        <v>46139</v>
      </c>
      <c r="C12340" s="1" t="str">
        <f>IFERROR(__xludf.DUMMYFUNCTION("""COMPUTED_VALUE"""),"Core Product Support")</f>
        <v>Core Product Support</v>
      </c>
      <c r="D12340" s="1" t="str">
        <f>IFERROR(__xludf.DUMMYFUNCTION("""COMPUTED_VALUE"""),"c3188fb3-23e5-43d8-86c2-072029c768d3")</f>
        <v>c3188fb3-23e5-43d8-86c2-072029c768d3</v>
      </c>
      <c r="E12340" s="1">
        <f>IFERROR(__xludf.DUMMYFUNCTION("""COMPUTED_VALUE"""),1.0808000160399E13)</f>
        <v>10808000160399</v>
      </c>
      <c r="F12340" s="1"/>
      <c r="G12340" s="1">
        <f>IFERROR(__xludf.DUMMYFUNCTION("""COMPUTED_VALUE"""),1.25)</f>
        <v>1.25</v>
      </c>
      <c r="H12340" s="2">
        <f>IFERROR(__xludf.DUMMYFUNCTION("""COMPUTED_VALUE"""),1.25)</f>
        <v>1.25</v>
      </c>
      <c r="I12340" s="5">
        <f>IFERROR(__xludf.DUMMYFUNCTION("""COMPUTED_VALUE"""),1.0)</f>
        <v>1</v>
      </c>
      <c r="J12340" s="1" t="str">
        <f>IFERROR(__xludf.DUMMYFUNCTION("""COMPUTED_VALUE"""),"Cate Velasco")</f>
        <v>Cate Velasco</v>
      </c>
      <c r="K12340" s="1" t="str">
        <f>IFERROR(__xludf.DUMMYFUNCTION("""COMPUTED_VALUE"""),"Advanced Product Support")</f>
        <v>Advanced Product Support</v>
      </c>
      <c r="L12340" s="1" t="str">
        <f>IFERROR(__xludf.DUMMYFUNCTION("""COMPUTED_VALUE"""),"CPS Advanced Product Support (APS)")</f>
        <v>CPS Advanced Product Support (APS)</v>
      </c>
    </row>
    <row r="12341">
      <c r="A12341" s="1" t="str">
        <f>IFERROR(__xludf.DUMMYFUNCTION("""COMPUTED_VALUE"""),"2026 Apr")</f>
        <v>2026 Apr</v>
      </c>
      <c r="B12341" s="4">
        <f>IFERROR(__xludf.DUMMYFUNCTION("""COMPUTED_VALUE"""),46139.0)</f>
        <v>46139</v>
      </c>
      <c r="C12341" s="1" t="str">
        <f>IFERROR(__xludf.DUMMYFUNCTION("""COMPUTED_VALUE"""),"Core Product Support")</f>
        <v>Core Product Support</v>
      </c>
      <c r="D12341" s="1" t="str">
        <f>IFERROR(__xludf.DUMMYFUNCTION("""COMPUTED_VALUE"""),"64aee857-09bd-4a17-90d8-7b6e2d71c216")</f>
        <v>64aee857-09bd-4a17-90d8-7b6e2d71c216</v>
      </c>
      <c r="E12341" s="1">
        <f>IFERROR(__xludf.DUMMYFUNCTION("""COMPUTED_VALUE"""),3.61725374316E11)</f>
        <v>361725374316</v>
      </c>
      <c r="F12341" s="1"/>
      <c r="G12341" s="1">
        <f>IFERROR(__xludf.DUMMYFUNCTION("""COMPUTED_VALUE"""),2.5)</f>
        <v>2.5</v>
      </c>
      <c r="H12341" s="2">
        <f>IFERROR(__xludf.DUMMYFUNCTION("""COMPUTED_VALUE"""),2.5)</f>
        <v>2.5</v>
      </c>
      <c r="I12341" s="5">
        <f>IFERROR(__xludf.DUMMYFUNCTION("""COMPUTED_VALUE"""),1.0)</f>
        <v>1</v>
      </c>
      <c r="J12341" s="1" t="str">
        <f>IFERROR(__xludf.DUMMYFUNCTION("""COMPUTED_VALUE"""),"Sieg Ballelos")</f>
        <v>Sieg Ballelos</v>
      </c>
      <c r="K12341" s="1" t="str">
        <f>IFERROR(__xludf.DUMMYFUNCTION("""COMPUTED_VALUE"""),"Core Product Support Escalation Team")</f>
        <v>Core Product Support Escalation Team</v>
      </c>
      <c r="L12341"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2342">
      <c r="A12342" s="1" t="str">
        <f>IFERROR(__xludf.DUMMYFUNCTION("""COMPUTED_VALUE"""),"2026 Apr")</f>
        <v>2026 Apr</v>
      </c>
      <c r="B12342" s="4">
        <f>IFERROR(__xludf.DUMMYFUNCTION("""COMPUTED_VALUE"""),46139.0)</f>
        <v>46139</v>
      </c>
      <c r="C12342" s="1" t="str">
        <f>IFERROR(__xludf.DUMMYFUNCTION("""COMPUTED_VALUE"""),"High Sensitivity Support")</f>
        <v>High Sensitivity Support</v>
      </c>
      <c r="D12342" s="1" t="str">
        <f>IFERROR(__xludf.DUMMYFUNCTION("""COMPUTED_VALUE"""),"c7c30477-846d-4f22-bc04-2aab19385d44")</f>
        <v>c7c30477-846d-4f22-bc04-2aab19385d44</v>
      </c>
      <c r="E12342" s="1">
        <f>IFERROR(__xludf.DUMMYFUNCTION("""COMPUTED_VALUE"""),5.359149433359E12)</f>
        <v>5359149433359</v>
      </c>
      <c r="F12342" s="1"/>
      <c r="G12342" s="1"/>
      <c r="H12342" s="2">
        <f>IFERROR(__xludf.DUMMYFUNCTION("""COMPUTED_VALUE"""),0.0)</f>
        <v>0</v>
      </c>
      <c r="I12342" s="5"/>
      <c r="J12342" s="1" t="str">
        <f>IFERROR(__xludf.DUMMYFUNCTION("""COMPUTED_VALUE"""),"Xandy Azarcon")</f>
        <v>Xandy Azarcon</v>
      </c>
      <c r="K12342" s="1" t="str">
        <f>IFERROR(__xludf.DUMMYFUNCTION("""COMPUTED_VALUE"""),"High Sensitivity Support PH")</f>
        <v>High Sensitivity Support PH</v>
      </c>
      <c r="L12342" s="1" t="str">
        <f>IFERROR(__xludf.DUMMYFUNCTION("""COMPUTED_VALUE"""),"HSS High Sensitivity Support PH - CHT")</f>
        <v>HSS High Sensitivity Support PH - CHT</v>
      </c>
    </row>
    <row r="12343">
      <c r="A12343" s="1" t="str">
        <f>IFERROR(__xludf.DUMMYFUNCTION("""COMPUTED_VALUE"""),"2026 Apr")</f>
        <v>2026 Apr</v>
      </c>
      <c r="B12343" s="4">
        <f>IFERROR(__xludf.DUMMYFUNCTION("""COMPUTED_VALUE"""),46139.0)</f>
        <v>46139</v>
      </c>
      <c r="C12343" s="1" t="str">
        <f>IFERROR(__xludf.DUMMYFUNCTION("""COMPUTED_VALUE"""),"High Sensitivity Support")</f>
        <v>High Sensitivity Support</v>
      </c>
      <c r="D12343" s="1" t="str">
        <f>IFERROR(__xludf.DUMMYFUNCTION("""COMPUTED_VALUE"""),"42147b58-e8e5-4766-a41a-8d98cf8a5872")</f>
        <v>42147b58-e8e5-4766-a41a-8d98cf8a5872</v>
      </c>
      <c r="E12343" s="1">
        <f>IFERROR(__xludf.DUMMYFUNCTION("""COMPUTED_VALUE"""),5.359185373455E12)</f>
        <v>5359185373455</v>
      </c>
      <c r="F12343" s="1"/>
      <c r="G12343" s="1"/>
      <c r="H12343" s="2">
        <f>IFERROR(__xludf.DUMMYFUNCTION("""COMPUTED_VALUE"""),0.0)</f>
        <v>0</v>
      </c>
      <c r="I12343" s="5"/>
      <c r="J12343" s="1" t="str">
        <f>IFERROR(__xludf.DUMMYFUNCTION("""COMPUTED_VALUE"""),"Rossheen Pura")</f>
        <v>Rossheen Pura</v>
      </c>
      <c r="K12343" s="1" t="str">
        <f>IFERROR(__xludf.DUMMYFUNCTION("""COMPUTED_VALUE"""),"High Sensitivity Support PH")</f>
        <v>High Sensitivity Support PH</v>
      </c>
      <c r="L12343" s="1" t="str">
        <f>IFERROR(__xludf.DUMMYFUNCTION("""COMPUTED_VALUE"""),"HSS High Sensitivity Support PH - CHT")</f>
        <v>HSS High Sensitivity Support PH - CHT</v>
      </c>
    </row>
    <row r="12344">
      <c r="A12344" s="1" t="str">
        <f>IFERROR(__xludf.DUMMYFUNCTION("""COMPUTED_VALUE"""),"2026 Apr")</f>
        <v>2026 Apr</v>
      </c>
      <c r="B12344" s="4">
        <f>IFERROR(__xludf.DUMMYFUNCTION("""COMPUTED_VALUE"""),46139.0)</f>
        <v>46139</v>
      </c>
      <c r="C12344" s="1" t="str">
        <f>IFERROR(__xludf.DUMMYFUNCTION("""COMPUTED_VALUE"""),"Core Product Support")</f>
        <v>Core Product Support</v>
      </c>
      <c r="D12344" s="1" t="str">
        <f>IFERROR(__xludf.DUMMYFUNCTION("""COMPUTED_VALUE"""),"b70eebc6-c7c9-48bc-a876-82736f994fb9")</f>
        <v>b70eebc6-c7c9-48bc-a876-82736f994fb9</v>
      </c>
      <c r="E12344" s="1">
        <f>IFERROR(__xludf.DUMMYFUNCTION("""COMPUTED_VALUE"""),1.1401980902415E13)</f>
        <v>11401980902415</v>
      </c>
      <c r="F12344" s="1"/>
      <c r="G12344" s="1">
        <f>IFERROR(__xludf.DUMMYFUNCTION("""COMPUTED_VALUE"""),1.25)</f>
        <v>1.25</v>
      </c>
      <c r="H12344" s="2">
        <f>IFERROR(__xludf.DUMMYFUNCTION("""COMPUTED_VALUE"""),1.25)</f>
        <v>1.25</v>
      </c>
      <c r="I12344" s="5">
        <f>IFERROR(__xludf.DUMMYFUNCTION("""COMPUTED_VALUE"""),1.0)</f>
        <v>1</v>
      </c>
      <c r="J12344" s="1" t="str">
        <f>IFERROR(__xludf.DUMMYFUNCTION("""COMPUTED_VALUE"""),"Ayza Marie Pascual")</f>
        <v>Ayza Marie Pascual</v>
      </c>
      <c r="K12344" s="1" t="str">
        <f>IFERROR(__xludf.DUMMYFUNCTION("""COMPUTED_VALUE"""),"Advanced Billing &amp; Subscriptions")</f>
        <v>Advanced Billing &amp; Subscriptions</v>
      </c>
      <c r="L12344" s="1" t="str">
        <f>IFERROR(__xludf.DUMMYFUNCTION("""COMPUTED_VALUE"""),"CPS Advanced Billing and Subscriptions (ABS)")</f>
        <v>CPS Advanced Billing and Subscriptions (ABS)</v>
      </c>
    </row>
    <row r="12345">
      <c r="A12345" s="1" t="str">
        <f>IFERROR(__xludf.DUMMYFUNCTION("""COMPUTED_VALUE"""),"2026 Apr")</f>
        <v>2026 Apr</v>
      </c>
      <c r="B12345" s="4">
        <f>IFERROR(__xludf.DUMMYFUNCTION("""COMPUTED_VALUE"""),46139.0)</f>
        <v>46139</v>
      </c>
      <c r="C12345" s="1" t="str">
        <f>IFERROR(__xludf.DUMMYFUNCTION("""COMPUTED_VALUE"""),"Core Product Support")</f>
        <v>Core Product Support</v>
      </c>
      <c r="D12345" s="1" t="str">
        <f>IFERROR(__xludf.DUMMYFUNCTION("""COMPUTED_VALUE"""),"9d825d2e-3519-4559-9782-f32e81d2d824")</f>
        <v>9d825d2e-3519-4559-9782-f32e81d2d824</v>
      </c>
      <c r="E12345" s="1">
        <f>IFERROR(__xludf.DUMMYFUNCTION("""COMPUTED_VALUE"""),3.61861297715E11)</f>
        <v>361861297715</v>
      </c>
      <c r="F12345" s="1"/>
      <c r="G12345" s="1">
        <f>IFERROR(__xludf.DUMMYFUNCTION("""COMPUTED_VALUE"""),1.25)</f>
        <v>1.25</v>
      </c>
      <c r="H12345" s="2">
        <f>IFERROR(__xludf.DUMMYFUNCTION("""COMPUTED_VALUE"""),1.25)</f>
        <v>1.25</v>
      </c>
      <c r="I12345" s="5">
        <f>IFERROR(__xludf.DUMMYFUNCTION("""COMPUTED_VALUE"""),1.0)</f>
        <v>1</v>
      </c>
      <c r="J12345" s="1" t="str">
        <f>IFERROR(__xludf.DUMMYFUNCTION("""COMPUTED_VALUE"""),"Jem Mondoñedo")</f>
        <v>Jem Mondoñedo</v>
      </c>
      <c r="K12345" s="1" t="str">
        <f>IFERROR(__xludf.DUMMYFUNCTION("""COMPUTED_VALUE"""),"Advanced Billing &amp; Subscriptions")</f>
        <v>Advanced Billing &amp; Subscriptions</v>
      </c>
      <c r="L12345" s="1" t="str">
        <f>IFERROR(__xludf.DUMMYFUNCTION("""COMPUTED_VALUE"""),"CPS Advanced Billing and Subscriptions (ABS)")</f>
        <v>CPS Advanced Billing and Subscriptions (ABS)</v>
      </c>
    </row>
    <row r="12346">
      <c r="A12346" s="1" t="str">
        <f>IFERROR(__xludf.DUMMYFUNCTION("""COMPUTED_VALUE"""),"2026 Apr")</f>
        <v>2026 Apr</v>
      </c>
      <c r="B12346" s="4">
        <f>IFERROR(__xludf.DUMMYFUNCTION("""COMPUTED_VALUE"""),46139.0)</f>
        <v>46139</v>
      </c>
      <c r="C12346" s="1" t="str">
        <f>IFERROR(__xludf.DUMMYFUNCTION("""COMPUTED_VALUE"""),"Core Product Support")</f>
        <v>Core Product Support</v>
      </c>
      <c r="D12346" s="1" t="str">
        <f>IFERROR(__xludf.DUMMYFUNCTION("""COMPUTED_VALUE"""),"f05426fa-d3ef-48ef-9506-1b0d003468b9")</f>
        <v>f05426fa-d3ef-48ef-9506-1b0d003468b9</v>
      </c>
      <c r="E12346" s="1">
        <f>IFERROR(__xludf.DUMMYFUNCTION("""COMPUTED_VALUE"""),8.409892191631E12)</f>
        <v>8409892191631</v>
      </c>
      <c r="F12346" s="1"/>
      <c r="G12346" s="1">
        <f>IFERROR(__xludf.DUMMYFUNCTION("""COMPUTED_VALUE"""),1.25)</f>
        <v>1.25</v>
      </c>
      <c r="H12346" s="2">
        <f>IFERROR(__xludf.DUMMYFUNCTION("""COMPUTED_VALUE"""),1.25)</f>
        <v>1.25</v>
      </c>
      <c r="I12346" s="5">
        <f>IFERROR(__xludf.DUMMYFUNCTION("""COMPUTED_VALUE"""),1.0)</f>
        <v>1</v>
      </c>
      <c r="J12346" s="1" t="str">
        <f>IFERROR(__xludf.DUMMYFUNCTION("""COMPUTED_VALUE"""),"Jahmie Mae Barrameda")</f>
        <v>Jahmie Mae Barrameda</v>
      </c>
      <c r="K12346" s="1" t="str">
        <f>IFERROR(__xludf.DUMMYFUNCTION("""COMPUTED_VALUE"""),"Advanced Billing &amp; Subscriptions")</f>
        <v>Advanced Billing &amp; Subscriptions</v>
      </c>
      <c r="L12346" s="1" t="str">
        <f>IFERROR(__xludf.DUMMYFUNCTION("""COMPUTED_VALUE"""),"CPS Advanced Billing and Subscriptions (ABS)")</f>
        <v>CPS Advanced Billing and Subscriptions (ABS)</v>
      </c>
    </row>
    <row r="12347">
      <c r="A12347" s="1" t="str">
        <f>IFERROR(__xludf.DUMMYFUNCTION("""COMPUTED_VALUE"""),"2026 Apr")</f>
        <v>2026 Apr</v>
      </c>
      <c r="B12347" s="4">
        <f>IFERROR(__xludf.DUMMYFUNCTION("""COMPUTED_VALUE"""),46139.0)</f>
        <v>46139</v>
      </c>
      <c r="C12347" s="1" t="str">
        <f>IFERROR(__xludf.DUMMYFUNCTION("""COMPUTED_VALUE"""),"Multilingual Support")</f>
        <v>Multilingual Support</v>
      </c>
      <c r="D12347" s="1" t="str">
        <f>IFERROR(__xludf.DUMMYFUNCTION("""COMPUTED_VALUE"""),"ddff770a-8bbb-4a78-9bec-f5c563c6b901")</f>
        <v>ddff770a-8bbb-4a78-9bec-f5c563c6b901</v>
      </c>
      <c r="E12347" s="1">
        <f>IFERROR(__xludf.DUMMYFUNCTION("""COMPUTED_VALUE"""),4.759846838031E12)</f>
        <v>4759846838031</v>
      </c>
      <c r="F12347" s="1"/>
      <c r="G12347" s="1"/>
      <c r="H12347" s="2">
        <f>IFERROR(__xludf.DUMMYFUNCTION("""COMPUTED_VALUE"""),0.0)</f>
        <v>0</v>
      </c>
      <c r="I12347" s="5"/>
      <c r="J12347" s="1" t="str">
        <f>IFERROR(__xludf.DUMMYFUNCTION("""COMPUTED_VALUE"""),"Arlene Maurillo")</f>
        <v>Arlene Maurillo</v>
      </c>
      <c r="K12347" s="1" t="str">
        <f>IFERROR(__xludf.DUMMYFUNCTION("""COMPUTED_VALUE"""),"PHL, Multilingual Support")</f>
        <v>PHL, Multilingual Support</v>
      </c>
      <c r="L12347" s="1" t="str">
        <f>IFERROR(__xludf.DUMMYFUNCTION("""COMPUTED_VALUE"""),"ML Portuguese Support")</f>
        <v>ML Portuguese Support</v>
      </c>
    </row>
    <row r="12348">
      <c r="A12348" s="1" t="str">
        <f>IFERROR(__xludf.DUMMYFUNCTION("""COMPUTED_VALUE"""),"2026 Apr")</f>
        <v>2026 Apr</v>
      </c>
      <c r="B12348" s="4">
        <f>IFERROR(__xludf.DUMMYFUNCTION("""COMPUTED_VALUE"""),46139.0)</f>
        <v>46139</v>
      </c>
      <c r="C12348" s="1" t="str">
        <f>IFERROR(__xludf.DUMMYFUNCTION("""COMPUTED_VALUE"""),"Core Product Support")</f>
        <v>Core Product Support</v>
      </c>
      <c r="D12348" s="1" t="str">
        <f>IFERROR(__xludf.DUMMYFUNCTION("""COMPUTED_VALUE"""),"50370a17-1382-4a9f-8e42-5d34af042f22")</f>
        <v>50370a17-1382-4a9f-8e42-5d34af042f22</v>
      </c>
      <c r="E12348" s="1">
        <f>IFERROR(__xludf.DUMMYFUNCTION("""COMPUTED_VALUE"""),1.1401981770511E13)</f>
        <v>11401981770511</v>
      </c>
      <c r="F12348" s="1"/>
      <c r="G12348" s="1">
        <f>IFERROR(__xludf.DUMMYFUNCTION("""COMPUTED_VALUE"""),1.25)</f>
        <v>1.25</v>
      </c>
      <c r="H12348" s="2">
        <f>IFERROR(__xludf.DUMMYFUNCTION("""COMPUTED_VALUE"""),1.25)</f>
        <v>1.25</v>
      </c>
      <c r="I12348" s="5">
        <f>IFERROR(__xludf.DUMMYFUNCTION("""COMPUTED_VALUE"""),1.0)</f>
        <v>1</v>
      </c>
      <c r="J12348" s="1" t="str">
        <f>IFERROR(__xludf.DUMMYFUNCTION("""COMPUTED_VALUE"""),"Mikhaela Decangchon")</f>
        <v>Mikhaela Decangchon</v>
      </c>
      <c r="K12348" s="1" t="str">
        <f>IFERROR(__xludf.DUMMYFUNCTION("""COMPUTED_VALUE"""),"Advanced Product Support")</f>
        <v>Advanced Product Support</v>
      </c>
      <c r="L12348" s="1" t="str">
        <f>IFERROR(__xludf.DUMMYFUNCTION("""COMPUTED_VALUE"""),"CPS Advanced Product Support (APS)")</f>
        <v>CPS Advanced Product Support (APS)</v>
      </c>
    </row>
    <row r="12349">
      <c r="A12349" s="1" t="str">
        <f>IFERROR(__xludf.DUMMYFUNCTION("""COMPUTED_VALUE"""),"2026 Apr")</f>
        <v>2026 Apr</v>
      </c>
      <c r="B12349" s="4">
        <f>IFERROR(__xludf.DUMMYFUNCTION("""COMPUTED_VALUE"""),46139.0)</f>
        <v>46139</v>
      </c>
      <c r="C12349" s="1" t="str">
        <f>IFERROR(__xludf.DUMMYFUNCTION("""COMPUTED_VALUE"""),"Core Product Support")</f>
        <v>Core Product Support</v>
      </c>
      <c r="D12349" s="1" t="str">
        <f>IFERROR(__xludf.DUMMYFUNCTION("""COMPUTED_VALUE"""),"6472d23f-e427-46f0-a9cb-1e9b17ddfd44")</f>
        <v>6472d23f-e427-46f0-a9cb-1e9b17ddfd44</v>
      </c>
      <c r="E12349" s="1">
        <f>IFERROR(__xludf.DUMMYFUNCTION("""COMPUTED_VALUE"""),1.0548627051023E13)</f>
        <v>10548627051023</v>
      </c>
      <c r="F12349" s="1"/>
      <c r="G12349" s="1">
        <f>IFERROR(__xludf.DUMMYFUNCTION("""COMPUTED_VALUE"""),1.25)</f>
        <v>1.25</v>
      </c>
      <c r="H12349" s="2">
        <f>IFERROR(__xludf.DUMMYFUNCTION("""COMPUTED_VALUE"""),1.25)</f>
        <v>1.25</v>
      </c>
      <c r="I12349" s="5">
        <f>IFERROR(__xludf.DUMMYFUNCTION("""COMPUTED_VALUE"""),1.0)</f>
        <v>1</v>
      </c>
      <c r="J12349" s="1" t="str">
        <f>IFERROR(__xludf.DUMMYFUNCTION("""COMPUTED_VALUE"""),"Belle Bentazal")</f>
        <v>Belle Bentazal</v>
      </c>
      <c r="K12349" s="1" t="str">
        <f>IFERROR(__xludf.DUMMYFUNCTION("""COMPUTED_VALUE"""),"Advanced Product Support")</f>
        <v>Advanced Product Support</v>
      </c>
      <c r="L12349" s="1" t="str">
        <f>IFERROR(__xludf.DUMMYFUNCTION("""COMPUTED_VALUE"""),"CPS Advanced Product Support (APS)")</f>
        <v>CPS Advanced Product Support (APS)</v>
      </c>
    </row>
    <row r="12350">
      <c r="A12350" s="1" t="str">
        <f>IFERROR(__xludf.DUMMYFUNCTION("""COMPUTED_VALUE"""),"2026 Apr")</f>
        <v>2026 Apr</v>
      </c>
      <c r="B12350" s="4">
        <f>IFERROR(__xludf.DUMMYFUNCTION("""COMPUTED_VALUE"""),46139.0)</f>
        <v>46139</v>
      </c>
      <c r="C12350" s="1" t="str">
        <f>IFERROR(__xludf.DUMMYFUNCTION("""COMPUTED_VALUE"""),"Core Product Support")</f>
        <v>Core Product Support</v>
      </c>
      <c r="D12350" s="1" t="str">
        <f>IFERROR(__xludf.DUMMYFUNCTION("""COMPUTED_VALUE"""),"03428ca1-a361-4015-9a9f-9609cb3ad0fe")</f>
        <v>03428ca1-a361-4015-9a9f-9609cb3ad0fe</v>
      </c>
      <c r="E12350" s="1">
        <f>IFERROR(__xludf.DUMMYFUNCTION("""COMPUTED_VALUE"""),5.047314651919E12)</f>
        <v>5047314651919</v>
      </c>
      <c r="F12350" s="1"/>
      <c r="G12350" s="1">
        <f>IFERROR(__xludf.DUMMYFUNCTION("""COMPUTED_VALUE"""),2.5)</f>
        <v>2.5</v>
      </c>
      <c r="H12350" s="2">
        <f>IFERROR(__xludf.DUMMYFUNCTION("""COMPUTED_VALUE"""),2.5)</f>
        <v>2.5</v>
      </c>
      <c r="I12350" s="5">
        <f>IFERROR(__xludf.DUMMYFUNCTION("""COMPUTED_VALUE"""),1.0)</f>
        <v>1</v>
      </c>
      <c r="J12350" s="1" t="str">
        <f>IFERROR(__xludf.DUMMYFUNCTION("""COMPUTED_VALUE"""),"Jelyn Elmido")</f>
        <v>Jelyn Elmido</v>
      </c>
      <c r="K12350" s="1" t="str">
        <f>IFERROR(__xludf.DUMMYFUNCTION("""COMPUTED_VALUE"""),"Core Product Support Escalation Team")</f>
        <v>Core Product Support Escalation Team</v>
      </c>
      <c r="L12350"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2351">
      <c r="A12351" s="1" t="str">
        <f>IFERROR(__xludf.DUMMYFUNCTION("""COMPUTED_VALUE"""),"2026 Apr")</f>
        <v>2026 Apr</v>
      </c>
      <c r="B12351" s="4">
        <f>IFERROR(__xludf.DUMMYFUNCTION("""COMPUTED_VALUE"""),46139.0)</f>
        <v>46139</v>
      </c>
      <c r="C12351" s="1" t="str">
        <f>IFERROR(__xludf.DUMMYFUNCTION("""COMPUTED_VALUE"""),"Core Product Support")</f>
        <v>Core Product Support</v>
      </c>
      <c r="D12351" s="1" t="str">
        <f>IFERROR(__xludf.DUMMYFUNCTION("""COMPUTED_VALUE"""),"eb75942b-e616-42a5-bbc5-1d6cc92843bb")</f>
        <v>eb75942b-e616-42a5-bbc5-1d6cc92843bb</v>
      </c>
      <c r="E12351" s="1">
        <f>IFERROR(__xludf.DUMMYFUNCTION("""COMPUTED_VALUE"""),7.437355919375E12)</f>
        <v>7437355919375</v>
      </c>
      <c r="F12351" s="1"/>
      <c r="G12351" s="1">
        <f>IFERROR(__xludf.DUMMYFUNCTION("""COMPUTED_VALUE"""),1.25)</f>
        <v>1.25</v>
      </c>
      <c r="H12351" s="2">
        <f>IFERROR(__xludf.DUMMYFUNCTION("""COMPUTED_VALUE"""),1.25)</f>
        <v>1.25</v>
      </c>
      <c r="I12351" s="5">
        <f>IFERROR(__xludf.DUMMYFUNCTION("""COMPUTED_VALUE"""),1.0)</f>
        <v>1</v>
      </c>
      <c r="J12351" s="1" t="str">
        <f>IFERROR(__xludf.DUMMYFUNCTION("""COMPUTED_VALUE"""),"Ana Lazaro")</f>
        <v>Ana Lazaro</v>
      </c>
      <c r="K12351" s="1" t="str">
        <f>IFERROR(__xludf.DUMMYFUNCTION("""COMPUTED_VALUE"""),"Advanced Billing &amp; Subscriptions")</f>
        <v>Advanced Billing &amp; Subscriptions</v>
      </c>
      <c r="L12351" s="1" t="str">
        <f>IFERROR(__xludf.DUMMYFUNCTION("""COMPUTED_VALUE"""),"CPS Advanced Billing and Subscriptions (ABS)")</f>
        <v>CPS Advanced Billing and Subscriptions (ABS)</v>
      </c>
    </row>
    <row r="12352">
      <c r="A12352" s="1" t="str">
        <f>IFERROR(__xludf.DUMMYFUNCTION("""COMPUTED_VALUE"""),"2026 Apr")</f>
        <v>2026 Apr</v>
      </c>
      <c r="B12352" s="4">
        <f>IFERROR(__xludf.DUMMYFUNCTION("""COMPUTED_VALUE"""),46139.0)</f>
        <v>46139</v>
      </c>
      <c r="C12352" s="1" t="str">
        <f>IFERROR(__xludf.DUMMYFUNCTION("""COMPUTED_VALUE"""),"Admin Support")</f>
        <v>Admin Support</v>
      </c>
      <c r="D12352" s="1" t="str">
        <f>IFERROR(__xludf.DUMMYFUNCTION("""COMPUTED_VALUE"""),"3f58d026-d7af-4464-8ba2-17fb4976b8ac")</f>
        <v>3f58d026-d7af-4464-8ba2-17fb4976b8ac</v>
      </c>
      <c r="E12352" s="1">
        <f>IFERROR(__xludf.DUMMYFUNCTION("""COMPUTED_VALUE"""),3.61724668516E11)</f>
        <v>361724668516</v>
      </c>
      <c r="F12352" s="1"/>
      <c r="G12352" s="1"/>
      <c r="H12352" s="2">
        <f>IFERROR(__xludf.DUMMYFUNCTION("""COMPUTED_VALUE"""),0.0)</f>
        <v>0</v>
      </c>
      <c r="I12352" s="5"/>
      <c r="J12352" s="1" t="str">
        <f>IFERROR(__xludf.DUMMYFUNCTION("""COMPUTED_VALUE"""),"Karla Mananghaya")</f>
        <v>Karla Mananghaya</v>
      </c>
      <c r="K12352" s="1" t="str">
        <f>IFERROR(__xludf.DUMMYFUNCTION("""COMPUTED_VALUE"""),"Admin Support Service Escalation Team")</f>
        <v>Admin Support Service Escalation Team</v>
      </c>
      <c r="L12352" s="1" t="str">
        <f>IFERROR(__xludf.DUMMYFUNCTION("""COMPUTED_VALUE"""),"Admin ASSET")</f>
        <v>Admin ASSET</v>
      </c>
    </row>
    <row r="12353">
      <c r="A12353" s="1" t="str">
        <f>IFERROR(__xludf.DUMMYFUNCTION("""COMPUTED_VALUE"""),"2026 Apr")</f>
        <v>2026 Apr</v>
      </c>
      <c r="B12353" s="4">
        <f>IFERROR(__xludf.DUMMYFUNCTION("""COMPUTED_VALUE"""),46139.0)</f>
        <v>46139</v>
      </c>
      <c r="C12353" s="1" t="str">
        <f>IFERROR(__xludf.DUMMYFUNCTION("""COMPUTED_VALUE"""),"Admin Support")</f>
        <v>Admin Support</v>
      </c>
      <c r="D12353" s="1" t="str">
        <f>IFERROR(__xludf.DUMMYFUNCTION("""COMPUTED_VALUE"""),"021b74ea-5511-4b56-9f2a-6ea9d6443caa")</f>
        <v>021b74ea-5511-4b56-9f2a-6ea9d6443caa</v>
      </c>
      <c r="E12353" s="1">
        <f>IFERROR(__xludf.DUMMYFUNCTION("""COMPUTED_VALUE"""),3.61725374416E11)</f>
        <v>361725374416</v>
      </c>
      <c r="F12353" s="1"/>
      <c r="G12353" s="1">
        <f>IFERROR(__xludf.DUMMYFUNCTION("""COMPUTED_VALUE"""),0.25)</f>
        <v>0.25</v>
      </c>
      <c r="H12353" s="2">
        <f>IFERROR(__xludf.DUMMYFUNCTION("""COMPUTED_VALUE"""),0.25)</f>
        <v>0.25</v>
      </c>
      <c r="I12353" s="5">
        <f>IFERROR(__xludf.DUMMYFUNCTION("""COMPUTED_VALUE"""),1.0)</f>
        <v>1</v>
      </c>
      <c r="J12353" s="1" t="str">
        <f>IFERROR(__xludf.DUMMYFUNCTION("""COMPUTED_VALUE"""),"Pau Palmero")</f>
        <v>Pau Palmero</v>
      </c>
      <c r="K12353" s="1" t="str">
        <f>IFERROR(__xludf.DUMMYFUNCTION("""COMPUTED_VALUE"""),"Admin Omni Support")</f>
        <v>Admin Omni Support</v>
      </c>
      <c r="L12353" s="1" t="str">
        <f>IFERROR(__xludf.DUMMYFUNCTION("""COMPUTED_VALUE"""),"Admin Omni Support")</f>
        <v>Admin Omni Support</v>
      </c>
    </row>
    <row r="12354">
      <c r="A12354" s="1" t="str">
        <f>IFERROR(__xludf.DUMMYFUNCTION("""COMPUTED_VALUE"""),"2026 Apr")</f>
        <v>2026 Apr</v>
      </c>
      <c r="B12354" s="4">
        <f>IFERROR(__xludf.DUMMYFUNCTION("""COMPUTED_VALUE"""),46139.0)</f>
        <v>46139</v>
      </c>
      <c r="C12354" s="1" t="str">
        <f>IFERROR(__xludf.DUMMYFUNCTION("""COMPUTED_VALUE"""),"Admin Support")</f>
        <v>Admin Support</v>
      </c>
      <c r="D12354" s="1" t="str">
        <f>IFERROR(__xludf.DUMMYFUNCTION("""COMPUTED_VALUE"""),"328935f7-c639-4b8f-8512-a9641b2cf808")</f>
        <v>328935f7-c639-4b8f-8512-a9641b2cf808</v>
      </c>
      <c r="E12354" s="1">
        <f>IFERROR(__xludf.DUMMYFUNCTION("""COMPUTED_VALUE"""),3.61731648215E11)</f>
        <v>361731648215</v>
      </c>
      <c r="F12354" s="1"/>
      <c r="G12354" s="1">
        <f>IFERROR(__xludf.DUMMYFUNCTION("""COMPUTED_VALUE"""),0.25)</f>
        <v>0.25</v>
      </c>
      <c r="H12354" s="2">
        <f>IFERROR(__xludf.DUMMYFUNCTION("""COMPUTED_VALUE"""),0.25)</f>
        <v>0.25</v>
      </c>
      <c r="I12354" s="5">
        <f>IFERROR(__xludf.DUMMYFUNCTION("""COMPUTED_VALUE"""),1.0)</f>
        <v>1</v>
      </c>
      <c r="J12354" s="1" t="str">
        <f>IFERROR(__xludf.DUMMYFUNCTION("""COMPUTED_VALUE"""),"Pau Palmero")</f>
        <v>Pau Palmero</v>
      </c>
      <c r="K12354" s="1" t="str">
        <f>IFERROR(__xludf.DUMMYFUNCTION("""COMPUTED_VALUE"""),"Admin Omni Support")</f>
        <v>Admin Omni Support</v>
      </c>
      <c r="L12354" s="1" t="str">
        <f>IFERROR(__xludf.DUMMYFUNCTION("""COMPUTED_VALUE"""),"Admin Omni Support")</f>
        <v>Admin Omni Support</v>
      </c>
    </row>
    <row r="12355">
      <c r="A12355" s="1" t="str">
        <f>IFERROR(__xludf.DUMMYFUNCTION("""COMPUTED_VALUE"""),"2026 Apr")</f>
        <v>2026 Apr</v>
      </c>
      <c r="B12355" s="4">
        <f>IFERROR(__xludf.DUMMYFUNCTION("""COMPUTED_VALUE"""),46139.0)</f>
        <v>46139</v>
      </c>
      <c r="C12355" s="1" t="str">
        <f>IFERROR(__xludf.DUMMYFUNCTION("""COMPUTED_VALUE"""),"Core Product Support")</f>
        <v>Core Product Support</v>
      </c>
      <c r="D12355" s="1" t="str">
        <f>IFERROR(__xludf.DUMMYFUNCTION("""COMPUTED_VALUE"""),"157b66db-b9f4-4a3d-a00a-5cf3eefe9b58")</f>
        <v>157b66db-b9f4-4a3d-a00a-5cf3eefe9b58</v>
      </c>
      <c r="E12355" s="1">
        <f>IFERROR(__xludf.DUMMYFUNCTION("""COMPUTED_VALUE"""),3.61731791835E11)</f>
        <v>361731791835</v>
      </c>
      <c r="F12355" s="1"/>
      <c r="G12355" s="1">
        <f>IFERROR(__xludf.DUMMYFUNCTION("""COMPUTED_VALUE"""),1.0)</f>
        <v>1</v>
      </c>
      <c r="H12355" s="2">
        <f>IFERROR(__xludf.DUMMYFUNCTION("""COMPUTED_VALUE"""),1.0)</f>
        <v>1</v>
      </c>
      <c r="I12355" s="5">
        <f>IFERROR(__xludf.DUMMYFUNCTION("""COMPUTED_VALUE"""),1.0)</f>
        <v>1</v>
      </c>
      <c r="J12355" s="1" t="str">
        <f>IFERROR(__xludf.DUMMYFUNCTION("""COMPUTED_VALUE"""),"Renette Bok")</f>
        <v>Renette Bok</v>
      </c>
      <c r="K12355" s="1" t="str">
        <f>IFERROR(__xludf.DUMMYFUNCTION("""COMPUTED_VALUE"""),"Advanced Billing &amp; Subscriptions")</f>
        <v>Advanced Billing &amp; Subscriptions</v>
      </c>
      <c r="L12355" s="1" t="str">
        <f>IFERROR(__xludf.DUMMYFUNCTION("""COMPUTED_VALUE"""),"CPS Advanced Billing and Subscriptions (ABS)")</f>
        <v>CPS Advanced Billing and Subscriptions (ABS)</v>
      </c>
    </row>
    <row r="12356">
      <c r="A12356" s="1" t="str">
        <f>IFERROR(__xludf.DUMMYFUNCTION("""COMPUTED_VALUE"""),"2026 Apr")</f>
        <v>2026 Apr</v>
      </c>
      <c r="B12356" s="4">
        <f>IFERROR(__xludf.DUMMYFUNCTION("""COMPUTED_VALUE"""),46139.0)</f>
        <v>46139</v>
      </c>
      <c r="C12356" s="1" t="str">
        <f>IFERROR(__xludf.DUMMYFUNCTION("""COMPUTED_VALUE"""),"Core Product Support")</f>
        <v>Core Product Support</v>
      </c>
      <c r="D12356" s="1" t="str">
        <f>IFERROR(__xludf.DUMMYFUNCTION("""COMPUTED_VALUE"""),"9f2b3750-482b-4498-a201-4e32c8fad021")</f>
        <v>9f2b3750-482b-4498-a201-4e32c8fad021</v>
      </c>
      <c r="E12356" s="1">
        <f>IFERROR(__xludf.DUMMYFUNCTION("""COMPUTED_VALUE"""),3.61861298275E11)</f>
        <v>361861298275</v>
      </c>
      <c r="F12356" s="1"/>
      <c r="G12356" s="1">
        <f>IFERROR(__xludf.DUMMYFUNCTION("""COMPUTED_VALUE"""),2.5)</f>
        <v>2.5</v>
      </c>
      <c r="H12356" s="2">
        <f>IFERROR(__xludf.DUMMYFUNCTION("""COMPUTED_VALUE"""),2.5)</f>
        <v>2.5</v>
      </c>
      <c r="I12356" s="5">
        <f>IFERROR(__xludf.DUMMYFUNCTION("""COMPUTED_VALUE"""),1.0)</f>
        <v>1</v>
      </c>
      <c r="J12356" s="1" t="str">
        <f>IFERROR(__xludf.DUMMYFUNCTION("""COMPUTED_VALUE"""),"Jelyn Elmido")</f>
        <v>Jelyn Elmido</v>
      </c>
      <c r="K12356" s="1" t="str">
        <f>IFERROR(__xludf.DUMMYFUNCTION("""COMPUTED_VALUE"""),"Core Product Support Escalation Team")</f>
        <v>Core Product Support Escalation Team</v>
      </c>
      <c r="L12356"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2357">
      <c r="A12357" s="1" t="str">
        <f>IFERROR(__xludf.DUMMYFUNCTION("""COMPUTED_VALUE"""),"2026 Apr")</f>
        <v>2026 Apr</v>
      </c>
      <c r="B12357" s="4">
        <f>IFERROR(__xludf.DUMMYFUNCTION("""COMPUTED_VALUE"""),46139.0)</f>
        <v>46139</v>
      </c>
      <c r="C12357" s="1" t="str">
        <f>IFERROR(__xludf.DUMMYFUNCTION("""COMPUTED_VALUE"""),"High Sensitivity Support")</f>
        <v>High Sensitivity Support</v>
      </c>
      <c r="D12357" s="1" t="str">
        <f>IFERROR(__xludf.DUMMYFUNCTION("""COMPUTED_VALUE"""),"572f7cc4-e4a6-4132-92cf-6f6ba75ee4d7")</f>
        <v>572f7cc4-e4a6-4132-92cf-6f6ba75ee4d7</v>
      </c>
      <c r="E12357" s="1">
        <f>IFERROR(__xludf.DUMMYFUNCTION("""COMPUTED_VALUE"""),5.202419220111E12)</f>
        <v>5202419220111</v>
      </c>
      <c r="F12357" s="1"/>
      <c r="G12357" s="1"/>
      <c r="H12357" s="2">
        <f>IFERROR(__xludf.DUMMYFUNCTION("""COMPUTED_VALUE"""),0.0)</f>
        <v>0</v>
      </c>
      <c r="I12357" s="5"/>
      <c r="J12357" s="1" t="str">
        <f>IFERROR(__xludf.DUMMYFUNCTION("""COMPUTED_VALUE"""),"Issi Afable")</f>
        <v>Issi Afable</v>
      </c>
      <c r="K12357" s="1" t="str">
        <f>IFERROR(__xludf.DUMMYFUNCTION("""COMPUTED_VALUE"""),"High Sensitivity Support PH")</f>
        <v>High Sensitivity Support PH</v>
      </c>
      <c r="L12357" s="1" t="str">
        <f>IFERROR(__xludf.DUMMYFUNCTION("""COMPUTED_VALUE"""),"HSS High Sensitivity Support PH - SEE")</f>
        <v>HSS High Sensitivity Support PH - SEE</v>
      </c>
    </row>
    <row r="12358">
      <c r="A12358" s="1" t="str">
        <f>IFERROR(__xludf.DUMMYFUNCTION("""COMPUTED_VALUE"""),"2026 Apr")</f>
        <v>2026 Apr</v>
      </c>
      <c r="B12358" s="4">
        <f>IFERROR(__xludf.DUMMYFUNCTION("""COMPUTED_VALUE"""),46139.0)</f>
        <v>46139</v>
      </c>
      <c r="C12358" s="1" t="str">
        <f>IFERROR(__xludf.DUMMYFUNCTION("""COMPUTED_VALUE"""),"Segment-specific Support")</f>
        <v>Segment-specific Support</v>
      </c>
      <c r="D12358" s="1" t="str">
        <f>IFERROR(__xludf.DUMMYFUNCTION("""COMPUTED_VALUE"""),"78d3efd2-2d00-4986-b5cc-7ca6a1d3542d")</f>
        <v>78d3efd2-2d00-4986-b5cc-7ca6a1d3542d</v>
      </c>
      <c r="E12358" s="1">
        <f>IFERROR(__xludf.DUMMYFUNCTION("""COMPUTED_VALUE"""),5.566867981071E12)</f>
        <v>5566867981071</v>
      </c>
      <c r="F12358" s="1"/>
      <c r="G12358" s="1"/>
      <c r="H12358" s="2">
        <f>IFERROR(__xludf.DUMMYFUNCTION("""COMPUTED_VALUE"""),0.0)</f>
        <v>0</v>
      </c>
      <c r="I12358" s="5"/>
      <c r="J12358" s="1" t="str">
        <f>IFERROR(__xludf.DUMMYFUNCTION("""COMPUTED_VALUE"""),"Gucci Nava")</f>
        <v>Gucci Nava</v>
      </c>
      <c r="K12358" s="1" t="str">
        <f>IFERROR(__xludf.DUMMYFUNCTION("""COMPUTED_VALUE"""),"Affinity Support")</f>
        <v>Affinity Support</v>
      </c>
      <c r="L12358" s="1" t="str">
        <f>IFERROR(__xludf.DUMMYFUNCTION("""COMPUTED_VALUE"""),"SSS Affinity - L1")</f>
        <v>SSS Affinity - L1</v>
      </c>
    </row>
    <row r="12359">
      <c r="A12359" s="1" t="str">
        <f>IFERROR(__xludf.DUMMYFUNCTION("""COMPUTED_VALUE"""),"2026 Apr")</f>
        <v>2026 Apr</v>
      </c>
      <c r="B12359" s="4">
        <f>IFERROR(__xludf.DUMMYFUNCTION("""COMPUTED_VALUE"""),46139.0)</f>
        <v>46139</v>
      </c>
      <c r="C12359" s="1" t="str">
        <f>IFERROR(__xludf.DUMMYFUNCTION("""COMPUTED_VALUE"""),"Print Support")</f>
        <v>Print Support</v>
      </c>
      <c r="D12359" s="1" t="str">
        <f>IFERROR(__xludf.DUMMYFUNCTION("""COMPUTED_VALUE"""),"03738c45-2c9f-44bf-bb4b-58a2fe9fdf5d")</f>
        <v>03738c45-2c9f-44bf-bb4b-58a2fe9fdf5d</v>
      </c>
      <c r="E12359" s="1"/>
      <c r="F12359" s="1"/>
      <c r="G12359" s="1"/>
      <c r="H12359" s="2">
        <f>IFERROR(__xludf.DUMMYFUNCTION("""COMPUTED_VALUE"""),0.0)</f>
        <v>0</v>
      </c>
      <c r="I12359" s="5"/>
      <c r="J12359" s="1" t="str">
        <f>IFERROR(__xludf.DUMMYFUNCTION("""COMPUTED_VALUE"""),"Aliza Dote")</f>
        <v>Aliza Dote</v>
      </c>
      <c r="K12359" s="1" t="str">
        <f>IFERROR(__xludf.DUMMYFUNCTION("""COMPUTED_VALUE"""),"Print Design Support")</f>
        <v>Print Design Support</v>
      </c>
      <c r="L12359" s="1" t="str">
        <f>IFERROR(__xludf.DUMMYFUNCTION("""COMPUTED_VALUE"""),"Print Print Design")</f>
        <v>Print Print Design</v>
      </c>
    </row>
    <row r="12360">
      <c r="A12360" s="1" t="str">
        <f>IFERROR(__xludf.DUMMYFUNCTION("""COMPUTED_VALUE"""),"2026 Apr")</f>
        <v>2026 Apr</v>
      </c>
      <c r="B12360" s="4">
        <f>IFERROR(__xludf.DUMMYFUNCTION("""COMPUTED_VALUE"""),46139.0)</f>
        <v>46139</v>
      </c>
      <c r="C12360" s="1" t="str">
        <f>IFERROR(__xludf.DUMMYFUNCTION("""COMPUTED_VALUE"""),"Core Product Support")</f>
        <v>Core Product Support</v>
      </c>
      <c r="D12360" s="1" t="str">
        <f>IFERROR(__xludf.DUMMYFUNCTION("""COMPUTED_VALUE"""),"9c934de8-6199-4bb2-bcc9-bd8b70ec7a9c")</f>
        <v>9c934de8-6199-4bb2-bcc9-bd8b70ec7a9c</v>
      </c>
      <c r="E12360" s="1">
        <f>IFERROR(__xludf.DUMMYFUNCTION("""COMPUTED_VALUE"""),9.795939875087E12)</f>
        <v>9795939875087</v>
      </c>
      <c r="F12360" s="1"/>
      <c r="G12360" s="1">
        <f>IFERROR(__xludf.DUMMYFUNCTION("""COMPUTED_VALUE"""),1.25)</f>
        <v>1.25</v>
      </c>
      <c r="H12360" s="2">
        <f>IFERROR(__xludf.DUMMYFUNCTION("""COMPUTED_VALUE"""),1.25)</f>
        <v>1.25</v>
      </c>
      <c r="I12360" s="5">
        <f>IFERROR(__xludf.DUMMYFUNCTION("""COMPUTED_VALUE"""),1.0)</f>
        <v>1</v>
      </c>
      <c r="J12360" s="1" t="str">
        <f>IFERROR(__xludf.DUMMYFUNCTION("""COMPUTED_VALUE"""),"Cate Velasco")</f>
        <v>Cate Velasco</v>
      </c>
      <c r="K12360" s="1" t="str">
        <f>IFERROR(__xludf.DUMMYFUNCTION("""COMPUTED_VALUE"""),"Advanced Product Support")</f>
        <v>Advanced Product Support</v>
      </c>
      <c r="L12360" s="1" t="str">
        <f>IFERROR(__xludf.DUMMYFUNCTION("""COMPUTED_VALUE"""),"CPS Advanced Product Support (APS)")</f>
        <v>CPS Advanced Product Support (APS)</v>
      </c>
    </row>
    <row r="12361">
      <c r="A12361" s="1" t="str">
        <f>IFERROR(__xludf.DUMMYFUNCTION("""COMPUTED_VALUE"""),"2026 Apr")</f>
        <v>2026 Apr</v>
      </c>
      <c r="B12361" s="4">
        <f>IFERROR(__xludf.DUMMYFUNCTION("""COMPUTED_VALUE"""),46139.0)</f>
        <v>46139</v>
      </c>
      <c r="C12361" s="1" t="str">
        <f>IFERROR(__xludf.DUMMYFUNCTION("""COMPUTED_VALUE"""),"Core Product Support")</f>
        <v>Core Product Support</v>
      </c>
      <c r="D12361" s="1" t="str">
        <f>IFERROR(__xludf.DUMMYFUNCTION("""COMPUTED_VALUE"""),"0f8d8927-aad1-40c2-82ac-95b7b823eec0")</f>
        <v>0f8d8927-aad1-40c2-82ac-95b7b823eec0</v>
      </c>
      <c r="E12361" s="1">
        <f>IFERROR(__xludf.DUMMYFUNCTION("""COMPUTED_VALUE"""),5.202441056015E12)</f>
        <v>5202441056015</v>
      </c>
      <c r="F12361" s="1"/>
      <c r="G12361" s="1">
        <f>IFERROR(__xludf.DUMMYFUNCTION("""COMPUTED_VALUE"""),0.5)</f>
        <v>0.5</v>
      </c>
      <c r="H12361" s="2">
        <f>IFERROR(__xludf.DUMMYFUNCTION("""COMPUTED_VALUE"""),0.5)</f>
        <v>0.5</v>
      </c>
      <c r="I12361" s="5">
        <f>IFERROR(__xludf.DUMMYFUNCTION("""COMPUTED_VALUE"""),1.0)</f>
        <v>1</v>
      </c>
      <c r="J12361" s="1" t="str">
        <f>IFERROR(__xludf.DUMMYFUNCTION("""COMPUTED_VALUE"""),"Renette Bok")</f>
        <v>Renette Bok</v>
      </c>
      <c r="K12361" s="1" t="str">
        <f>IFERROR(__xludf.DUMMYFUNCTION("""COMPUTED_VALUE"""),"Advanced Billing &amp; Subscriptions")</f>
        <v>Advanced Billing &amp; Subscriptions</v>
      </c>
      <c r="L12361" s="1" t="str">
        <f>IFERROR(__xludf.DUMMYFUNCTION("""COMPUTED_VALUE"""),"CPS Advanced Billing and Subscriptions (ABS)")</f>
        <v>CPS Advanced Billing and Subscriptions (ABS)</v>
      </c>
    </row>
    <row r="12362">
      <c r="A12362" s="1" t="str">
        <f>IFERROR(__xludf.DUMMYFUNCTION("""COMPUTED_VALUE"""),"2026 Apr")</f>
        <v>2026 Apr</v>
      </c>
      <c r="B12362" s="4">
        <f>IFERROR(__xludf.DUMMYFUNCTION("""COMPUTED_VALUE"""),46139.0)</f>
        <v>46139</v>
      </c>
      <c r="C12362" s="1" t="str">
        <f>IFERROR(__xludf.DUMMYFUNCTION("""COMPUTED_VALUE"""),"Core Product Support")</f>
        <v>Core Product Support</v>
      </c>
      <c r="D12362" s="1" t="str">
        <f>IFERROR(__xludf.DUMMYFUNCTION("""COMPUTED_VALUE"""),"e33e46e4-d59d-4c5b-9834-288e99d79b63")</f>
        <v>e33e46e4-d59d-4c5b-9834-288e99d79b63</v>
      </c>
      <c r="E12362" s="1">
        <f>IFERROR(__xludf.DUMMYFUNCTION("""COMPUTED_VALUE"""),1.0333049582991E13)</f>
        <v>10333049582991</v>
      </c>
      <c r="F12362" s="1"/>
      <c r="G12362" s="1">
        <f>IFERROR(__xludf.DUMMYFUNCTION("""COMPUTED_VALUE"""),1.25)</f>
        <v>1.25</v>
      </c>
      <c r="H12362" s="2">
        <f>IFERROR(__xludf.DUMMYFUNCTION("""COMPUTED_VALUE"""),1.25)</f>
        <v>1.25</v>
      </c>
      <c r="I12362" s="5">
        <f>IFERROR(__xludf.DUMMYFUNCTION("""COMPUTED_VALUE"""),1.0)</f>
        <v>1</v>
      </c>
      <c r="J12362" s="1" t="str">
        <f>IFERROR(__xludf.DUMMYFUNCTION("""COMPUTED_VALUE"""),"Cate Velasco")</f>
        <v>Cate Velasco</v>
      </c>
      <c r="K12362" s="1" t="str">
        <f>IFERROR(__xludf.DUMMYFUNCTION("""COMPUTED_VALUE"""),"Advanced Product Support")</f>
        <v>Advanced Product Support</v>
      </c>
      <c r="L12362" s="1" t="str">
        <f>IFERROR(__xludf.DUMMYFUNCTION("""COMPUTED_VALUE"""),"CPS Advanced Product Support (APS)")</f>
        <v>CPS Advanced Product Support (APS)</v>
      </c>
    </row>
    <row r="12363">
      <c r="A12363" s="1" t="str">
        <f>IFERROR(__xludf.DUMMYFUNCTION("""COMPUTED_VALUE"""),"2026 Apr")</f>
        <v>2026 Apr</v>
      </c>
      <c r="B12363" s="4">
        <f>IFERROR(__xludf.DUMMYFUNCTION("""COMPUTED_VALUE"""),46139.0)</f>
        <v>46139</v>
      </c>
      <c r="C12363" s="1" t="str">
        <f>IFERROR(__xludf.DUMMYFUNCTION("""COMPUTED_VALUE"""),"Core Product Support")</f>
        <v>Core Product Support</v>
      </c>
      <c r="D12363" s="1" t="str">
        <f>IFERROR(__xludf.DUMMYFUNCTION("""COMPUTED_VALUE"""),"748f7375-5497-4286-b6df-38229b609d09")</f>
        <v>748f7375-5497-4286-b6df-38229b609d09</v>
      </c>
      <c r="E12363" s="1"/>
      <c r="F12363" s="1"/>
      <c r="G12363" s="1">
        <f>IFERROR(__xludf.DUMMYFUNCTION("""COMPUTED_VALUE"""),1.25)</f>
        <v>1.25</v>
      </c>
      <c r="H12363" s="2">
        <f>IFERROR(__xludf.DUMMYFUNCTION("""COMPUTED_VALUE"""),1.25)</f>
        <v>1.25</v>
      </c>
      <c r="I12363" s="5">
        <f>IFERROR(__xludf.DUMMYFUNCTION("""COMPUTED_VALUE"""),1.0)</f>
        <v>1</v>
      </c>
      <c r="J12363" s="1" t="str">
        <f>IFERROR(__xludf.DUMMYFUNCTION("""COMPUTED_VALUE"""),"Mikhaela Decangchon")</f>
        <v>Mikhaela Decangchon</v>
      </c>
      <c r="K12363" s="1" t="str">
        <f>IFERROR(__xludf.DUMMYFUNCTION("""COMPUTED_VALUE"""),"Advanced Product Support")</f>
        <v>Advanced Product Support</v>
      </c>
      <c r="L12363" s="1" t="str">
        <f>IFERROR(__xludf.DUMMYFUNCTION("""COMPUTED_VALUE"""),"CPS Advanced Product Support (APS)")</f>
        <v>CPS Advanced Product Support (APS)</v>
      </c>
    </row>
    <row r="12364">
      <c r="A12364" s="1" t="str">
        <f>IFERROR(__xludf.DUMMYFUNCTION("""COMPUTED_VALUE"""),"2026 Apr")</f>
        <v>2026 Apr</v>
      </c>
      <c r="B12364" s="4">
        <f>IFERROR(__xludf.DUMMYFUNCTION("""COMPUTED_VALUE"""),46139.0)</f>
        <v>46139</v>
      </c>
      <c r="C12364" s="1" t="str">
        <f>IFERROR(__xludf.DUMMYFUNCTION("""COMPUTED_VALUE"""),"Admin Support")</f>
        <v>Admin Support</v>
      </c>
      <c r="D12364" s="1" t="str">
        <f>IFERROR(__xludf.DUMMYFUNCTION("""COMPUTED_VALUE"""),"8d05170b-44c2-4973-963a-14bb293f18ab")</f>
        <v>8d05170b-44c2-4973-963a-14bb293f18ab</v>
      </c>
      <c r="E12364" s="1">
        <f>IFERROR(__xludf.DUMMYFUNCTION("""COMPUTED_VALUE"""),3.61731348415E11)</f>
        <v>361731348415</v>
      </c>
      <c r="F12364" s="1"/>
      <c r="G12364" s="1">
        <f>IFERROR(__xludf.DUMMYFUNCTION("""COMPUTED_VALUE"""),0.25)</f>
        <v>0.25</v>
      </c>
      <c r="H12364" s="2">
        <f>IFERROR(__xludf.DUMMYFUNCTION("""COMPUTED_VALUE"""),0.25)</f>
        <v>0.25</v>
      </c>
      <c r="I12364" s="5">
        <f>IFERROR(__xludf.DUMMYFUNCTION("""COMPUTED_VALUE"""),1.0)</f>
        <v>1</v>
      </c>
      <c r="J12364" s="1" t="str">
        <f>IFERROR(__xludf.DUMMYFUNCTION("""COMPUTED_VALUE"""),"Kelden Laguting")</f>
        <v>Kelden Laguting</v>
      </c>
      <c r="K12364" s="1" t="str">
        <f>IFERROR(__xludf.DUMMYFUNCTION("""COMPUTED_VALUE"""),"Admin Omni Support")</f>
        <v>Admin Omni Support</v>
      </c>
      <c r="L12364" s="1" t="str">
        <f>IFERROR(__xludf.DUMMYFUNCTION("""COMPUTED_VALUE"""),"Admin Omni Support")</f>
        <v>Admin Omni Support</v>
      </c>
    </row>
    <row r="12365">
      <c r="A12365" s="1" t="str">
        <f>IFERROR(__xludf.DUMMYFUNCTION("""COMPUTED_VALUE"""),"2026 Apr")</f>
        <v>2026 Apr</v>
      </c>
      <c r="B12365" s="4">
        <f>IFERROR(__xludf.DUMMYFUNCTION("""COMPUTED_VALUE"""),46139.0)</f>
        <v>46139</v>
      </c>
      <c r="C12365" s="1" t="str">
        <f>IFERROR(__xludf.DUMMYFUNCTION("""COMPUTED_VALUE"""),"Admin Support")</f>
        <v>Admin Support</v>
      </c>
      <c r="D12365" s="1" t="str">
        <f>IFERROR(__xludf.DUMMYFUNCTION("""COMPUTED_VALUE"""),"c51116f5-04d9-48df-a12a-dbf63eaf9c18")</f>
        <v>c51116f5-04d9-48df-a12a-dbf63eaf9c18</v>
      </c>
      <c r="E12365" s="1">
        <f>IFERROR(__xludf.DUMMYFUNCTION("""COMPUTED_VALUE"""),3.61731647035E11)</f>
        <v>361731647035</v>
      </c>
      <c r="F12365" s="1"/>
      <c r="G12365" s="1">
        <f>IFERROR(__xludf.DUMMYFUNCTION("""COMPUTED_VALUE"""),0.25)</f>
        <v>0.25</v>
      </c>
      <c r="H12365" s="2">
        <f>IFERROR(__xludf.DUMMYFUNCTION("""COMPUTED_VALUE"""),0.25)</f>
        <v>0.25</v>
      </c>
      <c r="I12365" s="5">
        <f>IFERROR(__xludf.DUMMYFUNCTION("""COMPUTED_VALUE"""),1.0)</f>
        <v>1</v>
      </c>
      <c r="J12365" s="1" t="str">
        <f>IFERROR(__xludf.DUMMYFUNCTION("""COMPUTED_VALUE"""),"Ann Dumlao")</f>
        <v>Ann Dumlao</v>
      </c>
      <c r="K12365" s="1" t="str">
        <f>IFERROR(__xludf.DUMMYFUNCTION("""COMPUTED_VALUE"""),"Admin Omni Support")</f>
        <v>Admin Omni Support</v>
      </c>
      <c r="L12365" s="1" t="str">
        <f>IFERROR(__xludf.DUMMYFUNCTION("""COMPUTED_VALUE"""),"Admin Omni Support")</f>
        <v>Admin Omni Support</v>
      </c>
    </row>
    <row r="12366">
      <c r="A12366" s="1" t="str">
        <f>IFERROR(__xludf.DUMMYFUNCTION("""COMPUTED_VALUE"""),"2026 Apr")</f>
        <v>2026 Apr</v>
      </c>
      <c r="B12366" s="4">
        <f>IFERROR(__xludf.DUMMYFUNCTION("""COMPUTED_VALUE"""),46139.0)</f>
        <v>46139</v>
      </c>
      <c r="C12366" s="1" t="str">
        <f>IFERROR(__xludf.DUMMYFUNCTION("""COMPUTED_VALUE"""),"Core Product Support")</f>
        <v>Core Product Support</v>
      </c>
      <c r="D12366" s="1" t="str">
        <f>IFERROR(__xludf.DUMMYFUNCTION("""COMPUTED_VALUE"""),"ee26274a-f5bb-4f8f-aa29-94921d6e67a9")</f>
        <v>ee26274a-f5bb-4f8f-aa29-94921d6e67a9</v>
      </c>
      <c r="E12366" s="1">
        <f>IFERROR(__xludf.DUMMYFUNCTION("""COMPUTED_VALUE"""),9.107717956879E12)</f>
        <v>9107717956879</v>
      </c>
      <c r="F12366" s="1"/>
      <c r="G12366" s="1">
        <f>IFERROR(__xludf.DUMMYFUNCTION("""COMPUTED_VALUE"""),1.25)</f>
        <v>1.25</v>
      </c>
      <c r="H12366" s="2">
        <f>IFERROR(__xludf.DUMMYFUNCTION("""COMPUTED_VALUE"""),1.25)</f>
        <v>1.25</v>
      </c>
      <c r="I12366" s="5">
        <f>IFERROR(__xludf.DUMMYFUNCTION("""COMPUTED_VALUE"""),1.0)</f>
        <v>1</v>
      </c>
      <c r="J12366" s="1" t="str">
        <f>IFERROR(__xludf.DUMMYFUNCTION("""COMPUTED_VALUE"""),"Cherry Macam")</f>
        <v>Cherry Macam</v>
      </c>
      <c r="K12366" s="1" t="str">
        <f>IFERROR(__xludf.DUMMYFUNCTION("""COMPUTED_VALUE"""),"Advanced Billing &amp; Subscriptions")</f>
        <v>Advanced Billing &amp; Subscriptions</v>
      </c>
      <c r="L12366" s="1" t="str">
        <f>IFERROR(__xludf.DUMMYFUNCTION("""COMPUTED_VALUE"""),"CPS Advanced Billing and Subscriptions (ABS)")</f>
        <v>CPS Advanced Billing and Subscriptions (ABS)</v>
      </c>
    </row>
    <row r="12367">
      <c r="A12367" s="1" t="str">
        <f>IFERROR(__xludf.DUMMYFUNCTION("""COMPUTED_VALUE"""),"2026 Apr")</f>
        <v>2026 Apr</v>
      </c>
      <c r="B12367" s="4">
        <f>IFERROR(__xludf.DUMMYFUNCTION("""COMPUTED_VALUE"""),46139.0)</f>
        <v>46139</v>
      </c>
      <c r="C12367" s="1" t="str">
        <f>IFERROR(__xludf.DUMMYFUNCTION("""COMPUTED_VALUE"""),"Core Product Support")</f>
        <v>Core Product Support</v>
      </c>
      <c r="D12367" s="1" t="str">
        <f>IFERROR(__xludf.DUMMYFUNCTION("""COMPUTED_VALUE"""),"5ea08393-858d-4206-8dfa-ad5aa870f108")</f>
        <v>5ea08393-858d-4206-8dfa-ad5aa870f108</v>
      </c>
      <c r="E12367" s="1">
        <f>IFERROR(__xludf.DUMMYFUNCTION("""COMPUTED_VALUE"""),1.1279733674255E13)</f>
        <v>11279733674255</v>
      </c>
      <c r="F12367" s="1"/>
      <c r="G12367" s="1">
        <f>IFERROR(__xludf.DUMMYFUNCTION("""COMPUTED_VALUE"""),0.5)</f>
        <v>0.5</v>
      </c>
      <c r="H12367" s="2">
        <f>IFERROR(__xludf.DUMMYFUNCTION("""COMPUTED_VALUE"""),0.5)</f>
        <v>0.5</v>
      </c>
      <c r="I12367" s="5">
        <f>IFERROR(__xludf.DUMMYFUNCTION("""COMPUTED_VALUE"""),1.0)</f>
        <v>1</v>
      </c>
      <c r="J12367" s="1" t="str">
        <f>IFERROR(__xludf.DUMMYFUNCTION("""COMPUTED_VALUE"""),"Ayza Marie Pascual")</f>
        <v>Ayza Marie Pascual</v>
      </c>
      <c r="K12367" s="1" t="str">
        <f>IFERROR(__xludf.DUMMYFUNCTION("""COMPUTED_VALUE"""),"Advanced Billing &amp; Subscriptions")</f>
        <v>Advanced Billing &amp; Subscriptions</v>
      </c>
      <c r="L12367" s="1" t="str">
        <f>IFERROR(__xludf.DUMMYFUNCTION("""COMPUTED_VALUE"""),"CPS Advanced Billing and Subscriptions (ABS)")</f>
        <v>CPS Advanced Billing and Subscriptions (ABS)</v>
      </c>
    </row>
    <row r="12368">
      <c r="A12368" s="1" t="str">
        <f>IFERROR(__xludf.DUMMYFUNCTION("""COMPUTED_VALUE"""),"2026 Apr")</f>
        <v>2026 Apr</v>
      </c>
      <c r="B12368" s="4">
        <f>IFERROR(__xludf.DUMMYFUNCTION("""COMPUTED_VALUE"""),46139.0)</f>
        <v>46139</v>
      </c>
      <c r="C12368" s="1" t="str">
        <f>IFERROR(__xludf.DUMMYFUNCTION("""COMPUTED_VALUE"""),"Core Product Support")</f>
        <v>Core Product Support</v>
      </c>
      <c r="D12368" s="1" t="str">
        <f>IFERROR(__xludf.DUMMYFUNCTION("""COMPUTED_VALUE"""),"9ec42277-802e-4dea-b288-c3f190cff1eb")</f>
        <v>9ec42277-802e-4dea-b288-c3f190cff1eb</v>
      </c>
      <c r="E12368" s="1">
        <f>IFERROR(__xludf.DUMMYFUNCTION("""COMPUTED_VALUE"""),3.61726427476E11)</f>
        <v>361726427476</v>
      </c>
      <c r="F12368" s="1"/>
      <c r="G12368" s="1">
        <f>IFERROR(__xludf.DUMMYFUNCTION("""COMPUTED_VALUE"""),2.5)</f>
        <v>2.5</v>
      </c>
      <c r="H12368" s="2">
        <f>IFERROR(__xludf.DUMMYFUNCTION("""COMPUTED_VALUE"""),2.5)</f>
        <v>2.5</v>
      </c>
      <c r="I12368" s="5">
        <f>IFERROR(__xludf.DUMMYFUNCTION("""COMPUTED_VALUE"""),1.0)</f>
        <v>1</v>
      </c>
      <c r="J12368" s="1" t="str">
        <f>IFERROR(__xludf.DUMMYFUNCTION("""COMPUTED_VALUE"""),"Ellaine Estayo")</f>
        <v>Ellaine Estayo</v>
      </c>
      <c r="K12368" s="1" t="str">
        <f>IFERROR(__xludf.DUMMYFUNCTION("""COMPUTED_VALUE"""),"Core Product Support Escalation Team")</f>
        <v>Core Product Support Escalation Team</v>
      </c>
      <c r="L12368"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2369">
      <c r="A12369" s="1" t="str">
        <f>IFERROR(__xludf.DUMMYFUNCTION("""COMPUTED_VALUE"""),"2026 Apr")</f>
        <v>2026 Apr</v>
      </c>
      <c r="B12369" s="4">
        <f>IFERROR(__xludf.DUMMYFUNCTION("""COMPUTED_VALUE"""),46139.0)</f>
        <v>46139</v>
      </c>
      <c r="C12369" s="1" t="str">
        <f>IFERROR(__xludf.DUMMYFUNCTION("""COMPUTED_VALUE"""),"Print Support")</f>
        <v>Print Support</v>
      </c>
      <c r="D12369" s="1" t="str">
        <f>IFERROR(__xludf.DUMMYFUNCTION("""COMPUTED_VALUE"""),"9e3b5d29-0e29-4565-a70a-6e7ee3c7be84")</f>
        <v>9e3b5d29-0e29-4565-a70a-6e7ee3c7be84</v>
      </c>
      <c r="E12369" s="1">
        <f>IFERROR(__xludf.DUMMYFUNCTION("""COMPUTED_VALUE"""),1.0548602091791E13)</f>
        <v>10548602091791</v>
      </c>
      <c r="F12369" s="1"/>
      <c r="G12369" s="1"/>
      <c r="H12369" s="2">
        <f>IFERROR(__xludf.DUMMYFUNCTION("""COMPUTED_VALUE"""),0.0)</f>
        <v>0</v>
      </c>
      <c r="I12369" s="5"/>
      <c r="J12369" s="1" t="str">
        <f>IFERROR(__xludf.DUMMYFUNCTION("""COMPUTED_VALUE"""),"Jen Momo")</f>
        <v>Jen Momo</v>
      </c>
      <c r="K12369" s="1" t="str">
        <f>IFERROR(__xludf.DUMMYFUNCTION("""COMPUTED_VALUE"""),"Print Support PH")</f>
        <v>Print Support PH</v>
      </c>
      <c r="L12369" s="1" t="str">
        <f>IFERROR(__xludf.DUMMYFUNCTION("""COMPUTED_VALUE"""),"Print Print - CHT")</f>
        <v>Print Print - CHT</v>
      </c>
    </row>
    <row r="12370">
      <c r="A12370" s="1" t="str">
        <f>IFERROR(__xludf.DUMMYFUNCTION("""COMPUTED_VALUE"""),"2026 Apr")</f>
        <v>2026 Apr</v>
      </c>
      <c r="B12370" s="4">
        <f>IFERROR(__xludf.DUMMYFUNCTION("""COMPUTED_VALUE"""),46139.0)</f>
        <v>46139</v>
      </c>
      <c r="C12370" s="1" t="str">
        <f>IFERROR(__xludf.DUMMYFUNCTION("""COMPUTED_VALUE"""),"Segment-specific Support")</f>
        <v>Segment-specific Support</v>
      </c>
      <c r="D12370" s="1" t="str">
        <f>IFERROR(__xludf.DUMMYFUNCTION("""COMPUTED_VALUE"""),"eda8dc46-d638-4955-b85e-554ac98c41d8")</f>
        <v>eda8dc46-d638-4955-b85e-554ac98c41d8</v>
      </c>
      <c r="E12370" s="1">
        <f>IFERROR(__xludf.DUMMYFUNCTION("""COMPUTED_VALUE"""),3.61731943235E11)</f>
        <v>361731943235</v>
      </c>
      <c r="F12370" s="1"/>
      <c r="G12370" s="1"/>
      <c r="H12370" s="2">
        <f>IFERROR(__xludf.DUMMYFUNCTION("""COMPUTED_VALUE"""),0.0)</f>
        <v>0</v>
      </c>
      <c r="I12370" s="5"/>
      <c r="J12370" s="1" t="str">
        <f>IFERROR(__xludf.DUMMYFUNCTION("""COMPUTED_VALUE"""),"Aileen Dayanghirang")</f>
        <v>Aileen Dayanghirang</v>
      </c>
      <c r="K12370" s="1" t="str">
        <f>IFERROR(__xludf.DUMMYFUNCTION("""COMPUTED_VALUE"""),"Creators Support")</f>
        <v>Creators Support</v>
      </c>
      <c r="L12370" s="1" t="str">
        <f>IFERROR(__xludf.DUMMYFUNCTION("""COMPUTED_VALUE"""),"SSS Creators")</f>
        <v>SSS Creators</v>
      </c>
    </row>
    <row r="12371">
      <c r="A12371" s="1" t="str">
        <f>IFERROR(__xludf.DUMMYFUNCTION("""COMPUTED_VALUE"""),"2026 Apr")</f>
        <v>2026 Apr</v>
      </c>
      <c r="B12371" s="4">
        <f>IFERROR(__xludf.DUMMYFUNCTION("""COMPUTED_VALUE"""),46139.0)</f>
        <v>46139</v>
      </c>
      <c r="C12371" s="1" t="str">
        <f>IFERROR(__xludf.DUMMYFUNCTION("""COMPUTED_VALUE"""),"Admin Support")</f>
        <v>Admin Support</v>
      </c>
      <c r="D12371" s="1" t="str">
        <f>IFERROR(__xludf.DUMMYFUNCTION("""COMPUTED_VALUE"""),"1135d838-4518-48e7-a5b8-f1738f44245c")</f>
        <v>1135d838-4518-48e7-a5b8-f1738f44245c</v>
      </c>
      <c r="E12371" s="1">
        <f>IFERROR(__xludf.DUMMYFUNCTION("""COMPUTED_VALUE"""),9.795666354191E12)</f>
        <v>9795666354191</v>
      </c>
      <c r="F12371" s="1"/>
      <c r="G12371" s="1"/>
      <c r="H12371" s="2">
        <f>IFERROR(__xludf.DUMMYFUNCTION("""COMPUTED_VALUE"""),0.0)</f>
        <v>0</v>
      </c>
      <c r="I12371" s="5"/>
      <c r="J12371" s="1" t="str">
        <f>IFERROR(__xludf.DUMMYFUNCTION("""COMPUTED_VALUE"""),"Elise Cesario Mendes")</f>
        <v>Elise Cesario Mendes</v>
      </c>
      <c r="K12371" s="1" t="str">
        <f>IFERROR(__xludf.DUMMYFUNCTION("""COMPUTED_VALUE"""),"Admin Support APJ")</f>
        <v>Admin Support APJ</v>
      </c>
      <c r="L12371" s="1" t="str">
        <f>IFERROR(__xludf.DUMMYFUNCTION("""COMPUTED_VALUE"""),"Admin APJ")</f>
        <v>Admin APJ</v>
      </c>
    </row>
    <row r="12372">
      <c r="A12372" s="1" t="str">
        <f>IFERROR(__xludf.DUMMYFUNCTION("""COMPUTED_VALUE"""),"2026 Apr")</f>
        <v>2026 Apr</v>
      </c>
      <c r="B12372" s="4">
        <f>IFERROR(__xludf.DUMMYFUNCTION("""COMPUTED_VALUE"""),46139.0)</f>
        <v>46139</v>
      </c>
      <c r="C12372" s="1" t="str">
        <f>IFERROR(__xludf.DUMMYFUNCTION("""COMPUTED_VALUE"""),"High Sensitivity Support")</f>
        <v>High Sensitivity Support</v>
      </c>
      <c r="D12372" s="1" t="str">
        <f>IFERROR(__xludf.DUMMYFUNCTION("""COMPUTED_VALUE"""),"a3bbe934-01ae-4e93-9369-021e3581998d")</f>
        <v>a3bbe934-01ae-4e93-9369-021e3581998d</v>
      </c>
      <c r="E12372" s="1">
        <f>IFERROR(__xludf.DUMMYFUNCTION("""COMPUTED_VALUE"""),8.409869745551E12)</f>
        <v>8409869745551</v>
      </c>
      <c r="F12372" s="1"/>
      <c r="G12372" s="1"/>
      <c r="H12372" s="2">
        <f>IFERROR(__xludf.DUMMYFUNCTION("""COMPUTED_VALUE"""),0.0)</f>
        <v>0</v>
      </c>
      <c r="I12372" s="5"/>
      <c r="J12372" s="1" t="str">
        <f>IFERROR(__xludf.DUMMYFUNCTION("""COMPUTED_VALUE"""),"Rex Villamor")</f>
        <v>Rex Villamor</v>
      </c>
      <c r="K12372" s="1" t="str">
        <f>IFERROR(__xludf.DUMMYFUNCTION("""COMPUTED_VALUE"""),"High Sensitivity Support PH")</f>
        <v>High Sensitivity Support PH</v>
      </c>
      <c r="L12372" s="1" t="str">
        <f>IFERROR(__xludf.DUMMYFUNCTION("""COMPUTED_VALUE"""),"HSS High Sensitivity Support PH - CHT")</f>
        <v>HSS High Sensitivity Support PH - CHT</v>
      </c>
    </row>
    <row r="12373">
      <c r="A12373" s="1" t="str">
        <f>IFERROR(__xludf.DUMMYFUNCTION("""COMPUTED_VALUE"""),"2026 Apr")</f>
        <v>2026 Apr</v>
      </c>
      <c r="B12373" s="4">
        <f>IFERROR(__xludf.DUMMYFUNCTION("""COMPUTED_VALUE"""),46139.0)</f>
        <v>46139</v>
      </c>
      <c r="C12373" s="1" t="str">
        <f>IFERROR(__xludf.DUMMYFUNCTION("""COMPUTED_VALUE"""),"Core Product Support")</f>
        <v>Core Product Support</v>
      </c>
      <c r="D12373" s="1" t="str">
        <f>IFERROR(__xludf.DUMMYFUNCTION("""COMPUTED_VALUE"""),"3160ea91-bbe8-47f3-b356-db1889bfb947")</f>
        <v>3160ea91-bbe8-47f3-b356-db1889bfb947</v>
      </c>
      <c r="E12373" s="1">
        <f>IFERROR(__xludf.DUMMYFUNCTION("""COMPUTED_VALUE"""),8.904462217231E12)</f>
        <v>8904462217231</v>
      </c>
      <c r="F12373" s="1"/>
      <c r="G12373" s="1">
        <f>IFERROR(__xludf.DUMMYFUNCTION("""COMPUTED_VALUE"""),1.25)</f>
        <v>1.25</v>
      </c>
      <c r="H12373" s="2">
        <f>IFERROR(__xludf.DUMMYFUNCTION("""COMPUTED_VALUE"""),1.25)</f>
        <v>1.25</v>
      </c>
      <c r="I12373" s="5">
        <f>IFERROR(__xludf.DUMMYFUNCTION("""COMPUTED_VALUE"""),1.0)</f>
        <v>1</v>
      </c>
      <c r="J12373" s="1" t="str">
        <f>IFERROR(__xludf.DUMMYFUNCTION("""COMPUTED_VALUE"""),"Ana Lazaro")</f>
        <v>Ana Lazaro</v>
      </c>
      <c r="K12373" s="1" t="str">
        <f>IFERROR(__xludf.DUMMYFUNCTION("""COMPUTED_VALUE"""),"Advanced Billing &amp; Subscriptions")</f>
        <v>Advanced Billing &amp; Subscriptions</v>
      </c>
      <c r="L12373" s="1" t="str">
        <f>IFERROR(__xludf.DUMMYFUNCTION("""COMPUTED_VALUE"""),"CPS Advanced Billing and Subscriptions (ABS)")</f>
        <v>CPS Advanced Billing and Subscriptions (ABS)</v>
      </c>
    </row>
    <row r="12374">
      <c r="A12374" s="1" t="str">
        <f>IFERROR(__xludf.DUMMYFUNCTION("""COMPUTED_VALUE"""),"2026 Apr")</f>
        <v>2026 Apr</v>
      </c>
      <c r="B12374" s="4">
        <f>IFERROR(__xludf.DUMMYFUNCTION("""COMPUTED_VALUE"""),46139.0)</f>
        <v>46139</v>
      </c>
      <c r="C12374" s="1" t="str">
        <f>IFERROR(__xludf.DUMMYFUNCTION("""COMPUTED_VALUE"""),"High Sensitivity Support")</f>
        <v>High Sensitivity Support</v>
      </c>
      <c r="D12374" s="1" t="str">
        <f>IFERROR(__xludf.DUMMYFUNCTION("""COMPUTED_VALUE"""),"70180db3-ebfc-42fc-99e7-d954cb886c98")</f>
        <v>70180db3-ebfc-42fc-99e7-d954cb886c98</v>
      </c>
      <c r="E12374" s="1">
        <f>IFERROR(__xludf.DUMMYFUNCTION("""COMPUTED_VALUE"""),3.61733077415E11)</f>
        <v>361733077415</v>
      </c>
      <c r="F12374" s="1"/>
      <c r="G12374" s="1"/>
      <c r="H12374" s="2">
        <f>IFERROR(__xludf.DUMMYFUNCTION("""COMPUTED_VALUE"""),0.0)</f>
        <v>0</v>
      </c>
      <c r="I12374" s="5"/>
      <c r="J12374" s="1" t="str">
        <f>IFERROR(__xludf.DUMMYFUNCTION("""COMPUTED_VALUE"""),"Rex Villamor")</f>
        <v>Rex Villamor</v>
      </c>
      <c r="K12374" s="1" t="str">
        <f>IFERROR(__xludf.DUMMYFUNCTION("""COMPUTED_VALUE"""),"High Sensitivity Support PH")</f>
        <v>High Sensitivity Support PH</v>
      </c>
      <c r="L12374" s="1" t="str">
        <f>IFERROR(__xludf.DUMMYFUNCTION("""COMPUTED_VALUE"""),"HSS High Sensitivity Support PH - CHT")</f>
        <v>HSS High Sensitivity Support PH - CHT</v>
      </c>
    </row>
    <row r="12375">
      <c r="A12375" s="1" t="str">
        <f>IFERROR(__xludf.DUMMYFUNCTION("""COMPUTED_VALUE"""),"2026 Apr")</f>
        <v>2026 Apr</v>
      </c>
      <c r="B12375" s="4">
        <f>IFERROR(__xludf.DUMMYFUNCTION("""COMPUTED_VALUE"""),46139.0)</f>
        <v>46139</v>
      </c>
      <c r="C12375" s="1" t="str">
        <f>IFERROR(__xludf.DUMMYFUNCTION("""COMPUTED_VALUE"""),"Admin Support")</f>
        <v>Admin Support</v>
      </c>
      <c r="D12375" s="1" t="str">
        <f>IFERROR(__xludf.DUMMYFUNCTION("""COMPUTED_VALUE"""),"0c4907ba-7b85-4f42-8afb-a62cdeb8fbd3")</f>
        <v>0c4907ba-7b85-4f42-8afb-a62cdeb8fbd3</v>
      </c>
      <c r="E12375" s="1">
        <f>IFERROR(__xludf.DUMMYFUNCTION("""COMPUTED_VALUE"""),3.61731944975E11)</f>
        <v>361731944975</v>
      </c>
      <c r="F12375" s="1"/>
      <c r="G12375" s="1">
        <f>IFERROR(__xludf.DUMMYFUNCTION("""COMPUTED_VALUE"""),0.25)</f>
        <v>0.25</v>
      </c>
      <c r="H12375" s="2">
        <f>IFERROR(__xludf.DUMMYFUNCTION("""COMPUTED_VALUE"""),0.25)</f>
        <v>0.25</v>
      </c>
      <c r="I12375" s="5">
        <f>IFERROR(__xludf.DUMMYFUNCTION("""COMPUTED_VALUE"""),1.0)</f>
        <v>1</v>
      </c>
      <c r="J12375" s="1" t="str">
        <f>IFERROR(__xludf.DUMMYFUNCTION("""COMPUTED_VALUE"""),"Pau Palmero")</f>
        <v>Pau Palmero</v>
      </c>
      <c r="K12375" s="1" t="str">
        <f>IFERROR(__xludf.DUMMYFUNCTION("""COMPUTED_VALUE"""),"Admin Omni Support")</f>
        <v>Admin Omni Support</v>
      </c>
      <c r="L12375" s="1" t="str">
        <f>IFERROR(__xludf.DUMMYFUNCTION("""COMPUTED_VALUE"""),"Admin Omni Support")</f>
        <v>Admin Omni Support</v>
      </c>
    </row>
    <row r="12376">
      <c r="A12376" s="1" t="str">
        <f>IFERROR(__xludf.DUMMYFUNCTION("""COMPUTED_VALUE"""),"2026 Apr")</f>
        <v>2026 Apr</v>
      </c>
      <c r="B12376" s="4">
        <f>IFERROR(__xludf.DUMMYFUNCTION("""COMPUTED_VALUE"""),46139.0)</f>
        <v>46139</v>
      </c>
      <c r="C12376" s="1" t="str">
        <f>IFERROR(__xludf.DUMMYFUNCTION("""COMPUTED_VALUE"""),"Segment-specific Support")</f>
        <v>Segment-specific Support</v>
      </c>
      <c r="D12376" s="1" t="str">
        <f>IFERROR(__xludf.DUMMYFUNCTION("""COMPUTED_VALUE"""),"31a45902-65b1-4f86-b78c-0681d92ba3b9")</f>
        <v>31a45902-65b1-4f86-b78c-0681d92ba3b9</v>
      </c>
      <c r="E12376" s="1"/>
      <c r="F12376" s="1"/>
      <c r="G12376" s="1"/>
      <c r="H12376" s="2">
        <f>IFERROR(__xludf.DUMMYFUNCTION("""COMPUTED_VALUE"""),0.0)</f>
        <v>0</v>
      </c>
      <c r="I12376" s="5"/>
      <c r="J12376" s="1" t="str">
        <f>IFERROR(__xludf.DUMMYFUNCTION("""COMPUTED_VALUE"""),"Leigh Davison")</f>
        <v>Leigh Davison</v>
      </c>
      <c r="K12376" s="1" t="str">
        <f>IFERROR(__xludf.DUMMYFUNCTION("""COMPUTED_VALUE"""),"#N/A")</f>
        <v>#N/A</v>
      </c>
      <c r="L12376" s="1"/>
    </row>
    <row r="12377">
      <c r="A12377" s="1" t="str">
        <f>IFERROR(__xludf.DUMMYFUNCTION("""COMPUTED_VALUE"""),"2026 Apr")</f>
        <v>2026 Apr</v>
      </c>
      <c r="B12377" s="4">
        <f>IFERROR(__xludf.DUMMYFUNCTION("""COMPUTED_VALUE"""),46139.0)</f>
        <v>46139</v>
      </c>
      <c r="C12377" s="1" t="str">
        <f>IFERROR(__xludf.DUMMYFUNCTION("""COMPUTED_VALUE"""),"Admin Support")</f>
        <v>Admin Support</v>
      </c>
      <c r="D12377" s="1" t="str">
        <f>IFERROR(__xludf.DUMMYFUNCTION("""COMPUTED_VALUE"""),"f3e01c36-ae47-4587-bb42-c4f8b42102e5")</f>
        <v>f3e01c36-ae47-4587-bb42-c4f8b42102e5</v>
      </c>
      <c r="E12377" s="1">
        <f>IFERROR(__xludf.DUMMYFUNCTION("""COMPUTED_VALUE"""),3.61725484056E11)</f>
        <v>361725484056</v>
      </c>
      <c r="F12377" s="1"/>
      <c r="G12377" s="1">
        <f>IFERROR(__xludf.DUMMYFUNCTION("""COMPUTED_VALUE"""),0.25)</f>
        <v>0.25</v>
      </c>
      <c r="H12377" s="2">
        <f>IFERROR(__xludf.DUMMYFUNCTION("""COMPUTED_VALUE"""),0.25)</f>
        <v>0.25</v>
      </c>
      <c r="I12377" s="5">
        <f>IFERROR(__xludf.DUMMYFUNCTION("""COMPUTED_VALUE"""),1.0)</f>
        <v>1</v>
      </c>
      <c r="J12377" s="1" t="str">
        <f>IFERROR(__xludf.DUMMYFUNCTION("""COMPUTED_VALUE"""),"Ann Dumlao")</f>
        <v>Ann Dumlao</v>
      </c>
      <c r="K12377" s="1" t="str">
        <f>IFERROR(__xludf.DUMMYFUNCTION("""COMPUTED_VALUE"""),"Admin Omni Support")</f>
        <v>Admin Omni Support</v>
      </c>
      <c r="L12377" s="1" t="str">
        <f>IFERROR(__xludf.DUMMYFUNCTION("""COMPUTED_VALUE"""),"Admin Omni Support")</f>
        <v>Admin Omni Support</v>
      </c>
    </row>
    <row r="12378">
      <c r="A12378" s="1" t="str">
        <f>IFERROR(__xludf.DUMMYFUNCTION("""COMPUTED_VALUE"""),"2026 Apr")</f>
        <v>2026 Apr</v>
      </c>
      <c r="B12378" s="4">
        <f>IFERROR(__xludf.DUMMYFUNCTION("""COMPUTED_VALUE"""),46139.0)</f>
        <v>46139</v>
      </c>
      <c r="C12378" s="1" t="str">
        <f>IFERROR(__xludf.DUMMYFUNCTION("""COMPUTED_VALUE"""),"Segment-specific Support")</f>
        <v>Segment-specific Support</v>
      </c>
      <c r="D12378" s="1" t="str">
        <f>IFERROR(__xludf.DUMMYFUNCTION("""COMPUTED_VALUE"""),"546334b1-0aad-492a-9c63-26532ca8c5fc")</f>
        <v>546334b1-0aad-492a-9c63-26532ca8c5fc</v>
      </c>
      <c r="E12378" s="1"/>
      <c r="F12378" s="1"/>
      <c r="G12378" s="1"/>
      <c r="H12378" s="2">
        <f>IFERROR(__xludf.DUMMYFUNCTION("""COMPUTED_VALUE"""),0.0)</f>
        <v>0</v>
      </c>
      <c r="I12378" s="5"/>
      <c r="J12378" s="1" t="str">
        <f>IFERROR(__xludf.DUMMYFUNCTION("""COMPUTED_VALUE"""),"Leigh Davison")</f>
        <v>Leigh Davison</v>
      </c>
      <c r="K12378" s="1" t="str">
        <f>IFERROR(__xludf.DUMMYFUNCTION("""COMPUTED_VALUE"""),"#N/A")</f>
        <v>#N/A</v>
      </c>
      <c r="L12378" s="1"/>
    </row>
    <row r="12379">
      <c r="A12379" s="1" t="str">
        <f>IFERROR(__xludf.DUMMYFUNCTION("""COMPUTED_VALUE"""),"2026 Apr")</f>
        <v>2026 Apr</v>
      </c>
      <c r="B12379" s="4">
        <f>IFERROR(__xludf.DUMMYFUNCTION("""COMPUTED_VALUE"""),46139.0)</f>
        <v>46139</v>
      </c>
      <c r="C12379" s="1" t="str">
        <f>IFERROR(__xludf.DUMMYFUNCTION("""COMPUTED_VALUE"""),"Segment-specific Support")</f>
        <v>Segment-specific Support</v>
      </c>
      <c r="D12379" s="1" t="str">
        <f>IFERROR(__xludf.DUMMYFUNCTION("""COMPUTED_VALUE"""),"0a760e6d-f69c-4cfc-a59a-917274456550")</f>
        <v>0a760e6d-f69c-4cfc-a59a-917274456550</v>
      </c>
      <c r="E12379" s="1">
        <f>IFERROR(__xludf.DUMMYFUNCTION("""COMPUTED_VALUE"""),5.047314632975E12)</f>
        <v>5047314632975</v>
      </c>
      <c r="F12379" s="1"/>
      <c r="G12379" s="1"/>
      <c r="H12379" s="2">
        <f>IFERROR(__xludf.DUMMYFUNCTION("""COMPUTED_VALUE"""),0.0)</f>
        <v>0</v>
      </c>
      <c r="I12379" s="5"/>
      <c r="J12379" s="1" t="str">
        <f>IFERROR(__xludf.DUMMYFUNCTION("""COMPUTED_VALUE"""),"Rose Gabilan")</f>
        <v>Rose Gabilan</v>
      </c>
      <c r="K12379" s="1" t="str">
        <f>IFERROR(__xludf.DUMMYFUNCTION("""COMPUTED_VALUE"""),"Affinity Support")</f>
        <v>Affinity Support</v>
      </c>
      <c r="L12379" s="1" t="str">
        <f>IFERROR(__xludf.DUMMYFUNCTION("""COMPUTED_VALUE"""),"SSS Affinity - L1")</f>
        <v>SSS Affinity - L1</v>
      </c>
    </row>
    <row r="12380">
      <c r="A12380" s="1" t="str">
        <f>IFERROR(__xludf.DUMMYFUNCTION("""COMPUTED_VALUE"""),"2026 Apr")</f>
        <v>2026 Apr</v>
      </c>
      <c r="B12380" s="4">
        <f>IFERROR(__xludf.DUMMYFUNCTION("""COMPUTED_VALUE"""),46139.0)</f>
        <v>46139</v>
      </c>
      <c r="C12380" s="1" t="str">
        <f>IFERROR(__xludf.DUMMYFUNCTION("""COMPUTED_VALUE"""),"Admin Support")</f>
        <v>Admin Support</v>
      </c>
      <c r="D12380" s="1" t="str">
        <f>IFERROR(__xludf.DUMMYFUNCTION("""COMPUTED_VALUE"""),"97756389-1733-4bfe-bf0b-b3fe225fe510")</f>
        <v>97756389-1733-4bfe-bf0b-b3fe225fe510</v>
      </c>
      <c r="E12380" s="1">
        <f>IFERROR(__xludf.DUMMYFUNCTION("""COMPUTED_VALUE"""),9.153847235087E12)</f>
        <v>9153847235087</v>
      </c>
      <c r="F12380" s="1"/>
      <c r="G12380" s="1"/>
      <c r="H12380" s="2">
        <f>IFERROR(__xludf.DUMMYFUNCTION("""COMPUTED_VALUE"""),0.0)</f>
        <v>0</v>
      </c>
      <c r="I12380" s="5"/>
      <c r="J12380" s="1" t="str">
        <f>IFERROR(__xludf.DUMMYFUNCTION("""COMPUTED_VALUE"""),"Tash Kelly")</f>
        <v>Tash Kelly</v>
      </c>
      <c r="K12380" s="1" t="str">
        <f>IFERROR(__xludf.DUMMYFUNCTION("""COMPUTED_VALUE"""),"Admin Support EMEA")</f>
        <v>Admin Support EMEA</v>
      </c>
      <c r="L12380" s="1" t="str">
        <f>IFERROR(__xludf.DUMMYFUNCTION("""COMPUTED_VALUE"""),"Admin EMEA")</f>
        <v>Admin EMEA</v>
      </c>
    </row>
    <row r="12381">
      <c r="A12381" s="1" t="str">
        <f>IFERROR(__xludf.DUMMYFUNCTION("""COMPUTED_VALUE"""),"2026 Apr")</f>
        <v>2026 Apr</v>
      </c>
      <c r="B12381" s="4">
        <f>IFERROR(__xludf.DUMMYFUNCTION("""COMPUTED_VALUE"""),46139.0)</f>
        <v>46139</v>
      </c>
      <c r="C12381" s="1" t="str">
        <f>IFERROR(__xludf.DUMMYFUNCTION("""COMPUTED_VALUE"""),"Admin Support")</f>
        <v>Admin Support</v>
      </c>
      <c r="D12381" s="1" t="str">
        <f>IFERROR(__xludf.DUMMYFUNCTION("""COMPUTED_VALUE"""),"b8e64047-ce95-4bd1-ba70-97209dbdd968")</f>
        <v>b8e64047-ce95-4bd1-ba70-97209dbdd968</v>
      </c>
      <c r="E12381" s="1">
        <f>IFERROR(__xludf.DUMMYFUNCTION("""COMPUTED_VALUE"""),5.813415515279E12)</f>
        <v>5813415515279</v>
      </c>
      <c r="F12381" s="1"/>
      <c r="G12381" s="1"/>
      <c r="H12381" s="2">
        <f>IFERROR(__xludf.DUMMYFUNCTION("""COMPUTED_VALUE"""),0.0)</f>
        <v>0</v>
      </c>
      <c r="I12381" s="5"/>
      <c r="J12381" s="1" t="str">
        <f>IFERROR(__xludf.DUMMYFUNCTION("""COMPUTED_VALUE"""),"Nate Vela")</f>
        <v>Nate Vela</v>
      </c>
      <c r="K12381" s="1" t="str">
        <f>IFERROR(__xludf.DUMMYFUNCTION("""COMPUTED_VALUE"""),"Admin Support NA")</f>
        <v>Admin Support NA</v>
      </c>
      <c r="L12381" s="1" t="str">
        <f>IFERROR(__xludf.DUMMYFUNCTION("""COMPUTED_VALUE"""),"Admin NA")</f>
        <v>Admin NA</v>
      </c>
    </row>
    <row r="12382">
      <c r="A12382" s="1" t="str">
        <f>IFERROR(__xludf.DUMMYFUNCTION("""COMPUTED_VALUE"""),"2026 Apr")</f>
        <v>2026 Apr</v>
      </c>
      <c r="B12382" s="4">
        <f>IFERROR(__xludf.DUMMYFUNCTION("""COMPUTED_VALUE"""),46139.0)</f>
        <v>46139</v>
      </c>
      <c r="C12382" s="1" t="str">
        <f>IFERROR(__xludf.DUMMYFUNCTION("""COMPUTED_VALUE"""),"Print Support")</f>
        <v>Print Support</v>
      </c>
      <c r="D12382" s="1" t="str">
        <f>IFERROR(__xludf.DUMMYFUNCTION("""COMPUTED_VALUE"""),"0a8eade5-f55e-4b55-9dca-c83c736a8818")</f>
        <v>0a8eade5-f55e-4b55-9dca-c83c736a8818</v>
      </c>
      <c r="E12382" s="1">
        <f>IFERROR(__xludf.DUMMYFUNCTION("""COMPUTED_VALUE"""),3.61744044436E11)</f>
        <v>361744044436</v>
      </c>
      <c r="F12382" s="1"/>
      <c r="G12382" s="1"/>
      <c r="H12382" s="2">
        <f>IFERROR(__xludf.DUMMYFUNCTION("""COMPUTED_VALUE"""),0.0)</f>
        <v>0</v>
      </c>
      <c r="I12382" s="5"/>
      <c r="J12382" s="1" t="str">
        <f>IFERROR(__xludf.DUMMYFUNCTION("""COMPUTED_VALUE"""),"Jen Momo")</f>
        <v>Jen Momo</v>
      </c>
      <c r="K12382" s="1" t="str">
        <f>IFERROR(__xludf.DUMMYFUNCTION("""COMPUTED_VALUE"""),"Print Support PH")</f>
        <v>Print Support PH</v>
      </c>
      <c r="L12382" s="1" t="str">
        <f>IFERROR(__xludf.DUMMYFUNCTION("""COMPUTED_VALUE"""),"Print Print - CHT")</f>
        <v>Print Print - CHT</v>
      </c>
    </row>
    <row r="12383">
      <c r="A12383" s="1" t="str">
        <f>IFERROR(__xludf.DUMMYFUNCTION("""COMPUTED_VALUE"""),"2026 Apr")</f>
        <v>2026 Apr</v>
      </c>
      <c r="B12383" s="4">
        <f>IFERROR(__xludf.DUMMYFUNCTION("""COMPUTED_VALUE"""),46139.0)</f>
        <v>46139</v>
      </c>
      <c r="C12383" s="1" t="str">
        <f>IFERROR(__xludf.DUMMYFUNCTION("""COMPUTED_VALUE"""),"Print Support")</f>
        <v>Print Support</v>
      </c>
      <c r="D12383" s="1" t="str">
        <f>IFERROR(__xludf.DUMMYFUNCTION("""COMPUTED_VALUE"""),"7938e720-2f23-4ae8-a8bc-a1aeb68883d0")</f>
        <v>7938e720-2f23-4ae8-a8bc-a1aeb68883d0</v>
      </c>
      <c r="E12383" s="1">
        <f>IFERROR(__xludf.DUMMYFUNCTION("""COMPUTED_VALUE"""),5.359144671119E12)</f>
        <v>5359144671119</v>
      </c>
      <c r="F12383" s="1"/>
      <c r="G12383" s="1"/>
      <c r="H12383" s="2">
        <f>IFERROR(__xludf.DUMMYFUNCTION("""COMPUTED_VALUE"""),0.0)</f>
        <v>0</v>
      </c>
      <c r="I12383" s="5"/>
      <c r="J12383" s="1" t="str">
        <f>IFERROR(__xludf.DUMMYFUNCTION("""COMPUTED_VALUE"""),"Louise Dianne Estrella")</f>
        <v>Louise Dianne Estrella</v>
      </c>
      <c r="K12383" s="1" t="str">
        <f>IFERROR(__xludf.DUMMYFUNCTION("""COMPUTED_VALUE"""),"Print Support PH")</f>
        <v>Print Support PH</v>
      </c>
      <c r="L12383" s="1" t="str">
        <f>IFERROR(__xludf.DUMMYFUNCTION("""COMPUTED_VALUE"""),"Print Print - CHT")</f>
        <v>Print Print - CHT</v>
      </c>
    </row>
    <row r="12384">
      <c r="A12384" s="1" t="str">
        <f>IFERROR(__xludf.DUMMYFUNCTION("""COMPUTED_VALUE"""),"2026 Apr")</f>
        <v>2026 Apr</v>
      </c>
      <c r="B12384" s="4">
        <f>IFERROR(__xludf.DUMMYFUNCTION("""COMPUTED_VALUE"""),46139.0)</f>
        <v>46139</v>
      </c>
      <c r="C12384" s="1" t="str">
        <f>IFERROR(__xludf.DUMMYFUNCTION("""COMPUTED_VALUE"""),"Admin Support")</f>
        <v>Admin Support</v>
      </c>
      <c r="D12384" s="1" t="str">
        <f>IFERROR(__xludf.DUMMYFUNCTION("""COMPUTED_VALUE"""),"7bf5cef1-9473-43c3-9aff-115283ed0e7a")</f>
        <v>7bf5cef1-9473-43c3-9aff-115283ed0e7a</v>
      </c>
      <c r="E12384" s="1">
        <f>IFERROR(__xludf.DUMMYFUNCTION("""COMPUTED_VALUE"""),1.0005707260559E13)</f>
        <v>10005707260559</v>
      </c>
      <c r="F12384" s="1"/>
      <c r="G12384" s="1">
        <f>IFERROR(__xludf.DUMMYFUNCTION("""COMPUTED_VALUE"""),0.25)</f>
        <v>0.25</v>
      </c>
      <c r="H12384" s="2">
        <f>IFERROR(__xludf.DUMMYFUNCTION("""COMPUTED_VALUE"""),0.25)</f>
        <v>0.25</v>
      </c>
      <c r="I12384" s="5">
        <f>IFERROR(__xludf.DUMMYFUNCTION("""COMPUTED_VALUE"""),1.0)</f>
        <v>1</v>
      </c>
      <c r="J12384" s="1" t="str">
        <f>IFERROR(__xludf.DUMMYFUNCTION("""COMPUTED_VALUE"""),"AL Suarez")</f>
        <v>AL Suarez</v>
      </c>
      <c r="K12384" s="1" t="str">
        <f>IFERROR(__xludf.DUMMYFUNCTION("""COMPUTED_VALUE"""),"Advanced Billing &amp; Subscriptions")</f>
        <v>Advanced Billing &amp; Subscriptions</v>
      </c>
      <c r="L12384" s="1" t="str">
        <f>IFERROR(__xludf.DUMMYFUNCTION("""COMPUTED_VALUE"""),"CPS Advanced Billing and Subscriptions (ABS)")</f>
        <v>CPS Advanced Billing and Subscriptions (ABS)</v>
      </c>
    </row>
    <row r="12385">
      <c r="A12385" s="1" t="str">
        <f>IFERROR(__xludf.DUMMYFUNCTION("""COMPUTED_VALUE"""),"2026 Apr")</f>
        <v>2026 Apr</v>
      </c>
      <c r="B12385" s="4">
        <f>IFERROR(__xludf.DUMMYFUNCTION("""COMPUTED_VALUE"""),46139.0)</f>
        <v>46139</v>
      </c>
      <c r="C12385" s="1" t="str">
        <f>IFERROR(__xludf.DUMMYFUNCTION("""COMPUTED_VALUE"""),"Segment-specific Support")</f>
        <v>Segment-specific Support</v>
      </c>
      <c r="D12385" s="1" t="str">
        <f>IFERROR(__xludf.DUMMYFUNCTION("""COMPUTED_VALUE"""),"ea5d3075-1c56-458e-abc7-f25ded5a9d76")</f>
        <v>ea5d3075-1c56-458e-abc7-f25ded5a9d76</v>
      </c>
      <c r="E12385" s="1">
        <f>IFERROR(__xludf.DUMMYFUNCTION("""COMPUTED_VALUE"""),1.1401961186319E13)</f>
        <v>11401961186319</v>
      </c>
      <c r="F12385" s="1"/>
      <c r="G12385" s="1"/>
      <c r="H12385" s="2">
        <f>IFERROR(__xludf.DUMMYFUNCTION("""COMPUTED_VALUE"""),0.0)</f>
        <v>0</v>
      </c>
      <c r="I12385" s="5"/>
      <c r="J12385" s="1" t="str">
        <f>IFERROR(__xludf.DUMMYFUNCTION("""COMPUTED_VALUE"""),"Aileen Dayanghirang")</f>
        <v>Aileen Dayanghirang</v>
      </c>
      <c r="K12385" s="1" t="str">
        <f>IFERROR(__xludf.DUMMYFUNCTION("""COMPUTED_VALUE"""),"Creators Support")</f>
        <v>Creators Support</v>
      </c>
      <c r="L12385" s="1" t="str">
        <f>IFERROR(__xludf.DUMMYFUNCTION("""COMPUTED_VALUE"""),"SSS Creators")</f>
        <v>SSS Creators</v>
      </c>
    </row>
    <row r="12386">
      <c r="A12386" s="1" t="str">
        <f>IFERROR(__xludf.DUMMYFUNCTION("""COMPUTED_VALUE"""),"2026 Apr")</f>
        <v>2026 Apr</v>
      </c>
      <c r="B12386" s="4">
        <f>IFERROR(__xludf.DUMMYFUNCTION("""COMPUTED_VALUE"""),46139.0)</f>
        <v>46139</v>
      </c>
      <c r="C12386" s="1" t="str">
        <f>IFERROR(__xludf.DUMMYFUNCTION("""COMPUTED_VALUE"""),"Admin Support")</f>
        <v>Admin Support</v>
      </c>
      <c r="D12386" s="1" t="str">
        <f>IFERROR(__xludf.DUMMYFUNCTION("""COMPUTED_VALUE"""),"ac612821-c478-4ed1-8b21-3e20fb1b17d4")</f>
        <v>ac612821-c478-4ed1-8b21-3e20fb1b17d4</v>
      </c>
      <c r="E12386" s="1">
        <f>IFERROR(__xludf.DUMMYFUNCTION("""COMPUTED_VALUE"""),8.409862611087E12)</f>
        <v>8409862611087</v>
      </c>
      <c r="F12386" s="1"/>
      <c r="G12386" s="1"/>
      <c r="H12386" s="2">
        <f>IFERROR(__xludf.DUMMYFUNCTION("""COMPUTED_VALUE"""),0.0)</f>
        <v>0</v>
      </c>
      <c r="I12386" s="5"/>
      <c r="J12386" s="1" t="str">
        <f>IFERROR(__xludf.DUMMYFUNCTION("""COMPUTED_VALUE"""),"Karla Mananghaya")</f>
        <v>Karla Mananghaya</v>
      </c>
      <c r="K12386" s="1" t="str">
        <f>IFERROR(__xludf.DUMMYFUNCTION("""COMPUTED_VALUE"""),"Admin Support Service Escalation Team")</f>
        <v>Admin Support Service Escalation Team</v>
      </c>
      <c r="L12386" s="1" t="str">
        <f>IFERROR(__xludf.DUMMYFUNCTION("""COMPUTED_VALUE"""),"Admin ASSET")</f>
        <v>Admin ASSET</v>
      </c>
    </row>
    <row r="12387">
      <c r="A12387" s="1" t="str">
        <f>IFERROR(__xludf.DUMMYFUNCTION("""COMPUTED_VALUE"""),"2026 Apr")</f>
        <v>2026 Apr</v>
      </c>
      <c r="B12387" s="4">
        <f>IFERROR(__xludf.DUMMYFUNCTION("""COMPUTED_VALUE"""),46139.0)</f>
        <v>46139</v>
      </c>
      <c r="C12387" s="1" t="str">
        <f>IFERROR(__xludf.DUMMYFUNCTION("""COMPUTED_VALUE"""),"Multilingual Support")</f>
        <v>Multilingual Support</v>
      </c>
      <c r="D12387" s="1" t="str">
        <f>IFERROR(__xludf.DUMMYFUNCTION("""COMPUTED_VALUE"""),"c643f4d3-31ef-4155-ba4e-a552baeb6f23")</f>
        <v>c643f4d3-31ef-4155-ba4e-a552baeb6f23</v>
      </c>
      <c r="E12387" s="1">
        <f>IFERROR(__xludf.DUMMYFUNCTION("""COMPUTED_VALUE"""),3.61726424916E11)</f>
        <v>361726424916</v>
      </c>
      <c r="F12387" s="1"/>
      <c r="G12387" s="1"/>
      <c r="H12387" s="2">
        <f>IFERROR(__xludf.DUMMYFUNCTION("""COMPUTED_VALUE"""),0.0)</f>
        <v>0</v>
      </c>
      <c r="I12387" s="5"/>
      <c r="J12387" s="1" t="str">
        <f>IFERROR(__xludf.DUMMYFUNCTION("""COMPUTED_VALUE"""),"Arlene Maurillo")</f>
        <v>Arlene Maurillo</v>
      </c>
      <c r="K12387" s="1" t="str">
        <f>IFERROR(__xludf.DUMMYFUNCTION("""COMPUTED_VALUE"""),"PHL, Multilingual Support")</f>
        <v>PHL, Multilingual Support</v>
      </c>
      <c r="L12387" s="1" t="str">
        <f>IFERROR(__xludf.DUMMYFUNCTION("""COMPUTED_VALUE"""),"ML French Support")</f>
        <v>ML French Support</v>
      </c>
    </row>
    <row r="12388">
      <c r="A12388" s="1" t="str">
        <f>IFERROR(__xludf.DUMMYFUNCTION("""COMPUTED_VALUE"""),"2026 Apr")</f>
        <v>2026 Apr</v>
      </c>
      <c r="B12388" s="4">
        <f>IFERROR(__xludf.DUMMYFUNCTION("""COMPUTED_VALUE"""),46139.0)</f>
        <v>46139</v>
      </c>
      <c r="C12388" s="1" t="str">
        <f>IFERROR(__xludf.DUMMYFUNCTION("""COMPUTED_VALUE"""),"High Sensitivity Support")</f>
        <v>High Sensitivity Support</v>
      </c>
      <c r="D12388" s="1" t="str">
        <f>IFERROR(__xludf.DUMMYFUNCTION("""COMPUTED_VALUE"""),"19ca9753-f76b-4593-ad5b-20f0e6bda57d")</f>
        <v>19ca9753-f76b-4593-ad5b-20f0e6bda57d</v>
      </c>
      <c r="E12388" s="1">
        <f>IFERROR(__xludf.DUMMYFUNCTION("""COMPUTED_VALUE"""),3.61694652335E11)</f>
        <v>361694652335</v>
      </c>
      <c r="F12388" s="1"/>
      <c r="G12388" s="1"/>
      <c r="H12388" s="2">
        <f>IFERROR(__xludf.DUMMYFUNCTION("""COMPUTED_VALUE"""),0.0)</f>
        <v>0</v>
      </c>
      <c r="I12388" s="5"/>
      <c r="J12388" s="1" t="str">
        <f>IFERROR(__xludf.DUMMYFUNCTION("""COMPUTED_VALUE"""),"Xandy Azarcon")</f>
        <v>Xandy Azarcon</v>
      </c>
      <c r="K12388" s="1" t="str">
        <f>IFERROR(__xludf.DUMMYFUNCTION("""COMPUTED_VALUE"""),"High Sensitivity Support PH")</f>
        <v>High Sensitivity Support PH</v>
      </c>
      <c r="L12388" s="1" t="str">
        <f>IFERROR(__xludf.DUMMYFUNCTION("""COMPUTED_VALUE"""),"HSS High Sensitivity Support PH - CHT")</f>
        <v>HSS High Sensitivity Support PH - CHT</v>
      </c>
    </row>
    <row r="12389">
      <c r="A12389" s="1" t="str">
        <f>IFERROR(__xludf.DUMMYFUNCTION("""COMPUTED_VALUE"""),"2026 Apr")</f>
        <v>2026 Apr</v>
      </c>
      <c r="B12389" s="4">
        <f>IFERROR(__xludf.DUMMYFUNCTION("""COMPUTED_VALUE"""),46139.0)</f>
        <v>46139</v>
      </c>
      <c r="C12389" s="1" t="str">
        <f>IFERROR(__xludf.DUMMYFUNCTION("""COMPUTED_VALUE"""),"Print Support")</f>
        <v>Print Support</v>
      </c>
      <c r="D12389" s="1" t="str">
        <f>IFERROR(__xludf.DUMMYFUNCTION("""COMPUTED_VALUE"""),"05869263-0d01-4309-8f73-ab6deb080e16")</f>
        <v>05869263-0d01-4309-8f73-ab6deb080e16</v>
      </c>
      <c r="E12389" s="1"/>
      <c r="F12389" s="1"/>
      <c r="G12389" s="1"/>
      <c r="H12389" s="2">
        <f>IFERROR(__xludf.DUMMYFUNCTION("""COMPUTED_VALUE"""),0.0)</f>
        <v>0</v>
      </c>
      <c r="I12389" s="5"/>
      <c r="J12389" s="1" t="str">
        <f>IFERROR(__xludf.DUMMYFUNCTION("""COMPUTED_VALUE"""),"G-Anne Murillo")</f>
        <v>G-Anne Murillo</v>
      </c>
      <c r="K12389" s="1" t="str">
        <f>IFERROR(__xludf.DUMMYFUNCTION("""COMPUTED_VALUE"""),"Print Design Support")</f>
        <v>Print Design Support</v>
      </c>
      <c r="L12389" s="1" t="str">
        <f>IFERROR(__xludf.DUMMYFUNCTION("""COMPUTED_VALUE"""),"Print Print Design")</f>
        <v>Print Print Design</v>
      </c>
    </row>
    <row r="12390">
      <c r="A12390" s="1" t="str">
        <f>IFERROR(__xludf.DUMMYFUNCTION("""COMPUTED_VALUE"""),"2026 Apr")</f>
        <v>2026 Apr</v>
      </c>
      <c r="B12390" s="4">
        <f>IFERROR(__xludf.DUMMYFUNCTION("""COMPUTED_VALUE"""),46139.0)</f>
        <v>46139</v>
      </c>
      <c r="C12390" s="1" t="str">
        <f>IFERROR(__xludf.DUMMYFUNCTION("""COMPUTED_VALUE"""),"Print Support")</f>
        <v>Print Support</v>
      </c>
      <c r="D12390" s="1" t="str">
        <f>IFERROR(__xludf.DUMMYFUNCTION("""COMPUTED_VALUE"""),"5fe68c01-0359-40ab-9a6d-78a5cd050024")</f>
        <v>5fe68c01-0359-40ab-9a6d-78a5cd050024</v>
      </c>
      <c r="E12390" s="1"/>
      <c r="F12390" s="1"/>
      <c r="G12390" s="1"/>
      <c r="H12390" s="2">
        <f>IFERROR(__xludf.DUMMYFUNCTION("""COMPUTED_VALUE"""),0.0)</f>
        <v>0</v>
      </c>
      <c r="I12390" s="5"/>
      <c r="J12390" s="1" t="str">
        <f>IFERROR(__xludf.DUMMYFUNCTION("""COMPUTED_VALUE"""),"Jan Domingo")</f>
        <v>Jan Domingo</v>
      </c>
      <c r="K12390" s="1" t="str">
        <f>IFERROR(__xludf.DUMMYFUNCTION("""COMPUTED_VALUE"""),"Print Design Support")</f>
        <v>Print Design Support</v>
      </c>
      <c r="L12390" s="1" t="str">
        <f>IFERROR(__xludf.DUMMYFUNCTION("""COMPUTED_VALUE"""),"Print Print Design")</f>
        <v>Print Print Design</v>
      </c>
    </row>
    <row r="12391">
      <c r="A12391" s="1" t="str">
        <f>IFERROR(__xludf.DUMMYFUNCTION("""COMPUTED_VALUE"""),"2026 Apr")</f>
        <v>2026 Apr</v>
      </c>
      <c r="B12391" s="4">
        <f>IFERROR(__xludf.DUMMYFUNCTION("""COMPUTED_VALUE"""),46139.0)</f>
        <v>46139</v>
      </c>
      <c r="C12391" s="1" t="str">
        <f>IFERROR(__xludf.DUMMYFUNCTION("""COMPUTED_VALUE"""),"Print Support")</f>
        <v>Print Support</v>
      </c>
      <c r="D12391" s="1" t="str">
        <f>IFERROR(__xludf.DUMMYFUNCTION("""COMPUTED_VALUE"""),"50551296-1c12-4ee1-842f-b3c74e1d0706")</f>
        <v>50551296-1c12-4ee1-842f-b3c74e1d0706</v>
      </c>
      <c r="E12391" s="1">
        <f>IFERROR(__xludf.DUMMYFUNCTION("""COMPUTED_VALUE"""),3.61725486956E11)</f>
        <v>361725486956</v>
      </c>
      <c r="F12391" s="1"/>
      <c r="G12391" s="1"/>
      <c r="H12391" s="2">
        <f>IFERROR(__xludf.DUMMYFUNCTION("""COMPUTED_VALUE"""),0.0)</f>
        <v>0</v>
      </c>
      <c r="I12391" s="5"/>
      <c r="J12391" s="1" t="str">
        <f>IFERROR(__xludf.DUMMYFUNCTION("""COMPUTED_VALUE"""),"Memae Faustino")</f>
        <v>Memae Faustino</v>
      </c>
      <c r="K12391" s="1" t="str">
        <f>IFERROR(__xludf.DUMMYFUNCTION("""COMPUTED_VALUE"""),"Print Support PH")</f>
        <v>Print Support PH</v>
      </c>
      <c r="L12391" s="1" t="str">
        <f>IFERROR(__xludf.DUMMYFUNCTION("""COMPUTED_VALUE"""),"Print Print - SEE")</f>
        <v>Print Print - SEE</v>
      </c>
    </row>
    <row r="12392">
      <c r="A12392" s="1" t="str">
        <f>IFERROR(__xludf.DUMMYFUNCTION("""COMPUTED_VALUE"""),"2026 Apr")</f>
        <v>2026 Apr</v>
      </c>
      <c r="B12392" s="4">
        <f>IFERROR(__xludf.DUMMYFUNCTION("""COMPUTED_VALUE"""),46139.0)</f>
        <v>46139</v>
      </c>
      <c r="C12392" s="1" t="str">
        <f>IFERROR(__xludf.DUMMYFUNCTION("""COMPUTED_VALUE"""),"Core Product Support")</f>
        <v>Core Product Support</v>
      </c>
      <c r="D12392" s="1" t="str">
        <f>IFERROR(__xludf.DUMMYFUNCTION("""COMPUTED_VALUE"""),"4dbfa916-5ac6-473d-aa13-5812e02f0be2")</f>
        <v>4dbfa916-5ac6-473d-aa13-5812e02f0be2</v>
      </c>
      <c r="E12392" s="1">
        <f>IFERROR(__xludf.DUMMYFUNCTION("""COMPUTED_VALUE"""),9.586394042255E12)</f>
        <v>9586394042255</v>
      </c>
      <c r="F12392" s="1"/>
      <c r="G12392" s="1">
        <f>IFERROR(__xludf.DUMMYFUNCTION("""COMPUTED_VALUE"""),1.25)</f>
        <v>1.25</v>
      </c>
      <c r="H12392" s="2">
        <f>IFERROR(__xludf.DUMMYFUNCTION("""COMPUTED_VALUE"""),1.25)</f>
        <v>1.25</v>
      </c>
      <c r="I12392" s="5">
        <f>IFERROR(__xludf.DUMMYFUNCTION("""COMPUTED_VALUE"""),1.0)</f>
        <v>1</v>
      </c>
      <c r="J12392" s="1" t="str">
        <f>IFERROR(__xludf.DUMMYFUNCTION("""COMPUTED_VALUE"""),"Vinz Lazaro")</f>
        <v>Vinz Lazaro</v>
      </c>
      <c r="K12392" s="1" t="str">
        <f>IFERROR(__xludf.DUMMYFUNCTION("""COMPUTED_VALUE"""),"Advanced Product Support")</f>
        <v>Advanced Product Support</v>
      </c>
      <c r="L12392" s="1" t="str">
        <f>IFERROR(__xludf.DUMMYFUNCTION("""COMPUTED_VALUE"""),"CPS Advanced Product Support (APS)")</f>
        <v>CPS Advanced Product Support (APS)</v>
      </c>
    </row>
    <row r="12393">
      <c r="A12393" s="1" t="str">
        <f>IFERROR(__xludf.DUMMYFUNCTION("""COMPUTED_VALUE"""),"2026 Apr")</f>
        <v>2026 Apr</v>
      </c>
      <c r="B12393" s="4">
        <f>IFERROR(__xludf.DUMMYFUNCTION("""COMPUTED_VALUE"""),46139.0)</f>
        <v>46139</v>
      </c>
      <c r="C12393" s="1" t="str">
        <f>IFERROR(__xludf.DUMMYFUNCTION("""COMPUTED_VALUE"""),"Print Support")</f>
        <v>Print Support</v>
      </c>
      <c r="D12393" s="1" t="str">
        <f>IFERROR(__xludf.DUMMYFUNCTION("""COMPUTED_VALUE"""),"9c6c901c-ce92-460f-9d6d-5ee12b03a1ec")</f>
        <v>9c6c901c-ce92-460f-9d6d-5ee12b03a1ec</v>
      </c>
      <c r="E12393" s="1"/>
      <c r="F12393" s="1"/>
      <c r="G12393" s="1"/>
      <c r="H12393" s="2">
        <f>IFERROR(__xludf.DUMMYFUNCTION("""COMPUTED_VALUE"""),0.0)</f>
        <v>0</v>
      </c>
      <c r="I12393" s="5"/>
      <c r="J12393" s="1" t="str">
        <f>IFERROR(__xludf.DUMMYFUNCTION("""COMPUTED_VALUE"""),"Rei De Jesus")</f>
        <v>Rei De Jesus</v>
      </c>
      <c r="K12393" s="1" t="str">
        <f>IFERROR(__xludf.DUMMYFUNCTION("""COMPUTED_VALUE"""),"Print Design Support")</f>
        <v>Print Design Support</v>
      </c>
      <c r="L12393" s="1" t="str">
        <f>IFERROR(__xludf.DUMMYFUNCTION("""COMPUTED_VALUE"""),"Print Print Design")</f>
        <v>Print Print Design</v>
      </c>
    </row>
    <row r="12394">
      <c r="A12394" s="1" t="str">
        <f>IFERROR(__xludf.DUMMYFUNCTION("""COMPUTED_VALUE"""),"2026 Apr")</f>
        <v>2026 Apr</v>
      </c>
      <c r="B12394" s="4">
        <f>IFERROR(__xludf.DUMMYFUNCTION("""COMPUTED_VALUE"""),46139.0)</f>
        <v>46139</v>
      </c>
      <c r="C12394" s="1" t="str">
        <f>IFERROR(__xludf.DUMMYFUNCTION("""COMPUTED_VALUE"""),"Core Product Support")</f>
        <v>Core Product Support</v>
      </c>
      <c r="D12394" s="1" t="str">
        <f>IFERROR(__xludf.DUMMYFUNCTION("""COMPUTED_VALUE"""),"cc817a63-c749-4aa1-ad3c-e3d33f5e04ff")</f>
        <v>cc817a63-c749-4aa1-ad3c-e3d33f5e04ff</v>
      </c>
      <c r="E12394" s="1">
        <f>IFERROR(__xludf.DUMMYFUNCTION("""COMPUTED_VALUE"""),5.566828557583E12)</f>
        <v>5566828557583</v>
      </c>
      <c r="F12394" s="1"/>
      <c r="G12394" s="1">
        <f>IFERROR(__xludf.DUMMYFUNCTION("""COMPUTED_VALUE"""),1.25)</f>
        <v>1.25</v>
      </c>
      <c r="H12394" s="2">
        <f>IFERROR(__xludf.DUMMYFUNCTION("""COMPUTED_VALUE"""),1.25)</f>
        <v>1.25</v>
      </c>
      <c r="I12394" s="5">
        <f>IFERROR(__xludf.DUMMYFUNCTION("""COMPUTED_VALUE"""),1.0)</f>
        <v>1</v>
      </c>
      <c r="J12394" s="1" t="str">
        <f>IFERROR(__xludf.DUMMYFUNCTION("""COMPUTED_VALUE"""),"Renette Bok")</f>
        <v>Renette Bok</v>
      </c>
      <c r="K12394" s="1" t="str">
        <f>IFERROR(__xludf.DUMMYFUNCTION("""COMPUTED_VALUE"""),"Advanced Billing &amp; Subscriptions")</f>
        <v>Advanced Billing &amp; Subscriptions</v>
      </c>
      <c r="L12394" s="1" t="str">
        <f>IFERROR(__xludf.DUMMYFUNCTION("""COMPUTED_VALUE"""),"CPS Advanced Billing and Subscriptions (ABS)")</f>
        <v>CPS Advanced Billing and Subscriptions (ABS)</v>
      </c>
    </row>
    <row r="12395">
      <c r="A12395" s="1" t="str">
        <f>IFERROR(__xludf.DUMMYFUNCTION("""COMPUTED_VALUE"""),"2026 Apr")</f>
        <v>2026 Apr</v>
      </c>
      <c r="B12395" s="4">
        <f>IFERROR(__xludf.DUMMYFUNCTION("""COMPUTED_VALUE"""),46139.0)</f>
        <v>46139</v>
      </c>
      <c r="C12395" s="1" t="str">
        <f>IFERROR(__xludf.DUMMYFUNCTION("""COMPUTED_VALUE"""),"Multilingual Support")</f>
        <v>Multilingual Support</v>
      </c>
      <c r="D12395" s="1" t="str">
        <f>IFERROR(__xludf.DUMMYFUNCTION("""COMPUTED_VALUE"""),"6f52f807-9641-4f21-b34f-312ae3e9b3c9")</f>
        <v>6f52f807-9641-4f21-b34f-312ae3e9b3c9</v>
      </c>
      <c r="E12395" s="1">
        <f>IFERROR(__xludf.DUMMYFUNCTION("""COMPUTED_VALUE"""),3.61724828456E11)</f>
        <v>361724828456</v>
      </c>
      <c r="F12395" s="1"/>
      <c r="G12395" s="1"/>
      <c r="H12395" s="2">
        <f>IFERROR(__xludf.DUMMYFUNCTION("""COMPUTED_VALUE"""),0.0)</f>
        <v>0</v>
      </c>
      <c r="I12395" s="5"/>
      <c r="J12395" s="1" t="str">
        <f>IFERROR(__xludf.DUMMYFUNCTION("""COMPUTED_VALUE"""),"Arlene Maurillo")</f>
        <v>Arlene Maurillo</v>
      </c>
      <c r="K12395" s="1" t="str">
        <f>IFERROR(__xludf.DUMMYFUNCTION("""COMPUTED_VALUE"""),"PHL, Multilingual Support")</f>
        <v>PHL, Multilingual Support</v>
      </c>
      <c r="L12395" s="1" t="str">
        <f>IFERROR(__xludf.DUMMYFUNCTION("""COMPUTED_VALUE"""),"ML Russian Support")</f>
        <v>ML Russian Support</v>
      </c>
    </row>
    <row r="12396">
      <c r="A12396" s="1" t="str">
        <f>IFERROR(__xludf.DUMMYFUNCTION("""COMPUTED_VALUE"""),"2026 Apr")</f>
        <v>2026 Apr</v>
      </c>
      <c r="B12396" s="4">
        <f>IFERROR(__xludf.DUMMYFUNCTION("""COMPUTED_VALUE"""),46139.0)</f>
        <v>46139</v>
      </c>
      <c r="C12396" s="1" t="str">
        <f>IFERROR(__xludf.DUMMYFUNCTION("""COMPUTED_VALUE"""),"Core Product Support")</f>
        <v>Core Product Support</v>
      </c>
      <c r="D12396" s="1" t="str">
        <f>IFERROR(__xludf.DUMMYFUNCTION("""COMPUTED_VALUE"""),"e9348ef0-6be7-4d18-8f01-bbb3181a2030")</f>
        <v>e9348ef0-6be7-4d18-8f01-bbb3181a2030</v>
      </c>
      <c r="E12396" s="1">
        <f>IFERROR(__xludf.DUMMYFUNCTION("""COMPUTED_VALUE"""),8.904451015951E12)</f>
        <v>8904451015951</v>
      </c>
      <c r="F12396" s="1"/>
      <c r="G12396" s="1">
        <f>IFERROR(__xludf.DUMMYFUNCTION("""COMPUTED_VALUE"""),1.25)</f>
        <v>1.25</v>
      </c>
      <c r="H12396" s="2">
        <f>IFERROR(__xludf.DUMMYFUNCTION("""COMPUTED_VALUE"""),1.25)</f>
        <v>1.25</v>
      </c>
      <c r="I12396" s="5">
        <f>IFERROR(__xludf.DUMMYFUNCTION("""COMPUTED_VALUE"""),1.0)</f>
        <v>1</v>
      </c>
      <c r="J12396" s="1" t="str">
        <f>IFERROR(__xludf.DUMMYFUNCTION("""COMPUTED_VALUE"""),"Ana Lazaro")</f>
        <v>Ana Lazaro</v>
      </c>
      <c r="K12396" s="1" t="str">
        <f>IFERROR(__xludf.DUMMYFUNCTION("""COMPUTED_VALUE"""),"Advanced Billing &amp; Subscriptions")</f>
        <v>Advanced Billing &amp; Subscriptions</v>
      </c>
      <c r="L12396" s="1" t="str">
        <f>IFERROR(__xludf.DUMMYFUNCTION("""COMPUTED_VALUE"""),"CPS Advanced Billing and Subscriptions (ABS)")</f>
        <v>CPS Advanced Billing and Subscriptions (ABS)</v>
      </c>
    </row>
    <row r="12397">
      <c r="A12397" s="1" t="str">
        <f>IFERROR(__xludf.DUMMYFUNCTION("""COMPUTED_VALUE"""),"2026 Apr")</f>
        <v>2026 Apr</v>
      </c>
      <c r="B12397" s="4">
        <f>IFERROR(__xludf.DUMMYFUNCTION("""COMPUTED_VALUE"""),46139.0)</f>
        <v>46139</v>
      </c>
      <c r="C12397" s="1" t="str">
        <f>IFERROR(__xludf.DUMMYFUNCTION("""COMPUTED_VALUE"""),"Core Product Support")</f>
        <v>Core Product Support</v>
      </c>
      <c r="D12397" s="1" t="str">
        <f>IFERROR(__xludf.DUMMYFUNCTION("""COMPUTED_VALUE"""),"5917755d-94e1-4bcf-b3d5-736f4efd635f")</f>
        <v>5917755d-94e1-4bcf-b3d5-736f4efd635f</v>
      </c>
      <c r="E12397" s="1">
        <f>IFERROR(__xludf.DUMMYFUNCTION("""COMPUTED_VALUE"""),3.61725488916E11)</f>
        <v>361725488916</v>
      </c>
      <c r="F12397" s="1"/>
      <c r="G12397" s="1">
        <f>IFERROR(__xludf.DUMMYFUNCTION("""COMPUTED_VALUE"""),2.5)</f>
        <v>2.5</v>
      </c>
      <c r="H12397" s="2">
        <f>IFERROR(__xludf.DUMMYFUNCTION("""COMPUTED_VALUE"""),2.5)</f>
        <v>2.5</v>
      </c>
      <c r="I12397" s="5">
        <f>IFERROR(__xludf.DUMMYFUNCTION("""COMPUTED_VALUE"""),1.0)</f>
        <v>1</v>
      </c>
      <c r="J12397" s="1" t="str">
        <f>IFERROR(__xludf.DUMMYFUNCTION("""COMPUTED_VALUE"""),"Jelyn Elmido")</f>
        <v>Jelyn Elmido</v>
      </c>
      <c r="K12397" s="1" t="str">
        <f>IFERROR(__xludf.DUMMYFUNCTION("""COMPUTED_VALUE"""),"Core Product Support Escalation Team")</f>
        <v>Core Product Support Escalation Team</v>
      </c>
      <c r="L12397" s="1" t="str">
        <f>IFERROR(__xludf.DUMMYFUNCTION("""COMPUTED_VALUE"""),"CPS Core Product Support Escalations (CPSET) - bugs and incidents,CPS Core Product Support Escalations (CPSET) - non bugs and incidents")</f>
        <v>CPS Core Product Support Escalations (CPSET) - bugs and incidents,CPS Core Product Support Escalations (CPSET) - non bugs and incidents</v>
      </c>
    </row>
    <row r="12398">
      <c r="A12398" s="1" t="str">
        <f>IFERROR(__xludf.DUMMYFUNCTION("""COMPUTED_VALUE"""),"2026 Apr")</f>
        <v>2026 Apr</v>
      </c>
      <c r="B12398" s="4">
        <f>IFERROR(__xludf.DUMMYFUNCTION("""COMPUTED_VALUE"""),46139.0)</f>
        <v>46139</v>
      </c>
      <c r="C12398" s="1" t="str">
        <f>IFERROR(__xludf.DUMMYFUNCTION("""COMPUTED_VALUE"""),"Admin Support")</f>
        <v>Admin Support</v>
      </c>
      <c r="D12398" s="1" t="str">
        <f>IFERROR(__xludf.DUMMYFUNCTION("""COMPUTED_VALUE"""),"869426c4-df7f-4a39-b2f3-8e70e583ed69")</f>
        <v>869426c4-df7f-4a39-b2f3-8e70e583ed69</v>
      </c>
      <c r="E12398" s="1">
        <f>IFERROR(__xludf.DUMMYFUNCTION("""COMPUTED_VALUE"""),3.61725115636E11)</f>
        <v>361725115636</v>
      </c>
      <c r="F12398" s="1"/>
      <c r="G12398" s="1">
        <f>IFERROR(__xludf.DUMMYFUNCTION("""COMPUTED_VALUE"""),0.25)</f>
        <v>0.25</v>
      </c>
      <c r="H12398" s="2">
        <f>IFERROR(__xludf.DUMMYFUNCTION("""COMPUTED_VALUE"""),0.25)</f>
        <v>0.25</v>
      </c>
      <c r="I12398" s="5">
        <f>IFERROR(__xludf.DUMMYFUNCTION("""COMPUTED_VALUE"""),1.0)</f>
        <v>1</v>
      </c>
      <c r="J12398" s="1" t="str">
        <f>IFERROR(__xludf.DUMMYFUNCTION("""COMPUTED_VALUE"""),"Pau Palmero")</f>
        <v>Pau Palmero</v>
      </c>
      <c r="K12398" s="1" t="str">
        <f>IFERROR(__xludf.DUMMYFUNCTION("""COMPUTED_VALUE"""),"Admin Omni Support")</f>
        <v>Admin Omni Support</v>
      </c>
      <c r="L12398" s="1" t="str">
        <f>IFERROR(__xludf.DUMMYFUNCTION("""COMPUTED_VALUE"""),"Admin Omni Support")</f>
        <v>Admin Omni Support</v>
      </c>
    </row>
    <row r="12399">
      <c r="A12399" s="1" t="str">
        <f>IFERROR(__xludf.DUMMYFUNCTION("""COMPUTED_VALUE"""),"2026 Apr")</f>
        <v>2026 Apr</v>
      </c>
      <c r="B12399" s="4">
        <f>IFERROR(__xludf.DUMMYFUNCTION("""COMPUTED_VALUE"""),46139.0)</f>
        <v>46139</v>
      </c>
      <c r="C12399" s="1" t="str">
        <f>IFERROR(__xludf.DUMMYFUNCTION("""COMPUTED_VALUE"""),"Print Support")</f>
        <v>Print Support</v>
      </c>
      <c r="D12399" s="1" t="str">
        <f>IFERROR(__xludf.DUMMYFUNCTION("""COMPUTED_VALUE"""),"cb7f900d-e2ff-4ff8-b74f-c2db90bdfb62")</f>
        <v>cb7f900d-e2ff-4ff8-b74f-c2db90bdfb62</v>
      </c>
      <c r="E12399" s="1">
        <f>IFERROR(__xludf.DUMMYFUNCTION("""COMPUTED_VALUE"""),3.61750052875E11)</f>
        <v>361750052875</v>
      </c>
      <c r="F12399" s="1"/>
      <c r="G12399" s="1"/>
      <c r="H12399" s="2">
        <f>IFERROR(__xludf.DUMMYFUNCTION("""COMPUTED_VALUE"""),0.0)</f>
        <v>0</v>
      </c>
      <c r="I12399" s="5"/>
      <c r="J12399" s="1" t="str">
        <f>IFERROR(__xludf.DUMMYFUNCTION("""COMPUTED_VALUE"""),"Jen Momo")</f>
        <v>Jen Momo</v>
      </c>
      <c r="K12399" s="1" t="str">
        <f>IFERROR(__xludf.DUMMYFUNCTION("""COMPUTED_VALUE"""),"Print Support PH")</f>
        <v>Print Support PH</v>
      </c>
      <c r="L12399" s="1" t="str">
        <f>IFERROR(__xludf.DUMMYFUNCTION("""COMPUTED_VALUE"""),"Print Print - CHT")</f>
        <v>Print Print - CHT</v>
      </c>
    </row>
    <row r="12400">
      <c r="A12400" s="1" t="str">
        <f>IFERROR(__xludf.DUMMYFUNCTION("""COMPUTED_VALUE"""),"#VALUE!")</f>
        <v>#VALUE!</v>
      </c>
      <c r="B12400" s="4"/>
      <c r="C12400" s="1" t="str">
        <f>IFERROR(__xludf.DUMMYFUNCTION("""COMPUTED_VALUE"""),"#N/A")</f>
        <v>#N/A</v>
      </c>
      <c r="D12400" s="1"/>
      <c r="E12400" s="1"/>
      <c r="F12400" s="1"/>
      <c r="G12400" s="1"/>
      <c r="H12400" s="2">
        <f>IFERROR(__xludf.DUMMYFUNCTION("""COMPUTED_VALUE"""),0.0)</f>
        <v>0</v>
      </c>
      <c r="I12400" s="5"/>
      <c r="J12400" s="1" t="str">
        <f>IFERROR(__xludf.DUMMYFUNCTION("""COMPUTED_VALUE"""),"#N/A")</f>
        <v>#N/A</v>
      </c>
      <c r="K12400" s="1" t="str">
        <f>IFERROR(__xludf.DUMMYFUNCTION("""COMPUTED_VALUE"""),"#N/A")</f>
        <v>#N/A</v>
      </c>
      <c r="L12400" s="1" t="str">
        <f>IFERROR(__xludf.DUMMYFUNCTION("""COMPUTED_VALUE"""),"#N/A")</f>
        <v>#N/A</v>
      </c>
    </row>
    <row r="12401">
      <c r="A12401" s="1" t="str">
        <f>IFERROR(__xludf.DUMMYFUNCTION("""COMPUTED_VALUE"""),"#VALUE!")</f>
        <v>#VALUE!</v>
      </c>
      <c r="B12401" s="4"/>
      <c r="C12401" s="1" t="str">
        <f>IFERROR(__xludf.DUMMYFUNCTION("""COMPUTED_VALUE"""),"#N/A")</f>
        <v>#N/A</v>
      </c>
      <c r="D12401" s="1"/>
      <c r="E12401" s="1"/>
      <c r="F12401" s="1"/>
      <c r="G12401" s="1"/>
      <c r="H12401" s="2">
        <f>IFERROR(__xludf.DUMMYFUNCTION("""COMPUTED_VALUE"""),0.0)</f>
        <v>0</v>
      </c>
      <c r="I12401" s="5"/>
      <c r="J12401" s="1" t="str">
        <f>IFERROR(__xludf.DUMMYFUNCTION("""COMPUTED_VALUE"""),"#N/A")</f>
        <v>#N/A</v>
      </c>
      <c r="K12401" s="1" t="str">
        <f>IFERROR(__xludf.DUMMYFUNCTION("""COMPUTED_VALUE"""),"#N/A")</f>
        <v>#N/A</v>
      </c>
      <c r="L12401" s="1" t="str">
        <f>IFERROR(__xludf.DUMMYFUNCTION("""COMPUTED_VALUE"""),"#N/A")</f>
        <v>#N/A</v>
      </c>
    </row>
    <row r="12402">
      <c r="A12402" s="1" t="str">
        <f>IFERROR(__xludf.DUMMYFUNCTION("""COMPUTED_VALUE"""),"#VALUE!")</f>
        <v>#VALUE!</v>
      </c>
      <c r="B12402" s="4"/>
      <c r="C12402" s="1" t="str">
        <f>IFERROR(__xludf.DUMMYFUNCTION("""COMPUTED_VALUE"""),"#N/A")</f>
        <v>#N/A</v>
      </c>
      <c r="D12402" s="1"/>
      <c r="E12402" s="1"/>
      <c r="F12402" s="1"/>
      <c r="G12402" s="1"/>
      <c r="H12402" s="2">
        <f>IFERROR(__xludf.DUMMYFUNCTION("""COMPUTED_VALUE"""),0.0)</f>
        <v>0</v>
      </c>
      <c r="I12402" s="5"/>
      <c r="J12402" s="1" t="str">
        <f>IFERROR(__xludf.DUMMYFUNCTION("""COMPUTED_VALUE"""),"#N/A")</f>
        <v>#N/A</v>
      </c>
      <c r="K12402" s="1" t="str">
        <f>IFERROR(__xludf.DUMMYFUNCTION("""COMPUTED_VALUE"""),"#N/A")</f>
        <v>#N/A</v>
      </c>
      <c r="L12402" s="1" t="str">
        <f>IFERROR(__xludf.DUMMYFUNCTION("""COMPUTED_VALUE"""),"#N/A")</f>
        <v>#N/A</v>
      </c>
    </row>
    <row r="12403">
      <c r="A12403" s="1" t="str">
        <f>IFERROR(__xludf.DUMMYFUNCTION("""COMPUTED_VALUE"""),"#VALUE!")</f>
        <v>#VALUE!</v>
      </c>
      <c r="B12403" s="4"/>
      <c r="C12403" s="1" t="str">
        <f>IFERROR(__xludf.DUMMYFUNCTION("""COMPUTED_VALUE"""),"#N/A")</f>
        <v>#N/A</v>
      </c>
      <c r="D12403" s="1"/>
      <c r="E12403" s="1"/>
      <c r="F12403" s="1"/>
      <c r="G12403" s="1"/>
      <c r="H12403" s="2">
        <f>IFERROR(__xludf.DUMMYFUNCTION("""COMPUTED_VALUE"""),0.0)</f>
        <v>0</v>
      </c>
      <c r="I12403" s="5"/>
      <c r="J12403" s="1" t="str">
        <f>IFERROR(__xludf.DUMMYFUNCTION("""COMPUTED_VALUE"""),"#N/A")</f>
        <v>#N/A</v>
      </c>
      <c r="K12403" s="1" t="str">
        <f>IFERROR(__xludf.DUMMYFUNCTION("""COMPUTED_VALUE"""),"#N/A")</f>
        <v>#N/A</v>
      </c>
      <c r="L12403" s="1" t="str">
        <f>IFERROR(__xludf.DUMMYFUNCTION("""COMPUTED_VALUE"""),"#N/A")</f>
        <v>#N/A</v>
      </c>
    </row>
    <row r="12404">
      <c r="A12404" s="1" t="str">
        <f>IFERROR(__xludf.DUMMYFUNCTION("""COMPUTED_VALUE"""),"#VALUE!")</f>
        <v>#VALUE!</v>
      </c>
      <c r="B12404" s="4"/>
      <c r="C12404" s="1" t="str">
        <f>IFERROR(__xludf.DUMMYFUNCTION("""COMPUTED_VALUE"""),"#N/A")</f>
        <v>#N/A</v>
      </c>
      <c r="D12404" s="1"/>
      <c r="E12404" s="1"/>
      <c r="F12404" s="1"/>
      <c r="G12404" s="1"/>
      <c r="H12404" s="2">
        <f>IFERROR(__xludf.DUMMYFUNCTION("""COMPUTED_VALUE"""),0.0)</f>
        <v>0</v>
      </c>
      <c r="I12404" s="5"/>
      <c r="J12404" s="1" t="str">
        <f>IFERROR(__xludf.DUMMYFUNCTION("""COMPUTED_VALUE"""),"#N/A")</f>
        <v>#N/A</v>
      </c>
      <c r="K12404" s="1" t="str">
        <f>IFERROR(__xludf.DUMMYFUNCTION("""COMPUTED_VALUE"""),"#N/A")</f>
        <v>#N/A</v>
      </c>
      <c r="L12404" s="1" t="str">
        <f>IFERROR(__xludf.DUMMYFUNCTION("""COMPUTED_VALUE"""),"#N/A")</f>
        <v>#N/A</v>
      </c>
    </row>
    <row r="12405">
      <c r="A12405" s="1" t="str">
        <f>IFERROR(__xludf.DUMMYFUNCTION("""COMPUTED_VALUE"""),"#VALUE!")</f>
        <v>#VALUE!</v>
      </c>
      <c r="B12405" s="4"/>
      <c r="C12405" s="1" t="str">
        <f>IFERROR(__xludf.DUMMYFUNCTION("""COMPUTED_VALUE"""),"#N/A")</f>
        <v>#N/A</v>
      </c>
      <c r="D12405" s="1"/>
      <c r="E12405" s="1"/>
      <c r="F12405" s="1"/>
      <c r="G12405" s="1"/>
      <c r="H12405" s="2">
        <f>IFERROR(__xludf.DUMMYFUNCTION("""COMPUTED_VALUE"""),0.0)</f>
        <v>0</v>
      </c>
      <c r="I12405" s="5"/>
      <c r="J12405" s="1" t="str">
        <f>IFERROR(__xludf.DUMMYFUNCTION("""COMPUTED_VALUE"""),"#N/A")</f>
        <v>#N/A</v>
      </c>
      <c r="K12405" s="1" t="str">
        <f>IFERROR(__xludf.DUMMYFUNCTION("""COMPUTED_VALUE"""),"#N/A")</f>
        <v>#N/A</v>
      </c>
      <c r="L12405" s="1" t="str">
        <f>IFERROR(__xludf.DUMMYFUNCTION("""COMPUTED_VALUE"""),"#N/A")</f>
        <v>#N/A</v>
      </c>
    </row>
    <row r="12406">
      <c r="A12406" s="1" t="str">
        <f>IFERROR(__xludf.DUMMYFUNCTION("""COMPUTED_VALUE"""),"#VALUE!")</f>
        <v>#VALUE!</v>
      </c>
      <c r="B12406" s="4"/>
      <c r="C12406" s="1" t="str">
        <f>IFERROR(__xludf.DUMMYFUNCTION("""COMPUTED_VALUE"""),"#N/A")</f>
        <v>#N/A</v>
      </c>
      <c r="D12406" s="1"/>
      <c r="E12406" s="1"/>
      <c r="F12406" s="1"/>
      <c r="G12406" s="1"/>
      <c r="H12406" s="2">
        <f>IFERROR(__xludf.DUMMYFUNCTION("""COMPUTED_VALUE"""),0.0)</f>
        <v>0</v>
      </c>
      <c r="I12406" s="5"/>
      <c r="J12406" s="1" t="str">
        <f>IFERROR(__xludf.DUMMYFUNCTION("""COMPUTED_VALUE"""),"#N/A")</f>
        <v>#N/A</v>
      </c>
      <c r="K12406" s="1" t="str">
        <f>IFERROR(__xludf.DUMMYFUNCTION("""COMPUTED_VALUE"""),"#N/A")</f>
        <v>#N/A</v>
      </c>
      <c r="L12406" s="1" t="str">
        <f>IFERROR(__xludf.DUMMYFUNCTION("""COMPUTED_VALUE"""),"#N/A")</f>
        <v>#N/A</v>
      </c>
    </row>
    <row r="12407">
      <c r="A12407" s="1" t="str">
        <f>IFERROR(__xludf.DUMMYFUNCTION("""COMPUTED_VALUE"""),"#VALUE!")</f>
        <v>#VALUE!</v>
      </c>
      <c r="B12407" s="4"/>
      <c r="C12407" s="1" t="str">
        <f>IFERROR(__xludf.DUMMYFUNCTION("""COMPUTED_VALUE"""),"#N/A")</f>
        <v>#N/A</v>
      </c>
      <c r="D12407" s="1"/>
      <c r="E12407" s="1"/>
      <c r="F12407" s="1"/>
      <c r="G12407" s="1"/>
      <c r="H12407" s="2">
        <f>IFERROR(__xludf.DUMMYFUNCTION("""COMPUTED_VALUE"""),0.0)</f>
        <v>0</v>
      </c>
      <c r="I12407" s="5"/>
      <c r="J12407" s="1" t="str">
        <f>IFERROR(__xludf.DUMMYFUNCTION("""COMPUTED_VALUE"""),"#N/A")</f>
        <v>#N/A</v>
      </c>
      <c r="K12407" s="1" t="str">
        <f>IFERROR(__xludf.DUMMYFUNCTION("""COMPUTED_VALUE"""),"#N/A")</f>
        <v>#N/A</v>
      </c>
      <c r="L12407" s="1" t="str">
        <f>IFERROR(__xludf.DUMMYFUNCTION("""COMPUTED_VALUE"""),"#N/A")</f>
        <v>#N/A</v>
      </c>
    </row>
    <row r="12408">
      <c r="A12408" s="1" t="str">
        <f>IFERROR(__xludf.DUMMYFUNCTION("""COMPUTED_VALUE"""),"#VALUE!")</f>
        <v>#VALUE!</v>
      </c>
      <c r="B12408" s="4"/>
      <c r="C12408" s="1" t="str">
        <f>IFERROR(__xludf.DUMMYFUNCTION("""COMPUTED_VALUE"""),"#N/A")</f>
        <v>#N/A</v>
      </c>
      <c r="D12408" s="1"/>
      <c r="E12408" s="1"/>
      <c r="F12408" s="1"/>
      <c r="G12408" s="1"/>
      <c r="H12408" s="2">
        <f>IFERROR(__xludf.DUMMYFUNCTION("""COMPUTED_VALUE"""),0.0)</f>
        <v>0</v>
      </c>
      <c r="I12408" s="5"/>
      <c r="J12408" s="1" t="str">
        <f>IFERROR(__xludf.DUMMYFUNCTION("""COMPUTED_VALUE"""),"#N/A")</f>
        <v>#N/A</v>
      </c>
      <c r="K12408" s="1" t="str">
        <f>IFERROR(__xludf.DUMMYFUNCTION("""COMPUTED_VALUE"""),"#N/A")</f>
        <v>#N/A</v>
      </c>
      <c r="L12408" s="1" t="str">
        <f>IFERROR(__xludf.DUMMYFUNCTION("""COMPUTED_VALUE"""),"#N/A")</f>
        <v>#N/A</v>
      </c>
    </row>
    <row r="12409">
      <c r="A12409" s="1" t="str">
        <f>IFERROR(__xludf.DUMMYFUNCTION("""COMPUTED_VALUE"""),"#VALUE!")</f>
        <v>#VALUE!</v>
      </c>
      <c r="B12409" s="4"/>
      <c r="C12409" s="1" t="str">
        <f>IFERROR(__xludf.DUMMYFUNCTION("""COMPUTED_VALUE"""),"#N/A")</f>
        <v>#N/A</v>
      </c>
      <c r="D12409" s="1"/>
      <c r="E12409" s="1"/>
      <c r="F12409" s="1"/>
      <c r="G12409" s="1"/>
      <c r="H12409" s="2">
        <f>IFERROR(__xludf.DUMMYFUNCTION("""COMPUTED_VALUE"""),0.0)</f>
        <v>0</v>
      </c>
      <c r="I12409" s="5"/>
      <c r="J12409" s="1" t="str">
        <f>IFERROR(__xludf.DUMMYFUNCTION("""COMPUTED_VALUE"""),"#N/A")</f>
        <v>#N/A</v>
      </c>
      <c r="K12409" s="1" t="str">
        <f>IFERROR(__xludf.DUMMYFUNCTION("""COMPUTED_VALUE"""),"#N/A")</f>
        <v>#N/A</v>
      </c>
      <c r="L12409" s="1" t="str">
        <f>IFERROR(__xludf.DUMMYFUNCTION("""COMPUTED_VALUE"""),"#N/A")</f>
        <v>#N/A</v>
      </c>
    </row>
    <row r="12410">
      <c r="A12410" s="1" t="str">
        <f>IFERROR(__xludf.DUMMYFUNCTION("""COMPUTED_VALUE"""),"#VALUE!")</f>
        <v>#VALUE!</v>
      </c>
      <c r="B12410" s="4"/>
      <c r="C12410" s="1" t="str">
        <f>IFERROR(__xludf.DUMMYFUNCTION("""COMPUTED_VALUE"""),"#N/A")</f>
        <v>#N/A</v>
      </c>
      <c r="D12410" s="1"/>
      <c r="E12410" s="1"/>
      <c r="F12410" s="1"/>
      <c r="G12410" s="1"/>
      <c r="H12410" s="2">
        <f>IFERROR(__xludf.DUMMYFUNCTION("""COMPUTED_VALUE"""),0.0)</f>
        <v>0</v>
      </c>
      <c r="I12410" s="5"/>
      <c r="J12410" s="1" t="str">
        <f>IFERROR(__xludf.DUMMYFUNCTION("""COMPUTED_VALUE"""),"#N/A")</f>
        <v>#N/A</v>
      </c>
      <c r="K12410" s="1" t="str">
        <f>IFERROR(__xludf.DUMMYFUNCTION("""COMPUTED_VALUE"""),"#N/A")</f>
        <v>#N/A</v>
      </c>
      <c r="L12410" s="1" t="str">
        <f>IFERROR(__xludf.DUMMYFUNCTION("""COMPUTED_VALUE"""),"#N/A")</f>
        <v>#N/A</v>
      </c>
    </row>
    <row r="12411">
      <c r="A12411" s="1" t="str">
        <f>IFERROR(__xludf.DUMMYFUNCTION("""COMPUTED_VALUE"""),"#VALUE!")</f>
        <v>#VALUE!</v>
      </c>
      <c r="B12411" s="4"/>
      <c r="C12411" s="1" t="str">
        <f>IFERROR(__xludf.DUMMYFUNCTION("""COMPUTED_VALUE"""),"#N/A")</f>
        <v>#N/A</v>
      </c>
      <c r="D12411" s="1"/>
      <c r="E12411" s="1"/>
      <c r="F12411" s="1"/>
      <c r="G12411" s="1"/>
      <c r="H12411" s="2">
        <f>IFERROR(__xludf.DUMMYFUNCTION("""COMPUTED_VALUE"""),0.0)</f>
        <v>0</v>
      </c>
      <c r="I12411" s="5"/>
      <c r="J12411" s="1" t="str">
        <f>IFERROR(__xludf.DUMMYFUNCTION("""COMPUTED_VALUE"""),"#N/A")</f>
        <v>#N/A</v>
      </c>
      <c r="K12411" s="1" t="str">
        <f>IFERROR(__xludf.DUMMYFUNCTION("""COMPUTED_VALUE"""),"#N/A")</f>
        <v>#N/A</v>
      </c>
      <c r="L12411" s="1" t="str">
        <f>IFERROR(__xludf.DUMMYFUNCTION("""COMPUTED_VALUE"""),"#N/A")</f>
        <v>#N/A</v>
      </c>
    </row>
    <row r="12412">
      <c r="A12412" s="1" t="str">
        <f>IFERROR(__xludf.DUMMYFUNCTION("""COMPUTED_VALUE"""),"#VALUE!")</f>
        <v>#VALUE!</v>
      </c>
      <c r="B12412" s="4"/>
      <c r="C12412" s="1" t="str">
        <f>IFERROR(__xludf.DUMMYFUNCTION("""COMPUTED_VALUE"""),"#N/A")</f>
        <v>#N/A</v>
      </c>
      <c r="D12412" s="1"/>
      <c r="E12412" s="1"/>
      <c r="F12412" s="1"/>
      <c r="G12412" s="1"/>
      <c r="H12412" s="2">
        <f>IFERROR(__xludf.DUMMYFUNCTION("""COMPUTED_VALUE"""),0.0)</f>
        <v>0</v>
      </c>
      <c r="I12412" s="5"/>
      <c r="J12412" s="1" t="str">
        <f>IFERROR(__xludf.DUMMYFUNCTION("""COMPUTED_VALUE"""),"#N/A")</f>
        <v>#N/A</v>
      </c>
      <c r="K12412" s="1" t="str">
        <f>IFERROR(__xludf.DUMMYFUNCTION("""COMPUTED_VALUE"""),"#N/A")</f>
        <v>#N/A</v>
      </c>
      <c r="L12412" s="1" t="str">
        <f>IFERROR(__xludf.DUMMYFUNCTION("""COMPUTED_VALUE"""),"#N/A")</f>
        <v>#N/A</v>
      </c>
    </row>
    <row r="12413">
      <c r="A12413" s="1" t="str">
        <f>IFERROR(__xludf.DUMMYFUNCTION("""COMPUTED_VALUE"""),"#VALUE!")</f>
        <v>#VALUE!</v>
      </c>
      <c r="B12413" s="4"/>
      <c r="C12413" s="1" t="str">
        <f>IFERROR(__xludf.DUMMYFUNCTION("""COMPUTED_VALUE"""),"#N/A")</f>
        <v>#N/A</v>
      </c>
      <c r="D12413" s="1"/>
      <c r="E12413" s="1"/>
      <c r="F12413" s="1"/>
      <c r="G12413" s="1"/>
      <c r="H12413" s="2">
        <f>IFERROR(__xludf.DUMMYFUNCTION("""COMPUTED_VALUE"""),0.0)</f>
        <v>0</v>
      </c>
      <c r="I12413" s="5"/>
      <c r="J12413" s="1" t="str">
        <f>IFERROR(__xludf.DUMMYFUNCTION("""COMPUTED_VALUE"""),"#N/A")</f>
        <v>#N/A</v>
      </c>
      <c r="K12413" s="1" t="str">
        <f>IFERROR(__xludf.DUMMYFUNCTION("""COMPUTED_VALUE"""),"#N/A")</f>
        <v>#N/A</v>
      </c>
      <c r="L12413" s="1" t="str">
        <f>IFERROR(__xludf.DUMMYFUNCTION("""COMPUTED_VALUE"""),"#N/A")</f>
        <v>#N/A</v>
      </c>
    </row>
    <row r="12414">
      <c r="A12414" s="1" t="str">
        <f>IFERROR(__xludf.DUMMYFUNCTION("""COMPUTED_VALUE"""),"#VALUE!")</f>
        <v>#VALUE!</v>
      </c>
      <c r="B12414" s="4"/>
      <c r="C12414" s="1" t="str">
        <f>IFERROR(__xludf.DUMMYFUNCTION("""COMPUTED_VALUE"""),"#N/A")</f>
        <v>#N/A</v>
      </c>
      <c r="D12414" s="1"/>
      <c r="E12414" s="1"/>
      <c r="F12414" s="1"/>
      <c r="G12414" s="1"/>
      <c r="H12414" s="2">
        <f>IFERROR(__xludf.DUMMYFUNCTION("""COMPUTED_VALUE"""),0.0)</f>
        <v>0</v>
      </c>
      <c r="I12414" s="5"/>
      <c r="J12414" s="1" t="str">
        <f>IFERROR(__xludf.DUMMYFUNCTION("""COMPUTED_VALUE"""),"#N/A")</f>
        <v>#N/A</v>
      </c>
      <c r="K12414" s="1" t="str">
        <f>IFERROR(__xludf.DUMMYFUNCTION("""COMPUTED_VALUE"""),"#N/A")</f>
        <v>#N/A</v>
      </c>
      <c r="L12414" s="1" t="str">
        <f>IFERROR(__xludf.DUMMYFUNCTION("""COMPUTED_VALUE"""),"#N/A")</f>
        <v>#N/A</v>
      </c>
    </row>
    <row r="12415">
      <c r="A12415" s="1" t="str">
        <f>IFERROR(__xludf.DUMMYFUNCTION("""COMPUTED_VALUE"""),"#VALUE!")</f>
        <v>#VALUE!</v>
      </c>
      <c r="B12415" s="4"/>
      <c r="C12415" s="1" t="str">
        <f>IFERROR(__xludf.DUMMYFUNCTION("""COMPUTED_VALUE"""),"#N/A")</f>
        <v>#N/A</v>
      </c>
      <c r="D12415" s="1"/>
      <c r="E12415" s="1"/>
      <c r="F12415" s="1"/>
      <c r="G12415" s="1"/>
      <c r="H12415" s="2">
        <f>IFERROR(__xludf.DUMMYFUNCTION("""COMPUTED_VALUE"""),0.0)</f>
        <v>0</v>
      </c>
      <c r="I12415" s="5"/>
      <c r="J12415" s="1" t="str">
        <f>IFERROR(__xludf.DUMMYFUNCTION("""COMPUTED_VALUE"""),"#N/A")</f>
        <v>#N/A</v>
      </c>
      <c r="K12415" s="1" t="str">
        <f>IFERROR(__xludf.DUMMYFUNCTION("""COMPUTED_VALUE"""),"#N/A")</f>
        <v>#N/A</v>
      </c>
      <c r="L12415" s="1" t="str">
        <f>IFERROR(__xludf.DUMMYFUNCTION("""COMPUTED_VALUE"""),"#N/A")</f>
        <v>#N/A</v>
      </c>
    </row>
    <row r="12416">
      <c r="A12416" s="1" t="str">
        <f>IFERROR(__xludf.DUMMYFUNCTION("""COMPUTED_VALUE"""),"#VALUE!")</f>
        <v>#VALUE!</v>
      </c>
      <c r="B12416" s="4"/>
      <c r="C12416" s="1" t="str">
        <f>IFERROR(__xludf.DUMMYFUNCTION("""COMPUTED_VALUE"""),"#N/A")</f>
        <v>#N/A</v>
      </c>
      <c r="D12416" s="1"/>
      <c r="E12416" s="1"/>
      <c r="F12416" s="1"/>
      <c r="G12416" s="1"/>
      <c r="H12416" s="2">
        <f>IFERROR(__xludf.DUMMYFUNCTION("""COMPUTED_VALUE"""),0.0)</f>
        <v>0</v>
      </c>
      <c r="I12416" s="5"/>
      <c r="J12416" s="1" t="str">
        <f>IFERROR(__xludf.DUMMYFUNCTION("""COMPUTED_VALUE"""),"#N/A")</f>
        <v>#N/A</v>
      </c>
      <c r="K12416" s="1" t="str">
        <f>IFERROR(__xludf.DUMMYFUNCTION("""COMPUTED_VALUE"""),"#N/A")</f>
        <v>#N/A</v>
      </c>
      <c r="L12416" s="1" t="str">
        <f>IFERROR(__xludf.DUMMYFUNCTION("""COMPUTED_VALUE"""),"#N/A")</f>
        <v>#N/A</v>
      </c>
    </row>
    <row r="12417">
      <c r="A12417" s="1" t="str">
        <f>IFERROR(__xludf.DUMMYFUNCTION("""COMPUTED_VALUE"""),"#VALUE!")</f>
        <v>#VALUE!</v>
      </c>
      <c r="B12417" s="4"/>
      <c r="C12417" s="1" t="str">
        <f>IFERROR(__xludf.DUMMYFUNCTION("""COMPUTED_VALUE"""),"#N/A")</f>
        <v>#N/A</v>
      </c>
      <c r="D12417" s="1"/>
      <c r="E12417" s="1"/>
      <c r="F12417" s="1"/>
      <c r="G12417" s="1"/>
      <c r="H12417" s="2">
        <f>IFERROR(__xludf.DUMMYFUNCTION("""COMPUTED_VALUE"""),0.0)</f>
        <v>0</v>
      </c>
      <c r="I12417" s="5"/>
      <c r="J12417" s="1" t="str">
        <f>IFERROR(__xludf.DUMMYFUNCTION("""COMPUTED_VALUE"""),"#N/A")</f>
        <v>#N/A</v>
      </c>
      <c r="K12417" s="1" t="str">
        <f>IFERROR(__xludf.DUMMYFUNCTION("""COMPUTED_VALUE"""),"#N/A")</f>
        <v>#N/A</v>
      </c>
      <c r="L12417" s="1" t="str">
        <f>IFERROR(__xludf.DUMMYFUNCTION("""COMPUTED_VALUE"""),"#N/A")</f>
        <v>#N/A</v>
      </c>
    </row>
    <row r="12418">
      <c r="A12418" s="1" t="str">
        <f>IFERROR(__xludf.DUMMYFUNCTION("""COMPUTED_VALUE"""),"#VALUE!")</f>
        <v>#VALUE!</v>
      </c>
      <c r="B12418" s="4"/>
      <c r="C12418" s="1" t="str">
        <f>IFERROR(__xludf.DUMMYFUNCTION("""COMPUTED_VALUE"""),"#N/A")</f>
        <v>#N/A</v>
      </c>
      <c r="D12418" s="1"/>
      <c r="E12418" s="1"/>
      <c r="F12418" s="1"/>
      <c r="G12418" s="1"/>
      <c r="H12418" s="2">
        <f>IFERROR(__xludf.DUMMYFUNCTION("""COMPUTED_VALUE"""),0.0)</f>
        <v>0</v>
      </c>
      <c r="I12418" s="5"/>
      <c r="J12418" s="1" t="str">
        <f>IFERROR(__xludf.DUMMYFUNCTION("""COMPUTED_VALUE"""),"#N/A")</f>
        <v>#N/A</v>
      </c>
      <c r="K12418" s="1" t="str">
        <f>IFERROR(__xludf.DUMMYFUNCTION("""COMPUTED_VALUE"""),"#N/A")</f>
        <v>#N/A</v>
      </c>
      <c r="L12418" s="1" t="str">
        <f>IFERROR(__xludf.DUMMYFUNCTION("""COMPUTED_VALUE"""),"#N/A")</f>
        <v>#N/A</v>
      </c>
    </row>
    <row r="12419">
      <c r="A12419" s="1" t="str">
        <f>IFERROR(__xludf.DUMMYFUNCTION("""COMPUTED_VALUE"""),"#VALUE!")</f>
        <v>#VALUE!</v>
      </c>
      <c r="B12419" s="4"/>
      <c r="C12419" s="1" t="str">
        <f>IFERROR(__xludf.DUMMYFUNCTION("""COMPUTED_VALUE"""),"#N/A")</f>
        <v>#N/A</v>
      </c>
      <c r="D12419" s="1"/>
      <c r="E12419" s="1"/>
      <c r="F12419" s="1"/>
      <c r="G12419" s="1"/>
      <c r="H12419" s="2">
        <f>IFERROR(__xludf.DUMMYFUNCTION("""COMPUTED_VALUE"""),0.0)</f>
        <v>0</v>
      </c>
      <c r="I12419" s="5"/>
      <c r="J12419" s="1" t="str">
        <f>IFERROR(__xludf.DUMMYFUNCTION("""COMPUTED_VALUE"""),"#N/A")</f>
        <v>#N/A</v>
      </c>
      <c r="K12419" s="1" t="str">
        <f>IFERROR(__xludf.DUMMYFUNCTION("""COMPUTED_VALUE"""),"#N/A")</f>
        <v>#N/A</v>
      </c>
      <c r="L12419" s="1" t="str">
        <f>IFERROR(__xludf.DUMMYFUNCTION("""COMPUTED_VALUE"""),"#N/A")</f>
        <v>#N/A</v>
      </c>
    </row>
    <row r="12420">
      <c r="A12420" s="1" t="str">
        <f>IFERROR(__xludf.DUMMYFUNCTION("""COMPUTED_VALUE"""),"#VALUE!")</f>
        <v>#VALUE!</v>
      </c>
      <c r="B12420" s="4"/>
      <c r="C12420" s="1" t="str">
        <f>IFERROR(__xludf.DUMMYFUNCTION("""COMPUTED_VALUE"""),"#N/A")</f>
        <v>#N/A</v>
      </c>
      <c r="D12420" s="1"/>
      <c r="E12420" s="1"/>
      <c r="F12420" s="1"/>
      <c r="G12420" s="1"/>
      <c r="H12420" s="2">
        <f>IFERROR(__xludf.DUMMYFUNCTION("""COMPUTED_VALUE"""),0.0)</f>
        <v>0</v>
      </c>
      <c r="I12420" s="5"/>
      <c r="J12420" s="1" t="str">
        <f>IFERROR(__xludf.DUMMYFUNCTION("""COMPUTED_VALUE"""),"#N/A")</f>
        <v>#N/A</v>
      </c>
      <c r="K12420" s="1" t="str">
        <f>IFERROR(__xludf.DUMMYFUNCTION("""COMPUTED_VALUE"""),"#N/A")</f>
        <v>#N/A</v>
      </c>
      <c r="L12420" s="1" t="str">
        <f>IFERROR(__xludf.DUMMYFUNCTION("""COMPUTED_VALUE"""),"#N/A")</f>
        <v>#N/A</v>
      </c>
    </row>
    <row r="12421">
      <c r="A12421" s="1" t="str">
        <f>IFERROR(__xludf.DUMMYFUNCTION("""COMPUTED_VALUE"""),"#VALUE!")</f>
        <v>#VALUE!</v>
      </c>
      <c r="B12421" s="4"/>
      <c r="C12421" s="1" t="str">
        <f>IFERROR(__xludf.DUMMYFUNCTION("""COMPUTED_VALUE"""),"#N/A")</f>
        <v>#N/A</v>
      </c>
      <c r="D12421" s="1"/>
      <c r="E12421" s="1"/>
      <c r="F12421" s="1"/>
      <c r="G12421" s="1"/>
      <c r="H12421" s="2">
        <f>IFERROR(__xludf.DUMMYFUNCTION("""COMPUTED_VALUE"""),0.0)</f>
        <v>0</v>
      </c>
      <c r="I12421" s="5"/>
      <c r="J12421" s="1" t="str">
        <f>IFERROR(__xludf.DUMMYFUNCTION("""COMPUTED_VALUE"""),"#N/A")</f>
        <v>#N/A</v>
      </c>
      <c r="K12421" s="1" t="str">
        <f>IFERROR(__xludf.DUMMYFUNCTION("""COMPUTED_VALUE"""),"#N/A")</f>
        <v>#N/A</v>
      </c>
      <c r="L12421" s="1" t="str">
        <f>IFERROR(__xludf.DUMMYFUNCTION("""COMPUTED_VALUE"""),"#N/A")</f>
        <v>#N/A</v>
      </c>
    </row>
    <row r="12422">
      <c r="A12422" s="1" t="str">
        <f>IFERROR(__xludf.DUMMYFUNCTION("""COMPUTED_VALUE"""),"#VALUE!")</f>
        <v>#VALUE!</v>
      </c>
      <c r="B12422" s="4"/>
      <c r="C12422" s="1" t="str">
        <f>IFERROR(__xludf.DUMMYFUNCTION("""COMPUTED_VALUE"""),"#N/A")</f>
        <v>#N/A</v>
      </c>
      <c r="D12422" s="1"/>
      <c r="E12422" s="1"/>
      <c r="F12422" s="1"/>
      <c r="G12422" s="1"/>
      <c r="H12422" s="2">
        <f>IFERROR(__xludf.DUMMYFUNCTION("""COMPUTED_VALUE"""),0.0)</f>
        <v>0</v>
      </c>
      <c r="I12422" s="5"/>
      <c r="J12422" s="1" t="str">
        <f>IFERROR(__xludf.DUMMYFUNCTION("""COMPUTED_VALUE"""),"#N/A")</f>
        <v>#N/A</v>
      </c>
      <c r="K12422" s="1" t="str">
        <f>IFERROR(__xludf.DUMMYFUNCTION("""COMPUTED_VALUE"""),"#N/A")</f>
        <v>#N/A</v>
      </c>
      <c r="L12422" s="1" t="str">
        <f>IFERROR(__xludf.DUMMYFUNCTION("""COMPUTED_VALUE"""),"#N/A")</f>
        <v>#N/A</v>
      </c>
    </row>
    <row r="12423">
      <c r="A12423" s="1" t="str">
        <f>IFERROR(__xludf.DUMMYFUNCTION("""COMPUTED_VALUE"""),"#VALUE!")</f>
        <v>#VALUE!</v>
      </c>
      <c r="B12423" s="4"/>
      <c r="C12423" s="1" t="str">
        <f>IFERROR(__xludf.DUMMYFUNCTION("""COMPUTED_VALUE"""),"#N/A")</f>
        <v>#N/A</v>
      </c>
      <c r="D12423" s="1"/>
      <c r="E12423" s="1"/>
      <c r="F12423" s="1"/>
      <c r="G12423" s="1"/>
      <c r="H12423" s="2">
        <f>IFERROR(__xludf.DUMMYFUNCTION("""COMPUTED_VALUE"""),0.0)</f>
        <v>0</v>
      </c>
      <c r="I12423" s="5"/>
      <c r="J12423" s="1" t="str">
        <f>IFERROR(__xludf.DUMMYFUNCTION("""COMPUTED_VALUE"""),"#N/A")</f>
        <v>#N/A</v>
      </c>
      <c r="K12423" s="1" t="str">
        <f>IFERROR(__xludf.DUMMYFUNCTION("""COMPUTED_VALUE"""),"#N/A")</f>
        <v>#N/A</v>
      </c>
      <c r="L12423" s="1" t="str">
        <f>IFERROR(__xludf.DUMMYFUNCTION("""COMPUTED_VALUE"""),"#N/A")</f>
        <v>#N/A</v>
      </c>
    </row>
    <row r="12424">
      <c r="A12424" s="1" t="str">
        <f>IFERROR(__xludf.DUMMYFUNCTION("""COMPUTED_VALUE"""),"#VALUE!")</f>
        <v>#VALUE!</v>
      </c>
      <c r="B12424" s="4"/>
      <c r="C12424" s="1" t="str">
        <f>IFERROR(__xludf.DUMMYFUNCTION("""COMPUTED_VALUE"""),"#N/A")</f>
        <v>#N/A</v>
      </c>
      <c r="D12424" s="1"/>
      <c r="E12424" s="1"/>
      <c r="F12424" s="1"/>
      <c r="G12424" s="1"/>
      <c r="H12424" s="2">
        <f>IFERROR(__xludf.DUMMYFUNCTION("""COMPUTED_VALUE"""),0.0)</f>
        <v>0</v>
      </c>
      <c r="I12424" s="5"/>
      <c r="J12424" s="1" t="str">
        <f>IFERROR(__xludf.DUMMYFUNCTION("""COMPUTED_VALUE"""),"#N/A")</f>
        <v>#N/A</v>
      </c>
      <c r="K12424" s="1" t="str">
        <f>IFERROR(__xludf.DUMMYFUNCTION("""COMPUTED_VALUE"""),"#N/A")</f>
        <v>#N/A</v>
      </c>
      <c r="L12424" s="1" t="str">
        <f>IFERROR(__xludf.DUMMYFUNCTION("""COMPUTED_VALUE"""),"#N/A")</f>
        <v>#N/A</v>
      </c>
    </row>
    <row r="12425">
      <c r="A12425" s="1" t="str">
        <f>IFERROR(__xludf.DUMMYFUNCTION("""COMPUTED_VALUE"""),"#VALUE!")</f>
        <v>#VALUE!</v>
      </c>
      <c r="B12425" s="4"/>
      <c r="C12425" s="1" t="str">
        <f>IFERROR(__xludf.DUMMYFUNCTION("""COMPUTED_VALUE"""),"#N/A")</f>
        <v>#N/A</v>
      </c>
      <c r="D12425" s="1"/>
      <c r="E12425" s="1"/>
      <c r="F12425" s="1"/>
      <c r="G12425" s="1"/>
      <c r="H12425" s="2">
        <f>IFERROR(__xludf.DUMMYFUNCTION("""COMPUTED_VALUE"""),0.0)</f>
        <v>0</v>
      </c>
      <c r="I12425" s="5"/>
      <c r="J12425" s="1" t="str">
        <f>IFERROR(__xludf.DUMMYFUNCTION("""COMPUTED_VALUE"""),"#N/A")</f>
        <v>#N/A</v>
      </c>
      <c r="K12425" s="1" t="str">
        <f>IFERROR(__xludf.DUMMYFUNCTION("""COMPUTED_VALUE"""),"#N/A")</f>
        <v>#N/A</v>
      </c>
      <c r="L12425" s="1" t="str">
        <f>IFERROR(__xludf.DUMMYFUNCTION("""COMPUTED_VALUE"""),"#N/A")</f>
        <v>#N/A</v>
      </c>
    </row>
    <row r="12426">
      <c r="A12426" s="1" t="str">
        <f>IFERROR(__xludf.DUMMYFUNCTION("""COMPUTED_VALUE"""),"#VALUE!")</f>
        <v>#VALUE!</v>
      </c>
      <c r="B12426" s="4"/>
      <c r="C12426" s="1" t="str">
        <f>IFERROR(__xludf.DUMMYFUNCTION("""COMPUTED_VALUE"""),"#N/A")</f>
        <v>#N/A</v>
      </c>
      <c r="D12426" s="1"/>
      <c r="E12426" s="1"/>
      <c r="F12426" s="1"/>
      <c r="G12426" s="1"/>
      <c r="H12426" s="2">
        <f>IFERROR(__xludf.DUMMYFUNCTION("""COMPUTED_VALUE"""),0.0)</f>
        <v>0</v>
      </c>
      <c r="I12426" s="5"/>
      <c r="J12426" s="1" t="str">
        <f>IFERROR(__xludf.DUMMYFUNCTION("""COMPUTED_VALUE"""),"#N/A")</f>
        <v>#N/A</v>
      </c>
      <c r="K12426" s="1" t="str">
        <f>IFERROR(__xludf.DUMMYFUNCTION("""COMPUTED_VALUE"""),"#N/A")</f>
        <v>#N/A</v>
      </c>
      <c r="L12426" s="1" t="str">
        <f>IFERROR(__xludf.DUMMYFUNCTION("""COMPUTED_VALUE"""),"#N/A")</f>
        <v>#N/A</v>
      </c>
    </row>
    <row r="12427">
      <c r="A12427" s="1" t="str">
        <f>IFERROR(__xludf.DUMMYFUNCTION("""COMPUTED_VALUE"""),"#VALUE!")</f>
        <v>#VALUE!</v>
      </c>
      <c r="B12427" s="4"/>
      <c r="C12427" s="1" t="str">
        <f>IFERROR(__xludf.DUMMYFUNCTION("""COMPUTED_VALUE"""),"#N/A")</f>
        <v>#N/A</v>
      </c>
      <c r="D12427" s="1"/>
      <c r="E12427" s="1"/>
      <c r="F12427" s="1"/>
      <c r="G12427" s="1"/>
      <c r="H12427" s="2">
        <f>IFERROR(__xludf.DUMMYFUNCTION("""COMPUTED_VALUE"""),0.0)</f>
        <v>0</v>
      </c>
      <c r="I12427" s="5"/>
      <c r="J12427" s="1" t="str">
        <f>IFERROR(__xludf.DUMMYFUNCTION("""COMPUTED_VALUE"""),"#N/A")</f>
        <v>#N/A</v>
      </c>
      <c r="K12427" s="1" t="str">
        <f>IFERROR(__xludf.DUMMYFUNCTION("""COMPUTED_VALUE"""),"#N/A")</f>
        <v>#N/A</v>
      </c>
      <c r="L12427" s="1" t="str">
        <f>IFERROR(__xludf.DUMMYFUNCTION("""COMPUTED_VALUE"""),"#N/A")</f>
        <v>#N/A</v>
      </c>
    </row>
    <row r="12428">
      <c r="A12428" s="1" t="str">
        <f>IFERROR(__xludf.DUMMYFUNCTION("""COMPUTED_VALUE"""),"#VALUE!")</f>
        <v>#VALUE!</v>
      </c>
      <c r="B12428" s="4"/>
      <c r="C12428" s="1" t="str">
        <f>IFERROR(__xludf.DUMMYFUNCTION("""COMPUTED_VALUE"""),"#N/A")</f>
        <v>#N/A</v>
      </c>
      <c r="D12428" s="1"/>
      <c r="E12428" s="1"/>
      <c r="F12428" s="1"/>
      <c r="G12428" s="1"/>
      <c r="H12428" s="2">
        <f>IFERROR(__xludf.DUMMYFUNCTION("""COMPUTED_VALUE"""),0.0)</f>
        <v>0</v>
      </c>
      <c r="I12428" s="5"/>
      <c r="J12428" s="1" t="str">
        <f>IFERROR(__xludf.DUMMYFUNCTION("""COMPUTED_VALUE"""),"#N/A")</f>
        <v>#N/A</v>
      </c>
      <c r="K12428" s="1" t="str">
        <f>IFERROR(__xludf.DUMMYFUNCTION("""COMPUTED_VALUE"""),"#N/A")</f>
        <v>#N/A</v>
      </c>
      <c r="L12428" s="1" t="str">
        <f>IFERROR(__xludf.DUMMYFUNCTION("""COMPUTED_VALUE"""),"#N/A")</f>
        <v>#N/A</v>
      </c>
    </row>
    <row r="12429">
      <c r="A12429" s="1" t="str">
        <f>IFERROR(__xludf.DUMMYFUNCTION("""COMPUTED_VALUE"""),"#VALUE!")</f>
        <v>#VALUE!</v>
      </c>
      <c r="B12429" s="4"/>
      <c r="C12429" s="1" t="str">
        <f>IFERROR(__xludf.DUMMYFUNCTION("""COMPUTED_VALUE"""),"#N/A")</f>
        <v>#N/A</v>
      </c>
      <c r="D12429" s="1"/>
      <c r="E12429" s="1"/>
      <c r="F12429" s="1"/>
      <c r="G12429" s="1"/>
      <c r="H12429" s="2">
        <f>IFERROR(__xludf.DUMMYFUNCTION("""COMPUTED_VALUE"""),0.0)</f>
        <v>0</v>
      </c>
      <c r="I12429" s="5"/>
      <c r="J12429" s="1" t="str">
        <f>IFERROR(__xludf.DUMMYFUNCTION("""COMPUTED_VALUE"""),"#N/A")</f>
        <v>#N/A</v>
      </c>
      <c r="K12429" s="1" t="str">
        <f>IFERROR(__xludf.DUMMYFUNCTION("""COMPUTED_VALUE"""),"#N/A")</f>
        <v>#N/A</v>
      </c>
      <c r="L12429" s="1" t="str">
        <f>IFERROR(__xludf.DUMMYFUNCTION("""COMPUTED_VALUE"""),"#N/A")</f>
        <v>#N/A</v>
      </c>
    </row>
    <row r="12430">
      <c r="A12430" s="1" t="str">
        <f>IFERROR(__xludf.DUMMYFUNCTION("""COMPUTED_VALUE"""),"#VALUE!")</f>
        <v>#VALUE!</v>
      </c>
      <c r="B12430" s="4"/>
      <c r="C12430" s="1" t="str">
        <f>IFERROR(__xludf.DUMMYFUNCTION("""COMPUTED_VALUE"""),"#N/A")</f>
        <v>#N/A</v>
      </c>
      <c r="D12430" s="1"/>
      <c r="E12430" s="1"/>
      <c r="F12430" s="1"/>
      <c r="G12430" s="1"/>
      <c r="H12430" s="2">
        <f>IFERROR(__xludf.DUMMYFUNCTION("""COMPUTED_VALUE"""),0.0)</f>
        <v>0</v>
      </c>
      <c r="I12430" s="5"/>
      <c r="J12430" s="1" t="str">
        <f>IFERROR(__xludf.DUMMYFUNCTION("""COMPUTED_VALUE"""),"#N/A")</f>
        <v>#N/A</v>
      </c>
      <c r="K12430" s="1" t="str">
        <f>IFERROR(__xludf.DUMMYFUNCTION("""COMPUTED_VALUE"""),"#N/A")</f>
        <v>#N/A</v>
      </c>
      <c r="L12430" s="1" t="str">
        <f>IFERROR(__xludf.DUMMYFUNCTION("""COMPUTED_VALUE"""),"#N/A")</f>
        <v>#N/A</v>
      </c>
    </row>
    <row r="12431">
      <c r="A12431" s="1" t="str">
        <f>IFERROR(__xludf.DUMMYFUNCTION("""COMPUTED_VALUE"""),"#VALUE!")</f>
        <v>#VALUE!</v>
      </c>
      <c r="B12431" s="4"/>
      <c r="C12431" s="1" t="str">
        <f>IFERROR(__xludf.DUMMYFUNCTION("""COMPUTED_VALUE"""),"#N/A")</f>
        <v>#N/A</v>
      </c>
      <c r="D12431" s="1"/>
      <c r="E12431" s="1"/>
      <c r="F12431" s="1"/>
      <c r="G12431" s="1"/>
      <c r="H12431" s="2">
        <f>IFERROR(__xludf.DUMMYFUNCTION("""COMPUTED_VALUE"""),0.0)</f>
        <v>0</v>
      </c>
      <c r="I12431" s="5"/>
      <c r="J12431" s="1" t="str">
        <f>IFERROR(__xludf.DUMMYFUNCTION("""COMPUTED_VALUE"""),"#N/A")</f>
        <v>#N/A</v>
      </c>
      <c r="K12431" s="1" t="str">
        <f>IFERROR(__xludf.DUMMYFUNCTION("""COMPUTED_VALUE"""),"#N/A")</f>
        <v>#N/A</v>
      </c>
      <c r="L12431" s="1" t="str">
        <f>IFERROR(__xludf.DUMMYFUNCTION("""COMPUTED_VALUE"""),"#N/A")</f>
        <v>#N/A</v>
      </c>
    </row>
    <row r="12432">
      <c r="A12432" s="1" t="str">
        <f>IFERROR(__xludf.DUMMYFUNCTION("""COMPUTED_VALUE"""),"#VALUE!")</f>
        <v>#VALUE!</v>
      </c>
      <c r="B12432" s="4"/>
      <c r="C12432" s="1" t="str">
        <f>IFERROR(__xludf.DUMMYFUNCTION("""COMPUTED_VALUE"""),"#N/A")</f>
        <v>#N/A</v>
      </c>
      <c r="D12432" s="1"/>
      <c r="E12432" s="1"/>
      <c r="F12432" s="1"/>
      <c r="G12432" s="1"/>
      <c r="H12432" s="2">
        <f>IFERROR(__xludf.DUMMYFUNCTION("""COMPUTED_VALUE"""),0.0)</f>
        <v>0</v>
      </c>
      <c r="I12432" s="5"/>
      <c r="J12432" s="1" t="str">
        <f>IFERROR(__xludf.DUMMYFUNCTION("""COMPUTED_VALUE"""),"#N/A")</f>
        <v>#N/A</v>
      </c>
      <c r="K12432" s="1" t="str">
        <f>IFERROR(__xludf.DUMMYFUNCTION("""COMPUTED_VALUE"""),"#N/A")</f>
        <v>#N/A</v>
      </c>
      <c r="L12432" s="1" t="str">
        <f>IFERROR(__xludf.DUMMYFUNCTION("""COMPUTED_VALUE"""),"#N/A")</f>
        <v>#N/A</v>
      </c>
    </row>
    <row r="12433">
      <c r="A12433" s="1" t="str">
        <f>IFERROR(__xludf.DUMMYFUNCTION("""COMPUTED_VALUE"""),"#VALUE!")</f>
        <v>#VALUE!</v>
      </c>
      <c r="B12433" s="4"/>
      <c r="C12433" s="1" t="str">
        <f>IFERROR(__xludf.DUMMYFUNCTION("""COMPUTED_VALUE"""),"#N/A")</f>
        <v>#N/A</v>
      </c>
      <c r="D12433" s="1"/>
      <c r="E12433" s="1"/>
      <c r="F12433" s="1"/>
      <c r="G12433" s="1"/>
      <c r="H12433" s="2">
        <f>IFERROR(__xludf.DUMMYFUNCTION("""COMPUTED_VALUE"""),0.0)</f>
        <v>0</v>
      </c>
      <c r="I12433" s="5"/>
      <c r="J12433" s="1" t="str">
        <f>IFERROR(__xludf.DUMMYFUNCTION("""COMPUTED_VALUE"""),"#N/A")</f>
        <v>#N/A</v>
      </c>
      <c r="K12433" s="1" t="str">
        <f>IFERROR(__xludf.DUMMYFUNCTION("""COMPUTED_VALUE"""),"#N/A")</f>
        <v>#N/A</v>
      </c>
      <c r="L12433" s="1" t="str">
        <f>IFERROR(__xludf.DUMMYFUNCTION("""COMPUTED_VALUE"""),"#N/A")</f>
        <v>#N/A</v>
      </c>
    </row>
    <row r="12434">
      <c r="A12434" s="1" t="str">
        <f>IFERROR(__xludf.DUMMYFUNCTION("""COMPUTED_VALUE"""),"#VALUE!")</f>
        <v>#VALUE!</v>
      </c>
      <c r="B12434" s="4"/>
      <c r="C12434" s="1" t="str">
        <f>IFERROR(__xludf.DUMMYFUNCTION("""COMPUTED_VALUE"""),"#N/A")</f>
        <v>#N/A</v>
      </c>
      <c r="D12434" s="1"/>
      <c r="E12434" s="1"/>
      <c r="F12434" s="1"/>
      <c r="G12434" s="1"/>
      <c r="H12434" s="2">
        <f>IFERROR(__xludf.DUMMYFUNCTION("""COMPUTED_VALUE"""),0.0)</f>
        <v>0</v>
      </c>
      <c r="I12434" s="5"/>
      <c r="J12434" s="1" t="str">
        <f>IFERROR(__xludf.DUMMYFUNCTION("""COMPUTED_VALUE"""),"#N/A")</f>
        <v>#N/A</v>
      </c>
      <c r="K12434" s="1" t="str">
        <f>IFERROR(__xludf.DUMMYFUNCTION("""COMPUTED_VALUE"""),"#N/A")</f>
        <v>#N/A</v>
      </c>
      <c r="L12434" s="1" t="str">
        <f>IFERROR(__xludf.DUMMYFUNCTION("""COMPUTED_VALUE"""),"#N/A")</f>
        <v>#N/A</v>
      </c>
    </row>
    <row r="12435">
      <c r="A12435" s="1" t="str">
        <f>IFERROR(__xludf.DUMMYFUNCTION("""COMPUTED_VALUE"""),"#VALUE!")</f>
        <v>#VALUE!</v>
      </c>
      <c r="B12435" s="4"/>
      <c r="C12435" s="1" t="str">
        <f>IFERROR(__xludf.DUMMYFUNCTION("""COMPUTED_VALUE"""),"#N/A")</f>
        <v>#N/A</v>
      </c>
      <c r="D12435" s="1"/>
      <c r="E12435" s="1"/>
      <c r="F12435" s="1"/>
      <c r="G12435" s="1"/>
      <c r="H12435" s="2">
        <f>IFERROR(__xludf.DUMMYFUNCTION("""COMPUTED_VALUE"""),0.0)</f>
        <v>0</v>
      </c>
      <c r="I12435" s="5"/>
      <c r="J12435" s="1" t="str">
        <f>IFERROR(__xludf.DUMMYFUNCTION("""COMPUTED_VALUE"""),"#N/A")</f>
        <v>#N/A</v>
      </c>
      <c r="K12435" s="1" t="str">
        <f>IFERROR(__xludf.DUMMYFUNCTION("""COMPUTED_VALUE"""),"#N/A")</f>
        <v>#N/A</v>
      </c>
      <c r="L12435" s="1" t="str">
        <f>IFERROR(__xludf.DUMMYFUNCTION("""COMPUTED_VALUE"""),"#N/A")</f>
        <v>#N/A</v>
      </c>
    </row>
    <row r="12436">
      <c r="A12436" s="1" t="str">
        <f>IFERROR(__xludf.DUMMYFUNCTION("""COMPUTED_VALUE"""),"#VALUE!")</f>
        <v>#VALUE!</v>
      </c>
      <c r="B12436" s="4"/>
      <c r="C12436" s="1" t="str">
        <f>IFERROR(__xludf.DUMMYFUNCTION("""COMPUTED_VALUE"""),"#N/A")</f>
        <v>#N/A</v>
      </c>
      <c r="D12436" s="1"/>
      <c r="E12436" s="1"/>
      <c r="F12436" s="1"/>
      <c r="G12436" s="1"/>
      <c r="H12436" s="2">
        <f>IFERROR(__xludf.DUMMYFUNCTION("""COMPUTED_VALUE"""),0.0)</f>
        <v>0</v>
      </c>
      <c r="I12436" s="5"/>
      <c r="J12436" s="1" t="str">
        <f>IFERROR(__xludf.DUMMYFUNCTION("""COMPUTED_VALUE"""),"#N/A")</f>
        <v>#N/A</v>
      </c>
      <c r="K12436" s="1" t="str">
        <f>IFERROR(__xludf.DUMMYFUNCTION("""COMPUTED_VALUE"""),"#N/A")</f>
        <v>#N/A</v>
      </c>
      <c r="L12436" s="1" t="str">
        <f>IFERROR(__xludf.DUMMYFUNCTION("""COMPUTED_VALUE"""),"#N/A")</f>
        <v>#N/A</v>
      </c>
    </row>
    <row r="12437">
      <c r="A12437" s="1" t="str">
        <f>IFERROR(__xludf.DUMMYFUNCTION("""COMPUTED_VALUE"""),"#VALUE!")</f>
        <v>#VALUE!</v>
      </c>
      <c r="B12437" s="4"/>
      <c r="C12437" s="1" t="str">
        <f>IFERROR(__xludf.DUMMYFUNCTION("""COMPUTED_VALUE"""),"#N/A")</f>
        <v>#N/A</v>
      </c>
      <c r="D12437" s="1"/>
      <c r="E12437" s="1"/>
      <c r="F12437" s="1"/>
      <c r="G12437" s="1"/>
      <c r="H12437" s="2">
        <f>IFERROR(__xludf.DUMMYFUNCTION("""COMPUTED_VALUE"""),0.0)</f>
        <v>0</v>
      </c>
      <c r="I12437" s="5"/>
      <c r="J12437" s="1" t="str">
        <f>IFERROR(__xludf.DUMMYFUNCTION("""COMPUTED_VALUE"""),"#N/A")</f>
        <v>#N/A</v>
      </c>
      <c r="K12437" s="1" t="str">
        <f>IFERROR(__xludf.DUMMYFUNCTION("""COMPUTED_VALUE"""),"#N/A")</f>
        <v>#N/A</v>
      </c>
      <c r="L12437" s="1" t="str">
        <f>IFERROR(__xludf.DUMMYFUNCTION("""COMPUTED_VALUE"""),"#N/A")</f>
        <v>#N/A</v>
      </c>
    </row>
    <row r="12438">
      <c r="A12438" s="1" t="str">
        <f>IFERROR(__xludf.DUMMYFUNCTION("""COMPUTED_VALUE"""),"#VALUE!")</f>
        <v>#VALUE!</v>
      </c>
      <c r="B12438" s="4"/>
      <c r="C12438" s="1" t="str">
        <f>IFERROR(__xludf.DUMMYFUNCTION("""COMPUTED_VALUE"""),"#N/A")</f>
        <v>#N/A</v>
      </c>
      <c r="D12438" s="1"/>
      <c r="E12438" s="1"/>
      <c r="F12438" s="1"/>
      <c r="G12438" s="1"/>
      <c r="H12438" s="2">
        <f>IFERROR(__xludf.DUMMYFUNCTION("""COMPUTED_VALUE"""),0.0)</f>
        <v>0</v>
      </c>
      <c r="I12438" s="5"/>
      <c r="J12438" s="1" t="str">
        <f>IFERROR(__xludf.DUMMYFUNCTION("""COMPUTED_VALUE"""),"#N/A")</f>
        <v>#N/A</v>
      </c>
      <c r="K12438" s="1" t="str">
        <f>IFERROR(__xludf.DUMMYFUNCTION("""COMPUTED_VALUE"""),"#N/A")</f>
        <v>#N/A</v>
      </c>
      <c r="L12438" s="1" t="str">
        <f>IFERROR(__xludf.DUMMYFUNCTION("""COMPUTED_VALUE"""),"#N/A")</f>
        <v>#N/A</v>
      </c>
    </row>
    <row r="12439">
      <c r="A12439" s="1" t="str">
        <f>IFERROR(__xludf.DUMMYFUNCTION("""COMPUTED_VALUE"""),"#VALUE!")</f>
        <v>#VALUE!</v>
      </c>
      <c r="B12439" s="4"/>
      <c r="C12439" s="1" t="str">
        <f>IFERROR(__xludf.DUMMYFUNCTION("""COMPUTED_VALUE"""),"#N/A")</f>
        <v>#N/A</v>
      </c>
      <c r="D12439" s="1"/>
      <c r="E12439" s="1"/>
      <c r="F12439" s="1"/>
      <c r="G12439" s="1"/>
      <c r="H12439" s="2">
        <f>IFERROR(__xludf.DUMMYFUNCTION("""COMPUTED_VALUE"""),0.0)</f>
        <v>0</v>
      </c>
      <c r="I12439" s="5"/>
      <c r="J12439" s="1" t="str">
        <f>IFERROR(__xludf.DUMMYFUNCTION("""COMPUTED_VALUE"""),"#N/A")</f>
        <v>#N/A</v>
      </c>
      <c r="K12439" s="1" t="str">
        <f>IFERROR(__xludf.DUMMYFUNCTION("""COMPUTED_VALUE"""),"#N/A")</f>
        <v>#N/A</v>
      </c>
      <c r="L12439" s="1" t="str">
        <f>IFERROR(__xludf.DUMMYFUNCTION("""COMPUTED_VALUE"""),"#N/A")</f>
        <v>#N/A</v>
      </c>
    </row>
    <row r="12440">
      <c r="A12440" s="1" t="str">
        <f>IFERROR(__xludf.DUMMYFUNCTION("""COMPUTED_VALUE"""),"#VALUE!")</f>
        <v>#VALUE!</v>
      </c>
      <c r="B12440" s="4"/>
      <c r="C12440" s="1" t="str">
        <f>IFERROR(__xludf.DUMMYFUNCTION("""COMPUTED_VALUE"""),"#N/A")</f>
        <v>#N/A</v>
      </c>
      <c r="D12440" s="1"/>
      <c r="E12440" s="1"/>
      <c r="F12440" s="1"/>
      <c r="G12440" s="1"/>
      <c r="H12440" s="2">
        <f>IFERROR(__xludf.DUMMYFUNCTION("""COMPUTED_VALUE"""),0.0)</f>
        <v>0</v>
      </c>
      <c r="I12440" s="5"/>
      <c r="J12440" s="1" t="str">
        <f>IFERROR(__xludf.DUMMYFUNCTION("""COMPUTED_VALUE"""),"#N/A")</f>
        <v>#N/A</v>
      </c>
      <c r="K12440" s="1" t="str">
        <f>IFERROR(__xludf.DUMMYFUNCTION("""COMPUTED_VALUE"""),"#N/A")</f>
        <v>#N/A</v>
      </c>
      <c r="L12440" s="1" t="str">
        <f>IFERROR(__xludf.DUMMYFUNCTION("""COMPUTED_VALUE"""),"#N/A")</f>
        <v>#N/A</v>
      </c>
    </row>
    <row r="12441">
      <c r="A12441" s="1" t="str">
        <f>IFERROR(__xludf.DUMMYFUNCTION("""COMPUTED_VALUE"""),"#VALUE!")</f>
        <v>#VALUE!</v>
      </c>
      <c r="B12441" s="4"/>
      <c r="C12441" s="1" t="str">
        <f>IFERROR(__xludf.DUMMYFUNCTION("""COMPUTED_VALUE"""),"#N/A")</f>
        <v>#N/A</v>
      </c>
      <c r="D12441" s="1"/>
      <c r="E12441" s="1"/>
      <c r="F12441" s="1"/>
      <c r="G12441" s="1"/>
      <c r="H12441" s="2">
        <f>IFERROR(__xludf.DUMMYFUNCTION("""COMPUTED_VALUE"""),0.0)</f>
        <v>0</v>
      </c>
      <c r="I12441" s="5"/>
      <c r="J12441" s="1" t="str">
        <f>IFERROR(__xludf.DUMMYFUNCTION("""COMPUTED_VALUE"""),"#N/A")</f>
        <v>#N/A</v>
      </c>
      <c r="K12441" s="1" t="str">
        <f>IFERROR(__xludf.DUMMYFUNCTION("""COMPUTED_VALUE"""),"#N/A")</f>
        <v>#N/A</v>
      </c>
      <c r="L12441" s="1" t="str">
        <f>IFERROR(__xludf.DUMMYFUNCTION("""COMPUTED_VALUE"""),"#N/A")</f>
        <v>#N/A</v>
      </c>
    </row>
    <row r="12442">
      <c r="A12442" s="1" t="str">
        <f>IFERROR(__xludf.DUMMYFUNCTION("""COMPUTED_VALUE"""),"#VALUE!")</f>
        <v>#VALUE!</v>
      </c>
      <c r="B12442" s="4"/>
      <c r="C12442" s="1" t="str">
        <f>IFERROR(__xludf.DUMMYFUNCTION("""COMPUTED_VALUE"""),"#N/A")</f>
        <v>#N/A</v>
      </c>
      <c r="D12442" s="1"/>
      <c r="E12442" s="1"/>
      <c r="F12442" s="1"/>
      <c r="G12442" s="1"/>
      <c r="H12442" s="2">
        <f>IFERROR(__xludf.DUMMYFUNCTION("""COMPUTED_VALUE"""),0.0)</f>
        <v>0</v>
      </c>
      <c r="I12442" s="5"/>
      <c r="J12442" s="1" t="str">
        <f>IFERROR(__xludf.DUMMYFUNCTION("""COMPUTED_VALUE"""),"#N/A")</f>
        <v>#N/A</v>
      </c>
      <c r="K12442" s="1" t="str">
        <f>IFERROR(__xludf.DUMMYFUNCTION("""COMPUTED_VALUE"""),"#N/A")</f>
        <v>#N/A</v>
      </c>
      <c r="L12442" s="1" t="str">
        <f>IFERROR(__xludf.DUMMYFUNCTION("""COMPUTED_VALUE"""),"#N/A")</f>
        <v>#N/A</v>
      </c>
    </row>
    <row r="12443">
      <c r="A12443" s="1" t="str">
        <f>IFERROR(__xludf.DUMMYFUNCTION("""COMPUTED_VALUE"""),"#VALUE!")</f>
        <v>#VALUE!</v>
      </c>
      <c r="B12443" s="4"/>
      <c r="C12443" s="1" t="str">
        <f>IFERROR(__xludf.DUMMYFUNCTION("""COMPUTED_VALUE"""),"#N/A")</f>
        <v>#N/A</v>
      </c>
      <c r="D12443" s="1"/>
      <c r="E12443" s="1"/>
      <c r="F12443" s="1"/>
      <c r="G12443" s="1"/>
      <c r="H12443" s="2">
        <f>IFERROR(__xludf.DUMMYFUNCTION("""COMPUTED_VALUE"""),0.0)</f>
        <v>0</v>
      </c>
      <c r="I12443" s="5"/>
      <c r="J12443" s="1" t="str">
        <f>IFERROR(__xludf.DUMMYFUNCTION("""COMPUTED_VALUE"""),"#N/A")</f>
        <v>#N/A</v>
      </c>
      <c r="K12443" s="1" t="str">
        <f>IFERROR(__xludf.DUMMYFUNCTION("""COMPUTED_VALUE"""),"#N/A")</f>
        <v>#N/A</v>
      </c>
      <c r="L12443" s="1" t="str">
        <f>IFERROR(__xludf.DUMMYFUNCTION("""COMPUTED_VALUE"""),"#N/A")</f>
        <v>#N/A</v>
      </c>
    </row>
    <row r="12444">
      <c r="A12444" s="1" t="str">
        <f>IFERROR(__xludf.DUMMYFUNCTION("""COMPUTED_VALUE"""),"#VALUE!")</f>
        <v>#VALUE!</v>
      </c>
      <c r="B12444" s="4"/>
      <c r="C12444" s="1" t="str">
        <f>IFERROR(__xludf.DUMMYFUNCTION("""COMPUTED_VALUE"""),"#N/A")</f>
        <v>#N/A</v>
      </c>
      <c r="D12444" s="1"/>
      <c r="E12444" s="1"/>
      <c r="F12444" s="1"/>
      <c r="G12444" s="1"/>
      <c r="H12444" s="2">
        <f>IFERROR(__xludf.DUMMYFUNCTION("""COMPUTED_VALUE"""),0.0)</f>
        <v>0</v>
      </c>
      <c r="I12444" s="5"/>
      <c r="J12444" s="1" t="str">
        <f>IFERROR(__xludf.DUMMYFUNCTION("""COMPUTED_VALUE"""),"#N/A")</f>
        <v>#N/A</v>
      </c>
      <c r="K12444" s="1" t="str">
        <f>IFERROR(__xludf.DUMMYFUNCTION("""COMPUTED_VALUE"""),"#N/A")</f>
        <v>#N/A</v>
      </c>
      <c r="L12444" s="1" t="str">
        <f>IFERROR(__xludf.DUMMYFUNCTION("""COMPUTED_VALUE"""),"#N/A")</f>
        <v>#N/A</v>
      </c>
    </row>
    <row r="12445">
      <c r="A12445" s="1" t="str">
        <f>IFERROR(__xludf.DUMMYFUNCTION("""COMPUTED_VALUE"""),"#VALUE!")</f>
        <v>#VALUE!</v>
      </c>
      <c r="B12445" s="4"/>
      <c r="C12445" s="1" t="str">
        <f>IFERROR(__xludf.DUMMYFUNCTION("""COMPUTED_VALUE"""),"#N/A")</f>
        <v>#N/A</v>
      </c>
      <c r="D12445" s="1"/>
      <c r="E12445" s="1"/>
      <c r="F12445" s="1"/>
      <c r="G12445" s="1"/>
      <c r="H12445" s="2">
        <f>IFERROR(__xludf.DUMMYFUNCTION("""COMPUTED_VALUE"""),0.0)</f>
        <v>0</v>
      </c>
      <c r="I12445" s="5"/>
      <c r="J12445" s="1" t="str">
        <f>IFERROR(__xludf.DUMMYFUNCTION("""COMPUTED_VALUE"""),"#N/A")</f>
        <v>#N/A</v>
      </c>
      <c r="K12445" s="1" t="str">
        <f>IFERROR(__xludf.DUMMYFUNCTION("""COMPUTED_VALUE"""),"#N/A")</f>
        <v>#N/A</v>
      </c>
      <c r="L12445" s="1" t="str">
        <f>IFERROR(__xludf.DUMMYFUNCTION("""COMPUTED_VALUE"""),"#N/A")</f>
        <v>#N/A</v>
      </c>
    </row>
    <row r="12446">
      <c r="A12446" s="1" t="str">
        <f>IFERROR(__xludf.DUMMYFUNCTION("""COMPUTED_VALUE"""),"#VALUE!")</f>
        <v>#VALUE!</v>
      </c>
      <c r="B12446" s="4"/>
      <c r="C12446" s="1" t="str">
        <f>IFERROR(__xludf.DUMMYFUNCTION("""COMPUTED_VALUE"""),"#N/A")</f>
        <v>#N/A</v>
      </c>
      <c r="D12446" s="1"/>
      <c r="E12446" s="1"/>
      <c r="F12446" s="1"/>
      <c r="G12446" s="1"/>
      <c r="H12446" s="2">
        <f>IFERROR(__xludf.DUMMYFUNCTION("""COMPUTED_VALUE"""),0.0)</f>
        <v>0</v>
      </c>
      <c r="I12446" s="5"/>
      <c r="J12446" s="1" t="str">
        <f>IFERROR(__xludf.DUMMYFUNCTION("""COMPUTED_VALUE"""),"#N/A")</f>
        <v>#N/A</v>
      </c>
      <c r="K12446" s="1" t="str">
        <f>IFERROR(__xludf.DUMMYFUNCTION("""COMPUTED_VALUE"""),"#N/A")</f>
        <v>#N/A</v>
      </c>
      <c r="L12446" s="1" t="str">
        <f>IFERROR(__xludf.DUMMYFUNCTION("""COMPUTED_VALUE"""),"#N/A")</f>
        <v>#N/A</v>
      </c>
    </row>
    <row r="12447">
      <c r="A12447" s="1" t="str">
        <f>IFERROR(__xludf.DUMMYFUNCTION("""COMPUTED_VALUE"""),"#VALUE!")</f>
        <v>#VALUE!</v>
      </c>
      <c r="B12447" s="4"/>
      <c r="C12447" s="1" t="str">
        <f>IFERROR(__xludf.DUMMYFUNCTION("""COMPUTED_VALUE"""),"#N/A")</f>
        <v>#N/A</v>
      </c>
      <c r="D12447" s="1"/>
      <c r="E12447" s="1"/>
      <c r="F12447" s="1"/>
      <c r="G12447" s="1"/>
      <c r="H12447" s="2">
        <f>IFERROR(__xludf.DUMMYFUNCTION("""COMPUTED_VALUE"""),0.0)</f>
        <v>0</v>
      </c>
      <c r="I12447" s="5"/>
      <c r="J12447" s="1" t="str">
        <f>IFERROR(__xludf.DUMMYFUNCTION("""COMPUTED_VALUE"""),"#N/A")</f>
        <v>#N/A</v>
      </c>
      <c r="K12447" s="1" t="str">
        <f>IFERROR(__xludf.DUMMYFUNCTION("""COMPUTED_VALUE"""),"#N/A")</f>
        <v>#N/A</v>
      </c>
      <c r="L12447" s="1" t="str">
        <f>IFERROR(__xludf.DUMMYFUNCTION("""COMPUTED_VALUE"""),"#N/A")</f>
        <v>#N/A</v>
      </c>
    </row>
    <row r="12448">
      <c r="A12448" s="1" t="str">
        <f>IFERROR(__xludf.DUMMYFUNCTION("""COMPUTED_VALUE"""),"#VALUE!")</f>
        <v>#VALUE!</v>
      </c>
      <c r="B12448" s="4"/>
      <c r="C12448" s="1" t="str">
        <f>IFERROR(__xludf.DUMMYFUNCTION("""COMPUTED_VALUE"""),"#N/A")</f>
        <v>#N/A</v>
      </c>
      <c r="D12448" s="1"/>
      <c r="E12448" s="1"/>
      <c r="F12448" s="1"/>
      <c r="G12448" s="1"/>
      <c r="H12448" s="2">
        <f>IFERROR(__xludf.DUMMYFUNCTION("""COMPUTED_VALUE"""),0.0)</f>
        <v>0</v>
      </c>
      <c r="I12448" s="5"/>
      <c r="J12448" s="1" t="str">
        <f>IFERROR(__xludf.DUMMYFUNCTION("""COMPUTED_VALUE"""),"#N/A")</f>
        <v>#N/A</v>
      </c>
      <c r="K12448" s="1" t="str">
        <f>IFERROR(__xludf.DUMMYFUNCTION("""COMPUTED_VALUE"""),"#N/A")</f>
        <v>#N/A</v>
      </c>
      <c r="L12448" s="1" t="str">
        <f>IFERROR(__xludf.DUMMYFUNCTION("""COMPUTED_VALUE"""),"#N/A")</f>
        <v>#N/A</v>
      </c>
    </row>
    <row r="12449">
      <c r="A12449" s="1" t="str">
        <f>IFERROR(__xludf.DUMMYFUNCTION("""COMPUTED_VALUE"""),"#VALUE!")</f>
        <v>#VALUE!</v>
      </c>
      <c r="B12449" s="4"/>
      <c r="C12449" s="1" t="str">
        <f>IFERROR(__xludf.DUMMYFUNCTION("""COMPUTED_VALUE"""),"#N/A")</f>
        <v>#N/A</v>
      </c>
      <c r="D12449" s="1"/>
      <c r="E12449" s="1"/>
      <c r="F12449" s="1"/>
      <c r="G12449" s="1"/>
      <c r="H12449" s="2">
        <f>IFERROR(__xludf.DUMMYFUNCTION("""COMPUTED_VALUE"""),0.0)</f>
        <v>0</v>
      </c>
      <c r="I12449" s="5"/>
      <c r="J12449" s="1" t="str">
        <f>IFERROR(__xludf.DUMMYFUNCTION("""COMPUTED_VALUE"""),"#N/A")</f>
        <v>#N/A</v>
      </c>
      <c r="K12449" s="1" t="str">
        <f>IFERROR(__xludf.DUMMYFUNCTION("""COMPUTED_VALUE"""),"#N/A")</f>
        <v>#N/A</v>
      </c>
      <c r="L12449" s="1" t="str">
        <f>IFERROR(__xludf.DUMMYFUNCTION("""COMPUTED_VALUE"""),"#N/A")</f>
        <v>#N/A</v>
      </c>
    </row>
    <row r="12450">
      <c r="A12450" s="1" t="str">
        <f>IFERROR(__xludf.DUMMYFUNCTION("""COMPUTED_VALUE"""),"#VALUE!")</f>
        <v>#VALUE!</v>
      </c>
      <c r="B12450" s="4"/>
      <c r="C12450" s="1" t="str">
        <f>IFERROR(__xludf.DUMMYFUNCTION("""COMPUTED_VALUE"""),"#N/A")</f>
        <v>#N/A</v>
      </c>
      <c r="D12450" s="1"/>
      <c r="E12450" s="1"/>
      <c r="F12450" s="1"/>
      <c r="G12450" s="1"/>
      <c r="H12450" s="2">
        <f>IFERROR(__xludf.DUMMYFUNCTION("""COMPUTED_VALUE"""),0.0)</f>
        <v>0</v>
      </c>
      <c r="I12450" s="5"/>
      <c r="J12450" s="1" t="str">
        <f>IFERROR(__xludf.DUMMYFUNCTION("""COMPUTED_VALUE"""),"#N/A")</f>
        <v>#N/A</v>
      </c>
      <c r="K12450" s="1" t="str">
        <f>IFERROR(__xludf.DUMMYFUNCTION("""COMPUTED_VALUE"""),"#N/A")</f>
        <v>#N/A</v>
      </c>
      <c r="L12450" s="1" t="str">
        <f>IFERROR(__xludf.DUMMYFUNCTION("""COMPUTED_VALUE"""),"#N/A")</f>
        <v>#N/A</v>
      </c>
    </row>
    <row r="12451">
      <c r="A12451" s="1" t="str">
        <f>IFERROR(__xludf.DUMMYFUNCTION("""COMPUTED_VALUE"""),"#VALUE!")</f>
        <v>#VALUE!</v>
      </c>
      <c r="B12451" s="4"/>
      <c r="C12451" s="1" t="str">
        <f>IFERROR(__xludf.DUMMYFUNCTION("""COMPUTED_VALUE"""),"#N/A")</f>
        <v>#N/A</v>
      </c>
      <c r="D12451" s="1"/>
      <c r="E12451" s="1"/>
      <c r="F12451" s="1"/>
      <c r="G12451" s="1"/>
      <c r="H12451" s="2">
        <f>IFERROR(__xludf.DUMMYFUNCTION("""COMPUTED_VALUE"""),0.0)</f>
        <v>0</v>
      </c>
      <c r="I12451" s="5"/>
      <c r="J12451" s="1" t="str">
        <f>IFERROR(__xludf.DUMMYFUNCTION("""COMPUTED_VALUE"""),"#N/A")</f>
        <v>#N/A</v>
      </c>
      <c r="K12451" s="1" t="str">
        <f>IFERROR(__xludf.DUMMYFUNCTION("""COMPUTED_VALUE"""),"#N/A")</f>
        <v>#N/A</v>
      </c>
      <c r="L12451" s="1" t="str">
        <f>IFERROR(__xludf.DUMMYFUNCTION("""COMPUTED_VALUE"""),"#N/A")</f>
        <v>#N/A</v>
      </c>
    </row>
    <row r="12452">
      <c r="A12452" s="1" t="str">
        <f>IFERROR(__xludf.DUMMYFUNCTION("""COMPUTED_VALUE"""),"#VALUE!")</f>
        <v>#VALUE!</v>
      </c>
      <c r="B12452" s="4"/>
      <c r="C12452" s="1" t="str">
        <f>IFERROR(__xludf.DUMMYFUNCTION("""COMPUTED_VALUE"""),"#N/A")</f>
        <v>#N/A</v>
      </c>
      <c r="D12452" s="1"/>
      <c r="E12452" s="1"/>
      <c r="F12452" s="1"/>
      <c r="G12452" s="1"/>
      <c r="H12452" s="2">
        <f>IFERROR(__xludf.DUMMYFUNCTION("""COMPUTED_VALUE"""),0.0)</f>
        <v>0</v>
      </c>
      <c r="I12452" s="5"/>
      <c r="J12452" s="1" t="str">
        <f>IFERROR(__xludf.DUMMYFUNCTION("""COMPUTED_VALUE"""),"#N/A")</f>
        <v>#N/A</v>
      </c>
      <c r="K12452" s="1" t="str">
        <f>IFERROR(__xludf.DUMMYFUNCTION("""COMPUTED_VALUE"""),"#N/A")</f>
        <v>#N/A</v>
      </c>
      <c r="L12452" s="1" t="str">
        <f>IFERROR(__xludf.DUMMYFUNCTION("""COMPUTED_VALUE"""),"#N/A")</f>
        <v>#N/A</v>
      </c>
    </row>
    <row r="12453">
      <c r="A12453" s="1" t="str">
        <f>IFERROR(__xludf.DUMMYFUNCTION("""COMPUTED_VALUE"""),"#VALUE!")</f>
        <v>#VALUE!</v>
      </c>
      <c r="B12453" s="4"/>
      <c r="C12453" s="1" t="str">
        <f>IFERROR(__xludf.DUMMYFUNCTION("""COMPUTED_VALUE"""),"#N/A")</f>
        <v>#N/A</v>
      </c>
      <c r="D12453" s="1"/>
      <c r="E12453" s="1"/>
      <c r="F12453" s="1"/>
      <c r="G12453" s="1"/>
      <c r="H12453" s="2">
        <f>IFERROR(__xludf.DUMMYFUNCTION("""COMPUTED_VALUE"""),0.0)</f>
        <v>0</v>
      </c>
      <c r="I12453" s="5"/>
      <c r="J12453" s="1" t="str">
        <f>IFERROR(__xludf.DUMMYFUNCTION("""COMPUTED_VALUE"""),"#N/A")</f>
        <v>#N/A</v>
      </c>
      <c r="K12453" s="1" t="str">
        <f>IFERROR(__xludf.DUMMYFUNCTION("""COMPUTED_VALUE"""),"#N/A")</f>
        <v>#N/A</v>
      </c>
      <c r="L12453" s="1" t="str">
        <f>IFERROR(__xludf.DUMMYFUNCTION("""COMPUTED_VALUE"""),"#N/A")</f>
        <v>#N/A</v>
      </c>
    </row>
    <row r="12454">
      <c r="A12454" s="1" t="str">
        <f>IFERROR(__xludf.DUMMYFUNCTION("""COMPUTED_VALUE"""),"#VALUE!")</f>
        <v>#VALUE!</v>
      </c>
      <c r="B12454" s="4"/>
      <c r="C12454" s="1" t="str">
        <f>IFERROR(__xludf.DUMMYFUNCTION("""COMPUTED_VALUE"""),"#N/A")</f>
        <v>#N/A</v>
      </c>
      <c r="D12454" s="1"/>
      <c r="E12454" s="1"/>
      <c r="F12454" s="1"/>
      <c r="G12454" s="1"/>
      <c r="H12454" s="2">
        <f>IFERROR(__xludf.DUMMYFUNCTION("""COMPUTED_VALUE"""),0.0)</f>
        <v>0</v>
      </c>
      <c r="I12454" s="5"/>
      <c r="J12454" s="1" t="str">
        <f>IFERROR(__xludf.DUMMYFUNCTION("""COMPUTED_VALUE"""),"#N/A")</f>
        <v>#N/A</v>
      </c>
      <c r="K12454" s="1" t="str">
        <f>IFERROR(__xludf.DUMMYFUNCTION("""COMPUTED_VALUE"""),"#N/A")</f>
        <v>#N/A</v>
      </c>
      <c r="L12454" s="1" t="str">
        <f>IFERROR(__xludf.DUMMYFUNCTION("""COMPUTED_VALUE"""),"#N/A")</f>
        <v>#N/A</v>
      </c>
    </row>
    <row r="12455">
      <c r="A12455" s="1" t="str">
        <f>IFERROR(__xludf.DUMMYFUNCTION("""COMPUTED_VALUE"""),"#VALUE!")</f>
        <v>#VALUE!</v>
      </c>
      <c r="B12455" s="4"/>
      <c r="C12455" s="1" t="str">
        <f>IFERROR(__xludf.DUMMYFUNCTION("""COMPUTED_VALUE"""),"#N/A")</f>
        <v>#N/A</v>
      </c>
      <c r="D12455" s="1"/>
      <c r="E12455" s="1"/>
      <c r="F12455" s="1"/>
      <c r="G12455" s="1"/>
      <c r="H12455" s="2">
        <f>IFERROR(__xludf.DUMMYFUNCTION("""COMPUTED_VALUE"""),0.0)</f>
        <v>0</v>
      </c>
      <c r="I12455" s="5"/>
      <c r="J12455" s="1" t="str">
        <f>IFERROR(__xludf.DUMMYFUNCTION("""COMPUTED_VALUE"""),"#N/A")</f>
        <v>#N/A</v>
      </c>
      <c r="K12455" s="1" t="str">
        <f>IFERROR(__xludf.DUMMYFUNCTION("""COMPUTED_VALUE"""),"#N/A")</f>
        <v>#N/A</v>
      </c>
      <c r="L12455" s="1" t="str">
        <f>IFERROR(__xludf.DUMMYFUNCTION("""COMPUTED_VALUE"""),"#N/A")</f>
        <v>#N/A</v>
      </c>
    </row>
    <row r="12456">
      <c r="A12456" s="1" t="str">
        <f>IFERROR(__xludf.DUMMYFUNCTION("""COMPUTED_VALUE"""),"#VALUE!")</f>
        <v>#VALUE!</v>
      </c>
      <c r="B12456" s="4"/>
      <c r="C12456" s="1" t="str">
        <f>IFERROR(__xludf.DUMMYFUNCTION("""COMPUTED_VALUE"""),"#N/A")</f>
        <v>#N/A</v>
      </c>
      <c r="D12456" s="1"/>
      <c r="E12456" s="1"/>
      <c r="F12456" s="1"/>
      <c r="G12456" s="1"/>
      <c r="H12456" s="2">
        <f>IFERROR(__xludf.DUMMYFUNCTION("""COMPUTED_VALUE"""),0.0)</f>
        <v>0</v>
      </c>
      <c r="I12456" s="5"/>
      <c r="J12456" s="1" t="str">
        <f>IFERROR(__xludf.DUMMYFUNCTION("""COMPUTED_VALUE"""),"#N/A")</f>
        <v>#N/A</v>
      </c>
      <c r="K12456" s="1" t="str">
        <f>IFERROR(__xludf.DUMMYFUNCTION("""COMPUTED_VALUE"""),"#N/A")</f>
        <v>#N/A</v>
      </c>
      <c r="L12456" s="1" t="str">
        <f>IFERROR(__xludf.DUMMYFUNCTION("""COMPUTED_VALUE"""),"#N/A")</f>
        <v>#N/A</v>
      </c>
    </row>
    <row r="12457">
      <c r="A12457" s="1" t="str">
        <f>IFERROR(__xludf.DUMMYFUNCTION("""COMPUTED_VALUE"""),"#VALUE!")</f>
        <v>#VALUE!</v>
      </c>
      <c r="B12457" s="4"/>
      <c r="C12457" s="1" t="str">
        <f>IFERROR(__xludf.DUMMYFUNCTION("""COMPUTED_VALUE"""),"#N/A")</f>
        <v>#N/A</v>
      </c>
      <c r="D12457" s="1"/>
      <c r="E12457" s="1"/>
      <c r="F12457" s="1"/>
      <c r="G12457" s="1"/>
      <c r="H12457" s="2">
        <f>IFERROR(__xludf.DUMMYFUNCTION("""COMPUTED_VALUE"""),0.0)</f>
        <v>0</v>
      </c>
      <c r="I12457" s="5"/>
      <c r="J12457" s="1" t="str">
        <f>IFERROR(__xludf.DUMMYFUNCTION("""COMPUTED_VALUE"""),"#N/A")</f>
        <v>#N/A</v>
      </c>
      <c r="K12457" s="1" t="str">
        <f>IFERROR(__xludf.DUMMYFUNCTION("""COMPUTED_VALUE"""),"#N/A")</f>
        <v>#N/A</v>
      </c>
      <c r="L12457" s="1" t="str">
        <f>IFERROR(__xludf.DUMMYFUNCTION("""COMPUTED_VALUE"""),"#N/A")</f>
        <v>#N/A</v>
      </c>
    </row>
    <row r="12458">
      <c r="A12458" s="1" t="str">
        <f>IFERROR(__xludf.DUMMYFUNCTION("""COMPUTED_VALUE"""),"#VALUE!")</f>
        <v>#VALUE!</v>
      </c>
      <c r="B12458" s="4"/>
      <c r="C12458" s="1" t="str">
        <f>IFERROR(__xludf.DUMMYFUNCTION("""COMPUTED_VALUE"""),"#N/A")</f>
        <v>#N/A</v>
      </c>
      <c r="D12458" s="1"/>
      <c r="E12458" s="1"/>
      <c r="F12458" s="1"/>
      <c r="G12458" s="1"/>
      <c r="H12458" s="2">
        <f>IFERROR(__xludf.DUMMYFUNCTION("""COMPUTED_VALUE"""),0.0)</f>
        <v>0</v>
      </c>
      <c r="I12458" s="5"/>
      <c r="J12458" s="1" t="str">
        <f>IFERROR(__xludf.DUMMYFUNCTION("""COMPUTED_VALUE"""),"#N/A")</f>
        <v>#N/A</v>
      </c>
      <c r="K12458" s="1" t="str">
        <f>IFERROR(__xludf.DUMMYFUNCTION("""COMPUTED_VALUE"""),"#N/A")</f>
        <v>#N/A</v>
      </c>
      <c r="L12458" s="1" t="str">
        <f>IFERROR(__xludf.DUMMYFUNCTION("""COMPUTED_VALUE"""),"#N/A")</f>
        <v>#N/A</v>
      </c>
    </row>
    <row r="12459">
      <c r="A12459" s="1" t="str">
        <f>IFERROR(__xludf.DUMMYFUNCTION("""COMPUTED_VALUE"""),"#VALUE!")</f>
        <v>#VALUE!</v>
      </c>
      <c r="B12459" s="4"/>
      <c r="C12459" s="1" t="str">
        <f>IFERROR(__xludf.DUMMYFUNCTION("""COMPUTED_VALUE"""),"#N/A")</f>
        <v>#N/A</v>
      </c>
      <c r="D12459" s="1"/>
      <c r="E12459" s="1"/>
      <c r="F12459" s="1"/>
      <c r="G12459" s="1"/>
      <c r="H12459" s="2">
        <f>IFERROR(__xludf.DUMMYFUNCTION("""COMPUTED_VALUE"""),0.0)</f>
        <v>0</v>
      </c>
      <c r="I12459" s="5"/>
      <c r="J12459" s="1" t="str">
        <f>IFERROR(__xludf.DUMMYFUNCTION("""COMPUTED_VALUE"""),"#N/A")</f>
        <v>#N/A</v>
      </c>
      <c r="K12459" s="1" t="str">
        <f>IFERROR(__xludf.DUMMYFUNCTION("""COMPUTED_VALUE"""),"#N/A")</f>
        <v>#N/A</v>
      </c>
      <c r="L12459" s="1" t="str">
        <f>IFERROR(__xludf.DUMMYFUNCTION("""COMPUTED_VALUE"""),"#N/A")</f>
        <v>#N/A</v>
      </c>
    </row>
    <row r="12460">
      <c r="A12460" s="1" t="str">
        <f>IFERROR(__xludf.DUMMYFUNCTION("""COMPUTED_VALUE"""),"#VALUE!")</f>
        <v>#VALUE!</v>
      </c>
      <c r="B12460" s="4"/>
      <c r="C12460" s="1" t="str">
        <f>IFERROR(__xludf.DUMMYFUNCTION("""COMPUTED_VALUE"""),"#N/A")</f>
        <v>#N/A</v>
      </c>
      <c r="D12460" s="1"/>
      <c r="E12460" s="1"/>
      <c r="F12460" s="1"/>
      <c r="G12460" s="1"/>
      <c r="H12460" s="2">
        <f>IFERROR(__xludf.DUMMYFUNCTION("""COMPUTED_VALUE"""),0.0)</f>
        <v>0</v>
      </c>
      <c r="I12460" s="5"/>
      <c r="J12460" s="1" t="str">
        <f>IFERROR(__xludf.DUMMYFUNCTION("""COMPUTED_VALUE"""),"#N/A")</f>
        <v>#N/A</v>
      </c>
      <c r="K12460" s="1" t="str">
        <f>IFERROR(__xludf.DUMMYFUNCTION("""COMPUTED_VALUE"""),"#N/A")</f>
        <v>#N/A</v>
      </c>
      <c r="L12460" s="1" t="str">
        <f>IFERROR(__xludf.DUMMYFUNCTION("""COMPUTED_VALUE"""),"#N/A")</f>
        <v>#N/A</v>
      </c>
    </row>
    <row r="12461">
      <c r="A12461" s="1" t="str">
        <f>IFERROR(__xludf.DUMMYFUNCTION("""COMPUTED_VALUE"""),"#VALUE!")</f>
        <v>#VALUE!</v>
      </c>
      <c r="B12461" s="4"/>
      <c r="C12461" s="1" t="str">
        <f>IFERROR(__xludf.DUMMYFUNCTION("""COMPUTED_VALUE"""),"#N/A")</f>
        <v>#N/A</v>
      </c>
      <c r="D12461" s="1"/>
      <c r="E12461" s="1"/>
      <c r="F12461" s="1"/>
      <c r="G12461" s="1"/>
      <c r="H12461" s="2">
        <f>IFERROR(__xludf.DUMMYFUNCTION("""COMPUTED_VALUE"""),0.0)</f>
        <v>0</v>
      </c>
      <c r="I12461" s="5"/>
      <c r="J12461" s="1" t="str">
        <f>IFERROR(__xludf.DUMMYFUNCTION("""COMPUTED_VALUE"""),"#N/A")</f>
        <v>#N/A</v>
      </c>
      <c r="K12461" s="1" t="str">
        <f>IFERROR(__xludf.DUMMYFUNCTION("""COMPUTED_VALUE"""),"#N/A")</f>
        <v>#N/A</v>
      </c>
      <c r="L12461" s="1" t="str">
        <f>IFERROR(__xludf.DUMMYFUNCTION("""COMPUTED_VALUE"""),"#N/A")</f>
        <v>#N/A</v>
      </c>
    </row>
    <row r="12462">
      <c r="A12462" s="1" t="str">
        <f>IFERROR(__xludf.DUMMYFUNCTION("""COMPUTED_VALUE"""),"#VALUE!")</f>
        <v>#VALUE!</v>
      </c>
      <c r="B12462" s="4"/>
      <c r="C12462" s="1" t="str">
        <f>IFERROR(__xludf.DUMMYFUNCTION("""COMPUTED_VALUE"""),"#N/A")</f>
        <v>#N/A</v>
      </c>
      <c r="D12462" s="1"/>
      <c r="E12462" s="1"/>
      <c r="F12462" s="1"/>
      <c r="G12462" s="1"/>
      <c r="H12462" s="2">
        <f>IFERROR(__xludf.DUMMYFUNCTION("""COMPUTED_VALUE"""),0.0)</f>
        <v>0</v>
      </c>
      <c r="I12462" s="5"/>
      <c r="J12462" s="1" t="str">
        <f>IFERROR(__xludf.DUMMYFUNCTION("""COMPUTED_VALUE"""),"#N/A")</f>
        <v>#N/A</v>
      </c>
      <c r="K12462" s="1" t="str">
        <f>IFERROR(__xludf.DUMMYFUNCTION("""COMPUTED_VALUE"""),"#N/A")</f>
        <v>#N/A</v>
      </c>
      <c r="L12462" s="1" t="str">
        <f>IFERROR(__xludf.DUMMYFUNCTION("""COMPUTED_VALUE"""),"#N/A")</f>
        <v>#N/A</v>
      </c>
    </row>
    <row r="12463">
      <c r="A12463" s="1" t="str">
        <f>IFERROR(__xludf.DUMMYFUNCTION("""COMPUTED_VALUE"""),"#VALUE!")</f>
        <v>#VALUE!</v>
      </c>
      <c r="B12463" s="4"/>
      <c r="C12463" s="1" t="str">
        <f>IFERROR(__xludf.DUMMYFUNCTION("""COMPUTED_VALUE"""),"#N/A")</f>
        <v>#N/A</v>
      </c>
      <c r="D12463" s="1"/>
      <c r="E12463" s="1"/>
      <c r="F12463" s="1"/>
      <c r="G12463" s="1"/>
      <c r="H12463" s="2">
        <f>IFERROR(__xludf.DUMMYFUNCTION("""COMPUTED_VALUE"""),0.0)</f>
        <v>0</v>
      </c>
      <c r="I12463" s="5"/>
      <c r="J12463" s="1" t="str">
        <f>IFERROR(__xludf.DUMMYFUNCTION("""COMPUTED_VALUE"""),"#N/A")</f>
        <v>#N/A</v>
      </c>
      <c r="K12463" s="1" t="str">
        <f>IFERROR(__xludf.DUMMYFUNCTION("""COMPUTED_VALUE"""),"#N/A")</f>
        <v>#N/A</v>
      </c>
      <c r="L12463" s="1" t="str">
        <f>IFERROR(__xludf.DUMMYFUNCTION("""COMPUTED_VALUE"""),"#N/A")</f>
        <v>#N/A</v>
      </c>
    </row>
    <row r="12464">
      <c r="A12464" s="1" t="str">
        <f>IFERROR(__xludf.DUMMYFUNCTION("""COMPUTED_VALUE"""),"#VALUE!")</f>
        <v>#VALUE!</v>
      </c>
      <c r="B12464" s="4"/>
      <c r="C12464" s="1" t="str">
        <f>IFERROR(__xludf.DUMMYFUNCTION("""COMPUTED_VALUE"""),"#N/A")</f>
        <v>#N/A</v>
      </c>
      <c r="D12464" s="1"/>
      <c r="E12464" s="1"/>
      <c r="F12464" s="1"/>
      <c r="G12464" s="1"/>
      <c r="H12464" s="2">
        <f>IFERROR(__xludf.DUMMYFUNCTION("""COMPUTED_VALUE"""),0.0)</f>
        <v>0</v>
      </c>
      <c r="I12464" s="5"/>
      <c r="J12464" s="1" t="str">
        <f>IFERROR(__xludf.DUMMYFUNCTION("""COMPUTED_VALUE"""),"#N/A")</f>
        <v>#N/A</v>
      </c>
      <c r="K12464" s="1" t="str">
        <f>IFERROR(__xludf.DUMMYFUNCTION("""COMPUTED_VALUE"""),"#N/A")</f>
        <v>#N/A</v>
      </c>
      <c r="L12464" s="1" t="str">
        <f>IFERROR(__xludf.DUMMYFUNCTION("""COMPUTED_VALUE"""),"#N/A")</f>
        <v>#N/A</v>
      </c>
    </row>
    <row r="12465">
      <c r="A12465" s="1" t="str">
        <f>IFERROR(__xludf.DUMMYFUNCTION("""COMPUTED_VALUE"""),"#VALUE!")</f>
        <v>#VALUE!</v>
      </c>
      <c r="B12465" s="4"/>
      <c r="C12465" s="1" t="str">
        <f>IFERROR(__xludf.DUMMYFUNCTION("""COMPUTED_VALUE"""),"#N/A")</f>
        <v>#N/A</v>
      </c>
      <c r="D12465" s="1"/>
      <c r="E12465" s="1"/>
      <c r="F12465" s="1"/>
      <c r="G12465" s="1"/>
      <c r="H12465" s="2">
        <f>IFERROR(__xludf.DUMMYFUNCTION("""COMPUTED_VALUE"""),0.0)</f>
        <v>0</v>
      </c>
      <c r="I12465" s="5"/>
      <c r="J12465" s="1" t="str">
        <f>IFERROR(__xludf.DUMMYFUNCTION("""COMPUTED_VALUE"""),"#N/A")</f>
        <v>#N/A</v>
      </c>
      <c r="K12465" s="1" t="str">
        <f>IFERROR(__xludf.DUMMYFUNCTION("""COMPUTED_VALUE"""),"#N/A")</f>
        <v>#N/A</v>
      </c>
      <c r="L12465" s="1" t="str">
        <f>IFERROR(__xludf.DUMMYFUNCTION("""COMPUTED_VALUE"""),"#N/A")</f>
        <v>#N/A</v>
      </c>
    </row>
    <row r="12466">
      <c r="A12466" s="1" t="str">
        <f>IFERROR(__xludf.DUMMYFUNCTION("""COMPUTED_VALUE"""),"#VALUE!")</f>
        <v>#VALUE!</v>
      </c>
      <c r="B12466" s="4"/>
      <c r="C12466" s="1" t="str">
        <f>IFERROR(__xludf.DUMMYFUNCTION("""COMPUTED_VALUE"""),"#N/A")</f>
        <v>#N/A</v>
      </c>
      <c r="D12466" s="1"/>
      <c r="E12466" s="1"/>
      <c r="F12466" s="1"/>
      <c r="G12466" s="1"/>
      <c r="H12466" s="2">
        <f>IFERROR(__xludf.DUMMYFUNCTION("""COMPUTED_VALUE"""),0.0)</f>
        <v>0</v>
      </c>
      <c r="I12466" s="5"/>
      <c r="J12466" s="1" t="str">
        <f>IFERROR(__xludf.DUMMYFUNCTION("""COMPUTED_VALUE"""),"#N/A")</f>
        <v>#N/A</v>
      </c>
      <c r="K12466" s="1" t="str">
        <f>IFERROR(__xludf.DUMMYFUNCTION("""COMPUTED_VALUE"""),"#N/A")</f>
        <v>#N/A</v>
      </c>
      <c r="L12466" s="1" t="str">
        <f>IFERROR(__xludf.DUMMYFUNCTION("""COMPUTED_VALUE"""),"#N/A")</f>
        <v>#N/A</v>
      </c>
    </row>
    <row r="12467">
      <c r="A12467" s="1" t="str">
        <f>IFERROR(__xludf.DUMMYFUNCTION("""COMPUTED_VALUE"""),"#VALUE!")</f>
        <v>#VALUE!</v>
      </c>
      <c r="B12467" s="4"/>
      <c r="C12467" s="1" t="str">
        <f>IFERROR(__xludf.DUMMYFUNCTION("""COMPUTED_VALUE"""),"#N/A")</f>
        <v>#N/A</v>
      </c>
      <c r="D12467" s="1"/>
      <c r="E12467" s="1"/>
      <c r="F12467" s="1"/>
      <c r="G12467" s="1"/>
      <c r="H12467" s="2">
        <f>IFERROR(__xludf.DUMMYFUNCTION("""COMPUTED_VALUE"""),0.0)</f>
        <v>0</v>
      </c>
      <c r="I12467" s="5"/>
      <c r="J12467" s="1" t="str">
        <f>IFERROR(__xludf.DUMMYFUNCTION("""COMPUTED_VALUE"""),"#N/A")</f>
        <v>#N/A</v>
      </c>
      <c r="K12467" s="1" t="str">
        <f>IFERROR(__xludf.DUMMYFUNCTION("""COMPUTED_VALUE"""),"#N/A")</f>
        <v>#N/A</v>
      </c>
      <c r="L12467" s="1" t="str">
        <f>IFERROR(__xludf.DUMMYFUNCTION("""COMPUTED_VALUE"""),"#N/A")</f>
        <v>#N/A</v>
      </c>
    </row>
    <row r="12468">
      <c r="A12468" s="1" t="str">
        <f>IFERROR(__xludf.DUMMYFUNCTION("""COMPUTED_VALUE"""),"#VALUE!")</f>
        <v>#VALUE!</v>
      </c>
      <c r="B12468" s="4"/>
      <c r="C12468" s="1" t="str">
        <f>IFERROR(__xludf.DUMMYFUNCTION("""COMPUTED_VALUE"""),"#N/A")</f>
        <v>#N/A</v>
      </c>
      <c r="D12468" s="1"/>
      <c r="E12468" s="1"/>
      <c r="F12468" s="1"/>
      <c r="G12468" s="1"/>
      <c r="H12468" s="2">
        <f>IFERROR(__xludf.DUMMYFUNCTION("""COMPUTED_VALUE"""),0.0)</f>
        <v>0</v>
      </c>
      <c r="I12468" s="5"/>
      <c r="J12468" s="1" t="str">
        <f>IFERROR(__xludf.DUMMYFUNCTION("""COMPUTED_VALUE"""),"#N/A")</f>
        <v>#N/A</v>
      </c>
      <c r="K12468" s="1" t="str">
        <f>IFERROR(__xludf.DUMMYFUNCTION("""COMPUTED_VALUE"""),"#N/A")</f>
        <v>#N/A</v>
      </c>
      <c r="L12468" s="1" t="str">
        <f>IFERROR(__xludf.DUMMYFUNCTION("""COMPUTED_VALUE"""),"#N/A")</f>
        <v>#N/A</v>
      </c>
    </row>
    <row r="12469">
      <c r="A12469" s="1" t="str">
        <f>IFERROR(__xludf.DUMMYFUNCTION("""COMPUTED_VALUE"""),"#VALUE!")</f>
        <v>#VALUE!</v>
      </c>
      <c r="B12469" s="4"/>
      <c r="C12469" s="1" t="str">
        <f>IFERROR(__xludf.DUMMYFUNCTION("""COMPUTED_VALUE"""),"#N/A")</f>
        <v>#N/A</v>
      </c>
      <c r="D12469" s="1"/>
      <c r="E12469" s="1"/>
      <c r="F12469" s="1"/>
      <c r="G12469" s="1"/>
      <c r="H12469" s="2">
        <f>IFERROR(__xludf.DUMMYFUNCTION("""COMPUTED_VALUE"""),0.0)</f>
        <v>0</v>
      </c>
      <c r="I12469" s="5"/>
      <c r="J12469" s="1" t="str">
        <f>IFERROR(__xludf.DUMMYFUNCTION("""COMPUTED_VALUE"""),"#N/A")</f>
        <v>#N/A</v>
      </c>
      <c r="K12469" s="1" t="str">
        <f>IFERROR(__xludf.DUMMYFUNCTION("""COMPUTED_VALUE"""),"#N/A")</f>
        <v>#N/A</v>
      </c>
      <c r="L12469" s="1" t="str">
        <f>IFERROR(__xludf.DUMMYFUNCTION("""COMPUTED_VALUE"""),"#N/A")</f>
        <v>#N/A</v>
      </c>
    </row>
    <row r="12470">
      <c r="A12470" s="1" t="str">
        <f>IFERROR(__xludf.DUMMYFUNCTION("""COMPUTED_VALUE"""),"#VALUE!")</f>
        <v>#VALUE!</v>
      </c>
      <c r="B12470" s="4"/>
      <c r="C12470" s="1" t="str">
        <f>IFERROR(__xludf.DUMMYFUNCTION("""COMPUTED_VALUE"""),"#N/A")</f>
        <v>#N/A</v>
      </c>
      <c r="D12470" s="1"/>
      <c r="E12470" s="1"/>
      <c r="F12470" s="1"/>
      <c r="G12470" s="1"/>
      <c r="H12470" s="2">
        <f>IFERROR(__xludf.DUMMYFUNCTION("""COMPUTED_VALUE"""),0.0)</f>
        <v>0</v>
      </c>
      <c r="I12470" s="5"/>
      <c r="J12470" s="1" t="str">
        <f>IFERROR(__xludf.DUMMYFUNCTION("""COMPUTED_VALUE"""),"#N/A")</f>
        <v>#N/A</v>
      </c>
      <c r="K12470" s="1" t="str">
        <f>IFERROR(__xludf.DUMMYFUNCTION("""COMPUTED_VALUE"""),"#N/A")</f>
        <v>#N/A</v>
      </c>
      <c r="L12470" s="1" t="str">
        <f>IFERROR(__xludf.DUMMYFUNCTION("""COMPUTED_VALUE"""),"#N/A")</f>
        <v>#N/A</v>
      </c>
    </row>
    <row r="12471">
      <c r="A12471" s="1" t="str">
        <f>IFERROR(__xludf.DUMMYFUNCTION("""COMPUTED_VALUE"""),"#VALUE!")</f>
        <v>#VALUE!</v>
      </c>
      <c r="B12471" s="4"/>
      <c r="C12471" s="1" t="str">
        <f>IFERROR(__xludf.DUMMYFUNCTION("""COMPUTED_VALUE"""),"#N/A")</f>
        <v>#N/A</v>
      </c>
      <c r="D12471" s="1"/>
      <c r="E12471" s="1"/>
      <c r="F12471" s="1"/>
      <c r="G12471" s="1"/>
      <c r="H12471" s="2">
        <f>IFERROR(__xludf.DUMMYFUNCTION("""COMPUTED_VALUE"""),0.0)</f>
        <v>0</v>
      </c>
      <c r="I12471" s="5"/>
      <c r="J12471" s="1" t="str">
        <f>IFERROR(__xludf.DUMMYFUNCTION("""COMPUTED_VALUE"""),"#N/A")</f>
        <v>#N/A</v>
      </c>
      <c r="K12471" s="1" t="str">
        <f>IFERROR(__xludf.DUMMYFUNCTION("""COMPUTED_VALUE"""),"#N/A")</f>
        <v>#N/A</v>
      </c>
      <c r="L12471" s="1" t="str">
        <f>IFERROR(__xludf.DUMMYFUNCTION("""COMPUTED_VALUE"""),"#N/A")</f>
        <v>#N/A</v>
      </c>
    </row>
    <row r="12472">
      <c r="A12472" s="1" t="str">
        <f>IFERROR(__xludf.DUMMYFUNCTION("""COMPUTED_VALUE"""),"#VALUE!")</f>
        <v>#VALUE!</v>
      </c>
      <c r="B12472" s="4"/>
      <c r="C12472" s="1" t="str">
        <f>IFERROR(__xludf.DUMMYFUNCTION("""COMPUTED_VALUE"""),"#N/A")</f>
        <v>#N/A</v>
      </c>
      <c r="D12472" s="1"/>
      <c r="E12472" s="1"/>
      <c r="F12472" s="1"/>
      <c r="G12472" s="1"/>
      <c r="H12472" s="2">
        <f>IFERROR(__xludf.DUMMYFUNCTION("""COMPUTED_VALUE"""),0.0)</f>
        <v>0</v>
      </c>
      <c r="I12472" s="5"/>
      <c r="J12472" s="1" t="str">
        <f>IFERROR(__xludf.DUMMYFUNCTION("""COMPUTED_VALUE"""),"#N/A")</f>
        <v>#N/A</v>
      </c>
      <c r="K12472" s="1" t="str">
        <f>IFERROR(__xludf.DUMMYFUNCTION("""COMPUTED_VALUE"""),"#N/A")</f>
        <v>#N/A</v>
      </c>
      <c r="L12472" s="1" t="str">
        <f>IFERROR(__xludf.DUMMYFUNCTION("""COMPUTED_VALUE"""),"#N/A")</f>
        <v>#N/A</v>
      </c>
    </row>
    <row r="12473">
      <c r="A12473" s="1" t="str">
        <f>IFERROR(__xludf.DUMMYFUNCTION("""COMPUTED_VALUE"""),"#VALUE!")</f>
        <v>#VALUE!</v>
      </c>
      <c r="B12473" s="4"/>
      <c r="C12473" s="1" t="str">
        <f>IFERROR(__xludf.DUMMYFUNCTION("""COMPUTED_VALUE"""),"#N/A")</f>
        <v>#N/A</v>
      </c>
      <c r="D12473" s="1"/>
      <c r="E12473" s="1"/>
      <c r="F12473" s="1"/>
      <c r="G12473" s="1"/>
      <c r="H12473" s="2">
        <f>IFERROR(__xludf.DUMMYFUNCTION("""COMPUTED_VALUE"""),0.0)</f>
        <v>0</v>
      </c>
      <c r="I12473" s="5"/>
      <c r="J12473" s="1" t="str">
        <f>IFERROR(__xludf.DUMMYFUNCTION("""COMPUTED_VALUE"""),"#N/A")</f>
        <v>#N/A</v>
      </c>
      <c r="K12473" s="1" t="str">
        <f>IFERROR(__xludf.DUMMYFUNCTION("""COMPUTED_VALUE"""),"#N/A")</f>
        <v>#N/A</v>
      </c>
      <c r="L12473" s="1" t="str">
        <f>IFERROR(__xludf.DUMMYFUNCTION("""COMPUTED_VALUE"""),"#N/A")</f>
        <v>#N/A</v>
      </c>
    </row>
    <row r="12474">
      <c r="A12474" s="1" t="str">
        <f>IFERROR(__xludf.DUMMYFUNCTION("""COMPUTED_VALUE"""),"#VALUE!")</f>
        <v>#VALUE!</v>
      </c>
      <c r="B12474" s="4"/>
      <c r="C12474" s="1" t="str">
        <f>IFERROR(__xludf.DUMMYFUNCTION("""COMPUTED_VALUE"""),"#N/A")</f>
        <v>#N/A</v>
      </c>
      <c r="D12474" s="1"/>
      <c r="E12474" s="1"/>
      <c r="F12474" s="1"/>
      <c r="G12474" s="1"/>
      <c r="H12474" s="2">
        <f>IFERROR(__xludf.DUMMYFUNCTION("""COMPUTED_VALUE"""),0.0)</f>
        <v>0</v>
      </c>
      <c r="I12474" s="5"/>
      <c r="J12474" s="1" t="str">
        <f>IFERROR(__xludf.DUMMYFUNCTION("""COMPUTED_VALUE"""),"#N/A")</f>
        <v>#N/A</v>
      </c>
      <c r="K12474" s="1" t="str">
        <f>IFERROR(__xludf.DUMMYFUNCTION("""COMPUTED_VALUE"""),"#N/A")</f>
        <v>#N/A</v>
      </c>
      <c r="L12474" s="1" t="str">
        <f>IFERROR(__xludf.DUMMYFUNCTION("""COMPUTED_VALUE"""),"#N/A")</f>
        <v>#N/A</v>
      </c>
    </row>
    <row r="12475">
      <c r="A12475" s="1" t="str">
        <f>IFERROR(__xludf.DUMMYFUNCTION("""COMPUTED_VALUE"""),"#VALUE!")</f>
        <v>#VALUE!</v>
      </c>
      <c r="B12475" s="4"/>
      <c r="C12475" s="1" t="str">
        <f>IFERROR(__xludf.DUMMYFUNCTION("""COMPUTED_VALUE"""),"#N/A")</f>
        <v>#N/A</v>
      </c>
      <c r="D12475" s="1"/>
      <c r="E12475" s="1"/>
      <c r="F12475" s="1"/>
      <c r="G12475" s="1"/>
      <c r="H12475" s="2">
        <f>IFERROR(__xludf.DUMMYFUNCTION("""COMPUTED_VALUE"""),0.0)</f>
        <v>0</v>
      </c>
      <c r="I12475" s="5"/>
      <c r="J12475" s="1" t="str">
        <f>IFERROR(__xludf.DUMMYFUNCTION("""COMPUTED_VALUE"""),"#N/A")</f>
        <v>#N/A</v>
      </c>
      <c r="K12475" s="1" t="str">
        <f>IFERROR(__xludf.DUMMYFUNCTION("""COMPUTED_VALUE"""),"#N/A")</f>
        <v>#N/A</v>
      </c>
      <c r="L12475" s="1" t="str">
        <f>IFERROR(__xludf.DUMMYFUNCTION("""COMPUTED_VALUE"""),"#N/A")</f>
        <v>#N/A</v>
      </c>
    </row>
    <row r="12476">
      <c r="A12476" s="1" t="str">
        <f>IFERROR(__xludf.DUMMYFUNCTION("""COMPUTED_VALUE"""),"#VALUE!")</f>
        <v>#VALUE!</v>
      </c>
      <c r="B12476" s="4"/>
      <c r="C12476" s="1" t="str">
        <f>IFERROR(__xludf.DUMMYFUNCTION("""COMPUTED_VALUE"""),"#N/A")</f>
        <v>#N/A</v>
      </c>
      <c r="D12476" s="1"/>
      <c r="E12476" s="1"/>
      <c r="F12476" s="1"/>
      <c r="G12476" s="1"/>
      <c r="H12476" s="2">
        <f>IFERROR(__xludf.DUMMYFUNCTION("""COMPUTED_VALUE"""),0.0)</f>
        <v>0</v>
      </c>
      <c r="I12476" s="5"/>
      <c r="J12476" s="1" t="str">
        <f>IFERROR(__xludf.DUMMYFUNCTION("""COMPUTED_VALUE"""),"#N/A")</f>
        <v>#N/A</v>
      </c>
      <c r="K12476" s="1" t="str">
        <f>IFERROR(__xludf.DUMMYFUNCTION("""COMPUTED_VALUE"""),"#N/A")</f>
        <v>#N/A</v>
      </c>
      <c r="L12476" s="1" t="str">
        <f>IFERROR(__xludf.DUMMYFUNCTION("""COMPUTED_VALUE"""),"#N/A")</f>
        <v>#N/A</v>
      </c>
    </row>
    <row r="12477">
      <c r="A12477" s="1" t="str">
        <f>IFERROR(__xludf.DUMMYFUNCTION("""COMPUTED_VALUE"""),"#VALUE!")</f>
        <v>#VALUE!</v>
      </c>
      <c r="B12477" s="4"/>
      <c r="C12477" s="1" t="str">
        <f>IFERROR(__xludf.DUMMYFUNCTION("""COMPUTED_VALUE"""),"#N/A")</f>
        <v>#N/A</v>
      </c>
      <c r="D12477" s="1"/>
      <c r="E12477" s="1"/>
      <c r="F12477" s="1"/>
      <c r="G12477" s="1"/>
      <c r="H12477" s="2">
        <f>IFERROR(__xludf.DUMMYFUNCTION("""COMPUTED_VALUE"""),0.0)</f>
        <v>0</v>
      </c>
      <c r="I12477" s="5"/>
      <c r="J12477" s="1" t="str">
        <f>IFERROR(__xludf.DUMMYFUNCTION("""COMPUTED_VALUE"""),"#N/A")</f>
        <v>#N/A</v>
      </c>
      <c r="K12477" s="1" t="str">
        <f>IFERROR(__xludf.DUMMYFUNCTION("""COMPUTED_VALUE"""),"#N/A")</f>
        <v>#N/A</v>
      </c>
      <c r="L12477" s="1" t="str">
        <f>IFERROR(__xludf.DUMMYFUNCTION("""COMPUTED_VALUE"""),"#N/A")</f>
        <v>#N/A</v>
      </c>
    </row>
    <row r="12478">
      <c r="A12478" s="1" t="str">
        <f>IFERROR(__xludf.DUMMYFUNCTION("""COMPUTED_VALUE"""),"#VALUE!")</f>
        <v>#VALUE!</v>
      </c>
      <c r="B12478" s="4"/>
      <c r="C12478" s="1" t="str">
        <f>IFERROR(__xludf.DUMMYFUNCTION("""COMPUTED_VALUE"""),"#N/A")</f>
        <v>#N/A</v>
      </c>
      <c r="D12478" s="1"/>
      <c r="E12478" s="1"/>
      <c r="F12478" s="1"/>
      <c r="G12478" s="1"/>
      <c r="H12478" s="2">
        <f>IFERROR(__xludf.DUMMYFUNCTION("""COMPUTED_VALUE"""),0.0)</f>
        <v>0</v>
      </c>
      <c r="I12478" s="5"/>
      <c r="J12478" s="1" t="str">
        <f>IFERROR(__xludf.DUMMYFUNCTION("""COMPUTED_VALUE"""),"#N/A")</f>
        <v>#N/A</v>
      </c>
      <c r="K12478" s="1" t="str">
        <f>IFERROR(__xludf.DUMMYFUNCTION("""COMPUTED_VALUE"""),"#N/A")</f>
        <v>#N/A</v>
      </c>
      <c r="L12478" s="1" t="str">
        <f>IFERROR(__xludf.DUMMYFUNCTION("""COMPUTED_VALUE"""),"#N/A")</f>
        <v>#N/A</v>
      </c>
    </row>
    <row r="12479">
      <c r="A12479" s="1" t="str">
        <f>IFERROR(__xludf.DUMMYFUNCTION("""COMPUTED_VALUE"""),"#VALUE!")</f>
        <v>#VALUE!</v>
      </c>
      <c r="B12479" s="4"/>
      <c r="C12479" s="1" t="str">
        <f>IFERROR(__xludf.DUMMYFUNCTION("""COMPUTED_VALUE"""),"#N/A")</f>
        <v>#N/A</v>
      </c>
      <c r="D12479" s="1"/>
      <c r="E12479" s="1"/>
      <c r="F12479" s="1"/>
      <c r="G12479" s="1"/>
      <c r="H12479" s="2">
        <f>IFERROR(__xludf.DUMMYFUNCTION("""COMPUTED_VALUE"""),0.0)</f>
        <v>0</v>
      </c>
      <c r="I12479" s="5"/>
      <c r="J12479" s="1" t="str">
        <f>IFERROR(__xludf.DUMMYFUNCTION("""COMPUTED_VALUE"""),"#N/A")</f>
        <v>#N/A</v>
      </c>
      <c r="K12479" s="1" t="str">
        <f>IFERROR(__xludf.DUMMYFUNCTION("""COMPUTED_VALUE"""),"#N/A")</f>
        <v>#N/A</v>
      </c>
      <c r="L12479" s="1" t="str">
        <f>IFERROR(__xludf.DUMMYFUNCTION("""COMPUTED_VALUE"""),"#N/A")</f>
        <v>#N/A</v>
      </c>
    </row>
    <row r="12480">
      <c r="A12480" s="1" t="str">
        <f>IFERROR(__xludf.DUMMYFUNCTION("""COMPUTED_VALUE"""),"#VALUE!")</f>
        <v>#VALUE!</v>
      </c>
      <c r="B12480" s="4"/>
      <c r="C12480" s="1" t="str">
        <f>IFERROR(__xludf.DUMMYFUNCTION("""COMPUTED_VALUE"""),"#N/A")</f>
        <v>#N/A</v>
      </c>
      <c r="D12480" s="1"/>
      <c r="E12480" s="1"/>
      <c r="F12480" s="1"/>
      <c r="G12480" s="1"/>
      <c r="H12480" s="2">
        <f>IFERROR(__xludf.DUMMYFUNCTION("""COMPUTED_VALUE"""),0.0)</f>
        <v>0</v>
      </c>
      <c r="I12480" s="5"/>
      <c r="J12480" s="1" t="str">
        <f>IFERROR(__xludf.DUMMYFUNCTION("""COMPUTED_VALUE"""),"#N/A")</f>
        <v>#N/A</v>
      </c>
      <c r="K12480" s="1" t="str">
        <f>IFERROR(__xludf.DUMMYFUNCTION("""COMPUTED_VALUE"""),"#N/A")</f>
        <v>#N/A</v>
      </c>
      <c r="L12480" s="1" t="str">
        <f>IFERROR(__xludf.DUMMYFUNCTION("""COMPUTED_VALUE"""),"#N/A")</f>
        <v>#N/A</v>
      </c>
    </row>
    <row r="12481">
      <c r="A12481" s="1" t="str">
        <f>IFERROR(__xludf.DUMMYFUNCTION("""COMPUTED_VALUE"""),"#VALUE!")</f>
        <v>#VALUE!</v>
      </c>
      <c r="B12481" s="4"/>
      <c r="C12481" s="1" t="str">
        <f>IFERROR(__xludf.DUMMYFUNCTION("""COMPUTED_VALUE"""),"#N/A")</f>
        <v>#N/A</v>
      </c>
      <c r="D12481" s="1"/>
      <c r="E12481" s="1"/>
      <c r="F12481" s="1"/>
      <c r="G12481" s="1"/>
      <c r="H12481" s="2">
        <f>IFERROR(__xludf.DUMMYFUNCTION("""COMPUTED_VALUE"""),0.0)</f>
        <v>0</v>
      </c>
      <c r="I12481" s="5"/>
      <c r="J12481" s="1" t="str">
        <f>IFERROR(__xludf.DUMMYFUNCTION("""COMPUTED_VALUE"""),"#N/A")</f>
        <v>#N/A</v>
      </c>
      <c r="K12481" s="1" t="str">
        <f>IFERROR(__xludf.DUMMYFUNCTION("""COMPUTED_VALUE"""),"#N/A")</f>
        <v>#N/A</v>
      </c>
      <c r="L12481" s="1" t="str">
        <f>IFERROR(__xludf.DUMMYFUNCTION("""COMPUTED_VALUE"""),"#N/A")</f>
        <v>#N/A</v>
      </c>
    </row>
    <row r="12482">
      <c r="A12482" s="1" t="str">
        <f>IFERROR(__xludf.DUMMYFUNCTION("""COMPUTED_VALUE"""),"#VALUE!")</f>
        <v>#VALUE!</v>
      </c>
      <c r="B12482" s="4"/>
      <c r="C12482" s="1" t="str">
        <f>IFERROR(__xludf.DUMMYFUNCTION("""COMPUTED_VALUE"""),"#N/A")</f>
        <v>#N/A</v>
      </c>
      <c r="D12482" s="1"/>
      <c r="E12482" s="1"/>
      <c r="F12482" s="1"/>
      <c r="G12482" s="1"/>
      <c r="H12482" s="2">
        <f>IFERROR(__xludf.DUMMYFUNCTION("""COMPUTED_VALUE"""),0.0)</f>
        <v>0</v>
      </c>
      <c r="I12482" s="5"/>
      <c r="J12482" s="1" t="str">
        <f>IFERROR(__xludf.DUMMYFUNCTION("""COMPUTED_VALUE"""),"#N/A")</f>
        <v>#N/A</v>
      </c>
      <c r="K12482" s="1" t="str">
        <f>IFERROR(__xludf.DUMMYFUNCTION("""COMPUTED_VALUE"""),"#N/A")</f>
        <v>#N/A</v>
      </c>
      <c r="L12482" s="1" t="str">
        <f>IFERROR(__xludf.DUMMYFUNCTION("""COMPUTED_VALUE"""),"#N/A")</f>
        <v>#N/A</v>
      </c>
    </row>
    <row r="12483">
      <c r="A12483" s="1" t="str">
        <f>IFERROR(__xludf.DUMMYFUNCTION("""COMPUTED_VALUE"""),"#VALUE!")</f>
        <v>#VALUE!</v>
      </c>
      <c r="B12483" s="4"/>
      <c r="C12483" s="1" t="str">
        <f>IFERROR(__xludf.DUMMYFUNCTION("""COMPUTED_VALUE"""),"#N/A")</f>
        <v>#N/A</v>
      </c>
      <c r="D12483" s="1"/>
      <c r="E12483" s="1"/>
      <c r="F12483" s="1"/>
      <c r="G12483" s="1"/>
      <c r="H12483" s="2">
        <f>IFERROR(__xludf.DUMMYFUNCTION("""COMPUTED_VALUE"""),0.0)</f>
        <v>0</v>
      </c>
      <c r="I12483" s="5"/>
      <c r="J12483" s="1" t="str">
        <f>IFERROR(__xludf.DUMMYFUNCTION("""COMPUTED_VALUE"""),"#N/A")</f>
        <v>#N/A</v>
      </c>
      <c r="K12483" s="1" t="str">
        <f>IFERROR(__xludf.DUMMYFUNCTION("""COMPUTED_VALUE"""),"#N/A")</f>
        <v>#N/A</v>
      </c>
      <c r="L12483" s="1" t="str">
        <f>IFERROR(__xludf.DUMMYFUNCTION("""COMPUTED_VALUE"""),"#N/A")</f>
        <v>#N/A</v>
      </c>
    </row>
    <row r="12484">
      <c r="A12484" s="1" t="str">
        <f>IFERROR(__xludf.DUMMYFUNCTION("""COMPUTED_VALUE"""),"#VALUE!")</f>
        <v>#VALUE!</v>
      </c>
      <c r="B12484" s="4"/>
      <c r="C12484" s="1" t="str">
        <f>IFERROR(__xludf.DUMMYFUNCTION("""COMPUTED_VALUE"""),"#N/A")</f>
        <v>#N/A</v>
      </c>
      <c r="D12484" s="1"/>
      <c r="E12484" s="1"/>
      <c r="F12484" s="1"/>
      <c r="G12484" s="1"/>
      <c r="H12484" s="2">
        <f>IFERROR(__xludf.DUMMYFUNCTION("""COMPUTED_VALUE"""),0.0)</f>
        <v>0</v>
      </c>
      <c r="I12484" s="5"/>
      <c r="J12484" s="1" t="str">
        <f>IFERROR(__xludf.DUMMYFUNCTION("""COMPUTED_VALUE"""),"#N/A")</f>
        <v>#N/A</v>
      </c>
      <c r="K12484" s="1" t="str">
        <f>IFERROR(__xludf.DUMMYFUNCTION("""COMPUTED_VALUE"""),"#N/A")</f>
        <v>#N/A</v>
      </c>
      <c r="L12484" s="1" t="str">
        <f>IFERROR(__xludf.DUMMYFUNCTION("""COMPUTED_VALUE"""),"#N/A")</f>
        <v>#N/A</v>
      </c>
    </row>
    <row r="12485">
      <c r="A12485" s="1" t="str">
        <f>IFERROR(__xludf.DUMMYFUNCTION("""COMPUTED_VALUE"""),"#VALUE!")</f>
        <v>#VALUE!</v>
      </c>
      <c r="B12485" s="4"/>
      <c r="C12485" s="1" t="str">
        <f>IFERROR(__xludf.DUMMYFUNCTION("""COMPUTED_VALUE"""),"#N/A")</f>
        <v>#N/A</v>
      </c>
      <c r="D12485" s="1"/>
      <c r="E12485" s="1"/>
      <c r="F12485" s="1"/>
      <c r="G12485" s="1"/>
      <c r="H12485" s="2">
        <f>IFERROR(__xludf.DUMMYFUNCTION("""COMPUTED_VALUE"""),0.0)</f>
        <v>0</v>
      </c>
      <c r="I12485" s="5"/>
      <c r="J12485" s="1" t="str">
        <f>IFERROR(__xludf.DUMMYFUNCTION("""COMPUTED_VALUE"""),"#N/A")</f>
        <v>#N/A</v>
      </c>
      <c r="K12485" s="1" t="str">
        <f>IFERROR(__xludf.DUMMYFUNCTION("""COMPUTED_VALUE"""),"#N/A")</f>
        <v>#N/A</v>
      </c>
      <c r="L12485" s="1" t="str">
        <f>IFERROR(__xludf.DUMMYFUNCTION("""COMPUTED_VALUE"""),"#N/A")</f>
        <v>#N/A</v>
      </c>
    </row>
    <row r="12486">
      <c r="A12486" s="1" t="str">
        <f>IFERROR(__xludf.DUMMYFUNCTION("""COMPUTED_VALUE"""),"#VALUE!")</f>
        <v>#VALUE!</v>
      </c>
      <c r="B12486" s="4"/>
      <c r="C12486" s="1" t="str">
        <f>IFERROR(__xludf.DUMMYFUNCTION("""COMPUTED_VALUE"""),"#N/A")</f>
        <v>#N/A</v>
      </c>
      <c r="D12486" s="1"/>
      <c r="E12486" s="1"/>
      <c r="F12486" s="1"/>
      <c r="G12486" s="1"/>
      <c r="H12486" s="2">
        <f>IFERROR(__xludf.DUMMYFUNCTION("""COMPUTED_VALUE"""),0.0)</f>
        <v>0</v>
      </c>
      <c r="I12486" s="5"/>
      <c r="J12486" s="1" t="str">
        <f>IFERROR(__xludf.DUMMYFUNCTION("""COMPUTED_VALUE"""),"#N/A")</f>
        <v>#N/A</v>
      </c>
      <c r="K12486" s="1" t="str">
        <f>IFERROR(__xludf.DUMMYFUNCTION("""COMPUTED_VALUE"""),"#N/A")</f>
        <v>#N/A</v>
      </c>
      <c r="L12486" s="1" t="str">
        <f>IFERROR(__xludf.DUMMYFUNCTION("""COMPUTED_VALUE"""),"#N/A")</f>
        <v>#N/A</v>
      </c>
    </row>
    <row r="12487">
      <c r="A12487" s="1" t="str">
        <f>IFERROR(__xludf.DUMMYFUNCTION("""COMPUTED_VALUE"""),"#VALUE!")</f>
        <v>#VALUE!</v>
      </c>
      <c r="B12487" s="4"/>
      <c r="C12487" s="1" t="str">
        <f>IFERROR(__xludf.DUMMYFUNCTION("""COMPUTED_VALUE"""),"#N/A")</f>
        <v>#N/A</v>
      </c>
      <c r="D12487" s="1"/>
      <c r="E12487" s="1"/>
      <c r="F12487" s="1"/>
      <c r="G12487" s="1"/>
      <c r="H12487" s="2">
        <f>IFERROR(__xludf.DUMMYFUNCTION("""COMPUTED_VALUE"""),0.0)</f>
        <v>0</v>
      </c>
      <c r="I12487" s="5"/>
      <c r="J12487" s="1" t="str">
        <f>IFERROR(__xludf.DUMMYFUNCTION("""COMPUTED_VALUE"""),"#N/A")</f>
        <v>#N/A</v>
      </c>
      <c r="K12487" s="1" t="str">
        <f>IFERROR(__xludf.DUMMYFUNCTION("""COMPUTED_VALUE"""),"#N/A")</f>
        <v>#N/A</v>
      </c>
      <c r="L12487" s="1" t="str">
        <f>IFERROR(__xludf.DUMMYFUNCTION("""COMPUTED_VALUE"""),"#N/A")</f>
        <v>#N/A</v>
      </c>
    </row>
    <row r="12488">
      <c r="A12488" s="1" t="str">
        <f>IFERROR(__xludf.DUMMYFUNCTION("""COMPUTED_VALUE"""),"#VALUE!")</f>
        <v>#VALUE!</v>
      </c>
      <c r="B12488" s="4"/>
      <c r="C12488" s="1" t="str">
        <f>IFERROR(__xludf.DUMMYFUNCTION("""COMPUTED_VALUE"""),"#N/A")</f>
        <v>#N/A</v>
      </c>
      <c r="D12488" s="1"/>
      <c r="E12488" s="1"/>
      <c r="F12488" s="1"/>
      <c r="G12488" s="1"/>
      <c r="H12488" s="2">
        <f>IFERROR(__xludf.DUMMYFUNCTION("""COMPUTED_VALUE"""),0.0)</f>
        <v>0</v>
      </c>
      <c r="I12488" s="5"/>
      <c r="J12488" s="1" t="str">
        <f>IFERROR(__xludf.DUMMYFUNCTION("""COMPUTED_VALUE"""),"#N/A")</f>
        <v>#N/A</v>
      </c>
      <c r="K12488" s="1" t="str">
        <f>IFERROR(__xludf.DUMMYFUNCTION("""COMPUTED_VALUE"""),"#N/A")</f>
        <v>#N/A</v>
      </c>
      <c r="L12488" s="1" t="str">
        <f>IFERROR(__xludf.DUMMYFUNCTION("""COMPUTED_VALUE"""),"#N/A")</f>
        <v>#N/A</v>
      </c>
    </row>
    <row r="12489">
      <c r="A12489" s="1" t="str">
        <f>IFERROR(__xludf.DUMMYFUNCTION("""COMPUTED_VALUE"""),"#VALUE!")</f>
        <v>#VALUE!</v>
      </c>
      <c r="B12489" s="4"/>
      <c r="C12489" s="1" t="str">
        <f>IFERROR(__xludf.DUMMYFUNCTION("""COMPUTED_VALUE"""),"#N/A")</f>
        <v>#N/A</v>
      </c>
      <c r="D12489" s="1"/>
      <c r="E12489" s="1"/>
      <c r="F12489" s="1"/>
      <c r="G12489" s="1"/>
      <c r="H12489" s="2">
        <f>IFERROR(__xludf.DUMMYFUNCTION("""COMPUTED_VALUE"""),0.0)</f>
        <v>0</v>
      </c>
      <c r="I12489" s="5"/>
      <c r="J12489" s="1" t="str">
        <f>IFERROR(__xludf.DUMMYFUNCTION("""COMPUTED_VALUE"""),"#N/A")</f>
        <v>#N/A</v>
      </c>
      <c r="K12489" s="1" t="str">
        <f>IFERROR(__xludf.DUMMYFUNCTION("""COMPUTED_VALUE"""),"#N/A")</f>
        <v>#N/A</v>
      </c>
      <c r="L12489" s="1" t="str">
        <f>IFERROR(__xludf.DUMMYFUNCTION("""COMPUTED_VALUE"""),"#N/A")</f>
        <v>#N/A</v>
      </c>
    </row>
    <row r="12490">
      <c r="A12490" s="1" t="str">
        <f>IFERROR(__xludf.DUMMYFUNCTION("""COMPUTED_VALUE"""),"#VALUE!")</f>
        <v>#VALUE!</v>
      </c>
      <c r="B12490" s="4"/>
      <c r="C12490" s="1" t="str">
        <f>IFERROR(__xludf.DUMMYFUNCTION("""COMPUTED_VALUE"""),"#N/A")</f>
        <v>#N/A</v>
      </c>
      <c r="D12490" s="1"/>
      <c r="E12490" s="1"/>
      <c r="F12490" s="1"/>
      <c r="G12490" s="1"/>
      <c r="H12490" s="2">
        <f>IFERROR(__xludf.DUMMYFUNCTION("""COMPUTED_VALUE"""),0.0)</f>
        <v>0</v>
      </c>
      <c r="I12490" s="5"/>
      <c r="J12490" s="1" t="str">
        <f>IFERROR(__xludf.DUMMYFUNCTION("""COMPUTED_VALUE"""),"#N/A")</f>
        <v>#N/A</v>
      </c>
      <c r="K12490" s="1" t="str">
        <f>IFERROR(__xludf.DUMMYFUNCTION("""COMPUTED_VALUE"""),"#N/A")</f>
        <v>#N/A</v>
      </c>
      <c r="L12490" s="1" t="str">
        <f>IFERROR(__xludf.DUMMYFUNCTION("""COMPUTED_VALUE"""),"#N/A")</f>
        <v>#N/A</v>
      </c>
    </row>
    <row r="12491">
      <c r="A12491" s="1" t="str">
        <f>IFERROR(__xludf.DUMMYFUNCTION("""COMPUTED_VALUE"""),"#VALUE!")</f>
        <v>#VALUE!</v>
      </c>
      <c r="B12491" s="4"/>
      <c r="C12491" s="1" t="str">
        <f>IFERROR(__xludf.DUMMYFUNCTION("""COMPUTED_VALUE"""),"#N/A")</f>
        <v>#N/A</v>
      </c>
      <c r="D12491" s="1"/>
      <c r="E12491" s="1"/>
      <c r="F12491" s="1"/>
      <c r="G12491" s="1"/>
      <c r="H12491" s="2">
        <f>IFERROR(__xludf.DUMMYFUNCTION("""COMPUTED_VALUE"""),0.0)</f>
        <v>0</v>
      </c>
      <c r="I12491" s="5"/>
      <c r="J12491" s="1" t="str">
        <f>IFERROR(__xludf.DUMMYFUNCTION("""COMPUTED_VALUE"""),"#N/A")</f>
        <v>#N/A</v>
      </c>
      <c r="K12491" s="1" t="str">
        <f>IFERROR(__xludf.DUMMYFUNCTION("""COMPUTED_VALUE"""),"#N/A")</f>
        <v>#N/A</v>
      </c>
      <c r="L12491" s="1" t="str">
        <f>IFERROR(__xludf.DUMMYFUNCTION("""COMPUTED_VALUE"""),"#N/A")</f>
        <v>#N/A</v>
      </c>
    </row>
    <row r="12492">
      <c r="A12492" s="1" t="str">
        <f>IFERROR(__xludf.DUMMYFUNCTION("""COMPUTED_VALUE"""),"#VALUE!")</f>
        <v>#VALUE!</v>
      </c>
      <c r="B12492" s="4"/>
      <c r="C12492" s="1" t="str">
        <f>IFERROR(__xludf.DUMMYFUNCTION("""COMPUTED_VALUE"""),"#N/A")</f>
        <v>#N/A</v>
      </c>
      <c r="D12492" s="1"/>
      <c r="E12492" s="1"/>
      <c r="F12492" s="1"/>
      <c r="G12492" s="1"/>
      <c r="H12492" s="2">
        <f>IFERROR(__xludf.DUMMYFUNCTION("""COMPUTED_VALUE"""),0.0)</f>
        <v>0</v>
      </c>
      <c r="I12492" s="5"/>
      <c r="J12492" s="1" t="str">
        <f>IFERROR(__xludf.DUMMYFUNCTION("""COMPUTED_VALUE"""),"#N/A")</f>
        <v>#N/A</v>
      </c>
      <c r="K12492" s="1" t="str">
        <f>IFERROR(__xludf.DUMMYFUNCTION("""COMPUTED_VALUE"""),"#N/A")</f>
        <v>#N/A</v>
      </c>
      <c r="L12492" s="1" t="str">
        <f>IFERROR(__xludf.DUMMYFUNCTION("""COMPUTED_VALUE"""),"#N/A")</f>
        <v>#N/A</v>
      </c>
    </row>
    <row r="12493">
      <c r="A12493" s="1" t="str">
        <f>IFERROR(__xludf.DUMMYFUNCTION("""COMPUTED_VALUE"""),"#VALUE!")</f>
        <v>#VALUE!</v>
      </c>
      <c r="B12493" s="4"/>
      <c r="C12493" s="1" t="str">
        <f>IFERROR(__xludf.DUMMYFUNCTION("""COMPUTED_VALUE"""),"#N/A")</f>
        <v>#N/A</v>
      </c>
      <c r="D12493" s="1"/>
      <c r="E12493" s="1"/>
      <c r="F12493" s="1"/>
      <c r="G12493" s="1"/>
      <c r="H12493" s="2">
        <f>IFERROR(__xludf.DUMMYFUNCTION("""COMPUTED_VALUE"""),0.0)</f>
        <v>0</v>
      </c>
      <c r="I12493" s="5"/>
      <c r="J12493" s="1" t="str">
        <f>IFERROR(__xludf.DUMMYFUNCTION("""COMPUTED_VALUE"""),"#N/A")</f>
        <v>#N/A</v>
      </c>
      <c r="K12493" s="1" t="str">
        <f>IFERROR(__xludf.DUMMYFUNCTION("""COMPUTED_VALUE"""),"#N/A")</f>
        <v>#N/A</v>
      </c>
      <c r="L12493" s="1" t="str">
        <f>IFERROR(__xludf.DUMMYFUNCTION("""COMPUTED_VALUE"""),"#N/A")</f>
        <v>#N/A</v>
      </c>
    </row>
    <row r="12494">
      <c r="A12494" s="1" t="str">
        <f>IFERROR(__xludf.DUMMYFUNCTION("""COMPUTED_VALUE"""),"#VALUE!")</f>
        <v>#VALUE!</v>
      </c>
      <c r="B12494" s="4"/>
      <c r="C12494" s="1" t="str">
        <f>IFERROR(__xludf.DUMMYFUNCTION("""COMPUTED_VALUE"""),"#N/A")</f>
        <v>#N/A</v>
      </c>
      <c r="D12494" s="1"/>
      <c r="E12494" s="1"/>
      <c r="F12494" s="1"/>
      <c r="G12494" s="1"/>
      <c r="H12494" s="2">
        <f>IFERROR(__xludf.DUMMYFUNCTION("""COMPUTED_VALUE"""),0.0)</f>
        <v>0</v>
      </c>
      <c r="I12494" s="5"/>
      <c r="J12494" s="1" t="str">
        <f>IFERROR(__xludf.DUMMYFUNCTION("""COMPUTED_VALUE"""),"#N/A")</f>
        <v>#N/A</v>
      </c>
      <c r="K12494" s="1" t="str">
        <f>IFERROR(__xludf.DUMMYFUNCTION("""COMPUTED_VALUE"""),"#N/A")</f>
        <v>#N/A</v>
      </c>
      <c r="L12494" s="1" t="str">
        <f>IFERROR(__xludf.DUMMYFUNCTION("""COMPUTED_VALUE"""),"#N/A")</f>
        <v>#N/A</v>
      </c>
    </row>
    <row r="12495">
      <c r="A12495" s="1" t="str">
        <f>IFERROR(__xludf.DUMMYFUNCTION("""COMPUTED_VALUE"""),"#VALUE!")</f>
        <v>#VALUE!</v>
      </c>
      <c r="B12495" s="4"/>
      <c r="C12495" s="1" t="str">
        <f>IFERROR(__xludf.DUMMYFUNCTION("""COMPUTED_VALUE"""),"#N/A")</f>
        <v>#N/A</v>
      </c>
      <c r="D12495" s="1"/>
      <c r="E12495" s="1"/>
      <c r="F12495" s="1"/>
      <c r="G12495" s="1"/>
      <c r="H12495" s="2">
        <f>IFERROR(__xludf.DUMMYFUNCTION("""COMPUTED_VALUE"""),0.0)</f>
        <v>0</v>
      </c>
      <c r="I12495" s="5"/>
      <c r="J12495" s="1" t="str">
        <f>IFERROR(__xludf.DUMMYFUNCTION("""COMPUTED_VALUE"""),"#N/A")</f>
        <v>#N/A</v>
      </c>
      <c r="K12495" s="1" t="str">
        <f>IFERROR(__xludf.DUMMYFUNCTION("""COMPUTED_VALUE"""),"#N/A")</f>
        <v>#N/A</v>
      </c>
      <c r="L12495" s="1" t="str">
        <f>IFERROR(__xludf.DUMMYFUNCTION("""COMPUTED_VALUE"""),"#N/A")</f>
        <v>#N/A</v>
      </c>
    </row>
    <row r="12496">
      <c r="A12496" s="1" t="str">
        <f>IFERROR(__xludf.DUMMYFUNCTION("""COMPUTED_VALUE"""),"#VALUE!")</f>
        <v>#VALUE!</v>
      </c>
      <c r="B12496" s="4"/>
      <c r="C12496" s="1" t="str">
        <f>IFERROR(__xludf.DUMMYFUNCTION("""COMPUTED_VALUE"""),"#N/A")</f>
        <v>#N/A</v>
      </c>
      <c r="D12496" s="1"/>
      <c r="E12496" s="1"/>
      <c r="F12496" s="1"/>
      <c r="G12496" s="1"/>
      <c r="H12496" s="2">
        <f>IFERROR(__xludf.DUMMYFUNCTION("""COMPUTED_VALUE"""),0.0)</f>
        <v>0</v>
      </c>
      <c r="I12496" s="5"/>
      <c r="J12496" s="1" t="str">
        <f>IFERROR(__xludf.DUMMYFUNCTION("""COMPUTED_VALUE"""),"#N/A")</f>
        <v>#N/A</v>
      </c>
      <c r="K12496" s="1" t="str">
        <f>IFERROR(__xludf.DUMMYFUNCTION("""COMPUTED_VALUE"""),"#N/A")</f>
        <v>#N/A</v>
      </c>
      <c r="L12496" s="1" t="str">
        <f>IFERROR(__xludf.DUMMYFUNCTION("""COMPUTED_VALUE"""),"#N/A")</f>
        <v>#N/A</v>
      </c>
    </row>
    <row r="12497">
      <c r="A12497" s="1" t="str">
        <f>IFERROR(__xludf.DUMMYFUNCTION("""COMPUTED_VALUE"""),"#VALUE!")</f>
        <v>#VALUE!</v>
      </c>
      <c r="B12497" s="4"/>
      <c r="C12497" s="1" t="str">
        <f>IFERROR(__xludf.DUMMYFUNCTION("""COMPUTED_VALUE"""),"#N/A")</f>
        <v>#N/A</v>
      </c>
      <c r="D12497" s="1"/>
      <c r="E12497" s="1"/>
      <c r="F12497" s="1"/>
      <c r="G12497" s="1"/>
      <c r="H12497" s="2">
        <f>IFERROR(__xludf.DUMMYFUNCTION("""COMPUTED_VALUE"""),0.0)</f>
        <v>0</v>
      </c>
      <c r="I12497" s="5"/>
      <c r="J12497" s="1" t="str">
        <f>IFERROR(__xludf.DUMMYFUNCTION("""COMPUTED_VALUE"""),"#N/A")</f>
        <v>#N/A</v>
      </c>
      <c r="K12497" s="1" t="str">
        <f>IFERROR(__xludf.DUMMYFUNCTION("""COMPUTED_VALUE"""),"#N/A")</f>
        <v>#N/A</v>
      </c>
      <c r="L12497" s="1" t="str">
        <f>IFERROR(__xludf.DUMMYFUNCTION("""COMPUTED_VALUE"""),"#N/A")</f>
        <v>#N/A</v>
      </c>
    </row>
    <row r="12498">
      <c r="A12498" s="1" t="str">
        <f>IFERROR(__xludf.DUMMYFUNCTION("""COMPUTED_VALUE"""),"#VALUE!")</f>
        <v>#VALUE!</v>
      </c>
      <c r="B12498" s="4"/>
      <c r="C12498" s="1" t="str">
        <f>IFERROR(__xludf.DUMMYFUNCTION("""COMPUTED_VALUE"""),"#N/A")</f>
        <v>#N/A</v>
      </c>
      <c r="D12498" s="1"/>
      <c r="E12498" s="1"/>
      <c r="F12498" s="1"/>
      <c r="G12498" s="1"/>
      <c r="H12498" s="2">
        <f>IFERROR(__xludf.DUMMYFUNCTION("""COMPUTED_VALUE"""),0.0)</f>
        <v>0</v>
      </c>
      <c r="I12498" s="5"/>
      <c r="J12498" s="1" t="str">
        <f>IFERROR(__xludf.DUMMYFUNCTION("""COMPUTED_VALUE"""),"#N/A")</f>
        <v>#N/A</v>
      </c>
      <c r="K12498" s="1" t="str">
        <f>IFERROR(__xludf.DUMMYFUNCTION("""COMPUTED_VALUE"""),"#N/A")</f>
        <v>#N/A</v>
      </c>
      <c r="L12498" s="1" t="str">
        <f>IFERROR(__xludf.DUMMYFUNCTION("""COMPUTED_VALUE"""),"#N/A")</f>
        <v>#N/A</v>
      </c>
    </row>
    <row r="12499">
      <c r="A12499" s="1" t="str">
        <f>IFERROR(__xludf.DUMMYFUNCTION("""COMPUTED_VALUE"""),"#VALUE!")</f>
        <v>#VALUE!</v>
      </c>
      <c r="B12499" s="4"/>
      <c r="C12499" s="1" t="str">
        <f>IFERROR(__xludf.DUMMYFUNCTION("""COMPUTED_VALUE"""),"#N/A")</f>
        <v>#N/A</v>
      </c>
      <c r="D12499" s="1"/>
      <c r="E12499" s="1"/>
      <c r="F12499" s="1"/>
      <c r="G12499" s="1"/>
      <c r="H12499" s="2">
        <f>IFERROR(__xludf.DUMMYFUNCTION("""COMPUTED_VALUE"""),0.0)</f>
        <v>0</v>
      </c>
      <c r="I12499" s="5"/>
      <c r="J12499" s="1" t="str">
        <f>IFERROR(__xludf.DUMMYFUNCTION("""COMPUTED_VALUE"""),"#N/A")</f>
        <v>#N/A</v>
      </c>
      <c r="K12499" s="1" t="str">
        <f>IFERROR(__xludf.DUMMYFUNCTION("""COMPUTED_VALUE"""),"#N/A")</f>
        <v>#N/A</v>
      </c>
      <c r="L12499" s="1" t="str">
        <f>IFERROR(__xludf.DUMMYFUNCTION("""COMPUTED_VALUE"""),"#N/A")</f>
        <v>#N/A</v>
      </c>
    </row>
    <row r="12500">
      <c r="A12500" s="1" t="str">
        <f>IFERROR(__xludf.DUMMYFUNCTION("""COMPUTED_VALUE"""),"#VALUE!")</f>
        <v>#VALUE!</v>
      </c>
      <c r="B12500" s="4"/>
      <c r="C12500" s="1" t="str">
        <f>IFERROR(__xludf.DUMMYFUNCTION("""COMPUTED_VALUE"""),"#N/A")</f>
        <v>#N/A</v>
      </c>
      <c r="D12500" s="1"/>
      <c r="E12500" s="1"/>
      <c r="F12500" s="1"/>
      <c r="G12500" s="1"/>
      <c r="H12500" s="2">
        <f>IFERROR(__xludf.DUMMYFUNCTION("""COMPUTED_VALUE"""),0.0)</f>
        <v>0</v>
      </c>
      <c r="I12500" s="5"/>
      <c r="J12500" s="1" t="str">
        <f>IFERROR(__xludf.DUMMYFUNCTION("""COMPUTED_VALUE"""),"#N/A")</f>
        <v>#N/A</v>
      </c>
      <c r="K12500" s="1" t="str">
        <f>IFERROR(__xludf.DUMMYFUNCTION("""COMPUTED_VALUE"""),"#N/A")</f>
        <v>#N/A</v>
      </c>
      <c r="L12500" s="1" t="str">
        <f>IFERROR(__xludf.DUMMYFUNCTION("""COMPUTED_VALUE"""),"#N/A")</f>
        <v>#N/A</v>
      </c>
    </row>
    <row r="12501">
      <c r="A12501" s="1" t="str">
        <f>IFERROR(__xludf.DUMMYFUNCTION("""COMPUTED_VALUE"""),"#VALUE!")</f>
        <v>#VALUE!</v>
      </c>
      <c r="B12501" s="4"/>
      <c r="C12501" s="1" t="str">
        <f>IFERROR(__xludf.DUMMYFUNCTION("""COMPUTED_VALUE"""),"#N/A")</f>
        <v>#N/A</v>
      </c>
      <c r="D12501" s="1"/>
      <c r="E12501" s="1"/>
      <c r="F12501" s="1"/>
      <c r="G12501" s="1"/>
      <c r="H12501" s="2">
        <f>IFERROR(__xludf.DUMMYFUNCTION("""COMPUTED_VALUE"""),0.0)</f>
        <v>0</v>
      </c>
      <c r="I12501" s="5"/>
      <c r="J12501" s="1" t="str">
        <f>IFERROR(__xludf.DUMMYFUNCTION("""COMPUTED_VALUE"""),"#N/A")</f>
        <v>#N/A</v>
      </c>
      <c r="K12501" s="1" t="str">
        <f>IFERROR(__xludf.DUMMYFUNCTION("""COMPUTED_VALUE"""),"#N/A")</f>
        <v>#N/A</v>
      </c>
      <c r="L12501" s="1" t="str">
        <f>IFERROR(__xludf.DUMMYFUNCTION("""COMPUTED_VALUE"""),"#N/A")</f>
        <v>#N/A</v>
      </c>
    </row>
    <row r="12502">
      <c r="A12502" s="1" t="str">
        <f>IFERROR(__xludf.DUMMYFUNCTION("""COMPUTED_VALUE"""),"#VALUE!")</f>
        <v>#VALUE!</v>
      </c>
      <c r="B12502" s="4"/>
      <c r="C12502" s="1" t="str">
        <f>IFERROR(__xludf.DUMMYFUNCTION("""COMPUTED_VALUE"""),"#N/A")</f>
        <v>#N/A</v>
      </c>
      <c r="D12502" s="1"/>
      <c r="E12502" s="1"/>
      <c r="F12502" s="1"/>
      <c r="G12502" s="1"/>
      <c r="H12502" s="2">
        <f>IFERROR(__xludf.DUMMYFUNCTION("""COMPUTED_VALUE"""),0.0)</f>
        <v>0</v>
      </c>
      <c r="I12502" s="5"/>
      <c r="J12502" s="1" t="str">
        <f>IFERROR(__xludf.DUMMYFUNCTION("""COMPUTED_VALUE"""),"#N/A")</f>
        <v>#N/A</v>
      </c>
      <c r="K12502" s="1" t="str">
        <f>IFERROR(__xludf.DUMMYFUNCTION("""COMPUTED_VALUE"""),"#N/A")</f>
        <v>#N/A</v>
      </c>
      <c r="L12502" s="1" t="str">
        <f>IFERROR(__xludf.DUMMYFUNCTION("""COMPUTED_VALUE"""),"#N/A")</f>
        <v>#N/A</v>
      </c>
    </row>
    <row r="12503">
      <c r="A12503" s="1" t="str">
        <f>IFERROR(__xludf.DUMMYFUNCTION("""COMPUTED_VALUE"""),"#VALUE!")</f>
        <v>#VALUE!</v>
      </c>
      <c r="B12503" s="4"/>
      <c r="C12503" s="1" t="str">
        <f>IFERROR(__xludf.DUMMYFUNCTION("""COMPUTED_VALUE"""),"#N/A")</f>
        <v>#N/A</v>
      </c>
      <c r="D12503" s="1"/>
      <c r="E12503" s="1"/>
      <c r="F12503" s="1"/>
      <c r="G12503" s="1"/>
      <c r="H12503" s="2">
        <f>IFERROR(__xludf.DUMMYFUNCTION("""COMPUTED_VALUE"""),0.0)</f>
        <v>0</v>
      </c>
      <c r="I12503" s="5"/>
      <c r="J12503" s="1" t="str">
        <f>IFERROR(__xludf.DUMMYFUNCTION("""COMPUTED_VALUE"""),"#N/A")</f>
        <v>#N/A</v>
      </c>
      <c r="K12503" s="1" t="str">
        <f>IFERROR(__xludf.DUMMYFUNCTION("""COMPUTED_VALUE"""),"#N/A")</f>
        <v>#N/A</v>
      </c>
      <c r="L12503" s="1" t="str">
        <f>IFERROR(__xludf.DUMMYFUNCTION("""COMPUTED_VALUE"""),"#N/A")</f>
        <v>#N/A</v>
      </c>
    </row>
    <row r="12504">
      <c r="A12504" s="1" t="str">
        <f>IFERROR(__xludf.DUMMYFUNCTION("""COMPUTED_VALUE"""),"#VALUE!")</f>
        <v>#VALUE!</v>
      </c>
      <c r="B12504" s="4"/>
      <c r="C12504" s="1" t="str">
        <f>IFERROR(__xludf.DUMMYFUNCTION("""COMPUTED_VALUE"""),"#N/A")</f>
        <v>#N/A</v>
      </c>
      <c r="D12504" s="1"/>
      <c r="E12504" s="1"/>
      <c r="F12504" s="1"/>
      <c r="G12504" s="1"/>
      <c r="H12504" s="2">
        <f>IFERROR(__xludf.DUMMYFUNCTION("""COMPUTED_VALUE"""),0.0)</f>
        <v>0</v>
      </c>
      <c r="I12504" s="5"/>
      <c r="J12504" s="1" t="str">
        <f>IFERROR(__xludf.DUMMYFUNCTION("""COMPUTED_VALUE"""),"#N/A")</f>
        <v>#N/A</v>
      </c>
      <c r="K12504" s="1" t="str">
        <f>IFERROR(__xludf.DUMMYFUNCTION("""COMPUTED_VALUE"""),"#N/A")</f>
        <v>#N/A</v>
      </c>
      <c r="L12504" s="1" t="str">
        <f>IFERROR(__xludf.DUMMYFUNCTION("""COMPUTED_VALUE"""),"#N/A")</f>
        <v>#N/A</v>
      </c>
    </row>
    <row r="12505">
      <c r="A12505" s="1" t="str">
        <f>IFERROR(__xludf.DUMMYFUNCTION("""COMPUTED_VALUE"""),"#VALUE!")</f>
        <v>#VALUE!</v>
      </c>
      <c r="B12505" s="4"/>
      <c r="C12505" s="1" t="str">
        <f>IFERROR(__xludf.DUMMYFUNCTION("""COMPUTED_VALUE"""),"#N/A")</f>
        <v>#N/A</v>
      </c>
      <c r="D12505" s="1"/>
      <c r="E12505" s="1"/>
      <c r="F12505" s="1"/>
      <c r="G12505" s="1"/>
      <c r="H12505" s="2">
        <f>IFERROR(__xludf.DUMMYFUNCTION("""COMPUTED_VALUE"""),0.0)</f>
        <v>0</v>
      </c>
      <c r="I12505" s="5"/>
      <c r="J12505" s="1" t="str">
        <f>IFERROR(__xludf.DUMMYFUNCTION("""COMPUTED_VALUE"""),"#N/A")</f>
        <v>#N/A</v>
      </c>
      <c r="K12505" s="1" t="str">
        <f>IFERROR(__xludf.DUMMYFUNCTION("""COMPUTED_VALUE"""),"#N/A")</f>
        <v>#N/A</v>
      </c>
      <c r="L12505" s="1" t="str">
        <f>IFERROR(__xludf.DUMMYFUNCTION("""COMPUTED_VALUE"""),"#N/A")</f>
        <v>#N/A</v>
      </c>
    </row>
    <row r="12506">
      <c r="A12506" s="1" t="str">
        <f>IFERROR(__xludf.DUMMYFUNCTION("""COMPUTED_VALUE"""),"#VALUE!")</f>
        <v>#VALUE!</v>
      </c>
      <c r="B12506" s="4"/>
      <c r="C12506" s="1" t="str">
        <f>IFERROR(__xludf.DUMMYFUNCTION("""COMPUTED_VALUE"""),"#N/A")</f>
        <v>#N/A</v>
      </c>
      <c r="D12506" s="1"/>
      <c r="E12506" s="1"/>
      <c r="F12506" s="1"/>
      <c r="G12506" s="1"/>
      <c r="H12506" s="2">
        <f>IFERROR(__xludf.DUMMYFUNCTION("""COMPUTED_VALUE"""),0.0)</f>
        <v>0</v>
      </c>
      <c r="I12506" s="5"/>
      <c r="J12506" s="1" t="str">
        <f>IFERROR(__xludf.DUMMYFUNCTION("""COMPUTED_VALUE"""),"#N/A")</f>
        <v>#N/A</v>
      </c>
      <c r="K12506" s="1" t="str">
        <f>IFERROR(__xludf.DUMMYFUNCTION("""COMPUTED_VALUE"""),"#N/A")</f>
        <v>#N/A</v>
      </c>
      <c r="L12506" s="1" t="str">
        <f>IFERROR(__xludf.DUMMYFUNCTION("""COMPUTED_VALUE"""),"#N/A")</f>
        <v>#N/A</v>
      </c>
    </row>
    <row r="12507">
      <c r="A12507" s="1" t="str">
        <f>IFERROR(__xludf.DUMMYFUNCTION("""COMPUTED_VALUE"""),"#VALUE!")</f>
        <v>#VALUE!</v>
      </c>
      <c r="B12507" s="4"/>
      <c r="C12507" s="1" t="str">
        <f>IFERROR(__xludf.DUMMYFUNCTION("""COMPUTED_VALUE"""),"#N/A")</f>
        <v>#N/A</v>
      </c>
      <c r="D12507" s="1"/>
      <c r="E12507" s="1"/>
      <c r="F12507" s="1"/>
      <c r="G12507" s="1"/>
      <c r="H12507" s="2">
        <f>IFERROR(__xludf.DUMMYFUNCTION("""COMPUTED_VALUE"""),0.0)</f>
        <v>0</v>
      </c>
      <c r="I12507" s="5"/>
      <c r="J12507" s="1" t="str">
        <f>IFERROR(__xludf.DUMMYFUNCTION("""COMPUTED_VALUE"""),"#N/A")</f>
        <v>#N/A</v>
      </c>
      <c r="K12507" s="1" t="str">
        <f>IFERROR(__xludf.DUMMYFUNCTION("""COMPUTED_VALUE"""),"#N/A")</f>
        <v>#N/A</v>
      </c>
      <c r="L12507" s="1" t="str">
        <f>IFERROR(__xludf.DUMMYFUNCTION("""COMPUTED_VALUE"""),"#N/A")</f>
        <v>#N/A</v>
      </c>
    </row>
    <row r="12508">
      <c r="A12508" s="1" t="str">
        <f>IFERROR(__xludf.DUMMYFUNCTION("""COMPUTED_VALUE"""),"#VALUE!")</f>
        <v>#VALUE!</v>
      </c>
      <c r="B12508" s="4"/>
      <c r="C12508" s="1" t="str">
        <f>IFERROR(__xludf.DUMMYFUNCTION("""COMPUTED_VALUE"""),"#N/A")</f>
        <v>#N/A</v>
      </c>
      <c r="D12508" s="1"/>
      <c r="E12508" s="1"/>
      <c r="F12508" s="1"/>
      <c r="G12508" s="1"/>
      <c r="H12508" s="2">
        <f>IFERROR(__xludf.DUMMYFUNCTION("""COMPUTED_VALUE"""),0.0)</f>
        <v>0</v>
      </c>
      <c r="I12508" s="5"/>
      <c r="J12508" s="1" t="str">
        <f>IFERROR(__xludf.DUMMYFUNCTION("""COMPUTED_VALUE"""),"#N/A")</f>
        <v>#N/A</v>
      </c>
      <c r="K12508" s="1" t="str">
        <f>IFERROR(__xludf.DUMMYFUNCTION("""COMPUTED_VALUE"""),"#N/A")</f>
        <v>#N/A</v>
      </c>
      <c r="L12508" s="1" t="str">
        <f>IFERROR(__xludf.DUMMYFUNCTION("""COMPUTED_VALUE"""),"#N/A")</f>
        <v>#N/A</v>
      </c>
    </row>
    <row r="12509">
      <c r="A12509" s="1" t="str">
        <f>IFERROR(__xludf.DUMMYFUNCTION("""COMPUTED_VALUE"""),"#VALUE!")</f>
        <v>#VALUE!</v>
      </c>
      <c r="B12509" s="4"/>
      <c r="C12509" s="1" t="str">
        <f>IFERROR(__xludf.DUMMYFUNCTION("""COMPUTED_VALUE"""),"#N/A")</f>
        <v>#N/A</v>
      </c>
      <c r="D12509" s="1"/>
      <c r="E12509" s="1"/>
      <c r="F12509" s="1"/>
      <c r="G12509" s="1"/>
      <c r="H12509" s="2">
        <f>IFERROR(__xludf.DUMMYFUNCTION("""COMPUTED_VALUE"""),0.0)</f>
        <v>0</v>
      </c>
      <c r="I12509" s="5"/>
      <c r="J12509" s="1" t="str">
        <f>IFERROR(__xludf.DUMMYFUNCTION("""COMPUTED_VALUE"""),"#N/A")</f>
        <v>#N/A</v>
      </c>
      <c r="K12509" s="1" t="str">
        <f>IFERROR(__xludf.DUMMYFUNCTION("""COMPUTED_VALUE"""),"#N/A")</f>
        <v>#N/A</v>
      </c>
      <c r="L12509" s="1" t="str">
        <f>IFERROR(__xludf.DUMMYFUNCTION("""COMPUTED_VALUE"""),"#N/A")</f>
        <v>#N/A</v>
      </c>
    </row>
    <row r="12510">
      <c r="A12510" s="1" t="str">
        <f>IFERROR(__xludf.DUMMYFUNCTION("""COMPUTED_VALUE"""),"#VALUE!")</f>
        <v>#VALUE!</v>
      </c>
      <c r="B12510" s="4"/>
      <c r="C12510" s="1" t="str">
        <f>IFERROR(__xludf.DUMMYFUNCTION("""COMPUTED_VALUE"""),"#N/A")</f>
        <v>#N/A</v>
      </c>
      <c r="D12510" s="1"/>
      <c r="E12510" s="1"/>
      <c r="F12510" s="1"/>
      <c r="G12510" s="1"/>
      <c r="H12510" s="2">
        <f>IFERROR(__xludf.DUMMYFUNCTION("""COMPUTED_VALUE"""),0.0)</f>
        <v>0</v>
      </c>
      <c r="I12510" s="5"/>
      <c r="J12510" s="1" t="str">
        <f>IFERROR(__xludf.DUMMYFUNCTION("""COMPUTED_VALUE"""),"#N/A")</f>
        <v>#N/A</v>
      </c>
      <c r="K12510" s="1" t="str">
        <f>IFERROR(__xludf.DUMMYFUNCTION("""COMPUTED_VALUE"""),"#N/A")</f>
        <v>#N/A</v>
      </c>
      <c r="L12510" s="1" t="str">
        <f>IFERROR(__xludf.DUMMYFUNCTION("""COMPUTED_VALUE"""),"#N/A")</f>
        <v>#N/A</v>
      </c>
    </row>
    <row r="12511">
      <c r="A12511" s="1" t="str">
        <f>IFERROR(__xludf.DUMMYFUNCTION("""COMPUTED_VALUE"""),"#VALUE!")</f>
        <v>#VALUE!</v>
      </c>
      <c r="B12511" s="4"/>
      <c r="C12511" s="1" t="str">
        <f>IFERROR(__xludf.DUMMYFUNCTION("""COMPUTED_VALUE"""),"#N/A")</f>
        <v>#N/A</v>
      </c>
      <c r="D12511" s="1"/>
      <c r="E12511" s="1"/>
      <c r="F12511" s="1"/>
      <c r="G12511" s="1"/>
      <c r="H12511" s="2">
        <f>IFERROR(__xludf.DUMMYFUNCTION("""COMPUTED_VALUE"""),0.0)</f>
        <v>0</v>
      </c>
      <c r="I12511" s="5"/>
      <c r="J12511" s="1" t="str">
        <f>IFERROR(__xludf.DUMMYFUNCTION("""COMPUTED_VALUE"""),"#N/A")</f>
        <v>#N/A</v>
      </c>
      <c r="K12511" s="1" t="str">
        <f>IFERROR(__xludf.DUMMYFUNCTION("""COMPUTED_VALUE"""),"#N/A")</f>
        <v>#N/A</v>
      </c>
      <c r="L12511" s="1" t="str">
        <f>IFERROR(__xludf.DUMMYFUNCTION("""COMPUTED_VALUE"""),"#N/A")</f>
        <v>#N/A</v>
      </c>
    </row>
    <row r="12512">
      <c r="A12512" s="1" t="str">
        <f>IFERROR(__xludf.DUMMYFUNCTION("""COMPUTED_VALUE"""),"#VALUE!")</f>
        <v>#VALUE!</v>
      </c>
      <c r="B12512" s="4"/>
      <c r="C12512" s="1" t="str">
        <f>IFERROR(__xludf.DUMMYFUNCTION("""COMPUTED_VALUE"""),"#N/A")</f>
        <v>#N/A</v>
      </c>
      <c r="D12512" s="1"/>
      <c r="E12512" s="1"/>
      <c r="F12512" s="1"/>
      <c r="G12512" s="1"/>
      <c r="H12512" s="2">
        <f>IFERROR(__xludf.DUMMYFUNCTION("""COMPUTED_VALUE"""),0.0)</f>
        <v>0</v>
      </c>
      <c r="I12512" s="5"/>
      <c r="J12512" s="1" t="str">
        <f>IFERROR(__xludf.DUMMYFUNCTION("""COMPUTED_VALUE"""),"#N/A")</f>
        <v>#N/A</v>
      </c>
      <c r="K12512" s="1" t="str">
        <f>IFERROR(__xludf.DUMMYFUNCTION("""COMPUTED_VALUE"""),"#N/A")</f>
        <v>#N/A</v>
      </c>
      <c r="L12512" s="1" t="str">
        <f>IFERROR(__xludf.DUMMYFUNCTION("""COMPUTED_VALUE"""),"#N/A")</f>
        <v>#N/A</v>
      </c>
    </row>
    <row r="12513">
      <c r="A12513" s="1" t="str">
        <f>IFERROR(__xludf.DUMMYFUNCTION("""COMPUTED_VALUE"""),"#VALUE!")</f>
        <v>#VALUE!</v>
      </c>
      <c r="B12513" s="4"/>
      <c r="C12513" s="1" t="str">
        <f>IFERROR(__xludf.DUMMYFUNCTION("""COMPUTED_VALUE"""),"#N/A")</f>
        <v>#N/A</v>
      </c>
      <c r="D12513" s="1"/>
      <c r="E12513" s="1"/>
      <c r="F12513" s="1"/>
      <c r="G12513" s="1"/>
      <c r="H12513" s="2">
        <f>IFERROR(__xludf.DUMMYFUNCTION("""COMPUTED_VALUE"""),0.0)</f>
        <v>0</v>
      </c>
      <c r="I12513" s="5"/>
      <c r="J12513" s="1" t="str">
        <f>IFERROR(__xludf.DUMMYFUNCTION("""COMPUTED_VALUE"""),"#N/A")</f>
        <v>#N/A</v>
      </c>
      <c r="K12513" s="1" t="str">
        <f>IFERROR(__xludf.DUMMYFUNCTION("""COMPUTED_VALUE"""),"#N/A")</f>
        <v>#N/A</v>
      </c>
      <c r="L12513" s="1" t="str">
        <f>IFERROR(__xludf.DUMMYFUNCTION("""COMPUTED_VALUE"""),"#N/A")</f>
        <v>#N/A</v>
      </c>
    </row>
    <row r="12514">
      <c r="A12514" s="1" t="str">
        <f>IFERROR(__xludf.DUMMYFUNCTION("""COMPUTED_VALUE"""),"#VALUE!")</f>
        <v>#VALUE!</v>
      </c>
      <c r="B12514" s="4"/>
      <c r="C12514" s="1" t="str">
        <f>IFERROR(__xludf.DUMMYFUNCTION("""COMPUTED_VALUE"""),"#N/A")</f>
        <v>#N/A</v>
      </c>
      <c r="D12514" s="1"/>
      <c r="E12514" s="1"/>
      <c r="F12514" s="1"/>
      <c r="G12514" s="1"/>
      <c r="H12514" s="2">
        <f>IFERROR(__xludf.DUMMYFUNCTION("""COMPUTED_VALUE"""),0.0)</f>
        <v>0</v>
      </c>
      <c r="I12514" s="5"/>
      <c r="J12514" s="1" t="str">
        <f>IFERROR(__xludf.DUMMYFUNCTION("""COMPUTED_VALUE"""),"#N/A")</f>
        <v>#N/A</v>
      </c>
      <c r="K12514" s="1" t="str">
        <f>IFERROR(__xludf.DUMMYFUNCTION("""COMPUTED_VALUE"""),"#N/A")</f>
        <v>#N/A</v>
      </c>
      <c r="L12514" s="1" t="str">
        <f>IFERROR(__xludf.DUMMYFUNCTION("""COMPUTED_VALUE"""),"#N/A")</f>
        <v>#N/A</v>
      </c>
    </row>
    <row r="12515">
      <c r="A12515" s="1" t="str">
        <f>IFERROR(__xludf.DUMMYFUNCTION("""COMPUTED_VALUE"""),"#VALUE!")</f>
        <v>#VALUE!</v>
      </c>
      <c r="B12515" s="4"/>
      <c r="C12515" s="1" t="str">
        <f>IFERROR(__xludf.DUMMYFUNCTION("""COMPUTED_VALUE"""),"#N/A")</f>
        <v>#N/A</v>
      </c>
      <c r="D12515" s="1"/>
      <c r="E12515" s="1"/>
      <c r="F12515" s="1"/>
      <c r="G12515" s="1"/>
      <c r="H12515" s="2">
        <f>IFERROR(__xludf.DUMMYFUNCTION("""COMPUTED_VALUE"""),0.0)</f>
        <v>0</v>
      </c>
      <c r="I12515" s="5"/>
      <c r="J12515" s="1" t="str">
        <f>IFERROR(__xludf.DUMMYFUNCTION("""COMPUTED_VALUE"""),"#N/A")</f>
        <v>#N/A</v>
      </c>
      <c r="K12515" s="1" t="str">
        <f>IFERROR(__xludf.DUMMYFUNCTION("""COMPUTED_VALUE"""),"#N/A")</f>
        <v>#N/A</v>
      </c>
      <c r="L12515" s="1" t="str">
        <f>IFERROR(__xludf.DUMMYFUNCTION("""COMPUTED_VALUE"""),"#N/A")</f>
        <v>#N/A</v>
      </c>
    </row>
    <row r="12516">
      <c r="A12516" s="1" t="str">
        <f>IFERROR(__xludf.DUMMYFUNCTION("""COMPUTED_VALUE"""),"#VALUE!")</f>
        <v>#VALUE!</v>
      </c>
      <c r="B12516" s="4"/>
      <c r="C12516" s="1" t="str">
        <f>IFERROR(__xludf.DUMMYFUNCTION("""COMPUTED_VALUE"""),"#N/A")</f>
        <v>#N/A</v>
      </c>
      <c r="D12516" s="1"/>
      <c r="E12516" s="1"/>
      <c r="F12516" s="1"/>
      <c r="G12516" s="1"/>
      <c r="H12516" s="2">
        <f>IFERROR(__xludf.DUMMYFUNCTION("""COMPUTED_VALUE"""),0.0)</f>
        <v>0</v>
      </c>
      <c r="I12516" s="5"/>
      <c r="J12516" s="1" t="str">
        <f>IFERROR(__xludf.DUMMYFUNCTION("""COMPUTED_VALUE"""),"#N/A")</f>
        <v>#N/A</v>
      </c>
      <c r="K12516" s="1" t="str">
        <f>IFERROR(__xludf.DUMMYFUNCTION("""COMPUTED_VALUE"""),"#N/A")</f>
        <v>#N/A</v>
      </c>
      <c r="L12516" s="1" t="str">
        <f>IFERROR(__xludf.DUMMYFUNCTION("""COMPUTED_VALUE"""),"#N/A")</f>
        <v>#N/A</v>
      </c>
    </row>
    <row r="12517">
      <c r="A12517" s="1" t="str">
        <f>IFERROR(__xludf.DUMMYFUNCTION("""COMPUTED_VALUE"""),"#VALUE!")</f>
        <v>#VALUE!</v>
      </c>
      <c r="B12517" s="4"/>
      <c r="C12517" s="1" t="str">
        <f>IFERROR(__xludf.DUMMYFUNCTION("""COMPUTED_VALUE"""),"#N/A")</f>
        <v>#N/A</v>
      </c>
      <c r="D12517" s="1"/>
      <c r="E12517" s="1"/>
      <c r="F12517" s="1"/>
      <c r="G12517" s="1"/>
      <c r="H12517" s="2">
        <f>IFERROR(__xludf.DUMMYFUNCTION("""COMPUTED_VALUE"""),0.0)</f>
        <v>0</v>
      </c>
      <c r="I12517" s="5"/>
      <c r="J12517" s="1" t="str">
        <f>IFERROR(__xludf.DUMMYFUNCTION("""COMPUTED_VALUE"""),"#N/A")</f>
        <v>#N/A</v>
      </c>
      <c r="K12517" s="1" t="str">
        <f>IFERROR(__xludf.DUMMYFUNCTION("""COMPUTED_VALUE"""),"#N/A")</f>
        <v>#N/A</v>
      </c>
      <c r="L12517" s="1" t="str">
        <f>IFERROR(__xludf.DUMMYFUNCTION("""COMPUTED_VALUE"""),"#N/A")</f>
        <v>#N/A</v>
      </c>
    </row>
    <row r="12518">
      <c r="A12518" s="1" t="str">
        <f>IFERROR(__xludf.DUMMYFUNCTION("""COMPUTED_VALUE"""),"#VALUE!")</f>
        <v>#VALUE!</v>
      </c>
      <c r="B12518" s="4"/>
      <c r="C12518" s="1" t="str">
        <f>IFERROR(__xludf.DUMMYFUNCTION("""COMPUTED_VALUE"""),"#N/A")</f>
        <v>#N/A</v>
      </c>
      <c r="D12518" s="1"/>
      <c r="E12518" s="1"/>
      <c r="F12518" s="1"/>
      <c r="G12518" s="1"/>
      <c r="H12518" s="2">
        <f>IFERROR(__xludf.DUMMYFUNCTION("""COMPUTED_VALUE"""),0.0)</f>
        <v>0</v>
      </c>
      <c r="I12518" s="5"/>
      <c r="J12518" s="1" t="str">
        <f>IFERROR(__xludf.DUMMYFUNCTION("""COMPUTED_VALUE"""),"#N/A")</f>
        <v>#N/A</v>
      </c>
      <c r="K12518" s="1" t="str">
        <f>IFERROR(__xludf.DUMMYFUNCTION("""COMPUTED_VALUE"""),"#N/A")</f>
        <v>#N/A</v>
      </c>
      <c r="L12518" s="1" t="str">
        <f>IFERROR(__xludf.DUMMYFUNCTION("""COMPUTED_VALUE"""),"#N/A")</f>
        <v>#N/A</v>
      </c>
    </row>
    <row r="12519">
      <c r="A12519" s="1" t="str">
        <f>IFERROR(__xludf.DUMMYFUNCTION("""COMPUTED_VALUE"""),"#VALUE!")</f>
        <v>#VALUE!</v>
      </c>
      <c r="B12519" s="4"/>
      <c r="C12519" s="1" t="str">
        <f>IFERROR(__xludf.DUMMYFUNCTION("""COMPUTED_VALUE"""),"#N/A")</f>
        <v>#N/A</v>
      </c>
      <c r="D12519" s="1"/>
      <c r="E12519" s="1"/>
      <c r="F12519" s="1"/>
      <c r="G12519" s="1"/>
      <c r="H12519" s="2">
        <f>IFERROR(__xludf.DUMMYFUNCTION("""COMPUTED_VALUE"""),0.0)</f>
        <v>0</v>
      </c>
      <c r="I12519" s="5"/>
      <c r="J12519" s="1" t="str">
        <f>IFERROR(__xludf.DUMMYFUNCTION("""COMPUTED_VALUE"""),"#N/A")</f>
        <v>#N/A</v>
      </c>
      <c r="K12519" s="1" t="str">
        <f>IFERROR(__xludf.DUMMYFUNCTION("""COMPUTED_VALUE"""),"#N/A")</f>
        <v>#N/A</v>
      </c>
      <c r="L12519" s="1" t="str">
        <f>IFERROR(__xludf.DUMMYFUNCTION("""COMPUTED_VALUE"""),"#N/A")</f>
        <v>#N/A</v>
      </c>
    </row>
    <row r="12520">
      <c r="A12520" s="1" t="str">
        <f>IFERROR(__xludf.DUMMYFUNCTION("""COMPUTED_VALUE"""),"#VALUE!")</f>
        <v>#VALUE!</v>
      </c>
      <c r="B12520" s="4"/>
      <c r="C12520" s="1" t="str">
        <f>IFERROR(__xludf.DUMMYFUNCTION("""COMPUTED_VALUE"""),"#N/A")</f>
        <v>#N/A</v>
      </c>
      <c r="D12520" s="1"/>
      <c r="E12520" s="1"/>
      <c r="F12520" s="1"/>
      <c r="G12520" s="1"/>
      <c r="H12520" s="2">
        <f>IFERROR(__xludf.DUMMYFUNCTION("""COMPUTED_VALUE"""),0.0)</f>
        <v>0</v>
      </c>
      <c r="I12520" s="5"/>
      <c r="J12520" s="1" t="str">
        <f>IFERROR(__xludf.DUMMYFUNCTION("""COMPUTED_VALUE"""),"#N/A")</f>
        <v>#N/A</v>
      </c>
      <c r="K12520" s="1" t="str">
        <f>IFERROR(__xludf.DUMMYFUNCTION("""COMPUTED_VALUE"""),"#N/A")</f>
        <v>#N/A</v>
      </c>
      <c r="L12520" s="1" t="str">
        <f>IFERROR(__xludf.DUMMYFUNCTION("""COMPUTED_VALUE"""),"#N/A")</f>
        <v>#N/A</v>
      </c>
    </row>
    <row r="12521">
      <c r="A12521" s="1" t="str">
        <f>IFERROR(__xludf.DUMMYFUNCTION("""COMPUTED_VALUE"""),"#VALUE!")</f>
        <v>#VALUE!</v>
      </c>
      <c r="B12521" s="4"/>
      <c r="C12521" s="1" t="str">
        <f>IFERROR(__xludf.DUMMYFUNCTION("""COMPUTED_VALUE"""),"#N/A")</f>
        <v>#N/A</v>
      </c>
      <c r="D12521" s="1"/>
      <c r="E12521" s="1"/>
      <c r="F12521" s="1"/>
      <c r="G12521" s="1"/>
      <c r="H12521" s="2">
        <f>IFERROR(__xludf.DUMMYFUNCTION("""COMPUTED_VALUE"""),0.0)</f>
        <v>0</v>
      </c>
      <c r="I12521" s="5"/>
      <c r="J12521" s="1" t="str">
        <f>IFERROR(__xludf.DUMMYFUNCTION("""COMPUTED_VALUE"""),"#N/A")</f>
        <v>#N/A</v>
      </c>
      <c r="K12521" s="1" t="str">
        <f>IFERROR(__xludf.DUMMYFUNCTION("""COMPUTED_VALUE"""),"#N/A")</f>
        <v>#N/A</v>
      </c>
      <c r="L12521" s="1" t="str">
        <f>IFERROR(__xludf.DUMMYFUNCTION("""COMPUTED_VALUE"""),"#N/A")</f>
        <v>#N/A</v>
      </c>
    </row>
    <row r="12522">
      <c r="A12522" s="1" t="str">
        <f>IFERROR(__xludf.DUMMYFUNCTION("""COMPUTED_VALUE"""),"#VALUE!")</f>
        <v>#VALUE!</v>
      </c>
      <c r="B12522" s="4"/>
      <c r="C12522" s="1" t="str">
        <f>IFERROR(__xludf.DUMMYFUNCTION("""COMPUTED_VALUE"""),"#N/A")</f>
        <v>#N/A</v>
      </c>
      <c r="D12522" s="1"/>
      <c r="E12522" s="1"/>
      <c r="F12522" s="1"/>
      <c r="G12522" s="1"/>
      <c r="H12522" s="2">
        <f>IFERROR(__xludf.DUMMYFUNCTION("""COMPUTED_VALUE"""),0.0)</f>
        <v>0</v>
      </c>
      <c r="I12522" s="5"/>
      <c r="J12522" s="1" t="str">
        <f>IFERROR(__xludf.DUMMYFUNCTION("""COMPUTED_VALUE"""),"#N/A")</f>
        <v>#N/A</v>
      </c>
      <c r="K12522" s="1" t="str">
        <f>IFERROR(__xludf.DUMMYFUNCTION("""COMPUTED_VALUE"""),"#N/A")</f>
        <v>#N/A</v>
      </c>
      <c r="L12522" s="1" t="str">
        <f>IFERROR(__xludf.DUMMYFUNCTION("""COMPUTED_VALUE"""),"#N/A")</f>
        <v>#N/A</v>
      </c>
    </row>
    <row r="12523">
      <c r="A12523" s="1" t="str">
        <f>IFERROR(__xludf.DUMMYFUNCTION("""COMPUTED_VALUE"""),"#VALUE!")</f>
        <v>#VALUE!</v>
      </c>
      <c r="B12523" s="4"/>
      <c r="C12523" s="1" t="str">
        <f>IFERROR(__xludf.DUMMYFUNCTION("""COMPUTED_VALUE"""),"#N/A")</f>
        <v>#N/A</v>
      </c>
      <c r="D12523" s="1"/>
      <c r="E12523" s="1"/>
      <c r="F12523" s="1"/>
      <c r="G12523" s="1"/>
      <c r="H12523" s="2">
        <f>IFERROR(__xludf.DUMMYFUNCTION("""COMPUTED_VALUE"""),0.0)</f>
        <v>0</v>
      </c>
      <c r="I12523" s="5"/>
      <c r="J12523" s="1" t="str">
        <f>IFERROR(__xludf.DUMMYFUNCTION("""COMPUTED_VALUE"""),"#N/A")</f>
        <v>#N/A</v>
      </c>
      <c r="K12523" s="1" t="str">
        <f>IFERROR(__xludf.DUMMYFUNCTION("""COMPUTED_VALUE"""),"#N/A")</f>
        <v>#N/A</v>
      </c>
      <c r="L12523" s="1" t="str">
        <f>IFERROR(__xludf.DUMMYFUNCTION("""COMPUTED_VALUE"""),"#N/A")</f>
        <v>#N/A</v>
      </c>
    </row>
    <row r="12524">
      <c r="A12524" s="1" t="str">
        <f>IFERROR(__xludf.DUMMYFUNCTION("""COMPUTED_VALUE"""),"#VALUE!")</f>
        <v>#VALUE!</v>
      </c>
      <c r="B12524" s="4"/>
      <c r="C12524" s="1" t="str">
        <f>IFERROR(__xludf.DUMMYFUNCTION("""COMPUTED_VALUE"""),"#N/A")</f>
        <v>#N/A</v>
      </c>
      <c r="D12524" s="1"/>
      <c r="E12524" s="1"/>
      <c r="F12524" s="1"/>
      <c r="G12524" s="1"/>
      <c r="H12524" s="2">
        <f>IFERROR(__xludf.DUMMYFUNCTION("""COMPUTED_VALUE"""),0.0)</f>
        <v>0</v>
      </c>
      <c r="I12524" s="5"/>
      <c r="J12524" s="1" t="str">
        <f>IFERROR(__xludf.DUMMYFUNCTION("""COMPUTED_VALUE"""),"#N/A")</f>
        <v>#N/A</v>
      </c>
      <c r="K12524" s="1" t="str">
        <f>IFERROR(__xludf.DUMMYFUNCTION("""COMPUTED_VALUE"""),"#N/A")</f>
        <v>#N/A</v>
      </c>
      <c r="L12524" s="1" t="str">
        <f>IFERROR(__xludf.DUMMYFUNCTION("""COMPUTED_VALUE"""),"#N/A")</f>
        <v>#N/A</v>
      </c>
    </row>
    <row r="12525">
      <c r="A12525" s="1" t="str">
        <f>IFERROR(__xludf.DUMMYFUNCTION("""COMPUTED_VALUE"""),"#VALUE!")</f>
        <v>#VALUE!</v>
      </c>
      <c r="B12525" s="4"/>
      <c r="C12525" s="1" t="str">
        <f>IFERROR(__xludf.DUMMYFUNCTION("""COMPUTED_VALUE"""),"#N/A")</f>
        <v>#N/A</v>
      </c>
      <c r="D12525" s="1"/>
      <c r="E12525" s="1"/>
      <c r="F12525" s="1"/>
      <c r="G12525" s="1"/>
      <c r="H12525" s="2">
        <f>IFERROR(__xludf.DUMMYFUNCTION("""COMPUTED_VALUE"""),0.0)</f>
        <v>0</v>
      </c>
      <c r="I12525" s="5"/>
      <c r="J12525" s="1" t="str">
        <f>IFERROR(__xludf.DUMMYFUNCTION("""COMPUTED_VALUE"""),"#N/A")</f>
        <v>#N/A</v>
      </c>
      <c r="K12525" s="1" t="str">
        <f>IFERROR(__xludf.DUMMYFUNCTION("""COMPUTED_VALUE"""),"#N/A")</f>
        <v>#N/A</v>
      </c>
      <c r="L12525" s="1" t="str">
        <f>IFERROR(__xludf.DUMMYFUNCTION("""COMPUTED_VALUE"""),"#N/A")</f>
        <v>#N/A</v>
      </c>
    </row>
    <row r="12526">
      <c r="A12526" s="1" t="str">
        <f>IFERROR(__xludf.DUMMYFUNCTION("""COMPUTED_VALUE"""),"#VALUE!")</f>
        <v>#VALUE!</v>
      </c>
      <c r="B12526" s="4"/>
      <c r="C12526" s="1" t="str">
        <f>IFERROR(__xludf.DUMMYFUNCTION("""COMPUTED_VALUE"""),"#N/A")</f>
        <v>#N/A</v>
      </c>
      <c r="D12526" s="1"/>
      <c r="E12526" s="1"/>
      <c r="F12526" s="1"/>
      <c r="G12526" s="1"/>
      <c r="H12526" s="2">
        <f>IFERROR(__xludf.DUMMYFUNCTION("""COMPUTED_VALUE"""),0.0)</f>
        <v>0</v>
      </c>
      <c r="I12526" s="5"/>
      <c r="J12526" s="1" t="str">
        <f>IFERROR(__xludf.DUMMYFUNCTION("""COMPUTED_VALUE"""),"#N/A")</f>
        <v>#N/A</v>
      </c>
      <c r="K12526" s="1" t="str">
        <f>IFERROR(__xludf.DUMMYFUNCTION("""COMPUTED_VALUE"""),"#N/A")</f>
        <v>#N/A</v>
      </c>
      <c r="L12526" s="1" t="str">
        <f>IFERROR(__xludf.DUMMYFUNCTION("""COMPUTED_VALUE"""),"#N/A")</f>
        <v>#N/A</v>
      </c>
    </row>
    <row r="12527">
      <c r="A12527" s="1" t="str">
        <f>IFERROR(__xludf.DUMMYFUNCTION("""COMPUTED_VALUE"""),"#VALUE!")</f>
        <v>#VALUE!</v>
      </c>
      <c r="B12527" s="4"/>
      <c r="C12527" s="1" t="str">
        <f>IFERROR(__xludf.DUMMYFUNCTION("""COMPUTED_VALUE"""),"#N/A")</f>
        <v>#N/A</v>
      </c>
      <c r="D12527" s="1"/>
      <c r="E12527" s="1"/>
      <c r="F12527" s="1"/>
      <c r="G12527" s="1"/>
      <c r="H12527" s="2">
        <f>IFERROR(__xludf.DUMMYFUNCTION("""COMPUTED_VALUE"""),0.0)</f>
        <v>0</v>
      </c>
      <c r="I12527" s="5"/>
      <c r="J12527" s="1" t="str">
        <f>IFERROR(__xludf.DUMMYFUNCTION("""COMPUTED_VALUE"""),"#N/A")</f>
        <v>#N/A</v>
      </c>
      <c r="K12527" s="1" t="str">
        <f>IFERROR(__xludf.DUMMYFUNCTION("""COMPUTED_VALUE"""),"#N/A")</f>
        <v>#N/A</v>
      </c>
      <c r="L12527" s="1" t="str">
        <f>IFERROR(__xludf.DUMMYFUNCTION("""COMPUTED_VALUE"""),"#N/A")</f>
        <v>#N/A</v>
      </c>
    </row>
    <row r="12528">
      <c r="A12528" s="1" t="str">
        <f>IFERROR(__xludf.DUMMYFUNCTION("""COMPUTED_VALUE"""),"#VALUE!")</f>
        <v>#VALUE!</v>
      </c>
      <c r="B12528" s="4"/>
      <c r="C12528" s="1" t="str">
        <f>IFERROR(__xludf.DUMMYFUNCTION("""COMPUTED_VALUE"""),"#N/A")</f>
        <v>#N/A</v>
      </c>
      <c r="D12528" s="1"/>
      <c r="E12528" s="1"/>
      <c r="F12528" s="1"/>
      <c r="G12528" s="1"/>
      <c r="H12528" s="2">
        <f>IFERROR(__xludf.DUMMYFUNCTION("""COMPUTED_VALUE"""),0.0)</f>
        <v>0</v>
      </c>
      <c r="I12528" s="5"/>
      <c r="J12528" s="1" t="str">
        <f>IFERROR(__xludf.DUMMYFUNCTION("""COMPUTED_VALUE"""),"#N/A")</f>
        <v>#N/A</v>
      </c>
      <c r="K12528" s="1" t="str">
        <f>IFERROR(__xludf.DUMMYFUNCTION("""COMPUTED_VALUE"""),"#N/A")</f>
        <v>#N/A</v>
      </c>
      <c r="L12528" s="1" t="str">
        <f>IFERROR(__xludf.DUMMYFUNCTION("""COMPUTED_VALUE"""),"#N/A")</f>
        <v>#N/A</v>
      </c>
    </row>
    <row r="12529">
      <c r="A12529" s="1" t="str">
        <f>IFERROR(__xludf.DUMMYFUNCTION("""COMPUTED_VALUE"""),"#VALUE!")</f>
        <v>#VALUE!</v>
      </c>
      <c r="B12529" s="4"/>
      <c r="C12529" s="1" t="str">
        <f>IFERROR(__xludf.DUMMYFUNCTION("""COMPUTED_VALUE"""),"#N/A")</f>
        <v>#N/A</v>
      </c>
      <c r="D12529" s="1"/>
      <c r="E12529" s="1"/>
      <c r="F12529" s="1"/>
      <c r="G12529" s="1"/>
      <c r="H12529" s="2">
        <f>IFERROR(__xludf.DUMMYFUNCTION("""COMPUTED_VALUE"""),0.0)</f>
        <v>0</v>
      </c>
      <c r="I12529" s="5"/>
      <c r="J12529" s="1" t="str">
        <f>IFERROR(__xludf.DUMMYFUNCTION("""COMPUTED_VALUE"""),"#N/A")</f>
        <v>#N/A</v>
      </c>
      <c r="K12529" s="1" t="str">
        <f>IFERROR(__xludf.DUMMYFUNCTION("""COMPUTED_VALUE"""),"#N/A")</f>
        <v>#N/A</v>
      </c>
      <c r="L12529" s="1" t="str">
        <f>IFERROR(__xludf.DUMMYFUNCTION("""COMPUTED_VALUE"""),"#N/A")</f>
        <v>#N/A</v>
      </c>
    </row>
    <row r="12530">
      <c r="A12530" s="1" t="str">
        <f>IFERROR(__xludf.DUMMYFUNCTION("""COMPUTED_VALUE"""),"#VALUE!")</f>
        <v>#VALUE!</v>
      </c>
      <c r="B12530" s="4"/>
      <c r="C12530" s="1" t="str">
        <f>IFERROR(__xludf.DUMMYFUNCTION("""COMPUTED_VALUE"""),"#N/A")</f>
        <v>#N/A</v>
      </c>
      <c r="D12530" s="1"/>
      <c r="E12530" s="1"/>
      <c r="F12530" s="1"/>
      <c r="G12530" s="1"/>
      <c r="H12530" s="2">
        <f>IFERROR(__xludf.DUMMYFUNCTION("""COMPUTED_VALUE"""),0.0)</f>
        <v>0</v>
      </c>
      <c r="I12530" s="5"/>
      <c r="J12530" s="1" t="str">
        <f>IFERROR(__xludf.DUMMYFUNCTION("""COMPUTED_VALUE"""),"#N/A")</f>
        <v>#N/A</v>
      </c>
      <c r="K12530" s="1" t="str">
        <f>IFERROR(__xludf.DUMMYFUNCTION("""COMPUTED_VALUE"""),"#N/A")</f>
        <v>#N/A</v>
      </c>
      <c r="L12530" s="1" t="str">
        <f>IFERROR(__xludf.DUMMYFUNCTION("""COMPUTED_VALUE"""),"#N/A")</f>
        <v>#N/A</v>
      </c>
    </row>
    <row r="12531">
      <c r="A12531" s="1" t="str">
        <f>IFERROR(__xludf.DUMMYFUNCTION("""COMPUTED_VALUE"""),"#VALUE!")</f>
        <v>#VALUE!</v>
      </c>
      <c r="B12531" s="4"/>
      <c r="C12531" s="1" t="str">
        <f>IFERROR(__xludf.DUMMYFUNCTION("""COMPUTED_VALUE"""),"#N/A")</f>
        <v>#N/A</v>
      </c>
      <c r="D12531" s="1"/>
      <c r="E12531" s="1"/>
      <c r="F12531" s="1"/>
      <c r="G12531" s="1"/>
      <c r="H12531" s="2">
        <f>IFERROR(__xludf.DUMMYFUNCTION("""COMPUTED_VALUE"""),0.0)</f>
        <v>0</v>
      </c>
      <c r="I12531" s="5"/>
      <c r="J12531" s="1" t="str">
        <f>IFERROR(__xludf.DUMMYFUNCTION("""COMPUTED_VALUE"""),"#N/A")</f>
        <v>#N/A</v>
      </c>
      <c r="K12531" s="1" t="str">
        <f>IFERROR(__xludf.DUMMYFUNCTION("""COMPUTED_VALUE"""),"#N/A")</f>
        <v>#N/A</v>
      </c>
      <c r="L12531" s="1" t="str">
        <f>IFERROR(__xludf.DUMMYFUNCTION("""COMPUTED_VALUE"""),"#N/A")</f>
        <v>#N/A</v>
      </c>
    </row>
    <row r="12532">
      <c r="A12532" s="1" t="str">
        <f>IFERROR(__xludf.DUMMYFUNCTION("""COMPUTED_VALUE"""),"#VALUE!")</f>
        <v>#VALUE!</v>
      </c>
      <c r="B12532" s="4"/>
      <c r="C12532" s="1" t="str">
        <f>IFERROR(__xludf.DUMMYFUNCTION("""COMPUTED_VALUE"""),"#N/A")</f>
        <v>#N/A</v>
      </c>
      <c r="D12532" s="1"/>
      <c r="E12532" s="1"/>
      <c r="F12532" s="1"/>
      <c r="G12532" s="1"/>
      <c r="H12532" s="2">
        <f>IFERROR(__xludf.DUMMYFUNCTION("""COMPUTED_VALUE"""),0.0)</f>
        <v>0</v>
      </c>
      <c r="I12532" s="5"/>
      <c r="J12532" s="1" t="str">
        <f>IFERROR(__xludf.DUMMYFUNCTION("""COMPUTED_VALUE"""),"#N/A")</f>
        <v>#N/A</v>
      </c>
      <c r="K12532" s="1" t="str">
        <f>IFERROR(__xludf.DUMMYFUNCTION("""COMPUTED_VALUE"""),"#N/A")</f>
        <v>#N/A</v>
      </c>
      <c r="L12532" s="1" t="str">
        <f>IFERROR(__xludf.DUMMYFUNCTION("""COMPUTED_VALUE"""),"#N/A")</f>
        <v>#N/A</v>
      </c>
    </row>
    <row r="12533">
      <c r="A12533" s="1" t="str">
        <f>IFERROR(__xludf.DUMMYFUNCTION("""COMPUTED_VALUE"""),"#VALUE!")</f>
        <v>#VALUE!</v>
      </c>
      <c r="B12533" s="4"/>
      <c r="C12533" s="1" t="str">
        <f>IFERROR(__xludf.DUMMYFUNCTION("""COMPUTED_VALUE"""),"#N/A")</f>
        <v>#N/A</v>
      </c>
      <c r="D12533" s="1"/>
      <c r="E12533" s="1"/>
      <c r="F12533" s="1"/>
      <c r="G12533" s="1"/>
      <c r="H12533" s="2">
        <f>IFERROR(__xludf.DUMMYFUNCTION("""COMPUTED_VALUE"""),0.0)</f>
        <v>0</v>
      </c>
      <c r="I12533" s="5"/>
      <c r="J12533" s="1" t="str">
        <f>IFERROR(__xludf.DUMMYFUNCTION("""COMPUTED_VALUE"""),"#N/A")</f>
        <v>#N/A</v>
      </c>
      <c r="K12533" s="1" t="str">
        <f>IFERROR(__xludf.DUMMYFUNCTION("""COMPUTED_VALUE"""),"#N/A")</f>
        <v>#N/A</v>
      </c>
      <c r="L12533" s="1" t="str">
        <f>IFERROR(__xludf.DUMMYFUNCTION("""COMPUTED_VALUE"""),"#N/A")</f>
        <v>#N/A</v>
      </c>
    </row>
    <row r="12534">
      <c r="A12534" s="1" t="str">
        <f>IFERROR(__xludf.DUMMYFUNCTION("""COMPUTED_VALUE"""),"#VALUE!")</f>
        <v>#VALUE!</v>
      </c>
      <c r="B12534" s="4"/>
      <c r="C12534" s="1" t="str">
        <f>IFERROR(__xludf.DUMMYFUNCTION("""COMPUTED_VALUE"""),"#N/A")</f>
        <v>#N/A</v>
      </c>
      <c r="D12534" s="1"/>
      <c r="E12534" s="1"/>
      <c r="F12534" s="1"/>
      <c r="G12534" s="1"/>
      <c r="H12534" s="2">
        <f>IFERROR(__xludf.DUMMYFUNCTION("""COMPUTED_VALUE"""),0.0)</f>
        <v>0</v>
      </c>
      <c r="I12534" s="5"/>
      <c r="J12534" s="1" t="str">
        <f>IFERROR(__xludf.DUMMYFUNCTION("""COMPUTED_VALUE"""),"#N/A")</f>
        <v>#N/A</v>
      </c>
      <c r="K12534" s="1" t="str">
        <f>IFERROR(__xludf.DUMMYFUNCTION("""COMPUTED_VALUE"""),"#N/A")</f>
        <v>#N/A</v>
      </c>
      <c r="L12534" s="1" t="str">
        <f>IFERROR(__xludf.DUMMYFUNCTION("""COMPUTED_VALUE"""),"#N/A")</f>
        <v>#N/A</v>
      </c>
    </row>
    <row r="12535">
      <c r="A12535" s="1" t="str">
        <f>IFERROR(__xludf.DUMMYFUNCTION("""COMPUTED_VALUE"""),"#VALUE!")</f>
        <v>#VALUE!</v>
      </c>
      <c r="B12535" s="4"/>
      <c r="C12535" s="1" t="str">
        <f>IFERROR(__xludf.DUMMYFUNCTION("""COMPUTED_VALUE"""),"#N/A")</f>
        <v>#N/A</v>
      </c>
      <c r="D12535" s="1"/>
      <c r="E12535" s="1"/>
      <c r="F12535" s="1"/>
      <c r="G12535" s="1"/>
      <c r="H12535" s="2">
        <f>IFERROR(__xludf.DUMMYFUNCTION("""COMPUTED_VALUE"""),0.0)</f>
        <v>0</v>
      </c>
      <c r="I12535" s="5"/>
      <c r="J12535" s="1" t="str">
        <f>IFERROR(__xludf.DUMMYFUNCTION("""COMPUTED_VALUE"""),"#N/A")</f>
        <v>#N/A</v>
      </c>
      <c r="K12535" s="1" t="str">
        <f>IFERROR(__xludf.DUMMYFUNCTION("""COMPUTED_VALUE"""),"#N/A")</f>
        <v>#N/A</v>
      </c>
      <c r="L12535" s="1" t="str">
        <f>IFERROR(__xludf.DUMMYFUNCTION("""COMPUTED_VALUE"""),"#N/A")</f>
        <v>#N/A</v>
      </c>
    </row>
    <row r="12536">
      <c r="A12536" s="1" t="str">
        <f>IFERROR(__xludf.DUMMYFUNCTION("""COMPUTED_VALUE"""),"#VALUE!")</f>
        <v>#VALUE!</v>
      </c>
      <c r="B12536" s="4"/>
      <c r="C12536" s="1" t="str">
        <f>IFERROR(__xludf.DUMMYFUNCTION("""COMPUTED_VALUE"""),"#N/A")</f>
        <v>#N/A</v>
      </c>
      <c r="D12536" s="1"/>
      <c r="E12536" s="1"/>
      <c r="F12536" s="1"/>
      <c r="G12536" s="1"/>
      <c r="H12536" s="2">
        <f>IFERROR(__xludf.DUMMYFUNCTION("""COMPUTED_VALUE"""),0.0)</f>
        <v>0</v>
      </c>
      <c r="I12536" s="5"/>
      <c r="J12536" s="1" t="str">
        <f>IFERROR(__xludf.DUMMYFUNCTION("""COMPUTED_VALUE"""),"#N/A")</f>
        <v>#N/A</v>
      </c>
      <c r="K12536" s="1" t="str">
        <f>IFERROR(__xludf.DUMMYFUNCTION("""COMPUTED_VALUE"""),"#N/A")</f>
        <v>#N/A</v>
      </c>
      <c r="L12536" s="1" t="str">
        <f>IFERROR(__xludf.DUMMYFUNCTION("""COMPUTED_VALUE"""),"#N/A")</f>
        <v>#N/A</v>
      </c>
    </row>
    <row r="12537">
      <c r="A12537" s="1" t="str">
        <f>IFERROR(__xludf.DUMMYFUNCTION("""COMPUTED_VALUE"""),"#VALUE!")</f>
        <v>#VALUE!</v>
      </c>
      <c r="B12537" s="4"/>
      <c r="C12537" s="1" t="str">
        <f>IFERROR(__xludf.DUMMYFUNCTION("""COMPUTED_VALUE"""),"#N/A")</f>
        <v>#N/A</v>
      </c>
      <c r="D12537" s="1"/>
      <c r="E12537" s="1"/>
      <c r="F12537" s="1"/>
      <c r="G12537" s="1"/>
      <c r="H12537" s="2">
        <f>IFERROR(__xludf.DUMMYFUNCTION("""COMPUTED_VALUE"""),0.0)</f>
        <v>0</v>
      </c>
      <c r="I12537" s="5"/>
      <c r="J12537" s="1" t="str">
        <f>IFERROR(__xludf.DUMMYFUNCTION("""COMPUTED_VALUE"""),"#N/A")</f>
        <v>#N/A</v>
      </c>
      <c r="K12537" s="1" t="str">
        <f>IFERROR(__xludf.DUMMYFUNCTION("""COMPUTED_VALUE"""),"#N/A")</f>
        <v>#N/A</v>
      </c>
      <c r="L12537" s="1" t="str">
        <f>IFERROR(__xludf.DUMMYFUNCTION("""COMPUTED_VALUE"""),"#N/A")</f>
        <v>#N/A</v>
      </c>
    </row>
    <row r="12538">
      <c r="A12538" s="1" t="str">
        <f>IFERROR(__xludf.DUMMYFUNCTION("""COMPUTED_VALUE"""),"#VALUE!")</f>
        <v>#VALUE!</v>
      </c>
      <c r="B12538" s="4"/>
      <c r="C12538" s="1" t="str">
        <f>IFERROR(__xludf.DUMMYFUNCTION("""COMPUTED_VALUE"""),"#N/A")</f>
        <v>#N/A</v>
      </c>
      <c r="D12538" s="1"/>
      <c r="E12538" s="1"/>
      <c r="F12538" s="1"/>
      <c r="G12538" s="1"/>
      <c r="H12538" s="2">
        <f>IFERROR(__xludf.DUMMYFUNCTION("""COMPUTED_VALUE"""),0.0)</f>
        <v>0</v>
      </c>
      <c r="I12538" s="5"/>
      <c r="J12538" s="1" t="str">
        <f>IFERROR(__xludf.DUMMYFUNCTION("""COMPUTED_VALUE"""),"#N/A")</f>
        <v>#N/A</v>
      </c>
      <c r="K12538" s="1" t="str">
        <f>IFERROR(__xludf.DUMMYFUNCTION("""COMPUTED_VALUE"""),"#N/A")</f>
        <v>#N/A</v>
      </c>
      <c r="L12538" s="1" t="str">
        <f>IFERROR(__xludf.DUMMYFUNCTION("""COMPUTED_VALUE"""),"#N/A")</f>
        <v>#N/A</v>
      </c>
    </row>
    <row r="12539">
      <c r="A12539" s="1" t="str">
        <f>IFERROR(__xludf.DUMMYFUNCTION("""COMPUTED_VALUE"""),"#VALUE!")</f>
        <v>#VALUE!</v>
      </c>
      <c r="B12539" s="4"/>
      <c r="C12539" s="1" t="str">
        <f>IFERROR(__xludf.DUMMYFUNCTION("""COMPUTED_VALUE"""),"#N/A")</f>
        <v>#N/A</v>
      </c>
      <c r="D12539" s="1"/>
      <c r="E12539" s="1"/>
      <c r="F12539" s="1"/>
      <c r="G12539" s="1"/>
      <c r="H12539" s="2">
        <f>IFERROR(__xludf.DUMMYFUNCTION("""COMPUTED_VALUE"""),0.0)</f>
        <v>0</v>
      </c>
      <c r="I12539" s="5"/>
      <c r="J12539" s="1" t="str">
        <f>IFERROR(__xludf.DUMMYFUNCTION("""COMPUTED_VALUE"""),"#N/A")</f>
        <v>#N/A</v>
      </c>
      <c r="K12539" s="1" t="str">
        <f>IFERROR(__xludf.DUMMYFUNCTION("""COMPUTED_VALUE"""),"#N/A")</f>
        <v>#N/A</v>
      </c>
      <c r="L12539" s="1" t="str">
        <f>IFERROR(__xludf.DUMMYFUNCTION("""COMPUTED_VALUE"""),"#N/A")</f>
        <v>#N/A</v>
      </c>
    </row>
    <row r="12540">
      <c r="A12540" s="1" t="str">
        <f>IFERROR(__xludf.DUMMYFUNCTION("""COMPUTED_VALUE"""),"#VALUE!")</f>
        <v>#VALUE!</v>
      </c>
      <c r="B12540" s="4"/>
      <c r="C12540" s="1" t="str">
        <f>IFERROR(__xludf.DUMMYFUNCTION("""COMPUTED_VALUE"""),"#N/A")</f>
        <v>#N/A</v>
      </c>
      <c r="D12540" s="1"/>
      <c r="E12540" s="1"/>
      <c r="F12540" s="1"/>
      <c r="G12540" s="1"/>
      <c r="H12540" s="2">
        <f>IFERROR(__xludf.DUMMYFUNCTION("""COMPUTED_VALUE"""),0.0)</f>
        <v>0</v>
      </c>
      <c r="I12540" s="5"/>
      <c r="J12540" s="1" t="str">
        <f>IFERROR(__xludf.DUMMYFUNCTION("""COMPUTED_VALUE"""),"#N/A")</f>
        <v>#N/A</v>
      </c>
      <c r="K12540" s="1" t="str">
        <f>IFERROR(__xludf.DUMMYFUNCTION("""COMPUTED_VALUE"""),"#N/A")</f>
        <v>#N/A</v>
      </c>
      <c r="L12540" s="1" t="str">
        <f>IFERROR(__xludf.DUMMYFUNCTION("""COMPUTED_VALUE"""),"#N/A")</f>
        <v>#N/A</v>
      </c>
    </row>
    <row r="12541">
      <c r="A12541" s="1" t="str">
        <f>IFERROR(__xludf.DUMMYFUNCTION("""COMPUTED_VALUE"""),"#VALUE!")</f>
        <v>#VALUE!</v>
      </c>
      <c r="B12541" s="4"/>
      <c r="C12541" s="1" t="str">
        <f>IFERROR(__xludf.DUMMYFUNCTION("""COMPUTED_VALUE"""),"#N/A")</f>
        <v>#N/A</v>
      </c>
      <c r="D12541" s="1"/>
      <c r="E12541" s="1"/>
      <c r="F12541" s="1"/>
      <c r="G12541" s="1"/>
      <c r="H12541" s="2">
        <f>IFERROR(__xludf.DUMMYFUNCTION("""COMPUTED_VALUE"""),0.0)</f>
        <v>0</v>
      </c>
      <c r="I12541" s="5"/>
      <c r="J12541" s="1" t="str">
        <f>IFERROR(__xludf.DUMMYFUNCTION("""COMPUTED_VALUE"""),"#N/A")</f>
        <v>#N/A</v>
      </c>
      <c r="K12541" s="1" t="str">
        <f>IFERROR(__xludf.DUMMYFUNCTION("""COMPUTED_VALUE"""),"#N/A")</f>
        <v>#N/A</v>
      </c>
      <c r="L12541" s="1" t="str">
        <f>IFERROR(__xludf.DUMMYFUNCTION("""COMPUTED_VALUE"""),"#N/A")</f>
        <v>#N/A</v>
      </c>
    </row>
    <row r="12542">
      <c r="A12542" s="1" t="str">
        <f>IFERROR(__xludf.DUMMYFUNCTION("""COMPUTED_VALUE"""),"#VALUE!")</f>
        <v>#VALUE!</v>
      </c>
      <c r="B12542" s="4"/>
      <c r="C12542" s="1" t="str">
        <f>IFERROR(__xludf.DUMMYFUNCTION("""COMPUTED_VALUE"""),"#N/A")</f>
        <v>#N/A</v>
      </c>
      <c r="D12542" s="1"/>
      <c r="E12542" s="1"/>
      <c r="F12542" s="1"/>
      <c r="G12542" s="1"/>
      <c r="H12542" s="2">
        <f>IFERROR(__xludf.DUMMYFUNCTION("""COMPUTED_VALUE"""),0.0)</f>
        <v>0</v>
      </c>
      <c r="I12542" s="5"/>
      <c r="J12542" s="1" t="str">
        <f>IFERROR(__xludf.DUMMYFUNCTION("""COMPUTED_VALUE"""),"#N/A")</f>
        <v>#N/A</v>
      </c>
      <c r="K12542" s="1" t="str">
        <f>IFERROR(__xludf.DUMMYFUNCTION("""COMPUTED_VALUE"""),"#N/A")</f>
        <v>#N/A</v>
      </c>
      <c r="L12542" s="1" t="str">
        <f>IFERROR(__xludf.DUMMYFUNCTION("""COMPUTED_VALUE"""),"#N/A")</f>
        <v>#N/A</v>
      </c>
    </row>
    <row r="12543">
      <c r="A12543" s="1" t="str">
        <f>IFERROR(__xludf.DUMMYFUNCTION("""COMPUTED_VALUE"""),"#VALUE!")</f>
        <v>#VALUE!</v>
      </c>
      <c r="B12543" s="4"/>
      <c r="C12543" s="1" t="str">
        <f>IFERROR(__xludf.DUMMYFUNCTION("""COMPUTED_VALUE"""),"#N/A")</f>
        <v>#N/A</v>
      </c>
      <c r="D12543" s="1"/>
      <c r="E12543" s="1"/>
      <c r="F12543" s="1"/>
      <c r="G12543" s="1"/>
      <c r="H12543" s="2">
        <f>IFERROR(__xludf.DUMMYFUNCTION("""COMPUTED_VALUE"""),0.0)</f>
        <v>0</v>
      </c>
      <c r="I12543" s="5"/>
      <c r="J12543" s="1" t="str">
        <f>IFERROR(__xludf.DUMMYFUNCTION("""COMPUTED_VALUE"""),"#N/A")</f>
        <v>#N/A</v>
      </c>
      <c r="K12543" s="1" t="str">
        <f>IFERROR(__xludf.DUMMYFUNCTION("""COMPUTED_VALUE"""),"#N/A")</f>
        <v>#N/A</v>
      </c>
      <c r="L12543" s="1" t="str">
        <f>IFERROR(__xludf.DUMMYFUNCTION("""COMPUTED_VALUE"""),"#N/A")</f>
        <v>#N/A</v>
      </c>
    </row>
    <row r="12544">
      <c r="A12544" s="1" t="str">
        <f>IFERROR(__xludf.DUMMYFUNCTION("""COMPUTED_VALUE"""),"#VALUE!")</f>
        <v>#VALUE!</v>
      </c>
      <c r="B12544" s="4"/>
      <c r="C12544" s="1" t="str">
        <f>IFERROR(__xludf.DUMMYFUNCTION("""COMPUTED_VALUE"""),"#N/A")</f>
        <v>#N/A</v>
      </c>
      <c r="D12544" s="1"/>
      <c r="E12544" s="1"/>
      <c r="F12544" s="1"/>
      <c r="G12544" s="1"/>
      <c r="H12544" s="2">
        <f>IFERROR(__xludf.DUMMYFUNCTION("""COMPUTED_VALUE"""),0.0)</f>
        <v>0</v>
      </c>
      <c r="I12544" s="5"/>
      <c r="J12544" s="1" t="str">
        <f>IFERROR(__xludf.DUMMYFUNCTION("""COMPUTED_VALUE"""),"#N/A")</f>
        <v>#N/A</v>
      </c>
      <c r="K12544" s="1" t="str">
        <f>IFERROR(__xludf.DUMMYFUNCTION("""COMPUTED_VALUE"""),"#N/A")</f>
        <v>#N/A</v>
      </c>
      <c r="L12544" s="1" t="str">
        <f>IFERROR(__xludf.DUMMYFUNCTION("""COMPUTED_VALUE"""),"#N/A")</f>
        <v>#N/A</v>
      </c>
    </row>
    <row r="12545">
      <c r="A12545" s="1" t="str">
        <f>IFERROR(__xludf.DUMMYFUNCTION("""COMPUTED_VALUE"""),"#VALUE!")</f>
        <v>#VALUE!</v>
      </c>
      <c r="B12545" s="4"/>
      <c r="C12545" s="1" t="str">
        <f>IFERROR(__xludf.DUMMYFUNCTION("""COMPUTED_VALUE"""),"#N/A")</f>
        <v>#N/A</v>
      </c>
      <c r="D12545" s="1"/>
      <c r="E12545" s="1"/>
      <c r="F12545" s="1"/>
      <c r="G12545" s="1"/>
      <c r="H12545" s="2">
        <f>IFERROR(__xludf.DUMMYFUNCTION("""COMPUTED_VALUE"""),0.0)</f>
        <v>0</v>
      </c>
      <c r="I12545" s="5"/>
      <c r="J12545" s="1" t="str">
        <f>IFERROR(__xludf.DUMMYFUNCTION("""COMPUTED_VALUE"""),"#N/A")</f>
        <v>#N/A</v>
      </c>
      <c r="K12545" s="1" t="str">
        <f>IFERROR(__xludf.DUMMYFUNCTION("""COMPUTED_VALUE"""),"#N/A")</f>
        <v>#N/A</v>
      </c>
      <c r="L12545" s="1" t="str">
        <f>IFERROR(__xludf.DUMMYFUNCTION("""COMPUTED_VALUE"""),"#N/A")</f>
        <v>#N/A</v>
      </c>
    </row>
    <row r="12546">
      <c r="A12546" s="1" t="str">
        <f>IFERROR(__xludf.DUMMYFUNCTION("""COMPUTED_VALUE"""),"#VALUE!")</f>
        <v>#VALUE!</v>
      </c>
      <c r="B12546" s="4"/>
      <c r="C12546" s="1" t="str">
        <f>IFERROR(__xludf.DUMMYFUNCTION("""COMPUTED_VALUE"""),"#N/A")</f>
        <v>#N/A</v>
      </c>
      <c r="D12546" s="1"/>
      <c r="E12546" s="1"/>
      <c r="F12546" s="1"/>
      <c r="G12546" s="1"/>
      <c r="H12546" s="2">
        <f>IFERROR(__xludf.DUMMYFUNCTION("""COMPUTED_VALUE"""),0.0)</f>
        <v>0</v>
      </c>
      <c r="I12546" s="5"/>
      <c r="J12546" s="1" t="str">
        <f>IFERROR(__xludf.DUMMYFUNCTION("""COMPUTED_VALUE"""),"#N/A")</f>
        <v>#N/A</v>
      </c>
      <c r="K12546" s="1" t="str">
        <f>IFERROR(__xludf.DUMMYFUNCTION("""COMPUTED_VALUE"""),"#N/A")</f>
        <v>#N/A</v>
      </c>
      <c r="L12546" s="1" t="str">
        <f>IFERROR(__xludf.DUMMYFUNCTION("""COMPUTED_VALUE"""),"#N/A")</f>
        <v>#N/A</v>
      </c>
    </row>
    <row r="12547">
      <c r="A12547" s="1" t="str">
        <f>IFERROR(__xludf.DUMMYFUNCTION("""COMPUTED_VALUE"""),"#VALUE!")</f>
        <v>#VALUE!</v>
      </c>
      <c r="B12547" s="4"/>
      <c r="C12547" s="1" t="str">
        <f>IFERROR(__xludf.DUMMYFUNCTION("""COMPUTED_VALUE"""),"#N/A")</f>
        <v>#N/A</v>
      </c>
      <c r="D12547" s="1"/>
      <c r="E12547" s="1"/>
      <c r="F12547" s="1"/>
      <c r="G12547" s="1"/>
      <c r="H12547" s="2">
        <f>IFERROR(__xludf.DUMMYFUNCTION("""COMPUTED_VALUE"""),0.0)</f>
        <v>0</v>
      </c>
      <c r="I12547" s="5"/>
      <c r="J12547" s="1" t="str">
        <f>IFERROR(__xludf.DUMMYFUNCTION("""COMPUTED_VALUE"""),"#N/A")</f>
        <v>#N/A</v>
      </c>
      <c r="K12547" s="1" t="str">
        <f>IFERROR(__xludf.DUMMYFUNCTION("""COMPUTED_VALUE"""),"#N/A")</f>
        <v>#N/A</v>
      </c>
      <c r="L12547" s="1" t="str">
        <f>IFERROR(__xludf.DUMMYFUNCTION("""COMPUTED_VALUE"""),"#N/A")</f>
        <v>#N/A</v>
      </c>
    </row>
    <row r="12548">
      <c r="A12548" s="1" t="str">
        <f>IFERROR(__xludf.DUMMYFUNCTION("""COMPUTED_VALUE"""),"#VALUE!")</f>
        <v>#VALUE!</v>
      </c>
      <c r="B12548" s="4"/>
      <c r="C12548" s="1" t="str">
        <f>IFERROR(__xludf.DUMMYFUNCTION("""COMPUTED_VALUE"""),"#N/A")</f>
        <v>#N/A</v>
      </c>
      <c r="D12548" s="1"/>
      <c r="E12548" s="1"/>
      <c r="F12548" s="1"/>
      <c r="G12548" s="1"/>
      <c r="H12548" s="2">
        <f>IFERROR(__xludf.DUMMYFUNCTION("""COMPUTED_VALUE"""),0.0)</f>
        <v>0</v>
      </c>
      <c r="I12548" s="5"/>
      <c r="J12548" s="1" t="str">
        <f>IFERROR(__xludf.DUMMYFUNCTION("""COMPUTED_VALUE"""),"#N/A")</f>
        <v>#N/A</v>
      </c>
      <c r="K12548" s="1" t="str">
        <f>IFERROR(__xludf.DUMMYFUNCTION("""COMPUTED_VALUE"""),"#N/A")</f>
        <v>#N/A</v>
      </c>
      <c r="L12548" s="1" t="str">
        <f>IFERROR(__xludf.DUMMYFUNCTION("""COMPUTED_VALUE"""),"#N/A")</f>
        <v>#N/A</v>
      </c>
    </row>
    <row r="12549">
      <c r="A12549" s="1" t="str">
        <f>IFERROR(__xludf.DUMMYFUNCTION("""COMPUTED_VALUE"""),"#VALUE!")</f>
        <v>#VALUE!</v>
      </c>
      <c r="B12549" s="4"/>
      <c r="C12549" s="1" t="str">
        <f>IFERROR(__xludf.DUMMYFUNCTION("""COMPUTED_VALUE"""),"#N/A")</f>
        <v>#N/A</v>
      </c>
      <c r="D12549" s="1"/>
      <c r="E12549" s="1"/>
      <c r="F12549" s="1"/>
      <c r="G12549" s="1"/>
      <c r="H12549" s="2">
        <f>IFERROR(__xludf.DUMMYFUNCTION("""COMPUTED_VALUE"""),0.0)</f>
        <v>0</v>
      </c>
      <c r="I12549" s="5"/>
      <c r="J12549" s="1" t="str">
        <f>IFERROR(__xludf.DUMMYFUNCTION("""COMPUTED_VALUE"""),"#N/A")</f>
        <v>#N/A</v>
      </c>
      <c r="K12549" s="1" t="str">
        <f>IFERROR(__xludf.DUMMYFUNCTION("""COMPUTED_VALUE"""),"#N/A")</f>
        <v>#N/A</v>
      </c>
      <c r="L12549" s="1" t="str">
        <f>IFERROR(__xludf.DUMMYFUNCTION("""COMPUTED_VALUE"""),"#N/A")</f>
        <v>#N/A</v>
      </c>
    </row>
    <row r="12550">
      <c r="A12550" s="1" t="str">
        <f>IFERROR(__xludf.DUMMYFUNCTION("""COMPUTED_VALUE"""),"#VALUE!")</f>
        <v>#VALUE!</v>
      </c>
      <c r="B12550" s="4"/>
      <c r="C12550" s="1" t="str">
        <f>IFERROR(__xludf.DUMMYFUNCTION("""COMPUTED_VALUE"""),"#N/A")</f>
        <v>#N/A</v>
      </c>
      <c r="D12550" s="1"/>
      <c r="E12550" s="1"/>
      <c r="F12550" s="1"/>
      <c r="G12550" s="1"/>
      <c r="H12550" s="2">
        <f>IFERROR(__xludf.DUMMYFUNCTION("""COMPUTED_VALUE"""),0.0)</f>
        <v>0</v>
      </c>
      <c r="I12550" s="5"/>
      <c r="J12550" s="1" t="str">
        <f>IFERROR(__xludf.DUMMYFUNCTION("""COMPUTED_VALUE"""),"#N/A")</f>
        <v>#N/A</v>
      </c>
      <c r="K12550" s="1" t="str">
        <f>IFERROR(__xludf.DUMMYFUNCTION("""COMPUTED_VALUE"""),"#N/A")</f>
        <v>#N/A</v>
      </c>
      <c r="L12550" s="1" t="str">
        <f>IFERROR(__xludf.DUMMYFUNCTION("""COMPUTED_VALUE"""),"#N/A")</f>
        <v>#N/A</v>
      </c>
    </row>
    <row r="12551">
      <c r="A12551" s="1" t="str">
        <f>IFERROR(__xludf.DUMMYFUNCTION("""COMPUTED_VALUE"""),"#VALUE!")</f>
        <v>#VALUE!</v>
      </c>
      <c r="B12551" s="4"/>
      <c r="C12551" s="1" t="str">
        <f>IFERROR(__xludf.DUMMYFUNCTION("""COMPUTED_VALUE"""),"#N/A")</f>
        <v>#N/A</v>
      </c>
      <c r="D12551" s="1"/>
      <c r="E12551" s="1"/>
      <c r="F12551" s="1"/>
      <c r="G12551" s="1"/>
      <c r="H12551" s="2">
        <f>IFERROR(__xludf.DUMMYFUNCTION("""COMPUTED_VALUE"""),0.0)</f>
        <v>0</v>
      </c>
      <c r="I12551" s="5"/>
      <c r="J12551" s="1" t="str">
        <f>IFERROR(__xludf.DUMMYFUNCTION("""COMPUTED_VALUE"""),"#N/A")</f>
        <v>#N/A</v>
      </c>
      <c r="K12551" s="1" t="str">
        <f>IFERROR(__xludf.DUMMYFUNCTION("""COMPUTED_VALUE"""),"#N/A")</f>
        <v>#N/A</v>
      </c>
      <c r="L12551" s="1" t="str">
        <f>IFERROR(__xludf.DUMMYFUNCTION("""COMPUTED_VALUE"""),"#N/A")</f>
        <v>#N/A</v>
      </c>
    </row>
    <row r="12552">
      <c r="A12552" s="1" t="str">
        <f>IFERROR(__xludf.DUMMYFUNCTION("""COMPUTED_VALUE"""),"#VALUE!")</f>
        <v>#VALUE!</v>
      </c>
      <c r="B12552" s="4"/>
      <c r="C12552" s="1" t="str">
        <f>IFERROR(__xludf.DUMMYFUNCTION("""COMPUTED_VALUE"""),"#N/A")</f>
        <v>#N/A</v>
      </c>
      <c r="D12552" s="1"/>
      <c r="E12552" s="1"/>
      <c r="F12552" s="1"/>
      <c r="G12552" s="1"/>
      <c r="H12552" s="2">
        <f>IFERROR(__xludf.DUMMYFUNCTION("""COMPUTED_VALUE"""),0.0)</f>
        <v>0</v>
      </c>
      <c r="I12552" s="5"/>
      <c r="J12552" s="1" t="str">
        <f>IFERROR(__xludf.DUMMYFUNCTION("""COMPUTED_VALUE"""),"#N/A")</f>
        <v>#N/A</v>
      </c>
      <c r="K12552" s="1" t="str">
        <f>IFERROR(__xludf.DUMMYFUNCTION("""COMPUTED_VALUE"""),"#N/A")</f>
        <v>#N/A</v>
      </c>
      <c r="L12552" s="1" t="str">
        <f>IFERROR(__xludf.DUMMYFUNCTION("""COMPUTED_VALUE"""),"#N/A")</f>
        <v>#N/A</v>
      </c>
    </row>
    <row r="12553">
      <c r="A12553" s="1" t="str">
        <f>IFERROR(__xludf.DUMMYFUNCTION("""COMPUTED_VALUE"""),"#VALUE!")</f>
        <v>#VALUE!</v>
      </c>
      <c r="B12553" s="4"/>
      <c r="C12553" s="1" t="str">
        <f>IFERROR(__xludf.DUMMYFUNCTION("""COMPUTED_VALUE"""),"#N/A")</f>
        <v>#N/A</v>
      </c>
      <c r="D12553" s="1"/>
      <c r="E12553" s="1"/>
      <c r="F12553" s="1"/>
      <c r="G12553" s="1"/>
      <c r="H12553" s="2">
        <f>IFERROR(__xludf.DUMMYFUNCTION("""COMPUTED_VALUE"""),0.0)</f>
        <v>0</v>
      </c>
      <c r="I12553" s="5"/>
      <c r="J12553" s="1" t="str">
        <f>IFERROR(__xludf.DUMMYFUNCTION("""COMPUTED_VALUE"""),"#N/A")</f>
        <v>#N/A</v>
      </c>
      <c r="K12553" s="1" t="str">
        <f>IFERROR(__xludf.DUMMYFUNCTION("""COMPUTED_VALUE"""),"#N/A")</f>
        <v>#N/A</v>
      </c>
      <c r="L12553" s="1" t="str">
        <f>IFERROR(__xludf.DUMMYFUNCTION("""COMPUTED_VALUE"""),"#N/A")</f>
        <v>#N/A</v>
      </c>
    </row>
    <row r="12554">
      <c r="A12554" s="1" t="str">
        <f>IFERROR(__xludf.DUMMYFUNCTION("""COMPUTED_VALUE"""),"#VALUE!")</f>
        <v>#VALUE!</v>
      </c>
      <c r="B12554" s="4"/>
      <c r="C12554" s="1" t="str">
        <f>IFERROR(__xludf.DUMMYFUNCTION("""COMPUTED_VALUE"""),"#N/A")</f>
        <v>#N/A</v>
      </c>
      <c r="D12554" s="1"/>
      <c r="E12554" s="1"/>
      <c r="F12554" s="1"/>
      <c r="G12554" s="1"/>
      <c r="H12554" s="2">
        <f>IFERROR(__xludf.DUMMYFUNCTION("""COMPUTED_VALUE"""),0.0)</f>
        <v>0</v>
      </c>
      <c r="I12554" s="5"/>
      <c r="J12554" s="1" t="str">
        <f>IFERROR(__xludf.DUMMYFUNCTION("""COMPUTED_VALUE"""),"#N/A")</f>
        <v>#N/A</v>
      </c>
      <c r="K12554" s="1" t="str">
        <f>IFERROR(__xludf.DUMMYFUNCTION("""COMPUTED_VALUE"""),"#N/A")</f>
        <v>#N/A</v>
      </c>
      <c r="L12554" s="1" t="str">
        <f>IFERROR(__xludf.DUMMYFUNCTION("""COMPUTED_VALUE"""),"#N/A")</f>
        <v>#N/A</v>
      </c>
    </row>
    <row r="12555">
      <c r="A12555" s="1" t="str">
        <f>IFERROR(__xludf.DUMMYFUNCTION("""COMPUTED_VALUE"""),"#VALUE!")</f>
        <v>#VALUE!</v>
      </c>
      <c r="B12555" s="4"/>
      <c r="C12555" s="1" t="str">
        <f>IFERROR(__xludf.DUMMYFUNCTION("""COMPUTED_VALUE"""),"#N/A")</f>
        <v>#N/A</v>
      </c>
      <c r="D12555" s="1"/>
      <c r="E12555" s="1"/>
      <c r="F12555" s="1"/>
      <c r="G12555" s="1"/>
      <c r="H12555" s="2">
        <f>IFERROR(__xludf.DUMMYFUNCTION("""COMPUTED_VALUE"""),0.0)</f>
        <v>0</v>
      </c>
      <c r="I12555" s="5"/>
      <c r="J12555" s="1" t="str">
        <f>IFERROR(__xludf.DUMMYFUNCTION("""COMPUTED_VALUE"""),"#N/A")</f>
        <v>#N/A</v>
      </c>
      <c r="K12555" s="1" t="str">
        <f>IFERROR(__xludf.DUMMYFUNCTION("""COMPUTED_VALUE"""),"#N/A")</f>
        <v>#N/A</v>
      </c>
      <c r="L12555" s="1" t="str">
        <f>IFERROR(__xludf.DUMMYFUNCTION("""COMPUTED_VALUE"""),"#N/A")</f>
        <v>#N/A</v>
      </c>
    </row>
    <row r="12556">
      <c r="A12556" s="1" t="str">
        <f>IFERROR(__xludf.DUMMYFUNCTION("""COMPUTED_VALUE"""),"#VALUE!")</f>
        <v>#VALUE!</v>
      </c>
      <c r="B12556" s="4"/>
      <c r="C12556" s="1" t="str">
        <f>IFERROR(__xludf.DUMMYFUNCTION("""COMPUTED_VALUE"""),"#N/A")</f>
        <v>#N/A</v>
      </c>
      <c r="D12556" s="1"/>
      <c r="E12556" s="1"/>
      <c r="F12556" s="1"/>
      <c r="G12556" s="1"/>
      <c r="H12556" s="2">
        <f>IFERROR(__xludf.DUMMYFUNCTION("""COMPUTED_VALUE"""),0.0)</f>
        <v>0</v>
      </c>
      <c r="I12556" s="5"/>
      <c r="J12556" s="1" t="str">
        <f>IFERROR(__xludf.DUMMYFUNCTION("""COMPUTED_VALUE"""),"#N/A")</f>
        <v>#N/A</v>
      </c>
      <c r="K12556" s="1" t="str">
        <f>IFERROR(__xludf.DUMMYFUNCTION("""COMPUTED_VALUE"""),"#N/A")</f>
        <v>#N/A</v>
      </c>
      <c r="L12556" s="1" t="str">
        <f>IFERROR(__xludf.DUMMYFUNCTION("""COMPUTED_VALUE"""),"#N/A")</f>
        <v>#N/A</v>
      </c>
    </row>
    <row r="12557">
      <c r="A12557" s="1" t="str">
        <f>IFERROR(__xludf.DUMMYFUNCTION("""COMPUTED_VALUE"""),"#VALUE!")</f>
        <v>#VALUE!</v>
      </c>
      <c r="B12557" s="4"/>
      <c r="C12557" s="1" t="str">
        <f>IFERROR(__xludf.DUMMYFUNCTION("""COMPUTED_VALUE"""),"#N/A")</f>
        <v>#N/A</v>
      </c>
      <c r="D12557" s="1"/>
      <c r="E12557" s="1"/>
      <c r="F12557" s="1"/>
      <c r="G12557" s="1"/>
      <c r="H12557" s="2">
        <f>IFERROR(__xludf.DUMMYFUNCTION("""COMPUTED_VALUE"""),0.0)</f>
        <v>0</v>
      </c>
      <c r="I12557" s="5"/>
      <c r="J12557" s="1" t="str">
        <f>IFERROR(__xludf.DUMMYFUNCTION("""COMPUTED_VALUE"""),"#N/A")</f>
        <v>#N/A</v>
      </c>
      <c r="K12557" s="1" t="str">
        <f>IFERROR(__xludf.DUMMYFUNCTION("""COMPUTED_VALUE"""),"#N/A")</f>
        <v>#N/A</v>
      </c>
      <c r="L12557" s="1" t="str">
        <f>IFERROR(__xludf.DUMMYFUNCTION("""COMPUTED_VALUE"""),"#N/A")</f>
        <v>#N/A</v>
      </c>
    </row>
    <row r="12558">
      <c r="A12558" s="1" t="str">
        <f>IFERROR(__xludf.DUMMYFUNCTION("""COMPUTED_VALUE"""),"#VALUE!")</f>
        <v>#VALUE!</v>
      </c>
      <c r="B12558" s="4"/>
      <c r="C12558" s="1" t="str">
        <f>IFERROR(__xludf.DUMMYFUNCTION("""COMPUTED_VALUE"""),"#N/A")</f>
        <v>#N/A</v>
      </c>
      <c r="D12558" s="1"/>
      <c r="E12558" s="1"/>
      <c r="F12558" s="1"/>
      <c r="G12558" s="1"/>
      <c r="H12558" s="2">
        <f>IFERROR(__xludf.DUMMYFUNCTION("""COMPUTED_VALUE"""),0.0)</f>
        <v>0</v>
      </c>
      <c r="I12558" s="5"/>
      <c r="J12558" s="1" t="str">
        <f>IFERROR(__xludf.DUMMYFUNCTION("""COMPUTED_VALUE"""),"#N/A")</f>
        <v>#N/A</v>
      </c>
      <c r="K12558" s="1" t="str">
        <f>IFERROR(__xludf.DUMMYFUNCTION("""COMPUTED_VALUE"""),"#N/A")</f>
        <v>#N/A</v>
      </c>
      <c r="L12558" s="1" t="str">
        <f>IFERROR(__xludf.DUMMYFUNCTION("""COMPUTED_VALUE"""),"#N/A")</f>
        <v>#N/A</v>
      </c>
    </row>
    <row r="12559">
      <c r="A12559" s="1" t="str">
        <f>IFERROR(__xludf.DUMMYFUNCTION("""COMPUTED_VALUE"""),"#VALUE!")</f>
        <v>#VALUE!</v>
      </c>
      <c r="B12559" s="4"/>
      <c r="C12559" s="1" t="str">
        <f>IFERROR(__xludf.DUMMYFUNCTION("""COMPUTED_VALUE"""),"#N/A")</f>
        <v>#N/A</v>
      </c>
      <c r="D12559" s="1"/>
      <c r="E12559" s="1"/>
      <c r="F12559" s="1"/>
      <c r="G12559" s="1"/>
      <c r="H12559" s="2">
        <f>IFERROR(__xludf.DUMMYFUNCTION("""COMPUTED_VALUE"""),0.0)</f>
        <v>0</v>
      </c>
      <c r="I12559" s="5"/>
      <c r="J12559" s="1" t="str">
        <f>IFERROR(__xludf.DUMMYFUNCTION("""COMPUTED_VALUE"""),"#N/A")</f>
        <v>#N/A</v>
      </c>
      <c r="K12559" s="1" t="str">
        <f>IFERROR(__xludf.DUMMYFUNCTION("""COMPUTED_VALUE"""),"#N/A")</f>
        <v>#N/A</v>
      </c>
      <c r="L12559" s="1" t="str">
        <f>IFERROR(__xludf.DUMMYFUNCTION("""COMPUTED_VALUE"""),"#N/A")</f>
        <v>#N/A</v>
      </c>
    </row>
    <row r="12560">
      <c r="A12560" s="1" t="str">
        <f>IFERROR(__xludf.DUMMYFUNCTION("""COMPUTED_VALUE"""),"#VALUE!")</f>
        <v>#VALUE!</v>
      </c>
      <c r="B12560" s="4"/>
      <c r="C12560" s="1" t="str">
        <f>IFERROR(__xludf.DUMMYFUNCTION("""COMPUTED_VALUE"""),"#N/A")</f>
        <v>#N/A</v>
      </c>
      <c r="D12560" s="1"/>
      <c r="E12560" s="1"/>
      <c r="F12560" s="1"/>
      <c r="G12560" s="1"/>
      <c r="H12560" s="2">
        <f>IFERROR(__xludf.DUMMYFUNCTION("""COMPUTED_VALUE"""),0.0)</f>
        <v>0</v>
      </c>
      <c r="I12560" s="5"/>
      <c r="J12560" s="1" t="str">
        <f>IFERROR(__xludf.DUMMYFUNCTION("""COMPUTED_VALUE"""),"#N/A")</f>
        <v>#N/A</v>
      </c>
      <c r="K12560" s="1" t="str">
        <f>IFERROR(__xludf.DUMMYFUNCTION("""COMPUTED_VALUE"""),"#N/A")</f>
        <v>#N/A</v>
      </c>
      <c r="L12560" s="1" t="str">
        <f>IFERROR(__xludf.DUMMYFUNCTION("""COMPUTED_VALUE"""),"#N/A")</f>
        <v>#N/A</v>
      </c>
    </row>
    <row r="12561">
      <c r="A12561" s="1" t="str">
        <f>IFERROR(__xludf.DUMMYFUNCTION("""COMPUTED_VALUE"""),"#VALUE!")</f>
        <v>#VALUE!</v>
      </c>
      <c r="B12561" s="4"/>
      <c r="C12561" s="1" t="str">
        <f>IFERROR(__xludf.DUMMYFUNCTION("""COMPUTED_VALUE"""),"#N/A")</f>
        <v>#N/A</v>
      </c>
      <c r="D12561" s="1"/>
      <c r="E12561" s="1"/>
      <c r="F12561" s="1"/>
      <c r="G12561" s="1"/>
      <c r="H12561" s="2">
        <f>IFERROR(__xludf.DUMMYFUNCTION("""COMPUTED_VALUE"""),0.0)</f>
        <v>0</v>
      </c>
      <c r="I12561" s="5"/>
      <c r="J12561" s="1" t="str">
        <f>IFERROR(__xludf.DUMMYFUNCTION("""COMPUTED_VALUE"""),"#N/A")</f>
        <v>#N/A</v>
      </c>
      <c r="K12561" s="1" t="str">
        <f>IFERROR(__xludf.DUMMYFUNCTION("""COMPUTED_VALUE"""),"#N/A")</f>
        <v>#N/A</v>
      </c>
      <c r="L12561" s="1" t="str">
        <f>IFERROR(__xludf.DUMMYFUNCTION("""COMPUTED_VALUE"""),"#N/A")</f>
        <v>#N/A</v>
      </c>
    </row>
    <row r="12562">
      <c r="A12562" s="1" t="str">
        <f>IFERROR(__xludf.DUMMYFUNCTION("""COMPUTED_VALUE"""),"#VALUE!")</f>
        <v>#VALUE!</v>
      </c>
      <c r="B12562" s="4"/>
      <c r="C12562" s="1" t="str">
        <f>IFERROR(__xludf.DUMMYFUNCTION("""COMPUTED_VALUE"""),"#N/A")</f>
        <v>#N/A</v>
      </c>
      <c r="D12562" s="1"/>
      <c r="E12562" s="1"/>
      <c r="F12562" s="1"/>
      <c r="G12562" s="1"/>
      <c r="H12562" s="2">
        <f>IFERROR(__xludf.DUMMYFUNCTION("""COMPUTED_VALUE"""),0.0)</f>
        <v>0</v>
      </c>
      <c r="I12562" s="5"/>
      <c r="J12562" s="1" t="str">
        <f>IFERROR(__xludf.DUMMYFUNCTION("""COMPUTED_VALUE"""),"#N/A")</f>
        <v>#N/A</v>
      </c>
      <c r="K12562" s="1" t="str">
        <f>IFERROR(__xludf.DUMMYFUNCTION("""COMPUTED_VALUE"""),"#N/A")</f>
        <v>#N/A</v>
      </c>
      <c r="L12562" s="1" t="str">
        <f>IFERROR(__xludf.DUMMYFUNCTION("""COMPUTED_VALUE"""),"#N/A")</f>
        <v>#N/A</v>
      </c>
    </row>
    <row r="12563">
      <c r="A12563" s="1" t="str">
        <f>IFERROR(__xludf.DUMMYFUNCTION("""COMPUTED_VALUE"""),"#VALUE!")</f>
        <v>#VALUE!</v>
      </c>
      <c r="B12563" s="4"/>
      <c r="C12563" s="1" t="str">
        <f>IFERROR(__xludf.DUMMYFUNCTION("""COMPUTED_VALUE"""),"#N/A")</f>
        <v>#N/A</v>
      </c>
      <c r="D12563" s="1"/>
      <c r="E12563" s="1"/>
      <c r="F12563" s="1"/>
      <c r="G12563" s="1"/>
      <c r="H12563" s="2">
        <f>IFERROR(__xludf.DUMMYFUNCTION("""COMPUTED_VALUE"""),0.0)</f>
        <v>0</v>
      </c>
      <c r="I12563" s="5"/>
      <c r="J12563" s="1" t="str">
        <f>IFERROR(__xludf.DUMMYFUNCTION("""COMPUTED_VALUE"""),"#N/A")</f>
        <v>#N/A</v>
      </c>
      <c r="K12563" s="1" t="str">
        <f>IFERROR(__xludf.DUMMYFUNCTION("""COMPUTED_VALUE"""),"#N/A")</f>
        <v>#N/A</v>
      </c>
      <c r="L12563" s="1" t="str">
        <f>IFERROR(__xludf.DUMMYFUNCTION("""COMPUTED_VALUE"""),"#N/A")</f>
        <v>#N/A</v>
      </c>
    </row>
    <row r="12564">
      <c r="A12564" s="1" t="str">
        <f>IFERROR(__xludf.DUMMYFUNCTION("""COMPUTED_VALUE"""),"#VALUE!")</f>
        <v>#VALUE!</v>
      </c>
      <c r="B12564" s="4"/>
      <c r="C12564" s="1" t="str">
        <f>IFERROR(__xludf.DUMMYFUNCTION("""COMPUTED_VALUE"""),"#N/A")</f>
        <v>#N/A</v>
      </c>
      <c r="D12564" s="1"/>
      <c r="E12564" s="1"/>
      <c r="F12564" s="1"/>
      <c r="G12564" s="1"/>
      <c r="H12564" s="2">
        <f>IFERROR(__xludf.DUMMYFUNCTION("""COMPUTED_VALUE"""),0.0)</f>
        <v>0</v>
      </c>
      <c r="I12564" s="5"/>
      <c r="J12564" s="1" t="str">
        <f>IFERROR(__xludf.DUMMYFUNCTION("""COMPUTED_VALUE"""),"#N/A")</f>
        <v>#N/A</v>
      </c>
      <c r="K12564" s="1" t="str">
        <f>IFERROR(__xludf.DUMMYFUNCTION("""COMPUTED_VALUE"""),"#N/A")</f>
        <v>#N/A</v>
      </c>
      <c r="L12564" s="1" t="str">
        <f>IFERROR(__xludf.DUMMYFUNCTION("""COMPUTED_VALUE"""),"#N/A")</f>
        <v>#N/A</v>
      </c>
    </row>
    <row r="12565">
      <c r="A12565" s="1" t="str">
        <f>IFERROR(__xludf.DUMMYFUNCTION("""COMPUTED_VALUE"""),"#VALUE!")</f>
        <v>#VALUE!</v>
      </c>
      <c r="B12565" s="4"/>
      <c r="C12565" s="1" t="str">
        <f>IFERROR(__xludf.DUMMYFUNCTION("""COMPUTED_VALUE"""),"#N/A")</f>
        <v>#N/A</v>
      </c>
      <c r="D12565" s="1"/>
      <c r="E12565" s="1"/>
      <c r="F12565" s="1"/>
      <c r="G12565" s="1"/>
      <c r="H12565" s="2">
        <f>IFERROR(__xludf.DUMMYFUNCTION("""COMPUTED_VALUE"""),0.0)</f>
        <v>0</v>
      </c>
      <c r="I12565" s="5"/>
      <c r="J12565" s="1" t="str">
        <f>IFERROR(__xludf.DUMMYFUNCTION("""COMPUTED_VALUE"""),"#N/A")</f>
        <v>#N/A</v>
      </c>
      <c r="K12565" s="1" t="str">
        <f>IFERROR(__xludf.DUMMYFUNCTION("""COMPUTED_VALUE"""),"#N/A")</f>
        <v>#N/A</v>
      </c>
      <c r="L12565" s="1" t="str">
        <f>IFERROR(__xludf.DUMMYFUNCTION("""COMPUTED_VALUE"""),"#N/A")</f>
        <v>#N/A</v>
      </c>
    </row>
    <row r="12566">
      <c r="A12566" s="1" t="str">
        <f>IFERROR(__xludf.DUMMYFUNCTION("""COMPUTED_VALUE"""),"#VALUE!")</f>
        <v>#VALUE!</v>
      </c>
      <c r="B12566" s="4"/>
      <c r="C12566" s="1" t="str">
        <f>IFERROR(__xludf.DUMMYFUNCTION("""COMPUTED_VALUE"""),"#N/A")</f>
        <v>#N/A</v>
      </c>
      <c r="D12566" s="1"/>
      <c r="E12566" s="1"/>
      <c r="F12566" s="1"/>
      <c r="G12566" s="1"/>
      <c r="H12566" s="2">
        <f>IFERROR(__xludf.DUMMYFUNCTION("""COMPUTED_VALUE"""),0.0)</f>
        <v>0</v>
      </c>
      <c r="I12566" s="5"/>
      <c r="J12566" s="1" t="str">
        <f>IFERROR(__xludf.DUMMYFUNCTION("""COMPUTED_VALUE"""),"#N/A")</f>
        <v>#N/A</v>
      </c>
      <c r="K12566" s="1" t="str">
        <f>IFERROR(__xludf.DUMMYFUNCTION("""COMPUTED_VALUE"""),"#N/A")</f>
        <v>#N/A</v>
      </c>
      <c r="L12566" s="1" t="str">
        <f>IFERROR(__xludf.DUMMYFUNCTION("""COMPUTED_VALUE"""),"#N/A")</f>
        <v>#N/A</v>
      </c>
    </row>
    <row r="12567">
      <c r="A12567" s="1" t="str">
        <f>IFERROR(__xludf.DUMMYFUNCTION("""COMPUTED_VALUE"""),"#VALUE!")</f>
        <v>#VALUE!</v>
      </c>
      <c r="B12567" s="4"/>
      <c r="C12567" s="1" t="str">
        <f>IFERROR(__xludf.DUMMYFUNCTION("""COMPUTED_VALUE"""),"#N/A")</f>
        <v>#N/A</v>
      </c>
      <c r="D12567" s="1"/>
      <c r="E12567" s="1"/>
      <c r="F12567" s="1"/>
      <c r="G12567" s="1"/>
      <c r="H12567" s="2">
        <f>IFERROR(__xludf.DUMMYFUNCTION("""COMPUTED_VALUE"""),0.0)</f>
        <v>0</v>
      </c>
      <c r="I12567" s="5"/>
      <c r="J12567" s="1" t="str">
        <f>IFERROR(__xludf.DUMMYFUNCTION("""COMPUTED_VALUE"""),"#N/A")</f>
        <v>#N/A</v>
      </c>
      <c r="K12567" s="1" t="str">
        <f>IFERROR(__xludf.DUMMYFUNCTION("""COMPUTED_VALUE"""),"#N/A")</f>
        <v>#N/A</v>
      </c>
      <c r="L12567" s="1" t="str">
        <f>IFERROR(__xludf.DUMMYFUNCTION("""COMPUTED_VALUE"""),"#N/A")</f>
        <v>#N/A</v>
      </c>
    </row>
    <row r="12568">
      <c r="A12568" s="1" t="str">
        <f>IFERROR(__xludf.DUMMYFUNCTION("""COMPUTED_VALUE"""),"#VALUE!")</f>
        <v>#VALUE!</v>
      </c>
      <c r="B12568" s="4"/>
      <c r="C12568" s="1" t="str">
        <f>IFERROR(__xludf.DUMMYFUNCTION("""COMPUTED_VALUE"""),"#N/A")</f>
        <v>#N/A</v>
      </c>
      <c r="D12568" s="1"/>
      <c r="E12568" s="1"/>
      <c r="F12568" s="1"/>
      <c r="G12568" s="1"/>
      <c r="H12568" s="2">
        <f>IFERROR(__xludf.DUMMYFUNCTION("""COMPUTED_VALUE"""),0.0)</f>
        <v>0</v>
      </c>
      <c r="I12568" s="5"/>
      <c r="J12568" s="1" t="str">
        <f>IFERROR(__xludf.DUMMYFUNCTION("""COMPUTED_VALUE"""),"#N/A")</f>
        <v>#N/A</v>
      </c>
      <c r="K12568" s="1" t="str">
        <f>IFERROR(__xludf.DUMMYFUNCTION("""COMPUTED_VALUE"""),"#N/A")</f>
        <v>#N/A</v>
      </c>
      <c r="L12568" s="1" t="str">
        <f>IFERROR(__xludf.DUMMYFUNCTION("""COMPUTED_VALUE"""),"#N/A")</f>
        <v>#N/A</v>
      </c>
    </row>
    <row r="12569">
      <c r="A12569" s="1" t="str">
        <f>IFERROR(__xludf.DUMMYFUNCTION("""COMPUTED_VALUE"""),"#VALUE!")</f>
        <v>#VALUE!</v>
      </c>
      <c r="B12569" s="4"/>
      <c r="C12569" s="1" t="str">
        <f>IFERROR(__xludf.DUMMYFUNCTION("""COMPUTED_VALUE"""),"#N/A")</f>
        <v>#N/A</v>
      </c>
      <c r="D12569" s="1"/>
      <c r="E12569" s="1"/>
      <c r="F12569" s="1"/>
      <c r="G12569" s="1"/>
      <c r="H12569" s="2">
        <f>IFERROR(__xludf.DUMMYFUNCTION("""COMPUTED_VALUE"""),0.0)</f>
        <v>0</v>
      </c>
      <c r="I12569" s="5"/>
      <c r="J12569" s="1" t="str">
        <f>IFERROR(__xludf.DUMMYFUNCTION("""COMPUTED_VALUE"""),"#N/A")</f>
        <v>#N/A</v>
      </c>
      <c r="K12569" s="1" t="str">
        <f>IFERROR(__xludf.DUMMYFUNCTION("""COMPUTED_VALUE"""),"#N/A")</f>
        <v>#N/A</v>
      </c>
      <c r="L12569" s="1" t="str">
        <f>IFERROR(__xludf.DUMMYFUNCTION("""COMPUTED_VALUE"""),"#N/A")</f>
        <v>#N/A</v>
      </c>
    </row>
    <row r="12570">
      <c r="A12570" s="1" t="str">
        <f>IFERROR(__xludf.DUMMYFUNCTION("""COMPUTED_VALUE"""),"#VALUE!")</f>
        <v>#VALUE!</v>
      </c>
      <c r="B12570" s="4"/>
      <c r="C12570" s="1" t="str">
        <f>IFERROR(__xludf.DUMMYFUNCTION("""COMPUTED_VALUE"""),"#N/A")</f>
        <v>#N/A</v>
      </c>
      <c r="D12570" s="1"/>
      <c r="E12570" s="1"/>
      <c r="F12570" s="1"/>
      <c r="G12570" s="1"/>
      <c r="H12570" s="2">
        <f>IFERROR(__xludf.DUMMYFUNCTION("""COMPUTED_VALUE"""),0.0)</f>
        <v>0</v>
      </c>
      <c r="I12570" s="5"/>
      <c r="J12570" s="1" t="str">
        <f>IFERROR(__xludf.DUMMYFUNCTION("""COMPUTED_VALUE"""),"#N/A")</f>
        <v>#N/A</v>
      </c>
      <c r="K12570" s="1" t="str">
        <f>IFERROR(__xludf.DUMMYFUNCTION("""COMPUTED_VALUE"""),"#N/A")</f>
        <v>#N/A</v>
      </c>
      <c r="L12570" s="1" t="str">
        <f>IFERROR(__xludf.DUMMYFUNCTION("""COMPUTED_VALUE"""),"#N/A")</f>
        <v>#N/A</v>
      </c>
    </row>
    <row r="12571">
      <c r="A12571" s="1" t="str">
        <f>IFERROR(__xludf.DUMMYFUNCTION("""COMPUTED_VALUE"""),"#VALUE!")</f>
        <v>#VALUE!</v>
      </c>
      <c r="B12571" s="4"/>
      <c r="C12571" s="1" t="str">
        <f>IFERROR(__xludf.DUMMYFUNCTION("""COMPUTED_VALUE"""),"#N/A")</f>
        <v>#N/A</v>
      </c>
      <c r="D12571" s="1"/>
      <c r="E12571" s="1"/>
      <c r="F12571" s="1"/>
      <c r="G12571" s="1"/>
      <c r="H12571" s="2">
        <f>IFERROR(__xludf.DUMMYFUNCTION("""COMPUTED_VALUE"""),0.0)</f>
        <v>0</v>
      </c>
      <c r="I12571" s="5"/>
      <c r="J12571" s="1" t="str">
        <f>IFERROR(__xludf.DUMMYFUNCTION("""COMPUTED_VALUE"""),"#N/A")</f>
        <v>#N/A</v>
      </c>
      <c r="K12571" s="1" t="str">
        <f>IFERROR(__xludf.DUMMYFUNCTION("""COMPUTED_VALUE"""),"#N/A")</f>
        <v>#N/A</v>
      </c>
      <c r="L12571" s="1" t="str">
        <f>IFERROR(__xludf.DUMMYFUNCTION("""COMPUTED_VALUE"""),"#N/A")</f>
        <v>#N/A</v>
      </c>
    </row>
    <row r="12572">
      <c r="A12572" s="1" t="str">
        <f>IFERROR(__xludf.DUMMYFUNCTION("""COMPUTED_VALUE"""),"#VALUE!")</f>
        <v>#VALUE!</v>
      </c>
      <c r="B12572" s="4"/>
      <c r="C12572" s="1" t="str">
        <f>IFERROR(__xludf.DUMMYFUNCTION("""COMPUTED_VALUE"""),"#N/A")</f>
        <v>#N/A</v>
      </c>
      <c r="D12572" s="1"/>
      <c r="E12572" s="1"/>
      <c r="F12572" s="1"/>
      <c r="G12572" s="1"/>
      <c r="H12572" s="2">
        <f>IFERROR(__xludf.DUMMYFUNCTION("""COMPUTED_VALUE"""),0.0)</f>
        <v>0</v>
      </c>
      <c r="I12572" s="5"/>
      <c r="J12572" s="1" t="str">
        <f>IFERROR(__xludf.DUMMYFUNCTION("""COMPUTED_VALUE"""),"#N/A")</f>
        <v>#N/A</v>
      </c>
      <c r="K12572" s="1" t="str">
        <f>IFERROR(__xludf.DUMMYFUNCTION("""COMPUTED_VALUE"""),"#N/A")</f>
        <v>#N/A</v>
      </c>
      <c r="L12572" s="1" t="str">
        <f>IFERROR(__xludf.DUMMYFUNCTION("""COMPUTED_VALUE"""),"#N/A")</f>
        <v>#N/A</v>
      </c>
    </row>
    <row r="12573">
      <c r="A12573" s="1" t="str">
        <f>IFERROR(__xludf.DUMMYFUNCTION("""COMPUTED_VALUE"""),"#VALUE!")</f>
        <v>#VALUE!</v>
      </c>
      <c r="B12573" s="4"/>
      <c r="C12573" s="1" t="str">
        <f>IFERROR(__xludf.DUMMYFUNCTION("""COMPUTED_VALUE"""),"#N/A")</f>
        <v>#N/A</v>
      </c>
      <c r="D12573" s="1"/>
      <c r="E12573" s="1"/>
      <c r="F12573" s="1"/>
      <c r="G12573" s="1"/>
      <c r="H12573" s="2">
        <f>IFERROR(__xludf.DUMMYFUNCTION("""COMPUTED_VALUE"""),0.0)</f>
        <v>0</v>
      </c>
      <c r="I12573" s="5"/>
      <c r="J12573" s="1" t="str">
        <f>IFERROR(__xludf.DUMMYFUNCTION("""COMPUTED_VALUE"""),"#N/A")</f>
        <v>#N/A</v>
      </c>
      <c r="K12573" s="1" t="str">
        <f>IFERROR(__xludf.DUMMYFUNCTION("""COMPUTED_VALUE"""),"#N/A")</f>
        <v>#N/A</v>
      </c>
      <c r="L12573" s="1" t="str">
        <f>IFERROR(__xludf.DUMMYFUNCTION("""COMPUTED_VALUE"""),"#N/A")</f>
        <v>#N/A</v>
      </c>
    </row>
    <row r="12574">
      <c r="A12574" s="1" t="str">
        <f>IFERROR(__xludf.DUMMYFUNCTION("""COMPUTED_VALUE"""),"#VALUE!")</f>
        <v>#VALUE!</v>
      </c>
      <c r="B12574" s="4"/>
      <c r="C12574" s="1" t="str">
        <f>IFERROR(__xludf.DUMMYFUNCTION("""COMPUTED_VALUE"""),"#N/A")</f>
        <v>#N/A</v>
      </c>
      <c r="D12574" s="1"/>
      <c r="E12574" s="1"/>
      <c r="F12574" s="1"/>
      <c r="G12574" s="1"/>
      <c r="H12574" s="2">
        <f>IFERROR(__xludf.DUMMYFUNCTION("""COMPUTED_VALUE"""),0.0)</f>
        <v>0</v>
      </c>
      <c r="I12574" s="5"/>
      <c r="J12574" s="1" t="str">
        <f>IFERROR(__xludf.DUMMYFUNCTION("""COMPUTED_VALUE"""),"#N/A")</f>
        <v>#N/A</v>
      </c>
      <c r="K12574" s="1" t="str">
        <f>IFERROR(__xludf.DUMMYFUNCTION("""COMPUTED_VALUE"""),"#N/A")</f>
        <v>#N/A</v>
      </c>
      <c r="L12574" s="1" t="str">
        <f>IFERROR(__xludf.DUMMYFUNCTION("""COMPUTED_VALUE"""),"#N/A")</f>
        <v>#N/A</v>
      </c>
    </row>
    <row r="12575">
      <c r="A12575" s="1" t="str">
        <f>IFERROR(__xludf.DUMMYFUNCTION("""COMPUTED_VALUE"""),"#VALUE!")</f>
        <v>#VALUE!</v>
      </c>
      <c r="B12575" s="4"/>
      <c r="C12575" s="1" t="str">
        <f>IFERROR(__xludf.DUMMYFUNCTION("""COMPUTED_VALUE"""),"#N/A")</f>
        <v>#N/A</v>
      </c>
      <c r="D12575" s="1"/>
      <c r="E12575" s="1"/>
      <c r="F12575" s="1"/>
      <c r="G12575" s="1"/>
      <c r="H12575" s="2">
        <f>IFERROR(__xludf.DUMMYFUNCTION("""COMPUTED_VALUE"""),0.0)</f>
        <v>0</v>
      </c>
      <c r="I12575" s="5"/>
      <c r="J12575" s="1" t="str">
        <f>IFERROR(__xludf.DUMMYFUNCTION("""COMPUTED_VALUE"""),"#N/A")</f>
        <v>#N/A</v>
      </c>
      <c r="K12575" s="1" t="str">
        <f>IFERROR(__xludf.DUMMYFUNCTION("""COMPUTED_VALUE"""),"#N/A")</f>
        <v>#N/A</v>
      </c>
      <c r="L12575" s="1" t="str">
        <f>IFERROR(__xludf.DUMMYFUNCTION("""COMPUTED_VALUE"""),"#N/A")</f>
        <v>#N/A</v>
      </c>
    </row>
    <row r="12576">
      <c r="A12576" s="1" t="str">
        <f>IFERROR(__xludf.DUMMYFUNCTION("""COMPUTED_VALUE"""),"#VALUE!")</f>
        <v>#VALUE!</v>
      </c>
      <c r="B12576" s="4"/>
      <c r="C12576" s="1" t="str">
        <f>IFERROR(__xludf.DUMMYFUNCTION("""COMPUTED_VALUE"""),"#N/A")</f>
        <v>#N/A</v>
      </c>
      <c r="D12576" s="1"/>
      <c r="E12576" s="1"/>
      <c r="F12576" s="1"/>
      <c r="G12576" s="1"/>
      <c r="H12576" s="2">
        <f>IFERROR(__xludf.DUMMYFUNCTION("""COMPUTED_VALUE"""),0.0)</f>
        <v>0</v>
      </c>
      <c r="I12576" s="5"/>
      <c r="J12576" s="1" t="str">
        <f>IFERROR(__xludf.DUMMYFUNCTION("""COMPUTED_VALUE"""),"#N/A")</f>
        <v>#N/A</v>
      </c>
      <c r="K12576" s="1" t="str">
        <f>IFERROR(__xludf.DUMMYFUNCTION("""COMPUTED_VALUE"""),"#N/A")</f>
        <v>#N/A</v>
      </c>
      <c r="L12576" s="1" t="str">
        <f>IFERROR(__xludf.DUMMYFUNCTION("""COMPUTED_VALUE"""),"#N/A")</f>
        <v>#N/A</v>
      </c>
    </row>
    <row r="12577">
      <c r="A12577" s="1" t="str">
        <f>IFERROR(__xludf.DUMMYFUNCTION("""COMPUTED_VALUE"""),"#VALUE!")</f>
        <v>#VALUE!</v>
      </c>
      <c r="B12577" s="4"/>
      <c r="C12577" s="1" t="str">
        <f>IFERROR(__xludf.DUMMYFUNCTION("""COMPUTED_VALUE"""),"#N/A")</f>
        <v>#N/A</v>
      </c>
      <c r="D12577" s="1"/>
      <c r="E12577" s="1"/>
      <c r="F12577" s="1"/>
      <c r="G12577" s="1"/>
      <c r="H12577" s="2">
        <f>IFERROR(__xludf.DUMMYFUNCTION("""COMPUTED_VALUE"""),0.0)</f>
        <v>0</v>
      </c>
      <c r="I12577" s="5"/>
      <c r="J12577" s="1" t="str">
        <f>IFERROR(__xludf.DUMMYFUNCTION("""COMPUTED_VALUE"""),"#N/A")</f>
        <v>#N/A</v>
      </c>
      <c r="K12577" s="1" t="str">
        <f>IFERROR(__xludf.DUMMYFUNCTION("""COMPUTED_VALUE"""),"#N/A")</f>
        <v>#N/A</v>
      </c>
      <c r="L12577" s="1" t="str">
        <f>IFERROR(__xludf.DUMMYFUNCTION("""COMPUTED_VALUE"""),"#N/A")</f>
        <v>#N/A</v>
      </c>
    </row>
    <row r="12578">
      <c r="A12578" s="1" t="str">
        <f>IFERROR(__xludf.DUMMYFUNCTION("""COMPUTED_VALUE"""),"#VALUE!")</f>
        <v>#VALUE!</v>
      </c>
      <c r="B12578" s="4"/>
      <c r="C12578" s="1" t="str">
        <f>IFERROR(__xludf.DUMMYFUNCTION("""COMPUTED_VALUE"""),"#N/A")</f>
        <v>#N/A</v>
      </c>
      <c r="D12578" s="1"/>
      <c r="E12578" s="1"/>
      <c r="F12578" s="1"/>
      <c r="G12578" s="1"/>
      <c r="H12578" s="2">
        <f>IFERROR(__xludf.DUMMYFUNCTION("""COMPUTED_VALUE"""),0.0)</f>
        <v>0</v>
      </c>
      <c r="I12578" s="5"/>
      <c r="J12578" s="1" t="str">
        <f>IFERROR(__xludf.DUMMYFUNCTION("""COMPUTED_VALUE"""),"#N/A")</f>
        <v>#N/A</v>
      </c>
      <c r="K12578" s="1" t="str">
        <f>IFERROR(__xludf.DUMMYFUNCTION("""COMPUTED_VALUE"""),"#N/A")</f>
        <v>#N/A</v>
      </c>
      <c r="L12578" s="1" t="str">
        <f>IFERROR(__xludf.DUMMYFUNCTION("""COMPUTED_VALUE"""),"#N/A")</f>
        <v>#N/A</v>
      </c>
    </row>
    <row r="12579">
      <c r="A12579" s="1" t="str">
        <f>IFERROR(__xludf.DUMMYFUNCTION("""COMPUTED_VALUE"""),"#VALUE!")</f>
        <v>#VALUE!</v>
      </c>
      <c r="B12579" s="4"/>
      <c r="C12579" s="1" t="str">
        <f>IFERROR(__xludf.DUMMYFUNCTION("""COMPUTED_VALUE"""),"#N/A")</f>
        <v>#N/A</v>
      </c>
      <c r="D12579" s="1"/>
      <c r="E12579" s="1"/>
      <c r="F12579" s="1"/>
      <c r="G12579" s="1"/>
      <c r="H12579" s="2">
        <f>IFERROR(__xludf.DUMMYFUNCTION("""COMPUTED_VALUE"""),0.0)</f>
        <v>0</v>
      </c>
      <c r="I12579" s="5"/>
      <c r="J12579" s="1" t="str">
        <f>IFERROR(__xludf.DUMMYFUNCTION("""COMPUTED_VALUE"""),"#N/A")</f>
        <v>#N/A</v>
      </c>
      <c r="K12579" s="1" t="str">
        <f>IFERROR(__xludf.DUMMYFUNCTION("""COMPUTED_VALUE"""),"#N/A")</f>
        <v>#N/A</v>
      </c>
      <c r="L12579" s="1" t="str">
        <f>IFERROR(__xludf.DUMMYFUNCTION("""COMPUTED_VALUE"""),"#N/A")</f>
        <v>#N/A</v>
      </c>
    </row>
    <row r="12580">
      <c r="A12580" s="1" t="str">
        <f>IFERROR(__xludf.DUMMYFUNCTION("""COMPUTED_VALUE"""),"#VALUE!")</f>
        <v>#VALUE!</v>
      </c>
      <c r="B12580" s="4"/>
      <c r="C12580" s="1" t="str">
        <f>IFERROR(__xludf.DUMMYFUNCTION("""COMPUTED_VALUE"""),"#N/A")</f>
        <v>#N/A</v>
      </c>
      <c r="D12580" s="1"/>
      <c r="E12580" s="1"/>
      <c r="F12580" s="1"/>
      <c r="G12580" s="1"/>
      <c r="H12580" s="2">
        <f>IFERROR(__xludf.DUMMYFUNCTION("""COMPUTED_VALUE"""),0.0)</f>
        <v>0</v>
      </c>
      <c r="I12580" s="5"/>
      <c r="J12580" s="1" t="str">
        <f>IFERROR(__xludf.DUMMYFUNCTION("""COMPUTED_VALUE"""),"#N/A")</f>
        <v>#N/A</v>
      </c>
      <c r="K12580" s="1" t="str">
        <f>IFERROR(__xludf.DUMMYFUNCTION("""COMPUTED_VALUE"""),"#N/A")</f>
        <v>#N/A</v>
      </c>
      <c r="L12580" s="1" t="str">
        <f>IFERROR(__xludf.DUMMYFUNCTION("""COMPUTED_VALUE"""),"#N/A")</f>
        <v>#N/A</v>
      </c>
    </row>
    <row r="12581">
      <c r="A12581" s="1" t="str">
        <f>IFERROR(__xludf.DUMMYFUNCTION("""COMPUTED_VALUE"""),"#VALUE!")</f>
        <v>#VALUE!</v>
      </c>
      <c r="B12581" s="4"/>
      <c r="C12581" s="1" t="str">
        <f>IFERROR(__xludf.DUMMYFUNCTION("""COMPUTED_VALUE"""),"#N/A")</f>
        <v>#N/A</v>
      </c>
      <c r="D12581" s="1"/>
      <c r="E12581" s="1"/>
      <c r="F12581" s="1"/>
      <c r="G12581" s="1"/>
      <c r="H12581" s="2">
        <f>IFERROR(__xludf.DUMMYFUNCTION("""COMPUTED_VALUE"""),0.0)</f>
        <v>0</v>
      </c>
      <c r="I12581" s="5"/>
      <c r="J12581" s="1" t="str">
        <f>IFERROR(__xludf.DUMMYFUNCTION("""COMPUTED_VALUE"""),"#N/A")</f>
        <v>#N/A</v>
      </c>
      <c r="K12581" s="1" t="str">
        <f>IFERROR(__xludf.DUMMYFUNCTION("""COMPUTED_VALUE"""),"#N/A")</f>
        <v>#N/A</v>
      </c>
      <c r="L12581" s="1" t="str">
        <f>IFERROR(__xludf.DUMMYFUNCTION("""COMPUTED_VALUE"""),"#N/A")</f>
        <v>#N/A</v>
      </c>
    </row>
    <row r="12582">
      <c r="A12582" s="1" t="str">
        <f>IFERROR(__xludf.DUMMYFUNCTION("""COMPUTED_VALUE"""),"#VALUE!")</f>
        <v>#VALUE!</v>
      </c>
      <c r="B12582" s="4"/>
      <c r="C12582" s="1" t="str">
        <f>IFERROR(__xludf.DUMMYFUNCTION("""COMPUTED_VALUE"""),"#N/A")</f>
        <v>#N/A</v>
      </c>
      <c r="D12582" s="1"/>
      <c r="E12582" s="1"/>
      <c r="F12582" s="1"/>
      <c r="G12582" s="1"/>
      <c r="H12582" s="2">
        <f>IFERROR(__xludf.DUMMYFUNCTION("""COMPUTED_VALUE"""),0.0)</f>
        <v>0</v>
      </c>
      <c r="I12582" s="5"/>
      <c r="J12582" s="1" t="str">
        <f>IFERROR(__xludf.DUMMYFUNCTION("""COMPUTED_VALUE"""),"#N/A")</f>
        <v>#N/A</v>
      </c>
      <c r="K12582" s="1" t="str">
        <f>IFERROR(__xludf.DUMMYFUNCTION("""COMPUTED_VALUE"""),"#N/A")</f>
        <v>#N/A</v>
      </c>
      <c r="L12582" s="1" t="str">
        <f>IFERROR(__xludf.DUMMYFUNCTION("""COMPUTED_VALUE"""),"#N/A")</f>
        <v>#N/A</v>
      </c>
    </row>
    <row r="12583">
      <c r="A12583" s="1" t="str">
        <f>IFERROR(__xludf.DUMMYFUNCTION("""COMPUTED_VALUE"""),"#VALUE!")</f>
        <v>#VALUE!</v>
      </c>
      <c r="B12583" s="4"/>
      <c r="C12583" s="1" t="str">
        <f>IFERROR(__xludf.DUMMYFUNCTION("""COMPUTED_VALUE"""),"#N/A")</f>
        <v>#N/A</v>
      </c>
      <c r="D12583" s="1"/>
      <c r="E12583" s="1"/>
      <c r="F12583" s="1"/>
      <c r="G12583" s="1"/>
      <c r="H12583" s="2">
        <f>IFERROR(__xludf.DUMMYFUNCTION("""COMPUTED_VALUE"""),0.0)</f>
        <v>0</v>
      </c>
      <c r="I12583" s="5"/>
      <c r="J12583" s="1" t="str">
        <f>IFERROR(__xludf.DUMMYFUNCTION("""COMPUTED_VALUE"""),"#N/A")</f>
        <v>#N/A</v>
      </c>
      <c r="K12583" s="1" t="str">
        <f>IFERROR(__xludf.DUMMYFUNCTION("""COMPUTED_VALUE"""),"#N/A")</f>
        <v>#N/A</v>
      </c>
      <c r="L12583" s="1" t="str">
        <f>IFERROR(__xludf.DUMMYFUNCTION("""COMPUTED_VALUE"""),"#N/A")</f>
        <v>#N/A</v>
      </c>
    </row>
    <row r="12584">
      <c r="A12584" s="1" t="str">
        <f>IFERROR(__xludf.DUMMYFUNCTION("""COMPUTED_VALUE"""),"#VALUE!")</f>
        <v>#VALUE!</v>
      </c>
      <c r="B12584" s="4"/>
      <c r="C12584" s="1" t="str">
        <f>IFERROR(__xludf.DUMMYFUNCTION("""COMPUTED_VALUE"""),"#N/A")</f>
        <v>#N/A</v>
      </c>
      <c r="D12584" s="1"/>
      <c r="E12584" s="1"/>
      <c r="F12584" s="1"/>
      <c r="G12584" s="1"/>
      <c r="H12584" s="2">
        <f>IFERROR(__xludf.DUMMYFUNCTION("""COMPUTED_VALUE"""),0.0)</f>
        <v>0</v>
      </c>
      <c r="I12584" s="5"/>
      <c r="J12584" s="1" t="str">
        <f>IFERROR(__xludf.DUMMYFUNCTION("""COMPUTED_VALUE"""),"#N/A")</f>
        <v>#N/A</v>
      </c>
      <c r="K12584" s="1" t="str">
        <f>IFERROR(__xludf.DUMMYFUNCTION("""COMPUTED_VALUE"""),"#N/A")</f>
        <v>#N/A</v>
      </c>
      <c r="L12584" s="1" t="str">
        <f>IFERROR(__xludf.DUMMYFUNCTION("""COMPUTED_VALUE"""),"#N/A")</f>
        <v>#N/A</v>
      </c>
    </row>
    <row r="12585">
      <c r="A12585" s="1" t="str">
        <f>IFERROR(__xludf.DUMMYFUNCTION("""COMPUTED_VALUE"""),"#VALUE!")</f>
        <v>#VALUE!</v>
      </c>
      <c r="B12585" s="4"/>
      <c r="C12585" s="1" t="str">
        <f>IFERROR(__xludf.DUMMYFUNCTION("""COMPUTED_VALUE"""),"#N/A")</f>
        <v>#N/A</v>
      </c>
      <c r="D12585" s="1"/>
      <c r="E12585" s="1"/>
      <c r="F12585" s="1"/>
      <c r="G12585" s="1"/>
      <c r="H12585" s="2">
        <f>IFERROR(__xludf.DUMMYFUNCTION("""COMPUTED_VALUE"""),0.0)</f>
        <v>0</v>
      </c>
      <c r="I12585" s="5"/>
      <c r="J12585" s="1" t="str">
        <f>IFERROR(__xludf.DUMMYFUNCTION("""COMPUTED_VALUE"""),"#N/A")</f>
        <v>#N/A</v>
      </c>
      <c r="K12585" s="1" t="str">
        <f>IFERROR(__xludf.DUMMYFUNCTION("""COMPUTED_VALUE"""),"#N/A")</f>
        <v>#N/A</v>
      </c>
      <c r="L12585" s="1" t="str">
        <f>IFERROR(__xludf.DUMMYFUNCTION("""COMPUTED_VALUE"""),"#N/A")</f>
        <v>#N/A</v>
      </c>
    </row>
    <row r="12586">
      <c r="A12586" s="1" t="str">
        <f>IFERROR(__xludf.DUMMYFUNCTION("""COMPUTED_VALUE"""),"#VALUE!")</f>
        <v>#VALUE!</v>
      </c>
      <c r="B12586" s="4"/>
      <c r="C12586" s="1" t="str">
        <f>IFERROR(__xludf.DUMMYFUNCTION("""COMPUTED_VALUE"""),"#N/A")</f>
        <v>#N/A</v>
      </c>
      <c r="D12586" s="1"/>
      <c r="E12586" s="1"/>
      <c r="F12586" s="1"/>
      <c r="G12586" s="1"/>
      <c r="H12586" s="2">
        <f>IFERROR(__xludf.DUMMYFUNCTION("""COMPUTED_VALUE"""),0.0)</f>
        <v>0</v>
      </c>
      <c r="I12586" s="5"/>
      <c r="J12586" s="1" t="str">
        <f>IFERROR(__xludf.DUMMYFUNCTION("""COMPUTED_VALUE"""),"#N/A")</f>
        <v>#N/A</v>
      </c>
      <c r="K12586" s="1" t="str">
        <f>IFERROR(__xludf.DUMMYFUNCTION("""COMPUTED_VALUE"""),"#N/A")</f>
        <v>#N/A</v>
      </c>
      <c r="L12586" s="1" t="str">
        <f>IFERROR(__xludf.DUMMYFUNCTION("""COMPUTED_VALUE"""),"#N/A")</f>
        <v>#N/A</v>
      </c>
    </row>
    <row r="12587">
      <c r="A12587" s="1" t="str">
        <f>IFERROR(__xludf.DUMMYFUNCTION("""COMPUTED_VALUE"""),"#VALUE!")</f>
        <v>#VALUE!</v>
      </c>
      <c r="B12587" s="4"/>
      <c r="C12587" s="1" t="str">
        <f>IFERROR(__xludf.DUMMYFUNCTION("""COMPUTED_VALUE"""),"#N/A")</f>
        <v>#N/A</v>
      </c>
      <c r="D12587" s="1"/>
      <c r="E12587" s="1"/>
      <c r="F12587" s="1"/>
      <c r="G12587" s="1"/>
      <c r="H12587" s="2">
        <f>IFERROR(__xludf.DUMMYFUNCTION("""COMPUTED_VALUE"""),0.0)</f>
        <v>0</v>
      </c>
      <c r="I12587" s="5"/>
      <c r="J12587" s="1" t="str">
        <f>IFERROR(__xludf.DUMMYFUNCTION("""COMPUTED_VALUE"""),"#N/A")</f>
        <v>#N/A</v>
      </c>
      <c r="K12587" s="1" t="str">
        <f>IFERROR(__xludf.DUMMYFUNCTION("""COMPUTED_VALUE"""),"#N/A")</f>
        <v>#N/A</v>
      </c>
      <c r="L12587" s="1" t="str">
        <f>IFERROR(__xludf.DUMMYFUNCTION("""COMPUTED_VALUE"""),"#N/A")</f>
        <v>#N/A</v>
      </c>
    </row>
    <row r="12588">
      <c r="A12588" s="1" t="str">
        <f>IFERROR(__xludf.DUMMYFUNCTION("""COMPUTED_VALUE"""),"#VALUE!")</f>
        <v>#VALUE!</v>
      </c>
      <c r="B12588" s="4"/>
      <c r="C12588" s="1" t="str">
        <f>IFERROR(__xludf.DUMMYFUNCTION("""COMPUTED_VALUE"""),"#N/A")</f>
        <v>#N/A</v>
      </c>
      <c r="D12588" s="1"/>
      <c r="E12588" s="1"/>
      <c r="F12588" s="1"/>
      <c r="G12588" s="1"/>
      <c r="H12588" s="2">
        <f>IFERROR(__xludf.DUMMYFUNCTION("""COMPUTED_VALUE"""),0.0)</f>
        <v>0</v>
      </c>
      <c r="I12588" s="5"/>
      <c r="J12588" s="1" t="str">
        <f>IFERROR(__xludf.DUMMYFUNCTION("""COMPUTED_VALUE"""),"#N/A")</f>
        <v>#N/A</v>
      </c>
      <c r="K12588" s="1" t="str">
        <f>IFERROR(__xludf.DUMMYFUNCTION("""COMPUTED_VALUE"""),"#N/A")</f>
        <v>#N/A</v>
      </c>
      <c r="L12588" s="1" t="str">
        <f>IFERROR(__xludf.DUMMYFUNCTION("""COMPUTED_VALUE"""),"#N/A")</f>
        <v>#N/A</v>
      </c>
    </row>
    <row r="12589">
      <c r="A12589" s="1" t="str">
        <f>IFERROR(__xludf.DUMMYFUNCTION("""COMPUTED_VALUE"""),"#VALUE!")</f>
        <v>#VALUE!</v>
      </c>
      <c r="B12589" s="4"/>
      <c r="C12589" s="1" t="str">
        <f>IFERROR(__xludf.DUMMYFUNCTION("""COMPUTED_VALUE"""),"#N/A")</f>
        <v>#N/A</v>
      </c>
      <c r="D12589" s="1"/>
      <c r="E12589" s="1"/>
      <c r="F12589" s="1"/>
      <c r="G12589" s="1"/>
      <c r="H12589" s="2">
        <f>IFERROR(__xludf.DUMMYFUNCTION("""COMPUTED_VALUE"""),0.0)</f>
        <v>0</v>
      </c>
      <c r="I12589" s="5"/>
      <c r="J12589" s="1" t="str">
        <f>IFERROR(__xludf.DUMMYFUNCTION("""COMPUTED_VALUE"""),"#N/A")</f>
        <v>#N/A</v>
      </c>
      <c r="K12589" s="1" t="str">
        <f>IFERROR(__xludf.DUMMYFUNCTION("""COMPUTED_VALUE"""),"#N/A")</f>
        <v>#N/A</v>
      </c>
      <c r="L12589" s="1" t="str">
        <f>IFERROR(__xludf.DUMMYFUNCTION("""COMPUTED_VALUE"""),"#N/A")</f>
        <v>#N/A</v>
      </c>
    </row>
    <row r="12590">
      <c r="A12590" s="1" t="str">
        <f>IFERROR(__xludf.DUMMYFUNCTION("""COMPUTED_VALUE"""),"#VALUE!")</f>
        <v>#VALUE!</v>
      </c>
      <c r="B12590" s="4"/>
      <c r="C12590" s="1" t="str">
        <f>IFERROR(__xludf.DUMMYFUNCTION("""COMPUTED_VALUE"""),"#N/A")</f>
        <v>#N/A</v>
      </c>
      <c r="D12590" s="1"/>
      <c r="E12590" s="1"/>
      <c r="F12590" s="1"/>
      <c r="G12590" s="1"/>
      <c r="H12590" s="2">
        <f>IFERROR(__xludf.DUMMYFUNCTION("""COMPUTED_VALUE"""),0.0)</f>
        <v>0</v>
      </c>
      <c r="I12590" s="5"/>
      <c r="J12590" s="1" t="str">
        <f>IFERROR(__xludf.DUMMYFUNCTION("""COMPUTED_VALUE"""),"#N/A")</f>
        <v>#N/A</v>
      </c>
      <c r="K12590" s="1" t="str">
        <f>IFERROR(__xludf.DUMMYFUNCTION("""COMPUTED_VALUE"""),"#N/A")</f>
        <v>#N/A</v>
      </c>
      <c r="L12590" s="1" t="str">
        <f>IFERROR(__xludf.DUMMYFUNCTION("""COMPUTED_VALUE"""),"#N/A")</f>
        <v>#N/A</v>
      </c>
    </row>
    <row r="12591">
      <c r="A12591" s="1" t="str">
        <f>IFERROR(__xludf.DUMMYFUNCTION("""COMPUTED_VALUE"""),"#VALUE!")</f>
        <v>#VALUE!</v>
      </c>
      <c r="B12591" s="4"/>
      <c r="C12591" s="1" t="str">
        <f>IFERROR(__xludf.DUMMYFUNCTION("""COMPUTED_VALUE"""),"#N/A")</f>
        <v>#N/A</v>
      </c>
      <c r="D12591" s="1"/>
      <c r="E12591" s="1"/>
      <c r="F12591" s="1"/>
      <c r="G12591" s="1"/>
      <c r="H12591" s="2">
        <f>IFERROR(__xludf.DUMMYFUNCTION("""COMPUTED_VALUE"""),0.0)</f>
        <v>0</v>
      </c>
      <c r="I12591" s="5"/>
      <c r="J12591" s="1" t="str">
        <f>IFERROR(__xludf.DUMMYFUNCTION("""COMPUTED_VALUE"""),"#N/A")</f>
        <v>#N/A</v>
      </c>
      <c r="K12591" s="1" t="str">
        <f>IFERROR(__xludf.DUMMYFUNCTION("""COMPUTED_VALUE"""),"#N/A")</f>
        <v>#N/A</v>
      </c>
      <c r="L12591" s="1" t="str">
        <f>IFERROR(__xludf.DUMMYFUNCTION("""COMPUTED_VALUE"""),"#N/A")</f>
        <v>#N/A</v>
      </c>
    </row>
    <row r="12592">
      <c r="A12592" s="1" t="str">
        <f>IFERROR(__xludf.DUMMYFUNCTION("""COMPUTED_VALUE"""),"#VALUE!")</f>
        <v>#VALUE!</v>
      </c>
      <c r="B12592" s="4"/>
      <c r="C12592" s="1" t="str">
        <f>IFERROR(__xludf.DUMMYFUNCTION("""COMPUTED_VALUE"""),"#N/A")</f>
        <v>#N/A</v>
      </c>
      <c r="D12592" s="1"/>
      <c r="E12592" s="1"/>
      <c r="F12592" s="1"/>
      <c r="G12592" s="1"/>
      <c r="H12592" s="2">
        <f>IFERROR(__xludf.DUMMYFUNCTION("""COMPUTED_VALUE"""),0.0)</f>
        <v>0</v>
      </c>
      <c r="I12592" s="5"/>
      <c r="J12592" s="1" t="str">
        <f>IFERROR(__xludf.DUMMYFUNCTION("""COMPUTED_VALUE"""),"#N/A")</f>
        <v>#N/A</v>
      </c>
      <c r="K12592" s="1" t="str">
        <f>IFERROR(__xludf.DUMMYFUNCTION("""COMPUTED_VALUE"""),"#N/A")</f>
        <v>#N/A</v>
      </c>
      <c r="L12592" s="1" t="str">
        <f>IFERROR(__xludf.DUMMYFUNCTION("""COMPUTED_VALUE"""),"#N/A")</f>
        <v>#N/A</v>
      </c>
    </row>
    <row r="12593">
      <c r="A12593" s="1" t="str">
        <f>IFERROR(__xludf.DUMMYFUNCTION("""COMPUTED_VALUE"""),"#VALUE!")</f>
        <v>#VALUE!</v>
      </c>
      <c r="B12593" s="4"/>
      <c r="C12593" s="1" t="str">
        <f>IFERROR(__xludf.DUMMYFUNCTION("""COMPUTED_VALUE"""),"#N/A")</f>
        <v>#N/A</v>
      </c>
      <c r="D12593" s="1"/>
      <c r="E12593" s="1"/>
      <c r="F12593" s="1"/>
      <c r="G12593" s="1"/>
      <c r="H12593" s="2">
        <f>IFERROR(__xludf.DUMMYFUNCTION("""COMPUTED_VALUE"""),0.0)</f>
        <v>0</v>
      </c>
      <c r="I12593" s="5"/>
      <c r="J12593" s="1" t="str">
        <f>IFERROR(__xludf.DUMMYFUNCTION("""COMPUTED_VALUE"""),"#N/A")</f>
        <v>#N/A</v>
      </c>
      <c r="K12593" s="1" t="str">
        <f>IFERROR(__xludf.DUMMYFUNCTION("""COMPUTED_VALUE"""),"#N/A")</f>
        <v>#N/A</v>
      </c>
      <c r="L12593" s="1" t="str">
        <f>IFERROR(__xludf.DUMMYFUNCTION("""COMPUTED_VALUE"""),"#N/A")</f>
        <v>#N/A</v>
      </c>
    </row>
    <row r="12594">
      <c r="A12594" s="1" t="str">
        <f>IFERROR(__xludf.DUMMYFUNCTION("""COMPUTED_VALUE"""),"#VALUE!")</f>
        <v>#VALUE!</v>
      </c>
      <c r="B12594" s="4"/>
      <c r="C12594" s="1" t="str">
        <f>IFERROR(__xludf.DUMMYFUNCTION("""COMPUTED_VALUE"""),"#N/A")</f>
        <v>#N/A</v>
      </c>
      <c r="D12594" s="1"/>
      <c r="E12594" s="1"/>
      <c r="F12594" s="1"/>
      <c r="G12594" s="1"/>
      <c r="H12594" s="2">
        <f>IFERROR(__xludf.DUMMYFUNCTION("""COMPUTED_VALUE"""),0.0)</f>
        <v>0</v>
      </c>
      <c r="I12594" s="5"/>
      <c r="J12594" s="1" t="str">
        <f>IFERROR(__xludf.DUMMYFUNCTION("""COMPUTED_VALUE"""),"#N/A")</f>
        <v>#N/A</v>
      </c>
      <c r="K12594" s="1" t="str">
        <f>IFERROR(__xludf.DUMMYFUNCTION("""COMPUTED_VALUE"""),"#N/A")</f>
        <v>#N/A</v>
      </c>
      <c r="L12594" s="1" t="str">
        <f>IFERROR(__xludf.DUMMYFUNCTION("""COMPUTED_VALUE"""),"#N/A")</f>
        <v>#N/A</v>
      </c>
    </row>
    <row r="12595">
      <c r="A12595" s="1" t="str">
        <f>IFERROR(__xludf.DUMMYFUNCTION("""COMPUTED_VALUE"""),"#VALUE!")</f>
        <v>#VALUE!</v>
      </c>
      <c r="B12595" s="4"/>
      <c r="C12595" s="1" t="str">
        <f>IFERROR(__xludf.DUMMYFUNCTION("""COMPUTED_VALUE"""),"#N/A")</f>
        <v>#N/A</v>
      </c>
      <c r="D12595" s="1"/>
      <c r="E12595" s="1"/>
      <c r="F12595" s="1"/>
      <c r="G12595" s="1"/>
      <c r="H12595" s="2">
        <f>IFERROR(__xludf.DUMMYFUNCTION("""COMPUTED_VALUE"""),0.0)</f>
        <v>0</v>
      </c>
      <c r="I12595" s="5"/>
      <c r="J12595" s="1" t="str">
        <f>IFERROR(__xludf.DUMMYFUNCTION("""COMPUTED_VALUE"""),"#N/A")</f>
        <v>#N/A</v>
      </c>
      <c r="K12595" s="1" t="str">
        <f>IFERROR(__xludf.DUMMYFUNCTION("""COMPUTED_VALUE"""),"#N/A")</f>
        <v>#N/A</v>
      </c>
      <c r="L12595" s="1" t="str">
        <f>IFERROR(__xludf.DUMMYFUNCTION("""COMPUTED_VALUE"""),"#N/A")</f>
        <v>#N/A</v>
      </c>
    </row>
    <row r="12596">
      <c r="A12596" s="1" t="str">
        <f>IFERROR(__xludf.DUMMYFUNCTION("""COMPUTED_VALUE"""),"#VALUE!")</f>
        <v>#VALUE!</v>
      </c>
      <c r="B12596" s="4"/>
      <c r="C12596" s="1" t="str">
        <f>IFERROR(__xludf.DUMMYFUNCTION("""COMPUTED_VALUE"""),"#N/A")</f>
        <v>#N/A</v>
      </c>
      <c r="D12596" s="1"/>
      <c r="E12596" s="1"/>
      <c r="F12596" s="1"/>
      <c r="G12596" s="1"/>
      <c r="H12596" s="2">
        <f>IFERROR(__xludf.DUMMYFUNCTION("""COMPUTED_VALUE"""),0.0)</f>
        <v>0</v>
      </c>
      <c r="I12596" s="5"/>
      <c r="J12596" s="1" t="str">
        <f>IFERROR(__xludf.DUMMYFUNCTION("""COMPUTED_VALUE"""),"#N/A")</f>
        <v>#N/A</v>
      </c>
      <c r="K12596" s="1" t="str">
        <f>IFERROR(__xludf.DUMMYFUNCTION("""COMPUTED_VALUE"""),"#N/A")</f>
        <v>#N/A</v>
      </c>
      <c r="L12596" s="1" t="str">
        <f>IFERROR(__xludf.DUMMYFUNCTION("""COMPUTED_VALUE"""),"#N/A")</f>
        <v>#N/A</v>
      </c>
    </row>
    <row r="12597">
      <c r="A12597" s="1" t="str">
        <f>IFERROR(__xludf.DUMMYFUNCTION("""COMPUTED_VALUE"""),"#VALUE!")</f>
        <v>#VALUE!</v>
      </c>
      <c r="B12597" s="4"/>
      <c r="C12597" s="1" t="str">
        <f>IFERROR(__xludf.DUMMYFUNCTION("""COMPUTED_VALUE"""),"#N/A")</f>
        <v>#N/A</v>
      </c>
      <c r="D12597" s="1"/>
      <c r="E12597" s="1"/>
      <c r="F12597" s="1"/>
      <c r="G12597" s="1"/>
      <c r="H12597" s="2">
        <f>IFERROR(__xludf.DUMMYFUNCTION("""COMPUTED_VALUE"""),0.0)</f>
        <v>0</v>
      </c>
      <c r="I12597" s="5"/>
      <c r="J12597" s="1" t="str">
        <f>IFERROR(__xludf.DUMMYFUNCTION("""COMPUTED_VALUE"""),"#N/A")</f>
        <v>#N/A</v>
      </c>
      <c r="K12597" s="1" t="str">
        <f>IFERROR(__xludf.DUMMYFUNCTION("""COMPUTED_VALUE"""),"#N/A")</f>
        <v>#N/A</v>
      </c>
      <c r="L12597" s="1" t="str">
        <f>IFERROR(__xludf.DUMMYFUNCTION("""COMPUTED_VALUE"""),"#N/A")</f>
        <v>#N/A</v>
      </c>
    </row>
    <row r="12598">
      <c r="A12598" s="1" t="str">
        <f>IFERROR(__xludf.DUMMYFUNCTION("""COMPUTED_VALUE"""),"#VALUE!")</f>
        <v>#VALUE!</v>
      </c>
      <c r="B12598" s="4"/>
      <c r="C12598" s="1" t="str">
        <f>IFERROR(__xludf.DUMMYFUNCTION("""COMPUTED_VALUE"""),"#N/A")</f>
        <v>#N/A</v>
      </c>
      <c r="D12598" s="1"/>
      <c r="E12598" s="1"/>
      <c r="F12598" s="1"/>
      <c r="G12598" s="1"/>
      <c r="H12598" s="2">
        <f>IFERROR(__xludf.DUMMYFUNCTION("""COMPUTED_VALUE"""),0.0)</f>
        <v>0</v>
      </c>
      <c r="I12598" s="5"/>
      <c r="J12598" s="1" t="str">
        <f>IFERROR(__xludf.DUMMYFUNCTION("""COMPUTED_VALUE"""),"#N/A")</f>
        <v>#N/A</v>
      </c>
      <c r="K12598" s="1" t="str">
        <f>IFERROR(__xludf.DUMMYFUNCTION("""COMPUTED_VALUE"""),"#N/A")</f>
        <v>#N/A</v>
      </c>
      <c r="L12598" s="1" t="str">
        <f>IFERROR(__xludf.DUMMYFUNCTION("""COMPUTED_VALUE"""),"#N/A")</f>
        <v>#N/A</v>
      </c>
    </row>
    <row r="12599">
      <c r="A12599" s="1" t="str">
        <f>IFERROR(__xludf.DUMMYFUNCTION("""COMPUTED_VALUE"""),"#VALUE!")</f>
        <v>#VALUE!</v>
      </c>
      <c r="B12599" s="4"/>
      <c r="C12599" s="1" t="str">
        <f>IFERROR(__xludf.DUMMYFUNCTION("""COMPUTED_VALUE"""),"#N/A")</f>
        <v>#N/A</v>
      </c>
      <c r="D12599" s="1"/>
      <c r="E12599" s="1"/>
      <c r="F12599" s="1"/>
      <c r="G12599" s="1"/>
      <c r="H12599" s="2">
        <f>IFERROR(__xludf.DUMMYFUNCTION("""COMPUTED_VALUE"""),0.0)</f>
        <v>0</v>
      </c>
      <c r="I12599" s="5"/>
      <c r="J12599" s="1" t="str">
        <f>IFERROR(__xludf.DUMMYFUNCTION("""COMPUTED_VALUE"""),"#N/A")</f>
        <v>#N/A</v>
      </c>
      <c r="K12599" s="1" t="str">
        <f>IFERROR(__xludf.DUMMYFUNCTION("""COMPUTED_VALUE"""),"#N/A")</f>
        <v>#N/A</v>
      </c>
      <c r="L12599" s="1" t="str">
        <f>IFERROR(__xludf.DUMMYFUNCTION("""COMPUTED_VALUE"""),"#N/A")</f>
        <v>#N/A</v>
      </c>
    </row>
    <row r="12600">
      <c r="A12600" s="1" t="str">
        <f>IFERROR(__xludf.DUMMYFUNCTION("""COMPUTED_VALUE"""),"#VALUE!")</f>
        <v>#VALUE!</v>
      </c>
      <c r="B12600" s="4"/>
      <c r="C12600" s="1" t="str">
        <f>IFERROR(__xludf.DUMMYFUNCTION("""COMPUTED_VALUE"""),"#N/A")</f>
        <v>#N/A</v>
      </c>
      <c r="D12600" s="1"/>
      <c r="E12600" s="1"/>
      <c r="F12600" s="1"/>
      <c r="G12600" s="1"/>
      <c r="H12600" s="2">
        <f>IFERROR(__xludf.DUMMYFUNCTION("""COMPUTED_VALUE"""),0.0)</f>
        <v>0</v>
      </c>
      <c r="I12600" s="5"/>
      <c r="J12600" s="1" t="str">
        <f>IFERROR(__xludf.DUMMYFUNCTION("""COMPUTED_VALUE"""),"#N/A")</f>
        <v>#N/A</v>
      </c>
      <c r="K12600" s="1" t="str">
        <f>IFERROR(__xludf.DUMMYFUNCTION("""COMPUTED_VALUE"""),"#N/A")</f>
        <v>#N/A</v>
      </c>
      <c r="L12600" s="1" t="str">
        <f>IFERROR(__xludf.DUMMYFUNCTION("""COMPUTED_VALUE"""),"#N/A")</f>
        <v>#N/A</v>
      </c>
    </row>
    <row r="12601">
      <c r="A12601" s="1" t="str">
        <f>IFERROR(__xludf.DUMMYFUNCTION("""COMPUTED_VALUE"""),"#VALUE!")</f>
        <v>#VALUE!</v>
      </c>
      <c r="B12601" s="4"/>
      <c r="C12601" s="1" t="str">
        <f>IFERROR(__xludf.DUMMYFUNCTION("""COMPUTED_VALUE"""),"#N/A")</f>
        <v>#N/A</v>
      </c>
      <c r="D12601" s="1"/>
      <c r="E12601" s="1"/>
      <c r="F12601" s="1"/>
      <c r="G12601" s="1"/>
      <c r="H12601" s="2">
        <f>IFERROR(__xludf.DUMMYFUNCTION("""COMPUTED_VALUE"""),0.0)</f>
        <v>0</v>
      </c>
      <c r="I12601" s="5"/>
      <c r="J12601" s="1" t="str">
        <f>IFERROR(__xludf.DUMMYFUNCTION("""COMPUTED_VALUE"""),"#N/A")</f>
        <v>#N/A</v>
      </c>
      <c r="K12601" s="1" t="str">
        <f>IFERROR(__xludf.DUMMYFUNCTION("""COMPUTED_VALUE"""),"#N/A")</f>
        <v>#N/A</v>
      </c>
      <c r="L12601" s="1" t="str">
        <f>IFERROR(__xludf.DUMMYFUNCTION("""COMPUTED_VALUE"""),"#N/A")</f>
        <v>#N/A</v>
      </c>
    </row>
    <row r="12602">
      <c r="A12602" s="1" t="str">
        <f>IFERROR(__xludf.DUMMYFUNCTION("""COMPUTED_VALUE"""),"#VALUE!")</f>
        <v>#VALUE!</v>
      </c>
      <c r="B12602" s="4"/>
      <c r="C12602" s="1" t="str">
        <f>IFERROR(__xludf.DUMMYFUNCTION("""COMPUTED_VALUE"""),"#N/A")</f>
        <v>#N/A</v>
      </c>
      <c r="D12602" s="1"/>
      <c r="E12602" s="1"/>
      <c r="F12602" s="1"/>
      <c r="G12602" s="1"/>
      <c r="H12602" s="2">
        <f>IFERROR(__xludf.DUMMYFUNCTION("""COMPUTED_VALUE"""),0.0)</f>
        <v>0</v>
      </c>
      <c r="I12602" s="5"/>
      <c r="J12602" s="1" t="str">
        <f>IFERROR(__xludf.DUMMYFUNCTION("""COMPUTED_VALUE"""),"#N/A")</f>
        <v>#N/A</v>
      </c>
      <c r="K12602" s="1" t="str">
        <f>IFERROR(__xludf.DUMMYFUNCTION("""COMPUTED_VALUE"""),"#N/A")</f>
        <v>#N/A</v>
      </c>
      <c r="L12602" s="1" t="str">
        <f>IFERROR(__xludf.DUMMYFUNCTION("""COMPUTED_VALUE"""),"#N/A")</f>
        <v>#N/A</v>
      </c>
    </row>
    <row r="12603">
      <c r="A12603" s="1" t="str">
        <f>IFERROR(__xludf.DUMMYFUNCTION("""COMPUTED_VALUE"""),"#VALUE!")</f>
        <v>#VALUE!</v>
      </c>
      <c r="B12603" s="4"/>
      <c r="C12603" s="1" t="str">
        <f>IFERROR(__xludf.DUMMYFUNCTION("""COMPUTED_VALUE"""),"#N/A")</f>
        <v>#N/A</v>
      </c>
      <c r="D12603" s="1"/>
      <c r="E12603" s="1"/>
      <c r="F12603" s="1"/>
      <c r="G12603" s="1"/>
      <c r="H12603" s="2">
        <f>IFERROR(__xludf.DUMMYFUNCTION("""COMPUTED_VALUE"""),0.0)</f>
        <v>0</v>
      </c>
      <c r="I12603" s="5"/>
      <c r="J12603" s="1" t="str">
        <f>IFERROR(__xludf.DUMMYFUNCTION("""COMPUTED_VALUE"""),"#N/A")</f>
        <v>#N/A</v>
      </c>
      <c r="K12603" s="1" t="str">
        <f>IFERROR(__xludf.DUMMYFUNCTION("""COMPUTED_VALUE"""),"#N/A")</f>
        <v>#N/A</v>
      </c>
      <c r="L12603" s="1" t="str">
        <f>IFERROR(__xludf.DUMMYFUNCTION("""COMPUTED_VALUE"""),"#N/A")</f>
        <v>#N/A</v>
      </c>
    </row>
    <row r="12604">
      <c r="A12604" s="1" t="str">
        <f>IFERROR(__xludf.DUMMYFUNCTION("""COMPUTED_VALUE"""),"#VALUE!")</f>
        <v>#VALUE!</v>
      </c>
      <c r="B12604" s="4"/>
      <c r="C12604" s="1" t="str">
        <f>IFERROR(__xludf.DUMMYFUNCTION("""COMPUTED_VALUE"""),"#N/A")</f>
        <v>#N/A</v>
      </c>
      <c r="D12604" s="1"/>
      <c r="E12604" s="1"/>
      <c r="F12604" s="1"/>
      <c r="G12604" s="1"/>
      <c r="H12604" s="2">
        <f>IFERROR(__xludf.DUMMYFUNCTION("""COMPUTED_VALUE"""),0.0)</f>
        <v>0</v>
      </c>
      <c r="I12604" s="5"/>
      <c r="J12604" s="1" t="str">
        <f>IFERROR(__xludf.DUMMYFUNCTION("""COMPUTED_VALUE"""),"#N/A")</f>
        <v>#N/A</v>
      </c>
      <c r="K12604" s="1" t="str">
        <f>IFERROR(__xludf.DUMMYFUNCTION("""COMPUTED_VALUE"""),"#N/A")</f>
        <v>#N/A</v>
      </c>
      <c r="L12604" s="1" t="str">
        <f>IFERROR(__xludf.DUMMYFUNCTION("""COMPUTED_VALUE"""),"#N/A")</f>
        <v>#N/A</v>
      </c>
    </row>
    <row r="12605">
      <c r="A12605" s="1" t="str">
        <f>IFERROR(__xludf.DUMMYFUNCTION("""COMPUTED_VALUE"""),"#VALUE!")</f>
        <v>#VALUE!</v>
      </c>
      <c r="B12605" s="4"/>
      <c r="C12605" s="1" t="str">
        <f>IFERROR(__xludf.DUMMYFUNCTION("""COMPUTED_VALUE"""),"#N/A")</f>
        <v>#N/A</v>
      </c>
      <c r="D12605" s="1"/>
      <c r="E12605" s="1"/>
      <c r="F12605" s="1"/>
      <c r="G12605" s="1"/>
      <c r="H12605" s="2">
        <f>IFERROR(__xludf.DUMMYFUNCTION("""COMPUTED_VALUE"""),0.0)</f>
        <v>0</v>
      </c>
      <c r="I12605" s="5"/>
      <c r="J12605" s="1" t="str">
        <f>IFERROR(__xludf.DUMMYFUNCTION("""COMPUTED_VALUE"""),"#N/A")</f>
        <v>#N/A</v>
      </c>
      <c r="K12605" s="1" t="str">
        <f>IFERROR(__xludf.DUMMYFUNCTION("""COMPUTED_VALUE"""),"#N/A")</f>
        <v>#N/A</v>
      </c>
      <c r="L12605" s="1" t="str">
        <f>IFERROR(__xludf.DUMMYFUNCTION("""COMPUTED_VALUE"""),"#N/A")</f>
        <v>#N/A</v>
      </c>
    </row>
    <row r="12606">
      <c r="A12606" s="1" t="str">
        <f>IFERROR(__xludf.DUMMYFUNCTION("""COMPUTED_VALUE"""),"#VALUE!")</f>
        <v>#VALUE!</v>
      </c>
      <c r="B12606" s="4"/>
      <c r="C12606" s="1" t="str">
        <f>IFERROR(__xludf.DUMMYFUNCTION("""COMPUTED_VALUE"""),"#N/A")</f>
        <v>#N/A</v>
      </c>
      <c r="D12606" s="1"/>
      <c r="E12606" s="1"/>
      <c r="F12606" s="1"/>
      <c r="G12606" s="1"/>
      <c r="H12606" s="2">
        <f>IFERROR(__xludf.DUMMYFUNCTION("""COMPUTED_VALUE"""),0.0)</f>
        <v>0</v>
      </c>
      <c r="I12606" s="5"/>
      <c r="J12606" s="1" t="str">
        <f>IFERROR(__xludf.DUMMYFUNCTION("""COMPUTED_VALUE"""),"#N/A")</f>
        <v>#N/A</v>
      </c>
      <c r="K12606" s="1" t="str">
        <f>IFERROR(__xludf.DUMMYFUNCTION("""COMPUTED_VALUE"""),"#N/A")</f>
        <v>#N/A</v>
      </c>
      <c r="L12606" s="1" t="str">
        <f>IFERROR(__xludf.DUMMYFUNCTION("""COMPUTED_VALUE"""),"#N/A")</f>
        <v>#N/A</v>
      </c>
    </row>
    <row r="12607">
      <c r="A12607" s="1" t="str">
        <f>IFERROR(__xludf.DUMMYFUNCTION("""COMPUTED_VALUE"""),"#VALUE!")</f>
        <v>#VALUE!</v>
      </c>
      <c r="B12607" s="4"/>
      <c r="C12607" s="1" t="str">
        <f>IFERROR(__xludf.DUMMYFUNCTION("""COMPUTED_VALUE"""),"#N/A")</f>
        <v>#N/A</v>
      </c>
      <c r="D12607" s="1"/>
      <c r="E12607" s="1"/>
      <c r="F12607" s="1"/>
      <c r="G12607" s="1"/>
      <c r="H12607" s="2">
        <f>IFERROR(__xludf.DUMMYFUNCTION("""COMPUTED_VALUE"""),0.0)</f>
        <v>0</v>
      </c>
      <c r="I12607" s="5"/>
      <c r="J12607" s="1" t="str">
        <f>IFERROR(__xludf.DUMMYFUNCTION("""COMPUTED_VALUE"""),"#N/A")</f>
        <v>#N/A</v>
      </c>
      <c r="K12607" s="1" t="str">
        <f>IFERROR(__xludf.DUMMYFUNCTION("""COMPUTED_VALUE"""),"#N/A")</f>
        <v>#N/A</v>
      </c>
      <c r="L12607" s="1" t="str">
        <f>IFERROR(__xludf.DUMMYFUNCTION("""COMPUTED_VALUE"""),"#N/A")</f>
        <v>#N/A</v>
      </c>
    </row>
    <row r="12608">
      <c r="A12608" s="1" t="str">
        <f>IFERROR(__xludf.DUMMYFUNCTION("""COMPUTED_VALUE"""),"#VALUE!")</f>
        <v>#VALUE!</v>
      </c>
      <c r="B12608" s="4"/>
      <c r="C12608" s="1" t="str">
        <f>IFERROR(__xludf.DUMMYFUNCTION("""COMPUTED_VALUE"""),"#N/A")</f>
        <v>#N/A</v>
      </c>
      <c r="D12608" s="1"/>
      <c r="E12608" s="1"/>
      <c r="F12608" s="1"/>
      <c r="G12608" s="1"/>
      <c r="H12608" s="2">
        <f>IFERROR(__xludf.DUMMYFUNCTION("""COMPUTED_VALUE"""),0.0)</f>
        <v>0</v>
      </c>
      <c r="I12608" s="5"/>
      <c r="J12608" s="1" t="str">
        <f>IFERROR(__xludf.DUMMYFUNCTION("""COMPUTED_VALUE"""),"#N/A")</f>
        <v>#N/A</v>
      </c>
      <c r="K12608" s="1" t="str">
        <f>IFERROR(__xludf.DUMMYFUNCTION("""COMPUTED_VALUE"""),"#N/A")</f>
        <v>#N/A</v>
      </c>
      <c r="L12608" s="1" t="str">
        <f>IFERROR(__xludf.DUMMYFUNCTION("""COMPUTED_VALUE"""),"#N/A")</f>
        <v>#N/A</v>
      </c>
    </row>
    <row r="12609">
      <c r="A12609" s="1" t="str">
        <f>IFERROR(__xludf.DUMMYFUNCTION("""COMPUTED_VALUE"""),"#VALUE!")</f>
        <v>#VALUE!</v>
      </c>
      <c r="B12609" s="4"/>
      <c r="C12609" s="1" t="str">
        <f>IFERROR(__xludf.DUMMYFUNCTION("""COMPUTED_VALUE"""),"#N/A")</f>
        <v>#N/A</v>
      </c>
      <c r="D12609" s="1"/>
      <c r="E12609" s="1"/>
      <c r="F12609" s="1"/>
      <c r="G12609" s="1"/>
      <c r="H12609" s="2">
        <f>IFERROR(__xludf.DUMMYFUNCTION("""COMPUTED_VALUE"""),0.0)</f>
        <v>0</v>
      </c>
      <c r="I12609" s="5"/>
      <c r="J12609" s="1" t="str">
        <f>IFERROR(__xludf.DUMMYFUNCTION("""COMPUTED_VALUE"""),"#N/A")</f>
        <v>#N/A</v>
      </c>
      <c r="K12609" s="1" t="str">
        <f>IFERROR(__xludf.DUMMYFUNCTION("""COMPUTED_VALUE"""),"#N/A")</f>
        <v>#N/A</v>
      </c>
      <c r="L12609" s="1" t="str">
        <f>IFERROR(__xludf.DUMMYFUNCTION("""COMPUTED_VALUE"""),"#N/A")</f>
        <v>#N/A</v>
      </c>
    </row>
    <row r="12610">
      <c r="A12610" s="1" t="str">
        <f>IFERROR(__xludf.DUMMYFUNCTION("""COMPUTED_VALUE"""),"#VALUE!")</f>
        <v>#VALUE!</v>
      </c>
      <c r="B12610" s="4"/>
      <c r="C12610" s="1" t="str">
        <f>IFERROR(__xludf.DUMMYFUNCTION("""COMPUTED_VALUE"""),"#N/A")</f>
        <v>#N/A</v>
      </c>
      <c r="D12610" s="1"/>
      <c r="E12610" s="1"/>
      <c r="F12610" s="1"/>
      <c r="G12610" s="1"/>
      <c r="H12610" s="2">
        <f>IFERROR(__xludf.DUMMYFUNCTION("""COMPUTED_VALUE"""),0.0)</f>
        <v>0</v>
      </c>
      <c r="I12610" s="5"/>
      <c r="J12610" s="1" t="str">
        <f>IFERROR(__xludf.DUMMYFUNCTION("""COMPUTED_VALUE"""),"#N/A")</f>
        <v>#N/A</v>
      </c>
      <c r="K12610" s="1" t="str">
        <f>IFERROR(__xludf.DUMMYFUNCTION("""COMPUTED_VALUE"""),"#N/A")</f>
        <v>#N/A</v>
      </c>
      <c r="L12610" s="1" t="str">
        <f>IFERROR(__xludf.DUMMYFUNCTION("""COMPUTED_VALUE"""),"#N/A")</f>
        <v>#N/A</v>
      </c>
    </row>
    <row r="12611">
      <c r="A12611" s="1" t="str">
        <f>IFERROR(__xludf.DUMMYFUNCTION("""COMPUTED_VALUE"""),"#VALUE!")</f>
        <v>#VALUE!</v>
      </c>
      <c r="B12611" s="4"/>
      <c r="C12611" s="1" t="str">
        <f>IFERROR(__xludf.DUMMYFUNCTION("""COMPUTED_VALUE"""),"#N/A")</f>
        <v>#N/A</v>
      </c>
      <c r="D12611" s="1"/>
      <c r="E12611" s="1"/>
      <c r="F12611" s="1"/>
      <c r="G12611" s="1"/>
      <c r="H12611" s="2">
        <f>IFERROR(__xludf.DUMMYFUNCTION("""COMPUTED_VALUE"""),0.0)</f>
        <v>0</v>
      </c>
      <c r="I12611" s="5"/>
      <c r="J12611" s="1" t="str">
        <f>IFERROR(__xludf.DUMMYFUNCTION("""COMPUTED_VALUE"""),"#N/A")</f>
        <v>#N/A</v>
      </c>
      <c r="K12611" s="1" t="str">
        <f>IFERROR(__xludf.DUMMYFUNCTION("""COMPUTED_VALUE"""),"#N/A")</f>
        <v>#N/A</v>
      </c>
      <c r="L12611" s="1" t="str">
        <f>IFERROR(__xludf.DUMMYFUNCTION("""COMPUTED_VALUE"""),"#N/A")</f>
        <v>#N/A</v>
      </c>
    </row>
    <row r="12612">
      <c r="A12612" s="1" t="str">
        <f>IFERROR(__xludf.DUMMYFUNCTION("""COMPUTED_VALUE"""),"#VALUE!")</f>
        <v>#VALUE!</v>
      </c>
      <c r="B12612" s="4"/>
      <c r="C12612" s="1" t="str">
        <f>IFERROR(__xludf.DUMMYFUNCTION("""COMPUTED_VALUE"""),"#N/A")</f>
        <v>#N/A</v>
      </c>
      <c r="D12612" s="1"/>
      <c r="E12612" s="1"/>
      <c r="F12612" s="1"/>
      <c r="G12612" s="1"/>
      <c r="H12612" s="2">
        <f>IFERROR(__xludf.DUMMYFUNCTION("""COMPUTED_VALUE"""),0.0)</f>
        <v>0</v>
      </c>
      <c r="I12612" s="5"/>
      <c r="J12612" s="1" t="str">
        <f>IFERROR(__xludf.DUMMYFUNCTION("""COMPUTED_VALUE"""),"#N/A")</f>
        <v>#N/A</v>
      </c>
      <c r="K12612" s="1" t="str">
        <f>IFERROR(__xludf.DUMMYFUNCTION("""COMPUTED_VALUE"""),"#N/A")</f>
        <v>#N/A</v>
      </c>
      <c r="L12612" s="1" t="str">
        <f>IFERROR(__xludf.DUMMYFUNCTION("""COMPUTED_VALUE"""),"#N/A")</f>
        <v>#N/A</v>
      </c>
    </row>
    <row r="12613">
      <c r="A12613" s="1" t="str">
        <f>IFERROR(__xludf.DUMMYFUNCTION("""COMPUTED_VALUE"""),"#VALUE!")</f>
        <v>#VALUE!</v>
      </c>
      <c r="B12613" s="4"/>
      <c r="C12613" s="1" t="str">
        <f>IFERROR(__xludf.DUMMYFUNCTION("""COMPUTED_VALUE"""),"#N/A")</f>
        <v>#N/A</v>
      </c>
      <c r="D12613" s="1"/>
      <c r="E12613" s="1"/>
      <c r="F12613" s="1"/>
      <c r="G12613" s="1"/>
      <c r="H12613" s="2">
        <f>IFERROR(__xludf.DUMMYFUNCTION("""COMPUTED_VALUE"""),0.0)</f>
        <v>0</v>
      </c>
      <c r="I12613" s="5"/>
      <c r="J12613" s="1" t="str">
        <f>IFERROR(__xludf.DUMMYFUNCTION("""COMPUTED_VALUE"""),"#N/A")</f>
        <v>#N/A</v>
      </c>
      <c r="K12613" s="1" t="str">
        <f>IFERROR(__xludf.DUMMYFUNCTION("""COMPUTED_VALUE"""),"#N/A")</f>
        <v>#N/A</v>
      </c>
      <c r="L12613" s="1" t="str">
        <f>IFERROR(__xludf.DUMMYFUNCTION("""COMPUTED_VALUE"""),"#N/A")</f>
        <v>#N/A</v>
      </c>
    </row>
    <row r="12614">
      <c r="A12614" s="1" t="str">
        <f>IFERROR(__xludf.DUMMYFUNCTION("""COMPUTED_VALUE"""),"#VALUE!")</f>
        <v>#VALUE!</v>
      </c>
      <c r="B12614" s="4"/>
      <c r="C12614" s="1" t="str">
        <f>IFERROR(__xludf.DUMMYFUNCTION("""COMPUTED_VALUE"""),"#N/A")</f>
        <v>#N/A</v>
      </c>
      <c r="D12614" s="1"/>
      <c r="E12614" s="1"/>
      <c r="F12614" s="1"/>
      <c r="G12614" s="1"/>
      <c r="H12614" s="2">
        <f>IFERROR(__xludf.DUMMYFUNCTION("""COMPUTED_VALUE"""),0.0)</f>
        <v>0</v>
      </c>
      <c r="I12614" s="5"/>
      <c r="J12614" s="1" t="str">
        <f>IFERROR(__xludf.DUMMYFUNCTION("""COMPUTED_VALUE"""),"#N/A")</f>
        <v>#N/A</v>
      </c>
      <c r="K12614" s="1" t="str">
        <f>IFERROR(__xludf.DUMMYFUNCTION("""COMPUTED_VALUE"""),"#N/A")</f>
        <v>#N/A</v>
      </c>
      <c r="L12614" s="1" t="str">
        <f>IFERROR(__xludf.DUMMYFUNCTION("""COMPUTED_VALUE"""),"#N/A")</f>
        <v>#N/A</v>
      </c>
    </row>
    <row r="12615">
      <c r="A12615" s="1" t="str">
        <f>IFERROR(__xludf.DUMMYFUNCTION("""COMPUTED_VALUE"""),"#VALUE!")</f>
        <v>#VALUE!</v>
      </c>
      <c r="B12615" s="4"/>
      <c r="C12615" s="1" t="str">
        <f>IFERROR(__xludf.DUMMYFUNCTION("""COMPUTED_VALUE"""),"#N/A")</f>
        <v>#N/A</v>
      </c>
      <c r="D12615" s="1"/>
      <c r="E12615" s="1"/>
      <c r="F12615" s="1"/>
      <c r="G12615" s="1"/>
      <c r="H12615" s="2">
        <f>IFERROR(__xludf.DUMMYFUNCTION("""COMPUTED_VALUE"""),0.0)</f>
        <v>0</v>
      </c>
      <c r="I12615" s="5"/>
      <c r="J12615" s="1" t="str">
        <f>IFERROR(__xludf.DUMMYFUNCTION("""COMPUTED_VALUE"""),"#N/A")</f>
        <v>#N/A</v>
      </c>
      <c r="K12615" s="1" t="str">
        <f>IFERROR(__xludf.DUMMYFUNCTION("""COMPUTED_VALUE"""),"#N/A")</f>
        <v>#N/A</v>
      </c>
      <c r="L12615" s="1" t="str">
        <f>IFERROR(__xludf.DUMMYFUNCTION("""COMPUTED_VALUE"""),"#N/A")</f>
        <v>#N/A</v>
      </c>
    </row>
    <row r="12616">
      <c r="A12616" s="1" t="str">
        <f>IFERROR(__xludf.DUMMYFUNCTION("""COMPUTED_VALUE"""),"#VALUE!")</f>
        <v>#VALUE!</v>
      </c>
      <c r="B12616" s="4"/>
      <c r="C12616" s="1" t="str">
        <f>IFERROR(__xludf.DUMMYFUNCTION("""COMPUTED_VALUE"""),"#N/A")</f>
        <v>#N/A</v>
      </c>
      <c r="D12616" s="1"/>
      <c r="E12616" s="1"/>
      <c r="F12616" s="1"/>
      <c r="G12616" s="1"/>
      <c r="H12616" s="2">
        <f>IFERROR(__xludf.DUMMYFUNCTION("""COMPUTED_VALUE"""),0.0)</f>
        <v>0</v>
      </c>
      <c r="I12616" s="5"/>
      <c r="J12616" s="1" t="str">
        <f>IFERROR(__xludf.DUMMYFUNCTION("""COMPUTED_VALUE"""),"#N/A")</f>
        <v>#N/A</v>
      </c>
      <c r="K12616" s="1" t="str">
        <f>IFERROR(__xludf.DUMMYFUNCTION("""COMPUTED_VALUE"""),"#N/A")</f>
        <v>#N/A</v>
      </c>
      <c r="L12616" s="1" t="str">
        <f>IFERROR(__xludf.DUMMYFUNCTION("""COMPUTED_VALUE"""),"#N/A")</f>
        <v>#N/A</v>
      </c>
    </row>
    <row r="12617">
      <c r="A12617" s="1" t="str">
        <f>IFERROR(__xludf.DUMMYFUNCTION("""COMPUTED_VALUE"""),"#VALUE!")</f>
        <v>#VALUE!</v>
      </c>
      <c r="B12617" s="4"/>
      <c r="C12617" s="1" t="str">
        <f>IFERROR(__xludf.DUMMYFUNCTION("""COMPUTED_VALUE"""),"#N/A")</f>
        <v>#N/A</v>
      </c>
      <c r="D12617" s="1"/>
      <c r="E12617" s="1"/>
      <c r="F12617" s="1"/>
      <c r="G12617" s="1"/>
      <c r="H12617" s="2">
        <f>IFERROR(__xludf.DUMMYFUNCTION("""COMPUTED_VALUE"""),0.0)</f>
        <v>0</v>
      </c>
      <c r="I12617" s="5"/>
      <c r="J12617" s="1" t="str">
        <f>IFERROR(__xludf.DUMMYFUNCTION("""COMPUTED_VALUE"""),"#N/A")</f>
        <v>#N/A</v>
      </c>
      <c r="K12617" s="1" t="str">
        <f>IFERROR(__xludf.DUMMYFUNCTION("""COMPUTED_VALUE"""),"#N/A")</f>
        <v>#N/A</v>
      </c>
      <c r="L12617" s="1" t="str">
        <f>IFERROR(__xludf.DUMMYFUNCTION("""COMPUTED_VALUE"""),"#N/A")</f>
        <v>#N/A</v>
      </c>
    </row>
    <row r="12618">
      <c r="A12618" s="1" t="str">
        <f>IFERROR(__xludf.DUMMYFUNCTION("""COMPUTED_VALUE"""),"#VALUE!")</f>
        <v>#VALUE!</v>
      </c>
      <c r="B12618" s="4"/>
      <c r="C12618" s="1" t="str">
        <f>IFERROR(__xludf.DUMMYFUNCTION("""COMPUTED_VALUE"""),"#N/A")</f>
        <v>#N/A</v>
      </c>
      <c r="D12618" s="1"/>
      <c r="E12618" s="1"/>
      <c r="F12618" s="1"/>
      <c r="G12618" s="1"/>
      <c r="H12618" s="2">
        <f>IFERROR(__xludf.DUMMYFUNCTION("""COMPUTED_VALUE"""),0.0)</f>
        <v>0</v>
      </c>
      <c r="I12618" s="5"/>
      <c r="J12618" s="1" t="str">
        <f>IFERROR(__xludf.DUMMYFUNCTION("""COMPUTED_VALUE"""),"#N/A")</f>
        <v>#N/A</v>
      </c>
      <c r="K12618" s="1" t="str">
        <f>IFERROR(__xludf.DUMMYFUNCTION("""COMPUTED_VALUE"""),"#N/A")</f>
        <v>#N/A</v>
      </c>
      <c r="L12618" s="1" t="str">
        <f>IFERROR(__xludf.DUMMYFUNCTION("""COMPUTED_VALUE"""),"#N/A")</f>
        <v>#N/A</v>
      </c>
    </row>
    <row r="12619">
      <c r="A12619" s="1" t="str">
        <f>IFERROR(__xludf.DUMMYFUNCTION("""COMPUTED_VALUE"""),"#VALUE!")</f>
        <v>#VALUE!</v>
      </c>
      <c r="B12619" s="4"/>
      <c r="C12619" s="1" t="str">
        <f>IFERROR(__xludf.DUMMYFUNCTION("""COMPUTED_VALUE"""),"#N/A")</f>
        <v>#N/A</v>
      </c>
      <c r="D12619" s="1"/>
      <c r="E12619" s="1"/>
      <c r="F12619" s="1"/>
      <c r="G12619" s="1"/>
      <c r="H12619" s="2">
        <f>IFERROR(__xludf.DUMMYFUNCTION("""COMPUTED_VALUE"""),0.0)</f>
        <v>0</v>
      </c>
      <c r="I12619" s="5"/>
      <c r="J12619" s="1" t="str">
        <f>IFERROR(__xludf.DUMMYFUNCTION("""COMPUTED_VALUE"""),"#N/A")</f>
        <v>#N/A</v>
      </c>
      <c r="K12619" s="1" t="str">
        <f>IFERROR(__xludf.DUMMYFUNCTION("""COMPUTED_VALUE"""),"#N/A")</f>
        <v>#N/A</v>
      </c>
      <c r="L12619" s="1" t="str">
        <f>IFERROR(__xludf.DUMMYFUNCTION("""COMPUTED_VALUE"""),"#N/A")</f>
        <v>#N/A</v>
      </c>
    </row>
    <row r="12620">
      <c r="A12620" s="1" t="str">
        <f>IFERROR(__xludf.DUMMYFUNCTION("""COMPUTED_VALUE"""),"#VALUE!")</f>
        <v>#VALUE!</v>
      </c>
      <c r="B12620" s="4"/>
      <c r="C12620" s="1" t="str">
        <f>IFERROR(__xludf.DUMMYFUNCTION("""COMPUTED_VALUE"""),"#N/A")</f>
        <v>#N/A</v>
      </c>
      <c r="D12620" s="1"/>
      <c r="E12620" s="1"/>
      <c r="F12620" s="1"/>
      <c r="G12620" s="1"/>
      <c r="H12620" s="2">
        <f>IFERROR(__xludf.DUMMYFUNCTION("""COMPUTED_VALUE"""),0.0)</f>
        <v>0</v>
      </c>
      <c r="I12620" s="5"/>
      <c r="J12620" s="1" t="str">
        <f>IFERROR(__xludf.DUMMYFUNCTION("""COMPUTED_VALUE"""),"#N/A")</f>
        <v>#N/A</v>
      </c>
      <c r="K12620" s="1" t="str">
        <f>IFERROR(__xludf.DUMMYFUNCTION("""COMPUTED_VALUE"""),"#N/A")</f>
        <v>#N/A</v>
      </c>
      <c r="L12620" s="1" t="str">
        <f>IFERROR(__xludf.DUMMYFUNCTION("""COMPUTED_VALUE"""),"#N/A")</f>
        <v>#N/A</v>
      </c>
    </row>
    <row r="12621">
      <c r="A12621" s="1" t="str">
        <f>IFERROR(__xludf.DUMMYFUNCTION("""COMPUTED_VALUE"""),"#VALUE!")</f>
        <v>#VALUE!</v>
      </c>
      <c r="B12621" s="4"/>
      <c r="C12621" s="1" t="str">
        <f>IFERROR(__xludf.DUMMYFUNCTION("""COMPUTED_VALUE"""),"#N/A")</f>
        <v>#N/A</v>
      </c>
      <c r="D12621" s="1"/>
      <c r="E12621" s="1"/>
      <c r="F12621" s="1"/>
      <c r="G12621" s="1"/>
      <c r="H12621" s="2">
        <f>IFERROR(__xludf.DUMMYFUNCTION("""COMPUTED_VALUE"""),0.0)</f>
        <v>0</v>
      </c>
      <c r="I12621" s="5"/>
      <c r="J12621" s="1" t="str">
        <f>IFERROR(__xludf.DUMMYFUNCTION("""COMPUTED_VALUE"""),"#N/A")</f>
        <v>#N/A</v>
      </c>
      <c r="K12621" s="1" t="str">
        <f>IFERROR(__xludf.DUMMYFUNCTION("""COMPUTED_VALUE"""),"#N/A")</f>
        <v>#N/A</v>
      </c>
      <c r="L12621" s="1" t="str">
        <f>IFERROR(__xludf.DUMMYFUNCTION("""COMPUTED_VALUE"""),"#N/A")</f>
        <v>#N/A</v>
      </c>
    </row>
    <row r="12622">
      <c r="A12622" s="1" t="str">
        <f>IFERROR(__xludf.DUMMYFUNCTION("""COMPUTED_VALUE"""),"#VALUE!")</f>
        <v>#VALUE!</v>
      </c>
      <c r="B12622" s="4"/>
      <c r="C12622" s="1" t="str">
        <f>IFERROR(__xludf.DUMMYFUNCTION("""COMPUTED_VALUE"""),"#N/A")</f>
        <v>#N/A</v>
      </c>
      <c r="D12622" s="1"/>
      <c r="E12622" s="1"/>
      <c r="F12622" s="1"/>
      <c r="G12622" s="1"/>
      <c r="H12622" s="2">
        <f>IFERROR(__xludf.DUMMYFUNCTION("""COMPUTED_VALUE"""),0.0)</f>
        <v>0</v>
      </c>
      <c r="I12622" s="5"/>
      <c r="J12622" s="1" t="str">
        <f>IFERROR(__xludf.DUMMYFUNCTION("""COMPUTED_VALUE"""),"#N/A")</f>
        <v>#N/A</v>
      </c>
      <c r="K12622" s="1" t="str">
        <f>IFERROR(__xludf.DUMMYFUNCTION("""COMPUTED_VALUE"""),"#N/A")</f>
        <v>#N/A</v>
      </c>
      <c r="L12622" s="1" t="str">
        <f>IFERROR(__xludf.DUMMYFUNCTION("""COMPUTED_VALUE"""),"#N/A")</f>
        <v>#N/A</v>
      </c>
    </row>
    <row r="12623">
      <c r="A12623" s="1" t="str">
        <f>IFERROR(__xludf.DUMMYFUNCTION("""COMPUTED_VALUE"""),"#VALUE!")</f>
        <v>#VALUE!</v>
      </c>
      <c r="B12623" s="4"/>
      <c r="C12623" s="1" t="str">
        <f>IFERROR(__xludf.DUMMYFUNCTION("""COMPUTED_VALUE"""),"#N/A")</f>
        <v>#N/A</v>
      </c>
      <c r="D12623" s="1"/>
      <c r="E12623" s="1"/>
      <c r="F12623" s="1"/>
      <c r="G12623" s="1"/>
      <c r="H12623" s="2">
        <f>IFERROR(__xludf.DUMMYFUNCTION("""COMPUTED_VALUE"""),0.0)</f>
        <v>0</v>
      </c>
      <c r="I12623" s="5"/>
      <c r="J12623" s="1" t="str">
        <f>IFERROR(__xludf.DUMMYFUNCTION("""COMPUTED_VALUE"""),"#N/A")</f>
        <v>#N/A</v>
      </c>
      <c r="K12623" s="1" t="str">
        <f>IFERROR(__xludf.DUMMYFUNCTION("""COMPUTED_VALUE"""),"#N/A")</f>
        <v>#N/A</v>
      </c>
      <c r="L12623" s="1" t="str">
        <f>IFERROR(__xludf.DUMMYFUNCTION("""COMPUTED_VALUE"""),"#N/A")</f>
        <v>#N/A</v>
      </c>
    </row>
    <row r="12624">
      <c r="A12624" s="1" t="str">
        <f>IFERROR(__xludf.DUMMYFUNCTION("""COMPUTED_VALUE"""),"#VALUE!")</f>
        <v>#VALUE!</v>
      </c>
      <c r="B12624" s="4"/>
      <c r="C12624" s="1" t="str">
        <f>IFERROR(__xludf.DUMMYFUNCTION("""COMPUTED_VALUE"""),"#N/A")</f>
        <v>#N/A</v>
      </c>
      <c r="D12624" s="1"/>
      <c r="E12624" s="1"/>
      <c r="F12624" s="1"/>
      <c r="G12624" s="1"/>
      <c r="H12624" s="2">
        <f>IFERROR(__xludf.DUMMYFUNCTION("""COMPUTED_VALUE"""),0.0)</f>
        <v>0</v>
      </c>
      <c r="I12624" s="5"/>
      <c r="J12624" s="1" t="str">
        <f>IFERROR(__xludf.DUMMYFUNCTION("""COMPUTED_VALUE"""),"#N/A")</f>
        <v>#N/A</v>
      </c>
      <c r="K12624" s="1" t="str">
        <f>IFERROR(__xludf.DUMMYFUNCTION("""COMPUTED_VALUE"""),"#N/A")</f>
        <v>#N/A</v>
      </c>
      <c r="L12624" s="1" t="str">
        <f>IFERROR(__xludf.DUMMYFUNCTION("""COMPUTED_VALUE"""),"#N/A")</f>
        <v>#N/A</v>
      </c>
    </row>
    <row r="12625">
      <c r="A12625" s="1" t="str">
        <f>IFERROR(__xludf.DUMMYFUNCTION("""COMPUTED_VALUE"""),"#VALUE!")</f>
        <v>#VALUE!</v>
      </c>
      <c r="B12625" s="4"/>
      <c r="C12625" s="1" t="str">
        <f>IFERROR(__xludf.DUMMYFUNCTION("""COMPUTED_VALUE"""),"#N/A")</f>
        <v>#N/A</v>
      </c>
      <c r="D12625" s="1"/>
      <c r="E12625" s="1"/>
      <c r="F12625" s="1"/>
      <c r="G12625" s="1"/>
      <c r="H12625" s="2">
        <f>IFERROR(__xludf.DUMMYFUNCTION("""COMPUTED_VALUE"""),0.0)</f>
        <v>0</v>
      </c>
      <c r="I12625" s="5"/>
      <c r="J12625" s="1" t="str">
        <f>IFERROR(__xludf.DUMMYFUNCTION("""COMPUTED_VALUE"""),"#N/A")</f>
        <v>#N/A</v>
      </c>
      <c r="K12625" s="1" t="str">
        <f>IFERROR(__xludf.DUMMYFUNCTION("""COMPUTED_VALUE"""),"#N/A")</f>
        <v>#N/A</v>
      </c>
      <c r="L12625" s="1" t="str">
        <f>IFERROR(__xludf.DUMMYFUNCTION("""COMPUTED_VALUE"""),"#N/A")</f>
        <v>#N/A</v>
      </c>
    </row>
    <row r="12626">
      <c r="A12626" s="1" t="str">
        <f>IFERROR(__xludf.DUMMYFUNCTION("""COMPUTED_VALUE"""),"#VALUE!")</f>
        <v>#VALUE!</v>
      </c>
      <c r="B12626" s="4"/>
      <c r="C12626" s="1" t="str">
        <f>IFERROR(__xludf.DUMMYFUNCTION("""COMPUTED_VALUE"""),"#N/A")</f>
        <v>#N/A</v>
      </c>
      <c r="D12626" s="1"/>
      <c r="E12626" s="1"/>
      <c r="F12626" s="1"/>
      <c r="G12626" s="1"/>
      <c r="H12626" s="2">
        <f>IFERROR(__xludf.DUMMYFUNCTION("""COMPUTED_VALUE"""),0.0)</f>
        <v>0</v>
      </c>
      <c r="I12626" s="5"/>
      <c r="J12626" s="1" t="str">
        <f>IFERROR(__xludf.DUMMYFUNCTION("""COMPUTED_VALUE"""),"#N/A")</f>
        <v>#N/A</v>
      </c>
      <c r="K12626" s="1" t="str">
        <f>IFERROR(__xludf.DUMMYFUNCTION("""COMPUTED_VALUE"""),"#N/A")</f>
        <v>#N/A</v>
      </c>
      <c r="L12626" s="1" t="str">
        <f>IFERROR(__xludf.DUMMYFUNCTION("""COMPUTED_VALUE"""),"#N/A")</f>
        <v>#N/A</v>
      </c>
    </row>
    <row r="12627">
      <c r="A12627" s="1" t="str">
        <f>IFERROR(__xludf.DUMMYFUNCTION("""COMPUTED_VALUE"""),"#VALUE!")</f>
        <v>#VALUE!</v>
      </c>
      <c r="B12627" s="4"/>
      <c r="C12627" s="1" t="str">
        <f>IFERROR(__xludf.DUMMYFUNCTION("""COMPUTED_VALUE"""),"#N/A")</f>
        <v>#N/A</v>
      </c>
      <c r="D12627" s="1"/>
      <c r="E12627" s="1"/>
      <c r="F12627" s="1"/>
      <c r="G12627" s="1"/>
      <c r="H12627" s="2">
        <f>IFERROR(__xludf.DUMMYFUNCTION("""COMPUTED_VALUE"""),0.0)</f>
        <v>0</v>
      </c>
      <c r="I12627" s="5"/>
      <c r="J12627" s="1" t="str">
        <f>IFERROR(__xludf.DUMMYFUNCTION("""COMPUTED_VALUE"""),"#N/A")</f>
        <v>#N/A</v>
      </c>
      <c r="K12627" s="1" t="str">
        <f>IFERROR(__xludf.DUMMYFUNCTION("""COMPUTED_VALUE"""),"#N/A")</f>
        <v>#N/A</v>
      </c>
      <c r="L12627" s="1" t="str">
        <f>IFERROR(__xludf.DUMMYFUNCTION("""COMPUTED_VALUE"""),"#N/A")</f>
        <v>#N/A</v>
      </c>
    </row>
    <row r="12628">
      <c r="A12628" s="1" t="str">
        <f>IFERROR(__xludf.DUMMYFUNCTION("""COMPUTED_VALUE"""),"#VALUE!")</f>
        <v>#VALUE!</v>
      </c>
      <c r="B12628" s="4"/>
      <c r="C12628" s="1" t="str">
        <f>IFERROR(__xludf.DUMMYFUNCTION("""COMPUTED_VALUE"""),"#N/A")</f>
        <v>#N/A</v>
      </c>
      <c r="D12628" s="1"/>
      <c r="E12628" s="1"/>
      <c r="F12628" s="1"/>
      <c r="G12628" s="1"/>
      <c r="H12628" s="2">
        <f>IFERROR(__xludf.DUMMYFUNCTION("""COMPUTED_VALUE"""),0.0)</f>
        <v>0</v>
      </c>
      <c r="I12628" s="5"/>
      <c r="J12628" s="1" t="str">
        <f>IFERROR(__xludf.DUMMYFUNCTION("""COMPUTED_VALUE"""),"#N/A")</f>
        <v>#N/A</v>
      </c>
      <c r="K12628" s="1" t="str">
        <f>IFERROR(__xludf.DUMMYFUNCTION("""COMPUTED_VALUE"""),"#N/A")</f>
        <v>#N/A</v>
      </c>
      <c r="L12628" s="1" t="str">
        <f>IFERROR(__xludf.DUMMYFUNCTION("""COMPUTED_VALUE"""),"#N/A")</f>
        <v>#N/A</v>
      </c>
    </row>
    <row r="12629">
      <c r="A12629" s="1" t="str">
        <f>IFERROR(__xludf.DUMMYFUNCTION("""COMPUTED_VALUE"""),"#VALUE!")</f>
        <v>#VALUE!</v>
      </c>
      <c r="B12629" s="4"/>
      <c r="C12629" s="1" t="str">
        <f>IFERROR(__xludf.DUMMYFUNCTION("""COMPUTED_VALUE"""),"#N/A")</f>
        <v>#N/A</v>
      </c>
      <c r="D12629" s="1"/>
      <c r="E12629" s="1"/>
      <c r="F12629" s="1"/>
      <c r="G12629" s="1"/>
      <c r="H12629" s="2">
        <f>IFERROR(__xludf.DUMMYFUNCTION("""COMPUTED_VALUE"""),0.0)</f>
        <v>0</v>
      </c>
      <c r="I12629" s="5"/>
      <c r="J12629" s="1" t="str">
        <f>IFERROR(__xludf.DUMMYFUNCTION("""COMPUTED_VALUE"""),"#N/A")</f>
        <v>#N/A</v>
      </c>
      <c r="K12629" s="1" t="str">
        <f>IFERROR(__xludf.DUMMYFUNCTION("""COMPUTED_VALUE"""),"#N/A")</f>
        <v>#N/A</v>
      </c>
      <c r="L12629" s="1" t="str">
        <f>IFERROR(__xludf.DUMMYFUNCTION("""COMPUTED_VALUE"""),"#N/A")</f>
        <v>#N/A</v>
      </c>
    </row>
    <row r="12630">
      <c r="A12630" s="1" t="str">
        <f>IFERROR(__xludf.DUMMYFUNCTION("""COMPUTED_VALUE"""),"#VALUE!")</f>
        <v>#VALUE!</v>
      </c>
      <c r="B12630" s="4"/>
      <c r="C12630" s="1" t="str">
        <f>IFERROR(__xludf.DUMMYFUNCTION("""COMPUTED_VALUE"""),"#N/A")</f>
        <v>#N/A</v>
      </c>
      <c r="D12630" s="1"/>
      <c r="E12630" s="1"/>
      <c r="F12630" s="1"/>
      <c r="G12630" s="1"/>
      <c r="H12630" s="2">
        <f>IFERROR(__xludf.DUMMYFUNCTION("""COMPUTED_VALUE"""),0.0)</f>
        <v>0</v>
      </c>
      <c r="I12630" s="5"/>
      <c r="J12630" s="1" t="str">
        <f>IFERROR(__xludf.DUMMYFUNCTION("""COMPUTED_VALUE"""),"#N/A")</f>
        <v>#N/A</v>
      </c>
      <c r="K12630" s="1" t="str">
        <f>IFERROR(__xludf.DUMMYFUNCTION("""COMPUTED_VALUE"""),"#N/A")</f>
        <v>#N/A</v>
      </c>
      <c r="L12630" s="1" t="str">
        <f>IFERROR(__xludf.DUMMYFUNCTION("""COMPUTED_VALUE"""),"#N/A")</f>
        <v>#N/A</v>
      </c>
    </row>
    <row r="12631">
      <c r="A12631" s="1" t="str">
        <f>IFERROR(__xludf.DUMMYFUNCTION("""COMPUTED_VALUE"""),"#VALUE!")</f>
        <v>#VALUE!</v>
      </c>
      <c r="B12631" s="4"/>
      <c r="C12631" s="1" t="str">
        <f>IFERROR(__xludf.DUMMYFUNCTION("""COMPUTED_VALUE"""),"#N/A")</f>
        <v>#N/A</v>
      </c>
      <c r="D12631" s="1"/>
      <c r="E12631" s="1"/>
      <c r="F12631" s="1"/>
      <c r="G12631" s="1"/>
      <c r="H12631" s="2">
        <f>IFERROR(__xludf.DUMMYFUNCTION("""COMPUTED_VALUE"""),0.0)</f>
        <v>0</v>
      </c>
      <c r="I12631" s="5"/>
      <c r="J12631" s="1" t="str">
        <f>IFERROR(__xludf.DUMMYFUNCTION("""COMPUTED_VALUE"""),"#N/A")</f>
        <v>#N/A</v>
      </c>
      <c r="K12631" s="1" t="str">
        <f>IFERROR(__xludf.DUMMYFUNCTION("""COMPUTED_VALUE"""),"#N/A")</f>
        <v>#N/A</v>
      </c>
      <c r="L12631" s="1" t="str">
        <f>IFERROR(__xludf.DUMMYFUNCTION("""COMPUTED_VALUE"""),"#N/A")</f>
        <v>#N/A</v>
      </c>
    </row>
    <row r="12632">
      <c r="A12632" s="1" t="str">
        <f>IFERROR(__xludf.DUMMYFUNCTION("""COMPUTED_VALUE"""),"#VALUE!")</f>
        <v>#VALUE!</v>
      </c>
      <c r="B12632" s="4"/>
      <c r="C12632" s="1" t="str">
        <f>IFERROR(__xludf.DUMMYFUNCTION("""COMPUTED_VALUE"""),"#N/A")</f>
        <v>#N/A</v>
      </c>
      <c r="D12632" s="1"/>
      <c r="E12632" s="1"/>
      <c r="F12632" s="1"/>
      <c r="G12632" s="1"/>
      <c r="H12632" s="2">
        <f>IFERROR(__xludf.DUMMYFUNCTION("""COMPUTED_VALUE"""),0.0)</f>
        <v>0</v>
      </c>
      <c r="I12632" s="5"/>
      <c r="J12632" s="1" t="str">
        <f>IFERROR(__xludf.DUMMYFUNCTION("""COMPUTED_VALUE"""),"#N/A")</f>
        <v>#N/A</v>
      </c>
      <c r="K12632" s="1" t="str">
        <f>IFERROR(__xludf.DUMMYFUNCTION("""COMPUTED_VALUE"""),"#N/A")</f>
        <v>#N/A</v>
      </c>
      <c r="L12632" s="1" t="str">
        <f>IFERROR(__xludf.DUMMYFUNCTION("""COMPUTED_VALUE"""),"#N/A")</f>
        <v>#N/A</v>
      </c>
    </row>
    <row r="12633">
      <c r="A12633" s="1" t="str">
        <f>IFERROR(__xludf.DUMMYFUNCTION("""COMPUTED_VALUE"""),"#VALUE!")</f>
        <v>#VALUE!</v>
      </c>
      <c r="B12633" s="4"/>
      <c r="C12633" s="1" t="str">
        <f>IFERROR(__xludf.DUMMYFUNCTION("""COMPUTED_VALUE"""),"#N/A")</f>
        <v>#N/A</v>
      </c>
      <c r="D12633" s="1"/>
      <c r="E12633" s="1"/>
      <c r="F12633" s="1"/>
      <c r="G12633" s="1"/>
      <c r="H12633" s="2">
        <f>IFERROR(__xludf.DUMMYFUNCTION("""COMPUTED_VALUE"""),0.0)</f>
        <v>0</v>
      </c>
      <c r="I12633" s="5"/>
      <c r="J12633" s="1" t="str">
        <f>IFERROR(__xludf.DUMMYFUNCTION("""COMPUTED_VALUE"""),"#N/A")</f>
        <v>#N/A</v>
      </c>
      <c r="K12633" s="1" t="str">
        <f>IFERROR(__xludf.DUMMYFUNCTION("""COMPUTED_VALUE"""),"#N/A")</f>
        <v>#N/A</v>
      </c>
      <c r="L12633" s="1" t="str">
        <f>IFERROR(__xludf.DUMMYFUNCTION("""COMPUTED_VALUE"""),"#N/A")</f>
        <v>#N/A</v>
      </c>
    </row>
    <row r="12634">
      <c r="A12634" s="1" t="str">
        <f>IFERROR(__xludf.DUMMYFUNCTION("""COMPUTED_VALUE"""),"#VALUE!")</f>
        <v>#VALUE!</v>
      </c>
      <c r="B12634" s="4"/>
      <c r="C12634" s="1" t="str">
        <f>IFERROR(__xludf.DUMMYFUNCTION("""COMPUTED_VALUE"""),"#N/A")</f>
        <v>#N/A</v>
      </c>
      <c r="D12634" s="1"/>
      <c r="E12634" s="1"/>
      <c r="F12634" s="1"/>
      <c r="G12634" s="1"/>
      <c r="H12634" s="2">
        <f>IFERROR(__xludf.DUMMYFUNCTION("""COMPUTED_VALUE"""),0.0)</f>
        <v>0</v>
      </c>
      <c r="I12634" s="5"/>
      <c r="J12634" s="1" t="str">
        <f>IFERROR(__xludf.DUMMYFUNCTION("""COMPUTED_VALUE"""),"#N/A")</f>
        <v>#N/A</v>
      </c>
      <c r="K12634" s="1" t="str">
        <f>IFERROR(__xludf.DUMMYFUNCTION("""COMPUTED_VALUE"""),"#N/A")</f>
        <v>#N/A</v>
      </c>
      <c r="L12634" s="1" t="str">
        <f>IFERROR(__xludf.DUMMYFUNCTION("""COMPUTED_VALUE"""),"#N/A")</f>
        <v>#N/A</v>
      </c>
    </row>
    <row r="12635">
      <c r="A12635" s="1" t="str">
        <f>IFERROR(__xludf.DUMMYFUNCTION("""COMPUTED_VALUE"""),"#VALUE!")</f>
        <v>#VALUE!</v>
      </c>
      <c r="B12635" s="4"/>
      <c r="C12635" s="1" t="str">
        <f>IFERROR(__xludf.DUMMYFUNCTION("""COMPUTED_VALUE"""),"#N/A")</f>
        <v>#N/A</v>
      </c>
      <c r="D12635" s="1"/>
      <c r="E12635" s="1"/>
      <c r="F12635" s="1"/>
      <c r="G12635" s="1"/>
      <c r="H12635" s="2">
        <f>IFERROR(__xludf.DUMMYFUNCTION("""COMPUTED_VALUE"""),0.0)</f>
        <v>0</v>
      </c>
      <c r="I12635" s="5"/>
      <c r="J12635" s="1" t="str">
        <f>IFERROR(__xludf.DUMMYFUNCTION("""COMPUTED_VALUE"""),"#N/A")</f>
        <v>#N/A</v>
      </c>
      <c r="K12635" s="1" t="str">
        <f>IFERROR(__xludf.DUMMYFUNCTION("""COMPUTED_VALUE"""),"#N/A")</f>
        <v>#N/A</v>
      </c>
      <c r="L12635" s="1" t="str">
        <f>IFERROR(__xludf.DUMMYFUNCTION("""COMPUTED_VALUE"""),"#N/A")</f>
        <v>#N/A</v>
      </c>
    </row>
    <row r="12636">
      <c r="A12636" s="1" t="str">
        <f>IFERROR(__xludf.DUMMYFUNCTION("""COMPUTED_VALUE"""),"#VALUE!")</f>
        <v>#VALUE!</v>
      </c>
      <c r="B12636" s="4"/>
      <c r="C12636" s="1" t="str">
        <f>IFERROR(__xludf.DUMMYFUNCTION("""COMPUTED_VALUE"""),"#N/A")</f>
        <v>#N/A</v>
      </c>
      <c r="D12636" s="1"/>
      <c r="E12636" s="1"/>
      <c r="F12636" s="1"/>
      <c r="G12636" s="1"/>
      <c r="H12636" s="2">
        <f>IFERROR(__xludf.DUMMYFUNCTION("""COMPUTED_VALUE"""),0.0)</f>
        <v>0</v>
      </c>
      <c r="I12636" s="5"/>
      <c r="J12636" s="1" t="str">
        <f>IFERROR(__xludf.DUMMYFUNCTION("""COMPUTED_VALUE"""),"#N/A")</f>
        <v>#N/A</v>
      </c>
      <c r="K12636" s="1" t="str">
        <f>IFERROR(__xludf.DUMMYFUNCTION("""COMPUTED_VALUE"""),"#N/A")</f>
        <v>#N/A</v>
      </c>
      <c r="L12636" s="1" t="str">
        <f>IFERROR(__xludf.DUMMYFUNCTION("""COMPUTED_VALUE"""),"#N/A")</f>
        <v>#N/A</v>
      </c>
    </row>
    <row r="12637">
      <c r="A12637" s="1" t="str">
        <f>IFERROR(__xludf.DUMMYFUNCTION("""COMPUTED_VALUE"""),"#VALUE!")</f>
        <v>#VALUE!</v>
      </c>
      <c r="B12637" s="4"/>
      <c r="C12637" s="1" t="str">
        <f>IFERROR(__xludf.DUMMYFUNCTION("""COMPUTED_VALUE"""),"#N/A")</f>
        <v>#N/A</v>
      </c>
      <c r="D12637" s="1"/>
      <c r="E12637" s="1"/>
      <c r="F12637" s="1"/>
      <c r="G12637" s="1"/>
      <c r="H12637" s="2">
        <f>IFERROR(__xludf.DUMMYFUNCTION("""COMPUTED_VALUE"""),0.0)</f>
        <v>0</v>
      </c>
      <c r="I12637" s="5"/>
      <c r="J12637" s="1" t="str">
        <f>IFERROR(__xludf.DUMMYFUNCTION("""COMPUTED_VALUE"""),"#N/A")</f>
        <v>#N/A</v>
      </c>
      <c r="K12637" s="1" t="str">
        <f>IFERROR(__xludf.DUMMYFUNCTION("""COMPUTED_VALUE"""),"#N/A")</f>
        <v>#N/A</v>
      </c>
      <c r="L12637" s="1" t="str">
        <f>IFERROR(__xludf.DUMMYFUNCTION("""COMPUTED_VALUE"""),"#N/A")</f>
        <v>#N/A</v>
      </c>
    </row>
    <row r="12638">
      <c r="A12638" s="1" t="str">
        <f>IFERROR(__xludf.DUMMYFUNCTION("""COMPUTED_VALUE"""),"#VALUE!")</f>
        <v>#VALUE!</v>
      </c>
      <c r="B12638" s="4"/>
      <c r="C12638" s="1" t="str">
        <f>IFERROR(__xludf.DUMMYFUNCTION("""COMPUTED_VALUE"""),"#N/A")</f>
        <v>#N/A</v>
      </c>
      <c r="D12638" s="1"/>
      <c r="E12638" s="1"/>
      <c r="F12638" s="1"/>
      <c r="G12638" s="1"/>
      <c r="H12638" s="2">
        <f>IFERROR(__xludf.DUMMYFUNCTION("""COMPUTED_VALUE"""),0.0)</f>
        <v>0</v>
      </c>
      <c r="I12638" s="5"/>
      <c r="J12638" s="1" t="str">
        <f>IFERROR(__xludf.DUMMYFUNCTION("""COMPUTED_VALUE"""),"#N/A")</f>
        <v>#N/A</v>
      </c>
      <c r="K12638" s="1" t="str">
        <f>IFERROR(__xludf.DUMMYFUNCTION("""COMPUTED_VALUE"""),"#N/A")</f>
        <v>#N/A</v>
      </c>
      <c r="L12638" s="1" t="str">
        <f>IFERROR(__xludf.DUMMYFUNCTION("""COMPUTED_VALUE"""),"#N/A")</f>
        <v>#N/A</v>
      </c>
    </row>
    <row r="12639">
      <c r="A12639" s="1" t="str">
        <f>IFERROR(__xludf.DUMMYFUNCTION("""COMPUTED_VALUE"""),"#VALUE!")</f>
        <v>#VALUE!</v>
      </c>
      <c r="B12639" s="4"/>
      <c r="C12639" s="1" t="str">
        <f>IFERROR(__xludf.DUMMYFUNCTION("""COMPUTED_VALUE"""),"#N/A")</f>
        <v>#N/A</v>
      </c>
      <c r="D12639" s="1"/>
      <c r="E12639" s="1"/>
      <c r="F12639" s="1"/>
      <c r="G12639" s="1"/>
      <c r="H12639" s="2">
        <f>IFERROR(__xludf.DUMMYFUNCTION("""COMPUTED_VALUE"""),0.0)</f>
        <v>0</v>
      </c>
      <c r="I12639" s="5"/>
      <c r="J12639" s="1" t="str">
        <f>IFERROR(__xludf.DUMMYFUNCTION("""COMPUTED_VALUE"""),"#N/A")</f>
        <v>#N/A</v>
      </c>
      <c r="K12639" s="1" t="str">
        <f>IFERROR(__xludf.DUMMYFUNCTION("""COMPUTED_VALUE"""),"#N/A")</f>
        <v>#N/A</v>
      </c>
      <c r="L12639" s="1" t="str">
        <f>IFERROR(__xludf.DUMMYFUNCTION("""COMPUTED_VALUE"""),"#N/A")</f>
        <v>#N/A</v>
      </c>
    </row>
    <row r="12640">
      <c r="A12640" s="1" t="str">
        <f>IFERROR(__xludf.DUMMYFUNCTION("""COMPUTED_VALUE"""),"#VALUE!")</f>
        <v>#VALUE!</v>
      </c>
      <c r="B12640" s="4"/>
      <c r="C12640" s="1" t="str">
        <f>IFERROR(__xludf.DUMMYFUNCTION("""COMPUTED_VALUE"""),"#N/A")</f>
        <v>#N/A</v>
      </c>
      <c r="D12640" s="1"/>
      <c r="E12640" s="1"/>
      <c r="F12640" s="1"/>
      <c r="G12640" s="1"/>
      <c r="H12640" s="2">
        <f>IFERROR(__xludf.DUMMYFUNCTION("""COMPUTED_VALUE"""),0.0)</f>
        <v>0</v>
      </c>
      <c r="I12640" s="5"/>
      <c r="J12640" s="1" t="str">
        <f>IFERROR(__xludf.DUMMYFUNCTION("""COMPUTED_VALUE"""),"#N/A")</f>
        <v>#N/A</v>
      </c>
      <c r="K12640" s="1" t="str">
        <f>IFERROR(__xludf.DUMMYFUNCTION("""COMPUTED_VALUE"""),"#N/A")</f>
        <v>#N/A</v>
      </c>
      <c r="L12640" s="1" t="str">
        <f>IFERROR(__xludf.DUMMYFUNCTION("""COMPUTED_VALUE"""),"#N/A")</f>
        <v>#N/A</v>
      </c>
    </row>
    <row r="12641">
      <c r="A12641" s="1" t="str">
        <f>IFERROR(__xludf.DUMMYFUNCTION("""COMPUTED_VALUE"""),"#VALUE!")</f>
        <v>#VALUE!</v>
      </c>
      <c r="B12641" s="4"/>
      <c r="C12641" s="1" t="str">
        <f>IFERROR(__xludf.DUMMYFUNCTION("""COMPUTED_VALUE"""),"#N/A")</f>
        <v>#N/A</v>
      </c>
      <c r="D12641" s="1"/>
      <c r="E12641" s="1"/>
      <c r="F12641" s="1"/>
      <c r="G12641" s="1"/>
      <c r="H12641" s="2">
        <f>IFERROR(__xludf.DUMMYFUNCTION("""COMPUTED_VALUE"""),0.0)</f>
        <v>0</v>
      </c>
      <c r="I12641" s="5"/>
      <c r="J12641" s="1" t="str">
        <f>IFERROR(__xludf.DUMMYFUNCTION("""COMPUTED_VALUE"""),"#N/A")</f>
        <v>#N/A</v>
      </c>
      <c r="K12641" s="1" t="str">
        <f>IFERROR(__xludf.DUMMYFUNCTION("""COMPUTED_VALUE"""),"#N/A")</f>
        <v>#N/A</v>
      </c>
      <c r="L12641" s="1" t="str">
        <f>IFERROR(__xludf.DUMMYFUNCTION("""COMPUTED_VALUE"""),"#N/A")</f>
        <v>#N/A</v>
      </c>
    </row>
    <row r="12642">
      <c r="A12642" s="1" t="str">
        <f>IFERROR(__xludf.DUMMYFUNCTION("""COMPUTED_VALUE"""),"#VALUE!")</f>
        <v>#VALUE!</v>
      </c>
      <c r="B12642" s="4"/>
      <c r="C12642" s="1" t="str">
        <f>IFERROR(__xludf.DUMMYFUNCTION("""COMPUTED_VALUE"""),"#N/A")</f>
        <v>#N/A</v>
      </c>
      <c r="D12642" s="1"/>
      <c r="E12642" s="1"/>
      <c r="F12642" s="1"/>
      <c r="G12642" s="1"/>
      <c r="H12642" s="2">
        <f>IFERROR(__xludf.DUMMYFUNCTION("""COMPUTED_VALUE"""),0.0)</f>
        <v>0</v>
      </c>
      <c r="I12642" s="5"/>
      <c r="J12642" s="1" t="str">
        <f>IFERROR(__xludf.DUMMYFUNCTION("""COMPUTED_VALUE"""),"#N/A")</f>
        <v>#N/A</v>
      </c>
      <c r="K12642" s="1" t="str">
        <f>IFERROR(__xludf.DUMMYFUNCTION("""COMPUTED_VALUE"""),"#N/A")</f>
        <v>#N/A</v>
      </c>
      <c r="L12642" s="1" t="str">
        <f>IFERROR(__xludf.DUMMYFUNCTION("""COMPUTED_VALUE"""),"#N/A")</f>
        <v>#N/A</v>
      </c>
    </row>
    <row r="12643">
      <c r="A12643" s="1" t="str">
        <f>IFERROR(__xludf.DUMMYFUNCTION("""COMPUTED_VALUE"""),"#VALUE!")</f>
        <v>#VALUE!</v>
      </c>
      <c r="B12643" s="4"/>
      <c r="C12643" s="1" t="str">
        <f>IFERROR(__xludf.DUMMYFUNCTION("""COMPUTED_VALUE"""),"#N/A")</f>
        <v>#N/A</v>
      </c>
      <c r="D12643" s="1"/>
      <c r="E12643" s="1"/>
      <c r="F12643" s="1"/>
      <c r="G12643" s="1"/>
      <c r="H12643" s="2">
        <f>IFERROR(__xludf.DUMMYFUNCTION("""COMPUTED_VALUE"""),0.0)</f>
        <v>0</v>
      </c>
      <c r="I12643" s="5"/>
      <c r="J12643" s="1" t="str">
        <f>IFERROR(__xludf.DUMMYFUNCTION("""COMPUTED_VALUE"""),"#N/A")</f>
        <v>#N/A</v>
      </c>
      <c r="K12643" s="1" t="str">
        <f>IFERROR(__xludf.DUMMYFUNCTION("""COMPUTED_VALUE"""),"#N/A")</f>
        <v>#N/A</v>
      </c>
      <c r="L12643" s="1" t="str">
        <f>IFERROR(__xludf.DUMMYFUNCTION("""COMPUTED_VALUE"""),"#N/A")</f>
        <v>#N/A</v>
      </c>
    </row>
    <row r="12644">
      <c r="A12644" s="1" t="str">
        <f>IFERROR(__xludf.DUMMYFUNCTION("""COMPUTED_VALUE"""),"#VALUE!")</f>
        <v>#VALUE!</v>
      </c>
      <c r="B12644" s="4"/>
      <c r="C12644" s="1" t="str">
        <f>IFERROR(__xludf.DUMMYFUNCTION("""COMPUTED_VALUE"""),"#N/A")</f>
        <v>#N/A</v>
      </c>
      <c r="D12644" s="1"/>
      <c r="E12644" s="1"/>
      <c r="F12644" s="1"/>
      <c r="G12644" s="1"/>
      <c r="H12644" s="2">
        <f>IFERROR(__xludf.DUMMYFUNCTION("""COMPUTED_VALUE"""),0.0)</f>
        <v>0</v>
      </c>
      <c r="I12644" s="5"/>
      <c r="J12644" s="1" t="str">
        <f>IFERROR(__xludf.DUMMYFUNCTION("""COMPUTED_VALUE"""),"#N/A")</f>
        <v>#N/A</v>
      </c>
      <c r="K12644" s="1" t="str">
        <f>IFERROR(__xludf.DUMMYFUNCTION("""COMPUTED_VALUE"""),"#N/A")</f>
        <v>#N/A</v>
      </c>
      <c r="L12644" s="1" t="str">
        <f>IFERROR(__xludf.DUMMYFUNCTION("""COMPUTED_VALUE"""),"#N/A")</f>
        <v>#N/A</v>
      </c>
    </row>
    <row r="12645">
      <c r="A12645" s="1" t="str">
        <f>IFERROR(__xludf.DUMMYFUNCTION("""COMPUTED_VALUE"""),"#VALUE!")</f>
        <v>#VALUE!</v>
      </c>
      <c r="B12645" s="4"/>
      <c r="C12645" s="1" t="str">
        <f>IFERROR(__xludf.DUMMYFUNCTION("""COMPUTED_VALUE"""),"#N/A")</f>
        <v>#N/A</v>
      </c>
      <c r="D12645" s="1"/>
      <c r="E12645" s="1"/>
      <c r="F12645" s="1"/>
      <c r="G12645" s="1"/>
      <c r="H12645" s="2">
        <f>IFERROR(__xludf.DUMMYFUNCTION("""COMPUTED_VALUE"""),0.0)</f>
        <v>0</v>
      </c>
      <c r="I12645" s="5"/>
      <c r="J12645" s="1" t="str">
        <f>IFERROR(__xludf.DUMMYFUNCTION("""COMPUTED_VALUE"""),"#N/A")</f>
        <v>#N/A</v>
      </c>
      <c r="K12645" s="1" t="str">
        <f>IFERROR(__xludf.DUMMYFUNCTION("""COMPUTED_VALUE"""),"#N/A")</f>
        <v>#N/A</v>
      </c>
      <c r="L12645" s="1" t="str">
        <f>IFERROR(__xludf.DUMMYFUNCTION("""COMPUTED_VALUE"""),"#N/A")</f>
        <v>#N/A</v>
      </c>
    </row>
    <row r="12646">
      <c r="A12646" s="1" t="str">
        <f>IFERROR(__xludf.DUMMYFUNCTION("""COMPUTED_VALUE"""),"#VALUE!")</f>
        <v>#VALUE!</v>
      </c>
      <c r="B12646" s="4"/>
      <c r="C12646" s="1" t="str">
        <f>IFERROR(__xludf.DUMMYFUNCTION("""COMPUTED_VALUE"""),"#N/A")</f>
        <v>#N/A</v>
      </c>
      <c r="D12646" s="1"/>
      <c r="E12646" s="1"/>
      <c r="F12646" s="1"/>
      <c r="G12646" s="1"/>
      <c r="H12646" s="2">
        <f>IFERROR(__xludf.DUMMYFUNCTION("""COMPUTED_VALUE"""),0.0)</f>
        <v>0</v>
      </c>
      <c r="I12646" s="5"/>
      <c r="J12646" s="1" t="str">
        <f>IFERROR(__xludf.DUMMYFUNCTION("""COMPUTED_VALUE"""),"#N/A")</f>
        <v>#N/A</v>
      </c>
      <c r="K12646" s="1" t="str">
        <f>IFERROR(__xludf.DUMMYFUNCTION("""COMPUTED_VALUE"""),"#N/A")</f>
        <v>#N/A</v>
      </c>
      <c r="L12646" s="1" t="str">
        <f>IFERROR(__xludf.DUMMYFUNCTION("""COMPUTED_VALUE"""),"#N/A")</f>
        <v>#N/A</v>
      </c>
    </row>
    <row r="12647">
      <c r="A12647" s="1" t="str">
        <f>IFERROR(__xludf.DUMMYFUNCTION("""COMPUTED_VALUE"""),"#VALUE!")</f>
        <v>#VALUE!</v>
      </c>
      <c r="B12647" s="4"/>
      <c r="C12647" s="1" t="str">
        <f>IFERROR(__xludf.DUMMYFUNCTION("""COMPUTED_VALUE"""),"#N/A")</f>
        <v>#N/A</v>
      </c>
      <c r="D12647" s="1"/>
      <c r="E12647" s="1"/>
      <c r="F12647" s="1"/>
      <c r="G12647" s="1"/>
      <c r="H12647" s="2">
        <f>IFERROR(__xludf.DUMMYFUNCTION("""COMPUTED_VALUE"""),0.0)</f>
        <v>0</v>
      </c>
      <c r="I12647" s="5"/>
      <c r="J12647" s="1" t="str">
        <f>IFERROR(__xludf.DUMMYFUNCTION("""COMPUTED_VALUE"""),"#N/A")</f>
        <v>#N/A</v>
      </c>
      <c r="K12647" s="1" t="str">
        <f>IFERROR(__xludf.DUMMYFUNCTION("""COMPUTED_VALUE"""),"#N/A")</f>
        <v>#N/A</v>
      </c>
      <c r="L12647" s="1" t="str">
        <f>IFERROR(__xludf.DUMMYFUNCTION("""COMPUTED_VALUE"""),"#N/A")</f>
        <v>#N/A</v>
      </c>
    </row>
    <row r="12648">
      <c r="A12648" s="1" t="str">
        <f>IFERROR(__xludf.DUMMYFUNCTION("""COMPUTED_VALUE"""),"#VALUE!")</f>
        <v>#VALUE!</v>
      </c>
      <c r="B12648" s="4"/>
      <c r="C12648" s="1" t="str">
        <f>IFERROR(__xludf.DUMMYFUNCTION("""COMPUTED_VALUE"""),"#N/A")</f>
        <v>#N/A</v>
      </c>
      <c r="D12648" s="1"/>
      <c r="E12648" s="1"/>
      <c r="F12648" s="1"/>
      <c r="G12648" s="1"/>
      <c r="H12648" s="2">
        <f>IFERROR(__xludf.DUMMYFUNCTION("""COMPUTED_VALUE"""),0.0)</f>
        <v>0</v>
      </c>
      <c r="I12648" s="5"/>
      <c r="J12648" s="1" t="str">
        <f>IFERROR(__xludf.DUMMYFUNCTION("""COMPUTED_VALUE"""),"#N/A")</f>
        <v>#N/A</v>
      </c>
      <c r="K12648" s="1" t="str">
        <f>IFERROR(__xludf.DUMMYFUNCTION("""COMPUTED_VALUE"""),"#N/A")</f>
        <v>#N/A</v>
      </c>
      <c r="L12648" s="1" t="str">
        <f>IFERROR(__xludf.DUMMYFUNCTION("""COMPUTED_VALUE"""),"#N/A")</f>
        <v>#N/A</v>
      </c>
    </row>
    <row r="12649">
      <c r="A12649" s="1" t="str">
        <f>IFERROR(__xludf.DUMMYFUNCTION("""COMPUTED_VALUE"""),"#VALUE!")</f>
        <v>#VALUE!</v>
      </c>
      <c r="B12649" s="4"/>
      <c r="C12649" s="1" t="str">
        <f>IFERROR(__xludf.DUMMYFUNCTION("""COMPUTED_VALUE"""),"#N/A")</f>
        <v>#N/A</v>
      </c>
      <c r="D12649" s="1"/>
      <c r="E12649" s="1"/>
      <c r="F12649" s="1"/>
      <c r="G12649" s="1"/>
      <c r="H12649" s="2">
        <f>IFERROR(__xludf.DUMMYFUNCTION("""COMPUTED_VALUE"""),0.0)</f>
        <v>0</v>
      </c>
      <c r="I12649" s="5"/>
      <c r="J12649" s="1" t="str">
        <f>IFERROR(__xludf.DUMMYFUNCTION("""COMPUTED_VALUE"""),"#N/A")</f>
        <v>#N/A</v>
      </c>
      <c r="K12649" s="1" t="str">
        <f>IFERROR(__xludf.DUMMYFUNCTION("""COMPUTED_VALUE"""),"#N/A")</f>
        <v>#N/A</v>
      </c>
      <c r="L12649" s="1" t="str">
        <f>IFERROR(__xludf.DUMMYFUNCTION("""COMPUTED_VALUE"""),"#N/A")</f>
        <v>#N/A</v>
      </c>
    </row>
    <row r="12650">
      <c r="A12650" s="1" t="str">
        <f>IFERROR(__xludf.DUMMYFUNCTION("""COMPUTED_VALUE"""),"#VALUE!")</f>
        <v>#VALUE!</v>
      </c>
      <c r="B12650" s="4"/>
      <c r="C12650" s="1" t="str">
        <f>IFERROR(__xludf.DUMMYFUNCTION("""COMPUTED_VALUE"""),"#N/A")</f>
        <v>#N/A</v>
      </c>
      <c r="D12650" s="1"/>
      <c r="E12650" s="1"/>
      <c r="F12650" s="1"/>
      <c r="G12650" s="1"/>
      <c r="H12650" s="2">
        <f>IFERROR(__xludf.DUMMYFUNCTION("""COMPUTED_VALUE"""),0.0)</f>
        <v>0</v>
      </c>
      <c r="I12650" s="5"/>
      <c r="J12650" s="1" t="str">
        <f>IFERROR(__xludf.DUMMYFUNCTION("""COMPUTED_VALUE"""),"#N/A")</f>
        <v>#N/A</v>
      </c>
      <c r="K12650" s="1" t="str">
        <f>IFERROR(__xludf.DUMMYFUNCTION("""COMPUTED_VALUE"""),"#N/A")</f>
        <v>#N/A</v>
      </c>
      <c r="L12650" s="1" t="str">
        <f>IFERROR(__xludf.DUMMYFUNCTION("""COMPUTED_VALUE"""),"#N/A")</f>
        <v>#N/A</v>
      </c>
    </row>
    <row r="12651">
      <c r="A12651" s="1" t="str">
        <f>IFERROR(__xludf.DUMMYFUNCTION("""COMPUTED_VALUE"""),"#VALUE!")</f>
        <v>#VALUE!</v>
      </c>
      <c r="B12651" s="4"/>
      <c r="C12651" s="1" t="str">
        <f>IFERROR(__xludf.DUMMYFUNCTION("""COMPUTED_VALUE"""),"#N/A")</f>
        <v>#N/A</v>
      </c>
      <c r="D12651" s="1"/>
      <c r="E12651" s="1"/>
      <c r="F12651" s="1"/>
      <c r="G12651" s="1"/>
      <c r="H12651" s="2">
        <f>IFERROR(__xludf.DUMMYFUNCTION("""COMPUTED_VALUE"""),0.0)</f>
        <v>0</v>
      </c>
      <c r="I12651" s="5"/>
      <c r="J12651" s="1" t="str">
        <f>IFERROR(__xludf.DUMMYFUNCTION("""COMPUTED_VALUE"""),"#N/A")</f>
        <v>#N/A</v>
      </c>
      <c r="K12651" s="1" t="str">
        <f>IFERROR(__xludf.DUMMYFUNCTION("""COMPUTED_VALUE"""),"#N/A")</f>
        <v>#N/A</v>
      </c>
      <c r="L12651" s="1" t="str">
        <f>IFERROR(__xludf.DUMMYFUNCTION("""COMPUTED_VALUE"""),"#N/A")</f>
        <v>#N/A</v>
      </c>
    </row>
    <row r="12652">
      <c r="A12652" s="1" t="str">
        <f>IFERROR(__xludf.DUMMYFUNCTION("""COMPUTED_VALUE"""),"#VALUE!")</f>
        <v>#VALUE!</v>
      </c>
      <c r="B12652" s="4"/>
      <c r="C12652" s="1" t="str">
        <f>IFERROR(__xludf.DUMMYFUNCTION("""COMPUTED_VALUE"""),"#N/A")</f>
        <v>#N/A</v>
      </c>
      <c r="D12652" s="1"/>
      <c r="E12652" s="1"/>
      <c r="F12652" s="1"/>
      <c r="G12652" s="1"/>
      <c r="H12652" s="2">
        <f>IFERROR(__xludf.DUMMYFUNCTION("""COMPUTED_VALUE"""),0.0)</f>
        <v>0</v>
      </c>
      <c r="I12652" s="5"/>
      <c r="J12652" s="1" t="str">
        <f>IFERROR(__xludf.DUMMYFUNCTION("""COMPUTED_VALUE"""),"#N/A")</f>
        <v>#N/A</v>
      </c>
      <c r="K12652" s="1" t="str">
        <f>IFERROR(__xludf.DUMMYFUNCTION("""COMPUTED_VALUE"""),"#N/A")</f>
        <v>#N/A</v>
      </c>
      <c r="L12652" s="1" t="str">
        <f>IFERROR(__xludf.DUMMYFUNCTION("""COMPUTED_VALUE"""),"#N/A")</f>
        <v>#N/A</v>
      </c>
    </row>
    <row r="12653">
      <c r="A12653" s="1" t="str">
        <f>IFERROR(__xludf.DUMMYFUNCTION("""COMPUTED_VALUE"""),"#VALUE!")</f>
        <v>#VALUE!</v>
      </c>
      <c r="B12653" s="4"/>
      <c r="C12653" s="1" t="str">
        <f>IFERROR(__xludf.DUMMYFUNCTION("""COMPUTED_VALUE"""),"#N/A")</f>
        <v>#N/A</v>
      </c>
      <c r="D12653" s="1"/>
      <c r="E12653" s="1"/>
      <c r="F12653" s="1"/>
      <c r="G12653" s="1"/>
      <c r="H12653" s="2">
        <f>IFERROR(__xludf.DUMMYFUNCTION("""COMPUTED_VALUE"""),0.0)</f>
        <v>0</v>
      </c>
      <c r="I12653" s="5"/>
      <c r="J12653" s="1" t="str">
        <f>IFERROR(__xludf.DUMMYFUNCTION("""COMPUTED_VALUE"""),"#N/A")</f>
        <v>#N/A</v>
      </c>
      <c r="K12653" s="1" t="str">
        <f>IFERROR(__xludf.DUMMYFUNCTION("""COMPUTED_VALUE"""),"#N/A")</f>
        <v>#N/A</v>
      </c>
      <c r="L12653" s="1" t="str">
        <f>IFERROR(__xludf.DUMMYFUNCTION("""COMPUTED_VALUE"""),"#N/A")</f>
        <v>#N/A</v>
      </c>
    </row>
    <row r="12654">
      <c r="A12654" s="1" t="str">
        <f>IFERROR(__xludf.DUMMYFUNCTION("""COMPUTED_VALUE"""),"#VALUE!")</f>
        <v>#VALUE!</v>
      </c>
      <c r="B12654" s="4"/>
      <c r="C12654" s="1" t="str">
        <f>IFERROR(__xludf.DUMMYFUNCTION("""COMPUTED_VALUE"""),"#N/A")</f>
        <v>#N/A</v>
      </c>
      <c r="D12654" s="1"/>
      <c r="E12654" s="1"/>
      <c r="F12654" s="1"/>
      <c r="G12654" s="1"/>
      <c r="H12654" s="2">
        <f>IFERROR(__xludf.DUMMYFUNCTION("""COMPUTED_VALUE"""),0.0)</f>
        <v>0</v>
      </c>
      <c r="I12654" s="5"/>
      <c r="J12654" s="1" t="str">
        <f>IFERROR(__xludf.DUMMYFUNCTION("""COMPUTED_VALUE"""),"#N/A")</f>
        <v>#N/A</v>
      </c>
      <c r="K12654" s="1" t="str">
        <f>IFERROR(__xludf.DUMMYFUNCTION("""COMPUTED_VALUE"""),"#N/A")</f>
        <v>#N/A</v>
      </c>
      <c r="L12654" s="1" t="str">
        <f>IFERROR(__xludf.DUMMYFUNCTION("""COMPUTED_VALUE"""),"#N/A")</f>
        <v>#N/A</v>
      </c>
    </row>
    <row r="12655">
      <c r="A12655" s="1" t="str">
        <f>IFERROR(__xludf.DUMMYFUNCTION("""COMPUTED_VALUE"""),"#VALUE!")</f>
        <v>#VALUE!</v>
      </c>
      <c r="B12655" s="4"/>
      <c r="C12655" s="1" t="str">
        <f>IFERROR(__xludf.DUMMYFUNCTION("""COMPUTED_VALUE"""),"#N/A")</f>
        <v>#N/A</v>
      </c>
      <c r="D12655" s="1"/>
      <c r="E12655" s="1"/>
      <c r="F12655" s="1"/>
      <c r="G12655" s="1"/>
      <c r="H12655" s="2">
        <f>IFERROR(__xludf.DUMMYFUNCTION("""COMPUTED_VALUE"""),0.0)</f>
        <v>0</v>
      </c>
      <c r="I12655" s="5"/>
      <c r="J12655" s="1" t="str">
        <f>IFERROR(__xludf.DUMMYFUNCTION("""COMPUTED_VALUE"""),"#N/A")</f>
        <v>#N/A</v>
      </c>
      <c r="K12655" s="1" t="str">
        <f>IFERROR(__xludf.DUMMYFUNCTION("""COMPUTED_VALUE"""),"#N/A")</f>
        <v>#N/A</v>
      </c>
      <c r="L12655" s="1" t="str">
        <f>IFERROR(__xludf.DUMMYFUNCTION("""COMPUTED_VALUE"""),"#N/A")</f>
        <v>#N/A</v>
      </c>
    </row>
    <row r="12656">
      <c r="A12656" s="1" t="str">
        <f>IFERROR(__xludf.DUMMYFUNCTION("""COMPUTED_VALUE"""),"#VALUE!")</f>
        <v>#VALUE!</v>
      </c>
      <c r="B12656" s="4"/>
      <c r="C12656" s="1" t="str">
        <f>IFERROR(__xludf.DUMMYFUNCTION("""COMPUTED_VALUE"""),"#N/A")</f>
        <v>#N/A</v>
      </c>
      <c r="D12656" s="1"/>
      <c r="E12656" s="1"/>
      <c r="F12656" s="1"/>
      <c r="G12656" s="1"/>
      <c r="H12656" s="2">
        <f>IFERROR(__xludf.DUMMYFUNCTION("""COMPUTED_VALUE"""),0.0)</f>
        <v>0</v>
      </c>
      <c r="I12656" s="5"/>
      <c r="J12656" s="1" t="str">
        <f>IFERROR(__xludf.DUMMYFUNCTION("""COMPUTED_VALUE"""),"#N/A")</f>
        <v>#N/A</v>
      </c>
      <c r="K12656" s="1" t="str">
        <f>IFERROR(__xludf.DUMMYFUNCTION("""COMPUTED_VALUE"""),"#N/A")</f>
        <v>#N/A</v>
      </c>
      <c r="L12656" s="1" t="str">
        <f>IFERROR(__xludf.DUMMYFUNCTION("""COMPUTED_VALUE"""),"#N/A")</f>
        <v>#N/A</v>
      </c>
    </row>
    <row r="12657">
      <c r="A12657" s="1" t="str">
        <f>IFERROR(__xludf.DUMMYFUNCTION("""COMPUTED_VALUE"""),"#VALUE!")</f>
        <v>#VALUE!</v>
      </c>
      <c r="B12657" s="4"/>
      <c r="C12657" s="1" t="str">
        <f>IFERROR(__xludf.DUMMYFUNCTION("""COMPUTED_VALUE"""),"#N/A")</f>
        <v>#N/A</v>
      </c>
      <c r="D12657" s="1"/>
      <c r="E12657" s="1"/>
      <c r="F12657" s="1"/>
      <c r="G12657" s="1"/>
      <c r="H12657" s="2">
        <f>IFERROR(__xludf.DUMMYFUNCTION("""COMPUTED_VALUE"""),0.0)</f>
        <v>0</v>
      </c>
      <c r="I12657" s="5"/>
      <c r="J12657" s="1" t="str">
        <f>IFERROR(__xludf.DUMMYFUNCTION("""COMPUTED_VALUE"""),"#N/A")</f>
        <v>#N/A</v>
      </c>
      <c r="K12657" s="1" t="str">
        <f>IFERROR(__xludf.DUMMYFUNCTION("""COMPUTED_VALUE"""),"#N/A")</f>
        <v>#N/A</v>
      </c>
      <c r="L12657" s="1" t="str">
        <f>IFERROR(__xludf.DUMMYFUNCTION("""COMPUTED_VALUE"""),"#N/A")</f>
        <v>#N/A</v>
      </c>
    </row>
    <row r="12658">
      <c r="A12658" s="1" t="str">
        <f>IFERROR(__xludf.DUMMYFUNCTION("""COMPUTED_VALUE"""),"#VALUE!")</f>
        <v>#VALUE!</v>
      </c>
      <c r="B12658" s="4"/>
      <c r="C12658" s="1" t="str">
        <f>IFERROR(__xludf.DUMMYFUNCTION("""COMPUTED_VALUE"""),"#N/A")</f>
        <v>#N/A</v>
      </c>
      <c r="D12658" s="1"/>
      <c r="E12658" s="1"/>
      <c r="F12658" s="1"/>
      <c r="G12658" s="1"/>
      <c r="H12658" s="2">
        <f>IFERROR(__xludf.DUMMYFUNCTION("""COMPUTED_VALUE"""),0.0)</f>
        <v>0</v>
      </c>
      <c r="I12658" s="5"/>
      <c r="J12658" s="1" t="str">
        <f>IFERROR(__xludf.DUMMYFUNCTION("""COMPUTED_VALUE"""),"#N/A")</f>
        <v>#N/A</v>
      </c>
      <c r="K12658" s="1" t="str">
        <f>IFERROR(__xludf.DUMMYFUNCTION("""COMPUTED_VALUE"""),"#N/A")</f>
        <v>#N/A</v>
      </c>
      <c r="L12658" s="1" t="str">
        <f>IFERROR(__xludf.DUMMYFUNCTION("""COMPUTED_VALUE"""),"#N/A")</f>
        <v>#N/A</v>
      </c>
    </row>
    <row r="12659">
      <c r="A12659" s="1" t="str">
        <f>IFERROR(__xludf.DUMMYFUNCTION("""COMPUTED_VALUE"""),"#VALUE!")</f>
        <v>#VALUE!</v>
      </c>
      <c r="B12659" s="4"/>
      <c r="C12659" s="1" t="str">
        <f>IFERROR(__xludf.DUMMYFUNCTION("""COMPUTED_VALUE"""),"#N/A")</f>
        <v>#N/A</v>
      </c>
      <c r="D12659" s="1"/>
      <c r="E12659" s="1"/>
      <c r="F12659" s="1"/>
      <c r="G12659" s="1"/>
      <c r="H12659" s="2">
        <f>IFERROR(__xludf.DUMMYFUNCTION("""COMPUTED_VALUE"""),0.0)</f>
        <v>0</v>
      </c>
      <c r="I12659" s="5"/>
      <c r="J12659" s="1" t="str">
        <f>IFERROR(__xludf.DUMMYFUNCTION("""COMPUTED_VALUE"""),"#N/A")</f>
        <v>#N/A</v>
      </c>
      <c r="K12659" s="1" t="str">
        <f>IFERROR(__xludf.DUMMYFUNCTION("""COMPUTED_VALUE"""),"#N/A")</f>
        <v>#N/A</v>
      </c>
      <c r="L12659" s="1" t="str">
        <f>IFERROR(__xludf.DUMMYFUNCTION("""COMPUTED_VALUE"""),"#N/A")</f>
        <v>#N/A</v>
      </c>
    </row>
    <row r="12660">
      <c r="A12660" s="1" t="str">
        <f>IFERROR(__xludf.DUMMYFUNCTION("""COMPUTED_VALUE"""),"#VALUE!")</f>
        <v>#VALUE!</v>
      </c>
      <c r="B12660" s="4"/>
      <c r="C12660" s="1" t="str">
        <f>IFERROR(__xludf.DUMMYFUNCTION("""COMPUTED_VALUE"""),"#N/A")</f>
        <v>#N/A</v>
      </c>
      <c r="D12660" s="1"/>
      <c r="E12660" s="1"/>
      <c r="F12660" s="1"/>
      <c r="G12660" s="1"/>
      <c r="H12660" s="2">
        <f>IFERROR(__xludf.DUMMYFUNCTION("""COMPUTED_VALUE"""),0.0)</f>
        <v>0</v>
      </c>
      <c r="I12660" s="5"/>
      <c r="J12660" s="1" t="str">
        <f>IFERROR(__xludf.DUMMYFUNCTION("""COMPUTED_VALUE"""),"#N/A")</f>
        <v>#N/A</v>
      </c>
      <c r="K12660" s="1" t="str">
        <f>IFERROR(__xludf.DUMMYFUNCTION("""COMPUTED_VALUE"""),"#N/A")</f>
        <v>#N/A</v>
      </c>
      <c r="L12660" s="1" t="str">
        <f>IFERROR(__xludf.DUMMYFUNCTION("""COMPUTED_VALUE"""),"#N/A")</f>
        <v>#N/A</v>
      </c>
    </row>
    <row r="12661">
      <c r="A12661" s="1" t="str">
        <f>IFERROR(__xludf.DUMMYFUNCTION("""COMPUTED_VALUE"""),"#VALUE!")</f>
        <v>#VALUE!</v>
      </c>
      <c r="B12661" s="4"/>
      <c r="C12661" s="1" t="str">
        <f>IFERROR(__xludf.DUMMYFUNCTION("""COMPUTED_VALUE"""),"#N/A")</f>
        <v>#N/A</v>
      </c>
      <c r="D12661" s="1"/>
      <c r="E12661" s="1"/>
      <c r="F12661" s="1"/>
      <c r="G12661" s="1"/>
      <c r="H12661" s="2">
        <f>IFERROR(__xludf.DUMMYFUNCTION("""COMPUTED_VALUE"""),0.0)</f>
        <v>0</v>
      </c>
      <c r="I12661" s="5"/>
      <c r="J12661" s="1" t="str">
        <f>IFERROR(__xludf.DUMMYFUNCTION("""COMPUTED_VALUE"""),"#N/A")</f>
        <v>#N/A</v>
      </c>
      <c r="K12661" s="1" t="str">
        <f>IFERROR(__xludf.DUMMYFUNCTION("""COMPUTED_VALUE"""),"#N/A")</f>
        <v>#N/A</v>
      </c>
      <c r="L12661" s="1" t="str">
        <f>IFERROR(__xludf.DUMMYFUNCTION("""COMPUTED_VALUE"""),"#N/A")</f>
        <v>#N/A</v>
      </c>
    </row>
    <row r="12662">
      <c r="A12662" s="1" t="str">
        <f>IFERROR(__xludf.DUMMYFUNCTION("""COMPUTED_VALUE"""),"#VALUE!")</f>
        <v>#VALUE!</v>
      </c>
      <c r="B12662" s="4"/>
      <c r="C12662" s="1" t="str">
        <f>IFERROR(__xludf.DUMMYFUNCTION("""COMPUTED_VALUE"""),"#N/A")</f>
        <v>#N/A</v>
      </c>
      <c r="D12662" s="1"/>
      <c r="E12662" s="1"/>
      <c r="F12662" s="1"/>
      <c r="G12662" s="1"/>
      <c r="H12662" s="2">
        <f>IFERROR(__xludf.DUMMYFUNCTION("""COMPUTED_VALUE"""),0.0)</f>
        <v>0</v>
      </c>
      <c r="I12662" s="5"/>
      <c r="J12662" s="1" t="str">
        <f>IFERROR(__xludf.DUMMYFUNCTION("""COMPUTED_VALUE"""),"#N/A")</f>
        <v>#N/A</v>
      </c>
      <c r="K12662" s="1" t="str">
        <f>IFERROR(__xludf.DUMMYFUNCTION("""COMPUTED_VALUE"""),"#N/A")</f>
        <v>#N/A</v>
      </c>
      <c r="L12662" s="1" t="str">
        <f>IFERROR(__xludf.DUMMYFUNCTION("""COMPUTED_VALUE"""),"#N/A")</f>
        <v>#N/A</v>
      </c>
    </row>
    <row r="12663">
      <c r="A12663" s="1" t="str">
        <f>IFERROR(__xludf.DUMMYFUNCTION("""COMPUTED_VALUE"""),"#VALUE!")</f>
        <v>#VALUE!</v>
      </c>
      <c r="B12663" s="4"/>
      <c r="C12663" s="1" t="str">
        <f>IFERROR(__xludf.DUMMYFUNCTION("""COMPUTED_VALUE"""),"#N/A")</f>
        <v>#N/A</v>
      </c>
      <c r="D12663" s="1"/>
      <c r="E12663" s="1"/>
      <c r="F12663" s="1"/>
      <c r="G12663" s="1"/>
      <c r="H12663" s="2">
        <f>IFERROR(__xludf.DUMMYFUNCTION("""COMPUTED_VALUE"""),0.0)</f>
        <v>0</v>
      </c>
      <c r="I12663" s="5"/>
      <c r="J12663" s="1" t="str">
        <f>IFERROR(__xludf.DUMMYFUNCTION("""COMPUTED_VALUE"""),"#N/A")</f>
        <v>#N/A</v>
      </c>
      <c r="K12663" s="1" t="str">
        <f>IFERROR(__xludf.DUMMYFUNCTION("""COMPUTED_VALUE"""),"#N/A")</f>
        <v>#N/A</v>
      </c>
      <c r="L12663" s="1" t="str">
        <f>IFERROR(__xludf.DUMMYFUNCTION("""COMPUTED_VALUE"""),"#N/A")</f>
        <v>#N/A</v>
      </c>
    </row>
    <row r="12664">
      <c r="A12664" s="1" t="str">
        <f>IFERROR(__xludf.DUMMYFUNCTION("""COMPUTED_VALUE"""),"#VALUE!")</f>
        <v>#VALUE!</v>
      </c>
      <c r="B12664" s="4"/>
      <c r="C12664" s="1" t="str">
        <f>IFERROR(__xludf.DUMMYFUNCTION("""COMPUTED_VALUE"""),"#N/A")</f>
        <v>#N/A</v>
      </c>
      <c r="D12664" s="1"/>
      <c r="E12664" s="1"/>
      <c r="F12664" s="1"/>
      <c r="G12664" s="1"/>
      <c r="H12664" s="2">
        <f>IFERROR(__xludf.DUMMYFUNCTION("""COMPUTED_VALUE"""),0.0)</f>
        <v>0</v>
      </c>
      <c r="I12664" s="5"/>
      <c r="J12664" s="1" t="str">
        <f>IFERROR(__xludf.DUMMYFUNCTION("""COMPUTED_VALUE"""),"#N/A")</f>
        <v>#N/A</v>
      </c>
      <c r="K12664" s="1" t="str">
        <f>IFERROR(__xludf.DUMMYFUNCTION("""COMPUTED_VALUE"""),"#N/A")</f>
        <v>#N/A</v>
      </c>
      <c r="L12664" s="1" t="str">
        <f>IFERROR(__xludf.DUMMYFUNCTION("""COMPUTED_VALUE"""),"#N/A")</f>
        <v>#N/A</v>
      </c>
    </row>
    <row r="12665">
      <c r="A12665" s="1" t="str">
        <f>IFERROR(__xludf.DUMMYFUNCTION("""COMPUTED_VALUE"""),"#VALUE!")</f>
        <v>#VALUE!</v>
      </c>
      <c r="B12665" s="4"/>
      <c r="C12665" s="1" t="str">
        <f>IFERROR(__xludf.DUMMYFUNCTION("""COMPUTED_VALUE"""),"#N/A")</f>
        <v>#N/A</v>
      </c>
      <c r="D12665" s="1"/>
      <c r="E12665" s="1"/>
      <c r="F12665" s="1"/>
      <c r="G12665" s="1"/>
      <c r="H12665" s="2">
        <f>IFERROR(__xludf.DUMMYFUNCTION("""COMPUTED_VALUE"""),0.0)</f>
        <v>0</v>
      </c>
      <c r="I12665" s="5"/>
      <c r="J12665" s="1" t="str">
        <f>IFERROR(__xludf.DUMMYFUNCTION("""COMPUTED_VALUE"""),"#N/A")</f>
        <v>#N/A</v>
      </c>
      <c r="K12665" s="1" t="str">
        <f>IFERROR(__xludf.DUMMYFUNCTION("""COMPUTED_VALUE"""),"#N/A")</f>
        <v>#N/A</v>
      </c>
      <c r="L12665" s="1" t="str">
        <f>IFERROR(__xludf.DUMMYFUNCTION("""COMPUTED_VALUE"""),"#N/A")</f>
        <v>#N/A</v>
      </c>
    </row>
    <row r="12666">
      <c r="A12666" s="1" t="str">
        <f>IFERROR(__xludf.DUMMYFUNCTION("""COMPUTED_VALUE"""),"#VALUE!")</f>
        <v>#VALUE!</v>
      </c>
      <c r="B12666" s="4"/>
      <c r="C12666" s="1" t="str">
        <f>IFERROR(__xludf.DUMMYFUNCTION("""COMPUTED_VALUE"""),"#N/A")</f>
        <v>#N/A</v>
      </c>
      <c r="D12666" s="1"/>
      <c r="E12666" s="1"/>
      <c r="F12666" s="1"/>
      <c r="G12666" s="1"/>
      <c r="H12666" s="2">
        <f>IFERROR(__xludf.DUMMYFUNCTION("""COMPUTED_VALUE"""),0.0)</f>
        <v>0</v>
      </c>
      <c r="I12666" s="5"/>
      <c r="J12666" s="1" t="str">
        <f>IFERROR(__xludf.DUMMYFUNCTION("""COMPUTED_VALUE"""),"#N/A")</f>
        <v>#N/A</v>
      </c>
      <c r="K12666" s="1" t="str">
        <f>IFERROR(__xludf.DUMMYFUNCTION("""COMPUTED_VALUE"""),"#N/A")</f>
        <v>#N/A</v>
      </c>
      <c r="L12666" s="1" t="str">
        <f>IFERROR(__xludf.DUMMYFUNCTION("""COMPUTED_VALUE"""),"#N/A")</f>
        <v>#N/A</v>
      </c>
    </row>
    <row r="12667">
      <c r="A12667" s="1" t="str">
        <f>IFERROR(__xludf.DUMMYFUNCTION("""COMPUTED_VALUE"""),"#VALUE!")</f>
        <v>#VALUE!</v>
      </c>
      <c r="B12667" s="4"/>
      <c r="C12667" s="1" t="str">
        <f>IFERROR(__xludf.DUMMYFUNCTION("""COMPUTED_VALUE"""),"#N/A")</f>
        <v>#N/A</v>
      </c>
      <c r="D12667" s="1"/>
      <c r="E12667" s="1"/>
      <c r="F12667" s="1"/>
      <c r="G12667" s="1"/>
      <c r="H12667" s="2">
        <f>IFERROR(__xludf.DUMMYFUNCTION("""COMPUTED_VALUE"""),0.0)</f>
        <v>0</v>
      </c>
      <c r="I12667" s="5"/>
      <c r="J12667" s="1" t="str">
        <f>IFERROR(__xludf.DUMMYFUNCTION("""COMPUTED_VALUE"""),"#N/A")</f>
        <v>#N/A</v>
      </c>
      <c r="K12667" s="1" t="str">
        <f>IFERROR(__xludf.DUMMYFUNCTION("""COMPUTED_VALUE"""),"#N/A")</f>
        <v>#N/A</v>
      </c>
      <c r="L12667" s="1" t="str">
        <f>IFERROR(__xludf.DUMMYFUNCTION("""COMPUTED_VALUE"""),"#N/A")</f>
        <v>#N/A</v>
      </c>
    </row>
    <row r="12668">
      <c r="A12668" s="1" t="str">
        <f>IFERROR(__xludf.DUMMYFUNCTION("""COMPUTED_VALUE"""),"#VALUE!")</f>
        <v>#VALUE!</v>
      </c>
      <c r="B12668" s="4"/>
      <c r="C12668" s="1" t="str">
        <f>IFERROR(__xludf.DUMMYFUNCTION("""COMPUTED_VALUE"""),"#N/A")</f>
        <v>#N/A</v>
      </c>
      <c r="D12668" s="1"/>
      <c r="E12668" s="1"/>
      <c r="F12668" s="1"/>
      <c r="G12668" s="1"/>
      <c r="H12668" s="2">
        <f>IFERROR(__xludf.DUMMYFUNCTION("""COMPUTED_VALUE"""),0.0)</f>
        <v>0</v>
      </c>
      <c r="I12668" s="5"/>
      <c r="J12668" s="1" t="str">
        <f>IFERROR(__xludf.DUMMYFUNCTION("""COMPUTED_VALUE"""),"#N/A")</f>
        <v>#N/A</v>
      </c>
      <c r="K12668" s="1" t="str">
        <f>IFERROR(__xludf.DUMMYFUNCTION("""COMPUTED_VALUE"""),"#N/A")</f>
        <v>#N/A</v>
      </c>
      <c r="L12668" s="1" t="str">
        <f>IFERROR(__xludf.DUMMYFUNCTION("""COMPUTED_VALUE"""),"#N/A")</f>
        <v>#N/A</v>
      </c>
    </row>
    <row r="12669">
      <c r="A12669" s="1" t="str">
        <f>IFERROR(__xludf.DUMMYFUNCTION("""COMPUTED_VALUE"""),"#VALUE!")</f>
        <v>#VALUE!</v>
      </c>
      <c r="B12669" s="4"/>
      <c r="C12669" s="1" t="str">
        <f>IFERROR(__xludf.DUMMYFUNCTION("""COMPUTED_VALUE"""),"#N/A")</f>
        <v>#N/A</v>
      </c>
      <c r="D12669" s="1"/>
      <c r="E12669" s="1"/>
      <c r="F12669" s="1"/>
      <c r="G12669" s="1"/>
      <c r="H12669" s="2">
        <f>IFERROR(__xludf.DUMMYFUNCTION("""COMPUTED_VALUE"""),0.0)</f>
        <v>0</v>
      </c>
      <c r="I12669" s="5"/>
      <c r="J12669" s="1" t="str">
        <f>IFERROR(__xludf.DUMMYFUNCTION("""COMPUTED_VALUE"""),"#N/A")</f>
        <v>#N/A</v>
      </c>
      <c r="K12669" s="1" t="str">
        <f>IFERROR(__xludf.DUMMYFUNCTION("""COMPUTED_VALUE"""),"#N/A")</f>
        <v>#N/A</v>
      </c>
      <c r="L12669" s="1" t="str">
        <f>IFERROR(__xludf.DUMMYFUNCTION("""COMPUTED_VALUE"""),"#N/A")</f>
        <v>#N/A</v>
      </c>
    </row>
    <row r="12670">
      <c r="A12670" s="1" t="str">
        <f>IFERROR(__xludf.DUMMYFUNCTION("""COMPUTED_VALUE"""),"#VALUE!")</f>
        <v>#VALUE!</v>
      </c>
      <c r="B12670" s="4"/>
      <c r="C12670" s="1" t="str">
        <f>IFERROR(__xludf.DUMMYFUNCTION("""COMPUTED_VALUE"""),"#N/A")</f>
        <v>#N/A</v>
      </c>
      <c r="D12670" s="1"/>
      <c r="E12670" s="1"/>
      <c r="F12670" s="1"/>
      <c r="G12670" s="1"/>
      <c r="H12670" s="2">
        <f>IFERROR(__xludf.DUMMYFUNCTION("""COMPUTED_VALUE"""),0.0)</f>
        <v>0</v>
      </c>
      <c r="I12670" s="5"/>
      <c r="J12670" s="1" t="str">
        <f>IFERROR(__xludf.DUMMYFUNCTION("""COMPUTED_VALUE"""),"#N/A")</f>
        <v>#N/A</v>
      </c>
      <c r="K12670" s="1" t="str">
        <f>IFERROR(__xludf.DUMMYFUNCTION("""COMPUTED_VALUE"""),"#N/A")</f>
        <v>#N/A</v>
      </c>
      <c r="L12670" s="1" t="str">
        <f>IFERROR(__xludf.DUMMYFUNCTION("""COMPUTED_VALUE"""),"#N/A")</f>
        <v>#N/A</v>
      </c>
    </row>
    <row r="12671">
      <c r="A12671" s="1" t="str">
        <f>IFERROR(__xludf.DUMMYFUNCTION("""COMPUTED_VALUE"""),"#VALUE!")</f>
        <v>#VALUE!</v>
      </c>
      <c r="B12671" s="4"/>
      <c r="C12671" s="1" t="str">
        <f>IFERROR(__xludf.DUMMYFUNCTION("""COMPUTED_VALUE"""),"#N/A")</f>
        <v>#N/A</v>
      </c>
      <c r="D12671" s="1"/>
      <c r="E12671" s="1"/>
      <c r="F12671" s="1"/>
      <c r="G12671" s="1"/>
      <c r="H12671" s="2">
        <f>IFERROR(__xludf.DUMMYFUNCTION("""COMPUTED_VALUE"""),0.0)</f>
        <v>0</v>
      </c>
      <c r="I12671" s="5"/>
      <c r="J12671" s="1" t="str">
        <f>IFERROR(__xludf.DUMMYFUNCTION("""COMPUTED_VALUE"""),"#N/A")</f>
        <v>#N/A</v>
      </c>
      <c r="K12671" s="1" t="str">
        <f>IFERROR(__xludf.DUMMYFUNCTION("""COMPUTED_VALUE"""),"#N/A")</f>
        <v>#N/A</v>
      </c>
      <c r="L12671" s="1" t="str">
        <f>IFERROR(__xludf.DUMMYFUNCTION("""COMPUTED_VALUE"""),"#N/A")</f>
        <v>#N/A</v>
      </c>
    </row>
    <row r="12672">
      <c r="A12672" s="1" t="str">
        <f>IFERROR(__xludf.DUMMYFUNCTION("""COMPUTED_VALUE"""),"#VALUE!")</f>
        <v>#VALUE!</v>
      </c>
      <c r="B12672" s="4"/>
      <c r="C12672" s="1" t="str">
        <f>IFERROR(__xludf.DUMMYFUNCTION("""COMPUTED_VALUE"""),"#N/A")</f>
        <v>#N/A</v>
      </c>
      <c r="D12672" s="1"/>
      <c r="E12672" s="1"/>
      <c r="F12672" s="1"/>
      <c r="G12672" s="1"/>
      <c r="H12672" s="2">
        <f>IFERROR(__xludf.DUMMYFUNCTION("""COMPUTED_VALUE"""),0.0)</f>
        <v>0</v>
      </c>
      <c r="I12672" s="5"/>
      <c r="J12672" s="1" t="str">
        <f>IFERROR(__xludf.DUMMYFUNCTION("""COMPUTED_VALUE"""),"#N/A")</f>
        <v>#N/A</v>
      </c>
      <c r="K12672" s="1" t="str">
        <f>IFERROR(__xludf.DUMMYFUNCTION("""COMPUTED_VALUE"""),"#N/A")</f>
        <v>#N/A</v>
      </c>
      <c r="L12672" s="1" t="str">
        <f>IFERROR(__xludf.DUMMYFUNCTION("""COMPUTED_VALUE"""),"#N/A")</f>
        <v>#N/A</v>
      </c>
    </row>
    <row r="12673">
      <c r="A12673" s="1" t="str">
        <f>IFERROR(__xludf.DUMMYFUNCTION("""COMPUTED_VALUE"""),"#VALUE!")</f>
        <v>#VALUE!</v>
      </c>
      <c r="B12673" s="4"/>
      <c r="C12673" s="1" t="str">
        <f>IFERROR(__xludf.DUMMYFUNCTION("""COMPUTED_VALUE"""),"#N/A")</f>
        <v>#N/A</v>
      </c>
      <c r="D12673" s="1"/>
      <c r="E12673" s="1"/>
      <c r="F12673" s="1"/>
      <c r="G12673" s="1"/>
      <c r="H12673" s="2">
        <f>IFERROR(__xludf.DUMMYFUNCTION("""COMPUTED_VALUE"""),0.0)</f>
        <v>0</v>
      </c>
      <c r="I12673" s="5"/>
      <c r="J12673" s="1" t="str">
        <f>IFERROR(__xludf.DUMMYFUNCTION("""COMPUTED_VALUE"""),"#N/A")</f>
        <v>#N/A</v>
      </c>
      <c r="K12673" s="1" t="str">
        <f>IFERROR(__xludf.DUMMYFUNCTION("""COMPUTED_VALUE"""),"#N/A")</f>
        <v>#N/A</v>
      </c>
      <c r="L12673" s="1" t="str">
        <f>IFERROR(__xludf.DUMMYFUNCTION("""COMPUTED_VALUE"""),"#N/A")</f>
        <v>#N/A</v>
      </c>
    </row>
    <row r="12674">
      <c r="A12674" s="1" t="str">
        <f>IFERROR(__xludf.DUMMYFUNCTION("""COMPUTED_VALUE"""),"#VALUE!")</f>
        <v>#VALUE!</v>
      </c>
      <c r="B12674" s="4"/>
      <c r="C12674" s="1" t="str">
        <f>IFERROR(__xludf.DUMMYFUNCTION("""COMPUTED_VALUE"""),"#N/A")</f>
        <v>#N/A</v>
      </c>
      <c r="D12674" s="1"/>
      <c r="E12674" s="1"/>
      <c r="F12674" s="1"/>
      <c r="G12674" s="1"/>
      <c r="H12674" s="2">
        <f>IFERROR(__xludf.DUMMYFUNCTION("""COMPUTED_VALUE"""),0.0)</f>
        <v>0</v>
      </c>
      <c r="I12674" s="5"/>
      <c r="J12674" s="1" t="str">
        <f>IFERROR(__xludf.DUMMYFUNCTION("""COMPUTED_VALUE"""),"#N/A")</f>
        <v>#N/A</v>
      </c>
      <c r="K12674" s="1" t="str">
        <f>IFERROR(__xludf.DUMMYFUNCTION("""COMPUTED_VALUE"""),"#N/A")</f>
        <v>#N/A</v>
      </c>
      <c r="L12674" s="1" t="str">
        <f>IFERROR(__xludf.DUMMYFUNCTION("""COMPUTED_VALUE"""),"#N/A")</f>
        <v>#N/A</v>
      </c>
    </row>
    <row r="12675">
      <c r="A12675" s="1" t="str">
        <f>IFERROR(__xludf.DUMMYFUNCTION("""COMPUTED_VALUE"""),"#VALUE!")</f>
        <v>#VALUE!</v>
      </c>
      <c r="B12675" s="4"/>
      <c r="C12675" s="1" t="str">
        <f>IFERROR(__xludf.DUMMYFUNCTION("""COMPUTED_VALUE"""),"#N/A")</f>
        <v>#N/A</v>
      </c>
      <c r="D12675" s="1"/>
      <c r="E12675" s="1"/>
      <c r="F12675" s="1"/>
      <c r="G12675" s="1"/>
      <c r="H12675" s="2">
        <f>IFERROR(__xludf.DUMMYFUNCTION("""COMPUTED_VALUE"""),0.0)</f>
        <v>0</v>
      </c>
      <c r="I12675" s="5"/>
      <c r="J12675" s="1" t="str">
        <f>IFERROR(__xludf.DUMMYFUNCTION("""COMPUTED_VALUE"""),"#N/A")</f>
        <v>#N/A</v>
      </c>
      <c r="K12675" s="1" t="str">
        <f>IFERROR(__xludf.DUMMYFUNCTION("""COMPUTED_VALUE"""),"#N/A")</f>
        <v>#N/A</v>
      </c>
      <c r="L12675" s="1" t="str">
        <f>IFERROR(__xludf.DUMMYFUNCTION("""COMPUTED_VALUE"""),"#N/A")</f>
        <v>#N/A</v>
      </c>
    </row>
    <row r="12676">
      <c r="A12676" s="1" t="str">
        <f>IFERROR(__xludf.DUMMYFUNCTION("""COMPUTED_VALUE"""),"#VALUE!")</f>
        <v>#VALUE!</v>
      </c>
      <c r="B12676" s="4"/>
      <c r="C12676" s="1" t="str">
        <f>IFERROR(__xludf.DUMMYFUNCTION("""COMPUTED_VALUE"""),"#N/A")</f>
        <v>#N/A</v>
      </c>
      <c r="D12676" s="1"/>
      <c r="E12676" s="1"/>
      <c r="F12676" s="1"/>
      <c r="G12676" s="1"/>
      <c r="H12676" s="2">
        <f>IFERROR(__xludf.DUMMYFUNCTION("""COMPUTED_VALUE"""),0.0)</f>
        <v>0</v>
      </c>
      <c r="I12676" s="5"/>
      <c r="J12676" s="1" t="str">
        <f>IFERROR(__xludf.DUMMYFUNCTION("""COMPUTED_VALUE"""),"#N/A")</f>
        <v>#N/A</v>
      </c>
      <c r="K12676" s="1" t="str">
        <f>IFERROR(__xludf.DUMMYFUNCTION("""COMPUTED_VALUE"""),"#N/A")</f>
        <v>#N/A</v>
      </c>
      <c r="L12676" s="1" t="str">
        <f>IFERROR(__xludf.DUMMYFUNCTION("""COMPUTED_VALUE"""),"#N/A")</f>
        <v>#N/A</v>
      </c>
    </row>
    <row r="12677">
      <c r="A12677" s="1" t="str">
        <f>IFERROR(__xludf.DUMMYFUNCTION("""COMPUTED_VALUE"""),"#VALUE!")</f>
        <v>#VALUE!</v>
      </c>
      <c r="B12677" s="4"/>
      <c r="C12677" s="1" t="str">
        <f>IFERROR(__xludf.DUMMYFUNCTION("""COMPUTED_VALUE"""),"#N/A")</f>
        <v>#N/A</v>
      </c>
      <c r="D12677" s="1"/>
      <c r="E12677" s="1"/>
      <c r="F12677" s="1"/>
      <c r="G12677" s="1"/>
      <c r="H12677" s="2">
        <f>IFERROR(__xludf.DUMMYFUNCTION("""COMPUTED_VALUE"""),0.0)</f>
        <v>0</v>
      </c>
      <c r="I12677" s="5"/>
      <c r="J12677" s="1" t="str">
        <f>IFERROR(__xludf.DUMMYFUNCTION("""COMPUTED_VALUE"""),"#N/A")</f>
        <v>#N/A</v>
      </c>
      <c r="K12677" s="1" t="str">
        <f>IFERROR(__xludf.DUMMYFUNCTION("""COMPUTED_VALUE"""),"#N/A")</f>
        <v>#N/A</v>
      </c>
      <c r="L12677" s="1" t="str">
        <f>IFERROR(__xludf.DUMMYFUNCTION("""COMPUTED_VALUE"""),"#N/A")</f>
        <v>#N/A</v>
      </c>
    </row>
    <row r="12678">
      <c r="A12678" s="1" t="str">
        <f>IFERROR(__xludf.DUMMYFUNCTION("""COMPUTED_VALUE"""),"#VALUE!")</f>
        <v>#VALUE!</v>
      </c>
      <c r="B12678" s="4"/>
      <c r="C12678" s="1" t="str">
        <f>IFERROR(__xludf.DUMMYFUNCTION("""COMPUTED_VALUE"""),"#N/A")</f>
        <v>#N/A</v>
      </c>
      <c r="D12678" s="1"/>
      <c r="E12678" s="1"/>
      <c r="F12678" s="1"/>
      <c r="G12678" s="1"/>
      <c r="H12678" s="2">
        <f>IFERROR(__xludf.DUMMYFUNCTION("""COMPUTED_VALUE"""),0.0)</f>
        <v>0</v>
      </c>
      <c r="I12678" s="5"/>
      <c r="J12678" s="1" t="str">
        <f>IFERROR(__xludf.DUMMYFUNCTION("""COMPUTED_VALUE"""),"#N/A")</f>
        <v>#N/A</v>
      </c>
      <c r="K12678" s="1" t="str">
        <f>IFERROR(__xludf.DUMMYFUNCTION("""COMPUTED_VALUE"""),"#N/A")</f>
        <v>#N/A</v>
      </c>
      <c r="L12678" s="1" t="str">
        <f>IFERROR(__xludf.DUMMYFUNCTION("""COMPUTED_VALUE"""),"#N/A")</f>
        <v>#N/A</v>
      </c>
    </row>
    <row r="12679">
      <c r="A12679" s="1" t="str">
        <f>IFERROR(__xludf.DUMMYFUNCTION("""COMPUTED_VALUE"""),"#VALUE!")</f>
        <v>#VALUE!</v>
      </c>
      <c r="B12679" s="4"/>
      <c r="C12679" s="1" t="str">
        <f>IFERROR(__xludf.DUMMYFUNCTION("""COMPUTED_VALUE"""),"#N/A")</f>
        <v>#N/A</v>
      </c>
      <c r="D12679" s="1"/>
      <c r="E12679" s="1"/>
      <c r="F12679" s="1"/>
      <c r="G12679" s="1"/>
      <c r="H12679" s="2">
        <f>IFERROR(__xludf.DUMMYFUNCTION("""COMPUTED_VALUE"""),0.0)</f>
        <v>0</v>
      </c>
      <c r="I12679" s="5"/>
      <c r="J12679" s="1" t="str">
        <f>IFERROR(__xludf.DUMMYFUNCTION("""COMPUTED_VALUE"""),"#N/A")</f>
        <v>#N/A</v>
      </c>
      <c r="K12679" s="1" t="str">
        <f>IFERROR(__xludf.DUMMYFUNCTION("""COMPUTED_VALUE"""),"#N/A")</f>
        <v>#N/A</v>
      </c>
      <c r="L12679" s="1" t="str">
        <f>IFERROR(__xludf.DUMMYFUNCTION("""COMPUTED_VALUE"""),"#N/A")</f>
        <v>#N/A</v>
      </c>
    </row>
    <row r="12680">
      <c r="A12680" s="1" t="str">
        <f>IFERROR(__xludf.DUMMYFUNCTION("""COMPUTED_VALUE"""),"#VALUE!")</f>
        <v>#VALUE!</v>
      </c>
      <c r="B12680" s="4"/>
      <c r="C12680" s="1" t="str">
        <f>IFERROR(__xludf.DUMMYFUNCTION("""COMPUTED_VALUE"""),"#N/A")</f>
        <v>#N/A</v>
      </c>
      <c r="D12680" s="1"/>
      <c r="E12680" s="1"/>
      <c r="F12680" s="1"/>
      <c r="G12680" s="1"/>
      <c r="H12680" s="2">
        <f>IFERROR(__xludf.DUMMYFUNCTION("""COMPUTED_VALUE"""),0.0)</f>
        <v>0</v>
      </c>
      <c r="I12680" s="5"/>
      <c r="J12680" s="1" t="str">
        <f>IFERROR(__xludf.DUMMYFUNCTION("""COMPUTED_VALUE"""),"#N/A")</f>
        <v>#N/A</v>
      </c>
      <c r="K12680" s="1" t="str">
        <f>IFERROR(__xludf.DUMMYFUNCTION("""COMPUTED_VALUE"""),"#N/A")</f>
        <v>#N/A</v>
      </c>
      <c r="L12680" s="1" t="str">
        <f>IFERROR(__xludf.DUMMYFUNCTION("""COMPUTED_VALUE"""),"#N/A")</f>
        <v>#N/A</v>
      </c>
    </row>
    <row r="12681">
      <c r="A12681" s="1" t="str">
        <f>IFERROR(__xludf.DUMMYFUNCTION("""COMPUTED_VALUE"""),"#VALUE!")</f>
        <v>#VALUE!</v>
      </c>
      <c r="B12681" s="4"/>
      <c r="C12681" s="1" t="str">
        <f>IFERROR(__xludf.DUMMYFUNCTION("""COMPUTED_VALUE"""),"#N/A")</f>
        <v>#N/A</v>
      </c>
      <c r="D12681" s="1"/>
      <c r="E12681" s="1"/>
      <c r="F12681" s="1"/>
      <c r="G12681" s="1"/>
      <c r="H12681" s="2">
        <f>IFERROR(__xludf.DUMMYFUNCTION("""COMPUTED_VALUE"""),0.0)</f>
        <v>0</v>
      </c>
      <c r="I12681" s="5"/>
      <c r="J12681" s="1" t="str">
        <f>IFERROR(__xludf.DUMMYFUNCTION("""COMPUTED_VALUE"""),"#N/A")</f>
        <v>#N/A</v>
      </c>
      <c r="K12681" s="1" t="str">
        <f>IFERROR(__xludf.DUMMYFUNCTION("""COMPUTED_VALUE"""),"#N/A")</f>
        <v>#N/A</v>
      </c>
      <c r="L12681" s="1" t="str">
        <f>IFERROR(__xludf.DUMMYFUNCTION("""COMPUTED_VALUE"""),"#N/A")</f>
        <v>#N/A</v>
      </c>
    </row>
    <row r="12682">
      <c r="A12682" s="1" t="str">
        <f>IFERROR(__xludf.DUMMYFUNCTION("""COMPUTED_VALUE"""),"#VALUE!")</f>
        <v>#VALUE!</v>
      </c>
      <c r="B12682" s="4"/>
      <c r="C12682" s="1" t="str">
        <f>IFERROR(__xludf.DUMMYFUNCTION("""COMPUTED_VALUE"""),"#N/A")</f>
        <v>#N/A</v>
      </c>
      <c r="D12682" s="1"/>
      <c r="E12682" s="1"/>
      <c r="F12682" s="1"/>
      <c r="G12682" s="1"/>
      <c r="H12682" s="2">
        <f>IFERROR(__xludf.DUMMYFUNCTION("""COMPUTED_VALUE"""),0.0)</f>
        <v>0</v>
      </c>
      <c r="I12682" s="5"/>
      <c r="J12682" s="1" t="str">
        <f>IFERROR(__xludf.DUMMYFUNCTION("""COMPUTED_VALUE"""),"#N/A")</f>
        <v>#N/A</v>
      </c>
      <c r="K12682" s="1" t="str">
        <f>IFERROR(__xludf.DUMMYFUNCTION("""COMPUTED_VALUE"""),"#N/A")</f>
        <v>#N/A</v>
      </c>
      <c r="L12682" s="1" t="str">
        <f>IFERROR(__xludf.DUMMYFUNCTION("""COMPUTED_VALUE"""),"#N/A")</f>
        <v>#N/A</v>
      </c>
    </row>
    <row r="12683">
      <c r="A12683" s="1" t="str">
        <f>IFERROR(__xludf.DUMMYFUNCTION("""COMPUTED_VALUE"""),"#VALUE!")</f>
        <v>#VALUE!</v>
      </c>
      <c r="B12683" s="4"/>
      <c r="C12683" s="1" t="str">
        <f>IFERROR(__xludf.DUMMYFUNCTION("""COMPUTED_VALUE"""),"#N/A")</f>
        <v>#N/A</v>
      </c>
      <c r="D12683" s="1"/>
      <c r="E12683" s="1"/>
      <c r="F12683" s="1"/>
      <c r="G12683" s="1"/>
      <c r="H12683" s="2">
        <f>IFERROR(__xludf.DUMMYFUNCTION("""COMPUTED_VALUE"""),0.0)</f>
        <v>0</v>
      </c>
      <c r="I12683" s="5"/>
      <c r="J12683" s="1" t="str">
        <f>IFERROR(__xludf.DUMMYFUNCTION("""COMPUTED_VALUE"""),"#N/A")</f>
        <v>#N/A</v>
      </c>
      <c r="K12683" s="1" t="str">
        <f>IFERROR(__xludf.DUMMYFUNCTION("""COMPUTED_VALUE"""),"#N/A")</f>
        <v>#N/A</v>
      </c>
      <c r="L12683" s="1" t="str">
        <f>IFERROR(__xludf.DUMMYFUNCTION("""COMPUTED_VALUE"""),"#N/A")</f>
        <v>#N/A</v>
      </c>
    </row>
    <row r="12684">
      <c r="A12684" s="1" t="str">
        <f>IFERROR(__xludf.DUMMYFUNCTION("""COMPUTED_VALUE"""),"#VALUE!")</f>
        <v>#VALUE!</v>
      </c>
      <c r="B12684" s="4"/>
      <c r="C12684" s="1" t="str">
        <f>IFERROR(__xludf.DUMMYFUNCTION("""COMPUTED_VALUE"""),"#N/A")</f>
        <v>#N/A</v>
      </c>
      <c r="D12684" s="1"/>
      <c r="E12684" s="1"/>
      <c r="F12684" s="1"/>
      <c r="G12684" s="1"/>
      <c r="H12684" s="2">
        <f>IFERROR(__xludf.DUMMYFUNCTION("""COMPUTED_VALUE"""),0.0)</f>
        <v>0</v>
      </c>
      <c r="I12684" s="5"/>
      <c r="J12684" s="1" t="str">
        <f>IFERROR(__xludf.DUMMYFUNCTION("""COMPUTED_VALUE"""),"#N/A")</f>
        <v>#N/A</v>
      </c>
      <c r="K12684" s="1" t="str">
        <f>IFERROR(__xludf.DUMMYFUNCTION("""COMPUTED_VALUE"""),"#N/A")</f>
        <v>#N/A</v>
      </c>
      <c r="L12684" s="1" t="str">
        <f>IFERROR(__xludf.DUMMYFUNCTION("""COMPUTED_VALUE"""),"#N/A")</f>
        <v>#N/A</v>
      </c>
    </row>
    <row r="12685">
      <c r="A12685" s="1" t="str">
        <f>IFERROR(__xludf.DUMMYFUNCTION("""COMPUTED_VALUE"""),"#VALUE!")</f>
        <v>#VALUE!</v>
      </c>
      <c r="B12685" s="4"/>
      <c r="C12685" s="1" t="str">
        <f>IFERROR(__xludf.DUMMYFUNCTION("""COMPUTED_VALUE"""),"#N/A")</f>
        <v>#N/A</v>
      </c>
      <c r="D12685" s="1"/>
      <c r="E12685" s="1"/>
      <c r="F12685" s="1"/>
      <c r="G12685" s="1"/>
      <c r="H12685" s="2">
        <f>IFERROR(__xludf.DUMMYFUNCTION("""COMPUTED_VALUE"""),0.0)</f>
        <v>0</v>
      </c>
      <c r="I12685" s="5"/>
      <c r="J12685" s="1" t="str">
        <f>IFERROR(__xludf.DUMMYFUNCTION("""COMPUTED_VALUE"""),"#N/A")</f>
        <v>#N/A</v>
      </c>
      <c r="K12685" s="1" t="str">
        <f>IFERROR(__xludf.DUMMYFUNCTION("""COMPUTED_VALUE"""),"#N/A")</f>
        <v>#N/A</v>
      </c>
      <c r="L12685" s="1" t="str">
        <f>IFERROR(__xludf.DUMMYFUNCTION("""COMPUTED_VALUE"""),"#N/A")</f>
        <v>#N/A</v>
      </c>
    </row>
    <row r="12686">
      <c r="A12686" s="1" t="str">
        <f>IFERROR(__xludf.DUMMYFUNCTION("""COMPUTED_VALUE"""),"#VALUE!")</f>
        <v>#VALUE!</v>
      </c>
      <c r="B12686" s="4"/>
      <c r="C12686" s="1" t="str">
        <f>IFERROR(__xludf.DUMMYFUNCTION("""COMPUTED_VALUE"""),"#N/A")</f>
        <v>#N/A</v>
      </c>
      <c r="D12686" s="1"/>
      <c r="E12686" s="1"/>
      <c r="F12686" s="1"/>
      <c r="G12686" s="1"/>
      <c r="H12686" s="2">
        <f>IFERROR(__xludf.DUMMYFUNCTION("""COMPUTED_VALUE"""),0.0)</f>
        <v>0</v>
      </c>
      <c r="I12686" s="5"/>
      <c r="J12686" s="1" t="str">
        <f>IFERROR(__xludf.DUMMYFUNCTION("""COMPUTED_VALUE"""),"#N/A")</f>
        <v>#N/A</v>
      </c>
      <c r="K12686" s="1" t="str">
        <f>IFERROR(__xludf.DUMMYFUNCTION("""COMPUTED_VALUE"""),"#N/A")</f>
        <v>#N/A</v>
      </c>
      <c r="L12686" s="1" t="str">
        <f>IFERROR(__xludf.DUMMYFUNCTION("""COMPUTED_VALUE"""),"#N/A")</f>
        <v>#N/A</v>
      </c>
    </row>
    <row r="12687">
      <c r="A12687" s="1" t="str">
        <f>IFERROR(__xludf.DUMMYFUNCTION("""COMPUTED_VALUE"""),"#VALUE!")</f>
        <v>#VALUE!</v>
      </c>
      <c r="B12687" s="4"/>
      <c r="C12687" s="1" t="str">
        <f>IFERROR(__xludf.DUMMYFUNCTION("""COMPUTED_VALUE"""),"#N/A")</f>
        <v>#N/A</v>
      </c>
      <c r="D12687" s="1"/>
      <c r="E12687" s="1"/>
      <c r="F12687" s="1"/>
      <c r="G12687" s="1"/>
      <c r="H12687" s="2">
        <f>IFERROR(__xludf.DUMMYFUNCTION("""COMPUTED_VALUE"""),0.0)</f>
        <v>0</v>
      </c>
      <c r="I12687" s="5"/>
      <c r="J12687" s="1" t="str">
        <f>IFERROR(__xludf.DUMMYFUNCTION("""COMPUTED_VALUE"""),"#N/A")</f>
        <v>#N/A</v>
      </c>
      <c r="K12687" s="1" t="str">
        <f>IFERROR(__xludf.DUMMYFUNCTION("""COMPUTED_VALUE"""),"#N/A")</f>
        <v>#N/A</v>
      </c>
      <c r="L12687" s="1" t="str">
        <f>IFERROR(__xludf.DUMMYFUNCTION("""COMPUTED_VALUE"""),"#N/A")</f>
        <v>#N/A</v>
      </c>
    </row>
    <row r="12688">
      <c r="A12688" s="1" t="str">
        <f>IFERROR(__xludf.DUMMYFUNCTION("""COMPUTED_VALUE"""),"#VALUE!")</f>
        <v>#VALUE!</v>
      </c>
      <c r="B12688" s="4"/>
      <c r="C12688" s="1" t="str">
        <f>IFERROR(__xludf.DUMMYFUNCTION("""COMPUTED_VALUE"""),"#N/A")</f>
        <v>#N/A</v>
      </c>
      <c r="D12688" s="1"/>
      <c r="E12688" s="1"/>
      <c r="F12688" s="1"/>
      <c r="G12688" s="1"/>
      <c r="H12688" s="2">
        <f>IFERROR(__xludf.DUMMYFUNCTION("""COMPUTED_VALUE"""),0.0)</f>
        <v>0</v>
      </c>
      <c r="I12688" s="5"/>
      <c r="J12688" s="1" t="str">
        <f>IFERROR(__xludf.DUMMYFUNCTION("""COMPUTED_VALUE"""),"#N/A")</f>
        <v>#N/A</v>
      </c>
      <c r="K12688" s="1" t="str">
        <f>IFERROR(__xludf.DUMMYFUNCTION("""COMPUTED_VALUE"""),"#N/A")</f>
        <v>#N/A</v>
      </c>
      <c r="L12688" s="1" t="str">
        <f>IFERROR(__xludf.DUMMYFUNCTION("""COMPUTED_VALUE"""),"#N/A")</f>
        <v>#N/A</v>
      </c>
    </row>
    <row r="12689">
      <c r="A12689" s="1" t="str">
        <f>IFERROR(__xludf.DUMMYFUNCTION("""COMPUTED_VALUE"""),"#VALUE!")</f>
        <v>#VALUE!</v>
      </c>
      <c r="B12689" s="4"/>
      <c r="C12689" s="1" t="str">
        <f>IFERROR(__xludf.DUMMYFUNCTION("""COMPUTED_VALUE"""),"#N/A")</f>
        <v>#N/A</v>
      </c>
      <c r="D12689" s="1"/>
      <c r="E12689" s="1"/>
      <c r="F12689" s="1"/>
      <c r="G12689" s="1"/>
      <c r="H12689" s="2">
        <f>IFERROR(__xludf.DUMMYFUNCTION("""COMPUTED_VALUE"""),0.0)</f>
        <v>0</v>
      </c>
      <c r="I12689" s="5"/>
      <c r="J12689" s="1" t="str">
        <f>IFERROR(__xludf.DUMMYFUNCTION("""COMPUTED_VALUE"""),"#N/A")</f>
        <v>#N/A</v>
      </c>
      <c r="K12689" s="1" t="str">
        <f>IFERROR(__xludf.DUMMYFUNCTION("""COMPUTED_VALUE"""),"#N/A")</f>
        <v>#N/A</v>
      </c>
      <c r="L12689" s="1" t="str">
        <f>IFERROR(__xludf.DUMMYFUNCTION("""COMPUTED_VALUE"""),"#N/A")</f>
        <v>#N/A</v>
      </c>
    </row>
    <row r="12690">
      <c r="A12690" s="1" t="str">
        <f>IFERROR(__xludf.DUMMYFUNCTION("""COMPUTED_VALUE"""),"#VALUE!")</f>
        <v>#VALUE!</v>
      </c>
      <c r="B12690" s="4"/>
      <c r="C12690" s="1" t="str">
        <f>IFERROR(__xludf.DUMMYFUNCTION("""COMPUTED_VALUE"""),"#N/A")</f>
        <v>#N/A</v>
      </c>
      <c r="D12690" s="1"/>
      <c r="E12690" s="1"/>
      <c r="F12690" s="1"/>
      <c r="G12690" s="1"/>
      <c r="H12690" s="2">
        <f>IFERROR(__xludf.DUMMYFUNCTION("""COMPUTED_VALUE"""),0.0)</f>
        <v>0</v>
      </c>
      <c r="I12690" s="5"/>
      <c r="J12690" s="1" t="str">
        <f>IFERROR(__xludf.DUMMYFUNCTION("""COMPUTED_VALUE"""),"#N/A")</f>
        <v>#N/A</v>
      </c>
      <c r="K12690" s="1" t="str">
        <f>IFERROR(__xludf.DUMMYFUNCTION("""COMPUTED_VALUE"""),"#N/A")</f>
        <v>#N/A</v>
      </c>
      <c r="L12690" s="1" t="str">
        <f>IFERROR(__xludf.DUMMYFUNCTION("""COMPUTED_VALUE"""),"#N/A")</f>
        <v>#N/A</v>
      </c>
    </row>
    <row r="12691">
      <c r="A12691" s="1" t="str">
        <f>IFERROR(__xludf.DUMMYFUNCTION("""COMPUTED_VALUE"""),"#VALUE!")</f>
        <v>#VALUE!</v>
      </c>
      <c r="B12691" s="4"/>
      <c r="C12691" s="1" t="str">
        <f>IFERROR(__xludf.DUMMYFUNCTION("""COMPUTED_VALUE"""),"#N/A")</f>
        <v>#N/A</v>
      </c>
      <c r="D12691" s="1"/>
      <c r="E12691" s="1"/>
      <c r="F12691" s="1"/>
      <c r="G12691" s="1"/>
      <c r="H12691" s="2">
        <f>IFERROR(__xludf.DUMMYFUNCTION("""COMPUTED_VALUE"""),0.0)</f>
        <v>0</v>
      </c>
      <c r="I12691" s="5"/>
      <c r="J12691" s="1" t="str">
        <f>IFERROR(__xludf.DUMMYFUNCTION("""COMPUTED_VALUE"""),"#N/A")</f>
        <v>#N/A</v>
      </c>
      <c r="K12691" s="1" t="str">
        <f>IFERROR(__xludf.DUMMYFUNCTION("""COMPUTED_VALUE"""),"#N/A")</f>
        <v>#N/A</v>
      </c>
      <c r="L12691" s="1" t="str">
        <f>IFERROR(__xludf.DUMMYFUNCTION("""COMPUTED_VALUE"""),"#N/A")</f>
        <v>#N/A</v>
      </c>
    </row>
    <row r="12692">
      <c r="A12692" s="1" t="str">
        <f>IFERROR(__xludf.DUMMYFUNCTION("""COMPUTED_VALUE"""),"#VALUE!")</f>
        <v>#VALUE!</v>
      </c>
      <c r="B12692" s="4"/>
      <c r="C12692" s="1" t="str">
        <f>IFERROR(__xludf.DUMMYFUNCTION("""COMPUTED_VALUE"""),"#N/A")</f>
        <v>#N/A</v>
      </c>
      <c r="D12692" s="1"/>
      <c r="E12692" s="1"/>
      <c r="F12692" s="1"/>
      <c r="G12692" s="1"/>
      <c r="H12692" s="2">
        <f>IFERROR(__xludf.DUMMYFUNCTION("""COMPUTED_VALUE"""),0.0)</f>
        <v>0</v>
      </c>
      <c r="I12692" s="5"/>
      <c r="J12692" s="1" t="str">
        <f>IFERROR(__xludf.DUMMYFUNCTION("""COMPUTED_VALUE"""),"#N/A")</f>
        <v>#N/A</v>
      </c>
      <c r="K12692" s="1" t="str">
        <f>IFERROR(__xludf.DUMMYFUNCTION("""COMPUTED_VALUE"""),"#N/A")</f>
        <v>#N/A</v>
      </c>
      <c r="L12692" s="1" t="str">
        <f>IFERROR(__xludf.DUMMYFUNCTION("""COMPUTED_VALUE"""),"#N/A")</f>
        <v>#N/A</v>
      </c>
    </row>
    <row r="12693">
      <c r="A12693" s="1" t="str">
        <f>IFERROR(__xludf.DUMMYFUNCTION("""COMPUTED_VALUE"""),"#VALUE!")</f>
        <v>#VALUE!</v>
      </c>
      <c r="B12693" s="4"/>
      <c r="C12693" s="1" t="str">
        <f>IFERROR(__xludf.DUMMYFUNCTION("""COMPUTED_VALUE"""),"#N/A")</f>
        <v>#N/A</v>
      </c>
      <c r="D12693" s="1"/>
      <c r="E12693" s="1"/>
      <c r="F12693" s="1"/>
      <c r="G12693" s="1"/>
      <c r="H12693" s="2">
        <f>IFERROR(__xludf.DUMMYFUNCTION("""COMPUTED_VALUE"""),0.0)</f>
        <v>0</v>
      </c>
      <c r="I12693" s="5"/>
      <c r="J12693" s="1" t="str">
        <f>IFERROR(__xludf.DUMMYFUNCTION("""COMPUTED_VALUE"""),"#N/A")</f>
        <v>#N/A</v>
      </c>
      <c r="K12693" s="1" t="str">
        <f>IFERROR(__xludf.DUMMYFUNCTION("""COMPUTED_VALUE"""),"#N/A")</f>
        <v>#N/A</v>
      </c>
      <c r="L12693" s="1" t="str">
        <f>IFERROR(__xludf.DUMMYFUNCTION("""COMPUTED_VALUE"""),"#N/A")</f>
        <v>#N/A</v>
      </c>
    </row>
    <row r="12694">
      <c r="A12694" s="1" t="str">
        <f>IFERROR(__xludf.DUMMYFUNCTION("""COMPUTED_VALUE"""),"#VALUE!")</f>
        <v>#VALUE!</v>
      </c>
      <c r="B12694" s="4"/>
      <c r="C12694" s="1" t="str">
        <f>IFERROR(__xludf.DUMMYFUNCTION("""COMPUTED_VALUE"""),"#N/A")</f>
        <v>#N/A</v>
      </c>
      <c r="D12694" s="1"/>
      <c r="E12694" s="1"/>
      <c r="F12694" s="1"/>
      <c r="G12694" s="1"/>
      <c r="H12694" s="2">
        <f>IFERROR(__xludf.DUMMYFUNCTION("""COMPUTED_VALUE"""),0.0)</f>
        <v>0</v>
      </c>
      <c r="I12694" s="5"/>
      <c r="J12694" s="1" t="str">
        <f>IFERROR(__xludf.DUMMYFUNCTION("""COMPUTED_VALUE"""),"#N/A")</f>
        <v>#N/A</v>
      </c>
      <c r="K12694" s="1" t="str">
        <f>IFERROR(__xludf.DUMMYFUNCTION("""COMPUTED_VALUE"""),"#N/A")</f>
        <v>#N/A</v>
      </c>
      <c r="L12694" s="1" t="str">
        <f>IFERROR(__xludf.DUMMYFUNCTION("""COMPUTED_VALUE"""),"#N/A")</f>
        <v>#N/A</v>
      </c>
    </row>
    <row r="12695">
      <c r="A12695" s="1" t="str">
        <f>IFERROR(__xludf.DUMMYFUNCTION("""COMPUTED_VALUE"""),"#VALUE!")</f>
        <v>#VALUE!</v>
      </c>
      <c r="B12695" s="4"/>
      <c r="C12695" s="1" t="str">
        <f>IFERROR(__xludf.DUMMYFUNCTION("""COMPUTED_VALUE"""),"#N/A")</f>
        <v>#N/A</v>
      </c>
      <c r="D12695" s="1"/>
      <c r="E12695" s="1"/>
      <c r="F12695" s="1"/>
      <c r="G12695" s="1"/>
      <c r="H12695" s="2">
        <f>IFERROR(__xludf.DUMMYFUNCTION("""COMPUTED_VALUE"""),0.0)</f>
        <v>0</v>
      </c>
      <c r="I12695" s="5"/>
      <c r="J12695" s="1" t="str">
        <f>IFERROR(__xludf.DUMMYFUNCTION("""COMPUTED_VALUE"""),"#N/A")</f>
        <v>#N/A</v>
      </c>
      <c r="K12695" s="1" t="str">
        <f>IFERROR(__xludf.DUMMYFUNCTION("""COMPUTED_VALUE"""),"#N/A")</f>
        <v>#N/A</v>
      </c>
      <c r="L12695" s="1" t="str">
        <f>IFERROR(__xludf.DUMMYFUNCTION("""COMPUTED_VALUE"""),"#N/A")</f>
        <v>#N/A</v>
      </c>
    </row>
    <row r="12696">
      <c r="A12696" s="1" t="str">
        <f>IFERROR(__xludf.DUMMYFUNCTION("""COMPUTED_VALUE"""),"#VALUE!")</f>
        <v>#VALUE!</v>
      </c>
      <c r="B12696" s="4"/>
      <c r="C12696" s="1" t="str">
        <f>IFERROR(__xludf.DUMMYFUNCTION("""COMPUTED_VALUE"""),"#N/A")</f>
        <v>#N/A</v>
      </c>
      <c r="D12696" s="1"/>
      <c r="E12696" s="1"/>
      <c r="F12696" s="1"/>
      <c r="G12696" s="1"/>
      <c r="H12696" s="2">
        <f>IFERROR(__xludf.DUMMYFUNCTION("""COMPUTED_VALUE"""),0.0)</f>
        <v>0</v>
      </c>
      <c r="I12696" s="5"/>
      <c r="J12696" s="1" t="str">
        <f>IFERROR(__xludf.DUMMYFUNCTION("""COMPUTED_VALUE"""),"#N/A")</f>
        <v>#N/A</v>
      </c>
      <c r="K12696" s="1" t="str">
        <f>IFERROR(__xludf.DUMMYFUNCTION("""COMPUTED_VALUE"""),"#N/A")</f>
        <v>#N/A</v>
      </c>
      <c r="L12696" s="1" t="str">
        <f>IFERROR(__xludf.DUMMYFUNCTION("""COMPUTED_VALUE"""),"#N/A")</f>
        <v>#N/A</v>
      </c>
    </row>
    <row r="12697">
      <c r="A12697" s="1" t="str">
        <f>IFERROR(__xludf.DUMMYFUNCTION("""COMPUTED_VALUE"""),"#VALUE!")</f>
        <v>#VALUE!</v>
      </c>
      <c r="B12697" s="4"/>
      <c r="C12697" s="1" t="str">
        <f>IFERROR(__xludf.DUMMYFUNCTION("""COMPUTED_VALUE"""),"#N/A")</f>
        <v>#N/A</v>
      </c>
      <c r="D12697" s="1"/>
      <c r="E12697" s="1"/>
      <c r="F12697" s="1"/>
      <c r="G12697" s="1"/>
      <c r="H12697" s="2">
        <f>IFERROR(__xludf.DUMMYFUNCTION("""COMPUTED_VALUE"""),0.0)</f>
        <v>0</v>
      </c>
      <c r="I12697" s="5"/>
      <c r="J12697" s="1" t="str">
        <f>IFERROR(__xludf.DUMMYFUNCTION("""COMPUTED_VALUE"""),"#N/A")</f>
        <v>#N/A</v>
      </c>
      <c r="K12697" s="1" t="str">
        <f>IFERROR(__xludf.DUMMYFUNCTION("""COMPUTED_VALUE"""),"#N/A")</f>
        <v>#N/A</v>
      </c>
      <c r="L12697" s="1" t="str">
        <f>IFERROR(__xludf.DUMMYFUNCTION("""COMPUTED_VALUE"""),"#N/A")</f>
        <v>#N/A</v>
      </c>
    </row>
    <row r="12698">
      <c r="A12698" s="1" t="str">
        <f>IFERROR(__xludf.DUMMYFUNCTION("""COMPUTED_VALUE"""),"#VALUE!")</f>
        <v>#VALUE!</v>
      </c>
      <c r="B12698" s="4"/>
      <c r="C12698" s="1" t="str">
        <f>IFERROR(__xludf.DUMMYFUNCTION("""COMPUTED_VALUE"""),"#N/A")</f>
        <v>#N/A</v>
      </c>
      <c r="D12698" s="1"/>
      <c r="E12698" s="1"/>
      <c r="F12698" s="1"/>
      <c r="G12698" s="1"/>
      <c r="H12698" s="2">
        <f>IFERROR(__xludf.DUMMYFUNCTION("""COMPUTED_VALUE"""),0.0)</f>
        <v>0</v>
      </c>
      <c r="I12698" s="5"/>
      <c r="J12698" s="1" t="str">
        <f>IFERROR(__xludf.DUMMYFUNCTION("""COMPUTED_VALUE"""),"#N/A")</f>
        <v>#N/A</v>
      </c>
      <c r="K12698" s="1" t="str">
        <f>IFERROR(__xludf.DUMMYFUNCTION("""COMPUTED_VALUE"""),"#N/A")</f>
        <v>#N/A</v>
      </c>
      <c r="L12698" s="1" t="str">
        <f>IFERROR(__xludf.DUMMYFUNCTION("""COMPUTED_VALUE"""),"#N/A")</f>
        <v>#N/A</v>
      </c>
    </row>
    <row r="12699">
      <c r="A12699" s="1" t="str">
        <f>IFERROR(__xludf.DUMMYFUNCTION("""COMPUTED_VALUE"""),"#VALUE!")</f>
        <v>#VALUE!</v>
      </c>
      <c r="B12699" s="4"/>
      <c r="C12699" s="1" t="str">
        <f>IFERROR(__xludf.DUMMYFUNCTION("""COMPUTED_VALUE"""),"#N/A")</f>
        <v>#N/A</v>
      </c>
      <c r="D12699" s="1"/>
      <c r="E12699" s="1"/>
      <c r="F12699" s="1"/>
      <c r="G12699" s="1"/>
      <c r="H12699" s="2">
        <f>IFERROR(__xludf.DUMMYFUNCTION("""COMPUTED_VALUE"""),0.0)</f>
        <v>0</v>
      </c>
      <c r="I12699" s="5"/>
      <c r="J12699" s="1" t="str">
        <f>IFERROR(__xludf.DUMMYFUNCTION("""COMPUTED_VALUE"""),"#N/A")</f>
        <v>#N/A</v>
      </c>
      <c r="K12699" s="1" t="str">
        <f>IFERROR(__xludf.DUMMYFUNCTION("""COMPUTED_VALUE"""),"#N/A")</f>
        <v>#N/A</v>
      </c>
      <c r="L12699" s="1" t="str">
        <f>IFERROR(__xludf.DUMMYFUNCTION("""COMPUTED_VALUE"""),"#N/A")</f>
        <v>#N/A</v>
      </c>
    </row>
    <row r="12700">
      <c r="A12700" s="1" t="str">
        <f>IFERROR(__xludf.DUMMYFUNCTION("""COMPUTED_VALUE"""),"#VALUE!")</f>
        <v>#VALUE!</v>
      </c>
      <c r="B12700" s="4"/>
      <c r="C12700" s="1" t="str">
        <f>IFERROR(__xludf.DUMMYFUNCTION("""COMPUTED_VALUE"""),"#N/A")</f>
        <v>#N/A</v>
      </c>
      <c r="D12700" s="1"/>
      <c r="E12700" s="1"/>
      <c r="F12700" s="1"/>
      <c r="G12700" s="1"/>
      <c r="H12700" s="2">
        <f>IFERROR(__xludf.DUMMYFUNCTION("""COMPUTED_VALUE"""),0.0)</f>
        <v>0</v>
      </c>
      <c r="I12700" s="5"/>
      <c r="J12700" s="1" t="str">
        <f>IFERROR(__xludf.DUMMYFUNCTION("""COMPUTED_VALUE"""),"#N/A")</f>
        <v>#N/A</v>
      </c>
      <c r="K12700" s="1" t="str">
        <f>IFERROR(__xludf.DUMMYFUNCTION("""COMPUTED_VALUE"""),"#N/A")</f>
        <v>#N/A</v>
      </c>
      <c r="L12700" s="1" t="str">
        <f>IFERROR(__xludf.DUMMYFUNCTION("""COMPUTED_VALUE"""),"#N/A")</f>
        <v>#N/A</v>
      </c>
    </row>
    <row r="12701">
      <c r="A12701" s="1" t="str">
        <f>IFERROR(__xludf.DUMMYFUNCTION("""COMPUTED_VALUE"""),"#VALUE!")</f>
        <v>#VALUE!</v>
      </c>
      <c r="B12701" s="4"/>
      <c r="C12701" s="1" t="str">
        <f>IFERROR(__xludf.DUMMYFUNCTION("""COMPUTED_VALUE"""),"#N/A")</f>
        <v>#N/A</v>
      </c>
      <c r="D12701" s="1"/>
      <c r="E12701" s="1"/>
      <c r="F12701" s="1"/>
      <c r="G12701" s="1"/>
      <c r="H12701" s="2">
        <f>IFERROR(__xludf.DUMMYFUNCTION("""COMPUTED_VALUE"""),0.0)</f>
        <v>0</v>
      </c>
      <c r="I12701" s="5"/>
      <c r="J12701" s="1" t="str">
        <f>IFERROR(__xludf.DUMMYFUNCTION("""COMPUTED_VALUE"""),"#N/A")</f>
        <v>#N/A</v>
      </c>
      <c r="K12701" s="1" t="str">
        <f>IFERROR(__xludf.DUMMYFUNCTION("""COMPUTED_VALUE"""),"#N/A")</f>
        <v>#N/A</v>
      </c>
      <c r="L12701" s="1" t="str">
        <f>IFERROR(__xludf.DUMMYFUNCTION("""COMPUTED_VALUE"""),"#N/A")</f>
        <v>#N/A</v>
      </c>
    </row>
    <row r="12702">
      <c r="A12702" s="1" t="str">
        <f>IFERROR(__xludf.DUMMYFUNCTION("""COMPUTED_VALUE"""),"#VALUE!")</f>
        <v>#VALUE!</v>
      </c>
      <c r="B12702" s="4"/>
      <c r="C12702" s="1" t="str">
        <f>IFERROR(__xludf.DUMMYFUNCTION("""COMPUTED_VALUE"""),"#N/A")</f>
        <v>#N/A</v>
      </c>
      <c r="D12702" s="1"/>
      <c r="E12702" s="1"/>
      <c r="F12702" s="1"/>
      <c r="G12702" s="1"/>
      <c r="H12702" s="2">
        <f>IFERROR(__xludf.DUMMYFUNCTION("""COMPUTED_VALUE"""),0.0)</f>
        <v>0</v>
      </c>
      <c r="I12702" s="5"/>
      <c r="J12702" s="1" t="str">
        <f>IFERROR(__xludf.DUMMYFUNCTION("""COMPUTED_VALUE"""),"#N/A")</f>
        <v>#N/A</v>
      </c>
      <c r="K12702" s="1" t="str">
        <f>IFERROR(__xludf.DUMMYFUNCTION("""COMPUTED_VALUE"""),"#N/A")</f>
        <v>#N/A</v>
      </c>
      <c r="L12702" s="1" t="str">
        <f>IFERROR(__xludf.DUMMYFUNCTION("""COMPUTED_VALUE"""),"#N/A")</f>
        <v>#N/A</v>
      </c>
    </row>
    <row r="12703">
      <c r="A12703" s="1" t="str">
        <f>IFERROR(__xludf.DUMMYFUNCTION("""COMPUTED_VALUE"""),"#VALUE!")</f>
        <v>#VALUE!</v>
      </c>
      <c r="B12703" s="4"/>
      <c r="C12703" s="1" t="str">
        <f>IFERROR(__xludf.DUMMYFUNCTION("""COMPUTED_VALUE"""),"#N/A")</f>
        <v>#N/A</v>
      </c>
      <c r="D12703" s="1"/>
      <c r="E12703" s="1"/>
      <c r="F12703" s="1"/>
      <c r="G12703" s="1"/>
      <c r="H12703" s="2">
        <f>IFERROR(__xludf.DUMMYFUNCTION("""COMPUTED_VALUE"""),0.0)</f>
        <v>0</v>
      </c>
      <c r="I12703" s="5"/>
      <c r="J12703" s="1" t="str">
        <f>IFERROR(__xludf.DUMMYFUNCTION("""COMPUTED_VALUE"""),"#N/A")</f>
        <v>#N/A</v>
      </c>
      <c r="K12703" s="1" t="str">
        <f>IFERROR(__xludf.DUMMYFUNCTION("""COMPUTED_VALUE"""),"#N/A")</f>
        <v>#N/A</v>
      </c>
      <c r="L12703" s="1" t="str">
        <f>IFERROR(__xludf.DUMMYFUNCTION("""COMPUTED_VALUE"""),"#N/A")</f>
        <v>#N/A</v>
      </c>
    </row>
    <row r="12704">
      <c r="A12704" s="1" t="str">
        <f>IFERROR(__xludf.DUMMYFUNCTION("""COMPUTED_VALUE"""),"#VALUE!")</f>
        <v>#VALUE!</v>
      </c>
      <c r="B12704" s="4"/>
      <c r="C12704" s="1" t="str">
        <f>IFERROR(__xludf.DUMMYFUNCTION("""COMPUTED_VALUE"""),"#N/A")</f>
        <v>#N/A</v>
      </c>
      <c r="D12704" s="1"/>
      <c r="E12704" s="1"/>
      <c r="F12704" s="1"/>
      <c r="G12704" s="1"/>
      <c r="H12704" s="2">
        <f>IFERROR(__xludf.DUMMYFUNCTION("""COMPUTED_VALUE"""),0.0)</f>
        <v>0</v>
      </c>
      <c r="I12704" s="5"/>
      <c r="J12704" s="1" t="str">
        <f>IFERROR(__xludf.DUMMYFUNCTION("""COMPUTED_VALUE"""),"#N/A")</f>
        <v>#N/A</v>
      </c>
      <c r="K12704" s="1" t="str">
        <f>IFERROR(__xludf.DUMMYFUNCTION("""COMPUTED_VALUE"""),"#N/A")</f>
        <v>#N/A</v>
      </c>
      <c r="L12704" s="1" t="str">
        <f>IFERROR(__xludf.DUMMYFUNCTION("""COMPUTED_VALUE"""),"#N/A")</f>
        <v>#N/A</v>
      </c>
    </row>
    <row r="12705">
      <c r="A12705" s="1" t="str">
        <f>IFERROR(__xludf.DUMMYFUNCTION("""COMPUTED_VALUE"""),"#VALUE!")</f>
        <v>#VALUE!</v>
      </c>
      <c r="B12705" s="4"/>
      <c r="C12705" s="1" t="str">
        <f>IFERROR(__xludf.DUMMYFUNCTION("""COMPUTED_VALUE"""),"#N/A")</f>
        <v>#N/A</v>
      </c>
      <c r="D12705" s="1"/>
      <c r="E12705" s="1"/>
      <c r="F12705" s="1"/>
      <c r="G12705" s="1"/>
      <c r="H12705" s="2">
        <f>IFERROR(__xludf.DUMMYFUNCTION("""COMPUTED_VALUE"""),0.0)</f>
        <v>0</v>
      </c>
      <c r="I12705" s="5"/>
      <c r="J12705" s="1" t="str">
        <f>IFERROR(__xludf.DUMMYFUNCTION("""COMPUTED_VALUE"""),"#N/A")</f>
        <v>#N/A</v>
      </c>
      <c r="K12705" s="1" t="str">
        <f>IFERROR(__xludf.DUMMYFUNCTION("""COMPUTED_VALUE"""),"#N/A")</f>
        <v>#N/A</v>
      </c>
      <c r="L12705" s="1" t="str">
        <f>IFERROR(__xludf.DUMMYFUNCTION("""COMPUTED_VALUE"""),"#N/A")</f>
        <v>#N/A</v>
      </c>
    </row>
    <row r="12706">
      <c r="A12706" s="1" t="str">
        <f>IFERROR(__xludf.DUMMYFUNCTION("""COMPUTED_VALUE"""),"#VALUE!")</f>
        <v>#VALUE!</v>
      </c>
      <c r="B12706" s="4"/>
      <c r="C12706" s="1" t="str">
        <f>IFERROR(__xludf.DUMMYFUNCTION("""COMPUTED_VALUE"""),"#N/A")</f>
        <v>#N/A</v>
      </c>
      <c r="D12706" s="1"/>
      <c r="E12706" s="1"/>
      <c r="F12706" s="1"/>
      <c r="G12706" s="1"/>
      <c r="H12706" s="2">
        <f>IFERROR(__xludf.DUMMYFUNCTION("""COMPUTED_VALUE"""),0.0)</f>
        <v>0</v>
      </c>
      <c r="I12706" s="5"/>
      <c r="J12706" s="1" t="str">
        <f>IFERROR(__xludf.DUMMYFUNCTION("""COMPUTED_VALUE"""),"#N/A")</f>
        <v>#N/A</v>
      </c>
      <c r="K12706" s="1" t="str">
        <f>IFERROR(__xludf.DUMMYFUNCTION("""COMPUTED_VALUE"""),"#N/A")</f>
        <v>#N/A</v>
      </c>
      <c r="L12706" s="1" t="str">
        <f>IFERROR(__xludf.DUMMYFUNCTION("""COMPUTED_VALUE"""),"#N/A")</f>
        <v>#N/A</v>
      </c>
    </row>
    <row r="12707">
      <c r="A12707" s="1" t="str">
        <f>IFERROR(__xludf.DUMMYFUNCTION("""COMPUTED_VALUE"""),"#VALUE!")</f>
        <v>#VALUE!</v>
      </c>
      <c r="B12707" s="4"/>
      <c r="C12707" s="1" t="str">
        <f>IFERROR(__xludf.DUMMYFUNCTION("""COMPUTED_VALUE"""),"#N/A")</f>
        <v>#N/A</v>
      </c>
      <c r="D12707" s="1"/>
      <c r="E12707" s="1"/>
      <c r="F12707" s="1"/>
      <c r="G12707" s="1"/>
      <c r="H12707" s="2">
        <f>IFERROR(__xludf.DUMMYFUNCTION("""COMPUTED_VALUE"""),0.0)</f>
        <v>0</v>
      </c>
      <c r="I12707" s="5"/>
      <c r="J12707" s="1" t="str">
        <f>IFERROR(__xludf.DUMMYFUNCTION("""COMPUTED_VALUE"""),"#N/A")</f>
        <v>#N/A</v>
      </c>
      <c r="K12707" s="1" t="str">
        <f>IFERROR(__xludf.DUMMYFUNCTION("""COMPUTED_VALUE"""),"#N/A")</f>
        <v>#N/A</v>
      </c>
      <c r="L12707" s="1" t="str">
        <f>IFERROR(__xludf.DUMMYFUNCTION("""COMPUTED_VALUE"""),"#N/A")</f>
        <v>#N/A</v>
      </c>
    </row>
    <row r="12708">
      <c r="A12708" s="1" t="str">
        <f>IFERROR(__xludf.DUMMYFUNCTION("""COMPUTED_VALUE"""),"#VALUE!")</f>
        <v>#VALUE!</v>
      </c>
      <c r="B12708" s="4"/>
      <c r="C12708" s="1" t="str">
        <f>IFERROR(__xludf.DUMMYFUNCTION("""COMPUTED_VALUE"""),"#N/A")</f>
        <v>#N/A</v>
      </c>
      <c r="D12708" s="1"/>
      <c r="E12708" s="1"/>
      <c r="F12708" s="1"/>
      <c r="G12708" s="1"/>
      <c r="H12708" s="2">
        <f>IFERROR(__xludf.DUMMYFUNCTION("""COMPUTED_VALUE"""),0.0)</f>
        <v>0</v>
      </c>
      <c r="I12708" s="5"/>
      <c r="J12708" s="1" t="str">
        <f>IFERROR(__xludf.DUMMYFUNCTION("""COMPUTED_VALUE"""),"#N/A")</f>
        <v>#N/A</v>
      </c>
      <c r="K12708" s="1" t="str">
        <f>IFERROR(__xludf.DUMMYFUNCTION("""COMPUTED_VALUE"""),"#N/A")</f>
        <v>#N/A</v>
      </c>
      <c r="L12708" s="1" t="str">
        <f>IFERROR(__xludf.DUMMYFUNCTION("""COMPUTED_VALUE"""),"#N/A")</f>
        <v>#N/A</v>
      </c>
    </row>
    <row r="12709">
      <c r="A12709" s="1" t="str">
        <f>IFERROR(__xludf.DUMMYFUNCTION("""COMPUTED_VALUE"""),"#VALUE!")</f>
        <v>#VALUE!</v>
      </c>
      <c r="B12709" s="4"/>
      <c r="C12709" s="1" t="str">
        <f>IFERROR(__xludf.DUMMYFUNCTION("""COMPUTED_VALUE"""),"#N/A")</f>
        <v>#N/A</v>
      </c>
      <c r="D12709" s="1"/>
      <c r="E12709" s="1"/>
      <c r="F12709" s="1"/>
      <c r="G12709" s="1"/>
      <c r="H12709" s="2">
        <f>IFERROR(__xludf.DUMMYFUNCTION("""COMPUTED_VALUE"""),0.0)</f>
        <v>0</v>
      </c>
      <c r="I12709" s="5"/>
      <c r="J12709" s="1" t="str">
        <f>IFERROR(__xludf.DUMMYFUNCTION("""COMPUTED_VALUE"""),"#N/A")</f>
        <v>#N/A</v>
      </c>
      <c r="K12709" s="1" t="str">
        <f>IFERROR(__xludf.DUMMYFUNCTION("""COMPUTED_VALUE"""),"#N/A")</f>
        <v>#N/A</v>
      </c>
      <c r="L12709" s="1" t="str">
        <f>IFERROR(__xludf.DUMMYFUNCTION("""COMPUTED_VALUE"""),"#N/A")</f>
        <v>#N/A</v>
      </c>
    </row>
    <row r="12710">
      <c r="A12710" s="1" t="str">
        <f>IFERROR(__xludf.DUMMYFUNCTION("""COMPUTED_VALUE"""),"#VALUE!")</f>
        <v>#VALUE!</v>
      </c>
      <c r="B12710" s="4"/>
      <c r="C12710" s="1" t="str">
        <f>IFERROR(__xludf.DUMMYFUNCTION("""COMPUTED_VALUE"""),"#N/A")</f>
        <v>#N/A</v>
      </c>
      <c r="D12710" s="1"/>
      <c r="E12710" s="1"/>
      <c r="F12710" s="1"/>
      <c r="G12710" s="1"/>
      <c r="H12710" s="2">
        <f>IFERROR(__xludf.DUMMYFUNCTION("""COMPUTED_VALUE"""),0.0)</f>
        <v>0</v>
      </c>
      <c r="I12710" s="5"/>
      <c r="J12710" s="1" t="str">
        <f>IFERROR(__xludf.DUMMYFUNCTION("""COMPUTED_VALUE"""),"#N/A")</f>
        <v>#N/A</v>
      </c>
      <c r="K12710" s="1" t="str">
        <f>IFERROR(__xludf.DUMMYFUNCTION("""COMPUTED_VALUE"""),"#N/A")</f>
        <v>#N/A</v>
      </c>
      <c r="L12710" s="1" t="str">
        <f>IFERROR(__xludf.DUMMYFUNCTION("""COMPUTED_VALUE"""),"#N/A")</f>
        <v>#N/A</v>
      </c>
    </row>
    <row r="12711">
      <c r="A12711" s="1" t="str">
        <f>IFERROR(__xludf.DUMMYFUNCTION("""COMPUTED_VALUE"""),"#VALUE!")</f>
        <v>#VALUE!</v>
      </c>
      <c r="B12711" s="4"/>
      <c r="C12711" s="1" t="str">
        <f>IFERROR(__xludf.DUMMYFUNCTION("""COMPUTED_VALUE"""),"#N/A")</f>
        <v>#N/A</v>
      </c>
      <c r="D12711" s="1"/>
      <c r="E12711" s="1"/>
      <c r="F12711" s="1"/>
      <c r="G12711" s="1"/>
      <c r="H12711" s="2">
        <f>IFERROR(__xludf.DUMMYFUNCTION("""COMPUTED_VALUE"""),0.0)</f>
        <v>0</v>
      </c>
      <c r="I12711" s="5"/>
      <c r="J12711" s="1" t="str">
        <f>IFERROR(__xludf.DUMMYFUNCTION("""COMPUTED_VALUE"""),"#N/A")</f>
        <v>#N/A</v>
      </c>
      <c r="K12711" s="1" t="str">
        <f>IFERROR(__xludf.DUMMYFUNCTION("""COMPUTED_VALUE"""),"#N/A")</f>
        <v>#N/A</v>
      </c>
      <c r="L12711" s="1" t="str">
        <f>IFERROR(__xludf.DUMMYFUNCTION("""COMPUTED_VALUE"""),"#N/A")</f>
        <v>#N/A</v>
      </c>
    </row>
    <row r="12712">
      <c r="A12712" s="1" t="str">
        <f>IFERROR(__xludf.DUMMYFUNCTION("""COMPUTED_VALUE"""),"#VALUE!")</f>
        <v>#VALUE!</v>
      </c>
      <c r="B12712" s="4"/>
      <c r="C12712" s="1" t="str">
        <f>IFERROR(__xludf.DUMMYFUNCTION("""COMPUTED_VALUE"""),"#N/A")</f>
        <v>#N/A</v>
      </c>
      <c r="D12712" s="1"/>
      <c r="E12712" s="1"/>
      <c r="F12712" s="1"/>
      <c r="G12712" s="1"/>
      <c r="H12712" s="2">
        <f>IFERROR(__xludf.DUMMYFUNCTION("""COMPUTED_VALUE"""),0.0)</f>
        <v>0</v>
      </c>
      <c r="I12712" s="5"/>
      <c r="J12712" s="1" t="str">
        <f>IFERROR(__xludf.DUMMYFUNCTION("""COMPUTED_VALUE"""),"#N/A")</f>
        <v>#N/A</v>
      </c>
      <c r="K12712" s="1" t="str">
        <f>IFERROR(__xludf.DUMMYFUNCTION("""COMPUTED_VALUE"""),"#N/A")</f>
        <v>#N/A</v>
      </c>
      <c r="L12712" s="1" t="str">
        <f>IFERROR(__xludf.DUMMYFUNCTION("""COMPUTED_VALUE"""),"#N/A")</f>
        <v>#N/A</v>
      </c>
    </row>
    <row r="12713">
      <c r="A12713" s="1" t="str">
        <f>IFERROR(__xludf.DUMMYFUNCTION("""COMPUTED_VALUE"""),"#VALUE!")</f>
        <v>#VALUE!</v>
      </c>
      <c r="B12713" s="4"/>
      <c r="C12713" s="1" t="str">
        <f>IFERROR(__xludf.DUMMYFUNCTION("""COMPUTED_VALUE"""),"#N/A")</f>
        <v>#N/A</v>
      </c>
      <c r="D12713" s="1"/>
      <c r="E12713" s="1"/>
      <c r="F12713" s="1"/>
      <c r="G12713" s="1"/>
      <c r="H12713" s="2">
        <f>IFERROR(__xludf.DUMMYFUNCTION("""COMPUTED_VALUE"""),0.0)</f>
        <v>0</v>
      </c>
      <c r="I12713" s="5"/>
      <c r="J12713" s="1" t="str">
        <f>IFERROR(__xludf.DUMMYFUNCTION("""COMPUTED_VALUE"""),"#N/A")</f>
        <v>#N/A</v>
      </c>
      <c r="K12713" s="1" t="str">
        <f>IFERROR(__xludf.DUMMYFUNCTION("""COMPUTED_VALUE"""),"#N/A")</f>
        <v>#N/A</v>
      </c>
      <c r="L12713" s="1" t="str">
        <f>IFERROR(__xludf.DUMMYFUNCTION("""COMPUTED_VALUE"""),"#N/A")</f>
        <v>#N/A</v>
      </c>
    </row>
    <row r="12714">
      <c r="A12714" s="1" t="str">
        <f>IFERROR(__xludf.DUMMYFUNCTION("""COMPUTED_VALUE"""),"#VALUE!")</f>
        <v>#VALUE!</v>
      </c>
      <c r="B12714" s="4"/>
      <c r="C12714" s="1" t="str">
        <f>IFERROR(__xludf.DUMMYFUNCTION("""COMPUTED_VALUE"""),"#N/A")</f>
        <v>#N/A</v>
      </c>
      <c r="D12714" s="1"/>
      <c r="E12714" s="1"/>
      <c r="F12714" s="1"/>
      <c r="G12714" s="1"/>
      <c r="H12714" s="2">
        <f>IFERROR(__xludf.DUMMYFUNCTION("""COMPUTED_VALUE"""),0.0)</f>
        <v>0</v>
      </c>
      <c r="I12714" s="5"/>
      <c r="J12714" s="1" t="str">
        <f>IFERROR(__xludf.DUMMYFUNCTION("""COMPUTED_VALUE"""),"#N/A")</f>
        <v>#N/A</v>
      </c>
      <c r="K12714" s="1" t="str">
        <f>IFERROR(__xludf.DUMMYFUNCTION("""COMPUTED_VALUE"""),"#N/A")</f>
        <v>#N/A</v>
      </c>
      <c r="L12714" s="1" t="str">
        <f>IFERROR(__xludf.DUMMYFUNCTION("""COMPUTED_VALUE"""),"#N/A")</f>
        <v>#N/A</v>
      </c>
    </row>
    <row r="12715">
      <c r="A12715" s="1" t="str">
        <f>IFERROR(__xludf.DUMMYFUNCTION("""COMPUTED_VALUE"""),"#VALUE!")</f>
        <v>#VALUE!</v>
      </c>
      <c r="B12715" s="4"/>
      <c r="C12715" s="1" t="str">
        <f>IFERROR(__xludf.DUMMYFUNCTION("""COMPUTED_VALUE"""),"#N/A")</f>
        <v>#N/A</v>
      </c>
      <c r="D12715" s="1"/>
      <c r="E12715" s="1"/>
      <c r="F12715" s="1"/>
      <c r="G12715" s="1"/>
      <c r="H12715" s="2">
        <f>IFERROR(__xludf.DUMMYFUNCTION("""COMPUTED_VALUE"""),0.0)</f>
        <v>0</v>
      </c>
      <c r="I12715" s="5"/>
      <c r="J12715" s="1" t="str">
        <f>IFERROR(__xludf.DUMMYFUNCTION("""COMPUTED_VALUE"""),"#N/A")</f>
        <v>#N/A</v>
      </c>
      <c r="K12715" s="1" t="str">
        <f>IFERROR(__xludf.DUMMYFUNCTION("""COMPUTED_VALUE"""),"#N/A")</f>
        <v>#N/A</v>
      </c>
      <c r="L12715" s="1" t="str">
        <f>IFERROR(__xludf.DUMMYFUNCTION("""COMPUTED_VALUE"""),"#N/A")</f>
        <v>#N/A</v>
      </c>
    </row>
    <row r="12716">
      <c r="A12716" s="1" t="str">
        <f>IFERROR(__xludf.DUMMYFUNCTION("""COMPUTED_VALUE"""),"#VALUE!")</f>
        <v>#VALUE!</v>
      </c>
      <c r="B12716" s="4"/>
      <c r="C12716" s="1" t="str">
        <f>IFERROR(__xludf.DUMMYFUNCTION("""COMPUTED_VALUE"""),"#N/A")</f>
        <v>#N/A</v>
      </c>
      <c r="D12716" s="1"/>
      <c r="E12716" s="1"/>
      <c r="F12716" s="1"/>
      <c r="G12716" s="1"/>
      <c r="H12716" s="2">
        <f>IFERROR(__xludf.DUMMYFUNCTION("""COMPUTED_VALUE"""),0.0)</f>
        <v>0</v>
      </c>
      <c r="I12716" s="5"/>
      <c r="J12716" s="1" t="str">
        <f>IFERROR(__xludf.DUMMYFUNCTION("""COMPUTED_VALUE"""),"#N/A")</f>
        <v>#N/A</v>
      </c>
      <c r="K12716" s="1" t="str">
        <f>IFERROR(__xludf.DUMMYFUNCTION("""COMPUTED_VALUE"""),"#N/A")</f>
        <v>#N/A</v>
      </c>
      <c r="L12716" s="1" t="str">
        <f>IFERROR(__xludf.DUMMYFUNCTION("""COMPUTED_VALUE"""),"#N/A")</f>
        <v>#N/A</v>
      </c>
    </row>
    <row r="12717">
      <c r="A12717" s="1" t="str">
        <f>IFERROR(__xludf.DUMMYFUNCTION("""COMPUTED_VALUE"""),"#VALUE!")</f>
        <v>#VALUE!</v>
      </c>
      <c r="B12717" s="4"/>
      <c r="C12717" s="1" t="str">
        <f>IFERROR(__xludf.DUMMYFUNCTION("""COMPUTED_VALUE"""),"#N/A")</f>
        <v>#N/A</v>
      </c>
      <c r="D12717" s="1"/>
      <c r="E12717" s="1"/>
      <c r="F12717" s="1"/>
      <c r="G12717" s="1"/>
      <c r="H12717" s="2">
        <f>IFERROR(__xludf.DUMMYFUNCTION("""COMPUTED_VALUE"""),0.0)</f>
        <v>0</v>
      </c>
      <c r="I12717" s="5"/>
      <c r="J12717" s="1" t="str">
        <f>IFERROR(__xludf.DUMMYFUNCTION("""COMPUTED_VALUE"""),"#N/A")</f>
        <v>#N/A</v>
      </c>
      <c r="K12717" s="1" t="str">
        <f>IFERROR(__xludf.DUMMYFUNCTION("""COMPUTED_VALUE"""),"#N/A")</f>
        <v>#N/A</v>
      </c>
      <c r="L12717" s="1" t="str">
        <f>IFERROR(__xludf.DUMMYFUNCTION("""COMPUTED_VALUE"""),"#N/A")</f>
        <v>#N/A</v>
      </c>
    </row>
    <row r="12718">
      <c r="A12718" s="1" t="str">
        <f>IFERROR(__xludf.DUMMYFUNCTION("""COMPUTED_VALUE"""),"#VALUE!")</f>
        <v>#VALUE!</v>
      </c>
      <c r="B12718" s="4"/>
      <c r="C12718" s="1" t="str">
        <f>IFERROR(__xludf.DUMMYFUNCTION("""COMPUTED_VALUE"""),"#N/A")</f>
        <v>#N/A</v>
      </c>
      <c r="D12718" s="1"/>
      <c r="E12718" s="1"/>
      <c r="F12718" s="1"/>
      <c r="G12718" s="1"/>
      <c r="H12718" s="2">
        <f>IFERROR(__xludf.DUMMYFUNCTION("""COMPUTED_VALUE"""),0.0)</f>
        <v>0</v>
      </c>
      <c r="I12718" s="5"/>
      <c r="J12718" s="1" t="str">
        <f>IFERROR(__xludf.DUMMYFUNCTION("""COMPUTED_VALUE"""),"#N/A")</f>
        <v>#N/A</v>
      </c>
      <c r="K12718" s="1" t="str">
        <f>IFERROR(__xludf.DUMMYFUNCTION("""COMPUTED_VALUE"""),"#N/A")</f>
        <v>#N/A</v>
      </c>
      <c r="L12718" s="1" t="str">
        <f>IFERROR(__xludf.DUMMYFUNCTION("""COMPUTED_VALUE"""),"#N/A")</f>
        <v>#N/A</v>
      </c>
    </row>
    <row r="12719">
      <c r="A12719" s="1" t="str">
        <f>IFERROR(__xludf.DUMMYFUNCTION("""COMPUTED_VALUE"""),"#VALUE!")</f>
        <v>#VALUE!</v>
      </c>
      <c r="B12719" s="4"/>
      <c r="C12719" s="1" t="str">
        <f>IFERROR(__xludf.DUMMYFUNCTION("""COMPUTED_VALUE"""),"#N/A")</f>
        <v>#N/A</v>
      </c>
      <c r="D12719" s="1"/>
      <c r="E12719" s="1"/>
      <c r="F12719" s="1"/>
      <c r="G12719" s="1"/>
      <c r="H12719" s="2">
        <f>IFERROR(__xludf.DUMMYFUNCTION("""COMPUTED_VALUE"""),0.0)</f>
        <v>0</v>
      </c>
      <c r="I12719" s="5"/>
      <c r="J12719" s="1" t="str">
        <f>IFERROR(__xludf.DUMMYFUNCTION("""COMPUTED_VALUE"""),"#N/A")</f>
        <v>#N/A</v>
      </c>
      <c r="K12719" s="1" t="str">
        <f>IFERROR(__xludf.DUMMYFUNCTION("""COMPUTED_VALUE"""),"#N/A")</f>
        <v>#N/A</v>
      </c>
      <c r="L12719" s="1" t="str">
        <f>IFERROR(__xludf.DUMMYFUNCTION("""COMPUTED_VALUE"""),"#N/A")</f>
        <v>#N/A</v>
      </c>
    </row>
    <row r="12720">
      <c r="A12720" s="1" t="str">
        <f>IFERROR(__xludf.DUMMYFUNCTION("""COMPUTED_VALUE"""),"#VALUE!")</f>
        <v>#VALUE!</v>
      </c>
      <c r="B12720" s="4"/>
      <c r="C12720" s="1" t="str">
        <f>IFERROR(__xludf.DUMMYFUNCTION("""COMPUTED_VALUE"""),"#N/A")</f>
        <v>#N/A</v>
      </c>
      <c r="D12720" s="1"/>
      <c r="E12720" s="1"/>
      <c r="F12720" s="1"/>
      <c r="G12720" s="1"/>
      <c r="H12720" s="2">
        <f>IFERROR(__xludf.DUMMYFUNCTION("""COMPUTED_VALUE"""),0.0)</f>
        <v>0</v>
      </c>
      <c r="I12720" s="5"/>
      <c r="J12720" s="1" t="str">
        <f>IFERROR(__xludf.DUMMYFUNCTION("""COMPUTED_VALUE"""),"#N/A")</f>
        <v>#N/A</v>
      </c>
      <c r="K12720" s="1" t="str">
        <f>IFERROR(__xludf.DUMMYFUNCTION("""COMPUTED_VALUE"""),"#N/A")</f>
        <v>#N/A</v>
      </c>
      <c r="L12720" s="1" t="str">
        <f>IFERROR(__xludf.DUMMYFUNCTION("""COMPUTED_VALUE"""),"#N/A")</f>
        <v>#N/A</v>
      </c>
    </row>
    <row r="12721">
      <c r="A12721" s="1" t="str">
        <f>IFERROR(__xludf.DUMMYFUNCTION("""COMPUTED_VALUE"""),"#VALUE!")</f>
        <v>#VALUE!</v>
      </c>
      <c r="B12721" s="4"/>
      <c r="C12721" s="1" t="str">
        <f>IFERROR(__xludf.DUMMYFUNCTION("""COMPUTED_VALUE"""),"#N/A")</f>
        <v>#N/A</v>
      </c>
      <c r="D12721" s="1"/>
      <c r="E12721" s="1"/>
      <c r="F12721" s="1"/>
      <c r="G12721" s="1"/>
      <c r="H12721" s="2">
        <f>IFERROR(__xludf.DUMMYFUNCTION("""COMPUTED_VALUE"""),0.0)</f>
        <v>0</v>
      </c>
      <c r="I12721" s="5"/>
      <c r="J12721" s="1" t="str">
        <f>IFERROR(__xludf.DUMMYFUNCTION("""COMPUTED_VALUE"""),"#N/A")</f>
        <v>#N/A</v>
      </c>
      <c r="K12721" s="1" t="str">
        <f>IFERROR(__xludf.DUMMYFUNCTION("""COMPUTED_VALUE"""),"#N/A")</f>
        <v>#N/A</v>
      </c>
      <c r="L12721" s="1" t="str">
        <f>IFERROR(__xludf.DUMMYFUNCTION("""COMPUTED_VALUE"""),"#N/A")</f>
        <v>#N/A</v>
      </c>
    </row>
    <row r="12722">
      <c r="A12722" s="1" t="str">
        <f>IFERROR(__xludf.DUMMYFUNCTION("""COMPUTED_VALUE"""),"#VALUE!")</f>
        <v>#VALUE!</v>
      </c>
      <c r="B12722" s="4"/>
      <c r="C12722" s="1" t="str">
        <f>IFERROR(__xludf.DUMMYFUNCTION("""COMPUTED_VALUE"""),"#N/A")</f>
        <v>#N/A</v>
      </c>
      <c r="D12722" s="1"/>
      <c r="E12722" s="1"/>
      <c r="F12722" s="1"/>
      <c r="G12722" s="1"/>
      <c r="H12722" s="2">
        <f>IFERROR(__xludf.DUMMYFUNCTION("""COMPUTED_VALUE"""),0.0)</f>
        <v>0</v>
      </c>
      <c r="I12722" s="5"/>
      <c r="J12722" s="1" t="str">
        <f>IFERROR(__xludf.DUMMYFUNCTION("""COMPUTED_VALUE"""),"#N/A")</f>
        <v>#N/A</v>
      </c>
      <c r="K12722" s="1" t="str">
        <f>IFERROR(__xludf.DUMMYFUNCTION("""COMPUTED_VALUE"""),"#N/A")</f>
        <v>#N/A</v>
      </c>
      <c r="L12722" s="1" t="str">
        <f>IFERROR(__xludf.DUMMYFUNCTION("""COMPUTED_VALUE"""),"#N/A")</f>
        <v>#N/A</v>
      </c>
    </row>
    <row r="12723">
      <c r="A12723" s="1" t="str">
        <f>IFERROR(__xludf.DUMMYFUNCTION("""COMPUTED_VALUE"""),"#VALUE!")</f>
        <v>#VALUE!</v>
      </c>
      <c r="B12723" s="4"/>
      <c r="C12723" s="1" t="str">
        <f>IFERROR(__xludf.DUMMYFUNCTION("""COMPUTED_VALUE"""),"#N/A")</f>
        <v>#N/A</v>
      </c>
      <c r="D12723" s="1"/>
      <c r="E12723" s="1"/>
      <c r="F12723" s="1"/>
      <c r="G12723" s="1"/>
      <c r="H12723" s="2">
        <f>IFERROR(__xludf.DUMMYFUNCTION("""COMPUTED_VALUE"""),0.0)</f>
        <v>0</v>
      </c>
      <c r="I12723" s="5"/>
      <c r="J12723" s="1" t="str">
        <f>IFERROR(__xludf.DUMMYFUNCTION("""COMPUTED_VALUE"""),"#N/A")</f>
        <v>#N/A</v>
      </c>
      <c r="K12723" s="1" t="str">
        <f>IFERROR(__xludf.DUMMYFUNCTION("""COMPUTED_VALUE"""),"#N/A")</f>
        <v>#N/A</v>
      </c>
      <c r="L12723" s="1" t="str">
        <f>IFERROR(__xludf.DUMMYFUNCTION("""COMPUTED_VALUE"""),"#N/A")</f>
        <v>#N/A</v>
      </c>
    </row>
    <row r="12724">
      <c r="A12724" s="1" t="str">
        <f>IFERROR(__xludf.DUMMYFUNCTION("""COMPUTED_VALUE"""),"#VALUE!")</f>
        <v>#VALUE!</v>
      </c>
      <c r="B12724" s="4"/>
      <c r="C12724" s="1" t="str">
        <f>IFERROR(__xludf.DUMMYFUNCTION("""COMPUTED_VALUE"""),"#N/A")</f>
        <v>#N/A</v>
      </c>
      <c r="D12724" s="1"/>
      <c r="E12724" s="1"/>
      <c r="F12724" s="1"/>
      <c r="G12724" s="1"/>
      <c r="H12724" s="2">
        <f>IFERROR(__xludf.DUMMYFUNCTION("""COMPUTED_VALUE"""),0.0)</f>
        <v>0</v>
      </c>
      <c r="I12724" s="5"/>
      <c r="J12724" s="1" t="str">
        <f>IFERROR(__xludf.DUMMYFUNCTION("""COMPUTED_VALUE"""),"#N/A")</f>
        <v>#N/A</v>
      </c>
      <c r="K12724" s="1" t="str">
        <f>IFERROR(__xludf.DUMMYFUNCTION("""COMPUTED_VALUE"""),"#N/A")</f>
        <v>#N/A</v>
      </c>
      <c r="L12724" s="1" t="str">
        <f>IFERROR(__xludf.DUMMYFUNCTION("""COMPUTED_VALUE"""),"#N/A")</f>
        <v>#N/A</v>
      </c>
    </row>
    <row r="12725">
      <c r="A12725" s="1" t="str">
        <f>IFERROR(__xludf.DUMMYFUNCTION("""COMPUTED_VALUE"""),"#VALUE!")</f>
        <v>#VALUE!</v>
      </c>
      <c r="B12725" s="4"/>
      <c r="C12725" s="1" t="str">
        <f>IFERROR(__xludf.DUMMYFUNCTION("""COMPUTED_VALUE"""),"#N/A")</f>
        <v>#N/A</v>
      </c>
      <c r="D12725" s="1"/>
      <c r="E12725" s="1"/>
      <c r="F12725" s="1"/>
      <c r="G12725" s="1"/>
      <c r="H12725" s="2">
        <f>IFERROR(__xludf.DUMMYFUNCTION("""COMPUTED_VALUE"""),0.0)</f>
        <v>0</v>
      </c>
      <c r="I12725" s="5"/>
      <c r="J12725" s="1" t="str">
        <f>IFERROR(__xludf.DUMMYFUNCTION("""COMPUTED_VALUE"""),"#N/A")</f>
        <v>#N/A</v>
      </c>
      <c r="K12725" s="1" t="str">
        <f>IFERROR(__xludf.DUMMYFUNCTION("""COMPUTED_VALUE"""),"#N/A")</f>
        <v>#N/A</v>
      </c>
      <c r="L12725" s="1" t="str">
        <f>IFERROR(__xludf.DUMMYFUNCTION("""COMPUTED_VALUE"""),"#N/A")</f>
        <v>#N/A</v>
      </c>
    </row>
    <row r="12726">
      <c r="A12726" s="1" t="str">
        <f>IFERROR(__xludf.DUMMYFUNCTION("""COMPUTED_VALUE"""),"#VALUE!")</f>
        <v>#VALUE!</v>
      </c>
      <c r="B12726" s="4"/>
      <c r="C12726" s="1" t="str">
        <f>IFERROR(__xludf.DUMMYFUNCTION("""COMPUTED_VALUE"""),"#N/A")</f>
        <v>#N/A</v>
      </c>
      <c r="D12726" s="1"/>
      <c r="E12726" s="1"/>
      <c r="F12726" s="1"/>
      <c r="G12726" s="1"/>
      <c r="H12726" s="2">
        <f>IFERROR(__xludf.DUMMYFUNCTION("""COMPUTED_VALUE"""),0.0)</f>
        <v>0</v>
      </c>
      <c r="I12726" s="5"/>
      <c r="J12726" s="1" t="str">
        <f>IFERROR(__xludf.DUMMYFUNCTION("""COMPUTED_VALUE"""),"#N/A")</f>
        <v>#N/A</v>
      </c>
      <c r="K12726" s="1" t="str">
        <f>IFERROR(__xludf.DUMMYFUNCTION("""COMPUTED_VALUE"""),"#N/A")</f>
        <v>#N/A</v>
      </c>
      <c r="L12726" s="1" t="str">
        <f>IFERROR(__xludf.DUMMYFUNCTION("""COMPUTED_VALUE"""),"#N/A")</f>
        <v>#N/A</v>
      </c>
    </row>
    <row r="12727">
      <c r="A12727" s="1" t="str">
        <f>IFERROR(__xludf.DUMMYFUNCTION("""COMPUTED_VALUE"""),"#VALUE!")</f>
        <v>#VALUE!</v>
      </c>
      <c r="B12727" s="4"/>
      <c r="C12727" s="1" t="str">
        <f>IFERROR(__xludf.DUMMYFUNCTION("""COMPUTED_VALUE"""),"#N/A")</f>
        <v>#N/A</v>
      </c>
      <c r="D12727" s="1"/>
      <c r="E12727" s="1"/>
      <c r="F12727" s="1"/>
      <c r="G12727" s="1"/>
      <c r="H12727" s="2">
        <f>IFERROR(__xludf.DUMMYFUNCTION("""COMPUTED_VALUE"""),0.0)</f>
        <v>0</v>
      </c>
      <c r="I12727" s="5"/>
      <c r="J12727" s="1" t="str">
        <f>IFERROR(__xludf.DUMMYFUNCTION("""COMPUTED_VALUE"""),"#N/A")</f>
        <v>#N/A</v>
      </c>
      <c r="K12727" s="1" t="str">
        <f>IFERROR(__xludf.DUMMYFUNCTION("""COMPUTED_VALUE"""),"#N/A")</f>
        <v>#N/A</v>
      </c>
      <c r="L12727" s="1" t="str">
        <f>IFERROR(__xludf.DUMMYFUNCTION("""COMPUTED_VALUE"""),"#N/A")</f>
        <v>#N/A</v>
      </c>
    </row>
    <row r="12728">
      <c r="A12728" s="1" t="str">
        <f>IFERROR(__xludf.DUMMYFUNCTION("""COMPUTED_VALUE"""),"#VALUE!")</f>
        <v>#VALUE!</v>
      </c>
      <c r="B12728" s="4"/>
      <c r="C12728" s="1" t="str">
        <f>IFERROR(__xludf.DUMMYFUNCTION("""COMPUTED_VALUE"""),"#N/A")</f>
        <v>#N/A</v>
      </c>
      <c r="D12728" s="1"/>
      <c r="E12728" s="1"/>
      <c r="F12728" s="1"/>
      <c r="G12728" s="1"/>
      <c r="H12728" s="2">
        <f>IFERROR(__xludf.DUMMYFUNCTION("""COMPUTED_VALUE"""),0.0)</f>
        <v>0</v>
      </c>
      <c r="I12728" s="5"/>
      <c r="J12728" s="1" t="str">
        <f>IFERROR(__xludf.DUMMYFUNCTION("""COMPUTED_VALUE"""),"#N/A")</f>
        <v>#N/A</v>
      </c>
      <c r="K12728" s="1" t="str">
        <f>IFERROR(__xludf.DUMMYFUNCTION("""COMPUTED_VALUE"""),"#N/A")</f>
        <v>#N/A</v>
      </c>
      <c r="L12728" s="1" t="str">
        <f>IFERROR(__xludf.DUMMYFUNCTION("""COMPUTED_VALUE"""),"#N/A")</f>
        <v>#N/A</v>
      </c>
    </row>
    <row r="12729">
      <c r="A12729" s="1" t="str">
        <f>IFERROR(__xludf.DUMMYFUNCTION("""COMPUTED_VALUE"""),"#VALUE!")</f>
        <v>#VALUE!</v>
      </c>
      <c r="B12729" s="4"/>
      <c r="C12729" s="1" t="str">
        <f>IFERROR(__xludf.DUMMYFUNCTION("""COMPUTED_VALUE"""),"#N/A")</f>
        <v>#N/A</v>
      </c>
      <c r="D12729" s="1"/>
      <c r="E12729" s="1"/>
      <c r="F12729" s="1"/>
      <c r="G12729" s="1"/>
      <c r="H12729" s="2">
        <f>IFERROR(__xludf.DUMMYFUNCTION("""COMPUTED_VALUE"""),0.0)</f>
        <v>0</v>
      </c>
      <c r="I12729" s="5"/>
      <c r="J12729" s="1" t="str">
        <f>IFERROR(__xludf.DUMMYFUNCTION("""COMPUTED_VALUE"""),"#N/A")</f>
        <v>#N/A</v>
      </c>
      <c r="K12729" s="1" t="str">
        <f>IFERROR(__xludf.DUMMYFUNCTION("""COMPUTED_VALUE"""),"#N/A")</f>
        <v>#N/A</v>
      </c>
      <c r="L12729" s="1" t="str">
        <f>IFERROR(__xludf.DUMMYFUNCTION("""COMPUTED_VALUE"""),"#N/A")</f>
        <v>#N/A</v>
      </c>
    </row>
    <row r="12730">
      <c r="A12730" s="1" t="str">
        <f>IFERROR(__xludf.DUMMYFUNCTION("""COMPUTED_VALUE"""),"#VALUE!")</f>
        <v>#VALUE!</v>
      </c>
      <c r="B12730" s="4"/>
      <c r="C12730" s="1" t="str">
        <f>IFERROR(__xludf.DUMMYFUNCTION("""COMPUTED_VALUE"""),"#N/A")</f>
        <v>#N/A</v>
      </c>
      <c r="D12730" s="1"/>
      <c r="E12730" s="1"/>
      <c r="F12730" s="1"/>
      <c r="G12730" s="1"/>
      <c r="H12730" s="2">
        <f>IFERROR(__xludf.DUMMYFUNCTION("""COMPUTED_VALUE"""),0.0)</f>
        <v>0</v>
      </c>
      <c r="I12730" s="5"/>
      <c r="J12730" s="1" t="str">
        <f>IFERROR(__xludf.DUMMYFUNCTION("""COMPUTED_VALUE"""),"#N/A")</f>
        <v>#N/A</v>
      </c>
      <c r="K12730" s="1" t="str">
        <f>IFERROR(__xludf.DUMMYFUNCTION("""COMPUTED_VALUE"""),"#N/A")</f>
        <v>#N/A</v>
      </c>
      <c r="L12730" s="1" t="str">
        <f>IFERROR(__xludf.DUMMYFUNCTION("""COMPUTED_VALUE"""),"#N/A")</f>
        <v>#N/A</v>
      </c>
    </row>
    <row r="12731">
      <c r="A12731" s="1" t="str">
        <f>IFERROR(__xludf.DUMMYFUNCTION("""COMPUTED_VALUE"""),"#VALUE!")</f>
        <v>#VALUE!</v>
      </c>
      <c r="B12731" s="4"/>
      <c r="C12731" s="1" t="str">
        <f>IFERROR(__xludf.DUMMYFUNCTION("""COMPUTED_VALUE"""),"#N/A")</f>
        <v>#N/A</v>
      </c>
      <c r="D12731" s="1"/>
      <c r="E12731" s="1"/>
      <c r="F12731" s="1"/>
      <c r="G12731" s="1"/>
      <c r="H12731" s="2">
        <f>IFERROR(__xludf.DUMMYFUNCTION("""COMPUTED_VALUE"""),0.0)</f>
        <v>0</v>
      </c>
      <c r="I12731" s="5"/>
      <c r="J12731" s="1" t="str">
        <f>IFERROR(__xludf.DUMMYFUNCTION("""COMPUTED_VALUE"""),"#N/A")</f>
        <v>#N/A</v>
      </c>
      <c r="K12731" s="1" t="str">
        <f>IFERROR(__xludf.DUMMYFUNCTION("""COMPUTED_VALUE"""),"#N/A")</f>
        <v>#N/A</v>
      </c>
      <c r="L12731" s="1" t="str">
        <f>IFERROR(__xludf.DUMMYFUNCTION("""COMPUTED_VALUE"""),"#N/A")</f>
        <v>#N/A</v>
      </c>
    </row>
    <row r="12732">
      <c r="A12732" s="1" t="str">
        <f>IFERROR(__xludf.DUMMYFUNCTION("""COMPUTED_VALUE"""),"#VALUE!")</f>
        <v>#VALUE!</v>
      </c>
      <c r="B12732" s="4"/>
      <c r="C12732" s="1" t="str">
        <f>IFERROR(__xludf.DUMMYFUNCTION("""COMPUTED_VALUE"""),"#N/A")</f>
        <v>#N/A</v>
      </c>
      <c r="D12732" s="1"/>
      <c r="E12732" s="1"/>
      <c r="F12732" s="1"/>
      <c r="G12732" s="1"/>
      <c r="H12732" s="2">
        <f>IFERROR(__xludf.DUMMYFUNCTION("""COMPUTED_VALUE"""),0.0)</f>
        <v>0</v>
      </c>
      <c r="I12732" s="5"/>
      <c r="J12732" s="1" t="str">
        <f>IFERROR(__xludf.DUMMYFUNCTION("""COMPUTED_VALUE"""),"#N/A")</f>
        <v>#N/A</v>
      </c>
      <c r="K12732" s="1" t="str">
        <f>IFERROR(__xludf.DUMMYFUNCTION("""COMPUTED_VALUE"""),"#N/A")</f>
        <v>#N/A</v>
      </c>
      <c r="L12732" s="1" t="str">
        <f>IFERROR(__xludf.DUMMYFUNCTION("""COMPUTED_VALUE"""),"#N/A")</f>
        <v>#N/A</v>
      </c>
    </row>
    <row r="12733">
      <c r="A12733" s="1" t="str">
        <f>IFERROR(__xludf.DUMMYFUNCTION("""COMPUTED_VALUE"""),"#VALUE!")</f>
        <v>#VALUE!</v>
      </c>
      <c r="B12733" s="4"/>
      <c r="C12733" s="1" t="str">
        <f>IFERROR(__xludf.DUMMYFUNCTION("""COMPUTED_VALUE"""),"#N/A")</f>
        <v>#N/A</v>
      </c>
      <c r="D12733" s="1"/>
      <c r="E12733" s="1"/>
      <c r="F12733" s="1"/>
      <c r="G12733" s="1"/>
      <c r="H12733" s="2">
        <f>IFERROR(__xludf.DUMMYFUNCTION("""COMPUTED_VALUE"""),0.0)</f>
        <v>0</v>
      </c>
      <c r="I12733" s="5"/>
      <c r="J12733" s="1" t="str">
        <f>IFERROR(__xludf.DUMMYFUNCTION("""COMPUTED_VALUE"""),"#N/A")</f>
        <v>#N/A</v>
      </c>
      <c r="K12733" s="1" t="str">
        <f>IFERROR(__xludf.DUMMYFUNCTION("""COMPUTED_VALUE"""),"#N/A")</f>
        <v>#N/A</v>
      </c>
      <c r="L12733" s="1" t="str">
        <f>IFERROR(__xludf.DUMMYFUNCTION("""COMPUTED_VALUE"""),"#N/A")</f>
        <v>#N/A</v>
      </c>
    </row>
    <row r="12734">
      <c r="A12734" s="1" t="str">
        <f>IFERROR(__xludf.DUMMYFUNCTION("""COMPUTED_VALUE"""),"#VALUE!")</f>
        <v>#VALUE!</v>
      </c>
      <c r="B12734" s="4"/>
      <c r="C12734" s="1" t="str">
        <f>IFERROR(__xludf.DUMMYFUNCTION("""COMPUTED_VALUE"""),"#N/A")</f>
        <v>#N/A</v>
      </c>
      <c r="D12734" s="1"/>
      <c r="E12734" s="1"/>
      <c r="F12734" s="1"/>
      <c r="G12734" s="1"/>
      <c r="H12734" s="2">
        <f>IFERROR(__xludf.DUMMYFUNCTION("""COMPUTED_VALUE"""),0.0)</f>
        <v>0</v>
      </c>
      <c r="I12734" s="5"/>
      <c r="J12734" s="1" t="str">
        <f>IFERROR(__xludf.DUMMYFUNCTION("""COMPUTED_VALUE"""),"#N/A")</f>
        <v>#N/A</v>
      </c>
      <c r="K12734" s="1" t="str">
        <f>IFERROR(__xludf.DUMMYFUNCTION("""COMPUTED_VALUE"""),"#N/A")</f>
        <v>#N/A</v>
      </c>
      <c r="L12734" s="1" t="str">
        <f>IFERROR(__xludf.DUMMYFUNCTION("""COMPUTED_VALUE"""),"#N/A")</f>
        <v>#N/A</v>
      </c>
    </row>
    <row r="12735">
      <c r="A12735" s="1" t="str">
        <f>IFERROR(__xludf.DUMMYFUNCTION("""COMPUTED_VALUE"""),"#VALUE!")</f>
        <v>#VALUE!</v>
      </c>
      <c r="B12735" s="4"/>
      <c r="C12735" s="1" t="str">
        <f>IFERROR(__xludf.DUMMYFUNCTION("""COMPUTED_VALUE"""),"#N/A")</f>
        <v>#N/A</v>
      </c>
      <c r="D12735" s="1"/>
      <c r="E12735" s="1"/>
      <c r="F12735" s="1"/>
      <c r="G12735" s="1"/>
      <c r="H12735" s="2">
        <f>IFERROR(__xludf.DUMMYFUNCTION("""COMPUTED_VALUE"""),0.0)</f>
        <v>0</v>
      </c>
      <c r="I12735" s="5"/>
      <c r="J12735" s="1" t="str">
        <f>IFERROR(__xludf.DUMMYFUNCTION("""COMPUTED_VALUE"""),"#N/A")</f>
        <v>#N/A</v>
      </c>
      <c r="K12735" s="1" t="str">
        <f>IFERROR(__xludf.DUMMYFUNCTION("""COMPUTED_VALUE"""),"#N/A")</f>
        <v>#N/A</v>
      </c>
      <c r="L12735" s="1" t="str">
        <f>IFERROR(__xludf.DUMMYFUNCTION("""COMPUTED_VALUE"""),"#N/A")</f>
        <v>#N/A</v>
      </c>
    </row>
    <row r="12736">
      <c r="A12736" s="1" t="str">
        <f>IFERROR(__xludf.DUMMYFUNCTION("""COMPUTED_VALUE"""),"#VALUE!")</f>
        <v>#VALUE!</v>
      </c>
      <c r="B12736" s="4"/>
      <c r="C12736" s="1" t="str">
        <f>IFERROR(__xludf.DUMMYFUNCTION("""COMPUTED_VALUE"""),"#N/A")</f>
        <v>#N/A</v>
      </c>
      <c r="D12736" s="1"/>
      <c r="E12736" s="1"/>
      <c r="F12736" s="1"/>
      <c r="G12736" s="1"/>
      <c r="H12736" s="2">
        <f>IFERROR(__xludf.DUMMYFUNCTION("""COMPUTED_VALUE"""),0.0)</f>
        <v>0</v>
      </c>
      <c r="I12736" s="5"/>
      <c r="J12736" s="1" t="str">
        <f>IFERROR(__xludf.DUMMYFUNCTION("""COMPUTED_VALUE"""),"#N/A")</f>
        <v>#N/A</v>
      </c>
      <c r="K12736" s="1" t="str">
        <f>IFERROR(__xludf.DUMMYFUNCTION("""COMPUTED_VALUE"""),"#N/A")</f>
        <v>#N/A</v>
      </c>
      <c r="L12736" s="1" t="str">
        <f>IFERROR(__xludf.DUMMYFUNCTION("""COMPUTED_VALUE"""),"#N/A")</f>
        <v>#N/A</v>
      </c>
    </row>
    <row r="12737">
      <c r="A12737" s="1" t="str">
        <f>IFERROR(__xludf.DUMMYFUNCTION("""COMPUTED_VALUE"""),"#VALUE!")</f>
        <v>#VALUE!</v>
      </c>
      <c r="B12737" s="4"/>
      <c r="C12737" s="1" t="str">
        <f>IFERROR(__xludf.DUMMYFUNCTION("""COMPUTED_VALUE"""),"#N/A")</f>
        <v>#N/A</v>
      </c>
      <c r="D12737" s="1"/>
      <c r="E12737" s="1"/>
      <c r="F12737" s="1"/>
      <c r="G12737" s="1"/>
      <c r="H12737" s="2">
        <f>IFERROR(__xludf.DUMMYFUNCTION("""COMPUTED_VALUE"""),0.0)</f>
        <v>0</v>
      </c>
      <c r="I12737" s="5"/>
      <c r="J12737" s="1" t="str">
        <f>IFERROR(__xludf.DUMMYFUNCTION("""COMPUTED_VALUE"""),"#N/A")</f>
        <v>#N/A</v>
      </c>
      <c r="K12737" s="1" t="str">
        <f>IFERROR(__xludf.DUMMYFUNCTION("""COMPUTED_VALUE"""),"#N/A")</f>
        <v>#N/A</v>
      </c>
      <c r="L12737" s="1" t="str">
        <f>IFERROR(__xludf.DUMMYFUNCTION("""COMPUTED_VALUE"""),"#N/A")</f>
        <v>#N/A</v>
      </c>
    </row>
    <row r="12738">
      <c r="A12738" s="1" t="str">
        <f>IFERROR(__xludf.DUMMYFUNCTION("""COMPUTED_VALUE"""),"#VALUE!")</f>
        <v>#VALUE!</v>
      </c>
      <c r="B12738" s="4"/>
      <c r="C12738" s="1" t="str">
        <f>IFERROR(__xludf.DUMMYFUNCTION("""COMPUTED_VALUE"""),"#N/A")</f>
        <v>#N/A</v>
      </c>
      <c r="D12738" s="1"/>
      <c r="E12738" s="1"/>
      <c r="F12738" s="1"/>
      <c r="G12738" s="1"/>
      <c r="H12738" s="2">
        <f>IFERROR(__xludf.DUMMYFUNCTION("""COMPUTED_VALUE"""),0.0)</f>
        <v>0</v>
      </c>
      <c r="I12738" s="5"/>
      <c r="J12738" s="1" t="str">
        <f>IFERROR(__xludf.DUMMYFUNCTION("""COMPUTED_VALUE"""),"#N/A")</f>
        <v>#N/A</v>
      </c>
      <c r="K12738" s="1" t="str">
        <f>IFERROR(__xludf.DUMMYFUNCTION("""COMPUTED_VALUE"""),"#N/A")</f>
        <v>#N/A</v>
      </c>
      <c r="L12738" s="1" t="str">
        <f>IFERROR(__xludf.DUMMYFUNCTION("""COMPUTED_VALUE"""),"#N/A")</f>
        <v>#N/A</v>
      </c>
    </row>
    <row r="12739">
      <c r="A12739" s="1" t="str">
        <f>IFERROR(__xludf.DUMMYFUNCTION("""COMPUTED_VALUE"""),"#VALUE!")</f>
        <v>#VALUE!</v>
      </c>
      <c r="B12739" s="4"/>
      <c r="C12739" s="1" t="str">
        <f>IFERROR(__xludf.DUMMYFUNCTION("""COMPUTED_VALUE"""),"#N/A")</f>
        <v>#N/A</v>
      </c>
      <c r="D12739" s="1"/>
      <c r="E12739" s="1"/>
      <c r="F12739" s="1"/>
      <c r="G12739" s="1"/>
      <c r="H12739" s="2">
        <f>IFERROR(__xludf.DUMMYFUNCTION("""COMPUTED_VALUE"""),0.0)</f>
        <v>0</v>
      </c>
      <c r="I12739" s="5"/>
      <c r="J12739" s="1" t="str">
        <f>IFERROR(__xludf.DUMMYFUNCTION("""COMPUTED_VALUE"""),"#N/A")</f>
        <v>#N/A</v>
      </c>
      <c r="K12739" s="1" t="str">
        <f>IFERROR(__xludf.DUMMYFUNCTION("""COMPUTED_VALUE"""),"#N/A")</f>
        <v>#N/A</v>
      </c>
      <c r="L12739" s="1" t="str">
        <f>IFERROR(__xludf.DUMMYFUNCTION("""COMPUTED_VALUE"""),"#N/A")</f>
        <v>#N/A</v>
      </c>
    </row>
    <row r="12740">
      <c r="A12740" s="1" t="str">
        <f>IFERROR(__xludf.DUMMYFUNCTION("""COMPUTED_VALUE"""),"#VALUE!")</f>
        <v>#VALUE!</v>
      </c>
      <c r="B12740" s="4"/>
      <c r="C12740" s="1" t="str">
        <f>IFERROR(__xludf.DUMMYFUNCTION("""COMPUTED_VALUE"""),"#N/A")</f>
        <v>#N/A</v>
      </c>
      <c r="D12740" s="1"/>
      <c r="E12740" s="1"/>
      <c r="F12740" s="1"/>
      <c r="G12740" s="1"/>
      <c r="H12740" s="2">
        <f>IFERROR(__xludf.DUMMYFUNCTION("""COMPUTED_VALUE"""),0.0)</f>
        <v>0</v>
      </c>
      <c r="I12740" s="5"/>
      <c r="J12740" s="1" t="str">
        <f>IFERROR(__xludf.DUMMYFUNCTION("""COMPUTED_VALUE"""),"#N/A")</f>
        <v>#N/A</v>
      </c>
      <c r="K12740" s="1" t="str">
        <f>IFERROR(__xludf.DUMMYFUNCTION("""COMPUTED_VALUE"""),"#N/A")</f>
        <v>#N/A</v>
      </c>
      <c r="L12740" s="1" t="str">
        <f>IFERROR(__xludf.DUMMYFUNCTION("""COMPUTED_VALUE"""),"#N/A")</f>
        <v>#N/A</v>
      </c>
    </row>
    <row r="12741">
      <c r="A12741" s="1" t="str">
        <f>IFERROR(__xludf.DUMMYFUNCTION("""COMPUTED_VALUE"""),"#VALUE!")</f>
        <v>#VALUE!</v>
      </c>
      <c r="B12741" s="4"/>
      <c r="C12741" s="1" t="str">
        <f>IFERROR(__xludf.DUMMYFUNCTION("""COMPUTED_VALUE"""),"#N/A")</f>
        <v>#N/A</v>
      </c>
      <c r="D12741" s="1"/>
      <c r="E12741" s="1"/>
      <c r="F12741" s="1"/>
      <c r="G12741" s="1"/>
      <c r="H12741" s="2">
        <f>IFERROR(__xludf.DUMMYFUNCTION("""COMPUTED_VALUE"""),0.0)</f>
        <v>0</v>
      </c>
      <c r="I12741" s="5"/>
      <c r="J12741" s="1" t="str">
        <f>IFERROR(__xludf.DUMMYFUNCTION("""COMPUTED_VALUE"""),"#N/A")</f>
        <v>#N/A</v>
      </c>
      <c r="K12741" s="1" t="str">
        <f>IFERROR(__xludf.DUMMYFUNCTION("""COMPUTED_VALUE"""),"#N/A")</f>
        <v>#N/A</v>
      </c>
      <c r="L12741" s="1" t="str">
        <f>IFERROR(__xludf.DUMMYFUNCTION("""COMPUTED_VALUE"""),"#N/A")</f>
        <v>#N/A</v>
      </c>
    </row>
    <row r="12742">
      <c r="A12742" s="1" t="str">
        <f>IFERROR(__xludf.DUMMYFUNCTION("""COMPUTED_VALUE"""),"#VALUE!")</f>
        <v>#VALUE!</v>
      </c>
      <c r="B12742" s="4"/>
      <c r="C12742" s="1" t="str">
        <f>IFERROR(__xludf.DUMMYFUNCTION("""COMPUTED_VALUE"""),"#N/A")</f>
        <v>#N/A</v>
      </c>
      <c r="D12742" s="1"/>
      <c r="E12742" s="1"/>
      <c r="F12742" s="1"/>
      <c r="G12742" s="1"/>
      <c r="H12742" s="2">
        <f>IFERROR(__xludf.DUMMYFUNCTION("""COMPUTED_VALUE"""),0.0)</f>
        <v>0</v>
      </c>
      <c r="I12742" s="5"/>
      <c r="J12742" s="1" t="str">
        <f>IFERROR(__xludf.DUMMYFUNCTION("""COMPUTED_VALUE"""),"#N/A")</f>
        <v>#N/A</v>
      </c>
      <c r="K12742" s="1" t="str">
        <f>IFERROR(__xludf.DUMMYFUNCTION("""COMPUTED_VALUE"""),"#N/A")</f>
        <v>#N/A</v>
      </c>
      <c r="L12742" s="1" t="str">
        <f>IFERROR(__xludf.DUMMYFUNCTION("""COMPUTED_VALUE"""),"#N/A")</f>
        <v>#N/A</v>
      </c>
    </row>
    <row r="12743">
      <c r="A12743" s="1" t="str">
        <f>IFERROR(__xludf.DUMMYFUNCTION("""COMPUTED_VALUE"""),"#VALUE!")</f>
        <v>#VALUE!</v>
      </c>
      <c r="B12743" s="4"/>
      <c r="C12743" s="1" t="str">
        <f>IFERROR(__xludf.DUMMYFUNCTION("""COMPUTED_VALUE"""),"#N/A")</f>
        <v>#N/A</v>
      </c>
      <c r="D12743" s="1"/>
      <c r="E12743" s="1"/>
      <c r="F12743" s="1"/>
      <c r="G12743" s="1"/>
      <c r="H12743" s="2">
        <f>IFERROR(__xludf.DUMMYFUNCTION("""COMPUTED_VALUE"""),0.0)</f>
        <v>0</v>
      </c>
      <c r="I12743" s="5"/>
      <c r="J12743" s="1" t="str">
        <f>IFERROR(__xludf.DUMMYFUNCTION("""COMPUTED_VALUE"""),"#N/A")</f>
        <v>#N/A</v>
      </c>
      <c r="K12743" s="1" t="str">
        <f>IFERROR(__xludf.DUMMYFUNCTION("""COMPUTED_VALUE"""),"#N/A")</f>
        <v>#N/A</v>
      </c>
      <c r="L12743" s="1" t="str">
        <f>IFERROR(__xludf.DUMMYFUNCTION("""COMPUTED_VALUE"""),"#N/A")</f>
        <v>#N/A</v>
      </c>
    </row>
    <row r="12744">
      <c r="A12744" s="1" t="str">
        <f>IFERROR(__xludf.DUMMYFUNCTION("""COMPUTED_VALUE"""),"#VALUE!")</f>
        <v>#VALUE!</v>
      </c>
      <c r="B12744" s="4"/>
      <c r="C12744" s="1" t="str">
        <f>IFERROR(__xludf.DUMMYFUNCTION("""COMPUTED_VALUE"""),"#N/A")</f>
        <v>#N/A</v>
      </c>
      <c r="D12744" s="1"/>
      <c r="E12744" s="1"/>
      <c r="F12744" s="1"/>
      <c r="G12744" s="1"/>
      <c r="H12744" s="2">
        <f>IFERROR(__xludf.DUMMYFUNCTION("""COMPUTED_VALUE"""),0.0)</f>
        <v>0</v>
      </c>
      <c r="I12744" s="5"/>
      <c r="J12744" s="1" t="str">
        <f>IFERROR(__xludf.DUMMYFUNCTION("""COMPUTED_VALUE"""),"#N/A")</f>
        <v>#N/A</v>
      </c>
      <c r="K12744" s="1" t="str">
        <f>IFERROR(__xludf.DUMMYFUNCTION("""COMPUTED_VALUE"""),"#N/A")</f>
        <v>#N/A</v>
      </c>
      <c r="L12744" s="1" t="str">
        <f>IFERROR(__xludf.DUMMYFUNCTION("""COMPUTED_VALUE"""),"#N/A")</f>
        <v>#N/A</v>
      </c>
    </row>
    <row r="12745">
      <c r="A12745" s="1" t="str">
        <f>IFERROR(__xludf.DUMMYFUNCTION("""COMPUTED_VALUE"""),"#VALUE!")</f>
        <v>#VALUE!</v>
      </c>
      <c r="B12745" s="4"/>
      <c r="C12745" s="1" t="str">
        <f>IFERROR(__xludf.DUMMYFUNCTION("""COMPUTED_VALUE"""),"#N/A")</f>
        <v>#N/A</v>
      </c>
      <c r="D12745" s="1"/>
      <c r="E12745" s="1"/>
      <c r="F12745" s="1"/>
      <c r="G12745" s="1"/>
      <c r="H12745" s="2">
        <f>IFERROR(__xludf.DUMMYFUNCTION("""COMPUTED_VALUE"""),0.0)</f>
        <v>0</v>
      </c>
      <c r="I12745" s="5"/>
      <c r="J12745" s="1" t="str">
        <f>IFERROR(__xludf.DUMMYFUNCTION("""COMPUTED_VALUE"""),"#N/A")</f>
        <v>#N/A</v>
      </c>
      <c r="K12745" s="1" t="str">
        <f>IFERROR(__xludf.DUMMYFUNCTION("""COMPUTED_VALUE"""),"#N/A")</f>
        <v>#N/A</v>
      </c>
      <c r="L12745" s="1" t="str">
        <f>IFERROR(__xludf.DUMMYFUNCTION("""COMPUTED_VALUE"""),"#N/A")</f>
        <v>#N/A</v>
      </c>
    </row>
    <row r="12746">
      <c r="A12746" s="1" t="str">
        <f>IFERROR(__xludf.DUMMYFUNCTION("""COMPUTED_VALUE"""),"#VALUE!")</f>
        <v>#VALUE!</v>
      </c>
      <c r="B12746" s="4"/>
      <c r="C12746" s="1" t="str">
        <f>IFERROR(__xludf.DUMMYFUNCTION("""COMPUTED_VALUE"""),"#N/A")</f>
        <v>#N/A</v>
      </c>
      <c r="D12746" s="1"/>
      <c r="E12746" s="1"/>
      <c r="F12746" s="1"/>
      <c r="G12746" s="1"/>
      <c r="H12746" s="2">
        <f>IFERROR(__xludf.DUMMYFUNCTION("""COMPUTED_VALUE"""),0.0)</f>
        <v>0</v>
      </c>
      <c r="I12746" s="5"/>
      <c r="J12746" s="1" t="str">
        <f>IFERROR(__xludf.DUMMYFUNCTION("""COMPUTED_VALUE"""),"#N/A")</f>
        <v>#N/A</v>
      </c>
      <c r="K12746" s="1" t="str">
        <f>IFERROR(__xludf.DUMMYFUNCTION("""COMPUTED_VALUE"""),"#N/A")</f>
        <v>#N/A</v>
      </c>
      <c r="L12746" s="1" t="str">
        <f>IFERROR(__xludf.DUMMYFUNCTION("""COMPUTED_VALUE"""),"#N/A")</f>
        <v>#N/A</v>
      </c>
    </row>
    <row r="12747">
      <c r="A12747" s="1" t="str">
        <f>IFERROR(__xludf.DUMMYFUNCTION("""COMPUTED_VALUE"""),"#VALUE!")</f>
        <v>#VALUE!</v>
      </c>
      <c r="B12747" s="4"/>
      <c r="C12747" s="1" t="str">
        <f>IFERROR(__xludf.DUMMYFUNCTION("""COMPUTED_VALUE"""),"#N/A")</f>
        <v>#N/A</v>
      </c>
      <c r="D12747" s="1"/>
      <c r="E12747" s="1"/>
      <c r="F12747" s="1"/>
      <c r="G12747" s="1"/>
      <c r="H12747" s="2">
        <f>IFERROR(__xludf.DUMMYFUNCTION("""COMPUTED_VALUE"""),0.0)</f>
        <v>0</v>
      </c>
      <c r="I12747" s="5"/>
      <c r="J12747" s="1" t="str">
        <f>IFERROR(__xludf.DUMMYFUNCTION("""COMPUTED_VALUE"""),"#N/A")</f>
        <v>#N/A</v>
      </c>
      <c r="K12747" s="1" t="str">
        <f>IFERROR(__xludf.DUMMYFUNCTION("""COMPUTED_VALUE"""),"#N/A")</f>
        <v>#N/A</v>
      </c>
      <c r="L12747" s="1" t="str">
        <f>IFERROR(__xludf.DUMMYFUNCTION("""COMPUTED_VALUE"""),"#N/A")</f>
        <v>#N/A</v>
      </c>
    </row>
    <row r="12748">
      <c r="A12748" s="1" t="str">
        <f>IFERROR(__xludf.DUMMYFUNCTION("""COMPUTED_VALUE"""),"#VALUE!")</f>
        <v>#VALUE!</v>
      </c>
      <c r="B12748" s="4"/>
      <c r="C12748" s="1" t="str">
        <f>IFERROR(__xludf.DUMMYFUNCTION("""COMPUTED_VALUE"""),"#N/A")</f>
        <v>#N/A</v>
      </c>
      <c r="D12748" s="1"/>
      <c r="E12748" s="1"/>
      <c r="F12748" s="1"/>
      <c r="G12748" s="1"/>
      <c r="H12748" s="2">
        <f>IFERROR(__xludf.DUMMYFUNCTION("""COMPUTED_VALUE"""),0.0)</f>
        <v>0</v>
      </c>
      <c r="I12748" s="5"/>
      <c r="J12748" s="1" t="str">
        <f>IFERROR(__xludf.DUMMYFUNCTION("""COMPUTED_VALUE"""),"#N/A")</f>
        <v>#N/A</v>
      </c>
      <c r="K12748" s="1" t="str">
        <f>IFERROR(__xludf.DUMMYFUNCTION("""COMPUTED_VALUE"""),"#N/A")</f>
        <v>#N/A</v>
      </c>
      <c r="L12748" s="1" t="str">
        <f>IFERROR(__xludf.DUMMYFUNCTION("""COMPUTED_VALUE"""),"#N/A")</f>
        <v>#N/A</v>
      </c>
    </row>
    <row r="12749">
      <c r="A12749" s="1" t="str">
        <f>IFERROR(__xludf.DUMMYFUNCTION("""COMPUTED_VALUE"""),"#VALUE!")</f>
        <v>#VALUE!</v>
      </c>
      <c r="B12749" s="4"/>
      <c r="C12749" s="1" t="str">
        <f>IFERROR(__xludf.DUMMYFUNCTION("""COMPUTED_VALUE"""),"#N/A")</f>
        <v>#N/A</v>
      </c>
      <c r="D12749" s="1"/>
      <c r="E12749" s="1"/>
      <c r="F12749" s="1"/>
      <c r="G12749" s="1"/>
      <c r="H12749" s="2">
        <f>IFERROR(__xludf.DUMMYFUNCTION("""COMPUTED_VALUE"""),0.0)</f>
        <v>0</v>
      </c>
      <c r="I12749" s="5"/>
      <c r="J12749" s="1" t="str">
        <f>IFERROR(__xludf.DUMMYFUNCTION("""COMPUTED_VALUE"""),"#N/A")</f>
        <v>#N/A</v>
      </c>
      <c r="K12749" s="1" t="str">
        <f>IFERROR(__xludf.DUMMYFUNCTION("""COMPUTED_VALUE"""),"#N/A")</f>
        <v>#N/A</v>
      </c>
      <c r="L12749" s="1" t="str">
        <f>IFERROR(__xludf.DUMMYFUNCTION("""COMPUTED_VALUE"""),"#N/A")</f>
        <v>#N/A</v>
      </c>
    </row>
    <row r="12750">
      <c r="A12750" s="1" t="str">
        <f>IFERROR(__xludf.DUMMYFUNCTION("""COMPUTED_VALUE"""),"#VALUE!")</f>
        <v>#VALUE!</v>
      </c>
      <c r="B12750" s="4"/>
      <c r="C12750" s="1" t="str">
        <f>IFERROR(__xludf.DUMMYFUNCTION("""COMPUTED_VALUE"""),"#N/A")</f>
        <v>#N/A</v>
      </c>
      <c r="D12750" s="1"/>
      <c r="E12750" s="1"/>
      <c r="F12750" s="1"/>
      <c r="G12750" s="1"/>
      <c r="H12750" s="2">
        <f>IFERROR(__xludf.DUMMYFUNCTION("""COMPUTED_VALUE"""),0.0)</f>
        <v>0</v>
      </c>
      <c r="I12750" s="5"/>
      <c r="J12750" s="1" t="str">
        <f>IFERROR(__xludf.DUMMYFUNCTION("""COMPUTED_VALUE"""),"#N/A")</f>
        <v>#N/A</v>
      </c>
      <c r="K12750" s="1" t="str">
        <f>IFERROR(__xludf.DUMMYFUNCTION("""COMPUTED_VALUE"""),"#N/A")</f>
        <v>#N/A</v>
      </c>
      <c r="L12750" s="1" t="str">
        <f>IFERROR(__xludf.DUMMYFUNCTION("""COMPUTED_VALUE"""),"#N/A")</f>
        <v>#N/A</v>
      </c>
    </row>
    <row r="12751">
      <c r="A12751" s="1" t="str">
        <f>IFERROR(__xludf.DUMMYFUNCTION("""COMPUTED_VALUE"""),"#VALUE!")</f>
        <v>#VALUE!</v>
      </c>
      <c r="B12751" s="4"/>
      <c r="C12751" s="1" t="str">
        <f>IFERROR(__xludf.DUMMYFUNCTION("""COMPUTED_VALUE"""),"#N/A")</f>
        <v>#N/A</v>
      </c>
      <c r="D12751" s="1"/>
      <c r="E12751" s="1"/>
      <c r="F12751" s="1"/>
      <c r="G12751" s="1"/>
      <c r="H12751" s="2">
        <f>IFERROR(__xludf.DUMMYFUNCTION("""COMPUTED_VALUE"""),0.0)</f>
        <v>0</v>
      </c>
      <c r="I12751" s="5"/>
      <c r="J12751" s="1" t="str">
        <f>IFERROR(__xludf.DUMMYFUNCTION("""COMPUTED_VALUE"""),"#N/A")</f>
        <v>#N/A</v>
      </c>
      <c r="K12751" s="1" t="str">
        <f>IFERROR(__xludf.DUMMYFUNCTION("""COMPUTED_VALUE"""),"#N/A")</f>
        <v>#N/A</v>
      </c>
      <c r="L12751" s="1" t="str">
        <f>IFERROR(__xludf.DUMMYFUNCTION("""COMPUTED_VALUE"""),"#N/A")</f>
        <v>#N/A</v>
      </c>
    </row>
    <row r="12752">
      <c r="A12752" s="1" t="str">
        <f>IFERROR(__xludf.DUMMYFUNCTION("""COMPUTED_VALUE"""),"#VALUE!")</f>
        <v>#VALUE!</v>
      </c>
      <c r="B12752" s="4"/>
      <c r="C12752" s="1" t="str">
        <f>IFERROR(__xludf.DUMMYFUNCTION("""COMPUTED_VALUE"""),"#N/A")</f>
        <v>#N/A</v>
      </c>
      <c r="D12752" s="1"/>
      <c r="E12752" s="1"/>
      <c r="F12752" s="1"/>
      <c r="G12752" s="1"/>
      <c r="H12752" s="2">
        <f>IFERROR(__xludf.DUMMYFUNCTION("""COMPUTED_VALUE"""),0.0)</f>
        <v>0</v>
      </c>
      <c r="I12752" s="5"/>
      <c r="J12752" s="1" t="str">
        <f>IFERROR(__xludf.DUMMYFUNCTION("""COMPUTED_VALUE"""),"#N/A")</f>
        <v>#N/A</v>
      </c>
      <c r="K12752" s="1" t="str">
        <f>IFERROR(__xludf.DUMMYFUNCTION("""COMPUTED_VALUE"""),"#N/A")</f>
        <v>#N/A</v>
      </c>
      <c r="L12752" s="1" t="str">
        <f>IFERROR(__xludf.DUMMYFUNCTION("""COMPUTED_VALUE"""),"#N/A")</f>
        <v>#N/A</v>
      </c>
    </row>
    <row r="12753">
      <c r="A12753" s="1" t="str">
        <f>IFERROR(__xludf.DUMMYFUNCTION("""COMPUTED_VALUE"""),"#VALUE!")</f>
        <v>#VALUE!</v>
      </c>
      <c r="B12753" s="4"/>
      <c r="C12753" s="1" t="str">
        <f>IFERROR(__xludf.DUMMYFUNCTION("""COMPUTED_VALUE"""),"#N/A")</f>
        <v>#N/A</v>
      </c>
      <c r="D12753" s="1"/>
      <c r="E12753" s="1"/>
      <c r="F12753" s="1"/>
      <c r="G12753" s="1"/>
      <c r="H12753" s="2">
        <f>IFERROR(__xludf.DUMMYFUNCTION("""COMPUTED_VALUE"""),0.0)</f>
        <v>0</v>
      </c>
      <c r="I12753" s="5"/>
      <c r="J12753" s="1" t="str">
        <f>IFERROR(__xludf.DUMMYFUNCTION("""COMPUTED_VALUE"""),"#N/A")</f>
        <v>#N/A</v>
      </c>
      <c r="K12753" s="1" t="str">
        <f>IFERROR(__xludf.DUMMYFUNCTION("""COMPUTED_VALUE"""),"#N/A")</f>
        <v>#N/A</v>
      </c>
      <c r="L12753" s="1" t="str">
        <f>IFERROR(__xludf.DUMMYFUNCTION("""COMPUTED_VALUE"""),"#N/A")</f>
        <v>#N/A</v>
      </c>
    </row>
    <row r="12754">
      <c r="A12754" s="1" t="str">
        <f>IFERROR(__xludf.DUMMYFUNCTION("""COMPUTED_VALUE"""),"#VALUE!")</f>
        <v>#VALUE!</v>
      </c>
      <c r="B12754" s="4"/>
      <c r="C12754" s="1" t="str">
        <f>IFERROR(__xludf.DUMMYFUNCTION("""COMPUTED_VALUE"""),"#N/A")</f>
        <v>#N/A</v>
      </c>
      <c r="D12754" s="1"/>
      <c r="E12754" s="1"/>
      <c r="F12754" s="1"/>
      <c r="G12754" s="1"/>
      <c r="H12754" s="2">
        <f>IFERROR(__xludf.DUMMYFUNCTION("""COMPUTED_VALUE"""),0.0)</f>
        <v>0</v>
      </c>
      <c r="I12754" s="5"/>
      <c r="J12754" s="1" t="str">
        <f>IFERROR(__xludf.DUMMYFUNCTION("""COMPUTED_VALUE"""),"#N/A")</f>
        <v>#N/A</v>
      </c>
      <c r="K12754" s="1" t="str">
        <f>IFERROR(__xludf.DUMMYFUNCTION("""COMPUTED_VALUE"""),"#N/A")</f>
        <v>#N/A</v>
      </c>
      <c r="L12754" s="1" t="str">
        <f>IFERROR(__xludf.DUMMYFUNCTION("""COMPUTED_VALUE"""),"#N/A")</f>
        <v>#N/A</v>
      </c>
    </row>
    <row r="12755">
      <c r="A12755" s="1" t="str">
        <f>IFERROR(__xludf.DUMMYFUNCTION("""COMPUTED_VALUE"""),"#VALUE!")</f>
        <v>#VALUE!</v>
      </c>
      <c r="B12755" s="4"/>
      <c r="C12755" s="1" t="str">
        <f>IFERROR(__xludf.DUMMYFUNCTION("""COMPUTED_VALUE"""),"#N/A")</f>
        <v>#N/A</v>
      </c>
      <c r="D12755" s="1"/>
      <c r="E12755" s="1"/>
      <c r="F12755" s="1"/>
      <c r="G12755" s="1"/>
      <c r="H12755" s="2">
        <f>IFERROR(__xludf.DUMMYFUNCTION("""COMPUTED_VALUE"""),0.0)</f>
        <v>0</v>
      </c>
      <c r="I12755" s="5"/>
      <c r="J12755" s="1" t="str">
        <f>IFERROR(__xludf.DUMMYFUNCTION("""COMPUTED_VALUE"""),"#N/A")</f>
        <v>#N/A</v>
      </c>
      <c r="K12755" s="1" t="str">
        <f>IFERROR(__xludf.DUMMYFUNCTION("""COMPUTED_VALUE"""),"#N/A")</f>
        <v>#N/A</v>
      </c>
      <c r="L12755" s="1" t="str">
        <f>IFERROR(__xludf.DUMMYFUNCTION("""COMPUTED_VALUE"""),"#N/A")</f>
        <v>#N/A</v>
      </c>
    </row>
    <row r="12756">
      <c r="A12756" s="1" t="str">
        <f>IFERROR(__xludf.DUMMYFUNCTION("""COMPUTED_VALUE"""),"#VALUE!")</f>
        <v>#VALUE!</v>
      </c>
      <c r="B12756" s="4"/>
      <c r="C12756" s="1" t="str">
        <f>IFERROR(__xludf.DUMMYFUNCTION("""COMPUTED_VALUE"""),"#N/A")</f>
        <v>#N/A</v>
      </c>
      <c r="D12756" s="1"/>
      <c r="E12756" s="1"/>
      <c r="F12756" s="1"/>
      <c r="G12756" s="1"/>
      <c r="H12756" s="2">
        <f>IFERROR(__xludf.DUMMYFUNCTION("""COMPUTED_VALUE"""),0.0)</f>
        <v>0</v>
      </c>
      <c r="I12756" s="5"/>
      <c r="J12756" s="1" t="str">
        <f>IFERROR(__xludf.DUMMYFUNCTION("""COMPUTED_VALUE"""),"#N/A")</f>
        <v>#N/A</v>
      </c>
      <c r="K12756" s="1" t="str">
        <f>IFERROR(__xludf.DUMMYFUNCTION("""COMPUTED_VALUE"""),"#N/A")</f>
        <v>#N/A</v>
      </c>
      <c r="L12756" s="1" t="str">
        <f>IFERROR(__xludf.DUMMYFUNCTION("""COMPUTED_VALUE"""),"#N/A")</f>
        <v>#N/A</v>
      </c>
    </row>
    <row r="12757">
      <c r="A12757" s="1" t="str">
        <f>IFERROR(__xludf.DUMMYFUNCTION("""COMPUTED_VALUE"""),"#VALUE!")</f>
        <v>#VALUE!</v>
      </c>
      <c r="B12757" s="4"/>
      <c r="C12757" s="1" t="str">
        <f>IFERROR(__xludf.DUMMYFUNCTION("""COMPUTED_VALUE"""),"#N/A")</f>
        <v>#N/A</v>
      </c>
      <c r="D12757" s="1"/>
      <c r="E12757" s="1"/>
      <c r="F12757" s="1"/>
      <c r="G12757" s="1"/>
      <c r="H12757" s="2">
        <f>IFERROR(__xludf.DUMMYFUNCTION("""COMPUTED_VALUE"""),0.0)</f>
        <v>0</v>
      </c>
      <c r="I12757" s="5"/>
      <c r="J12757" s="1" t="str">
        <f>IFERROR(__xludf.DUMMYFUNCTION("""COMPUTED_VALUE"""),"#N/A")</f>
        <v>#N/A</v>
      </c>
      <c r="K12757" s="1" t="str">
        <f>IFERROR(__xludf.DUMMYFUNCTION("""COMPUTED_VALUE"""),"#N/A")</f>
        <v>#N/A</v>
      </c>
      <c r="L12757" s="1" t="str">
        <f>IFERROR(__xludf.DUMMYFUNCTION("""COMPUTED_VALUE"""),"#N/A")</f>
        <v>#N/A</v>
      </c>
    </row>
    <row r="12758">
      <c r="A12758" s="1" t="str">
        <f>IFERROR(__xludf.DUMMYFUNCTION("""COMPUTED_VALUE"""),"#VALUE!")</f>
        <v>#VALUE!</v>
      </c>
      <c r="B12758" s="4"/>
      <c r="C12758" s="1" t="str">
        <f>IFERROR(__xludf.DUMMYFUNCTION("""COMPUTED_VALUE"""),"#N/A")</f>
        <v>#N/A</v>
      </c>
      <c r="D12758" s="1"/>
      <c r="E12758" s="1"/>
      <c r="F12758" s="1"/>
      <c r="G12758" s="1"/>
      <c r="H12758" s="2">
        <f>IFERROR(__xludf.DUMMYFUNCTION("""COMPUTED_VALUE"""),0.0)</f>
        <v>0</v>
      </c>
      <c r="I12758" s="5"/>
      <c r="J12758" s="1" t="str">
        <f>IFERROR(__xludf.DUMMYFUNCTION("""COMPUTED_VALUE"""),"#N/A")</f>
        <v>#N/A</v>
      </c>
      <c r="K12758" s="1" t="str">
        <f>IFERROR(__xludf.DUMMYFUNCTION("""COMPUTED_VALUE"""),"#N/A")</f>
        <v>#N/A</v>
      </c>
      <c r="L12758" s="1" t="str">
        <f>IFERROR(__xludf.DUMMYFUNCTION("""COMPUTED_VALUE"""),"#N/A")</f>
        <v>#N/A</v>
      </c>
    </row>
    <row r="12759">
      <c r="A12759" s="1" t="str">
        <f>IFERROR(__xludf.DUMMYFUNCTION("""COMPUTED_VALUE"""),"#VALUE!")</f>
        <v>#VALUE!</v>
      </c>
      <c r="B12759" s="4"/>
      <c r="C12759" s="1" t="str">
        <f>IFERROR(__xludf.DUMMYFUNCTION("""COMPUTED_VALUE"""),"#N/A")</f>
        <v>#N/A</v>
      </c>
      <c r="D12759" s="1"/>
      <c r="E12759" s="1"/>
      <c r="F12759" s="1"/>
      <c r="G12759" s="1"/>
      <c r="H12759" s="2">
        <f>IFERROR(__xludf.DUMMYFUNCTION("""COMPUTED_VALUE"""),0.0)</f>
        <v>0</v>
      </c>
      <c r="I12759" s="5"/>
      <c r="J12759" s="1" t="str">
        <f>IFERROR(__xludf.DUMMYFUNCTION("""COMPUTED_VALUE"""),"#N/A")</f>
        <v>#N/A</v>
      </c>
      <c r="K12759" s="1" t="str">
        <f>IFERROR(__xludf.DUMMYFUNCTION("""COMPUTED_VALUE"""),"#N/A")</f>
        <v>#N/A</v>
      </c>
      <c r="L12759" s="1" t="str">
        <f>IFERROR(__xludf.DUMMYFUNCTION("""COMPUTED_VALUE"""),"#N/A")</f>
        <v>#N/A</v>
      </c>
    </row>
    <row r="12760">
      <c r="A12760" s="1" t="str">
        <f>IFERROR(__xludf.DUMMYFUNCTION("""COMPUTED_VALUE"""),"#VALUE!")</f>
        <v>#VALUE!</v>
      </c>
      <c r="B12760" s="4"/>
      <c r="C12760" s="1" t="str">
        <f>IFERROR(__xludf.DUMMYFUNCTION("""COMPUTED_VALUE"""),"#N/A")</f>
        <v>#N/A</v>
      </c>
      <c r="D12760" s="1"/>
      <c r="E12760" s="1"/>
      <c r="F12760" s="1"/>
      <c r="G12760" s="1"/>
      <c r="H12760" s="2">
        <f>IFERROR(__xludf.DUMMYFUNCTION("""COMPUTED_VALUE"""),0.0)</f>
        <v>0</v>
      </c>
      <c r="I12760" s="5"/>
      <c r="J12760" s="1" t="str">
        <f>IFERROR(__xludf.DUMMYFUNCTION("""COMPUTED_VALUE"""),"#N/A")</f>
        <v>#N/A</v>
      </c>
      <c r="K12760" s="1" t="str">
        <f>IFERROR(__xludf.DUMMYFUNCTION("""COMPUTED_VALUE"""),"#N/A")</f>
        <v>#N/A</v>
      </c>
      <c r="L12760" s="1" t="str">
        <f>IFERROR(__xludf.DUMMYFUNCTION("""COMPUTED_VALUE"""),"#N/A")</f>
        <v>#N/A</v>
      </c>
    </row>
    <row r="12761">
      <c r="A12761" s="1" t="str">
        <f>IFERROR(__xludf.DUMMYFUNCTION("""COMPUTED_VALUE"""),"#VALUE!")</f>
        <v>#VALUE!</v>
      </c>
      <c r="B12761" s="4"/>
      <c r="C12761" s="1" t="str">
        <f>IFERROR(__xludf.DUMMYFUNCTION("""COMPUTED_VALUE"""),"#N/A")</f>
        <v>#N/A</v>
      </c>
      <c r="D12761" s="1"/>
      <c r="E12761" s="1"/>
      <c r="F12761" s="1"/>
      <c r="G12761" s="1"/>
      <c r="H12761" s="2">
        <f>IFERROR(__xludf.DUMMYFUNCTION("""COMPUTED_VALUE"""),0.0)</f>
        <v>0</v>
      </c>
      <c r="I12761" s="5"/>
      <c r="J12761" s="1" t="str">
        <f>IFERROR(__xludf.DUMMYFUNCTION("""COMPUTED_VALUE"""),"#N/A")</f>
        <v>#N/A</v>
      </c>
      <c r="K12761" s="1" t="str">
        <f>IFERROR(__xludf.DUMMYFUNCTION("""COMPUTED_VALUE"""),"#N/A")</f>
        <v>#N/A</v>
      </c>
      <c r="L12761" s="1" t="str">
        <f>IFERROR(__xludf.DUMMYFUNCTION("""COMPUTED_VALUE"""),"#N/A")</f>
        <v>#N/A</v>
      </c>
    </row>
    <row r="12762">
      <c r="A12762" s="1" t="str">
        <f>IFERROR(__xludf.DUMMYFUNCTION("""COMPUTED_VALUE"""),"#VALUE!")</f>
        <v>#VALUE!</v>
      </c>
      <c r="B12762" s="4"/>
      <c r="C12762" s="1" t="str">
        <f>IFERROR(__xludf.DUMMYFUNCTION("""COMPUTED_VALUE"""),"#N/A")</f>
        <v>#N/A</v>
      </c>
      <c r="D12762" s="1"/>
      <c r="E12762" s="1"/>
      <c r="F12762" s="1"/>
      <c r="G12762" s="1"/>
      <c r="H12762" s="2">
        <f>IFERROR(__xludf.DUMMYFUNCTION("""COMPUTED_VALUE"""),0.0)</f>
        <v>0</v>
      </c>
      <c r="I12762" s="5"/>
      <c r="J12762" s="1" t="str">
        <f>IFERROR(__xludf.DUMMYFUNCTION("""COMPUTED_VALUE"""),"#N/A")</f>
        <v>#N/A</v>
      </c>
      <c r="K12762" s="1" t="str">
        <f>IFERROR(__xludf.DUMMYFUNCTION("""COMPUTED_VALUE"""),"#N/A")</f>
        <v>#N/A</v>
      </c>
      <c r="L12762" s="1" t="str">
        <f>IFERROR(__xludf.DUMMYFUNCTION("""COMPUTED_VALUE"""),"#N/A")</f>
        <v>#N/A</v>
      </c>
    </row>
    <row r="12763">
      <c r="A12763" s="1" t="str">
        <f>IFERROR(__xludf.DUMMYFUNCTION("""COMPUTED_VALUE"""),"#VALUE!")</f>
        <v>#VALUE!</v>
      </c>
      <c r="B12763" s="4"/>
      <c r="C12763" s="1" t="str">
        <f>IFERROR(__xludf.DUMMYFUNCTION("""COMPUTED_VALUE"""),"#N/A")</f>
        <v>#N/A</v>
      </c>
      <c r="D12763" s="1"/>
      <c r="E12763" s="1"/>
      <c r="F12763" s="1"/>
      <c r="G12763" s="1"/>
      <c r="H12763" s="2">
        <f>IFERROR(__xludf.DUMMYFUNCTION("""COMPUTED_VALUE"""),0.0)</f>
        <v>0</v>
      </c>
      <c r="I12763" s="5"/>
      <c r="J12763" s="1" t="str">
        <f>IFERROR(__xludf.DUMMYFUNCTION("""COMPUTED_VALUE"""),"#N/A")</f>
        <v>#N/A</v>
      </c>
      <c r="K12763" s="1" t="str">
        <f>IFERROR(__xludf.DUMMYFUNCTION("""COMPUTED_VALUE"""),"#N/A")</f>
        <v>#N/A</v>
      </c>
      <c r="L12763" s="1" t="str">
        <f>IFERROR(__xludf.DUMMYFUNCTION("""COMPUTED_VALUE"""),"#N/A")</f>
        <v>#N/A</v>
      </c>
    </row>
    <row r="12764">
      <c r="A12764" s="1" t="str">
        <f>IFERROR(__xludf.DUMMYFUNCTION("""COMPUTED_VALUE"""),"#VALUE!")</f>
        <v>#VALUE!</v>
      </c>
      <c r="B12764" s="4"/>
      <c r="C12764" s="1" t="str">
        <f>IFERROR(__xludf.DUMMYFUNCTION("""COMPUTED_VALUE"""),"#N/A")</f>
        <v>#N/A</v>
      </c>
      <c r="D12764" s="1"/>
      <c r="E12764" s="1"/>
      <c r="F12764" s="1"/>
      <c r="G12764" s="1"/>
      <c r="H12764" s="2">
        <f>IFERROR(__xludf.DUMMYFUNCTION("""COMPUTED_VALUE"""),0.0)</f>
        <v>0</v>
      </c>
      <c r="I12764" s="5"/>
      <c r="J12764" s="1" t="str">
        <f>IFERROR(__xludf.DUMMYFUNCTION("""COMPUTED_VALUE"""),"#N/A")</f>
        <v>#N/A</v>
      </c>
      <c r="K12764" s="1" t="str">
        <f>IFERROR(__xludf.DUMMYFUNCTION("""COMPUTED_VALUE"""),"#N/A")</f>
        <v>#N/A</v>
      </c>
      <c r="L12764" s="1" t="str">
        <f>IFERROR(__xludf.DUMMYFUNCTION("""COMPUTED_VALUE"""),"#N/A")</f>
        <v>#N/A</v>
      </c>
    </row>
    <row r="12765">
      <c r="A12765" s="1" t="str">
        <f>IFERROR(__xludf.DUMMYFUNCTION("""COMPUTED_VALUE"""),"#VALUE!")</f>
        <v>#VALUE!</v>
      </c>
      <c r="B12765" s="4"/>
      <c r="C12765" s="1" t="str">
        <f>IFERROR(__xludf.DUMMYFUNCTION("""COMPUTED_VALUE"""),"#N/A")</f>
        <v>#N/A</v>
      </c>
      <c r="D12765" s="1"/>
      <c r="E12765" s="1"/>
      <c r="F12765" s="1"/>
      <c r="G12765" s="1"/>
      <c r="H12765" s="2">
        <f>IFERROR(__xludf.DUMMYFUNCTION("""COMPUTED_VALUE"""),0.0)</f>
        <v>0</v>
      </c>
      <c r="I12765" s="5"/>
      <c r="J12765" s="1" t="str">
        <f>IFERROR(__xludf.DUMMYFUNCTION("""COMPUTED_VALUE"""),"#N/A")</f>
        <v>#N/A</v>
      </c>
      <c r="K12765" s="1" t="str">
        <f>IFERROR(__xludf.DUMMYFUNCTION("""COMPUTED_VALUE"""),"#N/A")</f>
        <v>#N/A</v>
      </c>
      <c r="L12765" s="1" t="str">
        <f>IFERROR(__xludf.DUMMYFUNCTION("""COMPUTED_VALUE"""),"#N/A")</f>
        <v>#N/A</v>
      </c>
    </row>
    <row r="12766">
      <c r="A12766" s="1" t="str">
        <f>IFERROR(__xludf.DUMMYFUNCTION("""COMPUTED_VALUE"""),"#VALUE!")</f>
        <v>#VALUE!</v>
      </c>
      <c r="B12766" s="4"/>
      <c r="C12766" s="1" t="str">
        <f>IFERROR(__xludf.DUMMYFUNCTION("""COMPUTED_VALUE"""),"#N/A")</f>
        <v>#N/A</v>
      </c>
      <c r="D12766" s="1"/>
      <c r="E12766" s="1"/>
      <c r="F12766" s="1"/>
      <c r="G12766" s="1"/>
      <c r="H12766" s="2">
        <f>IFERROR(__xludf.DUMMYFUNCTION("""COMPUTED_VALUE"""),0.0)</f>
        <v>0</v>
      </c>
      <c r="I12766" s="5"/>
      <c r="J12766" s="1" t="str">
        <f>IFERROR(__xludf.DUMMYFUNCTION("""COMPUTED_VALUE"""),"#N/A")</f>
        <v>#N/A</v>
      </c>
      <c r="K12766" s="1" t="str">
        <f>IFERROR(__xludf.DUMMYFUNCTION("""COMPUTED_VALUE"""),"#N/A")</f>
        <v>#N/A</v>
      </c>
      <c r="L12766" s="1" t="str">
        <f>IFERROR(__xludf.DUMMYFUNCTION("""COMPUTED_VALUE"""),"#N/A")</f>
        <v>#N/A</v>
      </c>
    </row>
    <row r="12767">
      <c r="A12767" s="1" t="str">
        <f>IFERROR(__xludf.DUMMYFUNCTION("""COMPUTED_VALUE"""),"#VALUE!")</f>
        <v>#VALUE!</v>
      </c>
      <c r="B12767" s="4"/>
      <c r="C12767" s="1" t="str">
        <f>IFERROR(__xludf.DUMMYFUNCTION("""COMPUTED_VALUE"""),"#N/A")</f>
        <v>#N/A</v>
      </c>
      <c r="D12767" s="1"/>
      <c r="E12767" s="1"/>
      <c r="F12767" s="1"/>
      <c r="G12767" s="1"/>
      <c r="H12767" s="2">
        <f>IFERROR(__xludf.DUMMYFUNCTION("""COMPUTED_VALUE"""),0.0)</f>
        <v>0</v>
      </c>
      <c r="I12767" s="5"/>
      <c r="J12767" s="1" t="str">
        <f>IFERROR(__xludf.DUMMYFUNCTION("""COMPUTED_VALUE"""),"#N/A")</f>
        <v>#N/A</v>
      </c>
      <c r="K12767" s="1" t="str">
        <f>IFERROR(__xludf.DUMMYFUNCTION("""COMPUTED_VALUE"""),"#N/A")</f>
        <v>#N/A</v>
      </c>
      <c r="L12767" s="1" t="str">
        <f>IFERROR(__xludf.DUMMYFUNCTION("""COMPUTED_VALUE"""),"#N/A")</f>
        <v>#N/A</v>
      </c>
    </row>
    <row r="12768">
      <c r="A12768" s="1" t="str">
        <f>IFERROR(__xludf.DUMMYFUNCTION("""COMPUTED_VALUE"""),"#VALUE!")</f>
        <v>#VALUE!</v>
      </c>
      <c r="B12768" s="4"/>
      <c r="C12768" s="1" t="str">
        <f>IFERROR(__xludf.DUMMYFUNCTION("""COMPUTED_VALUE"""),"#N/A")</f>
        <v>#N/A</v>
      </c>
      <c r="D12768" s="1"/>
      <c r="E12768" s="1"/>
      <c r="F12768" s="1"/>
      <c r="G12768" s="1"/>
      <c r="H12768" s="2">
        <f>IFERROR(__xludf.DUMMYFUNCTION("""COMPUTED_VALUE"""),0.0)</f>
        <v>0</v>
      </c>
      <c r="I12768" s="5"/>
      <c r="J12768" s="1" t="str">
        <f>IFERROR(__xludf.DUMMYFUNCTION("""COMPUTED_VALUE"""),"#N/A")</f>
        <v>#N/A</v>
      </c>
      <c r="K12768" s="1" t="str">
        <f>IFERROR(__xludf.DUMMYFUNCTION("""COMPUTED_VALUE"""),"#N/A")</f>
        <v>#N/A</v>
      </c>
      <c r="L12768" s="1" t="str">
        <f>IFERROR(__xludf.DUMMYFUNCTION("""COMPUTED_VALUE"""),"#N/A")</f>
        <v>#N/A</v>
      </c>
    </row>
    <row r="12769">
      <c r="A12769" s="1" t="str">
        <f>IFERROR(__xludf.DUMMYFUNCTION("""COMPUTED_VALUE"""),"#VALUE!")</f>
        <v>#VALUE!</v>
      </c>
      <c r="B12769" s="4"/>
      <c r="C12769" s="1" t="str">
        <f>IFERROR(__xludf.DUMMYFUNCTION("""COMPUTED_VALUE"""),"#N/A")</f>
        <v>#N/A</v>
      </c>
      <c r="D12769" s="1"/>
      <c r="E12769" s="1"/>
      <c r="F12769" s="1"/>
      <c r="G12769" s="1"/>
      <c r="H12769" s="2">
        <f>IFERROR(__xludf.DUMMYFUNCTION("""COMPUTED_VALUE"""),0.0)</f>
        <v>0</v>
      </c>
      <c r="I12769" s="5"/>
      <c r="J12769" s="1" t="str">
        <f>IFERROR(__xludf.DUMMYFUNCTION("""COMPUTED_VALUE"""),"#N/A")</f>
        <v>#N/A</v>
      </c>
      <c r="K12769" s="1" t="str">
        <f>IFERROR(__xludf.DUMMYFUNCTION("""COMPUTED_VALUE"""),"#N/A")</f>
        <v>#N/A</v>
      </c>
      <c r="L12769" s="1" t="str">
        <f>IFERROR(__xludf.DUMMYFUNCTION("""COMPUTED_VALUE"""),"#N/A")</f>
        <v>#N/A</v>
      </c>
    </row>
    <row r="12770">
      <c r="A12770" s="1" t="str">
        <f>IFERROR(__xludf.DUMMYFUNCTION("""COMPUTED_VALUE"""),"#VALUE!")</f>
        <v>#VALUE!</v>
      </c>
      <c r="B12770" s="4"/>
      <c r="C12770" s="1" t="str">
        <f>IFERROR(__xludf.DUMMYFUNCTION("""COMPUTED_VALUE"""),"#N/A")</f>
        <v>#N/A</v>
      </c>
      <c r="D12770" s="1"/>
      <c r="E12770" s="1"/>
      <c r="F12770" s="1"/>
      <c r="G12770" s="1"/>
      <c r="H12770" s="2">
        <f>IFERROR(__xludf.DUMMYFUNCTION("""COMPUTED_VALUE"""),0.0)</f>
        <v>0</v>
      </c>
      <c r="I12770" s="5"/>
      <c r="J12770" s="1" t="str">
        <f>IFERROR(__xludf.DUMMYFUNCTION("""COMPUTED_VALUE"""),"#N/A")</f>
        <v>#N/A</v>
      </c>
      <c r="K12770" s="1" t="str">
        <f>IFERROR(__xludf.DUMMYFUNCTION("""COMPUTED_VALUE"""),"#N/A")</f>
        <v>#N/A</v>
      </c>
      <c r="L12770" s="1" t="str">
        <f>IFERROR(__xludf.DUMMYFUNCTION("""COMPUTED_VALUE"""),"#N/A")</f>
        <v>#N/A</v>
      </c>
    </row>
    <row r="12771">
      <c r="A12771" s="1" t="str">
        <f>IFERROR(__xludf.DUMMYFUNCTION("""COMPUTED_VALUE"""),"#VALUE!")</f>
        <v>#VALUE!</v>
      </c>
      <c r="B12771" s="4"/>
      <c r="C12771" s="1" t="str">
        <f>IFERROR(__xludf.DUMMYFUNCTION("""COMPUTED_VALUE"""),"#N/A")</f>
        <v>#N/A</v>
      </c>
      <c r="D12771" s="1"/>
      <c r="E12771" s="1"/>
      <c r="F12771" s="1"/>
      <c r="G12771" s="1"/>
      <c r="H12771" s="2">
        <f>IFERROR(__xludf.DUMMYFUNCTION("""COMPUTED_VALUE"""),0.0)</f>
        <v>0</v>
      </c>
      <c r="I12771" s="5"/>
      <c r="J12771" s="1" t="str">
        <f>IFERROR(__xludf.DUMMYFUNCTION("""COMPUTED_VALUE"""),"#N/A")</f>
        <v>#N/A</v>
      </c>
      <c r="K12771" s="1" t="str">
        <f>IFERROR(__xludf.DUMMYFUNCTION("""COMPUTED_VALUE"""),"#N/A")</f>
        <v>#N/A</v>
      </c>
      <c r="L12771" s="1" t="str">
        <f>IFERROR(__xludf.DUMMYFUNCTION("""COMPUTED_VALUE"""),"#N/A")</f>
        <v>#N/A</v>
      </c>
    </row>
    <row r="12772">
      <c r="A12772" s="1" t="str">
        <f>IFERROR(__xludf.DUMMYFUNCTION("""COMPUTED_VALUE"""),"#VALUE!")</f>
        <v>#VALUE!</v>
      </c>
      <c r="B12772" s="4"/>
      <c r="C12772" s="1" t="str">
        <f>IFERROR(__xludf.DUMMYFUNCTION("""COMPUTED_VALUE"""),"#N/A")</f>
        <v>#N/A</v>
      </c>
      <c r="D12772" s="1"/>
      <c r="E12772" s="1"/>
      <c r="F12772" s="1"/>
      <c r="G12772" s="1"/>
      <c r="H12772" s="2">
        <f>IFERROR(__xludf.DUMMYFUNCTION("""COMPUTED_VALUE"""),0.0)</f>
        <v>0</v>
      </c>
      <c r="I12772" s="5"/>
      <c r="J12772" s="1" t="str">
        <f>IFERROR(__xludf.DUMMYFUNCTION("""COMPUTED_VALUE"""),"#N/A")</f>
        <v>#N/A</v>
      </c>
      <c r="K12772" s="1" t="str">
        <f>IFERROR(__xludf.DUMMYFUNCTION("""COMPUTED_VALUE"""),"#N/A")</f>
        <v>#N/A</v>
      </c>
      <c r="L12772" s="1" t="str">
        <f>IFERROR(__xludf.DUMMYFUNCTION("""COMPUTED_VALUE"""),"#N/A")</f>
        <v>#N/A</v>
      </c>
    </row>
    <row r="12773">
      <c r="A12773" s="1" t="str">
        <f>IFERROR(__xludf.DUMMYFUNCTION("""COMPUTED_VALUE"""),"#VALUE!")</f>
        <v>#VALUE!</v>
      </c>
      <c r="B12773" s="4"/>
      <c r="C12773" s="1" t="str">
        <f>IFERROR(__xludf.DUMMYFUNCTION("""COMPUTED_VALUE"""),"#N/A")</f>
        <v>#N/A</v>
      </c>
      <c r="D12773" s="1"/>
      <c r="E12773" s="1"/>
      <c r="F12773" s="1"/>
      <c r="G12773" s="1"/>
      <c r="H12773" s="2">
        <f>IFERROR(__xludf.DUMMYFUNCTION("""COMPUTED_VALUE"""),0.0)</f>
        <v>0</v>
      </c>
      <c r="I12773" s="5"/>
      <c r="J12773" s="1" t="str">
        <f>IFERROR(__xludf.DUMMYFUNCTION("""COMPUTED_VALUE"""),"#N/A")</f>
        <v>#N/A</v>
      </c>
      <c r="K12773" s="1" t="str">
        <f>IFERROR(__xludf.DUMMYFUNCTION("""COMPUTED_VALUE"""),"#N/A")</f>
        <v>#N/A</v>
      </c>
      <c r="L12773" s="1" t="str">
        <f>IFERROR(__xludf.DUMMYFUNCTION("""COMPUTED_VALUE"""),"#N/A")</f>
        <v>#N/A</v>
      </c>
    </row>
    <row r="12774">
      <c r="A12774" s="1" t="str">
        <f>IFERROR(__xludf.DUMMYFUNCTION("""COMPUTED_VALUE"""),"#VALUE!")</f>
        <v>#VALUE!</v>
      </c>
      <c r="B12774" s="4"/>
      <c r="C12774" s="1" t="str">
        <f>IFERROR(__xludf.DUMMYFUNCTION("""COMPUTED_VALUE"""),"#N/A")</f>
        <v>#N/A</v>
      </c>
      <c r="D12774" s="1"/>
      <c r="E12774" s="1"/>
      <c r="F12774" s="1"/>
      <c r="G12774" s="1"/>
      <c r="H12774" s="2">
        <f>IFERROR(__xludf.DUMMYFUNCTION("""COMPUTED_VALUE"""),0.0)</f>
        <v>0</v>
      </c>
      <c r="I12774" s="5"/>
      <c r="J12774" s="1" t="str">
        <f>IFERROR(__xludf.DUMMYFUNCTION("""COMPUTED_VALUE"""),"#N/A")</f>
        <v>#N/A</v>
      </c>
      <c r="K12774" s="1" t="str">
        <f>IFERROR(__xludf.DUMMYFUNCTION("""COMPUTED_VALUE"""),"#N/A")</f>
        <v>#N/A</v>
      </c>
      <c r="L12774" s="1" t="str">
        <f>IFERROR(__xludf.DUMMYFUNCTION("""COMPUTED_VALUE"""),"#N/A")</f>
        <v>#N/A</v>
      </c>
    </row>
    <row r="12775">
      <c r="A12775" s="1" t="str">
        <f>IFERROR(__xludf.DUMMYFUNCTION("""COMPUTED_VALUE"""),"#VALUE!")</f>
        <v>#VALUE!</v>
      </c>
      <c r="B12775" s="4"/>
      <c r="C12775" s="1" t="str">
        <f>IFERROR(__xludf.DUMMYFUNCTION("""COMPUTED_VALUE"""),"#N/A")</f>
        <v>#N/A</v>
      </c>
      <c r="D12775" s="1"/>
      <c r="E12775" s="1"/>
      <c r="F12775" s="1"/>
      <c r="G12775" s="1"/>
      <c r="H12775" s="2">
        <f>IFERROR(__xludf.DUMMYFUNCTION("""COMPUTED_VALUE"""),0.0)</f>
        <v>0</v>
      </c>
      <c r="I12775" s="5"/>
      <c r="J12775" s="1" t="str">
        <f>IFERROR(__xludf.DUMMYFUNCTION("""COMPUTED_VALUE"""),"#N/A")</f>
        <v>#N/A</v>
      </c>
      <c r="K12775" s="1" t="str">
        <f>IFERROR(__xludf.DUMMYFUNCTION("""COMPUTED_VALUE"""),"#N/A")</f>
        <v>#N/A</v>
      </c>
      <c r="L12775" s="1" t="str">
        <f>IFERROR(__xludf.DUMMYFUNCTION("""COMPUTED_VALUE"""),"#N/A")</f>
        <v>#N/A</v>
      </c>
    </row>
    <row r="12776">
      <c r="A12776" s="1" t="str">
        <f>IFERROR(__xludf.DUMMYFUNCTION("""COMPUTED_VALUE"""),"#VALUE!")</f>
        <v>#VALUE!</v>
      </c>
      <c r="B12776" s="4"/>
      <c r="C12776" s="1" t="str">
        <f>IFERROR(__xludf.DUMMYFUNCTION("""COMPUTED_VALUE"""),"#N/A")</f>
        <v>#N/A</v>
      </c>
      <c r="D12776" s="1"/>
      <c r="E12776" s="1"/>
      <c r="F12776" s="1"/>
      <c r="G12776" s="1"/>
      <c r="H12776" s="2">
        <f>IFERROR(__xludf.DUMMYFUNCTION("""COMPUTED_VALUE"""),0.0)</f>
        <v>0</v>
      </c>
      <c r="I12776" s="5"/>
      <c r="J12776" s="1" t="str">
        <f>IFERROR(__xludf.DUMMYFUNCTION("""COMPUTED_VALUE"""),"#N/A")</f>
        <v>#N/A</v>
      </c>
      <c r="K12776" s="1" t="str">
        <f>IFERROR(__xludf.DUMMYFUNCTION("""COMPUTED_VALUE"""),"#N/A")</f>
        <v>#N/A</v>
      </c>
      <c r="L12776" s="1" t="str">
        <f>IFERROR(__xludf.DUMMYFUNCTION("""COMPUTED_VALUE"""),"#N/A")</f>
        <v>#N/A</v>
      </c>
    </row>
    <row r="12777">
      <c r="A12777" s="1" t="str">
        <f>IFERROR(__xludf.DUMMYFUNCTION("""COMPUTED_VALUE"""),"#VALUE!")</f>
        <v>#VALUE!</v>
      </c>
      <c r="B12777" s="4"/>
      <c r="C12777" s="1" t="str">
        <f>IFERROR(__xludf.DUMMYFUNCTION("""COMPUTED_VALUE"""),"#N/A")</f>
        <v>#N/A</v>
      </c>
      <c r="D12777" s="1"/>
      <c r="E12777" s="1"/>
      <c r="F12777" s="1"/>
      <c r="G12777" s="1"/>
      <c r="H12777" s="2">
        <f>IFERROR(__xludf.DUMMYFUNCTION("""COMPUTED_VALUE"""),0.0)</f>
        <v>0</v>
      </c>
      <c r="I12777" s="5"/>
      <c r="J12777" s="1" t="str">
        <f>IFERROR(__xludf.DUMMYFUNCTION("""COMPUTED_VALUE"""),"#N/A")</f>
        <v>#N/A</v>
      </c>
      <c r="K12777" s="1" t="str">
        <f>IFERROR(__xludf.DUMMYFUNCTION("""COMPUTED_VALUE"""),"#N/A")</f>
        <v>#N/A</v>
      </c>
      <c r="L12777" s="1" t="str">
        <f>IFERROR(__xludf.DUMMYFUNCTION("""COMPUTED_VALUE"""),"#N/A")</f>
        <v>#N/A</v>
      </c>
    </row>
    <row r="12778">
      <c r="A12778" s="1" t="str">
        <f>IFERROR(__xludf.DUMMYFUNCTION("""COMPUTED_VALUE"""),"#VALUE!")</f>
        <v>#VALUE!</v>
      </c>
      <c r="B12778" s="4"/>
      <c r="C12778" s="1" t="str">
        <f>IFERROR(__xludf.DUMMYFUNCTION("""COMPUTED_VALUE"""),"#N/A")</f>
        <v>#N/A</v>
      </c>
      <c r="D12778" s="1"/>
      <c r="E12778" s="1"/>
      <c r="F12778" s="1"/>
      <c r="G12778" s="1"/>
      <c r="H12778" s="2">
        <f>IFERROR(__xludf.DUMMYFUNCTION("""COMPUTED_VALUE"""),0.0)</f>
        <v>0</v>
      </c>
      <c r="I12778" s="5"/>
      <c r="J12778" s="1" t="str">
        <f>IFERROR(__xludf.DUMMYFUNCTION("""COMPUTED_VALUE"""),"#N/A")</f>
        <v>#N/A</v>
      </c>
      <c r="K12778" s="1" t="str">
        <f>IFERROR(__xludf.DUMMYFUNCTION("""COMPUTED_VALUE"""),"#N/A")</f>
        <v>#N/A</v>
      </c>
      <c r="L12778" s="1" t="str">
        <f>IFERROR(__xludf.DUMMYFUNCTION("""COMPUTED_VALUE"""),"#N/A")</f>
        <v>#N/A</v>
      </c>
    </row>
    <row r="12779">
      <c r="A12779" s="1" t="str">
        <f>IFERROR(__xludf.DUMMYFUNCTION("""COMPUTED_VALUE"""),"#VALUE!")</f>
        <v>#VALUE!</v>
      </c>
      <c r="B12779" s="4"/>
      <c r="C12779" s="1" t="str">
        <f>IFERROR(__xludf.DUMMYFUNCTION("""COMPUTED_VALUE"""),"#N/A")</f>
        <v>#N/A</v>
      </c>
      <c r="D12779" s="1"/>
      <c r="E12779" s="1"/>
      <c r="F12779" s="1"/>
      <c r="G12779" s="1"/>
      <c r="H12779" s="2">
        <f>IFERROR(__xludf.DUMMYFUNCTION("""COMPUTED_VALUE"""),0.0)</f>
        <v>0</v>
      </c>
      <c r="I12779" s="5"/>
      <c r="J12779" s="1" t="str">
        <f>IFERROR(__xludf.DUMMYFUNCTION("""COMPUTED_VALUE"""),"#N/A")</f>
        <v>#N/A</v>
      </c>
      <c r="K12779" s="1" t="str">
        <f>IFERROR(__xludf.DUMMYFUNCTION("""COMPUTED_VALUE"""),"#N/A")</f>
        <v>#N/A</v>
      </c>
      <c r="L12779" s="1" t="str">
        <f>IFERROR(__xludf.DUMMYFUNCTION("""COMPUTED_VALUE"""),"#N/A")</f>
        <v>#N/A</v>
      </c>
    </row>
    <row r="12780">
      <c r="A12780" s="1" t="str">
        <f>IFERROR(__xludf.DUMMYFUNCTION("""COMPUTED_VALUE"""),"#VALUE!")</f>
        <v>#VALUE!</v>
      </c>
      <c r="B12780" s="4"/>
      <c r="C12780" s="1" t="str">
        <f>IFERROR(__xludf.DUMMYFUNCTION("""COMPUTED_VALUE"""),"#N/A")</f>
        <v>#N/A</v>
      </c>
      <c r="D12780" s="1"/>
      <c r="E12780" s="1"/>
      <c r="F12780" s="1"/>
      <c r="G12780" s="1"/>
      <c r="H12780" s="2">
        <f>IFERROR(__xludf.DUMMYFUNCTION("""COMPUTED_VALUE"""),0.0)</f>
        <v>0</v>
      </c>
      <c r="I12780" s="5"/>
      <c r="J12780" s="1" t="str">
        <f>IFERROR(__xludf.DUMMYFUNCTION("""COMPUTED_VALUE"""),"#N/A")</f>
        <v>#N/A</v>
      </c>
      <c r="K12780" s="1" t="str">
        <f>IFERROR(__xludf.DUMMYFUNCTION("""COMPUTED_VALUE"""),"#N/A")</f>
        <v>#N/A</v>
      </c>
      <c r="L12780" s="1" t="str">
        <f>IFERROR(__xludf.DUMMYFUNCTION("""COMPUTED_VALUE"""),"#N/A")</f>
        <v>#N/A</v>
      </c>
    </row>
    <row r="12781">
      <c r="A12781" s="1" t="str">
        <f>IFERROR(__xludf.DUMMYFUNCTION("""COMPUTED_VALUE"""),"#VALUE!")</f>
        <v>#VALUE!</v>
      </c>
      <c r="B12781" s="4"/>
      <c r="C12781" s="1" t="str">
        <f>IFERROR(__xludf.DUMMYFUNCTION("""COMPUTED_VALUE"""),"#N/A")</f>
        <v>#N/A</v>
      </c>
      <c r="D12781" s="1"/>
      <c r="E12781" s="1"/>
      <c r="F12781" s="1"/>
      <c r="G12781" s="1"/>
      <c r="H12781" s="2">
        <f>IFERROR(__xludf.DUMMYFUNCTION("""COMPUTED_VALUE"""),0.0)</f>
        <v>0</v>
      </c>
      <c r="I12781" s="5"/>
      <c r="J12781" s="1" t="str">
        <f>IFERROR(__xludf.DUMMYFUNCTION("""COMPUTED_VALUE"""),"#N/A")</f>
        <v>#N/A</v>
      </c>
      <c r="K12781" s="1" t="str">
        <f>IFERROR(__xludf.DUMMYFUNCTION("""COMPUTED_VALUE"""),"#N/A")</f>
        <v>#N/A</v>
      </c>
      <c r="L12781" s="1" t="str">
        <f>IFERROR(__xludf.DUMMYFUNCTION("""COMPUTED_VALUE"""),"#N/A")</f>
        <v>#N/A</v>
      </c>
    </row>
    <row r="12782">
      <c r="A12782" s="1" t="str">
        <f>IFERROR(__xludf.DUMMYFUNCTION("""COMPUTED_VALUE"""),"#VALUE!")</f>
        <v>#VALUE!</v>
      </c>
      <c r="B12782" s="4"/>
      <c r="C12782" s="1" t="str">
        <f>IFERROR(__xludf.DUMMYFUNCTION("""COMPUTED_VALUE"""),"#N/A")</f>
        <v>#N/A</v>
      </c>
      <c r="D12782" s="1"/>
      <c r="E12782" s="1"/>
      <c r="F12782" s="1"/>
      <c r="G12782" s="1"/>
      <c r="H12782" s="2">
        <f>IFERROR(__xludf.DUMMYFUNCTION("""COMPUTED_VALUE"""),0.0)</f>
        <v>0</v>
      </c>
      <c r="I12782" s="5"/>
      <c r="J12782" s="1" t="str">
        <f>IFERROR(__xludf.DUMMYFUNCTION("""COMPUTED_VALUE"""),"#N/A")</f>
        <v>#N/A</v>
      </c>
      <c r="K12782" s="1" t="str">
        <f>IFERROR(__xludf.DUMMYFUNCTION("""COMPUTED_VALUE"""),"#N/A")</f>
        <v>#N/A</v>
      </c>
      <c r="L12782" s="1" t="str">
        <f>IFERROR(__xludf.DUMMYFUNCTION("""COMPUTED_VALUE"""),"#N/A")</f>
        <v>#N/A</v>
      </c>
    </row>
    <row r="12783">
      <c r="A12783" s="1" t="str">
        <f>IFERROR(__xludf.DUMMYFUNCTION("""COMPUTED_VALUE"""),"#VALUE!")</f>
        <v>#VALUE!</v>
      </c>
      <c r="B12783" s="4"/>
      <c r="C12783" s="1" t="str">
        <f>IFERROR(__xludf.DUMMYFUNCTION("""COMPUTED_VALUE"""),"#N/A")</f>
        <v>#N/A</v>
      </c>
      <c r="D12783" s="1"/>
      <c r="E12783" s="1"/>
      <c r="F12783" s="1"/>
      <c r="G12783" s="1"/>
      <c r="H12783" s="2">
        <f>IFERROR(__xludf.DUMMYFUNCTION("""COMPUTED_VALUE"""),0.0)</f>
        <v>0</v>
      </c>
      <c r="I12783" s="5"/>
      <c r="J12783" s="1" t="str">
        <f>IFERROR(__xludf.DUMMYFUNCTION("""COMPUTED_VALUE"""),"#N/A")</f>
        <v>#N/A</v>
      </c>
      <c r="K12783" s="1" t="str">
        <f>IFERROR(__xludf.DUMMYFUNCTION("""COMPUTED_VALUE"""),"#N/A")</f>
        <v>#N/A</v>
      </c>
      <c r="L12783" s="1" t="str">
        <f>IFERROR(__xludf.DUMMYFUNCTION("""COMPUTED_VALUE"""),"#N/A")</f>
        <v>#N/A</v>
      </c>
    </row>
    <row r="12784">
      <c r="A12784" s="1" t="str">
        <f>IFERROR(__xludf.DUMMYFUNCTION("""COMPUTED_VALUE"""),"#VALUE!")</f>
        <v>#VALUE!</v>
      </c>
      <c r="B12784" s="4"/>
      <c r="C12784" s="1" t="str">
        <f>IFERROR(__xludf.DUMMYFUNCTION("""COMPUTED_VALUE"""),"#N/A")</f>
        <v>#N/A</v>
      </c>
      <c r="D12784" s="1"/>
      <c r="E12784" s="1"/>
      <c r="F12784" s="1"/>
      <c r="G12784" s="1"/>
      <c r="H12784" s="2">
        <f>IFERROR(__xludf.DUMMYFUNCTION("""COMPUTED_VALUE"""),0.0)</f>
        <v>0</v>
      </c>
      <c r="I12784" s="5"/>
      <c r="J12784" s="1" t="str">
        <f>IFERROR(__xludf.DUMMYFUNCTION("""COMPUTED_VALUE"""),"#N/A")</f>
        <v>#N/A</v>
      </c>
      <c r="K12784" s="1" t="str">
        <f>IFERROR(__xludf.DUMMYFUNCTION("""COMPUTED_VALUE"""),"#N/A")</f>
        <v>#N/A</v>
      </c>
      <c r="L12784" s="1" t="str">
        <f>IFERROR(__xludf.DUMMYFUNCTION("""COMPUTED_VALUE"""),"#N/A")</f>
        <v>#N/A</v>
      </c>
    </row>
    <row r="12785">
      <c r="A12785" s="1" t="str">
        <f>IFERROR(__xludf.DUMMYFUNCTION("""COMPUTED_VALUE"""),"#VALUE!")</f>
        <v>#VALUE!</v>
      </c>
      <c r="B12785" s="4"/>
      <c r="C12785" s="1" t="str">
        <f>IFERROR(__xludf.DUMMYFUNCTION("""COMPUTED_VALUE"""),"#N/A")</f>
        <v>#N/A</v>
      </c>
      <c r="D12785" s="1"/>
      <c r="E12785" s="1"/>
      <c r="F12785" s="1"/>
      <c r="G12785" s="1"/>
      <c r="H12785" s="2">
        <f>IFERROR(__xludf.DUMMYFUNCTION("""COMPUTED_VALUE"""),0.0)</f>
        <v>0</v>
      </c>
      <c r="I12785" s="5"/>
      <c r="J12785" s="1" t="str">
        <f>IFERROR(__xludf.DUMMYFUNCTION("""COMPUTED_VALUE"""),"#N/A")</f>
        <v>#N/A</v>
      </c>
      <c r="K12785" s="1" t="str">
        <f>IFERROR(__xludf.DUMMYFUNCTION("""COMPUTED_VALUE"""),"#N/A")</f>
        <v>#N/A</v>
      </c>
      <c r="L12785" s="1" t="str">
        <f>IFERROR(__xludf.DUMMYFUNCTION("""COMPUTED_VALUE"""),"#N/A")</f>
        <v>#N/A</v>
      </c>
    </row>
    <row r="12786">
      <c r="A12786" s="1" t="str">
        <f>IFERROR(__xludf.DUMMYFUNCTION("""COMPUTED_VALUE"""),"#VALUE!")</f>
        <v>#VALUE!</v>
      </c>
      <c r="B12786" s="4"/>
      <c r="C12786" s="1" t="str">
        <f>IFERROR(__xludf.DUMMYFUNCTION("""COMPUTED_VALUE"""),"#N/A")</f>
        <v>#N/A</v>
      </c>
      <c r="D12786" s="1"/>
      <c r="E12786" s="1"/>
      <c r="F12786" s="1"/>
      <c r="G12786" s="1"/>
      <c r="H12786" s="2">
        <f>IFERROR(__xludf.DUMMYFUNCTION("""COMPUTED_VALUE"""),0.0)</f>
        <v>0</v>
      </c>
      <c r="I12786" s="5"/>
      <c r="J12786" s="1" t="str">
        <f>IFERROR(__xludf.DUMMYFUNCTION("""COMPUTED_VALUE"""),"#N/A")</f>
        <v>#N/A</v>
      </c>
      <c r="K12786" s="1" t="str">
        <f>IFERROR(__xludf.DUMMYFUNCTION("""COMPUTED_VALUE"""),"#N/A")</f>
        <v>#N/A</v>
      </c>
      <c r="L12786" s="1" t="str">
        <f>IFERROR(__xludf.DUMMYFUNCTION("""COMPUTED_VALUE"""),"#N/A")</f>
        <v>#N/A</v>
      </c>
    </row>
    <row r="12787">
      <c r="A12787" s="1" t="str">
        <f>IFERROR(__xludf.DUMMYFUNCTION("""COMPUTED_VALUE"""),"#VALUE!")</f>
        <v>#VALUE!</v>
      </c>
      <c r="B12787" s="4"/>
      <c r="C12787" s="1" t="str">
        <f>IFERROR(__xludf.DUMMYFUNCTION("""COMPUTED_VALUE"""),"#N/A")</f>
        <v>#N/A</v>
      </c>
      <c r="D12787" s="1"/>
      <c r="E12787" s="1"/>
      <c r="F12787" s="1"/>
      <c r="G12787" s="1"/>
      <c r="H12787" s="2">
        <f>IFERROR(__xludf.DUMMYFUNCTION("""COMPUTED_VALUE"""),0.0)</f>
        <v>0</v>
      </c>
      <c r="I12787" s="5"/>
      <c r="J12787" s="1" t="str">
        <f>IFERROR(__xludf.DUMMYFUNCTION("""COMPUTED_VALUE"""),"#N/A")</f>
        <v>#N/A</v>
      </c>
      <c r="K12787" s="1" t="str">
        <f>IFERROR(__xludf.DUMMYFUNCTION("""COMPUTED_VALUE"""),"#N/A")</f>
        <v>#N/A</v>
      </c>
      <c r="L12787" s="1" t="str">
        <f>IFERROR(__xludf.DUMMYFUNCTION("""COMPUTED_VALUE"""),"#N/A")</f>
        <v>#N/A</v>
      </c>
    </row>
    <row r="12788">
      <c r="A12788" s="1" t="str">
        <f>IFERROR(__xludf.DUMMYFUNCTION("""COMPUTED_VALUE"""),"#VALUE!")</f>
        <v>#VALUE!</v>
      </c>
      <c r="B12788" s="4"/>
      <c r="C12788" s="1" t="str">
        <f>IFERROR(__xludf.DUMMYFUNCTION("""COMPUTED_VALUE"""),"#N/A")</f>
        <v>#N/A</v>
      </c>
      <c r="D12788" s="1"/>
      <c r="E12788" s="1"/>
      <c r="F12788" s="1"/>
      <c r="G12788" s="1"/>
      <c r="H12788" s="2">
        <f>IFERROR(__xludf.DUMMYFUNCTION("""COMPUTED_VALUE"""),0.0)</f>
        <v>0</v>
      </c>
      <c r="I12788" s="5"/>
      <c r="J12788" s="1" t="str">
        <f>IFERROR(__xludf.DUMMYFUNCTION("""COMPUTED_VALUE"""),"#N/A")</f>
        <v>#N/A</v>
      </c>
      <c r="K12788" s="1" t="str">
        <f>IFERROR(__xludf.DUMMYFUNCTION("""COMPUTED_VALUE"""),"#N/A")</f>
        <v>#N/A</v>
      </c>
      <c r="L12788" s="1" t="str">
        <f>IFERROR(__xludf.DUMMYFUNCTION("""COMPUTED_VALUE"""),"#N/A")</f>
        <v>#N/A</v>
      </c>
    </row>
    <row r="12789">
      <c r="A12789" s="1" t="str">
        <f>IFERROR(__xludf.DUMMYFUNCTION("""COMPUTED_VALUE"""),"#VALUE!")</f>
        <v>#VALUE!</v>
      </c>
      <c r="B12789" s="4"/>
      <c r="C12789" s="1" t="str">
        <f>IFERROR(__xludf.DUMMYFUNCTION("""COMPUTED_VALUE"""),"#N/A")</f>
        <v>#N/A</v>
      </c>
      <c r="D12789" s="1"/>
      <c r="E12789" s="1"/>
      <c r="F12789" s="1"/>
      <c r="G12789" s="1"/>
      <c r="H12789" s="2">
        <f>IFERROR(__xludf.DUMMYFUNCTION("""COMPUTED_VALUE"""),0.0)</f>
        <v>0</v>
      </c>
      <c r="I12789" s="5"/>
      <c r="J12789" s="1" t="str">
        <f>IFERROR(__xludf.DUMMYFUNCTION("""COMPUTED_VALUE"""),"#N/A")</f>
        <v>#N/A</v>
      </c>
      <c r="K12789" s="1" t="str">
        <f>IFERROR(__xludf.DUMMYFUNCTION("""COMPUTED_VALUE"""),"#N/A")</f>
        <v>#N/A</v>
      </c>
      <c r="L12789" s="1" t="str">
        <f>IFERROR(__xludf.DUMMYFUNCTION("""COMPUTED_VALUE"""),"#N/A")</f>
        <v>#N/A</v>
      </c>
    </row>
    <row r="12790">
      <c r="A12790" s="1" t="str">
        <f>IFERROR(__xludf.DUMMYFUNCTION("""COMPUTED_VALUE"""),"#VALUE!")</f>
        <v>#VALUE!</v>
      </c>
      <c r="B12790" s="4"/>
      <c r="C12790" s="1" t="str">
        <f>IFERROR(__xludf.DUMMYFUNCTION("""COMPUTED_VALUE"""),"#N/A")</f>
        <v>#N/A</v>
      </c>
      <c r="D12790" s="1"/>
      <c r="E12790" s="1"/>
      <c r="F12790" s="1"/>
      <c r="G12790" s="1"/>
      <c r="H12790" s="2">
        <f>IFERROR(__xludf.DUMMYFUNCTION("""COMPUTED_VALUE"""),0.0)</f>
        <v>0</v>
      </c>
      <c r="I12790" s="5"/>
      <c r="J12790" s="1" t="str">
        <f>IFERROR(__xludf.DUMMYFUNCTION("""COMPUTED_VALUE"""),"#N/A")</f>
        <v>#N/A</v>
      </c>
      <c r="K12790" s="1" t="str">
        <f>IFERROR(__xludf.DUMMYFUNCTION("""COMPUTED_VALUE"""),"#N/A")</f>
        <v>#N/A</v>
      </c>
      <c r="L12790" s="1" t="str">
        <f>IFERROR(__xludf.DUMMYFUNCTION("""COMPUTED_VALUE"""),"#N/A")</f>
        <v>#N/A</v>
      </c>
    </row>
    <row r="12791">
      <c r="A12791" s="1" t="str">
        <f>IFERROR(__xludf.DUMMYFUNCTION("""COMPUTED_VALUE"""),"#VALUE!")</f>
        <v>#VALUE!</v>
      </c>
      <c r="B12791" s="4"/>
      <c r="C12791" s="1" t="str">
        <f>IFERROR(__xludf.DUMMYFUNCTION("""COMPUTED_VALUE"""),"#N/A")</f>
        <v>#N/A</v>
      </c>
      <c r="D12791" s="1"/>
      <c r="E12791" s="1"/>
      <c r="F12791" s="1"/>
      <c r="G12791" s="1"/>
      <c r="H12791" s="2">
        <f>IFERROR(__xludf.DUMMYFUNCTION("""COMPUTED_VALUE"""),0.0)</f>
        <v>0</v>
      </c>
      <c r="I12791" s="5"/>
      <c r="J12791" s="1" t="str">
        <f>IFERROR(__xludf.DUMMYFUNCTION("""COMPUTED_VALUE"""),"#N/A")</f>
        <v>#N/A</v>
      </c>
      <c r="K12791" s="1" t="str">
        <f>IFERROR(__xludf.DUMMYFUNCTION("""COMPUTED_VALUE"""),"#N/A")</f>
        <v>#N/A</v>
      </c>
      <c r="L12791" s="1" t="str">
        <f>IFERROR(__xludf.DUMMYFUNCTION("""COMPUTED_VALUE"""),"#N/A")</f>
        <v>#N/A</v>
      </c>
    </row>
    <row r="12792">
      <c r="A12792" s="1" t="str">
        <f>IFERROR(__xludf.DUMMYFUNCTION("""COMPUTED_VALUE"""),"#VALUE!")</f>
        <v>#VALUE!</v>
      </c>
      <c r="B12792" s="4"/>
      <c r="C12792" s="1" t="str">
        <f>IFERROR(__xludf.DUMMYFUNCTION("""COMPUTED_VALUE"""),"#N/A")</f>
        <v>#N/A</v>
      </c>
      <c r="D12792" s="1"/>
      <c r="E12792" s="1"/>
      <c r="F12792" s="1"/>
      <c r="G12792" s="1"/>
      <c r="H12792" s="2">
        <f>IFERROR(__xludf.DUMMYFUNCTION("""COMPUTED_VALUE"""),0.0)</f>
        <v>0</v>
      </c>
      <c r="I12792" s="5"/>
      <c r="J12792" s="1" t="str">
        <f>IFERROR(__xludf.DUMMYFUNCTION("""COMPUTED_VALUE"""),"#N/A")</f>
        <v>#N/A</v>
      </c>
      <c r="K12792" s="1" t="str">
        <f>IFERROR(__xludf.DUMMYFUNCTION("""COMPUTED_VALUE"""),"#N/A")</f>
        <v>#N/A</v>
      </c>
      <c r="L12792" s="1" t="str">
        <f>IFERROR(__xludf.DUMMYFUNCTION("""COMPUTED_VALUE"""),"#N/A")</f>
        <v>#N/A</v>
      </c>
    </row>
    <row r="12793">
      <c r="A12793" s="1" t="str">
        <f>IFERROR(__xludf.DUMMYFUNCTION("""COMPUTED_VALUE"""),"#VALUE!")</f>
        <v>#VALUE!</v>
      </c>
      <c r="B12793" s="4"/>
      <c r="C12793" s="1" t="str">
        <f>IFERROR(__xludf.DUMMYFUNCTION("""COMPUTED_VALUE"""),"#N/A")</f>
        <v>#N/A</v>
      </c>
      <c r="D12793" s="1"/>
      <c r="E12793" s="1"/>
      <c r="F12793" s="1"/>
      <c r="G12793" s="1"/>
      <c r="H12793" s="2">
        <f>IFERROR(__xludf.DUMMYFUNCTION("""COMPUTED_VALUE"""),0.0)</f>
        <v>0</v>
      </c>
      <c r="I12793" s="5"/>
      <c r="J12793" s="1" t="str">
        <f>IFERROR(__xludf.DUMMYFUNCTION("""COMPUTED_VALUE"""),"#N/A")</f>
        <v>#N/A</v>
      </c>
      <c r="K12793" s="1" t="str">
        <f>IFERROR(__xludf.DUMMYFUNCTION("""COMPUTED_VALUE"""),"#N/A")</f>
        <v>#N/A</v>
      </c>
      <c r="L12793" s="1" t="str">
        <f>IFERROR(__xludf.DUMMYFUNCTION("""COMPUTED_VALUE"""),"#N/A")</f>
        <v>#N/A</v>
      </c>
    </row>
    <row r="12794">
      <c r="A12794" s="1" t="str">
        <f>IFERROR(__xludf.DUMMYFUNCTION("""COMPUTED_VALUE"""),"#VALUE!")</f>
        <v>#VALUE!</v>
      </c>
      <c r="B12794" s="4"/>
      <c r="C12794" s="1" t="str">
        <f>IFERROR(__xludf.DUMMYFUNCTION("""COMPUTED_VALUE"""),"#N/A")</f>
        <v>#N/A</v>
      </c>
      <c r="D12794" s="1"/>
      <c r="E12794" s="1"/>
      <c r="F12794" s="1"/>
      <c r="G12794" s="1"/>
      <c r="H12794" s="2">
        <f>IFERROR(__xludf.DUMMYFUNCTION("""COMPUTED_VALUE"""),0.0)</f>
        <v>0</v>
      </c>
      <c r="I12794" s="5"/>
      <c r="J12794" s="1" t="str">
        <f>IFERROR(__xludf.DUMMYFUNCTION("""COMPUTED_VALUE"""),"#N/A")</f>
        <v>#N/A</v>
      </c>
      <c r="K12794" s="1" t="str">
        <f>IFERROR(__xludf.DUMMYFUNCTION("""COMPUTED_VALUE"""),"#N/A")</f>
        <v>#N/A</v>
      </c>
      <c r="L12794" s="1" t="str">
        <f>IFERROR(__xludf.DUMMYFUNCTION("""COMPUTED_VALUE"""),"#N/A")</f>
        <v>#N/A</v>
      </c>
    </row>
    <row r="12795">
      <c r="A12795" s="1" t="str">
        <f>IFERROR(__xludf.DUMMYFUNCTION("""COMPUTED_VALUE"""),"#VALUE!")</f>
        <v>#VALUE!</v>
      </c>
      <c r="B12795" s="4"/>
      <c r="C12795" s="1" t="str">
        <f>IFERROR(__xludf.DUMMYFUNCTION("""COMPUTED_VALUE"""),"#N/A")</f>
        <v>#N/A</v>
      </c>
      <c r="D12795" s="1"/>
      <c r="E12795" s="1"/>
      <c r="F12795" s="1"/>
      <c r="G12795" s="1"/>
      <c r="H12795" s="2">
        <f>IFERROR(__xludf.DUMMYFUNCTION("""COMPUTED_VALUE"""),0.0)</f>
        <v>0</v>
      </c>
      <c r="I12795" s="5"/>
      <c r="J12795" s="1" t="str">
        <f>IFERROR(__xludf.DUMMYFUNCTION("""COMPUTED_VALUE"""),"#N/A")</f>
        <v>#N/A</v>
      </c>
      <c r="K12795" s="1" t="str">
        <f>IFERROR(__xludf.DUMMYFUNCTION("""COMPUTED_VALUE"""),"#N/A")</f>
        <v>#N/A</v>
      </c>
      <c r="L12795" s="1" t="str">
        <f>IFERROR(__xludf.DUMMYFUNCTION("""COMPUTED_VALUE"""),"#N/A")</f>
        <v>#N/A</v>
      </c>
    </row>
    <row r="12796">
      <c r="A12796" s="1" t="str">
        <f>IFERROR(__xludf.DUMMYFUNCTION("""COMPUTED_VALUE"""),"#VALUE!")</f>
        <v>#VALUE!</v>
      </c>
      <c r="B12796" s="4"/>
      <c r="C12796" s="1" t="str">
        <f>IFERROR(__xludf.DUMMYFUNCTION("""COMPUTED_VALUE"""),"#N/A")</f>
        <v>#N/A</v>
      </c>
      <c r="D12796" s="1"/>
      <c r="E12796" s="1"/>
      <c r="F12796" s="1"/>
      <c r="G12796" s="1"/>
      <c r="H12796" s="2">
        <f>IFERROR(__xludf.DUMMYFUNCTION("""COMPUTED_VALUE"""),0.0)</f>
        <v>0</v>
      </c>
      <c r="I12796" s="5"/>
      <c r="J12796" s="1" t="str">
        <f>IFERROR(__xludf.DUMMYFUNCTION("""COMPUTED_VALUE"""),"#N/A")</f>
        <v>#N/A</v>
      </c>
      <c r="K12796" s="1" t="str">
        <f>IFERROR(__xludf.DUMMYFUNCTION("""COMPUTED_VALUE"""),"#N/A")</f>
        <v>#N/A</v>
      </c>
      <c r="L12796" s="1" t="str">
        <f>IFERROR(__xludf.DUMMYFUNCTION("""COMPUTED_VALUE"""),"#N/A")</f>
        <v>#N/A</v>
      </c>
    </row>
    <row r="12797">
      <c r="A12797" s="1" t="str">
        <f>IFERROR(__xludf.DUMMYFUNCTION("""COMPUTED_VALUE"""),"#VALUE!")</f>
        <v>#VALUE!</v>
      </c>
      <c r="B12797" s="4"/>
      <c r="C12797" s="1" t="str">
        <f>IFERROR(__xludf.DUMMYFUNCTION("""COMPUTED_VALUE"""),"#N/A")</f>
        <v>#N/A</v>
      </c>
      <c r="D12797" s="1"/>
      <c r="E12797" s="1"/>
      <c r="F12797" s="1"/>
      <c r="G12797" s="1"/>
      <c r="H12797" s="2">
        <f>IFERROR(__xludf.DUMMYFUNCTION("""COMPUTED_VALUE"""),0.0)</f>
        <v>0</v>
      </c>
      <c r="I12797" s="5"/>
      <c r="J12797" s="1" t="str">
        <f>IFERROR(__xludf.DUMMYFUNCTION("""COMPUTED_VALUE"""),"#N/A")</f>
        <v>#N/A</v>
      </c>
      <c r="K12797" s="1" t="str">
        <f>IFERROR(__xludf.DUMMYFUNCTION("""COMPUTED_VALUE"""),"#N/A")</f>
        <v>#N/A</v>
      </c>
      <c r="L12797" s="1" t="str">
        <f>IFERROR(__xludf.DUMMYFUNCTION("""COMPUTED_VALUE"""),"#N/A")</f>
        <v>#N/A</v>
      </c>
    </row>
    <row r="12798">
      <c r="A12798" s="1" t="str">
        <f>IFERROR(__xludf.DUMMYFUNCTION("""COMPUTED_VALUE"""),"#VALUE!")</f>
        <v>#VALUE!</v>
      </c>
      <c r="B12798" s="4"/>
      <c r="C12798" s="1" t="str">
        <f>IFERROR(__xludf.DUMMYFUNCTION("""COMPUTED_VALUE"""),"#N/A")</f>
        <v>#N/A</v>
      </c>
      <c r="D12798" s="1"/>
      <c r="E12798" s="1"/>
      <c r="F12798" s="1"/>
      <c r="G12798" s="1"/>
      <c r="H12798" s="2">
        <f>IFERROR(__xludf.DUMMYFUNCTION("""COMPUTED_VALUE"""),0.0)</f>
        <v>0</v>
      </c>
      <c r="I12798" s="5"/>
      <c r="J12798" s="1" t="str">
        <f>IFERROR(__xludf.DUMMYFUNCTION("""COMPUTED_VALUE"""),"#N/A")</f>
        <v>#N/A</v>
      </c>
      <c r="K12798" s="1" t="str">
        <f>IFERROR(__xludf.DUMMYFUNCTION("""COMPUTED_VALUE"""),"#N/A")</f>
        <v>#N/A</v>
      </c>
      <c r="L12798" s="1" t="str">
        <f>IFERROR(__xludf.DUMMYFUNCTION("""COMPUTED_VALUE"""),"#N/A")</f>
        <v>#N/A</v>
      </c>
    </row>
    <row r="12799">
      <c r="A12799" s="1" t="str">
        <f>IFERROR(__xludf.DUMMYFUNCTION("""COMPUTED_VALUE"""),"#VALUE!")</f>
        <v>#VALUE!</v>
      </c>
      <c r="B12799" s="4"/>
      <c r="C12799" s="1" t="str">
        <f>IFERROR(__xludf.DUMMYFUNCTION("""COMPUTED_VALUE"""),"#N/A")</f>
        <v>#N/A</v>
      </c>
      <c r="D12799" s="1"/>
      <c r="E12799" s="1"/>
      <c r="F12799" s="1"/>
      <c r="G12799" s="1"/>
      <c r="H12799" s="2">
        <f>IFERROR(__xludf.DUMMYFUNCTION("""COMPUTED_VALUE"""),0.0)</f>
        <v>0</v>
      </c>
      <c r="I12799" s="5"/>
      <c r="J12799" s="1" t="str">
        <f>IFERROR(__xludf.DUMMYFUNCTION("""COMPUTED_VALUE"""),"#N/A")</f>
        <v>#N/A</v>
      </c>
      <c r="K12799" s="1" t="str">
        <f>IFERROR(__xludf.DUMMYFUNCTION("""COMPUTED_VALUE"""),"#N/A")</f>
        <v>#N/A</v>
      </c>
      <c r="L12799" s="1" t="str">
        <f>IFERROR(__xludf.DUMMYFUNCTION("""COMPUTED_VALUE"""),"#N/A")</f>
        <v>#N/A</v>
      </c>
    </row>
    <row r="12800">
      <c r="A12800" s="1" t="str">
        <f>IFERROR(__xludf.DUMMYFUNCTION("""COMPUTED_VALUE"""),"#VALUE!")</f>
        <v>#VALUE!</v>
      </c>
      <c r="B12800" s="4"/>
      <c r="C12800" s="1" t="str">
        <f>IFERROR(__xludf.DUMMYFUNCTION("""COMPUTED_VALUE"""),"#N/A")</f>
        <v>#N/A</v>
      </c>
      <c r="D12800" s="1"/>
      <c r="E12800" s="1"/>
      <c r="F12800" s="1"/>
      <c r="G12800" s="1"/>
      <c r="H12800" s="2">
        <f>IFERROR(__xludf.DUMMYFUNCTION("""COMPUTED_VALUE"""),0.0)</f>
        <v>0</v>
      </c>
      <c r="I12800" s="5"/>
      <c r="J12800" s="1" t="str">
        <f>IFERROR(__xludf.DUMMYFUNCTION("""COMPUTED_VALUE"""),"#N/A")</f>
        <v>#N/A</v>
      </c>
      <c r="K12800" s="1" t="str">
        <f>IFERROR(__xludf.DUMMYFUNCTION("""COMPUTED_VALUE"""),"#N/A")</f>
        <v>#N/A</v>
      </c>
      <c r="L12800" s="1" t="str">
        <f>IFERROR(__xludf.DUMMYFUNCTION("""COMPUTED_VALUE"""),"#N/A")</f>
        <v>#N/A</v>
      </c>
    </row>
    <row r="12801">
      <c r="A12801" s="1" t="str">
        <f>IFERROR(__xludf.DUMMYFUNCTION("""COMPUTED_VALUE"""),"#VALUE!")</f>
        <v>#VALUE!</v>
      </c>
      <c r="B12801" s="4"/>
      <c r="C12801" s="1" t="str">
        <f>IFERROR(__xludf.DUMMYFUNCTION("""COMPUTED_VALUE"""),"#N/A")</f>
        <v>#N/A</v>
      </c>
      <c r="D12801" s="1"/>
      <c r="E12801" s="1"/>
      <c r="F12801" s="1"/>
      <c r="G12801" s="1"/>
      <c r="H12801" s="2">
        <f>IFERROR(__xludf.DUMMYFUNCTION("""COMPUTED_VALUE"""),0.0)</f>
        <v>0</v>
      </c>
      <c r="I12801" s="5"/>
      <c r="J12801" s="1" t="str">
        <f>IFERROR(__xludf.DUMMYFUNCTION("""COMPUTED_VALUE"""),"#N/A")</f>
        <v>#N/A</v>
      </c>
      <c r="K12801" s="1" t="str">
        <f>IFERROR(__xludf.DUMMYFUNCTION("""COMPUTED_VALUE"""),"#N/A")</f>
        <v>#N/A</v>
      </c>
      <c r="L12801" s="1" t="str">
        <f>IFERROR(__xludf.DUMMYFUNCTION("""COMPUTED_VALUE"""),"#N/A")</f>
        <v>#N/A</v>
      </c>
    </row>
    <row r="12802">
      <c r="A12802" s="1" t="str">
        <f>IFERROR(__xludf.DUMMYFUNCTION("""COMPUTED_VALUE"""),"#VALUE!")</f>
        <v>#VALUE!</v>
      </c>
      <c r="B12802" s="4"/>
      <c r="C12802" s="1" t="str">
        <f>IFERROR(__xludf.DUMMYFUNCTION("""COMPUTED_VALUE"""),"#N/A")</f>
        <v>#N/A</v>
      </c>
      <c r="D12802" s="1"/>
      <c r="E12802" s="1"/>
      <c r="F12802" s="1"/>
      <c r="G12802" s="1"/>
      <c r="H12802" s="2">
        <f>IFERROR(__xludf.DUMMYFUNCTION("""COMPUTED_VALUE"""),0.0)</f>
        <v>0</v>
      </c>
      <c r="I12802" s="5"/>
      <c r="J12802" s="1" t="str">
        <f>IFERROR(__xludf.DUMMYFUNCTION("""COMPUTED_VALUE"""),"#N/A")</f>
        <v>#N/A</v>
      </c>
      <c r="K12802" s="1" t="str">
        <f>IFERROR(__xludf.DUMMYFUNCTION("""COMPUTED_VALUE"""),"#N/A")</f>
        <v>#N/A</v>
      </c>
      <c r="L12802" s="1" t="str">
        <f>IFERROR(__xludf.DUMMYFUNCTION("""COMPUTED_VALUE"""),"#N/A")</f>
        <v>#N/A</v>
      </c>
    </row>
    <row r="12803">
      <c r="A12803" s="1" t="str">
        <f>IFERROR(__xludf.DUMMYFUNCTION("""COMPUTED_VALUE"""),"#VALUE!")</f>
        <v>#VALUE!</v>
      </c>
      <c r="B12803" s="4"/>
      <c r="C12803" s="1" t="str">
        <f>IFERROR(__xludf.DUMMYFUNCTION("""COMPUTED_VALUE"""),"#N/A")</f>
        <v>#N/A</v>
      </c>
      <c r="D12803" s="1"/>
      <c r="E12803" s="1"/>
      <c r="F12803" s="1"/>
      <c r="G12803" s="1"/>
      <c r="H12803" s="2">
        <f>IFERROR(__xludf.DUMMYFUNCTION("""COMPUTED_VALUE"""),0.0)</f>
        <v>0</v>
      </c>
      <c r="I12803" s="5"/>
      <c r="J12803" s="1" t="str">
        <f>IFERROR(__xludf.DUMMYFUNCTION("""COMPUTED_VALUE"""),"#N/A")</f>
        <v>#N/A</v>
      </c>
      <c r="K12803" s="1" t="str">
        <f>IFERROR(__xludf.DUMMYFUNCTION("""COMPUTED_VALUE"""),"#N/A")</f>
        <v>#N/A</v>
      </c>
      <c r="L12803" s="1" t="str">
        <f>IFERROR(__xludf.DUMMYFUNCTION("""COMPUTED_VALUE"""),"#N/A")</f>
        <v>#N/A</v>
      </c>
    </row>
    <row r="12804">
      <c r="A12804" s="1" t="str">
        <f>IFERROR(__xludf.DUMMYFUNCTION("""COMPUTED_VALUE"""),"#VALUE!")</f>
        <v>#VALUE!</v>
      </c>
      <c r="B12804" s="4"/>
      <c r="C12804" s="1" t="str">
        <f>IFERROR(__xludf.DUMMYFUNCTION("""COMPUTED_VALUE"""),"#N/A")</f>
        <v>#N/A</v>
      </c>
      <c r="D12804" s="1"/>
      <c r="E12804" s="1"/>
      <c r="F12804" s="1"/>
      <c r="G12804" s="1"/>
      <c r="H12804" s="2">
        <f>IFERROR(__xludf.DUMMYFUNCTION("""COMPUTED_VALUE"""),0.0)</f>
        <v>0</v>
      </c>
      <c r="I12804" s="5"/>
      <c r="J12804" s="1" t="str">
        <f>IFERROR(__xludf.DUMMYFUNCTION("""COMPUTED_VALUE"""),"#N/A")</f>
        <v>#N/A</v>
      </c>
      <c r="K12804" s="1" t="str">
        <f>IFERROR(__xludf.DUMMYFUNCTION("""COMPUTED_VALUE"""),"#N/A")</f>
        <v>#N/A</v>
      </c>
      <c r="L12804" s="1" t="str">
        <f>IFERROR(__xludf.DUMMYFUNCTION("""COMPUTED_VALUE"""),"#N/A")</f>
        <v>#N/A</v>
      </c>
    </row>
    <row r="12805">
      <c r="A12805" s="1" t="str">
        <f>IFERROR(__xludf.DUMMYFUNCTION("""COMPUTED_VALUE"""),"#VALUE!")</f>
        <v>#VALUE!</v>
      </c>
      <c r="B12805" s="4"/>
      <c r="C12805" s="1" t="str">
        <f>IFERROR(__xludf.DUMMYFUNCTION("""COMPUTED_VALUE"""),"#N/A")</f>
        <v>#N/A</v>
      </c>
      <c r="D12805" s="1"/>
      <c r="E12805" s="1"/>
      <c r="F12805" s="1"/>
      <c r="G12805" s="1"/>
      <c r="H12805" s="2">
        <f>IFERROR(__xludf.DUMMYFUNCTION("""COMPUTED_VALUE"""),0.0)</f>
        <v>0</v>
      </c>
      <c r="I12805" s="5"/>
      <c r="J12805" s="1" t="str">
        <f>IFERROR(__xludf.DUMMYFUNCTION("""COMPUTED_VALUE"""),"#N/A")</f>
        <v>#N/A</v>
      </c>
      <c r="K12805" s="1" t="str">
        <f>IFERROR(__xludf.DUMMYFUNCTION("""COMPUTED_VALUE"""),"#N/A")</f>
        <v>#N/A</v>
      </c>
      <c r="L12805" s="1" t="str">
        <f>IFERROR(__xludf.DUMMYFUNCTION("""COMPUTED_VALUE"""),"#N/A")</f>
        <v>#N/A</v>
      </c>
    </row>
    <row r="12806">
      <c r="A12806" s="1" t="str">
        <f>IFERROR(__xludf.DUMMYFUNCTION("""COMPUTED_VALUE"""),"#VALUE!")</f>
        <v>#VALUE!</v>
      </c>
      <c r="B12806" s="4"/>
      <c r="C12806" s="1" t="str">
        <f>IFERROR(__xludf.DUMMYFUNCTION("""COMPUTED_VALUE"""),"#N/A")</f>
        <v>#N/A</v>
      </c>
      <c r="D12806" s="1"/>
      <c r="E12806" s="1"/>
      <c r="F12806" s="1"/>
      <c r="G12806" s="1"/>
      <c r="H12806" s="2">
        <f>IFERROR(__xludf.DUMMYFUNCTION("""COMPUTED_VALUE"""),0.0)</f>
        <v>0</v>
      </c>
      <c r="I12806" s="5"/>
      <c r="J12806" s="1" t="str">
        <f>IFERROR(__xludf.DUMMYFUNCTION("""COMPUTED_VALUE"""),"#N/A")</f>
        <v>#N/A</v>
      </c>
      <c r="K12806" s="1" t="str">
        <f>IFERROR(__xludf.DUMMYFUNCTION("""COMPUTED_VALUE"""),"#N/A")</f>
        <v>#N/A</v>
      </c>
      <c r="L12806" s="1" t="str">
        <f>IFERROR(__xludf.DUMMYFUNCTION("""COMPUTED_VALUE"""),"#N/A")</f>
        <v>#N/A</v>
      </c>
    </row>
    <row r="12807">
      <c r="A12807" s="1" t="str">
        <f>IFERROR(__xludf.DUMMYFUNCTION("""COMPUTED_VALUE"""),"#VALUE!")</f>
        <v>#VALUE!</v>
      </c>
      <c r="B12807" s="4"/>
      <c r="C12807" s="1" t="str">
        <f>IFERROR(__xludf.DUMMYFUNCTION("""COMPUTED_VALUE"""),"#N/A")</f>
        <v>#N/A</v>
      </c>
      <c r="D12807" s="1"/>
      <c r="E12807" s="1"/>
      <c r="F12807" s="1"/>
      <c r="G12807" s="1"/>
      <c r="H12807" s="2">
        <f>IFERROR(__xludf.DUMMYFUNCTION("""COMPUTED_VALUE"""),0.0)</f>
        <v>0</v>
      </c>
      <c r="I12807" s="5"/>
      <c r="J12807" s="1" t="str">
        <f>IFERROR(__xludf.DUMMYFUNCTION("""COMPUTED_VALUE"""),"#N/A")</f>
        <v>#N/A</v>
      </c>
      <c r="K12807" s="1" t="str">
        <f>IFERROR(__xludf.DUMMYFUNCTION("""COMPUTED_VALUE"""),"#N/A")</f>
        <v>#N/A</v>
      </c>
      <c r="L12807" s="1" t="str">
        <f>IFERROR(__xludf.DUMMYFUNCTION("""COMPUTED_VALUE"""),"#N/A")</f>
        <v>#N/A</v>
      </c>
    </row>
    <row r="12808">
      <c r="A12808" s="1" t="str">
        <f>IFERROR(__xludf.DUMMYFUNCTION("""COMPUTED_VALUE"""),"#VALUE!")</f>
        <v>#VALUE!</v>
      </c>
      <c r="B12808" s="4"/>
      <c r="C12808" s="1" t="str">
        <f>IFERROR(__xludf.DUMMYFUNCTION("""COMPUTED_VALUE"""),"#N/A")</f>
        <v>#N/A</v>
      </c>
      <c r="D12808" s="1"/>
      <c r="E12808" s="1"/>
      <c r="F12808" s="1"/>
      <c r="G12808" s="1"/>
      <c r="H12808" s="2">
        <f>IFERROR(__xludf.DUMMYFUNCTION("""COMPUTED_VALUE"""),0.0)</f>
        <v>0</v>
      </c>
      <c r="I12808" s="5"/>
      <c r="J12808" s="1" t="str">
        <f>IFERROR(__xludf.DUMMYFUNCTION("""COMPUTED_VALUE"""),"#N/A")</f>
        <v>#N/A</v>
      </c>
      <c r="K12808" s="1" t="str">
        <f>IFERROR(__xludf.DUMMYFUNCTION("""COMPUTED_VALUE"""),"#N/A")</f>
        <v>#N/A</v>
      </c>
      <c r="L12808" s="1" t="str">
        <f>IFERROR(__xludf.DUMMYFUNCTION("""COMPUTED_VALUE"""),"#N/A")</f>
        <v>#N/A</v>
      </c>
    </row>
    <row r="12809">
      <c r="A12809" s="1" t="str">
        <f>IFERROR(__xludf.DUMMYFUNCTION("""COMPUTED_VALUE"""),"#VALUE!")</f>
        <v>#VALUE!</v>
      </c>
      <c r="B12809" s="4"/>
      <c r="C12809" s="1" t="str">
        <f>IFERROR(__xludf.DUMMYFUNCTION("""COMPUTED_VALUE"""),"#N/A")</f>
        <v>#N/A</v>
      </c>
      <c r="D12809" s="1"/>
      <c r="E12809" s="1"/>
      <c r="F12809" s="1"/>
      <c r="G12809" s="1"/>
      <c r="H12809" s="2">
        <f>IFERROR(__xludf.DUMMYFUNCTION("""COMPUTED_VALUE"""),0.0)</f>
        <v>0</v>
      </c>
      <c r="I12809" s="5"/>
      <c r="J12809" s="1" t="str">
        <f>IFERROR(__xludf.DUMMYFUNCTION("""COMPUTED_VALUE"""),"#N/A")</f>
        <v>#N/A</v>
      </c>
      <c r="K12809" s="1" t="str">
        <f>IFERROR(__xludf.DUMMYFUNCTION("""COMPUTED_VALUE"""),"#N/A")</f>
        <v>#N/A</v>
      </c>
      <c r="L12809" s="1" t="str">
        <f>IFERROR(__xludf.DUMMYFUNCTION("""COMPUTED_VALUE"""),"#N/A")</f>
        <v>#N/A</v>
      </c>
    </row>
    <row r="12810">
      <c r="A12810" s="1" t="str">
        <f>IFERROR(__xludf.DUMMYFUNCTION("""COMPUTED_VALUE"""),"#VALUE!")</f>
        <v>#VALUE!</v>
      </c>
      <c r="B12810" s="4"/>
      <c r="C12810" s="1" t="str">
        <f>IFERROR(__xludf.DUMMYFUNCTION("""COMPUTED_VALUE"""),"#N/A")</f>
        <v>#N/A</v>
      </c>
      <c r="D12810" s="1"/>
      <c r="E12810" s="1"/>
      <c r="F12810" s="1"/>
      <c r="G12810" s="1"/>
      <c r="H12810" s="2">
        <f>IFERROR(__xludf.DUMMYFUNCTION("""COMPUTED_VALUE"""),0.0)</f>
        <v>0</v>
      </c>
      <c r="I12810" s="5"/>
      <c r="J12810" s="1" t="str">
        <f>IFERROR(__xludf.DUMMYFUNCTION("""COMPUTED_VALUE"""),"#N/A")</f>
        <v>#N/A</v>
      </c>
      <c r="K12810" s="1" t="str">
        <f>IFERROR(__xludf.DUMMYFUNCTION("""COMPUTED_VALUE"""),"#N/A")</f>
        <v>#N/A</v>
      </c>
      <c r="L12810" s="1" t="str">
        <f>IFERROR(__xludf.DUMMYFUNCTION("""COMPUTED_VALUE"""),"#N/A")</f>
        <v>#N/A</v>
      </c>
    </row>
    <row r="12811">
      <c r="A12811" s="1" t="str">
        <f>IFERROR(__xludf.DUMMYFUNCTION("""COMPUTED_VALUE"""),"#VALUE!")</f>
        <v>#VALUE!</v>
      </c>
      <c r="B12811" s="4"/>
      <c r="C12811" s="1" t="str">
        <f>IFERROR(__xludf.DUMMYFUNCTION("""COMPUTED_VALUE"""),"#N/A")</f>
        <v>#N/A</v>
      </c>
      <c r="D12811" s="1"/>
      <c r="E12811" s="1"/>
      <c r="F12811" s="1"/>
      <c r="G12811" s="1"/>
      <c r="H12811" s="2">
        <f>IFERROR(__xludf.DUMMYFUNCTION("""COMPUTED_VALUE"""),0.0)</f>
        <v>0</v>
      </c>
      <c r="I12811" s="5"/>
      <c r="J12811" s="1" t="str">
        <f>IFERROR(__xludf.DUMMYFUNCTION("""COMPUTED_VALUE"""),"#N/A")</f>
        <v>#N/A</v>
      </c>
      <c r="K12811" s="1" t="str">
        <f>IFERROR(__xludf.DUMMYFUNCTION("""COMPUTED_VALUE"""),"#N/A")</f>
        <v>#N/A</v>
      </c>
      <c r="L12811" s="1" t="str">
        <f>IFERROR(__xludf.DUMMYFUNCTION("""COMPUTED_VALUE"""),"#N/A")</f>
        <v>#N/A</v>
      </c>
    </row>
    <row r="12812">
      <c r="A12812" s="1" t="str">
        <f>IFERROR(__xludf.DUMMYFUNCTION("""COMPUTED_VALUE"""),"#VALUE!")</f>
        <v>#VALUE!</v>
      </c>
      <c r="B12812" s="4"/>
      <c r="C12812" s="1" t="str">
        <f>IFERROR(__xludf.DUMMYFUNCTION("""COMPUTED_VALUE"""),"#N/A")</f>
        <v>#N/A</v>
      </c>
      <c r="D12812" s="1"/>
      <c r="E12812" s="1"/>
      <c r="F12812" s="1"/>
      <c r="G12812" s="1"/>
      <c r="H12812" s="2">
        <f>IFERROR(__xludf.DUMMYFUNCTION("""COMPUTED_VALUE"""),0.0)</f>
        <v>0</v>
      </c>
      <c r="I12812" s="5"/>
      <c r="J12812" s="1" t="str">
        <f>IFERROR(__xludf.DUMMYFUNCTION("""COMPUTED_VALUE"""),"#N/A")</f>
        <v>#N/A</v>
      </c>
      <c r="K12812" s="1" t="str">
        <f>IFERROR(__xludf.DUMMYFUNCTION("""COMPUTED_VALUE"""),"#N/A")</f>
        <v>#N/A</v>
      </c>
      <c r="L12812" s="1" t="str">
        <f>IFERROR(__xludf.DUMMYFUNCTION("""COMPUTED_VALUE"""),"#N/A")</f>
        <v>#N/A</v>
      </c>
    </row>
    <row r="12813">
      <c r="A12813" s="1" t="str">
        <f>IFERROR(__xludf.DUMMYFUNCTION("""COMPUTED_VALUE"""),"#VALUE!")</f>
        <v>#VALUE!</v>
      </c>
      <c r="B12813" s="4"/>
      <c r="C12813" s="1" t="str">
        <f>IFERROR(__xludf.DUMMYFUNCTION("""COMPUTED_VALUE"""),"#N/A")</f>
        <v>#N/A</v>
      </c>
      <c r="D12813" s="1"/>
      <c r="E12813" s="1"/>
      <c r="F12813" s="1"/>
      <c r="G12813" s="1"/>
      <c r="H12813" s="2">
        <f>IFERROR(__xludf.DUMMYFUNCTION("""COMPUTED_VALUE"""),0.0)</f>
        <v>0</v>
      </c>
      <c r="I12813" s="5"/>
      <c r="J12813" s="1" t="str">
        <f>IFERROR(__xludf.DUMMYFUNCTION("""COMPUTED_VALUE"""),"#N/A")</f>
        <v>#N/A</v>
      </c>
      <c r="K12813" s="1" t="str">
        <f>IFERROR(__xludf.DUMMYFUNCTION("""COMPUTED_VALUE"""),"#N/A")</f>
        <v>#N/A</v>
      </c>
      <c r="L12813" s="1" t="str">
        <f>IFERROR(__xludf.DUMMYFUNCTION("""COMPUTED_VALUE"""),"#N/A")</f>
        <v>#N/A</v>
      </c>
    </row>
    <row r="12814">
      <c r="A12814" s="1" t="str">
        <f>IFERROR(__xludf.DUMMYFUNCTION("""COMPUTED_VALUE"""),"#VALUE!")</f>
        <v>#VALUE!</v>
      </c>
      <c r="B12814" s="4"/>
      <c r="C12814" s="1" t="str">
        <f>IFERROR(__xludf.DUMMYFUNCTION("""COMPUTED_VALUE"""),"#N/A")</f>
        <v>#N/A</v>
      </c>
      <c r="D12814" s="1"/>
      <c r="E12814" s="1"/>
      <c r="F12814" s="1"/>
      <c r="G12814" s="1"/>
      <c r="H12814" s="2">
        <f>IFERROR(__xludf.DUMMYFUNCTION("""COMPUTED_VALUE"""),0.0)</f>
        <v>0</v>
      </c>
      <c r="I12814" s="5"/>
      <c r="J12814" s="1" t="str">
        <f>IFERROR(__xludf.DUMMYFUNCTION("""COMPUTED_VALUE"""),"#N/A")</f>
        <v>#N/A</v>
      </c>
      <c r="K12814" s="1" t="str">
        <f>IFERROR(__xludf.DUMMYFUNCTION("""COMPUTED_VALUE"""),"#N/A")</f>
        <v>#N/A</v>
      </c>
      <c r="L12814" s="1" t="str">
        <f>IFERROR(__xludf.DUMMYFUNCTION("""COMPUTED_VALUE"""),"#N/A")</f>
        <v>#N/A</v>
      </c>
    </row>
    <row r="12815">
      <c r="A12815" s="1" t="str">
        <f>IFERROR(__xludf.DUMMYFUNCTION("""COMPUTED_VALUE"""),"#VALUE!")</f>
        <v>#VALUE!</v>
      </c>
      <c r="B12815" s="4"/>
      <c r="C12815" s="1" t="str">
        <f>IFERROR(__xludf.DUMMYFUNCTION("""COMPUTED_VALUE"""),"#N/A")</f>
        <v>#N/A</v>
      </c>
      <c r="D12815" s="1"/>
      <c r="E12815" s="1"/>
      <c r="F12815" s="1"/>
      <c r="G12815" s="1"/>
      <c r="H12815" s="2">
        <f>IFERROR(__xludf.DUMMYFUNCTION("""COMPUTED_VALUE"""),0.0)</f>
        <v>0</v>
      </c>
      <c r="I12815" s="5"/>
      <c r="J12815" s="1" t="str">
        <f>IFERROR(__xludf.DUMMYFUNCTION("""COMPUTED_VALUE"""),"#N/A")</f>
        <v>#N/A</v>
      </c>
      <c r="K12815" s="1" t="str">
        <f>IFERROR(__xludf.DUMMYFUNCTION("""COMPUTED_VALUE"""),"#N/A")</f>
        <v>#N/A</v>
      </c>
      <c r="L12815" s="1" t="str">
        <f>IFERROR(__xludf.DUMMYFUNCTION("""COMPUTED_VALUE"""),"#N/A")</f>
        <v>#N/A</v>
      </c>
    </row>
    <row r="12816">
      <c r="A12816" s="1" t="str">
        <f>IFERROR(__xludf.DUMMYFUNCTION("""COMPUTED_VALUE"""),"#VALUE!")</f>
        <v>#VALUE!</v>
      </c>
      <c r="B12816" s="4"/>
      <c r="C12816" s="1" t="str">
        <f>IFERROR(__xludf.DUMMYFUNCTION("""COMPUTED_VALUE"""),"#N/A")</f>
        <v>#N/A</v>
      </c>
      <c r="D12816" s="1"/>
      <c r="E12816" s="1"/>
      <c r="F12816" s="1"/>
      <c r="G12816" s="1"/>
      <c r="H12816" s="2">
        <f>IFERROR(__xludf.DUMMYFUNCTION("""COMPUTED_VALUE"""),0.0)</f>
        <v>0</v>
      </c>
      <c r="I12816" s="5"/>
      <c r="J12816" s="1" t="str">
        <f>IFERROR(__xludf.DUMMYFUNCTION("""COMPUTED_VALUE"""),"#N/A")</f>
        <v>#N/A</v>
      </c>
      <c r="K12816" s="1" t="str">
        <f>IFERROR(__xludf.DUMMYFUNCTION("""COMPUTED_VALUE"""),"#N/A")</f>
        <v>#N/A</v>
      </c>
      <c r="L12816" s="1" t="str">
        <f>IFERROR(__xludf.DUMMYFUNCTION("""COMPUTED_VALUE"""),"#N/A")</f>
        <v>#N/A</v>
      </c>
    </row>
    <row r="12817">
      <c r="A12817" s="1" t="str">
        <f>IFERROR(__xludf.DUMMYFUNCTION("""COMPUTED_VALUE"""),"#VALUE!")</f>
        <v>#VALUE!</v>
      </c>
      <c r="B12817" s="4"/>
      <c r="C12817" s="1" t="str">
        <f>IFERROR(__xludf.DUMMYFUNCTION("""COMPUTED_VALUE"""),"#N/A")</f>
        <v>#N/A</v>
      </c>
      <c r="D12817" s="1"/>
      <c r="E12817" s="1"/>
      <c r="F12817" s="1"/>
      <c r="G12817" s="1"/>
      <c r="H12817" s="2">
        <f>IFERROR(__xludf.DUMMYFUNCTION("""COMPUTED_VALUE"""),0.0)</f>
        <v>0</v>
      </c>
      <c r="I12817" s="5"/>
      <c r="J12817" s="1" t="str">
        <f>IFERROR(__xludf.DUMMYFUNCTION("""COMPUTED_VALUE"""),"#N/A")</f>
        <v>#N/A</v>
      </c>
      <c r="K12817" s="1" t="str">
        <f>IFERROR(__xludf.DUMMYFUNCTION("""COMPUTED_VALUE"""),"#N/A")</f>
        <v>#N/A</v>
      </c>
      <c r="L12817" s="1" t="str">
        <f>IFERROR(__xludf.DUMMYFUNCTION("""COMPUTED_VALUE"""),"#N/A")</f>
        <v>#N/A</v>
      </c>
    </row>
    <row r="12818">
      <c r="A12818" s="1" t="str">
        <f>IFERROR(__xludf.DUMMYFUNCTION("""COMPUTED_VALUE"""),"#VALUE!")</f>
        <v>#VALUE!</v>
      </c>
      <c r="B12818" s="4"/>
      <c r="C12818" s="1" t="str">
        <f>IFERROR(__xludf.DUMMYFUNCTION("""COMPUTED_VALUE"""),"#N/A")</f>
        <v>#N/A</v>
      </c>
      <c r="D12818" s="1"/>
      <c r="E12818" s="1"/>
      <c r="F12818" s="1"/>
      <c r="G12818" s="1"/>
      <c r="H12818" s="2">
        <f>IFERROR(__xludf.DUMMYFUNCTION("""COMPUTED_VALUE"""),0.0)</f>
        <v>0</v>
      </c>
      <c r="I12818" s="5"/>
      <c r="J12818" s="1" t="str">
        <f>IFERROR(__xludf.DUMMYFUNCTION("""COMPUTED_VALUE"""),"#N/A")</f>
        <v>#N/A</v>
      </c>
      <c r="K12818" s="1" t="str">
        <f>IFERROR(__xludf.DUMMYFUNCTION("""COMPUTED_VALUE"""),"#N/A")</f>
        <v>#N/A</v>
      </c>
      <c r="L12818" s="1" t="str">
        <f>IFERROR(__xludf.DUMMYFUNCTION("""COMPUTED_VALUE"""),"#N/A")</f>
        <v>#N/A</v>
      </c>
    </row>
    <row r="12819">
      <c r="A12819" s="1" t="str">
        <f>IFERROR(__xludf.DUMMYFUNCTION("""COMPUTED_VALUE"""),"#VALUE!")</f>
        <v>#VALUE!</v>
      </c>
      <c r="B12819" s="4"/>
      <c r="C12819" s="1" t="str">
        <f>IFERROR(__xludf.DUMMYFUNCTION("""COMPUTED_VALUE"""),"#N/A")</f>
        <v>#N/A</v>
      </c>
      <c r="D12819" s="1"/>
      <c r="E12819" s="1"/>
      <c r="F12819" s="1"/>
      <c r="G12819" s="1"/>
      <c r="H12819" s="2">
        <f>IFERROR(__xludf.DUMMYFUNCTION("""COMPUTED_VALUE"""),0.0)</f>
        <v>0</v>
      </c>
      <c r="I12819" s="5"/>
      <c r="J12819" s="1" t="str">
        <f>IFERROR(__xludf.DUMMYFUNCTION("""COMPUTED_VALUE"""),"#N/A")</f>
        <v>#N/A</v>
      </c>
      <c r="K12819" s="1" t="str">
        <f>IFERROR(__xludf.DUMMYFUNCTION("""COMPUTED_VALUE"""),"#N/A")</f>
        <v>#N/A</v>
      </c>
      <c r="L12819" s="1" t="str">
        <f>IFERROR(__xludf.DUMMYFUNCTION("""COMPUTED_VALUE"""),"#N/A")</f>
        <v>#N/A</v>
      </c>
    </row>
    <row r="12820">
      <c r="A12820" s="1" t="str">
        <f>IFERROR(__xludf.DUMMYFUNCTION("""COMPUTED_VALUE"""),"#VALUE!")</f>
        <v>#VALUE!</v>
      </c>
      <c r="B12820" s="4"/>
      <c r="C12820" s="1" t="str">
        <f>IFERROR(__xludf.DUMMYFUNCTION("""COMPUTED_VALUE"""),"#N/A")</f>
        <v>#N/A</v>
      </c>
      <c r="D12820" s="1"/>
      <c r="E12820" s="1"/>
      <c r="F12820" s="1"/>
      <c r="G12820" s="1"/>
      <c r="H12820" s="2">
        <f>IFERROR(__xludf.DUMMYFUNCTION("""COMPUTED_VALUE"""),0.0)</f>
        <v>0</v>
      </c>
      <c r="I12820" s="5"/>
      <c r="J12820" s="1" t="str">
        <f>IFERROR(__xludf.DUMMYFUNCTION("""COMPUTED_VALUE"""),"#N/A")</f>
        <v>#N/A</v>
      </c>
      <c r="K12820" s="1" t="str">
        <f>IFERROR(__xludf.DUMMYFUNCTION("""COMPUTED_VALUE"""),"#N/A")</f>
        <v>#N/A</v>
      </c>
      <c r="L12820" s="1" t="str">
        <f>IFERROR(__xludf.DUMMYFUNCTION("""COMPUTED_VALUE"""),"#N/A")</f>
        <v>#N/A</v>
      </c>
    </row>
    <row r="12821">
      <c r="A12821" s="1" t="str">
        <f>IFERROR(__xludf.DUMMYFUNCTION("""COMPUTED_VALUE"""),"#VALUE!")</f>
        <v>#VALUE!</v>
      </c>
      <c r="B12821" s="4"/>
      <c r="C12821" s="1" t="str">
        <f>IFERROR(__xludf.DUMMYFUNCTION("""COMPUTED_VALUE"""),"#N/A")</f>
        <v>#N/A</v>
      </c>
      <c r="D12821" s="1"/>
      <c r="E12821" s="1"/>
      <c r="F12821" s="1"/>
      <c r="G12821" s="1"/>
      <c r="H12821" s="2">
        <f>IFERROR(__xludf.DUMMYFUNCTION("""COMPUTED_VALUE"""),0.0)</f>
        <v>0</v>
      </c>
      <c r="I12821" s="5"/>
      <c r="J12821" s="1" t="str">
        <f>IFERROR(__xludf.DUMMYFUNCTION("""COMPUTED_VALUE"""),"#N/A")</f>
        <v>#N/A</v>
      </c>
      <c r="K12821" s="1" t="str">
        <f>IFERROR(__xludf.DUMMYFUNCTION("""COMPUTED_VALUE"""),"#N/A")</f>
        <v>#N/A</v>
      </c>
      <c r="L12821" s="1" t="str">
        <f>IFERROR(__xludf.DUMMYFUNCTION("""COMPUTED_VALUE"""),"#N/A")</f>
        <v>#N/A</v>
      </c>
    </row>
    <row r="12822">
      <c r="A12822" s="1" t="str">
        <f>IFERROR(__xludf.DUMMYFUNCTION("""COMPUTED_VALUE"""),"#VALUE!")</f>
        <v>#VALUE!</v>
      </c>
      <c r="B12822" s="4"/>
      <c r="C12822" s="1" t="str">
        <f>IFERROR(__xludf.DUMMYFUNCTION("""COMPUTED_VALUE"""),"#N/A")</f>
        <v>#N/A</v>
      </c>
      <c r="D12822" s="1"/>
      <c r="E12822" s="1"/>
      <c r="F12822" s="1"/>
      <c r="G12822" s="1"/>
      <c r="H12822" s="2">
        <f>IFERROR(__xludf.DUMMYFUNCTION("""COMPUTED_VALUE"""),0.0)</f>
        <v>0</v>
      </c>
      <c r="I12822" s="5"/>
      <c r="J12822" s="1" t="str">
        <f>IFERROR(__xludf.DUMMYFUNCTION("""COMPUTED_VALUE"""),"#N/A")</f>
        <v>#N/A</v>
      </c>
      <c r="K12822" s="1" t="str">
        <f>IFERROR(__xludf.DUMMYFUNCTION("""COMPUTED_VALUE"""),"#N/A")</f>
        <v>#N/A</v>
      </c>
      <c r="L12822" s="1" t="str">
        <f>IFERROR(__xludf.DUMMYFUNCTION("""COMPUTED_VALUE"""),"#N/A")</f>
        <v>#N/A</v>
      </c>
    </row>
    <row r="12823">
      <c r="A12823" s="1" t="str">
        <f>IFERROR(__xludf.DUMMYFUNCTION("""COMPUTED_VALUE"""),"#VALUE!")</f>
        <v>#VALUE!</v>
      </c>
      <c r="B12823" s="4"/>
      <c r="C12823" s="1" t="str">
        <f>IFERROR(__xludf.DUMMYFUNCTION("""COMPUTED_VALUE"""),"#N/A")</f>
        <v>#N/A</v>
      </c>
      <c r="D12823" s="1"/>
      <c r="E12823" s="1"/>
      <c r="F12823" s="1"/>
      <c r="G12823" s="1"/>
      <c r="H12823" s="2">
        <f>IFERROR(__xludf.DUMMYFUNCTION("""COMPUTED_VALUE"""),0.0)</f>
        <v>0</v>
      </c>
      <c r="I12823" s="5"/>
      <c r="J12823" s="1" t="str">
        <f>IFERROR(__xludf.DUMMYFUNCTION("""COMPUTED_VALUE"""),"#N/A")</f>
        <v>#N/A</v>
      </c>
      <c r="K12823" s="1" t="str">
        <f>IFERROR(__xludf.DUMMYFUNCTION("""COMPUTED_VALUE"""),"#N/A")</f>
        <v>#N/A</v>
      </c>
      <c r="L12823" s="1" t="str">
        <f>IFERROR(__xludf.DUMMYFUNCTION("""COMPUTED_VALUE"""),"#N/A")</f>
        <v>#N/A</v>
      </c>
    </row>
    <row r="12824">
      <c r="A12824" s="1" t="str">
        <f>IFERROR(__xludf.DUMMYFUNCTION("""COMPUTED_VALUE"""),"#VALUE!")</f>
        <v>#VALUE!</v>
      </c>
      <c r="B12824" s="4"/>
      <c r="C12824" s="1" t="str">
        <f>IFERROR(__xludf.DUMMYFUNCTION("""COMPUTED_VALUE"""),"#N/A")</f>
        <v>#N/A</v>
      </c>
      <c r="D12824" s="1"/>
      <c r="E12824" s="1"/>
      <c r="F12824" s="1"/>
      <c r="G12824" s="1"/>
      <c r="H12824" s="2">
        <f>IFERROR(__xludf.DUMMYFUNCTION("""COMPUTED_VALUE"""),0.0)</f>
        <v>0</v>
      </c>
      <c r="I12824" s="5"/>
      <c r="J12824" s="1" t="str">
        <f>IFERROR(__xludf.DUMMYFUNCTION("""COMPUTED_VALUE"""),"#N/A")</f>
        <v>#N/A</v>
      </c>
      <c r="K12824" s="1" t="str">
        <f>IFERROR(__xludf.DUMMYFUNCTION("""COMPUTED_VALUE"""),"#N/A")</f>
        <v>#N/A</v>
      </c>
      <c r="L12824" s="1" t="str">
        <f>IFERROR(__xludf.DUMMYFUNCTION("""COMPUTED_VALUE"""),"#N/A")</f>
        <v>#N/A</v>
      </c>
    </row>
    <row r="12825">
      <c r="A12825" s="1" t="str">
        <f>IFERROR(__xludf.DUMMYFUNCTION("""COMPUTED_VALUE"""),"#VALUE!")</f>
        <v>#VALUE!</v>
      </c>
      <c r="B12825" s="4"/>
      <c r="C12825" s="1" t="str">
        <f>IFERROR(__xludf.DUMMYFUNCTION("""COMPUTED_VALUE"""),"#N/A")</f>
        <v>#N/A</v>
      </c>
      <c r="D12825" s="1"/>
      <c r="E12825" s="1"/>
      <c r="F12825" s="1"/>
      <c r="G12825" s="1"/>
      <c r="H12825" s="2">
        <f>IFERROR(__xludf.DUMMYFUNCTION("""COMPUTED_VALUE"""),0.0)</f>
        <v>0</v>
      </c>
      <c r="I12825" s="5"/>
      <c r="J12825" s="1" t="str">
        <f>IFERROR(__xludf.DUMMYFUNCTION("""COMPUTED_VALUE"""),"#N/A")</f>
        <v>#N/A</v>
      </c>
      <c r="K12825" s="1" t="str">
        <f>IFERROR(__xludf.DUMMYFUNCTION("""COMPUTED_VALUE"""),"#N/A")</f>
        <v>#N/A</v>
      </c>
      <c r="L12825" s="1" t="str">
        <f>IFERROR(__xludf.DUMMYFUNCTION("""COMPUTED_VALUE"""),"#N/A")</f>
        <v>#N/A</v>
      </c>
    </row>
    <row r="12826">
      <c r="A12826" s="1" t="str">
        <f>IFERROR(__xludf.DUMMYFUNCTION("""COMPUTED_VALUE"""),"#VALUE!")</f>
        <v>#VALUE!</v>
      </c>
      <c r="B12826" s="4"/>
      <c r="C12826" s="1" t="str">
        <f>IFERROR(__xludf.DUMMYFUNCTION("""COMPUTED_VALUE"""),"#N/A")</f>
        <v>#N/A</v>
      </c>
      <c r="D12826" s="1"/>
      <c r="E12826" s="1"/>
      <c r="F12826" s="1"/>
      <c r="G12826" s="1"/>
      <c r="H12826" s="2">
        <f>IFERROR(__xludf.DUMMYFUNCTION("""COMPUTED_VALUE"""),0.0)</f>
        <v>0</v>
      </c>
      <c r="I12826" s="5"/>
      <c r="J12826" s="1" t="str">
        <f>IFERROR(__xludf.DUMMYFUNCTION("""COMPUTED_VALUE"""),"#N/A")</f>
        <v>#N/A</v>
      </c>
      <c r="K12826" s="1" t="str">
        <f>IFERROR(__xludf.DUMMYFUNCTION("""COMPUTED_VALUE"""),"#N/A")</f>
        <v>#N/A</v>
      </c>
      <c r="L12826" s="1" t="str">
        <f>IFERROR(__xludf.DUMMYFUNCTION("""COMPUTED_VALUE"""),"#N/A")</f>
        <v>#N/A</v>
      </c>
    </row>
    <row r="12827">
      <c r="A12827" s="1" t="str">
        <f>IFERROR(__xludf.DUMMYFUNCTION("""COMPUTED_VALUE"""),"#VALUE!")</f>
        <v>#VALUE!</v>
      </c>
      <c r="B12827" s="4"/>
      <c r="C12827" s="1" t="str">
        <f>IFERROR(__xludf.DUMMYFUNCTION("""COMPUTED_VALUE"""),"#N/A")</f>
        <v>#N/A</v>
      </c>
      <c r="D12827" s="1"/>
      <c r="E12827" s="1"/>
      <c r="F12827" s="1"/>
      <c r="G12827" s="1"/>
      <c r="H12827" s="2">
        <f>IFERROR(__xludf.DUMMYFUNCTION("""COMPUTED_VALUE"""),0.0)</f>
        <v>0</v>
      </c>
      <c r="I12827" s="5"/>
      <c r="J12827" s="1" t="str">
        <f>IFERROR(__xludf.DUMMYFUNCTION("""COMPUTED_VALUE"""),"#N/A")</f>
        <v>#N/A</v>
      </c>
      <c r="K12827" s="1" t="str">
        <f>IFERROR(__xludf.DUMMYFUNCTION("""COMPUTED_VALUE"""),"#N/A")</f>
        <v>#N/A</v>
      </c>
      <c r="L12827" s="1" t="str">
        <f>IFERROR(__xludf.DUMMYFUNCTION("""COMPUTED_VALUE"""),"#N/A")</f>
        <v>#N/A</v>
      </c>
    </row>
    <row r="12828">
      <c r="A12828" s="1" t="str">
        <f>IFERROR(__xludf.DUMMYFUNCTION("""COMPUTED_VALUE"""),"#VALUE!")</f>
        <v>#VALUE!</v>
      </c>
      <c r="B12828" s="4"/>
      <c r="C12828" s="1" t="str">
        <f>IFERROR(__xludf.DUMMYFUNCTION("""COMPUTED_VALUE"""),"#N/A")</f>
        <v>#N/A</v>
      </c>
      <c r="D12828" s="1"/>
      <c r="E12828" s="1"/>
      <c r="F12828" s="1"/>
      <c r="G12828" s="1"/>
      <c r="H12828" s="2">
        <f>IFERROR(__xludf.DUMMYFUNCTION("""COMPUTED_VALUE"""),0.0)</f>
        <v>0</v>
      </c>
      <c r="I12828" s="5"/>
      <c r="J12828" s="1" t="str">
        <f>IFERROR(__xludf.DUMMYFUNCTION("""COMPUTED_VALUE"""),"#N/A")</f>
        <v>#N/A</v>
      </c>
      <c r="K12828" s="1" t="str">
        <f>IFERROR(__xludf.DUMMYFUNCTION("""COMPUTED_VALUE"""),"#N/A")</f>
        <v>#N/A</v>
      </c>
      <c r="L12828" s="1" t="str">
        <f>IFERROR(__xludf.DUMMYFUNCTION("""COMPUTED_VALUE"""),"#N/A")</f>
        <v>#N/A</v>
      </c>
    </row>
    <row r="12829">
      <c r="A12829" s="1" t="str">
        <f>IFERROR(__xludf.DUMMYFUNCTION("""COMPUTED_VALUE"""),"#VALUE!")</f>
        <v>#VALUE!</v>
      </c>
      <c r="B12829" s="4"/>
      <c r="C12829" s="1" t="str">
        <f>IFERROR(__xludf.DUMMYFUNCTION("""COMPUTED_VALUE"""),"#N/A")</f>
        <v>#N/A</v>
      </c>
      <c r="D12829" s="1"/>
      <c r="E12829" s="1"/>
      <c r="F12829" s="1"/>
      <c r="G12829" s="1"/>
      <c r="H12829" s="2">
        <f>IFERROR(__xludf.DUMMYFUNCTION("""COMPUTED_VALUE"""),0.0)</f>
        <v>0</v>
      </c>
      <c r="I12829" s="5"/>
      <c r="J12829" s="1" t="str">
        <f>IFERROR(__xludf.DUMMYFUNCTION("""COMPUTED_VALUE"""),"#N/A")</f>
        <v>#N/A</v>
      </c>
      <c r="K12829" s="1" t="str">
        <f>IFERROR(__xludf.DUMMYFUNCTION("""COMPUTED_VALUE"""),"#N/A")</f>
        <v>#N/A</v>
      </c>
      <c r="L12829" s="1" t="str">
        <f>IFERROR(__xludf.DUMMYFUNCTION("""COMPUTED_VALUE"""),"#N/A")</f>
        <v>#N/A</v>
      </c>
    </row>
    <row r="12830">
      <c r="A12830" s="1" t="str">
        <f>IFERROR(__xludf.DUMMYFUNCTION("""COMPUTED_VALUE"""),"#VALUE!")</f>
        <v>#VALUE!</v>
      </c>
      <c r="B12830" s="4"/>
      <c r="C12830" s="1" t="str">
        <f>IFERROR(__xludf.DUMMYFUNCTION("""COMPUTED_VALUE"""),"#N/A")</f>
        <v>#N/A</v>
      </c>
      <c r="D12830" s="1"/>
      <c r="E12830" s="1"/>
      <c r="F12830" s="1"/>
      <c r="G12830" s="1"/>
      <c r="H12830" s="2">
        <f>IFERROR(__xludf.DUMMYFUNCTION("""COMPUTED_VALUE"""),0.0)</f>
        <v>0</v>
      </c>
      <c r="I12830" s="5"/>
      <c r="J12830" s="1" t="str">
        <f>IFERROR(__xludf.DUMMYFUNCTION("""COMPUTED_VALUE"""),"#N/A")</f>
        <v>#N/A</v>
      </c>
      <c r="K12830" s="1" t="str">
        <f>IFERROR(__xludf.DUMMYFUNCTION("""COMPUTED_VALUE"""),"#N/A")</f>
        <v>#N/A</v>
      </c>
      <c r="L12830" s="1" t="str">
        <f>IFERROR(__xludf.DUMMYFUNCTION("""COMPUTED_VALUE"""),"#N/A")</f>
        <v>#N/A</v>
      </c>
    </row>
    <row r="12831">
      <c r="A12831" s="1" t="str">
        <f>IFERROR(__xludf.DUMMYFUNCTION("""COMPUTED_VALUE"""),"#VALUE!")</f>
        <v>#VALUE!</v>
      </c>
      <c r="B12831" s="4"/>
      <c r="C12831" s="1" t="str">
        <f>IFERROR(__xludf.DUMMYFUNCTION("""COMPUTED_VALUE"""),"#N/A")</f>
        <v>#N/A</v>
      </c>
      <c r="D12831" s="1"/>
      <c r="E12831" s="1"/>
      <c r="F12831" s="1"/>
      <c r="G12831" s="1"/>
      <c r="H12831" s="2">
        <f>IFERROR(__xludf.DUMMYFUNCTION("""COMPUTED_VALUE"""),0.0)</f>
        <v>0</v>
      </c>
      <c r="I12831" s="5"/>
      <c r="J12831" s="1" t="str">
        <f>IFERROR(__xludf.DUMMYFUNCTION("""COMPUTED_VALUE"""),"#N/A")</f>
        <v>#N/A</v>
      </c>
      <c r="K12831" s="1" t="str">
        <f>IFERROR(__xludf.DUMMYFUNCTION("""COMPUTED_VALUE"""),"#N/A")</f>
        <v>#N/A</v>
      </c>
      <c r="L12831" s="1" t="str">
        <f>IFERROR(__xludf.DUMMYFUNCTION("""COMPUTED_VALUE"""),"#N/A")</f>
        <v>#N/A</v>
      </c>
    </row>
    <row r="12832">
      <c r="A12832" s="1" t="str">
        <f>IFERROR(__xludf.DUMMYFUNCTION("""COMPUTED_VALUE"""),"#VALUE!")</f>
        <v>#VALUE!</v>
      </c>
      <c r="B12832" s="4"/>
      <c r="C12832" s="1" t="str">
        <f>IFERROR(__xludf.DUMMYFUNCTION("""COMPUTED_VALUE"""),"#N/A")</f>
        <v>#N/A</v>
      </c>
      <c r="D12832" s="1"/>
      <c r="E12832" s="1"/>
      <c r="F12832" s="1"/>
      <c r="G12832" s="1"/>
      <c r="H12832" s="2">
        <f>IFERROR(__xludf.DUMMYFUNCTION("""COMPUTED_VALUE"""),0.0)</f>
        <v>0</v>
      </c>
      <c r="I12832" s="5"/>
      <c r="J12832" s="1" t="str">
        <f>IFERROR(__xludf.DUMMYFUNCTION("""COMPUTED_VALUE"""),"#N/A")</f>
        <v>#N/A</v>
      </c>
      <c r="K12832" s="1" t="str">
        <f>IFERROR(__xludf.DUMMYFUNCTION("""COMPUTED_VALUE"""),"#N/A")</f>
        <v>#N/A</v>
      </c>
      <c r="L12832" s="1" t="str">
        <f>IFERROR(__xludf.DUMMYFUNCTION("""COMPUTED_VALUE"""),"#N/A")</f>
        <v>#N/A</v>
      </c>
    </row>
    <row r="12833">
      <c r="A12833" s="1" t="str">
        <f>IFERROR(__xludf.DUMMYFUNCTION("""COMPUTED_VALUE"""),"#VALUE!")</f>
        <v>#VALUE!</v>
      </c>
      <c r="B12833" s="4"/>
      <c r="C12833" s="1" t="str">
        <f>IFERROR(__xludf.DUMMYFUNCTION("""COMPUTED_VALUE"""),"#N/A")</f>
        <v>#N/A</v>
      </c>
      <c r="D12833" s="1"/>
      <c r="E12833" s="1"/>
      <c r="F12833" s="1"/>
      <c r="G12833" s="1"/>
      <c r="H12833" s="2">
        <f>IFERROR(__xludf.DUMMYFUNCTION("""COMPUTED_VALUE"""),0.0)</f>
        <v>0</v>
      </c>
      <c r="I12833" s="5"/>
      <c r="J12833" s="1" t="str">
        <f>IFERROR(__xludf.DUMMYFUNCTION("""COMPUTED_VALUE"""),"#N/A")</f>
        <v>#N/A</v>
      </c>
      <c r="K12833" s="1" t="str">
        <f>IFERROR(__xludf.DUMMYFUNCTION("""COMPUTED_VALUE"""),"#N/A")</f>
        <v>#N/A</v>
      </c>
      <c r="L12833" s="1" t="str">
        <f>IFERROR(__xludf.DUMMYFUNCTION("""COMPUTED_VALUE"""),"#N/A")</f>
        <v>#N/A</v>
      </c>
    </row>
    <row r="12834">
      <c r="A12834" s="1" t="str">
        <f>IFERROR(__xludf.DUMMYFUNCTION("""COMPUTED_VALUE"""),"#VALUE!")</f>
        <v>#VALUE!</v>
      </c>
      <c r="B12834" s="4"/>
      <c r="C12834" s="1" t="str">
        <f>IFERROR(__xludf.DUMMYFUNCTION("""COMPUTED_VALUE"""),"#N/A")</f>
        <v>#N/A</v>
      </c>
      <c r="D12834" s="1"/>
      <c r="E12834" s="1"/>
      <c r="F12834" s="1"/>
      <c r="G12834" s="1"/>
      <c r="H12834" s="2">
        <f>IFERROR(__xludf.DUMMYFUNCTION("""COMPUTED_VALUE"""),0.0)</f>
        <v>0</v>
      </c>
      <c r="I12834" s="5"/>
      <c r="J12834" s="1" t="str">
        <f>IFERROR(__xludf.DUMMYFUNCTION("""COMPUTED_VALUE"""),"#N/A")</f>
        <v>#N/A</v>
      </c>
      <c r="K12834" s="1" t="str">
        <f>IFERROR(__xludf.DUMMYFUNCTION("""COMPUTED_VALUE"""),"#N/A")</f>
        <v>#N/A</v>
      </c>
      <c r="L12834" s="1" t="str">
        <f>IFERROR(__xludf.DUMMYFUNCTION("""COMPUTED_VALUE"""),"#N/A")</f>
        <v>#N/A</v>
      </c>
    </row>
    <row r="12835">
      <c r="A12835" s="1" t="str">
        <f>IFERROR(__xludf.DUMMYFUNCTION("""COMPUTED_VALUE"""),"#VALUE!")</f>
        <v>#VALUE!</v>
      </c>
      <c r="B12835" s="4"/>
      <c r="C12835" s="1" t="str">
        <f>IFERROR(__xludf.DUMMYFUNCTION("""COMPUTED_VALUE"""),"#N/A")</f>
        <v>#N/A</v>
      </c>
      <c r="D12835" s="1"/>
      <c r="E12835" s="1"/>
      <c r="F12835" s="1"/>
      <c r="G12835" s="1"/>
      <c r="H12835" s="2">
        <f>IFERROR(__xludf.DUMMYFUNCTION("""COMPUTED_VALUE"""),0.0)</f>
        <v>0</v>
      </c>
      <c r="I12835" s="5"/>
      <c r="J12835" s="1" t="str">
        <f>IFERROR(__xludf.DUMMYFUNCTION("""COMPUTED_VALUE"""),"#N/A")</f>
        <v>#N/A</v>
      </c>
      <c r="K12835" s="1" t="str">
        <f>IFERROR(__xludf.DUMMYFUNCTION("""COMPUTED_VALUE"""),"#N/A")</f>
        <v>#N/A</v>
      </c>
      <c r="L12835" s="1" t="str">
        <f>IFERROR(__xludf.DUMMYFUNCTION("""COMPUTED_VALUE"""),"#N/A")</f>
        <v>#N/A</v>
      </c>
    </row>
    <row r="12836">
      <c r="A12836" s="1" t="str">
        <f>IFERROR(__xludf.DUMMYFUNCTION("""COMPUTED_VALUE"""),"#VALUE!")</f>
        <v>#VALUE!</v>
      </c>
      <c r="B12836" s="4"/>
      <c r="C12836" s="1" t="str">
        <f>IFERROR(__xludf.DUMMYFUNCTION("""COMPUTED_VALUE"""),"#N/A")</f>
        <v>#N/A</v>
      </c>
      <c r="D12836" s="1"/>
      <c r="E12836" s="1"/>
      <c r="F12836" s="1"/>
      <c r="G12836" s="1"/>
      <c r="H12836" s="2">
        <f>IFERROR(__xludf.DUMMYFUNCTION("""COMPUTED_VALUE"""),0.0)</f>
        <v>0</v>
      </c>
      <c r="I12836" s="5"/>
      <c r="J12836" s="1" t="str">
        <f>IFERROR(__xludf.DUMMYFUNCTION("""COMPUTED_VALUE"""),"#N/A")</f>
        <v>#N/A</v>
      </c>
      <c r="K12836" s="1" t="str">
        <f>IFERROR(__xludf.DUMMYFUNCTION("""COMPUTED_VALUE"""),"#N/A")</f>
        <v>#N/A</v>
      </c>
      <c r="L12836" s="1" t="str">
        <f>IFERROR(__xludf.DUMMYFUNCTION("""COMPUTED_VALUE"""),"#N/A")</f>
        <v>#N/A</v>
      </c>
    </row>
    <row r="12837">
      <c r="A12837" s="1" t="str">
        <f>IFERROR(__xludf.DUMMYFUNCTION("""COMPUTED_VALUE"""),"#VALUE!")</f>
        <v>#VALUE!</v>
      </c>
      <c r="B12837" s="4"/>
      <c r="C12837" s="1" t="str">
        <f>IFERROR(__xludf.DUMMYFUNCTION("""COMPUTED_VALUE"""),"#N/A")</f>
        <v>#N/A</v>
      </c>
      <c r="D12837" s="1"/>
      <c r="E12837" s="1"/>
      <c r="F12837" s="1"/>
      <c r="G12837" s="1"/>
      <c r="H12837" s="2">
        <f>IFERROR(__xludf.DUMMYFUNCTION("""COMPUTED_VALUE"""),0.0)</f>
        <v>0</v>
      </c>
      <c r="I12837" s="5"/>
      <c r="J12837" s="1" t="str">
        <f>IFERROR(__xludf.DUMMYFUNCTION("""COMPUTED_VALUE"""),"#N/A")</f>
        <v>#N/A</v>
      </c>
      <c r="K12837" s="1" t="str">
        <f>IFERROR(__xludf.DUMMYFUNCTION("""COMPUTED_VALUE"""),"#N/A")</f>
        <v>#N/A</v>
      </c>
      <c r="L12837" s="1" t="str">
        <f>IFERROR(__xludf.DUMMYFUNCTION("""COMPUTED_VALUE"""),"#N/A")</f>
        <v>#N/A</v>
      </c>
    </row>
    <row r="12838">
      <c r="A12838" s="1" t="str">
        <f>IFERROR(__xludf.DUMMYFUNCTION("""COMPUTED_VALUE"""),"#VALUE!")</f>
        <v>#VALUE!</v>
      </c>
      <c r="B12838" s="4"/>
      <c r="C12838" s="1" t="str">
        <f>IFERROR(__xludf.DUMMYFUNCTION("""COMPUTED_VALUE"""),"#N/A")</f>
        <v>#N/A</v>
      </c>
      <c r="D12838" s="1"/>
      <c r="E12838" s="1"/>
      <c r="F12838" s="1"/>
      <c r="G12838" s="1"/>
      <c r="H12838" s="2">
        <f>IFERROR(__xludf.DUMMYFUNCTION("""COMPUTED_VALUE"""),0.0)</f>
        <v>0</v>
      </c>
      <c r="I12838" s="5"/>
      <c r="J12838" s="1" t="str">
        <f>IFERROR(__xludf.DUMMYFUNCTION("""COMPUTED_VALUE"""),"#N/A")</f>
        <v>#N/A</v>
      </c>
      <c r="K12838" s="1" t="str">
        <f>IFERROR(__xludf.DUMMYFUNCTION("""COMPUTED_VALUE"""),"#N/A")</f>
        <v>#N/A</v>
      </c>
      <c r="L12838" s="1" t="str">
        <f>IFERROR(__xludf.DUMMYFUNCTION("""COMPUTED_VALUE"""),"#N/A")</f>
        <v>#N/A</v>
      </c>
    </row>
    <row r="12839">
      <c r="A12839" s="1" t="str">
        <f>IFERROR(__xludf.DUMMYFUNCTION("""COMPUTED_VALUE"""),"#VALUE!")</f>
        <v>#VALUE!</v>
      </c>
      <c r="B12839" s="4"/>
      <c r="C12839" s="1" t="str">
        <f>IFERROR(__xludf.DUMMYFUNCTION("""COMPUTED_VALUE"""),"#N/A")</f>
        <v>#N/A</v>
      </c>
      <c r="D12839" s="1"/>
      <c r="E12839" s="1"/>
      <c r="F12839" s="1"/>
      <c r="G12839" s="1"/>
      <c r="H12839" s="2">
        <f>IFERROR(__xludf.DUMMYFUNCTION("""COMPUTED_VALUE"""),0.0)</f>
        <v>0</v>
      </c>
      <c r="I12839" s="5"/>
      <c r="J12839" s="1" t="str">
        <f>IFERROR(__xludf.DUMMYFUNCTION("""COMPUTED_VALUE"""),"#N/A")</f>
        <v>#N/A</v>
      </c>
      <c r="K12839" s="1" t="str">
        <f>IFERROR(__xludf.DUMMYFUNCTION("""COMPUTED_VALUE"""),"#N/A")</f>
        <v>#N/A</v>
      </c>
      <c r="L12839" s="1" t="str">
        <f>IFERROR(__xludf.DUMMYFUNCTION("""COMPUTED_VALUE"""),"#N/A")</f>
        <v>#N/A</v>
      </c>
    </row>
    <row r="12840">
      <c r="A12840" s="1" t="str">
        <f>IFERROR(__xludf.DUMMYFUNCTION("""COMPUTED_VALUE"""),"#VALUE!")</f>
        <v>#VALUE!</v>
      </c>
      <c r="B12840" s="4"/>
      <c r="C12840" s="1" t="str">
        <f>IFERROR(__xludf.DUMMYFUNCTION("""COMPUTED_VALUE"""),"#N/A")</f>
        <v>#N/A</v>
      </c>
      <c r="D12840" s="1"/>
      <c r="E12840" s="1"/>
      <c r="F12840" s="1"/>
      <c r="G12840" s="1"/>
      <c r="H12840" s="2">
        <f>IFERROR(__xludf.DUMMYFUNCTION("""COMPUTED_VALUE"""),0.0)</f>
        <v>0</v>
      </c>
      <c r="I12840" s="5"/>
      <c r="J12840" s="1" t="str">
        <f>IFERROR(__xludf.DUMMYFUNCTION("""COMPUTED_VALUE"""),"#N/A")</f>
        <v>#N/A</v>
      </c>
      <c r="K12840" s="1" t="str">
        <f>IFERROR(__xludf.DUMMYFUNCTION("""COMPUTED_VALUE"""),"#N/A")</f>
        <v>#N/A</v>
      </c>
      <c r="L12840" s="1" t="str">
        <f>IFERROR(__xludf.DUMMYFUNCTION("""COMPUTED_VALUE"""),"#N/A")</f>
        <v>#N/A</v>
      </c>
    </row>
    <row r="12841">
      <c r="A12841" s="1" t="str">
        <f>IFERROR(__xludf.DUMMYFUNCTION("""COMPUTED_VALUE"""),"#VALUE!")</f>
        <v>#VALUE!</v>
      </c>
      <c r="B12841" s="4"/>
      <c r="C12841" s="1" t="str">
        <f>IFERROR(__xludf.DUMMYFUNCTION("""COMPUTED_VALUE"""),"#N/A")</f>
        <v>#N/A</v>
      </c>
      <c r="D12841" s="1"/>
      <c r="E12841" s="1"/>
      <c r="F12841" s="1"/>
      <c r="G12841" s="1"/>
      <c r="H12841" s="2">
        <f>IFERROR(__xludf.DUMMYFUNCTION("""COMPUTED_VALUE"""),0.0)</f>
        <v>0</v>
      </c>
      <c r="I12841" s="5"/>
      <c r="J12841" s="1" t="str">
        <f>IFERROR(__xludf.DUMMYFUNCTION("""COMPUTED_VALUE"""),"#N/A")</f>
        <v>#N/A</v>
      </c>
      <c r="K12841" s="1" t="str">
        <f>IFERROR(__xludf.DUMMYFUNCTION("""COMPUTED_VALUE"""),"#N/A")</f>
        <v>#N/A</v>
      </c>
      <c r="L12841" s="1" t="str">
        <f>IFERROR(__xludf.DUMMYFUNCTION("""COMPUTED_VALUE"""),"#N/A")</f>
        <v>#N/A</v>
      </c>
    </row>
    <row r="12842">
      <c r="A12842" s="1" t="str">
        <f>IFERROR(__xludf.DUMMYFUNCTION("""COMPUTED_VALUE"""),"#VALUE!")</f>
        <v>#VALUE!</v>
      </c>
      <c r="B12842" s="4"/>
      <c r="C12842" s="1" t="str">
        <f>IFERROR(__xludf.DUMMYFUNCTION("""COMPUTED_VALUE"""),"#N/A")</f>
        <v>#N/A</v>
      </c>
      <c r="D12842" s="1"/>
      <c r="E12842" s="1"/>
      <c r="F12842" s="1"/>
      <c r="G12842" s="1"/>
      <c r="H12842" s="2">
        <f>IFERROR(__xludf.DUMMYFUNCTION("""COMPUTED_VALUE"""),0.0)</f>
        <v>0</v>
      </c>
      <c r="I12842" s="5"/>
      <c r="J12842" s="1" t="str">
        <f>IFERROR(__xludf.DUMMYFUNCTION("""COMPUTED_VALUE"""),"#N/A")</f>
        <v>#N/A</v>
      </c>
      <c r="K12842" s="1" t="str">
        <f>IFERROR(__xludf.DUMMYFUNCTION("""COMPUTED_VALUE"""),"#N/A")</f>
        <v>#N/A</v>
      </c>
      <c r="L12842" s="1" t="str">
        <f>IFERROR(__xludf.DUMMYFUNCTION("""COMPUTED_VALUE"""),"#N/A")</f>
        <v>#N/A</v>
      </c>
    </row>
    <row r="12843">
      <c r="A12843" s="1" t="str">
        <f>IFERROR(__xludf.DUMMYFUNCTION("""COMPUTED_VALUE"""),"#VALUE!")</f>
        <v>#VALUE!</v>
      </c>
      <c r="B12843" s="4"/>
      <c r="C12843" s="1" t="str">
        <f>IFERROR(__xludf.DUMMYFUNCTION("""COMPUTED_VALUE"""),"#N/A")</f>
        <v>#N/A</v>
      </c>
      <c r="D12843" s="1"/>
      <c r="E12843" s="1"/>
      <c r="F12843" s="1"/>
      <c r="G12843" s="1"/>
      <c r="H12843" s="2">
        <f>IFERROR(__xludf.DUMMYFUNCTION("""COMPUTED_VALUE"""),0.0)</f>
        <v>0</v>
      </c>
      <c r="I12843" s="5"/>
      <c r="J12843" s="1" t="str">
        <f>IFERROR(__xludf.DUMMYFUNCTION("""COMPUTED_VALUE"""),"#N/A")</f>
        <v>#N/A</v>
      </c>
      <c r="K12843" s="1" t="str">
        <f>IFERROR(__xludf.DUMMYFUNCTION("""COMPUTED_VALUE"""),"#N/A")</f>
        <v>#N/A</v>
      </c>
      <c r="L12843" s="1" t="str">
        <f>IFERROR(__xludf.DUMMYFUNCTION("""COMPUTED_VALUE"""),"#N/A")</f>
        <v>#N/A</v>
      </c>
    </row>
    <row r="12844">
      <c r="A12844" s="1" t="str">
        <f>IFERROR(__xludf.DUMMYFUNCTION("""COMPUTED_VALUE"""),"#VALUE!")</f>
        <v>#VALUE!</v>
      </c>
      <c r="B12844" s="4"/>
      <c r="C12844" s="1" t="str">
        <f>IFERROR(__xludf.DUMMYFUNCTION("""COMPUTED_VALUE"""),"#N/A")</f>
        <v>#N/A</v>
      </c>
      <c r="D12844" s="1"/>
      <c r="E12844" s="1"/>
      <c r="F12844" s="1"/>
      <c r="G12844" s="1"/>
      <c r="H12844" s="2">
        <f>IFERROR(__xludf.DUMMYFUNCTION("""COMPUTED_VALUE"""),0.0)</f>
        <v>0</v>
      </c>
      <c r="I12844" s="5"/>
      <c r="J12844" s="1" t="str">
        <f>IFERROR(__xludf.DUMMYFUNCTION("""COMPUTED_VALUE"""),"#N/A")</f>
        <v>#N/A</v>
      </c>
      <c r="K12844" s="1" t="str">
        <f>IFERROR(__xludf.DUMMYFUNCTION("""COMPUTED_VALUE"""),"#N/A")</f>
        <v>#N/A</v>
      </c>
      <c r="L12844" s="1" t="str">
        <f>IFERROR(__xludf.DUMMYFUNCTION("""COMPUTED_VALUE"""),"#N/A")</f>
        <v>#N/A</v>
      </c>
    </row>
    <row r="12845">
      <c r="A12845" s="1" t="str">
        <f>IFERROR(__xludf.DUMMYFUNCTION("""COMPUTED_VALUE"""),"#VALUE!")</f>
        <v>#VALUE!</v>
      </c>
      <c r="B12845" s="4"/>
      <c r="C12845" s="1" t="str">
        <f>IFERROR(__xludf.DUMMYFUNCTION("""COMPUTED_VALUE"""),"#N/A")</f>
        <v>#N/A</v>
      </c>
      <c r="D12845" s="1"/>
      <c r="E12845" s="1"/>
      <c r="F12845" s="1"/>
      <c r="G12845" s="1"/>
      <c r="H12845" s="2">
        <f>IFERROR(__xludf.DUMMYFUNCTION("""COMPUTED_VALUE"""),0.0)</f>
        <v>0</v>
      </c>
      <c r="I12845" s="5"/>
      <c r="J12845" s="1" t="str">
        <f>IFERROR(__xludf.DUMMYFUNCTION("""COMPUTED_VALUE"""),"#N/A")</f>
        <v>#N/A</v>
      </c>
      <c r="K12845" s="1" t="str">
        <f>IFERROR(__xludf.DUMMYFUNCTION("""COMPUTED_VALUE"""),"#N/A")</f>
        <v>#N/A</v>
      </c>
      <c r="L12845" s="1" t="str">
        <f>IFERROR(__xludf.DUMMYFUNCTION("""COMPUTED_VALUE"""),"#N/A")</f>
        <v>#N/A</v>
      </c>
    </row>
    <row r="12846">
      <c r="A12846" s="1" t="str">
        <f>IFERROR(__xludf.DUMMYFUNCTION("""COMPUTED_VALUE"""),"#VALUE!")</f>
        <v>#VALUE!</v>
      </c>
      <c r="B12846" s="4"/>
      <c r="C12846" s="1" t="str">
        <f>IFERROR(__xludf.DUMMYFUNCTION("""COMPUTED_VALUE"""),"#N/A")</f>
        <v>#N/A</v>
      </c>
      <c r="D12846" s="1"/>
      <c r="E12846" s="1"/>
      <c r="F12846" s="1"/>
      <c r="G12846" s="1"/>
      <c r="H12846" s="2">
        <f>IFERROR(__xludf.DUMMYFUNCTION("""COMPUTED_VALUE"""),0.0)</f>
        <v>0</v>
      </c>
      <c r="I12846" s="5"/>
      <c r="J12846" s="1" t="str">
        <f>IFERROR(__xludf.DUMMYFUNCTION("""COMPUTED_VALUE"""),"#N/A")</f>
        <v>#N/A</v>
      </c>
      <c r="K12846" s="1" t="str">
        <f>IFERROR(__xludf.DUMMYFUNCTION("""COMPUTED_VALUE"""),"#N/A")</f>
        <v>#N/A</v>
      </c>
      <c r="L12846" s="1" t="str">
        <f>IFERROR(__xludf.DUMMYFUNCTION("""COMPUTED_VALUE"""),"#N/A")</f>
        <v>#N/A</v>
      </c>
    </row>
    <row r="12847">
      <c r="A12847" s="1" t="str">
        <f>IFERROR(__xludf.DUMMYFUNCTION("""COMPUTED_VALUE"""),"#VALUE!")</f>
        <v>#VALUE!</v>
      </c>
      <c r="B12847" s="4"/>
      <c r="C12847" s="1" t="str">
        <f>IFERROR(__xludf.DUMMYFUNCTION("""COMPUTED_VALUE"""),"#N/A")</f>
        <v>#N/A</v>
      </c>
      <c r="D12847" s="1"/>
      <c r="E12847" s="1"/>
      <c r="F12847" s="1"/>
      <c r="G12847" s="1"/>
      <c r="H12847" s="2">
        <f>IFERROR(__xludf.DUMMYFUNCTION("""COMPUTED_VALUE"""),0.0)</f>
        <v>0</v>
      </c>
      <c r="I12847" s="5"/>
      <c r="J12847" s="1" t="str">
        <f>IFERROR(__xludf.DUMMYFUNCTION("""COMPUTED_VALUE"""),"#N/A")</f>
        <v>#N/A</v>
      </c>
      <c r="K12847" s="1" t="str">
        <f>IFERROR(__xludf.DUMMYFUNCTION("""COMPUTED_VALUE"""),"#N/A")</f>
        <v>#N/A</v>
      </c>
      <c r="L12847" s="1" t="str">
        <f>IFERROR(__xludf.DUMMYFUNCTION("""COMPUTED_VALUE"""),"#N/A")</f>
        <v>#N/A</v>
      </c>
    </row>
    <row r="12848">
      <c r="A12848" s="1" t="str">
        <f>IFERROR(__xludf.DUMMYFUNCTION("""COMPUTED_VALUE"""),"#VALUE!")</f>
        <v>#VALUE!</v>
      </c>
      <c r="B12848" s="4"/>
      <c r="C12848" s="1" t="str">
        <f>IFERROR(__xludf.DUMMYFUNCTION("""COMPUTED_VALUE"""),"#N/A")</f>
        <v>#N/A</v>
      </c>
      <c r="D12848" s="1"/>
      <c r="E12848" s="1"/>
      <c r="F12848" s="1"/>
      <c r="G12848" s="1"/>
      <c r="H12848" s="2">
        <f>IFERROR(__xludf.DUMMYFUNCTION("""COMPUTED_VALUE"""),0.0)</f>
        <v>0</v>
      </c>
      <c r="I12848" s="5"/>
      <c r="J12848" s="1" t="str">
        <f>IFERROR(__xludf.DUMMYFUNCTION("""COMPUTED_VALUE"""),"#N/A")</f>
        <v>#N/A</v>
      </c>
      <c r="K12848" s="1" t="str">
        <f>IFERROR(__xludf.DUMMYFUNCTION("""COMPUTED_VALUE"""),"#N/A")</f>
        <v>#N/A</v>
      </c>
      <c r="L12848" s="1" t="str">
        <f>IFERROR(__xludf.DUMMYFUNCTION("""COMPUTED_VALUE"""),"#N/A")</f>
        <v>#N/A</v>
      </c>
    </row>
    <row r="12849">
      <c r="A12849" s="1" t="str">
        <f>IFERROR(__xludf.DUMMYFUNCTION("""COMPUTED_VALUE"""),"#VALUE!")</f>
        <v>#VALUE!</v>
      </c>
      <c r="B12849" s="4"/>
      <c r="C12849" s="1" t="str">
        <f>IFERROR(__xludf.DUMMYFUNCTION("""COMPUTED_VALUE"""),"#N/A")</f>
        <v>#N/A</v>
      </c>
      <c r="D12849" s="1"/>
      <c r="E12849" s="1"/>
      <c r="F12849" s="1"/>
      <c r="G12849" s="1"/>
      <c r="H12849" s="2">
        <f>IFERROR(__xludf.DUMMYFUNCTION("""COMPUTED_VALUE"""),0.0)</f>
        <v>0</v>
      </c>
      <c r="I12849" s="5"/>
      <c r="J12849" s="1" t="str">
        <f>IFERROR(__xludf.DUMMYFUNCTION("""COMPUTED_VALUE"""),"#N/A")</f>
        <v>#N/A</v>
      </c>
      <c r="K12849" s="1" t="str">
        <f>IFERROR(__xludf.DUMMYFUNCTION("""COMPUTED_VALUE"""),"#N/A")</f>
        <v>#N/A</v>
      </c>
      <c r="L12849" s="1" t="str">
        <f>IFERROR(__xludf.DUMMYFUNCTION("""COMPUTED_VALUE"""),"#N/A")</f>
        <v>#N/A</v>
      </c>
    </row>
    <row r="12850">
      <c r="A12850" s="1" t="str">
        <f>IFERROR(__xludf.DUMMYFUNCTION("""COMPUTED_VALUE"""),"#VALUE!")</f>
        <v>#VALUE!</v>
      </c>
      <c r="B12850" s="4"/>
      <c r="C12850" s="1" t="str">
        <f>IFERROR(__xludf.DUMMYFUNCTION("""COMPUTED_VALUE"""),"#N/A")</f>
        <v>#N/A</v>
      </c>
      <c r="D12850" s="1"/>
      <c r="E12850" s="1"/>
      <c r="F12850" s="1"/>
      <c r="G12850" s="1"/>
      <c r="H12850" s="2">
        <f>IFERROR(__xludf.DUMMYFUNCTION("""COMPUTED_VALUE"""),0.0)</f>
        <v>0</v>
      </c>
      <c r="I12850" s="5"/>
      <c r="J12850" s="1" t="str">
        <f>IFERROR(__xludf.DUMMYFUNCTION("""COMPUTED_VALUE"""),"#N/A")</f>
        <v>#N/A</v>
      </c>
      <c r="K12850" s="1" t="str">
        <f>IFERROR(__xludf.DUMMYFUNCTION("""COMPUTED_VALUE"""),"#N/A")</f>
        <v>#N/A</v>
      </c>
      <c r="L12850" s="1" t="str">
        <f>IFERROR(__xludf.DUMMYFUNCTION("""COMPUTED_VALUE"""),"#N/A")</f>
        <v>#N/A</v>
      </c>
    </row>
    <row r="12851">
      <c r="A12851" s="1" t="str">
        <f>IFERROR(__xludf.DUMMYFUNCTION("""COMPUTED_VALUE"""),"#VALUE!")</f>
        <v>#VALUE!</v>
      </c>
      <c r="B12851" s="4"/>
      <c r="C12851" s="1" t="str">
        <f>IFERROR(__xludf.DUMMYFUNCTION("""COMPUTED_VALUE"""),"#N/A")</f>
        <v>#N/A</v>
      </c>
      <c r="D12851" s="1"/>
      <c r="E12851" s="1"/>
      <c r="F12851" s="1"/>
      <c r="G12851" s="1"/>
      <c r="H12851" s="2">
        <f>IFERROR(__xludf.DUMMYFUNCTION("""COMPUTED_VALUE"""),0.0)</f>
        <v>0</v>
      </c>
      <c r="I12851" s="5"/>
      <c r="J12851" s="1" t="str">
        <f>IFERROR(__xludf.DUMMYFUNCTION("""COMPUTED_VALUE"""),"#N/A")</f>
        <v>#N/A</v>
      </c>
      <c r="K12851" s="1" t="str">
        <f>IFERROR(__xludf.DUMMYFUNCTION("""COMPUTED_VALUE"""),"#N/A")</f>
        <v>#N/A</v>
      </c>
      <c r="L12851" s="1" t="str">
        <f>IFERROR(__xludf.DUMMYFUNCTION("""COMPUTED_VALUE"""),"#N/A")</f>
        <v>#N/A</v>
      </c>
    </row>
    <row r="12852">
      <c r="A12852" s="1" t="str">
        <f>IFERROR(__xludf.DUMMYFUNCTION("""COMPUTED_VALUE"""),"#VALUE!")</f>
        <v>#VALUE!</v>
      </c>
      <c r="B12852" s="4"/>
      <c r="C12852" s="1" t="str">
        <f>IFERROR(__xludf.DUMMYFUNCTION("""COMPUTED_VALUE"""),"#N/A")</f>
        <v>#N/A</v>
      </c>
      <c r="D12852" s="1"/>
      <c r="E12852" s="1"/>
      <c r="F12852" s="1"/>
      <c r="G12852" s="1"/>
      <c r="H12852" s="2">
        <f>IFERROR(__xludf.DUMMYFUNCTION("""COMPUTED_VALUE"""),0.0)</f>
        <v>0</v>
      </c>
      <c r="I12852" s="5"/>
      <c r="J12852" s="1" t="str">
        <f>IFERROR(__xludf.DUMMYFUNCTION("""COMPUTED_VALUE"""),"#N/A")</f>
        <v>#N/A</v>
      </c>
      <c r="K12852" s="1" t="str">
        <f>IFERROR(__xludf.DUMMYFUNCTION("""COMPUTED_VALUE"""),"#N/A")</f>
        <v>#N/A</v>
      </c>
      <c r="L12852" s="1" t="str">
        <f>IFERROR(__xludf.DUMMYFUNCTION("""COMPUTED_VALUE"""),"#N/A")</f>
        <v>#N/A</v>
      </c>
    </row>
    <row r="12853">
      <c r="A12853" s="1" t="str">
        <f>IFERROR(__xludf.DUMMYFUNCTION("""COMPUTED_VALUE"""),"#VALUE!")</f>
        <v>#VALUE!</v>
      </c>
      <c r="B12853" s="4"/>
      <c r="C12853" s="1" t="str">
        <f>IFERROR(__xludf.DUMMYFUNCTION("""COMPUTED_VALUE"""),"#N/A")</f>
        <v>#N/A</v>
      </c>
      <c r="D12853" s="1"/>
      <c r="E12853" s="1"/>
      <c r="F12853" s="1"/>
      <c r="G12853" s="1"/>
      <c r="H12853" s="2">
        <f>IFERROR(__xludf.DUMMYFUNCTION("""COMPUTED_VALUE"""),0.0)</f>
        <v>0</v>
      </c>
      <c r="I12853" s="5"/>
      <c r="J12853" s="1" t="str">
        <f>IFERROR(__xludf.DUMMYFUNCTION("""COMPUTED_VALUE"""),"#N/A")</f>
        <v>#N/A</v>
      </c>
      <c r="K12853" s="1" t="str">
        <f>IFERROR(__xludf.DUMMYFUNCTION("""COMPUTED_VALUE"""),"#N/A")</f>
        <v>#N/A</v>
      </c>
      <c r="L12853" s="1" t="str">
        <f>IFERROR(__xludf.DUMMYFUNCTION("""COMPUTED_VALUE"""),"#N/A")</f>
        <v>#N/A</v>
      </c>
    </row>
    <row r="12854">
      <c r="A12854" s="1" t="str">
        <f>IFERROR(__xludf.DUMMYFUNCTION("""COMPUTED_VALUE"""),"#VALUE!")</f>
        <v>#VALUE!</v>
      </c>
      <c r="B12854" s="4"/>
      <c r="C12854" s="1" t="str">
        <f>IFERROR(__xludf.DUMMYFUNCTION("""COMPUTED_VALUE"""),"#N/A")</f>
        <v>#N/A</v>
      </c>
      <c r="D12854" s="1"/>
      <c r="E12854" s="1"/>
      <c r="F12854" s="1"/>
      <c r="G12854" s="1"/>
      <c r="H12854" s="2">
        <f>IFERROR(__xludf.DUMMYFUNCTION("""COMPUTED_VALUE"""),0.0)</f>
        <v>0</v>
      </c>
      <c r="I12854" s="5"/>
      <c r="J12854" s="1" t="str">
        <f>IFERROR(__xludf.DUMMYFUNCTION("""COMPUTED_VALUE"""),"#N/A")</f>
        <v>#N/A</v>
      </c>
      <c r="K12854" s="1" t="str">
        <f>IFERROR(__xludf.DUMMYFUNCTION("""COMPUTED_VALUE"""),"#N/A")</f>
        <v>#N/A</v>
      </c>
      <c r="L12854" s="1" t="str">
        <f>IFERROR(__xludf.DUMMYFUNCTION("""COMPUTED_VALUE"""),"#N/A")</f>
        <v>#N/A</v>
      </c>
    </row>
    <row r="12855">
      <c r="A12855" s="1" t="str">
        <f>IFERROR(__xludf.DUMMYFUNCTION("""COMPUTED_VALUE"""),"#VALUE!")</f>
        <v>#VALUE!</v>
      </c>
      <c r="B12855" s="4"/>
      <c r="C12855" s="1" t="str">
        <f>IFERROR(__xludf.DUMMYFUNCTION("""COMPUTED_VALUE"""),"#N/A")</f>
        <v>#N/A</v>
      </c>
      <c r="D12855" s="1"/>
      <c r="E12855" s="1"/>
      <c r="F12855" s="1"/>
      <c r="G12855" s="1"/>
      <c r="H12855" s="2">
        <f>IFERROR(__xludf.DUMMYFUNCTION("""COMPUTED_VALUE"""),0.0)</f>
        <v>0</v>
      </c>
      <c r="I12855" s="5"/>
      <c r="J12855" s="1" t="str">
        <f>IFERROR(__xludf.DUMMYFUNCTION("""COMPUTED_VALUE"""),"#N/A")</f>
        <v>#N/A</v>
      </c>
      <c r="K12855" s="1" t="str">
        <f>IFERROR(__xludf.DUMMYFUNCTION("""COMPUTED_VALUE"""),"#N/A")</f>
        <v>#N/A</v>
      </c>
      <c r="L12855" s="1" t="str">
        <f>IFERROR(__xludf.DUMMYFUNCTION("""COMPUTED_VALUE"""),"#N/A")</f>
        <v>#N/A</v>
      </c>
    </row>
    <row r="12856">
      <c r="A12856" s="1" t="str">
        <f>IFERROR(__xludf.DUMMYFUNCTION("""COMPUTED_VALUE"""),"#VALUE!")</f>
        <v>#VALUE!</v>
      </c>
      <c r="B12856" s="4"/>
      <c r="C12856" s="1" t="str">
        <f>IFERROR(__xludf.DUMMYFUNCTION("""COMPUTED_VALUE"""),"#N/A")</f>
        <v>#N/A</v>
      </c>
      <c r="D12856" s="1"/>
      <c r="E12856" s="1"/>
      <c r="F12856" s="1"/>
      <c r="G12856" s="1"/>
      <c r="H12856" s="2">
        <f>IFERROR(__xludf.DUMMYFUNCTION("""COMPUTED_VALUE"""),0.0)</f>
        <v>0</v>
      </c>
      <c r="I12856" s="5"/>
      <c r="J12856" s="1" t="str">
        <f>IFERROR(__xludf.DUMMYFUNCTION("""COMPUTED_VALUE"""),"#N/A")</f>
        <v>#N/A</v>
      </c>
      <c r="K12856" s="1" t="str">
        <f>IFERROR(__xludf.DUMMYFUNCTION("""COMPUTED_VALUE"""),"#N/A")</f>
        <v>#N/A</v>
      </c>
      <c r="L12856" s="1" t="str">
        <f>IFERROR(__xludf.DUMMYFUNCTION("""COMPUTED_VALUE"""),"#N/A")</f>
        <v>#N/A</v>
      </c>
    </row>
    <row r="12857">
      <c r="A12857" s="1" t="str">
        <f>IFERROR(__xludf.DUMMYFUNCTION("""COMPUTED_VALUE"""),"#VALUE!")</f>
        <v>#VALUE!</v>
      </c>
      <c r="B12857" s="4"/>
      <c r="C12857" s="1" t="str">
        <f>IFERROR(__xludf.DUMMYFUNCTION("""COMPUTED_VALUE"""),"#N/A")</f>
        <v>#N/A</v>
      </c>
      <c r="D12857" s="1"/>
      <c r="E12857" s="1"/>
      <c r="F12857" s="1"/>
      <c r="G12857" s="1"/>
      <c r="H12857" s="2">
        <f>IFERROR(__xludf.DUMMYFUNCTION("""COMPUTED_VALUE"""),0.0)</f>
        <v>0</v>
      </c>
      <c r="I12857" s="5"/>
      <c r="J12857" s="1" t="str">
        <f>IFERROR(__xludf.DUMMYFUNCTION("""COMPUTED_VALUE"""),"#N/A")</f>
        <v>#N/A</v>
      </c>
      <c r="K12857" s="1" t="str">
        <f>IFERROR(__xludf.DUMMYFUNCTION("""COMPUTED_VALUE"""),"#N/A")</f>
        <v>#N/A</v>
      </c>
      <c r="L12857" s="1" t="str">
        <f>IFERROR(__xludf.DUMMYFUNCTION("""COMPUTED_VALUE"""),"#N/A")</f>
        <v>#N/A</v>
      </c>
    </row>
    <row r="12858">
      <c r="A12858" s="1" t="str">
        <f>IFERROR(__xludf.DUMMYFUNCTION("""COMPUTED_VALUE"""),"#VALUE!")</f>
        <v>#VALUE!</v>
      </c>
      <c r="B12858" s="4"/>
      <c r="C12858" s="1" t="str">
        <f>IFERROR(__xludf.DUMMYFUNCTION("""COMPUTED_VALUE"""),"#N/A")</f>
        <v>#N/A</v>
      </c>
      <c r="D12858" s="1"/>
      <c r="E12858" s="1"/>
      <c r="F12858" s="1"/>
      <c r="G12858" s="1"/>
      <c r="H12858" s="2">
        <f>IFERROR(__xludf.DUMMYFUNCTION("""COMPUTED_VALUE"""),0.0)</f>
        <v>0</v>
      </c>
      <c r="I12858" s="5"/>
      <c r="J12858" s="1" t="str">
        <f>IFERROR(__xludf.DUMMYFUNCTION("""COMPUTED_VALUE"""),"#N/A")</f>
        <v>#N/A</v>
      </c>
      <c r="K12858" s="1" t="str">
        <f>IFERROR(__xludf.DUMMYFUNCTION("""COMPUTED_VALUE"""),"#N/A")</f>
        <v>#N/A</v>
      </c>
      <c r="L12858" s="1" t="str">
        <f>IFERROR(__xludf.DUMMYFUNCTION("""COMPUTED_VALUE"""),"#N/A")</f>
        <v>#N/A</v>
      </c>
    </row>
    <row r="12859">
      <c r="A12859" s="1" t="str">
        <f>IFERROR(__xludf.DUMMYFUNCTION("""COMPUTED_VALUE"""),"#VALUE!")</f>
        <v>#VALUE!</v>
      </c>
      <c r="B12859" s="4"/>
      <c r="C12859" s="1" t="str">
        <f>IFERROR(__xludf.DUMMYFUNCTION("""COMPUTED_VALUE"""),"#N/A")</f>
        <v>#N/A</v>
      </c>
      <c r="D12859" s="1"/>
      <c r="E12859" s="1"/>
      <c r="F12859" s="1"/>
      <c r="G12859" s="1"/>
      <c r="H12859" s="2">
        <f>IFERROR(__xludf.DUMMYFUNCTION("""COMPUTED_VALUE"""),0.0)</f>
        <v>0</v>
      </c>
      <c r="I12859" s="5"/>
      <c r="J12859" s="1" t="str">
        <f>IFERROR(__xludf.DUMMYFUNCTION("""COMPUTED_VALUE"""),"#N/A")</f>
        <v>#N/A</v>
      </c>
      <c r="K12859" s="1" t="str">
        <f>IFERROR(__xludf.DUMMYFUNCTION("""COMPUTED_VALUE"""),"#N/A")</f>
        <v>#N/A</v>
      </c>
      <c r="L12859" s="1" t="str">
        <f>IFERROR(__xludf.DUMMYFUNCTION("""COMPUTED_VALUE"""),"#N/A")</f>
        <v>#N/A</v>
      </c>
    </row>
    <row r="12860">
      <c r="A12860" s="1" t="str">
        <f>IFERROR(__xludf.DUMMYFUNCTION("""COMPUTED_VALUE"""),"#VALUE!")</f>
        <v>#VALUE!</v>
      </c>
      <c r="B12860" s="4"/>
      <c r="C12860" s="1" t="str">
        <f>IFERROR(__xludf.DUMMYFUNCTION("""COMPUTED_VALUE"""),"#N/A")</f>
        <v>#N/A</v>
      </c>
      <c r="D12860" s="1"/>
      <c r="E12860" s="1"/>
      <c r="F12860" s="1"/>
      <c r="G12860" s="1"/>
      <c r="H12860" s="2">
        <f>IFERROR(__xludf.DUMMYFUNCTION("""COMPUTED_VALUE"""),0.0)</f>
        <v>0</v>
      </c>
      <c r="I12860" s="5"/>
      <c r="J12860" s="1" t="str">
        <f>IFERROR(__xludf.DUMMYFUNCTION("""COMPUTED_VALUE"""),"#N/A")</f>
        <v>#N/A</v>
      </c>
      <c r="K12860" s="1" t="str">
        <f>IFERROR(__xludf.DUMMYFUNCTION("""COMPUTED_VALUE"""),"#N/A")</f>
        <v>#N/A</v>
      </c>
      <c r="L12860" s="1" t="str">
        <f>IFERROR(__xludf.DUMMYFUNCTION("""COMPUTED_VALUE"""),"#N/A")</f>
        <v>#N/A</v>
      </c>
    </row>
    <row r="12861">
      <c r="A12861" s="1" t="str">
        <f>IFERROR(__xludf.DUMMYFUNCTION("""COMPUTED_VALUE"""),"#VALUE!")</f>
        <v>#VALUE!</v>
      </c>
      <c r="B12861" s="4"/>
      <c r="C12861" s="1" t="str">
        <f>IFERROR(__xludf.DUMMYFUNCTION("""COMPUTED_VALUE"""),"#N/A")</f>
        <v>#N/A</v>
      </c>
      <c r="D12861" s="1"/>
      <c r="E12861" s="1"/>
      <c r="F12861" s="1"/>
      <c r="G12861" s="1"/>
      <c r="H12861" s="2">
        <f>IFERROR(__xludf.DUMMYFUNCTION("""COMPUTED_VALUE"""),0.0)</f>
        <v>0</v>
      </c>
      <c r="I12861" s="5"/>
      <c r="J12861" s="1" t="str">
        <f>IFERROR(__xludf.DUMMYFUNCTION("""COMPUTED_VALUE"""),"#N/A")</f>
        <v>#N/A</v>
      </c>
      <c r="K12861" s="1" t="str">
        <f>IFERROR(__xludf.DUMMYFUNCTION("""COMPUTED_VALUE"""),"#N/A")</f>
        <v>#N/A</v>
      </c>
      <c r="L12861" s="1" t="str">
        <f>IFERROR(__xludf.DUMMYFUNCTION("""COMPUTED_VALUE"""),"#N/A")</f>
        <v>#N/A</v>
      </c>
    </row>
    <row r="12862">
      <c r="A12862" s="1" t="str">
        <f>IFERROR(__xludf.DUMMYFUNCTION("""COMPUTED_VALUE"""),"#VALUE!")</f>
        <v>#VALUE!</v>
      </c>
      <c r="B12862" s="4"/>
      <c r="C12862" s="1" t="str">
        <f>IFERROR(__xludf.DUMMYFUNCTION("""COMPUTED_VALUE"""),"#N/A")</f>
        <v>#N/A</v>
      </c>
      <c r="D12862" s="1"/>
      <c r="E12862" s="1"/>
      <c r="F12862" s="1"/>
      <c r="G12862" s="1"/>
      <c r="H12862" s="2">
        <f>IFERROR(__xludf.DUMMYFUNCTION("""COMPUTED_VALUE"""),0.0)</f>
        <v>0</v>
      </c>
      <c r="I12862" s="5"/>
      <c r="J12862" s="1" t="str">
        <f>IFERROR(__xludf.DUMMYFUNCTION("""COMPUTED_VALUE"""),"#N/A")</f>
        <v>#N/A</v>
      </c>
      <c r="K12862" s="1" t="str">
        <f>IFERROR(__xludf.DUMMYFUNCTION("""COMPUTED_VALUE"""),"#N/A")</f>
        <v>#N/A</v>
      </c>
      <c r="L12862" s="1" t="str">
        <f>IFERROR(__xludf.DUMMYFUNCTION("""COMPUTED_VALUE"""),"#N/A")</f>
        <v>#N/A</v>
      </c>
    </row>
    <row r="12863">
      <c r="A12863" s="1" t="str">
        <f>IFERROR(__xludf.DUMMYFUNCTION("""COMPUTED_VALUE"""),"#VALUE!")</f>
        <v>#VALUE!</v>
      </c>
      <c r="B12863" s="4"/>
      <c r="C12863" s="1" t="str">
        <f>IFERROR(__xludf.DUMMYFUNCTION("""COMPUTED_VALUE"""),"#N/A")</f>
        <v>#N/A</v>
      </c>
      <c r="D12863" s="1"/>
      <c r="E12863" s="1"/>
      <c r="F12863" s="1"/>
      <c r="G12863" s="1"/>
      <c r="H12863" s="2">
        <f>IFERROR(__xludf.DUMMYFUNCTION("""COMPUTED_VALUE"""),0.0)</f>
        <v>0</v>
      </c>
      <c r="I12863" s="5"/>
      <c r="J12863" s="1" t="str">
        <f>IFERROR(__xludf.DUMMYFUNCTION("""COMPUTED_VALUE"""),"#N/A")</f>
        <v>#N/A</v>
      </c>
      <c r="K12863" s="1" t="str">
        <f>IFERROR(__xludf.DUMMYFUNCTION("""COMPUTED_VALUE"""),"#N/A")</f>
        <v>#N/A</v>
      </c>
      <c r="L12863" s="1" t="str">
        <f>IFERROR(__xludf.DUMMYFUNCTION("""COMPUTED_VALUE"""),"#N/A")</f>
        <v>#N/A</v>
      </c>
    </row>
    <row r="12864">
      <c r="A12864" s="1" t="str">
        <f>IFERROR(__xludf.DUMMYFUNCTION("""COMPUTED_VALUE"""),"#VALUE!")</f>
        <v>#VALUE!</v>
      </c>
      <c r="B12864" s="4"/>
      <c r="C12864" s="1" t="str">
        <f>IFERROR(__xludf.DUMMYFUNCTION("""COMPUTED_VALUE"""),"#N/A")</f>
        <v>#N/A</v>
      </c>
      <c r="D12864" s="1"/>
      <c r="E12864" s="1"/>
      <c r="F12864" s="1"/>
      <c r="G12864" s="1"/>
      <c r="H12864" s="2">
        <f>IFERROR(__xludf.DUMMYFUNCTION("""COMPUTED_VALUE"""),0.0)</f>
        <v>0</v>
      </c>
      <c r="I12864" s="5"/>
      <c r="J12864" s="1" t="str">
        <f>IFERROR(__xludf.DUMMYFUNCTION("""COMPUTED_VALUE"""),"#N/A")</f>
        <v>#N/A</v>
      </c>
      <c r="K12864" s="1" t="str">
        <f>IFERROR(__xludf.DUMMYFUNCTION("""COMPUTED_VALUE"""),"#N/A")</f>
        <v>#N/A</v>
      </c>
      <c r="L12864" s="1" t="str">
        <f>IFERROR(__xludf.DUMMYFUNCTION("""COMPUTED_VALUE"""),"#N/A")</f>
        <v>#N/A</v>
      </c>
    </row>
    <row r="12865">
      <c r="A12865" s="1" t="str">
        <f>IFERROR(__xludf.DUMMYFUNCTION("""COMPUTED_VALUE"""),"#VALUE!")</f>
        <v>#VALUE!</v>
      </c>
      <c r="B12865" s="4"/>
      <c r="C12865" s="1" t="str">
        <f>IFERROR(__xludf.DUMMYFUNCTION("""COMPUTED_VALUE"""),"#N/A")</f>
        <v>#N/A</v>
      </c>
      <c r="D12865" s="1"/>
      <c r="E12865" s="1"/>
      <c r="F12865" s="1"/>
      <c r="G12865" s="1"/>
      <c r="H12865" s="2">
        <f>IFERROR(__xludf.DUMMYFUNCTION("""COMPUTED_VALUE"""),0.0)</f>
        <v>0</v>
      </c>
      <c r="I12865" s="5"/>
      <c r="J12865" s="1" t="str">
        <f>IFERROR(__xludf.DUMMYFUNCTION("""COMPUTED_VALUE"""),"#N/A")</f>
        <v>#N/A</v>
      </c>
      <c r="K12865" s="1" t="str">
        <f>IFERROR(__xludf.DUMMYFUNCTION("""COMPUTED_VALUE"""),"#N/A")</f>
        <v>#N/A</v>
      </c>
      <c r="L12865" s="1" t="str">
        <f>IFERROR(__xludf.DUMMYFUNCTION("""COMPUTED_VALUE"""),"#N/A")</f>
        <v>#N/A</v>
      </c>
    </row>
    <row r="12866">
      <c r="A12866" s="1" t="str">
        <f>IFERROR(__xludf.DUMMYFUNCTION("""COMPUTED_VALUE"""),"#VALUE!")</f>
        <v>#VALUE!</v>
      </c>
      <c r="B12866" s="4"/>
      <c r="C12866" s="1" t="str">
        <f>IFERROR(__xludf.DUMMYFUNCTION("""COMPUTED_VALUE"""),"#N/A")</f>
        <v>#N/A</v>
      </c>
      <c r="D12866" s="1"/>
      <c r="E12866" s="1"/>
      <c r="F12866" s="1"/>
      <c r="G12866" s="1"/>
      <c r="H12866" s="2">
        <f>IFERROR(__xludf.DUMMYFUNCTION("""COMPUTED_VALUE"""),0.0)</f>
        <v>0</v>
      </c>
      <c r="I12866" s="5"/>
      <c r="J12866" s="1" t="str">
        <f>IFERROR(__xludf.DUMMYFUNCTION("""COMPUTED_VALUE"""),"#N/A")</f>
        <v>#N/A</v>
      </c>
      <c r="K12866" s="1" t="str">
        <f>IFERROR(__xludf.DUMMYFUNCTION("""COMPUTED_VALUE"""),"#N/A")</f>
        <v>#N/A</v>
      </c>
      <c r="L12866" s="1" t="str">
        <f>IFERROR(__xludf.DUMMYFUNCTION("""COMPUTED_VALUE"""),"#N/A")</f>
        <v>#N/A</v>
      </c>
    </row>
    <row r="12867">
      <c r="A12867" s="1" t="str">
        <f>IFERROR(__xludf.DUMMYFUNCTION("""COMPUTED_VALUE"""),"#VALUE!")</f>
        <v>#VALUE!</v>
      </c>
      <c r="B12867" s="4"/>
      <c r="C12867" s="1" t="str">
        <f>IFERROR(__xludf.DUMMYFUNCTION("""COMPUTED_VALUE"""),"#N/A")</f>
        <v>#N/A</v>
      </c>
      <c r="D12867" s="1"/>
      <c r="E12867" s="1"/>
      <c r="F12867" s="1"/>
      <c r="G12867" s="1"/>
      <c r="H12867" s="2">
        <f>IFERROR(__xludf.DUMMYFUNCTION("""COMPUTED_VALUE"""),0.0)</f>
        <v>0</v>
      </c>
      <c r="I12867" s="5"/>
      <c r="J12867" s="1" t="str">
        <f>IFERROR(__xludf.DUMMYFUNCTION("""COMPUTED_VALUE"""),"#N/A")</f>
        <v>#N/A</v>
      </c>
      <c r="K12867" s="1" t="str">
        <f>IFERROR(__xludf.DUMMYFUNCTION("""COMPUTED_VALUE"""),"#N/A")</f>
        <v>#N/A</v>
      </c>
      <c r="L12867" s="1" t="str">
        <f>IFERROR(__xludf.DUMMYFUNCTION("""COMPUTED_VALUE"""),"#N/A")</f>
        <v>#N/A</v>
      </c>
    </row>
    <row r="12868">
      <c r="A12868" s="1" t="str">
        <f>IFERROR(__xludf.DUMMYFUNCTION("""COMPUTED_VALUE"""),"#VALUE!")</f>
        <v>#VALUE!</v>
      </c>
      <c r="B12868" s="4"/>
      <c r="C12868" s="1" t="str">
        <f>IFERROR(__xludf.DUMMYFUNCTION("""COMPUTED_VALUE"""),"#N/A")</f>
        <v>#N/A</v>
      </c>
      <c r="D12868" s="1"/>
      <c r="E12868" s="1"/>
      <c r="F12868" s="1"/>
      <c r="G12868" s="1"/>
      <c r="H12868" s="2">
        <f>IFERROR(__xludf.DUMMYFUNCTION("""COMPUTED_VALUE"""),0.0)</f>
        <v>0</v>
      </c>
      <c r="I12868" s="5"/>
      <c r="J12868" s="1" t="str">
        <f>IFERROR(__xludf.DUMMYFUNCTION("""COMPUTED_VALUE"""),"#N/A")</f>
        <v>#N/A</v>
      </c>
      <c r="K12868" s="1" t="str">
        <f>IFERROR(__xludf.DUMMYFUNCTION("""COMPUTED_VALUE"""),"#N/A")</f>
        <v>#N/A</v>
      </c>
      <c r="L12868" s="1" t="str">
        <f>IFERROR(__xludf.DUMMYFUNCTION("""COMPUTED_VALUE"""),"#N/A")</f>
        <v>#N/A</v>
      </c>
    </row>
    <row r="12869">
      <c r="A12869" s="1" t="str">
        <f>IFERROR(__xludf.DUMMYFUNCTION("""COMPUTED_VALUE"""),"#VALUE!")</f>
        <v>#VALUE!</v>
      </c>
      <c r="B12869" s="4"/>
      <c r="C12869" s="1" t="str">
        <f>IFERROR(__xludf.DUMMYFUNCTION("""COMPUTED_VALUE"""),"#N/A")</f>
        <v>#N/A</v>
      </c>
      <c r="D12869" s="1"/>
      <c r="E12869" s="1"/>
      <c r="F12869" s="1"/>
      <c r="G12869" s="1"/>
      <c r="H12869" s="2">
        <f>IFERROR(__xludf.DUMMYFUNCTION("""COMPUTED_VALUE"""),0.0)</f>
        <v>0</v>
      </c>
      <c r="I12869" s="5"/>
      <c r="J12869" s="1" t="str">
        <f>IFERROR(__xludf.DUMMYFUNCTION("""COMPUTED_VALUE"""),"#N/A")</f>
        <v>#N/A</v>
      </c>
      <c r="K12869" s="1" t="str">
        <f>IFERROR(__xludf.DUMMYFUNCTION("""COMPUTED_VALUE"""),"#N/A")</f>
        <v>#N/A</v>
      </c>
      <c r="L12869" s="1" t="str">
        <f>IFERROR(__xludf.DUMMYFUNCTION("""COMPUTED_VALUE"""),"#N/A")</f>
        <v>#N/A</v>
      </c>
    </row>
    <row r="12870">
      <c r="A12870" s="1" t="str">
        <f>IFERROR(__xludf.DUMMYFUNCTION("""COMPUTED_VALUE"""),"#VALUE!")</f>
        <v>#VALUE!</v>
      </c>
      <c r="B12870" s="4"/>
      <c r="C12870" s="1" t="str">
        <f>IFERROR(__xludf.DUMMYFUNCTION("""COMPUTED_VALUE"""),"#N/A")</f>
        <v>#N/A</v>
      </c>
      <c r="D12870" s="1"/>
      <c r="E12870" s="1"/>
      <c r="F12870" s="1"/>
      <c r="G12870" s="1"/>
      <c r="H12870" s="2">
        <f>IFERROR(__xludf.DUMMYFUNCTION("""COMPUTED_VALUE"""),0.0)</f>
        <v>0</v>
      </c>
      <c r="I12870" s="5"/>
      <c r="J12870" s="1" t="str">
        <f>IFERROR(__xludf.DUMMYFUNCTION("""COMPUTED_VALUE"""),"#N/A")</f>
        <v>#N/A</v>
      </c>
      <c r="K12870" s="1" t="str">
        <f>IFERROR(__xludf.DUMMYFUNCTION("""COMPUTED_VALUE"""),"#N/A")</f>
        <v>#N/A</v>
      </c>
      <c r="L12870" s="1" t="str">
        <f>IFERROR(__xludf.DUMMYFUNCTION("""COMPUTED_VALUE"""),"#N/A")</f>
        <v>#N/A</v>
      </c>
    </row>
    <row r="12871">
      <c r="A12871" s="1" t="str">
        <f>IFERROR(__xludf.DUMMYFUNCTION("""COMPUTED_VALUE"""),"#VALUE!")</f>
        <v>#VALUE!</v>
      </c>
      <c r="B12871" s="4"/>
      <c r="C12871" s="1" t="str">
        <f>IFERROR(__xludf.DUMMYFUNCTION("""COMPUTED_VALUE"""),"#N/A")</f>
        <v>#N/A</v>
      </c>
      <c r="D12871" s="1"/>
      <c r="E12871" s="1"/>
      <c r="F12871" s="1"/>
      <c r="G12871" s="1"/>
      <c r="H12871" s="2">
        <f>IFERROR(__xludf.DUMMYFUNCTION("""COMPUTED_VALUE"""),0.0)</f>
        <v>0</v>
      </c>
      <c r="I12871" s="5"/>
      <c r="J12871" s="1" t="str">
        <f>IFERROR(__xludf.DUMMYFUNCTION("""COMPUTED_VALUE"""),"#N/A")</f>
        <v>#N/A</v>
      </c>
      <c r="K12871" s="1" t="str">
        <f>IFERROR(__xludf.DUMMYFUNCTION("""COMPUTED_VALUE"""),"#N/A")</f>
        <v>#N/A</v>
      </c>
      <c r="L12871" s="1" t="str">
        <f>IFERROR(__xludf.DUMMYFUNCTION("""COMPUTED_VALUE"""),"#N/A")</f>
        <v>#N/A</v>
      </c>
    </row>
    <row r="12872">
      <c r="A12872" s="1" t="str">
        <f>IFERROR(__xludf.DUMMYFUNCTION("""COMPUTED_VALUE"""),"#VALUE!")</f>
        <v>#VALUE!</v>
      </c>
      <c r="B12872" s="4"/>
      <c r="C12872" s="1" t="str">
        <f>IFERROR(__xludf.DUMMYFUNCTION("""COMPUTED_VALUE"""),"#N/A")</f>
        <v>#N/A</v>
      </c>
      <c r="D12872" s="1"/>
      <c r="E12872" s="1"/>
      <c r="F12872" s="1"/>
      <c r="G12872" s="1"/>
      <c r="H12872" s="2">
        <f>IFERROR(__xludf.DUMMYFUNCTION("""COMPUTED_VALUE"""),0.0)</f>
        <v>0</v>
      </c>
      <c r="I12872" s="5"/>
      <c r="J12872" s="1" t="str">
        <f>IFERROR(__xludf.DUMMYFUNCTION("""COMPUTED_VALUE"""),"#N/A")</f>
        <v>#N/A</v>
      </c>
      <c r="K12872" s="1" t="str">
        <f>IFERROR(__xludf.DUMMYFUNCTION("""COMPUTED_VALUE"""),"#N/A")</f>
        <v>#N/A</v>
      </c>
      <c r="L12872" s="1" t="str">
        <f>IFERROR(__xludf.DUMMYFUNCTION("""COMPUTED_VALUE"""),"#N/A")</f>
        <v>#N/A</v>
      </c>
    </row>
    <row r="12873">
      <c r="A12873" s="1" t="str">
        <f>IFERROR(__xludf.DUMMYFUNCTION("""COMPUTED_VALUE"""),"#VALUE!")</f>
        <v>#VALUE!</v>
      </c>
      <c r="B12873" s="4"/>
      <c r="C12873" s="1" t="str">
        <f>IFERROR(__xludf.DUMMYFUNCTION("""COMPUTED_VALUE"""),"#N/A")</f>
        <v>#N/A</v>
      </c>
      <c r="D12873" s="1"/>
      <c r="E12873" s="1"/>
      <c r="F12873" s="1"/>
      <c r="G12873" s="1"/>
      <c r="H12873" s="2">
        <f>IFERROR(__xludf.DUMMYFUNCTION("""COMPUTED_VALUE"""),0.0)</f>
        <v>0</v>
      </c>
      <c r="I12873" s="5"/>
      <c r="J12873" s="1" t="str">
        <f>IFERROR(__xludf.DUMMYFUNCTION("""COMPUTED_VALUE"""),"#N/A")</f>
        <v>#N/A</v>
      </c>
      <c r="K12873" s="1" t="str">
        <f>IFERROR(__xludf.DUMMYFUNCTION("""COMPUTED_VALUE"""),"#N/A")</f>
        <v>#N/A</v>
      </c>
      <c r="L12873" s="1" t="str">
        <f>IFERROR(__xludf.DUMMYFUNCTION("""COMPUTED_VALUE"""),"#N/A")</f>
        <v>#N/A</v>
      </c>
    </row>
    <row r="12874">
      <c r="A12874" s="1" t="str">
        <f>IFERROR(__xludf.DUMMYFUNCTION("""COMPUTED_VALUE"""),"#VALUE!")</f>
        <v>#VALUE!</v>
      </c>
      <c r="B12874" s="4"/>
      <c r="C12874" s="1" t="str">
        <f>IFERROR(__xludf.DUMMYFUNCTION("""COMPUTED_VALUE"""),"#N/A")</f>
        <v>#N/A</v>
      </c>
      <c r="D12874" s="1"/>
      <c r="E12874" s="1"/>
      <c r="F12874" s="1"/>
      <c r="G12874" s="1"/>
      <c r="H12874" s="2">
        <f>IFERROR(__xludf.DUMMYFUNCTION("""COMPUTED_VALUE"""),0.0)</f>
        <v>0</v>
      </c>
      <c r="I12874" s="5"/>
      <c r="J12874" s="1" t="str">
        <f>IFERROR(__xludf.DUMMYFUNCTION("""COMPUTED_VALUE"""),"#N/A")</f>
        <v>#N/A</v>
      </c>
      <c r="K12874" s="1" t="str">
        <f>IFERROR(__xludf.DUMMYFUNCTION("""COMPUTED_VALUE"""),"#N/A")</f>
        <v>#N/A</v>
      </c>
      <c r="L12874" s="1" t="str">
        <f>IFERROR(__xludf.DUMMYFUNCTION("""COMPUTED_VALUE"""),"#N/A")</f>
        <v>#N/A</v>
      </c>
    </row>
    <row r="12875">
      <c r="A12875" s="1" t="str">
        <f>IFERROR(__xludf.DUMMYFUNCTION("""COMPUTED_VALUE"""),"#VALUE!")</f>
        <v>#VALUE!</v>
      </c>
      <c r="B12875" s="4"/>
      <c r="C12875" s="1" t="str">
        <f>IFERROR(__xludf.DUMMYFUNCTION("""COMPUTED_VALUE"""),"#N/A")</f>
        <v>#N/A</v>
      </c>
      <c r="D12875" s="1"/>
      <c r="E12875" s="1"/>
      <c r="F12875" s="1"/>
      <c r="G12875" s="1"/>
      <c r="H12875" s="2">
        <f>IFERROR(__xludf.DUMMYFUNCTION("""COMPUTED_VALUE"""),0.0)</f>
        <v>0</v>
      </c>
      <c r="I12875" s="5"/>
      <c r="J12875" s="1" t="str">
        <f>IFERROR(__xludf.DUMMYFUNCTION("""COMPUTED_VALUE"""),"#N/A")</f>
        <v>#N/A</v>
      </c>
      <c r="K12875" s="1" t="str">
        <f>IFERROR(__xludf.DUMMYFUNCTION("""COMPUTED_VALUE"""),"#N/A")</f>
        <v>#N/A</v>
      </c>
      <c r="L12875" s="1" t="str">
        <f>IFERROR(__xludf.DUMMYFUNCTION("""COMPUTED_VALUE"""),"#N/A")</f>
        <v>#N/A</v>
      </c>
    </row>
    <row r="12876">
      <c r="A12876" s="1" t="str">
        <f>IFERROR(__xludf.DUMMYFUNCTION("""COMPUTED_VALUE"""),"#VALUE!")</f>
        <v>#VALUE!</v>
      </c>
      <c r="B12876" s="4"/>
      <c r="C12876" s="1" t="str">
        <f>IFERROR(__xludf.DUMMYFUNCTION("""COMPUTED_VALUE"""),"#N/A")</f>
        <v>#N/A</v>
      </c>
      <c r="D12876" s="1"/>
      <c r="E12876" s="1"/>
      <c r="F12876" s="1"/>
      <c r="G12876" s="1"/>
      <c r="H12876" s="2">
        <f>IFERROR(__xludf.DUMMYFUNCTION("""COMPUTED_VALUE"""),0.0)</f>
        <v>0</v>
      </c>
      <c r="I12876" s="5"/>
      <c r="J12876" s="1" t="str">
        <f>IFERROR(__xludf.DUMMYFUNCTION("""COMPUTED_VALUE"""),"#N/A")</f>
        <v>#N/A</v>
      </c>
      <c r="K12876" s="1" t="str">
        <f>IFERROR(__xludf.DUMMYFUNCTION("""COMPUTED_VALUE"""),"#N/A")</f>
        <v>#N/A</v>
      </c>
      <c r="L12876" s="1" t="str">
        <f>IFERROR(__xludf.DUMMYFUNCTION("""COMPUTED_VALUE"""),"#N/A")</f>
        <v>#N/A</v>
      </c>
    </row>
    <row r="12877">
      <c r="A12877" s="1" t="str">
        <f>IFERROR(__xludf.DUMMYFUNCTION("""COMPUTED_VALUE"""),"#VALUE!")</f>
        <v>#VALUE!</v>
      </c>
      <c r="B12877" s="4"/>
      <c r="C12877" s="1" t="str">
        <f>IFERROR(__xludf.DUMMYFUNCTION("""COMPUTED_VALUE"""),"#N/A")</f>
        <v>#N/A</v>
      </c>
      <c r="D12877" s="1"/>
      <c r="E12877" s="1"/>
      <c r="F12877" s="1"/>
      <c r="G12877" s="1"/>
      <c r="H12877" s="2">
        <f>IFERROR(__xludf.DUMMYFUNCTION("""COMPUTED_VALUE"""),0.0)</f>
        <v>0</v>
      </c>
      <c r="I12877" s="5"/>
      <c r="J12877" s="1" t="str">
        <f>IFERROR(__xludf.DUMMYFUNCTION("""COMPUTED_VALUE"""),"#N/A")</f>
        <v>#N/A</v>
      </c>
      <c r="K12877" s="1" t="str">
        <f>IFERROR(__xludf.DUMMYFUNCTION("""COMPUTED_VALUE"""),"#N/A")</f>
        <v>#N/A</v>
      </c>
      <c r="L12877" s="1" t="str">
        <f>IFERROR(__xludf.DUMMYFUNCTION("""COMPUTED_VALUE"""),"#N/A")</f>
        <v>#N/A</v>
      </c>
    </row>
    <row r="12878">
      <c r="A12878" s="1" t="str">
        <f>IFERROR(__xludf.DUMMYFUNCTION("""COMPUTED_VALUE"""),"#VALUE!")</f>
        <v>#VALUE!</v>
      </c>
      <c r="B12878" s="4"/>
      <c r="C12878" s="1" t="str">
        <f>IFERROR(__xludf.DUMMYFUNCTION("""COMPUTED_VALUE"""),"#N/A")</f>
        <v>#N/A</v>
      </c>
      <c r="D12878" s="1"/>
      <c r="E12878" s="1"/>
      <c r="F12878" s="1"/>
      <c r="G12878" s="1"/>
      <c r="H12878" s="2">
        <f>IFERROR(__xludf.DUMMYFUNCTION("""COMPUTED_VALUE"""),0.0)</f>
        <v>0</v>
      </c>
      <c r="I12878" s="5"/>
      <c r="J12878" s="1" t="str">
        <f>IFERROR(__xludf.DUMMYFUNCTION("""COMPUTED_VALUE"""),"#N/A")</f>
        <v>#N/A</v>
      </c>
      <c r="K12878" s="1" t="str">
        <f>IFERROR(__xludf.DUMMYFUNCTION("""COMPUTED_VALUE"""),"#N/A")</f>
        <v>#N/A</v>
      </c>
      <c r="L12878" s="1" t="str">
        <f>IFERROR(__xludf.DUMMYFUNCTION("""COMPUTED_VALUE"""),"#N/A")</f>
        <v>#N/A</v>
      </c>
    </row>
    <row r="12879">
      <c r="A12879" s="1" t="str">
        <f>IFERROR(__xludf.DUMMYFUNCTION("""COMPUTED_VALUE"""),"#VALUE!")</f>
        <v>#VALUE!</v>
      </c>
      <c r="B12879" s="4"/>
      <c r="C12879" s="1" t="str">
        <f>IFERROR(__xludf.DUMMYFUNCTION("""COMPUTED_VALUE"""),"#N/A")</f>
        <v>#N/A</v>
      </c>
      <c r="D12879" s="1"/>
      <c r="E12879" s="1"/>
      <c r="F12879" s="1"/>
      <c r="G12879" s="1"/>
      <c r="H12879" s="2">
        <f>IFERROR(__xludf.DUMMYFUNCTION("""COMPUTED_VALUE"""),0.0)</f>
        <v>0</v>
      </c>
      <c r="I12879" s="5"/>
      <c r="J12879" s="1" t="str">
        <f>IFERROR(__xludf.DUMMYFUNCTION("""COMPUTED_VALUE"""),"#N/A")</f>
        <v>#N/A</v>
      </c>
      <c r="K12879" s="1" t="str">
        <f>IFERROR(__xludf.DUMMYFUNCTION("""COMPUTED_VALUE"""),"#N/A")</f>
        <v>#N/A</v>
      </c>
      <c r="L12879" s="1" t="str">
        <f>IFERROR(__xludf.DUMMYFUNCTION("""COMPUTED_VALUE"""),"#N/A")</f>
        <v>#N/A</v>
      </c>
    </row>
    <row r="12880">
      <c r="A12880" s="1" t="str">
        <f>IFERROR(__xludf.DUMMYFUNCTION("""COMPUTED_VALUE"""),"#VALUE!")</f>
        <v>#VALUE!</v>
      </c>
      <c r="B12880" s="4"/>
      <c r="C12880" s="1" t="str">
        <f>IFERROR(__xludf.DUMMYFUNCTION("""COMPUTED_VALUE"""),"#N/A")</f>
        <v>#N/A</v>
      </c>
      <c r="D12880" s="1"/>
      <c r="E12880" s="1"/>
      <c r="F12880" s="1"/>
      <c r="G12880" s="1"/>
      <c r="H12880" s="2">
        <f>IFERROR(__xludf.DUMMYFUNCTION("""COMPUTED_VALUE"""),0.0)</f>
        <v>0</v>
      </c>
      <c r="I12880" s="5"/>
      <c r="J12880" s="1" t="str">
        <f>IFERROR(__xludf.DUMMYFUNCTION("""COMPUTED_VALUE"""),"#N/A")</f>
        <v>#N/A</v>
      </c>
      <c r="K12880" s="1" t="str">
        <f>IFERROR(__xludf.DUMMYFUNCTION("""COMPUTED_VALUE"""),"#N/A")</f>
        <v>#N/A</v>
      </c>
      <c r="L12880" s="1" t="str">
        <f>IFERROR(__xludf.DUMMYFUNCTION("""COMPUTED_VALUE"""),"#N/A")</f>
        <v>#N/A</v>
      </c>
    </row>
    <row r="12881">
      <c r="A12881" s="1" t="str">
        <f>IFERROR(__xludf.DUMMYFUNCTION("""COMPUTED_VALUE"""),"#VALUE!")</f>
        <v>#VALUE!</v>
      </c>
      <c r="B12881" s="4"/>
      <c r="C12881" s="1" t="str">
        <f>IFERROR(__xludf.DUMMYFUNCTION("""COMPUTED_VALUE"""),"#N/A")</f>
        <v>#N/A</v>
      </c>
      <c r="D12881" s="1"/>
      <c r="E12881" s="1"/>
      <c r="F12881" s="1"/>
      <c r="G12881" s="1"/>
      <c r="H12881" s="2">
        <f>IFERROR(__xludf.DUMMYFUNCTION("""COMPUTED_VALUE"""),0.0)</f>
        <v>0</v>
      </c>
      <c r="I12881" s="5"/>
      <c r="J12881" s="1" t="str">
        <f>IFERROR(__xludf.DUMMYFUNCTION("""COMPUTED_VALUE"""),"#N/A")</f>
        <v>#N/A</v>
      </c>
      <c r="K12881" s="1" t="str">
        <f>IFERROR(__xludf.DUMMYFUNCTION("""COMPUTED_VALUE"""),"#N/A")</f>
        <v>#N/A</v>
      </c>
      <c r="L12881" s="1" t="str">
        <f>IFERROR(__xludf.DUMMYFUNCTION("""COMPUTED_VALUE"""),"#N/A")</f>
        <v>#N/A</v>
      </c>
    </row>
    <row r="12882">
      <c r="A12882" s="1" t="str">
        <f>IFERROR(__xludf.DUMMYFUNCTION("""COMPUTED_VALUE"""),"#VALUE!")</f>
        <v>#VALUE!</v>
      </c>
      <c r="B12882" s="4"/>
      <c r="C12882" s="1" t="str">
        <f>IFERROR(__xludf.DUMMYFUNCTION("""COMPUTED_VALUE"""),"#N/A")</f>
        <v>#N/A</v>
      </c>
      <c r="D12882" s="1"/>
      <c r="E12882" s="1"/>
      <c r="F12882" s="1"/>
      <c r="G12882" s="1"/>
      <c r="H12882" s="2">
        <f>IFERROR(__xludf.DUMMYFUNCTION("""COMPUTED_VALUE"""),0.0)</f>
        <v>0</v>
      </c>
      <c r="I12882" s="5"/>
      <c r="J12882" s="1" t="str">
        <f>IFERROR(__xludf.DUMMYFUNCTION("""COMPUTED_VALUE"""),"#N/A")</f>
        <v>#N/A</v>
      </c>
      <c r="K12882" s="1" t="str">
        <f>IFERROR(__xludf.DUMMYFUNCTION("""COMPUTED_VALUE"""),"#N/A")</f>
        <v>#N/A</v>
      </c>
      <c r="L12882" s="1" t="str">
        <f>IFERROR(__xludf.DUMMYFUNCTION("""COMPUTED_VALUE"""),"#N/A")</f>
        <v>#N/A</v>
      </c>
    </row>
    <row r="12883">
      <c r="A12883" s="1" t="str">
        <f>IFERROR(__xludf.DUMMYFUNCTION("""COMPUTED_VALUE"""),"#VALUE!")</f>
        <v>#VALUE!</v>
      </c>
      <c r="B12883" s="4"/>
      <c r="C12883" s="1" t="str">
        <f>IFERROR(__xludf.DUMMYFUNCTION("""COMPUTED_VALUE"""),"#N/A")</f>
        <v>#N/A</v>
      </c>
      <c r="D12883" s="1"/>
      <c r="E12883" s="1"/>
      <c r="F12883" s="1"/>
      <c r="G12883" s="1"/>
      <c r="H12883" s="2">
        <f>IFERROR(__xludf.DUMMYFUNCTION("""COMPUTED_VALUE"""),0.0)</f>
        <v>0</v>
      </c>
      <c r="I12883" s="5"/>
      <c r="J12883" s="1" t="str">
        <f>IFERROR(__xludf.DUMMYFUNCTION("""COMPUTED_VALUE"""),"#N/A")</f>
        <v>#N/A</v>
      </c>
      <c r="K12883" s="1" t="str">
        <f>IFERROR(__xludf.DUMMYFUNCTION("""COMPUTED_VALUE"""),"#N/A")</f>
        <v>#N/A</v>
      </c>
      <c r="L12883" s="1" t="str">
        <f>IFERROR(__xludf.DUMMYFUNCTION("""COMPUTED_VALUE"""),"#N/A")</f>
        <v>#N/A</v>
      </c>
    </row>
    <row r="12884">
      <c r="A12884" s="1" t="str">
        <f>IFERROR(__xludf.DUMMYFUNCTION("""COMPUTED_VALUE"""),"#VALUE!")</f>
        <v>#VALUE!</v>
      </c>
      <c r="B12884" s="4"/>
      <c r="C12884" s="1" t="str">
        <f>IFERROR(__xludf.DUMMYFUNCTION("""COMPUTED_VALUE"""),"#N/A")</f>
        <v>#N/A</v>
      </c>
      <c r="D12884" s="1"/>
      <c r="E12884" s="1"/>
      <c r="F12884" s="1"/>
      <c r="G12884" s="1"/>
      <c r="H12884" s="2">
        <f>IFERROR(__xludf.DUMMYFUNCTION("""COMPUTED_VALUE"""),0.0)</f>
        <v>0</v>
      </c>
      <c r="I12884" s="5"/>
      <c r="J12884" s="1" t="str">
        <f>IFERROR(__xludf.DUMMYFUNCTION("""COMPUTED_VALUE"""),"#N/A")</f>
        <v>#N/A</v>
      </c>
      <c r="K12884" s="1" t="str">
        <f>IFERROR(__xludf.DUMMYFUNCTION("""COMPUTED_VALUE"""),"#N/A")</f>
        <v>#N/A</v>
      </c>
      <c r="L12884" s="1" t="str">
        <f>IFERROR(__xludf.DUMMYFUNCTION("""COMPUTED_VALUE"""),"#N/A")</f>
        <v>#N/A</v>
      </c>
    </row>
    <row r="12885">
      <c r="A12885" s="1" t="str">
        <f>IFERROR(__xludf.DUMMYFUNCTION("""COMPUTED_VALUE"""),"#VALUE!")</f>
        <v>#VALUE!</v>
      </c>
      <c r="B12885" s="4"/>
      <c r="C12885" s="1" t="str">
        <f>IFERROR(__xludf.DUMMYFUNCTION("""COMPUTED_VALUE"""),"#N/A")</f>
        <v>#N/A</v>
      </c>
      <c r="D12885" s="1"/>
      <c r="E12885" s="1"/>
      <c r="F12885" s="1"/>
      <c r="G12885" s="1"/>
      <c r="H12885" s="2">
        <f>IFERROR(__xludf.DUMMYFUNCTION("""COMPUTED_VALUE"""),0.0)</f>
        <v>0</v>
      </c>
      <c r="I12885" s="5"/>
      <c r="J12885" s="1" t="str">
        <f>IFERROR(__xludf.DUMMYFUNCTION("""COMPUTED_VALUE"""),"#N/A")</f>
        <v>#N/A</v>
      </c>
      <c r="K12885" s="1" t="str">
        <f>IFERROR(__xludf.DUMMYFUNCTION("""COMPUTED_VALUE"""),"#N/A")</f>
        <v>#N/A</v>
      </c>
      <c r="L12885" s="1" t="str">
        <f>IFERROR(__xludf.DUMMYFUNCTION("""COMPUTED_VALUE"""),"#N/A")</f>
        <v>#N/A</v>
      </c>
    </row>
    <row r="12886">
      <c r="A12886" s="1" t="str">
        <f>IFERROR(__xludf.DUMMYFUNCTION("""COMPUTED_VALUE"""),"#VALUE!")</f>
        <v>#VALUE!</v>
      </c>
      <c r="B12886" s="4"/>
      <c r="C12886" s="1" t="str">
        <f>IFERROR(__xludf.DUMMYFUNCTION("""COMPUTED_VALUE"""),"#N/A")</f>
        <v>#N/A</v>
      </c>
      <c r="D12886" s="1"/>
      <c r="E12886" s="1"/>
      <c r="F12886" s="1"/>
      <c r="G12886" s="1"/>
      <c r="H12886" s="2">
        <f>IFERROR(__xludf.DUMMYFUNCTION("""COMPUTED_VALUE"""),0.0)</f>
        <v>0</v>
      </c>
      <c r="I12886" s="5"/>
      <c r="J12886" s="1" t="str">
        <f>IFERROR(__xludf.DUMMYFUNCTION("""COMPUTED_VALUE"""),"#N/A")</f>
        <v>#N/A</v>
      </c>
      <c r="K12886" s="1" t="str">
        <f>IFERROR(__xludf.DUMMYFUNCTION("""COMPUTED_VALUE"""),"#N/A")</f>
        <v>#N/A</v>
      </c>
      <c r="L12886" s="1" t="str">
        <f>IFERROR(__xludf.DUMMYFUNCTION("""COMPUTED_VALUE"""),"#N/A")</f>
        <v>#N/A</v>
      </c>
    </row>
    <row r="12887">
      <c r="A12887" s="1" t="str">
        <f>IFERROR(__xludf.DUMMYFUNCTION("""COMPUTED_VALUE"""),"#VALUE!")</f>
        <v>#VALUE!</v>
      </c>
      <c r="B12887" s="4"/>
      <c r="C12887" s="1" t="str">
        <f>IFERROR(__xludf.DUMMYFUNCTION("""COMPUTED_VALUE"""),"#N/A")</f>
        <v>#N/A</v>
      </c>
      <c r="D12887" s="1"/>
      <c r="E12887" s="1"/>
      <c r="F12887" s="1"/>
      <c r="G12887" s="1"/>
      <c r="H12887" s="2">
        <f>IFERROR(__xludf.DUMMYFUNCTION("""COMPUTED_VALUE"""),0.0)</f>
        <v>0</v>
      </c>
      <c r="I12887" s="5"/>
      <c r="J12887" s="1" t="str">
        <f>IFERROR(__xludf.DUMMYFUNCTION("""COMPUTED_VALUE"""),"#N/A")</f>
        <v>#N/A</v>
      </c>
      <c r="K12887" s="1" t="str">
        <f>IFERROR(__xludf.DUMMYFUNCTION("""COMPUTED_VALUE"""),"#N/A")</f>
        <v>#N/A</v>
      </c>
      <c r="L12887" s="1" t="str">
        <f>IFERROR(__xludf.DUMMYFUNCTION("""COMPUTED_VALUE"""),"#N/A")</f>
        <v>#N/A</v>
      </c>
    </row>
    <row r="12888">
      <c r="A12888" s="1" t="str">
        <f>IFERROR(__xludf.DUMMYFUNCTION("""COMPUTED_VALUE"""),"#VALUE!")</f>
        <v>#VALUE!</v>
      </c>
      <c r="B12888" s="4"/>
      <c r="C12888" s="1" t="str">
        <f>IFERROR(__xludf.DUMMYFUNCTION("""COMPUTED_VALUE"""),"#N/A")</f>
        <v>#N/A</v>
      </c>
      <c r="D12888" s="1"/>
      <c r="E12888" s="1"/>
      <c r="F12888" s="1"/>
      <c r="G12888" s="1"/>
      <c r="H12888" s="2">
        <f>IFERROR(__xludf.DUMMYFUNCTION("""COMPUTED_VALUE"""),0.0)</f>
        <v>0</v>
      </c>
      <c r="I12888" s="5"/>
      <c r="J12888" s="1" t="str">
        <f>IFERROR(__xludf.DUMMYFUNCTION("""COMPUTED_VALUE"""),"#N/A")</f>
        <v>#N/A</v>
      </c>
      <c r="K12888" s="1" t="str">
        <f>IFERROR(__xludf.DUMMYFUNCTION("""COMPUTED_VALUE"""),"#N/A")</f>
        <v>#N/A</v>
      </c>
      <c r="L12888" s="1" t="str">
        <f>IFERROR(__xludf.DUMMYFUNCTION("""COMPUTED_VALUE"""),"#N/A")</f>
        <v>#N/A</v>
      </c>
    </row>
    <row r="12889">
      <c r="A12889" s="1" t="str">
        <f>IFERROR(__xludf.DUMMYFUNCTION("""COMPUTED_VALUE"""),"#VALUE!")</f>
        <v>#VALUE!</v>
      </c>
      <c r="B12889" s="4"/>
      <c r="C12889" s="1" t="str">
        <f>IFERROR(__xludf.DUMMYFUNCTION("""COMPUTED_VALUE"""),"#N/A")</f>
        <v>#N/A</v>
      </c>
      <c r="D12889" s="1"/>
      <c r="E12889" s="1"/>
      <c r="F12889" s="1"/>
      <c r="G12889" s="1"/>
      <c r="H12889" s="2">
        <f>IFERROR(__xludf.DUMMYFUNCTION("""COMPUTED_VALUE"""),0.0)</f>
        <v>0</v>
      </c>
      <c r="I12889" s="5"/>
      <c r="J12889" s="1" t="str">
        <f>IFERROR(__xludf.DUMMYFUNCTION("""COMPUTED_VALUE"""),"#N/A")</f>
        <v>#N/A</v>
      </c>
      <c r="K12889" s="1" t="str">
        <f>IFERROR(__xludf.DUMMYFUNCTION("""COMPUTED_VALUE"""),"#N/A")</f>
        <v>#N/A</v>
      </c>
      <c r="L12889" s="1" t="str">
        <f>IFERROR(__xludf.DUMMYFUNCTION("""COMPUTED_VALUE"""),"#N/A")</f>
        <v>#N/A</v>
      </c>
    </row>
    <row r="12890">
      <c r="A12890" s="1" t="str">
        <f>IFERROR(__xludf.DUMMYFUNCTION("""COMPUTED_VALUE"""),"#VALUE!")</f>
        <v>#VALUE!</v>
      </c>
      <c r="B12890" s="4"/>
      <c r="C12890" s="1" t="str">
        <f>IFERROR(__xludf.DUMMYFUNCTION("""COMPUTED_VALUE"""),"#N/A")</f>
        <v>#N/A</v>
      </c>
      <c r="D12890" s="1"/>
      <c r="E12890" s="1"/>
      <c r="F12890" s="1"/>
      <c r="G12890" s="1"/>
      <c r="H12890" s="2">
        <f>IFERROR(__xludf.DUMMYFUNCTION("""COMPUTED_VALUE"""),0.0)</f>
        <v>0</v>
      </c>
      <c r="I12890" s="5"/>
      <c r="J12890" s="1" t="str">
        <f>IFERROR(__xludf.DUMMYFUNCTION("""COMPUTED_VALUE"""),"#N/A")</f>
        <v>#N/A</v>
      </c>
      <c r="K12890" s="1" t="str">
        <f>IFERROR(__xludf.DUMMYFUNCTION("""COMPUTED_VALUE"""),"#N/A")</f>
        <v>#N/A</v>
      </c>
      <c r="L12890" s="1" t="str">
        <f>IFERROR(__xludf.DUMMYFUNCTION("""COMPUTED_VALUE"""),"#N/A")</f>
        <v>#N/A</v>
      </c>
    </row>
    <row r="12891">
      <c r="A12891" s="1" t="str">
        <f>IFERROR(__xludf.DUMMYFUNCTION("""COMPUTED_VALUE"""),"#VALUE!")</f>
        <v>#VALUE!</v>
      </c>
      <c r="B12891" s="4"/>
      <c r="C12891" s="1" t="str">
        <f>IFERROR(__xludf.DUMMYFUNCTION("""COMPUTED_VALUE"""),"#N/A")</f>
        <v>#N/A</v>
      </c>
      <c r="D12891" s="1"/>
      <c r="E12891" s="1"/>
      <c r="F12891" s="1"/>
      <c r="G12891" s="1"/>
      <c r="H12891" s="2">
        <f>IFERROR(__xludf.DUMMYFUNCTION("""COMPUTED_VALUE"""),0.0)</f>
        <v>0</v>
      </c>
      <c r="I12891" s="5"/>
      <c r="J12891" s="1" t="str">
        <f>IFERROR(__xludf.DUMMYFUNCTION("""COMPUTED_VALUE"""),"#N/A")</f>
        <v>#N/A</v>
      </c>
      <c r="K12891" s="1" t="str">
        <f>IFERROR(__xludf.DUMMYFUNCTION("""COMPUTED_VALUE"""),"#N/A")</f>
        <v>#N/A</v>
      </c>
      <c r="L12891" s="1" t="str">
        <f>IFERROR(__xludf.DUMMYFUNCTION("""COMPUTED_VALUE"""),"#N/A")</f>
        <v>#N/A</v>
      </c>
    </row>
    <row r="12892">
      <c r="A12892" s="1" t="str">
        <f>IFERROR(__xludf.DUMMYFUNCTION("""COMPUTED_VALUE"""),"#VALUE!")</f>
        <v>#VALUE!</v>
      </c>
      <c r="B12892" s="4"/>
      <c r="C12892" s="1" t="str">
        <f>IFERROR(__xludf.DUMMYFUNCTION("""COMPUTED_VALUE"""),"#N/A")</f>
        <v>#N/A</v>
      </c>
      <c r="D12892" s="1"/>
      <c r="E12892" s="1"/>
      <c r="F12892" s="1"/>
      <c r="G12892" s="1"/>
      <c r="H12892" s="2">
        <f>IFERROR(__xludf.DUMMYFUNCTION("""COMPUTED_VALUE"""),0.0)</f>
        <v>0</v>
      </c>
      <c r="I12892" s="5"/>
      <c r="J12892" s="1" t="str">
        <f>IFERROR(__xludf.DUMMYFUNCTION("""COMPUTED_VALUE"""),"#N/A")</f>
        <v>#N/A</v>
      </c>
      <c r="K12892" s="1" t="str">
        <f>IFERROR(__xludf.DUMMYFUNCTION("""COMPUTED_VALUE"""),"#N/A")</f>
        <v>#N/A</v>
      </c>
      <c r="L12892" s="1" t="str">
        <f>IFERROR(__xludf.DUMMYFUNCTION("""COMPUTED_VALUE"""),"#N/A")</f>
        <v>#N/A</v>
      </c>
    </row>
    <row r="12893">
      <c r="A12893" s="1" t="str">
        <f>IFERROR(__xludf.DUMMYFUNCTION("""COMPUTED_VALUE"""),"#VALUE!")</f>
        <v>#VALUE!</v>
      </c>
      <c r="B12893" s="4"/>
      <c r="C12893" s="1" t="str">
        <f>IFERROR(__xludf.DUMMYFUNCTION("""COMPUTED_VALUE"""),"#N/A")</f>
        <v>#N/A</v>
      </c>
      <c r="D12893" s="1"/>
      <c r="E12893" s="1"/>
      <c r="F12893" s="1"/>
      <c r="G12893" s="1"/>
      <c r="H12893" s="2">
        <f>IFERROR(__xludf.DUMMYFUNCTION("""COMPUTED_VALUE"""),0.0)</f>
        <v>0</v>
      </c>
      <c r="I12893" s="5"/>
      <c r="J12893" s="1" t="str">
        <f>IFERROR(__xludf.DUMMYFUNCTION("""COMPUTED_VALUE"""),"#N/A")</f>
        <v>#N/A</v>
      </c>
      <c r="K12893" s="1" t="str">
        <f>IFERROR(__xludf.DUMMYFUNCTION("""COMPUTED_VALUE"""),"#N/A")</f>
        <v>#N/A</v>
      </c>
      <c r="L12893" s="1" t="str">
        <f>IFERROR(__xludf.DUMMYFUNCTION("""COMPUTED_VALUE"""),"#N/A")</f>
        <v>#N/A</v>
      </c>
    </row>
    <row r="12894">
      <c r="A12894" s="1" t="str">
        <f>IFERROR(__xludf.DUMMYFUNCTION("""COMPUTED_VALUE"""),"#VALUE!")</f>
        <v>#VALUE!</v>
      </c>
      <c r="B12894" s="4"/>
      <c r="C12894" s="1" t="str">
        <f>IFERROR(__xludf.DUMMYFUNCTION("""COMPUTED_VALUE"""),"#N/A")</f>
        <v>#N/A</v>
      </c>
      <c r="D12894" s="1"/>
      <c r="E12894" s="1"/>
      <c r="F12894" s="1"/>
      <c r="G12894" s="1"/>
      <c r="H12894" s="2">
        <f>IFERROR(__xludf.DUMMYFUNCTION("""COMPUTED_VALUE"""),0.0)</f>
        <v>0</v>
      </c>
      <c r="I12894" s="5"/>
      <c r="J12894" s="1" t="str">
        <f>IFERROR(__xludf.DUMMYFUNCTION("""COMPUTED_VALUE"""),"#N/A")</f>
        <v>#N/A</v>
      </c>
      <c r="K12894" s="1" t="str">
        <f>IFERROR(__xludf.DUMMYFUNCTION("""COMPUTED_VALUE"""),"#N/A")</f>
        <v>#N/A</v>
      </c>
      <c r="L12894" s="1" t="str">
        <f>IFERROR(__xludf.DUMMYFUNCTION("""COMPUTED_VALUE"""),"#N/A")</f>
        <v>#N/A</v>
      </c>
    </row>
    <row r="12895">
      <c r="A12895" s="1" t="str">
        <f>IFERROR(__xludf.DUMMYFUNCTION("""COMPUTED_VALUE"""),"#VALUE!")</f>
        <v>#VALUE!</v>
      </c>
      <c r="B12895" s="4"/>
      <c r="C12895" s="1" t="str">
        <f>IFERROR(__xludf.DUMMYFUNCTION("""COMPUTED_VALUE"""),"#N/A")</f>
        <v>#N/A</v>
      </c>
      <c r="D12895" s="1"/>
      <c r="E12895" s="1"/>
      <c r="F12895" s="1"/>
      <c r="G12895" s="1"/>
      <c r="H12895" s="2">
        <f>IFERROR(__xludf.DUMMYFUNCTION("""COMPUTED_VALUE"""),0.0)</f>
        <v>0</v>
      </c>
      <c r="I12895" s="5"/>
      <c r="J12895" s="1" t="str">
        <f>IFERROR(__xludf.DUMMYFUNCTION("""COMPUTED_VALUE"""),"#N/A")</f>
        <v>#N/A</v>
      </c>
      <c r="K12895" s="1" t="str">
        <f>IFERROR(__xludf.DUMMYFUNCTION("""COMPUTED_VALUE"""),"#N/A")</f>
        <v>#N/A</v>
      </c>
      <c r="L12895" s="1" t="str">
        <f>IFERROR(__xludf.DUMMYFUNCTION("""COMPUTED_VALUE"""),"#N/A")</f>
        <v>#N/A</v>
      </c>
    </row>
    <row r="12896">
      <c r="A12896" s="1" t="str">
        <f>IFERROR(__xludf.DUMMYFUNCTION("""COMPUTED_VALUE"""),"#VALUE!")</f>
        <v>#VALUE!</v>
      </c>
      <c r="B12896" s="4"/>
      <c r="C12896" s="1" t="str">
        <f>IFERROR(__xludf.DUMMYFUNCTION("""COMPUTED_VALUE"""),"#N/A")</f>
        <v>#N/A</v>
      </c>
      <c r="D12896" s="1"/>
      <c r="E12896" s="1"/>
      <c r="F12896" s="1"/>
      <c r="G12896" s="1"/>
      <c r="H12896" s="2">
        <f>IFERROR(__xludf.DUMMYFUNCTION("""COMPUTED_VALUE"""),0.0)</f>
        <v>0</v>
      </c>
      <c r="I12896" s="5"/>
      <c r="J12896" s="1" t="str">
        <f>IFERROR(__xludf.DUMMYFUNCTION("""COMPUTED_VALUE"""),"#N/A")</f>
        <v>#N/A</v>
      </c>
      <c r="K12896" s="1" t="str">
        <f>IFERROR(__xludf.DUMMYFUNCTION("""COMPUTED_VALUE"""),"#N/A")</f>
        <v>#N/A</v>
      </c>
      <c r="L12896" s="1" t="str">
        <f>IFERROR(__xludf.DUMMYFUNCTION("""COMPUTED_VALUE"""),"#N/A")</f>
        <v>#N/A</v>
      </c>
    </row>
    <row r="12897">
      <c r="A12897" s="1" t="str">
        <f>IFERROR(__xludf.DUMMYFUNCTION("""COMPUTED_VALUE"""),"#VALUE!")</f>
        <v>#VALUE!</v>
      </c>
      <c r="B12897" s="4"/>
      <c r="C12897" s="1" t="str">
        <f>IFERROR(__xludf.DUMMYFUNCTION("""COMPUTED_VALUE"""),"#N/A")</f>
        <v>#N/A</v>
      </c>
      <c r="D12897" s="1"/>
      <c r="E12897" s="1"/>
      <c r="F12897" s="1"/>
      <c r="G12897" s="1"/>
      <c r="H12897" s="2">
        <f>IFERROR(__xludf.DUMMYFUNCTION("""COMPUTED_VALUE"""),0.0)</f>
        <v>0</v>
      </c>
      <c r="I12897" s="5"/>
      <c r="J12897" s="1" t="str">
        <f>IFERROR(__xludf.DUMMYFUNCTION("""COMPUTED_VALUE"""),"#N/A")</f>
        <v>#N/A</v>
      </c>
      <c r="K12897" s="1" t="str">
        <f>IFERROR(__xludf.DUMMYFUNCTION("""COMPUTED_VALUE"""),"#N/A")</f>
        <v>#N/A</v>
      </c>
      <c r="L12897" s="1" t="str">
        <f>IFERROR(__xludf.DUMMYFUNCTION("""COMPUTED_VALUE"""),"#N/A")</f>
        <v>#N/A</v>
      </c>
    </row>
    <row r="12898">
      <c r="A12898" s="1" t="str">
        <f>IFERROR(__xludf.DUMMYFUNCTION("""COMPUTED_VALUE"""),"#VALUE!")</f>
        <v>#VALUE!</v>
      </c>
      <c r="B12898" s="4"/>
      <c r="C12898" s="1" t="str">
        <f>IFERROR(__xludf.DUMMYFUNCTION("""COMPUTED_VALUE"""),"#N/A")</f>
        <v>#N/A</v>
      </c>
      <c r="D12898" s="1"/>
      <c r="E12898" s="1"/>
      <c r="F12898" s="1"/>
      <c r="G12898" s="1"/>
      <c r="H12898" s="2">
        <f>IFERROR(__xludf.DUMMYFUNCTION("""COMPUTED_VALUE"""),0.0)</f>
        <v>0</v>
      </c>
      <c r="I12898" s="5"/>
      <c r="J12898" s="1" t="str">
        <f>IFERROR(__xludf.DUMMYFUNCTION("""COMPUTED_VALUE"""),"#N/A")</f>
        <v>#N/A</v>
      </c>
      <c r="K12898" s="1" t="str">
        <f>IFERROR(__xludf.DUMMYFUNCTION("""COMPUTED_VALUE"""),"#N/A")</f>
        <v>#N/A</v>
      </c>
      <c r="L12898" s="1" t="str">
        <f>IFERROR(__xludf.DUMMYFUNCTION("""COMPUTED_VALUE"""),"#N/A")</f>
        <v>#N/A</v>
      </c>
    </row>
    <row r="12899">
      <c r="A12899" s="1" t="str">
        <f>IFERROR(__xludf.DUMMYFUNCTION("""COMPUTED_VALUE"""),"#VALUE!")</f>
        <v>#VALUE!</v>
      </c>
      <c r="B12899" s="4"/>
      <c r="C12899" s="1" t="str">
        <f>IFERROR(__xludf.DUMMYFUNCTION("""COMPUTED_VALUE"""),"#N/A")</f>
        <v>#N/A</v>
      </c>
      <c r="D12899" s="1"/>
      <c r="E12899" s="1"/>
      <c r="F12899" s="1"/>
      <c r="G12899" s="1"/>
      <c r="H12899" s="2">
        <f>IFERROR(__xludf.DUMMYFUNCTION("""COMPUTED_VALUE"""),0.0)</f>
        <v>0</v>
      </c>
      <c r="I12899" s="5"/>
      <c r="J12899" s="1" t="str">
        <f>IFERROR(__xludf.DUMMYFUNCTION("""COMPUTED_VALUE"""),"#N/A")</f>
        <v>#N/A</v>
      </c>
      <c r="K12899" s="1" t="str">
        <f>IFERROR(__xludf.DUMMYFUNCTION("""COMPUTED_VALUE"""),"#N/A")</f>
        <v>#N/A</v>
      </c>
      <c r="L12899" s="1" t="str">
        <f>IFERROR(__xludf.DUMMYFUNCTION("""COMPUTED_VALUE"""),"#N/A")</f>
        <v>#N/A</v>
      </c>
    </row>
    <row r="12900">
      <c r="A12900" s="1" t="str">
        <f>IFERROR(__xludf.DUMMYFUNCTION("""COMPUTED_VALUE"""),"#VALUE!")</f>
        <v>#VALUE!</v>
      </c>
      <c r="B12900" s="4"/>
      <c r="C12900" s="1" t="str">
        <f>IFERROR(__xludf.DUMMYFUNCTION("""COMPUTED_VALUE"""),"#N/A")</f>
        <v>#N/A</v>
      </c>
      <c r="D12900" s="1"/>
      <c r="E12900" s="1"/>
      <c r="F12900" s="1"/>
      <c r="G12900" s="1"/>
      <c r="H12900" s="2">
        <f>IFERROR(__xludf.DUMMYFUNCTION("""COMPUTED_VALUE"""),0.0)</f>
        <v>0</v>
      </c>
      <c r="I12900" s="5"/>
      <c r="J12900" s="1" t="str">
        <f>IFERROR(__xludf.DUMMYFUNCTION("""COMPUTED_VALUE"""),"#N/A")</f>
        <v>#N/A</v>
      </c>
      <c r="K12900" s="1" t="str">
        <f>IFERROR(__xludf.DUMMYFUNCTION("""COMPUTED_VALUE"""),"#N/A")</f>
        <v>#N/A</v>
      </c>
      <c r="L12900" s="1" t="str">
        <f>IFERROR(__xludf.DUMMYFUNCTION("""COMPUTED_VALUE"""),"#N/A")</f>
        <v>#N/A</v>
      </c>
    </row>
    <row r="12901">
      <c r="A12901" s="1" t="str">
        <f>IFERROR(__xludf.DUMMYFUNCTION("""COMPUTED_VALUE"""),"#VALUE!")</f>
        <v>#VALUE!</v>
      </c>
      <c r="B12901" s="4"/>
      <c r="C12901" s="1" t="str">
        <f>IFERROR(__xludf.DUMMYFUNCTION("""COMPUTED_VALUE"""),"#N/A")</f>
        <v>#N/A</v>
      </c>
      <c r="D12901" s="1"/>
      <c r="E12901" s="1"/>
      <c r="F12901" s="1"/>
      <c r="G12901" s="1"/>
      <c r="H12901" s="2">
        <f>IFERROR(__xludf.DUMMYFUNCTION("""COMPUTED_VALUE"""),0.0)</f>
        <v>0</v>
      </c>
      <c r="I12901" s="5"/>
      <c r="J12901" s="1" t="str">
        <f>IFERROR(__xludf.DUMMYFUNCTION("""COMPUTED_VALUE"""),"#N/A")</f>
        <v>#N/A</v>
      </c>
      <c r="K12901" s="1" t="str">
        <f>IFERROR(__xludf.DUMMYFUNCTION("""COMPUTED_VALUE"""),"#N/A")</f>
        <v>#N/A</v>
      </c>
      <c r="L12901" s="1" t="str">
        <f>IFERROR(__xludf.DUMMYFUNCTION("""COMPUTED_VALUE"""),"#N/A")</f>
        <v>#N/A</v>
      </c>
    </row>
    <row r="12902">
      <c r="A12902" s="1" t="str">
        <f>IFERROR(__xludf.DUMMYFUNCTION("""COMPUTED_VALUE"""),"#VALUE!")</f>
        <v>#VALUE!</v>
      </c>
      <c r="B12902" s="4"/>
      <c r="C12902" s="1" t="str">
        <f>IFERROR(__xludf.DUMMYFUNCTION("""COMPUTED_VALUE"""),"#N/A")</f>
        <v>#N/A</v>
      </c>
      <c r="D12902" s="1"/>
      <c r="E12902" s="1"/>
      <c r="F12902" s="1"/>
      <c r="G12902" s="1"/>
      <c r="H12902" s="2">
        <f>IFERROR(__xludf.DUMMYFUNCTION("""COMPUTED_VALUE"""),0.0)</f>
        <v>0</v>
      </c>
      <c r="I12902" s="5"/>
      <c r="J12902" s="1" t="str">
        <f>IFERROR(__xludf.DUMMYFUNCTION("""COMPUTED_VALUE"""),"#N/A")</f>
        <v>#N/A</v>
      </c>
      <c r="K12902" s="1" t="str">
        <f>IFERROR(__xludf.DUMMYFUNCTION("""COMPUTED_VALUE"""),"#N/A")</f>
        <v>#N/A</v>
      </c>
      <c r="L12902" s="1" t="str">
        <f>IFERROR(__xludf.DUMMYFUNCTION("""COMPUTED_VALUE"""),"#N/A")</f>
        <v>#N/A</v>
      </c>
    </row>
    <row r="12903">
      <c r="A12903" s="1" t="str">
        <f>IFERROR(__xludf.DUMMYFUNCTION("""COMPUTED_VALUE"""),"#VALUE!")</f>
        <v>#VALUE!</v>
      </c>
      <c r="B12903" s="4"/>
      <c r="C12903" s="1" t="str">
        <f>IFERROR(__xludf.DUMMYFUNCTION("""COMPUTED_VALUE"""),"#N/A")</f>
        <v>#N/A</v>
      </c>
      <c r="D12903" s="1"/>
      <c r="E12903" s="1"/>
      <c r="F12903" s="1"/>
      <c r="G12903" s="1"/>
      <c r="H12903" s="2">
        <f>IFERROR(__xludf.DUMMYFUNCTION("""COMPUTED_VALUE"""),0.0)</f>
        <v>0</v>
      </c>
      <c r="I12903" s="5"/>
      <c r="J12903" s="1" t="str">
        <f>IFERROR(__xludf.DUMMYFUNCTION("""COMPUTED_VALUE"""),"#N/A")</f>
        <v>#N/A</v>
      </c>
      <c r="K12903" s="1" t="str">
        <f>IFERROR(__xludf.DUMMYFUNCTION("""COMPUTED_VALUE"""),"#N/A")</f>
        <v>#N/A</v>
      </c>
      <c r="L12903" s="1" t="str">
        <f>IFERROR(__xludf.DUMMYFUNCTION("""COMPUTED_VALUE"""),"#N/A")</f>
        <v>#N/A</v>
      </c>
    </row>
    <row r="12904">
      <c r="A12904" s="1" t="str">
        <f>IFERROR(__xludf.DUMMYFUNCTION("""COMPUTED_VALUE"""),"#VALUE!")</f>
        <v>#VALUE!</v>
      </c>
      <c r="B12904" s="4"/>
      <c r="C12904" s="1" t="str">
        <f>IFERROR(__xludf.DUMMYFUNCTION("""COMPUTED_VALUE"""),"#N/A")</f>
        <v>#N/A</v>
      </c>
      <c r="D12904" s="1"/>
      <c r="E12904" s="1"/>
      <c r="F12904" s="1"/>
      <c r="G12904" s="1"/>
      <c r="H12904" s="2">
        <f>IFERROR(__xludf.DUMMYFUNCTION("""COMPUTED_VALUE"""),0.0)</f>
        <v>0</v>
      </c>
      <c r="I12904" s="5"/>
      <c r="J12904" s="1" t="str">
        <f>IFERROR(__xludf.DUMMYFUNCTION("""COMPUTED_VALUE"""),"#N/A")</f>
        <v>#N/A</v>
      </c>
      <c r="K12904" s="1" t="str">
        <f>IFERROR(__xludf.DUMMYFUNCTION("""COMPUTED_VALUE"""),"#N/A")</f>
        <v>#N/A</v>
      </c>
      <c r="L12904" s="1" t="str">
        <f>IFERROR(__xludf.DUMMYFUNCTION("""COMPUTED_VALUE"""),"#N/A")</f>
        <v>#N/A</v>
      </c>
    </row>
    <row r="12905">
      <c r="A12905" s="1" t="str">
        <f>IFERROR(__xludf.DUMMYFUNCTION("""COMPUTED_VALUE"""),"#VALUE!")</f>
        <v>#VALUE!</v>
      </c>
      <c r="B12905" s="4"/>
      <c r="C12905" s="1" t="str">
        <f>IFERROR(__xludf.DUMMYFUNCTION("""COMPUTED_VALUE"""),"#N/A")</f>
        <v>#N/A</v>
      </c>
      <c r="D12905" s="1"/>
      <c r="E12905" s="1"/>
      <c r="F12905" s="1"/>
      <c r="G12905" s="1"/>
      <c r="H12905" s="2">
        <f>IFERROR(__xludf.DUMMYFUNCTION("""COMPUTED_VALUE"""),0.0)</f>
        <v>0</v>
      </c>
      <c r="I12905" s="5"/>
      <c r="J12905" s="1" t="str">
        <f>IFERROR(__xludf.DUMMYFUNCTION("""COMPUTED_VALUE"""),"#N/A")</f>
        <v>#N/A</v>
      </c>
      <c r="K12905" s="1" t="str">
        <f>IFERROR(__xludf.DUMMYFUNCTION("""COMPUTED_VALUE"""),"#N/A")</f>
        <v>#N/A</v>
      </c>
      <c r="L12905" s="1" t="str">
        <f>IFERROR(__xludf.DUMMYFUNCTION("""COMPUTED_VALUE"""),"#N/A")</f>
        <v>#N/A</v>
      </c>
    </row>
    <row r="12906">
      <c r="A12906" s="1" t="str">
        <f>IFERROR(__xludf.DUMMYFUNCTION("""COMPUTED_VALUE"""),"#VALUE!")</f>
        <v>#VALUE!</v>
      </c>
      <c r="B12906" s="4"/>
      <c r="C12906" s="1" t="str">
        <f>IFERROR(__xludf.DUMMYFUNCTION("""COMPUTED_VALUE"""),"#N/A")</f>
        <v>#N/A</v>
      </c>
      <c r="D12906" s="1"/>
      <c r="E12906" s="1"/>
      <c r="F12906" s="1"/>
      <c r="G12906" s="1"/>
      <c r="H12906" s="2">
        <f>IFERROR(__xludf.DUMMYFUNCTION("""COMPUTED_VALUE"""),0.0)</f>
        <v>0</v>
      </c>
      <c r="I12906" s="5"/>
      <c r="J12906" s="1" t="str">
        <f>IFERROR(__xludf.DUMMYFUNCTION("""COMPUTED_VALUE"""),"#N/A")</f>
        <v>#N/A</v>
      </c>
      <c r="K12906" s="1" t="str">
        <f>IFERROR(__xludf.DUMMYFUNCTION("""COMPUTED_VALUE"""),"#N/A")</f>
        <v>#N/A</v>
      </c>
      <c r="L12906" s="1" t="str">
        <f>IFERROR(__xludf.DUMMYFUNCTION("""COMPUTED_VALUE"""),"#N/A")</f>
        <v>#N/A</v>
      </c>
    </row>
    <row r="12907">
      <c r="A12907" s="1" t="str">
        <f>IFERROR(__xludf.DUMMYFUNCTION("""COMPUTED_VALUE"""),"#VALUE!")</f>
        <v>#VALUE!</v>
      </c>
      <c r="B12907" s="4"/>
      <c r="C12907" s="1" t="str">
        <f>IFERROR(__xludf.DUMMYFUNCTION("""COMPUTED_VALUE"""),"#N/A")</f>
        <v>#N/A</v>
      </c>
      <c r="D12907" s="1"/>
      <c r="E12907" s="1"/>
      <c r="F12907" s="1"/>
      <c r="G12907" s="1"/>
      <c r="H12907" s="2">
        <f>IFERROR(__xludf.DUMMYFUNCTION("""COMPUTED_VALUE"""),0.0)</f>
        <v>0</v>
      </c>
      <c r="I12907" s="5"/>
      <c r="J12907" s="1" t="str">
        <f>IFERROR(__xludf.DUMMYFUNCTION("""COMPUTED_VALUE"""),"#N/A")</f>
        <v>#N/A</v>
      </c>
      <c r="K12907" s="1" t="str">
        <f>IFERROR(__xludf.DUMMYFUNCTION("""COMPUTED_VALUE"""),"#N/A")</f>
        <v>#N/A</v>
      </c>
      <c r="L12907" s="1" t="str">
        <f>IFERROR(__xludf.DUMMYFUNCTION("""COMPUTED_VALUE"""),"#N/A")</f>
        <v>#N/A</v>
      </c>
    </row>
    <row r="12908">
      <c r="A12908" s="1" t="str">
        <f>IFERROR(__xludf.DUMMYFUNCTION("""COMPUTED_VALUE"""),"#VALUE!")</f>
        <v>#VALUE!</v>
      </c>
      <c r="B12908" s="4"/>
      <c r="C12908" s="1" t="str">
        <f>IFERROR(__xludf.DUMMYFUNCTION("""COMPUTED_VALUE"""),"#N/A")</f>
        <v>#N/A</v>
      </c>
      <c r="D12908" s="1"/>
      <c r="E12908" s="1"/>
      <c r="F12908" s="1"/>
      <c r="G12908" s="1"/>
      <c r="H12908" s="2">
        <f>IFERROR(__xludf.DUMMYFUNCTION("""COMPUTED_VALUE"""),0.0)</f>
        <v>0</v>
      </c>
      <c r="I12908" s="5"/>
      <c r="J12908" s="1" t="str">
        <f>IFERROR(__xludf.DUMMYFUNCTION("""COMPUTED_VALUE"""),"#N/A")</f>
        <v>#N/A</v>
      </c>
      <c r="K12908" s="1" t="str">
        <f>IFERROR(__xludf.DUMMYFUNCTION("""COMPUTED_VALUE"""),"#N/A")</f>
        <v>#N/A</v>
      </c>
      <c r="L12908" s="1" t="str">
        <f>IFERROR(__xludf.DUMMYFUNCTION("""COMPUTED_VALUE"""),"#N/A")</f>
        <v>#N/A</v>
      </c>
    </row>
    <row r="12909">
      <c r="A12909" s="1" t="str">
        <f>IFERROR(__xludf.DUMMYFUNCTION("""COMPUTED_VALUE"""),"#VALUE!")</f>
        <v>#VALUE!</v>
      </c>
      <c r="B12909" s="4"/>
      <c r="C12909" s="1" t="str">
        <f>IFERROR(__xludf.DUMMYFUNCTION("""COMPUTED_VALUE"""),"#N/A")</f>
        <v>#N/A</v>
      </c>
      <c r="D12909" s="1"/>
      <c r="E12909" s="1"/>
      <c r="F12909" s="1"/>
      <c r="G12909" s="1"/>
      <c r="H12909" s="2">
        <f>IFERROR(__xludf.DUMMYFUNCTION("""COMPUTED_VALUE"""),0.0)</f>
        <v>0</v>
      </c>
      <c r="I12909" s="5"/>
      <c r="J12909" s="1" t="str">
        <f>IFERROR(__xludf.DUMMYFUNCTION("""COMPUTED_VALUE"""),"#N/A")</f>
        <v>#N/A</v>
      </c>
      <c r="K12909" s="1" t="str">
        <f>IFERROR(__xludf.DUMMYFUNCTION("""COMPUTED_VALUE"""),"#N/A")</f>
        <v>#N/A</v>
      </c>
      <c r="L12909" s="1" t="str">
        <f>IFERROR(__xludf.DUMMYFUNCTION("""COMPUTED_VALUE"""),"#N/A")</f>
        <v>#N/A</v>
      </c>
    </row>
    <row r="12910">
      <c r="A12910" s="1" t="str">
        <f>IFERROR(__xludf.DUMMYFUNCTION("""COMPUTED_VALUE"""),"#VALUE!")</f>
        <v>#VALUE!</v>
      </c>
      <c r="B12910" s="4"/>
      <c r="C12910" s="1" t="str">
        <f>IFERROR(__xludf.DUMMYFUNCTION("""COMPUTED_VALUE"""),"#N/A")</f>
        <v>#N/A</v>
      </c>
      <c r="D12910" s="1"/>
      <c r="E12910" s="1"/>
      <c r="F12910" s="1"/>
      <c r="G12910" s="1"/>
      <c r="H12910" s="2">
        <f>IFERROR(__xludf.DUMMYFUNCTION("""COMPUTED_VALUE"""),0.0)</f>
        <v>0</v>
      </c>
      <c r="I12910" s="5"/>
      <c r="J12910" s="1" t="str">
        <f>IFERROR(__xludf.DUMMYFUNCTION("""COMPUTED_VALUE"""),"#N/A")</f>
        <v>#N/A</v>
      </c>
      <c r="K12910" s="1" t="str">
        <f>IFERROR(__xludf.DUMMYFUNCTION("""COMPUTED_VALUE"""),"#N/A")</f>
        <v>#N/A</v>
      </c>
      <c r="L12910" s="1" t="str">
        <f>IFERROR(__xludf.DUMMYFUNCTION("""COMPUTED_VALUE"""),"#N/A")</f>
        <v>#N/A</v>
      </c>
    </row>
    <row r="12911">
      <c r="A12911" s="1" t="str">
        <f>IFERROR(__xludf.DUMMYFUNCTION("""COMPUTED_VALUE"""),"#VALUE!")</f>
        <v>#VALUE!</v>
      </c>
      <c r="B12911" s="4"/>
      <c r="C12911" s="1" t="str">
        <f>IFERROR(__xludf.DUMMYFUNCTION("""COMPUTED_VALUE"""),"#N/A")</f>
        <v>#N/A</v>
      </c>
      <c r="D12911" s="1"/>
      <c r="E12911" s="1"/>
      <c r="F12911" s="1"/>
      <c r="G12911" s="1"/>
      <c r="H12911" s="2">
        <f>IFERROR(__xludf.DUMMYFUNCTION("""COMPUTED_VALUE"""),0.0)</f>
        <v>0</v>
      </c>
      <c r="I12911" s="5"/>
      <c r="J12911" s="1" t="str">
        <f>IFERROR(__xludf.DUMMYFUNCTION("""COMPUTED_VALUE"""),"#N/A")</f>
        <v>#N/A</v>
      </c>
      <c r="K12911" s="1" t="str">
        <f>IFERROR(__xludf.DUMMYFUNCTION("""COMPUTED_VALUE"""),"#N/A")</f>
        <v>#N/A</v>
      </c>
      <c r="L12911" s="1" t="str">
        <f>IFERROR(__xludf.DUMMYFUNCTION("""COMPUTED_VALUE"""),"#N/A")</f>
        <v>#N/A</v>
      </c>
    </row>
    <row r="12912">
      <c r="A12912" s="1" t="str">
        <f>IFERROR(__xludf.DUMMYFUNCTION("""COMPUTED_VALUE"""),"#VALUE!")</f>
        <v>#VALUE!</v>
      </c>
      <c r="B12912" s="4"/>
      <c r="C12912" s="1" t="str">
        <f>IFERROR(__xludf.DUMMYFUNCTION("""COMPUTED_VALUE"""),"#N/A")</f>
        <v>#N/A</v>
      </c>
      <c r="D12912" s="1"/>
      <c r="E12912" s="1"/>
      <c r="F12912" s="1"/>
      <c r="G12912" s="1"/>
      <c r="H12912" s="2">
        <f>IFERROR(__xludf.DUMMYFUNCTION("""COMPUTED_VALUE"""),0.0)</f>
        <v>0</v>
      </c>
      <c r="I12912" s="5"/>
      <c r="J12912" s="1" t="str">
        <f>IFERROR(__xludf.DUMMYFUNCTION("""COMPUTED_VALUE"""),"#N/A")</f>
        <v>#N/A</v>
      </c>
      <c r="K12912" s="1" t="str">
        <f>IFERROR(__xludf.DUMMYFUNCTION("""COMPUTED_VALUE"""),"#N/A")</f>
        <v>#N/A</v>
      </c>
      <c r="L12912" s="1" t="str">
        <f>IFERROR(__xludf.DUMMYFUNCTION("""COMPUTED_VALUE"""),"#N/A")</f>
        <v>#N/A</v>
      </c>
    </row>
    <row r="12913">
      <c r="A12913" s="1" t="str">
        <f>IFERROR(__xludf.DUMMYFUNCTION("""COMPUTED_VALUE"""),"#VALUE!")</f>
        <v>#VALUE!</v>
      </c>
      <c r="B12913" s="4"/>
      <c r="C12913" s="1" t="str">
        <f>IFERROR(__xludf.DUMMYFUNCTION("""COMPUTED_VALUE"""),"#N/A")</f>
        <v>#N/A</v>
      </c>
      <c r="D12913" s="1"/>
      <c r="E12913" s="1"/>
      <c r="F12913" s="1"/>
      <c r="G12913" s="1"/>
      <c r="H12913" s="2">
        <f>IFERROR(__xludf.DUMMYFUNCTION("""COMPUTED_VALUE"""),0.0)</f>
        <v>0</v>
      </c>
      <c r="I12913" s="5"/>
      <c r="J12913" s="1" t="str">
        <f>IFERROR(__xludf.DUMMYFUNCTION("""COMPUTED_VALUE"""),"#N/A")</f>
        <v>#N/A</v>
      </c>
      <c r="K12913" s="1" t="str">
        <f>IFERROR(__xludf.DUMMYFUNCTION("""COMPUTED_VALUE"""),"#N/A")</f>
        <v>#N/A</v>
      </c>
      <c r="L12913" s="1" t="str">
        <f>IFERROR(__xludf.DUMMYFUNCTION("""COMPUTED_VALUE"""),"#N/A")</f>
        <v>#N/A</v>
      </c>
    </row>
    <row r="12914">
      <c r="A12914" s="1" t="str">
        <f>IFERROR(__xludf.DUMMYFUNCTION("""COMPUTED_VALUE"""),"#VALUE!")</f>
        <v>#VALUE!</v>
      </c>
      <c r="B12914" s="4"/>
      <c r="C12914" s="1" t="str">
        <f>IFERROR(__xludf.DUMMYFUNCTION("""COMPUTED_VALUE"""),"#N/A")</f>
        <v>#N/A</v>
      </c>
      <c r="D12914" s="1"/>
      <c r="E12914" s="1"/>
      <c r="F12914" s="1"/>
      <c r="G12914" s="1"/>
      <c r="H12914" s="2">
        <f>IFERROR(__xludf.DUMMYFUNCTION("""COMPUTED_VALUE"""),0.0)</f>
        <v>0</v>
      </c>
      <c r="I12914" s="5"/>
      <c r="J12914" s="1" t="str">
        <f>IFERROR(__xludf.DUMMYFUNCTION("""COMPUTED_VALUE"""),"#N/A")</f>
        <v>#N/A</v>
      </c>
      <c r="K12914" s="1" t="str">
        <f>IFERROR(__xludf.DUMMYFUNCTION("""COMPUTED_VALUE"""),"#N/A")</f>
        <v>#N/A</v>
      </c>
      <c r="L12914" s="1" t="str">
        <f>IFERROR(__xludf.DUMMYFUNCTION("""COMPUTED_VALUE"""),"#N/A")</f>
        <v>#N/A</v>
      </c>
    </row>
    <row r="12915">
      <c r="A12915" s="1" t="str">
        <f>IFERROR(__xludf.DUMMYFUNCTION("""COMPUTED_VALUE"""),"#VALUE!")</f>
        <v>#VALUE!</v>
      </c>
      <c r="B12915" s="4"/>
      <c r="C12915" s="1" t="str">
        <f>IFERROR(__xludf.DUMMYFUNCTION("""COMPUTED_VALUE"""),"#N/A")</f>
        <v>#N/A</v>
      </c>
      <c r="D12915" s="1"/>
      <c r="E12915" s="1"/>
      <c r="F12915" s="1"/>
      <c r="G12915" s="1"/>
      <c r="H12915" s="2">
        <f>IFERROR(__xludf.DUMMYFUNCTION("""COMPUTED_VALUE"""),0.0)</f>
        <v>0</v>
      </c>
      <c r="I12915" s="5"/>
      <c r="J12915" s="1" t="str">
        <f>IFERROR(__xludf.DUMMYFUNCTION("""COMPUTED_VALUE"""),"#N/A")</f>
        <v>#N/A</v>
      </c>
      <c r="K12915" s="1" t="str">
        <f>IFERROR(__xludf.DUMMYFUNCTION("""COMPUTED_VALUE"""),"#N/A")</f>
        <v>#N/A</v>
      </c>
      <c r="L12915" s="1" t="str">
        <f>IFERROR(__xludf.DUMMYFUNCTION("""COMPUTED_VALUE"""),"#N/A")</f>
        <v>#N/A</v>
      </c>
    </row>
    <row r="12916">
      <c r="A12916" s="1" t="str">
        <f>IFERROR(__xludf.DUMMYFUNCTION("""COMPUTED_VALUE"""),"#VALUE!")</f>
        <v>#VALUE!</v>
      </c>
      <c r="B12916" s="4"/>
      <c r="C12916" s="1" t="str">
        <f>IFERROR(__xludf.DUMMYFUNCTION("""COMPUTED_VALUE"""),"#N/A")</f>
        <v>#N/A</v>
      </c>
      <c r="D12916" s="1"/>
      <c r="E12916" s="1"/>
      <c r="F12916" s="1"/>
      <c r="G12916" s="1"/>
      <c r="H12916" s="2">
        <f>IFERROR(__xludf.DUMMYFUNCTION("""COMPUTED_VALUE"""),0.0)</f>
        <v>0</v>
      </c>
      <c r="I12916" s="5"/>
      <c r="J12916" s="1" t="str">
        <f>IFERROR(__xludf.DUMMYFUNCTION("""COMPUTED_VALUE"""),"#N/A")</f>
        <v>#N/A</v>
      </c>
      <c r="K12916" s="1" t="str">
        <f>IFERROR(__xludf.DUMMYFUNCTION("""COMPUTED_VALUE"""),"#N/A")</f>
        <v>#N/A</v>
      </c>
      <c r="L12916" s="1" t="str">
        <f>IFERROR(__xludf.DUMMYFUNCTION("""COMPUTED_VALUE"""),"#N/A")</f>
        <v>#N/A</v>
      </c>
    </row>
    <row r="12917">
      <c r="A12917" s="1" t="str">
        <f>IFERROR(__xludf.DUMMYFUNCTION("""COMPUTED_VALUE"""),"#VALUE!")</f>
        <v>#VALUE!</v>
      </c>
      <c r="B12917" s="4"/>
      <c r="C12917" s="1" t="str">
        <f>IFERROR(__xludf.DUMMYFUNCTION("""COMPUTED_VALUE"""),"#N/A")</f>
        <v>#N/A</v>
      </c>
      <c r="D12917" s="1"/>
      <c r="E12917" s="1"/>
      <c r="F12917" s="1"/>
      <c r="G12917" s="1"/>
      <c r="H12917" s="2">
        <f>IFERROR(__xludf.DUMMYFUNCTION("""COMPUTED_VALUE"""),0.0)</f>
        <v>0</v>
      </c>
      <c r="I12917" s="5"/>
      <c r="J12917" s="1" t="str">
        <f>IFERROR(__xludf.DUMMYFUNCTION("""COMPUTED_VALUE"""),"#N/A")</f>
        <v>#N/A</v>
      </c>
      <c r="K12917" s="1" t="str">
        <f>IFERROR(__xludf.DUMMYFUNCTION("""COMPUTED_VALUE"""),"#N/A")</f>
        <v>#N/A</v>
      </c>
      <c r="L12917" s="1" t="str">
        <f>IFERROR(__xludf.DUMMYFUNCTION("""COMPUTED_VALUE"""),"#N/A")</f>
        <v>#N/A</v>
      </c>
    </row>
    <row r="12918">
      <c r="A12918" s="1" t="str">
        <f>IFERROR(__xludf.DUMMYFUNCTION("""COMPUTED_VALUE"""),"#VALUE!")</f>
        <v>#VALUE!</v>
      </c>
      <c r="B12918" s="4"/>
      <c r="C12918" s="1" t="str">
        <f>IFERROR(__xludf.DUMMYFUNCTION("""COMPUTED_VALUE"""),"#N/A")</f>
        <v>#N/A</v>
      </c>
      <c r="D12918" s="1"/>
      <c r="E12918" s="1"/>
      <c r="F12918" s="1"/>
      <c r="G12918" s="1"/>
      <c r="H12918" s="2">
        <f>IFERROR(__xludf.DUMMYFUNCTION("""COMPUTED_VALUE"""),0.0)</f>
        <v>0</v>
      </c>
      <c r="I12918" s="5"/>
      <c r="J12918" s="1" t="str">
        <f>IFERROR(__xludf.DUMMYFUNCTION("""COMPUTED_VALUE"""),"#N/A")</f>
        <v>#N/A</v>
      </c>
      <c r="K12918" s="1" t="str">
        <f>IFERROR(__xludf.DUMMYFUNCTION("""COMPUTED_VALUE"""),"#N/A")</f>
        <v>#N/A</v>
      </c>
      <c r="L12918" s="1" t="str">
        <f>IFERROR(__xludf.DUMMYFUNCTION("""COMPUTED_VALUE"""),"#N/A")</f>
        <v>#N/A</v>
      </c>
    </row>
    <row r="12919">
      <c r="A12919" s="1" t="str">
        <f>IFERROR(__xludf.DUMMYFUNCTION("""COMPUTED_VALUE"""),"#VALUE!")</f>
        <v>#VALUE!</v>
      </c>
      <c r="B12919" s="4"/>
      <c r="C12919" s="1" t="str">
        <f>IFERROR(__xludf.DUMMYFUNCTION("""COMPUTED_VALUE"""),"#N/A")</f>
        <v>#N/A</v>
      </c>
      <c r="D12919" s="1"/>
      <c r="E12919" s="1"/>
      <c r="F12919" s="1"/>
      <c r="G12919" s="1"/>
      <c r="H12919" s="2">
        <f>IFERROR(__xludf.DUMMYFUNCTION("""COMPUTED_VALUE"""),0.0)</f>
        <v>0</v>
      </c>
      <c r="I12919" s="5"/>
      <c r="J12919" s="1" t="str">
        <f>IFERROR(__xludf.DUMMYFUNCTION("""COMPUTED_VALUE"""),"#N/A")</f>
        <v>#N/A</v>
      </c>
      <c r="K12919" s="1" t="str">
        <f>IFERROR(__xludf.DUMMYFUNCTION("""COMPUTED_VALUE"""),"#N/A")</f>
        <v>#N/A</v>
      </c>
      <c r="L12919" s="1" t="str">
        <f>IFERROR(__xludf.DUMMYFUNCTION("""COMPUTED_VALUE"""),"#N/A")</f>
        <v>#N/A</v>
      </c>
    </row>
    <row r="12920">
      <c r="A12920" s="1" t="str">
        <f>IFERROR(__xludf.DUMMYFUNCTION("""COMPUTED_VALUE"""),"#VALUE!")</f>
        <v>#VALUE!</v>
      </c>
      <c r="B12920" s="4"/>
      <c r="C12920" s="1" t="str">
        <f>IFERROR(__xludf.DUMMYFUNCTION("""COMPUTED_VALUE"""),"#N/A")</f>
        <v>#N/A</v>
      </c>
      <c r="D12920" s="1"/>
      <c r="E12920" s="1"/>
      <c r="F12920" s="1"/>
      <c r="G12920" s="1"/>
      <c r="H12920" s="2">
        <f>IFERROR(__xludf.DUMMYFUNCTION("""COMPUTED_VALUE"""),0.0)</f>
        <v>0</v>
      </c>
      <c r="I12920" s="5"/>
      <c r="J12920" s="1" t="str">
        <f>IFERROR(__xludf.DUMMYFUNCTION("""COMPUTED_VALUE"""),"#N/A")</f>
        <v>#N/A</v>
      </c>
      <c r="K12920" s="1" t="str">
        <f>IFERROR(__xludf.DUMMYFUNCTION("""COMPUTED_VALUE"""),"#N/A")</f>
        <v>#N/A</v>
      </c>
      <c r="L12920" s="1" t="str">
        <f>IFERROR(__xludf.DUMMYFUNCTION("""COMPUTED_VALUE"""),"#N/A")</f>
        <v>#N/A</v>
      </c>
    </row>
    <row r="12921">
      <c r="A12921" s="1" t="str">
        <f>IFERROR(__xludf.DUMMYFUNCTION("""COMPUTED_VALUE"""),"#VALUE!")</f>
        <v>#VALUE!</v>
      </c>
      <c r="B12921" s="4"/>
      <c r="C12921" s="1" t="str">
        <f>IFERROR(__xludf.DUMMYFUNCTION("""COMPUTED_VALUE"""),"#N/A")</f>
        <v>#N/A</v>
      </c>
      <c r="D12921" s="1"/>
      <c r="E12921" s="1"/>
      <c r="F12921" s="1"/>
      <c r="G12921" s="1"/>
      <c r="H12921" s="2">
        <f>IFERROR(__xludf.DUMMYFUNCTION("""COMPUTED_VALUE"""),0.0)</f>
        <v>0</v>
      </c>
      <c r="I12921" s="5"/>
      <c r="J12921" s="1" t="str">
        <f>IFERROR(__xludf.DUMMYFUNCTION("""COMPUTED_VALUE"""),"#N/A")</f>
        <v>#N/A</v>
      </c>
      <c r="K12921" s="1" t="str">
        <f>IFERROR(__xludf.DUMMYFUNCTION("""COMPUTED_VALUE"""),"#N/A")</f>
        <v>#N/A</v>
      </c>
      <c r="L12921" s="1" t="str">
        <f>IFERROR(__xludf.DUMMYFUNCTION("""COMPUTED_VALUE"""),"#N/A")</f>
        <v>#N/A</v>
      </c>
    </row>
    <row r="12922">
      <c r="A12922" s="1" t="str">
        <f>IFERROR(__xludf.DUMMYFUNCTION("""COMPUTED_VALUE"""),"#VALUE!")</f>
        <v>#VALUE!</v>
      </c>
      <c r="B12922" s="4"/>
      <c r="C12922" s="1" t="str">
        <f>IFERROR(__xludf.DUMMYFUNCTION("""COMPUTED_VALUE"""),"#N/A")</f>
        <v>#N/A</v>
      </c>
      <c r="D12922" s="1"/>
      <c r="E12922" s="1"/>
      <c r="F12922" s="1"/>
      <c r="G12922" s="1"/>
      <c r="H12922" s="2">
        <f>IFERROR(__xludf.DUMMYFUNCTION("""COMPUTED_VALUE"""),0.0)</f>
        <v>0</v>
      </c>
      <c r="I12922" s="5"/>
      <c r="J12922" s="1" t="str">
        <f>IFERROR(__xludf.DUMMYFUNCTION("""COMPUTED_VALUE"""),"#N/A")</f>
        <v>#N/A</v>
      </c>
      <c r="K12922" s="1" t="str">
        <f>IFERROR(__xludf.DUMMYFUNCTION("""COMPUTED_VALUE"""),"#N/A")</f>
        <v>#N/A</v>
      </c>
      <c r="L12922" s="1" t="str">
        <f>IFERROR(__xludf.DUMMYFUNCTION("""COMPUTED_VALUE"""),"#N/A")</f>
        <v>#N/A</v>
      </c>
    </row>
    <row r="12923">
      <c r="A12923" s="1" t="str">
        <f>IFERROR(__xludf.DUMMYFUNCTION("""COMPUTED_VALUE"""),"#VALUE!")</f>
        <v>#VALUE!</v>
      </c>
      <c r="B12923" s="4"/>
      <c r="C12923" s="1" t="str">
        <f>IFERROR(__xludf.DUMMYFUNCTION("""COMPUTED_VALUE"""),"#N/A")</f>
        <v>#N/A</v>
      </c>
      <c r="D12923" s="1"/>
      <c r="E12923" s="1"/>
      <c r="F12923" s="1"/>
      <c r="G12923" s="1"/>
      <c r="H12923" s="2">
        <f>IFERROR(__xludf.DUMMYFUNCTION("""COMPUTED_VALUE"""),0.0)</f>
        <v>0</v>
      </c>
      <c r="I12923" s="5"/>
      <c r="J12923" s="1" t="str">
        <f>IFERROR(__xludf.DUMMYFUNCTION("""COMPUTED_VALUE"""),"#N/A")</f>
        <v>#N/A</v>
      </c>
      <c r="K12923" s="1" t="str">
        <f>IFERROR(__xludf.DUMMYFUNCTION("""COMPUTED_VALUE"""),"#N/A")</f>
        <v>#N/A</v>
      </c>
      <c r="L12923" s="1" t="str">
        <f>IFERROR(__xludf.DUMMYFUNCTION("""COMPUTED_VALUE"""),"#N/A")</f>
        <v>#N/A</v>
      </c>
    </row>
    <row r="12924">
      <c r="A12924" s="1" t="str">
        <f>IFERROR(__xludf.DUMMYFUNCTION("""COMPUTED_VALUE"""),"#VALUE!")</f>
        <v>#VALUE!</v>
      </c>
      <c r="B12924" s="4"/>
      <c r="C12924" s="1" t="str">
        <f>IFERROR(__xludf.DUMMYFUNCTION("""COMPUTED_VALUE"""),"#N/A")</f>
        <v>#N/A</v>
      </c>
      <c r="D12924" s="1"/>
      <c r="E12924" s="1"/>
      <c r="F12924" s="1"/>
      <c r="G12924" s="1"/>
      <c r="H12924" s="2">
        <f>IFERROR(__xludf.DUMMYFUNCTION("""COMPUTED_VALUE"""),0.0)</f>
        <v>0</v>
      </c>
      <c r="I12924" s="5"/>
      <c r="J12924" s="1" t="str">
        <f>IFERROR(__xludf.DUMMYFUNCTION("""COMPUTED_VALUE"""),"#N/A")</f>
        <v>#N/A</v>
      </c>
      <c r="K12924" s="1" t="str">
        <f>IFERROR(__xludf.DUMMYFUNCTION("""COMPUTED_VALUE"""),"#N/A")</f>
        <v>#N/A</v>
      </c>
      <c r="L12924" s="1" t="str">
        <f>IFERROR(__xludf.DUMMYFUNCTION("""COMPUTED_VALUE"""),"#N/A")</f>
        <v>#N/A</v>
      </c>
    </row>
    <row r="12925">
      <c r="A12925" s="1" t="str">
        <f>IFERROR(__xludf.DUMMYFUNCTION("""COMPUTED_VALUE"""),"#VALUE!")</f>
        <v>#VALUE!</v>
      </c>
      <c r="B12925" s="4"/>
      <c r="C12925" s="1" t="str">
        <f>IFERROR(__xludf.DUMMYFUNCTION("""COMPUTED_VALUE"""),"#N/A")</f>
        <v>#N/A</v>
      </c>
      <c r="D12925" s="1"/>
      <c r="E12925" s="1"/>
      <c r="F12925" s="1"/>
      <c r="G12925" s="1"/>
      <c r="H12925" s="2">
        <f>IFERROR(__xludf.DUMMYFUNCTION("""COMPUTED_VALUE"""),0.0)</f>
        <v>0</v>
      </c>
      <c r="I12925" s="5"/>
      <c r="J12925" s="1" t="str">
        <f>IFERROR(__xludf.DUMMYFUNCTION("""COMPUTED_VALUE"""),"#N/A")</f>
        <v>#N/A</v>
      </c>
      <c r="K12925" s="1" t="str">
        <f>IFERROR(__xludf.DUMMYFUNCTION("""COMPUTED_VALUE"""),"#N/A")</f>
        <v>#N/A</v>
      </c>
      <c r="L12925" s="1" t="str">
        <f>IFERROR(__xludf.DUMMYFUNCTION("""COMPUTED_VALUE"""),"#N/A")</f>
        <v>#N/A</v>
      </c>
    </row>
    <row r="12926">
      <c r="A12926" s="1" t="str">
        <f>IFERROR(__xludf.DUMMYFUNCTION("""COMPUTED_VALUE"""),"#VALUE!")</f>
        <v>#VALUE!</v>
      </c>
      <c r="B12926" s="4"/>
      <c r="C12926" s="1" t="str">
        <f>IFERROR(__xludf.DUMMYFUNCTION("""COMPUTED_VALUE"""),"#N/A")</f>
        <v>#N/A</v>
      </c>
      <c r="D12926" s="1"/>
      <c r="E12926" s="1"/>
      <c r="F12926" s="1"/>
      <c r="G12926" s="1"/>
      <c r="H12926" s="2">
        <f>IFERROR(__xludf.DUMMYFUNCTION("""COMPUTED_VALUE"""),0.0)</f>
        <v>0</v>
      </c>
      <c r="I12926" s="5"/>
      <c r="J12926" s="1" t="str">
        <f>IFERROR(__xludf.DUMMYFUNCTION("""COMPUTED_VALUE"""),"#N/A")</f>
        <v>#N/A</v>
      </c>
      <c r="K12926" s="1" t="str">
        <f>IFERROR(__xludf.DUMMYFUNCTION("""COMPUTED_VALUE"""),"#N/A")</f>
        <v>#N/A</v>
      </c>
      <c r="L12926" s="1" t="str">
        <f>IFERROR(__xludf.DUMMYFUNCTION("""COMPUTED_VALUE"""),"#N/A")</f>
        <v>#N/A</v>
      </c>
    </row>
    <row r="12927">
      <c r="A12927" s="1" t="str">
        <f>IFERROR(__xludf.DUMMYFUNCTION("""COMPUTED_VALUE"""),"#VALUE!")</f>
        <v>#VALUE!</v>
      </c>
      <c r="B12927" s="4"/>
      <c r="C12927" s="1" t="str">
        <f>IFERROR(__xludf.DUMMYFUNCTION("""COMPUTED_VALUE"""),"#N/A")</f>
        <v>#N/A</v>
      </c>
      <c r="D12927" s="1"/>
      <c r="E12927" s="1"/>
      <c r="F12927" s="1"/>
      <c r="G12927" s="1"/>
      <c r="H12927" s="2">
        <f>IFERROR(__xludf.DUMMYFUNCTION("""COMPUTED_VALUE"""),0.0)</f>
        <v>0</v>
      </c>
      <c r="I12927" s="5"/>
      <c r="J12927" s="1" t="str">
        <f>IFERROR(__xludf.DUMMYFUNCTION("""COMPUTED_VALUE"""),"#N/A")</f>
        <v>#N/A</v>
      </c>
      <c r="K12927" s="1" t="str">
        <f>IFERROR(__xludf.DUMMYFUNCTION("""COMPUTED_VALUE"""),"#N/A")</f>
        <v>#N/A</v>
      </c>
      <c r="L12927" s="1" t="str">
        <f>IFERROR(__xludf.DUMMYFUNCTION("""COMPUTED_VALUE"""),"#N/A")</f>
        <v>#N/A</v>
      </c>
    </row>
    <row r="12928">
      <c r="A12928" s="1" t="str">
        <f>IFERROR(__xludf.DUMMYFUNCTION("""COMPUTED_VALUE"""),"#VALUE!")</f>
        <v>#VALUE!</v>
      </c>
      <c r="B12928" s="4"/>
      <c r="C12928" s="1" t="str">
        <f>IFERROR(__xludf.DUMMYFUNCTION("""COMPUTED_VALUE"""),"#N/A")</f>
        <v>#N/A</v>
      </c>
      <c r="D12928" s="1"/>
      <c r="E12928" s="1"/>
      <c r="F12928" s="1"/>
      <c r="G12928" s="1"/>
      <c r="H12928" s="2">
        <f>IFERROR(__xludf.DUMMYFUNCTION("""COMPUTED_VALUE"""),0.0)</f>
        <v>0</v>
      </c>
      <c r="I12928" s="5"/>
      <c r="J12928" s="1" t="str">
        <f>IFERROR(__xludf.DUMMYFUNCTION("""COMPUTED_VALUE"""),"#N/A")</f>
        <v>#N/A</v>
      </c>
      <c r="K12928" s="1" t="str">
        <f>IFERROR(__xludf.DUMMYFUNCTION("""COMPUTED_VALUE"""),"#N/A")</f>
        <v>#N/A</v>
      </c>
      <c r="L12928" s="1" t="str">
        <f>IFERROR(__xludf.DUMMYFUNCTION("""COMPUTED_VALUE"""),"#N/A")</f>
        <v>#N/A</v>
      </c>
    </row>
    <row r="12929">
      <c r="A12929" s="1" t="str">
        <f>IFERROR(__xludf.DUMMYFUNCTION("""COMPUTED_VALUE"""),"#VALUE!")</f>
        <v>#VALUE!</v>
      </c>
      <c r="B12929" s="4"/>
      <c r="C12929" s="1" t="str">
        <f>IFERROR(__xludf.DUMMYFUNCTION("""COMPUTED_VALUE"""),"#N/A")</f>
        <v>#N/A</v>
      </c>
      <c r="D12929" s="1"/>
      <c r="E12929" s="1"/>
      <c r="F12929" s="1"/>
      <c r="G12929" s="1"/>
      <c r="H12929" s="2">
        <f>IFERROR(__xludf.DUMMYFUNCTION("""COMPUTED_VALUE"""),0.0)</f>
        <v>0</v>
      </c>
      <c r="I12929" s="5"/>
      <c r="J12929" s="1" t="str">
        <f>IFERROR(__xludf.DUMMYFUNCTION("""COMPUTED_VALUE"""),"#N/A")</f>
        <v>#N/A</v>
      </c>
      <c r="K12929" s="1" t="str">
        <f>IFERROR(__xludf.DUMMYFUNCTION("""COMPUTED_VALUE"""),"#N/A")</f>
        <v>#N/A</v>
      </c>
      <c r="L12929" s="1" t="str">
        <f>IFERROR(__xludf.DUMMYFUNCTION("""COMPUTED_VALUE"""),"#N/A")</f>
        <v>#N/A</v>
      </c>
    </row>
    <row r="12930">
      <c r="A12930" s="1" t="str">
        <f>IFERROR(__xludf.DUMMYFUNCTION("""COMPUTED_VALUE"""),"#VALUE!")</f>
        <v>#VALUE!</v>
      </c>
      <c r="B12930" s="4"/>
      <c r="C12930" s="1" t="str">
        <f>IFERROR(__xludf.DUMMYFUNCTION("""COMPUTED_VALUE"""),"#N/A")</f>
        <v>#N/A</v>
      </c>
      <c r="D12930" s="1"/>
      <c r="E12930" s="1"/>
      <c r="F12930" s="1"/>
      <c r="G12930" s="1"/>
      <c r="H12930" s="2">
        <f>IFERROR(__xludf.DUMMYFUNCTION("""COMPUTED_VALUE"""),0.0)</f>
        <v>0</v>
      </c>
      <c r="I12930" s="5"/>
      <c r="J12930" s="1" t="str">
        <f>IFERROR(__xludf.DUMMYFUNCTION("""COMPUTED_VALUE"""),"#N/A")</f>
        <v>#N/A</v>
      </c>
      <c r="K12930" s="1" t="str">
        <f>IFERROR(__xludf.DUMMYFUNCTION("""COMPUTED_VALUE"""),"#N/A")</f>
        <v>#N/A</v>
      </c>
      <c r="L12930" s="1" t="str">
        <f>IFERROR(__xludf.DUMMYFUNCTION("""COMPUTED_VALUE"""),"#N/A")</f>
        <v>#N/A</v>
      </c>
    </row>
    <row r="12931">
      <c r="A12931" s="1" t="str">
        <f>IFERROR(__xludf.DUMMYFUNCTION("""COMPUTED_VALUE"""),"#VALUE!")</f>
        <v>#VALUE!</v>
      </c>
      <c r="B12931" s="4"/>
      <c r="C12931" s="1" t="str">
        <f>IFERROR(__xludf.DUMMYFUNCTION("""COMPUTED_VALUE"""),"#N/A")</f>
        <v>#N/A</v>
      </c>
      <c r="D12931" s="1"/>
      <c r="E12931" s="1"/>
      <c r="F12931" s="1"/>
      <c r="G12931" s="1"/>
      <c r="H12931" s="2">
        <f>IFERROR(__xludf.DUMMYFUNCTION("""COMPUTED_VALUE"""),0.0)</f>
        <v>0</v>
      </c>
      <c r="I12931" s="5"/>
      <c r="J12931" s="1" t="str">
        <f>IFERROR(__xludf.DUMMYFUNCTION("""COMPUTED_VALUE"""),"#N/A")</f>
        <v>#N/A</v>
      </c>
      <c r="K12931" s="1" t="str">
        <f>IFERROR(__xludf.DUMMYFUNCTION("""COMPUTED_VALUE"""),"#N/A")</f>
        <v>#N/A</v>
      </c>
      <c r="L12931" s="1" t="str">
        <f>IFERROR(__xludf.DUMMYFUNCTION("""COMPUTED_VALUE"""),"#N/A")</f>
        <v>#N/A</v>
      </c>
    </row>
    <row r="12932">
      <c r="A12932" s="1" t="str">
        <f>IFERROR(__xludf.DUMMYFUNCTION("""COMPUTED_VALUE"""),"#VALUE!")</f>
        <v>#VALUE!</v>
      </c>
      <c r="B12932" s="4"/>
      <c r="C12932" s="1" t="str">
        <f>IFERROR(__xludf.DUMMYFUNCTION("""COMPUTED_VALUE"""),"#N/A")</f>
        <v>#N/A</v>
      </c>
      <c r="D12932" s="1"/>
      <c r="E12932" s="1"/>
      <c r="F12932" s="1"/>
      <c r="G12932" s="1"/>
      <c r="H12932" s="2">
        <f>IFERROR(__xludf.DUMMYFUNCTION("""COMPUTED_VALUE"""),0.0)</f>
        <v>0</v>
      </c>
      <c r="I12932" s="5"/>
      <c r="J12932" s="1" t="str">
        <f>IFERROR(__xludf.DUMMYFUNCTION("""COMPUTED_VALUE"""),"#N/A")</f>
        <v>#N/A</v>
      </c>
      <c r="K12932" s="1" t="str">
        <f>IFERROR(__xludf.DUMMYFUNCTION("""COMPUTED_VALUE"""),"#N/A")</f>
        <v>#N/A</v>
      </c>
      <c r="L12932" s="1" t="str">
        <f>IFERROR(__xludf.DUMMYFUNCTION("""COMPUTED_VALUE"""),"#N/A")</f>
        <v>#N/A</v>
      </c>
    </row>
    <row r="12933">
      <c r="A12933" s="1" t="str">
        <f>IFERROR(__xludf.DUMMYFUNCTION("""COMPUTED_VALUE"""),"#VALUE!")</f>
        <v>#VALUE!</v>
      </c>
      <c r="B12933" s="4"/>
      <c r="C12933" s="1" t="str">
        <f>IFERROR(__xludf.DUMMYFUNCTION("""COMPUTED_VALUE"""),"#N/A")</f>
        <v>#N/A</v>
      </c>
      <c r="D12933" s="1"/>
      <c r="E12933" s="1"/>
      <c r="F12933" s="1"/>
      <c r="G12933" s="1"/>
      <c r="H12933" s="2">
        <f>IFERROR(__xludf.DUMMYFUNCTION("""COMPUTED_VALUE"""),0.0)</f>
        <v>0</v>
      </c>
      <c r="I12933" s="5"/>
      <c r="J12933" s="1" t="str">
        <f>IFERROR(__xludf.DUMMYFUNCTION("""COMPUTED_VALUE"""),"#N/A")</f>
        <v>#N/A</v>
      </c>
      <c r="K12933" s="1" t="str">
        <f>IFERROR(__xludf.DUMMYFUNCTION("""COMPUTED_VALUE"""),"#N/A")</f>
        <v>#N/A</v>
      </c>
      <c r="L12933" s="1" t="str">
        <f>IFERROR(__xludf.DUMMYFUNCTION("""COMPUTED_VALUE"""),"#N/A")</f>
        <v>#N/A</v>
      </c>
    </row>
    <row r="12934">
      <c r="A12934" s="1" t="str">
        <f>IFERROR(__xludf.DUMMYFUNCTION("""COMPUTED_VALUE"""),"#VALUE!")</f>
        <v>#VALUE!</v>
      </c>
      <c r="B12934" s="4"/>
      <c r="C12934" s="1" t="str">
        <f>IFERROR(__xludf.DUMMYFUNCTION("""COMPUTED_VALUE"""),"#N/A")</f>
        <v>#N/A</v>
      </c>
      <c r="D12934" s="1"/>
      <c r="E12934" s="1"/>
      <c r="F12934" s="1"/>
      <c r="G12934" s="1"/>
      <c r="H12934" s="2">
        <f>IFERROR(__xludf.DUMMYFUNCTION("""COMPUTED_VALUE"""),0.0)</f>
        <v>0</v>
      </c>
      <c r="I12934" s="5"/>
      <c r="J12934" s="1" t="str">
        <f>IFERROR(__xludf.DUMMYFUNCTION("""COMPUTED_VALUE"""),"#N/A")</f>
        <v>#N/A</v>
      </c>
      <c r="K12934" s="1" t="str">
        <f>IFERROR(__xludf.DUMMYFUNCTION("""COMPUTED_VALUE"""),"#N/A")</f>
        <v>#N/A</v>
      </c>
      <c r="L12934" s="1" t="str">
        <f>IFERROR(__xludf.DUMMYFUNCTION("""COMPUTED_VALUE"""),"#N/A")</f>
        <v>#N/A</v>
      </c>
    </row>
    <row r="12935">
      <c r="A12935" s="1" t="str">
        <f>IFERROR(__xludf.DUMMYFUNCTION("""COMPUTED_VALUE"""),"#VALUE!")</f>
        <v>#VALUE!</v>
      </c>
      <c r="B12935" s="4"/>
      <c r="C12935" s="1" t="str">
        <f>IFERROR(__xludf.DUMMYFUNCTION("""COMPUTED_VALUE"""),"#N/A")</f>
        <v>#N/A</v>
      </c>
      <c r="D12935" s="1"/>
      <c r="E12935" s="1"/>
      <c r="F12935" s="1"/>
      <c r="G12935" s="1"/>
      <c r="H12935" s="2">
        <f>IFERROR(__xludf.DUMMYFUNCTION("""COMPUTED_VALUE"""),0.0)</f>
        <v>0</v>
      </c>
      <c r="I12935" s="5"/>
      <c r="J12935" s="1" t="str">
        <f>IFERROR(__xludf.DUMMYFUNCTION("""COMPUTED_VALUE"""),"#N/A")</f>
        <v>#N/A</v>
      </c>
      <c r="K12935" s="1" t="str">
        <f>IFERROR(__xludf.DUMMYFUNCTION("""COMPUTED_VALUE"""),"#N/A")</f>
        <v>#N/A</v>
      </c>
      <c r="L12935" s="1" t="str">
        <f>IFERROR(__xludf.DUMMYFUNCTION("""COMPUTED_VALUE"""),"#N/A")</f>
        <v>#N/A</v>
      </c>
    </row>
    <row r="12936">
      <c r="A12936" s="1" t="str">
        <f>IFERROR(__xludf.DUMMYFUNCTION("""COMPUTED_VALUE"""),"#VALUE!")</f>
        <v>#VALUE!</v>
      </c>
      <c r="B12936" s="4"/>
      <c r="C12936" s="1" t="str">
        <f>IFERROR(__xludf.DUMMYFUNCTION("""COMPUTED_VALUE"""),"#N/A")</f>
        <v>#N/A</v>
      </c>
      <c r="D12936" s="1"/>
      <c r="E12936" s="1"/>
      <c r="F12936" s="1"/>
      <c r="G12936" s="1"/>
      <c r="H12936" s="2">
        <f>IFERROR(__xludf.DUMMYFUNCTION("""COMPUTED_VALUE"""),0.0)</f>
        <v>0</v>
      </c>
      <c r="I12936" s="5"/>
      <c r="J12936" s="1" t="str">
        <f>IFERROR(__xludf.DUMMYFUNCTION("""COMPUTED_VALUE"""),"#N/A")</f>
        <v>#N/A</v>
      </c>
      <c r="K12936" s="1" t="str">
        <f>IFERROR(__xludf.DUMMYFUNCTION("""COMPUTED_VALUE"""),"#N/A")</f>
        <v>#N/A</v>
      </c>
      <c r="L12936" s="1" t="str">
        <f>IFERROR(__xludf.DUMMYFUNCTION("""COMPUTED_VALUE"""),"#N/A")</f>
        <v>#N/A</v>
      </c>
    </row>
    <row r="12937">
      <c r="A12937" s="1" t="str">
        <f>IFERROR(__xludf.DUMMYFUNCTION("""COMPUTED_VALUE"""),"#VALUE!")</f>
        <v>#VALUE!</v>
      </c>
      <c r="B12937" s="4"/>
      <c r="C12937" s="1" t="str">
        <f>IFERROR(__xludf.DUMMYFUNCTION("""COMPUTED_VALUE"""),"#N/A")</f>
        <v>#N/A</v>
      </c>
      <c r="D12937" s="1"/>
      <c r="E12937" s="1"/>
      <c r="F12937" s="1"/>
      <c r="G12937" s="1"/>
      <c r="H12937" s="2">
        <f>IFERROR(__xludf.DUMMYFUNCTION("""COMPUTED_VALUE"""),0.0)</f>
        <v>0</v>
      </c>
      <c r="I12937" s="5"/>
      <c r="J12937" s="1" t="str">
        <f>IFERROR(__xludf.DUMMYFUNCTION("""COMPUTED_VALUE"""),"#N/A")</f>
        <v>#N/A</v>
      </c>
      <c r="K12937" s="1" t="str">
        <f>IFERROR(__xludf.DUMMYFUNCTION("""COMPUTED_VALUE"""),"#N/A")</f>
        <v>#N/A</v>
      </c>
      <c r="L12937" s="1" t="str">
        <f>IFERROR(__xludf.DUMMYFUNCTION("""COMPUTED_VALUE"""),"#N/A")</f>
        <v>#N/A</v>
      </c>
    </row>
    <row r="12938">
      <c r="A12938" s="1" t="str">
        <f>IFERROR(__xludf.DUMMYFUNCTION("""COMPUTED_VALUE"""),"#VALUE!")</f>
        <v>#VALUE!</v>
      </c>
      <c r="B12938" s="4"/>
      <c r="C12938" s="1" t="str">
        <f>IFERROR(__xludf.DUMMYFUNCTION("""COMPUTED_VALUE"""),"#N/A")</f>
        <v>#N/A</v>
      </c>
      <c r="D12938" s="1"/>
      <c r="E12938" s="1"/>
      <c r="F12938" s="1"/>
      <c r="G12938" s="1"/>
      <c r="H12938" s="2">
        <f>IFERROR(__xludf.DUMMYFUNCTION("""COMPUTED_VALUE"""),0.0)</f>
        <v>0</v>
      </c>
      <c r="I12938" s="5"/>
      <c r="J12938" s="1" t="str">
        <f>IFERROR(__xludf.DUMMYFUNCTION("""COMPUTED_VALUE"""),"#N/A")</f>
        <v>#N/A</v>
      </c>
      <c r="K12938" s="1" t="str">
        <f>IFERROR(__xludf.DUMMYFUNCTION("""COMPUTED_VALUE"""),"#N/A")</f>
        <v>#N/A</v>
      </c>
      <c r="L12938" s="1" t="str">
        <f>IFERROR(__xludf.DUMMYFUNCTION("""COMPUTED_VALUE"""),"#N/A")</f>
        <v>#N/A</v>
      </c>
    </row>
    <row r="12939">
      <c r="A12939" s="1" t="str">
        <f>IFERROR(__xludf.DUMMYFUNCTION("""COMPUTED_VALUE"""),"#VALUE!")</f>
        <v>#VALUE!</v>
      </c>
      <c r="B12939" s="4"/>
      <c r="C12939" s="1" t="str">
        <f>IFERROR(__xludf.DUMMYFUNCTION("""COMPUTED_VALUE"""),"#N/A")</f>
        <v>#N/A</v>
      </c>
      <c r="D12939" s="1"/>
      <c r="E12939" s="1"/>
      <c r="F12939" s="1"/>
      <c r="G12939" s="1"/>
      <c r="H12939" s="2">
        <f>IFERROR(__xludf.DUMMYFUNCTION("""COMPUTED_VALUE"""),0.0)</f>
        <v>0</v>
      </c>
      <c r="I12939" s="5"/>
      <c r="J12939" s="1" t="str">
        <f>IFERROR(__xludf.DUMMYFUNCTION("""COMPUTED_VALUE"""),"#N/A")</f>
        <v>#N/A</v>
      </c>
      <c r="K12939" s="1" t="str">
        <f>IFERROR(__xludf.DUMMYFUNCTION("""COMPUTED_VALUE"""),"#N/A")</f>
        <v>#N/A</v>
      </c>
      <c r="L12939" s="1" t="str">
        <f>IFERROR(__xludf.DUMMYFUNCTION("""COMPUTED_VALUE"""),"#N/A")</f>
        <v>#N/A</v>
      </c>
    </row>
    <row r="12940">
      <c r="A12940" s="1" t="str">
        <f>IFERROR(__xludf.DUMMYFUNCTION("""COMPUTED_VALUE"""),"#VALUE!")</f>
        <v>#VALUE!</v>
      </c>
      <c r="B12940" s="4"/>
      <c r="C12940" s="1" t="str">
        <f>IFERROR(__xludf.DUMMYFUNCTION("""COMPUTED_VALUE"""),"#N/A")</f>
        <v>#N/A</v>
      </c>
      <c r="D12940" s="1"/>
      <c r="E12940" s="1"/>
      <c r="F12940" s="1"/>
      <c r="G12940" s="1"/>
      <c r="H12940" s="2">
        <f>IFERROR(__xludf.DUMMYFUNCTION("""COMPUTED_VALUE"""),0.0)</f>
        <v>0</v>
      </c>
      <c r="I12940" s="5"/>
      <c r="J12940" s="1" t="str">
        <f>IFERROR(__xludf.DUMMYFUNCTION("""COMPUTED_VALUE"""),"#N/A")</f>
        <v>#N/A</v>
      </c>
      <c r="K12940" s="1" t="str">
        <f>IFERROR(__xludf.DUMMYFUNCTION("""COMPUTED_VALUE"""),"#N/A")</f>
        <v>#N/A</v>
      </c>
      <c r="L12940" s="1" t="str">
        <f>IFERROR(__xludf.DUMMYFUNCTION("""COMPUTED_VALUE"""),"#N/A")</f>
        <v>#N/A</v>
      </c>
    </row>
    <row r="12941">
      <c r="A12941" s="1" t="str">
        <f>IFERROR(__xludf.DUMMYFUNCTION("""COMPUTED_VALUE"""),"#VALUE!")</f>
        <v>#VALUE!</v>
      </c>
      <c r="B12941" s="4"/>
      <c r="C12941" s="1" t="str">
        <f>IFERROR(__xludf.DUMMYFUNCTION("""COMPUTED_VALUE"""),"#N/A")</f>
        <v>#N/A</v>
      </c>
      <c r="D12941" s="1"/>
      <c r="E12941" s="1"/>
      <c r="F12941" s="1"/>
      <c r="G12941" s="1"/>
      <c r="H12941" s="2">
        <f>IFERROR(__xludf.DUMMYFUNCTION("""COMPUTED_VALUE"""),0.0)</f>
        <v>0</v>
      </c>
      <c r="I12941" s="5"/>
      <c r="J12941" s="1" t="str">
        <f>IFERROR(__xludf.DUMMYFUNCTION("""COMPUTED_VALUE"""),"#N/A")</f>
        <v>#N/A</v>
      </c>
      <c r="K12941" s="1" t="str">
        <f>IFERROR(__xludf.DUMMYFUNCTION("""COMPUTED_VALUE"""),"#N/A")</f>
        <v>#N/A</v>
      </c>
      <c r="L12941" s="1" t="str">
        <f>IFERROR(__xludf.DUMMYFUNCTION("""COMPUTED_VALUE"""),"#N/A")</f>
        <v>#N/A</v>
      </c>
    </row>
    <row r="12942">
      <c r="A12942" s="1" t="str">
        <f>IFERROR(__xludf.DUMMYFUNCTION("""COMPUTED_VALUE"""),"#VALUE!")</f>
        <v>#VALUE!</v>
      </c>
      <c r="B12942" s="4"/>
      <c r="C12942" s="1" t="str">
        <f>IFERROR(__xludf.DUMMYFUNCTION("""COMPUTED_VALUE"""),"#N/A")</f>
        <v>#N/A</v>
      </c>
      <c r="D12942" s="1"/>
      <c r="E12942" s="1"/>
      <c r="F12942" s="1"/>
      <c r="G12942" s="1"/>
      <c r="H12942" s="2">
        <f>IFERROR(__xludf.DUMMYFUNCTION("""COMPUTED_VALUE"""),0.0)</f>
        <v>0</v>
      </c>
      <c r="I12942" s="5"/>
      <c r="J12942" s="1" t="str">
        <f>IFERROR(__xludf.DUMMYFUNCTION("""COMPUTED_VALUE"""),"#N/A")</f>
        <v>#N/A</v>
      </c>
      <c r="K12942" s="1" t="str">
        <f>IFERROR(__xludf.DUMMYFUNCTION("""COMPUTED_VALUE"""),"#N/A")</f>
        <v>#N/A</v>
      </c>
      <c r="L12942" s="1" t="str">
        <f>IFERROR(__xludf.DUMMYFUNCTION("""COMPUTED_VALUE"""),"#N/A")</f>
        <v>#N/A</v>
      </c>
    </row>
    <row r="12943">
      <c r="A12943" s="1" t="str">
        <f>IFERROR(__xludf.DUMMYFUNCTION("""COMPUTED_VALUE"""),"#VALUE!")</f>
        <v>#VALUE!</v>
      </c>
      <c r="B12943" s="4"/>
      <c r="C12943" s="1" t="str">
        <f>IFERROR(__xludf.DUMMYFUNCTION("""COMPUTED_VALUE"""),"#N/A")</f>
        <v>#N/A</v>
      </c>
      <c r="D12943" s="1"/>
      <c r="E12943" s="1"/>
      <c r="F12943" s="1"/>
      <c r="G12943" s="1"/>
      <c r="H12943" s="2">
        <f>IFERROR(__xludf.DUMMYFUNCTION("""COMPUTED_VALUE"""),0.0)</f>
        <v>0</v>
      </c>
      <c r="I12943" s="5"/>
      <c r="J12943" s="1" t="str">
        <f>IFERROR(__xludf.DUMMYFUNCTION("""COMPUTED_VALUE"""),"#N/A")</f>
        <v>#N/A</v>
      </c>
      <c r="K12943" s="1" t="str">
        <f>IFERROR(__xludf.DUMMYFUNCTION("""COMPUTED_VALUE"""),"#N/A")</f>
        <v>#N/A</v>
      </c>
      <c r="L12943" s="1" t="str">
        <f>IFERROR(__xludf.DUMMYFUNCTION("""COMPUTED_VALUE"""),"#N/A")</f>
        <v>#N/A</v>
      </c>
    </row>
    <row r="12944">
      <c r="A12944" s="1" t="str">
        <f>IFERROR(__xludf.DUMMYFUNCTION("""COMPUTED_VALUE"""),"#VALUE!")</f>
        <v>#VALUE!</v>
      </c>
      <c r="B12944" s="4"/>
      <c r="C12944" s="1" t="str">
        <f>IFERROR(__xludf.DUMMYFUNCTION("""COMPUTED_VALUE"""),"#N/A")</f>
        <v>#N/A</v>
      </c>
      <c r="D12944" s="1"/>
      <c r="E12944" s="1"/>
      <c r="F12944" s="1"/>
      <c r="G12944" s="1"/>
      <c r="H12944" s="2">
        <f>IFERROR(__xludf.DUMMYFUNCTION("""COMPUTED_VALUE"""),0.0)</f>
        <v>0</v>
      </c>
      <c r="I12944" s="5"/>
      <c r="J12944" s="1" t="str">
        <f>IFERROR(__xludf.DUMMYFUNCTION("""COMPUTED_VALUE"""),"#N/A")</f>
        <v>#N/A</v>
      </c>
      <c r="K12944" s="1" t="str">
        <f>IFERROR(__xludf.DUMMYFUNCTION("""COMPUTED_VALUE"""),"#N/A")</f>
        <v>#N/A</v>
      </c>
      <c r="L12944" s="1" t="str">
        <f>IFERROR(__xludf.DUMMYFUNCTION("""COMPUTED_VALUE"""),"#N/A")</f>
        <v>#N/A</v>
      </c>
    </row>
    <row r="12945">
      <c r="A12945" s="1" t="str">
        <f>IFERROR(__xludf.DUMMYFUNCTION("""COMPUTED_VALUE"""),"#VALUE!")</f>
        <v>#VALUE!</v>
      </c>
      <c r="B12945" s="4"/>
      <c r="C12945" s="1" t="str">
        <f>IFERROR(__xludf.DUMMYFUNCTION("""COMPUTED_VALUE"""),"#N/A")</f>
        <v>#N/A</v>
      </c>
      <c r="D12945" s="1"/>
      <c r="E12945" s="1"/>
      <c r="F12945" s="1"/>
      <c r="G12945" s="1"/>
      <c r="H12945" s="2">
        <f>IFERROR(__xludf.DUMMYFUNCTION("""COMPUTED_VALUE"""),0.0)</f>
        <v>0</v>
      </c>
      <c r="I12945" s="5"/>
      <c r="J12945" s="1" t="str">
        <f>IFERROR(__xludf.DUMMYFUNCTION("""COMPUTED_VALUE"""),"#N/A")</f>
        <v>#N/A</v>
      </c>
      <c r="K12945" s="1" t="str">
        <f>IFERROR(__xludf.DUMMYFUNCTION("""COMPUTED_VALUE"""),"#N/A")</f>
        <v>#N/A</v>
      </c>
      <c r="L12945" s="1" t="str">
        <f>IFERROR(__xludf.DUMMYFUNCTION("""COMPUTED_VALUE"""),"#N/A")</f>
        <v>#N/A</v>
      </c>
    </row>
    <row r="12946">
      <c r="A12946" s="1" t="str">
        <f>IFERROR(__xludf.DUMMYFUNCTION("""COMPUTED_VALUE"""),"#VALUE!")</f>
        <v>#VALUE!</v>
      </c>
      <c r="B12946" s="4"/>
      <c r="C12946" s="1" t="str">
        <f>IFERROR(__xludf.DUMMYFUNCTION("""COMPUTED_VALUE"""),"#N/A")</f>
        <v>#N/A</v>
      </c>
      <c r="D12946" s="1"/>
      <c r="E12946" s="1"/>
      <c r="F12946" s="1"/>
      <c r="G12946" s="1"/>
      <c r="H12946" s="2">
        <f>IFERROR(__xludf.DUMMYFUNCTION("""COMPUTED_VALUE"""),0.0)</f>
        <v>0</v>
      </c>
      <c r="I12946" s="5"/>
      <c r="J12946" s="1" t="str">
        <f>IFERROR(__xludf.DUMMYFUNCTION("""COMPUTED_VALUE"""),"#N/A")</f>
        <v>#N/A</v>
      </c>
      <c r="K12946" s="1" t="str">
        <f>IFERROR(__xludf.DUMMYFUNCTION("""COMPUTED_VALUE"""),"#N/A")</f>
        <v>#N/A</v>
      </c>
      <c r="L12946" s="1" t="str">
        <f>IFERROR(__xludf.DUMMYFUNCTION("""COMPUTED_VALUE"""),"#N/A")</f>
        <v>#N/A</v>
      </c>
    </row>
    <row r="12947">
      <c r="A12947" s="1" t="str">
        <f>IFERROR(__xludf.DUMMYFUNCTION("""COMPUTED_VALUE"""),"#VALUE!")</f>
        <v>#VALUE!</v>
      </c>
      <c r="B12947" s="4"/>
      <c r="C12947" s="1" t="str">
        <f>IFERROR(__xludf.DUMMYFUNCTION("""COMPUTED_VALUE"""),"#N/A")</f>
        <v>#N/A</v>
      </c>
      <c r="D12947" s="1"/>
      <c r="E12947" s="1"/>
      <c r="F12947" s="1"/>
      <c r="G12947" s="1"/>
      <c r="H12947" s="2">
        <f>IFERROR(__xludf.DUMMYFUNCTION("""COMPUTED_VALUE"""),0.0)</f>
        <v>0</v>
      </c>
      <c r="I12947" s="5"/>
      <c r="J12947" s="1" t="str">
        <f>IFERROR(__xludf.DUMMYFUNCTION("""COMPUTED_VALUE"""),"#N/A")</f>
        <v>#N/A</v>
      </c>
      <c r="K12947" s="1" t="str">
        <f>IFERROR(__xludf.DUMMYFUNCTION("""COMPUTED_VALUE"""),"#N/A")</f>
        <v>#N/A</v>
      </c>
      <c r="L12947" s="1" t="str">
        <f>IFERROR(__xludf.DUMMYFUNCTION("""COMPUTED_VALUE"""),"#N/A")</f>
        <v>#N/A</v>
      </c>
    </row>
    <row r="12948">
      <c r="A12948" s="1" t="str">
        <f>IFERROR(__xludf.DUMMYFUNCTION("""COMPUTED_VALUE"""),"#VALUE!")</f>
        <v>#VALUE!</v>
      </c>
      <c r="B12948" s="4"/>
      <c r="C12948" s="1" t="str">
        <f>IFERROR(__xludf.DUMMYFUNCTION("""COMPUTED_VALUE"""),"#N/A")</f>
        <v>#N/A</v>
      </c>
      <c r="D12948" s="1"/>
      <c r="E12948" s="1"/>
      <c r="F12948" s="1"/>
      <c r="G12948" s="1"/>
      <c r="H12948" s="2">
        <f>IFERROR(__xludf.DUMMYFUNCTION("""COMPUTED_VALUE"""),0.0)</f>
        <v>0</v>
      </c>
      <c r="I12948" s="5"/>
      <c r="J12948" s="1" t="str">
        <f>IFERROR(__xludf.DUMMYFUNCTION("""COMPUTED_VALUE"""),"#N/A")</f>
        <v>#N/A</v>
      </c>
      <c r="K12948" s="1" t="str">
        <f>IFERROR(__xludf.DUMMYFUNCTION("""COMPUTED_VALUE"""),"#N/A")</f>
        <v>#N/A</v>
      </c>
      <c r="L12948" s="1" t="str">
        <f>IFERROR(__xludf.DUMMYFUNCTION("""COMPUTED_VALUE"""),"#N/A")</f>
        <v>#N/A</v>
      </c>
    </row>
    <row r="12949">
      <c r="A12949" s="1" t="str">
        <f>IFERROR(__xludf.DUMMYFUNCTION("""COMPUTED_VALUE"""),"#VALUE!")</f>
        <v>#VALUE!</v>
      </c>
      <c r="B12949" s="4"/>
      <c r="C12949" s="1" t="str">
        <f>IFERROR(__xludf.DUMMYFUNCTION("""COMPUTED_VALUE"""),"#N/A")</f>
        <v>#N/A</v>
      </c>
      <c r="D12949" s="1"/>
      <c r="E12949" s="1"/>
      <c r="F12949" s="1"/>
      <c r="G12949" s="1"/>
      <c r="H12949" s="2">
        <f>IFERROR(__xludf.DUMMYFUNCTION("""COMPUTED_VALUE"""),0.0)</f>
        <v>0</v>
      </c>
      <c r="I12949" s="5"/>
      <c r="J12949" s="1" t="str">
        <f>IFERROR(__xludf.DUMMYFUNCTION("""COMPUTED_VALUE"""),"#N/A")</f>
        <v>#N/A</v>
      </c>
      <c r="K12949" s="1" t="str">
        <f>IFERROR(__xludf.DUMMYFUNCTION("""COMPUTED_VALUE"""),"#N/A")</f>
        <v>#N/A</v>
      </c>
      <c r="L12949" s="1" t="str">
        <f>IFERROR(__xludf.DUMMYFUNCTION("""COMPUTED_VALUE"""),"#N/A")</f>
        <v>#N/A</v>
      </c>
    </row>
    <row r="12950">
      <c r="A12950" s="1" t="str">
        <f>IFERROR(__xludf.DUMMYFUNCTION("""COMPUTED_VALUE"""),"#VALUE!")</f>
        <v>#VALUE!</v>
      </c>
      <c r="B12950" s="4"/>
      <c r="C12950" s="1" t="str">
        <f>IFERROR(__xludf.DUMMYFUNCTION("""COMPUTED_VALUE"""),"#N/A")</f>
        <v>#N/A</v>
      </c>
      <c r="D12950" s="1"/>
      <c r="E12950" s="1"/>
      <c r="F12950" s="1"/>
      <c r="G12950" s="1"/>
      <c r="H12950" s="2">
        <f>IFERROR(__xludf.DUMMYFUNCTION("""COMPUTED_VALUE"""),0.0)</f>
        <v>0</v>
      </c>
      <c r="I12950" s="5"/>
      <c r="J12950" s="1" t="str">
        <f>IFERROR(__xludf.DUMMYFUNCTION("""COMPUTED_VALUE"""),"#N/A")</f>
        <v>#N/A</v>
      </c>
      <c r="K12950" s="1" t="str">
        <f>IFERROR(__xludf.DUMMYFUNCTION("""COMPUTED_VALUE"""),"#N/A")</f>
        <v>#N/A</v>
      </c>
      <c r="L12950" s="1" t="str">
        <f>IFERROR(__xludf.DUMMYFUNCTION("""COMPUTED_VALUE"""),"#N/A")</f>
        <v>#N/A</v>
      </c>
    </row>
    <row r="12951">
      <c r="A12951" s="1" t="str">
        <f>IFERROR(__xludf.DUMMYFUNCTION("""COMPUTED_VALUE"""),"#VALUE!")</f>
        <v>#VALUE!</v>
      </c>
      <c r="B12951" s="4"/>
      <c r="C12951" s="1" t="str">
        <f>IFERROR(__xludf.DUMMYFUNCTION("""COMPUTED_VALUE"""),"#N/A")</f>
        <v>#N/A</v>
      </c>
      <c r="D12951" s="1"/>
      <c r="E12951" s="1"/>
      <c r="F12951" s="1"/>
      <c r="G12951" s="1"/>
      <c r="H12951" s="2">
        <f>IFERROR(__xludf.DUMMYFUNCTION("""COMPUTED_VALUE"""),0.0)</f>
        <v>0</v>
      </c>
      <c r="I12951" s="5"/>
      <c r="J12951" s="1" t="str">
        <f>IFERROR(__xludf.DUMMYFUNCTION("""COMPUTED_VALUE"""),"#N/A")</f>
        <v>#N/A</v>
      </c>
      <c r="K12951" s="1" t="str">
        <f>IFERROR(__xludf.DUMMYFUNCTION("""COMPUTED_VALUE"""),"#N/A")</f>
        <v>#N/A</v>
      </c>
      <c r="L12951" s="1" t="str">
        <f>IFERROR(__xludf.DUMMYFUNCTION("""COMPUTED_VALUE"""),"#N/A")</f>
        <v>#N/A</v>
      </c>
    </row>
    <row r="12952">
      <c r="A12952" s="1" t="str">
        <f>IFERROR(__xludf.DUMMYFUNCTION("""COMPUTED_VALUE"""),"#VALUE!")</f>
        <v>#VALUE!</v>
      </c>
      <c r="B12952" s="4"/>
      <c r="C12952" s="1" t="str">
        <f>IFERROR(__xludf.DUMMYFUNCTION("""COMPUTED_VALUE"""),"#N/A")</f>
        <v>#N/A</v>
      </c>
      <c r="D12952" s="1"/>
      <c r="E12952" s="1"/>
      <c r="F12952" s="1"/>
      <c r="G12952" s="1"/>
      <c r="H12952" s="2">
        <f>IFERROR(__xludf.DUMMYFUNCTION("""COMPUTED_VALUE"""),0.0)</f>
        <v>0</v>
      </c>
      <c r="I12952" s="5"/>
      <c r="J12952" s="1" t="str">
        <f>IFERROR(__xludf.DUMMYFUNCTION("""COMPUTED_VALUE"""),"#N/A")</f>
        <v>#N/A</v>
      </c>
      <c r="K12952" s="1" t="str">
        <f>IFERROR(__xludf.DUMMYFUNCTION("""COMPUTED_VALUE"""),"#N/A")</f>
        <v>#N/A</v>
      </c>
      <c r="L12952" s="1" t="str">
        <f>IFERROR(__xludf.DUMMYFUNCTION("""COMPUTED_VALUE"""),"#N/A")</f>
        <v>#N/A</v>
      </c>
    </row>
    <row r="12953">
      <c r="A12953" s="1" t="str">
        <f>IFERROR(__xludf.DUMMYFUNCTION("""COMPUTED_VALUE"""),"#VALUE!")</f>
        <v>#VALUE!</v>
      </c>
      <c r="B12953" s="4"/>
      <c r="C12953" s="1" t="str">
        <f>IFERROR(__xludf.DUMMYFUNCTION("""COMPUTED_VALUE"""),"#N/A")</f>
        <v>#N/A</v>
      </c>
      <c r="D12953" s="1"/>
      <c r="E12953" s="1"/>
      <c r="F12953" s="1"/>
      <c r="G12953" s="1"/>
      <c r="H12953" s="2">
        <f>IFERROR(__xludf.DUMMYFUNCTION("""COMPUTED_VALUE"""),0.0)</f>
        <v>0</v>
      </c>
      <c r="I12953" s="5"/>
      <c r="J12953" s="1" t="str">
        <f>IFERROR(__xludf.DUMMYFUNCTION("""COMPUTED_VALUE"""),"#N/A")</f>
        <v>#N/A</v>
      </c>
      <c r="K12953" s="1" t="str">
        <f>IFERROR(__xludf.DUMMYFUNCTION("""COMPUTED_VALUE"""),"#N/A")</f>
        <v>#N/A</v>
      </c>
      <c r="L12953" s="1" t="str">
        <f>IFERROR(__xludf.DUMMYFUNCTION("""COMPUTED_VALUE"""),"#N/A")</f>
        <v>#N/A</v>
      </c>
    </row>
    <row r="12954">
      <c r="A12954" s="1" t="str">
        <f>IFERROR(__xludf.DUMMYFUNCTION("""COMPUTED_VALUE"""),"#VALUE!")</f>
        <v>#VALUE!</v>
      </c>
      <c r="B12954" s="4"/>
      <c r="C12954" s="1" t="str">
        <f>IFERROR(__xludf.DUMMYFUNCTION("""COMPUTED_VALUE"""),"#N/A")</f>
        <v>#N/A</v>
      </c>
      <c r="D12954" s="1"/>
      <c r="E12954" s="1"/>
      <c r="F12954" s="1"/>
      <c r="G12954" s="1"/>
      <c r="H12954" s="2">
        <f>IFERROR(__xludf.DUMMYFUNCTION("""COMPUTED_VALUE"""),0.0)</f>
        <v>0</v>
      </c>
      <c r="I12954" s="5"/>
      <c r="J12954" s="1" t="str">
        <f>IFERROR(__xludf.DUMMYFUNCTION("""COMPUTED_VALUE"""),"#N/A")</f>
        <v>#N/A</v>
      </c>
      <c r="K12954" s="1" t="str">
        <f>IFERROR(__xludf.DUMMYFUNCTION("""COMPUTED_VALUE"""),"#N/A")</f>
        <v>#N/A</v>
      </c>
      <c r="L12954" s="1" t="str">
        <f>IFERROR(__xludf.DUMMYFUNCTION("""COMPUTED_VALUE"""),"#N/A")</f>
        <v>#N/A</v>
      </c>
    </row>
    <row r="12955">
      <c r="A12955" s="1" t="str">
        <f>IFERROR(__xludf.DUMMYFUNCTION("""COMPUTED_VALUE"""),"#VALUE!")</f>
        <v>#VALUE!</v>
      </c>
      <c r="B12955" s="4"/>
      <c r="C12955" s="1" t="str">
        <f>IFERROR(__xludf.DUMMYFUNCTION("""COMPUTED_VALUE"""),"#N/A")</f>
        <v>#N/A</v>
      </c>
      <c r="D12955" s="1"/>
      <c r="E12955" s="1"/>
      <c r="F12955" s="1"/>
      <c r="G12955" s="1"/>
      <c r="H12955" s="2">
        <f>IFERROR(__xludf.DUMMYFUNCTION("""COMPUTED_VALUE"""),0.0)</f>
        <v>0</v>
      </c>
      <c r="I12955" s="5"/>
      <c r="J12955" s="1" t="str">
        <f>IFERROR(__xludf.DUMMYFUNCTION("""COMPUTED_VALUE"""),"#N/A")</f>
        <v>#N/A</v>
      </c>
      <c r="K12955" s="1" t="str">
        <f>IFERROR(__xludf.DUMMYFUNCTION("""COMPUTED_VALUE"""),"#N/A")</f>
        <v>#N/A</v>
      </c>
      <c r="L12955" s="1" t="str">
        <f>IFERROR(__xludf.DUMMYFUNCTION("""COMPUTED_VALUE"""),"#N/A")</f>
        <v>#N/A</v>
      </c>
    </row>
    <row r="12956">
      <c r="A12956" s="1" t="str">
        <f>IFERROR(__xludf.DUMMYFUNCTION("""COMPUTED_VALUE"""),"#VALUE!")</f>
        <v>#VALUE!</v>
      </c>
      <c r="B12956" s="4"/>
      <c r="C12956" s="1" t="str">
        <f>IFERROR(__xludf.DUMMYFUNCTION("""COMPUTED_VALUE"""),"#N/A")</f>
        <v>#N/A</v>
      </c>
      <c r="D12956" s="1"/>
      <c r="E12956" s="1"/>
      <c r="F12956" s="1"/>
      <c r="G12956" s="1"/>
      <c r="H12956" s="2">
        <f>IFERROR(__xludf.DUMMYFUNCTION("""COMPUTED_VALUE"""),0.0)</f>
        <v>0</v>
      </c>
      <c r="I12956" s="5"/>
      <c r="J12956" s="1" t="str">
        <f>IFERROR(__xludf.DUMMYFUNCTION("""COMPUTED_VALUE"""),"#N/A")</f>
        <v>#N/A</v>
      </c>
      <c r="K12956" s="1" t="str">
        <f>IFERROR(__xludf.DUMMYFUNCTION("""COMPUTED_VALUE"""),"#N/A")</f>
        <v>#N/A</v>
      </c>
      <c r="L12956" s="1" t="str">
        <f>IFERROR(__xludf.DUMMYFUNCTION("""COMPUTED_VALUE"""),"#N/A")</f>
        <v>#N/A</v>
      </c>
    </row>
    <row r="12957">
      <c r="A12957" s="1" t="str">
        <f>IFERROR(__xludf.DUMMYFUNCTION("""COMPUTED_VALUE"""),"#VALUE!")</f>
        <v>#VALUE!</v>
      </c>
      <c r="B12957" s="4"/>
      <c r="C12957" s="1" t="str">
        <f>IFERROR(__xludf.DUMMYFUNCTION("""COMPUTED_VALUE"""),"#N/A")</f>
        <v>#N/A</v>
      </c>
      <c r="D12957" s="1"/>
      <c r="E12957" s="1"/>
      <c r="F12957" s="1"/>
      <c r="G12957" s="1"/>
      <c r="H12957" s="2">
        <f>IFERROR(__xludf.DUMMYFUNCTION("""COMPUTED_VALUE"""),0.0)</f>
        <v>0</v>
      </c>
      <c r="I12957" s="5"/>
      <c r="J12957" s="1" t="str">
        <f>IFERROR(__xludf.DUMMYFUNCTION("""COMPUTED_VALUE"""),"#N/A")</f>
        <v>#N/A</v>
      </c>
      <c r="K12957" s="1" t="str">
        <f>IFERROR(__xludf.DUMMYFUNCTION("""COMPUTED_VALUE"""),"#N/A")</f>
        <v>#N/A</v>
      </c>
      <c r="L12957" s="1" t="str">
        <f>IFERROR(__xludf.DUMMYFUNCTION("""COMPUTED_VALUE"""),"#N/A")</f>
        <v>#N/A</v>
      </c>
    </row>
    <row r="12958">
      <c r="A12958" s="1" t="str">
        <f>IFERROR(__xludf.DUMMYFUNCTION("""COMPUTED_VALUE"""),"#VALUE!")</f>
        <v>#VALUE!</v>
      </c>
      <c r="B12958" s="4"/>
      <c r="C12958" s="1" t="str">
        <f>IFERROR(__xludf.DUMMYFUNCTION("""COMPUTED_VALUE"""),"#N/A")</f>
        <v>#N/A</v>
      </c>
      <c r="D12958" s="1"/>
      <c r="E12958" s="1"/>
      <c r="F12958" s="1"/>
      <c r="G12958" s="1"/>
      <c r="H12958" s="2">
        <f>IFERROR(__xludf.DUMMYFUNCTION("""COMPUTED_VALUE"""),0.0)</f>
        <v>0</v>
      </c>
      <c r="I12958" s="5"/>
      <c r="J12958" s="1" t="str">
        <f>IFERROR(__xludf.DUMMYFUNCTION("""COMPUTED_VALUE"""),"#N/A")</f>
        <v>#N/A</v>
      </c>
      <c r="K12958" s="1" t="str">
        <f>IFERROR(__xludf.DUMMYFUNCTION("""COMPUTED_VALUE"""),"#N/A")</f>
        <v>#N/A</v>
      </c>
      <c r="L12958" s="1" t="str">
        <f>IFERROR(__xludf.DUMMYFUNCTION("""COMPUTED_VALUE"""),"#N/A")</f>
        <v>#N/A</v>
      </c>
    </row>
    <row r="12959">
      <c r="A12959" s="1" t="str">
        <f>IFERROR(__xludf.DUMMYFUNCTION("""COMPUTED_VALUE"""),"#VALUE!")</f>
        <v>#VALUE!</v>
      </c>
      <c r="B12959" s="4"/>
      <c r="C12959" s="1" t="str">
        <f>IFERROR(__xludf.DUMMYFUNCTION("""COMPUTED_VALUE"""),"#N/A")</f>
        <v>#N/A</v>
      </c>
      <c r="D12959" s="1"/>
      <c r="E12959" s="1"/>
      <c r="F12959" s="1"/>
      <c r="G12959" s="1"/>
      <c r="H12959" s="2">
        <f>IFERROR(__xludf.DUMMYFUNCTION("""COMPUTED_VALUE"""),0.0)</f>
        <v>0</v>
      </c>
      <c r="I12959" s="5"/>
      <c r="J12959" s="1" t="str">
        <f>IFERROR(__xludf.DUMMYFUNCTION("""COMPUTED_VALUE"""),"#N/A")</f>
        <v>#N/A</v>
      </c>
      <c r="K12959" s="1" t="str">
        <f>IFERROR(__xludf.DUMMYFUNCTION("""COMPUTED_VALUE"""),"#N/A")</f>
        <v>#N/A</v>
      </c>
      <c r="L12959" s="1" t="str">
        <f>IFERROR(__xludf.DUMMYFUNCTION("""COMPUTED_VALUE"""),"#N/A")</f>
        <v>#N/A</v>
      </c>
    </row>
    <row r="12960">
      <c r="A12960" s="1" t="str">
        <f>IFERROR(__xludf.DUMMYFUNCTION("""COMPUTED_VALUE"""),"#VALUE!")</f>
        <v>#VALUE!</v>
      </c>
      <c r="B12960" s="4"/>
      <c r="C12960" s="1" t="str">
        <f>IFERROR(__xludf.DUMMYFUNCTION("""COMPUTED_VALUE"""),"#N/A")</f>
        <v>#N/A</v>
      </c>
      <c r="D12960" s="1"/>
      <c r="E12960" s="1"/>
      <c r="F12960" s="1"/>
      <c r="G12960" s="1"/>
      <c r="H12960" s="2">
        <f>IFERROR(__xludf.DUMMYFUNCTION("""COMPUTED_VALUE"""),0.0)</f>
        <v>0</v>
      </c>
      <c r="I12960" s="5"/>
      <c r="J12960" s="1" t="str">
        <f>IFERROR(__xludf.DUMMYFUNCTION("""COMPUTED_VALUE"""),"#N/A")</f>
        <v>#N/A</v>
      </c>
      <c r="K12960" s="1" t="str">
        <f>IFERROR(__xludf.DUMMYFUNCTION("""COMPUTED_VALUE"""),"#N/A")</f>
        <v>#N/A</v>
      </c>
      <c r="L12960" s="1" t="str">
        <f>IFERROR(__xludf.DUMMYFUNCTION("""COMPUTED_VALUE"""),"#N/A")</f>
        <v>#N/A</v>
      </c>
    </row>
    <row r="12961">
      <c r="A12961" s="1" t="str">
        <f>IFERROR(__xludf.DUMMYFUNCTION("""COMPUTED_VALUE"""),"#VALUE!")</f>
        <v>#VALUE!</v>
      </c>
      <c r="B12961" s="4"/>
      <c r="C12961" s="1" t="str">
        <f>IFERROR(__xludf.DUMMYFUNCTION("""COMPUTED_VALUE"""),"#N/A")</f>
        <v>#N/A</v>
      </c>
      <c r="D12961" s="1"/>
      <c r="E12961" s="1"/>
      <c r="F12961" s="1"/>
      <c r="G12961" s="1"/>
      <c r="H12961" s="2">
        <f>IFERROR(__xludf.DUMMYFUNCTION("""COMPUTED_VALUE"""),0.0)</f>
        <v>0</v>
      </c>
      <c r="I12961" s="5"/>
      <c r="J12961" s="1" t="str">
        <f>IFERROR(__xludf.DUMMYFUNCTION("""COMPUTED_VALUE"""),"#N/A")</f>
        <v>#N/A</v>
      </c>
      <c r="K12961" s="1" t="str">
        <f>IFERROR(__xludf.DUMMYFUNCTION("""COMPUTED_VALUE"""),"#N/A")</f>
        <v>#N/A</v>
      </c>
      <c r="L12961" s="1" t="str">
        <f>IFERROR(__xludf.DUMMYFUNCTION("""COMPUTED_VALUE"""),"#N/A")</f>
        <v>#N/A</v>
      </c>
    </row>
    <row r="12962">
      <c r="A12962" s="1" t="str">
        <f>IFERROR(__xludf.DUMMYFUNCTION("""COMPUTED_VALUE"""),"#VALUE!")</f>
        <v>#VALUE!</v>
      </c>
      <c r="B12962" s="4"/>
      <c r="C12962" s="1" t="str">
        <f>IFERROR(__xludf.DUMMYFUNCTION("""COMPUTED_VALUE"""),"#N/A")</f>
        <v>#N/A</v>
      </c>
      <c r="D12962" s="1"/>
      <c r="E12962" s="1"/>
      <c r="F12962" s="1"/>
      <c r="G12962" s="1"/>
      <c r="H12962" s="2">
        <f>IFERROR(__xludf.DUMMYFUNCTION("""COMPUTED_VALUE"""),0.0)</f>
        <v>0</v>
      </c>
      <c r="I12962" s="5"/>
      <c r="J12962" s="1" t="str">
        <f>IFERROR(__xludf.DUMMYFUNCTION("""COMPUTED_VALUE"""),"#N/A")</f>
        <v>#N/A</v>
      </c>
      <c r="K12962" s="1" t="str">
        <f>IFERROR(__xludf.DUMMYFUNCTION("""COMPUTED_VALUE"""),"#N/A")</f>
        <v>#N/A</v>
      </c>
      <c r="L12962" s="1" t="str">
        <f>IFERROR(__xludf.DUMMYFUNCTION("""COMPUTED_VALUE"""),"#N/A")</f>
        <v>#N/A</v>
      </c>
    </row>
    <row r="12963">
      <c r="A12963" s="1" t="str">
        <f>IFERROR(__xludf.DUMMYFUNCTION("""COMPUTED_VALUE"""),"#VALUE!")</f>
        <v>#VALUE!</v>
      </c>
      <c r="B12963" s="4"/>
      <c r="C12963" s="1" t="str">
        <f>IFERROR(__xludf.DUMMYFUNCTION("""COMPUTED_VALUE"""),"#N/A")</f>
        <v>#N/A</v>
      </c>
      <c r="D12963" s="1"/>
      <c r="E12963" s="1"/>
      <c r="F12963" s="1"/>
      <c r="G12963" s="1"/>
      <c r="H12963" s="2">
        <f>IFERROR(__xludf.DUMMYFUNCTION("""COMPUTED_VALUE"""),0.0)</f>
        <v>0</v>
      </c>
      <c r="I12963" s="5"/>
      <c r="J12963" s="1" t="str">
        <f>IFERROR(__xludf.DUMMYFUNCTION("""COMPUTED_VALUE"""),"#N/A")</f>
        <v>#N/A</v>
      </c>
      <c r="K12963" s="1" t="str">
        <f>IFERROR(__xludf.DUMMYFUNCTION("""COMPUTED_VALUE"""),"#N/A")</f>
        <v>#N/A</v>
      </c>
      <c r="L12963" s="1" t="str">
        <f>IFERROR(__xludf.DUMMYFUNCTION("""COMPUTED_VALUE"""),"#N/A")</f>
        <v>#N/A</v>
      </c>
    </row>
    <row r="12964">
      <c r="A12964" s="1" t="str">
        <f>IFERROR(__xludf.DUMMYFUNCTION("""COMPUTED_VALUE"""),"#VALUE!")</f>
        <v>#VALUE!</v>
      </c>
      <c r="B12964" s="4"/>
      <c r="C12964" s="1" t="str">
        <f>IFERROR(__xludf.DUMMYFUNCTION("""COMPUTED_VALUE"""),"#N/A")</f>
        <v>#N/A</v>
      </c>
      <c r="D12964" s="1"/>
      <c r="E12964" s="1"/>
      <c r="F12964" s="1"/>
      <c r="G12964" s="1"/>
      <c r="H12964" s="2">
        <f>IFERROR(__xludf.DUMMYFUNCTION("""COMPUTED_VALUE"""),0.0)</f>
        <v>0</v>
      </c>
      <c r="I12964" s="5"/>
      <c r="J12964" s="1" t="str">
        <f>IFERROR(__xludf.DUMMYFUNCTION("""COMPUTED_VALUE"""),"#N/A")</f>
        <v>#N/A</v>
      </c>
      <c r="K12964" s="1" t="str">
        <f>IFERROR(__xludf.DUMMYFUNCTION("""COMPUTED_VALUE"""),"#N/A")</f>
        <v>#N/A</v>
      </c>
      <c r="L12964" s="1" t="str">
        <f>IFERROR(__xludf.DUMMYFUNCTION("""COMPUTED_VALUE"""),"#N/A")</f>
        <v>#N/A</v>
      </c>
    </row>
    <row r="12965">
      <c r="A12965" s="1" t="str">
        <f>IFERROR(__xludf.DUMMYFUNCTION("""COMPUTED_VALUE"""),"#VALUE!")</f>
        <v>#VALUE!</v>
      </c>
      <c r="B12965" s="4"/>
      <c r="C12965" s="1" t="str">
        <f>IFERROR(__xludf.DUMMYFUNCTION("""COMPUTED_VALUE"""),"#N/A")</f>
        <v>#N/A</v>
      </c>
      <c r="D12965" s="1"/>
      <c r="E12965" s="1"/>
      <c r="F12965" s="1"/>
      <c r="G12965" s="1"/>
      <c r="H12965" s="2">
        <f>IFERROR(__xludf.DUMMYFUNCTION("""COMPUTED_VALUE"""),0.0)</f>
        <v>0</v>
      </c>
      <c r="I12965" s="5"/>
      <c r="J12965" s="1" t="str">
        <f>IFERROR(__xludf.DUMMYFUNCTION("""COMPUTED_VALUE"""),"#N/A")</f>
        <v>#N/A</v>
      </c>
      <c r="K12965" s="1" t="str">
        <f>IFERROR(__xludf.DUMMYFUNCTION("""COMPUTED_VALUE"""),"#N/A")</f>
        <v>#N/A</v>
      </c>
      <c r="L12965" s="1" t="str">
        <f>IFERROR(__xludf.DUMMYFUNCTION("""COMPUTED_VALUE"""),"#N/A")</f>
        <v>#N/A</v>
      </c>
    </row>
    <row r="12966">
      <c r="A12966" s="1" t="str">
        <f>IFERROR(__xludf.DUMMYFUNCTION("""COMPUTED_VALUE"""),"#VALUE!")</f>
        <v>#VALUE!</v>
      </c>
      <c r="B12966" s="4"/>
      <c r="C12966" s="1" t="str">
        <f>IFERROR(__xludf.DUMMYFUNCTION("""COMPUTED_VALUE"""),"#N/A")</f>
        <v>#N/A</v>
      </c>
      <c r="D12966" s="1"/>
      <c r="E12966" s="1"/>
      <c r="F12966" s="1"/>
      <c r="G12966" s="1"/>
      <c r="H12966" s="2">
        <f>IFERROR(__xludf.DUMMYFUNCTION("""COMPUTED_VALUE"""),0.0)</f>
        <v>0</v>
      </c>
      <c r="I12966" s="5"/>
      <c r="J12966" s="1" t="str">
        <f>IFERROR(__xludf.DUMMYFUNCTION("""COMPUTED_VALUE"""),"#N/A")</f>
        <v>#N/A</v>
      </c>
      <c r="K12966" s="1" t="str">
        <f>IFERROR(__xludf.DUMMYFUNCTION("""COMPUTED_VALUE"""),"#N/A")</f>
        <v>#N/A</v>
      </c>
      <c r="L12966" s="1" t="str">
        <f>IFERROR(__xludf.DUMMYFUNCTION("""COMPUTED_VALUE"""),"#N/A")</f>
        <v>#N/A</v>
      </c>
    </row>
    <row r="12967">
      <c r="A12967" s="1" t="str">
        <f>IFERROR(__xludf.DUMMYFUNCTION("""COMPUTED_VALUE"""),"#VALUE!")</f>
        <v>#VALUE!</v>
      </c>
      <c r="B12967" s="4"/>
      <c r="C12967" s="1" t="str">
        <f>IFERROR(__xludf.DUMMYFUNCTION("""COMPUTED_VALUE"""),"#N/A")</f>
        <v>#N/A</v>
      </c>
      <c r="D12967" s="1"/>
      <c r="E12967" s="1"/>
      <c r="F12967" s="1"/>
      <c r="G12967" s="1"/>
      <c r="H12967" s="2">
        <f>IFERROR(__xludf.DUMMYFUNCTION("""COMPUTED_VALUE"""),0.0)</f>
        <v>0</v>
      </c>
      <c r="I12967" s="5"/>
      <c r="J12967" s="1" t="str">
        <f>IFERROR(__xludf.DUMMYFUNCTION("""COMPUTED_VALUE"""),"#N/A")</f>
        <v>#N/A</v>
      </c>
      <c r="K12967" s="1" t="str">
        <f>IFERROR(__xludf.DUMMYFUNCTION("""COMPUTED_VALUE"""),"#N/A")</f>
        <v>#N/A</v>
      </c>
      <c r="L12967" s="1" t="str">
        <f>IFERROR(__xludf.DUMMYFUNCTION("""COMPUTED_VALUE"""),"#N/A")</f>
        <v>#N/A</v>
      </c>
    </row>
    <row r="12968">
      <c r="A12968" s="1" t="str">
        <f>IFERROR(__xludf.DUMMYFUNCTION("""COMPUTED_VALUE"""),"#VALUE!")</f>
        <v>#VALUE!</v>
      </c>
      <c r="B12968" s="4"/>
      <c r="C12968" s="1" t="str">
        <f>IFERROR(__xludf.DUMMYFUNCTION("""COMPUTED_VALUE"""),"#N/A")</f>
        <v>#N/A</v>
      </c>
      <c r="D12968" s="1"/>
      <c r="E12968" s="1"/>
      <c r="F12968" s="1"/>
      <c r="G12968" s="1"/>
      <c r="H12968" s="2">
        <f>IFERROR(__xludf.DUMMYFUNCTION("""COMPUTED_VALUE"""),0.0)</f>
        <v>0</v>
      </c>
      <c r="I12968" s="5"/>
      <c r="J12968" s="1" t="str">
        <f>IFERROR(__xludf.DUMMYFUNCTION("""COMPUTED_VALUE"""),"#N/A")</f>
        <v>#N/A</v>
      </c>
      <c r="K12968" s="1" t="str">
        <f>IFERROR(__xludf.DUMMYFUNCTION("""COMPUTED_VALUE"""),"#N/A")</f>
        <v>#N/A</v>
      </c>
      <c r="L12968" s="1" t="str">
        <f>IFERROR(__xludf.DUMMYFUNCTION("""COMPUTED_VALUE"""),"#N/A")</f>
        <v>#N/A</v>
      </c>
    </row>
    <row r="12969">
      <c r="A12969" s="1" t="str">
        <f>IFERROR(__xludf.DUMMYFUNCTION("""COMPUTED_VALUE"""),"#VALUE!")</f>
        <v>#VALUE!</v>
      </c>
      <c r="B12969" s="4"/>
      <c r="C12969" s="1" t="str">
        <f>IFERROR(__xludf.DUMMYFUNCTION("""COMPUTED_VALUE"""),"#N/A")</f>
        <v>#N/A</v>
      </c>
      <c r="D12969" s="1"/>
      <c r="E12969" s="1"/>
      <c r="F12969" s="1"/>
      <c r="G12969" s="1"/>
      <c r="H12969" s="2">
        <f>IFERROR(__xludf.DUMMYFUNCTION("""COMPUTED_VALUE"""),0.0)</f>
        <v>0</v>
      </c>
      <c r="I12969" s="5"/>
      <c r="J12969" s="1" t="str">
        <f>IFERROR(__xludf.DUMMYFUNCTION("""COMPUTED_VALUE"""),"#N/A")</f>
        <v>#N/A</v>
      </c>
      <c r="K12969" s="1" t="str">
        <f>IFERROR(__xludf.DUMMYFUNCTION("""COMPUTED_VALUE"""),"#N/A")</f>
        <v>#N/A</v>
      </c>
      <c r="L12969" s="1" t="str">
        <f>IFERROR(__xludf.DUMMYFUNCTION("""COMPUTED_VALUE"""),"#N/A")</f>
        <v>#N/A</v>
      </c>
    </row>
    <row r="12970">
      <c r="A12970" s="1" t="str">
        <f>IFERROR(__xludf.DUMMYFUNCTION("""COMPUTED_VALUE"""),"#VALUE!")</f>
        <v>#VALUE!</v>
      </c>
      <c r="B12970" s="4"/>
      <c r="C12970" s="1" t="str">
        <f>IFERROR(__xludf.DUMMYFUNCTION("""COMPUTED_VALUE"""),"#N/A")</f>
        <v>#N/A</v>
      </c>
      <c r="D12970" s="1"/>
      <c r="E12970" s="1"/>
      <c r="F12970" s="1"/>
      <c r="G12970" s="1"/>
      <c r="H12970" s="2">
        <f>IFERROR(__xludf.DUMMYFUNCTION("""COMPUTED_VALUE"""),0.0)</f>
        <v>0</v>
      </c>
      <c r="I12970" s="5"/>
      <c r="J12970" s="1" t="str">
        <f>IFERROR(__xludf.DUMMYFUNCTION("""COMPUTED_VALUE"""),"#N/A")</f>
        <v>#N/A</v>
      </c>
      <c r="K12970" s="1" t="str">
        <f>IFERROR(__xludf.DUMMYFUNCTION("""COMPUTED_VALUE"""),"#N/A")</f>
        <v>#N/A</v>
      </c>
      <c r="L12970" s="1" t="str">
        <f>IFERROR(__xludf.DUMMYFUNCTION("""COMPUTED_VALUE"""),"#N/A")</f>
        <v>#N/A</v>
      </c>
    </row>
    <row r="12971">
      <c r="A12971" s="1" t="str">
        <f>IFERROR(__xludf.DUMMYFUNCTION("""COMPUTED_VALUE"""),"#VALUE!")</f>
        <v>#VALUE!</v>
      </c>
      <c r="B12971" s="4"/>
      <c r="C12971" s="1" t="str">
        <f>IFERROR(__xludf.DUMMYFUNCTION("""COMPUTED_VALUE"""),"#N/A")</f>
        <v>#N/A</v>
      </c>
      <c r="D12971" s="1"/>
      <c r="E12971" s="1"/>
      <c r="F12971" s="1"/>
      <c r="G12971" s="1"/>
      <c r="H12971" s="2">
        <f>IFERROR(__xludf.DUMMYFUNCTION("""COMPUTED_VALUE"""),0.0)</f>
        <v>0</v>
      </c>
      <c r="I12971" s="5"/>
      <c r="J12971" s="1" t="str">
        <f>IFERROR(__xludf.DUMMYFUNCTION("""COMPUTED_VALUE"""),"#N/A")</f>
        <v>#N/A</v>
      </c>
      <c r="K12971" s="1" t="str">
        <f>IFERROR(__xludf.DUMMYFUNCTION("""COMPUTED_VALUE"""),"#N/A")</f>
        <v>#N/A</v>
      </c>
      <c r="L12971" s="1" t="str">
        <f>IFERROR(__xludf.DUMMYFUNCTION("""COMPUTED_VALUE"""),"#N/A")</f>
        <v>#N/A</v>
      </c>
    </row>
    <row r="12972">
      <c r="A12972" s="1" t="str">
        <f>IFERROR(__xludf.DUMMYFUNCTION("""COMPUTED_VALUE"""),"#VALUE!")</f>
        <v>#VALUE!</v>
      </c>
      <c r="B12972" s="4"/>
      <c r="C12972" s="1" t="str">
        <f>IFERROR(__xludf.DUMMYFUNCTION("""COMPUTED_VALUE"""),"#N/A")</f>
        <v>#N/A</v>
      </c>
      <c r="D12972" s="1"/>
      <c r="E12972" s="1"/>
      <c r="F12972" s="1"/>
      <c r="G12972" s="1"/>
      <c r="H12972" s="2">
        <f>IFERROR(__xludf.DUMMYFUNCTION("""COMPUTED_VALUE"""),0.0)</f>
        <v>0</v>
      </c>
      <c r="I12972" s="5"/>
      <c r="J12972" s="1" t="str">
        <f>IFERROR(__xludf.DUMMYFUNCTION("""COMPUTED_VALUE"""),"#N/A")</f>
        <v>#N/A</v>
      </c>
      <c r="K12972" s="1" t="str">
        <f>IFERROR(__xludf.DUMMYFUNCTION("""COMPUTED_VALUE"""),"#N/A")</f>
        <v>#N/A</v>
      </c>
      <c r="L12972" s="1" t="str">
        <f>IFERROR(__xludf.DUMMYFUNCTION("""COMPUTED_VALUE"""),"#N/A")</f>
        <v>#N/A</v>
      </c>
    </row>
    <row r="12973">
      <c r="A12973" s="1" t="str">
        <f>IFERROR(__xludf.DUMMYFUNCTION("""COMPUTED_VALUE"""),"#VALUE!")</f>
        <v>#VALUE!</v>
      </c>
      <c r="B12973" s="4"/>
      <c r="C12973" s="1" t="str">
        <f>IFERROR(__xludf.DUMMYFUNCTION("""COMPUTED_VALUE"""),"#N/A")</f>
        <v>#N/A</v>
      </c>
      <c r="D12973" s="1"/>
      <c r="E12973" s="1"/>
      <c r="F12973" s="1"/>
      <c r="G12973" s="1"/>
      <c r="H12973" s="2">
        <f>IFERROR(__xludf.DUMMYFUNCTION("""COMPUTED_VALUE"""),0.0)</f>
        <v>0</v>
      </c>
      <c r="I12973" s="5"/>
      <c r="J12973" s="1" t="str">
        <f>IFERROR(__xludf.DUMMYFUNCTION("""COMPUTED_VALUE"""),"#N/A")</f>
        <v>#N/A</v>
      </c>
      <c r="K12973" s="1" t="str">
        <f>IFERROR(__xludf.DUMMYFUNCTION("""COMPUTED_VALUE"""),"#N/A")</f>
        <v>#N/A</v>
      </c>
      <c r="L12973" s="1" t="str">
        <f>IFERROR(__xludf.DUMMYFUNCTION("""COMPUTED_VALUE"""),"#N/A")</f>
        <v>#N/A</v>
      </c>
    </row>
    <row r="12974">
      <c r="A12974" s="1" t="str">
        <f>IFERROR(__xludf.DUMMYFUNCTION("""COMPUTED_VALUE"""),"#VALUE!")</f>
        <v>#VALUE!</v>
      </c>
      <c r="B12974" s="4"/>
      <c r="C12974" s="1" t="str">
        <f>IFERROR(__xludf.DUMMYFUNCTION("""COMPUTED_VALUE"""),"#N/A")</f>
        <v>#N/A</v>
      </c>
      <c r="D12974" s="1"/>
      <c r="E12974" s="1"/>
      <c r="F12974" s="1"/>
      <c r="G12974" s="1"/>
      <c r="H12974" s="2">
        <f>IFERROR(__xludf.DUMMYFUNCTION("""COMPUTED_VALUE"""),0.0)</f>
        <v>0</v>
      </c>
      <c r="I12974" s="5"/>
      <c r="J12974" s="1" t="str">
        <f>IFERROR(__xludf.DUMMYFUNCTION("""COMPUTED_VALUE"""),"#N/A")</f>
        <v>#N/A</v>
      </c>
      <c r="K12974" s="1" t="str">
        <f>IFERROR(__xludf.DUMMYFUNCTION("""COMPUTED_VALUE"""),"#N/A")</f>
        <v>#N/A</v>
      </c>
      <c r="L12974" s="1" t="str">
        <f>IFERROR(__xludf.DUMMYFUNCTION("""COMPUTED_VALUE"""),"#N/A")</f>
        <v>#N/A</v>
      </c>
    </row>
    <row r="12975">
      <c r="A12975" s="1" t="str">
        <f>IFERROR(__xludf.DUMMYFUNCTION("""COMPUTED_VALUE"""),"#VALUE!")</f>
        <v>#VALUE!</v>
      </c>
      <c r="B12975" s="4"/>
      <c r="C12975" s="1" t="str">
        <f>IFERROR(__xludf.DUMMYFUNCTION("""COMPUTED_VALUE"""),"#N/A")</f>
        <v>#N/A</v>
      </c>
      <c r="D12975" s="1"/>
      <c r="E12975" s="1"/>
      <c r="F12975" s="1"/>
      <c r="G12975" s="1"/>
      <c r="H12975" s="2">
        <f>IFERROR(__xludf.DUMMYFUNCTION("""COMPUTED_VALUE"""),0.0)</f>
        <v>0</v>
      </c>
      <c r="I12975" s="5"/>
      <c r="J12975" s="1" t="str">
        <f>IFERROR(__xludf.DUMMYFUNCTION("""COMPUTED_VALUE"""),"#N/A")</f>
        <v>#N/A</v>
      </c>
      <c r="K12975" s="1" t="str">
        <f>IFERROR(__xludf.DUMMYFUNCTION("""COMPUTED_VALUE"""),"#N/A")</f>
        <v>#N/A</v>
      </c>
      <c r="L12975" s="1" t="str">
        <f>IFERROR(__xludf.DUMMYFUNCTION("""COMPUTED_VALUE"""),"#N/A")</f>
        <v>#N/A</v>
      </c>
    </row>
    <row r="12976">
      <c r="A12976" s="1" t="str">
        <f>IFERROR(__xludf.DUMMYFUNCTION("""COMPUTED_VALUE"""),"#VALUE!")</f>
        <v>#VALUE!</v>
      </c>
      <c r="B12976" s="4"/>
      <c r="C12976" s="1" t="str">
        <f>IFERROR(__xludf.DUMMYFUNCTION("""COMPUTED_VALUE"""),"#N/A")</f>
        <v>#N/A</v>
      </c>
      <c r="D12976" s="1"/>
      <c r="E12976" s="1"/>
      <c r="F12976" s="1"/>
      <c r="G12976" s="1"/>
      <c r="H12976" s="2">
        <f>IFERROR(__xludf.DUMMYFUNCTION("""COMPUTED_VALUE"""),0.0)</f>
        <v>0</v>
      </c>
      <c r="I12976" s="5"/>
      <c r="J12976" s="1" t="str">
        <f>IFERROR(__xludf.DUMMYFUNCTION("""COMPUTED_VALUE"""),"#N/A")</f>
        <v>#N/A</v>
      </c>
      <c r="K12976" s="1" t="str">
        <f>IFERROR(__xludf.DUMMYFUNCTION("""COMPUTED_VALUE"""),"#N/A")</f>
        <v>#N/A</v>
      </c>
      <c r="L12976" s="1" t="str">
        <f>IFERROR(__xludf.DUMMYFUNCTION("""COMPUTED_VALUE"""),"#N/A")</f>
        <v>#N/A</v>
      </c>
    </row>
    <row r="12977">
      <c r="A12977" s="1" t="str">
        <f>IFERROR(__xludf.DUMMYFUNCTION("""COMPUTED_VALUE"""),"#VALUE!")</f>
        <v>#VALUE!</v>
      </c>
      <c r="B12977" s="4"/>
      <c r="C12977" s="1" t="str">
        <f>IFERROR(__xludf.DUMMYFUNCTION("""COMPUTED_VALUE"""),"#N/A")</f>
        <v>#N/A</v>
      </c>
      <c r="D12977" s="1"/>
      <c r="E12977" s="1"/>
      <c r="F12977" s="1"/>
      <c r="G12977" s="1"/>
      <c r="H12977" s="2">
        <f>IFERROR(__xludf.DUMMYFUNCTION("""COMPUTED_VALUE"""),0.0)</f>
        <v>0</v>
      </c>
      <c r="I12977" s="5"/>
      <c r="J12977" s="1" t="str">
        <f>IFERROR(__xludf.DUMMYFUNCTION("""COMPUTED_VALUE"""),"#N/A")</f>
        <v>#N/A</v>
      </c>
      <c r="K12977" s="1" t="str">
        <f>IFERROR(__xludf.DUMMYFUNCTION("""COMPUTED_VALUE"""),"#N/A")</f>
        <v>#N/A</v>
      </c>
      <c r="L12977" s="1" t="str">
        <f>IFERROR(__xludf.DUMMYFUNCTION("""COMPUTED_VALUE"""),"#N/A")</f>
        <v>#N/A</v>
      </c>
    </row>
    <row r="12978">
      <c r="A12978" s="1" t="str">
        <f>IFERROR(__xludf.DUMMYFUNCTION("""COMPUTED_VALUE"""),"#VALUE!")</f>
        <v>#VALUE!</v>
      </c>
      <c r="B12978" s="4"/>
      <c r="C12978" s="1" t="str">
        <f>IFERROR(__xludf.DUMMYFUNCTION("""COMPUTED_VALUE"""),"#N/A")</f>
        <v>#N/A</v>
      </c>
      <c r="D12978" s="1"/>
      <c r="E12978" s="1"/>
      <c r="F12978" s="1"/>
      <c r="G12978" s="1"/>
      <c r="H12978" s="2">
        <f>IFERROR(__xludf.DUMMYFUNCTION("""COMPUTED_VALUE"""),0.0)</f>
        <v>0</v>
      </c>
      <c r="I12978" s="5"/>
      <c r="J12978" s="1" t="str">
        <f>IFERROR(__xludf.DUMMYFUNCTION("""COMPUTED_VALUE"""),"#N/A")</f>
        <v>#N/A</v>
      </c>
      <c r="K12978" s="1" t="str">
        <f>IFERROR(__xludf.DUMMYFUNCTION("""COMPUTED_VALUE"""),"#N/A")</f>
        <v>#N/A</v>
      </c>
      <c r="L12978" s="1" t="str">
        <f>IFERROR(__xludf.DUMMYFUNCTION("""COMPUTED_VALUE"""),"#N/A")</f>
        <v>#N/A</v>
      </c>
    </row>
    <row r="12979">
      <c r="A12979" s="1" t="str">
        <f>IFERROR(__xludf.DUMMYFUNCTION("""COMPUTED_VALUE"""),"#VALUE!")</f>
        <v>#VALUE!</v>
      </c>
      <c r="B12979" s="4"/>
      <c r="C12979" s="1" t="str">
        <f>IFERROR(__xludf.DUMMYFUNCTION("""COMPUTED_VALUE"""),"#N/A")</f>
        <v>#N/A</v>
      </c>
      <c r="D12979" s="1"/>
      <c r="E12979" s="1"/>
      <c r="F12979" s="1"/>
      <c r="G12979" s="1"/>
      <c r="H12979" s="2">
        <f>IFERROR(__xludf.DUMMYFUNCTION("""COMPUTED_VALUE"""),0.0)</f>
        <v>0</v>
      </c>
      <c r="I12979" s="5"/>
      <c r="J12979" s="1" t="str">
        <f>IFERROR(__xludf.DUMMYFUNCTION("""COMPUTED_VALUE"""),"#N/A")</f>
        <v>#N/A</v>
      </c>
      <c r="K12979" s="1" t="str">
        <f>IFERROR(__xludf.DUMMYFUNCTION("""COMPUTED_VALUE"""),"#N/A")</f>
        <v>#N/A</v>
      </c>
      <c r="L12979" s="1" t="str">
        <f>IFERROR(__xludf.DUMMYFUNCTION("""COMPUTED_VALUE"""),"#N/A")</f>
        <v>#N/A</v>
      </c>
    </row>
    <row r="12980">
      <c r="A12980" s="1" t="str">
        <f>IFERROR(__xludf.DUMMYFUNCTION("""COMPUTED_VALUE"""),"#VALUE!")</f>
        <v>#VALUE!</v>
      </c>
      <c r="B12980" s="4"/>
      <c r="C12980" s="1" t="str">
        <f>IFERROR(__xludf.DUMMYFUNCTION("""COMPUTED_VALUE"""),"#N/A")</f>
        <v>#N/A</v>
      </c>
      <c r="D12980" s="1"/>
      <c r="E12980" s="1"/>
      <c r="F12980" s="1"/>
      <c r="G12980" s="1"/>
      <c r="H12980" s="2">
        <f>IFERROR(__xludf.DUMMYFUNCTION("""COMPUTED_VALUE"""),0.0)</f>
        <v>0</v>
      </c>
      <c r="I12980" s="5"/>
      <c r="J12980" s="1" t="str">
        <f>IFERROR(__xludf.DUMMYFUNCTION("""COMPUTED_VALUE"""),"#N/A")</f>
        <v>#N/A</v>
      </c>
      <c r="K12980" s="1" t="str">
        <f>IFERROR(__xludf.DUMMYFUNCTION("""COMPUTED_VALUE"""),"#N/A")</f>
        <v>#N/A</v>
      </c>
      <c r="L12980" s="1" t="str">
        <f>IFERROR(__xludf.DUMMYFUNCTION("""COMPUTED_VALUE"""),"#N/A")</f>
        <v>#N/A</v>
      </c>
    </row>
    <row r="12981">
      <c r="A12981" s="1" t="str">
        <f>IFERROR(__xludf.DUMMYFUNCTION("""COMPUTED_VALUE"""),"#VALUE!")</f>
        <v>#VALUE!</v>
      </c>
      <c r="B12981" s="4"/>
      <c r="C12981" s="1" t="str">
        <f>IFERROR(__xludf.DUMMYFUNCTION("""COMPUTED_VALUE"""),"#N/A")</f>
        <v>#N/A</v>
      </c>
      <c r="D12981" s="1"/>
      <c r="E12981" s="1"/>
      <c r="F12981" s="1"/>
      <c r="G12981" s="1"/>
      <c r="H12981" s="2">
        <f>IFERROR(__xludf.DUMMYFUNCTION("""COMPUTED_VALUE"""),0.0)</f>
        <v>0</v>
      </c>
      <c r="I12981" s="5"/>
      <c r="J12981" s="1" t="str">
        <f>IFERROR(__xludf.DUMMYFUNCTION("""COMPUTED_VALUE"""),"#N/A")</f>
        <v>#N/A</v>
      </c>
      <c r="K12981" s="1" t="str">
        <f>IFERROR(__xludf.DUMMYFUNCTION("""COMPUTED_VALUE"""),"#N/A")</f>
        <v>#N/A</v>
      </c>
      <c r="L12981" s="1" t="str">
        <f>IFERROR(__xludf.DUMMYFUNCTION("""COMPUTED_VALUE"""),"#N/A")</f>
        <v>#N/A</v>
      </c>
    </row>
    <row r="12982">
      <c r="A12982" s="1" t="str">
        <f>IFERROR(__xludf.DUMMYFUNCTION("""COMPUTED_VALUE"""),"#VALUE!")</f>
        <v>#VALUE!</v>
      </c>
      <c r="B12982" s="4"/>
      <c r="C12982" s="1" t="str">
        <f>IFERROR(__xludf.DUMMYFUNCTION("""COMPUTED_VALUE"""),"#N/A")</f>
        <v>#N/A</v>
      </c>
      <c r="D12982" s="1"/>
      <c r="E12982" s="1"/>
      <c r="F12982" s="1"/>
      <c r="G12982" s="1"/>
      <c r="H12982" s="2">
        <f>IFERROR(__xludf.DUMMYFUNCTION("""COMPUTED_VALUE"""),0.0)</f>
        <v>0</v>
      </c>
      <c r="I12982" s="5"/>
      <c r="J12982" s="1" t="str">
        <f>IFERROR(__xludf.DUMMYFUNCTION("""COMPUTED_VALUE"""),"#N/A")</f>
        <v>#N/A</v>
      </c>
      <c r="K12982" s="1" t="str">
        <f>IFERROR(__xludf.DUMMYFUNCTION("""COMPUTED_VALUE"""),"#N/A")</f>
        <v>#N/A</v>
      </c>
      <c r="L12982" s="1" t="str">
        <f>IFERROR(__xludf.DUMMYFUNCTION("""COMPUTED_VALUE"""),"#N/A")</f>
        <v>#N/A</v>
      </c>
    </row>
    <row r="12983">
      <c r="A12983" s="1" t="str">
        <f>IFERROR(__xludf.DUMMYFUNCTION("""COMPUTED_VALUE"""),"#VALUE!")</f>
        <v>#VALUE!</v>
      </c>
      <c r="B12983" s="4"/>
      <c r="C12983" s="1" t="str">
        <f>IFERROR(__xludf.DUMMYFUNCTION("""COMPUTED_VALUE"""),"#N/A")</f>
        <v>#N/A</v>
      </c>
      <c r="D12983" s="1"/>
      <c r="E12983" s="1"/>
      <c r="F12983" s="1"/>
      <c r="G12983" s="1"/>
      <c r="H12983" s="2">
        <f>IFERROR(__xludf.DUMMYFUNCTION("""COMPUTED_VALUE"""),0.0)</f>
        <v>0</v>
      </c>
      <c r="I12983" s="5"/>
      <c r="J12983" s="1" t="str">
        <f>IFERROR(__xludf.DUMMYFUNCTION("""COMPUTED_VALUE"""),"#N/A")</f>
        <v>#N/A</v>
      </c>
      <c r="K12983" s="1" t="str">
        <f>IFERROR(__xludf.DUMMYFUNCTION("""COMPUTED_VALUE"""),"#N/A")</f>
        <v>#N/A</v>
      </c>
      <c r="L12983" s="1" t="str">
        <f>IFERROR(__xludf.DUMMYFUNCTION("""COMPUTED_VALUE"""),"#N/A")</f>
        <v>#N/A</v>
      </c>
    </row>
    <row r="12984">
      <c r="A12984" s="1" t="str">
        <f>IFERROR(__xludf.DUMMYFUNCTION("""COMPUTED_VALUE"""),"#VALUE!")</f>
        <v>#VALUE!</v>
      </c>
      <c r="B12984" s="4"/>
      <c r="C12984" s="1" t="str">
        <f>IFERROR(__xludf.DUMMYFUNCTION("""COMPUTED_VALUE"""),"#N/A")</f>
        <v>#N/A</v>
      </c>
      <c r="D12984" s="1"/>
      <c r="E12984" s="1"/>
      <c r="F12984" s="1"/>
      <c r="G12984" s="1"/>
      <c r="H12984" s="2">
        <f>IFERROR(__xludf.DUMMYFUNCTION("""COMPUTED_VALUE"""),0.0)</f>
        <v>0</v>
      </c>
      <c r="I12984" s="5"/>
      <c r="J12984" s="1" t="str">
        <f>IFERROR(__xludf.DUMMYFUNCTION("""COMPUTED_VALUE"""),"#N/A")</f>
        <v>#N/A</v>
      </c>
      <c r="K12984" s="1" t="str">
        <f>IFERROR(__xludf.DUMMYFUNCTION("""COMPUTED_VALUE"""),"#N/A")</f>
        <v>#N/A</v>
      </c>
      <c r="L12984" s="1" t="str">
        <f>IFERROR(__xludf.DUMMYFUNCTION("""COMPUTED_VALUE"""),"#N/A")</f>
        <v>#N/A</v>
      </c>
    </row>
    <row r="12985">
      <c r="A12985" s="1" t="str">
        <f>IFERROR(__xludf.DUMMYFUNCTION("""COMPUTED_VALUE"""),"#VALUE!")</f>
        <v>#VALUE!</v>
      </c>
      <c r="B12985" s="4"/>
      <c r="C12985" s="1" t="str">
        <f>IFERROR(__xludf.DUMMYFUNCTION("""COMPUTED_VALUE"""),"#N/A")</f>
        <v>#N/A</v>
      </c>
      <c r="D12985" s="1"/>
      <c r="E12985" s="1"/>
      <c r="F12985" s="1"/>
      <c r="G12985" s="1"/>
      <c r="H12985" s="2">
        <f>IFERROR(__xludf.DUMMYFUNCTION("""COMPUTED_VALUE"""),0.0)</f>
        <v>0</v>
      </c>
      <c r="I12985" s="5"/>
      <c r="J12985" s="1" t="str">
        <f>IFERROR(__xludf.DUMMYFUNCTION("""COMPUTED_VALUE"""),"#N/A")</f>
        <v>#N/A</v>
      </c>
      <c r="K12985" s="1" t="str">
        <f>IFERROR(__xludf.DUMMYFUNCTION("""COMPUTED_VALUE"""),"#N/A")</f>
        <v>#N/A</v>
      </c>
      <c r="L12985" s="1" t="str">
        <f>IFERROR(__xludf.DUMMYFUNCTION("""COMPUTED_VALUE"""),"#N/A")</f>
        <v>#N/A</v>
      </c>
    </row>
    <row r="12986">
      <c r="A12986" s="1" t="str">
        <f>IFERROR(__xludf.DUMMYFUNCTION("""COMPUTED_VALUE"""),"#VALUE!")</f>
        <v>#VALUE!</v>
      </c>
      <c r="B12986" s="4"/>
      <c r="C12986" s="1" t="str">
        <f>IFERROR(__xludf.DUMMYFUNCTION("""COMPUTED_VALUE"""),"#N/A")</f>
        <v>#N/A</v>
      </c>
      <c r="D12986" s="1"/>
      <c r="E12986" s="1"/>
      <c r="F12986" s="1"/>
      <c r="G12986" s="1"/>
      <c r="H12986" s="2">
        <f>IFERROR(__xludf.DUMMYFUNCTION("""COMPUTED_VALUE"""),0.0)</f>
        <v>0</v>
      </c>
      <c r="I12986" s="5"/>
      <c r="J12986" s="1" t="str">
        <f>IFERROR(__xludf.DUMMYFUNCTION("""COMPUTED_VALUE"""),"#N/A")</f>
        <v>#N/A</v>
      </c>
      <c r="K12986" s="1" t="str">
        <f>IFERROR(__xludf.DUMMYFUNCTION("""COMPUTED_VALUE"""),"#N/A")</f>
        <v>#N/A</v>
      </c>
      <c r="L12986" s="1" t="str">
        <f>IFERROR(__xludf.DUMMYFUNCTION("""COMPUTED_VALUE"""),"#N/A")</f>
        <v>#N/A</v>
      </c>
    </row>
    <row r="12987">
      <c r="A12987" s="1" t="str">
        <f>IFERROR(__xludf.DUMMYFUNCTION("""COMPUTED_VALUE"""),"#VALUE!")</f>
        <v>#VALUE!</v>
      </c>
      <c r="B12987" s="4"/>
      <c r="C12987" s="1" t="str">
        <f>IFERROR(__xludf.DUMMYFUNCTION("""COMPUTED_VALUE"""),"#N/A")</f>
        <v>#N/A</v>
      </c>
      <c r="D12987" s="1"/>
      <c r="E12987" s="1"/>
      <c r="F12987" s="1"/>
      <c r="G12987" s="1"/>
      <c r="H12987" s="2">
        <f>IFERROR(__xludf.DUMMYFUNCTION("""COMPUTED_VALUE"""),0.0)</f>
        <v>0</v>
      </c>
      <c r="I12987" s="5"/>
      <c r="J12987" s="1" t="str">
        <f>IFERROR(__xludf.DUMMYFUNCTION("""COMPUTED_VALUE"""),"#N/A")</f>
        <v>#N/A</v>
      </c>
      <c r="K12987" s="1" t="str">
        <f>IFERROR(__xludf.DUMMYFUNCTION("""COMPUTED_VALUE"""),"#N/A")</f>
        <v>#N/A</v>
      </c>
      <c r="L12987" s="1" t="str">
        <f>IFERROR(__xludf.DUMMYFUNCTION("""COMPUTED_VALUE"""),"#N/A")</f>
        <v>#N/A</v>
      </c>
    </row>
    <row r="12988">
      <c r="A12988" s="1" t="str">
        <f>IFERROR(__xludf.DUMMYFUNCTION("""COMPUTED_VALUE"""),"#VALUE!")</f>
        <v>#VALUE!</v>
      </c>
      <c r="B12988" s="4"/>
      <c r="C12988" s="1" t="str">
        <f>IFERROR(__xludf.DUMMYFUNCTION("""COMPUTED_VALUE"""),"#N/A")</f>
        <v>#N/A</v>
      </c>
      <c r="D12988" s="1"/>
      <c r="E12988" s="1"/>
      <c r="F12988" s="1"/>
      <c r="G12988" s="1"/>
      <c r="H12988" s="2">
        <f>IFERROR(__xludf.DUMMYFUNCTION("""COMPUTED_VALUE"""),0.0)</f>
        <v>0</v>
      </c>
      <c r="I12988" s="5"/>
      <c r="J12988" s="1" t="str">
        <f>IFERROR(__xludf.DUMMYFUNCTION("""COMPUTED_VALUE"""),"#N/A")</f>
        <v>#N/A</v>
      </c>
      <c r="K12988" s="1" t="str">
        <f>IFERROR(__xludf.DUMMYFUNCTION("""COMPUTED_VALUE"""),"#N/A")</f>
        <v>#N/A</v>
      </c>
      <c r="L12988" s="1" t="str">
        <f>IFERROR(__xludf.DUMMYFUNCTION("""COMPUTED_VALUE"""),"#N/A")</f>
        <v>#N/A</v>
      </c>
    </row>
    <row r="12989">
      <c r="A12989" s="1" t="str">
        <f>IFERROR(__xludf.DUMMYFUNCTION("""COMPUTED_VALUE"""),"#VALUE!")</f>
        <v>#VALUE!</v>
      </c>
      <c r="B12989" s="4"/>
      <c r="C12989" s="1" t="str">
        <f>IFERROR(__xludf.DUMMYFUNCTION("""COMPUTED_VALUE"""),"#N/A")</f>
        <v>#N/A</v>
      </c>
      <c r="D12989" s="1"/>
      <c r="E12989" s="1"/>
      <c r="F12989" s="1"/>
      <c r="G12989" s="1"/>
      <c r="H12989" s="2">
        <f>IFERROR(__xludf.DUMMYFUNCTION("""COMPUTED_VALUE"""),0.0)</f>
        <v>0</v>
      </c>
      <c r="I12989" s="5"/>
      <c r="J12989" s="1" t="str">
        <f>IFERROR(__xludf.DUMMYFUNCTION("""COMPUTED_VALUE"""),"#N/A")</f>
        <v>#N/A</v>
      </c>
      <c r="K12989" s="1" t="str">
        <f>IFERROR(__xludf.DUMMYFUNCTION("""COMPUTED_VALUE"""),"#N/A")</f>
        <v>#N/A</v>
      </c>
      <c r="L12989" s="1" t="str">
        <f>IFERROR(__xludf.DUMMYFUNCTION("""COMPUTED_VALUE"""),"#N/A")</f>
        <v>#N/A</v>
      </c>
    </row>
    <row r="12990">
      <c r="A12990" s="1" t="str">
        <f>IFERROR(__xludf.DUMMYFUNCTION("""COMPUTED_VALUE"""),"#VALUE!")</f>
        <v>#VALUE!</v>
      </c>
      <c r="B12990" s="4"/>
      <c r="C12990" s="1" t="str">
        <f>IFERROR(__xludf.DUMMYFUNCTION("""COMPUTED_VALUE"""),"#N/A")</f>
        <v>#N/A</v>
      </c>
      <c r="D12990" s="1"/>
      <c r="E12990" s="1"/>
      <c r="F12990" s="1"/>
      <c r="G12990" s="1"/>
      <c r="H12990" s="2">
        <f>IFERROR(__xludf.DUMMYFUNCTION("""COMPUTED_VALUE"""),0.0)</f>
        <v>0</v>
      </c>
      <c r="I12990" s="5"/>
      <c r="J12990" s="1" t="str">
        <f>IFERROR(__xludf.DUMMYFUNCTION("""COMPUTED_VALUE"""),"#N/A")</f>
        <v>#N/A</v>
      </c>
      <c r="K12990" s="1" t="str">
        <f>IFERROR(__xludf.DUMMYFUNCTION("""COMPUTED_VALUE"""),"#N/A")</f>
        <v>#N/A</v>
      </c>
      <c r="L12990" s="1" t="str">
        <f>IFERROR(__xludf.DUMMYFUNCTION("""COMPUTED_VALUE"""),"#N/A")</f>
        <v>#N/A</v>
      </c>
    </row>
    <row r="12991">
      <c r="A12991" s="1" t="str">
        <f>IFERROR(__xludf.DUMMYFUNCTION("""COMPUTED_VALUE"""),"#VALUE!")</f>
        <v>#VALUE!</v>
      </c>
      <c r="B12991" s="4"/>
      <c r="C12991" s="1" t="str">
        <f>IFERROR(__xludf.DUMMYFUNCTION("""COMPUTED_VALUE"""),"#N/A")</f>
        <v>#N/A</v>
      </c>
      <c r="D12991" s="1"/>
      <c r="E12991" s="1"/>
      <c r="F12991" s="1"/>
      <c r="G12991" s="1"/>
      <c r="H12991" s="2">
        <f>IFERROR(__xludf.DUMMYFUNCTION("""COMPUTED_VALUE"""),0.0)</f>
        <v>0</v>
      </c>
      <c r="I12991" s="5"/>
      <c r="J12991" s="1" t="str">
        <f>IFERROR(__xludf.DUMMYFUNCTION("""COMPUTED_VALUE"""),"#N/A")</f>
        <v>#N/A</v>
      </c>
      <c r="K12991" s="1" t="str">
        <f>IFERROR(__xludf.DUMMYFUNCTION("""COMPUTED_VALUE"""),"#N/A")</f>
        <v>#N/A</v>
      </c>
      <c r="L12991" s="1" t="str">
        <f>IFERROR(__xludf.DUMMYFUNCTION("""COMPUTED_VALUE"""),"#N/A")</f>
        <v>#N/A</v>
      </c>
    </row>
    <row r="12992">
      <c r="A12992" s="1" t="str">
        <f>IFERROR(__xludf.DUMMYFUNCTION("""COMPUTED_VALUE"""),"#VALUE!")</f>
        <v>#VALUE!</v>
      </c>
      <c r="B12992" s="4"/>
      <c r="C12992" s="1" t="str">
        <f>IFERROR(__xludf.DUMMYFUNCTION("""COMPUTED_VALUE"""),"#N/A")</f>
        <v>#N/A</v>
      </c>
      <c r="D12992" s="1"/>
      <c r="E12992" s="1"/>
      <c r="F12992" s="1"/>
      <c r="G12992" s="1"/>
      <c r="H12992" s="2">
        <f>IFERROR(__xludf.DUMMYFUNCTION("""COMPUTED_VALUE"""),0.0)</f>
        <v>0</v>
      </c>
      <c r="I12992" s="5"/>
      <c r="J12992" s="1" t="str">
        <f>IFERROR(__xludf.DUMMYFUNCTION("""COMPUTED_VALUE"""),"#N/A")</f>
        <v>#N/A</v>
      </c>
      <c r="K12992" s="1" t="str">
        <f>IFERROR(__xludf.DUMMYFUNCTION("""COMPUTED_VALUE"""),"#N/A")</f>
        <v>#N/A</v>
      </c>
      <c r="L12992" s="1" t="str">
        <f>IFERROR(__xludf.DUMMYFUNCTION("""COMPUTED_VALUE"""),"#N/A")</f>
        <v>#N/A</v>
      </c>
    </row>
    <row r="12993">
      <c r="A12993" s="1" t="str">
        <f>IFERROR(__xludf.DUMMYFUNCTION("""COMPUTED_VALUE"""),"#VALUE!")</f>
        <v>#VALUE!</v>
      </c>
      <c r="B12993" s="4"/>
      <c r="C12993" s="1" t="str">
        <f>IFERROR(__xludf.DUMMYFUNCTION("""COMPUTED_VALUE"""),"#N/A")</f>
        <v>#N/A</v>
      </c>
      <c r="D12993" s="1"/>
      <c r="E12993" s="1"/>
      <c r="F12993" s="1"/>
      <c r="G12993" s="1"/>
      <c r="H12993" s="2">
        <f>IFERROR(__xludf.DUMMYFUNCTION("""COMPUTED_VALUE"""),0.0)</f>
        <v>0</v>
      </c>
      <c r="I12993" s="5"/>
      <c r="J12993" s="1" t="str">
        <f>IFERROR(__xludf.DUMMYFUNCTION("""COMPUTED_VALUE"""),"#N/A")</f>
        <v>#N/A</v>
      </c>
      <c r="K12993" s="1" t="str">
        <f>IFERROR(__xludf.DUMMYFUNCTION("""COMPUTED_VALUE"""),"#N/A")</f>
        <v>#N/A</v>
      </c>
      <c r="L12993" s="1" t="str">
        <f>IFERROR(__xludf.DUMMYFUNCTION("""COMPUTED_VALUE"""),"#N/A")</f>
        <v>#N/A</v>
      </c>
    </row>
    <row r="12994">
      <c r="A12994" s="1" t="str">
        <f>IFERROR(__xludf.DUMMYFUNCTION("""COMPUTED_VALUE"""),"#VALUE!")</f>
        <v>#VALUE!</v>
      </c>
      <c r="B12994" s="4"/>
      <c r="C12994" s="1" t="str">
        <f>IFERROR(__xludf.DUMMYFUNCTION("""COMPUTED_VALUE"""),"#N/A")</f>
        <v>#N/A</v>
      </c>
      <c r="D12994" s="1"/>
      <c r="E12994" s="1"/>
      <c r="F12994" s="1"/>
      <c r="G12994" s="1"/>
      <c r="H12994" s="2">
        <f>IFERROR(__xludf.DUMMYFUNCTION("""COMPUTED_VALUE"""),0.0)</f>
        <v>0</v>
      </c>
      <c r="I12994" s="5"/>
      <c r="J12994" s="1" t="str">
        <f>IFERROR(__xludf.DUMMYFUNCTION("""COMPUTED_VALUE"""),"#N/A")</f>
        <v>#N/A</v>
      </c>
      <c r="K12994" s="1" t="str">
        <f>IFERROR(__xludf.DUMMYFUNCTION("""COMPUTED_VALUE"""),"#N/A")</f>
        <v>#N/A</v>
      </c>
      <c r="L12994" s="1" t="str">
        <f>IFERROR(__xludf.DUMMYFUNCTION("""COMPUTED_VALUE"""),"#N/A")</f>
        <v>#N/A</v>
      </c>
    </row>
    <row r="12995">
      <c r="A12995" s="1" t="str">
        <f>IFERROR(__xludf.DUMMYFUNCTION("""COMPUTED_VALUE"""),"#VALUE!")</f>
        <v>#VALUE!</v>
      </c>
      <c r="B12995" s="4"/>
      <c r="C12995" s="1" t="str">
        <f>IFERROR(__xludf.DUMMYFUNCTION("""COMPUTED_VALUE"""),"#N/A")</f>
        <v>#N/A</v>
      </c>
      <c r="D12995" s="1"/>
      <c r="E12995" s="1"/>
      <c r="F12995" s="1"/>
      <c r="G12995" s="1"/>
      <c r="H12995" s="2">
        <f>IFERROR(__xludf.DUMMYFUNCTION("""COMPUTED_VALUE"""),0.0)</f>
        <v>0</v>
      </c>
      <c r="I12995" s="5"/>
      <c r="J12995" s="1" t="str">
        <f>IFERROR(__xludf.DUMMYFUNCTION("""COMPUTED_VALUE"""),"#N/A")</f>
        <v>#N/A</v>
      </c>
      <c r="K12995" s="1" t="str">
        <f>IFERROR(__xludf.DUMMYFUNCTION("""COMPUTED_VALUE"""),"#N/A")</f>
        <v>#N/A</v>
      </c>
      <c r="L12995" s="1" t="str">
        <f>IFERROR(__xludf.DUMMYFUNCTION("""COMPUTED_VALUE"""),"#N/A")</f>
        <v>#N/A</v>
      </c>
    </row>
    <row r="12996">
      <c r="A12996" s="1" t="str">
        <f>IFERROR(__xludf.DUMMYFUNCTION("""COMPUTED_VALUE"""),"#VALUE!")</f>
        <v>#VALUE!</v>
      </c>
      <c r="B12996" s="4"/>
      <c r="C12996" s="1" t="str">
        <f>IFERROR(__xludf.DUMMYFUNCTION("""COMPUTED_VALUE"""),"#N/A")</f>
        <v>#N/A</v>
      </c>
      <c r="D12996" s="1"/>
      <c r="E12996" s="1"/>
      <c r="F12996" s="1"/>
      <c r="G12996" s="1"/>
      <c r="H12996" s="2">
        <f>IFERROR(__xludf.DUMMYFUNCTION("""COMPUTED_VALUE"""),0.0)</f>
        <v>0</v>
      </c>
      <c r="I12996" s="5"/>
      <c r="J12996" s="1" t="str">
        <f>IFERROR(__xludf.DUMMYFUNCTION("""COMPUTED_VALUE"""),"#N/A")</f>
        <v>#N/A</v>
      </c>
      <c r="K12996" s="1" t="str">
        <f>IFERROR(__xludf.DUMMYFUNCTION("""COMPUTED_VALUE"""),"#N/A")</f>
        <v>#N/A</v>
      </c>
      <c r="L12996" s="1" t="str">
        <f>IFERROR(__xludf.DUMMYFUNCTION("""COMPUTED_VALUE"""),"#N/A")</f>
        <v>#N/A</v>
      </c>
    </row>
    <row r="12997">
      <c r="A12997" s="1" t="str">
        <f>IFERROR(__xludf.DUMMYFUNCTION("""COMPUTED_VALUE"""),"#VALUE!")</f>
        <v>#VALUE!</v>
      </c>
      <c r="B12997" s="4"/>
      <c r="C12997" s="1" t="str">
        <f>IFERROR(__xludf.DUMMYFUNCTION("""COMPUTED_VALUE"""),"#N/A")</f>
        <v>#N/A</v>
      </c>
      <c r="D12997" s="1"/>
      <c r="E12997" s="1"/>
      <c r="F12997" s="1"/>
      <c r="G12997" s="1"/>
      <c r="H12997" s="2">
        <f>IFERROR(__xludf.DUMMYFUNCTION("""COMPUTED_VALUE"""),0.0)</f>
        <v>0</v>
      </c>
      <c r="I12997" s="5"/>
      <c r="J12997" s="1" t="str">
        <f>IFERROR(__xludf.DUMMYFUNCTION("""COMPUTED_VALUE"""),"#N/A")</f>
        <v>#N/A</v>
      </c>
      <c r="K12997" s="1" t="str">
        <f>IFERROR(__xludf.DUMMYFUNCTION("""COMPUTED_VALUE"""),"#N/A")</f>
        <v>#N/A</v>
      </c>
      <c r="L12997" s="1" t="str">
        <f>IFERROR(__xludf.DUMMYFUNCTION("""COMPUTED_VALUE"""),"#N/A")</f>
        <v>#N/A</v>
      </c>
    </row>
    <row r="12998">
      <c r="A12998" s="1" t="str">
        <f>IFERROR(__xludf.DUMMYFUNCTION("""COMPUTED_VALUE"""),"#VALUE!")</f>
        <v>#VALUE!</v>
      </c>
      <c r="B12998" s="4"/>
      <c r="C12998" s="1" t="str">
        <f>IFERROR(__xludf.DUMMYFUNCTION("""COMPUTED_VALUE"""),"#N/A")</f>
        <v>#N/A</v>
      </c>
      <c r="D12998" s="1"/>
      <c r="E12998" s="1"/>
      <c r="F12998" s="1"/>
      <c r="G12998" s="1"/>
      <c r="H12998" s="2">
        <f>IFERROR(__xludf.DUMMYFUNCTION("""COMPUTED_VALUE"""),0.0)</f>
        <v>0</v>
      </c>
      <c r="I12998" s="5"/>
      <c r="J12998" s="1" t="str">
        <f>IFERROR(__xludf.DUMMYFUNCTION("""COMPUTED_VALUE"""),"#N/A")</f>
        <v>#N/A</v>
      </c>
      <c r="K12998" s="1" t="str">
        <f>IFERROR(__xludf.DUMMYFUNCTION("""COMPUTED_VALUE"""),"#N/A")</f>
        <v>#N/A</v>
      </c>
      <c r="L12998" s="1" t="str">
        <f>IFERROR(__xludf.DUMMYFUNCTION("""COMPUTED_VALUE"""),"#N/A")</f>
        <v>#N/A</v>
      </c>
    </row>
    <row r="12999">
      <c r="A12999" s="1" t="str">
        <f>IFERROR(__xludf.DUMMYFUNCTION("""COMPUTED_VALUE"""),"#VALUE!")</f>
        <v>#VALUE!</v>
      </c>
      <c r="B12999" s="4"/>
      <c r="C12999" s="1" t="str">
        <f>IFERROR(__xludf.DUMMYFUNCTION("""COMPUTED_VALUE"""),"#N/A")</f>
        <v>#N/A</v>
      </c>
      <c r="D12999" s="1"/>
      <c r="E12999" s="1"/>
      <c r="F12999" s="1"/>
      <c r="G12999" s="1"/>
      <c r="H12999" s="2">
        <f>IFERROR(__xludf.DUMMYFUNCTION("""COMPUTED_VALUE"""),0.0)</f>
        <v>0</v>
      </c>
      <c r="I12999" s="5"/>
      <c r="J12999" s="1" t="str">
        <f>IFERROR(__xludf.DUMMYFUNCTION("""COMPUTED_VALUE"""),"#N/A")</f>
        <v>#N/A</v>
      </c>
      <c r="K12999" s="1" t="str">
        <f>IFERROR(__xludf.DUMMYFUNCTION("""COMPUTED_VALUE"""),"#N/A")</f>
        <v>#N/A</v>
      </c>
      <c r="L12999" s="1" t="str">
        <f>IFERROR(__xludf.DUMMYFUNCTION("""COMPUTED_VALUE"""),"#N/A")</f>
        <v>#N/A</v>
      </c>
    </row>
    <row r="13000">
      <c r="A13000" s="1" t="str">
        <f>IFERROR(__xludf.DUMMYFUNCTION("""COMPUTED_VALUE"""),"#VALUE!")</f>
        <v>#VALUE!</v>
      </c>
      <c r="B13000" s="4"/>
      <c r="C13000" s="1" t="str">
        <f>IFERROR(__xludf.DUMMYFUNCTION("""COMPUTED_VALUE"""),"#N/A")</f>
        <v>#N/A</v>
      </c>
      <c r="D13000" s="1"/>
      <c r="E13000" s="1"/>
      <c r="F13000" s="1"/>
      <c r="G13000" s="1"/>
      <c r="H13000" s="2">
        <f>IFERROR(__xludf.DUMMYFUNCTION("""COMPUTED_VALUE"""),0.0)</f>
        <v>0</v>
      </c>
      <c r="I13000" s="5"/>
      <c r="J13000" s="1" t="str">
        <f>IFERROR(__xludf.DUMMYFUNCTION("""COMPUTED_VALUE"""),"#N/A")</f>
        <v>#N/A</v>
      </c>
      <c r="K13000" s="1" t="str">
        <f>IFERROR(__xludf.DUMMYFUNCTION("""COMPUTED_VALUE"""),"#N/A")</f>
        <v>#N/A</v>
      </c>
      <c r="L13000" s="1" t="str">
        <f>IFERROR(__xludf.DUMMYFUNCTION("""COMPUTED_VALUE"""),"#N/A")</f>
        <v>#N/A</v>
      </c>
    </row>
    <row r="13001">
      <c r="A13001" s="1" t="str">
        <f>IFERROR(__xludf.DUMMYFUNCTION("""COMPUTED_VALUE"""),"#VALUE!")</f>
        <v>#VALUE!</v>
      </c>
      <c r="B13001" s="4"/>
      <c r="C13001" s="1" t="str">
        <f>IFERROR(__xludf.DUMMYFUNCTION("""COMPUTED_VALUE"""),"#N/A")</f>
        <v>#N/A</v>
      </c>
      <c r="D13001" s="1"/>
      <c r="E13001" s="1"/>
      <c r="F13001" s="1"/>
      <c r="G13001" s="1"/>
      <c r="H13001" s="2">
        <f>IFERROR(__xludf.DUMMYFUNCTION("""COMPUTED_VALUE"""),0.0)</f>
        <v>0</v>
      </c>
      <c r="I13001" s="5"/>
      <c r="J13001" s="1" t="str">
        <f>IFERROR(__xludf.DUMMYFUNCTION("""COMPUTED_VALUE"""),"#N/A")</f>
        <v>#N/A</v>
      </c>
      <c r="K13001" s="1" t="str">
        <f>IFERROR(__xludf.DUMMYFUNCTION("""COMPUTED_VALUE"""),"#N/A")</f>
        <v>#N/A</v>
      </c>
      <c r="L13001" s="1" t="str">
        <f>IFERROR(__xludf.DUMMYFUNCTION("""COMPUTED_VALUE"""),"#N/A")</f>
        <v>#N/A</v>
      </c>
    </row>
    <row r="13002">
      <c r="A13002" s="1" t="str">
        <f>IFERROR(__xludf.DUMMYFUNCTION("""COMPUTED_VALUE"""),"#VALUE!")</f>
        <v>#VALUE!</v>
      </c>
      <c r="B13002" s="4"/>
      <c r="C13002" s="1" t="str">
        <f>IFERROR(__xludf.DUMMYFUNCTION("""COMPUTED_VALUE"""),"#N/A")</f>
        <v>#N/A</v>
      </c>
      <c r="D13002" s="1"/>
      <c r="E13002" s="1"/>
      <c r="F13002" s="1"/>
      <c r="G13002" s="1"/>
      <c r="H13002" s="2">
        <f>IFERROR(__xludf.DUMMYFUNCTION("""COMPUTED_VALUE"""),0.0)</f>
        <v>0</v>
      </c>
      <c r="I13002" s="5"/>
      <c r="J13002" s="1" t="str">
        <f>IFERROR(__xludf.DUMMYFUNCTION("""COMPUTED_VALUE"""),"#N/A")</f>
        <v>#N/A</v>
      </c>
      <c r="K13002" s="1" t="str">
        <f>IFERROR(__xludf.DUMMYFUNCTION("""COMPUTED_VALUE"""),"#N/A")</f>
        <v>#N/A</v>
      </c>
      <c r="L13002" s="1" t="str">
        <f>IFERROR(__xludf.DUMMYFUNCTION("""COMPUTED_VALUE"""),"#N/A")</f>
        <v>#N/A</v>
      </c>
    </row>
    <row r="13003">
      <c r="A13003" s="1" t="str">
        <f>IFERROR(__xludf.DUMMYFUNCTION("""COMPUTED_VALUE"""),"#VALUE!")</f>
        <v>#VALUE!</v>
      </c>
      <c r="B13003" s="4"/>
      <c r="C13003" s="1" t="str">
        <f>IFERROR(__xludf.DUMMYFUNCTION("""COMPUTED_VALUE"""),"#N/A")</f>
        <v>#N/A</v>
      </c>
      <c r="D13003" s="1"/>
      <c r="E13003" s="1"/>
      <c r="F13003" s="1"/>
      <c r="G13003" s="1"/>
      <c r="H13003" s="2">
        <f>IFERROR(__xludf.DUMMYFUNCTION("""COMPUTED_VALUE"""),0.0)</f>
        <v>0</v>
      </c>
      <c r="I13003" s="5"/>
      <c r="J13003" s="1" t="str">
        <f>IFERROR(__xludf.DUMMYFUNCTION("""COMPUTED_VALUE"""),"#N/A")</f>
        <v>#N/A</v>
      </c>
      <c r="K13003" s="1" t="str">
        <f>IFERROR(__xludf.DUMMYFUNCTION("""COMPUTED_VALUE"""),"#N/A")</f>
        <v>#N/A</v>
      </c>
      <c r="L13003" s="1" t="str">
        <f>IFERROR(__xludf.DUMMYFUNCTION("""COMPUTED_VALUE"""),"#N/A")</f>
        <v>#N/A</v>
      </c>
    </row>
    <row r="13004">
      <c r="A13004" s="1" t="str">
        <f>IFERROR(__xludf.DUMMYFUNCTION("""COMPUTED_VALUE"""),"#VALUE!")</f>
        <v>#VALUE!</v>
      </c>
      <c r="B13004" s="4"/>
      <c r="C13004" s="1" t="str">
        <f>IFERROR(__xludf.DUMMYFUNCTION("""COMPUTED_VALUE"""),"#N/A")</f>
        <v>#N/A</v>
      </c>
      <c r="D13004" s="1"/>
      <c r="E13004" s="1"/>
      <c r="F13004" s="1"/>
      <c r="G13004" s="1"/>
      <c r="H13004" s="2">
        <f>IFERROR(__xludf.DUMMYFUNCTION("""COMPUTED_VALUE"""),0.0)</f>
        <v>0</v>
      </c>
      <c r="I13004" s="5"/>
      <c r="J13004" s="1" t="str">
        <f>IFERROR(__xludf.DUMMYFUNCTION("""COMPUTED_VALUE"""),"#N/A")</f>
        <v>#N/A</v>
      </c>
      <c r="K13004" s="1" t="str">
        <f>IFERROR(__xludf.DUMMYFUNCTION("""COMPUTED_VALUE"""),"#N/A")</f>
        <v>#N/A</v>
      </c>
      <c r="L13004" s="1" t="str">
        <f>IFERROR(__xludf.DUMMYFUNCTION("""COMPUTED_VALUE"""),"#N/A")</f>
        <v>#N/A</v>
      </c>
    </row>
    <row r="13005">
      <c r="A13005" s="1" t="str">
        <f>IFERROR(__xludf.DUMMYFUNCTION("""COMPUTED_VALUE"""),"#VALUE!")</f>
        <v>#VALUE!</v>
      </c>
      <c r="B13005" s="4"/>
      <c r="C13005" s="1" t="str">
        <f>IFERROR(__xludf.DUMMYFUNCTION("""COMPUTED_VALUE"""),"#N/A")</f>
        <v>#N/A</v>
      </c>
      <c r="D13005" s="1"/>
      <c r="E13005" s="1"/>
      <c r="F13005" s="1"/>
      <c r="G13005" s="1"/>
      <c r="H13005" s="2">
        <f>IFERROR(__xludf.DUMMYFUNCTION("""COMPUTED_VALUE"""),0.0)</f>
        <v>0</v>
      </c>
      <c r="I13005" s="5"/>
      <c r="J13005" s="1" t="str">
        <f>IFERROR(__xludf.DUMMYFUNCTION("""COMPUTED_VALUE"""),"#N/A")</f>
        <v>#N/A</v>
      </c>
      <c r="K13005" s="1" t="str">
        <f>IFERROR(__xludf.DUMMYFUNCTION("""COMPUTED_VALUE"""),"#N/A")</f>
        <v>#N/A</v>
      </c>
      <c r="L13005" s="1" t="str">
        <f>IFERROR(__xludf.DUMMYFUNCTION("""COMPUTED_VALUE"""),"#N/A")</f>
        <v>#N/A</v>
      </c>
    </row>
    <row r="13006">
      <c r="A13006" s="1" t="str">
        <f>IFERROR(__xludf.DUMMYFUNCTION("""COMPUTED_VALUE"""),"#VALUE!")</f>
        <v>#VALUE!</v>
      </c>
      <c r="B13006" s="4"/>
      <c r="C13006" s="1" t="str">
        <f>IFERROR(__xludf.DUMMYFUNCTION("""COMPUTED_VALUE"""),"#N/A")</f>
        <v>#N/A</v>
      </c>
      <c r="D13006" s="1"/>
      <c r="E13006" s="1"/>
      <c r="F13006" s="1"/>
      <c r="G13006" s="1"/>
      <c r="H13006" s="2">
        <f>IFERROR(__xludf.DUMMYFUNCTION("""COMPUTED_VALUE"""),0.0)</f>
        <v>0</v>
      </c>
      <c r="I13006" s="5"/>
      <c r="J13006" s="1" t="str">
        <f>IFERROR(__xludf.DUMMYFUNCTION("""COMPUTED_VALUE"""),"#N/A")</f>
        <v>#N/A</v>
      </c>
      <c r="K13006" s="1" t="str">
        <f>IFERROR(__xludf.DUMMYFUNCTION("""COMPUTED_VALUE"""),"#N/A")</f>
        <v>#N/A</v>
      </c>
      <c r="L13006" s="1" t="str">
        <f>IFERROR(__xludf.DUMMYFUNCTION("""COMPUTED_VALUE"""),"#N/A")</f>
        <v>#N/A</v>
      </c>
    </row>
    <row r="13007">
      <c r="A13007" s="1" t="str">
        <f>IFERROR(__xludf.DUMMYFUNCTION("""COMPUTED_VALUE"""),"#VALUE!")</f>
        <v>#VALUE!</v>
      </c>
      <c r="B13007" s="4"/>
      <c r="C13007" s="1" t="str">
        <f>IFERROR(__xludf.DUMMYFUNCTION("""COMPUTED_VALUE"""),"#N/A")</f>
        <v>#N/A</v>
      </c>
      <c r="D13007" s="1"/>
      <c r="E13007" s="1"/>
      <c r="F13007" s="1"/>
      <c r="G13007" s="1"/>
      <c r="H13007" s="2">
        <f>IFERROR(__xludf.DUMMYFUNCTION("""COMPUTED_VALUE"""),0.0)</f>
        <v>0</v>
      </c>
      <c r="I13007" s="5"/>
      <c r="J13007" s="1" t="str">
        <f>IFERROR(__xludf.DUMMYFUNCTION("""COMPUTED_VALUE"""),"#N/A")</f>
        <v>#N/A</v>
      </c>
      <c r="K13007" s="1" t="str">
        <f>IFERROR(__xludf.DUMMYFUNCTION("""COMPUTED_VALUE"""),"#N/A")</f>
        <v>#N/A</v>
      </c>
      <c r="L13007" s="1" t="str">
        <f>IFERROR(__xludf.DUMMYFUNCTION("""COMPUTED_VALUE"""),"#N/A")</f>
        <v>#N/A</v>
      </c>
    </row>
    <row r="13008">
      <c r="A13008" s="1" t="str">
        <f>IFERROR(__xludf.DUMMYFUNCTION("""COMPUTED_VALUE"""),"#VALUE!")</f>
        <v>#VALUE!</v>
      </c>
      <c r="B13008" s="4"/>
      <c r="C13008" s="1" t="str">
        <f>IFERROR(__xludf.DUMMYFUNCTION("""COMPUTED_VALUE"""),"#N/A")</f>
        <v>#N/A</v>
      </c>
      <c r="D13008" s="1"/>
      <c r="E13008" s="1"/>
      <c r="F13008" s="1"/>
      <c r="G13008" s="1"/>
      <c r="H13008" s="2">
        <f>IFERROR(__xludf.DUMMYFUNCTION("""COMPUTED_VALUE"""),0.0)</f>
        <v>0</v>
      </c>
      <c r="I13008" s="5"/>
      <c r="J13008" s="1" t="str">
        <f>IFERROR(__xludf.DUMMYFUNCTION("""COMPUTED_VALUE"""),"#N/A")</f>
        <v>#N/A</v>
      </c>
      <c r="K13008" s="1" t="str">
        <f>IFERROR(__xludf.DUMMYFUNCTION("""COMPUTED_VALUE"""),"#N/A")</f>
        <v>#N/A</v>
      </c>
      <c r="L13008" s="1" t="str">
        <f>IFERROR(__xludf.DUMMYFUNCTION("""COMPUTED_VALUE"""),"#N/A")</f>
        <v>#N/A</v>
      </c>
    </row>
    <row r="13009">
      <c r="A13009" s="1" t="str">
        <f>IFERROR(__xludf.DUMMYFUNCTION("""COMPUTED_VALUE"""),"#VALUE!")</f>
        <v>#VALUE!</v>
      </c>
      <c r="B13009" s="4"/>
      <c r="C13009" s="1" t="str">
        <f>IFERROR(__xludf.DUMMYFUNCTION("""COMPUTED_VALUE"""),"#N/A")</f>
        <v>#N/A</v>
      </c>
      <c r="D13009" s="1"/>
      <c r="E13009" s="1"/>
      <c r="F13009" s="1"/>
      <c r="G13009" s="1"/>
      <c r="H13009" s="2">
        <f>IFERROR(__xludf.DUMMYFUNCTION("""COMPUTED_VALUE"""),0.0)</f>
        <v>0</v>
      </c>
      <c r="I13009" s="5"/>
      <c r="J13009" s="1" t="str">
        <f>IFERROR(__xludf.DUMMYFUNCTION("""COMPUTED_VALUE"""),"#N/A")</f>
        <v>#N/A</v>
      </c>
      <c r="K13009" s="1" t="str">
        <f>IFERROR(__xludf.DUMMYFUNCTION("""COMPUTED_VALUE"""),"#N/A")</f>
        <v>#N/A</v>
      </c>
      <c r="L13009" s="1" t="str">
        <f>IFERROR(__xludf.DUMMYFUNCTION("""COMPUTED_VALUE"""),"#N/A")</f>
        <v>#N/A</v>
      </c>
    </row>
    <row r="13010">
      <c r="A13010" s="1" t="str">
        <f>IFERROR(__xludf.DUMMYFUNCTION("""COMPUTED_VALUE"""),"#VALUE!")</f>
        <v>#VALUE!</v>
      </c>
      <c r="B13010" s="4"/>
      <c r="C13010" s="1" t="str">
        <f>IFERROR(__xludf.DUMMYFUNCTION("""COMPUTED_VALUE"""),"#N/A")</f>
        <v>#N/A</v>
      </c>
      <c r="D13010" s="1"/>
      <c r="E13010" s="1"/>
      <c r="F13010" s="1"/>
      <c r="G13010" s="1"/>
      <c r="H13010" s="2">
        <f>IFERROR(__xludf.DUMMYFUNCTION("""COMPUTED_VALUE"""),0.0)</f>
        <v>0</v>
      </c>
      <c r="I13010" s="5"/>
      <c r="J13010" s="1" t="str">
        <f>IFERROR(__xludf.DUMMYFUNCTION("""COMPUTED_VALUE"""),"#N/A")</f>
        <v>#N/A</v>
      </c>
      <c r="K13010" s="1" t="str">
        <f>IFERROR(__xludf.DUMMYFUNCTION("""COMPUTED_VALUE"""),"#N/A")</f>
        <v>#N/A</v>
      </c>
      <c r="L13010" s="1" t="str">
        <f>IFERROR(__xludf.DUMMYFUNCTION("""COMPUTED_VALUE"""),"#N/A")</f>
        <v>#N/A</v>
      </c>
    </row>
    <row r="13011">
      <c r="A13011" s="1" t="str">
        <f>IFERROR(__xludf.DUMMYFUNCTION("""COMPUTED_VALUE"""),"#VALUE!")</f>
        <v>#VALUE!</v>
      </c>
      <c r="B13011" s="4"/>
      <c r="C13011" s="1" t="str">
        <f>IFERROR(__xludf.DUMMYFUNCTION("""COMPUTED_VALUE"""),"#N/A")</f>
        <v>#N/A</v>
      </c>
      <c r="D13011" s="1"/>
      <c r="E13011" s="1"/>
      <c r="F13011" s="1"/>
      <c r="G13011" s="1"/>
      <c r="H13011" s="2">
        <f>IFERROR(__xludf.DUMMYFUNCTION("""COMPUTED_VALUE"""),0.0)</f>
        <v>0</v>
      </c>
      <c r="I13011" s="5"/>
      <c r="J13011" s="1" t="str">
        <f>IFERROR(__xludf.DUMMYFUNCTION("""COMPUTED_VALUE"""),"#N/A")</f>
        <v>#N/A</v>
      </c>
      <c r="K13011" s="1" t="str">
        <f>IFERROR(__xludf.DUMMYFUNCTION("""COMPUTED_VALUE"""),"#N/A")</f>
        <v>#N/A</v>
      </c>
      <c r="L13011" s="1" t="str">
        <f>IFERROR(__xludf.DUMMYFUNCTION("""COMPUTED_VALUE"""),"#N/A")</f>
        <v>#N/A</v>
      </c>
    </row>
    <row r="13012">
      <c r="A13012" s="1" t="str">
        <f>IFERROR(__xludf.DUMMYFUNCTION("""COMPUTED_VALUE"""),"#VALUE!")</f>
        <v>#VALUE!</v>
      </c>
      <c r="B13012" s="4"/>
      <c r="C13012" s="1" t="str">
        <f>IFERROR(__xludf.DUMMYFUNCTION("""COMPUTED_VALUE"""),"#N/A")</f>
        <v>#N/A</v>
      </c>
      <c r="D13012" s="1"/>
      <c r="E13012" s="1"/>
      <c r="F13012" s="1"/>
      <c r="G13012" s="1"/>
      <c r="H13012" s="2">
        <f>IFERROR(__xludf.DUMMYFUNCTION("""COMPUTED_VALUE"""),0.0)</f>
        <v>0</v>
      </c>
      <c r="I13012" s="5"/>
      <c r="J13012" s="1" t="str">
        <f>IFERROR(__xludf.DUMMYFUNCTION("""COMPUTED_VALUE"""),"#N/A")</f>
        <v>#N/A</v>
      </c>
      <c r="K13012" s="1" t="str">
        <f>IFERROR(__xludf.DUMMYFUNCTION("""COMPUTED_VALUE"""),"#N/A")</f>
        <v>#N/A</v>
      </c>
      <c r="L13012" s="1" t="str">
        <f>IFERROR(__xludf.DUMMYFUNCTION("""COMPUTED_VALUE"""),"#N/A")</f>
        <v>#N/A</v>
      </c>
    </row>
    <row r="13013">
      <c r="A13013" s="1" t="str">
        <f>IFERROR(__xludf.DUMMYFUNCTION("""COMPUTED_VALUE"""),"#VALUE!")</f>
        <v>#VALUE!</v>
      </c>
      <c r="B13013" s="4"/>
      <c r="C13013" s="1" t="str">
        <f>IFERROR(__xludf.DUMMYFUNCTION("""COMPUTED_VALUE"""),"#N/A")</f>
        <v>#N/A</v>
      </c>
      <c r="D13013" s="1"/>
      <c r="E13013" s="1"/>
      <c r="F13013" s="1"/>
      <c r="G13013" s="1"/>
      <c r="H13013" s="2">
        <f>IFERROR(__xludf.DUMMYFUNCTION("""COMPUTED_VALUE"""),0.0)</f>
        <v>0</v>
      </c>
      <c r="I13013" s="5"/>
      <c r="J13013" s="1" t="str">
        <f>IFERROR(__xludf.DUMMYFUNCTION("""COMPUTED_VALUE"""),"#N/A")</f>
        <v>#N/A</v>
      </c>
      <c r="K13013" s="1" t="str">
        <f>IFERROR(__xludf.DUMMYFUNCTION("""COMPUTED_VALUE"""),"#N/A")</f>
        <v>#N/A</v>
      </c>
      <c r="L13013" s="1" t="str">
        <f>IFERROR(__xludf.DUMMYFUNCTION("""COMPUTED_VALUE"""),"#N/A")</f>
        <v>#N/A</v>
      </c>
    </row>
    <row r="13014">
      <c r="A13014" s="1" t="str">
        <f>IFERROR(__xludf.DUMMYFUNCTION("""COMPUTED_VALUE"""),"#VALUE!")</f>
        <v>#VALUE!</v>
      </c>
      <c r="B13014" s="4"/>
      <c r="C13014" s="1" t="str">
        <f>IFERROR(__xludf.DUMMYFUNCTION("""COMPUTED_VALUE"""),"#N/A")</f>
        <v>#N/A</v>
      </c>
      <c r="D13014" s="1"/>
      <c r="E13014" s="1"/>
      <c r="F13014" s="1"/>
      <c r="G13014" s="1"/>
      <c r="H13014" s="2">
        <f>IFERROR(__xludf.DUMMYFUNCTION("""COMPUTED_VALUE"""),0.0)</f>
        <v>0</v>
      </c>
      <c r="I13014" s="5"/>
      <c r="J13014" s="1" t="str">
        <f>IFERROR(__xludf.DUMMYFUNCTION("""COMPUTED_VALUE"""),"#N/A")</f>
        <v>#N/A</v>
      </c>
      <c r="K13014" s="1" t="str">
        <f>IFERROR(__xludf.DUMMYFUNCTION("""COMPUTED_VALUE"""),"#N/A")</f>
        <v>#N/A</v>
      </c>
      <c r="L13014" s="1" t="str">
        <f>IFERROR(__xludf.DUMMYFUNCTION("""COMPUTED_VALUE"""),"#N/A")</f>
        <v>#N/A</v>
      </c>
    </row>
    <row r="13015">
      <c r="A13015" s="1" t="str">
        <f>IFERROR(__xludf.DUMMYFUNCTION("""COMPUTED_VALUE"""),"#VALUE!")</f>
        <v>#VALUE!</v>
      </c>
      <c r="B13015" s="4"/>
      <c r="C13015" s="1" t="str">
        <f>IFERROR(__xludf.DUMMYFUNCTION("""COMPUTED_VALUE"""),"#N/A")</f>
        <v>#N/A</v>
      </c>
      <c r="D13015" s="1"/>
      <c r="E13015" s="1"/>
      <c r="F13015" s="1"/>
      <c r="G13015" s="1"/>
      <c r="H13015" s="2">
        <f>IFERROR(__xludf.DUMMYFUNCTION("""COMPUTED_VALUE"""),0.0)</f>
        <v>0</v>
      </c>
      <c r="I13015" s="5"/>
      <c r="J13015" s="1" t="str">
        <f>IFERROR(__xludf.DUMMYFUNCTION("""COMPUTED_VALUE"""),"#N/A")</f>
        <v>#N/A</v>
      </c>
      <c r="K13015" s="1" t="str">
        <f>IFERROR(__xludf.DUMMYFUNCTION("""COMPUTED_VALUE"""),"#N/A")</f>
        <v>#N/A</v>
      </c>
      <c r="L13015" s="1" t="str">
        <f>IFERROR(__xludf.DUMMYFUNCTION("""COMPUTED_VALUE"""),"#N/A")</f>
        <v>#N/A</v>
      </c>
    </row>
    <row r="13016">
      <c r="A13016" s="1" t="str">
        <f>IFERROR(__xludf.DUMMYFUNCTION("""COMPUTED_VALUE"""),"#VALUE!")</f>
        <v>#VALUE!</v>
      </c>
      <c r="B13016" s="4"/>
      <c r="C13016" s="1" t="str">
        <f>IFERROR(__xludf.DUMMYFUNCTION("""COMPUTED_VALUE"""),"#N/A")</f>
        <v>#N/A</v>
      </c>
      <c r="D13016" s="1"/>
      <c r="E13016" s="1"/>
      <c r="F13016" s="1"/>
      <c r="G13016" s="1"/>
      <c r="H13016" s="2">
        <f>IFERROR(__xludf.DUMMYFUNCTION("""COMPUTED_VALUE"""),0.0)</f>
        <v>0</v>
      </c>
      <c r="I13016" s="5"/>
      <c r="J13016" s="1" t="str">
        <f>IFERROR(__xludf.DUMMYFUNCTION("""COMPUTED_VALUE"""),"#N/A")</f>
        <v>#N/A</v>
      </c>
      <c r="K13016" s="1" t="str">
        <f>IFERROR(__xludf.DUMMYFUNCTION("""COMPUTED_VALUE"""),"#N/A")</f>
        <v>#N/A</v>
      </c>
      <c r="L13016" s="1" t="str">
        <f>IFERROR(__xludf.DUMMYFUNCTION("""COMPUTED_VALUE"""),"#N/A")</f>
        <v>#N/A</v>
      </c>
    </row>
    <row r="13017">
      <c r="A13017" s="1" t="str">
        <f>IFERROR(__xludf.DUMMYFUNCTION("""COMPUTED_VALUE"""),"#VALUE!")</f>
        <v>#VALUE!</v>
      </c>
      <c r="B13017" s="4"/>
      <c r="C13017" s="1" t="str">
        <f>IFERROR(__xludf.DUMMYFUNCTION("""COMPUTED_VALUE"""),"#N/A")</f>
        <v>#N/A</v>
      </c>
      <c r="D13017" s="1"/>
      <c r="E13017" s="1"/>
      <c r="F13017" s="1"/>
      <c r="G13017" s="1"/>
      <c r="H13017" s="2">
        <f>IFERROR(__xludf.DUMMYFUNCTION("""COMPUTED_VALUE"""),0.0)</f>
        <v>0</v>
      </c>
      <c r="I13017" s="5"/>
      <c r="J13017" s="1" t="str">
        <f>IFERROR(__xludf.DUMMYFUNCTION("""COMPUTED_VALUE"""),"#N/A")</f>
        <v>#N/A</v>
      </c>
      <c r="K13017" s="1" t="str">
        <f>IFERROR(__xludf.DUMMYFUNCTION("""COMPUTED_VALUE"""),"#N/A")</f>
        <v>#N/A</v>
      </c>
      <c r="L13017" s="1" t="str">
        <f>IFERROR(__xludf.DUMMYFUNCTION("""COMPUTED_VALUE"""),"#N/A")</f>
        <v>#N/A</v>
      </c>
    </row>
    <row r="13018">
      <c r="A13018" s="1" t="str">
        <f>IFERROR(__xludf.DUMMYFUNCTION("""COMPUTED_VALUE"""),"#VALUE!")</f>
        <v>#VALUE!</v>
      </c>
      <c r="B13018" s="4"/>
      <c r="C13018" s="1" t="str">
        <f>IFERROR(__xludf.DUMMYFUNCTION("""COMPUTED_VALUE"""),"#N/A")</f>
        <v>#N/A</v>
      </c>
      <c r="D13018" s="1"/>
      <c r="E13018" s="1"/>
      <c r="F13018" s="1"/>
      <c r="G13018" s="1"/>
      <c r="H13018" s="2">
        <f>IFERROR(__xludf.DUMMYFUNCTION("""COMPUTED_VALUE"""),0.0)</f>
        <v>0</v>
      </c>
      <c r="I13018" s="5"/>
      <c r="J13018" s="1" t="str">
        <f>IFERROR(__xludf.DUMMYFUNCTION("""COMPUTED_VALUE"""),"#N/A")</f>
        <v>#N/A</v>
      </c>
      <c r="K13018" s="1" t="str">
        <f>IFERROR(__xludf.DUMMYFUNCTION("""COMPUTED_VALUE"""),"#N/A")</f>
        <v>#N/A</v>
      </c>
      <c r="L13018" s="1" t="str">
        <f>IFERROR(__xludf.DUMMYFUNCTION("""COMPUTED_VALUE"""),"#N/A")</f>
        <v>#N/A</v>
      </c>
    </row>
    <row r="13019">
      <c r="A13019" s="1" t="str">
        <f>IFERROR(__xludf.DUMMYFUNCTION("""COMPUTED_VALUE"""),"#VALUE!")</f>
        <v>#VALUE!</v>
      </c>
      <c r="B13019" s="4"/>
      <c r="C13019" s="1" t="str">
        <f>IFERROR(__xludf.DUMMYFUNCTION("""COMPUTED_VALUE"""),"#N/A")</f>
        <v>#N/A</v>
      </c>
      <c r="D13019" s="1"/>
      <c r="E13019" s="1"/>
      <c r="F13019" s="1"/>
      <c r="G13019" s="1"/>
      <c r="H13019" s="2">
        <f>IFERROR(__xludf.DUMMYFUNCTION("""COMPUTED_VALUE"""),0.0)</f>
        <v>0</v>
      </c>
      <c r="I13019" s="5"/>
      <c r="J13019" s="1" t="str">
        <f>IFERROR(__xludf.DUMMYFUNCTION("""COMPUTED_VALUE"""),"#N/A")</f>
        <v>#N/A</v>
      </c>
      <c r="K13019" s="1" t="str">
        <f>IFERROR(__xludf.DUMMYFUNCTION("""COMPUTED_VALUE"""),"#N/A")</f>
        <v>#N/A</v>
      </c>
      <c r="L13019" s="1" t="str">
        <f>IFERROR(__xludf.DUMMYFUNCTION("""COMPUTED_VALUE"""),"#N/A")</f>
        <v>#N/A</v>
      </c>
    </row>
    <row r="13020">
      <c r="A13020" s="1" t="str">
        <f>IFERROR(__xludf.DUMMYFUNCTION("""COMPUTED_VALUE"""),"#VALUE!")</f>
        <v>#VALUE!</v>
      </c>
      <c r="B13020" s="4"/>
      <c r="C13020" s="1" t="str">
        <f>IFERROR(__xludf.DUMMYFUNCTION("""COMPUTED_VALUE"""),"#N/A")</f>
        <v>#N/A</v>
      </c>
      <c r="D13020" s="1"/>
      <c r="E13020" s="1"/>
      <c r="F13020" s="1"/>
      <c r="G13020" s="1"/>
      <c r="H13020" s="2">
        <f>IFERROR(__xludf.DUMMYFUNCTION("""COMPUTED_VALUE"""),0.0)</f>
        <v>0</v>
      </c>
      <c r="I13020" s="5"/>
      <c r="J13020" s="1" t="str">
        <f>IFERROR(__xludf.DUMMYFUNCTION("""COMPUTED_VALUE"""),"#N/A")</f>
        <v>#N/A</v>
      </c>
      <c r="K13020" s="1" t="str">
        <f>IFERROR(__xludf.DUMMYFUNCTION("""COMPUTED_VALUE"""),"#N/A")</f>
        <v>#N/A</v>
      </c>
      <c r="L13020" s="1" t="str">
        <f>IFERROR(__xludf.DUMMYFUNCTION("""COMPUTED_VALUE"""),"#N/A")</f>
        <v>#N/A</v>
      </c>
    </row>
    <row r="13021">
      <c r="A13021" s="1" t="str">
        <f>IFERROR(__xludf.DUMMYFUNCTION("""COMPUTED_VALUE"""),"#VALUE!")</f>
        <v>#VALUE!</v>
      </c>
      <c r="B13021" s="4"/>
      <c r="C13021" s="1" t="str">
        <f>IFERROR(__xludf.DUMMYFUNCTION("""COMPUTED_VALUE"""),"#N/A")</f>
        <v>#N/A</v>
      </c>
      <c r="D13021" s="1"/>
      <c r="E13021" s="1"/>
      <c r="F13021" s="1"/>
      <c r="G13021" s="1"/>
      <c r="H13021" s="2">
        <f>IFERROR(__xludf.DUMMYFUNCTION("""COMPUTED_VALUE"""),0.0)</f>
        <v>0</v>
      </c>
      <c r="I13021" s="5"/>
      <c r="J13021" s="1" t="str">
        <f>IFERROR(__xludf.DUMMYFUNCTION("""COMPUTED_VALUE"""),"#N/A")</f>
        <v>#N/A</v>
      </c>
      <c r="K13021" s="1" t="str">
        <f>IFERROR(__xludf.DUMMYFUNCTION("""COMPUTED_VALUE"""),"#N/A")</f>
        <v>#N/A</v>
      </c>
      <c r="L13021" s="1" t="str">
        <f>IFERROR(__xludf.DUMMYFUNCTION("""COMPUTED_VALUE"""),"#N/A")</f>
        <v>#N/A</v>
      </c>
    </row>
    <row r="13022">
      <c r="A13022" s="1" t="str">
        <f>IFERROR(__xludf.DUMMYFUNCTION("""COMPUTED_VALUE"""),"#VALUE!")</f>
        <v>#VALUE!</v>
      </c>
      <c r="B13022" s="4"/>
      <c r="C13022" s="1" t="str">
        <f>IFERROR(__xludf.DUMMYFUNCTION("""COMPUTED_VALUE"""),"#N/A")</f>
        <v>#N/A</v>
      </c>
      <c r="D13022" s="1"/>
      <c r="E13022" s="1"/>
      <c r="F13022" s="1"/>
      <c r="G13022" s="1"/>
      <c r="H13022" s="2">
        <f>IFERROR(__xludf.DUMMYFUNCTION("""COMPUTED_VALUE"""),0.0)</f>
        <v>0</v>
      </c>
      <c r="I13022" s="5"/>
      <c r="J13022" s="1" t="str">
        <f>IFERROR(__xludf.DUMMYFUNCTION("""COMPUTED_VALUE"""),"#N/A")</f>
        <v>#N/A</v>
      </c>
      <c r="K13022" s="1" t="str">
        <f>IFERROR(__xludf.DUMMYFUNCTION("""COMPUTED_VALUE"""),"#N/A")</f>
        <v>#N/A</v>
      </c>
      <c r="L13022" s="1" t="str">
        <f>IFERROR(__xludf.DUMMYFUNCTION("""COMPUTED_VALUE"""),"#N/A")</f>
        <v>#N/A</v>
      </c>
    </row>
    <row r="13023">
      <c r="A13023" s="1" t="str">
        <f>IFERROR(__xludf.DUMMYFUNCTION("""COMPUTED_VALUE"""),"#VALUE!")</f>
        <v>#VALUE!</v>
      </c>
      <c r="B13023" s="4"/>
      <c r="C13023" s="1" t="str">
        <f>IFERROR(__xludf.DUMMYFUNCTION("""COMPUTED_VALUE"""),"#N/A")</f>
        <v>#N/A</v>
      </c>
      <c r="D13023" s="1"/>
      <c r="E13023" s="1"/>
      <c r="F13023" s="1"/>
      <c r="G13023" s="1"/>
      <c r="H13023" s="2">
        <f>IFERROR(__xludf.DUMMYFUNCTION("""COMPUTED_VALUE"""),0.0)</f>
        <v>0</v>
      </c>
      <c r="I13023" s="5"/>
      <c r="J13023" s="1" t="str">
        <f>IFERROR(__xludf.DUMMYFUNCTION("""COMPUTED_VALUE"""),"#N/A")</f>
        <v>#N/A</v>
      </c>
      <c r="K13023" s="1" t="str">
        <f>IFERROR(__xludf.DUMMYFUNCTION("""COMPUTED_VALUE"""),"#N/A")</f>
        <v>#N/A</v>
      </c>
      <c r="L13023" s="1" t="str">
        <f>IFERROR(__xludf.DUMMYFUNCTION("""COMPUTED_VALUE"""),"#N/A")</f>
        <v>#N/A</v>
      </c>
    </row>
    <row r="13024">
      <c r="A13024" s="1" t="str">
        <f>IFERROR(__xludf.DUMMYFUNCTION("""COMPUTED_VALUE"""),"#VALUE!")</f>
        <v>#VALUE!</v>
      </c>
      <c r="B13024" s="4"/>
      <c r="C13024" s="1" t="str">
        <f>IFERROR(__xludf.DUMMYFUNCTION("""COMPUTED_VALUE"""),"#N/A")</f>
        <v>#N/A</v>
      </c>
      <c r="D13024" s="1"/>
      <c r="E13024" s="1"/>
      <c r="F13024" s="1"/>
      <c r="G13024" s="1"/>
      <c r="H13024" s="2">
        <f>IFERROR(__xludf.DUMMYFUNCTION("""COMPUTED_VALUE"""),0.0)</f>
        <v>0</v>
      </c>
      <c r="I13024" s="5"/>
      <c r="J13024" s="1" t="str">
        <f>IFERROR(__xludf.DUMMYFUNCTION("""COMPUTED_VALUE"""),"#N/A")</f>
        <v>#N/A</v>
      </c>
      <c r="K13024" s="1" t="str">
        <f>IFERROR(__xludf.DUMMYFUNCTION("""COMPUTED_VALUE"""),"#N/A")</f>
        <v>#N/A</v>
      </c>
      <c r="L13024" s="1" t="str">
        <f>IFERROR(__xludf.DUMMYFUNCTION("""COMPUTED_VALUE"""),"#N/A")</f>
        <v>#N/A</v>
      </c>
    </row>
    <row r="13025">
      <c r="A13025" s="1" t="str">
        <f>IFERROR(__xludf.DUMMYFUNCTION("""COMPUTED_VALUE"""),"#VALUE!")</f>
        <v>#VALUE!</v>
      </c>
      <c r="B13025" s="4"/>
      <c r="C13025" s="1" t="str">
        <f>IFERROR(__xludf.DUMMYFUNCTION("""COMPUTED_VALUE"""),"#N/A")</f>
        <v>#N/A</v>
      </c>
      <c r="D13025" s="1"/>
      <c r="E13025" s="1"/>
      <c r="F13025" s="1"/>
      <c r="G13025" s="1"/>
      <c r="H13025" s="2">
        <f>IFERROR(__xludf.DUMMYFUNCTION("""COMPUTED_VALUE"""),0.0)</f>
        <v>0</v>
      </c>
      <c r="I13025" s="5"/>
      <c r="J13025" s="1" t="str">
        <f>IFERROR(__xludf.DUMMYFUNCTION("""COMPUTED_VALUE"""),"#N/A")</f>
        <v>#N/A</v>
      </c>
      <c r="K13025" s="1" t="str">
        <f>IFERROR(__xludf.DUMMYFUNCTION("""COMPUTED_VALUE"""),"#N/A")</f>
        <v>#N/A</v>
      </c>
      <c r="L13025" s="1" t="str">
        <f>IFERROR(__xludf.DUMMYFUNCTION("""COMPUTED_VALUE"""),"#N/A")</f>
        <v>#N/A</v>
      </c>
    </row>
    <row r="13026">
      <c r="A13026" s="1" t="str">
        <f>IFERROR(__xludf.DUMMYFUNCTION("""COMPUTED_VALUE"""),"#VALUE!")</f>
        <v>#VALUE!</v>
      </c>
      <c r="B13026" s="4"/>
      <c r="C13026" s="1" t="str">
        <f>IFERROR(__xludf.DUMMYFUNCTION("""COMPUTED_VALUE"""),"#N/A")</f>
        <v>#N/A</v>
      </c>
      <c r="D13026" s="1"/>
      <c r="E13026" s="1"/>
      <c r="F13026" s="1"/>
      <c r="G13026" s="1"/>
      <c r="H13026" s="2">
        <f>IFERROR(__xludf.DUMMYFUNCTION("""COMPUTED_VALUE"""),0.0)</f>
        <v>0</v>
      </c>
      <c r="I13026" s="5"/>
      <c r="J13026" s="1" t="str">
        <f>IFERROR(__xludf.DUMMYFUNCTION("""COMPUTED_VALUE"""),"#N/A")</f>
        <v>#N/A</v>
      </c>
      <c r="K13026" s="1" t="str">
        <f>IFERROR(__xludf.DUMMYFUNCTION("""COMPUTED_VALUE"""),"#N/A")</f>
        <v>#N/A</v>
      </c>
      <c r="L13026" s="1" t="str">
        <f>IFERROR(__xludf.DUMMYFUNCTION("""COMPUTED_VALUE"""),"#N/A")</f>
        <v>#N/A</v>
      </c>
    </row>
    <row r="13027">
      <c r="A13027" s="1" t="str">
        <f>IFERROR(__xludf.DUMMYFUNCTION("""COMPUTED_VALUE"""),"#VALUE!")</f>
        <v>#VALUE!</v>
      </c>
      <c r="B13027" s="4"/>
      <c r="C13027" s="1" t="str">
        <f>IFERROR(__xludf.DUMMYFUNCTION("""COMPUTED_VALUE"""),"#N/A")</f>
        <v>#N/A</v>
      </c>
      <c r="D13027" s="1"/>
      <c r="E13027" s="1"/>
      <c r="F13027" s="1"/>
      <c r="G13027" s="1"/>
      <c r="H13027" s="2">
        <f>IFERROR(__xludf.DUMMYFUNCTION("""COMPUTED_VALUE"""),0.0)</f>
        <v>0</v>
      </c>
      <c r="I13027" s="5"/>
      <c r="J13027" s="1" t="str">
        <f>IFERROR(__xludf.DUMMYFUNCTION("""COMPUTED_VALUE"""),"#N/A")</f>
        <v>#N/A</v>
      </c>
      <c r="K13027" s="1" t="str">
        <f>IFERROR(__xludf.DUMMYFUNCTION("""COMPUTED_VALUE"""),"#N/A")</f>
        <v>#N/A</v>
      </c>
      <c r="L13027" s="1" t="str">
        <f>IFERROR(__xludf.DUMMYFUNCTION("""COMPUTED_VALUE"""),"#N/A")</f>
        <v>#N/A</v>
      </c>
    </row>
    <row r="13028">
      <c r="A13028" s="1" t="str">
        <f>IFERROR(__xludf.DUMMYFUNCTION("""COMPUTED_VALUE"""),"#VALUE!")</f>
        <v>#VALUE!</v>
      </c>
      <c r="B13028" s="4"/>
      <c r="C13028" s="1" t="str">
        <f>IFERROR(__xludf.DUMMYFUNCTION("""COMPUTED_VALUE"""),"#N/A")</f>
        <v>#N/A</v>
      </c>
      <c r="D13028" s="1"/>
      <c r="E13028" s="1"/>
      <c r="F13028" s="1"/>
      <c r="G13028" s="1"/>
      <c r="H13028" s="2">
        <f>IFERROR(__xludf.DUMMYFUNCTION("""COMPUTED_VALUE"""),0.0)</f>
        <v>0</v>
      </c>
      <c r="I13028" s="5"/>
      <c r="J13028" s="1" t="str">
        <f>IFERROR(__xludf.DUMMYFUNCTION("""COMPUTED_VALUE"""),"#N/A")</f>
        <v>#N/A</v>
      </c>
      <c r="K13028" s="1" t="str">
        <f>IFERROR(__xludf.DUMMYFUNCTION("""COMPUTED_VALUE"""),"#N/A")</f>
        <v>#N/A</v>
      </c>
      <c r="L13028" s="1" t="str">
        <f>IFERROR(__xludf.DUMMYFUNCTION("""COMPUTED_VALUE"""),"#N/A")</f>
        <v>#N/A</v>
      </c>
    </row>
    <row r="13029">
      <c r="A13029" s="1" t="str">
        <f>IFERROR(__xludf.DUMMYFUNCTION("""COMPUTED_VALUE"""),"#VALUE!")</f>
        <v>#VALUE!</v>
      </c>
      <c r="B13029" s="4"/>
      <c r="C13029" s="1" t="str">
        <f>IFERROR(__xludf.DUMMYFUNCTION("""COMPUTED_VALUE"""),"#N/A")</f>
        <v>#N/A</v>
      </c>
      <c r="D13029" s="1"/>
      <c r="E13029" s="1"/>
      <c r="F13029" s="1"/>
      <c r="G13029" s="1"/>
      <c r="H13029" s="2">
        <f>IFERROR(__xludf.DUMMYFUNCTION("""COMPUTED_VALUE"""),0.0)</f>
        <v>0</v>
      </c>
      <c r="I13029" s="5"/>
      <c r="J13029" s="1" t="str">
        <f>IFERROR(__xludf.DUMMYFUNCTION("""COMPUTED_VALUE"""),"#N/A")</f>
        <v>#N/A</v>
      </c>
      <c r="K13029" s="1" t="str">
        <f>IFERROR(__xludf.DUMMYFUNCTION("""COMPUTED_VALUE"""),"#N/A")</f>
        <v>#N/A</v>
      </c>
      <c r="L13029" s="1" t="str">
        <f>IFERROR(__xludf.DUMMYFUNCTION("""COMPUTED_VALUE"""),"#N/A")</f>
        <v>#N/A</v>
      </c>
    </row>
    <row r="13030">
      <c r="A13030" s="1" t="str">
        <f>IFERROR(__xludf.DUMMYFUNCTION("""COMPUTED_VALUE"""),"#VALUE!")</f>
        <v>#VALUE!</v>
      </c>
      <c r="B13030" s="4"/>
      <c r="C13030" s="1" t="str">
        <f>IFERROR(__xludf.DUMMYFUNCTION("""COMPUTED_VALUE"""),"#N/A")</f>
        <v>#N/A</v>
      </c>
      <c r="D13030" s="1"/>
      <c r="E13030" s="1"/>
      <c r="F13030" s="1"/>
      <c r="G13030" s="1"/>
      <c r="H13030" s="2">
        <f>IFERROR(__xludf.DUMMYFUNCTION("""COMPUTED_VALUE"""),0.0)</f>
        <v>0</v>
      </c>
      <c r="I13030" s="5"/>
      <c r="J13030" s="1" t="str">
        <f>IFERROR(__xludf.DUMMYFUNCTION("""COMPUTED_VALUE"""),"#N/A")</f>
        <v>#N/A</v>
      </c>
      <c r="K13030" s="1" t="str">
        <f>IFERROR(__xludf.DUMMYFUNCTION("""COMPUTED_VALUE"""),"#N/A")</f>
        <v>#N/A</v>
      </c>
      <c r="L13030" s="1" t="str">
        <f>IFERROR(__xludf.DUMMYFUNCTION("""COMPUTED_VALUE"""),"#N/A")</f>
        <v>#N/A</v>
      </c>
    </row>
    <row r="13031">
      <c r="A13031" s="1" t="str">
        <f>IFERROR(__xludf.DUMMYFUNCTION("""COMPUTED_VALUE"""),"#VALUE!")</f>
        <v>#VALUE!</v>
      </c>
      <c r="B13031" s="4"/>
      <c r="C13031" s="1" t="str">
        <f>IFERROR(__xludf.DUMMYFUNCTION("""COMPUTED_VALUE"""),"#N/A")</f>
        <v>#N/A</v>
      </c>
      <c r="D13031" s="1"/>
      <c r="E13031" s="1"/>
      <c r="F13031" s="1"/>
      <c r="G13031" s="1"/>
      <c r="H13031" s="2">
        <f>IFERROR(__xludf.DUMMYFUNCTION("""COMPUTED_VALUE"""),0.0)</f>
        <v>0</v>
      </c>
      <c r="I13031" s="5"/>
      <c r="J13031" s="1" t="str">
        <f>IFERROR(__xludf.DUMMYFUNCTION("""COMPUTED_VALUE"""),"#N/A")</f>
        <v>#N/A</v>
      </c>
      <c r="K13031" s="1" t="str">
        <f>IFERROR(__xludf.DUMMYFUNCTION("""COMPUTED_VALUE"""),"#N/A")</f>
        <v>#N/A</v>
      </c>
      <c r="L13031" s="1" t="str">
        <f>IFERROR(__xludf.DUMMYFUNCTION("""COMPUTED_VALUE"""),"#N/A")</f>
        <v>#N/A</v>
      </c>
    </row>
    <row r="13032">
      <c r="A13032" s="1" t="str">
        <f>IFERROR(__xludf.DUMMYFUNCTION("""COMPUTED_VALUE"""),"#VALUE!")</f>
        <v>#VALUE!</v>
      </c>
      <c r="B13032" s="4"/>
      <c r="C13032" s="1" t="str">
        <f>IFERROR(__xludf.DUMMYFUNCTION("""COMPUTED_VALUE"""),"#N/A")</f>
        <v>#N/A</v>
      </c>
      <c r="D13032" s="1"/>
      <c r="E13032" s="1"/>
      <c r="F13032" s="1"/>
      <c r="G13032" s="1"/>
      <c r="H13032" s="2">
        <f>IFERROR(__xludf.DUMMYFUNCTION("""COMPUTED_VALUE"""),0.0)</f>
        <v>0</v>
      </c>
      <c r="I13032" s="5"/>
      <c r="J13032" s="1" t="str">
        <f>IFERROR(__xludf.DUMMYFUNCTION("""COMPUTED_VALUE"""),"#N/A")</f>
        <v>#N/A</v>
      </c>
      <c r="K13032" s="1" t="str">
        <f>IFERROR(__xludf.DUMMYFUNCTION("""COMPUTED_VALUE"""),"#N/A")</f>
        <v>#N/A</v>
      </c>
      <c r="L13032" s="1" t="str">
        <f>IFERROR(__xludf.DUMMYFUNCTION("""COMPUTED_VALUE"""),"#N/A")</f>
        <v>#N/A</v>
      </c>
    </row>
    <row r="13033">
      <c r="A13033" s="1" t="str">
        <f>IFERROR(__xludf.DUMMYFUNCTION("""COMPUTED_VALUE"""),"#VALUE!")</f>
        <v>#VALUE!</v>
      </c>
      <c r="B13033" s="4"/>
      <c r="C13033" s="1" t="str">
        <f>IFERROR(__xludf.DUMMYFUNCTION("""COMPUTED_VALUE"""),"#N/A")</f>
        <v>#N/A</v>
      </c>
      <c r="D13033" s="1"/>
      <c r="E13033" s="1"/>
      <c r="F13033" s="1"/>
      <c r="G13033" s="1"/>
      <c r="H13033" s="2">
        <f>IFERROR(__xludf.DUMMYFUNCTION("""COMPUTED_VALUE"""),0.0)</f>
        <v>0</v>
      </c>
      <c r="I13033" s="5"/>
      <c r="J13033" s="1" t="str">
        <f>IFERROR(__xludf.DUMMYFUNCTION("""COMPUTED_VALUE"""),"#N/A")</f>
        <v>#N/A</v>
      </c>
      <c r="K13033" s="1" t="str">
        <f>IFERROR(__xludf.DUMMYFUNCTION("""COMPUTED_VALUE"""),"#N/A")</f>
        <v>#N/A</v>
      </c>
      <c r="L13033" s="1" t="str">
        <f>IFERROR(__xludf.DUMMYFUNCTION("""COMPUTED_VALUE"""),"#N/A")</f>
        <v>#N/A</v>
      </c>
    </row>
    <row r="13034">
      <c r="A13034" s="1" t="str">
        <f>IFERROR(__xludf.DUMMYFUNCTION("""COMPUTED_VALUE"""),"#VALUE!")</f>
        <v>#VALUE!</v>
      </c>
      <c r="B13034" s="4"/>
      <c r="C13034" s="1" t="str">
        <f>IFERROR(__xludf.DUMMYFUNCTION("""COMPUTED_VALUE"""),"#N/A")</f>
        <v>#N/A</v>
      </c>
      <c r="D13034" s="1"/>
      <c r="E13034" s="1"/>
      <c r="F13034" s="1"/>
      <c r="G13034" s="1"/>
      <c r="H13034" s="2">
        <f>IFERROR(__xludf.DUMMYFUNCTION("""COMPUTED_VALUE"""),0.0)</f>
        <v>0</v>
      </c>
      <c r="I13034" s="5"/>
      <c r="J13034" s="1" t="str">
        <f>IFERROR(__xludf.DUMMYFUNCTION("""COMPUTED_VALUE"""),"#N/A")</f>
        <v>#N/A</v>
      </c>
      <c r="K13034" s="1" t="str">
        <f>IFERROR(__xludf.DUMMYFUNCTION("""COMPUTED_VALUE"""),"#N/A")</f>
        <v>#N/A</v>
      </c>
      <c r="L13034" s="1" t="str">
        <f>IFERROR(__xludf.DUMMYFUNCTION("""COMPUTED_VALUE"""),"#N/A")</f>
        <v>#N/A</v>
      </c>
    </row>
    <row r="13035">
      <c r="A13035" s="1" t="str">
        <f>IFERROR(__xludf.DUMMYFUNCTION("""COMPUTED_VALUE"""),"#VALUE!")</f>
        <v>#VALUE!</v>
      </c>
      <c r="B13035" s="4"/>
      <c r="C13035" s="1" t="str">
        <f>IFERROR(__xludf.DUMMYFUNCTION("""COMPUTED_VALUE"""),"#N/A")</f>
        <v>#N/A</v>
      </c>
      <c r="D13035" s="1"/>
      <c r="E13035" s="1"/>
      <c r="F13035" s="1"/>
      <c r="G13035" s="1"/>
      <c r="H13035" s="2">
        <f>IFERROR(__xludf.DUMMYFUNCTION("""COMPUTED_VALUE"""),0.0)</f>
        <v>0</v>
      </c>
      <c r="I13035" s="5"/>
      <c r="J13035" s="1" t="str">
        <f>IFERROR(__xludf.DUMMYFUNCTION("""COMPUTED_VALUE"""),"#N/A")</f>
        <v>#N/A</v>
      </c>
      <c r="K13035" s="1" t="str">
        <f>IFERROR(__xludf.DUMMYFUNCTION("""COMPUTED_VALUE"""),"#N/A")</f>
        <v>#N/A</v>
      </c>
      <c r="L13035" s="1" t="str">
        <f>IFERROR(__xludf.DUMMYFUNCTION("""COMPUTED_VALUE"""),"#N/A")</f>
        <v>#N/A</v>
      </c>
    </row>
    <row r="13036">
      <c r="A13036" s="1" t="str">
        <f>IFERROR(__xludf.DUMMYFUNCTION("""COMPUTED_VALUE"""),"#VALUE!")</f>
        <v>#VALUE!</v>
      </c>
      <c r="B13036" s="4"/>
      <c r="C13036" s="1" t="str">
        <f>IFERROR(__xludf.DUMMYFUNCTION("""COMPUTED_VALUE"""),"#N/A")</f>
        <v>#N/A</v>
      </c>
      <c r="D13036" s="1"/>
      <c r="E13036" s="1"/>
      <c r="F13036" s="1"/>
      <c r="G13036" s="1"/>
      <c r="H13036" s="2">
        <f>IFERROR(__xludf.DUMMYFUNCTION("""COMPUTED_VALUE"""),0.0)</f>
        <v>0</v>
      </c>
      <c r="I13036" s="5"/>
      <c r="J13036" s="1" t="str">
        <f>IFERROR(__xludf.DUMMYFUNCTION("""COMPUTED_VALUE"""),"#N/A")</f>
        <v>#N/A</v>
      </c>
      <c r="K13036" s="1" t="str">
        <f>IFERROR(__xludf.DUMMYFUNCTION("""COMPUTED_VALUE"""),"#N/A")</f>
        <v>#N/A</v>
      </c>
      <c r="L13036" s="1" t="str">
        <f>IFERROR(__xludf.DUMMYFUNCTION("""COMPUTED_VALUE"""),"#N/A")</f>
        <v>#N/A</v>
      </c>
    </row>
    <row r="13037">
      <c r="A13037" s="1" t="str">
        <f>IFERROR(__xludf.DUMMYFUNCTION("""COMPUTED_VALUE"""),"#VALUE!")</f>
        <v>#VALUE!</v>
      </c>
      <c r="B13037" s="4"/>
      <c r="C13037" s="1" t="str">
        <f>IFERROR(__xludf.DUMMYFUNCTION("""COMPUTED_VALUE"""),"#N/A")</f>
        <v>#N/A</v>
      </c>
      <c r="D13037" s="1"/>
      <c r="E13037" s="1"/>
      <c r="F13037" s="1"/>
      <c r="G13037" s="1"/>
      <c r="H13037" s="2">
        <f>IFERROR(__xludf.DUMMYFUNCTION("""COMPUTED_VALUE"""),0.0)</f>
        <v>0</v>
      </c>
      <c r="I13037" s="5"/>
      <c r="J13037" s="1" t="str">
        <f>IFERROR(__xludf.DUMMYFUNCTION("""COMPUTED_VALUE"""),"#N/A")</f>
        <v>#N/A</v>
      </c>
      <c r="K13037" s="1" t="str">
        <f>IFERROR(__xludf.DUMMYFUNCTION("""COMPUTED_VALUE"""),"#N/A")</f>
        <v>#N/A</v>
      </c>
      <c r="L13037" s="1" t="str">
        <f>IFERROR(__xludf.DUMMYFUNCTION("""COMPUTED_VALUE"""),"#N/A")</f>
        <v>#N/A</v>
      </c>
    </row>
    <row r="13038">
      <c r="A13038" s="1" t="str">
        <f>IFERROR(__xludf.DUMMYFUNCTION("""COMPUTED_VALUE"""),"#VALUE!")</f>
        <v>#VALUE!</v>
      </c>
      <c r="B13038" s="4"/>
      <c r="C13038" s="1" t="str">
        <f>IFERROR(__xludf.DUMMYFUNCTION("""COMPUTED_VALUE"""),"#N/A")</f>
        <v>#N/A</v>
      </c>
      <c r="D13038" s="1"/>
      <c r="E13038" s="1"/>
      <c r="F13038" s="1"/>
      <c r="G13038" s="1"/>
      <c r="H13038" s="2">
        <f>IFERROR(__xludf.DUMMYFUNCTION("""COMPUTED_VALUE"""),0.0)</f>
        <v>0</v>
      </c>
      <c r="I13038" s="5"/>
      <c r="J13038" s="1" t="str">
        <f>IFERROR(__xludf.DUMMYFUNCTION("""COMPUTED_VALUE"""),"#N/A")</f>
        <v>#N/A</v>
      </c>
      <c r="K13038" s="1" t="str">
        <f>IFERROR(__xludf.DUMMYFUNCTION("""COMPUTED_VALUE"""),"#N/A")</f>
        <v>#N/A</v>
      </c>
      <c r="L13038" s="1" t="str">
        <f>IFERROR(__xludf.DUMMYFUNCTION("""COMPUTED_VALUE"""),"#N/A")</f>
        <v>#N/A</v>
      </c>
    </row>
    <row r="13039">
      <c r="A13039" s="1" t="str">
        <f>IFERROR(__xludf.DUMMYFUNCTION("""COMPUTED_VALUE"""),"#VALUE!")</f>
        <v>#VALUE!</v>
      </c>
      <c r="B13039" s="4"/>
      <c r="C13039" s="1" t="str">
        <f>IFERROR(__xludf.DUMMYFUNCTION("""COMPUTED_VALUE"""),"#N/A")</f>
        <v>#N/A</v>
      </c>
      <c r="D13039" s="1"/>
      <c r="E13039" s="1"/>
      <c r="F13039" s="1"/>
      <c r="G13039" s="1"/>
      <c r="H13039" s="2">
        <f>IFERROR(__xludf.DUMMYFUNCTION("""COMPUTED_VALUE"""),0.0)</f>
        <v>0</v>
      </c>
      <c r="I13039" s="5"/>
      <c r="J13039" s="1" t="str">
        <f>IFERROR(__xludf.DUMMYFUNCTION("""COMPUTED_VALUE"""),"#N/A")</f>
        <v>#N/A</v>
      </c>
      <c r="K13039" s="1" t="str">
        <f>IFERROR(__xludf.DUMMYFUNCTION("""COMPUTED_VALUE"""),"#N/A")</f>
        <v>#N/A</v>
      </c>
      <c r="L13039" s="1" t="str">
        <f>IFERROR(__xludf.DUMMYFUNCTION("""COMPUTED_VALUE"""),"#N/A")</f>
        <v>#N/A</v>
      </c>
    </row>
    <row r="13040">
      <c r="A13040" s="1" t="str">
        <f>IFERROR(__xludf.DUMMYFUNCTION("""COMPUTED_VALUE"""),"#VALUE!")</f>
        <v>#VALUE!</v>
      </c>
      <c r="B13040" s="4"/>
      <c r="C13040" s="1" t="str">
        <f>IFERROR(__xludf.DUMMYFUNCTION("""COMPUTED_VALUE"""),"#N/A")</f>
        <v>#N/A</v>
      </c>
      <c r="D13040" s="1"/>
      <c r="E13040" s="1"/>
      <c r="F13040" s="1"/>
      <c r="G13040" s="1"/>
      <c r="H13040" s="2">
        <f>IFERROR(__xludf.DUMMYFUNCTION("""COMPUTED_VALUE"""),0.0)</f>
        <v>0</v>
      </c>
      <c r="I13040" s="5"/>
      <c r="J13040" s="1" t="str">
        <f>IFERROR(__xludf.DUMMYFUNCTION("""COMPUTED_VALUE"""),"#N/A")</f>
        <v>#N/A</v>
      </c>
      <c r="K13040" s="1" t="str">
        <f>IFERROR(__xludf.DUMMYFUNCTION("""COMPUTED_VALUE"""),"#N/A")</f>
        <v>#N/A</v>
      </c>
      <c r="L13040" s="1" t="str">
        <f>IFERROR(__xludf.DUMMYFUNCTION("""COMPUTED_VALUE"""),"#N/A")</f>
        <v>#N/A</v>
      </c>
    </row>
    <row r="13041">
      <c r="A13041" s="1" t="str">
        <f>IFERROR(__xludf.DUMMYFUNCTION("""COMPUTED_VALUE"""),"#VALUE!")</f>
        <v>#VALUE!</v>
      </c>
      <c r="B13041" s="4"/>
      <c r="C13041" s="1" t="str">
        <f>IFERROR(__xludf.DUMMYFUNCTION("""COMPUTED_VALUE"""),"#N/A")</f>
        <v>#N/A</v>
      </c>
      <c r="D13041" s="1"/>
      <c r="E13041" s="1"/>
      <c r="F13041" s="1"/>
      <c r="G13041" s="1"/>
      <c r="H13041" s="2">
        <f>IFERROR(__xludf.DUMMYFUNCTION("""COMPUTED_VALUE"""),0.0)</f>
        <v>0</v>
      </c>
      <c r="I13041" s="5"/>
      <c r="J13041" s="1" t="str">
        <f>IFERROR(__xludf.DUMMYFUNCTION("""COMPUTED_VALUE"""),"#N/A")</f>
        <v>#N/A</v>
      </c>
      <c r="K13041" s="1" t="str">
        <f>IFERROR(__xludf.DUMMYFUNCTION("""COMPUTED_VALUE"""),"#N/A")</f>
        <v>#N/A</v>
      </c>
      <c r="L13041" s="1" t="str">
        <f>IFERROR(__xludf.DUMMYFUNCTION("""COMPUTED_VALUE"""),"#N/A")</f>
        <v>#N/A</v>
      </c>
    </row>
    <row r="13042">
      <c r="A13042" s="1" t="str">
        <f>IFERROR(__xludf.DUMMYFUNCTION("""COMPUTED_VALUE"""),"#VALUE!")</f>
        <v>#VALUE!</v>
      </c>
      <c r="B13042" s="4"/>
      <c r="C13042" s="1" t="str">
        <f>IFERROR(__xludf.DUMMYFUNCTION("""COMPUTED_VALUE"""),"#N/A")</f>
        <v>#N/A</v>
      </c>
      <c r="D13042" s="1"/>
      <c r="E13042" s="1"/>
      <c r="F13042" s="1"/>
      <c r="G13042" s="1"/>
      <c r="H13042" s="2">
        <f>IFERROR(__xludf.DUMMYFUNCTION("""COMPUTED_VALUE"""),0.0)</f>
        <v>0</v>
      </c>
      <c r="I13042" s="5"/>
      <c r="J13042" s="1" t="str">
        <f>IFERROR(__xludf.DUMMYFUNCTION("""COMPUTED_VALUE"""),"#N/A")</f>
        <v>#N/A</v>
      </c>
      <c r="K13042" s="1" t="str">
        <f>IFERROR(__xludf.DUMMYFUNCTION("""COMPUTED_VALUE"""),"#N/A")</f>
        <v>#N/A</v>
      </c>
      <c r="L13042" s="1" t="str">
        <f>IFERROR(__xludf.DUMMYFUNCTION("""COMPUTED_VALUE"""),"#N/A")</f>
        <v>#N/A</v>
      </c>
    </row>
    <row r="13043">
      <c r="A13043" s="1" t="str">
        <f>IFERROR(__xludf.DUMMYFUNCTION("""COMPUTED_VALUE"""),"#VALUE!")</f>
        <v>#VALUE!</v>
      </c>
      <c r="B13043" s="4"/>
      <c r="C13043" s="1" t="str">
        <f>IFERROR(__xludf.DUMMYFUNCTION("""COMPUTED_VALUE"""),"#N/A")</f>
        <v>#N/A</v>
      </c>
      <c r="D13043" s="1"/>
      <c r="E13043" s="1"/>
      <c r="F13043" s="1"/>
      <c r="G13043" s="1"/>
      <c r="H13043" s="2">
        <f>IFERROR(__xludf.DUMMYFUNCTION("""COMPUTED_VALUE"""),0.0)</f>
        <v>0</v>
      </c>
      <c r="I13043" s="5"/>
      <c r="J13043" s="1" t="str">
        <f>IFERROR(__xludf.DUMMYFUNCTION("""COMPUTED_VALUE"""),"#N/A")</f>
        <v>#N/A</v>
      </c>
      <c r="K13043" s="1" t="str">
        <f>IFERROR(__xludf.DUMMYFUNCTION("""COMPUTED_VALUE"""),"#N/A")</f>
        <v>#N/A</v>
      </c>
      <c r="L13043" s="1" t="str">
        <f>IFERROR(__xludf.DUMMYFUNCTION("""COMPUTED_VALUE"""),"#N/A")</f>
        <v>#N/A</v>
      </c>
    </row>
    <row r="13044">
      <c r="A13044" s="1" t="str">
        <f>IFERROR(__xludf.DUMMYFUNCTION("""COMPUTED_VALUE"""),"#VALUE!")</f>
        <v>#VALUE!</v>
      </c>
      <c r="B13044" s="4"/>
      <c r="C13044" s="1" t="str">
        <f>IFERROR(__xludf.DUMMYFUNCTION("""COMPUTED_VALUE"""),"#N/A")</f>
        <v>#N/A</v>
      </c>
      <c r="D13044" s="1"/>
      <c r="E13044" s="1"/>
      <c r="F13044" s="1"/>
      <c r="G13044" s="1"/>
      <c r="H13044" s="2">
        <f>IFERROR(__xludf.DUMMYFUNCTION("""COMPUTED_VALUE"""),0.0)</f>
        <v>0</v>
      </c>
      <c r="I13044" s="5"/>
      <c r="J13044" s="1" t="str">
        <f>IFERROR(__xludf.DUMMYFUNCTION("""COMPUTED_VALUE"""),"#N/A")</f>
        <v>#N/A</v>
      </c>
      <c r="K13044" s="1" t="str">
        <f>IFERROR(__xludf.DUMMYFUNCTION("""COMPUTED_VALUE"""),"#N/A")</f>
        <v>#N/A</v>
      </c>
      <c r="L13044" s="1" t="str">
        <f>IFERROR(__xludf.DUMMYFUNCTION("""COMPUTED_VALUE"""),"#N/A")</f>
        <v>#N/A</v>
      </c>
    </row>
    <row r="13045">
      <c r="A13045" s="1" t="str">
        <f>IFERROR(__xludf.DUMMYFUNCTION("""COMPUTED_VALUE"""),"#VALUE!")</f>
        <v>#VALUE!</v>
      </c>
      <c r="B13045" s="4"/>
      <c r="C13045" s="1" t="str">
        <f>IFERROR(__xludf.DUMMYFUNCTION("""COMPUTED_VALUE"""),"#N/A")</f>
        <v>#N/A</v>
      </c>
      <c r="D13045" s="1"/>
      <c r="E13045" s="1"/>
      <c r="F13045" s="1"/>
      <c r="G13045" s="1"/>
      <c r="H13045" s="2">
        <f>IFERROR(__xludf.DUMMYFUNCTION("""COMPUTED_VALUE"""),0.0)</f>
        <v>0</v>
      </c>
      <c r="I13045" s="5"/>
      <c r="J13045" s="1" t="str">
        <f>IFERROR(__xludf.DUMMYFUNCTION("""COMPUTED_VALUE"""),"#N/A")</f>
        <v>#N/A</v>
      </c>
      <c r="K13045" s="1" t="str">
        <f>IFERROR(__xludf.DUMMYFUNCTION("""COMPUTED_VALUE"""),"#N/A")</f>
        <v>#N/A</v>
      </c>
      <c r="L13045" s="1" t="str">
        <f>IFERROR(__xludf.DUMMYFUNCTION("""COMPUTED_VALUE"""),"#N/A")</f>
        <v>#N/A</v>
      </c>
    </row>
    <row r="13046">
      <c r="A13046" s="1" t="str">
        <f>IFERROR(__xludf.DUMMYFUNCTION("""COMPUTED_VALUE"""),"#VALUE!")</f>
        <v>#VALUE!</v>
      </c>
      <c r="B13046" s="4"/>
      <c r="C13046" s="1" t="str">
        <f>IFERROR(__xludf.DUMMYFUNCTION("""COMPUTED_VALUE"""),"#N/A")</f>
        <v>#N/A</v>
      </c>
      <c r="D13046" s="1"/>
      <c r="E13046" s="1"/>
      <c r="F13046" s="1"/>
      <c r="G13046" s="1"/>
      <c r="H13046" s="2">
        <f>IFERROR(__xludf.DUMMYFUNCTION("""COMPUTED_VALUE"""),0.0)</f>
        <v>0</v>
      </c>
      <c r="I13046" s="5"/>
      <c r="J13046" s="1" t="str">
        <f>IFERROR(__xludf.DUMMYFUNCTION("""COMPUTED_VALUE"""),"#N/A")</f>
        <v>#N/A</v>
      </c>
      <c r="K13046" s="1" t="str">
        <f>IFERROR(__xludf.DUMMYFUNCTION("""COMPUTED_VALUE"""),"#N/A")</f>
        <v>#N/A</v>
      </c>
      <c r="L13046" s="1" t="str">
        <f>IFERROR(__xludf.DUMMYFUNCTION("""COMPUTED_VALUE"""),"#N/A")</f>
        <v>#N/A</v>
      </c>
    </row>
    <row r="13047">
      <c r="A13047" s="1" t="str">
        <f>IFERROR(__xludf.DUMMYFUNCTION("""COMPUTED_VALUE"""),"#VALUE!")</f>
        <v>#VALUE!</v>
      </c>
      <c r="B13047" s="4"/>
      <c r="C13047" s="1" t="str">
        <f>IFERROR(__xludf.DUMMYFUNCTION("""COMPUTED_VALUE"""),"#N/A")</f>
        <v>#N/A</v>
      </c>
      <c r="D13047" s="1"/>
      <c r="E13047" s="1"/>
      <c r="F13047" s="1"/>
      <c r="G13047" s="1"/>
      <c r="H13047" s="2">
        <f>IFERROR(__xludf.DUMMYFUNCTION("""COMPUTED_VALUE"""),0.0)</f>
        <v>0</v>
      </c>
      <c r="I13047" s="5"/>
      <c r="J13047" s="1" t="str">
        <f>IFERROR(__xludf.DUMMYFUNCTION("""COMPUTED_VALUE"""),"#N/A")</f>
        <v>#N/A</v>
      </c>
      <c r="K13047" s="1" t="str">
        <f>IFERROR(__xludf.DUMMYFUNCTION("""COMPUTED_VALUE"""),"#N/A")</f>
        <v>#N/A</v>
      </c>
      <c r="L13047" s="1" t="str">
        <f>IFERROR(__xludf.DUMMYFUNCTION("""COMPUTED_VALUE"""),"#N/A")</f>
        <v>#N/A</v>
      </c>
    </row>
    <row r="13048">
      <c r="A13048" s="1" t="str">
        <f>IFERROR(__xludf.DUMMYFUNCTION("""COMPUTED_VALUE"""),"#VALUE!")</f>
        <v>#VALUE!</v>
      </c>
      <c r="B13048" s="4"/>
      <c r="C13048" s="1" t="str">
        <f>IFERROR(__xludf.DUMMYFUNCTION("""COMPUTED_VALUE"""),"#N/A")</f>
        <v>#N/A</v>
      </c>
      <c r="D13048" s="1"/>
      <c r="E13048" s="1"/>
      <c r="F13048" s="1"/>
      <c r="G13048" s="1"/>
      <c r="H13048" s="2">
        <f>IFERROR(__xludf.DUMMYFUNCTION("""COMPUTED_VALUE"""),0.0)</f>
        <v>0</v>
      </c>
      <c r="I13048" s="5"/>
      <c r="J13048" s="1" t="str">
        <f>IFERROR(__xludf.DUMMYFUNCTION("""COMPUTED_VALUE"""),"#N/A")</f>
        <v>#N/A</v>
      </c>
      <c r="K13048" s="1" t="str">
        <f>IFERROR(__xludf.DUMMYFUNCTION("""COMPUTED_VALUE"""),"#N/A")</f>
        <v>#N/A</v>
      </c>
      <c r="L13048" s="1" t="str">
        <f>IFERROR(__xludf.DUMMYFUNCTION("""COMPUTED_VALUE"""),"#N/A")</f>
        <v>#N/A</v>
      </c>
    </row>
    <row r="13049">
      <c r="A13049" s="1" t="str">
        <f>IFERROR(__xludf.DUMMYFUNCTION("""COMPUTED_VALUE"""),"#VALUE!")</f>
        <v>#VALUE!</v>
      </c>
      <c r="B13049" s="4"/>
      <c r="C13049" s="1" t="str">
        <f>IFERROR(__xludf.DUMMYFUNCTION("""COMPUTED_VALUE"""),"#N/A")</f>
        <v>#N/A</v>
      </c>
      <c r="D13049" s="1"/>
      <c r="E13049" s="1"/>
      <c r="F13049" s="1"/>
      <c r="G13049" s="1"/>
      <c r="H13049" s="2">
        <f>IFERROR(__xludf.DUMMYFUNCTION("""COMPUTED_VALUE"""),0.0)</f>
        <v>0</v>
      </c>
      <c r="I13049" s="5"/>
      <c r="J13049" s="1" t="str">
        <f>IFERROR(__xludf.DUMMYFUNCTION("""COMPUTED_VALUE"""),"#N/A")</f>
        <v>#N/A</v>
      </c>
      <c r="K13049" s="1" t="str">
        <f>IFERROR(__xludf.DUMMYFUNCTION("""COMPUTED_VALUE"""),"#N/A")</f>
        <v>#N/A</v>
      </c>
      <c r="L13049" s="1" t="str">
        <f>IFERROR(__xludf.DUMMYFUNCTION("""COMPUTED_VALUE"""),"#N/A")</f>
        <v>#N/A</v>
      </c>
    </row>
    <row r="13050">
      <c r="A13050" s="1" t="str">
        <f>IFERROR(__xludf.DUMMYFUNCTION("""COMPUTED_VALUE"""),"#VALUE!")</f>
        <v>#VALUE!</v>
      </c>
      <c r="B13050" s="4"/>
      <c r="C13050" s="1" t="str">
        <f>IFERROR(__xludf.DUMMYFUNCTION("""COMPUTED_VALUE"""),"#N/A")</f>
        <v>#N/A</v>
      </c>
      <c r="D13050" s="1"/>
      <c r="E13050" s="1"/>
      <c r="F13050" s="1"/>
      <c r="G13050" s="1"/>
      <c r="H13050" s="2">
        <f>IFERROR(__xludf.DUMMYFUNCTION("""COMPUTED_VALUE"""),0.0)</f>
        <v>0</v>
      </c>
      <c r="I13050" s="5"/>
      <c r="J13050" s="1" t="str">
        <f>IFERROR(__xludf.DUMMYFUNCTION("""COMPUTED_VALUE"""),"#N/A")</f>
        <v>#N/A</v>
      </c>
      <c r="K13050" s="1" t="str">
        <f>IFERROR(__xludf.DUMMYFUNCTION("""COMPUTED_VALUE"""),"#N/A")</f>
        <v>#N/A</v>
      </c>
      <c r="L13050" s="1" t="str">
        <f>IFERROR(__xludf.DUMMYFUNCTION("""COMPUTED_VALUE"""),"#N/A")</f>
        <v>#N/A</v>
      </c>
    </row>
    <row r="13051">
      <c r="A13051" s="1" t="str">
        <f>IFERROR(__xludf.DUMMYFUNCTION("""COMPUTED_VALUE"""),"#VALUE!")</f>
        <v>#VALUE!</v>
      </c>
      <c r="B13051" s="4"/>
      <c r="C13051" s="1" t="str">
        <f>IFERROR(__xludf.DUMMYFUNCTION("""COMPUTED_VALUE"""),"#N/A")</f>
        <v>#N/A</v>
      </c>
      <c r="D13051" s="1"/>
      <c r="E13051" s="1"/>
      <c r="F13051" s="1"/>
      <c r="G13051" s="1"/>
      <c r="H13051" s="2">
        <f>IFERROR(__xludf.DUMMYFUNCTION("""COMPUTED_VALUE"""),0.0)</f>
        <v>0</v>
      </c>
      <c r="I13051" s="5"/>
      <c r="J13051" s="1" t="str">
        <f>IFERROR(__xludf.DUMMYFUNCTION("""COMPUTED_VALUE"""),"#N/A")</f>
        <v>#N/A</v>
      </c>
      <c r="K13051" s="1" t="str">
        <f>IFERROR(__xludf.DUMMYFUNCTION("""COMPUTED_VALUE"""),"#N/A")</f>
        <v>#N/A</v>
      </c>
      <c r="L13051" s="1" t="str">
        <f>IFERROR(__xludf.DUMMYFUNCTION("""COMPUTED_VALUE"""),"#N/A")</f>
        <v>#N/A</v>
      </c>
    </row>
    <row r="13052">
      <c r="A13052" s="1" t="str">
        <f>IFERROR(__xludf.DUMMYFUNCTION("""COMPUTED_VALUE"""),"#VALUE!")</f>
        <v>#VALUE!</v>
      </c>
      <c r="B13052" s="4"/>
      <c r="C13052" s="1" t="str">
        <f>IFERROR(__xludf.DUMMYFUNCTION("""COMPUTED_VALUE"""),"#N/A")</f>
        <v>#N/A</v>
      </c>
      <c r="D13052" s="1"/>
      <c r="E13052" s="1"/>
      <c r="F13052" s="1"/>
      <c r="G13052" s="1"/>
      <c r="H13052" s="2">
        <f>IFERROR(__xludf.DUMMYFUNCTION("""COMPUTED_VALUE"""),0.0)</f>
        <v>0</v>
      </c>
      <c r="I13052" s="5"/>
      <c r="J13052" s="1" t="str">
        <f>IFERROR(__xludf.DUMMYFUNCTION("""COMPUTED_VALUE"""),"#N/A")</f>
        <v>#N/A</v>
      </c>
      <c r="K13052" s="1" t="str">
        <f>IFERROR(__xludf.DUMMYFUNCTION("""COMPUTED_VALUE"""),"#N/A")</f>
        <v>#N/A</v>
      </c>
      <c r="L13052" s="1" t="str">
        <f>IFERROR(__xludf.DUMMYFUNCTION("""COMPUTED_VALUE"""),"#N/A")</f>
        <v>#N/A</v>
      </c>
    </row>
    <row r="13053">
      <c r="A13053" s="1" t="str">
        <f>IFERROR(__xludf.DUMMYFUNCTION("""COMPUTED_VALUE"""),"#VALUE!")</f>
        <v>#VALUE!</v>
      </c>
      <c r="B13053" s="4"/>
      <c r="C13053" s="1" t="str">
        <f>IFERROR(__xludf.DUMMYFUNCTION("""COMPUTED_VALUE"""),"#N/A")</f>
        <v>#N/A</v>
      </c>
      <c r="D13053" s="1"/>
      <c r="E13053" s="1"/>
      <c r="F13053" s="1"/>
      <c r="G13053" s="1"/>
      <c r="H13053" s="2">
        <f>IFERROR(__xludf.DUMMYFUNCTION("""COMPUTED_VALUE"""),0.0)</f>
        <v>0</v>
      </c>
      <c r="I13053" s="5"/>
      <c r="J13053" s="1" t="str">
        <f>IFERROR(__xludf.DUMMYFUNCTION("""COMPUTED_VALUE"""),"#N/A")</f>
        <v>#N/A</v>
      </c>
      <c r="K13053" s="1" t="str">
        <f>IFERROR(__xludf.DUMMYFUNCTION("""COMPUTED_VALUE"""),"#N/A")</f>
        <v>#N/A</v>
      </c>
      <c r="L13053" s="1" t="str">
        <f>IFERROR(__xludf.DUMMYFUNCTION("""COMPUTED_VALUE"""),"#N/A")</f>
        <v>#N/A</v>
      </c>
    </row>
    <row r="13054">
      <c r="A13054" s="1" t="str">
        <f>IFERROR(__xludf.DUMMYFUNCTION("""COMPUTED_VALUE"""),"#VALUE!")</f>
        <v>#VALUE!</v>
      </c>
      <c r="B13054" s="4"/>
      <c r="C13054" s="1" t="str">
        <f>IFERROR(__xludf.DUMMYFUNCTION("""COMPUTED_VALUE"""),"#N/A")</f>
        <v>#N/A</v>
      </c>
      <c r="D13054" s="1"/>
      <c r="E13054" s="1"/>
      <c r="F13054" s="1"/>
      <c r="G13054" s="1"/>
      <c r="H13054" s="2">
        <f>IFERROR(__xludf.DUMMYFUNCTION("""COMPUTED_VALUE"""),0.0)</f>
        <v>0</v>
      </c>
      <c r="I13054" s="5"/>
      <c r="J13054" s="1" t="str">
        <f>IFERROR(__xludf.DUMMYFUNCTION("""COMPUTED_VALUE"""),"#N/A")</f>
        <v>#N/A</v>
      </c>
      <c r="K13054" s="1" t="str">
        <f>IFERROR(__xludf.DUMMYFUNCTION("""COMPUTED_VALUE"""),"#N/A")</f>
        <v>#N/A</v>
      </c>
      <c r="L13054" s="1" t="str">
        <f>IFERROR(__xludf.DUMMYFUNCTION("""COMPUTED_VALUE"""),"#N/A")</f>
        <v>#N/A</v>
      </c>
    </row>
    <row r="13055">
      <c r="A13055" s="1" t="str">
        <f>IFERROR(__xludf.DUMMYFUNCTION("""COMPUTED_VALUE"""),"#VALUE!")</f>
        <v>#VALUE!</v>
      </c>
      <c r="B13055" s="4"/>
      <c r="C13055" s="1" t="str">
        <f>IFERROR(__xludf.DUMMYFUNCTION("""COMPUTED_VALUE"""),"#N/A")</f>
        <v>#N/A</v>
      </c>
      <c r="D13055" s="1"/>
      <c r="E13055" s="1"/>
      <c r="F13055" s="1"/>
      <c r="G13055" s="1"/>
      <c r="H13055" s="2">
        <f>IFERROR(__xludf.DUMMYFUNCTION("""COMPUTED_VALUE"""),0.0)</f>
        <v>0</v>
      </c>
      <c r="I13055" s="5"/>
      <c r="J13055" s="1" t="str">
        <f>IFERROR(__xludf.DUMMYFUNCTION("""COMPUTED_VALUE"""),"#N/A")</f>
        <v>#N/A</v>
      </c>
      <c r="K13055" s="1" t="str">
        <f>IFERROR(__xludf.DUMMYFUNCTION("""COMPUTED_VALUE"""),"#N/A")</f>
        <v>#N/A</v>
      </c>
      <c r="L13055" s="1" t="str">
        <f>IFERROR(__xludf.DUMMYFUNCTION("""COMPUTED_VALUE"""),"#N/A")</f>
        <v>#N/A</v>
      </c>
    </row>
    <row r="13056">
      <c r="A13056" s="1" t="str">
        <f>IFERROR(__xludf.DUMMYFUNCTION("""COMPUTED_VALUE"""),"#VALUE!")</f>
        <v>#VALUE!</v>
      </c>
      <c r="B13056" s="4"/>
      <c r="C13056" s="1" t="str">
        <f>IFERROR(__xludf.DUMMYFUNCTION("""COMPUTED_VALUE"""),"#N/A")</f>
        <v>#N/A</v>
      </c>
      <c r="D13056" s="1"/>
      <c r="E13056" s="1"/>
      <c r="F13056" s="1"/>
      <c r="G13056" s="1"/>
      <c r="H13056" s="2">
        <f>IFERROR(__xludf.DUMMYFUNCTION("""COMPUTED_VALUE"""),0.0)</f>
        <v>0</v>
      </c>
      <c r="I13056" s="5"/>
      <c r="J13056" s="1" t="str">
        <f>IFERROR(__xludf.DUMMYFUNCTION("""COMPUTED_VALUE"""),"#N/A")</f>
        <v>#N/A</v>
      </c>
      <c r="K13056" s="1" t="str">
        <f>IFERROR(__xludf.DUMMYFUNCTION("""COMPUTED_VALUE"""),"#N/A")</f>
        <v>#N/A</v>
      </c>
      <c r="L13056" s="1" t="str">
        <f>IFERROR(__xludf.DUMMYFUNCTION("""COMPUTED_VALUE"""),"#N/A")</f>
        <v>#N/A</v>
      </c>
    </row>
    <row r="13057">
      <c r="A13057" s="1" t="str">
        <f>IFERROR(__xludf.DUMMYFUNCTION("""COMPUTED_VALUE"""),"#VALUE!")</f>
        <v>#VALUE!</v>
      </c>
      <c r="B13057" s="4"/>
      <c r="C13057" s="1" t="str">
        <f>IFERROR(__xludf.DUMMYFUNCTION("""COMPUTED_VALUE"""),"#N/A")</f>
        <v>#N/A</v>
      </c>
      <c r="D13057" s="1"/>
      <c r="E13057" s="1"/>
      <c r="F13057" s="1"/>
      <c r="G13057" s="1"/>
      <c r="H13057" s="2">
        <f>IFERROR(__xludf.DUMMYFUNCTION("""COMPUTED_VALUE"""),0.0)</f>
        <v>0</v>
      </c>
      <c r="I13057" s="5"/>
      <c r="J13057" s="1" t="str">
        <f>IFERROR(__xludf.DUMMYFUNCTION("""COMPUTED_VALUE"""),"#N/A")</f>
        <v>#N/A</v>
      </c>
      <c r="K13057" s="1" t="str">
        <f>IFERROR(__xludf.DUMMYFUNCTION("""COMPUTED_VALUE"""),"#N/A")</f>
        <v>#N/A</v>
      </c>
      <c r="L13057" s="1" t="str">
        <f>IFERROR(__xludf.DUMMYFUNCTION("""COMPUTED_VALUE"""),"#N/A")</f>
        <v>#N/A</v>
      </c>
    </row>
    <row r="13058">
      <c r="A13058" s="1" t="str">
        <f>IFERROR(__xludf.DUMMYFUNCTION("""COMPUTED_VALUE"""),"#VALUE!")</f>
        <v>#VALUE!</v>
      </c>
      <c r="B13058" s="4"/>
      <c r="C13058" s="1" t="str">
        <f>IFERROR(__xludf.DUMMYFUNCTION("""COMPUTED_VALUE"""),"#N/A")</f>
        <v>#N/A</v>
      </c>
      <c r="D13058" s="1"/>
      <c r="E13058" s="1"/>
      <c r="F13058" s="1"/>
      <c r="G13058" s="1"/>
      <c r="H13058" s="2">
        <f>IFERROR(__xludf.DUMMYFUNCTION("""COMPUTED_VALUE"""),0.0)</f>
        <v>0</v>
      </c>
      <c r="I13058" s="5"/>
      <c r="J13058" s="1" t="str">
        <f>IFERROR(__xludf.DUMMYFUNCTION("""COMPUTED_VALUE"""),"#N/A")</f>
        <v>#N/A</v>
      </c>
      <c r="K13058" s="1" t="str">
        <f>IFERROR(__xludf.DUMMYFUNCTION("""COMPUTED_VALUE"""),"#N/A")</f>
        <v>#N/A</v>
      </c>
      <c r="L13058" s="1" t="str">
        <f>IFERROR(__xludf.DUMMYFUNCTION("""COMPUTED_VALUE"""),"#N/A")</f>
        <v>#N/A</v>
      </c>
    </row>
    <row r="13059">
      <c r="A13059" s="1" t="str">
        <f>IFERROR(__xludf.DUMMYFUNCTION("""COMPUTED_VALUE"""),"#VALUE!")</f>
        <v>#VALUE!</v>
      </c>
      <c r="B13059" s="4"/>
      <c r="C13059" s="1" t="str">
        <f>IFERROR(__xludf.DUMMYFUNCTION("""COMPUTED_VALUE"""),"#N/A")</f>
        <v>#N/A</v>
      </c>
      <c r="D13059" s="1"/>
      <c r="E13059" s="1"/>
      <c r="F13059" s="1"/>
      <c r="G13059" s="1"/>
      <c r="H13059" s="2">
        <f>IFERROR(__xludf.DUMMYFUNCTION("""COMPUTED_VALUE"""),0.0)</f>
        <v>0</v>
      </c>
      <c r="I13059" s="5"/>
      <c r="J13059" s="1" t="str">
        <f>IFERROR(__xludf.DUMMYFUNCTION("""COMPUTED_VALUE"""),"#N/A")</f>
        <v>#N/A</v>
      </c>
      <c r="K13059" s="1" t="str">
        <f>IFERROR(__xludf.DUMMYFUNCTION("""COMPUTED_VALUE"""),"#N/A")</f>
        <v>#N/A</v>
      </c>
      <c r="L13059" s="1" t="str">
        <f>IFERROR(__xludf.DUMMYFUNCTION("""COMPUTED_VALUE"""),"#N/A")</f>
        <v>#N/A</v>
      </c>
    </row>
    <row r="13060">
      <c r="A13060" s="1" t="str">
        <f>IFERROR(__xludf.DUMMYFUNCTION("""COMPUTED_VALUE"""),"#VALUE!")</f>
        <v>#VALUE!</v>
      </c>
      <c r="B13060" s="4"/>
      <c r="C13060" s="1" t="str">
        <f>IFERROR(__xludf.DUMMYFUNCTION("""COMPUTED_VALUE"""),"#N/A")</f>
        <v>#N/A</v>
      </c>
      <c r="D13060" s="1"/>
      <c r="E13060" s="1"/>
      <c r="F13060" s="1"/>
      <c r="G13060" s="1"/>
      <c r="H13060" s="2">
        <f>IFERROR(__xludf.DUMMYFUNCTION("""COMPUTED_VALUE"""),0.0)</f>
        <v>0</v>
      </c>
      <c r="I13060" s="5"/>
      <c r="J13060" s="1" t="str">
        <f>IFERROR(__xludf.DUMMYFUNCTION("""COMPUTED_VALUE"""),"#N/A")</f>
        <v>#N/A</v>
      </c>
      <c r="K13060" s="1" t="str">
        <f>IFERROR(__xludf.DUMMYFUNCTION("""COMPUTED_VALUE"""),"#N/A")</f>
        <v>#N/A</v>
      </c>
      <c r="L13060" s="1" t="str">
        <f>IFERROR(__xludf.DUMMYFUNCTION("""COMPUTED_VALUE"""),"#N/A")</f>
        <v>#N/A</v>
      </c>
    </row>
    <row r="13061">
      <c r="A13061" s="1" t="str">
        <f>IFERROR(__xludf.DUMMYFUNCTION("""COMPUTED_VALUE"""),"#VALUE!")</f>
        <v>#VALUE!</v>
      </c>
      <c r="B13061" s="4"/>
      <c r="C13061" s="1" t="str">
        <f>IFERROR(__xludf.DUMMYFUNCTION("""COMPUTED_VALUE"""),"#N/A")</f>
        <v>#N/A</v>
      </c>
      <c r="D13061" s="1"/>
      <c r="E13061" s="1"/>
      <c r="F13061" s="1"/>
      <c r="G13061" s="1"/>
      <c r="H13061" s="2">
        <f>IFERROR(__xludf.DUMMYFUNCTION("""COMPUTED_VALUE"""),0.0)</f>
        <v>0</v>
      </c>
      <c r="I13061" s="5"/>
      <c r="J13061" s="1" t="str">
        <f>IFERROR(__xludf.DUMMYFUNCTION("""COMPUTED_VALUE"""),"#N/A")</f>
        <v>#N/A</v>
      </c>
      <c r="K13061" s="1" t="str">
        <f>IFERROR(__xludf.DUMMYFUNCTION("""COMPUTED_VALUE"""),"#N/A")</f>
        <v>#N/A</v>
      </c>
      <c r="L13061" s="1" t="str">
        <f>IFERROR(__xludf.DUMMYFUNCTION("""COMPUTED_VALUE"""),"#N/A")</f>
        <v>#N/A</v>
      </c>
    </row>
    <row r="13062">
      <c r="A13062" s="1" t="str">
        <f>IFERROR(__xludf.DUMMYFUNCTION("""COMPUTED_VALUE"""),"#VALUE!")</f>
        <v>#VALUE!</v>
      </c>
      <c r="B13062" s="4"/>
      <c r="C13062" s="1" t="str">
        <f>IFERROR(__xludf.DUMMYFUNCTION("""COMPUTED_VALUE"""),"#N/A")</f>
        <v>#N/A</v>
      </c>
      <c r="D13062" s="1"/>
      <c r="E13062" s="1"/>
      <c r="F13062" s="1"/>
      <c r="G13062" s="1"/>
      <c r="H13062" s="2">
        <f>IFERROR(__xludf.DUMMYFUNCTION("""COMPUTED_VALUE"""),0.0)</f>
        <v>0</v>
      </c>
      <c r="I13062" s="5"/>
      <c r="J13062" s="1" t="str">
        <f>IFERROR(__xludf.DUMMYFUNCTION("""COMPUTED_VALUE"""),"#N/A")</f>
        <v>#N/A</v>
      </c>
      <c r="K13062" s="1" t="str">
        <f>IFERROR(__xludf.DUMMYFUNCTION("""COMPUTED_VALUE"""),"#N/A")</f>
        <v>#N/A</v>
      </c>
      <c r="L13062" s="1" t="str">
        <f>IFERROR(__xludf.DUMMYFUNCTION("""COMPUTED_VALUE"""),"#N/A")</f>
        <v>#N/A</v>
      </c>
    </row>
    <row r="13063">
      <c r="A13063" s="1" t="str">
        <f>IFERROR(__xludf.DUMMYFUNCTION("""COMPUTED_VALUE"""),"#VALUE!")</f>
        <v>#VALUE!</v>
      </c>
      <c r="B13063" s="4"/>
      <c r="C13063" s="1" t="str">
        <f>IFERROR(__xludf.DUMMYFUNCTION("""COMPUTED_VALUE"""),"#N/A")</f>
        <v>#N/A</v>
      </c>
      <c r="D13063" s="1"/>
      <c r="E13063" s="1"/>
      <c r="F13063" s="1"/>
      <c r="G13063" s="1"/>
      <c r="H13063" s="2">
        <f>IFERROR(__xludf.DUMMYFUNCTION("""COMPUTED_VALUE"""),0.0)</f>
        <v>0</v>
      </c>
      <c r="I13063" s="5"/>
      <c r="J13063" s="1" t="str">
        <f>IFERROR(__xludf.DUMMYFUNCTION("""COMPUTED_VALUE"""),"#N/A")</f>
        <v>#N/A</v>
      </c>
      <c r="K13063" s="1" t="str">
        <f>IFERROR(__xludf.DUMMYFUNCTION("""COMPUTED_VALUE"""),"#N/A")</f>
        <v>#N/A</v>
      </c>
      <c r="L13063" s="1" t="str">
        <f>IFERROR(__xludf.DUMMYFUNCTION("""COMPUTED_VALUE"""),"#N/A")</f>
        <v>#N/A</v>
      </c>
    </row>
    <row r="13064">
      <c r="A13064" s="1" t="str">
        <f>IFERROR(__xludf.DUMMYFUNCTION("""COMPUTED_VALUE"""),"#VALUE!")</f>
        <v>#VALUE!</v>
      </c>
      <c r="B13064" s="4"/>
      <c r="C13064" s="1" t="str">
        <f>IFERROR(__xludf.DUMMYFUNCTION("""COMPUTED_VALUE"""),"#N/A")</f>
        <v>#N/A</v>
      </c>
      <c r="D13064" s="1"/>
      <c r="E13064" s="1"/>
      <c r="F13064" s="1"/>
      <c r="G13064" s="1"/>
      <c r="H13064" s="2">
        <f>IFERROR(__xludf.DUMMYFUNCTION("""COMPUTED_VALUE"""),0.0)</f>
        <v>0</v>
      </c>
      <c r="I13064" s="5"/>
      <c r="J13064" s="1" t="str">
        <f>IFERROR(__xludf.DUMMYFUNCTION("""COMPUTED_VALUE"""),"#N/A")</f>
        <v>#N/A</v>
      </c>
      <c r="K13064" s="1" t="str">
        <f>IFERROR(__xludf.DUMMYFUNCTION("""COMPUTED_VALUE"""),"#N/A")</f>
        <v>#N/A</v>
      </c>
      <c r="L13064" s="1" t="str">
        <f>IFERROR(__xludf.DUMMYFUNCTION("""COMPUTED_VALUE"""),"#N/A")</f>
        <v>#N/A</v>
      </c>
    </row>
    <row r="13065">
      <c r="A13065" s="1" t="str">
        <f>IFERROR(__xludf.DUMMYFUNCTION("""COMPUTED_VALUE"""),"#VALUE!")</f>
        <v>#VALUE!</v>
      </c>
      <c r="B13065" s="4"/>
      <c r="C13065" s="1" t="str">
        <f>IFERROR(__xludf.DUMMYFUNCTION("""COMPUTED_VALUE"""),"#N/A")</f>
        <v>#N/A</v>
      </c>
      <c r="D13065" s="1"/>
      <c r="E13065" s="1"/>
      <c r="F13065" s="1"/>
      <c r="G13065" s="1"/>
      <c r="H13065" s="2">
        <f>IFERROR(__xludf.DUMMYFUNCTION("""COMPUTED_VALUE"""),0.0)</f>
        <v>0</v>
      </c>
      <c r="I13065" s="5"/>
      <c r="J13065" s="1" t="str">
        <f>IFERROR(__xludf.DUMMYFUNCTION("""COMPUTED_VALUE"""),"#N/A")</f>
        <v>#N/A</v>
      </c>
      <c r="K13065" s="1" t="str">
        <f>IFERROR(__xludf.DUMMYFUNCTION("""COMPUTED_VALUE"""),"#N/A")</f>
        <v>#N/A</v>
      </c>
      <c r="L13065" s="1" t="str">
        <f>IFERROR(__xludf.DUMMYFUNCTION("""COMPUTED_VALUE"""),"#N/A")</f>
        <v>#N/A</v>
      </c>
    </row>
    <row r="13066">
      <c r="A13066" s="1" t="str">
        <f>IFERROR(__xludf.DUMMYFUNCTION("""COMPUTED_VALUE"""),"#VALUE!")</f>
        <v>#VALUE!</v>
      </c>
      <c r="B13066" s="4"/>
      <c r="C13066" s="1" t="str">
        <f>IFERROR(__xludf.DUMMYFUNCTION("""COMPUTED_VALUE"""),"#N/A")</f>
        <v>#N/A</v>
      </c>
      <c r="D13066" s="1"/>
      <c r="E13066" s="1"/>
      <c r="F13066" s="1"/>
      <c r="G13066" s="1"/>
      <c r="H13066" s="2">
        <f>IFERROR(__xludf.DUMMYFUNCTION("""COMPUTED_VALUE"""),0.0)</f>
        <v>0</v>
      </c>
      <c r="I13066" s="5"/>
      <c r="J13066" s="1" t="str">
        <f>IFERROR(__xludf.DUMMYFUNCTION("""COMPUTED_VALUE"""),"#N/A")</f>
        <v>#N/A</v>
      </c>
      <c r="K13066" s="1" t="str">
        <f>IFERROR(__xludf.DUMMYFUNCTION("""COMPUTED_VALUE"""),"#N/A")</f>
        <v>#N/A</v>
      </c>
      <c r="L13066" s="1" t="str">
        <f>IFERROR(__xludf.DUMMYFUNCTION("""COMPUTED_VALUE"""),"#N/A")</f>
        <v>#N/A</v>
      </c>
    </row>
    <row r="13067">
      <c r="A13067" s="1" t="str">
        <f>IFERROR(__xludf.DUMMYFUNCTION("""COMPUTED_VALUE"""),"#VALUE!")</f>
        <v>#VALUE!</v>
      </c>
      <c r="B13067" s="4"/>
      <c r="C13067" s="1" t="str">
        <f>IFERROR(__xludf.DUMMYFUNCTION("""COMPUTED_VALUE"""),"#N/A")</f>
        <v>#N/A</v>
      </c>
      <c r="D13067" s="1"/>
      <c r="E13067" s="1"/>
      <c r="F13067" s="1"/>
      <c r="G13067" s="1"/>
      <c r="H13067" s="2">
        <f>IFERROR(__xludf.DUMMYFUNCTION("""COMPUTED_VALUE"""),0.0)</f>
        <v>0</v>
      </c>
      <c r="I13067" s="5"/>
      <c r="J13067" s="1" t="str">
        <f>IFERROR(__xludf.DUMMYFUNCTION("""COMPUTED_VALUE"""),"#N/A")</f>
        <v>#N/A</v>
      </c>
      <c r="K13067" s="1" t="str">
        <f>IFERROR(__xludf.DUMMYFUNCTION("""COMPUTED_VALUE"""),"#N/A")</f>
        <v>#N/A</v>
      </c>
      <c r="L13067" s="1" t="str">
        <f>IFERROR(__xludf.DUMMYFUNCTION("""COMPUTED_VALUE"""),"#N/A")</f>
        <v>#N/A</v>
      </c>
    </row>
    <row r="13068">
      <c r="A13068" s="1" t="str">
        <f>IFERROR(__xludf.DUMMYFUNCTION("""COMPUTED_VALUE"""),"#VALUE!")</f>
        <v>#VALUE!</v>
      </c>
      <c r="B13068" s="4"/>
      <c r="C13068" s="1" t="str">
        <f>IFERROR(__xludf.DUMMYFUNCTION("""COMPUTED_VALUE"""),"#N/A")</f>
        <v>#N/A</v>
      </c>
      <c r="D13068" s="1"/>
      <c r="E13068" s="1"/>
      <c r="F13068" s="1"/>
      <c r="G13068" s="1"/>
      <c r="H13068" s="2">
        <f>IFERROR(__xludf.DUMMYFUNCTION("""COMPUTED_VALUE"""),0.0)</f>
        <v>0</v>
      </c>
      <c r="I13068" s="5"/>
      <c r="J13068" s="1" t="str">
        <f>IFERROR(__xludf.DUMMYFUNCTION("""COMPUTED_VALUE"""),"#N/A")</f>
        <v>#N/A</v>
      </c>
      <c r="K13068" s="1" t="str">
        <f>IFERROR(__xludf.DUMMYFUNCTION("""COMPUTED_VALUE"""),"#N/A")</f>
        <v>#N/A</v>
      </c>
      <c r="L13068" s="1" t="str">
        <f>IFERROR(__xludf.DUMMYFUNCTION("""COMPUTED_VALUE"""),"#N/A")</f>
        <v>#N/A</v>
      </c>
    </row>
    <row r="13069">
      <c r="A13069" s="1" t="str">
        <f>IFERROR(__xludf.DUMMYFUNCTION("""COMPUTED_VALUE"""),"#VALUE!")</f>
        <v>#VALUE!</v>
      </c>
      <c r="B13069" s="4"/>
      <c r="C13069" s="1" t="str">
        <f>IFERROR(__xludf.DUMMYFUNCTION("""COMPUTED_VALUE"""),"#N/A")</f>
        <v>#N/A</v>
      </c>
      <c r="D13069" s="1"/>
      <c r="E13069" s="1"/>
      <c r="F13069" s="1"/>
      <c r="G13069" s="1"/>
      <c r="H13069" s="2">
        <f>IFERROR(__xludf.DUMMYFUNCTION("""COMPUTED_VALUE"""),0.0)</f>
        <v>0</v>
      </c>
      <c r="I13069" s="5"/>
      <c r="J13069" s="1" t="str">
        <f>IFERROR(__xludf.DUMMYFUNCTION("""COMPUTED_VALUE"""),"#N/A")</f>
        <v>#N/A</v>
      </c>
      <c r="K13069" s="1" t="str">
        <f>IFERROR(__xludf.DUMMYFUNCTION("""COMPUTED_VALUE"""),"#N/A")</f>
        <v>#N/A</v>
      </c>
      <c r="L13069" s="1" t="str">
        <f>IFERROR(__xludf.DUMMYFUNCTION("""COMPUTED_VALUE"""),"#N/A")</f>
        <v>#N/A</v>
      </c>
    </row>
    <row r="13070">
      <c r="A13070" s="1" t="str">
        <f>IFERROR(__xludf.DUMMYFUNCTION("""COMPUTED_VALUE"""),"#VALUE!")</f>
        <v>#VALUE!</v>
      </c>
      <c r="B13070" s="4"/>
      <c r="C13070" s="1" t="str">
        <f>IFERROR(__xludf.DUMMYFUNCTION("""COMPUTED_VALUE"""),"#N/A")</f>
        <v>#N/A</v>
      </c>
      <c r="D13070" s="1"/>
      <c r="E13070" s="1"/>
      <c r="F13070" s="1"/>
      <c r="G13070" s="1"/>
      <c r="H13070" s="2">
        <f>IFERROR(__xludf.DUMMYFUNCTION("""COMPUTED_VALUE"""),0.0)</f>
        <v>0</v>
      </c>
      <c r="I13070" s="5"/>
      <c r="J13070" s="1" t="str">
        <f>IFERROR(__xludf.DUMMYFUNCTION("""COMPUTED_VALUE"""),"#N/A")</f>
        <v>#N/A</v>
      </c>
      <c r="K13070" s="1" t="str">
        <f>IFERROR(__xludf.DUMMYFUNCTION("""COMPUTED_VALUE"""),"#N/A")</f>
        <v>#N/A</v>
      </c>
      <c r="L13070" s="1" t="str">
        <f>IFERROR(__xludf.DUMMYFUNCTION("""COMPUTED_VALUE"""),"#N/A")</f>
        <v>#N/A</v>
      </c>
    </row>
    <row r="13071">
      <c r="A13071" s="1" t="str">
        <f>IFERROR(__xludf.DUMMYFUNCTION("""COMPUTED_VALUE"""),"#VALUE!")</f>
        <v>#VALUE!</v>
      </c>
      <c r="B13071" s="4"/>
      <c r="C13071" s="1" t="str">
        <f>IFERROR(__xludf.DUMMYFUNCTION("""COMPUTED_VALUE"""),"#N/A")</f>
        <v>#N/A</v>
      </c>
      <c r="D13071" s="1"/>
      <c r="E13071" s="1"/>
      <c r="F13071" s="1"/>
      <c r="G13071" s="1"/>
      <c r="H13071" s="2">
        <f>IFERROR(__xludf.DUMMYFUNCTION("""COMPUTED_VALUE"""),0.0)</f>
        <v>0</v>
      </c>
      <c r="I13071" s="5"/>
      <c r="J13071" s="1" t="str">
        <f>IFERROR(__xludf.DUMMYFUNCTION("""COMPUTED_VALUE"""),"#N/A")</f>
        <v>#N/A</v>
      </c>
      <c r="K13071" s="1" t="str">
        <f>IFERROR(__xludf.DUMMYFUNCTION("""COMPUTED_VALUE"""),"#N/A")</f>
        <v>#N/A</v>
      </c>
      <c r="L13071" s="1" t="str">
        <f>IFERROR(__xludf.DUMMYFUNCTION("""COMPUTED_VALUE"""),"#N/A")</f>
        <v>#N/A</v>
      </c>
    </row>
    <row r="13072">
      <c r="A13072" s="1" t="str">
        <f>IFERROR(__xludf.DUMMYFUNCTION("""COMPUTED_VALUE"""),"#VALUE!")</f>
        <v>#VALUE!</v>
      </c>
      <c r="B13072" s="4"/>
      <c r="C13072" s="1" t="str">
        <f>IFERROR(__xludf.DUMMYFUNCTION("""COMPUTED_VALUE"""),"#N/A")</f>
        <v>#N/A</v>
      </c>
      <c r="D13072" s="1"/>
      <c r="E13072" s="1"/>
      <c r="F13072" s="1"/>
      <c r="G13072" s="1"/>
      <c r="H13072" s="2">
        <f>IFERROR(__xludf.DUMMYFUNCTION("""COMPUTED_VALUE"""),0.0)</f>
        <v>0</v>
      </c>
      <c r="I13072" s="5"/>
      <c r="J13072" s="1" t="str">
        <f>IFERROR(__xludf.DUMMYFUNCTION("""COMPUTED_VALUE"""),"#N/A")</f>
        <v>#N/A</v>
      </c>
      <c r="K13072" s="1" t="str">
        <f>IFERROR(__xludf.DUMMYFUNCTION("""COMPUTED_VALUE"""),"#N/A")</f>
        <v>#N/A</v>
      </c>
      <c r="L13072" s="1" t="str">
        <f>IFERROR(__xludf.DUMMYFUNCTION("""COMPUTED_VALUE"""),"#N/A")</f>
        <v>#N/A</v>
      </c>
    </row>
    <row r="13073">
      <c r="A13073" s="1" t="str">
        <f>IFERROR(__xludf.DUMMYFUNCTION("""COMPUTED_VALUE"""),"#VALUE!")</f>
        <v>#VALUE!</v>
      </c>
      <c r="B13073" s="4"/>
      <c r="C13073" s="1" t="str">
        <f>IFERROR(__xludf.DUMMYFUNCTION("""COMPUTED_VALUE"""),"#N/A")</f>
        <v>#N/A</v>
      </c>
      <c r="D13073" s="1"/>
      <c r="E13073" s="1"/>
      <c r="F13073" s="1"/>
      <c r="G13073" s="1"/>
      <c r="H13073" s="2">
        <f>IFERROR(__xludf.DUMMYFUNCTION("""COMPUTED_VALUE"""),0.0)</f>
        <v>0</v>
      </c>
      <c r="I13073" s="5"/>
      <c r="J13073" s="1" t="str">
        <f>IFERROR(__xludf.DUMMYFUNCTION("""COMPUTED_VALUE"""),"#N/A")</f>
        <v>#N/A</v>
      </c>
      <c r="K13073" s="1" t="str">
        <f>IFERROR(__xludf.DUMMYFUNCTION("""COMPUTED_VALUE"""),"#N/A")</f>
        <v>#N/A</v>
      </c>
      <c r="L13073" s="1" t="str">
        <f>IFERROR(__xludf.DUMMYFUNCTION("""COMPUTED_VALUE"""),"#N/A")</f>
        <v>#N/A</v>
      </c>
    </row>
    <row r="13074">
      <c r="A13074" s="1" t="str">
        <f>IFERROR(__xludf.DUMMYFUNCTION("""COMPUTED_VALUE"""),"#VALUE!")</f>
        <v>#VALUE!</v>
      </c>
      <c r="B13074" s="4"/>
      <c r="C13074" s="1" t="str">
        <f>IFERROR(__xludf.DUMMYFUNCTION("""COMPUTED_VALUE"""),"#N/A")</f>
        <v>#N/A</v>
      </c>
      <c r="D13074" s="1"/>
      <c r="E13074" s="1"/>
      <c r="F13074" s="1"/>
      <c r="G13074" s="1"/>
      <c r="H13074" s="2">
        <f>IFERROR(__xludf.DUMMYFUNCTION("""COMPUTED_VALUE"""),0.0)</f>
        <v>0</v>
      </c>
      <c r="I13074" s="5"/>
      <c r="J13074" s="1" t="str">
        <f>IFERROR(__xludf.DUMMYFUNCTION("""COMPUTED_VALUE"""),"#N/A")</f>
        <v>#N/A</v>
      </c>
      <c r="K13074" s="1" t="str">
        <f>IFERROR(__xludf.DUMMYFUNCTION("""COMPUTED_VALUE"""),"#N/A")</f>
        <v>#N/A</v>
      </c>
      <c r="L13074" s="1" t="str">
        <f>IFERROR(__xludf.DUMMYFUNCTION("""COMPUTED_VALUE"""),"#N/A")</f>
        <v>#N/A</v>
      </c>
    </row>
    <row r="13075">
      <c r="A13075" s="1" t="str">
        <f>IFERROR(__xludf.DUMMYFUNCTION("""COMPUTED_VALUE"""),"#VALUE!")</f>
        <v>#VALUE!</v>
      </c>
      <c r="B13075" s="4"/>
      <c r="C13075" s="1" t="str">
        <f>IFERROR(__xludf.DUMMYFUNCTION("""COMPUTED_VALUE"""),"#N/A")</f>
        <v>#N/A</v>
      </c>
      <c r="D13075" s="1"/>
      <c r="E13075" s="1"/>
      <c r="F13075" s="1"/>
      <c r="G13075" s="1"/>
      <c r="H13075" s="2">
        <f>IFERROR(__xludf.DUMMYFUNCTION("""COMPUTED_VALUE"""),0.0)</f>
        <v>0</v>
      </c>
      <c r="I13075" s="5"/>
      <c r="J13075" s="1" t="str">
        <f>IFERROR(__xludf.DUMMYFUNCTION("""COMPUTED_VALUE"""),"#N/A")</f>
        <v>#N/A</v>
      </c>
      <c r="K13075" s="1" t="str">
        <f>IFERROR(__xludf.DUMMYFUNCTION("""COMPUTED_VALUE"""),"#N/A")</f>
        <v>#N/A</v>
      </c>
      <c r="L13075" s="1" t="str">
        <f>IFERROR(__xludf.DUMMYFUNCTION("""COMPUTED_VALUE"""),"#N/A")</f>
        <v>#N/A</v>
      </c>
    </row>
    <row r="13076">
      <c r="A13076" s="1" t="str">
        <f>IFERROR(__xludf.DUMMYFUNCTION("""COMPUTED_VALUE"""),"#VALUE!")</f>
        <v>#VALUE!</v>
      </c>
      <c r="B13076" s="4"/>
      <c r="C13076" s="1" t="str">
        <f>IFERROR(__xludf.DUMMYFUNCTION("""COMPUTED_VALUE"""),"#N/A")</f>
        <v>#N/A</v>
      </c>
      <c r="D13076" s="1"/>
      <c r="E13076" s="1"/>
      <c r="F13076" s="1"/>
      <c r="G13076" s="1"/>
      <c r="H13076" s="2">
        <f>IFERROR(__xludf.DUMMYFUNCTION("""COMPUTED_VALUE"""),0.0)</f>
        <v>0</v>
      </c>
      <c r="I13076" s="5"/>
      <c r="J13076" s="1" t="str">
        <f>IFERROR(__xludf.DUMMYFUNCTION("""COMPUTED_VALUE"""),"#N/A")</f>
        <v>#N/A</v>
      </c>
      <c r="K13076" s="1" t="str">
        <f>IFERROR(__xludf.DUMMYFUNCTION("""COMPUTED_VALUE"""),"#N/A")</f>
        <v>#N/A</v>
      </c>
      <c r="L13076" s="1" t="str">
        <f>IFERROR(__xludf.DUMMYFUNCTION("""COMPUTED_VALUE"""),"#N/A")</f>
        <v>#N/A</v>
      </c>
    </row>
    <row r="13077">
      <c r="A13077" s="1" t="str">
        <f>IFERROR(__xludf.DUMMYFUNCTION("""COMPUTED_VALUE"""),"#VALUE!")</f>
        <v>#VALUE!</v>
      </c>
      <c r="B13077" s="4"/>
      <c r="C13077" s="1" t="str">
        <f>IFERROR(__xludf.DUMMYFUNCTION("""COMPUTED_VALUE"""),"#N/A")</f>
        <v>#N/A</v>
      </c>
      <c r="D13077" s="1"/>
      <c r="E13077" s="1"/>
      <c r="F13077" s="1"/>
      <c r="G13077" s="1"/>
      <c r="H13077" s="2">
        <f>IFERROR(__xludf.DUMMYFUNCTION("""COMPUTED_VALUE"""),0.0)</f>
        <v>0</v>
      </c>
      <c r="I13077" s="5"/>
      <c r="J13077" s="1" t="str">
        <f>IFERROR(__xludf.DUMMYFUNCTION("""COMPUTED_VALUE"""),"#N/A")</f>
        <v>#N/A</v>
      </c>
      <c r="K13077" s="1" t="str">
        <f>IFERROR(__xludf.DUMMYFUNCTION("""COMPUTED_VALUE"""),"#N/A")</f>
        <v>#N/A</v>
      </c>
      <c r="L13077" s="1" t="str">
        <f>IFERROR(__xludf.DUMMYFUNCTION("""COMPUTED_VALUE"""),"#N/A")</f>
        <v>#N/A</v>
      </c>
    </row>
    <row r="13078">
      <c r="A13078" s="1" t="str">
        <f>IFERROR(__xludf.DUMMYFUNCTION("""COMPUTED_VALUE"""),"#VALUE!")</f>
        <v>#VALUE!</v>
      </c>
      <c r="B13078" s="4"/>
      <c r="C13078" s="1" t="str">
        <f>IFERROR(__xludf.DUMMYFUNCTION("""COMPUTED_VALUE"""),"#N/A")</f>
        <v>#N/A</v>
      </c>
      <c r="D13078" s="1"/>
      <c r="E13078" s="1"/>
      <c r="F13078" s="1"/>
      <c r="G13078" s="1"/>
      <c r="H13078" s="2">
        <f>IFERROR(__xludf.DUMMYFUNCTION("""COMPUTED_VALUE"""),0.0)</f>
        <v>0</v>
      </c>
      <c r="I13078" s="5"/>
      <c r="J13078" s="1" t="str">
        <f>IFERROR(__xludf.DUMMYFUNCTION("""COMPUTED_VALUE"""),"#N/A")</f>
        <v>#N/A</v>
      </c>
      <c r="K13078" s="1" t="str">
        <f>IFERROR(__xludf.DUMMYFUNCTION("""COMPUTED_VALUE"""),"#N/A")</f>
        <v>#N/A</v>
      </c>
      <c r="L13078" s="1" t="str">
        <f>IFERROR(__xludf.DUMMYFUNCTION("""COMPUTED_VALUE"""),"#N/A")</f>
        <v>#N/A</v>
      </c>
    </row>
    <row r="13079">
      <c r="A13079" s="1" t="str">
        <f>IFERROR(__xludf.DUMMYFUNCTION("""COMPUTED_VALUE"""),"#VALUE!")</f>
        <v>#VALUE!</v>
      </c>
      <c r="B13079" s="4"/>
      <c r="C13079" s="1" t="str">
        <f>IFERROR(__xludf.DUMMYFUNCTION("""COMPUTED_VALUE"""),"#N/A")</f>
        <v>#N/A</v>
      </c>
      <c r="D13079" s="1"/>
      <c r="E13079" s="1"/>
      <c r="F13079" s="1"/>
      <c r="G13079" s="1"/>
      <c r="H13079" s="2">
        <f>IFERROR(__xludf.DUMMYFUNCTION("""COMPUTED_VALUE"""),0.0)</f>
        <v>0</v>
      </c>
      <c r="I13079" s="5"/>
      <c r="J13079" s="1" t="str">
        <f>IFERROR(__xludf.DUMMYFUNCTION("""COMPUTED_VALUE"""),"#N/A")</f>
        <v>#N/A</v>
      </c>
      <c r="K13079" s="1" t="str">
        <f>IFERROR(__xludf.DUMMYFUNCTION("""COMPUTED_VALUE"""),"#N/A")</f>
        <v>#N/A</v>
      </c>
      <c r="L13079" s="1" t="str">
        <f>IFERROR(__xludf.DUMMYFUNCTION("""COMPUTED_VALUE"""),"#N/A")</f>
        <v>#N/A</v>
      </c>
    </row>
    <row r="13080">
      <c r="A13080" s="1" t="str">
        <f>IFERROR(__xludf.DUMMYFUNCTION("""COMPUTED_VALUE"""),"#VALUE!")</f>
        <v>#VALUE!</v>
      </c>
      <c r="B13080" s="4"/>
      <c r="C13080" s="1" t="str">
        <f>IFERROR(__xludf.DUMMYFUNCTION("""COMPUTED_VALUE"""),"#N/A")</f>
        <v>#N/A</v>
      </c>
      <c r="D13080" s="1"/>
      <c r="E13080" s="1"/>
      <c r="F13080" s="1"/>
      <c r="G13080" s="1"/>
      <c r="H13080" s="2">
        <f>IFERROR(__xludf.DUMMYFUNCTION("""COMPUTED_VALUE"""),0.0)</f>
        <v>0</v>
      </c>
      <c r="I13080" s="5"/>
      <c r="J13080" s="1" t="str">
        <f>IFERROR(__xludf.DUMMYFUNCTION("""COMPUTED_VALUE"""),"#N/A")</f>
        <v>#N/A</v>
      </c>
      <c r="K13080" s="1" t="str">
        <f>IFERROR(__xludf.DUMMYFUNCTION("""COMPUTED_VALUE"""),"#N/A")</f>
        <v>#N/A</v>
      </c>
      <c r="L13080" s="1" t="str">
        <f>IFERROR(__xludf.DUMMYFUNCTION("""COMPUTED_VALUE"""),"#N/A")</f>
        <v>#N/A</v>
      </c>
    </row>
    <row r="13081">
      <c r="A13081" s="1" t="str">
        <f>IFERROR(__xludf.DUMMYFUNCTION("""COMPUTED_VALUE"""),"#VALUE!")</f>
        <v>#VALUE!</v>
      </c>
      <c r="B13081" s="4"/>
      <c r="C13081" s="1" t="str">
        <f>IFERROR(__xludf.DUMMYFUNCTION("""COMPUTED_VALUE"""),"#N/A")</f>
        <v>#N/A</v>
      </c>
      <c r="D13081" s="1"/>
      <c r="E13081" s="1"/>
      <c r="F13081" s="1"/>
      <c r="G13081" s="1"/>
      <c r="H13081" s="2">
        <f>IFERROR(__xludf.DUMMYFUNCTION("""COMPUTED_VALUE"""),0.0)</f>
        <v>0</v>
      </c>
      <c r="I13081" s="5"/>
      <c r="J13081" s="1" t="str">
        <f>IFERROR(__xludf.DUMMYFUNCTION("""COMPUTED_VALUE"""),"#N/A")</f>
        <v>#N/A</v>
      </c>
      <c r="K13081" s="1" t="str">
        <f>IFERROR(__xludf.DUMMYFUNCTION("""COMPUTED_VALUE"""),"#N/A")</f>
        <v>#N/A</v>
      </c>
      <c r="L13081" s="1" t="str">
        <f>IFERROR(__xludf.DUMMYFUNCTION("""COMPUTED_VALUE"""),"#N/A")</f>
        <v>#N/A</v>
      </c>
    </row>
    <row r="13082">
      <c r="A13082" s="1" t="str">
        <f>IFERROR(__xludf.DUMMYFUNCTION("""COMPUTED_VALUE"""),"#VALUE!")</f>
        <v>#VALUE!</v>
      </c>
      <c r="B13082" s="4"/>
      <c r="C13082" s="1" t="str">
        <f>IFERROR(__xludf.DUMMYFUNCTION("""COMPUTED_VALUE"""),"#N/A")</f>
        <v>#N/A</v>
      </c>
      <c r="D13082" s="1"/>
      <c r="E13082" s="1"/>
      <c r="F13082" s="1"/>
      <c r="G13082" s="1"/>
      <c r="H13082" s="2">
        <f>IFERROR(__xludf.DUMMYFUNCTION("""COMPUTED_VALUE"""),0.0)</f>
        <v>0</v>
      </c>
      <c r="I13082" s="5"/>
      <c r="J13082" s="1" t="str">
        <f>IFERROR(__xludf.DUMMYFUNCTION("""COMPUTED_VALUE"""),"#N/A")</f>
        <v>#N/A</v>
      </c>
      <c r="K13082" s="1" t="str">
        <f>IFERROR(__xludf.DUMMYFUNCTION("""COMPUTED_VALUE"""),"#N/A")</f>
        <v>#N/A</v>
      </c>
      <c r="L13082" s="1" t="str">
        <f>IFERROR(__xludf.DUMMYFUNCTION("""COMPUTED_VALUE"""),"#N/A")</f>
        <v>#N/A</v>
      </c>
    </row>
    <row r="13083">
      <c r="A13083" s="1" t="str">
        <f>IFERROR(__xludf.DUMMYFUNCTION("""COMPUTED_VALUE"""),"#VALUE!")</f>
        <v>#VALUE!</v>
      </c>
      <c r="B13083" s="4"/>
      <c r="C13083" s="1" t="str">
        <f>IFERROR(__xludf.DUMMYFUNCTION("""COMPUTED_VALUE"""),"#N/A")</f>
        <v>#N/A</v>
      </c>
      <c r="D13083" s="1"/>
      <c r="E13083" s="1"/>
      <c r="F13083" s="1"/>
      <c r="G13083" s="1"/>
      <c r="H13083" s="2">
        <f>IFERROR(__xludf.DUMMYFUNCTION("""COMPUTED_VALUE"""),0.0)</f>
        <v>0</v>
      </c>
      <c r="I13083" s="5"/>
      <c r="J13083" s="1" t="str">
        <f>IFERROR(__xludf.DUMMYFUNCTION("""COMPUTED_VALUE"""),"#N/A")</f>
        <v>#N/A</v>
      </c>
      <c r="K13083" s="1" t="str">
        <f>IFERROR(__xludf.DUMMYFUNCTION("""COMPUTED_VALUE"""),"#N/A")</f>
        <v>#N/A</v>
      </c>
      <c r="L13083" s="1" t="str">
        <f>IFERROR(__xludf.DUMMYFUNCTION("""COMPUTED_VALUE"""),"#N/A")</f>
        <v>#N/A</v>
      </c>
    </row>
    <row r="13084">
      <c r="A13084" s="1" t="str">
        <f>IFERROR(__xludf.DUMMYFUNCTION("""COMPUTED_VALUE"""),"#VALUE!")</f>
        <v>#VALUE!</v>
      </c>
      <c r="B13084" s="4"/>
      <c r="C13084" s="1" t="str">
        <f>IFERROR(__xludf.DUMMYFUNCTION("""COMPUTED_VALUE"""),"#N/A")</f>
        <v>#N/A</v>
      </c>
      <c r="D13084" s="1"/>
      <c r="E13084" s="1"/>
      <c r="F13084" s="1"/>
      <c r="G13084" s="1"/>
      <c r="H13084" s="2">
        <f>IFERROR(__xludf.DUMMYFUNCTION("""COMPUTED_VALUE"""),0.0)</f>
        <v>0</v>
      </c>
      <c r="I13084" s="5"/>
      <c r="J13084" s="1" t="str">
        <f>IFERROR(__xludf.DUMMYFUNCTION("""COMPUTED_VALUE"""),"#N/A")</f>
        <v>#N/A</v>
      </c>
      <c r="K13084" s="1" t="str">
        <f>IFERROR(__xludf.DUMMYFUNCTION("""COMPUTED_VALUE"""),"#N/A")</f>
        <v>#N/A</v>
      </c>
      <c r="L13084" s="1" t="str">
        <f>IFERROR(__xludf.DUMMYFUNCTION("""COMPUTED_VALUE"""),"#N/A")</f>
        <v>#N/A</v>
      </c>
    </row>
    <row r="13085">
      <c r="A13085" s="1" t="str">
        <f>IFERROR(__xludf.DUMMYFUNCTION("""COMPUTED_VALUE"""),"#VALUE!")</f>
        <v>#VALUE!</v>
      </c>
      <c r="B13085" s="4"/>
      <c r="C13085" s="1" t="str">
        <f>IFERROR(__xludf.DUMMYFUNCTION("""COMPUTED_VALUE"""),"#N/A")</f>
        <v>#N/A</v>
      </c>
      <c r="D13085" s="1"/>
      <c r="E13085" s="1"/>
      <c r="F13085" s="1"/>
      <c r="G13085" s="1"/>
      <c r="H13085" s="2">
        <f>IFERROR(__xludf.DUMMYFUNCTION("""COMPUTED_VALUE"""),0.0)</f>
        <v>0</v>
      </c>
      <c r="I13085" s="5"/>
      <c r="J13085" s="1" t="str">
        <f>IFERROR(__xludf.DUMMYFUNCTION("""COMPUTED_VALUE"""),"#N/A")</f>
        <v>#N/A</v>
      </c>
      <c r="K13085" s="1" t="str">
        <f>IFERROR(__xludf.DUMMYFUNCTION("""COMPUTED_VALUE"""),"#N/A")</f>
        <v>#N/A</v>
      </c>
      <c r="L13085" s="1" t="str">
        <f>IFERROR(__xludf.DUMMYFUNCTION("""COMPUTED_VALUE"""),"#N/A")</f>
        <v>#N/A</v>
      </c>
    </row>
    <row r="13086">
      <c r="A13086" s="1" t="str">
        <f>IFERROR(__xludf.DUMMYFUNCTION("""COMPUTED_VALUE"""),"#VALUE!")</f>
        <v>#VALUE!</v>
      </c>
      <c r="B13086" s="4"/>
      <c r="C13086" s="1" t="str">
        <f>IFERROR(__xludf.DUMMYFUNCTION("""COMPUTED_VALUE"""),"#N/A")</f>
        <v>#N/A</v>
      </c>
      <c r="D13086" s="1"/>
      <c r="E13086" s="1"/>
      <c r="F13086" s="1"/>
      <c r="G13086" s="1"/>
      <c r="H13086" s="2">
        <f>IFERROR(__xludf.DUMMYFUNCTION("""COMPUTED_VALUE"""),0.0)</f>
        <v>0</v>
      </c>
      <c r="I13086" s="5"/>
      <c r="J13086" s="1" t="str">
        <f>IFERROR(__xludf.DUMMYFUNCTION("""COMPUTED_VALUE"""),"#N/A")</f>
        <v>#N/A</v>
      </c>
      <c r="K13086" s="1" t="str">
        <f>IFERROR(__xludf.DUMMYFUNCTION("""COMPUTED_VALUE"""),"#N/A")</f>
        <v>#N/A</v>
      </c>
      <c r="L13086" s="1" t="str">
        <f>IFERROR(__xludf.DUMMYFUNCTION("""COMPUTED_VALUE"""),"#N/A")</f>
        <v>#N/A</v>
      </c>
    </row>
    <row r="13087">
      <c r="A13087" s="1" t="str">
        <f>IFERROR(__xludf.DUMMYFUNCTION("""COMPUTED_VALUE"""),"#VALUE!")</f>
        <v>#VALUE!</v>
      </c>
      <c r="B13087" s="4"/>
      <c r="C13087" s="1" t="str">
        <f>IFERROR(__xludf.DUMMYFUNCTION("""COMPUTED_VALUE"""),"#N/A")</f>
        <v>#N/A</v>
      </c>
      <c r="D13087" s="1"/>
      <c r="E13087" s="1"/>
      <c r="F13087" s="1"/>
      <c r="G13087" s="1"/>
      <c r="H13087" s="2">
        <f>IFERROR(__xludf.DUMMYFUNCTION("""COMPUTED_VALUE"""),0.0)</f>
        <v>0</v>
      </c>
      <c r="I13087" s="5"/>
      <c r="J13087" s="1" t="str">
        <f>IFERROR(__xludf.DUMMYFUNCTION("""COMPUTED_VALUE"""),"#N/A")</f>
        <v>#N/A</v>
      </c>
      <c r="K13087" s="1" t="str">
        <f>IFERROR(__xludf.DUMMYFUNCTION("""COMPUTED_VALUE"""),"#N/A")</f>
        <v>#N/A</v>
      </c>
      <c r="L13087" s="1" t="str">
        <f>IFERROR(__xludf.DUMMYFUNCTION("""COMPUTED_VALUE"""),"#N/A")</f>
        <v>#N/A</v>
      </c>
    </row>
    <row r="13088">
      <c r="A13088" s="1" t="str">
        <f>IFERROR(__xludf.DUMMYFUNCTION("""COMPUTED_VALUE"""),"#VALUE!")</f>
        <v>#VALUE!</v>
      </c>
      <c r="B13088" s="4"/>
      <c r="C13088" s="1" t="str">
        <f>IFERROR(__xludf.DUMMYFUNCTION("""COMPUTED_VALUE"""),"#N/A")</f>
        <v>#N/A</v>
      </c>
      <c r="D13088" s="1"/>
      <c r="E13088" s="1"/>
      <c r="F13088" s="1"/>
      <c r="G13088" s="1"/>
      <c r="H13088" s="2">
        <f>IFERROR(__xludf.DUMMYFUNCTION("""COMPUTED_VALUE"""),0.0)</f>
        <v>0</v>
      </c>
      <c r="I13088" s="5"/>
      <c r="J13088" s="1" t="str">
        <f>IFERROR(__xludf.DUMMYFUNCTION("""COMPUTED_VALUE"""),"#N/A")</f>
        <v>#N/A</v>
      </c>
      <c r="K13088" s="1" t="str">
        <f>IFERROR(__xludf.DUMMYFUNCTION("""COMPUTED_VALUE"""),"#N/A")</f>
        <v>#N/A</v>
      </c>
      <c r="L13088" s="1" t="str">
        <f>IFERROR(__xludf.DUMMYFUNCTION("""COMPUTED_VALUE"""),"#N/A")</f>
        <v>#N/A</v>
      </c>
    </row>
    <row r="13089">
      <c r="A13089" s="1" t="str">
        <f>IFERROR(__xludf.DUMMYFUNCTION("""COMPUTED_VALUE"""),"#VALUE!")</f>
        <v>#VALUE!</v>
      </c>
      <c r="B13089" s="4"/>
      <c r="C13089" s="1" t="str">
        <f>IFERROR(__xludf.DUMMYFUNCTION("""COMPUTED_VALUE"""),"#N/A")</f>
        <v>#N/A</v>
      </c>
      <c r="D13089" s="1"/>
      <c r="E13089" s="1"/>
      <c r="F13089" s="1"/>
      <c r="G13089" s="1"/>
      <c r="H13089" s="2">
        <f>IFERROR(__xludf.DUMMYFUNCTION("""COMPUTED_VALUE"""),0.0)</f>
        <v>0</v>
      </c>
      <c r="I13089" s="5"/>
      <c r="J13089" s="1" t="str">
        <f>IFERROR(__xludf.DUMMYFUNCTION("""COMPUTED_VALUE"""),"#N/A")</f>
        <v>#N/A</v>
      </c>
      <c r="K13089" s="1" t="str">
        <f>IFERROR(__xludf.DUMMYFUNCTION("""COMPUTED_VALUE"""),"#N/A")</f>
        <v>#N/A</v>
      </c>
      <c r="L13089" s="1" t="str">
        <f>IFERROR(__xludf.DUMMYFUNCTION("""COMPUTED_VALUE"""),"#N/A")</f>
        <v>#N/A</v>
      </c>
    </row>
    <row r="13090">
      <c r="A13090" s="1" t="str">
        <f>IFERROR(__xludf.DUMMYFUNCTION("""COMPUTED_VALUE"""),"#VALUE!")</f>
        <v>#VALUE!</v>
      </c>
      <c r="B13090" s="4"/>
      <c r="C13090" s="1" t="str">
        <f>IFERROR(__xludf.DUMMYFUNCTION("""COMPUTED_VALUE"""),"#N/A")</f>
        <v>#N/A</v>
      </c>
      <c r="D13090" s="1"/>
      <c r="E13090" s="1"/>
      <c r="F13090" s="1"/>
      <c r="G13090" s="1"/>
      <c r="H13090" s="2">
        <f>IFERROR(__xludf.DUMMYFUNCTION("""COMPUTED_VALUE"""),0.0)</f>
        <v>0</v>
      </c>
      <c r="I13090" s="5"/>
      <c r="J13090" s="1" t="str">
        <f>IFERROR(__xludf.DUMMYFUNCTION("""COMPUTED_VALUE"""),"#N/A")</f>
        <v>#N/A</v>
      </c>
      <c r="K13090" s="1" t="str">
        <f>IFERROR(__xludf.DUMMYFUNCTION("""COMPUTED_VALUE"""),"#N/A")</f>
        <v>#N/A</v>
      </c>
      <c r="L13090" s="1" t="str">
        <f>IFERROR(__xludf.DUMMYFUNCTION("""COMPUTED_VALUE"""),"#N/A")</f>
        <v>#N/A</v>
      </c>
    </row>
    <row r="13091">
      <c r="A13091" s="1" t="str">
        <f>IFERROR(__xludf.DUMMYFUNCTION("""COMPUTED_VALUE"""),"#VALUE!")</f>
        <v>#VALUE!</v>
      </c>
      <c r="B13091" s="4"/>
      <c r="C13091" s="1" t="str">
        <f>IFERROR(__xludf.DUMMYFUNCTION("""COMPUTED_VALUE"""),"#N/A")</f>
        <v>#N/A</v>
      </c>
      <c r="D13091" s="1"/>
      <c r="E13091" s="1"/>
      <c r="F13091" s="1"/>
      <c r="G13091" s="1"/>
      <c r="H13091" s="2">
        <f>IFERROR(__xludf.DUMMYFUNCTION("""COMPUTED_VALUE"""),0.0)</f>
        <v>0</v>
      </c>
      <c r="I13091" s="5"/>
      <c r="J13091" s="1" t="str">
        <f>IFERROR(__xludf.DUMMYFUNCTION("""COMPUTED_VALUE"""),"#N/A")</f>
        <v>#N/A</v>
      </c>
      <c r="K13091" s="1" t="str">
        <f>IFERROR(__xludf.DUMMYFUNCTION("""COMPUTED_VALUE"""),"#N/A")</f>
        <v>#N/A</v>
      </c>
      <c r="L13091" s="1" t="str">
        <f>IFERROR(__xludf.DUMMYFUNCTION("""COMPUTED_VALUE"""),"#N/A")</f>
        <v>#N/A</v>
      </c>
    </row>
    <row r="13092">
      <c r="A13092" s="1" t="str">
        <f>IFERROR(__xludf.DUMMYFUNCTION("""COMPUTED_VALUE"""),"#VALUE!")</f>
        <v>#VALUE!</v>
      </c>
      <c r="B13092" s="4"/>
      <c r="C13092" s="1" t="str">
        <f>IFERROR(__xludf.DUMMYFUNCTION("""COMPUTED_VALUE"""),"#N/A")</f>
        <v>#N/A</v>
      </c>
      <c r="D13092" s="1"/>
      <c r="E13092" s="1"/>
      <c r="F13092" s="1"/>
      <c r="G13092" s="1"/>
      <c r="H13092" s="2">
        <f>IFERROR(__xludf.DUMMYFUNCTION("""COMPUTED_VALUE"""),0.0)</f>
        <v>0</v>
      </c>
      <c r="I13092" s="5"/>
      <c r="J13092" s="1" t="str">
        <f>IFERROR(__xludf.DUMMYFUNCTION("""COMPUTED_VALUE"""),"#N/A")</f>
        <v>#N/A</v>
      </c>
      <c r="K13092" s="1" t="str">
        <f>IFERROR(__xludf.DUMMYFUNCTION("""COMPUTED_VALUE"""),"#N/A")</f>
        <v>#N/A</v>
      </c>
      <c r="L13092" s="1" t="str">
        <f>IFERROR(__xludf.DUMMYFUNCTION("""COMPUTED_VALUE"""),"#N/A")</f>
        <v>#N/A</v>
      </c>
    </row>
    <row r="13093">
      <c r="A13093" s="1" t="str">
        <f>IFERROR(__xludf.DUMMYFUNCTION("""COMPUTED_VALUE"""),"#VALUE!")</f>
        <v>#VALUE!</v>
      </c>
      <c r="B13093" s="4"/>
      <c r="C13093" s="1" t="str">
        <f>IFERROR(__xludf.DUMMYFUNCTION("""COMPUTED_VALUE"""),"#N/A")</f>
        <v>#N/A</v>
      </c>
      <c r="D13093" s="1"/>
      <c r="E13093" s="1"/>
      <c r="F13093" s="1"/>
      <c r="G13093" s="1"/>
      <c r="H13093" s="2">
        <f>IFERROR(__xludf.DUMMYFUNCTION("""COMPUTED_VALUE"""),0.0)</f>
        <v>0</v>
      </c>
      <c r="I13093" s="5"/>
      <c r="J13093" s="1" t="str">
        <f>IFERROR(__xludf.DUMMYFUNCTION("""COMPUTED_VALUE"""),"#N/A")</f>
        <v>#N/A</v>
      </c>
      <c r="K13093" s="1" t="str">
        <f>IFERROR(__xludf.DUMMYFUNCTION("""COMPUTED_VALUE"""),"#N/A")</f>
        <v>#N/A</v>
      </c>
      <c r="L13093" s="1" t="str">
        <f>IFERROR(__xludf.DUMMYFUNCTION("""COMPUTED_VALUE"""),"#N/A")</f>
        <v>#N/A</v>
      </c>
    </row>
    <row r="13094">
      <c r="A13094" s="1" t="str">
        <f>IFERROR(__xludf.DUMMYFUNCTION("""COMPUTED_VALUE"""),"#VALUE!")</f>
        <v>#VALUE!</v>
      </c>
      <c r="B13094" s="4"/>
      <c r="C13094" s="1" t="str">
        <f>IFERROR(__xludf.DUMMYFUNCTION("""COMPUTED_VALUE"""),"#N/A")</f>
        <v>#N/A</v>
      </c>
      <c r="D13094" s="1"/>
      <c r="E13094" s="1"/>
      <c r="F13094" s="1"/>
      <c r="G13094" s="1"/>
      <c r="H13094" s="2">
        <f>IFERROR(__xludf.DUMMYFUNCTION("""COMPUTED_VALUE"""),0.0)</f>
        <v>0</v>
      </c>
      <c r="I13094" s="5"/>
      <c r="J13094" s="1" t="str">
        <f>IFERROR(__xludf.DUMMYFUNCTION("""COMPUTED_VALUE"""),"#N/A")</f>
        <v>#N/A</v>
      </c>
      <c r="K13094" s="1" t="str">
        <f>IFERROR(__xludf.DUMMYFUNCTION("""COMPUTED_VALUE"""),"#N/A")</f>
        <v>#N/A</v>
      </c>
      <c r="L13094" s="1" t="str">
        <f>IFERROR(__xludf.DUMMYFUNCTION("""COMPUTED_VALUE"""),"#N/A")</f>
        <v>#N/A</v>
      </c>
    </row>
    <row r="13095">
      <c r="A13095" s="1" t="str">
        <f>IFERROR(__xludf.DUMMYFUNCTION("""COMPUTED_VALUE"""),"#VALUE!")</f>
        <v>#VALUE!</v>
      </c>
      <c r="B13095" s="4"/>
      <c r="C13095" s="1" t="str">
        <f>IFERROR(__xludf.DUMMYFUNCTION("""COMPUTED_VALUE"""),"#N/A")</f>
        <v>#N/A</v>
      </c>
      <c r="D13095" s="1"/>
      <c r="E13095" s="1"/>
      <c r="F13095" s="1"/>
      <c r="G13095" s="1"/>
      <c r="H13095" s="2">
        <f>IFERROR(__xludf.DUMMYFUNCTION("""COMPUTED_VALUE"""),0.0)</f>
        <v>0</v>
      </c>
      <c r="I13095" s="5"/>
      <c r="J13095" s="1" t="str">
        <f>IFERROR(__xludf.DUMMYFUNCTION("""COMPUTED_VALUE"""),"#N/A")</f>
        <v>#N/A</v>
      </c>
      <c r="K13095" s="1" t="str">
        <f>IFERROR(__xludf.DUMMYFUNCTION("""COMPUTED_VALUE"""),"#N/A")</f>
        <v>#N/A</v>
      </c>
      <c r="L13095" s="1" t="str">
        <f>IFERROR(__xludf.DUMMYFUNCTION("""COMPUTED_VALUE"""),"#N/A")</f>
        <v>#N/A</v>
      </c>
    </row>
    <row r="13096">
      <c r="A13096" s="1" t="str">
        <f>IFERROR(__xludf.DUMMYFUNCTION("""COMPUTED_VALUE"""),"#VALUE!")</f>
        <v>#VALUE!</v>
      </c>
      <c r="B13096" s="4"/>
      <c r="C13096" s="1" t="str">
        <f>IFERROR(__xludf.DUMMYFUNCTION("""COMPUTED_VALUE"""),"#N/A")</f>
        <v>#N/A</v>
      </c>
      <c r="D13096" s="1"/>
      <c r="E13096" s="1"/>
      <c r="F13096" s="1"/>
      <c r="G13096" s="1"/>
      <c r="H13096" s="2">
        <f>IFERROR(__xludf.DUMMYFUNCTION("""COMPUTED_VALUE"""),0.0)</f>
        <v>0</v>
      </c>
      <c r="I13096" s="5"/>
      <c r="J13096" s="1" t="str">
        <f>IFERROR(__xludf.DUMMYFUNCTION("""COMPUTED_VALUE"""),"#N/A")</f>
        <v>#N/A</v>
      </c>
      <c r="K13096" s="1" t="str">
        <f>IFERROR(__xludf.DUMMYFUNCTION("""COMPUTED_VALUE"""),"#N/A")</f>
        <v>#N/A</v>
      </c>
      <c r="L13096" s="1" t="str">
        <f>IFERROR(__xludf.DUMMYFUNCTION("""COMPUTED_VALUE"""),"#N/A")</f>
        <v>#N/A</v>
      </c>
    </row>
    <row r="13097">
      <c r="A13097" s="1" t="str">
        <f>IFERROR(__xludf.DUMMYFUNCTION("""COMPUTED_VALUE"""),"#VALUE!")</f>
        <v>#VALUE!</v>
      </c>
      <c r="B13097" s="4"/>
      <c r="C13097" s="1" t="str">
        <f>IFERROR(__xludf.DUMMYFUNCTION("""COMPUTED_VALUE"""),"#N/A")</f>
        <v>#N/A</v>
      </c>
      <c r="D13097" s="1"/>
      <c r="E13097" s="1"/>
      <c r="F13097" s="1"/>
      <c r="G13097" s="1"/>
      <c r="H13097" s="2">
        <f>IFERROR(__xludf.DUMMYFUNCTION("""COMPUTED_VALUE"""),0.0)</f>
        <v>0</v>
      </c>
      <c r="I13097" s="5"/>
      <c r="J13097" s="1" t="str">
        <f>IFERROR(__xludf.DUMMYFUNCTION("""COMPUTED_VALUE"""),"#N/A")</f>
        <v>#N/A</v>
      </c>
      <c r="K13097" s="1" t="str">
        <f>IFERROR(__xludf.DUMMYFUNCTION("""COMPUTED_VALUE"""),"#N/A")</f>
        <v>#N/A</v>
      </c>
      <c r="L13097" s="1" t="str">
        <f>IFERROR(__xludf.DUMMYFUNCTION("""COMPUTED_VALUE"""),"#N/A")</f>
        <v>#N/A</v>
      </c>
    </row>
    <row r="13098">
      <c r="A13098" s="1" t="str">
        <f>IFERROR(__xludf.DUMMYFUNCTION("""COMPUTED_VALUE"""),"#VALUE!")</f>
        <v>#VALUE!</v>
      </c>
      <c r="B13098" s="4"/>
      <c r="C13098" s="1" t="str">
        <f>IFERROR(__xludf.DUMMYFUNCTION("""COMPUTED_VALUE"""),"#N/A")</f>
        <v>#N/A</v>
      </c>
      <c r="D13098" s="1"/>
      <c r="E13098" s="1"/>
      <c r="F13098" s="1"/>
      <c r="G13098" s="1"/>
      <c r="H13098" s="2">
        <f>IFERROR(__xludf.DUMMYFUNCTION("""COMPUTED_VALUE"""),0.0)</f>
        <v>0</v>
      </c>
      <c r="I13098" s="5"/>
      <c r="J13098" s="1" t="str">
        <f>IFERROR(__xludf.DUMMYFUNCTION("""COMPUTED_VALUE"""),"#N/A")</f>
        <v>#N/A</v>
      </c>
      <c r="K13098" s="1" t="str">
        <f>IFERROR(__xludf.DUMMYFUNCTION("""COMPUTED_VALUE"""),"#N/A")</f>
        <v>#N/A</v>
      </c>
      <c r="L13098" s="1" t="str">
        <f>IFERROR(__xludf.DUMMYFUNCTION("""COMPUTED_VALUE"""),"#N/A")</f>
        <v>#N/A</v>
      </c>
    </row>
    <row r="13099">
      <c r="A13099" s="1" t="str">
        <f>IFERROR(__xludf.DUMMYFUNCTION("""COMPUTED_VALUE"""),"#VALUE!")</f>
        <v>#VALUE!</v>
      </c>
      <c r="B13099" s="4"/>
      <c r="C13099" s="1" t="str">
        <f>IFERROR(__xludf.DUMMYFUNCTION("""COMPUTED_VALUE"""),"#N/A")</f>
        <v>#N/A</v>
      </c>
      <c r="D13099" s="1"/>
      <c r="E13099" s="1"/>
      <c r="F13099" s="1"/>
      <c r="G13099" s="1"/>
      <c r="H13099" s="2">
        <f>IFERROR(__xludf.DUMMYFUNCTION("""COMPUTED_VALUE"""),0.0)</f>
        <v>0</v>
      </c>
      <c r="I13099" s="5"/>
      <c r="J13099" s="1" t="str">
        <f>IFERROR(__xludf.DUMMYFUNCTION("""COMPUTED_VALUE"""),"#N/A")</f>
        <v>#N/A</v>
      </c>
      <c r="K13099" s="1" t="str">
        <f>IFERROR(__xludf.DUMMYFUNCTION("""COMPUTED_VALUE"""),"#N/A")</f>
        <v>#N/A</v>
      </c>
      <c r="L13099" s="1" t="str">
        <f>IFERROR(__xludf.DUMMYFUNCTION("""COMPUTED_VALUE"""),"#N/A")</f>
        <v>#N/A</v>
      </c>
    </row>
    <row r="13100">
      <c r="A13100" s="1" t="str">
        <f>IFERROR(__xludf.DUMMYFUNCTION("""COMPUTED_VALUE"""),"#VALUE!")</f>
        <v>#VALUE!</v>
      </c>
      <c r="B13100" s="4"/>
      <c r="C13100" s="1" t="str">
        <f>IFERROR(__xludf.DUMMYFUNCTION("""COMPUTED_VALUE"""),"#N/A")</f>
        <v>#N/A</v>
      </c>
      <c r="D13100" s="1"/>
      <c r="E13100" s="1"/>
      <c r="F13100" s="1"/>
      <c r="G13100" s="1"/>
      <c r="H13100" s="2">
        <f>IFERROR(__xludf.DUMMYFUNCTION("""COMPUTED_VALUE"""),0.0)</f>
        <v>0</v>
      </c>
      <c r="I13100" s="5"/>
      <c r="J13100" s="1" t="str">
        <f>IFERROR(__xludf.DUMMYFUNCTION("""COMPUTED_VALUE"""),"#N/A")</f>
        <v>#N/A</v>
      </c>
      <c r="K13100" s="1" t="str">
        <f>IFERROR(__xludf.DUMMYFUNCTION("""COMPUTED_VALUE"""),"#N/A")</f>
        <v>#N/A</v>
      </c>
      <c r="L13100" s="1" t="str">
        <f>IFERROR(__xludf.DUMMYFUNCTION("""COMPUTED_VALUE"""),"#N/A")</f>
        <v>#N/A</v>
      </c>
    </row>
    <row r="13101">
      <c r="A13101" s="1" t="str">
        <f>IFERROR(__xludf.DUMMYFUNCTION("""COMPUTED_VALUE"""),"#VALUE!")</f>
        <v>#VALUE!</v>
      </c>
      <c r="B13101" s="4"/>
      <c r="C13101" s="1" t="str">
        <f>IFERROR(__xludf.DUMMYFUNCTION("""COMPUTED_VALUE"""),"#N/A")</f>
        <v>#N/A</v>
      </c>
      <c r="D13101" s="1"/>
      <c r="E13101" s="1"/>
      <c r="F13101" s="1"/>
      <c r="G13101" s="1"/>
      <c r="H13101" s="2">
        <f>IFERROR(__xludf.DUMMYFUNCTION("""COMPUTED_VALUE"""),0.0)</f>
        <v>0</v>
      </c>
      <c r="I13101" s="5"/>
      <c r="J13101" s="1" t="str">
        <f>IFERROR(__xludf.DUMMYFUNCTION("""COMPUTED_VALUE"""),"#N/A")</f>
        <v>#N/A</v>
      </c>
      <c r="K13101" s="1" t="str">
        <f>IFERROR(__xludf.DUMMYFUNCTION("""COMPUTED_VALUE"""),"#N/A")</f>
        <v>#N/A</v>
      </c>
      <c r="L13101" s="1" t="str">
        <f>IFERROR(__xludf.DUMMYFUNCTION("""COMPUTED_VALUE"""),"#N/A")</f>
        <v>#N/A</v>
      </c>
    </row>
    <row r="13102">
      <c r="A13102" s="1" t="str">
        <f>IFERROR(__xludf.DUMMYFUNCTION("""COMPUTED_VALUE"""),"#VALUE!")</f>
        <v>#VALUE!</v>
      </c>
      <c r="B13102" s="4"/>
      <c r="C13102" s="1" t="str">
        <f>IFERROR(__xludf.DUMMYFUNCTION("""COMPUTED_VALUE"""),"#N/A")</f>
        <v>#N/A</v>
      </c>
      <c r="D13102" s="1"/>
      <c r="E13102" s="1"/>
      <c r="F13102" s="1"/>
      <c r="G13102" s="1"/>
      <c r="H13102" s="2">
        <f>IFERROR(__xludf.DUMMYFUNCTION("""COMPUTED_VALUE"""),0.0)</f>
        <v>0</v>
      </c>
      <c r="I13102" s="5"/>
      <c r="J13102" s="1" t="str">
        <f>IFERROR(__xludf.DUMMYFUNCTION("""COMPUTED_VALUE"""),"#N/A")</f>
        <v>#N/A</v>
      </c>
      <c r="K13102" s="1" t="str">
        <f>IFERROR(__xludf.DUMMYFUNCTION("""COMPUTED_VALUE"""),"#N/A")</f>
        <v>#N/A</v>
      </c>
      <c r="L13102" s="1" t="str">
        <f>IFERROR(__xludf.DUMMYFUNCTION("""COMPUTED_VALUE"""),"#N/A")</f>
        <v>#N/A</v>
      </c>
    </row>
    <row r="13103">
      <c r="A13103" s="1" t="str">
        <f>IFERROR(__xludf.DUMMYFUNCTION("""COMPUTED_VALUE"""),"#VALUE!")</f>
        <v>#VALUE!</v>
      </c>
      <c r="B13103" s="4"/>
      <c r="C13103" s="1" t="str">
        <f>IFERROR(__xludf.DUMMYFUNCTION("""COMPUTED_VALUE"""),"#N/A")</f>
        <v>#N/A</v>
      </c>
      <c r="D13103" s="1"/>
      <c r="E13103" s="1"/>
      <c r="F13103" s="1"/>
      <c r="G13103" s="1"/>
      <c r="H13103" s="2">
        <f>IFERROR(__xludf.DUMMYFUNCTION("""COMPUTED_VALUE"""),0.0)</f>
        <v>0</v>
      </c>
      <c r="I13103" s="5"/>
      <c r="J13103" s="1" t="str">
        <f>IFERROR(__xludf.DUMMYFUNCTION("""COMPUTED_VALUE"""),"#N/A")</f>
        <v>#N/A</v>
      </c>
      <c r="K13103" s="1" t="str">
        <f>IFERROR(__xludf.DUMMYFUNCTION("""COMPUTED_VALUE"""),"#N/A")</f>
        <v>#N/A</v>
      </c>
      <c r="L13103" s="1" t="str">
        <f>IFERROR(__xludf.DUMMYFUNCTION("""COMPUTED_VALUE"""),"#N/A")</f>
        <v>#N/A</v>
      </c>
    </row>
    <row r="13104">
      <c r="A13104" s="1" t="str">
        <f>IFERROR(__xludf.DUMMYFUNCTION("""COMPUTED_VALUE"""),"#VALUE!")</f>
        <v>#VALUE!</v>
      </c>
      <c r="B13104" s="4"/>
      <c r="C13104" s="1" t="str">
        <f>IFERROR(__xludf.DUMMYFUNCTION("""COMPUTED_VALUE"""),"#N/A")</f>
        <v>#N/A</v>
      </c>
      <c r="D13104" s="1"/>
      <c r="E13104" s="1"/>
      <c r="F13104" s="1"/>
      <c r="G13104" s="1"/>
      <c r="H13104" s="2">
        <f>IFERROR(__xludf.DUMMYFUNCTION("""COMPUTED_VALUE"""),0.0)</f>
        <v>0</v>
      </c>
      <c r="I13104" s="5"/>
      <c r="J13104" s="1" t="str">
        <f>IFERROR(__xludf.DUMMYFUNCTION("""COMPUTED_VALUE"""),"#N/A")</f>
        <v>#N/A</v>
      </c>
      <c r="K13104" s="1" t="str">
        <f>IFERROR(__xludf.DUMMYFUNCTION("""COMPUTED_VALUE"""),"#N/A")</f>
        <v>#N/A</v>
      </c>
      <c r="L13104" s="1" t="str">
        <f>IFERROR(__xludf.DUMMYFUNCTION("""COMPUTED_VALUE"""),"#N/A")</f>
        <v>#N/A</v>
      </c>
    </row>
    <row r="13105">
      <c r="A13105" s="1" t="str">
        <f>IFERROR(__xludf.DUMMYFUNCTION("""COMPUTED_VALUE"""),"#VALUE!")</f>
        <v>#VALUE!</v>
      </c>
      <c r="B13105" s="4"/>
      <c r="C13105" s="1" t="str">
        <f>IFERROR(__xludf.DUMMYFUNCTION("""COMPUTED_VALUE"""),"#N/A")</f>
        <v>#N/A</v>
      </c>
      <c r="D13105" s="1"/>
      <c r="E13105" s="1"/>
      <c r="F13105" s="1"/>
      <c r="G13105" s="1"/>
      <c r="H13105" s="2">
        <f>IFERROR(__xludf.DUMMYFUNCTION("""COMPUTED_VALUE"""),0.0)</f>
        <v>0</v>
      </c>
      <c r="I13105" s="5"/>
      <c r="J13105" s="1" t="str">
        <f>IFERROR(__xludf.DUMMYFUNCTION("""COMPUTED_VALUE"""),"#N/A")</f>
        <v>#N/A</v>
      </c>
      <c r="K13105" s="1" t="str">
        <f>IFERROR(__xludf.DUMMYFUNCTION("""COMPUTED_VALUE"""),"#N/A")</f>
        <v>#N/A</v>
      </c>
      <c r="L13105" s="1" t="str">
        <f>IFERROR(__xludf.DUMMYFUNCTION("""COMPUTED_VALUE"""),"#N/A")</f>
        <v>#N/A</v>
      </c>
    </row>
    <row r="13106">
      <c r="A13106" s="1" t="str">
        <f>IFERROR(__xludf.DUMMYFUNCTION("""COMPUTED_VALUE"""),"#VALUE!")</f>
        <v>#VALUE!</v>
      </c>
      <c r="B13106" s="4"/>
      <c r="C13106" s="1" t="str">
        <f>IFERROR(__xludf.DUMMYFUNCTION("""COMPUTED_VALUE"""),"#N/A")</f>
        <v>#N/A</v>
      </c>
      <c r="D13106" s="1"/>
      <c r="E13106" s="1"/>
      <c r="F13106" s="1"/>
      <c r="G13106" s="1"/>
      <c r="H13106" s="2">
        <f>IFERROR(__xludf.DUMMYFUNCTION("""COMPUTED_VALUE"""),0.0)</f>
        <v>0</v>
      </c>
      <c r="I13106" s="5"/>
      <c r="J13106" s="1" t="str">
        <f>IFERROR(__xludf.DUMMYFUNCTION("""COMPUTED_VALUE"""),"#N/A")</f>
        <v>#N/A</v>
      </c>
      <c r="K13106" s="1" t="str">
        <f>IFERROR(__xludf.DUMMYFUNCTION("""COMPUTED_VALUE"""),"#N/A")</f>
        <v>#N/A</v>
      </c>
      <c r="L13106" s="1" t="str">
        <f>IFERROR(__xludf.DUMMYFUNCTION("""COMPUTED_VALUE"""),"#N/A")</f>
        <v>#N/A</v>
      </c>
    </row>
    <row r="13107">
      <c r="A13107" s="1" t="str">
        <f>IFERROR(__xludf.DUMMYFUNCTION("""COMPUTED_VALUE"""),"#VALUE!")</f>
        <v>#VALUE!</v>
      </c>
      <c r="B13107" s="4"/>
      <c r="C13107" s="1" t="str">
        <f>IFERROR(__xludf.DUMMYFUNCTION("""COMPUTED_VALUE"""),"#N/A")</f>
        <v>#N/A</v>
      </c>
      <c r="D13107" s="1"/>
      <c r="E13107" s="1"/>
      <c r="F13107" s="1"/>
      <c r="G13107" s="1"/>
      <c r="H13107" s="2">
        <f>IFERROR(__xludf.DUMMYFUNCTION("""COMPUTED_VALUE"""),0.0)</f>
        <v>0</v>
      </c>
      <c r="I13107" s="5"/>
      <c r="J13107" s="1" t="str">
        <f>IFERROR(__xludf.DUMMYFUNCTION("""COMPUTED_VALUE"""),"#N/A")</f>
        <v>#N/A</v>
      </c>
      <c r="K13107" s="1" t="str">
        <f>IFERROR(__xludf.DUMMYFUNCTION("""COMPUTED_VALUE"""),"#N/A")</f>
        <v>#N/A</v>
      </c>
      <c r="L13107" s="1" t="str">
        <f>IFERROR(__xludf.DUMMYFUNCTION("""COMPUTED_VALUE"""),"#N/A")</f>
        <v>#N/A</v>
      </c>
    </row>
    <row r="13108">
      <c r="A13108" s="1" t="str">
        <f>IFERROR(__xludf.DUMMYFUNCTION("""COMPUTED_VALUE"""),"#VALUE!")</f>
        <v>#VALUE!</v>
      </c>
      <c r="B13108" s="4"/>
      <c r="C13108" s="1" t="str">
        <f>IFERROR(__xludf.DUMMYFUNCTION("""COMPUTED_VALUE"""),"#N/A")</f>
        <v>#N/A</v>
      </c>
      <c r="D13108" s="1"/>
      <c r="E13108" s="1"/>
      <c r="F13108" s="1"/>
      <c r="G13108" s="1"/>
      <c r="H13108" s="2">
        <f>IFERROR(__xludf.DUMMYFUNCTION("""COMPUTED_VALUE"""),0.0)</f>
        <v>0</v>
      </c>
      <c r="I13108" s="5"/>
      <c r="J13108" s="1" t="str">
        <f>IFERROR(__xludf.DUMMYFUNCTION("""COMPUTED_VALUE"""),"#N/A")</f>
        <v>#N/A</v>
      </c>
      <c r="K13108" s="1" t="str">
        <f>IFERROR(__xludf.DUMMYFUNCTION("""COMPUTED_VALUE"""),"#N/A")</f>
        <v>#N/A</v>
      </c>
      <c r="L13108" s="1" t="str">
        <f>IFERROR(__xludf.DUMMYFUNCTION("""COMPUTED_VALUE"""),"#N/A")</f>
        <v>#N/A</v>
      </c>
    </row>
    <row r="13109">
      <c r="A13109" s="1" t="str">
        <f>IFERROR(__xludf.DUMMYFUNCTION("""COMPUTED_VALUE"""),"#VALUE!")</f>
        <v>#VALUE!</v>
      </c>
      <c r="B13109" s="4"/>
      <c r="C13109" s="1" t="str">
        <f>IFERROR(__xludf.DUMMYFUNCTION("""COMPUTED_VALUE"""),"#N/A")</f>
        <v>#N/A</v>
      </c>
      <c r="D13109" s="1"/>
      <c r="E13109" s="1"/>
      <c r="F13109" s="1"/>
      <c r="G13109" s="1"/>
      <c r="H13109" s="2">
        <f>IFERROR(__xludf.DUMMYFUNCTION("""COMPUTED_VALUE"""),0.0)</f>
        <v>0</v>
      </c>
      <c r="I13109" s="5"/>
      <c r="J13109" s="1" t="str">
        <f>IFERROR(__xludf.DUMMYFUNCTION("""COMPUTED_VALUE"""),"#N/A")</f>
        <v>#N/A</v>
      </c>
      <c r="K13109" s="1" t="str">
        <f>IFERROR(__xludf.DUMMYFUNCTION("""COMPUTED_VALUE"""),"#N/A")</f>
        <v>#N/A</v>
      </c>
      <c r="L13109" s="1" t="str">
        <f>IFERROR(__xludf.DUMMYFUNCTION("""COMPUTED_VALUE"""),"#N/A")</f>
        <v>#N/A</v>
      </c>
    </row>
    <row r="13110">
      <c r="A13110" s="1" t="str">
        <f>IFERROR(__xludf.DUMMYFUNCTION("""COMPUTED_VALUE"""),"#VALUE!")</f>
        <v>#VALUE!</v>
      </c>
      <c r="B13110" s="4"/>
      <c r="C13110" s="1" t="str">
        <f>IFERROR(__xludf.DUMMYFUNCTION("""COMPUTED_VALUE"""),"#N/A")</f>
        <v>#N/A</v>
      </c>
      <c r="D13110" s="1"/>
      <c r="E13110" s="1"/>
      <c r="F13110" s="1"/>
      <c r="G13110" s="1"/>
      <c r="H13110" s="2">
        <f>IFERROR(__xludf.DUMMYFUNCTION("""COMPUTED_VALUE"""),0.0)</f>
        <v>0</v>
      </c>
      <c r="I13110" s="5"/>
      <c r="J13110" s="1" t="str">
        <f>IFERROR(__xludf.DUMMYFUNCTION("""COMPUTED_VALUE"""),"#N/A")</f>
        <v>#N/A</v>
      </c>
      <c r="K13110" s="1" t="str">
        <f>IFERROR(__xludf.DUMMYFUNCTION("""COMPUTED_VALUE"""),"#N/A")</f>
        <v>#N/A</v>
      </c>
      <c r="L13110" s="1" t="str">
        <f>IFERROR(__xludf.DUMMYFUNCTION("""COMPUTED_VALUE"""),"#N/A")</f>
        <v>#N/A</v>
      </c>
    </row>
    <row r="13111">
      <c r="A13111" s="1" t="str">
        <f>IFERROR(__xludf.DUMMYFUNCTION("""COMPUTED_VALUE"""),"#VALUE!")</f>
        <v>#VALUE!</v>
      </c>
      <c r="B13111" s="4"/>
      <c r="C13111" s="1" t="str">
        <f>IFERROR(__xludf.DUMMYFUNCTION("""COMPUTED_VALUE"""),"#N/A")</f>
        <v>#N/A</v>
      </c>
      <c r="D13111" s="1"/>
      <c r="E13111" s="1"/>
      <c r="F13111" s="1"/>
      <c r="G13111" s="1"/>
      <c r="H13111" s="2">
        <f>IFERROR(__xludf.DUMMYFUNCTION("""COMPUTED_VALUE"""),0.0)</f>
        <v>0</v>
      </c>
      <c r="I13111" s="5"/>
      <c r="J13111" s="1" t="str">
        <f>IFERROR(__xludf.DUMMYFUNCTION("""COMPUTED_VALUE"""),"#N/A")</f>
        <v>#N/A</v>
      </c>
      <c r="K13111" s="1" t="str">
        <f>IFERROR(__xludf.DUMMYFUNCTION("""COMPUTED_VALUE"""),"#N/A")</f>
        <v>#N/A</v>
      </c>
      <c r="L13111" s="1" t="str">
        <f>IFERROR(__xludf.DUMMYFUNCTION("""COMPUTED_VALUE"""),"#N/A")</f>
        <v>#N/A</v>
      </c>
    </row>
    <row r="13112">
      <c r="A13112" s="1" t="str">
        <f>IFERROR(__xludf.DUMMYFUNCTION("""COMPUTED_VALUE"""),"#VALUE!")</f>
        <v>#VALUE!</v>
      </c>
      <c r="B13112" s="4"/>
      <c r="C13112" s="1" t="str">
        <f>IFERROR(__xludf.DUMMYFUNCTION("""COMPUTED_VALUE"""),"#N/A")</f>
        <v>#N/A</v>
      </c>
      <c r="D13112" s="1"/>
      <c r="E13112" s="1"/>
      <c r="F13112" s="1"/>
      <c r="G13112" s="1"/>
      <c r="H13112" s="2">
        <f>IFERROR(__xludf.DUMMYFUNCTION("""COMPUTED_VALUE"""),0.0)</f>
        <v>0</v>
      </c>
      <c r="I13112" s="5"/>
      <c r="J13112" s="1" t="str">
        <f>IFERROR(__xludf.DUMMYFUNCTION("""COMPUTED_VALUE"""),"#N/A")</f>
        <v>#N/A</v>
      </c>
      <c r="K13112" s="1" t="str">
        <f>IFERROR(__xludf.DUMMYFUNCTION("""COMPUTED_VALUE"""),"#N/A")</f>
        <v>#N/A</v>
      </c>
      <c r="L13112" s="1" t="str">
        <f>IFERROR(__xludf.DUMMYFUNCTION("""COMPUTED_VALUE"""),"#N/A")</f>
        <v>#N/A</v>
      </c>
    </row>
    <row r="13113">
      <c r="A13113" s="1" t="str">
        <f>IFERROR(__xludf.DUMMYFUNCTION("""COMPUTED_VALUE"""),"#VALUE!")</f>
        <v>#VALUE!</v>
      </c>
      <c r="B13113" s="4"/>
      <c r="C13113" s="1" t="str">
        <f>IFERROR(__xludf.DUMMYFUNCTION("""COMPUTED_VALUE"""),"#N/A")</f>
        <v>#N/A</v>
      </c>
      <c r="D13113" s="1"/>
      <c r="E13113" s="1"/>
      <c r="F13113" s="1"/>
      <c r="G13113" s="1"/>
      <c r="H13113" s="2">
        <f>IFERROR(__xludf.DUMMYFUNCTION("""COMPUTED_VALUE"""),0.0)</f>
        <v>0</v>
      </c>
      <c r="I13113" s="5"/>
      <c r="J13113" s="1" t="str">
        <f>IFERROR(__xludf.DUMMYFUNCTION("""COMPUTED_VALUE"""),"#N/A")</f>
        <v>#N/A</v>
      </c>
      <c r="K13113" s="1" t="str">
        <f>IFERROR(__xludf.DUMMYFUNCTION("""COMPUTED_VALUE"""),"#N/A")</f>
        <v>#N/A</v>
      </c>
      <c r="L13113" s="1" t="str">
        <f>IFERROR(__xludf.DUMMYFUNCTION("""COMPUTED_VALUE"""),"#N/A")</f>
        <v>#N/A</v>
      </c>
    </row>
    <row r="13114">
      <c r="A13114" s="1" t="str">
        <f>IFERROR(__xludf.DUMMYFUNCTION("""COMPUTED_VALUE"""),"#VALUE!")</f>
        <v>#VALUE!</v>
      </c>
      <c r="B13114" s="4"/>
      <c r="C13114" s="1" t="str">
        <f>IFERROR(__xludf.DUMMYFUNCTION("""COMPUTED_VALUE"""),"#N/A")</f>
        <v>#N/A</v>
      </c>
      <c r="D13114" s="1"/>
      <c r="E13114" s="1"/>
      <c r="F13114" s="1"/>
      <c r="G13114" s="1"/>
      <c r="H13114" s="2">
        <f>IFERROR(__xludf.DUMMYFUNCTION("""COMPUTED_VALUE"""),0.0)</f>
        <v>0</v>
      </c>
      <c r="I13114" s="5"/>
      <c r="J13114" s="1" t="str">
        <f>IFERROR(__xludf.DUMMYFUNCTION("""COMPUTED_VALUE"""),"#N/A")</f>
        <v>#N/A</v>
      </c>
      <c r="K13114" s="1" t="str">
        <f>IFERROR(__xludf.DUMMYFUNCTION("""COMPUTED_VALUE"""),"#N/A")</f>
        <v>#N/A</v>
      </c>
      <c r="L13114" s="1" t="str">
        <f>IFERROR(__xludf.DUMMYFUNCTION("""COMPUTED_VALUE"""),"#N/A")</f>
        <v>#N/A</v>
      </c>
    </row>
    <row r="13115">
      <c r="A13115" s="1" t="str">
        <f>IFERROR(__xludf.DUMMYFUNCTION("""COMPUTED_VALUE"""),"#VALUE!")</f>
        <v>#VALUE!</v>
      </c>
      <c r="B13115" s="4"/>
      <c r="C13115" s="1" t="str">
        <f>IFERROR(__xludf.DUMMYFUNCTION("""COMPUTED_VALUE"""),"#N/A")</f>
        <v>#N/A</v>
      </c>
      <c r="D13115" s="1"/>
      <c r="E13115" s="1"/>
      <c r="F13115" s="1"/>
      <c r="G13115" s="1"/>
      <c r="H13115" s="2">
        <f>IFERROR(__xludf.DUMMYFUNCTION("""COMPUTED_VALUE"""),0.0)</f>
        <v>0</v>
      </c>
      <c r="I13115" s="5"/>
      <c r="J13115" s="1" t="str">
        <f>IFERROR(__xludf.DUMMYFUNCTION("""COMPUTED_VALUE"""),"#N/A")</f>
        <v>#N/A</v>
      </c>
      <c r="K13115" s="1" t="str">
        <f>IFERROR(__xludf.DUMMYFUNCTION("""COMPUTED_VALUE"""),"#N/A")</f>
        <v>#N/A</v>
      </c>
      <c r="L13115" s="1" t="str">
        <f>IFERROR(__xludf.DUMMYFUNCTION("""COMPUTED_VALUE"""),"#N/A")</f>
        <v>#N/A</v>
      </c>
    </row>
    <row r="13116">
      <c r="A13116" s="1" t="str">
        <f>IFERROR(__xludf.DUMMYFUNCTION("""COMPUTED_VALUE"""),"#VALUE!")</f>
        <v>#VALUE!</v>
      </c>
      <c r="B13116" s="4"/>
      <c r="C13116" s="1" t="str">
        <f>IFERROR(__xludf.DUMMYFUNCTION("""COMPUTED_VALUE"""),"#N/A")</f>
        <v>#N/A</v>
      </c>
      <c r="D13116" s="1"/>
      <c r="E13116" s="1"/>
      <c r="F13116" s="1"/>
      <c r="G13116" s="1"/>
      <c r="H13116" s="2">
        <f>IFERROR(__xludf.DUMMYFUNCTION("""COMPUTED_VALUE"""),0.0)</f>
        <v>0</v>
      </c>
      <c r="I13116" s="5"/>
      <c r="J13116" s="1" t="str">
        <f>IFERROR(__xludf.DUMMYFUNCTION("""COMPUTED_VALUE"""),"#N/A")</f>
        <v>#N/A</v>
      </c>
      <c r="K13116" s="1" t="str">
        <f>IFERROR(__xludf.DUMMYFUNCTION("""COMPUTED_VALUE"""),"#N/A")</f>
        <v>#N/A</v>
      </c>
      <c r="L13116" s="1" t="str">
        <f>IFERROR(__xludf.DUMMYFUNCTION("""COMPUTED_VALUE"""),"#N/A")</f>
        <v>#N/A</v>
      </c>
    </row>
    <row r="13117">
      <c r="A13117" s="1" t="str">
        <f>IFERROR(__xludf.DUMMYFUNCTION("""COMPUTED_VALUE"""),"#VALUE!")</f>
        <v>#VALUE!</v>
      </c>
      <c r="B13117" s="4"/>
      <c r="C13117" s="1" t="str">
        <f>IFERROR(__xludf.DUMMYFUNCTION("""COMPUTED_VALUE"""),"#N/A")</f>
        <v>#N/A</v>
      </c>
      <c r="D13117" s="1"/>
      <c r="E13117" s="1"/>
      <c r="F13117" s="1"/>
      <c r="G13117" s="1"/>
      <c r="H13117" s="2">
        <f>IFERROR(__xludf.DUMMYFUNCTION("""COMPUTED_VALUE"""),0.0)</f>
        <v>0</v>
      </c>
      <c r="I13117" s="5"/>
      <c r="J13117" s="1" t="str">
        <f>IFERROR(__xludf.DUMMYFUNCTION("""COMPUTED_VALUE"""),"#N/A")</f>
        <v>#N/A</v>
      </c>
      <c r="K13117" s="1" t="str">
        <f>IFERROR(__xludf.DUMMYFUNCTION("""COMPUTED_VALUE"""),"#N/A")</f>
        <v>#N/A</v>
      </c>
      <c r="L13117" s="1" t="str">
        <f>IFERROR(__xludf.DUMMYFUNCTION("""COMPUTED_VALUE"""),"#N/A")</f>
        <v>#N/A</v>
      </c>
    </row>
    <row r="13118">
      <c r="A13118" s="1" t="str">
        <f>IFERROR(__xludf.DUMMYFUNCTION("""COMPUTED_VALUE"""),"#VALUE!")</f>
        <v>#VALUE!</v>
      </c>
      <c r="B13118" s="4"/>
      <c r="C13118" s="1" t="str">
        <f>IFERROR(__xludf.DUMMYFUNCTION("""COMPUTED_VALUE"""),"#N/A")</f>
        <v>#N/A</v>
      </c>
      <c r="D13118" s="1"/>
      <c r="E13118" s="1"/>
      <c r="F13118" s="1"/>
      <c r="G13118" s="1"/>
      <c r="H13118" s="2">
        <f>IFERROR(__xludf.DUMMYFUNCTION("""COMPUTED_VALUE"""),0.0)</f>
        <v>0</v>
      </c>
      <c r="I13118" s="5"/>
      <c r="J13118" s="1" t="str">
        <f>IFERROR(__xludf.DUMMYFUNCTION("""COMPUTED_VALUE"""),"#N/A")</f>
        <v>#N/A</v>
      </c>
      <c r="K13118" s="1" t="str">
        <f>IFERROR(__xludf.DUMMYFUNCTION("""COMPUTED_VALUE"""),"#N/A")</f>
        <v>#N/A</v>
      </c>
      <c r="L13118" s="1" t="str">
        <f>IFERROR(__xludf.DUMMYFUNCTION("""COMPUTED_VALUE"""),"#N/A")</f>
        <v>#N/A</v>
      </c>
    </row>
    <row r="13119">
      <c r="A13119" s="1" t="str">
        <f>IFERROR(__xludf.DUMMYFUNCTION("""COMPUTED_VALUE"""),"#VALUE!")</f>
        <v>#VALUE!</v>
      </c>
      <c r="B13119" s="4"/>
      <c r="C13119" s="1" t="str">
        <f>IFERROR(__xludf.DUMMYFUNCTION("""COMPUTED_VALUE"""),"#N/A")</f>
        <v>#N/A</v>
      </c>
      <c r="D13119" s="1"/>
      <c r="E13119" s="1"/>
      <c r="F13119" s="1"/>
      <c r="G13119" s="1"/>
      <c r="H13119" s="2">
        <f>IFERROR(__xludf.DUMMYFUNCTION("""COMPUTED_VALUE"""),0.0)</f>
        <v>0</v>
      </c>
      <c r="I13119" s="5"/>
      <c r="J13119" s="1" t="str">
        <f>IFERROR(__xludf.DUMMYFUNCTION("""COMPUTED_VALUE"""),"#N/A")</f>
        <v>#N/A</v>
      </c>
      <c r="K13119" s="1" t="str">
        <f>IFERROR(__xludf.DUMMYFUNCTION("""COMPUTED_VALUE"""),"#N/A")</f>
        <v>#N/A</v>
      </c>
      <c r="L13119" s="1" t="str">
        <f>IFERROR(__xludf.DUMMYFUNCTION("""COMPUTED_VALUE"""),"#N/A")</f>
        <v>#N/A</v>
      </c>
    </row>
    <row r="13120">
      <c r="A13120" s="1" t="str">
        <f>IFERROR(__xludf.DUMMYFUNCTION("""COMPUTED_VALUE"""),"#VALUE!")</f>
        <v>#VALUE!</v>
      </c>
      <c r="B13120" s="4"/>
      <c r="C13120" s="1" t="str">
        <f>IFERROR(__xludf.DUMMYFUNCTION("""COMPUTED_VALUE"""),"#N/A")</f>
        <v>#N/A</v>
      </c>
      <c r="D13120" s="1"/>
      <c r="E13120" s="1"/>
      <c r="F13120" s="1"/>
      <c r="G13120" s="1"/>
      <c r="H13120" s="2">
        <f>IFERROR(__xludf.DUMMYFUNCTION("""COMPUTED_VALUE"""),0.0)</f>
        <v>0</v>
      </c>
      <c r="I13120" s="5"/>
      <c r="J13120" s="1" t="str">
        <f>IFERROR(__xludf.DUMMYFUNCTION("""COMPUTED_VALUE"""),"#N/A")</f>
        <v>#N/A</v>
      </c>
      <c r="K13120" s="1" t="str">
        <f>IFERROR(__xludf.DUMMYFUNCTION("""COMPUTED_VALUE"""),"#N/A")</f>
        <v>#N/A</v>
      </c>
      <c r="L13120" s="1" t="str">
        <f>IFERROR(__xludf.DUMMYFUNCTION("""COMPUTED_VALUE"""),"#N/A")</f>
        <v>#N/A</v>
      </c>
    </row>
    <row r="13121">
      <c r="A13121" s="1" t="str">
        <f>IFERROR(__xludf.DUMMYFUNCTION("""COMPUTED_VALUE"""),"#VALUE!")</f>
        <v>#VALUE!</v>
      </c>
      <c r="B13121" s="4"/>
      <c r="C13121" s="1" t="str">
        <f>IFERROR(__xludf.DUMMYFUNCTION("""COMPUTED_VALUE"""),"#N/A")</f>
        <v>#N/A</v>
      </c>
      <c r="D13121" s="1"/>
      <c r="E13121" s="1"/>
      <c r="F13121" s="1"/>
      <c r="G13121" s="1"/>
      <c r="H13121" s="2">
        <f>IFERROR(__xludf.DUMMYFUNCTION("""COMPUTED_VALUE"""),0.0)</f>
        <v>0</v>
      </c>
      <c r="I13121" s="5"/>
      <c r="J13121" s="1" t="str">
        <f>IFERROR(__xludf.DUMMYFUNCTION("""COMPUTED_VALUE"""),"#N/A")</f>
        <v>#N/A</v>
      </c>
      <c r="K13121" s="1" t="str">
        <f>IFERROR(__xludf.DUMMYFUNCTION("""COMPUTED_VALUE"""),"#N/A")</f>
        <v>#N/A</v>
      </c>
      <c r="L13121" s="1" t="str">
        <f>IFERROR(__xludf.DUMMYFUNCTION("""COMPUTED_VALUE"""),"#N/A")</f>
        <v>#N/A</v>
      </c>
    </row>
    <row r="13122">
      <c r="A13122" s="1" t="str">
        <f>IFERROR(__xludf.DUMMYFUNCTION("""COMPUTED_VALUE"""),"#VALUE!")</f>
        <v>#VALUE!</v>
      </c>
      <c r="B13122" s="4"/>
      <c r="C13122" s="1" t="str">
        <f>IFERROR(__xludf.DUMMYFUNCTION("""COMPUTED_VALUE"""),"#N/A")</f>
        <v>#N/A</v>
      </c>
      <c r="D13122" s="1"/>
      <c r="E13122" s="1"/>
      <c r="F13122" s="1"/>
      <c r="G13122" s="1"/>
      <c r="H13122" s="2">
        <f>IFERROR(__xludf.DUMMYFUNCTION("""COMPUTED_VALUE"""),0.0)</f>
        <v>0</v>
      </c>
      <c r="I13122" s="5"/>
      <c r="J13122" s="1" t="str">
        <f>IFERROR(__xludf.DUMMYFUNCTION("""COMPUTED_VALUE"""),"#N/A")</f>
        <v>#N/A</v>
      </c>
      <c r="K13122" s="1" t="str">
        <f>IFERROR(__xludf.DUMMYFUNCTION("""COMPUTED_VALUE"""),"#N/A")</f>
        <v>#N/A</v>
      </c>
      <c r="L13122" s="1" t="str">
        <f>IFERROR(__xludf.DUMMYFUNCTION("""COMPUTED_VALUE"""),"#N/A")</f>
        <v>#N/A</v>
      </c>
    </row>
    <row r="13123">
      <c r="A13123" s="1" t="str">
        <f>IFERROR(__xludf.DUMMYFUNCTION("""COMPUTED_VALUE"""),"#VALUE!")</f>
        <v>#VALUE!</v>
      </c>
      <c r="B13123" s="4"/>
      <c r="C13123" s="1" t="str">
        <f>IFERROR(__xludf.DUMMYFUNCTION("""COMPUTED_VALUE"""),"#N/A")</f>
        <v>#N/A</v>
      </c>
      <c r="D13123" s="1"/>
      <c r="E13123" s="1"/>
      <c r="F13123" s="1"/>
      <c r="G13123" s="1"/>
      <c r="H13123" s="2">
        <f>IFERROR(__xludf.DUMMYFUNCTION("""COMPUTED_VALUE"""),0.0)</f>
        <v>0</v>
      </c>
      <c r="I13123" s="5"/>
      <c r="J13123" s="1" t="str">
        <f>IFERROR(__xludf.DUMMYFUNCTION("""COMPUTED_VALUE"""),"#N/A")</f>
        <v>#N/A</v>
      </c>
      <c r="K13123" s="1" t="str">
        <f>IFERROR(__xludf.DUMMYFUNCTION("""COMPUTED_VALUE"""),"#N/A")</f>
        <v>#N/A</v>
      </c>
      <c r="L13123" s="1" t="str">
        <f>IFERROR(__xludf.DUMMYFUNCTION("""COMPUTED_VALUE"""),"#N/A")</f>
        <v>#N/A</v>
      </c>
    </row>
    <row r="13124">
      <c r="A13124" s="1" t="str">
        <f>IFERROR(__xludf.DUMMYFUNCTION("""COMPUTED_VALUE"""),"#VALUE!")</f>
        <v>#VALUE!</v>
      </c>
      <c r="B13124" s="4"/>
      <c r="C13124" s="1" t="str">
        <f>IFERROR(__xludf.DUMMYFUNCTION("""COMPUTED_VALUE"""),"#N/A")</f>
        <v>#N/A</v>
      </c>
      <c r="D13124" s="1"/>
      <c r="E13124" s="1"/>
      <c r="F13124" s="1"/>
      <c r="G13124" s="1"/>
      <c r="H13124" s="2">
        <f>IFERROR(__xludf.DUMMYFUNCTION("""COMPUTED_VALUE"""),0.0)</f>
        <v>0</v>
      </c>
      <c r="I13124" s="5"/>
      <c r="J13124" s="1" t="str">
        <f>IFERROR(__xludf.DUMMYFUNCTION("""COMPUTED_VALUE"""),"#N/A")</f>
        <v>#N/A</v>
      </c>
      <c r="K13124" s="1" t="str">
        <f>IFERROR(__xludf.DUMMYFUNCTION("""COMPUTED_VALUE"""),"#N/A")</f>
        <v>#N/A</v>
      </c>
      <c r="L13124" s="1" t="str">
        <f>IFERROR(__xludf.DUMMYFUNCTION("""COMPUTED_VALUE"""),"#N/A")</f>
        <v>#N/A</v>
      </c>
    </row>
    <row r="13125">
      <c r="A13125" s="1" t="str">
        <f>IFERROR(__xludf.DUMMYFUNCTION("""COMPUTED_VALUE"""),"#VALUE!")</f>
        <v>#VALUE!</v>
      </c>
      <c r="B13125" s="4"/>
      <c r="C13125" s="1" t="str">
        <f>IFERROR(__xludf.DUMMYFUNCTION("""COMPUTED_VALUE"""),"#N/A")</f>
        <v>#N/A</v>
      </c>
      <c r="D13125" s="1"/>
      <c r="E13125" s="1"/>
      <c r="F13125" s="1"/>
      <c r="G13125" s="1"/>
      <c r="H13125" s="2">
        <f>IFERROR(__xludf.DUMMYFUNCTION("""COMPUTED_VALUE"""),0.0)</f>
        <v>0</v>
      </c>
      <c r="I13125" s="5"/>
      <c r="J13125" s="1" t="str">
        <f>IFERROR(__xludf.DUMMYFUNCTION("""COMPUTED_VALUE"""),"#N/A")</f>
        <v>#N/A</v>
      </c>
      <c r="K13125" s="1" t="str">
        <f>IFERROR(__xludf.DUMMYFUNCTION("""COMPUTED_VALUE"""),"#N/A")</f>
        <v>#N/A</v>
      </c>
      <c r="L13125" s="1" t="str">
        <f>IFERROR(__xludf.DUMMYFUNCTION("""COMPUTED_VALUE"""),"#N/A")</f>
        <v>#N/A</v>
      </c>
    </row>
    <row r="13126">
      <c r="A13126" s="1" t="str">
        <f>IFERROR(__xludf.DUMMYFUNCTION("""COMPUTED_VALUE"""),"#VALUE!")</f>
        <v>#VALUE!</v>
      </c>
      <c r="B13126" s="4"/>
      <c r="C13126" s="1" t="str">
        <f>IFERROR(__xludf.DUMMYFUNCTION("""COMPUTED_VALUE"""),"#N/A")</f>
        <v>#N/A</v>
      </c>
      <c r="D13126" s="1"/>
      <c r="E13126" s="1"/>
      <c r="F13126" s="1"/>
      <c r="G13126" s="1"/>
      <c r="H13126" s="2">
        <f>IFERROR(__xludf.DUMMYFUNCTION("""COMPUTED_VALUE"""),0.0)</f>
        <v>0</v>
      </c>
      <c r="I13126" s="5"/>
      <c r="J13126" s="1" t="str">
        <f>IFERROR(__xludf.DUMMYFUNCTION("""COMPUTED_VALUE"""),"#N/A")</f>
        <v>#N/A</v>
      </c>
      <c r="K13126" s="1" t="str">
        <f>IFERROR(__xludf.DUMMYFUNCTION("""COMPUTED_VALUE"""),"#N/A")</f>
        <v>#N/A</v>
      </c>
      <c r="L13126" s="1" t="str">
        <f>IFERROR(__xludf.DUMMYFUNCTION("""COMPUTED_VALUE"""),"#N/A")</f>
        <v>#N/A</v>
      </c>
    </row>
    <row r="13127">
      <c r="A13127" s="1" t="str">
        <f>IFERROR(__xludf.DUMMYFUNCTION("""COMPUTED_VALUE"""),"#VALUE!")</f>
        <v>#VALUE!</v>
      </c>
      <c r="B13127" s="4"/>
      <c r="C13127" s="1" t="str">
        <f>IFERROR(__xludf.DUMMYFUNCTION("""COMPUTED_VALUE"""),"#N/A")</f>
        <v>#N/A</v>
      </c>
      <c r="D13127" s="1"/>
      <c r="E13127" s="1"/>
      <c r="F13127" s="1"/>
      <c r="G13127" s="1"/>
      <c r="H13127" s="2">
        <f>IFERROR(__xludf.DUMMYFUNCTION("""COMPUTED_VALUE"""),0.0)</f>
        <v>0</v>
      </c>
      <c r="I13127" s="5"/>
      <c r="J13127" s="1" t="str">
        <f>IFERROR(__xludf.DUMMYFUNCTION("""COMPUTED_VALUE"""),"#N/A")</f>
        <v>#N/A</v>
      </c>
      <c r="K13127" s="1" t="str">
        <f>IFERROR(__xludf.DUMMYFUNCTION("""COMPUTED_VALUE"""),"#N/A")</f>
        <v>#N/A</v>
      </c>
      <c r="L13127" s="1" t="str">
        <f>IFERROR(__xludf.DUMMYFUNCTION("""COMPUTED_VALUE"""),"#N/A")</f>
        <v>#N/A</v>
      </c>
    </row>
    <row r="13128">
      <c r="A13128" s="1" t="str">
        <f>IFERROR(__xludf.DUMMYFUNCTION("""COMPUTED_VALUE"""),"#VALUE!")</f>
        <v>#VALUE!</v>
      </c>
      <c r="B13128" s="4"/>
      <c r="C13128" s="1" t="str">
        <f>IFERROR(__xludf.DUMMYFUNCTION("""COMPUTED_VALUE"""),"#N/A")</f>
        <v>#N/A</v>
      </c>
      <c r="D13128" s="1"/>
      <c r="E13128" s="1"/>
      <c r="F13128" s="1"/>
      <c r="G13128" s="1"/>
      <c r="H13128" s="2">
        <f>IFERROR(__xludf.DUMMYFUNCTION("""COMPUTED_VALUE"""),0.0)</f>
        <v>0</v>
      </c>
      <c r="I13128" s="5"/>
      <c r="J13128" s="1" t="str">
        <f>IFERROR(__xludf.DUMMYFUNCTION("""COMPUTED_VALUE"""),"#N/A")</f>
        <v>#N/A</v>
      </c>
      <c r="K13128" s="1" t="str">
        <f>IFERROR(__xludf.DUMMYFUNCTION("""COMPUTED_VALUE"""),"#N/A")</f>
        <v>#N/A</v>
      </c>
      <c r="L13128" s="1" t="str">
        <f>IFERROR(__xludf.DUMMYFUNCTION("""COMPUTED_VALUE"""),"#N/A")</f>
        <v>#N/A</v>
      </c>
    </row>
    <row r="13129">
      <c r="A13129" s="1" t="str">
        <f>IFERROR(__xludf.DUMMYFUNCTION("""COMPUTED_VALUE"""),"#VALUE!")</f>
        <v>#VALUE!</v>
      </c>
      <c r="B13129" s="4"/>
      <c r="C13129" s="1" t="str">
        <f>IFERROR(__xludf.DUMMYFUNCTION("""COMPUTED_VALUE"""),"#N/A")</f>
        <v>#N/A</v>
      </c>
      <c r="D13129" s="1"/>
      <c r="E13129" s="1"/>
      <c r="F13129" s="1"/>
      <c r="G13129" s="1"/>
      <c r="H13129" s="2">
        <f>IFERROR(__xludf.DUMMYFUNCTION("""COMPUTED_VALUE"""),0.0)</f>
        <v>0</v>
      </c>
      <c r="I13129" s="5"/>
      <c r="J13129" s="1" t="str">
        <f>IFERROR(__xludf.DUMMYFUNCTION("""COMPUTED_VALUE"""),"#N/A")</f>
        <v>#N/A</v>
      </c>
      <c r="K13129" s="1" t="str">
        <f>IFERROR(__xludf.DUMMYFUNCTION("""COMPUTED_VALUE"""),"#N/A")</f>
        <v>#N/A</v>
      </c>
      <c r="L13129" s="1" t="str">
        <f>IFERROR(__xludf.DUMMYFUNCTION("""COMPUTED_VALUE"""),"#N/A")</f>
        <v>#N/A</v>
      </c>
    </row>
    <row r="13130">
      <c r="A13130" s="1" t="str">
        <f>IFERROR(__xludf.DUMMYFUNCTION("""COMPUTED_VALUE"""),"#VALUE!")</f>
        <v>#VALUE!</v>
      </c>
      <c r="B13130" s="4"/>
      <c r="C13130" s="1" t="str">
        <f>IFERROR(__xludf.DUMMYFUNCTION("""COMPUTED_VALUE"""),"#N/A")</f>
        <v>#N/A</v>
      </c>
      <c r="D13130" s="1"/>
      <c r="E13130" s="1"/>
      <c r="F13130" s="1"/>
      <c r="G13130" s="1"/>
      <c r="H13130" s="2">
        <f>IFERROR(__xludf.DUMMYFUNCTION("""COMPUTED_VALUE"""),0.0)</f>
        <v>0</v>
      </c>
      <c r="I13130" s="5"/>
      <c r="J13130" s="1" t="str">
        <f>IFERROR(__xludf.DUMMYFUNCTION("""COMPUTED_VALUE"""),"#N/A")</f>
        <v>#N/A</v>
      </c>
      <c r="K13130" s="1" t="str">
        <f>IFERROR(__xludf.DUMMYFUNCTION("""COMPUTED_VALUE"""),"#N/A")</f>
        <v>#N/A</v>
      </c>
      <c r="L13130" s="1" t="str">
        <f>IFERROR(__xludf.DUMMYFUNCTION("""COMPUTED_VALUE"""),"#N/A")</f>
        <v>#N/A</v>
      </c>
    </row>
    <row r="13131">
      <c r="A13131" s="1" t="str">
        <f>IFERROR(__xludf.DUMMYFUNCTION("""COMPUTED_VALUE"""),"#VALUE!")</f>
        <v>#VALUE!</v>
      </c>
      <c r="B13131" s="4"/>
      <c r="C13131" s="1" t="str">
        <f>IFERROR(__xludf.DUMMYFUNCTION("""COMPUTED_VALUE"""),"#N/A")</f>
        <v>#N/A</v>
      </c>
      <c r="D13131" s="1"/>
      <c r="E13131" s="1"/>
      <c r="F13131" s="1"/>
      <c r="G13131" s="1"/>
      <c r="H13131" s="2">
        <f>IFERROR(__xludf.DUMMYFUNCTION("""COMPUTED_VALUE"""),0.0)</f>
        <v>0</v>
      </c>
      <c r="I13131" s="5"/>
      <c r="J13131" s="1" t="str">
        <f>IFERROR(__xludf.DUMMYFUNCTION("""COMPUTED_VALUE"""),"#N/A")</f>
        <v>#N/A</v>
      </c>
      <c r="K13131" s="1" t="str">
        <f>IFERROR(__xludf.DUMMYFUNCTION("""COMPUTED_VALUE"""),"#N/A")</f>
        <v>#N/A</v>
      </c>
      <c r="L13131" s="1" t="str">
        <f>IFERROR(__xludf.DUMMYFUNCTION("""COMPUTED_VALUE"""),"#N/A")</f>
        <v>#N/A</v>
      </c>
    </row>
    <row r="13132">
      <c r="A13132" s="1" t="str">
        <f>IFERROR(__xludf.DUMMYFUNCTION("""COMPUTED_VALUE"""),"#VALUE!")</f>
        <v>#VALUE!</v>
      </c>
      <c r="B13132" s="4"/>
      <c r="C13132" s="1" t="str">
        <f>IFERROR(__xludf.DUMMYFUNCTION("""COMPUTED_VALUE"""),"#N/A")</f>
        <v>#N/A</v>
      </c>
      <c r="D13132" s="1"/>
      <c r="E13132" s="1"/>
      <c r="F13132" s="1"/>
      <c r="G13132" s="1"/>
      <c r="H13132" s="2">
        <f>IFERROR(__xludf.DUMMYFUNCTION("""COMPUTED_VALUE"""),0.0)</f>
        <v>0</v>
      </c>
      <c r="I13132" s="5"/>
      <c r="J13132" s="1" t="str">
        <f>IFERROR(__xludf.DUMMYFUNCTION("""COMPUTED_VALUE"""),"#N/A")</f>
        <v>#N/A</v>
      </c>
      <c r="K13132" s="1" t="str">
        <f>IFERROR(__xludf.DUMMYFUNCTION("""COMPUTED_VALUE"""),"#N/A")</f>
        <v>#N/A</v>
      </c>
      <c r="L13132" s="1" t="str">
        <f>IFERROR(__xludf.DUMMYFUNCTION("""COMPUTED_VALUE"""),"#N/A")</f>
        <v>#N/A</v>
      </c>
    </row>
    <row r="13133">
      <c r="A13133" s="1" t="str">
        <f>IFERROR(__xludf.DUMMYFUNCTION("""COMPUTED_VALUE"""),"#VALUE!")</f>
        <v>#VALUE!</v>
      </c>
      <c r="B13133" s="4"/>
      <c r="C13133" s="1" t="str">
        <f>IFERROR(__xludf.DUMMYFUNCTION("""COMPUTED_VALUE"""),"#N/A")</f>
        <v>#N/A</v>
      </c>
      <c r="D13133" s="1"/>
      <c r="E13133" s="1"/>
      <c r="F13133" s="1"/>
      <c r="G13133" s="1"/>
      <c r="H13133" s="2">
        <f>IFERROR(__xludf.DUMMYFUNCTION("""COMPUTED_VALUE"""),0.0)</f>
        <v>0</v>
      </c>
      <c r="I13133" s="5"/>
      <c r="J13133" s="1" t="str">
        <f>IFERROR(__xludf.DUMMYFUNCTION("""COMPUTED_VALUE"""),"#N/A")</f>
        <v>#N/A</v>
      </c>
      <c r="K13133" s="1" t="str">
        <f>IFERROR(__xludf.DUMMYFUNCTION("""COMPUTED_VALUE"""),"#N/A")</f>
        <v>#N/A</v>
      </c>
      <c r="L13133" s="1" t="str">
        <f>IFERROR(__xludf.DUMMYFUNCTION("""COMPUTED_VALUE"""),"#N/A")</f>
        <v>#N/A</v>
      </c>
    </row>
    <row r="13134">
      <c r="A13134" s="1" t="str">
        <f>IFERROR(__xludf.DUMMYFUNCTION("""COMPUTED_VALUE"""),"#VALUE!")</f>
        <v>#VALUE!</v>
      </c>
      <c r="B13134" s="4"/>
      <c r="C13134" s="1" t="str">
        <f>IFERROR(__xludf.DUMMYFUNCTION("""COMPUTED_VALUE"""),"#N/A")</f>
        <v>#N/A</v>
      </c>
      <c r="D13134" s="1"/>
      <c r="E13134" s="1"/>
      <c r="F13134" s="1"/>
      <c r="G13134" s="1"/>
      <c r="H13134" s="2">
        <f>IFERROR(__xludf.DUMMYFUNCTION("""COMPUTED_VALUE"""),0.0)</f>
        <v>0</v>
      </c>
      <c r="I13134" s="5"/>
      <c r="J13134" s="1" t="str">
        <f>IFERROR(__xludf.DUMMYFUNCTION("""COMPUTED_VALUE"""),"#N/A")</f>
        <v>#N/A</v>
      </c>
      <c r="K13134" s="1" t="str">
        <f>IFERROR(__xludf.DUMMYFUNCTION("""COMPUTED_VALUE"""),"#N/A")</f>
        <v>#N/A</v>
      </c>
      <c r="L13134" s="1" t="str">
        <f>IFERROR(__xludf.DUMMYFUNCTION("""COMPUTED_VALUE"""),"#N/A")</f>
        <v>#N/A</v>
      </c>
    </row>
    <row r="13135">
      <c r="A13135" s="1" t="str">
        <f>IFERROR(__xludf.DUMMYFUNCTION("""COMPUTED_VALUE"""),"#VALUE!")</f>
        <v>#VALUE!</v>
      </c>
      <c r="B13135" s="4"/>
      <c r="C13135" s="1" t="str">
        <f>IFERROR(__xludf.DUMMYFUNCTION("""COMPUTED_VALUE"""),"#N/A")</f>
        <v>#N/A</v>
      </c>
      <c r="D13135" s="1"/>
      <c r="E13135" s="1"/>
      <c r="F13135" s="1"/>
      <c r="G13135" s="1"/>
      <c r="H13135" s="2">
        <f>IFERROR(__xludf.DUMMYFUNCTION("""COMPUTED_VALUE"""),0.0)</f>
        <v>0</v>
      </c>
      <c r="I13135" s="5"/>
      <c r="J13135" s="1" t="str">
        <f>IFERROR(__xludf.DUMMYFUNCTION("""COMPUTED_VALUE"""),"#N/A")</f>
        <v>#N/A</v>
      </c>
      <c r="K13135" s="1" t="str">
        <f>IFERROR(__xludf.DUMMYFUNCTION("""COMPUTED_VALUE"""),"#N/A")</f>
        <v>#N/A</v>
      </c>
      <c r="L13135" s="1" t="str">
        <f>IFERROR(__xludf.DUMMYFUNCTION("""COMPUTED_VALUE"""),"#N/A")</f>
        <v>#N/A</v>
      </c>
    </row>
    <row r="13136">
      <c r="A13136" s="1" t="str">
        <f>IFERROR(__xludf.DUMMYFUNCTION("""COMPUTED_VALUE"""),"#VALUE!")</f>
        <v>#VALUE!</v>
      </c>
      <c r="B13136" s="4"/>
      <c r="C13136" s="1" t="str">
        <f>IFERROR(__xludf.DUMMYFUNCTION("""COMPUTED_VALUE"""),"#N/A")</f>
        <v>#N/A</v>
      </c>
      <c r="D13136" s="1"/>
      <c r="E13136" s="1"/>
      <c r="F13136" s="1"/>
      <c r="G13136" s="1"/>
      <c r="H13136" s="2">
        <f>IFERROR(__xludf.DUMMYFUNCTION("""COMPUTED_VALUE"""),0.0)</f>
        <v>0</v>
      </c>
      <c r="I13136" s="5"/>
      <c r="J13136" s="1" t="str">
        <f>IFERROR(__xludf.DUMMYFUNCTION("""COMPUTED_VALUE"""),"#N/A")</f>
        <v>#N/A</v>
      </c>
      <c r="K13136" s="1" t="str">
        <f>IFERROR(__xludf.DUMMYFUNCTION("""COMPUTED_VALUE"""),"#N/A")</f>
        <v>#N/A</v>
      </c>
      <c r="L13136" s="1" t="str">
        <f>IFERROR(__xludf.DUMMYFUNCTION("""COMPUTED_VALUE"""),"#N/A")</f>
        <v>#N/A</v>
      </c>
    </row>
    <row r="13137">
      <c r="A13137" s="1" t="str">
        <f>IFERROR(__xludf.DUMMYFUNCTION("""COMPUTED_VALUE"""),"#VALUE!")</f>
        <v>#VALUE!</v>
      </c>
      <c r="B13137" s="4"/>
      <c r="C13137" s="1" t="str">
        <f>IFERROR(__xludf.DUMMYFUNCTION("""COMPUTED_VALUE"""),"#N/A")</f>
        <v>#N/A</v>
      </c>
      <c r="D13137" s="1"/>
      <c r="E13137" s="1"/>
      <c r="F13137" s="1"/>
      <c r="G13137" s="1"/>
      <c r="H13137" s="2">
        <f>IFERROR(__xludf.DUMMYFUNCTION("""COMPUTED_VALUE"""),0.0)</f>
        <v>0</v>
      </c>
      <c r="I13137" s="5"/>
      <c r="J13137" s="1" t="str">
        <f>IFERROR(__xludf.DUMMYFUNCTION("""COMPUTED_VALUE"""),"#N/A")</f>
        <v>#N/A</v>
      </c>
      <c r="K13137" s="1" t="str">
        <f>IFERROR(__xludf.DUMMYFUNCTION("""COMPUTED_VALUE"""),"#N/A")</f>
        <v>#N/A</v>
      </c>
      <c r="L13137" s="1" t="str">
        <f>IFERROR(__xludf.DUMMYFUNCTION("""COMPUTED_VALUE"""),"#N/A")</f>
        <v>#N/A</v>
      </c>
    </row>
    <row r="13138">
      <c r="A13138" s="1" t="str">
        <f>IFERROR(__xludf.DUMMYFUNCTION("""COMPUTED_VALUE"""),"#VALUE!")</f>
        <v>#VALUE!</v>
      </c>
      <c r="B13138" s="4"/>
      <c r="C13138" s="1" t="str">
        <f>IFERROR(__xludf.DUMMYFUNCTION("""COMPUTED_VALUE"""),"#N/A")</f>
        <v>#N/A</v>
      </c>
      <c r="D13138" s="1"/>
      <c r="E13138" s="1"/>
      <c r="F13138" s="1"/>
      <c r="G13138" s="1"/>
      <c r="H13138" s="2">
        <f>IFERROR(__xludf.DUMMYFUNCTION("""COMPUTED_VALUE"""),0.0)</f>
        <v>0</v>
      </c>
      <c r="I13138" s="5"/>
      <c r="J13138" s="1" t="str">
        <f>IFERROR(__xludf.DUMMYFUNCTION("""COMPUTED_VALUE"""),"#N/A")</f>
        <v>#N/A</v>
      </c>
      <c r="K13138" s="1" t="str">
        <f>IFERROR(__xludf.DUMMYFUNCTION("""COMPUTED_VALUE"""),"#N/A")</f>
        <v>#N/A</v>
      </c>
      <c r="L13138" s="1" t="str">
        <f>IFERROR(__xludf.DUMMYFUNCTION("""COMPUTED_VALUE"""),"#N/A")</f>
        <v>#N/A</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75"/>
    <col customWidth="1" min="2" max="3" width="13.38"/>
    <col customWidth="1" min="4" max="4" width="16.25"/>
    <col customWidth="1" min="5" max="5" width="13.38"/>
    <col customWidth="1" min="7" max="7" width="25.38"/>
    <col customWidth="1" min="10" max="10" width="20.88"/>
  </cols>
  <sheetData>
    <row r="1">
      <c r="A1" s="6" t="s">
        <v>0</v>
      </c>
      <c r="B1" s="7">
        <f>TODAY()-WEEKDAY(TODAY(),2)-6</f>
        <v>46104</v>
      </c>
      <c r="C1" s="8"/>
      <c r="D1" s="8"/>
      <c r="E1" s="8"/>
      <c r="F1" s="9"/>
      <c r="G1" s="10" t="s">
        <v>1</v>
      </c>
      <c r="H1" s="11" t="str">
        <f>text(B1, "YYYY MMM")</f>
        <v>2026 Mar</v>
      </c>
      <c r="I1" s="9"/>
      <c r="J1" s="9"/>
      <c r="K1" s="9"/>
      <c r="L1" s="9"/>
      <c r="M1" s="9"/>
    </row>
    <row r="2">
      <c r="A2" s="12"/>
      <c r="B2" s="8"/>
      <c r="C2" s="8"/>
      <c r="D2" s="8"/>
      <c r="E2" s="8"/>
      <c r="F2" s="9"/>
      <c r="G2" s="9"/>
      <c r="H2" s="9"/>
      <c r="I2" s="9"/>
      <c r="J2" s="9"/>
      <c r="K2" s="9"/>
      <c r="L2" s="9"/>
      <c r="M2" s="9"/>
    </row>
    <row r="3">
      <c r="A3" s="13" t="s">
        <v>2</v>
      </c>
      <c r="B3" s="14" t="s">
        <v>3</v>
      </c>
      <c r="C3" s="14" t="s">
        <v>4</v>
      </c>
      <c r="D3" s="14" t="s">
        <v>5</v>
      </c>
      <c r="E3" s="15" t="s">
        <v>6</v>
      </c>
      <c r="F3" s="9"/>
      <c r="G3" s="13" t="s">
        <v>2</v>
      </c>
      <c r="H3" s="14" t="s">
        <v>3</v>
      </c>
      <c r="I3" s="14" t="s">
        <v>4</v>
      </c>
      <c r="J3" s="14" t="s">
        <v>5</v>
      </c>
      <c r="K3" s="15" t="s">
        <v>6</v>
      </c>
      <c r="L3" s="9"/>
      <c r="M3" s="9"/>
    </row>
    <row r="4">
      <c r="A4" s="16" t="s">
        <v>7</v>
      </c>
      <c r="B4" s="17">
        <f t="shared" ref="B4:C4" si="1">sum(B5:B11)</f>
        <v>0</v>
      </c>
      <c r="C4" s="17">
        <f t="shared" si="1"/>
        <v>0</v>
      </c>
      <c r="D4" s="17">
        <f t="shared" ref="D4:D11" si="3">sum(B4:C4)</f>
        <v>0</v>
      </c>
      <c r="E4" s="18" t="str">
        <f t="shared" ref="E4:E11" si="4">iferror((C4/D4),"")</f>
        <v/>
      </c>
      <c r="F4" s="9"/>
      <c r="G4" s="16" t="s">
        <v>7</v>
      </c>
      <c r="H4" s="17">
        <f t="shared" ref="H4:I4" si="2">sum(H5:H11)</f>
        <v>47.25</v>
      </c>
      <c r="I4" s="17">
        <f t="shared" si="2"/>
        <v>2068.51</v>
      </c>
      <c r="J4" s="17">
        <f t="shared" ref="J4:J11" si="5">sum(H4:I4)</f>
        <v>2115.76</v>
      </c>
      <c r="K4" s="18">
        <f t="shared" ref="K4:K11" si="6">iferror((I4/J4),"")</f>
        <v>0.9776675993</v>
      </c>
      <c r="L4" s="9"/>
      <c r="M4" s="9"/>
    </row>
    <row r="5">
      <c r="A5" s="12" t="s">
        <v>8</v>
      </c>
      <c r="B5" s="19">
        <f>sumifs('Raw Data'!$F:$F,'Raw Data'!$C:$C,$A5,'Raw Data'!$B:$B,$B$1)</f>
        <v>0</v>
      </c>
      <c r="C5" s="19">
        <f>sumifs('Raw Data'!$G:$G,'Raw Data'!$C:$C,$A5,'Raw Data'!$B:$B,$B$1)</f>
        <v>0</v>
      </c>
      <c r="D5" s="19">
        <f t="shared" si="3"/>
        <v>0</v>
      </c>
      <c r="E5" s="20" t="str">
        <f t="shared" si="4"/>
        <v/>
      </c>
      <c r="F5" s="9"/>
      <c r="G5" s="12" t="s">
        <v>8</v>
      </c>
      <c r="H5" s="19">
        <f>sumifs('Raw Data'!$S:$S,'Raw Data'!$P:$P,$G5,'Raw Data'!$O:$O,$H$1)</f>
        <v>0</v>
      </c>
      <c r="I5" s="19">
        <f>sumifs('Raw Data'!$T:$T,'Raw Data'!$P:$P,$G5,'Raw Data'!$O:$O,$H$1)</f>
        <v>0</v>
      </c>
      <c r="J5" s="19">
        <f t="shared" si="5"/>
        <v>0</v>
      </c>
      <c r="K5" s="20" t="str">
        <f t="shared" si="6"/>
        <v/>
      </c>
      <c r="L5" s="9"/>
      <c r="M5" s="9"/>
    </row>
    <row r="6">
      <c r="A6" s="12" t="s">
        <v>9</v>
      </c>
      <c r="B6" s="19">
        <f>sumifs('Raw Data'!$F:$F,'Raw Data'!$C:$C,$A6,'Raw Data'!$B:$B,$B$1)</f>
        <v>0</v>
      </c>
      <c r="C6" s="19">
        <f>sumifs('Raw Data'!$G:$G,'Raw Data'!$C:$C,$A6,'Raw Data'!$B:$B,$B$1)</f>
        <v>0</v>
      </c>
      <c r="D6" s="19">
        <f t="shared" si="3"/>
        <v>0</v>
      </c>
      <c r="E6" s="20" t="str">
        <f t="shared" si="4"/>
        <v/>
      </c>
      <c r="F6" s="9"/>
      <c r="G6" s="12" t="s">
        <v>9</v>
      </c>
      <c r="H6" s="19">
        <f>sumifs('Raw Data'!$S:$S,'Raw Data'!$P:$P,$G6,'Raw Data'!$O:$O,$H$1)</f>
        <v>0</v>
      </c>
      <c r="I6" s="19">
        <f>sumifs('Raw Data'!$T:$T,'Raw Data'!$P:$P,$G6,'Raw Data'!$O:$O,$H$1)</f>
        <v>130.19</v>
      </c>
      <c r="J6" s="19">
        <f t="shared" si="5"/>
        <v>130.19</v>
      </c>
      <c r="K6" s="20">
        <f t="shared" si="6"/>
        <v>1</v>
      </c>
      <c r="L6" s="9"/>
      <c r="M6" s="9"/>
    </row>
    <row r="7">
      <c r="A7" s="12" t="s">
        <v>10</v>
      </c>
      <c r="B7" s="19">
        <f>sumifs('Raw Data'!$F:$F,'Raw Data'!$C:$C,$A7,'Raw Data'!$B:$B,$B$1)</f>
        <v>0</v>
      </c>
      <c r="C7" s="19">
        <f>sumifs('Raw Data'!$G:$G,'Raw Data'!$C:$C,$A7,'Raw Data'!$B:$B,$B$1)</f>
        <v>0</v>
      </c>
      <c r="D7" s="19">
        <f t="shared" si="3"/>
        <v>0</v>
      </c>
      <c r="E7" s="20" t="str">
        <f t="shared" si="4"/>
        <v/>
      </c>
      <c r="F7" s="9"/>
      <c r="G7" s="12" t="s">
        <v>10</v>
      </c>
      <c r="H7" s="19">
        <f>sumifs('Raw Data'!$S:$S,'Raw Data'!$P:$P,$G7,'Raw Data'!$O:$O,$H$1)</f>
        <v>0</v>
      </c>
      <c r="I7" s="19">
        <f>sumifs('Raw Data'!$T:$T,'Raw Data'!$P:$P,$G7,'Raw Data'!$O:$O,$H$1)</f>
        <v>186.57</v>
      </c>
      <c r="J7" s="19">
        <f t="shared" si="5"/>
        <v>186.57</v>
      </c>
      <c r="K7" s="20">
        <f t="shared" si="6"/>
        <v>1</v>
      </c>
      <c r="L7" s="9"/>
      <c r="M7" s="9"/>
    </row>
    <row r="8">
      <c r="A8" s="12" t="s">
        <v>11</v>
      </c>
      <c r="B8" s="19">
        <f>sumifs('Raw Data'!$F:$F,'Raw Data'!$C:$C,$A8,'Raw Data'!$B:$B,$B$1)</f>
        <v>0</v>
      </c>
      <c r="C8" s="19">
        <f>sumifs('Raw Data'!$G:$G,'Raw Data'!$C:$C,$A8,'Raw Data'!$B:$B,$B$1)</f>
        <v>0</v>
      </c>
      <c r="D8" s="19">
        <f t="shared" si="3"/>
        <v>0</v>
      </c>
      <c r="E8" s="20" t="str">
        <f t="shared" si="4"/>
        <v/>
      </c>
      <c r="F8" s="9"/>
      <c r="G8" s="12" t="s">
        <v>11</v>
      </c>
      <c r="H8" s="19">
        <f>sumifs('Raw Data'!$S:$S,'Raw Data'!$P:$P,$G8,'Raw Data'!$O:$O,$H$1)</f>
        <v>0</v>
      </c>
      <c r="I8" s="19">
        <f>sumifs('Raw Data'!$T:$T,'Raw Data'!$P:$P,$G8,'Raw Data'!$O:$O,$H$1)</f>
        <v>427.83</v>
      </c>
      <c r="J8" s="19">
        <f t="shared" si="5"/>
        <v>427.83</v>
      </c>
      <c r="K8" s="20">
        <f t="shared" si="6"/>
        <v>1</v>
      </c>
      <c r="L8" s="9"/>
      <c r="M8" s="9"/>
    </row>
    <row r="9">
      <c r="A9" s="12" t="s">
        <v>12</v>
      </c>
      <c r="B9" s="19">
        <f>sumifs('Raw Data'!$F:$F,'Raw Data'!$C:$C,$A9,'Raw Data'!$B:$B,$B$1)</f>
        <v>0</v>
      </c>
      <c r="C9" s="19">
        <f>sumifs('Raw Data'!$G:$G,'Raw Data'!$C:$C,$A9,'Raw Data'!$B:$B,$B$1)</f>
        <v>0</v>
      </c>
      <c r="D9" s="19">
        <f t="shared" si="3"/>
        <v>0</v>
      </c>
      <c r="E9" s="20" t="str">
        <f t="shared" si="4"/>
        <v/>
      </c>
      <c r="F9" s="9"/>
      <c r="G9" s="12" t="s">
        <v>12</v>
      </c>
      <c r="H9" s="19">
        <f>sumifs('Raw Data'!$S:$S,'Raw Data'!$P:$P,$G9,'Raw Data'!$O:$O,$H$1)</f>
        <v>0</v>
      </c>
      <c r="I9" s="19">
        <f>sumifs('Raw Data'!$T:$T,'Raw Data'!$P:$P,$G9,'Raw Data'!$O:$O,$H$1)</f>
        <v>61</v>
      </c>
      <c r="J9" s="19">
        <f t="shared" si="5"/>
        <v>61</v>
      </c>
      <c r="K9" s="20">
        <f t="shared" si="6"/>
        <v>1</v>
      </c>
      <c r="L9" s="9"/>
      <c r="M9" s="9"/>
    </row>
    <row r="10">
      <c r="A10" s="12" t="s">
        <v>13</v>
      </c>
      <c r="B10" s="19">
        <f>sumifs('Raw Data'!$F:$F,'Raw Data'!$C:$C,$A10,'Raw Data'!$B:$B,$B$1)</f>
        <v>0</v>
      </c>
      <c r="C10" s="19">
        <f>sumifs('Raw Data'!$G:$G,'Raw Data'!$C:$C,$A10,'Raw Data'!$B:$B,$B$1)</f>
        <v>0</v>
      </c>
      <c r="D10" s="19">
        <f t="shared" si="3"/>
        <v>0</v>
      </c>
      <c r="E10" s="20" t="str">
        <f t="shared" si="4"/>
        <v/>
      </c>
      <c r="F10" s="9"/>
      <c r="G10" s="12" t="s">
        <v>13</v>
      </c>
      <c r="H10" s="19">
        <f>sumifs('Raw Data'!$S:$S,'Raw Data'!$P:$P,$G10,'Raw Data'!$O:$O,$H$1)</f>
        <v>47.25</v>
      </c>
      <c r="I10" s="19">
        <f>sumifs('Raw Data'!$T:$T,'Raw Data'!$P:$P,$G10,'Raw Data'!$O:$O,$H$1)</f>
        <v>1183.92</v>
      </c>
      <c r="J10" s="19">
        <f t="shared" si="5"/>
        <v>1231.17</v>
      </c>
      <c r="K10" s="20">
        <f t="shared" si="6"/>
        <v>0.9616218719</v>
      </c>
      <c r="L10" s="9"/>
      <c r="M10" s="9"/>
    </row>
    <row r="11">
      <c r="A11" s="12" t="s">
        <v>14</v>
      </c>
      <c r="B11" s="19">
        <f>sumifs('Raw Data'!$F:$F,'Raw Data'!$C:$C,$A11,'Raw Data'!$B:$B,$B$1)</f>
        <v>0</v>
      </c>
      <c r="C11" s="19">
        <f>sumifs('Raw Data'!$G:$G,'Raw Data'!$C:$C,$A11,'Raw Data'!$B:$B,$B$1)</f>
        <v>0</v>
      </c>
      <c r="D11" s="19">
        <f t="shared" si="3"/>
        <v>0</v>
      </c>
      <c r="E11" s="20" t="str">
        <f t="shared" si="4"/>
        <v/>
      </c>
      <c r="F11" s="9"/>
      <c r="G11" s="12" t="s">
        <v>14</v>
      </c>
      <c r="H11" s="19">
        <f>sumifs('Raw Data'!$S:$S,'Raw Data'!$P:$P,$G11,'Raw Data'!$O:$O,$H$1)</f>
        <v>0</v>
      </c>
      <c r="I11" s="19">
        <f>sumifs('Raw Data'!$T:$T,'Raw Data'!$P:$P,$G11,'Raw Data'!$O:$O,$H$1)</f>
        <v>79</v>
      </c>
      <c r="J11" s="19">
        <f t="shared" si="5"/>
        <v>79</v>
      </c>
      <c r="K11" s="20">
        <f t="shared" si="6"/>
        <v>1</v>
      </c>
      <c r="L11" s="9"/>
      <c r="M11" s="9"/>
    </row>
    <row r="12">
      <c r="A12" s="9"/>
      <c r="B12" s="21"/>
      <c r="C12" s="21"/>
      <c r="D12" s="21"/>
      <c r="E12" s="21"/>
      <c r="F12" s="9"/>
      <c r="G12" s="9"/>
      <c r="H12" s="9"/>
      <c r="I12" s="9"/>
      <c r="J12" s="9"/>
      <c r="K12" s="9"/>
      <c r="L12" s="9"/>
      <c r="M12" s="9"/>
    </row>
    <row r="13">
      <c r="A13" s="9"/>
      <c r="B13" s="21"/>
      <c r="C13" s="21"/>
      <c r="D13" s="21"/>
      <c r="E13" s="21"/>
      <c r="F13" s="9"/>
      <c r="G13" s="9"/>
      <c r="H13" s="9"/>
      <c r="I13" s="9"/>
      <c r="J13" s="9"/>
      <c r="K13" s="9"/>
      <c r="L13" s="9"/>
      <c r="M13" s="9"/>
    </row>
    <row r="14">
      <c r="A14" s="9"/>
      <c r="B14" s="21"/>
      <c r="C14" s="21"/>
      <c r="D14" s="21"/>
      <c r="E14" s="21"/>
      <c r="F14" s="9"/>
      <c r="G14" s="9"/>
      <c r="H14" s="9"/>
      <c r="I14" s="9"/>
      <c r="J14" s="9"/>
      <c r="K14" s="9"/>
      <c r="L14" s="9"/>
      <c r="M14" s="9"/>
    </row>
    <row r="15">
      <c r="A15" s="22" t="s">
        <v>15</v>
      </c>
      <c r="B15" s="8" t="s">
        <v>3</v>
      </c>
      <c r="C15" s="8" t="s">
        <v>4</v>
      </c>
      <c r="D15" s="8" t="s">
        <v>5</v>
      </c>
      <c r="E15" s="20" t="s">
        <v>6</v>
      </c>
      <c r="F15" s="9"/>
      <c r="G15" s="23" t="s">
        <v>16</v>
      </c>
      <c r="H15" s="9"/>
      <c r="I15" s="9"/>
      <c r="J15" s="23" t="s">
        <v>17</v>
      </c>
      <c r="K15" s="9"/>
      <c r="L15" s="9"/>
      <c r="M15" s="9"/>
    </row>
    <row r="16">
      <c r="A16" s="24" t="s">
        <v>18</v>
      </c>
      <c r="B16" s="19">
        <f>sumifs('Raw Data'!$F:$F,'Raw Data'!$K:$K,$A16,'Raw Data'!$B:$B,$B$1)</f>
        <v>0</v>
      </c>
      <c r="C16" s="19">
        <f>sumifs('Raw Data'!$G:$G,'Raw Data'!$K:$K,$A16,'Raw Data'!$B:$B,$B$1)</f>
        <v>0</v>
      </c>
      <c r="D16" s="19">
        <f t="shared" ref="D16:D32" si="7">sum(B16:C16)</f>
        <v>0</v>
      </c>
      <c r="E16" s="20" t="str">
        <f t="shared" ref="E16:E32" si="8">iferror((C16/D16),"")</f>
        <v/>
      </c>
      <c r="F16" s="9"/>
      <c r="G16" s="25" t="str">
        <f>IFERROR(__xludf.DUMMYFUNCTION("iferror(filter($A$16:$A$32, ($E$16:$E$32 &lt; 0.5)* ($E$16:$E$32 &lt;&gt; 0)), ""None"")"),"None")</f>
        <v>None</v>
      </c>
      <c r="H16" s="26" t="str">
        <f t="shared" ref="H16:H33" si="9">iferror(xlookup(G16,$A$16:$A$32,$E$16:$E$32),"")</f>
        <v/>
      </c>
      <c r="I16" s="9"/>
      <c r="J16" s="27" t="str">
        <f>IFERROR(__xludf.DUMMYFUNCTION("iferror(filter($A$16:$A$32, ($E$16:$E$32 = 0)), ""None"")"),"None")</f>
        <v>None</v>
      </c>
      <c r="K16" s="26" t="str">
        <f t="shared" ref="K16:K33" si="10">iferror(xlookup(J16,$A$16:$A$32,$E$16:$E$32),"")</f>
        <v/>
      </c>
      <c r="L16" s="24"/>
      <c r="M16" s="9"/>
    </row>
    <row r="17">
      <c r="A17" s="24" t="s">
        <v>19</v>
      </c>
      <c r="B17" s="19">
        <f>sumifs('Raw Data'!$F:$F,'Raw Data'!$K:$K,$A17,'Raw Data'!$B:$B,$B$1)</f>
        <v>0</v>
      </c>
      <c r="C17" s="19">
        <f>sumifs('Raw Data'!$G:$G,'Raw Data'!$K:$K,$A17,'Raw Data'!$B:$B,$B$1)</f>
        <v>0</v>
      </c>
      <c r="D17" s="19">
        <f t="shared" si="7"/>
        <v>0</v>
      </c>
      <c r="E17" s="20" t="str">
        <f t="shared" si="8"/>
        <v/>
      </c>
      <c r="F17" s="9"/>
      <c r="G17" s="25"/>
      <c r="H17" s="26" t="str">
        <f t="shared" si="9"/>
        <v/>
      </c>
      <c r="I17" s="9"/>
      <c r="J17" s="27"/>
      <c r="K17" s="26" t="str">
        <f t="shared" si="10"/>
        <v/>
      </c>
      <c r="L17" s="9"/>
      <c r="M17" s="9"/>
    </row>
    <row r="18">
      <c r="A18" s="24" t="s">
        <v>20</v>
      </c>
      <c r="B18" s="19">
        <f>sumifs('Raw Data'!$F:$F,'Raw Data'!$K:$K,$A18,'Raw Data'!$B:$B,$B$1)</f>
        <v>0</v>
      </c>
      <c r="C18" s="19">
        <f>sumifs('Raw Data'!$G:$G,'Raw Data'!$K:$K,$A18,'Raw Data'!$B:$B,$B$1)</f>
        <v>0</v>
      </c>
      <c r="D18" s="19">
        <f t="shared" si="7"/>
        <v>0</v>
      </c>
      <c r="E18" s="20" t="str">
        <f t="shared" si="8"/>
        <v/>
      </c>
      <c r="F18" s="9"/>
      <c r="G18" s="25"/>
      <c r="H18" s="26" t="str">
        <f t="shared" si="9"/>
        <v/>
      </c>
      <c r="I18" s="9"/>
      <c r="J18" s="27"/>
      <c r="K18" s="26" t="str">
        <f t="shared" si="10"/>
        <v/>
      </c>
      <c r="L18" s="9"/>
      <c r="M18" s="9"/>
    </row>
    <row r="19">
      <c r="A19" s="24" t="s">
        <v>21</v>
      </c>
      <c r="B19" s="19">
        <f>sumifs('Raw Data'!$F:$F,'Raw Data'!$K:$K,$A19,'Raw Data'!$B:$B,$B$1)</f>
        <v>0</v>
      </c>
      <c r="C19" s="19">
        <f>sumifs('Raw Data'!$G:$G,'Raw Data'!$K:$K,$A19,'Raw Data'!$B:$B,$B$1)</f>
        <v>0</v>
      </c>
      <c r="D19" s="19">
        <f t="shared" si="7"/>
        <v>0</v>
      </c>
      <c r="E19" s="20" t="str">
        <f t="shared" si="8"/>
        <v/>
      </c>
      <c r="F19" s="9"/>
      <c r="G19" s="25"/>
      <c r="H19" s="26" t="str">
        <f t="shared" si="9"/>
        <v/>
      </c>
      <c r="I19" s="9"/>
      <c r="J19" s="27"/>
      <c r="K19" s="26" t="str">
        <f t="shared" si="10"/>
        <v/>
      </c>
      <c r="L19" s="9"/>
      <c r="M19" s="9"/>
    </row>
    <row r="20">
      <c r="A20" s="24" t="s">
        <v>22</v>
      </c>
      <c r="B20" s="19">
        <f>sumifs('Raw Data'!$F:$F,'Raw Data'!$K:$K,$A20,'Raw Data'!$B:$B,$B$1)</f>
        <v>0</v>
      </c>
      <c r="C20" s="19">
        <f>sumifs('Raw Data'!$G:$G,'Raw Data'!$K:$K,$A20,'Raw Data'!$B:$B,$B$1)</f>
        <v>0</v>
      </c>
      <c r="D20" s="19">
        <f t="shared" si="7"/>
        <v>0</v>
      </c>
      <c r="E20" s="20" t="str">
        <f t="shared" si="8"/>
        <v/>
      </c>
      <c r="F20" s="9"/>
      <c r="G20" s="25"/>
      <c r="H20" s="26" t="str">
        <f t="shared" si="9"/>
        <v/>
      </c>
      <c r="I20" s="9"/>
      <c r="J20" s="27"/>
      <c r="K20" s="26" t="str">
        <f t="shared" si="10"/>
        <v/>
      </c>
      <c r="L20" s="9"/>
      <c r="M20" s="9"/>
    </row>
    <row r="21">
      <c r="A21" s="24" t="s">
        <v>23</v>
      </c>
      <c r="B21" s="19">
        <f>sumifs('Raw Data'!$F:$F,'Raw Data'!$K:$K,$A21,'Raw Data'!$B:$B,$B$1)</f>
        <v>0</v>
      </c>
      <c r="C21" s="19">
        <f>sumifs('Raw Data'!$G:$G,'Raw Data'!$K:$K,$A21,'Raw Data'!$B:$B,$B$1)</f>
        <v>0</v>
      </c>
      <c r="D21" s="19">
        <f t="shared" si="7"/>
        <v>0</v>
      </c>
      <c r="E21" s="20" t="str">
        <f t="shared" si="8"/>
        <v/>
      </c>
      <c r="F21" s="9"/>
      <c r="G21" s="25"/>
      <c r="H21" s="26" t="str">
        <f t="shared" si="9"/>
        <v/>
      </c>
      <c r="I21" s="9"/>
      <c r="J21" s="25"/>
      <c r="K21" s="26" t="str">
        <f t="shared" si="10"/>
        <v/>
      </c>
      <c r="L21" s="9"/>
      <c r="M21" s="9"/>
    </row>
    <row r="22">
      <c r="A22" s="24" t="s">
        <v>24</v>
      </c>
      <c r="B22" s="19">
        <f>sumifs('Raw Data'!$F:$F,'Raw Data'!$K:$K,$A22,'Raw Data'!$B:$B,$B$1)</f>
        <v>0</v>
      </c>
      <c r="C22" s="19">
        <f>sumifs('Raw Data'!$G:$G,'Raw Data'!$K:$K,$A22,'Raw Data'!$B:$B,$B$1)</f>
        <v>0</v>
      </c>
      <c r="D22" s="19">
        <f t="shared" si="7"/>
        <v>0</v>
      </c>
      <c r="E22" s="20" t="str">
        <f t="shared" si="8"/>
        <v/>
      </c>
      <c r="F22" s="9"/>
      <c r="G22" s="25"/>
      <c r="H22" s="26" t="str">
        <f t="shared" si="9"/>
        <v/>
      </c>
      <c r="I22" s="9"/>
      <c r="J22" s="25"/>
      <c r="K22" s="26" t="str">
        <f t="shared" si="10"/>
        <v/>
      </c>
      <c r="L22" s="9"/>
      <c r="M22" s="9"/>
    </row>
    <row r="23">
      <c r="A23" s="24" t="s">
        <v>25</v>
      </c>
      <c r="B23" s="19">
        <f>sumifs('Raw Data'!$F:$F,'Raw Data'!$K:$K,$A23,'Raw Data'!$B:$B,$B$1)</f>
        <v>0</v>
      </c>
      <c r="C23" s="19">
        <f>sumifs('Raw Data'!$G:$G,'Raw Data'!$K:$K,$A23,'Raw Data'!$B:$B,$B$1)</f>
        <v>0</v>
      </c>
      <c r="D23" s="19">
        <f t="shared" si="7"/>
        <v>0</v>
      </c>
      <c r="E23" s="20" t="str">
        <f t="shared" si="8"/>
        <v/>
      </c>
      <c r="F23" s="9"/>
      <c r="G23" s="25"/>
      <c r="H23" s="26" t="str">
        <f t="shared" si="9"/>
        <v/>
      </c>
      <c r="I23" s="9"/>
      <c r="J23" s="25"/>
      <c r="K23" s="26" t="str">
        <f t="shared" si="10"/>
        <v/>
      </c>
      <c r="L23" s="9"/>
      <c r="M23" s="9"/>
    </row>
    <row r="24">
      <c r="A24" s="24" t="s">
        <v>26</v>
      </c>
      <c r="B24" s="19">
        <f>sumifs('Raw Data'!$F:$F,'Raw Data'!$K:$K,$A24,'Raw Data'!$B:$B,$B$1)</f>
        <v>0</v>
      </c>
      <c r="C24" s="19">
        <f>sumifs('Raw Data'!$G:$G,'Raw Data'!$K:$K,$A24,'Raw Data'!$B:$B,$B$1)</f>
        <v>0</v>
      </c>
      <c r="D24" s="19">
        <f t="shared" si="7"/>
        <v>0</v>
      </c>
      <c r="E24" s="20" t="str">
        <f t="shared" si="8"/>
        <v/>
      </c>
      <c r="F24" s="9"/>
      <c r="G24" s="25"/>
      <c r="H24" s="26" t="str">
        <f t="shared" si="9"/>
        <v/>
      </c>
      <c r="I24" s="9"/>
      <c r="J24" s="25"/>
      <c r="K24" s="26" t="str">
        <f t="shared" si="10"/>
        <v/>
      </c>
      <c r="L24" s="9"/>
      <c r="M24" s="9"/>
    </row>
    <row r="25">
      <c r="A25" s="24" t="s">
        <v>27</v>
      </c>
      <c r="B25" s="19">
        <f>sumifs('Raw Data'!$F:$F,'Raw Data'!$K:$K,$A25,'Raw Data'!$B:$B,$B$1)</f>
        <v>0</v>
      </c>
      <c r="C25" s="19">
        <f>sumifs('Raw Data'!$G:$G,'Raw Data'!$K:$K,$A25,'Raw Data'!$B:$B,$B$1)</f>
        <v>0</v>
      </c>
      <c r="D25" s="19">
        <f t="shared" si="7"/>
        <v>0</v>
      </c>
      <c r="E25" s="20" t="str">
        <f t="shared" si="8"/>
        <v/>
      </c>
      <c r="F25" s="9"/>
      <c r="G25" s="25"/>
      <c r="H25" s="26" t="str">
        <f t="shared" si="9"/>
        <v/>
      </c>
      <c r="I25" s="9"/>
      <c r="J25" s="25"/>
      <c r="K25" s="26" t="str">
        <f t="shared" si="10"/>
        <v/>
      </c>
      <c r="L25" s="9"/>
      <c r="M25" s="9"/>
    </row>
    <row r="26">
      <c r="A26" s="24" t="s">
        <v>28</v>
      </c>
      <c r="B26" s="19">
        <f>sumifs('Raw Data'!$F:$F,'Raw Data'!$K:$K,$A26,'Raw Data'!$B:$B,$B$1)</f>
        <v>0</v>
      </c>
      <c r="C26" s="19">
        <f>sumifs('Raw Data'!$G:$G,'Raw Data'!$K:$K,$A26,'Raw Data'!$B:$B,$B$1)</f>
        <v>0</v>
      </c>
      <c r="D26" s="19">
        <f t="shared" si="7"/>
        <v>0</v>
      </c>
      <c r="E26" s="20" t="str">
        <f t="shared" si="8"/>
        <v/>
      </c>
      <c r="F26" s="9"/>
      <c r="G26" s="25"/>
      <c r="H26" s="26" t="str">
        <f t="shared" si="9"/>
        <v/>
      </c>
      <c r="I26" s="9"/>
      <c r="J26" s="25"/>
      <c r="K26" s="26" t="str">
        <f t="shared" si="10"/>
        <v/>
      </c>
      <c r="L26" s="9"/>
      <c r="M26" s="9"/>
    </row>
    <row r="27">
      <c r="A27" s="24" t="s">
        <v>29</v>
      </c>
      <c r="B27" s="19">
        <f>sumifs('Raw Data'!$F:$F,'Raw Data'!$K:$K,$A27,'Raw Data'!$B:$B,$B$1)</f>
        <v>0</v>
      </c>
      <c r="C27" s="19">
        <f>sumifs('Raw Data'!$G:$G,'Raw Data'!$K:$K,$A27,'Raw Data'!$B:$B,$B$1)</f>
        <v>0</v>
      </c>
      <c r="D27" s="19">
        <f t="shared" si="7"/>
        <v>0</v>
      </c>
      <c r="E27" s="20" t="str">
        <f t="shared" si="8"/>
        <v/>
      </c>
      <c r="F27" s="9"/>
      <c r="G27" s="25"/>
      <c r="H27" s="26" t="str">
        <f t="shared" si="9"/>
        <v/>
      </c>
      <c r="I27" s="9"/>
      <c r="J27" s="25"/>
      <c r="K27" s="26" t="str">
        <f t="shared" si="10"/>
        <v/>
      </c>
      <c r="L27" s="9"/>
      <c r="M27" s="9"/>
    </row>
    <row r="28">
      <c r="A28" s="24" t="s">
        <v>30</v>
      </c>
      <c r="B28" s="19">
        <f>sumifs('Raw Data'!$F:$F,'Raw Data'!$K:$K,$A28,'Raw Data'!$B:$B,$B$1)</f>
        <v>0</v>
      </c>
      <c r="C28" s="19">
        <f>sumifs('Raw Data'!$G:$G,'Raw Data'!$K:$K,$A28,'Raw Data'!$B:$B,$B$1)</f>
        <v>0</v>
      </c>
      <c r="D28" s="19">
        <f t="shared" si="7"/>
        <v>0</v>
      </c>
      <c r="E28" s="20" t="str">
        <f t="shared" si="8"/>
        <v/>
      </c>
      <c r="F28" s="9"/>
      <c r="G28" s="25"/>
      <c r="H28" s="26" t="str">
        <f t="shared" si="9"/>
        <v/>
      </c>
      <c r="I28" s="9"/>
      <c r="J28" s="25"/>
      <c r="K28" s="26" t="str">
        <f t="shared" si="10"/>
        <v/>
      </c>
      <c r="L28" s="9"/>
      <c r="M28" s="9"/>
    </row>
    <row r="29">
      <c r="A29" s="24" t="s">
        <v>31</v>
      </c>
      <c r="B29" s="19">
        <f>sumifs('Raw Data'!$F:$F,'Raw Data'!$K:$K,$A29,'Raw Data'!$B:$B,$B$1)</f>
        <v>0</v>
      </c>
      <c r="C29" s="19">
        <f>sumifs('Raw Data'!$G:$G,'Raw Data'!$K:$K,$A29,'Raw Data'!$B:$B,$B$1)</f>
        <v>0</v>
      </c>
      <c r="D29" s="19">
        <f t="shared" si="7"/>
        <v>0</v>
      </c>
      <c r="E29" s="20" t="str">
        <f t="shared" si="8"/>
        <v/>
      </c>
      <c r="F29" s="9"/>
      <c r="G29" s="25"/>
      <c r="H29" s="26" t="str">
        <f t="shared" si="9"/>
        <v/>
      </c>
      <c r="I29" s="9"/>
      <c r="J29" s="25"/>
      <c r="K29" s="26" t="str">
        <f t="shared" si="10"/>
        <v/>
      </c>
      <c r="L29" s="9"/>
      <c r="M29" s="9"/>
    </row>
    <row r="30">
      <c r="A30" s="24" t="s">
        <v>32</v>
      </c>
      <c r="B30" s="19">
        <f>sumifs('Raw Data'!$F:$F,'Raw Data'!$K:$K,$A30,'Raw Data'!$B:$B,$B$1)</f>
        <v>0</v>
      </c>
      <c r="C30" s="19">
        <f>sumifs('Raw Data'!$G:$G,'Raw Data'!$K:$K,$A30,'Raw Data'!$B:$B,$B$1)</f>
        <v>0</v>
      </c>
      <c r="D30" s="19">
        <f t="shared" si="7"/>
        <v>0</v>
      </c>
      <c r="E30" s="20" t="str">
        <f t="shared" si="8"/>
        <v/>
      </c>
      <c r="F30" s="9"/>
      <c r="G30" s="25"/>
      <c r="H30" s="26" t="str">
        <f t="shared" si="9"/>
        <v/>
      </c>
      <c r="I30" s="9"/>
      <c r="J30" s="25"/>
      <c r="K30" s="26" t="str">
        <f t="shared" si="10"/>
        <v/>
      </c>
      <c r="L30" s="9"/>
      <c r="M30" s="9"/>
    </row>
    <row r="31">
      <c r="A31" s="24" t="s">
        <v>33</v>
      </c>
      <c r="B31" s="19">
        <f>sumifs('Raw Data'!$F:$F,'Raw Data'!$K:$K,$A31,'Raw Data'!$B:$B,$B$1)</f>
        <v>0</v>
      </c>
      <c r="C31" s="19">
        <f>sumifs('Raw Data'!$G:$G,'Raw Data'!$K:$K,$A31,'Raw Data'!$B:$B,$B$1)</f>
        <v>0</v>
      </c>
      <c r="D31" s="19">
        <f t="shared" si="7"/>
        <v>0</v>
      </c>
      <c r="E31" s="20" t="str">
        <f t="shared" si="8"/>
        <v/>
      </c>
      <c r="F31" s="9"/>
      <c r="G31" s="25"/>
      <c r="H31" s="26" t="str">
        <f t="shared" si="9"/>
        <v/>
      </c>
      <c r="I31" s="9"/>
      <c r="J31" s="25"/>
      <c r="K31" s="26" t="str">
        <f t="shared" si="10"/>
        <v/>
      </c>
      <c r="L31" s="9"/>
      <c r="M31" s="9"/>
    </row>
    <row r="32">
      <c r="A32" s="24" t="s">
        <v>34</v>
      </c>
      <c r="B32" s="19">
        <f>sumifs('Raw Data'!$F:$F,'Raw Data'!$K:$K,$A32,'Raw Data'!$B:$B,$B$1)</f>
        <v>0</v>
      </c>
      <c r="C32" s="19">
        <f>sumifs('Raw Data'!$G:$G,'Raw Data'!$K:$K,$A32,'Raw Data'!$B:$B,$B$1)</f>
        <v>0</v>
      </c>
      <c r="D32" s="19">
        <f t="shared" si="7"/>
        <v>0</v>
      </c>
      <c r="E32" s="20" t="str">
        <f t="shared" si="8"/>
        <v/>
      </c>
      <c r="F32" s="9"/>
      <c r="G32" s="25"/>
      <c r="H32" s="26" t="str">
        <f t="shared" si="9"/>
        <v/>
      </c>
      <c r="I32" s="9"/>
      <c r="J32" s="25"/>
      <c r="K32" s="26" t="str">
        <f t="shared" si="10"/>
        <v/>
      </c>
      <c r="L32" s="9"/>
      <c r="M32" s="9"/>
    </row>
    <row r="33">
      <c r="A33" s="9"/>
      <c r="B33" s="9"/>
      <c r="C33" s="9"/>
      <c r="D33" s="9"/>
      <c r="E33" s="9"/>
      <c r="F33" s="9"/>
      <c r="G33" s="25"/>
      <c r="H33" s="26" t="str">
        <f t="shared" si="9"/>
        <v/>
      </c>
      <c r="I33" s="9"/>
      <c r="J33" s="25"/>
      <c r="K33" s="26" t="str">
        <f t="shared" si="10"/>
        <v/>
      </c>
      <c r="L33" s="9"/>
      <c r="M33" s="9"/>
    </row>
    <row r="34">
      <c r="A34" s="9"/>
      <c r="B34" s="21"/>
      <c r="C34" s="21"/>
      <c r="D34" s="21"/>
      <c r="E34" s="21"/>
      <c r="F34" s="9"/>
      <c r="G34" s="9"/>
      <c r="H34" s="9"/>
      <c r="I34" s="9"/>
      <c r="J34" s="9"/>
      <c r="K34" s="9"/>
      <c r="L34" s="9"/>
      <c r="M34" s="9"/>
    </row>
    <row r="35">
      <c r="A35" s="9"/>
      <c r="B35" s="21"/>
      <c r="C35" s="21"/>
      <c r="D35" s="21"/>
      <c r="E35" s="21"/>
      <c r="F35" s="9"/>
      <c r="G35" s="9"/>
      <c r="H35" s="9"/>
      <c r="I35" s="9"/>
      <c r="J35" s="9"/>
      <c r="K35" s="9"/>
      <c r="L35" s="9"/>
      <c r="M35" s="9"/>
    </row>
  </sheetData>
  <conditionalFormatting sqref="E16:E33">
    <cfRule type="cellIs" dxfId="0" priority="1" operator="lessThanOrEqual">
      <formula>0</formula>
    </cfRule>
  </conditionalFormatting>
  <conditionalFormatting sqref="E16:E33">
    <cfRule type="cellIs" dxfId="1" priority="2" operator="lessThan">
      <formula>"50%"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16.75"/>
    <col customWidth="1" min="2" max="2" width="23.63"/>
  </cols>
  <sheetData>
    <row r="1">
      <c r="A1" s="28" t="s">
        <v>35</v>
      </c>
      <c r="B1" s="29">
        <f>Summary!B1</f>
        <v>46104</v>
      </c>
      <c r="C1" s="30"/>
      <c r="D1" s="30"/>
    </row>
    <row r="2">
      <c r="A2" s="28" t="s">
        <v>36</v>
      </c>
      <c r="B2" s="31" t="str">
        <f>Summary!E4</f>
        <v/>
      </c>
      <c r="C2" s="30"/>
      <c r="D2" s="30"/>
    </row>
    <row r="3">
      <c r="A3" s="28" t="s">
        <v>37</v>
      </c>
      <c r="B3" s="31">
        <f>Summary!K4</f>
        <v>0.9776675993</v>
      </c>
      <c r="C3" s="30"/>
      <c r="D3" s="30"/>
    </row>
    <row r="4">
      <c r="A4" s="28" t="s">
        <v>17</v>
      </c>
      <c r="B4" s="32" t="str">
        <f>IFERROR(__xludf.DUMMYFUNCTION("join("", "", filter(#REF!, isblank(#REF!)=false))"),"None")</f>
        <v>None</v>
      </c>
      <c r="C4" s="30"/>
      <c r="D4" s="30"/>
    </row>
    <row r="5">
      <c r="A5" s="28" t="s">
        <v>16</v>
      </c>
      <c r="B5" s="32" t="str">
        <f>IFERROR(__xludf.DUMMYFUNCTION("join("", "", filter(#REF!, isblank(#REF!)=false))"),"None")</f>
        <v>None</v>
      </c>
      <c r="C5" s="30"/>
      <c r="D5" s="30"/>
    </row>
    <row r="6">
      <c r="A6" s="33"/>
      <c r="B6" s="32"/>
      <c r="C6" s="30"/>
      <c r="D6" s="30"/>
    </row>
    <row r="7">
      <c r="A7" s="33"/>
      <c r="B7" s="32"/>
      <c r="C7" s="30"/>
      <c r="D7" s="30"/>
    </row>
    <row r="8">
      <c r="A8" s="33"/>
      <c r="B8" s="32"/>
      <c r="C8" s="30"/>
      <c r="D8" s="30"/>
    </row>
    <row r="9">
      <c r="A9" s="33"/>
      <c r="B9" s="32"/>
      <c r="C9" s="30"/>
      <c r="D9" s="30"/>
    </row>
    <row r="10">
      <c r="A10" s="33"/>
      <c r="B10" s="32"/>
      <c r="C10" s="30"/>
      <c r="D10" s="30"/>
    </row>
    <row r="11">
      <c r="A11" s="33"/>
      <c r="B11" s="32"/>
      <c r="C11" s="30"/>
      <c r="D11" s="30"/>
    </row>
    <row r="12">
      <c r="A12" s="33"/>
      <c r="B12" s="32"/>
      <c r="C12" s="30"/>
      <c r="D12" s="30"/>
    </row>
    <row r="13">
      <c r="A13" s="33"/>
      <c r="B13" s="32"/>
      <c r="C13" s="30"/>
      <c r="D13" s="30"/>
    </row>
    <row r="14">
      <c r="A14" s="33"/>
      <c r="B14" s="32"/>
      <c r="C14" s="30"/>
      <c r="D14" s="30"/>
    </row>
    <row r="15">
      <c r="A15" s="33"/>
      <c r="B15" s="32"/>
      <c r="C15" s="30"/>
      <c r="D15" s="3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88"/>
    <col customWidth="1" min="2" max="2" width="18.63"/>
    <col customWidth="1" min="3" max="4" width="16.5"/>
    <col customWidth="1" min="5" max="5" width="18.0"/>
    <col customWidth="1" min="6" max="6" width="20.38"/>
    <col customWidth="1" min="7" max="7" width="23.0"/>
    <col customWidth="1" min="8" max="8" width="22.88"/>
    <col customWidth="1" min="9" max="9" width="19.0"/>
    <col customWidth="1" min="10" max="10" width="20.5"/>
    <col customWidth="1" min="11" max="11" width="29.75"/>
    <col customWidth="1" min="12" max="12" width="20.0"/>
  </cols>
  <sheetData>
    <row r="1">
      <c r="A1" s="24" t="s">
        <v>38</v>
      </c>
      <c r="B1" s="24" t="s">
        <v>39</v>
      </c>
      <c r="C1" s="24" t="s">
        <v>40</v>
      </c>
      <c r="D1" s="24" t="s">
        <v>41</v>
      </c>
      <c r="E1" s="24" t="s">
        <v>42</v>
      </c>
      <c r="F1" s="24" t="s">
        <v>43</v>
      </c>
      <c r="G1" s="24" t="s">
        <v>44</v>
      </c>
      <c r="H1" s="24" t="s">
        <v>45</v>
      </c>
      <c r="I1" s="24" t="s">
        <v>46</v>
      </c>
      <c r="J1" s="24" t="s">
        <v>47</v>
      </c>
      <c r="K1" s="24" t="s">
        <v>48</v>
      </c>
      <c r="L1" s="24" t="s">
        <v>49</v>
      </c>
      <c r="M1" s="9"/>
      <c r="N1" s="9"/>
      <c r="O1" s="24"/>
      <c r="P1" s="24"/>
      <c r="Q1" s="24"/>
      <c r="R1" s="9"/>
      <c r="S1" s="9"/>
    </row>
    <row r="2" hidden="1">
      <c r="A2" s="34" t="s">
        <v>4</v>
      </c>
      <c r="B2" s="34" t="s">
        <v>50</v>
      </c>
      <c r="C2" s="35">
        <v>46009.37847222222</v>
      </c>
      <c r="D2" s="35">
        <v>46009.39236111111</v>
      </c>
      <c r="E2" s="34">
        <v>0.333333333333333</v>
      </c>
      <c r="F2" s="34" t="s">
        <v>51</v>
      </c>
      <c r="G2" s="34" t="s">
        <v>52</v>
      </c>
      <c r="H2" s="34" t="s">
        <v>53</v>
      </c>
      <c r="I2" s="34" t="s">
        <v>54</v>
      </c>
      <c r="J2" s="34" t="s">
        <v>9</v>
      </c>
      <c r="K2" s="34" t="s">
        <v>28</v>
      </c>
      <c r="L2" s="34" t="s">
        <v>55</v>
      </c>
      <c r="M2" s="36"/>
      <c r="N2" s="36"/>
      <c r="O2" s="36"/>
      <c r="P2" s="36"/>
      <c r="Q2" s="36"/>
      <c r="R2" s="36"/>
      <c r="S2" s="36"/>
    </row>
    <row r="3">
      <c r="A3" s="34" t="s">
        <v>4</v>
      </c>
      <c r="B3" s="34"/>
      <c r="C3" s="35">
        <v>46009.1875</v>
      </c>
      <c r="D3" s="35">
        <v>46009.208333333336</v>
      </c>
      <c r="E3" s="34">
        <v>0.5</v>
      </c>
      <c r="F3" s="34" t="s">
        <v>51</v>
      </c>
      <c r="G3" s="34" t="s">
        <v>56</v>
      </c>
      <c r="H3" s="34" t="s">
        <v>57</v>
      </c>
      <c r="I3" s="34" t="s">
        <v>58</v>
      </c>
      <c r="J3" s="34" t="s">
        <v>9</v>
      </c>
      <c r="K3" s="34" t="s">
        <v>28</v>
      </c>
      <c r="L3" s="34" t="s">
        <v>55</v>
      </c>
      <c r="M3" s="36"/>
      <c r="N3" s="36"/>
      <c r="O3" s="36"/>
      <c r="P3" s="36"/>
      <c r="Q3" s="36"/>
      <c r="R3" s="36"/>
      <c r="S3" s="36"/>
    </row>
    <row r="4" hidden="1">
      <c r="A4" s="34" t="s">
        <v>4</v>
      </c>
      <c r="B4" s="34" t="s">
        <v>59</v>
      </c>
      <c r="C4" s="35">
        <v>46008.427083333336</v>
      </c>
      <c r="D4" s="35">
        <v>46008.444444444445</v>
      </c>
      <c r="E4" s="34">
        <v>0.416666666666666</v>
      </c>
      <c r="F4" s="34" t="s">
        <v>51</v>
      </c>
      <c r="G4" s="34" t="s">
        <v>60</v>
      </c>
      <c r="H4" s="34" t="s">
        <v>61</v>
      </c>
      <c r="I4" s="34" t="s">
        <v>54</v>
      </c>
      <c r="J4" s="34" t="s">
        <v>9</v>
      </c>
      <c r="K4" s="34" t="s">
        <v>28</v>
      </c>
      <c r="L4" s="34" t="s">
        <v>55</v>
      </c>
      <c r="M4" s="36"/>
      <c r="N4" s="36"/>
      <c r="O4" s="36"/>
      <c r="P4" s="36"/>
      <c r="Q4" s="36"/>
      <c r="R4" s="36"/>
      <c r="S4" s="36"/>
    </row>
    <row r="5" hidden="1">
      <c r="A5" s="34" t="s">
        <v>62</v>
      </c>
      <c r="B5" s="34"/>
      <c r="C5" s="35">
        <v>46008.25</v>
      </c>
      <c r="D5" s="35">
        <v>46008.416666666664</v>
      </c>
      <c r="E5" s="34">
        <v>4.0</v>
      </c>
      <c r="F5" s="34" t="s">
        <v>63</v>
      </c>
      <c r="G5" s="34" t="s">
        <v>64</v>
      </c>
      <c r="H5" s="34" t="s">
        <v>65</v>
      </c>
      <c r="I5" s="34" t="s">
        <v>66</v>
      </c>
      <c r="J5" s="34" t="s">
        <v>9</v>
      </c>
      <c r="K5" s="34" t="s">
        <v>28</v>
      </c>
      <c r="L5" s="34" t="s">
        <v>55</v>
      </c>
      <c r="M5" s="36"/>
      <c r="N5" s="36"/>
      <c r="O5" s="36"/>
      <c r="P5" s="36"/>
      <c r="Q5" s="36"/>
      <c r="R5" s="36"/>
      <c r="S5" s="36"/>
    </row>
    <row r="6" hidden="1">
      <c r="A6" s="34" t="s">
        <v>62</v>
      </c>
      <c r="B6" s="34"/>
      <c r="C6" s="35">
        <v>46008.666666666664</v>
      </c>
      <c r="D6" s="35">
        <v>46008.75</v>
      </c>
      <c r="E6" s="34">
        <v>2.0</v>
      </c>
      <c r="F6" s="34" t="s">
        <v>63</v>
      </c>
      <c r="G6" s="34" t="s">
        <v>67</v>
      </c>
      <c r="H6" s="34" t="s">
        <v>68</v>
      </c>
      <c r="I6" s="34" t="s">
        <v>69</v>
      </c>
      <c r="J6" s="34" t="s">
        <v>9</v>
      </c>
      <c r="K6" s="34" t="s">
        <v>28</v>
      </c>
      <c r="L6" s="34" t="s">
        <v>55</v>
      </c>
      <c r="M6" s="36"/>
      <c r="N6" s="36"/>
      <c r="O6" s="36"/>
      <c r="P6" s="36"/>
      <c r="Q6" s="36"/>
      <c r="R6" s="36"/>
      <c r="S6" s="36"/>
    </row>
    <row r="7" hidden="1">
      <c r="A7" s="34" t="s">
        <v>62</v>
      </c>
      <c r="B7" s="34"/>
      <c r="C7" s="35">
        <v>46008.666666666664</v>
      </c>
      <c r="D7" s="35">
        <v>46008.75</v>
      </c>
      <c r="E7" s="34">
        <v>2.0</v>
      </c>
      <c r="F7" s="34" t="s">
        <v>63</v>
      </c>
      <c r="G7" s="34" t="s">
        <v>70</v>
      </c>
      <c r="H7" s="34" t="s">
        <v>71</v>
      </c>
      <c r="I7" s="34" t="s">
        <v>69</v>
      </c>
      <c r="J7" s="34" t="s">
        <v>9</v>
      </c>
      <c r="K7" s="34" t="s">
        <v>28</v>
      </c>
      <c r="L7" s="34" t="s">
        <v>55</v>
      </c>
      <c r="M7" s="36"/>
      <c r="N7" s="36"/>
      <c r="O7" s="36"/>
      <c r="P7" s="36"/>
      <c r="Q7" s="36"/>
      <c r="R7" s="36"/>
      <c r="S7" s="36"/>
    </row>
    <row r="8" hidden="1">
      <c r="A8" s="34" t="s">
        <v>62</v>
      </c>
      <c r="B8" s="34"/>
      <c r="C8" s="35">
        <v>46008.583333333336</v>
      </c>
      <c r="D8" s="35">
        <v>46008.625</v>
      </c>
      <c r="E8" s="34">
        <v>1.0</v>
      </c>
      <c r="F8" s="34" t="s">
        <v>63</v>
      </c>
      <c r="G8" s="34" t="s">
        <v>67</v>
      </c>
      <c r="H8" s="34" t="s">
        <v>68</v>
      </c>
      <c r="I8" s="34" t="s">
        <v>69</v>
      </c>
      <c r="J8" s="34" t="s">
        <v>9</v>
      </c>
      <c r="K8" s="34" t="s">
        <v>28</v>
      </c>
      <c r="L8" s="34" t="s">
        <v>55</v>
      </c>
      <c r="M8" s="36"/>
      <c r="N8" s="36"/>
      <c r="O8" s="36"/>
      <c r="P8" s="36"/>
      <c r="Q8" s="36"/>
      <c r="R8" s="36"/>
      <c r="S8" s="36"/>
    </row>
    <row r="9" hidden="1">
      <c r="A9" s="34" t="s">
        <v>62</v>
      </c>
      <c r="B9" s="36"/>
      <c r="C9" s="35">
        <v>46008.583333333336</v>
      </c>
      <c r="D9" s="35">
        <v>46008.625</v>
      </c>
      <c r="E9" s="34">
        <v>1.0</v>
      </c>
      <c r="F9" s="34" t="s">
        <v>63</v>
      </c>
      <c r="G9" s="34" t="s">
        <v>70</v>
      </c>
      <c r="H9" s="34" t="s">
        <v>71</v>
      </c>
      <c r="I9" s="34" t="s">
        <v>69</v>
      </c>
      <c r="J9" s="34" t="s">
        <v>9</v>
      </c>
      <c r="K9" s="34" t="s">
        <v>28</v>
      </c>
      <c r="L9" s="34" t="s">
        <v>55</v>
      </c>
      <c r="M9" s="36"/>
      <c r="N9" s="36"/>
      <c r="O9" s="36"/>
      <c r="P9" s="36"/>
      <c r="Q9" s="36"/>
      <c r="R9" s="36"/>
      <c r="S9" s="36"/>
    </row>
    <row r="10">
      <c r="A10" s="34" t="s">
        <v>62</v>
      </c>
      <c r="B10" s="34"/>
      <c r="C10" s="35">
        <v>46008.104166666664</v>
      </c>
      <c r="D10" s="35">
        <v>46008.125</v>
      </c>
      <c r="E10" s="34">
        <v>0.5</v>
      </c>
      <c r="F10" s="34" t="s">
        <v>63</v>
      </c>
      <c r="G10" s="34" t="s">
        <v>56</v>
      </c>
      <c r="H10" s="34" t="s">
        <v>57</v>
      </c>
      <c r="I10" s="34" t="s">
        <v>58</v>
      </c>
      <c r="J10" s="34" t="s">
        <v>9</v>
      </c>
      <c r="K10" s="34" t="s">
        <v>28</v>
      </c>
      <c r="L10" s="34" t="s">
        <v>55</v>
      </c>
      <c r="M10" s="36"/>
      <c r="N10" s="36"/>
      <c r="O10" s="36"/>
      <c r="P10" s="36"/>
      <c r="Q10" s="36"/>
      <c r="R10" s="36"/>
      <c r="S10" s="36"/>
    </row>
    <row r="11" hidden="1">
      <c r="A11" s="34" t="s">
        <v>62</v>
      </c>
      <c r="B11" s="34"/>
      <c r="C11" s="35">
        <v>46008.083333333336</v>
      </c>
      <c r="D11" s="35">
        <v>46008.125</v>
      </c>
      <c r="E11" s="34">
        <v>1.0</v>
      </c>
      <c r="F11" s="34" t="s">
        <v>63</v>
      </c>
      <c r="G11" s="34" t="s">
        <v>72</v>
      </c>
      <c r="H11" s="34" t="s">
        <v>73</v>
      </c>
      <c r="I11" s="34" t="s">
        <v>58</v>
      </c>
      <c r="J11" s="34" t="s">
        <v>9</v>
      </c>
      <c r="K11" s="34" t="s">
        <v>28</v>
      </c>
      <c r="L11" s="34" t="s">
        <v>55</v>
      </c>
      <c r="M11" s="36"/>
      <c r="N11" s="36"/>
      <c r="O11" s="36"/>
      <c r="P11" s="36"/>
      <c r="Q11" s="36"/>
      <c r="R11" s="36"/>
      <c r="S11" s="36"/>
    </row>
    <row r="12">
      <c r="A12" s="34" t="s">
        <v>62</v>
      </c>
      <c r="B12" s="34"/>
      <c r="C12" s="35">
        <v>46008.052083333336</v>
      </c>
      <c r="D12" s="35">
        <v>46008.0625</v>
      </c>
      <c r="E12" s="34">
        <v>0.25</v>
      </c>
      <c r="F12" s="34" t="s">
        <v>63</v>
      </c>
      <c r="G12" s="34" t="s">
        <v>56</v>
      </c>
      <c r="H12" s="34" t="s">
        <v>57</v>
      </c>
      <c r="I12" s="34" t="s">
        <v>58</v>
      </c>
      <c r="J12" s="34" t="s">
        <v>9</v>
      </c>
      <c r="K12" s="34" t="s">
        <v>28</v>
      </c>
      <c r="L12" s="34" t="s">
        <v>55</v>
      </c>
      <c r="M12" s="36"/>
      <c r="N12" s="36"/>
      <c r="O12" s="36"/>
      <c r="P12" s="36"/>
      <c r="Q12" s="36"/>
      <c r="R12" s="36"/>
      <c r="S12" s="36"/>
    </row>
    <row r="13" hidden="1">
      <c r="A13" s="34" t="s">
        <v>62</v>
      </c>
      <c r="B13" s="34"/>
      <c r="C13" s="35">
        <v>46008.010416666664</v>
      </c>
      <c r="D13" s="35">
        <v>46008.125</v>
      </c>
      <c r="E13" s="34">
        <v>2.75</v>
      </c>
      <c r="F13" s="34" t="s">
        <v>63</v>
      </c>
      <c r="G13" s="34" t="s">
        <v>74</v>
      </c>
      <c r="H13" s="34" t="s">
        <v>75</v>
      </c>
      <c r="I13" s="34" t="s">
        <v>58</v>
      </c>
      <c r="J13" s="34" t="s">
        <v>9</v>
      </c>
      <c r="K13" s="34" t="s">
        <v>28</v>
      </c>
      <c r="L13" s="34" t="s">
        <v>55</v>
      </c>
      <c r="M13" s="36"/>
      <c r="N13" s="36"/>
      <c r="O13" s="36"/>
      <c r="P13" s="36"/>
      <c r="Q13" s="36"/>
      <c r="R13" s="36"/>
      <c r="S13" s="36"/>
    </row>
    <row r="14" hidden="1">
      <c r="A14" s="34" t="s">
        <v>4</v>
      </c>
      <c r="B14" s="34" t="s">
        <v>76</v>
      </c>
      <c r="C14" s="35">
        <v>46008.0</v>
      </c>
      <c r="D14" s="35">
        <v>46008.010416666664</v>
      </c>
      <c r="E14" s="34">
        <v>0.25</v>
      </c>
      <c r="F14" s="34" t="s">
        <v>51</v>
      </c>
      <c r="G14" s="34" t="s">
        <v>74</v>
      </c>
      <c r="H14" s="34" t="s">
        <v>75</v>
      </c>
      <c r="I14" s="34" t="s">
        <v>58</v>
      </c>
      <c r="J14" s="34" t="s">
        <v>9</v>
      </c>
      <c r="K14" s="34" t="s">
        <v>28</v>
      </c>
      <c r="L14" s="34" t="s">
        <v>55</v>
      </c>
      <c r="M14" s="36"/>
      <c r="N14" s="36"/>
      <c r="O14" s="36"/>
      <c r="P14" s="36"/>
      <c r="Q14" s="36"/>
      <c r="R14" s="36"/>
      <c r="S14" s="36"/>
    </row>
    <row r="15" hidden="1">
      <c r="A15" s="34" t="s">
        <v>62</v>
      </c>
      <c r="B15" s="34"/>
      <c r="C15" s="35">
        <v>46007.916666666664</v>
      </c>
      <c r="D15" s="35">
        <v>46008.041666666664</v>
      </c>
      <c r="E15" s="34">
        <v>3.0</v>
      </c>
      <c r="F15" s="34" t="s">
        <v>63</v>
      </c>
      <c r="G15" s="34" t="s">
        <v>72</v>
      </c>
      <c r="H15" s="34" t="s">
        <v>73</v>
      </c>
      <c r="I15" s="34" t="s">
        <v>58</v>
      </c>
      <c r="J15" s="34" t="s">
        <v>9</v>
      </c>
      <c r="K15" s="34" t="s">
        <v>28</v>
      </c>
      <c r="L15" s="34" t="s">
        <v>55</v>
      </c>
      <c r="M15" s="36"/>
      <c r="N15" s="36"/>
      <c r="O15" s="36"/>
      <c r="P15" s="36"/>
      <c r="Q15" s="36"/>
      <c r="R15" s="36"/>
      <c r="S15" s="36"/>
    </row>
    <row r="16" hidden="1">
      <c r="A16" s="34" t="s">
        <v>62</v>
      </c>
      <c r="B16" s="34"/>
      <c r="C16" s="35">
        <v>46007.916666666664</v>
      </c>
      <c r="D16" s="35">
        <v>46007.958333333336</v>
      </c>
      <c r="E16" s="34">
        <v>1.0</v>
      </c>
      <c r="F16" s="34" t="s">
        <v>63</v>
      </c>
      <c r="G16" s="34" t="s">
        <v>74</v>
      </c>
      <c r="H16" s="34" t="s">
        <v>75</v>
      </c>
      <c r="I16" s="34" t="s">
        <v>58</v>
      </c>
      <c r="J16" s="34" t="s">
        <v>9</v>
      </c>
      <c r="K16" s="34" t="s">
        <v>28</v>
      </c>
      <c r="L16" s="34" t="s">
        <v>55</v>
      </c>
      <c r="M16" s="36"/>
      <c r="N16" s="36"/>
      <c r="O16" s="36"/>
      <c r="P16" s="36"/>
      <c r="Q16" s="36"/>
      <c r="R16" s="36"/>
      <c r="S16" s="36"/>
    </row>
    <row r="17">
      <c r="A17" s="34" t="s">
        <v>62</v>
      </c>
      <c r="B17" s="34"/>
      <c r="C17" s="35">
        <v>46007.916666666664</v>
      </c>
      <c r="D17" s="35">
        <v>46008.010416666664</v>
      </c>
      <c r="E17" s="34">
        <v>2.25</v>
      </c>
      <c r="F17" s="34" t="s">
        <v>63</v>
      </c>
      <c r="G17" s="34" t="s">
        <v>56</v>
      </c>
      <c r="H17" s="34" t="s">
        <v>57</v>
      </c>
      <c r="I17" s="34" t="s">
        <v>58</v>
      </c>
      <c r="J17" s="34" t="s">
        <v>9</v>
      </c>
      <c r="K17" s="34" t="s">
        <v>28</v>
      </c>
      <c r="L17" s="34" t="s">
        <v>55</v>
      </c>
      <c r="M17" s="36"/>
      <c r="N17" s="36"/>
      <c r="O17" s="36"/>
      <c r="P17" s="36"/>
      <c r="Q17" s="36"/>
      <c r="R17" s="36"/>
      <c r="S17" s="36"/>
    </row>
    <row r="18" hidden="1">
      <c r="A18" s="34" t="s">
        <v>62</v>
      </c>
      <c r="B18" s="34"/>
      <c r="C18" s="35">
        <v>46007.916666666664</v>
      </c>
      <c r="D18" s="35">
        <v>46008.083333333336</v>
      </c>
      <c r="E18" s="34">
        <v>4.0</v>
      </c>
      <c r="F18" s="34" t="s">
        <v>63</v>
      </c>
      <c r="G18" s="34" t="s">
        <v>77</v>
      </c>
      <c r="H18" s="34" t="s">
        <v>78</v>
      </c>
      <c r="I18" s="34" t="s">
        <v>58</v>
      </c>
      <c r="J18" s="34" t="s">
        <v>9</v>
      </c>
      <c r="K18" s="34" t="s">
        <v>28</v>
      </c>
      <c r="L18" s="34" t="s">
        <v>55</v>
      </c>
      <c r="M18" s="36"/>
      <c r="N18" s="36"/>
      <c r="O18" s="36"/>
      <c r="P18" s="36"/>
      <c r="Q18" s="36"/>
      <c r="R18" s="36"/>
      <c r="S18" s="36"/>
    </row>
    <row r="19" hidden="1">
      <c r="A19" s="34" t="s">
        <v>4</v>
      </c>
      <c r="B19" s="34" t="s">
        <v>79</v>
      </c>
      <c r="C19" s="35">
        <v>46011.450694444444</v>
      </c>
      <c r="D19" s="35">
        <v>46011.479166666664</v>
      </c>
      <c r="E19" s="34">
        <v>0.683333333333333</v>
      </c>
      <c r="F19" s="34" t="s">
        <v>51</v>
      </c>
      <c r="G19" s="34" t="s">
        <v>60</v>
      </c>
      <c r="H19" s="34" t="s">
        <v>61</v>
      </c>
      <c r="I19" s="34" t="s">
        <v>54</v>
      </c>
      <c r="J19" s="34" t="s">
        <v>9</v>
      </c>
      <c r="K19" s="34" t="s">
        <v>28</v>
      </c>
      <c r="L19" s="34" t="s">
        <v>55</v>
      </c>
      <c r="M19" s="36"/>
      <c r="N19" s="36"/>
      <c r="O19" s="36"/>
      <c r="P19" s="36"/>
      <c r="Q19" s="36"/>
      <c r="R19" s="36"/>
      <c r="S19" s="36"/>
    </row>
    <row r="20" hidden="1">
      <c r="A20" s="34" t="s">
        <v>4</v>
      </c>
      <c r="B20" s="34" t="s">
        <v>79</v>
      </c>
      <c r="C20" s="35">
        <v>46011.39861111111</v>
      </c>
      <c r="D20" s="35">
        <v>46011.43541666667</v>
      </c>
      <c r="E20" s="34">
        <v>0.883333333333333</v>
      </c>
      <c r="F20" s="34" t="s">
        <v>51</v>
      </c>
      <c r="G20" s="34" t="s">
        <v>60</v>
      </c>
      <c r="H20" s="34" t="s">
        <v>61</v>
      </c>
      <c r="I20" s="34" t="s">
        <v>54</v>
      </c>
      <c r="J20" s="34" t="s">
        <v>9</v>
      </c>
      <c r="K20" s="34" t="s">
        <v>28</v>
      </c>
      <c r="L20" s="34" t="s">
        <v>55</v>
      </c>
      <c r="M20" s="36"/>
      <c r="N20" s="36"/>
      <c r="O20" s="36"/>
      <c r="P20" s="36"/>
      <c r="Q20" s="36"/>
      <c r="R20" s="36"/>
      <c r="S20" s="36"/>
    </row>
    <row r="21" hidden="1">
      <c r="A21" s="34" t="s">
        <v>4</v>
      </c>
      <c r="B21" s="34" t="s">
        <v>79</v>
      </c>
      <c r="C21" s="35">
        <v>46011.36597222222</v>
      </c>
      <c r="D21" s="35">
        <v>46011.39375</v>
      </c>
      <c r="E21" s="34">
        <v>0.666666666666666</v>
      </c>
      <c r="F21" s="34" t="s">
        <v>51</v>
      </c>
      <c r="G21" s="34" t="s">
        <v>60</v>
      </c>
      <c r="H21" s="34" t="s">
        <v>61</v>
      </c>
      <c r="I21" s="34" t="s">
        <v>54</v>
      </c>
      <c r="J21" s="34" t="s">
        <v>9</v>
      </c>
      <c r="K21" s="34" t="s">
        <v>28</v>
      </c>
      <c r="L21" s="34" t="s">
        <v>55</v>
      </c>
      <c r="M21" s="36"/>
      <c r="N21" s="36"/>
      <c r="O21" s="36"/>
      <c r="P21" s="36"/>
      <c r="Q21" s="36"/>
      <c r="R21" s="36"/>
      <c r="S21" s="36"/>
    </row>
    <row r="22" hidden="1">
      <c r="A22" s="34" t="s">
        <v>4</v>
      </c>
      <c r="B22" s="34" t="s">
        <v>79</v>
      </c>
      <c r="C22" s="35">
        <v>46011.29722222222</v>
      </c>
      <c r="D22" s="35">
        <v>46011.345138888886</v>
      </c>
      <c r="E22" s="34">
        <v>1.15</v>
      </c>
      <c r="F22" s="34" t="s">
        <v>51</v>
      </c>
      <c r="G22" s="34" t="s">
        <v>60</v>
      </c>
      <c r="H22" s="34" t="s">
        <v>61</v>
      </c>
      <c r="I22" s="34" t="s">
        <v>54</v>
      </c>
      <c r="J22" s="34" t="s">
        <v>9</v>
      </c>
      <c r="K22" s="34" t="s">
        <v>28</v>
      </c>
      <c r="L22" s="34" t="s">
        <v>55</v>
      </c>
      <c r="M22" s="36"/>
      <c r="N22" s="36"/>
      <c r="O22" s="36"/>
      <c r="P22" s="36"/>
      <c r="Q22" s="36"/>
      <c r="R22" s="36"/>
      <c r="S22" s="36"/>
    </row>
    <row r="23" hidden="1">
      <c r="A23" s="34" t="s">
        <v>4</v>
      </c>
      <c r="B23" s="34" t="s">
        <v>80</v>
      </c>
      <c r="C23" s="35">
        <v>46011.25</v>
      </c>
      <c r="D23" s="35">
        <v>46011.291666666664</v>
      </c>
      <c r="E23" s="34">
        <v>1.0</v>
      </c>
      <c r="F23" s="34" t="s">
        <v>51</v>
      </c>
      <c r="G23" s="34" t="s">
        <v>81</v>
      </c>
      <c r="H23" s="34" t="s">
        <v>82</v>
      </c>
      <c r="I23" s="34" t="s">
        <v>54</v>
      </c>
      <c r="J23" s="34" t="s">
        <v>9</v>
      </c>
      <c r="K23" s="34" t="s">
        <v>28</v>
      </c>
      <c r="L23" s="34" t="s">
        <v>55</v>
      </c>
      <c r="M23" s="36"/>
      <c r="N23" s="36"/>
      <c r="O23" s="36"/>
      <c r="P23" s="36"/>
      <c r="Q23" s="36"/>
      <c r="R23" s="36"/>
      <c r="S23" s="36"/>
    </row>
    <row r="24" hidden="1">
      <c r="A24" s="34" t="s">
        <v>4</v>
      </c>
      <c r="B24" s="34" t="s">
        <v>83</v>
      </c>
      <c r="C24" s="35">
        <v>46011.07986111111</v>
      </c>
      <c r="D24" s="35">
        <v>46011.114583333336</v>
      </c>
      <c r="E24" s="34">
        <v>0.833333333333333</v>
      </c>
      <c r="F24" s="34" t="s">
        <v>51</v>
      </c>
      <c r="G24" s="34" t="s">
        <v>81</v>
      </c>
      <c r="H24" s="34" t="s">
        <v>82</v>
      </c>
      <c r="I24" s="34" t="s">
        <v>54</v>
      </c>
      <c r="J24" s="34" t="s">
        <v>9</v>
      </c>
      <c r="K24" s="34" t="s">
        <v>28</v>
      </c>
      <c r="L24" s="34" t="s">
        <v>55</v>
      </c>
      <c r="M24" s="36"/>
      <c r="N24" s="36"/>
      <c r="O24" s="36"/>
      <c r="P24" s="36"/>
      <c r="Q24" s="36"/>
      <c r="R24" s="36"/>
      <c r="S24" s="36"/>
    </row>
    <row r="25" hidden="1">
      <c r="A25" s="34" t="s">
        <v>62</v>
      </c>
      <c r="B25" s="34"/>
      <c r="C25" s="35">
        <v>46007.666666666664</v>
      </c>
      <c r="D25" s="35">
        <v>46007.75</v>
      </c>
      <c r="E25" s="34">
        <v>2.0</v>
      </c>
      <c r="F25" s="34" t="s">
        <v>63</v>
      </c>
      <c r="G25" s="34" t="s">
        <v>84</v>
      </c>
      <c r="H25" s="34" t="s">
        <v>85</v>
      </c>
      <c r="I25" s="34" t="s">
        <v>69</v>
      </c>
      <c r="J25" s="34" t="s">
        <v>9</v>
      </c>
      <c r="K25" s="34" t="s">
        <v>28</v>
      </c>
      <c r="L25" s="34" t="s">
        <v>55</v>
      </c>
      <c r="M25" s="36"/>
      <c r="N25" s="36"/>
      <c r="O25" s="36"/>
      <c r="P25" s="36"/>
      <c r="Q25" s="36"/>
      <c r="R25" s="36"/>
      <c r="S25" s="36"/>
    </row>
    <row r="26" hidden="1">
      <c r="A26" s="34" t="s">
        <v>62</v>
      </c>
      <c r="B26" s="34"/>
      <c r="C26" s="35">
        <v>46007.583333333336</v>
      </c>
      <c r="D26" s="35">
        <v>46007.625</v>
      </c>
      <c r="E26" s="34">
        <v>1.0</v>
      </c>
      <c r="F26" s="34" t="s">
        <v>63</v>
      </c>
      <c r="G26" s="34" t="s">
        <v>84</v>
      </c>
      <c r="H26" s="34" t="s">
        <v>85</v>
      </c>
      <c r="I26" s="34" t="s">
        <v>69</v>
      </c>
      <c r="J26" s="34" t="s">
        <v>9</v>
      </c>
      <c r="K26" s="34" t="s">
        <v>28</v>
      </c>
      <c r="L26" s="34" t="s">
        <v>55</v>
      </c>
      <c r="M26" s="36"/>
      <c r="N26" s="36"/>
      <c r="O26" s="36"/>
      <c r="P26" s="36"/>
      <c r="Q26" s="36"/>
      <c r="R26" s="36"/>
      <c r="S26" s="36"/>
    </row>
    <row r="27" hidden="1">
      <c r="A27" s="34" t="s">
        <v>62</v>
      </c>
      <c r="B27" s="34"/>
      <c r="C27" s="35">
        <v>46007.583333333336</v>
      </c>
      <c r="D27" s="35">
        <v>46007.75</v>
      </c>
      <c r="E27" s="34">
        <v>4.0</v>
      </c>
      <c r="F27" s="34" t="s">
        <v>63</v>
      </c>
      <c r="G27" s="34" t="s">
        <v>86</v>
      </c>
      <c r="H27" s="34" t="s">
        <v>87</v>
      </c>
      <c r="I27" s="34" t="s">
        <v>69</v>
      </c>
      <c r="J27" s="34" t="s">
        <v>9</v>
      </c>
      <c r="K27" s="34" t="s">
        <v>28</v>
      </c>
      <c r="L27" s="34" t="s">
        <v>55</v>
      </c>
      <c r="M27" s="36"/>
      <c r="N27" s="36"/>
      <c r="O27" s="36"/>
      <c r="P27" s="36"/>
      <c r="Q27" s="36"/>
      <c r="R27" s="36"/>
      <c r="S27" s="36"/>
    </row>
    <row r="28" hidden="1">
      <c r="A28" s="34" t="s">
        <v>62</v>
      </c>
      <c r="B28" s="36"/>
      <c r="C28" s="35">
        <v>46007.583333333336</v>
      </c>
      <c r="D28" s="35">
        <v>46007.75</v>
      </c>
      <c r="E28" s="34">
        <v>4.0</v>
      </c>
      <c r="F28" s="34" t="s">
        <v>63</v>
      </c>
      <c r="G28" s="34" t="s">
        <v>88</v>
      </c>
      <c r="H28" s="34" t="s">
        <v>89</v>
      </c>
      <c r="I28" s="34" t="s">
        <v>69</v>
      </c>
      <c r="J28" s="34" t="s">
        <v>9</v>
      </c>
      <c r="K28" s="34" t="s">
        <v>28</v>
      </c>
      <c r="L28" s="34" t="s">
        <v>55</v>
      </c>
      <c r="M28" s="36"/>
      <c r="N28" s="36"/>
      <c r="O28" s="36"/>
      <c r="P28" s="36"/>
      <c r="Q28" s="36"/>
      <c r="R28" s="36"/>
      <c r="S28" s="36"/>
    </row>
    <row r="29" hidden="1">
      <c r="A29" s="34" t="s">
        <v>62</v>
      </c>
      <c r="B29" s="34"/>
      <c r="C29" s="35">
        <v>46007.25</v>
      </c>
      <c r="D29" s="35">
        <v>46007.416666666664</v>
      </c>
      <c r="E29" s="34">
        <v>4.0</v>
      </c>
      <c r="F29" s="34" t="s">
        <v>63</v>
      </c>
      <c r="G29" s="34" t="s">
        <v>90</v>
      </c>
      <c r="H29" s="34" t="s">
        <v>91</v>
      </c>
      <c r="I29" s="34" t="s">
        <v>66</v>
      </c>
      <c r="J29" s="34" t="s">
        <v>9</v>
      </c>
      <c r="K29" s="34" t="s">
        <v>28</v>
      </c>
      <c r="L29" s="34" t="s">
        <v>55</v>
      </c>
      <c r="M29" s="36"/>
      <c r="N29" s="36"/>
      <c r="O29" s="36"/>
      <c r="P29" s="36"/>
      <c r="Q29" s="36"/>
      <c r="R29" s="36"/>
      <c r="S29" s="36"/>
    </row>
    <row r="30" hidden="1">
      <c r="A30" s="34" t="s">
        <v>62</v>
      </c>
      <c r="B30" s="36"/>
      <c r="C30" s="35">
        <v>46007.25</v>
      </c>
      <c r="D30" s="35">
        <v>46007.416666666664</v>
      </c>
      <c r="E30" s="34">
        <v>4.0</v>
      </c>
      <c r="F30" s="34" t="s">
        <v>63</v>
      </c>
      <c r="G30" s="34" t="s">
        <v>92</v>
      </c>
      <c r="H30" s="34" t="s">
        <v>93</v>
      </c>
      <c r="I30" s="34" t="s">
        <v>66</v>
      </c>
      <c r="J30" s="34" t="s">
        <v>9</v>
      </c>
      <c r="K30" s="34" t="s">
        <v>28</v>
      </c>
      <c r="L30" s="34" t="s">
        <v>55</v>
      </c>
      <c r="M30" s="36"/>
      <c r="N30" s="36"/>
      <c r="O30" s="36"/>
      <c r="P30" s="36"/>
      <c r="Q30" s="36"/>
      <c r="R30" s="36"/>
      <c r="S30" s="36"/>
    </row>
    <row r="31" hidden="1">
      <c r="A31" s="34" t="s">
        <v>62</v>
      </c>
      <c r="B31" s="34"/>
      <c r="C31" s="35">
        <v>46007.0625</v>
      </c>
      <c r="D31" s="35">
        <v>46007.083333333336</v>
      </c>
      <c r="E31" s="34">
        <v>0.5</v>
      </c>
      <c r="F31" s="34" t="s">
        <v>63</v>
      </c>
      <c r="G31" s="34" t="s">
        <v>94</v>
      </c>
      <c r="H31" s="34" t="s">
        <v>95</v>
      </c>
      <c r="I31" s="34" t="s">
        <v>58</v>
      </c>
      <c r="J31" s="34" t="s">
        <v>9</v>
      </c>
      <c r="K31" s="34" t="s">
        <v>28</v>
      </c>
      <c r="L31" s="34" t="s">
        <v>55</v>
      </c>
      <c r="M31" s="36"/>
      <c r="N31" s="36"/>
      <c r="O31" s="36"/>
      <c r="P31" s="36"/>
      <c r="Q31" s="36"/>
      <c r="R31" s="36"/>
      <c r="S31" s="36"/>
    </row>
    <row r="32" hidden="1">
      <c r="A32" s="34" t="s">
        <v>62</v>
      </c>
      <c r="B32" s="34"/>
      <c r="C32" s="35">
        <v>46007.041666666664</v>
      </c>
      <c r="D32" s="35">
        <v>46007.083333333336</v>
      </c>
      <c r="E32" s="34">
        <v>1.0</v>
      </c>
      <c r="F32" s="34" t="s">
        <v>63</v>
      </c>
      <c r="G32" s="34" t="s">
        <v>96</v>
      </c>
      <c r="H32" s="34" t="s">
        <v>97</v>
      </c>
      <c r="I32" s="34" t="s">
        <v>58</v>
      </c>
      <c r="J32" s="34" t="s">
        <v>9</v>
      </c>
      <c r="K32" s="34" t="s">
        <v>28</v>
      </c>
      <c r="L32" s="34" t="s">
        <v>55</v>
      </c>
      <c r="M32" s="36"/>
      <c r="N32" s="36"/>
      <c r="O32" s="36"/>
      <c r="P32" s="36"/>
      <c r="Q32" s="36"/>
      <c r="R32" s="36"/>
      <c r="S32" s="36"/>
    </row>
    <row r="33" hidden="1">
      <c r="A33" s="34" t="s">
        <v>62</v>
      </c>
      <c r="B33" s="34"/>
      <c r="C33" s="35">
        <v>46006.916666666664</v>
      </c>
      <c r="D33" s="35">
        <v>46007.041666666664</v>
      </c>
      <c r="E33" s="34">
        <v>3.0</v>
      </c>
      <c r="F33" s="34" t="s">
        <v>63</v>
      </c>
      <c r="G33" s="34" t="s">
        <v>98</v>
      </c>
      <c r="H33" s="34" t="s">
        <v>99</v>
      </c>
      <c r="I33" s="34" t="s">
        <v>58</v>
      </c>
      <c r="J33" s="34" t="s">
        <v>9</v>
      </c>
      <c r="K33" s="34" t="s">
        <v>28</v>
      </c>
      <c r="L33" s="34" t="s">
        <v>55</v>
      </c>
      <c r="M33" s="36"/>
      <c r="N33" s="36"/>
      <c r="O33" s="36"/>
      <c r="P33" s="36"/>
      <c r="Q33" s="36"/>
      <c r="R33" s="36"/>
      <c r="S33" s="36"/>
    </row>
    <row r="34" hidden="1">
      <c r="A34" s="34" t="s">
        <v>62</v>
      </c>
      <c r="B34" s="34"/>
      <c r="C34" s="35">
        <v>46006.916666666664</v>
      </c>
      <c r="D34" s="35">
        <v>46007.020833333336</v>
      </c>
      <c r="E34" s="34">
        <v>2.5</v>
      </c>
      <c r="F34" s="34" t="s">
        <v>63</v>
      </c>
      <c r="G34" s="34" t="s">
        <v>94</v>
      </c>
      <c r="H34" s="34" t="s">
        <v>95</v>
      </c>
      <c r="I34" s="34" t="s">
        <v>58</v>
      </c>
      <c r="J34" s="34" t="s">
        <v>9</v>
      </c>
      <c r="K34" s="34" t="s">
        <v>28</v>
      </c>
      <c r="L34" s="34" t="s">
        <v>55</v>
      </c>
      <c r="M34" s="36"/>
      <c r="N34" s="36"/>
      <c r="O34" s="36"/>
      <c r="P34" s="36"/>
      <c r="Q34" s="36"/>
      <c r="R34" s="36"/>
      <c r="S34" s="36"/>
    </row>
    <row r="35" hidden="1">
      <c r="A35" s="34" t="s">
        <v>62</v>
      </c>
      <c r="B35" s="34"/>
      <c r="C35" s="35">
        <v>46006.916666666664</v>
      </c>
      <c r="D35" s="35">
        <v>46007.0</v>
      </c>
      <c r="E35" s="34">
        <v>2.0</v>
      </c>
      <c r="F35" s="34" t="s">
        <v>63</v>
      </c>
      <c r="G35" s="34" t="s">
        <v>96</v>
      </c>
      <c r="H35" s="34" t="s">
        <v>97</v>
      </c>
      <c r="I35" s="34" t="s">
        <v>58</v>
      </c>
      <c r="J35" s="34" t="s">
        <v>9</v>
      </c>
      <c r="K35" s="34" t="s">
        <v>28</v>
      </c>
      <c r="L35" s="34" t="s">
        <v>55</v>
      </c>
      <c r="M35" s="36"/>
      <c r="N35" s="36"/>
      <c r="O35" s="36"/>
      <c r="P35" s="36"/>
      <c r="Q35" s="36"/>
      <c r="R35" s="36"/>
      <c r="S35" s="36"/>
    </row>
    <row r="36">
      <c r="A36" s="34"/>
      <c r="B36" s="34"/>
      <c r="C36" s="35"/>
      <c r="D36" s="35"/>
      <c r="E36" s="34"/>
      <c r="F36" s="34"/>
      <c r="G36" s="34"/>
      <c r="H36" s="34"/>
      <c r="I36" s="34"/>
      <c r="J36" s="34"/>
      <c r="K36" s="34"/>
      <c r="L36" s="34"/>
      <c r="M36" s="36"/>
      <c r="N36" s="36"/>
      <c r="O36" s="36"/>
      <c r="P36" s="36"/>
      <c r="Q36" s="36"/>
      <c r="R36" s="36"/>
      <c r="S36" s="36"/>
    </row>
    <row r="37">
      <c r="A37" s="34"/>
      <c r="B37" s="34"/>
      <c r="C37" s="35"/>
      <c r="D37" s="35"/>
      <c r="E37" s="34"/>
      <c r="F37" s="34"/>
      <c r="G37" s="34"/>
      <c r="H37" s="34"/>
      <c r="I37" s="34"/>
      <c r="J37" s="34"/>
      <c r="K37" s="34"/>
      <c r="L37" s="34"/>
      <c r="M37" s="36"/>
      <c r="N37" s="36"/>
      <c r="O37" s="36"/>
      <c r="P37" s="36"/>
      <c r="Q37" s="36"/>
      <c r="R37" s="36"/>
      <c r="S37" s="36"/>
    </row>
    <row r="38">
      <c r="A38" s="34"/>
      <c r="B38" s="34"/>
      <c r="C38" s="35"/>
      <c r="D38" s="35"/>
      <c r="E38" s="34"/>
      <c r="F38" s="34"/>
      <c r="G38" s="34"/>
      <c r="H38" s="34"/>
      <c r="I38" s="34"/>
      <c r="J38" s="34"/>
      <c r="K38" s="34"/>
      <c r="L38" s="34"/>
      <c r="M38" s="36"/>
      <c r="N38" s="36"/>
      <c r="O38" s="36"/>
      <c r="P38" s="36"/>
      <c r="Q38" s="36"/>
      <c r="R38" s="36"/>
      <c r="S38" s="36"/>
    </row>
    <row r="39">
      <c r="A39" s="34"/>
      <c r="B39" s="34"/>
      <c r="C39" s="35"/>
      <c r="D39" s="35"/>
      <c r="E39" s="34"/>
      <c r="F39" s="34"/>
      <c r="G39" s="34"/>
      <c r="H39" s="34"/>
      <c r="I39" s="34"/>
      <c r="J39" s="34"/>
      <c r="K39" s="34"/>
      <c r="L39" s="34"/>
      <c r="M39" s="36"/>
      <c r="N39" s="36"/>
      <c r="O39" s="36"/>
      <c r="P39" s="36"/>
      <c r="Q39" s="36"/>
      <c r="R39" s="36"/>
      <c r="S39" s="36"/>
    </row>
    <row r="40">
      <c r="A40" s="34"/>
      <c r="B40" s="34"/>
      <c r="C40" s="35"/>
      <c r="D40" s="35"/>
      <c r="E40" s="34"/>
      <c r="F40" s="34"/>
      <c r="G40" s="34"/>
      <c r="H40" s="34"/>
      <c r="I40" s="34"/>
      <c r="J40" s="34"/>
      <c r="K40" s="34"/>
      <c r="L40" s="34"/>
      <c r="M40" s="36"/>
      <c r="N40" s="36"/>
      <c r="O40" s="36"/>
      <c r="P40" s="36"/>
      <c r="Q40" s="36"/>
      <c r="R40" s="36"/>
      <c r="S40" s="36"/>
    </row>
    <row r="41">
      <c r="A41" s="34"/>
      <c r="B41" s="36"/>
      <c r="C41" s="35"/>
      <c r="D41" s="35"/>
      <c r="E41" s="34"/>
      <c r="F41" s="34"/>
      <c r="G41" s="34"/>
      <c r="H41" s="34"/>
      <c r="I41" s="34"/>
      <c r="J41" s="34"/>
      <c r="K41" s="34"/>
      <c r="L41" s="34"/>
      <c r="M41" s="36"/>
      <c r="N41" s="36"/>
      <c r="O41" s="36"/>
      <c r="P41" s="36"/>
      <c r="Q41" s="36"/>
      <c r="R41" s="36"/>
      <c r="S41" s="36"/>
    </row>
    <row r="42">
      <c r="A42" s="34"/>
      <c r="B42" s="34"/>
      <c r="C42" s="35"/>
      <c r="D42" s="35"/>
      <c r="E42" s="34"/>
      <c r="F42" s="34"/>
      <c r="G42" s="34"/>
      <c r="H42" s="34"/>
      <c r="I42" s="34"/>
      <c r="J42" s="34"/>
      <c r="K42" s="34"/>
      <c r="L42" s="34"/>
      <c r="M42" s="36"/>
      <c r="N42" s="36"/>
      <c r="O42" s="36"/>
      <c r="P42" s="36"/>
      <c r="Q42" s="36"/>
      <c r="R42" s="36"/>
      <c r="S42" s="36"/>
    </row>
    <row r="43">
      <c r="A43" s="34"/>
      <c r="B43" s="34"/>
      <c r="C43" s="35"/>
      <c r="D43" s="35"/>
      <c r="E43" s="34"/>
      <c r="F43" s="34"/>
      <c r="G43" s="34"/>
      <c r="H43" s="34"/>
      <c r="I43" s="34"/>
      <c r="J43" s="34"/>
      <c r="K43" s="34"/>
      <c r="L43" s="34"/>
      <c r="M43" s="36"/>
      <c r="N43" s="36"/>
      <c r="O43" s="36"/>
      <c r="P43" s="36"/>
      <c r="Q43" s="36"/>
      <c r="R43" s="36"/>
      <c r="S43" s="36"/>
    </row>
    <row r="44">
      <c r="A44" s="34"/>
      <c r="B44" s="34"/>
      <c r="C44" s="35"/>
      <c r="D44" s="35"/>
      <c r="E44" s="34"/>
      <c r="F44" s="34"/>
      <c r="G44" s="34"/>
      <c r="H44" s="34"/>
      <c r="I44" s="34"/>
      <c r="J44" s="34"/>
      <c r="K44" s="34"/>
      <c r="L44" s="34"/>
      <c r="M44" s="36"/>
      <c r="N44" s="36"/>
      <c r="O44" s="36"/>
      <c r="P44" s="36"/>
      <c r="Q44" s="36"/>
      <c r="R44" s="36"/>
      <c r="S44" s="36"/>
    </row>
    <row r="45">
      <c r="A45" s="34"/>
      <c r="B45" s="34"/>
      <c r="C45" s="35"/>
      <c r="D45" s="35"/>
      <c r="E45" s="34"/>
      <c r="F45" s="34"/>
      <c r="G45" s="34"/>
      <c r="H45" s="34"/>
      <c r="I45" s="34"/>
      <c r="J45" s="34"/>
      <c r="K45" s="34"/>
      <c r="L45" s="34"/>
      <c r="M45" s="36"/>
      <c r="N45" s="36"/>
      <c r="O45" s="36"/>
      <c r="P45" s="36"/>
      <c r="Q45" s="36"/>
      <c r="R45" s="36"/>
      <c r="S45" s="36"/>
    </row>
    <row r="46">
      <c r="A46" s="34"/>
      <c r="B46" s="34"/>
      <c r="C46" s="35"/>
      <c r="D46" s="35"/>
      <c r="E46" s="34"/>
      <c r="F46" s="34"/>
      <c r="G46" s="34"/>
      <c r="H46" s="34"/>
      <c r="I46" s="34"/>
      <c r="J46" s="34"/>
      <c r="K46" s="34"/>
      <c r="L46" s="34"/>
      <c r="M46" s="36"/>
      <c r="N46" s="36"/>
      <c r="O46" s="36"/>
      <c r="P46" s="36"/>
      <c r="Q46" s="36"/>
      <c r="R46" s="36"/>
      <c r="S46" s="36"/>
    </row>
    <row r="47">
      <c r="A47" s="34"/>
      <c r="B47" s="34"/>
      <c r="C47" s="35"/>
      <c r="D47" s="35"/>
      <c r="E47" s="34"/>
      <c r="F47" s="34"/>
      <c r="G47" s="34"/>
      <c r="H47" s="34"/>
      <c r="I47" s="34"/>
      <c r="J47" s="34"/>
      <c r="K47" s="34"/>
      <c r="L47" s="34"/>
      <c r="M47" s="36"/>
      <c r="N47" s="36"/>
      <c r="O47" s="36"/>
      <c r="P47" s="36"/>
      <c r="Q47" s="36"/>
      <c r="R47" s="36"/>
      <c r="S47" s="36"/>
    </row>
    <row r="48">
      <c r="A48" s="34"/>
      <c r="B48" s="34"/>
      <c r="C48" s="35"/>
      <c r="D48" s="35"/>
      <c r="E48" s="34"/>
      <c r="F48" s="34"/>
      <c r="G48" s="34"/>
      <c r="H48" s="34"/>
      <c r="I48" s="34"/>
      <c r="J48" s="34"/>
      <c r="K48" s="34"/>
      <c r="L48" s="34"/>
      <c r="M48" s="36"/>
      <c r="N48" s="36"/>
      <c r="O48" s="36"/>
      <c r="P48" s="36"/>
      <c r="Q48" s="36"/>
      <c r="R48" s="36"/>
      <c r="S48" s="36"/>
    </row>
    <row r="49">
      <c r="A49" s="34"/>
      <c r="B49" s="36"/>
      <c r="C49" s="35"/>
      <c r="D49" s="35"/>
      <c r="E49" s="34"/>
      <c r="F49" s="34"/>
      <c r="G49" s="34"/>
      <c r="H49" s="34"/>
      <c r="I49" s="34"/>
      <c r="J49" s="34"/>
      <c r="K49" s="34"/>
      <c r="L49" s="34"/>
      <c r="M49" s="36"/>
      <c r="N49" s="36"/>
      <c r="O49" s="36"/>
      <c r="P49" s="36"/>
      <c r="Q49" s="36"/>
      <c r="R49" s="36"/>
      <c r="S49" s="36"/>
    </row>
    <row r="50">
      <c r="A50" s="34"/>
      <c r="B50" s="34"/>
      <c r="C50" s="35"/>
      <c r="D50" s="35"/>
      <c r="E50" s="34"/>
      <c r="F50" s="34"/>
      <c r="G50" s="34"/>
      <c r="H50" s="34"/>
      <c r="I50" s="34"/>
      <c r="J50" s="34"/>
      <c r="K50" s="34"/>
      <c r="L50" s="34"/>
      <c r="M50" s="36"/>
      <c r="N50" s="36"/>
      <c r="O50" s="36"/>
      <c r="P50" s="36"/>
      <c r="Q50" s="36"/>
      <c r="R50" s="36"/>
      <c r="S50" s="36"/>
    </row>
    <row r="51">
      <c r="A51" s="34"/>
      <c r="B51" s="34"/>
      <c r="C51" s="35"/>
      <c r="D51" s="35"/>
      <c r="E51" s="34"/>
      <c r="F51" s="34"/>
      <c r="G51" s="34"/>
      <c r="H51" s="34"/>
      <c r="I51" s="34"/>
      <c r="J51" s="34"/>
      <c r="K51" s="34"/>
      <c r="L51" s="34"/>
      <c r="M51" s="36"/>
      <c r="N51" s="36"/>
      <c r="O51" s="36"/>
      <c r="P51" s="36"/>
      <c r="Q51" s="36"/>
      <c r="R51" s="36"/>
      <c r="S51" s="36"/>
    </row>
    <row r="52">
      <c r="A52" s="34"/>
      <c r="B52" s="34"/>
      <c r="C52" s="35"/>
      <c r="D52" s="35"/>
      <c r="E52" s="34"/>
      <c r="F52" s="34"/>
      <c r="G52" s="34"/>
      <c r="H52" s="34"/>
      <c r="I52" s="34"/>
      <c r="J52" s="34"/>
      <c r="K52" s="34"/>
      <c r="L52" s="34"/>
      <c r="M52" s="36"/>
      <c r="N52" s="36"/>
      <c r="O52" s="36"/>
      <c r="P52" s="36"/>
      <c r="Q52" s="36"/>
      <c r="R52" s="36"/>
      <c r="S52" s="36"/>
    </row>
    <row r="53">
      <c r="A53" s="34"/>
      <c r="B53" s="34"/>
      <c r="C53" s="35"/>
      <c r="D53" s="35"/>
      <c r="E53" s="34"/>
      <c r="F53" s="34"/>
      <c r="G53" s="34"/>
      <c r="H53" s="34"/>
      <c r="I53" s="34"/>
      <c r="J53" s="34"/>
      <c r="K53" s="34"/>
      <c r="L53" s="34"/>
      <c r="M53" s="36"/>
      <c r="N53" s="36"/>
      <c r="O53" s="36"/>
      <c r="P53" s="36"/>
      <c r="Q53" s="36"/>
      <c r="R53" s="36"/>
      <c r="S53" s="36"/>
    </row>
    <row r="54">
      <c r="A54" s="34"/>
      <c r="B54" s="34"/>
      <c r="C54" s="35"/>
      <c r="D54" s="35"/>
      <c r="E54" s="34"/>
      <c r="F54" s="34"/>
      <c r="G54" s="34"/>
      <c r="H54" s="34"/>
      <c r="I54" s="34"/>
      <c r="J54" s="34"/>
      <c r="K54" s="34"/>
      <c r="L54" s="34"/>
      <c r="M54" s="36"/>
      <c r="N54" s="36"/>
      <c r="O54" s="36"/>
      <c r="P54" s="36"/>
      <c r="Q54" s="36"/>
      <c r="R54" s="36"/>
      <c r="S54" s="36"/>
    </row>
    <row r="55">
      <c r="A55" s="34"/>
      <c r="B55" s="34"/>
      <c r="C55" s="35"/>
      <c r="D55" s="35"/>
      <c r="E55" s="34"/>
      <c r="F55" s="34"/>
      <c r="G55" s="34"/>
      <c r="H55" s="34"/>
      <c r="I55" s="34"/>
      <c r="J55" s="34"/>
      <c r="K55" s="34"/>
      <c r="L55" s="34"/>
      <c r="M55" s="36"/>
      <c r="N55" s="36"/>
      <c r="O55" s="36"/>
      <c r="P55" s="36"/>
      <c r="Q55" s="36"/>
      <c r="R55" s="36"/>
      <c r="S55" s="36"/>
    </row>
    <row r="56">
      <c r="A56" s="34"/>
      <c r="B56" s="34"/>
      <c r="C56" s="35"/>
      <c r="D56" s="35"/>
      <c r="E56" s="34"/>
      <c r="F56" s="34"/>
      <c r="G56" s="34"/>
      <c r="H56" s="34"/>
      <c r="I56" s="34"/>
      <c r="J56" s="34"/>
      <c r="K56" s="34"/>
      <c r="L56" s="34"/>
      <c r="M56" s="36"/>
      <c r="N56" s="36"/>
      <c r="O56" s="36"/>
      <c r="P56" s="36"/>
      <c r="Q56" s="36"/>
      <c r="R56" s="36"/>
      <c r="S56" s="36"/>
    </row>
    <row r="57">
      <c r="A57" s="34"/>
      <c r="B57" s="36"/>
      <c r="C57" s="35"/>
      <c r="D57" s="35"/>
      <c r="E57" s="34"/>
      <c r="F57" s="34"/>
      <c r="G57" s="34"/>
      <c r="H57" s="34"/>
      <c r="I57" s="34"/>
      <c r="J57" s="34"/>
      <c r="K57" s="34"/>
      <c r="L57" s="34"/>
      <c r="M57" s="36"/>
      <c r="N57" s="36"/>
      <c r="O57" s="36"/>
      <c r="P57" s="36"/>
      <c r="Q57" s="36"/>
      <c r="R57" s="36"/>
      <c r="S57" s="36"/>
    </row>
    <row r="58">
      <c r="A58" s="34"/>
      <c r="B58" s="34"/>
      <c r="C58" s="35"/>
      <c r="D58" s="35"/>
      <c r="E58" s="34"/>
      <c r="F58" s="34"/>
      <c r="G58" s="34"/>
      <c r="H58" s="34"/>
      <c r="I58" s="34"/>
      <c r="J58" s="34"/>
      <c r="K58" s="34"/>
      <c r="L58" s="34"/>
      <c r="M58" s="36"/>
      <c r="N58" s="36"/>
      <c r="O58" s="36"/>
      <c r="P58" s="36"/>
      <c r="Q58" s="36"/>
      <c r="R58" s="36"/>
      <c r="S58" s="36"/>
    </row>
    <row r="59">
      <c r="A59" s="34"/>
      <c r="B59" s="34"/>
      <c r="C59" s="35"/>
      <c r="D59" s="35"/>
      <c r="E59" s="34"/>
      <c r="F59" s="34"/>
      <c r="G59" s="34"/>
      <c r="H59" s="34"/>
      <c r="I59" s="34"/>
      <c r="J59" s="34"/>
      <c r="K59" s="34"/>
      <c r="L59" s="34"/>
      <c r="M59" s="36"/>
      <c r="N59" s="36"/>
      <c r="O59" s="36"/>
      <c r="P59" s="36"/>
      <c r="Q59" s="36"/>
      <c r="R59" s="36"/>
      <c r="S59" s="36"/>
    </row>
    <row r="60">
      <c r="A60" s="34"/>
      <c r="B60" s="34"/>
      <c r="C60" s="35"/>
      <c r="D60" s="35"/>
      <c r="E60" s="34"/>
      <c r="F60" s="34"/>
      <c r="G60" s="34"/>
      <c r="H60" s="34"/>
      <c r="I60" s="34"/>
      <c r="J60" s="34"/>
      <c r="K60" s="34"/>
      <c r="L60" s="34"/>
      <c r="M60" s="36"/>
      <c r="N60" s="36"/>
      <c r="O60" s="36"/>
      <c r="P60" s="36"/>
      <c r="Q60" s="36"/>
      <c r="R60" s="36"/>
      <c r="S60" s="36"/>
    </row>
    <row r="61">
      <c r="A61" s="34"/>
      <c r="B61" s="34"/>
      <c r="C61" s="35"/>
      <c r="D61" s="35"/>
      <c r="E61" s="34"/>
      <c r="F61" s="34"/>
      <c r="G61" s="34"/>
      <c r="H61" s="34"/>
      <c r="I61" s="34"/>
      <c r="J61" s="34"/>
      <c r="K61" s="34"/>
      <c r="L61" s="34"/>
      <c r="M61" s="36"/>
      <c r="N61" s="36"/>
      <c r="O61" s="36"/>
      <c r="P61" s="36"/>
      <c r="Q61" s="36"/>
      <c r="R61" s="36"/>
      <c r="S61" s="36"/>
    </row>
    <row r="62">
      <c r="A62" s="34"/>
      <c r="B62" s="34"/>
      <c r="C62" s="35"/>
      <c r="D62" s="35"/>
      <c r="E62" s="34"/>
      <c r="F62" s="34"/>
      <c r="G62" s="34"/>
      <c r="H62" s="34"/>
      <c r="I62" s="34"/>
      <c r="J62" s="34"/>
      <c r="K62" s="34"/>
      <c r="L62" s="34"/>
      <c r="M62" s="36"/>
      <c r="N62" s="36"/>
      <c r="O62" s="36"/>
      <c r="P62" s="36"/>
      <c r="Q62" s="36"/>
      <c r="R62" s="36"/>
      <c r="S62" s="36"/>
    </row>
    <row r="63">
      <c r="A63" s="34"/>
      <c r="B63" s="34"/>
      <c r="C63" s="35"/>
      <c r="D63" s="35"/>
      <c r="E63" s="34"/>
      <c r="F63" s="34"/>
      <c r="G63" s="34"/>
      <c r="H63" s="34"/>
      <c r="I63" s="34"/>
      <c r="J63" s="34"/>
      <c r="K63" s="34"/>
      <c r="L63" s="34"/>
      <c r="M63" s="36"/>
      <c r="N63" s="36"/>
      <c r="O63" s="36"/>
      <c r="P63" s="36"/>
      <c r="Q63" s="36"/>
      <c r="R63" s="36"/>
      <c r="S63" s="36"/>
    </row>
    <row r="64">
      <c r="A64" s="34"/>
      <c r="B64" s="34"/>
      <c r="C64" s="35"/>
      <c r="D64" s="35"/>
      <c r="E64" s="34"/>
      <c r="F64" s="34"/>
      <c r="G64" s="34"/>
      <c r="H64" s="34"/>
      <c r="I64" s="34"/>
      <c r="J64" s="34"/>
      <c r="K64" s="34"/>
      <c r="L64" s="34"/>
      <c r="M64" s="36"/>
      <c r="N64" s="36"/>
      <c r="O64" s="36"/>
      <c r="P64" s="36"/>
      <c r="Q64" s="36"/>
      <c r="R64" s="36"/>
      <c r="S64" s="36"/>
    </row>
    <row r="65">
      <c r="A65" s="34"/>
      <c r="B65" s="34"/>
      <c r="C65" s="35"/>
      <c r="D65" s="35"/>
      <c r="E65" s="34"/>
      <c r="F65" s="34"/>
      <c r="G65" s="34"/>
      <c r="H65" s="34"/>
      <c r="I65" s="34"/>
      <c r="J65" s="34"/>
      <c r="K65" s="34"/>
      <c r="L65" s="34"/>
      <c r="M65" s="36"/>
      <c r="N65" s="36"/>
      <c r="O65" s="36"/>
      <c r="P65" s="36"/>
      <c r="Q65" s="36"/>
      <c r="R65" s="36"/>
      <c r="S65" s="36"/>
    </row>
    <row r="66">
      <c r="A66" s="34"/>
      <c r="B66" s="34"/>
      <c r="C66" s="35"/>
      <c r="D66" s="35"/>
      <c r="E66" s="34"/>
      <c r="F66" s="34"/>
      <c r="G66" s="34"/>
      <c r="H66" s="34"/>
      <c r="I66" s="34"/>
      <c r="J66" s="34"/>
      <c r="K66" s="34"/>
      <c r="L66" s="34"/>
      <c r="M66" s="36"/>
      <c r="N66" s="36"/>
      <c r="O66" s="36"/>
      <c r="P66" s="36"/>
      <c r="Q66" s="36"/>
      <c r="R66" s="36"/>
      <c r="S66" s="36"/>
    </row>
    <row r="67">
      <c r="A67" s="34"/>
      <c r="B67" s="34"/>
      <c r="C67" s="35"/>
      <c r="D67" s="35"/>
      <c r="E67" s="34"/>
      <c r="F67" s="34"/>
      <c r="G67" s="34"/>
      <c r="H67" s="34"/>
      <c r="I67" s="34"/>
      <c r="J67" s="34"/>
      <c r="K67" s="34"/>
      <c r="L67" s="34"/>
      <c r="M67" s="36"/>
      <c r="N67" s="36"/>
      <c r="O67" s="36"/>
      <c r="P67" s="36"/>
      <c r="Q67" s="36"/>
      <c r="R67" s="36"/>
      <c r="S67" s="36"/>
    </row>
    <row r="68">
      <c r="A68" s="34"/>
      <c r="B68" s="36"/>
      <c r="C68" s="35"/>
      <c r="D68" s="35"/>
      <c r="E68" s="34"/>
      <c r="F68" s="34"/>
      <c r="G68" s="34"/>
      <c r="H68" s="34"/>
      <c r="I68" s="34"/>
      <c r="J68" s="34"/>
      <c r="K68" s="34"/>
      <c r="L68" s="34"/>
      <c r="M68" s="36"/>
      <c r="N68" s="36"/>
      <c r="O68" s="36"/>
      <c r="P68" s="36"/>
      <c r="Q68" s="36"/>
      <c r="R68" s="36"/>
      <c r="S68" s="36"/>
    </row>
    <row r="69">
      <c r="A69" s="34"/>
      <c r="B69" s="36"/>
      <c r="C69" s="35"/>
      <c r="D69" s="35"/>
      <c r="E69" s="34"/>
      <c r="F69" s="34"/>
      <c r="G69" s="34"/>
      <c r="H69" s="34"/>
      <c r="I69" s="34"/>
      <c r="J69" s="34"/>
      <c r="K69" s="34"/>
      <c r="L69" s="34"/>
      <c r="M69" s="36"/>
      <c r="N69" s="36"/>
      <c r="O69" s="36"/>
      <c r="P69" s="36"/>
      <c r="Q69" s="36"/>
      <c r="R69" s="36"/>
      <c r="S69" s="36"/>
    </row>
    <row r="70">
      <c r="A70" s="34"/>
      <c r="B70" s="36"/>
      <c r="C70" s="35"/>
      <c r="D70" s="35"/>
      <c r="E70" s="34"/>
      <c r="F70" s="34"/>
      <c r="G70" s="34"/>
      <c r="H70" s="34"/>
      <c r="I70" s="34"/>
      <c r="J70" s="34"/>
      <c r="K70" s="34"/>
      <c r="L70" s="34"/>
      <c r="M70" s="36"/>
      <c r="N70" s="36"/>
      <c r="O70" s="36"/>
      <c r="P70" s="36"/>
      <c r="Q70" s="36"/>
      <c r="R70" s="36"/>
      <c r="S70" s="36"/>
    </row>
    <row r="71">
      <c r="A71" s="34"/>
      <c r="B71" s="36"/>
      <c r="C71" s="35"/>
      <c r="D71" s="35"/>
      <c r="E71" s="34"/>
      <c r="F71" s="34"/>
      <c r="G71" s="34"/>
      <c r="H71" s="34"/>
      <c r="I71" s="34"/>
      <c r="J71" s="34"/>
      <c r="K71" s="34"/>
      <c r="L71" s="34"/>
      <c r="M71" s="36"/>
      <c r="N71" s="36"/>
      <c r="O71" s="36"/>
      <c r="P71" s="36"/>
      <c r="Q71" s="36"/>
      <c r="R71" s="36"/>
      <c r="S71" s="36"/>
    </row>
    <row r="72">
      <c r="A72" s="34"/>
      <c r="B72" s="34"/>
      <c r="C72" s="35"/>
      <c r="D72" s="35"/>
      <c r="E72" s="34"/>
      <c r="F72" s="34"/>
      <c r="G72" s="34"/>
      <c r="H72" s="34"/>
      <c r="I72" s="34"/>
      <c r="J72" s="34"/>
      <c r="K72" s="34"/>
      <c r="L72" s="34"/>
      <c r="M72" s="36"/>
      <c r="N72" s="36"/>
      <c r="O72" s="36"/>
      <c r="P72" s="36"/>
      <c r="Q72" s="36"/>
      <c r="R72" s="36"/>
      <c r="S72" s="36"/>
    </row>
    <row r="73">
      <c r="A73" s="34"/>
      <c r="B73" s="34"/>
      <c r="C73" s="35"/>
      <c r="D73" s="35"/>
      <c r="E73" s="34"/>
      <c r="F73" s="34"/>
      <c r="G73" s="34"/>
      <c r="H73" s="34"/>
      <c r="I73" s="34"/>
      <c r="J73" s="34"/>
      <c r="K73" s="34"/>
      <c r="L73" s="34"/>
      <c r="M73" s="36"/>
      <c r="N73" s="36"/>
      <c r="O73" s="36"/>
      <c r="P73" s="36"/>
      <c r="Q73" s="36"/>
      <c r="R73" s="36"/>
      <c r="S73" s="36"/>
    </row>
    <row r="74">
      <c r="A74" s="34"/>
      <c r="B74" s="36"/>
      <c r="C74" s="35"/>
      <c r="D74" s="35"/>
      <c r="E74" s="34"/>
      <c r="F74" s="34"/>
      <c r="G74" s="34"/>
      <c r="H74" s="34"/>
      <c r="I74" s="34"/>
      <c r="J74" s="34"/>
      <c r="K74" s="34"/>
      <c r="L74" s="34"/>
      <c r="M74" s="36"/>
      <c r="N74" s="36"/>
      <c r="O74" s="36"/>
      <c r="P74" s="36"/>
      <c r="Q74" s="36"/>
      <c r="R74" s="36"/>
      <c r="S74" s="36"/>
    </row>
    <row r="75">
      <c r="A75" s="34"/>
      <c r="B75" s="34"/>
      <c r="C75" s="35"/>
      <c r="D75" s="35"/>
      <c r="E75" s="34"/>
      <c r="F75" s="34"/>
      <c r="G75" s="34"/>
      <c r="H75" s="34"/>
      <c r="I75" s="34"/>
      <c r="J75" s="34"/>
      <c r="K75" s="34"/>
      <c r="L75" s="34"/>
      <c r="M75" s="36"/>
      <c r="N75" s="36"/>
      <c r="O75" s="36"/>
      <c r="P75" s="36"/>
      <c r="Q75" s="36"/>
      <c r="R75" s="36"/>
      <c r="S75" s="36"/>
    </row>
    <row r="76">
      <c r="A76" s="34"/>
      <c r="B76" s="34"/>
      <c r="C76" s="35"/>
      <c r="D76" s="35"/>
      <c r="E76" s="34"/>
      <c r="F76" s="34"/>
      <c r="G76" s="34"/>
      <c r="H76" s="34"/>
      <c r="I76" s="34"/>
      <c r="J76" s="34"/>
      <c r="K76" s="34"/>
      <c r="L76" s="34"/>
      <c r="M76" s="36"/>
      <c r="N76" s="36"/>
      <c r="O76" s="36"/>
      <c r="P76" s="36"/>
      <c r="Q76" s="36"/>
      <c r="R76" s="36"/>
      <c r="S76" s="36"/>
    </row>
    <row r="77">
      <c r="A77" s="34"/>
      <c r="B77" s="34"/>
      <c r="C77" s="35"/>
      <c r="D77" s="35"/>
      <c r="E77" s="34"/>
      <c r="F77" s="34"/>
      <c r="G77" s="34"/>
      <c r="H77" s="34"/>
      <c r="I77" s="34"/>
      <c r="J77" s="34"/>
      <c r="K77" s="34"/>
      <c r="L77" s="34"/>
      <c r="M77" s="36"/>
      <c r="N77" s="36"/>
      <c r="O77" s="36"/>
      <c r="P77" s="36"/>
      <c r="Q77" s="36"/>
      <c r="R77" s="36"/>
      <c r="S77" s="36"/>
    </row>
    <row r="78">
      <c r="A78" s="34"/>
      <c r="B78" s="34"/>
      <c r="C78" s="35"/>
      <c r="D78" s="35"/>
      <c r="E78" s="34"/>
      <c r="F78" s="34"/>
      <c r="G78" s="34"/>
      <c r="H78" s="34"/>
      <c r="I78" s="34"/>
      <c r="J78" s="34"/>
      <c r="K78" s="34"/>
      <c r="L78" s="34"/>
      <c r="M78" s="36"/>
      <c r="N78" s="36"/>
      <c r="O78" s="36"/>
      <c r="P78" s="36"/>
      <c r="Q78" s="36"/>
      <c r="R78" s="36"/>
      <c r="S78" s="36"/>
    </row>
    <row r="79">
      <c r="A79" s="34"/>
      <c r="B79" s="36"/>
      <c r="C79" s="35"/>
      <c r="D79" s="35"/>
      <c r="E79" s="34"/>
      <c r="F79" s="34"/>
      <c r="G79" s="34"/>
      <c r="H79" s="34"/>
      <c r="I79" s="34"/>
      <c r="J79" s="34"/>
      <c r="K79" s="34"/>
      <c r="L79" s="34"/>
      <c r="M79" s="36"/>
      <c r="N79" s="36"/>
      <c r="O79" s="36"/>
      <c r="P79" s="36"/>
      <c r="Q79" s="36"/>
      <c r="R79" s="36"/>
      <c r="S79" s="36"/>
    </row>
    <row r="80">
      <c r="A80" s="34"/>
      <c r="B80" s="34"/>
      <c r="C80" s="35"/>
      <c r="D80" s="35"/>
      <c r="E80" s="34"/>
      <c r="F80" s="34"/>
      <c r="G80" s="34"/>
      <c r="H80" s="34"/>
      <c r="I80" s="34"/>
      <c r="J80" s="34"/>
      <c r="K80" s="34"/>
      <c r="L80" s="34"/>
      <c r="M80" s="36"/>
      <c r="N80" s="36"/>
      <c r="O80" s="36"/>
      <c r="P80" s="36"/>
      <c r="Q80" s="36"/>
      <c r="R80" s="36"/>
      <c r="S80" s="36"/>
    </row>
    <row r="81">
      <c r="A81" s="34"/>
      <c r="B81" s="34"/>
      <c r="C81" s="35"/>
      <c r="D81" s="35"/>
      <c r="E81" s="34"/>
      <c r="F81" s="34"/>
      <c r="G81" s="34"/>
      <c r="H81" s="34"/>
      <c r="I81" s="34"/>
      <c r="J81" s="34"/>
      <c r="K81" s="34"/>
      <c r="L81" s="34"/>
      <c r="M81" s="36"/>
      <c r="N81" s="36"/>
      <c r="O81" s="36"/>
      <c r="P81" s="36"/>
      <c r="Q81" s="36"/>
      <c r="R81" s="36"/>
      <c r="S81" s="36"/>
    </row>
    <row r="82">
      <c r="A82" s="34"/>
      <c r="B82" s="36"/>
      <c r="C82" s="35"/>
      <c r="D82" s="35"/>
      <c r="E82" s="34"/>
      <c r="F82" s="34"/>
      <c r="G82" s="34"/>
      <c r="H82" s="34"/>
      <c r="I82" s="34"/>
      <c r="J82" s="34"/>
      <c r="K82" s="34"/>
      <c r="L82" s="34"/>
      <c r="M82" s="36"/>
      <c r="N82" s="36"/>
      <c r="O82" s="36"/>
      <c r="P82" s="36"/>
      <c r="Q82" s="36"/>
      <c r="R82" s="36"/>
      <c r="S82" s="36"/>
    </row>
    <row r="83">
      <c r="A83" s="34"/>
      <c r="B83" s="34"/>
      <c r="C83" s="35"/>
      <c r="D83" s="35"/>
      <c r="E83" s="34"/>
      <c r="F83" s="34"/>
      <c r="G83" s="34"/>
      <c r="H83" s="34"/>
      <c r="I83" s="34"/>
      <c r="J83" s="34"/>
      <c r="K83" s="34"/>
      <c r="L83" s="34"/>
      <c r="M83" s="36"/>
      <c r="N83" s="36"/>
      <c r="O83" s="36"/>
      <c r="P83" s="36"/>
      <c r="Q83" s="36"/>
      <c r="R83" s="36"/>
      <c r="S83" s="36"/>
    </row>
    <row r="84">
      <c r="A84" s="34"/>
      <c r="B84" s="34"/>
      <c r="C84" s="35"/>
      <c r="D84" s="35"/>
      <c r="E84" s="34"/>
      <c r="F84" s="34"/>
      <c r="G84" s="34"/>
      <c r="H84" s="34"/>
      <c r="I84" s="34"/>
      <c r="J84" s="34"/>
      <c r="K84" s="34"/>
      <c r="L84" s="34"/>
      <c r="M84" s="36"/>
      <c r="N84" s="36"/>
      <c r="O84" s="36"/>
      <c r="P84" s="36"/>
      <c r="Q84" s="36"/>
      <c r="R84" s="36"/>
      <c r="S84" s="36"/>
    </row>
    <row r="85">
      <c r="A85" s="34"/>
      <c r="B85" s="34"/>
      <c r="C85" s="35"/>
      <c r="D85" s="35"/>
      <c r="E85" s="34"/>
      <c r="F85" s="34"/>
      <c r="G85" s="34"/>
      <c r="H85" s="34"/>
      <c r="I85" s="34"/>
      <c r="J85" s="34"/>
      <c r="K85" s="34"/>
      <c r="L85" s="34"/>
      <c r="M85" s="36"/>
      <c r="N85" s="36"/>
      <c r="O85" s="36"/>
      <c r="P85" s="36"/>
      <c r="Q85" s="36"/>
      <c r="R85" s="36"/>
      <c r="S85" s="36"/>
    </row>
    <row r="86">
      <c r="A86" s="34"/>
      <c r="B86" s="34"/>
      <c r="C86" s="35"/>
      <c r="D86" s="35"/>
      <c r="E86" s="34"/>
      <c r="F86" s="34"/>
      <c r="G86" s="34"/>
      <c r="H86" s="34"/>
      <c r="I86" s="34"/>
      <c r="J86" s="34"/>
      <c r="K86" s="34"/>
      <c r="L86" s="34"/>
      <c r="M86" s="36"/>
      <c r="N86" s="36"/>
      <c r="O86" s="36"/>
      <c r="P86" s="36"/>
      <c r="Q86" s="36"/>
      <c r="R86" s="36"/>
      <c r="S86" s="36"/>
    </row>
    <row r="87">
      <c r="A87" s="34"/>
      <c r="B87" s="34"/>
      <c r="C87" s="35"/>
      <c r="D87" s="35"/>
      <c r="E87" s="34"/>
      <c r="F87" s="34"/>
      <c r="G87" s="34"/>
      <c r="H87" s="34"/>
      <c r="I87" s="34"/>
      <c r="J87" s="34"/>
      <c r="K87" s="34"/>
      <c r="L87" s="34"/>
      <c r="M87" s="36"/>
      <c r="N87" s="36"/>
      <c r="O87" s="36"/>
      <c r="P87" s="36"/>
      <c r="Q87" s="36"/>
      <c r="R87" s="36"/>
      <c r="S87" s="36"/>
    </row>
    <row r="88">
      <c r="A88" s="34"/>
      <c r="B88" s="34"/>
      <c r="C88" s="35"/>
      <c r="D88" s="35"/>
      <c r="E88" s="34"/>
      <c r="F88" s="34"/>
      <c r="G88" s="34"/>
      <c r="H88" s="34"/>
      <c r="I88" s="34"/>
      <c r="J88" s="34"/>
      <c r="K88" s="34"/>
      <c r="L88" s="34"/>
      <c r="M88" s="36"/>
      <c r="N88" s="36"/>
      <c r="O88" s="36"/>
      <c r="P88" s="36"/>
      <c r="Q88" s="36"/>
      <c r="R88" s="36"/>
      <c r="S88" s="36"/>
    </row>
    <row r="89">
      <c r="A89" s="34"/>
      <c r="B89" s="34"/>
      <c r="C89" s="35"/>
      <c r="D89" s="35"/>
      <c r="E89" s="34"/>
      <c r="F89" s="34"/>
      <c r="G89" s="34"/>
      <c r="H89" s="34"/>
      <c r="I89" s="34"/>
      <c r="J89" s="34"/>
      <c r="K89" s="34"/>
      <c r="L89" s="34"/>
      <c r="M89" s="36"/>
      <c r="N89" s="36"/>
      <c r="O89" s="36"/>
      <c r="P89" s="36"/>
      <c r="Q89" s="36"/>
      <c r="R89" s="36"/>
      <c r="S89" s="36"/>
    </row>
    <row r="90">
      <c r="A90" s="34"/>
      <c r="B90" s="34"/>
      <c r="C90" s="35"/>
      <c r="D90" s="35"/>
      <c r="E90" s="34"/>
      <c r="F90" s="34"/>
      <c r="G90" s="34"/>
      <c r="H90" s="34"/>
      <c r="I90" s="34"/>
      <c r="J90" s="34"/>
      <c r="K90" s="34"/>
      <c r="L90" s="34"/>
      <c r="M90" s="36"/>
      <c r="N90" s="36"/>
      <c r="O90" s="36"/>
      <c r="P90" s="36"/>
      <c r="Q90" s="36"/>
      <c r="R90" s="36"/>
      <c r="S90" s="36"/>
    </row>
    <row r="91">
      <c r="A91" s="34"/>
      <c r="B91" s="34"/>
      <c r="C91" s="35"/>
      <c r="D91" s="35"/>
      <c r="E91" s="34"/>
      <c r="F91" s="34"/>
      <c r="G91" s="34"/>
      <c r="H91" s="34"/>
      <c r="I91" s="34"/>
      <c r="J91" s="34"/>
      <c r="K91" s="34"/>
      <c r="L91" s="34"/>
      <c r="M91" s="36"/>
      <c r="N91" s="36"/>
      <c r="O91" s="36"/>
      <c r="P91" s="36"/>
      <c r="Q91" s="36"/>
      <c r="R91" s="36"/>
      <c r="S91" s="36"/>
    </row>
    <row r="92">
      <c r="A92" s="34"/>
      <c r="B92" s="36"/>
      <c r="C92" s="35"/>
      <c r="D92" s="35"/>
      <c r="E92" s="34"/>
      <c r="F92" s="34"/>
      <c r="G92" s="34"/>
      <c r="H92" s="34"/>
      <c r="I92" s="34"/>
      <c r="J92" s="34"/>
      <c r="K92" s="34"/>
      <c r="L92" s="34"/>
      <c r="M92" s="36"/>
      <c r="N92" s="36"/>
      <c r="O92" s="36"/>
      <c r="P92" s="36"/>
      <c r="Q92" s="36"/>
      <c r="R92" s="36"/>
      <c r="S92" s="36"/>
    </row>
    <row r="93">
      <c r="A93" s="34"/>
      <c r="B93" s="36"/>
      <c r="C93" s="35"/>
      <c r="D93" s="35"/>
      <c r="E93" s="34"/>
      <c r="F93" s="34"/>
      <c r="G93" s="34"/>
      <c r="H93" s="34"/>
      <c r="I93" s="34"/>
      <c r="J93" s="34"/>
      <c r="K93" s="34"/>
      <c r="L93" s="34"/>
      <c r="M93" s="36"/>
      <c r="N93" s="36"/>
      <c r="O93" s="36"/>
      <c r="P93" s="36"/>
      <c r="Q93" s="36"/>
      <c r="R93" s="36"/>
      <c r="S93" s="36"/>
    </row>
    <row r="94">
      <c r="A94" s="34"/>
      <c r="B94" s="34"/>
      <c r="C94" s="35"/>
      <c r="D94" s="35"/>
      <c r="E94" s="34"/>
      <c r="F94" s="34"/>
      <c r="G94" s="34"/>
      <c r="H94" s="34"/>
      <c r="I94" s="34"/>
      <c r="J94" s="34"/>
      <c r="K94" s="34"/>
      <c r="L94" s="34"/>
      <c r="M94" s="36"/>
      <c r="N94" s="36"/>
      <c r="O94" s="36"/>
      <c r="P94" s="36"/>
      <c r="Q94" s="36"/>
      <c r="R94" s="36"/>
      <c r="S94" s="36"/>
    </row>
    <row r="95">
      <c r="A95" s="34"/>
      <c r="B95" s="36"/>
      <c r="C95" s="35"/>
      <c r="D95" s="35"/>
      <c r="E95" s="34"/>
      <c r="F95" s="34"/>
      <c r="G95" s="34"/>
      <c r="H95" s="34"/>
      <c r="I95" s="34"/>
      <c r="J95" s="34"/>
      <c r="K95" s="34"/>
      <c r="L95" s="34"/>
      <c r="M95" s="36"/>
      <c r="N95" s="36"/>
      <c r="O95" s="36"/>
      <c r="P95" s="36"/>
      <c r="Q95" s="36"/>
      <c r="R95" s="36"/>
      <c r="S95" s="36"/>
    </row>
    <row r="96">
      <c r="A96" s="34"/>
      <c r="B96" s="34"/>
      <c r="C96" s="35"/>
      <c r="D96" s="35"/>
      <c r="E96" s="34"/>
      <c r="F96" s="34"/>
      <c r="G96" s="34"/>
      <c r="H96" s="34"/>
      <c r="I96" s="34"/>
      <c r="J96" s="34"/>
      <c r="K96" s="34"/>
      <c r="L96" s="34"/>
      <c r="M96" s="36"/>
      <c r="N96" s="36"/>
      <c r="O96" s="36"/>
      <c r="P96" s="36"/>
      <c r="Q96" s="36"/>
      <c r="R96" s="36"/>
      <c r="S96" s="36"/>
    </row>
    <row r="97">
      <c r="A97" s="34"/>
      <c r="B97" s="34"/>
      <c r="C97" s="35"/>
      <c r="D97" s="35"/>
      <c r="E97" s="34"/>
      <c r="F97" s="34"/>
      <c r="G97" s="34"/>
      <c r="H97" s="34"/>
      <c r="I97" s="34"/>
      <c r="J97" s="34"/>
      <c r="K97" s="34"/>
      <c r="L97" s="34"/>
      <c r="M97" s="36"/>
      <c r="N97" s="36"/>
      <c r="O97" s="36"/>
      <c r="P97" s="36"/>
      <c r="Q97" s="36"/>
      <c r="R97" s="36"/>
      <c r="S97" s="36"/>
    </row>
    <row r="98">
      <c r="A98" s="34"/>
      <c r="B98" s="36"/>
      <c r="C98" s="35"/>
      <c r="D98" s="35"/>
      <c r="E98" s="34"/>
      <c r="F98" s="34"/>
      <c r="G98" s="34"/>
      <c r="H98" s="34"/>
      <c r="I98" s="34"/>
      <c r="J98" s="34"/>
      <c r="K98" s="34"/>
      <c r="L98" s="34"/>
      <c r="M98" s="36"/>
      <c r="N98" s="36"/>
      <c r="O98" s="36"/>
      <c r="P98" s="36"/>
      <c r="Q98" s="36"/>
      <c r="R98" s="36"/>
      <c r="S98" s="36"/>
    </row>
    <row r="99">
      <c r="A99" s="34"/>
      <c r="B99" s="34"/>
      <c r="C99" s="35"/>
      <c r="D99" s="35"/>
      <c r="E99" s="34"/>
      <c r="F99" s="34"/>
      <c r="G99" s="34"/>
      <c r="H99" s="34"/>
      <c r="I99" s="34"/>
      <c r="J99" s="34"/>
      <c r="K99" s="34"/>
      <c r="L99" s="34"/>
      <c r="M99" s="36"/>
      <c r="N99" s="36"/>
      <c r="O99" s="36"/>
      <c r="P99" s="36"/>
      <c r="Q99" s="36"/>
      <c r="R99" s="36"/>
      <c r="S99" s="36"/>
    </row>
    <row r="100">
      <c r="A100" s="34"/>
      <c r="B100" s="34"/>
      <c r="C100" s="35"/>
      <c r="D100" s="35"/>
      <c r="E100" s="34"/>
      <c r="F100" s="34"/>
      <c r="G100" s="34"/>
      <c r="H100" s="34"/>
      <c r="I100" s="34"/>
      <c r="J100" s="34"/>
      <c r="K100" s="34"/>
      <c r="L100" s="34"/>
      <c r="M100" s="36"/>
      <c r="N100" s="36"/>
      <c r="O100" s="36"/>
      <c r="P100" s="36"/>
      <c r="Q100" s="36"/>
      <c r="R100" s="36"/>
      <c r="S100" s="36"/>
    </row>
    <row r="101">
      <c r="A101" s="34"/>
      <c r="B101" s="34"/>
      <c r="C101" s="35"/>
      <c r="D101" s="35"/>
      <c r="E101" s="34"/>
      <c r="F101" s="34"/>
      <c r="G101" s="34"/>
      <c r="H101" s="34"/>
      <c r="I101" s="34"/>
      <c r="J101" s="34"/>
      <c r="K101" s="34"/>
      <c r="L101" s="34"/>
      <c r="M101" s="36"/>
      <c r="N101" s="36"/>
      <c r="O101" s="36"/>
      <c r="P101" s="36"/>
      <c r="Q101" s="36"/>
      <c r="R101" s="36"/>
      <c r="S101" s="36"/>
    </row>
    <row r="102">
      <c r="A102" s="34"/>
      <c r="B102" s="34"/>
      <c r="C102" s="35"/>
      <c r="D102" s="35"/>
      <c r="E102" s="34"/>
      <c r="F102" s="34"/>
      <c r="G102" s="34"/>
      <c r="H102" s="34"/>
      <c r="I102" s="34"/>
      <c r="J102" s="34"/>
      <c r="K102" s="34"/>
      <c r="L102" s="34"/>
      <c r="M102" s="36"/>
      <c r="N102" s="36"/>
      <c r="O102" s="36"/>
      <c r="P102" s="36"/>
      <c r="Q102" s="36"/>
      <c r="R102" s="36"/>
      <c r="S102" s="36"/>
    </row>
    <row r="103">
      <c r="A103" s="34"/>
      <c r="B103" s="34"/>
      <c r="C103" s="35"/>
      <c r="D103" s="35"/>
      <c r="E103" s="34"/>
      <c r="F103" s="34"/>
      <c r="G103" s="34"/>
      <c r="H103" s="34"/>
      <c r="I103" s="34"/>
      <c r="J103" s="34"/>
      <c r="K103" s="34"/>
      <c r="L103" s="34"/>
      <c r="M103" s="36"/>
      <c r="N103" s="36"/>
      <c r="O103" s="36"/>
      <c r="P103" s="36"/>
      <c r="Q103" s="36"/>
      <c r="R103" s="36"/>
      <c r="S103" s="36"/>
    </row>
    <row r="104">
      <c r="A104" s="34"/>
      <c r="B104" s="36"/>
      <c r="C104" s="35"/>
      <c r="D104" s="35"/>
      <c r="E104" s="34"/>
      <c r="F104" s="34"/>
      <c r="G104" s="34"/>
      <c r="H104" s="34"/>
      <c r="I104" s="34"/>
      <c r="J104" s="34"/>
      <c r="K104" s="34"/>
      <c r="L104" s="34"/>
      <c r="M104" s="36"/>
      <c r="N104" s="36"/>
      <c r="O104" s="36"/>
      <c r="P104" s="36"/>
      <c r="Q104" s="36"/>
      <c r="R104" s="36"/>
      <c r="S104" s="36"/>
    </row>
    <row r="105">
      <c r="A105" s="34"/>
      <c r="B105" s="34"/>
      <c r="C105" s="35"/>
      <c r="D105" s="35"/>
      <c r="E105" s="34"/>
      <c r="F105" s="34"/>
      <c r="G105" s="34"/>
      <c r="H105" s="34"/>
      <c r="I105" s="34"/>
      <c r="J105" s="34"/>
      <c r="K105" s="34"/>
      <c r="L105" s="34"/>
      <c r="M105" s="36"/>
      <c r="N105" s="36"/>
      <c r="O105" s="36"/>
      <c r="P105" s="36"/>
      <c r="Q105" s="36"/>
      <c r="R105" s="36"/>
      <c r="S105" s="36"/>
    </row>
    <row r="106">
      <c r="A106" s="34"/>
      <c r="B106" s="34"/>
      <c r="C106" s="35"/>
      <c r="D106" s="35"/>
      <c r="E106" s="34"/>
      <c r="F106" s="34"/>
      <c r="G106" s="34"/>
      <c r="H106" s="34"/>
      <c r="I106" s="34"/>
      <c r="J106" s="34"/>
      <c r="K106" s="34"/>
      <c r="L106" s="34"/>
      <c r="M106" s="36"/>
      <c r="N106" s="36"/>
      <c r="O106" s="36"/>
      <c r="P106" s="36"/>
      <c r="Q106" s="36"/>
      <c r="R106" s="36"/>
      <c r="S106" s="36"/>
    </row>
    <row r="107">
      <c r="A107" s="34"/>
      <c r="B107" s="34"/>
      <c r="C107" s="35"/>
      <c r="D107" s="35"/>
      <c r="E107" s="34"/>
      <c r="F107" s="34"/>
      <c r="G107" s="34"/>
      <c r="H107" s="34"/>
      <c r="I107" s="34"/>
      <c r="J107" s="34"/>
      <c r="K107" s="34"/>
      <c r="L107" s="34"/>
      <c r="M107" s="36"/>
      <c r="N107" s="36"/>
      <c r="O107" s="36"/>
      <c r="P107" s="36"/>
      <c r="Q107" s="36"/>
      <c r="R107" s="36"/>
      <c r="S107" s="36"/>
    </row>
    <row r="108">
      <c r="A108" s="34"/>
      <c r="B108" s="34"/>
      <c r="C108" s="35"/>
      <c r="D108" s="35"/>
      <c r="E108" s="34"/>
      <c r="F108" s="34"/>
      <c r="G108" s="34"/>
      <c r="H108" s="34"/>
      <c r="I108" s="34"/>
      <c r="J108" s="34"/>
      <c r="K108" s="34"/>
      <c r="L108" s="34"/>
      <c r="M108" s="36"/>
      <c r="N108" s="36"/>
      <c r="O108" s="36"/>
      <c r="P108" s="36"/>
      <c r="Q108" s="36"/>
      <c r="R108" s="36"/>
      <c r="S108" s="36"/>
    </row>
    <row r="109">
      <c r="A109" s="34"/>
      <c r="B109" s="34"/>
      <c r="C109" s="35"/>
      <c r="D109" s="35"/>
      <c r="E109" s="34"/>
      <c r="F109" s="34"/>
      <c r="G109" s="34"/>
      <c r="H109" s="34"/>
      <c r="I109" s="34"/>
      <c r="J109" s="34"/>
      <c r="K109" s="34"/>
      <c r="L109" s="34"/>
      <c r="M109" s="36"/>
      <c r="N109" s="36"/>
      <c r="O109" s="36"/>
      <c r="P109" s="36"/>
      <c r="Q109" s="36"/>
      <c r="R109" s="36"/>
      <c r="S109" s="36"/>
    </row>
    <row r="110">
      <c r="A110" s="34"/>
      <c r="B110" s="34"/>
      <c r="C110" s="35"/>
      <c r="D110" s="35"/>
      <c r="E110" s="34"/>
      <c r="F110" s="34"/>
      <c r="G110" s="34"/>
      <c r="H110" s="34"/>
      <c r="I110" s="34"/>
      <c r="J110" s="34"/>
      <c r="K110" s="34"/>
      <c r="L110" s="34"/>
      <c r="M110" s="36"/>
      <c r="N110" s="36"/>
      <c r="O110" s="36"/>
      <c r="P110" s="36"/>
      <c r="Q110" s="36"/>
      <c r="R110" s="36"/>
      <c r="S110" s="36"/>
    </row>
    <row r="111">
      <c r="A111" s="34"/>
      <c r="B111" s="34"/>
      <c r="C111" s="35"/>
      <c r="D111" s="35"/>
      <c r="E111" s="34"/>
      <c r="F111" s="34"/>
      <c r="G111" s="34"/>
      <c r="H111" s="34"/>
      <c r="I111" s="34"/>
      <c r="J111" s="34"/>
      <c r="K111" s="34"/>
      <c r="L111" s="34"/>
      <c r="M111" s="36"/>
      <c r="N111" s="36"/>
      <c r="O111" s="36"/>
      <c r="P111" s="36"/>
      <c r="Q111" s="36"/>
      <c r="R111" s="36"/>
      <c r="S111" s="36"/>
    </row>
    <row r="112">
      <c r="A112" s="34"/>
      <c r="B112" s="34"/>
      <c r="C112" s="35"/>
      <c r="D112" s="35"/>
      <c r="E112" s="34"/>
      <c r="F112" s="34"/>
      <c r="G112" s="34"/>
      <c r="H112" s="34"/>
      <c r="I112" s="34"/>
      <c r="J112" s="34"/>
      <c r="K112" s="34"/>
      <c r="L112" s="34"/>
      <c r="M112" s="36"/>
      <c r="N112" s="36"/>
      <c r="O112" s="36"/>
      <c r="P112" s="36"/>
      <c r="Q112" s="36"/>
      <c r="R112" s="36"/>
      <c r="S112" s="36"/>
    </row>
    <row r="113">
      <c r="A113" s="34"/>
      <c r="B113" s="36"/>
      <c r="C113" s="35"/>
      <c r="D113" s="35"/>
      <c r="E113" s="34"/>
      <c r="F113" s="34"/>
      <c r="G113" s="34"/>
      <c r="H113" s="34"/>
      <c r="I113" s="34"/>
      <c r="J113" s="34"/>
      <c r="K113" s="34"/>
      <c r="L113" s="34"/>
      <c r="M113" s="36"/>
      <c r="N113" s="36"/>
      <c r="O113" s="36"/>
      <c r="P113" s="36"/>
      <c r="Q113" s="36"/>
      <c r="R113" s="36"/>
      <c r="S113" s="36"/>
    </row>
    <row r="114">
      <c r="A114" s="34"/>
      <c r="B114" s="34"/>
      <c r="C114" s="35"/>
      <c r="D114" s="35"/>
      <c r="E114" s="34"/>
      <c r="F114" s="34"/>
      <c r="G114" s="34"/>
      <c r="H114" s="34"/>
      <c r="I114" s="34"/>
      <c r="J114" s="34"/>
      <c r="K114" s="34"/>
      <c r="L114" s="34"/>
      <c r="M114" s="36"/>
      <c r="N114" s="36"/>
      <c r="O114" s="36"/>
      <c r="P114" s="36"/>
      <c r="Q114" s="36"/>
      <c r="R114" s="36"/>
      <c r="S114" s="36"/>
    </row>
    <row r="115">
      <c r="A115" s="34"/>
      <c r="B115" s="36"/>
      <c r="C115" s="35"/>
      <c r="D115" s="35"/>
      <c r="E115" s="34"/>
      <c r="F115" s="34"/>
      <c r="G115" s="34"/>
      <c r="H115" s="34"/>
      <c r="I115" s="34"/>
      <c r="J115" s="34"/>
      <c r="K115" s="34"/>
      <c r="L115" s="34"/>
      <c r="M115" s="36"/>
      <c r="N115" s="36"/>
      <c r="O115" s="36"/>
      <c r="P115" s="36"/>
      <c r="Q115" s="36"/>
      <c r="R115" s="36"/>
      <c r="S115" s="36"/>
    </row>
    <row r="116">
      <c r="A116" s="34"/>
      <c r="B116" s="34"/>
      <c r="C116" s="35"/>
      <c r="D116" s="35"/>
      <c r="E116" s="34"/>
      <c r="F116" s="34"/>
      <c r="G116" s="34"/>
      <c r="H116" s="34"/>
      <c r="I116" s="34"/>
      <c r="J116" s="34"/>
      <c r="K116" s="34"/>
      <c r="L116" s="34"/>
      <c r="M116" s="36"/>
      <c r="N116" s="36"/>
      <c r="O116" s="36"/>
      <c r="P116" s="36"/>
      <c r="Q116" s="36"/>
      <c r="R116" s="36"/>
      <c r="S116" s="36"/>
    </row>
    <row r="117">
      <c r="A117" s="34"/>
      <c r="B117" s="36"/>
      <c r="C117" s="35"/>
      <c r="D117" s="35"/>
      <c r="E117" s="34"/>
      <c r="F117" s="34"/>
      <c r="G117" s="34"/>
      <c r="H117" s="34"/>
      <c r="I117" s="34"/>
      <c r="J117" s="34"/>
      <c r="K117" s="34"/>
      <c r="L117" s="34"/>
      <c r="M117" s="36"/>
      <c r="N117" s="36"/>
      <c r="O117" s="36"/>
      <c r="P117" s="36"/>
      <c r="Q117" s="36"/>
      <c r="R117" s="36"/>
      <c r="S117" s="36"/>
    </row>
    <row r="118">
      <c r="A118" s="34"/>
      <c r="B118" s="34"/>
      <c r="C118" s="35"/>
      <c r="D118" s="35"/>
      <c r="E118" s="34"/>
      <c r="F118" s="34"/>
      <c r="G118" s="34"/>
      <c r="H118" s="34"/>
      <c r="I118" s="34"/>
      <c r="J118" s="34"/>
      <c r="K118" s="34"/>
      <c r="L118" s="34"/>
      <c r="M118" s="36"/>
      <c r="N118" s="36"/>
      <c r="O118" s="36"/>
      <c r="P118" s="36"/>
      <c r="Q118" s="36"/>
      <c r="R118" s="36"/>
      <c r="S118" s="36"/>
    </row>
    <row r="119">
      <c r="A119" s="34"/>
      <c r="B119" s="34"/>
      <c r="C119" s="35"/>
      <c r="D119" s="35"/>
      <c r="E119" s="34"/>
      <c r="F119" s="34"/>
      <c r="G119" s="34"/>
      <c r="H119" s="34"/>
      <c r="I119" s="34"/>
      <c r="J119" s="34"/>
      <c r="K119" s="34"/>
      <c r="L119" s="34"/>
      <c r="M119" s="36"/>
      <c r="N119" s="36"/>
      <c r="O119" s="36"/>
      <c r="P119" s="36"/>
      <c r="Q119" s="36"/>
      <c r="R119" s="36"/>
      <c r="S119" s="36"/>
    </row>
    <row r="120">
      <c r="A120" s="34"/>
      <c r="B120" s="34"/>
      <c r="C120" s="35"/>
      <c r="D120" s="35"/>
      <c r="E120" s="34"/>
      <c r="F120" s="34"/>
      <c r="G120" s="34"/>
      <c r="H120" s="34"/>
      <c r="I120" s="34"/>
      <c r="J120" s="34"/>
      <c r="K120" s="34"/>
      <c r="L120" s="34"/>
      <c r="M120" s="36"/>
      <c r="N120" s="36"/>
      <c r="O120" s="36"/>
      <c r="P120" s="36"/>
      <c r="Q120" s="36"/>
      <c r="R120" s="36"/>
      <c r="S120" s="36"/>
    </row>
    <row r="121">
      <c r="A121" s="34"/>
      <c r="B121" s="36"/>
      <c r="C121" s="35"/>
      <c r="D121" s="35"/>
      <c r="E121" s="34"/>
      <c r="F121" s="34"/>
      <c r="G121" s="34"/>
      <c r="H121" s="34"/>
      <c r="I121" s="34"/>
      <c r="J121" s="34"/>
      <c r="K121" s="34"/>
      <c r="L121" s="34"/>
      <c r="M121" s="36"/>
      <c r="N121" s="36"/>
      <c r="O121" s="36"/>
      <c r="P121" s="36"/>
      <c r="Q121" s="36"/>
      <c r="R121" s="36"/>
      <c r="S121" s="36"/>
    </row>
    <row r="122">
      <c r="A122" s="34"/>
      <c r="B122" s="36"/>
      <c r="C122" s="35"/>
      <c r="D122" s="35"/>
      <c r="E122" s="34"/>
      <c r="F122" s="34"/>
      <c r="G122" s="34"/>
      <c r="H122" s="34"/>
      <c r="I122" s="34"/>
      <c r="J122" s="34"/>
      <c r="K122" s="34"/>
      <c r="L122" s="34"/>
      <c r="M122" s="36"/>
      <c r="N122" s="36"/>
      <c r="O122" s="36"/>
      <c r="P122" s="36"/>
      <c r="Q122" s="36"/>
      <c r="R122" s="36"/>
      <c r="S122" s="36"/>
    </row>
    <row r="123">
      <c r="A123" s="34"/>
      <c r="B123" s="36"/>
      <c r="C123" s="35"/>
      <c r="D123" s="35"/>
      <c r="E123" s="34"/>
      <c r="F123" s="34"/>
      <c r="G123" s="34"/>
      <c r="H123" s="34"/>
      <c r="I123" s="34"/>
      <c r="J123" s="34"/>
      <c r="K123" s="34"/>
      <c r="L123" s="34"/>
      <c r="M123" s="36"/>
      <c r="N123" s="36"/>
      <c r="O123" s="36"/>
      <c r="P123" s="36"/>
      <c r="Q123" s="36"/>
      <c r="R123" s="36"/>
      <c r="S123" s="36"/>
    </row>
    <row r="124">
      <c r="A124" s="34"/>
      <c r="B124" s="34"/>
      <c r="C124" s="35"/>
      <c r="D124" s="35"/>
      <c r="E124" s="34"/>
      <c r="F124" s="34"/>
      <c r="G124" s="34"/>
      <c r="H124" s="34"/>
      <c r="I124" s="34"/>
      <c r="J124" s="34"/>
      <c r="K124" s="34"/>
      <c r="L124" s="34"/>
      <c r="M124" s="36"/>
      <c r="N124" s="36"/>
      <c r="O124" s="36"/>
      <c r="P124" s="36"/>
      <c r="Q124" s="36"/>
      <c r="R124" s="36"/>
      <c r="S124" s="36"/>
    </row>
    <row r="125">
      <c r="A125" s="34"/>
      <c r="B125" s="34"/>
      <c r="C125" s="35"/>
      <c r="D125" s="35"/>
      <c r="E125" s="34"/>
      <c r="F125" s="34"/>
      <c r="G125" s="34"/>
      <c r="H125" s="34"/>
      <c r="I125" s="34"/>
      <c r="J125" s="34"/>
      <c r="K125" s="34"/>
      <c r="L125" s="34"/>
      <c r="M125" s="36"/>
      <c r="N125" s="36"/>
      <c r="O125" s="36"/>
      <c r="P125" s="36"/>
      <c r="Q125" s="36"/>
      <c r="R125" s="36"/>
      <c r="S125" s="36"/>
    </row>
    <row r="126">
      <c r="A126" s="34"/>
      <c r="B126" s="36"/>
      <c r="C126" s="35"/>
      <c r="D126" s="35"/>
      <c r="E126" s="34"/>
      <c r="F126" s="34"/>
      <c r="G126" s="34"/>
      <c r="H126" s="34"/>
      <c r="I126" s="34"/>
      <c r="J126" s="34"/>
      <c r="K126" s="34"/>
      <c r="L126" s="34"/>
      <c r="M126" s="36"/>
      <c r="N126" s="36"/>
      <c r="O126" s="36"/>
      <c r="P126" s="36"/>
      <c r="Q126" s="36"/>
      <c r="R126" s="36"/>
      <c r="S126" s="36"/>
    </row>
    <row r="127">
      <c r="A127" s="34"/>
      <c r="B127" s="36"/>
      <c r="C127" s="35"/>
      <c r="D127" s="35"/>
      <c r="E127" s="34"/>
      <c r="F127" s="34"/>
      <c r="G127" s="34"/>
      <c r="H127" s="34"/>
      <c r="I127" s="34"/>
      <c r="J127" s="34"/>
      <c r="K127" s="34"/>
      <c r="L127" s="34"/>
      <c r="M127" s="36"/>
      <c r="N127" s="36"/>
      <c r="O127" s="36"/>
      <c r="P127" s="36"/>
      <c r="Q127" s="36"/>
      <c r="R127" s="36"/>
      <c r="S127" s="36"/>
    </row>
    <row r="128">
      <c r="A128" s="34"/>
      <c r="B128" s="34"/>
      <c r="C128" s="35"/>
      <c r="D128" s="35"/>
      <c r="E128" s="34"/>
      <c r="F128" s="34"/>
      <c r="G128" s="34"/>
      <c r="H128" s="34"/>
      <c r="I128" s="34"/>
      <c r="J128" s="34"/>
      <c r="K128" s="34"/>
      <c r="L128" s="34"/>
      <c r="M128" s="36"/>
      <c r="N128" s="36"/>
      <c r="O128" s="36"/>
      <c r="P128" s="36"/>
      <c r="Q128" s="36"/>
      <c r="R128" s="36"/>
      <c r="S128" s="36"/>
    </row>
    <row r="129">
      <c r="A129" s="34"/>
      <c r="B129" s="34"/>
      <c r="C129" s="35"/>
      <c r="D129" s="35"/>
      <c r="E129" s="34"/>
      <c r="F129" s="34"/>
      <c r="G129" s="34"/>
      <c r="H129" s="34"/>
      <c r="I129" s="34"/>
      <c r="J129" s="34"/>
      <c r="K129" s="34"/>
      <c r="L129" s="34"/>
      <c r="M129" s="36"/>
      <c r="N129" s="36"/>
      <c r="O129" s="36"/>
      <c r="P129" s="36"/>
      <c r="Q129" s="36"/>
      <c r="R129" s="36"/>
      <c r="S129" s="36"/>
    </row>
    <row r="130">
      <c r="A130" s="34"/>
      <c r="B130" s="34"/>
      <c r="C130" s="35"/>
      <c r="D130" s="35"/>
      <c r="E130" s="34"/>
      <c r="F130" s="34"/>
      <c r="G130" s="34"/>
      <c r="H130" s="34"/>
      <c r="I130" s="34"/>
      <c r="J130" s="34"/>
      <c r="K130" s="34"/>
      <c r="L130" s="34"/>
      <c r="M130" s="36"/>
      <c r="N130" s="36"/>
      <c r="O130" s="36"/>
      <c r="P130" s="36"/>
      <c r="Q130" s="36"/>
      <c r="R130" s="36"/>
      <c r="S130" s="36"/>
    </row>
    <row r="131">
      <c r="A131" s="34"/>
      <c r="B131" s="34"/>
      <c r="C131" s="35"/>
      <c r="D131" s="35"/>
      <c r="E131" s="34"/>
      <c r="F131" s="34"/>
      <c r="G131" s="34"/>
      <c r="H131" s="34"/>
      <c r="I131" s="34"/>
      <c r="J131" s="34"/>
      <c r="K131" s="34"/>
      <c r="L131" s="34"/>
      <c r="M131" s="36"/>
      <c r="N131" s="36"/>
      <c r="O131" s="36"/>
      <c r="P131" s="36"/>
      <c r="Q131" s="36"/>
      <c r="R131" s="36"/>
      <c r="S131" s="36"/>
    </row>
    <row r="132">
      <c r="A132" s="34"/>
      <c r="B132" s="36"/>
      <c r="C132" s="35"/>
      <c r="D132" s="35"/>
      <c r="E132" s="34"/>
      <c r="F132" s="34"/>
      <c r="G132" s="34"/>
      <c r="H132" s="34"/>
      <c r="I132" s="34"/>
      <c r="J132" s="34"/>
      <c r="K132" s="34"/>
      <c r="L132" s="34"/>
      <c r="M132" s="36"/>
      <c r="N132" s="36"/>
      <c r="O132" s="36"/>
      <c r="P132" s="36"/>
      <c r="Q132" s="36"/>
      <c r="R132" s="36"/>
      <c r="S132" s="36"/>
    </row>
    <row r="133">
      <c r="A133" s="34"/>
      <c r="B133" s="34"/>
      <c r="C133" s="35"/>
      <c r="D133" s="35"/>
      <c r="E133" s="34"/>
      <c r="F133" s="34"/>
      <c r="G133" s="34"/>
      <c r="H133" s="34"/>
      <c r="I133" s="34"/>
      <c r="J133" s="34"/>
      <c r="K133" s="34"/>
      <c r="L133" s="34"/>
      <c r="M133" s="36"/>
      <c r="N133" s="36"/>
      <c r="O133" s="36"/>
      <c r="P133" s="36"/>
      <c r="Q133" s="36"/>
      <c r="R133" s="36"/>
      <c r="S133" s="36"/>
    </row>
    <row r="134">
      <c r="A134" s="34"/>
      <c r="B134" s="34"/>
      <c r="C134" s="35"/>
      <c r="D134" s="35"/>
      <c r="E134" s="34"/>
      <c r="F134" s="34"/>
      <c r="G134" s="34"/>
      <c r="H134" s="34"/>
      <c r="I134" s="34"/>
      <c r="J134" s="34"/>
      <c r="K134" s="34"/>
      <c r="L134" s="34"/>
      <c r="M134" s="36"/>
      <c r="N134" s="36"/>
      <c r="O134" s="36"/>
      <c r="P134" s="36"/>
      <c r="Q134" s="36"/>
      <c r="R134" s="36"/>
      <c r="S134" s="36"/>
    </row>
    <row r="135">
      <c r="A135" s="34"/>
      <c r="B135" s="34"/>
      <c r="C135" s="35"/>
      <c r="D135" s="35"/>
      <c r="E135" s="34"/>
      <c r="F135" s="34"/>
      <c r="G135" s="34"/>
      <c r="H135" s="34"/>
      <c r="I135" s="34"/>
      <c r="J135" s="34"/>
      <c r="K135" s="34"/>
      <c r="L135" s="34"/>
      <c r="M135" s="36"/>
      <c r="N135" s="36"/>
      <c r="O135" s="36"/>
      <c r="P135" s="36"/>
      <c r="Q135" s="36"/>
      <c r="R135" s="36"/>
      <c r="S135" s="36"/>
    </row>
    <row r="136">
      <c r="A136" s="34"/>
      <c r="B136" s="36"/>
      <c r="C136" s="35"/>
      <c r="D136" s="35"/>
      <c r="E136" s="34"/>
      <c r="F136" s="34"/>
      <c r="G136" s="34"/>
      <c r="H136" s="34"/>
      <c r="I136" s="34"/>
      <c r="J136" s="34"/>
      <c r="K136" s="34"/>
      <c r="L136" s="34"/>
      <c r="M136" s="36"/>
      <c r="N136" s="36"/>
      <c r="O136" s="36"/>
      <c r="P136" s="36"/>
      <c r="Q136" s="36"/>
      <c r="R136" s="36"/>
      <c r="S136" s="36"/>
    </row>
    <row r="137">
      <c r="A137" s="34"/>
      <c r="B137" s="34"/>
      <c r="C137" s="35"/>
      <c r="D137" s="35"/>
      <c r="E137" s="34"/>
      <c r="F137" s="34"/>
      <c r="G137" s="34"/>
      <c r="H137" s="34"/>
      <c r="I137" s="34"/>
      <c r="J137" s="34"/>
      <c r="K137" s="34"/>
      <c r="L137" s="34"/>
      <c r="M137" s="36"/>
      <c r="N137" s="36"/>
      <c r="O137" s="36"/>
      <c r="P137" s="36"/>
      <c r="Q137" s="36"/>
      <c r="R137" s="36"/>
      <c r="S137" s="36"/>
    </row>
    <row r="138">
      <c r="A138" s="34"/>
      <c r="B138" s="36"/>
      <c r="C138" s="35"/>
      <c r="D138" s="35"/>
      <c r="E138" s="34"/>
      <c r="F138" s="34"/>
      <c r="G138" s="34"/>
      <c r="H138" s="34"/>
      <c r="I138" s="34"/>
      <c r="J138" s="34"/>
      <c r="K138" s="34"/>
      <c r="L138" s="34"/>
      <c r="M138" s="36"/>
      <c r="N138" s="36"/>
      <c r="O138" s="36"/>
      <c r="P138" s="36"/>
      <c r="Q138" s="36"/>
      <c r="R138" s="36"/>
      <c r="S138" s="36"/>
    </row>
    <row r="139">
      <c r="A139" s="34"/>
      <c r="B139" s="34"/>
      <c r="C139" s="35"/>
      <c r="D139" s="35"/>
      <c r="E139" s="34"/>
      <c r="F139" s="34"/>
      <c r="G139" s="34"/>
      <c r="H139" s="34"/>
      <c r="I139" s="34"/>
      <c r="J139" s="34"/>
      <c r="K139" s="34"/>
      <c r="L139" s="34"/>
      <c r="M139" s="36"/>
      <c r="N139" s="36"/>
      <c r="O139" s="36"/>
      <c r="P139" s="36"/>
      <c r="Q139" s="36"/>
      <c r="R139" s="36"/>
      <c r="S139" s="36"/>
    </row>
    <row r="140">
      <c r="A140" s="34"/>
      <c r="B140" s="36"/>
      <c r="C140" s="35"/>
      <c r="D140" s="35"/>
      <c r="E140" s="34"/>
      <c r="F140" s="34"/>
      <c r="G140" s="34"/>
      <c r="H140" s="34"/>
      <c r="I140" s="34"/>
      <c r="J140" s="34"/>
      <c r="K140" s="34"/>
      <c r="L140" s="34"/>
      <c r="M140" s="36"/>
      <c r="N140" s="36"/>
      <c r="O140" s="36"/>
      <c r="P140" s="36"/>
      <c r="Q140" s="36"/>
      <c r="R140" s="36"/>
      <c r="S140" s="36"/>
    </row>
    <row r="141">
      <c r="A141" s="34"/>
      <c r="B141" s="34"/>
      <c r="C141" s="35"/>
      <c r="D141" s="35"/>
      <c r="E141" s="34"/>
      <c r="F141" s="34"/>
      <c r="G141" s="34"/>
      <c r="H141" s="34"/>
      <c r="I141" s="34"/>
      <c r="J141" s="34"/>
      <c r="K141" s="34"/>
      <c r="L141" s="34"/>
      <c r="M141" s="36"/>
      <c r="N141" s="36"/>
      <c r="O141" s="36"/>
      <c r="P141" s="36"/>
      <c r="Q141" s="36"/>
      <c r="R141" s="36"/>
      <c r="S141" s="36"/>
    </row>
    <row r="142">
      <c r="A142" s="34"/>
      <c r="B142" s="36"/>
      <c r="C142" s="35"/>
      <c r="D142" s="35"/>
      <c r="E142" s="34"/>
      <c r="F142" s="34"/>
      <c r="G142" s="34"/>
      <c r="H142" s="34"/>
      <c r="I142" s="34"/>
      <c r="J142" s="34"/>
      <c r="K142" s="34"/>
      <c r="L142" s="34"/>
      <c r="M142" s="36"/>
      <c r="N142" s="36"/>
      <c r="O142" s="36"/>
      <c r="P142" s="36"/>
      <c r="Q142" s="36"/>
      <c r="R142" s="36"/>
      <c r="S142" s="36"/>
    </row>
    <row r="143">
      <c r="A143" s="34"/>
      <c r="B143" s="34"/>
      <c r="C143" s="35"/>
      <c r="D143" s="35"/>
      <c r="E143" s="34"/>
      <c r="F143" s="34"/>
      <c r="G143" s="34"/>
      <c r="H143" s="34"/>
      <c r="I143" s="34"/>
      <c r="J143" s="34"/>
      <c r="K143" s="34"/>
      <c r="L143" s="34"/>
      <c r="M143" s="36"/>
      <c r="N143" s="36"/>
      <c r="O143" s="36"/>
      <c r="P143" s="36"/>
      <c r="Q143" s="36"/>
      <c r="R143" s="36"/>
      <c r="S143" s="36"/>
    </row>
    <row r="144">
      <c r="A144" s="34"/>
      <c r="B144" s="34"/>
      <c r="C144" s="35"/>
      <c r="D144" s="35"/>
      <c r="E144" s="34"/>
      <c r="F144" s="34"/>
      <c r="G144" s="34"/>
      <c r="H144" s="34"/>
      <c r="I144" s="34"/>
      <c r="J144" s="34"/>
      <c r="K144" s="34"/>
      <c r="L144" s="34"/>
      <c r="M144" s="36"/>
      <c r="N144" s="36"/>
      <c r="O144" s="36"/>
      <c r="P144" s="36"/>
      <c r="Q144" s="36"/>
      <c r="R144" s="36"/>
      <c r="S144" s="36"/>
    </row>
    <row r="145">
      <c r="A145" s="34"/>
      <c r="B145" s="34"/>
      <c r="C145" s="35"/>
      <c r="D145" s="35"/>
      <c r="E145" s="34"/>
      <c r="F145" s="34"/>
      <c r="G145" s="34"/>
      <c r="H145" s="34"/>
      <c r="I145" s="34"/>
      <c r="J145" s="34"/>
      <c r="K145" s="34"/>
      <c r="L145" s="34"/>
      <c r="M145" s="36"/>
      <c r="N145" s="36"/>
      <c r="O145" s="36"/>
      <c r="P145" s="36"/>
      <c r="Q145" s="36"/>
      <c r="R145" s="36"/>
      <c r="S145" s="36"/>
    </row>
    <row r="146">
      <c r="A146" s="34"/>
      <c r="B146" s="36"/>
      <c r="C146" s="35"/>
      <c r="D146" s="35"/>
      <c r="E146" s="34"/>
      <c r="F146" s="34"/>
      <c r="G146" s="34"/>
      <c r="H146" s="34"/>
      <c r="I146" s="34"/>
      <c r="J146" s="34"/>
      <c r="K146" s="34"/>
      <c r="L146" s="34"/>
      <c r="M146" s="36"/>
      <c r="N146" s="36"/>
      <c r="O146" s="36"/>
      <c r="P146" s="36"/>
      <c r="Q146" s="36"/>
      <c r="R146" s="36"/>
      <c r="S146" s="36"/>
    </row>
    <row r="147">
      <c r="A147" s="34"/>
      <c r="B147" s="34"/>
      <c r="C147" s="35"/>
      <c r="D147" s="35"/>
      <c r="E147" s="34"/>
      <c r="F147" s="34"/>
      <c r="G147" s="34"/>
      <c r="H147" s="34"/>
      <c r="I147" s="34"/>
      <c r="J147" s="34"/>
      <c r="K147" s="34"/>
      <c r="L147" s="34"/>
      <c r="M147" s="36"/>
      <c r="N147" s="36"/>
      <c r="O147" s="36"/>
      <c r="P147" s="36"/>
      <c r="Q147" s="36"/>
      <c r="R147" s="36"/>
      <c r="S147" s="36"/>
    </row>
    <row r="148">
      <c r="A148" s="34"/>
      <c r="B148" s="34"/>
      <c r="C148" s="35"/>
      <c r="D148" s="35"/>
      <c r="E148" s="34"/>
      <c r="F148" s="34"/>
      <c r="G148" s="34"/>
      <c r="H148" s="34"/>
      <c r="I148" s="34"/>
      <c r="J148" s="34"/>
      <c r="K148" s="34"/>
      <c r="L148" s="34"/>
      <c r="M148" s="36"/>
      <c r="N148" s="36"/>
      <c r="O148" s="36"/>
      <c r="P148" s="36"/>
      <c r="Q148" s="36"/>
      <c r="R148" s="36"/>
      <c r="S148" s="36"/>
    </row>
    <row r="149">
      <c r="A149" s="34"/>
      <c r="B149" s="36"/>
      <c r="C149" s="35"/>
      <c r="D149" s="35"/>
      <c r="E149" s="34"/>
      <c r="F149" s="34"/>
      <c r="G149" s="34"/>
      <c r="H149" s="34"/>
      <c r="I149" s="34"/>
      <c r="J149" s="34"/>
      <c r="K149" s="34"/>
      <c r="L149" s="34"/>
      <c r="M149" s="36"/>
      <c r="N149" s="36"/>
      <c r="O149" s="36"/>
      <c r="P149" s="36"/>
      <c r="Q149" s="36"/>
      <c r="R149" s="36"/>
      <c r="S149" s="36"/>
    </row>
    <row r="150">
      <c r="A150" s="34"/>
      <c r="B150" s="34"/>
      <c r="C150" s="35"/>
      <c r="D150" s="35"/>
      <c r="E150" s="34"/>
      <c r="F150" s="34"/>
      <c r="G150" s="34"/>
      <c r="H150" s="34"/>
      <c r="I150" s="34"/>
      <c r="J150" s="34"/>
      <c r="K150" s="34"/>
      <c r="L150" s="34"/>
      <c r="M150" s="36"/>
      <c r="N150" s="36"/>
      <c r="O150" s="36"/>
      <c r="P150" s="36"/>
      <c r="Q150" s="36"/>
      <c r="R150" s="36"/>
      <c r="S150" s="36"/>
    </row>
    <row r="151">
      <c r="A151" s="34"/>
      <c r="B151" s="34"/>
      <c r="C151" s="35"/>
      <c r="D151" s="35"/>
      <c r="E151" s="34"/>
      <c r="F151" s="34"/>
      <c r="G151" s="34"/>
      <c r="H151" s="34"/>
      <c r="I151" s="34"/>
      <c r="J151" s="34"/>
      <c r="K151" s="34"/>
      <c r="L151" s="34"/>
      <c r="M151" s="36"/>
      <c r="N151" s="36"/>
      <c r="O151" s="36"/>
      <c r="P151" s="36"/>
      <c r="Q151" s="36"/>
      <c r="R151" s="36"/>
      <c r="S151" s="36"/>
    </row>
    <row r="152">
      <c r="A152" s="34"/>
      <c r="B152" s="34"/>
      <c r="C152" s="35"/>
      <c r="D152" s="35"/>
      <c r="E152" s="34"/>
      <c r="F152" s="34"/>
      <c r="G152" s="34"/>
      <c r="H152" s="34"/>
      <c r="I152" s="34"/>
      <c r="J152" s="34"/>
      <c r="K152" s="34"/>
      <c r="L152" s="34"/>
      <c r="M152" s="36"/>
      <c r="N152" s="36"/>
      <c r="O152" s="36"/>
      <c r="P152" s="36"/>
      <c r="Q152" s="36"/>
      <c r="R152" s="36"/>
      <c r="S152" s="36"/>
    </row>
    <row r="153">
      <c r="A153" s="34"/>
      <c r="B153" s="34"/>
      <c r="C153" s="35"/>
      <c r="D153" s="35"/>
      <c r="E153" s="34"/>
      <c r="F153" s="34"/>
      <c r="G153" s="34"/>
      <c r="H153" s="34"/>
      <c r="I153" s="34"/>
      <c r="J153" s="34"/>
      <c r="K153" s="34"/>
      <c r="L153" s="34"/>
      <c r="M153" s="36"/>
      <c r="N153" s="36"/>
      <c r="O153" s="36"/>
      <c r="P153" s="36"/>
      <c r="Q153" s="36"/>
      <c r="R153" s="36"/>
      <c r="S153" s="36"/>
    </row>
    <row r="154">
      <c r="A154" s="34"/>
      <c r="B154" s="34"/>
      <c r="C154" s="35"/>
      <c r="D154" s="35"/>
      <c r="E154" s="34"/>
      <c r="F154" s="34"/>
      <c r="G154" s="34"/>
      <c r="H154" s="34"/>
      <c r="I154" s="34"/>
      <c r="J154" s="34"/>
      <c r="K154" s="34"/>
      <c r="L154" s="34"/>
      <c r="M154" s="36"/>
      <c r="N154" s="36"/>
      <c r="O154" s="36"/>
      <c r="P154" s="36"/>
      <c r="Q154" s="36"/>
      <c r="R154" s="36"/>
      <c r="S154" s="36"/>
    </row>
    <row r="155">
      <c r="A155" s="34"/>
      <c r="B155" s="34"/>
      <c r="C155" s="35"/>
      <c r="D155" s="35"/>
      <c r="E155" s="34"/>
      <c r="F155" s="34"/>
      <c r="G155" s="34"/>
      <c r="H155" s="34"/>
      <c r="I155" s="34"/>
      <c r="J155" s="34"/>
      <c r="K155" s="34"/>
      <c r="L155" s="34"/>
      <c r="M155" s="36"/>
      <c r="N155" s="36"/>
      <c r="O155" s="36"/>
      <c r="P155" s="36"/>
      <c r="Q155" s="36"/>
      <c r="R155" s="36"/>
      <c r="S155" s="36"/>
    </row>
    <row r="156">
      <c r="A156" s="34"/>
      <c r="B156" s="34"/>
      <c r="C156" s="35"/>
      <c r="D156" s="35"/>
      <c r="E156" s="34"/>
      <c r="F156" s="34"/>
      <c r="G156" s="34"/>
      <c r="H156" s="34"/>
      <c r="I156" s="34"/>
      <c r="J156" s="34"/>
      <c r="K156" s="34"/>
      <c r="L156" s="34"/>
      <c r="M156" s="36"/>
      <c r="N156" s="36"/>
      <c r="O156" s="36"/>
      <c r="P156" s="36"/>
      <c r="Q156" s="36"/>
      <c r="R156" s="36"/>
      <c r="S156" s="36"/>
    </row>
    <row r="157">
      <c r="A157" s="34"/>
      <c r="B157" s="34"/>
      <c r="C157" s="35"/>
      <c r="D157" s="35"/>
      <c r="E157" s="34"/>
      <c r="F157" s="34"/>
      <c r="G157" s="34"/>
      <c r="H157" s="34"/>
      <c r="I157" s="34"/>
      <c r="J157" s="34"/>
      <c r="K157" s="34"/>
      <c r="L157" s="34"/>
      <c r="M157" s="36"/>
      <c r="N157" s="36"/>
      <c r="O157" s="36"/>
      <c r="P157" s="36"/>
      <c r="Q157" s="36"/>
      <c r="R157" s="36"/>
      <c r="S157" s="36"/>
    </row>
    <row r="158">
      <c r="A158" s="34"/>
      <c r="B158" s="34"/>
      <c r="C158" s="35"/>
      <c r="D158" s="35"/>
      <c r="E158" s="34"/>
      <c r="F158" s="34"/>
      <c r="G158" s="34"/>
      <c r="H158" s="34"/>
      <c r="I158" s="34"/>
      <c r="J158" s="34"/>
      <c r="K158" s="34"/>
      <c r="L158" s="34"/>
      <c r="M158" s="36"/>
      <c r="N158" s="36"/>
      <c r="O158" s="36"/>
      <c r="P158" s="36"/>
      <c r="Q158" s="36"/>
      <c r="R158" s="36"/>
      <c r="S158" s="36"/>
    </row>
    <row r="159">
      <c r="A159" s="34"/>
      <c r="B159" s="34"/>
      <c r="C159" s="35"/>
      <c r="D159" s="35"/>
      <c r="E159" s="34"/>
      <c r="F159" s="34"/>
      <c r="G159" s="34"/>
      <c r="H159" s="34"/>
      <c r="I159" s="34"/>
      <c r="J159" s="34"/>
      <c r="K159" s="34"/>
      <c r="L159" s="34"/>
      <c r="M159" s="36"/>
      <c r="N159" s="36"/>
      <c r="O159" s="36"/>
      <c r="P159" s="36"/>
      <c r="Q159" s="36"/>
      <c r="R159" s="36"/>
      <c r="S159" s="36"/>
    </row>
    <row r="160">
      <c r="A160" s="34"/>
      <c r="B160" s="34"/>
      <c r="C160" s="35"/>
      <c r="D160" s="35"/>
      <c r="E160" s="34"/>
      <c r="F160" s="34"/>
      <c r="G160" s="34"/>
      <c r="H160" s="34"/>
      <c r="I160" s="34"/>
      <c r="J160" s="34"/>
      <c r="K160" s="34"/>
      <c r="L160" s="34"/>
      <c r="M160" s="36"/>
      <c r="N160" s="36"/>
      <c r="O160" s="36"/>
      <c r="P160" s="36"/>
      <c r="Q160" s="36"/>
      <c r="R160" s="36"/>
      <c r="S160" s="36"/>
    </row>
    <row r="161">
      <c r="A161" s="34"/>
      <c r="B161" s="34"/>
      <c r="C161" s="35"/>
      <c r="D161" s="35"/>
      <c r="E161" s="34"/>
      <c r="F161" s="34"/>
      <c r="G161" s="34"/>
      <c r="H161" s="34"/>
      <c r="I161" s="34"/>
      <c r="J161" s="34"/>
      <c r="K161" s="34"/>
      <c r="L161" s="34"/>
      <c r="M161" s="36"/>
      <c r="N161" s="36"/>
      <c r="O161" s="36"/>
      <c r="P161" s="36"/>
      <c r="Q161" s="36"/>
      <c r="R161" s="36"/>
      <c r="S161" s="36"/>
    </row>
    <row r="162">
      <c r="A162" s="34"/>
      <c r="B162" s="34"/>
      <c r="C162" s="35"/>
      <c r="D162" s="35"/>
      <c r="E162" s="34"/>
      <c r="F162" s="34"/>
      <c r="G162" s="34"/>
      <c r="H162" s="34"/>
      <c r="I162" s="34"/>
      <c r="J162" s="34"/>
      <c r="K162" s="34"/>
      <c r="L162" s="34"/>
      <c r="M162" s="36"/>
      <c r="N162" s="36"/>
      <c r="O162" s="36"/>
      <c r="P162" s="36"/>
      <c r="Q162" s="36"/>
      <c r="R162" s="36"/>
      <c r="S162" s="36"/>
    </row>
    <row r="163">
      <c r="A163" s="34"/>
      <c r="B163" s="36"/>
      <c r="C163" s="35"/>
      <c r="D163" s="35"/>
      <c r="E163" s="34"/>
      <c r="F163" s="34"/>
      <c r="G163" s="34"/>
      <c r="H163" s="34"/>
      <c r="I163" s="34"/>
      <c r="J163" s="34"/>
      <c r="K163" s="34"/>
      <c r="L163" s="34"/>
      <c r="M163" s="36"/>
      <c r="N163" s="36"/>
      <c r="O163" s="36"/>
      <c r="P163" s="36"/>
      <c r="Q163" s="36"/>
      <c r="R163" s="36"/>
      <c r="S163" s="36"/>
    </row>
    <row r="164">
      <c r="A164" s="34"/>
      <c r="B164" s="34"/>
      <c r="C164" s="35"/>
      <c r="D164" s="35"/>
      <c r="E164" s="34"/>
      <c r="F164" s="34"/>
      <c r="G164" s="34"/>
      <c r="H164" s="34"/>
      <c r="I164" s="34"/>
      <c r="J164" s="34"/>
      <c r="K164" s="34"/>
      <c r="L164" s="34"/>
      <c r="M164" s="36"/>
      <c r="N164" s="36"/>
      <c r="O164" s="36"/>
      <c r="P164" s="36"/>
      <c r="Q164" s="36"/>
      <c r="R164" s="36"/>
      <c r="S164" s="36"/>
    </row>
    <row r="165">
      <c r="A165" s="34"/>
      <c r="B165" s="34"/>
      <c r="C165" s="35"/>
      <c r="D165" s="35"/>
      <c r="E165" s="34"/>
      <c r="F165" s="34"/>
      <c r="G165" s="34"/>
      <c r="H165" s="34"/>
      <c r="I165" s="34"/>
      <c r="J165" s="34"/>
      <c r="K165" s="34"/>
      <c r="L165" s="34"/>
      <c r="M165" s="36"/>
      <c r="N165" s="36"/>
      <c r="O165" s="36"/>
      <c r="P165" s="36"/>
      <c r="Q165" s="36"/>
      <c r="R165" s="36"/>
      <c r="S165" s="36"/>
    </row>
    <row r="166">
      <c r="A166" s="34"/>
      <c r="B166" s="34"/>
      <c r="C166" s="35"/>
      <c r="D166" s="35"/>
      <c r="E166" s="34"/>
      <c r="F166" s="34"/>
      <c r="G166" s="34"/>
      <c r="H166" s="34"/>
      <c r="I166" s="34"/>
      <c r="J166" s="34"/>
      <c r="K166" s="34"/>
      <c r="L166" s="34"/>
      <c r="M166" s="36"/>
      <c r="N166" s="36"/>
      <c r="O166" s="36"/>
      <c r="P166" s="36"/>
      <c r="Q166" s="36"/>
      <c r="R166" s="36"/>
      <c r="S166" s="36"/>
    </row>
    <row r="167">
      <c r="A167" s="34"/>
      <c r="B167" s="34"/>
      <c r="C167" s="35"/>
      <c r="D167" s="35"/>
      <c r="E167" s="34"/>
      <c r="F167" s="34"/>
      <c r="G167" s="34"/>
      <c r="H167" s="34"/>
      <c r="I167" s="34"/>
      <c r="J167" s="34"/>
      <c r="K167" s="34"/>
      <c r="L167" s="34"/>
      <c r="M167" s="36"/>
      <c r="N167" s="36"/>
      <c r="O167" s="36"/>
      <c r="P167" s="36"/>
      <c r="Q167" s="36"/>
      <c r="R167" s="36"/>
      <c r="S167" s="36"/>
    </row>
    <row r="168">
      <c r="A168" s="34"/>
      <c r="B168" s="34"/>
      <c r="C168" s="35"/>
      <c r="D168" s="35"/>
      <c r="E168" s="34"/>
      <c r="F168" s="34"/>
      <c r="G168" s="34"/>
      <c r="H168" s="34"/>
      <c r="I168" s="34"/>
      <c r="J168" s="34"/>
      <c r="K168" s="34"/>
      <c r="L168" s="34"/>
      <c r="M168" s="36"/>
      <c r="N168" s="36"/>
      <c r="O168" s="36"/>
      <c r="P168" s="36"/>
      <c r="Q168" s="36"/>
      <c r="R168" s="36"/>
      <c r="S168" s="36"/>
    </row>
    <row r="169">
      <c r="A169" s="34"/>
      <c r="B169" s="34"/>
      <c r="C169" s="35"/>
      <c r="D169" s="35"/>
      <c r="E169" s="34"/>
      <c r="F169" s="34"/>
      <c r="G169" s="34"/>
      <c r="H169" s="34"/>
      <c r="I169" s="34"/>
      <c r="J169" s="34"/>
      <c r="K169" s="34"/>
      <c r="L169" s="34"/>
      <c r="M169" s="36"/>
      <c r="N169" s="36"/>
      <c r="O169" s="36"/>
      <c r="P169" s="36"/>
      <c r="Q169" s="36"/>
      <c r="R169" s="36"/>
      <c r="S169" s="36"/>
    </row>
    <row r="170">
      <c r="A170" s="34"/>
      <c r="B170" s="34"/>
      <c r="C170" s="35"/>
      <c r="D170" s="35"/>
      <c r="E170" s="34"/>
      <c r="F170" s="34"/>
      <c r="G170" s="34"/>
      <c r="H170" s="34"/>
      <c r="I170" s="34"/>
      <c r="J170" s="34"/>
      <c r="K170" s="34"/>
      <c r="L170" s="34"/>
      <c r="M170" s="36"/>
      <c r="N170" s="36"/>
      <c r="O170" s="36"/>
      <c r="P170" s="36"/>
      <c r="Q170" s="36"/>
      <c r="R170" s="36"/>
      <c r="S170" s="36"/>
    </row>
    <row r="171">
      <c r="A171" s="34"/>
      <c r="B171" s="36"/>
      <c r="C171" s="35"/>
      <c r="D171" s="35"/>
      <c r="E171" s="34"/>
      <c r="F171" s="34"/>
      <c r="G171" s="34"/>
      <c r="H171" s="34"/>
      <c r="I171" s="34"/>
      <c r="J171" s="34"/>
      <c r="K171" s="34"/>
      <c r="L171" s="34"/>
      <c r="M171" s="36"/>
      <c r="N171" s="36"/>
      <c r="O171" s="36"/>
      <c r="P171" s="36"/>
      <c r="Q171" s="36"/>
      <c r="R171" s="36"/>
      <c r="S171" s="36"/>
    </row>
    <row r="172">
      <c r="A172" s="34"/>
      <c r="B172" s="34"/>
      <c r="C172" s="35"/>
      <c r="D172" s="35"/>
      <c r="E172" s="34"/>
      <c r="F172" s="34"/>
      <c r="G172" s="34"/>
      <c r="H172" s="34"/>
      <c r="I172" s="34"/>
      <c r="J172" s="34"/>
      <c r="K172" s="34"/>
      <c r="L172" s="34"/>
      <c r="M172" s="36"/>
      <c r="N172" s="36"/>
      <c r="O172" s="36"/>
      <c r="P172" s="36"/>
      <c r="Q172" s="36"/>
      <c r="R172" s="36"/>
      <c r="S172" s="36"/>
    </row>
    <row r="173">
      <c r="A173" s="34"/>
      <c r="B173" s="34"/>
      <c r="C173" s="35"/>
      <c r="D173" s="35"/>
      <c r="E173" s="34"/>
      <c r="F173" s="34"/>
      <c r="G173" s="34"/>
      <c r="H173" s="34"/>
      <c r="I173" s="34"/>
      <c r="J173" s="34"/>
      <c r="K173" s="34"/>
      <c r="L173" s="34"/>
      <c r="M173" s="36"/>
      <c r="N173" s="36"/>
      <c r="O173" s="36"/>
      <c r="P173" s="36"/>
      <c r="Q173" s="36"/>
      <c r="R173" s="36"/>
      <c r="S173" s="36"/>
    </row>
    <row r="174">
      <c r="A174" s="34"/>
      <c r="B174" s="34"/>
      <c r="C174" s="35"/>
      <c r="D174" s="35"/>
      <c r="E174" s="34"/>
      <c r="F174" s="34"/>
      <c r="G174" s="34"/>
      <c r="H174" s="34"/>
      <c r="I174" s="34"/>
      <c r="J174" s="34"/>
      <c r="K174" s="34"/>
      <c r="L174" s="34"/>
      <c r="M174" s="36"/>
      <c r="N174" s="36"/>
      <c r="O174" s="36"/>
      <c r="P174" s="36"/>
      <c r="Q174" s="36"/>
      <c r="R174" s="36"/>
      <c r="S174" s="36"/>
    </row>
    <row r="175">
      <c r="A175" s="34"/>
      <c r="B175" s="36"/>
      <c r="C175" s="35"/>
      <c r="D175" s="35"/>
      <c r="E175" s="34"/>
      <c r="F175" s="34"/>
      <c r="G175" s="34"/>
      <c r="H175" s="34"/>
      <c r="I175" s="34"/>
      <c r="J175" s="34"/>
      <c r="K175" s="34"/>
      <c r="L175" s="34"/>
      <c r="M175" s="36"/>
      <c r="N175" s="36"/>
      <c r="O175" s="36"/>
      <c r="P175" s="36"/>
      <c r="Q175" s="36"/>
      <c r="R175" s="36"/>
      <c r="S175" s="36"/>
    </row>
    <row r="176">
      <c r="A176" s="34"/>
      <c r="B176" s="34"/>
      <c r="C176" s="35"/>
      <c r="D176" s="35"/>
      <c r="E176" s="34"/>
      <c r="F176" s="34"/>
      <c r="G176" s="34"/>
      <c r="H176" s="34"/>
      <c r="I176" s="34"/>
      <c r="J176" s="34"/>
      <c r="K176" s="34"/>
      <c r="L176" s="34"/>
      <c r="M176" s="36"/>
      <c r="N176" s="36"/>
      <c r="O176" s="36"/>
      <c r="P176" s="36"/>
      <c r="Q176" s="36"/>
      <c r="R176" s="36"/>
      <c r="S176" s="36"/>
    </row>
    <row r="177">
      <c r="A177" s="34"/>
      <c r="B177" s="36"/>
      <c r="C177" s="35"/>
      <c r="D177" s="35"/>
      <c r="E177" s="34"/>
      <c r="F177" s="34"/>
      <c r="G177" s="34"/>
      <c r="H177" s="34"/>
      <c r="I177" s="34"/>
      <c r="J177" s="34"/>
      <c r="K177" s="34"/>
      <c r="L177" s="34"/>
      <c r="M177" s="36"/>
      <c r="N177" s="36"/>
      <c r="O177" s="36"/>
      <c r="P177" s="36"/>
      <c r="Q177" s="36"/>
      <c r="R177" s="36"/>
      <c r="S177" s="36"/>
    </row>
    <row r="178">
      <c r="A178" s="34"/>
      <c r="B178" s="34"/>
      <c r="C178" s="35"/>
      <c r="D178" s="35"/>
      <c r="E178" s="34"/>
      <c r="F178" s="34"/>
      <c r="G178" s="34"/>
      <c r="H178" s="34"/>
      <c r="I178" s="34"/>
      <c r="J178" s="34"/>
      <c r="K178" s="34"/>
      <c r="L178" s="34"/>
      <c r="M178" s="36"/>
      <c r="N178" s="36"/>
      <c r="O178" s="36"/>
      <c r="P178" s="36"/>
      <c r="Q178" s="36"/>
      <c r="R178" s="36"/>
      <c r="S178" s="36"/>
    </row>
    <row r="179">
      <c r="A179" s="34"/>
      <c r="B179" s="34"/>
      <c r="C179" s="35"/>
      <c r="D179" s="35"/>
      <c r="E179" s="34"/>
      <c r="F179" s="34"/>
      <c r="G179" s="34"/>
      <c r="H179" s="34"/>
      <c r="I179" s="34"/>
      <c r="J179" s="34"/>
      <c r="K179" s="34"/>
      <c r="L179" s="34"/>
      <c r="M179" s="36"/>
      <c r="N179" s="36"/>
      <c r="O179" s="36"/>
      <c r="P179" s="36"/>
      <c r="Q179" s="36"/>
      <c r="R179" s="36"/>
      <c r="S179" s="36"/>
    </row>
    <row r="180">
      <c r="A180" s="34"/>
      <c r="B180" s="34"/>
      <c r="C180" s="35"/>
      <c r="D180" s="35"/>
      <c r="E180" s="34"/>
      <c r="F180" s="34"/>
      <c r="G180" s="34"/>
      <c r="H180" s="34"/>
      <c r="I180" s="34"/>
      <c r="J180" s="34"/>
      <c r="K180" s="34"/>
      <c r="L180" s="34"/>
      <c r="M180" s="36"/>
      <c r="N180" s="36"/>
      <c r="O180" s="36"/>
      <c r="P180" s="36"/>
      <c r="Q180" s="36"/>
      <c r="R180" s="36"/>
      <c r="S180" s="36"/>
    </row>
    <row r="181">
      <c r="A181" s="34"/>
      <c r="B181" s="36"/>
      <c r="C181" s="35"/>
      <c r="D181" s="35"/>
      <c r="E181" s="34"/>
      <c r="F181" s="34"/>
      <c r="G181" s="34"/>
      <c r="H181" s="34"/>
      <c r="I181" s="34"/>
      <c r="J181" s="34"/>
      <c r="K181" s="34"/>
      <c r="L181" s="34"/>
      <c r="M181" s="36"/>
      <c r="N181" s="36"/>
      <c r="O181" s="36"/>
      <c r="P181" s="36"/>
      <c r="Q181" s="36"/>
      <c r="R181" s="36"/>
      <c r="S181" s="36"/>
    </row>
    <row r="182">
      <c r="A182" s="34"/>
      <c r="B182" s="34"/>
      <c r="C182" s="35"/>
      <c r="D182" s="35"/>
      <c r="E182" s="34"/>
      <c r="F182" s="34"/>
      <c r="G182" s="34"/>
      <c r="H182" s="34"/>
      <c r="I182" s="34"/>
      <c r="J182" s="34"/>
      <c r="K182" s="34"/>
      <c r="L182" s="34"/>
      <c r="M182" s="36"/>
      <c r="N182" s="36"/>
      <c r="O182" s="36"/>
      <c r="P182" s="36"/>
      <c r="Q182" s="36"/>
      <c r="R182" s="36"/>
      <c r="S182" s="36"/>
    </row>
    <row r="183">
      <c r="A183" s="34"/>
      <c r="B183" s="34"/>
      <c r="C183" s="35"/>
      <c r="D183" s="35"/>
      <c r="E183" s="34"/>
      <c r="F183" s="34"/>
      <c r="G183" s="34"/>
      <c r="H183" s="34"/>
      <c r="I183" s="34"/>
      <c r="J183" s="34"/>
      <c r="K183" s="34"/>
      <c r="L183" s="34"/>
      <c r="M183" s="36"/>
      <c r="N183" s="36"/>
      <c r="O183" s="36"/>
      <c r="P183" s="36"/>
      <c r="Q183" s="36"/>
      <c r="R183" s="36"/>
      <c r="S183" s="36"/>
    </row>
    <row r="184">
      <c r="A184" s="34"/>
      <c r="B184" s="34"/>
      <c r="C184" s="35"/>
      <c r="D184" s="35"/>
      <c r="E184" s="34"/>
      <c r="F184" s="34"/>
      <c r="G184" s="34"/>
      <c r="H184" s="34"/>
      <c r="I184" s="34"/>
      <c r="J184" s="34"/>
      <c r="K184" s="34"/>
      <c r="L184" s="34"/>
      <c r="M184" s="36"/>
      <c r="N184" s="36"/>
      <c r="O184" s="36"/>
      <c r="P184" s="36"/>
      <c r="Q184" s="36"/>
      <c r="R184" s="36"/>
      <c r="S184" s="36"/>
    </row>
    <row r="185">
      <c r="A185" s="34"/>
      <c r="B185" s="34"/>
      <c r="C185" s="35"/>
      <c r="D185" s="35"/>
      <c r="E185" s="34"/>
      <c r="F185" s="34"/>
      <c r="G185" s="34"/>
      <c r="H185" s="34"/>
      <c r="I185" s="34"/>
      <c r="J185" s="34"/>
      <c r="K185" s="34"/>
      <c r="L185" s="34"/>
      <c r="M185" s="36"/>
      <c r="N185" s="36"/>
      <c r="O185" s="36"/>
      <c r="P185" s="36"/>
      <c r="Q185" s="36"/>
      <c r="R185" s="36"/>
      <c r="S185" s="36"/>
    </row>
    <row r="186">
      <c r="A186" s="34"/>
      <c r="B186" s="34"/>
      <c r="C186" s="35"/>
      <c r="D186" s="35"/>
      <c r="E186" s="34"/>
      <c r="F186" s="34"/>
      <c r="G186" s="34"/>
      <c r="H186" s="34"/>
      <c r="I186" s="34"/>
      <c r="J186" s="34"/>
      <c r="K186" s="34"/>
      <c r="L186" s="34"/>
      <c r="M186" s="36"/>
      <c r="N186" s="36"/>
      <c r="O186" s="36"/>
      <c r="P186" s="36"/>
      <c r="Q186" s="36"/>
      <c r="R186" s="36"/>
      <c r="S186" s="36"/>
    </row>
    <row r="187">
      <c r="A187" s="34"/>
      <c r="B187" s="34"/>
      <c r="C187" s="35"/>
      <c r="D187" s="35"/>
      <c r="E187" s="34"/>
      <c r="F187" s="34"/>
      <c r="G187" s="34"/>
      <c r="H187" s="34"/>
      <c r="I187" s="34"/>
      <c r="J187" s="34"/>
      <c r="K187" s="34"/>
      <c r="L187" s="34"/>
      <c r="M187" s="36"/>
      <c r="N187" s="36"/>
      <c r="O187" s="36"/>
      <c r="P187" s="36"/>
      <c r="Q187" s="36"/>
      <c r="R187" s="36"/>
      <c r="S187" s="36"/>
    </row>
    <row r="188">
      <c r="A188" s="34"/>
      <c r="B188" s="34"/>
      <c r="C188" s="35"/>
      <c r="D188" s="35"/>
      <c r="E188" s="34"/>
      <c r="F188" s="34"/>
      <c r="G188" s="34"/>
      <c r="H188" s="34"/>
      <c r="I188" s="34"/>
      <c r="J188" s="34"/>
      <c r="K188" s="34"/>
      <c r="L188" s="34"/>
      <c r="M188" s="36"/>
      <c r="N188" s="36"/>
      <c r="O188" s="36"/>
      <c r="P188" s="36"/>
      <c r="Q188" s="36"/>
      <c r="R188" s="36"/>
      <c r="S188" s="36"/>
    </row>
    <row r="189">
      <c r="A189" s="34"/>
      <c r="B189" s="36"/>
      <c r="C189" s="35"/>
      <c r="D189" s="35"/>
      <c r="E189" s="34"/>
      <c r="F189" s="34"/>
      <c r="G189" s="34"/>
      <c r="H189" s="34"/>
      <c r="I189" s="34"/>
      <c r="J189" s="34"/>
      <c r="K189" s="34"/>
      <c r="L189" s="34"/>
      <c r="M189" s="36"/>
      <c r="N189" s="36"/>
      <c r="O189" s="36"/>
      <c r="P189" s="36"/>
      <c r="Q189" s="36"/>
      <c r="R189" s="36"/>
      <c r="S189" s="36"/>
    </row>
    <row r="190">
      <c r="A190" s="34"/>
      <c r="B190" s="34"/>
      <c r="C190" s="35"/>
      <c r="D190" s="35"/>
      <c r="E190" s="34"/>
      <c r="F190" s="34"/>
      <c r="G190" s="34"/>
      <c r="H190" s="34"/>
      <c r="I190" s="34"/>
      <c r="J190" s="34"/>
      <c r="K190" s="34"/>
      <c r="L190" s="34"/>
      <c r="M190" s="36"/>
      <c r="N190" s="36"/>
      <c r="O190" s="36"/>
      <c r="P190" s="36"/>
      <c r="Q190" s="36"/>
      <c r="R190" s="36"/>
      <c r="S190" s="36"/>
    </row>
    <row r="191">
      <c r="A191" s="34"/>
      <c r="B191" s="34"/>
      <c r="C191" s="35"/>
      <c r="D191" s="35"/>
      <c r="E191" s="34"/>
      <c r="F191" s="34"/>
      <c r="G191" s="34"/>
      <c r="H191" s="34"/>
      <c r="I191" s="34"/>
      <c r="J191" s="34"/>
      <c r="K191" s="34"/>
      <c r="L191" s="34"/>
      <c r="M191" s="36"/>
      <c r="N191" s="36"/>
      <c r="O191" s="36"/>
      <c r="P191" s="36"/>
      <c r="Q191" s="36"/>
      <c r="R191" s="36"/>
      <c r="S191" s="36"/>
    </row>
    <row r="192">
      <c r="A192" s="34"/>
      <c r="B192" s="34"/>
      <c r="C192" s="35"/>
      <c r="D192" s="35"/>
      <c r="E192" s="34"/>
      <c r="F192" s="34"/>
      <c r="G192" s="34"/>
      <c r="H192" s="34"/>
      <c r="I192" s="34"/>
      <c r="J192" s="34"/>
      <c r="K192" s="34"/>
      <c r="L192" s="34"/>
      <c r="M192" s="36"/>
      <c r="N192" s="36"/>
      <c r="O192" s="36"/>
      <c r="P192" s="36"/>
      <c r="Q192" s="36"/>
      <c r="R192" s="36"/>
      <c r="S192" s="36"/>
    </row>
    <row r="193">
      <c r="A193" s="34"/>
      <c r="B193" s="34"/>
      <c r="C193" s="35"/>
      <c r="D193" s="35"/>
      <c r="E193" s="34"/>
      <c r="F193" s="34"/>
      <c r="G193" s="34"/>
      <c r="H193" s="34"/>
      <c r="I193" s="34"/>
      <c r="J193" s="34"/>
      <c r="K193" s="34"/>
      <c r="L193" s="34"/>
      <c r="M193" s="36"/>
      <c r="N193" s="36"/>
      <c r="O193" s="36"/>
      <c r="P193" s="36"/>
      <c r="Q193" s="36"/>
      <c r="R193" s="36"/>
      <c r="S193" s="36"/>
    </row>
    <row r="194">
      <c r="A194" s="34"/>
      <c r="B194" s="34"/>
      <c r="C194" s="35"/>
      <c r="D194" s="35"/>
      <c r="E194" s="34"/>
      <c r="F194" s="34"/>
      <c r="G194" s="34"/>
      <c r="H194" s="34"/>
      <c r="I194" s="34"/>
      <c r="J194" s="34"/>
      <c r="K194" s="34"/>
      <c r="L194" s="34"/>
      <c r="M194" s="36"/>
      <c r="N194" s="36"/>
      <c r="O194" s="36"/>
      <c r="P194" s="36"/>
      <c r="Q194" s="36"/>
      <c r="R194" s="36"/>
      <c r="S194" s="36"/>
    </row>
    <row r="195">
      <c r="A195" s="34"/>
      <c r="B195" s="34"/>
      <c r="C195" s="35"/>
      <c r="D195" s="35"/>
      <c r="E195" s="34"/>
      <c r="F195" s="34"/>
      <c r="G195" s="34"/>
      <c r="H195" s="34"/>
      <c r="I195" s="34"/>
      <c r="J195" s="34"/>
      <c r="K195" s="34"/>
      <c r="L195" s="34"/>
      <c r="M195" s="36"/>
      <c r="N195" s="36"/>
      <c r="O195" s="36"/>
      <c r="P195" s="36"/>
      <c r="Q195" s="36"/>
      <c r="R195" s="36"/>
      <c r="S195" s="36"/>
    </row>
    <row r="196">
      <c r="A196" s="34"/>
      <c r="B196" s="34"/>
      <c r="C196" s="35"/>
      <c r="D196" s="35"/>
      <c r="E196" s="34"/>
      <c r="F196" s="34"/>
      <c r="G196" s="34"/>
      <c r="H196" s="34"/>
      <c r="I196" s="34"/>
      <c r="J196" s="34"/>
      <c r="K196" s="34"/>
      <c r="L196" s="34"/>
      <c r="M196" s="36"/>
      <c r="N196" s="36"/>
      <c r="O196" s="36"/>
      <c r="P196" s="36"/>
      <c r="Q196" s="36"/>
      <c r="R196" s="36"/>
      <c r="S196" s="36"/>
    </row>
    <row r="197">
      <c r="A197" s="34"/>
      <c r="B197" s="34"/>
      <c r="C197" s="35"/>
      <c r="D197" s="35"/>
      <c r="E197" s="34"/>
      <c r="F197" s="34"/>
      <c r="G197" s="34"/>
      <c r="H197" s="34"/>
      <c r="I197" s="34"/>
      <c r="J197" s="34"/>
      <c r="K197" s="34"/>
      <c r="L197" s="34"/>
      <c r="M197" s="36"/>
      <c r="N197" s="36"/>
      <c r="O197" s="36"/>
      <c r="P197" s="36"/>
      <c r="Q197" s="36"/>
      <c r="R197" s="36"/>
      <c r="S197" s="36"/>
    </row>
    <row r="198">
      <c r="A198" s="34"/>
      <c r="B198" s="34"/>
      <c r="C198" s="35"/>
      <c r="D198" s="35"/>
      <c r="E198" s="34"/>
      <c r="F198" s="34"/>
      <c r="G198" s="34"/>
      <c r="H198" s="34"/>
      <c r="I198" s="34"/>
      <c r="J198" s="34"/>
      <c r="K198" s="34"/>
      <c r="L198" s="34"/>
      <c r="M198" s="36"/>
      <c r="N198" s="36"/>
      <c r="O198" s="36"/>
      <c r="P198" s="36"/>
      <c r="Q198" s="36"/>
      <c r="R198" s="36"/>
      <c r="S198" s="36"/>
    </row>
    <row r="199">
      <c r="A199" s="34"/>
      <c r="B199" s="34"/>
      <c r="C199" s="35"/>
      <c r="D199" s="35"/>
      <c r="E199" s="34"/>
      <c r="F199" s="34"/>
      <c r="G199" s="34"/>
      <c r="H199" s="34"/>
      <c r="I199" s="34"/>
      <c r="J199" s="34"/>
      <c r="K199" s="34"/>
      <c r="L199" s="34"/>
      <c r="M199" s="36"/>
      <c r="N199" s="36"/>
      <c r="O199" s="36"/>
      <c r="P199" s="36"/>
      <c r="Q199" s="36"/>
      <c r="R199" s="36"/>
      <c r="S199" s="36"/>
    </row>
    <row r="200">
      <c r="A200" s="34"/>
      <c r="B200" s="34"/>
      <c r="C200" s="35"/>
      <c r="D200" s="35"/>
      <c r="E200" s="34"/>
      <c r="F200" s="34"/>
      <c r="G200" s="34"/>
      <c r="H200" s="34"/>
      <c r="I200" s="34"/>
      <c r="J200" s="34"/>
      <c r="K200" s="34"/>
      <c r="L200" s="34"/>
      <c r="M200" s="36"/>
      <c r="N200" s="36"/>
      <c r="O200" s="36"/>
      <c r="P200" s="36"/>
      <c r="Q200" s="36"/>
      <c r="R200" s="36"/>
      <c r="S200" s="36"/>
    </row>
    <row r="201">
      <c r="A201" s="34"/>
      <c r="B201" s="34"/>
      <c r="C201" s="35"/>
      <c r="D201" s="35"/>
      <c r="E201" s="34"/>
      <c r="F201" s="34"/>
      <c r="G201" s="34"/>
      <c r="H201" s="34"/>
      <c r="I201" s="34"/>
      <c r="J201" s="34"/>
      <c r="K201" s="34"/>
      <c r="L201" s="34"/>
      <c r="M201" s="36"/>
      <c r="N201" s="36"/>
      <c r="O201" s="36"/>
      <c r="P201" s="36"/>
      <c r="Q201" s="36"/>
      <c r="R201" s="36"/>
      <c r="S201" s="36"/>
    </row>
    <row r="202">
      <c r="A202" s="34"/>
      <c r="B202" s="36"/>
      <c r="C202" s="35"/>
      <c r="D202" s="35"/>
      <c r="E202" s="34"/>
      <c r="F202" s="34"/>
      <c r="G202" s="34"/>
      <c r="H202" s="34"/>
      <c r="I202" s="34"/>
      <c r="J202" s="34"/>
      <c r="K202" s="34"/>
      <c r="L202" s="34"/>
      <c r="M202" s="36"/>
      <c r="N202" s="36"/>
      <c r="O202" s="36"/>
      <c r="P202" s="36"/>
      <c r="Q202" s="36"/>
      <c r="R202" s="36"/>
      <c r="S202" s="36"/>
    </row>
    <row r="203">
      <c r="A203" s="34"/>
      <c r="B203" s="34"/>
      <c r="C203" s="35"/>
      <c r="D203" s="35"/>
      <c r="E203" s="34"/>
      <c r="F203" s="34"/>
      <c r="G203" s="34"/>
      <c r="H203" s="34"/>
      <c r="I203" s="34"/>
      <c r="J203" s="34"/>
      <c r="K203" s="34"/>
      <c r="L203" s="34"/>
      <c r="M203" s="36"/>
      <c r="N203" s="36"/>
      <c r="O203" s="36"/>
      <c r="P203" s="36"/>
      <c r="Q203" s="36"/>
      <c r="R203" s="36"/>
      <c r="S203" s="36"/>
    </row>
    <row r="204">
      <c r="A204" s="34"/>
      <c r="B204" s="34"/>
      <c r="C204" s="35"/>
      <c r="D204" s="35"/>
      <c r="E204" s="34"/>
      <c r="F204" s="34"/>
      <c r="G204" s="34"/>
      <c r="H204" s="34"/>
      <c r="I204" s="34"/>
      <c r="J204" s="34"/>
      <c r="K204" s="34"/>
      <c r="L204" s="34"/>
      <c r="M204" s="36"/>
      <c r="N204" s="36"/>
      <c r="O204" s="36"/>
      <c r="P204" s="36"/>
      <c r="Q204" s="36"/>
      <c r="R204" s="36"/>
      <c r="S204" s="36"/>
    </row>
    <row r="205">
      <c r="A205" s="34"/>
      <c r="B205" s="36"/>
      <c r="C205" s="35"/>
      <c r="D205" s="35"/>
      <c r="E205" s="34"/>
      <c r="F205" s="34"/>
      <c r="G205" s="34"/>
      <c r="H205" s="34"/>
      <c r="I205" s="34"/>
      <c r="J205" s="34"/>
      <c r="K205" s="34"/>
      <c r="L205" s="34"/>
      <c r="M205" s="36"/>
      <c r="N205" s="36"/>
      <c r="O205" s="36"/>
      <c r="P205" s="36"/>
      <c r="Q205" s="36"/>
      <c r="R205" s="36"/>
      <c r="S205" s="36"/>
    </row>
    <row r="206">
      <c r="A206" s="34"/>
      <c r="B206" s="34"/>
      <c r="C206" s="35"/>
      <c r="D206" s="35"/>
      <c r="E206" s="34"/>
      <c r="F206" s="34"/>
      <c r="G206" s="34"/>
      <c r="H206" s="34"/>
      <c r="I206" s="34"/>
      <c r="J206" s="34"/>
      <c r="K206" s="34"/>
      <c r="L206" s="34"/>
      <c r="M206" s="36"/>
      <c r="N206" s="36"/>
      <c r="O206" s="36"/>
      <c r="P206" s="36"/>
      <c r="Q206" s="36"/>
      <c r="R206" s="36"/>
      <c r="S206" s="36"/>
    </row>
    <row r="207">
      <c r="A207" s="34"/>
      <c r="B207" s="34"/>
      <c r="C207" s="35"/>
      <c r="D207" s="35"/>
      <c r="E207" s="34"/>
      <c r="F207" s="34"/>
      <c r="G207" s="34"/>
      <c r="H207" s="34"/>
      <c r="I207" s="34"/>
      <c r="J207" s="34"/>
      <c r="K207" s="34"/>
      <c r="L207" s="34"/>
      <c r="M207" s="36"/>
      <c r="N207" s="36"/>
      <c r="O207" s="36"/>
      <c r="P207" s="36"/>
      <c r="Q207" s="36"/>
      <c r="R207" s="36"/>
      <c r="S207" s="36"/>
    </row>
    <row r="208">
      <c r="A208" s="34"/>
      <c r="B208" s="36"/>
      <c r="C208" s="35"/>
      <c r="D208" s="35"/>
      <c r="E208" s="34"/>
      <c r="F208" s="34"/>
      <c r="G208" s="34"/>
      <c r="H208" s="34"/>
      <c r="I208" s="34"/>
      <c r="J208" s="34"/>
      <c r="K208" s="34"/>
      <c r="L208" s="34"/>
      <c r="M208" s="36"/>
      <c r="N208" s="36"/>
      <c r="O208" s="36"/>
      <c r="P208" s="36"/>
      <c r="Q208" s="36"/>
      <c r="R208" s="36"/>
      <c r="S208" s="36"/>
    </row>
    <row r="209">
      <c r="A209" s="34"/>
      <c r="B209" s="34"/>
      <c r="C209" s="35"/>
      <c r="D209" s="35"/>
      <c r="E209" s="34"/>
      <c r="F209" s="34"/>
      <c r="G209" s="34"/>
      <c r="H209" s="34"/>
      <c r="I209" s="34"/>
      <c r="J209" s="34"/>
      <c r="K209" s="34"/>
      <c r="L209" s="34"/>
      <c r="M209" s="36"/>
      <c r="N209" s="36"/>
      <c r="O209" s="36"/>
      <c r="P209" s="36"/>
      <c r="Q209" s="36"/>
      <c r="R209" s="36"/>
      <c r="S209" s="36"/>
    </row>
    <row r="210">
      <c r="A210" s="34"/>
      <c r="B210" s="34"/>
      <c r="C210" s="35"/>
      <c r="D210" s="35"/>
      <c r="E210" s="34"/>
      <c r="F210" s="34"/>
      <c r="G210" s="34"/>
      <c r="H210" s="34"/>
      <c r="I210" s="34"/>
      <c r="J210" s="34"/>
      <c r="K210" s="34"/>
      <c r="L210" s="34"/>
      <c r="M210" s="36"/>
      <c r="N210" s="36"/>
      <c r="O210" s="36"/>
      <c r="P210" s="36"/>
      <c r="Q210" s="36"/>
      <c r="R210" s="36"/>
      <c r="S210" s="36"/>
    </row>
    <row r="211">
      <c r="A211" s="34"/>
      <c r="B211" s="34"/>
      <c r="C211" s="35"/>
      <c r="D211" s="35"/>
      <c r="E211" s="34"/>
      <c r="F211" s="34"/>
      <c r="G211" s="34"/>
      <c r="H211" s="34"/>
      <c r="I211" s="34"/>
      <c r="J211" s="34"/>
      <c r="K211" s="34"/>
      <c r="L211" s="34"/>
      <c r="M211" s="36"/>
      <c r="N211" s="36"/>
      <c r="O211" s="36"/>
      <c r="P211" s="36"/>
      <c r="Q211" s="36"/>
      <c r="R211" s="36"/>
      <c r="S211" s="36"/>
    </row>
    <row r="212">
      <c r="A212" s="34"/>
      <c r="B212" s="34"/>
      <c r="C212" s="35"/>
      <c r="D212" s="35"/>
      <c r="E212" s="34"/>
      <c r="F212" s="34"/>
      <c r="G212" s="34"/>
      <c r="H212" s="34"/>
      <c r="I212" s="34"/>
      <c r="J212" s="34"/>
      <c r="K212" s="34"/>
      <c r="L212" s="34"/>
      <c r="M212" s="36"/>
      <c r="N212" s="36"/>
      <c r="O212" s="36"/>
      <c r="P212" s="36"/>
      <c r="Q212" s="36"/>
      <c r="R212" s="36"/>
      <c r="S212" s="36"/>
    </row>
    <row r="213">
      <c r="A213" s="34"/>
      <c r="B213" s="34"/>
      <c r="C213" s="35"/>
      <c r="D213" s="35"/>
      <c r="E213" s="34"/>
      <c r="F213" s="34"/>
      <c r="G213" s="34"/>
      <c r="H213" s="34"/>
      <c r="I213" s="34"/>
      <c r="J213" s="34"/>
      <c r="K213" s="34"/>
      <c r="L213" s="34"/>
      <c r="M213" s="36"/>
      <c r="N213" s="36"/>
      <c r="O213" s="36"/>
      <c r="P213" s="36"/>
      <c r="Q213" s="36"/>
      <c r="R213" s="36"/>
      <c r="S213" s="36"/>
    </row>
    <row r="214">
      <c r="A214" s="34"/>
      <c r="B214" s="36"/>
      <c r="C214" s="35"/>
      <c r="D214" s="35"/>
      <c r="E214" s="34"/>
      <c r="F214" s="34"/>
      <c r="G214" s="34"/>
      <c r="H214" s="34"/>
      <c r="I214" s="34"/>
      <c r="J214" s="34"/>
      <c r="K214" s="34"/>
      <c r="L214" s="34"/>
      <c r="M214" s="36"/>
      <c r="N214" s="36"/>
      <c r="O214" s="36"/>
      <c r="P214" s="36"/>
      <c r="Q214" s="36"/>
      <c r="R214" s="36"/>
      <c r="S214" s="36"/>
    </row>
    <row r="215">
      <c r="A215" s="34"/>
      <c r="B215" s="34"/>
      <c r="C215" s="35"/>
      <c r="D215" s="35"/>
      <c r="E215" s="34"/>
      <c r="F215" s="34"/>
      <c r="G215" s="34"/>
      <c r="H215" s="34"/>
      <c r="I215" s="34"/>
      <c r="J215" s="34"/>
      <c r="K215" s="34"/>
      <c r="L215" s="34"/>
      <c r="M215" s="36"/>
      <c r="N215" s="36"/>
      <c r="O215" s="36"/>
      <c r="P215" s="36"/>
      <c r="Q215" s="36"/>
      <c r="R215" s="36"/>
      <c r="S215" s="36"/>
    </row>
    <row r="216">
      <c r="A216" s="34"/>
      <c r="B216" s="34"/>
      <c r="C216" s="35"/>
      <c r="D216" s="35"/>
      <c r="E216" s="34"/>
      <c r="F216" s="34"/>
      <c r="G216" s="34"/>
      <c r="H216" s="34"/>
      <c r="I216" s="34"/>
      <c r="J216" s="34"/>
      <c r="K216" s="34"/>
      <c r="L216" s="34"/>
      <c r="M216" s="36"/>
      <c r="N216" s="36"/>
      <c r="O216" s="36"/>
      <c r="P216" s="36"/>
      <c r="Q216" s="36"/>
      <c r="R216" s="36"/>
      <c r="S216" s="36"/>
    </row>
    <row r="217">
      <c r="A217" s="34"/>
      <c r="B217" s="36"/>
      <c r="C217" s="35"/>
      <c r="D217" s="35"/>
      <c r="E217" s="34"/>
      <c r="F217" s="34"/>
      <c r="G217" s="34"/>
      <c r="H217" s="34"/>
      <c r="I217" s="34"/>
      <c r="J217" s="34"/>
      <c r="K217" s="34"/>
      <c r="L217" s="34"/>
      <c r="M217" s="36"/>
      <c r="N217" s="36"/>
      <c r="O217" s="36"/>
      <c r="P217" s="36"/>
      <c r="Q217" s="36"/>
      <c r="R217" s="36"/>
      <c r="S217" s="36"/>
    </row>
    <row r="218">
      <c r="A218" s="34"/>
      <c r="B218" s="36"/>
      <c r="C218" s="35"/>
      <c r="D218" s="35"/>
      <c r="E218" s="34"/>
      <c r="F218" s="34"/>
      <c r="G218" s="34"/>
      <c r="H218" s="34"/>
      <c r="I218" s="34"/>
      <c r="J218" s="34"/>
      <c r="K218" s="34"/>
      <c r="L218" s="34"/>
      <c r="M218" s="36"/>
      <c r="N218" s="36"/>
      <c r="O218" s="36"/>
      <c r="P218" s="36"/>
      <c r="Q218" s="36"/>
      <c r="R218" s="36"/>
      <c r="S218" s="36"/>
    </row>
    <row r="219">
      <c r="A219" s="34"/>
      <c r="B219" s="34"/>
      <c r="C219" s="35"/>
      <c r="D219" s="35"/>
      <c r="E219" s="34"/>
      <c r="F219" s="34"/>
      <c r="G219" s="34"/>
      <c r="H219" s="34"/>
      <c r="I219" s="34"/>
      <c r="J219" s="34"/>
      <c r="K219" s="34"/>
      <c r="L219" s="34"/>
      <c r="M219" s="36"/>
      <c r="N219" s="36"/>
      <c r="O219" s="36"/>
      <c r="P219" s="36"/>
      <c r="Q219" s="36"/>
      <c r="R219" s="36"/>
      <c r="S219" s="36"/>
    </row>
    <row r="220">
      <c r="A220" s="34"/>
      <c r="B220" s="34"/>
      <c r="C220" s="35"/>
      <c r="D220" s="35"/>
      <c r="E220" s="34"/>
      <c r="F220" s="34"/>
      <c r="G220" s="34"/>
      <c r="H220" s="34"/>
      <c r="I220" s="34"/>
      <c r="J220" s="34"/>
      <c r="K220" s="34"/>
      <c r="L220" s="34"/>
      <c r="M220" s="36"/>
      <c r="N220" s="36"/>
      <c r="O220" s="36"/>
      <c r="P220" s="36"/>
      <c r="Q220" s="36"/>
      <c r="R220" s="36"/>
      <c r="S220" s="36"/>
    </row>
    <row r="221">
      <c r="A221" s="34"/>
      <c r="B221" s="34"/>
      <c r="C221" s="35"/>
      <c r="D221" s="35"/>
      <c r="E221" s="34"/>
      <c r="F221" s="34"/>
      <c r="G221" s="34"/>
      <c r="H221" s="34"/>
      <c r="I221" s="34"/>
      <c r="J221" s="34"/>
      <c r="K221" s="34"/>
      <c r="L221" s="34"/>
      <c r="M221" s="36"/>
      <c r="N221" s="36"/>
      <c r="O221" s="36"/>
      <c r="P221" s="36"/>
      <c r="Q221" s="36"/>
      <c r="R221" s="36"/>
      <c r="S221" s="36"/>
    </row>
    <row r="222">
      <c r="A222" s="34"/>
      <c r="B222" s="34"/>
      <c r="C222" s="35"/>
      <c r="D222" s="35"/>
      <c r="E222" s="34"/>
      <c r="F222" s="34"/>
      <c r="G222" s="34"/>
      <c r="H222" s="34"/>
      <c r="I222" s="34"/>
      <c r="J222" s="34"/>
      <c r="K222" s="34"/>
      <c r="L222" s="34"/>
      <c r="M222" s="36"/>
      <c r="N222" s="36"/>
      <c r="O222" s="36"/>
      <c r="P222" s="36"/>
      <c r="Q222" s="36"/>
      <c r="R222" s="36"/>
      <c r="S222" s="36"/>
    </row>
    <row r="223">
      <c r="A223" s="34"/>
      <c r="B223" s="36"/>
      <c r="C223" s="35"/>
      <c r="D223" s="35"/>
      <c r="E223" s="34"/>
      <c r="F223" s="34"/>
      <c r="G223" s="34"/>
      <c r="H223" s="34"/>
      <c r="I223" s="34"/>
      <c r="J223" s="34"/>
      <c r="K223" s="34"/>
      <c r="L223" s="34"/>
      <c r="M223" s="36"/>
      <c r="N223" s="36"/>
      <c r="O223" s="36"/>
      <c r="P223" s="36"/>
      <c r="Q223" s="36"/>
      <c r="R223" s="36"/>
      <c r="S223" s="36"/>
    </row>
    <row r="224">
      <c r="A224" s="34"/>
      <c r="B224" s="34"/>
      <c r="C224" s="35"/>
      <c r="D224" s="35"/>
      <c r="E224" s="34"/>
      <c r="F224" s="34"/>
      <c r="G224" s="34"/>
      <c r="H224" s="34"/>
      <c r="I224" s="34"/>
      <c r="J224" s="34"/>
      <c r="K224" s="34"/>
      <c r="L224" s="34"/>
      <c r="M224" s="36"/>
      <c r="N224" s="36"/>
      <c r="O224" s="36"/>
      <c r="P224" s="36"/>
      <c r="Q224" s="36"/>
      <c r="R224" s="36"/>
      <c r="S224" s="36"/>
    </row>
    <row r="225">
      <c r="A225" s="34"/>
      <c r="B225" s="34"/>
      <c r="C225" s="35"/>
      <c r="D225" s="35"/>
      <c r="E225" s="34"/>
      <c r="F225" s="34"/>
      <c r="G225" s="34"/>
      <c r="H225" s="34"/>
      <c r="I225" s="34"/>
      <c r="J225" s="34"/>
      <c r="K225" s="34"/>
      <c r="L225" s="34"/>
      <c r="M225" s="36"/>
      <c r="N225" s="36"/>
      <c r="O225" s="36"/>
      <c r="P225" s="36"/>
      <c r="Q225" s="36"/>
      <c r="R225" s="36"/>
      <c r="S225" s="36"/>
    </row>
    <row r="226">
      <c r="A226" s="34"/>
      <c r="B226" s="34"/>
      <c r="C226" s="35"/>
      <c r="D226" s="35"/>
      <c r="E226" s="34"/>
      <c r="F226" s="34"/>
      <c r="G226" s="34"/>
      <c r="H226" s="34"/>
      <c r="I226" s="34"/>
      <c r="J226" s="34"/>
      <c r="K226" s="34"/>
      <c r="L226" s="34"/>
      <c r="M226" s="36"/>
      <c r="N226" s="36"/>
      <c r="O226" s="36"/>
      <c r="P226" s="36"/>
      <c r="Q226" s="36"/>
      <c r="R226" s="36"/>
      <c r="S226" s="36"/>
    </row>
    <row r="227">
      <c r="A227" s="34"/>
      <c r="B227" s="34"/>
      <c r="C227" s="35"/>
      <c r="D227" s="35"/>
      <c r="E227" s="34"/>
      <c r="F227" s="34"/>
      <c r="G227" s="34"/>
      <c r="H227" s="34"/>
      <c r="I227" s="34"/>
      <c r="J227" s="34"/>
      <c r="K227" s="34"/>
      <c r="L227" s="34"/>
      <c r="M227" s="36"/>
      <c r="N227" s="36"/>
      <c r="O227" s="36"/>
      <c r="P227" s="36"/>
      <c r="Q227" s="36"/>
      <c r="R227" s="36"/>
      <c r="S227" s="36"/>
    </row>
    <row r="228">
      <c r="A228" s="34"/>
      <c r="B228" s="34"/>
      <c r="C228" s="35"/>
      <c r="D228" s="35"/>
      <c r="E228" s="34"/>
      <c r="F228" s="34"/>
      <c r="G228" s="34"/>
      <c r="H228" s="34"/>
      <c r="I228" s="34"/>
      <c r="J228" s="34"/>
      <c r="K228" s="34"/>
      <c r="L228" s="34"/>
      <c r="M228" s="36"/>
      <c r="N228" s="36"/>
      <c r="O228" s="36"/>
      <c r="P228" s="36"/>
      <c r="Q228" s="36"/>
      <c r="R228" s="36"/>
      <c r="S228" s="36"/>
    </row>
    <row r="229">
      <c r="A229" s="34"/>
      <c r="B229" s="34"/>
      <c r="C229" s="35"/>
      <c r="D229" s="35"/>
      <c r="E229" s="34"/>
      <c r="F229" s="34"/>
      <c r="G229" s="34"/>
      <c r="H229" s="34"/>
      <c r="I229" s="34"/>
      <c r="J229" s="34"/>
      <c r="K229" s="34"/>
      <c r="L229" s="34"/>
      <c r="M229" s="36"/>
      <c r="N229" s="36"/>
      <c r="O229" s="36"/>
      <c r="P229" s="36"/>
      <c r="Q229" s="36"/>
      <c r="R229" s="36"/>
      <c r="S229" s="36"/>
    </row>
    <row r="230">
      <c r="A230" s="34"/>
      <c r="B230" s="34"/>
      <c r="C230" s="35"/>
      <c r="D230" s="35"/>
      <c r="E230" s="34"/>
      <c r="F230" s="34"/>
      <c r="G230" s="34"/>
      <c r="H230" s="34"/>
      <c r="I230" s="34"/>
      <c r="J230" s="34"/>
      <c r="K230" s="34"/>
      <c r="L230" s="34"/>
      <c r="M230" s="36"/>
      <c r="N230" s="36"/>
      <c r="O230" s="36"/>
      <c r="P230" s="36"/>
      <c r="Q230" s="36"/>
      <c r="R230" s="36"/>
      <c r="S230" s="36"/>
    </row>
    <row r="231">
      <c r="A231" s="34"/>
      <c r="B231" s="34"/>
      <c r="C231" s="35"/>
      <c r="D231" s="35"/>
      <c r="E231" s="34"/>
      <c r="F231" s="34"/>
      <c r="G231" s="34"/>
      <c r="H231" s="34"/>
      <c r="I231" s="34"/>
      <c r="J231" s="34"/>
      <c r="K231" s="34"/>
      <c r="L231" s="34"/>
      <c r="M231" s="36"/>
      <c r="N231" s="36"/>
      <c r="O231" s="36"/>
      <c r="P231" s="36"/>
      <c r="Q231" s="36"/>
      <c r="R231" s="36"/>
      <c r="S231" s="36"/>
    </row>
    <row r="232">
      <c r="A232" s="34"/>
      <c r="B232" s="34"/>
      <c r="C232" s="35"/>
      <c r="D232" s="35"/>
      <c r="E232" s="34"/>
      <c r="F232" s="34"/>
      <c r="G232" s="34"/>
      <c r="H232" s="34"/>
      <c r="I232" s="34"/>
      <c r="J232" s="34"/>
      <c r="K232" s="34"/>
      <c r="L232" s="34"/>
      <c r="M232" s="36"/>
      <c r="N232" s="36"/>
      <c r="O232" s="36"/>
      <c r="P232" s="36"/>
      <c r="Q232" s="36"/>
      <c r="R232" s="36"/>
      <c r="S232" s="36"/>
    </row>
    <row r="233">
      <c r="A233" s="34"/>
      <c r="B233" s="34"/>
      <c r="C233" s="35"/>
      <c r="D233" s="35"/>
      <c r="E233" s="34"/>
      <c r="F233" s="34"/>
      <c r="G233" s="34"/>
      <c r="H233" s="34"/>
      <c r="I233" s="34"/>
      <c r="J233" s="34"/>
      <c r="K233" s="34"/>
      <c r="L233" s="34"/>
      <c r="M233" s="36"/>
      <c r="N233" s="36"/>
      <c r="O233" s="36"/>
      <c r="P233" s="36"/>
      <c r="Q233" s="36"/>
      <c r="R233" s="36"/>
      <c r="S233" s="36"/>
    </row>
    <row r="234">
      <c r="A234" s="34"/>
      <c r="B234" s="34"/>
      <c r="C234" s="35"/>
      <c r="D234" s="35"/>
      <c r="E234" s="34"/>
      <c r="F234" s="34"/>
      <c r="G234" s="34"/>
      <c r="H234" s="34"/>
      <c r="I234" s="34"/>
      <c r="J234" s="34"/>
      <c r="K234" s="34"/>
      <c r="L234" s="34"/>
      <c r="M234" s="36"/>
      <c r="N234" s="36"/>
      <c r="O234" s="36"/>
      <c r="P234" s="36"/>
      <c r="Q234" s="36"/>
      <c r="R234" s="36"/>
      <c r="S234" s="36"/>
    </row>
    <row r="235">
      <c r="A235" s="34"/>
      <c r="B235" s="34"/>
      <c r="C235" s="35"/>
      <c r="D235" s="35"/>
      <c r="E235" s="34"/>
      <c r="F235" s="34"/>
      <c r="G235" s="34"/>
      <c r="H235" s="34"/>
      <c r="I235" s="34"/>
      <c r="J235" s="34"/>
      <c r="K235" s="34"/>
      <c r="L235" s="34"/>
      <c r="M235" s="36"/>
      <c r="N235" s="36"/>
      <c r="O235" s="36"/>
      <c r="P235" s="36"/>
      <c r="Q235" s="36"/>
      <c r="R235" s="36"/>
      <c r="S235" s="36"/>
    </row>
    <row r="236">
      <c r="A236" s="34"/>
      <c r="B236" s="34"/>
      <c r="C236" s="35"/>
      <c r="D236" s="35"/>
      <c r="E236" s="34"/>
      <c r="F236" s="34"/>
      <c r="G236" s="34"/>
      <c r="H236" s="34"/>
      <c r="I236" s="34"/>
      <c r="J236" s="34"/>
      <c r="K236" s="34"/>
      <c r="L236" s="34"/>
      <c r="M236" s="36"/>
      <c r="N236" s="36"/>
      <c r="O236" s="36"/>
      <c r="P236" s="36"/>
      <c r="Q236" s="36"/>
      <c r="R236" s="36"/>
      <c r="S236" s="36"/>
    </row>
    <row r="237">
      <c r="A237" s="34"/>
      <c r="B237" s="34"/>
      <c r="C237" s="35"/>
      <c r="D237" s="35"/>
      <c r="E237" s="34"/>
      <c r="F237" s="34"/>
      <c r="G237" s="34"/>
      <c r="H237" s="34"/>
      <c r="I237" s="34"/>
      <c r="J237" s="34"/>
      <c r="K237" s="34"/>
      <c r="L237" s="34"/>
      <c r="M237" s="36"/>
      <c r="N237" s="36"/>
      <c r="O237" s="36"/>
      <c r="P237" s="36"/>
      <c r="Q237" s="36"/>
      <c r="R237" s="36"/>
      <c r="S237" s="36"/>
    </row>
    <row r="238">
      <c r="A238" s="34"/>
      <c r="B238" s="34"/>
      <c r="C238" s="35"/>
      <c r="D238" s="35"/>
      <c r="E238" s="34"/>
      <c r="F238" s="34"/>
      <c r="G238" s="34"/>
      <c r="H238" s="34"/>
      <c r="I238" s="34"/>
      <c r="J238" s="34"/>
      <c r="K238" s="34"/>
      <c r="L238" s="34"/>
      <c r="M238" s="36"/>
      <c r="N238" s="36"/>
      <c r="O238" s="36"/>
      <c r="P238" s="36"/>
      <c r="Q238" s="36"/>
      <c r="R238" s="36"/>
      <c r="S238" s="36"/>
    </row>
    <row r="239">
      <c r="A239" s="34"/>
      <c r="B239" s="36"/>
      <c r="C239" s="35"/>
      <c r="D239" s="35"/>
      <c r="E239" s="34"/>
      <c r="F239" s="34"/>
      <c r="G239" s="34"/>
      <c r="H239" s="34"/>
      <c r="I239" s="34"/>
      <c r="J239" s="34"/>
      <c r="K239" s="34"/>
      <c r="L239" s="34"/>
      <c r="M239" s="36"/>
      <c r="N239" s="36"/>
      <c r="O239" s="36"/>
      <c r="P239" s="36"/>
      <c r="Q239" s="36"/>
      <c r="R239" s="36"/>
      <c r="S239" s="36"/>
    </row>
    <row r="240">
      <c r="A240" s="34"/>
      <c r="B240" s="34"/>
      <c r="C240" s="35"/>
      <c r="D240" s="35"/>
      <c r="E240" s="34"/>
      <c r="F240" s="34"/>
      <c r="G240" s="34"/>
      <c r="H240" s="34"/>
      <c r="I240" s="34"/>
      <c r="J240" s="34"/>
      <c r="K240" s="34"/>
      <c r="L240" s="34"/>
      <c r="M240" s="36"/>
      <c r="N240" s="36"/>
      <c r="O240" s="36"/>
      <c r="P240" s="36"/>
      <c r="Q240" s="36"/>
      <c r="R240" s="36"/>
      <c r="S240" s="36"/>
    </row>
    <row r="241">
      <c r="A241" s="34"/>
      <c r="B241" s="34"/>
      <c r="C241" s="35"/>
      <c r="D241" s="35"/>
      <c r="E241" s="34"/>
      <c r="F241" s="34"/>
      <c r="G241" s="34"/>
      <c r="H241" s="34"/>
      <c r="I241" s="34"/>
      <c r="J241" s="34"/>
      <c r="K241" s="34"/>
      <c r="L241" s="34"/>
      <c r="M241" s="36"/>
      <c r="N241" s="36"/>
      <c r="O241" s="36"/>
      <c r="P241" s="36"/>
      <c r="Q241" s="36"/>
      <c r="R241" s="36"/>
      <c r="S241" s="36"/>
    </row>
    <row r="242">
      <c r="A242" s="34"/>
      <c r="B242" s="36"/>
      <c r="C242" s="35"/>
      <c r="D242" s="35"/>
      <c r="E242" s="34"/>
      <c r="F242" s="34"/>
      <c r="G242" s="34"/>
      <c r="H242" s="34"/>
      <c r="I242" s="34"/>
      <c r="J242" s="34"/>
      <c r="K242" s="34"/>
      <c r="L242" s="34"/>
      <c r="M242" s="36"/>
      <c r="N242" s="36"/>
      <c r="O242" s="36"/>
      <c r="P242" s="36"/>
      <c r="Q242" s="36"/>
      <c r="R242" s="36"/>
      <c r="S242" s="36"/>
    </row>
    <row r="243">
      <c r="A243" s="34"/>
      <c r="B243" s="34"/>
      <c r="C243" s="35"/>
      <c r="D243" s="35"/>
      <c r="E243" s="34"/>
      <c r="F243" s="34"/>
      <c r="G243" s="34"/>
      <c r="H243" s="34"/>
      <c r="I243" s="34"/>
      <c r="J243" s="34"/>
      <c r="K243" s="34"/>
      <c r="L243" s="34"/>
      <c r="M243" s="36"/>
      <c r="N243" s="36"/>
      <c r="O243" s="36"/>
      <c r="P243" s="36"/>
      <c r="Q243" s="36"/>
      <c r="R243" s="36"/>
      <c r="S243" s="36"/>
    </row>
    <row r="244">
      <c r="A244" s="34"/>
      <c r="B244" s="34"/>
      <c r="C244" s="35"/>
      <c r="D244" s="35"/>
      <c r="E244" s="34"/>
      <c r="F244" s="34"/>
      <c r="G244" s="34"/>
      <c r="H244" s="34"/>
      <c r="I244" s="34"/>
      <c r="J244" s="34"/>
      <c r="K244" s="34"/>
      <c r="L244" s="34"/>
      <c r="M244" s="36"/>
      <c r="N244" s="36"/>
      <c r="O244" s="36"/>
      <c r="P244" s="36"/>
      <c r="Q244" s="36"/>
      <c r="R244" s="36"/>
      <c r="S244" s="36"/>
    </row>
    <row r="245">
      <c r="A245" s="34"/>
      <c r="B245" s="34"/>
      <c r="C245" s="35"/>
      <c r="D245" s="35"/>
      <c r="E245" s="34"/>
      <c r="F245" s="34"/>
      <c r="G245" s="34"/>
      <c r="H245" s="34"/>
      <c r="I245" s="34"/>
      <c r="J245" s="34"/>
      <c r="K245" s="34"/>
      <c r="L245" s="34"/>
      <c r="M245" s="36"/>
      <c r="N245" s="36"/>
      <c r="O245" s="36"/>
      <c r="P245" s="36"/>
      <c r="Q245" s="36"/>
      <c r="R245" s="36"/>
      <c r="S245" s="36"/>
    </row>
    <row r="246">
      <c r="A246" s="34"/>
      <c r="B246" s="34"/>
      <c r="C246" s="35"/>
      <c r="D246" s="35"/>
      <c r="E246" s="34"/>
      <c r="F246" s="34"/>
      <c r="G246" s="34"/>
      <c r="H246" s="34"/>
      <c r="I246" s="34"/>
      <c r="J246" s="34"/>
      <c r="K246" s="34"/>
      <c r="L246" s="34"/>
      <c r="M246" s="36"/>
      <c r="N246" s="36"/>
      <c r="O246" s="36"/>
      <c r="P246" s="36"/>
      <c r="Q246" s="36"/>
      <c r="R246" s="36"/>
      <c r="S246" s="36"/>
    </row>
    <row r="247">
      <c r="A247" s="34"/>
      <c r="B247" s="34"/>
      <c r="C247" s="35"/>
      <c r="D247" s="35"/>
      <c r="E247" s="34"/>
      <c r="F247" s="34"/>
      <c r="G247" s="34"/>
      <c r="H247" s="34"/>
      <c r="I247" s="34"/>
      <c r="J247" s="34"/>
      <c r="K247" s="34"/>
      <c r="L247" s="34"/>
      <c r="M247" s="36"/>
      <c r="N247" s="36"/>
      <c r="O247" s="36"/>
      <c r="P247" s="36"/>
      <c r="Q247" s="36"/>
      <c r="R247" s="36"/>
      <c r="S247" s="36"/>
    </row>
    <row r="248">
      <c r="A248" s="34"/>
      <c r="B248" s="34"/>
      <c r="C248" s="35"/>
      <c r="D248" s="35"/>
      <c r="E248" s="34"/>
      <c r="F248" s="34"/>
      <c r="G248" s="34"/>
      <c r="H248" s="34"/>
      <c r="I248" s="34"/>
      <c r="J248" s="34"/>
      <c r="K248" s="34"/>
      <c r="L248" s="34"/>
      <c r="M248" s="36"/>
      <c r="N248" s="36"/>
      <c r="O248" s="36"/>
      <c r="P248" s="36"/>
      <c r="Q248" s="36"/>
      <c r="R248" s="36"/>
      <c r="S248" s="36"/>
    </row>
    <row r="249">
      <c r="A249" s="34"/>
      <c r="B249" s="34"/>
      <c r="C249" s="35"/>
      <c r="D249" s="35"/>
      <c r="E249" s="34"/>
      <c r="F249" s="34"/>
      <c r="G249" s="34"/>
      <c r="H249" s="34"/>
      <c r="I249" s="34"/>
      <c r="J249" s="34"/>
      <c r="K249" s="34"/>
      <c r="L249" s="34"/>
      <c r="M249" s="36"/>
      <c r="N249" s="36"/>
      <c r="O249" s="36"/>
      <c r="P249" s="36"/>
      <c r="Q249" s="36"/>
      <c r="R249" s="36"/>
      <c r="S249" s="36"/>
    </row>
    <row r="250">
      <c r="A250" s="34"/>
      <c r="B250" s="36"/>
      <c r="C250" s="35"/>
      <c r="D250" s="35"/>
      <c r="E250" s="34"/>
      <c r="F250" s="34"/>
      <c r="G250" s="34"/>
      <c r="H250" s="34"/>
      <c r="I250" s="34"/>
      <c r="J250" s="34"/>
      <c r="K250" s="34"/>
      <c r="L250" s="34"/>
      <c r="M250" s="36"/>
      <c r="N250" s="36"/>
      <c r="O250" s="36"/>
      <c r="P250" s="36"/>
      <c r="Q250" s="36"/>
      <c r="R250" s="36"/>
      <c r="S250" s="36"/>
    </row>
    <row r="251">
      <c r="A251" s="34"/>
      <c r="B251" s="34"/>
      <c r="C251" s="35"/>
      <c r="D251" s="35"/>
      <c r="E251" s="34"/>
      <c r="F251" s="34"/>
      <c r="G251" s="34"/>
      <c r="H251" s="34"/>
      <c r="I251" s="34"/>
      <c r="J251" s="34"/>
      <c r="K251" s="34"/>
      <c r="L251" s="34"/>
      <c r="M251" s="36"/>
      <c r="N251" s="36"/>
      <c r="O251" s="36"/>
      <c r="P251" s="36"/>
      <c r="Q251" s="36"/>
      <c r="R251" s="36"/>
      <c r="S251" s="36"/>
    </row>
    <row r="252">
      <c r="A252" s="34"/>
      <c r="B252" s="34"/>
      <c r="C252" s="35"/>
      <c r="D252" s="35"/>
      <c r="E252" s="34"/>
      <c r="F252" s="34"/>
      <c r="G252" s="34"/>
      <c r="H252" s="34"/>
      <c r="I252" s="34"/>
      <c r="J252" s="34"/>
      <c r="K252" s="34"/>
      <c r="L252" s="34"/>
      <c r="M252" s="36"/>
      <c r="N252" s="36"/>
      <c r="O252" s="36"/>
      <c r="P252" s="36"/>
      <c r="Q252" s="36"/>
      <c r="R252" s="36"/>
      <c r="S252" s="36"/>
    </row>
    <row r="253">
      <c r="A253" s="34"/>
      <c r="B253" s="34"/>
      <c r="C253" s="35"/>
      <c r="D253" s="35"/>
      <c r="E253" s="34"/>
      <c r="F253" s="34"/>
      <c r="G253" s="34"/>
      <c r="H253" s="34"/>
      <c r="I253" s="34"/>
      <c r="J253" s="34"/>
      <c r="K253" s="34"/>
      <c r="L253" s="34"/>
      <c r="M253" s="36"/>
      <c r="N253" s="36"/>
      <c r="O253" s="36"/>
      <c r="P253" s="36"/>
      <c r="Q253" s="36"/>
      <c r="R253" s="36"/>
      <c r="S253" s="36"/>
    </row>
    <row r="254">
      <c r="A254" s="34"/>
      <c r="B254" s="34"/>
      <c r="C254" s="35"/>
      <c r="D254" s="35"/>
      <c r="E254" s="34"/>
      <c r="F254" s="34"/>
      <c r="G254" s="34"/>
      <c r="H254" s="34"/>
      <c r="I254" s="34"/>
      <c r="J254" s="34"/>
      <c r="K254" s="34"/>
      <c r="L254" s="34"/>
      <c r="M254" s="36"/>
      <c r="N254" s="36"/>
      <c r="O254" s="36"/>
      <c r="P254" s="36"/>
      <c r="Q254" s="36"/>
      <c r="R254" s="36"/>
      <c r="S254" s="36"/>
    </row>
    <row r="255">
      <c r="A255" s="34"/>
      <c r="B255" s="34"/>
      <c r="C255" s="35"/>
      <c r="D255" s="35"/>
      <c r="E255" s="34"/>
      <c r="F255" s="34"/>
      <c r="G255" s="34"/>
      <c r="H255" s="34"/>
      <c r="I255" s="34"/>
      <c r="J255" s="34"/>
      <c r="K255" s="34"/>
      <c r="L255" s="34"/>
      <c r="M255" s="36"/>
      <c r="N255" s="36"/>
      <c r="O255" s="36"/>
      <c r="P255" s="36"/>
      <c r="Q255" s="36"/>
      <c r="R255" s="36"/>
      <c r="S255" s="36"/>
    </row>
    <row r="256">
      <c r="A256" s="34"/>
      <c r="B256" s="34"/>
      <c r="C256" s="35"/>
      <c r="D256" s="35"/>
      <c r="E256" s="34"/>
      <c r="F256" s="34"/>
      <c r="G256" s="34"/>
      <c r="H256" s="34"/>
      <c r="I256" s="34"/>
      <c r="J256" s="34"/>
      <c r="K256" s="34"/>
      <c r="L256" s="34"/>
      <c r="M256" s="36"/>
      <c r="N256" s="36"/>
      <c r="O256" s="36"/>
      <c r="P256" s="36"/>
      <c r="Q256" s="36"/>
      <c r="R256" s="36"/>
      <c r="S256" s="36"/>
    </row>
    <row r="257">
      <c r="A257" s="34"/>
      <c r="B257" s="34"/>
      <c r="C257" s="35"/>
      <c r="D257" s="35"/>
      <c r="E257" s="34"/>
      <c r="F257" s="34"/>
      <c r="G257" s="34"/>
      <c r="H257" s="34"/>
      <c r="I257" s="34"/>
      <c r="J257" s="34"/>
      <c r="K257" s="34"/>
      <c r="L257" s="34"/>
      <c r="M257" s="36"/>
      <c r="N257" s="36"/>
      <c r="O257" s="36"/>
      <c r="P257" s="36"/>
      <c r="Q257" s="36"/>
      <c r="R257" s="36"/>
      <c r="S257" s="36"/>
    </row>
    <row r="258">
      <c r="A258" s="34"/>
      <c r="B258" s="34"/>
      <c r="C258" s="35"/>
      <c r="D258" s="35"/>
      <c r="E258" s="34"/>
      <c r="F258" s="34"/>
      <c r="G258" s="34"/>
      <c r="H258" s="34"/>
      <c r="I258" s="34"/>
      <c r="J258" s="34"/>
      <c r="K258" s="34"/>
      <c r="L258" s="34"/>
      <c r="M258" s="36"/>
      <c r="N258" s="36"/>
      <c r="O258" s="36"/>
      <c r="P258" s="36"/>
      <c r="Q258" s="36"/>
      <c r="R258" s="36"/>
      <c r="S258" s="36"/>
    </row>
    <row r="259">
      <c r="A259" s="34"/>
      <c r="B259" s="34"/>
      <c r="C259" s="35"/>
      <c r="D259" s="35"/>
      <c r="E259" s="34"/>
      <c r="F259" s="34"/>
      <c r="G259" s="34"/>
      <c r="H259" s="34"/>
      <c r="I259" s="34"/>
      <c r="J259" s="34"/>
      <c r="K259" s="34"/>
      <c r="L259" s="34"/>
      <c r="M259" s="36"/>
      <c r="N259" s="36"/>
      <c r="O259" s="36"/>
      <c r="P259" s="36"/>
      <c r="Q259" s="36"/>
      <c r="R259" s="36"/>
      <c r="S259" s="36"/>
    </row>
    <row r="260">
      <c r="A260" s="34"/>
      <c r="B260" s="34"/>
      <c r="C260" s="35"/>
      <c r="D260" s="35"/>
      <c r="E260" s="34"/>
      <c r="F260" s="34"/>
      <c r="G260" s="34"/>
      <c r="H260" s="34"/>
      <c r="I260" s="34"/>
      <c r="J260" s="34"/>
      <c r="K260" s="34"/>
      <c r="L260" s="34"/>
      <c r="M260" s="36"/>
      <c r="N260" s="36"/>
      <c r="O260" s="36"/>
      <c r="P260" s="36"/>
      <c r="Q260" s="36"/>
      <c r="R260" s="36"/>
      <c r="S260" s="36"/>
    </row>
    <row r="261">
      <c r="A261" s="34"/>
      <c r="B261" s="34"/>
      <c r="C261" s="35"/>
      <c r="D261" s="35"/>
      <c r="E261" s="34"/>
      <c r="F261" s="34"/>
      <c r="G261" s="34"/>
      <c r="H261" s="34"/>
      <c r="I261" s="34"/>
      <c r="J261" s="34"/>
      <c r="K261" s="34"/>
      <c r="L261" s="34"/>
      <c r="M261" s="36"/>
      <c r="N261" s="36"/>
      <c r="O261" s="36"/>
      <c r="P261" s="36"/>
      <c r="Q261" s="36"/>
      <c r="R261" s="36"/>
      <c r="S261" s="36"/>
    </row>
    <row r="262">
      <c r="A262" s="34"/>
      <c r="B262" s="36"/>
      <c r="C262" s="35"/>
      <c r="D262" s="35"/>
      <c r="E262" s="34"/>
      <c r="F262" s="34"/>
      <c r="G262" s="34"/>
      <c r="H262" s="34"/>
      <c r="I262" s="34"/>
      <c r="J262" s="34"/>
      <c r="K262" s="34"/>
      <c r="L262" s="34"/>
      <c r="M262" s="36"/>
      <c r="N262" s="36"/>
      <c r="O262" s="36"/>
      <c r="P262" s="36"/>
      <c r="Q262" s="36"/>
      <c r="R262" s="36"/>
      <c r="S262" s="36"/>
    </row>
    <row r="263">
      <c r="A263" s="34"/>
      <c r="B263" s="34"/>
      <c r="C263" s="35"/>
      <c r="D263" s="35"/>
      <c r="E263" s="34"/>
      <c r="F263" s="34"/>
      <c r="G263" s="34"/>
      <c r="H263" s="34"/>
      <c r="I263" s="34"/>
      <c r="J263" s="34"/>
      <c r="K263" s="34"/>
      <c r="L263" s="34"/>
      <c r="M263" s="36"/>
      <c r="N263" s="36"/>
      <c r="O263" s="36"/>
      <c r="P263" s="36"/>
      <c r="Q263" s="36"/>
      <c r="R263" s="36"/>
      <c r="S263" s="36"/>
    </row>
    <row r="264">
      <c r="A264" s="34"/>
      <c r="B264" s="36"/>
      <c r="C264" s="35"/>
      <c r="D264" s="35"/>
      <c r="E264" s="34"/>
      <c r="F264" s="34"/>
      <c r="G264" s="34"/>
      <c r="H264" s="34"/>
      <c r="I264" s="34"/>
      <c r="J264" s="34"/>
      <c r="K264" s="34"/>
      <c r="L264" s="34"/>
      <c r="M264" s="36"/>
      <c r="N264" s="36"/>
      <c r="O264" s="36"/>
      <c r="P264" s="36"/>
      <c r="Q264" s="36"/>
      <c r="R264" s="36"/>
      <c r="S264" s="36"/>
    </row>
    <row r="265">
      <c r="A265" s="34"/>
      <c r="B265" s="34"/>
      <c r="C265" s="35"/>
      <c r="D265" s="35"/>
      <c r="E265" s="34"/>
      <c r="F265" s="34"/>
      <c r="G265" s="34"/>
      <c r="H265" s="34"/>
      <c r="I265" s="34"/>
      <c r="J265" s="34"/>
      <c r="K265" s="34"/>
      <c r="L265" s="34"/>
      <c r="M265" s="36"/>
      <c r="N265" s="36"/>
      <c r="O265" s="36"/>
      <c r="P265" s="36"/>
      <c r="Q265" s="36"/>
      <c r="R265" s="36"/>
      <c r="S265" s="36"/>
    </row>
    <row r="266">
      <c r="A266" s="34"/>
      <c r="B266" s="36"/>
      <c r="C266" s="35"/>
      <c r="D266" s="35"/>
      <c r="E266" s="34"/>
      <c r="F266" s="34"/>
      <c r="G266" s="34"/>
      <c r="H266" s="34"/>
      <c r="I266" s="34"/>
      <c r="J266" s="34"/>
      <c r="K266" s="34"/>
      <c r="L266" s="34"/>
      <c r="M266" s="36"/>
      <c r="N266" s="36"/>
      <c r="O266" s="36"/>
      <c r="P266" s="36"/>
      <c r="Q266" s="36"/>
      <c r="R266" s="36"/>
      <c r="S266" s="36"/>
    </row>
    <row r="267">
      <c r="A267" s="34"/>
      <c r="B267" s="36"/>
      <c r="C267" s="35"/>
      <c r="D267" s="35"/>
      <c r="E267" s="34"/>
      <c r="F267" s="34"/>
      <c r="G267" s="34"/>
      <c r="H267" s="34"/>
      <c r="I267" s="34"/>
      <c r="J267" s="34"/>
      <c r="K267" s="34"/>
      <c r="L267" s="34"/>
      <c r="M267" s="36"/>
      <c r="N267" s="36"/>
      <c r="O267" s="36"/>
      <c r="P267" s="36"/>
      <c r="Q267" s="36"/>
      <c r="R267" s="36"/>
      <c r="S267" s="36"/>
    </row>
    <row r="268">
      <c r="A268" s="34"/>
      <c r="B268" s="34"/>
      <c r="C268" s="35"/>
      <c r="D268" s="35"/>
      <c r="E268" s="34"/>
      <c r="F268" s="34"/>
      <c r="G268" s="34"/>
      <c r="H268" s="34"/>
      <c r="I268" s="34"/>
      <c r="J268" s="34"/>
      <c r="K268" s="34"/>
      <c r="L268" s="34"/>
      <c r="M268" s="36"/>
      <c r="N268" s="36"/>
      <c r="O268" s="36"/>
      <c r="P268" s="36"/>
      <c r="Q268" s="36"/>
      <c r="R268" s="36"/>
      <c r="S268" s="36"/>
    </row>
    <row r="269">
      <c r="A269" s="34"/>
      <c r="B269" s="34"/>
      <c r="C269" s="35"/>
      <c r="D269" s="35"/>
      <c r="E269" s="34"/>
      <c r="F269" s="34"/>
      <c r="G269" s="34"/>
      <c r="H269" s="34"/>
      <c r="I269" s="34"/>
      <c r="J269" s="34"/>
      <c r="K269" s="34"/>
      <c r="L269" s="34"/>
      <c r="M269" s="36"/>
      <c r="N269" s="36"/>
      <c r="O269" s="36"/>
      <c r="P269" s="36"/>
      <c r="Q269" s="36"/>
      <c r="R269" s="36"/>
      <c r="S269" s="36"/>
    </row>
    <row r="270">
      <c r="A270" s="34"/>
      <c r="B270" s="34"/>
      <c r="C270" s="35"/>
      <c r="D270" s="35"/>
      <c r="E270" s="34"/>
      <c r="F270" s="34"/>
      <c r="G270" s="34"/>
      <c r="H270" s="34"/>
      <c r="I270" s="34"/>
      <c r="J270" s="34"/>
      <c r="K270" s="34"/>
      <c r="L270" s="34"/>
      <c r="M270" s="36"/>
      <c r="N270" s="36"/>
      <c r="O270" s="36"/>
      <c r="P270" s="36"/>
      <c r="Q270" s="36"/>
      <c r="R270" s="36"/>
      <c r="S270" s="36"/>
    </row>
    <row r="271">
      <c r="A271" s="34"/>
      <c r="B271" s="36"/>
      <c r="C271" s="35"/>
      <c r="D271" s="35"/>
      <c r="E271" s="34"/>
      <c r="F271" s="34"/>
      <c r="G271" s="34"/>
      <c r="H271" s="34"/>
      <c r="I271" s="34"/>
      <c r="J271" s="34"/>
      <c r="K271" s="34"/>
      <c r="L271" s="34"/>
      <c r="M271" s="36"/>
      <c r="N271" s="36"/>
      <c r="O271" s="36"/>
      <c r="P271" s="36"/>
      <c r="Q271" s="36"/>
      <c r="R271" s="36"/>
      <c r="S271" s="36"/>
    </row>
    <row r="272">
      <c r="A272" s="34"/>
      <c r="B272" s="34"/>
      <c r="C272" s="35"/>
      <c r="D272" s="35"/>
      <c r="E272" s="34"/>
      <c r="F272" s="34"/>
      <c r="G272" s="34"/>
      <c r="H272" s="34"/>
      <c r="I272" s="34"/>
      <c r="J272" s="34"/>
      <c r="K272" s="34"/>
      <c r="L272" s="34"/>
      <c r="M272" s="36"/>
      <c r="N272" s="36"/>
      <c r="O272" s="36"/>
      <c r="P272" s="36"/>
      <c r="Q272" s="36"/>
      <c r="R272" s="36"/>
      <c r="S272" s="36"/>
    </row>
    <row r="273">
      <c r="A273" s="34"/>
      <c r="B273" s="34"/>
      <c r="C273" s="35"/>
      <c r="D273" s="35"/>
      <c r="E273" s="34"/>
      <c r="F273" s="34"/>
      <c r="G273" s="34"/>
      <c r="H273" s="34"/>
      <c r="I273" s="34"/>
      <c r="J273" s="34"/>
      <c r="K273" s="34"/>
      <c r="L273" s="34"/>
      <c r="M273" s="36"/>
      <c r="N273" s="36"/>
      <c r="O273" s="36"/>
      <c r="P273" s="36"/>
      <c r="Q273" s="36"/>
      <c r="R273" s="36"/>
      <c r="S273" s="36"/>
    </row>
    <row r="274">
      <c r="A274" s="34"/>
      <c r="B274" s="34"/>
      <c r="C274" s="35"/>
      <c r="D274" s="35"/>
      <c r="E274" s="34"/>
      <c r="F274" s="34"/>
      <c r="G274" s="34"/>
      <c r="H274" s="34"/>
      <c r="I274" s="34"/>
      <c r="J274" s="34"/>
      <c r="K274" s="34"/>
      <c r="L274" s="34"/>
      <c r="M274" s="36"/>
      <c r="N274" s="36"/>
      <c r="O274" s="36"/>
      <c r="P274" s="36"/>
      <c r="Q274" s="36"/>
      <c r="R274" s="36"/>
      <c r="S274" s="36"/>
    </row>
    <row r="275">
      <c r="A275" s="34"/>
      <c r="B275" s="34"/>
      <c r="C275" s="35"/>
      <c r="D275" s="35"/>
      <c r="E275" s="34"/>
      <c r="F275" s="34"/>
      <c r="G275" s="34"/>
      <c r="H275" s="34"/>
      <c r="I275" s="34"/>
      <c r="J275" s="34"/>
      <c r="K275" s="34"/>
      <c r="L275" s="34"/>
      <c r="M275" s="36"/>
      <c r="N275" s="36"/>
      <c r="O275" s="36"/>
      <c r="P275" s="36"/>
      <c r="Q275" s="36"/>
      <c r="R275" s="36"/>
      <c r="S275" s="36"/>
    </row>
    <row r="276">
      <c r="A276" s="34"/>
      <c r="B276" s="36"/>
      <c r="C276" s="35"/>
      <c r="D276" s="35"/>
      <c r="E276" s="34"/>
      <c r="F276" s="34"/>
      <c r="G276" s="34"/>
      <c r="H276" s="34"/>
      <c r="I276" s="34"/>
      <c r="J276" s="34"/>
      <c r="K276" s="34"/>
      <c r="L276" s="34"/>
      <c r="M276" s="36"/>
      <c r="N276" s="36"/>
      <c r="O276" s="36"/>
      <c r="P276" s="36"/>
      <c r="Q276" s="36"/>
      <c r="R276" s="36"/>
      <c r="S276" s="36"/>
    </row>
    <row r="277">
      <c r="A277" s="34"/>
      <c r="B277" s="36"/>
      <c r="C277" s="35"/>
      <c r="D277" s="35"/>
      <c r="E277" s="34"/>
      <c r="F277" s="34"/>
      <c r="G277" s="34"/>
      <c r="H277" s="34"/>
      <c r="I277" s="34"/>
      <c r="J277" s="34"/>
      <c r="K277" s="34"/>
      <c r="L277" s="34"/>
      <c r="M277" s="36"/>
      <c r="N277" s="36"/>
      <c r="O277" s="36"/>
      <c r="P277" s="36"/>
      <c r="Q277" s="36"/>
      <c r="R277" s="36"/>
      <c r="S277" s="36"/>
    </row>
    <row r="278">
      <c r="A278" s="34"/>
      <c r="B278" s="36"/>
      <c r="C278" s="35"/>
      <c r="D278" s="35"/>
      <c r="E278" s="34"/>
      <c r="F278" s="34"/>
      <c r="G278" s="34"/>
      <c r="H278" s="34"/>
      <c r="I278" s="34"/>
      <c r="J278" s="34"/>
      <c r="K278" s="34"/>
      <c r="L278" s="34"/>
      <c r="M278" s="36"/>
      <c r="N278" s="36"/>
      <c r="O278" s="36"/>
      <c r="P278" s="36"/>
      <c r="Q278" s="36"/>
      <c r="R278" s="36"/>
      <c r="S278" s="36"/>
    </row>
    <row r="279">
      <c r="A279" s="34"/>
      <c r="B279" s="36"/>
      <c r="C279" s="35"/>
      <c r="D279" s="35"/>
      <c r="E279" s="34"/>
      <c r="F279" s="34"/>
      <c r="G279" s="34"/>
      <c r="H279" s="34"/>
      <c r="I279" s="34"/>
      <c r="J279" s="34"/>
      <c r="K279" s="34"/>
      <c r="L279" s="34"/>
      <c r="M279" s="36"/>
      <c r="N279" s="36"/>
      <c r="O279" s="36"/>
      <c r="P279" s="36"/>
      <c r="Q279" s="36"/>
      <c r="R279" s="36"/>
      <c r="S279" s="36"/>
    </row>
    <row r="280">
      <c r="A280" s="34"/>
      <c r="B280" s="36"/>
      <c r="C280" s="35"/>
      <c r="D280" s="35"/>
      <c r="E280" s="34"/>
      <c r="F280" s="34"/>
      <c r="G280" s="34"/>
      <c r="H280" s="34"/>
      <c r="I280" s="34"/>
      <c r="J280" s="34"/>
      <c r="K280" s="34"/>
      <c r="L280" s="34"/>
      <c r="M280" s="36"/>
      <c r="N280" s="36"/>
      <c r="O280" s="36"/>
      <c r="P280" s="36"/>
      <c r="Q280" s="36"/>
      <c r="R280" s="36"/>
      <c r="S280" s="36"/>
    </row>
    <row r="281">
      <c r="A281" s="34"/>
      <c r="B281" s="34"/>
      <c r="C281" s="35"/>
      <c r="D281" s="35"/>
      <c r="E281" s="34"/>
      <c r="F281" s="34"/>
      <c r="G281" s="34"/>
      <c r="H281" s="34"/>
      <c r="I281" s="34"/>
      <c r="J281" s="34"/>
      <c r="K281" s="34"/>
      <c r="L281" s="34"/>
      <c r="M281" s="36"/>
      <c r="N281" s="36"/>
      <c r="O281" s="36"/>
      <c r="P281" s="36"/>
      <c r="Q281" s="36"/>
      <c r="R281" s="36"/>
      <c r="S281" s="36"/>
    </row>
    <row r="282">
      <c r="A282" s="34"/>
      <c r="B282" s="34"/>
      <c r="C282" s="35"/>
      <c r="D282" s="35"/>
      <c r="E282" s="34"/>
      <c r="F282" s="34"/>
      <c r="G282" s="34"/>
      <c r="H282" s="34"/>
      <c r="I282" s="34"/>
      <c r="J282" s="34"/>
      <c r="K282" s="34"/>
      <c r="L282" s="34"/>
      <c r="M282" s="36"/>
      <c r="N282" s="36"/>
      <c r="O282" s="36"/>
      <c r="P282" s="36"/>
      <c r="Q282" s="36"/>
      <c r="R282" s="36"/>
      <c r="S282" s="36"/>
    </row>
    <row r="283">
      <c r="A283" s="34"/>
      <c r="B283" s="34"/>
      <c r="C283" s="35"/>
      <c r="D283" s="35"/>
      <c r="E283" s="34"/>
      <c r="F283" s="34"/>
      <c r="G283" s="34"/>
      <c r="H283" s="34"/>
      <c r="I283" s="34"/>
      <c r="J283" s="34"/>
      <c r="K283" s="34"/>
      <c r="L283" s="34"/>
      <c r="M283" s="36"/>
      <c r="N283" s="36"/>
      <c r="O283" s="36"/>
      <c r="P283" s="36"/>
      <c r="Q283" s="36"/>
      <c r="R283" s="36"/>
      <c r="S283" s="36"/>
    </row>
    <row r="284">
      <c r="A284" s="34"/>
      <c r="B284" s="34"/>
      <c r="C284" s="35"/>
      <c r="D284" s="35"/>
      <c r="E284" s="34"/>
      <c r="F284" s="34"/>
      <c r="G284" s="34"/>
      <c r="H284" s="34"/>
      <c r="I284" s="34"/>
      <c r="J284" s="34"/>
      <c r="K284" s="34"/>
      <c r="L284" s="34"/>
      <c r="M284" s="36"/>
      <c r="N284" s="36"/>
      <c r="O284" s="36"/>
      <c r="P284" s="36"/>
      <c r="Q284" s="36"/>
      <c r="R284" s="36"/>
      <c r="S284" s="36"/>
    </row>
    <row r="285">
      <c r="A285" s="34"/>
      <c r="B285" s="34"/>
      <c r="C285" s="35"/>
      <c r="D285" s="35"/>
      <c r="E285" s="34"/>
      <c r="F285" s="34"/>
      <c r="G285" s="34"/>
      <c r="H285" s="34"/>
      <c r="I285" s="34"/>
      <c r="J285" s="34"/>
      <c r="K285" s="34"/>
      <c r="L285" s="34"/>
      <c r="M285" s="36"/>
      <c r="N285" s="36"/>
      <c r="O285" s="36"/>
      <c r="P285" s="36"/>
      <c r="Q285" s="36"/>
      <c r="R285" s="36"/>
      <c r="S285" s="36"/>
    </row>
    <row r="286">
      <c r="A286" s="34"/>
      <c r="B286" s="34"/>
      <c r="C286" s="35"/>
      <c r="D286" s="35"/>
      <c r="E286" s="34"/>
      <c r="F286" s="34"/>
      <c r="G286" s="34"/>
      <c r="H286" s="34"/>
      <c r="I286" s="34"/>
      <c r="J286" s="34"/>
      <c r="K286" s="34"/>
      <c r="L286" s="34"/>
      <c r="M286" s="36"/>
      <c r="N286" s="36"/>
      <c r="O286" s="36"/>
      <c r="P286" s="36"/>
      <c r="Q286" s="36"/>
      <c r="R286" s="36"/>
      <c r="S286" s="36"/>
    </row>
    <row r="287">
      <c r="A287" s="34"/>
      <c r="B287" s="34"/>
      <c r="C287" s="35"/>
      <c r="D287" s="35"/>
      <c r="E287" s="34"/>
      <c r="F287" s="34"/>
      <c r="G287" s="34"/>
      <c r="H287" s="34"/>
      <c r="I287" s="34"/>
      <c r="J287" s="34"/>
      <c r="K287" s="34"/>
      <c r="L287" s="34"/>
      <c r="M287" s="36"/>
      <c r="N287" s="36"/>
      <c r="O287" s="36"/>
      <c r="P287" s="36"/>
      <c r="Q287" s="36"/>
      <c r="R287" s="36"/>
      <c r="S287" s="36"/>
    </row>
    <row r="288">
      <c r="A288" s="34"/>
      <c r="B288" s="34"/>
      <c r="C288" s="35"/>
      <c r="D288" s="35"/>
      <c r="E288" s="34"/>
      <c r="F288" s="34"/>
      <c r="G288" s="34"/>
      <c r="H288" s="34"/>
      <c r="I288" s="34"/>
      <c r="J288" s="34"/>
      <c r="K288" s="34"/>
      <c r="L288" s="34"/>
      <c r="M288" s="36"/>
      <c r="N288" s="36"/>
      <c r="O288" s="36"/>
      <c r="P288" s="36"/>
      <c r="Q288" s="36"/>
      <c r="R288" s="36"/>
      <c r="S288" s="36"/>
    </row>
    <row r="289">
      <c r="A289" s="34"/>
      <c r="B289" s="34"/>
      <c r="C289" s="35"/>
      <c r="D289" s="35"/>
      <c r="E289" s="34"/>
      <c r="F289" s="34"/>
      <c r="G289" s="34"/>
      <c r="H289" s="34"/>
      <c r="I289" s="34"/>
      <c r="J289" s="34"/>
      <c r="K289" s="34"/>
      <c r="L289" s="34"/>
      <c r="M289" s="36"/>
      <c r="N289" s="36"/>
      <c r="O289" s="36"/>
      <c r="P289" s="36"/>
      <c r="Q289" s="36"/>
      <c r="R289" s="36"/>
      <c r="S289" s="36"/>
    </row>
    <row r="290">
      <c r="A290" s="34"/>
      <c r="B290" s="34"/>
      <c r="C290" s="35"/>
      <c r="D290" s="35"/>
      <c r="E290" s="34"/>
      <c r="F290" s="34"/>
      <c r="G290" s="34"/>
      <c r="H290" s="34"/>
      <c r="I290" s="34"/>
      <c r="J290" s="34"/>
      <c r="K290" s="34"/>
      <c r="L290" s="34"/>
      <c r="M290" s="36"/>
      <c r="N290" s="36"/>
      <c r="O290" s="36"/>
      <c r="P290" s="36"/>
      <c r="Q290" s="36"/>
      <c r="R290" s="36"/>
      <c r="S290" s="36"/>
    </row>
    <row r="291">
      <c r="A291" s="34"/>
      <c r="B291" s="34"/>
      <c r="C291" s="35"/>
      <c r="D291" s="35"/>
      <c r="E291" s="34"/>
      <c r="F291" s="34"/>
      <c r="G291" s="34"/>
      <c r="H291" s="34"/>
      <c r="I291" s="34"/>
      <c r="J291" s="34"/>
      <c r="K291" s="34"/>
      <c r="L291" s="34"/>
      <c r="M291" s="36"/>
      <c r="N291" s="36"/>
      <c r="O291" s="36"/>
      <c r="P291" s="36"/>
      <c r="Q291" s="36"/>
      <c r="R291" s="36"/>
      <c r="S291" s="36"/>
    </row>
    <row r="292">
      <c r="A292" s="34"/>
      <c r="B292" s="34"/>
      <c r="C292" s="35"/>
      <c r="D292" s="35"/>
      <c r="E292" s="34"/>
      <c r="F292" s="34"/>
      <c r="G292" s="34"/>
      <c r="H292" s="34"/>
      <c r="I292" s="34"/>
      <c r="J292" s="34"/>
      <c r="K292" s="34"/>
      <c r="L292" s="34"/>
      <c r="M292" s="36"/>
      <c r="N292" s="36"/>
      <c r="O292" s="36"/>
      <c r="P292" s="36"/>
      <c r="Q292" s="36"/>
      <c r="R292" s="36"/>
      <c r="S292" s="36"/>
    </row>
    <row r="293">
      <c r="A293" s="34"/>
      <c r="B293" s="36"/>
      <c r="C293" s="35"/>
      <c r="D293" s="35"/>
      <c r="E293" s="34"/>
      <c r="F293" s="34"/>
      <c r="G293" s="34"/>
      <c r="H293" s="34"/>
      <c r="I293" s="34"/>
      <c r="J293" s="34"/>
      <c r="K293" s="34"/>
      <c r="L293" s="34"/>
      <c r="M293" s="36"/>
      <c r="N293" s="36"/>
      <c r="O293" s="36"/>
      <c r="P293" s="36"/>
      <c r="Q293" s="36"/>
      <c r="R293" s="36"/>
      <c r="S293" s="36"/>
    </row>
    <row r="294">
      <c r="A294" s="34"/>
      <c r="B294" s="34"/>
      <c r="C294" s="35"/>
      <c r="D294" s="35"/>
      <c r="E294" s="34"/>
      <c r="F294" s="34"/>
      <c r="G294" s="34"/>
      <c r="H294" s="34"/>
      <c r="I294" s="34"/>
      <c r="J294" s="34"/>
      <c r="K294" s="34"/>
      <c r="L294" s="34"/>
      <c r="M294" s="36"/>
      <c r="N294" s="36"/>
      <c r="O294" s="36"/>
      <c r="P294" s="36"/>
      <c r="Q294" s="36"/>
      <c r="R294" s="36"/>
      <c r="S294" s="36"/>
    </row>
    <row r="295">
      <c r="A295" s="34"/>
      <c r="B295" s="34"/>
      <c r="C295" s="35"/>
      <c r="D295" s="35"/>
      <c r="E295" s="34"/>
      <c r="F295" s="34"/>
      <c r="G295" s="34"/>
      <c r="H295" s="34"/>
      <c r="I295" s="34"/>
      <c r="J295" s="34"/>
      <c r="K295" s="34"/>
      <c r="L295" s="34"/>
      <c r="M295" s="36"/>
      <c r="N295" s="36"/>
      <c r="O295" s="36"/>
      <c r="P295" s="36"/>
      <c r="Q295" s="36"/>
      <c r="R295" s="36"/>
      <c r="S295" s="36"/>
    </row>
    <row r="296">
      <c r="A296" s="34"/>
      <c r="B296" s="34"/>
      <c r="C296" s="35"/>
      <c r="D296" s="35"/>
      <c r="E296" s="34"/>
      <c r="F296" s="34"/>
      <c r="G296" s="34"/>
      <c r="H296" s="34"/>
      <c r="I296" s="34"/>
      <c r="J296" s="34"/>
      <c r="K296" s="34"/>
      <c r="L296" s="34"/>
      <c r="M296" s="36"/>
      <c r="N296" s="36"/>
      <c r="O296" s="36"/>
      <c r="P296" s="36"/>
      <c r="Q296" s="36"/>
      <c r="R296" s="36"/>
      <c r="S296" s="36"/>
    </row>
    <row r="297">
      <c r="A297" s="34"/>
      <c r="B297" s="36"/>
      <c r="C297" s="35"/>
      <c r="D297" s="35"/>
      <c r="E297" s="34"/>
      <c r="F297" s="34"/>
      <c r="G297" s="34"/>
      <c r="H297" s="34"/>
      <c r="I297" s="34"/>
      <c r="J297" s="34"/>
      <c r="K297" s="34"/>
      <c r="L297" s="34"/>
      <c r="M297" s="36"/>
      <c r="N297" s="36"/>
      <c r="O297" s="36"/>
      <c r="P297" s="36"/>
      <c r="Q297" s="36"/>
      <c r="R297" s="36"/>
      <c r="S297" s="36"/>
    </row>
    <row r="298">
      <c r="A298" s="34"/>
      <c r="B298" s="36"/>
      <c r="C298" s="35"/>
      <c r="D298" s="35"/>
      <c r="E298" s="34"/>
      <c r="F298" s="34"/>
      <c r="G298" s="34"/>
      <c r="H298" s="34"/>
      <c r="I298" s="34"/>
      <c r="J298" s="34"/>
      <c r="K298" s="34"/>
      <c r="L298" s="34"/>
      <c r="M298" s="36"/>
      <c r="N298" s="36"/>
      <c r="O298" s="36"/>
      <c r="P298" s="36"/>
      <c r="Q298" s="36"/>
      <c r="R298" s="36"/>
      <c r="S298" s="36"/>
    </row>
    <row r="299">
      <c r="A299" s="34"/>
      <c r="B299" s="34"/>
      <c r="C299" s="35"/>
      <c r="D299" s="35"/>
      <c r="E299" s="34"/>
      <c r="F299" s="34"/>
      <c r="G299" s="34"/>
      <c r="H299" s="34"/>
      <c r="I299" s="34"/>
      <c r="J299" s="34"/>
      <c r="K299" s="34"/>
      <c r="L299" s="34"/>
      <c r="M299" s="36"/>
      <c r="N299" s="36"/>
      <c r="O299" s="36"/>
      <c r="P299" s="36"/>
      <c r="Q299" s="36"/>
      <c r="R299" s="36"/>
      <c r="S299" s="36"/>
    </row>
    <row r="300">
      <c r="A300" s="34"/>
      <c r="B300" s="34"/>
      <c r="C300" s="35"/>
      <c r="D300" s="35"/>
      <c r="E300" s="34"/>
      <c r="F300" s="34"/>
      <c r="G300" s="34"/>
      <c r="H300" s="34"/>
      <c r="I300" s="34"/>
      <c r="J300" s="34"/>
      <c r="K300" s="34"/>
      <c r="L300" s="34"/>
      <c r="M300" s="36"/>
      <c r="N300" s="36"/>
      <c r="O300" s="36"/>
      <c r="P300" s="36"/>
      <c r="Q300" s="36"/>
      <c r="R300" s="36"/>
      <c r="S300" s="36"/>
    </row>
    <row r="301">
      <c r="A301" s="34"/>
      <c r="B301" s="34"/>
      <c r="C301" s="35"/>
      <c r="D301" s="35"/>
      <c r="E301" s="34"/>
      <c r="F301" s="34"/>
      <c r="G301" s="34"/>
      <c r="H301" s="34"/>
      <c r="I301" s="34"/>
      <c r="J301" s="34"/>
      <c r="K301" s="34"/>
      <c r="L301" s="34"/>
      <c r="M301" s="36"/>
      <c r="N301" s="36"/>
      <c r="O301" s="36"/>
      <c r="P301" s="36"/>
      <c r="Q301" s="36"/>
      <c r="R301" s="36"/>
      <c r="S301" s="36"/>
    </row>
    <row r="302">
      <c r="A302" s="34"/>
      <c r="B302" s="34"/>
      <c r="C302" s="35"/>
      <c r="D302" s="35"/>
      <c r="E302" s="34"/>
      <c r="F302" s="34"/>
      <c r="G302" s="34"/>
      <c r="H302" s="34"/>
      <c r="I302" s="34"/>
      <c r="J302" s="34"/>
      <c r="K302" s="34"/>
      <c r="L302" s="34"/>
      <c r="M302" s="36"/>
      <c r="N302" s="36"/>
      <c r="O302" s="36"/>
      <c r="P302" s="36"/>
      <c r="Q302" s="36"/>
      <c r="R302" s="36"/>
      <c r="S302" s="36"/>
    </row>
    <row r="303">
      <c r="A303" s="34"/>
      <c r="B303" s="34"/>
      <c r="C303" s="35"/>
      <c r="D303" s="35"/>
      <c r="E303" s="34"/>
      <c r="F303" s="34"/>
      <c r="G303" s="34"/>
      <c r="H303" s="34"/>
      <c r="I303" s="34"/>
      <c r="J303" s="34"/>
      <c r="K303" s="34"/>
      <c r="L303" s="34"/>
      <c r="M303" s="36"/>
      <c r="N303" s="36"/>
      <c r="O303" s="36"/>
      <c r="P303" s="36"/>
      <c r="Q303" s="36"/>
      <c r="R303" s="36"/>
      <c r="S303" s="36"/>
    </row>
    <row r="304">
      <c r="A304" s="34"/>
      <c r="B304" s="34"/>
      <c r="C304" s="35"/>
      <c r="D304" s="35"/>
      <c r="E304" s="34"/>
      <c r="F304" s="34"/>
      <c r="G304" s="34"/>
      <c r="H304" s="34"/>
      <c r="I304" s="34"/>
      <c r="J304" s="34"/>
      <c r="K304" s="34"/>
      <c r="L304" s="34"/>
      <c r="M304" s="36"/>
      <c r="N304" s="36"/>
      <c r="O304" s="36"/>
      <c r="P304" s="36"/>
      <c r="Q304" s="36"/>
      <c r="R304" s="36"/>
      <c r="S304" s="36"/>
    </row>
    <row r="305">
      <c r="A305" s="34"/>
      <c r="B305" s="34"/>
      <c r="C305" s="35"/>
      <c r="D305" s="35"/>
      <c r="E305" s="34"/>
      <c r="F305" s="34"/>
      <c r="G305" s="34"/>
      <c r="H305" s="34"/>
      <c r="I305" s="34"/>
      <c r="J305" s="34"/>
      <c r="K305" s="34"/>
      <c r="L305" s="34"/>
      <c r="M305" s="36"/>
      <c r="N305" s="36"/>
      <c r="O305" s="36"/>
      <c r="P305" s="36"/>
      <c r="Q305" s="36"/>
      <c r="R305" s="36"/>
      <c r="S305" s="36"/>
    </row>
    <row r="306">
      <c r="A306" s="34"/>
      <c r="B306" s="34"/>
      <c r="C306" s="35"/>
      <c r="D306" s="35"/>
      <c r="E306" s="34"/>
      <c r="F306" s="34"/>
      <c r="G306" s="34"/>
      <c r="H306" s="34"/>
      <c r="I306" s="34"/>
      <c r="J306" s="34"/>
      <c r="K306" s="34"/>
      <c r="L306" s="34"/>
      <c r="M306" s="36"/>
      <c r="N306" s="36"/>
      <c r="O306" s="36"/>
      <c r="P306" s="36"/>
      <c r="Q306" s="36"/>
      <c r="R306" s="36"/>
      <c r="S306" s="36"/>
    </row>
    <row r="307">
      <c r="A307" s="34"/>
      <c r="B307" s="34"/>
      <c r="C307" s="35"/>
      <c r="D307" s="35"/>
      <c r="E307" s="34"/>
      <c r="F307" s="34"/>
      <c r="G307" s="34"/>
      <c r="H307" s="34"/>
      <c r="I307" s="34"/>
      <c r="J307" s="34"/>
      <c r="K307" s="34"/>
      <c r="L307" s="34"/>
      <c r="M307" s="36"/>
      <c r="N307" s="36"/>
      <c r="O307" s="36"/>
      <c r="P307" s="36"/>
      <c r="Q307" s="36"/>
      <c r="R307" s="36"/>
      <c r="S307" s="36"/>
    </row>
    <row r="308">
      <c r="A308" s="34"/>
      <c r="B308" s="34"/>
      <c r="C308" s="35"/>
      <c r="D308" s="35"/>
      <c r="E308" s="34"/>
      <c r="F308" s="34"/>
      <c r="G308" s="34"/>
      <c r="H308" s="34"/>
      <c r="I308" s="34"/>
      <c r="J308" s="34"/>
      <c r="K308" s="34"/>
      <c r="L308" s="34"/>
      <c r="M308" s="36"/>
      <c r="N308" s="36"/>
      <c r="O308" s="36"/>
      <c r="P308" s="36"/>
      <c r="Q308" s="36"/>
      <c r="R308" s="36"/>
      <c r="S308" s="36"/>
    </row>
    <row r="309">
      <c r="A309" s="34"/>
      <c r="B309" s="34"/>
      <c r="C309" s="35"/>
      <c r="D309" s="35"/>
      <c r="E309" s="34"/>
      <c r="F309" s="34"/>
      <c r="G309" s="34"/>
      <c r="H309" s="34"/>
      <c r="I309" s="34"/>
      <c r="J309" s="34"/>
      <c r="K309" s="34"/>
      <c r="L309" s="34"/>
      <c r="M309" s="36"/>
      <c r="N309" s="36"/>
      <c r="O309" s="36"/>
      <c r="P309" s="36"/>
      <c r="Q309" s="36"/>
      <c r="R309" s="36"/>
      <c r="S309" s="36"/>
    </row>
    <row r="310">
      <c r="A310" s="34"/>
      <c r="B310" s="34"/>
      <c r="C310" s="35"/>
      <c r="D310" s="35"/>
      <c r="E310" s="34"/>
      <c r="F310" s="34"/>
      <c r="G310" s="34"/>
      <c r="H310" s="34"/>
      <c r="I310" s="34"/>
      <c r="J310" s="34"/>
      <c r="K310" s="34"/>
      <c r="L310" s="34"/>
      <c r="M310" s="36"/>
      <c r="N310" s="36"/>
      <c r="O310" s="36"/>
      <c r="P310" s="36"/>
      <c r="Q310" s="36"/>
      <c r="R310" s="36"/>
      <c r="S310" s="36"/>
    </row>
    <row r="311">
      <c r="A311" s="34"/>
      <c r="B311" s="34"/>
      <c r="C311" s="35"/>
      <c r="D311" s="35"/>
      <c r="E311" s="34"/>
      <c r="F311" s="34"/>
      <c r="G311" s="34"/>
      <c r="H311" s="34"/>
      <c r="I311" s="34"/>
      <c r="J311" s="34"/>
      <c r="K311" s="34"/>
      <c r="L311" s="34"/>
      <c r="M311" s="36"/>
      <c r="N311" s="36"/>
      <c r="O311" s="36"/>
      <c r="P311" s="36"/>
      <c r="Q311" s="36"/>
      <c r="R311" s="36"/>
      <c r="S311" s="36"/>
    </row>
    <row r="312">
      <c r="A312" s="34"/>
      <c r="B312" s="34"/>
      <c r="C312" s="35"/>
      <c r="D312" s="35"/>
      <c r="E312" s="34"/>
      <c r="F312" s="34"/>
      <c r="G312" s="34"/>
      <c r="H312" s="34"/>
      <c r="I312" s="34"/>
      <c r="J312" s="34"/>
      <c r="K312" s="34"/>
      <c r="L312" s="34"/>
      <c r="M312" s="36"/>
      <c r="N312" s="36"/>
      <c r="O312" s="36"/>
      <c r="P312" s="36"/>
      <c r="Q312" s="36"/>
      <c r="R312" s="36"/>
      <c r="S312" s="36"/>
    </row>
    <row r="313">
      <c r="A313" s="34"/>
      <c r="B313" s="36"/>
      <c r="C313" s="35"/>
      <c r="D313" s="35"/>
      <c r="E313" s="34"/>
      <c r="F313" s="34"/>
      <c r="G313" s="34"/>
      <c r="H313" s="34"/>
      <c r="I313" s="34"/>
      <c r="J313" s="34"/>
      <c r="K313" s="34"/>
      <c r="L313" s="34"/>
      <c r="M313" s="36"/>
      <c r="N313" s="36"/>
      <c r="O313" s="36"/>
      <c r="P313" s="36"/>
      <c r="Q313" s="36"/>
      <c r="R313" s="36"/>
      <c r="S313" s="36"/>
    </row>
    <row r="314">
      <c r="A314" s="34"/>
      <c r="B314" s="34"/>
      <c r="C314" s="35"/>
      <c r="D314" s="35"/>
      <c r="E314" s="34"/>
      <c r="F314" s="34"/>
      <c r="G314" s="34"/>
      <c r="H314" s="34"/>
      <c r="I314" s="34"/>
      <c r="J314" s="34"/>
      <c r="K314" s="34"/>
      <c r="L314" s="34"/>
      <c r="M314" s="36"/>
      <c r="N314" s="36"/>
      <c r="O314" s="36"/>
      <c r="P314" s="36"/>
      <c r="Q314" s="36"/>
      <c r="R314" s="36"/>
      <c r="S314" s="36"/>
    </row>
    <row r="315">
      <c r="A315" s="34"/>
      <c r="B315" s="34"/>
      <c r="C315" s="35"/>
      <c r="D315" s="35"/>
      <c r="E315" s="34"/>
      <c r="F315" s="34"/>
      <c r="G315" s="34"/>
      <c r="H315" s="34"/>
      <c r="I315" s="34"/>
      <c r="J315" s="34"/>
      <c r="K315" s="34"/>
      <c r="L315" s="34"/>
      <c r="M315" s="36"/>
      <c r="N315" s="36"/>
      <c r="O315" s="36"/>
      <c r="P315" s="36"/>
      <c r="Q315" s="36"/>
      <c r="R315" s="36"/>
      <c r="S315" s="36"/>
    </row>
    <row r="316">
      <c r="A316" s="34"/>
      <c r="B316" s="34"/>
      <c r="C316" s="35"/>
      <c r="D316" s="35"/>
      <c r="E316" s="34"/>
      <c r="F316" s="34"/>
      <c r="G316" s="34"/>
      <c r="H316" s="34"/>
      <c r="I316" s="34"/>
      <c r="J316" s="34"/>
      <c r="K316" s="34"/>
      <c r="L316" s="34"/>
      <c r="M316" s="36"/>
      <c r="N316" s="36"/>
      <c r="O316" s="36"/>
      <c r="P316" s="36"/>
      <c r="Q316" s="36"/>
      <c r="R316" s="36"/>
      <c r="S316" s="36"/>
    </row>
    <row r="317">
      <c r="A317" s="34"/>
      <c r="B317" s="34"/>
      <c r="C317" s="35"/>
      <c r="D317" s="35"/>
      <c r="E317" s="34"/>
      <c r="F317" s="34"/>
      <c r="G317" s="34"/>
      <c r="H317" s="34"/>
      <c r="I317" s="34"/>
      <c r="J317" s="34"/>
      <c r="K317" s="34"/>
      <c r="L317" s="34"/>
      <c r="M317" s="36"/>
      <c r="N317" s="36"/>
      <c r="O317" s="36"/>
      <c r="P317" s="36"/>
      <c r="Q317" s="36"/>
      <c r="R317" s="36"/>
      <c r="S317" s="36"/>
    </row>
    <row r="318">
      <c r="A318" s="34"/>
      <c r="B318" s="34"/>
      <c r="C318" s="35"/>
      <c r="D318" s="35"/>
      <c r="E318" s="34"/>
      <c r="F318" s="34"/>
      <c r="G318" s="34"/>
      <c r="H318" s="34"/>
      <c r="I318" s="34"/>
      <c r="J318" s="34"/>
      <c r="K318" s="34"/>
      <c r="L318" s="34"/>
      <c r="M318" s="36"/>
      <c r="N318" s="36"/>
      <c r="O318" s="36"/>
      <c r="P318" s="36"/>
      <c r="Q318" s="36"/>
      <c r="R318" s="36"/>
      <c r="S318" s="36"/>
    </row>
    <row r="319">
      <c r="A319" s="34"/>
      <c r="B319" s="34"/>
      <c r="C319" s="35"/>
      <c r="D319" s="35"/>
      <c r="E319" s="34"/>
      <c r="F319" s="34"/>
      <c r="G319" s="34"/>
      <c r="H319" s="34"/>
      <c r="I319" s="34"/>
      <c r="J319" s="34"/>
      <c r="K319" s="34"/>
      <c r="L319" s="34"/>
      <c r="M319" s="36"/>
      <c r="N319" s="36"/>
      <c r="O319" s="36"/>
      <c r="P319" s="36"/>
      <c r="Q319" s="36"/>
      <c r="R319" s="36"/>
      <c r="S319" s="36"/>
    </row>
    <row r="320">
      <c r="A320" s="34"/>
      <c r="B320" s="34"/>
      <c r="C320" s="35"/>
      <c r="D320" s="35"/>
      <c r="E320" s="34"/>
      <c r="F320" s="34"/>
      <c r="G320" s="34"/>
      <c r="H320" s="34"/>
      <c r="I320" s="34"/>
      <c r="J320" s="34"/>
      <c r="K320" s="34"/>
      <c r="L320" s="34"/>
      <c r="M320" s="36"/>
      <c r="N320" s="36"/>
      <c r="O320" s="36"/>
      <c r="P320" s="36"/>
      <c r="Q320" s="36"/>
      <c r="R320" s="36"/>
      <c r="S320" s="36"/>
    </row>
    <row r="321">
      <c r="A321" s="34"/>
      <c r="B321" s="34"/>
      <c r="C321" s="35"/>
      <c r="D321" s="35"/>
      <c r="E321" s="34"/>
      <c r="F321" s="34"/>
      <c r="G321" s="34"/>
      <c r="H321" s="34"/>
      <c r="I321" s="34"/>
      <c r="J321" s="34"/>
      <c r="K321" s="34"/>
      <c r="L321" s="34"/>
      <c r="M321" s="36"/>
      <c r="N321" s="36"/>
      <c r="O321" s="36"/>
      <c r="P321" s="36"/>
      <c r="Q321" s="36"/>
      <c r="R321" s="36"/>
      <c r="S321" s="36"/>
    </row>
    <row r="322">
      <c r="A322" s="34"/>
      <c r="B322" s="36"/>
      <c r="C322" s="35"/>
      <c r="D322" s="35"/>
      <c r="E322" s="34"/>
      <c r="F322" s="34"/>
      <c r="G322" s="34"/>
      <c r="H322" s="34"/>
      <c r="I322" s="34"/>
      <c r="J322" s="34"/>
      <c r="K322" s="34"/>
      <c r="L322" s="34"/>
      <c r="M322" s="36"/>
      <c r="N322" s="36"/>
      <c r="O322" s="36"/>
      <c r="P322" s="36"/>
      <c r="Q322" s="36"/>
      <c r="R322" s="36"/>
      <c r="S322" s="36"/>
    </row>
    <row r="323">
      <c r="A323" s="34"/>
      <c r="B323" s="34"/>
      <c r="C323" s="35"/>
      <c r="D323" s="35"/>
      <c r="E323" s="34"/>
      <c r="F323" s="34"/>
      <c r="G323" s="34"/>
      <c r="H323" s="34"/>
      <c r="I323" s="34"/>
      <c r="J323" s="34"/>
      <c r="K323" s="34"/>
      <c r="L323" s="34"/>
      <c r="M323" s="36"/>
      <c r="N323" s="36"/>
      <c r="O323" s="36"/>
      <c r="P323" s="36"/>
      <c r="Q323" s="36"/>
      <c r="R323" s="36"/>
      <c r="S323" s="36"/>
    </row>
    <row r="324">
      <c r="A324" s="34"/>
      <c r="B324" s="34"/>
      <c r="C324" s="35"/>
      <c r="D324" s="35"/>
      <c r="E324" s="34"/>
      <c r="F324" s="34"/>
      <c r="G324" s="34"/>
      <c r="H324" s="34"/>
      <c r="I324" s="34"/>
      <c r="J324" s="34"/>
      <c r="K324" s="34"/>
      <c r="L324" s="34"/>
      <c r="M324" s="36"/>
      <c r="N324" s="36"/>
      <c r="O324" s="36"/>
      <c r="P324" s="36"/>
      <c r="Q324" s="36"/>
      <c r="R324" s="36"/>
      <c r="S324" s="36"/>
    </row>
    <row r="325">
      <c r="A325" s="34"/>
      <c r="B325" s="34"/>
      <c r="C325" s="35"/>
      <c r="D325" s="35"/>
      <c r="E325" s="34"/>
      <c r="F325" s="34"/>
      <c r="G325" s="34"/>
      <c r="H325" s="34"/>
      <c r="I325" s="34"/>
      <c r="J325" s="34"/>
      <c r="K325" s="34"/>
      <c r="L325" s="34"/>
      <c r="M325" s="36"/>
      <c r="N325" s="36"/>
      <c r="O325" s="36"/>
      <c r="P325" s="36"/>
      <c r="Q325" s="36"/>
      <c r="R325" s="36"/>
      <c r="S325" s="36"/>
    </row>
    <row r="326">
      <c r="A326" s="34"/>
      <c r="B326" s="36"/>
      <c r="C326" s="35"/>
      <c r="D326" s="35"/>
      <c r="E326" s="34"/>
      <c r="F326" s="34"/>
      <c r="G326" s="34"/>
      <c r="H326" s="34"/>
      <c r="I326" s="34"/>
      <c r="J326" s="34"/>
      <c r="K326" s="34"/>
      <c r="L326" s="34"/>
      <c r="M326" s="36"/>
      <c r="N326" s="36"/>
      <c r="O326" s="36"/>
      <c r="P326" s="36"/>
      <c r="Q326" s="36"/>
      <c r="R326" s="36"/>
      <c r="S326" s="36"/>
    </row>
    <row r="327">
      <c r="A327" s="34"/>
      <c r="B327" s="34"/>
      <c r="C327" s="35"/>
      <c r="D327" s="35"/>
      <c r="E327" s="34"/>
      <c r="F327" s="34"/>
      <c r="G327" s="34"/>
      <c r="H327" s="34"/>
      <c r="I327" s="34"/>
      <c r="J327" s="34"/>
      <c r="K327" s="34"/>
      <c r="L327" s="34"/>
      <c r="M327" s="36"/>
      <c r="N327" s="36"/>
      <c r="O327" s="36"/>
      <c r="P327" s="36"/>
      <c r="Q327" s="36"/>
      <c r="R327" s="36"/>
      <c r="S327" s="36"/>
    </row>
    <row r="328">
      <c r="A328" s="34"/>
      <c r="B328" s="34"/>
      <c r="C328" s="35"/>
      <c r="D328" s="35"/>
      <c r="E328" s="34"/>
      <c r="F328" s="34"/>
      <c r="G328" s="34"/>
      <c r="H328" s="34"/>
      <c r="I328" s="34"/>
      <c r="J328" s="34"/>
      <c r="K328" s="34"/>
      <c r="L328" s="34"/>
      <c r="M328" s="36"/>
      <c r="N328" s="36"/>
      <c r="O328" s="36"/>
      <c r="P328" s="36"/>
      <c r="Q328" s="36"/>
      <c r="R328" s="36"/>
      <c r="S328" s="36"/>
    </row>
    <row r="329">
      <c r="A329" s="34"/>
      <c r="B329" s="34"/>
      <c r="C329" s="35"/>
      <c r="D329" s="35"/>
      <c r="E329" s="34"/>
      <c r="F329" s="34"/>
      <c r="G329" s="34"/>
      <c r="H329" s="34"/>
      <c r="I329" s="34"/>
      <c r="J329" s="34"/>
      <c r="K329" s="34"/>
      <c r="L329" s="34"/>
      <c r="M329" s="36"/>
      <c r="N329" s="36"/>
      <c r="O329" s="36"/>
      <c r="P329" s="36"/>
      <c r="Q329" s="36"/>
      <c r="R329" s="36"/>
      <c r="S329" s="36"/>
    </row>
    <row r="330">
      <c r="A330" s="34"/>
      <c r="B330" s="36"/>
      <c r="C330" s="35"/>
      <c r="D330" s="35"/>
      <c r="E330" s="34"/>
      <c r="F330" s="34"/>
      <c r="G330" s="34"/>
      <c r="H330" s="34"/>
      <c r="I330" s="34"/>
      <c r="J330" s="34"/>
      <c r="K330" s="34"/>
      <c r="L330" s="34"/>
      <c r="M330" s="36"/>
      <c r="N330" s="36"/>
      <c r="O330" s="36"/>
      <c r="P330" s="36"/>
      <c r="Q330" s="36"/>
      <c r="R330" s="36"/>
      <c r="S330" s="36"/>
    </row>
    <row r="331">
      <c r="A331" s="34"/>
      <c r="B331" s="34"/>
      <c r="C331" s="35"/>
      <c r="D331" s="35"/>
      <c r="E331" s="34"/>
      <c r="F331" s="34"/>
      <c r="G331" s="34"/>
      <c r="H331" s="34"/>
      <c r="I331" s="34"/>
      <c r="J331" s="34"/>
      <c r="K331" s="34"/>
      <c r="L331" s="34"/>
      <c r="M331" s="36"/>
      <c r="N331" s="36"/>
      <c r="O331" s="36"/>
      <c r="P331" s="36"/>
      <c r="Q331" s="36"/>
      <c r="R331" s="36"/>
      <c r="S331" s="36"/>
    </row>
    <row r="332">
      <c r="A332" s="34"/>
      <c r="B332" s="34"/>
      <c r="C332" s="35"/>
      <c r="D332" s="35"/>
      <c r="E332" s="34"/>
      <c r="F332" s="34"/>
      <c r="G332" s="34"/>
      <c r="H332" s="34"/>
      <c r="I332" s="34"/>
      <c r="J332" s="34"/>
      <c r="K332" s="34"/>
      <c r="L332" s="34"/>
      <c r="M332" s="36"/>
      <c r="N332" s="36"/>
      <c r="O332" s="36"/>
      <c r="P332" s="36"/>
      <c r="Q332" s="36"/>
      <c r="R332" s="36"/>
      <c r="S332" s="36"/>
    </row>
    <row r="333">
      <c r="A333" s="34"/>
      <c r="B333" s="34"/>
      <c r="C333" s="35"/>
      <c r="D333" s="35"/>
      <c r="E333" s="34"/>
      <c r="F333" s="34"/>
      <c r="G333" s="34"/>
      <c r="H333" s="34"/>
      <c r="I333" s="34"/>
      <c r="J333" s="34"/>
      <c r="K333" s="34"/>
      <c r="L333" s="34"/>
      <c r="M333" s="36"/>
      <c r="N333" s="36"/>
      <c r="O333" s="36"/>
      <c r="P333" s="36"/>
      <c r="Q333" s="36"/>
      <c r="R333" s="36"/>
      <c r="S333" s="36"/>
    </row>
    <row r="334">
      <c r="A334" s="34"/>
      <c r="B334" s="34"/>
      <c r="C334" s="35"/>
      <c r="D334" s="35"/>
      <c r="E334" s="34"/>
      <c r="F334" s="34"/>
      <c r="G334" s="34"/>
      <c r="H334" s="34"/>
      <c r="I334" s="34"/>
      <c r="J334" s="34"/>
      <c r="K334" s="34"/>
      <c r="L334" s="34"/>
      <c r="M334" s="36"/>
      <c r="N334" s="36"/>
      <c r="O334" s="36"/>
      <c r="P334" s="36"/>
      <c r="Q334" s="36"/>
      <c r="R334" s="36"/>
      <c r="S334" s="36"/>
    </row>
    <row r="335">
      <c r="A335" s="34"/>
      <c r="B335" s="34"/>
      <c r="C335" s="35"/>
      <c r="D335" s="35"/>
      <c r="E335" s="34"/>
      <c r="F335" s="34"/>
      <c r="G335" s="34"/>
      <c r="H335" s="34"/>
      <c r="I335" s="34"/>
      <c r="J335" s="34"/>
      <c r="K335" s="34"/>
      <c r="L335" s="34"/>
      <c r="M335" s="36"/>
      <c r="N335" s="36"/>
      <c r="O335" s="36"/>
      <c r="P335" s="36"/>
      <c r="Q335" s="36"/>
      <c r="R335" s="36"/>
      <c r="S335" s="36"/>
    </row>
    <row r="336">
      <c r="A336" s="34"/>
      <c r="B336" s="34"/>
      <c r="C336" s="35"/>
      <c r="D336" s="35"/>
      <c r="E336" s="34"/>
      <c r="F336" s="34"/>
      <c r="G336" s="34"/>
      <c r="H336" s="34"/>
      <c r="I336" s="34"/>
      <c r="J336" s="34"/>
      <c r="K336" s="34"/>
      <c r="L336" s="34"/>
      <c r="M336" s="36"/>
      <c r="N336" s="36"/>
      <c r="O336" s="36"/>
      <c r="P336" s="36"/>
      <c r="Q336" s="36"/>
      <c r="R336" s="36"/>
      <c r="S336" s="36"/>
    </row>
    <row r="337">
      <c r="A337" s="34"/>
      <c r="B337" s="34"/>
      <c r="C337" s="35"/>
      <c r="D337" s="35"/>
      <c r="E337" s="34"/>
      <c r="F337" s="34"/>
      <c r="G337" s="34"/>
      <c r="H337" s="34"/>
      <c r="I337" s="34"/>
      <c r="J337" s="34"/>
      <c r="K337" s="34"/>
      <c r="L337" s="34"/>
      <c r="M337" s="36"/>
      <c r="N337" s="36"/>
      <c r="O337" s="36"/>
      <c r="P337" s="36"/>
      <c r="Q337" s="36"/>
      <c r="R337" s="36"/>
      <c r="S337" s="36"/>
    </row>
    <row r="338">
      <c r="A338" s="34"/>
      <c r="B338" s="34"/>
      <c r="C338" s="35"/>
      <c r="D338" s="35"/>
      <c r="E338" s="34"/>
      <c r="F338" s="34"/>
      <c r="G338" s="34"/>
      <c r="H338" s="34"/>
      <c r="I338" s="34"/>
      <c r="J338" s="34"/>
      <c r="K338" s="34"/>
      <c r="L338" s="34"/>
      <c r="M338" s="36"/>
      <c r="N338" s="36"/>
      <c r="O338" s="36"/>
      <c r="P338" s="36"/>
      <c r="Q338" s="36"/>
      <c r="R338" s="36"/>
      <c r="S338" s="36"/>
    </row>
    <row r="339">
      <c r="A339" s="34"/>
      <c r="B339" s="34"/>
      <c r="C339" s="35"/>
      <c r="D339" s="35"/>
      <c r="E339" s="34"/>
      <c r="F339" s="34"/>
      <c r="G339" s="34"/>
      <c r="H339" s="34"/>
      <c r="I339" s="34"/>
      <c r="J339" s="34"/>
      <c r="K339" s="34"/>
      <c r="L339" s="34"/>
      <c r="M339" s="36"/>
      <c r="N339" s="36"/>
      <c r="O339" s="36"/>
      <c r="P339" s="36"/>
      <c r="Q339" s="36"/>
      <c r="R339" s="36"/>
      <c r="S339" s="36"/>
    </row>
    <row r="340">
      <c r="A340" s="34"/>
      <c r="B340" s="34"/>
      <c r="C340" s="35"/>
      <c r="D340" s="35"/>
      <c r="E340" s="34"/>
      <c r="F340" s="34"/>
      <c r="G340" s="34"/>
      <c r="H340" s="34"/>
      <c r="I340" s="34"/>
      <c r="J340" s="34"/>
      <c r="K340" s="34"/>
      <c r="L340" s="34"/>
      <c r="M340" s="36"/>
      <c r="N340" s="36"/>
      <c r="O340" s="36"/>
      <c r="P340" s="36"/>
      <c r="Q340" s="36"/>
      <c r="R340" s="36"/>
      <c r="S340" s="36"/>
    </row>
    <row r="341">
      <c r="A341" s="34"/>
      <c r="B341" s="34"/>
      <c r="C341" s="35"/>
      <c r="D341" s="35"/>
      <c r="E341" s="34"/>
      <c r="F341" s="34"/>
      <c r="G341" s="34"/>
      <c r="H341" s="34"/>
      <c r="I341" s="34"/>
      <c r="J341" s="34"/>
      <c r="K341" s="34"/>
      <c r="L341" s="34"/>
      <c r="M341" s="36"/>
      <c r="N341" s="36"/>
      <c r="O341" s="36"/>
      <c r="P341" s="36"/>
      <c r="Q341" s="36"/>
      <c r="R341" s="36"/>
      <c r="S341" s="36"/>
    </row>
    <row r="342">
      <c r="A342" s="34"/>
      <c r="B342" s="34"/>
      <c r="C342" s="35"/>
      <c r="D342" s="35"/>
      <c r="E342" s="34"/>
      <c r="F342" s="34"/>
      <c r="G342" s="34"/>
      <c r="H342" s="34"/>
      <c r="I342" s="34"/>
      <c r="J342" s="34"/>
      <c r="K342" s="34"/>
      <c r="L342" s="34"/>
      <c r="M342" s="36"/>
      <c r="N342" s="36"/>
      <c r="O342" s="36"/>
      <c r="P342" s="36"/>
      <c r="Q342" s="36"/>
      <c r="R342" s="36"/>
      <c r="S342" s="36"/>
    </row>
    <row r="343">
      <c r="A343" s="34"/>
      <c r="B343" s="36"/>
      <c r="C343" s="35"/>
      <c r="D343" s="35"/>
      <c r="E343" s="34"/>
      <c r="F343" s="34"/>
      <c r="G343" s="34"/>
      <c r="H343" s="34"/>
      <c r="I343" s="34"/>
      <c r="J343" s="34"/>
      <c r="K343" s="34"/>
      <c r="L343" s="34"/>
      <c r="M343" s="36"/>
      <c r="N343" s="36"/>
      <c r="O343" s="36"/>
      <c r="P343" s="36"/>
      <c r="Q343" s="36"/>
      <c r="R343" s="36"/>
      <c r="S343" s="36"/>
    </row>
    <row r="344">
      <c r="A344" s="34"/>
      <c r="B344" s="34"/>
      <c r="C344" s="35"/>
      <c r="D344" s="35"/>
      <c r="E344" s="34"/>
      <c r="F344" s="34"/>
      <c r="G344" s="34"/>
      <c r="H344" s="34"/>
      <c r="I344" s="34"/>
      <c r="J344" s="34"/>
      <c r="K344" s="34"/>
      <c r="L344" s="34"/>
      <c r="M344" s="36"/>
      <c r="N344" s="36"/>
      <c r="O344" s="36"/>
      <c r="P344" s="36"/>
      <c r="Q344" s="36"/>
      <c r="R344" s="36"/>
      <c r="S344" s="36"/>
    </row>
    <row r="345">
      <c r="A345" s="34"/>
      <c r="B345" s="34"/>
      <c r="C345" s="35"/>
      <c r="D345" s="35"/>
      <c r="E345" s="34"/>
      <c r="F345" s="34"/>
      <c r="G345" s="34"/>
      <c r="H345" s="34"/>
      <c r="I345" s="34"/>
      <c r="J345" s="34"/>
      <c r="K345" s="34"/>
      <c r="L345" s="34"/>
      <c r="M345" s="36"/>
      <c r="N345" s="36"/>
      <c r="O345" s="36"/>
      <c r="P345" s="36"/>
      <c r="Q345" s="36"/>
      <c r="R345" s="36"/>
      <c r="S345" s="36"/>
    </row>
    <row r="346">
      <c r="A346" s="34"/>
      <c r="B346" s="34"/>
      <c r="C346" s="35"/>
      <c r="D346" s="35"/>
      <c r="E346" s="34"/>
      <c r="F346" s="34"/>
      <c r="G346" s="34"/>
      <c r="H346" s="34"/>
      <c r="I346" s="34"/>
      <c r="J346" s="34"/>
      <c r="K346" s="34"/>
      <c r="L346" s="34"/>
      <c r="M346" s="36"/>
      <c r="N346" s="36"/>
      <c r="O346" s="36"/>
      <c r="P346" s="36"/>
      <c r="Q346" s="36"/>
      <c r="R346" s="36"/>
      <c r="S346" s="36"/>
    </row>
    <row r="347">
      <c r="A347" s="34"/>
      <c r="B347" s="34"/>
      <c r="C347" s="35"/>
      <c r="D347" s="35"/>
      <c r="E347" s="34"/>
      <c r="F347" s="34"/>
      <c r="G347" s="34"/>
      <c r="H347" s="34"/>
      <c r="I347" s="34"/>
      <c r="J347" s="34"/>
      <c r="K347" s="34"/>
      <c r="L347" s="34"/>
      <c r="M347" s="36"/>
      <c r="N347" s="36"/>
      <c r="O347" s="36"/>
      <c r="P347" s="36"/>
      <c r="Q347" s="36"/>
      <c r="R347" s="36"/>
      <c r="S347" s="36"/>
    </row>
    <row r="348">
      <c r="A348" s="34"/>
      <c r="B348" s="34"/>
      <c r="C348" s="35"/>
      <c r="D348" s="35"/>
      <c r="E348" s="34"/>
      <c r="F348" s="34"/>
      <c r="G348" s="34"/>
      <c r="H348" s="34"/>
      <c r="I348" s="34"/>
      <c r="J348" s="34"/>
      <c r="K348" s="34"/>
      <c r="L348" s="34"/>
      <c r="M348" s="36"/>
      <c r="N348" s="36"/>
      <c r="O348" s="36"/>
      <c r="P348" s="36"/>
      <c r="Q348" s="36"/>
      <c r="R348" s="36"/>
      <c r="S348" s="36"/>
    </row>
    <row r="349">
      <c r="A349" s="34"/>
      <c r="B349" s="36"/>
      <c r="C349" s="35"/>
      <c r="D349" s="35"/>
      <c r="E349" s="34"/>
      <c r="F349" s="34"/>
      <c r="G349" s="34"/>
      <c r="H349" s="34"/>
      <c r="I349" s="34"/>
      <c r="J349" s="34"/>
      <c r="K349" s="34"/>
      <c r="L349" s="34"/>
      <c r="M349" s="36"/>
      <c r="N349" s="36"/>
      <c r="O349" s="36"/>
      <c r="P349" s="36"/>
      <c r="Q349" s="36"/>
      <c r="R349" s="36"/>
      <c r="S349" s="36"/>
    </row>
    <row r="350">
      <c r="A350" s="34"/>
      <c r="B350" s="34"/>
      <c r="C350" s="35"/>
      <c r="D350" s="35"/>
      <c r="E350" s="34"/>
      <c r="F350" s="34"/>
      <c r="G350" s="34"/>
      <c r="H350" s="34"/>
      <c r="I350" s="34"/>
      <c r="J350" s="34"/>
      <c r="K350" s="34"/>
      <c r="L350" s="34"/>
      <c r="M350" s="36"/>
      <c r="N350" s="36"/>
      <c r="O350" s="36"/>
      <c r="P350" s="36"/>
      <c r="Q350" s="36"/>
      <c r="R350" s="36"/>
      <c r="S350" s="36"/>
    </row>
    <row r="351">
      <c r="A351" s="34"/>
      <c r="B351" s="34"/>
      <c r="C351" s="35"/>
      <c r="D351" s="35"/>
      <c r="E351" s="34"/>
      <c r="F351" s="34"/>
      <c r="G351" s="34"/>
      <c r="H351" s="34"/>
      <c r="I351" s="34"/>
      <c r="J351" s="34"/>
      <c r="K351" s="34"/>
      <c r="L351" s="34"/>
      <c r="M351" s="36"/>
      <c r="N351" s="36"/>
      <c r="O351" s="36"/>
      <c r="P351" s="36"/>
      <c r="Q351" s="36"/>
      <c r="R351" s="36"/>
      <c r="S351" s="36"/>
    </row>
    <row r="352">
      <c r="A352" s="34"/>
      <c r="B352" s="34"/>
      <c r="C352" s="35"/>
      <c r="D352" s="35"/>
      <c r="E352" s="34"/>
      <c r="F352" s="34"/>
      <c r="G352" s="34"/>
      <c r="H352" s="34"/>
      <c r="I352" s="34"/>
      <c r="J352" s="34"/>
      <c r="K352" s="34"/>
      <c r="L352" s="34"/>
      <c r="M352" s="36"/>
      <c r="N352" s="36"/>
      <c r="O352" s="36"/>
      <c r="P352" s="36"/>
      <c r="Q352" s="36"/>
      <c r="R352" s="36"/>
      <c r="S352" s="36"/>
    </row>
    <row r="353">
      <c r="A353" s="34"/>
      <c r="B353" s="36"/>
      <c r="C353" s="35"/>
      <c r="D353" s="35"/>
      <c r="E353" s="34"/>
      <c r="F353" s="34"/>
      <c r="G353" s="34"/>
      <c r="H353" s="34"/>
      <c r="I353" s="34"/>
      <c r="J353" s="34"/>
      <c r="K353" s="34"/>
      <c r="L353" s="34"/>
      <c r="M353" s="36"/>
      <c r="N353" s="36"/>
      <c r="O353" s="36"/>
      <c r="P353" s="36"/>
      <c r="Q353" s="36"/>
      <c r="R353" s="36"/>
      <c r="S353" s="36"/>
    </row>
    <row r="354">
      <c r="A354" s="34"/>
      <c r="B354" s="34"/>
      <c r="C354" s="35"/>
      <c r="D354" s="35"/>
      <c r="E354" s="34"/>
      <c r="F354" s="34"/>
      <c r="G354" s="34"/>
      <c r="H354" s="34"/>
      <c r="I354" s="34"/>
      <c r="J354" s="34"/>
      <c r="K354" s="34"/>
      <c r="L354" s="34"/>
      <c r="M354" s="36"/>
      <c r="N354" s="36"/>
      <c r="O354" s="36"/>
      <c r="P354" s="36"/>
      <c r="Q354" s="36"/>
      <c r="R354" s="36"/>
      <c r="S354" s="36"/>
    </row>
    <row r="355">
      <c r="A355" s="34"/>
      <c r="B355" s="34"/>
      <c r="C355" s="35"/>
      <c r="D355" s="35"/>
      <c r="E355" s="34"/>
      <c r="F355" s="34"/>
      <c r="G355" s="34"/>
      <c r="H355" s="34"/>
      <c r="I355" s="34"/>
      <c r="J355" s="34"/>
      <c r="K355" s="34"/>
      <c r="L355" s="34"/>
      <c r="M355" s="36"/>
      <c r="N355" s="36"/>
      <c r="O355" s="36"/>
      <c r="P355" s="36"/>
      <c r="Q355" s="36"/>
      <c r="R355" s="36"/>
      <c r="S355" s="36"/>
    </row>
    <row r="356">
      <c r="A356" s="34"/>
      <c r="B356" s="36"/>
      <c r="C356" s="35"/>
      <c r="D356" s="35"/>
      <c r="E356" s="34"/>
      <c r="F356" s="34"/>
      <c r="G356" s="34"/>
      <c r="H356" s="34"/>
      <c r="I356" s="34"/>
      <c r="J356" s="34"/>
      <c r="K356" s="34"/>
      <c r="L356" s="34"/>
      <c r="M356" s="36"/>
      <c r="N356" s="36"/>
      <c r="O356" s="36"/>
      <c r="P356" s="36"/>
      <c r="Q356" s="36"/>
      <c r="R356" s="36"/>
      <c r="S356" s="36"/>
    </row>
    <row r="357">
      <c r="A357" s="34"/>
      <c r="B357" s="36"/>
      <c r="C357" s="35"/>
      <c r="D357" s="35"/>
      <c r="E357" s="34"/>
      <c r="F357" s="34"/>
      <c r="G357" s="34"/>
      <c r="H357" s="34"/>
      <c r="I357" s="34"/>
      <c r="J357" s="34"/>
      <c r="K357" s="34"/>
      <c r="L357" s="34"/>
      <c r="M357" s="36"/>
      <c r="N357" s="36"/>
      <c r="O357" s="36"/>
      <c r="P357" s="36"/>
      <c r="Q357" s="36"/>
      <c r="R357" s="36"/>
      <c r="S357" s="36"/>
    </row>
    <row r="358">
      <c r="A358" s="34"/>
      <c r="B358" s="34"/>
      <c r="C358" s="35"/>
      <c r="D358" s="35"/>
      <c r="E358" s="34"/>
      <c r="F358" s="34"/>
      <c r="G358" s="34"/>
      <c r="H358" s="34"/>
      <c r="I358" s="34"/>
      <c r="J358" s="34"/>
      <c r="K358" s="34"/>
      <c r="L358" s="34"/>
      <c r="M358" s="36"/>
      <c r="N358" s="36"/>
      <c r="O358" s="36"/>
      <c r="P358" s="36"/>
      <c r="Q358" s="36"/>
      <c r="R358" s="36"/>
      <c r="S358" s="36"/>
    </row>
    <row r="359">
      <c r="A359" s="34"/>
      <c r="B359" s="34"/>
      <c r="C359" s="35"/>
      <c r="D359" s="35"/>
      <c r="E359" s="34"/>
      <c r="F359" s="34"/>
      <c r="G359" s="34"/>
      <c r="H359" s="34"/>
      <c r="I359" s="34"/>
      <c r="J359" s="34"/>
      <c r="K359" s="34"/>
      <c r="L359" s="34"/>
      <c r="M359" s="36"/>
      <c r="N359" s="36"/>
      <c r="O359" s="36"/>
      <c r="P359" s="36"/>
      <c r="Q359" s="36"/>
      <c r="R359" s="36"/>
      <c r="S359" s="36"/>
    </row>
    <row r="360">
      <c r="A360" s="34"/>
      <c r="B360" s="34"/>
      <c r="C360" s="35"/>
      <c r="D360" s="35"/>
      <c r="E360" s="34"/>
      <c r="F360" s="34"/>
      <c r="G360" s="34"/>
      <c r="H360" s="34"/>
      <c r="I360" s="34"/>
      <c r="J360" s="34"/>
      <c r="K360" s="34"/>
      <c r="L360" s="34"/>
      <c r="M360" s="36"/>
      <c r="N360" s="36"/>
      <c r="O360" s="36"/>
      <c r="P360" s="36"/>
      <c r="Q360" s="36"/>
      <c r="R360" s="36"/>
      <c r="S360" s="36"/>
    </row>
    <row r="361">
      <c r="A361" s="34"/>
      <c r="B361" s="34"/>
      <c r="C361" s="35"/>
      <c r="D361" s="35"/>
      <c r="E361" s="34"/>
      <c r="F361" s="34"/>
      <c r="G361" s="34"/>
      <c r="H361" s="34"/>
      <c r="I361" s="34"/>
      <c r="J361" s="34"/>
      <c r="K361" s="34"/>
      <c r="L361" s="34"/>
      <c r="M361" s="36"/>
      <c r="N361" s="36"/>
      <c r="O361" s="36"/>
      <c r="P361" s="36"/>
      <c r="Q361" s="36"/>
      <c r="R361" s="36"/>
      <c r="S361" s="36"/>
    </row>
    <row r="362">
      <c r="A362" s="34"/>
      <c r="B362" s="36"/>
      <c r="C362" s="35"/>
      <c r="D362" s="35"/>
      <c r="E362" s="34"/>
      <c r="F362" s="34"/>
      <c r="G362" s="34"/>
      <c r="H362" s="34"/>
      <c r="I362" s="34"/>
      <c r="J362" s="34"/>
      <c r="K362" s="34"/>
      <c r="L362" s="34"/>
      <c r="M362" s="36"/>
      <c r="N362" s="36"/>
      <c r="O362" s="36"/>
      <c r="P362" s="36"/>
      <c r="Q362" s="36"/>
      <c r="R362" s="36"/>
      <c r="S362" s="36"/>
    </row>
    <row r="363">
      <c r="A363" s="34"/>
      <c r="B363" s="34"/>
      <c r="C363" s="35"/>
      <c r="D363" s="35"/>
      <c r="E363" s="34"/>
      <c r="F363" s="34"/>
      <c r="G363" s="34"/>
      <c r="H363" s="34"/>
      <c r="I363" s="34"/>
      <c r="J363" s="34"/>
      <c r="K363" s="34"/>
      <c r="L363" s="34"/>
      <c r="M363" s="36"/>
      <c r="N363" s="36"/>
      <c r="O363" s="36"/>
      <c r="P363" s="36"/>
      <c r="Q363" s="36"/>
      <c r="R363" s="36"/>
      <c r="S363" s="36"/>
    </row>
    <row r="364">
      <c r="A364" s="34"/>
      <c r="B364" s="34"/>
      <c r="C364" s="35"/>
      <c r="D364" s="35"/>
      <c r="E364" s="34"/>
      <c r="F364" s="34"/>
      <c r="G364" s="34"/>
      <c r="H364" s="34"/>
      <c r="I364" s="34"/>
      <c r="J364" s="34"/>
      <c r="K364" s="34"/>
      <c r="L364" s="34"/>
      <c r="M364" s="36"/>
      <c r="N364" s="36"/>
      <c r="O364" s="36"/>
      <c r="P364" s="36"/>
      <c r="Q364" s="36"/>
      <c r="R364" s="36"/>
      <c r="S364" s="36"/>
    </row>
    <row r="365">
      <c r="A365" s="34"/>
      <c r="B365" s="34"/>
      <c r="C365" s="35"/>
      <c r="D365" s="35"/>
      <c r="E365" s="34"/>
      <c r="F365" s="34"/>
      <c r="G365" s="34"/>
      <c r="H365" s="34"/>
      <c r="I365" s="34"/>
      <c r="J365" s="34"/>
      <c r="K365" s="34"/>
      <c r="L365" s="34"/>
      <c r="M365" s="36"/>
      <c r="N365" s="36"/>
      <c r="O365" s="36"/>
      <c r="P365" s="36"/>
      <c r="Q365" s="36"/>
      <c r="R365" s="36"/>
      <c r="S365" s="36"/>
    </row>
    <row r="366">
      <c r="A366" s="34"/>
      <c r="B366" s="34"/>
      <c r="C366" s="35"/>
      <c r="D366" s="35"/>
      <c r="E366" s="34"/>
      <c r="F366" s="34"/>
      <c r="G366" s="34"/>
      <c r="H366" s="34"/>
      <c r="I366" s="34"/>
      <c r="J366" s="34"/>
      <c r="K366" s="34"/>
      <c r="L366" s="34"/>
      <c r="M366" s="36"/>
      <c r="N366" s="36"/>
      <c r="O366" s="36"/>
      <c r="P366" s="36"/>
      <c r="Q366" s="36"/>
      <c r="R366" s="36"/>
      <c r="S366" s="36"/>
    </row>
    <row r="367">
      <c r="A367" s="34"/>
      <c r="B367" s="34"/>
      <c r="C367" s="35"/>
      <c r="D367" s="35"/>
      <c r="E367" s="34"/>
      <c r="F367" s="34"/>
      <c r="G367" s="34"/>
      <c r="H367" s="34"/>
      <c r="I367" s="34"/>
      <c r="J367" s="34"/>
      <c r="K367" s="34"/>
      <c r="L367" s="34"/>
      <c r="M367" s="36"/>
      <c r="N367" s="36"/>
      <c r="O367" s="36"/>
      <c r="P367" s="36"/>
      <c r="Q367" s="36"/>
      <c r="R367" s="36"/>
      <c r="S367" s="36"/>
    </row>
    <row r="368">
      <c r="A368" s="34"/>
      <c r="B368" s="34"/>
      <c r="C368" s="35"/>
      <c r="D368" s="35"/>
      <c r="E368" s="34"/>
      <c r="F368" s="34"/>
      <c r="G368" s="34"/>
      <c r="H368" s="34"/>
      <c r="I368" s="34"/>
      <c r="J368" s="34"/>
      <c r="K368" s="34"/>
      <c r="L368" s="34"/>
      <c r="M368" s="36"/>
      <c r="N368" s="36"/>
      <c r="O368" s="36"/>
      <c r="P368" s="36"/>
      <c r="Q368" s="36"/>
      <c r="R368" s="36"/>
      <c r="S368" s="36"/>
    </row>
    <row r="369">
      <c r="A369" s="34"/>
      <c r="B369" s="34"/>
      <c r="C369" s="35"/>
      <c r="D369" s="35"/>
      <c r="E369" s="34"/>
      <c r="F369" s="34"/>
      <c r="G369" s="34"/>
      <c r="H369" s="34"/>
      <c r="I369" s="34"/>
      <c r="J369" s="34"/>
      <c r="K369" s="34"/>
      <c r="L369" s="34"/>
      <c r="M369" s="36"/>
      <c r="N369" s="36"/>
      <c r="O369" s="36"/>
      <c r="P369" s="36"/>
      <c r="Q369" s="36"/>
      <c r="R369" s="36"/>
      <c r="S369" s="36"/>
    </row>
    <row r="370">
      <c r="A370" s="34"/>
      <c r="B370" s="34"/>
      <c r="C370" s="35"/>
      <c r="D370" s="35"/>
      <c r="E370" s="34"/>
      <c r="F370" s="34"/>
      <c r="G370" s="34"/>
      <c r="H370" s="34"/>
      <c r="I370" s="34"/>
      <c r="J370" s="34"/>
      <c r="K370" s="34"/>
      <c r="L370" s="34"/>
      <c r="M370" s="36"/>
      <c r="N370" s="36"/>
      <c r="O370" s="36"/>
      <c r="P370" s="36"/>
      <c r="Q370" s="36"/>
      <c r="R370" s="36"/>
      <c r="S370" s="36"/>
    </row>
    <row r="371">
      <c r="A371" s="34"/>
      <c r="B371" s="34"/>
      <c r="C371" s="35"/>
      <c r="D371" s="35"/>
      <c r="E371" s="34"/>
      <c r="F371" s="34"/>
      <c r="G371" s="34"/>
      <c r="H371" s="34"/>
      <c r="I371" s="34"/>
      <c r="J371" s="34"/>
      <c r="K371" s="34"/>
      <c r="L371" s="34"/>
      <c r="M371" s="36"/>
      <c r="N371" s="36"/>
      <c r="O371" s="36"/>
      <c r="P371" s="36"/>
      <c r="Q371" s="36"/>
      <c r="R371" s="36"/>
      <c r="S371" s="36"/>
    </row>
    <row r="372">
      <c r="A372" s="34"/>
      <c r="B372" s="34"/>
      <c r="C372" s="35"/>
      <c r="D372" s="35"/>
      <c r="E372" s="34"/>
      <c r="F372" s="34"/>
      <c r="G372" s="34"/>
      <c r="H372" s="34"/>
      <c r="I372" s="34"/>
      <c r="J372" s="34"/>
      <c r="K372" s="34"/>
      <c r="L372" s="34"/>
      <c r="M372" s="36"/>
      <c r="N372" s="36"/>
      <c r="O372" s="36"/>
      <c r="P372" s="36"/>
      <c r="Q372" s="36"/>
      <c r="R372" s="36"/>
      <c r="S372" s="36"/>
    </row>
    <row r="373">
      <c r="A373" s="34"/>
      <c r="B373" s="34"/>
      <c r="C373" s="35"/>
      <c r="D373" s="35"/>
      <c r="E373" s="34"/>
      <c r="F373" s="34"/>
      <c r="G373" s="34"/>
      <c r="H373" s="34"/>
      <c r="I373" s="34"/>
      <c r="J373" s="34"/>
      <c r="K373" s="34"/>
      <c r="L373" s="34"/>
      <c r="M373" s="36"/>
      <c r="N373" s="36"/>
      <c r="O373" s="36"/>
      <c r="P373" s="36"/>
      <c r="Q373" s="36"/>
      <c r="R373" s="36"/>
      <c r="S373" s="36"/>
    </row>
    <row r="374">
      <c r="A374" s="34"/>
      <c r="B374" s="34"/>
      <c r="C374" s="35"/>
      <c r="D374" s="35"/>
      <c r="E374" s="34"/>
      <c r="F374" s="34"/>
      <c r="G374" s="34"/>
      <c r="H374" s="34"/>
      <c r="I374" s="34"/>
      <c r="J374" s="34"/>
      <c r="K374" s="34"/>
      <c r="L374" s="34"/>
      <c r="M374" s="36"/>
      <c r="N374" s="36"/>
      <c r="O374" s="36"/>
      <c r="P374" s="36"/>
      <c r="Q374" s="36"/>
      <c r="R374" s="36"/>
      <c r="S374" s="36"/>
    </row>
    <row r="375">
      <c r="A375" s="34"/>
      <c r="B375" s="34"/>
      <c r="C375" s="35"/>
      <c r="D375" s="35"/>
      <c r="E375" s="34"/>
      <c r="F375" s="34"/>
      <c r="G375" s="34"/>
      <c r="H375" s="34"/>
      <c r="I375" s="34"/>
      <c r="J375" s="34"/>
      <c r="K375" s="34"/>
      <c r="L375" s="34"/>
      <c r="M375" s="36"/>
      <c r="N375" s="36"/>
      <c r="O375" s="36"/>
      <c r="P375" s="36"/>
      <c r="Q375" s="36"/>
      <c r="R375" s="36"/>
      <c r="S375" s="36"/>
    </row>
    <row r="376">
      <c r="A376" s="34"/>
      <c r="B376" s="34"/>
      <c r="C376" s="35"/>
      <c r="D376" s="35"/>
      <c r="E376" s="34"/>
      <c r="F376" s="34"/>
      <c r="G376" s="34"/>
      <c r="H376" s="34"/>
      <c r="I376" s="34"/>
      <c r="J376" s="34"/>
      <c r="K376" s="34"/>
      <c r="L376" s="34"/>
      <c r="M376" s="36"/>
      <c r="N376" s="36"/>
      <c r="O376" s="36"/>
      <c r="P376" s="36"/>
      <c r="Q376" s="36"/>
      <c r="R376" s="36"/>
      <c r="S376" s="36"/>
    </row>
    <row r="377">
      <c r="A377" s="34"/>
      <c r="B377" s="34"/>
      <c r="C377" s="35"/>
      <c r="D377" s="35"/>
      <c r="E377" s="34"/>
      <c r="F377" s="34"/>
      <c r="G377" s="34"/>
      <c r="H377" s="34"/>
      <c r="I377" s="34"/>
      <c r="J377" s="34"/>
      <c r="K377" s="34"/>
      <c r="L377" s="34"/>
      <c r="M377" s="36"/>
      <c r="N377" s="36"/>
      <c r="O377" s="36"/>
      <c r="P377" s="36"/>
      <c r="Q377" s="36"/>
      <c r="R377" s="36"/>
      <c r="S377" s="36"/>
    </row>
    <row r="378">
      <c r="A378" s="34"/>
      <c r="B378" s="36"/>
      <c r="C378" s="35"/>
      <c r="D378" s="35"/>
      <c r="E378" s="34"/>
      <c r="F378" s="34"/>
      <c r="G378" s="34"/>
      <c r="H378" s="34"/>
      <c r="I378" s="34"/>
      <c r="J378" s="34"/>
      <c r="K378" s="34"/>
      <c r="L378" s="34"/>
      <c r="M378" s="36"/>
      <c r="N378" s="36"/>
      <c r="O378" s="36"/>
      <c r="P378" s="36"/>
      <c r="Q378" s="36"/>
      <c r="R378" s="36"/>
      <c r="S378" s="36"/>
    </row>
    <row r="379">
      <c r="A379" s="34"/>
      <c r="B379" s="34"/>
      <c r="C379" s="35"/>
      <c r="D379" s="35"/>
      <c r="E379" s="34"/>
      <c r="F379" s="34"/>
      <c r="G379" s="34"/>
      <c r="H379" s="34"/>
      <c r="I379" s="34"/>
      <c r="J379" s="34"/>
      <c r="K379" s="34"/>
      <c r="L379" s="34"/>
      <c r="M379" s="36"/>
      <c r="N379" s="36"/>
      <c r="O379" s="36"/>
      <c r="P379" s="36"/>
      <c r="Q379" s="36"/>
      <c r="R379" s="36"/>
      <c r="S379" s="36"/>
    </row>
    <row r="380">
      <c r="A380" s="34"/>
      <c r="B380" s="36"/>
      <c r="C380" s="35"/>
      <c r="D380" s="35"/>
      <c r="E380" s="34"/>
      <c r="F380" s="34"/>
      <c r="G380" s="34"/>
      <c r="H380" s="34"/>
      <c r="I380" s="34"/>
      <c r="J380" s="34"/>
      <c r="K380" s="34"/>
      <c r="L380" s="34"/>
      <c r="M380" s="36"/>
      <c r="N380" s="36"/>
      <c r="O380" s="36"/>
      <c r="P380" s="36"/>
      <c r="Q380" s="36"/>
      <c r="R380" s="36"/>
      <c r="S380" s="36"/>
    </row>
    <row r="381">
      <c r="A381" s="34"/>
      <c r="B381" s="36"/>
      <c r="C381" s="35"/>
      <c r="D381" s="35"/>
      <c r="E381" s="34"/>
      <c r="F381" s="34"/>
      <c r="G381" s="34"/>
      <c r="H381" s="34"/>
      <c r="I381" s="34"/>
      <c r="J381" s="34"/>
      <c r="K381" s="34"/>
      <c r="L381" s="34"/>
      <c r="M381" s="36"/>
      <c r="N381" s="36"/>
      <c r="O381" s="36"/>
      <c r="P381" s="36"/>
      <c r="Q381" s="36"/>
      <c r="R381" s="36"/>
      <c r="S381" s="36"/>
    </row>
    <row r="382">
      <c r="A382" s="34"/>
      <c r="B382" s="34"/>
      <c r="C382" s="35"/>
      <c r="D382" s="35"/>
      <c r="E382" s="34"/>
      <c r="F382" s="34"/>
      <c r="G382" s="34"/>
      <c r="H382" s="34"/>
      <c r="I382" s="34"/>
      <c r="J382" s="34"/>
      <c r="K382" s="34"/>
      <c r="L382" s="34"/>
      <c r="M382" s="36"/>
      <c r="N382" s="36"/>
      <c r="O382" s="36"/>
      <c r="P382" s="36"/>
      <c r="Q382" s="36"/>
      <c r="R382" s="36"/>
      <c r="S382" s="36"/>
    </row>
    <row r="383">
      <c r="A383" s="34"/>
      <c r="B383" s="34"/>
      <c r="C383" s="35"/>
      <c r="D383" s="35"/>
      <c r="E383" s="34"/>
      <c r="F383" s="34"/>
      <c r="G383" s="34"/>
      <c r="H383" s="34"/>
      <c r="I383" s="34"/>
      <c r="J383" s="34"/>
      <c r="K383" s="34"/>
      <c r="L383" s="34"/>
      <c r="M383" s="36"/>
      <c r="N383" s="36"/>
      <c r="O383" s="36"/>
      <c r="P383" s="36"/>
      <c r="Q383" s="36"/>
      <c r="R383" s="36"/>
      <c r="S383" s="36"/>
    </row>
    <row r="384">
      <c r="A384" s="34"/>
      <c r="B384" s="34"/>
      <c r="C384" s="35"/>
      <c r="D384" s="35"/>
      <c r="E384" s="34"/>
      <c r="F384" s="34"/>
      <c r="G384" s="34"/>
      <c r="H384" s="34"/>
      <c r="I384" s="34"/>
      <c r="J384" s="34"/>
      <c r="K384" s="34"/>
      <c r="L384" s="34"/>
      <c r="M384" s="36"/>
      <c r="N384" s="36"/>
      <c r="O384" s="36"/>
      <c r="P384" s="36"/>
      <c r="Q384" s="36"/>
      <c r="R384" s="36"/>
      <c r="S384" s="36"/>
    </row>
    <row r="385">
      <c r="A385" s="34"/>
      <c r="B385" s="34"/>
      <c r="C385" s="35"/>
      <c r="D385" s="35"/>
      <c r="E385" s="34"/>
      <c r="F385" s="34"/>
      <c r="G385" s="34"/>
      <c r="H385" s="34"/>
      <c r="I385" s="34"/>
      <c r="J385" s="34"/>
      <c r="K385" s="34"/>
      <c r="L385" s="34"/>
      <c r="M385" s="36"/>
      <c r="N385" s="36"/>
      <c r="O385" s="36"/>
      <c r="P385" s="36"/>
      <c r="Q385" s="36"/>
      <c r="R385" s="36"/>
      <c r="S385" s="36"/>
    </row>
    <row r="386">
      <c r="A386" s="34"/>
      <c r="B386" s="34"/>
      <c r="C386" s="35"/>
      <c r="D386" s="35"/>
      <c r="E386" s="34"/>
      <c r="F386" s="34"/>
      <c r="G386" s="34"/>
      <c r="H386" s="34"/>
      <c r="I386" s="34"/>
      <c r="J386" s="34"/>
      <c r="K386" s="34"/>
      <c r="L386" s="34"/>
      <c r="M386" s="36"/>
      <c r="N386" s="36"/>
      <c r="O386" s="36"/>
      <c r="P386" s="36"/>
      <c r="Q386" s="36"/>
      <c r="R386" s="36"/>
      <c r="S386" s="36"/>
    </row>
    <row r="387">
      <c r="A387" s="34"/>
      <c r="B387" s="34"/>
      <c r="C387" s="35"/>
      <c r="D387" s="35"/>
      <c r="E387" s="34"/>
      <c r="F387" s="34"/>
      <c r="G387" s="34"/>
      <c r="H387" s="34"/>
      <c r="I387" s="34"/>
      <c r="J387" s="34"/>
      <c r="K387" s="34"/>
      <c r="L387" s="34"/>
      <c r="M387" s="36"/>
      <c r="N387" s="36"/>
      <c r="O387" s="36"/>
      <c r="P387" s="36"/>
      <c r="Q387" s="36"/>
      <c r="R387" s="36"/>
      <c r="S387" s="36"/>
    </row>
    <row r="388">
      <c r="A388" s="34"/>
      <c r="B388" s="34"/>
      <c r="C388" s="35"/>
      <c r="D388" s="35"/>
      <c r="E388" s="34"/>
      <c r="F388" s="34"/>
      <c r="G388" s="34"/>
      <c r="H388" s="34"/>
      <c r="I388" s="34"/>
      <c r="J388" s="34"/>
      <c r="K388" s="34"/>
      <c r="L388" s="34"/>
      <c r="M388" s="36"/>
      <c r="N388" s="36"/>
      <c r="O388" s="36"/>
      <c r="P388" s="36"/>
      <c r="Q388" s="36"/>
      <c r="R388" s="36"/>
      <c r="S388" s="36"/>
    </row>
    <row r="389">
      <c r="A389" s="34"/>
      <c r="B389" s="34"/>
      <c r="C389" s="35"/>
      <c r="D389" s="35"/>
      <c r="E389" s="34"/>
      <c r="F389" s="34"/>
      <c r="G389" s="34"/>
      <c r="H389" s="34"/>
      <c r="I389" s="34"/>
      <c r="J389" s="34"/>
      <c r="K389" s="34"/>
      <c r="L389" s="34"/>
      <c r="M389" s="36"/>
      <c r="N389" s="36"/>
      <c r="O389" s="36"/>
      <c r="P389" s="36"/>
      <c r="Q389" s="36"/>
      <c r="R389" s="36"/>
      <c r="S389" s="36"/>
    </row>
    <row r="390">
      <c r="A390" s="34"/>
      <c r="B390" s="34"/>
      <c r="C390" s="35"/>
      <c r="D390" s="35"/>
      <c r="E390" s="34"/>
      <c r="F390" s="34"/>
      <c r="G390" s="34"/>
      <c r="H390" s="34"/>
      <c r="I390" s="34"/>
      <c r="J390" s="34"/>
      <c r="K390" s="34"/>
      <c r="L390" s="34"/>
      <c r="M390" s="36"/>
      <c r="N390" s="36"/>
      <c r="O390" s="36"/>
      <c r="P390" s="36"/>
      <c r="Q390" s="36"/>
      <c r="R390" s="36"/>
      <c r="S390" s="36"/>
    </row>
    <row r="391">
      <c r="A391" s="34"/>
      <c r="B391" s="34"/>
      <c r="C391" s="35"/>
      <c r="D391" s="35"/>
      <c r="E391" s="34"/>
      <c r="F391" s="34"/>
      <c r="G391" s="34"/>
      <c r="H391" s="34"/>
      <c r="I391" s="34"/>
      <c r="J391" s="34"/>
      <c r="K391" s="34"/>
      <c r="L391" s="34"/>
      <c r="M391" s="36"/>
      <c r="N391" s="36"/>
      <c r="O391" s="36"/>
      <c r="P391" s="36"/>
      <c r="Q391" s="36"/>
      <c r="R391" s="36"/>
      <c r="S391" s="36"/>
    </row>
    <row r="392">
      <c r="A392" s="34"/>
      <c r="B392" s="34"/>
      <c r="C392" s="35"/>
      <c r="D392" s="35"/>
      <c r="E392" s="34"/>
      <c r="F392" s="34"/>
      <c r="G392" s="34"/>
      <c r="H392" s="34"/>
      <c r="I392" s="34"/>
      <c r="J392" s="34"/>
      <c r="K392" s="34"/>
      <c r="L392" s="34"/>
      <c r="M392" s="36"/>
      <c r="N392" s="36"/>
      <c r="O392" s="36"/>
      <c r="P392" s="36"/>
      <c r="Q392" s="36"/>
      <c r="R392" s="36"/>
      <c r="S392" s="36"/>
    </row>
    <row r="393">
      <c r="A393" s="34"/>
      <c r="B393" s="34"/>
      <c r="C393" s="35"/>
      <c r="D393" s="35"/>
      <c r="E393" s="34"/>
      <c r="F393" s="34"/>
      <c r="G393" s="34"/>
      <c r="H393" s="34"/>
      <c r="I393" s="34"/>
      <c r="J393" s="34"/>
      <c r="K393" s="34"/>
      <c r="L393" s="34"/>
      <c r="M393" s="36"/>
      <c r="N393" s="36"/>
      <c r="O393" s="36"/>
      <c r="P393" s="36"/>
      <c r="Q393" s="36"/>
      <c r="R393" s="36"/>
      <c r="S393" s="36"/>
    </row>
    <row r="394">
      <c r="A394" s="34"/>
      <c r="B394" s="34"/>
      <c r="C394" s="35"/>
      <c r="D394" s="35"/>
      <c r="E394" s="34"/>
      <c r="F394" s="34"/>
      <c r="G394" s="34"/>
      <c r="H394" s="34"/>
      <c r="I394" s="34"/>
      <c r="J394" s="34"/>
      <c r="K394" s="34"/>
      <c r="L394" s="34"/>
      <c r="M394" s="36"/>
      <c r="N394" s="36"/>
      <c r="O394" s="36"/>
      <c r="P394" s="36"/>
      <c r="Q394" s="36"/>
      <c r="R394" s="36"/>
      <c r="S394" s="36"/>
    </row>
    <row r="395">
      <c r="A395" s="34"/>
      <c r="B395" s="34"/>
      <c r="C395" s="35"/>
      <c r="D395" s="35"/>
      <c r="E395" s="34"/>
      <c r="F395" s="34"/>
      <c r="G395" s="34"/>
      <c r="H395" s="34"/>
      <c r="I395" s="34"/>
      <c r="J395" s="34"/>
      <c r="K395" s="34"/>
      <c r="L395" s="34"/>
      <c r="M395" s="36"/>
      <c r="N395" s="36"/>
      <c r="O395" s="36"/>
      <c r="P395" s="36"/>
      <c r="Q395" s="36"/>
      <c r="R395" s="36"/>
      <c r="S395" s="36"/>
    </row>
    <row r="396">
      <c r="A396" s="34"/>
      <c r="B396" s="34"/>
      <c r="C396" s="35"/>
      <c r="D396" s="35"/>
      <c r="E396" s="34"/>
      <c r="F396" s="34"/>
      <c r="G396" s="34"/>
      <c r="H396" s="34"/>
      <c r="I396" s="34"/>
      <c r="J396" s="34"/>
      <c r="K396" s="34"/>
      <c r="L396" s="34"/>
      <c r="M396" s="36"/>
      <c r="N396" s="36"/>
      <c r="O396" s="36"/>
      <c r="P396" s="36"/>
      <c r="Q396" s="36"/>
      <c r="R396" s="36"/>
      <c r="S396" s="36"/>
    </row>
    <row r="397">
      <c r="A397" s="34"/>
      <c r="B397" s="36"/>
      <c r="C397" s="35"/>
      <c r="D397" s="35"/>
      <c r="E397" s="34"/>
      <c r="F397" s="34"/>
      <c r="G397" s="34"/>
      <c r="H397" s="34"/>
      <c r="I397" s="34"/>
      <c r="J397" s="34"/>
      <c r="K397" s="34"/>
      <c r="L397" s="34"/>
      <c r="M397" s="36"/>
      <c r="N397" s="36"/>
      <c r="O397" s="36"/>
      <c r="P397" s="36"/>
      <c r="Q397" s="36"/>
      <c r="R397" s="36"/>
      <c r="S397" s="36"/>
    </row>
    <row r="398">
      <c r="A398" s="34"/>
      <c r="B398" s="36"/>
      <c r="C398" s="35"/>
      <c r="D398" s="35"/>
      <c r="E398" s="34"/>
      <c r="F398" s="34"/>
      <c r="G398" s="34"/>
      <c r="H398" s="34"/>
      <c r="I398" s="34"/>
      <c r="J398" s="34"/>
      <c r="K398" s="34"/>
      <c r="L398" s="34"/>
      <c r="M398" s="36"/>
      <c r="N398" s="36"/>
      <c r="O398" s="36"/>
      <c r="P398" s="36"/>
      <c r="Q398" s="36"/>
      <c r="R398" s="36"/>
      <c r="S398" s="36"/>
    </row>
    <row r="399">
      <c r="A399" s="34"/>
      <c r="B399" s="34"/>
      <c r="C399" s="35"/>
      <c r="D399" s="35"/>
      <c r="E399" s="34"/>
      <c r="F399" s="34"/>
      <c r="G399" s="34"/>
      <c r="H399" s="34"/>
      <c r="I399" s="34"/>
      <c r="J399" s="34"/>
      <c r="K399" s="34"/>
      <c r="L399" s="34"/>
      <c r="M399" s="36"/>
      <c r="N399" s="36"/>
      <c r="O399" s="36"/>
      <c r="P399" s="36"/>
      <c r="Q399" s="36"/>
      <c r="R399" s="36"/>
      <c r="S399" s="36"/>
    </row>
    <row r="400">
      <c r="A400" s="34"/>
      <c r="B400" s="36"/>
      <c r="C400" s="35"/>
      <c r="D400" s="35"/>
      <c r="E400" s="34"/>
      <c r="F400" s="34"/>
      <c r="G400" s="34"/>
      <c r="H400" s="34"/>
      <c r="I400" s="34"/>
      <c r="J400" s="34"/>
      <c r="K400" s="34"/>
      <c r="L400" s="34"/>
      <c r="M400" s="36"/>
      <c r="N400" s="36"/>
      <c r="O400" s="36"/>
      <c r="P400" s="36"/>
      <c r="Q400" s="36"/>
      <c r="R400" s="36"/>
      <c r="S400" s="36"/>
    </row>
    <row r="401">
      <c r="A401" s="34"/>
      <c r="B401" s="34"/>
      <c r="C401" s="35"/>
      <c r="D401" s="35"/>
      <c r="E401" s="34"/>
      <c r="F401" s="34"/>
      <c r="G401" s="34"/>
      <c r="H401" s="34"/>
      <c r="I401" s="34"/>
      <c r="J401" s="34"/>
      <c r="K401" s="34"/>
      <c r="L401" s="34"/>
      <c r="M401" s="36"/>
      <c r="N401" s="36"/>
      <c r="O401" s="36"/>
      <c r="P401" s="36"/>
      <c r="Q401" s="36"/>
      <c r="R401" s="36"/>
      <c r="S401" s="36"/>
    </row>
    <row r="402">
      <c r="A402" s="34"/>
      <c r="B402" s="34"/>
      <c r="C402" s="35"/>
      <c r="D402" s="35"/>
      <c r="E402" s="34"/>
      <c r="F402" s="34"/>
      <c r="G402" s="34"/>
      <c r="H402" s="34"/>
      <c r="I402" s="34"/>
      <c r="J402" s="34"/>
      <c r="K402" s="34"/>
      <c r="L402" s="34"/>
      <c r="M402" s="36"/>
      <c r="N402" s="36"/>
      <c r="O402" s="36"/>
      <c r="P402" s="36"/>
      <c r="Q402" s="36"/>
      <c r="R402" s="36"/>
      <c r="S402" s="36"/>
    </row>
    <row r="403">
      <c r="A403" s="34"/>
      <c r="B403" s="36"/>
      <c r="C403" s="35"/>
      <c r="D403" s="35"/>
      <c r="E403" s="34"/>
      <c r="F403" s="34"/>
      <c r="G403" s="34"/>
      <c r="H403" s="34"/>
      <c r="I403" s="34"/>
      <c r="J403" s="34"/>
      <c r="K403" s="34"/>
      <c r="L403" s="34"/>
      <c r="M403" s="36"/>
      <c r="N403" s="36"/>
      <c r="O403" s="36"/>
      <c r="P403" s="36"/>
      <c r="Q403" s="36"/>
      <c r="R403" s="36"/>
      <c r="S403" s="36"/>
    </row>
    <row r="404">
      <c r="A404" s="34"/>
      <c r="B404" s="34"/>
      <c r="C404" s="35"/>
      <c r="D404" s="35"/>
      <c r="E404" s="34"/>
      <c r="F404" s="34"/>
      <c r="G404" s="34"/>
      <c r="H404" s="34"/>
      <c r="I404" s="34"/>
      <c r="J404" s="34"/>
      <c r="K404" s="34"/>
      <c r="L404" s="34"/>
      <c r="M404" s="36"/>
      <c r="N404" s="36"/>
      <c r="O404" s="36"/>
      <c r="P404" s="36"/>
      <c r="Q404" s="36"/>
      <c r="R404" s="36"/>
      <c r="S404" s="36"/>
    </row>
    <row r="405">
      <c r="A405" s="34"/>
      <c r="B405" s="36"/>
      <c r="C405" s="35"/>
      <c r="D405" s="35"/>
      <c r="E405" s="34"/>
      <c r="F405" s="34"/>
      <c r="G405" s="34"/>
      <c r="H405" s="34"/>
      <c r="I405" s="34"/>
      <c r="J405" s="34"/>
      <c r="K405" s="34"/>
      <c r="L405" s="34"/>
      <c r="M405" s="36"/>
      <c r="N405" s="36"/>
      <c r="O405" s="36"/>
      <c r="P405" s="36"/>
      <c r="Q405" s="36"/>
      <c r="R405" s="36"/>
      <c r="S405" s="36"/>
    </row>
    <row r="406">
      <c r="A406" s="34"/>
      <c r="B406" s="34"/>
      <c r="C406" s="35"/>
      <c r="D406" s="35"/>
      <c r="E406" s="34"/>
      <c r="F406" s="34"/>
      <c r="G406" s="34"/>
      <c r="H406" s="34"/>
      <c r="I406" s="34"/>
      <c r="J406" s="34"/>
      <c r="K406" s="34"/>
      <c r="L406" s="34"/>
      <c r="M406" s="36"/>
      <c r="N406" s="36"/>
      <c r="O406" s="36"/>
      <c r="P406" s="36"/>
      <c r="Q406" s="36"/>
      <c r="R406" s="36"/>
      <c r="S406" s="36"/>
    </row>
    <row r="407">
      <c r="A407" s="34"/>
      <c r="B407" s="34"/>
      <c r="C407" s="35"/>
      <c r="D407" s="35"/>
      <c r="E407" s="34"/>
      <c r="F407" s="34"/>
      <c r="G407" s="34"/>
      <c r="H407" s="34"/>
      <c r="I407" s="34"/>
      <c r="J407" s="34"/>
      <c r="K407" s="34"/>
      <c r="L407" s="34"/>
      <c r="M407" s="36"/>
      <c r="N407" s="36"/>
      <c r="O407" s="36"/>
      <c r="P407" s="36"/>
      <c r="Q407" s="36"/>
      <c r="R407" s="36"/>
      <c r="S407" s="36"/>
    </row>
    <row r="408">
      <c r="A408" s="34"/>
      <c r="B408" s="34"/>
      <c r="C408" s="35"/>
      <c r="D408" s="35"/>
      <c r="E408" s="34"/>
      <c r="F408" s="34"/>
      <c r="G408" s="34"/>
      <c r="H408" s="34"/>
      <c r="I408" s="34"/>
      <c r="J408" s="34"/>
      <c r="K408" s="34"/>
      <c r="L408" s="34"/>
      <c r="M408" s="36"/>
      <c r="N408" s="36"/>
      <c r="O408" s="36"/>
      <c r="P408" s="36"/>
      <c r="Q408" s="36"/>
      <c r="R408" s="36"/>
      <c r="S408" s="36"/>
    </row>
    <row r="409">
      <c r="A409" s="34"/>
      <c r="B409" s="34"/>
      <c r="C409" s="35"/>
      <c r="D409" s="35"/>
      <c r="E409" s="34"/>
      <c r="F409" s="34"/>
      <c r="G409" s="34"/>
      <c r="H409" s="34"/>
      <c r="I409" s="34"/>
      <c r="J409" s="34"/>
      <c r="K409" s="34"/>
      <c r="L409" s="34"/>
      <c r="M409" s="36"/>
      <c r="N409" s="36"/>
      <c r="O409" s="36"/>
      <c r="P409" s="36"/>
      <c r="Q409" s="36"/>
      <c r="R409" s="36"/>
      <c r="S409" s="36"/>
    </row>
    <row r="410">
      <c r="A410" s="34"/>
      <c r="B410" s="36"/>
      <c r="C410" s="35"/>
      <c r="D410" s="35"/>
      <c r="E410" s="34"/>
      <c r="F410" s="34"/>
      <c r="G410" s="34"/>
      <c r="H410" s="34"/>
      <c r="I410" s="34"/>
      <c r="J410" s="34"/>
      <c r="K410" s="34"/>
      <c r="L410" s="34"/>
      <c r="M410" s="36"/>
      <c r="N410" s="36"/>
      <c r="O410" s="36"/>
      <c r="P410" s="36"/>
      <c r="Q410" s="36"/>
      <c r="R410" s="36"/>
      <c r="S410" s="36"/>
    </row>
    <row r="411">
      <c r="A411" s="34"/>
      <c r="B411" s="34"/>
      <c r="C411" s="35"/>
      <c r="D411" s="35"/>
      <c r="E411" s="34"/>
      <c r="F411" s="34"/>
      <c r="G411" s="34"/>
      <c r="H411" s="34"/>
      <c r="I411" s="34"/>
      <c r="J411" s="34"/>
      <c r="K411" s="34"/>
      <c r="L411" s="34"/>
      <c r="M411" s="36"/>
      <c r="N411" s="36"/>
      <c r="O411" s="36"/>
      <c r="P411" s="36"/>
      <c r="Q411" s="36"/>
      <c r="R411" s="36"/>
      <c r="S411" s="36"/>
    </row>
    <row r="412">
      <c r="A412" s="34"/>
      <c r="B412" s="34"/>
      <c r="C412" s="35"/>
      <c r="D412" s="35"/>
      <c r="E412" s="34"/>
      <c r="F412" s="34"/>
      <c r="G412" s="34"/>
      <c r="H412" s="34"/>
      <c r="I412" s="34"/>
      <c r="J412" s="34"/>
      <c r="K412" s="34"/>
      <c r="L412" s="34"/>
      <c r="M412" s="36"/>
      <c r="N412" s="36"/>
      <c r="O412" s="36"/>
      <c r="P412" s="36"/>
      <c r="Q412" s="36"/>
      <c r="R412" s="36"/>
      <c r="S412" s="36"/>
    </row>
    <row r="413">
      <c r="A413" s="34"/>
      <c r="B413" s="34"/>
      <c r="C413" s="35"/>
      <c r="D413" s="35"/>
      <c r="E413" s="34"/>
      <c r="F413" s="34"/>
      <c r="G413" s="34"/>
      <c r="H413" s="34"/>
      <c r="I413" s="34"/>
      <c r="J413" s="34"/>
      <c r="K413" s="34"/>
      <c r="L413" s="34"/>
      <c r="M413" s="36"/>
      <c r="N413" s="36"/>
      <c r="O413" s="36"/>
      <c r="P413" s="36"/>
      <c r="Q413" s="36"/>
      <c r="R413" s="36"/>
      <c r="S413" s="36"/>
    </row>
    <row r="414">
      <c r="A414" s="34"/>
      <c r="B414" s="34"/>
      <c r="C414" s="35"/>
      <c r="D414" s="35"/>
      <c r="E414" s="34"/>
      <c r="F414" s="34"/>
      <c r="G414" s="34"/>
      <c r="H414" s="34"/>
      <c r="I414" s="34"/>
      <c r="J414" s="34"/>
      <c r="K414" s="34"/>
      <c r="L414" s="34"/>
      <c r="M414" s="36"/>
      <c r="N414" s="36"/>
      <c r="O414" s="36"/>
      <c r="P414" s="36"/>
      <c r="Q414" s="36"/>
      <c r="R414" s="36"/>
      <c r="S414" s="36"/>
    </row>
    <row r="415">
      <c r="A415" s="34"/>
      <c r="B415" s="34"/>
      <c r="C415" s="35"/>
      <c r="D415" s="35"/>
      <c r="E415" s="34"/>
      <c r="F415" s="34"/>
      <c r="G415" s="34"/>
      <c r="H415" s="34"/>
      <c r="I415" s="34"/>
      <c r="J415" s="34"/>
      <c r="K415" s="34"/>
      <c r="L415" s="34"/>
      <c r="M415" s="36"/>
      <c r="N415" s="36"/>
      <c r="O415" s="36"/>
      <c r="P415" s="36"/>
      <c r="Q415" s="36"/>
      <c r="R415" s="36"/>
      <c r="S415" s="36"/>
    </row>
    <row r="416">
      <c r="A416" s="34"/>
      <c r="B416" s="34"/>
      <c r="C416" s="35"/>
      <c r="D416" s="35"/>
      <c r="E416" s="34"/>
      <c r="F416" s="34"/>
      <c r="G416" s="34"/>
      <c r="H416" s="34"/>
      <c r="I416" s="34"/>
      <c r="J416" s="34"/>
      <c r="K416" s="34"/>
      <c r="L416" s="34"/>
      <c r="M416" s="36"/>
      <c r="N416" s="36"/>
      <c r="O416" s="36"/>
      <c r="P416" s="36"/>
      <c r="Q416" s="36"/>
      <c r="R416" s="36"/>
      <c r="S416" s="36"/>
    </row>
    <row r="417">
      <c r="A417" s="34"/>
      <c r="B417" s="34"/>
      <c r="C417" s="35"/>
      <c r="D417" s="35"/>
      <c r="E417" s="34"/>
      <c r="F417" s="34"/>
      <c r="G417" s="34"/>
      <c r="H417" s="34"/>
      <c r="I417" s="34"/>
      <c r="J417" s="34"/>
      <c r="K417" s="34"/>
      <c r="L417" s="34"/>
      <c r="M417" s="36"/>
      <c r="N417" s="36"/>
      <c r="O417" s="36"/>
      <c r="P417" s="36"/>
      <c r="Q417" s="36"/>
      <c r="R417" s="36"/>
      <c r="S417" s="36"/>
    </row>
    <row r="418">
      <c r="A418" s="34"/>
      <c r="B418" s="34"/>
      <c r="C418" s="35"/>
      <c r="D418" s="35"/>
      <c r="E418" s="34"/>
      <c r="F418" s="34"/>
      <c r="G418" s="34"/>
      <c r="H418" s="34"/>
      <c r="I418" s="34"/>
      <c r="J418" s="34"/>
      <c r="K418" s="34"/>
      <c r="L418" s="34"/>
      <c r="M418" s="36"/>
      <c r="N418" s="36"/>
      <c r="O418" s="36"/>
      <c r="P418" s="36"/>
      <c r="Q418" s="36"/>
      <c r="R418" s="36"/>
      <c r="S418" s="36"/>
    </row>
    <row r="419">
      <c r="A419" s="34"/>
      <c r="B419" s="34"/>
      <c r="C419" s="35"/>
      <c r="D419" s="35"/>
      <c r="E419" s="34"/>
      <c r="F419" s="34"/>
      <c r="G419" s="34"/>
      <c r="H419" s="34"/>
      <c r="I419" s="34"/>
      <c r="J419" s="34"/>
      <c r="K419" s="34"/>
      <c r="L419" s="34"/>
      <c r="M419" s="36"/>
      <c r="N419" s="36"/>
      <c r="O419" s="36"/>
      <c r="P419" s="36"/>
      <c r="Q419" s="36"/>
      <c r="R419" s="36"/>
      <c r="S419" s="36"/>
    </row>
    <row r="420">
      <c r="A420" s="34"/>
      <c r="B420" s="34"/>
      <c r="C420" s="35"/>
      <c r="D420" s="35"/>
      <c r="E420" s="34"/>
      <c r="F420" s="34"/>
      <c r="G420" s="34"/>
      <c r="H420" s="34"/>
      <c r="I420" s="34"/>
      <c r="J420" s="34"/>
      <c r="K420" s="34"/>
      <c r="L420" s="34"/>
      <c r="M420" s="36"/>
      <c r="N420" s="36"/>
      <c r="O420" s="36"/>
      <c r="P420" s="36"/>
      <c r="Q420" s="36"/>
      <c r="R420" s="36"/>
      <c r="S420" s="36"/>
    </row>
    <row r="421">
      <c r="A421" s="34"/>
      <c r="B421" s="34"/>
      <c r="C421" s="35"/>
      <c r="D421" s="35"/>
      <c r="E421" s="34"/>
      <c r="F421" s="34"/>
      <c r="G421" s="34"/>
      <c r="H421" s="34"/>
      <c r="I421" s="34"/>
      <c r="J421" s="34"/>
      <c r="K421" s="34"/>
      <c r="L421" s="34"/>
      <c r="M421" s="36"/>
      <c r="N421" s="36"/>
      <c r="O421" s="36"/>
      <c r="P421" s="36"/>
      <c r="Q421" s="36"/>
      <c r="R421" s="36"/>
      <c r="S421" s="36"/>
    </row>
    <row r="422">
      <c r="A422" s="34"/>
      <c r="B422" s="34"/>
      <c r="C422" s="35"/>
      <c r="D422" s="35"/>
      <c r="E422" s="34"/>
      <c r="F422" s="34"/>
      <c r="G422" s="34"/>
      <c r="H422" s="34"/>
      <c r="I422" s="34"/>
      <c r="J422" s="34"/>
      <c r="K422" s="34"/>
      <c r="L422" s="34"/>
      <c r="M422" s="36"/>
      <c r="N422" s="36"/>
      <c r="O422" s="36"/>
      <c r="P422" s="36"/>
      <c r="Q422" s="36"/>
      <c r="R422" s="36"/>
      <c r="S422" s="36"/>
    </row>
    <row r="423">
      <c r="A423" s="34"/>
      <c r="B423" s="34"/>
      <c r="C423" s="35"/>
      <c r="D423" s="35"/>
      <c r="E423" s="34"/>
      <c r="F423" s="34"/>
      <c r="G423" s="34"/>
      <c r="H423" s="34"/>
      <c r="I423" s="34"/>
      <c r="J423" s="34"/>
      <c r="K423" s="34"/>
      <c r="L423" s="34"/>
      <c r="M423" s="36"/>
      <c r="N423" s="36"/>
      <c r="O423" s="36"/>
      <c r="P423" s="36"/>
      <c r="Q423" s="36"/>
      <c r="R423" s="36"/>
      <c r="S423" s="36"/>
    </row>
    <row r="424">
      <c r="A424" s="34"/>
      <c r="B424" s="34"/>
      <c r="C424" s="35"/>
      <c r="D424" s="35"/>
      <c r="E424" s="34"/>
      <c r="F424" s="34"/>
      <c r="G424" s="34"/>
      <c r="H424" s="34"/>
      <c r="I424" s="34"/>
      <c r="J424" s="34"/>
      <c r="K424" s="34"/>
      <c r="L424" s="34"/>
      <c r="M424" s="36"/>
      <c r="N424" s="36"/>
      <c r="O424" s="36"/>
      <c r="P424" s="36"/>
      <c r="Q424" s="36"/>
      <c r="R424" s="36"/>
      <c r="S424" s="36"/>
    </row>
    <row r="425">
      <c r="A425" s="34"/>
      <c r="B425" s="34"/>
      <c r="C425" s="35"/>
      <c r="D425" s="35"/>
      <c r="E425" s="34"/>
      <c r="F425" s="34"/>
      <c r="G425" s="34"/>
      <c r="H425" s="34"/>
      <c r="I425" s="34"/>
      <c r="J425" s="34"/>
      <c r="K425" s="34"/>
      <c r="L425" s="34"/>
      <c r="M425" s="36"/>
      <c r="N425" s="36"/>
      <c r="O425" s="36"/>
      <c r="P425" s="36"/>
      <c r="Q425" s="36"/>
      <c r="R425" s="36"/>
      <c r="S425" s="36"/>
    </row>
    <row r="426">
      <c r="A426" s="34"/>
      <c r="B426" s="34"/>
      <c r="C426" s="35"/>
      <c r="D426" s="35"/>
      <c r="E426" s="34"/>
      <c r="F426" s="34"/>
      <c r="G426" s="34"/>
      <c r="H426" s="34"/>
      <c r="I426" s="34"/>
      <c r="J426" s="34"/>
      <c r="K426" s="34"/>
      <c r="L426" s="34"/>
      <c r="M426" s="36"/>
      <c r="N426" s="36"/>
      <c r="O426" s="36"/>
      <c r="P426" s="36"/>
      <c r="Q426" s="36"/>
      <c r="R426" s="36"/>
      <c r="S426" s="36"/>
    </row>
    <row r="427">
      <c r="A427" s="34"/>
      <c r="B427" s="34"/>
      <c r="C427" s="35"/>
      <c r="D427" s="35"/>
      <c r="E427" s="34"/>
      <c r="F427" s="34"/>
      <c r="G427" s="34"/>
      <c r="H427" s="34"/>
      <c r="I427" s="34"/>
      <c r="J427" s="34"/>
      <c r="K427" s="34"/>
      <c r="L427" s="34"/>
      <c r="M427" s="36"/>
      <c r="N427" s="36"/>
      <c r="O427" s="36"/>
      <c r="P427" s="36"/>
      <c r="Q427" s="36"/>
      <c r="R427" s="36"/>
      <c r="S427" s="36"/>
    </row>
    <row r="428">
      <c r="A428" s="34"/>
      <c r="B428" s="34"/>
      <c r="C428" s="35"/>
      <c r="D428" s="35"/>
      <c r="E428" s="34"/>
      <c r="F428" s="34"/>
      <c r="G428" s="34"/>
      <c r="H428" s="34"/>
      <c r="I428" s="34"/>
      <c r="J428" s="34"/>
      <c r="K428" s="34"/>
      <c r="L428" s="34"/>
      <c r="M428" s="36"/>
      <c r="N428" s="36"/>
      <c r="O428" s="36"/>
      <c r="P428" s="36"/>
      <c r="Q428" s="36"/>
      <c r="R428" s="36"/>
      <c r="S428" s="36"/>
    </row>
    <row r="429">
      <c r="A429" s="34"/>
      <c r="B429" s="34"/>
      <c r="C429" s="35"/>
      <c r="D429" s="35"/>
      <c r="E429" s="34"/>
      <c r="F429" s="34"/>
      <c r="G429" s="34"/>
      <c r="H429" s="34"/>
      <c r="I429" s="34"/>
      <c r="J429" s="34"/>
      <c r="K429" s="34"/>
      <c r="L429" s="34"/>
      <c r="M429" s="36"/>
      <c r="N429" s="36"/>
      <c r="O429" s="36"/>
      <c r="P429" s="36"/>
      <c r="Q429" s="36"/>
      <c r="R429" s="36"/>
      <c r="S429" s="36"/>
    </row>
    <row r="430">
      <c r="A430" s="34"/>
      <c r="B430" s="34"/>
      <c r="C430" s="35"/>
      <c r="D430" s="35"/>
      <c r="E430" s="34"/>
      <c r="F430" s="34"/>
      <c r="G430" s="34"/>
      <c r="H430" s="34"/>
      <c r="I430" s="34"/>
      <c r="J430" s="34"/>
      <c r="K430" s="34"/>
      <c r="L430" s="34"/>
      <c r="M430" s="36"/>
      <c r="N430" s="36"/>
      <c r="O430" s="36"/>
      <c r="P430" s="36"/>
      <c r="Q430" s="36"/>
      <c r="R430" s="36"/>
      <c r="S430" s="36"/>
    </row>
    <row r="431">
      <c r="A431" s="34"/>
      <c r="B431" s="34"/>
      <c r="C431" s="35"/>
      <c r="D431" s="35"/>
      <c r="E431" s="34"/>
      <c r="F431" s="34"/>
      <c r="G431" s="34"/>
      <c r="H431" s="34"/>
      <c r="I431" s="34"/>
      <c r="J431" s="34"/>
      <c r="K431" s="34"/>
      <c r="L431" s="34"/>
      <c r="M431" s="36"/>
      <c r="N431" s="36"/>
      <c r="O431" s="36"/>
      <c r="P431" s="36"/>
      <c r="Q431" s="36"/>
      <c r="R431" s="36"/>
      <c r="S431" s="36"/>
    </row>
    <row r="432">
      <c r="A432" s="34"/>
      <c r="B432" s="34"/>
      <c r="C432" s="35"/>
      <c r="D432" s="35"/>
      <c r="E432" s="34"/>
      <c r="F432" s="34"/>
      <c r="G432" s="34"/>
      <c r="H432" s="34"/>
      <c r="I432" s="34"/>
      <c r="J432" s="34"/>
      <c r="K432" s="34"/>
      <c r="L432" s="34"/>
      <c r="M432" s="36"/>
      <c r="N432" s="36"/>
      <c r="O432" s="36"/>
      <c r="P432" s="36"/>
      <c r="Q432" s="36"/>
      <c r="R432" s="36"/>
      <c r="S432" s="36"/>
    </row>
    <row r="433">
      <c r="A433" s="34"/>
      <c r="B433" s="34"/>
      <c r="C433" s="35"/>
      <c r="D433" s="35"/>
      <c r="E433" s="34"/>
      <c r="F433" s="34"/>
      <c r="G433" s="34"/>
      <c r="H433" s="34"/>
      <c r="I433" s="34"/>
      <c r="J433" s="34"/>
      <c r="K433" s="34"/>
      <c r="L433" s="34"/>
      <c r="M433" s="36"/>
      <c r="N433" s="36"/>
      <c r="O433" s="36"/>
      <c r="P433" s="36"/>
      <c r="Q433" s="36"/>
      <c r="R433" s="36"/>
      <c r="S433" s="36"/>
    </row>
    <row r="434">
      <c r="A434" s="34"/>
      <c r="B434" s="34"/>
      <c r="C434" s="35"/>
      <c r="D434" s="35"/>
      <c r="E434" s="34"/>
      <c r="F434" s="34"/>
      <c r="G434" s="34"/>
      <c r="H434" s="34"/>
      <c r="I434" s="34"/>
      <c r="J434" s="34"/>
      <c r="K434" s="34"/>
      <c r="L434" s="34"/>
      <c r="M434" s="36"/>
      <c r="N434" s="36"/>
      <c r="O434" s="36"/>
      <c r="P434" s="36"/>
      <c r="Q434" s="36"/>
      <c r="R434" s="36"/>
      <c r="S434" s="36"/>
    </row>
    <row r="435">
      <c r="A435" s="34"/>
      <c r="B435" s="34"/>
      <c r="C435" s="35"/>
      <c r="D435" s="35"/>
      <c r="E435" s="34"/>
      <c r="F435" s="34"/>
      <c r="G435" s="34"/>
      <c r="H435" s="34"/>
      <c r="I435" s="34"/>
      <c r="J435" s="34"/>
      <c r="K435" s="34"/>
      <c r="L435" s="34"/>
      <c r="M435" s="36"/>
      <c r="N435" s="36"/>
      <c r="O435" s="36"/>
      <c r="P435" s="36"/>
      <c r="Q435" s="36"/>
      <c r="R435" s="36"/>
      <c r="S435" s="36"/>
    </row>
    <row r="436">
      <c r="A436" s="34"/>
      <c r="B436" s="34"/>
      <c r="C436" s="35"/>
      <c r="D436" s="35"/>
      <c r="E436" s="34"/>
      <c r="F436" s="34"/>
      <c r="G436" s="34"/>
      <c r="H436" s="34"/>
      <c r="I436" s="34"/>
      <c r="J436" s="34"/>
      <c r="K436" s="34"/>
      <c r="L436" s="34"/>
      <c r="M436" s="36"/>
      <c r="N436" s="36"/>
      <c r="O436" s="36"/>
      <c r="P436" s="36"/>
      <c r="Q436" s="36"/>
      <c r="R436" s="36"/>
      <c r="S436" s="36"/>
    </row>
    <row r="437">
      <c r="A437" s="34"/>
      <c r="B437" s="34"/>
      <c r="C437" s="35"/>
      <c r="D437" s="35"/>
      <c r="E437" s="34"/>
      <c r="F437" s="34"/>
      <c r="G437" s="34"/>
      <c r="H437" s="34"/>
      <c r="I437" s="34"/>
      <c r="J437" s="34"/>
      <c r="K437" s="34"/>
      <c r="L437" s="34"/>
      <c r="M437" s="36"/>
      <c r="N437" s="36"/>
      <c r="O437" s="36"/>
      <c r="P437" s="36"/>
      <c r="Q437" s="36"/>
      <c r="R437" s="36"/>
      <c r="S437" s="36"/>
    </row>
    <row r="438">
      <c r="A438" s="34"/>
      <c r="B438" s="36"/>
      <c r="C438" s="35"/>
      <c r="D438" s="35"/>
      <c r="E438" s="34"/>
      <c r="F438" s="34"/>
      <c r="G438" s="34"/>
      <c r="H438" s="34"/>
      <c r="I438" s="34"/>
      <c r="J438" s="34"/>
      <c r="K438" s="34"/>
      <c r="L438" s="34"/>
      <c r="M438" s="36"/>
      <c r="N438" s="36"/>
      <c r="O438" s="36"/>
      <c r="P438" s="36"/>
      <c r="Q438" s="36"/>
      <c r="R438" s="36"/>
      <c r="S438" s="36"/>
    </row>
    <row r="439">
      <c r="A439" s="34"/>
      <c r="B439" s="36"/>
      <c r="C439" s="35"/>
      <c r="D439" s="35"/>
      <c r="E439" s="34"/>
      <c r="F439" s="34"/>
      <c r="G439" s="34"/>
      <c r="H439" s="34"/>
      <c r="I439" s="34"/>
      <c r="J439" s="34"/>
      <c r="K439" s="34"/>
      <c r="L439" s="34"/>
      <c r="M439" s="36"/>
      <c r="N439" s="36"/>
      <c r="O439" s="36"/>
      <c r="P439" s="36"/>
      <c r="Q439" s="36"/>
      <c r="R439" s="36"/>
      <c r="S439" s="36"/>
    </row>
    <row r="440">
      <c r="A440" s="34"/>
      <c r="B440" s="34"/>
      <c r="C440" s="35"/>
      <c r="D440" s="35"/>
      <c r="E440" s="34"/>
      <c r="F440" s="34"/>
      <c r="G440" s="34"/>
      <c r="H440" s="34"/>
      <c r="I440" s="34"/>
      <c r="J440" s="34"/>
      <c r="K440" s="34"/>
      <c r="L440" s="34"/>
      <c r="M440" s="36"/>
      <c r="N440" s="36"/>
      <c r="O440" s="36"/>
      <c r="P440" s="36"/>
      <c r="Q440" s="36"/>
      <c r="R440" s="36"/>
      <c r="S440" s="36"/>
    </row>
    <row r="441">
      <c r="A441" s="34"/>
      <c r="B441" s="34"/>
      <c r="C441" s="35"/>
      <c r="D441" s="35"/>
      <c r="E441" s="34"/>
      <c r="F441" s="34"/>
      <c r="G441" s="34"/>
      <c r="H441" s="34"/>
      <c r="I441" s="34"/>
      <c r="J441" s="34"/>
      <c r="K441" s="34"/>
      <c r="L441" s="34"/>
      <c r="M441" s="36"/>
      <c r="N441" s="36"/>
      <c r="O441" s="36"/>
      <c r="P441" s="36"/>
      <c r="Q441" s="36"/>
      <c r="R441" s="36"/>
      <c r="S441" s="36"/>
    </row>
    <row r="442">
      <c r="A442" s="34"/>
      <c r="B442" s="34"/>
      <c r="C442" s="35"/>
      <c r="D442" s="35"/>
      <c r="E442" s="34"/>
      <c r="F442" s="34"/>
      <c r="G442" s="34"/>
      <c r="H442" s="34"/>
      <c r="I442" s="34"/>
      <c r="J442" s="34"/>
      <c r="K442" s="34"/>
      <c r="L442" s="34"/>
      <c r="M442" s="36"/>
      <c r="N442" s="36"/>
      <c r="O442" s="36"/>
      <c r="P442" s="36"/>
      <c r="Q442" s="36"/>
      <c r="R442" s="36"/>
      <c r="S442" s="36"/>
    </row>
    <row r="443">
      <c r="A443" s="34"/>
      <c r="B443" s="34"/>
      <c r="C443" s="35"/>
      <c r="D443" s="35"/>
      <c r="E443" s="34"/>
      <c r="F443" s="34"/>
      <c r="G443" s="34"/>
      <c r="H443" s="34"/>
      <c r="I443" s="34"/>
      <c r="J443" s="34"/>
      <c r="K443" s="34"/>
      <c r="L443" s="34"/>
      <c r="M443" s="36"/>
      <c r="N443" s="36"/>
      <c r="O443" s="36"/>
      <c r="P443" s="36"/>
      <c r="Q443" s="36"/>
      <c r="R443" s="36"/>
      <c r="S443" s="36"/>
    </row>
    <row r="444">
      <c r="A444" s="34"/>
      <c r="B444" s="34"/>
      <c r="C444" s="35"/>
      <c r="D444" s="35"/>
      <c r="E444" s="34"/>
      <c r="F444" s="34"/>
      <c r="G444" s="34"/>
      <c r="H444" s="34"/>
      <c r="I444" s="34"/>
      <c r="J444" s="34"/>
      <c r="K444" s="34"/>
      <c r="L444" s="34"/>
      <c r="M444" s="36"/>
      <c r="N444" s="36"/>
      <c r="O444" s="36"/>
      <c r="P444" s="36"/>
      <c r="Q444" s="36"/>
      <c r="R444" s="36"/>
      <c r="S444" s="36"/>
    </row>
    <row r="445">
      <c r="A445" s="34"/>
      <c r="B445" s="34"/>
      <c r="C445" s="35"/>
      <c r="D445" s="35"/>
      <c r="E445" s="34"/>
      <c r="F445" s="34"/>
      <c r="G445" s="34"/>
      <c r="H445" s="34"/>
      <c r="I445" s="34"/>
      <c r="J445" s="34"/>
      <c r="K445" s="34"/>
      <c r="L445" s="34"/>
      <c r="M445" s="36"/>
      <c r="N445" s="36"/>
      <c r="O445" s="36"/>
      <c r="P445" s="36"/>
      <c r="Q445" s="36"/>
      <c r="R445" s="36"/>
      <c r="S445" s="36"/>
    </row>
    <row r="446">
      <c r="A446" s="34"/>
      <c r="B446" s="34"/>
      <c r="C446" s="35"/>
      <c r="D446" s="35"/>
      <c r="E446" s="34"/>
      <c r="F446" s="34"/>
      <c r="G446" s="34"/>
      <c r="H446" s="34"/>
      <c r="I446" s="34"/>
      <c r="J446" s="34"/>
      <c r="K446" s="34"/>
      <c r="L446" s="34"/>
      <c r="M446" s="36"/>
      <c r="N446" s="36"/>
      <c r="O446" s="36"/>
      <c r="P446" s="36"/>
      <c r="Q446" s="36"/>
      <c r="R446" s="36"/>
      <c r="S446" s="36"/>
    </row>
    <row r="447">
      <c r="A447" s="34"/>
      <c r="B447" s="34"/>
      <c r="C447" s="35"/>
      <c r="D447" s="35"/>
      <c r="E447" s="34"/>
      <c r="F447" s="34"/>
      <c r="G447" s="34"/>
      <c r="H447" s="34"/>
      <c r="I447" s="34"/>
      <c r="J447" s="34"/>
      <c r="K447" s="34"/>
      <c r="L447" s="34"/>
      <c r="M447" s="36"/>
      <c r="N447" s="36"/>
      <c r="O447" s="36"/>
      <c r="P447" s="36"/>
      <c r="Q447" s="36"/>
      <c r="R447" s="36"/>
      <c r="S447" s="36"/>
    </row>
    <row r="448">
      <c r="A448" s="34"/>
      <c r="B448" s="34"/>
      <c r="C448" s="35"/>
      <c r="D448" s="35"/>
      <c r="E448" s="34"/>
      <c r="F448" s="34"/>
      <c r="G448" s="34"/>
      <c r="H448" s="34"/>
      <c r="I448" s="34"/>
      <c r="J448" s="34"/>
      <c r="K448" s="34"/>
      <c r="L448" s="34"/>
      <c r="M448" s="36"/>
      <c r="N448" s="36"/>
      <c r="O448" s="36"/>
      <c r="P448" s="36"/>
      <c r="Q448" s="36"/>
      <c r="R448" s="36"/>
      <c r="S448" s="36"/>
    </row>
    <row r="449">
      <c r="A449" s="34"/>
      <c r="B449" s="36"/>
      <c r="C449" s="35"/>
      <c r="D449" s="35"/>
      <c r="E449" s="34"/>
      <c r="F449" s="34"/>
      <c r="G449" s="34"/>
      <c r="H449" s="34"/>
      <c r="I449" s="34"/>
      <c r="J449" s="34"/>
      <c r="K449" s="34"/>
      <c r="L449" s="34"/>
      <c r="M449" s="36"/>
      <c r="N449" s="36"/>
      <c r="O449" s="36"/>
      <c r="P449" s="36"/>
      <c r="Q449" s="36"/>
      <c r="R449" s="36"/>
      <c r="S449" s="36"/>
    </row>
    <row r="450">
      <c r="A450" s="34"/>
      <c r="B450" s="34"/>
      <c r="C450" s="35"/>
      <c r="D450" s="35"/>
      <c r="E450" s="34"/>
      <c r="F450" s="34"/>
      <c r="G450" s="34"/>
      <c r="H450" s="34"/>
      <c r="I450" s="34"/>
      <c r="J450" s="34"/>
      <c r="K450" s="34"/>
      <c r="L450" s="34"/>
      <c r="M450" s="36"/>
      <c r="N450" s="36"/>
      <c r="O450" s="36"/>
      <c r="P450" s="36"/>
      <c r="Q450" s="36"/>
      <c r="R450" s="36"/>
      <c r="S450" s="36"/>
    </row>
    <row r="451">
      <c r="A451" s="34"/>
      <c r="B451" s="36"/>
      <c r="C451" s="35"/>
      <c r="D451" s="35"/>
      <c r="E451" s="34"/>
      <c r="F451" s="34"/>
      <c r="G451" s="34"/>
      <c r="H451" s="34"/>
      <c r="I451" s="34"/>
      <c r="J451" s="34"/>
      <c r="K451" s="34"/>
      <c r="L451" s="34"/>
      <c r="M451" s="36"/>
      <c r="N451" s="36"/>
      <c r="O451" s="36"/>
      <c r="P451" s="36"/>
      <c r="Q451" s="36"/>
      <c r="R451" s="36"/>
      <c r="S451" s="36"/>
    </row>
    <row r="452">
      <c r="A452" s="34"/>
      <c r="B452" s="34"/>
      <c r="C452" s="35"/>
      <c r="D452" s="35"/>
      <c r="E452" s="34"/>
      <c r="F452" s="34"/>
      <c r="G452" s="34"/>
      <c r="H452" s="34"/>
      <c r="I452" s="34"/>
      <c r="J452" s="34"/>
      <c r="K452" s="34"/>
      <c r="L452" s="34"/>
      <c r="M452" s="36"/>
      <c r="N452" s="36"/>
      <c r="O452" s="36"/>
      <c r="P452" s="36"/>
      <c r="Q452" s="36"/>
      <c r="R452" s="36"/>
      <c r="S452" s="36"/>
    </row>
    <row r="453">
      <c r="A453" s="34"/>
      <c r="B453" s="34"/>
      <c r="C453" s="35"/>
      <c r="D453" s="35"/>
      <c r="E453" s="34"/>
      <c r="F453" s="34"/>
      <c r="G453" s="34"/>
      <c r="H453" s="34"/>
      <c r="I453" s="34"/>
      <c r="J453" s="34"/>
      <c r="K453" s="34"/>
      <c r="L453" s="34"/>
      <c r="M453" s="36"/>
      <c r="N453" s="36"/>
      <c r="O453" s="36"/>
      <c r="P453" s="36"/>
      <c r="Q453" s="36"/>
      <c r="R453" s="36"/>
      <c r="S453" s="36"/>
    </row>
    <row r="454">
      <c r="A454" s="34"/>
      <c r="B454" s="34"/>
      <c r="C454" s="35"/>
      <c r="D454" s="35"/>
      <c r="E454" s="34"/>
      <c r="F454" s="34"/>
      <c r="G454" s="34"/>
      <c r="H454" s="34"/>
      <c r="I454" s="34"/>
      <c r="J454" s="34"/>
      <c r="K454" s="34"/>
      <c r="L454" s="34"/>
      <c r="M454" s="36"/>
      <c r="N454" s="36"/>
      <c r="O454" s="36"/>
      <c r="P454" s="36"/>
      <c r="Q454" s="36"/>
      <c r="R454" s="36"/>
      <c r="S454" s="36"/>
    </row>
    <row r="455">
      <c r="A455" s="34"/>
      <c r="B455" s="34"/>
      <c r="C455" s="35"/>
      <c r="D455" s="35"/>
      <c r="E455" s="34"/>
      <c r="F455" s="34"/>
      <c r="G455" s="34"/>
      <c r="H455" s="34"/>
      <c r="I455" s="34"/>
      <c r="J455" s="34"/>
      <c r="K455" s="34"/>
      <c r="L455" s="34"/>
      <c r="M455" s="36"/>
      <c r="N455" s="36"/>
      <c r="O455" s="36"/>
      <c r="P455" s="36"/>
      <c r="Q455" s="36"/>
      <c r="R455" s="36"/>
      <c r="S455" s="36"/>
    </row>
    <row r="456">
      <c r="A456" s="34"/>
      <c r="B456" s="34"/>
      <c r="C456" s="35"/>
      <c r="D456" s="35"/>
      <c r="E456" s="34"/>
      <c r="F456" s="34"/>
      <c r="G456" s="34"/>
      <c r="H456" s="34"/>
      <c r="I456" s="34"/>
      <c r="J456" s="34"/>
      <c r="K456" s="34"/>
      <c r="L456" s="34"/>
      <c r="M456" s="36"/>
      <c r="N456" s="36"/>
      <c r="O456" s="36"/>
      <c r="P456" s="36"/>
      <c r="Q456" s="36"/>
      <c r="R456" s="36"/>
      <c r="S456" s="36"/>
    </row>
    <row r="457">
      <c r="A457" s="34"/>
      <c r="B457" s="34"/>
      <c r="C457" s="35"/>
      <c r="D457" s="35"/>
      <c r="E457" s="34"/>
      <c r="F457" s="34"/>
      <c r="G457" s="34"/>
      <c r="H457" s="34"/>
      <c r="I457" s="34"/>
      <c r="J457" s="34"/>
      <c r="K457" s="34"/>
      <c r="L457" s="34"/>
      <c r="M457" s="36"/>
      <c r="N457" s="36"/>
      <c r="O457" s="36"/>
      <c r="P457" s="36"/>
      <c r="Q457" s="36"/>
      <c r="R457" s="36"/>
      <c r="S457" s="36"/>
    </row>
    <row r="458">
      <c r="A458" s="34"/>
      <c r="B458" s="34"/>
      <c r="C458" s="35"/>
      <c r="D458" s="35"/>
      <c r="E458" s="34"/>
      <c r="F458" s="34"/>
      <c r="G458" s="34"/>
      <c r="H458" s="34"/>
      <c r="I458" s="34"/>
      <c r="J458" s="34"/>
      <c r="K458" s="34"/>
      <c r="L458" s="34"/>
      <c r="M458" s="36"/>
      <c r="N458" s="36"/>
      <c r="O458" s="36"/>
      <c r="P458" s="36"/>
      <c r="Q458" s="36"/>
      <c r="R458" s="36"/>
      <c r="S458" s="36"/>
    </row>
    <row r="459">
      <c r="A459" s="34"/>
      <c r="B459" s="34"/>
      <c r="C459" s="35"/>
      <c r="D459" s="35"/>
      <c r="E459" s="34"/>
      <c r="F459" s="34"/>
      <c r="G459" s="34"/>
      <c r="H459" s="34"/>
      <c r="I459" s="34"/>
      <c r="J459" s="34"/>
      <c r="K459" s="34"/>
      <c r="L459" s="34"/>
      <c r="M459" s="36"/>
      <c r="N459" s="36"/>
      <c r="O459" s="36"/>
      <c r="P459" s="36"/>
      <c r="Q459" s="36"/>
      <c r="R459" s="36"/>
      <c r="S459" s="36"/>
    </row>
    <row r="460">
      <c r="A460" s="34"/>
      <c r="B460" s="34"/>
      <c r="C460" s="35"/>
      <c r="D460" s="35"/>
      <c r="E460" s="34"/>
      <c r="F460" s="34"/>
      <c r="G460" s="34"/>
      <c r="H460" s="34"/>
      <c r="I460" s="34"/>
      <c r="J460" s="34"/>
      <c r="K460" s="34"/>
      <c r="L460" s="34"/>
      <c r="M460" s="36"/>
      <c r="N460" s="36"/>
      <c r="O460" s="36"/>
      <c r="P460" s="36"/>
      <c r="Q460" s="36"/>
      <c r="R460" s="36"/>
      <c r="S460" s="36"/>
    </row>
    <row r="461">
      <c r="A461" s="34"/>
      <c r="B461" s="34"/>
      <c r="C461" s="35"/>
      <c r="D461" s="35"/>
      <c r="E461" s="34"/>
      <c r="F461" s="34"/>
      <c r="G461" s="34"/>
      <c r="H461" s="34"/>
      <c r="I461" s="34"/>
      <c r="J461" s="34"/>
      <c r="K461" s="34"/>
      <c r="L461" s="34"/>
      <c r="M461" s="36"/>
      <c r="N461" s="36"/>
      <c r="O461" s="36"/>
      <c r="P461" s="36"/>
      <c r="Q461" s="36"/>
      <c r="R461" s="36"/>
      <c r="S461" s="36"/>
    </row>
    <row r="462">
      <c r="A462" s="34"/>
      <c r="B462" s="36"/>
      <c r="C462" s="35"/>
      <c r="D462" s="35"/>
      <c r="E462" s="34"/>
      <c r="F462" s="34"/>
      <c r="G462" s="34"/>
      <c r="H462" s="34"/>
      <c r="I462" s="34"/>
      <c r="J462" s="34"/>
      <c r="K462" s="34"/>
      <c r="L462" s="34"/>
      <c r="M462" s="36"/>
      <c r="N462" s="36"/>
      <c r="O462" s="36"/>
      <c r="P462" s="36"/>
      <c r="Q462" s="36"/>
      <c r="R462" s="36"/>
      <c r="S462" s="36"/>
    </row>
    <row r="463">
      <c r="A463" s="34"/>
      <c r="B463" s="34"/>
      <c r="C463" s="35"/>
      <c r="D463" s="35"/>
      <c r="E463" s="34"/>
      <c r="F463" s="34"/>
      <c r="G463" s="34"/>
      <c r="H463" s="34"/>
      <c r="I463" s="34"/>
      <c r="J463" s="34"/>
      <c r="K463" s="34"/>
      <c r="L463" s="34"/>
      <c r="M463" s="36"/>
      <c r="N463" s="36"/>
      <c r="O463" s="36"/>
      <c r="P463" s="36"/>
      <c r="Q463" s="36"/>
      <c r="R463" s="36"/>
      <c r="S463" s="36"/>
    </row>
    <row r="464">
      <c r="A464" s="34"/>
      <c r="B464" s="34"/>
      <c r="C464" s="35"/>
      <c r="D464" s="35"/>
      <c r="E464" s="34"/>
      <c r="F464" s="34"/>
      <c r="G464" s="34"/>
      <c r="H464" s="34"/>
      <c r="I464" s="34"/>
      <c r="J464" s="34"/>
      <c r="K464" s="34"/>
      <c r="L464" s="34"/>
      <c r="M464" s="36"/>
      <c r="N464" s="36"/>
      <c r="O464" s="36"/>
      <c r="P464" s="36"/>
      <c r="Q464" s="36"/>
      <c r="R464" s="36"/>
      <c r="S464" s="36"/>
    </row>
    <row r="465">
      <c r="A465" s="34"/>
      <c r="B465" s="34"/>
      <c r="C465" s="35"/>
      <c r="D465" s="35"/>
      <c r="E465" s="34"/>
      <c r="F465" s="34"/>
      <c r="G465" s="34"/>
      <c r="H465" s="34"/>
      <c r="I465" s="34"/>
      <c r="J465" s="34"/>
      <c r="K465" s="34"/>
      <c r="L465" s="34"/>
      <c r="M465" s="36"/>
      <c r="N465" s="36"/>
      <c r="O465" s="36"/>
      <c r="P465" s="36"/>
      <c r="Q465" s="36"/>
      <c r="R465" s="36"/>
      <c r="S465" s="36"/>
    </row>
    <row r="466">
      <c r="A466" s="34"/>
      <c r="B466" s="36"/>
      <c r="C466" s="35"/>
      <c r="D466" s="35"/>
      <c r="E466" s="34"/>
      <c r="F466" s="34"/>
      <c r="G466" s="34"/>
      <c r="H466" s="34"/>
      <c r="I466" s="34"/>
      <c r="J466" s="34"/>
      <c r="K466" s="34"/>
      <c r="L466" s="34"/>
      <c r="M466" s="36"/>
      <c r="N466" s="36"/>
      <c r="O466" s="36"/>
      <c r="P466" s="36"/>
      <c r="Q466" s="36"/>
      <c r="R466" s="36"/>
      <c r="S466" s="36"/>
    </row>
    <row r="467">
      <c r="A467" s="34"/>
      <c r="B467" s="34"/>
      <c r="C467" s="35"/>
      <c r="D467" s="35"/>
      <c r="E467" s="34"/>
      <c r="F467" s="34"/>
      <c r="G467" s="34"/>
      <c r="H467" s="34"/>
      <c r="I467" s="34"/>
      <c r="J467" s="34"/>
      <c r="K467" s="34"/>
      <c r="L467" s="34"/>
      <c r="M467" s="36"/>
      <c r="N467" s="36"/>
      <c r="O467" s="36"/>
      <c r="P467" s="36"/>
      <c r="Q467" s="36"/>
      <c r="R467" s="36"/>
      <c r="S467" s="36"/>
    </row>
    <row r="468">
      <c r="A468" s="34"/>
      <c r="B468" s="36"/>
      <c r="C468" s="35"/>
      <c r="D468" s="35"/>
      <c r="E468" s="34"/>
      <c r="F468" s="34"/>
      <c r="G468" s="34"/>
      <c r="H468" s="34"/>
      <c r="I468" s="34"/>
      <c r="J468" s="34"/>
      <c r="K468" s="34"/>
      <c r="L468" s="34"/>
      <c r="M468" s="36"/>
      <c r="N468" s="36"/>
      <c r="O468" s="36"/>
      <c r="P468" s="36"/>
      <c r="Q468" s="36"/>
      <c r="R468" s="36"/>
      <c r="S468" s="36"/>
    </row>
    <row r="469">
      <c r="A469" s="34"/>
      <c r="B469" s="34"/>
      <c r="C469" s="35"/>
      <c r="D469" s="35"/>
      <c r="E469" s="34"/>
      <c r="F469" s="34"/>
      <c r="G469" s="34"/>
      <c r="H469" s="34"/>
      <c r="I469" s="34"/>
      <c r="J469" s="34"/>
      <c r="K469" s="34"/>
      <c r="L469" s="34"/>
      <c r="M469" s="36"/>
      <c r="N469" s="36"/>
      <c r="O469" s="36"/>
      <c r="P469" s="36"/>
      <c r="Q469" s="36"/>
      <c r="R469" s="36"/>
      <c r="S469" s="36"/>
    </row>
    <row r="470">
      <c r="A470" s="34"/>
      <c r="B470" s="36"/>
      <c r="C470" s="35"/>
      <c r="D470" s="35"/>
      <c r="E470" s="34"/>
      <c r="F470" s="34"/>
      <c r="G470" s="34"/>
      <c r="H470" s="34"/>
      <c r="I470" s="34"/>
      <c r="J470" s="34"/>
      <c r="K470" s="34"/>
      <c r="L470" s="34"/>
      <c r="M470" s="36"/>
      <c r="N470" s="36"/>
      <c r="O470" s="36"/>
      <c r="P470" s="36"/>
      <c r="Q470" s="36"/>
      <c r="R470" s="36"/>
      <c r="S470" s="36"/>
    </row>
    <row r="471">
      <c r="A471" s="34"/>
      <c r="B471" s="36"/>
      <c r="C471" s="35"/>
      <c r="D471" s="35"/>
      <c r="E471" s="34"/>
      <c r="F471" s="34"/>
      <c r="G471" s="34"/>
      <c r="H471" s="34"/>
      <c r="I471" s="34"/>
      <c r="J471" s="34"/>
      <c r="K471" s="34"/>
      <c r="L471" s="34"/>
      <c r="M471" s="36"/>
      <c r="N471" s="36"/>
      <c r="O471" s="36"/>
      <c r="P471" s="36"/>
      <c r="Q471" s="36"/>
      <c r="R471" s="36"/>
      <c r="S471" s="36"/>
    </row>
    <row r="472">
      <c r="A472" s="34"/>
      <c r="B472" s="36"/>
      <c r="C472" s="35"/>
      <c r="D472" s="35"/>
      <c r="E472" s="34"/>
      <c r="F472" s="34"/>
      <c r="G472" s="34"/>
      <c r="H472" s="34"/>
      <c r="I472" s="34"/>
      <c r="J472" s="34"/>
      <c r="K472" s="34"/>
      <c r="L472" s="34"/>
      <c r="M472" s="36"/>
      <c r="N472" s="36"/>
      <c r="O472" s="36"/>
      <c r="P472" s="36"/>
      <c r="Q472" s="36"/>
      <c r="R472" s="36"/>
      <c r="S472" s="36"/>
    </row>
    <row r="473">
      <c r="A473" s="34"/>
      <c r="B473" s="34"/>
      <c r="C473" s="35"/>
      <c r="D473" s="35"/>
      <c r="E473" s="34"/>
      <c r="F473" s="34"/>
      <c r="G473" s="34"/>
      <c r="H473" s="34"/>
      <c r="I473" s="34"/>
      <c r="J473" s="34"/>
      <c r="K473" s="34"/>
      <c r="L473" s="34"/>
      <c r="M473" s="36"/>
      <c r="N473" s="36"/>
      <c r="O473" s="36"/>
      <c r="P473" s="36"/>
      <c r="Q473" s="36"/>
      <c r="R473" s="36"/>
      <c r="S473" s="36"/>
    </row>
    <row r="474">
      <c r="A474" s="34"/>
      <c r="B474" s="36"/>
      <c r="C474" s="35"/>
      <c r="D474" s="35"/>
      <c r="E474" s="34"/>
      <c r="F474" s="34"/>
      <c r="G474" s="34"/>
      <c r="H474" s="34"/>
      <c r="I474" s="34"/>
      <c r="J474" s="34"/>
      <c r="K474" s="34"/>
      <c r="L474" s="34"/>
      <c r="M474" s="36"/>
      <c r="N474" s="36"/>
      <c r="O474" s="36"/>
      <c r="P474" s="36"/>
      <c r="Q474" s="36"/>
      <c r="R474" s="36"/>
      <c r="S474" s="36"/>
    </row>
    <row r="475">
      <c r="A475" s="34"/>
      <c r="B475" s="36"/>
      <c r="C475" s="35"/>
      <c r="D475" s="35"/>
      <c r="E475" s="34"/>
      <c r="F475" s="34"/>
      <c r="G475" s="34"/>
      <c r="H475" s="34"/>
      <c r="I475" s="34"/>
      <c r="J475" s="34"/>
      <c r="K475" s="34"/>
      <c r="L475" s="34"/>
      <c r="M475" s="36"/>
      <c r="N475" s="36"/>
      <c r="O475" s="36"/>
      <c r="P475" s="36"/>
      <c r="Q475" s="36"/>
      <c r="R475" s="36"/>
      <c r="S475" s="36"/>
    </row>
    <row r="476">
      <c r="A476" s="34"/>
      <c r="B476" s="34"/>
      <c r="C476" s="35"/>
      <c r="D476" s="35"/>
      <c r="E476" s="34"/>
      <c r="F476" s="34"/>
      <c r="G476" s="34"/>
      <c r="H476" s="34"/>
      <c r="I476" s="34"/>
      <c r="J476" s="34"/>
      <c r="K476" s="34"/>
      <c r="L476" s="34"/>
      <c r="M476" s="36"/>
      <c r="N476" s="36"/>
      <c r="O476" s="36"/>
      <c r="P476" s="36"/>
      <c r="Q476" s="36"/>
      <c r="R476" s="36"/>
      <c r="S476" s="36"/>
    </row>
    <row r="477">
      <c r="A477" s="34"/>
      <c r="B477" s="34"/>
      <c r="C477" s="35"/>
      <c r="D477" s="35"/>
      <c r="E477" s="34"/>
      <c r="F477" s="34"/>
      <c r="G477" s="34"/>
      <c r="H477" s="34"/>
      <c r="I477" s="34"/>
      <c r="J477" s="34"/>
      <c r="K477" s="34"/>
      <c r="L477" s="34"/>
      <c r="M477" s="36"/>
      <c r="N477" s="36"/>
      <c r="O477" s="36"/>
      <c r="P477" s="36"/>
      <c r="Q477" s="36"/>
      <c r="R477" s="36"/>
      <c r="S477" s="36"/>
    </row>
    <row r="478">
      <c r="A478" s="34"/>
      <c r="B478" s="34"/>
      <c r="C478" s="35"/>
      <c r="D478" s="35"/>
      <c r="E478" s="34"/>
      <c r="F478" s="34"/>
      <c r="G478" s="34"/>
      <c r="H478" s="34"/>
      <c r="I478" s="34"/>
      <c r="J478" s="34"/>
      <c r="K478" s="34"/>
      <c r="L478" s="34"/>
      <c r="M478" s="36"/>
      <c r="N478" s="36"/>
      <c r="O478" s="36"/>
      <c r="P478" s="36"/>
      <c r="Q478" s="36"/>
      <c r="R478" s="36"/>
      <c r="S478" s="36"/>
    </row>
    <row r="479">
      <c r="A479" s="34"/>
      <c r="B479" s="34"/>
      <c r="C479" s="35"/>
      <c r="D479" s="35"/>
      <c r="E479" s="34"/>
      <c r="F479" s="34"/>
      <c r="G479" s="34"/>
      <c r="H479" s="34"/>
      <c r="I479" s="34"/>
      <c r="J479" s="34"/>
      <c r="K479" s="34"/>
      <c r="L479" s="34"/>
      <c r="M479" s="36"/>
      <c r="N479" s="36"/>
      <c r="O479" s="36"/>
      <c r="P479" s="36"/>
      <c r="Q479" s="36"/>
      <c r="R479" s="36"/>
      <c r="S479" s="36"/>
    </row>
    <row r="480">
      <c r="A480" s="34"/>
      <c r="B480" s="34"/>
      <c r="C480" s="35"/>
      <c r="D480" s="35"/>
      <c r="E480" s="34"/>
      <c r="F480" s="34"/>
      <c r="G480" s="34"/>
      <c r="H480" s="34"/>
      <c r="I480" s="34"/>
      <c r="J480" s="34"/>
      <c r="K480" s="34"/>
      <c r="L480" s="34"/>
      <c r="M480" s="36"/>
      <c r="N480" s="36"/>
      <c r="O480" s="36"/>
      <c r="P480" s="36"/>
      <c r="Q480" s="36"/>
      <c r="R480" s="36"/>
      <c r="S480" s="36"/>
    </row>
    <row r="481">
      <c r="A481" s="34"/>
      <c r="B481" s="34"/>
      <c r="C481" s="35"/>
      <c r="D481" s="35"/>
      <c r="E481" s="34"/>
      <c r="F481" s="34"/>
      <c r="G481" s="34"/>
      <c r="H481" s="34"/>
      <c r="I481" s="34"/>
      <c r="J481" s="34"/>
      <c r="K481" s="34"/>
      <c r="L481" s="34"/>
      <c r="M481" s="36"/>
      <c r="N481" s="36"/>
      <c r="O481" s="36"/>
      <c r="P481" s="36"/>
      <c r="Q481" s="36"/>
      <c r="R481" s="36"/>
      <c r="S481" s="36"/>
    </row>
    <row r="482">
      <c r="A482" s="34"/>
      <c r="B482" s="34"/>
      <c r="C482" s="35"/>
      <c r="D482" s="35"/>
      <c r="E482" s="34"/>
      <c r="F482" s="34"/>
      <c r="G482" s="34"/>
      <c r="H482" s="34"/>
      <c r="I482" s="34"/>
      <c r="J482" s="34"/>
      <c r="K482" s="34"/>
      <c r="L482" s="34"/>
      <c r="M482" s="36"/>
      <c r="N482" s="36"/>
      <c r="O482" s="36"/>
      <c r="P482" s="36"/>
      <c r="Q482" s="36"/>
      <c r="R482" s="36"/>
      <c r="S482" s="36"/>
    </row>
    <row r="483">
      <c r="A483" s="34"/>
      <c r="B483" s="36"/>
      <c r="C483" s="35"/>
      <c r="D483" s="35"/>
      <c r="E483" s="34"/>
      <c r="F483" s="34"/>
      <c r="G483" s="34"/>
      <c r="H483" s="34"/>
      <c r="I483" s="34"/>
      <c r="J483" s="34"/>
      <c r="K483" s="34"/>
      <c r="L483" s="34"/>
      <c r="M483" s="36"/>
      <c r="N483" s="36"/>
      <c r="O483" s="36"/>
      <c r="P483" s="36"/>
      <c r="Q483" s="36"/>
      <c r="R483" s="36"/>
      <c r="S483" s="36"/>
    </row>
    <row r="484">
      <c r="A484" s="34"/>
      <c r="B484" s="36"/>
      <c r="C484" s="35"/>
      <c r="D484" s="35"/>
      <c r="E484" s="34"/>
      <c r="F484" s="34"/>
      <c r="G484" s="34"/>
      <c r="H484" s="34"/>
      <c r="I484" s="34"/>
      <c r="J484" s="34"/>
      <c r="K484" s="34"/>
      <c r="L484" s="34"/>
      <c r="M484" s="36"/>
      <c r="N484" s="36"/>
      <c r="O484" s="36"/>
      <c r="P484" s="36"/>
      <c r="Q484" s="36"/>
      <c r="R484" s="36"/>
      <c r="S484" s="36"/>
    </row>
    <row r="485">
      <c r="A485" s="34"/>
      <c r="B485" s="34"/>
      <c r="C485" s="35"/>
      <c r="D485" s="35"/>
      <c r="E485" s="34"/>
      <c r="F485" s="34"/>
      <c r="G485" s="34"/>
      <c r="H485" s="34"/>
      <c r="I485" s="34"/>
      <c r="J485" s="34"/>
      <c r="K485" s="34"/>
      <c r="L485" s="34"/>
      <c r="M485" s="36"/>
      <c r="N485" s="36"/>
      <c r="O485" s="36"/>
      <c r="P485" s="36"/>
      <c r="Q485" s="36"/>
      <c r="R485" s="36"/>
      <c r="S485" s="36"/>
    </row>
    <row r="486">
      <c r="A486" s="34"/>
      <c r="B486" s="34"/>
      <c r="C486" s="35"/>
      <c r="D486" s="35"/>
      <c r="E486" s="34"/>
      <c r="F486" s="34"/>
      <c r="G486" s="34"/>
      <c r="H486" s="34"/>
      <c r="I486" s="34"/>
      <c r="J486" s="34"/>
      <c r="K486" s="34"/>
      <c r="L486" s="34"/>
      <c r="M486" s="36"/>
      <c r="N486" s="36"/>
      <c r="O486" s="36"/>
      <c r="P486" s="36"/>
      <c r="Q486" s="36"/>
      <c r="R486" s="36"/>
      <c r="S486" s="36"/>
    </row>
    <row r="487">
      <c r="A487" s="34"/>
      <c r="B487" s="34"/>
      <c r="C487" s="35"/>
      <c r="D487" s="35"/>
      <c r="E487" s="34"/>
      <c r="F487" s="34"/>
      <c r="G487" s="34"/>
      <c r="H487" s="34"/>
      <c r="I487" s="34"/>
      <c r="J487" s="34"/>
      <c r="K487" s="34"/>
      <c r="L487" s="34"/>
      <c r="M487" s="36"/>
      <c r="N487" s="36"/>
      <c r="O487" s="36"/>
      <c r="P487" s="36"/>
      <c r="Q487" s="36"/>
      <c r="R487" s="36"/>
      <c r="S487" s="36"/>
    </row>
    <row r="488">
      <c r="A488" s="34"/>
      <c r="B488" s="34"/>
      <c r="C488" s="35"/>
      <c r="D488" s="35"/>
      <c r="E488" s="34"/>
      <c r="F488" s="34"/>
      <c r="G488" s="34"/>
      <c r="H488" s="34"/>
      <c r="I488" s="34"/>
      <c r="J488" s="34"/>
      <c r="K488" s="34"/>
      <c r="L488" s="34"/>
      <c r="M488" s="36"/>
      <c r="N488" s="36"/>
      <c r="O488" s="36"/>
      <c r="P488" s="36"/>
      <c r="Q488" s="36"/>
      <c r="R488" s="36"/>
      <c r="S488" s="36"/>
    </row>
    <row r="489">
      <c r="A489" s="34"/>
      <c r="B489" s="36"/>
      <c r="C489" s="35"/>
      <c r="D489" s="35"/>
      <c r="E489" s="34"/>
      <c r="F489" s="34"/>
      <c r="G489" s="34"/>
      <c r="H489" s="34"/>
      <c r="I489" s="34"/>
      <c r="J489" s="34"/>
      <c r="K489" s="34"/>
      <c r="L489" s="34"/>
      <c r="M489" s="36"/>
      <c r="N489" s="36"/>
      <c r="O489" s="36"/>
      <c r="P489" s="36"/>
      <c r="Q489" s="36"/>
      <c r="R489" s="36"/>
      <c r="S489" s="36"/>
    </row>
    <row r="490">
      <c r="A490" s="34"/>
      <c r="B490" s="34"/>
      <c r="C490" s="35"/>
      <c r="D490" s="35"/>
      <c r="E490" s="34"/>
      <c r="F490" s="34"/>
      <c r="G490" s="34"/>
      <c r="H490" s="34"/>
      <c r="I490" s="34"/>
      <c r="J490" s="34"/>
      <c r="K490" s="34"/>
      <c r="L490" s="34"/>
      <c r="M490" s="36"/>
      <c r="N490" s="36"/>
      <c r="O490" s="36"/>
      <c r="P490" s="36"/>
      <c r="Q490" s="36"/>
      <c r="R490" s="36"/>
      <c r="S490" s="36"/>
    </row>
    <row r="491">
      <c r="A491" s="34"/>
      <c r="B491" s="34"/>
      <c r="C491" s="35"/>
      <c r="D491" s="35"/>
      <c r="E491" s="34"/>
      <c r="F491" s="34"/>
      <c r="G491" s="34"/>
      <c r="H491" s="34"/>
      <c r="I491" s="34"/>
      <c r="J491" s="34"/>
      <c r="K491" s="34"/>
      <c r="L491" s="34"/>
      <c r="M491" s="36"/>
      <c r="N491" s="36"/>
      <c r="O491" s="36"/>
      <c r="P491" s="36"/>
      <c r="Q491" s="36"/>
      <c r="R491" s="36"/>
      <c r="S491" s="36"/>
    </row>
    <row r="492">
      <c r="A492" s="34"/>
      <c r="B492" s="34"/>
      <c r="C492" s="35"/>
      <c r="D492" s="35"/>
      <c r="E492" s="34"/>
      <c r="F492" s="34"/>
      <c r="G492" s="34"/>
      <c r="H492" s="34"/>
      <c r="I492" s="34"/>
      <c r="J492" s="34"/>
      <c r="K492" s="34"/>
      <c r="L492" s="34"/>
      <c r="M492" s="36"/>
      <c r="N492" s="36"/>
      <c r="O492" s="36"/>
      <c r="P492" s="36"/>
      <c r="Q492" s="36"/>
      <c r="R492" s="36"/>
      <c r="S492" s="36"/>
    </row>
    <row r="493">
      <c r="A493" s="34"/>
      <c r="B493" s="34"/>
      <c r="C493" s="35"/>
      <c r="D493" s="35"/>
      <c r="E493" s="34"/>
      <c r="F493" s="34"/>
      <c r="G493" s="34"/>
      <c r="H493" s="34"/>
      <c r="I493" s="34"/>
      <c r="J493" s="34"/>
      <c r="K493" s="34"/>
      <c r="L493" s="34"/>
      <c r="M493" s="36"/>
      <c r="N493" s="36"/>
      <c r="O493" s="36"/>
      <c r="P493" s="36"/>
      <c r="Q493" s="36"/>
      <c r="R493" s="36"/>
      <c r="S493" s="36"/>
    </row>
    <row r="494">
      <c r="A494" s="34"/>
      <c r="B494" s="34"/>
      <c r="C494" s="35"/>
      <c r="D494" s="35"/>
      <c r="E494" s="34"/>
      <c r="F494" s="34"/>
      <c r="G494" s="34"/>
      <c r="H494" s="34"/>
      <c r="I494" s="34"/>
      <c r="J494" s="34"/>
      <c r="K494" s="34"/>
      <c r="L494" s="34"/>
      <c r="M494" s="36"/>
      <c r="N494" s="36"/>
      <c r="O494" s="36"/>
      <c r="P494" s="36"/>
      <c r="Q494" s="36"/>
      <c r="R494" s="36"/>
      <c r="S494" s="36"/>
    </row>
    <row r="495">
      <c r="A495" s="34"/>
      <c r="B495" s="34"/>
      <c r="C495" s="35"/>
      <c r="D495" s="35"/>
      <c r="E495" s="34"/>
      <c r="F495" s="34"/>
      <c r="G495" s="34"/>
      <c r="H495" s="34"/>
      <c r="I495" s="34"/>
      <c r="J495" s="34"/>
      <c r="K495" s="34"/>
      <c r="L495" s="34"/>
      <c r="M495" s="36"/>
      <c r="N495" s="36"/>
      <c r="O495" s="36"/>
      <c r="P495" s="36"/>
      <c r="Q495" s="36"/>
      <c r="R495" s="36"/>
      <c r="S495" s="36"/>
    </row>
    <row r="496">
      <c r="A496" s="34"/>
      <c r="B496" s="34"/>
      <c r="C496" s="35"/>
      <c r="D496" s="35"/>
      <c r="E496" s="34"/>
      <c r="F496" s="34"/>
      <c r="G496" s="34"/>
      <c r="H496" s="34"/>
      <c r="I496" s="34"/>
      <c r="J496" s="34"/>
      <c r="K496" s="34"/>
      <c r="L496" s="34"/>
      <c r="M496" s="36"/>
      <c r="N496" s="36"/>
      <c r="O496" s="36"/>
      <c r="P496" s="36"/>
      <c r="Q496" s="36"/>
      <c r="R496" s="36"/>
      <c r="S496" s="36"/>
    </row>
    <row r="497">
      <c r="A497" s="34"/>
      <c r="B497" s="34"/>
      <c r="C497" s="35"/>
      <c r="D497" s="35"/>
      <c r="E497" s="34"/>
      <c r="F497" s="34"/>
      <c r="G497" s="34"/>
      <c r="H497" s="34"/>
      <c r="I497" s="34"/>
      <c r="J497" s="34"/>
      <c r="K497" s="34"/>
      <c r="L497" s="34"/>
      <c r="M497" s="36"/>
      <c r="N497" s="36"/>
      <c r="O497" s="36"/>
      <c r="P497" s="36"/>
      <c r="Q497" s="36"/>
      <c r="R497" s="36"/>
      <c r="S497" s="36"/>
    </row>
    <row r="498">
      <c r="A498" s="34"/>
      <c r="B498" s="34"/>
      <c r="C498" s="35"/>
      <c r="D498" s="35"/>
      <c r="E498" s="34"/>
      <c r="F498" s="34"/>
      <c r="G498" s="34"/>
      <c r="H498" s="34"/>
      <c r="I498" s="34"/>
      <c r="J498" s="34"/>
      <c r="K498" s="34"/>
      <c r="L498" s="34"/>
      <c r="M498" s="36"/>
      <c r="N498" s="36"/>
      <c r="O498" s="36"/>
      <c r="P498" s="36"/>
      <c r="Q498" s="36"/>
      <c r="R498" s="36"/>
      <c r="S498" s="36"/>
    </row>
    <row r="499">
      <c r="A499" s="34"/>
      <c r="B499" s="34"/>
      <c r="C499" s="35"/>
      <c r="D499" s="35"/>
      <c r="E499" s="34"/>
      <c r="F499" s="34"/>
      <c r="G499" s="34"/>
      <c r="H499" s="34"/>
      <c r="I499" s="34"/>
      <c r="J499" s="34"/>
      <c r="K499" s="34"/>
      <c r="L499" s="34"/>
      <c r="M499" s="36"/>
      <c r="N499" s="36"/>
      <c r="O499" s="36"/>
      <c r="P499" s="36"/>
      <c r="Q499" s="36"/>
      <c r="R499" s="36"/>
      <c r="S499" s="36"/>
    </row>
    <row r="500">
      <c r="A500" s="34"/>
      <c r="B500" s="34"/>
      <c r="C500" s="35"/>
      <c r="D500" s="35"/>
      <c r="E500" s="34"/>
      <c r="F500" s="34"/>
      <c r="G500" s="34"/>
      <c r="H500" s="34"/>
      <c r="I500" s="34"/>
      <c r="J500" s="34"/>
      <c r="K500" s="34"/>
      <c r="L500" s="34"/>
      <c r="M500" s="36"/>
      <c r="N500" s="36"/>
      <c r="O500" s="36"/>
      <c r="P500" s="36"/>
      <c r="Q500" s="36"/>
      <c r="R500" s="36"/>
      <c r="S500" s="36"/>
    </row>
    <row r="501">
      <c r="A501" s="34"/>
      <c r="B501" s="34"/>
      <c r="C501" s="35"/>
      <c r="D501" s="35"/>
      <c r="E501" s="34"/>
      <c r="F501" s="34"/>
      <c r="G501" s="34"/>
      <c r="H501" s="34"/>
      <c r="I501" s="34"/>
      <c r="J501" s="34"/>
      <c r="K501" s="34"/>
      <c r="L501" s="34"/>
      <c r="M501" s="36"/>
      <c r="N501" s="36"/>
      <c r="O501" s="36"/>
      <c r="P501" s="36"/>
      <c r="Q501" s="36"/>
      <c r="R501" s="36"/>
      <c r="S501" s="36"/>
    </row>
    <row r="502">
      <c r="A502" s="34"/>
      <c r="B502" s="34"/>
      <c r="C502" s="35"/>
      <c r="D502" s="35"/>
      <c r="E502" s="34"/>
      <c r="F502" s="34"/>
      <c r="G502" s="34"/>
      <c r="H502" s="34"/>
      <c r="I502" s="34"/>
      <c r="J502" s="34"/>
      <c r="K502" s="34"/>
      <c r="L502" s="34"/>
      <c r="M502" s="36"/>
      <c r="N502" s="36"/>
      <c r="O502" s="36"/>
      <c r="P502" s="36"/>
      <c r="Q502" s="36"/>
      <c r="R502" s="36"/>
      <c r="S502" s="36"/>
    </row>
    <row r="503">
      <c r="A503" s="34"/>
      <c r="B503" s="34"/>
      <c r="C503" s="35"/>
      <c r="D503" s="35"/>
      <c r="E503" s="34"/>
      <c r="F503" s="34"/>
      <c r="G503" s="34"/>
      <c r="H503" s="34"/>
      <c r="I503" s="34"/>
      <c r="J503" s="34"/>
      <c r="K503" s="34"/>
      <c r="L503" s="34"/>
      <c r="M503" s="36"/>
      <c r="N503" s="36"/>
      <c r="O503" s="36"/>
      <c r="P503" s="36"/>
      <c r="Q503" s="36"/>
      <c r="R503" s="36"/>
      <c r="S503" s="36"/>
    </row>
    <row r="504">
      <c r="A504" s="34"/>
      <c r="B504" s="34"/>
      <c r="C504" s="35"/>
      <c r="D504" s="35"/>
      <c r="E504" s="34"/>
      <c r="F504" s="34"/>
      <c r="G504" s="34"/>
      <c r="H504" s="34"/>
      <c r="I504" s="34"/>
      <c r="J504" s="34"/>
      <c r="K504" s="34"/>
      <c r="L504" s="34"/>
      <c r="M504" s="36"/>
      <c r="N504" s="36"/>
      <c r="O504" s="36"/>
      <c r="P504" s="36"/>
      <c r="Q504" s="36"/>
      <c r="R504" s="36"/>
      <c r="S504" s="36"/>
    </row>
    <row r="505">
      <c r="A505" s="34"/>
      <c r="B505" s="34"/>
      <c r="C505" s="35"/>
      <c r="D505" s="35"/>
      <c r="E505" s="34"/>
      <c r="F505" s="34"/>
      <c r="G505" s="34"/>
      <c r="H505" s="34"/>
      <c r="I505" s="34"/>
      <c r="J505" s="34"/>
      <c r="K505" s="34"/>
      <c r="L505" s="34"/>
      <c r="M505" s="36"/>
      <c r="N505" s="36"/>
      <c r="O505" s="36"/>
      <c r="P505" s="36"/>
      <c r="Q505" s="36"/>
      <c r="R505" s="36"/>
      <c r="S505" s="36"/>
    </row>
    <row r="506">
      <c r="A506" s="34"/>
      <c r="B506" s="34"/>
      <c r="C506" s="35"/>
      <c r="D506" s="35"/>
      <c r="E506" s="34"/>
      <c r="F506" s="34"/>
      <c r="G506" s="34"/>
      <c r="H506" s="34"/>
      <c r="I506" s="34"/>
      <c r="J506" s="34"/>
      <c r="K506" s="34"/>
      <c r="L506" s="34"/>
      <c r="M506" s="36"/>
      <c r="N506" s="36"/>
      <c r="O506" s="36"/>
      <c r="P506" s="36"/>
      <c r="Q506" s="36"/>
      <c r="R506" s="36"/>
      <c r="S506" s="36"/>
    </row>
    <row r="507">
      <c r="A507" s="34"/>
      <c r="B507" s="34"/>
      <c r="C507" s="35"/>
      <c r="D507" s="35"/>
      <c r="E507" s="34"/>
      <c r="F507" s="34"/>
      <c r="G507" s="34"/>
      <c r="H507" s="34"/>
      <c r="I507" s="34"/>
      <c r="J507" s="34"/>
      <c r="K507" s="34"/>
      <c r="L507" s="34"/>
      <c r="M507" s="36"/>
      <c r="N507" s="36"/>
      <c r="O507" s="36"/>
      <c r="P507" s="36"/>
      <c r="Q507" s="36"/>
      <c r="R507" s="36"/>
      <c r="S507" s="36"/>
    </row>
    <row r="508">
      <c r="A508" s="34"/>
      <c r="B508" s="34"/>
      <c r="C508" s="35"/>
      <c r="D508" s="35"/>
      <c r="E508" s="34"/>
      <c r="F508" s="34"/>
      <c r="G508" s="34"/>
      <c r="H508" s="34"/>
      <c r="I508" s="34"/>
      <c r="J508" s="34"/>
      <c r="K508" s="34"/>
      <c r="L508" s="34"/>
      <c r="M508" s="36"/>
      <c r="N508" s="36"/>
      <c r="O508" s="36"/>
      <c r="P508" s="36"/>
      <c r="Q508" s="36"/>
      <c r="R508" s="36"/>
      <c r="S508" s="36"/>
    </row>
    <row r="509">
      <c r="A509" s="34"/>
      <c r="B509" s="34"/>
      <c r="C509" s="35"/>
      <c r="D509" s="35"/>
      <c r="E509" s="34"/>
      <c r="F509" s="34"/>
      <c r="G509" s="34"/>
      <c r="H509" s="34"/>
      <c r="I509" s="34"/>
      <c r="J509" s="34"/>
      <c r="K509" s="34"/>
      <c r="L509" s="34"/>
      <c r="M509" s="36"/>
      <c r="N509" s="36"/>
      <c r="O509" s="36"/>
      <c r="P509" s="36"/>
      <c r="Q509" s="36"/>
      <c r="R509" s="36"/>
      <c r="S509" s="36"/>
    </row>
    <row r="510">
      <c r="A510" s="34"/>
      <c r="B510" s="34"/>
      <c r="C510" s="35"/>
      <c r="D510" s="35"/>
      <c r="E510" s="34"/>
      <c r="F510" s="34"/>
      <c r="G510" s="34"/>
      <c r="H510" s="34"/>
      <c r="I510" s="34"/>
      <c r="J510" s="34"/>
      <c r="K510" s="34"/>
      <c r="L510" s="34"/>
      <c r="M510" s="36"/>
      <c r="N510" s="36"/>
      <c r="O510" s="36"/>
      <c r="P510" s="36"/>
      <c r="Q510" s="36"/>
      <c r="R510" s="36"/>
      <c r="S510" s="36"/>
    </row>
    <row r="511">
      <c r="A511" s="34"/>
      <c r="B511" s="34"/>
      <c r="C511" s="35"/>
      <c r="D511" s="35"/>
      <c r="E511" s="34"/>
      <c r="F511" s="34"/>
      <c r="G511" s="34"/>
      <c r="H511" s="34"/>
      <c r="I511" s="34"/>
      <c r="J511" s="34"/>
      <c r="K511" s="34"/>
      <c r="L511" s="34"/>
      <c r="M511" s="36"/>
      <c r="N511" s="36"/>
      <c r="O511" s="36"/>
      <c r="P511" s="36"/>
      <c r="Q511" s="36"/>
      <c r="R511" s="36"/>
      <c r="S511" s="36"/>
    </row>
    <row r="512">
      <c r="A512" s="34"/>
      <c r="B512" s="34"/>
      <c r="C512" s="35"/>
      <c r="D512" s="35"/>
      <c r="E512" s="34"/>
      <c r="F512" s="34"/>
      <c r="G512" s="34"/>
      <c r="H512" s="34"/>
      <c r="I512" s="34"/>
      <c r="J512" s="34"/>
      <c r="K512" s="34"/>
      <c r="L512" s="34"/>
      <c r="M512" s="36"/>
      <c r="N512" s="36"/>
      <c r="O512" s="36"/>
      <c r="P512" s="36"/>
      <c r="Q512" s="36"/>
      <c r="R512" s="36"/>
      <c r="S512" s="36"/>
    </row>
    <row r="513">
      <c r="A513" s="34"/>
      <c r="B513" s="34"/>
      <c r="C513" s="35"/>
      <c r="D513" s="35"/>
      <c r="E513" s="34"/>
      <c r="F513" s="34"/>
      <c r="G513" s="34"/>
      <c r="H513" s="34"/>
      <c r="I513" s="34"/>
      <c r="J513" s="34"/>
      <c r="K513" s="34"/>
      <c r="L513" s="34"/>
      <c r="M513" s="36"/>
      <c r="N513" s="36"/>
      <c r="O513" s="36"/>
      <c r="P513" s="36"/>
      <c r="Q513" s="36"/>
      <c r="R513" s="36"/>
      <c r="S513" s="36"/>
    </row>
    <row r="514">
      <c r="A514" s="34"/>
      <c r="B514" s="34"/>
      <c r="C514" s="35"/>
      <c r="D514" s="35"/>
      <c r="E514" s="34"/>
      <c r="F514" s="34"/>
      <c r="G514" s="34"/>
      <c r="H514" s="34"/>
      <c r="I514" s="34"/>
      <c r="J514" s="34"/>
      <c r="K514" s="34"/>
      <c r="L514" s="34"/>
      <c r="M514" s="36"/>
      <c r="N514" s="36"/>
      <c r="O514" s="36"/>
      <c r="P514" s="36"/>
      <c r="Q514" s="36"/>
      <c r="R514" s="36"/>
      <c r="S514" s="36"/>
    </row>
    <row r="515">
      <c r="A515" s="34"/>
      <c r="B515" s="34"/>
      <c r="C515" s="35"/>
      <c r="D515" s="35"/>
      <c r="E515" s="34"/>
      <c r="F515" s="34"/>
      <c r="G515" s="34"/>
      <c r="H515" s="34"/>
      <c r="I515" s="34"/>
      <c r="J515" s="34"/>
      <c r="K515" s="34"/>
      <c r="L515" s="34"/>
      <c r="M515" s="36"/>
      <c r="N515" s="36"/>
      <c r="O515" s="36"/>
      <c r="P515" s="36"/>
      <c r="Q515" s="36"/>
      <c r="R515" s="36"/>
      <c r="S515" s="36"/>
    </row>
    <row r="516">
      <c r="A516" s="34"/>
      <c r="B516" s="34"/>
      <c r="C516" s="35"/>
      <c r="D516" s="35"/>
      <c r="E516" s="34"/>
      <c r="F516" s="34"/>
      <c r="G516" s="34"/>
      <c r="H516" s="34"/>
      <c r="I516" s="34"/>
      <c r="J516" s="34"/>
      <c r="K516" s="34"/>
      <c r="L516" s="34"/>
      <c r="M516" s="36"/>
      <c r="N516" s="36"/>
      <c r="O516" s="36"/>
      <c r="P516" s="36"/>
      <c r="Q516" s="36"/>
      <c r="R516" s="36"/>
      <c r="S516" s="36"/>
    </row>
    <row r="517">
      <c r="A517" s="34"/>
      <c r="B517" s="34"/>
      <c r="C517" s="35"/>
      <c r="D517" s="35"/>
      <c r="E517" s="34"/>
      <c r="F517" s="34"/>
      <c r="G517" s="34"/>
      <c r="H517" s="34"/>
      <c r="I517" s="34"/>
      <c r="J517" s="34"/>
      <c r="K517" s="34"/>
      <c r="L517" s="34"/>
      <c r="M517" s="36"/>
      <c r="N517" s="36"/>
      <c r="O517" s="36"/>
      <c r="P517" s="36"/>
      <c r="Q517" s="36"/>
      <c r="R517" s="36"/>
      <c r="S517" s="36"/>
    </row>
    <row r="518">
      <c r="A518" s="34"/>
      <c r="B518" s="34"/>
      <c r="C518" s="35"/>
      <c r="D518" s="35"/>
      <c r="E518" s="34"/>
      <c r="F518" s="34"/>
      <c r="G518" s="34"/>
      <c r="H518" s="34"/>
      <c r="I518" s="34"/>
      <c r="J518" s="34"/>
      <c r="K518" s="34"/>
      <c r="L518" s="34"/>
      <c r="M518" s="36"/>
      <c r="N518" s="36"/>
      <c r="O518" s="36"/>
      <c r="P518" s="36"/>
      <c r="Q518" s="36"/>
      <c r="R518" s="36"/>
      <c r="S518" s="36"/>
    </row>
    <row r="519">
      <c r="A519" s="34"/>
      <c r="B519" s="34"/>
      <c r="C519" s="35"/>
      <c r="D519" s="35"/>
      <c r="E519" s="34"/>
      <c r="F519" s="34"/>
      <c r="G519" s="34"/>
      <c r="H519" s="34"/>
      <c r="I519" s="34"/>
      <c r="J519" s="34"/>
      <c r="K519" s="34"/>
      <c r="L519" s="34"/>
      <c r="M519" s="36"/>
      <c r="N519" s="36"/>
      <c r="O519" s="36"/>
      <c r="P519" s="36"/>
      <c r="Q519" s="36"/>
      <c r="R519" s="36"/>
      <c r="S519" s="36"/>
    </row>
    <row r="520">
      <c r="A520" s="34"/>
      <c r="B520" s="34"/>
      <c r="C520" s="35"/>
      <c r="D520" s="35"/>
      <c r="E520" s="34"/>
      <c r="F520" s="34"/>
      <c r="G520" s="34"/>
      <c r="H520" s="34"/>
      <c r="I520" s="34"/>
      <c r="J520" s="34"/>
      <c r="K520" s="34"/>
      <c r="L520" s="34"/>
      <c r="M520" s="36"/>
      <c r="N520" s="36"/>
      <c r="O520" s="36"/>
      <c r="P520" s="36"/>
      <c r="Q520" s="36"/>
      <c r="R520" s="36"/>
      <c r="S520" s="36"/>
    </row>
    <row r="521">
      <c r="A521" s="34"/>
      <c r="B521" s="34"/>
      <c r="C521" s="35"/>
      <c r="D521" s="35"/>
      <c r="E521" s="34"/>
      <c r="F521" s="34"/>
      <c r="G521" s="34"/>
      <c r="H521" s="34"/>
      <c r="I521" s="34"/>
      <c r="J521" s="34"/>
      <c r="K521" s="34"/>
      <c r="L521" s="34"/>
      <c r="M521" s="36"/>
      <c r="N521" s="36"/>
      <c r="O521" s="36"/>
      <c r="P521" s="36"/>
      <c r="Q521" s="36"/>
      <c r="R521" s="36"/>
      <c r="S521" s="36"/>
    </row>
    <row r="522">
      <c r="A522" s="34"/>
      <c r="B522" s="34"/>
      <c r="C522" s="35"/>
      <c r="D522" s="35"/>
      <c r="E522" s="34"/>
      <c r="F522" s="34"/>
      <c r="G522" s="34"/>
      <c r="H522" s="34"/>
      <c r="I522" s="34"/>
      <c r="J522" s="34"/>
      <c r="K522" s="34"/>
      <c r="L522" s="34"/>
      <c r="M522" s="36"/>
      <c r="N522" s="36"/>
      <c r="O522" s="36"/>
      <c r="P522" s="36"/>
      <c r="Q522" s="36"/>
      <c r="R522" s="36"/>
      <c r="S522" s="36"/>
    </row>
    <row r="523">
      <c r="A523" s="34"/>
      <c r="B523" s="34"/>
      <c r="C523" s="35"/>
      <c r="D523" s="35"/>
      <c r="E523" s="34"/>
      <c r="F523" s="34"/>
      <c r="G523" s="34"/>
      <c r="H523" s="34"/>
      <c r="I523" s="34"/>
      <c r="J523" s="34"/>
      <c r="K523" s="34"/>
      <c r="L523" s="34"/>
      <c r="M523" s="36"/>
      <c r="N523" s="36"/>
      <c r="O523" s="36"/>
      <c r="P523" s="36"/>
      <c r="Q523" s="36"/>
      <c r="R523" s="36"/>
      <c r="S523" s="36"/>
    </row>
    <row r="524">
      <c r="A524" s="34"/>
      <c r="B524" s="34"/>
      <c r="C524" s="35"/>
      <c r="D524" s="35"/>
      <c r="E524" s="34"/>
      <c r="F524" s="34"/>
      <c r="G524" s="34"/>
      <c r="H524" s="34"/>
      <c r="I524" s="34"/>
      <c r="J524" s="34"/>
      <c r="K524" s="34"/>
      <c r="L524" s="34"/>
      <c r="M524" s="36"/>
      <c r="N524" s="36"/>
      <c r="O524" s="36"/>
      <c r="P524" s="36"/>
      <c r="Q524" s="36"/>
      <c r="R524" s="36"/>
      <c r="S524" s="36"/>
    </row>
    <row r="525">
      <c r="A525" s="34"/>
      <c r="B525" s="34"/>
      <c r="C525" s="35"/>
      <c r="D525" s="35"/>
      <c r="E525" s="34"/>
      <c r="F525" s="34"/>
      <c r="G525" s="34"/>
      <c r="H525" s="34"/>
      <c r="I525" s="34"/>
      <c r="J525" s="34"/>
      <c r="K525" s="34"/>
      <c r="L525" s="34"/>
      <c r="M525" s="36"/>
      <c r="N525" s="36"/>
      <c r="O525" s="36"/>
      <c r="P525" s="36"/>
      <c r="Q525" s="36"/>
      <c r="R525" s="36"/>
      <c r="S525" s="36"/>
    </row>
    <row r="526">
      <c r="A526" s="34"/>
      <c r="B526" s="34"/>
      <c r="C526" s="35"/>
      <c r="D526" s="35"/>
      <c r="E526" s="34"/>
      <c r="F526" s="34"/>
      <c r="G526" s="34"/>
      <c r="H526" s="34"/>
      <c r="I526" s="34"/>
      <c r="J526" s="34"/>
      <c r="K526" s="34"/>
      <c r="L526" s="34"/>
      <c r="M526" s="36"/>
      <c r="N526" s="36"/>
      <c r="O526" s="36"/>
      <c r="P526" s="36"/>
      <c r="Q526" s="36"/>
      <c r="R526" s="36"/>
      <c r="S526" s="36"/>
    </row>
    <row r="527">
      <c r="A527" s="34"/>
      <c r="B527" s="34"/>
      <c r="C527" s="35"/>
      <c r="D527" s="35"/>
      <c r="E527" s="34"/>
      <c r="F527" s="34"/>
      <c r="G527" s="34"/>
      <c r="H527" s="34"/>
      <c r="I527" s="34"/>
      <c r="J527" s="34"/>
      <c r="K527" s="34"/>
      <c r="L527" s="34"/>
      <c r="M527" s="36"/>
      <c r="N527" s="36"/>
      <c r="O527" s="36"/>
      <c r="P527" s="36"/>
      <c r="Q527" s="36"/>
      <c r="R527" s="36"/>
      <c r="S527" s="36"/>
    </row>
    <row r="528">
      <c r="A528" s="34"/>
      <c r="B528" s="34"/>
      <c r="C528" s="35"/>
      <c r="D528" s="35"/>
      <c r="E528" s="34"/>
      <c r="F528" s="34"/>
      <c r="G528" s="34"/>
      <c r="H528" s="34"/>
      <c r="I528" s="34"/>
      <c r="J528" s="34"/>
      <c r="K528" s="34"/>
      <c r="L528" s="34"/>
      <c r="M528" s="36"/>
      <c r="N528" s="36"/>
      <c r="O528" s="36"/>
      <c r="P528" s="36"/>
      <c r="Q528" s="36"/>
      <c r="R528" s="36"/>
      <c r="S528" s="36"/>
    </row>
    <row r="529">
      <c r="A529" s="34"/>
      <c r="B529" s="34"/>
      <c r="C529" s="35"/>
      <c r="D529" s="35"/>
      <c r="E529" s="34"/>
      <c r="F529" s="34"/>
      <c r="G529" s="34"/>
      <c r="H529" s="34"/>
      <c r="I529" s="34"/>
      <c r="J529" s="34"/>
      <c r="K529" s="34"/>
      <c r="L529" s="34"/>
      <c r="M529" s="36"/>
      <c r="N529" s="36"/>
      <c r="O529" s="36"/>
      <c r="P529" s="36"/>
      <c r="Q529" s="36"/>
      <c r="R529" s="36"/>
      <c r="S529" s="36"/>
    </row>
    <row r="530">
      <c r="A530" s="34"/>
      <c r="B530" s="34"/>
      <c r="C530" s="35"/>
      <c r="D530" s="35"/>
      <c r="E530" s="34"/>
      <c r="F530" s="34"/>
      <c r="G530" s="34"/>
      <c r="H530" s="34"/>
      <c r="I530" s="34"/>
      <c r="J530" s="34"/>
      <c r="K530" s="34"/>
      <c r="L530" s="34"/>
      <c r="M530" s="36"/>
      <c r="N530" s="36"/>
      <c r="O530" s="36"/>
      <c r="P530" s="36"/>
      <c r="Q530" s="36"/>
      <c r="R530" s="36"/>
      <c r="S530" s="36"/>
    </row>
    <row r="531">
      <c r="A531" s="34"/>
      <c r="B531" s="34"/>
      <c r="C531" s="35"/>
      <c r="D531" s="35"/>
      <c r="E531" s="34"/>
      <c r="F531" s="34"/>
      <c r="G531" s="34"/>
      <c r="H531" s="34"/>
      <c r="I531" s="34"/>
      <c r="J531" s="34"/>
      <c r="K531" s="34"/>
      <c r="L531" s="34"/>
      <c r="M531" s="36"/>
      <c r="N531" s="36"/>
      <c r="O531" s="36"/>
      <c r="P531" s="36"/>
      <c r="Q531" s="36"/>
      <c r="R531" s="36"/>
      <c r="S531" s="36"/>
    </row>
    <row r="532">
      <c r="A532" s="34"/>
      <c r="B532" s="34"/>
      <c r="C532" s="35"/>
      <c r="D532" s="35"/>
      <c r="E532" s="34"/>
      <c r="F532" s="34"/>
      <c r="G532" s="34"/>
      <c r="H532" s="34"/>
      <c r="I532" s="34"/>
      <c r="J532" s="34"/>
      <c r="K532" s="34"/>
      <c r="L532" s="34"/>
      <c r="M532" s="36"/>
      <c r="N532" s="36"/>
      <c r="O532" s="36"/>
      <c r="P532" s="36"/>
      <c r="Q532" s="36"/>
      <c r="R532" s="36"/>
      <c r="S532" s="36"/>
    </row>
    <row r="533">
      <c r="A533" s="34"/>
      <c r="B533" s="34"/>
      <c r="C533" s="35"/>
      <c r="D533" s="35"/>
      <c r="E533" s="34"/>
      <c r="F533" s="34"/>
      <c r="G533" s="34"/>
      <c r="H533" s="34"/>
      <c r="I533" s="34"/>
      <c r="J533" s="34"/>
      <c r="K533" s="34"/>
      <c r="L533" s="34"/>
      <c r="M533" s="36"/>
      <c r="N533" s="36"/>
      <c r="O533" s="36"/>
      <c r="P533" s="36"/>
      <c r="Q533" s="36"/>
      <c r="R533" s="36"/>
      <c r="S533" s="36"/>
    </row>
    <row r="534">
      <c r="A534" s="34"/>
      <c r="B534" s="34"/>
      <c r="C534" s="35"/>
      <c r="D534" s="35"/>
      <c r="E534" s="34"/>
      <c r="F534" s="34"/>
      <c r="G534" s="34"/>
      <c r="H534" s="34"/>
      <c r="I534" s="34"/>
      <c r="J534" s="34"/>
      <c r="K534" s="34"/>
      <c r="L534" s="34"/>
      <c r="M534" s="36"/>
      <c r="N534" s="36"/>
      <c r="O534" s="36"/>
      <c r="P534" s="36"/>
      <c r="Q534" s="36"/>
      <c r="R534" s="36"/>
      <c r="S534" s="36"/>
    </row>
    <row r="535">
      <c r="A535" s="34"/>
      <c r="B535" s="34"/>
      <c r="C535" s="35"/>
      <c r="D535" s="35"/>
      <c r="E535" s="34"/>
      <c r="F535" s="34"/>
      <c r="G535" s="34"/>
      <c r="H535" s="34"/>
      <c r="I535" s="34"/>
      <c r="J535" s="34"/>
      <c r="K535" s="34"/>
      <c r="L535" s="34"/>
      <c r="M535" s="36"/>
      <c r="N535" s="36"/>
      <c r="O535" s="36"/>
      <c r="P535" s="36"/>
      <c r="Q535" s="36"/>
      <c r="R535" s="36"/>
      <c r="S535" s="36"/>
    </row>
    <row r="536">
      <c r="A536" s="34"/>
      <c r="B536" s="34"/>
      <c r="C536" s="35"/>
      <c r="D536" s="35"/>
      <c r="E536" s="34"/>
      <c r="F536" s="34"/>
      <c r="G536" s="34"/>
      <c r="H536" s="34"/>
      <c r="I536" s="34"/>
      <c r="J536" s="34"/>
      <c r="K536" s="34"/>
      <c r="L536" s="34"/>
      <c r="M536" s="36"/>
      <c r="N536" s="36"/>
      <c r="O536" s="36"/>
      <c r="P536" s="36"/>
      <c r="Q536" s="36"/>
      <c r="R536" s="36"/>
      <c r="S536" s="36"/>
    </row>
    <row r="537">
      <c r="A537" s="34"/>
      <c r="B537" s="34"/>
      <c r="C537" s="35"/>
      <c r="D537" s="35"/>
      <c r="E537" s="34"/>
      <c r="F537" s="34"/>
      <c r="G537" s="34"/>
      <c r="H537" s="34"/>
      <c r="I537" s="34"/>
      <c r="J537" s="34"/>
      <c r="K537" s="34"/>
      <c r="L537" s="34"/>
      <c r="M537" s="36"/>
      <c r="N537" s="36"/>
      <c r="O537" s="36"/>
      <c r="P537" s="36"/>
      <c r="Q537" s="36"/>
      <c r="R537" s="36"/>
      <c r="S537" s="36"/>
    </row>
    <row r="538">
      <c r="A538" s="34"/>
      <c r="B538" s="34"/>
      <c r="C538" s="35"/>
      <c r="D538" s="35"/>
      <c r="E538" s="34"/>
      <c r="F538" s="34"/>
      <c r="G538" s="34"/>
      <c r="H538" s="34"/>
      <c r="I538" s="34"/>
      <c r="J538" s="34"/>
      <c r="K538" s="34"/>
      <c r="L538" s="34"/>
      <c r="M538" s="36"/>
      <c r="N538" s="36"/>
      <c r="O538" s="36"/>
      <c r="P538" s="36"/>
      <c r="Q538" s="36"/>
      <c r="R538" s="36"/>
      <c r="S538" s="36"/>
    </row>
    <row r="539">
      <c r="A539" s="34"/>
      <c r="B539" s="34"/>
      <c r="C539" s="35"/>
      <c r="D539" s="35"/>
      <c r="E539" s="34"/>
      <c r="F539" s="34"/>
      <c r="G539" s="34"/>
      <c r="H539" s="34"/>
      <c r="I539" s="34"/>
      <c r="J539" s="34"/>
      <c r="K539" s="34"/>
      <c r="L539" s="34"/>
      <c r="M539" s="36"/>
      <c r="N539" s="36"/>
      <c r="O539" s="36"/>
      <c r="P539" s="36"/>
      <c r="Q539" s="36"/>
      <c r="R539" s="36"/>
      <c r="S539" s="36"/>
    </row>
    <row r="540">
      <c r="A540" s="34"/>
      <c r="B540" s="34"/>
      <c r="C540" s="35"/>
      <c r="D540" s="35"/>
      <c r="E540" s="34"/>
      <c r="F540" s="34"/>
      <c r="G540" s="34"/>
      <c r="H540" s="34"/>
      <c r="I540" s="34"/>
      <c r="J540" s="34"/>
      <c r="K540" s="34"/>
      <c r="L540" s="34"/>
      <c r="M540" s="36"/>
      <c r="N540" s="36"/>
      <c r="O540" s="36"/>
      <c r="P540" s="36"/>
      <c r="Q540" s="36"/>
      <c r="R540" s="36"/>
      <c r="S540" s="36"/>
    </row>
    <row r="541">
      <c r="A541" s="34"/>
      <c r="B541" s="36"/>
      <c r="C541" s="35"/>
      <c r="D541" s="35"/>
      <c r="E541" s="34"/>
      <c r="F541" s="34"/>
      <c r="G541" s="34"/>
      <c r="H541" s="34"/>
      <c r="I541" s="34"/>
      <c r="J541" s="34"/>
      <c r="K541" s="34"/>
      <c r="L541" s="34"/>
      <c r="M541" s="36"/>
      <c r="N541" s="36"/>
      <c r="O541" s="36"/>
      <c r="P541" s="36"/>
      <c r="Q541" s="36"/>
      <c r="R541" s="36"/>
      <c r="S541" s="36"/>
    </row>
    <row r="542">
      <c r="A542" s="34"/>
      <c r="B542" s="34"/>
      <c r="C542" s="35"/>
      <c r="D542" s="35"/>
      <c r="E542" s="34"/>
      <c r="F542" s="34"/>
      <c r="G542" s="34"/>
      <c r="H542" s="34"/>
      <c r="I542" s="34"/>
      <c r="J542" s="34"/>
      <c r="K542" s="34"/>
      <c r="L542" s="34"/>
      <c r="M542" s="36"/>
      <c r="N542" s="36"/>
      <c r="O542" s="36"/>
      <c r="P542" s="36"/>
      <c r="Q542" s="36"/>
      <c r="R542" s="36"/>
      <c r="S542" s="36"/>
    </row>
    <row r="543">
      <c r="A543" s="34"/>
      <c r="B543" s="34"/>
      <c r="C543" s="35"/>
      <c r="D543" s="35"/>
      <c r="E543" s="34"/>
      <c r="F543" s="34"/>
      <c r="G543" s="34"/>
      <c r="H543" s="34"/>
      <c r="I543" s="34"/>
      <c r="J543" s="34"/>
      <c r="K543" s="34"/>
      <c r="L543" s="34"/>
      <c r="M543" s="36"/>
      <c r="N543" s="36"/>
      <c r="O543" s="36"/>
      <c r="P543" s="36"/>
      <c r="Q543" s="36"/>
      <c r="R543" s="36"/>
      <c r="S543" s="36"/>
    </row>
    <row r="544">
      <c r="A544" s="34"/>
      <c r="B544" s="36"/>
      <c r="C544" s="35"/>
      <c r="D544" s="35"/>
      <c r="E544" s="34"/>
      <c r="F544" s="34"/>
      <c r="G544" s="34"/>
      <c r="H544" s="34"/>
      <c r="I544" s="34"/>
      <c r="J544" s="34"/>
      <c r="K544" s="34"/>
      <c r="L544" s="34"/>
      <c r="M544" s="36"/>
      <c r="N544" s="36"/>
      <c r="O544" s="36"/>
      <c r="P544" s="36"/>
      <c r="Q544" s="36"/>
      <c r="R544" s="36"/>
      <c r="S544" s="36"/>
    </row>
    <row r="545">
      <c r="A545" s="34"/>
      <c r="B545" s="34"/>
      <c r="C545" s="35"/>
      <c r="D545" s="35"/>
      <c r="E545" s="34"/>
      <c r="F545" s="34"/>
      <c r="G545" s="34"/>
      <c r="H545" s="34"/>
      <c r="I545" s="34"/>
      <c r="J545" s="34"/>
      <c r="K545" s="34"/>
      <c r="L545" s="34"/>
      <c r="M545" s="36"/>
      <c r="N545" s="36"/>
      <c r="O545" s="36"/>
      <c r="P545" s="36"/>
      <c r="Q545" s="36"/>
      <c r="R545" s="36"/>
      <c r="S545" s="36"/>
    </row>
    <row r="546">
      <c r="A546" s="34"/>
      <c r="B546" s="34"/>
      <c r="C546" s="35"/>
      <c r="D546" s="35"/>
      <c r="E546" s="34"/>
      <c r="F546" s="34"/>
      <c r="G546" s="34"/>
      <c r="H546" s="34"/>
      <c r="I546" s="34"/>
      <c r="J546" s="34"/>
      <c r="K546" s="34"/>
      <c r="L546" s="34"/>
      <c r="M546" s="36"/>
      <c r="N546" s="36"/>
      <c r="O546" s="36"/>
      <c r="P546" s="36"/>
      <c r="Q546" s="36"/>
      <c r="R546" s="36"/>
      <c r="S546" s="36"/>
    </row>
    <row r="547">
      <c r="A547" s="34"/>
      <c r="B547" s="34"/>
      <c r="C547" s="35"/>
      <c r="D547" s="35"/>
      <c r="E547" s="34"/>
      <c r="F547" s="34"/>
      <c r="G547" s="34"/>
      <c r="H547" s="34"/>
      <c r="I547" s="34"/>
      <c r="J547" s="34"/>
      <c r="K547" s="34"/>
      <c r="L547" s="34"/>
      <c r="M547" s="36"/>
      <c r="N547" s="36"/>
      <c r="O547" s="36"/>
      <c r="P547" s="36"/>
      <c r="Q547" s="36"/>
      <c r="R547" s="36"/>
      <c r="S547" s="36"/>
    </row>
    <row r="548">
      <c r="A548" s="34"/>
      <c r="B548" s="36"/>
      <c r="C548" s="35"/>
      <c r="D548" s="35"/>
      <c r="E548" s="34"/>
      <c r="F548" s="34"/>
      <c r="G548" s="34"/>
      <c r="H548" s="34"/>
      <c r="I548" s="34"/>
      <c r="J548" s="34"/>
      <c r="K548" s="34"/>
      <c r="L548" s="34"/>
      <c r="M548" s="36"/>
      <c r="N548" s="36"/>
      <c r="O548" s="36"/>
      <c r="P548" s="36"/>
      <c r="Q548" s="36"/>
      <c r="R548" s="36"/>
      <c r="S548" s="36"/>
    </row>
    <row r="549">
      <c r="A549" s="34"/>
      <c r="B549" s="36"/>
      <c r="C549" s="35"/>
      <c r="D549" s="35"/>
      <c r="E549" s="34"/>
      <c r="F549" s="34"/>
      <c r="G549" s="34"/>
      <c r="H549" s="34"/>
      <c r="I549" s="34"/>
      <c r="J549" s="34"/>
      <c r="K549" s="34"/>
      <c r="L549" s="34"/>
      <c r="M549" s="36"/>
      <c r="N549" s="36"/>
      <c r="O549" s="36"/>
      <c r="P549" s="36"/>
      <c r="Q549" s="36"/>
      <c r="R549" s="36"/>
      <c r="S549" s="36"/>
    </row>
    <row r="550">
      <c r="A550" s="34"/>
      <c r="B550" s="34"/>
      <c r="C550" s="35"/>
      <c r="D550" s="35"/>
      <c r="E550" s="34"/>
      <c r="F550" s="34"/>
      <c r="G550" s="34"/>
      <c r="H550" s="34"/>
      <c r="I550" s="34"/>
      <c r="J550" s="34"/>
      <c r="K550" s="34"/>
      <c r="L550" s="34"/>
      <c r="M550" s="36"/>
      <c r="N550" s="36"/>
      <c r="O550" s="36"/>
      <c r="P550" s="36"/>
      <c r="Q550" s="36"/>
      <c r="R550" s="36"/>
      <c r="S550" s="36"/>
    </row>
    <row r="551">
      <c r="A551" s="34"/>
      <c r="B551" s="34"/>
      <c r="C551" s="35"/>
      <c r="D551" s="35"/>
      <c r="E551" s="34"/>
      <c r="F551" s="34"/>
      <c r="G551" s="34"/>
      <c r="H551" s="34"/>
      <c r="I551" s="34"/>
      <c r="J551" s="34"/>
      <c r="K551" s="34"/>
      <c r="L551" s="34"/>
      <c r="M551" s="36"/>
      <c r="N551" s="36"/>
      <c r="O551" s="36"/>
      <c r="P551" s="36"/>
      <c r="Q551" s="36"/>
      <c r="R551" s="36"/>
      <c r="S551" s="36"/>
    </row>
    <row r="552">
      <c r="A552" s="34"/>
      <c r="B552" s="34"/>
      <c r="C552" s="35"/>
      <c r="D552" s="35"/>
      <c r="E552" s="34"/>
      <c r="F552" s="34"/>
      <c r="G552" s="34"/>
      <c r="H552" s="34"/>
      <c r="I552" s="34"/>
      <c r="J552" s="34"/>
      <c r="K552" s="34"/>
      <c r="L552" s="34"/>
      <c r="M552" s="36"/>
      <c r="N552" s="36"/>
      <c r="O552" s="36"/>
      <c r="P552" s="36"/>
      <c r="Q552" s="36"/>
      <c r="R552" s="36"/>
      <c r="S552" s="36"/>
    </row>
    <row r="553">
      <c r="A553" s="34"/>
      <c r="B553" s="36"/>
      <c r="C553" s="35"/>
      <c r="D553" s="35"/>
      <c r="E553" s="34"/>
      <c r="F553" s="34"/>
      <c r="G553" s="34"/>
      <c r="H553" s="34"/>
      <c r="I553" s="34"/>
      <c r="J553" s="34"/>
      <c r="K553" s="34"/>
      <c r="L553" s="34"/>
      <c r="M553" s="36"/>
      <c r="N553" s="36"/>
      <c r="O553" s="36"/>
      <c r="P553" s="36"/>
      <c r="Q553" s="36"/>
      <c r="R553" s="36"/>
      <c r="S553" s="36"/>
    </row>
    <row r="554">
      <c r="A554" s="34"/>
      <c r="B554" s="36"/>
      <c r="C554" s="35"/>
      <c r="D554" s="35"/>
      <c r="E554" s="34"/>
      <c r="F554" s="34"/>
      <c r="G554" s="34"/>
      <c r="H554" s="34"/>
      <c r="I554" s="34"/>
      <c r="J554" s="34"/>
      <c r="K554" s="34"/>
      <c r="L554" s="34"/>
      <c r="M554" s="36"/>
      <c r="N554" s="36"/>
      <c r="O554" s="36"/>
      <c r="P554" s="36"/>
      <c r="Q554" s="36"/>
      <c r="R554" s="36"/>
      <c r="S554" s="36"/>
    </row>
    <row r="555">
      <c r="A555" s="34"/>
      <c r="B555" s="34"/>
      <c r="C555" s="35"/>
      <c r="D555" s="35"/>
      <c r="E555" s="34"/>
      <c r="F555" s="34"/>
      <c r="G555" s="34"/>
      <c r="H555" s="34"/>
      <c r="I555" s="34"/>
      <c r="J555" s="34"/>
      <c r="K555" s="34"/>
      <c r="L555" s="34"/>
      <c r="M555" s="36"/>
      <c r="N555" s="36"/>
      <c r="O555" s="36"/>
      <c r="P555" s="36"/>
      <c r="Q555" s="36"/>
      <c r="R555" s="36"/>
      <c r="S555" s="36"/>
    </row>
    <row r="556">
      <c r="A556" s="34"/>
      <c r="B556" s="34"/>
      <c r="C556" s="35"/>
      <c r="D556" s="35"/>
      <c r="E556" s="34"/>
      <c r="F556" s="34"/>
      <c r="G556" s="34"/>
      <c r="H556" s="34"/>
      <c r="I556" s="34"/>
      <c r="J556" s="34"/>
      <c r="K556" s="34"/>
      <c r="L556" s="34"/>
      <c r="M556" s="36"/>
      <c r="N556" s="36"/>
      <c r="O556" s="36"/>
      <c r="P556" s="36"/>
      <c r="Q556" s="36"/>
      <c r="R556" s="36"/>
      <c r="S556" s="36"/>
    </row>
    <row r="557">
      <c r="A557" s="34"/>
      <c r="B557" s="34"/>
      <c r="C557" s="35"/>
      <c r="D557" s="35"/>
      <c r="E557" s="34"/>
      <c r="F557" s="34"/>
      <c r="G557" s="34"/>
      <c r="H557" s="34"/>
      <c r="I557" s="34"/>
      <c r="J557" s="34"/>
      <c r="K557" s="34"/>
      <c r="L557" s="34"/>
      <c r="M557" s="36"/>
      <c r="N557" s="36"/>
      <c r="O557" s="36"/>
      <c r="P557" s="36"/>
      <c r="Q557" s="36"/>
      <c r="R557" s="36"/>
      <c r="S557" s="36"/>
    </row>
    <row r="558">
      <c r="A558" s="34"/>
      <c r="B558" s="34"/>
      <c r="C558" s="35"/>
      <c r="D558" s="35"/>
      <c r="E558" s="34"/>
      <c r="F558" s="34"/>
      <c r="G558" s="34"/>
      <c r="H558" s="34"/>
      <c r="I558" s="34"/>
      <c r="J558" s="34"/>
      <c r="K558" s="34"/>
      <c r="L558" s="34"/>
      <c r="M558" s="36"/>
      <c r="N558" s="36"/>
      <c r="O558" s="36"/>
      <c r="P558" s="36"/>
      <c r="Q558" s="36"/>
      <c r="R558" s="36"/>
      <c r="S558" s="36"/>
    </row>
    <row r="559">
      <c r="A559" s="34"/>
      <c r="B559" s="34"/>
      <c r="C559" s="35"/>
      <c r="D559" s="35"/>
      <c r="E559" s="34"/>
      <c r="F559" s="34"/>
      <c r="G559" s="34"/>
      <c r="H559" s="34"/>
      <c r="I559" s="34"/>
      <c r="J559" s="34"/>
      <c r="K559" s="34"/>
      <c r="L559" s="34"/>
      <c r="M559" s="36"/>
      <c r="N559" s="36"/>
      <c r="O559" s="36"/>
      <c r="P559" s="36"/>
      <c r="Q559" s="36"/>
      <c r="R559" s="36"/>
      <c r="S559" s="36"/>
    </row>
    <row r="560">
      <c r="A560" s="34"/>
      <c r="B560" s="34"/>
      <c r="C560" s="35"/>
      <c r="D560" s="35"/>
      <c r="E560" s="34"/>
      <c r="F560" s="34"/>
      <c r="G560" s="34"/>
      <c r="H560" s="34"/>
      <c r="I560" s="34"/>
      <c r="J560" s="34"/>
      <c r="K560" s="34"/>
      <c r="L560" s="34"/>
      <c r="M560" s="36"/>
      <c r="N560" s="36"/>
      <c r="O560" s="36"/>
      <c r="P560" s="36"/>
      <c r="Q560" s="36"/>
      <c r="R560" s="36"/>
      <c r="S560" s="36"/>
    </row>
    <row r="561">
      <c r="A561" s="34"/>
      <c r="B561" s="34"/>
      <c r="C561" s="35"/>
      <c r="D561" s="35"/>
      <c r="E561" s="34"/>
      <c r="F561" s="34"/>
      <c r="G561" s="34"/>
      <c r="H561" s="34"/>
      <c r="I561" s="34"/>
      <c r="J561" s="34"/>
      <c r="K561" s="34"/>
      <c r="L561" s="34"/>
      <c r="M561" s="36"/>
      <c r="N561" s="36"/>
      <c r="O561" s="36"/>
      <c r="P561" s="36"/>
      <c r="Q561" s="36"/>
      <c r="R561" s="36"/>
      <c r="S561" s="36"/>
    </row>
    <row r="562">
      <c r="A562" s="34"/>
      <c r="B562" s="34"/>
      <c r="C562" s="35"/>
      <c r="D562" s="35"/>
      <c r="E562" s="34"/>
      <c r="F562" s="34"/>
      <c r="G562" s="34"/>
      <c r="H562" s="34"/>
      <c r="I562" s="34"/>
      <c r="J562" s="34"/>
      <c r="K562" s="34"/>
      <c r="L562" s="34"/>
      <c r="M562" s="36"/>
      <c r="N562" s="36"/>
      <c r="O562" s="36"/>
      <c r="P562" s="36"/>
      <c r="Q562" s="36"/>
      <c r="R562" s="36"/>
      <c r="S562" s="36"/>
    </row>
    <row r="563">
      <c r="A563" s="34"/>
      <c r="B563" s="36"/>
      <c r="C563" s="35"/>
      <c r="D563" s="35"/>
      <c r="E563" s="34"/>
      <c r="F563" s="34"/>
      <c r="G563" s="34"/>
      <c r="H563" s="34"/>
      <c r="I563" s="34"/>
      <c r="J563" s="34"/>
      <c r="K563" s="34"/>
      <c r="L563" s="34"/>
      <c r="M563" s="36"/>
      <c r="N563" s="36"/>
      <c r="O563" s="36"/>
      <c r="P563" s="36"/>
      <c r="Q563" s="36"/>
      <c r="R563" s="36"/>
      <c r="S563" s="36"/>
    </row>
    <row r="564">
      <c r="A564" s="34"/>
      <c r="B564" s="34"/>
      <c r="C564" s="35"/>
      <c r="D564" s="35"/>
      <c r="E564" s="34"/>
      <c r="F564" s="34"/>
      <c r="G564" s="34"/>
      <c r="H564" s="34"/>
      <c r="I564" s="34"/>
      <c r="J564" s="34"/>
      <c r="K564" s="34"/>
      <c r="L564" s="34"/>
      <c r="M564" s="36"/>
      <c r="N564" s="36"/>
      <c r="O564" s="36"/>
      <c r="P564" s="36"/>
      <c r="Q564" s="36"/>
      <c r="R564" s="36"/>
      <c r="S564" s="36"/>
    </row>
    <row r="565">
      <c r="A565" s="34"/>
      <c r="B565" s="34"/>
      <c r="C565" s="35"/>
      <c r="D565" s="35"/>
      <c r="E565" s="34"/>
      <c r="F565" s="34"/>
      <c r="G565" s="34"/>
      <c r="H565" s="34"/>
      <c r="I565" s="34"/>
      <c r="J565" s="34"/>
      <c r="K565" s="34"/>
      <c r="L565" s="34"/>
      <c r="M565" s="36"/>
      <c r="N565" s="36"/>
      <c r="O565" s="36"/>
      <c r="P565" s="36"/>
      <c r="Q565" s="36"/>
      <c r="R565" s="36"/>
      <c r="S565" s="36"/>
    </row>
    <row r="566">
      <c r="A566" s="34"/>
      <c r="B566" s="34"/>
      <c r="C566" s="35"/>
      <c r="D566" s="35"/>
      <c r="E566" s="34"/>
      <c r="F566" s="34"/>
      <c r="G566" s="34"/>
      <c r="H566" s="34"/>
      <c r="I566" s="34"/>
      <c r="J566" s="34"/>
      <c r="K566" s="34"/>
      <c r="L566" s="34"/>
      <c r="M566" s="36"/>
      <c r="N566" s="36"/>
      <c r="O566" s="36"/>
      <c r="P566" s="36"/>
      <c r="Q566" s="36"/>
      <c r="R566" s="36"/>
      <c r="S566" s="36"/>
    </row>
    <row r="567">
      <c r="A567" s="34"/>
      <c r="B567" s="36"/>
      <c r="C567" s="35"/>
      <c r="D567" s="35"/>
      <c r="E567" s="34"/>
      <c r="F567" s="34"/>
      <c r="G567" s="34"/>
      <c r="H567" s="34"/>
      <c r="I567" s="34"/>
      <c r="J567" s="34"/>
      <c r="K567" s="34"/>
      <c r="L567" s="34"/>
      <c r="M567" s="36"/>
      <c r="N567" s="36"/>
      <c r="O567" s="36"/>
      <c r="P567" s="36"/>
      <c r="Q567" s="36"/>
      <c r="R567" s="36"/>
      <c r="S567" s="36"/>
    </row>
    <row r="568">
      <c r="A568" s="34"/>
      <c r="B568" s="34"/>
      <c r="C568" s="35"/>
      <c r="D568" s="35"/>
      <c r="E568" s="34"/>
      <c r="F568" s="34"/>
      <c r="G568" s="34"/>
      <c r="H568" s="34"/>
      <c r="I568" s="34"/>
      <c r="J568" s="34"/>
      <c r="K568" s="34"/>
      <c r="L568" s="34"/>
      <c r="M568" s="36"/>
      <c r="N568" s="36"/>
      <c r="O568" s="36"/>
      <c r="P568" s="36"/>
      <c r="Q568" s="36"/>
      <c r="R568" s="36"/>
      <c r="S568" s="36"/>
    </row>
    <row r="569">
      <c r="A569" s="34"/>
      <c r="B569" s="36"/>
      <c r="C569" s="35"/>
      <c r="D569" s="35"/>
      <c r="E569" s="34"/>
      <c r="F569" s="34"/>
      <c r="G569" s="34"/>
      <c r="H569" s="34"/>
      <c r="I569" s="34"/>
      <c r="J569" s="34"/>
      <c r="K569" s="34"/>
      <c r="L569" s="34"/>
      <c r="M569" s="36"/>
      <c r="N569" s="36"/>
      <c r="O569" s="36"/>
      <c r="P569" s="36"/>
      <c r="Q569" s="36"/>
      <c r="R569" s="36"/>
      <c r="S569" s="36"/>
    </row>
    <row r="570">
      <c r="A570" s="34"/>
      <c r="B570" s="34"/>
      <c r="C570" s="35"/>
      <c r="D570" s="35"/>
      <c r="E570" s="34"/>
      <c r="F570" s="34"/>
      <c r="G570" s="34"/>
      <c r="H570" s="34"/>
      <c r="I570" s="34"/>
      <c r="J570" s="34"/>
      <c r="K570" s="34"/>
      <c r="L570" s="34"/>
      <c r="M570" s="36"/>
      <c r="N570" s="36"/>
      <c r="O570" s="36"/>
      <c r="P570" s="36"/>
      <c r="Q570" s="36"/>
      <c r="R570" s="36"/>
      <c r="S570" s="36"/>
    </row>
    <row r="571">
      <c r="A571" s="34"/>
      <c r="B571" s="34"/>
      <c r="C571" s="35"/>
      <c r="D571" s="35"/>
      <c r="E571" s="34"/>
      <c r="F571" s="34"/>
      <c r="G571" s="34"/>
      <c r="H571" s="34"/>
      <c r="I571" s="34"/>
      <c r="J571" s="34"/>
      <c r="K571" s="34"/>
      <c r="L571" s="34"/>
      <c r="M571" s="36"/>
      <c r="N571" s="36"/>
      <c r="O571" s="36"/>
      <c r="P571" s="36"/>
      <c r="Q571" s="36"/>
      <c r="R571" s="36"/>
      <c r="S571" s="36"/>
    </row>
    <row r="572">
      <c r="A572" s="34"/>
      <c r="B572" s="34"/>
      <c r="C572" s="35"/>
      <c r="D572" s="35"/>
      <c r="E572" s="34"/>
      <c r="F572" s="34"/>
      <c r="G572" s="34"/>
      <c r="H572" s="34"/>
      <c r="I572" s="34"/>
      <c r="J572" s="34"/>
      <c r="K572" s="34"/>
      <c r="L572" s="34"/>
      <c r="M572" s="36"/>
      <c r="N572" s="36"/>
      <c r="O572" s="36"/>
      <c r="P572" s="36"/>
      <c r="Q572" s="36"/>
      <c r="R572" s="36"/>
      <c r="S572" s="36"/>
    </row>
    <row r="573">
      <c r="A573" s="34"/>
      <c r="B573" s="34"/>
      <c r="C573" s="35"/>
      <c r="D573" s="35"/>
      <c r="E573" s="34"/>
      <c r="F573" s="34"/>
      <c r="G573" s="34"/>
      <c r="H573" s="34"/>
      <c r="I573" s="34"/>
      <c r="J573" s="34"/>
      <c r="K573" s="34"/>
      <c r="L573" s="34"/>
      <c r="M573" s="36"/>
      <c r="N573" s="36"/>
      <c r="O573" s="36"/>
      <c r="P573" s="36"/>
      <c r="Q573" s="36"/>
      <c r="R573" s="36"/>
      <c r="S573" s="36"/>
    </row>
    <row r="574">
      <c r="A574" s="34"/>
      <c r="B574" s="34"/>
      <c r="C574" s="35"/>
      <c r="D574" s="35"/>
      <c r="E574" s="34"/>
      <c r="F574" s="34"/>
      <c r="G574" s="34"/>
      <c r="H574" s="34"/>
      <c r="I574" s="34"/>
      <c r="J574" s="34"/>
      <c r="K574" s="34"/>
      <c r="L574" s="34"/>
      <c r="M574" s="36"/>
      <c r="N574" s="36"/>
      <c r="O574" s="36"/>
      <c r="P574" s="36"/>
      <c r="Q574" s="36"/>
      <c r="R574" s="36"/>
      <c r="S574" s="36"/>
    </row>
    <row r="575">
      <c r="A575" s="34"/>
      <c r="B575" s="34"/>
      <c r="C575" s="35"/>
      <c r="D575" s="35"/>
      <c r="E575" s="34"/>
      <c r="F575" s="34"/>
      <c r="G575" s="34"/>
      <c r="H575" s="34"/>
      <c r="I575" s="34"/>
      <c r="J575" s="34"/>
      <c r="K575" s="34"/>
      <c r="L575" s="34"/>
      <c r="M575" s="36"/>
      <c r="N575" s="36"/>
      <c r="O575" s="36"/>
      <c r="P575" s="36"/>
      <c r="Q575" s="36"/>
      <c r="R575" s="36"/>
      <c r="S575" s="36"/>
    </row>
    <row r="576">
      <c r="A576" s="34"/>
      <c r="B576" s="34"/>
      <c r="C576" s="35"/>
      <c r="D576" s="35"/>
      <c r="E576" s="34"/>
      <c r="F576" s="34"/>
      <c r="G576" s="34"/>
      <c r="H576" s="34"/>
      <c r="I576" s="34"/>
      <c r="J576" s="34"/>
      <c r="K576" s="34"/>
      <c r="L576" s="34"/>
      <c r="M576" s="36"/>
      <c r="N576" s="36"/>
      <c r="O576" s="36"/>
      <c r="P576" s="36"/>
      <c r="Q576" s="36"/>
      <c r="R576" s="36"/>
      <c r="S576" s="36"/>
    </row>
    <row r="577">
      <c r="A577" s="34"/>
      <c r="B577" s="34"/>
      <c r="C577" s="35"/>
      <c r="D577" s="35"/>
      <c r="E577" s="34"/>
      <c r="F577" s="34"/>
      <c r="G577" s="34"/>
      <c r="H577" s="34"/>
      <c r="I577" s="34"/>
      <c r="J577" s="34"/>
      <c r="K577" s="34"/>
      <c r="L577" s="34"/>
      <c r="M577" s="36"/>
      <c r="N577" s="36"/>
      <c r="O577" s="36"/>
      <c r="P577" s="36"/>
      <c r="Q577" s="36"/>
      <c r="R577" s="36"/>
      <c r="S577" s="36"/>
    </row>
    <row r="578">
      <c r="A578" s="34"/>
      <c r="B578" s="34"/>
      <c r="C578" s="35"/>
      <c r="D578" s="35"/>
      <c r="E578" s="34"/>
      <c r="F578" s="34"/>
      <c r="G578" s="34"/>
      <c r="H578" s="34"/>
      <c r="I578" s="34"/>
      <c r="J578" s="34"/>
      <c r="K578" s="34"/>
      <c r="L578" s="34"/>
      <c r="M578" s="36"/>
      <c r="N578" s="36"/>
      <c r="O578" s="36"/>
      <c r="P578" s="36"/>
      <c r="Q578" s="36"/>
      <c r="R578" s="36"/>
      <c r="S578" s="36"/>
    </row>
    <row r="579">
      <c r="A579" s="34"/>
      <c r="B579" s="34"/>
      <c r="C579" s="35"/>
      <c r="D579" s="35"/>
      <c r="E579" s="34"/>
      <c r="F579" s="34"/>
      <c r="G579" s="34"/>
      <c r="H579" s="34"/>
      <c r="I579" s="34"/>
      <c r="J579" s="34"/>
      <c r="K579" s="34"/>
      <c r="L579" s="34"/>
      <c r="M579" s="36"/>
      <c r="N579" s="36"/>
      <c r="O579" s="36"/>
      <c r="P579" s="36"/>
      <c r="Q579" s="36"/>
      <c r="R579" s="36"/>
      <c r="S579" s="36"/>
    </row>
    <row r="580">
      <c r="A580" s="34"/>
      <c r="B580" s="34"/>
      <c r="C580" s="35"/>
      <c r="D580" s="35"/>
      <c r="E580" s="34"/>
      <c r="F580" s="34"/>
      <c r="G580" s="34"/>
      <c r="H580" s="34"/>
      <c r="I580" s="34"/>
      <c r="J580" s="34"/>
      <c r="K580" s="34"/>
      <c r="L580" s="34"/>
      <c r="M580" s="36"/>
      <c r="N580" s="36"/>
      <c r="O580" s="36"/>
      <c r="P580" s="36"/>
      <c r="Q580" s="36"/>
      <c r="R580" s="36"/>
      <c r="S580" s="36"/>
    </row>
    <row r="581">
      <c r="A581" s="34"/>
      <c r="B581" s="36"/>
      <c r="C581" s="35"/>
      <c r="D581" s="35"/>
      <c r="E581" s="34"/>
      <c r="F581" s="34"/>
      <c r="G581" s="34"/>
      <c r="H581" s="34"/>
      <c r="I581" s="34"/>
      <c r="J581" s="34"/>
      <c r="K581" s="34"/>
      <c r="L581" s="34"/>
      <c r="M581" s="36"/>
      <c r="N581" s="36"/>
      <c r="O581" s="36"/>
      <c r="P581" s="36"/>
      <c r="Q581" s="36"/>
      <c r="R581" s="36"/>
      <c r="S581" s="36"/>
    </row>
    <row r="582">
      <c r="A582" s="34"/>
      <c r="B582" s="34"/>
      <c r="C582" s="35"/>
      <c r="D582" s="35"/>
      <c r="E582" s="34"/>
      <c r="F582" s="34"/>
      <c r="G582" s="34"/>
      <c r="H582" s="34"/>
      <c r="I582" s="34"/>
      <c r="J582" s="34"/>
      <c r="K582" s="34"/>
      <c r="L582" s="34"/>
      <c r="M582" s="36"/>
      <c r="N582" s="36"/>
      <c r="O582" s="36"/>
      <c r="P582" s="36"/>
      <c r="Q582" s="36"/>
      <c r="R582" s="36"/>
      <c r="S582" s="36"/>
    </row>
    <row r="583">
      <c r="A583" s="34"/>
      <c r="B583" s="34"/>
      <c r="C583" s="35"/>
      <c r="D583" s="35"/>
      <c r="E583" s="34"/>
      <c r="F583" s="34"/>
      <c r="G583" s="34"/>
      <c r="H583" s="34"/>
      <c r="I583" s="34"/>
      <c r="J583" s="34"/>
      <c r="K583" s="34"/>
      <c r="L583" s="34"/>
      <c r="M583" s="36"/>
      <c r="N583" s="36"/>
      <c r="O583" s="36"/>
      <c r="P583" s="36"/>
      <c r="Q583" s="36"/>
      <c r="R583" s="36"/>
      <c r="S583" s="36"/>
    </row>
    <row r="584">
      <c r="A584" s="34"/>
      <c r="B584" s="36"/>
      <c r="C584" s="35"/>
      <c r="D584" s="35"/>
      <c r="E584" s="34"/>
      <c r="F584" s="34"/>
      <c r="G584" s="34"/>
      <c r="H584" s="34"/>
      <c r="I584" s="34"/>
      <c r="J584" s="34"/>
      <c r="K584" s="34"/>
      <c r="L584" s="34"/>
      <c r="M584" s="36"/>
      <c r="N584" s="36"/>
      <c r="O584" s="36"/>
      <c r="P584" s="36"/>
      <c r="Q584" s="36"/>
      <c r="R584" s="36"/>
      <c r="S584" s="36"/>
    </row>
    <row r="585">
      <c r="A585" s="34"/>
      <c r="B585" s="34"/>
      <c r="C585" s="35"/>
      <c r="D585" s="35"/>
      <c r="E585" s="34"/>
      <c r="F585" s="34"/>
      <c r="G585" s="34"/>
      <c r="H585" s="34"/>
      <c r="I585" s="34"/>
      <c r="J585" s="34"/>
      <c r="K585" s="34"/>
      <c r="L585" s="34"/>
      <c r="M585" s="36"/>
      <c r="N585" s="36"/>
      <c r="O585" s="36"/>
      <c r="P585" s="36"/>
      <c r="Q585" s="36"/>
      <c r="R585" s="36"/>
      <c r="S585" s="36"/>
    </row>
    <row r="586">
      <c r="A586" s="34"/>
      <c r="B586" s="34"/>
      <c r="C586" s="35"/>
      <c r="D586" s="35"/>
      <c r="E586" s="34"/>
      <c r="F586" s="34"/>
      <c r="G586" s="34"/>
      <c r="H586" s="34"/>
      <c r="I586" s="34"/>
      <c r="J586" s="34"/>
      <c r="K586" s="34"/>
      <c r="L586" s="34"/>
      <c r="M586" s="36"/>
      <c r="N586" s="36"/>
      <c r="O586" s="36"/>
      <c r="P586" s="36"/>
      <c r="Q586" s="36"/>
      <c r="R586" s="36"/>
      <c r="S586" s="36"/>
    </row>
    <row r="587">
      <c r="A587" s="34"/>
      <c r="B587" s="34"/>
      <c r="C587" s="35"/>
      <c r="D587" s="35"/>
      <c r="E587" s="34"/>
      <c r="F587" s="34"/>
      <c r="G587" s="34"/>
      <c r="H587" s="34"/>
      <c r="I587" s="34"/>
      <c r="J587" s="34"/>
      <c r="K587" s="34"/>
      <c r="L587" s="34"/>
      <c r="M587" s="36"/>
      <c r="N587" s="36"/>
      <c r="O587" s="36"/>
      <c r="P587" s="36"/>
      <c r="Q587" s="36"/>
      <c r="R587" s="36"/>
      <c r="S587" s="36"/>
    </row>
    <row r="588">
      <c r="A588" s="34"/>
      <c r="B588" s="36"/>
      <c r="C588" s="35"/>
      <c r="D588" s="35"/>
      <c r="E588" s="34"/>
      <c r="F588" s="34"/>
      <c r="G588" s="34"/>
      <c r="H588" s="34"/>
      <c r="I588" s="34"/>
      <c r="J588" s="34"/>
      <c r="K588" s="34"/>
      <c r="L588" s="34"/>
      <c r="M588" s="36"/>
      <c r="N588" s="36"/>
      <c r="O588" s="36"/>
      <c r="P588" s="36"/>
      <c r="Q588" s="36"/>
      <c r="R588" s="36"/>
      <c r="S588" s="36"/>
    </row>
    <row r="589">
      <c r="A589" s="34"/>
      <c r="B589" s="34"/>
      <c r="C589" s="35"/>
      <c r="D589" s="35"/>
      <c r="E589" s="34"/>
      <c r="F589" s="34"/>
      <c r="G589" s="34"/>
      <c r="H589" s="34"/>
      <c r="I589" s="34"/>
      <c r="J589" s="34"/>
      <c r="K589" s="34"/>
      <c r="L589" s="34"/>
      <c r="M589" s="36"/>
      <c r="N589" s="36"/>
      <c r="O589" s="36"/>
      <c r="P589" s="36"/>
      <c r="Q589" s="36"/>
      <c r="R589" s="36"/>
      <c r="S589" s="36"/>
    </row>
    <row r="590">
      <c r="A590" s="34"/>
      <c r="B590" s="34"/>
      <c r="C590" s="35"/>
      <c r="D590" s="35"/>
      <c r="E590" s="34"/>
      <c r="F590" s="34"/>
      <c r="G590" s="34"/>
      <c r="H590" s="34"/>
      <c r="I590" s="34"/>
      <c r="J590" s="34"/>
      <c r="K590" s="34"/>
      <c r="L590" s="34"/>
      <c r="M590" s="36"/>
      <c r="N590" s="36"/>
      <c r="O590" s="36"/>
      <c r="P590" s="36"/>
      <c r="Q590" s="36"/>
      <c r="R590" s="36"/>
      <c r="S590" s="36"/>
    </row>
    <row r="591">
      <c r="A591" s="34"/>
      <c r="B591" s="34"/>
      <c r="C591" s="35"/>
      <c r="D591" s="35"/>
      <c r="E591" s="34"/>
      <c r="F591" s="34"/>
      <c r="G591" s="34"/>
      <c r="H591" s="34"/>
      <c r="I591" s="34"/>
      <c r="J591" s="34"/>
      <c r="K591" s="34"/>
      <c r="L591" s="34"/>
      <c r="M591" s="36"/>
      <c r="N591" s="36"/>
      <c r="O591" s="36"/>
      <c r="P591" s="36"/>
      <c r="Q591" s="36"/>
      <c r="R591" s="36"/>
      <c r="S591" s="36"/>
    </row>
    <row r="592">
      <c r="A592" s="34"/>
      <c r="B592" s="34"/>
      <c r="C592" s="35"/>
      <c r="D592" s="35"/>
      <c r="E592" s="34"/>
      <c r="F592" s="34"/>
      <c r="G592" s="34"/>
      <c r="H592" s="34"/>
      <c r="I592" s="34"/>
      <c r="J592" s="34"/>
      <c r="K592" s="34"/>
      <c r="L592" s="34"/>
      <c r="M592" s="36"/>
      <c r="N592" s="36"/>
      <c r="O592" s="36"/>
      <c r="P592" s="36"/>
      <c r="Q592" s="36"/>
      <c r="R592" s="36"/>
      <c r="S592" s="36"/>
    </row>
    <row r="593">
      <c r="A593" s="34"/>
      <c r="B593" s="36"/>
      <c r="C593" s="35"/>
      <c r="D593" s="35"/>
      <c r="E593" s="34"/>
      <c r="F593" s="34"/>
      <c r="G593" s="34"/>
      <c r="H593" s="34"/>
      <c r="I593" s="34"/>
      <c r="J593" s="34"/>
      <c r="K593" s="34"/>
      <c r="L593" s="34"/>
      <c r="M593" s="36"/>
      <c r="N593" s="36"/>
      <c r="O593" s="36"/>
      <c r="P593" s="36"/>
      <c r="Q593" s="36"/>
      <c r="R593" s="36"/>
      <c r="S593" s="36"/>
    </row>
    <row r="594">
      <c r="A594" s="34"/>
      <c r="B594" s="34"/>
      <c r="C594" s="35"/>
      <c r="D594" s="35"/>
      <c r="E594" s="34"/>
      <c r="F594" s="34"/>
      <c r="G594" s="34"/>
      <c r="H594" s="34"/>
      <c r="I594" s="34"/>
      <c r="J594" s="34"/>
      <c r="K594" s="34"/>
      <c r="L594" s="34"/>
      <c r="M594" s="36"/>
      <c r="N594" s="36"/>
      <c r="O594" s="36"/>
      <c r="P594" s="36"/>
      <c r="Q594" s="36"/>
      <c r="R594" s="36"/>
      <c r="S594" s="36"/>
    </row>
    <row r="595">
      <c r="A595" s="34"/>
      <c r="B595" s="36"/>
      <c r="C595" s="35"/>
      <c r="D595" s="35"/>
      <c r="E595" s="34"/>
      <c r="F595" s="34"/>
      <c r="G595" s="34"/>
      <c r="H595" s="34"/>
      <c r="I595" s="34"/>
      <c r="J595" s="34"/>
      <c r="K595" s="34"/>
      <c r="L595" s="34"/>
      <c r="M595" s="36"/>
      <c r="N595" s="36"/>
      <c r="O595" s="36"/>
      <c r="P595" s="36"/>
      <c r="Q595" s="36"/>
      <c r="R595" s="36"/>
      <c r="S595" s="36"/>
    </row>
    <row r="596">
      <c r="A596" s="34"/>
      <c r="B596" s="34"/>
      <c r="C596" s="35"/>
      <c r="D596" s="35"/>
      <c r="E596" s="34"/>
      <c r="F596" s="34"/>
      <c r="G596" s="34"/>
      <c r="H596" s="34"/>
      <c r="I596" s="34"/>
      <c r="J596" s="34"/>
      <c r="K596" s="34"/>
      <c r="L596" s="34"/>
      <c r="M596" s="36"/>
      <c r="N596" s="36"/>
      <c r="O596" s="36"/>
      <c r="P596" s="36"/>
      <c r="Q596" s="36"/>
      <c r="R596" s="36"/>
      <c r="S596" s="36"/>
    </row>
    <row r="597">
      <c r="A597" s="34"/>
      <c r="B597" s="36"/>
      <c r="C597" s="35"/>
      <c r="D597" s="35"/>
      <c r="E597" s="34"/>
      <c r="F597" s="34"/>
      <c r="G597" s="34"/>
      <c r="H597" s="34"/>
      <c r="I597" s="34"/>
      <c r="J597" s="34"/>
      <c r="K597" s="34"/>
      <c r="L597" s="34"/>
      <c r="M597" s="36"/>
      <c r="N597" s="36"/>
      <c r="O597" s="36"/>
      <c r="P597" s="36"/>
      <c r="Q597" s="36"/>
      <c r="R597" s="36"/>
      <c r="S597" s="36"/>
    </row>
    <row r="598">
      <c r="A598" s="34"/>
      <c r="B598" s="36"/>
      <c r="C598" s="35"/>
      <c r="D598" s="35"/>
      <c r="E598" s="34"/>
      <c r="F598" s="34"/>
      <c r="G598" s="34"/>
      <c r="H598" s="34"/>
      <c r="I598" s="34"/>
      <c r="J598" s="34"/>
      <c r="K598" s="34"/>
      <c r="L598" s="34"/>
      <c r="M598" s="36"/>
      <c r="N598" s="36"/>
      <c r="O598" s="36"/>
      <c r="P598" s="36"/>
      <c r="Q598" s="36"/>
      <c r="R598" s="36"/>
      <c r="S598" s="36"/>
    </row>
    <row r="599">
      <c r="A599" s="34"/>
      <c r="B599" s="36"/>
      <c r="C599" s="35"/>
      <c r="D599" s="35"/>
      <c r="E599" s="34"/>
      <c r="F599" s="34"/>
      <c r="G599" s="34"/>
      <c r="H599" s="34"/>
      <c r="I599" s="34"/>
      <c r="J599" s="34"/>
      <c r="K599" s="34"/>
      <c r="L599" s="34"/>
      <c r="M599" s="36"/>
      <c r="N599" s="36"/>
      <c r="O599" s="36"/>
      <c r="P599" s="36"/>
      <c r="Q599" s="36"/>
      <c r="R599" s="36"/>
      <c r="S599" s="36"/>
    </row>
    <row r="600">
      <c r="A600" s="34"/>
      <c r="B600" s="36"/>
      <c r="C600" s="35"/>
      <c r="D600" s="35"/>
      <c r="E600" s="34"/>
      <c r="F600" s="34"/>
      <c r="G600" s="34"/>
      <c r="H600" s="34"/>
      <c r="I600" s="34"/>
      <c r="J600" s="34"/>
      <c r="K600" s="34"/>
      <c r="L600" s="34"/>
      <c r="M600" s="36"/>
      <c r="N600" s="36"/>
      <c r="O600" s="36"/>
      <c r="P600" s="36"/>
      <c r="Q600" s="36"/>
      <c r="R600" s="36"/>
      <c r="S600" s="36"/>
    </row>
    <row r="601">
      <c r="A601" s="34"/>
      <c r="B601" s="34"/>
      <c r="C601" s="35"/>
      <c r="D601" s="35"/>
      <c r="E601" s="34"/>
      <c r="F601" s="34"/>
      <c r="G601" s="34"/>
      <c r="H601" s="34"/>
      <c r="I601" s="34"/>
      <c r="J601" s="34"/>
      <c r="K601" s="34"/>
      <c r="L601" s="34"/>
      <c r="M601" s="36"/>
      <c r="N601" s="36"/>
      <c r="O601" s="36"/>
      <c r="P601" s="36"/>
      <c r="Q601" s="36"/>
      <c r="R601" s="36"/>
      <c r="S601" s="36"/>
    </row>
    <row r="602">
      <c r="A602" s="34"/>
      <c r="B602" s="36"/>
      <c r="C602" s="35"/>
      <c r="D602" s="35"/>
      <c r="E602" s="34"/>
      <c r="F602" s="34"/>
      <c r="G602" s="34"/>
      <c r="H602" s="34"/>
      <c r="I602" s="34"/>
      <c r="J602" s="34"/>
      <c r="K602" s="34"/>
      <c r="L602" s="34"/>
      <c r="M602" s="36"/>
      <c r="N602" s="36"/>
      <c r="O602" s="36"/>
      <c r="P602" s="36"/>
      <c r="Q602" s="36"/>
      <c r="R602" s="36"/>
      <c r="S602" s="36"/>
    </row>
    <row r="603">
      <c r="A603" s="34"/>
      <c r="B603" s="34"/>
      <c r="C603" s="35"/>
      <c r="D603" s="35"/>
      <c r="E603" s="34"/>
      <c r="F603" s="34"/>
      <c r="G603" s="34"/>
      <c r="H603" s="34"/>
      <c r="I603" s="34"/>
      <c r="J603" s="34"/>
      <c r="K603" s="34"/>
      <c r="L603" s="34"/>
      <c r="M603" s="36"/>
      <c r="N603" s="36"/>
      <c r="O603" s="36"/>
      <c r="P603" s="36"/>
      <c r="Q603" s="36"/>
      <c r="R603" s="36"/>
      <c r="S603" s="36"/>
    </row>
    <row r="604">
      <c r="A604" s="34"/>
      <c r="B604" s="36"/>
      <c r="C604" s="35"/>
      <c r="D604" s="35"/>
      <c r="E604" s="34"/>
      <c r="F604" s="34"/>
      <c r="G604" s="34"/>
      <c r="H604" s="34"/>
      <c r="I604" s="34"/>
      <c r="J604" s="34"/>
      <c r="K604" s="34"/>
      <c r="L604" s="34"/>
      <c r="M604" s="36"/>
      <c r="N604" s="36"/>
      <c r="O604" s="36"/>
      <c r="P604" s="36"/>
      <c r="Q604" s="36"/>
      <c r="R604" s="36"/>
      <c r="S604" s="36"/>
    </row>
    <row r="605">
      <c r="A605" s="34"/>
      <c r="B605" s="34"/>
      <c r="C605" s="35"/>
      <c r="D605" s="35"/>
      <c r="E605" s="34"/>
      <c r="F605" s="34"/>
      <c r="G605" s="34"/>
      <c r="H605" s="34"/>
      <c r="I605" s="34"/>
      <c r="J605" s="34"/>
      <c r="K605" s="34"/>
      <c r="L605" s="34"/>
      <c r="M605" s="36"/>
      <c r="N605" s="36"/>
      <c r="O605" s="36"/>
      <c r="P605" s="36"/>
      <c r="Q605" s="36"/>
      <c r="R605" s="36"/>
      <c r="S605" s="36"/>
    </row>
    <row r="606">
      <c r="A606" s="34"/>
      <c r="B606" s="34"/>
      <c r="C606" s="35"/>
      <c r="D606" s="35"/>
      <c r="E606" s="34"/>
      <c r="F606" s="34"/>
      <c r="G606" s="34"/>
      <c r="H606" s="34"/>
      <c r="I606" s="34"/>
      <c r="J606" s="34"/>
      <c r="K606" s="34"/>
      <c r="L606" s="34"/>
      <c r="M606" s="36"/>
      <c r="N606" s="36"/>
      <c r="O606" s="36"/>
      <c r="P606" s="36"/>
      <c r="Q606" s="36"/>
      <c r="R606" s="36"/>
      <c r="S606" s="36"/>
    </row>
    <row r="607">
      <c r="A607" s="34"/>
      <c r="B607" s="34"/>
      <c r="C607" s="35"/>
      <c r="D607" s="35"/>
      <c r="E607" s="34"/>
      <c r="F607" s="34"/>
      <c r="G607" s="34"/>
      <c r="H607" s="34"/>
      <c r="I607" s="34"/>
      <c r="J607" s="34"/>
      <c r="K607" s="34"/>
      <c r="L607" s="34"/>
      <c r="M607" s="36"/>
      <c r="N607" s="36"/>
      <c r="O607" s="36"/>
      <c r="P607" s="36"/>
      <c r="Q607" s="36"/>
      <c r="R607" s="36"/>
      <c r="S607" s="36"/>
    </row>
    <row r="608">
      <c r="A608" s="34"/>
      <c r="B608" s="34"/>
      <c r="C608" s="35"/>
      <c r="D608" s="35"/>
      <c r="E608" s="34"/>
      <c r="F608" s="34"/>
      <c r="G608" s="34"/>
      <c r="H608" s="34"/>
      <c r="I608" s="34"/>
      <c r="J608" s="34"/>
      <c r="K608" s="34"/>
      <c r="L608" s="34"/>
      <c r="M608" s="36"/>
      <c r="N608" s="36"/>
      <c r="O608" s="36"/>
      <c r="P608" s="36"/>
      <c r="Q608" s="36"/>
      <c r="R608" s="36"/>
      <c r="S608" s="36"/>
    </row>
    <row r="609">
      <c r="A609" s="34"/>
      <c r="B609" s="34"/>
      <c r="C609" s="35"/>
      <c r="D609" s="35"/>
      <c r="E609" s="34"/>
      <c r="F609" s="34"/>
      <c r="G609" s="34"/>
      <c r="H609" s="34"/>
      <c r="I609" s="34"/>
      <c r="J609" s="34"/>
      <c r="K609" s="34"/>
      <c r="L609" s="34"/>
      <c r="M609" s="36"/>
      <c r="N609" s="36"/>
      <c r="O609" s="36"/>
      <c r="P609" s="36"/>
      <c r="Q609" s="36"/>
      <c r="R609" s="36"/>
      <c r="S609" s="36"/>
    </row>
    <row r="610">
      <c r="A610" s="34"/>
      <c r="B610" s="34"/>
      <c r="C610" s="35"/>
      <c r="D610" s="35"/>
      <c r="E610" s="34"/>
      <c r="F610" s="34"/>
      <c r="G610" s="34"/>
      <c r="H610" s="34"/>
      <c r="I610" s="34"/>
      <c r="J610" s="34"/>
      <c r="K610" s="34"/>
      <c r="L610" s="34"/>
      <c r="M610" s="36"/>
      <c r="N610" s="36"/>
      <c r="O610" s="36"/>
      <c r="P610" s="36"/>
      <c r="Q610" s="36"/>
      <c r="R610" s="36"/>
      <c r="S610" s="36"/>
    </row>
    <row r="611">
      <c r="A611" s="34"/>
      <c r="B611" s="36"/>
      <c r="C611" s="35"/>
      <c r="D611" s="35"/>
      <c r="E611" s="34"/>
      <c r="F611" s="34"/>
      <c r="G611" s="34"/>
      <c r="H611" s="34"/>
      <c r="I611" s="34"/>
      <c r="J611" s="34"/>
      <c r="K611" s="34"/>
      <c r="L611" s="34"/>
      <c r="M611" s="36"/>
      <c r="N611" s="36"/>
      <c r="O611" s="36"/>
      <c r="P611" s="36"/>
      <c r="Q611" s="36"/>
      <c r="R611" s="36"/>
      <c r="S611" s="36"/>
    </row>
    <row r="612">
      <c r="A612" s="34"/>
      <c r="B612" s="36"/>
      <c r="C612" s="35"/>
      <c r="D612" s="35"/>
      <c r="E612" s="34"/>
      <c r="F612" s="34"/>
      <c r="G612" s="34"/>
      <c r="H612" s="34"/>
      <c r="I612" s="34"/>
      <c r="J612" s="34"/>
      <c r="K612" s="34"/>
      <c r="L612" s="34"/>
      <c r="M612" s="36"/>
      <c r="N612" s="36"/>
      <c r="O612" s="36"/>
      <c r="P612" s="36"/>
      <c r="Q612" s="36"/>
      <c r="R612" s="36"/>
      <c r="S612" s="36"/>
    </row>
    <row r="613">
      <c r="A613" s="34"/>
      <c r="B613" s="36"/>
      <c r="C613" s="35"/>
      <c r="D613" s="35"/>
      <c r="E613" s="34"/>
      <c r="F613" s="34"/>
      <c r="G613" s="34"/>
      <c r="H613" s="34"/>
      <c r="I613" s="34"/>
      <c r="J613" s="34"/>
      <c r="K613" s="34"/>
      <c r="L613" s="34"/>
      <c r="M613" s="36"/>
      <c r="N613" s="36"/>
      <c r="O613" s="36"/>
      <c r="P613" s="36"/>
      <c r="Q613" s="36"/>
      <c r="R613" s="36"/>
      <c r="S613" s="36"/>
    </row>
    <row r="614">
      <c r="A614" s="34"/>
      <c r="B614" s="34"/>
      <c r="C614" s="35"/>
      <c r="D614" s="35"/>
      <c r="E614" s="34"/>
      <c r="F614" s="34"/>
      <c r="G614" s="34"/>
      <c r="H614" s="34"/>
      <c r="I614" s="34"/>
      <c r="J614" s="34"/>
      <c r="K614" s="34"/>
      <c r="L614" s="34"/>
      <c r="M614" s="36"/>
      <c r="N614" s="36"/>
      <c r="O614" s="36"/>
      <c r="P614" s="36"/>
      <c r="Q614" s="36"/>
      <c r="R614" s="36"/>
      <c r="S614" s="36"/>
    </row>
    <row r="615">
      <c r="A615" s="34"/>
      <c r="B615" s="34"/>
      <c r="C615" s="35"/>
      <c r="D615" s="35"/>
      <c r="E615" s="34"/>
      <c r="F615" s="34"/>
      <c r="G615" s="34"/>
      <c r="H615" s="34"/>
      <c r="I615" s="34"/>
      <c r="J615" s="34"/>
      <c r="K615" s="34"/>
      <c r="L615" s="34"/>
      <c r="M615" s="36"/>
      <c r="N615" s="36"/>
      <c r="O615" s="36"/>
      <c r="P615" s="36"/>
      <c r="Q615" s="36"/>
      <c r="R615" s="36"/>
      <c r="S615" s="36"/>
    </row>
    <row r="616">
      <c r="A616" s="34"/>
      <c r="B616" s="34"/>
      <c r="C616" s="35"/>
      <c r="D616" s="35"/>
      <c r="E616" s="34"/>
      <c r="F616" s="34"/>
      <c r="G616" s="34"/>
      <c r="H616" s="34"/>
      <c r="I616" s="34"/>
      <c r="J616" s="34"/>
      <c r="K616" s="34"/>
      <c r="L616" s="34"/>
      <c r="M616" s="36"/>
      <c r="N616" s="36"/>
      <c r="O616" s="36"/>
      <c r="P616" s="36"/>
      <c r="Q616" s="36"/>
      <c r="R616" s="36"/>
      <c r="S616" s="36"/>
    </row>
    <row r="617">
      <c r="A617" s="34"/>
      <c r="B617" s="34"/>
      <c r="C617" s="35"/>
      <c r="D617" s="35"/>
      <c r="E617" s="34"/>
      <c r="F617" s="34"/>
      <c r="G617" s="34"/>
      <c r="H617" s="34"/>
      <c r="I617" s="34"/>
      <c r="J617" s="34"/>
      <c r="K617" s="34"/>
      <c r="L617" s="34"/>
      <c r="M617" s="36"/>
      <c r="N617" s="36"/>
      <c r="O617" s="36"/>
      <c r="P617" s="36"/>
      <c r="Q617" s="36"/>
      <c r="R617" s="36"/>
      <c r="S617" s="36"/>
    </row>
    <row r="618">
      <c r="A618" s="34"/>
      <c r="B618" s="34"/>
      <c r="C618" s="35"/>
      <c r="D618" s="35"/>
      <c r="E618" s="34"/>
      <c r="F618" s="34"/>
      <c r="G618" s="34"/>
      <c r="H618" s="34"/>
      <c r="I618" s="34"/>
      <c r="J618" s="34"/>
      <c r="K618" s="34"/>
      <c r="L618" s="34"/>
      <c r="M618" s="36"/>
      <c r="N618" s="36"/>
      <c r="O618" s="36"/>
      <c r="P618" s="36"/>
      <c r="Q618" s="36"/>
      <c r="R618" s="36"/>
      <c r="S618" s="36"/>
    </row>
    <row r="619">
      <c r="A619" s="34"/>
      <c r="B619" s="34"/>
      <c r="C619" s="35"/>
      <c r="D619" s="35"/>
      <c r="E619" s="34"/>
      <c r="F619" s="34"/>
      <c r="G619" s="34"/>
      <c r="H619" s="34"/>
      <c r="I619" s="34"/>
      <c r="J619" s="34"/>
      <c r="K619" s="34"/>
      <c r="L619" s="34"/>
      <c r="M619" s="36"/>
      <c r="N619" s="36"/>
      <c r="O619" s="36"/>
      <c r="P619" s="36"/>
      <c r="Q619" s="36"/>
      <c r="R619" s="36"/>
      <c r="S619" s="36"/>
    </row>
    <row r="620">
      <c r="A620" s="34"/>
      <c r="B620" s="34"/>
      <c r="C620" s="35"/>
      <c r="D620" s="35"/>
      <c r="E620" s="34"/>
      <c r="F620" s="34"/>
      <c r="G620" s="34"/>
      <c r="H620" s="34"/>
      <c r="I620" s="34"/>
      <c r="J620" s="34"/>
      <c r="K620" s="34"/>
      <c r="L620" s="34"/>
      <c r="M620" s="36"/>
      <c r="N620" s="36"/>
      <c r="O620" s="36"/>
      <c r="P620" s="36"/>
      <c r="Q620" s="36"/>
      <c r="R620" s="36"/>
      <c r="S620" s="36"/>
    </row>
    <row r="621">
      <c r="A621" s="34"/>
      <c r="B621" s="34"/>
      <c r="C621" s="35"/>
      <c r="D621" s="35"/>
      <c r="E621" s="34"/>
      <c r="F621" s="34"/>
      <c r="G621" s="34"/>
      <c r="H621" s="34"/>
      <c r="I621" s="34"/>
      <c r="J621" s="34"/>
      <c r="K621" s="34"/>
      <c r="L621" s="34"/>
      <c r="M621" s="36"/>
      <c r="N621" s="36"/>
      <c r="O621" s="36"/>
      <c r="P621" s="36"/>
      <c r="Q621" s="36"/>
      <c r="R621" s="36"/>
      <c r="S621" s="36"/>
    </row>
    <row r="622">
      <c r="A622" s="34"/>
      <c r="B622" s="34"/>
      <c r="C622" s="35"/>
      <c r="D622" s="35"/>
      <c r="E622" s="34"/>
      <c r="F622" s="34"/>
      <c r="G622" s="34"/>
      <c r="H622" s="34"/>
      <c r="I622" s="34"/>
      <c r="J622" s="34"/>
      <c r="K622" s="34"/>
      <c r="L622" s="34"/>
      <c r="M622" s="36"/>
      <c r="N622" s="36"/>
      <c r="O622" s="36"/>
      <c r="P622" s="36"/>
      <c r="Q622" s="36"/>
      <c r="R622" s="36"/>
      <c r="S622" s="36"/>
    </row>
    <row r="623">
      <c r="A623" s="34"/>
      <c r="B623" s="34"/>
      <c r="C623" s="35"/>
      <c r="D623" s="35"/>
      <c r="E623" s="34"/>
      <c r="F623" s="34"/>
      <c r="G623" s="34"/>
      <c r="H623" s="34"/>
      <c r="I623" s="34"/>
      <c r="J623" s="34"/>
      <c r="K623" s="34"/>
      <c r="L623" s="34"/>
      <c r="M623" s="36"/>
      <c r="N623" s="36"/>
      <c r="O623" s="36"/>
      <c r="P623" s="36"/>
      <c r="Q623" s="36"/>
      <c r="R623" s="36"/>
      <c r="S623" s="36"/>
    </row>
    <row r="624">
      <c r="A624" s="34"/>
      <c r="B624" s="34"/>
      <c r="C624" s="35"/>
      <c r="D624" s="35"/>
      <c r="E624" s="34"/>
      <c r="F624" s="34"/>
      <c r="G624" s="34"/>
      <c r="H624" s="34"/>
      <c r="I624" s="34"/>
      <c r="J624" s="34"/>
      <c r="K624" s="34"/>
      <c r="L624" s="34"/>
      <c r="M624" s="36"/>
      <c r="N624" s="36"/>
      <c r="O624" s="36"/>
      <c r="P624" s="36"/>
      <c r="Q624" s="36"/>
      <c r="R624" s="36"/>
      <c r="S624" s="36"/>
    </row>
    <row r="625">
      <c r="A625" s="34"/>
      <c r="B625" s="34"/>
      <c r="C625" s="35"/>
      <c r="D625" s="35"/>
      <c r="E625" s="34"/>
      <c r="F625" s="34"/>
      <c r="G625" s="34"/>
      <c r="H625" s="34"/>
      <c r="I625" s="34"/>
      <c r="J625" s="34"/>
      <c r="K625" s="34"/>
      <c r="L625" s="34"/>
      <c r="M625" s="36"/>
      <c r="N625" s="36"/>
      <c r="O625" s="36"/>
      <c r="P625" s="36"/>
      <c r="Q625" s="36"/>
      <c r="R625" s="36"/>
      <c r="S625" s="36"/>
    </row>
    <row r="626">
      <c r="A626" s="34"/>
      <c r="B626" s="34"/>
      <c r="C626" s="35"/>
      <c r="D626" s="35"/>
      <c r="E626" s="34"/>
      <c r="F626" s="34"/>
      <c r="G626" s="34"/>
      <c r="H626" s="34"/>
      <c r="I626" s="34"/>
      <c r="J626" s="34"/>
      <c r="K626" s="34"/>
      <c r="L626" s="34"/>
      <c r="M626" s="36"/>
      <c r="N626" s="36"/>
      <c r="O626" s="36"/>
      <c r="P626" s="36"/>
      <c r="Q626" s="36"/>
      <c r="R626" s="36"/>
      <c r="S626" s="36"/>
    </row>
    <row r="627">
      <c r="A627" s="34"/>
      <c r="B627" s="34"/>
      <c r="C627" s="35"/>
      <c r="D627" s="35"/>
      <c r="E627" s="34"/>
      <c r="F627" s="34"/>
      <c r="G627" s="34"/>
      <c r="H627" s="34"/>
      <c r="I627" s="34"/>
      <c r="J627" s="34"/>
      <c r="K627" s="34"/>
      <c r="L627" s="34"/>
      <c r="M627" s="36"/>
      <c r="N627" s="36"/>
      <c r="O627" s="36"/>
      <c r="P627" s="36"/>
      <c r="Q627" s="36"/>
      <c r="R627" s="36"/>
      <c r="S627" s="36"/>
    </row>
    <row r="628">
      <c r="A628" s="34"/>
      <c r="B628" s="36"/>
      <c r="C628" s="35"/>
      <c r="D628" s="35"/>
      <c r="E628" s="34"/>
      <c r="F628" s="34"/>
      <c r="G628" s="34"/>
      <c r="H628" s="34"/>
      <c r="I628" s="34"/>
      <c r="J628" s="34"/>
      <c r="K628" s="34"/>
      <c r="L628" s="34"/>
      <c r="M628" s="36"/>
      <c r="N628" s="36"/>
      <c r="O628" s="36"/>
      <c r="P628" s="36"/>
      <c r="Q628" s="36"/>
      <c r="R628" s="36"/>
      <c r="S628" s="36"/>
    </row>
    <row r="629">
      <c r="A629" s="34"/>
      <c r="B629" s="36"/>
      <c r="C629" s="35"/>
      <c r="D629" s="35"/>
      <c r="E629" s="34"/>
      <c r="F629" s="34"/>
      <c r="G629" s="34"/>
      <c r="H629" s="34"/>
      <c r="I629" s="34"/>
      <c r="J629" s="34"/>
      <c r="K629" s="34"/>
      <c r="L629" s="34"/>
      <c r="M629" s="36"/>
      <c r="N629" s="36"/>
      <c r="O629" s="36"/>
      <c r="P629" s="36"/>
      <c r="Q629" s="36"/>
      <c r="R629" s="36"/>
      <c r="S629" s="36"/>
    </row>
    <row r="630">
      <c r="A630" s="34"/>
      <c r="B630" s="34"/>
      <c r="C630" s="35"/>
      <c r="D630" s="35"/>
      <c r="E630" s="34"/>
      <c r="F630" s="34"/>
      <c r="G630" s="34"/>
      <c r="H630" s="34"/>
      <c r="I630" s="34"/>
      <c r="J630" s="34"/>
      <c r="K630" s="34"/>
      <c r="L630" s="34"/>
      <c r="M630" s="36"/>
      <c r="N630" s="36"/>
      <c r="O630" s="36"/>
      <c r="P630" s="36"/>
      <c r="Q630" s="36"/>
      <c r="R630" s="36"/>
      <c r="S630" s="36"/>
    </row>
    <row r="631">
      <c r="A631" s="34"/>
      <c r="B631" s="34"/>
      <c r="C631" s="35"/>
      <c r="D631" s="35"/>
      <c r="E631" s="34"/>
      <c r="F631" s="34"/>
      <c r="G631" s="34"/>
      <c r="H631" s="34"/>
      <c r="I631" s="34"/>
      <c r="J631" s="34"/>
      <c r="K631" s="34"/>
      <c r="L631" s="34"/>
      <c r="M631" s="36"/>
      <c r="N631" s="36"/>
      <c r="O631" s="36"/>
      <c r="P631" s="36"/>
      <c r="Q631" s="36"/>
      <c r="R631" s="36"/>
      <c r="S631" s="36"/>
    </row>
    <row r="632">
      <c r="A632" s="34"/>
      <c r="B632" s="36"/>
      <c r="C632" s="35"/>
      <c r="D632" s="35"/>
      <c r="E632" s="34"/>
      <c r="F632" s="34"/>
      <c r="G632" s="34"/>
      <c r="H632" s="34"/>
      <c r="I632" s="34"/>
      <c r="J632" s="34"/>
      <c r="K632" s="34"/>
      <c r="L632" s="34"/>
      <c r="M632" s="36"/>
      <c r="N632" s="36"/>
      <c r="O632" s="36"/>
      <c r="P632" s="36"/>
      <c r="Q632" s="36"/>
      <c r="R632" s="36"/>
      <c r="S632" s="36"/>
    </row>
    <row r="633">
      <c r="A633" s="34"/>
      <c r="B633" s="34"/>
      <c r="C633" s="35"/>
      <c r="D633" s="35"/>
      <c r="E633" s="34"/>
      <c r="F633" s="34"/>
      <c r="G633" s="34"/>
      <c r="H633" s="34"/>
      <c r="I633" s="34"/>
      <c r="J633" s="34"/>
      <c r="K633" s="34"/>
      <c r="L633" s="34"/>
      <c r="M633" s="36"/>
      <c r="N633" s="36"/>
      <c r="O633" s="36"/>
      <c r="P633" s="36"/>
      <c r="Q633" s="36"/>
      <c r="R633" s="36"/>
      <c r="S633" s="36"/>
    </row>
    <row r="634">
      <c r="A634" s="34"/>
      <c r="B634" s="34"/>
      <c r="C634" s="35"/>
      <c r="D634" s="35"/>
      <c r="E634" s="34"/>
      <c r="F634" s="34"/>
      <c r="G634" s="34"/>
      <c r="H634" s="34"/>
      <c r="I634" s="34"/>
      <c r="J634" s="34"/>
      <c r="K634" s="34"/>
      <c r="L634" s="34"/>
      <c r="M634" s="36"/>
      <c r="N634" s="36"/>
      <c r="O634" s="36"/>
      <c r="P634" s="36"/>
      <c r="Q634" s="36"/>
      <c r="R634" s="36"/>
      <c r="S634" s="36"/>
    </row>
    <row r="635">
      <c r="A635" s="34"/>
      <c r="B635" s="34"/>
      <c r="C635" s="35"/>
      <c r="D635" s="35"/>
      <c r="E635" s="34"/>
      <c r="F635" s="34"/>
      <c r="G635" s="34"/>
      <c r="H635" s="34"/>
      <c r="I635" s="34"/>
      <c r="J635" s="34"/>
      <c r="K635" s="34"/>
      <c r="L635" s="34"/>
      <c r="M635" s="36"/>
      <c r="N635" s="36"/>
      <c r="O635" s="36"/>
      <c r="P635" s="36"/>
      <c r="Q635" s="36"/>
      <c r="R635" s="36"/>
      <c r="S635" s="36"/>
    </row>
    <row r="636">
      <c r="A636" s="34"/>
      <c r="B636" s="34"/>
      <c r="C636" s="35"/>
      <c r="D636" s="35"/>
      <c r="E636" s="34"/>
      <c r="F636" s="34"/>
      <c r="G636" s="34"/>
      <c r="H636" s="34"/>
      <c r="I636" s="34"/>
      <c r="J636" s="34"/>
      <c r="K636" s="34"/>
      <c r="L636" s="34"/>
      <c r="M636" s="36"/>
      <c r="N636" s="36"/>
      <c r="O636" s="36"/>
      <c r="P636" s="36"/>
      <c r="Q636" s="36"/>
      <c r="R636" s="36"/>
      <c r="S636" s="36"/>
    </row>
    <row r="637">
      <c r="A637" s="34"/>
      <c r="B637" s="34"/>
      <c r="C637" s="35"/>
      <c r="D637" s="35"/>
      <c r="E637" s="34"/>
      <c r="F637" s="34"/>
      <c r="G637" s="34"/>
      <c r="H637" s="34"/>
      <c r="I637" s="34"/>
      <c r="J637" s="34"/>
      <c r="K637" s="34"/>
      <c r="L637" s="34"/>
      <c r="M637" s="36"/>
      <c r="N637" s="36"/>
      <c r="O637" s="36"/>
      <c r="P637" s="36"/>
      <c r="Q637" s="36"/>
      <c r="R637" s="36"/>
      <c r="S637" s="36"/>
    </row>
    <row r="638">
      <c r="A638" s="34"/>
      <c r="B638" s="34"/>
      <c r="C638" s="35"/>
      <c r="D638" s="35"/>
      <c r="E638" s="34"/>
      <c r="F638" s="34"/>
      <c r="G638" s="34"/>
      <c r="H638" s="34"/>
      <c r="I638" s="34"/>
      <c r="J638" s="34"/>
      <c r="K638" s="34"/>
      <c r="L638" s="34"/>
      <c r="M638" s="36"/>
      <c r="N638" s="36"/>
      <c r="O638" s="36"/>
      <c r="P638" s="36"/>
      <c r="Q638" s="36"/>
      <c r="R638" s="36"/>
      <c r="S638" s="36"/>
    </row>
    <row r="639">
      <c r="A639" s="34"/>
      <c r="B639" s="34"/>
      <c r="C639" s="35"/>
      <c r="D639" s="35"/>
      <c r="E639" s="34"/>
      <c r="F639" s="34"/>
      <c r="G639" s="34"/>
      <c r="H639" s="34"/>
      <c r="I639" s="34"/>
      <c r="J639" s="34"/>
      <c r="K639" s="34"/>
      <c r="L639" s="34"/>
      <c r="M639" s="36"/>
      <c r="N639" s="36"/>
      <c r="O639" s="36"/>
      <c r="P639" s="36"/>
      <c r="Q639" s="36"/>
      <c r="R639" s="36"/>
      <c r="S639" s="36"/>
    </row>
    <row r="640">
      <c r="A640" s="34"/>
      <c r="B640" s="34"/>
      <c r="C640" s="35"/>
      <c r="D640" s="35"/>
      <c r="E640" s="34"/>
      <c r="F640" s="34"/>
      <c r="G640" s="34"/>
      <c r="H640" s="34"/>
      <c r="I640" s="34"/>
      <c r="J640" s="34"/>
      <c r="K640" s="34"/>
      <c r="L640" s="34"/>
      <c r="M640" s="36"/>
      <c r="N640" s="36"/>
      <c r="O640" s="36"/>
      <c r="P640" s="36"/>
      <c r="Q640" s="36"/>
      <c r="R640" s="36"/>
      <c r="S640" s="36"/>
    </row>
    <row r="641">
      <c r="A641" s="34"/>
      <c r="B641" s="34"/>
      <c r="C641" s="35"/>
      <c r="D641" s="35"/>
      <c r="E641" s="34"/>
      <c r="F641" s="34"/>
      <c r="G641" s="34"/>
      <c r="H641" s="34"/>
      <c r="I641" s="34"/>
      <c r="J641" s="34"/>
      <c r="K641" s="34"/>
      <c r="L641" s="34"/>
      <c r="M641" s="36"/>
      <c r="N641" s="36"/>
      <c r="O641" s="36"/>
      <c r="P641" s="36"/>
      <c r="Q641" s="36"/>
      <c r="R641" s="36"/>
      <c r="S641" s="36"/>
    </row>
    <row r="642">
      <c r="A642" s="34"/>
      <c r="B642" s="34"/>
      <c r="C642" s="35"/>
      <c r="D642" s="35"/>
      <c r="E642" s="34"/>
      <c r="F642" s="34"/>
      <c r="G642" s="34"/>
      <c r="H642" s="34"/>
      <c r="I642" s="34"/>
      <c r="J642" s="34"/>
      <c r="K642" s="34"/>
      <c r="L642" s="34"/>
      <c r="M642" s="36"/>
      <c r="N642" s="36"/>
      <c r="O642" s="36"/>
      <c r="P642" s="36"/>
      <c r="Q642" s="36"/>
      <c r="R642" s="36"/>
      <c r="S642" s="36"/>
    </row>
    <row r="643">
      <c r="A643" s="34"/>
      <c r="B643" s="36"/>
      <c r="C643" s="35"/>
      <c r="D643" s="35"/>
      <c r="E643" s="34"/>
      <c r="F643" s="34"/>
      <c r="G643" s="34"/>
      <c r="H643" s="34"/>
      <c r="I643" s="34"/>
      <c r="J643" s="34"/>
      <c r="K643" s="34"/>
      <c r="L643" s="34"/>
      <c r="M643" s="36"/>
      <c r="N643" s="36"/>
      <c r="O643" s="36"/>
      <c r="P643" s="36"/>
      <c r="Q643" s="36"/>
      <c r="R643" s="36"/>
      <c r="S643" s="36"/>
    </row>
    <row r="644">
      <c r="A644" s="34"/>
      <c r="B644" s="36"/>
      <c r="C644" s="35"/>
      <c r="D644" s="35"/>
      <c r="E644" s="34"/>
      <c r="F644" s="34"/>
      <c r="G644" s="34"/>
      <c r="H644" s="34"/>
      <c r="I644" s="34"/>
      <c r="J644" s="34"/>
      <c r="K644" s="34"/>
      <c r="L644" s="34"/>
      <c r="M644" s="36"/>
      <c r="N644" s="36"/>
      <c r="O644" s="36"/>
      <c r="P644" s="36"/>
      <c r="Q644" s="36"/>
      <c r="R644" s="36"/>
      <c r="S644" s="36"/>
    </row>
    <row r="645">
      <c r="A645" s="34"/>
      <c r="B645" s="34"/>
      <c r="C645" s="35"/>
      <c r="D645" s="35"/>
      <c r="E645" s="34"/>
      <c r="F645" s="34"/>
      <c r="G645" s="34"/>
      <c r="H645" s="34"/>
      <c r="I645" s="34"/>
      <c r="J645" s="34"/>
      <c r="K645" s="34"/>
      <c r="L645" s="34"/>
      <c r="M645" s="36"/>
      <c r="N645" s="36"/>
      <c r="O645" s="36"/>
      <c r="P645" s="36"/>
      <c r="Q645" s="36"/>
      <c r="R645" s="36"/>
      <c r="S645" s="36"/>
    </row>
    <row r="646">
      <c r="A646" s="34"/>
      <c r="B646" s="34"/>
      <c r="C646" s="35"/>
      <c r="D646" s="35"/>
      <c r="E646" s="34"/>
      <c r="F646" s="34"/>
      <c r="G646" s="34"/>
      <c r="H646" s="34"/>
      <c r="I646" s="34"/>
      <c r="J646" s="34"/>
      <c r="K646" s="34"/>
      <c r="L646" s="34"/>
      <c r="M646" s="36"/>
      <c r="N646" s="36"/>
      <c r="O646" s="36"/>
      <c r="P646" s="36"/>
      <c r="Q646" s="36"/>
      <c r="R646" s="36"/>
      <c r="S646" s="36"/>
    </row>
    <row r="647">
      <c r="A647" s="34"/>
      <c r="B647" s="36"/>
      <c r="C647" s="35"/>
      <c r="D647" s="35"/>
      <c r="E647" s="34"/>
      <c r="F647" s="34"/>
      <c r="G647" s="34"/>
      <c r="H647" s="34"/>
      <c r="I647" s="34"/>
      <c r="J647" s="34"/>
      <c r="K647" s="34"/>
      <c r="L647" s="34"/>
      <c r="M647" s="36"/>
      <c r="N647" s="36"/>
      <c r="O647" s="36"/>
      <c r="P647" s="36"/>
      <c r="Q647" s="36"/>
      <c r="R647" s="36"/>
      <c r="S647" s="36"/>
    </row>
    <row r="648">
      <c r="A648" s="34"/>
      <c r="B648" s="34"/>
      <c r="C648" s="35"/>
      <c r="D648" s="35"/>
      <c r="E648" s="34"/>
      <c r="F648" s="34"/>
      <c r="G648" s="34"/>
      <c r="H648" s="34"/>
      <c r="I648" s="34"/>
      <c r="J648" s="34"/>
      <c r="K648" s="34"/>
      <c r="L648" s="34"/>
      <c r="M648" s="36"/>
      <c r="N648" s="36"/>
      <c r="O648" s="36"/>
      <c r="P648" s="36"/>
      <c r="Q648" s="36"/>
      <c r="R648" s="36"/>
      <c r="S648" s="36"/>
    </row>
    <row r="649">
      <c r="A649" s="34"/>
      <c r="B649" s="34"/>
      <c r="C649" s="35"/>
      <c r="D649" s="35"/>
      <c r="E649" s="34"/>
      <c r="F649" s="34"/>
      <c r="G649" s="34"/>
      <c r="H649" s="34"/>
      <c r="I649" s="34"/>
      <c r="J649" s="34"/>
      <c r="K649" s="34"/>
      <c r="L649" s="34"/>
      <c r="M649" s="36"/>
      <c r="N649" s="36"/>
      <c r="O649" s="36"/>
      <c r="P649" s="36"/>
      <c r="Q649" s="36"/>
      <c r="R649" s="36"/>
      <c r="S649" s="36"/>
    </row>
    <row r="650">
      <c r="A650" s="34"/>
      <c r="B650" s="34"/>
      <c r="C650" s="35"/>
      <c r="D650" s="35"/>
      <c r="E650" s="34"/>
      <c r="F650" s="34"/>
      <c r="G650" s="34"/>
      <c r="H650" s="34"/>
      <c r="I650" s="34"/>
      <c r="J650" s="34"/>
      <c r="K650" s="34"/>
      <c r="L650" s="34"/>
      <c r="M650" s="36"/>
      <c r="N650" s="36"/>
      <c r="O650" s="36"/>
      <c r="P650" s="36"/>
      <c r="Q650" s="36"/>
      <c r="R650" s="36"/>
      <c r="S650" s="36"/>
    </row>
    <row r="651">
      <c r="A651" s="34"/>
      <c r="B651" s="34"/>
      <c r="C651" s="35"/>
      <c r="D651" s="35"/>
      <c r="E651" s="34"/>
      <c r="F651" s="34"/>
      <c r="G651" s="34"/>
      <c r="H651" s="34"/>
      <c r="I651" s="34"/>
      <c r="J651" s="34"/>
      <c r="K651" s="34"/>
      <c r="L651" s="34"/>
      <c r="M651" s="36"/>
      <c r="N651" s="36"/>
      <c r="O651" s="36"/>
      <c r="P651" s="36"/>
      <c r="Q651" s="36"/>
      <c r="R651" s="36"/>
      <c r="S651" s="36"/>
    </row>
    <row r="652">
      <c r="A652" s="34"/>
      <c r="B652" s="34"/>
      <c r="C652" s="35"/>
      <c r="D652" s="35"/>
      <c r="E652" s="34"/>
      <c r="F652" s="34"/>
      <c r="G652" s="34"/>
      <c r="H652" s="34"/>
      <c r="I652" s="34"/>
      <c r="J652" s="34"/>
      <c r="K652" s="34"/>
      <c r="L652" s="34"/>
      <c r="M652" s="36"/>
      <c r="N652" s="36"/>
      <c r="O652" s="36"/>
      <c r="P652" s="36"/>
      <c r="Q652" s="36"/>
      <c r="R652" s="36"/>
      <c r="S652" s="36"/>
    </row>
    <row r="653">
      <c r="A653" s="34"/>
      <c r="B653" s="34"/>
      <c r="C653" s="35"/>
      <c r="D653" s="35"/>
      <c r="E653" s="34"/>
      <c r="F653" s="34"/>
      <c r="G653" s="34"/>
      <c r="H653" s="34"/>
      <c r="I653" s="34"/>
      <c r="J653" s="34"/>
      <c r="K653" s="34"/>
      <c r="L653" s="34"/>
      <c r="M653" s="36"/>
      <c r="N653" s="36"/>
      <c r="O653" s="36"/>
      <c r="P653" s="36"/>
      <c r="Q653" s="36"/>
      <c r="R653" s="36"/>
      <c r="S653" s="36"/>
    </row>
    <row r="654">
      <c r="A654" s="34"/>
      <c r="B654" s="34"/>
      <c r="C654" s="35"/>
      <c r="D654" s="35"/>
      <c r="E654" s="34"/>
      <c r="F654" s="34"/>
      <c r="G654" s="34"/>
      <c r="H654" s="34"/>
      <c r="I654" s="34"/>
      <c r="J654" s="34"/>
      <c r="K654" s="34"/>
      <c r="L654" s="34"/>
      <c r="M654" s="36"/>
      <c r="N654" s="36"/>
      <c r="O654" s="36"/>
      <c r="P654" s="36"/>
      <c r="Q654" s="36"/>
      <c r="R654" s="36"/>
      <c r="S654" s="36"/>
    </row>
    <row r="655">
      <c r="A655" s="34"/>
      <c r="B655" s="36"/>
      <c r="C655" s="35"/>
      <c r="D655" s="35"/>
      <c r="E655" s="34"/>
      <c r="F655" s="34"/>
      <c r="G655" s="34"/>
      <c r="H655" s="34"/>
      <c r="I655" s="34"/>
      <c r="J655" s="34"/>
      <c r="K655" s="34"/>
      <c r="L655" s="34"/>
      <c r="M655" s="36"/>
      <c r="N655" s="36"/>
      <c r="O655" s="36"/>
      <c r="P655" s="36"/>
      <c r="Q655" s="36"/>
      <c r="R655" s="36"/>
      <c r="S655" s="36"/>
    </row>
    <row r="656">
      <c r="A656" s="34"/>
      <c r="B656" s="36"/>
      <c r="C656" s="35"/>
      <c r="D656" s="35"/>
      <c r="E656" s="34"/>
      <c r="F656" s="34"/>
      <c r="G656" s="34"/>
      <c r="H656" s="34"/>
      <c r="I656" s="34"/>
      <c r="J656" s="34"/>
      <c r="K656" s="34"/>
      <c r="L656" s="34"/>
      <c r="M656" s="36"/>
      <c r="N656" s="36"/>
      <c r="O656" s="36"/>
      <c r="P656" s="36"/>
      <c r="Q656" s="36"/>
      <c r="R656" s="36"/>
      <c r="S656" s="36"/>
    </row>
    <row r="657">
      <c r="A657" s="34"/>
      <c r="B657" s="34"/>
      <c r="C657" s="35"/>
      <c r="D657" s="35"/>
      <c r="E657" s="34"/>
      <c r="F657" s="34"/>
      <c r="G657" s="34"/>
      <c r="H657" s="34"/>
      <c r="I657" s="34"/>
      <c r="J657" s="34"/>
      <c r="K657" s="34"/>
      <c r="L657" s="34"/>
      <c r="M657" s="36"/>
      <c r="N657" s="36"/>
      <c r="O657" s="36"/>
      <c r="P657" s="36"/>
      <c r="Q657" s="36"/>
      <c r="R657" s="36"/>
      <c r="S657" s="36"/>
    </row>
    <row r="658">
      <c r="A658" s="34"/>
      <c r="B658" s="34"/>
      <c r="C658" s="35"/>
      <c r="D658" s="35"/>
      <c r="E658" s="34"/>
      <c r="F658" s="34"/>
      <c r="G658" s="34"/>
      <c r="H658" s="34"/>
      <c r="I658" s="34"/>
      <c r="J658" s="34"/>
      <c r="K658" s="34"/>
      <c r="L658" s="34"/>
      <c r="M658" s="36"/>
      <c r="N658" s="36"/>
      <c r="O658" s="36"/>
      <c r="P658" s="36"/>
      <c r="Q658" s="36"/>
      <c r="R658" s="36"/>
      <c r="S658" s="36"/>
    </row>
    <row r="659">
      <c r="A659" s="34"/>
      <c r="B659" s="34"/>
      <c r="C659" s="35"/>
      <c r="D659" s="35"/>
      <c r="E659" s="34"/>
      <c r="F659" s="34"/>
      <c r="G659" s="34"/>
      <c r="H659" s="34"/>
      <c r="I659" s="34"/>
      <c r="J659" s="34"/>
      <c r="K659" s="34"/>
      <c r="L659" s="34"/>
      <c r="M659" s="36"/>
      <c r="N659" s="36"/>
      <c r="O659" s="36"/>
      <c r="P659" s="36"/>
      <c r="Q659" s="36"/>
      <c r="R659" s="36"/>
      <c r="S659" s="36"/>
    </row>
    <row r="660">
      <c r="A660" s="34"/>
      <c r="B660" s="34"/>
      <c r="C660" s="35"/>
      <c r="D660" s="35"/>
      <c r="E660" s="34"/>
      <c r="F660" s="34"/>
      <c r="G660" s="34"/>
      <c r="H660" s="34"/>
      <c r="I660" s="34"/>
      <c r="J660" s="34"/>
      <c r="K660" s="34"/>
      <c r="L660" s="34"/>
      <c r="M660" s="36"/>
      <c r="N660" s="36"/>
      <c r="O660" s="36"/>
      <c r="P660" s="36"/>
      <c r="Q660" s="36"/>
      <c r="R660" s="36"/>
      <c r="S660" s="36"/>
    </row>
    <row r="661">
      <c r="A661" s="34"/>
      <c r="B661" s="34"/>
      <c r="C661" s="35"/>
      <c r="D661" s="35"/>
      <c r="E661" s="34"/>
      <c r="F661" s="34"/>
      <c r="G661" s="34"/>
      <c r="H661" s="34"/>
      <c r="I661" s="34"/>
      <c r="J661" s="34"/>
      <c r="K661" s="34"/>
      <c r="L661" s="34"/>
      <c r="M661" s="36"/>
      <c r="N661" s="36"/>
      <c r="O661" s="36"/>
      <c r="P661" s="36"/>
      <c r="Q661" s="36"/>
      <c r="R661" s="36"/>
      <c r="S661" s="36"/>
    </row>
    <row r="662">
      <c r="A662" s="34"/>
      <c r="B662" s="36"/>
      <c r="C662" s="35"/>
      <c r="D662" s="35"/>
      <c r="E662" s="34"/>
      <c r="F662" s="34"/>
      <c r="G662" s="34"/>
      <c r="H662" s="34"/>
      <c r="I662" s="34"/>
      <c r="J662" s="34"/>
      <c r="K662" s="34"/>
      <c r="L662" s="34"/>
      <c r="M662" s="36"/>
      <c r="N662" s="36"/>
      <c r="O662" s="36"/>
      <c r="P662" s="36"/>
      <c r="Q662" s="36"/>
      <c r="R662" s="36"/>
      <c r="S662" s="36"/>
    </row>
    <row r="663">
      <c r="A663" s="34"/>
      <c r="B663" s="34"/>
      <c r="C663" s="35"/>
      <c r="D663" s="35"/>
      <c r="E663" s="34"/>
      <c r="F663" s="34"/>
      <c r="G663" s="34"/>
      <c r="H663" s="34"/>
      <c r="I663" s="34"/>
      <c r="J663" s="34"/>
      <c r="K663" s="34"/>
      <c r="L663" s="34"/>
      <c r="M663" s="36"/>
      <c r="N663" s="36"/>
      <c r="O663" s="36"/>
      <c r="P663" s="36"/>
      <c r="Q663" s="36"/>
      <c r="R663" s="36"/>
      <c r="S663" s="36"/>
    </row>
    <row r="664">
      <c r="A664" s="34"/>
      <c r="B664" s="36"/>
      <c r="C664" s="35"/>
      <c r="D664" s="35"/>
      <c r="E664" s="34"/>
      <c r="F664" s="34"/>
      <c r="G664" s="34"/>
      <c r="H664" s="34"/>
      <c r="I664" s="34"/>
      <c r="J664" s="34"/>
      <c r="K664" s="34"/>
      <c r="L664" s="34"/>
      <c r="M664" s="36"/>
      <c r="N664" s="36"/>
      <c r="O664" s="36"/>
      <c r="P664" s="36"/>
      <c r="Q664" s="36"/>
      <c r="R664" s="36"/>
      <c r="S664" s="36"/>
    </row>
    <row r="665">
      <c r="A665" s="34"/>
      <c r="B665" s="34"/>
      <c r="C665" s="35"/>
      <c r="D665" s="35"/>
      <c r="E665" s="34"/>
      <c r="F665" s="34"/>
      <c r="G665" s="34"/>
      <c r="H665" s="34"/>
      <c r="I665" s="34"/>
      <c r="J665" s="34"/>
      <c r="K665" s="34"/>
      <c r="L665" s="34"/>
      <c r="M665" s="36"/>
      <c r="N665" s="36"/>
      <c r="O665" s="36"/>
      <c r="P665" s="36"/>
      <c r="Q665" s="36"/>
      <c r="R665" s="36"/>
      <c r="S665" s="36"/>
    </row>
    <row r="666">
      <c r="A666" s="34"/>
      <c r="B666" s="36"/>
      <c r="C666" s="35"/>
      <c r="D666" s="35"/>
      <c r="E666" s="34"/>
      <c r="F666" s="34"/>
      <c r="G666" s="34"/>
      <c r="H666" s="34"/>
      <c r="I666" s="34"/>
      <c r="J666" s="34"/>
      <c r="K666" s="34"/>
      <c r="L666" s="34"/>
      <c r="M666" s="36"/>
      <c r="N666" s="36"/>
      <c r="O666" s="36"/>
      <c r="P666" s="36"/>
      <c r="Q666" s="36"/>
      <c r="R666" s="36"/>
      <c r="S666" s="36"/>
    </row>
    <row r="667">
      <c r="A667" s="34"/>
      <c r="B667" s="34"/>
      <c r="C667" s="35"/>
      <c r="D667" s="35"/>
      <c r="E667" s="34"/>
      <c r="F667" s="34"/>
      <c r="G667" s="34"/>
      <c r="H667" s="34"/>
      <c r="I667" s="34"/>
      <c r="J667" s="34"/>
      <c r="K667" s="34"/>
      <c r="L667" s="34"/>
      <c r="M667" s="36"/>
      <c r="N667" s="36"/>
      <c r="O667" s="36"/>
      <c r="P667" s="36"/>
      <c r="Q667" s="36"/>
      <c r="R667" s="36"/>
      <c r="S667" s="36"/>
    </row>
    <row r="668">
      <c r="A668" s="34"/>
      <c r="B668" s="34"/>
      <c r="C668" s="35"/>
      <c r="D668" s="35"/>
      <c r="E668" s="34"/>
      <c r="F668" s="34"/>
      <c r="G668" s="34"/>
      <c r="H668" s="34"/>
      <c r="I668" s="34"/>
      <c r="J668" s="34"/>
      <c r="K668" s="34"/>
      <c r="L668" s="34"/>
      <c r="M668" s="36"/>
      <c r="N668" s="36"/>
      <c r="O668" s="36"/>
      <c r="P668" s="36"/>
      <c r="Q668" s="36"/>
      <c r="R668" s="36"/>
      <c r="S668" s="36"/>
    </row>
    <row r="669">
      <c r="A669" s="34"/>
      <c r="B669" s="34"/>
      <c r="C669" s="35"/>
      <c r="D669" s="35"/>
      <c r="E669" s="34"/>
      <c r="F669" s="34"/>
      <c r="G669" s="34"/>
      <c r="H669" s="34"/>
      <c r="I669" s="34"/>
      <c r="J669" s="34"/>
      <c r="K669" s="34"/>
      <c r="L669" s="34"/>
      <c r="M669" s="36"/>
      <c r="N669" s="36"/>
      <c r="O669" s="36"/>
      <c r="P669" s="36"/>
      <c r="Q669" s="36"/>
      <c r="R669" s="36"/>
      <c r="S669" s="36"/>
    </row>
    <row r="670">
      <c r="A670" s="34"/>
      <c r="B670" s="34"/>
      <c r="C670" s="35"/>
      <c r="D670" s="35"/>
      <c r="E670" s="34"/>
      <c r="F670" s="34"/>
      <c r="G670" s="34"/>
      <c r="H670" s="34"/>
      <c r="I670" s="34"/>
      <c r="J670" s="34"/>
      <c r="K670" s="34"/>
      <c r="L670" s="34"/>
      <c r="M670" s="36"/>
      <c r="N670" s="36"/>
      <c r="O670" s="36"/>
      <c r="P670" s="36"/>
      <c r="Q670" s="36"/>
      <c r="R670" s="36"/>
      <c r="S670" s="36"/>
    </row>
    <row r="671">
      <c r="A671" s="34"/>
      <c r="B671" s="36"/>
      <c r="C671" s="35"/>
      <c r="D671" s="35"/>
      <c r="E671" s="34"/>
      <c r="F671" s="34"/>
      <c r="G671" s="34"/>
      <c r="H671" s="34"/>
      <c r="I671" s="34"/>
      <c r="J671" s="34"/>
      <c r="K671" s="34"/>
      <c r="L671" s="34"/>
      <c r="M671" s="36"/>
      <c r="N671" s="36"/>
      <c r="O671" s="36"/>
      <c r="P671" s="36"/>
      <c r="Q671" s="36"/>
      <c r="R671" s="36"/>
      <c r="S671" s="36"/>
    </row>
    <row r="672">
      <c r="A672" s="34"/>
      <c r="B672" s="36"/>
      <c r="C672" s="35"/>
      <c r="D672" s="35"/>
      <c r="E672" s="34"/>
      <c r="F672" s="34"/>
      <c r="G672" s="34"/>
      <c r="H672" s="34"/>
      <c r="I672" s="34"/>
      <c r="J672" s="34"/>
      <c r="K672" s="34"/>
      <c r="L672" s="34"/>
      <c r="M672" s="36"/>
      <c r="N672" s="36"/>
      <c r="O672" s="36"/>
      <c r="P672" s="36"/>
      <c r="Q672" s="36"/>
      <c r="R672" s="36"/>
      <c r="S672" s="36"/>
    </row>
    <row r="673">
      <c r="A673" s="34"/>
      <c r="B673" s="36"/>
      <c r="C673" s="35"/>
      <c r="D673" s="35"/>
      <c r="E673" s="34"/>
      <c r="F673" s="34"/>
      <c r="G673" s="34"/>
      <c r="H673" s="34"/>
      <c r="I673" s="34"/>
      <c r="J673" s="34"/>
      <c r="K673" s="34"/>
      <c r="L673" s="34"/>
      <c r="M673" s="36"/>
      <c r="N673" s="36"/>
      <c r="O673" s="36"/>
      <c r="P673" s="36"/>
      <c r="Q673" s="36"/>
      <c r="R673" s="36"/>
      <c r="S673" s="36"/>
    </row>
    <row r="674">
      <c r="A674" s="34"/>
      <c r="B674" s="34"/>
      <c r="C674" s="35"/>
      <c r="D674" s="35"/>
      <c r="E674" s="34"/>
      <c r="F674" s="34"/>
      <c r="G674" s="34"/>
      <c r="H674" s="34"/>
      <c r="I674" s="34"/>
      <c r="J674" s="34"/>
      <c r="K674" s="34"/>
      <c r="L674" s="34"/>
      <c r="M674" s="36"/>
      <c r="N674" s="36"/>
      <c r="O674" s="36"/>
      <c r="P674" s="36"/>
      <c r="Q674" s="36"/>
      <c r="R674" s="36"/>
      <c r="S674" s="36"/>
    </row>
    <row r="675">
      <c r="A675" s="34"/>
      <c r="B675" s="34"/>
      <c r="C675" s="35"/>
      <c r="D675" s="35"/>
      <c r="E675" s="34"/>
      <c r="F675" s="34"/>
      <c r="G675" s="34"/>
      <c r="H675" s="34"/>
      <c r="I675" s="34"/>
      <c r="J675" s="34"/>
      <c r="K675" s="34"/>
      <c r="L675" s="34"/>
      <c r="M675" s="36"/>
      <c r="N675" s="36"/>
      <c r="O675" s="36"/>
      <c r="P675" s="36"/>
      <c r="Q675" s="36"/>
      <c r="R675" s="36"/>
      <c r="S675" s="36"/>
    </row>
    <row r="676">
      <c r="A676" s="34"/>
      <c r="B676" s="34"/>
      <c r="C676" s="35"/>
      <c r="D676" s="35"/>
      <c r="E676" s="34"/>
      <c r="F676" s="34"/>
      <c r="G676" s="34"/>
      <c r="H676" s="34"/>
      <c r="I676" s="34"/>
      <c r="J676" s="34"/>
      <c r="K676" s="34"/>
      <c r="L676" s="34"/>
      <c r="M676" s="36"/>
      <c r="N676" s="36"/>
      <c r="O676" s="36"/>
      <c r="P676" s="36"/>
      <c r="Q676" s="36"/>
      <c r="R676" s="36"/>
      <c r="S676" s="36"/>
    </row>
    <row r="677">
      <c r="A677" s="34"/>
      <c r="B677" s="34"/>
      <c r="C677" s="35"/>
      <c r="D677" s="35"/>
      <c r="E677" s="34"/>
      <c r="F677" s="34"/>
      <c r="G677" s="34"/>
      <c r="H677" s="34"/>
      <c r="I677" s="34"/>
      <c r="J677" s="34"/>
      <c r="K677" s="34"/>
      <c r="L677" s="34"/>
      <c r="M677" s="36"/>
      <c r="N677" s="36"/>
      <c r="O677" s="36"/>
      <c r="P677" s="36"/>
      <c r="Q677" s="36"/>
      <c r="R677" s="36"/>
      <c r="S677" s="36"/>
    </row>
    <row r="678">
      <c r="A678" s="34"/>
      <c r="B678" s="34"/>
      <c r="C678" s="35"/>
      <c r="D678" s="35"/>
      <c r="E678" s="34"/>
      <c r="F678" s="34"/>
      <c r="G678" s="34"/>
      <c r="H678" s="34"/>
      <c r="I678" s="34"/>
      <c r="J678" s="34"/>
      <c r="K678" s="34"/>
      <c r="L678" s="34"/>
      <c r="M678" s="36"/>
      <c r="N678" s="36"/>
      <c r="O678" s="36"/>
      <c r="P678" s="36"/>
      <c r="Q678" s="36"/>
      <c r="R678" s="36"/>
      <c r="S678" s="36"/>
    </row>
    <row r="679">
      <c r="A679" s="34"/>
      <c r="B679" s="34"/>
      <c r="C679" s="35"/>
      <c r="D679" s="35"/>
      <c r="E679" s="34"/>
      <c r="F679" s="34"/>
      <c r="G679" s="34"/>
      <c r="H679" s="34"/>
      <c r="I679" s="34"/>
      <c r="J679" s="34"/>
      <c r="K679" s="34"/>
      <c r="L679" s="34"/>
      <c r="M679" s="36"/>
      <c r="N679" s="36"/>
      <c r="O679" s="36"/>
      <c r="P679" s="36"/>
      <c r="Q679" s="36"/>
      <c r="R679" s="36"/>
      <c r="S679" s="36"/>
    </row>
    <row r="680">
      <c r="A680" s="34"/>
      <c r="B680" s="34"/>
      <c r="C680" s="35"/>
      <c r="D680" s="35"/>
      <c r="E680" s="34"/>
      <c r="F680" s="34"/>
      <c r="G680" s="34"/>
      <c r="H680" s="34"/>
      <c r="I680" s="34"/>
      <c r="J680" s="34"/>
      <c r="K680" s="34"/>
      <c r="L680" s="34"/>
      <c r="M680" s="36"/>
      <c r="N680" s="36"/>
      <c r="O680" s="36"/>
      <c r="P680" s="36"/>
      <c r="Q680" s="36"/>
      <c r="R680" s="36"/>
      <c r="S680" s="36"/>
    </row>
    <row r="681">
      <c r="A681" s="34"/>
      <c r="B681" s="36"/>
      <c r="C681" s="35"/>
      <c r="D681" s="35"/>
      <c r="E681" s="34"/>
      <c r="F681" s="34"/>
      <c r="G681" s="34"/>
      <c r="H681" s="34"/>
      <c r="I681" s="34"/>
      <c r="J681" s="34"/>
      <c r="K681" s="34"/>
      <c r="L681" s="34"/>
      <c r="M681" s="36"/>
      <c r="N681" s="36"/>
      <c r="O681" s="36"/>
      <c r="P681" s="36"/>
      <c r="Q681" s="36"/>
      <c r="R681" s="36"/>
      <c r="S681" s="36"/>
    </row>
    <row r="682">
      <c r="A682" s="34"/>
      <c r="B682" s="34"/>
      <c r="C682" s="35"/>
      <c r="D682" s="35"/>
      <c r="E682" s="34"/>
      <c r="F682" s="34"/>
      <c r="G682" s="34"/>
      <c r="H682" s="34"/>
      <c r="I682" s="34"/>
      <c r="J682" s="34"/>
      <c r="K682" s="34"/>
      <c r="L682" s="34"/>
      <c r="M682" s="36"/>
      <c r="N682" s="36"/>
      <c r="O682" s="36"/>
      <c r="P682" s="36"/>
      <c r="Q682" s="36"/>
      <c r="R682" s="36"/>
      <c r="S682" s="36"/>
    </row>
    <row r="683">
      <c r="A683" s="34"/>
      <c r="B683" s="34"/>
      <c r="C683" s="35"/>
      <c r="D683" s="35"/>
      <c r="E683" s="34"/>
      <c r="F683" s="34"/>
      <c r="G683" s="34"/>
      <c r="H683" s="34"/>
      <c r="I683" s="34"/>
      <c r="J683" s="34"/>
      <c r="K683" s="34"/>
      <c r="L683" s="34"/>
      <c r="M683" s="36"/>
      <c r="N683" s="36"/>
      <c r="O683" s="36"/>
      <c r="P683" s="36"/>
      <c r="Q683" s="36"/>
      <c r="R683" s="36"/>
      <c r="S683" s="36"/>
    </row>
    <row r="684">
      <c r="A684" s="34"/>
      <c r="B684" s="34"/>
      <c r="C684" s="35"/>
      <c r="D684" s="35"/>
      <c r="E684" s="34"/>
      <c r="F684" s="34"/>
      <c r="G684" s="34"/>
      <c r="H684" s="34"/>
      <c r="I684" s="34"/>
      <c r="J684" s="34"/>
      <c r="K684" s="34"/>
      <c r="L684" s="34"/>
      <c r="M684" s="36"/>
      <c r="N684" s="36"/>
      <c r="O684" s="36"/>
      <c r="P684" s="36"/>
      <c r="Q684" s="36"/>
      <c r="R684" s="36"/>
      <c r="S684" s="36"/>
    </row>
    <row r="685">
      <c r="A685" s="34"/>
      <c r="B685" s="34"/>
      <c r="C685" s="35"/>
      <c r="D685" s="35"/>
      <c r="E685" s="34"/>
      <c r="F685" s="34"/>
      <c r="G685" s="34"/>
      <c r="H685" s="34"/>
      <c r="I685" s="34"/>
      <c r="J685" s="34"/>
      <c r="K685" s="34"/>
      <c r="L685" s="34"/>
      <c r="M685" s="36"/>
      <c r="N685" s="36"/>
      <c r="O685" s="36"/>
      <c r="P685" s="36"/>
      <c r="Q685" s="36"/>
      <c r="R685" s="36"/>
      <c r="S685" s="36"/>
    </row>
    <row r="686">
      <c r="A686" s="34"/>
      <c r="B686" s="34"/>
      <c r="C686" s="35"/>
      <c r="D686" s="35"/>
      <c r="E686" s="34"/>
      <c r="F686" s="34"/>
      <c r="G686" s="34"/>
      <c r="H686" s="34"/>
      <c r="I686" s="34"/>
      <c r="J686" s="34"/>
      <c r="K686" s="34"/>
      <c r="L686" s="34"/>
      <c r="M686" s="36"/>
      <c r="N686" s="36"/>
      <c r="O686" s="36"/>
      <c r="P686" s="36"/>
      <c r="Q686" s="36"/>
      <c r="R686" s="36"/>
      <c r="S686" s="36"/>
    </row>
    <row r="687">
      <c r="A687" s="34"/>
      <c r="B687" s="34"/>
      <c r="C687" s="35"/>
      <c r="D687" s="35"/>
      <c r="E687" s="34"/>
      <c r="F687" s="34"/>
      <c r="G687" s="34"/>
      <c r="H687" s="34"/>
      <c r="I687" s="34"/>
      <c r="J687" s="34"/>
      <c r="K687" s="34"/>
      <c r="L687" s="34"/>
      <c r="M687" s="36"/>
      <c r="N687" s="36"/>
      <c r="O687" s="36"/>
      <c r="P687" s="36"/>
      <c r="Q687" s="36"/>
      <c r="R687" s="36"/>
      <c r="S687" s="36"/>
    </row>
    <row r="688">
      <c r="A688" s="34"/>
      <c r="B688" s="34"/>
      <c r="C688" s="35"/>
      <c r="D688" s="35"/>
      <c r="E688" s="34"/>
      <c r="F688" s="34"/>
      <c r="G688" s="34"/>
      <c r="H688" s="34"/>
      <c r="I688" s="34"/>
      <c r="J688" s="34"/>
      <c r="K688" s="34"/>
      <c r="L688" s="34"/>
      <c r="M688" s="36"/>
      <c r="N688" s="36"/>
      <c r="O688" s="36"/>
      <c r="P688" s="36"/>
      <c r="Q688" s="36"/>
      <c r="R688" s="36"/>
      <c r="S688" s="36"/>
    </row>
    <row r="689">
      <c r="A689" s="34"/>
      <c r="B689" s="34"/>
      <c r="C689" s="35"/>
      <c r="D689" s="35"/>
      <c r="E689" s="34"/>
      <c r="F689" s="34"/>
      <c r="G689" s="34"/>
      <c r="H689" s="34"/>
      <c r="I689" s="34"/>
      <c r="J689" s="34"/>
      <c r="K689" s="34"/>
      <c r="L689" s="34"/>
      <c r="M689" s="36"/>
      <c r="N689" s="36"/>
      <c r="O689" s="36"/>
      <c r="P689" s="36"/>
      <c r="Q689" s="36"/>
      <c r="R689" s="36"/>
      <c r="S689" s="36"/>
    </row>
    <row r="690">
      <c r="A690" s="34"/>
      <c r="B690" s="34"/>
      <c r="C690" s="35"/>
      <c r="D690" s="35"/>
      <c r="E690" s="34"/>
      <c r="F690" s="34"/>
      <c r="G690" s="34"/>
      <c r="H690" s="34"/>
      <c r="I690" s="34"/>
      <c r="J690" s="34"/>
      <c r="K690" s="34"/>
      <c r="L690" s="34"/>
      <c r="M690" s="36"/>
      <c r="N690" s="36"/>
      <c r="O690" s="36"/>
      <c r="P690" s="36"/>
      <c r="Q690" s="36"/>
      <c r="R690" s="36"/>
      <c r="S690" s="36"/>
    </row>
    <row r="691">
      <c r="A691" s="34"/>
      <c r="B691" s="34"/>
      <c r="C691" s="35"/>
      <c r="D691" s="35"/>
      <c r="E691" s="34"/>
      <c r="F691" s="34"/>
      <c r="G691" s="34"/>
      <c r="H691" s="34"/>
      <c r="I691" s="34"/>
      <c r="J691" s="34"/>
      <c r="K691" s="34"/>
      <c r="L691" s="34"/>
      <c r="M691" s="36"/>
      <c r="N691" s="36"/>
      <c r="O691" s="36"/>
      <c r="P691" s="36"/>
      <c r="Q691" s="36"/>
      <c r="R691" s="36"/>
      <c r="S691" s="36"/>
    </row>
    <row r="692">
      <c r="A692" s="34"/>
      <c r="B692" s="34"/>
      <c r="C692" s="35"/>
      <c r="D692" s="35"/>
      <c r="E692" s="34"/>
      <c r="F692" s="34"/>
      <c r="G692" s="34"/>
      <c r="H692" s="34"/>
      <c r="I692" s="34"/>
      <c r="J692" s="34"/>
      <c r="K692" s="34"/>
      <c r="L692" s="34"/>
      <c r="M692" s="36"/>
      <c r="N692" s="36"/>
      <c r="O692" s="36"/>
      <c r="P692" s="36"/>
      <c r="Q692" s="36"/>
      <c r="R692" s="36"/>
      <c r="S692" s="36"/>
    </row>
    <row r="693">
      <c r="A693" s="34"/>
      <c r="B693" s="34"/>
      <c r="C693" s="35"/>
      <c r="D693" s="35"/>
      <c r="E693" s="34"/>
      <c r="F693" s="34"/>
      <c r="G693" s="34"/>
      <c r="H693" s="34"/>
      <c r="I693" s="34"/>
      <c r="J693" s="34"/>
      <c r="K693" s="34"/>
      <c r="L693" s="34"/>
      <c r="M693" s="36"/>
      <c r="N693" s="36"/>
      <c r="O693" s="36"/>
      <c r="P693" s="36"/>
      <c r="Q693" s="36"/>
      <c r="R693" s="36"/>
      <c r="S693" s="36"/>
    </row>
    <row r="694">
      <c r="A694" s="34"/>
      <c r="B694" s="34"/>
      <c r="C694" s="35"/>
      <c r="D694" s="35"/>
      <c r="E694" s="34"/>
      <c r="F694" s="34"/>
      <c r="G694" s="34"/>
      <c r="H694" s="34"/>
      <c r="I694" s="34"/>
      <c r="J694" s="34"/>
      <c r="K694" s="34"/>
      <c r="L694" s="34"/>
      <c r="M694" s="36"/>
      <c r="N694" s="36"/>
      <c r="O694" s="36"/>
      <c r="P694" s="36"/>
      <c r="Q694" s="36"/>
      <c r="R694" s="36"/>
      <c r="S694" s="36"/>
    </row>
    <row r="695">
      <c r="A695" s="34"/>
      <c r="B695" s="34"/>
      <c r="C695" s="35"/>
      <c r="D695" s="35"/>
      <c r="E695" s="34"/>
      <c r="F695" s="34"/>
      <c r="G695" s="34"/>
      <c r="H695" s="34"/>
      <c r="I695" s="34"/>
      <c r="J695" s="34"/>
      <c r="K695" s="34"/>
      <c r="L695" s="34"/>
      <c r="M695" s="36"/>
      <c r="N695" s="36"/>
      <c r="O695" s="36"/>
      <c r="P695" s="36"/>
      <c r="Q695" s="36"/>
      <c r="R695" s="36"/>
      <c r="S695" s="36"/>
    </row>
    <row r="696">
      <c r="A696" s="34"/>
      <c r="B696" s="34"/>
      <c r="C696" s="35"/>
      <c r="D696" s="35"/>
      <c r="E696" s="34"/>
      <c r="F696" s="34"/>
      <c r="G696" s="34"/>
      <c r="H696" s="34"/>
      <c r="I696" s="34"/>
      <c r="J696" s="34"/>
      <c r="K696" s="34"/>
      <c r="L696" s="34"/>
      <c r="M696" s="36"/>
      <c r="N696" s="36"/>
      <c r="O696" s="36"/>
      <c r="P696" s="36"/>
      <c r="Q696" s="36"/>
      <c r="R696" s="36"/>
      <c r="S696" s="36"/>
    </row>
    <row r="697">
      <c r="A697" s="34"/>
      <c r="B697" s="34"/>
      <c r="C697" s="35"/>
      <c r="D697" s="35"/>
      <c r="E697" s="34"/>
      <c r="F697" s="34"/>
      <c r="G697" s="34"/>
      <c r="H697" s="34"/>
      <c r="I697" s="34"/>
      <c r="J697" s="34"/>
      <c r="K697" s="34"/>
      <c r="L697" s="34"/>
      <c r="M697" s="36"/>
      <c r="N697" s="36"/>
      <c r="O697" s="36"/>
      <c r="P697" s="36"/>
      <c r="Q697" s="36"/>
      <c r="R697" s="36"/>
      <c r="S697" s="36"/>
    </row>
    <row r="698">
      <c r="A698" s="34"/>
      <c r="B698" s="36"/>
      <c r="C698" s="35"/>
      <c r="D698" s="35"/>
      <c r="E698" s="34"/>
      <c r="F698" s="34"/>
      <c r="G698" s="34"/>
      <c r="H698" s="34"/>
      <c r="I698" s="34"/>
      <c r="J698" s="34"/>
      <c r="K698" s="34"/>
      <c r="L698" s="34"/>
      <c r="M698" s="36"/>
      <c r="N698" s="36"/>
      <c r="O698" s="36"/>
      <c r="P698" s="36"/>
      <c r="Q698" s="36"/>
      <c r="R698" s="36"/>
      <c r="S698" s="36"/>
    </row>
    <row r="699">
      <c r="A699" s="34"/>
      <c r="B699" s="34"/>
      <c r="C699" s="35"/>
      <c r="D699" s="35"/>
      <c r="E699" s="34"/>
      <c r="F699" s="34"/>
      <c r="G699" s="34"/>
      <c r="H699" s="34"/>
      <c r="I699" s="34"/>
      <c r="J699" s="34"/>
      <c r="K699" s="34"/>
      <c r="L699" s="34"/>
      <c r="M699" s="36"/>
      <c r="N699" s="36"/>
      <c r="O699" s="36"/>
      <c r="P699" s="36"/>
      <c r="Q699" s="36"/>
      <c r="R699" s="36"/>
      <c r="S699" s="36"/>
    </row>
    <row r="700">
      <c r="A700" s="34"/>
      <c r="B700" s="34"/>
      <c r="C700" s="35"/>
      <c r="D700" s="35"/>
      <c r="E700" s="34"/>
      <c r="F700" s="34"/>
      <c r="G700" s="34"/>
      <c r="H700" s="34"/>
      <c r="I700" s="34"/>
      <c r="J700" s="34"/>
      <c r="K700" s="34"/>
      <c r="L700" s="34"/>
      <c r="M700" s="36"/>
      <c r="N700" s="36"/>
      <c r="O700" s="36"/>
      <c r="P700" s="36"/>
      <c r="Q700" s="36"/>
      <c r="R700" s="36"/>
      <c r="S700" s="36"/>
    </row>
    <row r="701">
      <c r="A701" s="34"/>
      <c r="B701" s="34"/>
      <c r="C701" s="35"/>
      <c r="D701" s="35"/>
      <c r="E701" s="34"/>
      <c r="F701" s="34"/>
      <c r="G701" s="34"/>
      <c r="H701" s="34"/>
      <c r="I701" s="34"/>
      <c r="J701" s="34"/>
      <c r="K701" s="34"/>
      <c r="L701" s="34"/>
      <c r="M701" s="36"/>
      <c r="N701" s="36"/>
      <c r="O701" s="36"/>
      <c r="P701" s="36"/>
      <c r="Q701" s="36"/>
      <c r="R701" s="36"/>
      <c r="S701" s="36"/>
    </row>
    <row r="702">
      <c r="A702" s="34"/>
      <c r="B702" s="34"/>
      <c r="C702" s="35"/>
      <c r="D702" s="35"/>
      <c r="E702" s="34"/>
      <c r="F702" s="34"/>
      <c r="G702" s="34"/>
      <c r="H702" s="34"/>
      <c r="I702" s="34"/>
      <c r="J702" s="34"/>
      <c r="K702" s="34"/>
      <c r="L702" s="34"/>
      <c r="M702" s="36"/>
      <c r="N702" s="36"/>
      <c r="O702" s="36"/>
      <c r="P702" s="36"/>
      <c r="Q702" s="36"/>
      <c r="R702" s="36"/>
      <c r="S702" s="36"/>
    </row>
    <row r="703">
      <c r="A703" s="34"/>
      <c r="B703" s="34"/>
      <c r="C703" s="35"/>
      <c r="D703" s="35"/>
      <c r="E703" s="34"/>
      <c r="F703" s="34"/>
      <c r="G703" s="34"/>
      <c r="H703" s="34"/>
      <c r="I703" s="34"/>
      <c r="J703" s="34"/>
      <c r="K703" s="34"/>
      <c r="L703" s="34"/>
      <c r="M703" s="36"/>
      <c r="N703" s="36"/>
      <c r="O703" s="36"/>
      <c r="P703" s="36"/>
      <c r="Q703" s="36"/>
      <c r="R703" s="36"/>
      <c r="S703" s="36"/>
    </row>
    <row r="704">
      <c r="A704" s="34"/>
      <c r="B704" s="34"/>
      <c r="C704" s="35"/>
      <c r="D704" s="35"/>
      <c r="E704" s="34"/>
      <c r="F704" s="34"/>
      <c r="G704" s="34"/>
      <c r="H704" s="34"/>
      <c r="I704" s="34"/>
      <c r="J704" s="34"/>
      <c r="K704" s="34"/>
      <c r="L704" s="34"/>
      <c r="M704" s="36"/>
      <c r="N704" s="36"/>
      <c r="O704" s="36"/>
      <c r="P704" s="36"/>
      <c r="Q704" s="36"/>
      <c r="R704" s="36"/>
      <c r="S704" s="36"/>
    </row>
    <row r="705">
      <c r="A705" s="34"/>
      <c r="B705" s="34"/>
      <c r="C705" s="35"/>
      <c r="D705" s="35"/>
      <c r="E705" s="34"/>
      <c r="F705" s="34"/>
      <c r="G705" s="34"/>
      <c r="H705" s="34"/>
      <c r="I705" s="34"/>
      <c r="J705" s="34"/>
      <c r="K705" s="34"/>
      <c r="L705" s="34"/>
      <c r="M705" s="36"/>
      <c r="N705" s="36"/>
      <c r="O705" s="36"/>
      <c r="P705" s="36"/>
      <c r="Q705" s="36"/>
      <c r="R705" s="36"/>
      <c r="S705" s="36"/>
    </row>
    <row r="706">
      <c r="A706" s="34"/>
      <c r="B706" s="34"/>
      <c r="C706" s="35"/>
      <c r="D706" s="35"/>
      <c r="E706" s="34"/>
      <c r="F706" s="34"/>
      <c r="G706" s="34"/>
      <c r="H706" s="34"/>
      <c r="I706" s="34"/>
      <c r="J706" s="34"/>
      <c r="K706" s="34"/>
      <c r="L706" s="34"/>
      <c r="M706" s="36"/>
      <c r="N706" s="36"/>
      <c r="O706" s="36"/>
      <c r="P706" s="36"/>
      <c r="Q706" s="36"/>
      <c r="R706" s="36"/>
      <c r="S706" s="36"/>
    </row>
    <row r="707">
      <c r="A707" s="34"/>
      <c r="B707" s="34"/>
      <c r="C707" s="35"/>
      <c r="D707" s="35"/>
      <c r="E707" s="34"/>
      <c r="F707" s="34"/>
      <c r="G707" s="34"/>
      <c r="H707" s="34"/>
      <c r="I707" s="34"/>
      <c r="J707" s="34"/>
      <c r="K707" s="34"/>
      <c r="L707" s="34"/>
      <c r="M707" s="36"/>
      <c r="N707" s="36"/>
      <c r="O707" s="36"/>
      <c r="P707" s="36"/>
      <c r="Q707" s="36"/>
      <c r="R707" s="36"/>
      <c r="S707" s="36"/>
    </row>
    <row r="708">
      <c r="A708" s="34"/>
      <c r="B708" s="34"/>
      <c r="C708" s="35"/>
      <c r="D708" s="35"/>
      <c r="E708" s="34"/>
      <c r="F708" s="34"/>
      <c r="G708" s="34"/>
      <c r="H708" s="34"/>
      <c r="I708" s="34"/>
      <c r="J708" s="34"/>
      <c r="K708" s="34"/>
      <c r="L708" s="34"/>
      <c r="M708" s="36"/>
      <c r="N708" s="36"/>
      <c r="O708" s="36"/>
      <c r="P708" s="36"/>
      <c r="Q708" s="36"/>
      <c r="R708" s="36"/>
      <c r="S708" s="36"/>
    </row>
    <row r="709">
      <c r="A709" s="34"/>
      <c r="B709" s="34"/>
      <c r="C709" s="35"/>
      <c r="D709" s="35"/>
      <c r="E709" s="34"/>
      <c r="F709" s="34"/>
      <c r="G709" s="34"/>
      <c r="H709" s="34"/>
      <c r="I709" s="34"/>
      <c r="J709" s="34"/>
      <c r="K709" s="34"/>
      <c r="L709" s="34"/>
      <c r="M709" s="36"/>
      <c r="N709" s="36"/>
      <c r="O709" s="36"/>
      <c r="P709" s="36"/>
      <c r="Q709" s="36"/>
      <c r="R709" s="36"/>
      <c r="S709" s="36"/>
    </row>
    <row r="710">
      <c r="A710" s="34"/>
      <c r="B710" s="36"/>
      <c r="C710" s="35"/>
      <c r="D710" s="35"/>
      <c r="E710" s="34"/>
      <c r="F710" s="34"/>
      <c r="G710" s="34"/>
      <c r="H710" s="34"/>
      <c r="I710" s="34"/>
      <c r="J710" s="34"/>
      <c r="K710" s="34"/>
      <c r="L710" s="34"/>
      <c r="M710" s="36"/>
      <c r="N710" s="36"/>
      <c r="O710" s="36"/>
      <c r="P710" s="36"/>
      <c r="Q710" s="36"/>
      <c r="R710" s="36"/>
      <c r="S710" s="36"/>
    </row>
    <row r="711">
      <c r="A711" s="34"/>
      <c r="B711" s="34"/>
      <c r="C711" s="35"/>
      <c r="D711" s="35"/>
      <c r="E711" s="34"/>
      <c r="F711" s="34"/>
      <c r="G711" s="34"/>
      <c r="H711" s="34"/>
      <c r="I711" s="34"/>
      <c r="J711" s="34"/>
      <c r="K711" s="34"/>
      <c r="L711" s="34"/>
      <c r="M711" s="36"/>
      <c r="N711" s="36"/>
      <c r="O711" s="36"/>
      <c r="P711" s="36"/>
      <c r="Q711" s="36"/>
      <c r="R711" s="36"/>
      <c r="S711" s="36"/>
    </row>
    <row r="712">
      <c r="A712" s="34"/>
      <c r="B712" s="34"/>
      <c r="C712" s="35"/>
      <c r="D712" s="35"/>
      <c r="E712" s="34"/>
      <c r="F712" s="34"/>
      <c r="G712" s="34"/>
      <c r="H712" s="34"/>
      <c r="I712" s="34"/>
      <c r="J712" s="34"/>
      <c r="K712" s="34"/>
      <c r="L712" s="34"/>
      <c r="M712" s="36"/>
      <c r="N712" s="36"/>
      <c r="O712" s="36"/>
      <c r="P712" s="36"/>
      <c r="Q712" s="36"/>
      <c r="R712" s="36"/>
      <c r="S712" s="36"/>
    </row>
    <row r="713">
      <c r="A713" s="34"/>
      <c r="B713" s="34"/>
      <c r="C713" s="35"/>
      <c r="D713" s="35"/>
      <c r="E713" s="34"/>
      <c r="F713" s="34"/>
      <c r="G713" s="34"/>
      <c r="H713" s="34"/>
      <c r="I713" s="34"/>
      <c r="J713" s="34"/>
      <c r="K713" s="34"/>
      <c r="L713" s="34"/>
      <c r="M713" s="36"/>
      <c r="N713" s="36"/>
      <c r="O713" s="36"/>
      <c r="P713" s="36"/>
      <c r="Q713" s="36"/>
      <c r="R713" s="36"/>
      <c r="S713" s="36"/>
    </row>
    <row r="714">
      <c r="A714" s="34"/>
      <c r="B714" s="34"/>
      <c r="C714" s="35"/>
      <c r="D714" s="35"/>
      <c r="E714" s="34"/>
      <c r="F714" s="34"/>
      <c r="G714" s="34"/>
      <c r="H714" s="34"/>
      <c r="I714" s="34"/>
      <c r="J714" s="34"/>
      <c r="K714" s="34"/>
      <c r="L714" s="34"/>
      <c r="M714" s="36"/>
      <c r="N714" s="36"/>
      <c r="O714" s="36"/>
      <c r="P714" s="36"/>
      <c r="Q714" s="36"/>
      <c r="R714" s="36"/>
      <c r="S714" s="36"/>
    </row>
    <row r="715">
      <c r="A715" s="34"/>
      <c r="B715" s="34"/>
      <c r="C715" s="35"/>
      <c r="D715" s="35"/>
      <c r="E715" s="34"/>
      <c r="F715" s="34"/>
      <c r="G715" s="34"/>
      <c r="H715" s="34"/>
      <c r="I715" s="34"/>
      <c r="J715" s="34"/>
      <c r="K715" s="34"/>
      <c r="L715" s="34"/>
      <c r="M715" s="36"/>
      <c r="N715" s="36"/>
      <c r="O715" s="36"/>
      <c r="P715" s="36"/>
      <c r="Q715" s="36"/>
      <c r="R715" s="36"/>
      <c r="S715" s="36"/>
    </row>
    <row r="716">
      <c r="A716" s="34"/>
      <c r="B716" s="34"/>
      <c r="C716" s="35"/>
      <c r="D716" s="35"/>
      <c r="E716" s="34"/>
      <c r="F716" s="34"/>
      <c r="G716" s="34"/>
      <c r="H716" s="34"/>
      <c r="I716" s="34"/>
      <c r="J716" s="34"/>
      <c r="K716" s="34"/>
      <c r="L716" s="34"/>
      <c r="M716" s="36"/>
      <c r="N716" s="36"/>
      <c r="O716" s="36"/>
      <c r="P716" s="36"/>
      <c r="Q716" s="36"/>
      <c r="R716" s="36"/>
      <c r="S716" s="36"/>
    </row>
    <row r="717">
      <c r="A717" s="34"/>
      <c r="B717" s="36"/>
      <c r="C717" s="35"/>
      <c r="D717" s="35"/>
      <c r="E717" s="34"/>
      <c r="F717" s="34"/>
      <c r="G717" s="34"/>
      <c r="H717" s="34"/>
      <c r="I717" s="34"/>
      <c r="J717" s="34"/>
      <c r="K717" s="34"/>
      <c r="L717" s="34"/>
      <c r="M717" s="36"/>
      <c r="N717" s="36"/>
      <c r="O717" s="36"/>
      <c r="P717" s="36"/>
      <c r="Q717" s="36"/>
      <c r="R717" s="36"/>
      <c r="S717" s="36"/>
    </row>
    <row r="718">
      <c r="A718" s="34"/>
      <c r="B718" s="34"/>
      <c r="C718" s="35"/>
      <c r="D718" s="35"/>
      <c r="E718" s="34"/>
      <c r="F718" s="34"/>
      <c r="G718" s="34"/>
      <c r="H718" s="34"/>
      <c r="I718" s="34"/>
      <c r="J718" s="34"/>
      <c r="K718" s="34"/>
      <c r="L718" s="34"/>
      <c r="M718" s="36"/>
      <c r="N718" s="36"/>
      <c r="O718" s="36"/>
      <c r="P718" s="36"/>
      <c r="Q718" s="36"/>
      <c r="R718" s="36"/>
      <c r="S718" s="36"/>
    </row>
    <row r="719">
      <c r="A719" s="34"/>
      <c r="B719" s="36"/>
      <c r="C719" s="35"/>
      <c r="D719" s="35"/>
      <c r="E719" s="34"/>
      <c r="F719" s="34"/>
      <c r="G719" s="34"/>
      <c r="H719" s="34"/>
      <c r="I719" s="34"/>
      <c r="J719" s="34"/>
      <c r="K719" s="34"/>
      <c r="L719" s="34"/>
      <c r="M719" s="36"/>
      <c r="N719" s="36"/>
      <c r="O719" s="36"/>
      <c r="P719" s="36"/>
      <c r="Q719" s="36"/>
      <c r="R719" s="36"/>
      <c r="S719" s="36"/>
    </row>
    <row r="720">
      <c r="A720" s="34"/>
      <c r="B720" s="36"/>
      <c r="C720" s="35"/>
      <c r="D720" s="35"/>
      <c r="E720" s="34"/>
      <c r="F720" s="34"/>
      <c r="G720" s="34"/>
      <c r="H720" s="34"/>
      <c r="I720" s="34"/>
      <c r="J720" s="34"/>
      <c r="K720" s="34"/>
      <c r="L720" s="34"/>
      <c r="M720" s="36"/>
      <c r="N720" s="36"/>
      <c r="O720" s="36"/>
      <c r="P720" s="36"/>
      <c r="Q720" s="36"/>
      <c r="R720" s="36"/>
      <c r="S720" s="36"/>
    </row>
    <row r="721">
      <c r="A721" s="34"/>
      <c r="B721" s="36"/>
      <c r="C721" s="35"/>
      <c r="D721" s="35"/>
      <c r="E721" s="34"/>
      <c r="F721" s="34"/>
      <c r="G721" s="34"/>
      <c r="H721" s="34"/>
      <c r="I721" s="34"/>
      <c r="J721" s="34"/>
      <c r="K721" s="34"/>
      <c r="L721" s="34"/>
      <c r="M721" s="36"/>
      <c r="N721" s="36"/>
      <c r="O721" s="36"/>
      <c r="P721" s="36"/>
      <c r="Q721" s="36"/>
      <c r="R721" s="36"/>
      <c r="S721" s="36"/>
    </row>
    <row r="722">
      <c r="A722" s="34"/>
      <c r="B722" s="36"/>
      <c r="C722" s="35"/>
      <c r="D722" s="35"/>
      <c r="E722" s="34"/>
      <c r="F722" s="34"/>
      <c r="G722" s="34"/>
      <c r="H722" s="34"/>
      <c r="I722" s="34"/>
      <c r="J722" s="34"/>
      <c r="K722" s="34"/>
      <c r="L722" s="34"/>
      <c r="M722" s="36"/>
      <c r="N722" s="36"/>
      <c r="O722" s="36"/>
      <c r="P722" s="36"/>
      <c r="Q722" s="36"/>
      <c r="R722" s="36"/>
      <c r="S722" s="36"/>
    </row>
    <row r="723">
      <c r="A723" s="34"/>
      <c r="B723" s="34"/>
      <c r="C723" s="35"/>
      <c r="D723" s="35"/>
      <c r="E723" s="34"/>
      <c r="F723" s="34"/>
      <c r="G723" s="34"/>
      <c r="H723" s="34"/>
      <c r="I723" s="34"/>
      <c r="J723" s="34"/>
      <c r="K723" s="34"/>
      <c r="L723" s="34"/>
      <c r="M723" s="36"/>
      <c r="N723" s="36"/>
      <c r="O723" s="36"/>
      <c r="P723" s="36"/>
      <c r="Q723" s="36"/>
      <c r="R723" s="36"/>
      <c r="S723" s="36"/>
    </row>
    <row r="724">
      <c r="A724" s="34"/>
      <c r="B724" s="34"/>
      <c r="C724" s="35"/>
      <c r="D724" s="35"/>
      <c r="E724" s="34"/>
      <c r="F724" s="34"/>
      <c r="G724" s="34"/>
      <c r="H724" s="34"/>
      <c r="I724" s="34"/>
      <c r="J724" s="34"/>
      <c r="K724" s="34"/>
      <c r="L724" s="34"/>
      <c r="M724" s="36"/>
      <c r="N724" s="36"/>
      <c r="O724" s="36"/>
      <c r="P724" s="36"/>
      <c r="Q724" s="36"/>
      <c r="R724" s="36"/>
      <c r="S724" s="36"/>
    </row>
    <row r="725">
      <c r="A725" s="34"/>
      <c r="B725" s="36"/>
      <c r="C725" s="35"/>
      <c r="D725" s="35"/>
      <c r="E725" s="34"/>
      <c r="F725" s="34"/>
      <c r="G725" s="34"/>
      <c r="H725" s="34"/>
      <c r="I725" s="34"/>
      <c r="J725" s="34"/>
      <c r="K725" s="34"/>
      <c r="L725" s="34"/>
      <c r="M725" s="36"/>
      <c r="N725" s="36"/>
      <c r="O725" s="36"/>
      <c r="P725" s="36"/>
      <c r="Q725" s="36"/>
      <c r="R725" s="36"/>
      <c r="S725" s="36"/>
    </row>
    <row r="726">
      <c r="A726" s="34"/>
      <c r="B726" s="34"/>
      <c r="C726" s="35"/>
      <c r="D726" s="35"/>
      <c r="E726" s="34"/>
      <c r="F726" s="34"/>
      <c r="G726" s="34"/>
      <c r="H726" s="34"/>
      <c r="I726" s="34"/>
      <c r="J726" s="34"/>
      <c r="K726" s="34"/>
      <c r="L726" s="34"/>
      <c r="M726" s="36"/>
      <c r="N726" s="36"/>
      <c r="O726" s="36"/>
      <c r="P726" s="36"/>
      <c r="Q726" s="36"/>
      <c r="R726" s="36"/>
      <c r="S726" s="36"/>
    </row>
    <row r="727">
      <c r="A727" s="34"/>
      <c r="B727" s="34"/>
      <c r="C727" s="35"/>
      <c r="D727" s="35"/>
      <c r="E727" s="34"/>
      <c r="F727" s="34"/>
      <c r="G727" s="34"/>
      <c r="H727" s="34"/>
      <c r="I727" s="34"/>
      <c r="J727" s="34"/>
      <c r="K727" s="34"/>
      <c r="L727" s="34"/>
      <c r="M727" s="36"/>
      <c r="N727" s="36"/>
      <c r="O727" s="36"/>
      <c r="P727" s="36"/>
      <c r="Q727" s="36"/>
      <c r="R727" s="36"/>
      <c r="S727" s="36"/>
    </row>
    <row r="728">
      <c r="A728" s="34"/>
      <c r="B728" s="34"/>
      <c r="C728" s="35"/>
      <c r="D728" s="35"/>
      <c r="E728" s="34"/>
      <c r="F728" s="34"/>
      <c r="G728" s="34"/>
      <c r="H728" s="34"/>
      <c r="I728" s="34"/>
      <c r="J728" s="34"/>
      <c r="K728" s="34"/>
      <c r="L728" s="34"/>
      <c r="M728" s="36"/>
      <c r="N728" s="36"/>
      <c r="O728" s="36"/>
      <c r="P728" s="36"/>
      <c r="Q728" s="36"/>
      <c r="R728" s="36"/>
      <c r="S728" s="36"/>
    </row>
    <row r="729">
      <c r="A729" s="34"/>
      <c r="B729" s="34"/>
      <c r="C729" s="35"/>
      <c r="D729" s="35"/>
      <c r="E729" s="34"/>
      <c r="F729" s="34"/>
      <c r="G729" s="34"/>
      <c r="H729" s="34"/>
      <c r="I729" s="34"/>
      <c r="J729" s="34"/>
      <c r="K729" s="34"/>
      <c r="L729" s="34"/>
      <c r="M729" s="36"/>
      <c r="N729" s="36"/>
      <c r="O729" s="36"/>
      <c r="P729" s="36"/>
      <c r="Q729" s="36"/>
      <c r="R729" s="36"/>
      <c r="S729" s="36"/>
    </row>
    <row r="730">
      <c r="A730" s="34"/>
      <c r="B730" s="34"/>
      <c r="C730" s="35"/>
      <c r="D730" s="35"/>
      <c r="E730" s="34"/>
      <c r="F730" s="34"/>
      <c r="G730" s="34"/>
      <c r="H730" s="34"/>
      <c r="I730" s="34"/>
      <c r="J730" s="34"/>
      <c r="K730" s="34"/>
      <c r="L730" s="34"/>
      <c r="M730" s="36"/>
      <c r="N730" s="36"/>
      <c r="O730" s="36"/>
      <c r="P730" s="36"/>
      <c r="Q730" s="36"/>
      <c r="R730" s="36"/>
      <c r="S730" s="36"/>
    </row>
    <row r="731">
      <c r="A731" s="34"/>
      <c r="B731" s="34"/>
      <c r="C731" s="35"/>
      <c r="D731" s="35"/>
      <c r="E731" s="34"/>
      <c r="F731" s="34"/>
      <c r="G731" s="34"/>
      <c r="H731" s="34"/>
      <c r="I731" s="34"/>
      <c r="J731" s="34"/>
      <c r="K731" s="34"/>
      <c r="L731" s="34"/>
      <c r="M731" s="36"/>
      <c r="N731" s="36"/>
      <c r="O731" s="36"/>
      <c r="P731" s="36"/>
      <c r="Q731" s="36"/>
      <c r="R731" s="36"/>
      <c r="S731" s="36"/>
    </row>
    <row r="732">
      <c r="A732" s="34"/>
      <c r="B732" s="34"/>
      <c r="C732" s="35"/>
      <c r="D732" s="35"/>
      <c r="E732" s="34"/>
      <c r="F732" s="34"/>
      <c r="G732" s="34"/>
      <c r="H732" s="34"/>
      <c r="I732" s="34"/>
      <c r="J732" s="34"/>
      <c r="K732" s="34"/>
      <c r="L732" s="34"/>
      <c r="M732" s="36"/>
      <c r="N732" s="36"/>
      <c r="O732" s="36"/>
      <c r="P732" s="36"/>
      <c r="Q732" s="36"/>
      <c r="R732" s="36"/>
      <c r="S732" s="36"/>
    </row>
    <row r="733">
      <c r="A733" s="34"/>
      <c r="B733" s="36"/>
      <c r="C733" s="35"/>
      <c r="D733" s="35"/>
      <c r="E733" s="34"/>
      <c r="F733" s="34"/>
      <c r="G733" s="34"/>
      <c r="H733" s="34"/>
      <c r="I733" s="34"/>
      <c r="J733" s="34"/>
      <c r="K733" s="34"/>
      <c r="L733" s="34"/>
      <c r="M733" s="36"/>
      <c r="N733" s="36"/>
      <c r="O733" s="36"/>
      <c r="P733" s="36"/>
      <c r="Q733" s="36"/>
      <c r="R733" s="36"/>
      <c r="S733" s="36"/>
    </row>
    <row r="734">
      <c r="A734" s="34"/>
      <c r="B734" s="36"/>
      <c r="C734" s="35"/>
      <c r="D734" s="35"/>
      <c r="E734" s="34"/>
      <c r="F734" s="34"/>
      <c r="G734" s="34"/>
      <c r="H734" s="34"/>
      <c r="I734" s="34"/>
      <c r="J734" s="34"/>
      <c r="K734" s="34"/>
      <c r="L734" s="34"/>
      <c r="M734" s="36"/>
      <c r="N734" s="36"/>
      <c r="O734" s="36"/>
      <c r="P734" s="36"/>
      <c r="Q734" s="36"/>
      <c r="R734" s="36"/>
      <c r="S734" s="36"/>
    </row>
    <row r="735">
      <c r="A735" s="34"/>
      <c r="B735" s="34"/>
      <c r="C735" s="35"/>
      <c r="D735" s="35"/>
      <c r="E735" s="34"/>
      <c r="F735" s="34"/>
      <c r="G735" s="34"/>
      <c r="H735" s="34"/>
      <c r="I735" s="34"/>
      <c r="J735" s="34"/>
      <c r="K735" s="34"/>
      <c r="L735" s="34"/>
      <c r="M735" s="36"/>
      <c r="N735" s="36"/>
      <c r="O735" s="36"/>
      <c r="P735" s="36"/>
      <c r="Q735" s="36"/>
      <c r="R735" s="36"/>
      <c r="S735" s="36"/>
    </row>
    <row r="736">
      <c r="A736" s="34"/>
      <c r="B736" s="36"/>
      <c r="C736" s="35"/>
      <c r="D736" s="35"/>
      <c r="E736" s="34"/>
      <c r="F736" s="34"/>
      <c r="G736" s="34"/>
      <c r="H736" s="34"/>
      <c r="I736" s="34"/>
      <c r="J736" s="34"/>
      <c r="K736" s="34"/>
      <c r="L736" s="34"/>
      <c r="M736" s="36"/>
      <c r="N736" s="36"/>
      <c r="O736" s="36"/>
      <c r="P736" s="36"/>
      <c r="Q736" s="36"/>
      <c r="R736" s="36"/>
      <c r="S736" s="36"/>
    </row>
    <row r="737">
      <c r="A737" s="34"/>
      <c r="B737" s="36"/>
      <c r="C737" s="35"/>
      <c r="D737" s="35"/>
      <c r="E737" s="34"/>
      <c r="F737" s="34"/>
      <c r="G737" s="34"/>
      <c r="H737" s="34"/>
      <c r="I737" s="34"/>
      <c r="J737" s="34"/>
      <c r="K737" s="34"/>
      <c r="L737" s="34"/>
      <c r="M737" s="36"/>
      <c r="N737" s="36"/>
      <c r="O737" s="36"/>
      <c r="P737" s="36"/>
      <c r="Q737" s="36"/>
      <c r="R737" s="36"/>
      <c r="S737" s="36"/>
    </row>
    <row r="738">
      <c r="A738" s="34"/>
      <c r="B738" s="34"/>
      <c r="C738" s="35"/>
      <c r="D738" s="35"/>
      <c r="E738" s="34"/>
      <c r="F738" s="34"/>
      <c r="G738" s="34"/>
      <c r="H738" s="34"/>
      <c r="I738" s="34"/>
      <c r="J738" s="34"/>
      <c r="K738" s="34"/>
      <c r="L738" s="34"/>
      <c r="M738" s="36"/>
      <c r="N738" s="36"/>
      <c r="O738" s="36"/>
      <c r="P738" s="36"/>
      <c r="Q738" s="36"/>
      <c r="R738" s="36"/>
      <c r="S738" s="36"/>
    </row>
    <row r="739">
      <c r="A739" s="34"/>
      <c r="B739" s="34"/>
      <c r="C739" s="35"/>
      <c r="D739" s="35"/>
      <c r="E739" s="34"/>
      <c r="F739" s="34"/>
      <c r="G739" s="34"/>
      <c r="H739" s="34"/>
      <c r="I739" s="34"/>
      <c r="J739" s="34"/>
      <c r="K739" s="34"/>
      <c r="L739" s="34"/>
      <c r="M739" s="36"/>
      <c r="N739" s="36"/>
      <c r="O739" s="36"/>
      <c r="P739" s="36"/>
      <c r="Q739" s="36"/>
      <c r="R739" s="36"/>
      <c r="S739" s="36"/>
    </row>
    <row r="740">
      <c r="A740" s="34"/>
      <c r="B740" s="34"/>
      <c r="C740" s="35"/>
      <c r="D740" s="35"/>
      <c r="E740" s="34"/>
      <c r="F740" s="34"/>
      <c r="G740" s="34"/>
      <c r="H740" s="34"/>
      <c r="I740" s="34"/>
      <c r="J740" s="34"/>
      <c r="K740" s="34"/>
      <c r="L740" s="34"/>
      <c r="M740" s="36"/>
      <c r="N740" s="36"/>
      <c r="O740" s="36"/>
      <c r="P740" s="36"/>
      <c r="Q740" s="36"/>
      <c r="R740" s="36"/>
      <c r="S740" s="36"/>
    </row>
    <row r="741">
      <c r="A741" s="34"/>
      <c r="B741" s="34"/>
      <c r="C741" s="35"/>
      <c r="D741" s="35"/>
      <c r="E741" s="34"/>
      <c r="F741" s="34"/>
      <c r="G741" s="34"/>
      <c r="H741" s="34"/>
      <c r="I741" s="34"/>
      <c r="J741" s="34"/>
      <c r="K741" s="34"/>
      <c r="L741" s="34"/>
      <c r="M741" s="36"/>
      <c r="N741" s="36"/>
      <c r="O741" s="36"/>
      <c r="P741" s="36"/>
      <c r="Q741" s="36"/>
      <c r="R741" s="36"/>
      <c r="S741" s="36"/>
    </row>
    <row r="742">
      <c r="A742" s="34"/>
      <c r="B742" s="34"/>
      <c r="C742" s="35"/>
      <c r="D742" s="35"/>
      <c r="E742" s="34"/>
      <c r="F742" s="34"/>
      <c r="G742" s="34"/>
      <c r="H742" s="34"/>
      <c r="I742" s="34"/>
      <c r="J742" s="34"/>
      <c r="K742" s="34"/>
      <c r="L742" s="34"/>
      <c r="M742" s="36"/>
      <c r="N742" s="36"/>
      <c r="O742" s="36"/>
      <c r="P742" s="36"/>
      <c r="Q742" s="36"/>
      <c r="R742" s="36"/>
      <c r="S742" s="36"/>
    </row>
    <row r="743">
      <c r="A743" s="34"/>
      <c r="B743" s="36"/>
      <c r="C743" s="35"/>
      <c r="D743" s="35"/>
      <c r="E743" s="34"/>
      <c r="F743" s="34"/>
      <c r="G743" s="34"/>
      <c r="H743" s="34"/>
      <c r="I743" s="34"/>
      <c r="J743" s="34"/>
      <c r="K743" s="34"/>
      <c r="L743" s="34"/>
      <c r="M743" s="36"/>
      <c r="N743" s="36"/>
      <c r="O743" s="36"/>
      <c r="P743" s="36"/>
      <c r="Q743" s="36"/>
      <c r="R743" s="36"/>
      <c r="S743" s="36"/>
    </row>
    <row r="744">
      <c r="A744" s="34"/>
      <c r="B744" s="34"/>
      <c r="C744" s="35"/>
      <c r="D744" s="35"/>
      <c r="E744" s="34"/>
      <c r="F744" s="34"/>
      <c r="G744" s="34"/>
      <c r="H744" s="34"/>
      <c r="I744" s="34"/>
      <c r="J744" s="34"/>
      <c r="K744" s="34"/>
      <c r="L744" s="34"/>
      <c r="M744" s="36"/>
      <c r="N744" s="36"/>
      <c r="O744" s="36"/>
      <c r="P744" s="36"/>
      <c r="Q744" s="36"/>
      <c r="R744" s="36"/>
      <c r="S744" s="36"/>
    </row>
    <row r="745">
      <c r="A745" s="34"/>
      <c r="B745" s="36"/>
      <c r="C745" s="35"/>
      <c r="D745" s="35"/>
      <c r="E745" s="34"/>
      <c r="F745" s="34"/>
      <c r="G745" s="34"/>
      <c r="H745" s="34"/>
      <c r="I745" s="34"/>
      <c r="J745" s="34"/>
      <c r="K745" s="34"/>
      <c r="L745" s="34"/>
      <c r="M745" s="36"/>
      <c r="N745" s="36"/>
      <c r="O745" s="36"/>
      <c r="P745" s="36"/>
      <c r="Q745" s="36"/>
      <c r="R745" s="36"/>
      <c r="S745" s="36"/>
    </row>
    <row r="746">
      <c r="A746" s="34"/>
      <c r="B746" s="34"/>
      <c r="C746" s="35"/>
      <c r="D746" s="35"/>
      <c r="E746" s="34"/>
      <c r="F746" s="34"/>
      <c r="G746" s="34"/>
      <c r="H746" s="34"/>
      <c r="I746" s="34"/>
      <c r="J746" s="34"/>
      <c r="K746" s="34"/>
      <c r="L746" s="34"/>
      <c r="M746" s="36"/>
      <c r="N746" s="36"/>
      <c r="O746" s="36"/>
      <c r="P746" s="36"/>
      <c r="Q746" s="36"/>
      <c r="R746" s="36"/>
      <c r="S746" s="36"/>
    </row>
    <row r="747">
      <c r="A747" s="34"/>
      <c r="B747" s="34"/>
      <c r="C747" s="35"/>
      <c r="D747" s="35"/>
      <c r="E747" s="34"/>
      <c r="F747" s="34"/>
      <c r="G747" s="34"/>
      <c r="H747" s="34"/>
      <c r="I747" s="34"/>
      <c r="J747" s="34"/>
      <c r="K747" s="34"/>
      <c r="L747" s="34"/>
      <c r="M747" s="36"/>
      <c r="N747" s="36"/>
      <c r="O747" s="36"/>
      <c r="P747" s="36"/>
      <c r="Q747" s="36"/>
      <c r="R747" s="36"/>
      <c r="S747" s="36"/>
    </row>
    <row r="748">
      <c r="A748" s="34"/>
      <c r="B748" s="34"/>
      <c r="C748" s="35"/>
      <c r="D748" s="35"/>
      <c r="E748" s="34"/>
      <c r="F748" s="34"/>
      <c r="G748" s="34"/>
      <c r="H748" s="34"/>
      <c r="I748" s="34"/>
      <c r="J748" s="34"/>
      <c r="K748" s="34"/>
      <c r="L748" s="34"/>
      <c r="M748" s="36"/>
      <c r="N748" s="36"/>
      <c r="O748" s="36"/>
      <c r="P748" s="36"/>
      <c r="Q748" s="36"/>
      <c r="R748" s="36"/>
      <c r="S748" s="36"/>
    </row>
    <row r="749">
      <c r="A749" s="34"/>
      <c r="B749" s="34"/>
      <c r="C749" s="35"/>
      <c r="D749" s="35"/>
      <c r="E749" s="34"/>
      <c r="F749" s="34"/>
      <c r="G749" s="34"/>
      <c r="H749" s="34"/>
      <c r="I749" s="34"/>
      <c r="J749" s="34"/>
      <c r="K749" s="34"/>
      <c r="L749" s="34"/>
      <c r="M749" s="36"/>
      <c r="N749" s="36"/>
      <c r="O749" s="36"/>
      <c r="P749" s="36"/>
      <c r="Q749" s="36"/>
      <c r="R749" s="36"/>
      <c r="S749" s="36"/>
    </row>
    <row r="750">
      <c r="A750" s="34"/>
      <c r="B750" s="34"/>
      <c r="C750" s="35"/>
      <c r="D750" s="35"/>
      <c r="E750" s="34"/>
      <c r="F750" s="34"/>
      <c r="G750" s="34"/>
      <c r="H750" s="34"/>
      <c r="I750" s="34"/>
      <c r="J750" s="34"/>
      <c r="K750" s="34"/>
      <c r="L750" s="34"/>
      <c r="M750" s="36"/>
      <c r="N750" s="36"/>
      <c r="O750" s="36"/>
      <c r="P750" s="36"/>
      <c r="Q750" s="36"/>
      <c r="R750" s="36"/>
      <c r="S750" s="36"/>
    </row>
    <row r="751">
      <c r="A751" s="34"/>
      <c r="B751" s="34"/>
      <c r="C751" s="35"/>
      <c r="D751" s="35"/>
      <c r="E751" s="34"/>
      <c r="F751" s="34"/>
      <c r="G751" s="34"/>
      <c r="H751" s="34"/>
      <c r="I751" s="34"/>
      <c r="J751" s="34"/>
      <c r="K751" s="34"/>
      <c r="L751" s="34"/>
      <c r="M751" s="36"/>
      <c r="N751" s="36"/>
      <c r="O751" s="36"/>
      <c r="P751" s="36"/>
      <c r="Q751" s="36"/>
      <c r="R751" s="36"/>
      <c r="S751" s="36"/>
    </row>
    <row r="752">
      <c r="A752" s="34"/>
      <c r="B752" s="34"/>
      <c r="C752" s="35"/>
      <c r="D752" s="35"/>
      <c r="E752" s="34"/>
      <c r="F752" s="34"/>
      <c r="G752" s="34"/>
      <c r="H752" s="34"/>
      <c r="I752" s="34"/>
      <c r="J752" s="34"/>
      <c r="K752" s="34"/>
      <c r="L752" s="34"/>
      <c r="M752" s="36"/>
      <c r="N752" s="36"/>
      <c r="O752" s="36"/>
      <c r="P752" s="36"/>
      <c r="Q752" s="36"/>
      <c r="R752" s="36"/>
      <c r="S752" s="36"/>
    </row>
    <row r="753">
      <c r="A753" s="34"/>
      <c r="B753" s="34"/>
      <c r="C753" s="35"/>
      <c r="D753" s="35"/>
      <c r="E753" s="34"/>
      <c r="F753" s="34"/>
      <c r="G753" s="34"/>
      <c r="H753" s="34"/>
      <c r="I753" s="34"/>
      <c r="J753" s="34"/>
      <c r="K753" s="34"/>
      <c r="L753" s="34"/>
      <c r="M753" s="36"/>
      <c r="N753" s="36"/>
      <c r="O753" s="36"/>
      <c r="P753" s="36"/>
      <c r="Q753" s="36"/>
      <c r="R753" s="36"/>
      <c r="S753" s="36"/>
    </row>
    <row r="754">
      <c r="A754" s="34"/>
      <c r="B754" s="34"/>
      <c r="C754" s="35"/>
      <c r="D754" s="35"/>
      <c r="E754" s="34"/>
      <c r="F754" s="34"/>
      <c r="G754" s="34"/>
      <c r="H754" s="34"/>
      <c r="I754" s="34"/>
      <c r="J754" s="34"/>
      <c r="K754" s="34"/>
      <c r="L754" s="34"/>
      <c r="M754" s="36"/>
      <c r="N754" s="36"/>
      <c r="O754" s="36"/>
      <c r="P754" s="36"/>
      <c r="Q754" s="36"/>
      <c r="R754" s="36"/>
      <c r="S754" s="36"/>
    </row>
    <row r="755">
      <c r="A755" s="34"/>
      <c r="B755" s="34"/>
      <c r="C755" s="35"/>
      <c r="D755" s="35"/>
      <c r="E755" s="34"/>
      <c r="F755" s="34"/>
      <c r="G755" s="34"/>
      <c r="H755" s="34"/>
      <c r="I755" s="34"/>
      <c r="J755" s="34"/>
      <c r="K755" s="34"/>
      <c r="L755" s="34"/>
      <c r="M755" s="36"/>
      <c r="N755" s="36"/>
      <c r="O755" s="36"/>
      <c r="P755" s="36"/>
      <c r="Q755" s="36"/>
      <c r="R755" s="36"/>
      <c r="S755" s="36"/>
    </row>
    <row r="756">
      <c r="A756" s="34"/>
      <c r="B756" s="34"/>
      <c r="C756" s="35"/>
      <c r="D756" s="35"/>
      <c r="E756" s="34"/>
      <c r="F756" s="34"/>
      <c r="G756" s="34"/>
      <c r="H756" s="34"/>
      <c r="I756" s="34"/>
      <c r="J756" s="34"/>
      <c r="K756" s="34"/>
      <c r="L756" s="34"/>
      <c r="M756" s="36"/>
      <c r="N756" s="36"/>
      <c r="O756" s="36"/>
      <c r="P756" s="36"/>
      <c r="Q756" s="36"/>
      <c r="R756" s="36"/>
      <c r="S756" s="36"/>
    </row>
    <row r="757">
      <c r="A757" s="34"/>
      <c r="B757" s="34"/>
      <c r="C757" s="35"/>
      <c r="D757" s="35"/>
      <c r="E757" s="34"/>
      <c r="F757" s="34"/>
      <c r="G757" s="34"/>
      <c r="H757" s="34"/>
      <c r="I757" s="34"/>
      <c r="J757" s="34"/>
      <c r="K757" s="34"/>
      <c r="L757" s="34"/>
      <c r="M757" s="36"/>
      <c r="N757" s="36"/>
      <c r="O757" s="36"/>
      <c r="P757" s="36"/>
      <c r="Q757" s="36"/>
      <c r="R757" s="36"/>
      <c r="S757" s="36"/>
    </row>
    <row r="758">
      <c r="A758" s="34"/>
      <c r="B758" s="34"/>
      <c r="C758" s="35"/>
      <c r="D758" s="35"/>
      <c r="E758" s="34"/>
      <c r="F758" s="34"/>
      <c r="G758" s="34"/>
      <c r="H758" s="34"/>
      <c r="I758" s="34"/>
      <c r="J758" s="34"/>
      <c r="K758" s="34"/>
      <c r="L758" s="34"/>
      <c r="M758" s="36"/>
      <c r="N758" s="36"/>
      <c r="O758" s="36"/>
      <c r="P758" s="36"/>
      <c r="Q758" s="36"/>
      <c r="R758" s="36"/>
      <c r="S758" s="36"/>
    </row>
    <row r="759">
      <c r="A759" s="34"/>
      <c r="B759" s="34"/>
      <c r="C759" s="35"/>
      <c r="D759" s="35"/>
      <c r="E759" s="34"/>
      <c r="F759" s="34"/>
      <c r="G759" s="34"/>
      <c r="H759" s="34"/>
      <c r="I759" s="34"/>
      <c r="J759" s="34"/>
      <c r="K759" s="34"/>
      <c r="L759" s="34"/>
      <c r="M759" s="36"/>
      <c r="N759" s="36"/>
      <c r="O759" s="36"/>
      <c r="P759" s="36"/>
      <c r="Q759" s="36"/>
      <c r="R759" s="36"/>
      <c r="S759" s="36"/>
    </row>
    <row r="760">
      <c r="A760" s="34"/>
      <c r="B760" s="36"/>
      <c r="C760" s="35"/>
      <c r="D760" s="35"/>
      <c r="E760" s="34"/>
      <c r="F760" s="34"/>
      <c r="G760" s="34"/>
      <c r="H760" s="34"/>
      <c r="I760" s="34"/>
      <c r="J760" s="34"/>
      <c r="K760" s="34"/>
      <c r="L760" s="34"/>
      <c r="M760" s="36"/>
      <c r="N760" s="36"/>
      <c r="O760" s="36"/>
      <c r="P760" s="36"/>
      <c r="Q760" s="36"/>
      <c r="R760" s="36"/>
      <c r="S760" s="36"/>
    </row>
    <row r="761">
      <c r="A761" s="34"/>
      <c r="B761" s="34"/>
      <c r="C761" s="35"/>
      <c r="D761" s="35"/>
      <c r="E761" s="34"/>
      <c r="F761" s="34"/>
      <c r="G761" s="34"/>
      <c r="H761" s="34"/>
      <c r="I761" s="34"/>
      <c r="J761" s="34"/>
      <c r="K761" s="34"/>
      <c r="L761" s="34"/>
      <c r="M761" s="36"/>
      <c r="N761" s="36"/>
      <c r="O761" s="36"/>
      <c r="P761" s="36"/>
      <c r="Q761" s="36"/>
      <c r="R761" s="36"/>
      <c r="S761" s="36"/>
    </row>
    <row r="762">
      <c r="A762" s="34"/>
      <c r="B762" s="34"/>
      <c r="C762" s="35"/>
      <c r="D762" s="35"/>
      <c r="E762" s="34"/>
      <c r="F762" s="34"/>
      <c r="G762" s="34"/>
      <c r="H762" s="34"/>
      <c r="I762" s="34"/>
      <c r="J762" s="34"/>
      <c r="K762" s="34"/>
      <c r="L762" s="34"/>
      <c r="M762" s="36"/>
      <c r="N762" s="36"/>
      <c r="O762" s="36"/>
      <c r="P762" s="36"/>
      <c r="Q762" s="36"/>
      <c r="R762" s="36"/>
      <c r="S762" s="36"/>
    </row>
    <row r="763">
      <c r="A763" s="34"/>
      <c r="B763" s="34"/>
      <c r="C763" s="35"/>
      <c r="D763" s="35"/>
      <c r="E763" s="34"/>
      <c r="F763" s="34"/>
      <c r="G763" s="34"/>
      <c r="H763" s="34"/>
      <c r="I763" s="34"/>
      <c r="J763" s="34"/>
      <c r="K763" s="34"/>
      <c r="L763" s="34"/>
      <c r="M763" s="36"/>
      <c r="N763" s="36"/>
      <c r="O763" s="36"/>
      <c r="P763" s="36"/>
      <c r="Q763" s="36"/>
      <c r="R763" s="36"/>
      <c r="S763" s="36"/>
    </row>
    <row r="764">
      <c r="A764" s="34"/>
      <c r="B764" s="34"/>
      <c r="C764" s="35"/>
      <c r="D764" s="35"/>
      <c r="E764" s="34"/>
      <c r="F764" s="34"/>
      <c r="G764" s="34"/>
      <c r="H764" s="34"/>
      <c r="I764" s="34"/>
      <c r="J764" s="34"/>
      <c r="K764" s="34"/>
      <c r="L764" s="34"/>
      <c r="M764" s="36"/>
      <c r="N764" s="36"/>
      <c r="O764" s="36"/>
      <c r="P764" s="36"/>
      <c r="Q764" s="36"/>
      <c r="R764" s="36"/>
      <c r="S764" s="36"/>
    </row>
    <row r="765">
      <c r="A765" s="34"/>
      <c r="B765" s="36"/>
      <c r="C765" s="35"/>
      <c r="D765" s="35"/>
      <c r="E765" s="34"/>
      <c r="F765" s="34"/>
      <c r="G765" s="34"/>
      <c r="H765" s="34"/>
      <c r="I765" s="34"/>
      <c r="J765" s="34"/>
      <c r="K765" s="34"/>
      <c r="L765" s="34"/>
      <c r="M765" s="36"/>
      <c r="N765" s="36"/>
      <c r="O765" s="36"/>
      <c r="P765" s="36"/>
      <c r="Q765" s="36"/>
      <c r="R765" s="36"/>
      <c r="S765" s="36"/>
    </row>
    <row r="766">
      <c r="A766" s="34"/>
      <c r="B766" s="36"/>
      <c r="C766" s="35"/>
      <c r="D766" s="35"/>
      <c r="E766" s="34"/>
      <c r="F766" s="34"/>
      <c r="G766" s="34"/>
      <c r="H766" s="34"/>
      <c r="I766" s="34"/>
      <c r="J766" s="34"/>
      <c r="K766" s="34"/>
      <c r="L766" s="34"/>
      <c r="M766" s="36"/>
      <c r="N766" s="36"/>
      <c r="O766" s="36"/>
      <c r="P766" s="36"/>
      <c r="Q766" s="36"/>
      <c r="R766" s="36"/>
      <c r="S766" s="36"/>
    </row>
    <row r="767">
      <c r="A767" s="34"/>
      <c r="B767" s="34"/>
      <c r="C767" s="35"/>
      <c r="D767" s="35"/>
      <c r="E767" s="34"/>
      <c r="F767" s="34"/>
      <c r="G767" s="34"/>
      <c r="H767" s="34"/>
      <c r="I767" s="34"/>
      <c r="J767" s="34"/>
      <c r="K767" s="34"/>
      <c r="L767" s="34"/>
      <c r="M767" s="36"/>
      <c r="N767" s="36"/>
      <c r="O767" s="36"/>
      <c r="P767" s="36"/>
      <c r="Q767" s="36"/>
      <c r="R767" s="36"/>
      <c r="S767" s="36"/>
    </row>
    <row r="768">
      <c r="A768" s="34"/>
      <c r="B768" s="34"/>
      <c r="C768" s="35"/>
      <c r="D768" s="35"/>
      <c r="E768" s="34"/>
      <c r="F768" s="34"/>
      <c r="G768" s="34"/>
      <c r="H768" s="34"/>
      <c r="I768" s="34"/>
      <c r="J768" s="34"/>
      <c r="K768" s="34"/>
      <c r="L768" s="34"/>
      <c r="M768" s="36"/>
      <c r="N768" s="36"/>
      <c r="O768" s="36"/>
      <c r="P768" s="36"/>
      <c r="Q768" s="36"/>
      <c r="R768" s="36"/>
      <c r="S768" s="36"/>
    </row>
    <row r="769">
      <c r="A769" s="34"/>
      <c r="B769" s="34"/>
      <c r="C769" s="35"/>
      <c r="D769" s="35"/>
      <c r="E769" s="34"/>
      <c r="F769" s="34"/>
      <c r="G769" s="34"/>
      <c r="H769" s="34"/>
      <c r="I769" s="34"/>
      <c r="J769" s="34"/>
      <c r="K769" s="34"/>
      <c r="L769" s="34"/>
      <c r="M769" s="36"/>
      <c r="N769" s="36"/>
      <c r="O769" s="36"/>
      <c r="P769" s="36"/>
      <c r="Q769" s="36"/>
      <c r="R769" s="36"/>
      <c r="S769" s="36"/>
    </row>
    <row r="770">
      <c r="A770" s="34"/>
      <c r="B770" s="34"/>
      <c r="C770" s="35"/>
      <c r="D770" s="35"/>
      <c r="E770" s="34"/>
      <c r="F770" s="34"/>
      <c r="G770" s="34"/>
      <c r="H770" s="34"/>
      <c r="I770" s="34"/>
      <c r="J770" s="34"/>
      <c r="K770" s="34"/>
      <c r="L770" s="34"/>
      <c r="M770" s="36"/>
      <c r="N770" s="36"/>
      <c r="O770" s="36"/>
      <c r="P770" s="36"/>
      <c r="Q770" s="36"/>
      <c r="R770" s="36"/>
      <c r="S770" s="36"/>
    </row>
    <row r="771">
      <c r="A771" s="34"/>
      <c r="B771" s="34"/>
      <c r="C771" s="35"/>
      <c r="D771" s="35"/>
      <c r="E771" s="34"/>
      <c r="F771" s="34"/>
      <c r="G771" s="34"/>
      <c r="H771" s="34"/>
      <c r="I771" s="34"/>
      <c r="J771" s="34"/>
      <c r="K771" s="34"/>
      <c r="L771" s="34"/>
      <c r="M771" s="36"/>
      <c r="N771" s="36"/>
      <c r="O771" s="36"/>
      <c r="P771" s="36"/>
      <c r="Q771" s="36"/>
      <c r="R771" s="36"/>
      <c r="S771" s="36"/>
    </row>
    <row r="772">
      <c r="A772" s="34"/>
      <c r="B772" s="34"/>
      <c r="C772" s="35"/>
      <c r="D772" s="35"/>
      <c r="E772" s="34"/>
      <c r="F772" s="34"/>
      <c r="G772" s="34"/>
      <c r="H772" s="34"/>
      <c r="I772" s="34"/>
      <c r="J772" s="34"/>
      <c r="K772" s="34"/>
      <c r="L772" s="34"/>
      <c r="M772" s="36"/>
      <c r="N772" s="36"/>
      <c r="O772" s="36"/>
      <c r="P772" s="36"/>
      <c r="Q772" s="36"/>
      <c r="R772" s="36"/>
      <c r="S772" s="36"/>
    </row>
    <row r="773">
      <c r="A773" s="34"/>
      <c r="B773" s="36"/>
      <c r="C773" s="35"/>
      <c r="D773" s="35"/>
      <c r="E773" s="34"/>
      <c r="F773" s="34"/>
      <c r="G773" s="34"/>
      <c r="H773" s="34"/>
      <c r="I773" s="34"/>
      <c r="J773" s="34"/>
      <c r="K773" s="34"/>
      <c r="L773" s="34"/>
      <c r="M773" s="36"/>
      <c r="N773" s="36"/>
      <c r="O773" s="36"/>
      <c r="P773" s="36"/>
      <c r="Q773" s="36"/>
      <c r="R773" s="36"/>
      <c r="S773" s="36"/>
    </row>
    <row r="774">
      <c r="A774" s="34"/>
      <c r="B774" s="36"/>
      <c r="C774" s="35"/>
      <c r="D774" s="35"/>
      <c r="E774" s="34"/>
      <c r="F774" s="34"/>
      <c r="G774" s="34"/>
      <c r="H774" s="34"/>
      <c r="I774" s="34"/>
      <c r="J774" s="34"/>
      <c r="K774" s="34"/>
      <c r="L774" s="34"/>
      <c r="M774" s="36"/>
      <c r="N774" s="36"/>
      <c r="O774" s="36"/>
      <c r="P774" s="36"/>
      <c r="Q774" s="36"/>
      <c r="R774" s="36"/>
      <c r="S774" s="36"/>
    </row>
    <row r="775">
      <c r="A775" s="34"/>
      <c r="B775" s="34"/>
      <c r="C775" s="35"/>
      <c r="D775" s="35"/>
      <c r="E775" s="34"/>
      <c r="F775" s="34"/>
      <c r="G775" s="34"/>
      <c r="H775" s="34"/>
      <c r="I775" s="34"/>
      <c r="J775" s="34"/>
      <c r="K775" s="34"/>
      <c r="L775" s="34"/>
      <c r="M775" s="36"/>
      <c r="N775" s="36"/>
      <c r="O775" s="36"/>
      <c r="P775" s="36"/>
      <c r="Q775" s="36"/>
      <c r="R775" s="36"/>
      <c r="S775" s="36"/>
    </row>
    <row r="776">
      <c r="A776" s="34"/>
      <c r="B776" s="36"/>
      <c r="C776" s="35"/>
      <c r="D776" s="35"/>
      <c r="E776" s="34"/>
      <c r="F776" s="34"/>
      <c r="G776" s="34"/>
      <c r="H776" s="34"/>
      <c r="I776" s="34"/>
      <c r="J776" s="34"/>
      <c r="K776" s="34"/>
      <c r="L776" s="34"/>
      <c r="M776" s="36"/>
      <c r="N776" s="36"/>
      <c r="O776" s="36"/>
      <c r="P776" s="36"/>
      <c r="Q776" s="36"/>
      <c r="R776" s="36"/>
      <c r="S776" s="36"/>
    </row>
    <row r="777">
      <c r="A777" s="34"/>
      <c r="B777" s="34"/>
      <c r="C777" s="35"/>
      <c r="D777" s="35"/>
      <c r="E777" s="34"/>
      <c r="F777" s="34"/>
      <c r="G777" s="34"/>
      <c r="H777" s="34"/>
      <c r="I777" s="34"/>
      <c r="J777" s="34"/>
      <c r="K777" s="34"/>
      <c r="L777" s="34"/>
      <c r="M777" s="36"/>
      <c r="N777" s="36"/>
      <c r="O777" s="36"/>
      <c r="P777" s="36"/>
      <c r="Q777" s="36"/>
      <c r="R777" s="36"/>
      <c r="S777" s="36"/>
    </row>
    <row r="778">
      <c r="A778" s="34"/>
      <c r="B778" s="36"/>
      <c r="C778" s="35"/>
      <c r="D778" s="35"/>
      <c r="E778" s="34"/>
      <c r="F778" s="34"/>
      <c r="G778" s="34"/>
      <c r="H778" s="34"/>
      <c r="I778" s="34"/>
      <c r="J778" s="34"/>
      <c r="K778" s="34"/>
      <c r="L778" s="34"/>
      <c r="M778" s="36"/>
      <c r="N778" s="36"/>
      <c r="O778" s="36"/>
      <c r="P778" s="36"/>
      <c r="Q778" s="36"/>
      <c r="R778" s="36"/>
      <c r="S778" s="36"/>
    </row>
    <row r="779">
      <c r="A779" s="34"/>
      <c r="B779" s="34"/>
      <c r="C779" s="35"/>
      <c r="D779" s="35"/>
      <c r="E779" s="34"/>
      <c r="F779" s="34"/>
      <c r="G779" s="34"/>
      <c r="H779" s="34"/>
      <c r="I779" s="34"/>
      <c r="J779" s="34"/>
      <c r="K779" s="34"/>
      <c r="L779" s="34"/>
      <c r="M779" s="36"/>
      <c r="N779" s="36"/>
      <c r="O779" s="36"/>
      <c r="P779" s="36"/>
      <c r="Q779" s="36"/>
      <c r="R779" s="36"/>
      <c r="S779" s="36"/>
    </row>
    <row r="780">
      <c r="A780" s="34"/>
      <c r="B780" s="34"/>
      <c r="C780" s="35"/>
      <c r="D780" s="35"/>
      <c r="E780" s="34"/>
      <c r="F780" s="34"/>
      <c r="G780" s="34"/>
      <c r="H780" s="34"/>
      <c r="I780" s="34"/>
      <c r="J780" s="34"/>
      <c r="K780" s="34"/>
      <c r="L780" s="34"/>
      <c r="M780" s="36"/>
      <c r="N780" s="36"/>
      <c r="O780" s="36"/>
      <c r="P780" s="36"/>
      <c r="Q780" s="36"/>
      <c r="R780" s="36"/>
      <c r="S780" s="36"/>
    </row>
    <row r="781">
      <c r="A781" s="34"/>
      <c r="B781" s="36"/>
      <c r="C781" s="35"/>
      <c r="D781" s="35"/>
      <c r="E781" s="34"/>
      <c r="F781" s="34"/>
      <c r="G781" s="34"/>
      <c r="H781" s="34"/>
      <c r="I781" s="34"/>
      <c r="J781" s="34"/>
      <c r="K781" s="34"/>
      <c r="L781" s="34"/>
      <c r="M781" s="36"/>
      <c r="N781" s="36"/>
      <c r="O781" s="36"/>
      <c r="P781" s="36"/>
      <c r="Q781" s="36"/>
      <c r="R781" s="36"/>
      <c r="S781" s="36"/>
    </row>
    <row r="782">
      <c r="A782" s="34"/>
      <c r="B782" s="36"/>
      <c r="C782" s="35"/>
      <c r="D782" s="35"/>
      <c r="E782" s="34"/>
      <c r="F782" s="34"/>
      <c r="G782" s="34"/>
      <c r="H782" s="34"/>
      <c r="I782" s="34"/>
      <c r="J782" s="34"/>
      <c r="K782" s="34"/>
      <c r="L782" s="34"/>
      <c r="M782" s="36"/>
      <c r="N782" s="36"/>
      <c r="O782" s="36"/>
      <c r="P782" s="36"/>
      <c r="Q782" s="36"/>
      <c r="R782" s="36"/>
      <c r="S782" s="36"/>
    </row>
    <row r="783">
      <c r="A783" s="34"/>
      <c r="B783" s="36"/>
      <c r="C783" s="35"/>
      <c r="D783" s="35"/>
      <c r="E783" s="34"/>
      <c r="F783" s="34"/>
      <c r="G783" s="34"/>
      <c r="H783" s="34"/>
      <c r="I783" s="34"/>
      <c r="J783" s="34"/>
      <c r="K783" s="34"/>
      <c r="L783" s="34"/>
      <c r="M783" s="36"/>
      <c r="N783" s="36"/>
      <c r="O783" s="36"/>
      <c r="P783" s="36"/>
      <c r="Q783" s="36"/>
      <c r="R783" s="36"/>
      <c r="S783" s="36"/>
    </row>
    <row r="784">
      <c r="A784" s="34"/>
      <c r="B784" s="36"/>
      <c r="C784" s="35"/>
      <c r="D784" s="35"/>
      <c r="E784" s="34"/>
      <c r="F784" s="34"/>
      <c r="G784" s="34"/>
      <c r="H784" s="34"/>
      <c r="I784" s="34"/>
      <c r="J784" s="34"/>
      <c r="K784" s="34"/>
      <c r="L784" s="34"/>
      <c r="M784" s="36"/>
      <c r="N784" s="36"/>
      <c r="O784" s="36"/>
      <c r="P784" s="36"/>
      <c r="Q784" s="36"/>
      <c r="R784" s="36"/>
      <c r="S784" s="36"/>
    </row>
    <row r="785">
      <c r="A785" s="34"/>
      <c r="B785" s="36"/>
      <c r="C785" s="35"/>
      <c r="D785" s="35"/>
      <c r="E785" s="34"/>
      <c r="F785" s="34"/>
      <c r="G785" s="34"/>
      <c r="H785" s="34"/>
      <c r="I785" s="34"/>
      <c r="J785" s="34"/>
      <c r="K785" s="34"/>
      <c r="L785" s="34"/>
      <c r="M785" s="36"/>
      <c r="N785" s="36"/>
      <c r="O785" s="36"/>
      <c r="P785" s="36"/>
      <c r="Q785" s="36"/>
      <c r="R785" s="36"/>
      <c r="S785" s="36"/>
    </row>
    <row r="786">
      <c r="A786" s="34"/>
      <c r="B786" s="34"/>
      <c r="C786" s="35"/>
      <c r="D786" s="35"/>
      <c r="E786" s="34"/>
      <c r="F786" s="34"/>
      <c r="G786" s="34"/>
      <c r="H786" s="34"/>
      <c r="I786" s="34"/>
      <c r="J786" s="34"/>
      <c r="K786" s="34"/>
      <c r="L786" s="34"/>
      <c r="M786" s="36"/>
      <c r="N786" s="36"/>
      <c r="O786" s="36"/>
      <c r="P786" s="36"/>
      <c r="Q786" s="36"/>
      <c r="R786" s="36"/>
      <c r="S786" s="36"/>
    </row>
    <row r="787">
      <c r="A787" s="34"/>
      <c r="B787" s="36"/>
      <c r="C787" s="35"/>
      <c r="D787" s="35"/>
      <c r="E787" s="34"/>
      <c r="F787" s="34"/>
      <c r="G787" s="34"/>
      <c r="H787" s="34"/>
      <c r="I787" s="34"/>
      <c r="J787" s="34"/>
      <c r="K787" s="34"/>
      <c r="L787" s="34"/>
      <c r="M787" s="36"/>
      <c r="N787" s="36"/>
      <c r="O787" s="36"/>
      <c r="P787" s="36"/>
      <c r="Q787" s="36"/>
      <c r="R787" s="36"/>
      <c r="S787" s="36"/>
    </row>
    <row r="788">
      <c r="A788" s="34"/>
      <c r="B788" s="36"/>
      <c r="C788" s="35"/>
      <c r="D788" s="35"/>
      <c r="E788" s="34"/>
      <c r="F788" s="34"/>
      <c r="G788" s="34"/>
      <c r="H788" s="34"/>
      <c r="I788" s="34"/>
      <c r="J788" s="34"/>
      <c r="K788" s="34"/>
      <c r="L788" s="34"/>
      <c r="M788" s="36"/>
      <c r="N788" s="36"/>
      <c r="O788" s="36"/>
      <c r="P788" s="36"/>
      <c r="Q788" s="36"/>
      <c r="R788" s="36"/>
      <c r="S788" s="36"/>
    </row>
    <row r="789">
      <c r="A789" s="34"/>
      <c r="B789" s="34"/>
      <c r="C789" s="35"/>
      <c r="D789" s="35"/>
      <c r="E789" s="34"/>
      <c r="F789" s="34"/>
      <c r="G789" s="34"/>
      <c r="H789" s="34"/>
      <c r="I789" s="34"/>
      <c r="J789" s="34"/>
      <c r="K789" s="34"/>
      <c r="L789" s="34"/>
      <c r="M789" s="36"/>
      <c r="N789" s="36"/>
      <c r="O789" s="36"/>
      <c r="P789" s="36"/>
      <c r="Q789" s="36"/>
      <c r="R789" s="36"/>
      <c r="S789" s="36"/>
    </row>
    <row r="790">
      <c r="A790" s="34"/>
      <c r="B790" s="34"/>
      <c r="C790" s="35"/>
      <c r="D790" s="35"/>
      <c r="E790" s="34"/>
      <c r="F790" s="34"/>
      <c r="G790" s="34"/>
      <c r="H790" s="34"/>
      <c r="I790" s="34"/>
      <c r="J790" s="34"/>
      <c r="K790" s="34"/>
      <c r="L790" s="34"/>
      <c r="M790" s="36"/>
      <c r="N790" s="36"/>
      <c r="O790" s="36"/>
      <c r="P790" s="36"/>
      <c r="Q790" s="36"/>
      <c r="R790" s="36"/>
      <c r="S790" s="36"/>
    </row>
    <row r="791">
      <c r="A791" s="34"/>
      <c r="B791" s="34"/>
      <c r="C791" s="35"/>
      <c r="D791" s="35"/>
      <c r="E791" s="34"/>
      <c r="F791" s="34"/>
      <c r="G791" s="34"/>
      <c r="H791" s="34"/>
      <c r="I791" s="34"/>
      <c r="J791" s="34"/>
      <c r="K791" s="34"/>
      <c r="L791" s="34"/>
      <c r="M791" s="36"/>
      <c r="N791" s="36"/>
      <c r="O791" s="36"/>
      <c r="P791" s="36"/>
      <c r="Q791" s="36"/>
      <c r="R791" s="36"/>
      <c r="S791" s="36"/>
    </row>
    <row r="792">
      <c r="A792" s="34"/>
      <c r="B792" s="34"/>
      <c r="C792" s="35"/>
      <c r="D792" s="35"/>
      <c r="E792" s="34"/>
      <c r="F792" s="34"/>
      <c r="G792" s="34"/>
      <c r="H792" s="34"/>
      <c r="I792" s="34"/>
      <c r="J792" s="34"/>
      <c r="K792" s="34"/>
      <c r="L792" s="34"/>
      <c r="M792" s="36"/>
      <c r="N792" s="36"/>
      <c r="O792" s="36"/>
      <c r="P792" s="36"/>
      <c r="Q792" s="36"/>
      <c r="R792" s="36"/>
      <c r="S792" s="36"/>
    </row>
    <row r="793">
      <c r="A793" s="34"/>
      <c r="B793" s="34"/>
      <c r="C793" s="35"/>
      <c r="D793" s="35"/>
      <c r="E793" s="34"/>
      <c r="F793" s="34"/>
      <c r="G793" s="34"/>
      <c r="H793" s="34"/>
      <c r="I793" s="34"/>
      <c r="J793" s="34"/>
      <c r="K793" s="34"/>
      <c r="L793" s="34"/>
      <c r="M793" s="36"/>
      <c r="N793" s="36"/>
      <c r="O793" s="36"/>
      <c r="P793" s="36"/>
      <c r="Q793" s="36"/>
      <c r="R793" s="36"/>
      <c r="S793" s="36"/>
    </row>
    <row r="794">
      <c r="A794" s="34"/>
      <c r="B794" s="34"/>
      <c r="C794" s="35"/>
      <c r="D794" s="35"/>
      <c r="E794" s="34"/>
      <c r="F794" s="34"/>
      <c r="G794" s="34"/>
      <c r="H794" s="34"/>
      <c r="I794" s="34"/>
      <c r="J794" s="34"/>
      <c r="K794" s="34"/>
      <c r="L794" s="34"/>
      <c r="M794" s="36"/>
      <c r="N794" s="36"/>
      <c r="O794" s="36"/>
      <c r="P794" s="36"/>
      <c r="Q794" s="36"/>
      <c r="R794" s="36"/>
      <c r="S794" s="36"/>
    </row>
    <row r="795">
      <c r="A795" s="34"/>
      <c r="B795" s="34"/>
      <c r="C795" s="35"/>
      <c r="D795" s="35"/>
      <c r="E795" s="34"/>
      <c r="F795" s="34"/>
      <c r="G795" s="34"/>
      <c r="H795" s="34"/>
      <c r="I795" s="34"/>
      <c r="J795" s="34"/>
      <c r="K795" s="34"/>
      <c r="L795" s="34"/>
      <c r="M795" s="36"/>
      <c r="N795" s="36"/>
      <c r="O795" s="36"/>
      <c r="P795" s="36"/>
      <c r="Q795" s="36"/>
      <c r="R795" s="36"/>
      <c r="S795" s="36"/>
    </row>
    <row r="796">
      <c r="A796" s="34"/>
      <c r="B796" s="34"/>
      <c r="C796" s="35"/>
      <c r="D796" s="35"/>
      <c r="E796" s="34"/>
      <c r="F796" s="34"/>
      <c r="G796" s="34"/>
      <c r="H796" s="34"/>
      <c r="I796" s="34"/>
      <c r="J796" s="34"/>
      <c r="K796" s="34"/>
      <c r="L796" s="34"/>
      <c r="M796" s="36"/>
      <c r="N796" s="36"/>
      <c r="O796" s="36"/>
      <c r="P796" s="36"/>
      <c r="Q796" s="36"/>
      <c r="R796" s="36"/>
      <c r="S796" s="36"/>
    </row>
    <row r="797">
      <c r="A797" s="34"/>
      <c r="B797" s="34"/>
      <c r="C797" s="35"/>
      <c r="D797" s="35"/>
      <c r="E797" s="34"/>
      <c r="F797" s="34"/>
      <c r="G797" s="34"/>
      <c r="H797" s="34"/>
      <c r="I797" s="34"/>
      <c r="J797" s="34"/>
      <c r="K797" s="34"/>
      <c r="L797" s="34"/>
      <c r="M797" s="36"/>
      <c r="N797" s="36"/>
      <c r="O797" s="36"/>
      <c r="P797" s="36"/>
      <c r="Q797" s="36"/>
      <c r="R797" s="36"/>
      <c r="S797" s="36"/>
    </row>
    <row r="798">
      <c r="A798" s="34"/>
      <c r="B798" s="34"/>
      <c r="C798" s="35"/>
      <c r="D798" s="35"/>
      <c r="E798" s="34"/>
      <c r="F798" s="34"/>
      <c r="G798" s="34"/>
      <c r="H798" s="34"/>
      <c r="I798" s="34"/>
      <c r="J798" s="34"/>
      <c r="K798" s="34"/>
      <c r="L798" s="34"/>
      <c r="M798" s="36"/>
      <c r="N798" s="36"/>
      <c r="O798" s="36"/>
      <c r="P798" s="36"/>
      <c r="Q798" s="36"/>
      <c r="R798" s="36"/>
      <c r="S798" s="36"/>
    </row>
    <row r="799">
      <c r="A799" s="34"/>
      <c r="B799" s="34"/>
      <c r="C799" s="35"/>
      <c r="D799" s="35"/>
      <c r="E799" s="34"/>
      <c r="F799" s="34"/>
      <c r="G799" s="34"/>
      <c r="H799" s="34"/>
      <c r="I799" s="34"/>
      <c r="J799" s="34"/>
      <c r="K799" s="34"/>
      <c r="L799" s="34"/>
      <c r="M799" s="36"/>
      <c r="N799" s="36"/>
      <c r="O799" s="36"/>
      <c r="P799" s="36"/>
      <c r="Q799" s="36"/>
      <c r="R799" s="36"/>
      <c r="S799" s="36"/>
    </row>
    <row r="800">
      <c r="A800" s="34"/>
      <c r="B800" s="34"/>
      <c r="C800" s="35"/>
      <c r="D800" s="35"/>
      <c r="E800" s="34"/>
      <c r="F800" s="34"/>
      <c r="G800" s="34"/>
      <c r="H800" s="34"/>
      <c r="I800" s="34"/>
      <c r="J800" s="34"/>
      <c r="K800" s="34"/>
      <c r="L800" s="34"/>
      <c r="M800" s="36"/>
      <c r="N800" s="36"/>
      <c r="O800" s="36"/>
      <c r="P800" s="36"/>
      <c r="Q800" s="36"/>
      <c r="R800" s="36"/>
      <c r="S800" s="36"/>
    </row>
    <row r="801">
      <c r="A801" s="34"/>
      <c r="B801" s="34"/>
      <c r="C801" s="35"/>
      <c r="D801" s="35"/>
      <c r="E801" s="34"/>
      <c r="F801" s="34"/>
      <c r="G801" s="34"/>
      <c r="H801" s="34"/>
      <c r="I801" s="34"/>
      <c r="J801" s="34"/>
      <c r="K801" s="34"/>
      <c r="L801" s="34"/>
      <c r="M801" s="36"/>
      <c r="N801" s="36"/>
      <c r="O801" s="36"/>
      <c r="P801" s="36"/>
      <c r="Q801" s="36"/>
      <c r="R801" s="36"/>
      <c r="S801" s="36"/>
    </row>
    <row r="802">
      <c r="A802" s="34"/>
      <c r="B802" s="36"/>
      <c r="C802" s="35"/>
      <c r="D802" s="35"/>
      <c r="E802" s="34"/>
      <c r="F802" s="34"/>
      <c r="G802" s="34"/>
      <c r="H802" s="34"/>
      <c r="I802" s="34"/>
      <c r="J802" s="34"/>
      <c r="K802" s="34"/>
      <c r="L802" s="34"/>
      <c r="M802" s="36"/>
      <c r="N802" s="36"/>
      <c r="O802" s="36"/>
      <c r="P802" s="36"/>
      <c r="Q802" s="36"/>
      <c r="R802" s="36"/>
      <c r="S802" s="36"/>
    </row>
    <row r="803">
      <c r="A803" s="34"/>
      <c r="B803" s="34"/>
      <c r="C803" s="35"/>
      <c r="D803" s="35"/>
      <c r="E803" s="34"/>
      <c r="F803" s="34"/>
      <c r="G803" s="34"/>
      <c r="H803" s="34"/>
      <c r="I803" s="34"/>
      <c r="J803" s="34"/>
      <c r="K803" s="34"/>
      <c r="L803" s="34"/>
      <c r="M803" s="36"/>
      <c r="N803" s="36"/>
      <c r="O803" s="36"/>
      <c r="P803" s="36"/>
      <c r="Q803" s="36"/>
      <c r="R803" s="36"/>
      <c r="S803" s="36"/>
    </row>
    <row r="804">
      <c r="A804" s="34"/>
      <c r="B804" s="34"/>
      <c r="C804" s="35"/>
      <c r="D804" s="35"/>
      <c r="E804" s="34"/>
      <c r="F804" s="34"/>
      <c r="G804" s="34"/>
      <c r="H804" s="34"/>
      <c r="I804" s="34"/>
      <c r="J804" s="34"/>
      <c r="K804" s="34"/>
      <c r="L804" s="34"/>
      <c r="M804" s="36"/>
      <c r="N804" s="36"/>
      <c r="O804" s="36"/>
      <c r="P804" s="36"/>
      <c r="Q804" s="36"/>
      <c r="R804" s="36"/>
      <c r="S804" s="36"/>
    </row>
    <row r="805">
      <c r="A805" s="34"/>
      <c r="B805" s="36"/>
      <c r="C805" s="35"/>
      <c r="D805" s="35"/>
      <c r="E805" s="34"/>
      <c r="F805" s="34"/>
      <c r="G805" s="34"/>
      <c r="H805" s="34"/>
      <c r="I805" s="34"/>
      <c r="J805" s="34"/>
      <c r="K805" s="34"/>
      <c r="L805" s="34"/>
      <c r="M805" s="36"/>
      <c r="N805" s="36"/>
      <c r="O805" s="36"/>
      <c r="P805" s="36"/>
      <c r="Q805" s="36"/>
      <c r="R805" s="36"/>
      <c r="S805" s="36"/>
    </row>
    <row r="806">
      <c r="A806" s="34"/>
      <c r="B806" s="34"/>
      <c r="C806" s="35"/>
      <c r="D806" s="35"/>
      <c r="E806" s="34"/>
      <c r="F806" s="34"/>
      <c r="G806" s="34"/>
      <c r="H806" s="34"/>
      <c r="I806" s="34"/>
      <c r="J806" s="34"/>
      <c r="K806" s="34"/>
      <c r="L806" s="34"/>
      <c r="M806" s="36"/>
      <c r="N806" s="36"/>
      <c r="O806" s="36"/>
      <c r="P806" s="36"/>
      <c r="Q806" s="36"/>
      <c r="R806" s="36"/>
      <c r="S806" s="36"/>
    </row>
    <row r="807">
      <c r="A807" s="34"/>
      <c r="B807" s="36"/>
      <c r="C807" s="35"/>
      <c r="D807" s="35"/>
      <c r="E807" s="34"/>
      <c r="F807" s="34"/>
      <c r="G807" s="34"/>
      <c r="H807" s="34"/>
      <c r="I807" s="34"/>
      <c r="J807" s="34"/>
      <c r="K807" s="34"/>
      <c r="L807" s="34"/>
      <c r="M807" s="36"/>
      <c r="N807" s="36"/>
      <c r="O807" s="36"/>
      <c r="P807" s="36"/>
      <c r="Q807" s="36"/>
      <c r="R807" s="36"/>
      <c r="S807" s="36"/>
    </row>
    <row r="808">
      <c r="A808" s="34"/>
      <c r="B808" s="34"/>
      <c r="C808" s="35"/>
      <c r="D808" s="35"/>
      <c r="E808" s="34"/>
      <c r="F808" s="34"/>
      <c r="G808" s="34"/>
      <c r="H808" s="34"/>
      <c r="I808" s="34"/>
      <c r="J808" s="34"/>
      <c r="K808" s="34"/>
      <c r="L808" s="34"/>
      <c r="M808" s="36"/>
      <c r="N808" s="36"/>
      <c r="O808" s="36"/>
      <c r="P808" s="36"/>
      <c r="Q808" s="36"/>
      <c r="R808" s="36"/>
      <c r="S808" s="36"/>
    </row>
    <row r="809">
      <c r="A809" s="34"/>
      <c r="B809" s="34"/>
      <c r="C809" s="35"/>
      <c r="D809" s="35"/>
      <c r="E809" s="34"/>
      <c r="F809" s="34"/>
      <c r="G809" s="34"/>
      <c r="H809" s="34"/>
      <c r="I809" s="34"/>
      <c r="J809" s="34"/>
      <c r="K809" s="34"/>
      <c r="L809" s="34"/>
      <c r="M809" s="36"/>
      <c r="N809" s="36"/>
      <c r="O809" s="36"/>
      <c r="P809" s="36"/>
      <c r="Q809" s="36"/>
      <c r="R809" s="36"/>
      <c r="S809" s="36"/>
    </row>
    <row r="810">
      <c r="A810" s="34"/>
      <c r="B810" s="34"/>
      <c r="C810" s="35"/>
      <c r="D810" s="35"/>
      <c r="E810" s="34"/>
      <c r="F810" s="34"/>
      <c r="G810" s="34"/>
      <c r="H810" s="34"/>
      <c r="I810" s="34"/>
      <c r="J810" s="34"/>
      <c r="K810" s="34"/>
      <c r="L810" s="34"/>
      <c r="M810" s="36"/>
      <c r="N810" s="36"/>
      <c r="O810" s="36"/>
      <c r="P810" s="36"/>
      <c r="Q810" s="36"/>
      <c r="R810" s="36"/>
      <c r="S810" s="36"/>
    </row>
    <row r="811">
      <c r="A811" s="34"/>
      <c r="B811" s="34"/>
      <c r="C811" s="35"/>
      <c r="D811" s="35"/>
      <c r="E811" s="34"/>
      <c r="F811" s="34"/>
      <c r="G811" s="34"/>
      <c r="H811" s="34"/>
      <c r="I811" s="34"/>
      <c r="J811" s="34"/>
      <c r="K811" s="34"/>
      <c r="L811" s="34"/>
      <c r="M811" s="36"/>
      <c r="N811" s="36"/>
      <c r="O811" s="36"/>
      <c r="P811" s="36"/>
      <c r="Q811" s="36"/>
      <c r="R811" s="36"/>
      <c r="S811" s="36"/>
    </row>
    <row r="812">
      <c r="A812" s="34"/>
      <c r="B812" s="36"/>
      <c r="C812" s="35"/>
      <c r="D812" s="35"/>
      <c r="E812" s="34"/>
      <c r="F812" s="34"/>
      <c r="G812" s="34"/>
      <c r="H812" s="34"/>
      <c r="I812" s="34"/>
      <c r="J812" s="34"/>
      <c r="K812" s="34"/>
      <c r="L812" s="34"/>
      <c r="M812" s="36"/>
      <c r="N812" s="36"/>
      <c r="O812" s="36"/>
      <c r="P812" s="36"/>
      <c r="Q812" s="36"/>
      <c r="R812" s="36"/>
      <c r="S812" s="36"/>
    </row>
    <row r="813">
      <c r="A813" s="34"/>
      <c r="B813" s="34"/>
      <c r="C813" s="35"/>
      <c r="D813" s="35"/>
      <c r="E813" s="34"/>
      <c r="F813" s="34"/>
      <c r="G813" s="34"/>
      <c r="H813" s="34"/>
      <c r="I813" s="34"/>
      <c r="J813" s="34"/>
      <c r="K813" s="34"/>
      <c r="L813" s="34"/>
      <c r="M813" s="36"/>
      <c r="N813" s="36"/>
      <c r="O813" s="36"/>
      <c r="P813" s="36"/>
      <c r="Q813" s="36"/>
      <c r="R813" s="36"/>
      <c r="S813" s="36"/>
    </row>
    <row r="814">
      <c r="A814" s="34"/>
      <c r="B814" s="34"/>
      <c r="C814" s="35"/>
      <c r="D814" s="35"/>
      <c r="E814" s="34"/>
      <c r="F814" s="34"/>
      <c r="G814" s="34"/>
      <c r="H814" s="34"/>
      <c r="I814" s="34"/>
      <c r="J814" s="34"/>
      <c r="K814" s="34"/>
      <c r="L814" s="34"/>
      <c r="M814" s="36"/>
      <c r="N814" s="36"/>
      <c r="O814" s="36"/>
      <c r="P814" s="36"/>
      <c r="Q814" s="36"/>
      <c r="R814" s="36"/>
      <c r="S814" s="36"/>
    </row>
    <row r="815">
      <c r="A815" s="34"/>
      <c r="B815" s="34"/>
      <c r="C815" s="35"/>
      <c r="D815" s="35"/>
      <c r="E815" s="34"/>
      <c r="F815" s="34"/>
      <c r="G815" s="34"/>
      <c r="H815" s="34"/>
      <c r="I815" s="34"/>
      <c r="J815" s="34"/>
      <c r="K815" s="34"/>
      <c r="L815" s="34"/>
      <c r="M815" s="36"/>
      <c r="N815" s="36"/>
      <c r="O815" s="36"/>
      <c r="P815" s="36"/>
      <c r="Q815" s="36"/>
      <c r="R815" s="36"/>
      <c r="S815" s="36"/>
    </row>
    <row r="816">
      <c r="A816" s="34"/>
      <c r="B816" s="34"/>
      <c r="C816" s="35"/>
      <c r="D816" s="35"/>
      <c r="E816" s="34"/>
      <c r="F816" s="34"/>
      <c r="G816" s="34"/>
      <c r="H816" s="34"/>
      <c r="I816" s="34"/>
      <c r="J816" s="34"/>
      <c r="K816" s="34"/>
      <c r="L816" s="34"/>
      <c r="M816" s="36"/>
      <c r="N816" s="36"/>
      <c r="O816" s="36"/>
      <c r="P816" s="36"/>
      <c r="Q816" s="36"/>
      <c r="R816" s="36"/>
      <c r="S816" s="36"/>
    </row>
    <row r="817">
      <c r="A817" s="34"/>
      <c r="B817" s="34"/>
      <c r="C817" s="35"/>
      <c r="D817" s="35"/>
      <c r="E817" s="34"/>
      <c r="F817" s="34"/>
      <c r="G817" s="34"/>
      <c r="H817" s="34"/>
      <c r="I817" s="34"/>
      <c r="J817" s="34"/>
      <c r="K817" s="34"/>
      <c r="L817" s="34"/>
      <c r="M817" s="36"/>
      <c r="N817" s="36"/>
      <c r="O817" s="36"/>
      <c r="P817" s="36"/>
      <c r="Q817" s="36"/>
      <c r="R817" s="36"/>
      <c r="S817" s="36"/>
    </row>
    <row r="818">
      <c r="A818" s="34"/>
      <c r="B818" s="34"/>
      <c r="C818" s="35"/>
      <c r="D818" s="35"/>
      <c r="E818" s="34"/>
      <c r="F818" s="34"/>
      <c r="G818" s="34"/>
      <c r="H818" s="34"/>
      <c r="I818" s="34"/>
      <c r="J818" s="34"/>
      <c r="K818" s="34"/>
      <c r="L818" s="34"/>
      <c r="M818" s="36"/>
      <c r="N818" s="36"/>
      <c r="O818" s="36"/>
      <c r="P818" s="36"/>
      <c r="Q818" s="36"/>
      <c r="R818" s="36"/>
      <c r="S818" s="36"/>
    </row>
    <row r="819">
      <c r="A819" s="34"/>
      <c r="B819" s="34"/>
      <c r="C819" s="35"/>
      <c r="D819" s="35"/>
      <c r="E819" s="34"/>
      <c r="F819" s="34"/>
      <c r="G819" s="34"/>
      <c r="H819" s="34"/>
      <c r="I819" s="34"/>
      <c r="J819" s="34"/>
      <c r="K819" s="34"/>
      <c r="L819" s="34"/>
      <c r="M819" s="36"/>
      <c r="N819" s="36"/>
      <c r="O819" s="36"/>
      <c r="P819" s="36"/>
      <c r="Q819" s="36"/>
      <c r="R819" s="36"/>
      <c r="S819" s="36"/>
    </row>
    <row r="820">
      <c r="A820" s="34"/>
      <c r="B820" s="34"/>
      <c r="C820" s="35"/>
      <c r="D820" s="35"/>
      <c r="E820" s="34"/>
      <c r="F820" s="34"/>
      <c r="G820" s="34"/>
      <c r="H820" s="34"/>
      <c r="I820" s="34"/>
      <c r="J820" s="34"/>
      <c r="K820" s="34"/>
      <c r="L820" s="34"/>
      <c r="M820" s="36"/>
      <c r="N820" s="36"/>
      <c r="O820" s="36"/>
      <c r="P820" s="36"/>
      <c r="Q820" s="36"/>
      <c r="R820" s="36"/>
      <c r="S820" s="36"/>
    </row>
    <row r="821">
      <c r="A821" s="34"/>
      <c r="B821" s="34"/>
      <c r="C821" s="35"/>
      <c r="D821" s="35"/>
      <c r="E821" s="34"/>
      <c r="F821" s="34"/>
      <c r="G821" s="34"/>
      <c r="H821" s="34"/>
      <c r="I821" s="34"/>
      <c r="J821" s="34"/>
      <c r="K821" s="34"/>
      <c r="L821" s="34"/>
      <c r="M821" s="36"/>
      <c r="N821" s="36"/>
      <c r="O821" s="36"/>
      <c r="P821" s="36"/>
      <c r="Q821" s="36"/>
      <c r="R821" s="36"/>
      <c r="S821" s="36"/>
    </row>
    <row r="822">
      <c r="A822" s="34"/>
      <c r="B822" s="34"/>
      <c r="C822" s="35"/>
      <c r="D822" s="35"/>
      <c r="E822" s="34"/>
      <c r="F822" s="34"/>
      <c r="G822" s="34"/>
      <c r="H822" s="34"/>
      <c r="I822" s="34"/>
      <c r="J822" s="34"/>
      <c r="K822" s="34"/>
      <c r="L822" s="34"/>
      <c r="M822" s="36"/>
      <c r="N822" s="36"/>
      <c r="O822" s="36"/>
      <c r="P822" s="36"/>
      <c r="Q822" s="36"/>
      <c r="R822" s="36"/>
      <c r="S822" s="36"/>
    </row>
    <row r="823">
      <c r="A823" s="34"/>
      <c r="B823" s="34"/>
      <c r="C823" s="35"/>
      <c r="D823" s="35"/>
      <c r="E823" s="34"/>
      <c r="F823" s="34"/>
      <c r="G823" s="34"/>
      <c r="H823" s="34"/>
      <c r="I823" s="34"/>
      <c r="J823" s="34"/>
      <c r="K823" s="34"/>
      <c r="L823" s="34"/>
      <c r="M823" s="36"/>
      <c r="N823" s="36"/>
      <c r="O823" s="36"/>
      <c r="P823" s="36"/>
      <c r="Q823" s="36"/>
      <c r="R823" s="36"/>
      <c r="S823" s="36"/>
    </row>
    <row r="824">
      <c r="A824" s="34"/>
      <c r="B824" s="34"/>
      <c r="C824" s="35"/>
      <c r="D824" s="35"/>
      <c r="E824" s="34"/>
      <c r="F824" s="34"/>
      <c r="G824" s="34"/>
      <c r="H824" s="34"/>
      <c r="I824" s="34"/>
      <c r="J824" s="34"/>
      <c r="K824" s="34"/>
      <c r="L824" s="34"/>
      <c r="M824" s="36"/>
      <c r="N824" s="36"/>
      <c r="O824" s="36"/>
      <c r="P824" s="36"/>
      <c r="Q824" s="36"/>
      <c r="R824" s="36"/>
      <c r="S824" s="36"/>
    </row>
    <row r="825">
      <c r="A825" s="34"/>
      <c r="B825" s="34"/>
      <c r="C825" s="35"/>
      <c r="D825" s="35"/>
      <c r="E825" s="34"/>
      <c r="F825" s="34"/>
      <c r="G825" s="34"/>
      <c r="H825" s="34"/>
      <c r="I825" s="34"/>
      <c r="J825" s="34"/>
      <c r="K825" s="34"/>
      <c r="L825" s="34"/>
      <c r="M825" s="36"/>
      <c r="N825" s="36"/>
      <c r="O825" s="36"/>
      <c r="P825" s="36"/>
      <c r="Q825" s="36"/>
      <c r="R825" s="36"/>
      <c r="S825" s="36"/>
    </row>
    <row r="826">
      <c r="A826" s="34"/>
      <c r="B826" s="34"/>
      <c r="C826" s="35"/>
      <c r="D826" s="35"/>
      <c r="E826" s="34"/>
      <c r="F826" s="34"/>
      <c r="G826" s="34"/>
      <c r="H826" s="34"/>
      <c r="I826" s="34"/>
      <c r="J826" s="34"/>
      <c r="K826" s="34"/>
      <c r="L826" s="34"/>
      <c r="M826" s="36"/>
      <c r="N826" s="36"/>
      <c r="O826" s="36"/>
      <c r="P826" s="36"/>
      <c r="Q826" s="36"/>
      <c r="R826" s="36"/>
      <c r="S826" s="36"/>
    </row>
    <row r="827">
      <c r="A827" s="34"/>
      <c r="B827" s="36"/>
      <c r="C827" s="35"/>
      <c r="D827" s="35"/>
      <c r="E827" s="34"/>
      <c r="F827" s="34"/>
      <c r="G827" s="34"/>
      <c r="H827" s="34"/>
      <c r="I827" s="34"/>
      <c r="J827" s="34"/>
      <c r="K827" s="34"/>
      <c r="L827" s="34"/>
      <c r="M827" s="36"/>
      <c r="N827" s="36"/>
      <c r="O827" s="36"/>
      <c r="P827" s="36"/>
      <c r="Q827" s="36"/>
      <c r="R827" s="36"/>
      <c r="S827" s="36"/>
    </row>
    <row r="828">
      <c r="A828" s="34"/>
      <c r="B828" s="36"/>
      <c r="C828" s="35"/>
      <c r="D828" s="35"/>
      <c r="E828" s="34"/>
      <c r="F828" s="34"/>
      <c r="G828" s="34"/>
      <c r="H828" s="34"/>
      <c r="I828" s="34"/>
      <c r="J828" s="34"/>
      <c r="K828" s="34"/>
      <c r="L828" s="34"/>
      <c r="M828" s="36"/>
      <c r="N828" s="36"/>
      <c r="O828" s="36"/>
      <c r="P828" s="36"/>
      <c r="Q828" s="36"/>
      <c r="R828" s="36"/>
      <c r="S828" s="36"/>
    </row>
    <row r="829">
      <c r="A829" s="34"/>
      <c r="B829" s="36"/>
      <c r="C829" s="35"/>
      <c r="D829" s="35"/>
      <c r="E829" s="34"/>
      <c r="F829" s="34"/>
      <c r="G829" s="34"/>
      <c r="H829" s="34"/>
      <c r="I829" s="34"/>
      <c r="J829" s="34"/>
      <c r="K829" s="34"/>
      <c r="L829" s="34"/>
      <c r="M829" s="36"/>
      <c r="N829" s="36"/>
      <c r="O829" s="36"/>
      <c r="P829" s="36"/>
      <c r="Q829" s="36"/>
      <c r="R829" s="36"/>
      <c r="S829" s="36"/>
    </row>
    <row r="830">
      <c r="A830" s="34"/>
      <c r="B830" s="34"/>
      <c r="C830" s="35"/>
      <c r="D830" s="35"/>
      <c r="E830" s="34"/>
      <c r="F830" s="34"/>
      <c r="G830" s="34"/>
      <c r="H830" s="34"/>
      <c r="I830" s="34"/>
      <c r="J830" s="34"/>
      <c r="K830" s="34"/>
      <c r="L830" s="34"/>
      <c r="M830" s="36"/>
      <c r="N830" s="36"/>
      <c r="O830" s="36"/>
      <c r="P830" s="36"/>
      <c r="Q830" s="36"/>
      <c r="R830" s="36"/>
      <c r="S830" s="36"/>
    </row>
    <row r="831">
      <c r="A831" s="34"/>
      <c r="B831" s="36"/>
      <c r="C831" s="35"/>
      <c r="D831" s="35"/>
      <c r="E831" s="34"/>
      <c r="F831" s="34"/>
      <c r="G831" s="34"/>
      <c r="H831" s="34"/>
      <c r="I831" s="34"/>
      <c r="J831" s="34"/>
      <c r="K831" s="34"/>
      <c r="L831" s="34"/>
      <c r="M831" s="36"/>
      <c r="N831" s="36"/>
      <c r="O831" s="36"/>
      <c r="P831" s="36"/>
      <c r="Q831" s="36"/>
      <c r="R831" s="36"/>
      <c r="S831" s="36"/>
    </row>
    <row r="832">
      <c r="A832" s="34"/>
      <c r="B832" s="34"/>
      <c r="C832" s="35"/>
      <c r="D832" s="35"/>
      <c r="E832" s="34"/>
      <c r="F832" s="34"/>
      <c r="G832" s="34"/>
      <c r="H832" s="34"/>
      <c r="I832" s="34"/>
      <c r="J832" s="34"/>
      <c r="K832" s="34"/>
      <c r="L832" s="34"/>
      <c r="M832" s="36"/>
      <c r="N832" s="36"/>
      <c r="O832" s="36"/>
      <c r="P832" s="36"/>
      <c r="Q832" s="36"/>
      <c r="R832" s="36"/>
      <c r="S832" s="36"/>
    </row>
    <row r="833">
      <c r="A833" s="34"/>
      <c r="B833" s="36"/>
      <c r="C833" s="35"/>
      <c r="D833" s="35"/>
      <c r="E833" s="34"/>
      <c r="F833" s="34"/>
      <c r="G833" s="34"/>
      <c r="H833" s="34"/>
      <c r="I833" s="34"/>
      <c r="J833" s="34"/>
      <c r="K833" s="34"/>
      <c r="L833" s="34"/>
      <c r="M833" s="36"/>
      <c r="N833" s="36"/>
      <c r="O833" s="36"/>
      <c r="P833" s="36"/>
      <c r="Q833" s="36"/>
      <c r="R833" s="36"/>
      <c r="S833" s="36"/>
    </row>
    <row r="834">
      <c r="A834" s="34"/>
      <c r="B834" s="34"/>
      <c r="C834" s="35"/>
      <c r="D834" s="35"/>
      <c r="E834" s="34"/>
      <c r="F834" s="34"/>
      <c r="G834" s="34"/>
      <c r="H834" s="34"/>
      <c r="I834" s="34"/>
      <c r="J834" s="34"/>
      <c r="K834" s="34"/>
      <c r="L834" s="34"/>
      <c r="M834" s="36"/>
      <c r="N834" s="36"/>
      <c r="O834" s="36"/>
      <c r="P834" s="36"/>
      <c r="Q834" s="36"/>
      <c r="R834" s="36"/>
      <c r="S834" s="36"/>
    </row>
    <row r="835">
      <c r="A835" s="34"/>
      <c r="B835" s="34"/>
      <c r="C835" s="35"/>
      <c r="D835" s="35"/>
      <c r="E835" s="34"/>
      <c r="F835" s="34"/>
      <c r="G835" s="34"/>
      <c r="H835" s="34"/>
      <c r="I835" s="34"/>
      <c r="J835" s="34"/>
      <c r="K835" s="34"/>
      <c r="L835" s="34"/>
      <c r="M835" s="36"/>
      <c r="N835" s="36"/>
      <c r="O835" s="36"/>
      <c r="P835" s="36"/>
      <c r="Q835" s="36"/>
      <c r="R835" s="36"/>
      <c r="S835" s="36"/>
    </row>
    <row r="836">
      <c r="A836" s="34"/>
      <c r="B836" s="36"/>
      <c r="C836" s="35"/>
      <c r="D836" s="35"/>
      <c r="E836" s="34"/>
      <c r="F836" s="34"/>
      <c r="G836" s="34"/>
      <c r="H836" s="34"/>
      <c r="I836" s="34"/>
      <c r="J836" s="34"/>
      <c r="K836" s="34"/>
      <c r="L836" s="34"/>
      <c r="M836" s="36"/>
      <c r="N836" s="36"/>
      <c r="O836" s="36"/>
      <c r="P836" s="36"/>
      <c r="Q836" s="36"/>
      <c r="R836" s="36"/>
      <c r="S836" s="36"/>
    </row>
    <row r="837">
      <c r="A837" s="34"/>
      <c r="B837" s="36"/>
      <c r="C837" s="35"/>
      <c r="D837" s="35"/>
      <c r="E837" s="34"/>
      <c r="F837" s="34"/>
      <c r="G837" s="34"/>
      <c r="H837" s="34"/>
      <c r="I837" s="34"/>
      <c r="J837" s="34"/>
      <c r="K837" s="34"/>
      <c r="L837" s="34"/>
      <c r="M837" s="36"/>
      <c r="N837" s="36"/>
      <c r="O837" s="36"/>
      <c r="P837" s="36"/>
      <c r="Q837" s="36"/>
      <c r="R837" s="36"/>
      <c r="S837" s="36"/>
    </row>
    <row r="838">
      <c r="A838" s="34"/>
      <c r="B838" s="34"/>
      <c r="C838" s="35"/>
      <c r="D838" s="35"/>
      <c r="E838" s="34"/>
      <c r="F838" s="34"/>
      <c r="G838" s="34"/>
      <c r="H838" s="34"/>
      <c r="I838" s="34"/>
      <c r="J838" s="34"/>
      <c r="K838" s="34"/>
      <c r="L838" s="34"/>
      <c r="M838" s="36"/>
      <c r="N838" s="36"/>
      <c r="O838" s="36"/>
      <c r="P838" s="36"/>
      <c r="Q838" s="36"/>
      <c r="R838" s="36"/>
      <c r="S838" s="36"/>
    </row>
    <row r="839">
      <c r="A839" s="34"/>
      <c r="B839" s="34"/>
      <c r="C839" s="35"/>
      <c r="D839" s="35"/>
      <c r="E839" s="34"/>
      <c r="F839" s="34"/>
      <c r="G839" s="34"/>
      <c r="H839" s="34"/>
      <c r="I839" s="34"/>
      <c r="J839" s="34"/>
      <c r="K839" s="34"/>
      <c r="L839" s="34"/>
      <c r="M839" s="36"/>
      <c r="N839" s="36"/>
      <c r="O839" s="36"/>
      <c r="P839" s="36"/>
      <c r="Q839" s="36"/>
      <c r="R839" s="36"/>
      <c r="S839" s="36"/>
    </row>
    <row r="840">
      <c r="A840" s="34"/>
      <c r="B840" s="34"/>
      <c r="C840" s="35"/>
      <c r="D840" s="35"/>
      <c r="E840" s="34"/>
      <c r="F840" s="34"/>
      <c r="G840" s="34"/>
      <c r="H840" s="34"/>
      <c r="I840" s="34"/>
      <c r="J840" s="34"/>
      <c r="K840" s="34"/>
      <c r="L840" s="34"/>
      <c r="M840" s="36"/>
      <c r="N840" s="36"/>
      <c r="O840" s="36"/>
      <c r="P840" s="36"/>
      <c r="Q840" s="36"/>
      <c r="R840" s="36"/>
      <c r="S840" s="36"/>
    </row>
    <row r="841">
      <c r="A841" s="34"/>
      <c r="B841" s="34"/>
      <c r="C841" s="35"/>
      <c r="D841" s="35"/>
      <c r="E841" s="34"/>
      <c r="F841" s="34"/>
      <c r="G841" s="34"/>
      <c r="H841" s="34"/>
      <c r="I841" s="34"/>
      <c r="J841" s="34"/>
      <c r="K841" s="34"/>
      <c r="L841" s="34"/>
      <c r="M841" s="36"/>
      <c r="N841" s="36"/>
      <c r="O841" s="36"/>
      <c r="P841" s="36"/>
      <c r="Q841" s="36"/>
      <c r="R841" s="36"/>
      <c r="S841" s="36"/>
    </row>
    <row r="842">
      <c r="A842" s="34"/>
      <c r="B842" s="34"/>
      <c r="C842" s="35"/>
      <c r="D842" s="35"/>
      <c r="E842" s="34"/>
      <c r="F842" s="34"/>
      <c r="G842" s="34"/>
      <c r="H842" s="34"/>
      <c r="I842" s="34"/>
      <c r="J842" s="34"/>
      <c r="K842" s="34"/>
      <c r="L842" s="34"/>
      <c r="M842" s="36"/>
      <c r="N842" s="36"/>
      <c r="O842" s="36"/>
      <c r="P842" s="36"/>
      <c r="Q842" s="36"/>
      <c r="R842" s="36"/>
      <c r="S842" s="36"/>
    </row>
    <row r="843">
      <c r="A843" s="34"/>
      <c r="B843" s="34"/>
      <c r="C843" s="35"/>
      <c r="D843" s="35"/>
      <c r="E843" s="34"/>
      <c r="F843" s="34"/>
      <c r="G843" s="34"/>
      <c r="H843" s="34"/>
      <c r="I843" s="34"/>
      <c r="J843" s="34"/>
      <c r="K843" s="34"/>
      <c r="L843" s="34"/>
      <c r="M843" s="36"/>
      <c r="N843" s="36"/>
      <c r="O843" s="36"/>
      <c r="P843" s="36"/>
      <c r="Q843" s="36"/>
      <c r="R843" s="36"/>
      <c r="S843" s="36"/>
    </row>
    <row r="844">
      <c r="A844" s="34"/>
      <c r="B844" s="34"/>
      <c r="C844" s="35"/>
      <c r="D844" s="35"/>
      <c r="E844" s="34"/>
      <c r="F844" s="34"/>
      <c r="G844" s="34"/>
      <c r="H844" s="34"/>
      <c r="I844" s="34"/>
      <c r="J844" s="34"/>
      <c r="K844" s="34"/>
      <c r="L844" s="34"/>
      <c r="M844" s="36"/>
      <c r="N844" s="36"/>
      <c r="O844" s="36"/>
      <c r="P844" s="36"/>
      <c r="Q844" s="36"/>
      <c r="R844" s="36"/>
      <c r="S844" s="36"/>
    </row>
    <row r="845">
      <c r="A845" s="34"/>
      <c r="B845" s="34"/>
      <c r="C845" s="35"/>
      <c r="D845" s="35"/>
      <c r="E845" s="34"/>
      <c r="F845" s="34"/>
      <c r="G845" s="34"/>
      <c r="H845" s="34"/>
      <c r="I845" s="34"/>
      <c r="J845" s="34"/>
      <c r="K845" s="34"/>
      <c r="L845" s="34"/>
      <c r="M845" s="36"/>
      <c r="N845" s="36"/>
      <c r="O845" s="36"/>
      <c r="P845" s="36"/>
      <c r="Q845" s="36"/>
      <c r="R845" s="36"/>
      <c r="S845" s="36"/>
    </row>
    <row r="846">
      <c r="A846" s="34"/>
      <c r="B846" s="36"/>
      <c r="C846" s="35"/>
      <c r="D846" s="35"/>
      <c r="E846" s="34"/>
      <c r="F846" s="34"/>
      <c r="G846" s="34"/>
      <c r="H846" s="34"/>
      <c r="I846" s="34"/>
      <c r="J846" s="34"/>
      <c r="K846" s="34"/>
      <c r="L846" s="34"/>
      <c r="M846" s="36"/>
      <c r="N846" s="36"/>
      <c r="O846" s="36"/>
      <c r="P846" s="36"/>
      <c r="Q846" s="36"/>
      <c r="R846" s="36"/>
      <c r="S846" s="36"/>
    </row>
    <row r="847">
      <c r="A847" s="34"/>
      <c r="B847" s="34"/>
      <c r="C847" s="35"/>
      <c r="D847" s="35"/>
      <c r="E847" s="34"/>
      <c r="F847" s="34"/>
      <c r="G847" s="34"/>
      <c r="H847" s="34"/>
      <c r="I847" s="34"/>
      <c r="J847" s="34"/>
      <c r="K847" s="34"/>
      <c r="L847" s="34"/>
      <c r="M847" s="36"/>
      <c r="N847" s="36"/>
      <c r="O847" s="36"/>
      <c r="P847" s="36"/>
      <c r="Q847" s="36"/>
      <c r="R847" s="36"/>
      <c r="S847" s="36"/>
    </row>
    <row r="848">
      <c r="A848" s="34"/>
      <c r="B848" s="34"/>
      <c r="C848" s="35"/>
      <c r="D848" s="35"/>
      <c r="E848" s="34"/>
      <c r="F848" s="34"/>
      <c r="G848" s="34"/>
      <c r="H848" s="34"/>
      <c r="I848" s="34"/>
      <c r="J848" s="34"/>
      <c r="K848" s="34"/>
      <c r="L848" s="34"/>
      <c r="M848" s="36"/>
      <c r="N848" s="36"/>
      <c r="O848" s="36"/>
      <c r="P848" s="36"/>
      <c r="Q848" s="36"/>
      <c r="R848" s="36"/>
      <c r="S848" s="36"/>
    </row>
    <row r="849">
      <c r="A849" s="34"/>
      <c r="B849" s="34"/>
      <c r="C849" s="35"/>
      <c r="D849" s="35"/>
      <c r="E849" s="34"/>
      <c r="F849" s="34"/>
      <c r="G849" s="34"/>
      <c r="H849" s="34"/>
      <c r="I849" s="34"/>
      <c r="J849" s="34"/>
      <c r="K849" s="34"/>
      <c r="L849" s="34"/>
      <c r="M849" s="36"/>
      <c r="N849" s="36"/>
      <c r="O849" s="36"/>
      <c r="P849" s="36"/>
      <c r="Q849" s="36"/>
      <c r="R849" s="36"/>
      <c r="S849" s="36"/>
    </row>
    <row r="850">
      <c r="A850" s="34"/>
      <c r="B850" s="36"/>
      <c r="C850" s="35"/>
      <c r="D850" s="35"/>
      <c r="E850" s="34"/>
      <c r="F850" s="34"/>
      <c r="G850" s="34"/>
      <c r="H850" s="34"/>
      <c r="I850" s="34"/>
      <c r="J850" s="34"/>
      <c r="K850" s="34"/>
      <c r="L850" s="34"/>
      <c r="M850" s="36"/>
      <c r="N850" s="36"/>
      <c r="O850" s="36"/>
      <c r="P850" s="36"/>
      <c r="Q850" s="36"/>
      <c r="R850" s="36"/>
      <c r="S850" s="36"/>
    </row>
    <row r="851">
      <c r="A851" s="34"/>
      <c r="B851" s="34"/>
      <c r="C851" s="35"/>
      <c r="D851" s="35"/>
      <c r="E851" s="34"/>
      <c r="F851" s="34"/>
      <c r="G851" s="34"/>
      <c r="H851" s="34"/>
      <c r="I851" s="34"/>
      <c r="J851" s="34"/>
      <c r="K851" s="34"/>
      <c r="L851" s="34"/>
      <c r="M851" s="36"/>
      <c r="N851" s="36"/>
      <c r="O851" s="36"/>
      <c r="P851" s="36"/>
      <c r="Q851" s="36"/>
      <c r="R851" s="36"/>
      <c r="S851" s="36"/>
    </row>
    <row r="852">
      <c r="A852" s="34"/>
      <c r="B852" s="36"/>
      <c r="C852" s="35"/>
      <c r="D852" s="35"/>
      <c r="E852" s="34"/>
      <c r="F852" s="34"/>
      <c r="G852" s="34"/>
      <c r="H852" s="34"/>
      <c r="I852" s="34"/>
      <c r="J852" s="34"/>
      <c r="K852" s="34"/>
      <c r="L852" s="34"/>
      <c r="M852" s="36"/>
      <c r="N852" s="36"/>
      <c r="O852" s="36"/>
      <c r="P852" s="36"/>
      <c r="Q852" s="36"/>
      <c r="R852" s="36"/>
      <c r="S852" s="36"/>
    </row>
    <row r="853">
      <c r="A853" s="34"/>
      <c r="B853" s="34"/>
      <c r="C853" s="35"/>
      <c r="D853" s="35"/>
      <c r="E853" s="34"/>
      <c r="F853" s="34"/>
      <c r="G853" s="34"/>
      <c r="H853" s="34"/>
      <c r="I853" s="34"/>
      <c r="J853" s="34"/>
      <c r="K853" s="34"/>
      <c r="L853" s="34"/>
      <c r="M853" s="36"/>
      <c r="N853" s="36"/>
      <c r="O853" s="36"/>
      <c r="P853" s="36"/>
      <c r="Q853" s="36"/>
      <c r="R853" s="36"/>
      <c r="S853" s="36"/>
    </row>
    <row r="854">
      <c r="A854" s="34"/>
      <c r="B854" s="34"/>
      <c r="C854" s="35"/>
      <c r="D854" s="35"/>
      <c r="E854" s="34"/>
      <c r="F854" s="34"/>
      <c r="G854" s="34"/>
      <c r="H854" s="34"/>
      <c r="I854" s="34"/>
      <c r="J854" s="34"/>
      <c r="K854" s="34"/>
      <c r="L854" s="34"/>
      <c r="M854" s="36"/>
      <c r="N854" s="36"/>
      <c r="O854" s="36"/>
      <c r="P854" s="36"/>
      <c r="Q854" s="36"/>
      <c r="R854" s="36"/>
      <c r="S854" s="36"/>
    </row>
    <row r="855">
      <c r="A855" s="34"/>
      <c r="B855" s="34"/>
      <c r="C855" s="35"/>
      <c r="D855" s="35"/>
      <c r="E855" s="34"/>
      <c r="F855" s="34"/>
      <c r="G855" s="34"/>
      <c r="H855" s="34"/>
      <c r="I855" s="34"/>
      <c r="J855" s="34"/>
      <c r="K855" s="34"/>
      <c r="L855" s="34"/>
      <c r="M855" s="36"/>
      <c r="N855" s="36"/>
      <c r="O855" s="36"/>
      <c r="P855" s="36"/>
      <c r="Q855" s="36"/>
      <c r="R855" s="36"/>
      <c r="S855" s="36"/>
    </row>
    <row r="856">
      <c r="A856" s="34"/>
      <c r="B856" s="34"/>
      <c r="C856" s="35"/>
      <c r="D856" s="35"/>
      <c r="E856" s="34"/>
      <c r="F856" s="34"/>
      <c r="G856" s="34"/>
      <c r="H856" s="34"/>
      <c r="I856" s="34"/>
      <c r="J856" s="34"/>
      <c r="K856" s="34"/>
      <c r="L856" s="34"/>
      <c r="M856" s="36"/>
      <c r="N856" s="36"/>
      <c r="O856" s="36"/>
      <c r="P856" s="36"/>
      <c r="Q856" s="36"/>
      <c r="R856" s="36"/>
      <c r="S856" s="36"/>
    </row>
    <row r="857">
      <c r="A857" s="34"/>
      <c r="B857" s="36"/>
      <c r="C857" s="35"/>
      <c r="D857" s="35"/>
      <c r="E857" s="34"/>
      <c r="F857" s="34"/>
      <c r="G857" s="34"/>
      <c r="H857" s="34"/>
      <c r="I857" s="34"/>
      <c r="J857" s="34"/>
      <c r="K857" s="34"/>
      <c r="L857" s="34"/>
      <c r="M857" s="36"/>
      <c r="N857" s="36"/>
      <c r="O857" s="36"/>
      <c r="P857" s="36"/>
      <c r="Q857" s="36"/>
      <c r="R857" s="36"/>
      <c r="S857" s="36"/>
    </row>
    <row r="858">
      <c r="A858" s="34"/>
      <c r="B858" s="34"/>
      <c r="C858" s="35"/>
      <c r="D858" s="35"/>
      <c r="E858" s="34"/>
      <c r="F858" s="34"/>
      <c r="G858" s="34"/>
      <c r="H858" s="34"/>
      <c r="I858" s="34"/>
      <c r="J858" s="34"/>
      <c r="K858" s="34"/>
      <c r="L858" s="34"/>
      <c r="M858" s="36"/>
      <c r="N858" s="36"/>
      <c r="O858" s="36"/>
      <c r="P858" s="36"/>
      <c r="Q858" s="36"/>
      <c r="R858" s="36"/>
      <c r="S858" s="36"/>
    </row>
    <row r="859">
      <c r="A859" s="34"/>
      <c r="B859" s="34"/>
      <c r="C859" s="35"/>
      <c r="D859" s="35"/>
      <c r="E859" s="34"/>
      <c r="F859" s="34"/>
      <c r="G859" s="34"/>
      <c r="H859" s="34"/>
      <c r="I859" s="34"/>
      <c r="J859" s="34"/>
      <c r="K859" s="34"/>
      <c r="L859" s="34"/>
      <c r="M859" s="36"/>
      <c r="N859" s="36"/>
      <c r="O859" s="36"/>
      <c r="P859" s="36"/>
      <c r="Q859" s="36"/>
      <c r="R859" s="36"/>
      <c r="S859" s="36"/>
    </row>
    <row r="860">
      <c r="A860" s="34"/>
      <c r="B860" s="36"/>
      <c r="C860" s="35"/>
      <c r="D860" s="35"/>
      <c r="E860" s="34"/>
      <c r="F860" s="34"/>
      <c r="G860" s="34"/>
      <c r="H860" s="34"/>
      <c r="I860" s="34"/>
      <c r="J860" s="34"/>
      <c r="K860" s="34"/>
      <c r="L860" s="34"/>
      <c r="M860" s="36"/>
      <c r="N860" s="36"/>
      <c r="O860" s="36"/>
      <c r="P860" s="36"/>
      <c r="Q860" s="36"/>
      <c r="R860" s="36"/>
      <c r="S860" s="36"/>
    </row>
    <row r="861">
      <c r="A861" s="34"/>
      <c r="B861" s="36"/>
      <c r="C861" s="35"/>
      <c r="D861" s="35"/>
      <c r="E861" s="34"/>
      <c r="F861" s="34"/>
      <c r="G861" s="34"/>
      <c r="H861" s="34"/>
      <c r="I861" s="34"/>
      <c r="J861" s="34"/>
      <c r="K861" s="34"/>
      <c r="L861" s="34"/>
      <c r="M861" s="36"/>
      <c r="N861" s="36"/>
      <c r="O861" s="36"/>
      <c r="P861" s="36"/>
      <c r="Q861" s="36"/>
      <c r="R861" s="36"/>
      <c r="S861" s="36"/>
    </row>
    <row r="862">
      <c r="A862" s="34"/>
      <c r="B862" s="36"/>
      <c r="C862" s="35"/>
      <c r="D862" s="35"/>
      <c r="E862" s="34"/>
      <c r="F862" s="34"/>
      <c r="G862" s="34"/>
      <c r="H862" s="34"/>
      <c r="I862" s="34"/>
      <c r="J862" s="34"/>
      <c r="K862" s="34"/>
      <c r="L862" s="34"/>
      <c r="M862" s="36"/>
      <c r="N862" s="36"/>
      <c r="O862" s="36"/>
      <c r="P862" s="36"/>
      <c r="Q862" s="36"/>
      <c r="R862" s="36"/>
      <c r="S862" s="36"/>
    </row>
    <row r="863">
      <c r="A863" s="34"/>
      <c r="B863" s="34"/>
      <c r="C863" s="35"/>
      <c r="D863" s="35"/>
      <c r="E863" s="34"/>
      <c r="F863" s="34"/>
      <c r="G863" s="34"/>
      <c r="H863" s="34"/>
      <c r="I863" s="34"/>
      <c r="J863" s="34"/>
      <c r="K863" s="34"/>
      <c r="L863" s="34"/>
      <c r="M863" s="36"/>
      <c r="N863" s="36"/>
      <c r="O863" s="36"/>
      <c r="P863" s="36"/>
      <c r="Q863" s="36"/>
      <c r="R863" s="36"/>
      <c r="S863" s="36"/>
    </row>
    <row r="864">
      <c r="A864" s="34"/>
      <c r="B864" s="34"/>
      <c r="C864" s="35"/>
      <c r="D864" s="35"/>
      <c r="E864" s="34"/>
      <c r="F864" s="34"/>
      <c r="G864" s="34"/>
      <c r="H864" s="34"/>
      <c r="I864" s="34"/>
      <c r="J864" s="34"/>
      <c r="K864" s="34"/>
      <c r="L864" s="34"/>
      <c r="M864" s="36"/>
      <c r="N864" s="36"/>
      <c r="O864" s="36"/>
      <c r="P864" s="36"/>
      <c r="Q864" s="36"/>
      <c r="R864" s="36"/>
      <c r="S864" s="36"/>
    </row>
    <row r="865">
      <c r="A865" s="34"/>
      <c r="B865" s="34"/>
      <c r="C865" s="35"/>
      <c r="D865" s="35"/>
      <c r="E865" s="34"/>
      <c r="F865" s="34"/>
      <c r="G865" s="34"/>
      <c r="H865" s="34"/>
      <c r="I865" s="34"/>
      <c r="J865" s="34"/>
      <c r="K865" s="34"/>
      <c r="L865" s="34"/>
      <c r="M865" s="36"/>
      <c r="N865" s="36"/>
      <c r="O865" s="36"/>
      <c r="P865" s="36"/>
      <c r="Q865" s="36"/>
      <c r="R865" s="36"/>
      <c r="S865" s="36"/>
    </row>
    <row r="866">
      <c r="A866" s="34"/>
      <c r="B866" s="34"/>
      <c r="C866" s="35"/>
      <c r="D866" s="35"/>
      <c r="E866" s="34"/>
      <c r="F866" s="34"/>
      <c r="G866" s="34"/>
      <c r="H866" s="34"/>
      <c r="I866" s="34"/>
      <c r="J866" s="34"/>
      <c r="K866" s="34"/>
      <c r="L866" s="34"/>
      <c r="M866" s="36"/>
      <c r="N866" s="36"/>
      <c r="O866" s="36"/>
      <c r="P866" s="36"/>
      <c r="Q866" s="36"/>
      <c r="R866" s="36"/>
      <c r="S866" s="36"/>
    </row>
    <row r="867">
      <c r="A867" s="34"/>
      <c r="B867" s="36"/>
      <c r="C867" s="35"/>
      <c r="D867" s="35"/>
      <c r="E867" s="34"/>
      <c r="F867" s="34"/>
      <c r="G867" s="34"/>
      <c r="H867" s="34"/>
      <c r="I867" s="34"/>
      <c r="J867" s="34"/>
      <c r="K867" s="34"/>
      <c r="L867" s="34"/>
      <c r="M867" s="36"/>
      <c r="N867" s="36"/>
      <c r="O867" s="36"/>
      <c r="P867" s="36"/>
      <c r="Q867" s="36"/>
      <c r="R867" s="36"/>
      <c r="S867" s="36"/>
    </row>
    <row r="868">
      <c r="A868" s="34"/>
      <c r="B868" s="36"/>
      <c r="C868" s="35"/>
      <c r="D868" s="35"/>
      <c r="E868" s="34"/>
      <c r="F868" s="34"/>
      <c r="G868" s="34"/>
      <c r="H868" s="34"/>
      <c r="I868" s="34"/>
      <c r="J868" s="34"/>
      <c r="K868" s="34"/>
      <c r="L868" s="34"/>
      <c r="M868" s="36"/>
      <c r="N868" s="36"/>
      <c r="O868" s="36"/>
      <c r="P868" s="36"/>
      <c r="Q868" s="36"/>
      <c r="R868" s="36"/>
      <c r="S868" s="36"/>
    </row>
    <row r="869">
      <c r="A869" s="34"/>
      <c r="B869" s="36"/>
      <c r="C869" s="35"/>
      <c r="D869" s="35"/>
      <c r="E869" s="34"/>
      <c r="F869" s="34"/>
      <c r="G869" s="34"/>
      <c r="H869" s="34"/>
      <c r="I869" s="34"/>
      <c r="J869" s="34"/>
      <c r="K869" s="34"/>
      <c r="L869" s="34"/>
      <c r="M869" s="36"/>
      <c r="N869" s="36"/>
      <c r="O869" s="36"/>
      <c r="P869" s="36"/>
      <c r="Q869" s="36"/>
      <c r="R869" s="36"/>
      <c r="S869" s="36"/>
    </row>
    <row r="870">
      <c r="A870" s="34"/>
      <c r="B870" s="34"/>
      <c r="C870" s="35"/>
      <c r="D870" s="35"/>
      <c r="E870" s="34"/>
      <c r="F870" s="34"/>
      <c r="G870" s="34"/>
      <c r="H870" s="34"/>
      <c r="I870" s="34"/>
      <c r="J870" s="34"/>
      <c r="K870" s="34"/>
      <c r="L870" s="34"/>
      <c r="M870" s="36"/>
      <c r="N870" s="36"/>
      <c r="O870" s="36"/>
      <c r="P870" s="36"/>
      <c r="Q870" s="36"/>
      <c r="R870" s="36"/>
      <c r="S870" s="36"/>
    </row>
    <row r="871">
      <c r="A871" s="34"/>
      <c r="B871" s="34"/>
      <c r="C871" s="35"/>
      <c r="D871" s="35"/>
      <c r="E871" s="34"/>
      <c r="F871" s="34"/>
      <c r="G871" s="34"/>
      <c r="H871" s="34"/>
      <c r="I871" s="34"/>
      <c r="J871" s="34"/>
      <c r="K871" s="34"/>
      <c r="L871" s="34"/>
      <c r="M871" s="36"/>
      <c r="N871" s="36"/>
      <c r="O871" s="36"/>
      <c r="P871" s="36"/>
      <c r="Q871" s="36"/>
      <c r="R871" s="36"/>
      <c r="S871" s="36"/>
    </row>
    <row r="872">
      <c r="A872" s="34"/>
      <c r="B872" s="34"/>
      <c r="C872" s="35"/>
      <c r="D872" s="35"/>
      <c r="E872" s="34"/>
      <c r="F872" s="34"/>
      <c r="G872" s="34"/>
      <c r="H872" s="34"/>
      <c r="I872" s="34"/>
      <c r="J872" s="34"/>
      <c r="K872" s="34"/>
      <c r="L872" s="34"/>
      <c r="M872" s="36"/>
      <c r="N872" s="36"/>
      <c r="O872" s="36"/>
      <c r="P872" s="36"/>
      <c r="Q872" s="36"/>
      <c r="R872" s="36"/>
      <c r="S872" s="36"/>
    </row>
    <row r="873">
      <c r="A873" s="34"/>
      <c r="B873" s="34"/>
      <c r="C873" s="35"/>
      <c r="D873" s="35"/>
      <c r="E873" s="34"/>
      <c r="F873" s="34"/>
      <c r="G873" s="34"/>
      <c r="H873" s="34"/>
      <c r="I873" s="34"/>
      <c r="J873" s="34"/>
      <c r="K873" s="34"/>
      <c r="L873" s="34"/>
      <c r="M873" s="36"/>
      <c r="N873" s="36"/>
      <c r="O873" s="36"/>
      <c r="P873" s="36"/>
      <c r="Q873" s="36"/>
      <c r="R873" s="36"/>
      <c r="S873" s="36"/>
    </row>
    <row r="874">
      <c r="A874" s="34"/>
      <c r="B874" s="34"/>
      <c r="C874" s="35"/>
      <c r="D874" s="35"/>
      <c r="E874" s="34"/>
      <c r="F874" s="34"/>
      <c r="G874" s="34"/>
      <c r="H874" s="34"/>
      <c r="I874" s="34"/>
      <c r="J874" s="34"/>
      <c r="K874" s="34"/>
      <c r="L874" s="34"/>
      <c r="M874" s="36"/>
      <c r="N874" s="36"/>
      <c r="O874" s="36"/>
      <c r="P874" s="36"/>
      <c r="Q874" s="36"/>
      <c r="R874" s="36"/>
      <c r="S874" s="36"/>
    </row>
    <row r="875">
      <c r="A875" s="34"/>
      <c r="B875" s="34"/>
      <c r="C875" s="35"/>
      <c r="D875" s="35"/>
      <c r="E875" s="34"/>
      <c r="F875" s="34"/>
      <c r="G875" s="34"/>
      <c r="H875" s="34"/>
      <c r="I875" s="34"/>
      <c r="J875" s="34"/>
      <c r="K875" s="34"/>
      <c r="L875" s="34"/>
      <c r="M875" s="36"/>
      <c r="N875" s="36"/>
      <c r="O875" s="36"/>
      <c r="P875" s="36"/>
      <c r="Q875" s="36"/>
      <c r="R875" s="36"/>
      <c r="S875" s="36"/>
    </row>
    <row r="876">
      <c r="A876" s="34"/>
      <c r="B876" s="34"/>
      <c r="C876" s="35"/>
      <c r="D876" s="35"/>
      <c r="E876" s="34"/>
      <c r="F876" s="34"/>
      <c r="G876" s="34"/>
      <c r="H876" s="34"/>
      <c r="I876" s="34"/>
      <c r="J876" s="34"/>
      <c r="K876" s="34"/>
      <c r="L876" s="34"/>
      <c r="M876" s="36"/>
      <c r="N876" s="36"/>
      <c r="O876" s="36"/>
      <c r="P876" s="36"/>
      <c r="Q876" s="36"/>
      <c r="R876" s="36"/>
      <c r="S876" s="36"/>
    </row>
    <row r="877">
      <c r="A877" s="34"/>
      <c r="B877" s="34"/>
      <c r="C877" s="35"/>
      <c r="D877" s="35"/>
      <c r="E877" s="34"/>
      <c r="F877" s="34"/>
      <c r="G877" s="34"/>
      <c r="H877" s="34"/>
      <c r="I877" s="34"/>
      <c r="J877" s="34"/>
      <c r="K877" s="34"/>
      <c r="L877" s="34"/>
      <c r="M877" s="36"/>
      <c r="N877" s="36"/>
      <c r="O877" s="36"/>
      <c r="P877" s="36"/>
      <c r="Q877" s="36"/>
      <c r="R877" s="36"/>
      <c r="S877" s="36"/>
    </row>
    <row r="878">
      <c r="A878" s="34"/>
      <c r="B878" s="34"/>
      <c r="C878" s="35"/>
      <c r="D878" s="35"/>
      <c r="E878" s="34"/>
      <c r="F878" s="34"/>
      <c r="G878" s="34"/>
      <c r="H878" s="34"/>
      <c r="I878" s="34"/>
      <c r="J878" s="34"/>
      <c r="K878" s="34"/>
      <c r="L878" s="34"/>
      <c r="M878" s="36"/>
      <c r="N878" s="36"/>
      <c r="O878" s="36"/>
      <c r="P878" s="36"/>
      <c r="Q878" s="36"/>
      <c r="R878" s="36"/>
      <c r="S878" s="36"/>
    </row>
    <row r="879">
      <c r="A879" s="34"/>
      <c r="B879" s="34"/>
      <c r="C879" s="35"/>
      <c r="D879" s="35"/>
      <c r="E879" s="34"/>
      <c r="F879" s="34"/>
      <c r="G879" s="34"/>
      <c r="H879" s="34"/>
      <c r="I879" s="34"/>
      <c r="J879" s="34"/>
      <c r="K879" s="34"/>
      <c r="L879" s="34"/>
      <c r="M879" s="36"/>
      <c r="N879" s="36"/>
      <c r="O879" s="36"/>
      <c r="P879" s="36"/>
      <c r="Q879" s="36"/>
      <c r="R879" s="36"/>
      <c r="S879" s="36"/>
    </row>
    <row r="880">
      <c r="A880" s="34"/>
      <c r="B880" s="34"/>
      <c r="C880" s="35"/>
      <c r="D880" s="35"/>
      <c r="E880" s="34"/>
      <c r="F880" s="34"/>
      <c r="G880" s="34"/>
      <c r="H880" s="34"/>
      <c r="I880" s="34"/>
      <c r="J880" s="34"/>
      <c r="K880" s="34"/>
      <c r="L880" s="34"/>
      <c r="M880" s="36"/>
      <c r="N880" s="36"/>
      <c r="O880" s="36"/>
      <c r="P880" s="36"/>
      <c r="Q880" s="36"/>
      <c r="R880" s="36"/>
      <c r="S880" s="36"/>
    </row>
    <row r="881">
      <c r="A881" s="34"/>
      <c r="B881" s="34"/>
      <c r="C881" s="35"/>
      <c r="D881" s="35"/>
      <c r="E881" s="34"/>
      <c r="F881" s="34"/>
      <c r="G881" s="34"/>
      <c r="H881" s="34"/>
      <c r="I881" s="34"/>
      <c r="J881" s="34"/>
      <c r="K881" s="34"/>
      <c r="L881" s="34"/>
      <c r="M881" s="36"/>
      <c r="N881" s="36"/>
      <c r="O881" s="36"/>
      <c r="P881" s="36"/>
      <c r="Q881" s="36"/>
      <c r="R881" s="36"/>
      <c r="S881" s="36"/>
    </row>
    <row r="882">
      <c r="A882" s="34"/>
      <c r="B882" s="34"/>
      <c r="C882" s="35"/>
      <c r="D882" s="35"/>
      <c r="E882" s="34"/>
      <c r="F882" s="34"/>
      <c r="G882" s="34"/>
      <c r="H882" s="34"/>
      <c r="I882" s="34"/>
      <c r="J882" s="34"/>
      <c r="K882" s="34"/>
      <c r="L882" s="34"/>
      <c r="M882" s="36"/>
      <c r="N882" s="36"/>
      <c r="O882" s="36"/>
      <c r="P882" s="36"/>
      <c r="Q882" s="36"/>
      <c r="R882" s="36"/>
      <c r="S882" s="36"/>
    </row>
    <row r="883">
      <c r="A883" s="34"/>
      <c r="B883" s="34"/>
      <c r="C883" s="35"/>
      <c r="D883" s="35"/>
      <c r="E883" s="34"/>
      <c r="F883" s="34"/>
      <c r="G883" s="34"/>
      <c r="H883" s="34"/>
      <c r="I883" s="34"/>
      <c r="J883" s="34"/>
      <c r="K883" s="34"/>
      <c r="L883" s="34"/>
      <c r="M883" s="36"/>
      <c r="N883" s="36"/>
      <c r="O883" s="36"/>
      <c r="P883" s="36"/>
      <c r="Q883" s="36"/>
      <c r="R883" s="36"/>
      <c r="S883" s="36"/>
    </row>
    <row r="884">
      <c r="A884" s="34"/>
      <c r="B884" s="34"/>
      <c r="C884" s="35"/>
      <c r="D884" s="35"/>
      <c r="E884" s="34"/>
      <c r="F884" s="34"/>
      <c r="G884" s="34"/>
      <c r="H884" s="34"/>
      <c r="I884" s="34"/>
      <c r="J884" s="34"/>
      <c r="K884" s="34"/>
      <c r="L884" s="34"/>
      <c r="M884" s="36"/>
      <c r="N884" s="36"/>
      <c r="O884" s="36"/>
      <c r="P884" s="36"/>
      <c r="Q884" s="36"/>
      <c r="R884" s="36"/>
      <c r="S884" s="36"/>
    </row>
    <row r="885">
      <c r="A885" s="34"/>
      <c r="B885" s="34"/>
      <c r="C885" s="35"/>
      <c r="D885" s="35"/>
      <c r="E885" s="34"/>
      <c r="F885" s="34"/>
      <c r="G885" s="34"/>
      <c r="H885" s="34"/>
      <c r="I885" s="34"/>
      <c r="J885" s="34"/>
      <c r="K885" s="34"/>
      <c r="L885" s="34"/>
      <c r="M885" s="36"/>
      <c r="N885" s="36"/>
      <c r="O885" s="36"/>
      <c r="P885" s="36"/>
      <c r="Q885" s="36"/>
      <c r="R885" s="36"/>
      <c r="S885" s="36"/>
    </row>
    <row r="886">
      <c r="A886" s="34"/>
      <c r="B886" s="34"/>
      <c r="C886" s="35"/>
      <c r="D886" s="35"/>
      <c r="E886" s="34"/>
      <c r="F886" s="34"/>
      <c r="G886" s="34"/>
      <c r="H886" s="34"/>
      <c r="I886" s="34"/>
      <c r="J886" s="34"/>
      <c r="K886" s="34"/>
      <c r="L886" s="34"/>
      <c r="M886" s="36"/>
      <c r="N886" s="36"/>
      <c r="O886" s="36"/>
      <c r="P886" s="36"/>
      <c r="Q886" s="36"/>
      <c r="R886" s="36"/>
      <c r="S886" s="36"/>
    </row>
    <row r="887">
      <c r="A887" s="34"/>
      <c r="B887" s="34"/>
      <c r="C887" s="35"/>
      <c r="D887" s="35"/>
      <c r="E887" s="34"/>
      <c r="F887" s="34"/>
      <c r="G887" s="34"/>
      <c r="H887" s="34"/>
      <c r="I887" s="34"/>
      <c r="J887" s="34"/>
      <c r="K887" s="34"/>
      <c r="L887" s="34"/>
      <c r="M887" s="36"/>
      <c r="N887" s="36"/>
      <c r="O887" s="36"/>
      <c r="P887" s="36"/>
      <c r="Q887" s="36"/>
      <c r="R887" s="36"/>
      <c r="S887" s="36"/>
    </row>
    <row r="888">
      <c r="A888" s="34"/>
      <c r="B888" s="34"/>
      <c r="C888" s="35"/>
      <c r="D888" s="35"/>
      <c r="E888" s="34"/>
      <c r="F888" s="34"/>
      <c r="G888" s="34"/>
      <c r="H888" s="34"/>
      <c r="I888" s="34"/>
      <c r="J888" s="34"/>
      <c r="K888" s="34"/>
      <c r="L888" s="34"/>
      <c r="M888" s="36"/>
      <c r="N888" s="36"/>
      <c r="O888" s="36"/>
      <c r="P888" s="36"/>
      <c r="Q888" s="36"/>
      <c r="R888" s="36"/>
      <c r="S888" s="36"/>
    </row>
    <row r="889">
      <c r="A889" s="34"/>
      <c r="B889" s="34"/>
      <c r="C889" s="35"/>
      <c r="D889" s="35"/>
      <c r="E889" s="34"/>
      <c r="F889" s="34"/>
      <c r="G889" s="34"/>
      <c r="H889" s="34"/>
      <c r="I889" s="34"/>
      <c r="J889" s="34"/>
      <c r="K889" s="34"/>
      <c r="L889" s="34"/>
      <c r="M889" s="36"/>
      <c r="N889" s="36"/>
      <c r="O889" s="36"/>
      <c r="P889" s="36"/>
      <c r="Q889" s="36"/>
      <c r="R889" s="36"/>
      <c r="S889" s="36"/>
    </row>
    <row r="890">
      <c r="A890" s="34"/>
      <c r="B890" s="34"/>
      <c r="C890" s="35"/>
      <c r="D890" s="35"/>
      <c r="E890" s="34"/>
      <c r="F890" s="34"/>
      <c r="G890" s="34"/>
      <c r="H890" s="34"/>
      <c r="I890" s="34"/>
      <c r="J890" s="34"/>
      <c r="K890" s="34"/>
      <c r="L890" s="34"/>
      <c r="M890" s="36"/>
      <c r="N890" s="36"/>
      <c r="O890" s="36"/>
      <c r="P890" s="36"/>
      <c r="Q890" s="36"/>
      <c r="R890" s="36"/>
      <c r="S890" s="36"/>
    </row>
    <row r="891">
      <c r="A891" s="34"/>
      <c r="B891" s="36"/>
      <c r="C891" s="35"/>
      <c r="D891" s="35"/>
      <c r="E891" s="34"/>
      <c r="F891" s="34"/>
      <c r="G891" s="34"/>
      <c r="H891" s="34"/>
      <c r="I891" s="34"/>
      <c r="J891" s="34"/>
      <c r="K891" s="34"/>
      <c r="L891" s="34"/>
      <c r="M891" s="36"/>
      <c r="N891" s="36"/>
      <c r="O891" s="36"/>
      <c r="P891" s="36"/>
      <c r="Q891" s="36"/>
      <c r="R891" s="36"/>
      <c r="S891" s="36"/>
    </row>
    <row r="892">
      <c r="A892" s="34"/>
      <c r="B892" s="34"/>
      <c r="C892" s="35"/>
      <c r="D892" s="35"/>
      <c r="E892" s="34"/>
      <c r="F892" s="34"/>
      <c r="G892" s="34"/>
      <c r="H892" s="34"/>
      <c r="I892" s="34"/>
      <c r="J892" s="34"/>
      <c r="K892" s="34"/>
      <c r="L892" s="34"/>
      <c r="M892" s="36"/>
      <c r="N892" s="36"/>
      <c r="O892" s="36"/>
      <c r="P892" s="36"/>
      <c r="Q892" s="36"/>
      <c r="R892" s="36"/>
      <c r="S892" s="36"/>
    </row>
    <row r="893">
      <c r="A893" s="34"/>
      <c r="B893" s="34"/>
      <c r="C893" s="35"/>
      <c r="D893" s="35"/>
      <c r="E893" s="34"/>
      <c r="F893" s="34"/>
      <c r="G893" s="34"/>
      <c r="H893" s="34"/>
      <c r="I893" s="34"/>
      <c r="J893" s="34"/>
      <c r="K893" s="34"/>
      <c r="L893" s="34"/>
      <c r="M893" s="36"/>
      <c r="N893" s="36"/>
      <c r="O893" s="36"/>
      <c r="P893" s="36"/>
      <c r="Q893" s="36"/>
      <c r="R893" s="36"/>
      <c r="S893" s="36"/>
    </row>
    <row r="894">
      <c r="A894" s="34"/>
      <c r="B894" s="34"/>
      <c r="C894" s="35"/>
      <c r="D894" s="35"/>
      <c r="E894" s="34"/>
      <c r="F894" s="34"/>
      <c r="G894" s="34"/>
      <c r="H894" s="34"/>
      <c r="I894" s="34"/>
      <c r="J894" s="34"/>
      <c r="K894" s="34"/>
      <c r="L894" s="34"/>
      <c r="M894" s="36"/>
      <c r="N894" s="36"/>
      <c r="O894" s="36"/>
      <c r="P894" s="36"/>
      <c r="Q894" s="36"/>
      <c r="R894" s="36"/>
      <c r="S894" s="36"/>
    </row>
    <row r="895">
      <c r="A895" s="34"/>
      <c r="B895" s="34"/>
      <c r="C895" s="35"/>
      <c r="D895" s="35"/>
      <c r="E895" s="34"/>
      <c r="F895" s="34"/>
      <c r="G895" s="34"/>
      <c r="H895" s="34"/>
      <c r="I895" s="34"/>
      <c r="J895" s="34"/>
      <c r="K895" s="34"/>
      <c r="L895" s="34"/>
      <c r="M895" s="36"/>
      <c r="N895" s="36"/>
      <c r="O895" s="36"/>
      <c r="P895" s="36"/>
      <c r="Q895" s="36"/>
      <c r="R895" s="36"/>
      <c r="S895" s="36"/>
    </row>
    <row r="896">
      <c r="A896" s="34"/>
      <c r="B896" s="34"/>
      <c r="C896" s="35"/>
      <c r="D896" s="35"/>
      <c r="E896" s="34"/>
      <c r="F896" s="34"/>
      <c r="G896" s="34"/>
      <c r="H896" s="34"/>
      <c r="I896" s="34"/>
      <c r="J896" s="34"/>
      <c r="K896" s="34"/>
      <c r="L896" s="34"/>
      <c r="M896" s="36"/>
      <c r="N896" s="36"/>
      <c r="O896" s="36"/>
      <c r="P896" s="36"/>
      <c r="Q896" s="36"/>
      <c r="R896" s="36"/>
      <c r="S896" s="36"/>
    </row>
    <row r="897">
      <c r="A897" s="34"/>
      <c r="B897" s="34"/>
      <c r="C897" s="35"/>
      <c r="D897" s="35"/>
      <c r="E897" s="34"/>
      <c r="F897" s="34"/>
      <c r="G897" s="34"/>
      <c r="H897" s="34"/>
      <c r="I897" s="34"/>
      <c r="J897" s="34"/>
      <c r="K897" s="34"/>
      <c r="L897" s="34"/>
      <c r="M897" s="36"/>
      <c r="N897" s="36"/>
      <c r="O897" s="36"/>
      <c r="P897" s="36"/>
      <c r="Q897" s="36"/>
      <c r="R897" s="36"/>
      <c r="S897" s="36"/>
    </row>
    <row r="898">
      <c r="A898" s="34"/>
      <c r="B898" s="34"/>
      <c r="C898" s="35"/>
      <c r="D898" s="35"/>
      <c r="E898" s="34"/>
      <c r="F898" s="34"/>
      <c r="G898" s="34"/>
      <c r="H898" s="34"/>
      <c r="I898" s="34"/>
      <c r="J898" s="34"/>
      <c r="K898" s="34"/>
      <c r="L898" s="34"/>
      <c r="M898" s="36"/>
      <c r="N898" s="36"/>
      <c r="O898" s="36"/>
      <c r="P898" s="36"/>
      <c r="Q898" s="36"/>
      <c r="R898" s="36"/>
      <c r="S898" s="36"/>
    </row>
    <row r="899">
      <c r="A899" s="34"/>
      <c r="B899" s="34"/>
      <c r="C899" s="35"/>
      <c r="D899" s="35"/>
      <c r="E899" s="34"/>
      <c r="F899" s="34"/>
      <c r="G899" s="34"/>
      <c r="H899" s="34"/>
      <c r="I899" s="34"/>
      <c r="J899" s="34"/>
      <c r="K899" s="34"/>
      <c r="L899" s="34"/>
      <c r="M899" s="36"/>
      <c r="N899" s="36"/>
      <c r="O899" s="36"/>
      <c r="P899" s="36"/>
      <c r="Q899" s="36"/>
      <c r="R899" s="36"/>
      <c r="S899" s="36"/>
    </row>
    <row r="900">
      <c r="A900" s="34"/>
      <c r="B900" s="34"/>
      <c r="C900" s="35"/>
      <c r="D900" s="35"/>
      <c r="E900" s="34"/>
      <c r="F900" s="34"/>
      <c r="G900" s="34"/>
      <c r="H900" s="34"/>
      <c r="I900" s="34"/>
      <c r="J900" s="34"/>
      <c r="K900" s="34"/>
      <c r="L900" s="34"/>
      <c r="M900" s="36"/>
      <c r="N900" s="36"/>
      <c r="O900" s="36"/>
      <c r="P900" s="36"/>
      <c r="Q900" s="36"/>
      <c r="R900" s="36"/>
      <c r="S900" s="36"/>
    </row>
    <row r="901">
      <c r="A901" s="34"/>
      <c r="B901" s="34"/>
      <c r="C901" s="35"/>
      <c r="D901" s="35"/>
      <c r="E901" s="34"/>
      <c r="F901" s="34"/>
      <c r="G901" s="34"/>
      <c r="H901" s="34"/>
      <c r="I901" s="34"/>
      <c r="J901" s="34"/>
      <c r="K901" s="34"/>
      <c r="L901" s="34"/>
      <c r="M901" s="36"/>
      <c r="N901" s="36"/>
      <c r="O901" s="36"/>
      <c r="P901" s="36"/>
      <c r="Q901" s="36"/>
      <c r="R901" s="36"/>
      <c r="S901" s="36"/>
    </row>
    <row r="902">
      <c r="A902" s="34"/>
      <c r="B902" s="34"/>
      <c r="C902" s="35"/>
      <c r="D902" s="35"/>
      <c r="E902" s="34"/>
      <c r="F902" s="34"/>
      <c r="G902" s="34"/>
      <c r="H902" s="34"/>
      <c r="I902" s="34"/>
      <c r="J902" s="34"/>
      <c r="K902" s="34"/>
      <c r="L902" s="34"/>
      <c r="M902" s="36"/>
      <c r="N902" s="36"/>
      <c r="O902" s="36"/>
      <c r="P902" s="36"/>
      <c r="Q902" s="36"/>
      <c r="R902" s="36"/>
      <c r="S902" s="36"/>
    </row>
    <row r="903">
      <c r="A903" s="34"/>
      <c r="B903" s="34"/>
      <c r="C903" s="35"/>
      <c r="D903" s="35"/>
      <c r="E903" s="34"/>
      <c r="F903" s="34"/>
      <c r="G903" s="34"/>
      <c r="H903" s="34"/>
      <c r="I903" s="34"/>
      <c r="J903" s="34"/>
      <c r="K903" s="34"/>
      <c r="L903" s="34"/>
      <c r="M903" s="36"/>
      <c r="N903" s="36"/>
      <c r="O903" s="36"/>
      <c r="P903" s="36"/>
      <c r="Q903" s="36"/>
      <c r="R903" s="36"/>
      <c r="S903" s="36"/>
    </row>
    <row r="904">
      <c r="A904" s="34"/>
      <c r="B904" s="34"/>
      <c r="C904" s="35"/>
      <c r="D904" s="35"/>
      <c r="E904" s="34"/>
      <c r="F904" s="34"/>
      <c r="G904" s="34"/>
      <c r="H904" s="34"/>
      <c r="I904" s="34"/>
      <c r="J904" s="34"/>
      <c r="K904" s="34"/>
      <c r="L904" s="34"/>
      <c r="M904" s="36"/>
      <c r="N904" s="36"/>
      <c r="O904" s="36"/>
      <c r="P904" s="36"/>
      <c r="Q904" s="36"/>
      <c r="R904" s="36"/>
      <c r="S904" s="36"/>
    </row>
    <row r="905">
      <c r="A905" s="34"/>
      <c r="B905" s="34"/>
      <c r="C905" s="35"/>
      <c r="D905" s="35"/>
      <c r="E905" s="34"/>
      <c r="F905" s="34"/>
      <c r="G905" s="34"/>
      <c r="H905" s="34"/>
      <c r="I905" s="34"/>
      <c r="J905" s="34"/>
      <c r="K905" s="34"/>
      <c r="L905" s="34"/>
      <c r="M905" s="36"/>
      <c r="N905" s="36"/>
      <c r="O905" s="36"/>
      <c r="P905" s="36"/>
      <c r="Q905" s="36"/>
      <c r="R905" s="36"/>
      <c r="S905" s="36"/>
    </row>
    <row r="906">
      <c r="A906" s="34"/>
      <c r="B906" s="34"/>
      <c r="C906" s="35"/>
      <c r="D906" s="35"/>
      <c r="E906" s="34"/>
      <c r="F906" s="34"/>
      <c r="G906" s="34"/>
      <c r="H906" s="34"/>
      <c r="I906" s="34"/>
      <c r="J906" s="34"/>
      <c r="K906" s="34"/>
      <c r="L906" s="34"/>
      <c r="M906" s="36"/>
      <c r="N906" s="36"/>
      <c r="O906" s="36"/>
      <c r="P906" s="36"/>
      <c r="Q906" s="36"/>
      <c r="R906" s="36"/>
      <c r="S906" s="36"/>
    </row>
    <row r="907">
      <c r="A907" s="34"/>
      <c r="B907" s="34"/>
      <c r="C907" s="35"/>
      <c r="D907" s="35"/>
      <c r="E907" s="34"/>
      <c r="F907" s="34"/>
      <c r="G907" s="34"/>
      <c r="H907" s="34"/>
      <c r="I907" s="34"/>
      <c r="J907" s="34"/>
      <c r="K907" s="34"/>
      <c r="L907" s="34"/>
      <c r="M907" s="36"/>
      <c r="N907" s="36"/>
      <c r="O907" s="36"/>
      <c r="P907" s="36"/>
      <c r="Q907" s="36"/>
      <c r="R907" s="36"/>
      <c r="S907" s="36"/>
    </row>
    <row r="908">
      <c r="A908" s="34"/>
      <c r="B908" s="34"/>
      <c r="C908" s="35"/>
      <c r="D908" s="35"/>
      <c r="E908" s="34"/>
      <c r="F908" s="34"/>
      <c r="G908" s="34"/>
      <c r="H908" s="34"/>
      <c r="I908" s="34"/>
      <c r="J908" s="34"/>
      <c r="K908" s="34"/>
      <c r="L908" s="34"/>
      <c r="M908" s="36"/>
      <c r="N908" s="36"/>
      <c r="O908" s="36"/>
      <c r="P908" s="36"/>
      <c r="Q908" s="36"/>
      <c r="R908" s="36"/>
      <c r="S908" s="36"/>
    </row>
    <row r="909">
      <c r="A909" s="34"/>
      <c r="B909" s="34"/>
      <c r="C909" s="35"/>
      <c r="D909" s="35"/>
      <c r="E909" s="34"/>
      <c r="F909" s="34"/>
      <c r="G909" s="34"/>
      <c r="H909" s="34"/>
      <c r="I909" s="34"/>
      <c r="J909" s="34"/>
      <c r="K909" s="34"/>
      <c r="L909" s="34"/>
      <c r="M909" s="36"/>
      <c r="N909" s="36"/>
      <c r="O909" s="36"/>
      <c r="P909" s="36"/>
      <c r="Q909" s="36"/>
      <c r="R909" s="36"/>
      <c r="S909" s="36"/>
    </row>
    <row r="910">
      <c r="A910" s="34"/>
      <c r="B910" s="36"/>
      <c r="C910" s="35"/>
      <c r="D910" s="35"/>
      <c r="E910" s="34"/>
      <c r="F910" s="34"/>
      <c r="G910" s="34"/>
      <c r="H910" s="34"/>
      <c r="I910" s="34"/>
      <c r="J910" s="34"/>
      <c r="K910" s="34"/>
      <c r="L910" s="34"/>
      <c r="M910" s="36"/>
      <c r="N910" s="36"/>
      <c r="O910" s="36"/>
      <c r="P910" s="36"/>
      <c r="Q910" s="36"/>
      <c r="R910" s="36"/>
      <c r="S910" s="36"/>
    </row>
    <row r="911">
      <c r="A911" s="34"/>
      <c r="B911" s="34"/>
      <c r="C911" s="35"/>
      <c r="D911" s="35"/>
      <c r="E911" s="34"/>
      <c r="F911" s="34"/>
      <c r="G911" s="34"/>
      <c r="H911" s="34"/>
      <c r="I911" s="34"/>
      <c r="J911" s="34"/>
      <c r="K911" s="34"/>
      <c r="L911" s="34"/>
      <c r="M911" s="36"/>
      <c r="N911" s="36"/>
      <c r="O911" s="36"/>
      <c r="P911" s="36"/>
      <c r="Q911" s="36"/>
      <c r="R911" s="36"/>
      <c r="S911" s="36"/>
    </row>
    <row r="912">
      <c r="A912" s="34"/>
      <c r="B912" s="36"/>
      <c r="C912" s="35"/>
      <c r="D912" s="35"/>
      <c r="E912" s="34"/>
      <c r="F912" s="34"/>
      <c r="G912" s="34"/>
      <c r="H912" s="34"/>
      <c r="I912" s="34"/>
      <c r="J912" s="34"/>
      <c r="K912" s="34"/>
      <c r="L912" s="34"/>
      <c r="M912" s="36"/>
      <c r="N912" s="36"/>
      <c r="O912" s="36"/>
      <c r="P912" s="36"/>
      <c r="Q912" s="36"/>
      <c r="R912" s="36"/>
      <c r="S912" s="36"/>
    </row>
    <row r="913">
      <c r="A913" s="34"/>
      <c r="B913" s="36"/>
      <c r="C913" s="35"/>
      <c r="D913" s="35"/>
      <c r="E913" s="34"/>
      <c r="F913" s="34"/>
      <c r="G913" s="34"/>
      <c r="H913" s="34"/>
      <c r="I913" s="34"/>
      <c r="J913" s="34"/>
      <c r="K913" s="34"/>
      <c r="L913" s="34"/>
      <c r="M913" s="36"/>
      <c r="N913" s="36"/>
      <c r="O913" s="36"/>
      <c r="P913" s="36"/>
      <c r="Q913" s="36"/>
      <c r="R913" s="36"/>
      <c r="S913" s="36"/>
    </row>
    <row r="914">
      <c r="A914" s="34"/>
      <c r="B914" s="34"/>
      <c r="C914" s="35"/>
      <c r="D914" s="35"/>
      <c r="E914" s="34"/>
      <c r="F914" s="34"/>
      <c r="G914" s="34"/>
      <c r="H914" s="34"/>
      <c r="I914" s="34"/>
      <c r="J914" s="34"/>
      <c r="K914" s="34"/>
      <c r="L914" s="34"/>
      <c r="M914" s="36"/>
      <c r="N914" s="36"/>
      <c r="O914" s="36"/>
      <c r="P914" s="36"/>
      <c r="Q914" s="36"/>
      <c r="R914" s="36"/>
      <c r="S914" s="36"/>
    </row>
    <row r="915">
      <c r="A915" s="34"/>
      <c r="B915" s="34"/>
      <c r="C915" s="35"/>
      <c r="D915" s="35"/>
      <c r="E915" s="34"/>
      <c r="F915" s="34"/>
      <c r="G915" s="34"/>
      <c r="H915" s="34"/>
      <c r="I915" s="34"/>
      <c r="J915" s="34"/>
      <c r="K915" s="34"/>
      <c r="L915" s="34"/>
      <c r="M915" s="36"/>
      <c r="N915" s="36"/>
      <c r="O915" s="36"/>
      <c r="P915" s="36"/>
      <c r="Q915" s="36"/>
      <c r="R915" s="36"/>
      <c r="S915" s="36"/>
    </row>
    <row r="916">
      <c r="A916" s="34"/>
      <c r="B916" s="34"/>
      <c r="C916" s="35"/>
      <c r="D916" s="35"/>
      <c r="E916" s="34"/>
      <c r="F916" s="34"/>
      <c r="G916" s="34"/>
      <c r="H916" s="34"/>
      <c r="I916" s="34"/>
      <c r="J916" s="34"/>
      <c r="K916" s="34"/>
      <c r="L916" s="34"/>
      <c r="M916" s="36"/>
      <c r="N916" s="36"/>
      <c r="O916" s="36"/>
      <c r="P916" s="36"/>
      <c r="Q916" s="36"/>
      <c r="R916" s="36"/>
      <c r="S916" s="36"/>
    </row>
    <row r="917">
      <c r="A917" s="34"/>
      <c r="B917" s="34"/>
      <c r="C917" s="35"/>
      <c r="D917" s="35"/>
      <c r="E917" s="34"/>
      <c r="F917" s="34"/>
      <c r="G917" s="34"/>
      <c r="H917" s="34"/>
      <c r="I917" s="34"/>
      <c r="J917" s="34"/>
      <c r="K917" s="34"/>
      <c r="L917" s="34"/>
      <c r="M917" s="36"/>
      <c r="N917" s="36"/>
      <c r="O917" s="36"/>
      <c r="P917" s="36"/>
      <c r="Q917" s="36"/>
      <c r="R917" s="36"/>
      <c r="S917" s="36"/>
    </row>
    <row r="918">
      <c r="A918" s="34"/>
      <c r="B918" s="34"/>
      <c r="C918" s="35"/>
      <c r="D918" s="35"/>
      <c r="E918" s="34"/>
      <c r="F918" s="34"/>
      <c r="G918" s="34"/>
      <c r="H918" s="34"/>
      <c r="I918" s="34"/>
      <c r="J918" s="34"/>
      <c r="K918" s="34"/>
      <c r="L918" s="34"/>
      <c r="M918" s="36"/>
      <c r="N918" s="36"/>
      <c r="O918" s="36"/>
      <c r="P918" s="36"/>
      <c r="Q918" s="36"/>
      <c r="R918" s="36"/>
      <c r="S918" s="36"/>
    </row>
    <row r="919">
      <c r="A919" s="34"/>
      <c r="B919" s="34"/>
      <c r="C919" s="35"/>
      <c r="D919" s="35"/>
      <c r="E919" s="34"/>
      <c r="F919" s="34"/>
      <c r="G919" s="34"/>
      <c r="H919" s="34"/>
      <c r="I919" s="34"/>
      <c r="J919" s="34"/>
      <c r="K919" s="34"/>
      <c r="L919" s="34"/>
      <c r="M919" s="36"/>
      <c r="N919" s="36"/>
      <c r="O919" s="36"/>
      <c r="P919" s="36"/>
      <c r="Q919" s="36"/>
      <c r="R919" s="36"/>
      <c r="S919" s="36"/>
    </row>
    <row r="920">
      <c r="A920" s="34"/>
      <c r="B920" s="34"/>
      <c r="C920" s="35"/>
      <c r="D920" s="35"/>
      <c r="E920" s="34"/>
      <c r="F920" s="34"/>
      <c r="G920" s="34"/>
      <c r="H920" s="34"/>
      <c r="I920" s="34"/>
      <c r="J920" s="34"/>
      <c r="K920" s="34"/>
      <c r="L920" s="34"/>
      <c r="M920" s="36"/>
      <c r="N920" s="36"/>
      <c r="O920" s="36"/>
      <c r="P920" s="36"/>
      <c r="Q920" s="36"/>
      <c r="R920" s="36"/>
      <c r="S920" s="36"/>
    </row>
    <row r="921">
      <c r="A921" s="34"/>
      <c r="B921" s="34"/>
      <c r="C921" s="35"/>
      <c r="D921" s="35"/>
      <c r="E921" s="34"/>
      <c r="F921" s="34"/>
      <c r="G921" s="34"/>
      <c r="H921" s="34"/>
      <c r="I921" s="34"/>
      <c r="J921" s="34"/>
      <c r="K921" s="34"/>
      <c r="L921" s="34"/>
      <c r="M921" s="36"/>
      <c r="N921" s="36"/>
      <c r="O921" s="36"/>
      <c r="P921" s="36"/>
      <c r="Q921" s="36"/>
      <c r="R921" s="36"/>
      <c r="S921" s="36"/>
    </row>
    <row r="922">
      <c r="A922" s="34"/>
      <c r="B922" s="34"/>
      <c r="C922" s="35"/>
      <c r="D922" s="35"/>
      <c r="E922" s="34"/>
      <c r="F922" s="34"/>
      <c r="G922" s="34"/>
      <c r="H922" s="34"/>
      <c r="I922" s="34"/>
      <c r="J922" s="34"/>
      <c r="K922" s="34"/>
      <c r="L922" s="34"/>
      <c r="M922" s="36"/>
      <c r="N922" s="36"/>
      <c r="O922" s="36"/>
      <c r="P922" s="36"/>
      <c r="Q922" s="36"/>
      <c r="R922" s="36"/>
      <c r="S922" s="36"/>
    </row>
    <row r="923">
      <c r="A923" s="34"/>
      <c r="B923" s="34"/>
      <c r="C923" s="35"/>
      <c r="D923" s="35"/>
      <c r="E923" s="34"/>
      <c r="F923" s="34"/>
      <c r="G923" s="34"/>
      <c r="H923" s="34"/>
      <c r="I923" s="34"/>
      <c r="J923" s="34"/>
      <c r="K923" s="34"/>
      <c r="L923" s="34"/>
      <c r="M923" s="36"/>
      <c r="N923" s="36"/>
      <c r="O923" s="36"/>
      <c r="P923" s="36"/>
      <c r="Q923" s="36"/>
      <c r="R923" s="36"/>
      <c r="S923" s="36"/>
    </row>
    <row r="924">
      <c r="A924" s="34"/>
      <c r="B924" s="34"/>
      <c r="C924" s="35"/>
      <c r="D924" s="35"/>
      <c r="E924" s="34"/>
      <c r="F924" s="34"/>
      <c r="G924" s="34"/>
      <c r="H924" s="34"/>
      <c r="I924" s="34"/>
      <c r="J924" s="34"/>
      <c r="K924" s="34"/>
      <c r="L924" s="34"/>
      <c r="M924" s="36"/>
      <c r="N924" s="36"/>
      <c r="O924" s="36"/>
      <c r="P924" s="36"/>
      <c r="Q924" s="36"/>
      <c r="R924" s="36"/>
      <c r="S924" s="36"/>
    </row>
    <row r="925">
      <c r="A925" s="34"/>
      <c r="B925" s="34"/>
      <c r="C925" s="35"/>
      <c r="D925" s="35"/>
      <c r="E925" s="34"/>
      <c r="F925" s="34"/>
      <c r="G925" s="34"/>
      <c r="H925" s="34"/>
      <c r="I925" s="34"/>
      <c r="J925" s="34"/>
      <c r="K925" s="34"/>
      <c r="L925" s="34"/>
      <c r="M925" s="36"/>
      <c r="N925" s="36"/>
      <c r="O925" s="36"/>
      <c r="P925" s="36"/>
      <c r="Q925" s="36"/>
      <c r="R925" s="36"/>
      <c r="S925" s="36"/>
    </row>
    <row r="926">
      <c r="A926" s="34"/>
      <c r="B926" s="34"/>
      <c r="C926" s="35"/>
      <c r="D926" s="35"/>
      <c r="E926" s="34"/>
      <c r="F926" s="34"/>
      <c r="G926" s="34"/>
      <c r="H926" s="34"/>
      <c r="I926" s="34"/>
      <c r="J926" s="34"/>
      <c r="K926" s="34"/>
      <c r="L926" s="34"/>
      <c r="M926" s="36"/>
      <c r="N926" s="36"/>
      <c r="O926" s="36"/>
      <c r="P926" s="36"/>
      <c r="Q926" s="36"/>
      <c r="R926" s="36"/>
      <c r="S926" s="36"/>
    </row>
    <row r="927">
      <c r="A927" s="34"/>
      <c r="B927" s="34"/>
      <c r="C927" s="35"/>
      <c r="D927" s="35"/>
      <c r="E927" s="34"/>
      <c r="F927" s="34"/>
      <c r="G927" s="34"/>
      <c r="H927" s="34"/>
      <c r="I927" s="34"/>
      <c r="J927" s="34"/>
      <c r="K927" s="34"/>
      <c r="L927" s="34"/>
      <c r="M927" s="36"/>
      <c r="N927" s="36"/>
      <c r="O927" s="36"/>
      <c r="P927" s="36"/>
      <c r="Q927" s="36"/>
      <c r="R927" s="36"/>
      <c r="S927" s="36"/>
    </row>
    <row r="928">
      <c r="A928" s="34"/>
      <c r="B928" s="36"/>
      <c r="C928" s="35"/>
      <c r="D928" s="35"/>
      <c r="E928" s="34"/>
      <c r="F928" s="34"/>
      <c r="G928" s="34"/>
      <c r="H928" s="34"/>
      <c r="I928" s="34"/>
      <c r="J928" s="34"/>
      <c r="K928" s="34"/>
      <c r="L928" s="34"/>
      <c r="M928" s="36"/>
      <c r="N928" s="36"/>
      <c r="O928" s="36"/>
      <c r="P928" s="36"/>
      <c r="Q928" s="36"/>
      <c r="R928" s="36"/>
      <c r="S928" s="36"/>
    </row>
    <row r="929">
      <c r="A929" s="34"/>
      <c r="B929" s="34"/>
      <c r="C929" s="35"/>
      <c r="D929" s="35"/>
      <c r="E929" s="34"/>
      <c r="F929" s="34"/>
      <c r="G929" s="34"/>
      <c r="H929" s="34"/>
      <c r="I929" s="34"/>
      <c r="J929" s="34"/>
      <c r="K929" s="34"/>
      <c r="L929" s="34"/>
      <c r="M929" s="36"/>
      <c r="N929" s="36"/>
      <c r="O929" s="36"/>
      <c r="P929" s="36"/>
      <c r="Q929" s="36"/>
      <c r="R929" s="36"/>
      <c r="S929" s="36"/>
    </row>
    <row r="930">
      <c r="A930" s="34"/>
      <c r="B930" s="34"/>
      <c r="C930" s="35"/>
      <c r="D930" s="35"/>
      <c r="E930" s="34"/>
      <c r="F930" s="34"/>
      <c r="G930" s="34"/>
      <c r="H930" s="34"/>
      <c r="I930" s="34"/>
      <c r="J930" s="34"/>
      <c r="K930" s="34"/>
      <c r="L930" s="34"/>
      <c r="M930" s="36"/>
      <c r="N930" s="36"/>
      <c r="O930" s="36"/>
      <c r="P930" s="36"/>
      <c r="Q930" s="36"/>
      <c r="R930" s="36"/>
      <c r="S930" s="36"/>
    </row>
    <row r="931">
      <c r="A931" s="34"/>
      <c r="B931" s="34"/>
      <c r="C931" s="35"/>
      <c r="D931" s="35"/>
      <c r="E931" s="34"/>
      <c r="F931" s="34"/>
      <c r="G931" s="34"/>
      <c r="H931" s="34"/>
      <c r="I931" s="34"/>
      <c r="J931" s="34"/>
      <c r="K931" s="34"/>
      <c r="L931" s="34"/>
      <c r="M931" s="36"/>
      <c r="N931" s="36"/>
      <c r="O931" s="36"/>
      <c r="P931" s="36"/>
      <c r="Q931" s="36"/>
      <c r="R931" s="36"/>
      <c r="S931" s="36"/>
    </row>
    <row r="932">
      <c r="A932" s="34"/>
      <c r="B932" s="34"/>
      <c r="C932" s="35"/>
      <c r="D932" s="35"/>
      <c r="E932" s="34"/>
      <c r="F932" s="34"/>
      <c r="G932" s="34"/>
      <c r="H932" s="34"/>
      <c r="I932" s="34"/>
      <c r="J932" s="34"/>
      <c r="K932" s="34"/>
      <c r="L932" s="34"/>
      <c r="M932" s="36"/>
      <c r="N932" s="36"/>
      <c r="O932" s="36"/>
      <c r="P932" s="36"/>
      <c r="Q932" s="36"/>
      <c r="R932" s="36"/>
      <c r="S932" s="36"/>
    </row>
    <row r="933">
      <c r="A933" s="34"/>
      <c r="B933" s="34"/>
      <c r="C933" s="35"/>
      <c r="D933" s="35"/>
      <c r="E933" s="34"/>
      <c r="F933" s="34"/>
      <c r="G933" s="34"/>
      <c r="H933" s="34"/>
      <c r="I933" s="34"/>
      <c r="J933" s="34"/>
      <c r="K933" s="34"/>
      <c r="L933" s="34"/>
      <c r="M933" s="36"/>
      <c r="N933" s="36"/>
      <c r="O933" s="36"/>
      <c r="P933" s="36"/>
      <c r="Q933" s="36"/>
      <c r="R933" s="36"/>
      <c r="S933" s="36"/>
    </row>
    <row r="934">
      <c r="A934" s="34"/>
      <c r="B934" s="34"/>
      <c r="C934" s="35"/>
      <c r="D934" s="35"/>
      <c r="E934" s="34"/>
      <c r="F934" s="34"/>
      <c r="G934" s="34"/>
      <c r="H934" s="34"/>
      <c r="I934" s="34"/>
      <c r="J934" s="34"/>
      <c r="K934" s="34"/>
      <c r="L934" s="34"/>
      <c r="M934" s="36"/>
      <c r="N934" s="36"/>
      <c r="O934" s="36"/>
      <c r="P934" s="36"/>
      <c r="Q934" s="36"/>
      <c r="R934" s="36"/>
      <c r="S934" s="36"/>
    </row>
    <row r="935">
      <c r="A935" s="34"/>
      <c r="B935" s="34"/>
      <c r="C935" s="35"/>
      <c r="D935" s="35"/>
      <c r="E935" s="34"/>
      <c r="F935" s="34"/>
      <c r="G935" s="34"/>
      <c r="H935" s="34"/>
      <c r="I935" s="34"/>
      <c r="J935" s="34"/>
      <c r="K935" s="34"/>
      <c r="L935" s="34"/>
      <c r="M935" s="36"/>
      <c r="N935" s="36"/>
      <c r="O935" s="36"/>
      <c r="P935" s="36"/>
      <c r="Q935" s="36"/>
      <c r="R935" s="36"/>
      <c r="S935" s="36"/>
    </row>
    <row r="936">
      <c r="A936" s="34"/>
      <c r="B936" s="34"/>
      <c r="C936" s="35"/>
      <c r="D936" s="35"/>
      <c r="E936" s="34"/>
      <c r="F936" s="34"/>
      <c r="G936" s="34"/>
      <c r="H936" s="34"/>
      <c r="I936" s="34"/>
      <c r="J936" s="34"/>
      <c r="K936" s="34"/>
      <c r="L936" s="34"/>
      <c r="M936" s="36"/>
      <c r="N936" s="36"/>
      <c r="O936" s="36"/>
      <c r="P936" s="36"/>
      <c r="Q936" s="36"/>
      <c r="R936" s="36"/>
      <c r="S936" s="36"/>
    </row>
    <row r="937">
      <c r="A937" s="34"/>
      <c r="B937" s="34"/>
      <c r="C937" s="35"/>
      <c r="D937" s="35"/>
      <c r="E937" s="34"/>
      <c r="F937" s="34"/>
      <c r="G937" s="34"/>
      <c r="H937" s="34"/>
      <c r="I937" s="34"/>
      <c r="J937" s="34"/>
      <c r="K937" s="34"/>
      <c r="L937" s="34"/>
      <c r="M937" s="36"/>
      <c r="N937" s="36"/>
      <c r="O937" s="36"/>
      <c r="P937" s="36"/>
      <c r="Q937" s="36"/>
      <c r="R937" s="36"/>
      <c r="S937" s="36"/>
    </row>
    <row r="938">
      <c r="A938" s="34"/>
      <c r="B938" s="34"/>
      <c r="C938" s="35"/>
      <c r="D938" s="35"/>
      <c r="E938" s="34"/>
      <c r="F938" s="34"/>
      <c r="G938" s="34"/>
      <c r="H938" s="34"/>
      <c r="I938" s="34"/>
      <c r="J938" s="34"/>
      <c r="K938" s="34"/>
      <c r="L938" s="34"/>
      <c r="M938" s="36"/>
      <c r="N938" s="36"/>
      <c r="O938" s="36"/>
      <c r="P938" s="36"/>
      <c r="Q938" s="36"/>
      <c r="R938" s="36"/>
      <c r="S938" s="36"/>
    </row>
    <row r="939">
      <c r="A939" s="34"/>
      <c r="B939" s="34"/>
      <c r="C939" s="35"/>
      <c r="D939" s="35"/>
      <c r="E939" s="34"/>
      <c r="F939" s="34"/>
      <c r="G939" s="34"/>
      <c r="H939" s="34"/>
      <c r="I939" s="34"/>
      <c r="J939" s="34"/>
      <c r="K939" s="34"/>
      <c r="L939" s="34"/>
      <c r="M939" s="36"/>
      <c r="N939" s="36"/>
      <c r="O939" s="36"/>
      <c r="P939" s="36"/>
      <c r="Q939" s="36"/>
      <c r="R939" s="36"/>
      <c r="S939" s="36"/>
    </row>
    <row r="940">
      <c r="A940" s="34"/>
      <c r="B940" s="36"/>
      <c r="C940" s="35"/>
      <c r="D940" s="35"/>
      <c r="E940" s="34"/>
      <c r="F940" s="34"/>
      <c r="G940" s="34"/>
      <c r="H940" s="34"/>
      <c r="I940" s="34"/>
      <c r="J940" s="34"/>
      <c r="K940" s="34"/>
      <c r="L940" s="34"/>
      <c r="M940" s="36"/>
      <c r="N940" s="36"/>
      <c r="O940" s="36"/>
      <c r="P940" s="36"/>
      <c r="Q940" s="36"/>
      <c r="R940" s="36"/>
      <c r="S940" s="36"/>
    </row>
    <row r="941">
      <c r="A941" s="34"/>
      <c r="B941" s="34"/>
      <c r="C941" s="35"/>
      <c r="D941" s="35"/>
      <c r="E941" s="34"/>
      <c r="F941" s="34"/>
      <c r="G941" s="34"/>
      <c r="H941" s="34"/>
      <c r="I941" s="34"/>
      <c r="J941" s="34"/>
      <c r="K941" s="34"/>
      <c r="L941" s="34"/>
      <c r="M941" s="36"/>
      <c r="N941" s="36"/>
      <c r="O941" s="36"/>
      <c r="P941" s="36"/>
      <c r="Q941" s="36"/>
      <c r="R941" s="36"/>
      <c r="S941" s="36"/>
    </row>
    <row r="942">
      <c r="A942" s="34"/>
      <c r="B942" s="36"/>
      <c r="C942" s="35"/>
      <c r="D942" s="35"/>
      <c r="E942" s="34"/>
      <c r="F942" s="34"/>
      <c r="G942" s="34"/>
      <c r="H942" s="34"/>
      <c r="I942" s="34"/>
      <c r="J942" s="34"/>
      <c r="K942" s="34"/>
      <c r="L942" s="34"/>
      <c r="M942" s="36"/>
      <c r="N942" s="36"/>
      <c r="O942" s="36"/>
      <c r="P942" s="36"/>
      <c r="Q942" s="36"/>
      <c r="R942" s="36"/>
      <c r="S942" s="36"/>
    </row>
    <row r="943">
      <c r="A943" s="34"/>
      <c r="B943" s="34"/>
      <c r="C943" s="35"/>
      <c r="D943" s="35"/>
      <c r="E943" s="34"/>
      <c r="F943" s="34"/>
      <c r="G943" s="34"/>
      <c r="H943" s="34"/>
      <c r="I943" s="34"/>
      <c r="J943" s="34"/>
      <c r="K943" s="34"/>
      <c r="L943" s="34"/>
      <c r="M943" s="36"/>
      <c r="N943" s="36"/>
      <c r="O943" s="36"/>
      <c r="P943" s="36"/>
      <c r="Q943" s="36"/>
      <c r="R943" s="36"/>
      <c r="S943" s="36"/>
    </row>
    <row r="944">
      <c r="A944" s="34"/>
      <c r="B944" s="34"/>
      <c r="C944" s="35"/>
      <c r="D944" s="35"/>
      <c r="E944" s="34"/>
      <c r="F944" s="34"/>
      <c r="G944" s="34"/>
      <c r="H944" s="34"/>
      <c r="I944" s="34"/>
      <c r="J944" s="34"/>
      <c r="K944" s="34"/>
      <c r="L944" s="34"/>
      <c r="M944" s="36"/>
      <c r="N944" s="36"/>
      <c r="O944" s="36"/>
      <c r="P944" s="36"/>
      <c r="Q944" s="36"/>
      <c r="R944" s="36"/>
      <c r="S944" s="36"/>
    </row>
    <row r="945">
      <c r="A945" s="34"/>
      <c r="B945" s="34"/>
      <c r="C945" s="35"/>
      <c r="D945" s="35"/>
      <c r="E945" s="34"/>
      <c r="F945" s="34"/>
      <c r="G945" s="34"/>
      <c r="H945" s="34"/>
      <c r="I945" s="34"/>
      <c r="J945" s="34"/>
      <c r="K945" s="34"/>
      <c r="L945" s="34"/>
      <c r="M945" s="36"/>
      <c r="N945" s="36"/>
      <c r="O945" s="36"/>
      <c r="P945" s="36"/>
      <c r="Q945" s="36"/>
      <c r="R945" s="36"/>
      <c r="S945" s="36"/>
    </row>
    <row r="946">
      <c r="A946" s="34"/>
      <c r="B946" s="34"/>
      <c r="C946" s="35"/>
      <c r="D946" s="35"/>
      <c r="E946" s="34"/>
      <c r="F946" s="34"/>
      <c r="G946" s="34"/>
      <c r="H946" s="34"/>
      <c r="I946" s="34"/>
      <c r="J946" s="34"/>
      <c r="K946" s="34"/>
      <c r="L946" s="34"/>
      <c r="M946" s="36"/>
      <c r="N946" s="36"/>
      <c r="O946" s="36"/>
      <c r="P946" s="36"/>
      <c r="Q946" s="36"/>
      <c r="R946" s="36"/>
      <c r="S946" s="36"/>
    </row>
    <row r="947">
      <c r="A947" s="34"/>
      <c r="B947" s="36"/>
      <c r="C947" s="35"/>
      <c r="D947" s="35"/>
      <c r="E947" s="34"/>
      <c r="F947" s="34"/>
      <c r="G947" s="34"/>
      <c r="H947" s="34"/>
      <c r="I947" s="34"/>
      <c r="J947" s="34"/>
      <c r="K947" s="34"/>
      <c r="L947" s="34"/>
      <c r="M947" s="36"/>
      <c r="N947" s="36"/>
      <c r="O947" s="36"/>
      <c r="P947" s="36"/>
      <c r="Q947" s="36"/>
      <c r="R947" s="36"/>
      <c r="S947" s="36"/>
    </row>
    <row r="948">
      <c r="A948" s="34"/>
      <c r="B948" s="34"/>
      <c r="C948" s="35"/>
      <c r="D948" s="35"/>
      <c r="E948" s="34"/>
      <c r="F948" s="34"/>
      <c r="G948" s="34"/>
      <c r="H948" s="34"/>
      <c r="I948" s="34"/>
      <c r="J948" s="34"/>
      <c r="K948" s="34"/>
      <c r="L948" s="34"/>
      <c r="M948" s="36"/>
      <c r="N948" s="36"/>
      <c r="O948" s="36"/>
      <c r="P948" s="36"/>
      <c r="Q948" s="36"/>
      <c r="R948" s="36"/>
      <c r="S948" s="36"/>
    </row>
    <row r="949">
      <c r="A949" s="34"/>
      <c r="B949" s="34"/>
      <c r="C949" s="35"/>
      <c r="D949" s="35"/>
      <c r="E949" s="34"/>
      <c r="F949" s="34"/>
      <c r="G949" s="34"/>
      <c r="H949" s="34"/>
      <c r="I949" s="34"/>
      <c r="J949" s="34"/>
      <c r="K949" s="34"/>
      <c r="L949" s="34"/>
      <c r="M949" s="36"/>
      <c r="N949" s="36"/>
      <c r="O949" s="36"/>
      <c r="P949" s="36"/>
      <c r="Q949" s="36"/>
      <c r="R949" s="36"/>
      <c r="S949" s="36"/>
    </row>
    <row r="950">
      <c r="A950" s="34"/>
      <c r="B950" s="34"/>
      <c r="C950" s="35"/>
      <c r="D950" s="35"/>
      <c r="E950" s="34"/>
      <c r="F950" s="34"/>
      <c r="G950" s="34"/>
      <c r="H950" s="34"/>
      <c r="I950" s="34"/>
      <c r="J950" s="34"/>
      <c r="K950" s="34"/>
      <c r="L950" s="34"/>
      <c r="M950" s="36"/>
      <c r="N950" s="36"/>
      <c r="O950" s="36"/>
      <c r="P950" s="36"/>
      <c r="Q950" s="36"/>
      <c r="R950" s="36"/>
      <c r="S950" s="36"/>
    </row>
    <row r="951">
      <c r="A951" s="34"/>
      <c r="B951" s="34"/>
      <c r="C951" s="35"/>
      <c r="D951" s="35"/>
      <c r="E951" s="34"/>
      <c r="F951" s="34"/>
      <c r="G951" s="34"/>
      <c r="H951" s="34"/>
      <c r="I951" s="34"/>
      <c r="J951" s="34"/>
      <c r="K951" s="34"/>
      <c r="L951" s="34"/>
      <c r="M951" s="36"/>
      <c r="N951" s="36"/>
      <c r="O951" s="36"/>
      <c r="P951" s="36"/>
      <c r="Q951" s="36"/>
      <c r="R951" s="36"/>
      <c r="S951" s="36"/>
    </row>
    <row r="952">
      <c r="A952" s="34"/>
      <c r="B952" s="36"/>
      <c r="C952" s="35"/>
      <c r="D952" s="35"/>
      <c r="E952" s="34"/>
      <c r="F952" s="34"/>
      <c r="G952" s="34"/>
      <c r="H952" s="34"/>
      <c r="I952" s="34"/>
      <c r="J952" s="34"/>
      <c r="K952" s="34"/>
      <c r="L952" s="34"/>
      <c r="M952" s="36"/>
      <c r="N952" s="36"/>
      <c r="O952" s="36"/>
      <c r="P952" s="36"/>
      <c r="Q952" s="36"/>
      <c r="R952" s="36"/>
      <c r="S952" s="36"/>
    </row>
    <row r="953">
      <c r="A953" s="34"/>
      <c r="B953" s="34"/>
      <c r="C953" s="35"/>
      <c r="D953" s="35"/>
      <c r="E953" s="34"/>
      <c r="F953" s="34"/>
      <c r="G953" s="34"/>
      <c r="H953" s="34"/>
      <c r="I953" s="34"/>
      <c r="J953" s="34"/>
      <c r="K953" s="34"/>
      <c r="L953" s="34"/>
      <c r="M953" s="36"/>
      <c r="N953" s="36"/>
      <c r="O953" s="36"/>
      <c r="P953" s="36"/>
      <c r="Q953" s="36"/>
      <c r="R953" s="36"/>
      <c r="S953" s="36"/>
    </row>
    <row r="954">
      <c r="A954" s="34"/>
      <c r="B954" s="36"/>
      <c r="C954" s="35"/>
      <c r="D954" s="35"/>
      <c r="E954" s="34"/>
      <c r="F954" s="34"/>
      <c r="G954" s="34"/>
      <c r="H954" s="34"/>
      <c r="I954" s="34"/>
      <c r="J954" s="34"/>
      <c r="K954" s="34"/>
      <c r="L954" s="34"/>
      <c r="M954" s="36"/>
      <c r="N954" s="36"/>
      <c r="O954" s="36"/>
      <c r="P954" s="36"/>
      <c r="Q954" s="36"/>
      <c r="R954" s="36"/>
      <c r="S954" s="36"/>
    </row>
    <row r="955">
      <c r="A955" s="34"/>
      <c r="B955" s="36"/>
      <c r="C955" s="35"/>
      <c r="D955" s="35"/>
      <c r="E955" s="34"/>
      <c r="F955" s="34"/>
      <c r="G955" s="34"/>
      <c r="H955" s="34"/>
      <c r="I955" s="34"/>
      <c r="J955" s="34"/>
      <c r="K955" s="34"/>
      <c r="L955" s="34"/>
      <c r="M955" s="36"/>
      <c r="N955" s="36"/>
      <c r="O955" s="36"/>
      <c r="P955" s="36"/>
      <c r="Q955" s="36"/>
      <c r="R955" s="36"/>
      <c r="S955" s="36"/>
    </row>
    <row r="956">
      <c r="A956" s="34"/>
      <c r="B956" s="34"/>
      <c r="C956" s="35"/>
      <c r="D956" s="35"/>
      <c r="E956" s="34"/>
      <c r="F956" s="34"/>
      <c r="G956" s="34"/>
      <c r="H956" s="34"/>
      <c r="I956" s="34"/>
      <c r="J956" s="34"/>
      <c r="K956" s="34"/>
      <c r="L956" s="34"/>
      <c r="M956" s="36"/>
      <c r="N956" s="36"/>
      <c r="O956" s="36"/>
      <c r="P956" s="36"/>
      <c r="Q956" s="36"/>
      <c r="R956" s="36"/>
      <c r="S956" s="36"/>
    </row>
    <row r="957">
      <c r="A957" s="34"/>
      <c r="B957" s="34"/>
      <c r="C957" s="35"/>
      <c r="D957" s="35"/>
      <c r="E957" s="34"/>
      <c r="F957" s="34"/>
      <c r="G957" s="34"/>
      <c r="H957" s="34"/>
      <c r="I957" s="34"/>
      <c r="J957" s="34"/>
      <c r="K957" s="34"/>
      <c r="L957" s="34"/>
      <c r="M957" s="36"/>
      <c r="N957" s="36"/>
      <c r="O957" s="36"/>
      <c r="P957" s="36"/>
      <c r="Q957" s="36"/>
      <c r="R957" s="36"/>
      <c r="S957" s="36"/>
    </row>
    <row r="958">
      <c r="A958" s="34"/>
      <c r="B958" s="34"/>
      <c r="C958" s="35"/>
      <c r="D958" s="35"/>
      <c r="E958" s="34"/>
      <c r="F958" s="34"/>
      <c r="G958" s="34"/>
      <c r="H958" s="34"/>
      <c r="I958" s="34"/>
      <c r="J958" s="34"/>
      <c r="K958" s="34"/>
      <c r="L958" s="34"/>
      <c r="M958" s="36"/>
      <c r="N958" s="36"/>
      <c r="O958" s="36"/>
      <c r="P958" s="36"/>
      <c r="Q958" s="36"/>
      <c r="R958" s="36"/>
      <c r="S958" s="36"/>
    </row>
    <row r="959">
      <c r="A959" s="34"/>
      <c r="B959" s="34"/>
      <c r="C959" s="35"/>
      <c r="D959" s="35"/>
      <c r="E959" s="34"/>
      <c r="F959" s="34"/>
      <c r="G959" s="34"/>
      <c r="H959" s="34"/>
      <c r="I959" s="34"/>
      <c r="J959" s="34"/>
      <c r="K959" s="34"/>
      <c r="L959" s="34"/>
      <c r="M959" s="36"/>
      <c r="N959" s="36"/>
      <c r="O959" s="36"/>
      <c r="P959" s="36"/>
      <c r="Q959" s="36"/>
      <c r="R959" s="36"/>
      <c r="S959" s="36"/>
    </row>
    <row r="960">
      <c r="A960" s="34"/>
      <c r="B960" s="34"/>
      <c r="C960" s="35"/>
      <c r="D960" s="35"/>
      <c r="E960" s="34"/>
      <c r="F960" s="34"/>
      <c r="G960" s="34"/>
      <c r="H960" s="34"/>
      <c r="I960" s="34"/>
      <c r="J960" s="34"/>
      <c r="K960" s="34"/>
      <c r="L960" s="34"/>
      <c r="M960" s="36"/>
      <c r="N960" s="36"/>
      <c r="O960" s="36"/>
      <c r="P960" s="36"/>
      <c r="Q960" s="36"/>
      <c r="R960" s="36"/>
      <c r="S960" s="36"/>
    </row>
    <row r="961">
      <c r="A961" s="34"/>
      <c r="B961" s="34"/>
      <c r="C961" s="35"/>
      <c r="D961" s="35"/>
      <c r="E961" s="34"/>
      <c r="F961" s="34"/>
      <c r="G961" s="34"/>
      <c r="H961" s="34"/>
      <c r="I961" s="34"/>
      <c r="J961" s="34"/>
      <c r="K961" s="34"/>
      <c r="L961" s="34"/>
      <c r="M961" s="36"/>
      <c r="N961" s="36"/>
      <c r="O961" s="36"/>
      <c r="P961" s="36"/>
      <c r="Q961" s="36"/>
      <c r="R961" s="36"/>
      <c r="S961" s="36"/>
    </row>
    <row r="962">
      <c r="A962" s="34"/>
      <c r="B962" s="34"/>
      <c r="C962" s="35"/>
      <c r="D962" s="35"/>
      <c r="E962" s="34"/>
      <c r="F962" s="34"/>
      <c r="G962" s="34"/>
      <c r="H962" s="34"/>
      <c r="I962" s="34"/>
      <c r="J962" s="34"/>
      <c r="K962" s="34"/>
      <c r="L962" s="34"/>
      <c r="M962" s="36"/>
      <c r="N962" s="36"/>
      <c r="O962" s="36"/>
      <c r="P962" s="36"/>
      <c r="Q962" s="36"/>
      <c r="R962" s="36"/>
      <c r="S962" s="36"/>
    </row>
    <row r="963">
      <c r="A963" s="34"/>
      <c r="B963" s="34"/>
      <c r="C963" s="35"/>
      <c r="D963" s="35"/>
      <c r="E963" s="34"/>
      <c r="F963" s="34"/>
      <c r="G963" s="34"/>
      <c r="H963" s="34"/>
      <c r="I963" s="34"/>
      <c r="J963" s="34"/>
      <c r="K963" s="34"/>
      <c r="L963" s="34"/>
      <c r="M963" s="36"/>
      <c r="N963" s="36"/>
      <c r="O963" s="36"/>
      <c r="P963" s="36"/>
      <c r="Q963" s="36"/>
      <c r="R963" s="36"/>
      <c r="S963" s="36"/>
    </row>
    <row r="964">
      <c r="A964" s="34"/>
      <c r="B964" s="34"/>
      <c r="C964" s="35"/>
      <c r="D964" s="35"/>
      <c r="E964" s="34"/>
      <c r="F964" s="34"/>
      <c r="G964" s="34"/>
      <c r="H964" s="34"/>
      <c r="I964" s="34"/>
      <c r="J964" s="34"/>
      <c r="K964" s="34"/>
      <c r="L964" s="34"/>
      <c r="M964" s="36"/>
      <c r="N964" s="36"/>
      <c r="O964" s="36"/>
      <c r="P964" s="36"/>
      <c r="Q964" s="36"/>
      <c r="R964" s="36"/>
      <c r="S964" s="36"/>
    </row>
    <row r="965">
      <c r="A965" s="34"/>
      <c r="B965" s="36"/>
      <c r="C965" s="35"/>
      <c r="D965" s="35"/>
      <c r="E965" s="34"/>
      <c r="F965" s="34"/>
      <c r="G965" s="34"/>
      <c r="H965" s="34"/>
      <c r="I965" s="34"/>
      <c r="J965" s="34"/>
      <c r="K965" s="34"/>
      <c r="L965" s="34"/>
      <c r="M965" s="36"/>
      <c r="N965" s="36"/>
      <c r="O965" s="36"/>
      <c r="P965" s="36"/>
      <c r="Q965" s="36"/>
      <c r="R965" s="36"/>
      <c r="S965" s="36"/>
    </row>
    <row r="966">
      <c r="A966" s="34"/>
      <c r="B966" s="34"/>
      <c r="C966" s="35"/>
      <c r="D966" s="35"/>
      <c r="E966" s="34"/>
      <c r="F966" s="34"/>
      <c r="G966" s="34"/>
      <c r="H966" s="34"/>
      <c r="I966" s="34"/>
      <c r="J966" s="34"/>
      <c r="K966" s="34"/>
      <c r="L966" s="34"/>
      <c r="M966" s="36"/>
      <c r="N966" s="36"/>
      <c r="O966" s="36"/>
      <c r="P966" s="36"/>
      <c r="Q966" s="36"/>
      <c r="R966" s="36"/>
      <c r="S966" s="36"/>
    </row>
    <row r="967">
      <c r="A967" s="34"/>
      <c r="B967" s="34"/>
      <c r="C967" s="35"/>
      <c r="D967" s="35"/>
      <c r="E967" s="34"/>
      <c r="F967" s="34"/>
      <c r="G967" s="34"/>
      <c r="H967" s="34"/>
      <c r="I967" s="34"/>
      <c r="J967" s="34"/>
      <c r="K967" s="34"/>
      <c r="L967" s="34"/>
      <c r="M967" s="36"/>
      <c r="N967" s="36"/>
      <c r="O967" s="36"/>
      <c r="P967" s="36"/>
      <c r="Q967" s="36"/>
      <c r="R967" s="36"/>
      <c r="S967" s="36"/>
    </row>
    <row r="968">
      <c r="A968" s="34"/>
      <c r="B968" s="34"/>
      <c r="C968" s="35"/>
      <c r="D968" s="35"/>
      <c r="E968" s="34"/>
      <c r="F968" s="34"/>
      <c r="G968" s="34"/>
      <c r="H968" s="34"/>
      <c r="I968" s="34"/>
      <c r="J968" s="34"/>
      <c r="K968" s="34"/>
      <c r="L968" s="34"/>
      <c r="M968" s="36"/>
      <c r="N968" s="36"/>
      <c r="O968" s="36"/>
      <c r="P968" s="36"/>
      <c r="Q968" s="36"/>
      <c r="R968" s="36"/>
      <c r="S968" s="36"/>
    </row>
    <row r="969">
      <c r="A969" s="34"/>
      <c r="B969" s="34"/>
      <c r="C969" s="35"/>
      <c r="D969" s="35"/>
      <c r="E969" s="34"/>
      <c r="F969" s="34"/>
      <c r="G969" s="34"/>
      <c r="H969" s="34"/>
      <c r="I969" s="34"/>
      <c r="J969" s="34"/>
      <c r="K969" s="34"/>
      <c r="L969" s="34"/>
      <c r="M969" s="36"/>
      <c r="N969" s="36"/>
      <c r="O969" s="36"/>
      <c r="P969" s="36"/>
      <c r="Q969" s="36"/>
      <c r="R969" s="36"/>
      <c r="S969" s="36"/>
    </row>
    <row r="970">
      <c r="A970" s="34"/>
      <c r="B970" s="34"/>
      <c r="C970" s="35"/>
      <c r="D970" s="35"/>
      <c r="E970" s="34"/>
      <c r="F970" s="34"/>
      <c r="G970" s="34"/>
      <c r="H970" s="34"/>
      <c r="I970" s="34"/>
      <c r="J970" s="34"/>
      <c r="K970" s="34"/>
      <c r="L970" s="34"/>
      <c r="M970" s="36"/>
      <c r="N970" s="36"/>
      <c r="O970" s="36"/>
      <c r="P970" s="36"/>
      <c r="Q970" s="36"/>
      <c r="R970" s="36"/>
      <c r="S970" s="36"/>
    </row>
    <row r="971">
      <c r="A971" s="34"/>
      <c r="B971" s="36"/>
      <c r="C971" s="35"/>
      <c r="D971" s="35"/>
      <c r="E971" s="34"/>
      <c r="F971" s="34"/>
      <c r="G971" s="34"/>
      <c r="H971" s="34"/>
      <c r="I971" s="34"/>
      <c r="J971" s="34"/>
      <c r="K971" s="34"/>
      <c r="L971" s="34"/>
      <c r="M971" s="36"/>
      <c r="N971" s="36"/>
      <c r="O971" s="36"/>
      <c r="P971" s="36"/>
      <c r="Q971" s="36"/>
      <c r="R971" s="36"/>
      <c r="S971" s="36"/>
    </row>
    <row r="972">
      <c r="A972" s="34"/>
      <c r="B972" s="34"/>
      <c r="C972" s="35"/>
      <c r="D972" s="35"/>
      <c r="E972" s="34"/>
      <c r="F972" s="34"/>
      <c r="G972" s="34"/>
      <c r="H972" s="34"/>
      <c r="I972" s="34"/>
      <c r="J972" s="34"/>
      <c r="K972" s="34"/>
      <c r="L972" s="34"/>
      <c r="M972" s="36"/>
      <c r="N972" s="36"/>
      <c r="O972" s="36"/>
      <c r="P972" s="36"/>
      <c r="Q972" s="36"/>
      <c r="R972" s="36"/>
      <c r="S972" s="36"/>
    </row>
    <row r="973">
      <c r="A973" s="34"/>
      <c r="B973" s="34"/>
      <c r="C973" s="35"/>
      <c r="D973" s="35"/>
      <c r="E973" s="34"/>
      <c r="F973" s="34"/>
      <c r="G973" s="34"/>
      <c r="H973" s="34"/>
      <c r="I973" s="34"/>
      <c r="J973" s="34"/>
      <c r="K973" s="34"/>
      <c r="L973" s="34"/>
      <c r="M973" s="36"/>
      <c r="N973" s="36"/>
      <c r="O973" s="36"/>
      <c r="P973" s="36"/>
      <c r="Q973" s="36"/>
      <c r="R973" s="36"/>
      <c r="S973" s="36"/>
    </row>
    <row r="974">
      <c r="A974" s="34"/>
      <c r="B974" s="34"/>
      <c r="C974" s="35"/>
      <c r="D974" s="35"/>
      <c r="E974" s="34"/>
      <c r="F974" s="34"/>
      <c r="G974" s="34"/>
      <c r="H974" s="34"/>
      <c r="I974" s="34"/>
      <c r="J974" s="34"/>
      <c r="K974" s="34"/>
      <c r="L974" s="34"/>
      <c r="M974" s="36"/>
      <c r="N974" s="36"/>
      <c r="O974" s="36"/>
      <c r="P974" s="36"/>
      <c r="Q974" s="36"/>
      <c r="R974" s="36"/>
      <c r="S974" s="36"/>
    </row>
    <row r="975">
      <c r="A975" s="34"/>
      <c r="B975" s="34"/>
      <c r="C975" s="35"/>
      <c r="D975" s="35"/>
      <c r="E975" s="34"/>
      <c r="F975" s="34"/>
      <c r="G975" s="34"/>
      <c r="H975" s="34"/>
      <c r="I975" s="34"/>
      <c r="J975" s="34"/>
      <c r="K975" s="34"/>
      <c r="L975" s="34"/>
      <c r="M975" s="36"/>
      <c r="N975" s="36"/>
      <c r="O975" s="36"/>
      <c r="P975" s="36"/>
      <c r="Q975" s="36"/>
      <c r="R975" s="36"/>
      <c r="S975" s="36"/>
    </row>
    <row r="976">
      <c r="A976" s="34"/>
      <c r="B976" s="34"/>
      <c r="C976" s="35"/>
      <c r="D976" s="35"/>
      <c r="E976" s="34"/>
      <c r="F976" s="34"/>
      <c r="G976" s="34"/>
      <c r="H976" s="34"/>
      <c r="I976" s="34"/>
      <c r="J976" s="34"/>
      <c r="K976" s="34"/>
      <c r="L976" s="34"/>
      <c r="M976" s="36"/>
      <c r="N976" s="36"/>
      <c r="O976" s="36"/>
      <c r="P976" s="36"/>
      <c r="Q976" s="36"/>
      <c r="R976" s="36"/>
      <c r="S976" s="36"/>
    </row>
    <row r="977">
      <c r="A977" s="34"/>
      <c r="B977" s="34"/>
      <c r="C977" s="35"/>
      <c r="D977" s="35"/>
      <c r="E977" s="34"/>
      <c r="F977" s="34"/>
      <c r="G977" s="34"/>
      <c r="H977" s="34"/>
      <c r="I977" s="34"/>
      <c r="J977" s="34"/>
      <c r="K977" s="34"/>
      <c r="L977" s="34"/>
      <c r="M977" s="36"/>
      <c r="N977" s="36"/>
      <c r="O977" s="36"/>
      <c r="P977" s="36"/>
      <c r="Q977" s="36"/>
      <c r="R977" s="36"/>
      <c r="S977" s="36"/>
    </row>
    <row r="978">
      <c r="A978" s="34"/>
      <c r="B978" s="34"/>
      <c r="C978" s="35"/>
      <c r="D978" s="35"/>
      <c r="E978" s="34"/>
      <c r="F978" s="34"/>
      <c r="G978" s="34"/>
      <c r="H978" s="34"/>
      <c r="I978" s="34"/>
      <c r="J978" s="34"/>
      <c r="K978" s="34"/>
      <c r="L978" s="34"/>
      <c r="M978" s="36"/>
      <c r="N978" s="36"/>
      <c r="O978" s="36"/>
      <c r="P978" s="36"/>
      <c r="Q978" s="36"/>
      <c r="R978" s="36"/>
      <c r="S978" s="36"/>
    </row>
    <row r="979">
      <c r="A979" s="34"/>
      <c r="B979" s="34"/>
      <c r="C979" s="35"/>
      <c r="D979" s="35"/>
      <c r="E979" s="34"/>
      <c r="F979" s="34"/>
      <c r="G979" s="34"/>
      <c r="H979" s="34"/>
      <c r="I979" s="34"/>
      <c r="J979" s="34"/>
      <c r="K979" s="34"/>
      <c r="L979" s="34"/>
      <c r="M979" s="36"/>
      <c r="N979" s="36"/>
      <c r="O979" s="36"/>
      <c r="P979" s="36"/>
      <c r="Q979" s="36"/>
      <c r="R979" s="36"/>
      <c r="S979" s="36"/>
    </row>
    <row r="980">
      <c r="A980" s="34"/>
      <c r="B980" s="34"/>
      <c r="C980" s="35"/>
      <c r="D980" s="35"/>
      <c r="E980" s="34"/>
      <c r="F980" s="34"/>
      <c r="G980" s="34"/>
      <c r="H980" s="34"/>
      <c r="I980" s="34"/>
      <c r="J980" s="34"/>
      <c r="K980" s="34"/>
      <c r="L980" s="34"/>
      <c r="M980" s="36"/>
      <c r="N980" s="36"/>
      <c r="O980" s="36"/>
      <c r="P980" s="36"/>
      <c r="Q980" s="36"/>
      <c r="R980" s="36"/>
      <c r="S980" s="36"/>
    </row>
    <row r="981">
      <c r="A981" s="34"/>
      <c r="B981" s="34"/>
      <c r="C981" s="35"/>
      <c r="D981" s="35"/>
      <c r="E981" s="34"/>
      <c r="F981" s="34"/>
      <c r="G981" s="34"/>
      <c r="H981" s="34"/>
      <c r="I981" s="34"/>
      <c r="J981" s="34"/>
      <c r="K981" s="34"/>
      <c r="L981" s="34"/>
      <c r="M981" s="36"/>
      <c r="N981" s="36"/>
      <c r="O981" s="36"/>
      <c r="P981" s="36"/>
      <c r="Q981" s="36"/>
      <c r="R981" s="36"/>
      <c r="S981" s="36"/>
    </row>
    <row r="982">
      <c r="A982" s="34"/>
      <c r="B982" s="34"/>
      <c r="C982" s="35"/>
      <c r="D982" s="35"/>
      <c r="E982" s="34"/>
      <c r="F982" s="34"/>
      <c r="G982" s="34"/>
      <c r="H982" s="34"/>
      <c r="I982" s="34"/>
      <c r="J982" s="34"/>
      <c r="K982" s="34"/>
      <c r="L982" s="34"/>
      <c r="M982" s="36"/>
      <c r="N982" s="36"/>
      <c r="O982" s="36"/>
      <c r="P982" s="36"/>
      <c r="Q982" s="36"/>
      <c r="R982" s="36"/>
      <c r="S982" s="36"/>
    </row>
    <row r="983">
      <c r="A983" s="34"/>
      <c r="B983" s="36"/>
      <c r="C983" s="35"/>
      <c r="D983" s="35"/>
      <c r="E983" s="34"/>
      <c r="F983" s="34"/>
      <c r="G983" s="34"/>
      <c r="H983" s="34"/>
      <c r="I983" s="34"/>
      <c r="J983" s="34"/>
      <c r="K983" s="34"/>
      <c r="L983" s="34"/>
      <c r="M983" s="36"/>
      <c r="N983" s="36"/>
      <c r="O983" s="36"/>
      <c r="P983" s="36"/>
      <c r="Q983" s="36"/>
      <c r="R983" s="36"/>
      <c r="S983" s="36"/>
    </row>
    <row r="984">
      <c r="A984" s="34"/>
      <c r="B984" s="34"/>
      <c r="C984" s="35"/>
      <c r="D984" s="35"/>
      <c r="E984" s="34"/>
      <c r="F984" s="34"/>
      <c r="G984" s="34"/>
      <c r="H984" s="34"/>
      <c r="I984" s="34"/>
      <c r="J984" s="34"/>
      <c r="K984" s="34"/>
      <c r="L984" s="34"/>
      <c r="M984" s="36"/>
      <c r="N984" s="36"/>
      <c r="O984" s="36"/>
      <c r="P984" s="36"/>
      <c r="Q984" s="36"/>
      <c r="R984" s="36"/>
      <c r="S984" s="36"/>
    </row>
    <row r="985">
      <c r="A985" s="34"/>
      <c r="B985" s="36"/>
      <c r="C985" s="35"/>
      <c r="D985" s="35"/>
      <c r="E985" s="34"/>
      <c r="F985" s="34"/>
      <c r="G985" s="34"/>
      <c r="H985" s="34"/>
      <c r="I985" s="34"/>
      <c r="J985" s="34"/>
      <c r="K985" s="34"/>
      <c r="L985" s="34"/>
      <c r="M985" s="36"/>
      <c r="N985" s="36"/>
      <c r="O985" s="36"/>
      <c r="P985" s="36"/>
      <c r="Q985" s="36"/>
      <c r="R985" s="36"/>
      <c r="S985" s="36"/>
    </row>
    <row r="986">
      <c r="A986" s="34"/>
      <c r="B986" s="34"/>
      <c r="C986" s="35"/>
      <c r="D986" s="35"/>
      <c r="E986" s="34"/>
      <c r="F986" s="34"/>
      <c r="G986" s="34"/>
      <c r="H986" s="34"/>
      <c r="I986" s="34"/>
      <c r="J986" s="34"/>
      <c r="K986" s="34"/>
      <c r="L986" s="34"/>
      <c r="M986" s="36"/>
      <c r="N986" s="36"/>
      <c r="O986" s="36"/>
      <c r="P986" s="36"/>
      <c r="Q986" s="36"/>
      <c r="R986" s="36"/>
      <c r="S986" s="36"/>
    </row>
    <row r="987">
      <c r="A987" s="34"/>
      <c r="B987" s="34"/>
      <c r="C987" s="35"/>
      <c r="D987" s="35"/>
      <c r="E987" s="34"/>
      <c r="F987" s="34"/>
      <c r="G987" s="34"/>
      <c r="H987" s="34"/>
      <c r="I987" s="34"/>
      <c r="J987" s="34"/>
      <c r="K987" s="34"/>
      <c r="L987" s="34"/>
      <c r="M987" s="36"/>
      <c r="N987" s="36"/>
      <c r="O987" s="36"/>
      <c r="P987" s="36"/>
      <c r="Q987" s="36"/>
      <c r="R987" s="36"/>
      <c r="S987" s="36"/>
    </row>
    <row r="988">
      <c r="A988" s="34"/>
      <c r="B988" s="36"/>
      <c r="C988" s="35"/>
      <c r="D988" s="35"/>
      <c r="E988" s="34"/>
      <c r="F988" s="34"/>
      <c r="G988" s="34"/>
      <c r="H988" s="34"/>
      <c r="I988" s="34"/>
      <c r="J988" s="34"/>
      <c r="K988" s="34"/>
      <c r="L988" s="34"/>
      <c r="M988" s="36"/>
      <c r="N988" s="36"/>
      <c r="O988" s="36"/>
      <c r="P988" s="36"/>
      <c r="Q988" s="36"/>
      <c r="R988" s="36"/>
      <c r="S988" s="36"/>
    </row>
    <row r="989">
      <c r="A989" s="34"/>
      <c r="B989" s="34"/>
      <c r="C989" s="35"/>
      <c r="D989" s="35"/>
      <c r="E989" s="34"/>
      <c r="F989" s="34"/>
      <c r="G989" s="34"/>
      <c r="H989" s="34"/>
      <c r="I989" s="34"/>
      <c r="J989" s="34"/>
      <c r="K989" s="34"/>
      <c r="L989" s="34"/>
      <c r="M989" s="36"/>
      <c r="N989" s="36"/>
      <c r="O989" s="36"/>
      <c r="P989" s="36"/>
      <c r="Q989" s="36"/>
      <c r="R989" s="36"/>
      <c r="S989" s="36"/>
    </row>
    <row r="990">
      <c r="A990" s="34"/>
      <c r="B990" s="36"/>
      <c r="C990" s="35"/>
      <c r="D990" s="35"/>
      <c r="E990" s="34"/>
      <c r="F990" s="34"/>
      <c r="G990" s="34"/>
      <c r="H990" s="34"/>
      <c r="I990" s="34"/>
      <c r="J990" s="34"/>
      <c r="K990" s="34"/>
      <c r="L990" s="34"/>
      <c r="M990" s="36"/>
      <c r="N990" s="36"/>
      <c r="O990" s="36"/>
      <c r="P990" s="36"/>
      <c r="Q990" s="36"/>
      <c r="R990" s="36"/>
      <c r="S990" s="36"/>
    </row>
    <row r="991">
      <c r="A991" s="34"/>
      <c r="B991" s="34"/>
      <c r="C991" s="35"/>
      <c r="D991" s="35"/>
      <c r="E991" s="34"/>
      <c r="F991" s="34"/>
      <c r="G991" s="34"/>
      <c r="H991" s="34"/>
      <c r="I991" s="34"/>
      <c r="J991" s="34"/>
      <c r="K991" s="34"/>
      <c r="L991" s="34"/>
      <c r="M991" s="36"/>
      <c r="N991" s="36"/>
      <c r="O991" s="36"/>
      <c r="P991" s="36"/>
      <c r="Q991" s="36"/>
      <c r="R991" s="36"/>
      <c r="S991" s="36"/>
    </row>
    <row r="992">
      <c r="A992" s="34"/>
      <c r="B992" s="34"/>
      <c r="C992" s="35"/>
      <c r="D992" s="35"/>
      <c r="E992" s="34"/>
      <c r="F992" s="34"/>
      <c r="G992" s="34"/>
      <c r="H992" s="34"/>
      <c r="I992" s="34"/>
      <c r="J992" s="34"/>
      <c r="K992" s="34"/>
      <c r="L992" s="34"/>
      <c r="M992" s="36"/>
      <c r="N992" s="36"/>
      <c r="O992" s="36"/>
      <c r="P992" s="36"/>
      <c r="Q992" s="36"/>
      <c r="R992" s="36"/>
      <c r="S992" s="36"/>
    </row>
    <row r="993">
      <c r="A993" s="34"/>
      <c r="B993" s="34"/>
      <c r="C993" s="35"/>
      <c r="D993" s="35"/>
      <c r="E993" s="34"/>
      <c r="F993" s="34"/>
      <c r="G993" s="34"/>
      <c r="H993" s="34"/>
      <c r="I993" s="34"/>
      <c r="J993" s="34"/>
      <c r="K993" s="34"/>
      <c r="L993" s="34"/>
      <c r="M993" s="36"/>
      <c r="N993" s="36"/>
      <c r="O993" s="36"/>
      <c r="P993" s="36"/>
      <c r="Q993" s="36"/>
      <c r="R993" s="36"/>
      <c r="S993" s="36"/>
    </row>
    <row r="994">
      <c r="A994" s="34"/>
      <c r="B994" s="36"/>
      <c r="C994" s="35"/>
      <c r="D994" s="35"/>
      <c r="E994" s="34"/>
      <c r="F994" s="34"/>
      <c r="G994" s="34"/>
      <c r="H994" s="34"/>
      <c r="I994" s="34"/>
      <c r="J994" s="34"/>
      <c r="K994" s="34"/>
      <c r="L994" s="34"/>
      <c r="M994" s="36"/>
      <c r="N994" s="36"/>
      <c r="O994" s="36"/>
      <c r="P994" s="36"/>
      <c r="Q994" s="36"/>
      <c r="R994" s="36"/>
      <c r="S994" s="36"/>
    </row>
    <row r="995">
      <c r="A995" s="34"/>
      <c r="B995" s="34"/>
      <c r="C995" s="35"/>
      <c r="D995" s="35"/>
      <c r="E995" s="34"/>
      <c r="F995" s="34"/>
      <c r="G995" s="34"/>
      <c r="H995" s="34"/>
      <c r="I995" s="34"/>
      <c r="J995" s="34"/>
      <c r="K995" s="34"/>
      <c r="L995" s="34"/>
      <c r="M995" s="36"/>
      <c r="N995" s="36"/>
      <c r="O995" s="36"/>
      <c r="P995" s="36"/>
      <c r="Q995" s="36"/>
      <c r="R995" s="36"/>
      <c r="S995" s="36"/>
    </row>
    <row r="996">
      <c r="A996" s="34"/>
      <c r="B996" s="34"/>
      <c r="C996" s="35"/>
      <c r="D996" s="35"/>
      <c r="E996" s="34"/>
      <c r="F996" s="34"/>
      <c r="G996" s="34"/>
      <c r="H996" s="34"/>
      <c r="I996" s="34"/>
      <c r="J996" s="34"/>
      <c r="K996" s="34"/>
      <c r="L996" s="34"/>
      <c r="M996" s="36"/>
      <c r="N996" s="36"/>
      <c r="O996" s="36"/>
      <c r="P996" s="36"/>
      <c r="Q996" s="36"/>
      <c r="R996" s="36"/>
      <c r="S996" s="36"/>
    </row>
    <row r="997">
      <c r="A997" s="34"/>
      <c r="B997" s="34"/>
      <c r="C997" s="35"/>
      <c r="D997" s="35"/>
      <c r="E997" s="34"/>
      <c r="F997" s="34"/>
      <c r="G997" s="34"/>
      <c r="H997" s="34"/>
      <c r="I997" s="34"/>
      <c r="J997" s="34"/>
      <c r="K997" s="34"/>
      <c r="L997" s="34"/>
      <c r="M997" s="36"/>
      <c r="N997" s="36"/>
      <c r="O997" s="36"/>
      <c r="P997" s="36"/>
      <c r="Q997" s="36"/>
      <c r="R997" s="36"/>
      <c r="S997" s="36"/>
    </row>
    <row r="998">
      <c r="A998" s="34"/>
      <c r="B998" s="34"/>
      <c r="C998" s="35"/>
      <c r="D998" s="35"/>
      <c r="E998" s="34"/>
      <c r="F998" s="34"/>
      <c r="G998" s="34"/>
      <c r="H998" s="34"/>
      <c r="I998" s="34"/>
      <c r="J998" s="34"/>
      <c r="K998" s="34"/>
      <c r="L998" s="34"/>
      <c r="M998" s="36"/>
      <c r="N998" s="36"/>
      <c r="O998" s="36"/>
      <c r="P998" s="36"/>
      <c r="Q998" s="36"/>
      <c r="R998" s="36"/>
      <c r="S998" s="36"/>
    </row>
    <row r="999">
      <c r="A999" s="34"/>
      <c r="B999" s="34"/>
      <c r="C999" s="35"/>
      <c r="D999" s="35"/>
      <c r="E999" s="34"/>
      <c r="F999" s="34"/>
      <c r="G999" s="34"/>
      <c r="H999" s="34"/>
      <c r="I999" s="34"/>
      <c r="J999" s="34"/>
      <c r="K999" s="34"/>
      <c r="L999" s="34"/>
      <c r="M999" s="36"/>
      <c r="N999" s="36"/>
      <c r="O999" s="36"/>
      <c r="P999" s="36"/>
      <c r="Q999" s="36"/>
      <c r="R999" s="36"/>
      <c r="S999" s="36"/>
    </row>
    <row r="1000">
      <c r="A1000" s="34"/>
      <c r="B1000" s="34"/>
      <c r="C1000" s="35"/>
      <c r="D1000" s="35"/>
      <c r="E1000" s="34"/>
      <c r="F1000" s="34"/>
      <c r="G1000" s="34"/>
      <c r="H1000" s="34"/>
      <c r="I1000" s="34"/>
      <c r="J1000" s="34"/>
      <c r="K1000" s="34"/>
      <c r="L1000" s="34"/>
      <c r="M1000" s="36"/>
      <c r="N1000" s="36"/>
      <c r="O1000" s="36"/>
      <c r="P1000" s="36"/>
      <c r="Q1000" s="36"/>
      <c r="R1000" s="36"/>
      <c r="S1000" s="36"/>
    </row>
    <row r="1001">
      <c r="A1001" s="34"/>
      <c r="B1001" s="34"/>
      <c r="C1001" s="35"/>
      <c r="D1001" s="35"/>
      <c r="E1001" s="34"/>
      <c r="F1001" s="34"/>
      <c r="G1001" s="34"/>
      <c r="H1001" s="34"/>
      <c r="I1001" s="34"/>
      <c r="J1001" s="34"/>
      <c r="K1001" s="34"/>
      <c r="L1001" s="34"/>
      <c r="M1001" s="36"/>
      <c r="N1001" s="36"/>
      <c r="O1001" s="36"/>
      <c r="P1001" s="36"/>
      <c r="Q1001" s="36"/>
      <c r="R1001" s="36"/>
      <c r="S1001" s="36"/>
    </row>
    <row r="1002">
      <c r="A1002" s="34"/>
      <c r="B1002" s="34"/>
      <c r="C1002" s="35"/>
      <c r="D1002" s="35"/>
      <c r="E1002" s="34"/>
      <c r="F1002" s="34"/>
      <c r="G1002" s="34"/>
      <c r="H1002" s="34"/>
      <c r="I1002" s="34"/>
      <c r="J1002" s="34"/>
      <c r="K1002" s="34"/>
      <c r="L1002" s="34"/>
      <c r="M1002" s="36"/>
      <c r="N1002" s="36"/>
      <c r="O1002" s="36"/>
      <c r="P1002" s="36"/>
      <c r="Q1002" s="36"/>
      <c r="R1002" s="36"/>
      <c r="S1002" s="36"/>
    </row>
    <row r="1003">
      <c r="A1003" s="34"/>
      <c r="B1003" s="34"/>
      <c r="C1003" s="35"/>
      <c r="D1003" s="35"/>
      <c r="E1003" s="34"/>
      <c r="F1003" s="34"/>
      <c r="G1003" s="34"/>
      <c r="H1003" s="34"/>
      <c r="I1003" s="34"/>
      <c r="J1003" s="34"/>
      <c r="K1003" s="34"/>
      <c r="L1003" s="34"/>
      <c r="M1003" s="36"/>
      <c r="N1003" s="36"/>
      <c r="O1003" s="36"/>
      <c r="P1003" s="36"/>
      <c r="Q1003" s="36"/>
      <c r="R1003" s="36"/>
      <c r="S1003" s="36"/>
    </row>
    <row r="1004">
      <c r="A1004" s="34"/>
      <c r="B1004" s="34"/>
      <c r="C1004" s="35"/>
      <c r="D1004" s="35"/>
      <c r="E1004" s="34"/>
      <c r="F1004" s="34"/>
      <c r="G1004" s="34"/>
      <c r="H1004" s="34"/>
      <c r="I1004" s="34"/>
      <c r="J1004" s="34"/>
      <c r="K1004" s="34"/>
      <c r="L1004" s="34"/>
      <c r="M1004" s="36"/>
      <c r="N1004" s="36"/>
      <c r="O1004" s="36"/>
      <c r="P1004" s="36"/>
      <c r="Q1004" s="36"/>
      <c r="R1004" s="36"/>
      <c r="S1004" s="36"/>
    </row>
    <row r="1005">
      <c r="A1005" s="34"/>
      <c r="B1005" s="36"/>
      <c r="C1005" s="35"/>
      <c r="D1005" s="35"/>
      <c r="E1005" s="34"/>
      <c r="F1005" s="34"/>
      <c r="G1005" s="34"/>
      <c r="H1005" s="34"/>
      <c r="I1005" s="34"/>
      <c r="J1005" s="34"/>
      <c r="K1005" s="34"/>
      <c r="L1005" s="34"/>
      <c r="M1005" s="36"/>
      <c r="N1005" s="36"/>
      <c r="O1005" s="36"/>
      <c r="P1005" s="36"/>
      <c r="Q1005" s="36"/>
      <c r="R1005" s="36"/>
      <c r="S1005" s="36"/>
    </row>
    <row r="1006">
      <c r="A1006" s="34"/>
      <c r="B1006" s="36"/>
      <c r="C1006" s="35"/>
      <c r="D1006" s="35"/>
      <c r="E1006" s="34"/>
      <c r="F1006" s="34"/>
      <c r="G1006" s="34"/>
      <c r="H1006" s="34"/>
      <c r="I1006" s="34"/>
      <c r="J1006" s="34"/>
      <c r="K1006" s="34"/>
      <c r="L1006" s="34"/>
      <c r="M1006" s="36"/>
      <c r="N1006" s="36"/>
      <c r="O1006" s="36"/>
      <c r="P1006" s="36"/>
      <c r="Q1006" s="36"/>
      <c r="R1006" s="36"/>
      <c r="S1006" s="36"/>
    </row>
    <row r="1007">
      <c r="A1007" s="34"/>
      <c r="B1007" s="34"/>
      <c r="C1007" s="35"/>
      <c r="D1007" s="35"/>
      <c r="E1007" s="34"/>
      <c r="F1007" s="34"/>
      <c r="G1007" s="34"/>
      <c r="H1007" s="34"/>
      <c r="I1007" s="34"/>
      <c r="J1007" s="34"/>
      <c r="K1007" s="34"/>
      <c r="L1007" s="34"/>
      <c r="M1007" s="36"/>
      <c r="N1007" s="36"/>
      <c r="O1007" s="36"/>
      <c r="P1007" s="36"/>
      <c r="Q1007" s="36"/>
      <c r="R1007" s="36"/>
      <c r="S1007" s="36"/>
    </row>
    <row r="1008">
      <c r="A1008" s="34"/>
      <c r="B1008" s="34"/>
      <c r="C1008" s="35"/>
      <c r="D1008" s="35"/>
      <c r="E1008" s="34"/>
      <c r="F1008" s="34"/>
      <c r="G1008" s="34"/>
      <c r="H1008" s="34"/>
      <c r="I1008" s="34"/>
      <c r="J1008" s="34"/>
      <c r="K1008" s="34"/>
      <c r="L1008" s="34"/>
      <c r="M1008" s="36"/>
      <c r="N1008" s="36"/>
      <c r="O1008" s="36"/>
      <c r="P1008" s="36"/>
      <c r="Q1008" s="36"/>
      <c r="R1008" s="36"/>
      <c r="S1008" s="36"/>
    </row>
    <row r="1009">
      <c r="A1009" s="34"/>
      <c r="B1009" s="34"/>
      <c r="C1009" s="35"/>
      <c r="D1009" s="35"/>
      <c r="E1009" s="34"/>
      <c r="F1009" s="34"/>
      <c r="G1009" s="34"/>
      <c r="H1009" s="34"/>
      <c r="I1009" s="34"/>
      <c r="J1009" s="34"/>
      <c r="K1009" s="34"/>
      <c r="L1009" s="34"/>
      <c r="M1009" s="36"/>
      <c r="N1009" s="36"/>
      <c r="O1009" s="36"/>
      <c r="P1009" s="36"/>
      <c r="Q1009" s="36"/>
      <c r="R1009" s="36"/>
      <c r="S1009" s="36"/>
    </row>
    <row r="1010">
      <c r="A1010" s="34"/>
      <c r="B1010" s="34"/>
      <c r="C1010" s="35"/>
      <c r="D1010" s="35"/>
      <c r="E1010" s="34"/>
      <c r="F1010" s="34"/>
      <c r="G1010" s="34"/>
      <c r="H1010" s="34"/>
      <c r="I1010" s="34"/>
      <c r="J1010" s="34"/>
      <c r="K1010" s="34"/>
      <c r="L1010" s="34"/>
      <c r="M1010" s="36"/>
      <c r="N1010" s="36"/>
      <c r="O1010" s="36"/>
      <c r="P1010" s="36"/>
      <c r="Q1010" s="36"/>
      <c r="R1010" s="36"/>
      <c r="S1010" s="36"/>
    </row>
    <row r="1011">
      <c r="A1011" s="34"/>
      <c r="B1011" s="34"/>
      <c r="C1011" s="35"/>
      <c r="D1011" s="35"/>
      <c r="E1011" s="34"/>
      <c r="F1011" s="34"/>
      <c r="G1011" s="34"/>
      <c r="H1011" s="34"/>
      <c r="I1011" s="34"/>
      <c r="J1011" s="34"/>
      <c r="K1011" s="34"/>
      <c r="L1011" s="34"/>
      <c r="M1011" s="36"/>
      <c r="N1011" s="36"/>
      <c r="O1011" s="36"/>
      <c r="P1011" s="36"/>
      <c r="Q1011" s="36"/>
      <c r="R1011" s="36"/>
      <c r="S1011" s="36"/>
    </row>
    <row r="1012">
      <c r="A1012" s="34"/>
      <c r="B1012" s="34"/>
      <c r="C1012" s="35"/>
      <c r="D1012" s="35"/>
      <c r="E1012" s="34"/>
      <c r="F1012" s="34"/>
      <c r="G1012" s="34"/>
      <c r="H1012" s="34"/>
      <c r="I1012" s="34"/>
      <c r="J1012" s="34"/>
      <c r="K1012" s="34"/>
      <c r="L1012" s="34"/>
      <c r="M1012" s="36"/>
      <c r="N1012" s="36"/>
      <c r="O1012" s="36"/>
      <c r="P1012" s="36"/>
      <c r="Q1012" s="36"/>
      <c r="R1012" s="36"/>
      <c r="S1012" s="36"/>
    </row>
    <row r="1013">
      <c r="A1013" s="34"/>
      <c r="B1013" s="34"/>
      <c r="C1013" s="35"/>
      <c r="D1013" s="35"/>
      <c r="E1013" s="34"/>
      <c r="F1013" s="34"/>
      <c r="G1013" s="34"/>
      <c r="H1013" s="34"/>
      <c r="I1013" s="34"/>
      <c r="J1013" s="34"/>
      <c r="K1013" s="34"/>
      <c r="L1013" s="34"/>
      <c r="M1013" s="36"/>
      <c r="N1013" s="36"/>
      <c r="O1013" s="36"/>
      <c r="P1013" s="36"/>
      <c r="Q1013" s="36"/>
      <c r="R1013" s="36"/>
      <c r="S1013" s="36"/>
    </row>
    <row r="1014">
      <c r="A1014" s="34"/>
      <c r="B1014" s="34"/>
      <c r="C1014" s="35"/>
      <c r="D1014" s="35"/>
      <c r="E1014" s="34"/>
      <c r="F1014" s="34"/>
      <c r="G1014" s="34"/>
      <c r="H1014" s="34"/>
      <c r="I1014" s="34"/>
      <c r="J1014" s="34"/>
      <c r="K1014" s="34"/>
      <c r="L1014" s="34"/>
      <c r="M1014" s="36"/>
      <c r="N1014" s="36"/>
      <c r="O1014" s="36"/>
      <c r="P1014" s="36"/>
      <c r="Q1014" s="36"/>
      <c r="R1014" s="36"/>
      <c r="S1014" s="36"/>
    </row>
    <row r="1015">
      <c r="A1015" s="34"/>
      <c r="B1015" s="34"/>
      <c r="C1015" s="35"/>
      <c r="D1015" s="35"/>
      <c r="E1015" s="34"/>
      <c r="F1015" s="34"/>
      <c r="G1015" s="34"/>
      <c r="H1015" s="34"/>
      <c r="I1015" s="34"/>
      <c r="J1015" s="34"/>
      <c r="K1015" s="34"/>
      <c r="L1015" s="34"/>
      <c r="M1015" s="36"/>
      <c r="N1015" s="36"/>
      <c r="O1015" s="36"/>
      <c r="P1015" s="36"/>
      <c r="Q1015" s="36"/>
      <c r="R1015" s="36"/>
      <c r="S1015" s="36"/>
    </row>
    <row r="1016">
      <c r="A1016" s="34"/>
      <c r="B1016" s="34"/>
      <c r="C1016" s="35"/>
      <c r="D1016" s="35"/>
      <c r="E1016" s="34"/>
      <c r="F1016" s="34"/>
      <c r="G1016" s="34"/>
      <c r="H1016" s="34"/>
      <c r="I1016" s="34"/>
      <c r="J1016" s="34"/>
      <c r="K1016" s="34"/>
      <c r="L1016" s="34"/>
      <c r="M1016" s="36"/>
      <c r="N1016" s="36"/>
      <c r="O1016" s="36"/>
      <c r="P1016" s="36"/>
      <c r="Q1016" s="36"/>
      <c r="R1016" s="36"/>
      <c r="S1016" s="36"/>
    </row>
    <row r="1017">
      <c r="A1017" s="34"/>
      <c r="B1017" s="34"/>
      <c r="C1017" s="35"/>
      <c r="D1017" s="35"/>
      <c r="E1017" s="34"/>
      <c r="F1017" s="34"/>
      <c r="G1017" s="34"/>
      <c r="H1017" s="34"/>
      <c r="I1017" s="34"/>
      <c r="J1017" s="34"/>
      <c r="K1017" s="34"/>
      <c r="L1017" s="34"/>
      <c r="M1017" s="36"/>
      <c r="N1017" s="36"/>
      <c r="O1017" s="36"/>
      <c r="P1017" s="36"/>
      <c r="Q1017" s="36"/>
      <c r="R1017" s="36"/>
      <c r="S1017" s="36"/>
    </row>
    <row r="1018">
      <c r="A1018" s="34"/>
      <c r="B1018" s="34"/>
      <c r="C1018" s="35"/>
      <c r="D1018" s="35"/>
      <c r="E1018" s="34"/>
      <c r="F1018" s="34"/>
      <c r="G1018" s="34"/>
      <c r="H1018" s="34"/>
      <c r="I1018" s="34"/>
      <c r="J1018" s="34"/>
      <c r="K1018" s="34"/>
      <c r="L1018" s="34"/>
      <c r="M1018" s="36"/>
      <c r="N1018" s="36"/>
      <c r="O1018" s="36"/>
      <c r="P1018" s="36"/>
      <c r="Q1018" s="36"/>
      <c r="R1018" s="36"/>
      <c r="S1018" s="36"/>
    </row>
    <row r="1019">
      <c r="A1019" s="34"/>
      <c r="B1019" s="34"/>
      <c r="C1019" s="35"/>
      <c r="D1019" s="35"/>
      <c r="E1019" s="34"/>
      <c r="F1019" s="34"/>
      <c r="G1019" s="34"/>
      <c r="H1019" s="34"/>
      <c r="I1019" s="34"/>
      <c r="J1019" s="34"/>
      <c r="K1019" s="34"/>
      <c r="L1019" s="34"/>
      <c r="M1019" s="36"/>
      <c r="N1019" s="36"/>
      <c r="O1019" s="36"/>
      <c r="P1019" s="36"/>
      <c r="Q1019" s="36"/>
      <c r="R1019" s="36"/>
      <c r="S1019" s="36"/>
    </row>
    <row r="1020">
      <c r="A1020" s="34"/>
      <c r="B1020" s="34"/>
      <c r="C1020" s="35"/>
      <c r="D1020" s="35"/>
      <c r="E1020" s="34"/>
      <c r="F1020" s="34"/>
      <c r="G1020" s="34"/>
      <c r="H1020" s="34"/>
      <c r="I1020" s="34"/>
      <c r="J1020" s="34"/>
      <c r="K1020" s="34"/>
      <c r="L1020" s="34"/>
      <c r="M1020" s="36"/>
      <c r="N1020" s="36"/>
      <c r="O1020" s="36"/>
      <c r="P1020" s="36"/>
      <c r="Q1020" s="36"/>
      <c r="R1020" s="36"/>
      <c r="S1020" s="36"/>
    </row>
    <row r="1021">
      <c r="A1021" s="34"/>
      <c r="B1021" s="34"/>
      <c r="C1021" s="35"/>
      <c r="D1021" s="35"/>
      <c r="E1021" s="34"/>
      <c r="F1021" s="34"/>
      <c r="G1021" s="34"/>
      <c r="H1021" s="34"/>
      <c r="I1021" s="34"/>
      <c r="J1021" s="34"/>
      <c r="K1021" s="34"/>
      <c r="L1021" s="34"/>
      <c r="M1021" s="36"/>
      <c r="N1021" s="36"/>
      <c r="O1021" s="36"/>
      <c r="P1021" s="36"/>
      <c r="Q1021" s="36"/>
      <c r="R1021" s="36"/>
      <c r="S1021" s="36"/>
    </row>
    <row r="1022">
      <c r="A1022" s="34"/>
      <c r="B1022" s="34"/>
      <c r="C1022" s="35"/>
      <c r="D1022" s="35"/>
      <c r="E1022" s="34"/>
      <c r="F1022" s="34"/>
      <c r="G1022" s="34"/>
      <c r="H1022" s="34"/>
      <c r="I1022" s="34"/>
      <c r="J1022" s="34"/>
      <c r="K1022" s="34"/>
      <c r="L1022" s="34"/>
      <c r="M1022" s="36"/>
      <c r="N1022" s="36"/>
      <c r="O1022" s="36"/>
      <c r="P1022" s="36"/>
      <c r="Q1022" s="36"/>
      <c r="R1022" s="36"/>
      <c r="S1022" s="36"/>
    </row>
    <row r="1023">
      <c r="A1023" s="34"/>
      <c r="B1023" s="34"/>
      <c r="C1023" s="35"/>
      <c r="D1023" s="35"/>
      <c r="E1023" s="34"/>
      <c r="F1023" s="34"/>
      <c r="G1023" s="34"/>
      <c r="H1023" s="34"/>
      <c r="I1023" s="34"/>
      <c r="J1023" s="34"/>
      <c r="K1023" s="34"/>
      <c r="L1023" s="34"/>
      <c r="M1023" s="36"/>
      <c r="N1023" s="36"/>
      <c r="O1023" s="36"/>
      <c r="P1023" s="36"/>
      <c r="Q1023" s="36"/>
      <c r="R1023" s="36"/>
      <c r="S1023" s="36"/>
    </row>
    <row r="1024">
      <c r="A1024" s="34"/>
      <c r="B1024" s="36"/>
      <c r="C1024" s="35"/>
      <c r="D1024" s="35"/>
      <c r="E1024" s="34"/>
      <c r="F1024" s="34"/>
      <c r="G1024" s="34"/>
      <c r="H1024" s="34"/>
      <c r="I1024" s="34"/>
      <c r="J1024" s="34"/>
      <c r="K1024" s="34"/>
      <c r="L1024" s="34"/>
      <c r="M1024" s="36"/>
      <c r="N1024" s="36"/>
      <c r="O1024" s="36"/>
      <c r="P1024" s="36"/>
      <c r="Q1024" s="36"/>
      <c r="R1024" s="36"/>
      <c r="S1024" s="36"/>
    </row>
    <row r="1025">
      <c r="A1025" s="34"/>
      <c r="B1025" s="34"/>
      <c r="C1025" s="35"/>
      <c r="D1025" s="35"/>
      <c r="E1025" s="34"/>
      <c r="F1025" s="34"/>
      <c r="G1025" s="34"/>
      <c r="H1025" s="34"/>
      <c r="I1025" s="34"/>
      <c r="J1025" s="34"/>
      <c r="K1025" s="34"/>
      <c r="L1025" s="34"/>
      <c r="M1025" s="36"/>
      <c r="N1025" s="36"/>
      <c r="O1025" s="36"/>
      <c r="P1025" s="36"/>
      <c r="Q1025" s="36"/>
      <c r="R1025" s="36"/>
      <c r="S1025" s="36"/>
    </row>
    <row r="1026">
      <c r="A1026" s="34"/>
      <c r="B1026" s="34"/>
      <c r="C1026" s="35"/>
      <c r="D1026" s="35"/>
      <c r="E1026" s="34"/>
      <c r="F1026" s="34"/>
      <c r="G1026" s="34"/>
      <c r="H1026" s="34"/>
      <c r="I1026" s="34"/>
      <c r="J1026" s="34"/>
      <c r="K1026" s="34"/>
      <c r="L1026" s="34"/>
      <c r="M1026" s="36"/>
      <c r="N1026" s="36"/>
      <c r="O1026" s="36"/>
      <c r="P1026" s="36"/>
      <c r="Q1026" s="36"/>
      <c r="R1026" s="36"/>
      <c r="S1026" s="36"/>
    </row>
    <row r="1027">
      <c r="A1027" s="34"/>
      <c r="B1027" s="34"/>
      <c r="C1027" s="35"/>
      <c r="D1027" s="35"/>
      <c r="E1027" s="34"/>
      <c r="F1027" s="34"/>
      <c r="G1027" s="34"/>
      <c r="H1027" s="34"/>
      <c r="I1027" s="34"/>
      <c r="J1027" s="34"/>
      <c r="K1027" s="34"/>
      <c r="L1027" s="34"/>
      <c r="M1027" s="36"/>
      <c r="N1027" s="36"/>
      <c r="O1027" s="36"/>
      <c r="P1027" s="36"/>
      <c r="Q1027" s="36"/>
      <c r="R1027" s="36"/>
      <c r="S1027" s="36"/>
    </row>
    <row r="1028">
      <c r="A1028" s="34"/>
      <c r="B1028" s="36"/>
      <c r="C1028" s="35"/>
      <c r="D1028" s="35"/>
      <c r="E1028" s="34"/>
      <c r="F1028" s="34"/>
      <c r="G1028" s="34"/>
      <c r="H1028" s="34"/>
      <c r="I1028" s="34"/>
      <c r="J1028" s="34"/>
      <c r="K1028" s="34"/>
      <c r="L1028" s="34"/>
      <c r="M1028" s="36"/>
      <c r="N1028" s="36"/>
      <c r="O1028" s="36"/>
      <c r="P1028" s="36"/>
      <c r="Q1028" s="36"/>
      <c r="R1028" s="36"/>
      <c r="S1028" s="36"/>
    </row>
    <row r="1029">
      <c r="A1029" s="34"/>
      <c r="B1029" s="36"/>
      <c r="C1029" s="35"/>
      <c r="D1029" s="35"/>
      <c r="E1029" s="34"/>
      <c r="F1029" s="34"/>
      <c r="G1029" s="34"/>
      <c r="H1029" s="34"/>
      <c r="I1029" s="34"/>
      <c r="J1029" s="34"/>
      <c r="K1029" s="34"/>
      <c r="L1029" s="34"/>
      <c r="M1029" s="36"/>
      <c r="N1029" s="36"/>
      <c r="O1029" s="36"/>
      <c r="P1029" s="36"/>
      <c r="Q1029" s="36"/>
      <c r="R1029" s="36"/>
      <c r="S1029" s="36"/>
    </row>
    <row r="1030">
      <c r="A1030" s="34"/>
      <c r="B1030" s="36"/>
      <c r="C1030" s="35"/>
      <c r="D1030" s="35"/>
      <c r="E1030" s="34"/>
      <c r="F1030" s="34"/>
      <c r="G1030" s="34"/>
      <c r="H1030" s="34"/>
      <c r="I1030" s="34"/>
      <c r="J1030" s="34"/>
      <c r="K1030" s="34"/>
      <c r="L1030" s="34"/>
      <c r="M1030" s="36"/>
      <c r="N1030" s="36"/>
      <c r="O1030" s="36"/>
      <c r="P1030" s="36"/>
      <c r="Q1030" s="36"/>
      <c r="R1030" s="36"/>
      <c r="S1030" s="36"/>
    </row>
    <row r="1031">
      <c r="A1031" s="34"/>
      <c r="B1031" s="34"/>
      <c r="C1031" s="35"/>
      <c r="D1031" s="35"/>
      <c r="E1031" s="34"/>
      <c r="F1031" s="34"/>
      <c r="G1031" s="34"/>
      <c r="H1031" s="34"/>
      <c r="I1031" s="34"/>
      <c r="J1031" s="34"/>
      <c r="K1031" s="34"/>
      <c r="L1031" s="34"/>
      <c r="M1031" s="36"/>
      <c r="N1031" s="36"/>
      <c r="O1031" s="36"/>
      <c r="P1031" s="36"/>
      <c r="Q1031" s="36"/>
      <c r="R1031" s="36"/>
      <c r="S1031" s="36"/>
    </row>
    <row r="1032">
      <c r="A1032" s="34"/>
      <c r="B1032" s="34"/>
      <c r="C1032" s="35"/>
      <c r="D1032" s="35"/>
      <c r="E1032" s="34"/>
      <c r="F1032" s="34"/>
      <c r="G1032" s="34"/>
      <c r="H1032" s="34"/>
      <c r="I1032" s="34"/>
      <c r="J1032" s="34"/>
      <c r="K1032" s="34"/>
      <c r="L1032" s="34"/>
      <c r="M1032" s="36"/>
      <c r="N1032" s="36"/>
      <c r="O1032" s="36"/>
      <c r="P1032" s="36"/>
      <c r="Q1032" s="36"/>
      <c r="R1032" s="36"/>
      <c r="S1032" s="36"/>
    </row>
    <row r="1033">
      <c r="A1033" s="34"/>
      <c r="B1033" s="34"/>
      <c r="C1033" s="35"/>
      <c r="D1033" s="35"/>
      <c r="E1033" s="34"/>
      <c r="F1033" s="34"/>
      <c r="G1033" s="34"/>
      <c r="H1033" s="34"/>
      <c r="I1033" s="34"/>
      <c r="J1033" s="34"/>
      <c r="K1033" s="34"/>
      <c r="L1033" s="34"/>
      <c r="M1033" s="36"/>
      <c r="N1033" s="36"/>
      <c r="O1033" s="36"/>
      <c r="P1033" s="36"/>
      <c r="Q1033" s="36"/>
      <c r="R1033" s="36"/>
      <c r="S1033" s="36"/>
    </row>
    <row r="1034">
      <c r="A1034" s="34"/>
      <c r="B1034" s="34"/>
      <c r="C1034" s="35"/>
      <c r="D1034" s="35"/>
      <c r="E1034" s="34"/>
      <c r="F1034" s="34"/>
      <c r="G1034" s="34"/>
      <c r="H1034" s="34"/>
      <c r="I1034" s="34"/>
      <c r="J1034" s="34"/>
      <c r="K1034" s="34"/>
      <c r="L1034" s="34"/>
      <c r="M1034" s="36"/>
      <c r="N1034" s="36"/>
      <c r="O1034" s="36"/>
      <c r="P1034" s="36"/>
      <c r="Q1034" s="36"/>
      <c r="R1034" s="36"/>
      <c r="S1034" s="36"/>
    </row>
    <row r="1035">
      <c r="A1035" s="34"/>
      <c r="B1035" s="36"/>
      <c r="C1035" s="35"/>
      <c r="D1035" s="35"/>
      <c r="E1035" s="34"/>
      <c r="F1035" s="34"/>
      <c r="G1035" s="34"/>
      <c r="H1035" s="34"/>
      <c r="I1035" s="34"/>
      <c r="J1035" s="34"/>
      <c r="K1035" s="34"/>
      <c r="L1035" s="34"/>
      <c r="M1035" s="36"/>
      <c r="N1035" s="36"/>
      <c r="O1035" s="36"/>
      <c r="P1035" s="36"/>
      <c r="Q1035" s="36"/>
      <c r="R1035" s="36"/>
      <c r="S1035" s="36"/>
    </row>
    <row r="1036">
      <c r="A1036" s="34"/>
      <c r="B1036" s="36"/>
      <c r="C1036" s="35"/>
      <c r="D1036" s="35"/>
      <c r="E1036" s="34"/>
      <c r="F1036" s="34"/>
      <c r="G1036" s="34"/>
      <c r="H1036" s="34"/>
      <c r="I1036" s="34"/>
      <c r="J1036" s="34"/>
      <c r="K1036" s="34"/>
      <c r="L1036" s="34"/>
      <c r="M1036" s="36"/>
      <c r="N1036" s="36"/>
      <c r="O1036" s="36"/>
      <c r="P1036" s="36"/>
      <c r="Q1036" s="36"/>
      <c r="R1036" s="36"/>
      <c r="S1036" s="36"/>
    </row>
    <row r="1037">
      <c r="A1037" s="34"/>
      <c r="B1037" s="34"/>
      <c r="C1037" s="35"/>
      <c r="D1037" s="35"/>
      <c r="E1037" s="34"/>
      <c r="F1037" s="34"/>
      <c r="G1037" s="34"/>
      <c r="H1037" s="34"/>
      <c r="I1037" s="34"/>
      <c r="J1037" s="34"/>
      <c r="K1037" s="34"/>
      <c r="L1037" s="34"/>
      <c r="M1037" s="36"/>
      <c r="N1037" s="36"/>
      <c r="O1037" s="36"/>
      <c r="P1037" s="36"/>
      <c r="Q1037" s="36"/>
      <c r="R1037" s="36"/>
      <c r="S1037" s="36"/>
    </row>
    <row r="1038">
      <c r="A1038" s="34"/>
      <c r="B1038" s="36"/>
      <c r="C1038" s="35"/>
      <c r="D1038" s="35"/>
      <c r="E1038" s="34"/>
      <c r="F1038" s="34"/>
      <c r="G1038" s="34"/>
      <c r="H1038" s="34"/>
      <c r="I1038" s="34"/>
      <c r="J1038" s="34"/>
      <c r="K1038" s="34"/>
      <c r="L1038" s="34"/>
      <c r="M1038" s="36"/>
      <c r="N1038" s="36"/>
      <c r="O1038" s="36"/>
      <c r="P1038" s="36"/>
      <c r="Q1038" s="36"/>
      <c r="R1038" s="36"/>
      <c r="S1038" s="36"/>
    </row>
    <row r="1039">
      <c r="A1039" s="34"/>
      <c r="B1039" s="34"/>
      <c r="C1039" s="35"/>
      <c r="D1039" s="35"/>
      <c r="E1039" s="34"/>
      <c r="F1039" s="34"/>
      <c r="G1039" s="34"/>
      <c r="H1039" s="34"/>
      <c r="I1039" s="34"/>
      <c r="J1039" s="34"/>
      <c r="K1039" s="34"/>
      <c r="L1039" s="34"/>
      <c r="M1039" s="36"/>
      <c r="N1039" s="36"/>
      <c r="O1039" s="36"/>
      <c r="P1039" s="36"/>
      <c r="Q1039" s="36"/>
      <c r="R1039" s="36"/>
      <c r="S1039" s="36"/>
    </row>
    <row r="1040">
      <c r="A1040" s="34"/>
      <c r="B1040" s="34"/>
      <c r="C1040" s="35"/>
      <c r="D1040" s="35"/>
      <c r="E1040" s="34"/>
      <c r="F1040" s="34"/>
      <c r="G1040" s="34"/>
      <c r="H1040" s="34"/>
      <c r="I1040" s="34"/>
      <c r="J1040" s="34"/>
      <c r="K1040" s="34"/>
      <c r="L1040" s="34"/>
      <c r="M1040" s="36"/>
      <c r="N1040" s="36"/>
      <c r="O1040" s="36"/>
      <c r="P1040" s="36"/>
      <c r="Q1040" s="36"/>
      <c r="R1040" s="36"/>
      <c r="S1040" s="36"/>
    </row>
    <row r="1041">
      <c r="A1041" s="34"/>
      <c r="B1041" s="34"/>
      <c r="C1041" s="35"/>
      <c r="D1041" s="35"/>
      <c r="E1041" s="34"/>
      <c r="F1041" s="34"/>
      <c r="G1041" s="34"/>
      <c r="H1041" s="34"/>
      <c r="I1041" s="34"/>
      <c r="J1041" s="34"/>
      <c r="K1041" s="34"/>
      <c r="L1041" s="34"/>
      <c r="M1041" s="36"/>
      <c r="N1041" s="36"/>
      <c r="O1041" s="36"/>
      <c r="P1041" s="36"/>
      <c r="Q1041" s="36"/>
      <c r="R1041" s="36"/>
      <c r="S1041" s="36"/>
    </row>
    <row r="1042">
      <c r="A1042" s="34"/>
      <c r="B1042" s="34"/>
      <c r="C1042" s="35"/>
      <c r="D1042" s="35"/>
      <c r="E1042" s="34"/>
      <c r="F1042" s="34"/>
      <c r="G1042" s="34"/>
      <c r="H1042" s="34"/>
      <c r="I1042" s="34"/>
      <c r="J1042" s="34"/>
      <c r="K1042" s="34"/>
      <c r="L1042" s="34"/>
      <c r="M1042" s="36"/>
      <c r="N1042" s="36"/>
      <c r="O1042" s="36"/>
      <c r="P1042" s="36"/>
      <c r="Q1042" s="36"/>
      <c r="R1042" s="36"/>
      <c r="S1042" s="36"/>
    </row>
    <row r="1043">
      <c r="A1043" s="34"/>
      <c r="B1043" s="34"/>
      <c r="C1043" s="35"/>
      <c r="D1043" s="35"/>
      <c r="E1043" s="34"/>
      <c r="F1043" s="34"/>
      <c r="G1043" s="34"/>
      <c r="H1043" s="34"/>
      <c r="I1043" s="34"/>
      <c r="J1043" s="34"/>
      <c r="K1043" s="34"/>
      <c r="L1043" s="34"/>
      <c r="M1043" s="36"/>
      <c r="N1043" s="36"/>
      <c r="O1043" s="36"/>
      <c r="P1043" s="36"/>
      <c r="Q1043" s="36"/>
      <c r="R1043" s="36"/>
      <c r="S1043" s="36"/>
    </row>
    <row r="1044">
      <c r="A1044" s="34"/>
      <c r="B1044" s="34"/>
      <c r="C1044" s="35"/>
      <c r="D1044" s="35"/>
      <c r="E1044" s="34"/>
      <c r="F1044" s="34"/>
      <c r="G1044" s="34"/>
      <c r="H1044" s="34"/>
      <c r="I1044" s="34"/>
      <c r="J1044" s="34"/>
      <c r="K1044" s="34"/>
      <c r="L1044" s="34"/>
      <c r="M1044" s="36"/>
      <c r="N1044" s="36"/>
      <c r="O1044" s="36"/>
      <c r="P1044" s="36"/>
      <c r="Q1044" s="36"/>
      <c r="R1044" s="36"/>
      <c r="S1044" s="36"/>
    </row>
    <row r="1045">
      <c r="A1045" s="34"/>
      <c r="B1045" s="34"/>
      <c r="C1045" s="35"/>
      <c r="D1045" s="35"/>
      <c r="E1045" s="34"/>
      <c r="F1045" s="34"/>
      <c r="G1045" s="34"/>
      <c r="H1045" s="34"/>
      <c r="I1045" s="34"/>
      <c r="J1045" s="34"/>
      <c r="K1045" s="34"/>
      <c r="L1045" s="34"/>
      <c r="M1045" s="36"/>
      <c r="N1045" s="36"/>
      <c r="O1045" s="36"/>
      <c r="P1045" s="36"/>
      <c r="Q1045" s="36"/>
      <c r="R1045" s="36"/>
      <c r="S1045" s="36"/>
    </row>
    <row r="1046">
      <c r="A1046" s="34"/>
      <c r="B1046" s="34"/>
      <c r="C1046" s="35"/>
      <c r="D1046" s="35"/>
      <c r="E1046" s="34"/>
      <c r="F1046" s="34"/>
      <c r="G1046" s="34"/>
      <c r="H1046" s="34"/>
      <c r="I1046" s="34"/>
      <c r="J1046" s="34"/>
      <c r="K1046" s="34"/>
      <c r="L1046" s="34"/>
      <c r="M1046" s="36"/>
      <c r="N1046" s="36"/>
      <c r="O1046" s="36"/>
      <c r="P1046" s="36"/>
      <c r="Q1046" s="36"/>
      <c r="R1046" s="36"/>
      <c r="S1046" s="36"/>
    </row>
    <row r="1047">
      <c r="A1047" s="34"/>
      <c r="B1047" s="36"/>
      <c r="C1047" s="35"/>
      <c r="D1047" s="35"/>
      <c r="E1047" s="34"/>
      <c r="F1047" s="34"/>
      <c r="G1047" s="34"/>
      <c r="H1047" s="34"/>
      <c r="I1047" s="34"/>
      <c r="J1047" s="34"/>
      <c r="K1047" s="34"/>
      <c r="L1047" s="34"/>
      <c r="M1047" s="36"/>
      <c r="N1047" s="36"/>
      <c r="O1047" s="36"/>
      <c r="P1047" s="36"/>
      <c r="Q1047" s="36"/>
      <c r="R1047" s="36"/>
      <c r="S1047" s="36"/>
    </row>
    <row r="1048">
      <c r="A1048" s="34"/>
      <c r="B1048" s="34"/>
      <c r="C1048" s="35"/>
      <c r="D1048" s="35"/>
      <c r="E1048" s="34"/>
      <c r="F1048" s="34"/>
      <c r="G1048" s="34"/>
      <c r="H1048" s="34"/>
      <c r="I1048" s="34"/>
      <c r="J1048" s="34"/>
      <c r="K1048" s="34"/>
      <c r="L1048" s="34"/>
      <c r="M1048" s="36"/>
      <c r="N1048" s="36"/>
      <c r="O1048" s="36"/>
      <c r="P1048" s="36"/>
      <c r="Q1048" s="36"/>
      <c r="R1048" s="36"/>
      <c r="S1048" s="36"/>
    </row>
    <row r="1049">
      <c r="A1049" s="34"/>
      <c r="B1049" s="34"/>
      <c r="C1049" s="35"/>
      <c r="D1049" s="35"/>
      <c r="E1049" s="34"/>
      <c r="F1049" s="34"/>
      <c r="G1049" s="34"/>
      <c r="H1049" s="34"/>
      <c r="I1049" s="34"/>
      <c r="J1049" s="34"/>
      <c r="K1049" s="34"/>
      <c r="L1049" s="34"/>
      <c r="M1049" s="36"/>
      <c r="N1049" s="36"/>
      <c r="O1049" s="36"/>
      <c r="P1049" s="36"/>
      <c r="Q1049" s="36"/>
      <c r="R1049" s="36"/>
      <c r="S1049" s="36"/>
    </row>
    <row r="1050">
      <c r="A1050" s="34"/>
      <c r="B1050" s="34"/>
      <c r="C1050" s="35"/>
      <c r="D1050" s="35"/>
      <c r="E1050" s="34"/>
      <c r="F1050" s="34"/>
      <c r="G1050" s="34"/>
      <c r="H1050" s="34"/>
      <c r="I1050" s="34"/>
      <c r="J1050" s="34"/>
      <c r="K1050" s="34"/>
      <c r="L1050" s="34"/>
      <c r="M1050" s="36"/>
      <c r="N1050" s="36"/>
      <c r="O1050" s="36"/>
      <c r="P1050" s="36"/>
      <c r="Q1050" s="36"/>
      <c r="R1050" s="36"/>
      <c r="S1050" s="36"/>
    </row>
    <row r="1051">
      <c r="A1051" s="34"/>
      <c r="B1051" s="36"/>
      <c r="C1051" s="35"/>
      <c r="D1051" s="35"/>
      <c r="E1051" s="34"/>
      <c r="F1051" s="34"/>
      <c r="G1051" s="34"/>
      <c r="H1051" s="34"/>
      <c r="I1051" s="34"/>
      <c r="J1051" s="34"/>
      <c r="K1051" s="34"/>
      <c r="L1051" s="34"/>
      <c r="M1051" s="36"/>
      <c r="N1051" s="36"/>
      <c r="O1051" s="36"/>
      <c r="P1051" s="36"/>
      <c r="Q1051" s="36"/>
      <c r="R1051" s="36"/>
      <c r="S1051" s="36"/>
    </row>
    <row r="1052">
      <c r="A1052" s="34"/>
      <c r="B1052" s="34"/>
      <c r="C1052" s="35"/>
      <c r="D1052" s="35"/>
      <c r="E1052" s="34"/>
      <c r="F1052" s="34"/>
      <c r="G1052" s="34"/>
      <c r="H1052" s="34"/>
      <c r="I1052" s="34"/>
      <c r="J1052" s="34"/>
      <c r="K1052" s="34"/>
      <c r="L1052" s="34"/>
      <c r="M1052" s="36"/>
      <c r="N1052" s="36"/>
      <c r="O1052" s="36"/>
      <c r="P1052" s="36"/>
      <c r="Q1052" s="36"/>
      <c r="R1052" s="36"/>
      <c r="S1052" s="36"/>
    </row>
    <row r="1053">
      <c r="A1053" s="34"/>
      <c r="B1053" s="36"/>
      <c r="C1053" s="35"/>
      <c r="D1053" s="35"/>
      <c r="E1053" s="34"/>
      <c r="F1053" s="34"/>
      <c r="G1053" s="34"/>
      <c r="H1053" s="34"/>
      <c r="I1053" s="34"/>
      <c r="J1053" s="34"/>
      <c r="K1053" s="34"/>
      <c r="L1053" s="34"/>
      <c r="M1053" s="36"/>
      <c r="N1053" s="36"/>
      <c r="O1053" s="36"/>
      <c r="P1053" s="36"/>
      <c r="Q1053" s="36"/>
      <c r="R1053" s="36"/>
      <c r="S1053" s="36"/>
    </row>
    <row r="1054">
      <c r="A1054" s="34"/>
      <c r="B1054" s="34"/>
      <c r="C1054" s="35"/>
      <c r="D1054" s="35"/>
      <c r="E1054" s="34"/>
      <c r="F1054" s="34"/>
      <c r="G1054" s="34"/>
      <c r="H1054" s="34"/>
      <c r="I1054" s="34"/>
      <c r="J1054" s="34"/>
      <c r="K1054" s="34"/>
      <c r="L1054" s="34"/>
      <c r="M1054" s="36"/>
      <c r="N1054" s="36"/>
      <c r="O1054" s="36"/>
      <c r="P1054" s="36"/>
      <c r="Q1054" s="36"/>
      <c r="R1054" s="36"/>
      <c r="S1054" s="36"/>
    </row>
    <row r="1055">
      <c r="A1055" s="34"/>
      <c r="B1055" s="36"/>
      <c r="C1055" s="35"/>
      <c r="D1055" s="35"/>
      <c r="E1055" s="34"/>
      <c r="F1055" s="34"/>
      <c r="G1055" s="34"/>
      <c r="H1055" s="34"/>
      <c r="I1055" s="34"/>
      <c r="J1055" s="34"/>
      <c r="K1055" s="34"/>
      <c r="L1055" s="34"/>
      <c r="M1055" s="36"/>
      <c r="N1055" s="36"/>
      <c r="O1055" s="36"/>
      <c r="P1055" s="36"/>
      <c r="Q1055" s="36"/>
      <c r="R1055" s="36"/>
      <c r="S1055" s="36"/>
    </row>
    <row r="1056">
      <c r="A1056" s="34"/>
      <c r="B1056" s="36"/>
      <c r="C1056" s="35"/>
      <c r="D1056" s="35"/>
      <c r="E1056" s="34"/>
      <c r="F1056" s="34"/>
      <c r="G1056" s="34"/>
      <c r="H1056" s="34"/>
      <c r="I1056" s="34"/>
      <c r="J1056" s="34"/>
      <c r="K1056" s="34"/>
      <c r="L1056" s="34"/>
      <c r="M1056" s="36"/>
      <c r="N1056" s="36"/>
      <c r="O1056" s="36"/>
      <c r="P1056" s="36"/>
      <c r="Q1056" s="36"/>
      <c r="R1056" s="36"/>
      <c r="S1056" s="36"/>
    </row>
    <row r="1057">
      <c r="A1057" s="34"/>
      <c r="B1057" s="34"/>
      <c r="C1057" s="35"/>
      <c r="D1057" s="35"/>
      <c r="E1057" s="34"/>
      <c r="F1057" s="34"/>
      <c r="G1057" s="34"/>
      <c r="H1057" s="34"/>
      <c r="I1057" s="34"/>
      <c r="J1057" s="34"/>
      <c r="K1057" s="34"/>
      <c r="L1057" s="34"/>
      <c r="M1057" s="36"/>
      <c r="N1057" s="36"/>
      <c r="O1057" s="36"/>
      <c r="P1057" s="36"/>
      <c r="Q1057" s="36"/>
      <c r="R1057" s="36"/>
      <c r="S1057" s="36"/>
    </row>
    <row r="1058">
      <c r="A1058" s="34"/>
      <c r="B1058" s="34"/>
      <c r="C1058" s="35"/>
      <c r="D1058" s="35"/>
      <c r="E1058" s="34"/>
      <c r="F1058" s="34"/>
      <c r="G1058" s="34"/>
      <c r="H1058" s="34"/>
      <c r="I1058" s="34"/>
      <c r="J1058" s="34"/>
      <c r="K1058" s="34"/>
      <c r="L1058" s="34"/>
      <c r="M1058" s="36"/>
      <c r="N1058" s="36"/>
      <c r="O1058" s="36"/>
      <c r="P1058" s="36"/>
      <c r="Q1058" s="36"/>
      <c r="R1058" s="36"/>
      <c r="S1058" s="36"/>
    </row>
    <row r="1059">
      <c r="A1059" s="34"/>
      <c r="B1059" s="34"/>
      <c r="C1059" s="35"/>
      <c r="D1059" s="35"/>
      <c r="E1059" s="34"/>
      <c r="F1059" s="34"/>
      <c r="G1059" s="34"/>
      <c r="H1059" s="34"/>
      <c r="I1059" s="34"/>
      <c r="J1059" s="34"/>
      <c r="K1059" s="34"/>
      <c r="L1059" s="34"/>
      <c r="M1059" s="36"/>
      <c r="N1059" s="36"/>
      <c r="O1059" s="36"/>
      <c r="P1059" s="36"/>
      <c r="Q1059" s="36"/>
      <c r="R1059" s="36"/>
      <c r="S1059" s="36"/>
    </row>
    <row r="1060">
      <c r="A1060" s="34"/>
      <c r="B1060" s="34"/>
      <c r="C1060" s="35"/>
      <c r="D1060" s="35"/>
      <c r="E1060" s="34"/>
      <c r="F1060" s="34"/>
      <c r="G1060" s="34"/>
      <c r="H1060" s="34"/>
      <c r="I1060" s="34"/>
      <c r="J1060" s="34"/>
      <c r="K1060" s="34"/>
      <c r="L1060" s="34"/>
      <c r="M1060" s="36"/>
      <c r="N1060" s="36"/>
      <c r="O1060" s="36"/>
      <c r="P1060" s="36"/>
      <c r="Q1060" s="36"/>
      <c r="R1060" s="36"/>
      <c r="S1060" s="36"/>
    </row>
    <row r="1061">
      <c r="A1061" s="34"/>
      <c r="B1061" s="34"/>
      <c r="C1061" s="35"/>
      <c r="D1061" s="35"/>
      <c r="E1061" s="34"/>
      <c r="F1061" s="34"/>
      <c r="G1061" s="34"/>
      <c r="H1061" s="34"/>
      <c r="I1061" s="34"/>
      <c r="J1061" s="34"/>
      <c r="K1061" s="34"/>
      <c r="L1061" s="34"/>
      <c r="M1061" s="36"/>
      <c r="N1061" s="36"/>
      <c r="O1061" s="36"/>
      <c r="P1061" s="36"/>
      <c r="Q1061" s="36"/>
      <c r="R1061" s="36"/>
      <c r="S1061" s="36"/>
    </row>
    <row r="1062">
      <c r="A1062" s="34"/>
      <c r="B1062" s="34"/>
      <c r="C1062" s="35"/>
      <c r="D1062" s="35"/>
      <c r="E1062" s="34"/>
      <c r="F1062" s="34"/>
      <c r="G1062" s="34"/>
      <c r="H1062" s="34"/>
      <c r="I1062" s="34"/>
      <c r="J1062" s="34"/>
      <c r="K1062" s="34"/>
      <c r="L1062" s="34"/>
      <c r="M1062" s="36"/>
      <c r="N1062" s="36"/>
      <c r="O1062" s="36"/>
      <c r="P1062" s="36"/>
      <c r="Q1062" s="36"/>
      <c r="R1062" s="36"/>
      <c r="S1062" s="36"/>
    </row>
    <row r="1063">
      <c r="A1063" s="34"/>
      <c r="B1063" s="34"/>
      <c r="C1063" s="35"/>
      <c r="D1063" s="35"/>
      <c r="E1063" s="34"/>
      <c r="F1063" s="34"/>
      <c r="G1063" s="34"/>
      <c r="H1063" s="34"/>
      <c r="I1063" s="34"/>
      <c r="J1063" s="34"/>
      <c r="K1063" s="34"/>
      <c r="L1063" s="34"/>
      <c r="M1063" s="36"/>
      <c r="N1063" s="36"/>
      <c r="O1063" s="36"/>
      <c r="P1063" s="36"/>
      <c r="Q1063" s="36"/>
      <c r="R1063" s="36"/>
      <c r="S1063" s="36"/>
    </row>
    <row r="1064">
      <c r="A1064" s="34"/>
      <c r="B1064" s="34"/>
      <c r="C1064" s="35"/>
      <c r="D1064" s="35"/>
      <c r="E1064" s="34"/>
      <c r="F1064" s="34"/>
      <c r="G1064" s="34"/>
      <c r="H1064" s="34"/>
      <c r="I1064" s="34"/>
      <c r="J1064" s="34"/>
      <c r="K1064" s="34"/>
      <c r="L1064" s="34"/>
      <c r="M1064" s="36"/>
      <c r="N1064" s="36"/>
      <c r="O1064" s="36"/>
      <c r="P1064" s="36"/>
      <c r="Q1064" s="36"/>
      <c r="R1064" s="36"/>
      <c r="S1064" s="36"/>
    </row>
    <row r="1065">
      <c r="A1065" s="34"/>
      <c r="B1065" s="34"/>
      <c r="C1065" s="35"/>
      <c r="D1065" s="35"/>
      <c r="E1065" s="34"/>
      <c r="F1065" s="34"/>
      <c r="G1065" s="34"/>
      <c r="H1065" s="34"/>
      <c r="I1065" s="34"/>
      <c r="J1065" s="34"/>
      <c r="K1065" s="34"/>
      <c r="L1065" s="34"/>
      <c r="M1065" s="36"/>
      <c r="N1065" s="36"/>
      <c r="O1065" s="36"/>
      <c r="P1065" s="36"/>
      <c r="Q1065" s="36"/>
      <c r="R1065" s="36"/>
      <c r="S1065" s="36"/>
    </row>
    <row r="1066">
      <c r="A1066" s="34"/>
      <c r="B1066" s="34"/>
      <c r="C1066" s="35"/>
      <c r="D1066" s="35"/>
      <c r="E1066" s="34"/>
      <c r="F1066" s="34"/>
      <c r="G1066" s="34"/>
      <c r="H1066" s="34"/>
      <c r="I1066" s="34"/>
      <c r="J1066" s="34"/>
      <c r="K1066" s="34"/>
      <c r="L1066" s="34"/>
      <c r="M1066" s="36"/>
      <c r="N1066" s="36"/>
      <c r="O1066" s="36"/>
      <c r="P1066" s="36"/>
      <c r="Q1066" s="36"/>
      <c r="R1066" s="36"/>
      <c r="S1066" s="36"/>
    </row>
    <row r="1067">
      <c r="A1067" s="34"/>
      <c r="B1067" s="34"/>
      <c r="C1067" s="35"/>
      <c r="D1067" s="35"/>
      <c r="E1067" s="34"/>
      <c r="F1067" s="34"/>
      <c r="G1067" s="34"/>
      <c r="H1067" s="34"/>
      <c r="I1067" s="34"/>
      <c r="J1067" s="34"/>
      <c r="K1067" s="34"/>
      <c r="L1067" s="34"/>
      <c r="M1067" s="36"/>
      <c r="N1067" s="36"/>
      <c r="O1067" s="36"/>
      <c r="P1067" s="36"/>
      <c r="Q1067" s="36"/>
      <c r="R1067" s="36"/>
      <c r="S1067" s="36"/>
    </row>
    <row r="1068">
      <c r="A1068" s="34"/>
      <c r="B1068" s="36"/>
      <c r="C1068" s="35"/>
      <c r="D1068" s="35"/>
      <c r="E1068" s="34"/>
      <c r="F1068" s="34"/>
      <c r="G1068" s="34"/>
      <c r="H1068" s="34"/>
      <c r="I1068" s="36"/>
      <c r="J1068" s="34"/>
      <c r="K1068" s="34"/>
      <c r="L1068" s="34"/>
      <c r="M1068" s="36"/>
      <c r="N1068" s="36"/>
      <c r="O1068" s="36"/>
      <c r="P1068" s="36"/>
      <c r="Q1068" s="36"/>
      <c r="R1068" s="36"/>
      <c r="S1068" s="36"/>
    </row>
    <row r="1069">
      <c r="A1069" s="34"/>
      <c r="B1069" s="34"/>
      <c r="C1069" s="35"/>
      <c r="D1069" s="35"/>
      <c r="E1069" s="34"/>
      <c r="F1069" s="34"/>
      <c r="G1069" s="34"/>
      <c r="H1069" s="34"/>
      <c r="I1069" s="34"/>
      <c r="J1069" s="34"/>
      <c r="K1069" s="34"/>
      <c r="L1069" s="34"/>
      <c r="M1069" s="36"/>
      <c r="N1069" s="36"/>
      <c r="O1069" s="36"/>
      <c r="P1069" s="36"/>
      <c r="Q1069" s="36"/>
      <c r="R1069" s="36"/>
      <c r="S1069" s="36"/>
    </row>
    <row r="1070">
      <c r="A1070" s="34"/>
      <c r="B1070" s="36"/>
      <c r="C1070" s="35"/>
      <c r="D1070" s="35"/>
      <c r="E1070" s="34"/>
      <c r="F1070" s="34"/>
      <c r="G1070" s="34"/>
      <c r="H1070" s="34"/>
      <c r="I1070" s="36"/>
      <c r="J1070" s="34"/>
      <c r="K1070" s="34"/>
      <c r="L1070" s="34"/>
      <c r="M1070" s="36"/>
      <c r="N1070" s="36"/>
      <c r="O1070" s="36"/>
      <c r="P1070" s="36"/>
      <c r="Q1070" s="36"/>
      <c r="R1070" s="36"/>
      <c r="S1070" s="36"/>
    </row>
    <row r="1071">
      <c r="A1071" s="34"/>
      <c r="B1071" s="36"/>
      <c r="C1071" s="35"/>
      <c r="D1071" s="35"/>
      <c r="E1071" s="34"/>
      <c r="F1071" s="34"/>
      <c r="G1071" s="34"/>
      <c r="H1071" s="34"/>
      <c r="I1071" s="36"/>
      <c r="J1071" s="34"/>
      <c r="K1071" s="34"/>
      <c r="L1071" s="34"/>
      <c r="M1071" s="36"/>
      <c r="N1071" s="36"/>
      <c r="O1071" s="36"/>
      <c r="P1071" s="36"/>
      <c r="Q1071" s="36"/>
      <c r="R1071" s="36"/>
      <c r="S1071" s="36"/>
    </row>
    <row r="1072">
      <c r="A1072" s="34"/>
      <c r="B1072" s="34"/>
      <c r="C1072" s="35"/>
      <c r="D1072" s="35"/>
      <c r="E1072" s="34"/>
      <c r="F1072" s="34"/>
      <c r="G1072" s="34"/>
      <c r="H1072" s="34"/>
      <c r="I1072" s="34"/>
      <c r="J1072" s="34"/>
      <c r="K1072" s="34"/>
      <c r="L1072" s="34"/>
      <c r="M1072" s="36"/>
      <c r="N1072" s="36"/>
      <c r="O1072" s="36"/>
      <c r="P1072" s="36"/>
      <c r="Q1072" s="36"/>
      <c r="R1072" s="36"/>
      <c r="S1072" s="36"/>
    </row>
    <row r="1073">
      <c r="A1073" s="34"/>
      <c r="B1073" s="34"/>
      <c r="C1073" s="35"/>
      <c r="D1073" s="35"/>
      <c r="E1073" s="34"/>
      <c r="F1073" s="34"/>
      <c r="G1073" s="34"/>
      <c r="H1073" s="34"/>
      <c r="I1073" s="34"/>
      <c r="J1073" s="34"/>
      <c r="K1073" s="34"/>
      <c r="L1073" s="34"/>
      <c r="M1073" s="36"/>
      <c r="N1073" s="36"/>
      <c r="O1073" s="36"/>
      <c r="P1073" s="36"/>
      <c r="Q1073" s="36"/>
      <c r="R1073" s="36"/>
      <c r="S1073" s="36"/>
    </row>
    <row r="1074">
      <c r="A1074" s="34"/>
      <c r="B1074" s="34"/>
      <c r="C1074" s="35"/>
      <c r="D1074" s="35"/>
      <c r="E1074" s="34"/>
      <c r="F1074" s="34"/>
      <c r="G1074" s="34"/>
      <c r="H1074" s="34"/>
      <c r="I1074" s="34"/>
      <c r="J1074" s="34"/>
      <c r="K1074" s="34"/>
      <c r="L1074" s="34"/>
      <c r="M1074" s="36"/>
      <c r="N1074" s="36"/>
      <c r="O1074" s="36"/>
      <c r="P1074" s="36"/>
      <c r="Q1074" s="36"/>
      <c r="R1074" s="36"/>
      <c r="S1074" s="36"/>
    </row>
    <row r="1075">
      <c r="A1075" s="34"/>
      <c r="B1075" s="34"/>
      <c r="C1075" s="35"/>
      <c r="D1075" s="35"/>
      <c r="E1075" s="34"/>
      <c r="F1075" s="34"/>
      <c r="G1075" s="34"/>
      <c r="H1075" s="34"/>
      <c r="I1075" s="34"/>
      <c r="J1075" s="34"/>
      <c r="K1075" s="34"/>
      <c r="L1075" s="34"/>
      <c r="M1075" s="36"/>
      <c r="N1075" s="36"/>
      <c r="O1075" s="36"/>
      <c r="P1075" s="36"/>
      <c r="Q1075" s="36"/>
      <c r="R1075" s="36"/>
      <c r="S1075" s="36"/>
    </row>
    <row r="1076">
      <c r="A1076" s="34"/>
      <c r="B1076" s="34"/>
      <c r="C1076" s="35"/>
      <c r="D1076" s="35"/>
      <c r="E1076" s="34"/>
      <c r="F1076" s="34"/>
      <c r="G1076" s="34"/>
      <c r="H1076" s="34"/>
      <c r="I1076" s="34"/>
      <c r="J1076" s="34"/>
      <c r="K1076" s="34"/>
      <c r="L1076" s="34"/>
      <c r="M1076" s="36"/>
      <c r="N1076" s="36"/>
      <c r="O1076" s="36"/>
      <c r="P1076" s="36"/>
      <c r="Q1076" s="36"/>
      <c r="R1076" s="36"/>
      <c r="S1076" s="36"/>
    </row>
    <row r="1077">
      <c r="A1077" s="34"/>
      <c r="B1077" s="36"/>
      <c r="C1077" s="35"/>
      <c r="D1077" s="35"/>
      <c r="E1077" s="34"/>
      <c r="F1077" s="34"/>
      <c r="G1077" s="34"/>
      <c r="H1077" s="34"/>
      <c r="I1077" s="36"/>
      <c r="J1077" s="34"/>
      <c r="K1077" s="34"/>
      <c r="L1077" s="34"/>
      <c r="M1077" s="36"/>
      <c r="N1077" s="36"/>
      <c r="O1077" s="36"/>
      <c r="P1077" s="36"/>
      <c r="Q1077" s="36"/>
      <c r="R1077" s="36"/>
      <c r="S1077" s="36"/>
    </row>
    <row r="1078">
      <c r="A1078" s="34"/>
      <c r="B1078" s="36"/>
      <c r="C1078" s="35"/>
      <c r="D1078" s="35"/>
      <c r="E1078" s="34"/>
      <c r="F1078" s="34"/>
      <c r="G1078" s="34"/>
      <c r="H1078" s="34"/>
      <c r="I1078" s="36"/>
      <c r="J1078" s="34"/>
      <c r="K1078" s="34"/>
      <c r="L1078" s="34"/>
      <c r="M1078" s="36"/>
      <c r="N1078" s="36"/>
      <c r="O1078" s="36"/>
      <c r="P1078" s="36"/>
      <c r="Q1078" s="36"/>
      <c r="R1078" s="36"/>
      <c r="S1078" s="36"/>
    </row>
    <row r="1079">
      <c r="A1079" s="34"/>
      <c r="B1079" s="34"/>
      <c r="C1079" s="35"/>
      <c r="D1079" s="35"/>
      <c r="E1079" s="34"/>
      <c r="F1079" s="34"/>
      <c r="G1079" s="34"/>
      <c r="H1079" s="34"/>
      <c r="I1079" s="34"/>
      <c r="J1079" s="34"/>
      <c r="K1079" s="34"/>
      <c r="L1079" s="34"/>
      <c r="M1079" s="36"/>
      <c r="N1079" s="36"/>
      <c r="O1079" s="36"/>
      <c r="P1079" s="36"/>
      <c r="Q1079" s="36"/>
      <c r="R1079" s="36"/>
      <c r="S1079" s="36"/>
    </row>
    <row r="1080">
      <c r="A1080" s="34"/>
      <c r="B1080" s="34"/>
      <c r="C1080" s="35"/>
      <c r="D1080" s="35"/>
      <c r="E1080" s="34"/>
      <c r="F1080" s="34"/>
      <c r="G1080" s="34"/>
      <c r="H1080" s="34"/>
      <c r="I1080" s="34"/>
      <c r="J1080" s="34"/>
      <c r="K1080" s="34"/>
      <c r="L1080" s="34"/>
      <c r="M1080" s="36"/>
      <c r="N1080" s="36"/>
      <c r="O1080" s="36"/>
      <c r="P1080" s="36"/>
      <c r="Q1080" s="36"/>
      <c r="R1080" s="36"/>
      <c r="S1080" s="36"/>
    </row>
    <row r="1081">
      <c r="A1081" s="34"/>
      <c r="B1081" s="34"/>
      <c r="C1081" s="35"/>
      <c r="D1081" s="35"/>
      <c r="E1081" s="34"/>
      <c r="F1081" s="34"/>
      <c r="G1081" s="34"/>
      <c r="H1081" s="34"/>
      <c r="I1081" s="34"/>
      <c r="J1081" s="34"/>
      <c r="K1081" s="34"/>
      <c r="L1081" s="34"/>
      <c r="M1081" s="36"/>
      <c r="N1081" s="36"/>
      <c r="O1081" s="36"/>
      <c r="P1081" s="36"/>
      <c r="Q1081" s="36"/>
      <c r="R1081" s="36"/>
      <c r="S1081" s="36"/>
    </row>
    <row r="1082">
      <c r="A1082" s="34"/>
      <c r="B1082" s="36"/>
      <c r="C1082" s="35"/>
      <c r="D1082" s="35"/>
      <c r="E1082" s="34"/>
      <c r="F1082" s="34"/>
      <c r="G1082" s="34"/>
      <c r="H1082" s="34"/>
      <c r="I1082" s="36"/>
      <c r="J1082" s="34"/>
      <c r="K1082" s="34"/>
      <c r="L1082" s="34"/>
      <c r="M1082" s="36"/>
      <c r="N1082" s="36"/>
      <c r="O1082" s="36"/>
      <c r="P1082" s="36"/>
      <c r="Q1082" s="36"/>
      <c r="R1082" s="36"/>
      <c r="S1082" s="36"/>
    </row>
    <row r="1083">
      <c r="A1083" s="34"/>
      <c r="B1083" s="36"/>
      <c r="C1083" s="35"/>
      <c r="D1083" s="35"/>
      <c r="E1083" s="34"/>
      <c r="F1083" s="34"/>
      <c r="G1083" s="34"/>
      <c r="H1083" s="34"/>
      <c r="I1083" s="36"/>
      <c r="J1083" s="34"/>
      <c r="K1083" s="34"/>
      <c r="L1083" s="34"/>
      <c r="M1083" s="36"/>
      <c r="N1083" s="36"/>
      <c r="O1083" s="36"/>
      <c r="P1083" s="36"/>
      <c r="Q1083" s="36"/>
      <c r="R1083" s="36"/>
      <c r="S1083" s="36"/>
    </row>
    <row r="1084">
      <c r="A1084" s="34"/>
      <c r="B1084" s="36"/>
      <c r="C1084" s="35"/>
      <c r="D1084" s="35"/>
      <c r="E1084" s="34"/>
      <c r="F1084" s="34"/>
      <c r="G1084" s="34"/>
      <c r="H1084" s="34"/>
      <c r="I1084" s="36"/>
      <c r="J1084" s="34"/>
      <c r="K1084" s="34"/>
      <c r="L1084" s="34"/>
      <c r="M1084" s="36"/>
      <c r="N1084" s="36"/>
      <c r="O1084" s="36"/>
      <c r="P1084" s="36"/>
      <c r="Q1084" s="36"/>
      <c r="R1084" s="36"/>
      <c r="S1084" s="36"/>
    </row>
    <row r="1085">
      <c r="A1085" s="34"/>
      <c r="B1085" s="36"/>
      <c r="C1085" s="35"/>
      <c r="D1085" s="35"/>
      <c r="E1085" s="34"/>
      <c r="F1085" s="34"/>
      <c r="G1085" s="34"/>
      <c r="H1085" s="34"/>
      <c r="I1085" s="36"/>
      <c r="J1085" s="34"/>
      <c r="K1085" s="34"/>
      <c r="L1085" s="34"/>
      <c r="M1085" s="36"/>
      <c r="N1085" s="36"/>
      <c r="O1085" s="36"/>
      <c r="P1085" s="36"/>
      <c r="Q1085" s="36"/>
      <c r="R1085" s="36"/>
      <c r="S1085" s="36"/>
    </row>
    <row r="1086">
      <c r="A1086" s="34"/>
      <c r="B1086" s="36"/>
      <c r="C1086" s="35"/>
      <c r="D1086" s="35"/>
      <c r="E1086" s="34"/>
      <c r="F1086" s="34"/>
      <c r="G1086" s="34"/>
      <c r="H1086" s="34"/>
      <c r="I1086" s="36"/>
      <c r="J1086" s="34"/>
      <c r="K1086" s="34"/>
      <c r="L1086" s="34"/>
      <c r="M1086" s="36"/>
      <c r="N1086" s="36"/>
      <c r="O1086" s="36"/>
      <c r="P1086" s="36"/>
      <c r="Q1086" s="36"/>
      <c r="R1086" s="36"/>
      <c r="S1086" s="36"/>
    </row>
    <row r="1087">
      <c r="A1087" s="34"/>
      <c r="B1087" s="36"/>
      <c r="C1087" s="35"/>
      <c r="D1087" s="35"/>
      <c r="E1087" s="34"/>
      <c r="F1087" s="34"/>
      <c r="G1087" s="34"/>
      <c r="H1087" s="34"/>
      <c r="I1087" s="36"/>
      <c r="J1087" s="34"/>
      <c r="K1087" s="34"/>
      <c r="L1087" s="34"/>
      <c r="M1087" s="36"/>
      <c r="N1087" s="36"/>
      <c r="O1087" s="36"/>
      <c r="P1087" s="36"/>
      <c r="Q1087" s="36"/>
      <c r="R1087" s="36"/>
      <c r="S1087" s="36"/>
    </row>
    <row r="1088">
      <c r="A1088" s="34"/>
      <c r="B1088" s="34"/>
      <c r="C1088" s="35"/>
      <c r="D1088" s="35"/>
      <c r="E1088" s="34"/>
      <c r="F1088" s="34"/>
      <c r="G1088" s="34"/>
      <c r="H1088" s="34"/>
      <c r="I1088" s="34"/>
      <c r="J1088" s="34"/>
      <c r="K1088" s="34"/>
      <c r="L1088" s="34"/>
      <c r="M1088" s="36"/>
      <c r="N1088" s="36"/>
      <c r="O1088" s="36"/>
      <c r="P1088" s="36"/>
      <c r="Q1088" s="36"/>
      <c r="R1088" s="36"/>
      <c r="S1088" s="36"/>
    </row>
    <row r="1089">
      <c r="A1089" s="34"/>
      <c r="B1089" s="36"/>
      <c r="C1089" s="35"/>
      <c r="D1089" s="35"/>
      <c r="E1089" s="34"/>
      <c r="F1089" s="34"/>
      <c r="G1089" s="34"/>
      <c r="H1089" s="34"/>
      <c r="I1089" s="36"/>
      <c r="J1089" s="34"/>
      <c r="K1089" s="34"/>
      <c r="L1089" s="34"/>
      <c r="M1089" s="36"/>
      <c r="N1089" s="36"/>
      <c r="O1089" s="36"/>
      <c r="P1089" s="36"/>
      <c r="Q1089" s="36"/>
      <c r="R1089" s="36"/>
      <c r="S1089" s="36"/>
    </row>
    <row r="1090">
      <c r="A1090" s="34"/>
      <c r="B1090" s="36"/>
      <c r="C1090" s="35"/>
      <c r="D1090" s="35"/>
      <c r="E1090" s="34"/>
      <c r="F1090" s="34"/>
      <c r="G1090" s="34"/>
      <c r="H1090" s="34"/>
      <c r="I1090" s="36"/>
      <c r="J1090" s="34"/>
      <c r="K1090" s="34"/>
      <c r="L1090" s="34"/>
      <c r="M1090" s="36"/>
      <c r="N1090" s="36"/>
      <c r="O1090" s="36"/>
      <c r="P1090" s="36"/>
      <c r="Q1090" s="36"/>
      <c r="R1090" s="36"/>
      <c r="S1090" s="36"/>
    </row>
    <row r="1091">
      <c r="A1091" s="34"/>
      <c r="B1091" s="36"/>
      <c r="C1091" s="35"/>
      <c r="D1091" s="35"/>
      <c r="E1091" s="34"/>
      <c r="F1091" s="34"/>
      <c r="G1091" s="34"/>
      <c r="H1091" s="34"/>
      <c r="I1091" s="36"/>
      <c r="J1091" s="34"/>
      <c r="K1091" s="34"/>
      <c r="L1091" s="34"/>
      <c r="M1091" s="36"/>
      <c r="N1091" s="36"/>
      <c r="O1091" s="36"/>
      <c r="P1091" s="36"/>
      <c r="Q1091" s="36"/>
      <c r="R1091" s="36"/>
      <c r="S1091" s="36"/>
    </row>
    <row r="1092">
      <c r="A1092" s="34"/>
      <c r="B1092" s="36"/>
      <c r="C1092" s="35"/>
      <c r="D1092" s="35"/>
      <c r="E1092" s="34"/>
      <c r="F1092" s="34"/>
      <c r="G1092" s="34"/>
      <c r="H1092" s="34"/>
      <c r="I1092" s="36"/>
      <c r="J1092" s="34"/>
      <c r="K1092" s="34"/>
      <c r="L1092" s="34"/>
      <c r="M1092" s="36"/>
      <c r="N1092" s="36"/>
      <c r="O1092" s="36"/>
      <c r="P1092" s="36"/>
      <c r="Q1092" s="36"/>
      <c r="R1092" s="36"/>
      <c r="S1092" s="36"/>
    </row>
    <row r="1093">
      <c r="A1093" s="34"/>
      <c r="B1093" s="36"/>
      <c r="C1093" s="35"/>
      <c r="D1093" s="35"/>
      <c r="E1093" s="34"/>
      <c r="F1093" s="34"/>
      <c r="G1093" s="34"/>
      <c r="H1093" s="34"/>
      <c r="I1093" s="36"/>
      <c r="J1093" s="34"/>
      <c r="K1093" s="34"/>
      <c r="L1093" s="34"/>
      <c r="M1093" s="36"/>
      <c r="N1093" s="36"/>
      <c r="O1093" s="36"/>
      <c r="P1093" s="36"/>
      <c r="Q1093" s="36"/>
      <c r="R1093" s="36"/>
      <c r="S1093" s="36"/>
    </row>
    <row r="1094">
      <c r="A1094" s="34"/>
      <c r="B1094" s="36"/>
      <c r="C1094" s="35"/>
      <c r="D1094" s="35"/>
      <c r="E1094" s="34"/>
      <c r="F1094" s="34"/>
      <c r="G1094" s="34"/>
      <c r="H1094" s="34"/>
      <c r="I1094" s="36"/>
      <c r="J1094" s="34"/>
      <c r="K1094" s="34"/>
      <c r="L1094" s="34"/>
      <c r="M1094" s="36"/>
      <c r="N1094" s="36"/>
      <c r="O1094" s="36"/>
      <c r="P1094" s="36"/>
      <c r="Q1094" s="36"/>
      <c r="R1094" s="36"/>
      <c r="S1094" s="36"/>
    </row>
    <row r="1095">
      <c r="A1095" s="34"/>
      <c r="B1095" s="36"/>
      <c r="C1095" s="35"/>
      <c r="D1095" s="35"/>
      <c r="E1095" s="34"/>
      <c r="F1095" s="34"/>
      <c r="G1095" s="34"/>
      <c r="H1095" s="34"/>
      <c r="I1095" s="36"/>
      <c r="J1095" s="34"/>
      <c r="K1095" s="34"/>
      <c r="L1095" s="34"/>
      <c r="M1095" s="36"/>
      <c r="N1095" s="36"/>
      <c r="O1095" s="36"/>
      <c r="P1095" s="36"/>
      <c r="Q1095" s="36"/>
      <c r="R1095" s="36"/>
      <c r="S1095" s="36"/>
    </row>
    <row r="1096">
      <c r="A1096" s="34"/>
      <c r="B1096" s="34"/>
      <c r="C1096" s="35"/>
      <c r="D1096" s="35"/>
      <c r="E1096" s="34"/>
      <c r="F1096" s="34"/>
      <c r="G1096" s="34"/>
      <c r="H1096" s="34"/>
      <c r="I1096" s="34"/>
      <c r="J1096" s="34"/>
      <c r="K1096" s="34"/>
      <c r="L1096" s="34"/>
      <c r="M1096" s="36"/>
      <c r="N1096" s="36"/>
      <c r="O1096" s="36"/>
      <c r="P1096" s="36"/>
      <c r="Q1096" s="36"/>
      <c r="R1096" s="36"/>
      <c r="S1096" s="36"/>
    </row>
    <row r="1097">
      <c r="A1097" s="34"/>
      <c r="B1097" s="36"/>
      <c r="C1097" s="35"/>
      <c r="D1097" s="35"/>
      <c r="E1097" s="34"/>
      <c r="F1097" s="34"/>
      <c r="G1097" s="34"/>
      <c r="H1097" s="34"/>
      <c r="I1097" s="36"/>
      <c r="J1097" s="34"/>
      <c r="K1097" s="34"/>
      <c r="L1097" s="34"/>
      <c r="M1097" s="36"/>
      <c r="N1097" s="36"/>
      <c r="O1097" s="36"/>
      <c r="P1097" s="36"/>
      <c r="Q1097" s="36"/>
      <c r="R1097" s="36"/>
      <c r="S1097" s="36"/>
    </row>
    <row r="1098">
      <c r="A1098" s="34"/>
      <c r="B1098" s="36"/>
      <c r="C1098" s="35"/>
      <c r="D1098" s="35"/>
      <c r="E1098" s="34"/>
      <c r="F1098" s="34"/>
      <c r="G1098" s="34"/>
      <c r="H1098" s="34"/>
      <c r="I1098" s="36"/>
      <c r="J1098" s="34"/>
      <c r="K1098" s="34"/>
      <c r="L1098" s="34"/>
      <c r="M1098" s="36"/>
      <c r="N1098" s="36"/>
      <c r="O1098" s="36"/>
      <c r="P1098" s="36"/>
      <c r="Q1098" s="36"/>
      <c r="R1098" s="36"/>
      <c r="S1098" s="36"/>
    </row>
    <row r="1099">
      <c r="A1099" s="34"/>
      <c r="B1099" s="36"/>
      <c r="C1099" s="35"/>
      <c r="D1099" s="35"/>
      <c r="E1099" s="34"/>
      <c r="F1099" s="34"/>
      <c r="G1099" s="34"/>
      <c r="H1099" s="34"/>
      <c r="I1099" s="36"/>
      <c r="J1099" s="34"/>
      <c r="K1099" s="34"/>
      <c r="L1099" s="34"/>
      <c r="M1099" s="36"/>
      <c r="N1099" s="36"/>
      <c r="O1099" s="36"/>
      <c r="P1099" s="36"/>
      <c r="Q1099" s="36"/>
      <c r="R1099" s="36"/>
      <c r="S1099" s="36"/>
    </row>
    <row r="1100">
      <c r="A1100" s="34"/>
      <c r="B1100" s="36"/>
      <c r="C1100" s="35"/>
      <c r="D1100" s="35"/>
      <c r="E1100" s="34"/>
      <c r="F1100" s="34"/>
      <c r="G1100" s="34"/>
      <c r="H1100" s="34"/>
      <c r="I1100" s="36"/>
      <c r="J1100" s="34"/>
      <c r="K1100" s="34"/>
      <c r="L1100" s="34"/>
      <c r="M1100" s="36"/>
      <c r="N1100" s="36"/>
      <c r="O1100" s="36"/>
      <c r="P1100" s="36"/>
      <c r="Q1100" s="36"/>
      <c r="R1100" s="36"/>
      <c r="S1100" s="36"/>
    </row>
    <row r="1101">
      <c r="A1101" s="34"/>
      <c r="B1101" s="34"/>
      <c r="C1101" s="35"/>
      <c r="D1101" s="35"/>
      <c r="E1101" s="34"/>
      <c r="F1101" s="34"/>
      <c r="G1101" s="34"/>
      <c r="H1101" s="34"/>
      <c r="I1101" s="34"/>
      <c r="J1101" s="34"/>
      <c r="K1101" s="34"/>
      <c r="L1101" s="34"/>
      <c r="M1101" s="36"/>
      <c r="N1101" s="36"/>
      <c r="O1101" s="36"/>
      <c r="P1101" s="36"/>
      <c r="Q1101" s="36"/>
      <c r="R1101" s="36"/>
      <c r="S1101" s="36"/>
    </row>
    <row r="1102">
      <c r="A1102" s="34"/>
      <c r="B1102" s="34"/>
      <c r="C1102" s="35"/>
      <c r="D1102" s="35"/>
      <c r="E1102" s="34"/>
      <c r="F1102" s="34"/>
      <c r="G1102" s="34"/>
      <c r="H1102" s="34"/>
      <c r="I1102" s="34"/>
      <c r="J1102" s="34"/>
      <c r="K1102" s="34"/>
      <c r="L1102" s="34"/>
      <c r="M1102" s="36"/>
      <c r="N1102" s="36"/>
      <c r="O1102" s="36"/>
      <c r="P1102" s="36"/>
      <c r="Q1102" s="36"/>
      <c r="R1102" s="36"/>
      <c r="S1102" s="36"/>
    </row>
    <row r="1103">
      <c r="A1103" s="34"/>
      <c r="B1103" s="36"/>
      <c r="C1103" s="35"/>
      <c r="D1103" s="35"/>
      <c r="E1103" s="34"/>
      <c r="F1103" s="34"/>
      <c r="G1103" s="34"/>
      <c r="H1103" s="34"/>
      <c r="I1103" s="36"/>
      <c r="J1103" s="34"/>
      <c r="K1103" s="34"/>
      <c r="L1103" s="34"/>
      <c r="M1103" s="36"/>
      <c r="N1103" s="36"/>
      <c r="O1103" s="36"/>
      <c r="P1103" s="36"/>
      <c r="Q1103" s="36"/>
      <c r="R1103" s="36"/>
      <c r="S1103" s="36"/>
    </row>
    <row r="1104">
      <c r="A1104" s="34"/>
      <c r="B1104" s="36"/>
      <c r="C1104" s="35"/>
      <c r="D1104" s="35"/>
      <c r="E1104" s="34"/>
      <c r="F1104" s="34"/>
      <c r="G1104" s="34"/>
      <c r="H1104" s="34"/>
      <c r="I1104" s="36"/>
      <c r="J1104" s="34"/>
      <c r="K1104" s="34"/>
      <c r="L1104" s="34"/>
      <c r="M1104" s="36"/>
      <c r="N1104" s="36"/>
      <c r="O1104" s="36"/>
      <c r="P1104" s="36"/>
      <c r="Q1104" s="36"/>
      <c r="R1104" s="36"/>
      <c r="S1104" s="36"/>
    </row>
    <row r="1105">
      <c r="A1105" s="34"/>
      <c r="B1105" s="36"/>
      <c r="C1105" s="35"/>
      <c r="D1105" s="35"/>
      <c r="E1105" s="34"/>
      <c r="F1105" s="34"/>
      <c r="G1105" s="34"/>
      <c r="H1105" s="34"/>
      <c r="I1105" s="36"/>
      <c r="J1105" s="34"/>
      <c r="K1105" s="34"/>
      <c r="L1105" s="34"/>
      <c r="M1105" s="36"/>
      <c r="N1105" s="36"/>
      <c r="O1105" s="36"/>
      <c r="P1105" s="36"/>
      <c r="Q1105" s="36"/>
      <c r="R1105" s="36"/>
      <c r="S1105" s="36"/>
    </row>
    <row r="1106">
      <c r="A1106" s="34"/>
      <c r="B1106" s="36"/>
      <c r="C1106" s="35"/>
      <c r="D1106" s="35"/>
      <c r="E1106" s="34"/>
      <c r="F1106" s="34"/>
      <c r="G1106" s="34"/>
      <c r="H1106" s="34"/>
      <c r="I1106" s="36"/>
      <c r="J1106" s="34"/>
      <c r="K1106" s="34"/>
      <c r="L1106" s="34"/>
      <c r="M1106" s="36"/>
      <c r="N1106" s="36"/>
      <c r="O1106" s="36"/>
      <c r="P1106" s="36"/>
      <c r="Q1106" s="36"/>
      <c r="R1106" s="36"/>
      <c r="S1106" s="36"/>
    </row>
    <row r="1107">
      <c r="A1107" s="34"/>
      <c r="B1107" s="36"/>
      <c r="C1107" s="35"/>
      <c r="D1107" s="35"/>
      <c r="E1107" s="34"/>
      <c r="F1107" s="34"/>
      <c r="G1107" s="34"/>
      <c r="H1107" s="34"/>
      <c r="I1107" s="36"/>
      <c r="J1107" s="34"/>
      <c r="K1107" s="34"/>
      <c r="L1107" s="34"/>
      <c r="M1107" s="36"/>
      <c r="N1107" s="36"/>
      <c r="O1107" s="36"/>
      <c r="P1107" s="36"/>
      <c r="Q1107" s="36"/>
      <c r="R1107" s="36"/>
      <c r="S1107" s="36"/>
    </row>
    <row r="1108">
      <c r="A1108" s="34"/>
      <c r="B1108" s="34"/>
      <c r="C1108" s="35"/>
      <c r="D1108" s="35"/>
      <c r="E1108" s="34"/>
      <c r="F1108" s="34"/>
      <c r="G1108" s="34"/>
      <c r="H1108" s="34"/>
      <c r="I1108" s="34"/>
      <c r="J1108" s="34"/>
      <c r="K1108" s="34"/>
      <c r="L1108" s="34"/>
      <c r="M1108" s="36"/>
      <c r="N1108" s="36"/>
      <c r="O1108" s="36"/>
      <c r="P1108" s="36"/>
      <c r="Q1108" s="36"/>
      <c r="R1108" s="36"/>
      <c r="S1108" s="36"/>
    </row>
    <row r="1109">
      <c r="A1109" s="34"/>
      <c r="B1109" s="36"/>
      <c r="C1109" s="35"/>
      <c r="D1109" s="35"/>
      <c r="E1109" s="34"/>
      <c r="F1109" s="34"/>
      <c r="G1109" s="34"/>
      <c r="H1109" s="34"/>
      <c r="I1109" s="36"/>
      <c r="J1109" s="34"/>
      <c r="K1109" s="34"/>
      <c r="L1109" s="34"/>
      <c r="M1109" s="36"/>
      <c r="N1109" s="36"/>
      <c r="O1109" s="36"/>
      <c r="P1109" s="36"/>
      <c r="Q1109" s="36"/>
      <c r="R1109" s="36"/>
      <c r="S1109" s="36"/>
    </row>
    <row r="1110">
      <c r="A1110" s="34"/>
      <c r="B1110" s="36"/>
      <c r="C1110" s="35"/>
      <c r="D1110" s="35"/>
      <c r="E1110" s="34"/>
      <c r="F1110" s="34"/>
      <c r="G1110" s="34"/>
      <c r="H1110" s="34"/>
      <c r="I1110" s="36"/>
      <c r="J1110" s="34"/>
      <c r="K1110" s="34"/>
      <c r="L1110" s="34"/>
      <c r="M1110" s="36"/>
      <c r="N1110" s="36"/>
      <c r="O1110" s="36"/>
      <c r="P1110" s="36"/>
      <c r="Q1110" s="36"/>
      <c r="R1110" s="36"/>
      <c r="S1110" s="36"/>
    </row>
    <row r="1111">
      <c r="A1111" s="34"/>
      <c r="B1111" s="36"/>
      <c r="C1111" s="35"/>
      <c r="D1111" s="35"/>
      <c r="E1111" s="34"/>
      <c r="F1111" s="34"/>
      <c r="G1111" s="34"/>
      <c r="H1111" s="34"/>
      <c r="I1111" s="36"/>
      <c r="J1111" s="34"/>
      <c r="K1111" s="34"/>
      <c r="L1111" s="34"/>
      <c r="M1111" s="36"/>
      <c r="N1111" s="36"/>
      <c r="O1111" s="36"/>
      <c r="P1111" s="36"/>
      <c r="Q1111" s="36"/>
      <c r="R1111" s="36"/>
      <c r="S1111" s="36"/>
    </row>
    <row r="1112">
      <c r="A1112" s="34"/>
      <c r="B1112" s="34"/>
      <c r="C1112" s="35"/>
      <c r="D1112" s="35"/>
      <c r="E1112" s="34"/>
      <c r="F1112" s="34"/>
      <c r="G1112" s="34"/>
      <c r="H1112" s="34"/>
      <c r="I1112" s="34"/>
      <c r="J1112" s="34"/>
      <c r="K1112" s="34"/>
      <c r="L1112" s="34"/>
      <c r="M1112" s="36"/>
      <c r="N1112" s="36"/>
      <c r="O1112" s="36"/>
      <c r="P1112" s="36"/>
      <c r="Q1112" s="36"/>
      <c r="R1112" s="36"/>
      <c r="S1112" s="36"/>
    </row>
    <row r="1113">
      <c r="A1113" s="34"/>
      <c r="B1113" s="36"/>
      <c r="C1113" s="35"/>
      <c r="D1113" s="35"/>
      <c r="E1113" s="34"/>
      <c r="F1113" s="34"/>
      <c r="G1113" s="34"/>
      <c r="H1113" s="34"/>
      <c r="I1113" s="36"/>
      <c r="J1113" s="34"/>
      <c r="K1113" s="34"/>
      <c r="L1113" s="34"/>
      <c r="M1113" s="36"/>
      <c r="N1113" s="36"/>
      <c r="O1113" s="36"/>
      <c r="P1113" s="36"/>
      <c r="Q1113" s="36"/>
      <c r="R1113" s="36"/>
      <c r="S1113" s="36"/>
    </row>
    <row r="1114">
      <c r="A1114" s="34"/>
      <c r="B1114" s="36"/>
      <c r="C1114" s="35"/>
      <c r="D1114" s="35"/>
      <c r="E1114" s="34"/>
      <c r="F1114" s="34"/>
      <c r="G1114" s="34"/>
      <c r="H1114" s="34"/>
      <c r="I1114" s="36"/>
      <c r="J1114" s="34"/>
      <c r="K1114" s="34"/>
      <c r="L1114" s="34"/>
      <c r="M1114" s="36"/>
      <c r="N1114" s="36"/>
      <c r="O1114" s="36"/>
      <c r="P1114" s="36"/>
      <c r="Q1114" s="36"/>
      <c r="R1114" s="36"/>
      <c r="S1114" s="36"/>
    </row>
    <row r="1115">
      <c r="A1115" s="34"/>
      <c r="B1115" s="36"/>
      <c r="C1115" s="35"/>
      <c r="D1115" s="35"/>
      <c r="E1115" s="34"/>
      <c r="F1115" s="34"/>
      <c r="G1115" s="34"/>
      <c r="H1115" s="34"/>
      <c r="I1115" s="36"/>
      <c r="J1115" s="34"/>
      <c r="K1115" s="34"/>
      <c r="L1115" s="34"/>
      <c r="M1115" s="36"/>
      <c r="N1115" s="36"/>
      <c r="O1115" s="36"/>
      <c r="P1115" s="36"/>
      <c r="Q1115" s="36"/>
      <c r="R1115" s="36"/>
      <c r="S1115" s="36"/>
    </row>
    <row r="1116">
      <c r="A1116" s="34"/>
      <c r="B1116" s="36"/>
      <c r="C1116" s="35"/>
      <c r="D1116" s="35"/>
      <c r="E1116" s="34"/>
      <c r="F1116" s="34"/>
      <c r="G1116" s="34"/>
      <c r="H1116" s="34"/>
      <c r="I1116" s="36"/>
      <c r="J1116" s="34"/>
      <c r="K1116" s="34"/>
      <c r="L1116" s="34"/>
      <c r="M1116" s="36"/>
      <c r="N1116" s="36"/>
      <c r="O1116" s="36"/>
      <c r="P1116" s="36"/>
      <c r="Q1116" s="36"/>
      <c r="R1116" s="36"/>
      <c r="S1116" s="36"/>
    </row>
    <row r="1117">
      <c r="A1117" s="34"/>
      <c r="B1117" s="34"/>
      <c r="C1117" s="35"/>
      <c r="D1117" s="35"/>
      <c r="E1117" s="34"/>
      <c r="F1117" s="34"/>
      <c r="G1117" s="34"/>
      <c r="H1117" s="34"/>
      <c r="I1117" s="34"/>
      <c r="J1117" s="34"/>
      <c r="K1117" s="34"/>
      <c r="L1117" s="34"/>
      <c r="M1117" s="36"/>
      <c r="N1117" s="36"/>
      <c r="O1117" s="36"/>
      <c r="P1117" s="36"/>
      <c r="Q1117" s="36"/>
      <c r="R1117" s="36"/>
      <c r="S1117" s="36"/>
    </row>
    <row r="1118">
      <c r="A1118" s="34"/>
      <c r="B1118" s="36"/>
      <c r="C1118" s="35"/>
      <c r="D1118" s="35"/>
      <c r="E1118" s="34"/>
      <c r="F1118" s="34"/>
      <c r="G1118" s="34"/>
      <c r="H1118" s="34"/>
      <c r="I1118" s="36"/>
      <c r="J1118" s="34"/>
      <c r="K1118" s="34"/>
      <c r="L1118" s="34"/>
      <c r="M1118" s="36"/>
      <c r="N1118" s="36"/>
      <c r="O1118" s="36"/>
      <c r="P1118" s="36"/>
      <c r="Q1118" s="36"/>
      <c r="R1118" s="36"/>
      <c r="S1118" s="36"/>
    </row>
    <row r="1119">
      <c r="A1119" s="34"/>
      <c r="B1119" s="36"/>
      <c r="C1119" s="35"/>
      <c r="D1119" s="35"/>
      <c r="E1119" s="34"/>
      <c r="F1119" s="34"/>
      <c r="G1119" s="34"/>
      <c r="H1119" s="34"/>
      <c r="I1119" s="36"/>
      <c r="J1119" s="34"/>
      <c r="K1119" s="34"/>
      <c r="L1119" s="34"/>
      <c r="M1119" s="36"/>
      <c r="N1119" s="36"/>
      <c r="O1119" s="36"/>
      <c r="P1119" s="36"/>
      <c r="Q1119" s="36"/>
      <c r="R1119" s="36"/>
      <c r="S1119" s="36"/>
    </row>
    <row r="1120">
      <c r="A1120" s="34"/>
      <c r="B1120" s="36"/>
      <c r="C1120" s="35"/>
      <c r="D1120" s="35"/>
      <c r="E1120" s="34"/>
      <c r="F1120" s="34"/>
      <c r="G1120" s="34"/>
      <c r="H1120" s="34"/>
      <c r="I1120" s="36"/>
      <c r="J1120" s="34"/>
      <c r="K1120" s="34"/>
      <c r="L1120" s="34"/>
      <c r="M1120" s="36"/>
      <c r="N1120" s="36"/>
      <c r="O1120" s="36"/>
      <c r="P1120" s="36"/>
      <c r="Q1120" s="36"/>
      <c r="R1120" s="36"/>
      <c r="S1120" s="36"/>
    </row>
    <row r="1121">
      <c r="A1121" s="34"/>
      <c r="B1121" s="36"/>
      <c r="C1121" s="35"/>
      <c r="D1121" s="35"/>
      <c r="E1121" s="34"/>
      <c r="F1121" s="34"/>
      <c r="G1121" s="34"/>
      <c r="H1121" s="34"/>
      <c r="I1121" s="36"/>
      <c r="J1121" s="34"/>
      <c r="K1121" s="34"/>
      <c r="L1121" s="34"/>
      <c r="M1121" s="36"/>
      <c r="N1121" s="36"/>
      <c r="O1121" s="36"/>
      <c r="P1121" s="36"/>
      <c r="Q1121" s="36"/>
      <c r="R1121" s="36"/>
      <c r="S1121" s="36"/>
    </row>
    <row r="1122">
      <c r="A1122" s="34"/>
      <c r="B1122" s="34"/>
      <c r="C1122" s="35"/>
      <c r="D1122" s="35"/>
      <c r="E1122" s="34"/>
      <c r="F1122" s="34"/>
      <c r="G1122" s="34"/>
      <c r="H1122" s="34"/>
      <c r="I1122" s="34"/>
      <c r="J1122" s="34"/>
      <c r="K1122" s="34"/>
      <c r="L1122" s="34"/>
      <c r="M1122" s="36"/>
      <c r="N1122" s="36"/>
      <c r="O1122" s="36"/>
      <c r="P1122" s="36"/>
      <c r="Q1122" s="36"/>
      <c r="R1122" s="36"/>
      <c r="S1122" s="36"/>
    </row>
    <row r="1123">
      <c r="A1123" s="34"/>
      <c r="B1123" s="36"/>
      <c r="C1123" s="35"/>
      <c r="D1123" s="35"/>
      <c r="E1123" s="34"/>
      <c r="F1123" s="34"/>
      <c r="G1123" s="34"/>
      <c r="H1123" s="34"/>
      <c r="I1123" s="36"/>
      <c r="J1123" s="34"/>
      <c r="K1123" s="34"/>
      <c r="L1123" s="34"/>
      <c r="M1123" s="36"/>
      <c r="N1123" s="36"/>
      <c r="O1123" s="36"/>
      <c r="P1123" s="36"/>
      <c r="Q1123" s="36"/>
      <c r="R1123" s="36"/>
      <c r="S1123" s="36"/>
    </row>
    <row r="1124">
      <c r="A1124" s="34"/>
      <c r="B1124" s="36"/>
      <c r="C1124" s="35"/>
      <c r="D1124" s="35"/>
      <c r="E1124" s="34"/>
      <c r="F1124" s="34"/>
      <c r="G1124" s="34"/>
      <c r="H1124" s="34"/>
      <c r="I1124" s="36"/>
      <c r="J1124" s="34"/>
      <c r="K1124" s="34"/>
      <c r="L1124" s="34"/>
      <c r="M1124" s="36"/>
      <c r="N1124" s="36"/>
      <c r="O1124" s="36"/>
      <c r="P1124" s="36"/>
      <c r="Q1124" s="36"/>
      <c r="R1124" s="36"/>
      <c r="S1124" s="36"/>
    </row>
    <row r="1125">
      <c r="A1125" s="34"/>
      <c r="B1125" s="36"/>
      <c r="C1125" s="35"/>
      <c r="D1125" s="35"/>
      <c r="E1125" s="34"/>
      <c r="F1125" s="34"/>
      <c r="G1125" s="34"/>
      <c r="H1125" s="34"/>
      <c r="I1125" s="34"/>
      <c r="J1125" s="34"/>
      <c r="K1125" s="34"/>
      <c r="L1125" s="34"/>
      <c r="M1125" s="36"/>
      <c r="N1125" s="36"/>
      <c r="O1125" s="36"/>
      <c r="P1125" s="36"/>
      <c r="Q1125" s="36"/>
      <c r="R1125" s="36"/>
      <c r="S1125" s="36"/>
    </row>
    <row r="1126">
      <c r="A1126" s="34"/>
      <c r="B1126" s="34"/>
      <c r="C1126" s="35"/>
      <c r="D1126" s="35"/>
      <c r="E1126" s="34"/>
      <c r="F1126" s="34"/>
      <c r="G1126" s="34"/>
      <c r="H1126" s="34"/>
      <c r="I1126" s="34"/>
      <c r="J1126" s="34"/>
      <c r="K1126" s="34"/>
      <c r="L1126" s="34"/>
      <c r="M1126" s="36"/>
      <c r="N1126" s="36"/>
      <c r="O1126" s="36"/>
      <c r="P1126" s="36"/>
      <c r="Q1126" s="36"/>
      <c r="R1126" s="36"/>
      <c r="S1126" s="36"/>
    </row>
    <row r="1127">
      <c r="A1127" s="34"/>
      <c r="B1127" s="36"/>
      <c r="C1127" s="35"/>
      <c r="D1127" s="35"/>
      <c r="E1127" s="34"/>
      <c r="F1127" s="34"/>
      <c r="G1127" s="34"/>
      <c r="H1127" s="34"/>
      <c r="I1127" s="36"/>
      <c r="J1127" s="34"/>
      <c r="K1127" s="34"/>
      <c r="L1127" s="34"/>
      <c r="M1127" s="36"/>
      <c r="N1127" s="36"/>
      <c r="O1127" s="36"/>
      <c r="P1127" s="36"/>
      <c r="Q1127" s="36"/>
      <c r="R1127" s="36"/>
      <c r="S1127" s="36"/>
    </row>
    <row r="1128">
      <c r="A1128" s="34"/>
      <c r="B1128" s="34"/>
      <c r="C1128" s="35"/>
      <c r="D1128" s="35"/>
      <c r="E1128" s="34"/>
      <c r="F1128" s="34"/>
      <c r="G1128" s="34"/>
      <c r="H1128" s="34"/>
      <c r="I1128" s="34"/>
      <c r="J1128" s="34"/>
      <c r="K1128" s="34"/>
      <c r="L1128" s="34"/>
      <c r="M1128" s="36"/>
      <c r="N1128" s="36"/>
      <c r="O1128" s="36"/>
      <c r="P1128" s="36"/>
      <c r="Q1128" s="36"/>
      <c r="R1128" s="36"/>
      <c r="S1128" s="36"/>
    </row>
    <row r="1129">
      <c r="A1129" s="34"/>
      <c r="B1129" s="36"/>
      <c r="C1129" s="35"/>
      <c r="D1129" s="35"/>
      <c r="E1129" s="34"/>
      <c r="F1129" s="34"/>
      <c r="G1129" s="34"/>
      <c r="H1129" s="34"/>
      <c r="I1129" s="36"/>
      <c r="J1129" s="34"/>
      <c r="K1129" s="34"/>
      <c r="L1129" s="34"/>
      <c r="M1129" s="36"/>
      <c r="N1129" s="36"/>
      <c r="O1129" s="36"/>
      <c r="P1129" s="36"/>
      <c r="Q1129" s="36"/>
      <c r="R1129" s="36"/>
      <c r="S1129" s="36"/>
    </row>
    <row r="1130">
      <c r="A1130" s="34"/>
      <c r="B1130" s="34"/>
      <c r="C1130" s="35"/>
      <c r="D1130" s="35"/>
      <c r="E1130" s="34"/>
      <c r="F1130" s="34"/>
      <c r="G1130" s="34"/>
      <c r="H1130" s="34"/>
      <c r="I1130" s="34"/>
      <c r="J1130" s="34"/>
      <c r="K1130" s="34"/>
      <c r="L1130" s="34"/>
      <c r="M1130" s="36"/>
      <c r="N1130" s="36"/>
      <c r="O1130" s="36"/>
      <c r="P1130" s="36"/>
      <c r="Q1130" s="36"/>
      <c r="R1130" s="36"/>
      <c r="S1130" s="36"/>
    </row>
    <row r="1131">
      <c r="A1131" s="34"/>
      <c r="B1131" s="34"/>
      <c r="C1131" s="35"/>
      <c r="D1131" s="35"/>
      <c r="E1131" s="34"/>
      <c r="F1131" s="34"/>
      <c r="G1131" s="34"/>
      <c r="H1131" s="34"/>
      <c r="I1131" s="34"/>
      <c r="J1131" s="34"/>
      <c r="K1131" s="34"/>
      <c r="L1131" s="34"/>
      <c r="M1131" s="36"/>
      <c r="N1131" s="36"/>
      <c r="O1131" s="36"/>
      <c r="P1131" s="36"/>
      <c r="Q1131" s="36"/>
      <c r="R1131" s="36"/>
      <c r="S1131" s="36"/>
    </row>
    <row r="1132">
      <c r="A1132" s="34"/>
      <c r="B1132" s="36"/>
      <c r="C1132" s="35"/>
      <c r="D1132" s="35"/>
      <c r="E1132" s="34"/>
      <c r="F1132" s="34"/>
      <c r="G1132" s="34"/>
      <c r="H1132" s="34"/>
      <c r="I1132" s="36"/>
      <c r="J1132" s="34"/>
      <c r="K1132" s="34"/>
      <c r="L1132" s="34"/>
      <c r="M1132" s="36"/>
      <c r="N1132" s="36"/>
      <c r="O1132" s="36"/>
      <c r="P1132" s="36"/>
      <c r="Q1132" s="36"/>
      <c r="R1132" s="36"/>
      <c r="S1132" s="36"/>
    </row>
    <row r="1133">
      <c r="A1133" s="34"/>
      <c r="B1133" s="36"/>
      <c r="C1133" s="35"/>
      <c r="D1133" s="35"/>
      <c r="E1133" s="34"/>
      <c r="F1133" s="34"/>
      <c r="G1133" s="34"/>
      <c r="H1133" s="34"/>
      <c r="I1133" s="36"/>
      <c r="J1133" s="34"/>
      <c r="K1133" s="34"/>
      <c r="L1133" s="34"/>
      <c r="M1133" s="36"/>
      <c r="N1133" s="36"/>
      <c r="O1133" s="36"/>
      <c r="P1133" s="36"/>
      <c r="Q1133" s="36"/>
      <c r="R1133" s="36"/>
      <c r="S1133" s="36"/>
    </row>
    <row r="1134">
      <c r="A1134" s="34"/>
      <c r="B1134" s="34"/>
      <c r="C1134" s="35"/>
      <c r="D1134" s="35"/>
      <c r="E1134" s="34"/>
      <c r="F1134" s="34"/>
      <c r="G1134" s="34"/>
      <c r="H1134" s="34"/>
      <c r="I1134" s="34"/>
      <c r="J1134" s="34"/>
      <c r="K1134" s="34"/>
      <c r="L1134" s="34"/>
      <c r="M1134" s="36"/>
      <c r="N1134" s="36"/>
      <c r="O1134" s="36"/>
      <c r="P1134" s="36"/>
      <c r="Q1134" s="36"/>
      <c r="R1134" s="36"/>
      <c r="S1134" s="36"/>
    </row>
    <row r="1135">
      <c r="A1135" s="34"/>
      <c r="B1135" s="36"/>
      <c r="C1135" s="35"/>
      <c r="D1135" s="35"/>
      <c r="E1135" s="34"/>
      <c r="F1135" s="34"/>
      <c r="G1135" s="34"/>
      <c r="H1135" s="34"/>
      <c r="I1135" s="36"/>
      <c r="J1135" s="34"/>
      <c r="K1135" s="34"/>
      <c r="L1135" s="34"/>
      <c r="M1135" s="36"/>
      <c r="N1135" s="36"/>
      <c r="O1135" s="36"/>
      <c r="P1135" s="36"/>
      <c r="Q1135" s="36"/>
      <c r="R1135" s="36"/>
      <c r="S1135" s="36"/>
    </row>
    <row r="1136">
      <c r="A1136" s="34"/>
      <c r="B1136" s="36"/>
      <c r="C1136" s="35"/>
      <c r="D1136" s="35"/>
      <c r="E1136" s="34"/>
      <c r="F1136" s="34"/>
      <c r="G1136" s="34"/>
      <c r="H1136" s="34"/>
      <c r="I1136" s="36"/>
      <c r="J1136" s="34"/>
      <c r="K1136" s="34"/>
      <c r="L1136" s="34"/>
      <c r="M1136" s="36"/>
      <c r="N1136" s="36"/>
      <c r="O1136" s="36"/>
      <c r="P1136" s="36"/>
      <c r="Q1136" s="36"/>
      <c r="R1136" s="36"/>
      <c r="S1136" s="36"/>
    </row>
    <row r="1137">
      <c r="A1137" s="34"/>
      <c r="B1137" s="36"/>
      <c r="C1137" s="35"/>
      <c r="D1137" s="35"/>
      <c r="E1137" s="34"/>
      <c r="F1137" s="34"/>
      <c r="G1137" s="34"/>
      <c r="H1137" s="34"/>
      <c r="I1137" s="36"/>
      <c r="J1137" s="34"/>
      <c r="K1137" s="34"/>
      <c r="L1137" s="34"/>
      <c r="M1137" s="36"/>
      <c r="N1137" s="36"/>
      <c r="O1137" s="36"/>
      <c r="P1137" s="36"/>
      <c r="Q1137" s="36"/>
      <c r="R1137" s="36"/>
      <c r="S1137" s="36"/>
    </row>
    <row r="1138">
      <c r="A1138" s="34"/>
      <c r="B1138" s="36"/>
      <c r="C1138" s="35"/>
      <c r="D1138" s="35"/>
      <c r="E1138" s="34"/>
      <c r="F1138" s="34"/>
      <c r="G1138" s="34"/>
      <c r="H1138" s="34"/>
      <c r="I1138" s="36"/>
      <c r="J1138" s="34"/>
      <c r="K1138" s="34"/>
      <c r="L1138" s="34"/>
      <c r="M1138" s="36"/>
      <c r="N1138" s="36"/>
      <c r="O1138" s="36"/>
      <c r="P1138" s="36"/>
      <c r="Q1138" s="36"/>
      <c r="R1138" s="36"/>
      <c r="S1138" s="36"/>
    </row>
    <row r="1139">
      <c r="A1139" s="34"/>
      <c r="B1139" s="36"/>
      <c r="C1139" s="35"/>
      <c r="D1139" s="35"/>
      <c r="E1139" s="34"/>
      <c r="F1139" s="34"/>
      <c r="G1139" s="34"/>
      <c r="H1139" s="34"/>
      <c r="I1139" s="36"/>
      <c r="J1139" s="34"/>
      <c r="K1139" s="34"/>
      <c r="L1139" s="34"/>
      <c r="M1139" s="36"/>
      <c r="N1139" s="36"/>
      <c r="O1139" s="36"/>
      <c r="P1139" s="36"/>
      <c r="Q1139" s="36"/>
      <c r="R1139" s="36"/>
      <c r="S1139" s="36"/>
    </row>
    <row r="1140">
      <c r="A1140" s="34"/>
      <c r="B1140" s="36"/>
      <c r="C1140" s="35"/>
      <c r="D1140" s="35"/>
      <c r="E1140" s="34"/>
      <c r="F1140" s="34"/>
      <c r="G1140" s="34"/>
      <c r="H1140" s="34"/>
      <c r="I1140" s="36"/>
      <c r="J1140" s="34"/>
      <c r="K1140" s="34"/>
      <c r="L1140" s="34"/>
      <c r="M1140" s="36"/>
      <c r="N1140" s="36"/>
      <c r="O1140" s="36"/>
      <c r="P1140" s="36"/>
      <c r="Q1140" s="36"/>
      <c r="R1140" s="36"/>
      <c r="S1140" s="36"/>
    </row>
    <row r="1141">
      <c r="A1141" s="34"/>
      <c r="B1141" s="36"/>
      <c r="C1141" s="35"/>
      <c r="D1141" s="35"/>
      <c r="E1141" s="34"/>
      <c r="F1141" s="34"/>
      <c r="G1141" s="34"/>
      <c r="H1141" s="34"/>
      <c r="I1141" s="36"/>
      <c r="J1141" s="34"/>
      <c r="K1141" s="34"/>
      <c r="L1141" s="34"/>
      <c r="M1141" s="36"/>
      <c r="N1141" s="36"/>
      <c r="O1141" s="36"/>
      <c r="P1141" s="36"/>
      <c r="Q1141" s="36"/>
      <c r="R1141" s="36"/>
      <c r="S1141" s="36"/>
    </row>
    <row r="1142">
      <c r="A1142" s="34"/>
      <c r="B1142" s="36"/>
      <c r="C1142" s="35"/>
      <c r="D1142" s="35"/>
      <c r="E1142" s="34"/>
      <c r="F1142" s="34"/>
      <c r="G1142" s="34"/>
      <c r="H1142" s="34"/>
      <c r="I1142" s="36"/>
      <c r="J1142" s="34"/>
      <c r="K1142" s="34"/>
      <c r="L1142" s="34"/>
      <c r="M1142" s="36"/>
      <c r="N1142" s="36"/>
      <c r="O1142" s="36"/>
      <c r="P1142" s="36"/>
      <c r="Q1142" s="36"/>
      <c r="R1142" s="36"/>
      <c r="S1142" s="36"/>
    </row>
    <row r="1143">
      <c r="A1143" s="34"/>
      <c r="B1143" s="34"/>
      <c r="C1143" s="35"/>
      <c r="D1143" s="35"/>
      <c r="E1143" s="34"/>
      <c r="F1143" s="34"/>
      <c r="G1143" s="34"/>
      <c r="H1143" s="34"/>
      <c r="I1143" s="34"/>
      <c r="J1143" s="34"/>
      <c r="K1143" s="34"/>
      <c r="L1143" s="34"/>
      <c r="M1143" s="36"/>
      <c r="N1143" s="36"/>
      <c r="O1143" s="36"/>
      <c r="P1143" s="36"/>
      <c r="Q1143" s="36"/>
      <c r="R1143" s="36"/>
      <c r="S1143" s="36"/>
    </row>
    <row r="1144">
      <c r="A1144" s="34"/>
      <c r="B1144" s="36"/>
      <c r="C1144" s="35"/>
      <c r="D1144" s="35"/>
      <c r="E1144" s="34"/>
      <c r="F1144" s="34"/>
      <c r="G1144" s="34"/>
      <c r="H1144" s="34"/>
      <c r="I1144" s="36"/>
      <c r="J1144" s="34"/>
      <c r="K1144" s="34"/>
      <c r="L1144" s="34"/>
      <c r="M1144" s="36"/>
      <c r="N1144" s="36"/>
      <c r="O1144" s="36"/>
      <c r="P1144" s="36"/>
      <c r="Q1144" s="36"/>
      <c r="R1144" s="36"/>
      <c r="S1144" s="36"/>
    </row>
    <row r="1145">
      <c r="A1145" s="34"/>
      <c r="B1145" s="36"/>
      <c r="C1145" s="35"/>
      <c r="D1145" s="35"/>
      <c r="E1145" s="34"/>
      <c r="F1145" s="34"/>
      <c r="G1145" s="34"/>
      <c r="H1145" s="34"/>
      <c r="I1145" s="34"/>
      <c r="J1145" s="34"/>
      <c r="K1145" s="34"/>
      <c r="L1145" s="34"/>
      <c r="M1145" s="36"/>
      <c r="N1145" s="36"/>
      <c r="O1145" s="36"/>
      <c r="P1145" s="36"/>
      <c r="Q1145" s="36"/>
      <c r="R1145" s="36"/>
      <c r="S1145" s="36"/>
    </row>
    <row r="1146">
      <c r="A1146" s="34"/>
      <c r="B1146" s="36"/>
      <c r="C1146" s="35"/>
      <c r="D1146" s="35"/>
      <c r="E1146" s="34"/>
      <c r="F1146" s="34"/>
      <c r="G1146" s="34"/>
      <c r="H1146" s="34"/>
      <c r="I1146" s="34"/>
      <c r="J1146" s="34"/>
      <c r="K1146" s="34"/>
      <c r="L1146" s="34"/>
      <c r="M1146" s="36"/>
      <c r="N1146" s="36"/>
      <c r="O1146" s="36"/>
      <c r="P1146" s="36"/>
      <c r="Q1146" s="36"/>
      <c r="R1146" s="36"/>
      <c r="S1146" s="36"/>
    </row>
    <row r="1147">
      <c r="A1147" s="34"/>
      <c r="B1147" s="36"/>
      <c r="C1147" s="35"/>
      <c r="D1147" s="35"/>
      <c r="E1147" s="34"/>
      <c r="F1147" s="34"/>
      <c r="G1147" s="34"/>
      <c r="H1147" s="34"/>
      <c r="I1147" s="34"/>
      <c r="J1147" s="34"/>
      <c r="K1147" s="34"/>
      <c r="L1147" s="34"/>
      <c r="M1147" s="36"/>
      <c r="N1147" s="36"/>
      <c r="O1147" s="36"/>
      <c r="P1147" s="36"/>
      <c r="Q1147" s="36"/>
      <c r="R1147" s="36"/>
      <c r="S1147" s="36"/>
    </row>
    <row r="1148">
      <c r="A1148" s="34"/>
      <c r="B1148" s="34"/>
      <c r="C1148" s="35"/>
      <c r="D1148" s="35"/>
      <c r="E1148" s="34"/>
      <c r="F1148" s="34"/>
      <c r="G1148" s="34"/>
      <c r="H1148" s="34"/>
      <c r="I1148" s="34"/>
      <c r="J1148" s="34"/>
      <c r="K1148" s="34"/>
      <c r="L1148" s="34"/>
      <c r="M1148" s="36"/>
      <c r="N1148" s="36"/>
      <c r="O1148" s="36"/>
      <c r="P1148" s="36"/>
      <c r="Q1148" s="36"/>
      <c r="R1148" s="36"/>
      <c r="S1148" s="36"/>
    </row>
    <row r="1149">
      <c r="A1149" s="34"/>
      <c r="B1149" s="34"/>
      <c r="C1149" s="35"/>
      <c r="D1149" s="35"/>
      <c r="E1149" s="34"/>
      <c r="F1149" s="34"/>
      <c r="G1149" s="34"/>
      <c r="H1149" s="34"/>
      <c r="I1149" s="34"/>
      <c r="J1149" s="34"/>
      <c r="K1149" s="34"/>
      <c r="L1149" s="34"/>
      <c r="M1149" s="36"/>
      <c r="N1149" s="36"/>
      <c r="O1149" s="36"/>
      <c r="P1149" s="36"/>
      <c r="Q1149" s="36"/>
      <c r="R1149" s="36"/>
      <c r="S1149" s="36"/>
    </row>
    <row r="1150">
      <c r="A1150" s="34"/>
      <c r="B1150" s="36"/>
      <c r="C1150" s="35"/>
      <c r="D1150" s="35"/>
      <c r="E1150" s="34"/>
      <c r="F1150" s="34"/>
      <c r="G1150" s="34"/>
      <c r="H1150" s="34"/>
      <c r="I1150" s="36"/>
      <c r="J1150" s="34"/>
      <c r="K1150" s="34"/>
      <c r="L1150" s="34"/>
      <c r="M1150" s="36"/>
      <c r="N1150" s="36"/>
      <c r="O1150" s="36"/>
      <c r="P1150" s="36"/>
      <c r="Q1150" s="36"/>
      <c r="R1150" s="36"/>
      <c r="S1150" s="36"/>
    </row>
    <row r="1151">
      <c r="A1151" s="34"/>
      <c r="B1151" s="36"/>
      <c r="C1151" s="35"/>
      <c r="D1151" s="35"/>
      <c r="E1151" s="34"/>
      <c r="F1151" s="34"/>
      <c r="G1151" s="34"/>
      <c r="H1151" s="34"/>
      <c r="I1151" s="36"/>
      <c r="J1151" s="34"/>
      <c r="K1151" s="34"/>
      <c r="L1151" s="34"/>
      <c r="M1151" s="36"/>
      <c r="N1151" s="36"/>
      <c r="O1151" s="36"/>
      <c r="P1151" s="36"/>
      <c r="Q1151" s="36"/>
      <c r="R1151" s="36"/>
      <c r="S1151" s="36"/>
    </row>
    <row r="1152">
      <c r="A1152" s="34"/>
      <c r="B1152" s="36"/>
      <c r="C1152" s="35"/>
      <c r="D1152" s="35"/>
      <c r="E1152" s="34"/>
      <c r="F1152" s="34"/>
      <c r="G1152" s="34"/>
      <c r="H1152" s="34"/>
      <c r="I1152" s="34"/>
      <c r="J1152" s="34"/>
      <c r="K1152" s="34"/>
      <c r="L1152" s="34"/>
      <c r="M1152" s="36"/>
      <c r="N1152" s="36"/>
      <c r="O1152" s="36"/>
      <c r="P1152" s="36"/>
      <c r="Q1152" s="36"/>
      <c r="R1152" s="36"/>
      <c r="S1152" s="36"/>
    </row>
    <row r="1153">
      <c r="A1153" s="34"/>
      <c r="B1153" s="36"/>
      <c r="C1153" s="35"/>
      <c r="D1153" s="35"/>
      <c r="E1153" s="34"/>
      <c r="F1153" s="34"/>
      <c r="G1153" s="34"/>
      <c r="H1153" s="34"/>
      <c r="I1153" s="34"/>
      <c r="J1153" s="34"/>
      <c r="K1153" s="34"/>
      <c r="L1153" s="34"/>
      <c r="M1153" s="36"/>
      <c r="N1153" s="36"/>
      <c r="O1153" s="36"/>
      <c r="P1153" s="36"/>
      <c r="Q1153" s="36"/>
      <c r="R1153" s="36"/>
      <c r="S1153" s="36"/>
    </row>
    <row r="1154">
      <c r="A1154" s="34"/>
      <c r="B1154" s="36"/>
      <c r="C1154" s="35"/>
      <c r="D1154" s="35"/>
      <c r="E1154" s="34"/>
      <c r="F1154" s="34"/>
      <c r="G1154" s="34"/>
      <c r="H1154" s="34"/>
      <c r="I1154" s="34"/>
      <c r="J1154" s="34"/>
      <c r="K1154" s="34"/>
      <c r="L1154" s="34"/>
      <c r="M1154" s="36"/>
      <c r="N1154" s="36"/>
      <c r="O1154" s="36"/>
      <c r="P1154" s="36"/>
      <c r="Q1154" s="36"/>
      <c r="R1154" s="36"/>
      <c r="S1154" s="36"/>
    </row>
    <row r="1155">
      <c r="A1155" s="34"/>
      <c r="B1155" s="34"/>
      <c r="C1155" s="35"/>
      <c r="D1155" s="35"/>
      <c r="E1155" s="34"/>
      <c r="F1155" s="34"/>
      <c r="G1155" s="34"/>
      <c r="H1155" s="34"/>
      <c r="I1155" s="34"/>
      <c r="J1155" s="34"/>
      <c r="K1155" s="34"/>
      <c r="L1155" s="34"/>
      <c r="M1155" s="36"/>
      <c r="N1155" s="36"/>
      <c r="O1155" s="36"/>
      <c r="P1155" s="36"/>
      <c r="Q1155" s="36"/>
      <c r="R1155" s="36"/>
      <c r="S1155" s="36"/>
    </row>
    <row r="1156">
      <c r="A1156" s="34"/>
      <c r="B1156" s="36"/>
      <c r="C1156" s="35"/>
      <c r="D1156" s="35"/>
      <c r="E1156" s="34"/>
      <c r="F1156" s="34"/>
      <c r="G1156" s="34"/>
      <c r="H1156" s="34"/>
      <c r="I1156" s="36"/>
      <c r="J1156" s="34"/>
      <c r="K1156" s="34"/>
      <c r="L1156" s="34"/>
      <c r="M1156" s="36"/>
      <c r="N1156" s="36"/>
      <c r="O1156" s="36"/>
      <c r="P1156" s="36"/>
      <c r="Q1156" s="36"/>
      <c r="R1156" s="36"/>
      <c r="S1156" s="36"/>
    </row>
    <row r="1157">
      <c r="A1157" s="34"/>
      <c r="B1157" s="36"/>
      <c r="C1157" s="35"/>
      <c r="D1157" s="35"/>
      <c r="E1157" s="34"/>
      <c r="F1157" s="34"/>
      <c r="G1157" s="34"/>
      <c r="H1157" s="34"/>
      <c r="I1157" s="34"/>
      <c r="J1157" s="34"/>
      <c r="K1157" s="34"/>
      <c r="L1157" s="34"/>
      <c r="M1157" s="36"/>
      <c r="N1157" s="36"/>
      <c r="O1157" s="36"/>
      <c r="P1157" s="36"/>
      <c r="Q1157" s="36"/>
      <c r="R1157" s="36"/>
      <c r="S1157" s="36"/>
    </row>
    <row r="1158">
      <c r="A1158" s="34"/>
      <c r="B1158" s="36"/>
      <c r="C1158" s="35"/>
      <c r="D1158" s="35"/>
      <c r="E1158" s="34"/>
      <c r="F1158" s="34"/>
      <c r="G1158" s="34"/>
      <c r="H1158" s="34"/>
      <c r="I1158" s="36"/>
      <c r="J1158" s="34"/>
      <c r="K1158" s="34"/>
      <c r="L1158" s="34"/>
      <c r="M1158" s="36"/>
      <c r="N1158" s="36"/>
      <c r="O1158" s="36"/>
      <c r="P1158" s="36"/>
      <c r="Q1158" s="36"/>
      <c r="R1158" s="36"/>
      <c r="S1158" s="36"/>
    </row>
    <row r="1159">
      <c r="A1159" s="34"/>
      <c r="B1159" s="36"/>
      <c r="C1159" s="35"/>
      <c r="D1159" s="35"/>
      <c r="E1159" s="34"/>
      <c r="F1159" s="34"/>
      <c r="G1159" s="34"/>
      <c r="H1159" s="34"/>
      <c r="I1159" s="36"/>
      <c r="J1159" s="34"/>
      <c r="K1159" s="34"/>
      <c r="L1159" s="34"/>
      <c r="M1159" s="36"/>
      <c r="N1159" s="36"/>
      <c r="O1159" s="36"/>
      <c r="P1159" s="36"/>
      <c r="Q1159" s="36"/>
      <c r="R1159" s="36"/>
      <c r="S1159" s="36"/>
    </row>
    <row r="1160">
      <c r="A1160" s="34"/>
      <c r="B1160" s="36"/>
      <c r="C1160" s="35"/>
      <c r="D1160" s="35"/>
      <c r="E1160" s="34"/>
      <c r="F1160" s="34"/>
      <c r="G1160" s="34"/>
      <c r="H1160" s="34"/>
      <c r="I1160" s="34"/>
      <c r="J1160" s="34"/>
      <c r="K1160" s="34"/>
      <c r="L1160" s="34"/>
      <c r="M1160" s="36"/>
      <c r="N1160" s="36"/>
      <c r="O1160" s="36"/>
      <c r="P1160" s="36"/>
      <c r="Q1160" s="36"/>
      <c r="R1160" s="36"/>
      <c r="S1160" s="36"/>
    </row>
    <row r="1161">
      <c r="A1161" s="34"/>
      <c r="B1161" s="34"/>
      <c r="C1161" s="35"/>
      <c r="D1161" s="35"/>
      <c r="E1161" s="34"/>
      <c r="F1161" s="34"/>
      <c r="G1161" s="34"/>
      <c r="H1161" s="34"/>
      <c r="I1161" s="34"/>
      <c r="J1161" s="34"/>
      <c r="K1161" s="34"/>
      <c r="L1161" s="34"/>
      <c r="M1161" s="36"/>
      <c r="N1161" s="36"/>
      <c r="O1161" s="36"/>
      <c r="P1161" s="36"/>
      <c r="Q1161" s="36"/>
      <c r="R1161" s="36"/>
      <c r="S1161" s="36"/>
    </row>
    <row r="1162">
      <c r="A1162" s="34"/>
      <c r="B1162" s="36"/>
      <c r="C1162" s="35"/>
      <c r="D1162" s="35"/>
      <c r="E1162" s="34"/>
      <c r="F1162" s="34"/>
      <c r="G1162" s="34"/>
      <c r="H1162" s="34"/>
      <c r="I1162" s="36"/>
      <c r="J1162" s="34"/>
      <c r="K1162" s="34"/>
      <c r="L1162" s="34"/>
      <c r="M1162" s="36"/>
      <c r="N1162" s="36"/>
      <c r="O1162" s="36"/>
      <c r="P1162" s="36"/>
      <c r="Q1162" s="36"/>
      <c r="R1162" s="36"/>
      <c r="S1162" s="36"/>
    </row>
    <row r="1163">
      <c r="A1163" s="34"/>
      <c r="B1163" s="34"/>
      <c r="C1163" s="35"/>
      <c r="D1163" s="35"/>
      <c r="E1163" s="34"/>
      <c r="F1163" s="34"/>
      <c r="G1163" s="34"/>
      <c r="H1163" s="34"/>
      <c r="I1163" s="34"/>
      <c r="J1163" s="34"/>
      <c r="K1163" s="34"/>
      <c r="L1163" s="34"/>
      <c r="M1163" s="36"/>
      <c r="N1163" s="36"/>
      <c r="O1163" s="36"/>
      <c r="P1163" s="36"/>
      <c r="Q1163" s="36"/>
      <c r="R1163" s="36"/>
      <c r="S1163" s="36"/>
    </row>
    <row r="1164">
      <c r="A1164" s="34"/>
      <c r="B1164" s="36"/>
      <c r="C1164" s="35"/>
      <c r="D1164" s="35"/>
      <c r="E1164" s="34"/>
      <c r="F1164" s="34"/>
      <c r="G1164" s="34"/>
      <c r="H1164" s="34"/>
      <c r="I1164" s="34"/>
      <c r="J1164" s="34"/>
      <c r="K1164" s="34"/>
      <c r="L1164" s="34"/>
      <c r="M1164" s="36"/>
      <c r="N1164" s="36"/>
      <c r="O1164" s="36"/>
      <c r="P1164" s="36"/>
      <c r="Q1164" s="36"/>
      <c r="R1164" s="36"/>
      <c r="S1164" s="36"/>
    </row>
    <row r="1165">
      <c r="A1165" s="34"/>
      <c r="B1165" s="36"/>
      <c r="C1165" s="35"/>
      <c r="D1165" s="35"/>
      <c r="E1165" s="34"/>
      <c r="F1165" s="34"/>
      <c r="G1165" s="34"/>
      <c r="H1165" s="34"/>
      <c r="I1165" s="36"/>
      <c r="J1165" s="34"/>
      <c r="K1165" s="34"/>
      <c r="L1165" s="34"/>
      <c r="M1165" s="36"/>
      <c r="N1165" s="36"/>
      <c r="O1165" s="36"/>
      <c r="P1165" s="36"/>
      <c r="Q1165" s="36"/>
      <c r="R1165" s="36"/>
      <c r="S1165" s="36"/>
    </row>
    <row r="1166">
      <c r="A1166" s="34"/>
      <c r="B1166" s="36"/>
      <c r="C1166" s="35"/>
      <c r="D1166" s="35"/>
      <c r="E1166" s="34"/>
      <c r="F1166" s="34"/>
      <c r="G1166" s="34"/>
      <c r="H1166" s="34"/>
      <c r="I1166" s="36"/>
      <c r="J1166" s="34"/>
      <c r="K1166" s="34"/>
      <c r="L1166" s="34"/>
      <c r="M1166" s="36"/>
      <c r="N1166" s="36"/>
      <c r="O1166" s="36"/>
      <c r="P1166" s="36"/>
      <c r="Q1166" s="36"/>
      <c r="R1166" s="36"/>
      <c r="S1166" s="36"/>
    </row>
    <row r="1167">
      <c r="A1167" s="34"/>
      <c r="B1167" s="36"/>
      <c r="C1167" s="35"/>
      <c r="D1167" s="35"/>
      <c r="E1167" s="34"/>
      <c r="F1167" s="34"/>
      <c r="G1167" s="34"/>
      <c r="H1167" s="34"/>
      <c r="I1167" s="36"/>
      <c r="J1167" s="34"/>
      <c r="K1167" s="34"/>
      <c r="L1167" s="34"/>
      <c r="M1167" s="36"/>
      <c r="N1167" s="36"/>
      <c r="O1167" s="36"/>
      <c r="P1167" s="36"/>
      <c r="Q1167" s="36"/>
      <c r="R1167" s="36"/>
      <c r="S1167" s="36"/>
    </row>
    <row r="1168">
      <c r="A1168" s="34"/>
      <c r="B1168" s="36"/>
      <c r="C1168" s="35"/>
      <c r="D1168" s="35"/>
      <c r="E1168" s="34"/>
      <c r="F1168" s="34"/>
      <c r="G1168" s="34"/>
      <c r="H1168" s="34"/>
      <c r="I1168" s="36"/>
      <c r="J1168" s="34"/>
      <c r="K1168" s="34"/>
      <c r="L1168" s="34"/>
      <c r="M1168" s="36"/>
      <c r="N1168" s="36"/>
      <c r="O1168" s="36"/>
      <c r="P1168" s="36"/>
      <c r="Q1168" s="36"/>
      <c r="R1168" s="36"/>
      <c r="S1168" s="36"/>
    </row>
    <row r="1169">
      <c r="A1169" s="34"/>
      <c r="B1169" s="36"/>
      <c r="C1169" s="35"/>
      <c r="D1169" s="35"/>
      <c r="E1169" s="34"/>
      <c r="F1169" s="34"/>
      <c r="G1169" s="34"/>
      <c r="H1169" s="34"/>
      <c r="I1169" s="34"/>
      <c r="J1169" s="34"/>
      <c r="K1169" s="34"/>
      <c r="L1169" s="34"/>
      <c r="M1169" s="36"/>
      <c r="N1169" s="36"/>
      <c r="O1169" s="36"/>
      <c r="P1169" s="36"/>
      <c r="Q1169" s="36"/>
      <c r="R1169" s="36"/>
      <c r="S1169" s="36"/>
    </row>
    <row r="1170">
      <c r="A1170" s="34"/>
      <c r="B1170" s="36"/>
      <c r="C1170" s="35"/>
      <c r="D1170" s="35"/>
      <c r="E1170" s="34"/>
      <c r="F1170" s="34"/>
      <c r="G1170" s="34"/>
      <c r="H1170" s="34"/>
      <c r="I1170" s="34"/>
      <c r="J1170" s="34"/>
      <c r="K1170" s="34"/>
      <c r="L1170" s="34"/>
      <c r="M1170" s="36"/>
      <c r="N1170" s="36"/>
      <c r="O1170" s="36"/>
      <c r="P1170" s="36"/>
      <c r="Q1170" s="36"/>
      <c r="R1170" s="36"/>
      <c r="S1170" s="36"/>
    </row>
    <row r="1171">
      <c r="A1171" s="34"/>
      <c r="B1171" s="36"/>
      <c r="C1171" s="35"/>
      <c r="D1171" s="35"/>
      <c r="E1171" s="34"/>
      <c r="F1171" s="34"/>
      <c r="G1171" s="34"/>
      <c r="H1171" s="34"/>
      <c r="I1171" s="34"/>
      <c r="J1171" s="34"/>
      <c r="K1171" s="34"/>
      <c r="L1171" s="34"/>
      <c r="M1171" s="36"/>
      <c r="N1171" s="36"/>
      <c r="O1171" s="36"/>
      <c r="P1171" s="36"/>
      <c r="Q1171" s="36"/>
      <c r="R1171" s="36"/>
      <c r="S1171" s="36"/>
    </row>
    <row r="1172">
      <c r="A1172" s="34"/>
      <c r="B1172" s="36"/>
      <c r="C1172" s="35"/>
      <c r="D1172" s="35"/>
      <c r="E1172" s="34"/>
      <c r="F1172" s="34"/>
      <c r="G1172" s="34"/>
      <c r="H1172" s="34"/>
      <c r="I1172" s="36"/>
      <c r="J1172" s="34"/>
      <c r="K1172" s="34"/>
      <c r="L1172" s="34"/>
      <c r="M1172" s="36"/>
      <c r="N1172" s="36"/>
      <c r="O1172" s="36"/>
      <c r="P1172" s="36"/>
      <c r="Q1172" s="36"/>
      <c r="R1172" s="36"/>
      <c r="S1172" s="36"/>
    </row>
    <row r="1173">
      <c r="A1173" s="34"/>
      <c r="B1173" s="36"/>
      <c r="C1173" s="35"/>
      <c r="D1173" s="35"/>
      <c r="E1173" s="34"/>
      <c r="F1173" s="34"/>
      <c r="G1173" s="34"/>
      <c r="H1173" s="34"/>
      <c r="I1173" s="34"/>
      <c r="J1173" s="34"/>
      <c r="K1173" s="34"/>
      <c r="L1173" s="34"/>
      <c r="M1173" s="36"/>
      <c r="N1173" s="36"/>
      <c r="O1173" s="36"/>
      <c r="P1173" s="36"/>
      <c r="Q1173" s="36"/>
      <c r="R1173" s="36"/>
      <c r="S1173" s="36"/>
    </row>
    <row r="1174">
      <c r="A1174" s="34"/>
      <c r="B1174" s="36"/>
      <c r="C1174" s="35"/>
      <c r="D1174" s="35"/>
      <c r="E1174" s="34"/>
      <c r="F1174" s="34"/>
      <c r="G1174" s="34"/>
      <c r="H1174" s="34"/>
      <c r="I1174" s="34"/>
      <c r="J1174" s="34"/>
      <c r="K1174" s="34"/>
      <c r="L1174" s="34"/>
      <c r="M1174" s="36"/>
      <c r="N1174" s="36"/>
      <c r="O1174" s="36"/>
      <c r="P1174" s="36"/>
      <c r="Q1174" s="36"/>
      <c r="R1174" s="36"/>
      <c r="S1174" s="36"/>
    </row>
    <row r="1175">
      <c r="A1175" s="34"/>
      <c r="B1175" s="36"/>
      <c r="C1175" s="35"/>
      <c r="D1175" s="35"/>
      <c r="E1175" s="34"/>
      <c r="F1175" s="34"/>
      <c r="G1175" s="34"/>
      <c r="H1175" s="34"/>
      <c r="I1175" s="34"/>
      <c r="J1175" s="34"/>
      <c r="K1175" s="34"/>
      <c r="L1175" s="34"/>
      <c r="M1175" s="36"/>
      <c r="N1175" s="36"/>
      <c r="O1175" s="36"/>
      <c r="P1175" s="36"/>
      <c r="Q1175" s="36"/>
      <c r="R1175" s="36"/>
      <c r="S1175" s="36"/>
    </row>
    <row r="1176">
      <c r="A1176" s="34"/>
      <c r="B1176" s="36"/>
      <c r="C1176" s="35"/>
      <c r="D1176" s="35"/>
      <c r="E1176" s="34"/>
      <c r="F1176" s="34"/>
      <c r="G1176" s="34"/>
      <c r="H1176" s="34"/>
      <c r="I1176" s="36"/>
      <c r="J1176" s="34"/>
      <c r="K1176" s="34"/>
      <c r="L1176" s="34"/>
      <c r="M1176" s="36"/>
      <c r="N1176" s="36"/>
      <c r="O1176" s="36"/>
      <c r="P1176" s="36"/>
      <c r="Q1176" s="36"/>
      <c r="R1176" s="36"/>
      <c r="S1176" s="36"/>
    </row>
    <row r="1177">
      <c r="A1177" s="34"/>
      <c r="B1177" s="36"/>
      <c r="C1177" s="35"/>
      <c r="D1177" s="35"/>
      <c r="E1177" s="34"/>
      <c r="F1177" s="34"/>
      <c r="G1177" s="34"/>
      <c r="H1177" s="34"/>
      <c r="I1177" s="36"/>
      <c r="J1177" s="34"/>
      <c r="K1177" s="34"/>
      <c r="L1177" s="34"/>
      <c r="M1177" s="36"/>
      <c r="N1177" s="36"/>
      <c r="O1177" s="36"/>
      <c r="P1177" s="36"/>
      <c r="Q1177" s="36"/>
      <c r="R1177" s="36"/>
      <c r="S1177" s="36"/>
    </row>
    <row r="1178">
      <c r="A1178" s="34"/>
      <c r="B1178" s="36"/>
      <c r="C1178" s="35"/>
      <c r="D1178" s="35"/>
      <c r="E1178" s="34"/>
      <c r="F1178" s="34"/>
      <c r="G1178" s="34"/>
      <c r="H1178" s="34"/>
      <c r="I1178" s="36"/>
      <c r="J1178" s="34"/>
      <c r="K1178" s="34"/>
      <c r="L1178" s="34"/>
      <c r="M1178" s="36"/>
      <c r="N1178" s="36"/>
      <c r="O1178" s="36"/>
      <c r="P1178" s="36"/>
      <c r="Q1178" s="36"/>
      <c r="R1178" s="36"/>
      <c r="S1178" s="36"/>
    </row>
    <row r="1179">
      <c r="A1179" s="34"/>
      <c r="B1179" s="36"/>
      <c r="C1179" s="35"/>
      <c r="D1179" s="35"/>
      <c r="E1179" s="34"/>
      <c r="F1179" s="34"/>
      <c r="G1179" s="34"/>
      <c r="H1179" s="34"/>
      <c r="I1179" s="36"/>
      <c r="J1179" s="34"/>
      <c r="K1179" s="34"/>
      <c r="L1179" s="34"/>
      <c r="M1179" s="36"/>
      <c r="N1179" s="36"/>
      <c r="O1179" s="36"/>
      <c r="P1179" s="36"/>
      <c r="Q1179" s="36"/>
      <c r="R1179" s="36"/>
      <c r="S1179" s="36"/>
    </row>
    <row r="1180">
      <c r="A1180" s="34"/>
      <c r="B1180" s="36"/>
      <c r="C1180" s="35"/>
      <c r="D1180" s="35"/>
      <c r="E1180" s="34"/>
      <c r="F1180" s="34"/>
      <c r="G1180" s="34"/>
      <c r="H1180" s="34"/>
      <c r="I1180" s="36"/>
      <c r="J1180" s="34"/>
      <c r="K1180" s="34"/>
      <c r="L1180" s="34"/>
      <c r="M1180" s="36"/>
      <c r="N1180" s="36"/>
      <c r="O1180" s="36"/>
      <c r="P1180" s="36"/>
      <c r="Q1180" s="36"/>
      <c r="R1180" s="36"/>
      <c r="S1180" s="36"/>
    </row>
    <row r="1181">
      <c r="A1181" s="34"/>
      <c r="B1181" s="34"/>
      <c r="C1181" s="35"/>
      <c r="D1181" s="35"/>
      <c r="E1181" s="34"/>
      <c r="F1181" s="34"/>
      <c r="G1181" s="34"/>
      <c r="H1181" s="34"/>
      <c r="I1181" s="34"/>
      <c r="J1181" s="34"/>
      <c r="K1181" s="34"/>
      <c r="L1181" s="34"/>
      <c r="M1181" s="36"/>
      <c r="N1181" s="36"/>
      <c r="O1181" s="36"/>
      <c r="P1181" s="36"/>
      <c r="Q1181" s="36"/>
      <c r="R1181" s="36"/>
      <c r="S1181" s="36"/>
    </row>
    <row r="1182">
      <c r="A1182" s="34"/>
      <c r="B1182" s="36"/>
      <c r="C1182" s="35"/>
      <c r="D1182" s="35"/>
      <c r="E1182" s="34"/>
      <c r="F1182" s="34"/>
      <c r="G1182" s="34"/>
      <c r="H1182" s="34"/>
      <c r="I1182" s="36"/>
      <c r="J1182" s="34"/>
      <c r="K1182" s="34"/>
      <c r="L1182" s="34"/>
      <c r="M1182" s="36"/>
      <c r="N1182" s="36"/>
      <c r="O1182" s="36"/>
      <c r="P1182" s="36"/>
      <c r="Q1182" s="36"/>
      <c r="R1182" s="36"/>
      <c r="S1182" s="36"/>
    </row>
    <row r="1183">
      <c r="A1183" s="34"/>
      <c r="B1183" s="36"/>
      <c r="C1183" s="35"/>
      <c r="D1183" s="35"/>
      <c r="E1183" s="34"/>
      <c r="F1183" s="34"/>
      <c r="G1183" s="34"/>
      <c r="H1183" s="34"/>
      <c r="I1183" s="34"/>
      <c r="J1183" s="34"/>
      <c r="K1183" s="34"/>
      <c r="L1183" s="34"/>
      <c r="M1183" s="36"/>
      <c r="N1183" s="36"/>
      <c r="O1183" s="36"/>
      <c r="P1183" s="36"/>
      <c r="Q1183" s="36"/>
      <c r="R1183" s="36"/>
      <c r="S1183" s="36"/>
    </row>
    <row r="1184">
      <c r="A1184" s="34"/>
      <c r="B1184" s="34"/>
      <c r="C1184" s="35"/>
      <c r="D1184" s="35"/>
      <c r="E1184" s="34"/>
      <c r="F1184" s="34"/>
      <c r="G1184" s="34"/>
      <c r="H1184" s="34"/>
      <c r="I1184" s="34"/>
      <c r="J1184" s="34"/>
      <c r="K1184" s="34"/>
      <c r="L1184" s="34"/>
      <c r="M1184" s="36"/>
      <c r="N1184" s="36"/>
      <c r="O1184" s="36"/>
      <c r="P1184" s="36"/>
      <c r="Q1184" s="36"/>
      <c r="R1184" s="36"/>
      <c r="S1184" s="36"/>
    </row>
    <row r="1185">
      <c r="A1185" s="34"/>
      <c r="B1185" s="34"/>
      <c r="C1185" s="35"/>
      <c r="D1185" s="35"/>
      <c r="E1185" s="34"/>
      <c r="F1185" s="34"/>
      <c r="G1185" s="34"/>
      <c r="H1185" s="34"/>
      <c r="I1185" s="34"/>
      <c r="J1185" s="34"/>
      <c r="K1185" s="34"/>
      <c r="L1185" s="34"/>
      <c r="M1185" s="36"/>
      <c r="N1185" s="36"/>
      <c r="O1185" s="36"/>
      <c r="P1185" s="36"/>
      <c r="Q1185" s="36"/>
      <c r="R1185" s="36"/>
      <c r="S1185" s="36"/>
    </row>
    <row r="1186">
      <c r="A1186" s="34"/>
      <c r="B1186" s="34"/>
      <c r="C1186" s="35"/>
      <c r="D1186" s="35"/>
      <c r="E1186" s="34"/>
      <c r="F1186" s="34"/>
      <c r="G1186" s="34"/>
      <c r="H1186" s="34"/>
      <c r="I1186" s="34"/>
      <c r="J1186" s="34"/>
      <c r="K1186" s="34"/>
      <c r="L1186" s="34"/>
      <c r="M1186" s="36"/>
      <c r="N1186" s="36"/>
      <c r="O1186" s="36"/>
      <c r="P1186" s="36"/>
      <c r="Q1186" s="36"/>
      <c r="R1186" s="36"/>
      <c r="S1186" s="36"/>
    </row>
    <row r="1187">
      <c r="A1187" s="34"/>
      <c r="B1187" s="34"/>
      <c r="C1187" s="35"/>
      <c r="D1187" s="35"/>
      <c r="E1187" s="34"/>
      <c r="F1187" s="34"/>
      <c r="G1187" s="34"/>
      <c r="H1187" s="34"/>
      <c r="I1187" s="34"/>
      <c r="J1187" s="34"/>
      <c r="K1187" s="34"/>
      <c r="L1187" s="34"/>
      <c r="M1187" s="36"/>
      <c r="N1187" s="36"/>
      <c r="O1187" s="36"/>
      <c r="P1187" s="36"/>
      <c r="Q1187" s="36"/>
      <c r="R1187" s="36"/>
      <c r="S1187" s="36"/>
    </row>
    <row r="1188">
      <c r="A1188" s="34"/>
      <c r="B1188" s="34"/>
      <c r="C1188" s="35"/>
      <c r="D1188" s="35"/>
      <c r="E1188" s="34"/>
      <c r="F1188" s="34"/>
      <c r="G1188" s="34"/>
      <c r="H1188" s="34"/>
      <c r="I1188" s="34"/>
      <c r="J1188" s="34"/>
      <c r="K1188" s="34"/>
      <c r="L1188" s="34"/>
      <c r="M1188" s="36"/>
      <c r="N1188" s="36"/>
      <c r="O1188" s="36"/>
      <c r="P1188" s="36"/>
      <c r="Q1188" s="36"/>
      <c r="R1188" s="36"/>
      <c r="S1188" s="36"/>
    </row>
    <row r="1189">
      <c r="A1189" s="34"/>
      <c r="B1189" s="34"/>
      <c r="C1189" s="35"/>
      <c r="D1189" s="35"/>
      <c r="E1189" s="34"/>
      <c r="F1189" s="34"/>
      <c r="G1189" s="34"/>
      <c r="H1189" s="34"/>
      <c r="I1189" s="34"/>
      <c r="J1189" s="34"/>
      <c r="K1189" s="34"/>
      <c r="L1189" s="34"/>
      <c r="M1189" s="36"/>
      <c r="N1189" s="36"/>
      <c r="O1189" s="36"/>
      <c r="P1189" s="36"/>
      <c r="Q1189" s="36"/>
      <c r="R1189" s="36"/>
      <c r="S1189" s="36"/>
    </row>
    <row r="1190">
      <c r="A1190" s="34"/>
      <c r="B1190" s="36"/>
      <c r="C1190" s="35"/>
      <c r="D1190" s="35"/>
      <c r="E1190" s="34"/>
      <c r="F1190" s="34"/>
      <c r="G1190" s="34"/>
      <c r="H1190" s="34"/>
      <c r="I1190" s="34"/>
      <c r="J1190" s="34"/>
      <c r="K1190" s="34"/>
      <c r="L1190" s="34"/>
      <c r="M1190" s="36"/>
      <c r="N1190" s="36"/>
      <c r="O1190" s="36"/>
      <c r="P1190" s="36"/>
      <c r="Q1190" s="36"/>
      <c r="R1190" s="36"/>
      <c r="S1190" s="36"/>
    </row>
    <row r="1191">
      <c r="A1191" s="34"/>
      <c r="B1191" s="34"/>
      <c r="C1191" s="35"/>
      <c r="D1191" s="35"/>
      <c r="E1191" s="34"/>
      <c r="F1191" s="34"/>
      <c r="G1191" s="34"/>
      <c r="H1191" s="34"/>
      <c r="I1191" s="34"/>
      <c r="J1191" s="34"/>
      <c r="K1191" s="34"/>
      <c r="L1191" s="34"/>
      <c r="M1191" s="36"/>
      <c r="N1191" s="36"/>
      <c r="O1191" s="36"/>
      <c r="P1191" s="36"/>
      <c r="Q1191" s="36"/>
      <c r="R1191" s="36"/>
      <c r="S1191" s="36"/>
    </row>
    <row r="1192">
      <c r="A1192" s="34"/>
      <c r="B1192" s="34"/>
      <c r="C1192" s="35"/>
      <c r="D1192" s="35"/>
      <c r="E1192" s="34"/>
      <c r="F1192" s="34"/>
      <c r="G1192" s="34"/>
      <c r="H1192" s="34"/>
      <c r="I1192" s="34"/>
      <c r="J1192" s="34"/>
      <c r="K1192" s="34"/>
      <c r="L1192" s="34"/>
      <c r="M1192" s="36"/>
      <c r="N1192" s="36"/>
      <c r="O1192" s="36"/>
      <c r="P1192" s="36"/>
      <c r="Q1192" s="36"/>
      <c r="R1192" s="36"/>
      <c r="S1192" s="36"/>
    </row>
    <row r="1193">
      <c r="A1193" s="34"/>
      <c r="B1193" s="34"/>
      <c r="C1193" s="35"/>
      <c r="D1193" s="35"/>
      <c r="E1193" s="34"/>
      <c r="F1193" s="34"/>
      <c r="G1193" s="34"/>
      <c r="H1193" s="34"/>
      <c r="I1193" s="34"/>
      <c r="J1193" s="34"/>
      <c r="K1193" s="34"/>
      <c r="L1193" s="34"/>
      <c r="M1193" s="36"/>
      <c r="N1193" s="36"/>
      <c r="O1193" s="36"/>
      <c r="P1193" s="36"/>
      <c r="Q1193" s="36"/>
      <c r="R1193" s="36"/>
      <c r="S1193" s="36"/>
    </row>
    <row r="1194">
      <c r="A1194" s="34"/>
      <c r="B1194" s="36"/>
      <c r="C1194" s="35"/>
      <c r="D1194" s="35"/>
      <c r="E1194" s="34"/>
      <c r="F1194" s="34"/>
      <c r="G1194" s="34"/>
      <c r="H1194" s="34"/>
      <c r="I1194" s="34"/>
      <c r="J1194" s="34"/>
      <c r="K1194" s="34"/>
      <c r="L1194" s="34"/>
      <c r="M1194" s="36"/>
      <c r="N1194" s="36"/>
      <c r="O1194" s="36"/>
      <c r="P1194" s="36"/>
      <c r="Q1194" s="36"/>
      <c r="R1194" s="36"/>
      <c r="S1194" s="36"/>
    </row>
    <row r="1195">
      <c r="A1195" s="34"/>
      <c r="B1195" s="34"/>
      <c r="C1195" s="35"/>
      <c r="D1195" s="35"/>
      <c r="E1195" s="34"/>
      <c r="F1195" s="34"/>
      <c r="G1195" s="34"/>
      <c r="H1195" s="34"/>
      <c r="I1195" s="34"/>
      <c r="J1195" s="34"/>
      <c r="K1195" s="34"/>
      <c r="L1195" s="34"/>
      <c r="M1195" s="36"/>
      <c r="N1195" s="36"/>
      <c r="O1195" s="36"/>
      <c r="P1195" s="36"/>
      <c r="Q1195" s="36"/>
      <c r="R1195" s="36"/>
      <c r="S1195" s="36"/>
    </row>
    <row r="1196">
      <c r="A1196" s="34"/>
      <c r="B1196" s="36"/>
      <c r="C1196" s="35"/>
      <c r="D1196" s="35"/>
      <c r="E1196" s="34"/>
      <c r="F1196" s="34"/>
      <c r="G1196" s="34"/>
      <c r="H1196" s="34"/>
      <c r="I1196" s="34"/>
      <c r="J1196" s="34"/>
      <c r="K1196" s="34"/>
      <c r="L1196" s="34"/>
      <c r="M1196" s="36"/>
      <c r="N1196" s="36"/>
      <c r="O1196" s="36"/>
      <c r="P1196" s="36"/>
      <c r="Q1196" s="36"/>
      <c r="R1196" s="36"/>
      <c r="S1196" s="36"/>
    </row>
    <row r="1197">
      <c r="A1197" s="34"/>
      <c r="B1197" s="36"/>
      <c r="C1197" s="35"/>
      <c r="D1197" s="35"/>
      <c r="E1197" s="34"/>
      <c r="F1197" s="34"/>
      <c r="G1197" s="34"/>
      <c r="H1197" s="34"/>
      <c r="I1197" s="36"/>
      <c r="J1197" s="34"/>
      <c r="K1197" s="34"/>
      <c r="L1197" s="34"/>
      <c r="M1197" s="36"/>
      <c r="N1197" s="36"/>
      <c r="O1197" s="36"/>
      <c r="P1197" s="36"/>
      <c r="Q1197" s="36"/>
      <c r="R1197" s="36"/>
      <c r="S1197" s="36"/>
    </row>
    <row r="1198">
      <c r="A1198" s="34"/>
      <c r="B1198" s="34"/>
      <c r="C1198" s="35"/>
      <c r="D1198" s="35"/>
      <c r="E1198" s="34"/>
      <c r="F1198" s="34"/>
      <c r="G1198" s="34"/>
      <c r="H1198" s="34"/>
      <c r="I1198" s="34"/>
      <c r="J1198" s="34"/>
      <c r="K1198" s="34"/>
      <c r="L1198" s="34"/>
      <c r="M1198" s="36"/>
      <c r="N1198" s="36"/>
      <c r="O1198" s="36"/>
      <c r="P1198" s="36"/>
      <c r="Q1198" s="36"/>
      <c r="R1198" s="36"/>
      <c r="S1198" s="36"/>
    </row>
    <row r="1199">
      <c r="A1199" s="34"/>
      <c r="B1199" s="34"/>
      <c r="C1199" s="35"/>
      <c r="D1199" s="35"/>
      <c r="E1199" s="34"/>
      <c r="F1199" s="34"/>
      <c r="G1199" s="34"/>
      <c r="H1199" s="34"/>
      <c r="I1199" s="34"/>
      <c r="J1199" s="34"/>
      <c r="K1199" s="34"/>
      <c r="L1199" s="34"/>
      <c r="M1199" s="36"/>
      <c r="N1199" s="36"/>
      <c r="O1199" s="36"/>
      <c r="P1199" s="36"/>
      <c r="Q1199" s="36"/>
      <c r="R1199" s="36"/>
      <c r="S1199" s="36"/>
    </row>
    <row r="1200">
      <c r="A1200" s="34"/>
      <c r="B1200" s="36"/>
      <c r="C1200" s="35"/>
      <c r="D1200" s="35"/>
      <c r="E1200" s="34"/>
      <c r="F1200" s="34"/>
      <c r="G1200" s="34"/>
      <c r="H1200" s="34"/>
      <c r="I1200" s="36"/>
      <c r="J1200" s="34"/>
      <c r="K1200" s="34"/>
      <c r="L1200" s="34"/>
      <c r="M1200" s="36"/>
      <c r="N1200" s="36"/>
      <c r="O1200" s="36"/>
      <c r="P1200" s="36"/>
      <c r="Q1200" s="36"/>
      <c r="R1200" s="36"/>
      <c r="S1200" s="36"/>
    </row>
    <row r="1201">
      <c r="A1201" s="34"/>
      <c r="B1201" s="36"/>
      <c r="C1201" s="35"/>
      <c r="D1201" s="35"/>
      <c r="E1201" s="34"/>
      <c r="F1201" s="34"/>
      <c r="G1201" s="34"/>
      <c r="H1201" s="34"/>
      <c r="I1201" s="36"/>
      <c r="J1201" s="34"/>
      <c r="K1201" s="34"/>
      <c r="L1201" s="34"/>
      <c r="M1201" s="36"/>
      <c r="N1201" s="36"/>
      <c r="O1201" s="36"/>
      <c r="P1201" s="36"/>
      <c r="Q1201" s="36"/>
      <c r="R1201" s="36"/>
      <c r="S1201" s="36"/>
    </row>
    <row r="1202">
      <c r="A1202" s="34"/>
      <c r="B1202" s="36"/>
      <c r="C1202" s="35"/>
      <c r="D1202" s="35"/>
      <c r="E1202" s="34"/>
      <c r="F1202" s="34"/>
      <c r="G1202" s="34"/>
      <c r="H1202" s="34"/>
      <c r="I1202" s="36"/>
      <c r="J1202" s="34"/>
      <c r="K1202" s="34"/>
      <c r="L1202" s="34"/>
      <c r="M1202" s="36"/>
      <c r="N1202" s="36"/>
      <c r="O1202" s="36"/>
      <c r="P1202" s="36"/>
      <c r="Q1202" s="36"/>
      <c r="R1202" s="36"/>
      <c r="S1202" s="36"/>
    </row>
    <row r="1203">
      <c r="A1203" s="34"/>
      <c r="B1203" s="34"/>
      <c r="C1203" s="35"/>
      <c r="D1203" s="35"/>
      <c r="E1203" s="34"/>
      <c r="F1203" s="34"/>
      <c r="G1203" s="34"/>
      <c r="H1203" s="34"/>
      <c r="I1203" s="34"/>
      <c r="J1203" s="34"/>
      <c r="K1203" s="34"/>
      <c r="L1203" s="34"/>
      <c r="M1203" s="36"/>
      <c r="N1203" s="36"/>
      <c r="O1203" s="36"/>
      <c r="P1203" s="36"/>
      <c r="Q1203" s="36"/>
      <c r="R1203" s="36"/>
      <c r="S1203" s="36"/>
    </row>
    <row r="1204">
      <c r="A1204" s="34"/>
      <c r="B1204" s="36"/>
      <c r="C1204" s="35"/>
      <c r="D1204" s="35"/>
      <c r="E1204" s="34"/>
      <c r="F1204" s="34"/>
      <c r="G1204" s="34"/>
      <c r="H1204" s="34"/>
      <c r="I1204" s="36"/>
      <c r="J1204" s="34"/>
      <c r="K1204" s="34"/>
      <c r="L1204" s="34"/>
      <c r="M1204" s="36"/>
      <c r="N1204" s="36"/>
      <c r="O1204" s="36"/>
      <c r="P1204" s="36"/>
      <c r="Q1204" s="36"/>
      <c r="R1204" s="36"/>
      <c r="S1204" s="36"/>
    </row>
    <row r="1205">
      <c r="A1205" s="34"/>
      <c r="B1205" s="34"/>
      <c r="C1205" s="35"/>
      <c r="D1205" s="35"/>
      <c r="E1205" s="34"/>
      <c r="F1205" s="34"/>
      <c r="G1205" s="34"/>
      <c r="H1205" s="34"/>
      <c r="I1205" s="34"/>
      <c r="J1205" s="34"/>
      <c r="K1205" s="34"/>
      <c r="L1205" s="34"/>
      <c r="M1205" s="36"/>
      <c r="N1205" s="36"/>
      <c r="O1205" s="36"/>
      <c r="P1205" s="36"/>
      <c r="Q1205" s="36"/>
      <c r="R1205" s="36"/>
      <c r="S1205" s="36"/>
    </row>
    <row r="1206">
      <c r="A1206" s="34"/>
      <c r="B1206" s="34"/>
      <c r="C1206" s="35"/>
      <c r="D1206" s="35"/>
      <c r="E1206" s="34"/>
      <c r="F1206" s="34"/>
      <c r="G1206" s="34"/>
      <c r="H1206" s="34"/>
      <c r="I1206" s="34"/>
      <c r="J1206" s="34"/>
      <c r="K1206" s="34"/>
      <c r="L1206" s="34"/>
      <c r="M1206" s="36"/>
      <c r="N1206" s="36"/>
      <c r="O1206" s="36"/>
      <c r="P1206" s="36"/>
      <c r="Q1206" s="36"/>
      <c r="R1206" s="36"/>
      <c r="S1206" s="36"/>
    </row>
    <row r="1207">
      <c r="A1207" s="34"/>
      <c r="B1207" s="34"/>
      <c r="C1207" s="35"/>
      <c r="D1207" s="35"/>
      <c r="E1207" s="34"/>
      <c r="F1207" s="34"/>
      <c r="G1207" s="34"/>
      <c r="H1207" s="34"/>
      <c r="I1207" s="34"/>
      <c r="J1207" s="34"/>
      <c r="K1207" s="34"/>
      <c r="L1207" s="34"/>
      <c r="M1207" s="36"/>
      <c r="N1207" s="36"/>
      <c r="O1207" s="36"/>
      <c r="P1207" s="36"/>
      <c r="Q1207" s="36"/>
      <c r="R1207" s="36"/>
      <c r="S1207" s="36"/>
    </row>
    <row r="1208">
      <c r="A1208" s="34"/>
      <c r="B1208" s="34"/>
      <c r="C1208" s="35"/>
      <c r="D1208" s="35"/>
      <c r="E1208" s="34"/>
      <c r="F1208" s="34"/>
      <c r="G1208" s="34"/>
      <c r="H1208" s="34"/>
      <c r="I1208" s="34"/>
      <c r="J1208" s="34"/>
      <c r="K1208" s="34"/>
      <c r="L1208" s="34"/>
      <c r="M1208" s="36"/>
      <c r="N1208" s="36"/>
      <c r="O1208" s="36"/>
      <c r="P1208" s="36"/>
      <c r="Q1208" s="36"/>
      <c r="R1208" s="36"/>
      <c r="S1208" s="36"/>
    </row>
    <row r="1209">
      <c r="A1209" s="34"/>
      <c r="B1209" s="36"/>
      <c r="C1209" s="35"/>
      <c r="D1209" s="35"/>
      <c r="E1209" s="34"/>
      <c r="F1209" s="34"/>
      <c r="G1209" s="34"/>
      <c r="H1209" s="34"/>
      <c r="I1209" s="36"/>
      <c r="J1209" s="34"/>
      <c r="K1209" s="34"/>
      <c r="L1209" s="34"/>
      <c r="M1209" s="36"/>
      <c r="N1209" s="36"/>
      <c r="O1209" s="36"/>
      <c r="P1209" s="36"/>
      <c r="Q1209" s="36"/>
      <c r="R1209" s="36"/>
      <c r="S1209" s="36"/>
    </row>
    <row r="1210">
      <c r="A1210" s="34"/>
      <c r="B1210" s="34"/>
      <c r="C1210" s="35"/>
      <c r="D1210" s="35"/>
      <c r="E1210" s="34"/>
      <c r="F1210" s="34"/>
      <c r="G1210" s="34"/>
      <c r="H1210" s="34"/>
      <c r="I1210" s="34"/>
      <c r="J1210" s="34"/>
      <c r="K1210" s="34"/>
      <c r="L1210" s="34"/>
      <c r="M1210" s="36"/>
      <c r="N1210" s="36"/>
      <c r="O1210" s="36"/>
      <c r="P1210" s="36"/>
      <c r="Q1210" s="36"/>
      <c r="R1210" s="36"/>
      <c r="S1210" s="36"/>
    </row>
    <row r="1211">
      <c r="A1211" s="34"/>
      <c r="B1211" s="36"/>
      <c r="C1211" s="35"/>
      <c r="D1211" s="35"/>
      <c r="E1211" s="34"/>
      <c r="F1211" s="34"/>
      <c r="G1211" s="34"/>
      <c r="H1211" s="34"/>
      <c r="I1211" s="36"/>
      <c r="J1211" s="34"/>
      <c r="K1211" s="34"/>
      <c r="L1211" s="34"/>
      <c r="M1211" s="36"/>
      <c r="N1211" s="36"/>
      <c r="O1211" s="36"/>
      <c r="P1211" s="36"/>
      <c r="Q1211" s="36"/>
      <c r="R1211" s="36"/>
      <c r="S1211" s="36"/>
    </row>
    <row r="1212">
      <c r="A1212" s="34"/>
      <c r="B1212" s="36"/>
      <c r="C1212" s="35"/>
      <c r="D1212" s="35"/>
      <c r="E1212" s="34"/>
      <c r="F1212" s="34"/>
      <c r="G1212" s="34"/>
      <c r="H1212" s="34"/>
      <c r="I1212" s="36"/>
      <c r="J1212" s="34"/>
      <c r="K1212" s="34"/>
      <c r="L1212" s="34"/>
      <c r="M1212" s="36"/>
      <c r="N1212" s="36"/>
      <c r="O1212" s="36"/>
      <c r="P1212" s="36"/>
      <c r="Q1212" s="36"/>
      <c r="R1212" s="36"/>
      <c r="S1212" s="36"/>
    </row>
    <row r="1213">
      <c r="A1213" s="34"/>
      <c r="B1213" s="34"/>
      <c r="C1213" s="35"/>
      <c r="D1213" s="35"/>
      <c r="E1213" s="34"/>
      <c r="F1213" s="34"/>
      <c r="G1213" s="34"/>
      <c r="H1213" s="34"/>
      <c r="I1213" s="34"/>
      <c r="J1213" s="34"/>
      <c r="K1213" s="34"/>
      <c r="L1213" s="34"/>
      <c r="M1213" s="36"/>
      <c r="N1213" s="36"/>
      <c r="O1213" s="36"/>
      <c r="P1213" s="36"/>
      <c r="Q1213" s="36"/>
      <c r="R1213" s="36"/>
      <c r="S1213" s="36"/>
    </row>
    <row r="1214">
      <c r="A1214" s="34"/>
      <c r="B1214" s="34"/>
      <c r="C1214" s="35"/>
      <c r="D1214" s="35"/>
      <c r="E1214" s="34"/>
      <c r="F1214" s="34"/>
      <c r="G1214" s="34"/>
      <c r="H1214" s="34"/>
      <c r="I1214" s="34"/>
      <c r="J1214" s="34"/>
      <c r="K1214" s="34"/>
      <c r="L1214" s="34"/>
      <c r="M1214" s="36"/>
      <c r="N1214" s="36"/>
      <c r="O1214" s="36"/>
      <c r="P1214" s="36"/>
      <c r="Q1214" s="36"/>
      <c r="R1214" s="36"/>
      <c r="S1214" s="36"/>
    </row>
    <row r="1215">
      <c r="A1215" s="34"/>
      <c r="B1215" s="34"/>
      <c r="C1215" s="35"/>
      <c r="D1215" s="35"/>
      <c r="E1215" s="34"/>
      <c r="F1215" s="34"/>
      <c r="G1215" s="34"/>
      <c r="H1215" s="34"/>
      <c r="I1215" s="34"/>
      <c r="J1215" s="34"/>
      <c r="K1215" s="34"/>
      <c r="L1215" s="34"/>
      <c r="M1215" s="36"/>
      <c r="N1215" s="36"/>
      <c r="O1215" s="36"/>
      <c r="P1215" s="36"/>
      <c r="Q1215" s="36"/>
      <c r="R1215" s="36"/>
      <c r="S1215" s="36"/>
    </row>
    <row r="1216">
      <c r="A1216" s="34"/>
      <c r="B1216" s="36"/>
      <c r="C1216" s="35"/>
      <c r="D1216" s="35"/>
      <c r="E1216" s="34"/>
      <c r="F1216" s="34"/>
      <c r="G1216" s="34"/>
      <c r="H1216" s="34"/>
      <c r="I1216" s="34"/>
      <c r="J1216" s="34"/>
      <c r="K1216" s="34"/>
      <c r="L1216" s="34"/>
      <c r="M1216" s="36"/>
      <c r="N1216" s="36"/>
      <c r="O1216" s="36"/>
      <c r="P1216" s="36"/>
      <c r="Q1216" s="36"/>
      <c r="R1216" s="36"/>
      <c r="S1216" s="36"/>
    </row>
    <row r="1217">
      <c r="A1217" s="34"/>
      <c r="B1217" s="34"/>
      <c r="C1217" s="35"/>
      <c r="D1217" s="35"/>
      <c r="E1217" s="34"/>
      <c r="F1217" s="34"/>
      <c r="G1217" s="34"/>
      <c r="H1217" s="34"/>
      <c r="I1217" s="34"/>
      <c r="J1217" s="34"/>
      <c r="K1217" s="34"/>
      <c r="L1217" s="34"/>
      <c r="M1217" s="36"/>
      <c r="N1217" s="36"/>
      <c r="O1217" s="36"/>
      <c r="P1217" s="36"/>
      <c r="Q1217" s="36"/>
      <c r="R1217" s="36"/>
      <c r="S1217" s="36"/>
    </row>
    <row r="1218">
      <c r="A1218" s="34"/>
      <c r="B1218" s="34"/>
      <c r="C1218" s="35"/>
      <c r="D1218" s="35"/>
      <c r="E1218" s="34"/>
      <c r="F1218" s="34"/>
      <c r="G1218" s="34"/>
      <c r="H1218" s="34"/>
      <c r="I1218" s="34"/>
      <c r="J1218" s="34"/>
      <c r="K1218" s="34"/>
      <c r="L1218" s="34"/>
      <c r="M1218" s="36"/>
      <c r="N1218" s="36"/>
      <c r="O1218" s="36"/>
      <c r="P1218" s="36"/>
      <c r="Q1218" s="36"/>
      <c r="R1218" s="36"/>
      <c r="S1218" s="36"/>
    </row>
    <row r="1219">
      <c r="A1219" s="34"/>
      <c r="B1219" s="36"/>
      <c r="C1219" s="35"/>
      <c r="D1219" s="35"/>
      <c r="E1219" s="34"/>
      <c r="F1219" s="34"/>
      <c r="G1219" s="34"/>
      <c r="H1219" s="34"/>
      <c r="I1219" s="36"/>
      <c r="J1219" s="34"/>
      <c r="K1219" s="34"/>
      <c r="L1219" s="34"/>
      <c r="M1219" s="36"/>
      <c r="N1219" s="36"/>
      <c r="O1219" s="36"/>
      <c r="P1219" s="36"/>
      <c r="Q1219" s="36"/>
      <c r="R1219" s="36"/>
      <c r="S1219" s="36"/>
    </row>
    <row r="1220">
      <c r="A1220" s="34"/>
      <c r="B1220" s="36"/>
      <c r="C1220" s="35"/>
      <c r="D1220" s="35"/>
      <c r="E1220" s="34"/>
      <c r="F1220" s="34"/>
      <c r="G1220" s="34"/>
      <c r="H1220" s="34"/>
      <c r="I1220" s="34"/>
      <c r="J1220" s="34"/>
      <c r="K1220" s="34"/>
      <c r="L1220" s="34"/>
      <c r="M1220" s="36"/>
      <c r="N1220" s="36"/>
      <c r="O1220" s="36"/>
      <c r="P1220" s="36"/>
      <c r="Q1220" s="36"/>
      <c r="R1220" s="36"/>
      <c r="S1220" s="36"/>
    </row>
    <row r="1221">
      <c r="A1221" s="34"/>
      <c r="B1221" s="34"/>
      <c r="C1221" s="35"/>
      <c r="D1221" s="35"/>
      <c r="E1221" s="34"/>
      <c r="F1221" s="34"/>
      <c r="G1221" s="34"/>
      <c r="H1221" s="34"/>
      <c r="I1221" s="34"/>
      <c r="J1221" s="34"/>
      <c r="K1221" s="34"/>
      <c r="L1221" s="34"/>
      <c r="M1221" s="36"/>
      <c r="N1221" s="36"/>
      <c r="O1221" s="36"/>
      <c r="P1221" s="36"/>
      <c r="Q1221" s="36"/>
      <c r="R1221" s="36"/>
      <c r="S1221" s="36"/>
    </row>
    <row r="1222">
      <c r="A1222" s="34"/>
      <c r="B1222" s="34"/>
      <c r="C1222" s="35"/>
      <c r="D1222" s="35"/>
      <c r="E1222" s="34"/>
      <c r="F1222" s="34"/>
      <c r="G1222" s="34"/>
      <c r="H1222" s="34"/>
      <c r="I1222" s="34"/>
      <c r="J1222" s="34"/>
      <c r="K1222" s="34"/>
      <c r="L1222" s="34"/>
      <c r="M1222" s="36"/>
      <c r="N1222" s="36"/>
      <c r="O1222" s="36"/>
      <c r="P1222" s="36"/>
      <c r="Q1222" s="36"/>
      <c r="R1222" s="36"/>
      <c r="S1222" s="36"/>
    </row>
    <row r="1223">
      <c r="A1223" s="34"/>
      <c r="B1223" s="34"/>
      <c r="C1223" s="35"/>
      <c r="D1223" s="35"/>
      <c r="E1223" s="34"/>
      <c r="F1223" s="34"/>
      <c r="G1223" s="34"/>
      <c r="H1223" s="34"/>
      <c r="I1223" s="34"/>
      <c r="J1223" s="34"/>
      <c r="K1223" s="34"/>
      <c r="L1223" s="34"/>
      <c r="M1223" s="36"/>
      <c r="N1223" s="36"/>
      <c r="O1223" s="36"/>
      <c r="P1223" s="36"/>
      <c r="Q1223" s="36"/>
      <c r="R1223" s="36"/>
      <c r="S1223" s="36"/>
    </row>
    <row r="1224">
      <c r="A1224" s="34"/>
      <c r="B1224" s="36"/>
      <c r="C1224" s="35"/>
      <c r="D1224" s="35"/>
      <c r="E1224" s="34"/>
      <c r="F1224" s="34"/>
      <c r="G1224" s="34"/>
      <c r="H1224" s="34"/>
      <c r="I1224" s="34"/>
      <c r="J1224" s="34"/>
      <c r="K1224" s="34"/>
      <c r="L1224" s="34"/>
      <c r="M1224" s="36"/>
      <c r="N1224" s="36"/>
      <c r="O1224" s="36"/>
      <c r="P1224" s="36"/>
      <c r="Q1224" s="36"/>
      <c r="R1224" s="36"/>
      <c r="S1224" s="36"/>
    </row>
    <row r="1225">
      <c r="A1225" s="34"/>
      <c r="B1225" s="34"/>
      <c r="C1225" s="35"/>
      <c r="D1225" s="35"/>
      <c r="E1225" s="34"/>
      <c r="F1225" s="34"/>
      <c r="G1225" s="34"/>
      <c r="H1225" s="34"/>
      <c r="I1225" s="34"/>
      <c r="J1225" s="34"/>
      <c r="K1225" s="34"/>
      <c r="L1225" s="34"/>
      <c r="M1225" s="36"/>
      <c r="N1225" s="36"/>
      <c r="O1225" s="36"/>
      <c r="P1225" s="36"/>
      <c r="Q1225" s="36"/>
      <c r="R1225" s="36"/>
      <c r="S1225" s="36"/>
    </row>
    <row r="1226">
      <c r="A1226" s="34"/>
      <c r="B1226" s="34"/>
      <c r="C1226" s="35"/>
      <c r="D1226" s="35"/>
      <c r="E1226" s="34"/>
      <c r="F1226" s="34"/>
      <c r="G1226" s="34"/>
      <c r="H1226" s="34"/>
      <c r="I1226" s="34"/>
      <c r="J1226" s="34"/>
      <c r="K1226" s="34"/>
      <c r="L1226" s="34"/>
      <c r="M1226" s="36"/>
      <c r="N1226" s="36"/>
      <c r="O1226" s="36"/>
      <c r="P1226" s="36"/>
      <c r="Q1226" s="36"/>
      <c r="R1226" s="36"/>
      <c r="S1226" s="36"/>
    </row>
    <row r="1227">
      <c r="A1227" s="34"/>
      <c r="B1227" s="34"/>
      <c r="C1227" s="35"/>
      <c r="D1227" s="35"/>
      <c r="E1227" s="34"/>
      <c r="F1227" s="34"/>
      <c r="G1227" s="34"/>
      <c r="H1227" s="34"/>
      <c r="I1227" s="34"/>
      <c r="J1227" s="34"/>
      <c r="K1227" s="34"/>
      <c r="L1227" s="34"/>
      <c r="M1227" s="36"/>
      <c r="N1227" s="36"/>
      <c r="O1227" s="36"/>
      <c r="P1227" s="36"/>
      <c r="Q1227" s="36"/>
      <c r="R1227" s="36"/>
      <c r="S1227" s="36"/>
    </row>
    <row r="1228">
      <c r="A1228" s="34"/>
      <c r="B1228" s="34"/>
      <c r="C1228" s="35"/>
      <c r="D1228" s="35"/>
      <c r="E1228" s="34"/>
      <c r="F1228" s="34"/>
      <c r="G1228" s="34"/>
      <c r="H1228" s="34"/>
      <c r="I1228" s="34"/>
      <c r="J1228" s="34"/>
      <c r="K1228" s="34"/>
      <c r="L1228" s="34"/>
      <c r="M1228" s="36"/>
      <c r="N1228" s="36"/>
      <c r="O1228" s="36"/>
      <c r="P1228" s="36"/>
      <c r="Q1228" s="36"/>
      <c r="R1228" s="36"/>
      <c r="S1228" s="36"/>
    </row>
    <row r="1229">
      <c r="A1229" s="34"/>
      <c r="B1229" s="36"/>
      <c r="C1229" s="35"/>
      <c r="D1229" s="35"/>
      <c r="E1229" s="34"/>
      <c r="F1229" s="34"/>
      <c r="G1229" s="34"/>
      <c r="H1229" s="34"/>
      <c r="I1229" s="36"/>
      <c r="J1229" s="34"/>
      <c r="K1229" s="34"/>
      <c r="L1229" s="34"/>
      <c r="M1229" s="36"/>
      <c r="N1229" s="36"/>
      <c r="O1229" s="36"/>
      <c r="P1229" s="36"/>
      <c r="Q1229" s="36"/>
      <c r="R1229" s="36"/>
      <c r="S1229" s="36"/>
    </row>
    <row r="1230">
      <c r="A1230" s="34"/>
      <c r="B1230" s="36"/>
      <c r="C1230" s="35"/>
      <c r="D1230" s="35"/>
      <c r="E1230" s="34"/>
      <c r="F1230" s="34"/>
      <c r="G1230" s="34"/>
      <c r="H1230" s="34"/>
      <c r="I1230" s="36"/>
      <c r="J1230" s="34"/>
      <c r="K1230" s="34"/>
      <c r="L1230" s="34"/>
      <c r="M1230" s="36"/>
      <c r="N1230" s="36"/>
      <c r="O1230" s="36"/>
      <c r="P1230" s="36"/>
      <c r="Q1230" s="36"/>
      <c r="R1230" s="36"/>
      <c r="S1230" s="36"/>
    </row>
    <row r="1231">
      <c r="A1231" s="34"/>
      <c r="B1231" s="36"/>
      <c r="C1231" s="35"/>
      <c r="D1231" s="35"/>
      <c r="E1231" s="34"/>
      <c r="F1231" s="34"/>
      <c r="G1231" s="34"/>
      <c r="H1231" s="34"/>
      <c r="I1231" s="34"/>
      <c r="J1231" s="34"/>
      <c r="K1231" s="34"/>
      <c r="L1231" s="34"/>
      <c r="M1231" s="36"/>
      <c r="N1231" s="36"/>
      <c r="O1231" s="36"/>
      <c r="P1231" s="36"/>
      <c r="Q1231" s="36"/>
      <c r="R1231" s="36"/>
      <c r="S1231" s="36"/>
    </row>
    <row r="1232">
      <c r="A1232" s="34"/>
      <c r="B1232" s="34"/>
      <c r="C1232" s="35"/>
      <c r="D1232" s="35"/>
      <c r="E1232" s="34"/>
      <c r="F1232" s="34"/>
      <c r="G1232" s="34"/>
      <c r="H1232" s="34"/>
      <c r="I1232" s="34"/>
      <c r="J1232" s="34"/>
      <c r="K1232" s="34"/>
      <c r="L1232" s="34"/>
      <c r="M1232" s="36"/>
      <c r="N1232" s="36"/>
      <c r="O1232" s="36"/>
      <c r="P1232" s="36"/>
      <c r="Q1232" s="36"/>
      <c r="R1232" s="36"/>
      <c r="S1232" s="36"/>
    </row>
    <row r="1233">
      <c r="A1233" s="34"/>
      <c r="B1233" s="36"/>
      <c r="C1233" s="35"/>
      <c r="D1233" s="35"/>
      <c r="E1233" s="34"/>
      <c r="F1233" s="34"/>
      <c r="G1233" s="34"/>
      <c r="H1233" s="34"/>
      <c r="I1233" s="36"/>
      <c r="J1233" s="34"/>
      <c r="K1233" s="34"/>
      <c r="L1233" s="34"/>
      <c r="M1233" s="36"/>
      <c r="N1233" s="36"/>
      <c r="O1233" s="36"/>
      <c r="P1233" s="36"/>
      <c r="Q1233" s="36"/>
      <c r="R1233" s="36"/>
      <c r="S1233" s="36"/>
    </row>
    <row r="1234">
      <c r="A1234" s="34"/>
      <c r="B1234" s="36"/>
      <c r="C1234" s="35"/>
      <c r="D1234" s="35"/>
      <c r="E1234" s="34"/>
      <c r="F1234" s="34"/>
      <c r="G1234" s="34"/>
      <c r="H1234" s="34"/>
      <c r="I1234" s="36"/>
      <c r="J1234" s="34"/>
      <c r="K1234" s="34"/>
      <c r="L1234" s="34"/>
      <c r="M1234" s="36"/>
      <c r="N1234" s="36"/>
      <c r="O1234" s="36"/>
      <c r="P1234" s="36"/>
      <c r="Q1234" s="36"/>
      <c r="R1234" s="36"/>
      <c r="S1234" s="36"/>
    </row>
    <row r="1235">
      <c r="A1235" s="34"/>
      <c r="B1235" s="36"/>
      <c r="C1235" s="35"/>
      <c r="D1235" s="35"/>
      <c r="E1235" s="34"/>
      <c r="F1235" s="34"/>
      <c r="G1235" s="34"/>
      <c r="H1235" s="34"/>
      <c r="I1235" s="34"/>
      <c r="J1235" s="34"/>
      <c r="K1235" s="34"/>
      <c r="L1235" s="34"/>
      <c r="M1235" s="36"/>
      <c r="N1235" s="36"/>
      <c r="O1235" s="36"/>
      <c r="P1235" s="36"/>
      <c r="Q1235" s="36"/>
      <c r="R1235" s="36"/>
      <c r="S1235" s="36"/>
    </row>
    <row r="1236">
      <c r="A1236" s="34"/>
      <c r="B1236" s="36"/>
      <c r="C1236" s="35"/>
      <c r="D1236" s="35"/>
      <c r="E1236" s="34"/>
      <c r="F1236" s="34"/>
      <c r="G1236" s="34"/>
      <c r="H1236" s="34"/>
      <c r="I1236" s="36"/>
      <c r="J1236" s="34"/>
      <c r="K1236" s="34"/>
      <c r="L1236" s="34"/>
      <c r="M1236" s="36"/>
      <c r="N1236" s="36"/>
      <c r="O1236" s="36"/>
      <c r="P1236" s="36"/>
      <c r="Q1236" s="36"/>
      <c r="R1236" s="36"/>
      <c r="S1236" s="36"/>
    </row>
    <row r="1237">
      <c r="A1237" s="34"/>
      <c r="B1237" s="36"/>
      <c r="C1237" s="35"/>
      <c r="D1237" s="35"/>
      <c r="E1237" s="34"/>
      <c r="F1237" s="34"/>
      <c r="G1237" s="34"/>
      <c r="H1237" s="34"/>
      <c r="I1237" s="36"/>
      <c r="J1237" s="34"/>
      <c r="K1237" s="34"/>
      <c r="L1237" s="34"/>
      <c r="M1237" s="36"/>
      <c r="N1237" s="36"/>
      <c r="O1237" s="36"/>
      <c r="P1237" s="36"/>
      <c r="Q1237" s="36"/>
      <c r="R1237" s="36"/>
      <c r="S1237" s="36"/>
    </row>
    <row r="1238">
      <c r="A1238" s="34"/>
      <c r="B1238" s="36"/>
      <c r="C1238" s="35"/>
      <c r="D1238" s="35"/>
      <c r="E1238" s="34"/>
      <c r="F1238" s="34"/>
      <c r="G1238" s="34"/>
      <c r="H1238" s="34"/>
      <c r="I1238" s="36"/>
      <c r="J1238" s="34"/>
      <c r="K1238" s="34"/>
      <c r="L1238" s="34"/>
      <c r="M1238" s="36"/>
      <c r="N1238" s="36"/>
      <c r="O1238" s="36"/>
      <c r="P1238" s="36"/>
      <c r="Q1238" s="36"/>
      <c r="R1238" s="36"/>
      <c r="S1238" s="36"/>
    </row>
    <row r="1239">
      <c r="A1239" s="34"/>
      <c r="B1239" s="34"/>
      <c r="C1239" s="35"/>
      <c r="D1239" s="35"/>
      <c r="E1239" s="34"/>
      <c r="F1239" s="34"/>
      <c r="G1239" s="34"/>
      <c r="H1239" s="34"/>
      <c r="I1239" s="34"/>
      <c r="J1239" s="34"/>
      <c r="K1239" s="34"/>
      <c r="L1239" s="34"/>
      <c r="M1239" s="36"/>
      <c r="N1239" s="36"/>
      <c r="O1239" s="36"/>
      <c r="P1239" s="36"/>
      <c r="Q1239" s="36"/>
      <c r="R1239" s="36"/>
      <c r="S1239" s="36"/>
    </row>
    <row r="1240">
      <c r="A1240" s="34"/>
      <c r="B1240" s="36"/>
      <c r="C1240" s="35"/>
      <c r="D1240" s="35"/>
      <c r="E1240" s="34"/>
      <c r="F1240" s="34"/>
      <c r="G1240" s="34"/>
      <c r="H1240" s="34"/>
      <c r="I1240" s="36"/>
      <c r="J1240" s="34"/>
      <c r="K1240" s="34"/>
      <c r="L1240" s="34"/>
      <c r="M1240" s="36"/>
      <c r="N1240" s="36"/>
      <c r="O1240" s="36"/>
      <c r="P1240" s="36"/>
      <c r="Q1240" s="36"/>
      <c r="R1240" s="36"/>
      <c r="S1240" s="36"/>
    </row>
    <row r="1241">
      <c r="A1241" s="34"/>
      <c r="B1241" s="36"/>
      <c r="C1241" s="35"/>
      <c r="D1241" s="35"/>
      <c r="E1241" s="34"/>
      <c r="F1241" s="34"/>
      <c r="G1241" s="34"/>
      <c r="H1241" s="34"/>
      <c r="I1241" s="36"/>
      <c r="J1241" s="34"/>
      <c r="K1241" s="34"/>
      <c r="L1241" s="34"/>
      <c r="M1241" s="36"/>
      <c r="N1241" s="36"/>
      <c r="O1241" s="36"/>
      <c r="P1241" s="36"/>
      <c r="Q1241" s="36"/>
      <c r="R1241" s="36"/>
      <c r="S1241" s="36"/>
    </row>
    <row r="1242">
      <c r="A1242" s="34"/>
      <c r="B1242" s="36"/>
      <c r="C1242" s="35"/>
      <c r="D1242" s="35"/>
      <c r="E1242" s="34"/>
      <c r="F1242" s="34"/>
      <c r="G1242" s="34"/>
      <c r="H1242" s="34"/>
      <c r="I1242" s="36"/>
      <c r="J1242" s="34"/>
      <c r="K1242" s="34"/>
      <c r="L1242" s="34"/>
      <c r="M1242" s="36"/>
      <c r="N1242" s="36"/>
      <c r="O1242" s="36"/>
      <c r="P1242" s="36"/>
      <c r="Q1242" s="36"/>
      <c r="R1242" s="36"/>
      <c r="S1242" s="36"/>
    </row>
    <row r="1243">
      <c r="A1243" s="34"/>
      <c r="B1243" s="36"/>
      <c r="C1243" s="35"/>
      <c r="D1243" s="35"/>
      <c r="E1243" s="34"/>
      <c r="F1243" s="34"/>
      <c r="G1243" s="34"/>
      <c r="H1243" s="34"/>
      <c r="I1243" s="36"/>
      <c r="J1243" s="34"/>
      <c r="K1243" s="34"/>
      <c r="L1243" s="34"/>
      <c r="M1243" s="36"/>
      <c r="N1243" s="36"/>
      <c r="O1243" s="36"/>
      <c r="P1243" s="36"/>
      <c r="Q1243" s="36"/>
      <c r="R1243" s="36"/>
      <c r="S1243" s="36"/>
    </row>
    <row r="1244">
      <c r="A1244" s="34"/>
      <c r="B1244" s="36"/>
      <c r="C1244" s="35"/>
      <c r="D1244" s="35"/>
      <c r="E1244" s="34"/>
      <c r="F1244" s="34"/>
      <c r="G1244" s="34"/>
      <c r="H1244" s="34"/>
      <c r="I1244" s="36"/>
      <c r="J1244" s="34"/>
      <c r="K1244" s="34"/>
      <c r="L1244" s="34"/>
      <c r="M1244" s="36"/>
      <c r="N1244" s="36"/>
      <c r="O1244" s="36"/>
      <c r="P1244" s="36"/>
      <c r="Q1244" s="36"/>
      <c r="R1244" s="36"/>
      <c r="S1244" s="36"/>
    </row>
    <row r="1245">
      <c r="A1245" s="34"/>
      <c r="B1245" s="36"/>
      <c r="C1245" s="35"/>
      <c r="D1245" s="35"/>
      <c r="E1245" s="34"/>
      <c r="F1245" s="34"/>
      <c r="G1245" s="34"/>
      <c r="H1245" s="34"/>
      <c r="I1245" s="34"/>
      <c r="J1245" s="34"/>
      <c r="K1245" s="34"/>
      <c r="L1245" s="34"/>
      <c r="M1245" s="36"/>
      <c r="N1245" s="36"/>
      <c r="O1245" s="36"/>
      <c r="P1245" s="36"/>
      <c r="Q1245" s="36"/>
      <c r="R1245" s="36"/>
      <c r="S1245" s="36"/>
    </row>
    <row r="1246">
      <c r="A1246" s="34"/>
      <c r="B1246" s="36"/>
      <c r="C1246" s="35"/>
      <c r="D1246" s="35"/>
      <c r="E1246" s="34"/>
      <c r="F1246" s="34"/>
      <c r="G1246" s="34"/>
      <c r="H1246" s="34"/>
      <c r="I1246" s="36"/>
      <c r="J1246" s="34"/>
      <c r="K1246" s="34"/>
      <c r="L1246" s="34"/>
      <c r="M1246" s="36"/>
      <c r="N1246" s="36"/>
      <c r="O1246" s="36"/>
      <c r="P1246" s="36"/>
      <c r="Q1246" s="36"/>
      <c r="R1246" s="36"/>
      <c r="S1246" s="36"/>
    </row>
    <row r="1247">
      <c r="A1247" s="34"/>
      <c r="B1247" s="36"/>
      <c r="C1247" s="35"/>
      <c r="D1247" s="35"/>
      <c r="E1247" s="34"/>
      <c r="F1247" s="34"/>
      <c r="G1247" s="34"/>
      <c r="H1247" s="34"/>
      <c r="I1247" s="36"/>
      <c r="J1247" s="34"/>
      <c r="K1247" s="34"/>
      <c r="L1247" s="34"/>
      <c r="M1247" s="36"/>
      <c r="N1247" s="36"/>
      <c r="O1247" s="36"/>
      <c r="P1247" s="36"/>
      <c r="Q1247" s="36"/>
      <c r="R1247" s="36"/>
      <c r="S1247" s="36"/>
    </row>
    <row r="1248">
      <c r="A1248" s="34"/>
      <c r="B1248" s="36"/>
      <c r="C1248" s="35"/>
      <c r="D1248" s="35"/>
      <c r="E1248" s="34"/>
      <c r="F1248" s="34"/>
      <c r="G1248" s="34"/>
      <c r="H1248" s="34"/>
      <c r="I1248" s="34"/>
      <c r="J1248" s="34"/>
      <c r="K1248" s="34"/>
      <c r="L1248" s="34"/>
      <c r="M1248" s="36"/>
      <c r="N1248" s="36"/>
      <c r="O1248" s="36"/>
      <c r="P1248" s="36"/>
      <c r="Q1248" s="36"/>
      <c r="R1248" s="36"/>
      <c r="S1248" s="36"/>
    </row>
    <row r="1249">
      <c r="A1249" s="34"/>
      <c r="B1249" s="36"/>
      <c r="C1249" s="35"/>
      <c r="D1249" s="35"/>
      <c r="E1249" s="34"/>
      <c r="F1249" s="34"/>
      <c r="G1249" s="34"/>
      <c r="H1249" s="34"/>
      <c r="I1249" s="36"/>
      <c r="J1249" s="34"/>
      <c r="K1249" s="34"/>
      <c r="L1249" s="34"/>
      <c r="M1249" s="36"/>
      <c r="N1249" s="36"/>
      <c r="O1249" s="36"/>
      <c r="P1249" s="36"/>
      <c r="Q1249" s="36"/>
      <c r="R1249" s="36"/>
      <c r="S1249" s="36"/>
    </row>
    <row r="1250">
      <c r="A1250" s="34"/>
      <c r="B1250" s="36"/>
      <c r="C1250" s="35"/>
      <c r="D1250" s="35"/>
      <c r="E1250" s="34"/>
      <c r="F1250" s="34"/>
      <c r="G1250" s="34"/>
      <c r="H1250" s="34"/>
      <c r="I1250" s="36"/>
      <c r="J1250" s="34"/>
      <c r="K1250" s="34"/>
      <c r="L1250" s="34"/>
      <c r="M1250" s="36"/>
      <c r="N1250" s="36"/>
      <c r="O1250" s="36"/>
      <c r="P1250" s="36"/>
      <c r="Q1250" s="36"/>
      <c r="R1250" s="36"/>
      <c r="S1250" s="36"/>
    </row>
    <row r="1251">
      <c r="A1251" s="34"/>
      <c r="B1251" s="36"/>
      <c r="C1251" s="35"/>
      <c r="D1251" s="35"/>
      <c r="E1251" s="34"/>
      <c r="F1251" s="34"/>
      <c r="G1251" s="34"/>
      <c r="H1251" s="34"/>
      <c r="I1251" s="36"/>
      <c r="J1251" s="34"/>
      <c r="K1251" s="34"/>
      <c r="L1251" s="34"/>
      <c r="M1251" s="36"/>
      <c r="N1251" s="36"/>
      <c r="O1251" s="36"/>
      <c r="P1251" s="36"/>
      <c r="Q1251" s="36"/>
      <c r="R1251" s="36"/>
      <c r="S1251" s="36"/>
    </row>
    <row r="1252">
      <c r="A1252" s="34"/>
      <c r="B1252" s="36"/>
      <c r="C1252" s="35"/>
      <c r="D1252" s="35"/>
      <c r="E1252" s="34"/>
      <c r="F1252" s="34"/>
      <c r="G1252" s="34"/>
      <c r="H1252" s="34"/>
      <c r="I1252" s="34"/>
      <c r="J1252" s="34"/>
      <c r="K1252" s="34"/>
      <c r="L1252" s="34"/>
      <c r="M1252" s="36"/>
      <c r="N1252" s="36"/>
      <c r="O1252" s="36"/>
      <c r="P1252" s="36"/>
      <c r="Q1252" s="36"/>
      <c r="R1252" s="36"/>
      <c r="S1252" s="36"/>
    </row>
    <row r="1253">
      <c r="A1253" s="34"/>
      <c r="B1253" s="36"/>
      <c r="C1253" s="35"/>
      <c r="D1253" s="35"/>
      <c r="E1253" s="34"/>
      <c r="F1253" s="34"/>
      <c r="G1253" s="34"/>
      <c r="H1253" s="34"/>
      <c r="I1253" s="34"/>
      <c r="J1253" s="34"/>
      <c r="K1253" s="34"/>
      <c r="L1253" s="34"/>
      <c r="M1253" s="36"/>
      <c r="N1253" s="36"/>
      <c r="O1253" s="36"/>
      <c r="P1253" s="36"/>
      <c r="Q1253" s="36"/>
      <c r="R1253" s="36"/>
      <c r="S1253" s="36"/>
    </row>
    <row r="1254">
      <c r="A1254" s="34"/>
      <c r="B1254" s="36"/>
      <c r="C1254" s="35"/>
      <c r="D1254" s="35"/>
      <c r="E1254" s="34"/>
      <c r="F1254" s="34"/>
      <c r="G1254" s="34"/>
      <c r="H1254" s="34"/>
      <c r="I1254" s="36"/>
      <c r="J1254" s="34"/>
      <c r="K1254" s="34"/>
      <c r="L1254" s="34"/>
      <c r="M1254" s="36"/>
      <c r="N1254" s="36"/>
      <c r="O1254" s="36"/>
      <c r="P1254" s="36"/>
      <c r="Q1254" s="36"/>
      <c r="R1254" s="36"/>
      <c r="S1254" s="36"/>
    </row>
    <row r="1255">
      <c r="A1255" s="34"/>
      <c r="B1255" s="36"/>
      <c r="C1255" s="35"/>
      <c r="D1255" s="35"/>
      <c r="E1255" s="34"/>
      <c r="F1255" s="34"/>
      <c r="G1255" s="34"/>
      <c r="H1255" s="34"/>
      <c r="I1255" s="36"/>
      <c r="J1255" s="34"/>
      <c r="K1255" s="34"/>
      <c r="L1255" s="34"/>
      <c r="M1255" s="36"/>
      <c r="N1255" s="36"/>
      <c r="O1255" s="36"/>
      <c r="P1255" s="36"/>
      <c r="Q1255" s="36"/>
      <c r="R1255" s="36"/>
      <c r="S1255" s="36"/>
    </row>
    <row r="1256">
      <c r="A1256" s="34"/>
      <c r="B1256" s="34"/>
      <c r="C1256" s="35"/>
      <c r="D1256" s="35"/>
      <c r="E1256" s="34"/>
      <c r="F1256" s="34"/>
      <c r="G1256" s="34"/>
      <c r="H1256" s="34"/>
      <c r="I1256" s="34"/>
      <c r="J1256" s="34"/>
      <c r="K1256" s="34"/>
      <c r="L1256" s="34"/>
      <c r="M1256" s="36"/>
      <c r="N1256" s="36"/>
      <c r="O1256" s="36"/>
      <c r="P1256" s="36"/>
      <c r="Q1256" s="36"/>
      <c r="R1256" s="36"/>
      <c r="S1256" s="36"/>
    </row>
    <row r="1257">
      <c r="A1257" s="34"/>
      <c r="B1257" s="36"/>
      <c r="C1257" s="35"/>
      <c r="D1257" s="35"/>
      <c r="E1257" s="34"/>
      <c r="F1257" s="34"/>
      <c r="G1257" s="34"/>
      <c r="H1257" s="34"/>
      <c r="I1257" s="34"/>
      <c r="J1257" s="34"/>
      <c r="K1257" s="34"/>
      <c r="L1257" s="34"/>
      <c r="M1257" s="36"/>
      <c r="N1257" s="36"/>
      <c r="O1257" s="36"/>
      <c r="P1257" s="36"/>
      <c r="Q1257" s="36"/>
      <c r="R1257" s="36"/>
      <c r="S1257" s="36"/>
    </row>
    <row r="1258">
      <c r="A1258" s="34"/>
      <c r="B1258" s="34"/>
      <c r="C1258" s="35"/>
      <c r="D1258" s="35"/>
      <c r="E1258" s="34"/>
      <c r="F1258" s="34"/>
      <c r="G1258" s="34"/>
      <c r="H1258" s="34"/>
      <c r="I1258" s="34"/>
      <c r="J1258" s="34"/>
      <c r="K1258" s="34"/>
      <c r="L1258" s="34"/>
      <c r="M1258" s="36"/>
      <c r="N1258" s="36"/>
      <c r="O1258" s="36"/>
      <c r="P1258" s="36"/>
      <c r="Q1258" s="36"/>
      <c r="R1258" s="36"/>
      <c r="S1258" s="36"/>
    </row>
    <row r="1259">
      <c r="A1259" s="34"/>
      <c r="B1259" s="36"/>
      <c r="C1259" s="35"/>
      <c r="D1259" s="35"/>
      <c r="E1259" s="34"/>
      <c r="F1259" s="34"/>
      <c r="G1259" s="34"/>
      <c r="H1259" s="34"/>
      <c r="I1259" s="34"/>
      <c r="J1259" s="34"/>
      <c r="K1259" s="34"/>
      <c r="L1259" s="34"/>
      <c r="M1259" s="36"/>
      <c r="N1259" s="36"/>
      <c r="O1259" s="36"/>
      <c r="P1259" s="36"/>
      <c r="Q1259" s="36"/>
      <c r="R1259" s="36"/>
      <c r="S1259" s="36"/>
    </row>
    <row r="1260">
      <c r="A1260" s="34"/>
      <c r="B1260" s="34"/>
      <c r="C1260" s="35"/>
      <c r="D1260" s="35"/>
      <c r="E1260" s="34"/>
      <c r="F1260" s="34"/>
      <c r="G1260" s="34"/>
      <c r="H1260" s="34"/>
      <c r="I1260" s="34"/>
      <c r="J1260" s="34"/>
      <c r="K1260" s="34"/>
      <c r="L1260" s="34"/>
      <c r="M1260" s="36"/>
      <c r="N1260" s="36"/>
      <c r="O1260" s="36"/>
      <c r="P1260" s="36"/>
      <c r="Q1260" s="36"/>
      <c r="R1260" s="36"/>
      <c r="S1260" s="36"/>
    </row>
    <row r="1261">
      <c r="A1261" s="34"/>
      <c r="B1261" s="36"/>
      <c r="C1261" s="35"/>
      <c r="D1261" s="35"/>
      <c r="E1261" s="34"/>
      <c r="F1261" s="34"/>
      <c r="G1261" s="34"/>
      <c r="H1261" s="34"/>
      <c r="I1261" s="36"/>
      <c r="J1261" s="34"/>
      <c r="K1261" s="34"/>
      <c r="L1261" s="34"/>
      <c r="M1261" s="36"/>
      <c r="N1261" s="36"/>
      <c r="O1261" s="36"/>
      <c r="P1261" s="36"/>
      <c r="Q1261" s="36"/>
      <c r="R1261" s="36"/>
      <c r="S1261" s="36"/>
    </row>
    <row r="1262">
      <c r="A1262" s="34"/>
      <c r="B1262" s="36"/>
      <c r="C1262" s="35"/>
      <c r="D1262" s="35"/>
      <c r="E1262" s="34"/>
      <c r="F1262" s="34"/>
      <c r="G1262" s="34"/>
      <c r="H1262" s="34"/>
      <c r="I1262" s="36"/>
      <c r="J1262" s="34"/>
      <c r="K1262" s="34"/>
      <c r="L1262" s="34"/>
      <c r="M1262" s="36"/>
      <c r="N1262" s="36"/>
      <c r="O1262" s="36"/>
      <c r="P1262" s="36"/>
      <c r="Q1262" s="36"/>
      <c r="R1262" s="36"/>
      <c r="S1262" s="36"/>
    </row>
    <row r="1263">
      <c r="A1263" s="34"/>
      <c r="B1263" s="36"/>
      <c r="C1263" s="35"/>
      <c r="D1263" s="35"/>
      <c r="E1263" s="34"/>
      <c r="F1263" s="34"/>
      <c r="G1263" s="34"/>
      <c r="H1263" s="34"/>
      <c r="I1263" s="36"/>
      <c r="J1263" s="34"/>
      <c r="K1263" s="34"/>
      <c r="L1263" s="34"/>
      <c r="M1263" s="36"/>
      <c r="N1263" s="36"/>
      <c r="O1263" s="36"/>
      <c r="P1263" s="36"/>
      <c r="Q1263" s="36"/>
      <c r="R1263" s="36"/>
      <c r="S1263" s="36"/>
    </row>
    <row r="1264">
      <c r="A1264" s="34"/>
      <c r="B1264" s="34"/>
      <c r="C1264" s="35"/>
      <c r="D1264" s="35"/>
      <c r="E1264" s="34"/>
      <c r="F1264" s="34"/>
      <c r="G1264" s="34"/>
      <c r="H1264" s="34"/>
      <c r="I1264" s="34"/>
      <c r="J1264" s="34"/>
      <c r="K1264" s="34"/>
      <c r="L1264" s="34"/>
      <c r="M1264" s="36"/>
      <c r="N1264" s="36"/>
      <c r="O1264" s="36"/>
      <c r="P1264" s="36"/>
      <c r="Q1264" s="36"/>
      <c r="R1264" s="36"/>
      <c r="S1264" s="36"/>
    </row>
    <row r="1265">
      <c r="A1265" s="34"/>
      <c r="B1265" s="34"/>
      <c r="C1265" s="35"/>
      <c r="D1265" s="35"/>
      <c r="E1265" s="34"/>
      <c r="F1265" s="34"/>
      <c r="G1265" s="34"/>
      <c r="H1265" s="34"/>
      <c r="I1265" s="34"/>
      <c r="J1265" s="34"/>
      <c r="K1265" s="34"/>
      <c r="L1265" s="34"/>
      <c r="M1265" s="36"/>
      <c r="N1265" s="36"/>
      <c r="O1265" s="36"/>
      <c r="P1265" s="36"/>
      <c r="Q1265" s="36"/>
      <c r="R1265" s="36"/>
      <c r="S1265" s="36"/>
    </row>
    <row r="1266">
      <c r="A1266" s="34"/>
      <c r="B1266" s="36"/>
      <c r="C1266" s="35"/>
      <c r="D1266" s="35"/>
      <c r="E1266" s="34"/>
      <c r="F1266" s="34"/>
      <c r="G1266" s="34"/>
      <c r="H1266" s="34"/>
      <c r="I1266" s="36"/>
      <c r="J1266" s="34"/>
      <c r="K1266" s="34"/>
      <c r="L1266" s="34"/>
      <c r="M1266" s="36"/>
      <c r="N1266" s="36"/>
      <c r="O1266" s="36"/>
      <c r="P1266" s="36"/>
      <c r="Q1266" s="36"/>
      <c r="R1266" s="36"/>
      <c r="S1266" s="36"/>
    </row>
    <row r="1267">
      <c r="A1267" s="34"/>
      <c r="B1267" s="34"/>
      <c r="C1267" s="35"/>
      <c r="D1267" s="35"/>
      <c r="E1267" s="34"/>
      <c r="F1267" s="34"/>
      <c r="G1267" s="34"/>
      <c r="H1267" s="34"/>
      <c r="I1267" s="34"/>
      <c r="J1267" s="34"/>
      <c r="K1267" s="34"/>
      <c r="L1267" s="34"/>
      <c r="M1267" s="36"/>
      <c r="N1267" s="36"/>
      <c r="O1267" s="36"/>
      <c r="P1267" s="36"/>
      <c r="Q1267" s="36"/>
      <c r="R1267" s="36"/>
      <c r="S1267" s="36"/>
    </row>
    <row r="1268">
      <c r="A1268" s="34"/>
      <c r="B1268" s="36"/>
      <c r="C1268" s="35"/>
      <c r="D1268" s="35"/>
      <c r="E1268" s="34"/>
      <c r="F1268" s="34"/>
      <c r="G1268" s="34"/>
      <c r="H1268" s="34"/>
      <c r="I1268" s="34"/>
      <c r="J1268" s="34"/>
      <c r="K1268" s="34"/>
      <c r="L1268" s="34"/>
      <c r="M1268" s="36"/>
      <c r="N1268" s="36"/>
      <c r="O1268" s="36"/>
      <c r="P1268" s="36"/>
      <c r="Q1268" s="36"/>
      <c r="R1268" s="36"/>
      <c r="S1268" s="36"/>
    </row>
    <row r="1269">
      <c r="A1269" s="34"/>
      <c r="B1269" s="36"/>
      <c r="C1269" s="35"/>
      <c r="D1269" s="35"/>
      <c r="E1269" s="34"/>
      <c r="F1269" s="34"/>
      <c r="G1269" s="34"/>
      <c r="H1269" s="34"/>
      <c r="I1269" s="36"/>
      <c r="J1269" s="34"/>
      <c r="K1269" s="34"/>
      <c r="L1269" s="34"/>
      <c r="M1269" s="36"/>
      <c r="N1269" s="36"/>
      <c r="O1269" s="36"/>
      <c r="P1269" s="36"/>
      <c r="Q1269" s="36"/>
      <c r="R1269" s="36"/>
      <c r="S1269" s="36"/>
    </row>
    <row r="1270">
      <c r="A1270" s="34"/>
      <c r="B1270" s="36"/>
      <c r="C1270" s="35"/>
      <c r="D1270" s="35"/>
      <c r="E1270" s="34"/>
      <c r="F1270" s="34"/>
      <c r="G1270" s="34"/>
      <c r="H1270" s="34"/>
      <c r="I1270" s="36"/>
      <c r="J1270" s="34"/>
      <c r="K1270" s="34"/>
      <c r="L1270" s="34"/>
      <c r="M1270" s="36"/>
      <c r="N1270" s="36"/>
      <c r="O1270" s="36"/>
      <c r="P1270" s="36"/>
      <c r="Q1270" s="36"/>
      <c r="R1270" s="36"/>
      <c r="S1270" s="36"/>
    </row>
    <row r="1271">
      <c r="A1271" s="34"/>
      <c r="B1271" s="36"/>
      <c r="C1271" s="35"/>
      <c r="D1271" s="35"/>
      <c r="E1271" s="34"/>
      <c r="F1271" s="34"/>
      <c r="G1271" s="34"/>
      <c r="H1271" s="34"/>
      <c r="I1271" s="34"/>
      <c r="J1271" s="34"/>
      <c r="K1271" s="34"/>
      <c r="L1271" s="34"/>
      <c r="M1271" s="36"/>
      <c r="N1271" s="36"/>
      <c r="O1271" s="36"/>
      <c r="P1271" s="36"/>
      <c r="Q1271" s="36"/>
      <c r="R1271" s="36"/>
      <c r="S1271" s="36"/>
    </row>
    <row r="1272">
      <c r="A1272" s="34"/>
      <c r="B1272" s="36"/>
      <c r="C1272" s="35"/>
      <c r="D1272" s="35"/>
      <c r="E1272" s="34"/>
      <c r="F1272" s="34"/>
      <c r="G1272" s="34"/>
      <c r="H1272" s="34"/>
      <c r="I1272" s="34"/>
      <c r="J1272" s="34"/>
      <c r="K1272" s="34"/>
      <c r="L1272" s="34"/>
      <c r="M1272" s="36"/>
      <c r="N1272" s="36"/>
      <c r="O1272" s="36"/>
      <c r="P1272" s="36"/>
      <c r="Q1272" s="36"/>
      <c r="R1272" s="36"/>
      <c r="S1272" s="36"/>
    </row>
    <row r="1273">
      <c r="A1273" s="34"/>
      <c r="B1273" s="36"/>
      <c r="C1273" s="35"/>
      <c r="D1273" s="35"/>
      <c r="E1273" s="34"/>
      <c r="F1273" s="34"/>
      <c r="G1273" s="34"/>
      <c r="H1273" s="34"/>
      <c r="I1273" s="36"/>
      <c r="J1273" s="34"/>
      <c r="K1273" s="34"/>
      <c r="L1273" s="34"/>
      <c r="M1273" s="36"/>
      <c r="N1273" s="36"/>
      <c r="O1273" s="36"/>
      <c r="P1273" s="36"/>
      <c r="Q1273" s="36"/>
      <c r="R1273" s="36"/>
      <c r="S1273" s="36"/>
    </row>
    <row r="1274">
      <c r="A1274" s="34"/>
      <c r="B1274" s="36"/>
      <c r="C1274" s="35"/>
      <c r="D1274" s="35"/>
      <c r="E1274" s="34"/>
      <c r="F1274" s="34"/>
      <c r="G1274" s="34"/>
      <c r="H1274" s="34"/>
      <c r="I1274" s="34"/>
      <c r="J1274" s="34"/>
      <c r="K1274" s="34"/>
      <c r="L1274" s="34"/>
      <c r="M1274" s="36"/>
      <c r="N1274" s="36"/>
      <c r="O1274" s="36"/>
      <c r="P1274" s="36"/>
      <c r="Q1274" s="36"/>
      <c r="R1274" s="36"/>
      <c r="S1274" s="36"/>
    </row>
    <row r="1275">
      <c r="A1275" s="34"/>
      <c r="B1275" s="36"/>
      <c r="C1275" s="35"/>
      <c r="D1275" s="35"/>
      <c r="E1275" s="34"/>
      <c r="F1275" s="34"/>
      <c r="G1275" s="34"/>
      <c r="H1275" s="34"/>
      <c r="I1275" s="36"/>
      <c r="J1275" s="34"/>
      <c r="K1275" s="34"/>
      <c r="L1275" s="34"/>
      <c r="M1275" s="36"/>
      <c r="N1275" s="36"/>
      <c r="O1275" s="36"/>
      <c r="P1275" s="36"/>
      <c r="Q1275" s="36"/>
      <c r="R1275" s="36"/>
      <c r="S1275" s="36"/>
    </row>
    <row r="1276">
      <c r="A1276" s="34"/>
      <c r="B1276" s="36"/>
      <c r="C1276" s="35"/>
      <c r="D1276" s="35"/>
      <c r="E1276" s="34"/>
      <c r="F1276" s="34"/>
      <c r="G1276" s="34"/>
      <c r="H1276" s="34"/>
      <c r="I1276" s="36"/>
      <c r="J1276" s="34"/>
      <c r="K1276" s="34"/>
      <c r="L1276" s="34"/>
      <c r="M1276" s="36"/>
      <c r="N1276" s="36"/>
      <c r="O1276" s="36"/>
      <c r="P1276" s="36"/>
      <c r="Q1276" s="36"/>
      <c r="R1276" s="36"/>
      <c r="S1276" s="36"/>
    </row>
    <row r="1277">
      <c r="A1277" s="34"/>
      <c r="B1277" s="36"/>
      <c r="C1277" s="35"/>
      <c r="D1277" s="35"/>
      <c r="E1277" s="34"/>
      <c r="F1277" s="34"/>
      <c r="G1277" s="34"/>
      <c r="H1277" s="34"/>
      <c r="I1277" s="34"/>
      <c r="J1277" s="34"/>
      <c r="K1277" s="34"/>
      <c r="L1277" s="34"/>
      <c r="M1277" s="36"/>
      <c r="N1277" s="36"/>
      <c r="O1277" s="36"/>
      <c r="P1277" s="36"/>
      <c r="Q1277" s="36"/>
      <c r="R1277" s="36"/>
      <c r="S1277" s="36"/>
    </row>
    <row r="1278">
      <c r="A1278" s="34"/>
      <c r="B1278" s="36"/>
      <c r="C1278" s="35"/>
      <c r="D1278" s="35"/>
      <c r="E1278" s="34"/>
      <c r="F1278" s="34"/>
      <c r="G1278" s="34"/>
      <c r="H1278" s="34"/>
      <c r="I1278" s="36"/>
      <c r="J1278" s="34"/>
      <c r="K1278" s="34"/>
      <c r="L1278" s="34"/>
      <c r="M1278" s="36"/>
      <c r="N1278" s="36"/>
      <c r="O1278" s="36"/>
      <c r="P1278" s="36"/>
      <c r="Q1278" s="36"/>
      <c r="R1278" s="36"/>
      <c r="S1278" s="36"/>
    </row>
    <row r="1279">
      <c r="A1279" s="34"/>
      <c r="B1279" s="34"/>
      <c r="C1279" s="35"/>
      <c r="D1279" s="35"/>
      <c r="E1279" s="34"/>
      <c r="F1279" s="34"/>
      <c r="G1279" s="34"/>
      <c r="H1279" s="34"/>
      <c r="I1279" s="34"/>
      <c r="J1279" s="34"/>
      <c r="K1279" s="34"/>
      <c r="L1279" s="34"/>
      <c r="M1279" s="36"/>
      <c r="N1279" s="36"/>
      <c r="O1279" s="36"/>
      <c r="P1279" s="36"/>
      <c r="Q1279" s="36"/>
      <c r="R1279" s="36"/>
      <c r="S1279" s="36"/>
    </row>
    <row r="1280">
      <c r="A1280" s="34"/>
      <c r="B1280" s="36"/>
      <c r="C1280" s="35"/>
      <c r="D1280" s="35"/>
      <c r="E1280" s="34"/>
      <c r="F1280" s="34"/>
      <c r="G1280" s="34"/>
      <c r="H1280" s="34"/>
      <c r="I1280" s="36"/>
      <c r="J1280" s="34"/>
      <c r="K1280" s="34"/>
      <c r="L1280" s="34"/>
      <c r="M1280" s="36"/>
      <c r="N1280" s="36"/>
      <c r="O1280" s="36"/>
      <c r="P1280" s="36"/>
      <c r="Q1280" s="36"/>
      <c r="R1280" s="36"/>
      <c r="S1280" s="36"/>
    </row>
    <row r="1281">
      <c r="A1281" s="34"/>
      <c r="B1281" s="34"/>
      <c r="C1281" s="35"/>
      <c r="D1281" s="35"/>
      <c r="E1281" s="34"/>
      <c r="F1281" s="34"/>
      <c r="G1281" s="34"/>
      <c r="H1281" s="34"/>
      <c r="I1281" s="34"/>
      <c r="J1281" s="34"/>
      <c r="K1281" s="34"/>
      <c r="L1281" s="34"/>
      <c r="M1281" s="36"/>
      <c r="N1281" s="36"/>
      <c r="O1281" s="36"/>
      <c r="P1281" s="36"/>
      <c r="Q1281" s="36"/>
      <c r="R1281" s="36"/>
      <c r="S1281" s="36"/>
    </row>
    <row r="1282">
      <c r="A1282" s="34"/>
      <c r="B1282" s="34"/>
      <c r="C1282" s="35"/>
      <c r="D1282" s="35"/>
      <c r="E1282" s="34"/>
      <c r="F1282" s="34"/>
      <c r="G1282" s="34"/>
      <c r="H1282" s="34"/>
      <c r="I1282" s="34"/>
      <c r="J1282" s="34"/>
      <c r="K1282" s="34"/>
      <c r="L1282" s="34"/>
      <c r="M1282" s="36"/>
      <c r="N1282" s="36"/>
      <c r="O1282" s="36"/>
      <c r="P1282" s="36"/>
      <c r="Q1282" s="36"/>
      <c r="R1282" s="36"/>
      <c r="S1282" s="36"/>
    </row>
    <row r="1283">
      <c r="A1283" s="34"/>
      <c r="B1283" s="34"/>
      <c r="C1283" s="35"/>
      <c r="D1283" s="35"/>
      <c r="E1283" s="34"/>
      <c r="F1283" s="34"/>
      <c r="G1283" s="34"/>
      <c r="H1283" s="34"/>
      <c r="I1283" s="34"/>
      <c r="J1283" s="34"/>
      <c r="K1283" s="34"/>
      <c r="L1283" s="34"/>
      <c r="M1283" s="36"/>
      <c r="N1283" s="36"/>
      <c r="O1283" s="36"/>
      <c r="P1283" s="36"/>
      <c r="Q1283" s="36"/>
      <c r="R1283" s="36"/>
      <c r="S1283" s="36"/>
    </row>
    <row r="1284">
      <c r="A1284" s="34"/>
      <c r="B1284" s="34"/>
      <c r="C1284" s="35"/>
      <c r="D1284" s="35"/>
      <c r="E1284" s="34"/>
      <c r="F1284" s="34"/>
      <c r="G1284" s="34"/>
      <c r="H1284" s="34"/>
      <c r="I1284" s="34"/>
      <c r="J1284" s="34"/>
      <c r="K1284" s="34"/>
      <c r="L1284" s="34"/>
      <c r="M1284" s="36"/>
      <c r="N1284" s="36"/>
      <c r="O1284" s="36"/>
      <c r="P1284" s="36"/>
      <c r="Q1284" s="36"/>
      <c r="R1284" s="36"/>
      <c r="S1284" s="36"/>
    </row>
    <row r="1285">
      <c r="A1285" s="34"/>
      <c r="B1285" s="34"/>
      <c r="C1285" s="35"/>
      <c r="D1285" s="35"/>
      <c r="E1285" s="34"/>
      <c r="F1285" s="34"/>
      <c r="G1285" s="34"/>
      <c r="H1285" s="34"/>
      <c r="I1285" s="34"/>
      <c r="J1285" s="34"/>
      <c r="K1285" s="34"/>
      <c r="L1285" s="34"/>
      <c r="M1285" s="36"/>
      <c r="N1285" s="36"/>
      <c r="O1285" s="36"/>
      <c r="P1285" s="36"/>
      <c r="Q1285" s="36"/>
      <c r="R1285" s="36"/>
      <c r="S1285" s="36"/>
    </row>
    <row r="1286">
      <c r="A1286" s="34"/>
      <c r="B1286" s="34"/>
      <c r="C1286" s="35"/>
      <c r="D1286" s="35"/>
      <c r="E1286" s="34"/>
      <c r="F1286" s="34"/>
      <c r="G1286" s="34"/>
      <c r="H1286" s="34"/>
      <c r="I1286" s="34"/>
      <c r="J1286" s="34"/>
      <c r="K1286" s="34"/>
      <c r="L1286" s="34"/>
      <c r="M1286" s="36"/>
      <c r="N1286" s="36"/>
      <c r="O1286" s="36"/>
      <c r="P1286" s="36"/>
      <c r="Q1286" s="36"/>
      <c r="R1286" s="36"/>
      <c r="S1286" s="36"/>
    </row>
    <row r="1287">
      <c r="A1287" s="34"/>
      <c r="B1287" s="34"/>
      <c r="C1287" s="35"/>
      <c r="D1287" s="35"/>
      <c r="E1287" s="34"/>
      <c r="F1287" s="34"/>
      <c r="G1287" s="34"/>
      <c r="H1287" s="34"/>
      <c r="I1287" s="34"/>
      <c r="J1287" s="34"/>
      <c r="K1287" s="34"/>
      <c r="L1287" s="34"/>
      <c r="M1287" s="36"/>
      <c r="N1287" s="36"/>
      <c r="O1287" s="36"/>
      <c r="P1287" s="36"/>
      <c r="Q1287" s="36"/>
      <c r="R1287" s="36"/>
      <c r="S1287" s="36"/>
    </row>
    <row r="1288">
      <c r="A1288" s="34"/>
      <c r="B1288" s="34"/>
      <c r="C1288" s="35"/>
      <c r="D1288" s="35"/>
      <c r="E1288" s="34"/>
      <c r="F1288" s="34"/>
      <c r="G1288" s="34"/>
      <c r="H1288" s="34"/>
      <c r="I1288" s="34"/>
      <c r="J1288" s="34"/>
      <c r="K1288" s="34"/>
      <c r="L1288" s="34"/>
      <c r="M1288" s="36"/>
      <c r="N1288" s="36"/>
      <c r="O1288" s="36"/>
      <c r="P1288" s="36"/>
      <c r="Q1288" s="36"/>
      <c r="R1288" s="36"/>
      <c r="S1288" s="36"/>
    </row>
    <row r="1289">
      <c r="A1289" s="34"/>
      <c r="B1289" s="36"/>
      <c r="C1289" s="35"/>
      <c r="D1289" s="35"/>
      <c r="E1289" s="34"/>
      <c r="F1289" s="34"/>
      <c r="G1289" s="34"/>
      <c r="H1289" s="34"/>
      <c r="I1289" s="36"/>
      <c r="J1289" s="34"/>
      <c r="K1289" s="34"/>
      <c r="L1289" s="34"/>
      <c r="M1289" s="36"/>
      <c r="N1289" s="36"/>
      <c r="O1289" s="36"/>
      <c r="P1289" s="36"/>
      <c r="Q1289" s="36"/>
      <c r="R1289" s="36"/>
      <c r="S1289" s="36"/>
    </row>
    <row r="1290">
      <c r="A1290" s="34"/>
      <c r="B1290" s="34"/>
      <c r="C1290" s="35"/>
      <c r="D1290" s="35"/>
      <c r="E1290" s="34"/>
      <c r="F1290" s="34"/>
      <c r="G1290" s="34"/>
      <c r="H1290" s="34"/>
      <c r="I1290" s="34"/>
      <c r="J1290" s="34"/>
      <c r="K1290" s="34"/>
      <c r="L1290" s="34"/>
      <c r="M1290" s="36"/>
      <c r="N1290" s="36"/>
      <c r="O1290" s="36"/>
      <c r="P1290" s="36"/>
      <c r="Q1290" s="36"/>
      <c r="R1290" s="36"/>
      <c r="S1290" s="36"/>
    </row>
    <row r="1291">
      <c r="A1291" s="34"/>
      <c r="B1291" s="36"/>
      <c r="C1291" s="35"/>
      <c r="D1291" s="35"/>
      <c r="E1291" s="34"/>
      <c r="F1291" s="34"/>
      <c r="G1291" s="34"/>
      <c r="H1291" s="34"/>
      <c r="I1291" s="36"/>
      <c r="J1291" s="34"/>
      <c r="K1291" s="34"/>
      <c r="L1291" s="34"/>
      <c r="M1291" s="36"/>
      <c r="N1291" s="36"/>
      <c r="O1291" s="36"/>
      <c r="P1291" s="36"/>
      <c r="Q1291" s="36"/>
      <c r="R1291" s="36"/>
      <c r="S1291" s="36"/>
    </row>
    <row r="1292">
      <c r="A1292" s="34"/>
      <c r="B1292" s="34"/>
      <c r="C1292" s="35"/>
      <c r="D1292" s="35"/>
      <c r="E1292" s="34"/>
      <c r="F1292" s="34"/>
      <c r="G1292" s="34"/>
      <c r="H1292" s="34"/>
      <c r="I1292" s="34"/>
      <c r="J1292" s="34"/>
      <c r="K1292" s="34"/>
      <c r="L1292" s="34"/>
      <c r="M1292" s="36"/>
      <c r="N1292" s="36"/>
      <c r="O1292" s="36"/>
      <c r="P1292" s="36"/>
      <c r="Q1292" s="36"/>
      <c r="R1292" s="36"/>
      <c r="S1292" s="36"/>
    </row>
    <row r="1293">
      <c r="A1293" s="34"/>
      <c r="B1293" s="36"/>
      <c r="C1293" s="35"/>
      <c r="D1293" s="35"/>
      <c r="E1293" s="34"/>
      <c r="F1293" s="34"/>
      <c r="G1293" s="34"/>
      <c r="H1293" s="34"/>
      <c r="I1293" s="36"/>
      <c r="J1293" s="34"/>
      <c r="K1293" s="34"/>
      <c r="L1293" s="34"/>
      <c r="M1293" s="36"/>
      <c r="N1293" s="36"/>
      <c r="O1293" s="36"/>
      <c r="P1293" s="36"/>
      <c r="Q1293" s="36"/>
      <c r="R1293" s="36"/>
      <c r="S1293" s="36"/>
    </row>
    <row r="1294">
      <c r="A1294" s="34"/>
      <c r="B1294" s="36"/>
      <c r="C1294" s="35"/>
      <c r="D1294" s="35"/>
      <c r="E1294" s="34"/>
      <c r="F1294" s="34"/>
      <c r="G1294" s="34"/>
      <c r="H1294" s="34"/>
      <c r="I1294" s="36"/>
      <c r="J1294" s="34"/>
      <c r="K1294" s="34"/>
      <c r="L1294" s="34"/>
      <c r="M1294" s="36"/>
      <c r="N1294" s="36"/>
      <c r="O1294" s="36"/>
      <c r="P1294" s="36"/>
      <c r="Q1294" s="36"/>
      <c r="R1294" s="36"/>
      <c r="S1294" s="36"/>
    </row>
    <row r="1295">
      <c r="A1295" s="34"/>
      <c r="B1295" s="36"/>
      <c r="C1295" s="35"/>
      <c r="D1295" s="35"/>
      <c r="E1295" s="34"/>
      <c r="F1295" s="34"/>
      <c r="G1295" s="34"/>
      <c r="H1295" s="34"/>
      <c r="I1295" s="36"/>
      <c r="J1295" s="34"/>
      <c r="K1295" s="34"/>
      <c r="L1295" s="34"/>
      <c r="M1295" s="36"/>
      <c r="N1295" s="36"/>
      <c r="O1295" s="36"/>
      <c r="P1295" s="36"/>
      <c r="Q1295" s="36"/>
      <c r="R1295" s="36"/>
      <c r="S1295" s="36"/>
    </row>
    <row r="1296">
      <c r="A1296" s="34"/>
      <c r="B1296" s="36"/>
      <c r="C1296" s="35"/>
      <c r="D1296" s="35"/>
      <c r="E1296" s="34"/>
      <c r="F1296" s="34"/>
      <c r="G1296" s="34"/>
      <c r="H1296" s="34"/>
      <c r="I1296" s="36"/>
      <c r="J1296" s="34"/>
      <c r="K1296" s="34"/>
      <c r="L1296" s="34"/>
      <c r="M1296" s="36"/>
      <c r="N1296" s="36"/>
      <c r="O1296" s="36"/>
      <c r="P1296" s="36"/>
      <c r="Q1296" s="36"/>
      <c r="R1296" s="36"/>
      <c r="S1296" s="36"/>
    </row>
    <row r="1297">
      <c r="A1297" s="34"/>
      <c r="B1297" s="36"/>
      <c r="C1297" s="35"/>
      <c r="D1297" s="35"/>
      <c r="E1297" s="34"/>
      <c r="F1297" s="34"/>
      <c r="G1297" s="34"/>
      <c r="H1297" s="34"/>
      <c r="I1297" s="36"/>
      <c r="J1297" s="34"/>
      <c r="K1297" s="34"/>
      <c r="L1297" s="34"/>
      <c r="M1297" s="36"/>
      <c r="N1297" s="36"/>
      <c r="O1297" s="36"/>
      <c r="P1297" s="36"/>
      <c r="Q1297" s="36"/>
      <c r="R1297" s="36"/>
      <c r="S1297" s="36"/>
    </row>
    <row r="1298">
      <c r="A1298" s="34"/>
      <c r="B1298" s="36"/>
      <c r="C1298" s="35"/>
      <c r="D1298" s="35"/>
      <c r="E1298" s="34"/>
      <c r="F1298" s="34"/>
      <c r="G1298" s="34"/>
      <c r="H1298" s="34"/>
      <c r="I1298" s="36"/>
      <c r="J1298" s="34"/>
      <c r="K1298" s="34"/>
      <c r="L1298" s="34"/>
      <c r="M1298" s="36"/>
      <c r="N1298" s="36"/>
      <c r="O1298" s="36"/>
      <c r="P1298" s="36"/>
      <c r="Q1298" s="36"/>
      <c r="R1298" s="36"/>
      <c r="S1298" s="36"/>
    </row>
    <row r="1299">
      <c r="A1299" s="34"/>
      <c r="B1299" s="36"/>
      <c r="C1299" s="35"/>
      <c r="D1299" s="35"/>
      <c r="E1299" s="34"/>
      <c r="F1299" s="34"/>
      <c r="G1299" s="34"/>
      <c r="H1299" s="34"/>
      <c r="I1299" s="34"/>
      <c r="J1299" s="34"/>
      <c r="K1299" s="34"/>
      <c r="L1299" s="34"/>
      <c r="M1299" s="36"/>
      <c r="N1299" s="36"/>
      <c r="O1299" s="36"/>
      <c r="P1299" s="36"/>
      <c r="Q1299" s="36"/>
      <c r="R1299" s="36"/>
      <c r="S1299" s="36"/>
    </row>
    <row r="1300">
      <c r="A1300" s="34"/>
      <c r="B1300" s="34"/>
      <c r="C1300" s="35"/>
      <c r="D1300" s="35"/>
      <c r="E1300" s="34"/>
      <c r="F1300" s="34"/>
      <c r="G1300" s="34"/>
      <c r="H1300" s="34"/>
      <c r="I1300" s="34"/>
      <c r="J1300" s="34"/>
      <c r="K1300" s="34"/>
      <c r="L1300" s="34"/>
      <c r="M1300" s="36"/>
      <c r="N1300" s="36"/>
      <c r="O1300" s="36"/>
      <c r="P1300" s="36"/>
      <c r="Q1300" s="36"/>
      <c r="R1300" s="36"/>
      <c r="S1300" s="36"/>
    </row>
    <row r="1301">
      <c r="A1301" s="34"/>
      <c r="B1301" s="36"/>
      <c r="C1301" s="35"/>
      <c r="D1301" s="35"/>
      <c r="E1301" s="34"/>
      <c r="F1301" s="34"/>
      <c r="G1301" s="34"/>
      <c r="H1301" s="34"/>
      <c r="I1301" s="34"/>
      <c r="J1301" s="34"/>
      <c r="K1301" s="34"/>
      <c r="L1301" s="34"/>
      <c r="M1301" s="36"/>
      <c r="N1301" s="36"/>
      <c r="O1301" s="36"/>
      <c r="P1301" s="36"/>
      <c r="Q1301" s="36"/>
      <c r="R1301" s="36"/>
      <c r="S1301" s="36"/>
    </row>
    <row r="1302">
      <c r="A1302" s="34"/>
      <c r="B1302" s="36"/>
      <c r="C1302" s="35"/>
      <c r="D1302" s="35"/>
      <c r="E1302" s="34"/>
      <c r="F1302" s="34"/>
      <c r="G1302" s="34"/>
      <c r="H1302" s="34"/>
      <c r="I1302" s="34"/>
      <c r="J1302" s="34"/>
      <c r="K1302" s="34"/>
      <c r="L1302" s="34"/>
      <c r="M1302" s="36"/>
      <c r="N1302" s="36"/>
      <c r="O1302" s="36"/>
      <c r="P1302" s="36"/>
      <c r="Q1302" s="36"/>
      <c r="R1302" s="36"/>
      <c r="S1302" s="36"/>
    </row>
    <row r="1303">
      <c r="A1303" s="34"/>
      <c r="B1303" s="36"/>
      <c r="C1303" s="35"/>
      <c r="D1303" s="35"/>
      <c r="E1303" s="34"/>
      <c r="F1303" s="34"/>
      <c r="G1303" s="34"/>
      <c r="H1303" s="34"/>
      <c r="I1303" s="34"/>
      <c r="J1303" s="34"/>
      <c r="K1303" s="34"/>
      <c r="L1303" s="34"/>
      <c r="M1303" s="36"/>
      <c r="N1303" s="36"/>
      <c r="O1303" s="36"/>
      <c r="P1303" s="36"/>
      <c r="Q1303" s="36"/>
      <c r="R1303" s="36"/>
      <c r="S1303" s="36"/>
    </row>
    <row r="1304">
      <c r="A1304" s="34"/>
      <c r="B1304" s="34"/>
      <c r="C1304" s="35"/>
      <c r="D1304" s="35"/>
      <c r="E1304" s="34"/>
      <c r="F1304" s="34"/>
      <c r="G1304" s="34"/>
      <c r="H1304" s="34"/>
      <c r="I1304" s="34"/>
      <c r="J1304" s="34"/>
      <c r="K1304" s="34"/>
      <c r="L1304" s="34"/>
      <c r="M1304" s="36"/>
      <c r="N1304" s="36"/>
      <c r="O1304" s="36"/>
      <c r="P1304" s="36"/>
      <c r="Q1304" s="36"/>
      <c r="R1304" s="36"/>
      <c r="S1304" s="36"/>
    </row>
    <row r="1305">
      <c r="A1305" s="34"/>
      <c r="B1305" s="36"/>
      <c r="C1305" s="35"/>
      <c r="D1305" s="35"/>
      <c r="E1305" s="34"/>
      <c r="F1305" s="34"/>
      <c r="G1305" s="34"/>
      <c r="H1305" s="34"/>
      <c r="I1305" s="36"/>
      <c r="J1305" s="34"/>
      <c r="K1305" s="34"/>
      <c r="L1305" s="34"/>
      <c r="M1305" s="36"/>
      <c r="N1305" s="36"/>
      <c r="O1305" s="36"/>
      <c r="P1305" s="36"/>
      <c r="Q1305" s="36"/>
      <c r="R1305" s="36"/>
      <c r="S1305" s="36"/>
    </row>
    <row r="1306">
      <c r="A1306" s="34"/>
      <c r="B1306" s="34"/>
      <c r="C1306" s="35"/>
      <c r="D1306" s="35"/>
      <c r="E1306" s="34"/>
      <c r="F1306" s="34"/>
      <c r="G1306" s="34"/>
      <c r="H1306" s="34"/>
      <c r="I1306" s="34"/>
      <c r="J1306" s="34"/>
      <c r="K1306" s="34"/>
      <c r="L1306" s="34"/>
      <c r="M1306" s="36"/>
      <c r="N1306" s="36"/>
      <c r="O1306" s="36"/>
      <c r="P1306" s="36"/>
      <c r="Q1306" s="36"/>
      <c r="R1306" s="36"/>
      <c r="S1306" s="36"/>
    </row>
    <row r="1307">
      <c r="A1307" s="34"/>
      <c r="B1307" s="36"/>
      <c r="C1307" s="35"/>
      <c r="D1307" s="35"/>
      <c r="E1307" s="34"/>
      <c r="F1307" s="34"/>
      <c r="G1307" s="34"/>
      <c r="H1307" s="34"/>
      <c r="I1307" s="36"/>
      <c r="J1307" s="34"/>
      <c r="K1307" s="34"/>
      <c r="L1307" s="34"/>
      <c r="M1307" s="36"/>
      <c r="N1307" s="36"/>
      <c r="O1307" s="36"/>
      <c r="P1307" s="36"/>
      <c r="Q1307" s="36"/>
      <c r="R1307" s="36"/>
      <c r="S1307" s="36"/>
    </row>
    <row r="1308">
      <c r="A1308" s="34"/>
      <c r="B1308" s="36"/>
      <c r="C1308" s="35"/>
      <c r="D1308" s="35"/>
      <c r="E1308" s="34"/>
      <c r="F1308" s="34"/>
      <c r="G1308" s="34"/>
      <c r="H1308" s="34"/>
      <c r="I1308" s="36"/>
      <c r="J1308" s="34"/>
      <c r="K1308" s="34"/>
      <c r="L1308" s="34"/>
      <c r="M1308" s="36"/>
      <c r="N1308" s="36"/>
      <c r="O1308" s="36"/>
      <c r="P1308" s="36"/>
      <c r="Q1308" s="36"/>
      <c r="R1308" s="36"/>
      <c r="S1308" s="36"/>
    </row>
    <row r="1309">
      <c r="A1309" s="34"/>
      <c r="B1309" s="36"/>
      <c r="C1309" s="35"/>
      <c r="D1309" s="35"/>
      <c r="E1309" s="34"/>
      <c r="F1309" s="34"/>
      <c r="G1309" s="34"/>
      <c r="H1309" s="34"/>
      <c r="I1309" s="36"/>
      <c r="J1309" s="34"/>
      <c r="K1309" s="34"/>
      <c r="L1309" s="34"/>
      <c r="M1309" s="36"/>
      <c r="N1309" s="36"/>
      <c r="O1309" s="36"/>
      <c r="P1309" s="36"/>
      <c r="Q1309" s="36"/>
      <c r="R1309" s="36"/>
      <c r="S1309" s="36"/>
    </row>
    <row r="1310">
      <c r="A1310" s="34"/>
      <c r="B1310" s="36"/>
      <c r="C1310" s="35"/>
      <c r="D1310" s="35"/>
      <c r="E1310" s="34"/>
      <c r="F1310" s="34"/>
      <c r="G1310" s="34"/>
      <c r="H1310" s="34"/>
      <c r="I1310" s="36"/>
      <c r="J1310" s="34"/>
      <c r="K1310" s="34"/>
      <c r="L1310" s="34"/>
      <c r="M1310" s="36"/>
      <c r="N1310" s="36"/>
      <c r="O1310" s="36"/>
      <c r="P1310" s="36"/>
      <c r="Q1310" s="36"/>
      <c r="R1310" s="36"/>
      <c r="S1310" s="36"/>
    </row>
    <row r="1311">
      <c r="A1311" s="34"/>
      <c r="B1311" s="36"/>
      <c r="C1311" s="35"/>
      <c r="D1311" s="35"/>
      <c r="E1311" s="34"/>
      <c r="F1311" s="34"/>
      <c r="G1311" s="34"/>
      <c r="H1311" s="34"/>
      <c r="I1311" s="34"/>
      <c r="J1311" s="34"/>
      <c r="K1311" s="34"/>
      <c r="L1311" s="34"/>
      <c r="M1311" s="36"/>
      <c r="N1311" s="36"/>
      <c r="O1311" s="36"/>
      <c r="P1311" s="36"/>
      <c r="Q1311" s="36"/>
      <c r="R1311" s="36"/>
      <c r="S1311" s="36"/>
    </row>
    <row r="1312">
      <c r="A1312" s="34"/>
      <c r="B1312" s="34"/>
      <c r="C1312" s="35"/>
      <c r="D1312" s="35"/>
      <c r="E1312" s="34"/>
      <c r="F1312" s="34"/>
      <c r="G1312" s="34"/>
      <c r="H1312" s="34"/>
      <c r="I1312" s="34"/>
      <c r="J1312" s="34"/>
      <c r="K1312" s="34"/>
      <c r="L1312" s="34"/>
      <c r="M1312" s="36"/>
      <c r="N1312" s="36"/>
      <c r="O1312" s="36"/>
      <c r="P1312" s="36"/>
      <c r="Q1312" s="36"/>
      <c r="R1312" s="36"/>
      <c r="S1312" s="36"/>
    </row>
    <row r="1313">
      <c r="A1313" s="34"/>
      <c r="B1313" s="36"/>
      <c r="C1313" s="35"/>
      <c r="D1313" s="35"/>
      <c r="E1313" s="34"/>
      <c r="F1313" s="34"/>
      <c r="G1313" s="34"/>
      <c r="H1313" s="34"/>
      <c r="I1313" s="36"/>
      <c r="J1313" s="34"/>
      <c r="K1313" s="34"/>
      <c r="L1313" s="34"/>
      <c r="M1313" s="36"/>
      <c r="N1313" s="36"/>
      <c r="O1313" s="36"/>
      <c r="P1313" s="36"/>
      <c r="Q1313" s="36"/>
      <c r="R1313" s="36"/>
      <c r="S1313" s="36"/>
    </row>
    <row r="1314">
      <c r="A1314" s="34"/>
      <c r="B1314" s="36"/>
      <c r="C1314" s="35"/>
      <c r="D1314" s="35"/>
      <c r="E1314" s="34"/>
      <c r="F1314" s="34"/>
      <c r="G1314" s="34"/>
      <c r="H1314" s="34"/>
      <c r="I1314" s="36"/>
      <c r="J1314" s="34"/>
      <c r="K1314" s="34"/>
      <c r="L1314" s="34"/>
      <c r="M1314" s="36"/>
      <c r="N1314" s="36"/>
      <c r="O1314" s="36"/>
      <c r="P1314" s="36"/>
      <c r="Q1314" s="36"/>
      <c r="R1314" s="36"/>
      <c r="S1314" s="36"/>
    </row>
    <row r="1315">
      <c r="A1315" s="34"/>
      <c r="B1315" s="34"/>
      <c r="C1315" s="35"/>
      <c r="D1315" s="35"/>
      <c r="E1315" s="34"/>
      <c r="F1315" s="34"/>
      <c r="G1315" s="34"/>
      <c r="H1315" s="34"/>
      <c r="I1315" s="34"/>
      <c r="J1315" s="34"/>
      <c r="K1315" s="34"/>
      <c r="L1315" s="34"/>
      <c r="M1315" s="36"/>
      <c r="N1315" s="36"/>
      <c r="O1315" s="36"/>
      <c r="P1315" s="36"/>
      <c r="Q1315" s="36"/>
      <c r="R1315" s="36"/>
      <c r="S1315" s="36"/>
    </row>
    <row r="1316">
      <c r="A1316" s="34"/>
      <c r="B1316" s="34"/>
      <c r="C1316" s="35"/>
      <c r="D1316" s="35"/>
      <c r="E1316" s="34"/>
      <c r="F1316" s="34"/>
      <c r="G1316" s="34"/>
      <c r="H1316" s="34"/>
      <c r="I1316" s="34"/>
      <c r="J1316" s="34"/>
      <c r="K1316" s="34"/>
      <c r="L1316" s="34"/>
      <c r="M1316" s="36"/>
      <c r="N1316" s="36"/>
      <c r="O1316" s="36"/>
      <c r="P1316" s="36"/>
      <c r="Q1316" s="36"/>
      <c r="R1316" s="36"/>
      <c r="S1316" s="36"/>
    </row>
    <row r="1317">
      <c r="A1317" s="34"/>
      <c r="B1317" s="34"/>
      <c r="C1317" s="35"/>
      <c r="D1317" s="35"/>
      <c r="E1317" s="34"/>
      <c r="F1317" s="34"/>
      <c r="G1317" s="34"/>
      <c r="H1317" s="34"/>
      <c r="I1317" s="34"/>
      <c r="J1317" s="34"/>
      <c r="K1317" s="34"/>
      <c r="L1317" s="34"/>
      <c r="M1317" s="36"/>
      <c r="N1317" s="36"/>
      <c r="O1317" s="36"/>
      <c r="P1317" s="36"/>
      <c r="Q1317" s="36"/>
      <c r="R1317" s="36"/>
      <c r="S1317" s="36"/>
    </row>
    <row r="1318">
      <c r="A1318" s="34"/>
      <c r="B1318" s="34"/>
      <c r="C1318" s="35"/>
      <c r="D1318" s="35"/>
      <c r="E1318" s="34"/>
      <c r="F1318" s="34"/>
      <c r="G1318" s="34"/>
      <c r="H1318" s="34"/>
      <c r="I1318" s="34"/>
      <c r="J1318" s="34"/>
      <c r="K1318" s="34"/>
      <c r="L1318" s="34"/>
      <c r="M1318" s="36"/>
      <c r="N1318" s="36"/>
      <c r="O1318" s="36"/>
      <c r="P1318" s="36"/>
      <c r="Q1318" s="36"/>
      <c r="R1318" s="36"/>
      <c r="S1318" s="36"/>
    </row>
    <row r="1319">
      <c r="A1319" s="34"/>
      <c r="B1319" s="34"/>
      <c r="C1319" s="35"/>
      <c r="D1319" s="35"/>
      <c r="E1319" s="34"/>
      <c r="F1319" s="34"/>
      <c r="G1319" s="34"/>
      <c r="H1319" s="34"/>
      <c r="I1319" s="34"/>
      <c r="J1319" s="34"/>
      <c r="K1319" s="34"/>
      <c r="L1319" s="34"/>
      <c r="M1319" s="36"/>
      <c r="N1319" s="36"/>
      <c r="O1319" s="36"/>
      <c r="P1319" s="36"/>
      <c r="Q1319" s="36"/>
      <c r="R1319" s="36"/>
      <c r="S1319" s="36"/>
    </row>
    <row r="1320">
      <c r="A1320" s="34"/>
      <c r="B1320" s="36"/>
      <c r="C1320" s="35"/>
      <c r="D1320" s="35"/>
      <c r="E1320" s="34"/>
      <c r="F1320" s="34"/>
      <c r="G1320" s="34"/>
      <c r="H1320" s="34"/>
      <c r="I1320" s="36"/>
      <c r="J1320" s="34"/>
      <c r="K1320" s="34"/>
      <c r="L1320" s="34"/>
      <c r="M1320" s="36"/>
      <c r="N1320" s="36"/>
      <c r="O1320" s="36"/>
      <c r="P1320" s="36"/>
      <c r="Q1320" s="36"/>
      <c r="R1320" s="36"/>
      <c r="S1320" s="36"/>
    </row>
    <row r="1321">
      <c r="A1321" s="34"/>
      <c r="B1321" s="36"/>
      <c r="C1321" s="35"/>
      <c r="D1321" s="35"/>
      <c r="E1321" s="34"/>
      <c r="F1321" s="34"/>
      <c r="G1321" s="34"/>
      <c r="H1321" s="34"/>
      <c r="I1321" s="36"/>
      <c r="J1321" s="34"/>
      <c r="K1321" s="34"/>
      <c r="L1321" s="34"/>
      <c r="M1321" s="36"/>
      <c r="N1321" s="36"/>
      <c r="O1321" s="36"/>
      <c r="P1321" s="36"/>
      <c r="Q1321" s="36"/>
      <c r="R1321" s="36"/>
      <c r="S1321" s="36"/>
    </row>
    <row r="1322">
      <c r="A1322" s="34"/>
      <c r="B1322" s="36"/>
      <c r="C1322" s="35"/>
      <c r="D1322" s="35"/>
      <c r="E1322" s="34"/>
      <c r="F1322" s="34"/>
      <c r="G1322" s="34"/>
      <c r="H1322" s="34"/>
      <c r="I1322" s="36"/>
      <c r="J1322" s="34"/>
      <c r="K1322" s="34"/>
      <c r="L1322" s="34"/>
      <c r="M1322" s="36"/>
      <c r="N1322" s="36"/>
      <c r="O1322" s="36"/>
      <c r="P1322" s="36"/>
      <c r="Q1322" s="36"/>
      <c r="R1322" s="36"/>
      <c r="S1322" s="36"/>
    </row>
    <row r="1323">
      <c r="A1323" s="34"/>
      <c r="B1323" s="34"/>
      <c r="C1323" s="35"/>
      <c r="D1323" s="35"/>
      <c r="E1323" s="34"/>
      <c r="F1323" s="34"/>
      <c r="G1323" s="34"/>
      <c r="H1323" s="34"/>
      <c r="I1323" s="34"/>
      <c r="J1323" s="34"/>
      <c r="K1323" s="34"/>
      <c r="L1323" s="34"/>
      <c r="M1323" s="36"/>
      <c r="N1323" s="36"/>
      <c r="O1323" s="36"/>
      <c r="P1323" s="36"/>
      <c r="Q1323" s="36"/>
      <c r="R1323" s="36"/>
      <c r="S1323" s="36"/>
    </row>
    <row r="1324">
      <c r="A1324" s="34"/>
      <c r="B1324" s="36"/>
      <c r="C1324" s="35"/>
      <c r="D1324" s="35"/>
      <c r="E1324" s="34"/>
      <c r="F1324" s="34"/>
      <c r="G1324" s="34"/>
      <c r="H1324" s="34"/>
      <c r="I1324" s="36"/>
      <c r="J1324" s="34"/>
      <c r="K1324" s="34"/>
      <c r="L1324" s="34"/>
      <c r="M1324" s="36"/>
      <c r="N1324" s="36"/>
      <c r="O1324" s="36"/>
      <c r="P1324" s="36"/>
      <c r="Q1324" s="36"/>
      <c r="R1324" s="36"/>
      <c r="S1324" s="36"/>
    </row>
    <row r="1325">
      <c r="A1325" s="34"/>
      <c r="B1325" s="36"/>
      <c r="C1325" s="35"/>
      <c r="D1325" s="35"/>
      <c r="E1325" s="34"/>
      <c r="F1325" s="34"/>
      <c r="G1325" s="34"/>
      <c r="H1325" s="34"/>
      <c r="I1325" s="36"/>
      <c r="J1325" s="34"/>
      <c r="K1325" s="34"/>
      <c r="L1325" s="34"/>
      <c r="M1325" s="36"/>
      <c r="N1325" s="36"/>
      <c r="O1325" s="36"/>
      <c r="P1325" s="36"/>
      <c r="Q1325" s="36"/>
      <c r="R1325" s="36"/>
      <c r="S1325" s="36"/>
    </row>
    <row r="1326">
      <c r="A1326" s="34"/>
      <c r="B1326" s="34"/>
      <c r="C1326" s="35"/>
      <c r="D1326" s="35"/>
      <c r="E1326" s="34"/>
      <c r="F1326" s="34"/>
      <c r="G1326" s="34"/>
      <c r="H1326" s="34"/>
      <c r="I1326" s="34"/>
      <c r="J1326" s="34"/>
      <c r="K1326" s="34"/>
      <c r="L1326" s="34"/>
      <c r="M1326" s="36"/>
      <c r="N1326" s="36"/>
      <c r="O1326" s="36"/>
      <c r="P1326" s="36"/>
      <c r="Q1326" s="36"/>
      <c r="R1326" s="36"/>
      <c r="S1326" s="36"/>
    </row>
    <row r="1327">
      <c r="A1327" s="34"/>
      <c r="B1327" s="34"/>
      <c r="C1327" s="35"/>
      <c r="D1327" s="35"/>
      <c r="E1327" s="34"/>
      <c r="F1327" s="34"/>
      <c r="G1327" s="34"/>
      <c r="H1327" s="34"/>
      <c r="I1327" s="34"/>
      <c r="J1327" s="34"/>
      <c r="K1327" s="34"/>
      <c r="L1327" s="34"/>
      <c r="M1327" s="36"/>
      <c r="N1327" s="36"/>
      <c r="O1327" s="36"/>
      <c r="P1327" s="36"/>
      <c r="Q1327" s="36"/>
      <c r="R1327" s="36"/>
      <c r="S1327" s="36"/>
    </row>
    <row r="1328">
      <c r="A1328" s="34"/>
      <c r="B1328" s="34"/>
      <c r="C1328" s="35"/>
      <c r="D1328" s="35"/>
      <c r="E1328" s="34"/>
      <c r="F1328" s="34"/>
      <c r="G1328" s="34"/>
      <c r="H1328" s="34"/>
      <c r="I1328" s="34"/>
      <c r="J1328" s="34"/>
      <c r="K1328" s="34"/>
      <c r="L1328" s="34"/>
      <c r="M1328" s="36"/>
      <c r="N1328" s="36"/>
      <c r="O1328" s="36"/>
      <c r="P1328" s="36"/>
      <c r="Q1328" s="36"/>
      <c r="R1328" s="36"/>
      <c r="S1328" s="36"/>
    </row>
    <row r="1329">
      <c r="A1329" s="34"/>
      <c r="B1329" s="36"/>
      <c r="C1329" s="35"/>
      <c r="D1329" s="35"/>
      <c r="E1329" s="34"/>
      <c r="F1329" s="34"/>
      <c r="G1329" s="34"/>
      <c r="H1329" s="34"/>
      <c r="I1329" s="34"/>
      <c r="J1329" s="34"/>
      <c r="K1329" s="34"/>
      <c r="L1329" s="34"/>
      <c r="M1329" s="36"/>
      <c r="N1329" s="36"/>
      <c r="O1329" s="36"/>
      <c r="P1329" s="36"/>
      <c r="Q1329" s="36"/>
      <c r="R1329" s="36"/>
      <c r="S1329" s="36"/>
    </row>
    <row r="1330">
      <c r="A1330" s="34"/>
      <c r="B1330" s="36"/>
      <c r="C1330" s="35"/>
      <c r="D1330" s="35"/>
      <c r="E1330" s="34"/>
      <c r="F1330" s="34"/>
      <c r="G1330" s="34"/>
      <c r="H1330" s="34"/>
      <c r="I1330" s="36"/>
      <c r="J1330" s="34"/>
      <c r="K1330" s="34"/>
      <c r="L1330" s="34"/>
      <c r="M1330" s="36"/>
      <c r="N1330" s="36"/>
      <c r="O1330" s="36"/>
      <c r="P1330" s="36"/>
      <c r="Q1330" s="36"/>
      <c r="R1330" s="36"/>
      <c r="S1330" s="36"/>
    </row>
    <row r="1331">
      <c r="A1331" s="34"/>
      <c r="B1331" s="36"/>
      <c r="C1331" s="35"/>
      <c r="D1331" s="35"/>
      <c r="E1331" s="34"/>
      <c r="F1331" s="34"/>
      <c r="G1331" s="34"/>
      <c r="H1331" s="34"/>
      <c r="I1331" s="36"/>
      <c r="J1331" s="34"/>
      <c r="K1331" s="34"/>
      <c r="L1331" s="34"/>
      <c r="M1331" s="36"/>
      <c r="N1331" s="36"/>
      <c r="O1331" s="36"/>
      <c r="P1331" s="36"/>
      <c r="Q1331" s="36"/>
      <c r="R1331" s="36"/>
      <c r="S1331" s="36"/>
    </row>
    <row r="1332">
      <c r="A1332" s="34"/>
      <c r="B1332" s="36"/>
      <c r="C1332" s="35"/>
      <c r="D1332" s="35"/>
      <c r="E1332" s="34"/>
      <c r="F1332" s="34"/>
      <c r="G1332" s="34"/>
      <c r="H1332" s="34"/>
      <c r="I1332" s="36"/>
      <c r="J1332" s="34"/>
      <c r="K1332" s="34"/>
      <c r="L1332" s="34"/>
      <c r="M1332" s="36"/>
      <c r="N1332" s="36"/>
      <c r="O1332" s="36"/>
      <c r="P1332" s="36"/>
      <c r="Q1332" s="36"/>
      <c r="R1332" s="36"/>
      <c r="S1332" s="36"/>
    </row>
    <row r="1333">
      <c r="A1333" s="34"/>
      <c r="B1333" s="36"/>
      <c r="C1333" s="35"/>
      <c r="D1333" s="35"/>
      <c r="E1333" s="34"/>
      <c r="F1333" s="34"/>
      <c r="G1333" s="34"/>
      <c r="H1333" s="34"/>
      <c r="I1333" s="36"/>
      <c r="J1333" s="34"/>
      <c r="K1333" s="34"/>
      <c r="L1333" s="34"/>
      <c r="M1333" s="36"/>
      <c r="N1333" s="36"/>
      <c r="O1333" s="36"/>
      <c r="P1333" s="36"/>
      <c r="Q1333" s="36"/>
      <c r="R1333" s="36"/>
      <c r="S1333" s="36"/>
    </row>
    <row r="1334">
      <c r="A1334" s="34"/>
      <c r="B1334" s="36"/>
      <c r="C1334" s="35"/>
      <c r="D1334" s="35"/>
      <c r="E1334" s="34"/>
      <c r="F1334" s="34"/>
      <c r="G1334" s="34"/>
      <c r="H1334" s="34"/>
      <c r="I1334" s="34"/>
      <c r="J1334" s="34"/>
      <c r="K1334" s="34"/>
      <c r="L1334" s="34"/>
      <c r="M1334" s="36"/>
      <c r="N1334" s="36"/>
      <c r="O1334" s="36"/>
      <c r="P1334" s="36"/>
      <c r="Q1334" s="36"/>
      <c r="R1334" s="36"/>
      <c r="S1334" s="36"/>
    </row>
    <row r="1335">
      <c r="A1335" s="34"/>
      <c r="B1335" s="36"/>
      <c r="C1335" s="35"/>
      <c r="D1335" s="35"/>
      <c r="E1335" s="34"/>
      <c r="F1335" s="34"/>
      <c r="G1335" s="34"/>
      <c r="H1335" s="34"/>
      <c r="I1335" s="34"/>
      <c r="J1335" s="34"/>
      <c r="K1335" s="34"/>
      <c r="L1335" s="34"/>
      <c r="M1335" s="36"/>
      <c r="N1335" s="36"/>
      <c r="O1335" s="36"/>
      <c r="P1335" s="36"/>
      <c r="Q1335" s="36"/>
      <c r="R1335" s="36"/>
      <c r="S1335" s="36"/>
    </row>
    <row r="1336">
      <c r="A1336" s="34"/>
      <c r="B1336" s="36"/>
      <c r="C1336" s="35"/>
      <c r="D1336" s="35"/>
      <c r="E1336" s="34"/>
      <c r="F1336" s="34"/>
      <c r="G1336" s="34"/>
      <c r="H1336" s="34"/>
      <c r="I1336" s="36"/>
      <c r="J1336" s="34"/>
      <c r="K1336" s="34"/>
      <c r="L1336" s="34"/>
      <c r="M1336" s="36"/>
      <c r="N1336" s="36"/>
      <c r="O1336" s="36"/>
      <c r="P1336" s="36"/>
      <c r="Q1336" s="36"/>
      <c r="R1336" s="36"/>
      <c r="S1336" s="36"/>
    </row>
    <row r="1337">
      <c r="A1337" s="34"/>
      <c r="B1337" s="36"/>
      <c r="C1337" s="35"/>
      <c r="D1337" s="35"/>
      <c r="E1337" s="34"/>
      <c r="F1337" s="34"/>
      <c r="G1337" s="34"/>
      <c r="H1337" s="34"/>
      <c r="I1337" s="36"/>
      <c r="J1337" s="34"/>
      <c r="K1337" s="34"/>
      <c r="L1337" s="34"/>
      <c r="M1337" s="36"/>
      <c r="N1337" s="36"/>
      <c r="O1337" s="36"/>
      <c r="P1337" s="36"/>
      <c r="Q1337" s="36"/>
      <c r="R1337" s="36"/>
      <c r="S1337" s="36"/>
    </row>
    <row r="1338">
      <c r="A1338" s="34"/>
      <c r="B1338" s="36"/>
      <c r="C1338" s="35"/>
      <c r="D1338" s="35"/>
      <c r="E1338" s="34"/>
      <c r="F1338" s="34"/>
      <c r="G1338" s="34"/>
      <c r="H1338" s="34"/>
      <c r="I1338" s="36"/>
      <c r="J1338" s="34"/>
      <c r="K1338" s="34"/>
      <c r="L1338" s="34"/>
      <c r="M1338" s="36"/>
      <c r="N1338" s="36"/>
      <c r="O1338" s="36"/>
      <c r="P1338" s="36"/>
      <c r="Q1338" s="36"/>
      <c r="R1338" s="36"/>
      <c r="S1338" s="36"/>
    </row>
    <row r="1339">
      <c r="A1339" s="34"/>
      <c r="B1339" s="34"/>
      <c r="C1339" s="35"/>
      <c r="D1339" s="35"/>
      <c r="E1339" s="34"/>
      <c r="F1339" s="34"/>
      <c r="G1339" s="34"/>
      <c r="H1339" s="34"/>
      <c r="I1339" s="34"/>
      <c r="J1339" s="34"/>
      <c r="K1339" s="34"/>
      <c r="L1339" s="34"/>
      <c r="M1339" s="36"/>
      <c r="N1339" s="36"/>
      <c r="O1339" s="36"/>
      <c r="P1339" s="36"/>
      <c r="Q1339" s="36"/>
      <c r="R1339" s="36"/>
      <c r="S1339" s="36"/>
    </row>
    <row r="1340">
      <c r="A1340" s="34"/>
      <c r="B1340" s="36"/>
      <c r="C1340" s="35"/>
      <c r="D1340" s="35"/>
      <c r="E1340" s="34"/>
      <c r="F1340" s="34"/>
      <c r="G1340" s="34"/>
      <c r="H1340" s="34"/>
      <c r="I1340" s="34"/>
      <c r="J1340" s="34"/>
      <c r="K1340" s="34"/>
      <c r="L1340" s="34"/>
      <c r="M1340" s="36"/>
      <c r="N1340" s="36"/>
      <c r="O1340" s="36"/>
      <c r="P1340" s="36"/>
      <c r="Q1340" s="36"/>
      <c r="R1340" s="36"/>
      <c r="S1340" s="36"/>
    </row>
    <row r="1341">
      <c r="A1341" s="34"/>
      <c r="B1341" s="34"/>
      <c r="C1341" s="35"/>
      <c r="D1341" s="35"/>
      <c r="E1341" s="34"/>
      <c r="F1341" s="34"/>
      <c r="G1341" s="34"/>
      <c r="H1341" s="34"/>
      <c r="I1341" s="34"/>
      <c r="J1341" s="34"/>
      <c r="K1341" s="34"/>
      <c r="L1341" s="34"/>
      <c r="M1341" s="36"/>
      <c r="N1341" s="36"/>
      <c r="O1341" s="36"/>
      <c r="P1341" s="36"/>
      <c r="Q1341" s="36"/>
      <c r="R1341" s="36"/>
      <c r="S1341" s="36"/>
    </row>
    <row r="1342">
      <c r="A1342" s="34"/>
      <c r="B1342" s="34"/>
      <c r="C1342" s="35"/>
      <c r="D1342" s="35"/>
      <c r="E1342" s="34"/>
      <c r="F1342" s="34"/>
      <c r="G1342" s="34"/>
      <c r="H1342" s="34"/>
      <c r="I1342" s="34"/>
      <c r="J1342" s="34"/>
      <c r="K1342" s="34"/>
      <c r="L1342" s="34"/>
      <c r="M1342" s="36"/>
      <c r="N1342" s="36"/>
      <c r="O1342" s="36"/>
      <c r="P1342" s="36"/>
      <c r="Q1342" s="36"/>
      <c r="R1342" s="36"/>
      <c r="S1342" s="36"/>
    </row>
    <row r="1343">
      <c r="A1343" s="34"/>
      <c r="B1343" s="34"/>
      <c r="C1343" s="35"/>
      <c r="D1343" s="35"/>
      <c r="E1343" s="34"/>
      <c r="F1343" s="34"/>
      <c r="G1343" s="34"/>
      <c r="H1343" s="34"/>
      <c r="I1343" s="34"/>
      <c r="J1343" s="34"/>
      <c r="K1343" s="34"/>
      <c r="L1343" s="34"/>
      <c r="M1343" s="36"/>
      <c r="N1343" s="36"/>
      <c r="O1343" s="36"/>
      <c r="P1343" s="36"/>
      <c r="Q1343" s="36"/>
      <c r="R1343" s="36"/>
      <c r="S1343" s="36"/>
    </row>
    <row r="1344">
      <c r="A1344" s="34"/>
      <c r="B1344" s="36"/>
      <c r="C1344" s="35"/>
      <c r="D1344" s="35"/>
      <c r="E1344" s="34"/>
      <c r="F1344" s="34"/>
      <c r="G1344" s="34"/>
      <c r="H1344" s="34"/>
      <c r="I1344" s="36"/>
      <c r="J1344" s="34"/>
      <c r="K1344" s="34"/>
      <c r="L1344" s="34"/>
      <c r="M1344" s="36"/>
      <c r="N1344" s="36"/>
      <c r="O1344" s="36"/>
      <c r="P1344" s="36"/>
      <c r="Q1344" s="36"/>
      <c r="R1344" s="36"/>
      <c r="S1344" s="36"/>
    </row>
    <row r="1345">
      <c r="A1345" s="34"/>
      <c r="B1345" s="36"/>
      <c r="C1345" s="35"/>
      <c r="D1345" s="35"/>
      <c r="E1345" s="34"/>
      <c r="F1345" s="34"/>
      <c r="G1345" s="34"/>
      <c r="H1345" s="34"/>
      <c r="I1345" s="36"/>
      <c r="J1345" s="34"/>
      <c r="K1345" s="34"/>
      <c r="L1345" s="34"/>
      <c r="M1345" s="36"/>
      <c r="N1345" s="36"/>
      <c r="O1345" s="36"/>
      <c r="P1345" s="36"/>
      <c r="Q1345" s="36"/>
      <c r="R1345" s="36"/>
      <c r="S1345" s="36"/>
    </row>
    <row r="1346">
      <c r="A1346" s="34"/>
      <c r="B1346" s="36"/>
      <c r="C1346" s="35"/>
      <c r="D1346" s="35"/>
      <c r="E1346" s="34"/>
      <c r="F1346" s="34"/>
      <c r="G1346" s="34"/>
      <c r="H1346" s="34"/>
      <c r="I1346" s="36"/>
      <c r="J1346" s="34"/>
      <c r="K1346" s="34"/>
      <c r="L1346" s="34"/>
      <c r="M1346" s="36"/>
      <c r="N1346" s="36"/>
      <c r="O1346" s="36"/>
      <c r="P1346" s="36"/>
      <c r="Q1346" s="36"/>
      <c r="R1346" s="36"/>
      <c r="S1346" s="36"/>
    </row>
    <row r="1347">
      <c r="A1347" s="34"/>
      <c r="B1347" s="34"/>
      <c r="C1347" s="35"/>
      <c r="D1347" s="35"/>
      <c r="E1347" s="34"/>
      <c r="F1347" s="34"/>
      <c r="G1347" s="34"/>
      <c r="H1347" s="34"/>
      <c r="I1347" s="34"/>
      <c r="J1347" s="34"/>
      <c r="K1347" s="34"/>
      <c r="L1347" s="34"/>
      <c r="M1347" s="36"/>
      <c r="N1347" s="36"/>
      <c r="O1347" s="36"/>
      <c r="P1347" s="36"/>
      <c r="Q1347" s="36"/>
      <c r="R1347" s="36"/>
      <c r="S1347" s="36"/>
    </row>
    <row r="1348">
      <c r="A1348" s="34"/>
      <c r="B1348" s="34"/>
      <c r="C1348" s="35"/>
      <c r="D1348" s="35"/>
      <c r="E1348" s="34"/>
      <c r="F1348" s="34"/>
      <c r="G1348" s="34"/>
      <c r="H1348" s="34"/>
      <c r="I1348" s="34"/>
      <c r="J1348" s="34"/>
      <c r="K1348" s="34"/>
      <c r="L1348" s="34"/>
      <c r="M1348" s="36"/>
      <c r="N1348" s="36"/>
      <c r="O1348" s="36"/>
      <c r="P1348" s="36"/>
      <c r="Q1348" s="36"/>
      <c r="R1348" s="36"/>
      <c r="S1348" s="36"/>
    </row>
    <row r="1349">
      <c r="A1349" s="34"/>
      <c r="B1349" s="34"/>
      <c r="C1349" s="35"/>
      <c r="D1349" s="35"/>
      <c r="E1349" s="34"/>
      <c r="F1349" s="34"/>
      <c r="G1349" s="34"/>
      <c r="H1349" s="34"/>
      <c r="I1349" s="34"/>
      <c r="J1349" s="34"/>
      <c r="K1349" s="34"/>
      <c r="L1349" s="34"/>
      <c r="M1349" s="36"/>
      <c r="N1349" s="36"/>
      <c r="O1349" s="36"/>
      <c r="P1349" s="36"/>
      <c r="Q1349" s="36"/>
      <c r="R1349" s="36"/>
      <c r="S1349" s="36"/>
    </row>
    <row r="1350">
      <c r="A1350" s="34"/>
      <c r="B1350" s="36"/>
      <c r="C1350" s="35"/>
      <c r="D1350" s="35"/>
      <c r="E1350" s="34"/>
      <c r="F1350" s="34"/>
      <c r="G1350" s="34"/>
      <c r="H1350" s="34"/>
      <c r="I1350" s="34"/>
      <c r="J1350" s="34"/>
      <c r="K1350" s="34"/>
      <c r="L1350" s="34"/>
      <c r="M1350" s="36"/>
      <c r="N1350" s="36"/>
      <c r="O1350" s="36"/>
      <c r="P1350" s="36"/>
      <c r="Q1350" s="36"/>
      <c r="R1350" s="36"/>
      <c r="S1350" s="36"/>
    </row>
    <row r="1351">
      <c r="A1351" s="34"/>
      <c r="B1351" s="36"/>
      <c r="C1351" s="35"/>
      <c r="D1351" s="35"/>
      <c r="E1351" s="34"/>
      <c r="F1351" s="34"/>
      <c r="G1351" s="34"/>
      <c r="H1351" s="34"/>
      <c r="I1351" s="34"/>
      <c r="J1351" s="34"/>
      <c r="K1351" s="34"/>
      <c r="L1351" s="34"/>
      <c r="M1351" s="36"/>
      <c r="N1351" s="36"/>
      <c r="O1351" s="36"/>
      <c r="P1351" s="36"/>
      <c r="Q1351" s="36"/>
      <c r="R1351" s="36"/>
      <c r="S1351" s="36"/>
    </row>
    <row r="1352">
      <c r="A1352" s="34"/>
      <c r="B1352" s="36"/>
      <c r="C1352" s="35"/>
      <c r="D1352" s="35"/>
      <c r="E1352" s="34"/>
      <c r="F1352" s="34"/>
      <c r="G1352" s="34"/>
      <c r="H1352" s="34"/>
      <c r="I1352" s="34"/>
      <c r="J1352" s="34"/>
      <c r="K1352" s="34"/>
      <c r="L1352" s="34"/>
      <c r="M1352" s="36"/>
      <c r="N1352" s="36"/>
      <c r="O1352" s="36"/>
      <c r="P1352" s="36"/>
      <c r="Q1352" s="36"/>
      <c r="R1352" s="36"/>
      <c r="S1352" s="36"/>
    </row>
    <row r="1353">
      <c r="A1353" s="34"/>
      <c r="B1353" s="34"/>
      <c r="C1353" s="35"/>
      <c r="D1353" s="35"/>
      <c r="E1353" s="34"/>
      <c r="F1353" s="34"/>
      <c r="G1353" s="34"/>
      <c r="H1353" s="34"/>
      <c r="I1353" s="34"/>
      <c r="J1353" s="34"/>
      <c r="K1353" s="34"/>
      <c r="L1353" s="34"/>
      <c r="M1353" s="36"/>
      <c r="N1353" s="36"/>
      <c r="O1353" s="36"/>
      <c r="P1353" s="36"/>
      <c r="Q1353" s="36"/>
      <c r="R1353" s="36"/>
      <c r="S1353" s="36"/>
    </row>
    <row r="1354">
      <c r="A1354" s="34"/>
      <c r="B1354" s="36"/>
      <c r="C1354" s="35"/>
      <c r="D1354" s="35"/>
      <c r="E1354" s="34"/>
      <c r="F1354" s="34"/>
      <c r="G1354" s="34"/>
      <c r="H1354" s="34"/>
      <c r="I1354" s="36"/>
      <c r="J1354" s="34"/>
      <c r="K1354" s="34"/>
      <c r="L1354" s="34"/>
      <c r="M1354" s="36"/>
      <c r="N1354" s="36"/>
      <c r="O1354" s="36"/>
      <c r="P1354" s="36"/>
      <c r="Q1354" s="36"/>
      <c r="R1354" s="36"/>
      <c r="S1354" s="36"/>
    </row>
    <row r="1355">
      <c r="A1355" s="34"/>
      <c r="B1355" s="36"/>
      <c r="C1355" s="35"/>
      <c r="D1355" s="35"/>
      <c r="E1355" s="34"/>
      <c r="F1355" s="34"/>
      <c r="G1355" s="34"/>
      <c r="H1355" s="34"/>
      <c r="I1355" s="36"/>
      <c r="J1355" s="34"/>
      <c r="K1355" s="34"/>
      <c r="L1355" s="34"/>
      <c r="M1355" s="36"/>
      <c r="N1355" s="36"/>
      <c r="O1355" s="36"/>
      <c r="P1355" s="36"/>
      <c r="Q1355" s="36"/>
      <c r="R1355" s="36"/>
      <c r="S1355" s="36"/>
    </row>
    <row r="1356">
      <c r="A1356" s="34"/>
      <c r="B1356" s="36"/>
      <c r="C1356" s="35"/>
      <c r="D1356" s="35"/>
      <c r="E1356" s="34"/>
      <c r="F1356" s="34"/>
      <c r="G1356" s="34"/>
      <c r="H1356" s="34"/>
      <c r="I1356" s="36"/>
      <c r="J1356" s="34"/>
      <c r="K1356" s="34"/>
      <c r="L1356" s="34"/>
      <c r="M1356" s="36"/>
      <c r="N1356" s="36"/>
      <c r="O1356" s="36"/>
      <c r="P1356" s="36"/>
      <c r="Q1356" s="36"/>
      <c r="R1356" s="36"/>
      <c r="S1356" s="36"/>
    </row>
    <row r="1357">
      <c r="A1357" s="34"/>
      <c r="B1357" s="36"/>
      <c r="C1357" s="35"/>
      <c r="D1357" s="35"/>
      <c r="E1357" s="34"/>
      <c r="F1357" s="34"/>
      <c r="G1357" s="34"/>
      <c r="H1357" s="34"/>
      <c r="I1357" s="36"/>
      <c r="J1357" s="34"/>
      <c r="K1357" s="34"/>
      <c r="L1357" s="34"/>
      <c r="M1357" s="36"/>
      <c r="N1357" s="36"/>
      <c r="O1357" s="36"/>
      <c r="P1357" s="36"/>
      <c r="Q1357" s="36"/>
      <c r="R1357" s="36"/>
      <c r="S1357" s="36"/>
    </row>
    <row r="1358">
      <c r="A1358" s="34"/>
      <c r="B1358" s="36"/>
      <c r="C1358" s="35"/>
      <c r="D1358" s="35"/>
      <c r="E1358" s="34"/>
      <c r="F1358" s="34"/>
      <c r="G1358" s="34"/>
      <c r="H1358" s="34"/>
      <c r="I1358" s="36"/>
      <c r="J1358" s="34"/>
      <c r="K1358" s="34"/>
      <c r="L1358" s="34"/>
      <c r="M1358" s="36"/>
      <c r="N1358" s="36"/>
      <c r="O1358" s="36"/>
      <c r="P1358" s="36"/>
      <c r="Q1358" s="36"/>
      <c r="R1358" s="36"/>
      <c r="S1358" s="36"/>
    </row>
    <row r="1359">
      <c r="A1359" s="34"/>
      <c r="B1359" s="36"/>
      <c r="C1359" s="35"/>
      <c r="D1359" s="35"/>
      <c r="E1359" s="34"/>
      <c r="F1359" s="34"/>
      <c r="G1359" s="34"/>
      <c r="H1359" s="34"/>
      <c r="I1359" s="36"/>
      <c r="J1359" s="34"/>
      <c r="K1359" s="34"/>
      <c r="L1359" s="34"/>
      <c r="M1359" s="36"/>
      <c r="N1359" s="36"/>
      <c r="O1359" s="36"/>
      <c r="P1359" s="36"/>
      <c r="Q1359" s="36"/>
      <c r="R1359" s="36"/>
      <c r="S1359" s="36"/>
    </row>
    <row r="1360">
      <c r="A1360" s="34"/>
      <c r="B1360" s="36"/>
      <c r="C1360" s="35"/>
      <c r="D1360" s="35"/>
      <c r="E1360" s="34"/>
      <c r="F1360" s="34"/>
      <c r="G1360" s="34"/>
      <c r="H1360" s="34"/>
      <c r="I1360" s="36"/>
      <c r="J1360" s="34"/>
      <c r="K1360" s="34"/>
      <c r="L1360" s="34"/>
      <c r="M1360" s="36"/>
      <c r="N1360" s="36"/>
      <c r="O1360" s="36"/>
      <c r="P1360" s="36"/>
      <c r="Q1360" s="36"/>
      <c r="R1360" s="36"/>
      <c r="S1360" s="36"/>
    </row>
    <row r="1361">
      <c r="A1361" s="34"/>
      <c r="B1361" s="34"/>
      <c r="C1361" s="35"/>
      <c r="D1361" s="35"/>
      <c r="E1361" s="34"/>
      <c r="F1361" s="34"/>
      <c r="G1361" s="34"/>
      <c r="H1361" s="34"/>
      <c r="I1361" s="34"/>
      <c r="J1361" s="34"/>
      <c r="K1361" s="34"/>
      <c r="L1361" s="34"/>
      <c r="M1361" s="36"/>
      <c r="N1361" s="36"/>
      <c r="O1361" s="36"/>
      <c r="P1361" s="36"/>
      <c r="Q1361" s="36"/>
      <c r="R1361" s="36"/>
      <c r="S1361" s="36"/>
    </row>
    <row r="1362">
      <c r="A1362" s="34"/>
      <c r="B1362" s="36"/>
      <c r="C1362" s="35"/>
      <c r="D1362" s="35"/>
      <c r="E1362" s="34"/>
      <c r="F1362" s="34"/>
      <c r="G1362" s="34"/>
      <c r="H1362" s="34"/>
      <c r="I1362" s="36"/>
      <c r="J1362" s="34"/>
      <c r="K1362" s="34"/>
      <c r="L1362" s="34"/>
      <c r="M1362" s="36"/>
      <c r="N1362" s="36"/>
      <c r="O1362" s="36"/>
      <c r="P1362" s="36"/>
      <c r="Q1362" s="36"/>
      <c r="R1362" s="36"/>
      <c r="S1362" s="36"/>
    </row>
    <row r="1363">
      <c r="A1363" s="34"/>
      <c r="B1363" s="36"/>
      <c r="C1363" s="35"/>
      <c r="D1363" s="35"/>
      <c r="E1363" s="34"/>
      <c r="F1363" s="34"/>
      <c r="G1363" s="34"/>
      <c r="H1363" s="34"/>
      <c r="I1363" s="36"/>
      <c r="J1363" s="34"/>
      <c r="K1363" s="34"/>
      <c r="L1363" s="34"/>
      <c r="M1363" s="36"/>
      <c r="N1363" s="36"/>
      <c r="O1363" s="36"/>
      <c r="P1363" s="36"/>
      <c r="Q1363" s="36"/>
      <c r="R1363" s="36"/>
      <c r="S1363" s="36"/>
    </row>
    <row r="1364">
      <c r="A1364" s="34"/>
      <c r="B1364" s="36"/>
      <c r="C1364" s="35"/>
      <c r="D1364" s="35"/>
      <c r="E1364" s="34"/>
      <c r="F1364" s="34"/>
      <c r="G1364" s="34"/>
      <c r="H1364" s="34"/>
      <c r="I1364" s="34"/>
      <c r="J1364" s="34"/>
      <c r="K1364" s="34"/>
      <c r="L1364" s="34"/>
      <c r="M1364" s="36"/>
      <c r="N1364" s="36"/>
      <c r="O1364" s="36"/>
      <c r="P1364" s="36"/>
      <c r="Q1364" s="36"/>
      <c r="R1364" s="36"/>
      <c r="S1364" s="36"/>
    </row>
    <row r="1365">
      <c r="A1365" s="34"/>
      <c r="B1365" s="36"/>
      <c r="C1365" s="35"/>
      <c r="D1365" s="35"/>
      <c r="E1365" s="34"/>
      <c r="F1365" s="34"/>
      <c r="G1365" s="34"/>
      <c r="H1365" s="34"/>
      <c r="I1365" s="36"/>
      <c r="J1365" s="34"/>
      <c r="K1365" s="34"/>
      <c r="L1365" s="34"/>
      <c r="M1365" s="36"/>
      <c r="N1365" s="36"/>
      <c r="O1365" s="36"/>
      <c r="P1365" s="36"/>
      <c r="Q1365" s="36"/>
      <c r="R1365" s="36"/>
      <c r="S1365" s="36"/>
    </row>
    <row r="1366">
      <c r="A1366" s="34"/>
      <c r="B1366" s="34"/>
      <c r="C1366" s="35"/>
      <c r="D1366" s="35"/>
      <c r="E1366" s="34"/>
      <c r="F1366" s="34"/>
      <c r="G1366" s="34"/>
      <c r="H1366" s="34"/>
      <c r="I1366" s="34"/>
      <c r="J1366" s="34"/>
      <c r="K1366" s="34"/>
      <c r="L1366" s="34"/>
      <c r="M1366" s="36"/>
      <c r="N1366" s="36"/>
      <c r="O1366" s="36"/>
      <c r="P1366" s="36"/>
      <c r="Q1366" s="36"/>
      <c r="R1366" s="36"/>
      <c r="S1366" s="36"/>
    </row>
    <row r="1367">
      <c r="A1367" s="34"/>
      <c r="B1367" s="36"/>
      <c r="C1367" s="35"/>
      <c r="D1367" s="35"/>
      <c r="E1367" s="34"/>
      <c r="F1367" s="34"/>
      <c r="G1367" s="34"/>
      <c r="H1367" s="34"/>
      <c r="I1367" s="36"/>
      <c r="J1367" s="34"/>
      <c r="K1367" s="34"/>
      <c r="L1367" s="34"/>
      <c r="M1367" s="36"/>
      <c r="N1367" s="36"/>
      <c r="O1367" s="36"/>
      <c r="P1367" s="36"/>
      <c r="Q1367" s="36"/>
      <c r="R1367" s="36"/>
      <c r="S1367" s="36"/>
    </row>
    <row r="1368">
      <c r="A1368" s="34"/>
      <c r="B1368" s="36"/>
      <c r="C1368" s="35"/>
      <c r="D1368" s="35"/>
      <c r="E1368" s="34"/>
      <c r="F1368" s="34"/>
      <c r="G1368" s="34"/>
      <c r="H1368" s="34"/>
      <c r="I1368" s="34"/>
      <c r="J1368" s="34"/>
      <c r="K1368" s="34"/>
      <c r="L1368" s="34"/>
      <c r="M1368" s="36"/>
      <c r="N1368" s="36"/>
      <c r="O1368" s="36"/>
      <c r="P1368" s="36"/>
      <c r="Q1368" s="36"/>
      <c r="R1368" s="36"/>
      <c r="S1368" s="36"/>
    </row>
    <row r="1369">
      <c r="A1369" s="34"/>
      <c r="B1369" s="36"/>
      <c r="C1369" s="35"/>
      <c r="D1369" s="35"/>
      <c r="E1369" s="34"/>
      <c r="F1369" s="34"/>
      <c r="G1369" s="34"/>
      <c r="H1369" s="34"/>
      <c r="I1369" s="34"/>
      <c r="J1369" s="34"/>
      <c r="K1369" s="34"/>
      <c r="L1369" s="34"/>
      <c r="M1369" s="36"/>
      <c r="N1369" s="36"/>
      <c r="O1369" s="36"/>
      <c r="P1369" s="36"/>
      <c r="Q1369" s="36"/>
      <c r="R1369" s="36"/>
      <c r="S1369" s="36"/>
    </row>
    <row r="1370">
      <c r="A1370" s="34"/>
      <c r="B1370" s="34"/>
      <c r="C1370" s="35"/>
      <c r="D1370" s="35"/>
      <c r="E1370" s="34"/>
      <c r="F1370" s="34"/>
      <c r="G1370" s="34"/>
      <c r="H1370" s="34"/>
      <c r="I1370" s="34"/>
      <c r="J1370" s="34"/>
      <c r="K1370" s="34"/>
      <c r="L1370" s="34"/>
      <c r="M1370" s="36"/>
      <c r="N1370" s="36"/>
      <c r="O1370" s="36"/>
      <c r="P1370" s="36"/>
      <c r="Q1370" s="36"/>
      <c r="R1370" s="36"/>
      <c r="S1370" s="36"/>
    </row>
    <row r="1371">
      <c r="A1371" s="34"/>
      <c r="B1371" s="36"/>
      <c r="C1371" s="35"/>
      <c r="D1371" s="35"/>
      <c r="E1371" s="34"/>
      <c r="F1371" s="34"/>
      <c r="G1371" s="34"/>
      <c r="H1371" s="34"/>
      <c r="I1371" s="34"/>
      <c r="J1371" s="34"/>
      <c r="K1371" s="34"/>
      <c r="L1371" s="34"/>
      <c r="M1371" s="36"/>
      <c r="N1371" s="36"/>
      <c r="O1371" s="36"/>
      <c r="P1371" s="36"/>
      <c r="Q1371" s="36"/>
      <c r="R1371" s="36"/>
      <c r="S1371" s="36"/>
    </row>
    <row r="1372">
      <c r="A1372" s="34"/>
      <c r="B1372" s="34"/>
      <c r="C1372" s="35"/>
      <c r="D1372" s="35"/>
      <c r="E1372" s="34"/>
      <c r="F1372" s="34"/>
      <c r="G1372" s="34"/>
      <c r="H1372" s="34"/>
      <c r="I1372" s="34"/>
      <c r="J1372" s="34"/>
      <c r="K1372" s="34"/>
      <c r="L1372" s="34"/>
      <c r="M1372" s="36"/>
      <c r="N1372" s="36"/>
      <c r="O1372" s="36"/>
      <c r="P1372" s="36"/>
      <c r="Q1372" s="36"/>
      <c r="R1372" s="36"/>
      <c r="S1372" s="36"/>
    </row>
    <row r="1373">
      <c r="A1373" s="34"/>
      <c r="B1373" s="36"/>
      <c r="C1373" s="35"/>
      <c r="D1373" s="35"/>
      <c r="E1373" s="34"/>
      <c r="F1373" s="34"/>
      <c r="G1373" s="34"/>
      <c r="H1373" s="34"/>
      <c r="I1373" s="34"/>
      <c r="J1373" s="34"/>
      <c r="K1373" s="34"/>
      <c r="L1373" s="34"/>
      <c r="M1373" s="36"/>
      <c r="N1373" s="36"/>
      <c r="O1373" s="36"/>
      <c r="P1373" s="36"/>
      <c r="Q1373" s="36"/>
      <c r="R1373" s="36"/>
      <c r="S1373" s="36"/>
    </row>
    <row r="1374">
      <c r="A1374" s="34"/>
      <c r="B1374" s="36"/>
      <c r="C1374" s="35"/>
      <c r="D1374" s="35"/>
      <c r="E1374" s="34"/>
      <c r="F1374" s="34"/>
      <c r="G1374" s="34"/>
      <c r="H1374" s="34"/>
      <c r="I1374" s="34"/>
      <c r="J1374" s="34"/>
      <c r="K1374" s="34"/>
      <c r="L1374" s="34"/>
      <c r="M1374" s="36"/>
      <c r="N1374" s="36"/>
      <c r="O1374" s="36"/>
      <c r="P1374" s="36"/>
      <c r="Q1374" s="36"/>
      <c r="R1374" s="36"/>
      <c r="S1374" s="36"/>
    </row>
    <row r="1375">
      <c r="A1375" s="34"/>
      <c r="B1375" s="36"/>
      <c r="C1375" s="35"/>
      <c r="D1375" s="35"/>
      <c r="E1375" s="34"/>
      <c r="F1375" s="34"/>
      <c r="G1375" s="34"/>
      <c r="H1375" s="34"/>
      <c r="I1375" s="36"/>
      <c r="J1375" s="34"/>
      <c r="K1375" s="34"/>
      <c r="L1375" s="34"/>
      <c r="M1375" s="36"/>
      <c r="N1375" s="36"/>
      <c r="O1375" s="36"/>
      <c r="P1375" s="36"/>
      <c r="Q1375" s="36"/>
      <c r="R1375" s="36"/>
      <c r="S1375" s="36"/>
    </row>
    <row r="1376">
      <c r="A1376" s="34"/>
      <c r="B1376" s="36"/>
      <c r="C1376" s="35"/>
      <c r="D1376" s="35"/>
      <c r="E1376" s="34"/>
      <c r="F1376" s="34"/>
      <c r="G1376" s="34"/>
      <c r="H1376" s="34"/>
      <c r="I1376" s="36"/>
      <c r="J1376" s="34"/>
      <c r="K1376" s="34"/>
      <c r="L1376" s="34"/>
      <c r="M1376" s="36"/>
      <c r="N1376" s="36"/>
      <c r="O1376" s="36"/>
      <c r="P1376" s="36"/>
      <c r="Q1376" s="36"/>
      <c r="R1376" s="36"/>
      <c r="S1376" s="36"/>
    </row>
    <row r="1377">
      <c r="A1377" s="34"/>
      <c r="B1377" s="36"/>
      <c r="C1377" s="35"/>
      <c r="D1377" s="35"/>
      <c r="E1377" s="34"/>
      <c r="F1377" s="34"/>
      <c r="G1377" s="34"/>
      <c r="H1377" s="34"/>
      <c r="I1377" s="36"/>
      <c r="J1377" s="34"/>
      <c r="K1377" s="34"/>
      <c r="L1377" s="34"/>
      <c r="M1377" s="36"/>
      <c r="N1377" s="36"/>
      <c r="O1377" s="36"/>
      <c r="P1377" s="36"/>
      <c r="Q1377" s="36"/>
      <c r="R1377" s="36"/>
      <c r="S1377" s="36"/>
    </row>
    <row r="1378">
      <c r="A1378" s="34"/>
      <c r="B1378" s="34"/>
      <c r="C1378" s="35"/>
      <c r="D1378" s="35"/>
      <c r="E1378" s="34"/>
      <c r="F1378" s="34"/>
      <c r="G1378" s="34"/>
      <c r="H1378" s="34"/>
      <c r="I1378" s="34"/>
      <c r="J1378" s="34"/>
      <c r="K1378" s="34"/>
      <c r="L1378" s="34"/>
      <c r="M1378" s="36"/>
      <c r="N1378" s="36"/>
      <c r="O1378" s="36"/>
      <c r="P1378" s="36"/>
      <c r="Q1378" s="36"/>
      <c r="R1378" s="36"/>
      <c r="S1378" s="36"/>
    </row>
    <row r="1379">
      <c r="A1379" s="34"/>
      <c r="B1379" s="34"/>
      <c r="C1379" s="35"/>
      <c r="D1379" s="35"/>
      <c r="E1379" s="34"/>
      <c r="F1379" s="34"/>
      <c r="G1379" s="34"/>
      <c r="H1379" s="34"/>
      <c r="I1379" s="34"/>
      <c r="J1379" s="34"/>
      <c r="K1379" s="34"/>
      <c r="L1379" s="34"/>
      <c r="M1379" s="36"/>
      <c r="N1379" s="36"/>
      <c r="O1379" s="36"/>
      <c r="P1379" s="36"/>
      <c r="Q1379" s="36"/>
      <c r="R1379" s="36"/>
      <c r="S1379" s="36"/>
    </row>
    <row r="1380">
      <c r="A1380" s="34"/>
      <c r="B1380" s="36"/>
      <c r="C1380" s="35"/>
      <c r="D1380" s="35"/>
      <c r="E1380" s="34"/>
      <c r="F1380" s="34"/>
      <c r="G1380" s="34"/>
      <c r="H1380" s="34"/>
      <c r="I1380" s="36"/>
      <c r="J1380" s="34"/>
      <c r="K1380" s="34"/>
      <c r="L1380" s="34"/>
      <c r="M1380" s="36"/>
      <c r="N1380" s="36"/>
      <c r="O1380" s="36"/>
      <c r="P1380" s="36"/>
      <c r="Q1380" s="36"/>
      <c r="R1380" s="36"/>
      <c r="S1380" s="36"/>
    </row>
    <row r="1381">
      <c r="A1381" s="34"/>
      <c r="B1381" s="36"/>
      <c r="C1381" s="35"/>
      <c r="D1381" s="35"/>
      <c r="E1381" s="34"/>
      <c r="F1381" s="34"/>
      <c r="G1381" s="34"/>
      <c r="H1381" s="34"/>
      <c r="I1381" s="34"/>
      <c r="J1381" s="34"/>
      <c r="K1381" s="34"/>
      <c r="L1381" s="34"/>
      <c r="M1381" s="36"/>
      <c r="N1381" s="36"/>
      <c r="O1381" s="36"/>
      <c r="P1381" s="36"/>
      <c r="Q1381" s="36"/>
      <c r="R1381" s="36"/>
      <c r="S1381" s="36"/>
    </row>
    <row r="1382">
      <c r="A1382" s="34"/>
      <c r="B1382" s="36"/>
      <c r="C1382" s="35"/>
      <c r="D1382" s="35"/>
      <c r="E1382" s="34"/>
      <c r="F1382" s="34"/>
      <c r="G1382" s="34"/>
      <c r="H1382" s="34"/>
      <c r="I1382" s="34"/>
      <c r="J1382" s="34"/>
      <c r="K1382" s="34"/>
      <c r="L1382" s="34"/>
      <c r="M1382" s="36"/>
      <c r="N1382" s="36"/>
      <c r="O1382" s="36"/>
      <c r="P1382" s="36"/>
      <c r="Q1382" s="36"/>
      <c r="R1382" s="36"/>
      <c r="S1382" s="36"/>
    </row>
    <row r="1383">
      <c r="A1383" s="34"/>
      <c r="B1383" s="36"/>
      <c r="C1383" s="35"/>
      <c r="D1383" s="35"/>
      <c r="E1383" s="34"/>
      <c r="F1383" s="34"/>
      <c r="G1383" s="34"/>
      <c r="H1383" s="34"/>
      <c r="I1383" s="36"/>
      <c r="J1383" s="34"/>
      <c r="K1383" s="34"/>
      <c r="L1383" s="34"/>
      <c r="M1383" s="36"/>
      <c r="N1383" s="36"/>
      <c r="O1383" s="36"/>
      <c r="P1383" s="36"/>
      <c r="Q1383" s="36"/>
      <c r="R1383" s="36"/>
      <c r="S1383" s="36"/>
    </row>
    <row r="1384">
      <c r="A1384" s="34"/>
      <c r="B1384" s="36"/>
      <c r="C1384" s="35"/>
      <c r="D1384" s="35"/>
      <c r="E1384" s="34"/>
      <c r="F1384" s="34"/>
      <c r="G1384" s="34"/>
      <c r="H1384" s="34"/>
      <c r="I1384" s="34"/>
      <c r="J1384" s="34"/>
      <c r="K1384" s="34"/>
      <c r="L1384" s="34"/>
      <c r="M1384" s="36"/>
      <c r="N1384" s="36"/>
      <c r="O1384" s="36"/>
      <c r="P1384" s="36"/>
      <c r="Q1384" s="36"/>
      <c r="R1384" s="36"/>
      <c r="S1384" s="36"/>
    </row>
    <row r="1385">
      <c r="A1385" s="34"/>
      <c r="B1385" s="36"/>
      <c r="C1385" s="35"/>
      <c r="D1385" s="35"/>
      <c r="E1385" s="34"/>
      <c r="F1385" s="34"/>
      <c r="G1385" s="34"/>
      <c r="H1385" s="34"/>
      <c r="I1385" s="34"/>
      <c r="J1385" s="34"/>
      <c r="K1385" s="34"/>
      <c r="L1385" s="34"/>
      <c r="M1385" s="36"/>
      <c r="N1385" s="36"/>
      <c r="O1385" s="36"/>
      <c r="P1385" s="36"/>
      <c r="Q1385" s="36"/>
      <c r="R1385" s="36"/>
      <c r="S1385" s="36"/>
    </row>
    <row r="1386">
      <c r="A1386" s="34"/>
      <c r="B1386" s="34"/>
      <c r="C1386" s="35"/>
      <c r="D1386" s="35"/>
      <c r="E1386" s="34"/>
      <c r="F1386" s="34"/>
      <c r="G1386" s="34"/>
      <c r="H1386" s="34"/>
      <c r="I1386" s="34"/>
      <c r="J1386" s="34"/>
      <c r="K1386" s="34"/>
      <c r="L1386" s="34"/>
      <c r="M1386" s="36"/>
      <c r="N1386" s="36"/>
      <c r="O1386" s="36"/>
      <c r="P1386" s="36"/>
      <c r="Q1386" s="36"/>
      <c r="R1386" s="36"/>
      <c r="S1386" s="36"/>
    </row>
    <row r="1387">
      <c r="A1387" s="34"/>
      <c r="B1387" s="36"/>
      <c r="C1387" s="35"/>
      <c r="D1387" s="35"/>
      <c r="E1387" s="34"/>
      <c r="F1387" s="34"/>
      <c r="G1387" s="34"/>
      <c r="H1387" s="34"/>
      <c r="I1387" s="36"/>
      <c r="J1387" s="34"/>
      <c r="K1387" s="34"/>
      <c r="L1387" s="34"/>
      <c r="M1387" s="36"/>
      <c r="N1387" s="36"/>
      <c r="O1387" s="36"/>
      <c r="P1387" s="36"/>
      <c r="Q1387" s="36"/>
      <c r="R1387" s="36"/>
      <c r="S1387" s="36"/>
    </row>
    <row r="1388">
      <c r="A1388" s="34"/>
      <c r="B1388" s="36"/>
      <c r="C1388" s="35"/>
      <c r="D1388" s="35"/>
      <c r="E1388" s="34"/>
      <c r="F1388" s="34"/>
      <c r="G1388" s="34"/>
      <c r="H1388" s="34"/>
      <c r="I1388" s="36"/>
      <c r="J1388" s="34"/>
      <c r="K1388" s="34"/>
      <c r="L1388" s="34"/>
      <c r="M1388" s="36"/>
      <c r="N1388" s="36"/>
      <c r="O1388" s="36"/>
      <c r="P1388" s="36"/>
      <c r="Q1388" s="36"/>
      <c r="R1388" s="36"/>
      <c r="S1388" s="36"/>
    </row>
    <row r="1389">
      <c r="A1389" s="34"/>
      <c r="B1389" s="34"/>
      <c r="C1389" s="35"/>
      <c r="D1389" s="35"/>
      <c r="E1389" s="34"/>
      <c r="F1389" s="34"/>
      <c r="G1389" s="34"/>
      <c r="H1389" s="34"/>
      <c r="I1389" s="34"/>
      <c r="J1389" s="34"/>
      <c r="K1389" s="34"/>
      <c r="L1389" s="34"/>
      <c r="M1389" s="36"/>
      <c r="N1389" s="36"/>
      <c r="O1389" s="36"/>
      <c r="P1389" s="36"/>
      <c r="Q1389" s="36"/>
      <c r="R1389" s="36"/>
      <c r="S1389" s="36"/>
    </row>
    <row r="1390">
      <c r="A1390" s="34"/>
      <c r="B1390" s="36"/>
      <c r="C1390" s="35"/>
      <c r="D1390" s="35"/>
      <c r="E1390" s="34"/>
      <c r="F1390" s="34"/>
      <c r="G1390" s="34"/>
      <c r="H1390" s="34"/>
      <c r="I1390" s="36"/>
      <c r="J1390" s="34"/>
      <c r="K1390" s="34"/>
      <c r="L1390" s="34"/>
      <c r="M1390" s="36"/>
      <c r="N1390" s="36"/>
      <c r="O1390" s="36"/>
      <c r="P1390" s="36"/>
      <c r="Q1390" s="36"/>
      <c r="R1390" s="36"/>
      <c r="S1390" s="36"/>
    </row>
    <row r="1391">
      <c r="A1391" s="34"/>
      <c r="B1391" s="36"/>
      <c r="C1391" s="35"/>
      <c r="D1391" s="35"/>
      <c r="E1391" s="34"/>
      <c r="F1391" s="34"/>
      <c r="G1391" s="34"/>
      <c r="H1391" s="34"/>
      <c r="I1391" s="36"/>
      <c r="J1391" s="34"/>
      <c r="K1391" s="34"/>
      <c r="L1391" s="34"/>
      <c r="M1391" s="36"/>
      <c r="N1391" s="36"/>
      <c r="O1391" s="36"/>
      <c r="P1391" s="36"/>
      <c r="Q1391" s="36"/>
      <c r="R1391" s="36"/>
      <c r="S1391" s="36"/>
    </row>
    <row r="1392">
      <c r="A1392" s="34"/>
      <c r="B1392" s="36"/>
      <c r="C1392" s="35"/>
      <c r="D1392" s="35"/>
      <c r="E1392" s="34"/>
      <c r="F1392" s="34"/>
      <c r="G1392" s="34"/>
      <c r="H1392" s="34"/>
      <c r="I1392" s="36"/>
      <c r="J1392" s="34"/>
      <c r="K1392" s="34"/>
      <c r="L1392" s="34"/>
      <c r="M1392" s="36"/>
      <c r="N1392" s="36"/>
      <c r="O1392" s="36"/>
      <c r="P1392" s="36"/>
      <c r="Q1392" s="36"/>
      <c r="R1392" s="36"/>
      <c r="S1392" s="36"/>
    </row>
    <row r="1393">
      <c r="A1393" s="34"/>
      <c r="B1393" s="36"/>
      <c r="C1393" s="35"/>
      <c r="D1393" s="35"/>
      <c r="E1393" s="34"/>
      <c r="F1393" s="34"/>
      <c r="G1393" s="34"/>
      <c r="H1393" s="34"/>
      <c r="I1393" s="36"/>
      <c r="J1393" s="34"/>
      <c r="K1393" s="34"/>
      <c r="L1393" s="34"/>
      <c r="M1393" s="36"/>
      <c r="N1393" s="36"/>
      <c r="O1393" s="36"/>
      <c r="P1393" s="36"/>
      <c r="Q1393" s="36"/>
      <c r="R1393" s="36"/>
      <c r="S1393" s="36"/>
    </row>
    <row r="1394">
      <c r="A1394" s="34"/>
      <c r="B1394" s="36"/>
      <c r="C1394" s="35"/>
      <c r="D1394" s="35"/>
      <c r="E1394" s="34"/>
      <c r="F1394" s="34"/>
      <c r="G1394" s="34"/>
      <c r="H1394" s="34"/>
      <c r="I1394" s="36"/>
      <c r="J1394" s="34"/>
      <c r="K1394" s="34"/>
      <c r="L1394" s="34"/>
      <c r="M1394" s="36"/>
      <c r="N1394" s="36"/>
      <c r="O1394" s="36"/>
      <c r="P1394" s="36"/>
      <c r="Q1394" s="36"/>
      <c r="R1394" s="36"/>
      <c r="S1394" s="36"/>
    </row>
    <row r="1395">
      <c r="A1395" s="34"/>
      <c r="B1395" s="36"/>
      <c r="C1395" s="35"/>
      <c r="D1395" s="35"/>
      <c r="E1395" s="34"/>
      <c r="F1395" s="34"/>
      <c r="G1395" s="34"/>
      <c r="H1395" s="34"/>
      <c r="I1395" s="36"/>
      <c r="J1395" s="34"/>
      <c r="K1395" s="34"/>
      <c r="L1395" s="34"/>
      <c r="M1395" s="36"/>
      <c r="N1395" s="36"/>
      <c r="O1395" s="36"/>
      <c r="P1395" s="36"/>
      <c r="Q1395" s="36"/>
      <c r="R1395" s="36"/>
      <c r="S1395" s="36"/>
    </row>
    <row r="1396">
      <c r="A1396" s="34"/>
      <c r="B1396" s="36"/>
      <c r="C1396" s="35"/>
      <c r="D1396" s="35"/>
      <c r="E1396" s="34"/>
      <c r="F1396" s="34"/>
      <c r="G1396" s="34"/>
      <c r="H1396" s="34"/>
      <c r="I1396" s="36"/>
      <c r="J1396" s="34"/>
      <c r="K1396" s="34"/>
      <c r="L1396" s="34"/>
      <c r="M1396" s="36"/>
      <c r="N1396" s="36"/>
      <c r="O1396" s="36"/>
      <c r="P1396" s="36"/>
      <c r="Q1396" s="36"/>
      <c r="R1396" s="36"/>
      <c r="S1396" s="36"/>
    </row>
    <row r="1397">
      <c r="A1397" s="34"/>
      <c r="B1397" s="36"/>
      <c r="C1397" s="35"/>
      <c r="D1397" s="35"/>
      <c r="E1397" s="34"/>
      <c r="F1397" s="34"/>
      <c r="G1397" s="34"/>
      <c r="H1397" s="34"/>
      <c r="I1397" s="36"/>
      <c r="J1397" s="34"/>
      <c r="K1397" s="34"/>
      <c r="L1397" s="34"/>
      <c r="M1397" s="36"/>
      <c r="N1397" s="36"/>
      <c r="O1397" s="36"/>
      <c r="P1397" s="36"/>
      <c r="Q1397" s="36"/>
      <c r="R1397" s="36"/>
      <c r="S1397" s="36"/>
    </row>
    <row r="1398">
      <c r="A1398" s="34"/>
      <c r="B1398" s="36"/>
      <c r="C1398" s="35"/>
      <c r="D1398" s="35"/>
      <c r="E1398" s="34"/>
      <c r="F1398" s="34"/>
      <c r="G1398" s="34"/>
      <c r="H1398" s="34"/>
      <c r="I1398" s="36"/>
      <c r="J1398" s="34"/>
      <c r="K1398" s="34"/>
      <c r="L1398" s="34"/>
      <c r="M1398" s="36"/>
      <c r="N1398" s="36"/>
      <c r="O1398" s="36"/>
      <c r="P1398" s="36"/>
      <c r="Q1398" s="36"/>
      <c r="R1398" s="36"/>
      <c r="S1398" s="36"/>
    </row>
    <row r="1399">
      <c r="A1399" s="34"/>
      <c r="B1399" s="36"/>
      <c r="C1399" s="35"/>
      <c r="D1399" s="35"/>
      <c r="E1399" s="34"/>
      <c r="F1399" s="34"/>
      <c r="G1399" s="34"/>
      <c r="H1399" s="34"/>
      <c r="I1399" s="36"/>
      <c r="J1399" s="34"/>
      <c r="K1399" s="34"/>
      <c r="L1399" s="34"/>
      <c r="M1399" s="36"/>
      <c r="N1399" s="36"/>
      <c r="O1399" s="36"/>
      <c r="P1399" s="36"/>
      <c r="Q1399" s="36"/>
      <c r="R1399" s="36"/>
      <c r="S1399" s="36"/>
    </row>
    <row r="1400">
      <c r="A1400" s="34"/>
      <c r="B1400" s="36"/>
      <c r="C1400" s="35"/>
      <c r="D1400" s="35"/>
      <c r="E1400" s="34"/>
      <c r="F1400" s="34"/>
      <c r="G1400" s="34"/>
      <c r="H1400" s="34"/>
      <c r="I1400" s="36"/>
      <c r="J1400" s="34"/>
      <c r="K1400" s="34"/>
      <c r="L1400" s="34"/>
      <c r="M1400" s="36"/>
      <c r="N1400" s="36"/>
      <c r="O1400" s="36"/>
      <c r="P1400" s="36"/>
      <c r="Q1400" s="36"/>
      <c r="R1400" s="36"/>
      <c r="S1400" s="36"/>
    </row>
    <row r="1401">
      <c r="A1401" s="34"/>
      <c r="B1401" s="34"/>
      <c r="C1401" s="35"/>
      <c r="D1401" s="35"/>
      <c r="E1401" s="34"/>
      <c r="F1401" s="34"/>
      <c r="G1401" s="34"/>
      <c r="H1401" s="34"/>
      <c r="I1401" s="34"/>
      <c r="J1401" s="34"/>
      <c r="K1401" s="34"/>
      <c r="L1401" s="34"/>
      <c r="M1401" s="36"/>
      <c r="N1401" s="36"/>
      <c r="O1401" s="36"/>
      <c r="P1401" s="36"/>
      <c r="Q1401" s="36"/>
      <c r="R1401" s="36"/>
      <c r="S1401" s="36"/>
    </row>
    <row r="1402">
      <c r="A1402" s="34"/>
      <c r="B1402" s="34"/>
      <c r="C1402" s="35"/>
      <c r="D1402" s="35"/>
      <c r="E1402" s="34"/>
      <c r="F1402" s="34"/>
      <c r="G1402" s="34"/>
      <c r="H1402" s="34"/>
      <c r="I1402" s="34"/>
      <c r="J1402" s="34"/>
      <c r="K1402" s="34"/>
      <c r="L1402" s="34"/>
      <c r="M1402" s="36"/>
      <c r="N1402" s="36"/>
      <c r="O1402" s="36"/>
      <c r="P1402" s="36"/>
      <c r="Q1402" s="36"/>
      <c r="R1402" s="36"/>
      <c r="S1402" s="36"/>
    </row>
    <row r="1403">
      <c r="A1403" s="34"/>
      <c r="B1403" s="36"/>
      <c r="C1403" s="35"/>
      <c r="D1403" s="35"/>
      <c r="E1403" s="34"/>
      <c r="F1403" s="34"/>
      <c r="G1403" s="34"/>
      <c r="H1403" s="34"/>
      <c r="I1403" s="36"/>
      <c r="J1403" s="34"/>
      <c r="K1403" s="34"/>
      <c r="L1403" s="34"/>
      <c r="M1403" s="36"/>
      <c r="N1403" s="36"/>
      <c r="O1403" s="36"/>
      <c r="P1403" s="36"/>
      <c r="Q1403" s="36"/>
      <c r="R1403" s="36"/>
      <c r="S1403" s="36"/>
    </row>
    <row r="1404">
      <c r="A1404" s="34"/>
      <c r="B1404" s="36"/>
      <c r="C1404" s="35"/>
      <c r="D1404" s="35"/>
      <c r="E1404" s="34"/>
      <c r="F1404" s="34"/>
      <c r="G1404" s="34"/>
      <c r="H1404" s="34"/>
      <c r="I1404" s="36"/>
      <c r="J1404" s="34"/>
      <c r="K1404" s="34"/>
      <c r="L1404" s="34"/>
      <c r="M1404" s="36"/>
      <c r="N1404" s="36"/>
      <c r="O1404" s="36"/>
      <c r="P1404" s="36"/>
      <c r="Q1404" s="36"/>
      <c r="R1404" s="36"/>
      <c r="S1404" s="36"/>
    </row>
    <row r="1405">
      <c r="A1405" s="34"/>
      <c r="B1405" s="36"/>
      <c r="C1405" s="35"/>
      <c r="D1405" s="35"/>
      <c r="E1405" s="34"/>
      <c r="F1405" s="34"/>
      <c r="G1405" s="34"/>
      <c r="H1405" s="34"/>
      <c r="I1405" s="36"/>
      <c r="J1405" s="34"/>
      <c r="K1405" s="34"/>
      <c r="L1405" s="34"/>
      <c r="M1405" s="36"/>
      <c r="N1405" s="36"/>
      <c r="O1405" s="36"/>
      <c r="P1405" s="36"/>
      <c r="Q1405" s="36"/>
      <c r="R1405" s="36"/>
      <c r="S1405" s="36"/>
    </row>
    <row r="1406">
      <c r="A1406" s="34"/>
      <c r="B1406" s="34"/>
      <c r="C1406" s="35"/>
      <c r="D1406" s="35"/>
      <c r="E1406" s="34"/>
      <c r="F1406" s="34"/>
      <c r="G1406" s="34"/>
      <c r="H1406" s="34"/>
      <c r="I1406" s="34"/>
      <c r="J1406" s="34"/>
      <c r="K1406" s="34"/>
      <c r="L1406" s="34"/>
      <c r="M1406" s="36"/>
      <c r="N1406" s="36"/>
      <c r="O1406" s="36"/>
      <c r="P1406" s="36"/>
      <c r="Q1406" s="36"/>
      <c r="R1406" s="36"/>
      <c r="S1406" s="36"/>
    </row>
    <row r="1407">
      <c r="A1407" s="34"/>
      <c r="B1407" s="36"/>
      <c r="C1407" s="35"/>
      <c r="D1407" s="35"/>
      <c r="E1407" s="34"/>
      <c r="F1407" s="34"/>
      <c r="G1407" s="34"/>
      <c r="H1407" s="34"/>
      <c r="I1407" s="36"/>
      <c r="J1407" s="34"/>
      <c r="K1407" s="34"/>
      <c r="L1407" s="34"/>
      <c r="M1407" s="36"/>
      <c r="N1407" s="36"/>
      <c r="O1407" s="36"/>
      <c r="P1407" s="36"/>
      <c r="Q1407" s="36"/>
      <c r="R1407" s="36"/>
      <c r="S1407" s="36"/>
    </row>
    <row r="1408">
      <c r="A1408" s="34"/>
      <c r="B1408" s="36"/>
      <c r="C1408" s="35"/>
      <c r="D1408" s="35"/>
      <c r="E1408" s="34"/>
      <c r="F1408" s="34"/>
      <c r="G1408" s="34"/>
      <c r="H1408" s="34"/>
      <c r="I1408" s="36"/>
      <c r="J1408" s="34"/>
      <c r="K1408" s="34"/>
      <c r="L1408" s="34"/>
      <c r="M1408" s="36"/>
      <c r="N1408" s="36"/>
      <c r="O1408" s="36"/>
      <c r="P1408" s="36"/>
      <c r="Q1408" s="36"/>
      <c r="R1408" s="36"/>
      <c r="S1408" s="36"/>
    </row>
    <row r="1409">
      <c r="A1409" s="34"/>
      <c r="B1409" s="36"/>
      <c r="C1409" s="35"/>
      <c r="D1409" s="35"/>
      <c r="E1409" s="34"/>
      <c r="F1409" s="34"/>
      <c r="G1409" s="34"/>
      <c r="H1409" s="34"/>
      <c r="I1409" s="36"/>
      <c r="J1409" s="34"/>
      <c r="K1409" s="34"/>
      <c r="L1409" s="34"/>
      <c r="M1409" s="36"/>
      <c r="N1409" s="36"/>
      <c r="O1409" s="36"/>
      <c r="P1409" s="36"/>
      <c r="Q1409" s="36"/>
      <c r="R1409" s="36"/>
      <c r="S1409" s="36"/>
    </row>
    <row r="1410">
      <c r="A1410" s="34"/>
      <c r="B1410" s="36"/>
      <c r="C1410" s="35"/>
      <c r="D1410" s="35"/>
      <c r="E1410" s="34"/>
      <c r="F1410" s="34"/>
      <c r="G1410" s="34"/>
      <c r="H1410" s="34"/>
      <c r="I1410" s="36"/>
      <c r="J1410" s="34"/>
      <c r="K1410" s="34"/>
      <c r="L1410" s="34"/>
      <c r="M1410" s="36"/>
      <c r="N1410" s="36"/>
      <c r="O1410" s="36"/>
      <c r="P1410" s="36"/>
      <c r="Q1410" s="36"/>
      <c r="R1410" s="36"/>
      <c r="S1410" s="36"/>
    </row>
    <row r="1411">
      <c r="A1411" s="34"/>
      <c r="B1411" s="36"/>
      <c r="C1411" s="35"/>
      <c r="D1411" s="35"/>
      <c r="E1411" s="34"/>
      <c r="F1411" s="34"/>
      <c r="G1411" s="34"/>
      <c r="H1411" s="34"/>
      <c r="I1411" s="36"/>
      <c r="J1411" s="34"/>
      <c r="K1411" s="34"/>
      <c r="L1411" s="34"/>
      <c r="M1411" s="36"/>
      <c r="N1411" s="36"/>
      <c r="O1411" s="36"/>
      <c r="P1411" s="36"/>
      <c r="Q1411" s="36"/>
      <c r="R1411" s="36"/>
      <c r="S1411" s="36"/>
    </row>
    <row r="1412">
      <c r="A1412" s="34"/>
      <c r="B1412" s="36"/>
      <c r="C1412" s="35"/>
      <c r="D1412" s="35"/>
      <c r="E1412" s="34"/>
      <c r="F1412" s="34"/>
      <c r="G1412" s="34"/>
      <c r="H1412" s="34"/>
      <c r="I1412" s="36"/>
      <c r="J1412" s="34"/>
      <c r="K1412" s="34"/>
      <c r="L1412" s="34"/>
      <c r="M1412" s="36"/>
      <c r="N1412" s="36"/>
      <c r="O1412" s="36"/>
      <c r="P1412" s="36"/>
      <c r="Q1412" s="36"/>
      <c r="R1412" s="36"/>
      <c r="S1412" s="36"/>
    </row>
    <row r="1413">
      <c r="A1413" s="34"/>
      <c r="B1413" s="36"/>
      <c r="C1413" s="35"/>
      <c r="D1413" s="35"/>
      <c r="E1413" s="34"/>
      <c r="F1413" s="34"/>
      <c r="G1413" s="34"/>
      <c r="H1413" s="34"/>
      <c r="I1413" s="36"/>
      <c r="J1413" s="34"/>
      <c r="K1413" s="34"/>
      <c r="L1413" s="34"/>
      <c r="M1413" s="36"/>
      <c r="N1413" s="36"/>
      <c r="O1413" s="36"/>
      <c r="P1413" s="36"/>
      <c r="Q1413" s="36"/>
      <c r="R1413" s="36"/>
      <c r="S1413" s="36"/>
    </row>
    <row r="1414">
      <c r="A1414" s="34"/>
      <c r="B1414" s="36"/>
      <c r="C1414" s="35"/>
      <c r="D1414" s="35"/>
      <c r="E1414" s="34"/>
      <c r="F1414" s="34"/>
      <c r="G1414" s="34"/>
      <c r="H1414" s="34"/>
      <c r="I1414" s="36"/>
      <c r="J1414" s="34"/>
      <c r="K1414" s="34"/>
      <c r="L1414" s="34"/>
      <c r="M1414" s="36"/>
      <c r="N1414" s="36"/>
      <c r="O1414" s="36"/>
      <c r="P1414" s="36"/>
      <c r="Q1414" s="36"/>
      <c r="R1414" s="36"/>
      <c r="S1414" s="36"/>
    </row>
    <row r="1415">
      <c r="A1415" s="34"/>
      <c r="B1415" s="34"/>
      <c r="C1415" s="35"/>
      <c r="D1415" s="35"/>
      <c r="E1415" s="34"/>
      <c r="F1415" s="34"/>
      <c r="G1415" s="34"/>
      <c r="H1415" s="34"/>
      <c r="I1415" s="34"/>
      <c r="J1415" s="34"/>
      <c r="K1415" s="34"/>
      <c r="L1415" s="34"/>
      <c r="M1415" s="36"/>
      <c r="N1415" s="36"/>
      <c r="O1415" s="36"/>
      <c r="P1415" s="36"/>
      <c r="Q1415" s="36"/>
      <c r="R1415" s="36"/>
      <c r="S1415" s="36"/>
    </row>
    <row r="1416">
      <c r="A1416" s="34"/>
      <c r="B1416" s="34"/>
      <c r="C1416" s="35"/>
      <c r="D1416" s="35"/>
      <c r="E1416" s="34"/>
      <c r="F1416" s="34"/>
      <c r="G1416" s="34"/>
      <c r="H1416" s="34"/>
      <c r="I1416" s="34"/>
      <c r="J1416" s="34"/>
      <c r="K1416" s="34"/>
      <c r="L1416" s="34"/>
      <c r="M1416" s="36"/>
      <c r="N1416" s="36"/>
      <c r="O1416" s="36"/>
      <c r="P1416" s="36"/>
      <c r="Q1416" s="36"/>
      <c r="R1416" s="36"/>
      <c r="S1416" s="36"/>
    </row>
    <row r="1417">
      <c r="A1417" s="34"/>
      <c r="B1417" s="36"/>
      <c r="C1417" s="35"/>
      <c r="D1417" s="35"/>
      <c r="E1417" s="34"/>
      <c r="F1417" s="34"/>
      <c r="G1417" s="34"/>
      <c r="H1417" s="34"/>
      <c r="I1417" s="36"/>
      <c r="J1417" s="34"/>
      <c r="K1417" s="34"/>
      <c r="L1417" s="34"/>
      <c r="M1417" s="36"/>
      <c r="N1417" s="36"/>
      <c r="O1417" s="36"/>
      <c r="P1417" s="36"/>
      <c r="Q1417" s="36"/>
      <c r="R1417" s="36"/>
      <c r="S1417" s="36"/>
    </row>
    <row r="1418">
      <c r="A1418" s="34"/>
      <c r="B1418" s="36"/>
      <c r="C1418" s="35"/>
      <c r="D1418" s="35"/>
      <c r="E1418" s="34"/>
      <c r="F1418" s="34"/>
      <c r="G1418" s="34"/>
      <c r="H1418" s="34"/>
      <c r="I1418" s="36"/>
      <c r="J1418" s="34"/>
      <c r="K1418" s="34"/>
      <c r="L1418" s="34"/>
      <c r="M1418" s="36"/>
      <c r="N1418" s="36"/>
      <c r="O1418" s="36"/>
      <c r="P1418" s="36"/>
      <c r="Q1418" s="36"/>
      <c r="R1418" s="36"/>
      <c r="S1418" s="36"/>
    </row>
    <row r="1419">
      <c r="A1419" s="34"/>
      <c r="B1419" s="36"/>
      <c r="C1419" s="35"/>
      <c r="D1419" s="35"/>
      <c r="E1419" s="34"/>
      <c r="F1419" s="34"/>
      <c r="G1419" s="34"/>
      <c r="H1419" s="34"/>
      <c r="I1419" s="34"/>
      <c r="J1419" s="34"/>
      <c r="K1419" s="34"/>
      <c r="L1419" s="34"/>
      <c r="M1419" s="36"/>
      <c r="N1419" s="36"/>
      <c r="O1419" s="36"/>
      <c r="P1419" s="36"/>
      <c r="Q1419" s="36"/>
      <c r="R1419" s="36"/>
      <c r="S1419" s="36"/>
    </row>
    <row r="1420">
      <c r="A1420" s="34"/>
      <c r="B1420" s="36"/>
      <c r="C1420" s="35"/>
      <c r="D1420" s="35"/>
      <c r="E1420" s="34"/>
      <c r="F1420" s="34"/>
      <c r="G1420" s="34"/>
      <c r="H1420" s="34"/>
      <c r="I1420" s="36"/>
      <c r="J1420" s="34"/>
      <c r="K1420" s="34"/>
      <c r="L1420" s="34"/>
      <c r="M1420" s="36"/>
      <c r="N1420" s="36"/>
      <c r="O1420" s="36"/>
      <c r="P1420" s="36"/>
      <c r="Q1420" s="36"/>
      <c r="R1420" s="36"/>
      <c r="S1420" s="36"/>
    </row>
    <row r="1421">
      <c r="A1421" s="34"/>
      <c r="B1421" s="36"/>
      <c r="C1421" s="35"/>
      <c r="D1421" s="35"/>
      <c r="E1421" s="34"/>
      <c r="F1421" s="34"/>
      <c r="G1421" s="34"/>
      <c r="H1421" s="34"/>
      <c r="I1421" s="36"/>
      <c r="J1421" s="34"/>
      <c r="K1421" s="34"/>
      <c r="L1421" s="34"/>
      <c r="M1421" s="36"/>
      <c r="N1421" s="36"/>
      <c r="O1421" s="36"/>
      <c r="P1421" s="36"/>
      <c r="Q1421" s="36"/>
      <c r="R1421" s="36"/>
      <c r="S1421" s="36"/>
    </row>
    <row r="1422">
      <c r="A1422" s="34"/>
      <c r="B1422" s="36"/>
      <c r="C1422" s="35"/>
      <c r="D1422" s="35"/>
      <c r="E1422" s="34"/>
      <c r="F1422" s="34"/>
      <c r="G1422" s="34"/>
      <c r="H1422" s="34"/>
      <c r="I1422" s="36"/>
      <c r="J1422" s="34"/>
      <c r="K1422" s="34"/>
      <c r="L1422" s="34"/>
      <c r="M1422" s="36"/>
      <c r="N1422" s="36"/>
      <c r="O1422" s="36"/>
      <c r="P1422" s="36"/>
      <c r="Q1422" s="36"/>
      <c r="R1422" s="36"/>
      <c r="S1422" s="36"/>
    </row>
    <row r="1423">
      <c r="A1423" s="34"/>
      <c r="B1423" s="36"/>
      <c r="C1423" s="35"/>
      <c r="D1423" s="35"/>
      <c r="E1423" s="34"/>
      <c r="F1423" s="34"/>
      <c r="G1423" s="34"/>
      <c r="H1423" s="34"/>
      <c r="I1423" s="36"/>
      <c r="J1423" s="34"/>
      <c r="K1423" s="34"/>
      <c r="L1423" s="34"/>
      <c r="M1423" s="36"/>
      <c r="N1423" s="36"/>
      <c r="O1423" s="36"/>
      <c r="P1423" s="36"/>
      <c r="Q1423" s="36"/>
      <c r="R1423" s="36"/>
      <c r="S1423" s="36"/>
    </row>
    <row r="1424">
      <c r="A1424" s="34"/>
      <c r="B1424" s="36"/>
      <c r="C1424" s="35"/>
      <c r="D1424" s="35"/>
      <c r="E1424" s="34"/>
      <c r="F1424" s="34"/>
      <c r="G1424" s="34"/>
      <c r="H1424" s="34"/>
      <c r="I1424" s="36"/>
      <c r="J1424" s="34"/>
      <c r="K1424" s="34"/>
      <c r="L1424" s="34"/>
      <c r="M1424" s="36"/>
      <c r="N1424" s="36"/>
      <c r="O1424" s="36"/>
      <c r="P1424" s="36"/>
      <c r="Q1424" s="36"/>
      <c r="R1424" s="36"/>
      <c r="S1424" s="36"/>
    </row>
    <row r="1425">
      <c r="A1425" s="34"/>
      <c r="B1425" s="36"/>
      <c r="C1425" s="35"/>
      <c r="D1425" s="35"/>
      <c r="E1425" s="34"/>
      <c r="F1425" s="34"/>
      <c r="G1425" s="34"/>
      <c r="H1425" s="34"/>
      <c r="I1425" s="36"/>
      <c r="J1425" s="34"/>
      <c r="K1425" s="34"/>
      <c r="L1425" s="34"/>
      <c r="M1425" s="36"/>
      <c r="N1425" s="36"/>
      <c r="O1425" s="36"/>
      <c r="P1425" s="36"/>
      <c r="Q1425" s="36"/>
      <c r="R1425" s="36"/>
      <c r="S1425" s="36"/>
    </row>
    <row r="1426">
      <c r="A1426" s="34"/>
      <c r="B1426" s="36"/>
      <c r="C1426" s="35"/>
      <c r="D1426" s="35"/>
      <c r="E1426" s="34"/>
      <c r="F1426" s="34"/>
      <c r="G1426" s="34"/>
      <c r="H1426" s="34"/>
      <c r="I1426" s="36"/>
      <c r="J1426" s="34"/>
      <c r="K1426" s="34"/>
      <c r="L1426" s="34"/>
      <c r="M1426" s="36"/>
      <c r="N1426" s="36"/>
      <c r="O1426" s="36"/>
      <c r="P1426" s="36"/>
      <c r="Q1426" s="36"/>
      <c r="R1426" s="36"/>
      <c r="S1426" s="36"/>
    </row>
    <row r="1427">
      <c r="A1427" s="34"/>
      <c r="B1427" s="36"/>
      <c r="C1427" s="35"/>
      <c r="D1427" s="35"/>
      <c r="E1427" s="34"/>
      <c r="F1427" s="34"/>
      <c r="G1427" s="34"/>
      <c r="H1427" s="34"/>
      <c r="I1427" s="36"/>
      <c r="J1427" s="34"/>
      <c r="K1427" s="34"/>
      <c r="L1427" s="34"/>
      <c r="M1427" s="36"/>
      <c r="N1427" s="36"/>
      <c r="O1427" s="36"/>
      <c r="P1427" s="36"/>
      <c r="Q1427" s="36"/>
      <c r="R1427" s="36"/>
      <c r="S1427" s="36"/>
    </row>
    <row r="1428">
      <c r="A1428" s="34"/>
      <c r="B1428" s="36"/>
      <c r="C1428" s="35"/>
      <c r="D1428" s="35"/>
      <c r="E1428" s="34"/>
      <c r="F1428" s="34"/>
      <c r="G1428" s="34"/>
      <c r="H1428" s="34"/>
      <c r="I1428" s="36"/>
      <c r="J1428" s="34"/>
      <c r="K1428" s="34"/>
      <c r="L1428" s="34"/>
      <c r="M1428" s="36"/>
      <c r="N1428" s="36"/>
      <c r="O1428" s="36"/>
      <c r="P1428" s="36"/>
      <c r="Q1428" s="36"/>
      <c r="R1428" s="36"/>
      <c r="S1428" s="36"/>
    </row>
    <row r="1429">
      <c r="A1429" s="34"/>
      <c r="B1429" s="36"/>
      <c r="C1429" s="35"/>
      <c r="D1429" s="35"/>
      <c r="E1429" s="34"/>
      <c r="F1429" s="34"/>
      <c r="G1429" s="34"/>
      <c r="H1429" s="34"/>
      <c r="I1429" s="36"/>
      <c r="J1429" s="34"/>
      <c r="K1429" s="34"/>
      <c r="L1429" s="34"/>
      <c r="M1429" s="36"/>
      <c r="N1429" s="36"/>
      <c r="O1429" s="36"/>
      <c r="P1429" s="36"/>
      <c r="Q1429" s="36"/>
      <c r="R1429" s="36"/>
      <c r="S1429" s="36"/>
    </row>
    <row r="1430">
      <c r="A1430" s="34"/>
      <c r="B1430" s="36"/>
      <c r="C1430" s="35"/>
      <c r="D1430" s="35"/>
      <c r="E1430" s="34"/>
      <c r="F1430" s="34"/>
      <c r="G1430" s="34"/>
      <c r="H1430" s="34"/>
      <c r="I1430" s="36"/>
      <c r="J1430" s="34"/>
      <c r="K1430" s="34"/>
      <c r="L1430" s="34"/>
      <c r="M1430" s="36"/>
      <c r="N1430" s="36"/>
      <c r="O1430" s="36"/>
      <c r="P1430" s="36"/>
      <c r="Q1430" s="36"/>
      <c r="R1430" s="36"/>
      <c r="S1430" s="36"/>
    </row>
    <row r="1431">
      <c r="A1431" s="34"/>
      <c r="B1431" s="36"/>
      <c r="C1431" s="35"/>
      <c r="D1431" s="35"/>
      <c r="E1431" s="34"/>
      <c r="F1431" s="34"/>
      <c r="G1431" s="34"/>
      <c r="H1431" s="34"/>
      <c r="I1431" s="36"/>
      <c r="J1431" s="34"/>
      <c r="K1431" s="34"/>
      <c r="L1431" s="34"/>
      <c r="M1431" s="36"/>
      <c r="N1431" s="36"/>
      <c r="O1431" s="36"/>
      <c r="P1431" s="36"/>
      <c r="Q1431" s="36"/>
      <c r="R1431" s="36"/>
      <c r="S1431" s="36"/>
    </row>
    <row r="1432">
      <c r="A1432" s="34"/>
      <c r="B1432" s="36"/>
      <c r="C1432" s="35"/>
      <c r="D1432" s="35"/>
      <c r="E1432" s="34"/>
      <c r="F1432" s="34"/>
      <c r="G1432" s="34"/>
      <c r="H1432" s="34"/>
      <c r="I1432" s="36"/>
      <c r="J1432" s="34"/>
      <c r="K1432" s="34"/>
      <c r="L1432" s="34"/>
      <c r="M1432" s="36"/>
      <c r="N1432" s="36"/>
      <c r="O1432" s="36"/>
      <c r="P1432" s="36"/>
      <c r="Q1432" s="36"/>
      <c r="R1432" s="36"/>
      <c r="S1432" s="36"/>
    </row>
    <row r="1433">
      <c r="A1433" s="34"/>
      <c r="B1433" s="36"/>
      <c r="C1433" s="35"/>
      <c r="D1433" s="35"/>
      <c r="E1433" s="34"/>
      <c r="F1433" s="34"/>
      <c r="G1433" s="34"/>
      <c r="H1433" s="34"/>
      <c r="I1433" s="36"/>
      <c r="J1433" s="34"/>
      <c r="K1433" s="34"/>
      <c r="L1433" s="34"/>
      <c r="M1433" s="36"/>
      <c r="N1433" s="36"/>
      <c r="O1433" s="36"/>
      <c r="P1433" s="36"/>
      <c r="Q1433" s="36"/>
      <c r="R1433" s="36"/>
      <c r="S1433" s="36"/>
    </row>
    <row r="1434">
      <c r="A1434" s="34"/>
      <c r="B1434" s="36"/>
      <c r="C1434" s="35"/>
      <c r="D1434" s="35"/>
      <c r="E1434" s="34"/>
      <c r="F1434" s="34"/>
      <c r="G1434" s="34"/>
      <c r="H1434" s="34"/>
      <c r="I1434" s="36"/>
      <c r="J1434" s="34"/>
      <c r="K1434" s="34"/>
      <c r="L1434" s="34"/>
      <c r="M1434" s="36"/>
      <c r="N1434" s="36"/>
      <c r="O1434" s="36"/>
      <c r="P1434" s="36"/>
      <c r="Q1434" s="36"/>
      <c r="R1434" s="36"/>
      <c r="S1434" s="36"/>
    </row>
    <row r="1435">
      <c r="A1435" s="34"/>
      <c r="B1435" s="36"/>
      <c r="C1435" s="35"/>
      <c r="D1435" s="35"/>
      <c r="E1435" s="34"/>
      <c r="F1435" s="34"/>
      <c r="G1435" s="34"/>
      <c r="H1435" s="34"/>
      <c r="I1435" s="36"/>
      <c r="J1435" s="34"/>
      <c r="K1435" s="34"/>
      <c r="L1435" s="34"/>
      <c r="M1435" s="36"/>
      <c r="N1435" s="36"/>
      <c r="O1435" s="36"/>
      <c r="P1435" s="36"/>
      <c r="Q1435" s="36"/>
      <c r="R1435" s="36"/>
      <c r="S1435" s="36"/>
    </row>
    <row r="1436">
      <c r="A1436" s="34"/>
      <c r="B1436" s="36"/>
      <c r="C1436" s="35"/>
      <c r="D1436" s="35"/>
      <c r="E1436" s="34"/>
      <c r="F1436" s="34"/>
      <c r="G1436" s="34"/>
      <c r="H1436" s="34"/>
      <c r="I1436" s="36"/>
      <c r="J1436" s="34"/>
      <c r="K1436" s="34"/>
      <c r="L1436" s="34"/>
      <c r="M1436" s="36"/>
      <c r="N1436" s="36"/>
      <c r="O1436" s="36"/>
      <c r="P1436" s="36"/>
      <c r="Q1436" s="36"/>
      <c r="R1436" s="36"/>
      <c r="S1436" s="36"/>
    </row>
    <row r="1437">
      <c r="A1437" s="34"/>
      <c r="B1437" s="34"/>
      <c r="C1437" s="35"/>
      <c r="D1437" s="35"/>
      <c r="E1437" s="34"/>
      <c r="F1437" s="34"/>
      <c r="G1437" s="34"/>
      <c r="H1437" s="34"/>
      <c r="I1437" s="34"/>
      <c r="J1437" s="34"/>
      <c r="K1437" s="34"/>
      <c r="L1437" s="34"/>
      <c r="M1437" s="36"/>
      <c r="N1437" s="36"/>
      <c r="O1437" s="36"/>
      <c r="P1437" s="36"/>
      <c r="Q1437" s="36"/>
      <c r="R1437" s="36"/>
      <c r="S1437" s="36"/>
    </row>
    <row r="1438">
      <c r="A1438" s="34"/>
      <c r="B1438" s="36"/>
      <c r="C1438" s="35"/>
      <c r="D1438" s="35"/>
      <c r="E1438" s="34"/>
      <c r="F1438" s="34"/>
      <c r="G1438" s="34"/>
      <c r="H1438" s="34"/>
      <c r="I1438" s="34"/>
      <c r="J1438" s="34"/>
      <c r="K1438" s="34"/>
      <c r="L1438" s="34"/>
      <c r="M1438" s="36"/>
      <c r="N1438" s="36"/>
      <c r="O1438" s="36"/>
      <c r="P1438" s="36"/>
      <c r="Q1438" s="36"/>
      <c r="R1438" s="36"/>
      <c r="S1438" s="36"/>
    </row>
    <row r="1439">
      <c r="A1439" s="34"/>
      <c r="B1439" s="36"/>
      <c r="C1439" s="35"/>
      <c r="D1439" s="35"/>
      <c r="E1439" s="34"/>
      <c r="F1439" s="34"/>
      <c r="G1439" s="34"/>
      <c r="H1439" s="34"/>
      <c r="I1439" s="34"/>
      <c r="J1439" s="34"/>
      <c r="K1439" s="34"/>
      <c r="L1439" s="34"/>
      <c r="M1439" s="36"/>
      <c r="N1439" s="36"/>
      <c r="O1439" s="36"/>
      <c r="P1439" s="36"/>
      <c r="Q1439" s="36"/>
      <c r="R1439" s="36"/>
      <c r="S1439" s="36"/>
    </row>
    <row r="1440">
      <c r="A1440" s="34"/>
      <c r="B1440" s="36"/>
      <c r="C1440" s="35"/>
      <c r="D1440" s="35"/>
      <c r="E1440" s="34"/>
      <c r="F1440" s="34"/>
      <c r="G1440" s="34"/>
      <c r="H1440" s="34"/>
      <c r="I1440" s="36"/>
      <c r="J1440" s="34"/>
      <c r="K1440" s="34"/>
      <c r="L1440" s="34"/>
      <c r="M1440" s="36"/>
      <c r="N1440" s="36"/>
      <c r="O1440" s="36"/>
      <c r="P1440" s="36"/>
      <c r="Q1440" s="36"/>
      <c r="R1440" s="36"/>
      <c r="S1440" s="36"/>
    </row>
    <row r="1441">
      <c r="A1441" s="34"/>
      <c r="B1441" s="36"/>
      <c r="C1441" s="35"/>
      <c r="D1441" s="35"/>
      <c r="E1441" s="34"/>
      <c r="F1441" s="34"/>
      <c r="G1441" s="34"/>
      <c r="H1441" s="34"/>
      <c r="I1441" s="36"/>
      <c r="J1441" s="34"/>
      <c r="K1441" s="34"/>
      <c r="L1441" s="34"/>
      <c r="M1441" s="36"/>
      <c r="N1441" s="36"/>
      <c r="O1441" s="36"/>
      <c r="P1441" s="36"/>
      <c r="Q1441" s="36"/>
      <c r="R1441" s="36"/>
      <c r="S1441" s="36"/>
    </row>
    <row r="1442">
      <c r="A1442" s="34"/>
      <c r="B1442" s="34"/>
      <c r="C1442" s="35"/>
      <c r="D1442" s="35"/>
      <c r="E1442" s="34"/>
      <c r="F1442" s="34"/>
      <c r="G1442" s="34"/>
      <c r="H1442" s="34"/>
      <c r="I1442" s="34"/>
      <c r="J1442" s="34"/>
      <c r="K1442" s="34"/>
      <c r="L1442" s="34"/>
      <c r="M1442" s="36"/>
      <c r="N1442" s="36"/>
      <c r="O1442" s="36"/>
      <c r="P1442" s="36"/>
      <c r="Q1442" s="36"/>
      <c r="R1442" s="36"/>
      <c r="S1442" s="36"/>
    </row>
    <row r="1443">
      <c r="A1443" s="34"/>
      <c r="B1443" s="34"/>
      <c r="C1443" s="35"/>
      <c r="D1443" s="35"/>
      <c r="E1443" s="34"/>
      <c r="F1443" s="34"/>
      <c r="G1443" s="34"/>
      <c r="H1443" s="34"/>
      <c r="I1443" s="34"/>
      <c r="J1443" s="34"/>
      <c r="K1443" s="34"/>
      <c r="L1443" s="34"/>
      <c r="M1443" s="36"/>
      <c r="N1443" s="36"/>
      <c r="O1443" s="36"/>
      <c r="P1443" s="36"/>
      <c r="Q1443" s="36"/>
      <c r="R1443" s="36"/>
      <c r="S1443" s="36"/>
    </row>
    <row r="1444">
      <c r="A1444" s="34"/>
      <c r="B1444" s="34"/>
      <c r="C1444" s="35"/>
      <c r="D1444" s="35"/>
      <c r="E1444" s="34"/>
      <c r="F1444" s="34"/>
      <c r="G1444" s="34"/>
      <c r="H1444" s="34"/>
      <c r="I1444" s="34"/>
      <c r="J1444" s="34"/>
      <c r="K1444" s="34"/>
      <c r="L1444" s="34"/>
      <c r="M1444" s="36"/>
      <c r="N1444" s="36"/>
      <c r="O1444" s="36"/>
      <c r="P1444" s="36"/>
      <c r="Q1444" s="36"/>
      <c r="R1444" s="36"/>
      <c r="S1444" s="36"/>
    </row>
    <row r="1445">
      <c r="A1445" s="34"/>
      <c r="B1445" s="34"/>
      <c r="C1445" s="35"/>
      <c r="D1445" s="35"/>
      <c r="E1445" s="34"/>
      <c r="F1445" s="34"/>
      <c r="G1445" s="34"/>
      <c r="H1445" s="34"/>
      <c r="I1445" s="34"/>
      <c r="J1445" s="34"/>
      <c r="K1445" s="34"/>
      <c r="L1445" s="34"/>
      <c r="M1445" s="36"/>
      <c r="N1445" s="36"/>
      <c r="O1445" s="36"/>
      <c r="P1445" s="36"/>
      <c r="Q1445" s="36"/>
      <c r="R1445" s="36"/>
      <c r="S1445" s="36"/>
    </row>
    <row r="1446">
      <c r="A1446" s="34"/>
      <c r="B1446" s="36"/>
      <c r="C1446" s="35"/>
      <c r="D1446" s="35"/>
      <c r="E1446" s="34"/>
      <c r="F1446" s="34"/>
      <c r="G1446" s="34"/>
      <c r="H1446" s="34"/>
      <c r="I1446" s="36"/>
      <c r="J1446" s="34"/>
      <c r="K1446" s="34"/>
      <c r="L1446" s="34"/>
      <c r="M1446" s="36"/>
      <c r="N1446" s="36"/>
      <c r="O1446" s="36"/>
      <c r="P1446" s="36"/>
      <c r="Q1446" s="36"/>
      <c r="R1446" s="36"/>
      <c r="S1446" s="36"/>
    </row>
    <row r="1447">
      <c r="A1447" s="34"/>
      <c r="B1447" s="36"/>
      <c r="C1447" s="35"/>
      <c r="D1447" s="35"/>
      <c r="E1447" s="34"/>
      <c r="F1447" s="34"/>
      <c r="G1447" s="34"/>
      <c r="H1447" s="34"/>
      <c r="I1447" s="36"/>
      <c r="J1447" s="34"/>
      <c r="K1447" s="34"/>
      <c r="L1447" s="34"/>
      <c r="M1447" s="36"/>
      <c r="N1447" s="36"/>
      <c r="O1447" s="36"/>
      <c r="P1447" s="36"/>
      <c r="Q1447" s="36"/>
      <c r="R1447" s="36"/>
      <c r="S1447" s="36"/>
    </row>
    <row r="1448">
      <c r="A1448" s="34"/>
      <c r="B1448" s="34"/>
      <c r="C1448" s="35"/>
      <c r="D1448" s="35"/>
      <c r="E1448" s="34"/>
      <c r="F1448" s="34"/>
      <c r="G1448" s="34"/>
      <c r="H1448" s="34"/>
      <c r="I1448" s="34"/>
      <c r="J1448" s="34"/>
      <c r="K1448" s="34"/>
      <c r="L1448" s="34"/>
      <c r="M1448" s="36"/>
      <c r="N1448" s="36"/>
      <c r="O1448" s="36"/>
      <c r="P1448" s="36"/>
      <c r="Q1448" s="36"/>
      <c r="R1448" s="36"/>
      <c r="S1448" s="36"/>
    </row>
    <row r="1449">
      <c r="A1449" s="34"/>
      <c r="B1449" s="36"/>
      <c r="C1449" s="35"/>
      <c r="D1449" s="35"/>
      <c r="E1449" s="34"/>
      <c r="F1449" s="34"/>
      <c r="G1449" s="34"/>
      <c r="H1449" s="34"/>
      <c r="I1449" s="36"/>
      <c r="J1449" s="34"/>
      <c r="K1449" s="34"/>
      <c r="L1449" s="34"/>
      <c r="M1449" s="36"/>
      <c r="N1449" s="36"/>
      <c r="O1449" s="36"/>
      <c r="P1449" s="36"/>
      <c r="Q1449" s="36"/>
      <c r="R1449" s="36"/>
      <c r="S1449" s="36"/>
    </row>
    <row r="1450">
      <c r="A1450" s="34"/>
      <c r="B1450" s="36"/>
      <c r="C1450" s="35"/>
      <c r="D1450" s="35"/>
      <c r="E1450" s="34"/>
      <c r="F1450" s="34"/>
      <c r="G1450" s="34"/>
      <c r="H1450" s="34"/>
      <c r="I1450" s="36"/>
      <c r="J1450" s="34"/>
      <c r="K1450" s="34"/>
      <c r="L1450" s="34"/>
      <c r="M1450" s="36"/>
      <c r="N1450" s="36"/>
      <c r="O1450" s="36"/>
      <c r="P1450" s="36"/>
      <c r="Q1450" s="36"/>
      <c r="R1450" s="36"/>
      <c r="S1450" s="36"/>
    </row>
    <row r="1451">
      <c r="A1451" s="34"/>
      <c r="B1451" s="36"/>
      <c r="C1451" s="35"/>
      <c r="D1451" s="35"/>
      <c r="E1451" s="34"/>
      <c r="F1451" s="34"/>
      <c r="G1451" s="34"/>
      <c r="H1451" s="34"/>
      <c r="I1451" s="36"/>
      <c r="J1451" s="34"/>
      <c r="K1451" s="34"/>
      <c r="L1451" s="34"/>
      <c r="M1451" s="36"/>
      <c r="N1451" s="36"/>
      <c r="O1451" s="36"/>
      <c r="P1451" s="36"/>
      <c r="Q1451" s="36"/>
      <c r="R1451" s="36"/>
      <c r="S1451" s="36"/>
    </row>
    <row r="1452">
      <c r="A1452" s="34"/>
      <c r="B1452" s="36"/>
      <c r="C1452" s="35"/>
      <c r="D1452" s="35"/>
      <c r="E1452" s="34"/>
      <c r="F1452" s="34"/>
      <c r="G1452" s="34"/>
      <c r="H1452" s="34"/>
      <c r="I1452" s="34"/>
      <c r="J1452" s="34"/>
      <c r="K1452" s="34"/>
      <c r="L1452" s="34"/>
      <c r="M1452" s="36"/>
      <c r="N1452" s="36"/>
      <c r="O1452" s="36"/>
      <c r="P1452" s="36"/>
      <c r="Q1452" s="36"/>
      <c r="R1452" s="36"/>
      <c r="S1452" s="36"/>
    </row>
    <row r="1453">
      <c r="A1453" s="34"/>
      <c r="B1453" s="34"/>
      <c r="C1453" s="35"/>
      <c r="D1453" s="35"/>
      <c r="E1453" s="34"/>
      <c r="F1453" s="34"/>
      <c r="G1453" s="34"/>
      <c r="H1453" s="34"/>
      <c r="I1453" s="34"/>
      <c r="J1453" s="34"/>
      <c r="K1453" s="34"/>
      <c r="L1453" s="34"/>
      <c r="M1453" s="36"/>
      <c r="N1453" s="36"/>
      <c r="O1453" s="36"/>
      <c r="P1453" s="36"/>
      <c r="Q1453" s="36"/>
      <c r="R1453" s="36"/>
      <c r="S1453" s="36"/>
    </row>
    <row r="1454">
      <c r="A1454" s="34"/>
      <c r="B1454" s="34"/>
      <c r="C1454" s="35"/>
      <c r="D1454" s="35"/>
      <c r="E1454" s="34"/>
      <c r="F1454" s="34"/>
      <c r="G1454" s="34"/>
      <c r="H1454" s="34"/>
      <c r="I1454" s="34"/>
      <c r="J1454" s="34"/>
      <c r="K1454" s="34"/>
      <c r="L1454" s="34"/>
      <c r="M1454" s="36"/>
      <c r="N1454" s="36"/>
      <c r="O1454" s="36"/>
      <c r="P1454" s="36"/>
      <c r="Q1454" s="36"/>
      <c r="R1454" s="36"/>
      <c r="S1454" s="36"/>
    </row>
    <row r="1455">
      <c r="A1455" s="34"/>
      <c r="B1455" s="36"/>
      <c r="C1455" s="35"/>
      <c r="D1455" s="35"/>
      <c r="E1455" s="34"/>
      <c r="F1455" s="34"/>
      <c r="G1455" s="34"/>
      <c r="H1455" s="34"/>
      <c r="I1455" s="36"/>
      <c r="J1455" s="34"/>
      <c r="K1455" s="34"/>
      <c r="L1455" s="34"/>
      <c r="M1455" s="36"/>
      <c r="N1455" s="36"/>
      <c r="O1455" s="36"/>
      <c r="P1455" s="36"/>
      <c r="Q1455" s="36"/>
      <c r="R1455" s="36"/>
      <c r="S1455" s="36"/>
    </row>
    <row r="1456">
      <c r="A1456" s="34"/>
      <c r="B1456" s="36"/>
      <c r="C1456" s="35"/>
      <c r="D1456" s="35"/>
      <c r="E1456" s="34"/>
      <c r="F1456" s="34"/>
      <c r="G1456" s="34"/>
      <c r="H1456" s="34"/>
      <c r="I1456" s="36"/>
      <c r="J1456" s="34"/>
      <c r="K1456" s="34"/>
      <c r="L1456" s="34"/>
      <c r="M1456" s="36"/>
      <c r="N1456" s="36"/>
      <c r="O1456" s="36"/>
      <c r="P1456" s="36"/>
      <c r="Q1456" s="36"/>
      <c r="R1456" s="36"/>
      <c r="S1456" s="36"/>
    </row>
    <row r="1457">
      <c r="A1457" s="34"/>
      <c r="B1457" s="36"/>
      <c r="C1457" s="35"/>
      <c r="D1457" s="35"/>
      <c r="E1457" s="34"/>
      <c r="F1457" s="34"/>
      <c r="G1457" s="34"/>
      <c r="H1457" s="34"/>
      <c r="I1457" s="34"/>
      <c r="J1457" s="34"/>
      <c r="K1457" s="34"/>
      <c r="L1457" s="34"/>
      <c r="M1457" s="36"/>
      <c r="N1457" s="36"/>
      <c r="O1457" s="36"/>
      <c r="P1457" s="36"/>
      <c r="Q1457" s="36"/>
      <c r="R1457" s="36"/>
      <c r="S1457" s="36"/>
    </row>
    <row r="1458">
      <c r="A1458" s="34"/>
      <c r="B1458" s="36"/>
      <c r="C1458" s="35"/>
      <c r="D1458" s="35"/>
      <c r="E1458" s="34"/>
      <c r="F1458" s="34"/>
      <c r="G1458" s="34"/>
      <c r="H1458" s="34"/>
      <c r="I1458" s="36"/>
      <c r="J1458" s="34"/>
      <c r="K1458" s="34"/>
      <c r="L1458" s="34"/>
      <c r="M1458" s="36"/>
      <c r="N1458" s="36"/>
      <c r="O1458" s="36"/>
      <c r="P1458" s="36"/>
      <c r="Q1458" s="36"/>
      <c r="R1458" s="36"/>
      <c r="S1458" s="36"/>
    </row>
    <row r="1459">
      <c r="A1459" s="34"/>
      <c r="B1459" s="34"/>
      <c r="C1459" s="35"/>
      <c r="D1459" s="35"/>
      <c r="E1459" s="34"/>
      <c r="F1459" s="34"/>
      <c r="G1459" s="34"/>
      <c r="H1459" s="34"/>
      <c r="I1459" s="34"/>
      <c r="J1459" s="34"/>
      <c r="K1459" s="34"/>
      <c r="L1459" s="34"/>
      <c r="M1459" s="36"/>
      <c r="N1459" s="36"/>
      <c r="O1459" s="36"/>
      <c r="P1459" s="36"/>
      <c r="Q1459" s="36"/>
      <c r="R1459" s="36"/>
      <c r="S1459" s="36"/>
    </row>
    <row r="1460">
      <c r="A1460" s="34"/>
      <c r="B1460" s="36"/>
      <c r="C1460" s="35"/>
      <c r="D1460" s="35"/>
      <c r="E1460" s="34"/>
      <c r="F1460" s="34"/>
      <c r="G1460" s="34"/>
      <c r="H1460" s="34"/>
      <c r="I1460" s="36"/>
      <c r="J1460" s="34"/>
      <c r="K1460" s="34"/>
      <c r="L1460" s="34"/>
      <c r="M1460" s="36"/>
      <c r="N1460" s="36"/>
      <c r="O1460" s="36"/>
      <c r="P1460" s="36"/>
      <c r="Q1460" s="36"/>
      <c r="R1460" s="36"/>
      <c r="S1460" s="36"/>
    </row>
    <row r="1461">
      <c r="A1461" s="34"/>
      <c r="B1461" s="34"/>
      <c r="C1461" s="35"/>
      <c r="D1461" s="35"/>
      <c r="E1461" s="34"/>
      <c r="F1461" s="34"/>
      <c r="G1461" s="34"/>
      <c r="H1461" s="34"/>
      <c r="I1461" s="34"/>
      <c r="J1461" s="34"/>
      <c r="K1461" s="34"/>
      <c r="L1461" s="34"/>
      <c r="M1461" s="36"/>
      <c r="N1461" s="36"/>
      <c r="O1461" s="36"/>
      <c r="P1461" s="36"/>
      <c r="Q1461" s="36"/>
      <c r="R1461" s="36"/>
      <c r="S1461" s="36"/>
    </row>
    <row r="1462">
      <c r="A1462" s="34"/>
      <c r="B1462" s="36"/>
      <c r="C1462" s="35"/>
      <c r="D1462" s="35"/>
      <c r="E1462" s="34"/>
      <c r="F1462" s="34"/>
      <c r="G1462" s="34"/>
      <c r="H1462" s="34"/>
      <c r="I1462" s="36"/>
      <c r="J1462" s="34"/>
      <c r="K1462" s="34"/>
      <c r="L1462" s="34"/>
      <c r="M1462" s="36"/>
      <c r="N1462" s="36"/>
      <c r="O1462" s="36"/>
      <c r="P1462" s="36"/>
      <c r="Q1462" s="36"/>
      <c r="R1462" s="36"/>
      <c r="S1462" s="36"/>
    </row>
    <row r="1463">
      <c r="A1463" s="34"/>
      <c r="B1463" s="36"/>
      <c r="C1463" s="35"/>
      <c r="D1463" s="35"/>
      <c r="E1463" s="34"/>
      <c r="F1463" s="34"/>
      <c r="G1463" s="34"/>
      <c r="H1463" s="34"/>
      <c r="I1463" s="36"/>
      <c r="J1463" s="34"/>
      <c r="K1463" s="34"/>
      <c r="L1463" s="34"/>
      <c r="M1463" s="36"/>
      <c r="N1463" s="36"/>
      <c r="O1463" s="36"/>
      <c r="P1463" s="36"/>
      <c r="Q1463" s="36"/>
      <c r="R1463" s="36"/>
      <c r="S1463" s="36"/>
    </row>
    <row r="1464">
      <c r="A1464" s="34"/>
      <c r="B1464" s="34"/>
      <c r="C1464" s="35"/>
      <c r="D1464" s="35"/>
      <c r="E1464" s="34"/>
      <c r="F1464" s="34"/>
      <c r="G1464" s="34"/>
      <c r="H1464" s="34"/>
      <c r="I1464" s="34"/>
      <c r="J1464" s="34"/>
      <c r="K1464" s="34"/>
      <c r="L1464" s="34"/>
      <c r="M1464" s="36"/>
      <c r="N1464" s="36"/>
      <c r="O1464" s="36"/>
      <c r="P1464" s="36"/>
      <c r="Q1464" s="36"/>
      <c r="R1464" s="36"/>
      <c r="S1464" s="36"/>
    </row>
    <row r="1465">
      <c r="A1465" s="34"/>
      <c r="B1465" s="34"/>
      <c r="C1465" s="35"/>
      <c r="D1465" s="35"/>
      <c r="E1465" s="34"/>
      <c r="F1465" s="34"/>
      <c r="G1465" s="34"/>
      <c r="H1465" s="34"/>
      <c r="I1465" s="34"/>
      <c r="J1465" s="34"/>
      <c r="K1465" s="34"/>
      <c r="L1465" s="34"/>
      <c r="M1465" s="36"/>
      <c r="N1465" s="36"/>
      <c r="O1465" s="36"/>
      <c r="P1465" s="36"/>
      <c r="Q1465" s="36"/>
      <c r="R1465" s="36"/>
      <c r="S1465" s="36"/>
    </row>
    <row r="1466">
      <c r="A1466" s="34"/>
      <c r="B1466" s="36"/>
      <c r="C1466" s="35"/>
      <c r="D1466" s="35"/>
      <c r="E1466" s="34"/>
      <c r="F1466" s="34"/>
      <c r="G1466" s="34"/>
      <c r="H1466" s="34"/>
      <c r="I1466" s="34"/>
      <c r="J1466" s="34"/>
      <c r="K1466" s="34"/>
      <c r="L1466" s="34"/>
      <c r="M1466" s="36"/>
      <c r="N1466" s="36"/>
      <c r="O1466" s="36"/>
      <c r="P1466" s="36"/>
      <c r="Q1466" s="36"/>
      <c r="R1466" s="36"/>
      <c r="S1466" s="36"/>
    </row>
    <row r="1467">
      <c r="A1467" s="34"/>
      <c r="B1467" s="34"/>
      <c r="C1467" s="35"/>
      <c r="D1467" s="35"/>
      <c r="E1467" s="34"/>
      <c r="F1467" s="34"/>
      <c r="G1467" s="34"/>
      <c r="H1467" s="34"/>
      <c r="I1467" s="34"/>
      <c r="J1467" s="34"/>
      <c r="K1467" s="34"/>
      <c r="L1467" s="34"/>
      <c r="M1467" s="36"/>
      <c r="N1467" s="36"/>
      <c r="O1467" s="36"/>
      <c r="P1467" s="36"/>
      <c r="Q1467" s="36"/>
      <c r="R1467" s="36"/>
      <c r="S1467" s="36"/>
    </row>
    <row r="1468">
      <c r="A1468" s="34"/>
      <c r="B1468" s="34"/>
      <c r="C1468" s="35"/>
      <c r="D1468" s="35"/>
      <c r="E1468" s="34"/>
      <c r="F1468" s="34"/>
      <c r="G1468" s="34"/>
      <c r="H1468" s="34"/>
      <c r="I1468" s="34"/>
      <c r="J1468" s="34"/>
      <c r="K1468" s="34"/>
      <c r="L1468" s="34"/>
      <c r="M1468" s="36"/>
      <c r="N1468" s="36"/>
      <c r="O1468" s="36"/>
      <c r="P1468" s="36"/>
      <c r="Q1468" s="36"/>
      <c r="R1468" s="36"/>
      <c r="S1468" s="36"/>
    </row>
    <row r="1469">
      <c r="A1469" s="34"/>
      <c r="B1469" s="36"/>
      <c r="C1469" s="35"/>
      <c r="D1469" s="35"/>
      <c r="E1469" s="34"/>
      <c r="F1469" s="34"/>
      <c r="G1469" s="34"/>
      <c r="H1469" s="34"/>
      <c r="I1469" s="36"/>
      <c r="J1469" s="34"/>
      <c r="K1469" s="34"/>
      <c r="L1469" s="34"/>
      <c r="M1469" s="36"/>
      <c r="N1469" s="36"/>
      <c r="O1469" s="36"/>
      <c r="P1469" s="36"/>
      <c r="Q1469" s="36"/>
      <c r="R1469" s="36"/>
      <c r="S1469" s="36"/>
    </row>
    <row r="1470">
      <c r="A1470" s="34"/>
      <c r="B1470" s="36"/>
      <c r="C1470" s="35"/>
      <c r="D1470" s="35"/>
      <c r="E1470" s="34"/>
      <c r="F1470" s="34"/>
      <c r="G1470" s="34"/>
      <c r="H1470" s="34"/>
      <c r="I1470" s="36"/>
      <c r="J1470" s="34"/>
      <c r="K1470" s="34"/>
      <c r="L1470" s="34"/>
      <c r="M1470" s="36"/>
      <c r="N1470" s="36"/>
      <c r="O1470" s="36"/>
      <c r="P1470" s="36"/>
      <c r="Q1470" s="36"/>
      <c r="R1470" s="36"/>
      <c r="S1470" s="36"/>
    </row>
    <row r="1471">
      <c r="A1471" s="34"/>
      <c r="B1471" s="36"/>
      <c r="C1471" s="35"/>
      <c r="D1471" s="35"/>
      <c r="E1471" s="34"/>
      <c r="F1471" s="34"/>
      <c r="G1471" s="34"/>
      <c r="H1471" s="34"/>
      <c r="I1471" s="36"/>
      <c r="J1471" s="34"/>
      <c r="K1471" s="34"/>
      <c r="L1471" s="34"/>
      <c r="M1471" s="36"/>
      <c r="N1471" s="36"/>
      <c r="O1471" s="36"/>
      <c r="P1471" s="36"/>
      <c r="Q1471" s="36"/>
      <c r="R1471" s="36"/>
      <c r="S1471" s="36"/>
    </row>
    <row r="1472">
      <c r="A1472" s="34"/>
      <c r="B1472" s="36"/>
      <c r="C1472" s="35"/>
      <c r="D1472" s="35"/>
      <c r="E1472" s="34"/>
      <c r="F1472" s="34"/>
      <c r="G1472" s="34"/>
      <c r="H1472" s="34"/>
      <c r="I1472" s="36"/>
      <c r="J1472" s="34"/>
      <c r="K1472" s="34"/>
      <c r="L1472" s="34"/>
      <c r="M1472" s="36"/>
      <c r="N1472" s="36"/>
      <c r="O1472" s="36"/>
      <c r="P1472" s="36"/>
      <c r="Q1472" s="36"/>
      <c r="R1472" s="36"/>
      <c r="S1472" s="36"/>
    </row>
    <row r="1473">
      <c r="A1473" s="34"/>
      <c r="B1473" s="34"/>
      <c r="C1473" s="35"/>
      <c r="D1473" s="35"/>
      <c r="E1473" s="34"/>
      <c r="F1473" s="34"/>
      <c r="G1473" s="34"/>
      <c r="H1473" s="34"/>
      <c r="I1473" s="34"/>
      <c r="J1473" s="34"/>
      <c r="K1473" s="34"/>
      <c r="L1473" s="34"/>
      <c r="M1473" s="36"/>
      <c r="N1473" s="36"/>
      <c r="O1473" s="36"/>
      <c r="P1473" s="36"/>
      <c r="Q1473" s="36"/>
      <c r="R1473" s="36"/>
      <c r="S1473" s="36"/>
    </row>
    <row r="1474">
      <c r="A1474" s="34"/>
      <c r="B1474" s="34"/>
      <c r="C1474" s="35"/>
      <c r="D1474" s="35"/>
      <c r="E1474" s="34"/>
      <c r="F1474" s="34"/>
      <c r="G1474" s="34"/>
      <c r="H1474" s="34"/>
      <c r="I1474" s="34"/>
      <c r="J1474" s="34"/>
      <c r="K1474" s="34"/>
      <c r="L1474" s="34"/>
      <c r="M1474" s="36"/>
      <c r="N1474" s="36"/>
      <c r="O1474" s="36"/>
      <c r="P1474" s="36"/>
      <c r="Q1474" s="36"/>
      <c r="R1474" s="36"/>
      <c r="S1474" s="36"/>
    </row>
    <row r="1475">
      <c r="A1475" s="34"/>
      <c r="B1475" s="34"/>
      <c r="C1475" s="35"/>
      <c r="D1475" s="35"/>
      <c r="E1475" s="34"/>
      <c r="F1475" s="34"/>
      <c r="G1475" s="34"/>
      <c r="H1475" s="34"/>
      <c r="I1475" s="34"/>
      <c r="J1475" s="34"/>
      <c r="K1475" s="34"/>
      <c r="L1475" s="34"/>
      <c r="M1475" s="36"/>
      <c r="N1475" s="36"/>
      <c r="O1475" s="36"/>
      <c r="P1475" s="36"/>
      <c r="Q1475" s="36"/>
      <c r="R1475" s="36"/>
      <c r="S1475" s="36"/>
    </row>
    <row r="1476">
      <c r="A1476" s="34"/>
      <c r="B1476" s="34"/>
      <c r="C1476" s="35"/>
      <c r="D1476" s="35"/>
      <c r="E1476" s="34"/>
      <c r="F1476" s="34"/>
      <c r="G1476" s="34"/>
      <c r="H1476" s="34"/>
      <c r="I1476" s="34"/>
      <c r="J1476" s="34"/>
      <c r="K1476" s="34"/>
      <c r="L1476" s="34"/>
      <c r="M1476" s="36"/>
      <c r="N1476" s="36"/>
      <c r="O1476" s="36"/>
      <c r="P1476" s="36"/>
      <c r="Q1476" s="36"/>
      <c r="R1476" s="36"/>
      <c r="S1476" s="36"/>
    </row>
    <row r="1477">
      <c r="A1477" s="34"/>
      <c r="B1477" s="34"/>
      <c r="C1477" s="35"/>
      <c r="D1477" s="35"/>
      <c r="E1477" s="34"/>
      <c r="F1477" s="34"/>
      <c r="G1477" s="34"/>
      <c r="H1477" s="34"/>
      <c r="I1477" s="34"/>
      <c r="J1477" s="34"/>
      <c r="K1477" s="34"/>
      <c r="L1477" s="34"/>
      <c r="M1477" s="36"/>
      <c r="N1477" s="36"/>
      <c r="O1477" s="36"/>
      <c r="P1477" s="36"/>
      <c r="Q1477" s="36"/>
      <c r="R1477" s="36"/>
      <c r="S1477" s="36"/>
    </row>
    <row r="1478">
      <c r="A1478" s="34"/>
      <c r="B1478" s="36"/>
      <c r="C1478" s="35"/>
      <c r="D1478" s="35"/>
      <c r="E1478" s="34"/>
      <c r="F1478" s="34"/>
      <c r="G1478" s="34"/>
      <c r="H1478" s="34"/>
      <c r="I1478" s="36"/>
      <c r="J1478" s="34"/>
      <c r="K1478" s="34"/>
      <c r="L1478" s="34"/>
      <c r="M1478" s="36"/>
      <c r="N1478" s="36"/>
      <c r="O1478" s="36"/>
      <c r="P1478" s="36"/>
      <c r="Q1478" s="36"/>
      <c r="R1478" s="36"/>
      <c r="S1478" s="36"/>
    </row>
    <row r="1479">
      <c r="A1479" s="34"/>
      <c r="B1479" s="34"/>
      <c r="C1479" s="35"/>
      <c r="D1479" s="35"/>
      <c r="E1479" s="34"/>
      <c r="F1479" s="34"/>
      <c r="G1479" s="34"/>
      <c r="H1479" s="34"/>
      <c r="I1479" s="34"/>
      <c r="J1479" s="34"/>
      <c r="K1479" s="34"/>
      <c r="L1479" s="34"/>
      <c r="M1479" s="36"/>
      <c r="N1479" s="36"/>
      <c r="O1479" s="36"/>
      <c r="P1479" s="36"/>
      <c r="Q1479" s="36"/>
      <c r="R1479" s="36"/>
      <c r="S1479" s="36"/>
    </row>
    <row r="1480">
      <c r="A1480" s="34"/>
      <c r="B1480" s="34"/>
      <c r="C1480" s="35"/>
      <c r="D1480" s="35"/>
      <c r="E1480" s="34"/>
      <c r="F1480" s="34"/>
      <c r="G1480" s="34"/>
      <c r="H1480" s="34"/>
      <c r="I1480" s="34"/>
      <c r="J1480" s="34"/>
      <c r="K1480" s="34"/>
      <c r="L1480" s="34"/>
      <c r="M1480" s="36"/>
      <c r="N1480" s="36"/>
      <c r="O1480" s="36"/>
      <c r="P1480" s="36"/>
      <c r="Q1480" s="36"/>
      <c r="R1480" s="36"/>
      <c r="S1480" s="36"/>
    </row>
    <row r="1481">
      <c r="A1481" s="34"/>
      <c r="B1481" s="34"/>
      <c r="C1481" s="35"/>
      <c r="D1481" s="35"/>
      <c r="E1481" s="34"/>
      <c r="F1481" s="34"/>
      <c r="G1481" s="34"/>
      <c r="H1481" s="34"/>
      <c r="I1481" s="34"/>
      <c r="J1481" s="34"/>
      <c r="K1481" s="34"/>
      <c r="L1481" s="34"/>
      <c r="M1481" s="36"/>
      <c r="N1481" s="36"/>
      <c r="O1481" s="36"/>
      <c r="P1481" s="36"/>
      <c r="Q1481" s="36"/>
      <c r="R1481" s="36"/>
      <c r="S1481" s="36"/>
    </row>
    <row r="1482">
      <c r="A1482" s="34"/>
      <c r="B1482" s="34"/>
      <c r="C1482" s="35"/>
      <c r="D1482" s="35"/>
      <c r="E1482" s="34"/>
      <c r="F1482" s="34"/>
      <c r="G1482" s="34"/>
      <c r="H1482" s="34"/>
      <c r="I1482" s="34"/>
      <c r="J1482" s="34"/>
      <c r="K1482" s="34"/>
      <c r="L1482" s="34"/>
      <c r="M1482" s="36"/>
      <c r="N1482" s="36"/>
      <c r="O1482" s="36"/>
      <c r="P1482" s="36"/>
      <c r="Q1482" s="36"/>
      <c r="R1482" s="36"/>
      <c r="S1482" s="36"/>
    </row>
    <row r="1483">
      <c r="A1483" s="34"/>
      <c r="B1483" s="36"/>
      <c r="C1483" s="35"/>
      <c r="D1483" s="35"/>
      <c r="E1483" s="34"/>
      <c r="F1483" s="34"/>
      <c r="G1483" s="34"/>
      <c r="H1483" s="34"/>
      <c r="I1483" s="34"/>
      <c r="J1483" s="34"/>
      <c r="K1483" s="34"/>
      <c r="L1483" s="34"/>
      <c r="M1483" s="36"/>
      <c r="N1483" s="36"/>
      <c r="O1483" s="36"/>
      <c r="P1483" s="36"/>
      <c r="Q1483" s="36"/>
      <c r="R1483" s="36"/>
      <c r="S1483" s="36"/>
    </row>
    <row r="1484">
      <c r="A1484" s="34"/>
      <c r="B1484" s="36"/>
      <c r="C1484" s="35"/>
      <c r="D1484" s="35"/>
      <c r="E1484" s="34"/>
      <c r="F1484" s="34"/>
      <c r="G1484" s="34"/>
      <c r="H1484" s="34"/>
      <c r="I1484" s="36"/>
      <c r="J1484" s="34"/>
      <c r="K1484" s="34"/>
      <c r="L1484" s="34"/>
      <c r="M1484" s="36"/>
      <c r="N1484" s="36"/>
      <c r="O1484" s="36"/>
      <c r="P1484" s="36"/>
      <c r="Q1484" s="36"/>
      <c r="R1484" s="36"/>
      <c r="S1484" s="36"/>
    </row>
    <row r="1485">
      <c r="A1485" s="34"/>
      <c r="B1485" s="34"/>
      <c r="C1485" s="35"/>
      <c r="D1485" s="35"/>
      <c r="E1485" s="34"/>
      <c r="F1485" s="34"/>
      <c r="G1485" s="34"/>
      <c r="H1485" s="34"/>
      <c r="I1485" s="34"/>
      <c r="J1485" s="34"/>
      <c r="K1485" s="34"/>
      <c r="L1485" s="34"/>
      <c r="M1485" s="36"/>
      <c r="N1485" s="36"/>
      <c r="O1485" s="36"/>
      <c r="P1485" s="36"/>
      <c r="Q1485" s="36"/>
      <c r="R1485" s="36"/>
      <c r="S1485" s="36"/>
    </row>
    <row r="1486">
      <c r="A1486" s="34"/>
      <c r="B1486" s="34"/>
      <c r="C1486" s="35"/>
      <c r="D1486" s="35"/>
      <c r="E1486" s="34"/>
      <c r="F1486" s="34"/>
      <c r="G1486" s="34"/>
      <c r="H1486" s="34"/>
      <c r="I1486" s="34"/>
      <c r="J1486" s="34"/>
      <c r="K1486" s="34"/>
      <c r="L1486" s="34"/>
      <c r="M1486" s="36"/>
      <c r="N1486" s="36"/>
      <c r="O1486" s="36"/>
      <c r="P1486" s="36"/>
      <c r="Q1486" s="36"/>
      <c r="R1486" s="36"/>
      <c r="S1486" s="36"/>
    </row>
    <row r="1487">
      <c r="A1487" s="34"/>
      <c r="B1487" s="36"/>
      <c r="C1487" s="35"/>
      <c r="D1487" s="35"/>
      <c r="E1487" s="34"/>
      <c r="F1487" s="34"/>
      <c r="G1487" s="34"/>
      <c r="H1487" s="34"/>
      <c r="I1487" s="36"/>
      <c r="J1487" s="34"/>
      <c r="K1487" s="34"/>
      <c r="L1487" s="34"/>
      <c r="M1487" s="36"/>
      <c r="N1487" s="36"/>
      <c r="O1487" s="36"/>
      <c r="P1487" s="36"/>
      <c r="Q1487" s="36"/>
      <c r="R1487" s="36"/>
      <c r="S1487" s="36"/>
    </row>
    <row r="1488">
      <c r="A1488" s="34"/>
      <c r="B1488" s="36"/>
      <c r="C1488" s="35"/>
      <c r="D1488" s="35"/>
      <c r="E1488" s="34"/>
      <c r="F1488" s="34"/>
      <c r="G1488" s="34"/>
      <c r="H1488" s="34"/>
      <c r="I1488" s="36"/>
      <c r="J1488" s="34"/>
      <c r="K1488" s="34"/>
      <c r="L1488" s="34"/>
      <c r="M1488" s="36"/>
      <c r="N1488" s="36"/>
      <c r="O1488" s="36"/>
      <c r="P1488" s="36"/>
      <c r="Q1488" s="36"/>
      <c r="R1488" s="36"/>
      <c r="S1488" s="36"/>
    </row>
    <row r="1489">
      <c r="A1489" s="34"/>
      <c r="B1489" s="36"/>
      <c r="C1489" s="35"/>
      <c r="D1489" s="35"/>
      <c r="E1489" s="34"/>
      <c r="F1489" s="34"/>
      <c r="G1489" s="34"/>
      <c r="H1489" s="34"/>
      <c r="I1489" s="36"/>
      <c r="J1489" s="34"/>
      <c r="K1489" s="34"/>
      <c r="L1489" s="34"/>
      <c r="M1489" s="36"/>
      <c r="N1489" s="36"/>
      <c r="O1489" s="36"/>
      <c r="P1489" s="36"/>
      <c r="Q1489" s="36"/>
      <c r="R1489" s="36"/>
      <c r="S1489" s="36"/>
    </row>
    <row r="1490">
      <c r="A1490" s="34"/>
      <c r="B1490" s="34"/>
      <c r="C1490" s="35"/>
      <c r="D1490" s="35"/>
      <c r="E1490" s="34"/>
      <c r="F1490" s="34"/>
      <c r="G1490" s="34"/>
      <c r="H1490" s="34"/>
      <c r="I1490" s="34"/>
      <c r="J1490" s="34"/>
      <c r="K1490" s="34"/>
      <c r="L1490" s="34"/>
      <c r="M1490" s="36"/>
      <c r="N1490" s="36"/>
      <c r="O1490" s="36"/>
      <c r="P1490" s="36"/>
      <c r="Q1490" s="36"/>
      <c r="R1490" s="36"/>
      <c r="S1490" s="36"/>
    </row>
    <row r="1491">
      <c r="A1491" s="34"/>
      <c r="B1491" s="36"/>
      <c r="C1491" s="35"/>
      <c r="D1491" s="35"/>
      <c r="E1491" s="34"/>
      <c r="F1491" s="34"/>
      <c r="G1491" s="34"/>
      <c r="H1491" s="34"/>
      <c r="I1491" s="36"/>
      <c r="J1491" s="34"/>
      <c r="K1491" s="34"/>
      <c r="L1491" s="34"/>
      <c r="M1491" s="36"/>
      <c r="N1491" s="36"/>
      <c r="O1491" s="36"/>
      <c r="P1491" s="36"/>
      <c r="Q1491" s="36"/>
      <c r="R1491" s="36"/>
      <c r="S1491" s="36"/>
    </row>
    <row r="1492">
      <c r="A1492" s="34"/>
      <c r="B1492" s="34"/>
      <c r="C1492" s="35"/>
      <c r="D1492" s="35"/>
      <c r="E1492" s="34"/>
      <c r="F1492" s="34"/>
      <c r="G1492" s="34"/>
      <c r="H1492" s="34"/>
      <c r="I1492" s="34"/>
      <c r="J1492" s="34"/>
      <c r="K1492" s="34"/>
      <c r="L1492" s="34"/>
      <c r="M1492" s="36"/>
      <c r="N1492" s="36"/>
      <c r="O1492" s="36"/>
      <c r="P1492" s="36"/>
      <c r="Q1492" s="36"/>
      <c r="R1492" s="36"/>
      <c r="S1492" s="36"/>
    </row>
    <row r="1493">
      <c r="A1493" s="34"/>
      <c r="B1493" s="34"/>
      <c r="C1493" s="35"/>
      <c r="D1493" s="35"/>
      <c r="E1493" s="34"/>
      <c r="F1493" s="34"/>
      <c r="G1493" s="34"/>
      <c r="H1493" s="34"/>
      <c r="I1493" s="34"/>
      <c r="J1493" s="34"/>
      <c r="K1493" s="34"/>
      <c r="L1493" s="34"/>
      <c r="M1493" s="36"/>
      <c r="N1493" s="36"/>
      <c r="O1493" s="36"/>
      <c r="P1493" s="36"/>
      <c r="Q1493" s="36"/>
      <c r="R1493" s="36"/>
      <c r="S1493" s="36"/>
    </row>
    <row r="1494">
      <c r="A1494" s="34"/>
      <c r="B1494" s="34"/>
      <c r="C1494" s="35"/>
      <c r="D1494" s="35"/>
      <c r="E1494" s="34"/>
      <c r="F1494" s="34"/>
      <c r="G1494" s="34"/>
      <c r="H1494" s="34"/>
      <c r="I1494" s="34"/>
      <c r="J1494" s="34"/>
      <c r="K1494" s="34"/>
      <c r="L1494" s="34"/>
      <c r="M1494" s="36"/>
      <c r="N1494" s="36"/>
      <c r="O1494" s="36"/>
      <c r="P1494" s="36"/>
      <c r="Q1494" s="36"/>
      <c r="R1494" s="36"/>
      <c r="S1494" s="36"/>
    </row>
    <row r="1495">
      <c r="A1495" s="34"/>
      <c r="B1495" s="36"/>
      <c r="C1495" s="35"/>
      <c r="D1495" s="35"/>
      <c r="E1495" s="34"/>
      <c r="F1495" s="34"/>
      <c r="G1495" s="34"/>
      <c r="H1495" s="34"/>
      <c r="I1495" s="36"/>
      <c r="J1495" s="34"/>
      <c r="K1495" s="34"/>
      <c r="L1495" s="34"/>
      <c r="M1495" s="36"/>
      <c r="N1495" s="36"/>
      <c r="O1495" s="36"/>
      <c r="P1495" s="36"/>
      <c r="Q1495" s="36"/>
      <c r="R1495" s="36"/>
      <c r="S1495" s="36"/>
    </row>
    <row r="1496">
      <c r="A1496" s="34"/>
      <c r="B1496" s="36"/>
      <c r="C1496" s="35"/>
      <c r="D1496" s="35"/>
      <c r="E1496" s="34"/>
      <c r="F1496" s="34"/>
      <c r="G1496" s="34"/>
      <c r="H1496" s="34"/>
      <c r="I1496" s="34"/>
      <c r="J1496" s="34"/>
      <c r="K1496" s="34"/>
      <c r="L1496" s="34"/>
      <c r="M1496" s="36"/>
      <c r="N1496" s="36"/>
      <c r="O1496" s="36"/>
      <c r="P1496" s="36"/>
      <c r="Q1496" s="36"/>
      <c r="R1496" s="36"/>
      <c r="S1496" s="36"/>
    </row>
    <row r="1497">
      <c r="A1497" s="34"/>
      <c r="B1497" s="36"/>
      <c r="C1497" s="35"/>
      <c r="D1497" s="35"/>
      <c r="E1497" s="34"/>
      <c r="F1497" s="34"/>
      <c r="G1497" s="34"/>
      <c r="H1497" s="34"/>
      <c r="I1497" s="36"/>
      <c r="J1497" s="34"/>
      <c r="K1497" s="34"/>
      <c r="L1497" s="34"/>
      <c r="M1497" s="36"/>
      <c r="N1497" s="36"/>
      <c r="O1497" s="36"/>
      <c r="P1497" s="36"/>
      <c r="Q1497" s="36"/>
      <c r="R1497" s="36"/>
      <c r="S1497" s="36"/>
    </row>
    <row r="1498">
      <c r="A1498" s="34"/>
      <c r="B1498" s="36"/>
      <c r="C1498" s="35"/>
      <c r="D1498" s="35"/>
      <c r="E1498" s="34"/>
      <c r="F1498" s="34"/>
      <c r="G1498" s="34"/>
      <c r="H1498" s="34"/>
      <c r="I1498" s="36"/>
      <c r="J1498" s="34"/>
      <c r="K1498" s="34"/>
      <c r="L1498" s="34"/>
      <c r="M1498" s="36"/>
      <c r="N1498" s="36"/>
      <c r="O1498" s="36"/>
      <c r="P1498" s="36"/>
      <c r="Q1498" s="36"/>
      <c r="R1498" s="36"/>
      <c r="S1498" s="36"/>
    </row>
    <row r="1499">
      <c r="A1499" s="34"/>
      <c r="B1499" s="36"/>
      <c r="C1499" s="35"/>
      <c r="D1499" s="35"/>
      <c r="E1499" s="34"/>
      <c r="F1499" s="34"/>
      <c r="G1499" s="34"/>
      <c r="H1499" s="34"/>
      <c r="I1499" s="36"/>
      <c r="J1499" s="34"/>
      <c r="K1499" s="34"/>
      <c r="L1499" s="34"/>
      <c r="M1499" s="36"/>
      <c r="N1499" s="36"/>
      <c r="O1499" s="36"/>
      <c r="P1499" s="36"/>
      <c r="Q1499" s="36"/>
      <c r="R1499" s="36"/>
      <c r="S1499" s="36"/>
    </row>
    <row r="1500">
      <c r="A1500" s="34"/>
      <c r="B1500" s="36"/>
      <c r="C1500" s="35"/>
      <c r="D1500" s="35"/>
      <c r="E1500" s="34"/>
      <c r="F1500" s="34"/>
      <c r="G1500" s="34"/>
      <c r="H1500" s="34"/>
      <c r="I1500" s="36"/>
      <c r="J1500" s="34"/>
      <c r="K1500" s="34"/>
      <c r="L1500" s="34"/>
      <c r="M1500" s="36"/>
      <c r="N1500" s="36"/>
      <c r="O1500" s="36"/>
      <c r="P1500" s="36"/>
      <c r="Q1500" s="36"/>
      <c r="R1500" s="36"/>
      <c r="S1500" s="36"/>
    </row>
    <row r="1501">
      <c r="A1501" s="34"/>
      <c r="B1501" s="34"/>
      <c r="C1501" s="35"/>
      <c r="D1501" s="35"/>
      <c r="E1501" s="34"/>
      <c r="F1501" s="34"/>
      <c r="G1501" s="34"/>
      <c r="H1501" s="34"/>
      <c r="I1501" s="34"/>
      <c r="J1501" s="34"/>
      <c r="K1501" s="34"/>
      <c r="L1501" s="34"/>
      <c r="M1501" s="36"/>
      <c r="N1501" s="36"/>
      <c r="O1501" s="36"/>
      <c r="P1501" s="36"/>
      <c r="Q1501" s="36"/>
      <c r="R1501" s="36"/>
      <c r="S1501" s="36"/>
    </row>
    <row r="1502">
      <c r="A1502" s="34"/>
      <c r="B1502" s="36"/>
      <c r="C1502" s="35"/>
      <c r="D1502" s="35"/>
      <c r="E1502" s="34"/>
      <c r="F1502" s="34"/>
      <c r="G1502" s="34"/>
      <c r="H1502" s="34"/>
      <c r="I1502" s="36"/>
      <c r="J1502" s="34"/>
      <c r="K1502" s="34"/>
      <c r="L1502" s="34"/>
      <c r="M1502" s="36"/>
      <c r="N1502" s="36"/>
      <c r="O1502" s="36"/>
      <c r="P1502" s="36"/>
      <c r="Q1502" s="36"/>
      <c r="R1502" s="36"/>
      <c r="S1502" s="36"/>
    </row>
    <row r="1503">
      <c r="A1503" s="34"/>
      <c r="B1503" s="36"/>
      <c r="C1503" s="35"/>
      <c r="D1503" s="35"/>
      <c r="E1503" s="34"/>
      <c r="F1503" s="34"/>
      <c r="G1503" s="34"/>
      <c r="H1503" s="34"/>
      <c r="I1503" s="36"/>
      <c r="J1503" s="34"/>
      <c r="K1503" s="34"/>
      <c r="L1503" s="34"/>
      <c r="M1503" s="36"/>
      <c r="N1503" s="36"/>
      <c r="O1503" s="36"/>
      <c r="P1503" s="36"/>
      <c r="Q1503" s="36"/>
      <c r="R1503" s="36"/>
      <c r="S1503" s="36"/>
    </row>
    <row r="1504">
      <c r="A1504" s="34"/>
      <c r="B1504" s="36"/>
      <c r="C1504" s="35"/>
      <c r="D1504" s="35"/>
      <c r="E1504" s="34"/>
      <c r="F1504" s="34"/>
      <c r="G1504" s="34"/>
      <c r="H1504" s="34"/>
      <c r="I1504" s="36"/>
      <c r="J1504" s="34"/>
      <c r="K1504" s="34"/>
      <c r="L1504" s="34"/>
      <c r="M1504" s="36"/>
      <c r="N1504" s="36"/>
      <c r="O1504" s="36"/>
      <c r="P1504" s="36"/>
      <c r="Q1504" s="36"/>
      <c r="R1504" s="36"/>
      <c r="S1504" s="36"/>
    </row>
    <row r="1505">
      <c r="A1505" s="34"/>
      <c r="B1505" s="36"/>
      <c r="C1505" s="35"/>
      <c r="D1505" s="35"/>
      <c r="E1505" s="34"/>
      <c r="F1505" s="34"/>
      <c r="G1505" s="34"/>
      <c r="H1505" s="34"/>
      <c r="I1505" s="34"/>
      <c r="J1505" s="34"/>
      <c r="K1505" s="34"/>
      <c r="L1505" s="34"/>
      <c r="M1505" s="36"/>
      <c r="N1505" s="36"/>
      <c r="O1505" s="36"/>
      <c r="P1505" s="36"/>
      <c r="Q1505" s="36"/>
      <c r="R1505" s="36"/>
      <c r="S1505" s="36"/>
    </row>
    <row r="1506">
      <c r="A1506" s="34"/>
      <c r="B1506" s="36"/>
      <c r="C1506" s="35"/>
      <c r="D1506" s="35"/>
      <c r="E1506" s="34"/>
      <c r="F1506" s="34"/>
      <c r="G1506" s="34"/>
      <c r="H1506" s="34"/>
      <c r="I1506" s="36"/>
      <c r="J1506" s="34"/>
      <c r="K1506" s="34"/>
      <c r="L1506" s="34"/>
      <c r="M1506" s="36"/>
      <c r="N1506" s="36"/>
      <c r="O1506" s="36"/>
      <c r="P1506" s="36"/>
      <c r="Q1506" s="36"/>
      <c r="R1506" s="36"/>
      <c r="S1506" s="36"/>
    </row>
    <row r="1507">
      <c r="A1507" s="34"/>
      <c r="B1507" s="36"/>
      <c r="C1507" s="35"/>
      <c r="D1507" s="35"/>
      <c r="E1507" s="34"/>
      <c r="F1507" s="34"/>
      <c r="G1507" s="34"/>
      <c r="H1507" s="34"/>
      <c r="I1507" s="36"/>
      <c r="J1507" s="34"/>
      <c r="K1507" s="34"/>
      <c r="L1507" s="34"/>
      <c r="M1507" s="36"/>
      <c r="N1507" s="36"/>
      <c r="O1507" s="36"/>
      <c r="P1507" s="36"/>
      <c r="Q1507" s="36"/>
      <c r="R1507" s="36"/>
      <c r="S1507" s="36"/>
    </row>
    <row r="1508">
      <c r="A1508" s="34"/>
      <c r="B1508" s="36"/>
      <c r="C1508" s="35"/>
      <c r="D1508" s="35"/>
      <c r="E1508" s="34"/>
      <c r="F1508" s="34"/>
      <c r="G1508" s="34"/>
      <c r="H1508" s="34"/>
      <c r="I1508" s="34"/>
      <c r="J1508" s="34"/>
      <c r="K1508" s="34"/>
      <c r="L1508" s="34"/>
      <c r="M1508" s="36"/>
      <c r="N1508" s="36"/>
      <c r="O1508" s="36"/>
      <c r="P1508" s="36"/>
      <c r="Q1508" s="36"/>
      <c r="R1508" s="36"/>
      <c r="S1508" s="36"/>
    </row>
    <row r="1509">
      <c r="A1509" s="34"/>
      <c r="B1509" s="36"/>
      <c r="C1509" s="35"/>
      <c r="D1509" s="35"/>
      <c r="E1509" s="34"/>
      <c r="F1509" s="34"/>
      <c r="G1509" s="34"/>
      <c r="H1509" s="34"/>
      <c r="I1509" s="36"/>
      <c r="J1509" s="34"/>
      <c r="K1509" s="34"/>
      <c r="L1509" s="34"/>
      <c r="M1509" s="36"/>
      <c r="N1509" s="36"/>
      <c r="O1509" s="36"/>
      <c r="P1509" s="36"/>
      <c r="Q1509" s="36"/>
      <c r="R1509" s="36"/>
      <c r="S1509" s="36"/>
    </row>
    <row r="1510">
      <c r="A1510" s="34"/>
      <c r="B1510" s="36"/>
      <c r="C1510" s="35"/>
      <c r="D1510" s="35"/>
      <c r="E1510" s="34"/>
      <c r="F1510" s="34"/>
      <c r="G1510" s="34"/>
      <c r="H1510" s="34"/>
      <c r="I1510" s="34"/>
      <c r="J1510" s="34"/>
      <c r="K1510" s="34"/>
      <c r="L1510" s="34"/>
      <c r="M1510" s="36"/>
      <c r="N1510" s="36"/>
      <c r="O1510" s="36"/>
      <c r="P1510" s="36"/>
      <c r="Q1510" s="36"/>
      <c r="R1510" s="36"/>
      <c r="S1510" s="36"/>
    </row>
    <row r="1511">
      <c r="A1511" s="34"/>
      <c r="B1511" s="36"/>
      <c r="C1511" s="35"/>
      <c r="D1511" s="35"/>
      <c r="E1511" s="34"/>
      <c r="F1511" s="34"/>
      <c r="G1511" s="34"/>
      <c r="H1511" s="34"/>
      <c r="I1511" s="36"/>
      <c r="J1511" s="34"/>
      <c r="K1511" s="34"/>
      <c r="L1511" s="34"/>
      <c r="M1511" s="36"/>
      <c r="N1511" s="36"/>
      <c r="O1511" s="36"/>
      <c r="P1511" s="36"/>
      <c r="Q1511" s="36"/>
      <c r="R1511" s="36"/>
      <c r="S1511" s="36"/>
    </row>
    <row r="1512">
      <c r="A1512" s="34"/>
      <c r="B1512" s="36"/>
      <c r="C1512" s="35"/>
      <c r="D1512" s="35"/>
      <c r="E1512" s="34"/>
      <c r="F1512" s="34"/>
      <c r="G1512" s="34"/>
      <c r="H1512" s="34"/>
      <c r="I1512" s="36"/>
      <c r="J1512" s="34"/>
      <c r="K1512" s="34"/>
      <c r="L1512" s="34"/>
      <c r="M1512" s="36"/>
      <c r="N1512" s="36"/>
      <c r="O1512" s="36"/>
      <c r="P1512" s="36"/>
      <c r="Q1512" s="36"/>
      <c r="R1512" s="36"/>
      <c r="S1512" s="36"/>
    </row>
    <row r="1513">
      <c r="A1513" s="34"/>
      <c r="B1513" s="36"/>
      <c r="C1513" s="35"/>
      <c r="D1513" s="35"/>
      <c r="E1513" s="34"/>
      <c r="F1513" s="34"/>
      <c r="G1513" s="34"/>
      <c r="H1513" s="34"/>
      <c r="I1513" s="36"/>
      <c r="J1513" s="34"/>
      <c r="K1513" s="34"/>
      <c r="L1513" s="34"/>
      <c r="M1513" s="36"/>
      <c r="N1513" s="36"/>
      <c r="O1513" s="36"/>
      <c r="P1513" s="36"/>
      <c r="Q1513" s="36"/>
      <c r="R1513" s="36"/>
      <c r="S1513" s="36"/>
    </row>
    <row r="1514">
      <c r="A1514" s="34"/>
      <c r="B1514" s="36"/>
      <c r="C1514" s="35"/>
      <c r="D1514" s="35"/>
      <c r="E1514" s="34"/>
      <c r="F1514" s="34"/>
      <c r="G1514" s="34"/>
      <c r="H1514" s="34"/>
      <c r="I1514" s="36"/>
      <c r="J1514" s="34"/>
      <c r="K1514" s="34"/>
      <c r="L1514" s="34"/>
      <c r="M1514" s="36"/>
      <c r="N1514" s="36"/>
      <c r="O1514" s="36"/>
      <c r="P1514" s="36"/>
      <c r="Q1514" s="36"/>
      <c r="R1514" s="36"/>
      <c r="S1514" s="36"/>
    </row>
    <row r="1515">
      <c r="A1515" s="34"/>
      <c r="B1515" s="36"/>
      <c r="C1515" s="35"/>
      <c r="D1515" s="35"/>
      <c r="E1515" s="34"/>
      <c r="F1515" s="34"/>
      <c r="G1515" s="34"/>
      <c r="H1515" s="34"/>
      <c r="I1515" s="36"/>
      <c r="J1515" s="34"/>
      <c r="K1515" s="34"/>
      <c r="L1515" s="34"/>
      <c r="M1515" s="36"/>
      <c r="N1515" s="36"/>
      <c r="O1515" s="36"/>
      <c r="P1515" s="36"/>
      <c r="Q1515" s="36"/>
      <c r="R1515" s="36"/>
      <c r="S1515" s="36"/>
    </row>
    <row r="1516">
      <c r="A1516" s="34"/>
      <c r="B1516" s="36"/>
      <c r="C1516" s="35"/>
      <c r="D1516" s="35"/>
      <c r="E1516" s="34"/>
      <c r="F1516" s="34"/>
      <c r="G1516" s="34"/>
      <c r="H1516" s="34"/>
      <c r="I1516" s="34"/>
      <c r="J1516" s="34"/>
      <c r="K1516" s="34"/>
      <c r="L1516" s="34"/>
      <c r="M1516" s="36"/>
      <c r="N1516" s="36"/>
      <c r="O1516" s="36"/>
      <c r="P1516" s="36"/>
      <c r="Q1516" s="36"/>
      <c r="R1516" s="36"/>
      <c r="S1516" s="36"/>
    </row>
    <row r="1517">
      <c r="A1517" s="34"/>
      <c r="B1517" s="36"/>
      <c r="C1517" s="35"/>
      <c r="D1517" s="35"/>
      <c r="E1517" s="34"/>
      <c r="F1517" s="34"/>
      <c r="G1517" s="34"/>
      <c r="H1517" s="34"/>
      <c r="I1517" s="36"/>
      <c r="J1517" s="34"/>
      <c r="K1517" s="34"/>
      <c r="L1517" s="34"/>
      <c r="M1517" s="36"/>
      <c r="N1517" s="36"/>
      <c r="O1517" s="36"/>
      <c r="P1517" s="36"/>
      <c r="Q1517" s="36"/>
      <c r="R1517" s="36"/>
      <c r="S1517" s="36"/>
    </row>
    <row r="1518">
      <c r="A1518" s="34"/>
      <c r="B1518" s="36"/>
      <c r="C1518" s="35"/>
      <c r="D1518" s="35"/>
      <c r="E1518" s="34"/>
      <c r="F1518" s="34"/>
      <c r="G1518" s="34"/>
      <c r="H1518" s="34"/>
      <c r="I1518" s="34"/>
      <c r="J1518" s="34"/>
      <c r="K1518" s="34"/>
      <c r="L1518" s="34"/>
      <c r="M1518" s="36"/>
      <c r="N1518" s="36"/>
      <c r="O1518" s="36"/>
      <c r="P1518" s="36"/>
      <c r="Q1518" s="36"/>
      <c r="R1518" s="36"/>
      <c r="S1518" s="36"/>
    </row>
    <row r="1519">
      <c r="A1519" s="34"/>
      <c r="B1519" s="36"/>
      <c r="C1519" s="35"/>
      <c r="D1519" s="35"/>
      <c r="E1519" s="34"/>
      <c r="F1519" s="34"/>
      <c r="G1519" s="34"/>
      <c r="H1519" s="34"/>
      <c r="I1519" s="36"/>
      <c r="J1519" s="34"/>
      <c r="K1519" s="34"/>
      <c r="L1519" s="34"/>
      <c r="M1519" s="36"/>
      <c r="N1519" s="36"/>
      <c r="O1519" s="36"/>
      <c r="P1519" s="36"/>
      <c r="Q1519" s="36"/>
      <c r="R1519" s="36"/>
      <c r="S1519" s="36"/>
    </row>
    <row r="1520">
      <c r="A1520" s="34"/>
      <c r="B1520" s="36"/>
      <c r="C1520" s="35"/>
      <c r="D1520" s="35"/>
      <c r="E1520" s="34"/>
      <c r="F1520" s="34"/>
      <c r="G1520" s="34"/>
      <c r="H1520" s="34"/>
      <c r="I1520" s="34"/>
      <c r="J1520" s="34"/>
      <c r="K1520" s="34"/>
      <c r="L1520" s="34"/>
      <c r="M1520" s="36"/>
      <c r="N1520" s="36"/>
      <c r="O1520" s="36"/>
      <c r="P1520" s="36"/>
      <c r="Q1520" s="36"/>
      <c r="R1520" s="36"/>
      <c r="S1520" s="36"/>
    </row>
    <row r="1521">
      <c r="A1521" s="34"/>
      <c r="B1521" s="36"/>
      <c r="C1521" s="35"/>
      <c r="D1521" s="35"/>
      <c r="E1521" s="34"/>
      <c r="F1521" s="34"/>
      <c r="G1521" s="34"/>
      <c r="H1521" s="34"/>
      <c r="I1521" s="36"/>
      <c r="J1521" s="34"/>
      <c r="K1521" s="34"/>
      <c r="L1521" s="34"/>
      <c r="M1521" s="36"/>
      <c r="N1521" s="36"/>
      <c r="O1521" s="36"/>
      <c r="P1521" s="36"/>
      <c r="Q1521" s="36"/>
      <c r="R1521" s="36"/>
      <c r="S1521" s="36"/>
    </row>
    <row r="1522">
      <c r="A1522" s="34"/>
      <c r="B1522" s="36"/>
      <c r="C1522" s="35"/>
      <c r="D1522" s="35"/>
      <c r="E1522" s="34"/>
      <c r="F1522" s="34"/>
      <c r="G1522" s="34"/>
      <c r="H1522" s="34"/>
      <c r="I1522" s="36"/>
      <c r="J1522" s="34"/>
      <c r="K1522" s="34"/>
      <c r="L1522" s="34"/>
      <c r="M1522" s="36"/>
      <c r="N1522" s="36"/>
      <c r="O1522" s="36"/>
      <c r="P1522" s="36"/>
      <c r="Q1522" s="36"/>
      <c r="R1522" s="36"/>
      <c r="S1522" s="36"/>
    </row>
    <row r="1523">
      <c r="A1523" s="34"/>
      <c r="B1523" s="36"/>
      <c r="C1523" s="35"/>
      <c r="D1523" s="35"/>
      <c r="E1523" s="34"/>
      <c r="F1523" s="34"/>
      <c r="G1523" s="34"/>
      <c r="H1523" s="34"/>
      <c r="I1523" s="36"/>
      <c r="J1523" s="34"/>
      <c r="K1523" s="34"/>
      <c r="L1523" s="34"/>
      <c r="M1523" s="36"/>
      <c r="N1523" s="36"/>
      <c r="O1523" s="36"/>
      <c r="P1523" s="36"/>
      <c r="Q1523" s="36"/>
      <c r="R1523" s="36"/>
      <c r="S1523" s="36"/>
    </row>
    <row r="1524">
      <c r="A1524" s="34"/>
      <c r="B1524" s="36"/>
      <c r="C1524" s="35"/>
      <c r="D1524" s="35"/>
      <c r="E1524" s="34"/>
      <c r="F1524" s="34"/>
      <c r="G1524" s="34"/>
      <c r="H1524" s="34"/>
      <c r="I1524" s="34"/>
      <c r="J1524" s="34"/>
      <c r="K1524" s="34"/>
      <c r="L1524" s="34"/>
      <c r="M1524" s="36"/>
      <c r="N1524" s="36"/>
      <c r="O1524" s="36"/>
      <c r="P1524" s="36"/>
      <c r="Q1524" s="36"/>
      <c r="R1524" s="36"/>
      <c r="S1524" s="36"/>
    </row>
    <row r="1525">
      <c r="A1525" s="34"/>
      <c r="B1525" s="36"/>
      <c r="C1525" s="35"/>
      <c r="D1525" s="35"/>
      <c r="E1525" s="34"/>
      <c r="F1525" s="34"/>
      <c r="G1525" s="34"/>
      <c r="H1525" s="34"/>
      <c r="I1525" s="34"/>
      <c r="J1525" s="34"/>
      <c r="K1525" s="34"/>
      <c r="L1525" s="34"/>
      <c r="M1525" s="36"/>
      <c r="N1525" s="36"/>
      <c r="O1525" s="36"/>
      <c r="P1525" s="36"/>
      <c r="Q1525" s="36"/>
      <c r="R1525" s="36"/>
      <c r="S1525" s="36"/>
    </row>
    <row r="1526">
      <c r="A1526" s="34"/>
      <c r="B1526" s="36"/>
      <c r="C1526" s="35"/>
      <c r="D1526" s="35"/>
      <c r="E1526" s="34"/>
      <c r="F1526" s="34"/>
      <c r="G1526" s="34"/>
      <c r="H1526" s="34"/>
      <c r="I1526" s="36"/>
      <c r="J1526" s="34"/>
      <c r="K1526" s="34"/>
      <c r="L1526" s="34"/>
      <c r="M1526" s="36"/>
      <c r="N1526" s="36"/>
      <c r="O1526" s="36"/>
      <c r="P1526" s="36"/>
      <c r="Q1526" s="36"/>
      <c r="R1526" s="36"/>
      <c r="S1526" s="36"/>
    </row>
    <row r="1527">
      <c r="A1527" s="34"/>
      <c r="B1527" s="34"/>
      <c r="C1527" s="35"/>
      <c r="D1527" s="35"/>
      <c r="E1527" s="34"/>
      <c r="F1527" s="34"/>
      <c r="G1527" s="34"/>
      <c r="H1527" s="34"/>
      <c r="I1527" s="34"/>
      <c r="J1527" s="34"/>
      <c r="K1527" s="34"/>
      <c r="L1527" s="34"/>
      <c r="M1527" s="36"/>
      <c r="N1527" s="36"/>
      <c r="O1527" s="36"/>
      <c r="P1527" s="36"/>
      <c r="Q1527" s="36"/>
      <c r="R1527" s="36"/>
      <c r="S1527" s="36"/>
    </row>
    <row r="1528">
      <c r="A1528" s="34"/>
      <c r="B1528" s="36"/>
      <c r="C1528" s="35"/>
      <c r="D1528" s="35"/>
      <c r="E1528" s="34"/>
      <c r="F1528" s="34"/>
      <c r="G1528" s="34"/>
      <c r="H1528" s="34"/>
      <c r="I1528" s="36"/>
      <c r="J1528" s="34"/>
      <c r="K1528" s="34"/>
      <c r="L1528" s="34"/>
      <c r="M1528" s="36"/>
      <c r="N1528" s="36"/>
      <c r="O1528" s="36"/>
      <c r="P1528" s="36"/>
      <c r="Q1528" s="36"/>
      <c r="R1528" s="36"/>
      <c r="S1528" s="36"/>
    </row>
    <row r="1529">
      <c r="A1529" s="34"/>
      <c r="B1529" s="34"/>
      <c r="C1529" s="35"/>
      <c r="D1529" s="35"/>
      <c r="E1529" s="34"/>
      <c r="F1529" s="34"/>
      <c r="G1529" s="34"/>
      <c r="H1529" s="34"/>
      <c r="I1529" s="34"/>
      <c r="J1529" s="34"/>
      <c r="K1529" s="34"/>
      <c r="L1529" s="34"/>
      <c r="M1529" s="36"/>
      <c r="N1529" s="36"/>
      <c r="O1529" s="36"/>
      <c r="P1529" s="36"/>
      <c r="Q1529" s="36"/>
      <c r="R1529" s="36"/>
      <c r="S1529" s="36"/>
    </row>
    <row r="1530">
      <c r="A1530" s="34"/>
      <c r="B1530" s="36"/>
      <c r="C1530" s="35"/>
      <c r="D1530" s="35"/>
      <c r="E1530" s="34"/>
      <c r="F1530" s="34"/>
      <c r="G1530" s="34"/>
      <c r="H1530" s="34"/>
      <c r="I1530" s="36"/>
      <c r="J1530" s="34"/>
      <c r="K1530" s="34"/>
      <c r="L1530" s="34"/>
      <c r="M1530" s="36"/>
      <c r="N1530" s="36"/>
      <c r="O1530" s="36"/>
      <c r="P1530" s="36"/>
      <c r="Q1530" s="36"/>
      <c r="R1530" s="36"/>
      <c r="S1530" s="36"/>
    </row>
    <row r="1531">
      <c r="A1531" s="34"/>
      <c r="B1531" s="36"/>
      <c r="C1531" s="35"/>
      <c r="D1531" s="35"/>
      <c r="E1531" s="34"/>
      <c r="F1531" s="34"/>
      <c r="G1531" s="34"/>
      <c r="H1531" s="34"/>
      <c r="I1531" s="36"/>
      <c r="J1531" s="34"/>
      <c r="K1531" s="34"/>
      <c r="L1531" s="34"/>
      <c r="M1531" s="36"/>
      <c r="N1531" s="36"/>
      <c r="O1531" s="36"/>
      <c r="P1531" s="36"/>
      <c r="Q1531" s="36"/>
      <c r="R1531" s="36"/>
      <c r="S1531" s="36"/>
    </row>
    <row r="1532">
      <c r="A1532" s="34"/>
      <c r="B1532" s="36"/>
      <c r="C1532" s="35"/>
      <c r="D1532" s="35"/>
      <c r="E1532" s="34"/>
      <c r="F1532" s="34"/>
      <c r="G1532" s="34"/>
      <c r="H1532" s="34"/>
      <c r="I1532" s="36"/>
      <c r="J1532" s="34"/>
      <c r="K1532" s="34"/>
      <c r="L1532" s="34"/>
      <c r="M1532" s="36"/>
      <c r="N1532" s="36"/>
      <c r="O1532" s="36"/>
      <c r="P1532" s="36"/>
      <c r="Q1532" s="36"/>
      <c r="R1532" s="36"/>
      <c r="S1532" s="36"/>
    </row>
    <row r="1533">
      <c r="A1533" s="34"/>
      <c r="B1533" s="36"/>
      <c r="C1533" s="35"/>
      <c r="D1533" s="35"/>
      <c r="E1533" s="34"/>
      <c r="F1533" s="34"/>
      <c r="G1533" s="34"/>
      <c r="H1533" s="34"/>
      <c r="I1533" s="36"/>
      <c r="J1533" s="34"/>
      <c r="K1533" s="34"/>
      <c r="L1533" s="34"/>
      <c r="M1533" s="36"/>
      <c r="N1533" s="36"/>
      <c r="O1533" s="36"/>
      <c r="P1533" s="36"/>
      <c r="Q1533" s="36"/>
      <c r="R1533" s="36"/>
      <c r="S1533" s="36"/>
    </row>
    <row r="1534">
      <c r="A1534" s="34"/>
      <c r="B1534" s="36"/>
      <c r="C1534" s="35"/>
      <c r="D1534" s="35"/>
      <c r="E1534" s="34"/>
      <c r="F1534" s="34"/>
      <c r="G1534" s="34"/>
      <c r="H1534" s="34"/>
      <c r="I1534" s="36"/>
      <c r="J1534" s="34"/>
      <c r="K1534" s="34"/>
      <c r="L1534" s="34"/>
      <c r="M1534" s="36"/>
      <c r="N1534" s="36"/>
      <c r="O1534" s="36"/>
      <c r="P1534" s="36"/>
      <c r="Q1534" s="36"/>
      <c r="R1534" s="36"/>
      <c r="S1534" s="36"/>
    </row>
    <row r="1535">
      <c r="A1535" s="34"/>
      <c r="B1535" s="34"/>
      <c r="C1535" s="35"/>
      <c r="D1535" s="35"/>
      <c r="E1535" s="34"/>
      <c r="F1535" s="34"/>
      <c r="G1535" s="34"/>
      <c r="H1535" s="34"/>
      <c r="I1535" s="34"/>
      <c r="J1535" s="34"/>
      <c r="K1535" s="34"/>
      <c r="L1535" s="34"/>
      <c r="M1535" s="36"/>
      <c r="N1535" s="36"/>
      <c r="O1535" s="36"/>
      <c r="P1535" s="36"/>
      <c r="Q1535" s="36"/>
      <c r="R1535" s="36"/>
      <c r="S1535" s="36"/>
    </row>
    <row r="1536">
      <c r="A1536" s="34"/>
      <c r="B1536" s="34"/>
      <c r="C1536" s="35"/>
      <c r="D1536" s="35"/>
      <c r="E1536" s="34"/>
      <c r="F1536" s="34"/>
      <c r="G1536" s="34"/>
      <c r="H1536" s="34"/>
      <c r="I1536" s="34"/>
      <c r="J1536" s="34"/>
      <c r="K1536" s="34"/>
      <c r="L1536" s="34"/>
      <c r="M1536" s="36"/>
      <c r="N1536" s="36"/>
      <c r="O1536" s="36"/>
      <c r="P1536" s="36"/>
      <c r="Q1536" s="36"/>
      <c r="R1536" s="36"/>
      <c r="S1536" s="36"/>
    </row>
    <row r="1537">
      <c r="A1537" s="34"/>
      <c r="B1537" s="34"/>
      <c r="C1537" s="35"/>
      <c r="D1537" s="35"/>
      <c r="E1537" s="34"/>
      <c r="F1537" s="34"/>
      <c r="G1537" s="34"/>
      <c r="H1537" s="34"/>
      <c r="I1537" s="34"/>
      <c r="J1537" s="34"/>
      <c r="K1537" s="34"/>
      <c r="L1537" s="34"/>
      <c r="M1537" s="36"/>
      <c r="N1537" s="36"/>
      <c r="O1537" s="36"/>
      <c r="P1537" s="36"/>
      <c r="Q1537" s="36"/>
      <c r="R1537" s="36"/>
      <c r="S1537" s="36"/>
    </row>
    <row r="1538">
      <c r="A1538" s="34"/>
      <c r="B1538" s="36"/>
      <c r="C1538" s="35"/>
      <c r="D1538" s="35"/>
      <c r="E1538" s="34"/>
      <c r="F1538" s="34"/>
      <c r="G1538" s="34"/>
      <c r="H1538" s="34"/>
      <c r="I1538" s="34"/>
      <c r="J1538" s="34"/>
      <c r="K1538" s="34"/>
      <c r="L1538" s="34"/>
      <c r="M1538" s="36"/>
      <c r="N1538" s="36"/>
      <c r="O1538" s="36"/>
      <c r="P1538" s="36"/>
      <c r="Q1538" s="36"/>
      <c r="R1538" s="36"/>
      <c r="S1538" s="36"/>
    </row>
    <row r="1539">
      <c r="A1539" s="34"/>
      <c r="B1539" s="36"/>
      <c r="C1539" s="35"/>
      <c r="D1539" s="35"/>
      <c r="E1539" s="34"/>
      <c r="F1539" s="34"/>
      <c r="G1539" s="34"/>
      <c r="H1539" s="34"/>
      <c r="I1539" s="34"/>
      <c r="J1539" s="34"/>
      <c r="K1539" s="34"/>
      <c r="L1539" s="34"/>
      <c r="M1539" s="36"/>
      <c r="N1539" s="36"/>
      <c r="O1539" s="36"/>
      <c r="P1539" s="36"/>
      <c r="Q1539" s="36"/>
      <c r="R1539" s="36"/>
      <c r="S1539" s="36"/>
    </row>
    <row r="1540">
      <c r="A1540" s="34"/>
      <c r="B1540" s="36"/>
      <c r="C1540" s="35"/>
      <c r="D1540" s="35"/>
      <c r="E1540" s="34"/>
      <c r="F1540" s="34"/>
      <c r="G1540" s="34"/>
      <c r="H1540" s="34"/>
      <c r="I1540" s="34"/>
      <c r="J1540" s="34"/>
      <c r="K1540" s="34"/>
      <c r="L1540" s="34"/>
      <c r="M1540" s="36"/>
      <c r="N1540" s="36"/>
      <c r="O1540" s="36"/>
      <c r="P1540" s="36"/>
      <c r="Q1540" s="36"/>
      <c r="R1540" s="36"/>
      <c r="S1540" s="36"/>
    </row>
    <row r="1541">
      <c r="A1541" s="34"/>
      <c r="B1541" s="36"/>
      <c r="C1541" s="35"/>
      <c r="D1541" s="35"/>
      <c r="E1541" s="34"/>
      <c r="F1541" s="34"/>
      <c r="G1541" s="34"/>
      <c r="H1541" s="34"/>
      <c r="I1541" s="36"/>
      <c r="J1541" s="34"/>
      <c r="K1541" s="34"/>
      <c r="L1541" s="34"/>
      <c r="M1541" s="36"/>
      <c r="N1541" s="36"/>
      <c r="O1541" s="36"/>
      <c r="P1541" s="36"/>
      <c r="Q1541" s="36"/>
      <c r="R1541" s="36"/>
      <c r="S1541" s="36"/>
    </row>
    <row r="1542">
      <c r="A1542" s="34"/>
      <c r="B1542" s="34"/>
      <c r="C1542" s="35"/>
      <c r="D1542" s="35"/>
      <c r="E1542" s="34"/>
      <c r="F1542" s="34"/>
      <c r="G1542" s="34"/>
      <c r="H1542" s="34"/>
      <c r="I1542" s="34"/>
      <c r="J1542" s="34"/>
      <c r="K1542" s="34"/>
      <c r="L1542" s="34"/>
      <c r="M1542" s="36"/>
      <c r="N1542" s="36"/>
      <c r="O1542" s="36"/>
      <c r="P1542" s="36"/>
      <c r="Q1542" s="36"/>
      <c r="R1542" s="36"/>
      <c r="S1542" s="36"/>
    </row>
    <row r="1543">
      <c r="A1543" s="34"/>
      <c r="B1543" s="36"/>
      <c r="C1543" s="35"/>
      <c r="D1543" s="35"/>
      <c r="E1543" s="34"/>
      <c r="F1543" s="34"/>
      <c r="G1543" s="34"/>
      <c r="H1543" s="34"/>
      <c r="I1543" s="34"/>
      <c r="J1543" s="34"/>
      <c r="K1543" s="34"/>
      <c r="L1543" s="34"/>
      <c r="M1543" s="36"/>
      <c r="N1543" s="36"/>
      <c r="O1543" s="36"/>
      <c r="P1543" s="36"/>
      <c r="Q1543" s="36"/>
      <c r="R1543" s="36"/>
      <c r="S1543" s="36"/>
    </row>
    <row r="1544">
      <c r="A1544" s="34"/>
      <c r="B1544" s="36"/>
      <c r="C1544" s="35"/>
      <c r="D1544" s="35"/>
      <c r="E1544" s="34"/>
      <c r="F1544" s="34"/>
      <c r="G1544" s="34"/>
      <c r="H1544" s="34"/>
      <c r="I1544" s="36"/>
      <c r="J1544" s="34"/>
      <c r="K1544" s="34"/>
      <c r="L1544" s="34"/>
      <c r="M1544" s="36"/>
      <c r="N1544" s="36"/>
      <c r="O1544" s="36"/>
      <c r="P1544" s="36"/>
      <c r="Q1544" s="36"/>
      <c r="R1544" s="36"/>
      <c r="S1544" s="36"/>
    </row>
    <row r="1545">
      <c r="A1545" s="34"/>
      <c r="B1545" s="36"/>
      <c r="C1545" s="35"/>
      <c r="D1545" s="35"/>
      <c r="E1545" s="34"/>
      <c r="F1545" s="34"/>
      <c r="G1545" s="34"/>
      <c r="H1545" s="34"/>
      <c r="I1545" s="34"/>
      <c r="J1545" s="34"/>
      <c r="K1545" s="34"/>
      <c r="L1545" s="34"/>
      <c r="M1545" s="36"/>
      <c r="N1545" s="36"/>
      <c r="O1545" s="36"/>
      <c r="P1545" s="36"/>
      <c r="Q1545" s="36"/>
      <c r="R1545" s="36"/>
      <c r="S1545" s="36"/>
    </row>
    <row r="1546">
      <c r="A1546" s="34"/>
      <c r="B1546" s="34"/>
      <c r="C1546" s="35"/>
      <c r="D1546" s="35"/>
      <c r="E1546" s="34"/>
      <c r="F1546" s="34"/>
      <c r="G1546" s="34"/>
      <c r="H1546" s="34"/>
      <c r="I1546" s="34"/>
      <c r="J1546" s="34"/>
      <c r="K1546" s="34"/>
      <c r="L1546" s="34"/>
      <c r="M1546" s="36"/>
      <c r="N1546" s="36"/>
      <c r="O1546" s="36"/>
      <c r="P1546" s="36"/>
      <c r="Q1546" s="36"/>
      <c r="R1546" s="36"/>
      <c r="S1546" s="36"/>
    </row>
    <row r="1547">
      <c r="A1547" s="34"/>
      <c r="B1547" s="34"/>
      <c r="C1547" s="35"/>
      <c r="D1547" s="35"/>
      <c r="E1547" s="34"/>
      <c r="F1547" s="34"/>
      <c r="G1547" s="34"/>
      <c r="H1547" s="34"/>
      <c r="I1547" s="34"/>
      <c r="J1547" s="34"/>
      <c r="K1547" s="34"/>
      <c r="L1547" s="34"/>
      <c r="M1547" s="36"/>
      <c r="N1547" s="36"/>
      <c r="O1547" s="36"/>
      <c r="P1547" s="36"/>
      <c r="Q1547" s="36"/>
      <c r="R1547" s="36"/>
      <c r="S1547" s="36"/>
    </row>
    <row r="1548">
      <c r="A1548" s="34"/>
      <c r="B1548" s="34"/>
      <c r="C1548" s="35"/>
      <c r="D1548" s="35"/>
      <c r="E1548" s="34"/>
      <c r="F1548" s="34"/>
      <c r="G1548" s="34"/>
      <c r="H1548" s="34"/>
      <c r="I1548" s="34"/>
      <c r="J1548" s="34"/>
      <c r="K1548" s="34"/>
      <c r="L1548" s="34"/>
      <c r="M1548" s="36"/>
      <c r="N1548" s="36"/>
      <c r="O1548" s="36"/>
      <c r="P1548" s="36"/>
      <c r="Q1548" s="36"/>
      <c r="R1548" s="36"/>
      <c r="S1548" s="36"/>
    </row>
    <row r="1549">
      <c r="A1549" s="34"/>
      <c r="B1549" s="36"/>
      <c r="C1549" s="35"/>
      <c r="D1549" s="35"/>
      <c r="E1549" s="34"/>
      <c r="F1549" s="34"/>
      <c r="G1549" s="34"/>
      <c r="H1549" s="34"/>
      <c r="I1549" s="36"/>
      <c r="J1549" s="34"/>
      <c r="K1549" s="34"/>
      <c r="L1549" s="34"/>
      <c r="M1549" s="36"/>
      <c r="N1549" s="36"/>
      <c r="O1549" s="36"/>
      <c r="P1549" s="36"/>
      <c r="Q1549" s="36"/>
      <c r="R1549" s="36"/>
      <c r="S1549" s="36"/>
    </row>
    <row r="1550">
      <c r="A1550" s="34"/>
      <c r="B1550" s="34"/>
      <c r="C1550" s="35"/>
      <c r="D1550" s="35"/>
      <c r="E1550" s="34"/>
      <c r="F1550" s="34"/>
      <c r="G1550" s="34"/>
      <c r="H1550" s="34"/>
      <c r="I1550" s="34"/>
      <c r="J1550" s="34"/>
      <c r="K1550" s="34"/>
      <c r="L1550" s="34"/>
      <c r="M1550" s="36"/>
      <c r="N1550" s="36"/>
      <c r="O1550" s="36"/>
      <c r="P1550" s="36"/>
      <c r="Q1550" s="36"/>
      <c r="R1550" s="36"/>
      <c r="S1550" s="36"/>
    </row>
    <row r="1551">
      <c r="A1551" s="34"/>
      <c r="B1551" s="34"/>
      <c r="C1551" s="35"/>
      <c r="D1551" s="35"/>
      <c r="E1551" s="34"/>
      <c r="F1551" s="34"/>
      <c r="G1551" s="34"/>
      <c r="H1551" s="34"/>
      <c r="I1551" s="34"/>
      <c r="J1551" s="34"/>
      <c r="K1551" s="34"/>
      <c r="L1551" s="34"/>
      <c r="M1551" s="36"/>
      <c r="N1551" s="36"/>
      <c r="O1551" s="36"/>
      <c r="P1551" s="36"/>
      <c r="Q1551" s="36"/>
      <c r="R1551" s="36"/>
      <c r="S1551" s="36"/>
    </row>
    <row r="1552">
      <c r="A1552" s="34"/>
      <c r="B1552" s="36"/>
      <c r="C1552" s="35"/>
      <c r="D1552" s="35"/>
      <c r="E1552" s="34"/>
      <c r="F1552" s="34"/>
      <c r="G1552" s="34"/>
      <c r="H1552" s="34"/>
      <c r="I1552" s="34"/>
      <c r="J1552" s="34"/>
      <c r="K1552" s="34"/>
      <c r="L1552" s="34"/>
      <c r="M1552" s="36"/>
      <c r="N1552" s="36"/>
      <c r="O1552" s="36"/>
      <c r="P1552" s="36"/>
      <c r="Q1552" s="36"/>
      <c r="R1552" s="36"/>
      <c r="S1552" s="36"/>
    </row>
    <row r="1553">
      <c r="A1553" s="34"/>
      <c r="B1553" s="36"/>
      <c r="C1553" s="35"/>
      <c r="D1553" s="35"/>
      <c r="E1553" s="34"/>
      <c r="F1553" s="34"/>
      <c r="G1553" s="34"/>
      <c r="H1553" s="34"/>
      <c r="I1553" s="36"/>
      <c r="J1553" s="34"/>
      <c r="K1553" s="34"/>
      <c r="L1553" s="34"/>
      <c r="M1553" s="36"/>
      <c r="N1553" s="36"/>
      <c r="O1553" s="36"/>
      <c r="P1553" s="36"/>
      <c r="Q1553" s="36"/>
      <c r="R1553" s="36"/>
      <c r="S1553" s="36"/>
    </row>
    <row r="1554">
      <c r="A1554" s="34"/>
      <c r="B1554" s="36"/>
      <c r="C1554" s="35"/>
      <c r="D1554" s="35"/>
      <c r="E1554" s="34"/>
      <c r="F1554" s="34"/>
      <c r="G1554" s="34"/>
      <c r="H1554" s="34"/>
      <c r="I1554" s="36"/>
      <c r="J1554" s="34"/>
      <c r="K1554" s="34"/>
      <c r="L1554" s="34"/>
      <c r="M1554" s="36"/>
      <c r="N1554" s="36"/>
      <c r="O1554" s="36"/>
      <c r="P1554" s="36"/>
      <c r="Q1554" s="36"/>
      <c r="R1554" s="36"/>
      <c r="S1554" s="36"/>
    </row>
    <row r="1555">
      <c r="A1555" s="34"/>
      <c r="B1555" s="36"/>
      <c r="C1555" s="35"/>
      <c r="D1555" s="35"/>
      <c r="E1555" s="34"/>
      <c r="F1555" s="34"/>
      <c r="G1555" s="34"/>
      <c r="H1555" s="34"/>
      <c r="I1555" s="36"/>
      <c r="J1555" s="34"/>
      <c r="K1555" s="34"/>
      <c r="L1555" s="34"/>
      <c r="M1555" s="36"/>
      <c r="N1555" s="36"/>
      <c r="O1555" s="36"/>
      <c r="P1555" s="36"/>
      <c r="Q1555" s="36"/>
      <c r="R1555" s="36"/>
      <c r="S1555" s="36"/>
    </row>
    <row r="1556">
      <c r="A1556" s="34"/>
      <c r="B1556" s="34"/>
      <c r="C1556" s="35"/>
      <c r="D1556" s="35"/>
      <c r="E1556" s="34"/>
      <c r="F1556" s="34"/>
      <c r="G1556" s="34"/>
      <c r="H1556" s="34"/>
      <c r="I1556" s="34"/>
      <c r="J1556" s="34"/>
      <c r="K1556" s="34"/>
      <c r="L1556" s="34"/>
      <c r="M1556" s="36"/>
      <c r="N1556" s="36"/>
      <c r="O1556" s="36"/>
      <c r="P1556" s="36"/>
      <c r="Q1556" s="36"/>
      <c r="R1556" s="36"/>
      <c r="S1556" s="36"/>
    </row>
    <row r="1557">
      <c r="A1557" s="34"/>
      <c r="B1557" s="36"/>
      <c r="C1557" s="35"/>
      <c r="D1557" s="35"/>
      <c r="E1557" s="34"/>
      <c r="F1557" s="34"/>
      <c r="G1557" s="34"/>
      <c r="H1557" s="34"/>
      <c r="I1557" s="36"/>
      <c r="J1557" s="34"/>
      <c r="K1557" s="34"/>
      <c r="L1557" s="34"/>
      <c r="M1557" s="36"/>
      <c r="N1557" s="36"/>
      <c r="O1557" s="36"/>
      <c r="P1557" s="36"/>
      <c r="Q1557" s="36"/>
      <c r="R1557" s="36"/>
      <c r="S1557" s="36"/>
    </row>
    <row r="1558">
      <c r="A1558" s="34"/>
      <c r="B1558" s="36"/>
      <c r="C1558" s="35"/>
      <c r="D1558" s="35"/>
      <c r="E1558" s="34"/>
      <c r="F1558" s="34"/>
      <c r="G1558" s="34"/>
      <c r="H1558" s="34"/>
      <c r="I1558" s="34"/>
      <c r="J1558" s="34"/>
      <c r="K1558" s="34"/>
      <c r="L1558" s="34"/>
      <c r="M1558" s="36"/>
      <c r="N1558" s="36"/>
      <c r="O1558" s="36"/>
      <c r="P1558" s="36"/>
      <c r="Q1558" s="36"/>
      <c r="R1558" s="36"/>
      <c r="S1558" s="36"/>
    </row>
    <row r="1559">
      <c r="A1559" s="34"/>
      <c r="B1559" s="34"/>
      <c r="C1559" s="35"/>
      <c r="D1559" s="35"/>
      <c r="E1559" s="34"/>
      <c r="F1559" s="34"/>
      <c r="G1559" s="34"/>
      <c r="H1559" s="34"/>
      <c r="I1559" s="34"/>
      <c r="J1559" s="34"/>
      <c r="K1559" s="34"/>
      <c r="L1559" s="34"/>
      <c r="M1559" s="36"/>
      <c r="N1559" s="36"/>
      <c r="O1559" s="36"/>
      <c r="P1559" s="36"/>
      <c r="Q1559" s="36"/>
      <c r="R1559" s="36"/>
      <c r="S1559" s="36"/>
    </row>
    <row r="1560">
      <c r="A1560" s="34"/>
      <c r="B1560" s="36"/>
      <c r="C1560" s="35"/>
      <c r="D1560" s="35"/>
      <c r="E1560" s="34"/>
      <c r="F1560" s="34"/>
      <c r="G1560" s="34"/>
      <c r="H1560" s="34"/>
      <c r="I1560" s="36"/>
      <c r="J1560" s="34"/>
      <c r="K1560" s="34"/>
      <c r="L1560" s="34"/>
      <c r="M1560" s="36"/>
      <c r="N1560" s="36"/>
      <c r="O1560" s="36"/>
      <c r="P1560" s="36"/>
      <c r="Q1560" s="36"/>
      <c r="R1560" s="36"/>
      <c r="S1560" s="36"/>
    </row>
    <row r="1561">
      <c r="A1561" s="34"/>
      <c r="B1561" s="34"/>
      <c r="C1561" s="35"/>
      <c r="D1561" s="35"/>
      <c r="E1561" s="34"/>
      <c r="F1561" s="34"/>
      <c r="G1561" s="34"/>
      <c r="H1561" s="34"/>
      <c r="I1561" s="34"/>
      <c r="J1561" s="34"/>
      <c r="K1561" s="34"/>
      <c r="L1561" s="34"/>
      <c r="M1561" s="36"/>
      <c r="N1561" s="36"/>
      <c r="O1561" s="36"/>
      <c r="P1561" s="36"/>
      <c r="Q1561" s="36"/>
      <c r="R1561" s="36"/>
      <c r="S1561" s="36"/>
    </row>
    <row r="1562">
      <c r="A1562" s="34"/>
      <c r="B1562" s="34"/>
      <c r="C1562" s="35"/>
      <c r="D1562" s="35"/>
      <c r="E1562" s="34"/>
      <c r="F1562" s="34"/>
      <c r="G1562" s="34"/>
      <c r="H1562" s="34"/>
      <c r="I1562" s="34"/>
      <c r="J1562" s="34"/>
      <c r="K1562" s="34"/>
      <c r="L1562" s="34"/>
      <c r="M1562" s="36"/>
      <c r="N1562" s="36"/>
      <c r="O1562" s="36"/>
      <c r="P1562" s="36"/>
      <c r="Q1562" s="36"/>
      <c r="R1562" s="36"/>
      <c r="S1562" s="36"/>
    </row>
    <row r="1563">
      <c r="A1563" s="34"/>
      <c r="B1563" s="36"/>
      <c r="C1563" s="35"/>
      <c r="D1563" s="35"/>
      <c r="E1563" s="34"/>
      <c r="F1563" s="34"/>
      <c r="G1563" s="34"/>
      <c r="H1563" s="34"/>
      <c r="I1563" s="36"/>
      <c r="J1563" s="34"/>
      <c r="K1563" s="34"/>
      <c r="L1563" s="34"/>
      <c r="M1563" s="36"/>
      <c r="N1563" s="36"/>
      <c r="O1563" s="36"/>
      <c r="P1563" s="36"/>
      <c r="Q1563" s="36"/>
      <c r="R1563" s="36"/>
      <c r="S1563" s="36"/>
    </row>
    <row r="1564">
      <c r="A1564" s="34"/>
      <c r="B1564" s="36"/>
      <c r="C1564" s="35"/>
      <c r="D1564" s="35"/>
      <c r="E1564" s="34"/>
      <c r="F1564" s="34"/>
      <c r="G1564" s="34"/>
      <c r="H1564" s="34"/>
      <c r="I1564" s="36"/>
      <c r="J1564" s="34"/>
      <c r="K1564" s="34"/>
      <c r="L1564" s="34"/>
      <c r="M1564" s="36"/>
      <c r="N1564" s="36"/>
      <c r="O1564" s="36"/>
      <c r="P1564" s="36"/>
      <c r="Q1564" s="36"/>
      <c r="R1564" s="36"/>
      <c r="S1564" s="36"/>
    </row>
    <row r="1565">
      <c r="A1565" s="34"/>
      <c r="B1565" s="34"/>
      <c r="C1565" s="35"/>
      <c r="D1565" s="35"/>
      <c r="E1565" s="34"/>
      <c r="F1565" s="34"/>
      <c r="G1565" s="34"/>
      <c r="H1565" s="34"/>
      <c r="I1565" s="34"/>
      <c r="J1565" s="34"/>
      <c r="K1565" s="34"/>
      <c r="L1565" s="34"/>
      <c r="M1565" s="36"/>
      <c r="N1565" s="36"/>
      <c r="O1565" s="36"/>
      <c r="P1565" s="36"/>
      <c r="Q1565" s="36"/>
      <c r="R1565" s="36"/>
      <c r="S1565" s="36"/>
    </row>
    <row r="1566">
      <c r="A1566" s="34"/>
      <c r="B1566" s="36"/>
      <c r="C1566" s="35"/>
      <c r="D1566" s="35"/>
      <c r="E1566" s="34"/>
      <c r="F1566" s="34"/>
      <c r="G1566" s="34"/>
      <c r="H1566" s="34"/>
      <c r="I1566" s="36"/>
      <c r="J1566" s="34"/>
      <c r="K1566" s="34"/>
      <c r="L1566" s="34"/>
      <c r="M1566" s="36"/>
      <c r="N1566" s="36"/>
      <c r="O1566" s="36"/>
      <c r="P1566" s="36"/>
      <c r="Q1566" s="36"/>
      <c r="R1566" s="36"/>
      <c r="S1566" s="36"/>
    </row>
    <row r="1567">
      <c r="A1567" s="34"/>
      <c r="B1567" s="36"/>
      <c r="C1567" s="35"/>
      <c r="D1567" s="35"/>
      <c r="E1567" s="34"/>
      <c r="F1567" s="34"/>
      <c r="G1567" s="34"/>
      <c r="H1567" s="34"/>
      <c r="I1567" s="36"/>
      <c r="J1567" s="34"/>
      <c r="K1567" s="34"/>
      <c r="L1567" s="34"/>
      <c r="M1567" s="36"/>
      <c r="N1567" s="36"/>
      <c r="O1567" s="36"/>
      <c r="P1567" s="36"/>
      <c r="Q1567" s="36"/>
      <c r="R1567" s="36"/>
      <c r="S1567" s="36"/>
    </row>
    <row r="1568">
      <c r="A1568" s="34"/>
      <c r="B1568" s="34"/>
      <c r="C1568" s="35"/>
      <c r="D1568" s="35"/>
      <c r="E1568" s="34"/>
      <c r="F1568" s="34"/>
      <c r="G1568" s="34"/>
      <c r="H1568" s="34"/>
      <c r="I1568" s="34"/>
      <c r="J1568" s="34"/>
      <c r="K1568" s="34"/>
      <c r="L1568" s="34"/>
      <c r="M1568" s="36"/>
      <c r="N1568" s="36"/>
      <c r="O1568" s="36"/>
      <c r="P1568" s="36"/>
      <c r="Q1568" s="36"/>
      <c r="R1568" s="36"/>
      <c r="S1568" s="36"/>
    </row>
    <row r="1569">
      <c r="A1569" s="34"/>
      <c r="B1569" s="36"/>
      <c r="C1569" s="35"/>
      <c r="D1569" s="35"/>
      <c r="E1569" s="34"/>
      <c r="F1569" s="34"/>
      <c r="G1569" s="34"/>
      <c r="H1569" s="34"/>
      <c r="I1569" s="36"/>
      <c r="J1569" s="34"/>
      <c r="K1569" s="34"/>
      <c r="L1569" s="34"/>
      <c r="M1569" s="36"/>
      <c r="N1569" s="36"/>
      <c r="O1569" s="36"/>
      <c r="P1569" s="36"/>
      <c r="Q1569" s="36"/>
      <c r="R1569" s="36"/>
      <c r="S1569" s="36"/>
    </row>
    <row r="1570">
      <c r="A1570" s="34"/>
      <c r="B1570" s="36"/>
      <c r="C1570" s="35"/>
      <c r="D1570" s="35"/>
      <c r="E1570" s="34"/>
      <c r="F1570" s="34"/>
      <c r="G1570" s="34"/>
      <c r="H1570" s="34"/>
      <c r="I1570" s="36"/>
      <c r="J1570" s="34"/>
      <c r="K1570" s="34"/>
      <c r="L1570" s="34"/>
      <c r="M1570" s="36"/>
      <c r="N1570" s="36"/>
      <c r="O1570" s="36"/>
      <c r="P1570" s="36"/>
      <c r="Q1570" s="36"/>
      <c r="R1570" s="36"/>
      <c r="S1570" s="36"/>
    </row>
    <row r="1571">
      <c r="A1571" s="34"/>
      <c r="B1571" s="36"/>
      <c r="C1571" s="35"/>
      <c r="D1571" s="35"/>
      <c r="E1571" s="34"/>
      <c r="F1571" s="34"/>
      <c r="G1571" s="34"/>
      <c r="H1571" s="34"/>
      <c r="I1571" s="36"/>
      <c r="J1571" s="34"/>
      <c r="K1571" s="34"/>
      <c r="L1571" s="34"/>
      <c r="M1571" s="36"/>
      <c r="N1571" s="36"/>
      <c r="O1571" s="36"/>
      <c r="P1571" s="36"/>
      <c r="Q1571" s="36"/>
      <c r="R1571" s="36"/>
      <c r="S1571" s="36"/>
    </row>
    <row r="1572">
      <c r="A1572" s="34"/>
      <c r="B1572" s="34"/>
      <c r="C1572" s="35"/>
      <c r="D1572" s="35"/>
      <c r="E1572" s="34"/>
      <c r="F1572" s="34"/>
      <c r="G1572" s="34"/>
      <c r="H1572" s="34"/>
      <c r="I1572" s="34"/>
      <c r="J1572" s="34"/>
      <c r="K1572" s="34"/>
      <c r="L1572" s="34"/>
      <c r="M1572" s="36"/>
      <c r="N1572" s="36"/>
      <c r="O1572" s="36"/>
      <c r="P1572" s="36"/>
      <c r="Q1572" s="36"/>
      <c r="R1572" s="36"/>
      <c r="S1572" s="36"/>
    </row>
    <row r="1573">
      <c r="A1573" s="34"/>
      <c r="B1573" s="36"/>
      <c r="C1573" s="35"/>
      <c r="D1573" s="35"/>
      <c r="E1573" s="34"/>
      <c r="F1573" s="34"/>
      <c r="G1573" s="34"/>
      <c r="H1573" s="34"/>
      <c r="I1573" s="36"/>
      <c r="J1573" s="34"/>
      <c r="K1573" s="34"/>
      <c r="L1573" s="34"/>
      <c r="M1573" s="36"/>
      <c r="N1573" s="36"/>
      <c r="O1573" s="36"/>
      <c r="P1573" s="36"/>
      <c r="Q1573" s="36"/>
      <c r="R1573" s="36"/>
      <c r="S1573" s="36"/>
    </row>
    <row r="1574">
      <c r="A1574" s="34"/>
      <c r="B1574" s="36"/>
      <c r="C1574" s="35"/>
      <c r="D1574" s="35"/>
      <c r="E1574" s="34"/>
      <c r="F1574" s="34"/>
      <c r="G1574" s="34"/>
      <c r="H1574" s="34"/>
      <c r="I1574" s="36"/>
      <c r="J1574" s="34"/>
      <c r="K1574" s="34"/>
      <c r="L1574" s="34"/>
      <c r="M1574" s="36"/>
      <c r="N1574" s="36"/>
      <c r="O1574" s="36"/>
      <c r="P1574" s="36"/>
      <c r="Q1574" s="36"/>
      <c r="R1574" s="36"/>
      <c r="S1574" s="36"/>
    </row>
    <row r="1575">
      <c r="A1575" s="34"/>
      <c r="B1575" s="36"/>
      <c r="C1575" s="35"/>
      <c r="D1575" s="35"/>
      <c r="E1575" s="34"/>
      <c r="F1575" s="34"/>
      <c r="G1575" s="34"/>
      <c r="H1575" s="34"/>
      <c r="I1575" s="36"/>
      <c r="J1575" s="34"/>
      <c r="K1575" s="34"/>
      <c r="L1575" s="34"/>
      <c r="M1575" s="36"/>
      <c r="N1575" s="36"/>
      <c r="O1575" s="36"/>
      <c r="P1575" s="36"/>
      <c r="Q1575" s="36"/>
      <c r="R1575" s="36"/>
      <c r="S1575" s="36"/>
    </row>
    <row r="1576">
      <c r="A1576" s="34"/>
      <c r="B1576" s="34"/>
      <c r="C1576" s="35"/>
      <c r="D1576" s="35"/>
      <c r="E1576" s="34"/>
      <c r="F1576" s="34"/>
      <c r="G1576" s="34"/>
      <c r="H1576" s="34"/>
      <c r="I1576" s="34"/>
      <c r="J1576" s="34"/>
      <c r="K1576" s="34"/>
      <c r="L1576" s="34"/>
      <c r="M1576" s="36"/>
      <c r="N1576" s="36"/>
      <c r="O1576" s="36"/>
      <c r="P1576" s="36"/>
      <c r="Q1576" s="36"/>
      <c r="R1576" s="36"/>
      <c r="S1576" s="36"/>
    </row>
    <row r="1577">
      <c r="A1577" s="34"/>
      <c r="B1577" s="36"/>
      <c r="C1577" s="35"/>
      <c r="D1577" s="35"/>
      <c r="E1577" s="34"/>
      <c r="F1577" s="34"/>
      <c r="G1577" s="34"/>
      <c r="H1577" s="34"/>
      <c r="I1577" s="36"/>
      <c r="J1577" s="34"/>
      <c r="K1577" s="34"/>
      <c r="L1577" s="34"/>
      <c r="M1577" s="36"/>
      <c r="N1577" s="36"/>
      <c r="O1577" s="36"/>
      <c r="P1577" s="36"/>
      <c r="Q1577" s="36"/>
      <c r="R1577" s="36"/>
      <c r="S1577" s="36"/>
    </row>
    <row r="1578">
      <c r="A1578" s="34"/>
      <c r="B1578" s="36"/>
      <c r="C1578" s="35"/>
      <c r="D1578" s="35"/>
      <c r="E1578" s="34"/>
      <c r="F1578" s="34"/>
      <c r="G1578" s="34"/>
      <c r="H1578" s="34"/>
      <c r="I1578" s="36"/>
      <c r="J1578" s="34"/>
      <c r="K1578" s="34"/>
      <c r="L1578" s="34"/>
      <c r="M1578" s="36"/>
      <c r="N1578" s="36"/>
      <c r="O1578" s="36"/>
      <c r="P1578" s="36"/>
      <c r="Q1578" s="36"/>
      <c r="R1578" s="36"/>
      <c r="S1578" s="36"/>
    </row>
    <row r="1579">
      <c r="A1579" s="34"/>
      <c r="B1579" s="36"/>
      <c r="C1579" s="35"/>
      <c r="D1579" s="35"/>
      <c r="E1579" s="34"/>
      <c r="F1579" s="34"/>
      <c r="G1579" s="34"/>
      <c r="H1579" s="34"/>
      <c r="I1579" s="36"/>
      <c r="J1579" s="34"/>
      <c r="K1579" s="34"/>
      <c r="L1579" s="34"/>
      <c r="M1579" s="36"/>
      <c r="N1579" s="36"/>
      <c r="O1579" s="36"/>
      <c r="P1579" s="36"/>
      <c r="Q1579" s="36"/>
      <c r="R1579" s="36"/>
      <c r="S1579" s="36"/>
    </row>
    <row r="1580">
      <c r="A1580" s="34"/>
      <c r="B1580" s="34"/>
      <c r="C1580" s="35"/>
      <c r="D1580" s="35"/>
      <c r="E1580" s="34"/>
      <c r="F1580" s="34"/>
      <c r="G1580" s="34"/>
      <c r="H1580" s="34"/>
      <c r="I1580" s="34"/>
      <c r="J1580" s="34"/>
      <c r="K1580" s="34"/>
      <c r="L1580" s="34"/>
      <c r="M1580" s="36"/>
      <c r="N1580" s="36"/>
      <c r="O1580" s="36"/>
      <c r="P1580" s="36"/>
      <c r="Q1580" s="36"/>
      <c r="R1580" s="36"/>
      <c r="S1580" s="36"/>
    </row>
    <row r="1581">
      <c r="A1581" s="34"/>
      <c r="B1581" s="34"/>
      <c r="C1581" s="35"/>
      <c r="D1581" s="35"/>
      <c r="E1581" s="34"/>
      <c r="F1581" s="34"/>
      <c r="G1581" s="34"/>
      <c r="H1581" s="34"/>
      <c r="I1581" s="34"/>
      <c r="J1581" s="34"/>
      <c r="K1581" s="34"/>
      <c r="L1581" s="34"/>
      <c r="M1581" s="36"/>
      <c r="N1581" s="36"/>
      <c r="O1581" s="36"/>
      <c r="P1581" s="36"/>
      <c r="Q1581" s="36"/>
      <c r="R1581" s="36"/>
      <c r="S1581" s="36"/>
    </row>
    <row r="1582">
      <c r="A1582" s="34"/>
      <c r="B1582" s="34"/>
      <c r="C1582" s="35"/>
      <c r="D1582" s="35"/>
      <c r="E1582" s="34"/>
      <c r="F1582" s="34"/>
      <c r="G1582" s="34"/>
      <c r="H1582" s="34"/>
      <c r="I1582" s="34"/>
      <c r="J1582" s="34"/>
      <c r="K1582" s="34"/>
      <c r="L1582" s="34"/>
      <c r="M1582" s="36"/>
      <c r="N1582" s="36"/>
      <c r="O1582" s="36"/>
      <c r="P1582" s="36"/>
      <c r="Q1582" s="36"/>
      <c r="R1582" s="36"/>
      <c r="S1582" s="36"/>
    </row>
    <row r="1583">
      <c r="A1583" s="34"/>
      <c r="B1583" s="36"/>
      <c r="C1583" s="35"/>
      <c r="D1583" s="35"/>
      <c r="E1583" s="34"/>
      <c r="F1583" s="34"/>
      <c r="G1583" s="34"/>
      <c r="H1583" s="34"/>
      <c r="I1583" s="36"/>
      <c r="J1583" s="34"/>
      <c r="K1583" s="34"/>
      <c r="L1583" s="34"/>
      <c r="M1583" s="36"/>
      <c r="N1583" s="36"/>
      <c r="O1583" s="36"/>
      <c r="P1583" s="36"/>
      <c r="Q1583" s="36"/>
      <c r="R1583" s="36"/>
      <c r="S1583" s="36"/>
    </row>
    <row r="1584">
      <c r="A1584" s="34"/>
      <c r="B1584" s="36"/>
      <c r="C1584" s="35"/>
      <c r="D1584" s="35"/>
      <c r="E1584" s="34"/>
      <c r="F1584" s="34"/>
      <c r="G1584" s="34"/>
      <c r="H1584" s="34"/>
      <c r="I1584" s="36"/>
      <c r="J1584" s="34"/>
      <c r="K1584" s="34"/>
      <c r="L1584" s="34"/>
      <c r="M1584" s="36"/>
      <c r="N1584" s="36"/>
      <c r="O1584" s="36"/>
      <c r="P1584" s="36"/>
      <c r="Q1584" s="36"/>
      <c r="R1584" s="36"/>
      <c r="S1584" s="36"/>
    </row>
    <row r="1585">
      <c r="A1585" s="34"/>
      <c r="B1585" s="36"/>
      <c r="C1585" s="35"/>
      <c r="D1585" s="35"/>
      <c r="E1585" s="34"/>
      <c r="F1585" s="34"/>
      <c r="G1585" s="34"/>
      <c r="H1585" s="34"/>
      <c r="I1585" s="36"/>
      <c r="J1585" s="34"/>
      <c r="K1585" s="34"/>
      <c r="L1585" s="34"/>
      <c r="M1585" s="36"/>
      <c r="N1585" s="36"/>
      <c r="O1585" s="36"/>
      <c r="P1585" s="36"/>
      <c r="Q1585" s="36"/>
      <c r="R1585" s="36"/>
      <c r="S1585" s="36"/>
    </row>
    <row r="1586">
      <c r="A1586" s="34"/>
      <c r="B1586" s="36"/>
      <c r="C1586" s="35"/>
      <c r="D1586" s="35"/>
      <c r="E1586" s="34"/>
      <c r="F1586" s="34"/>
      <c r="G1586" s="34"/>
      <c r="H1586" s="34"/>
      <c r="I1586" s="36"/>
      <c r="J1586" s="34"/>
      <c r="K1586" s="34"/>
      <c r="L1586" s="34"/>
      <c r="M1586" s="36"/>
      <c r="N1586" s="36"/>
      <c r="O1586" s="36"/>
      <c r="P1586" s="36"/>
      <c r="Q1586" s="36"/>
      <c r="R1586" s="36"/>
      <c r="S1586" s="36"/>
    </row>
    <row r="1587">
      <c r="A1587" s="34"/>
      <c r="B1587" s="36"/>
      <c r="C1587" s="35"/>
      <c r="D1587" s="35"/>
      <c r="E1587" s="34"/>
      <c r="F1587" s="34"/>
      <c r="G1587" s="34"/>
      <c r="H1587" s="34"/>
      <c r="I1587" s="36"/>
      <c r="J1587" s="34"/>
      <c r="K1587" s="34"/>
      <c r="L1587" s="34"/>
      <c r="M1587" s="36"/>
      <c r="N1587" s="36"/>
      <c r="O1587" s="36"/>
      <c r="P1587" s="36"/>
      <c r="Q1587" s="36"/>
      <c r="R1587" s="36"/>
      <c r="S1587" s="36"/>
    </row>
    <row r="1588">
      <c r="A1588" s="34"/>
      <c r="B1588" s="34"/>
      <c r="C1588" s="35"/>
      <c r="D1588" s="35"/>
      <c r="E1588" s="34"/>
      <c r="F1588" s="34"/>
      <c r="G1588" s="34"/>
      <c r="H1588" s="34"/>
      <c r="I1588" s="34"/>
      <c r="J1588" s="34"/>
      <c r="K1588" s="34"/>
      <c r="L1588" s="34"/>
      <c r="M1588" s="36"/>
      <c r="N1588" s="36"/>
      <c r="O1588" s="36"/>
      <c r="P1588" s="36"/>
      <c r="Q1588" s="36"/>
      <c r="R1588" s="36"/>
      <c r="S1588" s="36"/>
    </row>
    <row r="1589">
      <c r="A1589" s="34"/>
      <c r="B1589" s="36"/>
      <c r="C1589" s="35"/>
      <c r="D1589" s="35"/>
      <c r="E1589" s="34"/>
      <c r="F1589" s="34"/>
      <c r="G1589" s="34"/>
      <c r="H1589" s="34"/>
      <c r="I1589" s="36"/>
      <c r="J1589" s="34"/>
      <c r="K1589" s="34"/>
      <c r="L1589" s="34"/>
      <c r="M1589" s="36"/>
      <c r="N1589" s="36"/>
      <c r="O1589" s="36"/>
      <c r="P1589" s="36"/>
      <c r="Q1589" s="36"/>
      <c r="R1589" s="36"/>
      <c r="S1589" s="36"/>
    </row>
    <row r="1590">
      <c r="A1590" s="34"/>
      <c r="B1590" s="34"/>
      <c r="C1590" s="35"/>
      <c r="D1590" s="35"/>
      <c r="E1590" s="34"/>
      <c r="F1590" s="34"/>
      <c r="G1590" s="34"/>
      <c r="H1590" s="34"/>
      <c r="I1590" s="34"/>
      <c r="J1590" s="34"/>
      <c r="K1590" s="34"/>
      <c r="L1590" s="34"/>
      <c r="M1590" s="36"/>
      <c r="N1590" s="36"/>
      <c r="O1590" s="36"/>
      <c r="P1590" s="36"/>
      <c r="Q1590" s="36"/>
      <c r="R1590" s="36"/>
      <c r="S1590" s="36"/>
    </row>
    <row r="1591">
      <c r="A1591" s="34"/>
      <c r="B1591" s="36"/>
      <c r="C1591" s="35"/>
      <c r="D1591" s="35"/>
      <c r="E1591" s="34"/>
      <c r="F1591" s="34"/>
      <c r="G1591" s="34"/>
      <c r="H1591" s="34"/>
      <c r="I1591" s="36"/>
      <c r="J1591" s="34"/>
      <c r="K1591" s="34"/>
      <c r="L1591" s="34"/>
      <c r="M1591" s="36"/>
      <c r="N1591" s="36"/>
      <c r="O1591" s="36"/>
      <c r="P1591" s="36"/>
      <c r="Q1591" s="36"/>
      <c r="R1591" s="36"/>
      <c r="S1591" s="36"/>
    </row>
    <row r="1592">
      <c r="A1592" s="34"/>
      <c r="B1592" s="34"/>
      <c r="C1592" s="35"/>
      <c r="D1592" s="35"/>
      <c r="E1592" s="34"/>
      <c r="F1592" s="34"/>
      <c r="G1592" s="34"/>
      <c r="H1592" s="34"/>
      <c r="I1592" s="34"/>
      <c r="J1592" s="34"/>
      <c r="K1592" s="34"/>
      <c r="L1592" s="34"/>
      <c r="M1592" s="36"/>
      <c r="N1592" s="36"/>
      <c r="O1592" s="36"/>
      <c r="P1592" s="36"/>
      <c r="Q1592" s="36"/>
      <c r="R1592" s="36"/>
      <c r="S1592" s="36"/>
    </row>
    <row r="1593">
      <c r="A1593" s="34"/>
      <c r="B1593" s="36"/>
      <c r="C1593" s="35"/>
      <c r="D1593" s="35"/>
      <c r="E1593" s="34"/>
      <c r="F1593" s="34"/>
      <c r="G1593" s="34"/>
      <c r="H1593" s="34"/>
      <c r="I1593" s="36"/>
      <c r="J1593" s="34"/>
      <c r="K1593" s="34"/>
      <c r="L1593" s="34"/>
      <c r="M1593" s="36"/>
      <c r="N1593" s="36"/>
      <c r="O1593" s="36"/>
      <c r="P1593" s="36"/>
      <c r="Q1593" s="36"/>
      <c r="R1593" s="36"/>
      <c r="S1593" s="36"/>
    </row>
    <row r="1594">
      <c r="A1594" s="34"/>
      <c r="B1594" s="36"/>
      <c r="C1594" s="35"/>
      <c r="D1594" s="35"/>
      <c r="E1594" s="34"/>
      <c r="F1594" s="34"/>
      <c r="G1594" s="34"/>
      <c r="H1594" s="34"/>
      <c r="I1594" s="36"/>
      <c r="J1594" s="34"/>
      <c r="K1594" s="34"/>
      <c r="L1594" s="34"/>
      <c r="M1594" s="36"/>
      <c r="N1594" s="36"/>
      <c r="O1594" s="36"/>
      <c r="P1594" s="36"/>
      <c r="Q1594" s="36"/>
      <c r="R1594" s="36"/>
      <c r="S1594" s="36"/>
    </row>
    <row r="1595">
      <c r="A1595" s="34"/>
      <c r="B1595" s="36"/>
      <c r="C1595" s="35"/>
      <c r="D1595" s="35"/>
      <c r="E1595" s="34"/>
      <c r="F1595" s="34"/>
      <c r="G1595" s="34"/>
      <c r="H1595" s="34"/>
      <c r="I1595" s="36"/>
      <c r="J1595" s="34"/>
      <c r="K1595" s="34"/>
      <c r="L1595" s="34"/>
      <c r="M1595" s="36"/>
      <c r="N1595" s="36"/>
      <c r="O1595" s="36"/>
      <c r="P1595" s="36"/>
      <c r="Q1595" s="36"/>
      <c r="R1595" s="36"/>
      <c r="S1595" s="36"/>
    </row>
    <row r="1596">
      <c r="A1596" s="34"/>
      <c r="B1596" s="34"/>
      <c r="C1596" s="35"/>
      <c r="D1596" s="35"/>
      <c r="E1596" s="34"/>
      <c r="F1596" s="34"/>
      <c r="G1596" s="34"/>
      <c r="H1596" s="34"/>
      <c r="I1596" s="34"/>
      <c r="J1596" s="34"/>
      <c r="K1596" s="34"/>
      <c r="L1596" s="34"/>
      <c r="M1596" s="36"/>
      <c r="N1596" s="36"/>
      <c r="O1596" s="36"/>
      <c r="P1596" s="36"/>
      <c r="Q1596" s="36"/>
      <c r="R1596" s="36"/>
      <c r="S1596" s="36"/>
    </row>
    <row r="1597">
      <c r="A1597" s="34"/>
      <c r="B1597" s="36"/>
      <c r="C1597" s="35"/>
      <c r="D1597" s="35"/>
      <c r="E1597" s="34"/>
      <c r="F1597" s="34"/>
      <c r="G1597" s="34"/>
      <c r="H1597" s="34"/>
      <c r="I1597" s="36"/>
      <c r="J1597" s="34"/>
      <c r="K1597" s="34"/>
      <c r="L1597" s="34"/>
      <c r="M1597" s="36"/>
      <c r="N1597" s="36"/>
      <c r="O1597" s="36"/>
      <c r="P1597" s="36"/>
      <c r="Q1597" s="36"/>
      <c r="R1597" s="36"/>
      <c r="S1597" s="36"/>
    </row>
    <row r="1598">
      <c r="A1598" s="34"/>
      <c r="B1598" s="36"/>
      <c r="C1598" s="35"/>
      <c r="D1598" s="35"/>
      <c r="E1598" s="34"/>
      <c r="F1598" s="34"/>
      <c r="G1598" s="34"/>
      <c r="H1598" s="34"/>
      <c r="I1598" s="36"/>
      <c r="J1598" s="34"/>
      <c r="K1598" s="34"/>
      <c r="L1598" s="34"/>
      <c r="M1598" s="36"/>
      <c r="N1598" s="36"/>
      <c r="O1598" s="36"/>
      <c r="P1598" s="36"/>
      <c r="Q1598" s="36"/>
      <c r="R1598" s="36"/>
      <c r="S1598" s="36"/>
    </row>
    <row r="1599">
      <c r="A1599" s="34"/>
      <c r="B1599" s="36"/>
      <c r="C1599" s="35"/>
      <c r="D1599" s="35"/>
      <c r="E1599" s="34"/>
      <c r="F1599" s="34"/>
      <c r="G1599" s="34"/>
      <c r="H1599" s="34"/>
      <c r="I1599" s="34"/>
      <c r="J1599" s="34"/>
      <c r="K1599" s="34"/>
      <c r="L1599" s="34"/>
      <c r="M1599" s="36"/>
      <c r="N1599" s="36"/>
      <c r="O1599" s="36"/>
      <c r="P1599" s="36"/>
      <c r="Q1599" s="36"/>
      <c r="R1599" s="36"/>
      <c r="S1599" s="36"/>
    </row>
    <row r="1600">
      <c r="A1600" s="34"/>
      <c r="B1600" s="34"/>
      <c r="C1600" s="35"/>
      <c r="D1600" s="35"/>
      <c r="E1600" s="34"/>
      <c r="F1600" s="34"/>
      <c r="G1600" s="34"/>
      <c r="H1600" s="34"/>
      <c r="I1600" s="34"/>
      <c r="J1600" s="34"/>
      <c r="K1600" s="34"/>
      <c r="L1600" s="34"/>
      <c r="M1600" s="36"/>
      <c r="N1600" s="36"/>
      <c r="O1600" s="36"/>
      <c r="P1600" s="36"/>
      <c r="Q1600" s="36"/>
      <c r="R1600" s="36"/>
      <c r="S1600" s="36"/>
    </row>
    <row r="1601">
      <c r="A1601" s="34"/>
      <c r="B1601" s="36"/>
      <c r="C1601" s="35"/>
      <c r="D1601" s="35"/>
      <c r="E1601" s="34"/>
      <c r="F1601" s="34"/>
      <c r="G1601" s="34"/>
      <c r="H1601" s="34"/>
      <c r="I1601" s="36"/>
      <c r="J1601" s="34"/>
      <c r="K1601" s="34"/>
      <c r="L1601" s="34"/>
      <c r="M1601" s="36"/>
      <c r="N1601" s="36"/>
      <c r="O1601" s="36"/>
      <c r="P1601" s="36"/>
      <c r="Q1601" s="36"/>
      <c r="R1601" s="36"/>
      <c r="S1601" s="36"/>
    </row>
    <row r="1602">
      <c r="A1602" s="34"/>
      <c r="B1602" s="34"/>
      <c r="C1602" s="35"/>
      <c r="D1602" s="35"/>
      <c r="E1602" s="34"/>
      <c r="F1602" s="34"/>
      <c r="G1602" s="34"/>
      <c r="H1602" s="34"/>
      <c r="I1602" s="34"/>
      <c r="J1602" s="34"/>
      <c r="K1602" s="34"/>
      <c r="L1602" s="34"/>
      <c r="M1602" s="36"/>
      <c r="N1602" s="36"/>
      <c r="O1602" s="36"/>
      <c r="P1602" s="36"/>
      <c r="Q1602" s="36"/>
      <c r="R1602" s="36"/>
      <c r="S1602" s="36"/>
    </row>
    <row r="1603">
      <c r="A1603" s="34"/>
      <c r="B1603" s="36"/>
      <c r="C1603" s="35"/>
      <c r="D1603" s="35"/>
      <c r="E1603" s="34"/>
      <c r="F1603" s="34"/>
      <c r="G1603" s="34"/>
      <c r="H1603" s="34"/>
      <c r="I1603" s="36"/>
      <c r="J1603" s="34"/>
      <c r="K1603" s="34"/>
      <c r="L1603" s="34"/>
      <c r="M1603" s="36"/>
      <c r="N1603" s="36"/>
      <c r="O1603" s="36"/>
      <c r="P1603" s="36"/>
      <c r="Q1603" s="36"/>
      <c r="R1603" s="36"/>
      <c r="S1603" s="36"/>
    </row>
    <row r="1604">
      <c r="A1604" s="34"/>
      <c r="B1604" s="36"/>
      <c r="C1604" s="35"/>
      <c r="D1604" s="35"/>
      <c r="E1604" s="34"/>
      <c r="F1604" s="34"/>
      <c r="G1604" s="34"/>
      <c r="H1604" s="34"/>
      <c r="I1604" s="36"/>
      <c r="J1604" s="34"/>
      <c r="K1604" s="34"/>
      <c r="L1604" s="34"/>
      <c r="M1604" s="36"/>
      <c r="N1604" s="36"/>
      <c r="O1604" s="36"/>
      <c r="P1604" s="36"/>
      <c r="Q1604" s="36"/>
      <c r="R1604" s="36"/>
      <c r="S1604" s="36"/>
    </row>
    <row r="1605">
      <c r="A1605" s="34"/>
      <c r="B1605" s="36"/>
      <c r="C1605" s="35"/>
      <c r="D1605" s="35"/>
      <c r="E1605" s="34"/>
      <c r="F1605" s="34"/>
      <c r="G1605" s="34"/>
      <c r="H1605" s="34"/>
      <c r="I1605" s="36"/>
      <c r="J1605" s="34"/>
      <c r="K1605" s="34"/>
      <c r="L1605" s="34"/>
      <c r="M1605" s="36"/>
      <c r="N1605" s="36"/>
      <c r="O1605" s="36"/>
      <c r="P1605" s="36"/>
      <c r="Q1605" s="36"/>
      <c r="R1605" s="36"/>
      <c r="S1605" s="36"/>
    </row>
    <row r="1606">
      <c r="A1606" s="34"/>
      <c r="B1606" s="36"/>
      <c r="C1606" s="35"/>
      <c r="D1606" s="35"/>
      <c r="E1606" s="34"/>
      <c r="F1606" s="34"/>
      <c r="G1606" s="34"/>
      <c r="H1606" s="34"/>
      <c r="I1606" s="36"/>
      <c r="J1606" s="34"/>
      <c r="K1606" s="34"/>
      <c r="L1606" s="34"/>
      <c r="M1606" s="36"/>
      <c r="N1606" s="36"/>
      <c r="O1606" s="36"/>
      <c r="P1606" s="36"/>
      <c r="Q1606" s="36"/>
      <c r="R1606" s="36"/>
      <c r="S1606" s="36"/>
    </row>
    <row r="1607">
      <c r="A1607" s="34"/>
      <c r="B1607" s="34"/>
      <c r="C1607" s="35"/>
      <c r="D1607" s="35"/>
      <c r="E1607" s="34"/>
      <c r="F1607" s="34"/>
      <c r="G1607" s="34"/>
      <c r="H1607" s="34"/>
      <c r="I1607" s="34"/>
      <c r="J1607" s="34"/>
      <c r="K1607" s="34"/>
      <c r="L1607" s="34"/>
      <c r="M1607" s="36"/>
      <c r="N1607" s="36"/>
      <c r="O1607" s="36"/>
      <c r="P1607" s="36"/>
      <c r="Q1607" s="36"/>
      <c r="R1607" s="36"/>
      <c r="S1607" s="36"/>
    </row>
    <row r="1608">
      <c r="A1608" s="34"/>
      <c r="B1608" s="34"/>
      <c r="C1608" s="35"/>
      <c r="D1608" s="35"/>
      <c r="E1608" s="34"/>
      <c r="F1608" s="34"/>
      <c r="G1608" s="34"/>
      <c r="H1608" s="34"/>
      <c r="I1608" s="34"/>
      <c r="J1608" s="34"/>
      <c r="K1608" s="34"/>
      <c r="L1608" s="34"/>
      <c r="M1608" s="36"/>
      <c r="N1608" s="36"/>
      <c r="O1608" s="36"/>
      <c r="P1608" s="36"/>
      <c r="Q1608" s="36"/>
      <c r="R1608" s="36"/>
      <c r="S1608" s="36"/>
    </row>
    <row r="1609">
      <c r="A1609" s="34"/>
      <c r="B1609" s="36"/>
      <c r="C1609" s="35"/>
      <c r="D1609" s="35"/>
      <c r="E1609" s="34"/>
      <c r="F1609" s="34"/>
      <c r="G1609" s="34"/>
      <c r="H1609" s="34"/>
      <c r="I1609" s="36"/>
      <c r="J1609" s="34"/>
      <c r="K1609" s="34"/>
      <c r="L1609" s="34"/>
      <c r="M1609" s="36"/>
      <c r="N1609" s="36"/>
      <c r="O1609" s="36"/>
      <c r="P1609" s="36"/>
      <c r="Q1609" s="36"/>
      <c r="R1609" s="36"/>
      <c r="S1609" s="36"/>
    </row>
    <row r="1610">
      <c r="A1610" s="34"/>
      <c r="B1610" s="36"/>
      <c r="C1610" s="35"/>
      <c r="D1610" s="35"/>
      <c r="E1610" s="34"/>
      <c r="F1610" s="34"/>
      <c r="G1610" s="34"/>
      <c r="H1610" s="34"/>
      <c r="I1610" s="34"/>
      <c r="J1610" s="34"/>
      <c r="K1610" s="34"/>
      <c r="L1610" s="34"/>
      <c r="M1610" s="36"/>
      <c r="N1610" s="36"/>
      <c r="O1610" s="36"/>
      <c r="P1610" s="36"/>
      <c r="Q1610" s="36"/>
      <c r="R1610" s="36"/>
      <c r="S1610" s="36"/>
    </row>
    <row r="1611">
      <c r="A1611" s="34"/>
      <c r="B1611" s="36"/>
      <c r="C1611" s="35"/>
      <c r="D1611" s="35"/>
      <c r="E1611" s="34"/>
      <c r="F1611" s="34"/>
      <c r="G1611" s="34"/>
      <c r="H1611" s="34"/>
      <c r="I1611" s="36"/>
      <c r="J1611" s="34"/>
      <c r="K1611" s="34"/>
      <c r="L1611" s="34"/>
      <c r="M1611" s="36"/>
      <c r="N1611" s="36"/>
      <c r="O1611" s="36"/>
      <c r="P1611" s="36"/>
      <c r="Q1611" s="36"/>
      <c r="R1611" s="36"/>
      <c r="S1611" s="36"/>
    </row>
    <row r="1612">
      <c r="A1612" s="34"/>
      <c r="B1612" s="36"/>
      <c r="C1612" s="35"/>
      <c r="D1612" s="35"/>
      <c r="E1612" s="34"/>
      <c r="F1612" s="34"/>
      <c r="G1612" s="34"/>
      <c r="H1612" s="34"/>
      <c r="I1612" s="34"/>
      <c r="J1612" s="34"/>
      <c r="K1612" s="34"/>
      <c r="L1612" s="34"/>
      <c r="M1612" s="36"/>
      <c r="N1612" s="36"/>
      <c r="O1612" s="36"/>
      <c r="P1612" s="36"/>
      <c r="Q1612" s="36"/>
      <c r="R1612" s="36"/>
      <c r="S1612" s="36"/>
    </row>
    <row r="1613">
      <c r="A1613" s="34"/>
      <c r="B1613" s="34"/>
      <c r="C1613" s="35"/>
      <c r="D1613" s="35"/>
      <c r="E1613" s="34"/>
      <c r="F1613" s="34"/>
      <c r="G1613" s="34"/>
      <c r="H1613" s="34"/>
      <c r="I1613" s="34"/>
      <c r="J1613" s="34"/>
      <c r="K1613" s="34"/>
      <c r="L1613" s="34"/>
      <c r="M1613" s="36"/>
      <c r="N1613" s="36"/>
      <c r="O1613" s="36"/>
      <c r="P1613" s="36"/>
      <c r="Q1613" s="36"/>
      <c r="R1613" s="36"/>
      <c r="S1613" s="36"/>
    </row>
    <row r="1614">
      <c r="A1614" s="34"/>
      <c r="B1614" s="36"/>
      <c r="C1614" s="35"/>
      <c r="D1614" s="35"/>
      <c r="E1614" s="34"/>
      <c r="F1614" s="34"/>
      <c r="G1614" s="34"/>
      <c r="H1614" s="34"/>
      <c r="I1614" s="36"/>
      <c r="J1614" s="34"/>
      <c r="K1614" s="34"/>
      <c r="L1614" s="34"/>
      <c r="M1614" s="36"/>
      <c r="N1614" s="36"/>
      <c r="O1614" s="36"/>
      <c r="P1614" s="36"/>
      <c r="Q1614" s="36"/>
      <c r="R1614" s="36"/>
      <c r="S1614" s="36"/>
    </row>
    <row r="1615">
      <c r="A1615" s="34"/>
      <c r="B1615" s="36"/>
      <c r="C1615" s="35"/>
      <c r="D1615" s="35"/>
      <c r="E1615" s="34"/>
      <c r="F1615" s="34"/>
      <c r="G1615" s="34"/>
      <c r="H1615" s="34"/>
      <c r="I1615" s="36"/>
      <c r="J1615" s="34"/>
      <c r="K1615" s="34"/>
      <c r="L1615" s="34"/>
      <c r="M1615" s="36"/>
      <c r="N1615" s="36"/>
      <c r="O1615" s="36"/>
      <c r="P1615" s="36"/>
      <c r="Q1615" s="36"/>
      <c r="R1615" s="36"/>
      <c r="S1615" s="36"/>
    </row>
    <row r="1616">
      <c r="A1616" s="34"/>
      <c r="B1616" s="34"/>
      <c r="C1616" s="35"/>
      <c r="D1616" s="35"/>
      <c r="E1616" s="34"/>
      <c r="F1616" s="34"/>
      <c r="G1616" s="34"/>
      <c r="H1616" s="34"/>
      <c r="I1616" s="34"/>
      <c r="J1616" s="34"/>
      <c r="K1616" s="34"/>
      <c r="L1616" s="34"/>
      <c r="M1616" s="36"/>
      <c r="N1616" s="36"/>
      <c r="O1616" s="36"/>
      <c r="P1616" s="36"/>
      <c r="Q1616" s="36"/>
      <c r="R1616" s="36"/>
      <c r="S1616" s="36"/>
    </row>
    <row r="1617">
      <c r="A1617" s="34"/>
      <c r="B1617" s="34"/>
      <c r="C1617" s="35"/>
      <c r="D1617" s="35"/>
      <c r="E1617" s="34"/>
      <c r="F1617" s="34"/>
      <c r="G1617" s="34"/>
      <c r="H1617" s="34"/>
      <c r="I1617" s="34"/>
      <c r="J1617" s="34"/>
      <c r="K1617" s="34"/>
      <c r="L1617" s="34"/>
      <c r="M1617" s="36"/>
      <c r="N1617" s="36"/>
      <c r="O1617" s="36"/>
      <c r="P1617" s="36"/>
      <c r="Q1617" s="36"/>
      <c r="R1617" s="36"/>
      <c r="S1617" s="36"/>
    </row>
    <row r="1618">
      <c r="A1618" s="34"/>
      <c r="B1618" s="34"/>
      <c r="C1618" s="35"/>
      <c r="D1618" s="35"/>
      <c r="E1618" s="34"/>
      <c r="F1618" s="34"/>
      <c r="G1618" s="34"/>
      <c r="H1618" s="34"/>
      <c r="I1618" s="34"/>
      <c r="J1618" s="34"/>
      <c r="K1618" s="34"/>
      <c r="L1618" s="34"/>
      <c r="M1618" s="36"/>
      <c r="N1618" s="36"/>
      <c r="O1618" s="36"/>
      <c r="P1618" s="36"/>
      <c r="Q1618" s="36"/>
      <c r="R1618" s="36"/>
      <c r="S1618" s="36"/>
    </row>
    <row r="1619">
      <c r="A1619" s="34"/>
      <c r="B1619" s="34"/>
      <c r="C1619" s="35"/>
      <c r="D1619" s="35"/>
      <c r="E1619" s="34"/>
      <c r="F1619" s="34"/>
      <c r="G1619" s="34"/>
      <c r="H1619" s="34"/>
      <c r="I1619" s="34"/>
      <c r="J1619" s="34"/>
      <c r="K1619" s="34"/>
      <c r="L1619" s="34"/>
      <c r="M1619" s="36"/>
      <c r="N1619" s="36"/>
      <c r="O1619" s="36"/>
      <c r="P1619" s="36"/>
      <c r="Q1619" s="36"/>
      <c r="R1619" s="36"/>
      <c r="S1619" s="36"/>
    </row>
    <row r="1620">
      <c r="A1620" s="34"/>
      <c r="B1620" s="36"/>
      <c r="C1620" s="35"/>
      <c r="D1620" s="35"/>
      <c r="E1620" s="34"/>
      <c r="F1620" s="34"/>
      <c r="G1620" s="34"/>
      <c r="H1620" s="34"/>
      <c r="I1620" s="36"/>
      <c r="J1620" s="34"/>
      <c r="K1620" s="34"/>
      <c r="L1620" s="34"/>
      <c r="M1620" s="36"/>
      <c r="N1620" s="36"/>
      <c r="O1620" s="36"/>
      <c r="P1620" s="36"/>
      <c r="Q1620" s="36"/>
      <c r="R1620" s="36"/>
      <c r="S1620" s="36"/>
    </row>
    <row r="1621">
      <c r="A1621" s="34"/>
      <c r="B1621" s="36"/>
      <c r="C1621" s="35"/>
      <c r="D1621" s="35"/>
      <c r="E1621" s="34"/>
      <c r="F1621" s="34"/>
      <c r="G1621" s="34"/>
      <c r="H1621" s="34"/>
      <c r="I1621" s="36"/>
      <c r="J1621" s="34"/>
      <c r="K1621" s="34"/>
      <c r="L1621" s="34"/>
      <c r="M1621" s="36"/>
      <c r="N1621" s="36"/>
      <c r="O1621" s="36"/>
      <c r="P1621" s="36"/>
      <c r="Q1621" s="36"/>
      <c r="R1621" s="36"/>
      <c r="S1621" s="36"/>
    </row>
    <row r="1622">
      <c r="A1622" s="34"/>
      <c r="B1622" s="34"/>
      <c r="C1622" s="35"/>
      <c r="D1622" s="35"/>
      <c r="E1622" s="34"/>
      <c r="F1622" s="34"/>
      <c r="G1622" s="34"/>
      <c r="H1622" s="34"/>
      <c r="I1622" s="34"/>
      <c r="J1622" s="34"/>
      <c r="K1622" s="34"/>
      <c r="L1622" s="34"/>
      <c r="M1622" s="36"/>
      <c r="N1622" s="36"/>
      <c r="O1622" s="36"/>
      <c r="P1622" s="36"/>
      <c r="Q1622" s="36"/>
      <c r="R1622" s="36"/>
      <c r="S1622" s="36"/>
    </row>
    <row r="1623">
      <c r="A1623" s="34"/>
      <c r="B1623" s="36"/>
      <c r="C1623" s="35"/>
      <c r="D1623" s="35"/>
      <c r="E1623" s="34"/>
      <c r="F1623" s="34"/>
      <c r="G1623" s="34"/>
      <c r="H1623" s="34"/>
      <c r="I1623" s="36"/>
      <c r="J1623" s="34"/>
      <c r="K1623" s="34"/>
      <c r="L1623" s="34"/>
      <c r="M1623" s="36"/>
      <c r="N1623" s="36"/>
      <c r="O1623" s="36"/>
      <c r="P1623" s="36"/>
      <c r="Q1623" s="36"/>
      <c r="R1623" s="36"/>
      <c r="S1623" s="36"/>
    </row>
    <row r="1624">
      <c r="A1624" s="34"/>
      <c r="B1624" s="36"/>
      <c r="C1624" s="35"/>
      <c r="D1624" s="35"/>
      <c r="E1624" s="34"/>
      <c r="F1624" s="34"/>
      <c r="G1624" s="34"/>
      <c r="H1624" s="34"/>
      <c r="I1624" s="34"/>
      <c r="J1624" s="34"/>
      <c r="K1624" s="34"/>
      <c r="L1624" s="34"/>
      <c r="M1624" s="36"/>
      <c r="N1624" s="36"/>
      <c r="O1624" s="36"/>
      <c r="P1624" s="36"/>
      <c r="Q1624" s="36"/>
      <c r="R1624" s="36"/>
      <c r="S1624" s="36"/>
    </row>
    <row r="1625">
      <c r="A1625" s="34"/>
      <c r="B1625" s="36"/>
      <c r="C1625" s="35"/>
      <c r="D1625" s="35"/>
      <c r="E1625" s="34"/>
      <c r="F1625" s="34"/>
      <c r="G1625" s="34"/>
      <c r="H1625" s="34"/>
      <c r="I1625" s="36"/>
      <c r="J1625" s="34"/>
      <c r="K1625" s="34"/>
      <c r="L1625" s="34"/>
      <c r="M1625" s="36"/>
      <c r="N1625" s="36"/>
      <c r="O1625" s="36"/>
      <c r="P1625" s="36"/>
      <c r="Q1625" s="36"/>
      <c r="R1625" s="36"/>
      <c r="S1625" s="36"/>
    </row>
    <row r="1626">
      <c r="A1626" s="34"/>
      <c r="B1626" s="36"/>
      <c r="C1626" s="35"/>
      <c r="D1626" s="35"/>
      <c r="E1626" s="34"/>
      <c r="F1626" s="34"/>
      <c r="G1626" s="34"/>
      <c r="H1626" s="34"/>
      <c r="I1626" s="34"/>
      <c r="J1626" s="34"/>
      <c r="K1626" s="34"/>
      <c r="L1626" s="34"/>
      <c r="M1626" s="36"/>
      <c r="N1626" s="36"/>
      <c r="O1626" s="36"/>
      <c r="P1626" s="36"/>
      <c r="Q1626" s="36"/>
      <c r="R1626" s="36"/>
      <c r="S1626" s="36"/>
    </row>
    <row r="1627">
      <c r="A1627" s="34"/>
      <c r="B1627" s="34"/>
      <c r="C1627" s="35"/>
      <c r="D1627" s="35"/>
      <c r="E1627" s="34"/>
      <c r="F1627" s="34"/>
      <c r="G1627" s="34"/>
      <c r="H1627" s="34"/>
      <c r="I1627" s="34"/>
      <c r="J1627" s="34"/>
      <c r="K1627" s="34"/>
      <c r="L1627" s="34"/>
      <c r="M1627" s="36"/>
      <c r="N1627" s="36"/>
      <c r="O1627" s="36"/>
      <c r="P1627" s="36"/>
      <c r="Q1627" s="36"/>
      <c r="R1627" s="36"/>
      <c r="S1627" s="36"/>
    </row>
    <row r="1628">
      <c r="A1628" s="34"/>
      <c r="B1628" s="36"/>
      <c r="C1628" s="35"/>
      <c r="D1628" s="35"/>
      <c r="E1628" s="34"/>
      <c r="F1628" s="34"/>
      <c r="G1628" s="34"/>
      <c r="H1628" s="34"/>
      <c r="I1628" s="36"/>
      <c r="J1628" s="34"/>
      <c r="K1628" s="34"/>
      <c r="L1628" s="34"/>
      <c r="M1628" s="36"/>
      <c r="N1628" s="36"/>
      <c r="O1628" s="36"/>
      <c r="P1628" s="36"/>
      <c r="Q1628" s="36"/>
      <c r="R1628" s="36"/>
      <c r="S1628" s="36"/>
    </row>
    <row r="1629">
      <c r="A1629" s="34"/>
      <c r="B1629" s="36"/>
      <c r="C1629" s="35"/>
      <c r="D1629" s="35"/>
      <c r="E1629" s="34"/>
      <c r="F1629" s="34"/>
      <c r="G1629" s="34"/>
      <c r="H1629" s="34"/>
      <c r="I1629" s="34"/>
      <c r="J1629" s="34"/>
      <c r="K1629" s="34"/>
      <c r="L1629" s="34"/>
      <c r="M1629" s="36"/>
      <c r="N1629" s="36"/>
      <c r="O1629" s="36"/>
      <c r="P1629" s="36"/>
      <c r="Q1629" s="36"/>
      <c r="R1629" s="36"/>
      <c r="S1629" s="36"/>
    </row>
    <row r="1630">
      <c r="A1630" s="34"/>
      <c r="B1630" s="34"/>
      <c r="C1630" s="35"/>
      <c r="D1630" s="35"/>
      <c r="E1630" s="34"/>
      <c r="F1630" s="34"/>
      <c r="G1630" s="34"/>
      <c r="H1630" s="34"/>
      <c r="I1630" s="34"/>
      <c r="J1630" s="34"/>
      <c r="K1630" s="34"/>
      <c r="L1630" s="34"/>
      <c r="M1630" s="36"/>
      <c r="N1630" s="36"/>
      <c r="O1630" s="36"/>
      <c r="P1630" s="36"/>
      <c r="Q1630" s="36"/>
      <c r="R1630" s="36"/>
      <c r="S1630" s="36"/>
    </row>
    <row r="1631">
      <c r="A1631" s="34"/>
      <c r="B1631" s="36"/>
      <c r="C1631" s="35"/>
      <c r="D1631" s="35"/>
      <c r="E1631" s="34"/>
      <c r="F1631" s="34"/>
      <c r="G1631" s="34"/>
      <c r="H1631" s="34"/>
      <c r="I1631" s="34"/>
      <c r="J1631" s="34"/>
      <c r="K1631" s="34"/>
      <c r="L1631" s="34"/>
      <c r="M1631" s="36"/>
      <c r="N1631" s="36"/>
      <c r="O1631" s="36"/>
      <c r="P1631" s="36"/>
      <c r="Q1631" s="36"/>
      <c r="R1631" s="36"/>
      <c r="S1631" s="36"/>
    </row>
    <row r="1632">
      <c r="A1632" s="34"/>
      <c r="B1632" s="36"/>
      <c r="C1632" s="35"/>
      <c r="D1632" s="35"/>
      <c r="E1632" s="34"/>
      <c r="F1632" s="34"/>
      <c r="G1632" s="34"/>
      <c r="H1632" s="34"/>
      <c r="I1632" s="36"/>
      <c r="J1632" s="34"/>
      <c r="K1632" s="34"/>
      <c r="L1632" s="34"/>
      <c r="M1632" s="36"/>
      <c r="N1632" s="36"/>
      <c r="O1632" s="36"/>
      <c r="P1632" s="36"/>
      <c r="Q1632" s="36"/>
      <c r="R1632" s="36"/>
      <c r="S1632" s="36"/>
    </row>
    <row r="1633">
      <c r="A1633" s="34"/>
      <c r="B1633" s="34"/>
      <c r="C1633" s="35"/>
      <c r="D1633" s="35"/>
      <c r="E1633" s="34"/>
      <c r="F1633" s="34"/>
      <c r="G1633" s="34"/>
      <c r="H1633" s="34"/>
      <c r="I1633" s="34"/>
      <c r="J1633" s="34"/>
      <c r="K1633" s="34"/>
      <c r="L1633" s="34"/>
      <c r="M1633" s="36"/>
      <c r="N1633" s="36"/>
      <c r="O1633" s="36"/>
      <c r="P1633" s="36"/>
      <c r="Q1633" s="36"/>
      <c r="R1633" s="36"/>
      <c r="S1633" s="36"/>
    </row>
    <row r="1634">
      <c r="A1634" s="34"/>
      <c r="B1634" s="34"/>
      <c r="C1634" s="35"/>
      <c r="D1634" s="35"/>
      <c r="E1634" s="34"/>
      <c r="F1634" s="34"/>
      <c r="G1634" s="34"/>
      <c r="H1634" s="34"/>
      <c r="I1634" s="34"/>
      <c r="J1634" s="34"/>
      <c r="K1634" s="34"/>
      <c r="L1634" s="34"/>
      <c r="M1634" s="36"/>
      <c r="N1634" s="36"/>
      <c r="O1634" s="36"/>
      <c r="P1634" s="36"/>
      <c r="Q1634" s="36"/>
      <c r="R1634" s="36"/>
      <c r="S1634" s="36"/>
    </row>
    <row r="1635">
      <c r="A1635" s="34"/>
      <c r="B1635" s="36"/>
      <c r="C1635" s="35"/>
      <c r="D1635" s="35"/>
      <c r="E1635" s="34"/>
      <c r="F1635" s="34"/>
      <c r="G1635" s="34"/>
      <c r="H1635" s="34"/>
      <c r="I1635" s="34"/>
      <c r="J1635" s="34"/>
      <c r="K1635" s="34"/>
      <c r="L1635" s="34"/>
      <c r="M1635" s="36"/>
      <c r="N1635" s="36"/>
      <c r="O1635" s="36"/>
      <c r="P1635" s="36"/>
      <c r="Q1635" s="36"/>
      <c r="R1635" s="36"/>
      <c r="S1635" s="36"/>
    </row>
    <row r="1636">
      <c r="A1636" s="34"/>
      <c r="B1636" s="36"/>
      <c r="C1636" s="35"/>
      <c r="D1636" s="35"/>
      <c r="E1636" s="34"/>
      <c r="F1636" s="34"/>
      <c r="G1636" s="34"/>
      <c r="H1636" s="34"/>
      <c r="I1636" s="34"/>
      <c r="J1636" s="34"/>
      <c r="K1636" s="34"/>
      <c r="L1636" s="34"/>
      <c r="M1636" s="36"/>
      <c r="N1636" s="36"/>
      <c r="O1636" s="36"/>
      <c r="P1636" s="36"/>
      <c r="Q1636" s="36"/>
      <c r="R1636" s="36"/>
      <c r="S1636" s="36"/>
    </row>
    <row r="1637">
      <c r="A1637" s="34"/>
      <c r="B1637" s="36"/>
      <c r="C1637" s="35"/>
      <c r="D1637" s="35"/>
      <c r="E1637" s="34"/>
      <c r="F1637" s="34"/>
      <c r="G1637" s="34"/>
      <c r="H1637" s="34"/>
      <c r="I1637" s="36"/>
      <c r="J1637" s="34"/>
      <c r="K1637" s="34"/>
      <c r="L1637" s="34"/>
      <c r="M1637" s="36"/>
      <c r="N1637" s="36"/>
      <c r="O1637" s="36"/>
      <c r="P1637" s="36"/>
      <c r="Q1637" s="36"/>
      <c r="R1637" s="36"/>
      <c r="S1637" s="36"/>
    </row>
    <row r="1638">
      <c r="A1638" s="34"/>
      <c r="B1638" s="36"/>
      <c r="C1638" s="35"/>
      <c r="D1638" s="35"/>
      <c r="E1638" s="34"/>
      <c r="F1638" s="34"/>
      <c r="G1638" s="34"/>
      <c r="H1638" s="34"/>
      <c r="I1638" s="34"/>
      <c r="J1638" s="34"/>
      <c r="K1638" s="34"/>
      <c r="L1638" s="34"/>
      <c r="M1638" s="36"/>
      <c r="N1638" s="36"/>
      <c r="O1638" s="36"/>
      <c r="P1638" s="36"/>
      <c r="Q1638" s="36"/>
      <c r="R1638" s="36"/>
      <c r="S1638" s="36"/>
    </row>
    <row r="1639">
      <c r="A1639" s="34"/>
      <c r="B1639" s="36"/>
      <c r="C1639" s="35"/>
      <c r="D1639" s="35"/>
      <c r="E1639" s="34"/>
      <c r="F1639" s="34"/>
      <c r="G1639" s="34"/>
      <c r="H1639" s="34"/>
      <c r="I1639" s="36"/>
      <c r="J1639" s="34"/>
      <c r="K1639" s="34"/>
      <c r="L1639" s="34"/>
      <c r="M1639" s="36"/>
      <c r="N1639" s="36"/>
      <c r="O1639" s="36"/>
      <c r="P1639" s="36"/>
      <c r="Q1639" s="36"/>
      <c r="R1639" s="36"/>
      <c r="S1639" s="36"/>
    </row>
    <row r="1640">
      <c r="A1640" s="34"/>
      <c r="B1640" s="36"/>
      <c r="C1640" s="35"/>
      <c r="D1640" s="35"/>
      <c r="E1640" s="34"/>
      <c r="F1640" s="34"/>
      <c r="G1640" s="34"/>
      <c r="H1640" s="34"/>
      <c r="I1640" s="34"/>
      <c r="J1640" s="34"/>
      <c r="K1640" s="34"/>
      <c r="L1640" s="34"/>
      <c r="M1640" s="36"/>
      <c r="N1640" s="36"/>
      <c r="O1640" s="36"/>
      <c r="P1640" s="36"/>
      <c r="Q1640" s="36"/>
      <c r="R1640" s="36"/>
      <c r="S1640" s="36"/>
    </row>
    <row r="1641">
      <c r="A1641" s="34"/>
      <c r="B1641" s="36"/>
      <c r="C1641" s="35"/>
      <c r="D1641" s="35"/>
      <c r="E1641" s="34"/>
      <c r="F1641" s="34"/>
      <c r="G1641" s="34"/>
      <c r="H1641" s="34"/>
      <c r="I1641" s="36"/>
      <c r="J1641" s="34"/>
      <c r="K1641" s="34"/>
      <c r="L1641" s="34"/>
      <c r="M1641" s="36"/>
      <c r="N1641" s="36"/>
      <c r="O1641" s="36"/>
      <c r="P1641" s="36"/>
      <c r="Q1641" s="36"/>
      <c r="R1641" s="36"/>
      <c r="S1641" s="36"/>
    </row>
    <row r="1642">
      <c r="A1642" s="34"/>
      <c r="B1642" s="36"/>
      <c r="C1642" s="35"/>
      <c r="D1642" s="35"/>
      <c r="E1642" s="34"/>
      <c r="F1642" s="34"/>
      <c r="G1642" s="34"/>
      <c r="H1642" s="34"/>
      <c r="I1642" s="34"/>
      <c r="J1642" s="34"/>
      <c r="K1642" s="34"/>
      <c r="L1642" s="34"/>
      <c r="M1642" s="36"/>
      <c r="N1642" s="36"/>
      <c r="O1642" s="36"/>
      <c r="P1642" s="36"/>
      <c r="Q1642" s="36"/>
      <c r="R1642" s="36"/>
      <c r="S1642" s="36"/>
    </row>
    <row r="1643">
      <c r="A1643" s="34"/>
      <c r="B1643" s="34"/>
      <c r="C1643" s="35"/>
      <c r="D1643" s="35"/>
      <c r="E1643" s="34"/>
      <c r="F1643" s="34"/>
      <c r="G1643" s="34"/>
      <c r="H1643" s="34"/>
      <c r="I1643" s="34"/>
      <c r="J1643" s="34"/>
      <c r="K1643" s="34"/>
      <c r="L1643" s="34"/>
      <c r="M1643" s="36"/>
      <c r="N1643" s="36"/>
      <c r="O1643" s="36"/>
      <c r="P1643" s="36"/>
      <c r="Q1643" s="36"/>
      <c r="R1643" s="36"/>
      <c r="S1643" s="36"/>
    </row>
    <row r="1644">
      <c r="A1644" s="34"/>
      <c r="B1644" s="36"/>
      <c r="C1644" s="35"/>
      <c r="D1644" s="35"/>
      <c r="E1644" s="34"/>
      <c r="F1644" s="34"/>
      <c r="G1644" s="34"/>
      <c r="H1644" s="34"/>
      <c r="I1644" s="34"/>
      <c r="J1644" s="34"/>
      <c r="K1644" s="34"/>
      <c r="L1644" s="34"/>
      <c r="M1644" s="36"/>
      <c r="N1644" s="36"/>
      <c r="O1644" s="36"/>
      <c r="P1644" s="36"/>
      <c r="Q1644" s="36"/>
      <c r="R1644" s="36"/>
      <c r="S1644" s="36"/>
    </row>
    <row r="1645">
      <c r="A1645" s="34"/>
      <c r="B1645" s="36"/>
      <c r="C1645" s="35"/>
      <c r="D1645" s="35"/>
      <c r="E1645" s="34"/>
      <c r="F1645" s="34"/>
      <c r="G1645" s="34"/>
      <c r="H1645" s="34"/>
      <c r="I1645" s="34"/>
      <c r="J1645" s="34"/>
      <c r="K1645" s="34"/>
      <c r="L1645" s="34"/>
      <c r="M1645" s="36"/>
      <c r="N1645" s="36"/>
      <c r="O1645" s="36"/>
      <c r="P1645" s="36"/>
      <c r="Q1645" s="36"/>
      <c r="R1645" s="36"/>
      <c r="S1645" s="36"/>
    </row>
    <row r="1646">
      <c r="A1646" s="34"/>
      <c r="B1646" s="34"/>
      <c r="C1646" s="35"/>
      <c r="D1646" s="35"/>
      <c r="E1646" s="34"/>
      <c r="F1646" s="34"/>
      <c r="G1646" s="34"/>
      <c r="H1646" s="34"/>
      <c r="I1646" s="34"/>
      <c r="J1646" s="34"/>
      <c r="K1646" s="34"/>
      <c r="L1646" s="34"/>
      <c r="M1646" s="36"/>
      <c r="N1646" s="36"/>
      <c r="O1646" s="36"/>
      <c r="P1646" s="36"/>
      <c r="Q1646" s="36"/>
      <c r="R1646" s="36"/>
      <c r="S1646" s="36"/>
    </row>
    <row r="1647">
      <c r="A1647" s="34"/>
      <c r="B1647" s="36"/>
      <c r="C1647" s="35"/>
      <c r="D1647" s="35"/>
      <c r="E1647" s="34"/>
      <c r="F1647" s="34"/>
      <c r="G1647" s="34"/>
      <c r="H1647" s="34"/>
      <c r="I1647" s="34"/>
      <c r="J1647" s="34"/>
      <c r="K1647" s="34"/>
      <c r="L1647" s="34"/>
      <c r="M1647" s="36"/>
      <c r="N1647" s="36"/>
      <c r="O1647" s="36"/>
      <c r="P1647" s="36"/>
      <c r="Q1647" s="36"/>
      <c r="R1647" s="36"/>
      <c r="S1647" s="36"/>
    </row>
    <row r="1648">
      <c r="A1648" s="34"/>
      <c r="B1648" s="36"/>
      <c r="C1648" s="35"/>
      <c r="D1648" s="35"/>
      <c r="E1648" s="34"/>
      <c r="F1648" s="34"/>
      <c r="G1648" s="34"/>
      <c r="H1648" s="34"/>
      <c r="I1648" s="36"/>
      <c r="J1648" s="34"/>
      <c r="K1648" s="34"/>
      <c r="L1648" s="34"/>
      <c r="M1648" s="36"/>
      <c r="N1648" s="36"/>
      <c r="O1648" s="36"/>
      <c r="P1648" s="36"/>
      <c r="Q1648" s="36"/>
      <c r="R1648" s="36"/>
      <c r="S1648" s="36"/>
    </row>
    <row r="1649">
      <c r="A1649" s="34"/>
      <c r="B1649" s="36"/>
      <c r="C1649" s="35"/>
      <c r="D1649" s="35"/>
      <c r="E1649" s="34"/>
      <c r="F1649" s="34"/>
      <c r="G1649" s="34"/>
      <c r="H1649" s="34"/>
      <c r="I1649" s="36"/>
      <c r="J1649" s="34"/>
      <c r="K1649" s="34"/>
      <c r="L1649" s="34"/>
      <c r="M1649" s="36"/>
      <c r="N1649" s="36"/>
      <c r="O1649" s="36"/>
      <c r="P1649" s="36"/>
      <c r="Q1649" s="36"/>
      <c r="R1649" s="36"/>
      <c r="S1649" s="36"/>
    </row>
    <row r="1650">
      <c r="A1650" s="34"/>
      <c r="B1650" s="36"/>
      <c r="C1650" s="35"/>
      <c r="D1650" s="35"/>
      <c r="E1650" s="34"/>
      <c r="F1650" s="34"/>
      <c r="G1650" s="34"/>
      <c r="H1650" s="34"/>
      <c r="I1650" s="36"/>
      <c r="J1650" s="34"/>
      <c r="K1650" s="34"/>
      <c r="L1650" s="34"/>
      <c r="M1650" s="36"/>
      <c r="N1650" s="36"/>
      <c r="O1650" s="36"/>
      <c r="P1650" s="36"/>
      <c r="Q1650" s="36"/>
      <c r="R1650" s="36"/>
      <c r="S1650" s="36"/>
    </row>
    <row r="1651">
      <c r="A1651" s="34"/>
      <c r="B1651" s="36"/>
      <c r="C1651" s="35"/>
      <c r="D1651" s="35"/>
      <c r="E1651" s="34"/>
      <c r="F1651" s="34"/>
      <c r="G1651" s="34"/>
      <c r="H1651" s="34"/>
      <c r="I1651" s="36"/>
      <c r="J1651" s="34"/>
      <c r="K1651" s="34"/>
      <c r="L1651" s="34"/>
      <c r="M1651" s="36"/>
      <c r="N1651" s="36"/>
      <c r="O1651" s="36"/>
      <c r="P1651" s="36"/>
      <c r="Q1651" s="36"/>
      <c r="R1651" s="36"/>
      <c r="S1651" s="36"/>
    </row>
    <row r="1652">
      <c r="A1652" s="34"/>
      <c r="B1652" s="36"/>
      <c r="C1652" s="35"/>
      <c r="D1652" s="35"/>
      <c r="E1652" s="34"/>
      <c r="F1652" s="34"/>
      <c r="G1652" s="34"/>
      <c r="H1652" s="34"/>
      <c r="I1652" s="36"/>
      <c r="J1652" s="34"/>
      <c r="K1652" s="34"/>
      <c r="L1652" s="34"/>
      <c r="M1652" s="36"/>
      <c r="N1652" s="36"/>
      <c r="O1652" s="36"/>
      <c r="P1652" s="36"/>
      <c r="Q1652" s="36"/>
      <c r="R1652" s="36"/>
      <c r="S1652" s="36"/>
    </row>
    <row r="1653">
      <c r="A1653" s="34"/>
      <c r="B1653" s="36"/>
      <c r="C1653" s="35"/>
      <c r="D1653" s="35"/>
      <c r="E1653" s="34"/>
      <c r="F1653" s="34"/>
      <c r="G1653" s="34"/>
      <c r="H1653" s="34"/>
      <c r="I1653" s="36"/>
      <c r="J1653" s="34"/>
      <c r="K1653" s="34"/>
      <c r="L1653" s="34"/>
      <c r="M1653" s="36"/>
      <c r="N1653" s="36"/>
      <c r="O1653" s="36"/>
      <c r="P1653" s="36"/>
      <c r="Q1653" s="36"/>
      <c r="R1653" s="36"/>
      <c r="S1653" s="36"/>
    </row>
    <row r="1654">
      <c r="A1654" s="34"/>
      <c r="B1654" s="36"/>
      <c r="C1654" s="35"/>
      <c r="D1654" s="35"/>
      <c r="E1654" s="34"/>
      <c r="F1654" s="34"/>
      <c r="G1654" s="34"/>
      <c r="H1654" s="34"/>
      <c r="I1654" s="36"/>
      <c r="J1654" s="34"/>
      <c r="K1654" s="34"/>
      <c r="L1654" s="34"/>
      <c r="M1654" s="36"/>
      <c r="N1654" s="36"/>
      <c r="O1654" s="36"/>
      <c r="P1654" s="36"/>
      <c r="Q1654" s="36"/>
      <c r="R1654" s="36"/>
      <c r="S1654" s="36"/>
    </row>
    <row r="1655">
      <c r="A1655" s="34"/>
      <c r="B1655" s="36"/>
      <c r="C1655" s="35"/>
      <c r="D1655" s="35"/>
      <c r="E1655" s="34"/>
      <c r="F1655" s="34"/>
      <c r="G1655" s="34"/>
      <c r="H1655" s="34"/>
      <c r="I1655" s="36"/>
      <c r="J1655" s="34"/>
      <c r="K1655" s="34"/>
      <c r="L1655" s="34"/>
      <c r="M1655" s="36"/>
      <c r="N1655" s="36"/>
      <c r="O1655" s="36"/>
      <c r="P1655" s="36"/>
      <c r="Q1655" s="36"/>
      <c r="R1655" s="36"/>
      <c r="S1655" s="36"/>
    </row>
    <row r="1656">
      <c r="A1656" s="34"/>
      <c r="B1656" s="34"/>
      <c r="C1656" s="35"/>
      <c r="D1656" s="35"/>
      <c r="E1656" s="34"/>
      <c r="F1656" s="34"/>
      <c r="G1656" s="34"/>
      <c r="H1656" s="34"/>
      <c r="I1656" s="34"/>
      <c r="J1656" s="34"/>
      <c r="K1656" s="34"/>
      <c r="L1656" s="34"/>
      <c r="M1656" s="36"/>
      <c r="N1656" s="36"/>
      <c r="O1656" s="36"/>
      <c r="P1656" s="36"/>
      <c r="Q1656" s="36"/>
      <c r="R1656" s="36"/>
      <c r="S1656" s="36"/>
    </row>
    <row r="1657">
      <c r="A1657" s="34"/>
      <c r="B1657" s="36"/>
      <c r="C1657" s="35"/>
      <c r="D1657" s="35"/>
      <c r="E1657" s="34"/>
      <c r="F1657" s="34"/>
      <c r="G1657" s="34"/>
      <c r="H1657" s="34"/>
      <c r="I1657" s="36"/>
      <c r="J1657" s="34"/>
      <c r="K1657" s="34"/>
      <c r="L1657" s="34"/>
      <c r="M1657" s="36"/>
      <c r="N1657" s="36"/>
      <c r="O1657" s="36"/>
      <c r="P1657" s="36"/>
      <c r="Q1657" s="36"/>
      <c r="R1657" s="36"/>
      <c r="S1657" s="36"/>
    </row>
    <row r="1658">
      <c r="A1658" s="34"/>
      <c r="B1658" s="36"/>
      <c r="C1658" s="35"/>
      <c r="D1658" s="35"/>
      <c r="E1658" s="34"/>
      <c r="F1658" s="34"/>
      <c r="G1658" s="34"/>
      <c r="H1658" s="34"/>
      <c r="I1658" s="36"/>
      <c r="J1658" s="34"/>
      <c r="K1658" s="34"/>
      <c r="L1658" s="34"/>
      <c r="M1658" s="36"/>
      <c r="N1658" s="36"/>
      <c r="O1658" s="36"/>
      <c r="P1658" s="36"/>
      <c r="Q1658" s="36"/>
      <c r="R1658" s="36"/>
      <c r="S1658" s="36"/>
    </row>
    <row r="1659">
      <c r="A1659" s="34"/>
      <c r="B1659" s="34"/>
      <c r="C1659" s="35"/>
      <c r="D1659" s="35"/>
      <c r="E1659" s="34"/>
      <c r="F1659" s="34"/>
      <c r="G1659" s="34"/>
      <c r="H1659" s="34"/>
      <c r="I1659" s="34"/>
      <c r="J1659" s="34"/>
      <c r="K1659" s="34"/>
      <c r="L1659" s="34"/>
      <c r="M1659" s="36"/>
      <c r="N1659" s="36"/>
      <c r="O1659" s="36"/>
      <c r="P1659" s="36"/>
      <c r="Q1659" s="36"/>
      <c r="R1659" s="36"/>
      <c r="S1659" s="36"/>
    </row>
    <row r="1660">
      <c r="A1660" s="34"/>
      <c r="B1660" s="36"/>
      <c r="C1660" s="35"/>
      <c r="D1660" s="35"/>
      <c r="E1660" s="34"/>
      <c r="F1660" s="34"/>
      <c r="G1660" s="34"/>
      <c r="H1660" s="34"/>
      <c r="I1660" s="36"/>
      <c r="J1660" s="34"/>
      <c r="K1660" s="34"/>
      <c r="L1660" s="34"/>
      <c r="M1660" s="36"/>
      <c r="N1660" s="36"/>
      <c r="O1660" s="36"/>
      <c r="P1660" s="36"/>
      <c r="Q1660" s="36"/>
      <c r="R1660" s="36"/>
      <c r="S1660" s="36"/>
    </row>
    <row r="1661">
      <c r="A1661" s="34"/>
      <c r="B1661" s="34"/>
      <c r="C1661" s="35"/>
      <c r="D1661" s="35"/>
      <c r="E1661" s="34"/>
      <c r="F1661" s="34"/>
      <c r="G1661" s="34"/>
      <c r="H1661" s="34"/>
      <c r="I1661" s="34"/>
      <c r="J1661" s="34"/>
      <c r="K1661" s="34"/>
      <c r="L1661" s="34"/>
      <c r="M1661" s="36"/>
      <c r="N1661" s="36"/>
      <c r="O1661" s="36"/>
      <c r="P1661" s="36"/>
      <c r="Q1661" s="36"/>
      <c r="R1661" s="36"/>
      <c r="S1661" s="36"/>
    </row>
    <row r="1662">
      <c r="A1662" s="34"/>
      <c r="B1662" s="36"/>
      <c r="C1662" s="35"/>
      <c r="D1662" s="35"/>
      <c r="E1662" s="34"/>
      <c r="F1662" s="34"/>
      <c r="G1662" s="34"/>
      <c r="H1662" s="34"/>
      <c r="I1662" s="34"/>
      <c r="J1662" s="34"/>
      <c r="K1662" s="34"/>
      <c r="L1662" s="34"/>
      <c r="M1662" s="36"/>
      <c r="N1662" s="36"/>
      <c r="O1662" s="36"/>
      <c r="P1662" s="36"/>
      <c r="Q1662" s="36"/>
      <c r="R1662" s="36"/>
      <c r="S1662" s="36"/>
    </row>
    <row r="1663">
      <c r="A1663" s="34"/>
      <c r="B1663" s="36"/>
      <c r="C1663" s="35"/>
      <c r="D1663" s="35"/>
      <c r="E1663" s="34"/>
      <c r="F1663" s="34"/>
      <c r="G1663" s="34"/>
      <c r="H1663" s="34"/>
      <c r="I1663" s="36"/>
      <c r="J1663" s="34"/>
      <c r="K1663" s="34"/>
      <c r="L1663" s="34"/>
      <c r="M1663" s="36"/>
      <c r="N1663" s="36"/>
      <c r="O1663" s="36"/>
      <c r="P1663" s="36"/>
      <c r="Q1663" s="36"/>
      <c r="R1663" s="36"/>
      <c r="S1663" s="36"/>
    </row>
    <row r="1664">
      <c r="A1664" s="34"/>
      <c r="B1664" s="34"/>
      <c r="C1664" s="35"/>
      <c r="D1664" s="35"/>
      <c r="E1664" s="34"/>
      <c r="F1664" s="34"/>
      <c r="G1664" s="34"/>
      <c r="H1664" s="34"/>
      <c r="I1664" s="34"/>
      <c r="J1664" s="34"/>
      <c r="K1664" s="34"/>
      <c r="L1664" s="34"/>
      <c r="M1664" s="36"/>
      <c r="N1664" s="36"/>
      <c r="O1664" s="36"/>
      <c r="P1664" s="36"/>
      <c r="Q1664" s="36"/>
      <c r="R1664" s="36"/>
      <c r="S1664" s="36"/>
    </row>
    <row r="1665">
      <c r="A1665" s="34"/>
      <c r="B1665" s="34"/>
      <c r="C1665" s="35"/>
      <c r="D1665" s="35"/>
      <c r="E1665" s="34"/>
      <c r="F1665" s="34"/>
      <c r="G1665" s="34"/>
      <c r="H1665" s="34"/>
      <c r="I1665" s="34"/>
      <c r="J1665" s="34"/>
      <c r="K1665" s="34"/>
      <c r="L1665" s="34"/>
      <c r="M1665" s="36"/>
      <c r="N1665" s="36"/>
      <c r="O1665" s="36"/>
      <c r="P1665" s="36"/>
      <c r="Q1665" s="36"/>
      <c r="R1665" s="36"/>
      <c r="S1665" s="36"/>
    </row>
    <row r="1666">
      <c r="A1666" s="34"/>
      <c r="B1666" s="36"/>
      <c r="C1666" s="35"/>
      <c r="D1666" s="35"/>
      <c r="E1666" s="34"/>
      <c r="F1666" s="34"/>
      <c r="G1666" s="34"/>
      <c r="H1666" s="34"/>
      <c r="I1666" s="36"/>
      <c r="J1666" s="34"/>
      <c r="K1666" s="34"/>
      <c r="L1666" s="34"/>
      <c r="M1666" s="36"/>
      <c r="N1666" s="36"/>
      <c r="O1666" s="36"/>
      <c r="P1666" s="36"/>
      <c r="Q1666" s="36"/>
      <c r="R1666" s="36"/>
      <c r="S1666" s="36"/>
    </row>
    <row r="1667">
      <c r="A1667" s="34"/>
      <c r="B1667" s="34"/>
      <c r="C1667" s="35"/>
      <c r="D1667" s="35"/>
      <c r="E1667" s="34"/>
      <c r="F1667" s="34"/>
      <c r="G1667" s="34"/>
      <c r="H1667" s="34"/>
      <c r="I1667" s="34"/>
      <c r="J1667" s="34"/>
      <c r="K1667" s="34"/>
      <c r="L1667" s="34"/>
      <c r="M1667" s="36"/>
      <c r="N1667" s="36"/>
      <c r="O1667" s="36"/>
      <c r="P1667" s="36"/>
      <c r="Q1667" s="36"/>
      <c r="R1667" s="36"/>
      <c r="S1667" s="36"/>
    </row>
    <row r="1668">
      <c r="A1668" s="34"/>
      <c r="B1668" s="34"/>
      <c r="C1668" s="35"/>
      <c r="D1668" s="35"/>
      <c r="E1668" s="34"/>
      <c r="F1668" s="34"/>
      <c r="G1668" s="34"/>
      <c r="H1668" s="34"/>
      <c r="I1668" s="34"/>
      <c r="J1668" s="34"/>
      <c r="K1668" s="34"/>
      <c r="L1668" s="34"/>
      <c r="M1668" s="36"/>
      <c r="N1668" s="36"/>
      <c r="O1668" s="36"/>
      <c r="P1668" s="36"/>
      <c r="Q1668" s="36"/>
      <c r="R1668" s="36"/>
      <c r="S1668" s="36"/>
    </row>
    <row r="1669">
      <c r="A1669" s="34"/>
      <c r="B1669" s="34"/>
      <c r="C1669" s="35"/>
      <c r="D1669" s="35"/>
      <c r="E1669" s="34"/>
      <c r="F1669" s="34"/>
      <c r="G1669" s="34"/>
      <c r="H1669" s="34"/>
      <c r="I1669" s="34"/>
      <c r="J1669" s="34"/>
      <c r="K1669" s="34"/>
      <c r="L1669" s="34"/>
      <c r="M1669" s="36"/>
      <c r="N1669" s="36"/>
      <c r="O1669" s="36"/>
      <c r="P1669" s="36"/>
      <c r="Q1669" s="36"/>
      <c r="R1669" s="36"/>
      <c r="S1669" s="36"/>
    </row>
    <row r="1670">
      <c r="A1670" s="34"/>
      <c r="B1670" s="34"/>
      <c r="C1670" s="35"/>
      <c r="D1670" s="35"/>
      <c r="E1670" s="34"/>
      <c r="F1670" s="34"/>
      <c r="G1670" s="34"/>
      <c r="H1670" s="34"/>
      <c r="I1670" s="34"/>
      <c r="J1670" s="34"/>
      <c r="K1670" s="34"/>
      <c r="L1670" s="34"/>
      <c r="M1670" s="36"/>
      <c r="N1670" s="36"/>
      <c r="O1670" s="36"/>
      <c r="P1670" s="36"/>
      <c r="Q1670" s="36"/>
      <c r="R1670" s="36"/>
      <c r="S1670" s="36"/>
    </row>
    <row r="1671">
      <c r="A1671" s="34"/>
      <c r="B1671" s="36"/>
      <c r="C1671" s="35"/>
      <c r="D1671" s="35"/>
      <c r="E1671" s="34"/>
      <c r="F1671" s="34"/>
      <c r="G1671" s="34"/>
      <c r="H1671" s="34"/>
      <c r="I1671" s="36"/>
      <c r="J1671" s="34"/>
      <c r="K1671" s="34"/>
      <c r="L1671" s="34"/>
      <c r="M1671" s="36"/>
      <c r="N1671" s="36"/>
      <c r="O1671" s="36"/>
      <c r="P1671" s="36"/>
      <c r="Q1671" s="36"/>
      <c r="R1671" s="36"/>
      <c r="S1671" s="36"/>
    </row>
    <row r="1672">
      <c r="A1672" s="34"/>
      <c r="B1672" s="34"/>
      <c r="C1672" s="35"/>
      <c r="D1672" s="35"/>
      <c r="E1672" s="34"/>
      <c r="F1672" s="34"/>
      <c r="G1672" s="34"/>
      <c r="H1672" s="34"/>
      <c r="I1672" s="34"/>
      <c r="J1672" s="34"/>
      <c r="K1672" s="34"/>
      <c r="L1672" s="34"/>
      <c r="M1672" s="36"/>
      <c r="N1672" s="36"/>
      <c r="O1672" s="36"/>
      <c r="P1672" s="36"/>
      <c r="Q1672" s="36"/>
      <c r="R1672" s="36"/>
      <c r="S1672" s="36"/>
    </row>
    <row r="1673">
      <c r="A1673" s="34"/>
      <c r="B1673" s="36"/>
      <c r="C1673" s="35"/>
      <c r="D1673" s="35"/>
      <c r="E1673" s="34"/>
      <c r="F1673" s="34"/>
      <c r="G1673" s="34"/>
      <c r="H1673" s="34"/>
      <c r="I1673" s="34"/>
      <c r="J1673" s="34"/>
      <c r="K1673" s="34"/>
      <c r="L1673" s="34"/>
      <c r="M1673" s="36"/>
      <c r="N1673" s="36"/>
      <c r="O1673" s="36"/>
      <c r="P1673" s="36"/>
      <c r="Q1673" s="36"/>
      <c r="R1673" s="36"/>
      <c r="S1673" s="36"/>
    </row>
    <row r="1674">
      <c r="A1674" s="34"/>
      <c r="B1674" s="36"/>
      <c r="C1674" s="35"/>
      <c r="D1674" s="35"/>
      <c r="E1674" s="34"/>
      <c r="F1674" s="34"/>
      <c r="G1674" s="34"/>
      <c r="H1674" s="34"/>
      <c r="I1674" s="36"/>
      <c r="J1674" s="34"/>
      <c r="K1674" s="34"/>
      <c r="L1674" s="34"/>
      <c r="M1674" s="36"/>
      <c r="N1674" s="36"/>
      <c r="O1674" s="36"/>
      <c r="P1674" s="36"/>
      <c r="Q1674" s="36"/>
      <c r="R1674" s="36"/>
      <c r="S1674" s="36"/>
    </row>
    <row r="1675">
      <c r="A1675" s="34"/>
      <c r="B1675" s="36"/>
      <c r="C1675" s="35"/>
      <c r="D1675" s="35"/>
      <c r="E1675" s="34"/>
      <c r="F1675" s="34"/>
      <c r="G1675" s="34"/>
      <c r="H1675" s="34"/>
      <c r="I1675" s="34"/>
      <c r="J1675" s="34"/>
      <c r="K1675" s="34"/>
      <c r="L1675" s="34"/>
      <c r="M1675" s="36"/>
      <c r="N1675" s="36"/>
      <c r="O1675" s="36"/>
      <c r="P1675" s="36"/>
      <c r="Q1675" s="36"/>
      <c r="R1675" s="36"/>
      <c r="S1675" s="36"/>
    </row>
    <row r="1676">
      <c r="A1676" s="34"/>
      <c r="B1676" s="36"/>
      <c r="C1676" s="35"/>
      <c r="D1676" s="35"/>
      <c r="E1676" s="34"/>
      <c r="F1676" s="34"/>
      <c r="G1676" s="34"/>
      <c r="H1676" s="34"/>
      <c r="I1676" s="36"/>
      <c r="J1676" s="34"/>
      <c r="K1676" s="34"/>
      <c r="L1676" s="34"/>
      <c r="M1676" s="36"/>
      <c r="N1676" s="36"/>
      <c r="O1676" s="36"/>
      <c r="P1676" s="36"/>
      <c r="Q1676" s="36"/>
      <c r="R1676" s="36"/>
      <c r="S1676" s="36"/>
    </row>
    <row r="1677">
      <c r="A1677" s="34"/>
      <c r="B1677" s="34"/>
      <c r="C1677" s="35"/>
      <c r="D1677" s="35"/>
      <c r="E1677" s="34"/>
      <c r="F1677" s="34"/>
      <c r="G1677" s="34"/>
      <c r="H1677" s="34"/>
      <c r="I1677" s="34"/>
      <c r="J1677" s="34"/>
      <c r="K1677" s="34"/>
      <c r="L1677" s="34"/>
      <c r="M1677" s="36"/>
      <c r="N1677" s="36"/>
      <c r="O1677" s="36"/>
      <c r="P1677" s="36"/>
      <c r="Q1677" s="36"/>
      <c r="R1677" s="36"/>
      <c r="S1677" s="36"/>
    </row>
    <row r="1678">
      <c r="A1678" s="34"/>
      <c r="B1678" s="36"/>
      <c r="C1678" s="35"/>
      <c r="D1678" s="35"/>
      <c r="E1678" s="34"/>
      <c r="F1678" s="34"/>
      <c r="G1678" s="34"/>
      <c r="H1678" s="34"/>
      <c r="I1678" s="36"/>
      <c r="J1678" s="34"/>
      <c r="K1678" s="34"/>
      <c r="L1678" s="34"/>
      <c r="M1678" s="36"/>
      <c r="N1678" s="36"/>
      <c r="O1678" s="36"/>
      <c r="P1678" s="36"/>
      <c r="Q1678" s="36"/>
      <c r="R1678" s="36"/>
      <c r="S1678" s="36"/>
    </row>
    <row r="1679">
      <c r="A1679" s="34"/>
      <c r="B1679" s="36"/>
      <c r="C1679" s="35"/>
      <c r="D1679" s="35"/>
      <c r="E1679" s="34"/>
      <c r="F1679" s="34"/>
      <c r="G1679" s="34"/>
      <c r="H1679" s="34"/>
      <c r="I1679" s="36"/>
      <c r="J1679" s="34"/>
      <c r="K1679" s="34"/>
      <c r="L1679" s="34"/>
      <c r="M1679" s="36"/>
      <c r="N1679" s="36"/>
      <c r="O1679" s="36"/>
      <c r="P1679" s="36"/>
      <c r="Q1679" s="36"/>
      <c r="R1679" s="36"/>
      <c r="S1679" s="36"/>
    </row>
    <row r="1680">
      <c r="A1680" s="34"/>
      <c r="B1680" s="36"/>
      <c r="C1680" s="35"/>
      <c r="D1680" s="35"/>
      <c r="E1680" s="34"/>
      <c r="F1680" s="34"/>
      <c r="G1680" s="34"/>
      <c r="H1680" s="34"/>
      <c r="I1680" s="34"/>
      <c r="J1680" s="34"/>
      <c r="K1680" s="34"/>
      <c r="L1680" s="34"/>
      <c r="M1680" s="36"/>
      <c r="N1680" s="36"/>
      <c r="O1680" s="36"/>
      <c r="P1680" s="36"/>
      <c r="Q1680" s="36"/>
      <c r="R1680" s="36"/>
      <c r="S1680" s="36"/>
    </row>
    <row r="1681">
      <c r="A1681" s="34"/>
      <c r="B1681" s="36"/>
      <c r="C1681" s="35"/>
      <c r="D1681" s="35"/>
      <c r="E1681" s="34"/>
      <c r="F1681" s="34"/>
      <c r="G1681" s="34"/>
      <c r="H1681" s="34"/>
      <c r="I1681" s="36"/>
      <c r="J1681" s="34"/>
      <c r="K1681" s="34"/>
      <c r="L1681" s="34"/>
      <c r="M1681" s="36"/>
      <c r="N1681" s="36"/>
      <c r="O1681" s="36"/>
      <c r="P1681" s="36"/>
      <c r="Q1681" s="36"/>
      <c r="R1681" s="36"/>
      <c r="S1681" s="36"/>
    </row>
    <row r="1682">
      <c r="A1682" s="34"/>
      <c r="B1682" s="34"/>
      <c r="C1682" s="35"/>
      <c r="D1682" s="35"/>
      <c r="E1682" s="34"/>
      <c r="F1682" s="34"/>
      <c r="G1682" s="34"/>
      <c r="H1682" s="34"/>
      <c r="I1682" s="34"/>
      <c r="J1682" s="34"/>
      <c r="K1682" s="34"/>
      <c r="L1682" s="34"/>
      <c r="M1682" s="36"/>
      <c r="N1682" s="36"/>
      <c r="O1682" s="36"/>
      <c r="P1682" s="36"/>
      <c r="Q1682" s="36"/>
      <c r="R1682" s="36"/>
      <c r="S1682" s="36"/>
    </row>
    <row r="1683">
      <c r="A1683" s="34"/>
      <c r="B1683" s="36"/>
      <c r="C1683" s="35"/>
      <c r="D1683" s="35"/>
      <c r="E1683" s="34"/>
      <c r="F1683" s="34"/>
      <c r="G1683" s="34"/>
      <c r="H1683" s="34"/>
      <c r="I1683" s="36"/>
      <c r="J1683" s="34"/>
      <c r="K1683" s="34"/>
      <c r="L1683" s="34"/>
      <c r="M1683" s="36"/>
      <c r="N1683" s="36"/>
      <c r="O1683" s="36"/>
      <c r="P1683" s="36"/>
      <c r="Q1683" s="36"/>
      <c r="R1683" s="36"/>
      <c r="S1683" s="36"/>
    </row>
    <row r="1684">
      <c r="A1684" s="34"/>
      <c r="B1684" s="36"/>
      <c r="C1684" s="35"/>
      <c r="D1684" s="35"/>
      <c r="E1684" s="34"/>
      <c r="F1684" s="34"/>
      <c r="G1684" s="34"/>
      <c r="H1684" s="34"/>
      <c r="I1684" s="36"/>
      <c r="J1684" s="34"/>
      <c r="K1684" s="34"/>
      <c r="L1684" s="34"/>
      <c r="M1684" s="36"/>
      <c r="N1684" s="36"/>
      <c r="O1684" s="36"/>
      <c r="P1684" s="36"/>
      <c r="Q1684" s="36"/>
      <c r="R1684" s="36"/>
      <c r="S1684" s="36"/>
    </row>
    <row r="1685">
      <c r="A1685" s="34"/>
      <c r="B1685" s="36"/>
      <c r="C1685" s="35"/>
      <c r="D1685" s="35"/>
      <c r="E1685" s="34"/>
      <c r="F1685" s="34"/>
      <c r="G1685" s="34"/>
      <c r="H1685" s="34"/>
      <c r="I1685" s="34"/>
      <c r="J1685" s="34"/>
      <c r="K1685" s="34"/>
      <c r="L1685" s="34"/>
      <c r="M1685" s="36"/>
      <c r="N1685" s="36"/>
      <c r="O1685" s="36"/>
      <c r="P1685" s="36"/>
      <c r="Q1685" s="36"/>
      <c r="R1685" s="36"/>
      <c r="S1685" s="36"/>
    </row>
    <row r="1686">
      <c r="A1686" s="34"/>
      <c r="B1686" s="36"/>
      <c r="C1686" s="35"/>
      <c r="D1686" s="35"/>
      <c r="E1686" s="34"/>
      <c r="F1686" s="34"/>
      <c r="G1686" s="34"/>
      <c r="H1686" s="34"/>
      <c r="I1686" s="36"/>
      <c r="J1686" s="34"/>
      <c r="K1686" s="34"/>
      <c r="L1686" s="34"/>
      <c r="M1686" s="36"/>
      <c r="N1686" s="36"/>
      <c r="O1686" s="36"/>
      <c r="P1686" s="36"/>
      <c r="Q1686" s="36"/>
      <c r="R1686" s="36"/>
      <c r="S1686" s="36"/>
    </row>
    <row r="1687">
      <c r="A1687" s="34"/>
      <c r="B1687" s="36"/>
      <c r="C1687" s="35"/>
      <c r="D1687" s="35"/>
      <c r="E1687" s="34"/>
      <c r="F1687" s="34"/>
      <c r="G1687" s="34"/>
      <c r="H1687" s="34"/>
      <c r="I1687" s="36"/>
      <c r="J1687" s="34"/>
      <c r="K1687" s="34"/>
      <c r="L1687" s="34"/>
      <c r="M1687" s="36"/>
      <c r="N1687" s="36"/>
      <c r="O1687" s="36"/>
      <c r="P1687" s="36"/>
      <c r="Q1687" s="36"/>
      <c r="R1687" s="36"/>
      <c r="S1687" s="36"/>
    </row>
    <row r="1688">
      <c r="A1688" s="34"/>
      <c r="B1688" s="36"/>
      <c r="C1688" s="35"/>
      <c r="D1688" s="35"/>
      <c r="E1688" s="34"/>
      <c r="F1688" s="34"/>
      <c r="G1688" s="34"/>
      <c r="H1688" s="34"/>
      <c r="I1688" s="34"/>
      <c r="J1688" s="34"/>
      <c r="K1688" s="34"/>
      <c r="L1688" s="34"/>
      <c r="M1688" s="36"/>
      <c r="N1688" s="36"/>
      <c r="O1688" s="36"/>
      <c r="P1688" s="36"/>
      <c r="Q1688" s="36"/>
      <c r="R1688" s="36"/>
      <c r="S1688" s="36"/>
    </row>
    <row r="1689">
      <c r="A1689" s="34"/>
      <c r="B1689" s="36"/>
      <c r="C1689" s="35"/>
      <c r="D1689" s="35"/>
      <c r="E1689" s="34"/>
      <c r="F1689" s="34"/>
      <c r="G1689" s="34"/>
      <c r="H1689" s="34"/>
      <c r="I1689" s="36"/>
      <c r="J1689" s="34"/>
      <c r="K1689" s="34"/>
      <c r="L1689" s="34"/>
      <c r="M1689" s="36"/>
      <c r="N1689" s="36"/>
      <c r="O1689" s="36"/>
      <c r="P1689" s="36"/>
      <c r="Q1689" s="36"/>
      <c r="R1689" s="36"/>
      <c r="S1689" s="36"/>
    </row>
    <row r="1690">
      <c r="A1690" s="34"/>
      <c r="B1690" s="36"/>
      <c r="C1690" s="35"/>
      <c r="D1690" s="35"/>
      <c r="E1690" s="34"/>
      <c r="F1690" s="34"/>
      <c r="G1690" s="34"/>
      <c r="H1690" s="34"/>
      <c r="I1690" s="36"/>
      <c r="J1690" s="34"/>
      <c r="K1690" s="34"/>
      <c r="L1690" s="34"/>
      <c r="M1690" s="36"/>
      <c r="N1690" s="36"/>
      <c r="O1690" s="36"/>
      <c r="P1690" s="36"/>
      <c r="Q1690" s="36"/>
      <c r="R1690" s="36"/>
      <c r="S1690" s="36"/>
    </row>
    <row r="1691">
      <c r="A1691" s="34"/>
      <c r="B1691" s="36"/>
      <c r="C1691" s="35"/>
      <c r="D1691" s="35"/>
      <c r="E1691" s="34"/>
      <c r="F1691" s="34"/>
      <c r="G1691" s="34"/>
      <c r="H1691" s="34"/>
      <c r="I1691" s="36"/>
      <c r="J1691" s="34"/>
      <c r="K1691" s="34"/>
      <c r="L1691" s="34"/>
      <c r="M1691" s="36"/>
      <c r="N1691" s="36"/>
      <c r="O1691" s="36"/>
      <c r="P1691" s="36"/>
      <c r="Q1691" s="36"/>
      <c r="R1691" s="36"/>
      <c r="S1691" s="36"/>
    </row>
    <row r="1692">
      <c r="A1692" s="34"/>
      <c r="B1692" s="36"/>
      <c r="C1692" s="35"/>
      <c r="D1692" s="35"/>
      <c r="E1692" s="34"/>
      <c r="F1692" s="34"/>
      <c r="G1692" s="34"/>
      <c r="H1692" s="34"/>
      <c r="I1692" s="36"/>
      <c r="J1692" s="34"/>
      <c r="K1692" s="34"/>
      <c r="L1692" s="34"/>
      <c r="M1692" s="36"/>
      <c r="N1692" s="36"/>
      <c r="O1692" s="36"/>
      <c r="P1692" s="36"/>
      <c r="Q1692" s="36"/>
      <c r="R1692" s="36"/>
      <c r="S1692" s="36"/>
    </row>
    <row r="1693">
      <c r="A1693" s="34"/>
      <c r="B1693" s="34"/>
      <c r="C1693" s="35"/>
      <c r="D1693" s="35"/>
      <c r="E1693" s="34"/>
      <c r="F1693" s="34"/>
      <c r="G1693" s="34"/>
      <c r="H1693" s="34"/>
      <c r="I1693" s="34"/>
      <c r="J1693" s="34"/>
      <c r="K1693" s="34"/>
      <c r="L1693" s="34"/>
      <c r="M1693" s="36"/>
      <c r="N1693" s="36"/>
      <c r="O1693" s="36"/>
      <c r="P1693" s="36"/>
      <c r="Q1693" s="36"/>
      <c r="R1693" s="36"/>
      <c r="S1693" s="36"/>
    </row>
    <row r="1694">
      <c r="A1694" s="34"/>
      <c r="B1694" s="36"/>
      <c r="C1694" s="35"/>
      <c r="D1694" s="35"/>
      <c r="E1694" s="34"/>
      <c r="F1694" s="34"/>
      <c r="G1694" s="34"/>
      <c r="H1694" s="34"/>
      <c r="I1694" s="36"/>
      <c r="J1694" s="34"/>
      <c r="K1694" s="34"/>
      <c r="L1694" s="34"/>
      <c r="M1694" s="36"/>
      <c r="N1694" s="36"/>
      <c r="O1694" s="36"/>
      <c r="P1694" s="36"/>
      <c r="Q1694" s="36"/>
      <c r="R1694" s="36"/>
      <c r="S1694" s="36"/>
    </row>
    <row r="1695">
      <c r="A1695" s="34"/>
      <c r="B1695" s="36"/>
      <c r="C1695" s="35"/>
      <c r="D1695" s="35"/>
      <c r="E1695" s="34"/>
      <c r="F1695" s="34"/>
      <c r="G1695" s="34"/>
      <c r="H1695" s="34"/>
      <c r="I1695" s="34"/>
      <c r="J1695" s="34"/>
      <c r="K1695" s="34"/>
      <c r="L1695" s="34"/>
      <c r="M1695" s="36"/>
      <c r="N1695" s="36"/>
      <c r="O1695" s="36"/>
      <c r="P1695" s="36"/>
      <c r="Q1695" s="36"/>
      <c r="R1695" s="36"/>
      <c r="S1695" s="36"/>
    </row>
    <row r="1696">
      <c r="A1696" s="34"/>
      <c r="B1696" s="36"/>
      <c r="C1696" s="35"/>
      <c r="D1696" s="35"/>
      <c r="E1696" s="34"/>
      <c r="F1696" s="34"/>
      <c r="G1696" s="34"/>
      <c r="H1696" s="34"/>
      <c r="I1696" s="36"/>
      <c r="J1696" s="34"/>
      <c r="K1696" s="34"/>
      <c r="L1696" s="34"/>
      <c r="M1696" s="36"/>
      <c r="N1696" s="36"/>
      <c r="O1696" s="36"/>
      <c r="P1696" s="36"/>
      <c r="Q1696" s="36"/>
      <c r="R1696" s="36"/>
      <c r="S1696" s="36"/>
    </row>
    <row r="1697">
      <c r="A1697" s="34"/>
      <c r="B1697" s="36"/>
      <c r="C1697" s="35"/>
      <c r="D1697" s="35"/>
      <c r="E1697" s="34"/>
      <c r="F1697" s="34"/>
      <c r="G1697" s="34"/>
      <c r="H1697" s="34"/>
      <c r="I1697" s="36"/>
      <c r="J1697" s="34"/>
      <c r="K1697" s="34"/>
      <c r="L1697" s="34"/>
      <c r="M1697" s="36"/>
      <c r="N1697" s="36"/>
      <c r="O1697" s="36"/>
      <c r="P1697" s="36"/>
      <c r="Q1697" s="36"/>
      <c r="R1697" s="36"/>
      <c r="S1697" s="36"/>
    </row>
    <row r="1698">
      <c r="A1698" s="34"/>
      <c r="B1698" s="36"/>
      <c r="C1698" s="35"/>
      <c r="D1698" s="35"/>
      <c r="E1698" s="34"/>
      <c r="F1698" s="34"/>
      <c r="G1698" s="34"/>
      <c r="H1698" s="34"/>
      <c r="I1698" s="36"/>
      <c r="J1698" s="34"/>
      <c r="K1698" s="34"/>
      <c r="L1698" s="34"/>
      <c r="M1698" s="36"/>
      <c r="N1698" s="36"/>
      <c r="O1698" s="36"/>
      <c r="P1698" s="36"/>
      <c r="Q1698" s="36"/>
      <c r="R1698" s="36"/>
      <c r="S1698" s="36"/>
    </row>
    <row r="1699">
      <c r="A1699" s="34"/>
      <c r="B1699" s="36"/>
      <c r="C1699" s="35"/>
      <c r="D1699" s="35"/>
      <c r="E1699" s="34"/>
      <c r="F1699" s="34"/>
      <c r="G1699" s="34"/>
      <c r="H1699" s="34"/>
      <c r="I1699" s="36"/>
      <c r="J1699" s="34"/>
      <c r="K1699" s="34"/>
      <c r="L1699" s="34"/>
      <c r="M1699" s="36"/>
      <c r="N1699" s="36"/>
      <c r="O1699" s="36"/>
      <c r="P1699" s="36"/>
      <c r="Q1699" s="36"/>
      <c r="R1699" s="36"/>
      <c r="S1699" s="36"/>
    </row>
    <row r="1700">
      <c r="A1700" s="34"/>
      <c r="B1700" s="36"/>
      <c r="C1700" s="35"/>
      <c r="D1700" s="35"/>
      <c r="E1700" s="34"/>
      <c r="F1700" s="34"/>
      <c r="G1700" s="34"/>
      <c r="H1700" s="34"/>
      <c r="I1700" s="34"/>
      <c r="J1700" s="34"/>
      <c r="K1700" s="34"/>
      <c r="L1700" s="34"/>
      <c r="M1700" s="36"/>
      <c r="N1700" s="36"/>
      <c r="O1700" s="36"/>
      <c r="P1700" s="36"/>
      <c r="Q1700" s="36"/>
      <c r="R1700" s="36"/>
      <c r="S1700" s="36"/>
    </row>
    <row r="1701">
      <c r="A1701" s="34"/>
      <c r="B1701" s="36"/>
      <c r="C1701" s="35"/>
      <c r="D1701" s="35"/>
      <c r="E1701" s="34"/>
      <c r="F1701" s="34"/>
      <c r="G1701" s="34"/>
      <c r="H1701" s="34"/>
      <c r="I1701" s="34"/>
      <c r="J1701" s="34"/>
      <c r="K1701" s="34"/>
      <c r="L1701" s="34"/>
      <c r="M1701" s="36"/>
      <c r="N1701" s="36"/>
      <c r="O1701" s="36"/>
      <c r="P1701" s="36"/>
      <c r="Q1701" s="36"/>
      <c r="R1701" s="36"/>
      <c r="S1701" s="36"/>
    </row>
    <row r="1702">
      <c r="A1702" s="34"/>
      <c r="B1702" s="34"/>
      <c r="C1702" s="35"/>
      <c r="D1702" s="35"/>
      <c r="E1702" s="34"/>
      <c r="F1702" s="34"/>
      <c r="G1702" s="34"/>
      <c r="H1702" s="34"/>
      <c r="I1702" s="34"/>
      <c r="J1702" s="34"/>
      <c r="K1702" s="34"/>
      <c r="L1702" s="34"/>
      <c r="M1702" s="36"/>
      <c r="N1702" s="36"/>
      <c r="O1702" s="36"/>
      <c r="P1702" s="36"/>
      <c r="Q1702" s="36"/>
      <c r="R1702" s="36"/>
      <c r="S1702" s="36"/>
    </row>
    <row r="1703">
      <c r="A1703" s="34"/>
      <c r="B1703" s="36"/>
      <c r="C1703" s="35"/>
      <c r="D1703" s="35"/>
      <c r="E1703" s="34"/>
      <c r="F1703" s="34"/>
      <c r="G1703" s="34"/>
      <c r="H1703" s="34"/>
      <c r="I1703" s="36"/>
      <c r="J1703" s="34"/>
      <c r="K1703" s="34"/>
      <c r="L1703" s="34"/>
      <c r="M1703" s="36"/>
      <c r="N1703" s="36"/>
      <c r="O1703" s="36"/>
      <c r="P1703" s="36"/>
      <c r="Q1703" s="36"/>
      <c r="R1703" s="36"/>
      <c r="S1703" s="36"/>
    </row>
    <row r="1704">
      <c r="A1704" s="34"/>
      <c r="B1704" s="36"/>
      <c r="C1704" s="35"/>
      <c r="D1704" s="35"/>
      <c r="E1704" s="34"/>
      <c r="F1704" s="34"/>
      <c r="G1704" s="34"/>
      <c r="H1704" s="34"/>
      <c r="I1704" s="36"/>
      <c r="J1704" s="34"/>
      <c r="K1704" s="34"/>
      <c r="L1704" s="34"/>
      <c r="M1704" s="36"/>
      <c r="N1704" s="36"/>
      <c r="O1704" s="36"/>
      <c r="P1704" s="36"/>
      <c r="Q1704" s="36"/>
      <c r="R1704" s="36"/>
      <c r="S1704" s="36"/>
    </row>
    <row r="1705">
      <c r="A1705" s="34"/>
      <c r="B1705" s="36"/>
      <c r="C1705" s="35"/>
      <c r="D1705" s="35"/>
      <c r="E1705" s="34"/>
      <c r="F1705" s="34"/>
      <c r="G1705" s="34"/>
      <c r="H1705" s="34"/>
      <c r="I1705" s="36"/>
      <c r="J1705" s="34"/>
      <c r="K1705" s="34"/>
      <c r="L1705" s="34"/>
      <c r="M1705" s="36"/>
      <c r="N1705" s="36"/>
      <c r="O1705" s="36"/>
      <c r="P1705" s="36"/>
      <c r="Q1705" s="36"/>
      <c r="R1705" s="36"/>
      <c r="S1705" s="36"/>
    </row>
    <row r="1706">
      <c r="A1706" s="34"/>
      <c r="B1706" s="36"/>
      <c r="C1706" s="35"/>
      <c r="D1706" s="35"/>
      <c r="E1706" s="34"/>
      <c r="F1706" s="34"/>
      <c r="G1706" s="34"/>
      <c r="H1706" s="34"/>
      <c r="I1706" s="36"/>
      <c r="J1706" s="34"/>
      <c r="K1706" s="34"/>
      <c r="L1706" s="34"/>
      <c r="M1706" s="36"/>
      <c r="N1706" s="36"/>
      <c r="O1706" s="36"/>
      <c r="P1706" s="36"/>
      <c r="Q1706" s="36"/>
      <c r="R1706" s="36"/>
      <c r="S1706" s="36"/>
    </row>
    <row r="1707">
      <c r="A1707" s="34"/>
      <c r="B1707" s="36"/>
      <c r="C1707" s="35"/>
      <c r="D1707" s="35"/>
      <c r="E1707" s="34"/>
      <c r="F1707" s="34"/>
      <c r="G1707" s="34"/>
      <c r="H1707" s="34"/>
      <c r="I1707" s="36"/>
      <c r="J1707" s="34"/>
      <c r="K1707" s="34"/>
      <c r="L1707" s="34"/>
      <c r="M1707" s="36"/>
      <c r="N1707" s="36"/>
      <c r="O1707" s="36"/>
      <c r="P1707" s="36"/>
      <c r="Q1707" s="36"/>
      <c r="R1707" s="36"/>
      <c r="S1707" s="36"/>
    </row>
    <row r="1708">
      <c r="A1708" s="34"/>
      <c r="B1708" s="36"/>
      <c r="C1708" s="35"/>
      <c r="D1708" s="35"/>
      <c r="E1708" s="34"/>
      <c r="F1708" s="34"/>
      <c r="G1708" s="34"/>
      <c r="H1708" s="34"/>
      <c r="I1708" s="36"/>
      <c r="J1708" s="34"/>
      <c r="K1708" s="34"/>
      <c r="L1708" s="34"/>
      <c r="M1708" s="36"/>
      <c r="N1708" s="36"/>
      <c r="O1708" s="36"/>
      <c r="P1708" s="36"/>
      <c r="Q1708" s="36"/>
      <c r="R1708" s="36"/>
      <c r="S1708" s="36"/>
    </row>
    <row r="1709">
      <c r="A1709" s="34"/>
      <c r="B1709" s="34"/>
      <c r="C1709" s="35"/>
      <c r="D1709" s="35"/>
      <c r="E1709" s="34"/>
      <c r="F1709" s="34"/>
      <c r="G1709" s="34"/>
      <c r="H1709" s="34"/>
      <c r="I1709" s="34"/>
      <c r="J1709" s="34"/>
      <c r="K1709" s="34"/>
      <c r="L1709" s="34"/>
      <c r="M1709" s="36"/>
      <c r="N1709" s="36"/>
      <c r="O1709" s="36"/>
      <c r="P1709" s="36"/>
      <c r="Q1709" s="36"/>
      <c r="R1709" s="36"/>
      <c r="S1709" s="36"/>
    </row>
    <row r="1710">
      <c r="A1710" s="34"/>
      <c r="B1710" s="34"/>
      <c r="C1710" s="35"/>
      <c r="D1710" s="35"/>
      <c r="E1710" s="34"/>
      <c r="F1710" s="34"/>
      <c r="G1710" s="34"/>
      <c r="H1710" s="34"/>
      <c r="I1710" s="34"/>
      <c r="J1710" s="34"/>
      <c r="K1710" s="34"/>
      <c r="L1710" s="34"/>
      <c r="M1710" s="36"/>
      <c r="N1710" s="36"/>
      <c r="O1710" s="36"/>
      <c r="P1710" s="36"/>
      <c r="Q1710" s="36"/>
      <c r="R1710" s="36"/>
      <c r="S1710" s="36"/>
    </row>
    <row r="1711">
      <c r="A1711" s="34"/>
      <c r="B1711" s="34"/>
      <c r="C1711" s="35"/>
      <c r="D1711" s="35"/>
      <c r="E1711" s="34"/>
      <c r="F1711" s="34"/>
      <c r="G1711" s="34"/>
      <c r="H1711" s="34"/>
      <c r="I1711" s="34"/>
      <c r="J1711" s="34"/>
      <c r="K1711" s="34"/>
      <c r="L1711" s="34"/>
      <c r="M1711" s="36"/>
      <c r="N1711" s="36"/>
      <c r="O1711" s="36"/>
      <c r="P1711" s="36"/>
      <c r="Q1711" s="36"/>
      <c r="R1711" s="36"/>
      <c r="S1711" s="36"/>
    </row>
    <row r="1712">
      <c r="A1712" s="34"/>
      <c r="B1712" s="36"/>
      <c r="C1712" s="35"/>
      <c r="D1712" s="35"/>
      <c r="E1712" s="34"/>
      <c r="F1712" s="34"/>
      <c r="G1712" s="34"/>
      <c r="H1712" s="34"/>
      <c r="I1712" s="36"/>
      <c r="J1712" s="34"/>
      <c r="K1712" s="34"/>
      <c r="L1712" s="34"/>
      <c r="M1712" s="36"/>
      <c r="N1712" s="36"/>
      <c r="O1712" s="36"/>
      <c r="P1712" s="36"/>
      <c r="Q1712" s="36"/>
      <c r="R1712" s="36"/>
      <c r="S1712" s="36"/>
    </row>
    <row r="1713">
      <c r="A1713" s="34"/>
      <c r="B1713" s="36"/>
      <c r="C1713" s="35"/>
      <c r="D1713" s="35"/>
      <c r="E1713" s="34"/>
      <c r="F1713" s="34"/>
      <c r="G1713" s="34"/>
      <c r="H1713" s="34"/>
      <c r="I1713" s="36"/>
      <c r="J1713" s="34"/>
      <c r="K1713" s="34"/>
      <c r="L1713" s="34"/>
      <c r="M1713" s="36"/>
      <c r="N1713" s="36"/>
      <c r="O1713" s="36"/>
      <c r="P1713" s="36"/>
      <c r="Q1713" s="36"/>
      <c r="R1713" s="36"/>
      <c r="S1713" s="36"/>
    </row>
    <row r="1714">
      <c r="A1714" s="34"/>
      <c r="B1714" s="34"/>
      <c r="C1714" s="35"/>
      <c r="D1714" s="35"/>
      <c r="E1714" s="34"/>
      <c r="F1714" s="34"/>
      <c r="G1714" s="34"/>
      <c r="H1714" s="34"/>
      <c r="I1714" s="34"/>
      <c r="J1714" s="34"/>
      <c r="K1714" s="34"/>
      <c r="L1714" s="34"/>
      <c r="M1714" s="36"/>
      <c r="N1714" s="36"/>
      <c r="O1714" s="36"/>
      <c r="P1714" s="36"/>
      <c r="Q1714" s="36"/>
      <c r="R1714" s="36"/>
      <c r="S1714" s="36"/>
    </row>
    <row r="1715">
      <c r="A1715" s="34"/>
      <c r="B1715" s="36"/>
      <c r="C1715" s="35"/>
      <c r="D1715" s="35"/>
      <c r="E1715" s="34"/>
      <c r="F1715" s="34"/>
      <c r="G1715" s="34"/>
      <c r="H1715" s="34"/>
      <c r="I1715" s="36"/>
      <c r="J1715" s="34"/>
      <c r="K1715" s="34"/>
      <c r="L1715" s="34"/>
      <c r="M1715" s="36"/>
      <c r="N1715" s="36"/>
      <c r="O1715" s="36"/>
      <c r="P1715" s="36"/>
      <c r="Q1715" s="36"/>
      <c r="R1715" s="36"/>
      <c r="S1715" s="36"/>
    </row>
    <row r="1716">
      <c r="A1716" s="34"/>
      <c r="B1716" s="34"/>
      <c r="C1716" s="35"/>
      <c r="D1716" s="35"/>
      <c r="E1716" s="34"/>
      <c r="F1716" s="34"/>
      <c r="G1716" s="34"/>
      <c r="H1716" s="34"/>
      <c r="I1716" s="34"/>
      <c r="J1716" s="34"/>
      <c r="K1716" s="34"/>
      <c r="L1716" s="34"/>
      <c r="M1716" s="36"/>
      <c r="N1716" s="36"/>
      <c r="O1716" s="36"/>
      <c r="P1716" s="36"/>
      <c r="Q1716" s="36"/>
      <c r="R1716" s="36"/>
      <c r="S1716" s="36"/>
    </row>
    <row r="1717">
      <c r="A1717" s="34"/>
      <c r="B1717" s="36"/>
      <c r="C1717" s="35"/>
      <c r="D1717" s="35"/>
      <c r="E1717" s="34"/>
      <c r="F1717" s="34"/>
      <c r="G1717" s="34"/>
      <c r="H1717" s="34"/>
      <c r="I1717" s="36"/>
      <c r="J1717" s="34"/>
      <c r="K1717" s="34"/>
      <c r="L1717" s="34"/>
      <c r="M1717" s="36"/>
      <c r="N1717" s="36"/>
      <c r="O1717" s="36"/>
      <c r="P1717" s="36"/>
      <c r="Q1717" s="36"/>
      <c r="R1717" s="36"/>
      <c r="S1717" s="36"/>
    </row>
    <row r="1718">
      <c r="A1718" s="34"/>
      <c r="B1718" s="36"/>
      <c r="C1718" s="35"/>
      <c r="D1718" s="35"/>
      <c r="E1718" s="34"/>
      <c r="F1718" s="34"/>
      <c r="G1718" s="34"/>
      <c r="H1718" s="34"/>
      <c r="I1718" s="36"/>
      <c r="J1718" s="34"/>
      <c r="K1718" s="34"/>
      <c r="L1718" s="34"/>
      <c r="M1718" s="36"/>
      <c r="N1718" s="36"/>
      <c r="O1718" s="36"/>
      <c r="P1718" s="36"/>
      <c r="Q1718" s="36"/>
      <c r="R1718" s="36"/>
      <c r="S1718" s="36"/>
    </row>
    <row r="1719">
      <c r="A1719" s="34"/>
      <c r="B1719" s="36"/>
      <c r="C1719" s="35"/>
      <c r="D1719" s="35"/>
      <c r="E1719" s="34"/>
      <c r="F1719" s="34"/>
      <c r="G1719" s="34"/>
      <c r="H1719" s="34"/>
      <c r="I1719" s="36"/>
      <c r="J1719" s="34"/>
      <c r="K1719" s="34"/>
      <c r="L1719" s="34"/>
      <c r="M1719" s="36"/>
      <c r="N1719" s="36"/>
      <c r="O1719" s="36"/>
      <c r="P1719" s="36"/>
      <c r="Q1719" s="36"/>
      <c r="R1719" s="36"/>
      <c r="S1719" s="36"/>
    </row>
    <row r="1720">
      <c r="A1720" s="34"/>
      <c r="B1720" s="36"/>
      <c r="C1720" s="35"/>
      <c r="D1720" s="35"/>
      <c r="E1720" s="34"/>
      <c r="F1720" s="34"/>
      <c r="G1720" s="34"/>
      <c r="H1720" s="34"/>
      <c r="I1720" s="36"/>
      <c r="J1720" s="34"/>
      <c r="K1720" s="34"/>
      <c r="L1720" s="34"/>
      <c r="M1720" s="36"/>
      <c r="N1720" s="36"/>
      <c r="O1720" s="36"/>
      <c r="P1720" s="36"/>
      <c r="Q1720" s="36"/>
      <c r="R1720" s="36"/>
      <c r="S1720" s="36"/>
    </row>
    <row r="1721">
      <c r="A1721" s="34"/>
      <c r="B1721" s="36"/>
      <c r="C1721" s="35"/>
      <c r="D1721" s="35"/>
      <c r="E1721" s="34"/>
      <c r="F1721" s="34"/>
      <c r="G1721" s="34"/>
      <c r="H1721" s="34"/>
      <c r="I1721" s="36"/>
      <c r="J1721" s="34"/>
      <c r="K1721" s="34"/>
      <c r="L1721" s="34"/>
      <c r="M1721" s="36"/>
      <c r="N1721" s="36"/>
      <c r="O1721" s="36"/>
      <c r="P1721" s="36"/>
      <c r="Q1721" s="36"/>
      <c r="R1721" s="36"/>
      <c r="S1721" s="36"/>
    </row>
    <row r="1722">
      <c r="A1722" s="34"/>
      <c r="B1722" s="36"/>
      <c r="C1722" s="35"/>
      <c r="D1722" s="35"/>
      <c r="E1722" s="34"/>
      <c r="F1722" s="34"/>
      <c r="G1722" s="34"/>
      <c r="H1722" s="34"/>
      <c r="I1722" s="36"/>
      <c r="J1722" s="34"/>
      <c r="K1722" s="34"/>
      <c r="L1722" s="34"/>
      <c r="M1722" s="36"/>
      <c r="N1722" s="36"/>
      <c r="O1722" s="36"/>
      <c r="P1722" s="36"/>
      <c r="Q1722" s="36"/>
      <c r="R1722" s="36"/>
      <c r="S1722" s="36"/>
    </row>
    <row r="1723">
      <c r="A1723" s="34"/>
      <c r="B1723" s="36"/>
      <c r="C1723" s="35"/>
      <c r="D1723" s="35"/>
      <c r="E1723" s="34"/>
      <c r="F1723" s="34"/>
      <c r="G1723" s="34"/>
      <c r="H1723" s="34"/>
      <c r="I1723" s="36"/>
      <c r="J1723" s="34"/>
      <c r="K1723" s="34"/>
      <c r="L1723" s="34"/>
      <c r="M1723" s="36"/>
      <c r="N1723" s="36"/>
      <c r="O1723" s="36"/>
      <c r="P1723" s="36"/>
      <c r="Q1723" s="36"/>
      <c r="R1723" s="36"/>
      <c r="S1723" s="36"/>
    </row>
    <row r="1724">
      <c r="A1724" s="34"/>
      <c r="B1724" s="36"/>
      <c r="C1724" s="35"/>
      <c r="D1724" s="35"/>
      <c r="E1724" s="34"/>
      <c r="F1724" s="34"/>
      <c r="G1724" s="34"/>
      <c r="H1724" s="34"/>
      <c r="I1724" s="36"/>
      <c r="J1724" s="34"/>
      <c r="K1724" s="34"/>
      <c r="L1724" s="34"/>
      <c r="M1724" s="36"/>
      <c r="N1724" s="36"/>
      <c r="O1724" s="36"/>
      <c r="P1724" s="36"/>
      <c r="Q1724" s="36"/>
      <c r="R1724" s="36"/>
      <c r="S1724" s="36"/>
    </row>
    <row r="1725">
      <c r="A1725" s="34"/>
      <c r="B1725" s="34"/>
      <c r="C1725" s="35"/>
      <c r="D1725" s="35"/>
      <c r="E1725" s="34"/>
      <c r="F1725" s="34"/>
      <c r="G1725" s="34"/>
      <c r="H1725" s="34"/>
      <c r="I1725" s="34"/>
      <c r="J1725" s="34"/>
      <c r="K1725" s="34"/>
      <c r="L1725" s="34"/>
      <c r="M1725" s="36"/>
      <c r="N1725" s="36"/>
      <c r="O1725" s="36"/>
      <c r="P1725" s="36"/>
      <c r="Q1725" s="36"/>
      <c r="R1725" s="36"/>
      <c r="S1725" s="36"/>
    </row>
    <row r="1726">
      <c r="A1726" s="34"/>
      <c r="B1726" s="36"/>
      <c r="C1726" s="35"/>
      <c r="D1726" s="35"/>
      <c r="E1726" s="34"/>
      <c r="F1726" s="34"/>
      <c r="G1726" s="34"/>
      <c r="H1726" s="34"/>
      <c r="I1726" s="36"/>
      <c r="J1726" s="34"/>
      <c r="K1726" s="34"/>
      <c r="L1726" s="34"/>
      <c r="M1726" s="36"/>
      <c r="N1726" s="36"/>
      <c r="O1726" s="36"/>
      <c r="P1726" s="36"/>
      <c r="Q1726" s="36"/>
      <c r="R1726" s="36"/>
      <c r="S1726" s="36"/>
    </row>
    <row r="1727">
      <c r="A1727" s="34"/>
      <c r="B1727" s="36"/>
      <c r="C1727" s="35"/>
      <c r="D1727" s="35"/>
      <c r="E1727" s="34"/>
      <c r="F1727" s="34"/>
      <c r="G1727" s="34"/>
      <c r="H1727" s="34"/>
      <c r="I1727" s="36"/>
      <c r="J1727" s="34"/>
      <c r="K1727" s="34"/>
      <c r="L1727" s="34"/>
      <c r="M1727" s="36"/>
      <c r="N1727" s="36"/>
      <c r="O1727" s="36"/>
      <c r="P1727" s="36"/>
      <c r="Q1727" s="36"/>
      <c r="R1727" s="36"/>
      <c r="S1727" s="36"/>
    </row>
    <row r="1728">
      <c r="A1728" s="34"/>
      <c r="B1728" s="34"/>
      <c r="C1728" s="35"/>
      <c r="D1728" s="35"/>
      <c r="E1728" s="34"/>
      <c r="F1728" s="34"/>
      <c r="G1728" s="34"/>
      <c r="H1728" s="34"/>
      <c r="I1728" s="34"/>
      <c r="J1728" s="34"/>
      <c r="K1728" s="34"/>
      <c r="L1728" s="34"/>
      <c r="M1728" s="36"/>
      <c r="N1728" s="36"/>
      <c r="O1728" s="36"/>
      <c r="P1728" s="36"/>
      <c r="Q1728" s="36"/>
      <c r="R1728" s="36"/>
      <c r="S1728" s="36"/>
    </row>
    <row r="1729">
      <c r="A1729" s="34"/>
      <c r="B1729" s="36"/>
      <c r="C1729" s="35"/>
      <c r="D1729" s="35"/>
      <c r="E1729" s="34"/>
      <c r="F1729" s="34"/>
      <c r="G1729" s="34"/>
      <c r="H1729" s="34"/>
      <c r="I1729" s="36"/>
      <c r="J1729" s="34"/>
      <c r="K1729" s="34"/>
      <c r="L1729" s="34"/>
      <c r="M1729" s="36"/>
      <c r="N1729" s="36"/>
      <c r="O1729" s="36"/>
      <c r="P1729" s="36"/>
      <c r="Q1729" s="36"/>
      <c r="R1729" s="36"/>
      <c r="S1729" s="36"/>
    </row>
    <row r="1730">
      <c r="A1730" s="34"/>
      <c r="B1730" s="36"/>
      <c r="C1730" s="35"/>
      <c r="D1730" s="35"/>
      <c r="E1730" s="34"/>
      <c r="F1730" s="34"/>
      <c r="G1730" s="34"/>
      <c r="H1730" s="34"/>
      <c r="I1730" s="36"/>
      <c r="J1730" s="34"/>
      <c r="K1730" s="34"/>
      <c r="L1730" s="34"/>
      <c r="M1730" s="36"/>
      <c r="N1730" s="36"/>
      <c r="O1730" s="36"/>
      <c r="P1730" s="36"/>
      <c r="Q1730" s="36"/>
      <c r="R1730" s="36"/>
      <c r="S1730" s="36"/>
    </row>
    <row r="1731">
      <c r="A1731" s="34"/>
      <c r="B1731" s="34"/>
      <c r="C1731" s="35"/>
      <c r="D1731" s="35"/>
      <c r="E1731" s="34"/>
      <c r="F1731" s="34"/>
      <c r="G1731" s="34"/>
      <c r="H1731" s="34"/>
      <c r="I1731" s="34"/>
      <c r="J1731" s="34"/>
      <c r="K1731" s="34"/>
      <c r="L1731" s="34"/>
      <c r="M1731" s="36"/>
      <c r="N1731" s="36"/>
      <c r="O1731" s="36"/>
      <c r="P1731" s="36"/>
      <c r="Q1731" s="36"/>
      <c r="R1731" s="36"/>
      <c r="S1731" s="36"/>
    </row>
    <row r="1732">
      <c r="A1732" s="34"/>
      <c r="B1732" s="36"/>
      <c r="C1732" s="35"/>
      <c r="D1732" s="35"/>
      <c r="E1732" s="34"/>
      <c r="F1732" s="34"/>
      <c r="G1732" s="34"/>
      <c r="H1732" s="34"/>
      <c r="I1732" s="36"/>
      <c r="J1732" s="34"/>
      <c r="K1732" s="34"/>
      <c r="L1732" s="34"/>
      <c r="M1732" s="36"/>
      <c r="N1732" s="36"/>
      <c r="O1732" s="36"/>
      <c r="P1732" s="36"/>
      <c r="Q1732" s="36"/>
      <c r="R1732" s="36"/>
      <c r="S1732" s="36"/>
    </row>
    <row r="1733">
      <c r="A1733" s="34"/>
      <c r="B1733" s="36"/>
      <c r="C1733" s="35"/>
      <c r="D1733" s="35"/>
      <c r="E1733" s="34"/>
      <c r="F1733" s="34"/>
      <c r="G1733" s="34"/>
      <c r="H1733" s="34"/>
      <c r="I1733" s="36"/>
      <c r="J1733" s="34"/>
      <c r="K1733" s="34"/>
      <c r="L1733" s="34"/>
      <c r="M1733" s="36"/>
      <c r="N1733" s="36"/>
      <c r="O1733" s="36"/>
      <c r="P1733" s="36"/>
      <c r="Q1733" s="36"/>
      <c r="R1733" s="36"/>
      <c r="S1733" s="36"/>
    </row>
    <row r="1734">
      <c r="A1734" s="34"/>
      <c r="B1734" s="34"/>
      <c r="C1734" s="35"/>
      <c r="D1734" s="35"/>
      <c r="E1734" s="34"/>
      <c r="F1734" s="34"/>
      <c r="G1734" s="34"/>
      <c r="H1734" s="34"/>
      <c r="I1734" s="34"/>
      <c r="J1734" s="34"/>
      <c r="K1734" s="34"/>
      <c r="L1734" s="34"/>
      <c r="M1734" s="36"/>
      <c r="N1734" s="36"/>
      <c r="O1734" s="36"/>
      <c r="P1734" s="36"/>
      <c r="Q1734" s="36"/>
      <c r="R1734" s="36"/>
      <c r="S1734" s="36"/>
    </row>
    <row r="1735">
      <c r="A1735" s="34"/>
      <c r="B1735" s="34"/>
      <c r="C1735" s="35"/>
      <c r="D1735" s="35"/>
      <c r="E1735" s="34"/>
      <c r="F1735" s="34"/>
      <c r="G1735" s="34"/>
      <c r="H1735" s="34"/>
      <c r="I1735" s="34"/>
      <c r="J1735" s="34"/>
      <c r="K1735" s="34"/>
      <c r="L1735" s="34"/>
      <c r="M1735" s="36"/>
      <c r="N1735" s="36"/>
      <c r="O1735" s="36"/>
      <c r="P1735" s="36"/>
      <c r="Q1735" s="36"/>
      <c r="R1735" s="36"/>
      <c r="S1735" s="36"/>
    </row>
    <row r="1736">
      <c r="A1736" s="34"/>
      <c r="B1736" s="36"/>
      <c r="C1736" s="35"/>
      <c r="D1736" s="35"/>
      <c r="E1736" s="34"/>
      <c r="F1736" s="34"/>
      <c r="G1736" s="34"/>
      <c r="H1736" s="34"/>
      <c r="I1736" s="36"/>
      <c r="J1736" s="34"/>
      <c r="K1736" s="34"/>
      <c r="L1736" s="34"/>
      <c r="M1736" s="36"/>
      <c r="N1736" s="36"/>
      <c r="O1736" s="36"/>
      <c r="P1736" s="36"/>
      <c r="Q1736" s="36"/>
      <c r="R1736" s="36"/>
      <c r="S1736" s="36"/>
    </row>
    <row r="1737">
      <c r="A1737" s="34"/>
      <c r="B1737" s="34"/>
      <c r="C1737" s="35"/>
      <c r="D1737" s="35"/>
      <c r="E1737" s="34"/>
      <c r="F1737" s="34"/>
      <c r="G1737" s="34"/>
      <c r="H1737" s="34"/>
      <c r="I1737" s="34"/>
      <c r="J1737" s="34"/>
      <c r="K1737" s="34"/>
      <c r="L1737" s="34"/>
      <c r="M1737" s="36"/>
      <c r="N1737" s="36"/>
      <c r="O1737" s="36"/>
      <c r="P1737" s="36"/>
      <c r="Q1737" s="36"/>
      <c r="R1737" s="36"/>
      <c r="S1737" s="36"/>
    </row>
    <row r="1738">
      <c r="A1738" s="34"/>
      <c r="B1738" s="36"/>
      <c r="C1738" s="35"/>
      <c r="D1738" s="35"/>
      <c r="E1738" s="34"/>
      <c r="F1738" s="34"/>
      <c r="G1738" s="34"/>
      <c r="H1738" s="34"/>
      <c r="I1738" s="36"/>
      <c r="J1738" s="34"/>
      <c r="K1738" s="34"/>
      <c r="L1738" s="34"/>
      <c r="M1738" s="36"/>
      <c r="N1738" s="36"/>
      <c r="O1738" s="36"/>
      <c r="P1738" s="36"/>
      <c r="Q1738" s="36"/>
      <c r="R1738" s="36"/>
      <c r="S1738" s="36"/>
    </row>
    <row r="1739">
      <c r="A1739" s="34"/>
      <c r="B1739" s="36"/>
      <c r="C1739" s="35"/>
      <c r="D1739" s="35"/>
      <c r="E1739" s="34"/>
      <c r="F1739" s="34"/>
      <c r="G1739" s="34"/>
      <c r="H1739" s="34"/>
      <c r="I1739" s="36"/>
      <c r="J1739" s="34"/>
      <c r="K1739" s="34"/>
      <c r="L1739" s="34"/>
      <c r="M1739" s="36"/>
      <c r="N1739" s="36"/>
      <c r="O1739" s="36"/>
      <c r="P1739" s="36"/>
      <c r="Q1739" s="36"/>
      <c r="R1739" s="36"/>
      <c r="S1739" s="36"/>
    </row>
    <row r="1740">
      <c r="A1740" s="34"/>
      <c r="B1740" s="36"/>
      <c r="C1740" s="35"/>
      <c r="D1740" s="35"/>
      <c r="E1740" s="34"/>
      <c r="F1740" s="34"/>
      <c r="G1740" s="34"/>
      <c r="H1740" s="34"/>
      <c r="I1740" s="36"/>
      <c r="J1740" s="34"/>
      <c r="K1740" s="34"/>
      <c r="L1740" s="34"/>
      <c r="M1740" s="36"/>
      <c r="N1740" s="36"/>
      <c r="O1740" s="36"/>
      <c r="P1740" s="36"/>
      <c r="Q1740" s="36"/>
      <c r="R1740" s="36"/>
      <c r="S1740" s="36"/>
    </row>
    <row r="1741">
      <c r="A1741" s="34"/>
      <c r="B1741" s="36"/>
      <c r="C1741" s="35"/>
      <c r="D1741" s="35"/>
      <c r="E1741" s="34"/>
      <c r="F1741" s="34"/>
      <c r="G1741" s="34"/>
      <c r="H1741" s="34"/>
      <c r="I1741" s="36"/>
      <c r="J1741" s="34"/>
      <c r="K1741" s="34"/>
      <c r="L1741" s="34"/>
      <c r="M1741" s="36"/>
      <c r="N1741" s="36"/>
      <c r="O1741" s="36"/>
      <c r="P1741" s="36"/>
      <c r="Q1741" s="36"/>
      <c r="R1741" s="36"/>
      <c r="S1741" s="36"/>
    </row>
    <row r="1742">
      <c r="A1742" s="34"/>
      <c r="B1742" s="36"/>
      <c r="C1742" s="35"/>
      <c r="D1742" s="35"/>
      <c r="E1742" s="34"/>
      <c r="F1742" s="34"/>
      <c r="G1742" s="34"/>
      <c r="H1742" s="34"/>
      <c r="I1742" s="36"/>
      <c r="J1742" s="34"/>
      <c r="K1742" s="34"/>
      <c r="L1742" s="34"/>
      <c r="M1742" s="36"/>
      <c r="N1742" s="36"/>
      <c r="O1742" s="36"/>
      <c r="P1742" s="36"/>
      <c r="Q1742" s="36"/>
      <c r="R1742" s="36"/>
      <c r="S1742" s="36"/>
    </row>
    <row r="1743">
      <c r="A1743" s="34"/>
      <c r="B1743" s="34"/>
      <c r="C1743" s="35"/>
      <c r="D1743" s="35"/>
      <c r="E1743" s="34"/>
      <c r="F1743" s="34"/>
      <c r="G1743" s="34"/>
      <c r="H1743" s="34"/>
      <c r="I1743" s="34"/>
      <c r="J1743" s="34"/>
      <c r="K1743" s="34"/>
      <c r="L1743" s="34"/>
      <c r="M1743" s="36"/>
      <c r="N1743" s="36"/>
      <c r="O1743" s="36"/>
      <c r="P1743" s="36"/>
      <c r="Q1743" s="36"/>
      <c r="R1743" s="36"/>
      <c r="S1743" s="36"/>
    </row>
    <row r="1744">
      <c r="A1744" s="34"/>
      <c r="B1744" s="34"/>
      <c r="C1744" s="35"/>
      <c r="D1744" s="35"/>
      <c r="E1744" s="34"/>
      <c r="F1744" s="34"/>
      <c r="G1744" s="34"/>
      <c r="H1744" s="34"/>
      <c r="I1744" s="34"/>
      <c r="J1744" s="34"/>
      <c r="K1744" s="34"/>
      <c r="L1744" s="34"/>
      <c r="M1744" s="36"/>
      <c r="N1744" s="36"/>
      <c r="O1744" s="36"/>
      <c r="P1744" s="36"/>
      <c r="Q1744" s="36"/>
      <c r="R1744" s="36"/>
      <c r="S1744" s="36"/>
    </row>
    <row r="1745">
      <c r="A1745" s="34"/>
      <c r="B1745" s="36"/>
      <c r="C1745" s="35"/>
      <c r="D1745" s="35"/>
      <c r="E1745" s="34"/>
      <c r="F1745" s="34"/>
      <c r="G1745" s="34"/>
      <c r="H1745" s="34"/>
      <c r="I1745" s="36"/>
      <c r="J1745" s="34"/>
      <c r="K1745" s="34"/>
      <c r="L1745" s="34"/>
      <c r="M1745" s="36"/>
      <c r="N1745" s="36"/>
      <c r="O1745" s="36"/>
      <c r="P1745" s="36"/>
      <c r="Q1745" s="36"/>
      <c r="R1745" s="36"/>
      <c r="S1745" s="36"/>
    </row>
    <row r="1746">
      <c r="A1746" s="34"/>
      <c r="B1746" s="36"/>
      <c r="C1746" s="35"/>
      <c r="D1746" s="35"/>
      <c r="E1746" s="34"/>
      <c r="F1746" s="34"/>
      <c r="G1746" s="34"/>
      <c r="H1746" s="34"/>
      <c r="I1746" s="36"/>
      <c r="J1746" s="34"/>
      <c r="K1746" s="34"/>
      <c r="L1746" s="34"/>
      <c r="M1746" s="36"/>
      <c r="N1746" s="36"/>
      <c r="O1746" s="36"/>
      <c r="P1746" s="36"/>
      <c r="Q1746" s="36"/>
      <c r="R1746" s="36"/>
      <c r="S1746" s="36"/>
    </row>
    <row r="1747">
      <c r="A1747" s="34"/>
      <c r="B1747" s="36"/>
      <c r="C1747" s="35"/>
      <c r="D1747" s="35"/>
      <c r="E1747" s="34"/>
      <c r="F1747" s="34"/>
      <c r="G1747" s="34"/>
      <c r="H1747" s="34"/>
      <c r="I1747" s="34"/>
      <c r="J1747" s="34"/>
      <c r="K1747" s="34"/>
      <c r="L1747" s="34"/>
      <c r="M1747" s="36"/>
      <c r="N1747" s="36"/>
      <c r="O1747" s="36"/>
      <c r="P1747" s="36"/>
      <c r="Q1747" s="36"/>
      <c r="R1747" s="36"/>
      <c r="S1747" s="36"/>
    </row>
    <row r="1748">
      <c r="A1748" s="34"/>
      <c r="B1748" s="36"/>
      <c r="C1748" s="35"/>
      <c r="D1748" s="35"/>
      <c r="E1748" s="34"/>
      <c r="F1748" s="34"/>
      <c r="G1748" s="34"/>
      <c r="H1748" s="34"/>
      <c r="I1748" s="36"/>
      <c r="J1748" s="34"/>
      <c r="K1748" s="34"/>
      <c r="L1748" s="34"/>
      <c r="M1748" s="36"/>
      <c r="N1748" s="36"/>
      <c r="O1748" s="36"/>
      <c r="P1748" s="36"/>
      <c r="Q1748" s="36"/>
      <c r="R1748" s="36"/>
      <c r="S1748" s="36"/>
    </row>
    <row r="1749">
      <c r="A1749" s="34"/>
      <c r="B1749" s="36"/>
      <c r="C1749" s="35"/>
      <c r="D1749" s="35"/>
      <c r="E1749" s="34"/>
      <c r="F1749" s="34"/>
      <c r="G1749" s="34"/>
      <c r="H1749" s="34"/>
      <c r="I1749" s="36"/>
      <c r="J1749" s="34"/>
      <c r="K1749" s="34"/>
      <c r="L1749" s="34"/>
      <c r="M1749" s="36"/>
      <c r="N1749" s="36"/>
      <c r="O1749" s="36"/>
      <c r="P1749" s="36"/>
      <c r="Q1749" s="36"/>
      <c r="R1749" s="36"/>
      <c r="S1749" s="36"/>
    </row>
    <row r="1750">
      <c r="A1750" s="34"/>
      <c r="B1750" s="36"/>
      <c r="C1750" s="35"/>
      <c r="D1750" s="35"/>
      <c r="E1750" s="34"/>
      <c r="F1750" s="34"/>
      <c r="G1750" s="34"/>
      <c r="H1750" s="34"/>
      <c r="I1750" s="36"/>
      <c r="J1750" s="34"/>
      <c r="K1750" s="34"/>
      <c r="L1750" s="34"/>
      <c r="M1750" s="36"/>
      <c r="N1750" s="36"/>
      <c r="O1750" s="36"/>
      <c r="P1750" s="36"/>
      <c r="Q1750" s="36"/>
      <c r="R1750" s="36"/>
      <c r="S1750" s="36"/>
    </row>
    <row r="1751">
      <c r="A1751" s="34"/>
      <c r="B1751" s="36"/>
      <c r="C1751" s="35"/>
      <c r="D1751" s="35"/>
      <c r="E1751" s="34"/>
      <c r="F1751" s="34"/>
      <c r="G1751" s="34"/>
      <c r="H1751" s="34"/>
      <c r="I1751" s="34"/>
      <c r="J1751" s="34"/>
      <c r="K1751" s="34"/>
      <c r="L1751" s="34"/>
      <c r="M1751" s="36"/>
      <c r="N1751" s="36"/>
      <c r="O1751" s="36"/>
      <c r="P1751" s="36"/>
      <c r="Q1751" s="36"/>
      <c r="R1751" s="36"/>
      <c r="S1751" s="36"/>
    </row>
    <row r="1752">
      <c r="A1752" s="34"/>
      <c r="B1752" s="36"/>
      <c r="C1752" s="35"/>
      <c r="D1752" s="35"/>
      <c r="E1752" s="34"/>
      <c r="F1752" s="34"/>
      <c r="G1752" s="34"/>
      <c r="H1752" s="34"/>
      <c r="I1752" s="34"/>
      <c r="J1752" s="34"/>
      <c r="K1752" s="34"/>
      <c r="L1752" s="34"/>
      <c r="M1752" s="36"/>
      <c r="N1752" s="36"/>
      <c r="O1752" s="36"/>
      <c r="P1752" s="36"/>
      <c r="Q1752" s="36"/>
      <c r="R1752" s="36"/>
      <c r="S1752" s="36"/>
    </row>
    <row r="1753">
      <c r="A1753" s="34"/>
      <c r="B1753" s="36"/>
      <c r="C1753" s="35"/>
      <c r="D1753" s="35"/>
      <c r="E1753" s="34"/>
      <c r="F1753" s="34"/>
      <c r="G1753" s="34"/>
      <c r="H1753" s="34"/>
      <c r="I1753" s="36"/>
      <c r="J1753" s="34"/>
      <c r="K1753" s="34"/>
      <c r="L1753" s="34"/>
      <c r="M1753" s="36"/>
      <c r="N1753" s="36"/>
      <c r="O1753" s="36"/>
      <c r="P1753" s="36"/>
      <c r="Q1753" s="36"/>
      <c r="R1753" s="36"/>
      <c r="S1753" s="36"/>
    </row>
    <row r="1754">
      <c r="A1754" s="34"/>
      <c r="B1754" s="36"/>
      <c r="C1754" s="35"/>
      <c r="D1754" s="35"/>
      <c r="E1754" s="34"/>
      <c r="F1754" s="34"/>
      <c r="G1754" s="34"/>
      <c r="H1754" s="34"/>
      <c r="I1754" s="36"/>
      <c r="J1754" s="34"/>
      <c r="K1754" s="34"/>
      <c r="L1754" s="34"/>
      <c r="M1754" s="36"/>
      <c r="N1754" s="36"/>
      <c r="O1754" s="36"/>
      <c r="P1754" s="36"/>
      <c r="Q1754" s="36"/>
      <c r="R1754" s="36"/>
      <c r="S1754" s="36"/>
    </row>
    <row r="1755">
      <c r="A1755" s="34"/>
      <c r="B1755" s="36"/>
      <c r="C1755" s="35"/>
      <c r="D1755" s="35"/>
      <c r="E1755" s="34"/>
      <c r="F1755" s="34"/>
      <c r="G1755" s="34"/>
      <c r="H1755" s="34"/>
      <c r="I1755" s="36"/>
      <c r="J1755" s="34"/>
      <c r="K1755" s="34"/>
      <c r="L1755" s="34"/>
      <c r="M1755" s="36"/>
      <c r="N1755" s="36"/>
      <c r="O1755" s="36"/>
      <c r="P1755" s="36"/>
      <c r="Q1755" s="36"/>
      <c r="R1755" s="36"/>
      <c r="S1755" s="36"/>
    </row>
    <row r="1756">
      <c r="A1756" s="34"/>
      <c r="B1756" s="34"/>
      <c r="C1756" s="35"/>
      <c r="D1756" s="35"/>
      <c r="E1756" s="34"/>
      <c r="F1756" s="34"/>
      <c r="G1756" s="34"/>
      <c r="H1756" s="34"/>
      <c r="I1756" s="34"/>
      <c r="J1756" s="34"/>
      <c r="K1756" s="34"/>
      <c r="L1756" s="34"/>
      <c r="M1756" s="36"/>
      <c r="N1756" s="36"/>
      <c r="O1756" s="36"/>
      <c r="P1756" s="36"/>
      <c r="Q1756" s="36"/>
      <c r="R1756" s="36"/>
      <c r="S1756" s="36"/>
    </row>
    <row r="1757">
      <c r="A1757" s="34"/>
      <c r="B1757" s="36"/>
      <c r="C1757" s="35"/>
      <c r="D1757" s="35"/>
      <c r="E1757" s="34"/>
      <c r="F1757" s="34"/>
      <c r="G1757" s="34"/>
      <c r="H1757" s="34"/>
      <c r="I1757" s="36"/>
      <c r="J1757" s="34"/>
      <c r="K1757" s="34"/>
      <c r="L1757" s="34"/>
      <c r="M1757" s="36"/>
      <c r="N1757" s="36"/>
      <c r="O1757" s="36"/>
      <c r="P1757" s="36"/>
      <c r="Q1757" s="36"/>
      <c r="R1757" s="36"/>
      <c r="S1757" s="36"/>
    </row>
    <row r="1758">
      <c r="A1758" s="34"/>
      <c r="B1758" s="36"/>
      <c r="C1758" s="35"/>
      <c r="D1758" s="35"/>
      <c r="E1758" s="34"/>
      <c r="F1758" s="34"/>
      <c r="G1758" s="34"/>
      <c r="H1758" s="34"/>
      <c r="I1758" s="36"/>
      <c r="J1758" s="34"/>
      <c r="K1758" s="34"/>
      <c r="L1758" s="34"/>
      <c r="M1758" s="36"/>
      <c r="N1758" s="36"/>
      <c r="O1758" s="36"/>
      <c r="P1758" s="36"/>
      <c r="Q1758" s="36"/>
      <c r="R1758" s="36"/>
      <c r="S1758" s="36"/>
    </row>
    <row r="1759">
      <c r="A1759" s="34"/>
      <c r="B1759" s="36"/>
      <c r="C1759" s="35"/>
      <c r="D1759" s="35"/>
      <c r="E1759" s="34"/>
      <c r="F1759" s="34"/>
      <c r="G1759" s="34"/>
      <c r="H1759" s="34"/>
      <c r="I1759" s="36"/>
      <c r="J1759" s="34"/>
      <c r="K1759" s="34"/>
      <c r="L1759" s="34"/>
      <c r="M1759" s="36"/>
      <c r="N1759" s="36"/>
      <c r="O1759" s="36"/>
      <c r="P1759" s="36"/>
      <c r="Q1759" s="36"/>
      <c r="R1759" s="36"/>
      <c r="S1759" s="36"/>
    </row>
    <row r="1760">
      <c r="A1760" s="34"/>
      <c r="B1760" s="36"/>
      <c r="C1760" s="35"/>
      <c r="D1760" s="35"/>
      <c r="E1760" s="34"/>
      <c r="F1760" s="34"/>
      <c r="G1760" s="34"/>
      <c r="H1760" s="34"/>
      <c r="I1760" s="36"/>
      <c r="J1760" s="34"/>
      <c r="K1760" s="34"/>
      <c r="L1760" s="34"/>
      <c r="M1760" s="36"/>
      <c r="N1760" s="36"/>
      <c r="O1760" s="36"/>
      <c r="P1760" s="36"/>
      <c r="Q1760" s="36"/>
      <c r="R1760" s="36"/>
      <c r="S1760" s="36"/>
    </row>
    <row r="1761">
      <c r="A1761" s="34"/>
      <c r="B1761" s="36"/>
      <c r="C1761" s="35"/>
      <c r="D1761" s="35"/>
      <c r="E1761" s="34"/>
      <c r="F1761" s="34"/>
      <c r="G1761" s="34"/>
      <c r="H1761" s="34"/>
      <c r="I1761" s="36"/>
      <c r="J1761" s="34"/>
      <c r="K1761" s="34"/>
      <c r="L1761" s="34"/>
      <c r="M1761" s="36"/>
      <c r="N1761" s="36"/>
      <c r="O1761" s="36"/>
      <c r="P1761" s="36"/>
      <c r="Q1761" s="36"/>
      <c r="R1761" s="36"/>
      <c r="S1761" s="36"/>
    </row>
    <row r="1762">
      <c r="A1762" s="34"/>
      <c r="B1762" s="36"/>
      <c r="C1762" s="35"/>
      <c r="D1762" s="35"/>
      <c r="E1762" s="34"/>
      <c r="F1762" s="34"/>
      <c r="G1762" s="34"/>
      <c r="H1762" s="34"/>
      <c r="I1762" s="34"/>
      <c r="J1762" s="34"/>
      <c r="K1762" s="34"/>
      <c r="L1762" s="34"/>
      <c r="M1762" s="36"/>
      <c r="N1762" s="36"/>
      <c r="O1762" s="36"/>
      <c r="P1762" s="36"/>
      <c r="Q1762" s="36"/>
      <c r="R1762" s="36"/>
      <c r="S1762" s="36"/>
    </row>
    <row r="1763">
      <c r="A1763" s="34"/>
      <c r="B1763" s="36"/>
      <c r="C1763" s="35"/>
      <c r="D1763" s="35"/>
      <c r="E1763" s="34"/>
      <c r="F1763" s="34"/>
      <c r="G1763" s="34"/>
      <c r="H1763" s="34"/>
      <c r="I1763" s="36"/>
      <c r="J1763" s="34"/>
      <c r="K1763" s="34"/>
      <c r="L1763" s="34"/>
      <c r="M1763" s="36"/>
      <c r="N1763" s="36"/>
      <c r="O1763" s="36"/>
      <c r="P1763" s="36"/>
      <c r="Q1763" s="36"/>
      <c r="R1763" s="36"/>
      <c r="S1763" s="36"/>
    </row>
    <row r="1764">
      <c r="A1764" s="34"/>
      <c r="B1764" s="36"/>
      <c r="C1764" s="35"/>
      <c r="D1764" s="35"/>
      <c r="E1764" s="34"/>
      <c r="F1764" s="34"/>
      <c r="G1764" s="34"/>
      <c r="H1764" s="34"/>
      <c r="I1764" s="36"/>
      <c r="J1764" s="34"/>
      <c r="K1764" s="34"/>
      <c r="L1764" s="34"/>
      <c r="M1764" s="36"/>
      <c r="N1764" s="36"/>
      <c r="O1764" s="36"/>
      <c r="P1764" s="36"/>
      <c r="Q1764" s="36"/>
      <c r="R1764" s="36"/>
      <c r="S1764" s="36"/>
    </row>
    <row r="1765">
      <c r="A1765" s="34"/>
      <c r="B1765" s="34"/>
      <c r="C1765" s="35"/>
      <c r="D1765" s="35"/>
      <c r="E1765" s="34"/>
      <c r="F1765" s="34"/>
      <c r="G1765" s="34"/>
      <c r="H1765" s="34"/>
      <c r="I1765" s="34"/>
      <c r="J1765" s="34"/>
      <c r="K1765" s="34"/>
      <c r="L1765" s="34"/>
      <c r="M1765" s="36"/>
      <c r="N1765" s="36"/>
      <c r="O1765" s="36"/>
      <c r="P1765" s="36"/>
      <c r="Q1765" s="36"/>
      <c r="R1765" s="36"/>
      <c r="S1765" s="36"/>
    </row>
    <row r="1766">
      <c r="A1766" s="34"/>
      <c r="B1766" s="36"/>
      <c r="C1766" s="35"/>
      <c r="D1766" s="35"/>
      <c r="E1766" s="34"/>
      <c r="F1766" s="34"/>
      <c r="G1766" s="34"/>
      <c r="H1766" s="34"/>
      <c r="I1766" s="34"/>
      <c r="J1766" s="34"/>
      <c r="K1766" s="34"/>
      <c r="L1766" s="34"/>
      <c r="M1766" s="36"/>
      <c r="N1766" s="36"/>
      <c r="O1766" s="36"/>
      <c r="P1766" s="36"/>
      <c r="Q1766" s="36"/>
      <c r="R1766" s="36"/>
      <c r="S1766" s="36"/>
    </row>
    <row r="1767">
      <c r="A1767" s="34"/>
      <c r="B1767" s="36"/>
      <c r="C1767" s="35"/>
      <c r="D1767" s="35"/>
      <c r="E1767" s="34"/>
      <c r="F1767" s="34"/>
      <c r="G1767" s="34"/>
      <c r="H1767" s="34"/>
      <c r="I1767" s="34"/>
      <c r="J1767" s="34"/>
      <c r="K1767" s="34"/>
      <c r="L1767" s="34"/>
      <c r="M1767" s="36"/>
      <c r="N1767" s="36"/>
      <c r="O1767" s="36"/>
      <c r="P1767" s="36"/>
      <c r="Q1767" s="36"/>
      <c r="R1767" s="36"/>
      <c r="S1767" s="36"/>
    </row>
    <row r="1768">
      <c r="A1768" s="34"/>
      <c r="B1768" s="36"/>
      <c r="C1768" s="35"/>
      <c r="D1768" s="35"/>
      <c r="E1768" s="34"/>
      <c r="F1768" s="34"/>
      <c r="G1768" s="34"/>
      <c r="H1768" s="34"/>
      <c r="I1768" s="36"/>
      <c r="J1768" s="34"/>
      <c r="K1768" s="34"/>
      <c r="L1768" s="34"/>
      <c r="M1768" s="36"/>
      <c r="N1768" s="36"/>
      <c r="O1768" s="36"/>
      <c r="P1768" s="36"/>
      <c r="Q1768" s="36"/>
      <c r="R1768" s="36"/>
      <c r="S1768" s="36"/>
    </row>
    <row r="1769">
      <c r="A1769" s="34"/>
      <c r="B1769" s="36"/>
      <c r="C1769" s="35"/>
      <c r="D1769" s="35"/>
      <c r="E1769" s="34"/>
      <c r="F1769" s="34"/>
      <c r="G1769" s="34"/>
      <c r="H1769" s="34"/>
      <c r="I1769" s="36"/>
      <c r="J1769" s="34"/>
      <c r="K1769" s="34"/>
      <c r="L1769" s="34"/>
      <c r="M1769" s="36"/>
      <c r="N1769" s="36"/>
      <c r="O1769" s="36"/>
      <c r="P1769" s="36"/>
      <c r="Q1769" s="36"/>
      <c r="R1769" s="36"/>
      <c r="S1769" s="36"/>
    </row>
    <row r="1770">
      <c r="A1770" s="34"/>
      <c r="B1770" s="36"/>
      <c r="C1770" s="35"/>
      <c r="D1770" s="35"/>
      <c r="E1770" s="34"/>
      <c r="F1770" s="34"/>
      <c r="G1770" s="34"/>
      <c r="H1770" s="34"/>
      <c r="I1770" s="36"/>
      <c r="J1770" s="34"/>
      <c r="K1770" s="34"/>
      <c r="L1770" s="34"/>
      <c r="M1770" s="36"/>
      <c r="N1770" s="36"/>
      <c r="O1770" s="36"/>
      <c r="P1770" s="36"/>
      <c r="Q1770" s="36"/>
      <c r="R1770" s="36"/>
      <c r="S1770" s="36"/>
    </row>
    <row r="1771">
      <c r="A1771" s="34"/>
      <c r="B1771" s="36"/>
      <c r="C1771" s="35"/>
      <c r="D1771" s="35"/>
      <c r="E1771" s="34"/>
      <c r="F1771" s="34"/>
      <c r="G1771" s="34"/>
      <c r="H1771" s="34"/>
      <c r="I1771" s="34"/>
      <c r="J1771" s="34"/>
      <c r="K1771" s="34"/>
      <c r="L1771" s="34"/>
      <c r="M1771" s="36"/>
      <c r="N1771" s="36"/>
      <c r="O1771" s="36"/>
      <c r="P1771" s="36"/>
      <c r="Q1771" s="36"/>
      <c r="R1771" s="36"/>
      <c r="S1771" s="36"/>
    </row>
    <row r="1772">
      <c r="A1772" s="34"/>
      <c r="B1772" s="36"/>
      <c r="C1772" s="35"/>
      <c r="D1772" s="35"/>
      <c r="E1772" s="34"/>
      <c r="F1772" s="34"/>
      <c r="G1772" s="34"/>
      <c r="H1772" s="34"/>
      <c r="I1772" s="34"/>
      <c r="J1772" s="34"/>
      <c r="K1772" s="34"/>
      <c r="L1772" s="34"/>
      <c r="M1772" s="36"/>
      <c r="N1772" s="36"/>
      <c r="O1772" s="36"/>
      <c r="P1772" s="36"/>
      <c r="Q1772" s="36"/>
      <c r="R1772" s="36"/>
      <c r="S1772" s="36"/>
    </row>
    <row r="1773">
      <c r="A1773" s="34"/>
      <c r="B1773" s="36"/>
      <c r="C1773" s="35"/>
      <c r="D1773" s="35"/>
      <c r="E1773" s="34"/>
      <c r="F1773" s="34"/>
      <c r="G1773" s="34"/>
      <c r="H1773" s="34"/>
      <c r="I1773" s="34"/>
      <c r="J1773" s="34"/>
      <c r="K1773" s="34"/>
      <c r="L1773" s="34"/>
      <c r="M1773" s="36"/>
      <c r="N1773" s="36"/>
      <c r="O1773" s="36"/>
      <c r="P1773" s="36"/>
      <c r="Q1773" s="36"/>
      <c r="R1773" s="36"/>
      <c r="S1773" s="36"/>
    </row>
    <row r="1774">
      <c r="A1774" s="34"/>
      <c r="B1774" s="36"/>
      <c r="C1774" s="35"/>
      <c r="D1774" s="35"/>
      <c r="E1774" s="34"/>
      <c r="F1774" s="34"/>
      <c r="G1774" s="34"/>
      <c r="H1774" s="34"/>
      <c r="I1774" s="36"/>
      <c r="J1774" s="34"/>
      <c r="K1774" s="34"/>
      <c r="L1774" s="34"/>
      <c r="M1774" s="36"/>
      <c r="N1774" s="36"/>
      <c r="O1774" s="36"/>
      <c r="P1774" s="36"/>
      <c r="Q1774" s="36"/>
      <c r="R1774" s="36"/>
      <c r="S1774" s="36"/>
    </row>
    <row r="1775">
      <c r="A1775" s="34"/>
      <c r="B1775" s="36"/>
      <c r="C1775" s="35"/>
      <c r="D1775" s="35"/>
      <c r="E1775" s="34"/>
      <c r="F1775" s="34"/>
      <c r="G1775" s="34"/>
      <c r="H1775" s="34"/>
      <c r="I1775" s="36"/>
      <c r="J1775" s="34"/>
      <c r="K1775" s="34"/>
      <c r="L1775" s="34"/>
      <c r="M1775" s="36"/>
      <c r="N1775" s="36"/>
      <c r="O1775" s="36"/>
      <c r="P1775" s="36"/>
      <c r="Q1775" s="36"/>
      <c r="R1775" s="36"/>
      <c r="S1775" s="36"/>
    </row>
    <row r="1776">
      <c r="A1776" s="34"/>
      <c r="B1776" s="36"/>
      <c r="C1776" s="35"/>
      <c r="D1776" s="35"/>
      <c r="E1776" s="34"/>
      <c r="F1776" s="34"/>
      <c r="G1776" s="34"/>
      <c r="H1776" s="34"/>
      <c r="I1776" s="36"/>
      <c r="J1776" s="34"/>
      <c r="K1776" s="34"/>
      <c r="L1776" s="34"/>
      <c r="M1776" s="36"/>
      <c r="N1776" s="36"/>
      <c r="O1776" s="36"/>
      <c r="P1776" s="36"/>
      <c r="Q1776" s="36"/>
      <c r="R1776" s="36"/>
      <c r="S1776" s="36"/>
    </row>
    <row r="1777">
      <c r="A1777" s="34"/>
      <c r="B1777" s="36"/>
      <c r="C1777" s="35"/>
      <c r="D1777" s="35"/>
      <c r="E1777" s="34"/>
      <c r="F1777" s="34"/>
      <c r="G1777" s="34"/>
      <c r="H1777" s="34"/>
      <c r="I1777" s="36"/>
      <c r="J1777" s="34"/>
      <c r="K1777" s="34"/>
      <c r="L1777" s="34"/>
      <c r="M1777" s="36"/>
      <c r="N1777" s="36"/>
      <c r="O1777" s="36"/>
      <c r="P1777" s="36"/>
      <c r="Q1777" s="36"/>
      <c r="R1777" s="36"/>
      <c r="S1777" s="36"/>
    </row>
    <row r="1778">
      <c r="A1778" s="34"/>
      <c r="B1778" s="36"/>
      <c r="C1778" s="35"/>
      <c r="D1778" s="35"/>
      <c r="E1778" s="34"/>
      <c r="F1778" s="34"/>
      <c r="G1778" s="34"/>
      <c r="H1778" s="34"/>
      <c r="I1778" s="36"/>
      <c r="J1778" s="34"/>
      <c r="K1778" s="34"/>
      <c r="L1778" s="34"/>
      <c r="M1778" s="36"/>
      <c r="N1778" s="36"/>
      <c r="O1778" s="36"/>
      <c r="P1778" s="36"/>
      <c r="Q1778" s="36"/>
      <c r="R1778" s="36"/>
      <c r="S1778" s="36"/>
    </row>
    <row r="1779">
      <c r="A1779" s="34"/>
      <c r="B1779" s="36"/>
      <c r="C1779" s="35"/>
      <c r="D1779" s="35"/>
      <c r="E1779" s="34"/>
      <c r="F1779" s="34"/>
      <c r="G1779" s="34"/>
      <c r="H1779" s="34"/>
      <c r="I1779" s="36"/>
      <c r="J1779" s="34"/>
      <c r="K1779" s="34"/>
      <c r="L1779" s="34"/>
      <c r="M1779" s="36"/>
      <c r="N1779" s="36"/>
      <c r="O1779" s="36"/>
      <c r="P1779" s="36"/>
      <c r="Q1779" s="36"/>
      <c r="R1779" s="36"/>
      <c r="S1779" s="36"/>
    </row>
    <row r="1780">
      <c r="A1780" s="34"/>
      <c r="B1780" s="36"/>
      <c r="C1780" s="35"/>
      <c r="D1780" s="35"/>
      <c r="E1780" s="34"/>
      <c r="F1780" s="34"/>
      <c r="G1780" s="34"/>
      <c r="H1780" s="34"/>
      <c r="I1780" s="36"/>
      <c r="J1780" s="34"/>
      <c r="K1780" s="34"/>
      <c r="L1780" s="34"/>
      <c r="M1780" s="36"/>
      <c r="N1780" s="36"/>
      <c r="O1780" s="36"/>
      <c r="P1780" s="36"/>
      <c r="Q1780" s="36"/>
      <c r="R1780" s="36"/>
      <c r="S1780" s="36"/>
    </row>
    <row r="1781">
      <c r="A1781" s="34"/>
      <c r="B1781" s="36"/>
      <c r="C1781" s="35"/>
      <c r="D1781" s="35"/>
      <c r="E1781" s="34"/>
      <c r="F1781" s="34"/>
      <c r="G1781" s="34"/>
      <c r="H1781" s="34"/>
      <c r="I1781" s="36"/>
      <c r="J1781" s="34"/>
      <c r="K1781" s="34"/>
      <c r="L1781" s="34"/>
      <c r="M1781" s="36"/>
      <c r="N1781" s="36"/>
      <c r="O1781" s="36"/>
      <c r="P1781" s="36"/>
      <c r="Q1781" s="36"/>
      <c r="R1781" s="36"/>
      <c r="S1781" s="36"/>
    </row>
    <row r="1782">
      <c r="A1782" s="34"/>
      <c r="B1782" s="36"/>
      <c r="C1782" s="35"/>
      <c r="D1782" s="35"/>
      <c r="E1782" s="34"/>
      <c r="F1782" s="34"/>
      <c r="G1782" s="34"/>
      <c r="H1782" s="34"/>
      <c r="I1782" s="36"/>
      <c r="J1782" s="34"/>
      <c r="K1782" s="34"/>
      <c r="L1782" s="34"/>
      <c r="M1782" s="36"/>
      <c r="N1782" s="36"/>
      <c r="O1782" s="36"/>
      <c r="P1782" s="36"/>
      <c r="Q1782" s="36"/>
      <c r="R1782" s="36"/>
      <c r="S1782" s="36"/>
    </row>
    <row r="1783">
      <c r="A1783" s="34"/>
      <c r="B1783" s="36"/>
      <c r="C1783" s="35"/>
      <c r="D1783" s="35"/>
      <c r="E1783" s="34"/>
      <c r="F1783" s="34"/>
      <c r="G1783" s="34"/>
      <c r="H1783" s="34"/>
      <c r="I1783" s="36"/>
      <c r="J1783" s="34"/>
      <c r="K1783" s="34"/>
      <c r="L1783" s="34"/>
      <c r="M1783" s="36"/>
      <c r="N1783" s="36"/>
      <c r="O1783" s="36"/>
      <c r="P1783" s="36"/>
      <c r="Q1783" s="36"/>
      <c r="R1783" s="36"/>
      <c r="S1783" s="36"/>
    </row>
    <row r="1784">
      <c r="A1784" s="34"/>
      <c r="B1784" s="36"/>
      <c r="C1784" s="35"/>
      <c r="D1784" s="35"/>
      <c r="E1784" s="34"/>
      <c r="F1784" s="34"/>
      <c r="G1784" s="34"/>
      <c r="H1784" s="34"/>
      <c r="I1784" s="36"/>
      <c r="J1784" s="34"/>
      <c r="K1784" s="34"/>
      <c r="L1784" s="34"/>
      <c r="M1784" s="36"/>
      <c r="N1784" s="36"/>
      <c r="O1784" s="36"/>
      <c r="P1784" s="36"/>
      <c r="Q1784" s="36"/>
      <c r="R1784" s="36"/>
      <c r="S1784" s="36"/>
    </row>
    <row r="1785">
      <c r="A1785" s="34"/>
      <c r="B1785" s="36"/>
      <c r="C1785" s="35"/>
      <c r="D1785" s="35"/>
      <c r="E1785" s="34"/>
      <c r="F1785" s="34"/>
      <c r="G1785" s="34"/>
      <c r="H1785" s="34"/>
      <c r="I1785" s="36"/>
      <c r="J1785" s="34"/>
      <c r="K1785" s="34"/>
      <c r="L1785" s="34"/>
      <c r="M1785" s="36"/>
      <c r="N1785" s="36"/>
      <c r="O1785" s="36"/>
      <c r="P1785" s="36"/>
      <c r="Q1785" s="36"/>
      <c r="R1785" s="36"/>
      <c r="S1785" s="36"/>
    </row>
    <row r="1786">
      <c r="A1786" s="34"/>
      <c r="B1786" s="36"/>
      <c r="C1786" s="35"/>
      <c r="D1786" s="35"/>
      <c r="E1786" s="34"/>
      <c r="F1786" s="34"/>
      <c r="G1786" s="34"/>
      <c r="H1786" s="34"/>
      <c r="I1786" s="36"/>
      <c r="J1786" s="34"/>
      <c r="K1786" s="34"/>
      <c r="L1786" s="34"/>
      <c r="M1786" s="36"/>
      <c r="N1786" s="36"/>
      <c r="O1786" s="36"/>
      <c r="P1786" s="36"/>
      <c r="Q1786" s="36"/>
      <c r="R1786" s="36"/>
      <c r="S1786" s="36"/>
    </row>
    <row r="1787">
      <c r="A1787" s="34"/>
      <c r="B1787" s="36"/>
      <c r="C1787" s="35"/>
      <c r="D1787" s="35"/>
      <c r="E1787" s="34"/>
      <c r="F1787" s="34"/>
      <c r="G1787" s="34"/>
      <c r="H1787" s="34"/>
      <c r="I1787" s="36"/>
      <c r="J1787" s="34"/>
      <c r="K1787" s="34"/>
      <c r="L1787" s="34"/>
      <c r="M1787" s="36"/>
      <c r="N1787" s="36"/>
      <c r="O1787" s="36"/>
      <c r="P1787" s="36"/>
      <c r="Q1787" s="36"/>
      <c r="R1787" s="36"/>
      <c r="S1787" s="36"/>
    </row>
    <row r="1788">
      <c r="A1788" s="34"/>
      <c r="B1788" s="36"/>
      <c r="C1788" s="35"/>
      <c r="D1788" s="35"/>
      <c r="E1788" s="34"/>
      <c r="F1788" s="34"/>
      <c r="G1788" s="34"/>
      <c r="H1788" s="34"/>
      <c r="I1788" s="36"/>
      <c r="J1788" s="34"/>
      <c r="K1788" s="34"/>
      <c r="L1788" s="34"/>
      <c r="M1788" s="36"/>
      <c r="N1788" s="36"/>
      <c r="O1788" s="36"/>
      <c r="P1788" s="36"/>
      <c r="Q1788" s="36"/>
      <c r="R1788" s="36"/>
      <c r="S1788" s="36"/>
    </row>
    <row r="1789">
      <c r="A1789" s="34"/>
      <c r="B1789" s="34"/>
      <c r="C1789" s="35"/>
      <c r="D1789" s="35"/>
      <c r="E1789" s="34"/>
      <c r="F1789" s="34"/>
      <c r="G1789" s="34"/>
      <c r="H1789" s="34"/>
      <c r="I1789" s="34"/>
      <c r="J1789" s="34"/>
      <c r="K1789" s="34"/>
      <c r="L1789" s="34"/>
      <c r="M1789" s="36"/>
      <c r="N1789" s="36"/>
      <c r="O1789" s="36"/>
      <c r="P1789" s="36"/>
      <c r="Q1789" s="36"/>
      <c r="R1789" s="36"/>
      <c r="S1789" s="36"/>
    </row>
    <row r="1790">
      <c r="A1790" s="34"/>
      <c r="B1790" s="34"/>
      <c r="C1790" s="35"/>
      <c r="D1790" s="35"/>
      <c r="E1790" s="34"/>
      <c r="F1790" s="34"/>
      <c r="G1790" s="34"/>
      <c r="H1790" s="34"/>
      <c r="I1790" s="34"/>
      <c r="J1790" s="34"/>
      <c r="K1790" s="34"/>
      <c r="L1790" s="34"/>
      <c r="M1790" s="36"/>
      <c r="N1790" s="36"/>
      <c r="O1790" s="36"/>
      <c r="P1790" s="36"/>
      <c r="Q1790" s="36"/>
      <c r="R1790" s="36"/>
      <c r="S1790" s="36"/>
    </row>
    <row r="1791">
      <c r="A1791" s="34"/>
      <c r="B1791" s="36"/>
      <c r="C1791" s="35"/>
      <c r="D1791" s="35"/>
      <c r="E1791" s="34"/>
      <c r="F1791" s="34"/>
      <c r="G1791" s="34"/>
      <c r="H1791" s="34"/>
      <c r="I1791" s="36"/>
      <c r="J1791" s="34"/>
      <c r="K1791" s="34"/>
      <c r="L1791" s="34"/>
      <c r="M1791" s="36"/>
      <c r="N1791" s="36"/>
      <c r="O1791" s="36"/>
      <c r="P1791" s="36"/>
      <c r="Q1791" s="36"/>
      <c r="R1791" s="36"/>
      <c r="S1791" s="36"/>
    </row>
    <row r="1792">
      <c r="A1792" s="34"/>
      <c r="B1792" s="34"/>
      <c r="C1792" s="35"/>
      <c r="D1792" s="35"/>
      <c r="E1792" s="34"/>
      <c r="F1792" s="34"/>
      <c r="G1792" s="34"/>
      <c r="H1792" s="34"/>
      <c r="I1792" s="34"/>
      <c r="J1792" s="34"/>
      <c r="K1792" s="34"/>
      <c r="L1792" s="34"/>
      <c r="M1792" s="36"/>
      <c r="N1792" s="36"/>
      <c r="O1792" s="36"/>
      <c r="P1792" s="36"/>
      <c r="Q1792" s="36"/>
      <c r="R1792" s="36"/>
      <c r="S1792" s="36"/>
    </row>
    <row r="1793">
      <c r="A1793" s="34"/>
      <c r="B1793" s="34"/>
      <c r="C1793" s="35"/>
      <c r="D1793" s="35"/>
      <c r="E1793" s="34"/>
      <c r="F1793" s="34"/>
      <c r="G1793" s="34"/>
      <c r="H1793" s="34"/>
      <c r="I1793" s="34"/>
      <c r="J1793" s="34"/>
      <c r="K1793" s="34"/>
      <c r="L1793" s="34"/>
      <c r="M1793" s="36"/>
      <c r="N1793" s="36"/>
      <c r="O1793" s="36"/>
      <c r="P1793" s="36"/>
      <c r="Q1793" s="36"/>
      <c r="R1793" s="36"/>
      <c r="S1793" s="36"/>
    </row>
    <row r="1794">
      <c r="A1794" s="34"/>
      <c r="B1794" s="36"/>
      <c r="C1794" s="35"/>
      <c r="D1794" s="35"/>
      <c r="E1794" s="34"/>
      <c r="F1794" s="34"/>
      <c r="G1794" s="34"/>
      <c r="H1794" s="34"/>
      <c r="I1794" s="36"/>
      <c r="J1794" s="34"/>
      <c r="K1794" s="34"/>
      <c r="L1794" s="34"/>
      <c r="M1794" s="36"/>
      <c r="N1794" s="36"/>
      <c r="O1794" s="36"/>
      <c r="P1794" s="36"/>
      <c r="Q1794" s="36"/>
      <c r="R1794" s="36"/>
      <c r="S1794" s="36"/>
    </row>
    <row r="1795">
      <c r="A1795" s="34"/>
      <c r="B1795" s="34"/>
      <c r="C1795" s="35"/>
      <c r="D1795" s="35"/>
      <c r="E1795" s="34"/>
      <c r="F1795" s="34"/>
      <c r="G1795" s="34"/>
      <c r="H1795" s="34"/>
      <c r="I1795" s="34"/>
      <c r="J1795" s="34"/>
      <c r="K1795" s="34"/>
      <c r="L1795" s="34"/>
      <c r="M1795" s="36"/>
      <c r="N1795" s="36"/>
      <c r="O1795" s="36"/>
      <c r="P1795" s="36"/>
      <c r="Q1795" s="36"/>
      <c r="R1795" s="36"/>
      <c r="S1795" s="36"/>
    </row>
    <row r="1796">
      <c r="A1796" s="34"/>
      <c r="B1796" s="34"/>
      <c r="C1796" s="35"/>
      <c r="D1796" s="35"/>
      <c r="E1796" s="34"/>
      <c r="F1796" s="34"/>
      <c r="G1796" s="34"/>
      <c r="H1796" s="34"/>
      <c r="I1796" s="34"/>
      <c r="J1796" s="34"/>
      <c r="K1796" s="34"/>
      <c r="L1796" s="34"/>
      <c r="M1796" s="36"/>
      <c r="N1796" s="36"/>
      <c r="O1796" s="36"/>
      <c r="P1796" s="36"/>
      <c r="Q1796" s="36"/>
      <c r="R1796" s="36"/>
      <c r="S1796" s="36"/>
    </row>
    <row r="1797">
      <c r="A1797" s="34"/>
      <c r="B1797" s="36"/>
      <c r="C1797" s="35"/>
      <c r="D1797" s="35"/>
      <c r="E1797" s="34"/>
      <c r="F1797" s="34"/>
      <c r="G1797" s="34"/>
      <c r="H1797" s="34"/>
      <c r="I1797" s="36"/>
      <c r="J1797" s="34"/>
      <c r="K1797" s="34"/>
      <c r="L1797" s="34"/>
      <c r="M1797" s="36"/>
      <c r="N1797" s="36"/>
      <c r="O1797" s="36"/>
      <c r="P1797" s="36"/>
      <c r="Q1797" s="36"/>
      <c r="R1797" s="36"/>
      <c r="S1797" s="36"/>
    </row>
    <row r="1798">
      <c r="A1798" s="34"/>
      <c r="B1798" s="36"/>
      <c r="C1798" s="35"/>
      <c r="D1798" s="35"/>
      <c r="E1798" s="34"/>
      <c r="F1798" s="34"/>
      <c r="G1798" s="34"/>
      <c r="H1798" s="34"/>
      <c r="I1798" s="36"/>
      <c r="J1798" s="34"/>
      <c r="K1798" s="34"/>
      <c r="L1798" s="34"/>
      <c r="M1798" s="36"/>
      <c r="N1798" s="36"/>
      <c r="O1798" s="36"/>
      <c r="P1798" s="36"/>
      <c r="Q1798" s="36"/>
      <c r="R1798" s="36"/>
      <c r="S1798" s="36"/>
    </row>
    <row r="1799">
      <c r="A1799" s="34"/>
      <c r="B1799" s="36"/>
      <c r="C1799" s="35"/>
      <c r="D1799" s="35"/>
      <c r="E1799" s="34"/>
      <c r="F1799" s="34"/>
      <c r="G1799" s="34"/>
      <c r="H1799" s="34"/>
      <c r="I1799" s="36"/>
      <c r="J1799" s="34"/>
      <c r="K1799" s="34"/>
      <c r="L1799" s="34"/>
      <c r="M1799" s="36"/>
      <c r="N1799" s="36"/>
      <c r="O1799" s="36"/>
      <c r="P1799" s="36"/>
      <c r="Q1799" s="36"/>
      <c r="R1799" s="36"/>
      <c r="S1799" s="36"/>
    </row>
    <row r="1800">
      <c r="A1800" s="34"/>
      <c r="B1800" s="36"/>
      <c r="C1800" s="35"/>
      <c r="D1800" s="35"/>
      <c r="E1800" s="34"/>
      <c r="F1800" s="34"/>
      <c r="G1800" s="34"/>
      <c r="H1800" s="34"/>
      <c r="I1800" s="36"/>
      <c r="J1800" s="34"/>
      <c r="K1800" s="34"/>
      <c r="L1800" s="34"/>
      <c r="M1800" s="36"/>
      <c r="N1800" s="36"/>
      <c r="O1800" s="36"/>
      <c r="P1800" s="36"/>
      <c r="Q1800" s="36"/>
      <c r="R1800" s="36"/>
      <c r="S1800" s="36"/>
    </row>
    <row r="1801">
      <c r="A1801" s="34"/>
      <c r="B1801" s="36"/>
      <c r="C1801" s="35"/>
      <c r="D1801" s="35"/>
      <c r="E1801" s="34"/>
      <c r="F1801" s="34"/>
      <c r="G1801" s="34"/>
      <c r="H1801" s="34"/>
      <c r="I1801" s="36"/>
      <c r="J1801" s="34"/>
      <c r="K1801" s="34"/>
      <c r="L1801" s="34"/>
      <c r="M1801" s="36"/>
      <c r="N1801" s="36"/>
      <c r="O1801" s="36"/>
      <c r="P1801" s="36"/>
      <c r="Q1801" s="36"/>
      <c r="R1801" s="36"/>
      <c r="S1801" s="36"/>
    </row>
    <row r="1802">
      <c r="A1802" s="34"/>
      <c r="B1802" s="36"/>
      <c r="C1802" s="35"/>
      <c r="D1802" s="35"/>
      <c r="E1802" s="34"/>
      <c r="F1802" s="34"/>
      <c r="G1802" s="34"/>
      <c r="H1802" s="34"/>
      <c r="I1802" s="36"/>
      <c r="J1802" s="34"/>
      <c r="K1802" s="34"/>
      <c r="L1802" s="34"/>
      <c r="M1802" s="36"/>
      <c r="N1802" s="36"/>
      <c r="O1802" s="36"/>
      <c r="P1802" s="36"/>
      <c r="Q1802" s="36"/>
      <c r="R1802" s="36"/>
      <c r="S1802" s="36"/>
    </row>
    <row r="1803">
      <c r="A1803" s="34"/>
      <c r="B1803" s="34"/>
      <c r="C1803" s="35"/>
      <c r="D1803" s="35"/>
      <c r="E1803" s="34"/>
      <c r="F1803" s="34"/>
      <c r="G1803" s="34"/>
      <c r="H1803" s="34"/>
      <c r="I1803" s="34"/>
      <c r="J1803" s="34"/>
      <c r="K1803" s="34"/>
      <c r="L1803" s="34"/>
      <c r="M1803" s="36"/>
      <c r="N1803" s="36"/>
      <c r="O1803" s="36"/>
      <c r="P1803" s="36"/>
      <c r="Q1803" s="36"/>
      <c r="R1803" s="36"/>
      <c r="S1803" s="36"/>
    </row>
    <row r="1804">
      <c r="A1804" s="34"/>
      <c r="B1804" s="36"/>
      <c r="C1804" s="35"/>
      <c r="D1804" s="35"/>
      <c r="E1804" s="34"/>
      <c r="F1804" s="34"/>
      <c r="G1804" s="34"/>
      <c r="H1804" s="34"/>
      <c r="I1804" s="36"/>
      <c r="J1804" s="34"/>
      <c r="K1804" s="34"/>
      <c r="L1804" s="34"/>
      <c r="M1804" s="36"/>
      <c r="N1804" s="36"/>
      <c r="O1804" s="36"/>
      <c r="P1804" s="36"/>
      <c r="Q1804" s="36"/>
      <c r="R1804" s="36"/>
      <c r="S1804" s="36"/>
    </row>
    <row r="1805">
      <c r="A1805" s="34"/>
      <c r="B1805" s="34"/>
      <c r="C1805" s="35"/>
      <c r="D1805" s="35"/>
      <c r="E1805" s="34"/>
      <c r="F1805" s="34"/>
      <c r="G1805" s="34"/>
      <c r="H1805" s="34"/>
      <c r="I1805" s="34"/>
      <c r="J1805" s="34"/>
      <c r="K1805" s="34"/>
      <c r="L1805" s="34"/>
      <c r="M1805" s="36"/>
      <c r="N1805" s="36"/>
      <c r="O1805" s="36"/>
      <c r="P1805" s="36"/>
      <c r="Q1805" s="36"/>
      <c r="R1805" s="36"/>
      <c r="S1805" s="36"/>
    </row>
    <row r="1806">
      <c r="A1806" s="34"/>
      <c r="B1806" s="36"/>
      <c r="C1806" s="35"/>
      <c r="D1806" s="35"/>
      <c r="E1806" s="34"/>
      <c r="F1806" s="34"/>
      <c r="G1806" s="34"/>
      <c r="H1806" s="34"/>
      <c r="I1806" s="34"/>
      <c r="J1806" s="34"/>
      <c r="K1806" s="34"/>
      <c r="L1806" s="34"/>
      <c r="M1806" s="36"/>
      <c r="N1806" s="36"/>
      <c r="O1806" s="36"/>
      <c r="P1806" s="36"/>
      <c r="Q1806" s="36"/>
      <c r="R1806" s="36"/>
      <c r="S1806" s="36"/>
    </row>
    <row r="1807">
      <c r="A1807" s="34"/>
      <c r="B1807" s="34"/>
      <c r="C1807" s="35"/>
      <c r="D1807" s="35"/>
      <c r="E1807" s="34"/>
      <c r="F1807" s="34"/>
      <c r="G1807" s="34"/>
      <c r="H1807" s="34"/>
      <c r="I1807" s="34"/>
      <c r="J1807" s="34"/>
      <c r="K1807" s="34"/>
      <c r="L1807" s="34"/>
      <c r="M1807" s="36"/>
      <c r="N1807" s="36"/>
      <c r="O1807" s="36"/>
      <c r="P1807" s="36"/>
      <c r="Q1807" s="36"/>
      <c r="R1807" s="36"/>
      <c r="S1807" s="36"/>
    </row>
    <row r="1808">
      <c r="A1808" s="34"/>
      <c r="B1808" s="36"/>
      <c r="C1808" s="35"/>
      <c r="D1808" s="35"/>
      <c r="E1808" s="34"/>
      <c r="F1808" s="34"/>
      <c r="G1808" s="34"/>
      <c r="H1808" s="34"/>
      <c r="I1808" s="36"/>
      <c r="J1808" s="34"/>
      <c r="K1808" s="34"/>
      <c r="L1808" s="34"/>
      <c r="M1808" s="36"/>
      <c r="N1808" s="36"/>
      <c r="O1808" s="36"/>
      <c r="P1808" s="36"/>
      <c r="Q1808" s="36"/>
      <c r="R1808" s="36"/>
      <c r="S1808" s="36"/>
    </row>
    <row r="1809">
      <c r="A1809" s="34"/>
      <c r="B1809" s="36"/>
      <c r="C1809" s="35"/>
      <c r="D1809" s="35"/>
      <c r="E1809" s="34"/>
      <c r="F1809" s="34"/>
      <c r="G1809" s="34"/>
      <c r="H1809" s="34"/>
      <c r="I1809" s="36"/>
      <c r="J1809" s="34"/>
      <c r="K1809" s="34"/>
      <c r="L1809" s="34"/>
      <c r="M1809" s="36"/>
      <c r="N1809" s="36"/>
      <c r="O1809" s="36"/>
      <c r="P1809" s="36"/>
      <c r="Q1809" s="36"/>
      <c r="R1809" s="36"/>
      <c r="S1809" s="36"/>
    </row>
    <row r="1810">
      <c r="A1810" s="34"/>
      <c r="B1810" s="36"/>
      <c r="C1810" s="35"/>
      <c r="D1810" s="35"/>
      <c r="E1810" s="34"/>
      <c r="F1810" s="34"/>
      <c r="G1810" s="34"/>
      <c r="H1810" s="34"/>
      <c r="I1810" s="36"/>
      <c r="J1810" s="34"/>
      <c r="K1810" s="34"/>
      <c r="L1810" s="34"/>
      <c r="M1810" s="36"/>
      <c r="N1810" s="36"/>
      <c r="O1810" s="36"/>
      <c r="P1810" s="36"/>
      <c r="Q1810" s="36"/>
      <c r="R1810" s="36"/>
      <c r="S1810" s="36"/>
    </row>
    <row r="1811">
      <c r="A1811" s="34"/>
      <c r="B1811" s="36"/>
      <c r="C1811" s="35"/>
      <c r="D1811" s="35"/>
      <c r="E1811" s="34"/>
      <c r="F1811" s="34"/>
      <c r="G1811" s="34"/>
      <c r="H1811" s="34"/>
      <c r="I1811" s="36"/>
      <c r="J1811" s="34"/>
      <c r="K1811" s="34"/>
      <c r="L1811" s="34"/>
      <c r="M1811" s="36"/>
      <c r="N1811" s="36"/>
      <c r="O1811" s="36"/>
      <c r="P1811" s="36"/>
      <c r="Q1811" s="36"/>
      <c r="R1811" s="36"/>
      <c r="S1811" s="36"/>
    </row>
    <row r="1812">
      <c r="A1812" s="34"/>
      <c r="B1812" s="36"/>
      <c r="C1812" s="35"/>
      <c r="D1812" s="35"/>
      <c r="E1812" s="34"/>
      <c r="F1812" s="34"/>
      <c r="G1812" s="34"/>
      <c r="H1812" s="34"/>
      <c r="I1812" s="36"/>
      <c r="J1812" s="34"/>
      <c r="K1812" s="34"/>
      <c r="L1812" s="34"/>
      <c r="M1812" s="36"/>
      <c r="N1812" s="36"/>
      <c r="O1812" s="36"/>
      <c r="P1812" s="36"/>
      <c r="Q1812" s="36"/>
      <c r="R1812" s="36"/>
      <c r="S1812" s="36"/>
    </row>
    <row r="1813">
      <c r="A1813" s="34"/>
      <c r="B1813" s="36"/>
      <c r="C1813" s="35"/>
      <c r="D1813" s="35"/>
      <c r="E1813" s="34"/>
      <c r="F1813" s="34"/>
      <c r="G1813" s="34"/>
      <c r="H1813" s="34"/>
      <c r="I1813" s="36"/>
      <c r="J1813" s="34"/>
      <c r="K1813" s="34"/>
      <c r="L1813" s="34"/>
      <c r="M1813" s="36"/>
      <c r="N1813" s="36"/>
      <c r="O1813" s="36"/>
      <c r="P1813" s="36"/>
      <c r="Q1813" s="36"/>
      <c r="R1813" s="36"/>
      <c r="S1813" s="36"/>
    </row>
    <row r="1814">
      <c r="A1814" s="34"/>
      <c r="B1814" s="36"/>
      <c r="C1814" s="35"/>
      <c r="D1814" s="35"/>
      <c r="E1814" s="34"/>
      <c r="F1814" s="34"/>
      <c r="G1814" s="34"/>
      <c r="H1814" s="34"/>
      <c r="I1814" s="36"/>
      <c r="J1814" s="34"/>
      <c r="K1814" s="34"/>
      <c r="L1814" s="34"/>
      <c r="M1814" s="36"/>
      <c r="N1814" s="36"/>
      <c r="O1814" s="36"/>
      <c r="P1814" s="36"/>
      <c r="Q1814" s="36"/>
      <c r="R1814" s="36"/>
      <c r="S1814" s="36"/>
    </row>
    <row r="1815">
      <c r="A1815" s="34"/>
      <c r="B1815" s="36"/>
      <c r="C1815" s="35"/>
      <c r="D1815" s="35"/>
      <c r="E1815" s="34"/>
      <c r="F1815" s="34"/>
      <c r="G1815" s="34"/>
      <c r="H1815" s="34"/>
      <c r="I1815" s="36"/>
      <c r="J1815" s="34"/>
      <c r="K1815" s="34"/>
      <c r="L1815" s="34"/>
      <c r="M1815" s="36"/>
      <c r="N1815" s="36"/>
      <c r="O1815" s="36"/>
      <c r="P1815" s="36"/>
      <c r="Q1815" s="36"/>
      <c r="R1815" s="36"/>
      <c r="S1815" s="36"/>
    </row>
    <row r="1816">
      <c r="A1816" s="34"/>
      <c r="B1816" s="36"/>
      <c r="C1816" s="35"/>
      <c r="D1816" s="35"/>
      <c r="E1816" s="34"/>
      <c r="F1816" s="34"/>
      <c r="G1816" s="34"/>
      <c r="H1816" s="34"/>
      <c r="I1816" s="36"/>
      <c r="J1816" s="34"/>
      <c r="K1816" s="34"/>
      <c r="L1816" s="34"/>
      <c r="M1816" s="36"/>
      <c r="N1816" s="36"/>
      <c r="O1816" s="36"/>
      <c r="P1816" s="36"/>
      <c r="Q1816" s="36"/>
      <c r="R1816" s="36"/>
      <c r="S1816" s="36"/>
    </row>
    <row r="1817">
      <c r="A1817" s="34"/>
      <c r="B1817" s="36"/>
      <c r="C1817" s="35"/>
      <c r="D1817" s="35"/>
      <c r="E1817" s="34"/>
      <c r="F1817" s="34"/>
      <c r="G1817" s="34"/>
      <c r="H1817" s="34"/>
      <c r="I1817" s="36"/>
      <c r="J1817" s="34"/>
      <c r="K1817" s="34"/>
      <c r="L1817" s="34"/>
      <c r="M1817" s="36"/>
      <c r="N1817" s="36"/>
      <c r="O1817" s="36"/>
      <c r="P1817" s="36"/>
      <c r="Q1817" s="36"/>
      <c r="R1817" s="36"/>
      <c r="S1817" s="36"/>
    </row>
    <row r="1818">
      <c r="A1818" s="34"/>
      <c r="B1818" s="36"/>
      <c r="C1818" s="35"/>
      <c r="D1818" s="35"/>
      <c r="E1818" s="34"/>
      <c r="F1818" s="34"/>
      <c r="G1818" s="34"/>
      <c r="H1818" s="34"/>
      <c r="I1818" s="36"/>
      <c r="J1818" s="34"/>
      <c r="K1818" s="34"/>
      <c r="L1818" s="34"/>
      <c r="M1818" s="36"/>
      <c r="N1818" s="36"/>
      <c r="O1818" s="36"/>
      <c r="P1818" s="36"/>
      <c r="Q1818" s="36"/>
      <c r="R1818" s="36"/>
      <c r="S1818" s="36"/>
    </row>
    <row r="1819">
      <c r="A1819" s="34"/>
      <c r="B1819" s="36"/>
      <c r="C1819" s="35"/>
      <c r="D1819" s="35"/>
      <c r="E1819" s="34"/>
      <c r="F1819" s="34"/>
      <c r="G1819" s="34"/>
      <c r="H1819" s="34"/>
      <c r="I1819" s="36"/>
      <c r="J1819" s="34"/>
      <c r="K1819" s="34"/>
      <c r="L1819" s="34"/>
      <c r="M1819" s="36"/>
      <c r="N1819" s="36"/>
      <c r="O1819" s="36"/>
      <c r="P1819" s="36"/>
      <c r="Q1819" s="36"/>
      <c r="R1819" s="36"/>
      <c r="S1819" s="36"/>
    </row>
    <row r="1820">
      <c r="A1820" s="34"/>
      <c r="B1820" s="34"/>
      <c r="C1820" s="35"/>
      <c r="D1820" s="35"/>
      <c r="E1820" s="34"/>
      <c r="F1820" s="34"/>
      <c r="G1820" s="34"/>
      <c r="H1820" s="34"/>
      <c r="I1820" s="34"/>
      <c r="J1820" s="34"/>
      <c r="K1820" s="34"/>
      <c r="L1820" s="34"/>
      <c r="M1820" s="36"/>
      <c r="N1820" s="36"/>
      <c r="O1820" s="36"/>
      <c r="P1820" s="36"/>
      <c r="Q1820" s="36"/>
      <c r="R1820" s="36"/>
      <c r="S1820" s="36"/>
    </row>
    <row r="1821">
      <c r="A1821" s="34"/>
      <c r="B1821" s="36"/>
      <c r="C1821" s="35"/>
      <c r="D1821" s="35"/>
      <c r="E1821" s="34"/>
      <c r="F1821" s="34"/>
      <c r="G1821" s="34"/>
      <c r="H1821" s="34"/>
      <c r="I1821" s="36"/>
      <c r="J1821" s="34"/>
      <c r="K1821" s="34"/>
      <c r="L1821" s="34"/>
      <c r="M1821" s="36"/>
      <c r="N1821" s="36"/>
      <c r="O1821" s="36"/>
      <c r="P1821" s="36"/>
      <c r="Q1821" s="36"/>
      <c r="R1821" s="36"/>
      <c r="S1821" s="36"/>
    </row>
    <row r="1822">
      <c r="A1822" s="34"/>
      <c r="B1822" s="36"/>
      <c r="C1822" s="35"/>
      <c r="D1822" s="35"/>
      <c r="E1822" s="34"/>
      <c r="F1822" s="34"/>
      <c r="G1822" s="34"/>
      <c r="H1822" s="34"/>
      <c r="I1822" s="36"/>
      <c r="J1822" s="34"/>
      <c r="K1822" s="34"/>
      <c r="L1822" s="34"/>
      <c r="M1822" s="36"/>
      <c r="N1822" s="36"/>
      <c r="O1822" s="36"/>
      <c r="P1822" s="36"/>
      <c r="Q1822" s="36"/>
      <c r="R1822" s="36"/>
      <c r="S1822" s="36"/>
    </row>
    <row r="1823">
      <c r="A1823" s="34"/>
      <c r="B1823" s="36"/>
      <c r="C1823" s="35"/>
      <c r="D1823" s="35"/>
      <c r="E1823" s="34"/>
      <c r="F1823" s="34"/>
      <c r="G1823" s="34"/>
      <c r="H1823" s="34"/>
      <c r="I1823" s="36"/>
      <c r="J1823" s="34"/>
      <c r="K1823" s="34"/>
      <c r="L1823" s="34"/>
      <c r="M1823" s="36"/>
      <c r="N1823" s="36"/>
      <c r="O1823" s="36"/>
      <c r="P1823" s="36"/>
      <c r="Q1823" s="36"/>
      <c r="R1823" s="36"/>
      <c r="S1823" s="36"/>
    </row>
    <row r="1824">
      <c r="A1824" s="34"/>
      <c r="B1824" s="34"/>
      <c r="C1824" s="35"/>
      <c r="D1824" s="35"/>
      <c r="E1824" s="34"/>
      <c r="F1824" s="34"/>
      <c r="G1824" s="34"/>
      <c r="H1824" s="34"/>
      <c r="I1824" s="34"/>
      <c r="J1824" s="34"/>
      <c r="K1824" s="34"/>
      <c r="L1824" s="34"/>
      <c r="M1824" s="36"/>
      <c r="N1824" s="36"/>
      <c r="O1824" s="36"/>
      <c r="P1824" s="36"/>
      <c r="Q1824" s="36"/>
      <c r="R1824" s="36"/>
      <c r="S1824" s="36"/>
    </row>
    <row r="1825">
      <c r="A1825" s="34"/>
      <c r="B1825" s="36"/>
      <c r="C1825" s="35"/>
      <c r="D1825" s="35"/>
      <c r="E1825" s="34"/>
      <c r="F1825" s="34"/>
      <c r="G1825" s="34"/>
      <c r="H1825" s="34"/>
      <c r="I1825" s="34"/>
      <c r="J1825" s="34"/>
      <c r="K1825" s="34"/>
      <c r="L1825" s="34"/>
      <c r="M1825" s="36"/>
      <c r="N1825" s="36"/>
      <c r="O1825" s="36"/>
      <c r="P1825" s="36"/>
      <c r="Q1825" s="36"/>
      <c r="R1825" s="36"/>
      <c r="S1825" s="36"/>
    </row>
    <row r="1826">
      <c r="A1826" s="34"/>
      <c r="B1826" s="36"/>
      <c r="C1826" s="35"/>
      <c r="D1826" s="35"/>
      <c r="E1826" s="34"/>
      <c r="F1826" s="34"/>
      <c r="G1826" s="34"/>
      <c r="H1826" s="34"/>
      <c r="I1826" s="36"/>
      <c r="J1826" s="34"/>
      <c r="K1826" s="34"/>
      <c r="L1826" s="34"/>
      <c r="M1826" s="36"/>
      <c r="N1826" s="36"/>
      <c r="O1826" s="36"/>
      <c r="P1826" s="36"/>
      <c r="Q1826" s="36"/>
      <c r="R1826" s="36"/>
      <c r="S1826" s="36"/>
    </row>
    <row r="1827">
      <c r="A1827" s="34"/>
      <c r="B1827" s="36"/>
      <c r="C1827" s="35"/>
      <c r="D1827" s="35"/>
      <c r="E1827" s="34"/>
      <c r="F1827" s="34"/>
      <c r="G1827" s="34"/>
      <c r="H1827" s="34"/>
      <c r="I1827" s="36"/>
      <c r="J1827" s="34"/>
      <c r="K1827" s="34"/>
      <c r="L1827" s="34"/>
      <c r="M1827" s="36"/>
      <c r="N1827" s="36"/>
      <c r="O1827" s="36"/>
      <c r="P1827" s="36"/>
      <c r="Q1827" s="36"/>
      <c r="R1827" s="36"/>
      <c r="S1827" s="36"/>
    </row>
    <row r="1828">
      <c r="A1828" s="34"/>
      <c r="B1828" s="36"/>
      <c r="C1828" s="35"/>
      <c r="D1828" s="35"/>
      <c r="E1828" s="34"/>
      <c r="F1828" s="34"/>
      <c r="G1828" s="34"/>
      <c r="H1828" s="34"/>
      <c r="I1828" s="36"/>
      <c r="J1828" s="34"/>
      <c r="K1828" s="34"/>
      <c r="L1828" s="34"/>
      <c r="M1828" s="36"/>
      <c r="N1828" s="36"/>
      <c r="O1828" s="36"/>
      <c r="P1828" s="36"/>
      <c r="Q1828" s="36"/>
      <c r="R1828" s="36"/>
      <c r="S1828" s="36"/>
    </row>
    <row r="1829">
      <c r="A1829" s="34"/>
      <c r="B1829" s="34"/>
      <c r="C1829" s="35"/>
      <c r="D1829" s="35"/>
      <c r="E1829" s="34"/>
      <c r="F1829" s="34"/>
      <c r="G1829" s="34"/>
      <c r="H1829" s="34"/>
      <c r="I1829" s="34"/>
      <c r="J1829" s="34"/>
      <c r="K1829" s="34"/>
      <c r="L1829" s="34"/>
      <c r="M1829" s="36"/>
      <c r="N1829" s="36"/>
      <c r="O1829" s="36"/>
      <c r="P1829" s="36"/>
      <c r="Q1829" s="36"/>
      <c r="R1829" s="36"/>
      <c r="S1829" s="36"/>
    </row>
    <row r="1830">
      <c r="A1830" s="34"/>
      <c r="B1830" s="36"/>
      <c r="C1830" s="35"/>
      <c r="D1830" s="35"/>
      <c r="E1830" s="34"/>
      <c r="F1830" s="34"/>
      <c r="G1830" s="34"/>
      <c r="H1830" s="34"/>
      <c r="I1830" s="34"/>
      <c r="J1830" s="34"/>
      <c r="K1830" s="34"/>
      <c r="L1830" s="34"/>
      <c r="M1830" s="36"/>
      <c r="N1830" s="36"/>
      <c r="O1830" s="36"/>
      <c r="P1830" s="36"/>
      <c r="Q1830" s="36"/>
      <c r="R1830" s="36"/>
      <c r="S1830" s="36"/>
    </row>
    <row r="1831">
      <c r="A1831" s="34"/>
      <c r="B1831" s="34"/>
      <c r="C1831" s="35"/>
      <c r="D1831" s="35"/>
      <c r="E1831" s="34"/>
      <c r="F1831" s="34"/>
      <c r="G1831" s="34"/>
      <c r="H1831" s="34"/>
      <c r="I1831" s="34"/>
      <c r="J1831" s="34"/>
      <c r="K1831" s="34"/>
      <c r="L1831" s="34"/>
      <c r="M1831" s="36"/>
      <c r="N1831" s="36"/>
      <c r="O1831" s="36"/>
      <c r="P1831" s="36"/>
      <c r="Q1831" s="36"/>
      <c r="R1831" s="36"/>
      <c r="S1831" s="36"/>
    </row>
    <row r="1832">
      <c r="A1832" s="34"/>
      <c r="B1832" s="36"/>
      <c r="C1832" s="35"/>
      <c r="D1832" s="35"/>
      <c r="E1832" s="34"/>
      <c r="F1832" s="34"/>
      <c r="G1832" s="34"/>
      <c r="H1832" s="34"/>
      <c r="I1832" s="34"/>
      <c r="J1832" s="34"/>
      <c r="K1832" s="34"/>
      <c r="L1832" s="34"/>
      <c r="M1832" s="36"/>
      <c r="N1832" s="36"/>
      <c r="O1832" s="36"/>
      <c r="P1832" s="36"/>
      <c r="Q1832" s="36"/>
      <c r="R1832" s="36"/>
      <c r="S1832" s="36"/>
    </row>
    <row r="1833">
      <c r="A1833" s="34"/>
      <c r="B1833" s="36"/>
      <c r="C1833" s="35"/>
      <c r="D1833" s="35"/>
      <c r="E1833" s="34"/>
      <c r="F1833" s="34"/>
      <c r="G1833" s="34"/>
      <c r="H1833" s="34"/>
      <c r="I1833" s="36"/>
      <c r="J1833" s="34"/>
      <c r="K1833" s="34"/>
      <c r="L1833" s="34"/>
      <c r="M1833" s="36"/>
      <c r="N1833" s="36"/>
      <c r="O1833" s="36"/>
      <c r="P1833" s="36"/>
      <c r="Q1833" s="36"/>
      <c r="R1833" s="36"/>
      <c r="S1833" s="36"/>
    </row>
    <row r="1834">
      <c r="A1834" s="34"/>
      <c r="B1834" s="36"/>
      <c r="C1834" s="35"/>
      <c r="D1834" s="35"/>
      <c r="E1834" s="34"/>
      <c r="F1834" s="34"/>
      <c r="G1834" s="34"/>
      <c r="H1834" s="34"/>
      <c r="I1834" s="36"/>
      <c r="J1834" s="34"/>
      <c r="K1834" s="34"/>
      <c r="L1834" s="34"/>
      <c r="M1834" s="36"/>
      <c r="N1834" s="36"/>
      <c r="O1834" s="36"/>
      <c r="P1834" s="36"/>
      <c r="Q1834" s="36"/>
      <c r="R1834" s="36"/>
      <c r="S1834" s="36"/>
    </row>
    <row r="1835">
      <c r="A1835" s="34"/>
      <c r="B1835" s="36"/>
      <c r="C1835" s="35"/>
      <c r="D1835" s="35"/>
      <c r="E1835" s="34"/>
      <c r="F1835" s="34"/>
      <c r="G1835" s="34"/>
      <c r="H1835" s="34"/>
      <c r="I1835" s="36"/>
      <c r="J1835" s="34"/>
      <c r="K1835" s="34"/>
      <c r="L1835" s="34"/>
      <c r="M1835" s="36"/>
      <c r="N1835" s="36"/>
      <c r="O1835" s="36"/>
      <c r="P1835" s="36"/>
      <c r="Q1835" s="36"/>
      <c r="R1835" s="36"/>
      <c r="S1835" s="36"/>
    </row>
    <row r="1836">
      <c r="A1836" s="34"/>
      <c r="B1836" s="36"/>
      <c r="C1836" s="35"/>
      <c r="D1836" s="35"/>
      <c r="E1836" s="34"/>
      <c r="F1836" s="34"/>
      <c r="G1836" s="34"/>
      <c r="H1836" s="34"/>
      <c r="I1836" s="36"/>
      <c r="J1836" s="34"/>
      <c r="K1836" s="34"/>
      <c r="L1836" s="34"/>
      <c r="M1836" s="36"/>
      <c r="N1836" s="36"/>
      <c r="O1836" s="36"/>
      <c r="P1836" s="36"/>
      <c r="Q1836" s="36"/>
      <c r="R1836" s="36"/>
      <c r="S1836" s="36"/>
    </row>
    <row r="1837">
      <c r="A1837" s="34"/>
      <c r="B1837" s="36"/>
      <c r="C1837" s="35"/>
      <c r="D1837" s="35"/>
      <c r="E1837" s="34"/>
      <c r="F1837" s="34"/>
      <c r="G1837" s="34"/>
      <c r="H1837" s="34"/>
      <c r="I1837" s="36"/>
      <c r="J1837" s="34"/>
      <c r="K1837" s="34"/>
      <c r="L1837" s="34"/>
      <c r="M1837" s="36"/>
      <c r="N1837" s="36"/>
      <c r="O1837" s="36"/>
      <c r="P1837" s="36"/>
      <c r="Q1837" s="36"/>
      <c r="R1837" s="36"/>
      <c r="S1837" s="36"/>
    </row>
    <row r="1838">
      <c r="A1838" s="34"/>
      <c r="B1838" s="36"/>
      <c r="C1838" s="35"/>
      <c r="D1838" s="35"/>
      <c r="E1838" s="34"/>
      <c r="F1838" s="34"/>
      <c r="G1838" s="34"/>
      <c r="H1838" s="34"/>
      <c r="I1838" s="36"/>
      <c r="J1838" s="34"/>
      <c r="K1838" s="34"/>
      <c r="L1838" s="34"/>
      <c r="M1838" s="36"/>
      <c r="N1838" s="36"/>
      <c r="O1838" s="36"/>
      <c r="P1838" s="36"/>
      <c r="Q1838" s="36"/>
      <c r="R1838" s="36"/>
      <c r="S1838" s="36"/>
    </row>
    <row r="1839">
      <c r="A1839" s="34"/>
      <c r="B1839" s="36"/>
      <c r="C1839" s="35"/>
      <c r="D1839" s="35"/>
      <c r="E1839" s="34"/>
      <c r="F1839" s="34"/>
      <c r="G1839" s="34"/>
      <c r="H1839" s="34"/>
      <c r="I1839" s="36"/>
      <c r="J1839" s="34"/>
      <c r="K1839" s="34"/>
      <c r="L1839" s="34"/>
      <c r="M1839" s="36"/>
      <c r="N1839" s="36"/>
      <c r="O1839" s="36"/>
      <c r="P1839" s="36"/>
      <c r="Q1839" s="36"/>
      <c r="R1839" s="36"/>
      <c r="S1839" s="36"/>
    </row>
    <row r="1840">
      <c r="A1840" s="34"/>
      <c r="B1840" s="36"/>
      <c r="C1840" s="35"/>
      <c r="D1840" s="35"/>
      <c r="E1840" s="34"/>
      <c r="F1840" s="34"/>
      <c r="G1840" s="34"/>
      <c r="H1840" s="34"/>
      <c r="I1840" s="36"/>
      <c r="J1840" s="34"/>
      <c r="K1840" s="34"/>
      <c r="L1840" s="34"/>
      <c r="M1840" s="36"/>
      <c r="N1840" s="36"/>
      <c r="O1840" s="36"/>
      <c r="P1840" s="36"/>
      <c r="Q1840" s="36"/>
      <c r="R1840" s="36"/>
      <c r="S1840" s="36"/>
    </row>
    <row r="1841">
      <c r="A1841" s="34"/>
      <c r="B1841" s="36"/>
      <c r="C1841" s="35"/>
      <c r="D1841" s="35"/>
      <c r="E1841" s="34"/>
      <c r="F1841" s="34"/>
      <c r="G1841" s="34"/>
      <c r="H1841" s="34"/>
      <c r="I1841" s="36"/>
      <c r="J1841" s="34"/>
      <c r="K1841" s="34"/>
      <c r="L1841" s="34"/>
      <c r="M1841" s="36"/>
      <c r="N1841" s="36"/>
      <c r="O1841" s="36"/>
      <c r="P1841" s="36"/>
      <c r="Q1841" s="36"/>
      <c r="R1841" s="36"/>
      <c r="S1841" s="36"/>
    </row>
    <row r="1842">
      <c r="A1842" s="34"/>
      <c r="B1842" s="36"/>
      <c r="C1842" s="35"/>
      <c r="D1842" s="35"/>
      <c r="E1842" s="34"/>
      <c r="F1842" s="34"/>
      <c r="G1842" s="34"/>
      <c r="H1842" s="34"/>
      <c r="I1842" s="36"/>
      <c r="J1842" s="34"/>
      <c r="K1842" s="34"/>
      <c r="L1842" s="34"/>
      <c r="M1842" s="36"/>
      <c r="N1842" s="36"/>
      <c r="O1842" s="36"/>
      <c r="P1842" s="36"/>
      <c r="Q1842" s="36"/>
      <c r="R1842" s="36"/>
      <c r="S1842" s="36"/>
    </row>
    <row r="1843">
      <c r="A1843" s="34"/>
      <c r="B1843" s="36"/>
      <c r="C1843" s="35"/>
      <c r="D1843" s="35"/>
      <c r="E1843" s="34"/>
      <c r="F1843" s="34"/>
      <c r="G1843" s="34"/>
      <c r="H1843" s="34"/>
      <c r="I1843" s="36"/>
      <c r="J1843" s="34"/>
      <c r="K1843" s="34"/>
      <c r="L1843" s="34"/>
      <c r="M1843" s="36"/>
      <c r="N1843" s="36"/>
      <c r="O1843" s="36"/>
      <c r="P1843" s="36"/>
      <c r="Q1843" s="36"/>
      <c r="R1843" s="36"/>
      <c r="S1843" s="36"/>
    </row>
    <row r="1844">
      <c r="A1844" s="34"/>
      <c r="B1844" s="36"/>
      <c r="C1844" s="35"/>
      <c r="D1844" s="35"/>
      <c r="E1844" s="34"/>
      <c r="F1844" s="34"/>
      <c r="G1844" s="34"/>
      <c r="H1844" s="34"/>
      <c r="I1844" s="36"/>
      <c r="J1844" s="34"/>
      <c r="K1844" s="34"/>
      <c r="L1844" s="34"/>
      <c r="M1844" s="36"/>
      <c r="N1844" s="36"/>
      <c r="O1844" s="36"/>
      <c r="P1844" s="36"/>
      <c r="Q1844" s="36"/>
      <c r="R1844" s="36"/>
      <c r="S1844" s="36"/>
    </row>
    <row r="1845">
      <c r="A1845" s="34"/>
      <c r="B1845" s="36"/>
      <c r="C1845" s="35"/>
      <c r="D1845" s="35"/>
      <c r="E1845" s="34"/>
      <c r="F1845" s="34"/>
      <c r="G1845" s="34"/>
      <c r="H1845" s="34"/>
      <c r="I1845" s="36"/>
      <c r="J1845" s="34"/>
      <c r="K1845" s="34"/>
      <c r="L1845" s="34"/>
      <c r="M1845" s="36"/>
      <c r="N1845" s="36"/>
      <c r="O1845" s="36"/>
      <c r="P1845" s="36"/>
      <c r="Q1845" s="36"/>
      <c r="R1845" s="36"/>
      <c r="S1845" s="36"/>
    </row>
    <row r="1846">
      <c r="A1846" s="34"/>
      <c r="B1846" s="36"/>
      <c r="C1846" s="35"/>
      <c r="D1846" s="35"/>
      <c r="E1846" s="34"/>
      <c r="F1846" s="34"/>
      <c r="G1846" s="34"/>
      <c r="H1846" s="34"/>
      <c r="I1846" s="36"/>
      <c r="J1846" s="34"/>
      <c r="K1846" s="34"/>
      <c r="L1846" s="34"/>
      <c r="M1846" s="36"/>
      <c r="N1846" s="36"/>
      <c r="O1846" s="36"/>
      <c r="P1846" s="36"/>
      <c r="Q1846" s="36"/>
      <c r="R1846" s="36"/>
      <c r="S1846" s="36"/>
    </row>
    <row r="1847">
      <c r="A1847" s="34"/>
      <c r="B1847" s="36"/>
      <c r="C1847" s="35"/>
      <c r="D1847" s="35"/>
      <c r="E1847" s="34"/>
      <c r="F1847" s="34"/>
      <c r="G1847" s="34"/>
      <c r="H1847" s="34"/>
      <c r="I1847" s="36"/>
      <c r="J1847" s="34"/>
      <c r="K1847" s="34"/>
      <c r="L1847" s="34"/>
      <c r="M1847" s="36"/>
      <c r="N1847" s="36"/>
      <c r="O1847" s="36"/>
      <c r="P1847" s="36"/>
      <c r="Q1847" s="36"/>
      <c r="R1847" s="36"/>
      <c r="S1847" s="36"/>
    </row>
    <row r="1848">
      <c r="A1848" s="34"/>
      <c r="B1848" s="36"/>
      <c r="C1848" s="35"/>
      <c r="D1848" s="35"/>
      <c r="E1848" s="34"/>
      <c r="F1848" s="34"/>
      <c r="G1848" s="34"/>
      <c r="H1848" s="34"/>
      <c r="I1848" s="36"/>
      <c r="J1848" s="34"/>
      <c r="K1848" s="34"/>
      <c r="L1848" s="34"/>
      <c r="M1848" s="36"/>
      <c r="N1848" s="36"/>
      <c r="O1848" s="36"/>
      <c r="P1848" s="36"/>
      <c r="Q1848" s="36"/>
      <c r="R1848" s="36"/>
      <c r="S1848" s="36"/>
    </row>
    <row r="1849">
      <c r="A1849" s="34"/>
      <c r="B1849" s="36"/>
      <c r="C1849" s="35"/>
      <c r="D1849" s="35"/>
      <c r="E1849" s="34"/>
      <c r="F1849" s="34"/>
      <c r="G1849" s="34"/>
      <c r="H1849" s="34"/>
      <c r="I1849" s="36"/>
      <c r="J1849" s="34"/>
      <c r="K1849" s="34"/>
      <c r="L1849" s="34"/>
      <c r="M1849" s="36"/>
      <c r="N1849" s="36"/>
      <c r="O1849" s="36"/>
      <c r="P1849" s="36"/>
      <c r="Q1849" s="36"/>
      <c r="R1849" s="36"/>
      <c r="S1849" s="36"/>
    </row>
    <row r="1850">
      <c r="A1850" s="34"/>
      <c r="B1850" s="36"/>
      <c r="C1850" s="35"/>
      <c r="D1850" s="35"/>
      <c r="E1850" s="34"/>
      <c r="F1850" s="34"/>
      <c r="G1850" s="34"/>
      <c r="H1850" s="34"/>
      <c r="I1850" s="36"/>
      <c r="J1850" s="34"/>
      <c r="K1850" s="34"/>
      <c r="L1850" s="34"/>
      <c r="M1850" s="36"/>
      <c r="N1850" s="36"/>
      <c r="O1850" s="36"/>
      <c r="P1850" s="36"/>
      <c r="Q1850" s="36"/>
      <c r="R1850" s="36"/>
      <c r="S1850" s="36"/>
    </row>
    <row r="1851">
      <c r="A1851" s="34"/>
      <c r="B1851" s="36"/>
      <c r="C1851" s="35"/>
      <c r="D1851" s="35"/>
      <c r="E1851" s="34"/>
      <c r="F1851" s="34"/>
      <c r="G1851" s="34"/>
      <c r="H1851" s="34"/>
      <c r="I1851" s="36"/>
      <c r="J1851" s="34"/>
      <c r="K1851" s="34"/>
      <c r="L1851" s="34"/>
      <c r="M1851" s="36"/>
      <c r="N1851" s="36"/>
      <c r="O1851" s="36"/>
      <c r="P1851" s="36"/>
      <c r="Q1851" s="36"/>
      <c r="R1851" s="36"/>
      <c r="S1851" s="36"/>
    </row>
    <row r="1852">
      <c r="A1852" s="34"/>
      <c r="B1852" s="36"/>
      <c r="C1852" s="35"/>
      <c r="D1852" s="35"/>
      <c r="E1852" s="34"/>
      <c r="F1852" s="34"/>
      <c r="G1852" s="34"/>
      <c r="H1852" s="34"/>
      <c r="I1852" s="34"/>
      <c r="J1852" s="34"/>
      <c r="K1852" s="34"/>
      <c r="L1852" s="34"/>
      <c r="M1852" s="36"/>
      <c r="N1852" s="36"/>
      <c r="O1852" s="36"/>
      <c r="P1852" s="36"/>
      <c r="Q1852" s="36"/>
      <c r="R1852" s="36"/>
      <c r="S1852" s="36"/>
    </row>
    <row r="1853">
      <c r="A1853" s="34"/>
      <c r="B1853" s="36"/>
      <c r="C1853" s="35"/>
      <c r="D1853" s="35"/>
      <c r="E1853" s="34"/>
      <c r="F1853" s="34"/>
      <c r="G1853" s="34"/>
      <c r="H1853" s="34"/>
      <c r="I1853" s="36"/>
      <c r="J1853" s="34"/>
      <c r="K1853" s="34"/>
      <c r="L1853" s="34"/>
      <c r="M1853" s="36"/>
      <c r="N1853" s="36"/>
      <c r="O1853" s="36"/>
      <c r="P1853" s="36"/>
      <c r="Q1853" s="36"/>
      <c r="R1853" s="36"/>
      <c r="S1853" s="36"/>
    </row>
    <row r="1854">
      <c r="A1854" s="34"/>
      <c r="B1854" s="36"/>
      <c r="C1854" s="35"/>
      <c r="D1854" s="35"/>
      <c r="E1854" s="34"/>
      <c r="F1854" s="34"/>
      <c r="G1854" s="34"/>
      <c r="H1854" s="34"/>
      <c r="I1854" s="36"/>
      <c r="J1854" s="34"/>
      <c r="K1854" s="34"/>
      <c r="L1854" s="34"/>
      <c r="M1854" s="36"/>
      <c r="N1854" s="36"/>
      <c r="O1854" s="36"/>
      <c r="P1854" s="36"/>
      <c r="Q1854" s="36"/>
      <c r="R1854" s="36"/>
      <c r="S1854" s="36"/>
    </row>
    <row r="1855">
      <c r="A1855" s="34"/>
      <c r="B1855" s="34"/>
      <c r="C1855" s="35"/>
      <c r="D1855" s="35"/>
      <c r="E1855" s="34"/>
      <c r="F1855" s="34"/>
      <c r="G1855" s="34"/>
      <c r="H1855" s="34"/>
      <c r="I1855" s="34"/>
      <c r="J1855" s="34"/>
      <c r="K1855" s="34"/>
      <c r="L1855" s="34"/>
      <c r="M1855" s="36"/>
      <c r="N1855" s="36"/>
      <c r="O1855" s="36"/>
      <c r="P1855" s="36"/>
      <c r="Q1855" s="36"/>
      <c r="R1855" s="36"/>
      <c r="S1855" s="36"/>
    </row>
    <row r="1856">
      <c r="A1856" s="34"/>
      <c r="B1856" s="36"/>
      <c r="C1856" s="35"/>
      <c r="D1856" s="35"/>
      <c r="E1856" s="34"/>
      <c r="F1856" s="34"/>
      <c r="G1856" s="34"/>
      <c r="H1856" s="34"/>
      <c r="I1856" s="34"/>
      <c r="J1856" s="34"/>
      <c r="K1856" s="34"/>
      <c r="L1856" s="34"/>
      <c r="M1856" s="36"/>
      <c r="N1856" s="36"/>
      <c r="O1856" s="36"/>
      <c r="P1856" s="36"/>
      <c r="Q1856" s="36"/>
      <c r="R1856" s="36"/>
      <c r="S1856" s="36"/>
    </row>
    <row r="1857">
      <c r="A1857" s="34"/>
      <c r="B1857" s="36"/>
      <c r="C1857" s="35"/>
      <c r="D1857" s="35"/>
      <c r="E1857" s="34"/>
      <c r="F1857" s="34"/>
      <c r="G1857" s="34"/>
      <c r="H1857" s="34"/>
      <c r="I1857" s="36"/>
      <c r="J1857" s="34"/>
      <c r="K1857" s="34"/>
      <c r="L1857" s="34"/>
      <c r="M1857" s="36"/>
      <c r="N1857" s="36"/>
      <c r="O1857" s="36"/>
      <c r="P1857" s="36"/>
      <c r="Q1857" s="36"/>
      <c r="R1857" s="36"/>
      <c r="S1857" s="36"/>
    </row>
    <row r="1858">
      <c r="A1858" s="34"/>
      <c r="B1858" s="34"/>
      <c r="C1858" s="35"/>
      <c r="D1858" s="35"/>
      <c r="E1858" s="34"/>
      <c r="F1858" s="34"/>
      <c r="G1858" s="34"/>
      <c r="H1858" s="34"/>
      <c r="I1858" s="34"/>
      <c r="J1858" s="34"/>
      <c r="K1858" s="34"/>
      <c r="L1858" s="34"/>
      <c r="M1858" s="36"/>
      <c r="N1858" s="36"/>
      <c r="O1858" s="36"/>
      <c r="P1858" s="36"/>
      <c r="Q1858" s="36"/>
      <c r="R1858" s="36"/>
      <c r="S1858" s="36"/>
    </row>
    <row r="1859">
      <c r="A1859" s="34"/>
      <c r="B1859" s="36"/>
      <c r="C1859" s="35"/>
      <c r="D1859" s="35"/>
      <c r="E1859" s="34"/>
      <c r="F1859" s="34"/>
      <c r="G1859" s="34"/>
      <c r="H1859" s="34"/>
      <c r="I1859" s="36"/>
      <c r="J1859" s="34"/>
      <c r="K1859" s="34"/>
      <c r="L1859" s="34"/>
      <c r="M1859" s="36"/>
      <c r="N1859" s="36"/>
      <c r="O1859" s="36"/>
      <c r="P1859" s="36"/>
      <c r="Q1859" s="36"/>
      <c r="R1859" s="36"/>
      <c r="S1859" s="36"/>
    </row>
    <row r="1860">
      <c r="A1860" s="34"/>
      <c r="B1860" s="34"/>
      <c r="C1860" s="35"/>
      <c r="D1860" s="35"/>
      <c r="E1860" s="34"/>
      <c r="F1860" s="34"/>
      <c r="G1860" s="34"/>
      <c r="H1860" s="34"/>
      <c r="I1860" s="34"/>
      <c r="J1860" s="34"/>
      <c r="K1860" s="34"/>
      <c r="L1860" s="34"/>
      <c r="M1860" s="36"/>
      <c r="N1860" s="36"/>
      <c r="O1860" s="36"/>
      <c r="P1860" s="36"/>
      <c r="Q1860" s="36"/>
      <c r="R1860" s="36"/>
      <c r="S1860" s="36"/>
    </row>
    <row r="1861">
      <c r="A1861" s="34"/>
      <c r="B1861" s="36"/>
      <c r="C1861" s="35"/>
      <c r="D1861" s="35"/>
      <c r="E1861" s="34"/>
      <c r="F1861" s="34"/>
      <c r="G1861" s="34"/>
      <c r="H1861" s="34"/>
      <c r="I1861" s="36"/>
      <c r="J1861" s="34"/>
      <c r="K1861" s="34"/>
      <c r="L1861" s="34"/>
      <c r="M1861" s="36"/>
      <c r="N1861" s="36"/>
      <c r="O1861" s="36"/>
      <c r="P1861" s="36"/>
      <c r="Q1861" s="36"/>
      <c r="R1861" s="36"/>
      <c r="S1861" s="36"/>
    </row>
    <row r="1862">
      <c r="A1862" s="34"/>
      <c r="B1862" s="36"/>
      <c r="C1862" s="35"/>
      <c r="D1862" s="35"/>
      <c r="E1862" s="34"/>
      <c r="F1862" s="34"/>
      <c r="G1862" s="34"/>
      <c r="H1862" s="34"/>
      <c r="I1862" s="36"/>
      <c r="J1862" s="34"/>
      <c r="K1862" s="34"/>
      <c r="L1862" s="34"/>
      <c r="M1862" s="36"/>
      <c r="N1862" s="36"/>
      <c r="O1862" s="36"/>
      <c r="P1862" s="36"/>
      <c r="Q1862" s="36"/>
      <c r="R1862" s="36"/>
      <c r="S1862" s="36"/>
    </row>
    <row r="1863">
      <c r="A1863" s="34"/>
      <c r="B1863" s="36"/>
      <c r="C1863" s="35"/>
      <c r="D1863" s="35"/>
      <c r="E1863" s="34"/>
      <c r="F1863" s="34"/>
      <c r="G1863" s="34"/>
      <c r="H1863" s="34"/>
      <c r="I1863" s="36"/>
      <c r="J1863" s="34"/>
      <c r="K1863" s="34"/>
      <c r="L1863" s="34"/>
      <c r="M1863" s="36"/>
      <c r="N1863" s="36"/>
      <c r="O1863" s="36"/>
      <c r="P1863" s="36"/>
      <c r="Q1863" s="36"/>
      <c r="R1863" s="36"/>
      <c r="S1863" s="36"/>
    </row>
    <row r="1864">
      <c r="A1864" s="34"/>
      <c r="B1864" s="36"/>
      <c r="C1864" s="35"/>
      <c r="D1864" s="35"/>
      <c r="E1864" s="34"/>
      <c r="F1864" s="34"/>
      <c r="G1864" s="34"/>
      <c r="H1864" s="34"/>
      <c r="I1864" s="36"/>
      <c r="J1864" s="34"/>
      <c r="K1864" s="34"/>
      <c r="L1864" s="34"/>
      <c r="M1864" s="36"/>
      <c r="N1864" s="36"/>
      <c r="O1864" s="36"/>
      <c r="P1864" s="36"/>
      <c r="Q1864" s="36"/>
      <c r="R1864" s="36"/>
      <c r="S1864" s="36"/>
    </row>
    <row r="1865">
      <c r="A1865" s="34"/>
      <c r="B1865" s="36"/>
      <c r="C1865" s="35"/>
      <c r="D1865" s="35"/>
      <c r="E1865" s="34"/>
      <c r="F1865" s="34"/>
      <c r="G1865" s="34"/>
      <c r="H1865" s="34"/>
      <c r="I1865" s="36"/>
      <c r="J1865" s="34"/>
      <c r="K1865" s="34"/>
      <c r="L1865" s="34"/>
      <c r="M1865" s="36"/>
      <c r="N1865" s="36"/>
      <c r="O1865" s="36"/>
      <c r="P1865" s="36"/>
      <c r="Q1865" s="36"/>
      <c r="R1865" s="36"/>
      <c r="S1865" s="36"/>
    </row>
    <row r="1866">
      <c r="A1866" s="34"/>
      <c r="B1866" s="36"/>
      <c r="C1866" s="35"/>
      <c r="D1866" s="35"/>
      <c r="E1866" s="34"/>
      <c r="F1866" s="34"/>
      <c r="G1866" s="34"/>
      <c r="H1866" s="34"/>
      <c r="I1866" s="36"/>
      <c r="J1866" s="34"/>
      <c r="K1866" s="34"/>
      <c r="L1866" s="34"/>
      <c r="M1866" s="36"/>
      <c r="N1866" s="36"/>
      <c r="O1866" s="36"/>
      <c r="P1866" s="36"/>
      <c r="Q1866" s="36"/>
      <c r="R1866" s="36"/>
      <c r="S1866" s="36"/>
    </row>
    <row r="1867">
      <c r="A1867" s="34"/>
      <c r="B1867" s="36"/>
      <c r="C1867" s="35"/>
      <c r="D1867" s="35"/>
      <c r="E1867" s="34"/>
      <c r="F1867" s="34"/>
      <c r="G1867" s="34"/>
      <c r="H1867" s="34"/>
      <c r="I1867" s="36"/>
      <c r="J1867" s="34"/>
      <c r="K1867" s="34"/>
      <c r="L1867" s="34"/>
      <c r="M1867" s="36"/>
      <c r="N1867" s="36"/>
      <c r="O1867" s="36"/>
      <c r="P1867" s="36"/>
      <c r="Q1867" s="36"/>
      <c r="R1867" s="36"/>
      <c r="S1867" s="36"/>
    </row>
    <row r="1868">
      <c r="A1868" s="34"/>
      <c r="B1868" s="36"/>
      <c r="C1868" s="35"/>
      <c r="D1868" s="35"/>
      <c r="E1868" s="34"/>
      <c r="F1868" s="34"/>
      <c r="G1868" s="34"/>
      <c r="H1868" s="34"/>
      <c r="I1868" s="36"/>
      <c r="J1868" s="34"/>
      <c r="K1868" s="34"/>
      <c r="L1868" s="34"/>
      <c r="M1868" s="36"/>
      <c r="N1868" s="36"/>
      <c r="O1868" s="36"/>
      <c r="P1868" s="36"/>
      <c r="Q1868" s="36"/>
      <c r="R1868" s="36"/>
      <c r="S1868" s="36"/>
    </row>
    <row r="1869">
      <c r="A1869" s="34"/>
      <c r="B1869" s="36"/>
      <c r="C1869" s="35"/>
      <c r="D1869" s="35"/>
      <c r="E1869" s="34"/>
      <c r="F1869" s="34"/>
      <c r="G1869" s="34"/>
      <c r="H1869" s="34"/>
      <c r="I1869" s="34"/>
      <c r="J1869" s="34"/>
      <c r="K1869" s="34"/>
      <c r="L1869" s="34"/>
      <c r="M1869" s="36"/>
      <c r="N1869" s="36"/>
      <c r="O1869" s="36"/>
      <c r="P1869" s="36"/>
      <c r="Q1869" s="36"/>
      <c r="R1869" s="36"/>
      <c r="S1869" s="36"/>
    </row>
    <row r="1870">
      <c r="A1870" s="34"/>
      <c r="B1870" s="36"/>
      <c r="C1870" s="35"/>
      <c r="D1870" s="35"/>
      <c r="E1870" s="34"/>
      <c r="F1870" s="34"/>
      <c r="G1870" s="34"/>
      <c r="H1870" s="34"/>
      <c r="I1870" s="36"/>
      <c r="J1870" s="34"/>
      <c r="K1870" s="34"/>
      <c r="L1870" s="34"/>
      <c r="M1870" s="36"/>
      <c r="N1870" s="36"/>
      <c r="O1870" s="36"/>
      <c r="P1870" s="36"/>
      <c r="Q1870" s="36"/>
      <c r="R1870" s="36"/>
      <c r="S1870" s="36"/>
    </row>
    <row r="1871">
      <c r="A1871" s="34"/>
      <c r="B1871" s="36"/>
      <c r="C1871" s="35"/>
      <c r="D1871" s="35"/>
      <c r="E1871" s="34"/>
      <c r="F1871" s="34"/>
      <c r="G1871" s="34"/>
      <c r="H1871" s="34"/>
      <c r="I1871" s="36"/>
      <c r="J1871" s="34"/>
      <c r="K1871" s="34"/>
      <c r="L1871" s="34"/>
      <c r="M1871" s="36"/>
      <c r="N1871" s="36"/>
      <c r="O1871" s="36"/>
      <c r="P1871" s="36"/>
      <c r="Q1871" s="36"/>
      <c r="R1871" s="36"/>
      <c r="S1871" s="36"/>
    </row>
    <row r="1872">
      <c r="A1872" s="34"/>
      <c r="B1872" s="36"/>
      <c r="C1872" s="35"/>
      <c r="D1872" s="35"/>
      <c r="E1872" s="34"/>
      <c r="F1872" s="34"/>
      <c r="G1872" s="34"/>
      <c r="H1872" s="34"/>
      <c r="I1872" s="34"/>
      <c r="J1872" s="34"/>
      <c r="K1872" s="34"/>
      <c r="L1872" s="34"/>
      <c r="M1872" s="36"/>
      <c r="N1872" s="36"/>
      <c r="O1872" s="36"/>
      <c r="P1872" s="36"/>
      <c r="Q1872" s="36"/>
      <c r="R1872" s="36"/>
      <c r="S1872" s="36"/>
    </row>
    <row r="1873">
      <c r="A1873" s="34"/>
      <c r="B1873" s="36"/>
      <c r="C1873" s="35"/>
      <c r="D1873" s="35"/>
      <c r="E1873" s="34"/>
      <c r="F1873" s="34"/>
      <c r="G1873" s="34"/>
      <c r="H1873" s="34"/>
      <c r="I1873" s="36"/>
      <c r="J1873" s="34"/>
      <c r="K1873" s="34"/>
      <c r="L1873" s="34"/>
      <c r="M1873" s="36"/>
      <c r="N1873" s="36"/>
      <c r="O1873" s="36"/>
      <c r="P1873" s="36"/>
      <c r="Q1873" s="36"/>
      <c r="R1873" s="36"/>
      <c r="S1873" s="36"/>
    </row>
    <row r="1874">
      <c r="A1874" s="34"/>
      <c r="B1874" s="36"/>
      <c r="C1874" s="35"/>
      <c r="D1874" s="35"/>
      <c r="E1874" s="34"/>
      <c r="F1874" s="34"/>
      <c r="G1874" s="34"/>
      <c r="H1874" s="34"/>
      <c r="I1874" s="36"/>
      <c r="J1874" s="34"/>
      <c r="K1874" s="34"/>
      <c r="L1874" s="34"/>
      <c r="M1874" s="36"/>
      <c r="N1874" s="36"/>
      <c r="O1874" s="36"/>
      <c r="P1874" s="36"/>
      <c r="Q1874" s="36"/>
      <c r="R1874" s="36"/>
      <c r="S1874" s="36"/>
    </row>
    <row r="1875">
      <c r="A1875" s="34"/>
      <c r="B1875" s="36"/>
      <c r="C1875" s="35"/>
      <c r="D1875" s="35"/>
      <c r="E1875" s="34"/>
      <c r="F1875" s="34"/>
      <c r="G1875" s="34"/>
      <c r="H1875" s="34"/>
      <c r="I1875" s="36"/>
      <c r="J1875" s="34"/>
      <c r="K1875" s="34"/>
      <c r="L1875" s="34"/>
      <c r="M1875" s="36"/>
      <c r="N1875" s="36"/>
      <c r="O1875" s="36"/>
      <c r="P1875" s="36"/>
      <c r="Q1875" s="36"/>
      <c r="R1875" s="36"/>
      <c r="S1875" s="36"/>
    </row>
    <row r="1876">
      <c r="A1876" s="34"/>
      <c r="B1876" s="36"/>
      <c r="C1876" s="35"/>
      <c r="D1876" s="35"/>
      <c r="E1876" s="34"/>
      <c r="F1876" s="34"/>
      <c r="G1876" s="34"/>
      <c r="H1876" s="34"/>
      <c r="I1876" s="36"/>
      <c r="J1876" s="34"/>
      <c r="K1876" s="34"/>
      <c r="L1876" s="34"/>
      <c r="M1876" s="36"/>
      <c r="N1876" s="36"/>
      <c r="O1876" s="36"/>
      <c r="P1876" s="36"/>
      <c r="Q1876" s="36"/>
      <c r="R1876" s="36"/>
      <c r="S1876" s="36"/>
    </row>
    <row r="1877">
      <c r="A1877" s="34"/>
      <c r="B1877" s="36"/>
      <c r="C1877" s="35"/>
      <c r="D1877" s="35"/>
      <c r="E1877" s="34"/>
      <c r="F1877" s="34"/>
      <c r="G1877" s="34"/>
      <c r="H1877" s="34"/>
      <c r="I1877" s="34"/>
      <c r="J1877" s="34"/>
      <c r="K1877" s="34"/>
      <c r="L1877" s="34"/>
      <c r="M1877" s="36"/>
      <c r="N1877" s="36"/>
      <c r="O1877" s="36"/>
      <c r="P1877" s="36"/>
      <c r="Q1877" s="36"/>
      <c r="R1877" s="36"/>
      <c r="S1877" s="36"/>
    </row>
    <row r="1878">
      <c r="A1878" s="34"/>
      <c r="B1878" s="36"/>
      <c r="C1878" s="35"/>
      <c r="D1878" s="35"/>
      <c r="E1878" s="34"/>
      <c r="F1878" s="34"/>
      <c r="G1878" s="34"/>
      <c r="H1878" s="34"/>
      <c r="I1878" s="36"/>
      <c r="J1878" s="34"/>
      <c r="K1878" s="34"/>
      <c r="L1878" s="34"/>
      <c r="M1878" s="36"/>
      <c r="N1878" s="36"/>
      <c r="O1878" s="36"/>
      <c r="P1878" s="36"/>
      <c r="Q1878" s="36"/>
      <c r="R1878" s="36"/>
      <c r="S1878" s="36"/>
    </row>
    <row r="1879">
      <c r="A1879" s="34"/>
      <c r="B1879" s="36"/>
      <c r="C1879" s="35"/>
      <c r="D1879" s="35"/>
      <c r="E1879" s="34"/>
      <c r="F1879" s="34"/>
      <c r="G1879" s="34"/>
      <c r="H1879" s="34"/>
      <c r="I1879" s="36"/>
      <c r="J1879" s="34"/>
      <c r="K1879" s="34"/>
      <c r="L1879" s="34"/>
      <c r="M1879" s="36"/>
      <c r="N1879" s="36"/>
      <c r="O1879" s="36"/>
      <c r="P1879" s="36"/>
      <c r="Q1879" s="36"/>
      <c r="R1879" s="36"/>
      <c r="S1879" s="36"/>
    </row>
    <row r="1880">
      <c r="A1880" s="34"/>
      <c r="B1880" s="36"/>
      <c r="C1880" s="35"/>
      <c r="D1880" s="35"/>
      <c r="E1880" s="34"/>
      <c r="F1880" s="34"/>
      <c r="G1880" s="34"/>
      <c r="H1880" s="34"/>
      <c r="I1880" s="36"/>
      <c r="J1880" s="34"/>
      <c r="K1880" s="34"/>
      <c r="L1880" s="34"/>
      <c r="M1880" s="36"/>
      <c r="N1880" s="36"/>
      <c r="O1880" s="36"/>
      <c r="P1880" s="36"/>
      <c r="Q1880" s="36"/>
      <c r="R1880" s="36"/>
      <c r="S1880" s="36"/>
    </row>
    <row r="1881">
      <c r="A1881" s="34"/>
      <c r="B1881" s="36"/>
      <c r="C1881" s="35"/>
      <c r="D1881" s="35"/>
      <c r="E1881" s="34"/>
      <c r="F1881" s="34"/>
      <c r="G1881" s="34"/>
      <c r="H1881" s="34"/>
      <c r="I1881" s="36"/>
      <c r="J1881" s="34"/>
      <c r="K1881" s="34"/>
      <c r="L1881" s="34"/>
      <c r="M1881" s="36"/>
      <c r="N1881" s="36"/>
      <c r="O1881" s="36"/>
      <c r="P1881" s="36"/>
      <c r="Q1881" s="36"/>
      <c r="R1881" s="36"/>
      <c r="S1881" s="36"/>
    </row>
    <row r="1882">
      <c r="A1882" s="34"/>
      <c r="B1882" s="36"/>
      <c r="C1882" s="35"/>
      <c r="D1882" s="35"/>
      <c r="E1882" s="34"/>
      <c r="F1882" s="34"/>
      <c r="G1882" s="34"/>
      <c r="H1882" s="34"/>
      <c r="I1882" s="36"/>
      <c r="J1882" s="34"/>
      <c r="K1882" s="34"/>
      <c r="L1882" s="34"/>
      <c r="M1882" s="36"/>
      <c r="N1882" s="36"/>
      <c r="O1882" s="36"/>
      <c r="P1882" s="36"/>
      <c r="Q1882" s="36"/>
      <c r="R1882" s="36"/>
      <c r="S1882" s="36"/>
    </row>
    <row r="1883">
      <c r="A1883" s="34"/>
      <c r="B1883" s="36"/>
      <c r="C1883" s="35"/>
      <c r="D1883" s="35"/>
      <c r="E1883" s="34"/>
      <c r="F1883" s="34"/>
      <c r="G1883" s="34"/>
      <c r="H1883" s="34"/>
      <c r="I1883" s="34"/>
      <c r="J1883" s="34"/>
      <c r="K1883" s="34"/>
      <c r="L1883" s="34"/>
      <c r="M1883" s="36"/>
      <c r="N1883" s="36"/>
      <c r="O1883" s="36"/>
      <c r="P1883" s="36"/>
      <c r="Q1883" s="36"/>
      <c r="R1883" s="36"/>
      <c r="S1883" s="36"/>
    </row>
    <row r="1884">
      <c r="A1884" s="34"/>
      <c r="B1884" s="36"/>
      <c r="C1884" s="35"/>
      <c r="D1884" s="35"/>
      <c r="E1884" s="34"/>
      <c r="F1884" s="34"/>
      <c r="G1884" s="34"/>
      <c r="H1884" s="34"/>
      <c r="I1884" s="36"/>
      <c r="J1884" s="34"/>
      <c r="K1884" s="34"/>
      <c r="L1884" s="34"/>
      <c r="M1884" s="36"/>
      <c r="N1884" s="36"/>
      <c r="O1884" s="36"/>
      <c r="P1884" s="36"/>
      <c r="Q1884" s="36"/>
      <c r="R1884" s="36"/>
      <c r="S1884" s="36"/>
    </row>
    <row r="1885">
      <c r="A1885" s="34"/>
      <c r="B1885" s="36"/>
      <c r="C1885" s="35"/>
      <c r="D1885" s="35"/>
      <c r="E1885" s="34"/>
      <c r="F1885" s="34"/>
      <c r="G1885" s="34"/>
      <c r="H1885" s="34"/>
      <c r="I1885" s="36"/>
      <c r="J1885" s="34"/>
      <c r="K1885" s="34"/>
      <c r="L1885" s="34"/>
      <c r="M1885" s="36"/>
      <c r="N1885" s="36"/>
      <c r="O1885" s="36"/>
      <c r="P1885" s="36"/>
      <c r="Q1885" s="36"/>
      <c r="R1885" s="36"/>
      <c r="S1885" s="36"/>
    </row>
    <row r="1886">
      <c r="A1886" s="34"/>
      <c r="B1886" s="34"/>
      <c r="C1886" s="35"/>
      <c r="D1886" s="35"/>
      <c r="E1886" s="34"/>
      <c r="F1886" s="34"/>
      <c r="G1886" s="34"/>
      <c r="H1886" s="34"/>
      <c r="I1886" s="34"/>
      <c r="J1886" s="34"/>
      <c r="K1886" s="34"/>
      <c r="L1886" s="34"/>
      <c r="M1886" s="36"/>
      <c r="N1886" s="36"/>
      <c r="O1886" s="36"/>
      <c r="P1886" s="36"/>
      <c r="Q1886" s="36"/>
      <c r="R1886" s="36"/>
      <c r="S1886" s="36"/>
    </row>
    <row r="1887">
      <c r="A1887" s="34"/>
      <c r="B1887" s="34"/>
      <c r="C1887" s="35"/>
      <c r="D1887" s="35"/>
      <c r="E1887" s="34"/>
      <c r="F1887" s="34"/>
      <c r="G1887" s="34"/>
      <c r="H1887" s="34"/>
      <c r="I1887" s="34"/>
      <c r="J1887" s="34"/>
      <c r="K1887" s="34"/>
      <c r="L1887" s="34"/>
      <c r="M1887" s="36"/>
      <c r="N1887" s="36"/>
      <c r="O1887" s="36"/>
      <c r="P1887" s="36"/>
      <c r="Q1887" s="36"/>
      <c r="R1887" s="36"/>
      <c r="S1887" s="36"/>
    </row>
    <row r="1888">
      <c r="A1888" s="34"/>
      <c r="B1888" s="36"/>
      <c r="C1888" s="35"/>
      <c r="D1888" s="35"/>
      <c r="E1888" s="34"/>
      <c r="F1888" s="34"/>
      <c r="G1888" s="34"/>
      <c r="H1888" s="34"/>
      <c r="I1888" s="34"/>
      <c r="J1888" s="34"/>
      <c r="K1888" s="34"/>
      <c r="L1888" s="34"/>
      <c r="M1888" s="36"/>
      <c r="N1888" s="36"/>
      <c r="O1888" s="36"/>
      <c r="P1888" s="36"/>
      <c r="Q1888" s="36"/>
      <c r="R1888" s="36"/>
      <c r="S1888" s="36"/>
    </row>
    <row r="1889">
      <c r="A1889" s="34"/>
      <c r="B1889" s="36"/>
      <c r="C1889" s="35"/>
      <c r="D1889" s="35"/>
      <c r="E1889" s="34"/>
      <c r="F1889" s="34"/>
      <c r="G1889" s="34"/>
      <c r="H1889" s="34"/>
      <c r="I1889" s="34"/>
      <c r="J1889" s="34"/>
      <c r="K1889" s="34"/>
      <c r="L1889" s="34"/>
      <c r="M1889" s="36"/>
      <c r="N1889" s="36"/>
      <c r="O1889" s="36"/>
      <c r="P1889" s="36"/>
      <c r="Q1889" s="36"/>
      <c r="R1889" s="36"/>
      <c r="S1889" s="36"/>
    </row>
    <row r="1890">
      <c r="A1890" s="34"/>
      <c r="B1890" s="36"/>
      <c r="C1890" s="35"/>
      <c r="D1890" s="35"/>
      <c r="E1890" s="34"/>
      <c r="F1890" s="34"/>
      <c r="G1890" s="34"/>
      <c r="H1890" s="34"/>
      <c r="I1890" s="34"/>
      <c r="J1890" s="34"/>
      <c r="K1890" s="34"/>
      <c r="L1890" s="34"/>
      <c r="M1890" s="36"/>
      <c r="N1890" s="36"/>
      <c r="O1890" s="36"/>
      <c r="P1890" s="36"/>
      <c r="Q1890" s="36"/>
      <c r="R1890" s="36"/>
      <c r="S1890" s="36"/>
    </row>
    <row r="1891">
      <c r="A1891" s="34"/>
      <c r="B1891" s="36"/>
      <c r="C1891" s="35"/>
      <c r="D1891" s="35"/>
      <c r="E1891" s="34"/>
      <c r="F1891" s="34"/>
      <c r="G1891" s="34"/>
      <c r="H1891" s="34"/>
      <c r="I1891" s="34"/>
      <c r="J1891" s="34"/>
      <c r="K1891" s="34"/>
      <c r="L1891" s="34"/>
      <c r="M1891" s="36"/>
      <c r="N1891" s="36"/>
      <c r="O1891" s="36"/>
      <c r="P1891" s="36"/>
      <c r="Q1891" s="36"/>
      <c r="R1891" s="36"/>
      <c r="S1891" s="36"/>
    </row>
    <row r="1892">
      <c r="A1892" s="34"/>
      <c r="B1892" s="34"/>
      <c r="C1892" s="35"/>
      <c r="D1892" s="35"/>
      <c r="E1892" s="34"/>
      <c r="F1892" s="34"/>
      <c r="G1892" s="34"/>
      <c r="H1892" s="34"/>
      <c r="I1892" s="34"/>
      <c r="J1892" s="34"/>
      <c r="K1892" s="34"/>
      <c r="L1892" s="34"/>
      <c r="M1892" s="36"/>
      <c r="N1892" s="36"/>
      <c r="O1892" s="36"/>
      <c r="P1892" s="36"/>
      <c r="Q1892" s="36"/>
      <c r="R1892" s="36"/>
      <c r="S1892" s="36"/>
    </row>
    <row r="1893">
      <c r="A1893" s="34"/>
      <c r="B1893" s="34"/>
      <c r="C1893" s="35"/>
      <c r="D1893" s="35"/>
      <c r="E1893" s="34"/>
      <c r="F1893" s="34"/>
      <c r="G1893" s="34"/>
      <c r="H1893" s="34"/>
      <c r="I1893" s="34"/>
      <c r="J1893" s="34"/>
      <c r="K1893" s="34"/>
      <c r="L1893" s="34"/>
      <c r="M1893" s="36"/>
      <c r="N1893" s="36"/>
      <c r="O1893" s="36"/>
      <c r="P1893" s="36"/>
      <c r="Q1893" s="36"/>
      <c r="R1893" s="36"/>
      <c r="S1893" s="36"/>
    </row>
    <row r="1894">
      <c r="A1894" s="34"/>
      <c r="B1894" s="34"/>
      <c r="C1894" s="35"/>
      <c r="D1894" s="35"/>
      <c r="E1894" s="34"/>
      <c r="F1894" s="34"/>
      <c r="G1894" s="34"/>
      <c r="H1894" s="34"/>
      <c r="I1894" s="34"/>
      <c r="J1894" s="34"/>
      <c r="K1894" s="34"/>
      <c r="L1894" s="34"/>
      <c r="M1894" s="36"/>
      <c r="N1894" s="36"/>
      <c r="O1894" s="36"/>
      <c r="P1894" s="36"/>
      <c r="Q1894" s="36"/>
      <c r="R1894" s="36"/>
      <c r="S1894" s="36"/>
    </row>
    <row r="1895">
      <c r="A1895" s="34"/>
      <c r="B1895" s="34"/>
      <c r="C1895" s="35"/>
      <c r="D1895" s="35"/>
      <c r="E1895" s="34"/>
      <c r="F1895" s="34"/>
      <c r="G1895" s="34"/>
      <c r="H1895" s="34"/>
      <c r="I1895" s="34"/>
      <c r="J1895" s="34"/>
      <c r="K1895" s="34"/>
      <c r="L1895" s="34"/>
      <c r="M1895" s="36"/>
      <c r="N1895" s="36"/>
      <c r="O1895" s="36"/>
      <c r="P1895" s="36"/>
      <c r="Q1895" s="36"/>
      <c r="R1895" s="36"/>
      <c r="S1895" s="36"/>
    </row>
    <row r="1896">
      <c r="A1896" s="34"/>
      <c r="B1896" s="34"/>
      <c r="C1896" s="35"/>
      <c r="D1896" s="35"/>
      <c r="E1896" s="34"/>
      <c r="F1896" s="34"/>
      <c r="G1896" s="34"/>
      <c r="H1896" s="34"/>
      <c r="I1896" s="34"/>
      <c r="J1896" s="34"/>
      <c r="K1896" s="34"/>
      <c r="L1896" s="34"/>
      <c r="M1896" s="36"/>
      <c r="N1896" s="36"/>
      <c r="O1896" s="36"/>
      <c r="P1896" s="36"/>
      <c r="Q1896" s="36"/>
      <c r="R1896" s="36"/>
      <c r="S1896" s="36"/>
    </row>
    <row r="1897">
      <c r="A1897" s="34"/>
      <c r="B1897" s="36"/>
      <c r="C1897" s="35"/>
      <c r="D1897" s="35"/>
      <c r="E1897" s="34"/>
      <c r="F1897" s="34"/>
      <c r="G1897" s="34"/>
      <c r="H1897" s="34"/>
      <c r="I1897" s="36"/>
      <c r="J1897" s="34"/>
      <c r="K1897" s="34"/>
      <c r="L1897" s="34"/>
      <c r="M1897" s="36"/>
      <c r="N1897" s="36"/>
      <c r="O1897" s="36"/>
      <c r="P1897" s="36"/>
      <c r="Q1897" s="36"/>
      <c r="R1897" s="36"/>
      <c r="S1897" s="36"/>
    </row>
    <row r="1898">
      <c r="A1898" s="34"/>
      <c r="B1898" s="36"/>
      <c r="C1898" s="35"/>
      <c r="D1898" s="35"/>
      <c r="E1898" s="34"/>
      <c r="F1898" s="34"/>
      <c r="G1898" s="34"/>
      <c r="H1898" s="34"/>
      <c r="I1898" s="36"/>
      <c r="J1898" s="34"/>
      <c r="K1898" s="34"/>
      <c r="L1898" s="34"/>
      <c r="M1898" s="36"/>
      <c r="N1898" s="36"/>
      <c r="O1898" s="36"/>
      <c r="P1898" s="36"/>
      <c r="Q1898" s="36"/>
      <c r="R1898" s="36"/>
      <c r="S1898" s="36"/>
    </row>
    <row r="1899">
      <c r="A1899" s="34"/>
      <c r="B1899" s="36"/>
      <c r="C1899" s="35"/>
      <c r="D1899" s="35"/>
      <c r="E1899" s="34"/>
      <c r="F1899" s="34"/>
      <c r="G1899" s="34"/>
      <c r="H1899" s="34"/>
      <c r="I1899" s="34"/>
      <c r="J1899" s="34"/>
      <c r="K1899" s="34"/>
      <c r="L1899" s="34"/>
      <c r="M1899" s="36"/>
      <c r="N1899" s="36"/>
      <c r="O1899" s="36"/>
      <c r="P1899" s="36"/>
      <c r="Q1899" s="36"/>
      <c r="R1899" s="36"/>
      <c r="S1899" s="36"/>
    </row>
    <row r="1900">
      <c r="A1900" s="34"/>
      <c r="B1900" s="34"/>
      <c r="C1900" s="35"/>
      <c r="D1900" s="35"/>
      <c r="E1900" s="34"/>
      <c r="F1900" s="34"/>
      <c r="G1900" s="34"/>
      <c r="H1900" s="34"/>
      <c r="I1900" s="34"/>
      <c r="J1900" s="34"/>
      <c r="K1900" s="34"/>
      <c r="L1900" s="34"/>
      <c r="M1900" s="36"/>
      <c r="N1900" s="36"/>
      <c r="O1900" s="36"/>
      <c r="P1900" s="36"/>
      <c r="Q1900" s="36"/>
      <c r="R1900" s="36"/>
      <c r="S1900" s="36"/>
    </row>
    <row r="1901">
      <c r="A1901" s="34"/>
      <c r="B1901" s="36"/>
      <c r="C1901" s="35"/>
      <c r="D1901" s="35"/>
      <c r="E1901" s="34"/>
      <c r="F1901" s="34"/>
      <c r="G1901" s="34"/>
      <c r="H1901" s="34"/>
      <c r="I1901" s="36"/>
      <c r="J1901" s="34"/>
      <c r="K1901" s="34"/>
      <c r="L1901" s="34"/>
      <c r="M1901" s="36"/>
      <c r="N1901" s="36"/>
      <c r="O1901" s="36"/>
      <c r="P1901" s="36"/>
      <c r="Q1901" s="36"/>
      <c r="R1901" s="36"/>
      <c r="S1901" s="36"/>
    </row>
    <row r="1902">
      <c r="A1902" s="34"/>
      <c r="B1902" s="36"/>
      <c r="C1902" s="35"/>
      <c r="D1902" s="35"/>
      <c r="E1902" s="34"/>
      <c r="F1902" s="34"/>
      <c r="G1902" s="34"/>
      <c r="H1902" s="34"/>
      <c r="I1902" s="36"/>
      <c r="J1902" s="34"/>
      <c r="K1902" s="34"/>
      <c r="L1902" s="34"/>
      <c r="M1902" s="36"/>
      <c r="N1902" s="36"/>
      <c r="O1902" s="36"/>
      <c r="P1902" s="36"/>
      <c r="Q1902" s="36"/>
      <c r="R1902" s="36"/>
      <c r="S1902" s="36"/>
    </row>
    <row r="1903">
      <c r="A1903" s="34"/>
      <c r="B1903" s="34"/>
      <c r="C1903" s="35"/>
      <c r="D1903" s="35"/>
      <c r="E1903" s="34"/>
      <c r="F1903" s="34"/>
      <c r="G1903" s="34"/>
      <c r="H1903" s="34"/>
      <c r="I1903" s="34"/>
      <c r="J1903" s="34"/>
      <c r="K1903" s="34"/>
      <c r="L1903" s="34"/>
      <c r="M1903" s="36"/>
      <c r="N1903" s="36"/>
      <c r="O1903" s="36"/>
      <c r="P1903" s="36"/>
      <c r="Q1903" s="36"/>
      <c r="R1903" s="36"/>
      <c r="S1903" s="36"/>
    </row>
    <row r="1904">
      <c r="A1904" s="34"/>
      <c r="B1904" s="34"/>
      <c r="C1904" s="35"/>
      <c r="D1904" s="35"/>
      <c r="E1904" s="34"/>
      <c r="F1904" s="34"/>
      <c r="G1904" s="34"/>
      <c r="H1904" s="34"/>
      <c r="I1904" s="34"/>
      <c r="J1904" s="34"/>
      <c r="K1904" s="34"/>
      <c r="L1904" s="34"/>
      <c r="M1904" s="36"/>
      <c r="N1904" s="36"/>
      <c r="O1904" s="36"/>
      <c r="P1904" s="36"/>
      <c r="Q1904" s="36"/>
      <c r="R1904" s="36"/>
      <c r="S1904" s="36"/>
    </row>
    <row r="1905">
      <c r="A1905" s="34"/>
      <c r="B1905" s="34"/>
      <c r="C1905" s="35"/>
      <c r="D1905" s="35"/>
      <c r="E1905" s="34"/>
      <c r="F1905" s="34"/>
      <c r="G1905" s="34"/>
      <c r="H1905" s="34"/>
      <c r="I1905" s="34"/>
      <c r="J1905" s="34"/>
      <c r="K1905" s="34"/>
      <c r="L1905" s="34"/>
      <c r="M1905" s="36"/>
      <c r="N1905" s="36"/>
      <c r="O1905" s="36"/>
      <c r="P1905" s="36"/>
      <c r="Q1905" s="36"/>
      <c r="R1905" s="36"/>
      <c r="S1905" s="36"/>
    </row>
    <row r="1906">
      <c r="A1906" s="34"/>
      <c r="B1906" s="36"/>
      <c r="C1906" s="35"/>
      <c r="D1906" s="35"/>
      <c r="E1906" s="34"/>
      <c r="F1906" s="34"/>
      <c r="G1906" s="34"/>
      <c r="H1906" s="34"/>
      <c r="I1906" s="36"/>
      <c r="J1906" s="34"/>
      <c r="K1906" s="34"/>
      <c r="L1906" s="34"/>
      <c r="M1906" s="36"/>
      <c r="N1906" s="36"/>
      <c r="O1906" s="36"/>
      <c r="P1906" s="36"/>
      <c r="Q1906" s="36"/>
      <c r="R1906" s="36"/>
      <c r="S1906" s="36"/>
    </row>
    <row r="1907">
      <c r="A1907" s="34"/>
      <c r="B1907" s="36"/>
      <c r="C1907" s="35"/>
      <c r="D1907" s="35"/>
      <c r="E1907" s="34"/>
      <c r="F1907" s="34"/>
      <c r="G1907" s="34"/>
      <c r="H1907" s="34"/>
      <c r="I1907" s="36"/>
      <c r="J1907" s="34"/>
      <c r="K1907" s="34"/>
      <c r="L1907" s="34"/>
      <c r="M1907" s="36"/>
      <c r="N1907" s="36"/>
      <c r="O1907" s="36"/>
      <c r="P1907" s="36"/>
      <c r="Q1907" s="36"/>
      <c r="R1907" s="36"/>
      <c r="S1907" s="36"/>
    </row>
    <row r="1908">
      <c r="A1908" s="34"/>
      <c r="B1908" s="34"/>
      <c r="C1908" s="35"/>
      <c r="D1908" s="35"/>
      <c r="E1908" s="34"/>
      <c r="F1908" s="34"/>
      <c r="G1908" s="34"/>
      <c r="H1908" s="34"/>
      <c r="I1908" s="34"/>
      <c r="J1908" s="34"/>
      <c r="K1908" s="34"/>
      <c r="L1908" s="34"/>
      <c r="M1908" s="36"/>
      <c r="N1908" s="36"/>
      <c r="O1908" s="36"/>
      <c r="P1908" s="36"/>
      <c r="Q1908" s="36"/>
      <c r="R1908" s="36"/>
      <c r="S1908" s="36"/>
    </row>
    <row r="1909">
      <c r="A1909" s="34"/>
      <c r="B1909" s="34"/>
      <c r="C1909" s="35"/>
      <c r="D1909" s="35"/>
      <c r="E1909" s="34"/>
      <c r="F1909" s="34"/>
      <c r="G1909" s="34"/>
      <c r="H1909" s="34"/>
      <c r="I1909" s="34"/>
      <c r="J1909" s="34"/>
      <c r="K1909" s="34"/>
      <c r="L1909" s="34"/>
      <c r="M1909" s="36"/>
      <c r="N1909" s="36"/>
      <c r="O1909" s="36"/>
      <c r="P1909" s="36"/>
      <c r="Q1909" s="36"/>
      <c r="R1909" s="36"/>
      <c r="S1909" s="36"/>
    </row>
    <row r="1910">
      <c r="A1910" s="34"/>
      <c r="B1910" s="34"/>
      <c r="C1910" s="35"/>
      <c r="D1910" s="35"/>
      <c r="E1910" s="34"/>
      <c r="F1910" s="34"/>
      <c r="G1910" s="34"/>
      <c r="H1910" s="34"/>
      <c r="I1910" s="34"/>
      <c r="J1910" s="34"/>
      <c r="K1910" s="34"/>
      <c r="L1910" s="34"/>
      <c r="M1910" s="36"/>
      <c r="N1910" s="36"/>
      <c r="O1910" s="36"/>
      <c r="P1910" s="36"/>
      <c r="Q1910" s="36"/>
      <c r="R1910" s="36"/>
      <c r="S1910" s="36"/>
    </row>
    <row r="1911">
      <c r="A1911" s="34"/>
      <c r="B1911" s="34"/>
      <c r="C1911" s="35"/>
      <c r="D1911" s="35"/>
      <c r="E1911" s="34"/>
      <c r="F1911" s="34"/>
      <c r="G1911" s="34"/>
      <c r="H1911" s="34"/>
      <c r="I1911" s="34"/>
      <c r="J1911" s="34"/>
      <c r="K1911" s="34"/>
      <c r="L1911" s="34"/>
      <c r="M1911" s="36"/>
      <c r="N1911" s="36"/>
      <c r="O1911" s="36"/>
      <c r="P1911" s="36"/>
      <c r="Q1911" s="36"/>
      <c r="R1911" s="36"/>
      <c r="S1911" s="36"/>
    </row>
    <row r="1912">
      <c r="A1912" s="34"/>
      <c r="B1912" s="34"/>
      <c r="C1912" s="35"/>
      <c r="D1912" s="35"/>
      <c r="E1912" s="34"/>
      <c r="F1912" s="34"/>
      <c r="G1912" s="34"/>
      <c r="H1912" s="34"/>
      <c r="I1912" s="34"/>
      <c r="J1912" s="34"/>
      <c r="K1912" s="34"/>
      <c r="L1912" s="34"/>
      <c r="M1912" s="36"/>
      <c r="N1912" s="36"/>
      <c r="O1912" s="36"/>
      <c r="P1912" s="36"/>
      <c r="Q1912" s="36"/>
      <c r="R1912" s="36"/>
      <c r="S1912" s="36"/>
    </row>
    <row r="1913">
      <c r="A1913" s="34"/>
      <c r="B1913" s="36"/>
      <c r="C1913" s="35"/>
      <c r="D1913" s="35"/>
      <c r="E1913" s="34"/>
      <c r="F1913" s="34"/>
      <c r="G1913" s="34"/>
      <c r="H1913" s="34"/>
      <c r="I1913" s="36"/>
      <c r="J1913" s="34"/>
      <c r="K1913" s="34"/>
      <c r="L1913" s="34"/>
      <c r="M1913" s="36"/>
      <c r="N1913" s="36"/>
      <c r="O1913" s="36"/>
      <c r="P1913" s="36"/>
      <c r="Q1913" s="36"/>
      <c r="R1913" s="36"/>
      <c r="S1913" s="36"/>
    </row>
    <row r="1914">
      <c r="A1914" s="34"/>
      <c r="B1914" s="34"/>
      <c r="C1914" s="35"/>
      <c r="D1914" s="35"/>
      <c r="E1914" s="34"/>
      <c r="F1914" s="34"/>
      <c r="G1914" s="34"/>
      <c r="H1914" s="34"/>
      <c r="I1914" s="34"/>
      <c r="J1914" s="34"/>
      <c r="K1914" s="34"/>
      <c r="L1914" s="34"/>
      <c r="M1914" s="36"/>
      <c r="N1914" s="36"/>
      <c r="O1914" s="36"/>
      <c r="P1914" s="36"/>
      <c r="Q1914" s="36"/>
      <c r="R1914" s="36"/>
      <c r="S1914" s="36"/>
    </row>
    <row r="1915">
      <c r="A1915" s="34"/>
      <c r="B1915" s="34"/>
      <c r="C1915" s="35"/>
      <c r="D1915" s="35"/>
      <c r="E1915" s="34"/>
      <c r="F1915" s="34"/>
      <c r="G1915" s="34"/>
      <c r="H1915" s="34"/>
      <c r="I1915" s="34"/>
      <c r="J1915" s="34"/>
      <c r="K1915" s="34"/>
      <c r="L1915" s="34"/>
      <c r="M1915" s="36"/>
      <c r="N1915" s="36"/>
      <c r="O1915" s="36"/>
      <c r="P1915" s="36"/>
      <c r="Q1915" s="36"/>
      <c r="R1915" s="36"/>
      <c r="S1915" s="36"/>
    </row>
    <row r="1916">
      <c r="A1916" s="34"/>
      <c r="B1916" s="34"/>
      <c r="C1916" s="35"/>
      <c r="D1916" s="35"/>
      <c r="E1916" s="34"/>
      <c r="F1916" s="34"/>
      <c r="G1916" s="34"/>
      <c r="H1916" s="34"/>
      <c r="I1916" s="34"/>
      <c r="J1916" s="34"/>
      <c r="K1916" s="34"/>
      <c r="L1916" s="34"/>
      <c r="M1916" s="36"/>
      <c r="N1916" s="36"/>
      <c r="O1916" s="36"/>
      <c r="P1916" s="36"/>
      <c r="Q1916" s="36"/>
      <c r="R1916" s="36"/>
      <c r="S1916" s="36"/>
    </row>
    <row r="1917">
      <c r="A1917" s="34"/>
      <c r="B1917" s="34"/>
      <c r="C1917" s="35"/>
      <c r="D1917" s="35"/>
      <c r="E1917" s="34"/>
      <c r="F1917" s="34"/>
      <c r="G1917" s="34"/>
      <c r="H1917" s="34"/>
      <c r="I1917" s="34"/>
      <c r="J1917" s="34"/>
      <c r="K1917" s="34"/>
      <c r="L1917" s="34"/>
      <c r="M1917" s="36"/>
      <c r="N1917" s="36"/>
      <c r="O1917" s="36"/>
      <c r="P1917" s="36"/>
      <c r="Q1917" s="36"/>
      <c r="R1917" s="36"/>
      <c r="S1917" s="36"/>
    </row>
    <row r="1918">
      <c r="A1918" s="34"/>
      <c r="B1918" s="34"/>
      <c r="C1918" s="35"/>
      <c r="D1918" s="35"/>
      <c r="E1918" s="34"/>
      <c r="F1918" s="34"/>
      <c r="G1918" s="34"/>
      <c r="H1918" s="34"/>
      <c r="I1918" s="34"/>
      <c r="J1918" s="34"/>
      <c r="K1918" s="34"/>
      <c r="L1918" s="34"/>
      <c r="M1918" s="36"/>
      <c r="N1918" s="36"/>
      <c r="O1918" s="36"/>
      <c r="P1918" s="36"/>
      <c r="Q1918" s="36"/>
      <c r="R1918" s="36"/>
      <c r="S1918" s="36"/>
    </row>
    <row r="1919">
      <c r="A1919" s="34"/>
      <c r="B1919" s="36"/>
      <c r="C1919" s="35"/>
      <c r="D1919" s="35"/>
      <c r="E1919" s="34"/>
      <c r="F1919" s="34"/>
      <c r="G1919" s="34"/>
      <c r="H1919" s="34"/>
      <c r="I1919" s="36"/>
      <c r="J1919" s="34"/>
      <c r="K1919" s="34"/>
      <c r="L1919" s="34"/>
      <c r="M1919" s="36"/>
      <c r="N1919" s="36"/>
      <c r="O1919" s="36"/>
      <c r="P1919" s="36"/>
      <c r="Q1919" s="36"/>
      <c r="R1919" s="36"/>
      <c r="S1919" s="36"/>
    </row>
    <row r="1920">
      <c r="A1920" s="34"/>
      <c r="B1920" s="34"/>
      <c r="C1920" s="35"/>
      <c r="D1920" s="35"/>
      <c r="E1920" s="34"/>
      <c r="F1920" s="34"/>
      <c r="G1920" s="34"/>
      <c r="H1920" s="34"/>
      <c r="I1920" s="34"/>
      <c r="J1920" s="34"/>
      <c r="K1920" s="34"/>
      <c r="L1920" s="34"/>
      <c r="M1920" s="36"/>
      <c r="N1920" s="36"/>
      <c r="O1920" s="36"/>
      <c r="P1920" s="36"/>
      <c r="Q1920" s="36"/>
      <c r="R1920" s="36"/>
      <c r="S1920" s="36"/>
    </row>
    <row r="1921">
      <c r="A1921" s="34"/>
      <c r="B1921" s="36"/>
      <c r="C1921" s="35"/>
      <c r="D1921" s="35"/>
      <c r="E1921" s="34"/>
      <c r="F1921" s="34"/>
      <c r="G1921" s="34"/>
      <c r="H1921" s="34"/>
      <c r="I1921" s="36"/>
      <c r="J1921" s="34"/>
      <c r="K1921" s="34"/>
      <c r="L1921" s="34"/>
      <c r="M1921" s="36"/>
      <c r="N1921" s="36"/>
      <c r="O1921" s="36"/>
      <c r="P1921" s="36"/>
      <c r="Q1921" s="36"/>
      <c r="R1921" s="36"/>
      <c r="S1921" s="36"/>
    </row>
    <row r="1922">
      <c r="A1922" s="34"/>
      <c r="B1922" s="36"/>
      <c r="C1922" s="35"/>
      <c r="D1922" s="35"/>
      <c r="E1922" s="34"/>
      <c r="F1922" s="34"/>
      <c r="G1922" s="34"/>
      <c r="H1922" s="34"/>
      <c r="I1922" s="36"/>
      <c r="J1922" s="34"/>
      <c r="K1922" s="34"/>
      <c r="L1922" s="34"/>
      <c r="M1922" s="36"/>
      <c r="N1922" s="36"/>
      <c r="O1922" s="36"/>
      <c r="P1922" s="36"/>
      <c r="Q1922" s="36"/>
      <c r="R1922" s="36"/>
      <c r="S1922" s="36"/>
    </row>
    <row r="1923">
      <c r="A1923" s="34"/>
      <c r="B1923" s="36"/>
      <c r="C1923" s="35"/>
      <c r="D1923" s="35"/>
      <c r="E1923" s="34"/>
      <c r="F1923" s="34"/>
      <c r="G1923" s="34"/>
      <c r="H1923" s="34"/>
      <c r="I1923" s="36"/>
      <c r="J1923" s="34"/>
      <c r="K1923" s="34"/>
      <c r="L1923" s="34"/>
      <c r="M1923" s="36"/>
      <c r="N1923" s="36"/>
      <c r="O1923" s="36"/>
      <c r="P1923" s="36"/>
      <c r="Q1923" s="36"/>
      <c r="R1923" s="36"/>
      <c r="S1923" s="36"/>
    </row>
    <row r="1924">
      <c r="A1924" s="34"/>
      <c r="B1924" s="36"/>
      <c r="C1924" s="35"/>
      <c r="D1924" s="35"/>
      <c r="E1924" s="34"/>
      <c r="F1924" s="34"/>
      <c r="G1924" s="34"/>
      <c r="H1924" s="34"/>
      <c r="I1924" s="36"/>
      <c r="J1924" s="34"/>
      <c r="K1924" s="34"/>
      <c r="L1924" s="34"/>
      <c r="M1924" s="36"/>
      <c r="N1924" s="36"/>
      <c r="O1924" s="36"/>
      <c r="P1924" s="36"/>
      <c r="Q1924" s="36"/>
      <c r="R1924" s="36"/>
      <c r="S1924" s="36"/>
    </row>
    <row r="1925">
      <c r="A1925" s="34"/>
      <c r="B1925" s="36"/>
      <c r="C1925" s="35"/>
      <c r="D1925" s="35"/>
      <c r="E1925" s="34"/>
      <c r="F1925" s="34"/>
      <c r="G1925" s="34"/>
      <c r="H1925" s="34"/>
      <c r="I1925" s="36"/>
      <c r="J1925" s="34"/>
      <c r="K1925" s="34"/>
      <c r="L1925" s="34"/>
      <c r="M1925" s="36"/>
      <c r="N1925" s="36"/>
      <c r="O1925" s="36"/>
      <c r="P1925" s="36"/>
      <c r="Q1925" s="36"/>
      <c r="R1925" s="36"/>
      <c r="S1925" s="36"/>
    </row>
    <row r="1926">
      <c r="A1926" s="34"/>
      <c r="B1926" s="36"/>
      <c r="C1926" s="35"/>
      <c r="D1926" s="35"/>
      <c r="E1926" s="34"/>
      <c r="F1926" s="34"/>
      <c r="G1926" s="34"/>
      <c r="H1926" s="34"/>
      <c r="I1926" s="36"/>
      <c r="J1926" s="34"/>
      <c r="K1926" s="34"/>
      <c r="L1926" s="34"/>
      <c r="M1926" s="36"/>
      <c r="N1926" s="36"/>
      <c r="O1926" s="36"/>
      <c r="P1926" s="36"/>
      <c r="Q1926" s="36"/>
      <c r="R1926" s="36"/>
      <c r="S1926" s="36"/>
    </row>
    <row r="1927">
      <c r="A1927" s="34"/>
      <c r="B1927" s="36"/>
      <c r="C1927" s="35"/>
      <c r="D1927" s="35"/>
      <c r="E1927" s="34"/>
      <c r="F1927" s="34"/>
      <c r="G1927" s="34"/>
      <c r="H1927" s="34"/>
      <c r="I1927" s="36"/>
      <c r="J1927" s="34"/>
      <c r="K1927" s="34"/>
      <c r="L1927" s="34"/>
      <c r="M1927" s="36"/>
      <c r="N1927" s="36"/>
      <c r="O1927" s="36"/>
      <c r="P1927" s="36"/>
      <c r="Q1927" s="36"/>
      <c r="R1927" s="36"/>
      <c r="S1927" s="36"/>
    </row>
    <row r="1928">
      <c r="A1928" s="34"/>
      <c r="B1928" s="36"/>
      <c r="C1928" s="35"/>
      <c r="D1928" s="35"/>
      <c r="E1928" s="34"/>
      <c r="F1928" s="34"/>
      <c r="G1928" s="34"/>
      <c r="H1928" s="34"/>
      <c r="I1928" s="34"/>
      <c r="J1928" s="34"/>
      <c r="K1928" s="34"/>
      <c r="L1928" s="34"/>
      <c r="M1928" s="36"/>
      <c r="N1928" s="36"/>
      <c r="O1928" s="36"/>
      <c r="P1928" s="36"/>
      <c r="Q1928" s="36"/>
      <c r="R1928" s="36"/>
      <c r="S1928" s="36"/>
    </row>
    <row r="1929">
      <c r="A1929" s="34"/>
      <c r="B1929" s="36"/>
      <c r="C1929" s="35"/>
      <c r="D1929" s="35"/>
      <c r="E1929" s="34"/>
      <c r="F1929" s="34"/>
      <c r="G1929" s="34"/>
      <c r="H1929" s="34"/>
      <c r="I1929" s="36"/>
      <c r="J1929" s="34"/>
      <c r="K1929" s="34"/>
      <c r="L1929" s="34"/>
      <c r="M1929" s="36"/>
      <c r="N1929" s="36"/>
      <c r="O1929" s="36"/>
      <c r="P1929" s="36"/>
      <c r="Q1929" s="36"/>
      <c r="R1929" s="36"/>
      <c r="S1929" s="36"/>
    </row>
    <row r="1930">
      <c r="A1930" s="34"/>
      <c r="B1930" s="36"/>
      <c r="C1930" s="35"/>
      <c r="D1930" s="35"/>
      <c r="E1930" s="34"/>
      <c r="F1930" s="34"/>
      <c r="G1930" s="34"/>
      <c r="H1930" s="34"/>
      <c r="I1930" s="36"/>
      <c r="J1930" s="34"/>
      <c r="K1930" s="34"/>
      <c r="L1930" s="34"/>
      <c r="M1930" s="36"/>
      <c r="N1930" s="36"/>
      <c r="O1930" s="36"/>
      <c r="P1930" s="36"/>
      <c r="Q1930" s="36"/>
      <c r="R1930" s="36"/>
      <c r="S1930" s="36"/>
    </row>
    <row r="1931">
      <c r="A1931" s="34"/>
      <c r="B1931" s="36"/>
      <c r="C1931" s="35"/>
      <c r="D1931" s="35"/>
      <c r="E1931" s="34"/>
      <c r="F1931" s="34"/>
      <c r="G1931" s="34"/>
      <c r="H1931" s="34"/>
      <c r="I1931" s="36"/>
      <c r="J1931" s="34"/>
      <c r="K1931" s="34"/>
      <c r="L1931" s="34"/>
      <c r="M1931" s="36"/>
      <c r="N1931" s="36"/>
      <c r="O1931" s="36"/>
      <c r="P1931" s="36"/>
      <c r="Q1931" s="36"/>
      <c r="R1931" s="36"/>
      <c r="S1931" s="36"/>
    </row>
    <row r="1932">
      <c r="A1932" s="34"/>
      <c r="B1932" s="36"/>
      <c r="C1932" s="35"/>
      <c r="D1932" s="35"/>
      <c r="E1932" s="34"/>
      <c r="F1932" s="34"/>
      <c r="G1932" s="34"/>
      <c r="H1932" s="34"/>
      <c r="I1932" s="36"/>
      <c r="J1932" s="34"/>
      <c r="K1932" s="34"/>
      <c r="L1932" s="34"/>
      <c r="M1932" s="36"/>
      <c r="N1932" s="36"/>
      <c r="O1932" s="36"/>
      <c r="P1932" s="36"/>
      <c r="Q1932" s="36"/>
      <c r="R1932" s="36"/>
      <c r="S1932" s="36"/>
    </row>
    <row r="1933">
      <c r="A1933" s="34"/>
      <c r="B1933" s="36"/>
      <c r="C1933" s="35"/>
      <c r="D1933" s="35"/>
      <c r="E1933" s="34"/>
      <c r="F1933" s="34"/>
      <c r="G1933" s="34"/>
      <c r="H1933" s="34"/>
      <c r="I1933" s="36"/>
      <c r="J1933" s="34"/>
      <c r="K1933" s="34"/>
      <c r="L1933" s="34"/>
      <c r="M1933" s="36"/>
      <c r="N1933" s="36"/>
      <c r="O1933" s="36"/>
      <c r="P1933" s="36"/>
      <c r="Q1933" s="36"/>
      <c r="R1933" s="36"/>
      <c r="S1933" s="36"/>
    </row>
    <row r="1934">
      <c r="A1934" s="34"/>
      <c r="B1934" s="34"/>
      <c r="C1934" s="35"/>
      <c r="D1934" s="35"/>
      <c r="E1934" s="34"/>
      <c r="F1934" s="34"/>
      <c r="G1934" s="34"/>
      <c r="H1934" s="34"/>
      <c r="I1934" s="34"/>
      <c r="J1934" s="34"/>
      <c r="K1934" s="34"/>
      <c r="L1934" s="34"/>
      <c r="M1934" s="36"/>
      <c r="N1934" s="36"/>
      <c r="O1934" s="36"/>
      <c r="P1934" s="36"/>
      <c r="Q1934" s="36"/>
      <c r="R1934" s="36"/>
      <c r="S1934" s="36"/>
    </row>
    <row r="1935">
      <c r="A1935" s="34"/>
      <c r="B1935" s="36"/>
      <c r="C1935" s="35"/>
      <c r="D1935" s="35"/>
      <c r="E1935" s="34"/>
      <c r="F1935" s="34"/>
      <c r="G1935" s="34"/>
      <c r="H1935" s="34"/>
      <c r="I1935" s="36"/>
      <c r="J1935" s="34"/>
      <c r="K1935" s="34"/>
      <c r="L1935" s="34"/>
      <c r="M1935" s="36"/>
      <c r="N1935" s="36"/>
      <c r="O1935" s="36"/>
      <c r="P1935" s="36"/>
      <c r="Q1935" s="36"/>
      <c r="R1935" s="36"/>
      <c r="S1935" s="36"/>
    </row>
    <row r="1936">
      <c r="A1936" s="34"/>
      <c r="B1936" s="36"/>
      <c r="C1936" s="35"/>
      <c r="D1936" s="35"/>
      <c r="E1936" s="34"/>
      <c r="F1936" s="34"/>
      <c r="G1936" s="34"/>
      <c r="H1936" s="34"/>
      <c r="I1936" s="36"/>
      <c r="J1936" s="34"/>
      <c r="K1936" s="34"/>
      <c r="L1936" s="34"/>
      <c r="M1936" s="36"/>
      <c r="N1936" s="36"/>
      <c r="O1936" s="36"/>
      <c r="P1936" s="36"/>
      <c r="Q1936" s="36"/>
      <c r="R1936" s="36"/>
      <c r="S1936" s="36"/>
    </row>
    <row r="1937">
      <c r="A1937" s="34"/>
      <c r="B1937" s="34"/>
      <c r="C1937" s="35"/>
      <c r="D1937" s="35"/>
      <c r="E1937" s="34"/>
      <c r="F1937" s="34"/>
      <c r="G1937" s="34"/>
      <c r="H1937" s="34"/>
      <c r="I1937" s="34"/>
      <c r="J1937" s="34"/>
      <c r="K1937" s="34"/>
      <c r="L1937" s="34"/>
      <c r="M1937" s="36"/>
      <c r="N1937" s="36"/>
      <c r="O1937" s="36"/>
      <c r="P1937" s="36"/>
      <c r="Q1937" s="36"/>
      <c r="R1937" s="36"/>
      <c r="S1937" s="36"/>
    </row>
    <row r="1938">
      <c r="A1938" s="34"/>
      <c r="B1938" s="36"/>
      <c r="C1938" s="35"/>
      <c r="D1938" s="35"/>
      <c r="E1938" s="34"/>
      <c r="F1938" s="34"/>
      <c r="G1938" s="34"/>
      <c r="H1938" s="34"/>
      <c r="I1938" s="36"/>
      <c r="J1938" s="34"/>
      <c r="K1938" s="34"/>
      <c r="L1938" s="34"/>
      <c r="M1938" s="36"/>
      <c r="N1938" s="36"/>
      <c r="O1938" s="36"/>
      <c r="P1938" s="36"/>
      <c r="Q1938" s="36"/>
      <c r="R1938" s="36"/>
      <c r="S1938" s="36"/>
    </row>
    <row r="1939">
      <c r="A1939" s="34"/>
      <c r="B1939" s="36"/>
      <c r="C1939" s="35"/>
      <c r="D1939" s="35"/>
      <c r="E1939" s="34"/>
      <c r="F1939" s="34"/>
      <c r="G1939" s="34"/>
      <c r="H1939" s="34"/>
      <c r="I1939" s="36"/>
      <c r="J1939" s="34"/>
      <c r="K1939" s="34"/>
      <c r="L1939" s="34"/>
      <c r="M1939" s="36"/>
      <c r="N1939" s="36"/>
      <c r="O1939" s="36"/>
      <c r="P1939" s="36"/>
      <c r="Q1939" s="36"/>
      <c r="R1939" s="36"/>
      <c r="S1939" s="36"/>
    </row>
    <row r="1940">
      <c r="A1940" s="34"/>
      <c r="B1940" s="36"/>
      <c r="C1940" s="35"/>
      <c r="D1940" s="35"/>
      <c r="E1940" s="34"/>
      <c r="F1940" s="34"/>
      <c r="G1940" s="34"/>
      <c r="H1940" s="34"/>
      <c r="I1940" s="36"/>
      <c r="J1940" s="34"/>
      <c r="K1940" s="34"/>
      <c r="L1940" s="34"/>
      <c r="M1940" s="36"/>
      <c r="N1940" s="36"/>
      <c r="O1940" s="36"/>
      <c r="P1940" s="36"/>
      <c r="Q1940" s="36"/>
      <c r="R1940" s="36"/>
      <c r="S1940" s="36"/>
    </row>
    <row r="1941">
      <c r="A1941" s="34"/>
      <c r="B1941" s="34"/>
      <c r="C1941" s="35"/>
      <c r="D1941" s="35"/>
      <c r="E1941" s="34"/>
      <c r="F1941" s="34"/>
      <c r="G1941" s="34"/>
      <c r="H1941" s="34"/>
      <c r="I1941" s="34"/>
      <c r="J1941" s="34"/>
      <c r="K1941" s="34"/>
      <c r="L1941" s="34"/>
      <c r="M1941" s="36"/>
      <c r="N1941" s="36"/>
      <c r="O1941" s="36"/>
      <c r="P1941" s="36"/>
      <c r="Q1941" s="36"/>
      <c r="R1941" s="36"/>
      <c r="S1941" s="36"/>
    </row>
    <row r="1942">
      <c r="A1942" s="34"/>
      <c r="B1942" s="34"/>
      <c r="C1942" s="35"/>
      <c r="D1942" s="35"/>
      <c r="E1942" s="34"/>
      <c r="F1942" s="34"/>
      <c r="G1942" s="34"/>
      <c r="H1942" s="34"/>
      <c r="I1942" s="34"/>
      <c r="J1942" s="34"/>
      <c r="K1942" s="34"/>
      <c r="L1942" s="34"/>
      <c r="M1942" s="36"/>
      <c r="N1942" s="36"/>
      <c r="O1942" s="36"/>
      <c r="P1942" s="36"/>
      <c r="Q1942" s="36"/>
      <c r="R1942" s="36"/>
      <c r="S1942" s="36"/>
    </row>
    <row r="1943">
      <c r="A1943" s="34"/>
      <c r="B1943" s="36"/>
      <c r="C1943" s="35"/>
      <c r="D1943" s="35"/>
      <c r="E1943" s="34"/>
      <c r="F1943" s="34"/>
      <c r="G1943" s="34"/>
      <c r="H1943" s="34"/>
      <c r="I1943" s="36"/>
      <c r="J1943" s="34"/>
      <c r="K1943" s="34"/>
      <c r="L1943" s="34"/>
      <c r="M1943" s="36"/>
      <c r="N1943" s="36"/>
      <c r="O1943" s="36"/>
      <c r="P1943" s="36"/>
      <c r="Q1943" s="36"/>
      <c r="R1943" s="36"/>
      <c r="S1943" s="36"/>
    </row>
    <row r="1944">
      <c r="A1944" s="34"/>
      <c r="B1944" s="36"/>
      <c r="C1944" s="35"/>
      <c r="D1944" s="35"/>
      <c r="E1944" s="34"/>
      <c r="F1944" s="34"/>
      <c r="G1944" s="34"/>
      <c r="H1944" s="34"/>
      <c r="I1944" s="36"/>
      <c r="J1944" s="34"/>
      <c r="K1944" s="34"/>
      <c r="L1944" s="34"/>
      <c r="M1944" s="36"/>
      <c r="N1944" s="36"/>
      <c r="O1944" s="36"/>
      <c r="P1944" s="36"/>
      <c r="Q1944" s="36"/>
      <c r="R1944" s="36"/>
      <c r="S1944" s="36"/>
    </row>
    <row r="1945">
      <c r="A1945" s="34"/>
      <c r="B1945" s="36"/>
      <c r="C1945" s="35"/>
      <c r="D1945" s="35"/>
      <c r="E1945" s="34"/>
      <c r="F1945" s="34"/>
      <c r="G1945" s="34"/>
      <c r="H1945" s="34"/>
      <c r="I1945" s="36"/>
      <c r="J1945" s="34"/>
      <c r="K1945" s="34"/>
      <c r="L1945" s="34"/>
      <c r="M1945" s="36"/>
      <c r="N1945" s="36"/>
      <c r="O1945" s="36"/>
      <c r="P1945" s="36"/>
      <c r="Q1945" s="36"/>
      <c r="R1945" s="36"/>
      <c r="S1945" s="36"/>
    </row>
    <row r="1946">
      <c r="A1946" s="34"/>
      <c r="B1946" s="36"/>
      <c r="C1946" s="35"/>
      <c r="D1946" s="35"/>
      <c r="E1946" s="34"/>
      <c r="F1946" s="34"/>
      <c r="G1946" s="34"/>
      <c r="H1946" s="34"/>
      <c r="I1946" s="36"/>
      <c r="J1946" s="34"/>
      <c r="K1946" s="34"/>
      <c r="L1946" s="34"/>
      <c r="M1946" s="36"/>
      <c r="N1946" s="36"/>
      <c r="O1946" s="36"/>
      <c r="P1946" s="36"/>
      <c r="Q1946" s="36"/>
      <c r="R1946" s="36"/>
      <c r="S1946" s="36"/>
    </row>
    <row r="1947">
      <c r="A1947" s="34"/>
      <c r="B1947" s="34"/>
      <c r="C1947" s="35"/>
      <c r="D1947" s="35"/>
      <c r="E1947" s="34"/>
      <c r="F1947" s="34"/>
      <c r="G1947" s="34"/>
      <c r="H1947" s="34"/>
      <c r="I1947" s="34"/>
      <c r="J1947" s="34"/>
      <c r="K1947" s="34"/>
      <c r="L1947" s="34"/>
      <c r="M1947" s="36"/>
      <c r="N1947" s="36"/>
      <c r="O1947" s="36"/>
      <c r="P1947" s="36"/>
      <c r="Q1947" s="36"/>
      <c r="R1947" s="36"/>
      <c r="S1947" s="36"/>
    </row>
    <row r="1948">
      <c r="A1948" s="34"/>
      <c r="B1948" s="34"/>
      <c r="C1948" s="35"/>
      <c r="D1948" s="35"/>
      <c r="E1948" s="34"/>
      <c r="F1948" s="34"/>
      <c r="G1948" s="34"/>
      <c r="H1948" s="34"/>
      <c r="I1948" s="34"/>
      <c r="J1948" s="34"/>
      <c r="K1948" s="34"/>
      <c r="L1948" s="34"/>
      <c r="M1948" s="36"/>
      <c r="N1948" s="36"/>
      <c r="O1948" s="36"/>
      <c r="P1948" s="36"/>
      <c r="Q1948" s="36"/>
      <c r="R1948" s="36"/>
      <c r="S1948" s="36"/>
    </row>
    <row r="1949">
      <c r="A1949" s="34"/>
      <c r="B1949" s="36"/>
      <c r="C1949" s="35"/>
      <c r="D1949" s="35"/>
      <c r="E1949" s="34"/>
      <c r="F1949" s="34"/>
      <c r="G1949" s="34"/>
      <c r="H1949" s="34"/>
      <c r="I1949" s="36"/>
      <c r="J1949" s="34"/>
      <c r="K1949" s="34"/>
      <c r="L1949" s="34"/>
      <c r="M1949" s="36"/>
      <c r="N1949" s="36"/>
      <c r="O1949" s="36"/>
      <c r="P1949" s="36"/>
      <c r="Q1949" s="36"/>
      <c r="R1949" s="36"/>
      <c r="S1949" s="36"/>
    </row>
    <row r="1950">
      <c r="A1950" s="34"/>
      <c r="B1950" s="36"/>
      <c r="C1950" s="35"/>
      <c r="D1950" s="35"/>
      <c r="E1950" s="34"/>
      <c r="F1950" s="34"/>
      <c r="G1950" s="34"/>
      <c r="H1950" s="34"/>
      <c r="I1950" s="36"/>
      <c r="J1950" s="34"/>
      <c r="K1950" s="34"/>
      <c r="L1950" s="34"/>
      <c r="M1950" s="36"/>
      <c r="N1950" s="36"/>
      <c r="O1950" s="36"/>
      <c r="P1950" s="36"/>
      <c r="Q1950" s="36"/>
      <c r="R1950" s="36"/>
      <c r="S1950" s="36"/>
    </row>
    <row r="1951">
      <c r="A1951" s="34"/>
      <c r="B1951" s="36"/>
      <c r="C1951" s="35"/>
      <c r="D1951" s="35"/>
      <c r="E1951" s="34"/>
      <c r="F1951" s="34"/>
      <c r="G1951" s="34"/>
      <c r="H1951" s="34"/>
      <c r="I1951" s="36"/>
      <c r="J1951" s="34"/>
      <c r="K1951" s="34"/>
      <c r="L1951" s="34"/>
      <c r="M1951" s="36"/>
      <c r="N1951" s="36"/>
      <c r="O1951" s="36"/>
      <c r="P1951" s="36"/>
      <c r="Q1951" s="36"/>
      <c r="R1951" s="36"/>
      <c r="S1951" s="36"/>
    </row>
    <row r="1952">
      <c r="A1952" s="34"/>
      <c r="B1952" s="36"/>
      <c r="C1952" s="35"/>
      <c r="D1952" s="35"/>
      <c r="E1952" s="34"/>
      <c r="F1952" s="34"/>
      <c r="G1952" s="34"/>
      <c r="H1952" s="34"/>
      <c r="I1952" s="36"/>
      <c r="J1952" s="34"/>
      <c r="K1952" s="34"/>
      <c r="L1952" s="34"/>
      <c r="M1952" s="36"/>
      <c r="N1952" s="36"/>
      <c r="O1952" s="36"/>
      <c r="P1952" s="36"/>
      <c r="Q1952" s="36"/>
      <c r="R1952" s="36"/>
      <c r="S1952" s="36"/>
    </row>
    <row r="1953">
      <c r="A1953" s="34"/>
      <c r="B1953" s="36"/>
      <c r="C1953" s="35"/>
      <c r="D1953" s="35"/>
      <c r="E1953" s="34"/>
      <c r="F1953" s="34"/>
      <c r="G1953" s="34"/>
      <c r="H1953" s="34"/>
      <c r="I1953" s="36"/>
      <c r="J1953" s="34"/>
      <c r="K1953" s="34"/>
      <c r="L1953" s="34"/>
      <c r="M1953" s="36"/>
      <c r="N1953" s="36"/>
      <c r="O1953" s="36"/>
      <c r="P1953" s="36"/>
      <c r="Q1953" s="36"/>
      <c r="R1953" s="36"/>
      <c r="S1953" s="36"/>
    </row>
    <row r="1954">
      <c r="A1954" s="34"/>
      <c r="B1954" s="36"/>
      <c r="C1954" s="35"/>
      <c r="D1954" s="35"/>
      <c r="E1954" s="34"/>
      <c r="F1954" s="34"/>
      <c r="G1954" s="34"/>
      <c r="H1954" s="34"/>
      <c r="I1954" s="36"/>
      <c r="J1954" s="34"/>
      <c r="K1954" s="34"/>
      <c r="L1954" s="34"/>
      <c r="M1954" s="36"/>
      <c r="N1954" s="36"/>
      <c r="O1954" s="36"/>
      <c r="P1954" s="36"/>
      <c r="Q1954" s="36"/>
      <c r="R1954" s="36"/>
      <c r="S1954" s="36"/>
    </row>
    <row r="1955">
      <c r="A1955" s="34"/>
      <c r="B1955" s="36"/>
      <c r="C1955" s="35"/>
      <c r="D1955" s="35"/>
      <c r="E1955" s="34"/>
      <c r="F1955" s="34"/>
      <c r="G1955" s="34"/>
      <c r="H1955" s="34"/>
      <c r="I1955" s="36"/>
      <c r="J1955" s="34"/>
      <c r="K1955" s="34"/>
      <c r="L1955" s="34"/>
      <c r="M1955" s="36"/>
      <c r="N1955" s="36"/>
      <c r="O1955" s="36"/>
      <c r="P1955" s="36"/>
      <c r="Q1955" s="36"/>
      <c r="R1955" s="36"/>
      <c r="S1955" s="36"/>
    </row>
    <row r="1956">
      <c r="A1956" s="34"/>
      <c r="B1956" s="34"/>
      <c r="C1956" s="35"/>
      <c r="D1956" s="35"/>
      <c r="E1956" s="34"/>
      <c r="F1956" s="34"/>
      <c r="G1956" s="34"/>
      <c r="H1956" s="34"/>
      <c r="I1956" s="34"/>
      <c r="J1956" s="34"/>
      <c r="K1956" s="34"/>
      <c r="L1956" s="34"/>
      <c r="M1956" s="36"/>
      <c r="N1956" s="36"/>
      <c r="O1956" s="36"/>
      <c r="P1956" s="36"/>
      <c r="Q1956" s="36"/>
      <c r="R1956" s="36"/>
      <c r="S1956" s="36"/>
    </row>
    <row r="1957">
      <c r="A1957" s="34"/>
      <c r="B1957" s="36"/>
      <c r="C1957" s="35"/>
      <c r="D1957" s="35"/>
      <c r="E1957" s="34"/>
      <c r="F1957" s="34"/>
      <c r="G1957" s="34"/>
      <c r="H1957" s="34"/>
      <c r="I1957" s="36"/>
      <c r="J1957" s="34"/>
      <c r="K1957" s="34"/>
      <c r="L1957" s="34"/>
      <c r="M1957" s="36"/>
      <c r="N1957" s="36"/>
      <c r="O1957" s="36"/>
      <c r="P1957" s="36"/>
      <c r="Q1957" s="36"/>
      <c r="R1957" s="36"/>
      <c r="S1957" s="36"/>
    </row>
    <row r="1958">
      <c r="A1958" s="34"/>
      <c r="B1958" s="34"/>
      <c r="C1958" s="35"/>
      <c r="D1958" s="35"/>
      <c r="E1958" s="34"/>
      <c r="F1958" s="34"/>
      <c r="G1958" s="34"/>
      <c r="H1958" s="34"/>
      <c r="I1958" s="34"/>
      <c r="J1958" s="34"/>
      <c r="K1958" s="34"/>
      <c r="L1958" s="34"/>
      <c r="M1958" s="36"/>
      <c r="N1958" s="36"/>
      <c r="O1958" s="36"/>
      <c r="P1958" s="36"/>
      <c r="Q1958" s="36"/>
      <c r="R1958" s="36"/>
      <c r="S1958" s="36"/>
    </row>
    <row r="1959">
      <c r="A1959" s="34"/>
      <c r="B1959" s="34"/>
      <c r="C1959" s="35"/>
      <c r="D1959" s="35"/>
      <c r="E1959" s="34"/>
      <c r="F1959" s="34"/>
      <c r="G1959" s="34"/>
      <c r="H1959" s="34"/>
      <c r="I1959" s="34"/>
      <c r="J1959" s="34"/>
      <c r="K1959" s="34"/>
      <c r="L1959" s="34"/>
      <c r="M1959" s="36"/>
      <c r="N1959" s="36"/>
      <c r="O1959" s="36"/>
      <c r="P1959" s="36"/>
      <c r="Q1959" s="36"/>
      <c r="R1959" s="36"/>
      <c r="S1959" s="36"/>
    </row>
    <row r="1960">
      <c r="A1960" s="34"/>
      <c r="B1960" s="36"/>
      <c r="C1960" s="35"/>
      <c r="D1960" s="35"/>
      <c r="E1960" s="34"/>
      <c r="F1960" s="34"/>
      <c r="G1960" s="34"/>
      <c r="H1960" s="34"/>
      <c r="I1960" s="36"/>
      <c r="J1960" s="34"/>
      <c r="K1960" s="34"/>
      <c r="L1960" s="34"/>
      <c r="M1960" s="36"/>
      <c r="N1960" s="36"/>
      <c r="O1960" s="36"/>
      <c r="P1960" s="36"/>
      <c r="Q1960" s="36"/>
      <c r="R1960" s="36"/>
      <c r="S1960" s="36"/>
    </row>
    <row r="1961">
      <c r="A1961" s="34"/>
      <c r="B1961" s="36"/>
      <c r="C1961" s="35"/>
      <c r="D1961" s="35"/>
      <c r="E1961" s="34"/>
      <c r="F1961" s="34"/>
      <c r="G1961" s="34"/>
      <c r="H1961" s="34"/>
      <c r="I1961" s="36"/>
      <c r="J1961" s="34"/>
      <c r="K1961" s="34"/>
      <c r="L1961" s="34"/>
      <c r="M1961" s="36"/>
      <c r="N1961" s="36"/>
      <c r="O1961" s="36"/>
      <c r="P1961" s="36"/>
      <c r="Q1961" s="36"/>
      <c r="R1961" s="36"/>
      <c r="S1961" s="36"/>
    </row>
    <row r="1962">
      <c r="A1962" s="34"/>
      <c r="B1962" s="36"/>
      <c r="C1962" s="35"/>
      <c r="D1962" s="35"/>
      <c r="E1962" s="34"/>
      <c r="F1962" s="34"/>
      <c r="G1962" s="34"/>
      <c r="H1962" s="34"/>
      <c r="I1962" s="36"/>
      <c r="J1962" s="34"/>
      <c r="K1962" s="34"/>
      <c r="L1962" s="34"/>
      <c r="M1962" s="36"/>
      <c r="N1962" s="36"/>
      <c r="O1962" s="36"/>
      <c r="P1962" s="36"/>
      <c r="Q1962" s="36"/>
      <c r="R1962" s="36"/>
      <c r="S1962" s="36"/>
    </row>
    <row r="1963">
      <c r="A1963" s="34"/>
      <c r="B1963" s="36"/>
      <c r="C1963" s="35"/>
      <c r="D1963" s="35"/>
      <c r="E1963" s="34"/>
      <c r="F1963" s="34"/>
      <c r="G1963" s="34"/>
      <c r="H1963" s="34"/>
      <c r="I1963" s="36"/>
      <c r="J1963" s="34"/>
      <c r="K1963" s="34"/>
      <c r="L1963" s="34"/>
      <c r="M1963" s="36"/>
      <c r="N1963" s="36"/>
      <c r="O1963" s="36"/>
      <c r="P1963" s="36"/>
      <c r="Q1963" s="36"/>
      <c r="R1963" s="36"/>
      <c r="S1963" s="36"/>
    </row>
    <row r="1964">
      <c r="A1964" s="34"/>
      <c r="B1964" s="36"/>
      <c r="C1964" s="35"/>
      <c r="D1964" s="35"/>
      <c r="E1964" s="34"/>
      <c r="F1964" s="34"/>
      <c r="G1964" s="34"/>
      <c r="H1964" s="34"/>
      <c r="I1964" s="34"/>
      <c r="J1964" s="34"/>
      <c r="K1964" s="34"/>
      <c r="L1964" s="34"/>
      <c r="M1964" s="36"/>
      <c r="N1964" s="36"/>
      <c r="O1964" s="36"/>
      <c r="P1964" s="36"/>
      <c r="Q1964" s="36"/>
      <c r="R1964" s="36"/>
      <c r="S1964" s="36"/>
    </row>
    <row r="1965">
      <c r="A1965" s="34"/>
      <c r="B1965" s="34"/>
      <c r="C1965" s="35"/>
      <c r="D1965" s="35"/>
      <c r="E1965" s="34"/>
      <c r="F1965" s="34"/>
      <c r="G1965" s="34"/>
      <c r="H1965" s="34"/>
      <c r="I1965" s="34"/>
      <c r="J1965" s="34"/>
      <c r="K1965" s="34"/>
      <c r="L1965" s="34"/>
      <c r="M1965" s="36"/>
      <c r="N1965" s="36"/>
      <c r="O1965" s="36"/>
      <c r="P1965" s="36"/>
      <c r="Q1965" s="36"/>
      <c r="R1965" s="36"/>
      <c r="S1965" s="36"/>
    </row>
    <row r="1966">
      <c r="A1966" s="34"/>
      <c r="B1966" s="36"/>
      <c r="C1966" s="35"/>
      <c r="D1966" s="35"/>
      <c r="E1966" s="34"/>
      <c r="F1966" s="34"/>
      <c r="G1966" s="34"/>
      <c r="H1966" s="34"/>
      <c r="I1966" s="36"/>
      <c r="J1966" s="34"/>
      <c r="K1966" s="34"/>
      <c r="L1966" s="34"/>
      <c r="M1966" s="36"/>
      <c r="N1966" s="36"/>
      <c r="O1966" s="36"/>
      <c r="P1966" s="36"/>
      <c r="Q1966" s="36"/>
      <c r="R1966" s="36"/>
      <c r="S1966" s="36"/>
    </row>
    <row r="1967">
      <c r="A1967" s="34"/>
      <c r="B1967" s="36"/>
      <c r="C1967" s="35"/>
      <c r="D1967" s="35"/>
      <c r="E1967" s="34"/>
      <c r="F1967" s="34"/>
      <c r="G1967" s="34"/>
      <c r="H1967" s="34"/>
      <c r="I1967" s="36"/>
      <c r="J1967" s="34"/>
      <c r="K1967" s="34"/>
      <c r="L1967" s="34"/>
      <c r="M1967" s="36"/>
      <c r="N1967" s="36"/>
      <c r="O1967" s="36"/>
      <c r="P1967" s="36"/>
      <c r="Q1967" s="36"/>
      <c r="R1967" s="36"/>
      <c r="S1967" s="36"/>
    </row>
    <row r="1968">
      <c r="A1968" s="34"/>
      <c r="B1968" s="36"/>
      <c r="C1968" s="35"/>
      <c r="D1968" s="35"/>
      <c r="E1968" s="34"/>
      <c r="F1968" s="34"/>
      <c r="G1968" s="34"/>
      <c r="H1968" s="34"/>
      <c r="I1968" s="36"/>
      <c r="J1968" s="34"/>
      <c r="K1968" s="34"/>
      <c r="L1968" s="34"/>
      <c r="M1968" s="36"/>
      <c r="N1968" s="36"/>
      <c r="O1968" s="36"/>
      <c r="P1968" s="36"/>
      <c r="Q1968" s="36"/>
      <c r="R1968" s="36"/>
      <c r="S1968" s="36"/>
    </row>
    <row r="1969">
      <c r="A1969" s="34"/>
      <c r="B1969" s="34"/>
      <c r="C1969" s="35"/>
      <c r="D1969" s="35"/>
      <c r="E1969" s="34"/>
      <c r="F1969" s="34"/>
      <c r="G1969" s="34"/>
      <c r="H1969" s="34"/>
      <c r="I1969" s="34"/>
      <c r="J1969" s="34"/>
      <c r="K1969" s="34"/>
      <c r="L1969" s="34"/>
      <c r="M1969" s="36"/>
      <c r="N1969" s="36"/>
      <c r="O1969" s="36"/>
      <c r="P1969" s="36"/>
      <c r="Q1969" s="36"/>
      <c r="R1969" s="36"/>
      <c r="S1969" s="36"/>
    </row>
    <row r="1970">
      <c r="A1970" s="34"/>
      <c r="B1970" s="34"/>
      <c r="C1970" s="35"/>
      <c r="D1970" s="35"/>
      <c r="E1970" s="34"/>
      <c r="F1970" s="34"/>
      <c r="G1970" s="34"/>
      <c r="H1970" s="34"/>
      <c r="I1970" s="34"/>
      <c r="J1970" s="34"/>
      <c r="K1970" s="34"/>
      <c r="L1970" s="34"/>
      <c r="M1970" s="36"/>
      <c r="N1970" s="36"/>
      <c r="O1970" s="36"/>
      <c r="P1970" s="36"/>
      <c r="Q1970" s="36"/>
      <c r="R1970" s="36"/>
      <c r="S1970" s="36"/>
    </row>
    <row r="1971">
      <c r="A1971" s="34"/>
      <c r="B1971" s="34"/>
      <c r="C1971" s="35"/>
      <c r="D1971" s="35"/>
      <c r="E1971" s="34"/>
      <c r="F1971" s="34"/>
      <c r="G1971" s="34"/>
      <c r="H1971" s="34"/>
      <c r="I1971" s="34"/>
      <c r="J1971" s="34"/>
      <c r="K1971" s="34"/>
      <c r="L1971" s="34"/>
      <c r="M1971" s="36"/>
      <c r="N1971" s="36"/>
      <c r="O1971" s="36"/>
      <c r="P1971" s="36"/>
      <c r="Q1971" s="36"/>
      <c r="R1971" s="36"/>
      <c r="S1971" s="36"/>
    </row>
    <row r="1972">
      <c r="A1972" s="34"/>
      <c r="B1972" s="36"/>
      <c r="C1972" s="35"/>
      <c r="D1972" s="35"/>
      <c r="E1972" s="34"/>
      <c r="F1972" s="34"/>
      <c r="G1972" s="34"/>
      <c r="H1972" s="34"/>
      <c r="I1972" s="36"/>
      <c r="J1972" s="34"/>
      <c r="K1972" s="34"/>
      <c r="L1972" s="34"/>
      <c r="M1972" s="36"/>
      <c r="N1972" s="36"/>
      <c r="O1972" s="36"/>
      <c r="P1972" s="36"/>
      <c r="Q1972" s="36"/>
      <c r="R1972" s="36"/>
      <c r="S1972" s="36"/>
    </row>
    <row r="1973">
      <c r="A1973" s="34"/>
      <c r="B1973" s="36"/>
      <c r="C1973" s="35"/>
      <c r="D1973" s="35"/>
      <c r="E1973" s="34"/>
      <c r="F1973" s="34"/>
      <c r="G1973" s="34"/>
      <c r="H1973" s="34"/>
      <c r="I1973" s="36"/>
      <c r="J1973" s="34"/>
      <c r="K1973" s="34"/>
      <c r="L1973" s="34"/>
      <c r="M1973" s="36"/>
      <c r="N1973" s="36"/>
      <c r="O1973" s="36"/>
      <c r="P1973" s="36"/>
      <c r="Q1973" s="36"/>
      <c r="R1973" s="36"/>
      <c r="S1973" s="36"/>
    </row>
    <row r="1974">
      <c r="A1974" s="34"/>
      <c r="B1974" s="36"/>
      <c r="C1974" s="35"/>
      <c r="D1974" s="35"/>
      <c r="E1974" s="34"/>
      <c r="F1974" s="34"/>
      <c r="G1974" s="34"/>
      <c r="H1974" s="34"/>
      <c r="I1974" s="34"/>
      <c r="J1974" s="34"/>
      <c r="K1974" s="34"/>
      <c r="L1974" s="34"/>
      <c r="M1974" s="36"/>
      <c r="N1974" s="36"/>
      <c r="O1974" s="36"/>
      <c r="P1974" s="36"/>
      <c r="Q1974" s="36"/>
      <c r="R1974" s="36"/>
      <c r="S1974" s="36"/>
    </row>
    <row r="1975">
      <c r="A1975" s="34"/>
      <c r="B1975" s="36"/>
      <c r="C1975" s="35"/>
      <c r="D1975" s="35"/>
      <c r="E1975" s="34"/>
      <c r="F1975" s="34"/>
      <c r="G1975" s="34"/>
      <c r="H1975" s="34"/>
      <c r="I1975" s="36"/>
      <c r="J1975" s="34"/>
      <c r="K1975" s="34"/>
      <c r="L1975" s="34"/>
      <c r="M1975" s="36"/>
      <c r="N1975" s="36"/>
      <c r="O1975" s="36"/>
      <c r="P1975" s="36"/>
      <c r="Q1975" s="36"/>
      <c r="R1975" s="36"/>
      <c r="S1975" s="36"/>
    </row>
    <row r="1976">
      <c r="A1976" s="34"/>
      <c r="B1976" s="34"/>
      <c r="C1976" s="35"/>
      <c r="D1976" s="35"/>
      <c r="E1976" s="34"/>
      <c r="F1976" s="34"/>
      <c r="G1976" s="34"/>
      <c r="H1976" s="34"/>
      <c r="I1976" s="34"/>
      <c r="J1976" s="34"/>
      <c r="K1976" s="34"/>
      <c r="L1976" s="34"/>
      <c r="M1976" s="36"/>
      <c r="N1976" s="36"/>
      <c r="O1976" s="36"/>
      <c r="P1976" s="36"/>
      <c r="Q1976" s="36"/>
      <c r="R1976" s="36"/>
      <c r="S1976" s="36"/>
    </row>
    <row r="1977">
      <c r="A1977" s="34"/>
      <c r="B1977" s="36"/>
      <c r="C1977" s="35"/>
      <c r="D1977" s="35"/>
      <c r="E1977" s="34"/>
      <c r="F1977" s="34"/>
      <c r="G1977" s="34"/>
      <c r="H1977" s="34"/>
      <c r="I1977" s="36"/>
      <c r="J1977" s="34"/>
      <c r="K1977" s="34"/>
      <c r="L1977" s="34"/>
      <c r="M1977" s="36"/>
      <c r="N1977" s="36"/>
      <c r="O1977" s="36"/>
      <c r="P1977" s="36"/>
      <c r="Q1977" s="36"/>
      <c r="R1977" s="36"/>
      <c r="S1977" s="36"/>
    </row>
    <row r="1978">
      <c r="A1978" s="34"/>
      <c r="B1978" s="36"/>
      <c r="C1978" s="35"/>
      <c r="D1978" s="35"/>
      <c r="E1978" s="34"/>
      <c r="F1978" s="34"/>
      <c r="G1978" s="34"/>
      <c r="H1978" s="34"/>
      <c r="I1978" s="36"/>
      <c r="J1978" s="34"/>
      <c r="K1978" s="34"/>
      <c r="L1978" s="34"/>
      <c r="M1978" s="36"/>
      <c r="N1978" s="36"/>
      <c r="O1978" s="36"/>
      <c r="P1978" s="36"/>
      <c r="Q1978" s="36"/>
      <c r="R1978" s="36"/>
      <c r="S1978" s="36"/>
    </row>
    <row r="1979">
      <c r="A1979" s="34"/>
      <c r="B1979" s="34"/>
      <c r="C1979" s="35"/>
      <c r="D1979" s="35"/>
      <c r="E1979" s="34"/>
      <c r="F1979" s="34"/>
      <c r="G1979" s="34"/>
      <c r="H1979" s="34"/>
      <c r="I1979" s="34"/>
      <c r="J1979" s="34"/>
      <c r="K1979" s="34"/>
      <c r="L1979" s="34"/>
      <c r="M1979" s="36"/>
      <c r="N1979" s="36"/>
      <c r="O1979" s="36"/>
      <c r="P1979" s="36"/>
      <c r="Q1979" s="36"/>
      <c r="R1979" s="36"/>
      <c r="S1979" s="36"/>
    </row>
    <row r="1980">
      <c r="A1980" s="34"/>
      <c r="B1980" s="34"/>
      <c r="C1980" s="35"/>
      <c r="D1980" s="35"/>
      <c r="E1980" s="34"/>
      <c r="F1980" s="34"/>
      <c r="G1980" s="34"/>
      <c r="H1980" s="34"/>
      <c r="I1980" s="34"/>
      <c r="J1980" s="34"/>
      <c r="K1980" s="34"/>
      <c r="L1980" s="34"/>
      <c r="M1980" s="36"/>
      <c r="N1980" s="36"/>
      <c r="O1980" s="36"/>
      <c r="P1980" s="36"/>
      <c r="Q1980" s="36"/>
      <c r="R1980" s="36"/>
      <c r="S1980" s="36"/>
    </row>
    <row r="1981">
      <c r="A1981" s="34"/>
      <c r="B1981" s="36"/>
      <c r="C1981" s="35"/>
      <c r="D1981" s="35"/>
      <c r="E1981" s="34"/>
      <c r="F1981" s="34"/>
      <c r="G1981" s="34"/>
      <c r="H1981" s="34"/>
      <c r="I1981" s="36"/>
      <c r="J1981" s="34"/>
      <c r="K1981" s="34"/>
      <c r="L1981" s="34"/>
      <c r="M1981" s="36"/>
      <c r="N1981" s="36"/>
      <c r="O1981" s="36"/>
      <c r="P1981" s="36"/>
      <c r="Q1981" s="36"/>
      <c r="R1981" s="36"/>
      <c r="S1981" s="36"/>
    </row>
    <row r="1982">
      <c r="A1982" s="34"/>
      <c r="B1982" s="36"/>
      <c r="C1982" s="35"/>
      <c r="D1982" s="35"/>
      <c r="E1982" s="34"/>
      <c r="F1982" s="34"/>
      <c r="G1982" s="34"/>
      <c r="H1982" s="34"/>
      <c r="I1982" s="34"/>
      <c r="J1982" s="34"/>
      <c r="K1982" s="34"/>
      <c r="L1982" s="34"/>
      <c r="M1982" s="36"/>
      <c r="N1982" s="36"/>
      <c r="O1982" s="36"/>
      <c r="P1982" s="36"/>
      <c r="Q1982" s="36"/>
      <c r="R1982" s="36"/>
      <c r="S1982" s="36"/>
    </row>
    <row r="1983">
      <c r="A1983" s="34"/>
      <c r="B1983" s="36"/>
      <c r="C1983" s="35"/>
      <c r="D1983" s="35"/>
      <c r="E1983" s="34"/>
      <c r="F1983" s="34"/>
      <c r="G1983" s="34"/>
      <c r="H1983" s="34"/>
      <c r="I1983" s="34"/>
      <c r="J1983" s="34"/>
      <c r="K1983" s="34"/>
      <c r="L1983" s="34"/>
      <c r="M1983" s="36"/>
      <c r="N1983" s="36"/>
      <c r="O1983" s="36"/>
      <c r="P1983" s="36"/>
      <c r="Q1983" s="36"/>
      <c r="R1983" s="36"/>
      <c r="S1983" s="36"/>
    </row>
    <row r="1984">
      <c r="A1984" s="34"/>
      <c r="B1984" s="36"/>
      <c r="C1984" s="35"/>
      <c r="D1984" s="35"/>
      <c r="E1984" s="34"/>
      <c r="F1984" s="34"/>
      <c r="G1984" s="34"/>
      <c r="H1984" s="34"/>
      <c r="I1984" s="36"/>
      <c r="J1984" s="34"/>
      <c r="K1984" s="34"/>
      <c r="L1984" s="34"/>
      <c r="M1984" s="36"/>
      <c r="N1984" s="36"/>
      <c r="O1984" s="36"/>
      <c r="P1984" s="36"/>
      <c r="Q1984" s="36"/>
      <c r="R1984" s="36"/>
      <c r="S1984" s="36"/>
    </row>
    <row r="1985">
      <c r="A1985" s="34"/>
      <c r="B1985" s="36"/>
      <c r="C1985" s="35"/>
      <c r="D1985" s="35"/>
      <c r="E1985" s="34"/>
      <c r="F1985" s="34"/>
      <c r="G1985" s="34"/>
      <c r="H1985" s="34"/>
      <c r="I1985" s="34"/>
      <c r="J1985" s="34"/>
      <c r="K1985" s="34"/>
      <c r="L1985" s="34"/>
      <c r="M1985" s="36"/>
      <c r="N1985" s="36"/>
      <c r="O1985" s="36"/>
      <c r="P1985" s="36"/>
      <c r="Q1985" s="36"/>
      <c r="R1985" s="36"/>
      <c r="S1985" s="36"/>
    </row>
    <row r="1986">
      <c r="A1986" s="34"/>
      <c r="B1986" s="36"/>
      <c r="C1986" s="35"/>
      <c r="D1986" s="35"/>
      <c r="E1986" s="34"/>
      <c r="F1986" s="34"/>
      <c r="G1986" s="34"/>
      <c r="H1986" s="34"/>
      <c r="I1986" s="36"/>
      <c r="J1986" s="34"/>
      <c r="K1986" s="34"/>
      <c r="L1986" s="34"/>
      <c r="M1986" s="36"/>
      <c r="N1986" s="36"/>
      <c r="O1986" s="36"/>
      <c r="P1986" s="36"/>
      <c r="Q1986" s="36"/>
      <c r="R1986" s="36"/>
      <c r="S1986" s="36"/>
    </row>
    <row r="1987">
      <c r="A1987" s="34"/>
      <c r="B1987" s="36"/>
      <c r="C1987" s="35"/>
      <c r="D1987" s="35"/>
      <c r="E1987" s="34"/>
      <c r="F1987" s="34"/>
      <c r="G1987" s="34"/>
      <c r="H1987" s="34"/>
      <c r="I1987" s="34"/>
      <c r="J1987" s="34"/>
      <c r="K1987" s="34"/>
      <c r="L1987" s="34"/>
      <c r="M1987" s="36"/>
      <c r="N1987" s="36"/>
      <c r="O1987" s="36"/>
      <c r="P1987" s="36"/>
      <c r="Q1987" s="36"/>
      <c r="R1987" s="36"/>
      <c r="S1987" s="36"/>
    </row>
    <row r="1988">
      <c r="A1988" s="34"/>
      <c r="B1988" s="36"/>
      <c r="C1988" s="35"/>
      <c r="D1988" s="35"/>
      <c r="E1988" s="34"/>
      <c r="F1988" s="34"/>
      <c r="G1988" s="34"/>
      <c r="H1988" s="34"/>
      <c r="I1988" s="36"/>
      <c r="J1988" s="34"/>
      <c r="K1988" s="34"/>
      <c r="L1988" s="34"/>
      <c r="M1988" s="36"/>
      <c r="N1988" s="36"/>
      <c r="O1988" s="36"/>
      <c r="P1988" s="36"/>
      <c r="Q1988" s="36"/>
      <c r="R1988" s="36"/>
      <c r="S1988" s="36"/>
    </row>
    <row r="1989">
      <c r="A1989" s="34"/>
      <c r="B1989" s="34"/>
      <c r="C1989" s="35"/>
      <c r="D1989" s="35"/>
      <c r="E1989" s="34"/>
      <c r="F1989" s="34"/>
      <c r="G1989" s="34"/>
      <c r="H1989" s="34"/>
      <c r="I1989" s="34"/>
      <c r="J1989" s="34"/>
      <c r="K1989" s="34"/>
      <c r="L1989" s="34"/>
      <c r="M1989" s="36"/>
      <c r="N1989" s="36"/>
      <c r="O1989" s="36"/>
      <c r="P1989" s="36"/>
      <c r="Q1989" s="36"/>
      <c r="R1989" s="36"/>
      <c r="S1989" s="36"/>
    </row>
    <row r="1990">
      <c r="A1990" s="34"/>
      <c r="B1990" s="36"/>
      <c r="C1990" s="35"/>
      <c r="D1990" s="35"/>
      <c r="E1990" s="34"/>
      <c r="F1990" s="34"/>
      <c r="G1990" s="34"/>
      <c r="H1990" s="34"/>
      <c r="I1990" s="36"/>
      <c r="J1990" s="34"/>
      <c r="K1990" s="34"/>
      <c r="L1990" s="34"/>
      <c r="M1990" s="36"/>
      <c r="N1990" s="36"/>
      <c r="O1990" s="36"/>
      <c r="P1990" s="36"/>
      <c r="Q1990" s="36"/>
      <c r="R1990" s="36"/>
      <c r="S1990" s="36"/>
    </row>
    <row r="1991">
      <c r="A1991" s="34"/>
      <c r="B1991" s="36"/>
      <c r="C1991" s="35"/>
      <c r="D1991" s="35"/>
      <c r="E1991" s="34"/>
      <c r="F1991" s="34"/>
      <c r="G1991" s="34"/>
      <c r="H1991" s="34"/>
      <c r="I1991" s="34"/>
      <c r="J1991" s="34"/>
      <c r="K1991" s="34"/>
      <c r="L1991" s="34"/>
      <c r="M1991" s="36"/>
      <c r="N1991" s="36"/>
      <c r="O1991" s="36"/>
      <c r="P1991" s="36"/>
      <c r="Q1991" s="36"/>
      <c r="R1991" s="36"/>
      <c r="S1991" s="36"/>
    </row>
    <row r="1992">
      <c r="A1992" s="34"/>
      <c r="B1992" s="36"/>
      <c r="C1992" s="35"/>
      <c r="D1992" s="35"/>
      <c r="E1992" s="34"/>
      <c r="F1992" s="34"/>
      <c r="G1992" s="34"/>
      <c r="H1992" s="34"/>
      <c r="I1992" s="36"/>
      <c r="J1992" s="34"/>
      <c r="K1992" s="34"/>
      <c r="L1992" s="34"/>
      <c r="M1992" s="36"/>
      <c r="N1992" s="36"/>
      <c r="O1992" s="36"/>
      <c r="P1992" s="36"/>
      <c r="Q1992" s="36"/>
      <c r="R1992" s="36"/>
      <c r="S1992" s="36"/>
    </row>
    <row r="1993">
      <c r="A1993" s="34"/>
      <c r="B1993" s="36"/>
      <c r="C1993" s="35"/>
      <c r="D1993" s="35"/>
      <c r="E1993" s="34"/>
      <c r="F1993" s="34"/>
      <c r="G1993" s="34"/>
      <c r="H1993" s="34"/>
      <c r="I1993" s="34"/>
      <c r="J1993" s="34"/>
      <c r="K1993" s="34"/>
      <c r="L1993" s="34"/>
      <c r="M1993" s="36"/>
      <c r="N1993" s="36"/>
      <c r="O1993" s="36"/>
      <c r="P1993" s="36"/>
      <c r="Q1993" s="36"/>
      <c r="R1993" s="36"/>
      <c r="S1993" s="36"/>
    </row>
    <row r="1994">
      <c r="A1994" s="34"/>
      <c r="B1994" s="36"/>
      <c r="C1994" s="35"/>
      <c r="D1994" s="35"/>
      <c r="E1994" s="34"/>
      <c r="F1994" s="34"/>
      <c r="G1994" s="34"/>
      <c r="H1994" s="34"/>
      <c r="I1994" s="36"/>
      <c r="J1994" s="34"/>
      <c r="K1994" s="34"/>
      <c r="L1994" s="34"/>
      <c r="M1994" s="36"/>
      <c r="N1994" s="36"/>
      <c r="O1994" s="36"/>
      <c r="P1994" s="36"/>
      <c r="Q1994" s="36"/>
      <c r="R1994" s="36"/>
      <c r="S1994" s="36"/>
    </row>
    <row r="1995">
      <c r="A1995" s="34"/>
      <c r="B1995" s="34"/>
      <c r="C1995" s="35"/>
      <c r="D1995" s="35"/>
      <c r="E1995" s="34"/>
      <c r="F1995" s="34"/>
      <c r="G1995" s="34"/>
      <c r="H1995" s="34"/>
      <c r="I1995" s="34"/>
      <c r="J1995" s="34"/>
      <c r="K1995" s="34"/>
      <c r="L1995" s="34"/>
      <c r="M1995" s="36"/>
      <c r="N1995" s="36"/>
      <c r="O1995" s="36"/>
      <c r="P1995" s="36"/>
      <c r="Q1995" s="36"/>
      <c r="R1995" s="36"/>
      <c r="S1995" s="36"/>
    </row>
    <row r="1996">
      <c r="A1996" s="34"/>
      <c r="B1996" s="36"/>
      <c r="C1996" s="35"/>
      <c r="D1996" s="35"/>
      <c r="E1996" s="34"/>
      <c r="F1996" s="34"/>
      <c r="G1996" s="34"/>
      <c r="H1996" s="34"/>
      <c r="I1996" s="36"/>
      <c r="J1996" s="34"/>
      <c r="K1996" s="34"/>
      <c r="L1996" s="34"/>
      <c r="M1996" s="36"/>
      <c r="N1996" s="36"/>
      <c r="O1996" s="36"/>
      <c r="P1996" s="36"/>
      <c r="Q1996" s="36"/>
      <c r="R1996" s="36"/>
      <c r="S1996" s="36"/>
    </row>
    <row r="1997">
      <c r="A1997" s="34"/>
      <c r="B1997" s="36"/>
      <c r="C1997" s="35"/>
      <c r="D1997" s="35"/>
      <c r="E1997" s="34"/>
      <c r="F1997" s="34"/>
      <c r="G1997" s="34"/>
      <c r="H1997" s="34"/>
      <c r="I1997" s="36"/>
      <c r="J1997" s="34"/>
      <c r="K1997" s="34"/>
      <c r="L1997" s="34"/>
      <c r="M1997" s="36"/>
      <c r="N1997" s="36"/>
      <c r="O1997" s="36"/>
      <c r="P1997" s="36"/>
      <c r="Q1997" s="36"/>
      <c r="R1997" s="36"/>
      <c r="S1997" s="36"/>
    </row>
    <row r="1998">
      <c r="A1998" s="34"/>
      <c r="B1998" s="34"/>
      <c r="C1998" s="35"/>
      <c r="D1998" s="35"/>
      <c r="E1998" s="34"/>
      <c r="F1998" s="34"/>
      <c r="G1998" s="34"/>
      <c r="H1998" s="34"/>
      <c r="I1998" s="34"/>
      <c r="J1998" s="34"/>
      <c r="K1998" s="34"/>
      <c r="L1998" s="34"/>
      <c r="M1998" s="36"/>
      <c r="N1998" s="36"/>
      <c r="O1998" s="36"/>
      <c r="P1998" s="36"/>
      <c r="Q1998" s="36"/>
      <c r="R1998" s="36"/>
      <c r="S1998" s="36"/>
    </row>
    <row r="1999">
      <c r="A1999" s="34"/>
      <c r="B1999" s="36"/>
      <c r="C1999" s="35"/>
      <c r="D1999" s="35"/>
      <c r="E1999" s="34"/>
      <c r="F1999" s="34"/>
      <c r="G1999" s="34"/>
      <c r="H1999" s="34"/>
      <c r="I1999" s="36"/>
      <c r="J1999" s="34"/>
      <c r="K1999" s="34"/>
      <c r="L1999" s="34"/>
      <c r="M1999" s="36"/>
      <c r="N1999" s="36"/>
      <c r="O1999" s="36"/>
      <c r="P1999" s="36"/>
      <c r="Q1999" s="36"/>
      <c r="R1999" s="36"/>
      <c r="S1999" s="36"/>
    </row>
    <row r="2000">
      <c r="A2000" s="34"/>
      <c r="B2000" s="36"/>
      <c r="C2000" s="35"/>
      <c r="D2000" s="35"/>
      <c r="E2000" s="34"/>
      <c r="F2000" s="34"/>
      <c r="G2000" s="34"/>
      <c r="H2000" s="34"/>
      <c r="I2000" s="34"/>
      <c r="J2000" s="34"/>
      <c r="K2000" s="34"/>
      <c r="L2000" s="34"/>
      <c r="M2000" s="36"/>
      <c r="N2000" s="36"/>
      <c r="O2000" s="36"/>
      <c r="P2000" s="36"/>
      <c r="Q2000" s="36"/>
      <c r="R2000" s="36"/>
      <c r="S2000" s="36"/>
    </row>
    <row r="2001">
      <c r="A2001" s="34"/>
      <c r="B2001" s="36"/>
      <c r="C2001" s="35"/>
      <c r="D2001" s="35"/>
      <c r="E2001" s="34"/>
      <c r="F2001" s="34"/>
      <c r="G2001" s="34"/>
      <c r="H2001" s="34"/>
      <c r="I2001" s="36"/>
      <c r="J2001" s="34"/>
      <c r="K2001" s="34"/>
      <c r="L2001" s="34"/>
      <c r="M2001" s="36"/>
      <c r="N2001" s="36"/>
      <c r="O2001" s="36"/>
      <c r="P2001" s="36"/>
      <c r="Q2001" s="36"/>
      <c r="R2001" s="36"/>
      <c r="S2001" s="36"/>
    </row>
    <row r="2002">
      <c r="A2002" s="34"/>
      <c r="B2002" s="34"/>
      <c r="C2002" s="35"/>
      <c r="D2002" s="35"/>
      <c r="E2002" s="34"/>
      <c r="F2002" s="34"/>
      <c r="G2002" s="34"/>
      <c r="H2002" s="34"/>
      <c r="I2002" s="34"/>
      <c r="J2002" s="34"/>
      <c r="K2002" s="34"/>
      <c r="L2002" s="34"/>
      <c r="M2002" s="36"/>
      <c r="N2002" s="36"/>
      <c r="O2002" s="36"/>
      <c r="P2002" s="36"/>
      <c r="Q2002" s="36"/>
      <c r="R2002" s="36"/>
      <c r="S2002" s="36"/>
    </row>
    <row r="2003">
      <c r="A2003" s="34"/>
      <c r="B2003" s="36"/>
      <c r="C2003" s="35"/>
      <c r="D2003" s="35"/>
      <c r="E2003" s="34"/>
      <c r="F2003" s="34"/>
      <c r="G2003" s="34"/>
      <c r="H2003" s="34"/>
      <c r="I2003" s="36"/>
      <c r="J2003" s="34"/>
      <c r="K2003" s="34"/>
      <c r="L2003" s="34"/>
      <c r="M2003" s="36"/>
      <c r="N2003" s="36"/>
      <c r="O2003" s="36"/>
      <c r="P2003" s="36"/>
      <c r="Q2003" s="36"/>
      <c r="R2003" s="36"/>
      <c r="S2003" s="36"/>
    </row>
    <row r="2004">
      <c r="A2004" s="34"/>
      <c r="B2004" s="36"/>
      <c r="C2004" s="35"/>
      <c r="D2004" s="35"/>
      <c r="E2004" s="34"/>
      <c r="F2004" s="34"/>
      <c r="G2004" s="34"/>
      <c r="H2004" s="34"/>
      <c r="I2004" s="36"/>
      <c r="J2004" s="34"/>
      <c r="K2004" s="34"/>
      <c r="L2004" s="34"/>
      <c r="M2004" s="36"/>
      <c r="N2004" s="36"/>
      <c r="O2004" s="36"/>
      <c r="P2004" s="36"/>
      <c r="Q2004" s="36"/>
      <c r="R2004" s="36"/>
      <c r="S2004" s="36"/>
    </row>
    <row r="2005">
      <c r="A2005" s="34"/>
      <c r="B2005" s="36"/>
      <c r="C2005" s="35"/>
      <c r="D2005" s="35"/>
      <c r="E2005" s="34"/>
      <c r="F2005" s="34"/>
      <c r="G2005" s="34"/>
      <c r="H2005" s="34"/>
      <c r="I2005" s="36"/>
      <c r="J2005" s="34"/>
      <c r="K2005" s="34"/>
      <c r="L2005" s="34"/>
      <c r="M2005" s="36"/>
      <c r="N2005" s="36"/>
      <c r="O2005" s="36"/>
      <c r="P2005" s="36"/>
      <c r="Q2005" s="36"/>
      <c r="R2005" s="36"/>
      <c r="S2005" s="36"/>
    </row>
    <row r="2006">
      <c r="A2006" s="34"/>
      <c r="B2006" s="34"/>
      <c r="C2006" s="35"/>
      <c r="D2006" s="35"/>
      <c r="E2006" s="34"/>
      <c r="F2006" s="34"/>
      <c r="G2006" s="34"/>
      <c r="H2006" s="34"/>
      <c r="I2006" s="34"/>
      <c r="J2006" s="34"/>
      <c r="K2006" s="34"/>
      <c r="L2006" s="34"/>
      <c r="M2006" s="36"/>
      <c r="N2006" s="36"/>
      <c r="O2006" s="36"/>
      <c r="P2006" s="36"/>
      <c r="Q2006" s="36"/>
      <c r="R2006" s="36"/>
      <c r="S2006" s="36"/>
    </row>
    <row r="2007">
      <c r="A2007" s="34"/>
      <c r="B2007" s="36"/>
      <c r="C2007" s="35"/>
      <c r="D2007" s="35"/>
      <c r="E2007" s="34"/>
      <c r="F2007" s="34"/>
      <c r="G2007" s="34"/>
      <c r="H2007" s="34"/>
      <c r="I2007" s="34"/>
      <c r="J2007" s="34"/>
      <c r="K2007" s="34"/>
      <c r="L2007" s="34"/>
      <c r="M2007" s="36"/>
      <c r="N2007" s="36"/>
      <c r="O2007" s="36"/>
      <c r="P2007" s="36"/>
      <c r="Q2007" s="36"/>
      <c r="R2007" s="36"/>
      <c r="S2007" s="36"/>
    </row>
    <row r="2008">
      <c r="A2008" s="34"/>
      <c r="B2008" s="36"/>
      <c r="C2008" s="35"/>
      <c r="D2008" s="35"/>
      <c r="E2008" s="34"/>
      <c r="F2008" s="34"/>
      <c r="G2008" s="34"/>
      <c r="H2008" s="34"/>
      <c r="I2008" s="36"/>
      <c r="J2008" s="34"/>
      <c r="K2008" s="34"/>
      <c r="L2008" s="34"/>
      <c r="M2008" s="36"/>
      <c r="N2008" s="36"/>
      <c r="O2008" s="36"/>
      <c r="P2008" s="36"/>
      <c r="Q2008" s="36"/>
      <c r="R2008" s="36"/>
      <c r="S2008" s="36"/>
    </row>
    <row r="2009">
      <c r="A2009" s="34"/>
      <c r="B2009" s="36"/>
      <c r="C2009" s="35"/>
      <c r="D2009" s="35"/>
      <c r="E2009" s="34"/>
      <c r="F2009" s="34"/>
      <c r="G2009" s="34"/>
      <c r="H2009" s="34"/>
      <c r="I2009" s="36"/>
      <c r="J2009" s="34"/>
      <c r="K2009" s="34"/>
      <c r="L2009" s="34"/>
      <c r="M2009" s="36"/>
      <c r="N2009" s="36"/>
      <c r="O2009" s="36"/>
      <c r="P2009" s="36"/>
      <c r="Q2009" s="36"/>
      <c r="R2009" s="36"/>
      <c r="S2009" s="36"/>
    </row>
    <row r="2010">
      <c r="A2010" s="34"/>
      <c r="B2010" s="36"/>
      <c r="C2010" s="35"/>
      <c r="D2010" s="35"/>
      <c r="E2010" s="34"/>
      <c r="F2010" s="34"/>
      <c r="G2010" s="34"/>
      <c r="H2010" s="34"/>
      <c r="I2010" s="36"/>
      <c r="J2010" s="34"/>
      <c r="K2010" s="34"/>
      <c r="L2010" s="34"/>
      <c r="M2010" s="36"/>
      <c r="N2010" s="36"/>
      <c r="O2010" s="36"/>
      <c r="P2010" s="36"/>
      <c r="Q2010" s="36"/>
      <c r="R2010" s="36"/>
      <c r="S2010" s="36"/>
    </row>
    <row r="2011">
      <c r="A2011" s="34"/>
      <c r="B2011" s="36"/>
      <c r="C2011" s="35"/>
      <c r="D2011" s="35"/>
      <c r="E2011" s="34"/>
      <c r="F2011" s="34"/>
      <c r="G2011" s="34"/>
      <c r="H2011" s="34"/>
      <c r="I2011" s="36"/>
      <c r="J2011" s="34"/>
      <c r="K2011" s="34"/>
      <c r="L2011" s="34"/>
      <c r="M2011" s="36"/>
      <c r="N2011" s="36"/>
      <c r="O2011" s="36"/>
      <c r="P2011" s="36"/>
      <c r="Q2011" s="36"/>
      <c r="R2011" s="36"/>
      <c r="S2011" s="36"/>
    </row>
    <row r="2012">
      <c r="A2012" s="34"/>
      <c r="B2012" s="36"/>
      <c r="C2012" s="35"/>
      <c r="D2012" s="35"/>
      <c r="E2012" s="34"/>
      <c r="F2012" s="34"/>
      <c r="G2012" s="34"/>
      <c r="H2012" s="34"/>
      <c r="I2012" s="36"/>
      <c r="J2012" s="34"/>
      <c r="K2012" s="34"/>
      <c r="L2012" s="34"/>
      <c r="M2012" s="36"/>
      <c r="N2012" s="36"/>
      <c r="O2012" s="36"/>
      <c r="P2012" s="36"/>
      <c r="Q2012" s="36"/>
      <c r="R2012" s="36"/>
      <c r="S2012" s="36"/>
    </row>
    <row r="2013">
      <c r="A2013" s="34"/>
      <c r="B2013" s="36"/>
      <c r="C2013" s="35"/>
      <c r="D2013" s="35"/>
      <c r="E2013" s="34"/>
      <c r="F2013" s="34"/>
      <c r="G2013" s="34"/>
      <c r="H2013" s="34"/>
      <c r="I2013" s="36"/>
      <c r="J2013" s="34"/>
      <c r="K2013" s="34"/>
      <c r="L2013" s="34"/>
      <c r="M2013" s="36"/>
      <c r="N2013" s="36"/>
      <c r="O2013" s="36"/>
      <c r="P2013" s="36"/>
      <c r="Q2013" s="36"/>
      <c r="R2013" s="36"/>
      <c r="S2013" s="36"/>
    </row>
    <row r="2014">
      <c r="A2014" s="34"/>
      <c r="B2014" s="36"/>
      <c r="C2014" s="35"/>
      <c r="D2014" s="35"/>
      <c r="E2014" s="34"/>
      <c r="F2014" s="34"/>
      <c r="G2014" s="34"/>
      <c r="H2014" s="34"/>
      <c r="I2014" s="36"/>
      <c r="J2014" s="34"/>
      <c r="K2014" s="34"/>
      <c r="L2014" s="34"/>
      <c r="M2014" s="36"/>
      <c r="N2014" s="36"/>
      <c r="O2014" s="36"/>
      <c r="P2014" s="36"/>
      <c r="Q2014" s="36"/>
      <c r="R2014" s="36"/>
      <c r="S2014" s="36"/>
    </row>
    <row r="2015">
      <c r="A2015" s="34"/>
      <c r="B2015" s="36"/>
      <c r="C2015" s="35"/>
      <c r="D2015" s="35"/>
      <c r="E2015" s="34"/>
      <c r="F2015" s="34"/>
      <c r="G2015" s="34"/>
      <c r="H2015" s="34"/>
      <c r="I2015" s="34"/>
      <c r="J2015" s="34"/>
      <c r="K2015" s="34"/>
      <c r="L2015" s="34"/>
      <c r="M2015" s="36"/>
      <c r="N2015" s="36"/>
      <c r="O2015" s="36"/>
      <c r="P2015" s="36"/>
      <c r="Q2015" s="36"/>
      <c r="R2015" s="36"/>
      <c r="S2015" s="36"/>
    </row>
    <row r="2016">
      <c r="A2016" s="34"/>
      <c r="B2016" s="36"/>
      <c r="C2016" s="35"/>
      <c r="D2016" s="35"/>
      <c r="E2016" s="34"/>
      <c r="F2016" s="34"/>
      <c r="G2016" s="34"/>
      <c r="H2016" s="34"/>
      <c r="I2016" s="36"/>
      <c r="J2016" s="34"/>
      <c r="K2016" s="34"/>
      <c r="L2016" s="34"/>
      <c r="M2016" s="36"/>
      <c r="N2016" s="36"/>
      <c r="O2016" s="36"/>
      <c r="P2016" s="36"/>
      <c r="Q2016" s="36"/>
      <c r="R2016" s="36"/>
      <c r="S2016" s="36"/>
    </row>
    <row r="2017">
      <c r="A2017" s="34"/>
      <c r="B2017" s="36"/>
      <c r="C2017" s="35"/>
      <c r="D2017" s="35"/>
      <c r="E2017" s="34"/>
      <c r="F2017" s="34"/>
      <c r="G2017" s="34"/>
      <c r="H2017" s="34"/>
      <c r="I2017" s="36"/>
      <c r="J2017" s="34"/>
      <c r="K2017" s="34"/>
      <c r="L2017" s="34"/>
      <c r="M2017" s="36"/>
      <c r="N2017" s="36"/>
      <c r="O2017" s="36"/>
      <c r="P2017" s="36"/>
      <c r="Q2017" s="36"/>
      <c r="R2017" s="36"/>
      <c r="S2017" s="36"/>
    </row>
    <row r="2018">
      <c r="A2018" s="34"/>
      <c r="B2018" s="36"/>
      <c r="C2018" s="35"/>
      <c r="D2018" s="35"/>
      <c r="E2018" s="34"/>
      <c r="F2018" s="34"/>
      <c r="G2018" s="34"/>
      <c r="H2018" s="34"/>
      <c r="I2018" s="36"/>
      <c r="J2018" s="34"/>
      <c r="K2018" s="34"/>
      <c r="L2018" s="34"/>
      <c r="M2018" s="36"/>
      <c r="N2018" s="36"/>
      <c r="O2018" s="36"/>
      <c r="P2018" s="36"/>
      <c r="Q2018" s="36"/>
      <c r="R2018" s="36"/>
      <c r="S2018" s="36"/>
    </row>
    <row r="2019">
      <c r="A2019" s="34"/>
      <c r="B2019" s="36"/>
      <c r="C2019" s="35"/>
      <c r="D2019" s="35"/>
      <c r="E2019" s="34"/>
      <c r="F2019" s="34"/>
      <c r="G2019" s="34"/>
      <c r="H2019" s="34"/>
      <c r="I2019" s="36"/>
      <c r="J2019" s="34"/>
      <c r="K2019" s="34"/>
      <c r="L2019" s="34"/>
      <c r="M2019" s="36"/>
      <c r="N2019" s="36"/>
      <c r="O2019" s="36"/>
      <c r="P2019" s="36"/>
      <c r="Q2019" s="36"/>
      <c r="R2019" s="36"/>
      <c r="S2019" s="36"/>
    </row>
    <row r="2020">
      <c r="A2020" s="34"/>
      <c r="B2020" s="34"/>
      <c r="C2020" s="35"/>
      <c r="D2020" s="35"/>
      <c r="E2020" s="34"/>
      <c r="F2020" s="34"/>
      <c r="G2020" s="34"/>
      <c r="H2020" s="34"/>
      <c r="I2020" s="34"/>
      <c r="J2020" s="34"/>
      <c r="K2020" s="34"/>
      <c r="L2020" s="34"/>
      <c r="M2020" s="36"/>
      <c r="N2020" s="36"/>
      <c r="O2020" s="36"/>
      <c r="P2020" s="36"/>
      <c r="Q2020" s="36"/>
      <c r="R2020" s="36"/>
      <c r="S2020" s="36"/>
    </row>
    <row r="2021">
      <c r="A2021" s="34"/>
      <c r="B2021" s="36"/>
      <c r="C2021" s="35"/>
      <c r="D2021" s="35"/>
      <c r="E2021" s="34"/>
      <c r="F2021" s="34"/>
      <c r="G2021" s="34"/>
      <c r="H2021" s="34"/>
      <c r="I2021" s="36"/>
      <c r="J2021" s="34"/>
      <c r="K2021" s="34"/>
      <c r="L2021" s="34"/>
      <c r="M2021" s="36"/>
      <c r="N2021" s="36"/>
      <c r="O2021" s="36"/>
      <c r="P2021" s="36"/>
      <c r="Q2021" s="36"/>
      <c r="R2021" s="36"/>
      <c r="S2021" s="36"/>
    </row>
    <row r="2022">
      <c r="A2022" s="34"/>
      <c r="B2022" s="36"/>
      <c r="C2022" s="35"/>
      <c r="D2022" s="35"/>
      <c r="E2022" s="34"/>
      <c r="F2022" s="34"/>
      <c r="G2022" s="34"/>
      <c r="H2022" s="34"/>
      <c r="I2022" s="36"/>
      <c r="J2022" s="34"/>
      <c r="K2022" s="34"/>
      <c r="L2022" s="34"/>
      <c r="M2022" s="36"/>
      <c r="N2022" s="36"/>
      <c r="O2022" s="36"/>
      <c r="P2022" s="36"/>
      <c r="Q2022" s="36"/>
      <c r="R2022" s="36"/>
      <c r="S2022" s="36"/>
    </row>
    <row r="2023">
      <c r="A2023" s="34"/>
      <c r="B2023" s="36"/>
      <c r="C2023" s="35"/>
      <c r="D2023" s="35"/>
      <c r="E2023" s="34"/>
      <c r="F2023" s="34"/>
      <c r="G2023" s="34"/>
      <c r="H2023" s="34"/>
      <c r="I2023" s="36"/>
      <c r="J2023" s="34"/>
      <c r="K2023" s="34"/>
      <c r="L2023" s="34"/>
      <c r="M2023" s="36"/>
      <c r="N2023" s="36"/>
      <c r="O2023" s="36"/>
      <c r="P2023" s="36"/>
      <c r="Q2023" s="36"/>
      <c r="R2023" s="36"/>
      <c r="S2023" s="36"/>
    </row>
    <row r="2024">
      <c r="A2024" s="34"/>
      <c r="B2024" s="34"/>
      <c r="C2024" s="35"/>
      <c r="D2024" s="35"/>
      <c r="E2024" s="34"/>
      <c r="F2024" s="34"/>
      <c r="G2024" s="34"/>
      <c r="H2024" s="34"/>
      <c r="I2024" s="34"/>
      <c r="J2024" s="34"/>
      <c r="K2024" s="34"/>
      <c r="L2024" s="34"/>
      <c r="M2024" s="36"/>
      <c r="N2024" s="36"/>
      <c r="O2024" s="36"/>
      <c r="P2024" s="36"/>
      <c r="Q2024" s="36"/>
      <c r="R2024" s="36"/>
      <c r="S2024" s="36"/>
    </row>
    <row r="2025">
      <c r="A2025" s="34"/>
      <c r="B2025" s="36"/>
      <c r="C2025" s="35"/>
      <c r="D2025" s="35"/>
      <c r="E2025" s="34"/>
      <c r="F2025" s="34"/>
      <c r="G2025" s="34"/>
      <c r="H2025" s="34"/>
      <c r="I2025" s="36"/>
      <c r="J2025" s="34"/>
      <c r="K2025" s="34"/>
      <c r="L2025" s="34"/>
      <c r="M2025" s="36"/>
      <c r="N2025" s="36"/>
      <c r="O2025" s="36"/>
      <c r="P2025" s="36"/>
      <c r="Q2025" s="36"/>
      <c r="R2025" s="36"/>
      <c r="S2025" s="36"/>
    </row>
    <row r="2026">
      <c r="A2026" s="34"/>
      <c r="B2026" s="34"/>
      <c r="C2026" s="35"/>
      <c r="D2026" s="35"/>
      <c r="E2026" s="34"/>
      <c r="F2026" s="34"/>
      <c r="G2026" s="34"/>
      <c r="H2026" s="34"/>
      <c r="I2026" s="34"/>
      <c r="J2026" s="34"/>
      <c r="K2026" s="34"/>
      <c r="L2026" s="34"/>
      <c r="M2026" s="36"/>
      <c r="N2026" s="36"/>
      <c r="O2026" s="36"/>
      <c r="P2026" s="36"/>
      <c r="Q2026" s="36"/>
      <c r="R2026" s="36"/>
      <c r="S2026" s="36"/>
    </row>
    <row r="2027">
      <c r="A2027" s="34"/>
      <c r="B2027" s="36"/>
      <c r="C2027" s="35"/>
      <c r="D2027" s="35"/>
      <c r="E2027" s="34"/>
      <c r="F2027" s="34"/>
      <c r="G2027" s="34"/>
      <c r="H2027" s="34"/>
      <c r="I2027" s="36"/>
      <c r="J2027" s="34"/>
      <c r="K2027" s="34"/>
      <c r="L2027" s="34"/>
      <c r="M2027" s="36"/>
      <c r="N2027" s="36"/>
      <c r="O2027" s="36"/>
      <c r="P2027" s="36"/>
      <c r="Q2027" s="36"/>
      <c r="R2027" s="36"/>
      <c r="S2027" s="36"/>
    </row>
    <row r="2028">
      <c r="A2028" s="34"/>
      <c r="B2028" s="36"/>
      <c r="C2028" s="35"/>
      <c r="D2028" s="35"/>
      <c r="E2028" s="34"/>
      <c r="F2028" s="34"/>
      <c r="G2028" s="34"/>
      <c r="H2028" s="34"/>
      <c r="I2028" s="36"/>
      <c r="J2028" s="34"/>
      <c r="K2028" s="34"/>
      <c r="L2028" s="34"/>
      <c r="M2028" s="36"/>
      <c r="N2028" s="36"/>
      <c r="O2028" s="36"/>
      <c r="P2028" s="36"/>
      <c r="Q2028" s="36"/>
      <c r="R2028" s="36"/>
      <c r="S2028" s="36"/>
    </row>
    <row r="2029">
      <c r="A2029" s="34"/>
      <c r="B2029" s="34"/>
      <c r="C2029" s="35"/>
      <c r="D2029" s="35"/>
      <c r="E2029" s="34"/>
      <c r="F2029" s="34"/>
      <c r="G2029" s="34"/>
      <c r="H2029" s="34"/>
      <c r="I2029" s="34"/>
      <c r="J2029" s="34"/>
      <c r="K2029" s="34"/>
      <c r="L2029" s="34"/>
      <c r="M2029" s="36"/>
      <c r="N2029" s="36"/>
      <c r="O2029" s="36"/>
      <c r="P2029" s="36"/>
      <c r="Q2029" s="36"/>
      <c r="R2029" s="36"/>
      <c r="S2029" s="36"/>
    </row>
    <row r="2030">
      <c r="A2030" s="34"/>
      <c r="B2030" s="36"/>
      <c r="C2030" s="35"/>
      <c r="D2030" s="35"/>
      <c r="E2030" s="34"/>
      <c r="F2030" s="34"/>
      <c r="G2030" s="34"/>
      <c r="H2030" s="34"/>
      <c r="I2030" s="34"/>
      <c r="J2030" s="34"/>
      <c r="K2030" s="34"/>
      <c r="L2030" s="34"/>
      <c r="M2030" s="36"/>
      <c r="N2030" s="36"/>
      <c r="O2030" s="36"/>
      <c r="P2030" s="36"/>
      <c r="Q2030" s="36"/>
      <c r="R2030" s="36"/>
      <c r="S2030" s="36"/>
    </row>
    <row r="2031">
      <c r="A2031" s="34"/>
      <c r="B2031" s="36"/>
      <c r="C2031" s="35"/>
      <c r="D2031" s="35"/>
      <c r="E2031" s="34"/>
      <c r="F2031" s="34"/>
      <c r="G2031" s="34"/>
      <c r="H2031" s="34"/>
      <c r="I2031" s="36"/>
      <c r="J2031" s="34"/>
      <c r="K2031" s="34"/>
      <c r="L2031" s="34"/>
      <c r="M2031" s="36"/>
      <c r="N2031" s="36"/>
      <c r="O2031" s="36"/>
      <c r="P2031" s="36"/>
      <c r="Q2031" s="36"/>
      <c r="R2031" s="36"/>
      <c r="S2031" s="36"/>
    </row>
    <row r="2032">
      <c r="A2032" s="34"/>
      <c r="B2032" s="34"/>
      <c r="C2032" s="35"/>
      <c r="D2032" s="35"/>
      <c r="E2032" s="34"/>
      <c r="F2032" s="34"/>
      <c r="G2032" s="34"/>
      <c r="H2032" s="34"/>
      <c r="I2032" s="34"/>
      <c r="J2032" s="34"/>
      <c r="K2032" s="34"/>
      <c r="L2032" s="34"/>
      <c r="M2032" s="36"/>
      <c r="N2032" s="36"/>
      <c r="O2032" s="36"/>
      <c r="P2032" s="36"/>
      <c r="Q2032" s="36"/>
      <c r="R2032" s="36"/>
      <c r="S2032" s="36"/>
    </row>
    <row r="2033">
      <c r="A2033" s="34"/>
      <c r="B2033" s="36"/>
      <c r="C2033" s="35"/>
      <c r="D2033" s="35"/>
      <c r="E2033" s="34"/>
      <c r="F2033" s="34"/>
      <c r="G2033" s="34"/>
      <c r="H2033" s="34"/>
      <c r="I2033" s="36"/>
      <c r="J2033" s="34"/>
      <c r="K2033" s="34"/>
      <c r="L2033" s="34"/>
      <c r="M2033" s="36"/>
      <c r="N2033" s="36"/>
      <c r="O2033" s="36"/>
      <c r="P2033" s="36"/>
      <c r="Q2033" s="36"/>
      <c r="R2033" s="36"/>
      <c r="S2033" s="36"/>
    </row>
    <row r="2034">
      <c r="A2034" s="34"/>
      <c r="B2034" s="36"/>
      <c r="C2034" s="35"/>
      <c r="D2034" s="35"/>
      <c r="E2034" s="34"/>
      <c r="F2034" s="34"/>
      <c r="G2034" s="34"/>
      <c r="H2034" s="34"/>
      <c r="I2034" s="34"/>
      <c r="J2034" s="34"/>
      <c r="K2034" s="34"/>
      <c r="L2034" s="34"/>
      <c r="M2034" s="36"/>
      <c r="N2034" s="36"/>
      <c r="O2034" s="36"/>
      <c r="P2034" s="36"/>
      <c r="Q2034" s="36"/>
      <c r="R2034" s="36"/>
      <c r="S2034" s="36"/>
    </row>
    <row r="2035">
      <c r="A2035" s="34"/>
      <c r="B2035" s="34"/>
      <c r="C2035" s="35"/>
      <c r="D2035" s="35"/>
      <c r="E2035" s="34"/>
      <c r="F2035" s="34"/>
      <c r="G2035" s="34"/>
      <c r="H2035" s="34"/>
      <c r="I2035" s="34"/>
      <c r="J2035" s="34"/>
      <c r="K2035" s="34"/>
      <c r="L2035" s="34"/>
      <c r="M2035" s="36"/>
      <c r="N2035" s="36"/>
      <c r="O2035" s="36"/>
      <c r="P2035" s="36"/>
      <c r="Q2035" s="36"/>
      <c r="R2035" s="36"/>
      <c r="S2035" s="36"/>
    </row>
    <row r="2036">
      <c r="A2036" s="34"/>
      <c r="B2036" s="36"/>
      <c r="C2036" s="35"/>
      <c r="D2036" s="35"/>
      <c r="E2036" s="34"/>
      <c r="F2036" s="34"/>
      <c r="G2036" s="34"/>
      <c r="H2036" s="34"/>
      <c r="I2036" s="36"/>
      <c r="J2036" s="34"/>
      <c r="K2036" s="34"/>
      <c r="L2036" s="34"/>
      <c r="M2036" s="36"/>
      <c r="N2036" s="36"/>
      <c r="O2036" s="36"/>
      <c r="P2036" s="36"/>
      <c r="Q2036" s="36"/>
      <c r="R2036" s="36"/>
      <c r="S2036" s="36"/>
    </row>
    <row r="2037">
      <c r="A2037" s="34"/>
      <c r="B2037" s="34"/>
      <c r="C2037" s="35"/>
      <c r="D2037" s="35"/>
      <c r="E2037" s="34"/>
      <c r="F2037" s="34"/>
      <c r="G2037" s="34"/>
      <c r="H2037" s="34"/>
      <c r="I2037" s="34"/>
      <c r="J2037" s="34"/>
      <c r="K2037" s="34"/>
      <c r="L2037" s="34"/>
      <c r="M2037" s="36"/>
      <c r="N2037" s="36"/>
      <c r="O2037" s="36"/>
      <c r="P2037" s="36"/>
      <c r="Q2037" s="36"/>
      <c r="R2037" s="36"/>
      <c r="S2037" s="36"/>
    </row>
    <row r="2038">
      <c r="A2038" s="34"/>
      <c r="B2038" s="36"/>
      <c r="C2038" s="35"/>
      <c r="D2038" s="35"/>
      <c r="E2038" s="34"/>
      <c r="F2038" s="34"/>
      <c r="G2038" s="34"/>
      <c r="H2038" s="34"/>
      <c r="I2038" s="36"/>
      <c r="J2038" s="34"/>
      <c r="K2038" s="34"/>
      <c r="L2038" s="34"/>
      <c r="M2038" s="36"/>
      <c r="N2038" s="36"/>
      <c r="O2038" s="36"/>
      <c r="P2038" s="36"/>
      <c r="Q2038" s="36"/>
      <c r="R2038" s="36"/>
      <c r="S2038" s="36"/>
    </row>
    <row r="2039">
      <c r="A2039" s="34"/>
      <c r="B2039" s="36"/>
      <c r="C2039" s="35"/>
      <c r="D2039" s="35"/>
      <c r="E2039" s="34"/>
      <c r="F2039" s="34"/>
      <c r="G2039" s="34"/>
      <c r="H2039" s="34"/>
      <c r="I2039" s="36"/>
      <c r="J2039" s="34"/>
      <c r="K2039" s="34"/>
      <c r="L2039" s="34"/>
      <c r="M2039" s="36"/>
      <c r="N2039" s="36"/>
      <c r="O2039" s="36"/>
      <c r="P2039" s="36"/>
      <c r="Q2039" s="36"/>
      <c r="R2039" s="36"/>
      <c r="S2039" s="36"/>
    </row>
    <row r="2040">
      <c r="A2040" s="34"/>
      <c r="B2040" s="34"/>
      <c r="C2040" s="35"/>
      <c r="D2040" s="35"/>
      <c r="E2040" s="34"/>
      <c r="F2040" s="34"/>
      <c r="G2040" s="34"/>
      <c r="H2040" s="34"/>
      <c r="I2040" s="34"/>
      <c r="J2040" s="34"/>
      <c r="K2040" s="34"/>
      <c r="L2040" s="34"/>
      <c r="M2040" s="36"/>
      <c r="N2040" s="36"/>
      <c r="O2040" s="36"/>
      <c r="P2040" s="36"/>
      <c r="Q2040" s="36"/>
      <c r="R2040" s="36"/>
      <c r="S2040" s="36"/>
    </row>
    <row r="2041">
      <c r="A2041" s="34"/>
      <c r="B2041" s="36"/>
      <c r="C2041" s="35"/>
      <c r="D2041" s="35"/>
      <c r="E2041" s="34"/>
      <c r="F2041" s="34"/>
      <c r="G2041" s="34"/>
      <c r="H2041" s="34"/>
      <c r="I2041" s="36"/>
      <c r="J2041" s="34"/>
      <c r="K2041" s="34"/>
      <c r="L2041" s="34"/>
      <c r="M2041" s="36"/>
      <c r="N2041" s="36"/>
      <c r="O2041" s="36"/>
      <c r="P2041" s="36"/>
      <c r="Q2041" s="36"/>
      <c r="R2041" s="36"/>
      <c r="S2041" s="36"/>
    </row>
    <row r="2042">
      <c r="A2042" s="34"/>
      <c r="B2042" s="34"/>
      <c r="C2042" s="35"/>
      <c r="D2042" s="35"/>
      <c r="E2042" s="34"/>
      <c r="F2042" s="34"/>
      <c r="G2042" s="34"/>
      <c r="H2042" s="34"/>
      <c r="I2042" s="34"/>
      <c r="J2042" s="34"/>
      <c r="K2042" s="34"/>
      <c r="L2042" s="34"/>
      <c r="M2042" s="36"/>
      <c r="N2042" s="36"/>
      <c r="O2042" s="36"/>
      <c r="P2042" s="36"/>
      <c r="Q2042" s="36"/>
      <c r="R2042" s="36"/>
      <c r="S2042" s="36"/>
    </row>
    <row r="2043">
      <c r="A2043" s="34"/>
      <c r="B2043" s="36"/>
      <c r="C2043" s="35"/>
      <c r="D2043" s="35"/>
      <c r="E2043" s="34"/>
      <c r="F2043" s="34"/>
      <c r="G2043" s="34"/>
      <c r="H2043" s="34"/>
      <c r="I2043" s="36"/>
      <c r="J2043" s="34"/>
      <c r="K2043" s="34"/>
      <c r="L2043" s="34"/>
      <c r="M2043" s="36"/>
      <c r="N2043" s="36"/>
      <c r="O2043" s="36"/>
      <c r="P2043" s="36"/>
      <c r="Q2043" s="36"/>
      <c r="R2043" s="36"/>
      <c r="S2043" s="36"/>
    </row>
    <row r="2044">
      <c r="A2044" s="34"/>
      <c r="B2044" s="36"/>
      <c r="C2044" s="35"/>
      <c r="D2044" s="35"/>
      <c r="E2044" s="34"/>
      <c r="F2044" s="34"/>
      <c r="G2044" s="34"/>
      <c r="H2044" s="34"/>
      <c r="I2044" s="36"/>
      <c r="J2044" s="34"/>
      <c r="K2044" s="34"/>
      <c r="L2044" s="34"/>
      <c r="M2044" s="36"/>
      <c r="N2044" s="36"/>
      <c r="O2044" s="36"/>
      <c r="P2044" s="36"/>
      <c r="Q2044" s="36"/>
      <c r="R2044" s="36"/>
      <c r="S2044" s="36"/>
    </row>
    <row r="2045">
      <c r="A2045" s="34"/>
      <c r="B2045" s="36"/>
      <c r="C2045" s="35"/>
      <c r="D2045" s="35"/>
      <c r="E2045" s="34"/>
      <c r="F2045" s="34"/>
      <c r="G2045" s="34"/>
      <c r="H2045" s="34"/>
      <c r="I2045" s="36"/>
      <c r="J2045" s="34"/>
      <c r="K2045" s="34"/>
      <c r="L2045" s="34"/>
      <c r="M2045" s="36"/>
      <c r="N2045" s="36"/>
      <c r="O2045" s="36"/>
      <c r="P2045" s="36"/>
      <c r="Q2045" s="36"/>
      <c r="R2045" s="36"/>
      <c r="S2045" s="36"/>
    </row>
    <row r="2046">
      <c r="A2046" s="34"/>
      <c r="B2046" s="36"/>
      <c r="C2046" s="35"/>
      <c r="D2046" s="35"/>
      <c r="E2046" s="34"/>
      <c r="F2046" s="34"/>
      <c r="G2046" s="34"/>
      <c r="H2046" s="34"/>
      <c r="I2046" s="36"/>
      <c r="J2046" s="34"/>
      <c r="K2046" s="34"/>
      <c r="L2046" s="34"/>
      <c r="M2046" s="36"/>
      <c r="N2046" s="36"/>
      <c r="O2046" s="36"/>
      <c r="P2046" s="36"/>
      <c r="Q2046" s="36"/>
      <c r="R2046" s="36"/>
      <c r="S2046" s="36"/>
    </row>
    <row r="2047">
      <c r="A2047" s="34"/>
      <c r="B2047" s="36"/>
      <c r="C2047" s="35"/>
      <c r="D2047" s="35"/>
      <c r="E2047" s="34"/>
      <c r="F2047" s="34"/>
      <c r="G2047" s="34"/>
      <c r="H2047" s="34"/>
      <c r="I2047" s="36"/>
      <c r="J2047" s="34"/>
      <c r="K2047" s="34"/>
      <c r="L2047" s="34"/>
      <c r="M2047" s="36"/>
      <c r="N2047" s="36"/>
      <c r="O2047" s="36"/>
      <c r="P2047" s="36"/>
      <c r="Q2047" s="36"/>
      <c r="R2047" s="36"/>
      <c r="S2047" s="36"/>
    </row>
    <row r="2048">
      <c r="A2048" s="34"/>
      <c r="B2048" s="36"/>
      <c r="C2048" s="35"/>
      <c r="D2048" s="35"/>
      <c r="E2048" s="34"/>
      <c r="F2048" s="34"/>
      <c r="G2048" s="34"/>
      <c r="H2048" s="34"/>
      <c r="I2048" s="36"/>
      <c r="J2048" s="34"/>
      <c r="K2048" s="34"/>
      <c r="L2048" s="34"/>
      <c r="M2048" s="36"/>
      <c r="N2048" s="36"/>
      <c r="O2048" s="36"/>
      <c r="P2048" s="36"/>
      <c r="Q2048" s="36"/>
      <c r="R2048" s="36"/>
      <c r="S2048" s="36"/>
    </row>
    <row r="2049">
      <c r="A2049" s="34"/>
      <c r="B2049" s="34"/>
      <c r="C2049" s="35"/>
      <c r="D2049" s="35"/>
      <c r="E2049" s="34"/>
      <c r="F2049" s="34"/>
      <c r="G2049" s="34"/>
      <c r="H2049" s="34"/>
      <c r="I2049" s="34"/>
      <c r="J2049" s="34"/>
      <c r="K2049" s="34"/>
      <c r="L2049" s="34"/>
      <c r="M2049" s="36"/>
      <c r="N2049" s="36"/>
      <c r="O2049" s="36"/>
      <c r="P2049" s="36"/>
      <c r="Q2049" s="36"/>
      <c r="R2049" s="36"/>
      <c r="S2049" s="36"/>
    </row>
    <row r="2050">
      <c r="A2050" s="34"/>
      <c r="B2050" s="36"/>
      <c r="C2050" s="35"/>
      <c r="D2050" s="35"/>
      <c r="E2050" s="34"/>
      <c r="F2050" s="34"/>
      <c r="G2050" s="34"/>
      <c r="H2050" s="34"/>
      <c r="I2050" s="36"/>
      <c r="J2050" s="34"/>
      <c r="K2050" s="34"/>
      <c r="L2050" s="34"/>
      <c r="M2050" s="36"/>
      <c r="N2050" s="36"/>
      <c r="O2050" s="36"/>
      <c r="P2050" s="36"/>
      <c r="Q2050" s="36"/>
      <c r="R2050" s="36"/>
      <c r="S2050" s="36"/>
    </row>
    <row r="2051">
      <c r="A2051" s="34"/>
      <c r="B2051" s="36"/>
      <c r="C2051" s="35"/>
      <c r="D2051" s="35"/>
      <c r="E2051" s="34"/>
      <c r="F2051" s="34"/>
      <c r="G2051" s="34"/>
      <c r="H2051" s="34"/>
      <c r="I2051" s="36"/>
      <c r="J2051" s="34"/>
      <c r="K2051" s="34"/>
      <c r="L2051" s="34"/>
      <c r="M2051" s="36"/>
      <c r="N2051" s="36"/>
      <c r="O2051" s="36"/>
      <c r="P2051" s="36"/>
      <c r="Q2051" s="36"/>
      <c r="R2051" s="36"/>
      <c r="S2051" s="36"/>
    </row>
    <row r="2052">
      <c r="A2052" s="34"/>
      <c r="B2052" s="34"/>
      <c r="C2052" s="35"/>
      <c r="D2052" s="35"/>
      <c r="E2052" s="34"/>
      <c r="F2052" s="34"/>
      <c r="G2052" s="34"/>
      <c r="H2052" s="34"/>
      <c r="I2052" s="34"/>
      <c r="J2052" s="34"/>
      <c r="K2052" s="34"/>
      <c r="L2052" s="34"/>
      <c r="M2052" s="36"/>
      <c r="N2052" s="36"/>
      <c r="O2052" s="36"/>
      <c r="P2052" s="36"/>
      <c r="Q2052" s="36"/>
      <c r="R2052" s="36"/>
      <c r="S2052" s="36"/>
    </row>
    <row r="2053">
      <c r="A2053" s="34"/>
      <c r="B2053" s="36"/>
      <c r="C2053" s="35"/>
      <c r="D2053" s="35"/>
      <c r="E2053" s="34"/>
      <c r="F2053" s="34"/>
      <c r="G2053" s="34"/>
      <c r="H2053" s="34"/>
      <c r="I2053" s="36"/>
      <c r="J2053" s="34"/>
      <c r="K2053" s="34"/>
      <c r="L2053" s="34"/>
      <c r="M2053" s="36"/>
      <c r="N2053" s="36"/>
      <c r="O2053" s="36"/>
      <c r="P2053" s="36"/>
      <c r="Q2053" s="36"/>
      <c r="R2053" s="36"/>
      <c r="S2053" s="36"/>
    </row>
    <row r="2054">
      <c r="A2054" s="34"/>
      <c r="B2054" s="36"/>
      <c r="C2054" s="35"/>
      <c r="D2054" s="35"/>
      <c r="E2054" s="34"/>
      <c r="F2054" s="34"/>
      <c r="G2054" s="34"/>
      <c r="H2054" s="34"/>
      <c r="I2054" s="36"/>
      <c r="J2054" s="34"/>
      <c r="K2054" s="34"/>
      <c r="L2054" s="34"/>
      <c r="M2054" s="36"/>
      <c r="N2054" s="36"/>
      <c r="O2054" s="36"/>
      <c r="P2054" s="36"/>
      <c r="Q2054" s="36"/>
      <c r="R2054" s="36"/>
      <c r="S2054" s="36"/>
    </row>
    <row r="2055">
      <c r="A2055" s="34"/>
      <c r="B2055" s="36"/>
      <c r="C2055" s="35"/>
      <c r="D2055" s="35"/>
      <c r="E2055" s="34"/>
      <c r="F2055" s="34"/>
      <c r="G2055" s="34"/>
      <c r="H2055" s="34"/>
      <c r="I2055" s="36"/>
      <c r="J2055" s="34"/>
      <c r="K2055" s="34"/>
      <c r="L2055" s="34"/>
      <c r="M2055" s="36"/>
      <c r="N2055" s="36"/>
      <c r="O2055" s="36"/>
      <c r="P2055" s="36"/>
      <c r="Q2055" s="36"/>
      <c r="R2055" s="36"/>
      <c r="S2055" s="36"/>
    </row>
    <row r="2056">
      <c r="A2056" s="34"/>
      <c r="B2056" s="36"/>
      <c r="C2056" s="35"/>
      <c r="D2056" s="35"/>
      <c r="E2056" s="34"/>
      <c r="F2056" s="34"/>
      <c r="G2056" s="34"/>
      <c r="H2056" s="34"/>
      <c r="I2056" s="36"/>
      <c r="J2056" s="34"/>
      <c r="K2056" s="34"/>
      <c r="L2056" s="34"/>
      <c r="M2056" s="36"/>
      <c r="N2056" s="36"/>
      <c r="O2056" s="36"/>
      <c r="P2056" s="36"/>
      <c r="Q2056" s="36"/>
      <c r="R2056" s="36"/>
      <c r="S2056" s="36"/>
    </row>
    <row r="2057">
      <c r="A2057" s="34"/>
      <c r="B2057" s="36"/>
      <c r="C2057" s="35"/>
      <c r="D2057" s="35"/>
      <c r="E2057" s="34"/>
      <c r="F2057" s="34"/>
      <c r="G2057" s="34"/>
      <c r="H2057" s="34"/>
      <c r="I2057" s="36"/>
      <c r="J2057" s="34"/>
      <c r="K2057" s="34"/>
      <c r="L2057" s="34"/>
      <c r="M2057" s="36"/>
      <c r="N2057" s="36"/>
      <c r="O2057" s="36"/>
      <c r="P2057" s="36"/>
      <c r="Q2057" s="36"/>
      <c r="R2057" s="36"/>
      <c r="S2057" s="36"/>
    </row>
    <row r="2058">
      <c r="A2058" s="34"/>
      <c r="B2058" s="36"/>
      <c r="C2058" s="35"/>
      <c r="D2058" s="35"/>
      <c r="E2058" s="34"/>
      <c r="F2058" s="34"/>
      <c r="G2058" s="34"/>
      <c r="H2058" s="34"/>
      <c r="I2058" s="34"/>
      <c r="J2058" s="34"/>
      <c r="K2058" s="34"/>
      <c r="L2058" s="34"/>
      <c r="M2058" s="36"/>
      <c r="N2058" s="36"/>
      <c r="O2058" s="36"/>
      <c r="P2058" s="36"/>
      <c r="Q2058" s="36"/>
      <c r="R2058" s="36"/>
      <c r="S2058" s="36"/>
    </row>
    <row r="2059">
      <c r="A2059" s="34"/>
      <c r="B2059" s="36"/>
      <c r="C2059" s="35"/>
      <c r="D2059" s="35"/>
      <c r="E2059" s="34"/>
      <c r="F2059" s="34"/>
      <c r="G2059" s="34"/>
      <c r="H2059" s="34"/>
      <c r="I2059" s="36"/>
      <c r="J2059" s="34"/>
      <c r="K2059" s="34"/>
      <c r="L2059" s="34"/>
      <c r="M2059" s="36"/>
      <c r="N2059" s="36"/>
      <c r="O2059" s="36"/>
      <c r="P2059" s="36"/>
      <c r="Q2059" s="36"/>
      <c r="R2059" s="36"/>
      <c r="S2059" s="36"/>
    </row>
    <row r="2060">
      <c r="A2060" s="34"/>
      <c r="B2060" s="34"/>
      <c r="C2060" s="35"/>
      <c r="D2060" s="35"/>
      <c r="E2060" s="34"/>
      <c r="F2060" s="34"/>
      <c r="G2060" s="34"/>
      <c r="H2060" s="34"/>
      <c r="I2060" s="34"/>
      <c r="J2060" s="34"/>
      <c r="K2060" s="34"/>
      <c r="L2060" s="34"/>
      <c r="M2060" s="36"/>
      <c r="N2060" s="36"/>
      <c r="O2060" s="36"/>
      <c r="P2060" s="36"/>
      <c r="Q2060" s="36"/>
      <c r="R2060" s="36"/>
      <c r="S2060" s="36"/>
    </row>
    <row r="2061">
      <c r="A2061" s="34"/>
      <c r="B2061" s="36"/>
      <c r="C2061" s="35"/>
      <c r="D2061" s="35"/>
      <c r="E2061" s="34"/>
      <c r="F2061" s="34"/>
      <c r="G2061" s="34"/>
      <c r="H2061" s="34"/>
      <c r="I2061" s="36"/>
      <c r="J2061" s="34"/>
      <c r="K2061" s="34"/>
      <c r="L2061" s="34"/>
      <c r="M2061" s="36"/>
      <c r="N2061" s="36"/>
      <c r="O2061" s="36"/>
      <c r="P2061" s="36"/>
      <c r="Q2061" s="36"/>
      <c r="R2061" s="36"/>
      <c r="S2061" s="36"/>
    </row>
    <row r="2062">
      <c r="A2062" s="34"/>
      <c r="B2062" s="34"/>
      <c r="C2062" s="35"/>
      <c r="D2062" s="35"/>
      <c r="E2062" s="34"/>
      <c r="F2062" s="34"/>
      <c r="G2062" s="34"/>
      <c r="H2062" s="34"/>
      <c r="I2062" s="34"/>
      <c r="J2062" s="34"/>
      <c r="K2062" s="34"/>
      <c r="L2062" s="34"/>
      <c r="M2062" s="36"/>
      <c r="N2062" s="36"/>
      <c r="O2062" s="36"/>
      <c r="P2062" s="36"/>
      <c r="Q2062" s="36"/>
      <c r="R2062" s="36"/>
      <c r="S2062" s="36"/>
    </row>
    <row r="2063">
      <c r="A2063" s="34"/>
      <c r="B2063" s="36"/>
      <c r="C2063" s="35"/>
      <c r="D2063" s="35"/>
      <c r="E2063" s="34"/>
      <c r="F2063" s="34"/>
      <c r="G2063" s="34"/>
      <c r="H2063" s="34"/>
      <c r="I2063" s="36"/>
      <c r="J2063" s="34"/>
      <c r="K2063" s="34"/>
      <c r="L2063" s="34"/>
      <c r="M2063" s="36"/>
      <c r="N2063" s="36"/>
      <c r="O2063" s="36"/>
      <c r="P2063" s="36"/>
      <c r="Q2063" s="36"/>
      <c r="R2063" s="36"/>
      <c r="S2063" s="36"/>
    </row>
    <row r="2064">
      <c r="A2064" s="34"/>
      <c r="B2064" s="36"/>
      <c r="C2064" s="35"/>
      <c r="D2064" s="35"/>
      <c r="E2064" s="34"/>
      <c r="F2064" s="34"/>
      <c r="G2064" s="34"/>
      <c r="H2064" s="34"/>
      <c r="I2064" s="36"/>
      <c r="J2064" s="34"/>
      <c r="K2064" s="34"/>
      <c r="L2064" s="34"/>
      <c r="M2064" s="36"/>
      <c r="N2064" s="36"/>
      <c r="O2064" s="36"/>
      <c r="P2064" s="36"/>
      <c r="Q2064" s="36"/>
      <c r="R2064" s="36"/>
      <c r="S2064" s="36"/>
    </row>
    <row r="2065">
      <c r="A2065" s="34"/>
      <c r="B2065" s="36"/>
      <c r="C2065" s="35"/>
      <c r="D2065" s="35"/>
      <c r="E2065" s="34"/>
      <c r="F2065" s="34"/>
      <c r="G2065" s="34"/>
      <c r="H2065" s="34"/>
      <c r="I2065" s="34"/>
      <c r="J2065" s="34"/>
      <c r="K2065" s="34"/>
      <c r="L2065" s="34"/>
      <c r="M2065" s="36"/>
      <c r="N2065" s="36"/>
      <c r="O2065" s="36"/>
      <c r="P2065" s="36"/>
      <c r="Q2065" s="36"/>
      <c r="R2065" s="36"/>
      <c r="S2065" s="36"/>
    </row>
    <row r="2066">
      <c r="A2066" s="34"/>
      <c r="B2066" s="34"/>
      <c r="C2066" s="35"/>
      <c r="D2066" s="35"/>
      <c r="E2066" s="34"/>
      <c r="F2066" s="34"/>
      <c r="G2066" s="34"/>
      <c r="H2066" s="34"/>
      <c r="I2066" s="34"/>
      <c r="J2066" s="34"/>
      <c r="K2066" s="34"/>
      <c r="L2066" s="34"/>
      <c r="M2066" s="36"/>
      <c r="N2066" s="36"/>
      <c r="O2066" s="36"/>
      <c r="P2066" s="36"/>
      <c r="Q2066" s="36"/>
      <c r="R2066" s="36"/>
      <c r="S2066" s="36"/>
    </row>
    <row r="2067">
      <c r="A2067" s="34"/>
      <c r="B2067" s="36"/>
      <c r="C2067" s="35"/>
      <c r="D2067" s="35"/>
      <c r="E2067" s="34"/>
      <c r="F2067" s="34"/>
      <c r="G2067" s="34"/>
      <c r="H2067" s="34"/>
      <c r="I2067" s="36"/>
      <c r="J2067" s="34"/>
      <c r="K2067" s="34"/>
      <c r="L2067" s="34"/>
      <c r="M2067" s="36"/>
      <c r="N2067" s="36"/>
      <c r="O2067" s="36"/>
      <c r="P2067" s="36"/>
      <c r="Q2067" s="36"/>
      <c r="R2067" s="36"/>
      <c r="S2067" s="36"/>
    </row>
    <row r="2068">
      <c r="A2068" s="34"/>
      <c r="B2068" s="36"/>
      <c r="C2068" s="35"/>
      <c r="D2068" s="35"/>
      <c r="E2068" s="34"/>
      <c r="F2068" s="34"/>
      <c r="G2068" s="34"/>
      <c r="H2068" s="34"/>
      <c r="I2068" s="36"/>
      <c r="J2068" s="34"/>
      <c r="K2068" s="34"/>
      <c r="L2068" s="34"/>
      <c r="M2068" s="36"/>
      <c r="N2068" s="36"/>
      <c r="O2068" s="36"/>
      <c r="P2068" s="36"/>
      <c r="Q2068" s="36"/>
      <c r="R2068" s="36"/>
      <c r="S2068" s="36"/>
    </row>
    <row r="2069">
      <c r="A2069" s="34"/>
      <c r="B2069" s="36"/>
      <c r="C2069" s="35"/>
      <c r="D2069" s="35"/>
      <c r="E2069" s="34"/>
      <c r="F2069" s="34"/>
      <c r="G2069" s="34"/>
      <c r="H2069" s="34"/>
      <c r="I2069" s="36"/>
      <c r="J2069" s="34"/>
      <c r="K2069" s="34"/>
      <c r="L2069" s="34"/>
      <c r="M2069" s="36"/>
      <c r="N2069" s="36"/>
      <c r="O2069" s="36"/>
      <c r="P2069" s="36"/>
      <c r="Q2069" s="36"/>
      <c r="R2069" s="36"/>
      <c r="S2069" s="36"/>
    </row>
    <row r="2070">
      <c r="A2070" s="34"/>
      <c r="B2070" s="36"/>
      <c r="C2070" s="35"/>
      <c r="D2070" s="35"/>
      <c r="E2070" s="34"/>
      <c r="F2070" s="34"/>
      <c r="G2070" s="34"/>
      <c r="H2070" s="34"/>
      <c r="I2070" s="36"/>
      <c r="J2070" s="34"/>
      <c r="K2070" s="34"/>
      <c r="L2070" s="34"/>
      <c r="M2070" s="36"/>
      <c r="N2070" s="36"/>
      <c r="O2070" s="36"/>
      <c r="P2070" s="36"/>
      <c r="Q2070" s="36"/>
      <c r="R2070" s="36"/>
      <c r="S2070" s="36"/>
    </row>
    <row r="2071">
      <c r="A2071" s="34"/>
      <c r="B2071" s="36"/>
      <c r="C2071" s="35"/>
      <c r="D2071" s="35"/>
      <c r="E2071" s="34"/>
      <c r="F2071" s="34"/>
      <c r="G2071" s="34"/>
      <c r="H2071" s="34"/>
      <c r="I2071" s="36"/>
      <c r="J2071" s="34"/>
      <c r="K2071" s="34"/>
      <c r="L2071" s="34"/>
      <c r="M2071" s="36"/>
      <c r="N2071" s="36"/>
      <c r="O2071" s="36"/>
      <c r="P2071" s="36"/>
      <c r="Q2071" s="36"/>
      <c r="R2071" s="36"/>
      <c r="S2071" s="36"/>
    </row>
    <row r="2072">
      <c r="A2072" s="34"/>
      <c r="B2072" s="36"/>
      <c r="C2072" s="35"/>
      <c r="D2072" s="35"/>
      <c r="E2072" s="34"/>
      <c r="F2072" s="34"/>
      <c r="G2072" s="34"/>
      <c r="H2072" s="34"/>
      <c r="I2072" s="36"/>
      <c r="J2072" s="34"/>
      <c r="K2072" s="34"/>
      <c r="L2072" s="34"/>
      <c r="M2072" s="36"/>
      <c r="N2072" s="36"/>
      <c r="O2072" s="36"/>
      <c r="P2072" s="36"/>
      <c r="Q2072" s="36"/>
      <c r="R2072" s="36"/>
      <c r="S2072" s="36"/>
    </row>
    <row r="2073">
      <c r="A2073" s="34"/>
      <c r="B2073" s="36"/>
      <c r="C2073" s="35"/>
      <c r="D2073" s="35"/>
      <c r="E2073" s="34"/>
      <c r="F2073" s="34"/>
      <c r="G2073" s="34"/>
      <c r="H2073" s="34"/>
      <c r="I2073" s="34"/>
      <c r="J2073" s="34"/>
      <c r="K2073" s="34"/>
      <c r="L2073" s="34"/>
      <c r="M2073" s="36"/>
      <c r="N2073" s="36"/>
      <c r="O2073" s="36"/>
      <c r="P2073" s="36"/>
      <c r="Q2073" s="36"/>
      <c r="R2073" s="36"/>
      <c r="S2073" s="36"/>
    </row>
    <row r="2074">
      <c r="A2074" s="34"/>
      <c r="B2074" s="36"/>
      <c r="C2074" s="35"/>
      <c r="D2074" s="35"/>
      <c r="E2074" s="34"/>
      <c r="F2074" s="34"/>
      <c r="G2074" s="34"/>
      <c r="H2074" s="34"/>
      <c r="I2074" s="36"/>
      <c r="J2074" s="34"/>
      <c r="K2074" s="34"/>
      <c r="L2074" s="34"/>
      <c r="M2074" s="36"/>
      <c r="N2074" s="36"/>
      <c r="O2074" s="36"/>
      <c r="P2074" s="36"/>
      <c r="Q2074" s="36"/>
      <c r="R2074" s="36"/>
      <c r="S2074" s="36"/>
    </row>
    <row r="2075">
      <c r="A2075" s="34"/>
      <c r="B2075" s="36"/>
      <c r="C2075" s="35"/>
      <c r="D2075" s="35"/>
      <c r="E2075" s="34"/>
      <c r="F2075" s="34"/>
      <c r="G2075" s="34"/>
      <c r="H2075" s="34"/>
      <c r="I2075" s="36"/>
      <c r="J2075" s="34"/>
      <c r="K2075" s="34"/>
      <c r="L2075" s="34"/>
      <c r="M2075" s="36"/>
      <c r="N2075" s="36"/>
      <c r="O2075" s="36"/>
      <c r="P2075" s="36"/>
      <c r="Q2075" s="36"/>
      <c r="R2075" s="36"/>
      <c r="S2075" s="36"/>
    </row>
    <row r="2076">
      <c r="A2076" s="34"/>
      <c r="B2076" s="36"/>
      <c r="C2076" s="35"/>
      <c r="D2076" s="35"/>
      <c r="E2076" s="34"/>
      <c r="F2076" s="34"/>
      <c r="G2076" s="34"/>
      <c r="H2076" s="34"/>
      <c r="I2076" s="36"/>
      <c r="J2076" s="34"/>
      <c r="K2076" s="34"/>
      <c r="L2076" s="34"/>
      <c r="M2076" s="36"/>
      <c r="N2076" s="36"/>
      <c r="O2076" s="36"/>
      <c r="P2076" s="36"/>
      <c r="Q2076" s="36"/>
      <c r="R2076" s="36"/>
      <c r="S2076" s="36"/>
    </row>
    <row r="2077">
      <c r="A2077" s="34"/>
      <c r="B2077" s="36"/>
      <c r="C2077" s="35"/>
      <c r="D2077" s="35"/>
      <c r="E2077" s="34"/>
      <c r="F2077" s="34"/>
      <c r="G2077" s="34"/>
      <c r="H2077" s="34"/>
      <c r="I2077" s="36"/>
      <c r="J2077" s="34"/>
      <c r="K2077" s="34"/>
      <c r="L2077" s="34"/>
      <c r="M2077" s="36"/>
      <c r="N2077" s="36"/>
      <c r="O2077" s="36"/>
      <c r="P2077" s="36"/>
      <c r="Q2077" s="36"/>
      <c r="R2077" s="36"/>
      <c r="S2077" s="36"/>
    </row>
    <row r="2078">
      <c r="A2078" s="34"/>
      <c r="B2078" s="36"/>
      <c r="C2078" s="35"/>
      <c r="D2078" s="35"/>
      <c r="E2078" s="34"/>
      <c r="F2078" s="34"/>
      <c r="G2078" s="34"/>
      <c r="H2078" s="34"/>
      <c r="I2078" s="36"/>
      <c r="J2078" s="34"/>
      <c r="K2078" s="34"/>
      <c r="L2078" s="34"/>
      <c r="M2078" s="36"/>
      <c r="N2078" s="36"/>
      <c r="O2078" s="36"/>
      <c r="P2078" s="36"/>
      <c r="Q2078" s="36"/>
      <c r="R2078" s="36"/>
      <c r="S2078" s="36"/>
    </row>
    <row r="2079">
      <c r="A2079" s="34"/>
      <c r="B2079" s="36"/>
      <c r="C2079" s="35"/>
      <c r="D2079" s="35"/>
      <c r="E2079" s="34"/>
      <c r="F2079" s="34"/>
      <c r="G2079" s="34"/>
      <c r="H2079" s="34"/>
      <c r="I2079" s="34"/>
      <c r="J2079" s="34"/>
      <c r="K2079" s="34"/>
      <c r="L2079" s="34"/>
      <c r="M2079" s="36"/>
      <c r="N2079" s="36"/>
      <c r="O2079" s="36"/>
      <c r="P2079" s="36"/>
      <c r="Q2079" s="36"/>
      <c r="R2079" s="36"/>
      <c r="S2079" s="36"/>
    </row>
    <row r="2080">
      <c r="A2080" s="34"/>
      <c r="B2080" s="36"/>
      <c r="C2080" s="35"/>
      <c r="D2080" s="35"/>
      <c r="E2080" s="34"/>
      <c r="F2080" s="34"/>
      <c r="G2080" s="34"/>
      <c r="H2080" s="34"/>
      <c r="I2080" s="36"/>
      <c r="J2080" s="34"/>
      <c r="K2080" s="34"/>
      <c r="L2080" s="34"/>
      <c r="M2080" s="36"/>
      <c r="N2080" s="36"/>
      <c r="O2080" s="36"/>
      <c r="P2080" s="36"/>
      <c r="Q2080" s="36"/>
      <c r="R2080" s="36"/>
      <c r="S2080" s="36"/>
    </row>
    <row r="2081">
      <c r="A2081" s="34"/>
      <c r="B2081" s="36"/>
      <c r="C2081" s="35"/>
      <c r="D2081" s="35"/>
      <c r="E2081" s="34"/>
      <c r="F2081" s="34"/>
      <c r="G2081" s="34"/>
      <c r="H2081" s="34"/>
      <c r="I2081" s="36"/>
      <c r="J2081" s="34"/>
      <c r="K2081" s="34"/>
      <c r="L2081" s="34"/>
      <c r="M2081" s="36"/>
      <c r="N2081" s="36"/>
      <c r="O2081" s="36"/>
      <c r="P2081" s="36"/>
      <c r="Q2081" s="36"/>
      <c r="R2081" s="36"/>
      <c r="S2081" s="36"/>
    </row>
    <row r="2082">
      <c r="A2082" s="34"/>
      <c r="B2082" s="36"/>
      <c r="C2082" s="35"/>
      <c r="D2082" s="35"/>
      <c r="E2082" s="34"/>
      <c r="F2082" s="34"/>
      <c r="G2082" s="34"/>
      <c r="H2082" s="34"/>
      <c r="I2082" s="36"/>
      <c r="J2082" s="34"/>
      <c r="K2082" s="34"/>
      <c r="L2082" s="34"/>
      <c r="M2082" s="36"/>
      <c r="N2082" s="36"/>
      <c r="O2082" s="36"/>
      <c r="P2082" s="36"/>
      <c r="Q2082" s="36"/>
      <c r="R2082" s="36"/>
      <c r="S2082" s="36"/>
    </row>
    <row r="2083">
      <c r="A2083" s="34"/>
      <c r="B2083" s="34"/>
      <c r="C2083" s="35"/>
      <c r="D2083" s="35"/>
      <c r="E2083" s="34"/>
      <c r="F2083" s="34"/>
      <c r="G2083" s="34"/>
      <c r="H2083" s="34"/>
      <c r="I2083" s="34"/>
      <c r="J2083" s="34"/>
      <c r="K2083" s="34"/>
      <c r="L2083" s="34"/>
      <c r="M2083" s="36"/>
      <c r="N2083" s="36"/>
      <c r="O2083" s="36"/>
      <c r="P2083" s="36"/>
      <c r="Q2083" s="36"/>
      <c r="R2083" s="36"/>
      <c r="S2083" s="36"/>
    </row>
    <row r="2084">
      <c r="A2084" s="34"/>
      <c r="B2084" s="36"/>
      <c r="C2084" s="35"/>
      <c r="D2084" s="35"/>
      <c r="E2084" s="34"/>
      <c r="F2084" s="34"/>
      <c r="G2084" s="34"/>
      <c r="H2084" s="34"/>
      <c r="I2084" s="36"/>
      <c r="J2084" s="34"/>
      <c r="K2084" s="34"/>
      <c r="L2084" s="34"/>
      <c r="M2084" s="36"/>
      <c r="N2084" s="36"/>
      <c r="O2084" s="36"/>
      <c r="P2084" s="36"/>
      <c r="Q2084" s="36"/>
      <c r="R2084" s="36"/>
      <c r="S2084" s="36"/>
    </row>
    <row r="2085">
      <c r="A2085" s="34"/>
      <c r="B2085" s="34"/>
      <c r="C2085" s="35"/>
      <c r="D2085" s="35"/>
      <c r="E2085" s="34"/>
      <c r="F2085" s="34"/>
      <c r="G2085" s="34"/>
      <c r="H2085" s="34"/>
      <c r="I2085" s="34"/>
      <c r="J2085" s="34"/>
      <c r="K2085" s="34"/>
      <c r="L2085" s="34"/>
      <c r="M2085" s="36"/>
      <c r="N2085" s="36"/>
      <c r="O2085" s="36"/>
      <c r="P2085" s="36"/>
      <c r="Q2085" s="36"/>
      <c r="R2085" s="36"/>
      <c r="S2085" s="36"/>
    </row>
    <row r="2086">
      <c r="A2086" s="34"/>
      <c r="B2086" s="36"/>
      <c r="C2086" s="35"/>
      <c r="D2086" s="35"/>
      <c r="E2086" s="34"/>
      <c r="F2086" s="34"/>
      <c r="G2086" s="34"/>
      <c r="H2086" s="34"/>
      <c r="I2086" s="36"/>
      <c r="J2086" s="34"/>
      <c r="K2086" s="34"/>
      <c r="L2086" s="34"/>
      <c r="M2086" s="36"/>
      <c r="N2086" s="36"/>
      <c r="O2086" s="36"/>
      <c r="P2086" s="36"/>
      <c r="Q2086" s="36"/>
      <c r="R2086" s="36"/>
      <c r="S2086" s="36"/>
    </row>
    <row r="2087">
      <c r="A2087" s="34"/>
      <c r="B2087" s="36"/>
      <c r="C2087" s="35"/>
      <c r="D2087" s="35"/>
      <c r="E2087" s="34"/>
      <c r="F2087" s="34"/>
      <c r="G2087" s="34"/>
      <c r="H2087" s="34"/>
      <c r="I2087" s="36"/>
      <c r="J2087" s="34"/>
      <c r="K2087" s="34"/>
      <c r="L2087" s="34"/>
      <c r="M2087" s="36"/>
      <c r="N2087" s="36"/>
      <c r="O2087" s="36"/>
      <c r="P2087" s="36"/>
      <c r="Q2087" s="36"/>
      <c r="R2087" s="36"/>
      <c r="S2087" s="36"/>
    </row>
    <row r="2088">
      <c r="A2088" s="34"/>
      <c r="B2088" s="36"/>
      <c r="C2088" s="35"/>
      <c r="D2088" s="35"/>
      <c r="E2088" s="34"/>
      <c r="F2088" s="34"/>
      <c r="G2088" s="34"/>
      <c r="H2088" s="34"/>
      <c r="I2088" s="36"/>
      <c r="J2088" s="34"/>
      <c r="K2088" s="34"/>
      <c r="L2088" s="34"/>
      <c r="M2088" s="36"/>
      <c r="N2088" s="36"/>
      <c r="O2088" s="36"/>
      <c r="P2088" s="36"/>
      <c r="Q2088" s="36"/>
      <c r="R2088" s="36"/>
      <c r="S2088" s="36"/>
    </row>
    <row r="2089">
      <c r="A2089" s="34"/>
      <c r="B2089" s="36"/>
      <c r="C2089" s="35"/>
      <c r="D2089" s="35"/>
      <c r="E2089" s="34"/>
      <c r="F2089" s="34"/>
      <c r="G2089" s="34"/>
      <c r="H2089" s="34"/>
      <c r="I2089" s="36"/>
      <c r="J2089" s="34"/>
      <c r="K2089" s="34"/>
      <c r="L2089" s="34"/>
      <c r="M2089" s="36"/>
      <c r="N2089" s="36"/>
      <c r="O2089" s="36"/>
      <c r="P2089" s="36"/>
      <c r="Q2089" s="36"/>
      <c r="R2089" s="36"/>
      <c r="S2089" s="36"/>
    </row>
    <row r="2090">
      <c r="A2090" s="34"/>
      <c r="B2090" s="36"/>
      <c r="C2090" s="35"/>
      <c r="D2090" s="35"/>
      <c r="E2090" s="34"/>
      <c r="F2090" s="34"/>
      <c r="G2090" s="34"/>
      <c r="H2090" s="34"/>
      <c r="I2090" s="36"/>
      <c r="J2090" s="34"/>
      <c r="K2090" s="34"/>
      <c r="L2090" s="34"/>
      <c r="M2090" s="36"/>
      <c r="N2090" s="36"/>
      <c r="O2090" s="36"/>
      <c r="P2090" s="36"/>
      <c r="Q2090" s="36"/>
      <c r="R2090" s="36"/>
      <c r="S2090" s="36"/>
    </row>
    <row r="2091">
      <c r="A2091" s="34"/>
      <c r="B2091" s="36"/>
      <c r="C2091" s="35"/>
      <c r="D2091" s="35"/>
      <c r="E2091" s="34"/>
      <c r="F2091" s="34"/>
      <c r="G2091" s="34"/>
      <c r="H2091" s="34"/>
      <c r="I2091" s="36"/>
      <c r="J2091" s="34"/>
      <c r="K2091" s="34"/>
      <c r="L2091" s="34"/>
      <c r="M2091" s="36"/>
      <c r="N2091" s="36"/>
      <c r="O2091" s="36"/>
      <c r="P2091" s="36"/>
      <c r="Q2091" s="36"/>
      <c r="R2091" s="36"/>
      <c r="S2091" s="36"/>
    </row>
    <row r="2092">
      <c r="A2092" s="34"/>
      <c r="B2092" s="36"/>
      <c r="C2092" s="35"/>
      <c r="D2092" s="35"/>
      <c r="E2092" s="34"/>
      <c r="F2092" s="34"/>
      <c r="G2092" s="34"/>
      <c r="H2092" s="34"/>
      <c r="I2092" s="36"/>
      <c r="J2092" s="34"/>
      <c r="K2092" s="34"/>
      <c r="L2092" s="34"/>
      <c r="M2092" s="36"/>
      <c r="N2092" s="36"/>
      <c r="O2092" s="36"/>
      <c r="P2092" s="36"/>
      <c r="Q2092" s="36"/>
      <c r="R2092" s="36"/>
      <c r="S2092" s="36"/>
    </row>
    <row r="2093">
      <c r="A2093" s="34"/>
      <c r="B2093" s="36"/>
      <c r="C2093" s="35"/>
      <c r="D2093" s="35"/>
      <c r="E2093" s="34"/>
      <c r="F2093" s="34"/>
      <c r="G2093" s="34"/>
      <c r="H2093" s="34"/>
      <c r="I2093" s="36"/>
      <c r="J2093" s="34"/>
      <c r="K2093" s="34"/>
      <c r="L2093" s="34"/>
      <c r="M2093" s="36"/>
      <c r="N2093" s="36"/>
      <c r="O2093" s="36"/>
      <c r="P2093" s="36"/>
      <c r="Q2093" s="36"/>
      <c r="R2093" s="36"/>
      <c r="S2093" s="36"/>
    </row>
    <row r="2094">
      <c r="A2094" s="34"/>
      <c r="B2094" s="36"/>
      <c r="C2094" s="35"/>
      <c r="D2094" s="35"/>
      <c r="E2094" s="34"/>
      <c r="F2094" s="34"/>
      <c r="G2094" s="34"/>
      <c r="H2094" s="34"/>
      <c r="I2094" s="36"/>
      <c r="J2094" s="34"/>
      <c r="K2094" s="34"/>
      <c r="L2094" s="34"/>
      <c r="M2094" s="36"/>
      <c r="N2094" s="36"/>
      <c r="O2094" s="36"/>
      <c r="P2094" s="36"/>
      <c r="Q2094" s="36"/>
      <c r="R2094" s="36"/>
      <c r="S2094" s="36"/>
    </row>
    <row r="2095">
      <c r="A2095" s="34"/>
      <c r="B2095" s="36"/>
      <c r="C2095" s="35"/>
      <c r="D2095" s="35"/>
      <c r="E2095" s="34"/>
      <c r="F2095" s="34"/>
      <c r="G2095" s="34"/>
      <c r="H2095" s="34"/>
      <c r="I2095" s="36"/>
      <c r="J2095" s="34"/>
      <c r="K2095" s="34"/>
      <c r="L2095" s="34"/>
      <c r="M2095" s="36"/>
      <c r="N2095" s="36"/>
      <c r="O2095" s="36"/>
      <c r="P2095" s="36"/>
      <c r="Q2095" s="36"/>
      <c r="R2095" s="36"/>
      <c r="S2095" s="36"/>
    </row>
    <row r="2096">
      <c r="A2096" s="34"/>
      <c r="B2096" s="36"/>
      <c r="C2096" s="35"/>
      <c r="D2096" s="35"/>
      <c r="E2096" s="34"/>
      <c r="F2096" s="34"/>
      <c r="G2096" s="34"/>
      <c r="H2096" s="34"/>
      <c r="I2096" s="36"/>
      <c r="J2096" s="34"/>
      <c r="K2096" s="34"/>
      <c r="L2096" s="34"/>
      <c r="M2096" s="36"/>
      <c r="N2096" s="36"/>
      <c r="O2096" s="36"/>
      <c r="P2096" s="36"/>
      <c r="Q2096" s="36"/>
      <c r="R2096" s="36"/>
      <c r="S2096" s="36"/>
    </row>
    <row r="2097">
      <c r="A2097" s="34"/>
      <c r="B2097" s="36"/>
      <c r="C2097" s="35"/>
      <c r="D2097" s="35"/>
      <c r="E2097" s="34"/>
      <c r="F2097" s="34"/>
      <c r="G2097" s="34"/>
      <c r="H2097" s="34"/>
      <c r="I2097" s="36"/>
      <c r="J2097" s="34"/>
      <c r="K2097" s="34"/>
      <c r="L2097" s="34"/>
      <c r="M2097" s="36"/>
      <c r="N2097" s="36"/>
      <c r="O2097" s="36"/>
      <c r="P2097" s="36"/>
      <c r="Q2097" s="36"/>
      <c r="R2097" s="36"/>
      <c r="S2097" s="36"/>
    </row>
    <row r="2098">
      <c r="A2098" s="34"/>
      <c r="B2098" s="36"/>
      <c r="C2098" s="35"/>
      <c r="D2098" s="35"/>
      <c r="E2098" s="34"/>
      <c r="F2098" s="34"/>
      <c r="G2098" s="34"/>
      <c r="H2098" s="34"/>
      <c r="I2098" s="36"/>
      <c r="J2098" s="34"/>
      <c r="K2098" s="34"/>
      <c r="L2098" s="34"/>
      <c r="M2098" s="36"/>
      <c r="N2098" s="36"/>
      <c r="O2098" s="36"/>
      <c r="P2098" s="36"/>
      <c r="Q2098" s="36"/>
      <c r="R2098" s="36"/>
      <c r="S2098" s="36"/>
    </row>
    <row r="2099">
      <c r="A2099" s="34"/>
      <c r="B2099" s="36"/>
      <c r="C2099" s="35"/>
      <c r="D2099" s="35"/>
      <c r="E2099" s="34"/>
      <c r="F2099" s="34"/>
      <c r="G2099" s="34"/>
      <c r="H2099" s="34"/>
      <c r="I2099" s="36"/>
      <c r="J2099" s="34"/>
      <c r="K2099" s="34"/>
      <c r="L2099" s="34"/>
      <c r="M2099" s="36"/>
      <c r="N2099" s="36"/>
      <c r="O2099" s="36"/>
      <c r="P2099" s="36"/>
      <c r="Q2099" s="36"/>
      <c r="R2099" s="36"/>
      <c r="S2099" s="36"/>
    </row>
    <row r="2100">
      <c r="A2100" s="34"/>
      <c r="B2100" s="36"/>
      <c r="C2100" s="35"/>
      <c r="D2100" s="35"/>
      <c r="E2100" s="34"/>
      <c r="F2100" s="34"/>
      <c r="G2100" s="34"/>
      <c r="H2100" s="34"/>
      <c r="I2100" s="36"/>
      <c r="J2100" s="34"/>
      <c r="K2100" s="34"/>
      <c r="L2100" s="34"/>
      <c r="M2100" s="36"/>
      <c r="N2100" s="36"/>
      <c r="O2100" s="36"/>
      <c r="P2100" s="36"/>
      <c r="Q2100" s="36"/>
      <c r="R2100" s="36"/>
      <c r="S2100" s="36"/>
    </row>
    <row r="2101">
      <c r="A2101" s="34"/>
      <c r="B2101" s="34"/>
      <c r="C2101" s="35"/>
      <c r="D2101" s="35"/>
      <c r="E2101" s="34"/>
      <c r="F2101" s="34"/>
      <c r="G2101" s="34"/>
      <c r="H2101" s="34"/>
      <c r="I2101" s="34"/>
      <c r="J2101" s="34"/>
      <c r="K2101" s="34"/>
      <c r="L2101" s="34"/>
      <c r="M2101" s="36"/>
      <c r="N2101" s="36"/>
      <c r="O2101" s="36"/>
      <c r="P2101" s="36"/>
      <c r="Q2101" s="36"/>
      <c r="R2101" s="36"/>
      <c r="S2101" s="36"/>
    </row>
    <row r="2102">
      <c r="A2102" s="34"/>
      <c r="B2102" s="36"/>
      <c r="C2102" s="35"/>
      <c r="D2102" s="35"/>
      <c r="E2102" s="34"/>
      <c r="F2102" s="34"/>
      <c r="G2102" s="34"/>
      <c r="H2102" s="34"/>
      <c r="I2102" s="34"/>
      <c r="J2102" s="34"/>
      <c r="K2102" s="34"/>
      <c r="L2102" s="34"/>
      <c r="M2102" s="36"/>
      <c r="N2102" s="36"/>
      <c r="O2102" s="36"/>
      <c r="P2102" s="36"/>
      <c r="Q2102" s="36"/>
      <c r="R2102" s="36"/>
      <c r="S2102" s="36"/>
    </row>
    <row r="2103">
      <c r="A2103" s="34"/>
      <c r="B2103" s="36"/>
      <c r="C2103" s="35"/>
      <c r="D2103" s="35"/>
      <c r="E2103" s="34"/>
      <c r="F2103" s="34"/>
      <c r="G2103" s="34"/>
      <c r="H2103" s="34"/>
      <c r="I2103" s="36"/>
      <c r="J2103" s="34"/>
      <c r="K2103" s="34"/>
      <c r="L2103" s="34"/>
      <c r="M2103" s="36"/>
      <c r="N2103" s="36"/>
      <c r="O2103" s="36"/>
      <c r="P2103" s="36"/>
      <c r="Q2103" s="36"/>
      <c r="R2103" s="36"/>
      <c r="S2103" s="36"/>
    </row>
    <row r="2104">
      <c r="A2104" s="34"/>
      <c r="B2104" s="36"/>
      <c r="C2104" s="35"/>
      <c r="D2104" s="35"/>
      <c r="E2104" s="34"/>
      <c r="F2104" s="34"/>
      <c r="G2104" s="34"/>
      <c r="H2104" s="34"/>
      <c r="I2104" s="36"/>
      <c r="J2104" s="34"/>
      <c r="K2104" s="34"/>
      <c r="L2104" s="34"/>
      <c r="M2104" s="36"/>
      <c r="N2104" s="36"/>
      <c r="O2104" s="36"/>
      <c r="P2104" s="36"/>
      <c r="Q2104" s="36"/>
      <c r="R2104" s="36"/>
      <c r="S2104" s="36"/>
    </row>
    <row r="2105">
      <c r="A2105" s="34"/>
      <c r="B2105" s="36"/>
      <c r="C2105" s="35"/>
      <c r="D2105" s="35"/>
      <c r="E2105" s="34"/>
      <c r="F2105" s="34"/>
      <c r="G2105" s="34"/>
      <c r="H2105" s="34"/>
      <c r="I2105" s="36"/>
      <c r="J2105" s="34"/>
      <c r="K2105" s="34"/>
      <c r="L2105" s="34"/>
      <c r="M2105" s="36"/>
      <c r="N2105" s="36"/>
      <c r="O2105" s="36"/>
      <c r="P2105" s="36"/>
      <c r="Q2105" s="36"/>
      <c r="R2105" s="36"/>
      <c r="S2105" s="36"/>
    </row>
    <row r="2106">
      <c r="A2106" s="34"/>
      <c r="B2106" s="36"/>
      <c r="C2106" s="35"/>
      <c r="D2106" s="35"/>
      <c r="E2106" s="34"/>
      <c r="F2106" s="34"/>
      <c r="G2106" s="34"/>
      <c r="H2106" s="34"/>
      <c r="I2106" s="36"/>
      <c r="J2106" s="34"/>
      <c r="K2106" s="34"/>
      <c r="L2106" s="34"/>
      <c r="M2106" s="36"/>
      <c r="N2106" s="36"/>
      <c r="O2106" s="36"/>
      <c r="P2106" s="36"/>
      <c r="Q2106" s="36"/>
      <c r="R2106" s="36"/>
      <c r="S2106" s="36"/>
    </row>
    <row r="2107">
      <c r="A2107" s="34"/>
      <c r="B2107" s="36"/>
      <c r="C2107" s="35"/>
      <c r="D2107" s="35"/>
      <c r="E2107" s="34"/>
      <c r="F2107" s="34"/>
      <c r="G2107" s="34"/>
      <c r="H2107" s="34"/>
      <c r="I2107" s="36"/>
      <c r="J2107" s="34"/>
      <c r="K2107" s="34"/>
      <c r="L2107" s="34"/>
      <c r="M2107" s="36"/>
      <c r="N2107" s="36"/>
      <c r="O2107" s="36"/>
      <c r="P2107" s="36"/>
      <c r="Q2107" s="36"/>
      <c r="R2107" s="36"/>
      <c r="S2107" s="36"/>
    </row>
    <row r="2108">
      <c r="A2108" s="34"/>
      <c r="B2108" s="36"/>
      <c r="C2108" s="35"/>
      <c r="D2108" s="35"/>
      <c r="E2108" s="34"/>
      <c r="F2108" s="34"/>
      <c r="G2108" s="34"/>
      <c r="H2108" s="34"/>
      <c r="I2108" s="36"/>
      <c r="J2108" s="34"/>
      <c r="K2108" s="34"/>
      <c r="L2108" s="34"/>
      <c r="M2108" s="36"/>
      <c r="N2108" s="36"/>
      <c r="O2108" s="36"/>
      <c r="P2108" s="36"/>
      <c r="Q2108" s="36"/>
      <c r="R2108" s="36"/>
      <c r="S2108" s="36"/>
    </row>
    <row r="2109">
      <c r="A2109" s="34"/>
      <c r="B2109" s="36"/>
      <c r="C2109" s="35"/>
      <c r="D2109" s="35"/>
      <c r="E2109" s="34"/>
      <c r="F2109" s="34"/>
      <c r="G2109" s="34"/>
      <c r="H2109" s="34"/>
      <c r="I2109" s="36"/>
      <c r="J2109" s="34"/>
      <c r="K2109" s="34"/>
      <c r="L2109" s="34"/>
      <c r="M2109" s="36"/>
      <c r="N2109" s="36"/>
      <c r="O2109" s="36"/>
      <c r="P2109" s="36"/>
      <c r="Q2109" s="36"/>
      <c r="R2109" s="36"/>
      <c r="S2109" s="36"/>
    </row>
    <row r="2110">
      <c r="A2110" s="34"/>
      <c r="B2110" s="36"/>
      <c r="C2110" s="35"/>
      <c r="D2110" s="35"/>
      <c r="E2110" s="34"/>
      <c r="F2110" s="34"/>
      <c r="G2110" s="34"/>
      <c r="H2110" s="34"/>
      <c r="I2110" s="36"/>
      <c r="J2110" s="34"/>
      <c r="K2110" s="34"/>
      <c r="L2110" s="34"/>
      <c r="M2110" s="36"/>
      <c r="N2110" s="36"/>
      <c r="O2110" s="36"/>
      <c r="P2110" s="36"/>
      <c r="Q2110" s="36"/>
      <c r="R2110" s="36"/>
      <c r="S2110" s="36"/>
    </row>
    <row r="2111">
      <c r="A2111" s="34"/>
      <c r="B2111" s="36"/>
      <c r="C2111" s="35"/>
      <c r="D2111" s="35"/>
      <c r="E2111" s="34"/>
      <c r="F2111" s="34"/>
      <c r="G2111" s="34"/>
      <c r="H2111" s="34"/>
      <c r="I2111" s="36"/>
      <c r="J2111" s="34"/>
      <c r="K2111" s="34"/>
      <c r="L2111" s="34"/>
      <c r="M2111" s="36"/>
      <c r="N2111" s="36"/>
      <c r="O2111" s="36"/>
      <c r="P2111" s="36"/>
      <c r="Q2111" s="36"/>
      <c r="R2111" s="36"/>
      <c r="S2111" s="36"/>
    </row>
    <row r="2112">
      <c r="A2112" s="34"/>
      <c r="B2112" s="36"/>
      <c r="C2112" s="35"/>
      <c r="D2112" s="35"/>
      <c r="E2112" s="34"/>
      <c r="F2112" s="34"/>
      <c r="G2112" s="34"/>
      <c r="H2112" s="34"/>
      <c r="I2112" s="36"/>
      <c r="J2112" s="34"/>
      <c r="K2112" s="34"/>
      <c r="L2112" s="34"/>
      <c r="M2112" s="36"/>
      <c r="N2112" s="36"/>
      <c r="O2112" s="36"/>
      <c r="P2112" s="36"/>
      <c r="Q2112" s="36"/>
      <c r="R2112" s="36"/>
      <c r="S2112" s="36"/>
    </row>
    <row r="2113">
      <c r="A2113" s="34"/>
      <c r="B2113" s="36"/>
      <c r="C2113" s="35"/>
      <c r="D2113" s="35"/>
      <c r="E2113" s="34"/>
      <c r="F2113" s="34"/>
      <c r="G2113" s="34"/>
      <c r="H2113" s="34"/>
      <c r="I2113" s="36"/>
      <c r="J2113" s="34"/>
      <c r="K2113" s="34"/>
      <c r="L2113" s="34"/>
      <c r="M2113" s="36"/>
      <c r="N2113" s="36"/>
      <c r="O2113" s="36"/>
      <c r="P2113" s="36"/>
      <c r="Q2113" s="36"/>
      <c r="R2113" s="36"/>
      <c r="S2113" s="36"/>
    </row>
    <row r="2114">
      <c r="A2114" s="34"/>
      <c r="B2114" s="36"/>
      <c r="C2114" s="35"/>
      <c r="D2114" s="35"/>
      <c r="E2114" s="34"/>
      <c r="F2114" s="34"/>
      <c r="G2114" s="34"/>
      <c r="H2114" s="34"/>
      <c r="I2114" s="36"/>
      <c r="J2114" s="34"/>
      <c r="K2114" s="34"/>
      <c r="L2114" s="34"/>
      <c r="M2114" s="36"/>
      <c r="N2114" s="36"/>
      <c r="O2114" s="36"/>
      <c r="P2114" s="36"/>
      <c r="Q2114" s="36"/>
      <c r="R2114" s="36"/>
      <c r="S2114" s="36"/>
    </row>
    <row r="2115">
      <c r="A2115" s="34"/>
      <c r="B2115" s="36"/>
      <c r="C2115" s="35"/>
      <c r="D2115" s="35"/>
      <c r="E2115" s="34"/>
      <c r="F2115" s="34"/>
      <c r="G2115" s="34"/>
      <c r="H2115" s="34"/>
      <c r="I2115" s="36"/>
      <c r="J2115" s="34"/>
      <c r="K2115" s="34"/>
      <c r="L2115" s="34"/>
      <c r="M2115" s="36"/>
      <c r="N2115" s="36"/>
      <c r="O2115" s="36"/>
      <c r="P2115" s="36"/>
      <c r="Q2115" s="36"/>
      <c r="R2115" s="36"/>
      <c r="S2115" s="36"/>
    </row>
    <row r="2116">
      <c r="A2116" s="34"/>
      <c r="B2116" s="36"/>
      <c r="C2116" s="35"/>
      <c r="D2116" s="35"/>
      <c r="E2116" s="34"/>
      <c r="F2116" s="34"/>
      <c r="G2116" s="34"/>
      <c r="H2116" s="34"/>
      <c r="I2116" s="36"/>
      <c r="J2116" s="34"/>
      <c r="K2116" s="34"/>
      <c r="L2116" s="34"/>
      <c r="M2116" s="36"/>
      <c r="N2116" s="36"/>
      <c r="O2116" s="36"/>
      <c r="P2116" s="36"/>
      <c r="Q2116" s="36"/>
      <c r="R2116" s="36"/>
      <c r="S2116" s="36"/>
    </row>
    <row r="2117">
      <c r="A2117" s="34"/>
      <c r="B2117" s="36"/>
      <c r="C2117" s="35"/>
      <c r="D2117" s="35"/>
      <c r="E2117" s="34"/>
      <c r="F2117" s="34"/>
      <c r="G2117" s="34"/>
      <c r="H2117" s="34"/>
      <c r="I2117" s="36"/>
      <c r="J2117" s="34"/>
      <c r="K2117" s="34"/>
      <c r="L2117" s="34"/>
      <c r="M2117" s="36"/>
      <c r="N2117" s="36"/>
      <c r="O2117" s="36"/>
      <c r="P2117" s="36"/>
      <c r="Q2117" s="36"/>
      <c r="R2117" s="36"/>
      <c r="S2117" s="36"/>
    </row>
    <row r="2118">
      <c r="A2118" s="34"/>
      <c r="B2118" s="34"/>
      <c r="C2118" s="35"/>
      <c r="D2118" s="35"/>
      <c r="E2118" s="34"/>
      <c r="F2118" s="34"/>
      <c r="G2118" s="34"/>
      <c r="H2118" s="34"/>
      <c r="I2118" s="34"/>
      <c r="J2118" s="34"/>
      <c r="K2118" s="34"/>
      <c r="L2118" s="34"/>
      <c r="M2118" s="36"/>
      <c r="N2118" s="36"/>
      <c r="O2118" s="36"/>
      <c r="P2118" s="36"/>
      <c r="Q2118" s="36"/>
      <c r="R2118" s="36"/>
      <c r="S2118" s="36"/>
    </row>
    <row r="2119">
      <c r="A2119" s="34"/>
      <c r="B2119" s="36"/>
      <c r="C2119" s="35"/>
      <c r="D2119" s="35"/>
      <c r="E2119" s="34"/>
      <c r="F2119" s="34"/>
      <c r="G2119" s="34"/>
      <c r="H2119" s="34"/>
      <c r="I2119" s="34"/>
      <c r="J2119" s="34"/>
      <c r="K2119" s="34"/>
      <c r="L2119" s="34"/>
      <c r="M2119" s="36"/>
      <c r="N2119" s="36"/>
      <c r="O2119" s="36"/>
      <c r="P2119" s="36"/>
      <c r="Q2119" s="36"/>
      <c r="R2119" s="36"/>
      <c r="S2119" s="36"/>
    </row>
    <row r="2120">
      <c r="A2120" s="34"/>
      <c r="B2120" s="36"/>
      <c r="C2120" s="35"/>
      <c r="D2120" s="35"/>
      <c r="E2120" s="34"/>
      <c r="F2120" s="34"/>
      <c r="G2120" s="34"/>
      <c r="H2120" s="34"/>
      <c r="I2120" s="36"/>
      <c r="J2120" s="34"/>
      <c r="K2120" s="34"/>
      <c r="L2120" s="34"/>
      <c r="M2120" s="36"/>
      <c r="N2120" s="36"/>
      <c r="O2120" s="36"/>
      <c r="P2120" s="36"/>
      <c r="Q2120" s="36"/>
      <c r="R2120" s="36"/>
      <c r="S2120" s="36"/>
    </row>
    <row r="2121">
      <c r="A2121" s="34"/>
      <c r="B2121" s="34"/>
      <c r="C2121" s="35"/>
      <c r="D2121" s="35"/>
      <c r="E2121" s="34"/>
      <c r="F2121" s="34"/>
      <c r="G2121" s="34"/>
      <c r="H2121" s="34"/>
      <c r="I2121" s="34"/>
      <c r="J2121" s="34"/>
      <c r="K2121" s="34"/>
      <c r="L2121" s="34"/>
      <c r="M2121" s="36"/>
      <c r="N2121" s="36"/>
      <c r="O2121" s="36"/>
      <c r="P2121" s="36"/>
      <c r="Q2121" s="36"/>
      <c r="R2121" s="36"/>
      <c r="S2121" s="36"/>
    </row>
    <row r="2122">
      <c r="A2122" s="34"/>
      <c r="B2122" s="36"/>
      <c r="C2122" s="35"/>
      <c r="D2122" s="35"/>
      <c r="E2122" s="34"/>
      <c r="F2122" s="34"/>
      <c r="G2122" s="34"/>
      <c r="H2122" s="34"/>
      <c r="I2122" s="36"/>
      <c r="J2122" s="34"/>
      <c r="K2122" s="34"/>
      <c r="L2122" s="34"/>
      <c r="M2122" s="36"/>
      <c r="N2122" s="36"/>
      <c r="O2122" s="36"/>
      <c r="P2122" s="36"/>
      <c r="Q2122" s="36"/>
      <c r="R2122" s="36"/>
      <c r="S2122" s="36"/>
    </row>
    <row r="2123">
      <c r="A2123" s="34"/>
      <c r="B2123" s="36"/>
      <c r="C2123" s="35"/>
      <c r="D2123" s="35"/>
      <c r="E2123" s="34"/>
      <c r="F2123" s="34"/>
      <c r="G2123" s="34"/>
      <c r="H2123" s="34"/>
      <c r="I2123" s="36"/>
      <c r="J2123" s="34"/>
      <c r="K2123" s="34"/>
      <c r="L2123" s="34"/>
      <c r="M2123" s="36"/>
      <c r="N2123" s="36"/>
      <c r="O2123" s="36"/>
      <c r="P2123" s="36"/>
      <c r="Q2123" s="36"/>
      <c r="R2123" s="36"/>
      <c r="S2123" s="36"/>
    </row>
    <row r="2124">
      <c r="A2124" s="34"/>
      <c r="B2124" s="34"/>
      <c r="C2124" s="35"/>
      <c r="D2124" s="35"/>
      <c r="E2124" s="34"/>
      <c r="F2124" s="34"/>
      <c r="G2124" s="34"/>
      <c r="H2124" s="34"/>
      <c r="I2124" s="34"/>
      <c r="J2124" s="34"/>
      <c r="K2124" s="34"/>
      <c r="L2124" s="34"/>
      <c r="M2124" s="36"/>
      <c r="N2124" s="36"/>
      <c r="O2124" s="36"/>
      <c r="P2124" s="36"/>
      <c r="Q2124" s="36"/>
      <c r="R2124" s="36"/>
      <c r="S2124" s="36"/>
    </row>
    <row r="2125">
      <c r="A2125" s="34"/>
      <c r="B2125" s="36"/>
      <c r="C2125" s="35"/>
      <c r="D2125" s="35"/>
      <c r="E2125" s="34"/>
      <c r="F2125" s="34"/>
      <c r="G2125" s="34"/>
      <c r="H2125" s="34"/>
      <c r="I2125" s="36"/>
      <c r="J2125" s="34"/>
      <c r="K2125" s="34"/>
      <c r="L2125" s="34"/>
      <c r="M2125" s="36"/>
      <c r="N2125" s="36"/>
      <c r="O2125" s="36"/>
      <c r="P2125" s="36"/>
      <c r="Q2125" s="36"/>
      <c r="R2125" s="36"/>
      <c r="S2125" s="36"/>
    </row>
    <row r="2126">
      <c r="A2126" s="34"/>
      <c r="B2126" s="36"/>
      <c r="C2126" s="35"/>
      <c r="D2126" s="35"/>
      <c r="E2126" s="34"/>
      <c r="F2126" s="34"/>
      <c r="G2126" s="34"/>
      <c r="H2126" s="34"/>
      <c r="I2126" s="36"/>
      <c r="J2126" s="34"/>
      <c r="K2126" s="34"/>
      <c r="L2126" s="34"/>
      <c r="M2126" s="36"/>
      <c r="N2126" s="36"/>
      <c r="O2126" s="36"/>
      <c r="P2126" s="36"/>
      <c r="Q2126" s="36"/>
      <c r="R2126" s="36"/>
      <c r="S2126" s="36"/>
    </row>
    <row r="2127">
      <c r="A2127" s="34"/>
      <c r="B2127" s="36"/>
      <c r="C2127" s="35"/>
      <c r="D2127" s="35"/>
      <c r="E2127" s="34"/>
      <c r="F2127" s="34"/>
      <c r="G2127" s="34"/>
      <c r="H2127" s="34"/>
      <c r="I2127" s="36"/>
      <c r="J2127" s="34"/>
      <c r="K2127" s="34"/>
      <c r="L2127" s="34"/>
      <c r="M2127" s="36"/>
      <c r="N2127" s="36"/>
      <c r="O2127" s="36"/>
      <c r="P2127" s="36"/>
      <c r="Q2127" s="36"/>
      <c r="R2127" s="36"/>
      <c r="S2127" s="36"/>
    </row>
    <row r="2128">
      <c r="A2128" s="34"/>
      <c r="B2128" s="36"/>
      <c r="C2128" s="35"/>
      <c r="D2128" s="35"/>
      <c r="E2128" s="34"/>
      <c r="F2128" s="34"/>
      <c r="G2128" s="34"/>
      <c r="H2128" s="34"/>
      <c r="I2128" s="36"/>
      <c r="J2128" s="34"/>
      <c r="K2128" s="34"/>
      <c r="L2128" s="34"/>
      <c r="M2128" s="36"/>
      <c r="N2128" s="36"/>
      <c r="O2128" s="36"/>
      <c r="P2128" s="36"/>
      <c r="Q2128" s="36"/>
      <c r="R2128" s="36"/>
      <c r="S2128" s="36"/>
    </row>
    <row r="2129">
      <c r="A2129" s="34"/>
      <c r="B2129" s="36"/>
      <c r="C2129" s="35"/>
      <c r="D2129" s="35"/>
      <c r="E2129" s="34"/>
      <c r="F2129" s="34"/>
      <c r="G2129" s="34"/>
      <c r="H2129" s="34"/>
      <c r="I2129" s="36"/>
      <c r="J2129" s="34"/>
      <c r="K2129" s="34"/>
      <c r="L2129" s="34"/>
      <c r="M2129" s="36"/>
      <c r="N2129" s="36"/>
      <c r="O2129" s="36"/>
      <c r="P2129" s="36"/>
      <c r="Q2129" s="36"/>
      <c r="R2129" s="36"/>
      <c r="S2129" s="36"/>
    </row>
    <row r="2130">
      <c r="A2130" s="34"/>
      <c r="B2130" s="36"/>
      <c r="C2130" s="35"/>
      <c r="D2130" s="35"/>
      <c r="E2130" s="34"/>
      <c r="F2130" s="34"/>
      <c r="G2130" s="34"/>
      <c r="H2130" s="34"/>
      <c r="I2130" s="36"/>
      <c r="J2130" s="34"/>
      <c r="K2130" s="34"/>
      <c r="L2130" s="34"/>
      <c r="M2130" s="36"/>
      <c r="N2130" s="36"/>
      <c r="O2130" s="36"/>
      <c r="P2130" s="36"/>
      <c r="Q2130" s="36"/>
      <c r="R2130" s="36"/>
      <c r="S2130" s="36"/>
    </row>
    <row r="2131">
      <c r="A2131" s="34"/>
      <c r="B2131" s="36"/>
      <c r="C2131" s="35"/>
      <c r="D2131" s="35"/>
      <c r="E2131" s="34"/>
      <c r="F2131" s="34"/>
      <c r="G2131" s="34"/>
      <c r="H2131" s="34"/>
      <c r="I2131" s="36"/>
      <c r="J2131" s="34"/>
      <c r="K2131" s="34"/>
      <c r="L2131" s="34"/>
      <c r="M2131" s="36"/>
      <c r="N2131" s="36"/>
      <c r="O2131" s="36"/>
      <c r="P2131" s="36"/>
      <c r="Q2131" s="36"/>
      <c r="R2131" s="36"/>
      <c r="S2131" s="36"/>
    </row>
    <row r="2132">
      <c r="A2132" s="34"/>
      <c r="B2132" s="36"/>
      <c r="C2132" s="35"/>
      <c r="D2132" s="35"/>
      <c r="E2132" s="34"/>
      <c r="F2132" s="34"/>
      <c r="G2132" s="34"/>
      <c r="H2132" s="34"/>
      <c r="I2132" s="36"/>
      <c r="J2132" s="34"/>
      <c r="K2132" s="34"/>
      <c r="L2132" s="34"/>
      <c r="M2132" s="36"/>
      <c r="N2132" s="36"/>
      <c r="O2132" s="36"/>
      <c r="P2132" s="36"/>
      <c r="Q2132" s="36"/>
      <c r="R2132" s="36"/>
      <c r="S2132" s="36"/>
    </row>
    <row r="2133">
      <c r="A2133" s="34"/>
      <c r="B2133" s="36"/>
      <c r="C2133" s="35"/>
      <c r="D2133" s="35"/>
      <c r="E2133" s="34"/>
      <c r="F2133" s="34"/>
      <c r="G2133" s="34"/>
      <c r="H2133" s="34"/>
      <c r="I2133" s="36"/>
      <c r="J2133" s="34"/>
      <c r="K2133" s="34"/>
      <c r="L2133" s="34"/>
      <c r="M2133" s="36"/>
      <c r="N2133" s="36"/>
      <c r="O2133" s="36"/>
      <c r="P2133" s="36"/>
      <c r="Q2133" s="36"/>
      <c r="R2133" s="36"/>
      <c r="S2133" s="36"/>
    </row>
    <row r="2134">
      <c r="A2134" s="34"/>
      <c r="B2134" s="36"/>
      <c r="C2134" s="35"/>
      <c r="D2134" s="35"/>
      <c r="E2134" s="34"/>
      <c r="F2134" s="34"/>
      <c r="G2134" s="34"/>
      <c r="H2134" s="34"/>
      <c r="I2134" s="34"/>
      <c r="J2134" s="34"/>
      <c r="K2134" s="34"/>
      <c r="L2134" s="34"/>
      <c r="M2134" s="36"/>
      <c r="N2134" s="36"/>
      <c r="O2134" s="36"/>
      <c r="P2134" s="36"/>
      <c r="Q2134" s="36"/>
      <c r="R2134" s="36"/>
      <c r="S2134" s="36"/>
    </row>
    <row r="2135">
      <c r="A2135" s="34"/>
      <c r="B2135" s="36"/>
      <c r="C2135" s="35"/>
      <c r="D2135" s="35"/>
      <c r="E2135" s="34"/>
      <c r="F2135" s="34"/>
      <c r="G2135" s="34"/>
      <c r="H2135" s="34"/>
      <c r="I2135" s="36"/>
      <c r="J2135" s="34"/>
      <c r="K2135" s="34"/>
      <c r="L2135" s="34"/>
      <c r="M2135" s="36"/>
      <c r="N2135" s="36"/>
      <c r="O2135" s="36"/>
      <c r="P2135" s="36"/>
      <c r="Q2135" s="36"/>
      <c r="R2135" s="36"/>
      <c r="S2135" s="36"/>
    </row>
    <row r="2136">
      <c r="A2136" s="34"/>
      <c r="B2136" s="34"/>
      <c r="C2136" s="35"/>
      <c r="D2136" s="35"/>
      <c r="E2136" s="34"/>
      <c r="F2136" s="34"/>
      <c r="G2136" s="34"/>
      <c r="H2136" s="34"/>
      <c r="I2136" s="34"/>
      <c r="J2136" s="34"/>
      <c r="K2136" s="34"/>
      <c r="L2136" s="34"/>
      <c r="M2136" s="36"/>
      <c r="N2136" s="36"/>
      <c r="O2136" s="36"/>
      <c r="P2136" s="36"/>
      <c r="Q2136" s="36"/>
      <c r="R2136" s="36"/>
      <c r="S2136" s="36"/>
    </row>
    <row r="2137">
      <c r="A2137" s="34"/>
      <c r="B2137" s="36"/>
      <c r="C2137" s="35"/>
      <c r="D2137" s="35"/>
      <c r="E2137" s="34"/>
      <c r="F2137" s="34"/>
      <c r="G2137" s="34"/>
      <c r="H2137" s="34"/>
      <c r="I2137" s="34"/>
      <c r="J2137" s="34"/>
      <c r="K2137" s="34"/>
      <c r="L2137" s="34"/>
      <c r="M2137" s="36"/>
      <c r="N2137" s="36"/>
      <c r="O2137" s="36"/>
      <c r="P2137" s="36"/>
      <c r="Q2137" s="36"/>
      <c r="R2137" s="36"/>
      <c r="S2137" s="36"/>
    </row>
    <row r="2138">
      <c r="A2138" s="34"/>
      <c r="B2138" s="36"/>
      <c r="C2138" s="35"/>
      <c r="D2138" s="35"/>
      <c r="E2138" s="34"/>
      <c r="F2138" s="34"/>
      <c r="G2138" s="34"/>
      <c r="H2138" s="34"/>
      <c r="I2138" s="34"/>
      <c r="J2138" s="34"/>
      <c r="K2138" s="34"/>
      <c r="L2138" s="34"/>
      <c r="M2138" s="36"/>
      <c r="N2138" s="36"/>
      <c r="O2138" s="36"/>
      <c r="P2138" s="36"/>
      <c r="Q2138" s="36"/>
      <c r="R2138" s="36"/>
      <c r="S2138" s="36"/>
    </row>
    <row r="2139">
      <c r="A2139" s="34"/>
      <c r="B2139" s="34"/>
      <c r="C2139" s="35"/>
      <c r="D2139" s="35"/>
      <c r="E2139" s="34"/>
      <c r="F2139" s="34"/>
      <c r="G2139" s="34"/>
      <c r="H2139" s="34"/>
      <c r="I2139" s="34"/>
      <c r="J2139" s="34"/>
      <c r="K2139" s="34"/>
      <c r="L2139" s="34"/>
      <c r="M2139" s="36"/>
      <c r="N2139" s="36"/>
      <c r="O2139" s="36"/>
      <c r="P2139" s="36"/>
      <c r="Q2139" s="36"/>
      <c r="R2139" s="36"/>
      <c r="S2139" s="36"/>
    </row>
    <row r="2140">
      <c r="A2140" s="34"/>
      <c r="B2140" s="36"/>
      <c r="C2140" s="35"/>
      <c r="D2140" s="35"/>
      <c r="E2140" s="34"/>
      <c r="F2140" s="34"/>
      <c r="G2140" s="34"/>
      <c r="H2140" s="34"/>
      <c r="I2140" s="34"/>
      <c r="J2140" s="34"/>
      <c r="K2140" s="34"/>
      <c r="L2140" s="34"/>
      <c r="M2140" s="36"/>
      <c r="N2140" s="36"/>
      <c r="O2140" s="36"/>
      <c r="P2140" s="36"/>
      <c r="Q2140" s="36"/>
      <c r="R2140" s="36"/>
      <c r="S2140" s="36"/>
    </row>
    <row r="2141">
      <c r="A2141" s="34"/>
      <c r="B2141" s="36"/>
      <c r="C2141" s="35"/>
      <c r="D2141" s="35"/>
      <c r="E2141" s="34"/>
      <c r="F2141" s="34"/>
      <c r="G2141" s="34"/>
      <c r="H2141" s="34"/>
      <c r="I2141" s="36"/>
      <c r="J2141" s="34"/>
      <c r="K2141" s="34"/>
      <c r="L2141" s="34"/>
      <c r="M2141" s="36"/>
      <c r="N2141" s="36"/>
      <c r="O2141" s="36"/>
      <c r="P2141" s="36"/>
      <c r="Q2141" s="36"/>
      <c r="R2141" s="36"/>
      <c r="S2141" s="36"/>
    </row>
    <row r="2142">
      <c r="A2142" s="34"/>
      <c r="B2142" s="36"/>
      <c r="C2142" s="35"/>
      <c r="D2142" s="35"/>
      <c r="E2142" s="34"/>
      <c r="F2142" s="34"/>
      <c r="G2142" s="34"/>
      <c r="H2142" s="34"/>
      <c r="I2142" s="34"/>
      <c r="J2142" s="34"/>
      <c r="K2142" s="34"/>
      <c r="L2142" s="34"/>
      <c r="M2142" s="36"/>
      <c r="N2142" s="36"/>
      <c r="O2142" s="36"/>
      <c r="P2142" s="36"/>
      <c r="Q2142" s="36"/>
      <c r="R2142" s="36"/>
      <c r="S2142" s="36"/>
    </row>
    <row r="2143">
      <c r="A2143" s="34"/>
      <c r="B2143" s="36"/>
      <c r="C2143" s="35"/>
      <c r="D2143" s="35"/>
      <c r="E2143" s="34"/>
      <c r="F2143" s="34"/>
      <c r="G2143" s="34"/>
      <c r="H2143" s="34"/>
      <c r="I2143" s="36"/>
      <c r="J2143" s="34"/>
      <c r="K2143" s="34"/>
      <c r="L2143" s="34"/>
      <c r="M2143" s="36"/>
      <c r="N2143" s="36"/>
      <c r="O2143" s="36"/>
      <c r="P2143" s="36"/>
      <c r="Q2143" s="36"/>
      <c r="R2143" s="36"/>
      <c r="S2143" s="36"/>
    </row>
    <row r="2144">
      <c r="A2144" s="34"/>
      <c r="B2144" s="36"/>
      <c r="C2144" s="35"/>
      <c r="D2144" s="35"/>
      <c r="E2144" s="34"/>
      <c r="F2144" s="34"/>
      <c r="G2144" s="34"/>
      <c r="H2144" s="34"/>
      <c r="I2144" s="36"/>
      <c r="J2144" s="34"/>
      <c r="K2144" s="34"/>
      <c r="L2144" s="34"/>
      <c r="M2144" s="36"/>
      <c r="N2144" s="36"/>
      <c r="O2144" s="36"/>
      <c r="P2144" s="36"/>
      <c r="Q2144" s="36"/>
      <c r="R2144" s="36"/>
      <c r="S2144" s="36"/>
    </row>
    <row r="2145">
      <c r="A2145" s="34"/>
      <c r="B2145" s="36"/>
      <c r="C2145" s="35"/>
      <c r="D2145" s="35"/>
      <c r="E2145" s="34"/>
      <c r="F2145" s="34"/>
      <c r="G2145" s="34"/>
      <c r="H2145" s="34"/>
      <c r="I2145" s="34"/>
      <c r="J2145" s="34"/>
      <c r="K2145" s="34"/>
      <c r="L2145" s="34"/>
      <c r="M2145" s="36"/>
      <c r="N2145" s="36"/>
      <c r="O2145" s="36"/>
      <c r="P2145" s="36"/>
      <c r="Q2145" s="36"/>
      <c r="R2145" s="36"/>
      <c r="S2145" s="36"/>
    </row>
    <row r="2146">
      <c r="A2146" s="34"/>
      <c r="B2146" s="36"/>
      <c r="C2146" s="35"/>
      <c r="D2146" s="35"/>
      <c r="E2146" s="34"/>
      <c r="F2146" s="34"/>
      <c r="G2146" s="34"/>
      <c r="H2146" s="34"/>
      <c r="I2146" s="36"/>
      <c r="J2146" s="34"/>
      <c r="K2146" s="34"/>
      <c r="L2146" s="34"/>
      <c r="M2146" s="36"/>
      <c r="N2146" s="36"/>
      <c r="O2146" s="36"/>
      <c r="P2146" s="36"/>
      <c r="Q2146" s="36"/>
      <c r="R2146" s="36"/>
      <c r="S2146" s="36"/>
    </row>
    <row r="2147">
      <c r="A2147" s="34"/>
      <c r="B2147" s="34"/>
      <c r="C2147" s="35"/>
      <c r="D2147" s="35"/>
      <c r="E2147" s="34"/>
      <c r="F2147" s="34"/>
      <c r="G2147" s="34"/>
      <c r="H2147" s="34"/>
      <c r="I2147" s="34"/>
      <c r="J2147" s="34"/>
      <c r="K2147" s="34"/>
      <c r="L2147" s="34"/>
      <c r="M2147" s="36"/>
      <c r="N2147" s="36"/>
      <c r="O2147" s="36"/>
      <c r="P2147" s="36"/>
      <c r="Q2147" s="36"/>
      <c r="R2147" s="36"/>
      <c r="S2147" s="36"/>
    </row>
    <row r="2148">
      <c r="A2148" s="34"/>
      <c r="B2148" s="36"/>
      <c r="C2148" s="35"/>
      <c r="D2148" s="35"/>
      <c r="E2148" s="34"/>
      <c r="F2148" s="34"/>
      <c r="G2148" s="34"/>
      <c r="H2148" s="34"/>
      <c r="I2148" s="36"/>
      <c r="J2148" s="34"/>
      <c r="K2148" s="34"/>
      <c r="L2148" s="34"/>
      <c r="M2148" s="36"/>
      <c r="N2148" s="36"/>
      <c r="O2148" s="36"/>
      <c r="P2148" s="36"/>
      <c r="Q2148" s="36"/>
      <c r="R2148" s="36"/>
      <c r="S2148" s="36"/>
    </row>
    <row r="2149">
      <c r="A2149" s="34"/>
      <c r="B2149" s="36"/>
      <c r="C2149" s="35"/>
      <c r="D2149" s="35"/>
      <c r="E2149" s="34"/>
      <c r="F2149" s="34"/>
      <c r="G2149" s="34"/>
      <c r="H2149" s="34"/>
      <c r="I2149" s="34"/>
      <c r="J2149" s="34"/>
      <c r="K2149" s="34"/>
      <c r="L2149" s="34"/>
      <c r="M2149" s="36"/>
      <c r="N2149" s="36"/>
      <c r="O2149" s="36"/>
      <c r="P2149" s="36"/>
      <c r="Q2149" s="36"/>
      <c r="R2149" s="36"/>
      <c r="S2149" s="36"/>
    </row>
    <row r="2150">
      <c r="A2150" s="34"/>
      <c r="B2150" s="36"/>
      <c r="C2150" s="35"/>
      <c r="D2150" s="35"/>
      <c r="E2150" s="34"/>
      <c r="F2150" s="34"/>
      <c r="G2150" s="34"/>
      <c r="H2150" s="34"/>
      <c r="I2150" s="34"/>
      <c r="J2150" s="34"/>
      <c r="K2150" s="34"/>
      <c r="L2150" s="34"/>
      <c r="M2150" s="36"/>
      <c r="N2150" s="36"/>
      <c r="O2150" s="36"/>
      <c r="P2150" s="36"/>
      <c r="Q2150" s="36"/>
      <c r="R2150" s="36"/>
      <c r="S2150" s="36"/>
    </row>
    <row r="2151">
      <c r="A2151" s="34"/>
      <c r="B2151" s="36"/>
      <c r="C2151" s="35"/>
      <c r="D2151" s="35"/>
      <c r="E2151" s="34"/>
      <c r="F2151" s="34"/>
      <c r="G2151" s="34"/>
      <c r="H2151" s="34"/>
      <c r="I2151" s="36"/>
      <c r="J2151" s="34"/>
      <c r="K2151" s="34"/>
      <c r="L2151" s="34"/>
      <c r="M2151" s="36"/>
      <c r="N2151" s="36"/>
      <c r="O2151" s="36"/>
      <c r="P2151" s="36"/>
      <c r="Q2151" s="36"/>
      <c r="R2151" s="36"/>
      <c r="S2151" s="36"/>
    </row>
    <row r="2152">
      <c r="A2152" s="34"/>
      <c r="B2152" s="36"/>
      <c r="C2152" s="35"/>
      <c r="D2152" s="35"/>
      <c r="E2152" s="34"/>
      <c r="F2152" s="34"/>
      <c r="G2152" s="34"/>
      <c r="H2152" s="34"/>
      <c r="I2152" s="34"/>
      <c r="J2152" s="34"/>
      <c r="K2152" s="34"/>
      <c r="L2152" s="34"/>
      <c r="M2152" s="36"/>
      <c r="N2152" s="36"/>
      <c r="O2152" s="36"/>
      <c r="P2152" s="36"/>
      <c r="Q2152" s="36"/>
      <c r="R2152" s="36"/>
      <c r="S2152" s="36"/>
    </row>
    <row r="2153">
      <c r="A2153" s="34"/>
      <c r="B2153" s="36"/>
      <c r="C2153" s="35"/>
      <c r="D2153" s="35"/>
      <c r="E2153" s="34"/>
      <c r="F2153" s="34"/>
      <c r="G2153" s="34"/>
      <c r="H2153" s="34"/>
      <c r="I2153" s="36"/>
      <c r="J2153" s="34"/>
      <c r="K2153" s="34"/>
      <c r="L2153" s="34"/>
      <c r="M2153" s="36"/>
      <c r="N2153" s="36"/>
      <c r="O2153" s="36"/>
      <c r="P2153" s="36"/>
      <c r="Q2153" s="36"/>
      <c r="R2153" s="36"/>
      <c r="S2153" s="36"/>
    </row>
    <row r="2154">
      <c r="A2154" s="34"/>
      <c r="B2154" s="36"/>
      <c r="C2154" s="35"/>
      <c r="D2154" s="35"/>
      <c r="E2154" s="34"/>
      <c r="F2154" s="34"/>
      <c r="G2154" s="34"/>
      <c r="H2154" s="34"/>
      <c r="I2154" s="34"/>
      <c r="J2154" s="34"/>
      <c r="K2154" s="34"/>
      <c r="L2154" s="34"/>
      <c r="M2154" s="36"/>
      <c r="N2154" s="36"/>
      <c r="O2154" s="36"/>
      <c r="P2154" s="36"/>
      <c r="Q2154" s="36"/>
      <c r="R2154" s="36"/>
      <c r="S2154" s="36"/>
    </row>
    <row r="2155">
      <c r="A2155" s="34"/>
      <c r="B2155" s="36"/>
      <c r="C2155" s="35"/>
      <c r="D2155" s="35"/>
      <c r="E2155" s="34"/>
      <c r="F2155" s="34"/>
      <c r="G2155" s="34"/>
      <c r="H2155" s="34"/>
      <c r="I2155" s="36"/>
      <c r="J2155" s="34"/>
      <c r="K2155" s="34"/>
      <c r="L2155" s="34"/>
      <c r="M2155" s="36"/>
      <c r="N2155" s="36"/>
      <c r="O2155" s="36"/>
      <c r="P2155" s="36"/>
      <c r="Q2155" s="36"/>
      <c r="R2155" s="36"/>
      <c r="S2155" s="36"/>
    </row>
    <row r="2156">
      <c r="A2156" s="34"/>
      <c r="B2156" s="36"/>
      <c r="C2156" s="35"/>
      <c r="D2156" s="35"/>
      <c r="E2156" s="34"/>
      <c r="F2156" s="34"/>
      <c r="G2156" s="34"/>
      <c r="H2156" s="34"/>
      <c r="I2156" s="36"/>
      <c r="J2156" s="34"/>
      <c r="K2156" s="34"/>
      <c r="L2156" s="34"/>
      <c r="M2156" s="36"/>
      <c r="N2156" s="36"/>
      <c r="O2156" s="36"/>
      <c r="P2156" s="36"/>
      <c r="Q2156" s="36"/>
      <c r="R2156" s="36"/>
      <c r="S2156" s="36"/>
    </row>
    <row r="2157">
      <c r="A2157" s="34"/>
      <c r="B2157" s="36"/>
      <c r="C2157" s="35"/>
      <c r="D2157" s="35"/>
      <c r="E2157" s="34"/>
      <c r="F2157" s="34"/>
      <c r="G2157" s="34"/>
      <c r="H2157" s="34"/>
      <c r="I2157" s="36"/>
      <c r="J2157" s="34"/>
      <c r="K2157" s="34"/>
      <c r="L2157" s="34"/>
      <c r="M2157" s="36"/>
      <c r="N2157" s="36"/>
      <c r="O2157" s="36"/>
      <c r="P2157" s="36"/>
      <c r="Q2157" s="36"/>
      <c r="R2157" s="36"/>
      <c r="S2157" s="36"/>
    </row>
    <row r="2158">
      <c r="A2158" s="34"/>
      <c r="B2158" s="36"/>
      <c r="C2158" s="35"/>
      <c r="D2158" s="35"/>
      <c r="E2158" s="34"/>
      <c r="F2158" s="34"/>
      <c r="G2158" s="34"/>
      <c r="H2158" s="34"/>
      <c r="I2158" s="36"/>
      <c r="J2158" s="34"/>
      <c r="K2158" s="34"/>
      <c r="L2158" s="34"/>
      <c r="M2158" s="36"/>
      <c r="N2158" s="36"/>
      <c r="O2158" s="36"/>
      <c r="P2158" s="36"/>
      <c r="Q2158" s="36"/>
      <c r="R2158" s="36"/>
      <c r="S2158" s="36"/>
    </row>
    <row r="2159">
      <c r="A2159" s="34"/>
      <c r="B2159" s="36"/>
      <c r="C2159" s="35"/>
      <c r="D2159" s="35"/>
      <c r="E2159" s="34"/>
      <c r="F2159" s="34"/>
      <c r="G2159" s="34"/>
      <c r="H2159" s="34"/>
      <c r="I2159" s="36"/>
      <c r="J2159" s="34"/>
      <c r="K2159" s="34"/>
      <c r="L2159" s="34"/>
      <c r="M2159" s="36"/>
      <c r="N2159" s="36"/>
      <c r="O2159" s="36"/>
      <c r="P2159" s="36"/>
      <c r="Q2159" s="36"/>
      <c r="R2159" s="36"/>
      <c r="S2159" s="36"/>
    </row>
    <row r="2160">
      <c r="A2160" s="34"/>
      <c r="B2160" s="36"/>
      <c r="C2160" s="35"/>
      <c r="D2160" s="35"/>
      <c r="E2160" s="34"/>
      <c r="F2160" s="34"/>
      <c r="G2160" s="34"/>
      <c r="H2160" s="34"/>
      <c r="I2160" s="34"/>
      <c r="J2160" s="34"/>
      <c r="K2160" s="34"/>
      <c r="L2160" s="34"/>
      <c r="M2160" s="36"/>
      <c r="N2160" s="36"/>
      <c r="O2160" s="36"/>
      <c r="P2160" s="36"/>
      <c r="Q2160" s="36"/>
      <c r="R2160" s="36"/>
      <c r="S2160" s="36"/>
    </row>
    <row r="2161">
      <c r="A2161" s="34"/>
      <c r="B2161" s="34"/>
      <c r="C2161" s="35"/>
      <c r="D2161" s="35"/>
      <c r="E2161" s="34"/>
      <c r="F2161" s="34"/>
      <c r="G2161" s="34"/>
      <c r="H2161" s="34"/>
      <c r="I2161" s="34"/>
      <c r="J2161" s="34"/>
      <c r="K2161" s="34"/>
      <c r="L2161" s="34"/>
      <c r="M2161" s="36"/>
      <c r="N2161" s="36"/>
      <c r="O2161" s="36"/>
      <c r="P2161" s="36"/>
      <c r="Q2161" s="36"/>
      <c r="R2161" s="36"/>
      <c r="S2161" s="36"/>
    </row>
    <row r="2162">
      <c r="A2162" s="34"/>
      <c r="B2162" s="34"/>
      <c r="C2162" s="35"/>
      <c r="D2162" s="35"/>
      <c r="E2162" s="34"/>
      <c r="F2162" s="34"/>
      <c r="G2162" s="34"/>
      <c r="H2162" s="34"/>
      <c r="I2162" s="34"/>
      <c r="J2162" s="34"/>
      <c r="K2162" s="34"/>
      <c r="L2162" s="34"/>
      <c r="M2162" s="36"/>
      <c r="N2162" s="36"/>
      <c r="O2162" s="36"/>
      <c r="P2162" s="36"/>
      <c r="Q2162" s="36"/>
      <c r="R2162" s="36"/>
      <c r="S2162" s="36"/>
    </row>
    <row r="2163">
      <c r="A2163" s="34"/>
      <c r="B2163" s="36"/>
      <c r="C2163" s="35"/>
      <c r="D2163" s="35"/>
      <c r="E2163" s="34"/>
      <c r="F2163" s="34"/>
      <c r="G2163" s="34"/>
      <c r="H2163" s="34"/>
      <c r="I2163" s="36"/>
      <c r="J2163" s="34"/>
      <c r="K2163" s="34"/>
      <c r="L2163" s="34"/>
      <c r="M2163" s="36"/>
      <c r="N2163" s="36"/>
      <c r="O2163" s="36"/>
      <c r="P2163" s="36"/>
      <c r="Q2163" s="36"/>
      <c r="R2163" s="36"/>
      <c r="S2163" s="36"/>
    </row>
    <row r="2164">
      <c r="A2164" s="34"/>
      <c r="B2164" s="36"/>
      <c r="C2164" s="35"/>
      <c r="D2164" s="35"/>
      <c r="E2164" s="34"/>
      <c r="F2164" s="34"/>
      <c r="G2164" s="34"/>
      <c r="H2164" s="34"/>
      <c r="I2164" s="36"/>
      <c r="J2164" s="34"/>
      <c r="K2164" s="34"/>
      <c r="L2164" s="34"/>
      <c r="M2164" s="36"/>
      <c r="N2164" s="36"/>
      <c r="O2164" s="36"/>
      <c r="P2164" s="36"/>
      <c r="Q2164" s="36"/>
      <c r="R2164" s="36"/>
      <c r="S2164" s="36"/>
    </row>
    <row r="2165">
      <c r="A2165" s="34"/>
      <c r="B2165" s="36"/>
      <c r="C2165" s="35"/>
      <c r="D2165" s="35"/>
      <c r="E2165" s="34"/>
      <c r="F2165" s="34"/>
      <c r="G2165" s="34"/>
      <c r="H2165" s="34"/>
      <c r="I2165" s="36"/>
      <c r="J2165" s="34"/>
      <c r="K2165" s="34"/>
      <c r="L2165" s="34"/>
      <c r="M2165" s="36"/>
      <c r="N2165" s="36"/>
      <c r="O2165" s="36"/>
      <c r="P2165" s="36"/>
      <c r="Q2165" s="36"/>
      <c r="R2165" s="36"/>
      <c r="S2165" s="36"/>
    </row>
    <row r="2166">
      <c r="A2166" s="34"/>
      <c r="B2166" s="34"/>
      <c r="C2166" s="35"/>
      <c r="D2166" s="35"/>
      <c r="E2166" s="34"/>
      <c r="F2166" s="34"/>
      <c r="G2166" s="34"/>
      <c r="H2166" s="34"/>
      <c r="I2166" s="34"/>
      <c r="J2166" s="34"/>
      <c r="K2166" s="34"/>
      <c r="L2166" s="34"/>
      <c r="M2166" s="36"/>
      <c r="N2166" s="36"/>
      <c r="O2166" s="36"/>
      <c r="P2166" s="36"/>
      <c r="Q2166" s="36"/>
      <c r="R2166" s="36"/>
      <c r="S2166" s="36"/>
    </row>
    <row r="2167">
      <c r="A2167" s="34"/>
      <c r="B2167" s="36"/>
      <c r="C2167" s="35"/>
      <c r="D2167" s="35"/>
      <c r="E2167" s="34"/>
      <c r="F2167" s="34"/>
      <c r="G2167" s="34"/>
      <c r="H2167" s="34"/>
      <c r="I2167" s="36"/>
      <c r="J2167" s="34"/>
      <c r="K2167" s="34"/>
      <c r="L2167" s="34"/>
      <c r="M2167" s="36"/>
      <c r="N2167" s="36"/>
      <c r="O2167" s="36"/>
      <c r="P2167" s="36"/>
      <c r="Q2167" s="36"/>
      <c r="R2167" s="36"/>
      <c r="S2167" s="36"/>
    </row>
    <row r="2168">
      <c r="A2168" s="34"/>
      <c r="B2168" s="36"/>
      <c r="C2168" s="35"/>
      <c r="D2168" s="35"/>
      <c r="E2168" s="34"/>
      <c r="F2168" s="34"/>
      <c r="G2168" s="34"/>
      <c r="H2168" s="34"/>
      <c r="I2168" s="36"/>
      <c r="J2168" s="34"/>
      <c r="K2168" s="34"/>
      <c r="L2168" s="34"/>
      <c r="M2168" s="36"/>
      <c r="N2168" s="36"/>
      <c r="O2168" s="36"/>
      <c r="P2168" s="36"/>
      <c r="Q2168" s="36"/>
      <c r="R2168" s="36"/>
      <c r="S2168" s="36"/>
    </row>
    <row r="2169">
      <c r="A2169" s="34"/>
      <c r="B2169" s="36"/>
      <c r="C2169" s="35"/>
      <c r="D2169" s="35"/>
      <c r="E2169" s="34"/>
      <c r="F2169" s="34"/>
      <c r="G2169" s="34"/>
      <c r="H2169" s="34"/>
      <c r="I2169" s="36"/>
      <c r="J2169" s="34"/>
      <c r="K2169" s="34"/>
      <c r="L2169" s="34"/>
      <c r="M2169" s="36"/>
      <c r="N2169" s="36"/>
      <c r="O2169" s="36"/>
      <c r="P2169" s="36"/>
      <c r="Q2169" s="36"/>
      <c r="R2169" s="36"/>
      <c r="S2169" s="36"/>
    </row>
    <row r="2170">
      <c r="A2170" s="34"/>
      <c r="B2170" s="36"/>
      <c r="C2170" s="35"/>
      <c r="D2170" s="35"/>
      <c r="E2170" s="34"/>
      <c r="F2170" s="34"/>
      <c r="G2170" s="34"/>
      <c r="H2170" s="34"/>
      <c r="I2170" s="36"/>
      <c r="J2170" s="34"/>
      <c r="K2170" s="34"/>
      <c r="L2170" s="34"/>
      <c r="M2170" s="36"/>
      <c r="N2170" s="36"/>
      <c r="O2170" s="36"/>
      <c r="P2170" s="36"/>
      <c r="Q2170" s="36"/>
      <c r="R2170" s="36"/>
      <c r="S2170" s="36"/>
    </row>
    <row r="2171">
      <c r="A2171" s="34"/>
      <c r="B2171" s="36"/>
      <c r="C2171" s="35"/>
      <c r="D2171" s="35"/>
      <c r="E2171" s="34"/>
      <c r="F2171" s="34"/>
      <c r="G2171" s="34"/>
      <c r="H2171" s="34"/>
      <c r="I2171" s="36"/>
      <c r="J2171" s="34"/>
      <c r="K2171" s="34"/>
      <c r="L2171" s="34"/>
      <c r="M2171" s="36"/>
      <c r="N2171" s="36"/>
      <c r="O2171" s="36"/>
      <c r="P2171" s="36"/>
      <c r="Q2171" s="36"/>
      <c r="R2171" s="36"/>
      <c r="S2171" s="36"/>
    </row>
    <row r="2172">
      <c r="A2172" s="34"/>
      <c r="B2172" s="36"/>
      <c r="C2172" s="35"/>
      <c r="D2172" s="35"/>
      <c r="E2172" s="34"/>
      <c r="F2172" s="34"/>
      <c r="G2172" s="34"/>
      <c r="H2172" s="34"/>
      <c r="I2172" s="36"/>
      <c r="J2172" s="34"/>
      <c r="K2172" s="34"/>
      <c r="L2172" s="34"/>
      <c r="M2172" s="36"/>
      <c r="N2172" s="36"/>
      <c r="O2172" s="36"/>
      <c r="P2172" s="36"/>
      <c r="Q2172" s="36"/>
      <c r="R2172" s="36"/>
      <c r="S2172" s="36"/>
    </row>
    <row r="2173">
      <c r="A2173" s="34"/>
      <c r="B2173" s="36"/>
      <c r="C2173" s="35"/>
      <c r="D2173" s="35"/>
      <c r="E2173" s="34"/>
      <c r="F2173" s="34"/>
      <c r="G2173" s="34"/>
      <c r="H2173" s="34"/>
      <c r="I2173" s="36"/>
      <c r="J2173" s="34"/>
      <c r="K2173" s="34"/>
      <c r="L2173" s="34"/>
      <c r="M2173" s="36"/>
      <c r="N2173" s="36"/>
      <c r="O2173" s="36"/>
      <c r="P2173" s="36"/>
      <c r="Q2173" s="36"/>
      <c r="R2173" s="36"/>
      <c r="S2173" s="36"/>
    </row>
    <row r="2174">
      <c r="A2174" s="34"/>
      <c r="B2174" s="34"/>
      <c r="C2174" s="35"/>
      <c r="D2174" s="35"/>
      <c r="E2174" s="34"/>
      <c r="F2174" s="34"/>
      <c r="G2174" s="34"/>
      <c r="H2174" s="34"/>
      <c r="I2174" s="34"/>
      <c r="J2174" s="34"/>
      <c r="K2174" s="34"/>
      <c r="L2174" s="34"/>
      <c r="M2174" s="36"/>
      <c r="N2174" s="36"/>
      <c r="O2174" s="36"/>
      <c r="P2174" s="36"/>
      <c r="Q2174" s="36"/>
      <c r="R2174" s="36"/>
      <c r="S2174" s="36"/>
    </row>
    <row r="2175">
      <c r="A2175" s="34"/>
      <c r="B2175" s="36"/>
      <c r="C2175" s="35"/>
      <c r="D2175" s="35"/>
      <c r="E2175" s="34"/>
      <c r="F2175" s="34"/>
      <c r="G2175" s="34"/>
      <c r="H2175" s="34"/>
      <c r="I2175" s="36"/>
      <c r="J2175" s="34"/>
      <c r="K2175" s="34"/>
      <c r="L2175" s="34"/>
      <c r="M2175" s="36"/>
      <c r="N2175" s="36"/>
      <c r="O2175" s="36"/>
      <c r="P2175" s="36"/>
      <c r="Q2175" s="36"/>
      <c r="R2175" s="36"/>
      <c r="S2175" s="36"/>
    </row>
    <row r="2176">
      <c r="A2176" s="34"/>
      <c r="B2176" s="36"/>
      <c r="C2176" s="35"/>
      <c r="D2176" s="35"/>
      <c r="E2176" s="34"/>
      <c r="F2176" s="34"/>
      <c r="G2176" s="34"/>
      <c r="H2176" s="34"/>
      <c r="I2176" s="36"/>
      <c r="J2176" s="34"/>
      <c r="K2176" s="34"/>
      <c r="L2176" s="34"/>
      <c r="M2176" s="36"/>
      <c r="N2176" s="36"/>
      <c r="O2176" s="36"/>
      <c r="P2176" s="36"/>
      <c r="Q2176" s="36"/>
      <c r="R2176" s="36"/>
      <c r="S2176" s="36"/>
    </row>
    <row r="2177">
      <c r="A2177" s="34"/>
      <c r="B2177" s="36"/>
      <c r="C2177" s="35"/>
      <c r="D2177" s="35"/>
      <c r="E2177" s="34"/>
      <c r="F2177" s="34"/>
      <c r="G2177" s="34"/>
      <c r="H2177" s="34"/>
      <c r="I2177" s="36"/>
      <c r="J2177" s="34"/>
      <c r="K2177" s="34"/>
      <c r="L2177" s="34"/>
      <c r="M2177" s="36"/>
      <c r="N2177" s="36"/>
      <c r="O2177" s="36"/>
      <c r="P2177" s="36"/>
      <c r="Q2177" s="36"/>
      <c r="R2177" s="36"/>
      <c r="S2177" s="36"/>
    </row>
    <row r="2178">
      <c r="A2178" s="34"/>
      <c r="B2178" s="34"/>
      <c r="C2178" s="35"/>
      <c r="D2178" s="35"/>
      <c r="E2178" s="34"/>
      <c r="F2178" s="34"/>
      <c r="G2178" s="34"/>
      <c r="H2178" s="34"/>
      <c r="I2178" s="34"/>
      <c r="J2178" s="34"/>
      <c r="K2178" s="34"/>
      <c r="L2178" s="34"/>
      <c r="M2178" s="36"/>
      <c r="N2178" s="36"/>
      <c r="O2178" s="36"/>
      <c r="P2178" s="36"/>
      <c r="Q2178" s="36"/>
      <c r="R2178" s="36"/>
      <c r="S2178" s="36"/>
    </row>
    <row r="2179">
      <c r="A2179" s="34"/>
      <c r="B2179" s="36"/>
      <c r="C2179" s="35"/>
      <c r="D2179" s="35"/>
      <c r="E2179" s="34"/>
      <c r="F2179" s="34"/>
      <c r="G2179" s="34"/>
      <c r="H2179" s="34"/>
      <c r="I2179" s="36"/>
      <c r="J2179" s="34"/>
      <c r="K2179" s="34"/>
      <c r="L2179" s="34"/>
      <c r="M2179" s="36"/>
      <c r="N2179" s="36"/>
      <c r="O2179" s="36"/>
      <c r="P2179" s="36"/>
      <c r="Q2179" s="36"/>
      <c r="R2179" s="36"/>
      <c r="S2179" s="36"/>
    </row>
    <row r="2180">
      <c r="A2180" s="34"/>
      <c r="B2180" s="36"/>
      <c r="C2180" s="35"/>
      <c r="D2180" s="35"/>
      <c r="E2180" s="34"/>
      <c r="F2180" s="34"/>
      <c r="G2180" s="34"/>
      <c r="H2180" s="34"/>
      <c r="I2180" s="34"/>
      <c r="J2180" s="34"/>
      <c r="K2180" s="34"/>
      <c r="L2180" s="34"/>
      <c r="M2180" s="36"/>
      <c r="N2180" s="36"/>
      <c r="O2180" s="36"/>
      <c r="P2180" s="36"/>
      <c r="Q2180" s="36"/>
      <c r="R2180" s="36"/>
      <c r="S2180" s="36"/>
    </row>
    <row r="2181">
      <c r="A2181" s="34"/>
      <c r="B2181" s="36"/>
      <c r="C2181" s="35"/>
      <c r="D2181" s="35"/>
      <c r="E2181" s="34"/>
      <c r="F2181" s="34"/>
      <c r="G2181" s="34"/>
      <c r="H2181" s="34"/>
      <c r="I2181" s="36"/>
      <c r="J2181" s="34"/>
      <c r="K2181" s="34"/>
      <c r="L2181" s="34"/>
      <c r="M2181" s="36"/>
      <c r="N2181" s="36"/>
      <c r="O2181" s="36"/>
      <c r="P2181" s="36"/>
      <c r="Q2181" s="36"/>
      <c r="R2181" s="36"/>
      <c r="S2181" s="36"/>
    </row>
    <row r="2182">
      <c r="A2182" s="34"/>
      <c r="B2182" s="36"/>
      <c r="C2182" s="35"/>
      <c r="D2182" s="35"/>
      <c r="E2182" s="34"/>
      <c r="F2182" s="34"/>
      <c r="G2182" s="34"/>
      <c r="H2182" s="34"/>
      <c r="I2182" s="34"/>
      <c r="J2182" s="34"/>
      <c r="K2182" s="34"/>
      <c r="L2182" s="34"/>
      <c r="M2182" s="36"/>
      <c r="N2182" s="36"/>
      <c r="O2182" s="36"/>
      <c r="P2182" s="36"/>
      <c r="Q2182" s="36"/>
      <c r="R2182" s="36"/>
      <c r="S2182" s="36"/>
    </row>
    <row r="2183">
      <c r="A2183" s="34"/>
      <c r="B2183" s="36"/>
      <c r="C2183" s="35"/>
      <c r="D2183" s="35"/>
      <c r="E2183" s="34"/>
      <c r="F2183" s="34"/>
      <c r="G2183" s="34"/>
      <c r="H2183" s="34"/>
      <c r="I2183" s="36"/>
      <c r="J2183" s="34"/>
      <c r="K2183" s="34"/>
      <c r="L2183" s="34"/>
      <c r="M2183" s="36"/>
      <c r="N2183" s="36"/>
      <c r="O2183" s="36"/>
      <c r="P2183" s="36"/>
      <c r="Q2183" s="36"/>
      <c r="R2183" s="36"/>
      <c r="S2183" s="36"/>
    </row>
    <row r="2184">
      <c r="A2184" s="34"/>
      <c r="B2184" s="34"/>
      <c r="C2184" s="35"/>
      <c r="D2184" s="35"/>
      <c r="E2184" s="34"/>
      <c r="F2184" s="34"/>
      <c r="G2184" s="34"/>
      <c r="H2184" s="34"/>
      <c r="I2184" s="34"/>
      <c r="J2184" s="34"/>
      <c r="K2184" s="34"/>
      <c r="L2184" s="34"/>
      <c r="M2184" s="36"/>
      <c r="N2184" s="36"/>
      <c r="O2184" s="36"/>
      <c r="P2184" s="36"/>
      <c r="Q2184" s="36"/>
      <c r="R2184" s="36"/>
      <c r="S2184" s="36"/>
    </row>
    <row r="2185">
      <c r="A2185" s="34"/>
      <c r="B2185" s="36"/>
      <c r="C2185" s="35"/>
      <c r="D2185" s="35"/>
      <c r="E2185" s="34"/>
      <c r="F2185" s="34"/>
      <c r="G2185" s="34"/>
      <c r="H2185" s="34"/>
      <c r="I2185" s="36"/>
      <c r="J2185" s="34"/>
      <c r="K2185" s="34"/>
      <c r="L2185" s="34"/>
      <c r="M2185" s="36"/>
      <c r="N2185" s="36"/>
      <c r="O2185" s="36"/>
      <c r="P2185" s="36"/>
      <c r="Q2185" s="36"/>
      <c r="R2185" s="36"/>
      <c r="S2185" s="36"/>
    </row>
    <row r="2186">
      <c r="A2186" s="34"/>
      <c r="B2186" s="34"/>
      <c r="C2186" s="35"/>
      <c r="D2186" s="35"/>
      <c r="E2186" s="34"/>
      <c r="F2186" s="34"/>
      <c r="G2186" s="34"/>
      <c r="H2186" s="34"/>
      <c r="I2186" s="34"/>
      <c r="J2186" s="34"/>
      <c r="K2186" s="34"/>
      <c r="L2186" s="34"/>
      <c r="M2186" s="36"/>
      <c r="N2186" s="36"/>
      <c r="O2186" s="36"/>
      <c r="P2186" s="36"/>
      <c r="Q2186" s="36"/>
      <c r="R2186" s="36"/>
      <c r="S2186" s="36"/>
    </row>
    <row r="2187">
      <c r="A2187" s="34"/>
      <c r="B2187" s="36"/>
      <c r="C2187" s="35"/>
      <c r="D2187" s="35"/>
      <c r="E2187" s="34"/>
      <c r="F2187" s="34"/>
      <c r="G2187" s="34"/>
      <c r="H2187" s="34"/>
      <c r="I2187" s="34"/>
      <c r="J2187" s="34"/>
      <c r="K2187" s="34"/>
      <c r="L2187" s="34"/>
      <c r="M2187" s="36"/>
      <c r="N2187" s="36"/>
      <c r="O2187" s="36"/>
      <c r="P2187" s="36"/>
      <c r="Q2187" s="36"/>
      <c r="R2187" s="36"/>
      <c r="S2187" s="36"/>
    </row>
    <row r="2188">
      <c r="A2188" s="34"/>
      <c r="B2188" s="36"/>
      <c r="C2188" s="35"/>
      <c r="D2188" s="35"/>
      <c r="E2188" s="34"/>
      <c r="F2188" s="34"/>
      <c r="G2188" s="34"/>
      <c r="H2188" s="34"/>
      <c r="I2188" s="36"/>
      <c r="J2188" s="34"/>
      <c r="K2188" s="34"/>
      <c r="L2188" s="34"/>
      <c r="M2188" s="36"/>
      <c r="N2188" s="36"/>
      <c r="O2188" s="36"/>
      <c r="P2188" s="36"/>
      <c r="Q2188" s="36"/>
      <c r="R2188" s="36"/>
      <c r="S2188" s="36"/>
    </row>
    <row r="2189">
      <c r="A2189" s="34"/>
      <c r="B2189" s="36"/>
      <c r="C2189" s="35"/>
      <c r="D2189" s="35"/>
      <c r="E2189" s="34"/>
      <c r="F2189" s="34"/>
      <c r="G2189" s="34"/>
      <c r="H2189" s="34"/>
      <c r="I2189" s="34"/>
      <c r="J2189" s="34"/>
      <c r="K2189" s="34"/>
      <c r="L2189" s="34"/>
      <c r="M2189" s="36"/>
      <c r="N2189" s="36"/>
      <c r="O2189" s="36"/>
      <c r="P2189" s="36"/>
      <c r="Q2189" s="36"/>
      <c r="R2189" s="36"/>
      <c r="S2189" s="36"/>
    </row>
    <row r="2190">
      <c r="A2190" s="34"/>
      <c r="B2190" s="34"/>
      <c r="C2190" s="35"/>
      <c r="D2190" s="35"/>
      <c r="E2190" s="34"/>
      <c r="F2190" s="34"/>
      <c r="G2190" s="34"/>
      <c r="H2190" s="34"/>
      <c r="I2190" s="34"/>
      <c r="J2190" s="34"/>
      <c r="K2190" s="34"/>
      <c r="L2190" s="34"/>
      <c r="M2190" s="36"/>
      <c r="N2190" s="36"/>
      <c r="O2190" s="36"/>
      <c r="P2190" s="36"/>
      <c r="Q2190" s="36"/>
      <c r="R2190" s="36"/>
      <c r="S2190" s="36"/>
    </row>
    <row r="2191">
      <c r="A2191" s="34"/>
      <c r="B2191" s="34"/>
      <c r="C2191" s="35"/>
      <c r="D2191" s="35"/>
      <c r="E2191" s="34"/>
      <c r="F2191" s="34"/>
      <c r="G2191" s="34"/>
      <c r="H2191" s="34"/>
      <c r="I2191" s="34"/>
      <c r="J2191" s="34"/>
      <c r="K2191" s="34"/>
      <c r="L2191" s="34"/>
      <c r="M2191" s="36"/>
      <c r="N2191" s="36"/>
      <c r="O2191" s="36"/>
      <c r="P2191" s="36"/>
      <c r="Q2191" s="36"/>
      <c r="R2191" s="36"/>
      <c r="S2191" s="36"/>
    </row>
    <row r="2192">
      <c r="A2192" s="34"/>
      <c r="B2192" s="36"/>
      <c r="C2192" s="35"/>
      <c r="D2192" s="35"/>
      <c r="E2192" s="34"/>
      <c r="F2192" s="34"/>
      <c r="G2192" s="34"/>
      <c r="H2192" s="34"/>
      <c r="I2192" s="36"/>
      <c r="J2192" s="34"/>
      <c r="K2192" s="34"/>
      <c r="L2192" s="34"/>
      <c r="M2192" s="36"/>
      <c r="N2192" s="36"/>
      <c r="O2192" s="36"/>
      <c r="P2192" s="36"/>
      <c r="Q2192" s="36"/>
      <c r="R2192" s="36"/>
      <c r="S2192" s="36"/>
    </row>
    <row r="2193">
      <c r="A2193" s="34"/>
      <c r="B2193" s="36"/>
      <c r="C2193" s="35"/>
      <c r="D2193" s="35"/>
      <c r="E2193" s="34"/>
      <c r="F2193" s="34"/>
      <c r="G2193" s="34"/>
      <c r="H2193" s="34"/>
      <c r="I2193" s="36"/>
      <c r="J2193" s="34"/>
      <c r="K2193" s="34"/>
      <c r="L2193" s="34"/>
      <c r="M2193" s="36"/>
      <c r="N2193" s="36"/>
      <c r="O2193" s="36"/>
      <c r="P2193" s="36"/>
      <c r="Q2193" s="36"/>
      <c r="R2193" s="36"/>
      <c r="S2193" s="36"/>
    </row>
    <row r="2194">
      <c r="A2194" s="34"/>
      <c r="B2194" s="36"/>
      <c r="C2194" s="35"/>
      <c r="D2194" s="35"/>
      <c r="E2194" s="34"/>
      <c r="F2194" s="34"/>
      <c r="G2194" s="34"/>
      <c r="H2194" s="34"/>
      <c r="I2194" s="36"/>
      <c r="J2194" s="34"/>
      <c r="K2194" s="34"/>
      <c r="L2194" s="34"/>
      <c r="M2194" s="36"/>
      <c r="N2194" s="36"/>
      <c r="O2194" s="36"/>
      <c r="P2194" s="36"/>
      <c r="Q2194" s="36"/>
      <c r="R2194" s="36"/>
      <c r="S2194" s="36"/>
    </row>
    <row r="2195">
      <c r="A2195" s="34"/>
      <c r="B2195" s="36"/>
      <c r="C2195" s="35"/>
      <c r="D2195" s="35"/>
      <c r="E2195" s="34"/>
      <c r="F2195" s="34"/>
      <c r="G2195" s="34"/>
      <c r="H2195" s="34"/>
      <c r="I2195" s="36"/>
      <c r="J2195" s="34"/>
      <c r="K2195" s="34"/>
      <c r="L2195" s="34"/>
      <c r="M2195" s="36"/>
      <c r="N2195" s="36"/>
      <c r="O2195" s="36"/>
      <c r="P2195" s="36"/>
      <c r="Q2195" s="36"/>
      <c r="R2195" s="36"/>
      <c r="S2195" s="36"/>
    </row>
    <row r="2196">
      <c r="A2196" s="34"/>
      <c r="B2196" s="36"/>
      <c r="C2196" s="35"/>
      <c r="D2196" s="35"/>
      <c r="E2196" s="34"/>
      <c r="F2196" s="34"/>
      <c r="G2196" s="34"/>
      <c r="H2196" s="34"/>
      <c r="I2196" s="36"/>
      <c r="J2196" s="34"/>
      <c r="K2196" s="34"/>
      <c r="L2196" s="34"/>
      <c r="M2196" s="36"/>
      <c r="N2196" s="36"/>
      <c r="O2196" s="36"/>
      <c r="P2196" s="36"/>
      <c r="Q2196" s="36"/>
      <c r="R2196" s="36"/>
      <c r="S2196" s="36"/>
    </row>
    <row r="2197">
      <c r="A2197" s="34"/>
      <c r="B2197" s="34"/>
      <c r="C2197" s="35"/>
      <c r="D2197" s="35"/>
      <c r="E2197" s="34"/>
      <c r="F2197" s="34"/>
      <c r="G2197" s="34"/>
      <c r="H2197" s="34"/>
      <c r="I2197" s="34"/>
      <c r="J2197" s="34"/>
      <c r="K2197" s="34"/>
      <c r="L2197" s="34"/>
      <c r="M2197" s="36"/>
      <c r="N2197" s="36"/>
      <c r="O2197" s="36"/>
      <c r="P2197" s="36"/>
      <c r="Q2197" s="36"/>
      <c r="R2197" s="36"/>
      <c r="S2197" s="36"/>
    </row>
    <row r="2198">
      <c r="A2198" s="34"/>
      <c r="B2198" s="36"/>
      <c r="C2198" s="35"/>
      <c r="D2198" s="35"/>
      <c r="E2198" s="34"/>
      <c r="F2198" s="34"/>
      <c r="G2198" s="34"/>
      <c r="H2198" s="34"/>
      <c r="I2198" s="36"/>
      <c r="J2198" s="34"/>
      <c r="K2198" s="34"/>
      <c r="L2198" s="34"/>
      <c r="M2198" s="36"/>
      <c r="N2198" s="36"/>
      <c r="O2198" s="36"/>
      <c r="P2198" s="36"/>
      <c r="Q2198" s="36"/>
      <c r="R2198" s="36"/>
      <c r="S2198" s="36"/>
    </row>
    <row r="2199">
      <c r="A2199" s="34"/>
      <c r="B2199" s="36"/>
      <c r="C2199" s="35"/>
      <c r="D2199" s="35"/>
      <c r="E2199" s="34"/>
      <c r="F2199" s="34"/>
      <c r="G2199" s="34"/>
      <c r="H2199" s="34"/>
      <c r="I2199" s="36"/>
      <c r="J2199" s="34"/>
      <c r="K2199" s="34"/>
      <c r="L2199" s="34"/>
      <c r="M2199" s="36"/>
      <c r="N2199" s="36"/>
      <c r="O2199" s="36"/>
      <c r="P2199" s="36"/>
      <c r="Q2199" s="36"/>
      <c r="R2199" s="36"/>
      <c r="S2199" s="36"/>
    </row>
    <row r="2200">
      <c r="A2200" s="34"/>
      <c r="B2200" s="36"/>
      <c r="C2200" s="35"/>
      <c r="D2200" s="35"/>
      <c r="E2200" s="34"/>
      <c r="F2200" s="34"/>
      <c r="G2200" s="34"/>
      <c r="H2200" s="34"/>
      <c r="I2200" s="34"/>
      <c r="J2200" s="34"/>
      <c r="K2200" s="34"/>
      <c r="L2200" s="34"/>
      <c r="M2200" s="36"/>
      <c r="N2200" s="36"/>
      <c r="O2200" s="36"/>
      <c r="P2200" s="36"/>
      <c r="Q2200" s="36"/>
      <c r="R2200" s="36"/>
      <c r="S2200" s="36"/>
    </row>
    <row r="2201">
      <c r="A2201" s="34"/>
      <c r="B2201" s="36"/>
      <c r="C2201" s="35"/>
      <c r="D2201" s="35"/>
      <c r="E2201" s="34"/>
      <c r="F2201" s="34"/>
      <c r="G2201" s="34"/>
      <c r="H2201" s="34"/>
      <c r="I2201" s="34"/>
      <c r="J2201" s="34"/>
      <c r="K2201" s="34"/>
      <c r="L2201" s="34"/>
      <c r="M2201" s="36"/>
      <c r="N2201" s="36"/>
      <c r="O2201" s="36"/>
      <c r="P2201" s="36"/>
      <c r="Q2201" s="36"/>
      <c r="R2201" s="36"/>
      <c r="S2201" s="36"/>
    </row>
    <row r="2202">
      <c r="A2202" s="34"/>
      <c r="B2202" s="36"/>
      <c r="C2202" s="35"/>
      <c r="D2202" s="35"/>
      <c r="E2202" s="34"/>
      <c r="F2202" s="34"/>
      <c r="G2202" s="34"/>
      <c r="H2202" s="34"/>
      <c r="I2202" s="34"/>
      <c r="J2202" s="34"/>
      <c r="K2202" s="34"/>
      <c r="L2202" s="34"/>
      <c r="M2202" s="36"/>
      <c r="N2202" s="36"/>
      <c r="O2202" s="36"/>
      <c r="P2202" s="36"/>
      <c r="Q2202" s="36"/>
      <c r="R2202" s="36"/>
      <c r="S2202" s="36"/>
    </row>
    <row r="2203">
      <c r="A2203" s="34"/>
      <c r="B2203" s="36"/>
      <c r="C2203" s="35"/>
      <c r="D2203" s="35"/>
      <c r="E2203" s="34"/>
      <c r="F2203" s="34"/>
      <c r="G2203" s="34"/>
      <c r="H2203" s="34"/>
      <c r="I2203" s="34"/>
      <c r="J2203" s="34"/>
      <c r="K2203" s="34"/>
      <c r="L2203" s="34"/>
      <c r="M2203" s="36"/>
      <c r="N2203" s="36"/>
      <c r="O2203" s="36"/>
      <c r="P2203" s="36"/>
      <c r="Q2203" s="36"/>
      <c r="R2203" s="36"/>
      <c r="S2203" s="36"/>
    </row>
    <row r="2204">
      <c r="A2204" s="34"/>
      <c r="B2204" s="36"/>
      <c r="C2204" s="35"/>
      <c r="D2204" s="35"/>
      <c r="E2204" s="34"/>
      <c r="F2204" s="34"/>
      <c r="G2204" s="34"/>
      <c r="H2204" s="34"/>
      <c r="I2204" s="36"/>
      <c r="J2204" s="34"/>
      <c r="K2204" s="34"/>
      <c r="L2204" s="34"/>
      <c r="M2204" s="36"/>
      <c r="N2204" s="36"/>
      <c r="O2204" s="36"/>
      <c r="P2204" s="36"/>
      <c r="Q2204" s="36"/>
      <c r="R2204" s="36"/>
      <c r="S2204" s="36"/>
    </row>
    <row r="2205">
      <c r="A2205" s="34"/>
      <c r="B2205" s="36"/>
      <c r="C2205" s="35"/>
      <c r="D2205" s="35"/>
      <c r="E2205" s="34"/>
      <c r="F2205" s="34"/>
      <c r="G2205" s="34"/>
      <c r="H2205" s="34"/>
      <c r="I2205" s="36"/>
      <c r="J2205" s="34"/>
      <c r="K2205" s="34"/>
      <c r="L2205" s="34"/>
      <c r="M2205" s="36"/>
      <c r="N2205" s="36"/>
      <c r="O2205" s="36"/>
      <c r="P2205" s="36"/>
      <c r="Q2205" s="36"/>
      <c r="R2205" s="36"/>
      <c r="S2205" s="36"/>
    </row>
    <row r="2206">
      <c r="A2206" s="34"/>
      <c r="B2206" s="36"/>
      <c r="C2206" s="35"/>
      <c r="D2206" s="35"/>
      <c r="E2206" s="34"/>
      <c r="F2206" s="34"/>
      <c r="G2206" s="34"/>
      <c r="H2206" s="34"/>
      <c r="I2206" s="36"/>
      <c r="J2206" s="34"/>
      <c r="K2206" s="34"/>
      <c r="L2206" s="34"/>
      <c r="M2206" s="36"/>
      <c r="N2206" s="36"/>
      <c r="O2206" s="36"/>
      <c r="P2206" s="36"/>
      <c r="Q2206" s="36"/>
      <c r="R2206" s="36"/>
      <c r="S2206" s="36"/>
    </row>
    <row r="2207">
      <c r="A2207" s="34"/>
      <c r="B2207" s="36"/>
      <c r="C2207" s="35"/>
      <c r="D2207" s="35"/>
      <c r="E2207" s="34"/>
      <c r="F2207" s="34"/>
      <c r="G2207" s="34"/>
      <c r="H2207" s="34"/>
      <c r="I2207" s="36"/>
      <c r="J2207" s="34"/>
      <c r="K2207" s="34"/>
      <c r="L2207" s="34"/>
      <c r="M2207" s="36"/>
      <c r="N2207" s="36"/>
      <c r="O2207" s="36"/>
      <c r="P2207" s="36"/>
      <c r="Q2207" s="36"/>
      <c r="R2207" s="36"/>
      <c r="S2207" s="36"/>
    </row>
    <row r="2208">
      <c r="A2208" s="34"/>
      <c r="B2208" s="34"/>
      <c r="C2208" s="35"/>
      <c r="D2208" s="35"/>
      <c r="E2208" s="34"/>
      <c r="F2208" s="34"/>
      <c r="G2208" s="34"/>
      <c r="H2208" s="34"/>
      <c r="I2208" s="34"/>
      <c r="J2208" s="34"/>
      <c r="K2208" s="34"/>
      <c r="L2208" s="34"/>
      <c r="M2208" s="36"/>
      <c r="N2208" s="36"/>
      <c r="O2208" s="36"/>
      <c r="P2208" s="36"/>
      <c r="Q2208" s="36"/>
      <c r="R2208" s="36"/>
      <c r="S2208" s="36"/>
    </row>
    <row r="2209">
      <c r="A2209" s="34"/>
      <c r="B2209" s="36"/>
      <c r="C2209" s="35"/>
      <c r="D2209" s="35"/>
      <c r="E2209" s="34"/>
      <c r="F2209" s="34"/>
      <c r="G2209" s="34"/>
      <c r="H2209" s="34"/>
      <c r="I2209" s="36"/>
      <c r="J2209" s="34"/>
      <c r="K2209" s="34"/>
      <c r="L2209" s="34"/>
      <c r="M2209" s="36"/>
      <c r="N2209" s="36"/>
      <c r="O2209" s="36"/>
      <c r="P2209" s="36"/>
      <c r="Q2209" s="36"/>
      <c r="R2209" s="36"/>
      <c r="S2209" s="36"/>
    </row>
    <row r="2210">
      <c r="A2210" s="34"/>
      <c r="B2210" s="36"/>
      <c r="C2210" s="35"/>
      <c r="D2210" s="35"/>
      <c r="E2210" s="34"/>
      <c r="F2210" s="34"/>
      <c r="G2210" s="34"/>
      <c r="H2210" s="34"/>
      <c r="I2210" s="34"/>
      <c r="J2210" s="34"/>
      <c r="K2210" s="34"/>
      <c r="L2210" s="34"/>
      <c r="M2210" s="36"/>
      <c r="N2210" s="36"/>
      <c r="O2210" s="36"/>
      <c r="P2210" s="36"/>
      <c r="Q2210" s="36"/>
      <c r="R2210" s="36"/>
      <c r="S2210" s="36"/>
    </row>
    <row r="2211">
      <c r="A2211" s="34"/>
      <c r="B2211" s="36"/>
      <c r="C2211" s="35"/>
      <c r="D2211" s="35"/>
      <c r="E2211" s="34"/>
      <c r="F2211" s="34"/>
      <c r="G2211" s="34"/>
      <c r="H2211" s="34"/>
      <c r="I2211" s="34"/>
      <c r="J2211" s="34"/>
      <c r="K2211" s="34"/>
      <c r="L2211" s="34"/>
      <c r="M2211" s="36"/>
      <c r="N2211" s="36"/>
      <c r="O2211" s="36"/>
      <c r="P2211" s="36"/>
      <c r="Q2211" s="36"/>
      <c r="R2211" s="36"/>
      <c r="S2211" s="36"/>
    </row>
    <row r="2212">
      <c r="A2212" s="34"/>
      <c r="B2212" s="36"/>
      <c r="C2212" s="35"/>
      <c r="D2212" s="35"/>
      <c r="E2212" s="34"/>
      <c r="F2212" s="34"/>
      <c r="G2212" s="34"/>
      <c r="H2212" s="34"/>
      <c r="I2212" s="36"/>
      <c r="J2212" s="34"/>
      <c r="K2212" s="34"/>
      <c r="L2212" s="34"/>
      <c r="M2212" s="36"/>
      <c r="N2212" s="36"/>
      <c r="O2212" s="36"/>
      <c r="P2212" s="36"/>
      <c r="Q2212" s="36"/>
      <c r="R2212" s="36"/>
      <c r="S2212" s="36"/>
    </row>
    <row r="2213">
      <c r="A2213" s="34"/>
      <c r="B2213" s="34"/>
      <c r="C2213" s="35"/>
      <c r="D2213" s="35"/>
      <c r="E2213" s="34"/>
      <c r="F2213" s="34"/>
      <c r="G2213" s="34"/>
      <c r="H2213" s="34"/>
      <c r="I2213" s="34"/>
      <c r="J2213" s="34"/>
      <c r="K2213" s="34"/>
      <c r="L2213" s="34"/>
      <c r="M2213" s="36"/>
      <c r="N2213" s="36"/>
      <c r="O2213" s="36"/>
      <c r="P2213" s="36"/>
      <c r="Q2213" s="36"/>
      <c r="R2213" s="36"/>
      <c r="S2213" s="36"/>
    </row>
    <row r="2214">
      <c r="A2214" s="34"/>
      <c r="B2214" s="36"/>
      <c r="C2214" s="35"/>
      <c r="D2214" s="35"/>
      <c r="E2214" s="34"/>
      <c r="F2214" s="34"/>
      <c r="G2214" s="34"/>
      <c r="H2214" s="34"/>
      <c r="I2214" s="36"/>
      <c r="J2214" s="34"/>
      <c r="K2214" s="34"/>
      <c r="L2214" s="34"/>
      <c r="M2214" s="36"/>
      <c r="N2214" s="36"/>
      <c r="O2214" s="36"/>
      <c r="P2214" s="36"/>
      <c r="Q2214" s="36"/>
      <c r="R2214" s="36"/>
      <c r="S2214" s="36"/>
    </row>
    <row r="2215">
      <c r="A2215" s="34"/>
      <c r="B2215" s="36"/>
      <c r="C2215" s="35"/>
      <c r="D2215" s="35"/>
      <c r="E2215" s="34"/>
      <c r="F2215" s="34"/>
      <c r="G2215" s="34"/>
      <c r="H2215" s="34"/>
      <c r="I2215" s="36"/>
      <c r="J2215" s="34"/>
      <c r="K2215" s="34"/>
      <c r="L2215" s="34"/>
      <c r="M2215" s="36"/>
      <c r="N2215" s="36"/>
      <c r="O2215" s="36"/>
      <c r="P2215" s="36"/>
      <c r="Q2215" s="36"/>
      <c r="R2215" s="36"/>
      <c r="S2215" s="36"/>
    </row>
    <row r="2216">
      <c r="A2216" s="34"/>
      <c r="B2216" s="36"/>
      <c r="C2216" s="35"/>
      <c r="D2216" s="35"/>
      <c r="E2216" s="34"/>
      <c r="F2216" s="34"/>
      <c r="G2216" s="34"/>
      <c r="H2216" s="34"/>
      <c r="I2216" s="34"/>
      <c r="J2216" s="34"/>
      <c r="K2216" s="34"/>
      <c r="L2216" s="34"/>
      <c r="M2216" s="36"/>
      <c r="N2216" s="36"/>
      <c r="O2216" s="36"/>
      <c r="P2216" s="36"/>
      <c r="Q2216" s="36"/>
      <c r="R2216" s="36"/>
      <c r="S2216" s="36"/>
    </row>
    <row r="2217">
      <c r="A2217" s="34"/>
      <c r="B2217" s="34"/>
      <c r="C2217" s="35"/>
      <c r="D2217" s="35"/>
      <c r="E2217" s="34"/>
      <c r="F2217" s="34"/>
      <c r="G2217" s="34"/>
      <c r="H2217" s="34"/>
      <c r="I2217" s="34"/>
      <c r="J2217" s="34"/>
      <c r="K2217" s="34"/>
      <c r="L2217" s="34"/>
      <c r="M2217" s="36"/>
      <c r="N2217" s="36"/>
      <c r="O2217" s="36"/>
      <c r="P2217" s="36"/>
      <c r="Q2217" s="36"/>
      <c r="R2217" s="36"/>
      <c r="S2217" s="36"/>
    </row>
    <row r="2218">
      <c r="A2218" s="34"/>
      <c r="B2218" s="36"/>
      <c r="C2218" s="35"/>
      <c r="D2218" s="35"/>
      <c r="E2218" s="34"/>
      <c r="F2218" s="34"/>
      <c r="G2218" s="34"/>
      <c r="H2218" s="34"/>
      <c r="I2218" s="34"/>
      <c r="J2218" s="34"/>
      <c r="K2218" s="34"/>
      <c r="L2218" s="34"/>
      <c r="M2218" s="36"/>
      <c r="N2218" s="36"/>
      <c r="O2218" s="36"/>
      <c r="P2218" s="36"/>
      <c r="Q2218" s="36"/>
      <c r="R2218" s="36"/>
      <c r="S2218" s="36"/>
    </row>
    <row r="2219">
      <c r="A2219" s="34"/>
      <c r="B2219" s="36"/>
      <c r="C2219" s="35"/>
      <c r="D2219" s="35"/>
      <c r="E2219" s="34"/>
      <c r="F2219" s="34"/>
      <c r="G2219" s="34"/>
      <c r="H2219" s="34"/>
      <c r="I2219" s="36"/>
      <c r="J2219" s="34"/>
      <c r="K2219" s="34"/>
      <c r="L2219" s="34"/>
      <c r="M2219" s="36"/>
      <c r="N2219" s="36"/>
      <c r="O2219" s="36"/>
      <c r="P2219" s="36"/>
      <c r="Q2219" s="36"/>
      <c r="R2219" s="36"/>
      <c r="S2219" s="36"/>
    </row>
    <row r="2220">
      <c r="A2220" s="34"/>
      <c r="B2220" s="34"/>
      <c r="C2220" s="35"/>
      <c r="D2220" s="35"/>
      <c r="E2220" s="34"/>
      <c r="F2220" s="34"/>
      <c r="G2220" s="34"/>
      <c r="H2220" s="34"/>
      <c r="I2220" s="34"/>
      <c r="J2220" s="34"/>
      <c r="K2220" s="34"/>
      <c r="L2220" s="34"/>
      <c r="M2220" s="36"/>
      <c r="N2220" s="36"/>
      <c r="O2220" s="36"/>
      <c r="P2220" s="36"/>
      <c r="Q2220" s="36"/>
      <c r="R2220" s="36"/>
      <c r="S2220" s="36"/>
    </row>
    <row r="2221">
      <c r="A2221" s="34"/>
      <c r="B2221" s="34"/>
      <c r="C2221" s="35"/>
      <c r="D2221" s="35"/>
      <c r="E2221" s="34"/>
      <c r="F2221" s="34"/>
      <c r="G2221" s="34"/>
      <c r="H2221" s="34"/>
      <c r="I2221" s="34"/>
      <c r="J2221" s="34"/>
      <c r="K2221" s="34"/>
      <c r="L2221" s="34"/>
      <c r="M2221" s="36"/>
      <c r="N2221" s="36"/>
      <c r="O2221" s="36"/>
      <c r="P2221" s="36"/>
      <c r="Q2221" s="36"/>
      <c r="R2221" s="36"/>
      <c r="S2221" s="36"/>
    </row>
    <row r="2222">
      <c r="A2222" s="34"/>
      <c r="B2222" s="36"/>
      <c r="C2222" s="35"/>
      <c r="D2222" s="35"/>
      <c r="E2222" s="34"/>
      <c r="F2222" s="34"/>
      <c r="G2222" s="34"/>
      <c r="H2222" s="34"/>
      <c r="I2222" s="36"/>
      <c r="J2222" s="34"/>
      <c r="K2222" s="34"/>
      <c r="L2222" s="34"/>
      <c r="M2222" s="36"/>
      <c r="N2222" s="36"/>
      <c r="O2222" s="36"/>
      <c r="P2222" s="36"/>
      <c r="Q2222" s="36"/>
      <c r="R2222" s="36"/>
      <c r="S2222" s="36"/>
    </row>
    <row r="2223">
      <c r="A2223" s="34"/>
      <c r="B2223" s="34"/>
      <c r="C2223" s="35"/>
      <c r="D2223" s="35"/>
      <c r="E2223" s="34"/>
      <c r="F2223" s="34"/>
      <c r="G2223" s="34"/>
      <c r="H2223" s="34"/>
      <c r="I2223" s="34"/>
      <c r="J2223" s="34"/>
      <c r="K2223" s="34"/>
      <c r="L2223" s="34"/>
      <c r="M2223" s="36"/>
      <c r="N2223" s="36"/>
      <c r="O2223" s="36"/>
      <c r="P2223" s="36"/>
      <c r="Q2223" s="36"/>
      <c r="R2223" s="36"/>
      <c r="S2223" s="36"/>
    </row>
    <row r="2224">
      <c r="A2224" s="34"/>
      <c r="B2224" s="36"/>
      <c r="C2224" s="35"/>
      <c r="D2224" s="35"/>
      <c r="E2224" s="34"/>
      <c r="F2224" s="34"/>
      <c r="G2224" s="34"/>
      <c r="H2224" s="34"/>
      <c r="I2224" s="36"/>
      <c r="J2224" s="34"/>
      <c r="K2224" s="34"/>
      <c r="L2224" s="34"/>
      <c r="M2224" s="36"/>
      <c r="N2224" s="36"/>
      <c r="O2224" s="36"/>
      <c r="P2224" s="36"/>
      <c r="Q2224" s="36"/>
      <c r="R2224" s="36"/>
      <c r="S2224" s="36"/>
    </row>
    <row r="2225">
      <c r="A2225" s="34"/>
      <c r="B2225" s="36"/>
      <c r="C2225" s="35"/>
      <c r="D2225" s="35"/>
      <c r="E2225" s="34"/>
      <c r="F2225" s="34"/>
      <c r="G2225" s="34"/>
      <c r="H2225" s="34"/>
      <c r="I2225" s="34"/>
      <c r="J2225" s="34"/>
      <c r="K2225" s="34"/>
      <c r="L2225" s="34"/>
      <c r="M2225" s="36"/>
      <c r="N2225" s="36"/>
      <c r="O2225" s="36"/>
      <c r="P2225" s="36"/>
      <c r="Q2225" s="36"/>
      <c r="R2225" s="36"/>
      <c r="S2225" s="36"/>
    </row>
    <row r="2226">
      <c r="A2226" s="34"/>
      <c r="B2226" s="36"/>
      <c r="C2226" s="35"/>
      <c r="D2226" s="35"/>
      <c r="E2226" s="34"/>
      <c r="F2226" s="34"/>
      <c r="G2226" s="34"/>
      <c r="H2226" s="34"/>
      <c r="I2226" s="36"/>
      <c r="J2226" s="34"/>
      <c r="K2226" s="34"/>
      <c r="L2226" s="34"/>
      <c r="M2226" s="36"/>
      <c r="N2226" s="36"/>
      <c r="O2226" s="36"/>
      <c r="P2226" s="36"/>
      <c r="Q2226" s="36"/>
      <c r="R2226" s="36"/>
      <c r="S2226" s="36"/>
    </row>
    <row r="2227">
      <c r="A2227" s="34"/>
      <c r="B2227" s="36"/>
      <c r="C2227" s="35"/>
      <c r="D2227" s="35"/>
      <c r="E2227" s="34"/>
      <c r="F2227" s="34"/>
      <c r="G2227" s="34"/>
      <c r="H2227" s="34"/>
      <c r="I2227" s="36"/>
      <c r="J2227" s="34"/>
      <c r="K2227" s="34"/>
      <c r="L2227" s="34"/>
      <c r="M2227" s="36"/>
      <c r="N2227" s="36"/>
      <c r="O2227" s="36"/>
      <c r="P2227" s="36"/>
      <c r="Q2227" s="36"/>
      <c r="R2227" s="36"/>
      <c r="S2227" s="36"/>
    </row>
    <row r="2228">
      <c r="A2228" s="34"/>
      <c r="B2228" s="36"/>
      <c r="C2228" s="35"/>
      <c r="D2228" s="35"/>
      <c r="E2228" s="34"/>
      <c r="F2228" s="34"/>
      <c r="G2228" s="34"/>
      <c r="H2228" s="34"/>
      <c r="I2228" s="36"/>
      <c r="J2228" s="34"/>
      <c r="K2228" s="34"/>
      <c r="L2228" s="34"/>
      <c r="M2228" s="36"/>
      <c r="N2228" s="36"/>
      <c r="O2228" s="36"/>
      <c r="P2228" s="36"/>
      <c r="Q2228" s="36"/>
      <c r="R2228" s="36"/>
      <c r="S2228" s="36"/>
    </row>
    <row r="2229">
      <c r="A2229" s="34"/>
      <c r="B2229" s="34"/>
      <c r="C2229" s="35"/>
      <c r="D2229" s="35"/>
      <c r="E2229" s="34"/>
      <c r="F2229" s="34"/>
      <c r="G2229" s="34"/>
      <c r="H2229" s="34"/>
      <c r="I2229" s="34"/>
      <c r="J2229" s="34"/>
      <c r="K2229" s="34"/>
      <c r="L2229" s="34"/>
      <c r="M2229" s="36"/>
      <c r="N2229" s="36"/>
      <c r="O2229" s="36"/>
      <c r="P2229" s="36"/>
      <c r="Q2229" s="36"/>
      <c r="R2229" s="36"/>
      <c r="S2229" s="36"/>
    </row>
    <row r="2230">
      <c r="A2230" s="34"/>
      <c r="B2230" s="34"/>
      <c r="C2230" s="35"/>
      <c r="D2230" s="35"/>
      <c r="E2230" s="34"/>
      <c r="F2230" s="34"/>
      <c r="G2230" s="34"/>
      <c r="H2230" s="34"/>
      <c r="I2230" s="34"/>
      <c r="J2230" s="34"/>
      <c r="K2230" s="34"/>
      <c r="L2230" s="34"/>
      <c r="M2230" s="36"/>
      <c r="N2230" s="36"/>
      <c r="O2230" s="36"/>
      <c r="P2230" s="36"/>
      <c r="Q2230" s="36"/>
      <c r="R2230" s="36"/>
      <c r="S2230" s="36"/>
    </row>
    <row r="2231">
      <c r="A2231" s="34"/>
      <c r="B2231" s="34"/>
      <c r="C2231" s="35"/>
      <c r="D2231" s="35"/>
      <c r="E2231" s="34"/>
      <c r="F2231" s="34"/>
      <c r="G2231" s="34"/>
      <c r="H2231" s="34"/>
      <c r="I2231" s="34"/>
      <c r="J2231" s="34"/>
      <c r="K2231" s="34"/>
      <c r="L2231" s="34"/>
      <c r="M2231" s="36"/>
      <c r="N2231" s="36"/>
      <c r="O2231" s="36"/>
      <c r="P2231" s="36"/>
      <c r="Q2231" s="36"/>
      <c r="R2231" s="36"/>
      <c r="S2231" s="36"/>
    </row>
    <row r="2232">
      <c r="A2232" s="34"/>
      <c r="B2232" s="36"/>
      <c r="C2232" s="35"/>
      <c r="D2232" s="35"/>
      <c r="E2232" s="34"/>
      <c r="F2232" s="34"/>
      <c r="G2232" s="34"/>
      <c r="H2232" s="34"/>
      <c r="I2232" s="36"/>
      <c r="J2232" s="34"/>
      <c r="K2232" s="34"/>
      <c r="L2232" s="34"/>
      <c r="M2232" s="36"/>
      <c r="N2232" s="36"/>
      <c r="O2232" s="36"/>
      <c r="P2232" s="36"/>
      <c r="Q2232" s="36"/>
      <c r="R2232" s="36"/>
      <c r="S2232" s="36"/>
    </row>
    <row r="2233">
      <c r="A2233" s="34"/>
      <c r="B2233" s="36"/>
      <c r="C2233" s="35"/>
      <c r="D2233" s="35"/>
      <c r="E2233" s="34"/>
      <c r="F2233" s="34"/>
      <c r="G2233" s="34"/>
      <c r="H2233" s="34"/>
      <c r="I2233" s="36"/>
      <c r="J2233" s="34"/>
      <c r="K2233" s="34"/>
      <c r="L2233" s="34"/>
      <c r="M2233" s="36"/>
      <c r="N2233" s="36"/>
      <c r="O2233" s="36"/>
      <c r="P2233" s="36"/>
      <c r="Q2233" s="36"/>
      <c r="R2233" s="36"/>
      <c r="S2233" s="36"/>
    </row>
    <row r="2234">
      <c r="A2234" s="34"/>
      <c r="B2234" s="34"/>
      <c r="C2234" s="35"/>
      <c r="D2234" s="35"/>
      <c r="E2234" s="34"/>
      <c r="F2234" s="34"/>
      <c r="G2234" s="34"/>
      <c r="H2234" s="34"/>
      <c r="I2234" s="34"/>
      <c r="J2234" s="34"/>
      <c r="K2234" s="34"/>
      <c r="L2234" s="34"/>
      <c r="M2234" s="36"/>
      <c r="N2234" s="36"/>
      <c r="O2234" s="36"/>
      <c r="P2234" s="36"/>
      <c r="Q2234" s="36"/>
      <c r="R2234" s="36"/>
      <c r="S2234" s="36"/>
    </row>
    <row r="2235">
      <c r="A2235" s="34"/>
      <c r="B2235" s="34"/>
      <c r="C2235" s="35"/>
      <c r="D2235" s="35"/>
      <c r="E2235" s="34"/>
      <c r="F2235" s="34"/>
      <c r="G2235" s="34"/>
      <c r="H2235" s="34"/>
      <c r="I2235" s="34"/>
      <c r="J2235" s="34"/>
      <c r="K2235" s="34"/>
      <c r="L2235" s="34"/>
      <c r="M2235" s="36"/>
      <c r="N2235" s="36"/>
      <c r="O2235" s="36"/>
      <c r="P2235" s="36"/>
      <c r="Q2235" s="36"/>
      <c r="R2235" s="36"/>
      <c r="S2235" s="36"/>
    </row>
    <row r="2236">
      <c r="A2236" s="34"/>
      <c r="B2236" s="36"/>
      <c r="C2236" s="35"/>
      <c r="D2236" s="35"/>
      <c r="E2236" s="34"/>
      <c r="F2236" s="34"/>
      <c r="G2236" s="34"/>
      <c r="H2236" s="34"/>
      <c r="I2236" s="36"/>
      <c r="J2236" s="34"/>
      <c r="K2236" s="34"/>
      <c r="L2236" s="34"/>
      <c r="M2236" s="36"/>
      <c r="N2236" s="36"/>
      <c r="O2236" s="36"/>
      <c r="P2236" s="36"/>
      <c r="Q2236" s="36"/>
      <c r="R2236" s="36"/>
      <c r="S2236" s="36"/>
    </row>
    <row r="2237">
      <c r="A2237" s="34"/>
      <c r="B2237" s="34"/>
      <c r="C2237" s="35"/>
      <c r="D2237" s="35"/>
      <c r="E2237" s="34"/>
      <c r="F2237" s="34"/>
      <c r="G2237" s="34"/>
      <c r="H2237" s="34"/>
      <c r="I2237" s="34"/>
      <c r="J2237" s="34"/>
      <c r="K2237" s="34"/>
      <c r="L2237" s="34"/>
      <c r="M2237" s="36"/>
      <c r="N2237" s="36"/>
      <c r="O2237" s="36"/>
      <c r="P2237" s="36"/>
      <c r="Q2237" s="36"/>
      <c r="R2237" s="36"/>
      <c r="S2237" s="36"/>
    </row>
    <row r="2238">
      <c r="A2238" s="34"/>
      <c r="B2238" s="36"/>
      <c r="C2238" s="35"/>
      <c r="D2238" s="35"/>
      <c r="E2238" s="34"/>
      <c r="F2238" s="34"/>
      <c r="G2238" s="34"/>
      <c r="H2238" s="34"/>
      <c r="I2238" s="36"/>
      <c r="J2238" s="34"/>
      <c r="K2238" s="34"/>
      <c r="L2238" s="34"/>
      <c r="M2238" s="36"/>
      <c r="N2238" s="36"/>
      <c r="O2238" s="36"/>
      <c r="P2238" s="36"/>
      <c r="Q2238" s="36"/>
      <c r="R2238" s="36"/>
      <c r="S2238" s="36"/>
    </row>
    <row r="2239">
      <c r="A2239" s="34"/>
      <c r="B2239" s="36"/>
      <c r="C2239" s="35"/>
      <c r="D2239" s="35"/>
      <c r="E2239" s="34"/>
      <c r="F2239" s="34"/>
      <c r="G2239" s="34"/>
      <c r="H2239" s="34"/>
      <c r="I2239" s="36"/>
      <c r="J2239" s="34"/>
      <c r="K2239" s="34"/>
      <c r="L2239" s="34"/>
      <c r="M2239" s="36"/>
      <c r="N2239" s="36"/>
      <c r="O2239" s="36"/>
      <c r="P2239" s="36"/>
      <c r="Q2239" s="36"/>
      <c r="R2239" s="36"/>
      <c r="S2239" s="36"/>
    </row>
    <row r="2240">
      <c r="A2240" s="34"/>
      <c r="B2240" s="36"/>
      <c r="C2240" s="35"/>
      <c r="D2240" s="35"/>
      <c r="E2240" s="34"/>
      <c r="F2240" s="34"/>
      <c r="G2240" s="34"/>
      <c r="H2240" s="34"/>
      <c r="I2240" s="36"/>
      <c r="J2240" s="34"/>
      <c r="K2240" s="34"/>
      <c r="L2240" s="34"/>
      <c r="M2240" s="36"/>
      <c r="N2240" s="36"/>
      <c r="O2240" s="36"/>
      <c r="P2240" s="36"/>
      <c r="Q2240" s="36"/>
      <c r="R2240" s="36"/>
      <c r="S2240" s="36"/>
    </row>
    <row r="2241">
      <c r="A2241" s="34"/>
      <c r="B2241" s="36"/>
      <c r="C2241" s="35"/>
      <c r="D2241" s="35"/>
      <c r="E2241" s="34"/>
      <c r="F2241" s="34"/>
      <c r="G2241" s="34"/>
      <c r="H2241" s="34"/>
      <c r="I2241" s="36"/>
      <c r="J2241" s="34"/>
      <c r="K2241" s="34"/>
      <c r="L2241" s="34"/>
      <c r="M2241" s="36"/>
      <c r="N2241" s="36"/>
      <c r="O2241" s="36"/>
      <c r="P2241" s="36"/>
      <c r="Q2241" s="36"/>
      <c r="R2241" s="36"/>
      <c r="S2241" s="36"/>
    </row>
    <row r="2242">
      <c r="A2242" s="34"/>
      <c r="B2242" s="34"/>
      <c r="C2242" s="35"/>
      <c r="D2242" s="35"/>
      <c r="E2242" s="34"/>
      <c r="F2242" s="34"/>
      <c r="G2242" s="34"/>
      <c r="H2242" s="34"/>
      <c r="I2242" s="34"/>
      <c r="J2242" s="34"/>
      <c r="K2242" s="34"/>
      <c r="L2242" s="34"/>
      <c r="M2242" s="36"/>
      <c r="N2242" s="36"/>
      <c r="O2242" s="36"/>
      <c r="P2242" s="36"/>
      <c r="Q2242" s="36"/>
      <c r="R2242" s="36"/>
      <c r="S2242" s="36"/>
    </row>
    <row r="2243">
      <c r="A2243" s="34"/>
      <c r="B2243" s="34"/>
      <c r="C2243" s="35"/>
      <c r="D2243" s="35"/>
      <c r="E2243" s="34"/>
      <c r="F2243" s="34"/>
      <c r="G2243" s="34"/>
      <c r="H2243" s="34"/>
      <c r="I2243" s="34"/>
      <c r="J2243" s="34"/>
      <c r="K2243" s="34"/>
      <c r="L2243" s="34"/>
      <c r="M2243" s="36"/>
      <c r="N2243" s="36"/>
      <c r="O2243" s="36"/>
      <c r="P2243" s="36"/>
      <c r="Q2243" s="36"/>
      <c r="R2243" s="36"/>
      <c r="S2243" s="36"/>
    </row>
    <row r="2244">
      <c r="A2244" s="34"/>
      <c r="B2244" s="34"/>
      <c r="C2244" s="35"/>
      <c r="D2244" s="35"/>
      <c r="E2244" s="34"/>
      <c r="F2244" s="34"/>
      <c r="G2244" s="34"/>
      <c r="H2244" s="34"/>
      <c r="I2244" s="34"/>
      <c r="J2244" s="34"/>
      <c r="K2244" s="34"/>
      <c r="L2244" s="34"/>
      <c r="M2244" s="36"/>
      <c r="N2244" s="36"/>
      <c r="O2244" s="36"/>
      <c r="P2244" s="36"/>
      <c r="Q2244" s="36"/>
      <c r="R2244" s="36"/>
      <c r="S2244" s="36"/>
    </row>
    <row r="2245">
      <c r="A2245" s="34"/>
      <c r="B2245" s="34"/>
      <c r="C2245" s="35"/>
      <c r="D2245" s="35"/>
      <c r="E2245" s="34"/>
      <c r="F2245" s="34"/>
      <c r="G2245" s="34"/>
      <c r="H2245" s="34"/>
      <c r="I2245" s="34"/>
      <c r="J2245" s="34"/>
      <c r="K2245" s="34"/>
      <c r="L2245" s="34"/>
      <c r="M2245" s="36"/>
      <c r="N2245" s="36"/>
      <c r="O2245" s="36"/>
      <c r="P2245" s="36"/>
      <c r="Q2245" s="36"/>
      <c r="R2245" s="36"/>
      <c r="S2245" s="36"/>
    </row>
    <row r="2246">
      <c r="A2246" s="34"/>
      <c r="B2246" s="36"/>
      <c r="C2246" s="35"/>
      <c r="D2246" s="35"/>
      <c r="E2246" s="34"/>
      <c r="F2246" s="34"/>
      <c r="G2246" s="34"/>
      <c r="H2246" s="34"/>
      <c r="I2246" s="36"/>
      <c r="J2246" s="34"/>
      <c r="K2246" s="34"/>
      <c r="L2246" s="34"/>
      <c r="M2246" s="36"/>
      <c r="N2246" s="36"/>
      <c r="O2246" s="36"/>
      <c r="P2246" s="36"/>
      <c r="Q2246" s="36"/>
      <c r="R2246" s="36"/>
      <c r="S2246" s="36"/>
    </row>
    <row r="2247">
      <c r="A2247" s="34"/>
      <c r="B2247" s="36"/>
      <c r="C2247" s="35"/>
      <c r="D2247" s="35"/>
      <c r="E2247" s="34"/>
      <c r="F2247" s="34"/>
      <c r="G2247" s="34"/>
      <c r="H2247" s="34"/>
      <c r="I2247" s="36"/>
      <c r="J2247" s="34"/>
      <c r="K2247" s="34"/>
      <c r="L2247" s="34"/>
      <c r="M2247" s="36"/>
      <c r="N2247" s="36"/>
      <c r="O2247" s="36"/>
      <c r="P2247" s="36"/>
      <c r="Q2247" s="36"/>
      <c r="R2247" s="36"/>
      <c r="S2247" s="36"/>
    </row>
    <row r="2248">
      <c r="A2248" s="34"/>
      <c r="B2248" s="36"/>
      <c r="C2248" s="35"/>
      <c r="D2248" s="35"/>
      <c r="E2248" s="34"/>
      <c r="F2248" s="34"/>
      <c r="G2248" s="34"/>
      <c r="H2248" s="34"/>
      <c r="I2248" s="36"/>
      <c r="J2248" s="34"/>
      <c r="K2248" s="34"/>
      <c r="L2248" s="34"/>
      <c r="M2248" s="36"/>
      <c r="N2248" s="36"/>
      <c r="O2248" s="36"/>
      <c r="P2248" s="36"/>
      <c r="Q2248" s="36"/>
      <c r="R2248" s="36"/>
      <c r="S2248" s="36"/>
    </row>
    <row r="2249">
      <c r="A2249" s="34"/>
      <c r="B2249" s="36"/>
      <c r="C2249" s="35"/>
      <c r="D2249" s="35"/>
      <c r="E2249" s="34"/>
      <c r="F2249" s="34"/>
      <c r="G2249" s="34"/>
      <c r="H2249" s="34"/>
      <c r="I2249" s="34"/>
      <c r="J2249" s="34"/>
      <c r="K2249" s="34"/>
      <c r="L2249" s="34"/>
      <c r="M2249" s="36"/>
      <c r="N2249" s="36"/>
      <c r="O2249" s="36"/>
      <c r="P2249" s="36"/>
      <c r="Q2249" s="36"/>
      <c r="R2249" s="36"/>
      <c r="S2249" s="36"/>
    </row>
    <row r="2250">
      <c r="A2250" s="34"/>
      <c r="B2250" s="36"/>
      <c r="C2250" s="35"/>
      <c r="D2250" s="35"/>
      <c r="E2250" s="34"/>
      <c r="F2250" s="34"/>
      <c r="G2250" s="34"/>
      <c r="H2250" s="34"/>
      <c r="I2250" s="34"/>
      <c r="J2250" s="34"/>
      <c r="K2250" s="34"/>
      <c r="L2250" s="34"/>
      <c r="M2250" s="36"/>
      <c r="N2250" s="36"/>
      <c r="O2250" s="36"/>
      <c r="P2250" s="36"/>
      <c r="Q2250" s="36"/>
      <c r="R2250" s="36"/>
      <c r="S2250" s="36"/>
    </row>
    <row r="2251">
      <c r="A2251" s="34"/>
      <c r="B2251" s="34"/>
      <c r="C2251" s="35"/>
      <c r="D2251" s="35"/>
      <c r="E2251" s="34"/>
      <c r="F2251" s="34"/>
      <c r="G2251" s="34"/>
      <c r="H2251" s="34"/>
      <c r="I2251" s="34"/>
      <c r="J2251" s="34"/>
      <c r="K2251" s="34"/>
      <c r="L2251" s="34"/>
      <c r="M2251" s="36"/>
      <c r="N2251" s="36"/>
      <c r="O2251" s="36"/>
      <c r="P2251" s="36"/>
      <c r="Q2251" s="36"/>
      <c r="R2251" s="36"/>
      <c r="S2251" s="36"/>
    </row>
    <row r="2252">
      <c r="A2252" s="34"/>
      <c r="B2252" s="36"/>
      <c r="C2252" s="35"/>
      <c r="D2252" s="35"/>
      <c r="E2252" s="34"/>
      <c r="F2252" s="34"/>
      <c r="G2252" s="34"/>
      <c r="H2252" s="34"/>
      <c r="I2252" s="36"/>
      <c r="J2252" s="34"/>
      <c r="K2252" s="34"/>
      <c r="L2252" s="34"/>
      <c r="M2252" s="36"/>
      <c r="N2252" s="36"/>
      <c r="O2252" s="36"/>
      <c r="P2252" s="36"/>
      <c r="Q2252" s="36"/>
      <c r="R2252" s="36"/>
      <c r="S2252" s="36"/>
    </row>
    <row r="2253">
      <c r="A2253" s="34"/>
      <c r="B2253" s="34"/>
      <c r="C2253" s="35"/>
      <c r="D2253" s="35"/>
      <c r="E2253" s="34"/>
      <c r="F2253" s="34"/>
      <c r="G2253" s="34"/>
      <c r="H2253" s="34"/>
      <c r="I2253" s="34"/>
      <c r="J2253" s="34"/>
      <c r="K2253" s="34"/>
      <c r="L2253" s="34"/>
      <c r="M2253" s="36"/>
      <c r="N2253" s="36"/>
      <c r="O2253" s="36"/>
      <c r="P2253" s="36"/>
      <c r="Q2253" s="36"/>
      <c r="R2253" s="36"/>
      <c r="S2253" s="36"/>
    </row>
    <row r="2254">
      <c r="A2254" s="34"/>
      <c r="B2254" s="34"/>
      <c r="C2254" s="35"/>
      <c r="D2254" s="35"/>
      <c r="E2254" s="34"/>
      <c r="F2254" s="34"/>
      <c r="G2254" s="34"/>
      <c r="H2254" s="34"/>
      <c r="I2254" s="34"/>
      <c r="J2254" s="34"/>
      <c r="K2254" s="34"/>
      <c r="L2254" s="34"/>
      <c r="M2254" s="36"/>
      <c r="N2254" s="36"/>
      <c r="O2254" s="36"/>
      <c r="P2254" s="36"/>
      <c r="Q2254" s="36"/>
      <c r="R2254" s="36"/>
      <c r="S2254" s="36"/>
    </row>
    <row r="2255">
      <c r="A2255" s="34"/>
      <c r="B2255" s="36"/>
      <c r="C2255" s="35"/>
      <c r="D2255" s="35"/>
      <c r="E2255" s="34"/>
      <c r="F2255" s="34"/>
      <c r="G2255" s="34"/>
      <c r="H2255" s="34"/>
      <c r="I2255" s="36"/>
      <c r="J2255" s="34"/>
      <c r="K2255" s="34"/>
      <c r="L2255" s="34"/>
      <c r="M2255" s="36"/>
      <c r="N2255" s="36"/>
      <c r="O2255" s="36"/>
      <c r="P2255" s="36"/>
      <c r="Q2255" s="36"/>
      <c r="R2255" s="36"/>
      <c r="S2255" s="36"/>
    </row>
    <row r="2256">
      <c r="A2256" s="34"/>
      <c r="B2256" s="34"/>
      <c r="C2256" s="35"/>
      <c r="D2256" s="35"/>
      <c r="E2256" s="34"/>
      <c r="F2256" s="34"/>
      <c r="G2256" s="34"/>
      <c r="H2256" s="34"/>
      <c r="I2256" s="34"/>
      <c r="J2256" s="34"/>
      <c r="K2256" s="34"/>
      <c r="L2256" s="34"/>
      <c r="M2256" s="36"/>
      <c r="N2256" s="36"/>
      <c r="O2256" s="36"/>
      <c r="P2256" s="36"/>
      <c r="Q2256" s="36"/>
      <c r="R2256" s="36"/>
      <c r="S2256" s="36"/>
    </row>
    <row r="2257">
      <c r="A2257" s="34"/>
      <c r="B2257" s="34"/>
      <c r="C2257" s="35"/>
      <c r="D2257" s="35"/>
      <c r="E2257" s="34"/>
      <c r="F2257" s="34"/>
      <c r="G2257" s="34"/>
      <c r="H2257" s="34"/>
      <c r="I2257" s="34"/>
      <c r="J2257" s="34"/>
      <c r="K2257" s="34"/>
      <c r="L2257" s="34"/>
      <c r="M2257" s="36"/>
      <c r="N2257" s="36"/>
      <c r="O2257" s="36"/>
      <c r="P2257" s="36"/>
      <c r="Q2257" s="36"/>
      <c r="R2257" s="36"/>
      <c r="S2257" s="36"/>
    </row>
    <row r="2258">
      <c r="A2258" s="34"/>
      <c r="B2258" s="34"/>
      <c r="C2258" s="35"/>
      <c r="D2258" s="35"/>
      <c r="E2258" s="34"/>
      <c r="F2258" s="34"/>
      <c r="G2258" s="34"/>
      <c r="H2258" s="34"/>
      <c r="I2258" s="34"/>
      <c r="J2258" s="34"/>
      <c r="K2258" s="34"/>
      <c r="L2258" s="34"/>
      <c r="M2258" s="36"/>
      <c r="N2258" s="36"/>
      <c r="O2258" s="36"/>
      <c r="P2258" s="36"/>
      <c r="Q2258" s="36"/>
      <c r="R2258" s="36"/>
      <c r="S2258" s="36"/>
    </row>
    <row r="2259">
      <c r="A2259" s="34"/>
      <c r="B2259" s="34"/>
      <c r="C2259" s="35"/>
      <c r="D2259" s="35"/>
      <c r="E2259" s="34"/>
      <c r="F2259" s="34"/>
      <c r="G2259" s="34"/>
      <c r="H2259" s="34"/>
      <c r="I2259" s="34"/>
      <c r="J2259" s="34"/>
      <c r="K2259" s="34"/>
      <c r="L2259" s="34"/>
      <c r="M2259" s="36"/>
      <c r="N2259" s="36"/>
      <c r="O2259" s="36"/>
      <c r="P2259" s="36"/>
      <c r="Q2259" s="36"/>
      <c r="R2259" s="36"/>
      <c r="S2259" s="36"/>
    </row>
    <row r="2260">
      <c r="A2260" s="34"/>
      <c r="B2260" s="36"/>
      <c r="C2260" s="35"/>
      <c r="D2260" s="35"/>
      <c r="E2260" s="34"/>
      <c r="F2260" s="34"/>
      <c r="G2260" s="34"/>
      <c r="H2260" s="34"/>
      <c r="I2260" s="36"/>
      <c r="J2260" s="34"/>
      <c r="K2260" s="34"/>
      <c r="L2260" s="34"/>
      <c r="M2260" s="36"/>
      <c r="N2260" s="36"/>
      <c r="O2260" s="36"/>
      <c r="P2260" s="36"/>
      <c r="Q2260" s="36"/>
      <c r="R2260" s="36"/>
      <c r="S2260" s="36"/>
    </row>
    <row r="2261">
      <c r="A2261" s="34"/>
      <c r="B2261" s="34"/>
      <c r="C2261" s="35"/>
      <c r="D2261" s="35"/>
      <c r="E2261" s="34"/>
      <c r="F2261" s="34"/>
      <c r="G2261" s="34"/>
      <c r="H2261" s="34"/>
      <c r="I2261" s="34"/>
      <c r="J2261" s="34"/>
      <c r="K2261" s="34"/>
      <c r="L2261" s="34"/>
      <c r="M2261" s="36"/>
      <c r="N2261" s="36"/>
      <c r="O2261" s="36"/>
      <c r="P2261" s="36"/>
      <c r="Q2261" s="36"/>
      <c r="R2261" s="36"/>
      <c r="S2261" s="36"/>
    </row>
    <row r="2262">
      <c r="A2262" s="34"/>
      <c r="B2262" s="36"/>
      <c r="C2262" s="35"/>
      <c r="D2262" s="35"/>
      <c r="E2262" s="34"/>
      <c r="F2262" s="34"/>
      <c r="G2262" s="34"/>
      <c r="H2262" s="34"/>
      <c r="I2262" s="36"/>
      <c r="J2262" s="34"/>
      <c r="K2262" s="34"/>
      <c r="L2262" s="34"/>
      <c r="M2262" s="36"/>
      <c r="N2262" s="36"/>
      <c r="O2262" s="36"/>
      <c r="P2262" s="36"/>
      <c r="Q2262" s="36"/>
      <c r="R2262" s="36"/>
      <c r="S2262" s="36"/>
    </row>
    <row r="2263">
      <c r="A2263" s="34"/>
      <c r="B2263" s="36"/>
      <c r="C2263" s="35"/>
      <c r="D2263" s="35"/>
      <c r="E2263" s="34"/>
      <c r="F2263" s="34"/>
      <c r="G2263" s="34"/>
      <c r="H2263" s="34"/>
      <c r="I2263" s="36"/>
      <c r="J2263" s="34"/>
      <c r="K2263" s="34"/>
      <c r="L2263" s="34"/>
      <c r="M2263" s="36"/>
      <c r="N2263" s="36"/>
      <c r="O2263" s="36"/>
      <c r="P2263" s="36"/>
      <c r="Q2263" s="36"/>
      <c r="R2263" s="36"/>
      <c r="S2263" s="36"/>
    </row>
    <row r="2264">
      <c r="A2264" s="34"/>
      <c r="B2264" s="36"/>
      <c r="C2264" s="35"/>
      <c r="D2264" s="35"/>
      <c r="E2264" s="34"/>
      <c r="F2264" s="34"/>
      <c r="G2264" s="34"/>
      <c r="H2264" s="34"/>
      <c r="I2264" s="36"/>
      <c r="J2264" s="34"/>
      <c r="K2264" s="34"/>
      <c r="L2264" s="34"/>
      <c r="M2264" s="36"/>
      <c r="N2264" s="36"/>
      <c r="O2264" s="36"/>
      <c r="P2264" s="36"/>
      <c r="Q2264" s="36"/>
      <c r="R2264" s="36"/>
      <c r="S2264" s="36"/>
    </row>
    <row r="2265">
      <c r="A2265" s="34"/>
      <c r="B2265" s="36"/>
      <c r="C2265" s="35"/>
      <c r="D2265" s="35"/>
      <c r="E2265" s="34"/>
      <c r="F2265" s="34"/>
      <c r="G2265" s="34"/>
      <c r="H2265" s="34"/>
      <c r="I2265" s="36"/>
      <c r="J2265" s="34"/>
      <c r="K2265" s="34"/>
      <c r="L2265" s="34"/>
      <c r="M2265" s="36"/>
      <c r="N2265" s="36"/>
      <c r="O2265" s="36"/>
      <c r="P2265" s="36"/>
      <c r="Q2265" s="36"/>
      <c r="R2265" s="36"/>
      <c r="S2265" s="36"/>
    </row>
    <row r="2266">
      <c r="A2266" s="34"/>
      <c r="B2266" s="36"/>
      <c r="C2266" s="35"/>
      <c r="D2266" s="35"/>
      <c r="E2266" s="34"/>
      <c r="F2266" s="34"/>
      <c r="G2266" s="34"/>
      <c r="H2266" s="34"/>
      <c r="I2266" s="36"/>
      <c r="J2266" s="34"/>
      <c r="K2266" s="34"/>
      <c r="L2266" s="34"/>
      <c r="M2266" s="36"/>
      <c r="N2266" s="36"/>
      <c r="O2266" s="36"/>
      <c r="P2266" s="36"/>
      <c r="Q2266" s="36"/>
      <c r="R2266" s="36"/>
      <c r="S2266" s="36"/>
    </row>
    <row r="2267">
      <c r="A2267" s="34"/>
      <c r="B2267" s="34"/>
      <c r="C2267" s="35"/>
      <c r="D2267" s="35"/>
      <c r="E2267" s="34"/>
      <c r="F2267" s="34"/>
      <c r="G2267" s="34"/>
      <c r="H2267" s="34"/>
      <c r="I2267" s="34"/>
      <c r="J2267" s="34"/>
      <c r="K2267" s="34"/>
      <c r="L2267" s="34"/>
      <c r="M2267" s="36"/>
      <c r="N2267" s="36"/>
      <c r="O2267" s="36"/>
      <c r="P2267" s="36"/>
      <c r="Q2267" s="36"/>
      <c r="R2267" s="36"/>
      <c r="S2267" s="36"/>
    </row>
    <row r="2268">
      <c r="A2268" s="34"/>
      <c r="B2268" s="34"/>
      <c r="C2268" s="35"/>
      <c r="D2268" s="35"/>
      <c r="E2268" s="34"/>
      <c r="F2268" s="34"/>
      <c r="G2268" s="34"/>
      <c r="H2268" s="34"/>
      <c r="I2268" s="34"/>
      <c r="J2268" s="34"/>
      <c r="K2268" s="34"/>
      <c r="L2268" s="34"/>
      <c r="M2268" s="36"/>
      <c r="N2268" s="36"/>
      <c r="O2268" s="36"/>
      <c r="P2268" s="36"/>
      <c r="Q2268" s="36"/>
      <c r="R2268" s="36"/>
      <c r="S2268" s="36"/>
    </row>
    <row r="2269">
      <c r="A2269" s="34"/>
      <c r="B2269" s="36"/>
      <c r="C2269" s="35"/>
      <c r="D2269" s="35"/>
      <c r="E2269" s="34"/>
      <c r="F2269" s="34"/>
      <c r="G2269" s="34"/>
      <c r="H2269" s="34"/>
      <c r="I2269" s="36"/>
      <c r="J2269" s="34"/>
      <c r="K2269" s="34"/>
      <c r="L2269" s="34"/>
      <c r="M2269" s="36"/>
      <c r="N2269" s="36"/>
      <c r="O2269" s="36"/>
      <c r="P2269" s="36"/>
      <c r="Q2269" s="36"/>
      <c r="R2269" s="36"/>
      <c r="S2269" s="36"/>
    </row>
    <row r="2270">
      <c r="A2270" s="34"/>
      <c r="B2270" s="34"/>
      <c r="C2270" s="35"/>
      <c r="D2270" s="35"/>
      <c r="E2270" s="34"/>
      <c r="F2270" s="34"/>
      <c r="G2270" s="34"/>
      <c r="H2270" s="34"/>
      <c r="I2270" s="34"/>
      <c r="J2270" s="34"/>
      <c r="K2270" s="34"/>
      <c r="L2270" s="34"/>
      <c r="M2270" s="36"/>
      <c r="N2270" s="36"/>
      <c r="O2270" s="36"/>
      <c r="P2270" s="36"/>
      <c r="Q2270" s="36"/>
      <c r="R2270" s="36"/>
      <c r="S2270" s="36"/>
    </row>
    <row r="2271">
      <c r="A2271" s="34"/>
      <c r="B2271" s="36"/>
      <c r="C2271" s="35"/>
      <c r="D2271" s="35"/>
      <c r="E2271" s="34"/>
      <c r="F2271" s="34"/>
      <c r="G2271" s="34"/>
      <c r="H2271" s="34"/>
      <c r="I2271" s="36"/>
      <c r="J2271" s="34"/>
      <c r="K2271" s="34"/>
      <c r="L2271" s="34"/>
      <c r="M2271" s="36"/>
      <c r="N2271" s="36"/>
      <c r="O2271" s="36"/>
      <c r="P2271" s="36"/>
      <c r="Q2271" s="36"/>
      <c r="R2271" s="36"/>
      <c r="S2271" s="36"/>
    </row>
    <row r="2272">
      <c r="A2272" s="34"/>
      <c r="B2272" s="36"/>
      <c r="C2272" s="35"/>
      <c r="D2272" s="35"/>
      <c r="E2272" s="34"/>
      <c r="F2272" s="34"/>
      <c r="G2272" s="34"/>
      <c r="H2272" s="34"/>
      <c r="I2272" s="36"/>
      <c r="J2272" s="34"/>
      <c r="K2272" s="34"/>
      <c r="L2272" s="34"/>
      <c r="M2272" s="36"/>
      <c r="N2272" s="36"/>
      <c r="O2272" s="36"/>
      <c r="P2272" s="36"/>
      <c r="Q2272" s="36"/>
      <c r="R2272" s="36"/>
      <c r="S2272" s="36"/>
    </row>
    <row r="2273">
      <c r="A2273" s="34"/>
      <c r="B2273" s="36"/>
      <c r="C2273" s="35"/>
      <c r="D2273" s="35"/>
      <c r="E2273" s="34"/>
      <c r="F2273" s="34"/>
      <c r="G2273" s="34"/>
      <c r="H2273" s="34"/>
      <c r="I2273" s="34"/>
      <c r="J2273" s="34"/>
      <c r="K2273" s="34"/>
      <c r="L2273" s="34"/>
      <c r="M2273" s="36"/>
      <c r="N2273" s="36"/>
      <c r="O2273" s="36"/>
      <c r="P2273" s="36"/>
      <c r="Q2273" s="36"/>
      <c r="R2273" s="36"/>
      <c r="S2273" s="36"/>
    </row>
    <row r="2274">
      <c r="A2274" s="34"/>
      <c r="B2274" s="34"/>
      <c r="C2274" s="35"/>
      <c r="D2274" s="35"/>
      <c r="E2274" s="34"/>
      <c r="F2274" s="34"/>
      <c r="G2274" s="34"/>
      <c r="H2274" s="34"/>
      <c r="I2274" s="34"/>
      <c r="J2274" s="34"/>
      <c r="K2274" s="34"/>
      <c r="L2274" s="34"/>
      <c r="M2274" s="36"/>
      <c r="N2274" s="36"/>
      <c r="O2274" s="36"/>
      <c r="P2274" s="36"/>
      <c r="Q2274" s="36"/>
      <c r="R2274" s="36"/>
      <c r="S2274" s="36"/>
    </row>
    <row r="2275">
      <c r="A2275" s="34"/>
      <c r="B2275" s="36"/>
      <c r="C2275" s="35"/>
      <c r="D2275" s="35"/>
      <c r="E2275" s="34"/>
      <c r="F2275" s="34"/>
      <c r="G2275" s="34"/>
      <c r="H2275" s="34"/>
      <c r="I2275" s="36"/>
      <c r="J2275" s="34"/>
      <c r="K2275" s="34"/>
      <c r="L2275" s="34"/>
      <c r="M2275" s="36"/>
      <c r="N2275" s="36"/>
      <c r="O2275" s="36"/>
      <c r="P2275" s="36"/>
      <c r="Q2275" s="36"/>
      <c r="R2275" s="36"/>
      <c r="S2275" s="36"/>
    </row>
    <row r="2276">
      <c r="A2276" s="34"/>
      <c r="B2276" s="36"/>
      <c r="C2276" s="35"/>
      <c r="D2276" s="35"/>
      <c r="E2276" s="34"/>
      <c r="F2276" s="34"/>
      <c r="G2276" s="34"/>
      <c r="H2276" s="34"/>
      <c r="I2276" s="34"/>
      <c r="J2276" s="34"/>
      <c r="K2276" s="34"/>
      <c r="L2276" s="34"/>
      <c r="M2276" s="36"/>
      <c r="N2276" s="36"/>
      <c r="O2276" s="36"/>
      <c r="P2276" s="36"/>
      <c r="Q2276" s="36"/>
      <c r="R2276" s="36"/>
      <c r="S2276" s="36"/>
    </row>
    <row r="2277">
      <c r="A2277" s="34"/>
      <c r="B2277" s="34"/>
      <c r="C2277" s="35"/>
      <c r="D2277" s="35"/>
      <c r="E2277" s="34"/>
      <c r="F2277" s="34"/>
      <c r="G2277" s="34"/>
      <c r="H2277" s="34"/>
      <c r="I2277" s="34"/>
      <c r="J2277" s="34"/>
      <c r="K2277" s="34"/>
      <c r="L2277" s="34"/>
      <c r="M2277" s="36"/>
      <c r="N2277" s="36"/>
      <c r="O2277" s="36"/>
      <c r="P2277" s="36"/>
      <c r="Q2277" s="36"/>
      <c r="R2277" s="36"/>
      <c r="S2277" s="36"/>
    </row>
    <row r="2278">
      <c r="A2278" s="34"/>
      <c r="B2278" s="34"/>
      <c r="C2278" s="35"/>
      <c r="D2278" s="35"/>
      <c r="E2278" s="34"/>
      <c r="F2278" s="34"/>
      <c r="G2278" s="34"/>
      <c r="H2278" s="34"/>
      <c r="I2278" s="34"/>
      <c r="J2278" s="34"/>
      <c r="K2278" s="34"/>
      <c r="L2278" s="34"/>
      <c r="M2278" s="36"/>
      <c r="N2278" s="36"/>
      <c r="O2278" s="36"/>
      <c r="P2278" s="36"/>
      <c r="Q2278" s="36"/>
      <c r="R2278" s="36"/>
      <c r="S2278" s="36"/>
    </row>
    <row r="2279">
      <c r="A2279" s="34"/>
      <c r="B2279" s="36"/>
      <c r="C2279" s="35"/>
      <c r="D2279" s="35"/>
      <c r="E2279" s="34"/>
      <c r="F2279" s="34"/>
      <c r="G2279" s="34"/>
      <c r="H2279" s="34"/>
      <c r="I2279" s="36"/>
      <c r="J2279" s="34"/>
      <c r="K2279" s="34"/>
      <c r="L2279" s="34"/>
      <c r="M2279" s="36"/>
      <c r="N2279" s="36"/>
      <c r="O2279" s="36"/>
      <c r="P2279" s="36"/>
      <c r="Q2279" s="36"/>
      <c r="R2279" s="36"/>
      <c r="S2279" s="36"/>
    </row>
    <row r="2280">
      <c r="A2280" s="34"/>
      <c r="B2280" s="34"/>
      <c r="C2280" s="35"/>
      <c r="D2280" s="35"/>
      <c r="E2280" s="34"/>
      <c r="F2280" s="34"/>
      <c r="G2280" s="34"/>
      <c r="H2280" s="34"/>
      <c r="I2280" s="34"/>
      <c r="J2280" s="34"/>
      <c r="K2280" s="34"/>
      <c r="L2280" s="34"/>
      <c r="M2280" s="36"/>
      <c r="N2280" s="36"/>
      <c r="O2280" s="36"/>
      <c r="P2280" s="36"/>
      <c r="Q2280" s="36"/>
      <c r="R2280" s="36"/>
      <c r="S2280" s="36"/>
    </row>
    <row r="2281">
      <c r="A2281" s="34"/>
      <c r="B2281" s="36"/>
      <c r="C2281" s="35"/>
      <c r="D2281" s="35"/>
      <c r="E2281" s="34"/>
      <c r="F2281" s="34"/>
      <c r="G2281" s="34"/>
      <c r="H2281" s="34"/>
      <c r="I2281" s="36"/>
      <c r="J2281" s="34"/>
      <c r="K2281" s="34"/>
      <c r="L2281" s="34"/>
      <c r="M2281" s="36"/>
      <c r="N2281" s="36"/>
      <c r="O2281" s="36"/>
      <c r="P2281" s="36"/>
      <c r="Q2281" s="36"/>
      <c r="R2281" s="36"/>
      <c r="S2281" s="36"/>
    </row>
    <row r="2282">
      <c r="A2282" s="34"/>
      <c r="B2282" s="36"/>
      <c r="C2282" s="35"/>
      <c r="D2282" s="35"/>
      <c r="E2282" s="34"/>
      <c r="F2282" s="34"/>
      <c r="G2282" s="34"/>
      <c r="H2282" s="34"/>
      <c r="I2282" s="34"/>
      <c r="J2282" s="34"/>
      <c r="K2282" s="34"/>
      <c r="L2282" s="34"/>
      <c r="M2282" s="36"/>
      <c r="N2282" s="36"/>
      <c r="O2282" s="36"/>
      <c r="P2282" s="36"/>
      <c r="Q2282" s="36"/>
      <c r="R2282" s="36"/>
      <c r="S2282" s="36"/>
    </row>
    <row r="2283">
      <c r="A2283" s="34"/>
      <c r="B2283" s="36"/>
      <c r="C2283" s="35"/>
      <c r="D2283" s="35"/>
      <c r="E2283" s="34"/>
      <c r="F2283" s="34"/>
      <c r="G2283" s="34"/>
      <c r="H2283" s="34"/>
      <c r="I2283" s="36"/>
      <c r="J2283" s="34"/>
      <c r="K2283" s="34"/>
      <c r="L2283" s="34"/>
      <c r="M2283" s="36"/>
      <c r="N2283" s="36"/>
      <c r="O2283" s="36"/>
      <c r="P2283" s="36"/>
      <c r="Q2283" s="36"/>
      <c r="R2283" s="36"/>
      <c r="S2283" s="36"/>
    </row>
    <row r="2284">
      <c r="A2284" s="34"/>
      <c r="B2284" s="34"/>
      <c r="C2284" s="35"/>
      <c r="D2284" s="35"/>
      <c r="E2284" s="34"/>
      <c r="F2284" s="34"/>
      <c r="G2284" s="34"/>
      <c r="H2284" s="34"/>
      <c r="I2284" s="34"/>
      <c r="J2284" s="34"/>
      <c r="K2284" s="34"/>
      <c r="L2284" s="34"/>
      <c r="M2284" s="36"/>
      <c r="N2284" s="36"/>
      <c r="O2284" s="36"/>
      <c r="P2284" s="36"/>
      <c r="Q2284" s="36"/>
      <c r="R2284" s="36"/>
      <c r="S2284" s="36"/>
    </row>
    <row r="2285">
      <c r="A2285" s="34"/>
      <c r="B2285" s="34"/>
      <c r="C2285" s="35"/>
      <c r="D2285" s="35"/>
      <c r="E2285" s="34"/>
      <c r="F2285" s="34"/>
      <c r="G2285" s="34"/>
      <c r="H2285" s="34"/>
      <c r="I2285" s="34"/>
      <c r="J2285" s="34"/>
      <c r="K2285" s="34"/>
      <c r="L2285" s="34"/>
      <c r="M2285" s="36"/>
      <c r="N2285" s="36"/>
      <c r="O2285" s="36"/>
      <c r="P2285" s="36"/>
      <c r="Q2285" s="36"/>
      <c r="R2285" s="36"/>
      <c r="S2285" s="36"/>
    </row>
    <row r="2286">
      <c r="A2286" s="34"/>
      <c r="B2286" s="36"/>
      <c r="C2286" s="35"/>
      <c r="D2286" s="35"/>
      <c r="E2286" s="34"/>
      <c r="F2286" s="34"/>
      <c r="G2286" s="34"/>
      <c r="H2286" s="34"/>
      <c r="I2286" s="36"/>
      <c r="J2286" s="34"/>
      <c r="K2286" s="34"/>
      <c r="L2286" s="34"/>
      <c r="M2286" s="36"/>
      <c r="N2286" s="36"/>
      <c r="O2286" s="36"/>
      <c r="P2286" s="36"/>
      <c r="Q2286" s="36"/>
      <c r="R2286" s="36"/>
      <c r="S2286" s="36"/>
    </row>
    <row r="2287">
      <c r="A2287" s="34"/>
      <c r="B2287" s="36"/>
      <c r="C2287" s="35"/>
      <c r="D2287" s="35"/>
      <c r="E2287" s="34"/>
      <c r="F2287" s="34"/>
      <c r="G2287" s="34"/>
      <c r="H2287" s="34"/>
      <c r="I2287" s="36"/>
      <c r="J2287" s="34"/>
      <c r="K2287" s="34"/>
      <c r="L2287" s="34"/>
      <c r="M2287" s="36"/>
      <c r="N2287" s="36"/>
      <c r="O2287" s="36"/>
      <c r="P2287" s="36"/>
      <c r="Q2287" s="36"/>
      <c r="R2287" s="36"/>
      <c r="S2287" s="36"/>
    </row>
    <row r="2288">
      <c r="A2288" s="34"/>
      <c r="B2288" s="36"/>
      <c r="C2288" s="35"/>
      <c r="D2288" s="35"/>
      <c r="E2288" s="34"/>
      <c r="F2288" s="34"/>
      <c r="G2288" s="34"/>
      <c r="H2288" s="34"/>
      <c r="I2288" s="36"/>
      <c r="J2288" s="34"/>
      <c r="K2288" s="34"/>
      <c r="L2288" s="34"/>
      <c r="M2288" s="36"/>
      <c r="N2288" s="36"/>
      <c r="O2288" s="36"/>
      <c r="P2288" s="36"/>
      <c r="Q2288" s="36"/>
      <c r="R2288" s="36"/>
      <c r="S2288" s="36"/>
    </row>
    <row r="2289">
      <c r="A2289" s="34"/>
      <c r="B2289" s="34"/>
      <c r="C2289" s="35"/>
      <c r="D2289" s="35"/>
      <c r="E2289" s="34"/>
      <c r="F2289" s="34"/>
      <c r="G2289" s="34"/>
      <c r="H2289" s="34"/>
      <c r="I2289" s="34"/>
      <c r="J2289" s="34"/>
      <c r="K2289" s="34"/>
      <c r="L2289" s="34"/>
      <c r="M2289" s="36"/>
      <c r="N2289" s="36"/>
      <c r="O2289" s="36"/>
      <c r="P2289" s="36"/>
      <c r="Q2289" s="36"/>
      <c r="R2289" s="36"/>
      <c r="S2289" s="36"/>
    </row>
    <row r="2290">
      <c r="A2290" s="34"/>
      <c r="B2290" s="36"/>
      <c r="C2290" s="35"/>
      <c r="D2290" s="35"/>
      <c r="E2290" s="34"/>
      <c r="F2290" s="34"/>
      <c r="G2290" s="34"/>
      <c r="H2290" s="34"/>
      <c r="I2290" s="34"/>
      <c r="J2290" s="34"/>
      <c r="K2290" s="34"/>
      <c r="L2290" s="34"/>
      <c r="M2290" s="36"/>
      <c r="N2290" s="36"/>
      <c r="O2290" s="36"/>
      <c r="P2290" s="36"/>
      <c r="Q2290" s="36"/>
      <c r="R2290" s="36"/>
      <c r="S2290" s="36"/>
    </row>
    <row r="2291">
      <c r="A2291" s="34"/>
      <c r="B2291" s="36"/>
      <c r="C2291" s="35"/>
      <c r="D2291" s="35"/>
      <c r="E2291" s="34"/>
      <c r="F2291" s="34"/>
      <c r="G2291" s="34"/>
      <c r="H2291" s="34"/>
      <c r="I2291" s="36"/>
      <c r="J2291" s="34"/>
      <c r="K2291" s="34"/>
      <c r="L2291" s="34"/>
      <c r="M2291" s="36"/>
      <c r="N2291" s="36"/>
      <c r="O2291" s="36"/>
      <c r="P2291" s="36"/>
      <c r="Q2291" s="36"/>
      <c r="R2291" s="36"/>
      <c r="S2291" s="36"/>
    </row>
    <row r="2292">
      <c r="A2292" s="34"/>
      <c r="B2292" s="36"/>
      <c r="C2292" s="35"/>
      <c r="D2292" s="35"/>
      <c r="E2292" s="34"/>
      <c r="F2292" s="34"/>
      <c r="G2292" s="34"/>
      <c r="H2292" s="34"/>
      <c r="I2292" s="34"/>
      <c r="J2292" s="34"/>
      <c r="K2292" s="34"/>
      <c r="L2292" s="34"/>
      <c r="M2292" s="36"/>
      <c r="N2292" s="36"/>
      <c r="O2292" s="36"/>
      <c r="P2292" s="36"/>
      <c r="Q2292" s="36"/>
      <c r="R2292" s="36"/>
      <c r="S2292" s="36"/>
    </row>
    <row r="2293">
      <c r="A2293" s="34"/>
      <c r="B2293" s="36"/>
      <c r="C2293" s="35"/>
      <c r="D2293" s="35"/>
      <c r="E2293" s="34"/>
      <c r="F2293" s="34"/>
      <c r="G2293" s="34"/>
      <c r="H2293" s="34"/>
      <c r="I2293" s="34"/>
      <c r="J2293" s="34"/>
      <c r="K2293" s="34"/>
      <c r="L2293" s="34"/>
      <c r="M2293" s="36"/>
      <c r="N2293" s="36"/>
      <c r="O2293" s="36"/>
      <c r="P2293" s="36"/>
      <c r="Q2293" s="36"/>
      <c r="R2293" s="36"/>
      <c r="S2293" s="36"/>
    </row>
    <row r="2294">
      <c r="A2294" s="34"/>
      <c r="B2294" s="34"/>
      <c r="C2294" s="35"/>
      <c r="D2294" s="35"/>
      <c r="E2294" s="34"/>
      <c r="F2294" s="34"/>
      <c r="G2294" s="34"/>
      <c r="H2294" s="34"/>
      <c r="I2294" s="34"/>
      <c r="J2294" s="34"/>
      <c r="K2294" s="34"/>
      <c r="L2294" s="34"/>
      <c r="M2294" s="36"/>
      <c r="N2294" s="36"/>
      <c r="O2294" s="36"/>
      <c r="P2294" s="36"/>
      <c r="Q2294" s="36"/>
      <c r="R2294" s="36"/>
      <c r="S2294" s="36"/>
    </row>
    <row r="2295">
      <c r="A2295" s="34"/>
      <c r="B2295" s="36"/>
      <c r="C2295" s="35"/>
      <c r="D2295" s="35"/>
      <c r="E2295" s="34"/>
      <c r="F2295" s="34"/>
      <c r="G2295" s="34"/>
      <c r="H2295" s="34"/>
      <c r="I2295" s="36"/>
      <c r="J2295" s="34"/>
      <c r="K2295" s="34"/>
      <c r="L2295" s="34"/>
      <c r="M2295" s="36"/>
      <c r="N2295" s="36"/>
      <c r="O2295" s="36"/>
      <c r="P2295" s="36"/>
      <c r="Q2295" s="36"/>
      <c r="R2295" s="36"/>
      <c r="S2295" s="36"/>
    </row>
    <row r="2296">
      <c r="A2296" s="34"/>
      <c r="B2296" s="36"/>
      <c r="C2296" s="35"/>
      <c r="D2296" s="35"/>
      <c r="E2296" s="34"/>
      <c r="F2296" s="34"/>
      <c r="G2296" s="34"/>
      <c r="H2296" s="34"/>
      <c r="I2296" s="36"/>
      <c r="J2296" s="34"/>
      <c r="K2296" s="34"/>
      <c r="L2296" s="34"/>
      <c r="M2296" s="36"/>
      <c r="N2296" s="36"/>
      <c r="O2296" s="36"/>
      <c r="P2296" s="36"/>
      <c r="Q2296" s="36"/>
      <c r="R2296" s="36"/>
      <c r="S2296" s="36"/>
    </row>
    <row r="2297">
      <c r="A2297" s="34"/>
      <c r="B2297" s="36"/>
      <c r="C2297" s="35"/>
      <c r="D2297" s="35"/>
      <c r="E2297" s="34"/>
      <c r="F2297" s="34"/>
      <c r="G2297" s="34"/>
      <c r="H2297" s="34"/>
      <c r="I2297" s="36"/>
      <c r="J2297" s="34"/>
      <c r="K2297" s="34"/>
      <c r="L2297" s="34"/>
      <c r="M2297" s="36"/>
      <c r="N2297" s="36"/>
      <c r="O2297" s="36"/>
      <c r="P2297" s="36"/>
      <c r="Q2297" s="36"/>
      <c r="R2297" s="36"/>
      <c r="S2297" s="36"/>
    </row>
    <row r="2298">
      <c r="A2298" s="34"/>
      <c r="B2298" s="36"/>
      <c r="C2298" s="35"/>
      <c r="D2298" s="35"/>
      <c r="E2298" s="34"/>
      <c r="F2298" s="34"/>
      <c r="G2298" s="34"/>
      <c r="H2298" s="34"/>
      <c r="I2298" s="36"/>
      <c r="J2298" s="34"/>
      <c r="K2298" s="34"/>
      <c r="L2298" s="34"/>
      <c r="M2298" s="36"/>
      <c r="N2298" s="36"/>
      <c r="O2298" s="36"/>
      <c r="P2298" s="36"/>
      <c r="Q2298" s="36"/>
      <c r="R2298" s="36"/>
      <c r="S2298" s="36"/>
    </row>
    <row r="2299">
      <c r="A2299" s="34"/>
      <c r="B2299" s="34"/>
      <c r="C2299" s="35"/>
      <c r="D2299" s="35"/>
      <c r="E2299" s="34"/>
      <c r="F2299" s="34"/>
      <c r="G2299" s="34"/>
      <c r="H2299" s="34"/>
      <c r="I2299" s="34"/>
      <c r="J2299" s="34"/>
      <c r="K2299" s="34"/>
      <c r="L2299" s="34"/>
      <c r="M2299" s="36"/>
      <c r="N2299" s="36"/>
      <c r="O2299" s="36"/>
      <c r="P2299" s="36"/>
      <c r="Q2299" s="36"/>
      <c r="R2299" s="36"/>
      <c r="S2299" s="36"/>
    </row>
    <row r="2300">
      <c r="A2300" s="34"/>
      <c r="B2300" s="36"/>
      <c r="C2300" s="35"/>
      <c r="D2300" s="35"/>
      <c r="E2300" s="34"/>
      <c r="F2300" s="34"/>
      <c r="G2300" s="34"/>
      <c r="H2300" s="34"/>
      <c r="I2300" s="36"/>
      <c r="J2300" s="34"/>
      <c r="K2300" s="34"/>
      <c r="L2300" s="34"/>
      <c r="M2300" s="36"/>
      <c r="N2300" s="36"/>
      <c r="O2300" s="36"/>
      <c r="P2300" s="36"/>
      <c r="Q2300" s="36"/>
      <c r="R2300" s="36"/>
      <c r="S2300" s="36"/>
    </row>
    <row r="2301">
      <c r="A2301" s="34"/>
      <c r="B2301" s="34"/>
      <c r="C2301" s="35"/>
      <c r="D2301" s="35"/>
      <c r="E2301" s="34"/>
      <c r="F2301" s="34"/>
      <c r="G2301" s="34"/>
      <c r="H2301" s="34"/>
      <c r="I2301" s="34"/>
      <c r="J2301" s="34"/>
      <c r="K2301" s="34"/>
      <c r="L2301" s="34"/>
      <c r="M2301" s="36"/>
      <c r="N2301" s="36"/>
      <c r="O2301" s="36"/>
      <c r="P2301" s="36"/>
      <c r="Q2301" s="36"/>
      <c r="R2301" s="36"/>
      <c r="S2301" s="36"/>
    </row>
    <row r="2302">
      <c r="A2302" s="34"/>
      <c r="B2302" s="36"/>
      <c r="C2302" s="35"/>
      <c r="D2302" s="35"/>
      <c r="E2302" s="34"/>
      <c r="F2302" s="34"/>
      <c r="G2302" s="34"/>
      <c r="H2302" s="34"/>
      <c r="I2302" s="34"/>
      <c r="J2302" s="34"/>
      <c r="K2302" s="34"/>
      <c r="L2302" s="34"/>
      <c r="M2302" s="36"/>
      <c r="N2302" s="36"/>
      <c r="O2302" s="36"/>
      <c r="P2302" s="36"/>
      <c r="Q2302" s="36"/>
      <c r="R2302" s="36"/>
      <c r="S2302" s="36"/>
    </row>
    <row r="2303">
      <c r="A2303" s="34"/>
      <c r="B2303" s="36"/>
      <c r="C2303" s="35"/>
      <c r="D2303" s="35"/>
      <c r="E2303" s="34"/>
      <c r="F2303" s="34"/>
      <c r="G2303" s="34"/>
      <c r="H2303" s="34"/>
      <c r="I2303" s="34"/>
      <c r="J2303" s="34"/>
      <c r="K2303" s="34"/>
      <c r="L2303" s="34"/>
      <c r="M2303" s="36"/>
      <c r="N2303" s="36"/>
      <c r="O2303" s="36"/>
      <c r="P2303" s="36"/>
      <c r="Q2303" s="36"/>
      <c r="R2303" s="36"/>
      <c r="S2303" s="36"/>
    </row>
    <row r="2304">
      <c r="A2304" s="34"/>
      <c r="B2304" s="36"/>
      <c r="C2304" s="35"/>
      <c r="D2304" s="35"/>
      <c r="E2304" s="34"/>
      <c r="F2304" s="34"/>
      <c r="G2304" s="34"/>
      <c r="H2304" s="34"/>
      <c r="I2304" s="34"/>
      <c r="J2304" s="34"/>
      <c r="K2304" s="34"/>
      <c r="L2304" s="34"/>
      <c r="M2304" s="36"/>
      <c r="N2304" s="36"/>
      <c r="O2304" s="36"/>
      <c r="P2304" s="36"/>
      <c r="Q2304" s="36"/>
      <c r="R2304" s="36"/>
      <c r="S2304" s="36"/>
    </row>
    <row r="2305">
      <c r="A2305" s="34"/>
      <c r="B2305" s="34"/>
      <c r="C2305" s="35"/>
      <c r="D2305" s="35"/>
      <c r="E2305" s="34"/>
      <c r="F2305" s="34"/>
      <c r="G2305" s="34"/>
      <c r="H2305" s="34"/>
      <c r="I2305" s="34"/>
      <c r="J2305" s="34"/>
      <c r="K2305" s="34"/>
      <c r="L2305" s="34"/>
      <c r="M2305" s="36"/>
      <c r="N2305" s="36"/>
      <c r="O2305" s="36"/>
      <c r="P2305" s="36"/>
      <c r="Q2305" s="36"/>
      <c r="R2305" s="36"/>
      <c r="S2305" s="36"/>
    </row>
    <row r="2306">
      <c r="A2306" s="34"/>
      <c r="B2306" s="36"/>
      <c r="C2306" s="35"/>
      <c r="D2306" s="35"/>
      <c r="E2306" s="34"/>
      <c r="F2306" s="34"/>
      <c r="G2306" s="34"/>
      <c r="H2306" s="34"/>
      <c r="I2306" s="34"/>
      <c r="J2306" s="34"/>
      <c r="K2306" s="34"/>
      <c r="L2306" s="34"/>
      <c r="M2306" s="36"/>
      <c r="N2306" s="36"/>
      <c r="O2306" s="36"/>
      <c r="P2306" s="36"/>
      <c r="Q2306" s="36"/>
      <c r="R2306" s="36"/>
      <c r="S2306" s="36"/>
    </row>
    <row r="2307">
      <c r="A2307" s="34"/>
      <c r="B2307" s="36"/>
      <c r="C2307" s="35"/>
      <c r="D2307" s="35"/>
      <c r="E2307" s="34"/>
      <c r="F2307" s="34"/>
      <c r="G2307" s="34"/>
      <c r="H2307" s="34"/>
      <c r="I2307" s="36"/>
      <c r="J2307" s="34"/>
      <c r="K2307" s="34"/>
      <c r="L2307" s="34"/>
      <c r="M2307" s="36"/>
      <c r="N2307" s="36"/>
      <c r="O2307" s="36"/>
      <c r="P2307" s="36"/>
      <c r="Q2307" s="36"/>
      <c r="R2307" s="36"/>
      <c r="S2307" s="36"/>
    </row>
    <row r="2308">
      <c r="A2308" s="34"/>
      <c r="B2308" s="36"/>
      <c r="C2308" s="35"/>
      <c r="D2308" s="35"/>
      <c r="E2308" s="34"/>
      <c r="F2308" s="34"/>
      <c r="G2308" s="34"/>
      <c r="H2308" s="34"/>
      <c r="I2308" s="36"/>
      <c r="J2308" s="34"/>
      <c r="K2308" s="34"/>
      <c r="L2308" s="34"/>
      <c r="M2308" s="36"/>
      <c r="N2308" s="36"/>
      <c r="O2308" s="36"/>
      <c r="P2308" s="36"/>
      <c r="Q2308" s="36"/>
      <c r="R2308" s="36"/>
      <c r="S2308" s="36"/>
    </row>
    <row r="2309">
      <c r="A2309" s="34"/>
      <c r="B2309" s="36"/>
      <c r="C2309" s="35"/>
      <c r="D2309" s="35"/>
      <c r="E2309" s="34"/>
      <c r="F2309" s="34"/>
      <c r="G2309" s="34"/>
      <c r="H2309" s="34"/>
      <c r="I2309" s="36"/>
      <c r="J2309" s="34"/>
      <c r="K2309" s="34"/>
      <c r="L2309" s="34"/>
      <c r="M2309" s="36"/>
      <c r="N2309" s="36"/>
      <c r="O2309" s="36"/>
      <c r="P2309" s="36"/>
      <c r="Q2309" s="36"/>
      <c r="R2309" s="36"/>
      <c r="S2309" s="36"/>
    </row>
    <row r="2310">
      <c r="A2310" s="34"/>
      <c r="B2310" s="36"/>
      <c r="C2310" s="35"/>
      <c r="D2310" s="35"/>
      <c r="E2310" s="34"/>
      <c r="F2310" s="34"/>
      <c r="G2310" s="34"/>
      <c r="H2310" s="34"/>
      <c r="I2310" s="36"/>
      <c r="J2310" s="34"/>
      <c r="K2310" s="34"/>
      <c r="L2310" s="34"/>
      <c r="M2310" s="36"/>
      <c r="N2310" s="36"/>
      <c r="O2310" s="36"/>
      <c r="P2310" s="36"/>
      <c r="Q2310" s="36"/>
      <c r="R2310" s="36"/>
      <c r="S2310" s="36"/>
    </row>
    <row r="2311">
      <c r="A2311" s="34"/>
      <c r="B2311" s="36"/>
      <c r="C2311" s="35"/>
      <c r="D2311" s="35"/>
      <c r="E2311" s="34"/>
      <c r="F2311" s="34"/>
      <c r="G2311" s="34"/>
      <c r="H2311" s="34"/>
      <c r="I2311" s="36"/>
      <c r="J2311" s="34"/>
      <c r="K2311" s="34"/>
      <c r="L2311" s="34"/>
      <c r="M2311" s="36"/>
      <c r="N2311" s="36"/>
      <c r="O2311" s="36"/>
      <c r="P2311" s="36"/>
      <c r="Q2311" s="36"/>
      <c r="R2311" s="36"/>
      <c r="S2311" s="36"/>
    </row>
    <row r="2312">
      <c r="A2312" s="34"/>
      <c r="B2312" s="34"/>
      <c r="C2312" s="35"/>
      <c r="D2312" s="35"/>
      <c r="E2312" s="34"/>
      <c r="F2312" s="34"/>
      <c r="G2312" s="34"/>
      <c r="H2312" s="34"/>
      <c r="I2312" s="34"/>
      <c r="J2312" s="34"/>
      <c r="K2312" s="34"/>
      <c r="L2312" s="34"/>
      <c r="M2312" s="36"/>
      <c r="N2312" s="36"/>
      <c r="O2312" s="36"/>
      <c r="P2312" s="36"/>
      <c r="Q2312" s="36"/>
      <c r="R2312" s="36"/>
      <c r="S2312" s="36"/>
    </row>
    <row r="2313">
      <c r="A2313" s="34"/>
      <c r="B2313" s="36"/>
      <c r="C2313" s="35"/>
      <c r="D2313" s="35"/>
      <c r="E2313" s="34"/>
      <c r="F2313" s="34"/>
      <c r="G2313" s="34"/>
      <c r="H2313" s="34"/>
      <c r="I2313" s="36"/>
      <c r="J2313" s="34"/>
      <c r="K2313" s="34"/>
      <c r="L2313" s="34"/>
      <c r="M2313" s="36"/>
      <c r="N2313" s="36"/>
      <c r="O2313" s="36"/>
      <c r="P2313" s="36"/>
      <c r="Q2313" s="36"/>
      <c r="R2313" s="36"/>
      <c r="S2313" s="36"/>
    </row>
    <row r="2314">
      <c r="A2314" s="34"/>
      <c r="B2314" s="36"/>
      <c r="C2314" s="35"/>
      <c r="D2314" s="35"/>
      <c r="E2314" s="34"/>
      <c r="F2314" s="34"/>
      <c r="G2314" s="34"/>
      <c r="H2314" s="34"/>
      <c r="I2314" s="36"/>
      <c r="J2314" s="34"/>
      <c r="K2314" s="34"/>
      <c r="L2314" s="34"/>
      <c r="M2314" s="36"/>
      <c r="N2314" s="36"/>
      <c r="O2314" s="36"/>
      <c r="P2314" s="36"/>
      <c r="Q2314" s="36"/>
      <c r="R2314" s="36"/>
      <c r="S2314" s="36"/>
    </row>
    <row r="2315">
      <c r="A2315" s="34"/>
      <c r="B2315" s="34"/>
      <c r="C2315" s="35"/>
      <c r="D2315" s="35"/>
      <c r="E2315" s="34"/>
      <c r="F2315" s="34"/>
      <c r="G2315" s="34"/>
      <c r="H2315" s="34"/>
      <c r="I2315" s="34"/>
      <c r="J2315" s="34"/>
      <c r="K2315" s="34"/>
      <c r="L2315" s="34"/>
      <c r="M2315" s="36"/>
      <c r="N2315" s="36"/>
      <c r="O2315" s="36"/>
      <c r="P2315" s="36"/>
      <c r="Q2315" s="36"/>
      <c r="R2315" s="36"/>
      <c r="S2315" s="36"/>
    </row>
    <row r="2316">
      <c r="A2316" s="34"/>
      <c r="B2316" s="34"/>
      <c r="C2316" s="35"/>
      <c r="D2316" s="35"/>
      <c r="E2316" s="34"/>
      <c r="F2316" s="34"/>
      <c r="G2316" s="34"/>
      <c r="H2316" s="34"/>
      <c r="I2316" s="34"/>
      <c r="J2316" s="34"/>
      <c r="K2316" s="34"/>
      <c r="L2316" s="34"/>
      <c r="M2316" s="36"/>
      <c r="N2316" s="36"/>
      <c r="O2316" s="36"/>
      <c r="P2316" s="36"/>
      <c r="Q2316" s="36"/>
      <c r="R2316" s="36"/>
      <c r="S2316" s="36"/>
    </row>
    <row r="2317">
      <c r="A2317" s="34"/>
      <c r="B2317" s="36"/>
      <c r="C2317" s="35"/>
      <c r="D2317" s="35"/>
      <c r="E2317" s="34"/>
      <c r="F2317" s="34"/>
      <c r="G2317" s="34"/>
      <c r="H2317" s="34"/>
      <c r="I2317" s="36"/>
      <c r="J2317" s="34"/>
      <c r="K2317" s="34"/>
      <c r="L2317" s="34"/>
      <c r="M2317" s="36"/>
      <c r="N2317" s="36"/>
      <c r="O2317" s="36"/>
      <c r="P2317" s="36"/>
      <c r="Q2317" s="36"/>
      <c r="R2317" s="36"/>
      <c r="S2317" s="36"/>
    </row>
    <row r="2318">
      <c r="A2318" s="34"/>
      <c r="B2318" s="36"/>
      <c r="C2318" s="35"/>
      <c r="D2318" s="35"/>
      <c r="E2318" s="34"/>
      <c r="F2318" s="34"/>
      <c r="G2318" s="34"/>
      <c r="H2318" s="34"/>
      <c r="I2318" s="36"/>
      <c r="J2318" s="34"/>
      <c r="K2318" s="34"/>
      <c r="L2318" s="34"/>
      <c r="M2318" s="36"/>
      <c r="N2318" s="36"/>
      <c r="O2318" s="36"/>
      <c r="P2318" s="36"/>
      <c r="Q2318" s="36"/>
      <c r="R2318" s="36"/>
      <c r="S2318" s="36"/>
    </row>
    <row r="2319">
      <c r="A2319" s="34"/>
      <c r="B2319" s="36"/>
      <c r="C2319" s="35"/>
      <c r="D2319" s="35"/>
      <c r="E2319" s="34"/>
      <c r="F2319" s="34"/>
      <c r="G2319" s="34"/>
      <c r="H2319" s="34"/>
      <c r="I2319" s="36"/>
      <c r="J2319" s="34"/>
      <c r="K2319" s="34"/>
      <c r="L2319" s="34"/>
      <c r="M2319" s="36"/>
      <c r="N2319" s="36"/>
      <c r="O2319" s="36"/>
      <c r="P2319" s="36"/>
      <c r="Q2319" s="36"/>
      <c r="R2319" s="36"/>
      <c r="S2319" s="36"/>
    </row>
    <row r="2320">
      <c r="A2320" s="34"/>
      <c r="B2320" s="36"/>
      <c r="C2320" s="35"/>
      <c r="D2320" s="35"/>
      <c r="E2320" s="34"/>
      <c r="F2320" s="34"/>
      <c r="G2320" s="34"/>
      <c r="H2320" s="34"/>
      <c r="I2320" s="36"/>
      <c r="J2320" s="34"/>
      <c r="K2320" s="34"/>
      <c r="L2320" s="34"/>
      <c r="M2320" s="36"/>
      <c r="N2320" s="36"/>
      <c r="O2320" s="36"/>
      <c r="P2320" s="36"/>
      <c r="Q2320" s="36"/>
      <c r="R2320" s="36"/>
      <c r="S2320" s="36"/>
    </row>
    <row r="2321">
      <c r="A2321" s="34"/>
      <c r="B2321" s="36"/>
      <c r="C2321" s="35"/>
      <c r="D2321" s="35"/>
      <c r="E2321" s="34"/>
      <c r="F2321" s="34"/>
      <c r="G2321" s="34"/>
      <c r="H2321" s="34"/>
      <c r="I2321" s="36"/>
      <c r="J2321" s="34"/>
      <c r="K2321" s="34"/>
      <c r="L2321" s="34"/>
      <c r="M2321" s="36"/>
      <c r="N2321" s="36"/>
      <c r="O2321" s="36"/>
      <c r="P2321" s="36"/>
      <c r="Q2321" s="36"/>
      <c r="R2321" s="36"/>
      <c r="S2321" s="36"/>
    </row>
    <row r="2322">
      <c r="A2322" s="34"/>
      <c r="B2322" s="36"/>
      <c r="C2322" s="35"/>
      <c r="D2322" s="35"/>
      <c r="E2322" s="34"/>
      <c r="F2322" s="34"/>
      <c r="G2322" s="34"/>
      <c r="H2322" s="34"/>
      <c r="I2322" s="36"/>
      <c r="J2322" s="34"/>
      <c r="K2322" s="34"/>
      <c r="L2322" s="34"/>
      <c r="M2322" s="36"/>
      <c r="N2322" s="36"/>
      <c r="O2322" s="36"/>
      <c r="P2322" s="36"/>
      <c r="Q2322" s="36"/>
      <c r="R2322" s="36"/>
      <c r="S2322" s="36"/>
    </row>
    <row r="2323">
      <c r="A2323" s="34"/>
      <c r="B2323" s="36"/>
      <c r="C2323" s="35"/>
      <c r="D2323" s="35"/>
      <c r="E2323" s="34"/>
      <c r="F2323" s="34"/>
      <c r="G2323" s="34"/>
      <c r="H2323" s="34"/>
      <c r="I2323" s="36"/>
      <c r="J2323" s="34"/>
      <c r="K2323" s="34"/>
      <c r="L2323" s="34"/>
      <c r="M2323" s="36"/>
      <c r="N2323" s="36"/>
      <c r="O2323" s="36"/>
      <c r="P2323" s="36"/>
      <c r="Q2323" s="36"/>
      <c r="R2323" s="36"/>
      <c r="S2323" s="36"/>
    </row>
    <row r="2324">
      <c r="A2324" s="34"/>
      <c r="B2324" s="36"/>
      <c r="C2324" s="35"/>
      <c r="D2324" s="35"/>
      <c r="E2324" s="34"/>
      <c r="F2324" s="34"/>
      <c r="G2324" s="34"/>
      <c r="H2324" s="34"/>
      <c r="I2324" s="34"/>
      <c r="J2324" s="34"/>
      <c r="K2324" s="34"/>
      <c r="L2324" s="34"/>
      <c r="M2324" s="36"/>
      <c r="N2324" s="36"/>
      <c r="O2324" s="36"/>
      <c r="P2324" s="36"/>
      <c r="Q2324" s="36"/>
      <c r="R2324" s="36"/>
      <c r="S2324" s="36"/>
    </row>
    <row r="2325">
      <c r="A2325" s="34"/>
      <c r="B2325" s="36"/>
      <c r="C2325" s="35"/>
      <c r="D2325" s="35"/>
      <c r="E2325" s="34"/>
      <c r="F2325" s="34"/>
      <c r="G2325" s="34"/>
      <c r="H2325" s="34"/>
      <c r="I2325" s="34"/>
      <c r="J2325" s="34"/>
      <c r="K2325" s="34"/>
      <c r="L2325" s="34"/>
      <c r="M2325" s="36"/>
      <c r="N2325" s="36"/>
      <c r="O2325" s="36"/>
      <c r="P2325" s="36"/>
      <c r="Q2325" s="36"/>
      <c r="R2325" s="36"/>
      <c r="S2325" s="36"/>
    </row>
    <row r="2326">
      <c r="A2326" s="34"/>
      <c r="B2326" s="36"/>
      <c r="C2326" s="35"/>
      <c r="D2326" s="35"/>
      <c r="E2326" s="34"/>
      <c r="F2326" s="34"/>
      <c r="G2326" s="34"/>
      <c r="H2326" s="34"/>
      <c r="I2326" s="36"/>
      <c r="J2326" s="34"/>
      <c r="K2326" s="34"/>
      <c r="L2326" s="34"/>
      <c r="M2326" s="36"/>
      <c r="N2326" s="36"/>
      <c r="O2326" s="36"/>
      <c r="P2326" s="36"/>
      <c r="Q2326" s="36"/>
      <c r="R2326" s="36"/>
      <c r="S2326" s="36"/>
    </row>
    <row r="2327">
      <c r="A2327" s="34"/>
      <c r="B2327" s="36"/>
      <c r="C2327" s="35"/>
      <c r="D2327" s="35"/>
      <c r="E2327" s="34"/>
      <c r="F2327" s="34"/>
      <c r="G2327" s="34"/>
      <c r="H2327" s="34"/>
      <c r="I2327" s="36"/>
      <c r="J2327" s="34"/>
      <c r="K2327" s="34"/>
      <c r="L2327" s="34"/>
      <c r="M2327" s="36"/>
      <c r="N2327" s="36"/>
      <c r="O2327" s="36"/>
      <c r="P2327" s="36"/>
      <c r="Q2327" s="36"/>
      <c r="R2327" s="36"/>
      <c r="S2327" s="36"/>
    </row>
    <row r="2328">
      <c r="A2328" s="34"/>
      <c r="B2328" s="36"/>
      <c r="C2328" s="35"/>
      <c r="D2328" s="35"/>
      <c r="E2328" s="34"/>
      <c r="F2328" s="34"/>
      <c r="G2328" s="34"/>
      <c r="H2328" s="34"/>
      <c r="I2328" s="36"/>
      <c r="J2328" s="34"/>
      <c r="K2328" s="34"/>
      <c r="L2328" s="34"/>
      <c r="M2328" s="36"/>
      <c r="N2328" s="36"/>
      <c r="O2328" s="36"/>
      <c r="P2328" s="36"/>
      <c r="Q2328" s="36"/>
      <c r="R2328" s="36"/>
      <c r="S2328" s="36"/>
    </row>
    <row r="2329">
      <c r="A2329" s="34"/>
      <c r="B2329" s="36"/>
      <c r="C2329" s="35"/>
      <c r="D2329" s="35"/>
      <c r="E2329" s="34"/>
      <c r="F2329" s="34"/>
      <c r="G2329" s="34"/>
      <c r="H2329" s="34"/>
      <c r="I2329" s="36"/>
      <c r="J2329" s="34"/>
      <c r="K2329" s="34"/>
      <c r="L2329" s="34"/>
      <c r="M2329" s="36"/>
      <c r="N2329" s="36"/>
      <c r="O2329" s="36"/>
      <c r="P2329" s="36"/>
      <c r="Q2329" s="36"/>
      <c r="R2329" s="36"/>
      <c r="S2329" s="36"/>
    </row>
    <row r="2330">
      <c r="A2330" s="34"/>
      <c r="B2330" s="36"/>
      <c r="C2330" s="35"/>
      <c r="D2330" s="35"/>
      <c r="E2330" s="34"/>
      <c r="F2330" s="34"/>
      <c r="G2330" s="34"/>
      <c r="H2330" s="34"/>
      <c r="I2330" s="36"/>
      <c r="J2330" s="34"/>
      <c r="K2330" s="34"/>
      <c r="L2330" s="34"/>
      <c r="M2330" s="36"/>
      <c r="N2330" s="36"/>
      <c r="O2330" s="36"/>
      <c r="P2330" s="36"/>
      <c r="Q2330" s="36"/>
      <c r="R2330" s="36"/>
      <c r="S2330" s="36"/>
    </row>
    <row r="2331">
      <c r="A2331" s="34"/>
      <c r="B2331" s="36"/>
      <c r="C2331" s="35"/>
      <c r="D2331" s="35"/>
      <c r="E2331" s="34"/>
      <c r="F2331" s="34"/>
      <c r="G2331" s="34"/>
      <c r="H2331" s="34"/>
      <c r="I2331" s="34"/>
      <c r="J2331" s="34"/>
      <c r="K2331" s="34"/>
      <c r="L2331" s="34"/>
      <c r="M2331" s="36"/>
      <c r="N2331" s="36"/>
      <c r="O2331" s="36"/>
      <c r="P2331" s="36"/>
      <c r="Q2331" s="36"/>
      <c r="R2331" s="36"/>
      <c r="S2331" s="36"/>
    </row>
    <row r="2332">
      <c r="A2332" s="34"/>
      <c r="B2332" s="36"/>
      <c r="C2332" s="35"/>
      <c r="D2332" s="35"/>
      <c r="E2332" s="34"/>
      <c r="F2332" s="34"/>
      <c r="G2332" s="34"/>
      <c r="H2332" s="34"/>
      <c r="I2332" s="36"/>
      <c r="J2332" s="34"/>
      <c r="K2332" s="34"/>
      <c r="L2332" s="34"/>
      <c r="M2332" s="36"/>
      <c r="N2332" s="36"/>
      <c r="O2332" s="36"/>
      <c r="P2332" s="36"/>
      <c r="Q2332" s="36"/>
      <c r="R2332" s="36"/>
      <c r="S2332" s="36"/>
    </row>
    <row r="2333">
      <c r="A2333" s="34"/>
      <c r="B2333" s="36"/>
      <c r="C2333" s="35"/>
      <c r="D2333" s="35"/>
      <c r="E2333" s="34"/>
      <c r="F2333" s="34"/>
      <c r="G2333" s="34"/>
      <c r="H2333" s="34"/>
      <c r="I2333" s="36"/>
      <c r="J2333" s="34"/>
      <c r="K2333" s="34"/>
      <c r="L2333" s="34"/>
      <c r="M2333" s="36"/>
      <c r="N2333" s="36"/>
      <c r="O2333" s="36"/>
      <c r="P2333" s="36"/>
      <c r="Q2333" s="36"/>
      <c r="R2333" s="36"/>
      <c r="S2333" s="36"/>
    </row>
    <row r="2334">
      <c r="A2334" s="34"/>
      <c r="B2334" s="36"/>
      <c r="C2334" s="35"/>
      <c r="D2334" s="35"/>
      <c r="E2334" s="34"/>
      <c r="F2334" s="34"/>
      <c r="G2334" s="34"/>
      <c r="H2334" s="34"/>
      <c r="I2334" s="36"/>
      <c r="J2334" s="34"/>
      <c r="K2334" s="34"/>
      <c r="L2334" s="34"/>
      <c r="M2334" s="36"/>
      <c r="N2334" s="36"/>
      <c r="O2334" s="36"/>
      <c r="P2334" s="36"/>
      <c r="Q2334" s="36"/>
      <c r="R2334" s="36"/>
      <c r="S2334" s="36"/>
    </row>
    <row r="2335">
      <c r="A2335" s="34"/>
      <c r="B2335" s="36"/>
      <c r="C2335" s="35"/>
      <c r="D2335" s="35"/>
      <c r="E2335" s="34"/>
      <c r="F2335" s="34"/>
      <c r="G2335" s="34"/>
      <c r="H2335" s="34"/>
      <c r="I2335" s="36"/>
      <c r="J2335" s="34"/>
      <c r="K2335" s="34"/>
      <c r="L2335" s="34"/>
      <c r="M2335" s="36"/>
      <c r="N2335" s="36"/>
      <c r="O2335" s="36"/>
      <c r="P2335" s="36"/>
      <c r="Q2335" s="36"/>
      <c r="R2335" s="36"/>
      <c r="S2335" s="36"/>
    </row>
    <row r="2336">
      <c r="A2336" s="34"/>
      <c r="B2336" s="34"/>
      <c r="C2336" s="35"/>
      <c r="D2336" s="35"/>
      <c r="E2336" s="34"/>
      <c r="F2336" s="34"/>
      <c r="G2336" s="34"/>
      <c r="H2336" s="34"/>
      <c r="I2336" s="34"/>
      <c r="J2336" s="34"/>
      <c r="K2336" s="34"/>
      <c r="L2336" s="34"/>
      <c r="M2336" s="36"/>
      <c r="N2336" s="36"/>
      <c r="O2336" s="36"/>
      <c r="P2336" s="36"/>
      <c r="Q2336" s="36"/>
      <c r="R2336" s="36"/>
      <c r="S2336" s="36"/>
    </row>
    <row r="2337">
      <c r="A2337" s="34"/>
      <c r="B2337" s="36"/>
      <c r="C2337" s="35"/>
      <c r="D2337" s="35"/>
      <c r="E2337" s="34"/>
      <c r="F2337" s="34"/>
      <c r="G2337" s="34"/>
      <c r="H2337" s="34"/>
      <c r="I2337" s="36"/>
      <c r="J2337" s="34"/>
      <c r="K2337" s="34"/>
      <c r="L2337" s="34"/>
      <c r="M2337" s="36"/>
      <c r="N2337" s="36"/>
      <c r="O2337" s="36"/>
      <c r="P2337" s="36"/>
      <c r="Q2337" s="36"/>
      <c r="R2337" s="36"/>
      <c r="S2337" s="36"/>
    </row>
    <row r="2338">
      <c r="A2338" s="34"/>
      <c r="B2338" s="36"/>
      <c r="C2338" s="35"/>
      <c r="D2338" s="35"/>
      <c r="E2338" s="34"/>
      <c r="F2338" s="34"/>
      <c r="G2338" s="34"/>
      <c r="H2338" s="34"/>
      <c r="I2338" s="36"/>
      <c r="J2338" s="34"/>
      <c r="K2338" s="34"/>
      <c r="L2338" s="34"/>
      <c r="M2338" s="36"/>
      <c r="N2338" s="36"/>
      <c r="O2338" s="36"/>
      <c r="P2338" s="36"/>
      <c r="Q2338" s="36"/>
      <c r="R2338" s="36"/>
      <c r="S2338" s="36"/>
    </row>
    <row r="2339">
      <c r="A2339" s="34"/>
      <c r="B2339" s="36"/>
      <c r="C2339" s="35"/>
      <c r="D2339" s="35"/>
      <c r="E2339" s="34"/>
      <c r="F2339" s="34"/>
      <c r="G2339" s="34"/>
      <c r="H2339" s="34"/>
      <c r="I2339" s="36"/>
      <c r="J2339" s="34"/>
      <c r="K2339" s="34"/>
      <c r="L2339" s="34"/>
      <c r="M2339" s="36"/>
      <c r="N2339" s="36"/>
      <c r="O2339" s="36"/>
      <c r="P2339" s="36"/>
      <c r="Q2339" s="36"/>
      <c r="R2339" s="36"/>
      <c r="S2339" s="36"/>
    </row>
    <row r="2340">
      <c r="A2340" s="34"/>
      <c r="B2340" s="36"/>
      <c r="C2340" s="35"/>
      <c r="D2340" s="35"/>
      <c r="E2340" s="34"/>
      <c r="F2340" s="34"/>
      <c r="G2340" s="34"/>
      <c r="H2340" s="34"/>
      <c r="I2340" s="36"/>
      <c r="J2340" s="34"/>
      <c r="K2340" s="34"/>
      <c r="L2340" s="34"/>
      <c r="M2340" s="36"/>
      <c r="N2340" s="36"/>
      <c r="O2340" s="36"/>
      <c r="P2340" s="36"/>
      <c r="Q2340" s="36"/>
      <c r="R2340" s="36"/>
      <c r="S2340" s="36"/>
    </row>
    <row r="2341">
      <c r="A2341" s="34"/>
      <c r="B2341" s="34"/>
      <c r="C2341" s="35"/>
      <c r="D2341" s="35"/>
      <c r="E2341" s="34"/>
      <c r="F2341" s="34"/>
      <c r="G2341" s="34"/>
      <c r="H2341" s="34"/>
      <c r="I2341" s="34"/>
      <c r="J2341" s="34"/>
      <c r="K2341" s="34"/>
      <c r="L2341" s="34"/>
      <c r="M2341" s="36"/>
      <c r="N2341" s="36"/>
      <c r="O2341" s="36"/>
      <c r="P2341" s="36"/>
      <c r="Q2341" s="36"/>
      <c r="R2341" s="36"/>
      <c r="S2341" s="36"/>
    </row>
    <row r="2342">
      <c r="A2342" s="34"/>
      <c r="B2342" s="36"/>
      <c r="C2342" s="35"/>
      <c r="D2342" s="35"/>
      <c r="E2342" s="34"/>
      <c r="F2342" s="34"/>
      <c r="G2342" s="34"/>
      <c r="H2342" s="34"/>
      <c r="I2342" s="36"/>
      <c r="J2342" s="34"/>
      <c r="K2342" s="34"/>
      <c r="L2342" s="34"/>
      <c r="M2342" s="36"/>
      <c r="N2342" s="36"/>
      <c r="O2342" s="36"/>
      <c r="P2342" s="36"/>
      <c r="Q2342" s="36"/>
      <c r="R2342" s="36"/>
      <c r="S2342" s="36"/>
    </row>
    <row r="2343">
      <c r="A2343" s="34"/>
      <c r="B2343" s="36"/>
      <c r="C2343" s="35"/>
      <c r="D2343" s="35"/>
      <c r="E2343" s="34"/>
      <c r="F2343" s="34"/>
      <c r="G2343" s="34"/>
      <c r="H2343" s="34"/>
      <c r="I2343" s="36"/>
      <c r="J2343" s="34"/>
      <c r="K2343" s="34"/>
      <c r="L2343" s="34"/>
      <c r="M2343" s="36"/>
      <c r="N2343" s="36"/>
      <c r="O2343" s="36"/>
      <c r="P2343" s="36"/>
      <c r="Q2343" s="36"/>
      <c r="R2343" s="36"/>
      <c r="S2343" s="36"/>
    </row>
    <row r="2344">
      <c r="A2344" s="34"/>
      <c r="B2344" s="36"/>
      <c r="C2344" s="35"/>
      <c r="D2344" s="35"/>
      <c r="E2344" s="34"/>
      <c r="F2344" s="34"/>
      <c r="G2344" s="34"/>
      <c r="H2344" s="34"/>
      <c r="I2344" s="36"/>
      <c r="J2344" s="34"/>
      <c r="K2344" s="34"/>
      <c r="L2344" s="34"/>
      <c r="M2344" s="36"/>
      <c r="N2344" s="36"/>
      <c r="O2344" s="36"/>
      <c r="P2344" s="36"/>
      <c r="Q2344" s="36"/>
      <c r="R2344" s="36"/>
      <c r="S2344" s="36"/>
    </row>
    <row r="2345">
      <c r="A2345" s="34"/>
      <c r="B2345" s="36"/>
      <c r="C2345" s="35"/>
      <c r="D2345" s="35"/>
      <c r="E2345" s="34"/>
      <c r="F2345" s="34"/>
      <c r="G2345" s="34"/>
      <c r="H2345" s="34"/>
      <c r="I2345" s="34"/>
      <c r="J2345" s="34"/>
      <c r="K2345" s="34"/>
      <c r="L2345" s="34"/>
      <c r="M2345" s="36"/>
      <c r="N2345" s="36"/>
      <c r="O2345" s="36"/>
      <c r="P2345" s="36"/>
      <c r="Q2345" s="36"/>
      <c r="R2345" s="36"/>
      <c r="S2345" s="36"/>
    </row>
    <row r="2346">
      <c r="A2346" s="34"/>
      <c r="B2346" s="36"/>
      <c r="C2346" s="35"/>
      <c r="D2346" s="35"/>
      <c r="E2346" s="34"/>
      <c r="F2346" s="34"/>
      <c r="G2346" s="34"/>
      <c r="H2346" s="34"/>
      <c r="I2346" s="36"/>
      <c r="J2346" s="34"/>
      <c r="K2346" s="34"/>
      <c r="L2346" s="34"/>
      <c r="M2346" s="36"/>
      <c r="N2346" s="36"/>
      <c r="O2346" s="36"/>
      <c r="P2346" s="36"/>
      <c r="Q2346" s="36"/>
      <c r="R2346" s="36"/>
      <c r="S2346" s="36"/>
    </row>
    <row r="2347">
      <c r="A2347" s="34"/>
      <c r="B2347" s="34"/>
      <c r="C2347" s="35"/>
      <c r="D2347" s="35"/>
      <c r="E2347" s="34"/>
      <c r="F2347" s="34"/>
      <c r="G2347" s="34"/>
      <c r="H2347" s="34"/>
      <c r="I2347" s="34"/>
      <c r="J2347" s="34"/>
      <c r="K2347" s="34"/>
      <c r="L2347" s="34"/>
      <c r="M2347" s="36"/>
      <c r="N2347" s="36"/>
      <c r="O2347" s="36"/>
      <c r="P2347" s="36"/>
      <c r="Q2347" s="36"/>
      <c r="R2347" s="36"/>
      <c r="S2347" s="36"/>
    </row>
    <row r="2348">
      <c r="A2348" s="34"/>
      <c r="B2348" s="36"/>
      <c r="C2348" s="35"/>
      <c r="D2348" s="35"/>
      <c r="E2348" s="34"/>
      <c r="F2348" s="34"/>
      <c r="G2348" s="34"/>
      <c r="H2348" s="34"/>
      <c r="I2348" s="36"/>
      <c r="J2348" s="34"/>
      <c r="K2348" s="34"/>
      <c r="L2348" s="34"/>
      <c r="M2348" s="36"/>
      <c r="N2348" s="36"/>
      <c r="O2348" s="36"/>
      <c r="P2348" s="36"/>
      <c r="Q2348" s="36"/>
      <c r="R2348" s="36"/>
      <c r="S2348" s="36"/>
    </row>
    <row r="2349">
      <c r="A2349" s="34"/>
      <c r="B2349" s="36"/>
      <c r="C2349" s="35"/>
      <c r="D2349" s="35"/>
      <c r="E2349" s="34"/>
      <c r="F2349" s="34"/>
      <c r="G2349" s="34"/>
      <c r="H2349" s="34"/>
      <c r="I2349" s="36"/>
      <c r="J2349" s="34"/>
      <c r="K2349" s="34"/>
      <c r="L2349" s="34"/>
      <c r="M2349" s="36"/>
      <c r="N2349" s="36"/>
      <c r="O2349" s="36"/>
      <c r="P2349" s="36"/>
      <c r="Q2349" s="36"/>
      <c r="R2349" s="36"/>
      <c r="S2349" s="36"/>
    </row>
    <row r="2350">
      <c r="A2350" s="34"/>
      <c r="B2350" s="36"/>
      <c r="C2350" s="35"/>
      <c r="D2350" s="35"/>
      <c r="E2350" s="34"/>
      <c r="F2350" s="34"/>
      <c r="G2350" s="34"/>
      <c r="H2350" s="34"/>
      <c r="I2350" s="36"/>
      <c r="J2350" s="34"/>
      <c r="K2350" s="34"/>
      <c r="L2350" s="34"/>
      <c r="M2350" s="36"/>
      <c r="N2350" s="36"/>
      <c r="O2350" s="36"/>
      <c r="P2350" s="36"/>
      <c r="Q2350" s="36"/>
      <c r="R2350" s="36"/>
      <c r="S2350" s="36"/>
    </row>
    <row r="2351">
      <c r="A2351" s="34"/>
      <c r="B2351" s="34"/>
      <c r="C2351" s="35"/>
      <c r="D2351" s="35"/>
      <c r="E2351" s="34"/>
      <c r="F2351" s="34"/>
      <c r="G2351" s="34"/>
      <c r="H2351" s="34"/>
      <c r="I2351" s="34"/>
      <c r="J2351" s="34"/>
      <c r="K2351" s="34"/>
      <c r="L2351" s="34"/>
      <c r="M2351" s="36"/>
      <c r="N2351" s="36"/>
      <c r="O2351" s="36"/>
      <c r="P2351" s="36"/>
      <c r="Q2351" s="36"/>
      <c r="R2351" s="36"/>
      <c r="S2351" s="36"/>
    </row>
    <row r="2352">
      <c r="A2352" s="34"/>
      <c r="B2352" s="34"/>
      <c r="C2352" s="35"/>
      <c r="D2352" s="35"/>
      <c r="E2352" s="34"/>
      <c r="F2352" s="34"/>
      <c r="G2352" s="34"/>
      <c r="H2352" s="34"/>
      <c r="I2352" s="34"/>
      <c r="J2352" s="34"/>
      <c r="K2352" s="34"/>
      <c r="L2352" s="34"/>
      <c r="M2352" s="36"/>
      <c r="N2352" s="36"/>
      <c r="O2352" s="36"/>
      <c r="P2352" s="36"/>
      <c r="Q2352" s="36"/>
      <c r="R2352" s="36"/>
      <c r="S2352" s="36"/>
    </row>
    <row r="2353">
      <c r="A2353" s="34"/>
      <c r="B2353" s="36"/>
      <c r="C2353" s="35"/>
      <c r="D2353" s="35"/>
      <c r="E2353" s="34"/>
      <c r="F2353" s="34"/>
      <c r="G2353" s="34"/>
      <c r="H2353" s="34"/>
      <c r="I2353" s="36"/>
      <c r="J2353" s="34"/>
      <c r="K2353" s="34"/>
      <c r="L2353" s="34"/>
      <c r="M2353" s="36"/>
      <c r="N2353" s="36"/>
      <c r="O2353" s="36"/>
      <c r="P2353" s="36"/>
      <c r="Q2353" s="36"/>
      <c r="R2353" s="36"/>
      <c r="S2353" s="36"/>
    </row>
    <row r="2354">
      <c r="A2354" s="34"/>
      <c r="B2354" s="36"/>
      <c r="C2354" s="35"/>
      <c r="D2354" s="35"/>
      <c r="E2354" s="34"/>
      <c r="F2354" s="34"/>
      <c r="G2354" s="34"/>
      <c r="H2354" s="34"/>
      <c r="I2354" s="36"/>
      <c r="J2354" s="34"/>
      <c r="K2354" s="34"/>
      <c r="L2354" s="34"/>
      <c r="M2354" s="36"/>
      <c r="N2354" s="36"/>
      <c r="O2354" s="36"/>
      <c r="P2354" s="36"/>
      <c r="Q2354" s="36"/>
      <c r="R2354" s="36"/>
      <c r="S2354" s="36"/>
    </row>
    <row r="2355">
      <c r="A2355" s="34"/>
      <c r="B2355" s="36"/>
      <c r="C2355" s="35"/>
      <c r="D2355" s="35"/>
      <c r="E2355" s="34"/>
      <c r="F2355" s="34"/>
      <c r="G2355" s="34"/>
      <c r="H2355" s="34"/>
      <c r="I2355" s="36"/>
      <c r="J2355" s="34"/>
      <c r="K2355" s="34"/>
      <c r="L2355" s="34"/>
      <c r="M2355" s="36"/>
      <c r="N2355" s="36"/>
      <c r="O2355" s="36"/>
      <c r="P2355" s="36"/>
      <c r="Q2355" s="36"/>
      <c r="R2355" s="36"/>
      <c r="S2355" s="36"/>
    </row>
    <row r="2356">
      <c r="A2356" s="34"/>
      <c r="B2356" s="36"/>
      <c r="C2356" s="35"/>
      <c r="D2356" s="35"/>
      <c r="E2356" s="34"/>
      <c r="F2356" s="34"/>
      <c r="G2356" s="34"/>
      <c r="H2356" s="34"/>
      <c r="I2356" s="36"/>
      <c r="J2356" s="34"/>
      <c r="K2356" s="34"/>
      <c r="L2356" s="34"/>
      <c r="M2356" s="36"/>
      <c r="N2356" s="36"/>
      <c r="O2356" s="36"/>
      <c r="P2356" s="36"/>
      <c r="Q2356" s="36"/>
      <c r="R2356" s="36"/>
      <c r="S2356" s="36"/>
    </row>
    <row r="2357">
      <c r="A2357" s="34"/>
      <c r="B2357" s="36"/>
      <c r="C2357" s="35"/>
      <c r="D2357" s="35"/>
      <c r="E2357" s="34"/>
      <c r="F2357" s="34"/>
      <c r="G2357" s="34"/>
      <c r="H2357" s="34"/>
      <c r="I2357" s="34"/>
      <c r="J2357" s="34"/>
      <c r="K2357" s="34"/>
      <c r="L2357" s="34"/>
      <c r="M2357" s="36"/>
      <c r="N2357" s="36"/>
      <c r="O2357" s="36"/>
      <c r="P2357" s="36"/>
      <c r="Q2357" s="36"/>
      <c r="R2357" s="36"/>
      <c r="S2357" s="36"/>
    </row>
    <row r="2358">
      <c r="A2358" s="34"/>
      <c r="B2358" s="36"/>
      <c r="C2358" s="35"/>
      <c r="D2358" s="35"/>
      <c r="E2358" s="34"/>
      <c r="F2358" s="34"/>
      <c r="G2358" s="34"/>
      <c r="H2358" s="34"/>
      <c r="I2358" s="36"/>
      <c r="J2358" s="34"/>
      <c r="K2358" s="34"/>
      <c r="L2358" s="34"/>
      <c r="M2358" s="36"/>
      <c r="N2358" s="36"/>
      <c r="O2358" s="36"/>
      <c r="P2358" s="36"/>
      <c r="Q2358" s="36"/>
      <c r="R2358" s="36"/>
      <c r="S2358" s="36"/>
    </row>
    <row r="2359">
      <c r="A2359" s="34"/>
      <c r="B2359" s="36"/>
      <c r="C2359" s="35"/>
      <c r="D2359" s="35"/>
      <c r="E2359" s="34"/>
      <c r="F2359" s="34"/>
      <c r="G2359" s="34"/>
      <c r="H2359" s="34"/>
      <c r="I2359" s="36"/>
      <c r="J2359" s="34"/>
      <c r="K2359" s="34"/>
      <c r="L2359" s="34"/>
      <c r="M2359" s="36"/>
      <c r="N2359" s="36"/>
      <c r="O2359" s="36"/>
      <c r="P2359" s="36"/>
      <c r="Q2359" s="36"/>
      <c r="R2359" s="36"/>
      <c r="S2359" s="36"/>
    </row>
    <row r="2360">
      <c r="A2360" s="34"/>
      <c r="B2360" s="34"/>
      <c r="C2360" s="35"/>
      <c r="D2360" s="35"/>
      <c r="E2360" s="34"/>
      <c r="F2360" s="34"/>
      <c r="G2360" s="34"/>
      <c r="H2360" s="34"/>
      <c r="I2360" s="34"/>
      <c r="J2360" s="34"/>
      <c r="K2360" s="34"/>
      <c r="L2360" s="34"/>
      <c r="M2360" s="36"/>
      <c r="N2360" s="36"/>
      <c r="O2360" s="36"/>
      <c r="P2360" s="36"/>
      <c r="Q2360" s="36"/>
      <c r="R2360" s="36"/>
      <c r="S2360" s="36"/>
    </row>
    <row r="2361">
      <c r="A2361" s="34"/>
      <c r="B2361" s="36"/>
      <c r="C2361" s="35"/>
      <c r="D2361" s="35"/>
      <c r="E2361" s="34"/>
      <c r="F2361" s="34"/>
      <c r="G2361" s="34"/>
      <c r="H2361" s="34"/>
      <c r="I2361" s="36"/>
      <c r="J2361" s="34"/>
      <c r="K2361" s="34"/>
      <c r="L2361" s="34"/>
      <c r="M2361" s="36"/>
      <c r="N2361" s="36"/>
      <c r="O2361" s="36"/>
      <c r="P2361" s="36"/>
      <c r="Q2361" s="36"/>
      <c r="R2361" s="36"/>
      <c r="S2361" s="36"/>
    </row>
    <row r="2362">
      <c r="A2362" s="34"/>
      <c r="B2362" s="36"/>
      <c r="C2362" s="35"/>
      <c r="D2362" s="35"/>
      <c r="E2362" s="34"/>
      <c r="F2362" s="34"/>
      <c r="G2362" s="34"/>
      <c r="H2362" s="34"/>
      <c r="I2362" s="36"/>
      <c r="J2362" s="34"/>
      <c r="K2362" s="34"/>
      <c r="L2362" s="34"/>
      <c r="M2362" s="36"/>
      <c r="N2362" s="36"/>
      <c r="O2362" s="36"/>
      <c r="P2362" s="36"/>
      <c r="Q2362" s="36"/>
      <c r="R2362" s="36"/>
      <c r="S2362" s="36"/>
    </row>
    <row r="2363">
      <c r="A2363" s="34"/>
      <c r="B2363" s="36"/>
      <c r="C2363" s="35"/>
      <c r="D2363" s="35"/>
      <c r="E2363" s="34"/>
      <c r="F2363" s="34"/>
      <c r="G2363" s="34"/>
      <c r="H2363" s="34"/>
      <c r="I2363" s="34"/>
      <c r="J2363" s="34"/>
      <c r="K2363" s="34"/>
      <c r="L2363" s="34"/>
      <c r="M2363" s="36"/>
      <c r="N2363" s="36"/>
      <c r="O2363" s="36"/>
      <c r="P2363" s="36"/>
      <c r="Q2363" s="36"/>
      <c r="R2363" s="36"/>
      <c r="S2363" s="36"/>
    </row>
    <row r="2364">
      <c r="A2364" s="34"/>
      <c r="B2364" s="36"/>
      <c r="C2364" s="35"/>
      <c r="D2364" s="35"/>
      <c r="E2364" s="34"/>
      <c r="F2364" s="34"/>
      <c r="G2364" s="34"/>
      <c r="H2364" s="34"/>
      <c r="I2364" s="36"/>
      <c r="J2364" s="34"/>
      <c r="K2364" s="34"/>
      <c r="L2364" s="34"/>
      <c r="M2364" s="36"/>
      <c r="N2364" s="36"/>
      <c r="O2364" s="36"/>
      <c r="P2364" s="36"/>
      <c r="Q2364" s="36"/>
      <c r="R2364" s="36"/>
      <c r="S2364" s="36"/>
    </row>
    <row r="2365">
      <c r="A2365" s="34"/>
      <c r="B2365" s="36"/>
      <c r="C2365" s="35"/>
      <c r="D2365" s="35"/>
      <c r="E2365" s="34"/>
      <c r="F2365" s="34"/>
      <c r="G2365" s="34"/>
      <c r="H2365" s="34"/>
      <c r="I2365" s="34"/>
      <c r="J2365" s="34"/>
      <c r="K2365" s="34"/>
      <c r="L2365" s="34"/>
      <c r="M2365" s="36"/>
      <c r="N2365" s="36"/>
      <c r="O2365" s="36"/>
      <c r="P2365" s="36"/>
      <c r="Q2365" s="36"/>
      <c r="R2365" s="36"/>
      <c r="S2365" s="36"/>
    </row>
    <row r="2366">
      <c r="A2366" s="34"/>
      <c r="B2366" s="36"/>
      <c r="C2366" s="35"/>
      <c r="D2366" s="35"/>
      <c r="E2366" s="34"/>
      <c r="F2366" s="34"/>
      <c r="G2366" s="34"/>
      <c r="H2366" s="34"/>
      <c r="I2366" s="34"/>
      <c r="J2366" s="34"/>
      <c r="K2366" s="34"/>
      <c r="L2366" s="34"/>
      <c r="M2366" s="36"/>
      <c r="N2366" s="36"/>
      <c r="O2366" s="36"/>
      <c r="P2366" s="36"/>
      <c r="Q2366" s="36"/>
      <c r="R2366" s="36"/>
      <c r="S2366" s="36"/>
    </row>
    <row r="2367">
      <c r="A2367" s="34"/>
      <c r="B2367" s="36"/>
      <c r="C2367" s="35"/>
      <c r="D2367" s="35"/>
      <c r="E2367" s="34"/>
      <c r="F2367" s="34"/>
      <c r="G2367" s="34"/>
      <c r="H2367" s="34"/>
      <c r="I2367" s="34"/>
      <c r="J2367" s="34"/>
      <c r="K2367" s="34"/>
      <c r="L2367" s="34"/>
      <c r="M2367" s="36"/>
      <c r="N2367" s="36"/>
      <c r="O2367" s="36"/>
      <c r="P2367" s="36"/>
      <c r="Q2367" s="36"/>
      <c r="R2367" s="36"/>
      <c r="S2367" s="36"/>
    </row>
    <row r="2368">
      <c r="A2368" s="34"/>
      <c r="B2368" s="36"/>
      <c r="C2368" s="35"/>
      <c r="D2368" s="35"/>
      <c r="E2368" s="34"/>
      <c r="F2368" s="34"/>
      <c r="G2368" s="34"/>
      <c r="H2368" s="34"/>
      <c r="I2368" s="36"/>
      <c r="J2368" s="34"/>
      <c r="K2368" s="34"/>
      <c r="L2368" s="34"/>
      <c r="M2368" s="36"/>
      <c r="N2368" s="36"/>
      <c r="O2368" s="36"/>
      <c r="P2368" s="36"/>
      <c r="Q2368" s="36"/>
      <c r="R2368" s="36"/>
      <c r="S2368" s="36"/>
    </row>
    <row r="2369">
      <c r="A2369" s="34"/>
      <c r="B2369" s="36"/>
      <c r="C2369" s="35"/>
      <c r="D2369" s="35"/>
      <c r="E2369" s="34"/>
      <c r="F2369" s="34"/>
      <c r="G2369" s="34"/>
      <c r="H2369" s="34"/>
      <c r="I2369" s="36"/>
      <c r="J2369" s="34"/>
      <c r="K2369" s="34"/>
      <c r="L2369" s="34"/>
      <c r="M2369" s="36"/>
      <c r="N2369" s="36"/>
      <c r="O2369" s="36"/>
      <c r="P2369" s="36"/>
      <c r="Q2369" s="36"/>
      <c r="R2369" s="36"/>
      <c r="S2369" s="36"/>
    </row>
    <row r="2370">
      <c r="A2370" s="34"/>
      <c r="B2370" s="36"/>
      <c r="C2370" s="35"/>
      <c r="D2370" s="35"/>
      <c r="E2370" s="34"/>
      <c r="F2370" s="34"/>
      <c r="G2370" s="34"/>
      <c r="H2370" s="34"/>
      <c r="I2370" s="34"/>
      <c r="J2370" s="34"/>
      <c r="K2370" s="34"/>
      <c r="L2370" s="34"/>
      <c r="M2370" s="36"/>
      <c r="N2370" s="36"/>
      <c r="O2370" s="36"/>
      <c r="P2370" s="36"/>
      <c r="Q2370" s="36"/>
      <c r="R2370" s="36"/>
      <c r="S2370" s="36"/>
    </row>
    <row r="2371">
      <c r="A2371" s="34"/>
      <c r="B2371" s="36"/>
      <c r="C2371" s="35"/>
      <c r="D2371" s="35"/>
      <c r="E2371" s="34"/>
      <c r="F2371" s="34"/>
      <c r="G2371" s="34"/>
      <c r="H2371" s="34"/>
      <c r="I2371" s="36"/>
      <c r="J2371" s="34"/>
      <c r="K2371" s="34"/>
      <c r="L2371" s="34"/>
      <c r="M2371" s="36"/>
      <c r="N2371" s="36"/>
      <c r="O2371" s="36"/>
      <c r="P2371" s="36"/>
      <c r="Q2371" s="36"/>
      <c r="R2371" s="36"/>
      <c r="S2371" s="36"/>
    </row>
    <row r="2372">
      <c r="A2372" s="34"/>
      <c r="B2372" s="36"/>
      <c r="C2372" s="35"/>
      <c r="D2372" s="35"/>
      <c r="E2372" s="34"/>
      <c r="F2372" s="34"/>
      <c r="G2372" s="34"/>
      <c r="H2372" s="34"/>
      <c r="I2372" s="36"/>
      <c r="J2372" s="34"/>
      <c r="K2372" s="34"/>
      <c r="L2372" s="34"/>
      <c r="M2372" s="36"/>
      <c r="N2372" s="36"/>
      <c r="O2372" s="36"/>
      <c r="P2372" s="36"/>
      <c r="Q2372" s="36"/>
      <c r="R2372" s="36"/>
      <c r="S2372" s="36"/>
    </row>
    <row r="2373">
      <c r="A2373" s="34"/>
      <c r="B2373" s="36"/>
      <c r="C2373" s="35"/>
      <c r="D2373" s="35"/>
      <c r="E2373" s="34"/>
      <c r="F2373" s="34"/>
      <c r="G2373" s="34"/>
      <c r="H2373" s="34"/>
      <c r="I2373" s="36"/>
      <c r="J2373" s="34"/>
      <c r="K2373" s="34"/>
      <c r="L2373" s="34"/>
      <c r="M2373" s="36"/>
      <c r="N2373" s="36"/>
      <c r="O2373" s="36"/>
      <c r="P2373" s="36"/>
      <c r="Q2373" s="36"/>
      <c r="R2373" s="36"/>
      <c r="S2373" s="36"/>
    </row>
    <row r="2374">
      <c r="A2374" s="34"/>
      <c r="B2374" s="36"/>
      <c r="C2374" s="35"/>
      <c r="D2374" s="35"/>
      <c r="E2374" s="34"/>
      <c r="F2374" s="34"/>
      <c r="G2374" s="34"/>
      <c r="H2374" s="34"/>
      <c r="I2374" s="36"/>
      <c r="J2374" s="34"/>
      <c r="K2374" s="34"/>
      <c r="L2374" s="34"/>
      <c r="M2374" s="36"/>
      <c r="N2374" s="36"/>
      <c r="O2374" s="36"/>
      <c r="P2374" s="36"/>
      <c r="Q2374" s="36"/>
      <c r="R2374" s="36"/>
      <c r="S2374" s="36"/>
    </row>
    <row r="2375">
      <c r="A2375" s="34"/>
      <c r="B2375" s="36"/>
      <c r="C2375" s="35"/>
      <c r="D2375" s="35"/>
      <c r="E2375" s="34"/>
      <c r="F2375" s="34"/>
      <c r="G2375" s="34"/>
      <c r="H2375" s="34"/>
      <c r="I2375" s="34"/>
      <c r="J2375" s="34"/>
      <c r="K2375" s="34"/>
      <c r="L2375" s="34"/>
      <c r="M2375" s="36"/>
      <c r="N2375" s="36"/>
      <c r="O2375" s="36"/>
      <c r="P2375" s="36"/>
      <c r="Q2375" s="36"/>
      <c r="R2375" s="36"/>
      <c r="S2375" s="36"/>
    </row>
    <row r="2376">
      <c r="A2376" s="34"/>
      <c r="B2376" s="36"/>
      <c r="C2376" s="35"/>
      <c r="D2376" s="35"/>
      <c r="E2376" s="34"/>
      <c r="F2376" s="34"/>
      <c r="G2376" s="34"/>
      <c r="H2376" s="34"/>
      <c r="I2376" s="36"/>
      <c r="J2376" s="34"/>
      <c r="K2376" s="34"/>
      <c r="L2376" s="34"/>
      <c r="M2376" s="36"/>
      <c r="N2376" s="36"/>
      <c r="O2376" s="36"/>
      <c r="P2376" s="36"/>
      <c r="Q2376" s="36"/>
      <c r="R2376" s="36"/>
      <c r="S2376" s="36"/>
    </row>
    <row r="2377">
      <c r="A2377" s="34"/>
      <c r="B2377" s="36"/>
      <c r="C2377" s="35"/>
      <c r="D2377" s="35"/>
      <c r="E2377" s="34"/>
      <c r="F2377" s="34"/>
      <c r="G2377" s="34"/>
      <c r="H2377" s="34"/>
      <c r="I2377" s="36"/>
      <c r="J2377" s="34"/>
      <c r="K2377" s="34"/>
      <c r="L2377" s="34"/>
      <c r="M2377" s="36"/>
      <c r="N2377" s="36"/>
      <c r="O2377" s="36"/>
      <c r="P2377" s="36"/>
      <c r="Q2377" s="36"/>
      <c r="R2377" s="36"/>
      <c r="S2377" s="36"/>
    </row>
    <row r="2378">
      <c r="A2378" s="34"/>
      <c r="B2378" s="36"/>
      <c r="C2378" s="35"/>
      <c r="D2378" s="35"/>
      <c r="E2378" s="34"/>
      <c r="F2378" s="34"/>
      <c r="G2378" s="34"/>
      <c r="H2378" s="34"/>
      <c r="I2378" s="36"/>
      <c r="J2378" s="34"/>
      <c r="K2378" s="34"/>
      <c r="L2378" s="34"/>
      <c r="M2378" s="36"/>
      <c r="N2378" s="36"/>
      <c r="O2378" s="36"/>
      <c r="P2378" s="36"/>
      <c r="Q2378" s="36"/>
      <c r="R2378" s="36"/>
      <c r="S2378" s="36"/>
    </row>
    <row r="2379">
      <c r="A2379" s="34"/>
      <c r="B2379" s="36"/>
      <c r="C2379" s="35"/>
      <c r="D2379" s="35"/>
      <c r="E2379" s="34"/>
      <c r="F2379" s="34"/>
      <c r="G2379" s="34"/>
      <c r="H2379" s="34"/>
      <c r="I2379" s="34"/>
      <c r="J2379" s="34"/>
      <c r="K2379" s="34"/>
      <c r="L2379" s="34"/>
      <c r="M2379" s="36"/>
      <c r="N2379" s="36"/>
      <c r="O2379" s="36"/>
      <c r="P2379" s="36"/>
      <c r="Q2379" s="36"/>
      <c r="R2379" s="36"/>
      <c r="S2379" s="36"/>
    </row>
    <row r="2380">
      <c r="A2380" s="34"/>
      <c r="B2380" s="36"/>
      <c r="C2380" s="35"/>
      <c r="D2380" s="35"/>
      <c r="E2380" s="34"/>
      <c r="F2380" s="34"/>
      <c r="G2380" s="34"/>
      <c r="H2380" s="34"/>
      <c r="I2380" s="36"/>
      <c r="J2380" s="34"/>
      <c r="K2380" s="34"/>
      <c r="L2380" s="34"/>
      <c r="M2380" s="36"/>
      <c r="N2380" s="36"/>
      <c r="O2380" s="36"/>
      <c r="P2380" s="36"/>
      <c r="Q2380" s="36"/>
      <c r="R2380" s="36"/>
      <c r="S2380" s="36"/>
    </row>
    <row r="2381">
      <c r="A2381" s="34"/>
      <c r="B2381" s="36"/>
      <c r="C2381" s="35"/>
      <c r="D2381" s="35"/>
      <c r="E2381" s="34"/>
      <c r="F2381" s="34"/>
      <c r="G2381" s="34"/>
      <c r="H2381" s="34"/>
      <c r="I2381" s="36"/>
      <c r="J2381" s="34"/>
      <c r="K2381" s="34"/>
      <c r="L2381" s="34"/>
      <c r="M2381" s="36"/>
      <c r="N2381" s="36"/>
      <c r="O2381" s="36"/>
      <c r="P2381" s="36"/>
      <c r="Q2381" s="36"/>
      <c r="R2381" s="36"/>
      <c r="S2381" s="36"/>
    </row>
    <row r="2382">
      <c r="A2382" s="34"/>
      <c r="B2382" s="36"/>
      <c r="C2382" s="35"/>
      <c r="D2382" s="35"/>
      <c r="E2382" s="34"/>
      <c r="F2382" s="34"/>
      <c r="G2382" s="34"/>
      <c r="H2382" s="34"/>
      <c r="I2382" s="34"/>
      <c r="J2382" s="34"/>
      <c r="K2382" s="34"/>
      <c r="L2382" s="34"/>
      <c r="M2382" s="36"/>
      <c r="N2382" s="36"/>
      <c r="O2382" s="36"/>
      <c r="P2382" s="36"/>
      <c r="Q2382" s="36"/>
      <c r="R2382" s="36"/>
      <c r="S2382" s="36"/>
    </row>
    <row r="2383">
      <c r="A2383" s="34"/>
      <c r="B2383" s="36"/>
      <c r="C2383" s="35"/>
      <c r="D2383" s="35"/>
      <c r="E2383" s="34"/>
      <c r="F2383" s="34"/>
      <c r="G2383" s="34"/>
      <c r="H2383" s="34"/>
      <c r="I2383" s="36"/>
      <c r="J2383" s="34"/>
      <c r="K2383" s="34"/>
      <c r="L2383" s="34"/>
      <c r="M2383" s="36"/>
      <c r="N2383" s="36"/>
      <c r="O2383" s="36"/>
      <c r="P2383" s="36"/>
      <c r="Q2383" s="36"/>
      <c r="R2383" s="36"/>
      <c r="S2383" s="36"/>
    </row>
    <row r="2384">
      <c r="A2384" s="34"/>
      <c r="B2384" s="36"/>
      <c r="C2384" s="35"/>
      <c r="D2384" s="35"/>
      <c r="E2384" s="34"/>
      <c r="F2384" s="34"/>
      <c r="G2384" s="34"/>
      <c r="H2384" s="34"/>
      <c r="I2384" s="36"/>
      <c r="J2384" s="34"/>
      <c r="K2384" s="34"/>
      <c r="L2384" s="34"/>
      <c r="M2384" s="36"/>
      <c r="N2384" s="36"/>
      <c r="O2384" s="36"/>
      <c r="P2384" s="36"/>
      <c r="Q2384" s="36"/>
      <c r="R2384" s="36"/>
      <c r="S2384" s="36"/>
    </row>
    <row r="2385">
      <c r="A2385" s="34"/>
      <c r="B2385" s="34"/>
      <c r="C2385" s="35"/>
      <c r="D2385" s="35"/>
      <c r="E2385" s="34"/>
      <c r="F2385" s="34"/>
      <c r="G2385" s="34"/>
      <c r="H2385" s="34"/>
      <c r="I2385" s="34"/>
      <c r="J2385" s="34"/>
      <c r="K2385" s="34"/>
      <c r="L2385" s="34"/>
      <c r="M2385" s="36"/>
      <c r="N2385" s="36"/>
      <c r="O2385" s="36"/>
      <c r="P2385" s="36"/>
      <c r="Q2385" s="36"/>
      <c r="R2385" s="36"/>
      <c r="S2385" s="36"/>
    </row>
    <row r="2386">
      <c r="A2386" s="34"/>
      <c r="B2386" s="36"/>
      <c r="C2386" s="35"/>
      <c r="D2386" s="35"/>
      <c r="E2386" s="34"/>
      <c r="F2386" s="34"/>
      <c r="G2386" s="34"/>
      <c r="H2386" s="34"/>
      <c r="I2386" s="36"/>
      <c r="J2386" s="34"/>
      <c r="K2386" s="34"/>
      <c r="L2386" s="34"/>
      <c r="M2386" s="36"/>
      <c r="N2386" s="36"/>
      <c r="O2386" s="36"/>
      <c r="P2386" s="36"/>
      <c r="Q2386" s="36"/>
      <c r="R2386" s="36"/>
      <c r="S2386" s="36"/>
    </row>
    <row r="2387">
      <c r="A2387" s="34"/>
      <c r="B2387" s="34"/>
      <c r="C2387" s="35"/>
      <c r="D2387" s="35"/>
      <c r="E2387" s="34"/>
      <c r="F2387" s="34"/>
      <c r="G2387" s="34"/>
      <c r="H2387" s="34"/>
      <c r="I2387" s="34"/>
      <c r="J2387" s="34"/>
      <c r="K2387" s="34"/>
      <c r="L2387" s="34"/>
      <c r="M2387" s="36"/>
      <c r="N2387" s="36"/>
      <c r="O2387" s="36"/>
      <c r="P2387" s="36"/>
      <c r="Q2387" s="36"/>
      <c r="R2387" s="36"/>
      <c r="S2387" s="36"/>
    </row>
    <row r="2388">
      <c r="A2388" s="34"/>
      <c r="B2388" s="36"/>
      <c r="C2388" s="35"/>
      <c r="D2388" s="35"/>
      <c r="E2388" s="34"/>
      <c r="F2388" s="34"/>
      <c r="G2388" s="34"/>
      <c r="H2388" s="34"/>
      <c r="I2388" s="36"/>
      <c r="J2388" s="34"/>
      <c r="K2388" s="34"/>
      <c r="L2388" s="34"/>
      <c r="M2388" s="36"/>
      <c r="N2388" s="36"/>
      <c r="O2388" s="36"/>
      <c r="P2388" s="36"/>
      <c r="Q2388" s="36"/>
      <c r="R2388" s="36"/>
      <c r="S2388" s="36"/>
    </row>
    <row r="2389">
      <c r="A2389" s="34"/>
      <c r="B2389" s="34"/>
      <c r="C2389" s="35"/>
      <c r="D2389" s="35"/>
      <c r="E2389" s="34"/>
      <c r="F2389" s="34"/>
      <c r="G2389" s="34"/>
      <c r="H2389" s="34"/>
      <c r="I2389" s="34"/>
      <c r="J2389" s="34"/>
      <c r="K2389" s="34"/>
      <c r="L2389" s="34"/>
      <c r="M2389" s="36"/>
      <c r="N2389" s="36"/>
      <c r="O2389" s="36"/>
      <c r="P2389" s="36"/>
      <c r="Q2389" s="36"/>
      <c r="R2389" s="36"/>
      <c r="S2389" s="36"/>
    </row>
    <row r="2390">
      <c r="A2390" s="34"/>
      <c r="B2390" s="36"/>
      <c r="C2390" s="35"/>
      <c r="D2390" s="35"/>
      <c r="E2390" s="34"/>
      <c r="F2390" s="34"/>
      <c r="G2390" s="34"/>
      <c r="H2390" s="34"/>
      <c r="I2390" s="36"/>
      <c r="J2390" s="34"/>
      <c r="K2390" s="34"/>
      <c r="L2390" s="34"/>
      <c r="M2390" s="36"/>
      <c r="N2390" s="36"/>
      <c r="O2390" s="36"/>
      <c r="P2390" s="36"/>
      <c r="Q2390" s="36"/>
      <c r="R2390" s="36"/>
      <c r="S2390" s="36"/>
    </row>
    <row r="2391">
      <c r="A2391" s="34"/>
      <c r="B2391" s="36"/>
      <c r="C2391" s="35"/>
      <c r="D2391" s="35"/>
      <c r="E2391" s="34"/>
      <c r="F2391" s="34"/>
      <c r="G2391" s="34"/>
      <c r="H2391" s="34"/>
      <c r="I2391" s="36"/>
      <c r="J2391" s="34"/>
      <c r="K2391" s="34"/>
      <c r="L2391" s="34"/>
      <c r="M2391" s="36"/>
      <c r="N2391" s="36"/>
      <c r="O2391" s="36"/>
      <c r="P2391" s="36"/>
      <c r="Q2391" s="36"/>
      <c r="R2391" s="36"/>
      <c r="S2391" s="36"/>
    </row>
    <row r="2392">
      <c r="A2392" s="34"/>
      <c r="B2392" s="36"/>
      <c r="C2392" s="35"/>
      <c r="D2392" s="35"/>
      <c r="E2392" s="34"/>
      <c r="F2392" s="34"/>
      <c r="G2392" s="34"/>
      <c r="H2392" s="34"/>
      <c r="I2392" s="36"/>
      <c r="J2392" s="34"/>
      <c r="K2392" s="34"/>
      <c r="L2392" s="34"/>
      <c r="M2392" s="36"/>
      <c r="N2392" s="36"/>
      <c r="O2392" s="36"/>
      <c r="P2392" s="36"/>
      <c r="Q2392" s="36"/>
      <c r="R2392" s="36"/>
      <c r="S2392" s="36"/>
    </row>
    <row r="2393">
      <c r="A2393" s="34"/>
      <c r="B2393" s="36"/>
      <c r="C2393" s="35"/>
      <c r="D2393" s="35"/>
      <c r="E2393" s="34"/>
      <c r="F2393" s="34"/>
      <c r="G2393" s="34"/>
      <c r="H2393" s="34"/>
      <c r="I2393" s="36"/>
      <c r="J2393" s="34"/>
      <c r="K2393" s="34"/>
      <c r="L2393" s="34"/>
      <c r="M2393" s="36"/>
      <c r="N2393" s="36"/>
      <c r="O2393" s="36"/>
      <c r="P2393" s="36"/>
      <c r="Q2393" s="36"/>
      <c r="R2393" s="36"/>
      <c r="S2393" s="36"/>
    </row>
    <row r="2394">
      <c r="A2394" s="34"/>
      <c r="B2394" s="36"/>
      <c r="C2394" s="35"/>
      <c r="D2394" s="35"/>
      <c r="E2394" s="34"/>
      <c r="F2394" s="34"/>
      <c r="G2394" s="34"/>
      <c r="H2394" s="34"/>
      <c r="I2394" s="36"/>
      <c r="J2394" s="34"/>
      <c r="K2394" s="34"/>
      <c r="L2394" s="34"/>
      <c r="M2394" s="36"/>
      <c r="N2394" s="36"/>
      <c r="O2394" s="36"/>
      <c r="P2394" s="36"/>
      <c r="Q2394" s="36"/>
      <c r="R2394" s="36"/>
      <c r="S2394" s="36"/>
    </row>
    <row r="2395">
      <c r="A2395" s="34"/>
      <c r="B2395" s="36"/>
      <c r="C2395" s="35"/>
      <c r="D2395" s="35"/>
      <c r="E2395" s="34"/>
      <c r="F2395" s="34"/>
      <c r="G2395" s="34"/>
      <c r="H2395" s="34"/>
      <c r="I2395" s="36"/>
      <c r="J2395" s="34"/>
      <c r="K2395" s="34"/>
      <c r="L2395" s="34"/>
      <c r="M2395" s="36"/>
      <c r="N2395" s="36"/>
      <c r="O2395" s="36"/>
      <c r="P2395" s="36"/>
      <c r="Q2395" s="36"/>
      <c r="R2395" s="36"/>
      <c r="S2395" s="36"/>
    </row>
    <row r="2396">
      <c r="A2396" s="34"/>
      <c r="B2396" s="36"/>
      <c r="C2396" s="35"/>
      <c r="D2396" s="35"/>
      <c r="E2396" s="34"/>
      <c r="F2396" s="34"/>
      <c r="G2396" s="34"/>
      <c r="H2396" s="34"/>
      <c r="I2396" s="36"/>
      <c r="J2396" s="34"/>
      <c r="K2396" s="34"/>
      <c r="L2396" s="34"/>
      <c r="M2396" s="36"/>
      <c r="N2396" s="36"/>
      <c r="O2396" s="36"/>
      <c r="P2396" s="36"/>
      <c r="Q2396" s="36"/>
      <c r="R2396" s="36"/>
      <c r="S2396" s="36"/>
    </row>
    <row r="2397">
      <c r="A2397" s="36"/>
      <c r="B2397" s="36"/>
      <c r="C2397" s="36"/>
      <c r="D2397" s="36"/>
      <c r="E2397" s="36"/>
      <c r="F2397" s="36"/>
      <c r="G2397" s="36"/>
      <c r="H2397" s="36"/>
      <c r="I2397" s="36"/>
      <c r="J2397" s="36"/>
      <c r="K2397" s="36"/>
      <c r="L2397" s="36"/>
      <c r="M2397" s="36"/>
      <c r="N2397" s="36"/>
      <c r="O2397" s="36"/>
      <c r="P2397" s="36"/>
      <c r="Q2397" s="36"/>
      <c r="R2397" s="36"/>
      <c r="S2397" s="36"/>
    </row>
    <row r="2398">
      <c r="A2398" s="36"/>
      <c r="B2398" s="36"/>
      <c r="C2398" s="36"/>
      <c r="D2398" s="36"/>
      <c r="E2398" s="36"/>
      <c r="F2398" s="36"/>
      <c r="G2398" s="36"/>
      <c r="H2398" s="36"/>
      <c r="I2398" s="36"/>
      <c r="J2398" s="36"/>
      <c r="K2398" s="36"/>
      <c r="L2398" s="36"/>
      <c r="M2398" s="36"/>
      <c r="N2398" s="36"/>
      <c r="O2398" s="36"/>
      <c r="P2398" s="36"/>
      <c r="Q2398" s="36"/>
      <c r="R2398" s="36"/>
      <c r="S2398" s="36"/>
    </row>
  </sheetData>
  <autoFilter ref="$A$1:$S$35">
    <filterColumn colId="6">
      <filters>
        <filter val="Danrev Bactad"/>
      </filters>
    </filterColumn>
  </autoFil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cols>
    <col customWidth="1" min="2" max="2" width="18.13"/>
    <col customWidth="1" min="3" max="3" width="26.88"/>
    <col customWidth="1" min="4" max="4" width="17.13"/>
  </cols>
  <sheetData>
    <row r="1">
      <c r="A1" s="37" t="s">
        <v>100</v>
      </c>
      <c r="B1" s="37" t="s">
        <v>2</v>
      </c>
      <c r="C1" s="37" t="s">
        <v>101</v>
      </c>
      <c r="D1" s="37" t="s">
        <v>102</v>
      </c>
      <c r="E1" s="38" t="s">
        <v>103</v>
      </c>
      <c r="F1" s="38" t="s">
        <v>104</v>
      </c>
      <c r="G1" s="38" t="s">
        <v>105</v>
      </c>
      <c r="H1" s="38" t="s">
        <v>106</v>
      </c>
      <c r="I1" s="38" t="s">
        <v>107</v>
      </c>
      <c r="J1" s="38" t="s">
        <v>108</v>
      </c>
      <c r="K1" s="38" t="s">
        <v>109</v>
      </c>
      <c r="L1" s="38" t="s">
        <v>110</v>
      </c>
      <c r="M1" s="38" t="s">
        <v>111</v>
      </c>
      <c r="N1" s="38" t="s">
        <v>112</v>
      </c>
      <c r="O1" s="38" t="s">
        <v>113</v>
      </c>
      <c r="P1" s="38" t="s">
        <v>114</v>
      </c>
      <c r="Q1" s="38" t="s">
        <v>115</v>
      </c>
      <c r="R1" s="38" t="s">
        <v>116</v>
      </c>
      <c r="S1" s="38" t="s">
        <v>117</v>
      </c>
      <c r="T1" s="39"/>
      <c r="U1" s="39"/>
    </row>
    <row r="2">
      <c r="A2" s="40">
        <f t="shared" ref="A2:A17823" si="1">if(isblank(L2), , int(L2)-WEEKDAY(int(L2),2)+1)</f>
        <v>45999</v>
      </c>
      <c r="B2" s="37" t="str">
        <f t="array" ref="B2">iferror(xlookup($I2, 'IMPORT VHC Report'!$E:$E, 'IMPORT VHC Report'!$A:$C), )</f>
        <v/>
      </c>
      <c r="C2" s="37"/>
      <c r="D2" s="37"/>
      <c r="E2" s="38" t="s">
        <v>118</v>
      </c>
      <c r="F2" s="38" t="s">
        <v>119</v>
      </c>
      <c r="G2" s="39"/>
      <c r="H2" s="38" t="s">
        <v>120</v>
      </c>
      <c r="I2" s="38" t="s">
        <v>121</v>
      </c>
      <c r="J2" s="38" t="s">
        <v>122</v>
      </c>
      <c r="K2" s="38" t="s">
        <v>63</v>
      </c>
      <c r="L2" s="41">
        <v>46005.666666666664</v>
      </c>
      <c r="M2" s="38" t="s">
        <v>123</v>
      </c>
      <c r="N2" s="41">
        <v>46006.041666666664</v>
      </c>
      <c r="O2" s="38" t="s">
        <v>123</v>
      </c>
      <c r="P2" s="38">
        <v>32400.0</v>
      </c>
      <c r="Q2" s="39"/>
      <c r="R2" s="39"/>
      <c r="S2" s="39"/>
      <c r="T2" s="39"/>
      <c r="U2" s="39"/>
    </row>
    <row r="3">
      <c r="A3" s="40">
        <f t="shared" si="1"/>
        <v>46006</v>
      </c>
      <c r="B3" s="37" t="str">
        <f t="array" ref="B3">iferror(xlookup($I3, 'IMPORT VHC Report'!$E:$E, 'IMPORT VHC Report'!$A:$C), )</f>
        <v/>
      </c>
      <c r="C3" s="37"/>
      <c r="D3" s="37"/>
      <c r="E3" s="38" t="s">
        <v>124</v>
      </c>
      <c r="F3" s="38" t="s">
        <v>119</v>
      </c>
      <c r="G3" s="39"/>
      <c r="H3" s="38" t="s">
        <v>120</v>
      </c>
      <c r="I3" s="38" t="s">
        <v>121</v>
      </c>
      <c r="J3" s="38" t="s">
        <v>125</v>
      </c>
      <c r="K3" s="38" t="s">
        <v>126</v>
      </c>
      <c r="L3" s="41">
        <v>46008.666666666664</v>
      </c>
      <c r="M3" s="38" t="s">
        <v>123</v>
      </c>
      <c r="N3" s="41">
        <v>46008.67361111111</v>
      </c>
      <c r="O3" s="38" t="s">
        <v>123</v>
      </c>
      <c r="P3" s="38">
        <v>600.0</v>
      </c>
      <c r="Q3" s="39"/>
      <c r="R3" s="39"/>
      <c r="S3" s="38" t="s">
        <v>127</v>
      </c>
      <c r="T3" s="39"/>
      <c r="U3" s="39"/>
    </row>
    <row r="4">
      <c r="A4" s="40">
        <f t="shared" si="1"/>
        <v>46006</v>
      </c>
      <c r="B4" s="37" t="str">
        <f t="array" ref="B4">iferror(xlookup($I4, 'IMPORT VHC Report'!$E:$E, 'IMPORT VHC Report'!$A:$C), )</f>
        <v/>
      </c>
      <c r="C4" s="37"/>
      <c r="D4" s="37"/>
      <c r="E4" s="38" t="s">
        <v>128</v>
      </c>
      <c r="F4" s="38" t="s">
        <v>119</v>
      </c>
      <c r="G4" s="39"/>
      <c r="H4" s="38" t="s">
        <v>120</v>
      </c>
      <c r="I4" s="38" t="s">
        <v>121</v>
      </c>
      <c r="J4" s="38" t="s">
        <v>122</v>
      </c>
      <c r="K4" s="38" t="s">
        <v>63</v>
      </c>
      <c r="L4" s="41">
        <v>46008.666666666664</v>
      </c>
      <c r="M4" s="38" t="s">
        <v>123</v>
      </c>
      <c r="N4" s="41">
        <v>46009.041666666664</v>
      </c>
      <c r="O4" s="38" t="s">
        <v>123</v>
      </c>
      <c r="P4" s="38">
        <v>32400.0</v>
      </c>
      <c r="Q4" s="39"/>
      <c r="R4" s="39"/>
      <c r="S4" s="39"/>
      <c r="T4" s="39"/>
      <c r="U4" s="39"/>
    </row>
    <row r="5">
      <c r="A5" s="40">
        <f t="shared" si="1"/>
        <v>46006</v>
      </c>
      <c r="B5" s="37" t="str">
        <f t="array" ref="B5">iferror(xlookup($I5, 'IMPORT VHC Report'!$E:$E, 'IMPORT VHC Report'!$A:$C), )</f>
        <v/>
      </c>
      <c r="C5" s="37"/>
      <c r="D5" s="37"/>
      <c r="E5" s="38" t="s">
        <v>129</v>
      </c>
      <c r="F5" s="38" t="s">
        <v>119</v>
      </c>
      <c r="G5" s="39"/>
      <c r="H5" s="38" t="s">
        <v>120</v>
      </c>
      <c r="I5" s="38" t="s">
        <v>121</v>
      </c>
      <c r="J5" s="38" t="s">
        <v>4</v>
      </c>
      <c r="K5" s="38" t="s">
        <v>126</v>
      </c>
      <c r="L5" s="41">
        <v>46008.697916666664</v>
      </c>
      <c r="M5" s="38" t="s">
        <v>123</v>
      </c>
      <c r="N5" s="41">
        <v>46008.739583333336</v>
      </c>
      <c r="O5" s="38" t="s">
        <v>123</v>
      </c>
      <c r="P5" s="38">
        <v>3600.0</v>
      </c>
      <c r="Q5" s="39"/>
      <c r="R5" s="39"/>
      <c r="S5" s="38" t="s">
        <v>130</v>
      </c>
      <c r="T5" s="39"/>
      <c r="U5" s="39"/>
    </row>
    <row r="6">
      <c r="A6" s="40">
        <f t="shared" si="1"/>
        <v>46006</v>
      </c>
      <c r="B6" s="37" t="str">
        <f t="array" ref="B6">iferror(xlookup($I6, 'IMPORT VHC Report'!$E:$E, 'IMPORT VHC Report'!$A:$C), )</f>
        <v/>
      </c>
      <c r="C6" s="37"/>
      <c r="D6" s="37"/>
      <c r="E6" s="38" t="s">
        <v>131</v>
      </c>
      <c r="F6" s="38" t="s">
        <v>119</v>
      </c>
      <c r="G6" s="39"/>
      <c r="H6" s="38" t="s">
        <v>120</v>
      </c>
      <c r="I6" s="38" t="s">
        <v>121</v>
      </c>
      <c r="J6" s="38" t="s">
        <v>132</v>
      </c>
      <c r="K6" s="38" t="s">
        <v>126</v>
      </c>
      <c r="L6" s="41">
        <v>46008.739583333336</v>
      </c>
      <c r="M6" s="38" t="s">
        <v>123</v>
      </c>
      <c r="N6" s="41">
        <v>46008.78125</v>
      </c>
      <c r="O6" s="38" t="s">
        <v>123</v>
      </c>
      <c r="P6" s="38">
        <v>3600.0</v>
      </c>
      <c r="Q6" s="39"/>
      <c r="R6" s="39"/>
      <c r="S6" s="39"/>
      <c r="T6" s="39"/>
      <c r="U6" s="39"/>
    </row>
    <row r="7">
      <c r="A7" s="40">
        <f t="shared" si="1"/>
        <v>46006</v>
      </c>
      <c r="B7" s="37" t="str">
        <f t="array" ref="B7">iferror(xlookup($I7, 'IMPORT VHC Report'!$E:$E, 'IMPORT VHC Report'!$A:$C), )</f>
        <v/>
      </c>
      <c r="C7" s="37"/>
      <c r="D7" s="37"/>
      <c r="E7" s="38" t="s">
        <v>133</v>
      </c>
      <c r="F7" s="38" t="s">
        <v>119</v>
      </c>
      <c r="G7" s="39"/>
      <c r="H7" s="38" t="s">
        <v>120</v>
      </c>
      <c r="I7" s="38" t="s">
        <v>121</v>
      </c>
      <c r="J7" s="38" t="s">
        <v>134</v>
      </c>
      <c r="K7" s="38" t="s">
        <v>126</v>
      </c>
      <c r="L7" s="41">
        <v>46008.885416666664</v>
      </c>
      <c r="M7" s="38" t="s">
        <v>123</v>
      </c>
      <c r="N7" s="41">
        <v>46008.90625</v>
      </c>
      <c r="O7" s="38" t="s">
        <v>123</v>
      </c>
      <c r="P7" s="38">
        <v>1800.0</v>
      </c>
      <c r="Q7" s="39"/>
      <c r="R7" s="39"/>
      <c r="S7" s="39"/>
      <c r="T7" s="39"/>
      <c r="U7" s="39"/>
    </row>
    <row r="8">
      <c r="A8" s="40">
        <f t="shared" si="1"/>
        <v>46006</v>
      </c>
      <c r="B8" s="37" t="str">
        <f t="array" ref="B8">iferror(xlookup($I8, 'IMPORT VHC Report'!$E:$E, 'IMPORT VHC Report'!$A:$C), )</f>
        <v/>
      </c>
      <c r="C8" s="37"/>
      <c r="D8" s="37"/>
      <c r="E8" s="38" t="s">
        <v>135</v>
      </c>
      <c r="F8" s="38" t="s">
        <v>119</v>
      </c>
      <c r="G8" s="39"/>
      <c r="H8" s="38" t="s">
        <v>120</v>
      </c>
      <c r="I8" s="38" t="s">
        <v>121</v>
      </c>
      <c r="J8" s="38" t="s">
        <v>136</v>
      </c>
      <c r="K8" s="38" t="s">
        <v>126</v>
      </c>
      <c r="L8" s="41">
        <v>46008.916666666664</v>
      </c>
      <c r="M8" s="38" t="s">
        <v>123</v>
      </c>
      <c r="N8" s="41">
        <v>46008.947916666664</v>
      </c>
      <c r="O8" s="38" t="s">
        <v>123</v>
      </c>
      <c r="P8" s="38">
        <v>2700.0</v>
      </c>
      <c r="Q8" s="39"/>
      <c r="R8" s="39"/>
      <c r="S8" s="38" t="s">
        <v>137</v>
      </c>
      <c r="T8" s="39"/>
      <c r="U8" s="39"/>
    </row>
    <row r="9">
      <c r="A9" s="40">
        <f t="shared" si="1"/>
        <v>46006</v>
      </c>
      <c r="B9" s="37" t="str">
        <f t="array" ref="B9">iferror(xlookup($I9, 'IMPORT VHC Report'!$E:$E, 'IMPORT VHC Report'!$A:$C), )</f>
        <v/>
      </c>
      <c r="C9" s="37"/>
      <c r="D9" s="37"/>
      <c r="E9" s="38" t="s">
        <v>138</v>
      </c>
      <c r="F9" s="38" t="s">
        <v>119</v>
      </c>
      <c r="G9" s="39"/>
      <c r="H9" s="38" t="s">
        <v>120</v>
      </c>
      <c r="I9" s="38" t="s">
        <v>121</v>
      </c>
      <c r="J9" s="38" t="s">
        <v>125</v>
      </c>
      <c r="K9" s="38" t="s">
        <v>126</v>
      </c>
      <c r="L9" s="41">
        <v>46009.666666666664</v>
      </c>
      <c r="M9" s="38" t="s">
        <v>123</v>
      </c>
      <c r="N9" s="41">
        <v>46009.67361111111</v>
      </c>
      <c r="O9" s="38" t="s">
        <v>123</v>
      </c>
      <c r="P9" s="38">
        <v>600.0</v>
      </c>
      <c r="Q9" s="39"/>
      <c r="R9" s="39"/>
      <c r="S9" s="38" t="s">
        <v>127</v>
      </c>
      <c r="T9" s="39"/>
      <c r="U9" s="39"/>
    </row>
    <row r="10">
      <c r="A10" s="40">
        <f t="shared" si="1"/>
        <v>46006</v>
      </c>
      <c r="B10" s="37" t="str">
        <f t="array" ref="B10">iferror(xlookup($I10, 'IMPORT VHC Report'!$E:$E, 'IMPORT VHC Report'!$A:$C), )</f>
        <v/>
      </c>
      <c r="C10" s="37"/>
      <c r="D10" s="37"/>
      <c r="E10" s="38" t="s">
        <v>139</v>
      </c>
      <c r="F10" s="38" t="s">
        <v>119</v>
      </c>
      <c r="G10" s="39"/>
      <c r="H10" s="38" t="s">
        <v>120</v>
      </c>
      <c r="I10" s="38" t="s">
        <v>121</v>
      </c>
      <c r="J10" s="38" t="s">
        <v>122</v>
      </c>
      <c r="K10" s="38" t="s">
        <v>63</v>
      </c>
      <c r="L10" s="41">
        <v>46009.666666666664</v>
      </c>
      <c r="M10" s="38" t="s">
        <v>123</v>
      </c>
      <c r="N10" s="41">
        <v>46010.041666666664</v>
      </c>
      <c r="O10" s="38" t="s">
        <v>123</v>
      </c>
      <c r="P10" s="38">
        <v>32400.0</v>
      </c>
      <c r="Q10" s="39"/>
      <c r="R10" s="39"/>
      <c r="S10" s="39"/>
      <c r="T10" s="39"/>
      <c r="U10" s="39"/>
    </row>
    <row r="11">
      <c r="A11" s="40">
        <f t="shared" si="1"/>
        <v>46006</v>
      </c>
      <c r="B11" s="37" t="str">
        <f t="array" ref="B11">iferror(xlookup($I11, 'IMPORT VHC Report'!$E:$E, 'IMPORT VHC Report'!$A:$C), )</f>
        <v/>
      </c>
      <c r="C11" s="37"/>
      <c r="D11" s="37"/>
      <c r="E11" s="38" t="s">
        <v>140</v>
      </c>
      <c r="F11" s="38" t="s">
        <v>119</v>
      </c>
      <c r="G11" s="39"/>
      <c r="H11" s="38" t="s">
        <v>120</v>
      </c>
      <c r="I11" s="38" t="s">
        <v>121</v>
      </c>
      <c r="J11" s="38" t="s">
        <v>134</v>
      </c>
      <c r="K11" s="38" t="s">
        <v>126</v>
      </c>
      <c r="L11" s="41">
        <v>46009.770833333336</v>
      </c>
      <c r="M11" s="38" t="s">
        <v>123</v>
      </c>
      <c r="N11" s="41">
        <v>46009.791666666664</v>
      </c>
      <c r="O11" s="38" t="s">
        <v>123</v>
      </c>
      <c r="P11" s="38">
        <v>1800.0</v>
      </c>
      <c r="Q11" s="39"/>
      <c r="R11" s="39"/>
      <c r="S11" s="39"/>
      <c r="T11" s="39"/>
      <c r="U11" s="39"/>
    </row>
    <row r="12">
      <c r="A12" s="40">
        <f t="shared" si="1"/>
        <v>46006</v>
      </c>
      <c r="B12" s="37" t="str">
        <f t="array" ref="B12">iferror(xlookup($I12, 'IMPORT VHC Report'!$E:$E, 'IMPORT VHC Report'!$A:$C), )</f>
        <v/>
      </c>
      <c r="C12" s="37"/>
      <c r="D12" s="37"/>
      <c r="E12" s="38" t="s">
        <v>141</v>
      </c>
      <c r="F12" s="38" t="s">
        <v>119</v>
      </c>
      <c r="G12" s="39"/>
      <c r="H12" s="38" t="s">
        <v>120</v>
      </c>
      <c r="I12" s="38" t="s">
        <v>121</v>
      </c>
      <c r="J12" s="38" t="s">
        <v>132</v>
      </c>
      <c r="K12" s="38" t="s">
        <v>126</v>
      </c>
      <c r="L12" s="41">
        <v>46009.875</v>
      </c>
      <c r="M12" s="38" t="s">
        <v>123</v>
      </c>
      <c r="N12" s="41">
        <v>46009.916666666664</v>
      </c>
      <c r="O12" s="38" t="s">
        <v>123</v>
      </c>
      <c r="P12" s="38">
        <v>3600.0</v>
      </c>
      <c r="Q12" s="39"/>
      <c r="R12" s="39"/>
      <c r="S12" s="39"/>
      <c r="T12" s="39"/>
      <c r="U12" s="39"/>
    </row>
    <row r="13">
      <c r="A13" s="40">
        <f t="shared" si="1"/>
        <v>46006</v>
      </c>
      <c r="B13" s="37" t="str">
        <f t="array" ref="B13">iferror(xlookup($I13, 'IMPORT VHC Report'!$E:$E, 'IMPORT VHC Report'!$A:$C), )</f>
        <v/>
      </c>
      <c r="C13" s="37"/>
      <c r="D13" s="37"/>
      <c r="E13" s="38" t="s">
        <v>142</v>
      </c>
      <c r="F13" s="38" t="s">
        <v>119</v>
      </c>
      <c r="G13" s="39"/>
      <c r="H13" s="38" t="s">
        <v>120</v>
      </c>
      <c r="I13" s="38" t="s">
        <v>121</v>
      </c>
      <c r="J13" s="38" t="s">
        <v>125</v>
      </c>
      <c r="K13" s="38" t="s">
        <v>126</v>
      </c>
      <c r="L13" s="41">
        <v>46010.666666666664</v>
      </c>
      <c r="M13" s="38" t="s">
        <v>123</v>
      </c>
      <c r="N13" s="41">
        <v>46010.67361111111</v>
      </c>
      <c r="O13" s="38" t="s">
        <v>123</v>
      </c>
      <c r="P13" s="38">
        <v>600.0</v>
      </c>
      <c r="Q13" s="39"/>
      <c r="R13" s="39"/>
      <c r="S13" s="38" t="s">
        <v>127</v>
      </c>
      <c r="T13" s="39"/>
      <c r="U13" s="39"/>
    </row>
    <row r="14">
      <c r="A14" s="40">
        <f t="shared" si="1"/>
        <v>46006</v>
      </c>
      <c r="B14" s="37" t="str">
        <f t="array" ref="B14">iferror(xlookup($I14, 'IMPORT VHC Report'!$E:$E, 'IMPORT VHC Report'!$A:$C), )</f>
        <v/>
      </c>
      <c r="C14" s="37"/>
      <c r="D14" s="37"/>
      <c r="E14" s="38" t="s">
        <v>143</v>
      </c>
      <c r="F14" s="38" t="s">
        <v>119</v>
      </c>
      <c r="G14" s="39"/>
      <c r="H14" s="38" t="s">
        <v>120</v>
      </c>
      <c r="I14" s="38" t="s">
        <v>121</v>
      </c>
      <c r="J14" s="38" t="s">
        <v>122</v>
      </c>
      <c r="K14" s="38" t="s">
        <v>63</v>
      </c>
      <c r="L14" s="41">
        <v>46010.666666666664</v>
      </c>
      <c r="M14" s="38" t="s">
        <v>123</v>
      </c>
      <c r="N14" s="41">
        <v>46011.041666666664</v>
      </c>
      <c r="O14" s="38" t="s">
        <v>123</v>
      </c>
      <c r="P14" s="38">
        <v>32400.0</v>
      </c>
      <c r="Q14" s="39"/>
      <c r="R14" s="39"/>
      <c r="S14" s="39"/>
      <c r="T14" s="39"/>
      <c r="U14" s="39"/>
    </row>
    <row r="15">
      <c r="A15" s="40">
        <f t="shared" si="1"/>
        <v>46006</v>
      </c>
      <c r="B15" s="37" t="str">
        <f t="array" ref="B15">iferror(xlookup($I15, 'IMPORT VHC Report'!$E:$E, 'IMPORT VHC Report'!$A:$C), )</f>
        <v/>
      </c>
      <c r="C15" s="37"/>
      <c r="D15" s="37"/>
      <c r="E15" s="38" t="s">
        <v>144</v>
      </c>
      <c r="F15" s="38" t="s">
        <v>119</v>
      </c>
      <c r="G15" s="39"/>
      <c r="H15" s="38" t="s">
        <v>120</v>
      </c>
      <c r="I15" s="38" t="s">
        <v>121</v>
      </c>
      <c r="J15" s="38" t="s">
        <v>132</v>
      </c>
      <c r="K15" s="38" t="s">
        <v>126</v>
      </c>
      <c r="L15" s="41">
        <v>46010.791666666664</v>
      </c>
      <c r="M15" s="38" t="s">
        <v>123</v>
      </c>
      <c r="N15" s="41">
        <v>46010.833333333336</v>
      </c>
      <c r="O15" s="38" t="s">
        <v>123</v>
      </c>
      <c r="P15" s="38">
        <v>3600.0</v>
      </c>
      <c r="Q15" s="39"/>
      <c r="R15" s="39"/>
      <c r="S15" s="39"/>
      <c r="T15" s="39"/>
      <c r="U15" s="39"/>
    </row>
    <row r="16">
      <c r="A16" s="40">
        <f t="shared" si="1"/>
        <v>46006</v>
      </c>
      <c r="B16" s="37" t="str">
        <f t="array" ref="B16">iferror(xlookup($I16, 'IMPORT VHC Report'!$E:$E, 'IMPORT VHC Report'!$A:$C), )</f>
        <v/>
      </c>
      <c r="C16" s="37"/>
      <c r="D16" s="37"/>
      <c r="E16" s="38" t="s">
        <v>145</v>
      </c>
      <c r="F16" s="38" t="s">
        <v>119</v>
      </c>
      <c r="G16" s="39"/>
      <c r="H16" s="38" t="s">
        <v>120</v>
      </c>
      <c r="I16" s="38" t="s">
        <v>121</v>
      </c>
      <c r="J16" s="38" t="s">
        <v>134</v>
      </c>
      <c r="K16" s="38" t="s">
        <v>126</v>
      </c>
      <c r="L16" s="41">
        <v>46010.927083333336</v>
      </c>
      <c r="M16" s="38" t="s">
        <v>123</v>
      </c>
      <c r="N16" s="41">
        <v>46010.947916666664</v>
      </c>
      <c r="O16" s="38" t="s">
        <v>123</v>
      </c>
      <c r="P16" s="38">
        <v>1800.0</v>
      </c>
      <c r="Q16" s="39"/>
      <c r="R16" s="39"/>
      <c r="S16" s="39"/>
      <c r="T16" s="39"/>
      <c r="U16" s="39"/>
    </row>
    <row r="17">
      <c r="A17" s="40">
        <f t="shared" si="1"/>
        <v>46006</v>
      </c>
      <c r="B17" s="37" t="str">
        <f t="array" ref="B17">iferror(xlookup($I17, 'IMPORT VHC Report'!$E:$E, 'IMPORT VHC Report'!$A:$C), )</f>
        <v/>
      </c>
      <c r="C17" s="37"/>
      <c r="D17" s="37"/>
      <c r="E17" s="38" t="s">
        <v>146</v>
      </c>
      <c r="F17" s="38" t="s">
        <v>119</v>
      </c>
      <c r="G17" s="39"/>
      <c r="H17" s="38" t="s">
        <v>120</v>
      </c>
      <c r="I17" s="38" t="s">
        <v>121</v>
      </c>
      <c r="J17" s="38" t="s">
        <v>125</v>
      </c>
      <c r="K17" s="38" t="s">
        <v>126</v>
      </c>
      <c r="L17" s="41">
        <v>46011.666666666664</v>
      </c>
      <c r="M17" s="38" t="s">
        <v>123</v>
      </c>
      <c r="N17" s="41">
        <v>46011.67361111111</v>
      </c>
      <c r="O17" s="38" t="s">
        <v>123</v>
      </c>
      <c r="P17" s="38">
        <v>600.0</v>
      </c>
      <c r="Q17" s="39"/>
      <c r="R17" s="39"/>
      <c r="S17" s="38" t="s">
        <v>127</v>
      </c>
      <c r="T17" s="39"/>
      <c r="U17" s="39"/>
    </row>
    <row r="18">
      <c r="A18" s="40">
        <f t="shared" si="1"/>
        <v>46006</v>
      </c>
      <c r="B18" s="37" t="str">
        <f t="array" ref="B18">iferror(xlookup($I18, 'IMPORT VHC Report'!$E:$E, 'IMPORT VHC Report'!$A:$C), )</f>
        <v/>
      </c>
      <c r="C18" s="37"/>
      <c r="D18" s="37"/>
      <c r="E18" s="38" t="s">
        <v>147</v>
      </c>
      <c r="F18" s="38" t="s">
        <v>119</v>
      </c>
      <c r="G18" s="39"/>
      <c r="H18" s="38" t="s">
        <v>120</v>
      </c>
      <c r="I18" s="38" t="s">
        <v>121</v>
      </c>
      <c r="J18" s="38" t="s">
        <v>122</v>
      </c>
      <c r="K18" s="38" t="s">
        <v>63</v>
      </c>
      <c r="L18" s="41">
        <v>46011.666666666664</v>
      </c>
      <c r="M18" s="38" t="s">
        <v>123</v>
      </c>
      <c r="N18" s="41">
        <v>46012.041666666664</v>
      </c>
      <c r="O18" s="38" t="s">
        <v>123</v>
      </c>
      <c r="P18" s="38">
        <v>32400.0</v>
      </c>
      <c r="Q18" s="39"/>
      <c r="R18" s="39"/>
      <c r="S18" s="39"/>
      <c r="T18" s="39"/>
      <c r="U18" s="39"/>
    </row>
    <row r="19">
      <c r="A19" s="40">
        <f t="shared" si="1"/>
        <v>46006</v>
      </c>
      <c r="B19" s="37" t="str">
        <f t="array" ref="B19">iferror(xlookup($I19, 'IMPORT VHC Report'!$E:$E, 'IMPORT VHC Report'!$A:$C), )</f>
        <v/>
      </c>
      <c r="C19" s="37"/>
      <c r="D19" s="37"/>
      <c r="E19" s="38" t="s">
        <v>148</v>
      </c>
      <c r="F19" s="38" t="s">
        <v>119</v>
      </c>
      <c r="G19" s="39"/>
      <c r="H19" s="38" t="s">
        <v>120</v>
      </c>
      <c r="I19" s="38" t="s">
        <v>121</v>
      </c>
      <c r="J19" s="38" t="s">
        <v>132</v>
      </c>
      <c r="K19" s="38" t="s">
        <v>126</v>
      </c>
      <c r="L19" s="41">
        <v>46011.78125</v>
      </c>
      <c r="M19" s="38" t="s">
        <v>123</v>
      </c>
      <c r="N19" s="41">
        <v>46011.822916666664</v>
      </c>
      <c r="O19" s="38" t="s">
        <v>123</v>
      </c>
      <c r="P19" s="38">
        <v>3600.0</v>
      </c>
      <c r="Q19" s="39"/>
      <c r="R19" s="39"/>
      <c r="S19" s="39"/>
      <c r="T19" s="39"/>
      <c r="U19" s="39"/>
    </row>
    <row r="20">
      <c r="A20" s="40">
        <f t="shared" si="1"/>
        <v>46006</v>
      </c>
      <c r="B20" s="37" t="str">
        <f t="array" ref="B20">iferror(xlookup($I20, 'IMPORT VHC Report'!$E:$E, 'IMPORT VHC Report'!$A:$C), )</f>
        <v/>
      </c>
      <c r="C20" s="37"/>
      <c r="D20" s="37"/>
      <c r="E20" s="38" t="s">
        <v>149</v>
      </c>
      <c r="F20" s="38" t="s">
        <v>119</v>
      </c>
      <c r="G20" s="39"/>
      <c r="H20" s="38" t="s">
        <v>120</v>
      </c>
      <c r="I20" s="38" t="s">
        <v>121</v>
      </c>
      <c r="J20" s="38" t="s">
        <v>134</v>
      </c>
      <c r="K20" s="38" t="s">
        <v>126</v>
      </c>
      <c r="L20" s="41">
        <v>46011.916666666664</v>
      </c>
      <c r="M20" s="38" t="s">
        <v>123</v>
      </c>
      <c r="N20" s="41">
        <v>46011.9375</v>
      </c>
      <c r="O20" s="38" t="s">
        <v>123</v>
      </c>
      <c r="P20" s="38">
        <v>1800.0</v>
      </c>
      <c r="Q20" s="39"/>
      <c r="R20" s="39"/>
      <c r="S20" s="39"/>
      <c r="T20" s="39"/>
      <c r="U20" s="39"/>
    </row>
    <row r="21">
      <c r="A21" s="40">
        <f t="shared" si="1"/>
        <v>46006</v>
      </c>
      <c r="B21" s="37" t="str">
        <f t="array" ref="B21">iferror(xlookup($I21, 'IMPORT VHC Report'!$E:$E, 'IMPORT VHC Report'!$A:$C), )</f>
        <v/>
      </c>
      <c r="C21" s="37"/>
      <c r="D21" s="37"/>
      <c r="E21" s="38" t="s">
        <v>150</v>
      </c>
      <c r="F21" s="38" t="s">
        <v>119</v>
      </c>
      <c r="G21" s="39"/>
      <c r="H21" s="38" t="s">
        <v>120</v>
      </c>
      <c r="I21" s="38" t="s">
        <v>121</v>
      </c>
      <c r="J21" s="38" t="s">
        <v>125</v>
      </c>
      <c r="K21" s="38" t="s">
        <v>126</v>
      </c>
      <c r="L21" s="41">
        <v>46012.666666666664</v>
      </c>
      <c r="M21" s="38" t="s">
        <v>123</v>
      </c>
      <c r="N21" s="41">
        <v>46012.67361111111</v>
      </c>
      <c r="O21" s="38" t="s">
        <v>123</v>
      </c>
      <c r="P21" s="38">
        <v>600.0</v>
      </c>
      <c r="Q21" s="39"/>
      <c r="R21" s="39"/>
      <c r="S21" s="38" t="s">
        <v>127</v>
      </c>
      <c r="T21" s="39"/>
      <c r="U21" s="39"/>
    </row>
    <row r="22">
      <c r="A22" s="40">
        <f t="shared" si="1"/>
        <v>46006</v>
      </c>
      <c r="B22" s="37" t="str">
        <f t="array" ref="B22">iferror(xlookup($I22, 'IMPORT VHC Report'!$E:$E, 'IMPORT VHC Report'!$A:$C), )</f>
        <v/>
      </c>
      <c r="C22" s="37"/>
      <c r="D22" s="37"/>
      <c r="E22" s="38" t="s">
        <v>151</v>
      </c>
      <c r="F22" s="38" t="s">
        <v>119</v>
      </c>
      <c r="G22" s="39"/>
      <c r="H22" s="38" t="s">
        <v>120</v>
      </c>
      <c r="I22" s="38" t="s">
        <v>121</v>
      </c>
      <c r="J22" s="38" t="s">
        <v>152</v>
      </c>
      <c r="K22" s="38" t="s">
        <v>153</v>
      </c>
      <c r="L22" s="41">
        <v>46012.666666666664</v>
      </c>
      <c r="M22" s="38" t="s">
        <v>123</v>
      </c>
      <c r="N22" s="41">
        <v>46013.041666666664</v>
      </c>
      <c r="O22" s="38" t="s">
        <v>123</v>
      </c>
      <c r="P22" s="38">
        <v>32400.0</v>
      </c>
      <c r="Q22" s="38">
        <v>28800.0</v>
      </c>
      <c r="R22" s="38" t="s">
        <v>152</v>
      </c>
      <c r="S22" s="39"/>
      <c r="T22" s="39"/>
      <c r="U22" s="39"/>
    </row>
    <row r="23">
      <c r="A23" s="40">
        <f t="shared" si="1"/>
        <v>46006</v>
      </c>
      <c r="B23" s="37" t="str">
        <f t="array" ref="B23">iferror(xlookup($I23, 'IMPORT VHC Report'!$E:$E, 'IMPORT VHC Report'!$A:$C), )</f>
        <v/>
      </c>
      <c r="C23" s="37"/>
      <c r="D23" s="37"/>
      <c r="E23" s="38" t="s">
        <v>154</v>
      </c>
      <c r="F23" s="38" t="s">
        <v>119</v>
      </c>
      <c r="G23" s="39"/>
      <c r="H23" s="38" t="s">
        <v>120</v>
      </c>
      <c r="I23" s="38" t="s">
        <v>121</v>
      </c>
      <c r="J23" s="38" t="s">
        <v>122</v>
      </c>
      <c r="K23" s="38" t="s">
        <v>63</v>
      </c>
      <c r="L23" s="41">
        <v>46012.666666666664</v>
      </c>
      <c r="M23" s="38" t="s">
        <v>123</v>
      </c>
      <c r="N23" s="41">
        <v>46013.041666666664</v>
      </c>
      <c r="O23" s="38" t="s">
        <v>123</v>
      </c>
      <c r="P23" s="38">
        <v>32400.0</v>
      </c>
      <c r="Q23" s="39"/>
      <c r="R23" s="39"/>
      <c r="S23" s="39"/>
      <c r="T23" s="39"/>
      <c r="U23" s="39"/>
    </row>
    <row r="24">
      <c r="A24" s="40">
        <f t="shared" si="1"/>
        <v>46006</v>
      </c>
      <c r="B24" s="37" t="str">
        <f t="array" ref="B24">iferror(xlookup($I24, 'IMPORT VHC Report'!$E:$E, 'IMPORT VHC Report'!$A:$C), )</f>
        <v/>
      </c>
      <c r="C24" s="37"/>
      <c r="D24" s="37"/>
      <c r="E24" s="38" t="s">
        <v>155</v>
      </c>
      <c r="F24" s="38" t="s">
        <v>119</v>
      </c>
      <c r="G24" s="39"/>
      <c r="H24" s="38" t="s">
        <v>120</v>
      </c>
      <c r="I24" s="38" t="s">
        <v>121</v>
      </c>
      <c r="J24" s="38" t="s">
        <v>132</v>
      </c>
      <c r="K24" s="38" t="s">
        <v>126</v>
      </c>
      <c r="L24" s="41">
        <v>46012.770833333336</v>
      </c>
      <c r="M24" s="38" t="s">
        <v>123</v>
      </c>
      <c r="N24" s="41">
        <v>46012.8125</v>
      </c>
      <c r="O24" s="38" t="s">
        <v>123</v>
      </c>
      <c r="P24" s="38">
        <v>3600.0</v>
      </c>
      <c r="Q24" s="39"/>
      <c r="R24" s="39"/>
      <c r="S24" s="39"/>
      <c r="T24" s="39"/>
      <c r="U24" s="39"/>
    </row>
    <row r="25">
      <c r="A25" s="40">
        <f t="shared" si="1"/>
        <v>46006</v>
      </c>
      <c r="B25" s="37" t="str">
        <f t="array" ref="B25">iferror(xlookup($I25, 'IMPORT VHC Report'!$E:$E, 'IMPORT VHC Report'!$A:$C), )</f>
        <v/>
      </c>
      <c r="C25" s="37"/>
      <c r="D25" s="37"/>
      <c r="E25" s="38" t="s">
        <v>156</v>
      </c>
      <c r="F25" s="38" t="s">
        <v>119</v>
      </c>
      <c r="G25" s="39"/>
      <c r="H25" s="38" t="s">
        <v>120</v>
      </c>
      <c r="I25" s="38" t="s">
        <v>121</v>
      </c>
      <c r="J25" s="38" t="s">
        <v>134</v>
      </c>
      <c r="K25" s="38" t="s">
        <v>126</v>
      </c>
      <c r="L25" s="41">
        <v>46012.927083333336</v>
      </c>
      <c r="M25" s="38" t="s">
        <v>123</v>
      </c>
      <c r="N25" s="41">
        <v>46012.947916666664</v>
      </c>
      <c r="O25" s="38" t="s">
        <v>123</v>
      </c>
      <c r="P25" s="38">
        <v>1800.0</v>
      </c>
      <c r="Q25" s="39"/>
      <c r="R25" s="39"/>
      <c r="S25" s="39"/>
      <c r="T25" s="39"/>
      <c r="U25" s="39"/>
    </row>
    <row r="26">
      <c r="A26" s="40">
        <f t="shared" si="1"/>
        <v>45999</v>
      </c>
      <c r="B26" s="37" t="str">
        <f t="array" ref="B26">iferror(xlookup($I26, 'IMPORT VHC Report'!$E:$E, 'IMPORT VHC Report'!$A:$C), )</f>
        <v/>
      </c>
      <c r="C26" s="37"/>
      <c r="D26" s="37"/>
      <c r="E26" s="38" t="s">
        <v>157</v>
      </c>
      <c r="F26" s="38" t="s">
        <v>158</v>
      </c>
      <c r="G26" s="38">
        <v>5.729839272719E12</v>
      </c>
      <c r="H26" s="38" t="s">
        <v>159</v>
      </c>
      <c r="I26" s="38" t="s">
        <v>160</v>
      </c>
      <c r="J26" s="38" t="s">
        <v>161</v>
      </c>
      <c r="K26" s="38" t="s">
        <v>63</v>
      </c>
      <c r="L26" s="41">
        <v>46005.708333333336</v>
      </c>
      <c r="M26" s="38" t="s">
        <v>123</v>
      </c>
      <c r="N26" s="41">
        <v>46006.020833333336</v>
      </c>
      <c r="O26" s="38" t="s">
        <v>123</v>
      </c>
      <c r="P26" s="38">
        <v>27000.0</v>
      </c>
      <c r="Q26" s="39"/>
      <c r="R26" s="39"/>
      <c r="S26" s="39"/>
      <c r="T26" s="39"/>
      <c r="U26" s="39"/>
    </row>
    <row r="27">
      <c r="A27" s="40">
        <f t="shared" si="1"/>
        <v>45999</v>
      </c>
      <c r="B27" s="37" t="str">
        <f t="array" ref="B27">iferror(xlookup($I27, 'IMPORT VHC Report'!$E:$E, 'IMPORT VHC Report'!$A:$C), )</f>
        <v/>
      </c>
      <c r="C27" s="37"/>
      <c r="D27" s="37"/>
      <c r="E27" s="38" t="s">
        <v>162</v>
      </c>
      <c r="F27" s="38" t="s">
        <v>158</v>
      </c>
      <c r="G27" s="38">
        <v>5.729839272719E12</v>
      </c>
      <c r="H27" s="38" t="s">
        <v>159</v>
      </c>
      <c r="I27" s="38" t="s">
        <v>160</v>
      </c>
      <c r="J27" s="38" t="s">
        <v>132</v>
      </c>
      <c r="K27" s="38" t="s">
        <v>126</v>
      </c>
      <c r="L27" s="41">
        <v>46005.979166666664</v>
      </c>
      <c r="M27" s="38" t="s">
        <v>123</v>
      </c>
      <c r="N27" s="41">
        <v>46006.020833333336</v>
      </c>
      <c r="O27" s="38" t="s">
        <v>123</v>
      </c>
      <c r="P27" s="38">
        <v>3600.0</v>
      </c>
      <c r="Q27" s="39"/>
      <c r="R27" s="39"/>
      <c r="S27" s="39"/>
      <c r="T27" s="39"/>
      <c r="U27" s="39"/>
    </row>
    <row r="28">
      <c r="A28" s="40">
        <f t="shared" si="1"/>
        <v>46006</v>
      </c>
      <c r="B28" s="37" t="str">
        <f t="array" ref="B28">iferror(xlookup($I28, 'IMPORT VHC Report'!$E:$E, 'IMPORT VHC Report'!$A:$C), )</f>
        <v/>
      </c>
      <c r="C28" s="37"/>
      <c r="D28" s="37"/>
      <c r="E28" s="38" t="s">
        <v>163</v>
      </c>
      <c r="F28" s="38" t="s">
        <v>158</v>
      </c>
      <c r="G28" s="38">
        <v>5.729839272719E12</v>
      </c>
      <c r="H28" s="38" t="s">
        <v>159</v>
      </c>
      <c r="I28" s="38" t="s">
        <v>160</v>
      </c>
      <c r="J28" s="38" t="s">
        <v>161</v>
      </c>
      <c r="K28" s="38" t="s">
        <v>63</v>
      </c>
      <c r="L28" s="41">
        <v>46006.020833333336</v>
      </c>
      <c r="M28" s="38" t="s">
        <v>123</v>
      </c>
      <c r="N28" s="41">
        <v>46006.083333333336</v>
      </c>
      <c r="O28" s="38" t="s">
        <v>123</v>
      </c>
      <c r="P28" s="38">
        <v>5400.0</v>
      </c>
      <c r="Q28" s="39"/>
      <c r="R28" s="39"/>
      <c r="S28" s="39"/>
      <c r="T28" s="39"/>
      <c r="U28" s="39"/>
    </row>
    <row r="29">
      <c r="A29" s="40">
        <f t="shared" si="1"/>
        <v>46006</v>
      </c>
      <c r="B29" s="37" t="str">
        <f t="array" ref="B29">iferror(xlookup($I29, 'IMPORT VHC Report'!$E:$E, 'IMPORT VHC Report'!$A:$C), )</f>
        <v/>
      </c>
      <c r="C29" s="37"/>
      <c r="D29" s="37"/>
      <c r="E29" s="38" t="s">
        <v>164</v>
      </c>
      <c r="F29" s="38" t="s">
        <v>158</v>
      </c>
      <c r="G29" s="38">
        <v>5.729839272719E12</v>
      </c>
      <c r="H29" s="38" t="s">
        <v>159</v>
      </c>
      <c r="I29" s="38" t="s">
        <v>160</v>
      </c>
      <c r="J29" s="38" t="s">
        <v>161</v>
      </c>
      <c r="K29" s="38" t="s">
        <v>63</v>
      </c>
      <c r="L29" s="41">
        <v>46006.708333333336</v>
      </c>
      <c r="M29" s="38" t="s">
        <v>123</v>
      </c>
      <c r="N29" s="41">
        <v>46007.083333333336</v>
      </c>
      <c r="O29" s="38" t="s">
        <v>123</v>
      </c>
      <c r="P29" s="38">
        <v>32400.0</v>
      </c>
      <c r="Q29" s="39"/>
      <c r="R29" s="39"/>
      <c r="S29" s="39"/>
      <c r="T29" s="39"/>
      <c r="U29" s="39"/>
    </row>
    <row r="30">
      <c r="A30" s="40">
        <f t="shared" si="1"/>
        <v>46006</v>
      </c>
      <c r="B30" s="37" t="str">
        <f t="array" ref="B30">iferror(xlookup($I30, 'IMPORT VHC Report'!$E:$E, 'IMPORT VHC Report'!$A:$C), )</f>
        <v/>
      </c>
      <c r="C30" s="37"/>
      <c r="D30" s="37"/>
      <c r="E30" s="38" t="s">
        <v>165</v>
      </c>
      <c r="F30" s="38" t="s">
        <v>158</v>
      </c>
      <c r="G30" s="38">
        <v>5.729839272719E12</v>
      </c>
      <c r="H30" s="38" t="s">
        <v>159</v>
      </c>
      <c r="I30" s="38" t="s">
        <v>160</v>
      </c>
      <c r="J30" s="38" t="s">
        <v>134</v>
      </c>
      <c r="K30" s="38" t="s">
        <v>126</v>
      </c>
      <c r="L30" s="41">
        <v>46006.833333333336</v>
      </c>
      <c r="M30" s="38" t="s">
        <v>123</v>
      </c>
      <c r="N30" s="41">
        <v>46006.84375</v>
      </c>
      <c r="O30" s="38" t="s">
        <v>123</v>
      </c>
      <c r="P30" s="38">
        <v>900.0</v>
      </c>
      <c r="Q30" s="39"/>
      <c r="R30" s="39"/>
      <c r="S30" s="39"/>
      <c r="T30" s="39"/>
      <c r="U30" s="39"/>
    </row>
    <row r="31">
      <c r="A31" s="40">
        <f t="shared" si="1"/>
        <v>46006</v>
      </c>
      <c r="B31" s="37" t="str">
        <f t="array" ref="B31">iferror(xlookup($I31, 'IMPORT VHC Report'!$E:$E, 'IMPORT VHC Report'!$A:$C), )</f>
        <v/>
      </c>
      <c r="C31" s="37"/>
      <c r="D31" s="37"/>
      <c r="E31" s="38" t="s">
        <v>166</v>
      </c>
      <c r="F31" s="38" t="s">
        <v>158</v>
      </c>
      <c r="G31" s="38">
        <v>5.729839272719E12</v>
      </c>
      <c r="H31" s="38" t="s">
        <v>159</v>
      </c>
      <c r="I31" s="38" t="s">
        <v>160</v>
      </c>
      <c r="J31" s="38" t="s">
        <v>132</v>
      </c>
      <c r="K31" s="38" t="s">
        <v>126</v>
      </c>
      <c r="L31" s="41">
        <v>46006.90625</v>
      </c>
      <c r="M31" s="38" t="s">
        <v>123</v>
      </c>
      <c r="N31" s="41">
        <v>46006.947916666664</v>
      </c>
      <c r="O31" s="38" t="s">
        <v>123</v>
      </c>
      <c r="P31" s="38">
        <v>3600.0</v>
      </c>
      <c r="Q31" s="39"/>
      <c r="R31" s="39"/>
      <c r="S31" s="39"/>
      <c r="T31" s="39"/>
      <c r="U31" s="39"/>
    </row>
    <row r="32">
      <c r="A32" s="40">
        <f t="shared" si="1"/>
        <v>46006</v>
      </c>
      <c r="B32" s="37" t="str">
        <f t="array" ref="B32">iferror(xlookup($I32, 'IMPORT VHC Report'!$E:$E, 'IMPORT VHC Report'!$A:$C), )</f>
        <v/>
      </c>
      <c r="C32" s="37"/>
      <c r="D32" s="37"/>
      <c r="E32" s="38" t="s">
        <v>167</v>
      </c>
      <c r="F32" s="38" t="s">
        <v>158</v>
      </c>
      <c r="G32" s="38">
        <v>5.729839272719E12</v>
      </c>
      <c r="H32" s="38" t="s">
        <v>159</v>
      </c>
      <c r="I32" s="38" t="s">
        <v>160</v>
      </c>
      <c r="J32" s="38" t="s">
        <v>134</v>
      </c>
      <c r="K32" s="38" t="s">
        <v>126</v>
      </c>
      <c r="L32" s="41">
        <v>46006.979166666664</v>
      </c>
      <c r="M32" s="38" t="s">
        <v>123</v>
      </c>
      <c r="N32" s="41">
        <v>46006.989583333336</v>
      </c>
      <c r="O32" s="38" t="s">
        <v>123</v>
      </c>
      <c r="P32" s="38">
        <v>900.0</v>
      </c>
      <c r="Q32" s="39"/>
      <c r="R32" s="39"/>
      <c r="S32" s="39"/>
      <c r="T32" s="39"/>
      <c r="U32" s="39"/>
    </row>
    <row r="33">
      <c r="A33" s="40">
        <f t="shared" si="1"/>
        <v>46006</v>
      </c>
      <c r="B33" s="37" t="str">
        <f t="array" ref="B33">iferror(xlookup($I33, 'IMPORT VHC Report'!$E:$E, 'IMPORT VHC Report'!$A:$C), )</f>
        <v/>
      </c>
      <c r="C33" s="37"/>
      <c r="D33" s="37"/>
      <c r="E33" s="38" t="s">
        <v>168</v>
      </c>
      <c r="F33" s="38" t="s">
        <v>158</v>
      </c>
      <c r="G33" s="38">
        <v>5.729839272719E12</v>
      </c>
      <c r="H33" s="38" t="s">
        <v>159</v>
      </c>
      <c r="I33" s="38" t="s">
        <v>160</v>
      </c>
      <c r="J33" s="38" t="s">
        <v>161</v>
      </c>
      <c r="K33" s="38" t="s">
        <v>63</v>
      </c>
      <c r="L33" s="41">
        <v>46007.708333333336</v>
      </c>
      <c r="M33" s="38" t="s">
        <v>123</v>
      </c>
      <c r="N33" s="41">
        <v>46008.083333333336</v>
      </c>
      <c r="O33" s="38" t="s">
        <v>123</v>
      </c>
      <c r="P33" s="38">
        <v>32400.0</v>
      </c>
      <c r="Q33" s="39"/>
      <c r="R33" s="39"/>
      <c r="S33" s="39"/>
      <c r="T33" s="39"/>
      <c r="U33" s="39"/>
    </row>
    <row r="34">
      <c r="A34" s="40">
        <f t="shared" si="1"/>
        <v>46006</v>
      </c>
      <c r="B34" s="37" t="str">
        <f t="array" ref="B34">iferror(xlookup($I34, 'IMPORT VHC Report'!$E:$E, 'IMPORT VHC Report'!$A:$C), )</f>
        <v/>
      </c>
      <c r="C34" s="37"/>
      <c r="D34" s="37"/>
      <c r="E34" s="38" t="s">
        <v>169</v>
      </c>
      <c r="F34" s="38" t="s">
        <v>158</v>
      </c>
      <c r="G34" s="38">
        <v>5.729839272719E12</v>
      </c>
      <c r="H34" s="38" t="s">
        <v>159</v>
      </c>
      <c r="I34" s="38" t="s">
        <v>160</v>
      </c>
      <c r="J34" s="38" t="s">
        <v>4</v>
      </c>
      <c r="K34" s="38" t="s">
        <v>126</v>
      </c>
      <c r="L34" s="41">
        <v>46007.75</v>
      </c>
      <c r="M34" s="38" t="s">
        <v>123</v>
      </c>
      <c r="N34" s="41">
        <v>46007.791666666664</v>
      </c>
      <c r="O34" s="38" t="s">
        <v>123</v>
      </c>
      <c r="P34" s="38">
        <v>3600.0</v>
      </c>
      <c r="Q34" s="39"/>
      <c r="R34" s="39"/>
      <c r="S34" s="38" t="s">
        <v>170</v>
      </c>
      <c r="T34" s="39"/>
      <c r="U34" s="39"/>
    </row>
    <row r="35">
      <c r="A35" s="40">
        <f t="shared" si="1"/>
        <v>46006</v>
      </c>
      <c r="B35" s="37" t="str">
        <f t="array" ref="B35">iferror(xlookup($I35, 'IMPORT VHC Report'!$E:$E, 'IMPORT VHC Report'!$A:$C), )</f>
        <v/>
      </c>
      <c r="C35" s="37"/>
      <c r="D35" s="37"/>
      <c r="E35" s="38" t="s">
        <v>171</v>
      </c>
      <c r="F35" s="38" t="s">
        <v>158</v>
      </c>
      <c r="G35" s="38">
        <v>5.729839272719E12</v>
      </c>
      <c r="H35" s="38" t="s">
        <v>159</v>
      </c>
      <c r="I35" s="38" t="s">
        <v>160</v>
      </c>
      <c r="J35" s="38" t="s">
        <v>134</v>
      </c>
      <c r="K35" s="38" t="s">
        <v>126</v>
      </c>
      <c r="L35" s="41">
        <v>46007.822916666664</v>
      </c>
      <c r="M35" s="38" t="s">
        <v>123</v>
      </c>
      <c r="N35" s="41">
        <v>46007.833333333336</v>
      </c>
      <c r="O35" s="38" t="s">
        <v>123</v>
      </c>
      <c r="P35" s="38">
        <v>900.0</v>
      </c>
      <c r="Q35" s="39"/>
      <c r="R35" s="39"/>
      <c r="S35" s="39"/>
      <c r="T35" s="39"/>
      <c r="U35" s="39"/>
    </row>
    <row r="36">
      <c r="A36" s="40">
        <f t="shared" si="1"/>
        <v>46006</v>
      </c>
      <c r="B36" s="37" t="str">
        <f t="array" ref="B36">iferror(xlookup($I36, 'IMPORT VHC Report'!$E:$E, 'IMPORT VHC Report'!$A:$C), )</f>
        <v/>
      </c>
      <c r="C36" s="37"/>
      <c r="D36" s="37"/>
      <c r="E36" s="38" t="s">
        <v>172</v>
      </c>
      <c r="F36" s="38" t="s">
        <v>158</v>
      </c>
      <c r="G36" s="38">
        <v>5.729839272719E12</v>
      </c>
      <c r="H36" s="38" t="s">
        <v>159</v>
      </c>
      <c r="I36" s="38" t="s">
        <v>160</v>
      </c>
      <c r="J36" s="38" t="s">
        <v>132</v>
      </c>
      <c r="K36" s="38" t="s">
        <v>126</v>
      </c>
      <c r="L36" s="41">
        <v>46007.9375</v>
      </c>
      <c r="M36" s="38" t="s">
        <v>123</v>
      </c>
      <c r="N36" s="41">
        <v>46007.979166666664</v>
      </c>
      <c r="O36" s="38" t="s">
        <v>123</v>
      </c>
      <c r="P36" s="38">
        <v>3600.0</v>
      </c>
      <c r="Q36" s="39"/>
      <c r="R36" s="39"/>
      <c r="S36" s="39"/>
      <c r="T36" s="39"/>
      <c r="U36" s="39"/>
    </row>
    <row r="37">
      <c r="A37" s="40">
        <f t="shared" si="1"/>
        <v>46006</v>
      </c>
      <c r="B37" s="37" t="str">
        <f t="array" ref="B37">iferror(xlookup($I37, 'IMPORT VHC Report'!$E:$E, 'IMPORT VHC Report'!$A:$C), )</f>
        <v/>
      </c>
      <c r="C37" s="37"/>
      <c r="D37" s="37"/>
      <c r="E37" s="38" t="s">
        <v>173</v>
      </c>
      <c r="F37" s="38" t="s">
        <v>158</v>
      </c>
      <c r="G37" s="38">
        <v>5.729839272719E12</v>
      </c>
      <c r="H37" s="38" t="s">
        <v>159</v>
      </c>
      <c r="I37" s="38" t="s">
        <v>160</v>
      </c>
      <c r="J37" s="38" t="s">
        <v>134</v>
      </c>
      <c r="K37" s="38" t="s">
        <v>126</v>
      </c>
      <c r="L37" s="41">
        <v>46008.03125</v>
      </c>
      <c r="M37" s="38" t="s">
        <v>123</v>
      </c>
      <c r="N37" s="41">
        <v>46008.041666666664</v>
      </c>
      <c r="O37" s="38" t="s">
        <v>123</v>
      </c>
      <c r="P37" s="38">
        <v>900.0</v>
      </c>
      <c r="Q37" s="39"/>
      <c r="R37" s="39"/>
      <c r="S37" s="39"/>
      <c r="T37" s="39"/>
      <c r="U37" s="39"/>
    </row>
    <row r="38">
      <c r="A38" s="40">
        <f t="shared" si="1"/>
        <v>46006</v>
      </c>
      <c r="B38" s="37" t="str">
        <f t="array" ref="B38">iferror(xlookup($I38, 'IMPORT VHC Report'!$E:$E, 'IMPORT VHC Report'!$A:$C), )</f>
        <v/>
      </c>
      <c r="C38" s="37"/>
      <c r="D38" s="37"/>
      <c r="E38" s="38" t="s">
        <v>174</v>
      </c>
      <c r="F38" s="38" t="s">
        <v>158</v>
      </c>
      <c r="G38" s="38">
        <v>5.729839272719E12</v>
      </c>
      <c r="H38" s="38" t="s">
        <v>159</v>
      </c>
      <c r="I38" s="38" t="s">
        <v>160</v>
      </c>
      <c r="J38" s="38" t="s">
        <v>136</v>
      </c>
      <c r="K38" s="38" t="s">
        <v>126</v>
      </c>
      <c r="L38" s="41">
        <v>46008.708333333336</v>
      </c>
      <c r="M38" s="38" t="s">
        <v>123</v>
      </c>
      <c r="N38" s="41">
        <v>46008.75</v>
      </c>
      <c r="O38" s="38" t="s">
        <v>123</v>
      </c>
      <c r="P38" s="38">
        <v>3600.0</v>
      </c>
      <c r="Q38" s="39"/>
      <c r="R38" s="39"/>
      <c r="S38" s="38" t="s">
        <v>175</v>
      </c>
      <c r="T38" s="39"/>
      <c r="U38" s="39"/>
    </row>
    <row r="39">
      <c r="A39" s="40">
        <f t="shared" si="1"/>
        <v>46006</v>
      </c>
      <c r="B39" s="37" t="str">
        <f t="array" ref="B39">iferror(xlookup($I39, 'IMPORT VHC Report'!$E:$E, 'IMPORT VHC Report'!$A:$C), )</f>
        <v/>
      </c>
      <c r="C39" s="37"/>
      <c r="D39" s="37"/>
      <c r="E39" s="38" t="s">
        <v>176</v>
      </c>
      <c r="F39" s="38" t="s">
        <v>158</v>
      </c>
      <c r="G39" s="38">
        <v>5.729839272719E12</v>
      </c>
      <c r="H39" s="38" t="s">
        <v>159</v>
      </c>
      <c r="I39" s="38" t="s">
        <v>160</v>
      </c>
      <c r="J39" s="38" t="s">
        <v>161</v>
      </c>
      <c r="K39" s="38" t="s">
        <v>63</v>
      </c>
      <c r="L39" s="41">
        <v>46008.708333333336</v>
      </c>
      <c r="M39" s="38" t="s">
        <v>123</v>
      </c>
      <c r="N39" s="41">
        <v>46009.083333333336</v>
      </c>
      <c r="O39" s="38" t="s">
        <v>123</v>
      </c>
      <c r="P39" s="38">
        <v>32400.0</v>
      </c>
      <c r="Q39" s="39"/>
      <c r="R39" s="39"/>
      <c r="S39" s="39"/>
      <c r="T39" s="39"/>
      <c r="U39" s="39"/>
    </row>
    <row r="40">
      <c r="A40" s="40">
        <f t="shared" si="1"/>
        <v>46006</v>
      </c>
      <c r="B40" s="37" t="str">
        <f t="array" ref="B40">iferror(xlookup($I40, 'IMPORT VHC Report'!$E:$E, 'IMPORT VHC Report'!$A:$C), )</f>
        <v/>
      </c>
      <c r="C40" s="37"/>
      <c r="D40" s="37"/>
      <c r="E40" s="38" t="s">
        <v>177</v>
      </c>
      <c r="F40" s="38" t="s">
        <v>158</v>
      </c>
      <c r="G40" s="38">
        <v>5.729839272719E12</v>
      </c>
      <c r="H40" s="38" t="s">
        <v>159</v>
      </c>
      <c r="I40" s="38" t="s">
        <v>160</v>
      </c>
      <c r="J40" s="38" t="s">
        <v>178</v>
      </c>
      <c r="K40" s="38" t="s">
        <v>153</v>
      </c>
      <c r="L40" s="41">
        <v>46008.708333333336</v>
      </c>
      <c r="M40" s="38" t="s">
        <v>123</v>
      </c>
      <c r="N40" s="41">
        <v>46009.083333333336</v>
      </c>
      <c r="O40" s="38" t="s">
        <v>123</v>
      </c>
      <c r="P40" s="38">
        <v>32400.0</v>
      </c>
      <c r="Q40" s="38">
        <v>28800.0</v>
      </c>
      <c r="R40" s="39"/>
      <c r="S40" s="39"/>
      <c r="T40" s="39"/>
      <c r="U40" s="39"/>
    </row>
    <row r="41">
      <c r="A41" s="40">
        <f t="shared" si="1"/>
        <v>46006</v>
      </c>
      <c r="B41" s="37" t="str">
        <f t="array" ref="B41">iferror(xlookup($I41, 'IMPORT VHC Report'!$E:$E, 'IMPORT VHC Report'!$A:$C), )</f>
        <v/>
      </c>
      <c r="C41" s="37"/>
      <c r="D41" s="37"/>
      <c r="E41" s="38" t="s">
        <v>179</v>
      </c>
      <c r="F41" s="38" t="s">
        <v>158</v>
      </c>
      <c r="G41" s="38">
        <v>5.729839272719E12</v>
      </c>
      <c r="H41" s="38" t="s">
        <v>159</v>
      </c>
      <c r="I41" s="38" t="s">
        <v>160</v>
      </c>
      <c r="J41" s="38" t="s">
        <v>134</v>
      </c>
      <c r="K41" s="38" t="s">
        <v>126</v>
      </c>
      <c r="L41" s="41">
        <v>46008.84375</v>
      </c>
      <c r="M41" s="38" t="s">
        <v>123</v>
      </c>
      <c r="N41" s="41">
        <v>46008.854166666664</v>
      </c>
      <c r="O41" s="38" t="s">
        <v>123</v>
      </c>
      <c r="P41" s="38">
        <v>900.0</v>
      </c>
      <c r="Q41" s="39"/>
      <c r="R41" s="39"/>
      <c r="S41" s="39"/>
      <c r="T41" s="39"/>
      <c r="U41" s="39"/>
    </row>
    <row r="42">
      <c r="A42" s="40">
        <f t="shared" si="1"/>
        <v>46006</v>
      </c>
      <c r="B42" s="37" t="str">
        <f t="array" ref="B42">iferror(xlookup($I42, 'IMPORT VHC Report'!$E:$E, 'IMPORT VHC Report'!$A:$C), )</f>
        <v/>
      </c>
      <c r="C42" s="37"/>
      <c r="D42" s="37"/>
      <c r="E42" s="38" t="s">
        <v>180</v>
      </c>
      <c r="F42" s="38" t="s">
        <v>158</v>
      </c>
      <c r="G42" s="38">
        <v>5.729839272719E12</v>
      </c>
      <c r="H42" s="38" t="s">
        <v>159</v>
      </c>
      <c r="I42" s="38" t="s">
        <v>160</v>
      </c>
      <c r="J42" s="38" t="s">
        <v>132</v>
      </c>
      <c r="K42" s="38" t="s">
        <v>126</v>
      </c>
      <c r="L42" s="41">
        <v>46008.947916666664</v>
      </c>
      <c r="M42" s="38" t="s">
        <v>123</v>
      </c>
      <c r="N42" s="41">
        <v>46008.989583333336</v>
      </c>
      <c r="O42" s="38" t="s">
        <v>123</v>
      </c>
      <c r="P42" s="38">
        <v>3600.0</v>
      </c>
      <c r="Q42" s="39"/>
      <c r="R42" s="39"/>
      <c r="S42" s="39"/>
      <c r="T42" s="39"/>
      <c r="U42" s="39"/>
    </row>
    <row r="43">
      <c r="A43" s="40">
        <f t="shared" si="1"/>
        <v>46006</v>
      </c>
      <c r="B43" s="37" t="str">
        <f t="array" ref="B43">iferror(xlookup($I43, 'IMPORT VHC Report'!$E:$E, 'IMPORT VHC Report'!$A:$C), )</f>
        <v/>
      </c>
      <c r="C43" s="37"/>
      <c r="D43" s="37"/>
      <c r="E43" s="38" t="s">
        <v>181</v>
      </c>
      <c r="F43" s="38" t="s">
        <v>158</v>
      </c>
      <c r="G43" s="38">
        <v>5.729839272719E12</v>
      </c>
      <c r="H43" s="38" t="s">
        <v>159</v>
      </c>
      <c r="I43" s="38" t="s">
        <v>160</v>
      </c>
      <c r="J43" s="38" t="s">
        <v>134</v>
      </c>
      <c r="K43" s="38" t="s">
        <v>126</v>
      </c>
      <c r="L43" s="41">
        <v>46009.03125</v>
      </c>
      <c r="M43" s="38" t="s">
        <v>123</v>
      </c>
      <c r="N43" s="41">
        <v>46009.041666666664</v>
      </c>
      <c r="O43" s="38" t="s">
        <v>123</v>
      </c>
      <c r="P43" s="38">
        <v>900.0</v>
      </c>
      <c r="Q43" s="39"/>
      <c r="R43" s="39"/>
      <c r="S43" s="39"/>
      <c r="T43" s="39"/>
      <c r="U43" s="39"/>
    </row>
    <row r="44">
      <c r="A44" s="40">
        <f t="shared" si="1"/>
        <v>46006</v>
      </c>
      <c r="B44" s="37" t="str">
        <f t="array" ref="B44">iferror(xlookup($I44, 'IMPORT VHC Report'!$E:$E, 'IMPORT VHC Report'!$A:$C), )</f>
        <v/>
      </c>
      <c r="C44" s="37"/>
      <c r="D44" s="37"/>
      <c r="E44" s="38" t="s">
        <v>182</v>
      </c>
      <c r="F44" s="38" t="s">
        <v>158</v>
      </c>
      <c r="G44" s="38">
        <v>5.729839272719E12</v>
      </c>
      <c r="H44" s="38" t="s">
        <v>159</v>
      </c>
      <c r="I44" s="38" t="s">
        <v>160</v>
      </c>
      <c r="J44" s="38" t="s">
        <v>161</v>
      </c>
      <c r="K44" s="38" t="s">
        <v>63</v>
      </c>
      <c r="L44" s="41">
        <v>46009.708333333336</v>
      </c>
      <c r="M44" s="38" t="s">
        <v>123</v>
      </c>
      <c r="N44" s="41">
        <v>46010.083333333336</v>
      </c>
      <c r="O44" s="38" t="s">
        <v>123</v>
      </c>
      <c r="P44" s="38">
        <v>32400.0</v>
      </c>
      <c r="Q44" s="39"/>
      <c r="R44" s="39"/>
      <c r="S44" s="39"/>
      <c r="T44" s="39"/>
      <c r="U44" s="39"/>
    </row>
    <row r="45">
      <c r="A45" s="40">
        <f t="shared" si="1"/>
        <v>46006</v>
      </c>
      <c r="B45" s="37" t="str">
        <f t="array" ref="B45">iferror(xlookup($I45, 'IMPORT VHC Report'!$E:$E, 'IMPORT VHC Report'!$A:$C), )</f>
        <v/>
      </c>
      <c r="C45" s="37"/>
      <c r="D45" s="37"/>
      <c r="E45" s="38" t="s">
        <v>183</v>
      </c>
      <c r="F45" s="38" t="s">
        <v>158</v>
      </c>
      <c r="G45" s="38">
        <v>5.729839272719E12</v>
      </c>
      <c r="H45" s="38" t="s">
        <v>159</v>
      </c>
      <c r="I45" s="38" t="s">
        <v>160</v>
      </c>
      <c r="J45" s="38" t="s">
        <v>178</v>
      </c>
      <c r="K45" s="38" t="s">
        <v>153</v>
      </c>
      <c r="L45" s="41">
        <v>46009.708333333336</v>
      </c>
      <c r="M45" s="38" t="s">
        <v>123</v>
      </c>
      <c r="N45" s="41">
        <v>46010.083333333336</v>
      </c>
      <c r="O45" s="38" t="s">
        <v>123</v>
      </c>
      <c r="P45" s="38">
        <v>32400.0</v>
      </c>
      <c r="Q45" s="38">
        <v>28800.0</v>
      </c>
      <c r="R45" s="39"/>
      <c r="S45" s="39"/>
      <c r="T45" s="39"/>
      <c r="U45" s="39"/>
    </row>
    <row r="46">
      <c r="A46" s="40">
        <f t="shared" si="1"/>
        <v>46006</v>
      </c>
      <c r="B46" s="37" t="str">
        <f t="array" ref="B46">iferror(xlookup($I46, 'IMPORT VHC Report'!$E:$E, 'IMPORT VHC Report'!$A:$C), )</f>
        <v/>
      </c>
      <c r="C46" s="37"/>
      <c r="D46" s="37"/>
      <c r="E46" s="38" t="s">
        <v>184</v>
      </c>
      <c r="F46" s="38" t="s">
        <v>158</v>
      </c>
      <c r="G46" s="38">
        <v>5.729839272719E12</v>
      </c>
      <c r="H46" s="38" t="s">
        <v>159</v>
      </c>
      <c r="I46" s="38" t="s">
        <v>160</v>
      </c>
      <c r="J46" s="38" t="s">
        <v>134</v>
      </c>
      <c r="K46" s="38" t="s">
        <v>126</v>
      </c>
      <c r="L46" s="41">
        <v>46009.791666666664</v>
      </c>
      <c r="M46" s="38" t="s">
        <v>123</v>
      </c>
      <c r="N46" s="41">
        <v>46009.802083333336</v>
      </c>
      <c r="O46" s="38" t="s">
        <v>123</v>
      </c>
      <c r="P46" s="38">
        <v>900.0</v>
      </c>
      <c r="Q46" s="39"/>
      <c r="R46" s="39"/>
      <c r="S46" s="39"/>
      <c r="T46" s="39"/>
      <c r="U46" s="39"/>
    </row>
    <row r="47">
      <c r="A47" s="40">
        <f t="shared" si="1"/>
        <v>46006</v>
      </c>
      <c r="B47" s="37" t="str">
        <f t="array" ref="B47">iferror(xlookup($I47, 'IMPORT VHC Report'!$E:$E, 'IMPORT VHC Report'!$A:$C), )</f>
        <v/>
      </c>
      <c r="C47" s="37"/>
      <c r="D47" s="37"/>
      <c r="E47" s="38" t="s">
        <v>185</v>
      </c>
      <c r="F47" s="38" t="s">
        <v>158</v>
      </c>
      <c r="G47" s="38">
        <v>5.729839272719E12</v>
      </c>
      <c r="H47" s="38" t="s">
        <v>159</v>
      </c>
      <c r="I47" s="38" t="s">
        <v>160</v>
      </c>
      <c r="J47" s="38" t="s">
        <v>134</v>
      </c>
      <c r="K47" s="38" t="s">
        <v>126</v>
      </c>
      <c r="L47" s="41">
        <v>46009.927083333336</v>
      </c>
      <c r="M47" s="38" t="s">
        <v>123</v>
      </c>
      <c r="N47" s="41">
        <v>46009.9375</v>
      </c>
      <c r="O47" s="38" t="s">
        <v>123</v>
      </c>
      <c r="P47" s="38">
        <v>900.0</v>
      </c>
      <c r="Q47" s="39"/>
      <c r="R47" s="39"/>
      <c r="S47" s="39"/>
      <c r="T47" s="39"/>
      <c r="U47" s="39"/>
    </row>
    <row r="48">
      <c r="A48" s="40">
        <f t="shared" si="1"/>
        <v>46006</v>
      </c>
      <c r="B48" s="37" t="str">
        <f t="array" ref="B48">iferror(xlookup($I48, 'IMPORT VHC Report'!$E:$E, 'IMPORT VHC Report'!$A:$C), )</f>
        <v/>
      </c>
      <c r="C48" s="37"/>
      <c r="D48" s="37"/>
      <c r="E48" s="38" t="s">
        <v>186</v>
      </c>
      <c r="F48" s="38" t="s">
        <v>158</v>
      </c>
      <c r="G48" s="38">
        <v>5.729839272719E12</v>
      </c>
      <c r="H48" s="38" t="s">
        <v>159</v>
      </c>
      <c r="I48" s="38" t="s">
        <v>160</v>
      </c>
      <c r="J48" s="38" t="s">
        <v>132</v>
      </c>
      <c r="K48" s="38" t="s">
        <v>126</v>
      </c>
      <c r="L48" s="41">
        <v>46009.96875</v>
      </c>
      <c r="M48" s="38" t="s">
        <v>123</v>
      </c>
      <c r="N48" s="41">
        <v>46010.010416666664</v>
      </c>
      <c r="O48" s="38" t="s">
        <v>123</v>
      </c>
      <c r="P48" s="38">
        <v>3600.0</v>
      </c>
      <c r="Q48" s="39"/>
      <c r="R48" s="39"/>
      <c r="S48" s="39"/>
      <c r="T48" s="39"/>
      <c r="U48" s="39"/>
    </row>
    <row r="49">
      <c r="A49" s="40">
        <f t="shared" si="1"/>
        <v>46006</v>
      </c>
      <c r="B49" s="37" t="str">
        <f t="array" ref="B49">iferror(xlookup($I49, 'IMPORT VHC Report'!$E:$E, 'IMPORT VHC Report'!$A:$C), )</f>
        <v/>
      </c>
      <c r="C49" s="37"/>
      <c r="D49" s="37"/>
      <c r="E49" s="38" t="s">
        <v>187</v>
      </c>
      <c r="F49" s="38" t="s">
        <v>158</v>
      </c>
      <c r="G49" s="38">
        <v>5.729839272719E12</v>
      </c>
      <c r="H49" s="38" t="s">
        <v>159</v>
      </c>
      <c r="I49" s="38" t="s">
        <v>160</v>
      </c>
      <c r="J49" s="38" t="s">
        <v>161</v>
      </c>
      <c r="K49" s="38" t="s">
        <v>63</v>
      </c>
      <c r="L49" s="41">
        <v>46012.708333333336</v>
      </c>
      <c r="M49" s="38" t="s">
        <v>123</v>
      </c>
      <c r="N49" s="41">
        <v>46013.083333333336</v>
      </c>
      <c r="O49" s="38" t="s">
        <v>123</v>
      </c>
      <c r="P49" s="38">
        <v>32400.0</v>
      </c>
      <c r="Q49" s="39"/>
      <c r="R49" s="39"/>
      <c r="S49" s="39"/>
      <c r="T49" s="39"/>
      <c r="U49" s="39"/>
    </row>
    <row r="50">
      <c r="A50" s="40">
        <f t="shared" si="1"/>
        <v>46006</v>
      </c>
      <c r="B50" s="37" t="str">
        <f t="array" ref="B50">iferror(xlookup($I50, 'IMPORT VHC Report'!$E:$E, 'IMPORT VHC Report'!$A:$C), )</f>
        <v/>
      </c>
      <c r="C50" s="37"/>
      <c r="D50" s="37"/>
      <c r="E50" s="38" t="s">
        <v>188</v>
      </c>
      <c r="F50" s="38" t="s">
        <v>158</v>
      </c>
      <c r="G50" s="38">
        <v>5.729839272719E12</v>
      </c>
      <c r="H50" s="38" t="s">
        <v>159</v>
      </c>
      <c r="I50" s="38" t="s">
        <v>160</v>
      </c>
      <c r="J50" s="38" t="s">
        <v>134</v>
      </c>
      <c r="K50" s="38" t="s">
        <v>126</v>
      </c>
      <c r="L50" s="41">
        <v>46012.791666666664</v>
      </c>
      <c r="M50" s="38" t="s">
        <v>123</v>
      </c>
      <c r="N50" s="41">
        <v>46012.802083333336</v>
      </c>
      <c r="O50" s="38" t="s">
        <v>123</v>
      </c>
      <c r="P50" s="38">
        <v>900.0</v>
      </c>
      <c r="Q50" s="39"/>
      <c r="R50" s="39"/>
      <c r="S50" s="39"/>
      <c r="T50" s="39"/>
      <c r="U50" s="39"/>
    </row>
    <row r="51">
      <c r="A51" s="40">
        <f t="shared" si="1"/>
        <v>46006</v>
      </c>
      <c r="B51" s="37" t="str">
        <f t="array" ref="B51">iferror(xlookup($I51, 'IMPORT VHC Report'!$E:$E, 'IMPORT VHC Report'!$A:$C), )</f>
        <v/>
      </c>
      <c r="C51" s="37"/>
      <c r="D51" s="37"/>
      <c r="E51" s="38" t="s">
        <v>189</v>
      </c>
      <c r="F51" s="38" t="s">
        <v>158</v>
      </c>
      <c r="G51" s="38">
        <v>5.729839272719E12</v>
      </c>
      <c r="H51" s="38" t="s">
        <v>159</v>
      </c>
      <c r="I51" s="38" t="s">
        <v>160</v>
      </c>
      <c r="J51" s="38" t="s">
        <v>132</v>
      </c>
      <c r="K51" s="38" t="s">
        <v>126</v>
      </c>
      <c r="L51" s="41">
        <v>46012.854166666664</v>
      </c>
      <c r="M51" s="38" t="s">
        <v>123</v>
      </c>
      <c r="N51" s="41">
        <v>46012.895833333336</v>
      </c>
      <c r="O51" s="38" t="s">
        <v>123</v>
      </c>
      <c r="P51" s="38">
        <v>3600.0</v>
      </c>
      <c r="Q51" s="39"/>
      <c r="R51" s="39"/>
      <c r="S51" s="39"/>
      <c r="T51" s="39"/>
      <c r="U51" s="39"/>
    </row>
    <row r="52">
      <c r="A52" s="40">
        <f t="shared" si="1"/>
        <v>46006</v>
      </c>
      <c r="B52" s="37" t="str">
        <f t="array" ref="B52">iferror(xlookup($I52, 'IMPORT VHC Report'!$E:$E, 'IMPORT VHC Report'!$A:$C), )</f>
        <v/>
      </c>
      <c r="C52" s="37"/>
      <c r="D52" s="37"/>
      <c r="E52" s="38" t="s">
        <v>190</v>
      </c>
      <c r="F52" s="38" t="s">
        <v>158</v>
      </c>
      <c r="G52" s="38">
        <v>5.729839272719E12</v>
      </c>
      <c r="H52" s="38" t="s">
        <v>159</v>
      </c>
      <c r="I52" s="38" t="s">
        <v>160</v>
      </c>
      <c r="J52" s="38" t="s">
        <v>134</v>
      </c>
      <c r="K52" s="38" t="s">
        <v>126</v>
      </c>
      <c r="L52" s="41">
        <v>46012.947916666664</v>
      </c>
      <c r="M52" s="38" t="s">
        <v>123</v>
      </c>
      <c r="N52" s="41">
        <v>46012.958333333336</v>
      </c>
      <c r="O52" s="38" t="s">
        <v>123</v>
      </c>
      <c r="P52" s="38">
        <v>900.0</v>
      </c>
      <c r="Q52" s="39"/>
      <c r="R52" s="39"/>
      <c r="S52" s="39"/>
      <c r="T52" s="39"/>
      <c r="U52" s="39"/>
    </row>
    <row r="53">
      <c r="A53" s="40">
        <f t="shared" si="1"/>
        <v>45999</v>
      </c>
      <c r="B53" s="37" t="str">
        <f t="array" ref="B53">iferror(xlookup($I53, 'IMPORT VHC Report'!$E:$E, 'IMPORT VHC Report'!$A:$C), )</f>
        <v/>
      </c>
      <c r="C53" s="37"/>
      <c r="D53" s="37"/>
      <c r="E53" s="38" t="s">
        <v>191</v>
      </c>
      <c r="F53" s="38" t="s">
        <v>192</v>
      </c>
      <c r="G53" s="38">
        <v>5.047318720783E12</v>
      </c>
      <c r="H53" s="38" t="s">
        <v>193</v>
      </c>
      <c r="I53" s="38" t="s">
        <v>194</v>
      </c>
      <c r="J53" s="38" t="s">
        <v>152</v>
      </c>
      <c r="K53" s="38" t="s">
        <v>153</v>
      </c>
      <c r="L53" s="41">
        <v>46005.75</v>
      </c>
      <c r="M53" s="38" t="s">
        <v>123</v>
      </c>
      <c r="N53" s="41">
        <v>46006.125</v>
      </c>
      <c r="O53" s="38" t="s">
        <v>123</v>
      </c>
      <c r="P53" s="38">
        <v>32400.0</v>
      </c>
      <c r="Q53" s="38">
        <v>28800.0</v>
      </c>
      <c r="R53" s="38" t="s">
        <v>152</v>
      </c>
      <c r="S53" s="39"/>
      <c r="T53" s="39"/>
      <c r="U53" s="39"/>
    </row>
    <row r="54">
      <c r="A54" s="40">
        <f t="shared" si="1"/>
        <v>45999</v>
      </c>
      <c r="B54" s="37" t="str">
        <f t="array" ref="B54">iferror(xlookup($I54, 'IMPORT VHC Report'!$E:$E, 'IMPORT VHC Report'!$A:$C), )</f>
        <v/>
      </c>
      <c r="C54" s="37"/>
      <c r="D54" s="37"/>
      <c r="E54" s="38" t="s">
        <v>195</v>
      </c>
      <c r="F54" s="38" t="s">
        <v>192</v>
      </c>
      <c r="G54" s="38">
        <v>5.047318720783E12</v>
      </c>
      <c r="H54" s="38" t="s">
        <v>193</v>
      </c>
      <c r="I54" s="38" t="s">
        <v>194</v>
      </c>
      <c r="J54" s="38" t="s">
        <v>196</v>
      </c>
      <c r="K54" s="38" t="s">
        <v>63</v>
      </c>
      <c r="L54" s="41">
        <v>46005.75</v>
      </c>
      <c r="M54" s="38" t="s">
        <v>123</v>
      </c>
      <c r="N54" s="41">
        <v>46006.125</v>
      </c>
      <c r="O54" s="38" t="s">
        <v>123</v>
      </c>
      <c r="P54" s="38">
        <v>32400.0</v>
      </c>
      <c r="Q54" s="39"/>
      <c r="R54" s="39"/>
      <c r="S54" s="39"/>
      <c r="T54" s="39"/>
      <c r="U54" s="39"/>
    </row>
    <row r="55">
      <c r="A55" s="40">
        <f t="shared" si="1"/>
        <v>45999</v>
      </c>
      <c r="B55" s="37" t="str">
        <f t="array" ref="B55">iferror(xlookup($I55, 'IMPORT VHC Report'!$E:$E, 'IMPORT VHC Report'!$A:$C), )</f>
        <v/>
      </c>
      <c r="C55" s="37"/>
      <c r="D55" s="37"/>
      <c r="E55" s="38" t="s">
        <v>197</v>
      </c>
      <c r="F55" s="38" t="s">
        <v>192</v>
      </c>
      <c r="G55" s="38">
        <v>5.047318720783E12</v>
      </c>
      <c r="H55" s="38" t="s">
        <v>193</v>
      </c>
      <c r="I55" s="38" t="s">
        <v>194</v>
      </c>
      <c r="J55" s="38" t="s">
        <v>132</v>
      </c>
      <c r="K55" s="38" t="s">
        <v>126</v>
      </c>
      <c r="L55" s="41">
        <v>46005.989583333336</v>
      </c>
      <c r="M55" s="38" t="s">
        <v>123</v>
      </c>
      <c r="N55" s="41">
        <v>46006.03125</v>
      </c>
      <c r="O55" s="38" t="s">
        <v>123</v>
      </c>
      <c r="P55" s="38">
        <v>3600.0</v>
      </c>
      <c r="Q55" s="39"/>
      <c r="R55" s="39"/>
      <c r="S55" s="39"/>
      <c r="T55" s="39"/>
      <c r="U55" s="39"/>
    </row>
    <row r="56">
      <c r="A56" s="40">
        <f t="shared" si="1"/>
        <v>46006</v>
      </c>
      <c r="B56" s="37" t="str">
        <f t="array" ref="B56">iferror(xlookup($I56, 'IMPORT VHC Report'!$E:$E, 'IMPORT VHC Report'!$A:$C), )</f>
        <v/>
      </c>
      <c r="C56" s="37"/>
      <c r="D56" s="37"/>
      <c r="E56" s="38" t="s">
        <v>198</v>
      </c>
      <c r="F56" s="38" t="s">
        <v>192</v>
      </c>
      <c r="G56" s="38">
        <v>5.047318720783E12</v>
      </c>
      <c r="H56" s="38" t="s">
        <v>193</v>
      </c>
      <c r="I56" s="38" t="s">
        <v>194</v>
      </c>
      <c r="J56" s="38" t="s">
        <v>125</v>
      </c>
      <c r="K56" s="38" t="s">
        <v>126</v>
      </c>
      <c r="L56" s="41">
        <v>46006.75</v>
      </c>
      <c r="M56" s="38" t="s">
        <v>123</v>
      </c>
      <c r="N56" s="41">
        <v>46006.760416666664</v>
      </c>
      <c r="O56" s="38" t="s">
        <v>123</v>
      </c>
      <c r="P56" s="38">
        <v>900.0</v>
      </c>
      <c r="Q56" s="39"/>
      <c r="R56" s="39"/>
      <c r="S56" s="38" t="s">
        <v>199</v>
      </c>
      <c r="T56" s="39"/>
      <c r="U56" s="39"/>
    </row>
    <row r="57">
      <c r="A57" s="40">
        <f t="shared" si="1"/>
        <v>46006</v>
      </c>
      <c r="B57" s="37" t="str">
        <f t="array" ref="B57">iferror(xlookup($I57, 'IMPORT VHC Report'!$E:$E, 'IMPORT VHC Report'!$A:$C), )</f>
        <v/>
      </c>
      <c r="C57" s="37"/>
      <c r="D57" s="37"/>
      <c r="E57" s="38" t="s">
        <v>200</v>
      </c>
      <c r="F57" s="38" t="s">
        <v>192</v>
      </c>
      <c r="G57" s="38">
        <v>5.047318720783E12</v>
      </c>
      <c r="H57" s="38" t="s">
        <v>193</v>
      </c>
      <c r="I57" s="38" t="s">
        <v>194</v>
      </c>
      <c r="J57" s="38" t="s">
        <v>196</v>
      </c>
      <c r="K57" s="38" t="s">
        <v>63</v>
      </c>
      <c r="L57" s="41">
        <v>46006.75</v>
      </c>
      <c r="M57" s="38" t="s">
        <v>123</v>
      </c>
      <c r="N57" s="41">
        <v>46007.125</v>
      </c>
      <c r="O57" s="38" t="s">
        <v>123</v>
      </c>
      <c r="P57" s="38">
        <v>32400.0</v>
      </c>
      <c r="Q57" s="39"/>
      <c r="R57" s="39"/>
      <c r="S57" s="39"/>
      <c r="T57" s="39"/>
      <c r="U57" s="39"/>
    </row>
    <row r="58">
      <c r="A58" s="40">
        <f t="shared" si="1"/>
        <v>46006</v>
      </c>
      <c r="B58" s="37" t="str">
        <f t="array" ref="B58">iferror(xlookup($I58, 'IMPORT VHC Report'!$E:$E, 'IMPORT VHC Report'!$A:$C), )</f>
        <v/>
      </c>
      <c r="C58" s="37"/>
      <c r="D58" s="37"/>
      <c r="E58" s="38" t="s">
        <v>201</v>
      </c>
      <c r="F58" s="38" t="s">
        <v>192</v>
      </c>
      <c r="G58" s="38">
        <v>5.047318720783E12</v>
      </c>
      <c r="H58" s="38" t="s">
        <v>193</v>
      </c>
      <c r="I58" s="38" t="s">
        <v>194</v>
      </c>
      <c r="J58" s="38" t="s">
        <v>134</v>
      </c>
      <c r="K58" s="38" t="s">
        <v>126</v>
      </c>
      <c r="L58" s="41">
        <v>46006.875</v>
      </c>
      <c r="M58" s="38" t="s">
        <v>123</v>
      </c>
      <c r="N58" s="41">
        <v>46006.895833333336</v>
      </c>
      <c r="O58" s="38" t="s">
        <v>123</v>
      </c>
      <c r="P58" s="38">
        <v>1800.0</v>
      </c>
      <c r="Q58" s="39"/>
      <c r="R58" s="39"/>
      <c r="S58" s="39"/>
      <c r="T58" s="39"/>
      <c r="U58" s="39"/>
    </row>
    <row r="59">
      <c r="A59" s="40">
        <f t="shared" si="1"/>
        <v>46006</v>
      </c>
      <c r="B59" s="37" t="str">
        <f t="array" ref="B59">iferror(xlookup($I59, 'IMPORT VHC Report'!$E:$E, 'IMPORT VHC Report'!$A:$C), )</f>
        <v/>
      </c>
      <c r="C59" s="37"/>
      <c r="D59" s="37"/>
      <c r="E59" s="38" t="s">
        <v>202</v>
      </c>
      <c r="F59" s="38" t="s">
        <v>192</v>
      </c>
      <c r="G59" s="38">
        <v>5.047318720783E12</v>
      </c>
      <c r="H59" s="38" t="s">
        <v>193</v>
      </c>
      <c r="I59" s="38" t="s">
        <v>194</v>
      </c>
      <c r="J59" s="38" t="s">
        <v>132</v>
      </c>
      <c r="K59" s="38" t="s">
        <v>126</v>
      </c>
      <c r="L59" s="41">
        <v>46007.0</v>
      </c>
      <c r="M59" s="38" t="s">
        <v>123</v>
      </c>
      <c r="N59" s="41">
        <v>46007.041666666664</v>
      </c>
      <c r="O59" s="38" t="s">
        <v>123</v>
      </c>
      <c r="P59" s="38">
        <v>3600.0</v>
      </c>
      <c r="Q59" s="39"/>
      <c r="R59" s="39"/>
      <c r="S59" s="39"/>
      <c r="T59" s="39"/>
      <c r="U59" s="39"/>
    </row>
    <row r="60">
      <c r="A60" s="40">
        <f t="shared" si="1"/>
        <v>46006</v>
      </c>
      <c r="B60" s="37" t="str">
        <f t="array" ref="B60">iferror(xlookup($I60, 'IMPORT VHC Report'!$E:$E, 'IMPORT VHC Report'!$A:$C), )</f>
        <v/>
      </c>
      <c r="C60" s="37"/>
      <c r="D60" s="37"/>
      <c r="E60" s="38" t="s">
        <v>203</v>
      </c>
      <c r="F60" s="38" t="s">
        <v>192</v>
      </c>
      <c r="G60" s="38">
        <v>5.047318720783E12</v>
      </c>
      <c r="H60" s="38" t="s">
        <v>193</v>
      </c>
      <c r="I60" s="38" t="s">
        <v>194</v>
      </c>
      <c r="J60" s="38" t="s">
        <v>125</v>
      </c>
      <c r="K60" s="38" t="s">
        <v>126</v>
      </c>
      <c r="L60" s="41">
        <v>46007.75</v>
      </c>
      <c r="M60" s="38" t="s">
        <v>123</v>
      </c>
      <c r="N60" s="41">
        <v>46007.760416666664</v>
      </c>
      <c r="O60" s="38" t="s">
        <v>123</v>
      </c>
      <c r="P60" s="38">
        <v>900.0</v>
      </c>
      <c r="Q60" s="39"/>
      <c r="R60" s="39"/>
      <c r="S60" s="38" t="s">
        <v>199</v>
      </c>
      <c r="T60" s="39"/>
      <c r="U60" s="39"/>
    </row>
    <row r="61">
      <c r="A61" s="40">
        <f t="shared" si="1"/>
        <v>46006</v>
      </c>
      <c r="B61" s="37" t="str">
        <f t="array" ref="B61">iferror(xlookup($I61, 'IMPORT VHC Report'!$E:$E, 'IMPORT VHC Report'!$A:$C), )</f>
        <v/>
      </c>
      <c r="C61" s="37"/>
      <c r="D61" s="37"/>
      <c r="E61" s="38" t="s">
        <v>204</v>
      </c>
      <c r="F61" s="38" t="s">
        <v>192</v>
      </c>
      <c r="G61" s="38">
        <v>5.047318720783E12</v>
      </c>
      <c r="H61" s="38" t="s">
        <v>193</v>
      </c>
      <c r="I61" s="38" t="s">
        <v>194</v>
      </c>
      <c r="J61" s="38" t="s">
        <v>196</v>
      </c>
      <c r="K61" s="38" t="s">
        <v>63</v>
      </c>
      <c r="L61" s="41">
        <v>46007.75</v>
      </c>
      <c r="M61" s="38" t="s">
        <v>123</v>
      </c>
      <c r="N61" s="41">
        <v>46008.125</v>
      </c>
      <c r="O61" s="38" t="s">
        <v>123</v>
      </c>
      <c r="P61" s="38">
        <v>32400.0</v>
      </c>
      <c r="Q61" s="39"/>
      <c r="R61" s="39"/>
      <c r="S61" s="39"/>
      <c r="T61" s="39"/>
      <c r="U61" s="39"/>
    </row>
    <row r="62">
      <c r="A62" s="40">
        <f t="shared" si="1"/>
        <v>46006</v>
      </c>
      <c r="B62" s="37" t="str">
        <f t="array" ref="B62">iferror(xlookup($I62, 'IMPORT VHC Report'!$E:$E, 'IMPORT VHC Report'!$A:$C), )</f>
        <v/>
      </c>
      <c r="C62" s="37"/>
      <c r="D62" s="37"/>
      <c r="E62" s="38" t="s">
        <v>205</v>
      </c>
      <c r="F62" s="38" t="s">
        <v>192</v>
      </c>
      <c r="G62" s="38">
        <v>5.047318720783E12</v>
      </c>
      <c r="H62" s="38" t="s">
        <v>193</v>
      </c>
      <c r="I62" s="38" t="s">
        <v>194</v>
      </c>
      <c r="J62" s="38" t="s">
        <v>132</v>
      </c>
      <c r="K62" s="38" t="s">
        <v>126</v>
      </c>
      <c r="L62" s="41">
        <v>46007.875</v>
      </c>
      <c r="M62" s="38" t="s">
        <v>123</v>
      </c>
      <c r="N62" s="41">
        <v>46007.916666666664</v>
      </c>
      <c r="O62" s="38" t="s">
        <v>123</v>
      </c>
      <c r="P62" s="38">
        <v>3600.0</v>
      </c>
      <c r="Q62" s="39"/>
      <c r="R62" s="39"/>
      <c r="S62" s="39"/>
      <c r="T62" s="39"/>
      <c r="U62" s="39"/>
    </row>
    <row r="63">
      <c r="A63" s="40">
        <f t="shared" si="1"/>
        <v>46006</v>
      </c>
      <c r="B63" s="37" t="str">
        <f t="array" ref="B63">iferror(xlookup($I63, 'IMPORT VHC Report'!$E:$E, 'IMPORT VHC Report'!$A:$C), )</f>
        <v/>
      </c>
      <c r="C63" s="37"/>
      <c r="D63" s="37"/>
      <c r="E63" s="38" t="s">
        <v>206</v>
      </c>
      <c r="F63" s="38" t="s">
        <v>192</v>
      </c>
      <c r="G63" s="38">
        <v>5.047318720783E12</v>
      </c>
      <c r="H63" s="38" t="s">
        <v>193</v>
      </c>
      <c r="I63" s="38" t="s">
        <v>194</v>
      </c>
      <c r="J63" s="38" t="s">
        <v>136</v>
      </c>
      <c r="K63" s="38" t="s">
        <v>126</v>
      </c>
      <c r="L63" s="41">
        <v>46007.916666666664</v>
      </c>
      <c r="M63" s="38" t="s">
        <v>123</v>
      </c>
      <c r="N63" s="41">
        <v>46007.958333333336</v>
      </c>
      <c r="O63" s="38" t="s">
        <v>123</v>
      </c>
      <c r="P63" s="38">
        <v>3600.0</v>
      </c>
      <c r="Q63" s="39"/>
      <c r="R63" s="39"/>
      <c r="S63" s="38" t="s">
        <v>137</v>
      </c>
      <c r="T63" s="39"/>
      <c r="U63" s="39"/>
    </row>
    <row r="64">
      <c r="A64" s="40">
        <f t="shared" si="1"/>
        <v>46006</v>
      </c>
      <c r="B64" s="37" t="str">
        <f t="array" ref="B64">iferror(xlookup($I64, 'IMPORT VHC Report'!$E:$E, 'IMPORT VHC Report'!$A:$C), )</f>
        <v/>
      </c>
      <c r="C64" s="37"/>
      <c r="D64" s="37"/>
      <c r="E64" s="38" t="s">
        <v>207</v>
      </c>
      <c r="F64" s="38" t="s">
        <v>192</v>
      </c>
      <c r="G64" s="38">
        <v>5.047318720783E12</v>
      </c>
      <c r="H64" s="38" t="s">
        <v>193</v>
      </c>
      <c r="I64" s="38" t="s">
        <v>194</v>
      </c>
      <c r="J64" s="38" t="s">
        <v>134</v>
      </c>
      <c r="K64" s="38" t="s">
        <v>126</v>
      </c>
      <c r="L64" s="41">
        <v>46008.020833333336</v>
      </c>
      <c r="M64" s="38" t="s">
        <v>123</v>
      </c>
      <c r="N64" s="41">
        <v>46008.041666666664</v>
      </c>
      <c r="O64" s="38" t="s">
        <v>123</v>
      </c>
      <c r="P64" s="38">
        <v>1800.0</v>
      </c>
      <c r="Q64" s="39"/>
      <c r="R64" s="39"/>
      <c r="S64" s="39"/>
      <c r="T64" s="39"/>
      <c r="U64" s="39"/>
    </row>
    <row r="65">
      <c r="A65" s="40">
        <f t="shared" si="1"/>
        <v>46006</v>
      </c>
      <c r="B65" s="37" t="str">
        <f t="array" ref="B65">iferror(xlookup($I65, 'IMPORT VHC Report'!$E:$E, 'IMPORT VHC Report'!$A:$C), )</f>
        <v/>
      </c>
      <c r="C65" s="37"/>
      <c r="D65" s="37"/>
      <c r="E65" s="38" t="s">
        <v>208</v>
      </c>
      <c r="F65" s="38" t="s">
        <v>192</v>
      </c>
      <c r="G65" s="38">
        <v>5.047318720783E12</v>
      </c>
      <c r="H65" s="38" t="s">
        <v>193</v>
      </c>
      <c r="I65" s="38" t="s">
        <v>194</v>
      </c>
      <c r="J65" s="38" t="s">
        <v>125</v>
      </c>
      <c r="K65" s="38" t="s">
        <v>126</v>
      </c>
      <c r="L65" s="41">
        <v>46010.75</v>
      </c>
      <c r="M65" s="38" t="s">
        <v>123</v>
      </c>
      <c r="N65" s="41">
        <v>46010.760416666664</v>
      </c>
      <c r="O65" s="38" t="s">
        <v>123</v>
      </c>
      <c r="P65" s="38">
        <v>900.0</v>
      </c>
      <c r="Q65" s="39"/>
      <c r="R65" s="39"/>
      <c r="S65" s="38" t="s">
        <v>199</v>
      </c>
      <c r="T65" s="39"/>
      <c r="U65" s="39"/>
    </row>
    <row r="66">
      <c r="A66" s="40">
        <f t="shared" si="1"/>
        <v>46006</v>
      </c>
      <c r="B66" s="37" t="str">
        <f t="array" ref="B66">iferror(xlookup($I66, 'IMPORT VHC Report'!$E:$E, 'IMPORT VHC Report'!$A:$C), )</f>
        <v/>
      </c>
      <c r="C66" s="37"/>
      <c r="D66" s="37"/>
      <c r="E66" s="38" t="s">
        <v>209</v>
      </c>
      <c r="F66" s="38" t="s">
        <v>192</v>
      </c>
      <c r="G66" s="38">
        <v>5.047318720783E12</v>
      </c>
      <c r="H66" s="38" t="s">
        <v>193</v>
      </c>
      <c r="I66" s="38" t="s">
        <v>194</v>
      </c>
      <c r="J66" s="38" t="s">
        <v>196</v>
      </c>
      <c r="K66" s="38" t="s">
        <v>63</v>
      </c>
      <c r="L66" s="41">
        <v>46010.75</v>
      </c>
      <c r="M66" s="38" t="s">
        <v>123</v>
      </c>
      <c r="N66" s="41">
        <v>46011.125</v>
      </c>
      <c r="O66" s="38" t="s">
        <v>123</v>
      </c>
      <c r="P66" s="38">
        <v>32400.0</v>
      </c>
      <c r="Q66" s="39"/>
      <c r="R66" s="39"/>
      <c r="S66" s="39"/>
      <c r="T66" s="39"/>
      <c r="U66" s="39"/>
    </row>
    <row r="67">
      <c r="A67" s="40">
        <f t="shared" si="1"/>
        <v>46006</v>
      </c>
      <c r="B67" s="37" t="str">
        <f t="array" ref="B67">iferror(xlookup($I67, 'IMPORT VHC Report'!$E:$E, 'IMPORT VHC Report'!$A:$C), )</f>
        <v/>
      </c>
      <c r="C67" s="37"/>
      <c r="D67" s="37"/>
      <c r="E67" s="38" t="s">
        <v>210</v>
      </c>
      <c r="F67" s="38" t="s">
        <v>192</v>
      </c>
      <c r="G67" s="38">
        <v>5.047318720783E12</v>
      </c>
      <c r="H67" s="38" t="s">
        <v>193</v>
      </c>
      <c r="I67" s="38" t="s">
        <v>194</v>
      </c>
      <c r="J67" s="38" t="s">
        <v>132</v>
      </c>
      <c r="K67" s="38" t="s">
        <v>126</v>
      </c>
      <c r="L67" s="41">
        <v>46010.875</v>
      </c>
      <c r="M67" s="38" t="s">
        <v>123</v>
      </c>
      <c r="N67" s="41">
        <v>46010.916666666664</v>
      </c>
      <c r="O67" s="38" t="s">
        <v>123</v>
      </c>
      <c r="P67" s="38">
        <v>3600.0</v>
      </c>
      <c r="Q67" s="39"/>
      <c r="R67" s="39"/>
      <c r="S67" s="39"/>
      <c r="T67" s="39"/>
      <c r="U67" s="39"/>
    </row>
    <row r="68">
      <c r="A68" s="40">
        <f t="shared" si="1"/>
        <v>46006</v>
      </c>
      <c r="B68" s="37" t="str">
        <f t="array" ref="B68">iferror(xlookup($I68, 'IMPORT VHC Report'!$E:$E, 'IMPORT VHC Report'!$A:$C), )</f>
        <v/>
      </c>
      <c r="C68" s="37"/>
      <c r="D68" s="37"/>
      <c r="E68" s="38" t="s">
        <v>211</v>
      </c>
      <c r="F68" s="38" t="s">
        <v>192</v>
      </c>
      <c r="G68" s="38">
        <v>5.047318720783E12</v>
      </c>
      <c r="H68" s="38" t="s">
        <v>193</v>
      </c>
      <c r="I68" s="38" t="s">
        <v>194</v>
      </c>
      <c r="J68" s="38" t="s">
        <v>134</v>
      </c>
      <c r="K68" s="38" t="s">
        <v>126</v>
      </c>
      <c r="L68" s="41">
        <v>46011.020833333336</v>
      </c>
      <c r="M68" s="38" t="s">
        <v>123</v>
      </c>
      <c r="N68" s="41">
        <v>46011.041666666664</v>
      </c>
      <c r="O68" s="38" t="s">
        <v>123</v>
      </c>
      <c r="P68" s="38">
        <v>1800.0</v>
      </c>
      <c r="Q68" s="39"/>
      <c r="R68" s="39"/>
      <c r="S68" s="39"/>
      <c r="T68" s="39"/>
      <c r="U68" s="39"/>
    </row>
    <row r="69">
      <c r="A69" s="40">
        <f t="shared" si="1"/>
        <v>46006</v>
      </c>
      <c r="B69" s="37" t="str">
        <f t="array" ref="B69">iferror(xlookup($I69, 'IMPORT VHC Report'!$E:$E, 'IMPORT VHC Report'!$A:$C), )</f>
        <v/>
      </c>
      <c r="C69" s="37"/>
      <c r="D69" s="37"/>
      <c r="E69" s="38" t="s">
        <v>212</v>
      </c>
      <c r="F69" s="38" t="s">
        <v>192</v>
      </c>
      <c r="G69" s="38">
        <v>5.047318720783E12</v>
      </c>
      <c r="H69" s="38" t="s">
        <v>193</v>
      </c>
      <c r="I69" s="38" t="s">
        <v>194</v>
      </c>
      <c r="J69" s="38" t="s">
        <v>125</v>
      </c>
      <c r="K69" s="38" t="s">
        <v>126</v>
      </c>
      <c r="L69" s="41">
        <v>46011.75</v>
      </c>
      <c r="M69" s="38" t="s">
        <v>123</v>
      </c>
      <c r="N69" s="41">
        <v>46011.760416666664</v>
      </c>
      <c r="O69" s="38" t="s">
        <v>123</v>
      </c>
      <c r="P69" s="38">
        <v>900.0</v>
      </c>
      <c r="Q69" s="39"/>
      <c r="R69" s="39"/>
      <c r="S69" s="38" t="s">
        <v>199</v>
      </c>
      <c r="T69" s="39"/>
      <c r="U69" s="39"/>
    </row>
    <row r="70">
      <c r="A70" s="40">
        <f t="shared" si="1"/>
        <v>46006</v>
      </c>
      <c r="B70" s="37" t="str">
        <f t="array" ref="B70">iferror(xlookup($I70, 'IMPORT VHC Report'!$E:$E, 'IMPORT VHC Report'!$A:$C), )</f>
        <v/>
      </c>
      <c r="C70" s="37"/>
      <c r="D70" s="37"/>
      <c r="E70" s="38" t="s">
        <v>213</v>
      </c>
      <c r="F70" s="38" t="s">
        <v>192</v>
      </c>
      <c r="G70" s="38">
        <v>5.047318720783E12</v>
      </c>
      <c r="H70" s="38" t="s">
        <v>193</v>
      </c>
      <c r="I70" s="38" t="s">
        <v>194</v>
      </c>
      <c r="J70" s="38" t="s">
        <v>196</v>
      </c>
      <c r="K70" s="38" t="s">
        <v>63</v>
      </c>
      <c r="L70" s="41">
        <v>46011.75</v>
      </c>
      <c r="M70" s="38" t="s">
        <v>123</v>
      </c>
      <c r="N70" s="41">
        <v>46012.125</v>
      </c>
      <c r="O70" s="38" t="s">
        <v>123</v>
      </c>
      <c r="P70" s="38">
        <v>32400.0</v>
      </c>
      <c r="Q70" s="39"/>
      <c r="R70" s="39"/>
      <c r="S70" s="39"/>
      <c r="T70" s="39"/>
      <c r="U70" s="39"/>
    </row>
    <row r="71">
      <c r="A71" s="40">
        <f t="shared" si="1"/>
        <v>46006</v>
      </c>
      <c r="B71" s="37" t="str">
        <f t="array" ref="B71">iferror(xlookup($I71, 'IMPORT VHC Report'!$E:$E, 'IMPORT VHC Report'!$A:$C), )</f>
        <v/>
      </c>
      <c r="C71" s="37"/>
      <c r="D71" s="37"/>
      <c r="E71" s="38" t="s">
        <v>214</v>
      </c>
      <c r="F71" s="38" t="s">
        <v>192</v>
      </c>
      <c r="G71" s="38">
        <v>5.047318720783E12</v>
      </c>
      <c r="H71" s="38" t="s">
        <v>193</v>
      </c>
      <c r="I71" s="38" t="s">
        <v>194</v>
      </c>
      <c r="J71" s="38" t="s">
        <v>132</v>
      </c>
      <c r="K71" s="38" t="s">
        <v>126</v>
      </c>
      <c r="L71" s="41">
        <v>46011.864583333336</v>
      </c>
      <c r="M71" s="38" t="s">
        <v>123</v>
      </c>
      <c r="N71" s="41">
        <v>46011.90625</v>
      </c>
      <c r="O71" s="38" t="s">
        <v>123</v>
      </c>
      <c r="P71" s="38">
        <v>3600.0</v>
      </c>
      <c r="Q71" s="39"/>
      <c r="R71" s="39"/>
      <c r="S71" s="39"/>
      <c r="T71" s="39"/>
      <c r="U71" s="39"/>
    </row>
    <row r="72">
      <c r="A72" s="40">
        <f t="shared" si="1"/>
        <v>46006</v>
      </c>
      <c r="B72" s="37" t="str">
        <f t="array" ref="B72">iferror(xlookup($I72, 'IMPORT VHC Report'!$E:$E, 'IMPORT VHC Report'!$A:$C), )</f>
        <v/>
      </c>
      <c r="C72" s="37"/>
      <c r="D72" s="37"/>
      <c r="E72" s="38" t="s">
        <v>215</v>
      </c>
      <c r="F72" s="38" t="s">
        <v>192</v>
      </c>
      <c r="G72" s="38">
        <v>5.047318720783E12</v>
      </c>
      <c r="H72" s="38" t="s">
        <v>193</v>
      </c>
      <c r="I72" s="38" t="s">
        <v>194</v>
      </c>
      <c r="J72" s="38" t="s">
        <v>134</v>
      </c>
      <c r="K72" s="38" t="s">
        <v>126</v>
      </c>
      <c r="L72" s="41">
        <v>46012.010416666664</v>
      </c>
      <c r="M72" s="38" t="s">
        <v>123</v>
      </c>
      <c r="N72" s="41">
        <v>46012.03125</v>
      </c>
      <c r="O72" s="38" t="s">
        <v>123</v>
      </c>
      <c r="P72" s="38">
        <v>1800.0</v>
      </c>
      <c r="Q72" s="39"/>
      <c r="R72" s="39"/>
      <c r="S72" s="39"/>
      <c r="T72" s="39"/>
      <c r="U72" s="39"/>
    </row>
    <row r="73">
      <c r="A73" s="40">
        <f t="shared" si="1"/>
        <v>46006</v>
      </c>
      <c r="B73" s="37" t="str">
        <f t="array" ref="B73">iferror(xlookup($I73, 'IMPORT VHC Report'!$E:$E, 'IMPORT VHC Report'!$A:$C), )</f>
        <v/>
      </c>
      <c r="C73" s="37"/>
      <c r="D73" s="37"/>
      <c r="E73" s="38" t="s">
        <v>216</v>
      </c>
      <c r="F73" s="38" t="s">
        <v>192</v>
      </c>
      <c r="G73" s="38">
        <v>5.047318720783E12</v>
      </c>
      <c r="H73" s="38" t="s">
        <v>193</v>
      </c>
      <c r="I73" s="38" t="s">
        <v>194</v>
      </c>
      <c r="J73" s="38" t="s">
        <v>125</v>
      </c>
      <c r="K73" s="38" t="s">
        <v>126</v>
      </c>
      <c r="L73" s="41">
        <v>46012.75</v>
      </c>
      <c r="M73" s="38" t="s">
        <v>123</v>
      </c>
      <c r="N73" s="41">
        <v>46012.760416666664</v>
      </c>
      <c r="O73" s="38" t="s">
        <v>123</v>
      </c>
      <c r="P73" s="38">
        <v>900.0</v>
      </c>
      <c r="Q73" s="39"/>
      <c r="R73" s="39"/>
      <c r="S73" s="38" t="s">
        <v>199</v>
      </c>
      <c r="T73" s="39"/>
      <c r="U73" s="39"/>
    </row>
    <row r="74">
      <c r="A74" s="40">
        <f t="shared" si="1"/>
        <v>46006</v>
      </c>
      <c r="B74" s="37" t="str">
        <f t="array" ref="B74">iferror(xlookup($I74, 'IMPORT VHC Report'!$E:$E, 'IMPORT VHC Report'!$A:$C), )</f>
        <v/>
      </c>
      <c r="C74" s="37"/>
      <c r="D74" s="37"/>
      <c r="E74" s="38" t="s">
        <v>217</v>
      </c>
      <c r="F74" s="38" t="s">
        <v>192</v>
      </c>
      <c r="G74" s="38">
        <v>5.047318720783E12</v>
      </c>
      <c r="H74" s="38" t="s">
        <v>193</v>
      </c>
      <c r="I74" s="38" t="s">
        <v>194</v>
      </c>
      <c r="J74" s="38" t="s">
        <v>196</v>
      </c>
      <c r="K74" s="38" t="s">
        <v>63</v>
      </c>
      <c r="L74" s="41">
        <v>46012.75</v>
      </c>
      <c r="M74" s="38" t="s">
        <v>123</v>
      </c>
      <c r="N74" s="41">
        <v>46013.125</v>
      </c>
      <c r="O74" s="38" t="s">
        <v>123</v>
      </c>
      <c r="P74" s="38">
        <v>32400.0</v>
      </c>
      <c r="Q74" s="39"/>
      <c r="R74" s="39"/>
      <c r="S74" s="39"/>
      <c r="T74" s="39"/>
      <c r="U74" s="39"/>
    </row>
    <row r="75">
      <c r="A75" s="40">
        <f t="shared" si="1"/>
        <v>46006</v>
      </c>
      <c r="B75" s="37" t="str">
        <f t="array" ref="B75">iferror(xlookup($I75, 'IMPORT VHC Report'!$E:$E, 'IMPORT VHC Report'!$A:$C), )</f>
        <v/>
      </c>
      <c r="C75" s="37"/>
      <c r="D75" s="37"/>
      <c r="E75" s="38" t="s">
        <v>218</v>
      </c>
      <c r="F75" s="38" t="s">
        <v>192</v>
      </c>
      <c r="G75" s="38">
        <v>5.047318720783E12</v>
      </c>
      <c r="H75" s="38" t="s">
        <v>193</v>
      </c>
      <c r="I75" s="38" t="s">
        <v>194</v>
      </c>
      <c r="J75" s="38" t="s">
        <v>134</v>
      </c>
      <c r="K75" s="38" t="s">
        <v>126</v>
      </c>
      <c r="L75" s="41">
        <v>46012.854166666664</v>
      </c>
      <c r="M75" s="38" t="s">
        <v>123</v>
      </c>
      <c r="N75" s="41">
        <v>46012.875</v>
      </c>
      <c r="O75" s="38" t="s">
        <v>123</v>
      </c>
      <c r="P75" s="38">
        <v>1800.0</v>
      </c>
      <c r="Q75" s="39"/>
      <c r="R75" s="39"/>
      <c r="S75" s="39"/>
      <c r="T75" s="39"/>
      <c r="U75" s="39"/>
    </row>
    <row r="76">
      <c r="A76" s="40">
        <f t="shared" si="1"/>
        <v>46006</v>
      </c>
      <c r="B76" s="37" t="str">
        <f t="array" ref="B76">iferror(xlookup($I76, 'IMPORT VHC Report'!$E:$E, 'IMPORT VHC Report'!$A:$C), )</f>
        <v/>
      </c>
      <c r="C76" s="37"/>
      <c r="D76" s="37"/>
      <c r="E76" s="38" t="s">
        <v>219</v>
      </c>
      <c r="F76" s="38" t="s">
        <v>192</v>
      </c>
      <c r="G76" s="38">
        <v>5.047318720783E12</v>
      </c>
      <c r="H76" s="38" t="s">
        <v>193</v>
      </c>
      <c r="I76" s="38" t="s">
        <v>194</v>
      </c>
      <c r="J76" s="38" t="s">
        <v>132</v>
      </c>
      <c r="K76" s="38" t="s">
        <v>126</v>
      </c>
      <c r="L76" s="41">
        <v>46012.989583333336</v>
      </c>
      <c r="M76" s="38" t="s">
        <v>123</v>
      </c>
      <c r="N76" s="41">
        <v>46013.03125</v>
      </c>
      <c r="O76" s="38" t="s">
        <v>123</v>
      </c>
      <c r="P76" s="38">
        <v>3600.0</v>
      </c>
      <c r="Q76" s="39"/>
      <c r="R76" s="39"/>
      <c r="S76" s="39"/>
      <c r="T76" s="39"/>
      <c r="U76" s="39"/>
    </row>
    <row r="77">
      <c r="A77" s="40">
        <f t="shared" si="1"/>
        <v>45999</v>
      </c>
      <c r="B77" s="37" t="str">
        <f t="array" ref="B77">iferror(xlookup($I77, 'IMPORT VHC Report'!$E:$E, 'IMPORT VHC Report'!$A:$C), )</f>
        <v/>
      </c>
      <c r="C77" s="37"/>
      <c r="D77" s="37"/>
      <c r="E77" s="38" t="s">
        <v>220</v>
      </c>
      <c r="F77" s="38" t="s">
        <v>221</v>
      </c>
      <c r="G77" s="38">
        <v>1.1035371839887E13</v>
      </c>
      <c r="H77" s="38" t="s">
        <v>222</v>
      </c>
      <c r="I77" s="38" t="s">
        <v>223</v>
      </c>
      <c r="J77" s="38" t="s">
        <v>224</v>
      </c>
      <c r="K77" s="38" t="s">
        <v>63</v>
      </c>
      <c r="L77" s="41">
        <v>46005.791666666664</v>
      </c>
      <c r="M77" s="38" t="s">
        <v>123</v>
      </c>
      <c r="N77" s="41">
        <v>46006.020833333336</v>
      </c>
      <c r="O77" s="38" t="s">
        <v>123</v>
      </c>
      <c r="P77" s="38">
        <v>19800.0</v>
      </c>
      <c r="Q77" s="39"/>
      <c r="R77" s="39"/>
      <c r="S77" s="39"/>
      <c r="T77" s="39"/>
      <c r="U77" s="39"/>
    </row>
    <row r="78">
      <c r="A78" s="40">
        <f t="shared" si="1"/>
        <v>45999</v>
      </c>
      <c r="B78" s="37" t="str">
        <f t="array" ref="B78">iferror(xlookup($I78, 'IMPORT VHC Report'!$E:$E, 'IMPORT VHC Report'!$A:$C), )</f>
        <v/>
      </c>
      <c r="C78" s="37"/>
      <c r="D78" s="37"/>
      <c r="E78" s="38" t="s">
        <v>225</v>
      </c>
      <c r="F78" s="38" t="s">
        <v>221</v>
      </c>
      <c r="G78" s="38">
        <v>1.1035371839887E13</v>
      </c>
      <c r="H78" s="38" t="s">
        <v>222</v>
      </c>
      <c r="I78" s="38" t="s">
        <v>223</v>
      </c>
      <c r="J78" s="38" t="s">
        <v>178</v>
      </c>
      <c r="K78" s="38" t="s">
        <v>153</v>
      </c>
      <c r="L78" s="41">
        <v>46005.791666666664</v>
      </c>
      <c r="M78" s="38" t="s">
        <v>123</v>
      </c>
      <c r="N78" s="41">
        <v>46006.166666666664</v>
      </c>
      <c r="O78" s="38" t="s">
        <v>123</v>
      </c>
      <c r="P78" s="38">
        <v>32400.0</v>
      </c>
      <c r="Q78" s="38">
        <v>57600.0</v>
      </c>
      <c r="R78" s="38" t="s">
        <v>153</v>
      </c>
      <c r="S78" s="39"/>
      <c r="T78" s="39"/>
      <c r="U78" s="39"/>
    </row>
    <row r="79">
      <c r="A79" s="40">
        <f t="shared" si="1"/>
        <v>46006</v>
      </c>
      <c r="B79" s="37" t="str">
        <f t="array" ref="B79">iferror(xlookup($I79, 'IMPORT VHC Report'!$E:$E, 'IMPORT VHC Report'!$A:$C), )</f>
        <v/>
      </c>
      <c r="C79" s="37"/>
      <c r="D79" s="37"/>
      <c r="E79" s="38" t="s">
        <v>226</v>
      </c>
      <c r="F79" s="38" t="s">
        <v>221</v>
      </c>
      <c r="G79" s="38">
        <v>1.1035371839887E13</v>
      </c>
      <c r="H79" s="38" t="s">
        <v>222</v>
      </c>
      <c r="I79" s="38" t="s">
        <v>223</v>
      </c>
      <c r="J79" s="38" t="s">
        <v>178</v>
      </c>
      <c r="K79" s="38" t="s">
        <v>153</v>
      </c>
      <c r="L79" s="41">
        <v>46006.791666666664</v>
      </c>
      <c r="M79" s="38" t="s">
        <v>123</v>
      </c>
      <c r="N79" s="41">
        <v>46007.166666666664</v>
      </c>
      <c r="O79" s="38" t="s">
        <v>123</v>
      </c>
      <c r="P79" s="38">
        <v>32400.0</v>
      </c>
      <c r="Q79" s="38">
        <v>32400.0</v>
      </c>
      <c r="R79" s="39"/>
      <c r="S79" s="39"/>
      <c r="T79" s="39"/>
      <c r="U79" s="39"/>
    </row>
    <row r="80">
      <c r="A80" s="40">
        <f t="shared" si="1"/>
        <v>46006</v>
      </c>
      <c r="B80" s="37" t="str">
        <f t="array" ref="B80">iferror(xlookup($I80, 'IMPORT VHC Report'!$E:$E, 'IMPORT VHC Report'!$A:$C), )</f>
        <v/>
      </c>
      <c r="C80" s="37"/>
      <c r="D80" s="37"/>
      <c r="E80" s="38" t="s">
        <v>227</v>
      </c>
      <c r="F80" s="38" t="s">
        <v>221</v>
      </c>
      <c r="G80" s="38">
        <v>1.1035371839887E13</v>
      </c>
      <c r="H80" s="38" t="s">
        <v>222</v>
      </c>
      <c r="I80" s="38" t="s">
        <v>223</v>
      </c>
      <c r="J80" s="38" t="s">
        <v>224</v>
      </c>
      <c r="K80" s="38" t="s">
        <v>63</v>
      </c>
      <c r="L80" s="41">
        <v>46007.791666666664</v>
      </c>
      <c r="M80" s="38" t="s">
        <v>123</v>
      </c>
      <c r="N80" s="41">
        <v>46007.885416666664</v>
      </c>
      <c r="O80" s="38" t="s">
        <v>123</v>
      </c>
      <c r="P80" s="38">
        <v>8100.0</v>
      </c>
      <c r="Q80" s="39"/>
      <c r="R80" s="39"/>
      <c r="S80" s="39"/>
      <c r="T80" s="39"/>
      <c r="U80" s="39"/>
    </row>
    <row r="81">
      <c r="A81" s="40">
        <f t="shared" si="1"/>
        <v>46006</v>
      </c>
      <c r="B81" s="37" t="str">
        <f t="array" ref="B81">iferror(xlookup($I81, 'IMPORT VHC Report'!$E:$E, 'IMPORT VHC Report'!$A:$C), )</f>
        <v/>
      </c>
      <c r="C81" s="37"/>
      <c r="D81" s="37"/>
      <c r="E81" s="38" t="s">
        <v>228</v>
      </c>
      <c r="F81" s="38" t="s">
        <v>221</v>
      </c>
      <c r="G81" s="38">
        <v>1.1035371839887E13</v>
      </c>
      <c r="H81" s="38" t="s">
        <v>222</v>
      </c>
      <c r="I81" s="38" t="s">
        <v>223</v>
      </c>
      <c r="J81" s="38" t="s">
        <v>178</v>
      </c>
      <c r="K81" s="38" t="s">
        <v>153</v>
      </c>
      <c r="L81" s="41">
        <v>46007.791666666664</v>
      </c>
      <c r="M81" s="38" t="s">
        <v>123</v>
      </c>
      <c r="N81" s="41">
        <v>46008.166666666664</v>
      </c>
      <c r="O81" s="38" t="s">
        <v>123</v>
      </c>
      <c r="P81" s="38">
        <v>32400.0</v>
      </c>
      <c r="Q81" s="38">
        <v>57600.0</v>
      </c>
      <c r="R81" s="38" t="s">
        <v>153</v>
      </c>
      <c r="S81" s="39"/>
      <c r="T81" s="39"/>
      <c r="U81" s="39"/>
    </row>
    <row r="82">
      <c r="A82" s="40">
        <f t="shared" si="1"/>
        <v>46006</v>
      </c>
      <c r="B82" s="37" t="str">
        <f t="array" ref="B82">iferror(xlookup($I82, 'IMPORT VHC Report'!$E:$E, 'IMPORT VHC Report'!$A:$C), )</f>
        <v/>
      </c>
      <c r="C82" s="37"/>
      <c r="D82" s="37"/>
      <c r="E82" s="38" t="s">
        <v>229</v>
      </c>
      <c r="F82" s="38" t="s">
        <v>221</v>
      </c>
      <c r="G82" s="38">
        <v>1.1035371839887E13</v>
      </c>
      <c r="H82" s="38" t="s">
        <v>222</v>
      </c>
      <c r="I82" s="38" t="s">
        <v>223</v>
      </c>
      <c r="J82" s="38" t="s">
        <v>134</v>
      </c>
      <c r="K82" s="38" t="s">
        <v>126</v>
      </c>
      <c r="L82" s="41">
        <v>46007.885416666664</v>
      </c>
      <c r="M82" s="38" t="s">
        <v>123</v>
      </c>
      <c r="N82" s="41">
        <v>46007.895833333336</v>
      </c>
      <c r="O82" s="38" t="s">
        <v>123</v>
      </c>
      <c r="P82" s="38">
        <v>900.0</v>
      </c>
      <c r="Q82" s="39"/>
      <c r="R82" s="39"/>
      <c r="S82" s="39"/>
      <c r="T82" s="39"/>
      <c r="U82" s="39"/>
    </row>
    <row r="83">
      <c r="A83" s="40">
        <f t="shared" si="1"/>
        <v>46006</v>
      </c>
      <c r="B83" s="37" t="str">
        <f t="array" ref="B83">iferror(xlookup($I83, 'IMPORT VHC Report'!$E:$E, 'IMPORT VHC Report'!$A:$C), )</f>
        <v/>
      </c>
      <c r="C83" s="37"/>
      <c r="D83" s="37"/>
      <c r="E83" s="38" t="s">
        <v>230</v>
      </c>
      <c r="F83" s="38" t="s">
        <v>221</v>
      </c>
      <c r="G83" s="38">
        <v>1.1035371839887E13</v>
      </c>
      <c r="H83" s="38" t="s">
        <v>222</v>
      </c>
      <c r="I83" s="38" t="s">
        <v>223</v>
      </c>
      <c r="J83" s="38" t="s">
        <v>224</v>
      </c>
      <c r="K83" s="38" t="s">
        <v>63</v>
      </c>
      <c r="L83" s="41">
        <v>46007.895833333336</v>
      </c>
      <c r="M83" s="38" t="s">
        <v>123</v>
      </c>
      <c r="N83" s="41">
        <v>46007.989583333336</v>
      </c>
      <c r="O83" s="38" t="s">
        <v>123</v>
      </c>
      <c r="P83" s="38">
        <v>8100.0</v>
      </c>
      <c r="Q83" s="39"/>
      <c r="R83" s="39"/>
      <c r="S83" s="39"/>
      <c r="T83" s="39"/>
      <c r="U83" s="39"/>
    </row>
    <row r="84">
      <c r="A84" s="40">
        <f t="shared" si="1"/>
        <v>46006</v>
      </c>
      <c r="B84" s="37" t="str">
        <f t="array" ref="B84">iferror(xlookup($I84, 'IMPORT VHC Report'!$E:$E, 'IMPORT VHC Report'!$A:$C), )</f>
        <v/>
      </c>
      <c r="C84" s="37"/>
      <c r="D84" s="37"/>
      <c r="E84" s="38" t="s">
        <v>231</v>
      </c>
      <c r="F84" s="38" t="s">
        <v>221</v>
      </c>
      <c r="G84" s="38">
        <v>1.1035371839887E13</v>
      </c>
      <c r="H84" s="38" t="s">
        <v>222</v>
      </c>
      <c r="I84" s="38" t="s">
        <v>223</v>
      </c>
      <c r="J84" s="38" t="s">
        <v>134</v>
      </c>
      <c r="K84" s="38" t="s">
        <v>126</v>
      </c>
      <c r="L84" s="41">
        <v>46007.989583333336</v>
      </c>
      <c r="M84" s="38" t="s">
        <v>123</v>
      </c>
      <c r="N84" s="41">
        <v>46008.0</v>
      </c>
      <c r="O84" s="38" t="s">
        <v>123</v>
      </c>
      <c r="P84" s="38">
        <v>900.0</v>
      </c>
      <c r="Q84" s="39"/>
      <c r="R84" s="39"/>
      <c r="S84" s="39"/>
      <c r="T84" s="39"/>
      <c r="U84" s="39"/>
    </row>
    <row r="85">
      <c r="A85" s="40">
        <f t="shared" si="1"/>
        <v>46006</v>
      </c>
      <c r="B85" s="37" t="str">
        <f t="array" ref="B85">iferror(xlookup($I85, 'IMPORT VHC Report'!$E:$E, 'IMPORT VHC Report'!$A:$C), )</f>
        <v/>
      </c>
      <c r="C85" s="37"/>
      <c r="D85" s="37"/>
      <c r="E85" s="38" t="s">
        <v>232</v>
      </c>
      <c r="F85" s="38" t="s">
        <v>221</v>
      </c>
      <c r="G85" s="38">
        <v>1.1035371839887E13</v>
      </c>
      <c r="H85" s="38" t="s">
        <v>222</v>
      </c>
      <c r="I85" s="38" t="s">
        <v>223</v>
      </c>
      <c r="J85" s="38" t="s">
        <v>224</v>
      </c>
      <c r="K85" s="38" t="s">
        <v>63</v>
      </c>
      <c r="L85" s="41">
        <v>46008.0</v>
      </c>
      <c r="M85" s="38" t="s">
        <v>123</v>
      </c>
      <c r="N85" s="41">
        <v>46008.0625</v>
      </c>
      <c r="O85" s="38" t="s">
        <v>123</v>
      </c>
      <c r="P85" s="38">
        <v>5400.0</v>
      </c>
      <c r="Q85" s="39"/>
      <c r="R85" s="39"/>
      <c r="S85" s="39"/>
      <c r="T85" s="39"/>
      <c r="U85" s="39"/>
    </row>
    <row r="86">
      <c r="A86" s="40">
        <f t="shared" si="1"/>
        <v>46006</v>
      </c>
      <c r="B86" s="37" t="str">
        <f t="array" ref="B86">iferror(xlookup($I86, 'IMPORT VHC Report'!$E:$E, 'IMPORT VHC Report'!$A:$C), )</f>
        <v/>
      </c>
      <c r="C86" s="37"/>
      <c r="D86" s="37"/>
      <c r="E86" s="38" t="s">
        <v>233</v>
      </c>
      <c r="F86" s="38" t="s">
        <v>221</v>
      </c>
      <c r="G86" s="38">
        <v>1.1035371839887E13</v>
      </c>
      <c r="H86" s="38" t="s">
        <v>222</v>
      </c>
      <c r="I86" s="38" t="s">
        <v>223</v>
      </c>
      <c r="J86" s="38" t="s">
        <v>132</v>
      </c>
      <c r="K86" s="38" t="s">
        <v>126</v>
      </c>
      <c r="L86" s="41">
        <v>46008.0625</v>
      </c>
      <c r="M86" s="38" t="s">
        <v>123</v>
      </c>
      <c r="N86" s="41">
        <v>46008.104166666664</v>
      </c>
      <c r="O86" s="38" t="s">
        <v>123</v>
      </c>
      <c r="P86" s="38">
        <v>3600.0</v>
      </c>
      <c r="Q86" s="39"/>
      <c r="R86" s="39"/>
      <c r="S86" s="39"/>
      <c r="T86" s="39"/>
      <c r="U86" s="39"/>
    </row>
    <row r="87">
      <c r="A87" s="40">
        <f t="shared" si="1"/>
        <v>46006</v>
      </c>
      <c r="B87" s="37" t="str">
        <f t="array" ref="B87">iferror(xlookup($I87, 'IMPORT VHC Report'!$E:$E, 'IMPORT VHC Report'!$A:$C), )</f>
        <v/>
      </c>
      <c r="C87" s="37"/>
      <c r="D87" s="37"/>
      <c r="E87" s="38" t="s">
        <v>234</v>
      </c>
      <c r="F87" s="38" t="s">
        <v>221</v>
      </c>
      <c r="G87" s="38">
        <v>1.1035371839887E13</v>
      </c>
      <c r="H87" s="38" t="s">
        <v>222</v>
      </c>
      <c r="I87" s="38" t="s">
        <v>223</v>
      </c>
      <c r="J87" s="38" t="s">
        <v>224</v>
      </c>
      <c r="K87" s="38" t="s">
        <v>63</v>
      </c>
      <c r="L87" s="41">
        <v>46008.104166666664</v>
      </c>
      <c r="M87" s="38" t="s">
        <v>123</v>
      </c>
      <c r="N87" s="41">
        <v>46008.166666666664</v>
      </c>
      <c r="O87" s="38" t="s">
        <v>123</v>
      </c>
      <c r="P87" s="38">
        <v>5400.0</v>
      </c>
      <c r="Q87" s="39"/>
      <c r="R87" s="39"/>
      <c r="S87" s="39"/>
      <c r="T87" s="39"/>
      <c r="U87" s="39"/>
    </row>
    <row r="88">
      <c r="A88" s="40">
        <f t="shared" si="1"/>
        <v>46006</v>
      </c>
      <c r="B88" s="37" t="str">
        <f t="array" ref="B88">iferror(xlookup($I88, 'IMPORT VHC Report'!$E:$E, 'IMPORT VHC Report'!$A:$C), )</f>
        <v/>
      </c>
      <c r="C88" s="37"/>
      <c r="D88" s="37"/>
      <c r="E88" s="38" t="s">
        <v>235</v>
      </c>
      <c r="F88" s="38" t="s">
        <v>221</v>
      </c>
      <c r="G88" s="38">
        <v>1.1035371839887E13</v>
      </c>
      <c r="H88" s="38" t="s">
        <v>222</v>
      </c>
      <c r="I88" s="38" t="s">
        <v>223</v>
      </c>
      <c r="J88" s="38" t="s">
        <v>224</v>
      </c>
      <c r="K88" s="38" t="s">
        <v>63</v>
      </c>
      <c r="L88" s="41">
        <v>46008.791666666664</v>
      </c>
      <c r="M88" s="38" t="s">
        <v>123</v>
      </c>
      <c r="N88" s="41">
        <v>46008.8125</v>
      </c>
      <c r="O88" s="38" t="s">
        <v>123</v>
      </c>
      <c r="P88" s="38">
        <v>1800.0</v>
      </c>
      <c r="Q88" s="39"/>
      <c r="R88" s="39"/>
      <c r="S88" s="39"/>
      <c r="T88" s="39"/>
      <c r="U88" s="39"/>
    </row>
    <row r="89">
      <c r="A89" s="40">
        <f t="shared" si="1"/>
        <v>46006</v>
      </c>
      <c r="B89" s="37" t="str">
        <f t="array" ref="B89">iferror(xlookup($I89, 'IMPORT VHC Report'!$E:$E, 'IMPORT VHC Report'!$A:$C), )</f>
        <v/>
      </c>
      <c r="C89" s="37"/>
      <c r="D89" s="37"/>
      <c r="E89" s="38" t="s">
        <v>236</v>
      </c>
      <c r="F89" s="38" t="s">
        <v>221</v>
      </c>
      <c r="G89" s="38">
        <v>1.1035371839887E13</v>
      </c>
      <c r="H89" s="38" t="s">
        <v>222</v>
      </c>
      <c r="I89" s="38" t="s">
        <v>223</v>
      </c>
      <c r="J89" s="38" t="s">
        <v>178</v>
      </c>
      <c r="K89" s="38" t="s">
        <v>153</v>
      </c>
      <c r="L89" s="41">
        <v>46008.791666666664</v>
      </c>
      <c r="M89" s="38" t="s">
        <v>123</v>
      </c>
      <c r="N89" s="41">
        <v>46009.166666666664</v>
      </c>
      <c r="O89" s="38" t="s">
        <v>123</v>
      </c>
      <c r="P89" s="38">
        <v>32400.0</v>
      </c>
      <c r="Q89" s="38">
        <v>32400.0</v>
      </c>
      <c r="R89" s="39"/>
      <c r="S89" s="39"/>
      <c r="T89" s="39"/>
      <c r="U89" s="39"/>
    </row>
    <row r="90">
      <c r="A90" s="40">
        <f t="shared" si="1"/>
        <v>46006</v>
      </c>
      <c r="B90" s="37" t="str">
        <f t="array" ref="B90">iferror(xlookup($I90, 'IMPORT VHC Report'!$E:$E, 'IMPORT VHC Report'!$A:$C), )</f>
        <v/>
      </c>
      <c r="C90" s="37"/>
      <c r="D90" s="37"/>
      <c r="E90" s="38" t="s">
        <v>237</v>
      </c>
      <c r="F90" s="38" t="s">
        <v>221</v>
      </c>
      <c r="G90" s="38">
        <v>1.1035371839887E13</v>
      </c>
      <c r="H90" s="38" t="s">
        <v>222</v>
      </c>
      <c r="I90" s="38" t="s">
        <v>223</v>
      </c>
      <c r="J90" s="38" t="s">
        <v>62</v>
      </c>
      <c r="K90" s="38" t="s">
        <v>63</v>
      </c>
      <c r="L90" s="41">
        <v>46008.8125</v>
      </c>
      <c r="M90" s="38" t="s">
        <v>123</v>
      </c>
      <c r="N90" s="41">
        <v>46008.833333333336</v>
      </c>
      <c r="O90" s="38" t="s">
        <v>123</v>
      </c>
      <c r="P90" s="38">
        <v>1800.0</v>
      </c>
      <c r="Q90" s="39"/>
      <c r="R90" s="39"/>
      <c r="S90" s="39"/>
      <c r="T90" s="39"/>
      <c r="U90" s="39"/>
    </row>
    <row r="91">
      <c r="A91" s="40">
        <f t="shared" si="1"/>
        <v>46006</v>
      </c>
      <c r="B91" s="37" t="str">
        <f t="array" ref="B91">iferror(xlookup($I91, 'IMPORT VHC Report'!$E:$E, 'IMPORT VHC Report'!$A:$C), )</f>
        <v/>
      </c>
      <c r="C91" s="37"/>
      <c r="D91" s="37"/>
      <c r="E91" s="38" t="s">
        <v>238</v>
      </c>
      <c r="F91" s="38" t="s">
        <v>221</v>
      </c>
      <c r="G91" s="38">
        <v>1.1035371839887E13</v>
      </c>
      <c r="H91" s="38" t="s">
        <v>222</v>
      </c>
      <c r="I91" s="38" t="s">
        <v>223</v>
      </c>
      <c r="J91" s="38" t="s">
        <v>224</v>
      </c>
      <c r="K91" s="38" t="s">
        <v>63</v>
      </c>
      <c r="L91" s="41">
        <v>46008.833333333336</v>
      </c>
      <c r="M91" s="38" t="s">
        <v>123</v>
      </c>
      <c r="N91" s="41">
        <v>46008.895833333336</v>
      </c>
      <c r="O91" s="38" t="s">
        <v>123</v>
      </c>
      <c r="P91" s="38">
        <v>5400.0</v>
      </c>
      <c r="Q91" s="39"/>
      <c r="R91" s="39"/>
      <c r="S91" s="39"/>
      <c r="T91" s="39"/>
      <c r="U91" s="39"/>
    </row>
    <row r="92">
      <c r="A92" s="40">
        <f t="shared" si="1"/>
        <v>46006</v>
      </c>
      <c r="B92" s="37" t="str">
        <f t="array" ref="B92">iferror(xlookup($I92, 'IMPORT VHC Report'!$E:$E, 'IMPORT VHC Report'!$A:$C), )</f>
        <v/>
      </c>
      <c r="C92" s="37"/>
      <c r="D92" s="37"/>
      <c r="E92" s="38" t="s">
        <v>239</v>
      </c>
      <c r="F92" s="38" t="s">
        <v>221</v>
      </c>
      <c r="G92" s="38">
        <v>1.1035371839887E13</v>
      </c>
      <c r="H92" s="38" t="s">
        <v>222</v>
      </c>
      <c r="I92" s="38" t="s">
        <v>223</v>
      </c>
      <c r="J92" s="38" t="s">
        <v>134</v>
      </c>
      <c r="K92" s="38" t="s">
        <v>126</v>
      </c>
      <c r="L92" s="41">
        <v>46008.895833333336</v>
      </c>
      <c r="M92" s="38" t="s">
        <v>123</v>
      </c>
      <c r="N92" s="41">
        <v>46008.90625</v>
      </c>
      <c r="O92" s="38" t="s">
        <v>123</v>
      </c>
      <c r="P92" s="38">
        <v>900.0</v>
      </c>
      <c r="Q92" s="39"/>
      <c r="R92" s="39"/>
      <c r="S92" s="39"/>
      <c r="T92" s="39"/>
      <c r="U92" s="39"/>
    </row>
    <row r="93">
      <c r="A93" s="40">
        <f t="shared" si="1"/>
        <v>46006</v>
      </c>
      <c r="B93" s="37" t="str">
        <f t="array" ref="B93">iferror(xlookup($I93, 'IMPORT VHC Report'!$E:$E, 'IMPORT VHC Report'!$A:$C), )</f>
        <v/>
      </c>
      <c r="C93" s="37"/>
      <c r="D93" s="37"/>
      <c r="E93" s="38" t="s">
        <v>240</v>
      </c>
      <c r="F93" s="38" t="s">
        <v>221</v>
      </c>
      <c r="G93" s="38">
        <v>1.1035371839887E13</v>
      </c>
      <c r="H93" s="38" t="s">
        <v>222</v>
      </c>
      <c r="I93" s="38" t="s">
        <v>223</v>
      </c>
      <c r="J93" s="38" t="s">
        <v>224</v>
      </c>
      <c r="K93" s="38" t="s">
        <v>63</v>
      </c>
      <c r="L93" s="41">
        <v>46008.90625</v>
      </c>
      <c r="M93" s="38" t="s">
        <v>123</v>
      </c>
      <c r="N93" s="41">
        <v>46008.96875</v>
      </c>
      <c r="O93" s="38" t="s">
        <v>123</v>
      </c>
      <c r="P93" s="38">
        <v>5400.0</v>
      </c>
      <c r="Q93" s="39"/>
      <c r="R93" s="39"/>
      <c r="S93" s="39"/>
      <c r="T93" s="39"/>
      <c r="U93" s="39"/>
    </row>
    <row r="94">
      <c r="A94" s="40">
        <f t="shared" si="1"/>
        <v>46006</v>
      </c>
      <c r="B94" s="37" t="str">
        <f t="array" ref="B94">iferror(xlookup($I94, 'IMPORT VHC Report'!$E:$E, 'IMPORT VHC Report'!$A:$C), )</f>
        <v/>
      </c>
      <c r="C94" s="37"/>
      <c r="D94" s="37"/>
      <c r="E94" s="38" t="s">
        <v>241</v>
      </c>
      <c r="F94" s="38" t="s">
        <v>221</v>
      </c>
      <c r="G94" s="38">
        <v>1.1035371839887E13</v>
      </c>
      <c r="H94" s="38" t="s">
        <v>222</v>
      </c>
      <c r="I94" s="38" t="s">
        <v>223</v>
      </c>
      <c r="J94" s="38" t="s">
        <v>134</v>
      </c>
      <c r="K94" s="38" t="s">
        <v>126</v>
      </c>
      <c r="L94" s="41">
        <v>46008.96875</v>
      </c>
      <c r="M94" s="38" t="s">
        <v>123</v>
      </c>
      <c r="N94" s="41">
        <v>46008.979166666664</v>
      </c>
      <c r="O94" s="38" t="s">
        <v>123</v>
      </c>
      <c r="P94" s="38">
        <v>900.0</v>
      </c>
      <c r="Q94" s="39"/>
      <c r="R94" s="39"/>
      <c r="S94" s="39"/>
      <c r="T94" s="39"/>
      <c r="U94" s="39"/>
    </row>
    <row r="95">
      <c r="A95" s="40">
        <f t="shared" si="1"/>
        <v>46006</v>
      </c>
      <c r="B95" s="37" t="str">
        <f t="array" ref="B95">iferror(xlookup($I95, 'IMPORT VHC Report'!$E:$E, 'IMPORT VHC Report'!$A:$C), )</f>
        <v/>
      </c>
      <c r="C95" s="37"/>
      <c r="D95" s="37"/>
      <c r="E95" s="38" t="s">
        <v>242</v>
      </c>
      <c r="F95" s="38" t="s">
        <v>221</v>
      </c>
      <c r="G95" s="38">
        <v>1.1035371839887E13</v>
      </c>
      <c r="H95" s="38" t="s">
        <v>222</v>
      </c>
      <c r="I95" s="38" t="s">
        <v>223</v>
      </c>
      <c r="J95" s="38" t="s">
        <v>224</v>
      </c>
      <c r="K95" s="38" t="s">
        <v>63</v>
      </c>
      <c r="L95" s="41">
        <v>46008.979166666664</v>
      </c>
      <c r="M95" s="38" t="s">
        <v>123</v>
      </c>
      <c r="N95" s="41">
        <v>46009.052083333336</v>
      </c>
      <c r="O95" s="38" t="s">
        <v>123</v>
      </c>
      <c r="P95" s="38">
        <v>6300.0</v>
      </c>
      <c r="Q95" s="39"/>
      <c r="R95" s="39"/>
      <c r="S95" s="39"/>
      <c r="T95" s="39"/>
      <c r="U95" s="39"/>
    </row>
    <row r="96">
      <c r="A96" s="40">
        <f t="shared" si="1"/>
        <v>46006</v>
      </c>
      <c r="B96" s="37" t="str">
        <f t="array" ref="B96">iferror(xlookup($I96, 'IMPORT VHC Report'!$E:$E, 'IMPORT VHC Report'!$A:$C), )</f>
        <v/>
      </c>
      <c r="C96" s="37"/>
      <c r="D96" s="37"/>
      <c r="E96" s="38" t="s">
        <v>243</v>
      </c>
      <c r="F96" s="38" t="s">
        <v>221</v>
      </c>
      <c r="G96" s="38">
        <v>1.1035371839887E13</v>
      </c>
      <c r="H96" s="38" t="s">
        <v>222</v>
      </c>
      <c r="I96" s="38" t="s">
        <v>223</v>
      </c>
      <c r="J96" s="38" t="s">
        <v>132</v>
      </c>
      <c r="K96" s="38" t="s">
        <v>126</v>
      </c>
      <c r="L96" s="41">
        <v>46009.052083333336</v>
      </c>
      <c r="M96" s="38" t="s">
        <v>123</v>
      </c>
      <c r="N96" s="41">
        <v>46009.09375</v>
      </c>
      <c r="O96" s="38" t="s">
        <v>123</v>
      </c>
      <c r="P96" s="38">
        <v>3600.0</v>
      </c>
      <c r="Q96" s="39"/>
      <c r="R96" s="39"/>
      <c r="S96" s="39"/>
      <c r="T96" s="39"/>
      <c r="U96" s="39"/>
    </row>
    <row r="97">
      <c r="A97" s="40">
        <f t="shared" si="1"/>
        <v>46006</v>
      </c>
      <c r="B97" s="37" t="str">
        <f t="array" ref="B97">iferror(xlookup($I97, 'IMPORT VHC Report'!$E:$E, 'IMPORT VHC Report'!$A:$C), )</f>
        <v/>
      </c>
      <c r="C97" s="37"/>
      <c r="D97" s="37"/>
      <c r="E97" s="38" t="s">
        <v>244</v>
      </c>
      <c r="F97" s="38" t="s">
        <v>221</v>
      </c>
      <c r="G97" s="38">
        <v>1.1035371839887E13</v>
      </c>
      <c r="H97" s="38" t="s">
        <v>222</v>
      </c>
      <c r="I97" s="38" t="s">
        <v>223</v>
      </c>
      <c r="J97" s="38" t="s">
        <v>224</v>
      </c>
      <c r="K97" s="38" t="s">
        <v>63</v>
      </c>
      <c r="L97" s="41">
        <v>46009.09375</v>
      </c>
      <c r="M97" s="38" t="s">
        <v>123</v>
      </c>
      <c r="N97" s="41">
        <v>46009.166666666664</v>
      </c>
      <c r="O97" s="38" t="s">
        <v>123</v>
      </c>
      <c r="P97" s="38">
        <v>6300.0</v>
      </c>
      <c r="Q97" s="39"/>
      <c r="R97" s="39"/>
      <c r="S97" s="39"/>
      <c r="T97" s="39"/>
      <c r="U97" s="39"/>
    </row>
    <row r="98">
      <c r="A98" s="40">
        <f t="shared" si="1"/>
        <v>46006</v>
      </c>
      <c r="B98" s="37" t="str">
        <f t="array" ref="B98">iferror(xlookup($I98, 'IMPORT VHC Report'!$E:$E, 'IMPORT VHC Report'!$A:$C), )</f>
        <v/>
      </c>
      <c r="C98" s="37"/>
      <c r="D98" s="37"/>
      <c r="E98" s="38" t="s">
        <v>245</v>
      </c>
      <c r="F98" s="38" t="s">
        <v>221</v>
      </c>
      <c r="G98" s="38">
        <v>1.1035371839887E13</v>
      </c>
      <c r="H98" s="38" t="s">
        <v>222</v>
      </c>
      <c r="I98" s="38" t="s">
        <v>223</v>
      </c>
      <c r="J98" s="38" t="s">
        <v>224</v>
      </c>
      <c r="K98" s="38" t="s">
        <v>63</v>
      </c>
      <c r="L98" s="41">
        <v>46009.791666666664</v>
      </c>
      <c r="M98" s="38" t="s">
        <v>123</v>
      </c>
      <c r="N98" s="41">
        <v>46009.895833333336</v>
      </c>
      <c r="O98" s="38" t="s">
        <v>123</v>
      </c>
      <c r="P98" s="38">
        <v>9000.0</v>
      </c>
      <c r="Q98" s="39"/>
      <c r="R98" s="39"/>
      <c r="S98" s="39"/>
      <c r="T98" s="39"/>
      <c r="U98" s="39"/>
    </row>
    <row r="99">
      <c r="A99" s="40">
        <f t="shared" si="1"/>
        <v>46006</v>
      </c>
      <c r="B99" s="37" t="str">
        <f t="array" ref="B99">iferror(xlookup($I99, 'IMPORT VHC Report'!$E:$E, 'IMPORT VHC Report'!$A:$C), )</f>
        <v/>
      </c>
      <c r="C99" s="37"/>
      <c r="D99" s="37"/>
      <c r="E99" s="38" t="s">
        <v>246</v>
      </c>
      <c r="F99" s="38" t="s">
        <v>221</v>
      </c>
      <c r="G99" s="38">
        <v>1.1035371839887E13</v>
      </c>
      <c r="H99" s="38" t="s">
        <v>222</v>
      </c>
      <c r="I99" s="38" t="s">
        <v>223</v>
      </c>
      <c r="J99" s="38" t="s">
        <v>125</v>
      </c>
      <c r="K99" s="38" t="s">
        <v>126</v>
      </c>
      <c r="L99" s="41">
        <v>46009.791666666664</v>
      </c>
      <c r="M99" s="38" t="s">
        <v>123</v>
      </c>
      <c r="N99" s="41">
        <v>46009.958333333336</v>
      </c>
      <c r="O99" s="38" t="s">
        <v>123</v>
      </c>
      <c r="P99" s="38">
        <v>14400.0</v>
      </c>
      <c r="Q99" s="39"/>
      <c r="R99" s="39"/>
      <c r="S99" s="38" t="s">
        <v>247</v>
      </c>
      <c r="T99" s="39"/>
      <c r="U99" s="39"/>
    </row>
    <row r="100">
      <c r="A100" s="40">
        <f t="shared" si="1"/>
        <v>46006</v>
      </c>
      <c r="B100" s="37" t="str">
        <f t="array" ref="B100">iferror(xlookup($I100, 'IMPORT VHC Report'!$E:$E, 'IMPORT VHC Report'!$A:$C), )</f>
        <v/>
      </c>
      <c r="C100" s="37"/>
      <c r="D100" s="37"/>
      <c r="E100" s="38" t="s">
        <v>248</v>
      </c>
      <c r="F100" s="38" t="s">
        <v>221</v>
      </c>
      <c r="G100" s="38">
        <v>1.1035371839887E13</v>
      </c>
      <c r="H100" s="38" t="s">
        <v>222</v>
      </c>
      <c r="I100" s="38" t="s">
        <v>223</v>
      </c>
      <c r="J100" s="38" t="s">
        <v>224</v>
      </c>
      <c r="K100" s="38" t="s">
        <v>63</v>
      </c>
      <c r="L100" s="41">
        <v>46009.9375</v>
      </c>
      <c r="M100" s="38" t="s">
        <v>123</v>
      </c>
      <c r="N100" s="41">
        <v>46010.0</v>
      </c>
      <c r="O100" s="38" t="s">
        <v>123</v>
      </c>
      <c r="P100" s="38">
        <v>5400.0</v>
      </c>
      <c r="Q100" s="39"/>
      <c r="R100" s="39"/>
      <c r="S100" s="39"/>
      <c r="T100" s="39"/>
      <c r="U100" s="39"/>
    </row>
    <row r="101">
      <c r="A101" s="40">
        <f t="shared" si="1"/>
        <v>46006</v>
      </c>
      <c r="B101" s="37" t="str">
        <f t="array" ref="B101">iferror(xlookup($I101, 'IMPORT VHC Report'!$E:$E, 'IMPORT VHC Report'!$A:$C), )</f>
        <v/>
      </c>
      <c r="C101" s="37"/>
      <c r="D101" s="37"/>
      <c r="E101" s="38" t="s">
        <v>249</v>
      </c>
      <c r="F101" s="38" t="s">
        <v>221</v>
      </c>
      <c r="G101" s="38">
        <v>1.1035371839887E13</v>
      </c>
      <c r="H101" s="38" t="s">
        <v>222</v>
      </c>
      <c r="I101" s="38" t="s">
        <v>223</v>
      </c>
      <c r="J101" s="38" t="s">
        <v>132</v>
      </c>
      <c r="K101" s="38" t="s">
        <v>126</v>
      </c>
      <c r="L101" s="41">
        <v>46009.958333333336</v>
      </c>
      <c r="M101" s="38" t="s">
        <v>123</v>
      </c>
      <c r="N101" s="41">
        <v>46010.0</v>
      </c>
      <c r="O101" s="38" t="s">
        <v>123</v>
      </c>
      <c r="P101" s="38">
        <v>3600.0</v>
      </c>
      <c r="Q101" s="39"/>
      <c r="R101" s="39"/>
      <c r="S101" s="39"/>
      <c r="T101" s="39"/>
      <c r="U101" s="39"/>
    </row>
    <row r="102">
      <c r="A102" s="40">
        <f t="shared" si="1"/>
        <v>46006</v>
      </c>
      <c r="B102" s="37" t="str">
        <f t="array" ref="B102">iferror(xlookup($I102, 'IMPORT VHC Report'!$E:$E, 'IMPORT VHC Report'!$A:$C), )</f>
        <v/>
      </c>
      <c r="C102" s="37"/>
      <c r="D102" s="37"/>
      <c r="E102" s="38" t="s">
        <v>250</v>
      </c>
      <c r="F102" s="38" t="s">
        <v>221</v>
      </c>
      <c r="G102" s="38">
        <v>1.1035371839887E13</v>
      </c>
      <c r="H102" s="38" t="s">
        <v>222</v>
      </c>
      <c r="I102" s="38" t="s">
        <v>223</v>
      </c>
      <c r="J102" s="38" t="s">
        <v>178</v>
      </c>
      <c r="K102" s="38" t="s">
        <v>153</v>
      </c>
      <c r="L102" s="41">
        <v>46010.0</v>
      </c>
      <c r="M102" s="38" t="s">
        <v>123</v>
      </c>
      <c r="N102" s="41">
        <v>46010.166666666664</v>
      </c>
      <c r="O102" s="38" t="s">
        <v>123</v>
      </c>
      <c r="P102" s="38">
        <v>14400.0</v>
      </c>
      <c r="Q102" s="38">
        <v>14400.0</v>
      </c>
      <c r="R102" s="38" t="s">
        <v>251</v>
      </c>
      <c r="S102" s="38" t="s">
        <v>251</v>
      </c>
      <c r="T102" s="39"/>
      <c r="U102" s="39"/>
    </row>
    <row r="103">
      <c r="A103" s="40">
        <f t="shared" si="1"/>
        <v>46006</v>
      </c>
      <c r="B103" s="37" t="str">
        <f t="array" ref="B103">iferror(xlookup($I103, 'IMPORT VHC Report'!$E:$E, 'IMPORT VHC Report'!$A:$C), )</f>
        <v/>
      </c>
      <c r="C103" s="37"/>
      <c r="D103" s="37"/>
      <c r="E103" s="38" t="s">
        <v>252</v>
      </c>
      <c r="F103" s="38" t="s">
        <v>221</v>
      </c>
      <c r="G103" s="38">
        <v>1.1035371839887E13</v>
      </c>
      <c r="H103" s="38" t="s">
        <v>222</v>
      </c>
      <c r="I103" s="38" t="s">
        <v>223</v>
      </c>
      <c r="J103" s="38" t="s">
        <v>224</v>
      </c>
      <c r="K103" s="38" t="s">
        <v>63</v>
      </c>
      <c r="L103" s="41">
        <v>46010.010416666664</v>
      </c>
      <c r="M103" s="38" t="s">
        <v>123</v>
      </c>
      <c r="N103" s="41">
        <v>46010.072916666664</v>
      </c>
      <c r="O103" s="38" t="s">
        <v>123</v>
      </c>
      <c r="P103" s="38">
        <v>5400.0</v>
      </c>
      <c r="Q103" s="39"/>
      <c r="R103" s="39"/>
      <c r="S103" s="39"/>
      <c r="T103" s="39"/>
      <c r="U103" s="39"/>
    </row>
    <row r="104">
      <c r="A104" s="40">
        <f t="shared" si="1"/>
        <v>46006</v>
      </c>
      <c r="B104" s="37" t="str">
        <f t="array" ref="B104">iferror(xlookup($I104, 'IMPORT VHC Report'!$E:$E, 'IMPORT VHC Report'!$A:$C), )</f>
        <v/>
      </c>
      <c r="C104" s="37"/>
      <c r="D104" s="37"/>
      <c r="E104" s="38" t="s">
        <v>253</v>
      </c>
      <c r="F104" s="38" t="s">
        <v>221</v>
      </c>
      <c r="G104" s="38">
        <v>1.1035371839887E13</v>
      </c>
      <c r="H104" s="38" t="s">
        <v>222</v>
      </c>
      <c r="I104" s="38" t="s">
        <v>223</v>
      </c>
      <c r="J104" s="38" t="s">
        <v>134</v>
      </c>
      <c r="K104" s="38" t="s">
        <v>126</v>
      </c>
      <c r="L104" s="41">
        <v>46010.072916666664</v>
      </c>
      <c r="M104" s="38" t="s">
        <v>123</v>
      </c>
      <c r="N104" s="41">
        <v>46010.083333333336</v>
      </c>
      <c r="O104" s="38" t="s">
        <v>123</v>
      </c>
      <c r="P104" s="38">
        <v>900.0</v>
      </c>
      <c r="Q104" s="39"/>
      <c r="R104" s="39"/>
      <c r="S104" s="39"/>
      <c r="T104" s="39"/>
      <c r="U104" s="39"/>
    </row>
    <row r="105">
      <c r="A105" s="40">
        <f t="shared" si="1"/>
        <v>46006</v>
      </c>
      <c r="B105" s="37" t="str">
        <f t="array" ref="B105">iferror(xlookup($I105, 'IMPORT VHC Report'!$E:$E, 'IMPORT VHC Report'!$A:$C), )</f>
        <v/>
      </c>
      <c r="C105" s="37"/>
      <c r="D105" s="37"/>
      <c r="E105" s="38" t="s">
        <v>254</v>
      </c>
      <c r="F105" s="38" t="s">
        <v>221</v>
      </c>
      <c r="G105" s="38">
        <v>1.1035371839887E13</v>
      </c>
      <c r="H105" s="38" t="s">
        <v>222</v>
      </c>
      <c r="I105" s="38" t="s">
        <v>223</v>
      </c>
      <c r="J105" s="38" t="s">
        <v>224</v>
      </c>
      <c r="K105" s="38" t="s">
        <v>63</v>
      </c>
      <c r="L105" s="41">
        <v>46010.083333333336</v>
      </c>
      <c r="M105" s="38" t="s">
        <v>123</v>
      </c>
      <c r="N105" s="41">
        <v>46010.166666666664</v>
      </c>
      <c r="O105" s="38" t="s">
        <v>123</v>
      </c>
      <c r="P105" s="38">
        <v>7200.0</v>
      </c>
      <c r="Q105" s="39"/>
      <c r="R105" s="39"/>
      <c r="S105" s="39"/>
      <c r="T105" s="39"/>
      <c r="U105" s="39"/>
    </row>
    <row r="106">
      <c r="A106" s="40">
        <f t="shared" si="1"/>
        <v>46006</v>
      </c>
      <c r="B106" s="37" t="str">
        <f t="array" ref="B106">iferror(xlookup($I106, 'IMPORT VHC Report'!$E:$E, 'IMPORT VHC Report'!$A:$C), )</f>
        <v/>
      </c>
      <c r="C106" s="37"/>
      <c r="D106" s="37"/>
      <c r="E106" s="38" t="s">
        <v>255</v>
      </c>
      <c r="F106" s="38" t="s">
        <v>221</v>
      </c>
      <c r="G106" s="38">
        <v>1.1035371839887E13</v>
      </c>
      <c r="H106" s="38" t="s">
        <v>222</v>
      </c>
      <c r="I106" s="38" t="s">
        <v>223</v>
      </c>
      <c r="J106" s="38" t="s">
        <v>125</v>
      </c>
      <c r="K106" s="38" t="s">
        <v>126</v>
      </c>
      <c r="L106" s="41">
        <v>46012.833333333336</v>
      </c>
      <c r="M106" s="38" t="s">
        <v>123</v>
      </c>
      <c r="N106" s="41">
        <v>46012.854166666664</v>
      </c>
      <c r="O106" s="38" t="s">
        <v>123</v>
      </c>
      <c r="P106" s="38">
        <v>1800.0</v>
      </c>
      <c r="Q106" s="39"/>
      <c r="R106" s="39"/>
      <c r="S106" s="38" t="s">
        <v>256</v>
      </c>
      <c r="T106" s="39"/>
      <c r="U106" s="39"/>
    </row>
    <row r="107">
      <c r="A107" s="40">
        <f t="shared" si="1"/>
        <v>46006</v>
      </c>
      <c r="B107" s="37" t="str">
        <f t="array" ref="B107">iferror(xlookup($I107, 'IMPORT VHC Report'!$E:$E, 'IMPORT VHC Report'!$A:$C), )</f>
        <v/>
      </c>
      <c r="C107" s="37"/>
      <c r="D107" s="37"/>
      <c r="E107" s="38" t="s">
        <v>257</v>
      </c>
      <c r="F107" s="38" t="s">
        <v>221</v>
      </c>
      <c r="G107" s="38">
        <v>1.1035371839887E13</v>
      </c>
      <c r="H107" s="38" t="s">
        <v>222</v>
      </c>
      <c r="I107" s="38" t="s">
        <v>223</v>
      </c>
      <c r="J107" s="38" t="s">
        <v>224</v>
      </c>
      <c r="K107" s="38" t="s">
        <v>63</v>
      </c>
      <c r="L107" s="41">
        <v>46012.854166666664</v>
      </c>
      <c r="M107" s="38" t="s">
        <v>123</v>
      </c>
      <c r="N107" s="41">
        <v>46012.875</v>
      </c>
      <c r="O107" s="38" t="s">
        <v>123</v>
      </c>
      <c r="P107" s="38">
        <v>1800.0</v>
      </c>
      <c r="Q107" s="39"/>
      <c r="R107" s="39"/>
      <c r="S107" s="39"/>
      <c r="T107" s="39"/>
      <c r="U107" s="39"/>
    </row>
    <row r="108">
      <c r="A108" s="40">
        <f t="shared" si="1"/>
        <v>46006</v>
      </c>
      <c r="B108" s="37" t="str">
        <f t="array" ref="B108">iferror(xlookup($I108, 'IMPORT VHC Report'!$E:$E, 'IMPORT VHC Report'!$A:$C), )</f>
        <v/>
      </c>
      <c r="C108" s="37"/>
      <c r="D108" s="37"/>
      <c r="E108" s="38" t="s">
        <v>258</v>
      </c>
      <c r="F108" s="38" t="s">
        <v>221</v>
      </c>
      <c r="G108" s="38">
        <v>1.1035371839887E13</v>
      </c>
      <c r="H108" s="38" t="s">
        <v>222</v>
      </c>
      <c r="I108" s="38" t="s">
        <v>223</v>
      </c>
      <c r="J108" s="38" t="s">
        <v>134</v>
      </c>
      <c r="K108" s="38" t="s">
        <v>126</v>
      </c>
      <c r="L108" s="41">
        <v>46012.875</v>
      </c>
      <c r="M108" s="38" t="s">
        <v>123</v>
      </c>
      <c r="N108" s="41">
        <v>46012.885416666664</v>
      </c>
      <c r="O108" s="38" t="s">
        <v>123</v>
      </c>
      <c r="P108" s="38">
        <v>900.0</v>
      </c>
      <c r="Q108" s="39"/>
      <c r="R108" s="39"/>
      <c r="S108" s="39"/>
      <c r="T108" s="39"/>
      <c r="U108" s="39"/>
    </row>
    <row r="109">
      <c r="A109" s="40">
        <f t="shared" si="1"/>
        <v>46006</v>
      </c>
      <c r="B109" s="37" t="str">
        <f t="array" ref="B109">iferror(xlookup($I109, 'IMPORT VHC Report'!$E:$E, 'IMPORT VHC Report'!$A:$C), )</f>
        <v/>
      </c>
      <c r="C109" s="37"/>
      <c r="D109" s="37"/>
      <c r="E109" s="38" t="s">
        <v>259</v>
      </c>
      <c r="F109" s="38" t="s">
        <v>221</v>
      </c>
      <c r="G109" s="38">
        <v>1.1035371839887E13</v>
      </c>
      <c r="H109" s="38" t="s">
        <v>222</v>
      </c>
      <c r="I109" s="38" t="s">
        <v>223</v>
      </c>
      <c r="J109" s="38" t="s">
        <v>224</v>
      </c>
      <c r="K109" s="38" t="s">
        <v>63</v>
      </c>
      <c r="L109" s="41">
        <v>46012.885416666664</v>
      </c>
      <c r="M109" s="38" t="s">
        <v>123</v>
      </c>
      <c r="N109" s="41">
        <v>46012.979166666664</v>
      </c>
      <c r="O109" s="38" t="s">
        <v>123</v>
      </c>
      <c r="P109" s="38">
        <v>8100.0</v>
      </c>
      <c r="Q109" s="39"/>
      <c r="R109" s="39"/>
      <c r="S109" s="39"/>
      <c r="T109" s="39"/>
      <c r="U109" s="39"/>
    </row>
    <row r="110">
      <c r="A110" s="40">
        <f t="shared" si="1"/>
        <v>46006</v>
      </c>
      <c r="B110" s="37" t="str">
        <f t="array" ref="B110">iferror(xlookup($I110, 'IMPORT VHC Report'!$E:$E, 'IMPORT VHC Report'!$A:$C), )</f>
        <v/>
      </c>
      <c r="C110" s="37"/>
      <c r="D110" s="37"/>
      <c r="E110" s="38" t="s">
        <v>260</v>
      </c>
      <c r="F110" s="38" t="s">
        <v>221</v>
      </c>
      <c r="G110" s="38">
        <v>1.1035371839887E13</v>
      </c>
      <c r="H110" s="38" t="s">
        <v>222</v>
      </c>
      <c r="I110" s="38" t="s">
        <v>223</v>
      </c>
      <c r="J110" s="38" t="s">
        <v>132</v>
      </c>
      <c r="K110" s="38" t="s">
        <v>126</v>
      </c>
      <c r="L110" s="41">
        <v>46012.979166666664</v>
      </c>
      <c r="M110" s="38" t="s">
        <v>123</v>
      </c>
      <c r="N110" s="41">
        <v>46013.020833333336</v>
      </c>
      <c r="O110" s="38" t="s">
        <v>123</v>
      </c>
      <c r="P110" s="38">
        <v>3600.0</v>
      </c>
      <c r="Q110" s="39"/>
      <c r="R110" s="39"/>
      <c r="S110" s="39"/>
      <c r="T110" s="39"/>
      <c r="U110" s="39"/>
    </row>
    <row r="111">
      <c r="A111" s="40">
        <f t="shared" si="1"/>
        <v>46006</v>
      </c>
      <c r="B111" s="37" t="str">
        <f t="array" ref="B111">iferror(xlookup($I111, 'IMPORT VHC Report'!$E:$E, 'IMPORT VHC Report'!$A:$C), )</f>
        <v/>
      </c>
      <c r="C111" s="37"/>
      <c r="D111" s="37"/>
      <c r="E111" s="38" t="s">
        <v>261</v>
      </c>
      <c r="F111" s="38" t="s">
        <v>221</v>
      </c>
      <c r="G111" s="38">
        <v>1.1035371839887E13</v>
      </c>
      <c r="H111" s="38" t="s">
        <v>222</v>
      </c>
      <c r="I111" s="38" t="s">
        <v>223</v>
      </c>
      <c r="J111" s="38" t="s">
        <v>224</v>
      </c>
      <c r="K111" s="38" t="s">
        <v>63</v>
      </c>
      <c r="L111" s="41">
        <v>46012.979166666664</v>
      </c>
      <c r="M111" s="38" t="s">
        <v>123</v>
      </c>
      <c r="N111" s="41">
        <v>46013.166666666664</v>
      </c>
      <c r="O111" s="38" t="s">
        <v>123</v>
      </c>
      <c r="P111" s="38">
        <v>16200.0</v>
      </c>
      <c r="Q111" s="39"/>
      <c r="R111" s="39"/>
      <c r="S111" s="39"/>
      <c r="T111" s="39"/>
      <c r="U111" s="39"/>
    </row>
    <row r="112">
      <c r="A112" s="40">
        <f t="shared" si="1"/>
        <v>45999</v>
      </c>
      <c r="B112" s="37" t="str">
        <f t="array" ref="B112">iferror(xlookup($I112, 'IMPORT VHC Report'!$E:$E, 'IMPORT VHC Report'!$A:$C), )</f>
        <v/>
      </c>
      <c r="C112" s="37"/>
      <c r="D112" s="37"/>
      <c r="E112" s="38" t="s">
        <v>262</v>
      </c>
      <c r="F112" s="38" t="s">
        <v>263</v>
      </c>
      <c r="G112" s="38">
        <v>9.586394042255E12</v>
      </c>
      <c r="H112" s="38" t="s">
        <v>264</v>
      </c>
      <c r="I112" s="38" t="s">
        <v>265</v>
      </c>
      <c r="J112" s="38" t="s">
        <v>178</v>
      </c>
      <c r="K112" s="38" t="s">
        <v>153</v>
      </c>
      <c r="L112" s="41">
        <v>46005.791666666664</v>
      </c>
      <c r="M112" s="38" t="s">
        <v>123</v>
      </c>
      <c r="N112" s="41">
        <v>46006.166666666664</v>
      </c>
      <c r="O112" s="38" t="s">
        <v>123</v>
      </c>
      <c r="P112" s="38">
        <v>32400.0</v>
      </c>
      <c r="Q112" s="38">
        <v>28800.0</v>
      </c>
      <c r="R112" s="39"/>
      <c r="S112" s="39"/>
      <c r="T112" s="39"/>
      <c r="U112" s="39"/>
    </row>
    <row r="113">
      <c r="A113" s="40">
        <f t="shared" si="1"/>
        <v>45999</v>
      </c>
      <c r="B113" s="37" t="str">
        <f t="array" ref="B113">iferror(xlookup($I113, 'IMPORT VHC Report'!$E:$E, 'IMPORT VHC Report'!$A:$C), )</f>
        <v/>
      </c>
      <c r="C113" s="37"/>
      <c r="D113" s="37"/>
      <c r="E113" s="38" t="s">
        <v>266</v>
      </c>
      <c r="F113" s="38" t="s">
        <v>263</v>
      </c>
      <c r="G113" s="38">
        <v>9.586394042255E12</v>
      </c>
      <c r="H113" s="38" t="s">
        <v>264</v>
      </c>
      <c r="I113" s="38" t="s">
        <v>265</v>
      </c>
      <c r="J113" s="38" t="s">
        <v>196</v>
      </c>
      <c r="K113" s="38" t="s">
        <v>63</v>
      </c>
      <c r="L113" s="41">
        <v>46005.791666666664</v>
      </c>
      <c r="M113" s="38" t="s">
        <v>123</v>
      </c>
      <c r="N113" s="41">
        <v>46006.166666666664</v>
      </c>
      <c r="O113" s="38" t="s">
        <v>123</v>
      </c>
      <c r="P113" s="38">
        <v>32400.0</v>
      </c>
      <c r="Q113" s="39"/>
      <c r="R113" s="39"/>
      <c r="S113" s="39"/>
      <c r="T113" s="39"/>
      <c r="U113" s="39"/>
    </row>
    <row r="114">
      <c r="A114" s="40">
        <f t="shared" si="1"/>
        <v>46006</v>
      </c>
      <c r="B114" s="37" t="str">
        <f t="array" ref="B114">iferror(xlookup($I114, 'IMPORT VHC Report'!$E:$E, 'IMPORT VHC Report'!$A:$C), )</f>
        <v/>
      </c>
      <c r="C114" s="37"/>
      <c r="D114" s="37"/>
      <c r="E114" s="38" t="s">
        <v>267</v>
      </c>
      <c r="F114" s="38" t="s">
        <v>263</v>
      </c>
      <c r="G114" s="38">
        <v>9.586394042255E12</v>
      </c>
      <c r="H114" s="38" t="s">
        <v>264</v>
      </c>
      <c r="I114" s="38" t="s">
        <v>265</v>
      </c>
      <c r="J114" s="38" t="s">
        <v>134</v>
      </c>
      <c r="K114" s="38" t="s">
        <v>126</v>
      </c>
      <c r="L114" s="41">
        <v>46006.072916666664</v>
      </c>
      <c r="M114" s="38" t="s">
        <v>123</v>
      </c>
      <c r="N114" s="41">
        <v>46006.09375</v>
      </c>
      <c r="O114" s="38" t="s">
        <v>123</v>
      </c>
      <c r="P114" s="38">
        <v>1800.0</v>
      </c>
      <c r="Q114" s="39"/>
      <c r="R114" s="39"/>
      <c r="S114" s="39"/>
      <c r="T114" s="39"/>
      <c r="U114" s="39"/>
    </row>
    <row r="115">
      <c r="A115" s="40">
        <f t="shared" si="1"/>
        <v>46006</v>
      </c>
      <c r="B115" s="37" t="str">
        <f t="array" ref="B115">iferror(xlookup($I115, 'IMPORT VHC Report'!$E:$E, 'IMPORT VHC Report'!$A:$C), )</f>
        <v/>
      </c>
      <c r="C115" s="37"/>
      <c r="D115" s="37"/>
      <c r="E115" s="38" t="s">
        <v>268</v>
      </c>
      <c r="F115" s="38" t="s">
        <v>263</v>
      </c>
      <c r="G115" s="38">
        <v>9.586394042255E12</v>
      </c>
      <c r="H115" s="38" t="s">
        <v>264</v>
      </c>
      <c r="I115" s="38" t="s">
        <v>265</v>
      </c>
      <c r="J115" s="38" t="s">
        <v>125</v>
      </c>
      <c r="K115" s="38" t="s">
        <v>126</v>
      </c>
      <c r="L115" s="41">
        <v>46006.791666666664</v>
      </c>
      <c r="M115" s="38" t="s">
        <v>123</v>
      </c>
      <c r="N115" s="41">
        <v>46006.802083333336</v>
      </c>
      <c r="O115" s="38" t="s">
        <v>123</v>
      </c>
      <c r="P115" s="38">
        <v>900.0</v>
      </c>
      <c r="Q115" s="39"/>
      <c r="R115" s="39"/>
      <c r="S115" s="38" t="s">
        <v>199</v>
      </c>
      <c r="T115" s="39"/>
      <c r="U115" s="39"/>
    </row>
    <row r="116">
      <c r="A116" s="40">
        <f t="shared" si="1"/>
        <v>46006</v>
      </c>
      <c r="B116" s="37" t="str">
        <f t="array" ref="B116">iferror(xlookup($I116, 'IMPORT VHC Report'!$E:$E, 'IMPORT VHC Report'!$A:$C), )</f>
        <v/>
      </c>
      <c r="C116" s="37"/>
      <c r="D116" s="37"/>
      <c r="E116" s="38" t="s">
        <v>269</v>
      </c>
      <c r="F116" s="38" t="s">
        <v>263</v>
      </c>
      <c r="G116" s="38">
        <v>9.586394042255E12</v>
      </c>
      <c r="H116" s="38" t="s">
        <v>264</v>
      </c>
      <c r="I116" s="38" t="s">
        <v>265</v>
      </c>
      <c r="J116" s="38" t="s">
        <v>196</v>
      </c>
      <c r="K116" s="38" t="s">
        <v>63</v>
      </c>
      <c r="L116" s="41">
        <v>46006.791666666664</v>
      </c>
      <c r="M116" s="38" t="s">
        <v>123</v>
      </c>
      <c r="N116" s="41">
        <v>46007.166666666664</v>
      </c>
      <c r="O116" s="38" t="s">
        <v>123</v>
      </c>
      <c r="P116" s="38">
        <v>32400.0</v>
      </c>
      <c r="Q116" s="39"/>
      <c r="R116" s="39"/>
      <c r="S116" s="39"/>
      <c r="T116" s="39"/>
      <c r="U116" s="39"/>
    </row>
    <row r="117">
      <c r="A117" s="40">
        <f t="shared" si="1"/>
        <v>46006</v>
      </c>
      <c r="B117" s="37" t="str">
        <f t="array" ref="B117">iferror(xlookup($I117, 'IMPORT VHC Report'!$E:$E, 'IMPORT VHC Report'!$A:$C), )</f>
        <v/>
      </c>
      <c r="C117" s="37"/>
      <c r="D117" s="37"/>
      <c r="E117" s="38" t="s">
        <v>270</v>
      </c>
      <c r="F117" s="38" t="s">
        <v>263</v>
      </c>
      <c r="G117" s="38">
        <v>9.586394042255E12</v>
      </c>
      <c r="H117" s="38" t="s">
        <v>264</v>
      </c>
      <c r="I117" s="38" t="s">
        <v>265</v>
      </c>
      <c r="J117" s="38" t="s">
        <v>132</v>
      </c>
      <c r="K117" s="38" t="s">
        <v>126</v>
      </c>
      <c r="L117" s="41">
        <v>46006.927083333336</v>
      </c>
      <c r="M117" s="38" t="s">
        <v>123</v>
      </c>
      <c r="N117" s="41">
        <v>46006.96875</v>
      </c>
      <c r="O117" s="38" t="s">
        <v>123</v>
      </c>
      <c r="P117" s="38">
        <v>3600.0</v>
      </c>
      <c r="Q117" s="39"/>
      <c r="R117" s="39"/>
      <c r="S117" s="39"/>
      <c r="T117" s="39"/>
      <c r="U117" s="39"/>
    </row>
    <row r="118">
      <c r="A118" s="40">
        <f t="shared" si="1"/>
        <v>46006</v>
      </c>
      <c r="B118" s="37" t="str">
        <f t="array" ref="B118">iferror(xlookup($I118, 'IMPORT VHC Report'!$E:$E, 'IMPORT VHC Report'!$A:$C), )</f>
        <v/>
      </c>
      <c r="C118" s="37"/>
      <c r="D118" s="37"/>
      <c r="E118" s="38" t="s">
        <v>271</v>
      </c>
      <c r="F118" s="38" t="s">
        <v>263</v>
      </c>
      <c r="G118" s="38">
        <v>9.586394042255E12</v>
      </c>
      <c r="H118" s="38" t="s">
        <v>264</v>
      </c>
      <c r="I118" s="38" t="s">
        <v>265</v>
      </c>
      <c r="J118" s="38" t="s">
        <v>134</v>
      </c>
      <c r="K118" s="38" t="s">
        <v>126</v>
      </c>
      <c r="L118" s="41">
        <v>46007.083333333336</v>
      </c>
      <c r="M118" s="38" t="s">
        <v>123</v>
      </c>
      <c r="N118" s="41">
        <v>46007.104166666664</v>
      </c>
      <c r="O118" s="38" t="s">
        <v>123</v>
      </c>
      <c r="P118" s="38">
        <v>1800.0</v>
      </c>
      <c r="Q118" s="39"/>
      <c r="R118" s="39"/>
      <c r="S118" s="39"/>
      <c r="T118" s="39"/>
      <c r="U118" s="39"/>
    </row>
    <row r="119">
      <c r="A119" s="40">
        <f t="shared" si="1"/>
        <v>46006</v>
      </c>
      <c r="B119" s="37" t="str">
        <f t="array" ref="B119">iferror(xlookup($I119, 'IMPORT VHC Report'!$E:$E, 'IMPORT VHC Report'!$A:$C), )</f>
        <v/>
      </c>
      <c r="C119" s="37"/>
      <c r="D119" s="37"/>
      <c r="E119" s="38" t="s">
        <v>272</v>
      </c>
      <c r="F119" s="38" t="s">
        <v>263</v>
      </c>
      <c r="G119" s="38">
        <v>9.586394042255E12</v>
      </c>
      <c r="H119" s="38" t="s">
        <v>264</v>
      </c>
      <c r="I119" s="38" t="s">
        <v>265</v>
      </c>
      <c r="J119" s="38" t="s">
        <v>125</v>
      </c>
      <c r="K119" s="38" t="s">
        <v>126</v>
      </c>
      <c r="L119" s="41">
        <v>46007.791666666664</v>
      </c>
      <c r="M119" s="38" t="s">
        <v>123</v>
      </c>
      <c r="N119" s="41">
        <v>46007.802083333336</v>
      </c>
      <c r="O119" s="38" t="s">
        <v>123</v>
      </c>
      <c r="P119" s="38">
        <v>900.0</v>
      </c>
      <c r="Q119" s="39"/>
      <c r="R119" s="39"/>
      <c r="S119" s="38" t="s">
        <v>199</v>
      </c>
      <c r="T119" s="39"/>
      <c r="U119" s="39"/>
    </row>
    <row r="120">
      <c r="A120" s="40">
        <f t="shared" si="1"/>
        <v>46006</v>
      </c>
      <c r="B120" s="37" t="str">
        <f t="array" ref="B120">iferror(xlookup($I120, 'IMPORT VHC Report'!$E:$E, 'IMPORT VHC Report'!$A:$C), )</f>
        <v/>
      </c>
      <c r="C120" s="37"/>
      <c r="D120" s="37"/>
      <c r="E120" s="38" t="s">
        <v>273</v>
      </c>
      <c r="F120" s="38" t="s">
        <v>263</v>
      </c>
      <c r="G120" s="38">
        <v>9.586394042255E12</v>
      </c>
      <c r="H120" s="38" t="s">
        <v>264</v>
      </c>
      <c r="I120" s="38" t="s">
        <v>265</v>
      </c>
      <c r="J120" s="38" t="s">
        <v>196</v>
      </c>
      <c r="K120" s="38" t="s">
        <v>63</v>
      </c>
      <c r="L120" s="41">
        <v>46007.791666666664</v>
      </c>
      <c r="M120" s="38" t="s">
        <v>123</v>
      </c>
      <c r="N120" s="41">
        <v>46008.166666666664</v>
      </c>
      <c r="O120" s="38" t="s">
        <v>123</v>
      </c>
      <c r="P120" s="38">
        <v>32400.0</v>
      </c>
      <c r="Q120" s="39"/>
      <c r="R120" s="39"/>
      <c r="S120" s="39"/>
      <c r="T120" s="39"/>
      <c r="U120" s="39"/>
    </row>
    <row r="121">
      <c r="A121" s="40">
        <f t="shared" si="1"/>
        <v>46006</v>
      </c>
      <c r="B121" s="37" t="str">
        <f t="array" ref="B121">iferror(xlookup($I121, 'IMPORT VHC Report'!$E:$E, 'IMPORT VHC Report'!$A:$C), )</f>
        <v/>
      </c>
      <c r="C121" s="37"/>
      <c r="D121" s="37"/>
      <c r="E121" s="38" t="s">
        <v>274</v>
      </c>
      <c r="F121" s="38" t="s">
        <v>263</v>
      </c>
      <c r="G121" s="38">
        <v>9.586394042255E12</v>
      </c>
      <c r="H121" s="38" t="s">
        <v>264</v>
      </c>
      <c r="I121" s="38" t="s">
        <v>265</v>
      </c>
      <c r="J121" s="38" t="s">
        <v>136</v>
      </c>
      <c r="K121" s="38" t="s">
        <v>126</v>
      </c>
      <c r="L121" s="41">
        <v>46007.916666666664</v>
      </c>
      <c r="M121" s="38" t="s">
        <v>123</v>
      </c>
      <c r="N121" s="41">
        <v>46007.958333333336</v>
      </c>
      <c r="O121" s="38" t="s">
        <v>123</v>
      </c>
      <c r="P121" s="38">
        <v>3600.0</v>
      </c>
      <c r="Q121" s="39"/>
      <c r="R121" s="39"/>
      <c r="S121" s="38" t="s">
        <v>275</v>
      </c>
      <c r="T121" s="39"/>
      <c r="U121" s="39"/>
    </row>
    <row r="122">
      <c r="A122" s="40">
        <f t="shared" si="1"/>
        <v>46006</v>
      </c>
      <c r="B122" s="37" t="str">
        <f t="array" ref="B122">iferror(xlookup($I122, 'IMPORT VHC Report'!$E:$E, 'IMPORT VHC Report'!$A:$C), )</f>
        <v/>
      </c>
      <c r="C122" s="37"/>
      <c r="D122" s="37"/>
      <c r="E122" s="38" t="s">
        <v>276</v>
      </c>
      <c r="F122" s="38" t="s">
        <v>263</v>
      </c>
      <c r="G122" s="38">
        <v>9.586394042255E12</v>
      </c>
      <c r="H122" s="38" t="s">
        <v>264</v>
      </c>
      <c r="I122" s="38" t="s">
        <v>265</v>
      </c>
      <c r="J122" s="38" t="s">
        <v>125</v>
      </c>
      <c r="K122" s="38" t="s">
        <v>126</v>
      </c>
      <c r="L122" s="41">
        <v>46007.958333333336</v>
      </c>
      <c r="M122" s="38" t="s">
        <v>123</v>
      </c>
      <c r="N122" s="41">
        <v>46007.96875</v>
      </c>
      <c r="O122" s="38" t="s">
        <v>123</v>
      </c>
      <c r="P122" s="38">
        <v>900.0</v>
      </c>
      <c r="Q122" s="39"/>
      <c r="R122" s="39"/>
      <c r="S122" s="38" t="s">
        <v>277</v>
      </c>
      <c r="T122" s="39"/>
      <c r="U122" s="39"/>
    </row>
    <row r="123">
      <c r="A123" s="40">
        <f t="shared" si="1"/>
        <v>46006</v>
      </c>
      <c r="B123" s="37" t="str">
        <f t="array" ref="B123">iferror(xlookup($I123, 'IMPORT VHC Report'!$E:$E, 'IMPORT VHC Report'!$A:$C), )</f>
        <v/>
      </c>
      <c r="C123" s="37"/>
      <c r="D123" s="37"/>
      <c r="E123" s="38" t="s">
        <v>278</v>
      </c>
      <c r="F123" s="38" t="s">
        <v>263</v>
      </c>
      <c r="G123" s="38">
        <v>9.586394042255E12</v>
      </c>
      <c r="H123" s="38" t="s">
        <v>264</v>
      </c>
      <c r="I123" s="38" t="s">
        <v>265</v>
      </c>
      <c r="J123" s="38" t="s">
        <v>132</v>
      </c>
      <c r="K123" s="38" t="s">
        <v>126</v>
      </c>
      <c r="L123" s="41">
        <v>46007.96875</v>
      </c>
      <c r="M123" s="38" t="s">
        <v>123</v>
      </c>
      <c r="N123" s="41">
        <v>46008.010416666664</v>
      </c>
      <c r="O123" s="38" t="s">
        <v>123</v>
      </c>
      <c r="P123" s="38">
        <v>3600.0</v>
      </c>
      <c r="Q123" s="39"/>
      <c r="R123" s="39"/>
      <c r="S123" s="38" t="s">
        <v>279</v>
      </c>
      <c r="T123" s="39"/>
      <c r="U123" s="39"/>
    </row>
    <row r="124">
      <c r="A124" s="40">
        <f t="shared" si="1"/>
        <v>46006</v>
      </c>
      <c r="B124" s="37" t="str">
        <f t="array" ref="B124">iferror(xlookup($I124, 'IMPORT VHC Report'!$E:$E, 'IMPORT VHC Report'!$A:$C), )</f>
        <v/>
      </c>
      <c r="C124" s="37"/>
      <c r="D124" s="37"/>
      <c r="E124" s="38" t="s">
        <v>280</v>
      </c>
      <c r="F124" s="38" t="s">
        <v>263</v>
      </c>
      <c r="G124" s="38">
        <v>9.586394042255E12</v>
      </c>
      <c r="H124" s="38" t="s">
        <v>264</v>
      </c>
      <c r="I124" s="38" t="s">
        <v>265</v>
      </c>
      <c r="J124" s="38" t="s">
        <v>134</v>
      </c>
      <c r="K124" s="38" t="s">
        <v>126</v>
      </c>
      <c r="L124" s="41">
        <v>46008.083333333336</v>
      </c>
      <c r="M124" s="38" t="s">
        <v>123</v>
      </c>
      <c r="N124" s="41">
        <v>46008.104166666664</v>
      </c>
      <c r="O124" s="38" t="s">
        <v>123</v>
      </c>
      <c r="P124" s="38">
        <v>1800.0</v>
      </c>
      <c r="Q124" s="39"/>
      <c r="R124" s="39"/>
      <c r="S124" s="39"/>
      <c r="T124" s="39"/>
      <c r="U124" s="39"/>
    </row>
    <row r="125">
      <c r="A125" s="40">
        <f t="shared" si="1"/>
        <v>46006</v>
      </c>
      <c r="B125" s="37" t="str">
        <f t="array" ref="B125">iferror(xlookup($I125, 'IMPORT VHC Report'!$E:$E, 'IMPORT VHC Report'!$A:$C), )</f>
        <v/>
      </c>
      <c r="C125" s="37"/>
      <c r="D125" s="37"/>
      <c r="E125" s="38" t="s">
        <v>281</v>
      </c>
      <c r="F125" s="38" t="s">
        <v>263</v>
      </c>
      <c r="G125" s="38">
        <v>9.586394042255E12</v>
      </c>
      <c r="H125" s="38" t="s">
        <v>264</v>
      </c>
      <c r="I125" s="38" t="s">
        <v>265</v>
      </c>
      <c r="J125" s="38" t="s">
        <v>125</v>
      </c>
      <c r="K125" s="38" t="s">
        <v>126</v>
      </c>
      <c r="L125" s="41">
        <v>46008.791666666664</v>
      </c>
      <c r="M125" s="38" t="s">
        <v>123</v>
      </c>
      <c r="N125" s="41">
        <v>46008.802083333336</v>
      </c>
      <c r="O125" s="38" t="s">
        <v>123</v>
      </c>
      <c r="P125" s="38">
        <v>900.0</v>
      </c>
      <c r="Q125" s="39"/>
      <c r="R125" s="39"/>
      <c r="S125" s="38" t="s">
        <v>199</v>
      </c>
      <c r="T125" s="39"/>
      <c r="U125" s="39"/>
    </row>
    <row r="126">
      <c r="A126" s="40">
        <f t="shared" si="1"/>
        <v>46006</v>
      </c>
      <c r="B126" s="37" t="str">
        <f t="array" ref="B126">iferror(xlookup($I126, 'IMPORT VHC Report'!$E:$E, 'IMPORT VHC Report'!$A:$C), )</f>
        <v/>
      </c>
      <c r="C126" s="37"/>
      <c r="D126" s="37"/>
      <c r="E126" s="38" t="s">
        <v>282</v>
      </c>
      <c r="F126" s="38" t="s">
        <v>263</v>
      </c>
      <c r="G126" s="38">
        <v>9.586394042255E12</v>
      </c>
      <c r="H126" s="38" t="s">
        <v>264</v>
      </c>
      <c r="I126" s="38" t="s">
        <v>265</v>
      </c>
      <c r="J126" s="38" t="s">
        <v>196</v>
      </c>
      <c r="K126" s="38" t="s">
        <v>63</v>
      </c>
      <c r="L126" s="41">
        <v>46008.802083333336</v>
      </c>
      <c r="M126" s="38" t="s">
        <v>123</v>
      </c>
      <c r="N126" s="41">
        <v>46009.166666666664</v>
      </c>
      <c r="O126" s="38" t="s">
        <v>123</v>
      </c>
      <c r="P126" s="38">
        <v>31500.0</v>
      </c>
      <c r="Q126" s="39"/>
      <c r="R126" s="39"/>
      <c r="S126" s="39"/>
      <c r="T126" s="39"/>
      <c r="U126" s="39"/>
    </row>
    <row r="127">
      <c r="A127" s="40">
        <f t="shared" si="1"/>
        <v>46006</v>
      </c>
      <c r="B127" s="37" t="str">
        <f t="array" ref="B127">iferror(xlookup($I127, 'IMPORT VHC Report'!$E:$E, 'IMPORT VHC Report'!$A:$C), )</f>
        <v/>
      </c>
      <c r="C127" s="37"/>
      <c r="D127" s="37"/>
      <c r="E127" s="38" t="s">
        <v>283</v>
      </c>
      <c r="F127" s="38" t="s">
        <v>263</v>
      </c>
      <c r="G127" s="38">
        <v>9.586394042255E12</v>
      </c>
      <c r="H127" s="38" t="s">
        <v>264</v>
      </c>
      <c r="I127" s="38" t="s">
        <v>265</v>
      </c>
      <c r="J127" s="38" t="s">
        <v>134</v>
      </c>
      <c r="K127" s="38" t="s">
        <v>126</v>
      </c>
      <c r="L127" s="41">
        <v>46008.916666666664</v>
      </c>
      <c r="M127" s="38" t="s">
        <v>123</v>
      </c>
      <c r="N127" s="41">
        <v>46008.927083333336</v>
      </c>
      <c r="O127" s="38" t="s">
        <v>123</v>
      </c>
      <c r="P127" s="38">
        <v>900.0</v>
      </c>
      <c r="Q127" s="39"/>
      <c r="R127" s="39"/>
      <c r="S127" s="39"/>
      <c r="T127" s="39"/>
      <c r="U127" s="39"/>
    </row>
    <row r="128">
      <c r="A128" s="40">
        <f t="shared" si="1"/>
        <v>46006</v>
      </c>
      <c r="B128" s="37" t="str">
        <f t="array" ref="B128">iferror(xlookup($I128, 'IMPORT VHC Report'!$E:$E, 'IMPORT VHC Report'!$A:$C), )</f>
        <v/>
      </c>
      <c r="C128" s="37"/>
      <c r="D128" s="37"/>
      <c r="E128" s="38" t="s">
        <v>284</v>
      </c>
      <c r="F128" s="38" t="s">
        <v>263</v>
      </c>
      <c r="G128" s="38">
        <v>9.586394042255E12</v>
      </c>
      <c r="H128" s="38" t="s">
        <v>264</v>
      </c>
      <c r="I128" s="38" t="s">
        <v>265</v>
      </c>
      <c r="J128" s="38" t="s">
        <v>132</v>
      </c>
      <c r="K128" s="38" t="s">
        <v>126</v>
      </c>
      <c r="L128" s="41">
        <v>46008.958333333336</v>
      </c>
      <c r="M128" s="38" t="s">
        <v>123</v>
      </c>
      <c r="N128" s="41">
        <v>46009.0</v>
      </c>
      <c r="O128" s="38" t="s">
        <v>123</v>
      </c>
      <c r="P128" s="38">
        <v>3600.0</v>
      </c>
      <c r="Q128" s="39"/>
      <c r="R128" s="39"/>
      <c r="S128" s="39"/>
      <c r="T128" s="39"/>
      <c r="U128" s="39"/>
    </row>
    <row r="129">
      <c r="A129" s="40">
        <f t="shared" si="1"/>
        <v>46006</v>
      </c>
      <c r="B129" s="37" t="str">
        <f t="array" ref="B129">iferror(xlookup($I129, 'IMPORT VHC Report'!$E:$E, 'IMPORT VHC Report'!$A:$C), )</f>
        <v/>
      </c>
      <c r="C129" s="37"/>
      <c r="D129" s="37"/>
      <c r="E129" s="38" t="s">
        <v>285</v>
      </c>
      <c r="F129" s="38" t="s">
        <v>263</v>
      </c>
      <c r="G129" s="38">
        <v>9.586394042255E12</v>
      </c>
      <c r="H129" s="38" t="s">
        <v>264</v>
      </c>
      <c r="I129" s="38" t="s">
        <v>265</v>
      </c>
      <c r="J129" s="38" t="s">
        <v>152</v>
      </c>
      <c r="K129" s="38" t="s">
        <v>153</v>
      </c>
      <c r="L129" s="41">
        <v>46009.0</v>
      </c>
      <c r="M129" s="38" t="s">
        <v>123</v>
      </c>
      <c r="N129" s="41">
        <v>46009.166666666664</v>
      </c>
      <c r="O129" s="38" t="s">
        <v>123</v>
      </c>
      <c r="P129" s="38">
        <v>14400.0</v>
      </c>
      <c r="Q129" s="38">
        <v>14400.0</v>
      </c>
      <c r="R129" s="38" t="s">
        <v>286</v>
      </c>
      <c r="S129" s="39"/>
      <c r="T129" s="39"/>
      <c r="U129" s="39"/>
    </row>
    <row r="130">
      <c r="A130" s="40">
        <f t="shared" si="1"/>
        <v>46006</v>
      </c>
      <c r="B130" s="37" t="str">
        <f t="array" ref="B130">iferror(xlookup($I130, 'IMPORT VHC Report'!$E:$E, 'IMPORT VHC Report'!$A:$C), )</f>
        <v/>
      </c>
      <c r="C130" s="37"/>
      <c r="D130" s="37"/>
      <c r="E130" s="38" t="s">
        <v>287</v>
      </c>
      <c r="F130" s="38" t="s">
        <v>263</v>
      </c>
      <c r="G130" s="38">
        <v>9.586394042255E12</v>
      </c>
      <c r="H130" s="38" t="s">
        <v>264</v>
      </c>
      <c r="I130" s="38" t="s">
        <v>265</v>
      </c>
      <c r="J130" s="38" t="s">
        <v>132</v>
      </c>
      <c r="K130" s="38" t="s">
        <v>126</v>
      </c>
      <c r="L130" s="41">
        <v>46009.041666666664</v>
      </c>
      <c r="M130" s="38" t="s">
        <v>123</v>
      </c>
      <c r="N130" s="41">
        <v>46009.083333333336</v>
      </c>
      <c r="O130" s="38" t="s">
        <v>123</v>
      </c>
      <c r="P130" s="38">
        <v>3600.0</v>
      </c>
      <c r="Q130" s="39"/>
      <c r="R130" s="39"/>
      <c r="S130" s="39"/>
      <c r="T130" s="39"/>
      <c r="U130" s="39"/>
    </row>
    <row r="131">
      <c r="A131" s="40">
        <f t="shared" si="1"/>
        <v>46006</v>
      </c>
      <c r="B131" s="37" t="str">
        <f t="array" ref="B131">iferror(xlookup($I131, 'IMPORT VHC Report'!$E:$E, 'IMPORT VHC Report'!$A:$C), )</f>
        <v/>
      </c>
      <c r="C131" s="37"/>
      <c r="D131" s="37"/>
      <c r="E131" s="38" t="s">
        <v>288</v>
      </c>
      <c r="F131" s="38" t="s">
        <v>263</v>
      </c>
      <c r="G131" s="38">
        <v>9.586394042255E12</v>
      </c>
      <c r="H131" s="38" t="s">
        <v>264</v>
      </c>
      <c r="I131" s="38" t="s">
        <v>265</v>
      </c>
      <c r="J131" s="38" t="s">
        <v>125</v>
      </c>
      <c r="K131" s="38" t="s">
        <v>126</v>
      </c>
      <c r="L131" s="41">
        <v>46009.791666666664</v>
      </c>
      <c r="M131" s="38" t="s">
        <v>123</v>
      </c>
      <c r="N131" s="41">
        <v>46009.802083333336</v>
      </c>
      <c r="O131" s="38" t="s">
        <v>123</v>
      </c>
      <c r="P131" s="38">
        <v>900.0</v>
      </c>
      <c r="Q131" s="39"/>
      <c r="R131" s="39"/>
      <c r="S131" s="38" t="s">
        <v>199</v>
      </c>
      <c r="T131" s="39"/>
      <c r="U131" s="39"/>
    </row>
    <row r="132">
      <c r="A132" s="40">
        <f t="shared" si="1"/>
        <v>46006</v>
      </c>
      <c r="B132" s="37" t="str">
        <f t="array" ref="B132">iferror(xlookup($I132, 'IMPORT VHC Report'!$E:$E, 'IMPORT VHC Report'!$A:$C), )</f>
        <v/>
      </c>
      <c r="C132" s="37"/>
      <c r="D132" s="37"/>
      <c r="E132" s="38" t="s">
        <v>289</v>
      </c>
      <c r="F132" s="38" t="s">
        <v>263</v>
      </c>
      <c r="G132" s="38">
        <v>9.586394042255E12</v>
      </c>
      <c r="H132" s="38" t="s">
        <v>264</v>
      </c>
      <c r="I132" s="38" t="s">
        <v>265</v>
      </c>
      <c r="J132" s="38" t="s">
        <v>178</v>
      </c>
      <c r="K132" s="38" t="s">
        <v>153</v>
      </c>
      <c r="L132" s="41">
        <v>46009.791666666664</v>
      </c>
      <c r="M132" s="38" t="s">
        <v>123</v>
      </c>
      <c r="N132" s="41">
        <v>46010.166666666664</v>
      </c>
      <c r="O132" s="38" t="s">
        <v>123</v>
      </c>
      <c r="P132" s="38">
        <v>32400.0</v>
      </c>
      <c r="Q132" s="38">
        <v>32400.0</v>
      </c>
      <c r="R132" s="39"/>
      <c r="S132" s="39"/>
      <c r="T132" s="39"/>
      <c r="U132" s="39"/>
    </row>
    <row r="133">
      <c r="A133" s="40">
        <f t="shared" si="1"/>
        <v>46006</v>
      </c>
      <c r="B133" s="37" t="str">
        <f t="array" ref="B133">iferror(xlookup($I133, 'IMPORT VHC Report'!$E:$E, 'IMPORT VHC Report'!$A:$C), )</f>
        <v/>
      </c>
      <c r="C133" s="37"/>
      <c r="D133" s="37"/>
      <c r="E133" s="38" t="s">
        <v>290</v>
      </c>
      <c r="F133" s="38" t="s">
        <v>263</v>
      </c>
      <c r="G133" s="38">
        <v>9.586394042255E12</v>
      </c>
      <c r="H133" s="38" t="s">
        <v>264</v>
      </c>
      <c r="I133" s="38" t="s">
        <v>265</v>
      </c>
      <c r="J133" s="38" t="s">
        <v>196</v>
      </c>
      <c r="K133" s="38" t="s">
        <v>63</v>
      </c>
      <c r="L133" s="41">
        <v>46009.791666666664</v>
      </c>
      <c r="M133" s="38" t="s">
        <v>123</v>
      </c>
      <c r="N133" s="41">
        <v>46010.166666666664</v>
      </c>
      <c r="O133" s="38" t="s">
        <v>123</v>
      </c>
      <c r="P133" s="38">
        <v>32400.0</v>
      </c>
      <c r="Q133" s="39"/>
      <c r="R133" s="39"/>
      <c r="S133" s="39"/>
      <c r="T133" s="39"/>
      <c r="U133" s="39"/>
    </row>
    <row r="134">
      <c r="A134" s="40">
        <f t="shared" si="1"/>
        <v>46006</v>
      </c>
      <c r="B134" s="37" t="str">
        <f t="array" ref="B134">iferror(xlookup($I134, 'IMPORT VHC Report'!$E:$E, 'IMPORT VHC Report'!$A:$C), )</f>
        <v/>
      </c>
      <c r="C134" s="37"/>
      <c r="D134" s="37"/>
      <c r="E134" s="38" t="s">
        <v>291</v>
      </c>
      <c r="F134" s="38" t="s">
        <v>263</v>
      </c>
      <c r="G134" s="38">
        <v>9.586394042255E12</v>
      </c>
      <c r="H134" s="38" t="s">
        <v>264</v>
      </c>
      <c r="I134" s="38" t="s">
        <v>265</v>
      </c>
      <c r="J134" s="38" t="s">
        <v>134</v>
      </c>
      <c r="K134" s="38" t="s">
        <v>126</v>
      </c>
      <c r="L134" s="41">
        <v>46009.895833333336</v>
      </c>
      <c r="M134" s="38" t="s">
        <v>123</v>
      </c>
      <c r="N134" s="41">
        <v>46009.916666666664</v>
      </c>
      <c r="O134" s="38" t="s">
        <v>123</v>
      </c>
      <c r="P134" s="38">
        <v>1800.0</v>
      </c>
      <c r="Q134" s="39"/>
      <c r="R134" s="39"/>
      <c r="S134" s="39"/>
      <c r="T134" s="39"/>
      <c r="U134" s="39"/>
    </row>
    <row r="135">
      <c r="A135" s="40">
        <f t="shared" si="1"/>
        <v>46006</v>
      </c>
      <c r="B135" s="37" t="str">
        <f t="array" ref="B135">iferror(xlookup($I135, 'IMPORT VHC Report'!$E:$E, 'IMPORT VHC Report'!$A:$C), )</f>
        <v/>
      </c>
      <c r="C135" s="37"/>
      <c r="D135" s="37"/>
      <c r="E135" s="38" t="s">
        <v>292</v>
      </c>
      <c r="F135" s="38" t="s">
        <v>263</v>
      </c>
      <c r="G135" s="38">
        <v>9.586394042255E12</v>
      </c>
      <c r="H135" s="38" t="s">
        <v>264</v>
      </c>
      <c r="I135" s="38" t="s">
        <v>265</v>
      </c>
      <c r="J135" s="38" t="s">
        <v>132</v>
      </c>
      <c r="K135" s="38" t="s">
        <v>126</v>
      </c>
      <c r="L135" s="41">
        <v>46010.03125</v>
      </c>
      <c r="M135" s="38" t="s">
        <v>123</v>
      </c>
      <c r="N135" s="41">
        <v>46010.072916666664</v>
      </c>
      <c r="O135" s="38" t="s">
        <v>123</v>
      </c>
      <c r="P135" s="38">
        <v>3600.0</v>
      </c>
      <c r="Q135" s="39"/>
      <c r="R135" s="39"/>
      <c r="S135" s="39"/>
      <c r="T135" s="39"/>
      <c r="U135" s="39"/>
    </row>
    <row r="136">
      <c r="A136" s="40">
        <f t="shared" si="1"/>
        <v>46006</v>
      </c>
      <c r="B136" s="37" t="str">
        <f t="array" ref="B136">iferror(xlookup($I136, 'IMPORT VHC Report'!$E:$E, 'IMPORT VHC Report'!$A:$C), )</f>
        <v/>
      </c>
      <c r="C136" s="37"/>
      <c r="D136" s="37"/>
      <c r="E136" s="38" t="s">
        <v>293</v>
      </c>
      <c r="F136" s="38" t="s">
        <v>263</v>
      </c>
      <c r="G136" s="38">
        <v>9.586394042255E12</v>
      </c>
      <c r="H136" s="38" t="s">
        <v>264</v>
      </c>
      <c r="I136" s="38" t="s">
        <v>265</v>
      </c>
      <c r="J136" s="38" t="s">
        <v>125</v>
      </c>
      <c r="K136" s="38" t="s">
        <v>126</v>
      </c>
      <c r="L136" s="41">
        <v>46012.791666666664</v>
      </c>
      <c r="M136" s="38" t="s">
        <v>123</v>
      </c>
      <c r="N136" s="41">
        <v>46012.802083333336</v>
      </c>
      <c r="O136" s="38" t="s">
        <v>123</v>
      </c>
      <c r="P136" s="38">
        <v>900.0</v>
      </c>
      <c r="Q136" s="39"/>
      <c r="R136" s="39"/>
      <c r="S136" s="38" t="s">
        <v>199</v>
      </c>
      <c r="T136" s="39"/>
      <c r="U136" s="39"/>
    </row>
    <row r="137">
      <c r="A137" s="40">
        <f t="shared" si="1"/>
        <v>46006</v>
      </c>
      <c r="B137" s="37" t="str">
        <f t="array" ref="B137">iferror(xlookup($I137, 'IMPORT VHC Report'!$E:$E, 'IMPORT VHC Report'!$A:$C), )</f>
        <v/>
      </c>
      <c r="C137" s="37"/>
      <c r="D137" s="37"/>
      <c r="E137" s="38" t="s">
        <v>294</v>
      </c>
      <c r="F137" s="38" t="s">
        <v>263</v>
      </c>
      <c r="G137" s="38">
        <v>9.586394042255E12</v>
      </c>
      <c r="H137" s="38" t="s">
        <v>264</v>
      </c>
      <c r="I137" s="38" t="s">
        <v>265</v>
      </c>
      <c r="J137" s="38" t="s">
        <v>196</v>
      </c>
      <c r="K137" s="38" t="s">
        <v>63</v>
      </c>
      <c r="L137" s="41">
        <v>46012.791666666664</v>
      </c>
      <c r="M137" s="38" t="s">
        <v>123</v>
      </c>
      <c r="N137" s="41">
        <v>46013.166666666664</v>
      </c>
      <c r="O137" s="38" t="s">
        <v>123</v>
      </c>
      <c r="P137" s="38">
        <v>32400.0</v>
      </c>
      <c r="Q137" s="39"/>
      <c r="R137" s="39"/>
      <c r="S137" s="39"/>
      <c r="T137" s="39"/>
      <c r="U137" s="39"/>
    </row>
    <row r="138">
      <c r="A138" s="40">
        <f t="shared" si="1"/>
        <v>46006</v>
      </c>
      <c r="B138" s="37" t="str">
        <f t="array" ref="B138">iferror(xlookup($I138, 'IMPORT VHC Report'!$E:$E, 'IMPORT VHC Report'!$A:$C), )</f>
        <v/>
      </c>
      <c r="C138" s="37"/>
      <c r="D138" s="37"/>
      <c r="E138" s="38" t="s">
        <v>295</v>
      </c>
      <c r="F138" s="38" t="s">
        <v>263</v>
      </c>
      <c r="G138" s="38">
        <v>9.586394042255E12</v>
      </c>
      <c r="H138" s="38" t="s">
        <v>264</v>
      </c>
      <c r="I138" s="38" t="s">
        <v>265</v>
      </c>
      <c r="J138" s="38" t="s">
        <v>132</v>
      </c>
      <c r="K138" s="38" t="s">
        <v>126</v>
      </c>
      <c r="L138" s="41">
        <v>46012.916666666664</v>
      </c>
      <c r="M138" s="38" t="s">
        <v>123</v>
      </c>
      <c r="N138" s="41">
        <v>46012.958333333336</v>
      </c>
      <c r="O138" s="38" t="s">
        <v>123</v>
      </c>
      <c r="P138" s="38">
        <v>3600.0</v>
      </c>
      <c r="Q138" s="39"/>
      <c r="R138" s="39"/>
      <c r="S138" s="39"/>
      <c r="T138" s="39"/>
      <c r="U138" s="39"/>
    </row>
    <row r="139">
      <c r="A139" s="40">
        <f t="shared" si="1"/>
        <v>45999</v>
      </c>
      <c r="B139" s="37" t="str">
        <f t="array" ref="B139">iferror(xlookup($I139, 'IMPORT VHC Report'!$E:$E, 'IMPORT VHC Report'!$A:$C), )</f>
        <v/>
      </c>
      <c r="C139" s="37"/>
      <c r="D139" s="37"/>
      <c r="E139" s="38" t="s">
        <v>296</v>
      </c>
      <c r="F139" s="38" t="s">
        <v>297</v>
      </c>
      <c r="G139" s="38">
        <v>3.61731514775E11</v>
      </c>
      <c r="H139" s="38" t="s">
        <v>298</v>
      </c>
      <c r="I139" s="38" t="s">
        <v>299</v>
      </c>
      <c r="J139" s="38" t="s">
        <v>300</v>
      </c>
      <c r="K139" s="38" t="s">
        <v>63</v>
      </c>
      <c r="L139" s="41">
        <v>46005.833333333336</v>
      </c>
      <c r="M139" s="38" t="s">
        <v>123</v>
      </c>
      <c r="N139" s="41">
        <v>46006.208333333336</v>
      </c>
      <c r="O139" s="38" t="s">
        <v>123</v>
      </c>
      <c r="P139" s="38">
        <v>32400.0</v>
      </c>
      <c r="Q139" s="39"/>
      <c r="R139" s="39"/>
      <c r="S139" s="39"/>
      <c r="T139" s="39"/>
      <c r="U139" s="39"/>
    </row>
    <row r="140">
      <c r="A140" s="40">
        <f t="shared" si="1"/>
        <v>46006</v>
      </c>
      <c r="B140" s="37" t="str">
        <f t="array" ref="B140">iferror(xlookup($I140, 'IMPORT VHC Report'!$E:$E, 'IMPORT VHC Report'!$A:$C), )</f>
        <v/>
      </c>
      <c r="C140" s="37"/>
      <c r="D140" s="37"/>
      <c r="E140" s="38" t="s">
        <v>301</v>
      </c>
      <c r="F140" s="38" t="s">
        <v>297</v>
      </c>
      <c r="G140" s="38">
        <v>3.61731514775E11</v>
      </c>
      <c r="H140" s="38" t="s">
        <v>298</v>
      </c>
      <c r="I140" s="38" t="s">
        <v>299</v>
      </c>
      <c r="J140" s="38" t="s">
        <v>134</v>
      </c>
      <c r="K140" s="38" t="s">
        <v>126</v>
      </c>
      <c r="L140" s="41">
        <v>46006.020833333336</v>
      </c>
      <c r="M140" s="38" t="s">
        <v>123</v>
      </c>
      <c r="N140" s="41">
        <v>46006.03125</v>
      </c>
      <c r="O140" s="38" t="s">
        <v>123</v>
      </c>
      <c r="P140" s="38">
        <v>900.0</v>
      </c>
      <c r="Q140" s="39"/>
      <c r="R140" s="39"/>
      <c r="S140" s="39"/>
      <c r="T140" s="39"/>
      <c r="U140" s="39"/>
    </row>
    <row r="141">
      <c r="A141" s="40">
        <f t="shared" si="1"/>
        <v>46006</v>
      </c>
      <c r="B141" s="37" t="str">
        <f t="array" ref="B141">iferror(xlookup($I141, 'IMPORT VHC Report'!$E:$E, 'IMPORT VHC Report'!$A:$C), )</f>
        <v/>
      </c>
      <c r="C141" s="37"/>
      <c r="D141" s="37"/>
      <c r="E141" s="38" t="s">
        <v>302</v>
      </c>
      <c r="F141" s="38" t="s">
        <v>297</v>
      </c>
      <c r="G141" s="38">
        <v>3.61731514775E11</v>
      </c>
      <c r="H141" s="38" t="s">
        <v>298</v>
      </c>
      <c r="I141" s="38" t="s">
        <v>299</v>
      </c>
      <c r="J141" s="38" t="s">
        <v>132</v>
      </c>
      <c r="K141" s="38" t="s">
        <v>126</v>
      </c>
      <c r="L141" s="41">
        <v>46006.114583333336</v>
      </c>
      <c r="M141" s="38" t="s">
        <v>123</v>
      </c>
      <c r="N141" s="41">
        <v>46006.15625</v>
      </c>
      <c r="O141" s="38" t="s">
        <v>123</v>
      </c>
      <c r="P141" s="38">
        <v>3600.0</v>
      </c>
      <c r="Q141" s="39"/>
      <c r="R141" s="39"/>
      <c r="S141" s="39"/>
      <c r="T141" s="39"/>
      <c r="U141" s="39"/>
    </row>
    <row r="142">
      <c r="A142" s="40">
        <f t="shared" si="1"/>
        <v>46006</v>
      </c>
      <c r="B142" s="37" t="str">
        <f t="array" ref="B142">iferror(xlookup($I142, 'IMPORT VHC Report'!$E:$E, 'IMPORT VHC Report'!$A:$C), )</f>
        <v/>
      </c>
      <c r="C142" s="37"/>
      <c r="D142" s="37"/>
      <c r="E142" s="38" t="s">
        <v>303</v>
      </c>
      <c r="F142" s="38" t="s">
        <v>297</v>
      </c>
      <c r="G142" s="38">
        <v>3.61731514775E11</v>
      </c>
      <c r="H142" s="38" t="s">
        <v>298</v>
      </c>
      <c r="I142" s="38" t="s">
        <v>299</v>
      </c>
      <c r="J142" s="38" t="s">
        <v>300</v>
      </c>
      <c r="K142" s="38" t="s">
        <v>63</v>
      </c>
      <c r="L142" s="41">
        <v>46008.833333333336</v>
      </c>
      <c r="M142" s="38" t="s">
        <v>123</v>
      </c>
      <c r="N142" s="41">
        <v>46009.208333333336</v>
      </c>
      <c r="O142" s="38" t="s">
        <v>123</v>
      </c>
      <c r="P142" s="38">
        <v>32400.0</v>
      </c>
      <c r="Q142" s="39"/>
      <c r="R142" s="39"/>
      <c r="S142" s="39"/>
      <c r="T142" s="39"/>
      <c r="U142" s="39"/>
    </row>
    <row r="143">
      <c r="A143" s="40">
        <f t="shared" si="1"/>
        <v>46006</v>
      </c>
      <c r="B143" s="37" t="str">
        <f t="array" ref="B143">iferror(xlookup($I143, 'IMPORT VHC Report'!$E:$E, 'IMPORT VHC Report'!$A:$C), )</f>
        <v/>
      </c>
      <c r="C143" s="37"/>
      <c r="D143" s="37"/>
      <c r="E143" s="38" t="s">
        <v>304</v>
      </c>
      <c r="F143" s="38" t="s">
        <v>297</v>
      </c>
      <c r="G143" s="38">
        <v>3.61731514775E11</v>
      </c>
      <c r="H143" s="38" t="s">
        <v>298</v>
      </c>
      <c r="I143" s="38" t="s">
        <v>299</v>
      </c>
      <c r="J143" s="38" t="s">
        <v>4</v>
      </c>
      <c r="K143" s="38" t="s">
        <v>126</v>
      </c>
      <c r="L143" s="41">
        <v>46008.9375</v>
      </c>
      <c r="M143" s="38" t="s">
        <v>123</v>
      </c>
      <c r="N143" s="41">
        <v>46008.979166666664</v>
      </c>
      <c r="O143" s="38" t="s">
        <v>123</v>
      </c>
      <c r="P143" s="38">
        <v>3600.0</v>
      </c>
      <c r="Q143" s="39"/>
      <c r="R143" s="39"/>
      <c r="S143" s="38" t="s">
        <v>305</v>
      </c>
      <c r="T143" s="39"/>
      <c r="U143" s="39"/>
    </row>
    <row r="144">
      <c r="A144" s="40">
        <f t="shared" si="1"/>
        <v>46006</v>
      </c>
      <c r="B144" s="37" t="str">
        <f t="array" ref="B144">iferror(xlookup($I144, 'IMPORT VHC Report'!$E:$E, 'IMPORT VHC Report'!$A:$C), )</f>
        <v/>
      </c>
      <c r="C144" s="37"/>
      <c r="D144" s="37"/>
      <c r="E144" s="38" t="s">
        <v>306</v>
      </c>
      <c r="F144" s="38" t="s">
        <v>297</v>
      </c>
      <c r="G144" s="38">
        <v>3.61731514775E11</v>
      </c>
      <c r="H144" s="38" t="s">
        <v>298</v>
      </c>
      <c r="I144" s="38" t="s">
        <v>299</v>
      </c>
      <c r="J144" s="38" t="s">
        <v>134</v>
      </c>
      <c r="K144" s="38" t="s">
        <v>126</v>
      </c>
      <c r="L144" s="41">
        <v>46008.979166666664</v>
      </c>
      <c r="M144" s="38" t="s">
        <v>123</v>
      </c>
      <c r="N144" s="41">
        <v>46008.989583333336</v>
      </c>
      <c r="O144" s="38" t="s">
        <v>123</v>
      </c>
      <c r="P144" s="38">
        <v>900.0</v>
      </c>
      <c r="Q144" s="39"/>
      <c r="R144" s="39"/>
      <c r="S144" s="39"/>
      <c r="T144" s="39"/>
      <c r="U144" s="39"/>
    </row>
    <row r="145">
      <c r="A145" s="40">
        <f t="shared" si="1"/>
        <v>46006</v>
      </c>
      <c r="B145" s="37" t="str">
        <f t="array" ref="B145">iferror(xlookup($I145, 'IMPORT VHC Report'!$E:$E, 'IMPORT VHC Report'!$A:$C), )</f>
        <v/>
      </c>
      <c r="C145" s="37"/>
      <c r="D145" s="37"/>
      <c r="E145" s="38" t="s">
        <v>307</v>
      </c>
      <c r="F145" s="38" t="s">
        <v>297</v>
      </c>
      <c r="G145" s="38">
        <v>3.61731514775E11</v>
      </c>
      <c r="H145" s="38" t="s">
        <v>298</v>
      </c>
      <c r="I145" s="38" t="s">
        <v>299</v>
      </c>
      <c r="J145" s="38" t="s">
        <v>134</v>
      </c>
      <c r="K145" s="38" t="s">
        <v>126</v>
      </c>
      <c r="L145" s="41">
        <v>46009.083333333336</v>
      </c>
      <c r="M145" s="38" t="s">
        <v>123</v>
      </c>
      <c r="N145" s="41">
        <v>46009.09375</v>
      </c>
      <c r="O145" s="38" t="s">
        <v>123</v>
      </c>
      <c r="P145" s="38">
        <v>900.0</v>
      </c>
      <c r="Q145" s="39"/>
      <c r="R145" s="39"/>
      <c r="S145" s="39"/>
      <c r="T145" s="39"/>
      <c r="U145" s="39"/>
    </row>
    <row r="146">
      <c r="A146" s="40">
        <f t="shared" si="1"/>
        <v>46006</v>
      </c>
      <c r="B146" s="37" t="str">
        <f t="array" ref="B146">iferror(xlookup($I146, 'IMPORT VHC Report'!$E:$E, 'IMPORT VHC Report'!$A:$C), )</f>
        <v/>
      </c>
      <c r="C146" s="37"/>
      <c r="D146" s="37"/>
      <c r="E146" s="38" t="s">
        <v>308</v>
      </c>
      <c r="F146" s="38" t="s">
        <v>297</v>
      </c>
      <c r="G146" s="38">
        <v>3.61731514775E11</v>
      </c>
      <c r="H146" s="38" t="s">
        <v>298</v>
      </c>
      <c r="I146" s="38" t="s">
        <v>299</v>
      </c>
      <c r="J146" s="38" t="s">
        <v>132</v>
      </c>
      <c r="K146" s="38" t="s">
        <v>126</v>
      </c>
      <c r="L146" s="41">
        <v>46009.125</v>
      </c>
      <c r="M146" s="38" t="s">
        <v>123</v>
      </c>
      <c r="N146" s="41">
        <v>46009.166666666664</v>
      </c>
      <c r="O146" s="38" t="s">
        <v>123</v>
      </c>
      <c r="P146" s="38">
        <v>3600.0</v>
      </c>
      <c r="Q146" s="39"/>
      <c r="R146" s="39"/>
      <c r="S146" s="39"/>
      <c r="T146" s="39"/>
      <c r="U146" s="39"/>
    </row>
    <row r="147">
      <c r="A147" s="40">
        <f t="shared" si="1"/>
        <v>46006</v>
      </c>
      <c r="B147" s="37" t="str">
        <f t="array" ref="B147">iferror(xlookup($I147, 'IMPORT VHC Report'!$E:$E, 'IMPORT VHC Report'!$A:$C), )</f>
        <v/>
      </c>
      <c r="C147" s="37"/>
      <c r="D147" s="37"/>
      <c r="E147" s="38" t="s">
        <v>309</v>
      </c>
      <c r="F147" s="38" t="s">
        <v>297</v>
      </c>
      <c r="G147" s="38">
        <v>3.61731514775E11</v>
      </c>
      <c r="H147" s="38" t="s">
        <v>298</v>
      </c>
      <c r="I147" s="38" t="s">
        <v>299</v>
      </c>
      <c r="J147" s="38" t="s">
        <v>300</v>
      </c>
      <c r="K147" s="38" t="s">
        <v>63</v>
      </c>
      <c r="L147" s="41">
        <v>46009.833333333336</v>
      </c>
      <c r="M147" s="38" t="s">
        <v>123</v>
      </c>
      <c r="N147" s="41">
        <v>46010.208333333336</v>
      </c>
      <c r="O147" s="38" t="s">
        <v>123</v>
      </c>
      <c r="P147" s="38">
        <v>32400.0</v>
      </c>
      <c r="Q147" s="39"/>
      <c r="R147" s="39"/>
      <c r="S147" s="39"/>
      <c r="T147" s="39"/>
      <c r="U147" s="39"/>
    </row>
    <row r="148">
      <c r="A148" s="40">
        <f t="shared" si="1"/>
        <v>46006</v>
      </c>
      <c r="B148" s="37" t="str">
        <f t="array" ref="B148">iferror(xlookup($I148, 'IMPORT VHC Report'!$E:$E, 'IMPORT VHC Report'!$A:$C), )</f>
        <v/>
      </c>
      <c r="C148" s="37"/>
      <c r="D148" s="37"/>
      <c r="E148" s="38" t="s">
        <v>310</v>
      </c>
      <c r="F148" s="38" t="s">
        <v>297</v>
      </c>
      <c r="G148" s="38">
        <v>3.61731514775E11</v>
      </c>
      <c r="H148" s="38" t="s">
        <v>298</v>
      </c>
      <c r="I148" s="38" t="s">
        <v>299</v>
      </c>
      <c r="J148" s="38" t="s">
        <v>134</v>
      </c>
      <c r="K148" s="38" t="s">
        <v>126</v>
      </c>
      <c r="L148" s="41">
        <v>46009.947916666664</v>
      </c>
      <c r="M148" s="38" t="s">
        <v>123</v>
      </c>
      <c r="N148" s="41">
        <v>46009.958333333336</v>
      </c>
      <c r="O148" s="38" t="s">
        <v>123</v>
      </c>
      <c r="P148" s="38">
        <v>900.0</v>
      </c>
      <c r="Q148" s="39"/>
      <c r="R148" s="39"/>
      <c r="S148" s="39"/>
      <c r="T148" s="39"/>
      <c r="U148" s="39"/>
    </row>
    <row r="149">
      <c r="A149" s="40">
        <f t="shared" si="1"/>
        <v>46006</v>
      </c>
      <c r="B149" s="37" t="str">
        <f t="array" ref="B149">iferror(xlookup($I149, 'IMPORT VHC Report'!$E:$E, 'IMPORT VHC Report'!$A:$C), )</f>
        <v/>
      </c>
      <c r="C149" s="37"/>
      <c r="D149" s="37"/>
      <c r="E149" s="38" t="s">
        <v>311</v>
      </c>
      <c r="F149" s="38" t="s">
        <v>297</v>
      </c>
      <c r="G149" s="38">
        <v>3.61731514775E11</v>
      </c>
      <c r="H149" s="38" t="s">
        <v>298</v>
      </c>
      <c r="I149" s="38" t="s">
        <v>299</v>
      </c>
      <c r="J149" s="38" t="s">
        <v>132</v>
      </c>
      <c r="K149" s="38" t="s">
        <v>126</v>
      </c>
      <c r="L149" s="41">
        <v>46010.010416666664</v>
      </c>
      <c r="M149" s="38" t="s">
        <v>123</v>
      </c>
      <c r="N149" s="41">
        <v>46010.052083333336</v>
      </c>
      <c r="O149" s="38" t="s">
        <v>123</v>
      </c>
      <c r="P149" s="38">
        <v>3600.0</v>
      </c>
      <c r="Q149" s="39"/>
      <c r="R149" s="39"/>
      <c r="S149" s="39"/>
      <c r="T149" s="39"/>
      <c r="U149" s="39"/>
    </row>
    <row r="150">
      <c r="A150" s="40">
        <f t="shared" si="1"/>
        <v>46006</v>
      </c>
      <c r="B150" s="37" t="str">
        <f t="array" ref="B150">iferror(xlookup($I150, 'IMPORT VHC Report'!$E:$E, 'IMPORT VHC Report'!$A:$C), )</f>
        <v/>
      </c>
      <c r="C150" s="37"/>
      <c r="D150" s="37"/>
      <c r="E150" s="38" t="s">
        <v>312</v>
      </c>
      <c r="F150" s="38" t="s">
        <v>297</v>
      </c>
      <c r="G150" s="38">
        <v>3.61731514775E11</v>
      </c>
      <c r="H150" s="38" t="s">
        <v>298</v>
      </c>
      <c r="I150" s="38" t="s">
        <v>299</v>
      </c>
      <c r="J150" s="38" t="s">
        <v>134</v>
      </c>
      <c r="K150" s="38" t="s">
        <v>126</v>
      </c>
      <c r="L150" s="41">
        <v>46010.114583333336</v>
      </c>
      <c r="M150" s="38" t="s">
        <v>123</v>
      </c>
      <c r="N150" s="41">
        <v>46010.125</v>
      </c>
      <c r="O150" s="38" t="s">
        <v>123</v>
      </c>
      <c r="P150" s="38">
        <v>900.0</v>
      </c>
      <c r="Q150" s="39"/>
      <c r="R150" s="39"/>
      <c r="S150" s="39"/>
      <c r="T150" s="39"/>
      <c r="U150" s="39"/>
    </row>
    <row r="151">
      <c r="A151" s="40">
        <f t="shared" si="1"/>
        <v>46006</v>
      </c>
      <c r="B151" s="37" t="str">
        <f t="array" ref="B151">iferror(xlookup($I151, 'IMPORT VHC Report'!$E:$E, 'IMPORT VHC Report'!$A:$C), )</f>
        <v/>
      </c>
      <c r="C151" s="37"/>
      <c r="D151" s="37"/>
      <c r="E151" s="38" t="s">
        <v>313</v>
      </c>
      <c r="F151" s="38" t="s">
        <v>297</v>
      </c>
      <c r="G151" s="38">
        <v>3.61731514775E11</v>
      </c>
      <c r="H151" s="38" t="s">
        <v>298</v>
      </c>
      <c r="I151" s="38" t="s">
        <v>299</v>
      </c>
      <c r="J151" s="38" t="s">
        <v>300</v>
      </c>
      <c r="K151" s="38" t="s">
        <v>63</v>
      </c>
      <c r="L151" s="41">
        <v>46010.833333333336</v>
      </c>
      <c r="M151" s="38" t="s">
        <v>123</v>
      </c>
      <c r="N151" s="41">
        <v>46011.208333333336</v>
      </c>
      <c r="O151" s="38" t="s">
        <v>123</v>
      </c>
      <c r="P151" s="38">
        <v>32400.0</v>
      </c>
      <c r="Q151" s="39"/>
      <c r="R151" s="39"/>
      <c r="S151" s="39"/>
      <c r="T151" s="39"/>
      <c r="U151" s="39"/>
    </row>
    <row r="152">
      <c r="A152" s="40">
        <f t="shared" si="1"/>
        <v>46006</v>
      </c>
      <c r="B152" s="37" t="str">
        <f t="array" ref="B152">iferror(xlookup($I152, 'IMPORT VHC Report'!$E:$E, 'IMPORT VHC Report'!$A:$C), )</f>
        <v/>
      </c>
      <c r="C152" s="37"/>
      <c r="D152" s="37"/>
      <c r="E152" s="38" t="s">
        <v>314</v>
      </c>
      <c r="F152" s="38" t="s">
        <v>297</v>
      </c>
      <c r="G152" s="38">
        <v>3.61731514775E11</v>
      </c>
      <c r="H152" s="38" t="s">
        <v>298</v>
      </c>
      <c r="I152" s="38" t="s">
        <v>299</v>
      </c>
      <c r="J152" s="38" t="s">
        <v>134</v>
      </c>
      <c r="K152" s="38" t="s">
        <v>126</v>
      </c>
      <c r="L152" s="41">
        <v>46010.9375</v>
      </c>
      <c r="M152" s="38" t="s">
        <v>123</v>
      </c>
      <c r="N152" s="41">
        <v>46010.947916666664</v>
      </c>
      <c r="O152" s="38" t="s">
        <v>123</v>
      </c>
      <c r="P152" s="38">
        <v>900.0</v>
      </c>
      <c r="Q152" s="39"/>
      <c r="R152" s="39"/>
      <c r="S152" s="39"/>
      <c r="T152" s="39"/>
      <c r="U152" s="39"/>
    </row>
    <row r="153">
      <c r="A153" s="40">
        <f t="shared" si="1"/>
        <v>46006</v>
      </c>
      <c r="B153" s="37" t="str">
        <f t="array" ref="B153">iferror(xlookup($I153, 'IMPORT VHC Report'!$E:$E, 'IMPORT VHC Report'!$A:$C), )</f>
        <v/>
      </c>
      <c r="C153" s="37"/>
      <c r="D153" s="37"/>
      <c r="E153" s="38" t="s">
        <v>315</v>
      </c>
      <c r="F153" s="38" t="s">
        <v>297</v>
      </c>
      <c r="G153" s="38">
        <v>3.61731514775E11</v>
      </c>
      <c r="H153" s="38" t="s">
        <v>298</v>
      </c>
      <c r="I153" s="38" t="s">
        <v>299</v>
      </c>
      <c r="J153" s="38" t="s">
        <v>134</v>
      </c>
      <c r="K153" s="38" t="s">
        <v>126</v>
      </c>
      <c r="L153" s="41">
        <v>46011.0</v>
      </c>
      <c r="M153" s="38" t="s">
        <v>123</v>
      </c>
      <c r="N153" s="41">
        <v>46011.010416666664</v>
      </c>
      <c r="O153" s="38" t="s">
        <v>123</v>
      </c>
      <c r="P153" s="38">
        <v>900.0</v>
      </c>
      <c r="Q153" s="39"/>
      <c r="R153" s="39"/>
      <c r="S153" s="39"/>
      <c r="T153" s="39"/>
      <c r="U153" s="39"/>
    </row>
    <row r="154">
      <c r="A154" s="40">
        <f t="shared" si="1"/>
        <v>46006</v>
      </c>
      <c r="B154" s="37" t="str">
        <f t="array" ref="B154">iferror(xlookup($I154, 'IMPORT VHC Report'!$E:$E, 'IMPORT VHC Report'!$A:$C), )</f>
        <v/>
      </c>
      <c r="C154" s="37"/>
      <c r="D154" s="37"/>
      <c r="E154" s="38" t="s">
        <v>316</v>
      </c>
      <c r="F154" s="38" t="s">
        <v>297</v>
      </c>
      <c r="G154" s="38">
        <v>3.61731514775E11</v>
      </c>
      <c r="H154" s="38" t="s">
        <v>298</v>
      </c>
      <c r="I154" s="38" t="s">
        <v>299</v>
      </c>
      <c r="J154" s="38" t="s">
        <v>132</v>
      </c>
      <c r="K154" s="38" t="s">
        <v>126</v>
      </c>
      <c r="L154" s="41">
        <v>46011.0625</v>
      </c>
      <c r="M154" s="38" t="s">
        <v>123</v>
      </c>
      <c r="N154" s="41">
        <v>46011.104166666664</v>
      </c>
      <c r="O154" s="38" t="s">
        <v>123</v>
      </c>
      <c r="P154" s="38">
        <v>3600.0</v>
      </c>
      <c r="Q154" s="39"/>
      <c r="R154" s="39"/>
      <c r="S154" s="39"/>
      <c r="T154" s="39"/>
      <c r="U154" s="39"/>
    </row>
    <row r="155">
      <c r="A155" s="40">
        <f t="shared" si="1"/>
        <v>46006</v>
      </c>
      <c r="B155" s="37" t="str">
        <f t="array" ref="B155">iferror(xlookup($I155, 'IMPORT VHC Report'!$E:$E, 'IMPORT VHC Report'!$A:$C), )</f>
        <v/>
      </c>
      <c r="C155" s="37"/>
      <c r="D155" s="37"/>
      <c r="E155" s="38" t="s">
        <v>317</v>
      </c>
      <c r="F155" s="38" t="s">
        <v>297</v>
      </c>
      <c r="G155" s="38">
        <v>3.61731514775E11</v>
      </c>
      <c r="H155" s="38" t="s">
        <v>298</v>
      </c>
      <c r="I155" s="38" t="s">
        <v>299</v>
      </c>
      <c r="J155" s="38" t="s">
        <v>300</v>
      </c>
      <c r="K155" s="38" t="s">
        <v>63</v>
      </c>
      <c r="L155" s="41">
        <v>46011.833333333336</v>
      </c>
      <c r="M155" s="38" t="s">
        <v>123</v>
      </c>
      <c r="N155" s="41">
        <v>46012.208333333336</v>
      </c>
      <c r="O155" s="38" t="s">
        <v>123</v>
      </c>
      <c r="P155" s="38">
        <v>32400.0</v>
      </c>
      <c r="Q155" s="39"/>
      <c r="R155" s="39"/>
      <c r="S155" s="39"/>
      <c r="T155" s="39"/>
      <c r="U155" s="39"/>
    </row>
    <row r="156">
      <c r="A156" s="40">
        <f t="shared" si="1"/>
        <v>46006</v>
      </c>
      <c r="B156" s="37" t="str">
        <f t="array" ref="B156">iferror(xlookup($I156, 'IMPORT VHC Report'!$E:$E, 'IMPORT VHC Report'!$A:$C), )</f>
        <v/>
      </c>
      <c r="C156" s="37"/>
      <c r="D156" s="37"/>
      <c r="E156" s="38" t="s">
        <v>318</v>
      </c>
      <c r="F156" s="38" t="s">
        <v>297</v>
      </c>
      <c r="G156" s="38">
        <v>3.61731514775E11</v>
      </c>
      <c r="H156" s="38" t="s">
        <v>298</v>
      </c>
      <c r="I156" s="38" t="s">
        <v>299</v>
      </c>
      <c r="J156" s="38" t="s">
        <v>134</v>
      </c>
      <c r="K156" s="38" t="s">
        <v>126</v>
      </c>
      <c r="L156" s="41">
        <v>46011.96875</v>
      </c>
      <c r="M156" s="38" t="s">
        <v>123</v>
      </c>
      <c r="N156" s="41">
        <v>46011.979166666664</v>
      </c>
      <c r="O156" s="38" t="s">
        <v>123</v>
      </c>
      <c r="P156" s="38">
        <v>900.0</v>
      </c>
      <c r="Q156" s="39"/>
      <c r="R156" s="39"/>
      <c r="S156" s="39"/>
      <c r="T156" s="39"/>
      <c r="U156" s="39"/>
    </row>
    <row r="157">
      <c r="A157" s="40">
        <f t="shared" si="1"/>
        <v>46006</v>
      </c>
      <c r="B157" s="37" t="str">
        <f t="array" ref="B157">iferror(xlookup($I157, 'IMPORT VHC Report'!$E:$E, 'IMPORT VHC Report'!$A:$C), )</f>
        <v/>
      </c>
      <c r="C157" s="37"/>
      <c r="D157" s="37"/>
      <c r="E157" s="38" t="s">
        <v>319</v>
      </c>
      <c r="F157" s="38" t="s">
        <v>297</v>
      </c>
      <c r="G157" s="38">
        <v>3.61731514775E11</v>
      </c>
      <c r="H157" s="38" t="s">
        <v>298</v>
      </c>
      <c r="I157" s="38" t="s">
        <v>299</v>
      </c>
      <c r="J157" s="38" t="s">
        <v>134</v>
      </c>
      <c r="K157" s="38" t="s">
        <v>126</v>
      </c>
      <c r="L157" s="41">
        <v>46012.0625</v>
      </c>
      <c r="M157" s="38" t="s">
        <v>123</v>
      </c>
      <c r="N157" s="41">
        <v>46012.072916666664</v>
      </c>
      <c r="O157" s="38" t="s">
        <v>123</v>
      </c>
      <c r="P157" s="38">
        <v>900.0</v>
      </c>
      <c r="Q157" s="39"/>
      <c r="R157" s="39"/>
      <c r="S157" s="39"/>
      <c r="T157" s="39"/>
      <c r="U157" s="39"/>
    </row>
    <row r="158">
      <c r="A158" s="40">
        <f t="shared" si="1"/>
        <v>46006</v>
      </c>
      <c r="B158" s="37" t="str">
        <f t="array" ref="B158">iferror(xlookup($I158, 'IMPORT VHC Report'!$E:$E, 'IMPORT VHC Report'!$A:$C), )</f>
        <v/>
      </c>
      <c r="C158" s="37"/>
      <c r="D158" s="37"/>
      <c r="E158" s="38" t="s">
        <v>320</v>
      </c>
      <c r="F158" s="38" t="s">
        <v>297</v>
      </c>
      <c r="G158" s="38">
        <v>3.61731514775E11</v>
      </c>
      <c r="H158" s="38" t="s">
        <v>298</v>
      </c>
      <c r="I158" s="38" t="s">
        <v>299</v>
      </c>
      <c r="J158" s="38" t="s">
        <v>132</v>
      </c>
      <c r="K158" s="38" t="s">
        <v>126</v>
      </c>
      <c r="L158" s="41">
        <v>46012.145833333336</v>
      </c>
      <c r="M158" s="38" t="s">
        <v>123</v>
      </c>
      <c r="N158" s="41">
        <v>46012.1875</v>
      </c>
      <c r="O158" s="38" t="s">
        <v>123</v>
      </c>
      <c r="P158" s="38">
        <v>3600.0</v>
      </c>
      <c r="Q158" s="39"/>
      <c r="R158" s="39"/>
      <c r="S158" s="39"/>
      <c r="T158" s="39"/>
      <c r="U158" s="39"/>
    </row>
    <row r="159">
      <c r="A159" s="40">
        <f t="shared" si="1"/>
        <v>46006</v>
      </c>
      <c r="B159" s="37" t="str">
        <f t="array" ref="B159">iferror(xlookup($I159, 'IMPORT VHC Report'!$E:$E, 'IMPORT VHC Report'!$A:$C), )</f>
        <v/>
      </c>
      <c r="C159" s="37"/>
      <c r="D159" s="37"/>
      <c r="E159" s="38" t="s">
        <v>321</v>
      </c>
      <c r="F159" s="38" t="s">
        <v>297</v>
      </c>
      <c r="G159" s="38">
        <v>3.61731514775E11</v>
      </c>
      <c r="H159" s="38" t="s">
        <v>298</v>
      </c>
      <c r="I159" s="38" t="s">
        <v>299</v>
      </c>
      <c r="J159" s="38" t="s">
        <v>300</v>
      </c>
      <c r="K159" s="38" t="s">
        <v>63</v>
      </c>
      <c r="L159" s="41">
        <v>46012.833333333336</v>
      </c>
      <c r="M159" s="38" t="s">
        <v>123</v>
      </c>
      <c r="N159" s="41">
        <v>46013.208333333336</v>
      </c>
      <c r="O159" s="38" t="s">
        <v>123</v>
      </c>
      <c r="P159" s="38">
        <v>32400.0</v>
      </c>
      <c r="Q159" s="39"/>
      <c r="R159" s="39"/>
      <c r="S159" s="39"/>
      <c r="T159" s="39"/>
      <c r="U159" s="39"/>
    </row>
    <row r="160">
      <c r="A160" s="40">
        <f t="shared" si="1"/>
        <v>46006</v>
      </c>
      <c r="B160" s="37" t="str">
        <f t="array" ref="B160">iferror(xlookup($I160, 'IMPORT VHC Report'!$E:$E, 'IMPORT VHC Report'!$A:$C), )</f>
        <v/>
      </c>
      <c r="C160" s="37"/>
      <c r="D160" s="37"/>
      <c r="E160" s="38" t="s">
        <v>322</v>
      </c>
      <c r="F160" s="38" t="s">
        <v>297</v>
      </c>
      <c r="G160" s="38">
        <v>3.61731514775E11</v>
      </c>
      <c r="H160" s="38" t="s">
        <v>298</v>
      </c>
      <c r="I160" s="38" t="s">
        <v>299</v>
      </c>
      <c r="J160" s="38" t="s">
        <v>134</v>
      </c>
      <c r="K160" s="38" t="s">
        <v>126</v>
      </c>
      <c r="L160" s="41">
        <v>46012.927083333336</v>
      </c>
      <c r="M160" s="38" t="s">
        <v>123</v>
      </c>
      <c r="N160" s="41">
        <v>46012.9375</v>
      </c>
      <c r="O160" s="38" t="s">
        <v>123</v>
      </c>
      <c r="P160" s="38">
        <v>900.0</v>
      </c>
      <c r="Q160" s="39"/>
      <c r="R160" s="39"/>
      <c r="S160" s="39"/>
      <c r="T160" s="39"/>
      <c r="U160" s="39"/>
    </row>
    <row r="161">
      <c r="A161" s="40">
        <f t="shared" si="1"/>
        <v>45999</v>
      </c>
      <c r="B161" s="37" t="str">
        <f t="array" ref="B161">iferror(xlookup($I161, 'IMPORT VHC Report'!$E:$E, 'IMPORT VHC Report'!$A:$C), )</f>
        <v/>
      </c>
      <c r="C161" s="37"/>
      <c r="D161" s="37"/>
      <c r="E161" s="38" t="s">
        <v>323</v>
      </c>
      <c r="F161" s="38" t="s">
        <v>324</v>
      </c>
      <c r="G161" s="38">
        <v>3.61731515115E11</v>
      </c>
      <c r="H161" s="38" t="s">
        <v>325</v>
      </c>
      <c r="I161" s="38" t="s">
        <v>326</v>
      </c>
      <c r="J161" s="38" t="s">
        <v>152</v>
      </c>
      <c r="K161" s="38" t="s">
        <v>153</v>
      </c>
      <c r="L161" s="41">
        <v>46005.833333333336</v>
      </c>
      <c r="M161" s="38" t="s">
        <v>123</v>
      </c>
      <c r="N161" s="41">
        <v>46006.166666666664</v>
      </c>
      <c r="O161" s="38" t="s">
        <v>123</v>
      </c>
      <c r="P161" s="38">
        <v>28800.0</v>
      </c>
      <c r="Q161" s="38">
        <v>28800.0</v>
      </c>
      <c r="R161" s="38" t="s">
        <v>327</v>
      </c>
      <c r="S161" s="38" t="s">
        <v>327</v>
      </c>
      <c r="T161" s="39"/>
      <c r="U161" s="39"/>
    </row>
    <row r="162">
      <c r="A162" s="40">
        <f t="shared" si="1"/>
        <v>46006</v>
      </c>
      <c r="B162" s="37" t="str">
        <f t="array" ref="B162">iferror(xlookup($I162, 'IMPORT VHC Report'!$E:$E, 'IMPORT VHC Report'!$A:$C), )</f>
        <v/>
      </c>
      <c r="C162" s="37"/>
      <c r="D162" s="37"/>
      <c r="E162" s="38" t="s">
        <v>328</v>
      </c>
      <c r="F162" s="38" t="s">
        <v>324</v>
      </c>
      <c r="G162" s="38">
        <v>3.61731515115E11</v>
      </c>
      <c r="H162" s="38" t="s">
        <v>325</v>
      </c>
      <c r="I162" s="38" t="s">
        <v>326</v>
      </c>
      <c r="J162" s="38" t="s">
        <v>132</v>
      </c>
      <c r="K162" s="38" t="s">
        <v>126</v>
      </c>
      <c r="L162" s="41">
        <v>46006.010416666664</v>
      </c>
      <c r="M162" s="38" t="s">
        <v>123</v>
      </c>
      <c r="N162" s="41">
        <v>46006.052083333336</v>
      </c>
      <c r="O162" s="38" t="s">
        <v>123</v>
      </c>
      <c r="P162" s="38">
        <v>3600.0</v>
      </c>
      <c r="Q162" s="39"/>
      <c r="R162" s="39"/>
      <c r="S162" s="39"/>
      <c r="T162" s="39"/>
      <c r="U162" s="39"/>
    </row>
    <row r="163">
      <c r="A163" s="40">
        <f t="shared" si="1"/>
        <v>46006</v>
      </c>
      <c r="B163" s="37" t="str">
        <f t="array" ref="B163">iferror(xlookup($I163, 'IMPORT VHC Report'!$E:$E, 'IMPORT VHC Report'!$A:$C), )</f>
        <v/>
      </c>
      <c r="C163" s="37"/>
      <c r="D163" s="37"/>
      <c r="E163" s="38" t="s">
        <v>329</v>
      </c>
      <c r="F163" s="38" t="s">
        <v>324</v>
      </c>
      <c r="G163" s="38">
        <v>3.61731515115E11</v>
      </c>
      <c r="H163" s="38" t="s">
        <v>325</v>
      </c>
      <c r="I163" s="38" t="s">
        <v>326</v>
      </c>
      <c r="J163" s="38" t="s">
        <v>330</v>
      </c>
      <c r="K163" s="38" t="s">
        <v>126</v>
      </c>
      <c r="L163" s="41">
        <v>46008.833333333336</v>
      </c>
      <c r="M163" s="38" t="s">
        <v>123</v>
      </c>
      <c r="N163" s="41">
        <v>46008.84027777778</v>
      </c>
      <c r="O163" s="38" t="s">
        <v>123</v>
      </c>
      <c r="P163" s="38">
        <v>600.0</v>
      </c>
      <c r="Q163" s="39"/>
      <c r="R163" s="39"/>
      <c r="S163" s="39"/>
      <c r="T163" s="39"/>
      <c r="U163" s="39"/>
    </row>
    <row r="164">
      <c r="A164" s="40">
        <f t="shared" si="1"/>
        <v>46006</v>
      </c>
      <c r="B164" s="37" t="str">
        <f t="array" ref="B164">iferror(xlookup($I164, 'IMPORT VHC Report'!$E:$E, 'IMPORT VHC Report'!$A:$C), )</f>
        <v/>
      </c>
      <c r="C164" s="37"/>
      <c r="D164" s="37"/>
      <c r="E164" s="38" t="s">
        <v>331</v>
      </c>
      <c r="F164" s="38" t="s">
        <v>324</v>
      </c>
      <c r="G164" s="38">
        <v>3.61731515115E11</v>
      </c>
      <c r="H164" s="38" t="s">
        <v>325</v>
      </c>
      <c r="I164" s="38" t="s">
        <v>326</v>
      </c>
      <c r="J164" s="38" t="s">
        <v>332</v>
      </c>
      <c r="K164" s="38" t="s">
        <v>63</v>
      </c>
      <c r="L164" s="41">
        <v>46008.833333333336</v>
      </c>
      <c r="M164" s="38" t="s">
        <v>123</v>
      </c>
      <c r="N164" s="41">
        <v>46009.208333333336</v>
      </c>
      <c r="O164" s="38" t="s">
        <v>123</v>
      </c>
      <c r="P164" s="38">
        <v>32400.0</v>
      </c>
      <c r="Q164" s="39"/>
      <c r="R164" s="39"/>
      <c r="S164" s="39"/>
      <c r="T164" s="39"/>
      <c r="U164" s="39"/>
    </row>
    <row r="165">
      <c r="A165" s="40">
        <f t="shared" si="1"/>
        <v>46006</v>
      </c>
      <c r="B165" s="37" t="str">
        <f t="array" ref="B165">iferror(xlookup($I165, 'IMPORT VHC Report'!$E:$E, 'IMPORT VHC Report'!$A:$C), )</f>
        <v/>
      </c>
      <c r="C165" s="37"/>
      <c r="D165" s="37"/>
      <c r="E165" s="38" t="s">
        <v>333</v>
      </c>
      <c r="F165" s="38" t="s">
        <v>324</v>
      </c>
      <c r="G165" s="38">
        <v>3.61731515115E11</v>
      </c>
      <c r="H165" s="38" t="s">
        <v>325</v>
      </c>
      <c r="I165" s="38" t="s">
        <v>326</v>
      </c>
      <c r="J165" s="38" t="s">
        <v>132</v>
      </c>
      <c r="K165" s="38" t="s">
        <v>126</v>
      </c>
      <c r="L165" s="41">
        <v>46008.96875</v>
      </c>
      <c r="M165" s="38" t="s">
        <v>123</v>
      </c>
      <c r="N165" s="41">
        <v>46009.010416666664</v>
      </c>
      <c r="O165" s="38" t="s">
        <v>123</v>
      </c>
      <c r="P165" s="38">
        <v>3600.0</v>
      </c>
      <c r="Q165" s="39"/>
      <c r="R165" s="39"/>
      <c r="S165" s="39"/>
      <c r="T165" s="39"/>
      <c r="U165" s="39"/>
    </row>
    <row r="166">
      <c r="A166" s="40">
        <f t="shared" si="1"/>
        <v>46006</v>
      </c>
      <c r="B166" s="37" t="str">
        <f t="array" ref="B166">iferror(xlookup($I166, 'IMPORT VHC Report'!$E:$E, 'IMPORT VHC Report'!$A:$C), )</f>
        <v/>
      </c>
      <c r="C166" s="37"/>
      <c r="D166" s="37"/>
      <c r="E166" s="38" t="s">
        <v>334</v>
      </c>
      <c r="F166" s="38" t="s">
        <v>324</v>
      </c>
      <c r="G166" s="38">
        <v>3.61731515115E11</v>
      </c>
      <c r="H166" s="38" t="s">
        <v>325</v>
      </c>
      <c r="I166" s="38" t="s">
        <v>326</v>
      </c>
      <c r="J166" s="38" t="s">
        <v>134</v>
      </c>
      <c r="K166" s="38" t="s">
        <v>126</v>
      </c>
      <c r="L166" s="41">
        <v>46009.083333333336</v>
      </c>
      <c r="M166" s="38" t="s">
        <v>123</v>
      </c>
      <c r="N166" s="41">
        <v>46009.104166666664</v>
      </c>
      <c r="O166" s="38" t="s">
        <v>123</v>
      </c>
      <c r="P166" s="38">
        <v>1800.0</v>
      </c>
      <c r="Q166" s="39"/>
      <c r="R166" s="39"/>
      <c r="S166" s="39"/>
      <c r="T166" s="39"/>
      <c r="U166" s="39"/>
    </row>
    <row r="167">
      <c r="A167" s="40">
        <f t="shared" si="1"/>
        <v>46006</v>
      </c>
      <c r="B167" s="37" t="str">
        <f t="array" ref="B167">iferror(xlookup($I167, 'IMPORT VHC Report'!$E:$E, 'IMPORT VHC Report'!$A:$C), )</f>
        <v/>
      </c>
      <c r="C167" s="37"/>
      <c r="D167" s="37"/>
      <c r="E167" s="38" t="s">
        <v>335</v>
      </c>
      <c r="F167" s="38" t="s">
        <v>324</v>
      </c>
      <c r="G167" s="38">
        <v>3.61731515115E11</v>
      </c>
      <c r="H167" s="38" t="s">
        <v>325</v>
      </c>
      <c r="I167" s="38" t="s">
        <v>326</v>
      </c>
      <c r="J167" s="38" t="s">
        <v>4</v>
      </c>
      <c r="K167" s="38" t="s">
        <v>126</v>
      </c>
      <c r="L167" s="41">
        <v>46009.104166666664</v>
      </c>
      <c r="M167" s="38" t="s">
        <v>123</v>
      </c>
      <c r="N167" s="41">
        <v>46009.145833333336</v>
      </c>
      <c r="O167" s="38" t="s">
        <v>123</v>
      </c>
      <c r="P167" s="38">
        <v>3600.0</v>
      </c>
      <c r="Q167" s="39"/>
      <c r="R167" s="39"/>
      <c r="S167" s="38" t="s">
        <v>336</v>
      </c>
      <c r="T167" s="39"/>
      <c r="U167" s="39"/>
    </row>
    <row r="168">
      <c r="A168" s="40">
        <f t="shared" si="1"/>
        <v>46006</v>
      </c>
      <c r="B168" s="37" t="str">
        <f t="array" ref="B168">iferror(xlookup($I168, 'IMPORT VHC Report'!$E:$E, 'IMPORT VHC Report'!$A:$C), )</f>
        <v/>
      </c>
      <c r="C168" s="37"/>
      <c r="D168" s="37"/>
      <c r="E168" s="38" t="s">
        <v>337</v>
      </c>
      <c r="F168" s="38" t="s">
        <v>324</v>
      </c>
      <c r="G168" s="38">
        <v>3.61731515115E11</v>
      </c>
      <c r="H168" s="38" t="s">
        <v>325</v>
      </c>
      <c r="I168" s="38" t="s">
        <v>326</v>
      </c>
      <c r="J168" s="38" t="s">
        <v>330</v>
      </c>
      <c r="K168" s="38" t="s">
        <v>126</v>
      </c>
      <c r="L168" s="41">
        <v>46009.833333333336</v>
      </c>
      <c r="M168" s="38" t="s">
        <v>123</v>
      </c>
      <c r="N168" s="41">
        <v>46009.84027777778</v>
      </c>
      <c r="O168" s="38" t="s">
        <v>123</v>
      </c>
      <c r="P168" s="38">
        <v>600.0</v>
      </c>
      <c r="Q168" s="39"/>
      <c r="R168" s="39"/>
      <c r="S168" s="39"/>
      <c r="T168" s="39"/>
      <c r="U168" s="39"/>
    </row>
    <row r="169">
      <c r="A169" s="40">
        <f t="shared" si="1"/>
        <v>46006</v>
      </c>
      <c r="B169" s="37" t="str">
        <f t="array" ref="B169">iferror(xlookup($I169, 'IMPORT VHC Report'!$E:$E, 'IMPORT VHC Report'!$A:$C), )</f>
        <v/>
      </c>
      <c r="C169" s="37"/>
      <c r="D169" s="37"/>
      <c r="E169" s="38" t="s">
        <v>338</v>
      </c>
      <c r="F169" s="38" t="s">
        <v>324</v>
      </c>
      <c r="G169" s="38">
        <v>3.61731515115E11</v>
      </c>
      <c r="H169" s="38" t="s">
        <v>325</v>
      </c>
      <c r="I169" s="38" t="s">
        <v>326</v>
      </c>
      <c r="J169" s="38" t="s">
        <v>332</v>
      </c>
      <c r="K169" s="38" t="s">
        <v>63</v>
      </c>
      <c r="L169" s="41">
        <v>46009.833333333336</v>
      </c>
      <c r="M169" s="38" t="s">
        <v>123</v>
      </c>
      <c r="N169" s="41">
        <v>46010.208333333336</v>
      </c>
      <c r="O169" s="38" t="s">
        <v>123</v>
      </c>
      <c r="P169" s="38">
        <v>32400.0</v>
      </c>
      <c r="Q169" s="39"/>
      <c r="R169" s="39"/>
      <c r="S169" s="39"/>
      <c r="T169" s="39"/>
      <c r="U169" s="39"/>
    </row>
    <row r="170">
      <c r="A170" s="40">
        <f t="shared" si="1"/>
        <v>46006</v>
      </c>
      <c r="B170" s="37" t="str">
        <f t="array" ref="B170">iferror(xlookup($I170, 'IMPORT VHC Report'!$E:$E, 'IMPORT VHC Report'!$A:$C), )</f>
        <v/>
      </c>
      <c r="C170" s="37"/>
      <c r="D170" s="37"/>
      <c r="E170" s="38" t="s">
        <v>339</v>
      </c>
      <c r="F170" s="38" t="s">
        <v>324</v>
      </c>
      <c r="G170" s="38">
        <v>3.61731515115E11</v>
      </c>
      <c r="H170" s="38" t="s">
        <v>325</v>
      </c>
      <c r="I170" s="38" t="s">
        <v>326</v>
      </c>
      <c r="J170" s="38" t="s">
        <v>134</v>
      </c>
      <c r="K170" s="38" t="s">
        <v>126</v>
      </c>
      <c r="L170" s="41">
        <v>46009.947916666664</v>
      </c>
      <c r="M170" s="38" t="s">
        <v>123</v>
      </c>
      <c r="N170" s="41">
        <v>46009.96875</v>
      </c>
      <c r="O170" s="38" t="s">
        <v>123</v>
      </c>
      <c r="P170" s="38">
        <v>1800.0</v>
      </c>
      <c r="Q170" s="39"/>
      <c r="R170" s="39"/>
      <c r="S170" s="39"/>
      <c r="T170" s="39"/>
      <c r="U170" s="39"/>
    </row>
    <row r="171">
      <c r="A171" s="40">
        <f t="shared" si="1"/>
        <v>46006</v>
      </c>
      <c r="B171" s="37" t="str">
        <f t="array" ref="B171">iferror(xlookup($I171, 'IMPORT VHC Report'!$E:$E, 'IMPORT VHC Report'!$A:$C), )</f>
        <v/>
      </c>
      <c r="C171" s="37"/>
      <c r="D171" s="37"/>
      <c r="E171" s="38" t="s">
        <v>340</v>
      </c>
      <c r="F171" s="38" t="s">
        <v>324</v>
      </c>
      <c r="G171" s="38">
        <v>3.61731515115E11</v>
      </c>
      <c r="H171" s="38" t="s">
        <v>325</v>
      </c>
      <c r="I171" s="38" t="s">
        <v>326</v>
      </c>
      <c r="J171" s="38" t="s">
        <v>4</v>
      </c>
      <c r="K171" s="38" t="s">
        <v>126</v>
      </c>
      <c r="L171" s="41">
        <v>46009.96875</v>
      </c>
      <c r="M171" s="38" t="s">
        <v>123</v>
      </c>
      <c r="N171" s="41">
        <v>46010.010416666664</v>
      </c>
      <c r="O171" s="38" t="s">
        <v>123</v>
      </c>
      <c r="P171" s="38">
        <v>3600.0</v>
      </c>
      <c r="Q171" s="39"/>
      <c r="R171" s="39"/>
      <c r="S171" s="42" t="s">
        <v>341</v>
      </c>
      <c r="T171" s="39"/>
      <c r="U171" s="39"/>
    </row>
    <row r="172">
      <c r="A172" s="40">
        <f t="shared" si="1"/>
        <v>46006</v>
      </c>
      <c r="B172" s="37" t="str">
        <f t="array" ref="B172">iferror(xlookup($I172, 'IMPORT VHC Report'!$E:$E, 'IMPORT VHC Report'!$A:$C), )</f>
        <v/>
      </c>
      <c r="C172" s="37"/>
      <c r="D172" s="37"/>
      <c r="E172" s="38" t="s">
        <v>342</v>
      </c>
      <c r="F172" s="38" t="s">
        <v>324</v>
      </c>
      <c r="G172" s="38">
        <v>3.61731515115E11</v>
      </c>
      <c r="H172" s="38" t="s">
        <v>325</v>
      </c>
      <c r="I172" s="38" t="s">
        <v>326</v>
      </c>
      <c r="J172" s="38" t="s">
        <v>132</v>
      </c>
      <c r="K172" s="38" t="s">
        <v>126</v>
      </c>
      <c r="L172" s="41">
        <v>46010.020833333336</v>
      </c>
      <c r="M172" s="38" t="s">
        <v>123</v>
      </c>
      <c r="N172" s="41">
        <v>46010.0625</v>
      </c>
      <c r="O172" s="38" t="s">
        <v>123</v>
      </c>
      <c r="P172" s="38">
        <v>3600.0</v>
      </c>
      <c r="Q172" s="39"/>
      <c r="R172" s="39"/>
      <c r="S172" s="39"/>
      <c r="T172" s="39"/>
      <c r="U172" s="39"/>
    </row>
    <row r="173">
      <c r="A173" s="40">
        <f t="shared" si="1"/>
        <v>46006</v>
      </c>
      <c r="B173" s="37" t="str">
        <f t="array" ref="B173">iferror(xlookup($I173, 'IMPORT VHC Report'!$E:$E, 'IMPORT VHC Report'!$A:$C), )</f>
        <v/>
      </c>
      <c r="C173" s="37"/>
      <c r="D173" s="37"/>
      <c r="E173" s="38" t="s">
        <v>343</v>
      </c>
      <c r="F173" s="38" t="s">
        <v>324</v>
      </c>
      <c r="G173" s="38">
        <v>3.61731515115E11</v>
      </c>
      <c r="H173" s="38" t="s">
        <v>325</v>
      </c>
      <c r="I173" s="38" t="s">
        <v>326</v>
      </c>
      <c r="J173" s="38" t="s">
        <v>330</v>
      </c>
      <c r="K173" s="38" t="s">
        <v>126</v>
      </c>
      <c r="L173" s="41">
        <v>46010.833333333336</v>
      </c>
      <c r="M173" s="38" t="s">
        <v>123</v>
      </c>
      <c r="N173" s="41">
        <v>46010.84027777778</v>
      </c>
      <c r="O173" s="38" t="s">
        <v>123</v>
      </c>
      <c r="P173" s="38">
        <v>600.0</v>
      </c>
      <c r="Q173" s="39"/>
      <c r="R173" s="39"/>
      <c r="S173" s="39"/>
      <c r="T173" s="39"/>
      <c r="U173" s="39"/>
    </row>
    <row r="174">
      <c r="A174" s="40">
        <f t="shared" si="1"/>
        <v>46006</v>
      </c>
      <c r="B174" s="37" t="str">
        <f t="array" ref="B174">iferror(xlookup($I174, 'IMPORT VHC Report'!$E:$E, 'IMPORT VHC Report'!$A:$C), )</f>
        <v/>
      </c>
      <c r="C174" s="37"/>
      <c r="D174" s="37"/>
      <c r="E174" s="38" t="s">
        <v>344</v>
      </c>
      <c r="F174" s="38" t="s">
        <v>324</v>
      </c>
      <c r="G174" s="38">
        <v>3.61731515115E11</v>
      </c>
      <c r="H174" s="38" t="s">
        <v>325</v>
      </c>
      <c r="I174" s="38" t="s">
        <v>326</v>
      </c>
      <c r="J174" s="38" t="s">
        <v>332</v>
      </c>
      <c r="K174" s="38" t="s">
        <v>63</v>
      </c>
      <c r="L174" s="41">
        <v>46010.833333333336</v>
      </c>
      <c r="M174" s="38" t="s">
        <v>123</v>
      </c>
      <c r="N174" s="41">
        <v>46011.208333333336</v>
      </c>
      <c r="O174" s="38" t="s">
        <v>123</v>
      </c>
      <c r="P174" s="38">
        <v>32400.0</v>
      </c>
      <c r="Q174" s="39"/>
      <c r="R174" s="39"/>
      <c r="S174" s="39"/>
      <c r="T174" s="39"/>
      <c r="U174" s="39"/>
    </row>
    <row r="175">
      <c r="A175" s="40">
        <f t="shared" si="1"/>
        <v>46006</v>
      </c>
      <c r="B175" s="37" t="str">
        <f t="array" ref="B175">iferror(xlookup($I175, 'IMPORT VHC Report'!$E:$E, 'IMPORT VHC Report'!$A:$C), )</f>
        <v/>
      </c>
      <c r="C175" s="37"/>
      <c r="D175" s="37"/>
      <c r="E175" s="38" t="s">
        <v>345</v>
      </c>
      <c r="F175" s="38" t="s">
        <v>324</v>
      </c>
      <c r="G175" s="38">
        <v>3.61731515115E11</v>
      </c>
      <c r="H175" s="38" t="s">
        <v>325</v>
      </c>
      <c r="I175" s="38" t="s">
        <v>326</v>
      </c>
      <c r="J175" s="38" t="s">
        <v>332</v>
      </c>
      <c r="K175" s="38" t="s">
        <v>63</v>
      </c>
      <c r="L175" s="41">
        <v>46010.916666666664</v>
      </c>
      <c r="M175" s="38" t="s">
        <v>123</v>
      </c>
      <c r="N175" s="41">
        <v>46010.958333333336</v>
      </c>
      <c r="O175" s="38" t="s">
        <v>123</v>
      </c>
      <c r="P175" s="38">
        <v>3600.0</v>
      </c>
      <c r="Q175" s="39"/>
      <c r="R175" s="39"/>
      <c r="S175" s="38" t="s">
        <v>346</v>
      </c>
      <c r="T175" s="39"/>
      <c r="U175" s="39"/>
    </row>
    <row r="176">
      <c r="A176" s="40">
        <f t="shared" si="1"/>
        <v>46006</v>
      </c>
      <c r="B176" s="37" t="str">
        <f t="array" ref="B176">iferror(xlookup($I176, 'IMPORT VHC Report'!$E:$E, 'IMPORT VHC Report'!$A:$C), )</f>
        <v/>
      </c>
      <c r="C176" s="37"/>
      <c r="D176" s="37"/>
      <c r="E176" s="38" t="s">
        <v>347</v>
      </c>
      <c r="F176" s="38" t="s">
        <v>324</v>
      </c>
      <c r="G176" s="38">
        <v>3.61731515115E11</v>
      </c>
      <c r="H176" s="38" t="s">
        <v>325</v>
      </c>
      <c r="I176" s="38" t="s">
        <v>326</v>
      </c>
      <c r="J176" s="38" t="s">
        <v>132</v>
      </c>
      <c r="K176" s="38" t="s">
        <v>126</v>
      </c>
      <c r="L176" s="41">
        <v>46010.958333333336</v>
      </c>
      <c r="M176" s="38" t="s">
        <v>123</v>
      </c>
      <c r="N176" s="41">
        <v>46011.0</v>
      </c>
      <c r="O176" s="38" t="s">
        <v>123</v>
      </c>
      <c r="P176" s="38">
        <v>3600.0</v>
      </c>
      <c r="Q176" s="39"/>
      <c r="R176" s="39"/>
      <c r="S176" s="39"/>
      <c r="T176" s="39"/>
      <c r="U176" s="39"/>
    </row>
    <row r="177">
      <c r="A177" s="40">
        <f t="shared" si="1"/>
        <v>46006</v>
      </c>
      <c r="B177" s="37" t="str">
        <f t="array" ref="B177">iferror(xlookup($I177, 'IMPORT VHC Report'!$E:$E, 'IMPORT VHC Report'!$A:$C), )</f>
        <v/>
      </c>
      <c r="C177" s="37"/>
      <c r="D177" s="37"/>
      <c r="E177" s="38" t="s">
        <v>348</v>
      </c>
      <c r="F177" s="38" t="s">
        <v>324</v>
      </c>
      <c r="G177" s="38">
        <v>3.61731515115E11</v>
      </c>
      <c r="H177" s="38" t="s">
        <v>325</v>
      </c>
      <c r="I177" s="38" t="s">
        <v>326</v>
      </c>
      <c r="J177" s="38" t="s">
        <v>134</v>
      </c>
      <c r="K177" s="38" t="s">
        <v>126</v>
      </c>
      <c r="L177" s="41">
        <v>46011.09375</v>
      </c>
      <c r="M177" s="38" t="s">
        <v>123</v>
      </c>
      <c r="N177" s="41">
        <v>46011.114583333336</v>
      </c>
      <c r="O177" s="38" t="s">
        <v>123</v>
      </c>
      <c r="P177" s="38">
        <v>1800.0</v>
      </c>
      <c r="Q177" s="39"/>
      <c r="R177" s="39"/>
      <c r="S177" s="39"/>
      <c r="T177" s="39"/>
      <c r="U177" s="39"/>
    </row>
    <row r="178">
      <c r="A178" s="40">
        <f t="shared" si="1"/>
        <v>46006</v>
      </c>
      <c r="B178" s="37" t="str">
        <f t="array" ref="B178">iferror(xlookup($I178, 'IMPORT VHC Report'!$E:$E, 'IMPORT VHC Report'!$A:$C), )</f>
        <v/>
      </c>
      <c r="C178" s="37"/>
      <c r="D178" s="37"/>
      <c r="E178" s="38" t="s">
        <v>349</v>
      </c>
      <c r="F178" s="38" t="s">
        <v>324</v>
      </c>
      <c r="G178" s="38">
        <v>3.61731515115E11</v>
      </c>
      <c r="H178" s="38" t="s">
        <v>325</v>
      </c>
      <c r="I178" s="38" t="s">
        <v>326</v>
      </c>
      <c r="J178" s="38" t="s">
        <v>332</v>
      </c>
      <c r="K178" s="38" t="s">
        <v>63</v>
      </c>
      <c r="L178" s="41">
        <v>46011.833333333336</v>
      </c>
      <c r="M178" s="38" t="s">
        <v>123</v>
      </c>
      <c r="N178" s="41">
        <v>46012.0</v>
      </c>
      <c r="O178" s="38" t="s">
        <v>123</v>
      </c>
      <c r="P178" s="38">
        <v>14400.0</v>
      </c>
      <c r="Q178" s="39"/>
      <c r="R178" s="39"/>
      <c r="S178" s="39"/>
      <c r="T178" s="39"/>
      <c r="U178" s="39"/>
    </row>
    <row r="179">
      <c r="A179" s="40">
        <f t="shared" si="1"/>
        <v>46006</v>
      </c>
      <c r="B179" s="37" t="str">
        <f t="array" ref="B179">iferror(xlookup($I179, 'IMPORT VHC Report'!$E:$E, 'IMPORT VHC Report'!$A:$C), )</f>
        <v/>
      </c>
      <c r="C179" s="37"/>
      <c r="D179" s="37"/>
      <c r="E179" s="38" t="s">
        <v>350</v>
      </c>
      <c r="F179" s="38" t="s">
        <v>324</v>
      </c>
      <c r="G179" s="38">
        <v>3.61731515115E11</v>
      </c>
      <c r="H179" s="38" t="s">
        <v>325</v>
      </c>
      <c r="I179" s="38" t="s">
        <v>326</v>
      </c>
      <c r="J179" s="38" t="s">
        <v>152</v>
      </c>
      <c r="K179" s="38" t="s">
        <v>153</v>
      </c>
      <c r="L179" s="41">
        <v>46011.833333333336</v>
      </c>
      <c r="M179" s="38" t="s">
        <v>123</v>
      </c>
      <c r="N179" s="41">
        <v>46012.166666666664</v>
      </c>
      <c r="O179" s="38" t="s">
        <v>123</v>
      </c>
      <c r="P179" s="38">
        <v>28800.0</v>
      </c>
      <c r="Q179" s="38">
        <v>28800.0</v>
      </c>
      <c r="R179" s="38" t="s">
        <v>351</v>
      </c>
      <c r="S179" s="38" t="s">
        <v>351</v>
      </c>
      <c r="T179" s="39"/>
      <c r="U179" s="39"/>
    </row>
    <row r="180">
      <c r="A180" s="40">
        <f t="shared" si="1"/>
        <v>46006</v>
      </c>
      <c r="B180" s="37" t="str">
        <f t="array" ref="B180">iferror(xlookup($I180, 'IMPORT VHC Report'!$E:$E, 'IMPORT VHC Report'!$A:$C), )</f>
        <v/>
      </c>
      <c r="C180" s="37"/>
      <c r="D180" s="37"/>
      <c r="E180" s="38" t="s">
        <v>352</v>
      </c>
      <c r="F180" s="38" t="s">
        <v>324</v>
      </c>
      <c r="G180" s="38">
        <v>3.61731515115E11</v>
      </c>
      <c r="H180" s="38" t="s">
        <v>325</v>
      </c>
      <c r="I180" s="38" t="s">
        <v>326</v>
      </c>
      <c r="J180" s="38" t="s">
        <v>134</v>
      </c>
      <c r="K180" s="38" t="s">
        <v>126</v>
      </c>
      <c r="L180" s="41">
        <v>46011.9375</v>
      </c>
      <c r="M180" s="38" t="s">
        <v>123</v>
      </c>
      <c r="N180" s="41">
        <v>46011.958333333336</v>
      </c>
      <c r="O180" s="38" t="s">
        <v>123</v>
      </c>
      <c r="P180" s="38">
        <v>1800.0</v>
      </c>
      <c r="Q180" s="39"/>
      <c r="R180" s="39"/>
      <c r="S180" s="39"/>
      <c r="T180" s="39"/>
      <c r="U180" s="39"/>
    </row>
    <row r="181">
      <c r="A181" s="40">
        <f t="shared" si="1"/>
        <v>46006</v>
      </c>
      <c r="B181" s="37" t="str">
        <f t="array" ref="B181">iferror(xlookup($I181, 'IMPORT VHC Report'!$E:$E, 'IMPORT VHC Report'!$A:$C), )</f>
        <v/>
      </c>
      <c r="C181" s="37"/>
      <c r="D181" s="37"/>
      <c r="E181" s="38" t="s">
        <v>353</v>
      </c>
      <c r="F181" s="38" t="s">
        <v>324</v>
      </c>
      <c r="G181" s="38">
        <v>3.61731515115E11</v>
      </c>
      <c r="H181" s="38" t="s">
        <v>325</v>
      </c>
      <c r="I181" s="38" t="s">
        <v>326</v>
      </c>
      <c r="J181" s="38" t="s">
        <v>132</v>
      </c>
      <c r="K181" s="38" t="s">
        <v>126</v>
      </c>
      <c r="L181" s="41">
        <v>46012.052083333336</v>
      </c>
      <c r="M181" s="38" t="s">
        <v>123</v>
      </c>
      <c r="N181" s="41">
        <v>46012.09375</v>
      </c>
      <c r="O181" s="38" t="s">
        <v>123</v>
      </c>
      <c r="P181" s="38">
        <v>3600.0</v>
      </c>
      <c r="Q181" s="39"/>
      <c r="R181" s="39"/>
      <c r="S181" s="39"/>
      <c r="T181" s="39"/>
      <c r="U181" s="39"/>
    </row>
    <row r="182">
      <c r="A182" s="40">
        <f t="shared" si="1"/>
        <v>46006</v>
      </c>
      <c r="B182" s="37" t="str">
        <f t="array" ref="B182">iferror(xlookup($I182, 'IMPORT VHC Report'!$E:$E, 'IMPORT VHC Report'!$A:$C), )</f>
        <v/>
      </c>
      <c r="C182" s="37"/>
      <c r="D182" s="37"/>
      <c r="E182" s="38" t="s">
        <v>354</v>
      </c>
      <c r="F182" s="38" t="s">
        <v>324</v>
      </c>
      <c r="G182" s="38">
        <v>3.61731515115E11</v>
      </c>
      <c r="H182" s="38" t="s">
        <v>325</v>
      </c>
      <c r="I182" s="38" t="s">
        <v>326</v>
      </c>
      <c r="J182" s="38" t="s">
        <v>330</v>
      </c>
      <c r="K182" s="38" t="s">
        <v>126</v>
      </c>
      <c r="L182" s="41">
        <v>46012.833333333336</v>
      </c>
      <c r="M182" s="38" t="s">
        <v>123</v>
      </c>
      <c r="N182" s="41">
        <v>46012.84027777778</v>
      </c>
      <c r="O182" s="38" t="s">
        <v>123</v>
      </c>
      <c r="P182" s="38">
        <v>600.0</v>
      </c>
      <c r="Q182" s="39"/>
      <c r="R182" s="39"/>
      <c r="S182" s="39"/>
      <c r="T182" s="39"/>
      <c r="U182" s="39"/>
    </row>
    <row r="183">
      <c r="A183" s="40">
        <f t="shared" si="1"/>
        <v>46006</v>
      </c>
      <c r="B183" s="37" t="str">
        <f t="array" ref="B183">iferror(xlookup($I183, 'IMPORT VHC Report'!$E:$E, 'IMPORT VHC Report'!$A:$C), )</f>
        <v/>
      </c>
      <c r="C183" s="37"/>
      <c r="D183" s="37"/>
      <c r="E183" s="38" t="s">
        <v>355</v>
      </c>
      <c r="F183" s="38" t="s">
        <v>324</v>
      </c>
      <c r="G183" s="38">
        <v>3.61731515115E11</v>
      </c>
      <c r="H183" s="38" t="s">
        <v>325</v>
      </c>
      <c r="I183" s="38" t="s">
        <v>326</v>
      </c>
      <c r="J183" s="38" t="s">
        <v>152</v>
      </c>
      <c r="K183" s="38" t="s">
        <v>153</v>
      </c>
      <c r="L183" s="41">
        <v>46012.833333333336</v>
      </c>
      <c r="M183" s="38" t="s">
        <v>123</v>
      </c>
      <c r="N183" s="41">
        <v>46013.208333333336</v>
      </c>
      <c r="O183" s="38" t="s">
        <v>123</v>
      </c>
      <c r="P183" s="38">
        <v>32400.0</v>
      </c>
      <c r="Q183" s="38">
        <v>32400.0</v>
      </c>
      <c r="R183" s="39"/>
      <c r="S183" s="39"/>
      <c r="T183" s="39"/>
      <c r="U183" s="39"/>
    </row>
    <row r="184">
      <c r="A184" s="40">
        <f t="shared" si="1"/>
        <v>46006</v>
      </c>
      <c r="B184" s="37" t="str">
        <f t="array" ref="B184">iferror(xlookup($I184, 'IMPORT VHC Report'!$E:$E, 'IMPORT VHC Report'!$A:$C), )</f>
        <v/>
      </c>
      <c r="C184" s="37"/>
      <c r="D184" s="37"/>
      <c r="E184" s="38" t="s">
        <v>356</v>
      </c>
      <c r="F184" s="38" t="s">
        <v>324</v>
      </c>
      <c r="G184" s="38">
        <v>3.61731515115E11</v>
      </c>
      <c r="H184" s="38" t="s">
        <v>325</v>
      </c>
      <c r="I184" s="38" t="s">
        <v>326</v>
      </c>
      <c r="J184" s="38" t="s">
        <v>134</v>
      </c>
      <c r="K184" s="38" t="s">
        <v>126</v>
      </c>
      <c r="L184" s="41">
        <v>46012.9375</v>
      </c>
      <c r="M184" s="38" t="s">
        <v>123</v>
      </c>
      <c r="N184" s="41">
        <v>46012.958333333336</v>
      </c>
      <c r="O184" s="38" t="s">
        <v>123</v>
      </c>
      <c r="P184" s="38">
        <v>1800.0</v>
      </c>
      <c r="Q184" s="39"/>
      <c r="R184" s="39"/>
      <c r="S184" s="39"/>
      <c r="T184" s="39"/>
      <c r="U184" s="39"/>
    </row>
    <row r="185">
      <c r="A185" s="40">
        <f t="shared" si="1"/>
        <v>45999</v>
      </c>
      <c r="B185" s="37" t="str">
        <f t="array" ref="B185">iferror(xlookup($I185, 'IMPORT VHC Report'!$E:$E, 'IMPORT VHC Report'!$A:$C), )</f>
        <v/>
      </c>
      <c r="C185" s="37"/>
      <c r="D185" s="37"/>
      <c r="E185" s="38" t="s">
        <v>357</v>
      </c>
      <c r="F185" s="38" t="s">
        <v>358</v>
      </c>
      <c r="G185" s="38">
        <v>3.61725374416E11</v>
      </c>
      <c r="H185" s="38" t="s">
        <v>359</v>
      </c>
      <c r="I185" s="38" t="s">
        <v>360</v>
      </c>
      <c r="J185" s="38" t="s">
        <v>178</v>
      </c>
      <c r="K185" s="38" t="s">
        <v>153</v>
      </c>
      <c r="L185" s="41">
        <v>46005.833333333336</v>
      </c>
      <c r="M185" s="38" t="s">
        <v>123</v>
      </c>
      <c r="N185" s="41">
        <v>46006.208333333336</v>
      </c>
      <c r="O185" s="38" t="s">
        <v>123</v>
      </c>
      <c r="P185" s="38">
        <v>32400.0</v>
      </c>
      <c r="Q185" s="38">
        <v>32400.0</v>
      </c>
      <c r="R185" s="38" t="s">
        <v>361</v>
      </c>
      <c r="S185" s="38" t="s">
        <v>361</v>
      </c>
      <c r="T185" s="39"/>
      <c r="U185" s="39"/>
    </row>
    <row r="186">
      <c r="A186" s="40">
        <f t="shared" si="1"/>
        <v>45999</v>
      </c>
      <c r="B186" s="37" t="str">
        <f t="array" ref="B186">iferror(xlookup($I186, 'IMPORT VHC Report'!$E:$E, 'IMPORT VHC Report'!$A:$C), )</f>
        <v/>
      </c>
      <c r="C186" s="37"/>
      <c r="D186" s="37"/>
      <c r="E186" s="38" t="s">
        <v>362</v>
      </c>
      <c r="F186" s="38" t="s">
        <v>358</v>
      </c>
      <c r="G186" s="38">
        <v>3.61725374416E11</v>
      </c>
      <c r="H186" s="38" t="s">
        <v>359</v>
      </c>
      <c r="I186" s="38" t="s">
        <v>360</v>
      </c>
      <c r="J186" s="38" t="s">
        <v>363</v>
      </c>
      <c r="K186" s="38" t="s">
        <v>63</v>
      </c>
      <c r="L186" s="41">
        <v>46005.833333333336</v>
      </c>
      <c r="M186" s="38" t="s">
        <v>123</v>
      </c>
      <c r="N186" s="41">
        <v>46006.208333333336</v>
      </c>
      <c r="O186" s="38" t="s">
        <v>123</v>
      </c>
      <c r="P186" s="38">
        <v>32400.0</v>
      </c>
      <c r="Q186" s="39"/>
      <c r="R186" s="39"/>
      <c r="S186" s="39"/>
      <c r="T186" s="39"/>
      <c r="U186" s="39"/>
    </row>
    <row r="187">
      <c r="A187" s="40">
        <f t="shared" si="1"/>
        <v>46006</v>
      </c>
      <c r="B187" s="37" t="str">
        <f t="array" ref="B187">iferror(xlookup($I187, 'IMPORT VHC Report'!$E:$E, 'IMPORT VHC Report'!$A:$C), )</f>
        <v/>
      </c>
      <c r="C187" s="37"/>
      <c r="D187" s="37"/>
      <c r="E187" s="38" t="s">
        <v>364</v>
      </c>
      <c r="F187" s="38" t="s">
        <v>358</v>
      </c>
      <c r="G187" s="38">
        <v>3.61725374416E11</v>
      </c>
      <c r="H187" s="38" t="s">
        <v>359</v>
      </c>
      <c r="I187" s="38" t="s">
        <v>360</v>
      </c>
      <c r="J187" s="38" t="s">
        <v>134</v>
      </c>
      <c r="K187" s="38" t="s">
        <v>126</v>
      </c>
      <c r="L187" s="41">
        <v>46006.0</v>
      </c>
      <c r="M187" s="38" t="s">
        <v>123</v>
      </c>
      <c r="N187" s="41">
        <v>46006.020833333336</v>
      </c>
      <c r="O187" s="38" t="s">
        <v>123</v>
      </c>
      <c r="P187" s="38">
        <v>1800.0</v>
      </c>
      <c r="Q187" s="39"/>
      <c r="R187" s="39"/>
      <c r="S187" s="39"/>
      <c r="T187" s="39"/>
      <c r="U187" s="39"/>
    </row>
    <row r="188">
      <c r="A188" s="40">
        <f t="shared" si="1"/>
        <v>46006</v>
      </c>
      <c r="B188" s="37" t="str">
        <f t="array" ref="B188">iferror(xlookup($I188, 'IMPORT VHC Report'!$E:$E, 'IMPORT VHC Report'!$A:$C), )</f>
        <v/>
      </c>
      <c r="C188" s="37"/>
      <c r="D188" s="37"/>
      <c r="E188" s="38" t="s">
        <v>365</v>
      </c>
      <c r="F188" s="38" t="s">
        <v>358</v>
      </c>
      <c r="G188" s="38">
        <v>3.61725374416E11</v>
      </c>
      <c r="H188" s="38" t="s">
        <v>359</v>
      </c>
      <c r="I188" s="38" t="s">
        <v>360</v>
      </c>
      <c r="J188" s="38" t="s">
        <v>132</v>
      </c>
      <c r="K188" s="38" t="s">
        <v>126</v>
      </c>
      <c r="L188" s="41">
        <v>46006.114583333336</v>
      </c>
      <c r="M188" s="38" t="s">
        <v>123</v>
      </c>
      <c r="N188" s="41">
        <v>46006.15625</v>
      </c>
      <c r="O188" s="38" t="s">
        <v>123</v>
      </c>
      <c r="P188" s="38">
        <v>3600.0</v>
      </c>
      <c r="Q188" s="39"/>
      <c r="R188" s="39"/>
      <c r="S188" s="39"/>
      <c r="T188" s="39"/>
      <c r="U188" s="39"/>
    </row>
    <row r="189">
      <c r="A189" s="40">
        <f t="shared" si="1"/>
        <v>46006</v>
      </c>
      <c r="B189" s="37" t="str">
        <f t="array" ref="B189">iferror(xlookup($I189, 'IMPORT VHC Report'!$E:$E, 'IMPORT VHC Report'!$A:$C), )</f>
        <v/>
      </c>
      <c r="C189" s="37"/>
      <c r="D189" s="37"/>
      <c r="E189" s="38" t="s">
        <v>366</v>
      </c>
      <c r="F189" s="38" t="s">
        <v>358</v>
      </c>
      <c r="G189" s="38">
        <v>3.61725374416E11</v>
      </c>
      <c r="H189" s="38" t="s">
        <v>359</v>
      </c>
      <c r="I189" s="38" t="s">
        <v>360</v>
      </c>
      <c r="J189" s="38" t="s">
        <v>178</v>
      </c>
      <c r="K189" s="38" t="s">
        <v>153</v>
      </c>
      <c r="L189" s="41">
        <v>46008.833333333336</v>
      </c>
      <c r="M189" s="38" t="s">
        <v>123</v>
      </c>
      <c r="N189" s="41">
        <v>46009.208333333336</v>
      </c>
      <c r="O189" s="38" t="s">
        <v>123</v>
      </c>
      <c r="P189" s="38">
        <v>32400.0</v>
      </c>
      <c r="Q189" s="38">
        <v>32400.0</v>
      </c>
      <c r="R189" s="38" t="s">
        <v>361</v>
      </c>
      <c r="S189" s="38" t="s">
        <v>361</v>
      </c>
      <c r="T189" s="39"/>
      <c r="U189" s="39"/>
    </row>
    <row r="190">
      <c r="A190" s="40">
        <f t="shared" si="1"/>
        <v>46006</v>
      </c>
      <c r="B190" s="37" t="str">
        <f t="array" ref="B190">iferror(xlookup($I190, 'IMPORT VHC Report'!$E:$E, 'IMPORT VHC Report'!$A:$C), )</f>
        <v/>
      </c>
      <c r="C190" s="37"/>
      <c r="D190" s="37"/>
      <c r="E190" s="38" t="s">
        <v>367</v>
      </c>
      <c r="F190" s="38" t="s">
        <v>358</v>
      </c>
      <c r="G190" s="38">
        <v>3.61725374416E11</v>
      </c>
      <c r="H190" s="38" t="s">
        <v>359</v>
      </c>
      <c r="I190" s="38" t="s">
        <v>360</v>
      </c>
      <c r="J190" s="38" t="s">
        <v>368</v>
      </c>
      <c r="K190" s="38" t="s">
        <v>63</v>
      </c>
      <c r="L190" s="41">
        <v>46008.833333333336</v>
      </c>
      <c r="M190" s="38" t="s">
        <v>123</v>
      </c>
      <c r="N190" s="41">
        <v>46009.208333333336</v>
      </c>
      <c r="O190" s="38" t="s">
        <v>123</v>
      </c>
      <c r="P190" s="38">
        <v>32400.0</v>
      </c>
      <c r="Q190" s="39"/>
      <c r="R190" s="39"/>
      <c r="S190" s="39"/>
      <c r="T190" s="39"/>
      <c r="U190" s="39"/>
    </row>
    <row r="191">
      <c r="A191" s="40">
        <f t="shared" si="1"/>
        <v>46006</v>
      </c>
      <c r="B191" s="37" t="str">
        <f t="array" ref="B191">iferror(xlookup($I191, 'IMPORT VHC Report'!$E:$E, 'IMPORT VHC Report'!$A:$C), )</f>
        <v/>
      </c>
      <c r="C191" s="37"/>
      <c r="D191" s="37"/>
      <c r="E191" s="38" t="s">
        <v>369</v>
      </c>
      <c r="F191" s="38" t="s">
        <v>358</v>
      </c>
      <c r="G191" s="38">
        <v>3.61725374416E11</v>
      </c>
      <c r="H191" s="38" t="s">
        <v>359</v>
      </c>
      <c r="I191" s="38" t="s">
        <v>360</v>
      </c>
      <c r="J191" s="38" t="s">
        <v>134</v>
      </c>
      <c r="K191" s="38" t="s">
        <v>126</v>
      </c>
      <c r="L191" s="41">
        <v>46008.916666666664</v>
      </c>
      <c r="M191" s="38" t="s">
        <v>123</v>
      </c>
      <c r="N191" s="41">
        <v>46008.9375</v>
      </c>
      <c r="O191" s="38" t="s">
        <v>123</v>
      </c>
      <c r="P191" s="38">
        <v>1800.0</v>
      </c>
      <c r="Q191" s="39"/>
      <c r="R191" s="39"/>
      <c r="S191" s="39"/>
      <c r="T191" s="39"/>
      <c r="U191" s="39"/>
    </row>
    <row r="192">
      <c r="A192" s="40">
        <f t="shared" si="1"/>
        <v>46006</v>
      </c>
      <c r="B192" s="37" t="str">
        <f t="array" ref="B192">iferror(xlookup($I192, 'IMPORT VHC Report'!$E:$E, 'IMPORT VHC Report'!$A:$C), )</f>
        <v/>
      </c>
      <c r="C192" s="37"/>
      <c r="D192" s="37"/>
      <c r="E192" s="38" t="s">
        <v>370</v>
      </c>
      <c r="F192" s="38" t="s">
        <v>358</v>
      </c>
      <c r="G192" s="38">
        <v>3.61725374416E11</v>
      </c>
      <c r="H192" s="38" t="s">
        <v>359</v>
      </c>
      <c r="I192" s="38" t="s">
        <v>360</v>
      </c>
      <c r="J192" s="38" t="s">
        <v>132</v>
      </c>
      <c r="K192" s="38" t="s">
        <v>126</v>
      </c>
      <c r="L192" s="41">
        <v>46009.125</v>
      </c>
      <c r="M192" s="38" t="s">
        <v>123</v>
      </c>
      <c r="N192" s="41">
        <v>46009.166666666664</v>
      </c>
      <c r="O192" s="38" t="s">
        <v>123</v>
      </c>
      <c r="P192" s="38">
        <v>3600.0</v>
      </c>
      <c r="Q192" s="39"/>
      <c r="R192" s="39"/>
      <c r="S192" s="39"/>
      <c r="T192" s="39"/>
      <c r="U192" s="39"/>
    </row>
    <row r="193">
      <c r="A193" s="40">
        <f t="shared" si="1"/>
        <v>46006</v>
      </c>
      <c r="B193" s="37" t="str">
        <f t="array" ref="B193">iferror(xlookup($I193, 'IMPORT VHC Report'!$E:$E, 'IMPORT VHC Report'!$A:$C), )</f>
        <v/>
      </c>
      <c r="C193" s="37"/>
      <c r="D193" s="37"/>
      <c r="E193" s="38" t="s">
        <v>371</v>
      </c>
      <c r="F193" s="38" t="s">
        <v>358</v>
      </c>
      <c r="G193" s="38">
        <v>3.61725374416E11</v>
      </c>
      <c r="H193" s="38" t="s">
        <v>359</v>
      </c>
      <c r="I193" s="38" t="s">
        <v>360</v>
      </c>
      <c r="J193" s="38" t="s">
        <v>178</v>
      </c>
      <c r="K193" s="38" t="s">
        <v>153</v>
      </c>
      <c r="L193" s="41">
        <v>46009.833333333336</v>
      </c>
      <c r="M193" s="38" t="s">
        <v>123</v>
      </c>
      <c r="N193" s="41">
        <v>46010.208333333336</v>
      </c>
      <c r="O193" s="38" t="s">
        <v>123</v>
      </c>
      <c r="P193" s="38">
        <v>32400.0</v>
      </c>
      <c r="Q193" s="38">
        <v>32400.0</v>
      </c>
      <c r="R193" s="38" t="s">
        <v>361</v>
      </c>
      <c r="S193" s="38" t="s">
        <v>361</v>
      </c>
      <c r="T193" s="39"/>
      <c r="U193" s="39"/>
    </row>
    <row r="194">
      <c r="A194" s="40">
        <f t="shared" si="1"/>
        <v>46006</v>
      </c>
      <c r="B194" s="37" t="str">
        <f t="array" ref="B194">iferror(xlookup($I194, 'IMPORT VHC Report'!$E:$E, 'IMPORT VHC Report'!$A:$C), )</f>
        <v/>
      </c>
      <c r="C194" s="37"/>
      <c r="D194" s="37"/>
      <c r="E194" s="38" t="s">
        <v>372</v>
      </c>
      <c r="F194" s="38" t="s">
        <v>358</v>
      </c>
      <c r="G194" s="38">
        <v>3.61725374416E11</v>
      </c>
      <c r="H194" s="38" t="s">
        <v>359</v>
      </c>
      <c r="I194" s="38" t="s">
        <v>360</v>
      </c>
      <c r="J194" s="38" t="s">
        <v>134</v>
      </c>
      <c r="K194" s="38" t="s">
        <v>126</v>
      </c>
      <c r="L194" s="41">
        <v>46009.90625</v>
      </c>
      <c r="M194" s="38" t="s">
        <v>123</v>
      </c>
      <c r="N194" s="41">
        <v>46009.927083333336</v>
      </c>
      <c r="O194" s="38" t="s">
        <v>123</v>
      </c>
      <c r="P194" s="38">
        <v>1800.0</v>
      </c>
      <c r="Q194" s="39"/>
      <c r="R194" s="39"/>
      <c r="S194" s="39"/>
      <c r="T194" s="39"/>
      <c r="U194" s="39"/>
    </row>
    <row r="195">
      <c r="A195" s="40">
        <f t="shared" si="1"/>
        <v>46006</v>
      </c>
      <c r="B195" s="37" t="str">
        <f t="array" ref="B195">iferror(xlookup($I195, 'IMPORT VHC Report'!$E:$E, 'IMPORT VHC Report'!$A:$C), )</f>
        <v/>
      </c>
      <c r="C195" s="37"/>
      <c r="D195" s="37"/>
      <c r="E195" s="38" t="s">
        <v>373</v>
      </c>
      <c r="F195" s="38" t="s">
        <v>358</v>
      </c>
      <c r="G195" s="38">
        <v>3.61725374416E11</v>
      </c>
      <c r="H195" s="38" t="s">
        <v>359</v>
      </c>
      <c r="I195" s="38" t="s">
        <v>360</v>
      </c>
      <c r="J195" s="38" t="s">
        <v>132</v>
      </c>
      <c r="K195" s="38" t="s">
        <v>126</v>
      </c>
      <c r="L195" s="41">
        <v>46010.041666666664</v>
      </c>
      <c r="M195" s="38" t="s">
        <v>123</v>
      </c>
      <c r="N195" s="41">
        <v>46010.083333333336</v>
      </c>
      <c r="O195" s="38" t="s">
        <v>123</v>
      </c>
      <c r="P195" s="38">
        <v>3600.0</v>
      </c>
      <c r="Q195" s="39"/>
      <c r="R195" s="39"/>
      <c r="S195" s="39"/>
      <c r="T195" s="39"/>
      <c r="U195" s="39"/>
    </row>
    <row r="196">
      <c r="A196" s="40">
        <f t="shared" si="1"/>
        <v>46006</v>
      </c>
      <c r="B196" s="37" t="str">
        <f t="array" ref="B196">iferror(xlookup($I196, 'IMPORT VHC Report'!$E:$E, 'IMPORT VHC Report'!$A:$C), )</f>
        <v/>
      </c>
      <c r="C196" s="37"/>
      <c r="D196" s="37"/>
      <c r="E196" s="38" t="s">
        <v>374</v>
      </c>
      <c r="F196" s="38" t="s">
        <v>358</v>
      </c>
      <c r="G196" s="38">
        <v>3.61725374416E11</v>
      </c>
      <c r="H196" s="38" t="s">
        <v>359</v>
      </c>
      <c r="I196" s="38" t="s">
        <v>360</v>
      </c>
      <c r="J196" s="38" t="s">
        <v>178</v>
      </c>
      <c r="K196" s="38" t="s">
        <v>153</v>
      </c>
      <c r="L196" s="41">
        <v>46010.833333333336</v>
      </c>
      <c r="M196" s="38" t="s">
        <v>123</v>
      </c>
      <c r="N196" s="41">
        <v>46011.208333333336</v>
      </c>
      <c r="O196" s="38" t="s">
        <v>123</v>
      </c>
      <c r="P196" s="38">
        <v>32400.0</v>
      </c>
      <c r="Q196" s="38">
        <v>32400.0</v>
      </c>
      <c r="R196" s="38" t="s">
        <v>361</v>
      </c>
      <c r="S196" s="38" t="s">
        <v>361</v>
      </c>
      <c r="T196" s="39"/>
      <c r="U196" s="39"/>
    </row>
    <row r="197">
      <c r="A197" s="40">
        <f t="shared" si="1"/>
        <v>46006</v>
      </c>
      <c r="B197" s="37" t="str">
        <f t="array" ref="B197">iferror(xlookup($I197, 'IMPORT VHC Report'!$E:$E, 'IMPORT VHC Report'!$A:$C), )</f>
        <v/>
      </c>
      <c r="C197" s="37"/>
      <c r="D197" s="37"/>
      <c r="E197" s="38" t="s">
        <v>375</v>
      </c>
      <c r="F197" s="38" t="s">
        <v>358</v>
      </c>
      <c r="G197" s="38">
        <v>3.61725374416E11</v>
      </c>
      <c r="H197" s="38" t="s">
        <v>359</v>
      </c>
      <c r="I197" s="38" t="s">
        <v>360</v>
      </c>
      <c r="J197" s="38" t="s">
        <v>368</v>
      </c>
      <c r="K197" s="38" t="s">
        <v>63</v>
      </c>
      <c r="L197" s="41">
        <v>46010.833333333336</v>
      </c>
      <c r="M197" s="38" t="s">
        <v>123</v>
      </c>
      <c r="N197" s="41">
        <v>46011.208333333336</v>
      </c>
      <c r="O197" s="38" t="s">
        <v>123</v>
      </c>
      <c r="P197" s="38">
        <v>32400.0</v>
      </c>
      <c r="Q197" s="39"/>
      <c r="R197" s="39"/>
      <c r="S197" s="39"/>
      <c r="T197" s="39"/>
      <c r="U197" s="39"/>
    </row>
    <row r="198">
      <c r="A198" s="40">
        <f t="shared" si="1"/>
        <v>46006</v>
      </c>
      <c r="B198" s="37" t="str">
        <f t="array" ref="B198">iferror(xlookup($I198, 'IMPORT VHC Report'!$E:$E, 'IMPORT VHC Report'!$A:$C), )</f>
        <v/>
      </c>
      <c r="C198" s="37"/>
      <c r="D198" s="37"/>
      <c r="E198" s="38" t="s">
        <v>376</v>
      </c>
      <c r="F198" s="38" t="s">
        <v>358</v>
      </c>
      <c r="G198" s="38">
        <v>3.61725374416E11</v>
      </c>
      <c r="H198" s="38" t="s">
        <v>359</v>
      </c>
      <c r="I198" s="38" t="s">
        <v>360</v>
      </c>
      <c r="J198" s="38" t="s">
        <v>134</v>
      </c>
      <c r="K198" s="38" t="s">
        <v>126</v>
      </c>
      <c r="L198" s="41">
        <v>46010.90625</v>
      </c>
      <c r="M198" s="38" t="s">
        <v>123</v>
      </c>
      <c r="N198" s="41">
        <v>46010.927083333336</v>
      </c>
      <c r="O198" s="38" t="s">
        <v>123</v>
      </c>
      <c r="P198" s="38">
        <v>1800.0</v>
      </c>
      <c r="Q198" s="39"/>
      <c r="R198" s="39"/>
      <c r="S198" s="39"/>
      <c r="T198" s="39"/>
      <c r="U198" s="39"/>
    </row>
    <row r="199">
      <c r="A199" s="40">
        <f t="shared" si="1"/>
        <v>46006</v>
      </c>
      <c r="B199" s="37" t="str">
        <f t="array" ref="B199">iferror(xlookup($I199, 'IMPORT VHC Report'!$E:$E, 'IMPORT VHC Report'!$A:$C), )</f>
        <v/>
      </c>
      <c r="C199" s="37"/>
      <c r="D199" s="37"/>
      <c r="E199" s="38" t="s">
        <v>377</v>
      </c>
      <c r="F199" s="38" t="s">
        <v>358</v>
      </c>
      <c r="G199" s="38">
        <v>3.61725374416E11</v>
      </c>
      <c r="H199" s="38" t="s">
        <v>359</v>
      </c>
      <c r="I199" s="38" t="s">
        <v>360</v>
      </c>
      <c r="J199" s="38" t="s">
        <v>132</v>
      </c>
      <c r="K199" s="38" t="s">
        <v>126</v>
      </c>
      <c r="L199" s="41">
        <v>46011.09375</v>
      </c>
      <c r="M199" s="38" t="s">
        <v>123</v>
      </c>
      <c r="N199" s="41">
        <v>46011.135416666664</v>
      </c>
      <c r="O199" s="38" t="s">
        <v>123</v>
      </c>
      <c r="P199" s="38">
        <v>3600.0</v>
      </c>
      <c r="Q199" s="39"/>
      <c r="R199" s="39"/>
      <c r="S199" s="39"/>
      <c r="T199" s="39"/>
      <c r="U199" s="39"/>
    </row>
    <row r="200">
      <c r="A200" s="40">
        <f t="shared" si="1"/>
        <v>46006</v>
      </c>
      <c r="B200" s="37" t="str">
        <f t="array" ref="B200">iferror(xlookup($I200, 'IMPORT VHC Report'!$E:$E, 'IMPORT VHC Report'!$A:$C), )</f>
        <v/>
      </c>
      <c r="C200" s="37"/>
      <c r="D200" s="37"/>
      <c r="E200" s="38" t="s">
        <v>378</v>
      </c>
      <c r="F200" s="38" t="s">
        <v>358</v>
      </c>
      <c r="G200" s="38">
        <v>3.61725374416E11</v>
      </c>
      <c r="H200" s="38" t="s">
        <v>359</v>
      </c>
      <c r="I200" s="38" t="s">
        <v>360</v>
      </c>
      <c r="J200" s="38" t="s">
        <v>178</v>
      </c>
      <c r="K200" s="38" t="s">
        <v>153</v>
      </c>
      <c r="L200" s="41">
        <v>46011.833333333336</v>
      </c>
      <c r="M200" s="38" t="s">
        <v>123</v>
      </c>
      <c r="N200" s="41">
        <v>46012.208333333336</v>
      </c>
      <c r="O200" s="38" t="s">
        <v>123</v>
      </c>
      <c r="P200" s="38">
        <v>32400.0</v>
      </c>
      <c r="Q200" s="38">
        <v>32400.0</v>
      </c>
      <c r="R200" s="38" t="s">
        <v>379</v>
      </c>
      <c r="S200" s="38" t="s">
        <v>379</v>
      </c>
      <c r="T200" s="39"/>
      <c r="U200" s="39"/>
    </row>
    <row r="201">
      <c r="A201" s="40">
        <f t="shared" si="1"/>
        <v>46006</v>
      </c>
      <c r="B201" s="37" t="str">
        <f t="array" ref="B201">iferror(xlookup($I201, 'IMPORT VHC Report'!$E:$E, 'IMPORT VHC Report'!$A:$C), )</f>
        <v/>
      </c>
      <c r="C201" s="37"/>
      <c r="D201" s="37"/>
      <c r="E201" s="38" t="s">
        <v>380</v>
      </c>
      <c r="F201" s="38" t="s">
        <v>358</v>
      </c>
      <c r="G201" s="38">
        <v>3.61725374416E11</v>
      </c>
      <c r="H201" s="38" t="s">
        <v>359</v>
      </c>
      <c r="I201" s="38" t="s">
        <v>360</v>
      </c>
      <c r="J201" s="38" t="s">
        <v>134</v>
      </c>
      <c r="K201" s="38" t="s">
        <v>126</v>
      </c>
      <c r="L201" s="41">
        <v>46011.947916666664</v>
      </c>
      <c r="M201" s="38" t="s">
        <v>123</v>
      </c>
      <c r="N201" s="41">
        <v>46011.96875</v>
      </c>
      <c r="O201" s="38" t="s">
        <v>123</v>
      </c>
      <c r="P201" s="38">
        <v>1800.0</v>
      </c>
      <c r="Q201" s="39"/>
      <c r="R201" s="39"/>
      <c r="S201" s="39"/>
      <c r="T201" s="39"/>
      <c r="U201" s="39"/>
    </row>
    <row r="202">
      <c r="A202" s="40">
        <f t="shared" si="1"/>
        <v>46006</v>
      </c>
      <c r="B202" s="37" t="str">
        <f t="array" ref="B202">iferror(xlookup($I202, 'IMPORT VHC Report'!$E:$E, 'IMPORT VHC Report'!$A:$C), )</f>
        <v/>
      </c>
      <c r="C202" s="37"/>
      <c r="D202" s="37"/>
      <c r="E202" s="38" t="s">
        <v>381</v>
      </c>
      <c r="F202" s="38" t="s">
        <v>358</v>
      </c>
      <c r="G202" s="38">
        <v>3.61725374416E11</v>
      </c>
      <c r="H202" s="38" t="s">
        <v>359</v>
      </c>
      <c r="I202" s="38" t="s">
        <v>360</v>
      </c>
      <c r="J202" s="38" t="s">
        <v>132</v>
      </c>
      <c r="K202" s="38" t="s">
        <v>126</v>
      </c>
      <c r="L202" s="41">
        <v>46012.09375</v>
      </c>
      <c r="M202" s="38" t="s">
        <v>123</v>
      </c>
      <c r="N202" s="41">
        <v>46012.135416666664</v>
      </c>
      <c r="O202" s="38" t="s">
        <v>123</v>
      </c>
      <c r="P202" s="38">
        <v>3600.0</v>
      </c>
      <c r="Q202" s="39"/>
      <c r="R202" s="39"/>
      <c r="S202" s="39"/>
      <c r="T202" s="39"/>
      <c r="U202" s="39"/>
    </row>
    <row r="203">
      <c r="A203" s="40">
        <f t="shared" si="1"/>
        <v>46006</v>
      </c>
      <c r="B203" s="37" t="str">
        <f t="array" ref="B203">iferror(xlookup($I203, 'IMPORT VHC Report'!$E:$E, 'IMPORT VHC Report'!$A:$C), )</f>
        <v/>
      </c>
      <c r="C203" s="37"/>
      <c r="D203" s="37"/>
      <c r="E203" s="38" t="s">
        <v>382</v>
      </c>
      <c r="F203" s="38" t="s">
        <v>358</v>
      </c>
      <c r="G203" s="38">
        <v>3.61725374416E11</v>
      </c>
      <c r="H203" s="38" t="s">
        <v>359</v>
      </c>
      <c r="I203" s="38" t="s">
        <v>360</v>
      </c>
      <c r="J203" s="38" t="s">
        <v>178</v>
      </c>
      <c r="K203" s="38" t="s">
        <v>153</v>
      </c>
      <c r="L203" s="41">
        <v>46012.833333333336</v>
      </c>
      <c r="M203" s="38" t="s">
        <v>123</v>
      </c>
      <c r="N203" s="41">
        <v>46013.208333333336</v>
      </c>
      <c r="O203" s="38" t="s">
        <v>123</v>
      </c>
      <c r="P203" s="38">
        <v>32400.0</v>
      </c>
      <c r="Q203" s="38">
        <v>32400.0</v>
      </c>
      <c r="R203" s="38" t="s">
        <v>361</v>
      </c>
      <c r="S203" s="38" t="s">
        <v>361</v>
      </c>
      <c r="T203" s="39"/>
      <c r="U203" s="39"/>
    </row>
    <row r="204">
      <c r="A204" s="40">
        <f t="shared" si="1"/>
        <v>46006</v>
      </c>
      <c r="B204" s="37" t="str">
        <f t="array" ref="B204">iferror(xlookup($I204, 'IMPORT VHC Report'!$E:$E, 'IMPORT VHC Report'!$A:$C), )</f>
        <v/>
      </c>
      <c r="C204" s="37"/>
      <c r="D204" s="37"/>
      <c r="E204" s="38" t="s">
        <v>383</v>
      </c>
      <c r="F204" s="38" t="s">
        <v>358</v>
      </c>
      <c r="G204" s="38">
        <v>3.61725374416E11</v>
      </c>
      <c r="H204" s="38" t="s">
        <v>359</v>
      </c>
      <c r="I204" s="38" t="s">
        <v>360</v>
      </c>
      <c r="J204" s="38" t="s">
        <v>368</v>
      </c>
      <c r="K204" s="38" t="s">
        <v>63</v>
      </c>
      <c r="L204" s="41">
        <v>46012.833333333336</v>
      </c>
      <c r="M204" s="38" t="s">
        <v>123</v>
      </c>
      <c r="N204" s="41">
        <v>46013.208333333336</v>
      </c>
      <c r="O204" s="38" t="s">
        <v>123</v>
      </c>
      <c r="P204" s="38">
        <v>32400.0</v>
      </c>
      <c r="Q204" s="39"/>
      <c r="R204" s="39"/>
      <c r="S204" s="39"/>
      <c r="T204" s="39"/>
      <c r="U204" s="39"/>
    </row>
    <row r="205">
      <c r="A205" s="40">
        <f t="shared" si="1"/>
        <v>46006</v>
      </c>
      <c r="B205" s="37" t="str">
        <f t="array" ref="B205">iferror(xlookup($I205, 'IMPORT VHC Report'!$E:$E, 'IMPORT VHC Report'!$A:$C), )</f>
        <v/>
      </c>
      <c r="C205" s="37"/>
      <c r="D205" s="37"/>
      <c r="E205" s="38" t="s">
        <v>384</v>
      </c>
      <c r="F205" s="38" t="s">
        <v>358</v>
      </c>
      <c r="G205" s="38">
        <v>3.61725374416E11</v>
      </c>
      <c r="H205" s="38" t="s">
        <v>359</v>
      </c>
      <c r="I205" s="38" t="s">
        <v>360</v>
      </c>
      <c r="J205" s="38" t="s">
        <v>134</v>
      </c>
      <c r="K205" s="38" t="s">
        <v>126</v>
      </c>
      <c r="L205" s="41">
        <v>46012.958333333336</v>
      </c>
      <c r="M205" s="38" t="s">
        <v>123</v>
      </c>
      <c r="N205" s="41">
        <v>46012.979166666664</v>
      </c>
      <c r="O205" s="38" t="s">
        <v>123</v>
      </c>
      <c r="P205" s="38">
        <v>1800.0</v>
      </c>
      <c r="Q205" s="39"/>
      <c r="R205" s="39"/>
      <c r="S205" s="39"/>
      <c r="T205" s="39"/>
      <c r="U205" s="39"/>
    </row>
    <row r="206">
      <c r="A206" s="40">
        <f t="shared" si="1"/>
        <v>45999</v>
      </c>
      <c r="B206" s="37" t="str">
        <f t="array" ref="B206">iferror(xlookup($I206, 'IMPORT VHC Report'!$E:$E, 'IMPORT VHC Report'!$A:$C), )</f>
        <v/>
      </c>
      <c r="C206" s="37"/>
      <c r="D206" s="37"/>
      <c r="E206" s="38" t="s">
        <v>385</v>
      </c>
      <c r="F206" s="38" t="s">
        <v>386</v>
      </c>
      <c r="G206" s="38">
        <v>5.202379069967E12</v>
      </c>
      <c r="H206" s="38" t="s">
        <v>387</v>
      </c>
      <c r="I206" s="38" t="s">
        <v>388</v>
      </c>
      <c r="J206" s="38" t="s">
        <v>152</v>
      </c>
      <c r="K206" s="38" t="s">
        <v>153</v>
      </c>
      <c r="L206" s="41">
        <v>46005.875</v>
      </c>
      <c r="M206" s="38" t="s">
        <v>123</v>
      </c>
      <c r="N206" s="41">
        <v>46006.208333333336</v>
      </c>
      <c r="O206" s="38" t="s">
        <v>123</v>
      </c>
      <c r="P206" s="38">
        <v>28800.0</v>
      </c>
      <c r="Q206" s="38">
        <v>28800.0</v>
      </c>
      <c r="R206" s="39"/>
      <c r="S206" s="39"/>
      <c r="T206" s="39"/>
      <c r="U206" s="39"/>
    </row>
    <row r="207">
      <c r="A207" s="40">
        <f t="shared" si="1"/>
        <v>46006</v>
      </c>
      <c r="B207" s="37" t="str">
        <f t="array" ref="B207">iferror(xlookup($I207, 'IMPORT VHC Report'!$E:$E, 'IMPORT VHC Report'!$A:$C), )</f>
        <v/>
      </c>
      <c r="C207" s="37"/>
      <c r="D207" s="37"/>
      <c r="E207" s="38" t="s">
        <v>389</v>
      </c>
      <c r="F207" s="38" t="s">
        <v>386</v>
      </c>
      <c r="G207" s="38">
        <v>5.202379069967E12</v>
      </c>
      <c r="H207" s="38" t="s">
        <v>387</v>
      </c>
      <c r="I207" s="38" t="s">
        <v>388</v>
      </c>
      <c r="J207" s="38" t="s">
        <v>132</v>
      </c>
      <c r="K207" s="38" t="s">
        <v>126</v>
      </c>
      <c r="L207" s="41">
        <v>46006.052083333336</v>
      </c>
      <c r="M207" s="38" t="s">
        <v>123</v>
      </c>
      <c r="N207" s="41">
        <v>46006.09375</v>
      </c>
      <c r="O207" s="38" t="s">
        <v>123</v>
      </c>
      <c r="P207" s="38">
        <v>3600.0</v>
      </c>
      <c r="Q207" s="39"/>
      <c r="R207" s="39"/>
      <c r="S207" s="39"/>
      <c r="T207" s="39"/>
      <c r="U207" s="39"/>
    </row>
    <row r="208">
      <c r="A208" s="40">
        <f t="shared" si="1"/>
        <v>46006</v>
      </c>
      <c r="B208" s="37" t="str">
        <f t="array" ref="B208">iferror(xlookup($I208, 'IMPORT VHC Report'!$E:$E, 'IMPORT VHC Report'!$A:$C), )</f>
        <v/>
      </c>
      <c r="C208" s="37"/>
      <c r="D208" s="37"/>
      <c r="E208" s="38" t="s">
        <v>390</v>
      </c>
      <c r="F208" s="38" t="s">
        <v>386</v>
      </c>
      <c r="G208" s="38">
        <v>5.202379069967E12</v>
      </c>
      <c r="H208" s="38" t="s">
        <v>387</v>
      </c>
      <c r="I208" s="38" t="s">
        <v>388</v>
      </c>
      <c r="J208" s="38" t="s">
        <v>330</v>
      </c>
      <c r="K208" s="38" t="s">
        <v>126</v>
      </c>
      <c r="L208" s="41">
        <v>46006.875</v>
      </c>
      <c r="M208" s="38" t="s">
        <v>123</v>
      </c>
      <c r="N208" s="41">
        <v>46006.881944444445</v>
      </c>
      <c r="O208" s="38" t="s">
        <v>123</v>
      </c>
      <c r="P208" s="38">
        <v>600.0</v>
      </c>
      <c r="Q208" s="39"/>
      <c r="R208" s="39"/>
      <c r="S208" s="39"/>
      <c r="T208" s="39"/>
      <c r="U208" s="39"/>
    </row>
    <row r="209">
      <c r="A209" s="40">
        <f t="shared" si="1"/>
        <v>46006</v>
      </c>
      <c r="B209" s="37" t="str">
        <f t="array" ref="B209">iferror(xlookup($I209, 'IMPORT VHC Report'!$E:$E, 'IMPORT VHC Report'!$A:$C), )</f>
        <v/>
      </c>
      <c r="C209" s="37"/>
      <c r="D209" s="37"/>
      <c r="E209" s="38" t="s">
        <v>391</v>
      </c>
      <c r="F209" s="38" t="s">
        <v>386</v>
      </c>
      <c r="G209" s="38">
        <v>5.202379069967E12</v>
      </c>
      <c r="H209" s="38" t="s">
        <v>387</v>
      </c>
      <c r="I209" s="38" t="s">
        <v>388</v>
      </c>
      <c r="J209" s="38" t="s">
        <v>332</v>
      </c>
      <c r="K209" s="38" t="s">
        <v>63</v>
      </c>
      <c r="L209" s="41">
        <v>46006.875</v>
      </c>
      <c r="M209" s="38" t="s">
        <v>123</v>
      </c>
      <c r="N209" s="41">
        <v>46007.25</v>
      </c>
      <c r="O209" s="38" t="s">
        <v>123</v>
      </c>
      <c r="P209" s="38">
        <v>32400.0</v>
      </c>
      <c r="Q209" s="39"/>
      <c r="R209" s="39"/>
      <c r="S209" s="39"/>
      <c r="T209" s="39"/>
      <c r="U209" s="39"/>
    </row>
    <row r="210">
      <c r="A210" s="40">
        <f t="shared" si="1"/>
        <v>46006</v>
      </c>
      <c r="B210" s="37" t="str">
        <f t="array" ref="B210">iferror(xlookup($I210, 'IMPORT VHC Report'!$E:$E, 'IMPORT VHC Report'!$A:$C), )</f>
        <v/>
      </c>
      <c r="C210" s="37"/>
      <c r="D210" s="37"/>
      <c r="E210" s="38" t="s">
        <v>392</v>
      </c>
      <c r="F210" s="38" t="s">
        <v>386</v>
      </c>
      <c r="G210" s="38">
        <v>5.202379069967E12</v>
      </c>
      <c r="H210" s="38" t="s">
        <v>387</v>
      </c>
      <c r="I210" s="38" t="s">
        <v>388</v>
      </c>
      <c r="J210" s="38" t="s">
        <v>152</v>
      </c>
      <c r="K210" s="38" t="s">
        <v>153</v>
      </c>
      <c r="L210" s="41">
        <v>46006.875</v>
      </c>
      <c r="M210" s="38" t="s">
        <v>123</v>
      </c>
      <c r="N210" s="41">
        <v>46007.25</v>
      </c>
      <c r="O210" s="38" t="s">
        <v>123</v>
      </c>
      <c r="P210" s="38">
        <v>32400.0</v>
      </c>
      <c r="Q210" s="38">
        <v>32400.0</v>
      </c>
      <c r="R210" s="39"/>
      <c r="S210" s="39"/>
      <c r="T210" s="39"/>
      <c r="U210" s="39"/>
    </row>
    <row r="211">
      <c r="A211" s="40">
        <f t="shared" si="1"/>
        <v>46006</v>
      </c>
      <c r="B211" s="37" t="str">
        <f t="array" ref="B211">iferror(xlookup($I211, 'IMPORT VHC Report'!$E:$E, 'IMPORT VHC Report'!$A:$C), )</f>
        <v/>
      </c>
      <c r="C211" s="37"/>
      <c r="D211" s="37"/>
      <c r="E211" s="38" t="s">
        <v>393</v>
      </c>
      <c r="F211" s="38" t="s">
        <v>386</v>
      </c>
      <c r="G211" s="38">
        <v>5.202379069967E12</v>
      </c>
      <c r="H211" s="38" t="s">
        <v>387</v>
      </c>
      <c r="I211" s="38" t="s">
        <v>388</v>
      </c>
      <c r="J211" s="38" t="s">
        <v>125</v>
      </c>
      <c r="K211" s="38" t="s">
        <v>126</v>
      </c>
      <c r="L211" s="41">
        <v>46006.881944444445</v>
      </c>
      <c r="M211" s="38" t="s">
        <v>123</v>
      </c>
      <c r="N211" s="41">
        <v>46006.96527777778</v>
      </c>
      <c r="O211" s="38" t="s">
        <v>123</v>
      </c>
      <c r="P211" s="38">
        <v>7200.0</v>
      </c>
      <c r="Q211" s="39"/>
      <c r="R211" s="39"/>
      <c r="S211" s="38" t="s">
        <v>394</v>
      </c>
      <c r="T211" s="39"/>
      <c r="U211" s="39"/>
    </row>
    <row r="212">
      <c r="A212" s="40">
        <f t="shared" si="1"/>
        <v>46006</v>
      </c>
      <c r="B212" s="37" t="str">
        <f t="array" ref="B212">iferror(xlookup($I212, 'IMPORT VHC Report'!$E:$E, 'IMPORT VHC Report'!$A:$C), )</f>
        <v/>
      </c>
      <c r="C212" s="37"/>
      <c r="D212" s="37"/>
      <c r="E212" s="38" t="s">
        <v>395</v>
      </c>
      <c r="F212" s="38" t="s">
        <v>386</v>
      </c>
      <c r="G212" s="38">
        <v>5.202379069967E12</v>
      </c>
      <c r="H212" s="38" t="s">
        <v>387</v>
      </c>
      <c r="I212" s="38" t="s">
        <v>388</v>
      </c>
      <c r="J212" s="38" t="s">
        <v>134</v>
      </c>
      <c r="K212" s="38" t="s">
        <v>126</v>
      </c>
      <c r="L212" s="41">
        <v>46006.979166666664</v>
      </c>
      <c r="M212" s="38" t="s">
        <v>123</v>
      </c>
      <c r="N212" s="41">
        <v>46007.0</v>
      </c>
      <c r="O212" s="38" t="s">
        <v>123</v>
      </c>
      <c r="P212" s="38">
        <v>1800.0</v>
      </c>
      <c r="Q212" s="39"/>
      <c r="R212" s="39"/>
      <c r="S212" s="39"/>
      <c r="T212" s="39"/>
      <c r="U212" s="39"/>
    </row>
    <row r="213">
      <c r="A213" s="40">
        <f t="shared" si="1"/>
        <v>46006</v>
      </c>
      <c r="B213" s="37" t="str">
        <f t="array" ref="B213">iferror(xlookup($I213, 'IMPORT VHC Report'!$E:$E, 'IMPORT VHC Report'!$A:$C), )</f>
        <v/>
      </c>
      <c r="C213" s="37"/>
      <c r="D213" s="37"/>
      <c r="E213" s="38" t="s">
        <v>396</v>
      </c>
      <c r="F213" s="38" t="s">
        <v>386</v>
      </c>
      <c r="G213" s="38">
        <v>5.202379069967E12</v>
      </c>
      <c r="H213" s="38" t="s">
        <v>387</v>
      </c>
      <c r="I213" s="38" t="s">
        <v>388</v>
      </c>
      <c r="J213" s="38" t="s">
        <v>132</v>
      </c>
      <c r="K213" s="38" t="s">
        <v>126</v>
      </c>
      <c r="L213" s="41">
        <v>46007.166666666664</v>
      </c>
      <c r="M213" s="38" t="s">
        <v>123</v>
      </c>
      <c r="N213" s="41">
        <v>46007.208333333336</v>
      </c>
      <c r="O213" s="38" t="s">
        <v>123</v>
      </c>
      <c r="P213" s="38">
        <v>3600.0</v>
      </c>
      <c r="Q213" s="39"/>
      <c r="R213" s="39"/>
      <c r="S213" s="39"/>
      <c r="T213" s="39"/>
      <c r="U213" s="39"/>
    </row>
    <row r="214">
      <c r="A214" s="40">
        <f t="shared" si="1"/>
        <v>46006</v>
      </c>
      <c r="B214" s="37" t="str">
        <f t="array" ref="B214">iferror(xlookup($I214, 'IMPORT VHC Report'!$E:$E, 'IMPORT VHC Report'!$A:$C), )</f>
        <v/>
      </c>
      <c r="C214" s="37"/>
      <c r="D214" s="37"/>
      <c r="E214" s="38" t="s">
        <v>397</v>
      </c>
      <c r="F214" s="38" t="s">
        <v>386</v>
      </c>
      <c r="G214" s="38">
        <v>5.202379069967E12</v>
      </c>
      <c r="H214" s="38" t="s">
        <v>387</v>
      </c>
      <c r="I214" s="38" t="s">
        <v>388</v>
      </c>
      <c r="J214" s="38" t="s">
        <v>330</v>
      </c>
      <c r="K214" s="38" t="s">
        <v>126</v>
      </c>
      <c r="L214" s="41">
        <v>46007.875</v>
      </c>
      <c r="M214" s="38" t="s">
        <v>123</v>
      </c>
      <c r="N214" s="41">
        <v>46007.881944444445</v>
      </c>
      <c r="O214" s="38" t="s">
        <v>123</v>
      </c>
      <c r="P214" s="38">
        <v>600.0</v>
      </c>
      <c r="Q214" s="39"/>
      <c r="R214" s="39"/>
      <c r="S214" s="39"/>
      <c r="T214" s="39"/>
      <c r="U214" s="39"/>
    </row>
    <row r="215">
      <c r="A215" s="40">
        <f t="shared" si="1"/>
        <v>46006</v>
      </c>
      <c r="B215" s="37" t="str">
        <f t="array" ref="B215">iferror(xlookup($I215, 'IMPORT VHC Report'!$E:$E, 'IMPORT VHC Report'!$A:$C), )</f>
        <v/>
      </c>
      <c r="C215" s="37"/>
      <c r="D215" s="37"/>
      <c r="E215" s="38" t="s">
        <v>398</v>
      </c>
      <c r="F215" s="38" t="s">
        <v>386</v>
      </c>
      <c r="G215" s="38">
        <v>5.202379069967E12</v>
      </c>
      <c r="H215" s="38" t="s">
        <v>387</v>
      </c>
      <c r="I215" s="38" t="s">
        <v>388</v>
      </c>
      <c r="J215" s="38" t="s">
        <v>332</v>
      </c>
      <c r="K215" s="38" t="s">
        <v>63</v>
      </c>
      <c r="L215" s="41">
        <v>46007.875</v>
      </c>
      <c r="M215" s="38" t="s">
        <v>123</v>
      </c>
      <c r="N215" s="41">
        <v>46008.25</v>
      </c>
      <c r="O215" s="38" t="s">
        <v>123</v>
      </c>
      <c r="P215" s="38">
        <v>32400.0</v>
      </c>
      <c r="Q215" s="39"/>
      <c r="R215" s="39"/>
      <c r="S215" s="39"/>
      <c r="T215" s="39"/>
      <c r="U215" s="39"/>
    </row>
    <row r="216">
      <c r="A216" s="40">
        <f t="shared" si="1"/>
        <v>46006</v>
      </c>
      <c r="B216" s="37" t="str">
        <f t="array" ref="B216">iferror(xlookup($I216, 'IMPORT VHC Report'!$E:$E, 'IMPORT VHC Report'!$A:$C), )</f>
        <v/>
      </c>
      <c r="C216" s="37"/>
      <c r="D216" s="37"/>
      <c r="E216" s="38" t="s">
        <v>399</v>
      </c>
      <c r="F216" s="38" t="s">
        <v>386</v>
      </c>
      <c r="G216" s="38">
        <v>5.202379069967E12</v>
      </c>
      <c r="H216" s="38" t="s">
        <v>387</v>
      </c>
      <c r="I216" s="38" t="s">
        <v>388</v>
      </c>
      <c r="J216" s="38" t="s">
        <v>125</v>
      </c>
      <c r="K216" s="38" t="s">
        <v>126</v>
      </c>
      <c r="L216" s="41">
        <v>46007.881944444445</v>
      </c>
      <c r="M216" s="38" t="s">
        <v>123</v>
      </c>
      <c r="N216" s="41">
        <v>46007.96527777778</v>
      </c>
      <c r="O216" s="38" t="s">
        <v>123</v>
      </c>
      <c r="P216" s="38">
        <v>7200.0</v>
      </c>
      <c r="Q216" s="39"/>
      <c r="R216" s="39"/>
      <c r="S216" s="38" t="s">
        <v>394</v>
      </c>
      <c r="T216" s="39"/>
      <c r="U216" s="39"/>
    </row>
    <row r="217">
      <c r="A217" s="40">
        <f t="shared" si="1"/>
        <v>46006</v>
      </c>
      <c r="B217" s="37" t="str">
        <f t="array" ref="B217">iferror(xlookup($I217, 'IMPORT VHC Report'!$E:$E, 'IMPORT VHC Report'!$A:$C), )</f>
        <v/>
      </c>
      <c r="C217" s="37"/>
      <c r="D217" s="37"/>
      <c r="E217" s="38" t="s">
        <v>400</v>
      </c>
      <c r="F217" s="38" t="s">
        <v>386</v>
      </c>
      <c r="G217" s="38">
        <v>5.202379069967E12</v>
      </c>
      <c r="H217" s="38" t="s">
        <v>387</v>
      </c>
      <c r="I217" s="38" t="s">
        <v>388</v>
      </c>
      <c r="J217" s="38" t="s">
        <v>132</v>
      </c>
      <c r="K217" s="38" t="s">
        <v>126</v>
      </c>
      <c r="L217" s="41">
        <v>46008.041666666664</v>
      </c>
      <c r="M217" s="38" t="s">
        <v>123</v>
      </c>
      <c r="N217" s="41">
        <v>46008.083333333336</v>
      </c>
      <c r="O217" s="38" t="s">
        <v>123</v>
      </c>
      <c r="P217" s="38">
        <v>3600.0</v>
      </c>
      <c r="Q217" s="39"/>
      <c r="R217" s="39"/>
      <c r="S217" s="39"/>
      <c r="T217" s="39"/>
      <c r="U217" s="39"/>
    </row>
    <row r="218">
      <c r="A218" s="40">
        <f t="shared" si="1"/>
        <v>46006</v>
      </c>
      <c r="B218" s="37" t="str">
        <f t="array" ref="B218">iferror(xlookup($I218, 'IMPORT VHC Report'!$E:$E, 'IMPORT VHC Report'!$A:$C), )</f>
        <v/>
      </c>
      <c r="C218" s="37"/>
      <c r="D218" s="37"/>
      <c r="E218" s="38" t="s">
        <v>401</v>
      </c>
      <c r="F218" s="38" t="s">
        <v>386</v>
      </c>
      <c r="G218" s="38">
        <v>5.202379069967E12</v>
      </c>
      <c r="H218" s="38" t="s">
        <v>387</v>
      </c>
      <c r="I218" s="38" t="s">
        <v>388</v>
      </c>
      <c r="J218" s="38" t="s">
        <v>4</v>
      </c>
      <c r="K218" s="38" t="s">
        <v>126</v>
      </c>
      <c r="L218" s="41">
        <v>46008.083333333336</v>
      </c>
      <c r="M218" s="38" t="s">
        <v>123</v>
      </c>
      <c r="N218" s="41">
        <v>46008.125</v>
      </c>
      <c r="O218" s="38" t="s">
        <v>123</v>
      </c>
      <c r="P218" s="38">
        <v>3600.0</v>
      </c>
      <c r="Q218" s="39"/>
      <c r="R218" s="39"/>
      <c r="S218" s="38" t="s">
        <v>130</v>
      </c>
      <c r="T218" s="39"/>
      <c r="U218" s="39"/>
    </row>
    <row r="219">
      <c r="A219" s="40">
        <f t="shared" si="1"/>
        <v>46006</v>
      </c>
      <c r="B219" s="37" t="str">
        <f t="array" ref="B219">iferror(xlookup($I219, 'IMPORT VHC Report'!$E:$E, 'IMPORT VHC Report'!$A:$C), )</f>
        <v/>
      </c>
      <c r="C219" s="37"/>
      <c r="D219" s="37"/>
      <c r="E219" s="38" t="s">
        <v>402</v>
      </c>
      <c r="F219" s="38" t="s">
        <v>386</v>
      </c>
      <c r="G219" s="38">
        <v>5.202379069967E12</v>
      </c>
      <c r="H219" s="38" t="s">
        <v>387</v>
      </c>
      <c r="I219" s="38" t="s">
        <v>388</v>
      </c>
      <c r="J219" s="38" t="s">
        <v>330</v>
      </c>
      <c r="K219" s="38" t="s">
        <v>126</v>
      </c>
      <c r="L219" s="41">
        <v>46008.875</v>
      </c>
      <c r="M219" s="38" t="s">
        <v>123</v>
      </c>
      <c r="N219" s="41">
        <v>46008.881944444445</v>
      </c>
      <c r="O219" s="38" t="s">
        <v>123</v>
      </c>
      <c r="P219" s="38">
        <v>600.0</v>
      </c>
      <c r="Q219" s="39"/>
      <c r="R219" s="39"/>
      <c r="S219" s="39"/>
      <c r="T219" s="39"/>
      <c r="U219" s="39"/>
    </row>
    <row r="220">
      <c r="A220" s="40">
        <f t="shared" si="1"/>
        <v>46006</v>
      </c>
      <c r="B220" s="37" t="str">
        <f t="array" ref="B220">iferror(xlookup($I220, 'IMPORT VHC Report'!$E:$E, 'IMPORT VHC Report'!$A:$C), )</f>
        <v/>
      </c>
      <c r="C220" s="37"/>
      <c r="D220" s="37"/>
      <c r="E220" s="38" t="s">
        <v>403</v>
      </c>
      <c r="F220" s="38" t="s">
        <v>386</v>
      </c>
      <c r="G220" s="38">
        <v>5.202379069967E12</v>
      </c>
      <c r="H220" s="38" t="s">
        <v>387</v>
      </c>
      <c r="I220" s="38" t="s">
        <v>388</v>
      </c>
      <c r="J220" s="38" t="s">
        <v>332</v>
      </c>
      <c r="K220" s="38" t="s">
        <v>63</v>
      </c>
      <c r="L220" s="41">
        <v>46008.875</v>
      </c>
      <c r="M220" s="38" t="s">
        <v>123</v>
      </c>
      <c r="N220" s="41">
        <v>46009.25</v>
      </c>
      <c r="O220" s="38" t="s">
        <v>123</v>
      </c>
      <c r="P220" s="38">
        <v>32400.0</v>
      </c>
      <c r="Q220" s="39"/>
      <c r="R220" s="39"/>
      <c r="S220" s="39"/>
      <c r="T220" s="39"/>
      <c r="U220" s="39"/>
    </row>
    <row r="221">
      <c r="A221" s="40">
        <f t="shared" si="1"/>
        <v>46006</v>
      </c>
      <c r="B221" s="37" t="str">
        <f t="array" ref="B221">iferror(xlookup($I221, 'IMPORT VHC Report'!$E:$E, 'IMPORT VHC Report'!$A:$C), )</f>
        <v/>
      </c>
      <c r="C221" s="37"/>
      <c r="D221" s="37"/>
      <c r="E221" s="38" t="s">
        <v>404</v>
      </c>
      <c r="F221" s="38" t="s">
        <v>386</v>
      </c>
      <c r="G221" s="38">
        <v>5.202379069967E12</v>
      </c>
      <c r="H221" s="38" t="s">
        <v>387</v>
      </c>
      <c r="I221" s="38" t="s">
        <v>388</v>
      </c>
      <c r="J221" s="38" t="s">
        <v>125</v>
      </c>
      <c r="K221" s="38" t="s">
        <v>126</v>
      </c>
      <c r="L221" s="41">
        <v>46008.881944444445</v>
      </c>
      <c r="M221" s="38" t="s">
        <v>123</v>
      </c>
      <c r="N221" s="41">
        <v>46008.96527777778</v>
      </c>
      <c r="O221" s="38" t="s">
        <v>123</v>
      </c>
      <c r="P221" s="38">
        <v>7200.0</v>
      </c>
      <c r="Q221" s="39"/>
      <c r="R221" s="39"/>
      <c r="S221" s="38" t="s">
        <v>394</v>
      </c>
      <c r="T221" s="39"/>
      <c r="U221" s="39"/>
    </row>
    <row r="222">
      <c r="A222" s="40">
        <f t="shared" si="1"/>
        <v>46006</v>
      </c>
      <c r="B222" s="37" t="str">
        <f t="array" ref="B222">iferror(xlookup($I222, 'IMPORT VHC Report'!$E:$E, 'IMPORT VHC Report'!$A:$C), )</f>
        <v/>
      </c>
      <c r="C222" s="37"/>
      <c r="D222" s="37"/>
      <c r="E222" s="38" t="s">
        <v>405</v>
      </c>
      <c r="F222" s="38" t="s">
        <v>386</v>
      </c>
      <c r="G222" s="38">
        <v>5.202379069967E12</v>
      </c>
      <c r="H222" s="38" t="s">
        <v>387</v>
      </c>
      <c r="I222" s="38" t="s">
        <v>388</v>
      </c>
      <c r="J222" s="38" t="s">
        <v>132</v>
      </c>
      <c r="K222" s="38" t="s">
        <v>126</v>
      </c>
      <c r="L222" s="41">
        <v>46009.0</v>
      </c>
      <c r="M222" s="38" t="s">
        <v>123</v>
      </c>
      <c r="N222" s="41">
        <v>46009.041666666664</v>
      </c>
      <c r="O222" s="38" t="s">
        <v>123</v>
      </c>
      <c r="P222" s="38">
        <v>3600.0</v>
      </c>
      <c r="Q222" s="39"/>
      <c r="R222" s="39"/>
      <c r="S222" s="39"/>
      <c r="T222" s="39"/>
      <c r="U222" s="39"/>
    </row>
    <row r="223">
      <c r="A223" s="40">
        <f t="shared" si="1"/>
        <v>46006</v>
      </c>
      <c r="B223" s="37" t="str">
        <f t="array" ref="B223">iferror(xlookup($I223, 'IMPORT VHC Report'!$E:$E, 'IMPORT VHC Report'!$A:$C), )</f>
        <v/>
      </c>
      <c r="C223" s="37"/>
      <c r="D223" s="37"/>
      <c r="E223" s="38" t="s">
        <v>406</v>
      </c>
      <c r="F223" s="38" t="s">
        <v>386</v>
      </c>
      <c r="G223" s="38">
        <v>5.202379069967E12</v>
      </c>
      <c r="H223" s="38" t="s">
        <v>387</v>
      </c>
      <c r="I223" s="38" t="s">
        <v>388</v>
      </c>
      <c r="J223" s="38" t="s">
        <v>136</v>
      </c>
      <c r="K223" s="38" t="s">
        <v>126</v>
      </c>
      <c r="L223" s="41">
        <v>46009.041666666664</v>
      </c>
      <c r="M223" s="38" t="s">
        <v>123</v>
      </c>
      <c r="N223" s="41">
        <v>46009.083333333336</v>
      </c>
      <c r="O223" s="38" t="s">
        <v>123</v>
      </c>
      <c r="P223" s="38">
        <v>3600.0</v>
      </c>
      <c r="Q223" s="39"/>
      <c r="R223" s="39"/>
      <c r="S223" s="38" t="s">
        <v>137</v>
      </c>
      <c r="T223" s="39"/>
      <c r="U223" s="39"/>
    </row>
    <row r="224">
      <c r="A224" s="40">
        <f t="shared" si="1"/>
        <v>46006</v>
      </c>
      <c r="B224" s="37" t="str">
        <f t="array" ref="B224">iferror(xlookup($I224, 'IMPORT VHC Report'!$E:$E, 'IMPORT VHC Report'!$A:$C), )</f>
        <v/>
      </c>
      <c r="C224" s="37"/>
      <c r="D224" s="37"/>
      <c r="E224" s="38" t="s">
        <v>407</v>
      </c>
      <c r="F224" s="38" t="s">
        <v>386</v>
      </c>
      <c r="G224" s="38">
        <v>5.202379069967E12</v>
      </c>
      <c r="H224" s="38" t="s">
        <v>387</v>
      </c>
      <c r="I224" s="38" t="s">
        <v>388</v>
      </c>
      <c r="J224" s="38" t="s">
        <v>134</v>
      </c>
      <c r="K224" s="38" t="s">
        <v>126</v>
      </c>
      <c r="L224" s="41">
        <v>46009.166666666664</v>
      </c>
      <c r="M224" s="38" t="s">
        <v>123</v>
      </c>
      <c r="N224" s="41">
        <v>46009.1875</v>
      </c>
      <c r="O224" s="38" t="s">
        <v>123</v>
      </c>
      <c r="P224" s="38">
        <v>1800.0</v>
      </c>
      <c r="Q224" s="39"/>
      <c r="R224" s="39"/>
      <c r="S224" s="39"/>
      <c r="T224" s="39"/>
      <c r="U224" s="39"/>
    </row>
    <row r="225">
      <c r="A225" s="40">
        <f t="shared" si="1"/>
        <v>46006</v>
      </c>
      <c r="B225" s="37" t="str">
        <f t="array" ref="B225">iferror(xlookup($I225, 'IMPORT VHC Report'!$E:$E, 'IMPORT VHC Report'!$A:$C), )</f>
        <v/>
      </c>
      <c r="C225" s="37"/>
      <c r="D225" s="37"/>
      <c r="E225" s="38" t="s">
        <v>408</v>
      </c>
      <c r="F225" s="38" t="s">
        <v>386</v>
      </c>
      <c r="G225" s="38">
        <v>5.202379069967E12</v>
      </c>
      <c r="H225" s="38" t="s">
        <v>387</v>
      </c>
      <c r="I225" s="38" t="s">
        <v>388</v>
      </c>
      <c r="J225" s="38" t="s">
        <v>330</v>
      </c>
      <c r="K225" s="38" t="s">
        <v>126</v>
      </c>
      <c r="L225" s="41">
        <v>46011.875</v>
      </c>
      <c r="M225" s="38" t="s">
        <v>123</v>
      </c>
      <c r="N225" s="41">
        <v>46011.881944444445</v>
      </c>
      <c r="O225" s="38" t="s">
        <v>123</v>
      </c>
      <c r="P225" s="38">
        <v>600.0</v>
      </c>
      <c r="Q225" s="39"/>
      <c r="R225" s="39"/>
      <c r="S225" s="39"/>
      <c r="T225" s="39"/>
      <c r="U225" s="39"/>
    </row>
    <row r="226">
      <c r="A226" s="40">
        <f t="shared" si="1"/>
        <v>46006</v>
      </c>
      <c r="B226" s="37" t="str">
        <f t="array" ref="B226">iferror(xlookup($I226, 'IMPORT VHC Report'!$E:$E, 'IMPORT VHC Report'!$A:$C), )</f>
        <v/>
      </c>
      <c r="C226" s="37"/>
      <c r="D226" s="37"/>
      <c r="E226" s="38" t="s">
        <v>409</v>
      </c>
      <c r="F226" s="38" t="s">
        <v>386</v>
      </c>
      <c r="G226" s="38">
        <v>5.202379069967E12</v>
      </c>
      <c r="H226" s="38" t="s">
        <v>387</v>
      </c>
      <c r="I226" s="38" t="s">
        <v>388</v>
      </c>
      <c r="J226" s="38" t="s">
        <v>332</v>
      </c>
      <c r="K226" s="38" t="s">
        <v>63</v>
      </c>
      <c r="L226" s="41">
        <v>46011.875</v>
      </c>
      <c r="M226" s="38" t="s">
        <v>123</v>
      </c>
      <c r="N226" s="41">
        <v>46012.25</v>
      </c>
      <c r="O226" s="38" t="s">
        <v>123</v>
      </c>
      <c r="P226" s="38">
        <v>32400.0</v>
      </c>
      <c r="Q226" s="39"/>
      <c r="R226" s="39"/>
      <c r="S226" s="39"/>
      <c r="T226" s="39"/>
      <c r="U226" s="39"/>
    </row>
    <row r="227">
      <c r="A227" s="40">
        <f t="shared" si="1"/>
        <v>46006</v>
      </c>
      <c r="B227" s="37" t="str">
        <f t="array" ref="B227">iferror(xlookup($I227, 'IMPORT VHC Report'!$E:$E, 'IMPORT VHC Report'!$A:$C), )</f>
        <v/>
      </c>
      <c r="C227" s="37"/>
      <c r="D227" s="37"/>
      <c r="E227" s="38" t="s">
        <v>410</v>
      </c>
      <c r="F227" s="38" t="s">
        <v>386</v>
      </c>
      <c r="G227" s="38">
        <v>5.202379069967E12</v>
      </c>
      <c r="H227" s="38" t="s">
        <v>387</v>
      </c>
      <c r="I227" s="38" t="s">
        <v>388</v>
      </c>
      <c r="J227" s="38" t="s">
        <v>330</v>
      </c>
      <c r="K227" s="38" t="s">
        <v>126</v>
      </c>
      <c r="L227" s="41">
        <v>46012.020833333336</v>
      </c>
      <c r="M227" s="38" t="s">
        <v>123</v>
      </c>
      <c r="N227" s="41">
        <v>46012.041666666664</v>
      </c>
      <c r="O227" s="38" t="s">
        <v>123</v>
      </c>
      <c r="P227" s="38">
        <v>1800.0</v>
      </c>
      <c r="Q227" s="39"/>
      <c r="R227" s="39"/>
      <c r="S227" s="39"/>
      <c r="T227" s="39"/>
      <c r="U227" s="39"/>
    </row>
    <row r="228">
      <c r="A228" s="40">
        <f t="shared" si="1"/>
        <v>46006</v>
      </c>
      <c r="B228" s="37" t="str">
        <f t="array" ref="B228">iferror(xlookup($I228, 'IMPORT VHC Report'!$E:$E, 'IMPORT VHC Report'!$A:$C), )</f>
        <v/>
      </c>
      <c r="C228" s="37"/>
      <c r="D228" s="37"/>
      <c r="E228" s="38" t="s">
        <v>411</v>
      </c>
      <c r="F228" s="38" t="s">
        <v>386</v>
      </c>
      <c r="G228" s="38">
        <v>5.202379069967E12</v>
      </c>
      <c r="H228" s="38" t="s">
        <v>387</v>
      </c>
      <c r="I228" s="38" t="s">
        <v>388</v>
      </c>
      <c r="J228" s="38" t="s">
        <v>134</v>
      </c>
      <c r="K228" s="38" t="s">
        <v>126</v>
      </c>
      <c r="L228" s="41">
        <v>46012.072916666664</v>
      </c>
      <c r="M228" s="38" t="s">
        <v>123</v>
      </c>
      <c r="N228" s="41">
        <v>46012.09375</v>
      </c>
      <c r="O228" s="38" t="s">
        <v>123</v>
      </c>
      <c r="P228" s="38">
        <v>1800.0</v>
      </c>
      <c r="Q228" s="39"/>
      <c r="R228" s="39"/>
      <c r="S228" s="39"/>
      <c r="T228" s="39"/>
      <c r="U228" s="39"/>
    </row>
    <row r="229">
      <c r="A229" s="40">
        <f t="shared" si="1"/>
        <v>46006</v>
      </c>
      <c r="B229" s="37" t="str">
        <f t="array" ref="B229">iferror(xlookup($I229, 'IMPORT VHC Report'!$E:$E, 'IMPORT VHC Report'!$A:$C), )</f>
        <v/>
      </c>
      <c r="C229" s="37"/>
      <c r="D229" s="37"/>
      <c r="E229" s="38" t="s">
        <v>412</v>
      </c>
      <c r="F229" s="38" t="s">
        <v>386</v>
      </c>
      <c r="G229" s="38">
        <v>5.202379069967E12</v>
      </c>
      <c r="H229" s="38" t="s">
        <v>387</v>
      </c>
      <c r="I229" s="38" t="s">
        <v>388</v>
      </c>
      <c r="J229" s="38" t="s">
        <v>132</v>
      </c>
      <c r="K229" s="38" t="s">
        <v>126</v>
      </c>
      <c r="L229" s="41">
        <v>46012.166666666664</v>
      </c>
      <c r="M229" s="38" t="s">
        <v>123</v>
      </c>
      <c r="N229" s="41">
        <v>46012.208333333336</v>
      </c>
      <c r="O229" s="38" t="s">
        <v>123</v>
      </c>
      <c r="P229" s="38">
        <v>3600.0</v>
      </c>
      <c r="Q229" s="39"/>
      <c r="R229" s="39"/>
      <c r="S229" s="39"/>
      <c r="T229" s="39"/>
      <c r="U229" s="39"/>
    </row>
    <row r="230">
      <c r="A230" s="40">
        <f t="shared" si="1"/>
        <v>46006</v>
      </c>
      <c r="B230" s="37" t="str">
        <f t="array" ref="B230">iferror(xlookup($I230, 'IMPORT VHC Report'!$E:$E, 'IMPORT VHC Report'!$A:$C), )</f>
        <v/>
      </c>
      <c r="C230" s="37"/>
      <c r="D230" s="37"/>
      <c r="E230" s="38" t="s">
        <v>413</v>
      </c>
      <c r="F230" s="38" t="s">
        <v>386</v>
      </c>
      <c r="G230" s="38">
        <v>5.202379069967E12</v>
      </c>
      <c r="H230" s="38" t="s">
        <v>387</v>
      </c>
      <c r="I230" s="38" t="s">
        <v>388</v>
      </c>
      <c r="J230" s="38" t="s">
        <v>330</v>
      </c>
      <c r="K230" s="38" t="s">
        <v>126</v>
      </c>
      <c r="L230" s="41">
        <v>46012.875</v>
      </c>
      <c r="M230" s="38" t="s">
        <v>123</v>
      </c>
      <c r="N230" s="41">
        <v>46012.881944444445</v>
      </c>
      <c r="O230" s="38" t="s">
        <v>123</v>
      </c>
      <c r="P230" s="38">
        <v>600.0</v>
      </c>
      <c r="Q230" s="39"/>
      <c r="R230" s="39"/>
      <c r="S230" s="39"/>
      <c r="T230" s="39"/>
      <c r="U230" s="39"/>
    </row>
    <row r="231">
      <c r="A231" s="40">
        <f t="shared" si="1"/>
        <v>46006</v>
      </c>
      <c r="B231" s="37" t="str">
        <f t="array" ref="B231">iferror(xlookup($I231, 'IMPORT VHC Report'!$E:$E, 'IMPORT VHC Report'!$A:$C), )</f>
        <v/>
      </c>
      <c r="C231" s="37"/>
      <c r="D231" s="37"/>
      <c r="E231" s="38" t="s">
        <v>414</v>
      </c>
      <c r="F231" s="38" t="s">
        <v>386</v>
      </c>
      <c r="G231" s="38">
        <v>5.202379069967E12</v>
      </c>
      <c r="H231" s="38" t="s">
        <v>387</v>
      </c>
      <c r="I231" s="38" t="s">
        <v>388</v>
      </c>
      <c r="J231" s="38" t="s">
        <v>332</v>
      </c>
      <c r="K231" s="38" t="s">
        <v>63</v>
      </c>
      <c r="L231" s="41">
        <v>46012.875</v>
      </c>
      <c r="M231" s="38" t="s">
        <v>123</v>
      </c>
      <c r="N231" s="41">
        <v>46013.0</v>
      </c>
      <c r="O231" s="38" t="s">
        <v>123</v>
      </c>
      <c r="P231" s="38">
        <v>10800.0</v>
      </c>
      <c r="Q231" s="39"/>
      <c r="R231" s="39"/>
      <c r="S231" s="39"/>
      <c r="T231" s="39"/>
      <c r="U231" s="39"/>
    </row>
    <row r="232">
      <c r="A232" s="40">
        <f t="shared" si="1"/>
        <v>46006</v>
      </c>
      <c r="B232" s="37" t="str">
        <f t="array" ref="B232">iferror(xlookup($I232, 'IMPORT VHC Report'!$E:$E, 'IMPORT VHC Report'!$A:$C), )</f>
        <v/>
      </c>
      <c r="C232" s="37"/>
      <c r="D232" s="37"/>
      <c r="E232" s="38" t="s">
        <v>415</v>
      </c>
      <c r="F232" s="38" t="s">
        <v>386</v>
      </c>
      <c r="G232" s="38">
        <v>5.202379069967E12</v>
      </c>
      <c r="H232" s="38" t="s">
        <v>387</v>
      </c>
      <c r="I232" s="38" t="s">
        <v>388</v>
      </c>
      <c r="J232" s="38" t="s">
        <v>152</v>
      </c>
      <c r="K232" s="38" t="s">
        <v>153</v>
      </c>
      <c r="L232" s="41">
        <v>46012.875</v>
      </c>
      <c r="M232" s="38" t="s">
        <v>123</v>
      </c>
      <c r="N232" s="41">
        <v>46013.25</v>
      </c>
      <c r="O232" s="38" t="s">
        <v>123</v>
      </c>
      <c r="P232" s="38">
        <v>32400.0</v>
      </c>
      <c r="Q232" s="38">
        <v>32400.0</v>
      </c>
      <c r="R232" s="39"/>
      <c r="S232" s="39"/>
      <c r="T232" s="39"/>
      <c r="U232" s="39"/>
    </row>
    <row r="233">
      <c r="A233" s="40">
        <f t="shared" si="1"/>
        <v>46006</v>
      </c>
      <c r="B233" s="37" t="str">
        <f t="array" ref="B233">iferror(xlookup($I233, 'IMPORT VHC Report'!$E:$E, 'IMPORT VHC Report'!$A:$C), )</f>
        <v/>
      </c>
      <c r="C233" s="37"/>
      <c r="D233" s="37"/>
      <c r="E233" s="38" t="s">
        <v>416</v>
      </c>
      <c r="F233" s="38" t="s">
        <v>386</v>
      </c>
      <c r="G233" s="38">
        <v>5.202379069967E12</v>
      </c>
      <c r="H233" s="38" t="s">
        <v>387</v>
      </c>
      <c r="I233" s="38" t="s">
        <v>388</v>
      </c>
      <c r="J233" s="38" t="s">
        <v>134</v>
      </c>
      <c r="K233" s="38" t="s">
        <v>126</v>
      </c>
      <c r="L233" s="41">
        <v>46012.9375</v>
      </c>
      <c r="M233" s="38" t="s">
        <v>123</v>
      </c>
      <c r="N233" s="41">
        <v>46012.958333333336</v>
      </c>
      <c r="O233" s="38" t="s">
        <v>123</v>
      </c>
      <c r="P233" s="38">
        <v>1800.0</v>
      </c>
      <c r="Q233" s="39"/>
      <c r="R233" s="39"/>
      <c r="S233" s="39"/>
      <c r="T233" s="39"/>
      <c r="U233" s="39"/>
    </row>
    <row r="234">
      <c r="A234" s="40">
        <f t="shared" si="1"/>
        <v>45999</v>
      </c>
      <c r="B234" s="37" t="str">
        <f t="array" ref="B234">iferror(xlookup($I234, 'IMPORT VHC Report'!$E:$E, 'IMPORT VHC Report'!$A:$C), )</f>
        <v/>
      </c>
      <c r="C234" s="37"/>
      <c r="D234" s="37"/>
      <c r="E234" s="38" t="s">
        <v>417</v>
      </c>
      <c r="F234" s="38" t="s">
        <v>418</v>
      </c>
      <c r="G234" s="38">
        <v>5.202378807439E12</v>
      </c>
      <c r="H234" s="38" t="s">
        <v>419</v>
      </c>
      <c r="I234" s="38" t="s">
        <v>420</v>
      </c>
      <c r="J234" s="38" t="s">
        <v>152</v>
      </c>
      <c r="K234" s="38" t="s">
        <v>153</v>
      </c>
      <c r="L234" s="41">
        <v>46005.875</v>
      </c>
      <c r="M234" s="38" t="s">
        <v>123</v>
      </c>
      <c r="N234" s="41">
        <v>46006.208333333336</v>
      </c>
      <c r="O234" s="38" t="s">
        <v>123</v>
      </c>
      <c r="P234" s="38">
        <v>28800.0</v>
      </c>
      <c r="Q234" s="38">
        <v>28800.0</v>
      </c>
      <c r="R234" s="38" t="s">
        <v>421</v>
      </c>
      <c r="S234" s="38" t="s">
        <v>421</v>
      </c>
      <c r="T234" s="39"/>
      <c r="U234" s="39"/>
    </row>
    <row r="235">
      <c r="A235" s="40">
        <f t="shared" si="1"/>
        <v>46006</v>
      </c>
      <c r="B235" s="37" t="str">
        <f t="array" ref="B235">iferror(xlookup($I235, 'IMPORT VHC Report'!$E:$E, 'IMPORT VHC Report'!$A:$C), )</f>
        <v/>
      </c>
      <c r="C235" s="37"/>
      <c r="D235" s="37"/>
      <c r="E235" s="38" t="s">
        <v>422</v>
      </c>
      <c r="F235" s="38" t="s">
        <v>418</v>
      </c>
      <c r="G235" s="38">
        <v>5.202378807439E12</v>
      </c>
      <c r="H235" s="38" t="s">
        <v>419</v>
      </c>
      <c r="I235" s="38" t="s">
        <v>420</v>
      </c>
      <c r="J235" s="38" t="s">
        <v>132</v>
      </c>
      <c r="K235" s="38" t="s">
        <v>126</v>
      </c>
      <c r="L235" s="41">
        <v>46006.145833333336</v>
      </c>
      <c r="M235" s="38" t="s">
        <v>123</v>
      </c>
      <c r="N235" s="41">
        <v>46006.1875</v>
      </c>
      <c r="O235" s="38" t="s">
        <v>123</v>
      </c>
      <c r="P235" s="38">
        <v>3600.0</v>
      </c>
      <c r="Q235" s="39"/>
      <c r="R235" s="39"/>
      <c r="S235" s="39"/>
      <c r="T235" s="39"/>
      <c r="U235" s="39"/>
    </row>
    <row r="236">
      <c r="A236" s="40">
        <f t="shared" si="1"/>
        <v>46006</v>
      </c>
      <c r="B236" s="37" t="str">
        <f t="array" ref="B236">iferror(xlookup($I236, 'IMPORT VHC Report'!$E:$E, 'IMPORT VHC Report'!$A:$C), )</f>
        <v/>
      </c>
      <c r="C236" s="37"/>
      <c r="D236" s="37"/>
      <c r="E236" s="38" t="s">
        <v>423</v>
      </c>
      <c r="F236" s="38" t="s">
        <v>418</v>
      </c>
      <c r="G236" s="38">
        <v>5.202378807439E12</v>
      </c>
      <c r="H236" s="38" t="s">
        <v>419</v>
      </c>
      <c r="I236" s="38" t="s">
        <v>420</v>
      </c>
      <c r="J236" s="38" t="s">
        <v>330</v>
      </c>
      <c r="K236" s="38" t="s">
        <v>126</v>
      </c>
      <c r="L236" s="41">
        <v>46006.875</v>
      </c>
      <c r="M236" s="38" t="s">
        <v>123</v>
      </c>
      <c r="N236" s="41">
        <v>46006.881944444445</v>
      </c>
      <c r="O236" s="38" t="s">
        <v>123</v>
      </c>
      <c r="P236" s="38">
        <v>600.0</v>
      </c>
      <c r="Q236" s="39"/>
      <c r="R236" s="39"/>
      <c r="S236" s="39"/>
      <c r="T236" s="39"/>
      <c r="U236" s="39"/>
    </row>
    <row r="237">
      <c r="A237" s="40">
        <f t="shared" si="1"/>
        <v>46006</v>
      </c>
      <c r="B237" s="37" t="str">
        <f t="array" ref="B237">iferror(xlookup($I237, 'IMPORT VHC Report'!$E:$E, 'IMPORT VHC Report'!$A:$C), )</f>
        <v/>
      </c>
      <c r="C237" s="37"/>
      <c r="D237" s="37"/>
      <c r="E237" s="38" t="s">
        <v>424</v>
      </c>
      <c r="F237" s="38" t="s">
        <v>418</v>
      </c>
      <c r="G237" s="38">
        <v>5.202378807439E12</v>
      </c>
      <c r="H237" s="38" t="s">
        <v>419</v>
      </c>
      <c r="I237" s="38" t="s">
        <v>420</v>
      </c>
      <c r="J237" s="38" t="s">
        <v>332</v>
      </c>
      <c r="K237" s="38" t="s">
        <v>63</v>
      </c>
      <c r="L237" s="41">
        <v>46006.875</v>
      </c>
      <c r="M237" s="38" t="s">
        <v>123</v>
      </c>
      <c r="N237" s="41">
        <v>46007.25</v>
      </c>
      <c r="O237" s="38" t="s">
        <v>123</v>
      </c>
      <c r="P237" s="38">
        <v>32400.0</v>
      </c>
      <c r="Q237" s="39"/>
      <c r="R237" s="39"/>
      <c r="S237" s="39"/>
      <c r="T237" s="39"/>
      <c r="U237" s="39"/>
    </row>
    <row r="238">
      <c r="A238" s="40">
        <f t="shared" si="1"/>
        <v>46006</v>
      </c>
      <c r="B238" s="37" t="str">
        <f t="array" ref="B238">iferror(xlookup($I238, 'IMPORT VHC Report'!$E:$E, 'IMPORT VHC Report'!$A:$C), )</f>
        <v/>
      </c>
      <c r="C238" s="37"/>
      <c r="D238" s="37"/>
      <c r="E238" s="38" t="s">
        <v>425</v>
      </c>
      <c r="F238" s="38" t="s">
        <v>418</v>
      </c>
      <c r="G238" s="38">
        <v>5.202378807439E12</v>
      </c>
      <c r="H238" s="38" t="s">
        <v>419</v>
      </c>
      <c r="I238" s="38" t="s">
        <v>420</v>
      </c>
      <c r="J238" s="38" t="s">
        <v>134</v>
      </c>
      <c r="K238" s="38" t="s">
        <v>126</v>
      </c>
      <c r="L238" s="41">
        <v>46007.010416666664</v>
      </c>
      <c r="M238" s="38" t="s">
        <v>123</v>
      </c>
      <c r="N238" s="41">
        <v>46007.03125</v>
      </c>
      <c r="O238" s="38" t="s">
        <v>123</v>
      </c>
      <c r="P238" s="38">
        <v>1800.0</v>
      </c>
      <c r="Q238" s="39"/>
      <c r="R238" s="39"/>
      <c r="S238" s="39"/>
      <c r="T238" s="39"/>
      <c r="U238" s="39"/>
    </row>
    <row r="239">
      <c r="A239" s="40">
        <f t="shared" si="1"/>
        <v>46006</v>
      </c>
      <c r="B239" s="37" t="str">
        <f t="array" ref="B239">iferror(xlookup($I239, 'IMPORT VHC Report'!$E:$E, 'IMPORT VHC Report'!$A:$C), )</f>
        <v/>
      </c>
      <c r="C239" s="37"/>
      <c r="D239" s="37"/>
      <c r="E239" s="38" t="s">
        <v>426</v>
      </c>
      <c r="F239" s="38" t="s">
        <v>418</v>
      </c>
      <c r="G239" s="38">
        <v>5.202378807439E12</v>
      </c>
      <c r="H239" s="38" t="s">
        <v>419</v>
      </c>
      <c r="I239" s="38" t="s">
        <v>420</v>
      </c>
      <c r="J239" s="38" t="s">
        <v>132</v>
      </c>
      <c r="K239" s="38" t="s">
        <v>126</v>
      </c>
      <c r="L239" s="41">
        <v>46007.125</v>
      </c>
      <c r="M239" s="38" t="s">
        <v>123</v>
      </c>
      <c r="N239" s="41">
        <v>46007.166666666664</v>
      </c>
      <c r="O239" s="38" t="s">
        <v>123</v>
      </c>
      <c r="P239" s="38">
        <v>3600.0</v>
      </c>
      <c r="Q239" s="39"/>
      <c r="R239" s="39"/>
      <c r="S239" s="39"/>
      <c r="T239" s="39"/>
      <c r="U239" s="39"/>
    </row>
    <row r="240">
      <c r="A240" s="40">
        <f t="shared" si="1"/>
        <v>46006</v>
      </c>
      <c r="B240" s="37" t="str">
        <f t="array" ref="B240">iferror(xlookup($I240, 'IMPORT VHC Report'!$E:$E, 'IMPORT VHC Report'!$A:$C), )</f>
        <v/>
      </c>
      <c r="C240" s="37"/>
      <c r="D240" s="37"/>
      <c r="E240" s="38" t="s">
        <v>427</v>
      </c>
      <c r="F240" s="38" t="s">
        <v>418</v>
      </c>
      <c r="G240" s="38">
        <v>5.202378807439E12</v>
      </c>
      <c r="H240" s="38" t="s">
        <v>419</v>
      </c>
      <c r="I240" s="38" t="s">
        <v>420</v>
      </c>
      <c r="J240" s="38" t="s">
        <v>4</v>
      </c>
      <c r="K240" s="38" t="s">
        <v>126</v>
      </c>
      <c r="L240" s="41">
        <v>46007.208333333336</v>
      </c>
      <c r="M240" s="38" t="s">
        <v>123</v>
      </c>
      <c r="N240" s="41">
        <v>46007.25</v>
      </c>
      <c r="O240" s="38" t="s">
        <v>123</v>
      </c>
      <c r="P240" s="38">
        <v>3600.0</v>
      </c>
      <c r="Q240" s="39"/>
      <c r="R240" s="39"/>
      <c r="S240" s="38" t="s">
        <v>130</v>
      </c>
      <c r="T240" s="39"/>
      <c r="U240" s="39"/>
    </row>
    <row r="241">
      <c r="A241" s="40">
        <f t="shared" si="1"/>
        <v>46006</v>
      </c>
      <c r="B241" s="37" t="str">
        <f t="array" ref="B241">iferror(xlookup($I241, 'IMPORT VHC Report'!$E:$E, 'IMPORT VHC Report'!$A:$C), )</f>
        <v/>
      </c>
      <c r="C241" s="37"/>
      <c r="D241" s="37"/>
      <c r="E241" s="38" t="s">
        <v>428</v>
      </c>
      <c r="F241" s="38" t="s">
        <v>418</v>
      </c>
      <c r="G241" s="38">
        <v>5.202378807439E12</v>
      </c>
      <c r="H241" s="38" t="s">
        <v>419</v>
      </c>
      <c r="I241" s="38" t="s">
        <v>420</v>
      </c>
      <c r="J241" s="38" t="s">
        <v>330</v>
      </c>
      <c r="K241" s="38" t="s">
        <v>126</v>
      </c>
      <c r="L241" s="41">
        <v>46007.875</v>
      </c>
      <c r="M241" s="38" t="s">
        <v>123</v>
      </c>
      <c r="N241" s="41">
        <v>46007.881944444445</v>
      </c>
      <c r="O241" s="38" t="s">
        <v>123</v>
      </c>
      <c r="P241" s="38">
        <v>600.0</v>
      </c>
      <c r="Q241" s="39"/>
      <c r="R241" s="39"/>
      <c r="S241" s="39"/>
      <c r="T241" s="39"/>
      <c r="U241" s="39"/>
    </row>
    <row r="242">
      <c r="A242" s="40">
        <f t="shared" si="1"/>
        <v>46006</v>
      </c>
      <c r="B242" s="37" t="str">
        <f t="array" ref="B242">iferror(xlookup($I242, 'IMPORT VHC Report'!$E:$E, 'IMPORT VHC Report'!$A:$C), )</f>
        <v/>
      </c>
      <c r="C242" s="37"/>
      <c r="D242" s="37"/>
      <c r="E242" s="38" t="s">
        <v>429</v>
      </c>
      <c r="F242" s="38" t="s">
        <v>418</v>
      </c>
      <c r="G242" s="38">
        <v>5.202378807439E12</v>
      </c>
      <c r="H242" s="38" t="s">
        <v>419</v>
      </c>
      <c r="I242" s="38" t="s">
        <v>420</v>
      </c>
      <c r="J242" s="38" t="s">
        <v>332</v>
      </c>
      <c r="K242" s="38" t="s">
        <v>63</v>
      </c>
      <c r="L242" s="41">
        <v>46007.875</v>
      </c>
      <c r="M242" s="38" t="s">
        <v>123</v>
      </c>
      <c r="N242" s="41">
        <v>46008.25</v>
      </c>
      <c r="O242" s="38" t="s">
        <v>123</v>
      </c>
      <c r="P242" s="38">
        <v>32400.0</v>
      </c>
      <c r="Q242" s="39"/>
      <c r="R242" s="39"/>
      <c r="S242" s="39"/>
      <c r="T242" s="39"/>
      <c r="U242" s="39"/>
    </row>
    <row r="243">
      <c r="A243" s="40">
        <f t="shared" si="1"/>
        <v>46006</v>
      </c>
      <c r="B243" s="37" t="str">
        <f t="array" ref="B243">iferror(xlookup($I243, 'IMPORT VHC Report'!$E:$E, 'IMPORT VHC Report'!$A:$C), )</f>
        <v/>
      </c>
      <c r="C243" s="37"/>
      <c r="D243" s="37"/>
      <c r="E243" s="38" t="s">
        <v>430</v>
      </c>
      <c r="F243" s="38" t="s">
        <v>418</v>
      </c>
      <c r="G243" s="38">
        <v>5.202378807439E12</v>
      </c>
      <c r="H243" s="38" t="s">
        <v>419</v>
      </c>
      <c r="I243" s="38" t="s">
        <v>420</v>
      </c>
      <c r="J243" s="38" t="s">
        <v>132</v>
      </c>
      <c r="K243" s="38" t="s">
        <v>126</v>
      </c>
      <c r="L243" s="41">
        <v>46008.0</v>
      </c>
      <c r="M243" s="38" t="s">
        <v>123</v>
      </c>
      <c r="N243" s="41">
        <v>46008.041666666664</v>
      </c>
      <c r="O243" s="38" t="s">
        <v>123</v>
      </c>
      <c r="P243" s="38">
        <v>3600.0</v>
      </c>
      <c r="Q243" s="39"/>
      <c r="R243" s="39"/>
      <c r="S243" s="39"/>
      <c r="T243" s="39"/>
      <c r="U243" s="39"/>
    </row>
    <row r="244">
      <c r="A244" s="40">
        <f t="shared" si="1"/>
        <v>46006</v>
      </c>
      <c r="B244" s="37" t="str">
        <f t="array" ref="B244">iferror(xlookup($I244, 'IMPORT VHC Report'!$E:$E, 'IMPORT VHC Report'!$A:$C), )</f>
        <v/>
      </c>
      <c r="C244" s="37"/>
      <c r="D244" s="37"/>
      <c r="E244" s="38" t="s">
        <v>431</v>
      </c>
      <c r="F244" s="38" t="s">
        <v>418</v>
      </c>
      <c r="G244" s="38">
        <v>5.202378807439E12</v>
      </c>
      <c r="H244" s="38" t="s">
        <v>419</v>
      </c>
      <c r="I244" s="38" t="s">
        <v>420</v>
      </c>
      <c r="J244" s="38" t="s">
        <v>134</v>
      </c>
      <c r="K244" s="38" t="s">
        <v>126</v>
      </c>
      <c r="L244" s="41">
        <v>46008.177083333336</v>
      </c>
      <c r="M244" s="38" t="s">
        <v>123</v>
      </c>
      <c r="N244" s="41">
        <v>46008.197916666664</v>
      </c>
      <c r="O244" s="38" t="s">
        <v>123</v>
      </c>
      <c r="P244" s="38">
        <v>1800.0</v>
      </c>
      <c r="Q244" s="39"/>
      <c r="R244" s="39"/>
      <c r="S244" s="39"/>
      <c r="T244" s="39"/>
      <c r="U244" s="39"/>
    </row>
    <row r="245">
      <c r="A245" s="40">
        <f t="shared" si="1"/>
        <v>46006</v>
      </c>
      <c r="B245" s="37" t="str">
        <f t="array" ref="B245">iferror(xlookup($I245, 'IMPORT VHC Report'!$E:$E, 'IMPORT VHC Report'!$A:$C), )</f>
        <v/>
      </c>
      <c r="C245" s="37"/>
      <c r="D245" s="37"/>
      <c r="E245" s="38" t="s">
        <v>432</v>
      </c>
      <c r="F245" s="38" t="s">
        <v>418</v>
      </c>
      <c r="G245" s="38">
        <v>5.202378807439E12</v>
      </c>
      <c r="H245" s="38" t="s">
        <v>419</v>
      </c>
      <c r="I245" s="38" t="s">
        <v>420</v>
      </c>
      <c r="J245" s="38" t="s">
        <v>330</v>
      </c>
      <c r="K245" s="38" t="s">
        <v>126</v>
      </c>
      <c r="L245" s="41">
        <v>46010.875</v>
      </c>
      <c r="M245" s="38" t="s">
        <v>123</v>
      </c>
      <c r="N245" s="41">
        <v>46010.881944444445</v>
      </c>
      <c r="O245" s="38" t="s">
        <v>123</v>
      </c>
      <c r="P245" s="38">
        <v>600.0</v>
      </c>
      <c r="Q245" s="39"/>
      <c r="R245" s="39"/>
      <c r="S245" s="39"/>
      <c r="T245" s="39"/>
      <c r="U245" s="39"/>
    </row>
    <row r="246">
      <c r="A246" s="40">
        <f t="shared" si="1"/>
        <v>46006</v>
      </c>
      <c r="B246" s="37" t="str">
        <f t="array" ref="B246">iferror(xlookup($I246, 'IMPORT VHC Report'!$E:$E, 'IMPORT VHC Report'!$A:$C), )</f>
        <v/>
      </c>
      <c r="C246" s="37"/>
      <c r="D246" s="37"/>
      <c r="E246" s="38" t="s">
        <v>433</v>
      </c>
      <c r="F246" s="38" t="s">
        <v>418</v>
      </c>
      <c r="G246" s="38">
        <v>5.202378807439E12</v>
      </c>
      <c r="H246" s="38" t="s">
        <v>419</v>
      </c>
      <c r="I246" s="38" t="s">
        <v>420</v>
      </c>
      <c r="J246" s="38" t="s">
        <v>332</v>
      </c>
      <c r="K246" s="38" t="s">
        <v>63</v>
      </c>
      <c r="L246" s="41">
        <v>46010.875</v>
      </c>
      <c r="M246" s="38" t="s">
        <v>123</v>
      </c>
      <c r="N246" s="41">
        <v>46011.25</v>
      </c>
      <c r="O246" s="38" t="s">
        <v>123</v>
      </c>
      <c r="P246" s="38">
        <v>32400.0</v>
      </c>
      <c r="Q246" s="39"/>
      <c r="R246" s="39"/>
      <c r="S246" s="39"/>
      <c r="T246" s="39"/>
      <c r="U246" s="39"/>
    </row>
    <row r="247">
      <c r="A247" s="40">
        <f t="shared" si="1"/>
        <v>46006</v>
      </c>
      <c r="B247" s="37" t="str">
        <f t="array" ref="B247">iferror(xlookup($I247, 'IMPORT VHC Report'!$E:$E, 'IMPORT VHC Report'!$A:$C), )</f>
        <v/>
      </c>
      <c r="C247" s="37"/>
      <c r="D247" s="37"/>
      <c r="E247" s="38" t="s">
        <v>434</v>
      </c>
      <c r="F247" s="38" t="s">
        <v>418</v>
      </c>
      <c r="G247" s="38">
        <v>5.202378807439E12</v>
      </c>
      <c r="H247" s="38" t="s">
        <v>419</v>
      </c>
      <c r="I247" s="38" t="s">
        <v>420</v>
      </c>
      <c r="J247" s="38" t="s">
        <v>330</v>
      </c>
      <c r="K247" s="38" t="s">
        <v>126</v>
      </c>
      <c r="L247" s="41">
        <v>46010.916666666664</v>
      </c>
      <c r="M247" s="38" t="s">
        <v>123</v>
      </c>
      <c r="N247" s="41">
        <v>46010.938888888886</v>
      </c>
      <c r="O247" s="38" t="s">
        <v>123</v>
      </c>
      <c r="P247" s="38">
        <v>1920.0</v>
      </c>
      <c r="Q247" s="39"/>
      <c r="R247" s="39"/>
      <c r="S247" s="38" t="s">
        <v>435</v>
      </c>
      <c r="T247" s="39"/>
      <c r="U247" s="39"/>
    </row>
    <row r="248">
      <c r="A248" s="40">
        <f t="shared" si="1"/>
        <v>46006</v>
      </c>
      <c r="B248" s="37" t="str">
        <f t="array" ref="B248">iferror(xlookup($I248, 'IMPORT VHC Report'!$E:$E, 'IMPORT VHC Report'!$A:$C), )</f>
        <v/>
      </c>
      <c r="C248" s="37"/>
      <c r="D248" s="37"/>
      <c r="E248" s="38" t="s">
        <v>436</v>
      </c>
      <c r="F248" s="38" t="s">
        <v>418</v>
      </c>
      <c r="G248" s="38">
        <v>5.202378807439E12</v>
      </c>
      <c r="H248" s="38" t="s">
        <v>419</v>
      </c>
      <c r="I248" s="38" t="s">
        <v>420</v>
      </c>
      <c r="J248" s="38" t="s">
        <v>132</v>
      </c>
      <c r="K248" s="38" t="s">
        <v>126</v>
      </c>
      <c r="L248" s="41">
        <v>46011.010416666664</v>
      </c>
      <c r="M248" s="38" t="s">
        <v>123</v>
      </c>
      <c r="N248" s="41">
        <v>46011.052083333336</v>
      </c>
      <c r="O248" s="38" t="s">
        <v>123</v>
      </c>
      <c r="P248" s="38">
        <v>3600.0</v>
      </c>
      <c r="Q248" s="39"/>
      <c r="R248" s="39"/>
      <c r="S248" s="39"/>
      <c r="T248" s="39"/>
      <c r="U248" s="39"/>
    </row>
    <row r="249">
      <c r="A249" s="40">
        <f t="shared" si="1"/>
        <v>46006</v>
      </c>
      <c r="B249" s="37" t="str">
        <f t="array" ref="B249">iferror(xlookup($I249, 'IMPORT VHC Report'!$E:$E, 'IMPORT VHC Report'!$A:$C), )</f>
        <v/>
      </c>
      <c r="C249" s="37"/>
      <c r="D249" s="37"/>
      <c r="E249" s="38" t="s">
        <v>437</v>
      </c>
      <c r="F249" s="38" t="s">
        <v>418</v>
      </c>
      <c r="G249" s="38">
        <v>5.202378807439E12</v>
      </c>
      <c r="H249" s="38" t="s">
        <v>419</v>
      </c>
      <c r="I249" s="38" t="s">
        <v>420</v>
      </c>
      <c r="J249" s="38" t="s">
        <v>134</v>
      </c>
      <c r="K249" s="38" t="s">
        <v>126</v>
      </c>
      <c r="L249" s="41">
        <v>46011.208333333336</v>
      </c>
      <c r="M249" s="38" t="s">
        <v>123</v>
      </c>
      <c r="N249" s="41">
        <v>46011.229166666664</v>
      </c>
      <c r="O249" s="38" t="s">
        <v>123</v>
      </c>
      <c r="P249" s="38">
        <v>1800.0</v>
      </c>
      <c r="Q249" s="39"/>
      <c r="R249" s="39"/>
      <c r="S249" s="38" t="s">
        <v>438</v>
      </c>
      <c r="T249" s="39"/>
      <c r="U249" s="39"/>
    </row>
    <row r="250">
      <c r="A250" s="40">
        <f t="shared" si="1"/>
        <v>46006</v>
      </c>
      <c r="B250" s="37" t="str">
        <f t="array" ref="B250">iferror(xlookup($I250, 'IMPORT VHC Report'!$E:$E, 'IMPORT VHC Report'!$A:$C), )</f>
        <v/>
      </c>
      <c r="C250" s="37"/>
      <c r="D250" s="37"/>
      <c r="E250" s="38" t="s">
        <v>439</v>
      </c>
      <c r="F250" s="38" t="s">
        <v>418</v>
      </c>
      <c r="G250" s="38">
        <v>5.202378807439E12</v>
      </c>
      <c r="H250" s="38" t="s">
        <v>419</v>
      </c>
      <c r="I250" s="38" t="s">
        <v>420</v>
      </c>
      <c r="J250" s="38" t="s">
        <v>330</v>
      </c>
      <c r="K250" s="38" t="s">
        <v>126</v>
      </c>
      <c r="L250" s="41">
        <v>46011.875</v>
      </c>
      <c r="M250" s="38" t="s">
        <v>123</v>
      </c>
      <c r="N250" s="41">
        <v>46011.881944444445</v>
      </c>
      <c r="O250" s="38" t="s">
        <v>123</v>
      </c>
      <c r="P250" s="38">
        <v>600.0</v>
      </c>
      <c r="Q250" s="39"/>
      <c r="R250" s="39"/>
      <c r="S250" s="39"/>
      <c r="T250" s="39"/>
      <c r="U250" s="39"/>
    </row>
    <row r="251">
      <c r="A251" s="40">
        <f t="shared" si="1"/>
        <v>46006</v>
      </c>
      <c r="B251" s="37" t="str">
        <f t="array" ref="B251">iferror(xlookup($I251, 'IMPORT VHC Report'!$E:$E, 'IMPORT VHC Report'!$A:$C), )</f>
        <v/>
      </c>
      <c r="C251" s="37"/>
      <c r="D251" s="37"/>
      <c r="E251" s="38" t="s">
        <v>440</v>
      </c>
      <c r="F251" s="38" t="s">
        <v>418</v>
      </c>
      <c r="G251" s="38">
        <v>5.202378807439E12</v>
      </c>
      <c r="H251" s="38" t="s">
        <v>419</v>
      </c>
      <c r="I251" s="38" t="s">
        <v>420</v>
      </c>
      <c r="J251" s="38" t="s">
        <v>332</v>
      </c>
      <c r="K251" s="38" t="s">
        <v>63</v>
      </c>
      <c r="L251" s="41">
        <v>46011.875</v>
      </c>
      <c r="M251" s="38" t="s">
        <v>123</v>
      </c>
      <c r="N251" s="41">
        <v>46012.25</v>
      </c>
      <c r="O251" s="38" t="s">
        <v>123</v>
      </c>
      <c r="P251" s="38">
        <v>32400.0</v>
      </c>
      <c r="Q251" s="39"/>
      <c r="R251" s="39"/>
      <c r="S251" s="39"/>
      <c r="T251" s="39"/>
      <c r="U251" s="39"/>
    </row>
    <row r="252">
      <c r="A252" s="40">
        <f t="shared" si="1"/>
        <v>46006</v>
      </c>
      <c r="B252" s="37" t="str">
        <f t="array" ref="B252">iferror(xlookup($I252, 'IMPORT VHC Report'!$E:$E, 'IMPORT VHC Report'!$A:$C), )</f>
        <v/>
      </c>
      <c r="C252" s="37"/>
      <c r="D252" s="37"/>
      <c r="E252" s="38" t="s">
        <v>441</v>
      </c>
      <c r="F252" s="38" t="s">
        <v>418</v>
      </c>
      <c r="G252" s="38">
        <v>5.202378807439E12</v>
      </c>
      <c r="H252" s="38" t="s">
        <v>419</v>
      </c>
      <c r="I252" s="38" t="s">
        <v>420</v>
      </c>
      <c r="J252" s="38" t="s">
        <v>132</v>
      </c>
      <c r="K252" s="38" t="s">
        <v>126</v>
      </c>
      <c r="L252" s="41">
        <v>46012.03125</v>
      </c>
      <c r="M252" s="38" t="s">
        <v>123</v>
      </c>
      <c r="N252" s="41">
        <v>46012.072916666664</v>
      </c>
      <c r="O252" s="38" t="s">
        <v>123</v>
      </c>
      <c r="P252" s="38">
        <v>3600.0</v>
      </c>
      <c r="Q252" s="39"/>
      <c r="R252" s="39"/>
      <c r="S252" s="39"/>
      <c r="T252" s="39"/>
      <c r="U252" s="39"/>
    </row>
    <row r="253">
      <c r="A253" s="40">
        <f t="shared" si="1"/>
        <v>46006</v>
      </c>
      <c r="B253" s="37" t="str">
        <f t="array" ref="B253">iferror(xlookup($I253, 'IMPORT VHC Report'!$E:$E, 'IMPORT VHC Report'!$A:$C), )</f>
        <v/>
      </c>
      <c r="C253" s="37"/>
      <c r="D253" s="37"/>
      <c r="E253" s="38" t="s">
        <v>442</v>
      </c>
      <c r="F253" s="38" t="s">
        <v>418</v>
      </c>
      <c r="G253" s="38">
        <v>5.202378807439E12</v>
      </c>
      <c r="H253" s="38" t="s">
        <v>419</v>
      </c>
      <c r="I253" s="38" t="s">
        <v>420</v>
      </c>
      <c r="J253" s="38" t="s">
        <v>134</v>
      </c>
      <c r="K253" s="38" t="s">
        <v>126</v>
      </c>
      <c r="L253" s="41">
        <v>46012.114583333336</v>
      </c>
      <c r="M253" s="38" t="s">
        <v>123</v>
      </c>
      <c r="N253" s="41">
        <v>46012.135416666664</v>
      </c>
      <c r="O253" s="38" t="s">
        <v>123</v>
      </c>
      <c r="P253" s="38">
        <v>1800.0</v>
      </c>
      <c r="Q253" s="39"/>
      <c r="R253" s="39"/>
      <c r="S253" s="39"/>
      <c r="T253" s="39"/>
      <c r="U253" s="39"/>
    </row>
    <row r="254">
      <c r="A254" s="40">
        <f t="shared" si="1"/>
        <v>46006</v>
      </c>
      <c r="B254" s="37" t="str">
        <f t="array" ref="B254">iferror(xlookup($I254, 'IMPORT VHC Report'!$E:$E, 'IMPORT VHC Report'!$A:$C), )</f>
        <v/>
      </c>
      <c r="C254" s="37"/>
      <c r="D254" s="37"/>
      <c r="E254" s="38" t="s">
        <v>443</v>
      </c>
      <c r="F254" s="38" t="s">
        <v>418</v>
      </c>
      <c r="G254" s="38">
        <v>5.202378807439E12</v>
      </c>
      <c r="H254" s="38" t="s">
        <v>419</v>
      </c>
      <c r="I254" s="38" t="s">
        <v>420</v>
      </c>
      <c r="J254" s="38" t="s">
        <v>330</v>
      </c>
      <c r="K254" s="38" t="s">
        <v>126</v>
      </c>
      <c r="L254" s="41">
        <v>46012.875</v>
      </c>
      <c r="M254" s="38" t="s">
        <v>123</v>
      </c>
      <c r="N254" s="41">
        <v>46012.881944444445</v>
      </c>
      <c r="O254" s="38" t="s">
        <v>123</v>
      </c>
      <c r="P254" s="38">
        <v>600.0</v>
      </c>
      <c r="Q254" s="39"/>
      <c r="R254" s="39"/>
      <c r="S254" s="39"/>
      <c r="T254" s="39"/>
      <c r="U254" s="39"/>
    </row>
    <row r="255">
      <c r="A255" s="40">
        <f t="shared" si="1"/>
        <v>46006</v>
      </c>
      <c r="B255" s="37" t="str">
        <f t="array" ref="B255">iferror(xlookup($I255, 'IMPORT VHC Report'!$E:$E, 'IMPORT VHC Report'!$A:$C), )</f>
        <v/>
      </c>
      <c r="C255" s="37"/>
      <c r="D255" s="37"/>
      <c r="E255" s="38" t="s">
        <v>444</v>
      </c>
      <c r="F255" s="38" t="s">
        <v>418</v>
      </c>
      <c r="G255" s="38">
        <v>5.202378807439E12</v>
      </c>
      <c r="H255" s="38" t="s">
        <v>419</v>
      </c>
      <c r="I255" s="38" t="s">
        <v>420</v>
      </c>
      <c r="J255" s="38" t="s">
        <v>332</v>
      </c>
      <c r="K255" s="38" t="s">
        <v>63</v>
      </c>
      <c r="L255" s="41">
        <v>46012.875</v>
      </c>
      <c r="M255" s="38" t="s">
        <v>123</v>
      </c>
      <c r="N255" s="41">
        <v>46013.0</v>
      </c>
      <c r="O255" s="38" t="s">
        <v>123</v>
      </c>
      <c r="P255" s="38">
        <v>10800.0</v>
      </c>
      <c r="Q255" s="39"/>
      <c r="R255" s="39"/>
      <c r="S255" s="39"/>
      <c r="T255" s="39"/>
      <c r="U255" s="39"/>
    </row>
    <row r="256">
      <c r="A256" s="40">
        <f t="shared" si="1"/>
        <v>46006</v>
      </c>
      <c r="B256" s="37" t="str">
        <f t="array" ref="B256">iferror(xlookup($I256, 'IMPORT VHC Report'!$E:$E, 'IMPORT VHC Report'!$A:$C), )</f>
        <v/>
      </c>
      <c r="C256" s="37"/>
      <c r="D256" s="37"/>
      <c r="E256" s="38" t="s">
        <v>445</v>
      </c>
      <c r="F256" s="38" t="s">
        <v>418</v>
      </c>
      <c r="G256" s="38">
        <v>5.202378807439E12</v>
      </c>
      <c r="H256" s="38" t="s">
        <v>419</v>
      </c>
      <c r="I256" s="38" t="s">
        <v>420</v>
      </c>
      <c r="J256" s="38" t="s">
        <v>134</v>
      </c>
      <c r="K256" s="38" t="s">
        <v>126</v>
      </c>
      <c r="L256" s="41">
        <v>46012.989583333336</v>
      </c>
      <c r="M256" s="38" t="s">
        <v>123</v>
      </c>
      <c r="N256" s="41">
        <v>46013.0</v>
      </c>
      <c r="O256" s="38" t="s">
        <v>123</v>
      </c>
      <c r="P256" s="38">
        <v>900.0</v>
      </c>
      <c r="Q256" s="39"/>
      <c r="R256" s="39"/>
      <c r="S256" s="39"/>
      <c r="T256" s="39"/>
      <c r="U256" s="39"/>
    </row>
    <row r="257">
      <c r="A257" s="40">
        <f t="shared" si="1"/>
        <v>46006</v>
      </c>
      <c r="B257" s="37" t="str">
        <f t="array" ref="B257">iferror(xlookup($I257, 'IMPORT VHC Report'!$E:$E, 'IMPORT VHC Report'!$A:$C), )</f>
        <v/>
      </c>
      <c r="C257" s="37"/>
      <c r="D257" s="37"/>
      <c r="E257" s="38" t="s">
        <v>446</v>
      </c>
      <c r="F257" s="38" t="s">
        <v>418</v>
      </c>
      <c r="G257" s="38">
        <v>5.202378807439E12</v>
      </c>
      <c r="H257" s="38" t="s">
        <v>419</v>
      </c>
      <c r="I257" s="38" t="s">
        <v>420</v>
      </c>
      <c r="J257" s="38" t="s">
        <v>332</v>
      </c>
      <c r="K257" s="38" t="s">
        <v>63</v>
      </c>
      <c r="L257" s="41">
        <v>46012.989583333336</v>
      </c>
      <c r="M257" s="38" t="s">
        <v>123</v>
      </c>
      <c r="N257" s="41">
        <v>46013.25</v>
      </c>
      <c r="O257" s="38" t="s">
        <v>123</v>
      </c>
      <c r="P257" s="38">
        <v>22500.0</v>
      </c>
      <c r="Q257" s="39"/>
      <c r="R257" s="39"/>
      <c r="S257" s="39"/>
      <c r="T257" s="39"/>
      <c r="U257" s="39"/>
    </row>
    <row r="258">
      <c r="A258" s="40">
        <f t="shared" si="1"/>
        <v>45999</v>
      </c>
      <c r="B258" s="37" t="str">
        <f t="array" ref="B258">iferror(xlookup($I258, 'IMPORT VHC Report'!$E:$E, 'IMPORT VHC Report'!$A:$C), )</f>
        <v/>
      </c>
      <c r="C258" s="37"/>
      <c r="D258" s="37"/>
      <c r="E258" s="38" t="s">
        <v>447</v>
      </c>
      <c r="F258" s="38" t="s">
        <v>448</v>
      </c>
      <c r="G258" s="38">
        <v>3.61733077235E11</v>
      </c>
      <c r="H258" s="38" t="s">
        <v>449</v>
      </c>
      <c r="I258" s="38" t="s">
        <v>450</v>
      </c>
      <c r="J258" s="38" t="s">
        <v>451</v>
      </c>
      <c r="K258" s="38" t="s">
        <v>63</v>
      </c>
      <c r="L258" s="41">
        <v>46005.875</v>
      </c>
      <c r="M258" s="38" t="s">
        <v>123</v>
      </c>
      <c r="N258" s="41">
        <v>46006.25</v>
      </c>
      <c r="O258" s="38" t="s">
        <v>123</v>
      </c>
      <c r="P258" s="38">
        <v>32400.0</v>
      </c>
      <c r="Q258" s="39"/>
      <c r="R258" s="39"/>
      <c r="S258" s="39"/>
      <c r="T258" s="39"/>
      <c r="U258" s="39"/>
    </row>
    <row r="259">
      <c r="A259" s="40">
        <f t="shared" si="1"/>
        <v>46006</v>
      </c>
      <c r="B259" s="37" t="str">
        <f t="array" ref="B259">iferror(xlookup($I259, 'IMPORT VHC Report'!$E:$E, 'IMPORT VHC Report'!$A:$C), )</f>
        <v/>
      </c>
      <c r="C259" s="37"/>
      <c r="D259" s="37"/>
      <c r="E259" s="38" t="s">
        <v>452</v>
      </c>
      <c r="F259" s="38" t="s">
        <v>448</v>
      </c>
      <c r="G259" s="38">
        <v>3.61733077235E11</v>
      </c>
      <c r="H259" s="38" t="s">
        <v>449</v>
      </c>
      <c r="I259" s="38" t="s">
        <v>450</v>
      </c>
      <c r="J259" s="38" t="s">
        <v>134</v>
      </c>
      <c r="K259" s="38" t="s">
        <v>126</v>
      </c>
      <c r="L259" s="41">
        <v>46006.104166666664</v>
      </c>
      <c r="M259" s="38" t="s">
        <v>123</v>
      </c>
      <c r="N259" s="41">
        <v>46006.125</v>
      </c>
      <c r="O259" s="38" t="s">
        <v>123</v>
      </c>
      <c r="P259" s="38">
        <v>1800.0</v>
      </c>
      <c r="Q259" s="39"/>
      <c r="R259" s="39"/>
      <c r="S259" s="39"/>
      <c r="T259" s="39"/>
      <c r="U259" s="39"/>
    </row>
    <row r="260">
      <c r="A260" s="40">
        <f t="shared" si="1"/>
        <v>46006</v>
      </c>
      <c r="B260" s="37" t="str">
        <f t="array" ref="B260">iferror(xlookup($I260, 'IMPORT VHC Report'!$E:$E, 'IMPORT VHC Report'!$A:$C), )</f>
        <v/>
      </c>
      <c r="C260" s="37"/>
      <c r="D260" s="37"/>
      <c r="E260" s="38" t="s">
        <v>453</v>
      </c>
      <c r="F260" s="38" t="s">
        <v>448</v>
      </c>
      <c r="G260" s="38">
        <v>3.61733077235E11</v>
      </c>
      <c r="H260" s="38" t="s">
        <v>449</v>
      </c>
      <c r="I260" s="38" t="s">
        <v>450</v>
      </c>
      <c r="J260" s="38" t="s">
        <v>132</v>
      </c>
      <c r="K260" s="38" t="s">
        <v>126</v>
      </c>
      <c r="L260" s="41">
        <v>46006.125</v>
      </c>
      <c r="M260" s="38" t="s">
        <v>123</v>
      </c>
      <c r="N260" s="41">
        <v>46006.166666666664</v>
      </c>
      <c r="O260" s="38" t="s">
        <v>123</v>
      </c>
      <c r="P260" s="38">
        <v>3600.0</v>
      </c>
      <c r="Q260" s="39"/>
      <c r="R260" s="39"/>
      <c r="S260" s="39"/>
      <c r="T260" s="39"/>
      <c r="U260" s="39"/>
    </row>
    <row r="261">
      <c r="A261" s="40">
        <f t="shared" si="1"/>
        <v>46006</v>
      </c>
      <c r="B261" s="37" t="str">
        <f t="array" ref="B261">iferror(xlookup($I261, 'IMPORT VHC Report'!$E:$E, 'IMPORT VHC Report'!$A:$C), )</f>
        <v/>
      </c>
      <c r="C261" s="37"/>
      <c r="D261" s="37"/>
      <c r="E261" s="38" t="s">
        <v>454</v>
      </c>
      <c r="F261" s="38" t="s">
        <v>448</v>
      </c>
      <c r="G261" s="38">
        <v>3.61733077235E11</v>
      </c>
      <c r="H261" s="38" t="s">
        <v>449</v>
      </c>
      <c r="I261" s="38" t="s">
        <v>450</v>
      </c>
      <c r="J261" s="38" t="s">
        <v>368</v>
      </c>
      <c r="K261" s="38" t="s">
        <v>63</v>
      </c>
      <c r="L261" s="41">
        <v>46006.875</v>
      </c>
      <c r="M261" s="38" t="s">
        <v>123</v>
      </c>
      <c r="N261" s="41">
        <v>46007.25</v>
      </c>
      <c r="O261" s="38" t="s">
        <v>123</v>
      </c>
      <c r="P261" s="38">
        <v>32400.0</v>
      </c>
      <c r="Q261" s="39"/>
      <c r="R261" s="39"/>
      <c r="S261" s="39"/>
      <c r="T261" s="39"/>
      <c r="U261" s="39"/>
    </row>
    <row r="262">
      <c r="A262" s="40">
        <f t="shared" si="1"/>
        <v>46006</v>
      </c>
      <c r="B262" s="37" t="str">
        <f t="array" ref="B262">iferror(xlookup($I262, 'IMPORT VHC Report'!$E:$E, 'IMPORT VHC Report'!$A:$C), )</f>
        <v/>
      </c>
      <c r="C262" s="37"/>
      <c r="D262" s="37"/>
      <c r="E262" s="38" t="s">
        <v>455</v>
      </c>
      <c r="F262" s="38" t="s">
        <v>448</v>
      </c>
      <c r="G262" s="38">
        <v>3.61733077235E11</v>
      </c>
      <c r="H262" s="38" t="s">
        <v>449</v>
      </c>
      <c r="I262" s="38" t="s">
        <v>450</v>
      </c>
      <c r="J262" s="38" t="s">
        <v>134</v>
      </c>
      <c r="K262" s="38" t="s">
        <v>126</v>
      </c>
      <c r="L262" s="41">
        <v>46006.958333333336</v>
      </c>
      <c r="M262" s="38" t="s">
        <v>123</v>
      </c>
      <c r="N262" s="41">
        <v>46006.979166666664</v>
      </c>
      <c r="O262" s="38" t="s">
        <v>123</v>
      </c>
      <c r="P262" s="38">
        <v>1800.0</v>
      </c>
      <c r="Q262" s="39"/>
      <c r="R262" s="39"/>
      <c r="S262" s="39"/>
      <c r="T262" s="39"/>
      <c r="U262" s="39"/>
    </row>
    <row r="263">
      <c r="A263" s="40">
        <f t="shared" si="1"/>
        <v>46006</v>
      </c>
      <c r="B263" s="37" t="str">
        <f t="array" ref="B263">iferror(xlookup($I263, 'IMPORT VHC Report'!$E:$E, 'IMPORT VHC Report'!$A:$C), )</f>
        <v/>
      </c>
      <c r="C263" s="37"/>
      <c r="D263" s="37"/>
      <c r="E263" s="38" t="s">
        <v>456</v>
      </c>
      <c r="F263" s="38" t="s">
        <v>448</v>
      </c>
      <c r="G263" s="38">
        <v>3.61733077235E11</v>
      </c>
      <c r="H263" s="38" t="s">
        <v>449</v>
      </c>
      <c r="I263" s="38" t="s">
        <v>450</v>
      </c>
      <c r="J263" s="38" t="s">
        <v>132</v>
      </c>
      <c r="K263" s="38" t="s">
        <v>126</v>
      </c>
      <c r="L263" s="41">
        <v>46007.166666666664</v>
      </c>
      <c r="M263" s="38" t="s">
        <v>123</v>
      </c>
      <c r="N263" s="41">
        <v>46007.208333333336</v>
      </c>
      <c r="O263" s="38" t="s">
        <v>123</v>
      </c>
      <c r="P263" s="38">
        <v>3600.0</v>
      </c>
      <c r="Q263" s="39"/>
      <c r="R263" s="39"/>
      <c r="S263" s="39"/>
      <c r="T263" s="39"/>
      <c r="U263" s="39"/>
    </row>
    <row r="264">
      <c r="A264" s="40">
        <f t="shared" si="1"/>
        <v>46006</v>
      </c>
      <c r="B264" s="37" t="str">
        <f t="array" ref="B264">iferror(xlookup($I264, 'IMPORT VHC Report'!$E:$E, 'IMPORT VHC Report'!$A:$C), )</f>
        <v/>
      </c>
      <c r="C264" s="37"/>
      <c r="D264" s="37"/>
      <c r="E264" s="38" t="s">
        <v>457</v>
      </c>
      <c r="F264" s="38" t="s">
        <v>448</v>
      </c>
      <c r="G264" s="38">
        <v>3.61733077235E11</v>
      </c>
      <c r="H264" s="38" t="s">
        <v>449</v>
      </c>
      <c r="I264" s="38" t="s">
        <v>450</v>
      </c>
      <c r="J264" s="38" t="s">
        <v>4</v>
      </c>
      <c r="K264" s="38" t="s">
        <v>126</v>
      </c>
      <c r="L264" s="41">
        <v>46007.875</v>
      </c>
      <c r="M264" s="38" t="s">
        <v>123</v>
      </c>
      <c r="N264" s="41">
        <v>46007.9375</v>
      </c>
      <c r="O264" s="38" t="s">
        <v>123</v>
      </c>
      <c r="P264" s="38">
        <v>5400.0</v>
      </c>
      <c r="Q264" s="39"/>
      <c r="R264" s="39"/>
      <c r="S264" s="38" t="s">
        <v>458</v>
      </c>
      <c r="T264" s="39"/>
      <c r="U264" s="39"/>
    </row>
    <row r="265">
      <c r="A265" s="40">
        <f t="shared" si="1"/>
        <v>46006</v>
      </c>
      <c r="B265" s="37" t="str">
        <f t="array" ref="B265">iferror(xlookup($I265, 'IMPORT VHC Report'!$E:$E, 'IMPORT VHC Report'!$A:$C), )</f>
        <v/>
      </c>
      <c r="C265" s="37"/>
      <c r="D265" s="37"/>
      <c r="E265" s="38" t="s">
        <v>459</v>
      </c>
      <c r="F265" s="38" t="s">
        <v>448</v>
      </c>
      <c r="G265" s="38">
        <v>3.61733077235E11</v>
      </c>
      <c r="H265" s="38" t="s">
        <v>449</v>
      </c>
      <c r="I265" s="38" t="s">
        <v>450</v>
      </c>
      <c r="J265" s="38" t="s">
        <v>368</v>
      </c>
      <c r="K265" s="38" t="s">
        <v>63</v>
      </c>
      <c r="L265" s="41">
        <v>46007.875</v>
      </c>
      <c r="M265" s="38" t="s">
        <v>123</v>
      </c>
      <c r="N265" s="41">
        <v>46008.25</v>
      </c>
      <c r="O265" s="38" t="s">
        <v>123</v>
      </c>
      <c r="P265" s="38">
        <v>32400.0</v>
      </c>
      <c r="Q265" s="39"/>
      <c r="R265" s="39"/>
      <c r="S265" s="39"/>
      <c r="T265" s="39"/>
      <c r="U265" s="39"/>
    </row>
    <row r="266">
      <c r="A266" s="40">
        <f t="shared" si="1"/>
        <v>46006</v>
      </c>
      <c r="B266" s="37" t="str">
        <f t="array" ref="B266">iferror(xlookup($I266, 'IMPORT VHC Report'!$E:$E, 'IMPORT VHC Report'!$A:$C), )</f>
        <v/>
      </c>
      <c r="C266" s="37"/>
      <c r="D266" s="37"/>
      <c r="E266" s="38" t="s">
        <v>460</v>
      </c>
      <c r="F266" s="38" t="s">
        <v>448</v>
      </c>
      <c r="G266" s="38">
        <v>3.61733077235E11</v>
      </c>
      <c r="H266" s="38" t="s">
        <v>449</v>
      </c>
      <c r="I266" s="38" t="s">
        <v>450</v>
      </c>
      <c r="J266" s="38" t="s">
        <v>134</v>
      </c>
      <c r="K266" s="38" t="s">
        <v>126</v>
      </c>
      <c r="L266" s="41">
        <v>46008.020833333336</v>
      </c>
      <c r="M266" s="38" t="s">
        <v>123</v>
      </c>
      <c r="N266" s="41">
        <v>46008.041666666664</v>
      </c>
      <c r="O266" s="38" t="s">
        <v>123</v>
      </c>
      <c r="P266" s="38">
        <v>1800.0</v>
      </c>
      <c r="Q266" s="39"/>
      <c r="R266" s="39"/>
      <c r="S266" s="39"/>
      <c r="T266" s="39"/>
      <c r="U266" s="39"/>
    </row>
    <row r="267">
      <c r="A267" s="40">
        <f t="shared" si="1"/>
        <v>46006</v>
      </c>
      <c r="B267" s="37" t="str">
        <f t="array" ref="B267">iferror(xlookup($I267, 'IMPORT VHC Report'!$E:$E, 'IMPORT VHC Report'!$A:$C), )</f>
        <v/>
      </c>
      <c r="C267" s="37"/>
      <c r="D267" s="37"/>
      <c r="E267" s="38" t="s">
        <v>461</v>
      </c>
      <c r="F267" s="38" t="s">
        <v>448</v>
      </c>
      <c r="G267" s="38">
        <v>3.61733077235E11</v>
      </c>
      <c r="H267" s="38" t="s">
        <v>449</v>
      </c>
      <c r="I267" s="38" t="s">
        <v>450</v>
      </c>
      <c r="J267" s="38" t="s">
        <v>132</v>
      </c>
      <c r="K267" s="38" t="s">
        <v>126</v>
      </c>
      <c r="L267" s="41">
        <v>46008.15625</v>
      </c>
      <c r="M267" s="38" t="s">
        <v>123</v>
      </c>
      <c r="N267" s="41">
        <v>46008.197916666664</v>
      </c>
      <c r="O267" s="38" t="s">
        <v>123</v>
      </c>
      <c r="P267" s="38">
        <v>3600.0</v>
      </c>
      <c r="Q267" s="39"/>
      <c r="R267" s="39"/>
      <c r="S267" s="39"/>
      <c r="T267" s="39"/>
      <c r="U267" s="39"/>
    </row>
    <row r="268">
      <c r="A268" s="40">
        <f t="shared" si="1"/>
        <v>46006</v>
      </c>
      <c r="B268" s="37" t="str">
        <f t="array" ref="B268">iferror(xlookup($I268, 'IMPORT VHC Report'!$E:$E, 'IMPORT VHC Report'!$A:$C), )</f>
        <v/>
      </c>
      <c r="C268" s="37"/>
      <c r="D268" s="37"/>
      <c r="E268" s="38" t="s">
        <v>462</v>
      </c>
      <c r="F268" s="38" t="s">
        <v>448</v>
      </c>
      <c r="G268" s="38">
        <v>3.61733077235E11</v>
      </c>
      <c r="H268" s="38" t="s">
        <v>449</v>
      </c>
      <c r="I268" s="38" t="s">
        <v>450</v>
      </c>
      <c r="J268" s="38" t="s">
        <v>368</v>
      </c>
      <c r="K268" s="38" t="s">
        <v>63</v>
      </c>
      <c r="L268" s="41">
        <v>46008.875</v>
      </c>
      <c r="M268" s="38" t="s">
        <v>123</v>
      </c>
      <c r="N268" s="41">
        <v>46009.25</v>
      </c>
      <c r="O268" s="38" t="s">
        <v>123</v>
      </c>
      <c r="P268" s="38">
        <v>32400.0</v>
      </c>
      <c r="Q268" s="39"/>
      <c r="R268" s="39"/>
      <c r="S268" s="39"/>
      <c r="T268" s="39"/>
      <c r="U268" s="39"/>
    </row>
    <row r="269">
      <c r="A269" s="40">
        <f t="shared" si="1"/>
        <v>46006</v>
      </c>
      <c r="B269" s="37" t="str">
        <f t="array" ref="B269">iferror(xlookup($I269, 'IMPORT VHC Report'!$E:$E, 'IMPORT VHC Report'!$A:$C), )</f>
        <v/>
      </c>
      <c r="C269" s="37"/>
      <c r="D269" s="37"/>
      <c r="E269" s="38" t="s">
        <v>463</v>
      </c>
      <c r="F269" s="38" t="s">
        <v>448</v>
      </c>
      <c r="G269" s="38">
        <v>3.61733077235E11</v>
      </c>
      <c r="H269" s="38" t="s">
        <v>449</v>
      </c>
      <c r="I269" s="38" t="s">
        <v>450</v>
      </c>
      <c r="J269" s="38" t="s">
        <v>134</v>
      </c>
      <c r="K269" s="38" t="s">
        <v>126</v>
      </c>
      <c r="L269" s="41">
        <v>46009.0625</v>
      </c>
      <c r="M269" s="38" t="s">
        <v>123</v>
      </c>
      <c r="N269" s="41">
        <v>46009.083333333336</v>
      </c>
      <c r="O269" s="38" t="s">
        <v>123</v>
      </c>
      <c r="P269" s="38">
        <v>1800.0</v>
      </c>
      <c r="Q269" s="39"/>
      <c r="R269" s="39"/>
      <c r="S269" s="39"/>
      <c r="T269" s="39"/>
      <c r="U269" s="39"/>
    </row>
    <row r="270">
      <c r="A270" s="40">
        <f t="shared" si="1"/>
        <v>46006</v>
      </c>
      <c r="B270" s="37" t="str">
        <f t="array" ref="B270">iferror(xlookup($I270, 'IMPORT VHC Report'!$E:$E, 'IMPORT VHC Report'!$A:$C), )</f>
        <v/>
      </c>
      <c r="C270" s="37"/>
      <c r="D270" s="37"/>
      <c r="E270" s="38" t="s">
        <v>464</v>
      </c>
      <c r="F270" s="38" t="s">
        <v>448</v>
      </c>
      <c r="G270" s="38">
        <v>3.61733077235E11</v>
      </c>
      <c r="H270" s="38" t="s">
        <v>449</v>
      </c>
      <c r="I270" s="38" t="s">
        <v>450</v>
      </c>
      <c r="J270" s="38" t="s">
        <v>132</v>
      </c>
      <c r="K270" s="38" t="s">
        <v>126</v>
      </c>
      <c r="L270" s="41">
        <v>46009.166666666664</v>
      </c>
      <c r="M270" s="38" t="s">
        <v>123</v>
      </c>
      <c r="N270" s="41">
        <v>46009.208333333336</v>
      </c>
      <c r="O270" s="38" t="s">
        <v>123</v>
      </c>
      <c r="P270" s="38">
        <v>3600.0</v>
      </c>
      <c r="Q270" s="39"/>
      <c r="R270" s="39"/>
      <c r="S270" s="39"/>
      <c r="T270" s="39"/>
      <c r="U270" s="39"/>
    </row>
    <row r="271">
      <c r="A271" s="40">
        <f t="shared" si="1"/>
        <v>46006</v>
      </c>
      <c r="B271" s="37" t="str">
        <f t="array" ref="B271">iferror(xlookup($I271, 'IMPORT VHC Report'!$E:$E, 'IMPORT VHC Report'!$A:$C), )</f>
        <v/>
      </c>
      <c r="C271" s="37"/>
      <c r="D271" s="37"/>
      <c r="E271" s="38" t="s">
        <v>465</v>
      </c>
      <c r="F271" s="38" t="s">
        <v>448</v>
      </c>
      <c r="G271" s="38">
        <v>3.61733077235E11</v>
      </c>
      <c r="H271" s="38" t="s">
        <v>449</v>
      </c>
      <c r="I271" s="38" t="s">
        <v>450</v>
      </c>
      <c r="J271" s="38" t="s">
        <v>368</v>
      </c>
      <c r="K271" s="38" t="s">
        <v>63</v>
      </c>
      <c r="L271" s="41">
        <v>46011.875</v>
      </c>
      <c r="M271" s="38" t="s">
        <v>123</v>
      </c>
      <c r="N271" s="41">
        <v>46012.25</v>
      </c>
      <c r="O271" s="38" t="s">
        <v>123</v>
      </c>
      <c r="P271" s="38">
        <v>32400.0</v>
      </c>
      <c r="Q271" s="39"/>
      <c r="R271" s="39"/>
      <c r="S271" s="39"/>
      <c r="T271" s="39"/>
      <c r="U271" s="39"/>
    </row>
    <row r="272">
      <c r="A272" s="40">
        <f t="shared" si="1"/>
        <v>46006</v>
      </c>
      <c r="B272" s="37" t="str">
        <f t="array" ref="B272">iferror(xlookup($I272, 'IMPORT VHC Report'!$E:$E, 'IMPORT VHC Report'!$A:$C), )</f>
        <v/>
      </c>
      <c r="C272" s="37"/>
      <c r="D272" s="37"/>
      <c r="E272" s="38" t="s">
        <v>466</v>
      </c>
      <c r="F272" s="38" t="s">
        <v>448</v>
      </c>
      <c r="G272" s="38">
        <v>3.61733077235E11</v>
      </c>
      <c r="H272" s="38" t="s">
        <v>449</v>
      </c>
      <c r="I272" s="38" t="s">
        <v>450</v>
      </c>
      <c r="J272" s="38" t="s">
        <v>134</v>
      </c>
      <c r="K272" s="38" t="s">
        <v>126</v>
      </c>
      <c r="L272" s="41">
        <v>46011.979166666664</v>
      </c>
      <c r="M272" s="38" t="s">
        <v>123</v>
      </c>
      <c r="N272" s="41">
        <v>46012.0</v>
      </c>
      <c r="O272" s="38" t="s">
        <v>123</v>
      </c>
      <c r="P272" s="38">
        <v>1800.0</v>
      </c>
      <c r="Q272" s="39"/>
      <c r="R272" s="39"/>
      <c r="S272" s="39"/>
      <c r="T272" s="39"/>
      <c r="U272" s="39"/>
    </row>
    <row r="273">
      <c r="A273" s="40">
        <f t="shared" si="1"/>
        <v>46006</v>
      </c>
      <c r="B273" s="37" t="str">
        <f t="array" ref="B273">iferror(xlookup($I273, 'IMPORT VHC Report'!$E:$E, 'IMPORT VHC Report'!$A:$C), )</f>
        <v/>
      </c>
      <c r="C273" s="37"/>
      <c r="D273" s="37"/>
      <c r="E273" s="38" t="s">
        <v>467</v>
      </c>
      <c r="F273" s="38" t="s">
        <v>448</v>
      </c>
      <c r="G273" s="38">
        <v>3.61733077235E11</v>
      </c>
      <c r="H273" s="38" t="s">
        <v>449</v>
      </c>
      <c r="I273" s="38" t="s">
        <v>450</v>
      </c>
      <c r="J273" s="38" t="s">
        <v>132</v>
      </c>
      <c r="K273" s="38" t="s">
        <v>126</v>
      </c>
      <c r="L273" s="41">
        <v>46012.135416666664</v>
      </c>
      <c r="M273" s="38" t="s">
        <v>123</v>
      </c>
      <c r="N273" s="41">
        <v>46012.177083333336</v>
      </c>
      <c r="O273" s="38" t="s">
        <v>123</v>
      </c>
      <c r="P273" s="38">
        <v>3600.0</v>
      </c>
      <c r="Q273" s="39"/>
      <c r="R273" s="39"/>
      <c r="S273" s="39"/>
      <c r="T273" s="39"/>
      <c r="U273" s="39"/>
    </row>
    <row r="274">
      <c r="A274" s="40">
        <f t="shared" si="1"/>
        <v>46006</v>
      </c>
      <c r="B274" s="37" t="str">
        <f t="array" ref="B274">iferror(xlookup($I274, 'IMPORT VHC Report'!$E:$E, 'IMPORT VHC Report'!$A:$C), )</f>
        <v/>
      </c>
      <c r="C274" s="37"/>
      <c r="D274" s="37"/>
      <c r="E274" s="38" t="s">
        <v>468</v>
      </c>
      <c r="F274" s="38" t="s">
        <v>448</v>
      </c>
      <c r="G274" s="38">
        <v>3.61733077235E11</v>
      </c>
      <c r="H274" s="38" t="s">
        <v>449</v>
      </c>
      <c r="I274" s="38" t="s">
        <v>450</v>
      </c>
      <c r="J274" s="38" t="s">
        <v>368</v>
      </c>
      <c r="K274" s="38" t="s">
        <v>63</v>
      </c>
      <c r="L274" s="41">
        <v>46012.875</v>
      </c>
      <c r="M274" s="38" t="s">
        <v>123</v>
      </c>
      <c r="N274" s="41">
        <v>46013.25</v>
      </c>
      <c r="O274" s="38" t="s">
        <v>123</v>
      </c>
      <c r="P274" s="38">
        <v>32400.0</v>
      </c>
      <c r="Q274" s="39"/>
      <c r="R274" s="39"/>
      <c r="S274" s="39"/>
      <c r="T274" s="39"/>
      <c r="U274" s="39"/>
    </row>
    <row r="275">
      <c r="A275" s="40">
        <f t="shared" si="1"/>
        <v>46006</v>
      </c>
      <c r="B275" s="37" t="str">
        <f t="array" ref="B275">iferror(xlookup($I275, 'IMPORT VHC Report'!$E:$E, 'IMPORT VHC Report'!$A:$C), )</f>
        <v/>
      </c>
      <c r="C275" s="37"/>
      <c r="D275" s="37"/>
      <c r="E275" s="38" t="s">
        <v>469</v>
      </c>
      <c r="F275" s="38" t="s">
        <v>448</v>
      </c>
      <c r="G275" s="38">
        <v>3.61733077235E11</v>
      </c>
      <c r="H275" s="38" t="s">
        <v>449</v>
      </c>
      <c r="I275" s="38" t="s">
        <v>450</v>
      </c>
      <c r="J275" s="38" t="s">
        <v>134</v>
      </c>
      <c r="K275" s="38" t="s">
        <v>126</v>
      </c>
      <c r="L275" s="41">
        <v>46012.979166666664</v>
      </c>
      <c r="M275" s="38" t="s">
        <v>123</v>
      </c>
      <c r="N275" s="41">
        <v>46013.0</v>
      </c>
      <c r="O275" s="38" t="s">
        <v>123</v>
      </c>
      <c r="P275" s="38">
        <v>1800.0</v>
      </c>
      <c r="Q275" s="39"/>
      <c r="R275" s="39"/>
      <c r="S275" s="39"/>
      <c r="T275" s="39"/>
      <c r="U275" s="39"/>
    </row>
    <row r="276">
      <c r="A276" s="40">
        <f t="shared" si="1"/>
        <v>45999</v>
      </c>
      <c r="B276" s="37" t="str">
        <f t="array" ref="B276">iferror(xlookup($I276, 'IMPORT VHC Report'!$E:$E, 'IMPORT VHC Report'!$A:$C), )</f>
        <v/>
      </c>
      <c r="C276" s="37"/>
      <c r="D276" s="37"/>
      <c r="E276" s="38" t="s">
        <v>470</v>
      </c>
      <c r="F276" s="38" t="s">
        <v>471</v>
      </c>
      <c r="G276" s="38">
        <v>3.61726425496E11</v>
      </c>
      <c r="H276" s="38" t="s">
        <v>472</v>
      </c>
      <c r="I276" s="38" t="s">
        <v>473</v>
      </c>
      <c r="J276" s="38" t="s">
        <v>300</v>
      </c>
      <c r="K276" s="38" t="s">
        <v>63</v>
      </c>
      <c r="L276" s="41">
        <v>46005.875</v>
      </c>
      <c r="M276" s="38" t="s">
        <v>123</v>
      </c>
      <c r="N276" s="41">
        <v>46006.25</v>
      </c>
      <c r="O276" s="38" t="s">
        <v>123</v>
      </c>
      <c r="P276" s="38">
        <v>32400.0</v>
      </c>
      <c r="Q276" s="39"/>
      <c r="R276" s="39"/>
      <c r="S276" s="39"/>
      <c r="T276" s="39"/>
      <c r="U276" s="39"/>
    </row>
    <row r="277">
      <c r="A277" s="40">
        <f t="shared" si="1"/>
        <v>46006</v>
      </c>
      <c r="B277" s="37" t="str">
        <f t="array" ref="B277">iferror(xlookup($I277, 'IMPORT VHC Report'!$E:$E, 'IMPORT VHC Report'!$A:$C), )</f>
        <v/>
      </c>
      <c r="C277" s="37"/>
      <c r="D277" s="37"/>
      <c r="E277" s="38" t="s">
        <v>474</v>
      </c>
      <c r="F277" s="38" t="s">
        <v>471</v>
      </c>
      <c r="G277" s="38">
        <v>3.61726425496E11</v>
      </c>
      <c r="H277" s="38" t="s">
        <v>472</v>
      </c>
      <c r="I277" s="38" t="s">
        <v>473</v>
      </c>
      <c r="J277" s="38" t="s">
        <v>132</v>
      </c>
      <c r="K277" s="38" t="s">
        <v>126</v>
      </c>
      <c r="L277" s="41">
        <v>46006.0625</v>
      </c>
      <c r="M277" s="38" t="s">
        <v>123</v>
      </c>
      <c r="N277" s="41">
        <v>46006.104166666664</v>
      </c>
      <c r="O277" s="38" t="s">
        <v>123</v>
      </c>
      <c r="P277" s="38">
        <v>3600.0</v>
      </c>
      <c r="Q277" s="39"/>
      <c r="R277" s="39"/>
      <c r="S277" s="39"/>
      <c r="T277" s="39"/>
      <c r="U277" s="39"/>
    </row>
    <row r="278">
      <c r="A278" s="40">
        <f t="shared" si="1"/>
        <v>46006</v>
      </c>
      <c r="B278" s="37" t="str">
        <f t="array" ref="B278">iferror(xlookup($I278, 'IMPORT VHC Report'!$E:$E, 'IMPORT VHC Report'!$A:$C), )</f>
        <v/>
      </c>
      <c r="C278" s="37"/>
      <c r="D278" s="37"/>
      <c r="E278" s="38" t="s">
        <v>475</v>
      </c>
      <c r="F278" s="38" t="s">
        <v>471</v>
      </c>
      <c r="G278" s="38">
        <v>3.61726425496E11</v>
      </c>
      <c r="H278" s="38" t="s">
        <v>472</v>
      </c>
      <c r="I278" s="38" t="s">
        <v>473</v>
      </c>
      <c r="J278" s="38" t="s">
        <v>134</v>
      </c>
      <c r="K278" s="38" t="s">
        <v>126</v>
      </c>
      <c r="L278" s="41">
        <v>46006.177083333336</v>
      </c>
      <c r="M278" s="38" t="s">
        <v>123</v>
      </c>
      <c r="N278" s="41">
        <v>46006.1875</v>
      </c>
      <c r="O278" s="38" t="s">
        <v>123</v>
      </c>
      <c r="P278" s="38">
        <v>900.0</v>
      </c>
      <c r="Q278" s="39"/>
      <c r="R278" s="39"/>
      <c r="S278" s="39"/>
      <c r="T278" s="39"/>
      <c r="U278" s="39"/>
    </row>
    <row r="279">
      <c r="A279" s="40">
        <f t="shared" si="1"/>
        <v>46006</v>
      </c>
      <c r="B279" s="37" t="str">
        <f t="array" ref="B279">iferror(xlookup($I279, 'IMPORT VHC Report'!$E:$E, 'IMPORT VHC Report'!$A:$C), )</f>
        <v/>
      </c>
      <c r="C279" s="37"/>
      <c r="D279" s="37"/>
      <c r="E279" s="38" t="s">
        <v>476</v>
      </c>
      <c r="F279" s="38" t="s">
        <v>471</v>
      </c>
      <c r="G279" s="38">
        <v>3.61726425496E11</v>
      </c>
      <c r="H279" s="38" t="s">
        <v>472</v>
      </c>
      <c r="I279" s="38" t="s">
        <v>473</v>
      </c>
      <c r="J279" s="38" t="s">
        <v>300</v>
      </c>
      <c r="K279" s="38" t="s">
        <v>63</v>
      </c>
      <c r="L279" s="41">
        <v>46006.875</v>
      </c>
      <c r="M279" s="38" t="s">
        <v>123</v>
      </c>
      <c r="N279" s="41">
        <v>46007.25</v>
      </c>
      <c r="O279" s="38" t="s">
        <v>123</v>
      </c>
      <c r="P279" s="38">
        <v>32400.0</v>
      </c>
      <c r="Q279" s="39"/>
      <c r="R279" s="39"/>
      <c r="S279" s="39"/>
      <c r="T279" s="39"/>
      <c r="U279" s="39"/>
    </row>
    <row r="280">
      <c r="A280" s="40">
        <f t="shared" si="1"/>
        <v>46006</v>
      </c>
      <c r="B280" s="37" t="str">
        <f t="array" ref="B280">iferror(xlookup($I280, 'IMPORT VHC Report'!$E:$E, 'IMPORT VHC Report'!$A:$C), )</f>
        <v/>
      </c>
      <c r="C280" s="37"/>
      <c r="D280" s="37"/>
      <c r="E280" s="38" t="s">
        <v>477</v>
      </c>
      <c r="F280" s="38" t="s">
        <v>471</v>
      </c>
      <c r="G280" s="38">
        <v>3.61726425496E11</v>
      </c>
      <c r="H280" s="38" t="s">
        <v>472</v>
      </c>
      <c r="I280" s="38" t="s">
        <v>473</v>
      </c>
      <c r="J280" s="38" t="s">
        <v>134</v>
      </c>
      <c r="K280" s="38" t="s">
        <v>126</v>
      </c>
      <c r="L280" s="41">
        <v>46007.020833333336</v>
      </c>
      <c r="M280" s="38" t="s">
        <v>123</v>
      </c>
      <c r="N280" s="41">
        <v>46007.03125</v>
      </c>
      <c r="O280" s="38" t="s">
        <v>123</v>
      </c>
      <c r="P280" s="38">
        <v>900.0</v>
      </c>
      <c r="Q280" s="39"/>
      <c r="R280" s="39"/>
      <c r="S280" s="39"/>
      <c r="T280" s="39"/>
      <c r="U280" s="39"/>
    </row>
    <row r="281">
      <c r="A281" s="40">
        <f t="shared" si="1"/>
        <v>46006</v>
      </c>
      <c r="B281" s="37" t="str">
        <f t="array" ref="B281">iferror(xlookup($I281, 'IMPORT VHC Report'!$E:$E, 'IMPORT VHC Report'!$A:$C), )</f>
        <v/>
      </c>
      <c r="C281" s="37"/>
      <c r="D281" s="37"/>
      <c r="E281" s="38" t="s">
        <v>478</v>
      </c>
      <c r="F281" s="38" t="s">
        <v>471</v>
      </c>
      <c r="G281" s="38">
        <v>3.61726425496E11</v>
      </c>
      <c r="H281" s="38" t="s">
        <v>472</v>
      </c>
      <c r="I281" s="38" t="s">
        <v>473</v>
      </c>
      <c r="J281" s="38" t="s">
        <v>134</v>
      </c>
      <c r="K281" s="38" t="s">
        <v>126</v>
      </c>
      <c r="L281" s="41">
        <v>46007.125</v>
      </c>
      <c r="M281" s="38" t="s">
        <v>123</v>
      </c>
      <c r="N281" s="41">
        <v>46007.135416666664</v>
      </c>
      <c r="O281" s="38" t="s">
        <v>123</v>
      </c>
      <c r="P281" s="38">
        <v>900.0</v>
      </c>
      <c r="Q281" s="39"/>
      <c r="R281" s="39"/>
      <c r="S281" s="39"/>
      <c r="T281" s="39"/>
      <c r="U281" s="39"/>
    </row>
    <row r="282">
      <c r="A282" s="40">
        <f t="shared" si="1"/>
        <v>46006</v>
      </c>
      <c r="B282" s="37" t="str">
        <f t="array" ref="B282">iferror(xlookup($I282, 'IMPORT VHC Report'!$E:$E, 'IMPORT VHC Report'!$A:$C), )</f>
        <v/>
      </c>
      <c r="C282" s="37"/>
      <c r="D282" s="37"/>
      <c r="E282" s="38" t="s">
        <v>479</v>
      </c>
      <c r="F282" s="38" t="s">
        <v>471</v>
      </c>
      <c r="G282" s="38">
        <v>3.61726425496E11</v>
      </c>
      <c r="H282" s="38" t="s">
        <v>472</v>
      </c>
      <c r="I282" s="38" t="s">
        <v>473</v>
      </c>
      <c r="J282" s="38" t="s">
        <v>132</v>
      </c>
      <c r="K282" s="38" t="s">
        <v>126</v>
      </c>
      <c r="L282" s="41">
        <v>46007.208333333336</v>
      </c>
      <c r="M282" s="38" t="s">
        <v>123</v>
      </c>
      <c r="N282" s="41">
        <v>46007.25</v>
      </c>
      <c r="O282" s="38" t="s">
        <v>123</v>
      </c>
      <c r="P282" s="38">
        <v>3600.0</v>
      </c>
      <c r="Q282" s="39"/>
      <c r="R282" s="39"/>
      <c r="S282" s="39"/>
      <c r="T282" s="39"/>
      <c r="U282" s="39"/>
    </row>
    <row r="283">
      <c r="A283" s="40">
        <f t="shared" si="1"/>
        <v>46006</v>
      </c>
      <c r="B283" s="37" t="str">
        <f t="array" ref="B283">iferror(xlookup($I283, 'IMPORT VHC Report'!$E:$E, 'IMPORT VHC Report'!$A:$C), )</f>
        <v/>
      </c>
      <c r="C283" s="37"/>
      <c r="D283" s="37"/>
      <c r="E283" s="38" t="s">
        <v>480</v>
      </c>
      <c r="F283" s="38" t="s">
        <v>471</v>
      </c>
      <c r="G283" s="38">
        <v>3.61726425496E11</v>
      </c>
      <c r="H283" s="38" t="s">
        <v>472</v>
      </c>
      <c r="I283" s="38" t="s">
        <v>473</v>
      </c>
      <c r="J283" s="38" t="s">
        <v>300</v>
      </c>
      <c r="K283" s="38" t="s">
        <v>63</v>
      </c>
      <c r="L283" s="41">
        <v>46007.875</v>
      </c>
      <c r="M283" s="38" t="s">
        <v>123</v>
      </c>
      <c r="N283" s="41">
        <v>46008.25</v>
      </c>
      <c r="O283" s="38" t="s">
        <v>123</v>
      </c>
      <c r="P283" s="38">
        <v>32400.0</v>
      </c>
      <c r="Q283" s="39"/>
      <c r="R283" s="39"/>
      <c r="S283" s="39"/>
      <c r="T283" s="39"/>
      <c r="U283" s="39"/>
    </row>
    <row r="284">
      <c r="A284" s="40">
        <f t="shared" si="1"/>
        <v>46006</v>
      </c>
      <c r="B284" s="37" t="str">
        <f t="array" ref="B284">iferror(xlookup($I284, 'IMPORT VHC Report'!$E:$E, 'IMPORT VHC Report'!$A:$C), )</f>
        <v/>
      </c>
      <c r="C284" s="37"/>
      <c r="D284" s="37"/>
      <c r="E284" s="38" t="s">
        <v>481</v>
      </c>
      <c r="F284" s="38" t="s">
        <v>471</v>
      </c>
      <c r="G284" s="38">
        <v>3.61726425496E11</v>
      </c>
      <c r="H284" s="38" t="s">
        <v>472</v>
      </c>
      <c r="I284" s="38" t="s">
        <v>473</v>
      </c>
      <c r="J284" s="38" t="s">
        <v>134</v>
      </c>
      <c r="K284" s="38" t="s">
        <v>126</v>
      </c>
      <c r="L284" s="41">
        <v>46008.010416666664</v>
      </c>
      <c r="M284" s="38" t="s">
        <v>123</v>
      </c>
      <c r="N284" s="41">
        <v>46008.020833333336</v>
      </c>
      <c r="O284" s="38" t="s">
        <v>123</v>
      </c>
      <c r="P284" s="38">
        <v>900.0</v>
      </c>
      <c r="Q284" s="39"/>
      <c r="R284" s="39"/>
      <c r="S284" s="39"/>
      <c r="T284" s="39"/>
      <c r="U284" s="39"/>
    </row>
    <row r="285">
      <c r="A285" s="40">
        <f t="shared" si="1"/>
        <v>46006</v>
      </c>
      <c r="B285" s="37" t="str">
        <f t="array" ref="B285">iferror(xlookup($I285, 'IMPORT VHC Report'!$E:$E, 'IMPORT VHC Report'!$A:$C), )</f>
        <v/>
      </c>
      <c r="C285" s="37"/>
      <c r="D285" s="37"/>
      <c r="E285" s="38" t="s">
        <v>482</v>
      </c>
      <c r="F285" s="38" t="s">
        <v>471</v>
      </c>
      <c r="G285" s="38">
        <v>3.61726425496E11</v>
      </c>
      <c r="H285" s="38" t="s">
        <v>472</v>
      </c>
      <c r="I285" s="38" t="s">
        <v>473</v>
      </c>
      <c r="J285" s="38" t="s">
        <v>134</v>
      </c>
      <c r="K285" s="38" t="s">
        <v>126</v>
      </c>
      <c r="L285" s="41">
        <v>46008.125</v>
      </c>
      <c r="M285" s="38" t="s">
        <v>123</v>
      </c>
      <c r="N285" s="41">
        <v>46008.135416666664</v>
      </c>
      <c r="O285" s="38" t="s">
        <v>123</v>
      </c>
      <c r="P285" s="38">
        <v>900.0</v>
      </c>
      <c r="Q285" s="39"/>
      <c r="R285" s="39"/>
      <c r="S285" s="39"/>
      <c r="T285" s="39"/>
      <c r="U285" s="39"/>
    </row>
    <row r="286">
      <c r="A286" s="40">
        <f t="shared" si="1"/>
        <v>46006</v>
      </c>
      <c r="B286" s="37" t="str">
        <f t="array" ref="B286">iferror(xlookup($I286, 'IMPORT VHC Report'!$E:$E, 'IMPORT VHC Report'!$A:$C), )</f>
        <v/>
      </c>
      <c r="C286" s="37"/>
      <c r="D286" s="37"/>
      <c r="E286" s="38" t="s">
        <v>483</v>
      </c>
      <c r="F286" s="38" t="s">
        <v>471</v>
      </c>
      <c r="G286" s="38">
        <v>3.61726425496E11</v>
      </c>
      <c r="H286" s="38" t="s">
        <v>472</v>
      </c>
      <c r="I286" s="38" t="s">
        <v>473</v>
      </c>
      <c r="J286" s="38" t="s">
        <v>132</v>
      </c>
      <c r="K286" s="38" t="s">
        <v>126</v>
      </c>
      <c r="L286" s="41">
        <v>46008.1875</v>
      </c>
      <c r="M286" s="38" t="s">
        <v>123</v>
      </c>
      <c r="N286" s="41">
        <v>46008.229166666664</v>
      </c>
      <c r="O286" s="38" t="s">
        <v>123</v>
      </c>
      <c r="P286" s="38">
        <v>3600.0</v>
      </c>
      <c r="Q286" s="39"/>
      <c r="R286" s="39"/>
      <c r="S286" s="39"/>
      <c r="T286" s="39"/>
      <c r="U286" s="39"/>
    </row>
    <row r="287">
      <c r="A287" s="40">
        <f t="shared" si="1"/>
        <v>46006</v>
      </c>
      <c r="B287" s="37" t="str">
        <f t="array" ref="B287">iferror(xlookup($I287, 'IMPORT VHC Report'!$E:$E, 'IMPORT VHC Report'!$A:$C), )</f>
        <v/>
      </c>
      <c r="C287" s="37"/>
      <c r="D287" s="37"/>
      <c r="E287" s="38" t="s">
        <v>484</v>
      </c>
      <c r="F287" s="38" t="s">
        <v>471</v>
      </c>
      <c r="G287" s="38">
        <v>3.61726425496E11</v>
      </c>
      <c r="H287" s="38" t="s">
        <v>472</v>
      </c>
      <c r="I287" s="38" t="s">
        <v>473</v>
      </c>
      <c r="J287" s="38" t="s">
        <v>300</v>
      </c>
      <c r="K287" s="38" t="s">
        <v>63</v>
      </c>
      <c r="L287" s="41">
        <v>46008.875</v>
      </c>
      <c r="M287" s="38" t="s">
        <v>123</v>
      </c>
      <c r="N287" s="41">
        <v>46009.25</v>
      </c>
      <c r="O287" s="38" t="s">
        <v>123</v>
      </c>
      <c r="P287" s="38">
        <v>32400.0</v>
      </c>
      <c r="Q287" s="39"/>
      <c r="R287" s="39"/>
      <c r="S287" s="39"/>
      <c r="T287" s="39"/>
      <c r="U287" s="39"/>
    </row>
    <row r="288">
      <c r="A288" s="40">
        <f t="shared" si="1"/>
        <v>46006</v>
      </c>
      <c r="B288" s="37" t="str">
        <f t="array" ref="B288">iferror(xlookup($I288, 'IMPORT VHC Report'!$E:$E, 'IMPORT VHC Report'!$A:$C), )</f>
        <v/>
      </c>
      <c r="C288" s="37"/>
      <c r="D288" s="37"/>
      <c r="E288" s="38" t="s">
        <v>485</v>
      </c>
      <c r="F288" s="38" t="s">
        <v>471</v>
      </c>
      <c r="G288" s="38">
        <v>3.61726425496E11</v>
      </c>
      <c r="H288" s="38" t="s">
        <v>472</v>
      </c>
      <c r="I288" s="38" t="s">
        <v>473</v>
      </c>
      <c r="J288" s="38" t="s">
        <v>134</v>
      </c>
      <c r="K288" s="38" t="s">
        <v>126</v>
      </c>
      <c r="L288" s="41">
        <v>46008.979166666664</v>
      </c>
      <c r="M288" s="38" t="s">
        <v>123</v>
      </c>
      <c r="N288" s="41">
        <v>46008.989583333336</v>
      </c>
      <c r="O288" s="38" t="s">
        <v>123</v>
      </c>
      <c r="P288" s="38">
        <v>900.0</v>
      </c>
      <c r="Q288" s="39"/>
      <c r="R288" s="39"/>
      <c r="S288" s="39"/>
      <c r="T288" s="39"/>
      <c r="U288" s="39"/>
    </row>
    <row r="289">
      <c r="A289" s="40">
        <f t="shared" si="1"/>
        <v>46006</v>
      </c>
      <c r="B289" s="37" t="str">
        <f t="array" ref="B289">iferror(xlookup($I289, 'IMPORT VHC Report'!$E:$E, 'IMPORT VHC Report'!$A:$C), )</f>
        <v/>
      </c>
      <c r="C289" s="37"/>
      <c r="D289" s="37"/>
      <c r="E289" s="38" t="s">
        <v>486</v>
      </c>
      <c r="F289" s="38" t="s">
        <v>471</v>
      </c>
      <c r="G289" s="38">
        <v>3.61726425496E11</v>
      </c>
      <c r="H289" s="38" t="s">
        <v>472</v>
      </c>
      <c r="I289" s="38" t="s">
        <v>473</v>
      </c>
      <c r="J289" s="38" t="s">
        <v>134</v>
      </c>
      <c r="K289" s="38" t="s">
        <v>126</v>
      </c>
      <c r="L289" s="41">
        <v>46009.0625</v>
      </c>
      <c r="M289" s="38" t="s">
        <v>123</v>
      </c>
      <c r="N289" s="41">
        <v>46009.072916666664</v>
      </c>
      <c r="O289" s="38" t="s">
        <v>123</v>
      </c>
      <c r="P289" s="38">
        <v>900.0</v>
      </c>
      <c r="Q289" s="39"/>
      <c r="R289" s="39"/>
      <c r="S289" s="39"/>
      <c r="T289" s="39"/>
      <c r="U289" s="39"/>
    </row>
    <row r="290">
      <c r="A290" s="40">
        <f t="shared" si="1"/>
        <v>46006</v>
      </c>
      <c r="B290" s="37" t="str">
        <f t="array" ref="B290">iferror(xlookup($I290, 'IMPORT VHC Report'!$E:$E, 'IMPORT VHC Report'!$A:$C), )</f>
        <v/>
      </c>
      <c r="C290" s="37"/>
      <c r="D290" s="37"/>
      <c r="E290" s="38" t="s">
        <v>487</v>
      </c>
      <c r="F290" s="38" t="s">
        <v>471</v>
      </c>
      <c r="G290" s="38">
        <v>3.61726425496E11</v>
      </c>
      <c r="H290" s="38" t="s">
        <v>472</v>
      </c>
      <c r="I290" s="38" t="s">
        <v>473</v>
      </c>
      <c r="J290" s="38" t="s">
        <v>132</v>
      </c>
      <c r="K290" s="38" t="s">
        <v>126</v>
      </c>
      <c r="L290" s="41">
        <v>46009.1875</v>
      </c>
      <c r="M290" s="38" t="s">
        <v>123</v>
      </c>
      <c r="N290" s="41">
        <v>46009.229166666664</v>
      </c>
      <c r="O290" s="38" t="s">
        <v>123</v>
      </c>
      <c r="P290" s="38">
        <v>3600.0</v>
      </c>
      <c r="Q290" s="39"/>
      <c r="R290" s="39"/>
      <c r="S290" s="39"/>
      <c r="T290" s="39"/>
      <c r="U290" s="39"/>
    </row>
    <row r="291">
      <c r="A291" s="40">
        <f t="shared" si="1"/>
        <v>46006</v>
      </c>
      <c r="B291" s="37" t="str">
        <f t="array" ref="B291">iferror(xlookup($I291, 'IMPORT VHC Report'!$E:$E, 'IMPORT VHC Report'!$A:$C), )</f>
        <v/>
      </c>
      <c r="C291" s="37"/>
      <c r="D291" s="37"/>
      <c r="E291" s="38" t="s">
        <v>488</v>
      </c>
      <c r="F291" s="38" t="s">
        <v>471</v>
      </c>
      <c r="G291" s="38">
        <v>3.61726425496E11</v>
      </c>
      <c r="H291" s="38" t="s">
        <v>472</v>
      </c>
      <c r="I291" s="38" t="s">
        <v>473</v>
      </c>
      <c r="J291" s="38" t="s">
        <v>300</v>
      </c>
      <c r="K291" s="38" t="s">
        <v>63</v>
      </c>
      <c r="L291" s="41">
        <v>46009.875</v>
      </c>
      <c r="M291" s="38" t="s">
        <v>123</v>
      </c>
      <c r="N291" s="41">
        <v>46010.25</v>
      </c>
      <c r="O291" s="38" t="s">
        <v>123</v>
      </c>
      <c r="P291" s="38">
        <v>32400.0</v>
      </c>
      <c r="Q291" s="39"/>
      <c r="R291" s="39"/>
      <c r="S291" s="39"/>
      <c r="T291" s="39"/>
      <c r="U291" s="39"/>
    </row>
    <row r="292">
      <c r="A292" s="40">
        <f t="shared" si="1"/>
        <v>46006</v>
      </c>
      <c r="B292" s="37" t="str">
        <f t="array" ref="B292">iferror(xlookup($I292, 'IMPORT VHC Report'!$E:$E, 'IMPORT VHC Report'!$A:$C), )</f>
        <v/>
      </c>
      <c r="C292" s="37"/>
      <c r="D292" s="37"/>
      <c r="E292" s="38" t="s">
        <v>489</v>
      </c>
      <c r="F292" s="38" t="s">
        <v>471</v>
      </c>
      <c r="G292" s="38">
        <v>3.61726425496E11</v>
      </c>
      <c r="H292" s="38" t="s">
        <v>472</v>
      </c>
      <c r="I292" s="38" t="s">
        <v>473</v>
      </c>
      <c r="J292" s="38" t="s">
        <v>134</v>
      </c>
      <c r="K292" s="38" t="s">
        <v>126</v>
      </c>
      <c r="L292" s="41">
        <v>46009.9375</v>
      </c>
      <c r="M292" s="38" t="s">
        <v>123</v>
      </c>
      <c r="N292" s="41">
        <v>46009.947916666664</v>
      </c>
      <c r="O292" s="38" t="s">
        <v>123</v>
      </c>
      <c r="P292" s="38">
        <v>900.0</v>
      </c>
      <c r="Q292" s="39"/>
      <c r="R292" s="39"/>
      <c r="S292" s="39"/>
      <c r="T292" s="39"/>
      <c r="U292" s="39"/>
    </row>
    <row r="293">
      <c r="A293" s="40">
        <f t="shared" si="1"/>
        <v>46006</v>
      </c>
      <c r="B293" s="37" t="str">
        <f t="array" ref="B293">iferror(xlookup($I293, 'IMPORT VHC Report'!$E:$E, 'IMPORT VHC Report'!$A:$C), )</f>
        <v/>
      </c>
      <c r="C293" s="37"/>
      <c r="D293" s="37"/>
      <c r="E293" s="38" t="s">
        <v>490</v>
      </c>
      <c r="F293" s="38" t="s">
        <v>471</v>
      </c>
      <c r="G293" s="38">
        <v>3.61726425496E11</v>
      </c>
      <c r="H293" s="38" t="s">
        <v>472</v>
      </c>
      <c r="I293" s="38" t="s">
        <v>473</v>
      </c>
      <c r="J293" s="38" t="s">
        <v>132</v>
      </c>
      <c r="K293" s="38" t="s">
        <v>126</v>
      </c>
      <c r="L293" s="41">
        <v>46010.0625</v>
      </c>
      <c r="M293" s="38" t="s">
        <v>123</v>
      </c>
      <c r="N293" s="41">
        <v>46010.104166666664</v>
      </c>
      <c r="O293" s="38" t="s">
        <v>123</v>
      </c>
      <c r="P293" s="38">
        <v>3600.0</v>
      </c>
      <c r="Q293" s="39"/>
      <c r="R293" s="39"/>
      <c r="S293" s="39"/>
      <c r="T293" s="39"/>
      <c r="U293" s="39"/>
    </row>
    <row r="294">
      <c r="A294" s="40">
        <f t="shared" si="1"/>
        <v>46006</v>
      </c>
      <c r="B294" s="37" t="str">
        <f t="array" ref="B294">iferror(xlookup($I294, 'IMPORT VHC Report'!$E:$E, 'IMPORT VHC Report'!$A:$C), )</f>
        <v/>
      </c>
      <c r="C294" s="37"/>
      <c r="D294" s="37"/>
      <c r="E294" s="38" t="s">
        <v>491</v>
      </c>
      <c r="F294" s="38" t="s">
        <v>471</v>
      </c>
      <c r="G294" s="38">
        <v>3.61726425496E11</v>
      </c>
      <c r="H294" s="38" t="s">
        <v>472</v>
      </c>
      <c r="I294" s="38" t="s">
        <v>473</v>
      </c>
      <c r="J294" s="38" t="s">
        <v>134</v>
      </c>
      <c r="K294" s="38" t="s">
        <v>126</v>
      </c>
      <c r="L294" s="41">
        <v>46010.125</v>
      </c>
      <c r="M294" s="38" t="s">
        <v>123</v>
      </c>
      <c r="N294" s="41">
        <v>46010.135416666664</v>
      </c>
      <c r="O294" s="38" t="s">
        <v>123</v>
      </c>
      <c r="P294" s="38">
        <v>900.0</v>
      </c>
      <c r="Q294" s="39"/>
      <c r="R294" s="39"/>
      <c r="S294" s="39"/>
      <c r="T294" s="39"/>
      <c r="U294" s="39"/>
    </row>
    <row r="295">
      <c r="A295" s="40">
        <f t="shared" si="1"/>
        <v>46006</v>
      </c>
      <c r="B295" s="37" t="str">
        <f t="array" ref="B295">iferror(xlookup($I295, 'IMPORT VHC Report'!$E:$E, 'IMPORT VHC Report'!$A:$C), )</f>
        <v/>
      </c>
      <c r="C295" s="37"/>
      <c r="D295" s="37"/>
      <c r="E295" s="38" t="s">
        <v>492</v>
      </c>
      <c r="F295" s="38" t="s">
        <v>471</v>
      </c>
      <c r="G295" s="38">
        <v>3.61726425496E11</v>
      </c>
      <c r="H295" s="38" t="s">
        <v>472</v>
      </c>
      <c r="I295" s="38" t="s">
        <v>473</v>
      </c>
      <c r="J295" s="38" t="s">
        <v>152</v>
      </c>
      <c r="K295" s="38" t="s">
        <v>153</v>
      </c>
      <c r="L295" s="41">
        <v>46012.875</v>
      </c>
      <c r="M295" s="38" t="s">
        <v>123</v>
      </c>
      <c r="N295" s="41">
        <v>46013.25</v>
      </c>
      <c r="O295" s="38" t="s">
        <v>123</v>
      </c>
      <c r="P295" s="38">
        <v>32400.0</v>
      </c>
      <c r="Q295" s="38">
        <v>28800.0</v>
      </c>
      <c r="R295" s="38" t="s">
        <v>493</v>
      </c>
      <c r="S295" s="39"/>
      <c r="T295" s="39"/>
      <c r="U295" s="39"/>
    </row>
    <row r="296">
      <c r="A296" s="40">
        <f t="shared" si="1"/>
        <v>46006</v>
      </c>
      <c r="B296" s="37" t="str">
        <f t="array" ref="B296">iferror(xlookup($I296, 'IMPORT VHC Report'!$E:$E, 'IMPORT VHC Report'!$A:$C), )</f>
        <v/>
      </c>
      <c r="C296" s="37"/>
      <c r="D296" s="37"/>
      <c r="E296" s="38" t="s">
        <v>494</v>
      </c>
      <c r="F296" s="38" t="s">
        <v>471</v>
      </c>
      <c r="G296" s="38">
        <v>3.61726425496E11</v>
      </c>
      <c r="H296" s="38" t="s">
        <v>472</v>
      </c>
      <c r="I296" s="38" t="s">
        <v>473</v>
      </c>
      <c r="J296" s="38" t="s">
        <v>300</v>
      </c>
      <c r="K296" s="38" t="s">
        <v>63</v>
      </c>
      <c r="L296" s="41">
        <v>46012.875</v>
      </c>
      <c r="M296" s="38" t="s">
        <v>123</v>
      </c>
      <c r="N296" s="41">
        <v>46013.25</v>
      </c>
      <c r="O296" s="38" t="s">
        <v>123</v>
      </c>
      <c r="P296" s="38">
        <v>32400.0</v>
      </c>
      <c r="Q296" s="39"/>
      <c r="R296" s="39"/>
      <c r="S296" s="39"/>
      <c r="T296" s="39"/>
      <c r="U296" s="39"/>
    </row>
    <row r="297">
      <c r="A297" s="40">
        <f t="shared" si="1"/>
        <v>46006</v>
      </c>
      <c r="B297" s="37" t="str">
        <f t="array" ref="B297">iferror(xlookup($I297, 'IMPORT VHC Report'!$E:$E, 'IMPORT VHC Report'!$A:$C), )</f>
        <v/>
      </c>
      <c r="C297" s="37"/>
      <c r="D297" s="37"/>
      <c r="E297" s="38" t="s">
        <v>495</v>
      </c>
      <c r="F297" s="38" t="s">
        <v>471</v>
      </c>
      <c r="G297" s="38">
        <v>3.61726425496E11</v>
      </c>
      <c r="H297" s="38" t="s">
        <v>472</v>
      </c>
      <c r="I297" s="38" t="s">
        <v>473</v>
      </c>
      <c r="J297" s="38" t="s">
        <v>134</v>
      </c>
      <c r="K297" s="38" t="s">
        <v>126</v>
      </c>
      <c r="L297" s="41">
        <v>46012.947916666664</v>
      </c>
      <c r="M297" s="38" t="s">
        <v>123</v>
      </c>
      <c r="N297" s="41">
        <v>46012.958333333336</v>
      </c>
      <c r="O297" s="38" t="s">
        <v>123</v>
      </c>
      <c r="P297" s="38">
        <v>900.0</v>
      </c>
      <c r="Q297" s="39"/>
      <c r="R297" s="39"/>
      <c r="S297" s="39"/>
      <c r="T297" s="39"/>
      <c r="U297" s="39"/>
    </row>
    <row r="298">
      <c r="A298" s="40">
        <f t="shared" si="1"/>
        <v>45999</v>
      </c>
      <c r="B298" s="37" t="str">
        <f t="array" ref="B298">iferror(xlookup($I298, 'IMPORT VHC Report'!$E:$E, 'IMPORT VHC Report'!$A:$C), )</f>
        <v/>
      </c>
      <c r="C298" s="37"/>
      <c r="D298" s="37"/>
      <c r="E298" s="38" t="s">
        <v>496</v>
      </c>
      <c r="F298" s="38" t="s">
        <v>497</v>
      </c>
      <c r="G298" s="38">
        <v>1.1279766049295E13</v>
      </c>
      <c r="H298" s="38" t="s">
        <v>498</v>
      </c>
      <c r="I298" s="38" t="s">
        <v>499</v>
      </c>
      <c r="J298" s="38" t="s">
        <v>332</v>
      </c>
      <c r="K298" s="38" t="s">
        <v>63</v>
      </c>
      <c r="L298" s="41">
        <v>46005.875</v>
      </c>
      <c r="M298" s="38" t="s">
        <v>123</v>
      </c>
      <c r="N298" s="41">
        <v>46006.25</v>
      </c>
      <c r="O298" s="38" t="s">
        <v>123</v>
      </c>
      <c r="P298" s="38">
        <v>32400.0</v>
      </c>
      <c r="Q298" s="39"/>
      <c r="R298" s="39"/>
      <c r="S298" s="39"/>
      <c r="T298" s="39"/>
      <c r="U298" s="39"/>
    </row>
    <row r="299">
      <c r="A299" s="40">
        <f t="shared" si="1"/>
        <v>46006</v>
      </c>
      <c r="B299" s="37" t="str">
        <f t="array" ref="B299">iferror(xlookup($I299, 'IMPORT VHC Report'!$E:$E, 'IMPORT VHC Report'!$A:$C), )</f>
        <v/>
      </c>
      <c r="C299" s="37"/>
      <c r="D299" s="37"/>
      <c r="E299" s="38" t="s">
        <v>500</v>
      </c>
      <c r="F299" s="38" t="s">
        <v>497</v>
      </c>
      <c r="G299" s="38">
        <v>1.1279766049295E13</v>
      </c>
      <c r="H299" s="38" t="s">
        <v>498</v>
      </c>
      <c r="I299" s="38" t="s">
        <v>499</v>
      </c>
      <c r="J299" s="38" t="s">
        <v>132</v>
      </c>
      <c r="K299" s="38" t="s">
        <v>126</v>
      </c>
      <c r="L299" s="41">
        <v>46006.03125</v>
      </c>
      <c r="M299" s="38" t="s">
        <v>123</v>
      </c>
      <c r="N299" s="41">
        <v>46006.072916666664</v>
      </c>
      <c r="O299" s="38" t="s">
        <v>123</v>
      </c>
      <c r="P299" s="38">
        <v>3600.0</v>
      </c>
      <c r="Q299" s="39"/>
      <c r="R299" s="39"/>
      <c r="S299" s="39"/>
      <c r="T299" s="39"/>
      <c r="U299" s="39"/>
    </row>
    <row r="300">
      <c r="A300" s="40">
        <f t="shared" si="1"/>
        <v>46006</v>
      </c>
      <c r="B300" s="37" t="str">
        <f t="array" ref="B300">iferror(xlookup($I300, 'IMPORT VHC Report'!$E:$E, 'IMPORT VHC Report'!$A:$C), )</f>
        <v/>
      </c>
      <c r="C300" s="37"/>
      <c r="D300" s="37"/>
      <c r="E300" s="38" t="s">
        <v>501</v>
      </c>
      <c r="F300" s="38" t="s">
        <v>497</v>
      </c>
      <c r="G300" s="38">
        <v>1.1279766049295E13</v>
      </c>
      <c r="H300" s="38" t="s">
        <v>498</v>
      </c>
      <c r="I300" s="38" t="s">
        <v>499</v>
      </c>
      <c r="J300" s="38" t="s">
        <v>134</v>
      </c>
      <c r="K300" s="38" t="s">
        <v>126</v>
      </c>
      <c r="L300" s="41">
        <v>46006.166666666664</v>
      </c>
      <c r="M300" s="38" t="s">
        <v>123</v>
      </c>
      <c r="N300" s="41">
        <v>46006.1875</v>
      </c>
      <c r="O300" s="38" t="s">
        <v>123</v>
      </c>
      <c r="P300" s="38">
        <v>1800.0</v>
      </c>
      <c r="Q300" s="39"/>
      <c r="R300" s="39"/>
      <c r="S300" s="39"/>
      <c r="T300" s="39"/>
      <c r="U300" s="39"/>
    </row>
    <row r="301">
      <c r="A301" s="40">
        <f t="shared" si="1"/>
        <v>46006</v>
      </c>
      <c r="B301" s="37" t="str">
        <f t="array" ref="B301">iferror(xlookup($I301, 'IMPORT VHC Report'!$E:$E, 'IMPORT VHC Report'!$A:$C), )</f>
        <v/>
      </c>
      <c r="C301" s="37"/>
      <c r="D301" s="37"/>
      <c r="E301" s="38" t="s">
        <v>502</v>
      </c>
      <c r="F301" s="38" t="s">
        <v>497</v>
      </c>
      <c r="G301" s="38">
        <v>1.1279766049295E13</v>
      </c>
      <c r="H301" s="38" t="s">
        <v>498</v>
      </c>
      <c r="I301" s="38" t="s">
        <v>499</v>
      </c>
      <c r="J301" s="38" t="s">
        <v>330</v>
      </c>
      <c r="K301" s="38" t="s">
        <v>126</v>
      </c>
      <c r="L301" s="41">
        <v>46007.875</v>
      </c>
      <c r="M301" s="38" t="s">
        <v>123</v>
      </c>
      <c r="N301" s="41">
        <v>46007.881944444445</v>
      </c>
      <c r="O301" s="38" t="s">
        <v>123</v>
      </c>
      <c r="P301" s="38">
        <v>600.0</v>
      </c>
      <c r="Q301" s="39"/>
      <c r="R301" s="39"/>
      <c r="S301" s="39"/>
      <c r="T301" s="39"/>
      <c r="U301" s="39"/>
    </row>
    <row r="302">
      <c r="A302" s="40">
        <f t="shared" si="1"/>
        <v>46006</v>
      </c>
      <c r="B302" s="37" t="str">
        <f t="array" ref="B302">iferror(xlookup($I302, 'IMPORT VHC Report'!$E:$E, 'IMPORT VHC Report'!$A:$C), )</f>
        <v/>
      </c>
      <c r="C302" s="37"/>
      <c r="D302" s="37"/>
      <c r="E302" s="38" t="s">
        <v>503</v>
      </c>
      <c r="F302" s="38" t="s">
        <v>497</v>
      </c>
      <c r="G302" s="38">
        <v>1.1279766049295E13</v>
      </c>
      <c r="H302" s="38" t="s">
        <v>498</v>
      </c>
      <c r="I302" s="38" t="s">
        <v>499</v>
      </c>
      <c r="J302" s="38" t="s">
        <v>332</v>
      </c>
      <c r="K302" s="38" t="s">
        <v>63</v>
      </c>
      <c r="L302" s="41">
        <v>46007.875</v>
      </c>
      <c r="M302" s="38" t="s">
        <v>123</v>
      </c>
      <c r="N302" s="41">
        <v>46008.25</v>
      </c>
      <c r="O302" s="38" t="s">
        <v>123</v>
      </c>
      <c r="P302" s="38">
        <v>32400.0</v>
      </c>
      <c r="Q302" s="39"/>
      <c r="R302" s="39"/>
      <c r="S302" s="39"/>
      <c r="T302" s="39"/>
      <c r="U302" s="39"/>
    </row>
    <row r="303">
      <c r="A303" s="40">
        <f t="shared" si="1"/>
        <v>46006</v>
      </c>
      <c r="B303" s="37" t="str">
        <f t="array" ref="B303">iferror(xlookup($I303, 'IMPORT VHC Report'!$E:$E, 'IMPORT VHC Report'!$A:$C), )</f>
        <v/>
      </c>
      <c r="C303" s="37"/>
      <c r="D303" s="37"/>
      <c r="E303" s="38" t="s">
        <v>504</v>
      </c>
      <c r="F303" s="38" t="s">
        <v>497</v>
      </c>
      <c r="G303" s="38">
        <v>1.1279766049295E13</v>
      </c>
      <c r="H303" s="38" t="s">
        <v>498</v>
      </c>
      <c r="I303" s="38" t="s">
        <v>499</v>
      </c>
      <c r="J303" s="38" t="s">
        <v>132</v>
      </c>
      <c r="K303" s="38" t="s">
        <v>126</v>
      </c>
      <c r="L303" s="41">
        <v>46007.96875</v>
      </c>
      <c r="M303" s="38" t="s">
        <v>123</v>
      </c>
      <c r="N303" s="41">
        <v>46008.010416666664</v>
      </c>
      <c r="O303" s="38" t="s">
        <v>123</v>
      </c>
      <c r="P303" s="38">
        <v>3600.0</v>
      </c>
      <c r="Q303" s="39"/>
      <c r="R303" s="39"/>
      <c r="S303" s="39"/>
      <c r="T303" s="39"/>
      <c r="U303" s="39"/>
    </row>
    <row r="304">
      <c r="A304" s="40">
        <f t="shared" si="1"/>
        <v>46006</v>
      </c>
      <c r="B304" s="37" t="str">
        <f t="array" ref="B304">iferror(xlookup($I304, 'IMPORT VHC Report'!$E:$E, 'IMPORT VHC Report'!$A:$C), )</f>
        <v/>
      </c>
      <c r="C304" s="37"/>
      <c r="D304" s="37"/>
      <c r="E304" s="38" t="s">
        <v>505</v>
      </c>
      <c r="F304" s="38" t="s">
        <v>497</v>
      </c>
      <c r="G304" s="38">
        <v>1.1279766049295E13</v>
      </c>
      <c r="H304" s="38" t="s">
        <v>498</v>
      </c>
      <c r="I304" s="38" t="s">
        <v>499</v>
      </c>
      <c r="J304" s="38" t="s">
        <v>134</v>
      </c>
      <c r="K304" s="38" t="s">
        <v>126</v>
      </c>
      <c r="L304" s="41">
        <v>46008.145833333336</v>
      </c>
      <c r="M304" s="38" t="s">
        <v>123</v>
      </c>
      <c r="N304" s="41">
        <v>46008.166666666664</v>
      </c>
      <c r="O304" s="38" t="s">
        <v>123</v>
      </c>
      <c r="P304" s="38">
        <v>1800.0</v>
      </c>
      <c r="Q304" s="39"/>
      <c r="R304" s="39"/>
      <c r="S304" s="39"/>
      <c r="T304" s="39"/>
      <c r="U304" s="39"/>
    </row>
    <row r="305">
      <c r="A305" s="40">
        <f t="shared" si="1"/>
        <v>46006</v>
      </c>
      <c r="B305" s="37" t="str">
        <f t="array" ref="B305">iferror(xlookup($I305, 'IMPORT VHC Report'!$E:$E, 'IMPORT VHC Report'!$A:$C), )</f>
        <v/>
      </c>
      <c r="C305" s="37"/>
      <c r="D305" s="37"/>
      <c r="E305" s="38" t="s">
        <v>506</v>
      </c>
      <c r="F305" s="38" t="s">
        <v>497</v>
      </c>
      <c r="G305" s="38">
        <v>1.1279766049295E13</v>
      </c>
      <c r="H305" s="38" t="s">
        <v>498</v>
      </c>
      <c r="I305" s="38" t="s">
        <v>499</v>
      </c>
      <c r="J305" s="38" t="s">
        <v>4</v>
      </c>
      <c r="K305" s="38" t="s">
        <v>126</v>
      </c>
      <c r="L305" s="41">
        <v>46008.177083333336</v>
      </c>
      <c r="M305" s="38" t="s">
        <v>123</v>
      </c>
      <c r="N305" s="41">
        <v>46008.21875</v>
      </c>
      <c r="O305" s="38" t="s">
        <v>123</v>
      </c>
      <c r="P305" s="38">
        <v>3600.0</v>
      </c>
      <c r="Q305" s="39"/>
      <c r="R305" s="39"/>
      <c r="S305" s="38" t="s">
        <v>130</v>
      </c>
      <c r="T305" s="39"/>
      <c r="U305" s="39"/>
    </row>
    <row r="306">
      <c r="A306" s="40">
        <f t="shared" si="1"/>
        <v>46006</v>
      </c>
      <c r="B306" s="37" t="str">
        <f t="array" ref="B306">iferror(xlookup($I306, 'IMPORT VHC Report'!$E:$E, 'IMPORT VHC Report'!$A:$C), )</f>
        <v/>
      </c>
      <c r="C306" s="37"/>
      <c r="D306" s="37"/>
      <c r="E306" s="38" t="s">
        <v>507</v>
      </c>
      <c r="F306" s="38" t="s">
        <v>497</v>
      </c>
      <c r="G306" s="38">
        <v>1.1279766049295E13</v>
      </c>
      <c r="H306" s="38" t="s">
        <v>498</v>
      </c>
      <c r="I306" s="38" t="s">
        <v>499</v>
      </c>
      <c r="J306" s="38" t="s">
        <v>330</v>
      </c>
      <c r="K306" s="38" t="s">
        <v>126</v>
      </c>
      <c r="L306" s="41">
        <v>46008.875</v>
      </c>
      <c r="M306" s="38" t="s">
        <v>123</v>
      </c>
      <c r="N306" s="41">
        <v>46008.881944444445</v>
      </c>
      <c r="O306" s="38" t="s">
        <v>123</v>
      </c>
      <c r="P306" s="38">
        <v>600.0</v>
      </c>
      <c r="Q306" s="39"/>
      <c r="R306" s="39"/>
      <c r="S306" s="39"/>
      <c r="T306" s="39"/>
      <c r="U306" s="39"/>
    </row>
    <row r="307">
      <c r="A307" s="40">
        <f t="shared" si="1"/>
        <v>46006</v>
      </c>
      <c r="B307" s="37" t="str">
        <f t="array" ref="B307">iferror(xlookup($I307, 'IMPORT VHC Report'!$E:$E, 'IMPORT VHC Report'!$A:$C), )</f>
        <v/>
      </c>
      <c r="C307" s="37"/>
      <c r="D307" s="37"/>
      <c r="E307" s="38" t="s">
        <v>508</v>
      </c>
      <c r="F307" s="38" t="s">
        <v>497</v>
      </c>
      <c r="G307" s="38">
        <v>1.1279766049295E13</v>
      </c>
      <c r="H307" s="38" t="s">
        <v>498</v>
      </c>
      <c r="I307" s="38" t="s">
        <v>499</v>
      </c>
      <c r="J307" s="38" t="s">
        <v>332</v>
      </c>
      <c r="K307" s="38" t="s">
        <v>63</v>
      </c>
      <c r="L307" s="41">
        <v>46008.875</v>
      </c>
      <c r="M307" s="38" t="s">
        <v>123</v>
      </c>
      <c r="N307" s="41">
        <v>46009.25</v>
      </c>
      <c r="O307" s="38" t="s">
        <v>123</v>
      </c>
      <c r="P307" s="38">
        <v>32400.0</v>
      </c>
      <c r="Q307" s="39"/>
      <c r="R307" s="39"/>
      <c r="S307" s="39"/>
      <c r="T307" s="39"/>
      <c r="U307" s="39"/>
    </row>
    <row r="308">
      <c r="A308" s="40">
        <f t="shared" si="1"/>
        <v>46006</v>
      </c>
      <c r="B308" s="37" t="str">
        <f t="array" ref="B308">iferror(xlookup($I308, 'IMPORT VHC Report'!$E:$E, 'IMPORT VHC Report'!$A:$C), )</f>
        <v/>
      </c>
      <c r="C308" s="37"/>
      <c r="D308" s="37"/>
      <c r="E308" s="38" t="s">
        <v>509</v>
      </c>
      <c r="F308" s="38" t="s">
        <v>497</v>
      </c>
      <c r="G308" s="38">
        <v>1.1279766049295E13</v>
      </c>
      <c r="H308" s="38" t="s">
        <v>498</v>
      </c>
      <c r="I308" s="38" t="s">
        <v>499</v>
      </c>
      <c r="J308" s="38" t="s">
        <v>134</v>
      </c>
      <c r="K308" s="38" t="s">
        <v>126</v>
      </c>
      <c r="L308" s="41">
        <v>46008.958333333336</v>
      </c>
      <c r="M308" s="38" t="s">
        <v>123</v>
      </c>
      <c r="N308" s="41">
        <v>46008.979166666664</v>
      </c>
      <c r="O308" s="38" t="s">
        <v>123</v>
      </c>
      <c r="P308" s="38">
        <v>1800.0</v>
      </c>
      <c r="Q308" s="39"/>
      <c r="R308" s="39"/>
      <c r="S308" s="39"/>
      <c r="T308" s="39"/>
      <c r="U308" s="39"/>
    </row>
    <row r="309">
      <c r="A309" s="40">
        <f t="shared" si="1"/>
        <v>46006</v>
      </c>
      <c r="B309" s="37" t="str">
        <f t="array" ref="B309">iferror(xlookup($I309, 'IMPORT VHC Report'!$E:$E, 'IMPORT VHC Report'!$A:$C), )</f>
        <v/>
      </c>
      <c r="C309" s="37"/>
      <c r="D309" s="37"/>
      <c r="E309" s="38" t="s">
        <v>510</v>
      </c>
      <c r="F309" s="38" t="s">
        <v>497</v>
      </c>
      <c r="G309" s="38">
        <v>1.1279766049295E13</v>
      </c>
      <c r="H309" s="38" t="s">
        <v>498</v>
      </c>
      <c r="I309" s="38" t="s">
        <v>499</v>
      </c>
      <c r="J309" s="38" t="s">
        <v>136</v>
      </c>
      <c r="K309" s="38" t="s">
        <v>126</v>
      </c>
      <c r="L309" s="41">
        <v>46009.041666666664</v>
      </c>
      <c r="M309" s="38" t="s">
        <v>123</v>
      </c>
      <c r="N309" s="41">
        <v>46009.083333333336</v>
      </c>
      <c r="O309" s="38" t="s">
        <v>123</v>
      </c>
      <c r="P309" s="38">
        <v>3600.0</v>
      </c>
      <c r="Q309" s="39"/>
      <c r="R309" s="39"/>
      <c r="S309" s="38" t="s">
        <v>137</v>
      </c>
      <c r="T309" s="39"/>
      <c r="U309" s="39"/>
    </row>
    <row r="310">
      <c r="A310" s="40">
        <f t="shared" si="1"/>
        <v>46006</v>
      </c>
      <c r="B310" s="37" t="str">
        <f t="array" ref="B310">iferror(xlookup($I310, 'IMPORT VHC Report'!$E:$E, 'IMPORT VHC Report'!$A:$C), )</f>
        <v/>
      </c>
      <c r="C310" s="37"/>
      <c r="D310" s="37"/>
      <c r="E310" s="38" t="s">
        <v>511</v>
      </c>
      <c r="F310" s="38" t="s">
        <v>497</v>
      </c>
      <c r="G310" s="38">
        <v>1.1279766049295E13</v>
      </c>
      <c r="H310" s="38" t="s">
        <v>498</v>
      </c>
      <c r="I310" s="38" t="s">
        <v>499</v>
      </c>
      <c r="J310" s="38" t="s">
        <v>132</v>
      </c>
      <c r="K310" s="38" t="s">
        <v>126</v>
      </c>
      <c r="L310" s="41">
        <v>46009.125</v>
      </c>
      <c r="M310" s="38" t="s">
        <v>123</v>
      </c>
      <c r="N310" s="41">
        <v>46009.166666666664</v>
      </c>
      <c r="O310" s="38" t="s">
        <v>123</v>
      </c>
      <c r="P310" s="38">
        <v>3600.0</v>
      </c>
      <c r="Q310" s="39"/>
      <c r="R310" s="39"/>
      <c r="S310" s="39"/>
      <c r="T310" s="39"/>
      <c r="U310" s="39"/>
    </row>
    <row r="311">
      <c r="A311" s="40">
        <f t="shared" si="1"/>
        <v>46006</v>
      </c>
      <c r="B311" s="37" t="str">
        <f t="array" ref="B311">iferror(xlookup($I311, 'IMPORT VHC Report'!$E:$E, 'IMPORT VHC Report'!$A:$C), )</f>
        <v/>
      </c>
      <c r="C311" s="37"/>
      <c r="D311" s="37"/>
      <c r="E311" s="38" t="s">
        <v>512</v>
      </c>
      <c r="F311" s="38" t="s">
        <v>497</v>
      </c>
      <c r="G311" s="38">
        <v>1.1279766049295E13</v>
      </c>
      <c r="H311" s="38" t="s">
        <v>498</v>
      </c>
      <c r="I311" s="38" t="s">
        <v>499</v>
      </c>
      <c r="J311" s="38" t="s">
        <v>4</v>
      </c>
      <c r="K311" s="38" t="s">
        <v>126</v>
      </c>
      <c r="L311" s="41">
        <v>46009.166666666664</v>
      </c>
      <c r="M311" s="38" t="s">
        <v>123</v>
      </c>
      <c r="N311" s="41">
        <v>46009.208333333336</v>
      </c>
      <c r="O311" s="38" t="s">
        <v>123</v>
      </c>
      <c r="P311" s="38">
        <v>3600.0</v>
      </c>
      <c r="Q311" s="39"/>
      <c r="R311" s="39"/>
      <c r="S311" s="38" t="s">
        <v>336</v>
      </c>
      <c r="T311" s="39"/>
      <c r="U311" s="39"/>
    </row>
    <row r="312">
      <c r="A312" s="40">
        <f t="shared" si="1"/>
        <v>46006</v>
      </c>
      <c r="B312" s="37" t="str">
        <f t="array" ref="B312">iferror(xlookup($I312, 'IMPORT VHC Report'!$E:$E, 'IMPORT VHC Report'!$A:$C), )</f>
        <v/>
      </c>
      <c r="C312" s="37"/>
      <c r="D312" s="37"/>
      <c r="E312" s="38" t="s">
        <v>513</v>
      </c>
      <c r="F312" s="38" t="s">
        <v>497</v>
      </c>
      <c r="G312" s="38">
        <v>1.1279766049295E13</v>
      </c>
      <c r="H312" s="38" t="s">
        <v>498</v>
      </c>
      <c r="I312" s="38" t="s">
        <v>499</v>
      </c>
      <c r="J312" s="38" t="s">
        <v>330</v>
      </c>
      <c r="K312" s="38" t="s">
        <v>126</v>
      </c>
      <c r="L312" s="41">
        <v>46009.875</v>
      </c>
      <c r="M312" s="38" t="s">
        <v>123</v>
      </c>
      <c r="N312" s="41">
        <v>46009.881944444445</v>
      </c>
      <c r="O312" s="38" t="s">
        <v>123</v>
      </c>
      <c r="P312" s="38">
        <v>600.0</v>
      </c>
      <c r="Q312" s="39"/>
      <c r="R312" s="39"/>
      <c r="S312" s="39"/>
      <c r="T312" s="39"/>
      <c r="U312" s="39"/>
    </row>
    <row r="313">
      <c r="A313" s="40">
        <f t="shared" si="1"/>
        <v>46006</v>
      </c>
      <c r="B313" s="37" t="str">
        <f t="array" ref="B313">iferror(xlookup($I313, 'IMPORT VHC Report'!$E:$E, 'IMPORT VHC Report'!$A:$C), )</f>
        <v/>
      </c>
      <c r="C313" s="37"/>
      <c r="D313" s="37"/>
      <c r="E313" s="38" t="s">
        <v>514</v>
      </c>
      <c r="F313" s="38" t="s">
        <v>497</v>
      </c>
      <c r="G313" s="38">
        <v>1.1279766049295E13</v>
      </c>
      <c r="H313" s="38" t="s">
        <v>498</v>
      </c>
      <c r="I313" s="38" t="s">
        <v>499</v>
      </c>
      <c r="J313" s="38" t="s">
        <v>332</v>
      </c>
      <c r="K313" s="38" t="s">
        <v>63</v>
      </c>
      <c r="L313" s="41">
        <v>46009.875</v>
      </c>
      <c r="M313" s="38" t="s">
        <v>123</v>
      </c>
      <c r="N313" s="41">
        <v>46010.25</v>
      </c>
      <c r="O313" s="38" t="s">
        <v>123</v>
      </c>
      <c r="P313" s="38">
        <v>32400.0</v>
      </c>
      <c r="Q313" s="39"/>
      <c r="R313" s="39"/>
      <c r="S313" s="39"/>
      <c r="T313" s="39"/>
      <c r="U313" s="39"/>
    </row>
    <row r="314">
      <c r="A314" s="40">
        <f t="shared" si="1"/>
        <v>46006</v>
      </c>
      <c r="B314" s="37" t="str">
        <f t="array" ref="B314">iferror(xlookup($I314, 'IMPORT VHC Report'!$E:$E, 'IMPORT VHC Report'!$A:$C), )</f>
        <v/>
      </c>
      <c r="C314" s="37"/>
      <c r="D314" s="37"/>
      <c r="E314" s="38" t="s">
        <v>515</v>
      </c>
      <c r="F314" s="38" t="s">
        <v>497</v>
      </c>
      <c r="G314" s="38">
        <v>1.1279766049295E13</v>
      </c>
      <c r="H314" s="38" t="s">
        <v>498</v>
      </c>
      <c r="I314" s="38" t="s">
        <v>499</v>
      </c>
      <c r="J314" s="38" t="s">
        <v>132</v>
      </c>
      <c r="K314" s="38" t="s">
        <v>126</v>
      </c>
      <c r="L314" s="41">
        <v>46010.03125</v>
      </c>
      <c r="M314" s="38" t="s">
        <v>123</v>
      </c>
      <c r="N314" s="41">
        <v>46010.072916666664</v>
      </c>
      <c r="O314" s="38" t="s">
        <v>123</v>
      </c>
      <c r="P314" s="38">
        <v>3600.0</v>
      </c>
      <c r="Q314" s="39"/>
      <c r="R314" s="39"/>
      <c r="S314" s="39"/>
      <c r="T314" s="39"/>
      <c r="U314" s="39"/>
    </row>
    <row r="315">
      <c r="A315" s="40">
        <f t="shared" si="1"/>
        <v>46006</v>
      </c>
      <c r="B315" s="37" t="str">
        <f t="array" ref="B315">iferror(xlookup($I315, 'IMPORT VHC Report'!$E:$E, 'IMPORT VHC Report'!$A:$C), )</f>
        <v/>
      </c>
      <c r="C315" s="37"/>
      <c r="D315" s="37"/>
      <c r="E315" s="38" t="s">
        <v>516</v>
      </c>
      <c r="F315" s="38" t="s">
        <v>497</v>
      </c>
      <c r="G315" s="38">
        <v>1.1279766049295E13</v>
      </c>
      <c r="H315" s="38" t="s">
        <v>498</v>
      </c>
      <c r="I315" s="38" t="s">
        <v>499</v>
      </c>
      <c r="J315" s="38" t="s">
        <v>134</v>
      </c>
      <c r="K315" s="38" t="s">
        <v>126</v>
      </c>
      <c r="L315" s="41">
        <v>46010.1875</v>
      </c>
      <c r="M315" s="38" t="s">
        <v>123</v>
      </c>
      <c r="N315" s="41">
        <v>46010.208333333336</v>
      </c>
      <c r="O315" s="38" t="s">
        <v>123</v>
      </c>
      <c r="P315" s="38">
        <v>1800.0</v>
      </c>
      <c r="Q315" s="39"/>
      <c r="R315" s="39"/>
      <c r="S315" s="39"/>
      <c r="T315" s="39"/>
      <c r="U315" s="39"/>
    </row>
    <row r="316">
      <c r="A316" s="40">
        <f t="shared" si="1"/>
        <v>46006</v>
      </c>
      <c r="B316" s="37" t="str">
        <f t="array" ref="B316">iferror(xlookup($I316, 'IMPORT VHC Report'!$E:$E, 'IMPORT VHC Report'!$A:$C), )</f>
        <v/>
      </c>
      <c r="C316" s="37"/>
      <c r="D316" s="37"/>
      <c r="E316" s="38" t="s">
        <v>517</v>
      </c>
      <c r="F316" s="38" t="s">
        <v>497</v>
      </c>
      <c r="G316" s="38">
        <v>1.1279766049295E13</v>
      </c>
      <c r="H316" s="38" t="s">
        <v>498</v>
      </c>
      <c r="I316" s="38" t="s">
        <v>499</v>
      </c>
      <c r="J316" s="38" t="s">
        <v>330</v>
      </c>
      <c r="K316" s="38" t="s">
        <v>126</v>
      </c>
      <c r="L316" s="41">
        <v>46010.875</v>
      </c>
      <c r="M316" s="38" t="s">
        <v>123</v>
      </c>
      <c r="N316" s="41">
        <v>46010.881944444445</v>
      </c>
      <c r="O316" s="38" t="s">
        <v>123</v>
      </c>
      <c r="P316" s="38">
        <v>600.0</v>
      </c>
      <c r="Q316" s="39"/>
      <c r="R316" s="39"/>
      <c r="S316" s="39"/>
      <c r="T316" s="39"/>
      <c r="U316" s="39"/>
    </row>
    <row r="317">
      <c r="A317" s="40">
        <f t="shared" si="1"/>
        <v>46006</v>
      </c>
      <c r="B317" s="37" t="str">
        <f t="array" ref="B317">iferror(xlookup($I317, 'IMPORT VHC Report'!$E:$E, 'IMPORT VHC Report'!$A:$C), )</f>
        <v/>
      </c>
      <c r="C317" s="37"/>
      <c r="D317" s="37"/>
      <c r="E317" s="38" t="s">
        <v>518</v>
      </c>
      <c r="F317" s="38" t="s">
        <v>497</v>
      </c>
      <c r="G317" s="38">
        <v>1.1279766049295E13</v>
      </c>
      <c r="H317" s="38" t="s">
        <v>498</v>
      </c>
      <c r="I317" s="38" t="s">
        <v>499</v>
      </c>
      <c r="J317" s="38" t="s">
        <v>332</v>
      </c>
      <c r="K317" s="38" t="s">
        <v>63</v>
      </c>
      <c r="L317" s="41">
        <v>46010.875</v>
      </c>
      <c r="M317" s="38" t="s">
        <v>123</v>
      </c>
      <c r="N317" s="41">
        <v>46011.25</v>
      </c>
      <c r="O317" s="38" t="s">
        <v>123</v>
      </c>
      <c r="P317" s="38">
        <v>32400.0</v>
      </c>
      <c r="Q317" s="39"/>
      <c r="R317" s="39"/>
      <c r="S317" s="39"/>
      <c r="T317" s="39"/>
      <c r="U317" s="39"/>
    </row>
    <row r="318">
      <c r="A318" s="40">
        <f t="shared" si="1"/>
        <v>46006</v>
      </c>
      <c r="B318" s="37" t="str">
        <f t="array" ref="B318">iferror(xlookup($I318, 'IMPORT VHC Report'!$E:$E, 'IMPORT VHC Report'!$A:$C), )</f>
        <v/>
      </c>
      <c r="C318" s="37"/>
      <c r="D318" s="37"/>
      <c r="E318" s="38" t="s">
        <v>519</v>
      </c>
      <c r="F318" s="38" t="s">
        <v>497</v>
      </c>
      <c r="G318" s="38">
        <v>1.1279766049295E13</v>
      </c>
      <c r="H318" s="38" t="s">
        <v>498</v>
      </c>
      <c r="I318" s="38" t="s">
        <v>499</v>
      </c>
      <c r="J318" s="38" t="s">
        <v>132</v>
      </c>
      <c r="K318" s="38" t="s">
        <v>126</v>
      </c>
      <c r="L318" s="41">
        <v>46011.03125</v>
      </c>
      <c r="M318" s="38" t="s">
        <v>123</v>
      </c>
      <c r="N318" s="41">
        <v>46011.072916666664</v>
      </c>
      <c r="O318" s="38" t="s">
        <v>123</v>
      </c>
      <c r="P318" s="38">
        <v>3600.0</v>
      </c>
      <c r="Q318" s="39"/>
      <c r="R318" s="39"/>
      <c r="S318" s="39"/>
      <c r="T318" s="39"/>
      <c r="U318" s="39"/>
    </row>
    <row r="319">
      <c r="A319" s="40">
        <f t="shared" si="1"/>
        <v>46006</v>
      </c>
      <c r="B319" s="37" t="str">
        <f t="array" ref="B319">iferror(xlookup($I319, 'IMPORT VHC Report'!$E:$E, 'IMPORT VHC Report'!$A:$C), )</f>
        <v/>
      </c>
      <c r="C319" s="37"/>
      <c r="D319" s="37"/>
      <c r="E319" s="38" t="s">
        <v>520</v>
      </c>
      <c r="F319" s="38" t="s">
        <v>497</v>
      </c>
      <c r="G319" s="38">
        <v>1.1279766049295E13</v>
      </c>
      <c r="H319" s="38" t="s">
        <v>498</v>
      </c>
      <c r="I319" s="38" t="s">
        <v>499</v>
      </c>
      <c r="J319" s="38" t="s">
        <v>134</v>
      </c>
      <c r="K319" s="38" t="s">
        <v>126</v>
      </c>
      <c r="L319" s="41">
        <v>46011.166666666664</v>
      </c>
      <c r="M319" s="38" t="s">
        <v>123</v>
      </c>
      <c r="N319" s="41">
        <v>46011.1875</v>
      </c>
      <c r="O319" s="38" t="s">
        <v>123</v>
      </c>
      <c r="P319" s="38">
        <v>1800.0</v>
      </c>
      <c r="Q319" s="39"/>
      <c r="R319" s="39"/>
      <c r="S319" s="39"/>
      <c r="T319" s="39"/>
      <c r="U319" s="39"/>
    </row>
    <row r="320">
      <c r="A320" s="40">
        <f t="shared" si="1"/>
        <v>46006</v>
      </c>
      <c r="B320" s="37" t="str">
        <f t="array" ref="B320">iferror(xlookup($I320, 'IMPORT VHC Report'!$E:$E, 'IMPORT VHC Report'!$A:$C), )</f>
        <v/>
      </c>
      <c r="C320" s="37"/>
      <c r="D320" s="37"/>
      <c r="E320" s="38" t="s">
        <v>521</v>
      </c>
      <c r="F320" s="38" t="s">
        <v>497</v>
      </c>
      <c r="G320" s="38">
        <v>1.1279766049295E13</v>
      </c>
      <c r="H320" s="38" t="s">
        <v>498</v>
      </c>
      <c r="I320" s="38" t="s">
        <v>499</v>
      </c>
      <c r="J320" s="38" t="s">
        <v>330</v>
      </c>
      <c r="K320" s="38" t="s">
        <v>126</v>
      </c>
      <c r="L320" s="41">
        <v>46011.875</v>
      </c>
      <c r="M320" s="38" t="s">
        <v>123</v>
      </c>
      <c r="N320" s="41">
        <v>46011.881944444445</v>
      </c>
      <c r="O320" s="38" t="s">
        <v>123</v>
      </c>
      <c r="P320" s="38">
        <v>600.0</v>
      </c>
      <c r="Q320" s="39"/>
      <c r="R320" s="39"/>
      <c r="S320" s="39"/>
      <c r="T320" s="39"/>
      <c r="U320" s="39"/>
    </row>
    <row r="321">
      <c r="A321" s="40">
        <f t="shared" si="1"/>
        <v>46006</v>
      </c>
      <c r="B321" s="37" t="str">
        <f t="array" ref="B321">iferror(xlookup($I321, 'IMPORT VHC Report'!$E:$E, 'IMPORT VHC Report'!$A:$C), )</f>
        <v/>
      </c>
      <c r="C321" s="37"/>
      <c r="D321" s="37"/>
      <c r="E321" s="38" t="s">
        <v>522</v>
      </c>
      <c r="F321" s="38" t="s">
        <v>497</v>
      </c>
      <c r="G321" s="38">
        <v>1.1279766049295E13</v>
      </c>
      <c r="H321" s="38" t="s">
        <v>498</v>
      </c>
      <c r="I321" s="38" t="s">
        <v>499</v>
      </c>
      <c r="J321" s="38" t="s">
        <v>332</v>
      </c>
      <c r="K321" s="38" t="s">
        <v>63</v>
      </c>
      <c r="L321" s="41">
        <v>46011.875</v>
      </c>
      <c r="M321" s="38" t="s">
        <v>123</v>
      </c>
      <c r="N321" s="41">
        <v>46012.25</v>
      </c>
      <c r="O321" s="38" t="s">
        <v>123</v>
      </c>
      <c r="P321" s="38">
        <v>32400.0</v>
      </c>
      <c r="Q321" s="39"/>
      <c r="R321" s="39"/>
      <c r="S321" s="39"/>
      <c r="T321" s="39"/>
      <c r="U321" s="39"/>
    </row>
    <row r="322">
      <c r="A322" s="40">
        <f t="shared" si="1"/>
        <v>46006</v>
      </c>
      <c r="B322" s="37" t="str">
        <f t="array" ref="B322">iferror(xlookup($I322, 'IMPORT VHC Report'!$E:$E, 'IMPORT VHC Report'!$A:$C), )</f>
        <v/>
      </c>
      <c r="C322" s="37"/>
      <c r="D322" s="37"/>
      <c r="E322" s="38" t="s">
        <v>523</v>
      </c>
      <c r="F322" s="38" t="s">
        <v>497</v>
      </c>
      <c r="G322" s="38">
        <v>1.1279766049295E13</v>
      </c>
      <c r="H322" s="38" t="s">
        <v>498</v>
      </c>
      <c r="I322" s="38" t="s">
        <v>499</v>
      </c>
      <c r="J322" s="38" t="s">
        <v>132</v>
      </c>
      <c r="K322" s="38" t="s">
        <v>126</v>
      </c>
      <c r="L322" s="41">
        <v>46011.989583333336</v>
      </c>
      <c r="M322" s="38" t="s">
        <v>123</v>
      </c>
      <c r="N322" s="41">
        <v>46012.03125</v>
      </c>
      <c r="O322" s="38" t="s">
        <v>123</v>
      </c>
      <c r="P322" s="38">
        <v>3600.0</v>
      </c>
      <c r="Q322" s="39"/>
      <c r="R322" s="39"/>
      <c r="S322" s="39"/>
      <c r="T322" s="39"/>
      <c r="U322" s="39"/>
    </row>
    <row r="323">
      <c r="A323" s="40">
        <f t="shared" si="1"/>
        <v>46006</v>
      </c>
      <c r="B323" s="37" t="str">
        <f t="array" ref="B323">iferror(xlookup($I323, 'IMPORT VHC Report'!$E:$E, 'IMPORT VHC Report'!$A:$C), )</f>
        <v/>
      </c>
      <c r="C323" s="37"/>
      <c r="D323" s="37"/>
      <c r="E323" s="38" t="s">
        <v>524</v>
      </c>
      <c r="F323" s="38" t="s">
        <v>497</v>
      </c>
      <c r="G323" s="38">
        <v>1.1279766049295E13</v>
      </c>
      <c r="H323" s="38" t="s">
        <v>498</v>
      </c>
      <c r="I323" s="38" t="s">
        <v>499</v>
      </c>
      <c r="J323" s="38" t="s">
        <v>134</v>
      </c>
      <c r="K323" s="38" t="s">
        <v>126</v>
      </c>
      <c r="L323" s="41">
        <v>46012.145833333336</v>
      </c>
      <c r="M323" s="38" t="s">
        <v>123</v>
      </c>
      <c r="N323" s="41">
        <v>46012.166666666664</v>
      </c>
      <c r="O323" s="38" t="s">
        <v>123</v>
      </c>
      <c r="P323" s="38">
        <v>1800.0</v>
      </c>
      <c r="Q323" s="39"/>
      <c r="R323" s="39"/>
      <c r="S323" s="39"/>
      <c r="T323" s="39"/>
      <c r="U323" s="39"/>
    </row>
    <row r="324">
      <c r="A324" s="40">
        <f t="shared" si="1"/>
        <v>46006</v>
      </c>
      <c r="B324" s="37" t="str">
        <f t="array" ref="B324">iferror(xlookup($I324, 'IMPORT VHC Report'!$E:$E, 'IMPORT VHC Report'!$A:$C), )</f>
        <v/>
      </c>
      <c r="C324" s="37"/>
      <c r="D324" s="37"/>
      <c r="E324" s="38" t="s">
        <v>525</v>
      </c>
      <c r="F324" s="38" t="s">
        <v>497</v>
      </c>
      <c r="G324" s="38">
        <v>1.1279766049295E13</v>
      </c>
      <c r="H324" s="38" t="s">
        <v>498</v>
      </c>
      <c r="I324" s="38" t="s">
        <v>499</v>
      </c>
      <c r="J324" s="38" t="s">
        <v>330</v>
      </c>
      <c r="K324" s="38" t="s">
        <v>126</v>
      </c>
      <c r="L324" s="41">
        <v>46012.166666666664</v>
      </c>
      <c r="M324" s="38" t="s">
        <v>123</v>
      </c>
      <c r="N324" s="41">
        <v>46012.1875</v>
      </c>
      <c r="O324" s="38" t="s">
        <v>123</v>
      </c>
      <c r="P324" s="38">
        <v>1800.0</v>
      </c>
      <c r="Q324" s="39"/>
      <c r="R324" s="39"/>
      <c r="S324" s="39"/>
      <c r="T324" s="39"/>
      <c r="U324" s="39"/>
    </row>
    <row r="325">
      <c r="A325" s="40">
        <f t="shared" si="1"/>
        <v>45999</v>
      </c>
      <c r="B325" s="37" t="str">
        <f t="array" ref="B325">iferror(xlookup($I325, 'IMPORT VHC Report'!$E:$E, 'IMPORT VHC Report'!$A:$C), )</f>
        <v/>
      </c>
      <c r="C325" s="37"/>
      <c r="D325" s="37"/>
      <c r="E325" s="38" t="s">
        <v>526</v>
      </c>
      <c r="F325" s="38" t="s">
        <v>527</v>
      </c>
      <c r="G325" s="38">
        <v>3.61725113576E11</v>
      </c>
      <c r="H325" s="38" t="s">
        <v>528</v>
      </c>
      <c r="I325" s="38" t="s">
        <v>529</v>
      </c>
      <c r="J325" s="38" t="s">
        <v>530</v>
      </c>
      <c r="K325" s="38" t="s">
        <v>63</v>
      </c>
      <c r="L325" s="41">
        <v>46005.875</v>
      </c>
      <c r="M325" s="38" t="s">
        <v>123</v>
      </c>
      <c r="N325" s="41">
        <v>46006.25</v>
      </c>
      <c r="O325" s="38" t="s">
        <v>123</v>
      </c>
      <c r="P325" s="38">
        <v>32400.0</v>
      </c>
      <c r="Q325" s="39"/>
      <c r="R325" s="39"/>
      <c r="S325" s="39"/>
      <c r="T325" s="39"/>
      <c r="U325" s="39"/>
    </row>
    <row r="326">
      <c r="A326" s="40">
        <f t="shared" si="1"/>
        <v>46006</v>
      </c>
      <c r="B326" s="37" t="str">
        <f t="array" ref="B326">iferror(xlookup($I326, 'IMPORT VHC Report'!$E:$E, 'IMPORT VHC Report'!$A:$C), )</f>
        <v/>
      </c>
      <c r="C326" s="37"/>
      <c r="D326" s="37"/>
      <c r="E326" s="38" t="s">
        <v>531</v>
      </c>
      <c r="F326" s="38" t="s">
        <v>527</v>
      </c>
      <c r="G326" s="38">
        <v>3.61725113576E11</v>
      </c>
      <c r="H326" s="38" t="s">
        <v>528</v>
      </c>
      <c r="I326" s="38" t="s">
        <v>529</v>
      </c>
      <c r="J326" s="38" t="s">
        <v>132</v>
      </c>
      <c r="K326" s="38" t="s">
        <v>126</v>
      </c>
      <c r="L326" s="41">
        <v>46006.104166666664</v>
      </c>
      <c r="M326" s="38" t="s">
        <v>123</v>
      </c>
      <c r="N326" s="41">
        <v>46006.145833333336</v>
      </c>
      <c r="O326" s="38" t="s">
        <v>123</v>
      </c>
      <c r="P326" s="38">
        <v>3600.0</v>
      </c>
      <c r="Q326" s="39"/>
      <c r="R326" s="39"/>
      <c r="S326" s="39"/>
      <c r="T326" s="39"/>
      <c r="U326" s="39"/>
    </row>
    <row r="327">
      <c r="A327" s="40">
        <f t="shared" si="1"/>
        <v>46006</v>
      </c>
      <c r="B327" s="37" t="str">
        <f t="array" ref="B327">iferror(xlookup($I327, 'IMPORT VHC Report'!$E:$E, 'IMPORT VHC Report'!$A:$C), )</f>
        <v/>
      </c>
      <c r="C327" s="37"/>
      <c r="D327" s="37"/>
      <c r="E327" s="38" t="s">
        <v>532</v>
      </c>
      <c r="F327" s="38" t="s">
        <v>527</v>
      </c>
      <c r="G327" s="38">
        <v>3.61725113576E11</v>
      </c>
      <c r="H327" s="38" t="s">
        <v>528</v>
      </c>
      <c r="I327" s="38" t="s">
        <v>529</v>
      </c>
      <c r="J327" s="38" t="s">
        <v>4</v>
      </c>
      <c r="K327" s="38" t="s">
        <v>126</v>
      </c>
      <c r="L327" s="41">
        <v>46007.875</v>
      </c>
      <c r="M327" s="38" t="s">
        <v>123</v>
      </c>
      <c r="N327" s="41">
        <v>46007.895833333336</v>
      </c>
      <c r="O327" s="38" t="s">
        <v>123</v>
      </c>
      <c r="P327" s="38">
        <v>1800.0</v>
      </c>
      <c r="Q327" s="39"/>
      <c r="R327" s="39"/>
      <c r="S327" s="39"/>
      <c r="T327" s="39"/>
      <c r="U327" s="39"/>
    </row>
    <row r="328">
      <c r="A328" s="40">
        <f t="shared" si="1"/>
        <v>46006</v>
      </c>
      <c r="B328" s="37" t="str">
        <f t="array" ref="B328">iferror(xlookup($I328, 'IMPORT VHC Report'!$E:$E, 'IMPORT VHC Report'!$A:$C), )</f>
        <v/>
      </c>
      <c r="C328" s="37"/>
      <c r="D328" s="37"/>
      <c r="E328" s="38" t="s">
        <v>533</v>
      </c>
      <c r="F328" s="38" t="s">
        <v>527</v>
      </c>
      <c r="G328" s="38">
        <v>3.61725113576E11</v>
      </c>
      <c r="H328" s="38" t="s">
        <v>528</v>
      </c>
      <c r="I328" s="38" t="s">
        <v>529</v>
      </c>
      <c r="J328" s="38" t="s">
        <v>178</v>
      </c>
      <c r="K328" s="38" t="s">
        <v>153</v>
      </c>
      <c r="L328" s="41">
        <v>46007.875</v>
      </c>
      <c r="M328" s="38" t="s">
        <v>123</v>
      </c>
      <c r="N328" s="41">
        <v>46008.25</v>
      </c>
      <c r="O328" s="38" t="s">
        <v>123</v>
      </c>
      <c r="P328" s="38">
        <v>32400.0</v>
      </c>
      <c r="Q328" s="38">
        <v>32400.0</v>
      </c>
      <c r="R328" s="39"/>
      <c r="S328" s="39"/>
      <c r="T328" s="39"/>
      <c r="U328" s="39"/>
    </row>
    <row r="329">
      <c r="A329" s="40">
        <f t="shared" si="1"/>
        <v>46006</v>
      </c>
      <c r="B329" s="37" t="str">
        <f t="array" ref="B329">iferror(xlookup($I329, 'IMPORT VHC Report'!$E:$E, 'IMPORT VHC Report'!$A:$C), )</f>
        <v/>
      </c>
      <c r="C329" s="37"/>
      <c r="D329" s="37"/>
      <c r="E329" s="38" t="s">
        <v>534</v>
      </c>
      <c r="F329" s="38" t="s">
        <v>527</v>
      </c>
      <c r="G329" s="38">
        <v>3.61725113576E11</v>
      </c>
      <c r="H329" s="38" t="s">
        <v>528</v>
      </c>
      <c r="I329" s="38" t="s">
        <v>529</v>
      </c>
      <c r="J329" s="38" t="s">
        <v>530</v>
      </c>
      <c r="K329" s="38" t="s">
        <v>63</v>
      </c>
      <c r="L329" s="41">
        <v>46007.875</v>
      </c>
      <c r="M329" s="38" t="s">
        <v>123</v>
      </c>
      <c r="N329" s="41">
        <v>46008.25</v>
      </c>
      <c r="O329" s="38" t="s">
        <v>123</v>
      </c>
      <c r="P329" s="38">
        <v>32400.0</v>
      </c>
      <c r="Q329" s="39"/>
      <c r="R329" s="39"/>
      <c r="S329" s="39"/>
      <c r="T329" s="39"/>
      <c r="U329" s="39"/>
    </row>
    <row r="330">
      <c r="A330" s="40">
        <f t="shared" si="1"/>
        <v>46006</v>
      </c>
      <c r="B330" s="37" t="str">
        <f t="array" ref="B330">iferror(xlookup($I330, 'IMPORT VHC Report'!$E:$E, 'IMPORT VHC Report'!$A:$C), )</f>
        <v/>
      </c>
      <c r="C330" s="37"/>
      <c r="D330" s="37"/>
      <c r="E330" s="38" t="s">
        <v>535</v>
      </c>
      <c r="F330" s="38" t="s">
        <v>527</v>
      </c>
      <c r="G330" s="38">
        <v>3.61725113576E11</v>
      </c>
      <c r="H330" s="38" t="s">
        <v>528</v>
      </c>
      <c r="I330" s="38" t="s">
        <v>529</v>
      </c>
      <c r="J330" s="38" t="s">
        <v>134</v>
      </c>
      <c r="K330" s="38" t="s">
        <v>126</v>
      </c>
      <c r="L330" s="41">
        <v>46008.020833333336</v>
      </c>
      <c r="M330" s="38" t="s">
        <v>123</v>
      </c>
      <c r="N330" s="41">
        <v>46008.041666666664</v>
      </c>
      <c r="O330" s="38" t="s">
        <v>123</v>
      </c>
      <c r="P330" s="38">
        <v>1800.0</v>
      </c>
      <c r="Q330" s="39"/>
      <c r="R330" s="39"/>
      <c r="S330" s="39"/>
      <c r="T330" s="39"/>
      <c r="U330" s="39"/>
    </row>
    <row r="331">
      <c r="A331" s="40">
        <f t="shared" si="1"/>
        <v>46006</v>
      </c>
      <c r="B331" s="37" t="str">
        <f t="array" ref="B331">iferror(xlookup($I331, 'IMPORT VHC Report'!$E:$E, 'IMPORT VHC Report'!$A:$C), )</f>
        <v/>
      </c>
      <c r="C331" s="37"/>
      <c r="D331" s="37"/>
      <c r="E331" s="38" t="s">
        <v>536</v>
      </c>
      <c r="F331" s="38" t="s">
        <v>527</v>
      </c>
      <c r="G331" s="38">
        <v>3.61725113576E11</v>
      </c>
      <c r="H331" s="38" t="s">
        <v>528</v>
      </c>
      <c r="I331" s="38" t="s">
        <v>529</v>
      </c>
      <c r="J331" s="38" t="s">
        <v>132</v>
      </c>
      <c r="K331" s="38" t="s">
        <v>126</v>
      </c>
      <c r="L331" s="41">
        <v>46008.15625</v>
      </c>
      <c r="M331" s="38" t="s">
        <v>123</v>
      </c>
      <c r="N331" s="41">
        <v>46008.197916666664</v>
      </c>
      <c r="O331" s="38" t="s">
        <v>123</v>
      </c>
      <c r="P331" s="38">
        <v>3600.0</v>
      </c>
      <c r="Q331" s="39"/>
      <c r="R331" s="39"/>
      <c r="S331" s="39"/>
      <c r="T331" s="39"/>
      <c r="U331" s="39"/>
    </row>
    <row r="332">
      <c r="A332" s="40">
        <f t="shared" si="1"/>
        <v>46006</v>
      </c>
      <c r="B332" s="37" t="str">
        <f t="array" ref="B332">iferror(xlookup($I332, 'IMPORT VHC Report'!$E:$E, 'IMPORT VHC Report'!$A:$C), )</f>
        <v/>
      </c>
      <c r="C332" s="37"/>
      <c r="D332" s="37"/>
      <c r="E332" s="38" t="s">
        <v>537</v>
      </c>
      <c r="F332" s="38" t="s">
        <v>527</v>
      </c>
      <c r="G332" s="38">
        <v>3.61725113576E11</v>
      </c>
      <c r="H332" s="38" t="s">
        <v>528</v>
      </c>
      <c r="I332" s="38" t="s">
        <v>529</v>
      </c>
      <c r="J332" s="38" t="s">
        <v>4</v>
      </c>
      <c r="K332" s="38" t="s">
        <v>126</v>
      </c>
      <c r="L332" s="41">
        <v>46008.875</v>
      </c>
      <c r="M332" s="38" t="s">
        <v>123</v>
      </c>
      <c r="N332" s="41">
        <v>46008.895833333336</v>
      </c>
      <c r="O332" s="38" t="s">
        <v>123</v>
      </c>
      <c r="P332" s="38">
        <v>1800.0</v>
      </c>
      <c r="Q332" s="39"/>
      <c r="R332" s="39"/>
      <c r="S332" s="39"/>
      <c r="T332" s="39"/>
      <c r="U332" s="39"/>
    </row>
    <row r="333">
      <c r="A333" s="40">
        <f t="shared" si="1"/>
        <v>46006</v>
      </c>
      <c r="B333" s="37" t="str">
        <f t="array" ref="B333">iferror(xlookup($I333, 'IMPORT VHC Report'!$E:$E, 'IMPORT VHC Report'!$A:$C), )</f>
        <v/>
      </c>
      <c r="C333" s="37"/>
      <c r="D333" s="37"/>
      <c r="E333" s="38" t="s">
        <v>538</v>
      </c>
      <c r="F333" s="38" t="s">
        <v>527</v>
      </c>
      <c r="G333" s="38">
        <v>3.61725113576E11</v>
      </c>
      <c r="H333" s="38" t="s">
        <v>528</v>
      </c>
      <c r="I333" s="38" t="s">
        <v>529</v>
      </c>
      <c r="J333" s="38" t="s">
        <v>530</v>
      </c>
      <c r="K333" s="38" t="s">
        <v>63</v>
      </c>
      <c r="L333" s="41">
        <v>46008.875</v>
      </c>
      <c r="M333" s="38" t="s">
        <v>123</v>
      </c>
      <c r="N333" s="41">
        <v>46009.25</v>
      </c>
      <c r="O333" s="38" t="s">
        <v>123</v>
      </c>
      <c r="P333" s="38">
        <v>32400.0</v>
      </c>
      <c r="Q333" s="39"/>
      <c r="R333" s="39"/>
      <c r="S333" s="39"/>
      <c r="T333" s="39"/>
      <c r="U333" s="39"/>
    </row>
    <row r="334">
      <c r="A334" s="40">
        <f t="shared" si="1"/>
        <v>46006</v>
      </c>
      <c r="B334" s="37" t="str">
        <f t="array" ref="B334">iferror(xlookup($I334, 'IMPORT VHC Report'!$E:$E, 'IMPORT VHC Report'!$A:$C), )</f>
        <v/>
      </c>
      <c r="C334" s="37"/>
      <c r="D334" s="37"/>
      <c r="E334" s="38" t="s">
        <v>539</v>
      </c>
      <c r="F334" s="38" t="s">
        <v>527</v>
      </c>
      <c r="G334" s="38">
        <v>3.61725113576E11</v>
      </c>
      <c r="H334" s="38" t="s">
        <v>528</v>
      </c>
      <c r="I334" s="38" t="s">
        <v>529</v>
      </c>
      <c r="J334" s="38" t="s">
        <v>178</v>
      </c>
      <c r="K334" s="38" t="s">
        <v>153</v>
      </c>
      <c r="L334" s="41">
        <v>46008.875</v>
      </c>
      <c r="M334" s="38" t="s">
        <v>123</v>
      </c>
      <c r="N334" s="41">
        <v>46009.25</v>
      </c>
      <c r="O334" s="38" t="s">
        <v>123</v>
      </c>
      <c r="P334" s="38">
        <v>32400.0</v>
      </c>
      <c r="Q334" s="38">
        <v>32400.0</v>
      </c>
      <c r="R334" s="39"/>
      <c r="S334" s="39"/>
      <c r="T334" s="39"/>
      <c r="U334" s="39"/>
    </row>
    <row r="335">
      <c r="A335" s="40">
        <f t="shared" si="1"/>
        <v>46006</v>
      </c>
      <c r="B335" s="37" t="str">
        <f t="array" ref="B335">iferror(xlookup($I335, 'IMPORT VHC Report'!$E:$E, 'IMPORT VHC Report'!$A:$C), )</f>
        <v/>
      </c>
      <c r="C335" s="37"/>
      <c r="D335" s="37"/>
      <c r="E335" s="38" t="s">
        <v>540</v>
      </c>
      <c r="F335" s="38" t="s">
        <v>527</v>
      </c>
      <c r="G335" s="38">
        <v>3.61725113576E11</v>
      </c>
      <c r="H335" s="38" t="s">
        <v>528</v>
      </c>
      <c r="I335" s="38" t="s">
        <v>529</v>
      </c>
      <c r="J335" s="38" t="s">
        <v>134</v>
      </c>
      <c r="K335" s="38" t="s">
        <v>126</v>
      </c>
      <c r="L335" s="41">
        <v>46009.020833333336</v>
      </c>
      <c r="M335" s="38" t="s">
        <v>123</v>
      </c>
      <c r="N335" s="41">
        <v>46009.041666666664</v>
      </c>
      <c r="O335" s="38" t="s">
        <v>123</v>
      </c>
      <c r="P335" s="38">
        <v>1800.0</v>
      </c>
      <c r="Q335" s="39"/>
      <c r="R335" s="39"/>
      <c r="S335" s="39"/>
      <c r="T335" s="39"/>
      <c r="U335" s="39"/>
    </row>
    <row r="336">
      <c r="A336" s="40">
        <f t="shared" si="1"/>
        <v>46006</v>
      </c>
      <c r="B336" s="37" t="str">
        <f t="array" ref="B336">iferror(xlookup($I336, 'IMPORT VHC Report'!$E:$E, 'IMPORT VHC Report'!$A:$C), )</f>
        <v/>
      </c>
      <c r="C336" s="37"/>
      <c r="D336" s="37"/>
      <c r="E336" s="38" t="s">
        <v>541</v>
      </c>
      <c r="F336" s="38" t="s">
        <v>527</v>
      </c>
      <c r="G336" s="38">
        <v>3.61725113576E11</v>
      </c>
      <c r="H336" s="38" t="s">
        <v>528</v>
      </c>
      <c r="I336" s="38" t="s">
        <v>529</v>
      </c>
      <c r="J336" s="38" t="s">
        <v>132</v>
      </c>
      <c r="K336" s="38" t="s">
        <v>126</v>
      </c>
      <c r="L336" s="41">
        <v>46009.15625</v>
      </c>
      <c r="M336" s="38" t="s">
        <v>123</v>
      </c>
      <c r="N336" s="41">
        <v>46009.197916666664</v>
      </c>
      <c r="O336" s="38" t="s">
        <v>123</v>
      </c>
      <c r="P336" s="38">
        <v>3600.0</v>
      </c>
      <c r="Q336" s="39"/>
      <c r="R336" s="39"/>
      <c r="S336" s="39"/>
      <c r="T336" s="39"/>
      <c r="U336" s="39"/>
    </row>
    <row r="337">
      <c r="A337" s="40">
        <f t="shared" si="1"/>
        <v>46006</v>
      </c>
      <c r="B337" s="37" t="str">
        <f t="array" ref="B337">iferror(xlookup($I337, 'IMPORT VHC Report'!$E:$E, 'IMPORT VHC Report'!$A:$C), )</f>
        <v/>
      </c>
      <c r="C337" s="37"/>
      <c r="D337" s="37"/>
      <c r="E337" s="38" t="s">
        <v>542</v>
      </c>
      <c r="F337" s="38" t="s">
        <v>527</v>
      </c>
      <c r="G337" s="38">
        <v>3.61725113576E11</v>
      </c>
      <c r="H337" s="38" t="s">
        <v>528</v>
      </c>
      <c r="I337" s="38" t="s">
        <v>529</v>
      </c>
      <c r="J337" s="38" t="s">
        <v>4</v>
      </c>
      <c r="K337" s="38" t="s">
        <v>126</v>
      </c>
      <c r="L337" s="41">
        <v>46009.875</v>
      </c>
      <c r="M337" s="38" t="s">
        <v>123</v>
      </c>
      <c r="N337" s="41">
        <v>46009.895833333336</v>
      </c>
      <c r="O337" s="38" t="s">
        <v>123</v>
      </c>
      <c r="P337" s="38">
        <v>1800.0</v>
      </c>
      <c r="Q337" s="39"/>
      <c r="R337" s="39"/>
      <c r="S337" s="39"/>
      <c r="T337" s="39"/>
      <c r="U337" s="39"/>
    </row>
    <row r="338">
      <c r="A338" s="40">
        <f t="shared" si="1"/>
        <v>46006</v>
      </c>
      <c r="B338" s="37" t="str">
        <f t="array" ref="B338">iferror(xlookup($I338, 'IMPORT VHC Report'!$E:$E, 'IMPORT VHC Report'!$A:$C), )</f>
        <v/>
      </c>
      <c r="C338" s="37"/>
      <c r="D338" s="37"/>
      <c r="E338" s="38" t="s">
        <v>543</v>
      </c>
      <c r="F338" s="38" t="s">
        <v>527</v>
      </c>
      <c r="G338" s="38">
        <v>3.61725113576E11</v>
      </c>
      <c r="H338" s="38" t="s">
        <v>528</v>
      </c>
      <c r="I338" s="38" t="s">
        <v>529</v>
      </c>
      <c r="J338" s="38" t="s">
        <v>530</v>
      </c>
      <c r="K338" s="38" t="s">
        <v>63</v>
      </c>
      <c r="L338" s="41">
        <v>46009.875</v>
      </c>
      <c r="M338" s="38" t="s">
        <v>123</v>
      </c>
      <c r="N338" s="41">
        <v>46010.229166666664</v>
      </c>
      <c r="O338" s="38" t="s">
        <v>123</v>
      </c>
      <c r="P338" s="38">
        <v>30600.0</v>
      </c>
      <c r="Q338" s="39"/>
      <c r="R338" s="39"/>
      <c r="S338" s="39"/>
      <c r="T338" s="39"/>
      <c r="U338" s="39"/>
    </row>
    <row r="339">
      <c r="A339" s="40">
        <f t="shared" si="1"/>
        <v>46006</v>
      </c>
      <c r="B339" s="37" t="str">
        <f t="array" ref="B339">iferror(xlookup($I339, 'IMPORT VHC Report'!$E:$E, 'IMPORT VHC Report'!$A:$C), )</f>
        <v/>
      </c>
      <c r="C339" s="37"/>
      <c r="D339" s="37"/>
      <c r="E339" s="38" t="s">
        <v>544</v>
      </c>
      <c r="F339" s="38" t="s">
        <v>527</v>
      </c>
      <c r="G339" s="38">
        <v>3.61725113576E11</v>
      </c>
      <c r="H339" s="38" t="s">
        <v>528</v>
      </c>
      <c r="I339" s="38" t="s">
        <v>529</v>
      </c>
      <c r="J339" s="38" t="s">
        <v>178</v>
      </c>
      <c r="K339" s="38" t="s">
        <v>153</v>
      </c>
      <c r="L339" s="41">
        <v>46009.875</v>
      </c>
      <c r="M339" s="38" t="s">
        <v>123</v>
      </c>
      <c r="N339" s="41">
        <v>46010.25</v>
      </c>
      <c r="O339" s="38" t="s">
        <v>123</v>
      </c>
      <c r="P339" s="38">
        <v>32400.0</v>
      </c>
      <c r="Q339" s="38">
        <v>32400.0</v>
      </c>
      <c r="R339" s="39"/>
      <c r="S339" s="39"/>
      <c r="T339" s="39"/>
      <c r="U339" s="39"/>
    </row>
    <row r="340">
      <c r="A340" s="40">
        <f t="shared" si="1"/>
        <v>46006</v>
      </c>
      <c r="B340" s="37" t="str">
        <f t="array" ref="B340">iferror(xlookup($I340, 'IMPORT VHC Report'!$E:$E, 'IMPORT VHC Report'!$A:$C), )</f>
        <v/>
      </c>
      <c r="C340" s="37"/>
      <c r="D340" s="37"/>
      <c r="E340" s="38" t="s">
        <v>545</v>
      </c>
      <c r="F340" s="38" t="s">
        <v>527</v>
      </c>
      <c r="G340" s="38">
        <v>3.61725113576E11</v>
      </c>
      <c r="H340" s="38" t="s">
        <v>528</v>
      </c>
      <c r="I340" s="38" t="s">
        <v>529</v>
      </c>
      <c r="J340" s="38" t="s">
        <v>134</v>
      </c>
      <c r="K340" s="38" t="s">
        <v>126</v>
      </c>
      <c r="L340" s="41">
        <v>46010.020833333336</v>
      </c>
      <c r="M340" s="38" t="s">
        <v>123</v>
      </c>
      <c r="N340" s="41">
        <v>46010.041666666664</v>
      </c>
      <c r="O340" s="38" t="s">
        <v>123</v>
      </c>
      <c r="P340" s="38">
        <v>1800.0</v>
      </c>
      <c r="Q340" s="39"/>
      <c r="R340" s="39"/>
      <c r="S340" s="39"/>
      <c r="T340" s="39"/>
      <c r="U340" s="39"/>
    </row>
    <row r="341">
      <c r="A341" s="40">
        <f t="shared" si="1"/>
        <v>46006</v>
      </c>
      <c r="B341" s="37" t="str">
        <f t="array" ref="B341">iferror(xlookup($I341, 'IMPORT VHC Report'!$E:$E, 'IMPORT VHC Report'!$A:$C), )</f>
        <v/>
      </c>
      <c r="C341" s="37"/>
      <c r="D341" s="37"/>
      <c r="E341" s="38" t="s">
        <v>546</v>
      </c>
      <c r="F341" s="38" t="s">
        <v>527</v>
      </c>
      <c r="G341" s="38">
        <v>3.61725113576E11</v>
      </c>
      <c r="H341" s="38" t="s">
        <v>528</v>
      </c>
      <c r="I341" s="38" t="s">
        <v>529</v>
      </c>
      <c r="J341" s="38" t="s">
        <v>132</v>
      </c>
      <c r="K341" s="38" t="s">
        <v>126</v>
      </c>
      <c r="L341" s="41">
        <v>46010.15625</v>
      </c>
      <c r="M341" s="38" t="s">
        <v>123</v>
      </c>
      <c r="N341" s="41">
        <v>46010.197916666664</v>
      </c>
      <c r="O341" s="38" t="s">
        <v>123</v>
      </c>
      <c r="P341" s="38">
        <v>3600.0</v>
      </c>
      <c r="Q341" s="39"/>
      <c r="R341" s="39"/>
      <c r="S341" s="39"/>
      <c r="T341" s="39"/>
      <c r="U341" s="39"/>
    </row>
    <row r="342">
      <c r="A342" s="40">
        <f t="shared" si="1"/>
        <v>46006</v>
      </c>
      <c r="B342" s="37" t="str">
        <f t="array" ref="B342">iferror(xlookup($I342, 'IMPORT VHC Report'!$E:$E, 'IMPORT VHC Report'!$A:$C), )</f>
        <v/>
      </c>
      <c r="C342" s="37"/>
      <c r="D342" s="37"/>
      <c r="E342" s="38" t="s">
        <v>547</v>
      </c>
      <c r="F342" s="38" t="s">
        <v>527</v>
      </c>
      <c r="G342" s="38">
        <v>3.61725113576E11</v>
      </c>
      <c r="H342" s="38" t="s">
        <v>528</v>
      </c>
      <c r="I342" s="38" t="s">
        <v>529</v>
      </c>
      <c r="J342" s="38" t="s">
        <v>62</v>
      </c>
      <c r="K342" s="38" t="s">
        <v>63</v>
      </c>
      <c r="L342" s="41">
        <v>46010.229166666664</v>
      </c>
      <c r="M342" s="38" t="s">
        <v>123</v>
      </c>
      <c r="N342" s="41">
        <v>46010.25</v>
      </c>
      <c r="O342" s="38" t="s">
        <v>123</v>
      </c>
      <c r="P342" s="38">
        <v>1800.0</v>
      </c>
      <c r="Q342" s="39"/>
      <c r="R342" s="39"/>
      <c r="S342" s="39"/>
      <c r="T342" s="39"/>
      <c r="U342" s="39"/>
    </row>
    <row r="343">
      <c r="A343" s="40">
        <f t="shared" si="1"/>
        <v>46006</v>
      </c>
      <c r="B343" s="37" t="str">
        <f t="array" ref="B343">iferror(xlookup($I343, 'IMPORT VHC Report'!$E:$E, 'IMPORT VHC Report'!$A:$C), )</f>
        <v/>
      </c>
      <c r="C343" s="37"/>
      <c r="D343" s="37"/>
      <c r="E343" s="38" t="s">
        <v>548</v>
      </c>
      <c r="F343" s="38" t="s">
        <v>527</v>
      </c>
      <c r="G343" s="38">
        <v>3.61725113576E11</v>
      </c>
      <c r="H343" s="38" t="s">
        <v>528</v>
      </c>
      <c r="I343" s="38" t="s">
        <v>529</v>
      </c>
      <c r="J343" s="38" t="s">
        <v>4</v>
      </c>
      <c r="K343" s="38" t="s">
        <v>126</v>
      </c>
      <c r="L343" s="41">
        <v>46010.875</v>
      </c>
      <c r="M343" s="38" t="s">
        <v>123</v>
      </c>
      <c r="N343" s="41">
        <v>46010.895833333336</v>
      </c>
      <c r="O343" s="38" t="s">
        <v>123</v>
      </c>
      <c r="P343" s="38">
        <v>1800.0</v>
      </c>
      <c r="Q343" s="39"/>
      <c r="R343" s="39"/>
      <c r="S343" s="39"/>
      <c r="T343" s="39"/>
      <c r="U343" s="39"/>
    </row>
    <row r="344">
      <c r="A344" s="40">
        <f t="shared" si="1"/>
        <v>46006</v>
      </c>
      <c r="B344" s="37" t="str">
        <f t="array" ref="B344">iferror(xlookup($I344, 'IMPORT VHC Report'!$E:$E, 'IMPORT VHC Report'!$A:$C), )</f>
        <v/>
      </c>
      <c r="C344" s="37"/>
      <c r="D344" s="37"/>
      <c r="E344" s="38" t="s">
        <v>549</v>
      </c>
      <c r="F344" s="38" t="s">
        <v>527</v>
      </c>
      <c r="G344" s="38">
        <v>3.61725113576E11</v>
      </c>
      <c r="H344" s="38" t="s">
        <v>528</v>
      </c>
      <c r="I344" s="38" t="s">
        <v>529</v>
      </c>
      <c r="J344" s="38" t="s">
        <v>178</v>
      </c>
      <c r="K344" s="38" t="s">
        <v>153</v>
      </c>
      <c r="L344" s="41">
        <v>46010.875</v>
      </c>
      <c r="M344" s="38" t="s">
        <v>123</v>
      </c>
      <c r="N344" s="41">
        <v>46011.25</v>
      </c>
      <c r="O344" s="38" t="s">
        <v>123</v>
      </c>
      <c r="P344" s="38">
        <v>32400.0</v>
      </c>
      <c r="Q344" s="38">
        <v>57600.0</v>
      </c>
      <c r="R344" s="38" t="s">
        <v>550</v>
      </c>
      <c r="S344" s="39"/>
      <c r="T344" s="39"/>
      <c r="U344" s="39"/>
    </row>
    <row r="345">
      <c r="A345" s="40">
        <f t="shared" si="1"/>
        <v>46006</v>
      </c>
      <c r="B345" s="37" t="str">
        <f t="array" ref="B345">iferror(xlookup($I345, 'IMPORT VHC Report'!$E:$E, 'IMPORT VHC Report'!$A:$C), )</f>
        <v/>
      </c>
      <c r="C345" s="37"/>
      <c r="D345" s="37"/>
      <c r="E345" s="38" t="s">
        <v>551</v>
      </c>
      <c r="F345" s="38" t="s">
        <v>527</v>
      </c>
      <c r="G345" s="38">
        <v>3.61725113576E11</v>
      </c>
      <c r="H345" s="38" t="s">
        <v>528</v>
      </c>
      <c r="I345" s="38" t="s">
        <v>529</v>
      </c>
      <c r="J345" s="38" t="s">
        <v>530</v>
      </c>
      <c r="K345" s="38" t="s">
        <v>63</v>
      </c>
      <c r="L345" s="41">
        <v>46010.875</v>
      </c>
      <c r="M345" s="38" t="s">
        <v>123</v>
      </c>
      <c r="N345" s="41">
        <v>46011.25</v>
      </c>
      <c r="O345" s="38" t="s">
        <v>123</v>
      </c>
      <c r="P345" s="38">
        <v>32400.0</v>
      </c>
      <c r="Q345" s="39"/>
      <c r="R345" s="39"/>
      <c r="S345" s="39"/>
      <c r="T345" s="39"/>
      <c r="U345" s="39"/>
    </row>
    <row r="346">
      <c r="A346" s="40">
        <f t="shared" si="1"/>
        <v>46006</v>
      </c>
      <c r="B346" s="37" t="str">
        <f t="array" ref="B346">iferror(xlookup($I346, 'IMPORT VHC Report'!$E:$E, 'IMPORT VHC Report'!$A:$C), )</f>
        <v/>
      </c>
      <c r="C346" s="37"/>
      <c r="D346" s="37"/>
      <c r="E346" s="38" t="s">
        <v>552</v>
      </c>
      <c r="F346" s="38" t="s">
        <v>527</v>
      </c>
      <c r="G346" s="38">
        <v>3.61725113576E11</v>
      </c>
      <c r="H346" s="38" t="s">
        <v>528</v>
      </c>
      <c r="I346" s="38" t="s">
        <v>529</v>
      </c>
      <c r="J346" s="38" t="s">
        <v>132</v>
      </c>
      <c r="K346" s="38" t="s">
        <v>126</v>
      </c>
      <c r="L346" s="41">
        <v>46011.0</v>
      </c>
      <c r="M346" s="38" t="s">
        <v>123</v>
      </c>
      <c r="N346" s="41">
        <v>46011.041666666664</v>
      </c>
      <c r="O346" s="38" t="s">
        <v>123</v>
      </c>
      <c r="P346" s="38">
        <v>3600.0</v>
      </c>
      <c r="Q346" s="39"/>
      <c r="R346" s="39"/>
      <c r="S346" s="39"/>
      <c r="T346" s="39"/>
      <c r="U346" s="39"/>
    </row>
    <row r="347">
      <c r="A347" s="40">
        <f t="shared" si="1"/>
        <v>46006</v>
      </c>
      <c r="B347" s="37" t="str">
        <f t="array" ref="B347">iferror(xlookup($I347, 'IMPORT VHC Report'!$E:$E, 'IMPORT VHC Report'!$A:$C), )</f>
        <v/>
      </c>
      <c r="C347" s="37"/>
      <c r="D347" s="37"/>
      <c r="E347" s="38" t="s">
        <v>553</v>
      </c>
      <c r="F347" s="38" t="s">
        <v>527</v>
      </c>
      <c r="G347" s="38">
        <v>3.61725113576E11</v>
      </c>
      <c r="H347" s="38" t="s">
        <v>528</v>
      </c>
      <c r="I347" s="38" t="s">
        <v>529</v>
      </c>
      <c r="J347" s="38" t="s">
        <v>134</v>
      </c>
      <c r="K347" s="38" t="s">
        <v>126</v>
      </c>
      <c r="L347" s="41">
        <v>46011.135416666664</v>
      </c>
      <c r="M347" s="38" t="s">
        <v>123</v>
      </c>
      <c r="N347" s="41">
        <v>46011.15625</v>
      </c>
      <c r="O347" s="38" t="s">
        <v>123</v>
      </c>
      <c r="P347" s="38">
        <v>1800.0</v>
      </c>
      <c r="Q347" s="39"/>
      <c r="R347" s="39"/>
      <c r="S347" s="39"/>
      <c r="T347" s="39"/>
      <c r="U347" s="39"/>
    </row>
    <row r="348">
      <c r="A348" s="40">
        <f t="shared" si="1"/>
        <v>46006</v>
      </c>
      <c r="B348" s="37" t="str">
        <f t="array" ref="B348">iferror(xlookup($I348, 'IMPORT VHC Report'!$E:$E, 'IMPORT VHC Report'!$A:$C), )</f>
        <v/>
      </c>
      <c r="C348" s="37"/>
      <c r="D348" s="37"/>
      <c r="E348" s="38" t="s">
        <v>554</v>
      </c>
      <c r="F348" s="38" t="s">
        <v>527</v>
      </c>
      <c r="G348" s="38">
        <v>3.61725113576E11</v>
      </c>
      <c r="H348" s="38" t="s">
        <v>528</v>
      </c>
      <c r="I348" s="38" t="s">
        <v>529</v>
      </c>
      <c r="J348" s="38" t="s">
        <v>4</v>
      </c>
      <c r="K348" s="38" t="s">
        <v>126</v>
      </c>
      <c r="L348" s="41">
        <v>46011.875</v>
      </c>
      <c r="M348" s="38" t="s">
        <v>123</v>
      </c>
      <c r="N348" s="41">
        <v>46011.895833333336</v>
      </c>
      <c r="O348" s="38" t="s">
        <v>123</v>
      </c>
      <c r="P348" s="38">
        <v>1800.0</v>
      </c>
      <c r="Q348" s="39"/>
      <c r="R348" s="39"/>
      <c r="S348" s="39"/>
      <c r="T348" s="39"/>
      <c r="U348" s="39"/>
    </row>
    <row r="349">
      <c r="A349" s="40">
        <f t="shared" si="1"/>
        <v>46006</v>
      </c>
      <c r="B349" s="37" t="str">
        <f t="array" ref="B349">iferror(xlookup($I349, 'IMPORT VHC Report'!$E:$E, 'IMPORT VHC Report'!$A:$C), )</f>
        <v/>
      </c>
      <c r="C349" s="37"/>
      <c r="D349" s="37"/>
      <c r="E349" s="38" t="s">
        <v>555</v>
      </c>
      <c r="F349" s="38" t="s">
        <v>527</v>
      </c>
      <c r="G349" s="38">
        <v>3.61725113576E11</v>
      </c>
      <c r="H349" s="38" t="s">
        <v>528</v>
      </c>
      <c r="I349" s="38" t="s">
        <v>529</v>
      </c>
      <c r="J349" s="38" t="s">
        <v>178</v>
      </c>
      <c r="K349" s="38" t="s">
        <v>153</v>
      </c>
      <c r="L349" s="41">
        <v>46011.875</v>
      </c>
      <c r="M349" s="38" t="s">
        <v>123</v>
      </c>
      <c r="N349" s="41">
        <v>46012.25</v>
      </c>
      <c r="O349" s="38" t="s">
        <v>123</v>
      </c>
      <c r="P349" s="38">
        <v>32400.0</v>
      </c>
      <c r="Q349" s="38">
        <v>32400.0</v>
      </c>
      <c r="R349" s="39"/>
      <c r="S349" s="39"/>
      <c r="T349" s="39"/>
      <c r="U349" s="39"/>
    </row>
    <row r="350">
      <c r="A350" s="40">
        <f t="shared" si="1"/>
        <v>46006</v>
      </c>
      <c r="B350" s="37" t="str">
        <f t="array" ref="B350">iferror(xlookup($I350, 'IMPORT VHC Report'!$E:$E, 'IMPORT VHC Report'!$A:$C), )</f>
        <v/>
      </c>
      <c r="C350" s="37"/>
      <c r="D350" s="37"/>
      <c r="E350" s="38" t="s">
        <v>556</v>
      </c>
      <c r="F350" s="38" t="s">
        <v>527</v>
      </c>
      <c r="G350" s="38">
        <v>3.61725113576E11</v>
      </c>
      <c r="H350" s="38" t="s">
        <v>528</v>
      </c>
      <c r="I350" s="38" t="s">
        <v>529</v>
      </c>
      <c r="J350" s="38" t="s">
        <v>530</v>
      </c>
      <c r="K350" s="38" t="s">
        <v>63</v>
      </c>
      <c r="L350" s="41">
        <v>46011.875</v>
      </c>
      <c r="M350" s="38" t="s">
        <v>123</v>
      </c>
      <c r="N350" s="41">
        <v>46012.25</v>
      </c>
      <c r="O350" s="38" t="s">
        <v>123</v>
      </c>
      <c r="P350" s="38">
        <v>32400.0</v>
      </c>
      <c r="Q350" s="39"/>
      <c r="R350" s="39"/>
      <c r="S350" s="39"/>
      <c r="T350" s="39"/>
      <c r="U350" s="39"/>
    </row>
    <row r="351">
      <c r="A351" s="40">
        <f t="shared" si="1"/>
        <v>46006</v>
      </c>
      <c r="B351" s="37" t="str">
        <f t="array" ref="B351">iferror(xlookup($I351, 'IMPORT VHC Report'!$E:$E, 'IMPORT VHC Report'!$A:$C), )</f>
        <v/>
      </c>
      <c r="C351" s="37"/>
      <c r="D351" s="37"/>
      <c r="E351" s="38" t="s">
        <v>557</v>
      </c>
      <c r="F351" s="38" t="s">
        <v>527</v>
      </c>
      <c r="G351" s="38">
        <v>3.61725113576E11</v>
      </c>
      <c r="H351" s="38" t="s">
        <v>528</v>
      </c>
      <c r="I351" s="38" t="s">
        <v>529</v>
      </c>
      <c r="J351" s="38" t="s">
        <v>134</v>
      </c>
      <c r="K351" s="38" t="s">
        <v>126</v>
      </c>
      <c r="L351" s="41">
        <v>46011.979166666664</v>
      </c>
      <c r="M351" s="38" t="s">
        <v>123</v>
      </c>
      <c r="N351" s="41">
        <v>46012.0</v>
      </c>
      <c r="O351" s="38" t="s">
        <v>123</v>
      </c>
      <c r="P351" s="38">
        <v>1800.0</v>
      </c>
      <c r="Q351" s="39"/>
      <c r="R351" s="39"/>
      <c r="S351" s="39"/>
      <c r="T351" s="39"/>
      <c r="U351" s="39"/>
    </row>
    <row r="352">
      <c r="A352" s="40">
        <f t="shared" si="1"/>
        <v>46006</v>
      </c>
      <c r="B352" s="37" t="str">
        <f t="array" ref="B352">iferror(xlookup($I352, 'IMPORT VHC Report'!$E:$E, 'IMPORT VHC Report'!$A:$C), )</f>
        <v/>
      </c>
      <c r="C352" s="37"/>
      <c r="D352" s="37"/>
      <c r="E352" s="38" t="s">
        <v>558</v>
      </c>
      <c r="F352" s="38" t="s">
        <v>527</v>
      </c>
      <c r="G352" s="38">
        <v>3.61725113576E11</v>
      </c>
      <c r="H352" s="38" t="s">
        <v>528</v>
      </c>
      <c r="I352" s="38" t="s">
        <v>529</v>
      </c>
      <c r="J352" s="38" t="s">
        <v>132</v>
      </c>
      <c r="K352" s="38" t="s">
        <v>126</v>
      </c>
      <c r="L352" s="41">
        <v>46012.114583333336</v>
      </c>
      <c r="M352" s="38" t="s">
        <v>123</v>
      </c>
      <c r="N352" s="41">
        <v>46012.15625</v>
      </c>
      <c r="O352" s="38" t="s">
        <v>123</v>
      </c>
      <c r="P352" s="38">
        <v>3600.0</v>
      </c>
      <c r="Q352" s="39"/>
      <c r="R352" s="39"/>
      <c r="S352" s="39"/>
      <c r="T352" s="39"/>
      <c r="U352" s="39"/>
    </row>
    <row r="353">
      <c r="A353" s="40">
        <f t="shared" si="1"/>
        <v>45999</v>
      </c>
      <c r="B353" s="37" t="str">
        <f t="array" ref="B353">iferror(xlookup($I353, 'IMPORT VHC Report'!$E:$E, 'IMPORT VHC Report'!$A:$C), )</f>
        <v/>
      </c>
      <c r="C353" s="37"/>
      <c r="D353" s="37"/>
      <c r="E353" s="38" t="s">
        <v>559</v>
      </c>
      <c r="F353" s="38" t="s">
        <v>560</v>
      </c>
      <c r="G353" s="38">
        <v>5.566810533775E12</v>
      </c>
      <c r="H353" s="38" t="s">
        <v>561</v>
      </c>
      <c r="I353" s="38" t="s">
        <v>562</v>
      </c>
      <c r="J353" s="38" t="s">
        <v>152</v>
      </c>
      <c r="K353" s="38" t="s">
        <v>153</v>
      </c>
      <c r="L353" s="41">
        <v>46005.875</v>
      </c>
      <c r="M353" s="38" t="s">
        <v>123</v>
      </c>
      <c r="N353" s="41">
        <v>46006.25</v>
      </c>
      <c r="O353" s="38" t="s">
        <v>123</v>
      </c>
      <c r="P353" s="38">
        <v>32400.0</v>
      </c>
      <c r="Q353" s="38">
        <v>28800.0</v>
      </c>
      <c r="R353" s="39"/>
      <c r="S353" s="39"/>
      <c r="T353" s="39"/>
      <c r="U353" s="39"/>
    </row>
    <row r="354">
      <c r="A354" s="40">
        <f t="shared" si="1"/>
        <v>45999</v>
      </c>
      <c r="B354" s="37" t="str">
        <f t="array" ref="B354">iferror(xlookup($I354, 'IMPORT VHC Report'!$E:$E, 'IMPORT VHC Report'!$A:$C), )</f>
        <v/>
      </c>
      <c r="C354" s="37"/>
      <c r="D354" s="37"/>
      <c r="E354" s="38" t="s">
        <v>563</v>
      </c>
      <c r="F354" s="38" t="s">
        <v>560</v>
      </c>
      <c r="G354" s="38">
        <v>5.566810533775E12</v>
      </c>
      <c r="H354" s="38" t="s">
        <v>561</v>
      </c>
      <c r="I354" s="38" t="s">
        <v>562</v>
      </c>
      <c r="J354" s="38" t="s">
        <v>332</v>
      </c>
      <c r="K354" s="38" t="s">
        <v>63</v>
      </c>
      <c r="L354" s="41">
        <v>46005.979166666664</v>
      </c>
      <c r="M354" s="38" t="s">
        <v>123</v>
      </c>
      <c r="N354" s="41">
        <v>46006.25</v>
      </c>
      <c r="O354" s="38" t="s">
        <v>123</v>
      </c>
      <c r="P354" s="38">
        <v>23400.0</v>
      </c>
      <c r="Q354" s="39"/>
      <c r="R354" s="39"/>
      <c r="S354" s="39"/>
      <c r="T354" s="39"/>
      <c r="U354" s="39"/>
    </row>
    <row r="355">
      <c r="A355" s="40">
        <f t="shared" si="1"/>
        <v>46006</v>
      </c>
      <c r="B355" s="37" t="str">
        <f t="array" ref="B355">iferror(xlookup($I355, 'IMPORT VHC Report'!$E:$E, 'IMPORT VHC Report'!$A:$C), )</f>
        <v/>
      </c>
      <c r="C355" s="37"/>
      <c r="D355" s="37"/>
      <c r="E355" s="38" t="s">
        <v>564</v>
      </c>
      <c r="F355" s="38" t="s">
        <v>560</v>
      </c>
      <c r="G355" s="38">
        <v>5.566810533775E12</v>
      </c>
      <c r="H355" s="38" t="s">
        <v>561</v>
      </c>
      <c r="I355" s="38" t="s">
        <v>562</v>
      </c>
      <c r="J355" s="38" t="s">
        <v>132</v>
      </c>
      <c r="K355" s="38" t="s">
        <v>126</v>
      </c>
      <c r="L355" s="41">
        <v>46006.145833333336</v>
      </c>
      <c r="M355" s="38" t="s">
        <v>123</v>
      </c>
      <c r="N355" s="41">
        <v>46006.1875</v>
      </c>
      <c r="O355" s="38" t="s">
        <v>123</v>
      </c>
      <c r="P355" s="38">
        <v>3600.0</v>
      </c>
      <c r="Q355" s="39"/>
      <c r="R355" s="39"/>
      <c r="S355" s="39"/>
      <c r="T355" s="39"/>
      <c r="U355" s="39"/>
    </row>
    <row r="356">
      <c r="A356" s="40">
        <f t="shared" si="1"/>
        <v>46006</v>
      </c>
      <c r="B356" s="37" t="str">
        <f t="array" ref="B356">iferror(xlookup($I356, 'IMPORT VHC Report'!$E:$E, 'IMPORT VHC Report'!$A:$C), )</f>
        <v/>
      </c>
      <c r="C356" s="37"/>
      <c r="D356" s="37"/>
      <c r="E356" s="38" t="s">
        <v>565</v>
      </c>
      <c r="F356" s="38" t="s">
        <v>560</v>
      </c>
      <c r="G356" s="38">
        <v>5.566810533775E12</v>
      </c>
      <c r="H356" s="38" t="s">
        <v>561</v>
      </c>
      <c r="I356" s="38" t="s">
        <v>562</v>
      </c>
      <c r="J356" s="38" t="s">
        <v>330</v>
      </c>
      <c r="K356" s="38" t="s">
        <v>126</v>
      </c>
      <c r="L356" s="41">
        <v>46006.875</v>
      </c>
      <c r="M356" s="38" t="s">
        <v>123</v>
      </c>
      <c r="N356" s="41">
        <v>46006.881944444445</v>
      </c>
      <c r="O356" s="38" t="s">
        <v>123</v>
      </c>
      <c r="P356" s="38">
        <v>600.0</v>
      </c>
      <c r="Q356" s="39"/>
      <c r="R356" s="39"/>
      <c r="S356" s="39"/>
      <c r="T356" s="39"/>
      <c r="U356" s="39"/>
    </row>
    <row r="357">
      <c r="A357" s="40">
        <f t="shared" si="1"/>
        <v>46006</v>
      </c>
      <c r="B357" s="37" t="str">
        <f t="array" ref="B357">iferror(xlookup($I357, 'IMPORT VHC Report'!$E:$E, 'IMPORT VHC Report'!$A:$C), )</f>
        <v/>
      </c>
      <c r="C357" s="37"/>
      <c r="D357" s="37"/>
      <c r="E357" s="38" t="s">
        <v>566</v>
      </c>
      <c r="F357" s="38" t="s">
        <v>560</v>
      </c>
      <c r="G357" s="38">
        <v>5.566810533775E12</v>
      </c>
      <c r="H357" s="38" t="s">
        <v>561</v>
      </c>
      <c r="I357" s="38" t="s">
        <v>562</v>
      </c>
      <c r="J357" s="38" t="s">
        <v>332</v>
      </c>
      <c r="K357" s="38" t="s">
        <v>63</v>
      </c>
      <c r="L357" s="41">
        <v>46006.875</v>
      </c>
      <c r="M357" s="38" t="s">
        <v>123</v>
      </c>
      <c r="N357" s="41">
        <v>46007.25</v>
      </c>
      <c r="O357" s="38" t="s">
        <v>123</v>
      </c>
      <c r="P357" s="38">
        <v>32400.0</v>
      </c>
      <c r="Q357" s="39"/>
      <c r="R357" s="39"/>
      <c r="S357" s="39"/>
      <c r="T357" s="39"/>
      <c r="U357" s="39"/>
    </row>
    <row r="358">
      <c r="A358" s="40">
        <f t="shared" si="1"/>
        <v>46006</v>
      </c>
      <c r="B358" s="37" t="str">
        <f t="array" ref="B358">iferror(xlookup($I358, 'IMPORT VHC Report'!$E:$E, 'IMPORT VHC Report'!$A:$C), )</f>
        <v/>
      </c>
      <c r="C358" s="37"/>
      <c r="D358" s="37"/>
      <c r="E358" s="38" t="s">
        <v>567</v>
      </c>
      <c r="F358" s="38" t="s">
        <v>560</v>
      </c>
      <c r="G358" s="38">
        <v>5.566810533775E12</v>
      </c>
      <c r="H358" s="38" t="s">
        <v>561</v>
      </c>
      <c r="I358" s="38" t="s">
        <v>562</v>
      </c>
      <c r="J358" s="38" t="s">
        <v>134</v>
      </c>
      <c r="K358" s="38" t="s">
        <v>126</v>
      </c>
      <c r="L358" s="41">
        <v>46006.989583333336</v>
      </c>
      <c r="M358" s="38" t="s">
        <v>123</v>
      </c>
      <c r="N358" s="41">
        <v>46007.010416666664</v>
      </c>
      <c r="O358" s="38" t="s">
        <v>123</v>
      </c>
      <c r="P358" s="38">
        <v>1800.0</v>
      </c>
      <c r="Q358" s="39"/>
      <c r="R358" s="39"/>
      <c r="S358" s="39"/>
      <c r="T358" s="39"/>
      <c r="U358" s="39"/>
    </row>
    <row r="359">
      <c r="A359" s="40">
        <f t="shared" si="1"/>
        <v>46006</v>
      </c>
      <c r="B359" s="37" t="str">
        <f t="array" ref="B359">iferror(xlookup($I359, 'IMPORT VHC Report'!$E:$E, 'IMPORT VHC Report'!$A:$C), )</f>
        <v/>
      </c>
      <c r="C359" s="37"/>
      <c r="D359" s="37"/>
      <c r="E359" s="38" t="s">
        <v>568</v>
      </c>
      <c r="F359" s="38" t="s">
        <v>560</v>
      </c>
      <c r="G359" s="38">
        <v>5.566810533775E12</v>
      </c>
      <c r="H359" s="38" t="s">
        <v>561</v>
      </c>
      <c r="I359" s="38" t="s">
        <v>562</v>
      </c>
      <c r="J359" s="38" t="s">
        <v>132</v>
      </c>
      <c r="K359" s="38" t="s">
        <v>126</v>
      </c>
      <c r="L359" s="41">
        <v>46007.104166666664</v>
      </c>
      <c r="M359" s="38" t="s">
        <v>123</v>
      </c>
      <c r="N359" s="41">
        <v>46007.145833333336</v>
      </c>
      <c r="O359" s="38" t="s">
        <v>123</v>
      </c>
      <c r="P359" s="38">
        <v>3600.0</v>
      </c>
      <c r="Q359" s="39"/>
      <c r="R359" s="39"/>
      <c r="S359" s="39"/>
      <c r="T359" s="39"/>
      <c r="U359" s="39"/>
    </row>
    <row r="360">
      <c r="A360" s="40">
        <f t="shared" si="1"/>
        <v>46006</v>
      </c>
      <c r="B360" s="37" t="str">
        <f t="array" ref="B360">iferror(xlookup($I360, 'IMPORT VHC Report'!$E:$E, 'IMPORT VHC Report'!$A:$C), )</f>
        <v/>
      </c>
      <c r="C360" s="37"/>
      <c r="D360" s="37"/>
      <c r="E360" s="38" t="s">
        <v>569</v>
      </c>
      <c r="F360" s="38" t="s">
        <v>560</v>
      </c>
      <c r="G360" s="38">
        <v>5.566810533775E12</v>
      </c>
      <c r="H360" s="38" t="s">
        <v>561</v>
      </c>
      <c r="I360" s="38" t="s">
        <v>562</v>
      </c>
      <c r="J360" s="38" t="s">
        <v>330</v>
      </c>
      <c r="K360" s="38" t="s">
        <v>126</v>
      </c>
      <c r="L360" s="41">
        <v>46007.875</v>
      </c>
      <c r="M360" s="38" t="s">
        <v>123</v>
      </c>
      <c r="N360" s="41">
        <v>46007.881944444445</v>
      </c>
      <c r="O360" s="38" t="s">
        <v>123</v>
      </c>
      <c r="P360" s="38">
        <v>600.0</v>
      </c>
      <c r="Q360" s="39"/>
      <c r="R360" s="39"/>
      <c r="S360" s="39"/>
      <c r="T360" s="39"/>
      <c r="U360" s="39"/>
    </row>
    <row r="361">
      <c r="A361" s="40">
        <f t="shared" si="1"/>
        <v>46006</v>
      </c>
      <c r="B361" s="37" t="str">
        <f t="array" ref="B361">iferror(xlookup($I361, 'IMPORT VHC Report'!$E:$E, 'IMPORT VHC Report'!$A:$C), )</f>
        <v/>
      </c>
      <c r="C361" s="37"/>
      <c r="D361" s="37"/>
      <c r="E361" s="38" t="s">
        <v>570</v>
      </c>
      <c r="F361" s="38" t="s">
        <v>560</v>
      </c>
      <c r="G361" s="38">
        <v>5.566810533775E12</v>
      </c>
      <c r="H361" s="38" t="s">
        <v>561</v>
      </c>
      <c r="I361" s="38" t="s">
        <v>562</v>
      </c>
      <c r="J361" s="38" t="s">
        <v>332</v>
      </c>
      <c r="K361" s="38" t="s">
        <v>63</v>
      </c>
      <c r="L361" s="41">
        <v>46007.875</v>
      </c>
      <c r="M361" s="38" t="s">
        <v>123</v>
      </c>
      <c r="N361" s="41">
        <v>46008.25</v>
      </c>
      <c r="O361" s="38" t="s">
        <v>123</v>
      </c>
      <c r="P361" s="38">
        <v>32400.0</v>
      </c>
      <c r="Q361" s="39"/>
      <c r="R361" s="39"/>
      <c r="S361" s="39"/>
      <c r="T361" s="39"/>
      <c r="U361" s="39"/>
    </row>
    <row r="362">
      <c r="A362" s="40">
        <f t="shared" si="1"/>
        <v>46006</v>
      </c>
      <c r="B362" s="37" t="str">
        <f t="array" ref="B362">iferror(xlookup($I362, 'IMPORT VHC Report'!$E:$E, 'IMPORT VHC Report'!$A:$C), )</f>
        <v/>
      </c>
      <c r="C362" s="37"/>
      <c r="D362" s="37"/>
      <c r="E362" s="38" t="s">
        <v>571</v>
      </c>
      <c r="F362" s="38" t="s">
        <v>560</v>
      </c>
      <c r="G362" s="38">
        <v>5.566810533775E12</v>
      </c>
      <c r="H362" s="38" t="s">
        <v>561</v>
      </c>
      <c r="I362" s="38" t="s">
        <v>562</v>
      </c>
      <c r="J362" s="38" t="s">
        <v>134</v>
      </c>
      <c r="K362" s="38" t="s">
        <v>126</v>
      </c>
      <c r="L362" s="41">
        <v>46008.0</v>
      </c>
      <c r="M362" s="38" t="s">
        <v>123</v>
      </c>
      <c r="N362" s="41">
        <v>46008.020833333336</v>
      </c>
      <c r="O362" s="38" t="s">
        <v>123</v>
      </c>
      <c r="P362" s="38">
        <v>1800.0</v>
      </c>
      <c r="Q362" s="39"/>
      <c r="R362" s="39"/>
      <c r="S362" s="39"/>
      <c r="T362" s="39"/>
      <c r="U362" s="39"/>
    </row>
    <row r="363">
      <c r="A363" s="40">
        <f t="shared" si="1"/>
        <v>46006</v>
      </c>
      <c r="B363" s="37" t="str">
        <f t="array" ref="B363">iferror(xlookup($I363, 'IMPORT VHC Report'!$E:$E, 'IMPORT VHC Report'!$A:$C), )</f>
        <v/>
      </c>
      <c r="C363" s="37"/>
      <c r="D363" s="37"/>
      <c r="E363" s="38" t="s">
        <v>572</v>
      </c>
      <c r="F363" s="38" t="s">
        <v>560</v>
      </c>
      <c r="G363" s="38">
        <v>5.566810533775E12</v>
      </c>
      <c r="H363" s="38" t="s">
        <v>561</v>
      </c>
      <c r="I363" s="38" t="s">
        <v>562</v>
      </c>
      <c r="J363" s="38" t="s">
        <v>4</v>
      </c>
      <c r="K363" s="38" t="s">
        <v>126</v>
      </c>
      <c r="L363" s="41">
        <v>46008.0625</v>
      </c>
      <c r="M363" s="38" t="s">
        <v>123</v>
      </c>
      <c r="N363" s="41">
        <v>46008.104166666664</v>
      </c>
      <c r="O363" s="38" t="s">
        <v>123</v>
      </c>
      <c r="P363" s="38">
        <v>3600.0</v>
      </c>
      <c r="Q363" s="39"/>
      <c r="R363" s="39"/>
      <c r="S363" s="38" t="s">
        <v>336</v>
      </c>
      <c r="T363" s="39"/>
      <c r="U363" s="39"/>
    </row>
    <row r="364">
      <c r="A364" s="40">
        <f t="shared" si="1"/>
        <v>46006</v>
      </c>
      <c r="B364" s="37" t="str">
        <f t="array" ref="B364">iferror(xlookup($I364, 'IMPORT VHC Report'!$E:$E, 'IMPORT VHC Report'!$A:$C), )</f>
        <v/>
      </c>
      <c r="C364" s="37"/>
      <c r="D364" s="37"/>
      <c r="E364" s="38" t="s">
        <v>573</v>
      </c>
      <c r="F364" s="38" t="s">
        <v>560</v>
      </c>
      <c r="G364" s="38">
        <v>5.566810533775E12</v>
      </c>
      <c r="H364" s="38" t="s">
        <v>561</v>
      </c>
      <c r="I364" s="38" t="s">
        <v>562</v>
      </c>
      <c r="J364" s="38" t="s">
        <v>132</v>
      </c>
      <c r="K364" s="38" t="s">
        <v>126</v>
      </c>
      <c r="L364" s="41">
        <v>46008.104166666664</v>
      </c>
      <c r="M364" s="38" t="s">
        <v>123</v>
      </c>
      <c r="N364" s="41">
        <v>46008.145833333336</v>
      </c>
      <c r="O364" s="38" t="s">
        <v>123</v>
      </c>
      <c r="P364" s="38">
        <v>3600.0</v>
      </c>
      <c r="Q364" s="39"/>
      <c r="R364" s="39"/>
      <c r="S364" s="39"/>
      <c r="T364" s="39"/>
      <c r="U364" s="39"/>
    </row>
    <row r="365">
      <c r="A365" s="40">
        <f t="shared" si="1"/>
        <v>46006</v>
      </c>
      <c r="B365" s="37" t="str">
        <f t="array" ref="B365">iferror(xlookup($I365, 'IMPORT VHC Report'!$E:$E, 'IMPORT VHC Report'!$A:$C), )</f>
        <v/>
      </c>
      <c r="C365" s="37"/>
      <c r="D365" s="37"/>
      <c r="E365" s="38" t="s">
        <v>574</v>
      </c>
      <c r="F365" s="38" t="s">
        <v>560</v>
      </c>
      <c r="G365" s="38">
        <v>5.566810533775E12</v>
      </c>
      <c r="H365" s="38" t="s">
        <v>561</v>
      </c>
      <c r="I365" s="38" t="s">
        <v>562</v>
      </c>
      <c r="J365" s="38" t="s">
        <v>330</v>
      </c>
      <c r="K365" s="38" t="s">
        <v>126</v>
      </c>
      <c r="L365" s="41">
        <v>46008.875</v>
      </c>
      <c r="M365" s="38" t="s">
        <v>123</v>
      </c>
      <c r="N365" s="41">
        <v>46008.881944444445</v>
      </c>
      <c r="O365" s="38" t="s">
        <v>123</v>
      </c>
      <c r="P365" s="38">
        <v>600.0</v>
      </c>
      <c r="Q365" s="39"/>
      <c r="R365" s="39"/>
      <c r="S365" s="39"/>
      <c r="T365" s="39"/>
      <c r="U365" s="39"/>
    </row>
    <row r="366">
      <c r="A366" s="40">
        <f t="shared" si="1"/>
        <v>46006</v>
      </c>
      <c r="B366" s="37" t="str">
        <f t="array" ref="B366">iferror(xlookup($I366, 'IMPORT VHC Report'!$E:$E, 'IMPORT VHC Report'!$A:$C), )</f>
        <v/>
      </c>
      <c r="C366" s="37"/>
      <c r="D366" s="37"/>
      <c r="E366" s="38" t="s">
        <v>575</v>
      </c>
      <c r="F366" s="38" t="s">
        <v>560</v>
      </c>
      <c r="G366" s="38">
        <v>5.566810533775E12</v>
      </c>
      <c r="H366" s="38" t="s">
        <v>561</v>
      </c>
      <c r="I366" s="38" t="s">
        <v>562</v>
      </c>
      <c r="J366" s="38" t="s">
        <v>332</v>
      </c>
      <c r="K366" s="38" t="s">
        <v>63</v>
      </c>
      <c r="L366" s="41">
        <v>46008.875</v>
      </c>
      <c r="M366" s="38" t="s">
        <v>123</v>
      </c>
      <c r="N366" s="41">
        <v>46009.25</v>
      </c>
      <c r="O366" s="38" t="s">
        <v>123</v>
      </c>
      <c r="P366" s="38">
        <v>32400.0</v>
      </c>
      <c r="Q366" s="39"/>
      <c r="R366" s="39"/>
      <c r="S366" s="39"/>
      <c r="T366" s="39"/>
      <c r="U366" s="39"/>
    </row>
    <row r="367">
      <c r="A367" s="40">
        <f t="shared" si="1"/>
        <v>46006</v>
      </c>
      <c r="B367" s="37" t="str">
        <f t="array" ref="B367">iferror(xlookup($I367, 'IMPORT VHC Report'!$E:$E, 'IMPORT VHC Report'!$A:$C), )</f>
        <v/>
      </c>
      <c r="C367" s="37"/>
      <c r="D367" s="37"/>
      <c r="E367" s="38" t="s">
        <v>576</v>
      </c>
      <c r="F367" s="38" t="s">
        <v>560</v>
      </c>
      <c r="G367" s="38">
        <v>5.566810533775E12</v>
      </c>
      <c r="H367" s="38" t="s">
        <v>561</v>
      </c>
      <c r="I367" s="38" t="s">
        <v>562</v>
      </c>
      <c r="J367" s="38" t="s">
        <v>136</v>
      </c>
      <c r="K367" s="38" t="s">
        <v>126</v>
      </c>
      <c r="L367" s="41">
        <v>46008.916666666664</v>
      </c>
      <c r="M367" s="38" t="s">
        <v>123</v>
      </c>
      <c r="N367" s="41">
        <v>46008.958333333336</v>
      </c>
      <c r="O367" s="38" t="s">
        <v>123</v>
      </c>
      <c r="P367" s="38">
        <v>3600.0</v>
      </c>
      <c r="Q367" s="39"/>
      <c r="R367" s="39"/>
      <c r="S367" s="38" t="s">
        <v>137</v>
      </c>
      <c r="T367" s="39"/>
      <c r="U367" s="39"/>
    </row>
    <row r="368">
      <c r="A368" s="40">
        <f t="shared" si="1"/>
        <v>46006</v>
      </c>
      <c r="B368" s="37" t="str">
        <f t="array" ref="B368">iferror(xlookup($I368, 'IMPORT VHC Report'!$E:$E, 'IMPORT VHC Report'!$A:$C), )</f>
        <v/>
      </c>
      <c r="C368" s="37"/>
      <c r="D368" s="37"/>
      <c r="E368" s="38" t="s">
        <v>577</v>
      </c>
      <c r="F368" s="38" t="s">
        <v>560</v>
      </c>
      <c r="G368" s="38">
        <v>5.566810533775E12</v>
      </c>
      <c r="H368" s="38" t="s">
        <v>561</v>
      </c>
      <c r="I368" s="38" t="s">
        <v>562</v>
      </c>
      <c r="J368" s="38" t="s">
        <v>132</v>
      </c>
      <c r="K368" s="38" t="s">
        <v>126</v>
      </c>
      <c r="L368" s="41">
        <v>46008.958333333336</v>
      </c>
      <c r="M368" s="38" t="s">
        <v>123</v>
      </c>
      <c r="N368" s="41">
        <v>46009.0</v>
      </c>
      <c r="O368" s="38" t="s">
        <v>123</v>
      </c>
      <c r="P368" s="38">
        <v>3600.0</v>
      </c>
      <c r="Q368" s="39"/>
      <c r="R368" s="39"/>
      <c r="S368" s="39"/>
      <c r="T368" s="39"/>
      <c r="U368" s="39"/>
    </row>
    <row r="369">
      <c r="A369" s="40">
        <f t="shared" si="1"/>
        <v>46006</v>
      </c>
      <c r="B369" s="37" t="str">
        <f t="array" ref="B369">iferror(xlookup($I369, 'IMPORT VHC Report'!$E:$E, 'IMPORT VHC Report'!$A:$C), )</f>
        <v/>
      </c>
      <c r="C369" s="37"/>
      <c r="D369" s="37"/>
      <c r="E369" s="38" t="s">
        <v>578</v>
      </c>
      <c r="F369" s="38" t="s">
        <v>560</v>
      </c>
      <c r="G369" s="38">
        <v>5.566810533775E12</v>
      </c>
      <c r="H369" s="38" t="s">
        <v>561</v>
      </c>
      <c r="I369" s="38" t="s">
        <v>562</v>
      </c>
      <c r="J369" s="38" t="s">
        <v>134</v>
      </c>
      <c r="K369" s="38" t="s">
        <v>126</v>
      </c>
      <c r="L369" s="41">
        <v>46009.145833333336</v>
      </c>
      <c r="M369" s="38" t="s">
        <v>123</v>
      </c>
      <c r="N369" s="41">
        <v>46009.166666666664</v>
      </c>
      <c r="O369" s="38" t="s">
        <v>123</v>
      </c>
      <c r="P369" s="38">
        <v>1800.0</v>
      </c>
      <c r="Q369" s="39"/>
      <c r="R369" s="39"/>
      <c r="S369" s="39"/>
      <c r="T369" s="39"/>
      <c r="U369" s="39"/>
    </row>
    <row r="370">
      <c r="A370" s="40">
        <f t="shared" si="1"/>
        <v>46006</v>
      </c>
      <c r="B370" s="37" t="str">
        <f t="array" ref="B370">iferror(xlookup($I370, 'IMPORT VHC Report'!$E:$E, 'IMPORT VHC Report'!$A:$C), )</f>
        <v/>
      </c>
      <c r="C370" s="37"/>
      <c r="D370" s="37"/>
      <c r="E370" s="38" t="s">
        <v>579</v>
      </c>
      <c r="F370" s="38" t="s">
        <v>560</v>
      </c>
      <c r="G370" s="38">
        <v>5.566810533775E12</v>
      </c>
      <c r="H370" s="38" t="s">
        <v>561</v>
      </c>
      <c r="I370" s="38" t="s">
        <v>562</v>
      </c>
      <c r="J370" s="38" t="s">
        <v>4</v>
      </c>
      <c r="K370" s="38" t="s">
        <v>126</v>
      </c>
      <c r="L370" s="41">
        <v>46009.166666666664</v>
      </c>
      <c r="M370" s="38" t="s">
        <v>123</v>
      </c>
      <c r="N370" s="41">
        <v>46009.208333333336</v>
      </c>
      <c r="O370" s="38" t="s">
        <v>123</v>
      </c>
      <c r="P370" s="38">
        <v>3600.0</v>
      </c>
      <c r="Q370" s="39"/>
      <c r="R370" s="39"/>
      <c r="S370" s="38" t="s">
        <v>130</v>
      </c>
      <c r="T370" s="39"/>
      <c r="U370" s="39"/>
    </row>
    <row r="371">
      <c r="A371" s="40">
        <f t="shared" si="1"/>
        <v>46006</v>
      </c>
      <c r="B371" s="37" t="str">
        <f t="array" ref="B371">iferror(xlookup($I371, 'IMPORT VHC Report'!$E:$E, 'IMPORT VHC Report'!$A:$C), )</f>
        <v/>
      </c>
      <c r="C371" s="37"/>
      <c r="D371" s="37"/>
      <c r="E371" s="38" t="s">
        <v>580</v>
      </c>
      <c r="F371" s="38" t="s">
        <v>560</v>
      </c>
      <c r="G371" s="38">
        <v>5.566810533775E12</v>
      </c>
      <c r="H371" s="38" t="s">
        <v>561</v>
      </c>
      <c r="I371" s="38" t="s">
        <v>562</v>
      </c>
      <c r="J371" s="38" t="s">
        <v>330</v>
      </c>
      <c r="K371" s="38" t="s">
        <v>126</v>
      </c>
      <c r="L371" s="41">
        <v>46011.875</v>
      </c>
      <c r="M371" s="38" t="s">
        <v>123</v>
      </c>
      <c r="N371" s="41">
        <v>46011.881944444445</v>
      </c>
      <c r="O371" s="38" t="s">
        <v>123</v>
      </c>
      <c r="P371" s="38">
        <v>600.0</v>
      </c>
      <c r="Q371" s="39"/>
      <c r="R371" s="39"/>
      <c r="S371" s="39"/>
      <c r="T371" s="39"/>
      <c r="U371" s="39"/>
    </row>
    <row r="372">
      <c r="A372" s="40">
        <f t="shared" si="1"/>
        <v>46006</v>
      </c>
      <c r="B372" s="37" t="str">
        <f t="array" ref="B372">iferror(xlookup($I372, 'IMPORT VHC Report'!$E:$E, 'IMPORT VHC Report'!$A:$C), )</f>
        <v/>
      </c>
      <c r="C372" s="37"/>
      <c r="D372" s="37"/>
      <c r="E372" s="38" t="s">
        <v>581</v>
      </c>
      <c r="F372" s="38" t="s">
        <v>560</v>
      </c>
      <c r="G372" s="38">
        <v>5.566810533775E12</v>
      </c>
      <c r="H372" s="38" t="s">
        <v>561</v>
      </c>
      <c r="I372" s="38" t="s">
        <v>562</v>
      </c>
      <c r="J372" s="38" t="s">
        <v>178</v>
      </c>
      <c r="K372" s="38" t="s">
        <v>153</v>
      </c>
      <c r="L372" s="41">
        <v>46011.875</v>
      </c>
      <c r="M372" s="38" t="s">
        <v>123</v>
      </c>
      <c r="N372" s="41">
        <v>46012.25</v>
      </c>
      <c r="O372" s="38" t="s">
        <v>123</v>
      </c>
      <c r="P372" s="38">
        <v>32400.0</v>
      </c>
      <c r="Q372" s="38">
        <v>28800.0</v>
      </c>
      <c r="R372" s="39"/>
      <c r="S372" s="39"/>
      <c r="T372" s="39"/>
      <c r="U372" s="39"/>
    </row>
    <row r="373">
      <c r="A373" s="40">
        <f t="shared" si="1"/>
        <v>46006</v>
      </c>
      <c r="B373" s="37" t="str">
        <f t="array" ref="B373">iferror(xlookup($I373, 'IMPORT VHC Report'!$E:$E, 'IMPORT VHC Report'!$A:$C), )</f>
        <v/>
      </c>
      <c r="C373" s="37"/>
      <c r="D373" s="37"/>
      <c r="E373" s="38" t="s">
        <v>582</v>
      </c>
      <c r="F373" s="38" t="s">
        <v>560</v>
      </c>
      <c r="G373" s="38">
        <v>5.566810533775E12</v>
      </c>
      <c r="H373" s="38" t="s">
        <v>561</v>
      </c>
      <c r="I373" s="38" t="s">
        <v>562</v>
      </c>
      <c r="J373" s="38" t="s">
        <v>332</v>
      </c>
      <c r="K373" s="38" t="s">
        <v>63</v>
      </c>
      <c r="L373" s="41">
        <v>46011.875</v>
      </c>
      <c r="M373" s="38" t="s">
        <v>123</v>
      </c>
      <c r="N373" s="41">
        <v>46012.25</v>
      </c>
      <c r="O373" s="38" t="s">
        <v>123</v>
      </c>
      <c r="P373" s="38">
        <v>32400.0</v>
      </c>
      <c r="Q373" s="39"/>
      <c r="R373" s="39"/>
      <c r="S373" s="39"/>
      <c r="T373" s="39"/>
      <c r="U373" s="39"/>
    </row>
    <row r="374">
      <c r="A374" s="40">
        <f t="shared" si="1"/>
        <v>46006</v>
      </c>
      <c r="B374" s="37" t="str">
        <f t="array" ref="B374">iferror(xlookup($I374, 'IMPORT VHC Report'!$E:$E, 'IMPORT VHC Report'!$A:$C), )</f>
        <v/>
      </c>
      <c r="C374" s="37"/>
      <c r="D374" s="37"/>
      <c r="E374" s="38" t="s">
        <v>583</v>
      </c>
      <c r="F374" s="38" t="s">
        <v>560</v>
      </c>
      <c r="G374" s="38">
        <v>5.566810533775E12</v>
      </c>
      <c r="H374" s="38" t="s">
        <v>561</v>
      </c>
      <c r="I374" s="38" t="s">
        <v>562</v>
      </c>
      <c r="J374" s="38" t="s">
        <v>134</v>
      </c>
      <c r="K374" s="38" t="s">
        <v>126</v>
      </c>
      <c r="L374" s="41">
        <v>46012.0</v>
      </c>
      <c r="M374" s="38" t="s">
        <v>123</v>
      </c>
      <c r="N374" s="41">
        <v>46012.020833333336</v>
      </c>
      <c r="O374" s="38" t="s">
        <v>123</v>
      </c>
      <c r="P374" s="38">
        <v>1800.0</v>
      </c>
      <c r="Q374" s="39"/>
      <c r="R374" s="39"/>
      <c r="S374" s="39"/>
      <c r="T374" s="39"/>
      <c r="U374" s="39"/>
    </row>
    <row r="375">
      <c r="A375" s="40">
        <f t="shared" si="1"/>
        <v>46006</v>
      </c>
      <c r="B375" s="37" t="str">
        <f t="array" ref="B375">iferror(xlookup($I375, 'IMPORT VHC Report'!$E:$E, 'IMPORT VHC Report'!$A:$C), )</f>
        <v/>
      </c>
      <c r="C375" s="37"/>
      <c r="D375" s="37"/>
      <c r="E375" s="38" t="s">
        <v>584</v>
      </c>
      <c r="F375" s="38" t="s">
        <v>560</v>
      </c>
      <c r="G375" s="38">
        <v>5.566810533775E12</v>
      </c>
      <c r="H375" s="38" t="s">
        <v>561</v>
      </c>
      <c r="I375" s="38" t="s">
        <v>562</v>
      </c>
      <c r="J375" s="38" t="s">
        <v>132</v>
      </c>
      <c r="K375" s="38" t="s">
        <v>126</v>
      </c>
      <c r="L375" s="41">
        <v>46012.104166666664</v>
      </c>
      <c r="M375" s="38" t="s">
        <v>123</v>
      </c>
      <c r="N375" s="41">
        <v>46012.145833333336</v>
      </c>
      <c r="O375" s="38" t="s">
        <v>123</v>
      </c>
      <c r="P375" s="38">
        <v>3600.0</v>
      </c>
      <c r="Q375" s="39"/>
      <c r="R375" s="39"/>
      <c r="S375" s="39"/>
      <c r="T375" s="39"/>
      <c r="U375" s="39"/>
    </row>
    <row r="376">
      <c r="A376" s="40">
        <f t="shared" si="1"/>
        <v>46006</v>
      </c>
      <c r="B376" s="37" t="str">
        <f t="array" ref="B376">iferror(xlookup($I376, 'IMPORT VHC Report'!$E:$E, 'IMPORT VHC Report'!$A:$C), )</f>
        <v/>
      </c>
      <c r="C376" s="37"/>
      <c r="D376" s="37"/>
      <c r="E376" s="38" t="s">
        <v>585</v>
      </c>
      <c r="F376" s="38" t="s">
        <v>560</v>
      </c>
      <c r="G376" s="38">
        <v>5.566810533775E12</v>
      </c>
      <c r="H376" s="38" t="s">
        <v>561</v>
      </c>
      <c r="I376" s="38" t="s">
        <v>562</v>
      </c>
      <c r="J376" s="38" t="s">
        <v>330</v>
      </c>
      <c r="K376" s="38" t="s">
        <v>126</v>
      </c>
      <c r="L376" s="41">
        <v>46012.875</v>
      </c>
      <c r="M376" s="38" t="s">
        <v>123</v>
      </c>
      <c r="N376" s="41">
        <v>46012.881944444445</v>
      </c>
      <c r="O376" s="38" t="s">
        <v>123</v>
      </c>
      <c r="P376" s="38">
        <v>600.0</v>
      </c>
      <c r="Q376" s="39"/>
      <c r="R376" s="39"/>
      <c r="S376" s="39"/>
      <c r="T376" s="39"/>
      <c r="U376" s="39"/>
    </row>
    <row r="377">
      <c r="A377" s="40">
        <f t="shared" si="1"/>
        <v>46006</v>
      </c>
      <c r="B377" s="37" t="str">
        <f t="array" ref="B377">iferror(xlookup($I377, 'IMPORT VHC Report'!$E:$E, 'IMPORT VHC Report'!$A:$C), )</f>
        <v/>
      </c>
      <c r="C377" s="37"/>
      <c r="D377" s="37"/>
      <c r="E377" s="38" t="s">
        <v>586</v>
      </c>
      <c r="F377" s="38" t="s">
        <v>560</v>
      </c>
      <c r="G377" s="38">
        <v>5.566810533775E12</v>
      </c>
      <c r="H377" s="38" t="s">
        <v>561</v>
      </c>
      <c r="I377" s="38" t="s">
        <v>562</v>
      </c>
      <c r="J377" s="38" t="s">
        <v>332</v>
      </c>
      <c r="K377" s="38" t="s">
        <v>63</v>
      </c>
      <c r="L377" s="41">
        <v>46012.875</v>
      </c>
      <c r="M377" s="38" t="s">
        <v>123</v>
      </c>
      <c r="N377" s="41">
        <v>46013.0</v>
      </c>
      <c r="O377" s="38" t="s">
        <v>123</v>
      </c>
      <c r="P377" s="38">
        <v>10800.0</v>
      </c>
      <c r="Q377" s="39"/>
      <c r="R377" s="39"/>
      <c r="S377" s="39"/>
      <c r="T377" s="39"/>
      <c r="U377" s="39"/>
    </row>
    <row r="378">
      <c r="A378" s="40">
        <f t="shared" si="1"/>
        <v>46006</v>
      </c>
      <c r="B378" s="37" t="str">
        <f t="array" ref="B378">iferror(xlookup($I378, 'IMPORT VHC Report'!$E:$E, 'IMPORT VHC Report'!$A:$C), )</f>
        <v/>
      </c>
      <c r="C378" s="37"/>
      <c r="D378" s="37"/>
      <c r="E378" s="38" t="s">
        <v>587</v>
      </c>
      <c r="F378" s="38" t="s">
        <v>560</v>
      </c>
      <c r="G378" s="38">
        <v>5.566810533775E12</v>
      </c>
      <c r="H378" s="38" t="s">
        <v>561</v>
      </c>
      <c r="I378" s="38" t="s">
        <v>562</v>
      </c>
      <c r="J378" s="38" t="s">
        <v>178</v>
      </c>
      <c r="K378" s="38" t="s">
        <v>153</v>
      </c>
      <c r="L378" s="41">
        <v>46012.875</v>
      </c>
      <c r="M378" s="38" t="s">
        <v>123</v>
      </c>
      <c r="N378" s="41">
        <v>46013.25</v>
      </c>
      <c r="O378" s="38" t="s">
        <v>123</v>
      </c>
      <c r="P378" s="38">
        <v>32400.0</v>
      </c>
      <c r="Q378" s="38">
        <v>32400.0</v>
      </c>
      <c r="R378" s="39"/>
      <c r="S378" s="39"/>
      <c r="T378" s="39"/>
      <c r="U378" s="39"/>
    </row>
    <row r="379">
      <c r="A379" s="40">
        <f t="shared" si="1"/>
        <v>46006</v>
      </c>
      <c r="B379" s="37" t="str">
        <f t="array" ref="B379">iferror(xlookup($I379, 'IMPORT VHC Report'!$E:$E, 'IMPORT VHC Report'!$A:$C), )</f>
        <v/>
      </c>
      <c r="C379" s="37"/>
      <c r="D379" s="37"/>
      <c r="E379" s="38" t="s">
        <v>588</v>
      </c>
      <c r="F379" s="38" t="s">
        <v>560</v>
      </c>
      <c r="G379" s="38">
        <v>5.566810533775E12</v>
      </c>
      <c r="H379" s="38" t="s">
        <v>561</v>
      </c>
      <c r="I379" s="38" t="s">
        <v>562</v>
      </c>
      <c r="J379" s="38" t="s">
        <v>134</v>
      </c>
      <c r="K379" s="38" t="s">
        <v>126</v>
      </c>
      <c r="L379" s="41">
        <v>46012.979166666664</v>
      </c>
      <c r="M379" s="38" t="s">
        <v>123</v>
      </c>
      <c r="N379" s="41">
        <v>46013.0</v>
      </c>
      <c r="O379" s="38" t="s">
        <v>123</v>
      </c>
      <c r="P379" s="38">
        <v>1800.0</v>
      </c>
      <c r="Q379" s="39"/>
      <c r="R379" s="39"/>
      <c r="S379" s="39"/>
      <c r="T379" s="39"/>
      <c r="U379" s="39"/>
    </row>
    <row r="380">
      <c r="A380" s="40">
        <f t="shared" si="1"/>
        <v>46006</v>
      </c>
      <c r="B380" s="37" t="str">
        <f t="array" ref="B380">iferror(xlookup($I380, 'IMPORT VHC Report'!$E:$E, 'IMPORT VHC Report'!$A:$C), )</f>
        <v/>
      </c>
      <c r="C380" s="37"/>
      <c r="D380" s="37"/>
      <c r="E380" s="38" t="s">
        <v>589</v>
      </c>
      <c r="F380" s="38" t="s">
        <v>560</v>
      </c>
      <c r="G380" s="38">
        <v>5.566810533775E12</v>
      </c>
      <c r="H380" s="38" t="s">
        <v>561</v>
      </c>
      <c r="I380" s="38" t="s">
        <v>562</v>
      </c>
      <c r="J380" s="38" t="s">
        <v>332</v>
      </c>
      <c r="K380" s="38" t="s">
        <v>63</v>
      </c>
      <c r="L380" s="41">
        <v>46012.979166666664</v>
      </c>
      <c r="M380" s="38" t="s">
        <v>123</v>
      </c>
      <c r="N380" s="41">
        <v>46013.25</v>
      </c>
      <c r="O380" s="38" t="s">
        <v>123</v>
      </c>
      <c r="P380" s="38">
        <v>23400.0</v>
      </c>
      <c r="Q380" s="39"/>
      <c r="R380" s="39"/>
      <c r="S380" s="39"/>
      <c r="T380" s="39"/>
      <c r="U380" s="39"/>
    </row>
    <row r="381">
      <c r="A381" s="40">
        <f t="shared" si="1"/>
        <v>45999</v>
      </c>
      <c r="B381" s="37" t="str">
        <f t="array" ref="B381">iferror(xlookup($I381, 'IMPORT VHC Report'!$E:$E, 'IMPORT VHC Report'!$A:$C), )</f>
        <v/>
      </c>
      <c r="C381" s="37"/>
      <c r="D381" s="37"/>
      <c r="E381" s="38" t="s">
        <v>590</v>
      </c>
      <c r="F381" s="38" t="s">
        <v>591</v>
      </c>
      <c r="G381" s="38">
        <v>8.303581036047E12</v>
      </c>
      <c r="H381" s="38" t="s">
        <v>592</v>
      </c>
      <c r="I381" s="38" t="s">
        <v>593</v>
      </c>
      <c r="J381" s="38" t="s">
        <v>152</v>
      </c>
      <c r="K381" s="38" t="s">
        <v>153</v>
      </c>
      <c r="L381" s="41">
        <v>46005.875</v>
      </c>
      <c r="M381" s="38" t="s">
        <v>123</v>
      </c>
      <c r="N381" s="41">
        <v>46006.25</v>
      </c>
      <c r="O381" s="38" t="s">
        <v>123</v>
      </c>
      <c r="P381" s="38">
        <v>32400.0</v>
      </c>
      <c r="Q381" s="38">
        <v>28800.0</v>
      </c>
      <c r="R381" s="39"/>
      <c r="S381" s="38" t="s">
        <v>594</v>
      </c>
      <c r="T381" s="39"/>
      <c r="U381" s="39"/>
    </row>
    <row r="382">
      <c r="A382" s="40">
        <f t="shared" si="1"/>
        <v>46006</v>
      </c>
      <c r="B382" s="37" t="str">
        <f t="array" ref="B382">iferror(xlookup($I382, 'IMPORT VHC Report'!$E:$E, 'IMPORT VHC Report'!$A:$C), )</f>
        <v/>
      </c>
      <c r="C382" s="37"/>
      <c r="D382" s="37"/>
      <c r="E382" s="38" t="s">
        <v>595</v>
      </c>
      <c r="F382" s="38" t="s">
        <v>591</v>
      </c>
      <c r="G382" s="38">
        <v>8.303581036047E12</v>
      </c>
      <c r="H382" s="38" t="s">
        <v>592</v>
      </c>
      <c r="I382" s="38" t="s">
        <v>593</v>
      </c>
      <c r="J382" s="38" t="s">
        <v>134</v>
      </c>
      <c r="K382" s="38" t="s">
        <v>126</v>
      </c>
      <c r="L382" s="41">
        <v>46006.0</v>
      </c>
      <c r="M382" s="38" t="s">
        <v>123</v>
      </c>
      <c r="N382" s="41">
        <v>46006.020833333336</v>
      </c>
      <c r="O382" s="38" t="s">
        <v>123</v>
      </c>
      <c r="P382" s="38">
        <v>1800.0</v>
      </c>
      <c r="Q382" s="39"/>
      <c r="R382" s="39"/>
      <c r="S382" s="39"/>
      <c r="T382" s="39"/>
      <c r="U382" s="39"/>
    </row>
    <row r="383">
      <c r="A383" s="40">
        <f t="shared" si="1"/>
        <v>46006</v>
      </c>
      <c r="B383" s="37" t="str">
        <f t="array" ref="B383">iferror(xlookup($I383, 'IMPORT VHC Report'!$E:$E, 'IMPORT VHC Report'!$A:$C), )</f>
        <v/>
      </c>
      <c r="C383" s="37"/>
      <c r="D383" s="37"/>
      <c r="E383" s="38" t="s">
        <v>596</v>
      </c>
      <c r="F383" s="38" t="s">
        <v>591</v>
      </c>
      <c r="G383" s="38">
        <v>8.303581036047E12</v>
      </c>
      <c r="H383" s="38" t="s">
        <v>592</v>
      </c>
      <c r="I383" s="38" t="s">
        <v>593</v>
      </c>
      <c r="J383" s="38" t="s">
        <v>196</v>
      </c>
      <c r="K383" s="38" t="s">
        <v>63</v>
      </c>
      <c r="L383" s="41">
        <v>46006.0</v>
      </c>
      <c r="M383" s="38" t="s">
        <v>123</v>
      </c>
      <c r="N383" s="41">
        <v>46006.25</v>
      </c>
      <c r="O383" s="38" t="s">
        <v>123</v>
      </c>
      <c r="P383" s="38">
        <v>21600.0</v>
      </c>
      <c r="Q383" s="39"/>
      <c r="R383" s="39"/>
      <c r="S383" s="39"/>
      <c r="T383" s="39"/>
      <c r="U383" s="39"/>
    </row>
    <row r="384">
      <c r="A384" s="40">
        <f t="shared" si="1"/>
        <v>46006</v>
      </c>
      <c r="B384" s="37" t="str">
        <f t="array" ref="B384">iferror(xlookup($I384, 'IMPORT VHC Report'!$E:$E, 'IMPORT VHC Report'!$A:$C), )</f>
        <v/>
      </c>
      <c r="C384" s="37"/>
      <c r="D384" s="37"/>
      <c r="E384" s="38" t="s">
        <v>597</v>
      </c>
      <c r="F384" s="38" t="s">
        <v>591</v>
      </c>
      <c r="G384" s="38">
        <v>8.303581036047E12</v>
      </c>
      <c r="H384" s="38" t="s">
        <v>592</v>
      </c>
      <c r="I384" s="38" t="s">
        <v>593</v>
      </c>
      <c r="J384" s="38" t="s">
        <v>132</v>
      </c>
      <c r="K384" s="38" t="s">
        <v>126</v>
      </c>
      <c r="L384" s="41">
        <v>46006.135416666664</v>
      </c>
      <c r="M384" s="38" t="s">
        <v>123</v>
      </c>
      <c r="N384" s="41">
        <v>46006.177083333336</v>
      </c>
      <c r="O384" s="38" t="s">
        <v>123</v>
      </c>
      <c r="P384" s="38">
        <v>3600.0</v>
      </c>
      <c r="Q384" s="39"/>
      <c r="R384" s="39"/>
      <c r="S384" s="39"/>
      <c r="T384" s="39"/>
      <c r="U384" s="39"/>
    </row>
    <row r="385">
      <c r="A385" s="40">
        <f t="shared" si="1"/>
        <v>46006</v>
      </c>
      <c r="B385" s="37" t="str">
        <f t="array" ref="B385">iferror(xlookup($I385, 'IMPORT VHC Report'!$E:$E, 'IMPORT VHC Report'!$A:$C), )</f>
        <v/>
      </c>
      <c r="C385" s="37"/>
      <c r="D385" s="37"/>
      <c r="E385" s="38" t="s">
        <v>598</v>
      </c>
      <c r="F385" s="38" t="s">
        <v>591</v>
      </c>
      <c r="G385" s="38">
        <v>8.303581036047E12</v>
      </c>
      <c r="H385" s="38" t="s">
        <v>592</v>
      </c>
      <c r="I385" s="38" t="s">
        <v>593</v>
      </c>
      <c r="J385" s="38" t="s">
        <v>125</v>
      </c>
      <c r="K385" s="38" t="s">
        <v>126</v>
      </c>
      <c r="L385" s="41">
        <v>46006.875</v>
      </c>
      <c r="M385" s="38" t="s">
        <v>123</v>
      </c>
      <c r="N385" s="41">
        <v>46006.885416666664</v>
      </c>
      <c r="O385" s="38" t="s">
        <v>123</v>
      </c>
      <c r="P385" s="38">
        <v>900.0</v>
      </c>
      <c r="Q385" s="39"/>
      <c r="R385" s="39"/>
      <c r="S385" s="38" t="s">
        <v>199</v>
      </c>
      <c r="T385" s="39"/>
      <c r="U385" s="39"/>
    </row>
    <row r="386">
      <c r="A386" s="40">
        <f t="shared" si="1"/>
        <v>46006</v>
      </c>
      <c r="B386" s="37" t="str">
        <f t="array" ref="B386">iferror(xlookup($I386, 'IMPORT VHC Report'!$E:$E, 'IMPORT VHC Report'!$A:$C), )</f>
        <v/>
      </c>
      <c r="C386" s="37"/>
      <c r="D386" s="37"/>
      <c r="E386" s="38" t="s">
        <v>599</v>
      </c>
      <c r="F386" s="38" t="s">
        <v>591</v>
      </c>
      <c r="G386" s="38">
        <v>8.303581036047E12</v>
      </c>
      <c r="H386" s="38" t="s">
        <v>592</v>
      </c>
      <c r="I386" s="38" t="s">
        <v>593</v>
      </c>
      <c r="J386" s="38" t="s">
        <v>178</v>
      </c>
      <c r="K386" s="38" t="s">
        <v>153</v>
      </c>
      <c r="L386" s="41">
        <v>46006.875</v>
      </c>
      <c r="M386" s="38" t="s">
        <v>123</v>
      </c>
      <c r="N386" s="41">
        <v>46007.25</v>
      </c>
      <c r="O386" s="38" t="s">
        <v>123</v>
      </c>
      <c r="P386" s="38">
        <v>32400.0</v>
      </c>
      <c r="Q386" s="38">
        <v>57600.0</v>
      </c>
      <c r="R386" s="39"/>
      <c r="S386" s="39"/>
      <c r="T386" s="39"/>
      <c r="U386" s="39"/>
    </row>
    <row r="387">
      <c r="A387" s="40">
        <f t="shared" si="1"/>
        <v>46006</v>
      </c>
      <c r="B387" s="37" t="str">
        <f t="array" ref="B387">iferror(xlookup($I387, 'IMPORT VHC Report'!$E:$E, 'IMPORT VHC Report'!$A:$C), )</f>
        <v/>
      </c>
      <c r="C387" s="37"/>
      <c r="D387" s="37"/>
      <c r="E387" s="38" t="s">
        <v>600</v>
      </c>
      <c r="F387" s="38" t="s">
        <v>591</v>
      </c>
      <c r="G387" s="38">
        <v>8.303581036047E12</v>
      </c>
      <c r="H387" s="38" t="s">
        <v>592</v>
      </c>
      <c r="I387" s="38" t="s">
        <v>593</v>
      </c>
      <c r="J387" s="38" t="s">
        <v>196</v>
      </c>
      <c r="K387" s="38" t="s">
        <v>63</v>
      </c>
      <c r="L387" s="41">
        <v>46006.875</v>
      </c>
      <c r="M387" s="38" t="s">
        <v>123</v>
      </c>
      <c r="N387" s="41">
        <v>46007.25</v>
      </c>
      <c r="O387" s="38" t="s">
        <v>123</v>
      </c>
      <c r="P387" s="38">
        <v>32400.0</v>
      </c>
      <c r="Q387" s="39"/>
      <c r="R387" s="39"/>
      <c r="S387" s="39"/>
      <c r="T387" s="39"/>
      <c r="U387" s="39"/>
    </row>
    <row r="388">
      <c r="A388" s="40">
        <f t="shared" si="1"/>
        <v>46006</v>
      </c>
      <c r="B388" s="37" t="str">
        <f t="array" ref="B388">iferror(xlookup($I388, 'IMPORT VHC Report'!$E:$E, 'IMPORT VHC Report'!$A:$C), )</f>
        <v/>
      </c>
      <c r="C388" s="37"/>
      <c r="D388" s="37"/>
      <c r="E388" s="38" t="s">
        <v>601</v>
      </c>
      <c r="F388" s="38" t="s">
        <v>591</v>
      </c>
      <c r="G388" s="38">
        <v>8.303581036047E12</v>
      </c>
      <c r="H388" s="38" t="s">
        <v>592</v>
      </c>
      <c r="I388" s="38" t="s">
        <v>593</v>
      </c>
      <c r="J388" s="38" t="s">
        <v>134</v>
      </c>
      <c r="K388" s="38" t="s">
        <v>126</v>
      </c>
      <c r="L388" s="41">
        <v>46006.989583333336</v>
      </c>
      <c r="M388" s="38" t="s">
        <v>123</v>
      </c>
      <c r="N388" s="41">
        <v>46007.010416666664</v>
      </c>
      <c r="O388" s="38" t="s">
        <v>123</v>
      </c>
      <c r="P388" s="38">
        <v>1800.0</v>
      </c>
      <c r="Q388" s="39"/>
      <c r="R388" s="39"/>
      <c r="S388" s="39"/>
      <c r="T388" s="39"/>
      <c r="U388" s="39"/>
    </row>
    <row r="389">
      <c r="A389" s="40">
        <f t="shared" si="1"/>
        <v>46006</v>
      </c>
      <c r="B389" s="37" t="str">
        <f t="array" ref="B389">iferror(xlookup($I389, 'IMPORT VHC Report'!$E:$E, 'IMPORT VHC Report'!$A:$C), )</f>
        <v/>
      </c>
      <c r="C389" s="37"/>
      <c r="D389" s="37"/>
      <c r="E389" s="38" t="s">
        <v>602</v>
      </c>
      <c r="F389" s="38" t="s">
        <v>591</v>
      </c>
      <c r="G389" s="38">
        <v>8.303581036047E12</v>
      </c>
      <c r="H389" s="38" t="s">
        <v>592</v>
      </c>
      <c r="I389" s="38" t="s">
        <v>593</v>
      </c>
      <c r="J389" s="38" t="s">
        <v>132</v>
      </c>
      <c r="K389" s="38" t="s">
        <v>126</v>
      </c>
      <c r="L389" s="41">
        <v>46007.125</v>
      </c>
      <c r="M389" s="38" t="s">
        <v>123</v>
      </c>
      <c r="N389" s="41">
        <v>46007.166666666664</v>
      </c>
      <c r="O389" s="38" t="s">
        <v>123</v>
      </c>
      <c r="P389" s="38">
        <v>3600.0</v>
      </c>
      <c r="Q389" s="39"/>
      <c r="R389" s="39"/>
      <c r="S389" s="39"/>
      <c r="T389" s="39"/>
      <c r="U389" s="39"/>
    </row>
    <row r="390">
      <c r="A390" s="40">
        <f t="shared" si="1"/>
        <v>46006</v>
      </c>
      <c r="B390" s="37" t="str">
        <f t="array" ref="B390">iferror(xlookup($I390, 'IMPORT VHC Report'!$E:$E, 'IMPORT VHC Report'!$A:$C), )</f>
        <v/>
      </c>
      <c r="C390" s="37"/>
      <c r="D390" s="37"/>
      <c r="E390" s="38" t="s">
        <v>603</v>
      </c>
      <c r="F390" s="38" t="s">
        <v>591</v>
      </c>
      <c r="G390" s="38">
        <v>8.303581036047E12</v>
      </c>
      <c r="H390" s="38" t="s">
        <v>592</v>
      </c>
      <c r="I390" s="38" t="s">
        <v>593</v>
      </c>
      <c r="J390" s="38" t="s">
        <v>125</v>
      </c>
      <c r="K390" s="38" t="s">
        <v>126</v>
      </c>
      <c r="L390" s="41">
        <v>46007.875</v>
      </c>
      <c r="M390" s="38" t="s">
        <v>123</v>
      </c>
      <c r="N390" s="41">
        <v>46007.885416666664</v>
      </c>
      <c r="O390" s="38" t="s">
        <v>123</v>
      </c>
      <c r="P390" s="38">
        <v>900.0</v>
      </c>
      <c r="Q390" s="39"/>
      <c r="R390" s="39"/>
      <c r="S390" s="38" t="s">
        <v>199</v>
      </c>
      <c r="T390" s="39"/>
      <c r="U390" s="39"/>
    </row>
    <row r="391">
      <c r="A391" s="40">
        <f t="shared" si="1"/>
        <v>46006</v>
      </c>
      <c r="B391" s="37" t="str">
        <f t="array" ref="B391">iferror(xlookup($I391, 'IMPORT VHC Report'!$E:$E, 'IMPORT VHC Report'!$A:$C), )</f>
        <v/>
      </c>
      <c r="C391" s="37"/>
      <c r="D391" s="37"/>
      <c r="E391" s="38" t="s">
        <v>604</v>
      </c>
      <c r="F391" s="38" t="s">
        <v>591</v>
      </c>
      <c r="G391" s="38">
        <v>8.303581036047E12</v>
      </c>
      <c r="H391" s="38" t="s">
        <v>592</v>
      </c>
      <c r="I391" s="38" t="s">
        <v>593</v>
      </c>
      <c r="J391" s="38" t="s">
        <v>196</v>
      </c>
      <c r="K391" s="38" t="s">
        <v>63</v>
      </c>
      <c r="L391" s="41">
        <v>46007.875</v>
      </c>
      <c r="M391" s="38" t="s">
        <v>123</v>
      </c>
      <c r="N391" s="41">
        <v>46007.9375</v>
      </c>
      <c r="O391" s="38" t="s">
        <v>123</v>
      </c>
      <c r="P391" s="38">
        <v>5400.0</v>
      </c>
      <c r="Q391" s="39"/>
      <c r="R391" s="39"/>
      <c r="S391" s="39"/>
      <c r="T391" s="39"/>
      <c r="U391" s="39"/>
    </row>
    <row r="392">
      <c r="A392" s="40">
        <f t="shared" si="1"/>
        <v>46006</v>
      </c>
      <c r="B392" s="37" t="str">
        <f t="array" ref="B392">iferror(xlookup($I392, 'IMPORT VHC Report'!$E:$E, 'IMPORT VHC Report'!$A:$C), )</f>
        <v/>
      </c>
      <c r="C392" s="37"/>
      <c r="D392" s="37"/>
      <c r="E392" s="38" t="s">
        <v>605</v>
      </c>
      <c r="F392" s="38" t="s">
        <v>591</v>
      </c>
      <c r="G392" s="38">
        <v>8.303581036047E12</v>
      </c>
      <c r="H392" s="38" t="s">
        <v>592</v>
      </c>
      <c r="I392" s="38" t="s">
        <v>593</v>
      </c>
      <c r="J392" s="38" t="s">
        <v>178</v>
      </c>
      <c r="K392" s="38" t="s">
        <v>153</v>
      </c>
      <c r="L392" s="41">
        <v>46007.875</v>
      </c>
      <c r="M392" s="38" t="s">
        <v>123</v>
      </c>
      <c r="N392" s="41">
        <v>46008.25</v>
      </c>
      <c r="O392" s="38" t="s">
        <v>123</v>
      </c>
      <c r="P392" s="38">
        <v>32400.0</v>
      </c>
      <c r="Q392" s="38">
        <v>32400.0</v>
      </c>
      <c r="R392" s="39"/>
      <c r="S392" s="39"/>
      <c r="T392" s="39"/>
      <c r="U392" s="39"/>
    </row>
    <row r="393">
      <c r="A393" s="40">
        <f t="shared" si="1"/>
        <v>46006</v>
      </c>
      <c r="B393" s="37" t="str">
        <f t="array" ref="B393">iferror(xlookup($I393, 'IMPORT VHC Report'!$E:$E, 'IMPORT VHC Report'!$A:$C), )</f>
        <v/>
      </c>
      <c r="C393" s="37"/>
      <c r="D393" s="37"/>
      <c r="E393" s="38" t="s">
        <v>606</v>
      </c>
      <c r="F393" s="38" t="s">
        <v>591</v>
      </c>
      <c r="G393" s="38">
        <v>8.303581036047E12</v>
      </c>
      <c r="H393" s="38" t="s">
        <v>592</v>
      </c>
      <c r="I393" s="38" t="s">
        <v>593</v>
      </c>
      <c r="J393" s="38" t="s">
        <v>62</v>
      </c>
      <c r="K393" s="38" t="s">
        <v>63</v>
      </c>
      <c r="L393" s="41">
        <v>46007.9375</v>
      </c>
      <c r="M393" s="38" t="s">
        <v>123</v>
      </c>
      <c r="N393" s="41">
        <v>46007.958333333336</v>
      </c>
      <c r="O393" s="38" t="s">
        <v>123</v>
      </c>
      <c r="P393" s="38">
        <v>1800.0</v>
      </c>
      <c r="Q393" s="39"/>
      <c r="R393" s="39"/>
      <c r="S393" s="39"/>
      <c r="T393" s="39"/>
      <c r="U393" s="39"/>
    </row>
    <row r="394">
      <c r="A394" s="40">
        <f t="shared" si="1"/>
        <v>46006</v>
      </c>
      <c r="B394" s="37" t="str">
        <f t="array" ref="B394">iferror(xlookup($I394, 'IMPORT VHC Report'!$E:$E, 'IMPORT VHC Report'!$A:$C), )</f>
        <v/>
      </c>
      <c r="C394" s="37"/>
      <c r="D394" s="37"/>
      <c r="E394" s="38" t="s">
        <v>607</v>
      </c>
      <c r="F394" s="38" t="s">
        <v>591</v>
      </c>
      <c r="G394" s="38">
        <v>8.303581036047E12</v>
      </c>
      <c r="H394" s="38" t="s">
        <v>592</v>
      </c>
      <c r="I394" s="38" t="s">
        <v>593</v>
      </c>
      <c r="J394" s="38" t="s">
        <v>196</v>
      </c>
      <c r="K394" s="38" t="s">
        <v>63</v>
      </c>
      <c r="L394" s="41">
        <v>46007.958333333336</v>
      </c>
      <c r="M394" s="38" t="s">
        <v>123</v>
      </c>
      <c r="N394" s="41">
        <v>46008.25</v>
      </c>
      <c r="O394" s="38" t="s">
        <v>123</v>
      </c>
      <c r="P394" s="38">
        <v>25200.0</v>
      </c>
      <c r="Q394" s="39"/>
      <c r="R394" s="39"/>
      <c r="S394" s="39"/>
      <c r="T394" s="39"/>
      <c r="U394" s="39"/>
    </row>
    <row r="395">
      <c r="A395" s="40">
        <f t="shared" si="1"/>
        <v>46006</v>
      </c>
      <c r="B395" s="37" t="str">
        <f t="array" ref="B395">iferror(xlookup($I395, 'IMPORT VHC Report'!$E:$E, 'IMPORT VHC Report'!$A:$C), )</f>
        <v/>
      </c>
      <c r="C395" s="37"/>
      <c r="D395" s="37"/>
      <c r="E395" s="38" t="s">
        <v>608</v>
      </c>
      <c r="F395" s="38" t="s">
        <v>591</v>
      </c>
      <c r="G395" s="38">
        <v>8.303581036047E12</v>
      </c>
      <c r="H395" s="38" t="s">
        <v>592</v>
      </c>
      <c r="I395" s="38" t="s">
        <v>593</v>
      </c>
      <c r="J395" s="38" t="s">
        <v>132</v>
      </c>
      <c r="K395" s="38" t="s">
        <v>126</v>
      </c>
      <c r="L395" s="41">
        <v>46008.010416666664</v>
      </c>
      <c r="M395" s="38" t="s">
        <v>123</v>
      </c>
      <c r="N395" s="41">
        <v>46008.052083333336</v>
      </c>
      <c r="O395" s="38" t="s">
        <v>123</v>
      </c>
      <c r="P395" s="38">
        <v>3600.0</v>
      </c>
      <c r="Q395" s="39"/>
      <c r="R395" s="39"/>
      <c r="S395" s="39"/>
      <c r="T395" s="39"/>
      <c r="U395" s="39"/>
    </row>
    <row r="396">
      <c r="A396" s="40">
        <f t="shared" si="1"/>
        <v>46006</v>
      </c>
      <c r="B396" s="37" t="str">
        <f t="array" ref="B396">iferror(xlookup($I396, 'IMPORT VHC Report'!$E:$E, 'IMPORT VHC Report'!$A:$C), )</f>
        <v/>
      </c>
      <c r="C396" s="37"/>
      <c r="D396" s="37"/>
      <c r="E396" s="38" t="s">
        <v>609</v>
      </c>
      <c r="F396" s="38" t="s">
        <v>591</v>
      </c>
      <c r="G396" s="38">
        <v>8.303581036047E12</v>
      </c>
      <c r="H396" s="38" t="s">
        <v>592</v>
      </c>
      <c r="I396" s="38" t="s">
        <v>593</v>
      </c>
      <c r="J396" s="38" t="s">
        <v>134</v>
      </c>
      <c r="K396" s="38" t="s">
        <v>126</v>
      </c>
      <c r="L396" s="41">
        <v>46008.15625</v>
      </c>
      <c r="M396" s="38" t="s">
        <v>123</v>
      </c>
      <c r="N396" s="41">
        <v>46008.177083333336</v>
      </c>
      <c r="O396" s="38" t="s">
        <v>123</v>
      </c>
      <c r="P396" s="38">
        <v>1800.0</v>
      </c>
      <c r="Q396" s="39"/>
      <c r="R396" s="39"/>
      <c r="S396" s="39"/>
      <c r="T396" s="39"/>
      <c r="U396" s="39"/>
    </row>
    <row r="397">
      <c r="A397" s="40">
        <f t="shared" si="1"/>
        <v>46006</v>
      </c>
      <c r="B397" s="37" t="str">
        <f t="array" ref="B397">iferror(xlookup($I397, 'IMPORT VHC Report'!$E:$E, 'IMPORT VHC Report'!$A:$C), )</f>
        <v/>
      </c>
      <c r="C397" s="37"/>
      <c r="D397" s="37"/>
      <c r="E397" s="38" t="s">
        <v>610</v>
      </c>
      <c r="F397" s="38" t="s">
        <v>591</v>
      </c>
      <c r="G397" s="38">
        <v>8.303581036047E12</v>
      </c>
      <c r="H397" s="38" t="s">
        <v>592</v>
      </c>
      <c r="I397" s="38" t="s">
        <v>593</v>
      </c>
      <c r="J397" s="38" t="s">
        <v>125</v>
      </c>
      <c r="K397" s="38" t="s">
        <v>126</v>
      </c>
      <c r="L397" s="41">
        <v>46010.875</v>
      </c>
      <c r="M397" s="38" t="s">
        <v>123</v>
      </c>
      <c r="N397" s="41">
        <v>46010.885416666664</v>
      </c>
      <c r="O397" s="38" t="s">
        <v>123</v>
      </c>
      <c r="P397" s="38">
        <v>900.0</v>
      </c>
      <c r="Q397" s="39"/>
      <c r="R397" s="39"/>
      <c r="S397" s="38" t="s">
        <v>199</v>
      </c>
      <c r="T397" s="39"/>
      <c r="U397" s="39"/>
    </row>
    <row r="398">
      <c r="A398" s="40">
        <f t="shared" si="1"/>
        <v>46006</v>
      </c>
      <c r="B398" s="37" t="str">
        <f t="array" ref="B398">iferror(xlookup($I398, 'IMPORT VHC Report'!$E:$E, 'IMPORT VHC Report'!$A:$C), )</f>
        <v/>
      </c>
      <c r="C398" s="37"/>
      <c r="D398" s="37"/>
      <c r="E398" s="38" t="s">
        <v>611</v>
      </c>
      <c r="F398" s="38" t="s">
        <v>591</v>
      </c>
      <c r="G398" s="38">
        <v>8.303581036047E12</v>
      </c>
      <c r="H398" s="38" t="s">
        <v>592</v>
      </c>
      <c r="I398" s="38" t="s">
        <v>593</v>
      </c>
      <c r="J398" s="38" t="s">
        <v>178</v>
      </c>
      <c r="K398" s="38" t="s">
        <v>153</v>
      </c>
      <c r="L398" s="41">
        <v>46010.875</v>
      </c>
      <c r="M398" s="38" t="s">
        <v>123</v>
      </c>
      <c r="N398" s="41">
        <v>46011.25</v>
      </c>
      <c r="O398" s="38" t="s">
        <v>123</v>
      </c>
      <c r="P398" s="38">
        <v>32400.0</v>
      </c>
      <c r="Q398" s="38">
        <v>57600.0</v>
      </c>
      <c r="R398" s="39"/>
      <c r="S398" s="39"/>
      <c r="T398" s="39"/>
      <c r="U398" s="39"/>
    </row>
    <row r="399">
      <c r="A399" s="40">
        <f t="shared" si="1"/>
        <v>46006</v>
      </c>
      <c r="B399" s="37" t="str">
        <f t="array" ref="B399">iferror(xlookup($I399, 'IMPORT VHC Report'!$E:$E, 'IMPORT VHC Report'!$A:$C), )</f>
        <v/>
      </c>
      <c r="C399" s="37"/>
      <c r="D399" s="37"/>
      <c r="E399" s="38" t="s">
        <v>612</v>
      </c>
      <c r="F399" s="38" t="s">
        <v>591</v>
      </c>
      <c r="G399" s="38">
        <v>8.303581036047E12</v>
      </c>
      <c r="H399" s="38" t="s">
        <v>592</v>
      </c>
      <c r="I399" s="38" t="s">
        <v>593</v>
      </c>
      <c r="J399" s="38" t="s">
        <v>196</v>
      </c>
      <c r="K399" s="38" t="s">
        <v>63</v>
      </c>
      <c r="L399" s="41">
        <v>46010.875</v>
      </c>
      <c r="M399" s="38" t="s">
        <v>123</v>
      </c>
      <c r="N399" s="41">
        <v>46011.25</v>
      </c>
      <c r="O399" s="38" t="s">
        <v>123</v>
      </c>
      <c r="P399" s="38">
        <v>32400.0</v>
      </c>
      <c r="Q399" s="39"/>
      <c r="R399" s="39"/>
      <c r="S399" s="39"/>
      <c r="T399" s="39"/>
      <c r="U399" s="39"/>
    </row>
    <row r="400">
      <c r="A400" s="40">
        <f t="shared" si="1"/>
        <v>46006</v>
      </c>
      <c r="B400" s="37" t="str">
        <f t="array" ref="B400">iferror(xlookup($I400, 'IMPORT VHC Report'!$E:$E, 'IMPORT VHC Report'!$A:$C), )</f>
        <v/>
      </c>
      <c r="C400" s="37"/>
      <c r="D400" s="37"/>
      <c r="E400" s="38" t="s">
        <v>613</v>
      </c>
      <c r="F400" s="38" t="s">
        <v>591</v>
      </c>
      <c r="G400" s="38">
        <v>8.303581036047E12</v>
      </c>
      <c r="H400" s="38" t="s">
        <v>592</v>
      </c>
      <c r="I400" s="38" t="s">
        <v>593</v>
      </c>
      <c r="J400" s="38" t="s">
        <v>134</v>
      </c>
      <c r="K400" s="38" t="s">
        <v>126</v>
      </c>
      <c r="L400" s="41">
        <v>46010.979166666664</v>
      </c>
      <c r="M400" s="38" t="s">
        <v>123</v>
      </c>
      <c r="N400" s="41">
        <v>46011.0</v>
      </c>
      <c r="O400" s="38" t="s">
        <v>123</v>
      </c>
      <c r="P400" s="38">
        <v>1800.0</v>
      </c>
      <c r="Q400" s="39"/>
      <c r="R400" s="39"/>
      <c r="S400" s="39"/>
      <c r="T400" s="39"/>
      <c r="U400" s="39"/>
    </row>
    <row r="401">
      <c r="A401" s="40">
        <f t="shared" si="1"/>
        <v>46006</v>
      </c>
      <c r="B401" s="37" t="str">
        <f t="array" ref="B401">iferror(xlookup($I401, 'IMPORT VHC Report'!$E:$E, 'IMPORT VHC Report'!$A:$C), )</f>
        <v/>
      </c>
      <c r="C401" s="37"/>
      <c r="D401" s="37"/>
      <c r="E401" s="38" t="s">
        <v>614</v>
      </c>
      <c r="F401" s="38" t="s">
        <v>591</v>
      </c>
      <c r="G401" s="38">
        <v>8.303581036047E12</v>
      </c>
      <c r="H401" s="38" t="s">
        <v>592</v>
      </c>
      <c r="I401" s="38" t="s">
        <v>593</v>
      </c>
      <c r="J401" s="38" t="s">
        <v>132</v>
      </c>
      <c r="K401" s="38" t="s">
        <v>126</v>
      </c>
      <c r="L401" s="41">
        <v>46011.125</v>
      </c>
      <c r="M401" s="38" t="s">
        <v>123</v>
      </c>
      <c r="N401" s="41">
        <v>46011.166666666664</v>
      </c>
      <c r="O401" s="38" t="s">
        <v>123</v>
      </c>
      <c r="P401" s="38">
        <v>3600.0</v>
      </c>
      <c r="Q401" s="39"/>
      <c r="R401" s="39"/>
      <c r="S401" s="39"/>
      <c r="T401" s="39"/>
      <c r="U401" s="39"/>
    </row>
    <row r="402">
      <c r="A402" s="40">
        <f t="shared" si="1"/>
        <v>46006</v>
      </c>
      <c r="B402" s="37" t="str">
        <f t="array" ref="B402">iferror(xlookup($I402, 'IMPORT VHC Report'!$E:$E, 'IMPORT VHC Report'!$A:$C), )</f>
        <v/>
      </c>
      <c r="C402" s="37"/>
      <c r="D402" s="37"/>
      <c r="E402" s="38" t="s">
        <v>615</v>
      </c>
      <c r="F402" s="38" t="s">
        <v>591</v>
      </c>
      <c r="G402" s="38">
        <v>8.303581036047E12</v>
      </c>
      <c r="H402" s="38" t="s">
        <v>592</v>
      </c>
      <c r="I402" s="38" t="s">
        <v>593</v>
      </c>
      <c r="J402" s="38" t="s">
        <v>125</v>
      </c>
      <c r="K402" s="38" t="s">
        <v>126</v>
      </c>
      <c r="L402" s="41">
        <v>46011.875</v>
      </c>
      <c r="M402" s="38" t="s">
        <v>123</v>
      </c>
      <c r="N402" s="41">
        <v>46011.885416666664</v>
      </c>
      <c r="O402" s="38" t="s">
        <v>123</v>
      </c>
      <c r="P402" s="38">
        <v>900.0</v>
      </c>
      <c r="Q402" s="39"/>
      <c r="R402" s="39"/>
      <c r="S402" s="38" t="s">
        <v>199</v>
      </c>
      <c r="T402" s="39"/>
      <c r="U402" s="39"/>
    </row>
    <row r="403">
      <c r="A403" s="40">
        <f t="shared" si="1"/>
        <v>46006</v>
      </c>
      <c r="B403" s="37" t="str">
        <f t="array" ref="B403">iferror(xlookup($I403, 'IMPORT VHC Report'!$E:$E, 'IMPORT VHC Report'!$A:$C), )</f>
        <v/>
      </c>
      <c r="C403" s="37"/>
      <c r="D403" s="37"/>
      <c r="E403" s="38" t="s">
        <v>616</v>
      </c>
      <c r="F403" s="38" t="s">
        <v>591</v>
      </c>
      <c r="G403" s="38">
        <v>8.303581036047E12</v>
      </c>
      <c r="H403" s="38" t="s">
        <v>592</v>
      </c>
      <c r="I403" s="38" t="s">
        <v>593</v>
      </c>
      <c r="J403" s="38" t="s">
        <v>196</v>
      </c>
      <c r="K403" s="38" t="s">
        <v>63</v>
      </c>
      <c r="L403" s="41">
        <v>46011.875</v>
      </c>
      <c r="M403" s="38" t="s">
        <v>123</v>
      </c>
      <c r="N403" s="41">
        <v>46011.90625</v>
      </c>
      <c r="O403" s="38" t="s">
        <v>123</v>
      </c>
      <c r="P403" s="38">
        <v>2700.0</v>
      </c>
      <c r="Q403" s="39"/>
      <c r="R403" s="39"/>
      <c r="S403" s="39"/>
      <c r="T403" s="39"/>
      <c r="U403" s="39"/>
    </row>
    <row r="404">
      <c r="A404" s="40">
        <f t="shared" si="1"/>
        <v>46006</v>
      </c>
      <c r="B404" s="37" t="str">
        <f t="array" ref="B404">iferror(xlookup($I404, 'IMPORT VHC Report'!$E:$E, 'IMPORT VHC Report'!$A:$C), )</f>
        <v/>
      </c>
      <c r="C404" s="37"/>
      <c r="D404" s="37"/>
      <c r="E404" s="38" t="s">
        <v>617</v>
      </c>
      <c r="F404" s="38" t="s">
        <v>591</v>
      </c>
      <c r="G404" s="38">
        <v>8.303581036047E12</v>
      </c>
      <c r="H404" s="38" t="s">
        <v>592</v>
      </c>
      <c r="I404" s="38" t="s">
        <v>593</v>
      </c>
      <c r="J404" s="38" t="s">
        <v>178</v>
      </c>
      <c r="K404" s="38" t="s">
        <v>153</v>
      </c>
      <c r="L404" s="41">
        <v>46011.875</v>
      </c>
      <c r="M404" s="38" t="s">
        <v>123</v>
      </c>
      <c r="N404" s="41">
        <v>46012.25</v>
      </c>
      <c r="O404" s="38" t="s">
        <v>123</v>
      </c>
      <c r="P404" s="38">
        <v>32400.0</v>
      </c>
      <c r="Q404" s="38">
        <v>32400.0</v>
      </c>
      <c r="R404" s="39"/>
      <c r="S404" s="39"/>
      <c r="T404" s="39"/>
      <c r="U404" s="39"/>
    </row>
    <row r="405">
      <c r="A405" s="40">
        <f t="shared" si="1"/>
        <v>46006</v>
      </c>
      <c r="B405" s="37" t="str">
        <f t="array" ref="B405">iferror(xlookup($I405, 'IMPORT VHC Report'!$E:$E, 'IMPORT VHC Report'!$A:$C), )</f>
        <v/>
      </c>
      <c r="C405" s="37"/>
      <c r="D405" s="37"/>
      <c r="E405" s="38" t="s">
        <v>618</v>
      </c>
      <c r="F405" s="38" t="s">
        <v>591</v>
      </c>
      <c r="G405" s="38">
        <v>8.303581036047E12</v>
      </c>
      <c r="H405" s="38" t="s">
        <v>592</v>
      </c>
      <c r="I405" s="38" t="s">
        <v>593</v>
      </c>
      <c r="J405" s="38" t="s">
        <v>62</v>
      </c>
      <c r="K405" s="38" t="s">
        <v>63</v>
      </c>
      <c r="L405" s="41">
        <v>46011.90625</v>
      </c>
      <c r="M405" s="38" t="s">
        <v>123</v>
      </c>
      <c r="N405" s="41">
        <v>46011.927083333336</v>
      </c>
      <c r="O405" s="38" t="s">
        <v>123</v>
      </c>
      <c r="P405" s="38">
        <v>1800.0</v>
      </c>
      <c r="Q405" s="39"/>
      <c r="R405" s="39"/>
      <c r="S405" s="39"/>
      <c r="T405" s="39"/>
      <c r="U405" s="39"/>
    </row>
    <row r="406">
      <c r="A406" s="40">
        <f t="shared" si="1"/>
        <v>46006</v>
      </c>
      <c r="B406" s="37" t="str">
        <f t="array" ref="B406">iferror(xlookup($I406, 'IMPORT VHC Report'!$E:$E, 'IMPORT VHC Report'!$A:$C), )</f>
        <v/>
      </c>
      <c r="C406" s="37"/>
      <c r="D406" s="37"/>
      <c r="E406" s="38" t="s">
        <v>619</v>
      </c>
      <c r="F406" s="38" t="s">
        <v>591</v>
      </c>
      <c r="G406" s="38">
        <v>8.303581036047E12</v>
      </c>
      <c r="H406" s="38" t="s">
        <v>592</v>
      </c>
      <c r="I406" s="38" t="s">
        <v>593</v>
      </c>
      <c r="J406" s="38" t="s">
        <v>196</v>
      </c>
      <c r="K406" s="38" t="s">
        <v>63</v>
      </c>
      <c r="L406" s="41">
        <v>46011.927083333336</v>
      </c>
      <c r="M406" s="38" t="s">
        <v>123</v>
      </c>
      <c r="N406" s="41">
        <v>46012.25</v>
      </c>
      <c r="O406" s="38" t="s">
        <v>123</v>
      </c>
      <c r="P406" s="38">
        <v>27900.0</v>
      </c>
      <c r="Q406" s="39"/>
      <c r="R406" s="39"/>
      <c r="S406" s="39"/>
      <c r="T406" s="39"/>
      <c r="U406" s="39"/>
    </row>
    <row r="407">
      <c r="A407" s="40">
        <f t="shared" si="1"/>
        <v>46006</v>
      </c>
      <c r="B407" s="37" t="str">
        <f t="array" ref="B407">iferror(xlookup($I407, 'IMPORT VHC Report'!$E:$E, 'IMPORT VHC Report'!$A:$C), )</f>
        <v/>
      </c>
      <c r="C407" s="37"/>
      <c r="D407" s="37"/>
      <c r="E407" s="38" t="s">
        <v>620</v>
      </c>
      <c r="F407" s="38" t="s">
        <v>591</v>
      </c>
      <c r="G407" s="38">
        <v>8.303581036047E12</v>
      </c>
      <c r="H407" s="38" t="s">
        <v>592</v>
      </c>
      <c r="I407" s="38" t="s">
        <v>593</v>
      </c>
      <c r="J407" s="38" t="s">
        <v>134</v>
      </c>
      <c r="K407" s="38" t="s">
        <v>126</v>
      </c>
      <c r="L407" s="41">
        <v>46011.989583333336</v>
      </c>
      <c r="M407" s="38" t="s">
        <v>123</v>
      </c>
      <c r="N407" s="41">
        <v>46012.010416666664</v>
      </c>
      <c r="O407" s="38" t="s">
        <v>123</v>
      </c>
      <c r="P407" s="38">
        <v>1800.0</v>
      </c>
      <c r="Q407" s="39"/>
      <c r="R407" s="39"/>
      <c r="S407" s="39"/>
      <c r="T407" s="39"/>
      <c r="U407" s="39"/>
    </row>
    <row r="408">
      <c r="A408" s="40">
        <f t="shared" si="1"/>
        <v>46006</v>
      </c>
      <c r="B408" s="37" t="str">
        <f t="array" ref="B408">iferror(xlookup($I408, 'IMPORT VHC Report'!$E:$E, 'IMPORT VHC Report'!$A:$C), )</f>
        <v/>
      </c>
      <c r="C408" s="37"/>
      <c r="D408" s="37"/>
      <c r="E408" s="38" t="s">
        <v>621</v>
      </c>
      <c r="F408" s="38" t="s">
        <v>591</v>
      </c>
      <c r="G408" s="38">
        <v>8.303581036047E12</v>
      </c>
      <c r="H408" s="38" t="s">
        <v>592</v>
      </c>
      <c r="I408" s="38" t="s">
        <v>593</v>
      </c>
      <c r="J408" s="38" t="s">
        <v>132</v>
      </c>
      <c r="K408" s="38" t="s">
        <v>126</v>
      </c>
      <c r="L408" s="41">
        <v>46012.135416666664</v>
      </c>
      <c r="M408" s="38" t="s">
        <v>123</v>
      </c>
      <c r="N408" s="41">
        <v>46012.177083333336</v>
      </c>
      <c r="O408" s="38" t="s">
        <v>123</v>
      </c>
      <c r="P408" s="38">
        <v>3600.0</v>
      </c>
      <c r="Q408" s="39"/>
      <c r="R408" s="39"/>
      <c r="S408" s="39"/>
      <c r="T408" s="39"/>
      <c r="U408" s="39"/>
    </row>
    <row r="409">
      <c r="A409" s="40">
        <f t="shared" si="1"/>
        <v>46006</v>
      </c>
      <c r="B409" s="37" t="str">
        <f t="array" ref="B409">iferror(xlookup($I409, 'IMPORT VHC Report'!$E:$E, 'IMPORT VHC Report'!$A:$C), )</f>
        <v/>
      </c>
      <c r="C409" s="37"/>
      <c r="D409" s="37"/>
      <c r="E409" s="38" t="s">
        <v>622</v>
      </c>
      <c r="F409" s="38" t="s">
        <v>591</v>
      </c>
      <c r="G409" s="38">
        <v>8.303581036047E12</v>
      </c>
      <c r="H409" s="38" t="s">
        <v>592</v>
      </c>
      <c r="I409" s="38" t="s">
        <v>593</v>
      </c>
      <c r="J409" s="38" t="s">
        <v>125</v>
      </c>
      <c r="K409" s="38" t="s">
        <v>126</v>
      </c>
      <c r="L409" s="41">
        <v>46012.875</v>
      </c>
      <c r="M409" s="38" t="s">
        <v>123</v>
      </c>
      <c r="N409" s="41">
        <v>46012.885416666664</v>
      </c>
      <c r="O409" s="38" t="s">
        <v>123</v>
      </c>
      <c r="P409" s="38">
        <v>900.0</v>
      </c>
      <c r="Q409" s="39"/>
      <c r="R409" s="39"/>
      <c r="S409" s="38" t="s">
        <v>199</v>
      </c>
      <c r="T409" s="39"/>
      <c r="U409" s="39"/>
    </row>
    <row r="410">
      <c r="A410" s="40">
        <f t="shared" si="1"/>
        <v>46006</v>
      </c>
      <c r="B410" s="37" t="str">
        <f t="array" ref="B410">iferror(xlookup($I410, 'IMPORT VHC Report'!$E:$E, 'IMPORT VHC Report'!$A:$C), )</f>
        <v/>
      </c>
      <c r="C410" s="37"/>
      <c r="D410" s="37"/>
      <c r="E410" s="38" t="s">
        <v>623</v>
      </c>
      <c r="F410" s="38" t="s">
        <v>591</v>
      </c>
      <c r="G410" s="38">
        <v>8.303581036047E12</v>
      </c>
      <c r="H410" s="38" t="s">
        <v>592</v>
      </c>
      <c r="I410" s="38" t="s">
        <v>593</v>
      </c>
      <c r="J410" s="38" t="s">
        <v>196</v>
      </c>
      <c r="K410" s="38" t="s">
        <v>63</v>
      </c>
      <c r="L410" s="41">
        <v>46012.875</v>
      </c>
      <c r="M410" s="38" t="s">
        <v>123</v>
      </c>
      <c r="N410" s="41">
        <v>46013.0</v>
      </c>
      <c r="O410" s="38" t="s">
        <v>123</v>
      </c>
      <c r="P410" s="38">
        <v>10800.0</v>
      </c>
      <c r="Q410" s="39"/>
      <c r="R410" s="39"/>
      <c r="S410" s="39"/>
      <c r="T410" s="39"/>
      <c r="U410" s="39"/>
    </row>
    <row r="411">
      <c r="A411" s="40">
        <f t="shared" si="1"/>
        <v>46006</v>
      </c>
      <c r="B411" s="37" t="str">
        <f t="array" ref="B411">iferror(xlookup($I411, 'IMPORT VHC Report'!$E:$E, 'IMPORT VHC Report'!$A:$C), )</f>
        <v/>
      </c>
      <c r="C411" s="37"/>
      <c r="D411" s="37"/>
      <c r="E411" s="38" t="s">
        <v>624</v>
      </c>
      <c r="F411" s="38" t="s">
        <v>591</v>
      </c>
      <c r="G411" s="38">
        <v>8.303581036047E12</v>
      </c>
      <c r="H411" s="38" t="s">
        <v>592</v>
      </c>
      <c r="I411" s="38" t="s">
        <v>593</v>
      </c>
      <c r="J411" s="38" t="s">
        <v>134</v>
      </c>
      <c r="K411" s="38" t="s">
        <v>126</v>
      </c>
      <c r="L411" s="41">
        <v>46012.989583333336</v>
      </c>
      <c r="M411" s="38" t="s">
        <v>123</v>
      </c>
      <c r="N411" s="41">
        <v>46013.0</v>
      </c>
      <c r="O411" s="38" t="s">
        <v>123</v>
      </c>
      <c r="P411" s="38">
        <v>900.0</v>
      </c>
      <c r="Q411" s="39"/>
      <c r="R411" s="39"/>
      <c r="S411" s="39"/>
      <c r="T411" s="39"/>
      <c r="U411" s="39"/>
    </row>
    <row r="412">
      <c r="A412" s="40">
        <f t="shared" si="1"/>
        <v>46006</v>
      </c>
      <c r="B412" s="37" t="str">
        <f t="array" ref="B412">iferror(xlookup($I412, 'IMPORT VHC Report'!$E:$E, 'IMPORT VHC Report'!$A:$C), )</f>
        <v/>
      </c>
      <c r="C412" s="37"/>
      <c r="D412" s="37"/>
      <c r="E412" s="38" t="s">
        <v>625</v>
      </c>
      <c r="F412" s="38" t="s">
        <v>591</v>
      </c>
      <c r="G412" s="38">
        <v>8.303581036047E12</v>
      </c>
      <c r="H412" s="38" t="s">
        <v>592</v>
      </c>
      <c r="I412" s="38" t="s">
        <v>593</v>
      </c>
      <c r="J412" s="38" t="s">
        <v>196</v>
      </c>
      <c r="K412" s="38" t="s">
        <v>63</v>
      </c>
      <c r="L412" s="41">
        <v>46012.989583333336</v>
      </c>
      <c r="M412" s="38" t="s">
        <v>123</v>
      </c>
      <c r="N412" s="41">
        <v>46013.25</v>
      </c>
      <c r="O412" s="38" t="s">
        <v>123</v>
      </c>
      <c r="P412" s="38">
        <v>22500.0</v>
      </c>
      <c r="Q412" s="39"/>
      <c r="R412" s="39"/>
      <c r="S412" s="39"/>
      <c r="T412" s="39"/>
      <c r="U412" s="39"/>
    </row>
    <row r="413">
      <c r="A413" s="40">
        <f t="shared" si="1"/>
        <v>45999</v>
      </c>
      <c r="B413" s="37" t="str">
        <f t="array" ref="B413">iferror(xlookup($I413, 'IMPORT VHC Report'!$E:$E, 'IMPORT VHC Report'!$A:$C), )</f>
        <v/>
      </c>
      <c r="C413" s="37"/>
      <c r="D413" s="37"/>
      <c r="E413" s="38" t="s">
        <v>626</v>
      </c>
      <c r="F413" s="38" t="s">
        <v>627</v>
      </c>
      <c r="G413" s="38">
        <v>3.61724830696E11</v>
      </c>
      <c r="H413" s="38" t="s">
        <v>628</v>
      </c>
      <c r="I413" s="38" t="s">
        <v>629</v>
      </c>
      <c r="J413" s="38" t="s">
        <v>363</v>
      </c>
      <c r="K413" s="38" t="s">
        <v>63</v>
      </c>
      <c r="L413" s="41">
        <v>46005.875</v>
      </c>
      <c r="M413" s="38" t="s">
        <v>123</v>
      </c>
      <c r="N413" s="41">
        <v>46006.25</v>
      </c>
      <c r="O413" s="38" t="s">
        <v>123</v>
      </c>
      <c r="P413" s="38">
        <v>32400.0</v>
      </c>
      <c r="Q413" s="39"/>
      <c r="R413" s="39"/>
      <c r="S413" s="39"/>
      <c r="T413" s="39"/>
      <c r="U413" s="39"/>
    </row>
    <row r="414">
      <c r="A414" s="40">
        <f t="shared" si="1"/>
        <v>46006</v>
      </c>
      <c r="B414" s="37" t="str">
        <f t="array" ref="B414">iferror(xlookup($I414, 'IMPORT VHC Report'!$E:$E, 'IMPORT VHC Report'!$A:$C), )</f>
        <v/>
      </c>
      <c r="C414" s="37"/>
      <c r="D414" s="37"/>
      <c r="E414" s="38" t="s">
        <v>630</v>
      </c>
      <c r="F414" s="38" t="s">
        <v>627</v>
      </c>
      <c r="G414" s="38">
        <v>3.61724830696E11</v>
      </c>
      <c r="H414" s="38" t="s">
        <v>628</v>
      </c>
      <c r="I414" s="38" t="s">
        <v>629</v>
      </c>
      <c r="J414" s="38" t="s">
        <v>132</v>
      </c>
      <c r="K414" s="38" t="s">
        <v>126</v>
      </c>
      <c r="L414" s="41">
        <v>46006.083333333336</v>
      </c>
      <c r="M414" s="38" t="s">
        <v>123</v>
      </c>
      <c r="N414" s="41">
        <v>46006.125</v>
      </c>
      <c r="O414" s="38" t="s">
        <v>123</v>
      </c>
      <c r="P414" s="38">
        <v>3600.0</v>
      </c>
      <c r="Q414" s="39"/>
      <c r="R414" s="39"/>
      <c r="S414" s="39"/>
      <c r="T414" s="39"/>
      <c r="U414" s="39"/>
    </row>
    <row r="415">
      <c r="A415" s="40">
        <f t="shared" si="1"/>
        <v>46006</v>
      </c>
      <c r="B415" s="37" t="str">
        <f t="array" ref="B415">iferror(xlookup($I415, 'IMPORT VHC Report'!$E:$E, 'IMPORT VHC Report'!$A:$C), )</f>
        <v/>
      </c>
      <c r="C415" s="37"/>
      <c r="D415" s="37"/>
      <c r="E415" s="38" t="s">
        <v>631</v>
      </c>
      <c r="F415" s="38" t="s">
        <v>627</v>
      </c>
      <c r="G415" s="38">
        <v>3.61724830696E11</v>
      </c>
      <c r="H415" s="38" t="s">
        <v>628</v>
      </c>
      <c r="I415" s="38" t="s">
        <v>629</v>
      </c>
      <c r="J415" s="38" t="s">
        <v>4</v>
      </c>
      <c r="K415" s="38" t="s">
        <v>126</v>
      </c>
      <c r="L415" s="41">
        <v>46006.791666666664</v>
      </c>
      <c r="M415" s="38" t="s">
        <v>123</v>
      </c>
      <c r="N415" s="41">
        <v>46006.802083333336</v>
      </c>
      <c r="O415" s="38" t="s">
        <v>123</v>
      </c>
      <c r="P415" s="38">
        <v>900.0</v>
      </c>
      <c r="Q415" s="39"/>
      <c r="R415" s="39"/>
      <c r="S415" s="38" t="s">
        <v>632</v>
      </c>
      <c r="T415" s="39"/>
      <c r="U415" s="39"/>
    </row>
    <row r="416">
      <c r="A416" s="40">
        <f t="shared" si="1"/>
        <v>46006</v>
      </c>
      <c r="B416" s="37" t="str">
        <f t="array" ref="B416">iferror(xlookup($I416, 'IMPORT VHC Report'!$E:$E, 'IMPORT VHC Report'!$A:$C), )</f>
        <v/>
      </c>
      <c r="C416" s="37"/>
      <c r="D416" s="37"/>
      <c r="E416" s="38" t="s">
        <v>633</v>
      </c>
      <c r="F416" s="38" t="s">
        <v>627</v>
      </c>
      <c r="G416" s="38">
        <v>3.61724830696E11</v>
      </c>
      <c r="H416" s="38" t="s">
        <v>628</v>
      </c>
      <c r="I416" s="38" t="s">
        <v>629</v>
      </c>
      <c r="J416" s="38" t="s">
        <v>368</v>
      </c>
      <c r="K416" s="38" t="s">
        <v>63</v>
      </c>
      <c r="L416" s="41">
        <v>46006.791666666664</v>
      </c>
      <c r="M416" s="38" t="s">
        <v>123</v>
      </c>
      <c r="N416" s="41">
        <v>46007.166666666664</v>
      </c>
      <c r="O416" s="38" t="s">
        <v>123</v>
      </c>
      <c r="P416" s="38">
        <v>32400.0</v>
      </c>
      <c r="Q416" s="39"/>
      <c r="R416" s="39"/>
      <c r="S416" s="39"/>
      <c r="T416" s="39"/>
      <c r="U416" s="39"/>
    </row>
    <row r="417">
      <c r="A417" s="40">
        <f t="shared" si="1"/>
        <v>46006</v>
      </c>
      <c r="B417" s="37" t="str">
        <f t="array" ref="B417">iferror(xlookup($I417, 'IMPORT VHC Report'!$E:$E, 'IMPORT VHC Report'!$A:$C), )</f>
        <v/>
      </c>
      <c r="C417" s="37"/>
      <c r="D417" s="37"/>
      <c r="E417" s="38" t="s">
        <v>634</v>
      </c>
      <c r="F417" s="38" t="s">
        <v>627</v>
      </c>
      <c r="G417" s="38">
        <v>3.61724830696E11</v>
      </c>
      <c r="H417" s="38" t="s">
        <v>628</v>
      </c>
      <c r="I417" s="38" t="s">
        <v>629</v>
      </c>
      <c r="J417" s="38" t="s">
        <v>136</v>
      </c>
      <c r="K417" s="38" t="s">
        <v>126</v>
      </c>
      <c r="L417" s="41">
        <v>46006.802083333336</v>
      </c>
      <c r="M417" s="38" t="s">
        <v>123</v>
      </c>
      <c r="N417" s="41">
        <v>46006.82083333333</v>
      </c>
      <c r="O417" s="38" t="s">
        <v>123</v>
      </c>
      <c r="P417" s="38">
        <v>1620.0</v>
      </c>
      <c r="Q417" s="39"/>
      <c r="R417" s="39"/>
      <c r="S417" s="38" t="s">
        <v>635</v>
      </c>
      <c r="T417" s="39"/>
      <c r="U417" s="39"/>
    </row>
    <row r="418">
      <c r="A418" s="40">
        <f t="shared" si="1"/>
        <v>46006</v>
      </c>
      <c r="B418" s="37" t="str">
        <f t="array" ref="B418">iferror(xlookup($I418, 'IMPORT VHC Report'!$E:$E, 'IMPORT VHC Report'!$A:$C), )</f>
        <v/>
      </c>
      <c r="C418" s="37"/>
      <c r="D418" s="37"/>
      <c r="E418" s="38" t="s">
        <v>636</v>
      </c>
      <c r="F418" s="38" t="s">
        <v>627</v>
      </c>
      <c r="G418" s="38">
        <v>3.61724830696E11</v>
      </c>
      <c r="H418" s="38" t="s">
        <v>628</v>
      </c>
      <c r="I418" s="38" t="s">
        <v>629</v>
      </c>
      <c r="J418" s="38" t="s">
        <v>134</v>
      </c>
      <c r="K418" s="38" t="s">
        <v>126</v>
      </c>
      <c r="L418" s="41">
        <v>46006.927083333336</v>
      </c>
      <c r="M418" s="38" t="s">
        <v>123</v>
      </c>
      <c r="N418" s="41">
        <v>46006.947916666664</v>
      </c>
      <c r="O418" s="38" t="s">
        <v>123</v>
      </c>
      <c r="P418" s="38">
        <v>1800.0</v>
      </c>
      <c r="Q418" s="39"/>
      <c r="R418" s="39"/>
      <c r="S418" s="39"/>
      <c r="T418" s="39"/>
      <c r="U418" s="39"/>
    </row>
    <row r="419">
      <c r="A419" s="40">
        <f t="shared" si="1"/>
        <v>46006</v>
      </c>
      <c r="B419" s="37" t="str">
        <f t="array" ref="B419">iferror(xlookup($I419, 'IMPORT VHC Report'!$E:$E, 'IMPORT VHC Report'!$A:$C), )</f>
        <v/>
      </c>
      <c r="C419" s="37"/>
      <c r="D419" s="37"/>
      <c r="E419" s="38" t="s">
        <v>637</v>
      </c>
      <c r="F419" s="38" t="s">
        <v>627</v>
      </c>
      <c r="G419" s="38">
        <v>3.61724830696E11</v>
      </c>
      <c r="H419" s="38" t="s">
        <v>628</v>
      </c>
      <c r="I419" s="38" t="s">
        <v>629</v>
      </c>
      <c r="J419" s="38" t="s">
        <v>132</v>
      </c>
      <c r="K419" s="38" t="s">
        <v>126</v>
      </c>
      <c r="L419" s="41">
        <v>46007.0625</v>
      </c>
      <c r="M419" s="38" t="s">
        <v>123</v>
      </c>
      <c r="N419" s="41">
        <v>46007.104166666664</v>
      </c>
      <c r="O419" s="38" t="s">
        <v>123</v>
      </c>
      <c r="P419" s="38">
        <v>3600.0</v>
      </c>
      <c r="Q419" s="39"/>
      <c r="R419" s="39"/>
      <c r="S419" s="39"/>
      <c r="T419" s="39"/>
      <c r="U419" s="39"/>
    </row>
    <row r="420">
      <c r="A420" s="40">
        <f t="shared" si="1"/>
        <v>46006</v>
      </c>
      <c r="B420" s="37" t="str">
        <f t="array" ref="B420">iferror(xlookup($I420, 'IMPORT VHC Report'!$E:$E, 'IMPORT VHC Report'!$A:$C), )</f>
        <v/>
      </c>
      <c r="C420" s="37"/>
      <c r="D420" s="37"/>
      <c r="E420" s="38" t="s">
        <v>638</v>
      </c>
      <c r="F420" s="38" t="s">
        <v>627</v>
      </c>
      <c r="G420" s="38">
        <v>3.61724830696E11</v>
      </c>
      <c r="H420" s="38" t="s">
        <v>628</v>
      </c>
      <c r="I420" s="38" t="s">
        <v>629</v>
      </c>
      <c r="J420" s="38" t="s">
        <v>368</v>
      </c>
      <c r="K420" s="38" t="s">
        <v>63</v>
      </c>
      <c r="L420" s="41">
        <v>46007.791666666664</v>
      </c>
      <c r="M420" s="38" t="s">
        <v>123</v>
      </c>
      <c r="N420" s="41">
        <v>46008.166666666664</v>
      </c>
      <c r="O420" s="38" t="s">
        <v>123</v>
      </c>
      <c r="P420" s="38">
        <v>32400.0</v>
      </c>
      <c r="Q420" s="39"/>
      <c r="R420" s="39"/>
      <c r="S420" s="39"/>
      <c r="T420" s="39"/>
      <c r="U420" s="39"/>
    </row>
    <row r="421">
      <c r="A421" s="40">
        <f t="shared" si="1"/>
        <v>46006</v>
      </c>
      <c r="B421" s="37" t="str">
        <f t="array" ref="B421">iferror(xlookup($I421, 'IMPORT VHC Report'!$E:$E, 'IMPORT VHC Report'!$A:$C), )</f>
        <v/>
      </c>
      <c r="C421" s="37"/>
      <c r="D421" s="37"/>
      <c r="E421" s="38" t="s">
        <v>639</v>
      </c>
      <c r="F421" s="38" t="s">
        <v>627</v>
      </c>
      <c r="G421" s="38">
        <v>3.61724830696E11</v>
      </c>
      <c r="H421" s="38" t="s">
        <v>628</v>
      </c>
      <c r="I421" s="38" t="s">
        <v>629</v>
      </c>
      <c r="J421" s="38" t="s">
        <v>136</v>
      </c>
      <c r="K421" s="38" t="s">
        <v>126</v>
      </c>
      <c r="L421" s="41">
        <v>46007.864583333336</v>
      </c>
      <c r="M421" s="38" t="s">
        <v>123</v>
      </c>
      <c r="N421" s="41">
        <v>46007.893055555556</v>
      </c>
      <c r="O421" s="38" t="s">
        <v>123</v>
      </c>
      <c r="P421" s="38">
        <v>2460.0</v>
      </c>
      <c r="Q421" s="39"/>
      <c r="R421" s="39"/>
      <c r="S421" s="38" t="s">
        <v>640</v>
      </c>
      <c r="T421" s="39"/>
      <c r="U421" s="39"/>
    </row>
    <row r="422">
      <c r="A422" s="40">
        <f t="shared" si="1"/>
        <v>46006</v>
      </c>
      <c r="B422" s="37" t="str">
        <f t="array" ref="B422">iferror(xlookup($I422, 'IMPORT VHC Report'!$E:$E, 'IMPORT VHC Report'!$A:$C), )</f>
        <v/>
      </c>
      <c r="C422" s="37"/>
      <c r="D422" s="37"/>
      <c r="E422" s="38" t="s">
        <v>641</v>
      </c>
      <c r="F422" s="38" t="s">
        <v>627</v>
      </c>
      <c r="G422" s="38">
        <v>3.61724830696E11</v>
      </c>
      <c r="H422" s="38" t="s">
        <v>628</v>
      </c>
      <c r="I422" s="38" t="s">
        <v>629</v>
      </c>
      <c r="J422" s="38" t="s">
        <v>134</v>
      </c>
      <c r="K422" s="38" t="s">
        <v>126</v>
      </c>
      <c r="L422" s="41">
        <v>46007.916666666664</v>
      </c>
      <c r="M422" s="38" t="s">
        <v>123</v>
      </c>
      <c r="N422" s="41">
        <v>46007.9375</v>
      </c>
      <c r="O422" s="38" t="s">
        <v>123</v>
      </c>
      <c r="P422" s="38">
        <v>1800.0</v>
      </c>
      <c r="Q422" s="39"/>
      <c r="R422" s="39"/>
      <c r="S422" s="39"/>
      <c r="T422" s="39"/>
      <c r="U422" s="39"/>
    </row>
    <row r="423">
      <c r="A423" s="40">
        <f t="shared" si="1"/>
        <v>46006</v>
      </c>
      <c r="B423" s="37" t="str">
        <f t="array" ref="B423">iferror(xlookup($I423, 'IMPORT VHC Report'!$E:$E, 'IMPORT VHC Report'!$A:$C), )</f>
        <v/>
      </c>
      <c r="C423" s="37"/>
      <c r="D423" s="37"/>
      <c r="E423" s="38" t="s">
        <v>642</v>
      </c>
      <c r="F423" s="38" t="s">
        <v>627</v>
      </c>
      <c r="G423" s="38">
        <v>3.61724830696E11</v>
      </c>
      <c r="H423" s="38" t="s">
        <v>628</v>
      </c>
      <c r="I423" s="38" t="s">
        <v>629</v>
      </c>
      <c r="J423" s="38" t="s">
        <v>4</v>
      </c>
      <c r="K423" s="38" t="s">
        <v>126</v>
      </c>
      <c r="L423" s="41">
        <v>46007.958333333336</v>
      </c>
      <c r="M423" s="38" t="s">
        <v>123</v>
      </c>
      <c r="N423" s="41">
        <v>46008.020833333336</v>
      </c>
      <c r="O423" s="38" t="s">
        <v>123</v>
      </c>
      <c r="P423" s="38">
        <v>5400.0</v>
      </c>
      <c r="Q423" s="39"/>
      <c r="R423" s="39"/>
      <c r="S423" s="38" t="s">
        <v>458</v>
      </c>
      <c r="T423" s="39"/>
      <c r="U423" s="39"/>
    </row>
    <row r="424">
      <c r="A424" s="40">
        <f t="shared" si="1"/>
        <v>46006</v>
      </c>
      <c r="B424" s="37" t="str">
        <f t="array" ref="B424">iferror(xlookup($I424, 'IMPORT VHC Report'!$E:$E, 'IMPORT VHC Report'!$A:$C), )</f>
        <v/>
      </c>
      <c r="C424" s="37"/>
      <c r="D424" s="37"/>
      <c r="E424" s="38" t="s">
        <v>643</v>
      </c>
      <c r="F424" s="38" t="s">
        <v>627</v>
      </c>
      <c r="G424" s="38">
        <v>3.61724830696E11</v>
      </c>
      <c r="H424" s="38" t="s">
        <v>628</v>
      </c>
      <c r="I424" s="38" t="s">
        <v>629</v>
      </c>
      <c r="J424" s="38" t="s">
        <v>132</v>
      </c>
      <c r="K424" s="38" t="s">
        <v>126</v>
      </c>
      <c r="L424" s="41">
        <v>46008.072916666664</v>
      </c>
      <c r="M424" s="38" t="s">
        <v>123</v>
      </c>
      <c r="N424" s="41">
        <v>46008.114583333336</v>
      </c>
      <c r="O424" s="38" t="s">
        <v>123</v>
      </c>
      <c r="P424" s="38">
        <v>3600.0</v>
      </c>
      <c r="Q424" s="39"/>
      <c r="R424" s="39"/>
      <c r="S424" s="39"/>
      <c r="T424" s="39"/>
      <c r="U424" s="39"/>
    </row>
    <row r="425">
      <c r="A425" s="40">
        <f t="shared" si="1"/>
        <v>46006</v>
      </c>
      <c r="B425" s="37" t="str">
        <f t="array" ref="B425">iferror(xlookup($I425, 'IMPORT VHC Report'!$E:$E, 'IMPORT VHC Report'!$A:$C), )</f>
        <v/>
      </c>
      <c r="C425" s="37"/>
      <c r="D425" s="37"/>
      <c r="E425" s="38" t="s">
        <v>644</v>
      </c>
      <c r="F425" s="38" t="s">
        <v>627</v>
      </c>
      <c r="G425" s="38">
        <v>3.61724830696E11</v>
      </c>
      <c r="H425" s="38" t="s">
        <v>628</v>
      </c>
      <c r="I425" s="38" t="s">
        <v>629</v>
      </c>
      <c r="J425" s="38" t="s">
        <v>4</v>
      </c>
      <c r="K425" s="38" t="s">
        <v>126</v>
      </c>
      <c r="L425" s="41">
        <v>46008.135416666664</v>
      </c>
      <c r="M425" s="38" t="s">
        <v>123</v>
      </c>
      <c r="N425" s="41">
        <v>46008.166666666664</v>
      </c>
      <c r="O425" s="38" t="s">
        <v>123</v>
      </c>
      <c r="P425" s="38">
        <v>2700.0</v>
      </c>
      <c r="Q425" s="39"/>
      <c r="R425" s="39"/>
      <c r="S425" s="38" t="s">
        <v>645</v>
      </c>
      <c r="T425" s="39"/>
      <c r="U425" s="39"/>
    </row>
    <row r="426">
      <c r="A426" s="40">
        <f t="shared" si="1"/>
        <v>46006</v>
      </c>
      <c r="B426" s="37" t="str">
        <f t="array" ref="B426">iferror(xlookup($I426, 'IMPORT VHC Report'!$E:$E, 'IMPORT VHC Report'!$A:$C), )</f>
        <v/>
      </c>
      <c r="C426" s="37"/>
      <c r="D426" s="37"/>
      <c r="E426" s="38" t="s">
        <v>646</v>
      </c>
      <c r="F426" s="38" t="s">
        <v>627</v>
      </c>
      <c r="G426" s="38">
        <v>3.61724830696E11</v>
      </c>
      <c r="H426" s="38" t="s">
        <v>628</v>
      </c>
      <c r="I426" s="38" t="s">
        <v>629</v>
      </c>
      <c r="J426" s="38" t="s">
        <v>178</v>
      </c>
      <c r="K426" s="38" t="s">
        <v>153</v>
      </c>
      <c r="L426" s="41">
        <v>46010.791666666664</v>
      </c>
      <c r="M426" s="38" t="s">
        <v>123</v>
      </c>
      <c r="N426" s="41">
        <v>46011.166666666664</v>
      </c>
      <c r="O426" s="38" t="s">
        <v>123</v>
      </c>
      <c r="P426" s="38">
        <v>32400.0</v>
      </c>
      <c r="Q426" s="38">
        <v>32400.0</v>
      </c>
      <c r="R426" s="39"/>
      <c r="S426" s="39"/>
      <c r="T426" s="39"/>
      <c r="U426" s="39"/>
    </row>
    <row r="427">
      <c r="A427" s="40">
        <f t="shared" si="1"/>
        <v>46006</v>
      </c>
      <c r="B427" s="37" t="str">
        <f t="array" ref="B427">iferror(xlookup($I427, 'IMPORT VHC Report'!$E:$E, 'IMPORT VHC Report'!$A:$C), )</f>
        <v/>
      </c>
      <c r="C427" s="37"/>
      <c r="D427" s="37"/>
      <c r="E427" s="38" t="s">
        <v>647</v>
      </c>
      <c r="F427" s="38" t="s">
        <v>627</v>
      </c>
      <c r="G427" s="38">
        <v>3.61724830696E11</v>
      </c>
      <c r="H427" s="38" t="s">
        <v>628</v>
      </c>
      <c r="I427" s="38" t="s">
        <v>629</v>
      </c>
      <c r="J427" s="38" t="s">
        <v>368</v>
      </c>
      <c r="K427" s="38" t="s">
        <v>63</v>
      </c>
      <c r="L427" s="41">
        <v>46010.791666666664</v>
      </c>
      <c r="M427" s="38" t="s">
        <v>123</v>
      </c>
      <c r="N427" s="41">
        <v>46011.166666666664</v>
      </c>
      <c r="O427" s="38" t="s">
        <v>123</v>
      </c>
      <c r="P427" s="38">
        <v>32400.0</v>
      </c>
      <c r="Q427" s="39"/>
      <c r="R427" s="39"/>
      <c r="S427" s="39"/>
      <c r="T427" s="39"/>
      <c r="U427" s="39"/>
    </row>
    <row r="428">
      <c r="A428" s="40">
        <f t="shared" si="1"/>
        <v>46006</v>
      </c>
      <c r="B428" s="37" t="str">
        <f t="array" ref="B428">iferror(xlookup($I428, 'IMPORT VHC Report'!$E:$E, 'IMPORT VHC Report'!$A:$C), )</f>
        <v/>
      </c>
      <c r="C428" s="37"/>
      <c r="D428" s="37"/>
      <c r="E428" s="38" t="s">
        <v>648</v>
      </c>
      <c r="F428" s="38" t="s">
        <v>627</v>
      </c>
      <c r="G428" s="38">
        <v>3.61724830696E11</v>
      </c>
      <c r="H428" s="38" t="s">
        <v>628</v>
      </c>
      <c r="I428" s="38" t="s">
        <v>629</v>
      </c>
      <c r="J428" s="38" t="s">
        <v>4</v>
      </c>
      <c r="K428" s="38" t="s">
        <v>126</v>
      </c>
      <c r="L428" s="41">
        <v>46010.833333333336</v>
      </c>
      <c r="M428" s="38" t="s">
        <v>123</v>
      </c>
      <c r="N428" s="41">
        <v>46010.895833333336</v>
      </c>
      <c r="O428" s="38" t="s">
        <v>123</v>
      </c>
      <c r="P428" s="38">
        <v>5400.0</v>
      </c>
      <c r="Q428" s="39"/>
      <c r="R428" s="39"/>
      <c r="S428" s="38" t="s">
        <v>649</v>
      </c>
      <c r="T428" s="39"/>
      <c r="U428" s="39"/>
    </row>
    <row r="429">
      <c r="A429" s="40">
        <f t="shared" si="1"/>
        <v>46006</v>
      </c>
      <c r="B429" s="37" t="str">
        <f t="array" ref="B429">iferror(xlookup($I429, 'IMPORT VHC Report'!$E:$E, 'IMPORT VHC Report'!$A:$C), )</f>
        <v/>
      </c>
      <c r="C429" s="37"/>
      <c r="D429" s="37"/>
      <c r="E429" s="38" t="s">
        <v>650</v>
      </c>
      <c r="F429" s="38" t="s">
        <v>627</v>
      </c>
      <c r="G429" s="38">
        <v>3.61724830696E11</v>
      </c>
      <c r="H429" s="38" t="s">
        <v>628</v>
      </c>
      <c r="I429" s="38" t="s">
        <v>629</v>
      </c>
      <c r="J429" s="38" t="s">
        <v>134</v>
      </c>
      <c r="K429" s="38" t="s">
        <v>126</v>
      </c>
      <c r="L429" s="41">
        <v>46010.9375</v>
      </c>
      <c r="M429" s="38" t="s">
        <v>123</v>
      </c>
      <c r="N429" s="41">
        <v>46010.958333333336</v>
      </c>
      <c r="O429" s="38" t="s">
        <v>123</v>
      </c>
      <c r="P429" s="38">
        <v>1800.0</v>
      </c>
      <c r="Q429" s="39"/>
      <c r="R429" s="39"/>
      <c r="S429" s="39"/>
      <c r="T429" s="39"/>
      <c r="U429" s="39"/>
    </row>
    <row r="430">
      <c r="A430" s="40">
        <f t="shared" si="1"/>
        <v>46006</v>
      </c>
      <c r="B430" s="37" t="str">
        <f t="array" ref="B430">iferror(xlookup($I430, 'IMPORT VHC Report'!$E:$E, 'IMPORT VHC Report'!$A:$C), )</f>
        <v/>
      </c>
      <c r="C430" s="37"/>
      <c r="D430" s="37"/>
      <c r="E430" s="38" t="s">
        <v>651</v>
      </c>
      <c r="F430" s="38" t="s">
        <v>627</v>
      </c>
      <c r="G430" s="38">
        <v>3.61724830696E11</v>
      </c>
      <c r="H430" s="38" t="s">
        <v>628</v>
      </c>
      <c r="I430" s="38" t="s">
        <v>629</v>
      </c>
      <c r="J430" s="38" t="s">
        <v>132</v>
      </c>
      <c r="K430" s="38" t="s">
        <v>126</v>
      </c>
      <c r="L430" s="41">
        <v>46011.072916666664</v>
      </c>
      <c r="M430" s="38" t="s">
        <v>123</v>
      </c>
      <c r="N430" s="41">
        <v>46011.114583333336</v>
      </c>
      <c r="O430" s="38" t="s">
        <v>123</v>
      </c>
      <c r="P430" s="38">
        <v>3600.0</v>
      </c>
      <c r="Q430" s="39"/>
      <c r="R430" s="39"/>
      <c r="S430" s="39"/>
      <c r="T430" s="39"/>
      <c r="U430" s="39"/>
    </row>
    <row r="431">
      <c r="A431" s="40">
        <f t="shared" si="1"/>
        <v>46006</v>
      </c>
      <c r="B431" s="37" t="str">
        <f t="array" ref="B431">iferror(xlookup($I431, 'IMPORT VHC Report'!$E:$E, 'IMPORT VHC Report'!$A:$C), )</f>
        <v/>
      </c>
      <c r="C431" s="37"/>
      <c r="D431" s="37"/>
      <c r="E431" s="38" t="s">
        <v>652</v>
      </c>
      <c r="F431" s="38" t="s">
        <v>627</v>
      </c>
      <c r="G431" s="38">
        <v>3.61724830696E11</v>
      </c>
      <c r="H431" s="38" t="s">
        <v>628</v>
      </c>
      <c r="I431" s="38" t="s">
        <v>629</v>
      </c>
      <c r="J431" s="38" t="s">
        <v>178</v>
      </c>
      <c r="K431" s="38" t="s">
        <v>153</v>
      </c>
      <c r="L431" s="41">
        <v>46011.791666666664</v>
      </c>
      <c r="M431" s="38" t="s">
        <v>123</v>
      </c>
      <c r="N431" s="41">
        <v>46012.166666666664</v>
      </c>
      <c r="O431" s="38" t="s">
        <v>123</v>
      </c>
      <c r="P431" s="38">
        <v>32400.0</v>
      </c>
      <c r="Q431" s="38">
        <v>32400.0</v>
      </c>
      <c r="R431" s="39"/>
      <c r="S431" s="39"/>
      <c r="T431" s="39"/>
      <c r="U431" s="39"/>
    </row>
    <row r="432">
      <c r="A432" s="40">
        <f t="shared" si="1"/>
        <v>46006</v>
      </c>
      <c r="B432" s="37" t="str">
        <f t="array" ref="B432">iferror(xlookup($I432, 'IMPORT VHC Report'!$E:$E, 'IMPORT VHC Report'!$A:$C), )</f>
        <v/>
      </c>
      <c r="C432" s="37"/>
      <c r="D432" s="37"/>
      <c r="E432" s="38" t="s">
        <v>653</v>
      </c>
      <c r="F432" s="38" t="s">
        <v>627</v>
      </c>
      <c r="G432" s="38">
        <v>3.61724830696E11</v>
      </c>
      <c r="H432" s="38" t="s">
        <v>628</v>
      </c>
      <c r="I432" s="38" t="s">
        <v>629</v>
      </c>
      <c r="J432" s="38" t="s">
        <v>368</v>
      </c>
      <c r="K432" s="38" t="s">
        <v>63</v>
      </c>
      <c r="L432" s="41">
        <v>46011.791666666664</v>
      </c>
      <c r="M432" s="38" t="s">
        <v>123</v>
      </c>
      <c r="N432" s="41">
        <v>46012.166666666664</v>
      </c>
      <c r="O432" s="38" t="s">
        <v>123</v>
      </c>
      <c r="P432" s="38">
        <v>32400.0</v>
      </c>
      <c r="Q432" s="39"/>
      <c r="R432" s="39"/>
      <c r="S432" s="39"/>
      <c r="T432" s="39"/>
      <c r="U432" s="39"/>
    </row>
    <row r="433">
      <c r="A433" s="40">
        <f t="shared" si="1"/>
        <v>46006</v>
      </c>
      <c r="B433" s="37" t="str">
        <f t="array" ref="B433">iferror(xlookup($I433, 'IMPORT VHC Report'!$E:$E, 'IMPORT VHC Report'!$A:$C), )</f>
        <v/>
      </c>
      <c r="C433" s="37"/>
      <c r="D433" s="37"/>
      <c r="E433" s="38" t="s">
        <v>654</v>
      </c>
      <c r="F433" s="38" t="s">
        <v>627</v>
      </c>
      <c r="G433" s="38">
        <v>3.61724830696E11</v>
      </c>
      <c r="H433" s="38" t="s">
        <v>628</v>
      </c>
      <c r="I433" s="38" t="s">
        <v>629</v>
      </c>
      <c r="J433" s="38" t="s">
        <v>134</v>
      </c>
      <c r="K433" s="38" t="s">
        <v>126</v>
      </c>
      <c r="L433" s="41">
        <v>46011.958333333336</v>
      </c>
      <c r="M433" s="38" t="s">
        <v>123</v>
      </c>
      <c r="N433" s="41">
        <v>46011.979166666664</v>
      </c>
      <c r="O433" s="38" t="s">
        <v>123</v>
      </c>
      <c r="P433" s="38">
        <v>1800.0</v>
      </c>
      <c r="Q433" s="39"/>
      <c r="R433" s="39"/>
      <c r="S433" s="39"/>
      <c r="T433" s="39"/>
      <c r="U433" s="39"/>
    </row>
    <row r="434">
      <c r="A434" s="40">
        <f t="shared" si="1"/>
        <v>46006</v>
      </c>
      <c r="B434" s="37" t="str">
        <f t="array" ref="B434">iferror(xlookup($I434, 'IMPORT VHC Report'!$E:$E, 'IMPORT VHC Report'!$A:$C), )</f>
        <v/>
      </c>
      <c r="C434" s="37"/>
      <c r="D434" s="37"/>
      <c r="E434" s="38" t="s">
        <v>655</v>
      </c>
      <c r="F434" s="38" t="s">
        <v>627</v>
      </c>
      <c r="G434" s="38">
        <v>3.61724830696E11</v>
      </c>
      <c r="H434" s="38" t="s">
        <v>628</v>
      </c>
      <c r="I434" s="38" t="s">
        <v>629</v>
      </c>
      <c r="J434" s="38" t="s">
        <v>132</v>
      </c>
      <c r="K434" s="38" t="s">
        <v>126</v>
      </c>
      <c r="L434" s="41">
        <v>46012.083333333336</v>
      </c>
      <c r="M434" s="38" t="s">
        <v>123</v>
      </c>
      <c r="N434" s="41">
        <v>46012.125</v>
      </c>
      <c r="O434" s="38" t="s">
        <v>123</v>
      </c>
      <c r="P434" s="38">
        <v>3600.0</v>
      </c>
      <c r="Q434" s="39"/>
      <c r="R434" s="39"/>
      <c r="S434" s="39"/>
      <c r="T434" s="39"/>
      <c r="U434" s="39"/>
    </row>
    <row r="435">
      <c r="A435" s="40">
        <f t="shared" si="1"/>
        <v>46006</v>
      </c>
      <c r="B435" s="37" t="str">
        <f t="array" ref="B435">iferror(xlookup($I435, 'IMPORT VHC Report'!$E:$E, 'IMPORT VHC Report'!$A:$C), )</f>
        <v/>
      </c>
      <c r="C435" s="37"/>
      <c r="D435" s="37"/>
      <c r="E435" s="38" t="s">
        <v>656</v>
      </c>
      <c r="F435" s="38" t="s">
        <v>627</v>
      </c>
      <c r="G435" s="38">
        <v>3.61724830696E11</v>
      </c>
      <c r="H435" s="38" t="s">
        <v>628</v>
      </c>
      <c r="I435" s="38" t="s">
        <v>629</v>
      </c>
      <c r="J435" s="38" t="s">
        <v>178</v>
      </c>
      <c r="K435" s="38" t="s">
        <v>153</v>
      </c>
      <c r="L435" s="41">
        <v>46012.791666666664</v>
      </c>
      <c r="M435" s="38" t="s">
        <v>123</v>
      </c>
      <c r="N435" s="41">
        <v>46013.0</v>
      </c>
      <c r="O435" s="38" t="s">
        <v>123</v>
      </c>
      <c r="P435" s="38">
        <v>18000.0</v>
      </c>
      <c r="Q435" s="38">
        <v>18000.0</v>
      </c>
      <c r="R435" s="39"/>
      <c r="S435" s="39"/>
      <c r="T435" s="39"/>
      <c r="U435" s="39"/>
    </row>
    <row r="436">
      <c r="A436" s="40">
        <f t="shared" si="1"/>
        <v>46006</v>
      </c>
      <c r="B436" s="37" t="str">
        <f t="array" ref="B436">iferror(xlookup($I436, 'IMPORT VHC Report'!$E:$E, 'IMPORT VHC Report'!$A:$C), )</f>
        <v/>
      </c>
      <c r="C436" s="37"/>
      <c r="D436" s="37"/>
      <c r="E436" s="38" t="s">
        <v>657</v>
      </c>
      <c r="F436" s="38" t="s">
        <v>627</v>
      </c>
      <c r="G436" s="38">
        <v>3.61724830696E11</v>
      </c>
      <c r="H436" s="38" t="s">
        <v>628</v>
      </c>
      <c r="I436" s="38" t="s">
        <v>629</v>
      </c>
      <c r="J436" s="38" t="s">
        <v>368</v>
      </c>
      <c r="K436" s="38" t="s">
        <v>63</v>
      </c>
      <c r="L436" s="41">
        <v>46012.791666666664</v>
      </c>
      <c r="M436" s="38" t="s">
        <v>123</v>
      </c>
      <c r="N436" s="41">
        <v>46013.166666666664</v>
      </c>
      <c r="O436" s="38" t="s">
        <v>123</v>
      </c>
      <c r="P436" s="38">
        <v>32400.0</v>
      </c>
      <c r="Q436" s="39"/>
      <c r="R436" s="39"/>
      <c r="S436" s="39"/>
      <c r="T436" s="39"/>
      <c r="U436" s="39"/>
    </row>
    <row r="437">
      <c r="A437" s="40">
        <f t="shared" si="1"/>
        <v>46006</v>
      </c>
      <c r="B437" s="37" t="str">
        <f t="array" ref="B437">iferror(xlookup($I437, 'IMPORT VHC Report'!$E:$E, 'IMPORT VHC Report'!$A:$C), )</f>
        <v/>
      </c>
      <c r="C437" s="37"/>
      <c r="D437" s="37"/>
      <c r="E437" s="38" t="s">
        <v>658</v>
      </c>
      <c r="F437" s="38" t="s">
        <v>627</v>
      </c>
      <c r="G437" s="38">
        <v>3.61724830696E11</v>
      </c>
      <c r="H437" s="38" t="s">
        <v>628</v>
      </c>
      <c r="I437" s="38" t="s">
        <v>629</v>
      </c>
      <c r="J437" s="38" t="s">
        <v>134</v>
      </c>
      <c r="K437" s="38" t="s">
        <v>126</v>
      </c>
      <c r="L437" s="41">
        <v>46012.9375</v>
      </c>
      <c r="M437" s="38" t="s">
        <v>123</v>
      </c>
      <c r="N437" s="41">
        <v>46012.958333333336</v>
      </c>
      <c r="O437" s="38" t="s">
        <v>123</v>
      </c>
      <c r="P437" s="38">
        <v>1800.0</v>
      </c>
      <c r="Q437" s="39"/>
      <c r="R437" s="39"/>
      <c r="S437" s="39"/>
      <c r="T437" s="39"/>
      <c r="U437" s="39"/>
    </row>
    <row r="438">
      <c r="A438" s="40">
        <f t="shared" si="1"/>
        <v>45999</v>
      </c>
      <c r="B438" s="37" t="str">
        <f t="array" ref="B438">iferror(xlookup($I438, 'IMPORT VHC Report'!$E:$E, 'IMPORT VHC Report'!$A:$C), )</f>
        <v/>
      </c>
      <c r="C438" s="37"/>
      <c r="D438" s="37"/>
      <c r="E438" s="38" t="s">
        <v>659</v>
      </c>
      <c r="F438" s="38" t="s">
        <v>660</v>
      </c>
      <c r="G438" s="38">
        <v>3.61726427476E11</v>
      </c>
      <c r="H438" s="38" t="s">
        <v>661</v>
      </c>
      <c r="I438" s="38" t="s">
        <v>662</v>
      </c>
      <c r="J438" s="38" t="s">
        <v>178</v>
      </c>
      <c r="K438" s="38" t="s">
        <v>153</v>
      </c>
      <c r="L438" s="41">
        <v>46005.875</v>
      </c>
      <c r="M438" s="38" t="s">
        <v>123</v>
      </c>
      <c r="N438" s="41">
        <v>46006.25</v>
      </c>
      <c r="O438" s="38" t="s">
        <v>123</v>
      </c>
      <c r="P438" s="38">
        <v>32400.0</v>
      </c>
      <c r="Q438" s="38">
        <v>57600.0</v>
      </c>
      <c r="R438" s="39"/>
      <c r="S438" s="39"/>
      <c r="T438" s="39"/>
      <c r="U438" s="39"/>
    </row>
    <row r="439">
      <c r="A439" s="40">
        <f t="shared" si="1"/>
        <v>46006</v>
      </c>
      <c r="B439" s="37" t="str">
        <f t="array" ref="B439">iferror(xlookup($I439, 'IMPORT VHC Report'!$E:$E, 'IMPORT VHC Report'!$A:$C), )</f>
        <v/>
      </c>
      <c r="C439" s="37"/>
      <c r="D439" s="37"/>
      <c r="E439" s="38" t="s">
        <v>663</v>
      </c>
      <c r="F439" s="38" t="s">
        <v>660</v>
      </c>
      <c r="G439" s="38">
        <v>3.61726427476E11</v>
      </c>
      <c r="H439" s="38" t="s">
        <v>661</v>
      </c>
      <c r="I439" s="38" t="s">
        <v>662</v>
      </c>
      <c r="J439" s="38" t="s">
        <v>530</v>
      </c>
      <c r="K439" s="38" t="s">
        <v>63</v>
      </c>
      <c r="L439" s="41">
        <v>46006.0</v>
      </c>
      <c r="M439" s="38" t="s">
        <v>123</v>
      </c>
      <c r="N439" s="41">
        <v>46006.25</v>
      </c>
      <c r="O439" s="38" t="s">
        <v>123</v>
      </c>
      <c r="P439" s="38">
        <v>21600.0</v>
      </c>
      <c r="Q439" s="39"/>
      <c r="R439" s="39"/>
      <c r="S439" s="39"/>
      <c r="T439" s="39"/>
      <c r="U439" s="39"/>
    </row>
    <row r="440">
      <c r="A440" s="40">
        <f t="shared" si="1"/>
        <v>46006</v>
      </c>
      <c r="B440" s="37" t="str">
        <f t="array" ref="B440">iferror(xlookup($I440, 'IMPORT VHC Report'!$E:$E, 'IMPORT VHC Report'!$A:$C), )</f>
        <v/>
      </c>
      <c r="C440" s="37"/>
      <c r="D440" s="37"/>
      <c r="E440" s="38" t="s">
        <v>664</v>
      </c>
      <c r="F440" s="38" t="s">
        <v>660</v>
      </c>
      <c r="G440" s="38">
        <v>3.61726427476E11</v>
      </c>
      <c r="H440" s="38" t="s">
        <v>661</v>
      </c>
      <c r="I440" s="38" t="s">
        <v>662</v>
      </c>
      <c r="J440" s="38" t="s">
        <v>134</v>
      </c>
      <c r="K440" s="38" t="s">
        <v>126</v>
      </c>
      <c r="L440" s="41">
        <v>46006.010416666664</v>
      </c>
      <c r="M440" s="38" t="s">
        <v>123</v>
      </c>
      <c r="N440" s="41">
        <v>46006.03125</v>
      </c>
      <c r="O440" s="38" t="s">
        <v>123</v>
      </c>
      <c r="P440" s="38">
        <v>1800.0</v>
      </c>
      <c r="Q440" s="39"/>
      <c r="R440" s="39"/>
      <c r="S440" s="39"/>
      <c r="T440" s="39"/>
      <c r="U440" s="39"/>
    </row>
    <row r="441">
      <c r="A441" s="40">
        <f t="shared" si="1"/>
        <v>46006</v>
      </c>
      <c r="B441" s="37" t="str">
        <f t="array" ref="B441">iferror(xlookup($I441, 'IMPORT VHC Report'!$E:$E, 'IMPORT VHC Report'!$A:$C), )</f>
        <v/>
      </c>
      <c r="C441" s="37"/>
      <c r="D441" s="37"/>
      <c r="E441" s="38" t="s">
        <v>665</v>
      </c>
      <c r="F441" s="38" t="s">
        <v>660</v>
      </c>
      <c r="G441" s="38">
        <v>3.61726427476E11</v>
      </c>
      <c r="H441" s="38" t="s">
        <v>661</v>
      </c>
      <c r="I441" s="38" t="s">
        <v>662</v>
      </c>
      <c r="J441" s="38" t="s">
        <v>132</v>
      </c>
      <c r="K441" s="38" t="s">
        <v>126</v>
      </c>
      <c r="L441" s="41">
        <v>46006.166666666664</v>
      </c>
      <c r="M441" s="38" t="s">
        <v>123</v>
      </c>
      <c r="N441" s="41">
        <v>46006.208333333336</v>
      </c>
      <c r="O441" s="38" t="s">
        <v>123</v>
      </c>
      <c r="P441" s="38">
        <v>3600.0</v>
      </c>
      <c r="Q441" s="39"/>
      <c r="R441" s="39"/>
      <c r="S441" s="39"/>
      <c r="T441" s="39"/>
      <c r="U441" s="39"/>
    </row>
    <row r="442">
      <c r="A442" s="40">
        <f t="shared" si="1"/>
        <v>46006</v>
      </c>
      <c r="B442" s="37" t="str">
        <f t="array" ref="B442">iferror(xlookup($I442, 'IMPORT VHC Report'!$E:$E, 'IMPORT VHC Report'!$A:$C), )</f>
        <v/>
      </c>
      <c r="C442" s="37"/>
      <c r="D442" s="37"/>
      <c r="E442" s="38" t="s">
        <v>666</v>
      </c>
      <c r="F442" s="38" t="s">
        <v>660</v>
      </c>
      <c r="G442" s="38">
        <v>3.61726427476E11</v>
      </c>
      <c r="H442" s="38" t="s">
        <v>661</v>
      </c>
      <c r="I442" s="38" t="s">
        <v>662</v>
      </c>
      <c r="J442" s="38" t="s">
        <v>4</v>
      </c>
      <c r="K442" s="38" t="s">
        <v>126</v>
      </c>
      <c r="L442" s="41">
        <v>46006.875</v>
      </c>
      <c r="M442" s="38" t="s">
        <v>123</v>
      </c>
      <c r="N442" s="41">
        <v>46006.895833333336</v>
      </c>
      <c r="O442" s="38" t="s">
        <v>123</v>
      </c>
      <c r="P442" s="38">
        <v>1800.0</v>
      </c>
      <c r="Q442" s="39"/>
      <c r="R442" s="39"/>
      <c r="S442" s="39"/>
      <c r="T442" s="39"/>
      <c r="U442" s="39"/>
    </row>
    <row r="443">
      <c r="A443" s="40">
        <f t="shared" si="1"/>
        <v>46006</v>
      </c>
      <c r="B443" s="37" t="str">
        <f t="array" ref="B443">iferror(xlookup($I443, 'IMPORT VHC Report'!$E:$E, 'IMPORT VHC Report'!$A:$C), )</f>
        <v/>
      </c>
      <c r="C443" s="37"/>
      <c r="D443" s="37"/>
      <c r="E443" s="38" t="s">
        <v>667</v>
      </c>
      <c r="F443" s="38" t="s">
        <v>660</v>
      </c>
      <c r="G443" s="38">
        <v>3.61726427476E11</v>
      </c>
      <c r="H443" s="38" t="s">
        <v>661</v>
      </c>
      <c r="I443" s="38" t="s">
        <v>662</v>
      </c>
      <c r="J443" s="38" t="s">
        <v>178</v>
      </c>
      <c r="K443" s="38" t="s">
        <v>153</v>
      </c>
      <c r="L443" s="41">
        <v>46006.875</v>
      </c>
      <c r="M443" s="38" t="s">
        <v>123</v>
      </c>
      <c r="N443" s="41">
        <v>46007.25</v>
      </c>
      <c r="O443" s="38" t="s">
        <v>123</v>
      </c>
      <c r="P443" s="38">
        <v>32400.0</v>
      </c>
      <c r="Q443" s="38">
        <v>32400.0</v>
      </c>
      <c r="R443" s="39"/>
      <c r="S443" s="39"/>
      <c r="T443" s="39"/>
      <c r="U443" s="39"/>
    </row>
    <row r="444">
      <c r="A444" s="40">
        <f t="shared" si="1"/>
        <v>46006</v>
      </c>
      <c r="B444" s="37" t="str">
        <f t="array" ref="B444">iferror(xlookup($I444, 'IMPORT VHC Report'!$E:$E, 'IMPORT VHC Report'!$A:$C), )</f>
        <v/>
      </c>
      <c r="C444" s="37"/>
      <c r="D444" s="37"/>
      <c r="E444" s="38" t="s">
        <v>668</v>
      </c>
      <c r="F444" s="38" t="s">
        <v>660</v>
      </c>
      <c r="G444" s="38">
        <v>3.61726427476E11</v>
      </c>
      <c r="H444" s="38" t="s">
        <v>661</v>
      </c>
      <c r="I444" s="38" t="s">
        <v>662</v>
      </c>
      <c r="J444" s="38" t="s">
        <v>530</v>
      </c>
      <c r="K444" s="38" t="s">
        <v>63</v>
      </c>
      <c r="L444" s="41">
        <v>46006.875</v>
      </c>
      <c r="M444" s="38" t="s">
        <v>123</v>
      </c>
      <c r="N444" s="41">
        <v>46007.25</v>
      </c>
      <c r="O444" s="38" t="s">
        <v>123</v>
      </c>
      <c r="P444" s="38">
        <v>32400.0</v>
      </c>
      <c r="Q444" s="39"/>
      <c r="R444" s="39"/>
      <c r="S444" s="39"/>
      <c r="T444" s="39"/>
      <c r="U444" s="39"/>
    </row>
    <row r="445">
      <c r="A445" s="40">
        <f t="shared" si="1"/>
        <v>46006</v>
      </c>
      <c r="B445" s="37" t="str">
        <f t="array" ref="B445">iferror(xlookup($I445, 'IMPORT VHC Report'!$E:$E, 'IMPORT VHC Report'!$A:$C), )</f>
        <v/>
      </c>
      <c r="C445" s="37"/>
      <c r="D445" s="37"/>
      <c r="E445" s="38" t="s">
        <v>669</v>
      </c>
      <c r="F445" s="38" t="s">
        <v>660</v>
      </c>
      <c r="G445" s="38">
        <v>3.61726427476E11</v>
      </c>
      <c r="H445" s="38" t="s">
        <v>661</v>
      </c>
      <c r="I445" s="38" t="s">
        <v>662</v>
      </c>
      <c r="J445" s="38" t="s">
        <v>132</v>
      </c>
      <c r="K445" s="38" t="s">
        <v>126</v>
      </c>
      <c r="L445" s="41">
        <v>46007.0</v>
      </c>
      <c r="M445" s="38" t="s">
        <v>123</v>
      </c>
      <c r="N445" s="41">
        <v>46007.041666666664</v>
      </c>
      <c r="O445" s="38" t="s">
        <v>123</v>
      </c>
      <c r="P445" s="38">
        <v>3600.0</v>
      </c>
      <c r="Q445" s="39"/>
      <c r="R445" s="39"/>
      <c r="S445" s="39"/>
      <c r="T445" s="39"/>
      <c r="U445" s="39"/>
    </row>
    <row r="446">
      <c r="A446" s="40">
        <f t="shared" si="1"/>
        <v>46006</v>
      </c>
      <c r="B446" s="37" t="str">
        <f t="array" ref="B446">iferror(xlookup($I446, 'IMPORT VHC Report'!$E:$E, 'IMPORT VHC Report'!$A:$C), )</f>
        <v/>
      </c>
      <c r="C446" s="37"/>
      <c r="D446" s="37"/>
      <c r="E446" s="38" t="s">
        <v>670</v>
      </c>
      <c r="F446" s="38" t="s">
        <v>660</v>
      </c>
      <c r="G446" s="38">
        <v>3.61726427476E11</v>
      </c>
      <c r="H446" s="38" t="s">
        <v>661</v>
      </c>
      <c r="I446" s="38" t="s">
        <v>662</v>
      </c>
      <c r="J446" s="38" t="s">
        <v>134</v>
      </c>
      <c r="K446" s="38" t="s">
        <v>126</v>
      </c>
      <c r="L446" s="41">
        <v>46007.166666666664</v>
      </c>
      <c r="M446" s="38" t="s">
        <v>123</v>
      </c>
      <c r="N446" s="41">
        <v>46007.1875</v>
      </c>
      <c r="O446" s="38" t="s">
        <v>123</v>
      </c>
      <c r="P446" s="38">
        <v>1800.0</v>
      </c>
      <c r="Q446" s="39"/>
      <c r="R446" s="39"/>
      <c r="S446" s="39"/>
      <c r="T446" s="39"/>
      <c r="U446" s="39"/>
    </row>
    <row r="447">
      <c r="A447" s="40">
        <f t="shared" si="1"/>
        <v>46006</v>
      </c>
      <c r="B447" s="37" t="str">
        <f t="array" ref="B447">iferror(xlookup($I447, 'IMPORT VHC Report'!$E:$E, 'IMPORT VHC Report'!$A:$C), )</f>
        <v/>
      </c>
      <c r="C447" s="37"/>
      <c r="D447" s="37"/>
      <c r="E447" s="38" t="s">
        <v>671</v>
      </c>
      <c r="F447" s="38" t="s">
        <v>660</v>
      </c>
      <c r="G447" s="38">
        <v>3.61726427476E11</v>
      </c>
      <c r="H447" s="38" t="s">
        <v>661</v>
      </c>
      <c r="I447" s="38" t="s">
        <v>662</v>
      </c>
      <c r="J447" s="38" t="s">
        <v>530</v>
      </c>
      <c r="K447" s="38" t="s">
        <v>63</v>
      </c>
      <c r="L447" s="41">
        <v>46007.875</v>
      </c>
      <c r="M447" s="38" t="s">
        <v>123</v>
      </c>
      <c r="N447" s="41">
        <v>46007.895833333336</v>
      </c>
      <c r="O447" s="38" t="s">
        <v>123</v>
      </c>
      <c r="P447" s="38">
        <v>1800.0</v>
      </c>
      <c r="Q447" s="39"/>
      <c r="R447" s="39"/>
      <c r="S447" s="39"/>
      <c r="T447" s="39"/>
      <c r="U447" s="39"/>
    </row>
    <row r="448">
      <c r="A448" s="40">
        <f t="shared" si="1"/>
        <v>46006</v>
      </c>
      <c r="B448" s="37" t="str">
        <f t="array" ref="B448">iferror(xlookup($I448, 'IMPORT VHC Report'!$E:$E, 'IMPORT VHC Report'!$A:$C), )</f>
        <v/>
      </c>
      <c r="C448" s="37"/>
      <c r="D448" s="37"/>
      <c r="E448" s="38" t="s">
        <v>672</v>
      </c>
      <c r="F448" s="38" t="s">
        <v>660</v>
      </c>
      <c r="G448" s="38">
        <v>3.61726427476E11</v>
      </c>
      <c r="H448" s="38" t="s">
        <v>661</v>
      </c>
      <c r="I448" s="38" t="s">
        <v>662</v>
      </c>
      <c r="J448" s="38" t="s">
        <v>4</v>
      </c>
      <c r="K448" s="38" t="s">
        <v>126</v>
      </c>
      <c r="L448" s="41">
        <v>46007.875</v>
      </c>
      <c r="M448" s="38" t="s">
        <v>123</v>
      </c>
      <c r="N448" s="41">
        <v>46007.895833333336</v>
      </c>
      <c r="O448" s="38" t="s">
        <v>123</v>
      </c>
      <c r="P448" s="38">
        <v>1800.0</v>
      </c>
      <c r="Q448" s="39"/>
      <c r="R448" s="39"/>
      <c r="S448" s="39"/>
      <c r="T448" s="39"/>
      <c r="U448" s="39"/>
    </row>
    <row r="449">
      <c r="A449" s="40">
        <f t="shared" si="1"/>
        <v>46006</v>
      </c>
      <c r="B449" s="37" t="str">
        <f t="array" ref="B449">iferror(xlookup($I449, 'IMPORT VHC Report'!$E:$E, 'IMPORT VHC Report'!$A:$C), )</f>
        <v/>
      </c>
      <c r="C449" s="37"/>
      <c r="D449" s="37"/>
      <c r="E449" s="38" t="s">
        <v>673</v>
      </c>
      <c r="F449" s="38" t="s">
        <v>660</v>
      </c>
      <c r="G449" s="38">
        <v>3.61726427476E11</v>
      </c>
      <c r="H449" s="38" t="s">
        <v>661</v>
      </c>
      <c r="I449" s="38" t="s">
        <v>662</v>
      </c>
      <c r="J449" s="38" t="s">
        <v>178</v>
      </c>
      <c r="K449" s="38" t="s">
        <v>153</v>
      </c>
      <c r="L449" s="41">
        <v>46007.875</v>
      </c>
      <c r="M449" s="38" t="s">
        <v>123</v>
      </c>
      <c r="N449" s="41">
        <v>46008.25</v>
      </c>
      <c r="O449" s="38" t="s">
        <v>123</v>
      </c>
      <c r="P449" s="38">
        <v>32400.0</v>
      </c>
      <c r="Q449" s="38">
        <v>28800.0</v>
      </c>
      <c r="R449" s="38" t="s">
        <v>674</v>
      </c>
      <c r="S449" s="39"/>
      <c r="T449" s="39"/>
      <c r="U449" s="39"/>
    </row>
    <row r="450">
      <c r="A450" s="40">
        <f t="shared" si="1"/>
        <v>46006</v>
      </c>
      <c r="B450" s="37" t="str">
        <f t="array" ref="B450">iferror(xlookup($I450, 'IMPORT VHC Report'!$E:$E, 'IMPORT VHC Report'!$A:$C), )</f>
        <v/>
      </c>
      <c r="C450" s="37"/>
      <c r="D450" s="37"/>
      <c r="E450" s="38" t="s">
        <v>675</v>
      </c>
      <c r="F450" s="38" t="s">
        <v>660</v>
      </c>
      <c r="G450" s="38">
        <v>3.61726427476E11</v>
      </c>
      <c r="H450" s="38" t="s">
        <v>661</v>
      </c>
      <c r="I450" s="38" t="s">
        <v>662</v>
      </c>
      <c r="J450" s="38" t="s">
        <v>62</v>
      </c>
      <c r="K450" s="38" t="s">
        <v>63</v>
      </c>
      <c r="L450" s="41">
        <v>46007.895833333336</v>
      </c>
      <c r="M450" s="38" t="s">
        <v>123</v>
      </c>
      <c r="N450" s="41">
        <v>46007.916666666664</v>
      </c>
      <c r="O450" s="38" t="s">
        <v>123</v>
      </c>
      <c r="P450" s="38">
        <v>1800.0</v>
      </c>
      <c r="Q450" s="39"/>
      <c r="R450" s="39"/>
      <c r="S450" s="39"/>
      <c r="T450" s="39"/>
      <c r="U450" s="39"/>
    </row>
    <row r="451">
      <c r="A451" s="40">
        <f t="shared" si="1"/>
        <v>46006</v>
      </c>
      <c r="B451" s="37" t="str">
        <f t="array" ref="B451">iferror(xlookup($I451, 'IMPORT VHC Report'!$E:$E, 'IMPORT VHC Report'!$A:$C), )</f>
        <v/>
      </c>
      <c r="C451" s="37"/>
      <c r="D451" s="37"/>
      <c r="E451" s="38" t="s">
        <v>676</v>
      </c>
      <c r="F451" s="38" t="s">
        <v>660</v>
      </c>
      <c r="G451" s="38">
        <v>3.61726427476E11</v>
      </c>
      <c r="H451" s="38" t="s">
        <v>661</v>
      </c>
      <c r="I451" s="38" t="s">
        <v>662</v>
      </c>
      <c r="J451" s="38" t="s">
        <v>530</v>
      </c>
      <c r="K451" s="38" t="s">
        <v>63</v>
      </c>
      <c r="L451" s="41">
        <v>46007.916666666664</v>
      </c>
      <c r="M451" s="38" t="s">
        <v>123</v>
      </c>
      <c r="N451" s="41">
        <v>46008.25</v>
      </c>
      <c r="O451" s="38" t="s">
        <v>123</v>
      </c>
      <c r="P451" s="38">
        <v>28800.0</v>
      </c>
      <c r="Q451" s="39"/>
      <c r="R451" s="39"/>
      <c r="S451" s="39"/>
      <c r="T451" s="39"/>
      <c r="U451" s="39"/>
    </row>
    <row r="452">
      <c r="A452" s="40">
        <f t="shared" si="1"/>
        <v>46006</v>
      </c>
      <c r="B452" s="37" t="str">
        <f t="array" ref="B452">iferror(xlookup($I452, 'IMPORT VHC Report'!$E:$E, 'IMPORT VHC Report'!$A:$C), )</f>
        <v/>
      </c>
      <c r="C452" s="37"/>
      <c r="D452" s="37"/>
      <c r="E452" s="38" t="s">
        <v>677</v>
      </c>
      <c r="F452" s="38" t="s">
        <v>660</v>
      </c>
      <c r="G452" s="38">
        <v>3.61726427476E11</v>
      </c>
      <c r="H452" s="38" t="s">
        <v>661</v>
      </c>
      <c r="I452" s="38" t="s">
        <v>662</v>
      </c>
      <c r="J452" s="38" t="s">
        <v>134</v>
      </c>
      <c r="K452" s="38" t="s">
        <v>126</v>
      </c>
      <c r="L452" s="41">
        <v>46007.958333333336</v>
      </c>
      <c r="M452" s="38" t="s">
        <v>123</v>
      </c>
      <c r="N452" s="41">
        <v>46007.979166666664</v>
      </c>
      <c r="O452" s="38" t="s">
        <v>123</v>
      </c>
      <c r="P452" s="38">
        <v>1800.0</v>
      </c>
      <c r="Q452" s="39"/>
      <c r="R452" s="39"/>
      <c r="S452" s="39"/>
      <c r="T452" s="39"/>
      <c r="U452" s="39"/>
    </row>
    <row r="453">
      <c r="A453" s="40">
        <f t="shared" si="1"/>
        <v>46006</v>
      </c>
      <c r="B453" s="37" t="str">
        <f t="array" ref="B453">iferror(xlookup($I453, 'IMPORT VHC Report'!$E:$E, 'IMPORT VHC Report'!$A:$C), )</f>
        <v/>
      </c>
      <c r="C453" s="37"/>
      <c r="D453" s="37"/>
      <c r="E453" s="38" t="s">
        <v>678</v>
      </c>
      <c r="F453" s="38" t="s">
        <v>660</v>
      </c>
      <c r="G453" s="38">
        <v>3.61726427476E11</v>
      </c>
      <c r="H453" s="38" t="s">
        <v>661</v>
      </c>
      <c r="I453" s="38" t="s">
        <v>662</v>
      </c>
      <c r="J453" s="38" t="s">
        <v>132</v>
      </c>
      <c r="K453" s="38" t="s">
        <v>126</v>
      </c>
      <c r="L453" s="41">
        <v>46008.09375</v>
      </c>
      <c r="M453" s="38" t="s">
        <v>123</v>
      </c>
      <c r="N453" s="41">
        <v>46008.135416666664</v>
      </c>
      <c r="O453" s="38" t="s">
        <v>123</v>
      </c>
      <c r="P453" s="38">
        <v>3600.0</v>
      </c>
      <c r="Q453" s="39"/>
      <c r="R453" s="39"/>
      <c r="S453" s="39"/>
      <c r="T453" s="39"/>
      <c r="U453" s="39"/>
    </row>
    <row r="454">
      <c r="A454" s="40">
        <f t="shared" si="1"/>
        <v>46006</v>
      </c>
      <c r="B454" s="37" t="str">
        <f t="array" ref="B454">iferror(xlookup($I454, 'IMPORT VHC Report'!$E:$E, 'IMPORT VHC Report'!$A:$C), )</f>
        <v/>
      </c>
      <c r="C454" s="37"/>
      <c r="D454" s="37"/>
      <c r="E454" s="38" t="s">
        <v>679</v>
      </c>
      <c r="F454" s="38" t="s">
        <v>660</v>
      </c>
      <c r="G454" s="38">
        <v>3.61726427476E11</v>
      </c>
      <c r="H454" s="38" t="s">
        <v>661</v>
      </c>
      <c r="I454" s="38" t="s">
        <v>662</v>
      </c>
      <c r="J454" s="38" t="s">
        <v>4</v>
      </c>
      <c r="K454" s="38" t="s">
        <v>126</v>
      </c>
      <c r="L454" s="41">
        <v>46008.875</v>
      </c>
      <c r="M454" s="38" t="s">
        <v>123</v>
      </c>
      <c r="N454" s="41">
        <v>46008.895833333336</v>
      </c>
      <c r="O454" s="38" t="s">
        <v>123</v>
      </c>
      <c r="P454" s="38">
        <v>1800.0</v>
      </c>
      <c r="Q454" s="39"/>
      <c r="R454" s="39"/>
      <c r="S454" s="39"/>
      <c r="T454" s="39"/>
      <c r="U454" s="39"/>
    </row>
    <row r="455">
      <c r="A455" s="40">
        <f t="shared" si="1"/>
        <v>46006</v>
      </c>
      <c r="B455" s="37" t="str">
        <f t="array" ref="B455">iferror(xlookup($I455, 'IMPORT VHC Report'!$E:$E, 'IMPORT VHC Report'!$A:$C), )</f>
        <v/>
      </c>
      <c r="C455" s="37"/>
      <c r="D455" s="37"/>
      <c r="E455" s="38" t="s">
        <v>680</v>
      </c>
      <c r="F455" s="38" t="s">
        <v>660</v>
      </c>
      <c r="G455" s="38">
        <v>3.61726427476E11</v>
      </c>
      <c r="H455" s="38" t="s">
        <v>661</v>
      </c>
      <c r="I455" s="38" t="s">
        <v>662</v>
      </c>
      <c r="J455" s="38" t="s">
        <v>178</v>
      </c>
      <c r="K455" s="38" t="s">
        <v>153</v>
      </c>
      <c r="L455" s="41">
        <v>46008.875</v>
      </c>
      <c r="M455" s="38" t="s">
        <v>123</v>
      </c>
      <c r="N455" s="41">
        <v>46009.25</v>
      </c>
      <c r="O455" s="38" t="s">
        <v>123</v>
      </c>
      <c r="P455" s="38">
        <v>32400.0</v>
      </c>
      <c r="Q455" s="38">
        <v>28800.0</v>
      </c>
      <c r="R455" s="38" t="s">
        <v>681</v>
      </c>
      <c r="S455" s="39"/>
      <c r="T455" s="39"/>
      <c r="U455" s="39"/>
    </row>
    <row r="456">
      <c r="A456" s="40">
        <f t="shared" si="1"/>
        <v>46006</v>
      </c>
      <c r="B456" s="37" t="str">
        <f t="array" ref="B456">iferror(xlookup($I456, 'IMPORT VHC Report'!$E:$E, 'IMPORT VHC Report'!$A:$C), )</f>
        <v/>
      </c>
      <c r="C456" s="37"/>
      <c r="D456" s="37"/>
      <c r="E456" s="38" t="s">
        <v>682</v>
      </c>
      <c r="F456" s="38" t="s">
        <v>660</v>
      </c>
      <c r="G456" s="38">
        <v>3.61726427476E11</v>
      </c>
      <c r="H456" s="38" t="s">
        <v>661</v>
      </c>
      <c r="I456" s="38" t="s">
        <v>662</v>
      </c>
      <c r="J456" s="38" t="s">
        <v>530</v>
      </c>
      <c r="K456" s="38" t="s">
        <v>63</v>
      </c>
      <c r="L456" s="41">
        <v>46008.875</v>
      </c>
      <c r="M456" s="38" t="s">
        <v>123</v>
      </c>
      <c r="N456" s="41">
        <v>46009.25</v>
      </c>
      <c r="O456" s="38" t="s">
        <v>123</v>
      </c>
      <c r="P456" s="38">
        <v>32400.0</v>
      </c>
      <c r="Q456" s="39"/>
      <c r="R456" s="39"/>
      <c r="S456" s="39"/>
      <c r="T456" s="39"/>
      <c r="U456" s="39"/>
    </row>
    <row r="457">
      <c r="A457" s="40">
        <f t="shared" si="1"/>
        <v>46006</v>
      </c>
      <c r="B457" s="37" t="str">
        <f t="array" ref="B457">iferror(xlookup($I457, 'IMPORT VHC Report'!$E:$E, 'IMPORT VHC Report'!$A:$C), )</f>
        <v/>
      </c>
      <c r="C457" s="37"/>
      <c r="D457" s="37"/>
      <c r="E457" s="38" t="s">
        <v>683</v>
      </c>
      <c r="F457" s="38" t="s">
        <v>660</v>
      </c>
      <c r="G457" s="38">
        <v>3.61726427476E11</v>
      </c>
      <c r="H457" s="38" t="s">
        <v>661</v>
      </c>
      <c r="I457" s="38" t="s">
        <v>662</v>
      </c>
      <c r="J457" s="38" t="s">
        <v>134</v>
      </c>
      <c r="K457" s="38" t="s">
        <v>126</v>
      </c>
      <c r="L457" s="41">
        <v>46008.958333333336</v>
      </c>
      <c r="M457" s="38" t="s">
        <v>123</v>
      </c>
      <c r="N457" s="41">
        <v>46008.979166666664</v>
      </c>
      <c r="O457" s="38" t="s">
        <v>123</v>
      </c>
      <c r="P457" s="38">
        <v>1800.0</v>
      </c>
      <c r="Q457" s="39"/>
      <c r="R457" s="39"/>
      <c r="S457" s="39"/>
      <c r="T457" s="39"/>
      <c r="U457" s="39"/>
    </row>
    <row r="458">
      <c r="A458" s="40">
        <f t="shared" si="1"/>
        <v>46006</v>
      </c>
      <c r="B458" s="37" t="str">
        <f t="array" ref="B458">iferror(xlookup($I458, 'IMPORT VHC Report'!$E:$E, 'IMPORT VHC Report'!$A:$C), )</f>
        <v/>
      </c>
      <c r="C458" s="37"/>
      <c r="D458" s="37"/>
      <c r="E458" s="38" t="s">
        <v>684</v>
      </c>
      <c r="F458" s="38" t="s">
        <v>660</v>
      </c>
      <c r="G458" s="38">
        <v>3.61726427476E11</v>
      </c>
      <c r="H458" s="38" t="s">
        <v>661</v>
      </c>
      <c r="I458" s="38" t="s">
        <v>662</v>
      </c>
      <c r="J458" s="38" t="s">
        <v>132</v>
      </c>
      <c r="K458" s="38" t="s">
        <v>126</v>
      </c>
      <c r="L458" s="41">
        <v>46009.09375</v>
      </c>
      <c r="M458" s="38" t="s">
        <v>123</v>
      </c>
      <c r="N458" s="41">
        <v>46009.135416666664</v>
      </c>
      <c r="O458" s="38" t="s">
        <v>123</v>
      </c>
      <c r="P458" s="38">
        <v>3600.0</v>
      </c>
      <c r="Q458" s="39"/>
      <c r="R458" s="39"/>
      <c r="S458" s="39"/>
      <c r="T458" s="39"/>
      <c r="U458" s="39"/>
    </row>
    <row r="459">
      <c r="A459" s="40">
        <f t="shared" si="1"/>
        <v>46006</v>
      </c>
      <c r="B459" s="37" t="str">
        <f t="array" ref="B459">iferror(xlookup($I459, 'IMPORT VHC Report'!$E:$E, 'IMPORT VHC Report'!$A:$C), )</f>
        <v/>
      </c>
      <c r="C459" s="37"/>
      <c r="D459" s="37"/>
      <c r="E459" s="38" t="s">
        <v>685</v>
      </c>
      <c r="F459" s="38" t="s">
        <v>660</v>
      </c>
      <c r="G459" s="38">
        <v>3.61726427476E11</v>
      </c>
      <c r="H459" s="38" t="s">
        <v>661</v>
      </c>
      <c r="I459" s="38" t="s">
        <v>662</v>
      </c>
      <c r="J459" s="38" t="s">
        <v>4</v>
      </c>
      <c r="K459" s="38" t="s">
        <v>126</v>
      </c>
      <c r="L459" s="41">
        <v>46009.875</v>
      </c>
      <c r="M459" s="38" t="s">
        <v>123</v>
      </c>
      <c r="N459" s="41">
        <v>46009.895833333336</v>
      </c>
      <c r="O459" s="38" t="s">
        <v>123</v>
      </c>
      <c r="P459" s="38">
        <v>1800.0</v>
      </c>
      <c r="Q459" s="39"/>
      <c r="R459" s="39"/>
      <c r="S459" s="39"/>
      <c r="T459" s="39"/>
      <c r="U459" s="39"/>
    </row>
    <row r="460">
      <c r="A460" s="40">
        <f t="shared" si="1"/>
        <v>46006</v>
      </c>
      <c r="B460" s="37" t="str">
        <f t="array" ref="B460">iferror(xlookup($I460, 'IMPORT VHC Report'!$E:$E, 'IMPORT VHC Report'!$A:$C), )</f>
        <v/>
      </c>
      <c r="C460" s="37"/>
      <c r="D460" s="37"/>
      <c r="E460" s="38" t="s">
        <v>686</v>
      </c>
      <c r="F460" s="38" t="s">
        <v>660</v>
      </c>
      <c r="G460" s="38">
        <v>3.61726427476E11</v>
      </c>
      <c r="H460" s="38" t="s">
        <v>661</v>
      </c>
      <c r="I460" s="38" t="s">
        <v>662</v>
      </c>
      <c r="J460" s="38" t="s">
        <v>178</v>
      </c>
      <c r="K460" s="38" t="s">
        <v>153</v>
      </c>
      <c r="L460" s="41">
        <v>46009.875</v>
      </c>
      <c r="M460" s="38" t="s">
        <v>123</v>
      </c>
      <c r="N460" s="41">
        <v>46010.25</v>
      </c>
      <c r="O460" s="38" t="s">
        <v>123</v>
      </c>
      <c r="P460" s="38">
        <v>32400.0</v>
      </c>
      <c r="Q460" s="38">
        <v>28800.0</v>
      </c>
      <c r="R460" s="38" t="s">
        <v>687</v>
      </c>
      <c r="S460" s="39"/>
      <c r="T460" s="39"/>
      <c r="U460" s="39"/>
    </row>
    <row r="461">
      <c r="A461" s="40">
        <f t="shared" si="1"/>
        <v>46006</v>
      </c>
      <c r="B461" s="37" t="str">
        <f t="array" ref="B461">iferror(xlookup($I461, 'IMPORT VHC Report'!$E:$E, 'IMPORT VHC Report'!$A:$C), )</f>
        <v/>
      </c>
      <c r="C461" s="37"/>
      <c r="D461" s="37"/>
      <c r="E461" s="38" t="s">
        <v>688</v>
      </c>
      <c r="F461" s="38" t="s">
        <v>660</v>
      </c>
      <c r="G461" s="38">
        <v>3.61726427476E11</v>
      </c>
      <c r="H461" s="38" t="s">
        <v>661</v>
      </c>
      <c r="I461" s="38" t="s">
        <v>662</v>
      </c>
      <c r="J461" s="38" t="s">
        <v>530</v>
      </c>
      <c r="K461" s="38" t="s">
        <v>63</v>
      </c>
      <c r="L461" s="41">
        <v>46009.875</v>
      </c>
      <c r="M461" s="38" t="s">
        <v>123</v>
      </c>
      <c r="N461" s="41">
        <v>46010.25</v>
      </c>
      <c r="O461" s="38" t="s">
        <v>123</v>
      </c>
      <c r="P461" s="38">
        <v>32400.0</v>
      </c>
      <c r="Q461" s="39"/>
      <c r="R461" s="39"/>
      <c r="S461" s="39"/>
      <c r="T461" s="39"/>
      <c r="U461" s="39"/>
    </row>
    <row r="462">
      <c r="A462" s="40">
        <f t="shared" si="1"/>
        <v>46006</v>
      </c>
      <c r="B462" s="37" t="str">
        <f t="array" ref="B462">iferror(xlookup($I462, 'IMPORT VHC Report'!$E:$E, 'IMPORT VHC Report'!$A:$C), )</f>
        <v/>
      </c>
      <c r="C462" s="37"/>
      <c r="D462" s="37"/>
      <c r="E462" s="38" t="s">
        <v>689</v>
      </c>
      <c r="F462" s="38" t="s">
        <v>660</v>
      </c>
      <c r="G462" s="38">
        <v>3.61726427476E11</v>
      </c>
      <c r="H462" s="38" t="s">
        <v>661</v>
      </c>
      <c r="I462" s="38" t="s">
        <v>662</v>
      </c>
      <c r="J462" s="38" t="s">
        <v>134</v>
      </c>
      <c r="K462" s="38" t="s">
        <v>126</v>
      </c>
      <c r="L462" s="41">
        <v>46009.958333333336</v>
      </c>
      <c r="M462" s="38" t="s">
        <v>123</v>
      </c>
      <c r="N462" s="41">
        <v>46009.979166666664</v>
      </c>
      <c r="O462" s="38" t="s">
        <v>123</v>
      </c>
      <c r="P462" s="38">
        <v>1800.0</v>
      </c>
      <c r="Q462" s="39"/>
      <c r="R462" s="39"/>
      <c r="S462" s="39"/>
      <c r="T462" s="39"/>
      <c r="U462" s="39"/>
    </row>
    <row r="463">
      <c r="A463" s="40">
        <f t="shared" si="1"/>
        <v>46006</v>
      </c>
      <c r="B463" s="37" t="str">
        <f t="array" ref="B463">iferror(xlookup($I463, 'IMPORT VHC Report'!$E:$E, 'IMPORT VHC Report'!$A:$C), )</f>
        <v/>
      </c>
      <c r="C463" s="37"/>
      <c r="D463" s="37"/>
      <c r="E463" s="38" t="s">
        <v>690</v>
      </c>
      <c r="F463" s="38" t="s">
        <v>660</v>
      </c>
      <c r="G463" s="38">
        <v>3.61726427476E11</v>
      </c>
      <c r="H463" s="38" t="s">
        <v>661</v>
      </c>
      <c r="I463" s="38" t="s">
        <v>662</v>
      </c>
      <c r="J463" s="38" t="s">
        <v>132</v>
      </c>
      <c r="K463" s="38" t="s">
        <v>126</v>
      </c>
      <c r="L463" s="41">
        <v>46010.09375</v>
      </c>
      <c r="M463" s="38" t="s">
        <v>123</v>
      </c>
      <c r="N463" s="41">
        <v>46010.135416666664</v>
      </c>
      <c r="O463" s="38" t="s">
        <v>123</v>
      </c>
      <c r="P463" s="38">
        <v>3600.0</v>
      </c>
      <c r="Q463" s="39"/>
      <c r="R463" s="39"/>
      <c r="S463" s="39"/>
      <c r="T463" s="39"/>
      <c r="U463" s="39"/>
    </row>
    <row r="464">
      <c r="A464" s="40">
        <f t="shared" si="1"/>
        <v>46006</v>
      </c>
      <c r="B464" s="37" t="str">
        <f t="array" ref="B464">iferror(xlookup($I464, 'IMPORT VHC Report'!$E:$E, 'IMPORT VHC Report'!$A:$C), )</f>
        <v/>
      </c>
      <c r="C464" s="37"/>
      <c r="D464" s="37"/>
      <c r="E464" s="38" t="s">
        <v>691</v>
      </c>
      <c r="F464" s="38" t="s">
        <v>660</v>
      </c>
      <c r="G464" s="38">
        <v>3.61726427476E11</v>
      </c>
      <c r="H464" s="38" t="s">
        <v>661</v>
      </c>
      <c r="I464" s="38" t="s">
        <v>662</v>
      </c>
      <c r="J464" s="38" t="s">
        <v>4</v>
      </c>
      <c r="K464" s="38" t="s">
        <v>126</v>
      </c>
      <c r="L464" s="41">
        <v>46012.875</v>
      </c>
      <c r="M464" s="38" t="s">
        <v>123</v>
      </c>
      <c r="N464" s="41">
        <v>46012.895833333336</v>
      </c>
      <c r="O464" s="38" t="s">
        <v>123</v>
      </c>
      <c r="P464" s="38">
        <v>1800.0</v>
      </c>
      <c r="Q464" s="39"/>
      <c r="R464" s="39"/>
      <c r="S464" s="39"/>
      <c r="T464" s="39"/>
      <c r="U464" s="39"/>
    </row>
    <row r="465">
      <c r="A465" s="40">
        <f t="shared" si="1"/>
        <v>46006</v>
      </c>
      <c r="B465" s="37" t="str">
        <f t="array" ref="B465">iferror(xlookup($I465, 'IMPORT VHC Report'!$E:$E, 'IMPORT VHC Report'!$A:$C), )</f>
        <v/>
      </c>
      <c r="C465" s="37"/>
      <c r="D465" s="37"/>
      <c r="E465" s="38" t="s">
        <v>692</v>
      </c>
      <c r="F465" s="38" t="s">
        <v>660</v>
      </c>
      <c r="G465" s="38">
        <v>3.61726427476E11</v>
      </c>
      <c r="H465" s="38" t="s">
        <v>661</v>
      </c>
      <c r="I465" s="38" t="s">
        <v>662</v>
      </c>
      <c r="J465" s="38" t="s">
        <v>530</v>
      </c>
      <c r="K465" s="38" t="s">
        <v>63</v>
      </c>
      <c r="L465" s="41">
        <v>46012.875</v>
      </c>
      <c r="M465" s="38" t="s">
        <v>123</v>
      </c>
      <c r="N465" s="41">
        <v>46013.0</v>
      </c>
      <c r="O465" s="38" t="s">
        <v>123</v>
      </c>
      <c r="P465" s="38">
        <v>10800.0</v>
      </c>
      <c r="Q465" s="39"/>
      <c r="R465" s="39"/>
      <c r="S465" s="39"/>
      <c r="T465" s="39"/>
      <c r="U465" s="39"/>
    </row>
    <row r="466">
      <c r="A466" s="40">
        <f t="shared" si="1"/>
        <v>46006</v>
      </c>
      <c r="B466" s="37" t="str">
        <f t="array" ref="B466">iferror(xlookup($I466, 'IMPORT VHC Report'!$E:$E, 'IMPORT VHC Report'!$A:$C), )</f>
        <v/>
      </c>
      <c r="C466" s="37"/>
      <c r="D466" s="37"/>
      <c r="E466" s="38" t="s">
        <v>693</v>
      </c>
      <c r="F466" s="38" t="s">
        <v>660</v>
      </c>
      <c r="G466" s="38">
        <v>3.61726427476E11</v>
      </c>
      <c r="H466" s="38" t="s">
        <v>661</v>
      </c>
      <c r="I466" s="38" t="s">
        <v>662</v>
      </c>
      <c r="J466" s="38" t="s">
        <v>4</v>
      </c>
      <c r="K466" s="38" t="s">
        <v>126</v>
      </c>
      <c r="L466" s="41">
        <v>46012.895833333336</v>
      </c>
      <c r="M466" s="38" t="s">
        <v>123</v>
      </c>
      <c r="N466" s="41">
        <v>46012.9375</v>
      </c>
      <c r="O466" s="38" t="s">
        <v>123</v>
      </c>
      <c r="P466" s="38">
        <v>3600.0</v>
      </c>
      <c r="Q466" s="39"/>
      <c r="R466" s="39"/>
      <c r="S466" s="38" t="s">
        <v>694</v>
      </c>
      <c r="T466" s="39"/>
      <c r="U466" s="39"/>
    </row>
    <row r="467">
      <c r="A467" s="40">
        <f t="shared" si="1"/>
        <v>45999</v>
      </c>
      <c r="B467" s="37" t="str">
        <f t="array" ref="B467">iferror(xlookup($I467, 'IMPORT VHC Report'!$E:$E, 'IMPORT VHC Report'!$A:$C), )</f>
        <v/>
      </c>
      <c r="C467" s="37"/>
      <c r="D467" s="37"/>
      <c r="E467" s="38" t="s">
        <v>695</v>
      </c>
      <c r="F467" s="38" t="s">
        <v>696</v>
      </c>
      <c r="G467" s="38">
        <v>1.0548602091791E13</v>
      </c>
      <c r="H467" s="38" t="s">
        <v>697</v>
      </c>
      <c r="I467" s="38" t="s">
        <v>698</v>
      </c>
      <c r="J467" s="38" t="s">
        <v>178</v>
      </c>
      <c r="K467" s="38" t="s">
        <v>153</v>
      </c>
      <c r="L467" s="41">
        <v>46005.875</v>
      </c>
      <c r="M467" s="38" t="s">
        <v>123</v>
      </c>
      <c r="N467" s="41">
        <v>46006.25</v>
      </c>
      <c r="O467" s="38" t="s">
        <v>123</v>
      </c>
      <c r="P467" s="38">
        <v>32400.0</v>
      </c>
      <c r="Q467" s="38">
        <v>172800.0</v>
      </c>
      <c r="R467" s="38" t="s">
        <v>699</v>
      </c>
      <c r="S467" s="39"/>
      <c r="T467" s="39"/>
      <c r="U467" s="39"/>
    </row>
    <row r="468">
      <c r="A468" s="40">
        <f t="shared" si="1"/>
        <v>46006</v>
      </c>
      <c r="B468" s="37" t="str">
        <f t="array" ref="B468">iferror(xlookup($I468, 'IMPORT VHC Report'!$E:$E, 'IMPORT VHC Report'!$A:$C), )</f>
        <v/>
      </c>
      <c r="C468" s="37"/>
      <c r="D468" s="37"/>
      <c r="E468" s="38" t="s">
        <v>700</v>
      </c>
      <c r="F468" s="38" t="s">
        <v>696</v>
      </c>
      <c r="G468" s="38">
        <v>1.0548602091791E13</v>
      </c>
      <c r="H468" s="38" t="s">
        <v>697</v>
      </c>
      <c r="I468" s="38" t="s">
        <v>698</v>
      </c>
      <c r="J468" s="38" t="s">
        <v>332</v>
      </c>
      <c r="K468" s="38" t="s">
        <v>63</v>
      </c>
      <c r="L468" s="41">
        <v>46006.0</v>
      </c>
      <c r="M468" s="38" t="s">
        <v>123</v>
      </c>
      <c r="N468" s="41">
        <v>46006.25</v>
      </c>
      <c r="O468" s="38" t="s">
        <v>123</v>
      </c>
      <c r="P468" s="38">
        <v>21600.0</v>
      </c>
      <c r="Q468" s="39"/>
      <c r="R468" s="39"/>
      <c r="S468" s="39"/>
      <c r="T468" s="39"/>
      <c r="U468" s="39"/>
    </row>
    <row r="469">
      <c r="A469" s="40">
        <f t="shared" si="1"/>
        <v>46006</v>
      </c>
      <c r="B469" s="37" t="str">
        <f t="array" ref="B469">iferror(xlookup($I469, 'IMPORT VHC Report'!$E:$E, 'IMPORT VHC Report'!$A:$C), )</f>
        <v/>
      </c>
      <c r="C469" s="37"/>
      <c r="D469" s="37"/>
      <c r="E469" s="38" t="s">
        <v>701</v>
      </c>
      <c r="F469" s="38" t="s">
        <v>696</v>
      </c>
      <c r="G469" s="38">
        <v>1.0548602091791E13</v>
      </c>
      <c r="H469" s="38" t="s">
        <v>697</v>
      </c>
      <c r="I469" s="38" t="s">
        <v>698</v>
      </c>
      <c r="J469" s="38" t="s">
        <v>132</v>
      </c>
      <c r="K469" s="38" t="s">
        <v>126</v>
      </c>
      <c r="L469" s="41">
        <v>46006.104166666664</v>
      </c>
      <c r="M469" s="38" t="s">
        <v>123</v>
      </c>
      <c r="N469" s="41">
        <v>46006.145833333336</v>
      </c>
      <c r="O469" s="38" t="s">
        <v>123</v>
      </c>
      <c r="P469" s="38">
        <v>3600.0</v>
      </c>
      <c r="Q469" s="39"/>
      <c r="R469" s="39"/>
      <c r="S469" s="39"/>
      <c r="T469" s="39"/>
      <c r="U469" s="39"/>
    </row>
    <row r="470">
      <c r="A470" s="40">
        <f t="shared" si="1"/>
        <v>46006</v>
      </c>
      <c r="B470" s="37" t="str">
        <f t="array" ref="B470">iferror(xlookup($I470, 'IMPORT VHC Report'!$E:$E, 'IMPORT VHC Report'!$A:$C), )</f>
        <v/>
      </c>
      <c r="C470" s="37"/>
      <c r="D470" s="37"/>
      <c r="E470" s="38" t="s">
        <v>702</v>
      </c>
      <c r="F470" s="38" t="s">
        <v>696</v>
      </c>
      <c r="G470" s="38">
        <v>1.0548602091791E13</v>
      </c>
      <c r="H470" s="38" t="s">
        <v>697</v>
      </c>
      <c r="I470" s="38" t="s">
        <v>698</v>
      </c>
      <c r="J470" s="38" t="s">
        <v>330</v>
      </c>
      <c r="K470" s="38" t="s">
        <v>126</v>
      </c>
      <c r="L470" s="41">
        <v>46008.875</v>
      </c>
      <c r="M470" s="38" t="s">
        <v>123</v>
      </c>
      <c r="N470" s="41">
        <v>46008.881944444445</v>
      </c>
      <c r="O470" s="38" t="s">
        <v>123</v>
      </c>
      <c r="P470" s="38">
        <v>600.0</v>
      </c>
      <c r="Q470" s="39"/>
      <c r="R470" s="39"/>
      <c r="S470" s="39"/>
      <c r="T470" s="39"/>
      <c r="U470" s="39"/>
    </row>
    <row r="471">
      <c r="A471" s="40">
        <f t="shared" si="1"/>
        <v>46006</v>
      </c>
      <c r="B471" s="37" t="str">
        <f t="array" ref="B471">iferror(xlookup($I471, 'IMPORT VHC Report'!$E:$E, 'IMPORT VHC Report'!$A:$C), )</f>
        <v/>
      </c>
      <c r="C471" s="37"/>
      <c r="D471" s="37"/>
      <c r="E471" s="38" t="s">
        <v>703</v>
      </c>
      <c r="F471" s="38" t="s">
        <v>696</v>
      </c>
      <c r="G471" s="38">
        <v>1.0548602091791E13</v>
      </c>
      <c r="H471" s="38" t="s">
        <v>697</v>
      </c>
      <c r="I471" s="38" t="s">
        <v>698</v>
      </c>
      <c r="J471" s="38" t="s">
        <v>178</v>
      </c>
      <c r="K471" s="38" t="s">
        <v>153</v>
      </c>
      <c r="L471" s="41">
        <v>46008.875</v>
      </c>
      <c r="M471" s="38" t="s">
        <v>123</v>
      </c>
      <c r="N471" s="41">
        <v>46009.25</v>
      </c>
      <c r="O471" s="38" t="s">
        <v>123</v>
      </c>
      <c r="P471" s="38">
        <v>32400.0</v>
      </c>
      <c r="Q471" s="38">
        <v>32400.0</v>
      </c>
      <c r="R471" s="39"/>
      <c r="S471" s="39"/>
      <c r="T471" s="39"/>
      <c r="U471" s="39"/>
    </row>
    <row r="472">
      <c r="A472" s="40">
        <f t="shared" si="1"/>
        <v>46006</v>
      </c>
      <c r="B472" s="37" t="str">
        <f t="array" ref="B472">iferror(xlookup($I472, 'IMPORT VHC Report'!$E:$E, 'IMPORT VHC Report'!$A:$C), )</f>
        <v/>
      </c>
      <c r="C472" s="37"/>
      <c r="D472" s="37"/>
      <c r="E472" s="38" t="s">
        <v>704</v>
      </c>
      <c r="F472" s="38" t="s">
        <v>696</v>
      </c>
      <c r="G472" s="38">
        <v>1.0548602091791E13</v>
      </c>
      <c r="H472" s="38" t="s">
        <v>697</v>
      </c>
      <c r="I472" s="38" t="s">
        <v>698</v>
      </c>
      <c r="J472" s="38" t="s">
        <v>332</v>
      </c>
      <c r="K472" s="38" t="s">
        <v>63</v>
      </c>
      <c r="L472" s="41">
        <v>46008.875</v>
      </c>
      <c r="M472" s="38" t="s">
        <v>123</v>
      </c>
      <c r="N472" s="41">
        <v>46009.25</v>
      </c>
      <c r="O472" s="38" t="s">
        <v>123</v>
      </c>
      <c r="P472" s="38">
        <v>32400.0</v>
      </c>
      <c r="Q472" s="39"/>
      <c r="R472" s="39"/>
      <c r="S472" s="39"/>
      <c r="T472" s="39"/>
      <c r="U472" s="39"/>
    </row>
    <row r="473">
      <c r="A473" s="40">
        <f t="shared" si="1"/>
        <v>46006</v>
      </c>
      <c r="B473" s="37" t="str">
        <f t="array" ref="B473">iferror(xlookup($I473, 'IMPORT VHC Report'!$E:$E, 'IMPORT VHC Report'!$A:$C), )</f>
        <v/>
      </c>
      <c r="C473" s="37"/>
      <c r="D473" s="37"/>
      <c r="E473" s="38" t="s">
        <v>705</v>
      </c>
      <c r="F473" s="38" t="s">
        <v>696</v>
      </c>
      <c r="G473" s="38">
        <v>1.0548602091791E13</v>
      </c>
      <c r="H473" s="38" t="s">
        <v>697</v>
      </c>
      <c r="I473" s="38" t="s">
        <v>698</v>
      </c>
      <c r="J473" s="38" t="s">
        <v>134</v>
      </c>
      <c r="K473" s="38" t="s">
        <v>126</v>
      </c>
      <c r="L473" s="41">
        <v>46009.020833333336</v>
      </c>
      <c r="M473" s="38" t="s">
        <v>123</v>
      </c>
      <c r="N473" s="41">
        <v>46009.041666666664</v>
      </c>
      <c r="O473" s="38" t="s">
        <v>123</v>
      </c>
      <c r="P473" s="38">
        <v>1800.0</v>
      </c>
      <c r="Q473" s="39"/>
      <c r="R473" s="39"/>
      <c r="S473" s="39"/>
      <c r="T473" s="39"/>
      <c r="U473" s="39"/>
    </row>
    <row r="474">
      <c r="A474" s="40">
        <f t="shared" si="1"/>
        <v>46006</v>
      </c>
      <c r="B474" s="37" t="str">
        <f t="array" ref="B474">iferror(xlookup($I474, 'IMPORT VHC Report'!$E:$E, 'IMPORT VHC Report'!$A:$C), )</f>
        <v/>
      </c>
      <c r="C474" s="37"/>
      <c r="D474" s="37"/>
      <c r="E474" s="38" t="s">
        <v>706</v>
      </c>
      <c r="F474" s="38" t="s">
        <v>696</v>
      </c>
      <c r="G474" s="38">
        <v>1.0548602091791E13</v>
      </c>
      <c r="H474" s="38" t="s">
        <v>697</v>
      </c>
      <c r="I474" s="38" t="s">
        <v>698</v>
      </c>
      <c r="J474" s="38" t="s">
        <v>136</v>
      </c>
      <c r="K474" s="38" t="s">
        <v>126</v>
      </c>
      <c r="L474" s="41">
        <v>46009.041666666664</v>
      </c>
      <c r="M474" s="38" t="s">
        <v>123</v>
      </c>
      <c r="N474" s="41">
        <v>46009.083333333336</v>
      </c>
      <c r="O474" s="38" t="s">
        <v>123</v>
      </c>
      <c r="P474" s="38">
        <v>3600.0</v>
      </c>
      <c r="Q474" s="39"/>
      <c r="R474" s="39"/>
      <c r="S474" s="38" t="s">
        <v>137</v>
      </c>
      <c r="T474" s="39"/>
      <c r="U474" s="39"/>
    </row>
    <row r="475">
      <c r="A475" s="40">
        <f t="shared" si="1"/>
        <v>46006</v>
      </c>
      <c r="B475" s="37" t="str">
        <f t="array" ref="B475">iferror(xlookup($I475, 'IMPORT VHC Report'!$E:$E, 'IMPORT VHC Report'!$A:$C), )</f>
        <v/>
      </c>
      <c r="C475" s="37"/>
      <c r="D475" s="37"/>
      <c r="E475" s="38" t="s">
        <v>707</v>
      </c>
      <c r="F475" s="38" t="s">
        <v>696</v>
      </c>
      <c r="G475" s="38">
        <v>1.0548602091791E13</v>
      </c>
      <c r="H475" s="38" t="s">
        <v>697</v>
      </c>
      <c r="I475" s="38" t="s">
        <v>698</v>
      </c>
      <c r="J475" s="38" t="s">
        <v>132</v>
      </c>
      <c r="K475" s="38" t="s">
        <v>126</v>
      </c>
      <c r="L475" s="41">
        <v>46009.166666666664</v>
      </c>
      <c r="M475" s="38" t="s">
        <v>123</v>
      </c>
      <c r="N475" s="41">
        <v>46009.208333333336</v>
      </c>
      <c r="O475" s="38" t="s">
        <v>123</v>
      </c>
      <c r="P475" s="38">
        <v>3600.0</v>
      </c>
      <c r="Q475" s="39"/>
      <c r="R475" s="39"/>
      <c r="S475" s="39"/>
      <c r="T475" s="39"/>
      <c r="U475" s="39"/>
    </row>
    <row r="476">
      <c r="A476" s="40">
        <f t="shared" si="1"/>
        <v>46006</v>
      </c>
      <c r="B476" s="37" t="str">
        <f t="array" ref="B476">iferror(xlookup($I476, 'IMPORT VHC Report'!$E:$E, 'IMPORT VHC Report'!$A:$C), )</f>
        <v/>
      </c>
      <c r="C476" s="37"/>
      <c r="D476" s="37"/>
      <c r="E476" s="38" t="s">
        <v>708</v>
      </c>
      <c r="F476" s="38" t="s">
        <v>696</v>
      </c>
      <c r="G476" s="38">
        <v>1.0548602091791E13</v>
      </c>
      <c r="H476" s="38" t="s">
        <v>697</v>
      </c>
      <c r="I476" s="38" t="s">
        <v>698</v>
      </c>
      <c r="J476" s="38" t="s">
        <v>330</v>
      </c>
      <c r="K476" s="38" t="s">
        <v>126</v>
      </c>
      <c r="L476" s="41">
        <v>46009.875</v>
      </c>
      <c r="M476" s="38" t="s">
        <v>123</v>
      </c>
      <c r="N476" s="41">
        <v>46009.881944444445</v>
      </c>
      <c r="O476" s="38" t="s">
        <v>123</v>
      </c>
      <c r="P476" s="38">
        <v>600.0</v>
      </c>
      <c r="Q476" s="39"/>
      <c r="R476" s="39"/>
      <c r="S476" s="39"/>
      <c r="T476" s="39"/>
      <c r="U476" s="39"/>
    </row>
    <row r="477">
      <c r="A477" s="40">
        <f t="shared" si="1"/>
        <v>46006</v>
      </c>
      <c r="B477" s="37" t="str">
        <f t="array" ref="B477">iferror(xlookup($I477, 'IMPORT VHC Report'!$E:$E, 'IMPORT VHC Report'!$A:$C), )</f>
        <v/>
      </c>
      <c r="C477" s="37"/>
      <c r="D477" s="37"/>
      <c r="E477" s="38" t="s">
        <v>709</v>
      </c>
      <c r="F477" s="38" t="s">
        <v>696</v>
      </c>
      <c r="G477" s="38">
        <v>1.0548602091791E13</v>
      </c>
      <c r="H477" s="38" t="s">
        <v>697</v>
      </c>
      <c r="I477" s="38" t="s">
        <v>698</v>
      </c>
      <c r="J477" s="38" t="s">
        <v>332</v>
      </c>
      <c r="K477" s="38" t="s">
        <v>63</v>
      </c>
      <c r="L477" s="41">
        <v>46009.875</v>
      </c>
      <c r="M477" s="38" t="s">
        <v>123</v>
      </c>
      <c r="N477" s="41">
        <v>46010.25</v>
      </c>
      <c r="O477" s="38" t="s">
        <v>123</v>
      </c>
      <c r="P477" s="38">
        <v>32400.0</v>
      </c>
      <c r="Q477" s="39"/>
      <c r="R477" s="39"/>
      <c r="S477" s="39"/>
      <c r="T477" s="39"/>
      <c r="U477" s="39"/>
    </row>
    <row r="478">
      <c r="A478" s="40">
        <f t="shared" si="1"/>
        <v>46006</v>
      </c>
      <c r="B478" s="37" t="str">
        <f t="array" ref="B478">iferror(xlookup($I478, 'IMPORT VHC Report'!$E:$E, 'IMPORT VHC Report'!$A:$C), )</f>
        <v/>
      </c>
      <c r="C478" s="37"/>
      <c r="D478" s="37"/>
      <c r="E478" s="38" t="s">
        <v>710</v>
      </c>
      <c r="F478" s="38" t="s">
        <v>696</v>
      </c>
      <c r="G478" s="38">
        <v>1.0548602091791E13</v>
      </c>
      <c r="H478" s="38" t="s">
        <v>697</v>
      </c>
      <c r="I478" s="38" t="s">
        <v>698</v>
      </c>
      <c r="J478" s="38" t="s">
        <v>178</v>
      </c>
      <c r="K478" s="38" t="s">
        <v>153</v>
      </c>
      <c r="L478" s="41">
        <v>46009.875</v>
      </c>
      <c r="M478" s="38" t="s">
        <v>123</v>
      </c>
      <c r="N478" s="41">
        <v>46010.25</v>
      </c>
      <c r="O478" s="38" t="s">
        <v>123</v>
      </c>
      <c r="P478" s="38">
        <v>32400.0</v>
      </c>
      <c r="Q478" s="38">
        <v>32400.0</v>
      </c>
      <c r="R478" s="39"/>
      <c r="S478" s="39"/>
      <c r="T478" s="39"/>
      <c r="U478" s="39"/>
    </row>
    <row r="479">
      <c r="A479" s="40">
        <f t="shared" si="1"/>
        <v>46006</v>
      </c>
      <c r="B479" s="37" t="str">
        <f t="array" ref="B479">iferror(xlookup($I479, 'IMPORT VHC Report'!$E:$E, 'IMPORT VHC Report'!$A:$C), )</f>
        <v/>
      </c>
      <c r="C479" s="37"/>
      <c r="D479" s="37"/>
      <c r="E479" s="38" t="s">
        <v>711</v>
      </c>
      <c r="F479" s="38" t="s">
        <v>696</v>
      </c>
      <c r="G479" s="38">
        <v>1.0548602091791E13</v>
      </c>
      <c r="H479" s="38" t="s">
        <v>697</v>
      </c>
      <c r="I479" s="38" t="s">
        <v>698</v>
      </c>
      <c r="J479" s="38" t="s">
        <v>132</v>
      </c>
      <c r="K479" s="38" t="s">
        <v>126</v>
      </c>
      <c r="L479" s="41">
        <v>46009.989583333336</v>
      </c>
      <c r="M479" s="38" t="s">
        <v>123</v>
      </c>
      <c r="N479" s="41">
        <v>46010.03125</v>
      </c>
      <c r="O479" s="38" t="s">
        <v>123</v>
      </c>
      <c r="P479" s="38">
        <v>3600.0</v>
      </c>
      <c r="Q479" s="39"/>
      <c r="R479" s="39"/>
      <c r="S479" s="39"/>
      <c r="T479" s="39"/>
      <c r="U479" s="39"/>
    </row>
    <row r="480">
      <c r="A480" s="40">
        <f t="shared" si="1"/>
        <v>46006</v>
      </c>
      <c r="B480" s="37" t="str">
        <f t="array" ref="B480">iferror(xlookup($I480, 'IMPORT VHC Report'!$E:$E, 'IMPORT VHC Report'!$A:$C), )</f>
        <v/>
      </c>
      <c r="C480" s="37"/>
      <c r="D480" s="37"/>
      <c r="E480" s="38" t="s">
        <v>712</v>
      </c>
      <c r="F480" s="38" t="s">
        <v>696</v>
      </c>
      <c r="G480" s="38">
        <v>1.0548602091791E13</v>
      </c>
      <c r="H480" s="38" t="s">
        <v>697</v>
      </c>
      <c r="I480" s="38" t="s">
        <v>698</v>
      </c>
      <c r="J480" s="38" t="s">
        <v>134</v>
      </c>
      <c r="K480" s="38" t="s">
        <v>126</v>
      </c>
      <c r="L480" s="41">
        <v>46010.177083333336</v>
      </c>
      <c r="M480" s="38" t="s">
        <v>123</v>
      </c>
      <c r="N480" s="41">
        <v>46010.197916666664</v>
      </c>
      <c r="O480" s="38" t="s">
        <v>123</v>
      </c>
      <c r="P480" s="38">
        <v>1800.0</v>
      </c>
      <c r="Q480" s="39"/>
      <c r="R480" s="39"/>
      <c r="S480" s="39"/>
      <c r="T480" s="39"/>
      <c r="U480" s="39"/>
    </row>
    <row r="481">
      <c r="A481" s="40">
        <f t="shared" si="1"/>
        <v>46006</v>
      </c>
      <c r="B481" s="37" t="str">
        <f t="array" ref="B481">iferror(xlookup($I481, 'IMPORT VHC Report'!$E:$E, 'IMPORT VHC Report'!$A:$C), )</f>
        <v/>
      </c>
      <c r="C481" s="37"/>
      <c r="D481" s="37"/>
      <c r="E481" s="38" t="s">
        <v>713</v>
      </c>
      <c r="F481" s="38" t="s">
        <v>696</v>
      </c>
      <c r="G481" s="38">
        <v>1.0548602091791E13</v>
      </c>
      <c r="H481" s="38" t="s">
        <v>697</v>
      </c>
      <c r="I481" s="38" t="s">
        <v>698</v>
      </c>
      <c r="J481" s="38" t="s">
        <v>330</v>
      </c>
      <c r="K481" s="38" t="s">
        <v>126</v>
      </c>
      <c r="L481" s="41">
        <v>46010.875</v>
      </c>
      <c r="M481" s="38" t="s">
        <v>123</v>
      </c>
      <c r="N481" s="41">
        <v>46010.881944444445</v>
      </c>
      <c r="O481" s="38" t="s">
        <v>123</v>
      </c>
      <c r="P481" s="38">
        <v>600.0</v>
      </c>
      <c r="Q481" s="39"/>
      <c r="R481" s="39"/>
      <c r="S481" s="39"/>
      <c r="T481" s="39"/>
      <c r="U481" s="39"/>
    </row>
    <row r="482">
      <c r="A482" s="40">
        <f t="shared" si="1"/>
        <v>46006</v>
      </c>
      <c r="B482" s="37" t="str">
        <f t="array" ref="B482">iferror(xlookup($I482, 'IMPORT VHC Report'!$E:$E, 'IMPORT VHC Report'!$A:$C), )</f>
        <v/>
      </c>
      <c r="C482" s="37"/>
      <c r="D482" s="37"/>
      <c r="E482" s="38" t="s">
        <v>714</v>
      </c>
      <c r="F482" s="38" t="s">
        <v>696</v>
      </c>
      <c r="G482" s="38">
        <v>1.0548602091791E13</v>
      </c>
      <c r="H482" s="38" t="s">
        <v>697</v>
      </c>
      <c r="I482" s="38" t="s">
        <v>698</v>
      </c>
      <c r="J482" s="38" t="s">
        <v>332</v>
      </c>
      <c r="K482" s="38" t="s">
        <v>63</v>
      </c>
      <c r="L482" s="41">
        <v>46010.875</v>
      </c>
      <c r="M482" s="38" t="s">
        <v>123</v>
      </c>
      <c r="N482" s="41">
        <v>46011.25</v>
      </c>
      <c r="O482" s="38" t="s">
        <v>123</v>
      </c>
      <c r="P482" s="38">
        <v>32400.0</v>
      </c>
      <c r="Q482" s="39"/>
      <c r="R482" s="39"/>
      <c r="S482" s="39"/>
      <c r="T482" s="39"/>
      <c r="U482" s="39"/>
    </row>
    <row r="483">
      <c r="A483" s="40">
        <f t="shared" si="1"/>
        <v>46006</v>
      </c>
      <c r="B483" s="37" t="str">
        <f t="array" ref="B483">iferror(xlookup($I483, 'IMPORT VHC Report'!$E:$E, 'IMPORT VHC Report'!$A:$C), )</f>
        <v/>
      </c>
      <c r="C483" s="37"/>
      <c r="D483" s="37"/>
      <c r="E483" s="38" t="s">
        <v>715</v>
      </c>
      <c r="F483" s="38" t="s">
        <v>696</v>
      </c>
      <c r="G483" s="38">
        <v>1.0548602091791E13</v>
      </c>
      <c r="H483" s="38" t="s">
        <v>697</v>
      </c>
      <c r="I483" s="38" t="s">
        <v>698</v>
      </c>
      <c r="J483" s="38" t="s">
        <v>178</v>
      </c>
      <c r="K483" s="38" t="s">
        <v>153</v>
      </c>
      <c r="L483" s="41">
        <v>46010.875</v>
      </c>
      <c r="M483" s="38" t="s">
        <v>123</v>
      </c>
      <c r="N483" s="41">
        <v>46011.25</v>
      </c>
      <c r="O483" s="38" t="s">
        <v>123</v>
      </c>
      <c r="P483" s="38">
        <v>32400.0</v>
      </c>
      <c r="Q483" s="38">
        <v>32400.0</v>
      </c>
      <c r="R483" s="39"/>
      <c r="S483" s="39"/>
      <c r="T483" s="39"/>
      <c r="U483" s="39"/>
    </row>
    <row r="484">
      <c r="A484" s="40">
        <f t="shared" si="1"/>
        <v>46006</v>
      </c>
      <c r="B484" s="37" t="str">
        <f t="array" ref="B484">iferror(xlookup($I484, 'IMPORT VHC Report'!$E:$E, 'IMPORT VHC Report'!$A:$C), )</f>
        <v/>
      </c>
      <c r="C484" s="37"/>
      <c r="D484" s="37"/>
      <c r="E484" s="38" t="s">
        <v>716</v>
      </c>
      <c r="F484" s="38" t="s">
        <v>696</v>
      </c>
      <c r="G484" s="38">
        <v>1.0548602091791E13</v>
      </c>
      <c r="H484" s="38" t="s">
        <v>697</v>
      </c>
      <c r="I484" s="38" t="s">
        <v>698</v>
      </c>
      <c r="J484" s="38" t="s">
        <v>134</v>
      </c>
      <c r="K484" s="38" t="s">
        <v>126</v>
      </c>
      <c r="L484" s="41">
        <v>46010.96875</v>
      </c>
      <c r="M484" s="38" t="s">
        <v>123</v>
      </c>
      <c r="N484" s="41">
        <v>46010.989583333336</v>
      </c>
      <c r="O484" s="38" t="s">
        <v>123</v>
      </c>
      <c r="P484" s="38">
        <v>1800.0</v>
      </c>
      <c r="Q484" s="39"/>
      <c r="R484" s="39"/>
      <c r="S484" s="39"/>
      <c r="T484" s="39"/>
      <c r="U484" s="39"/>
    </row>
    <row r="485">
      <c r="A485" s="40">
        <f t="shared" si="1"/>
        <v>46006</v>
      </c>
      <c r="B485" s="37" t="str">
        <f t="array" ref="B485">iferror(xlookup($I485, 'IMPORT VHC Report'!$E:$E, 'IMPORT VHC Report'!$A:$C), )</f>
        <v/>
      </c>
      <c r="C485" s="37"/>
      <c r="D485" s="37"/>
      <c r="E485" s="38" t="s">
        <v>717</v>
      </c>
      <c r="F485" s="38" t="s">
        <v>696</v>
      </c>
      <c r="G485" s="38">
        <v>1.0548602091791E13</v>
      </c>
      <c r="H485" s="38" t="s">
        <v>697</v>
      </c>
      <c r="I485" s="38" t="s">
        <v>698</v>
      </c>
      <c r="J485" s="38" t="s">
        <v>132</v>
      </c>
      <c r="K485" s="38" t="s">
        <v>126</v>
      </c>
      <c r="L485" s="41">
        <v>46011.145833333336</v>
      </c>
      <c r="M485" s="38" t="s">
        <v>123</v>
      </c>
      <c r="N485" s="41">
        <v>46011.1875</v>
      </c>
      <c r="O485" s="38" t="s">
        <v>123</v>
      </c>
      <c r="P485" s="38">
        <v>3600.0</v>
      </c>
      <c r="Q485" s="39"/>
      <c r="R485" s="39"/>
      <c r="S485" s="39"/>
      <c r="T485" s="39"/>
      <c r="U485" s="39"/>
    </row>
    <row r="486">
      <c r="A486" s="40">
        <f t="shared" si="1"/>
        <v>46006</v>
      </c>
      <c r="B486" s="37" t="str">
        <f t="array" ref="B486">iferror(xlookup($I486, 'IMPORT VHC Report'!$E:$E, 'IMPORT VHC Report'!$A:$C), )</f>
        <v/>
      </c>
      <c r="C486" s="37"/>
      <c r="D486" s="37"/>
      <c r="E486" s="38" t="s">
        <v>718</v>
      </c>
      <c r="F486" s="38" t="s">
        <v>696</v>
      </c>
      <c r="G486" s="38">
        <v>1.0548602091791E13</v>
      </c>
      <c r="H486" s="38" t="s">
        <v>697</v>
      </c>
      <c r="I486" s="38" t="s">
        <v>698</v>
      </c>
      <c r="J486" s="38" t="s">
        <v>330</v>
      </c>
      <c r="K486" s="38" t="s">
        <v>126</v>
      </c>
      <c r="L486" s="41">
        <v>46011.875</v>
      </c>
      <c r="M486" s="38" t="s">
        <v>123</v>
      </c>
      <c r="N486" s="41">
        <v>46011.881944444445</v>
      </c>
      <c r="O486" s="38" t="s">
        <v>123</v>
      </c>
      <c r="P486" s="38">
        <v>600.0</v>
      </c>
      <c r="Q486" s="39"/>
      <c r="R486" s="39"/>
      <c r="S486" s="39"/>
      <c r="T486" s="39"/>
      <c r="U486" s="39"/>
    </row>
    <row r="487">
      <c r="A487" s="40">
        <f t="shared" si="1"/>
        <v>46006</v>
      </c>
      <c r="B487" s="37" t="str">
        <f t="array" ref="B487">iferror(xlookup($I487, 'IMPORT VHC Report'!$E:$E, 'IMPORT VHC Report'!$A:$C), )</f>
        <v/>
      </c>
      <c r="C487" s="37"/>
      <c r="D487" s="37"/>
      <c r="E487" s="38" t="s">
        <v>719</v>
      </c>
      <c r="F487" s="38" t="s">
        <v>696</v>
      </c>
      <c r="G487" s="38">
        <v>1.0548602091791E13</v>
      </c>
      <c r="H487" s="38" t="s">
        <v>697</v>
      </c>
      <c r="I487" s="38" t="s">
        <v>698</v>
      </c>
      <c r="J487" s="38" t="s">
        <v>178</v>
      </c>
      <c r="K487" s="38" t="s">
        <v>153</v>
      </c>
      <c r="L487" s="41">
        <v>46011.875</v>
      </c>
      <c r="M487" s="38" t="s">
        <v>123</v>
      </c>
      <c r="N487" s="41">
        <v>46012.25</v>
      </c>
      <c r="O487" s="38" t="s">
        <v>123</v>
      </c>
      <c r="P487" s="38">
        <v>32400.0</v>
      </c>
      <c r="Q487" s="38">
        <v>32400.0</v>
      </c>
      <c r="R487" s="39"/>
      <c r="S487" s="39"/>
      <c r="T487" s="39"/>
      <c r="U487" s="39"/>
    </row>
    <row r="488">
      <c r="A488" s="40">
        <f t="shared" si="1"/>
        <v>46006</v>
      </c>
      <c r="B488" s="37" t="str">
        <f t="array" ref="B488">iferror(xlookup($I488, 'IMPORT VHC Report'!$E:$E, 'IMPORT VHC Report'!$A:$C), )</f>
        <v/>
      </c>
      <c r="C488" s="37"/>
      <c r="D488" s="37"/>
      <c r="E488" s="38" t="s">
        <v>720</v>
      </c>
      <c r="F488" s="38" t="s">
        <v>696</v>
      </c>
      <c r="G488" s="38">
        <v>1.0548602091791E13</v>
      </c>
      <c r="H488" s="38" t="s">
        <v>697</v>
      </c>
      <c r="I488" s="38" t="s">
        <v>698</v>
      </c>
      <c r="J488" s="38" t="s">
        <v>332</v>
      </c>
      <c r="K488" s="38" t="s">
        <v>63</v>
      </c>
      <c r="L488" s="41">
        <v>46011.875</v>
      </c>
      <c r="M488" s="38" t="s">
        <v>123</v>
      </c>
      <c r="N488" s="41">
        <v>46012.25</v>
      </c>
      <c r="O488" s="38" t="s">
        <v>123</v>
      </c>
      <c r="P488" s="38">
        <v>32400.0</v>
      </c>
      <c r="Q488" s="39"/>
      <c r="R488" s="39"/>
      <c r="S488" s="39"/>
      <c r="T488" s="39"/>
      <c r="U488" s="39"/>
    </row>
    <row r="489">
      <c r="A489" s="40">
        <f t="shared" si="1"/>
        <v>46006</v>
      </c>
      <c r="B489" s="37" t="str">
        <f t="array" ref="B489">iferror(xlookup($I489, 'IMPORT VHC Report'!$E:$E, 'IMPORT VHC Report'!$A:$C), )</f>
        <v/>
      </c>
      <c r="C489" s="37"/>
      <c r="D489" s="37"/>
      <c r="E489" s="38" t="s">
        <v>721</v>
      </c>
      <c r="F489" s="38" t="s">
        <v>696</v>
      </c>
      <c r="G489" s="38">
        <v>1.0548602091791E13</v>
      </c>
      <c r="H489" s="38" t="s">
        <v>697</v>
      </c>
      <c r="I489" s="38" t="s">
        <v>698</v>
      </c>
      <c r="J489" s="38" t="s">
        <v>134</v>
      </c>
      <c r="K489" s="38" t="s">
        <v>126</v>
      </c>
      <c r="L489" s="41">
        <v>46011.989583333336</v>
      </c>
      <c r="M489" s="38" t="s">
        <v>123</v>
      </c>
      <c r="N489" s="41">
        <v>46012.010416666664</v>
      </c>
      <c r="O489" s="38" t="s">
        <v>123</v>
      </c>
      <c r="P489" s="38">
        <v>1800.0</v>
      </c>
      <c r="Q489" s="39"/>
      <c r="R489" s="39"/>
      <c r="S489" s="39"/>
      <c r="T489" s="39"/>
      <c r="U489" s="39"/>
    </row>
    <row r="490">
      <c r="A490" s="40">
        <f t="shared" si="1"/>
        <v>46006</v>
      </c>
      <c r="B490" s="37" t="str">
        <f t="array" ref="B490">iferror(xlookup($I490, 'IMPORT VHC Report'!$E:$E, 'IMPORT VHC Report'!$A:$C), )</f>
        <v/>
      </c>
      <c r="C490" s="37"/>
      <c r="D490" s="37"/>
      <c r="E490" s="38" t="s">
        <v>722</v>
      </c>
      <c r="F490" s="38" t="s">
        <v>696</v>
      </c>
      <c r="G490" s="38">
        <v>1.0548602091791E13</v>
      </c>
      <c r="H490" s="38" t="s">
        <v>697</v>
      </c>
      <c r="I490" s="38" t="s">
        <v>698</v>
      </c>
      <c r="J490" s="38" t="s">
        <v>132</v>
      </c>
      <c r="K490" s="38" t="s">
        <v>126</v>
      </c>
      <c r="L490" s="41">
        <v>46012.177083333336</v>
      </c>
      <c r="M490" s="38" t="s">
        <v>123</v>
      </c>
      <c r="N490" s="41">
        <v>46012.21875</v>
      </c>
      <c r="O490" s="38" t="s">
        <v>123</v>
      </c>
      <c r="P490" s="38">
        <v>3600.0</v>
      </c>
      <c r="Q490" s="39"/>
      <c r="R490" s="39"/>
      <c r="S490" s="39"/>
      <c r="T490" s="39"/>
      <c r="U490" s="39"/>
    </row>
    <row r="491">
      <c r="A491" s="40">
        <f t="shared" si="1"/>
        <v>46006</v>
      </c>
      <c r="B491" s="37" t="str">
        <f t="array" ref="B491">iferror(xlookup($I491, 'IMPORT VHC Report'!$E:$E, 'IMPORT VHC Report'!$A:$C), )</f>
        <v/>
      </c>
      <c r="C491" s="37"/>
      <c r="D491" s="37"/>
      <c r="E491" s="38" t="s">
        <v>723</v>
      </c>
      <c r="F491" s="38" t="s">
        <v>696</v>
      </c>
      <c r="G491" s="38">
        <v>1.0548602091791E13</v>
      </c>
      <c r="H491" s="38" t="s">
        <v>697</v>
      </c>
      <c r="I491" s="38" t="s">
        <v>698</v>
      </c>
      <c r="J491" s="38" t="s">
        <v>330</v>
      </c>
      <c r="K491" s="38" t="s">
        <v>126</v>
      </c>
      <c r="L491" s="41">
        <v>46012.875</v>
      </c>
      <c r="M491" s="38" t="s">
        <v>123</v>
      </c>
      <c r="N491" s="41">
        <v>46012.881944444445</v>
      </c>
      <c r="O491" s="38" t="s">
        <v>123</v>
      </c>
      <c r="P491" s="38">
        <v>600.0</v>
      </c>
      <c r="Q491" s="39"/>
      <c r="R491" s="39"/>
      <c r="S491" s="39"/>
      <c r="T491" s="39"/>
      <c r="U491" s="39"/>
    </row>
    <row r="492">
      <c r="A492" s="40">
        <f t="shared" si="1"/>
        <v>46006</v>
      </c>
      <c r="B492" s="37" t="str">
        <f t="array" ref="B492">iferror(xlookup($I492, 'IMPORT VHC Report'!$E:$E, 'IMPORT VHC Report'!$A:$C), )</f>
        <v/>
      </c>
      <c r="C492" s="37"/>
      <c r="D492" s="37"/>
      <c r="E492" s="38" t="s">
        <v>724</v>
      </c>
      <c r="F492" s="38" t="s">
        <v>696</v>
      </c>
      <c r="G492" s="38">
        <v>1.0548602091791E13</v>
      </c>
      <c r="H492" s="38" t="s">
        <v>697</v>
      </c>
      <c r="I492" s="38" t="s">
        <v>698</v>
      </c>
      <c r="J492" s="38" t="s">
        <v>332</v>
      </c>
      <c r="K492" s="38" t="s">
        <v>63</v>
      </c>
      <c r="L492" s="41">
        <v>46012.875</v>
      </c>
      <c r="M492" s="38" t="s">
        <v>123</v>
      </c>
      <c r="N492" s="41">
        <v>46013.0</v>
      </c>
      <c r="O492" s="38" t="s">
        <v>123</v>
      </c>
      <c r="P492" s="38">
        <v>10800.0</v>
      </c>
      <c r="Q492" s="39"/>
      <c r="R492" s="39"/>
      <c r="S492" s="39"/>
      <c r="T492" s="39"/>
      <c r="U492" s="39"/>
    </row>
    <row r="493">
      <c r="A493" s="40">
        <f t="shared" si="1"/>
        <v>46006</v>
      </c>
      <c r="B493" s="37" t="str">
        <f t="array" ref="B493">iferror(xlookup($I493, 'IMPORT VHC Report'!$E:$E, 'IMPORT VHC Report'!$A:$C), )</f>
        <v/>
      </c>
      <c r="C493" s="37"/>
      <c r="D493" s="37"/>
      <c r="E493" s="38" t="s">
        <v>725</v>
      </c>
      <c r="F493" s="38" t="s">
        <v>696</v>
      </c>
      <c r="G493" s="38">
        <v>1.0548602091791E13</v>
      </c>
      <c r="H493" s="38" t="s">
        <v>697</v>
      </c>
      <c r="I493" s="38" t="s">
        <v>698</v>
      </c>
      <c r="J493" s="38" t="s">
        <v>178</v>
      </c>
      <c r="K493" s="38" t="s">
        <v>153</v>
      </c>
      <c r="L493" s="41">
        <v>46012.875</v>
      </c>
      <c r="M493" s="38" t="s">
        <v>123</v>
      </c>
      <c r="N493" s="41">
        <v>46013.25</v>
      </c>
      <c r="O493" s="38" t="s">
        <v>123</v>
      </c>
      <c r="P493" s="38">
        <v>32400.0</v>
      </c>
      <c r="Q493" s="38">
        <v>32400.0</v>
      </c>
      <c r="R493" s="39"/>
      <c r="S493" s="39"/>
      <c r="T493" s="39"/>
      <c r="U493" s="39"/>
    </row>
    <row r="494">
      <c r="A494" s="40">
        <f t="shared" si="1"/>
        <v>46006</v>
      </c>
      <c r="B494" s="37" t="str">
        <f t="array" ref="B494">iferror(xlookup($I494, 'IMPORT VHC Report'!$E:$E, 'IMPORT VHC Report'!$A:$C), )</f>
        <v/>
      </c>
      <c r="C494" s="37"/>
      <c r="D494" s="37"/>
      <c r="E494" s="38" t="s">
        <v>726</v>
      </c>
      <c r="F494" s="38" t="s">
        <v>696</v>
      </c>
      <c r="G494" s="38">
        <v>1.0548602091791E13</v>
      </c>
      <c r="H494" s="38" t="s">
        <v>697</v>
      </c>
      <c r="I494" s="38" t="s">
        <v>698</v>
      </c>
      <c r="J494" s="38" t="s">
        <v>134</v>
      </c>
      <c r="K494" s="38" t="s">
        <v>126</v>
      </c>
      <c r="L494" s="41">
        <v>46012.958333333336</v>
      </c>
      <c r="M494" s="38" t="s">
        <v>123</v>
      </c>
      <c r="N494" s="41">
        <v>46012.979166666664</v>
      </c>
      <c r="O494" s="38" t="s">
        <v>123</v>
      </c>
      <c r="P494" s="38">
        <v>1800.0</v>
      </c>
      <c r="Q494" s="39"/>
      <c r="R494" s="39"/>
      <c r="S494" s="39"/>
      <c r="T494" s="39"/>
      <c r="U494" s="39"/>
    </row>
    <row r="495">
      <c r="A495" s="40">
        <f t="shared" si="1"/>
        <v>45999</v>
      </c>
      <c r="B495" s="37" t="str">
        <f t="array" ref="B495">iferror(xlookup($I495, 'IMPORT VHC Report'!$E:$E, 'IMPORT VHC Report'!$A:$C), )</f>
        <v/>
      </c>
      <c r="C495" s="37"/>
      <c r="D495" s="37"/>
      <c r="E495" s="38" t="s">
        <v>727</v>
      </c>
      <c r="F495" s="38" t="s">
        <v>728</v>
      </c>
      <c r="G495" s="38">
        <v>1.0333018822031E13</v>
      </c>
      <c r="H495" s="38" t="s">
        <v>729</v>
      </c>
      <c r="I495" s="38" t="s">
        <v>730</v>
      </c>
      <c r="J495" s="38" t="s">
        <v>196</v>
      </c>
      <c r="K495" s="38" t="s">
        <v>63</v>
      </c>
      <c r="L495" s="41">
        <v>46005.916666666664</v>
      </c>
      <c r="M495" s="38" t="s">
        <v>123</v>
      </c>
      <c r="N495" s="41">
        <v>46006.291666666664</v>
      </c>
      <c r="O495" s="38" t="s">
        <v>123</v>
      </c>
      <c r="P495" s="38">
        <v>32400.0</v>
      </c>
      <c r="Q495" s="39"/>
      <c r="R495" s="39"/>
      <c r="S495" s="39"/>
      <c r="T495" s="39"/>
      <c r="U495" s="39"/>
    </row>
    <row r="496">
      <c r="A496" s="40">
        <f t="shared" si="1"/>
        <v>46006</v>
      </c>
      <c r="B496" s="37" t="str">
        <f t="array" ref="B496">iferror(xlookup($I496, 'IMPORT VHC Report'!$E:$E, 'IMPORT VHC Report'!$A:$C), )</f>
        <v/>
      </c>
      <c r="C496" s="37"/>
      <c r="D496" s="37"/>
      <c r="E496" s="38" t="s">
        <v>731</v>
      </c>
      <c r="F496" s="38" t="s">
        <v>728</v>
      </c>
      <c r="G496" s="38">
        <v>1.0333018822031E13</v>
      </c>
      <c r="H496" s="38" t="s">
        <v>729</v>
      </c>
      <c r="I496" s="38" t="s">
        <v>730</v>
      </c>
      <c r="J496" s="38" t="s">
        <v>132</v>
      </c>
      <c r="K496" s="38" t="s">
        <v>126</v>
      </c>
      <c r="L496" s="41">
        <v>46006.041666666664</v>
      </c>
      <c r="M496" s="38" t="s">
        <v>123</v>
      </c>
      <c r="N496" s="41">
        <v>46006.083333333336</v>
      </c>
      <c r="O496" s="38" t="s">
        <v>123</v>
      </c>
      <c r="P496" s="38">
        <v>3600.0</v>
      </c>
      <c r="Q496" s="39"/>
      <c r="R496" s="39"/>
      <c r="S496" s="39"/>
      <c r="T496" s="39"/>
      <c r="U496" s="39"/>
    </row>
    <row r="497">
      <c r="A497" s="40">
        <f t="shared" si="1"/>
        <v>46006</v>
      </c>
      <c r="B497" s="37" t="str">
        <f t="array" ref="B497">iferror(xlookup($I497, 'IMPORT VHC Report'!$E:$E, 'IMPORT VHC Report'!$A:$C), )</f>
        <v/>
      </c>
      <c r="C497" s="37"/>
      <c r="D497" s="37"/>
      <c r="E497" s="38" t="s">
        <v>732</v>
      </c>
      <c r="F497" s="38" t="s">
        <v>728</v>
      </c>
      <c r="G497" s="38">
        <v>1.0333018822031E13</v>
      </c>
      <c r="H497" s="38" t="s">
        <v>729</v>
      </c>
      <c r="I497" s="38" t="s">
        <v>730</v>
      </c>
      <c r="J497" s="38" t="s">
        <v>134</v>
      </c>
      <c r="K497" s="38" t="s">
        <v>126</v>
      </c>
      <c r="L497" s="41">
        <v>46006.197916666664</v>
      </c>
      <c r="M497" s="38" t="s">
        <v>123</v>
      </c>
      <c r="N497" s="41">
        <v>46006.21875</v>
      </c>
      <c r="O497" s="38" t="s">
        <v>123</v>
      </c>
      <c r="P497" s="38">
        <v>1800.0</v>
      </c>
      <c r="Q497" s="39"/>
      <c r="R497" s="39"/>
      <c r="S497" s="39"/>
      <c r="T497" s="39"/>
      <c r="U497" s="39"/>
    </row>
    <row r="498">
      <c r="A498" s="40">
        <f t="shared" si="1"/>
        <v>46006</v>
      </c>
      <c r="B498" s="37" t="str">
        <f t="array" ref="B498">iferror(xlookup($I498, 'IMPORT VHC Report'!$E:$E, 'IMPORT VHC Report'!$A:$C), )</f>
        <v/>
      </c>
      <c r="C498" s="37"/>
      <c r="D498" s="37"/>
      <c r="E498" s="38" t="s">
        <v>733</v>
      </c>
      <c r="F498" s="38" t="s">
        <v>728</v>
      </c>
      <c r="G498" s="38">
        <v>1.0333018822031E13</v>
      </c>
      <c r="H498" s="38" t="s">
        <v>729</v>
      </c>
      <c r="I498" s="38" t="s">
        <v>730</v>
      </c>
      <c r="J498" s="38" t="s">
        <v>125</v>
      </c>
      <c r="K498" s="38" t="s">
        <v>126</v>
      </c>
      <c r="L498" s="41">
        <v>46006.916666666664</v>
      </c>
      <c r="M498" s="38" t="s">
        <v>123</v>
      </c>
      <c r="N498" s="41">
        <v>46006.927083333336</v>
      </c>
      <c r="O498" s="38" t="s">
        <v>123</v>
      </c>
      <c r="P498" s="38">
        <v>900.0</v>
      </c>
      <c r="Q498" s="39"/>
      <c r="R498" s="39"/>
      <c r="S498" s="38" t="s">
        <v>199</v>
      </c>
      <c r="T498" s="39"/>
      <c r="U498" s="39"/>
    </row>
    <row r="499">
      <c r="A499" s="40">
        <f t="shared" si="1"/>
        <v>46006</v>
      </c>
      <c r="B499" s="37" t="str">
        <f t="array" ref="B499">iferror(xlookup($I499, 'IMPORT VHC Report'!$E:$E, 'IMPORT VHC Report'!$A:$C), )</f>
        <v/>
      </c>
      <c r="C499" s="37"/>
      <c r="D499" s="37"/>
      <c r="E499" s="38" t="s">
        <v>734</v>
      </c>
      <c r="F499" s="38" t="s">
        <v>728</v>
      </c>
      <c r="G499" s="38">
        <v>1.0333018822031E13</v>
      </c>
      <c r="H499" s="38" t="s">
        <v>729</v>
      </c>
      <c r="I499" s="38" t="s">
        <v>730</v>
      </c>
      <c r="J499" s="38" t="s">
        <v>196</v>
      </c>
      <c r="K499" s="38" t="s">
        <v>63</v>
      </c>
      <c r="L499" s="41">
        <v>46006.916666666664</v>
      </c>
      <c r="M499" s="38" t="s">
        <v>123</v>
      </c>
      <c r="N499" s="41">
        <v>46007.291666666664</v>
      </c>
      <c r="O499" s="38" t="s">
        <v>123</v>
      </c>
      <c r="P499" s="38">
        <v>32400.0</v>
      </c>
      <c r="Q499" s="39"/>
      <c r="R499" s="39"/>
      <c r="S499" s="39"/>
      <c r="T499" s="39"/>
      <c r="U499" s="39"/>
    </row>
    <row r="500">
      <c r="A500" s="40">
        <f t="shared" si="1"/>
        <v>46006</v>
      </c>
      <c r="B500" s="37" t="str">
        <f t="array" ref="B500">iferror(xlookup($I500, 'IMPORT VHC Report'!$E:$E, 'IMPORT VHC Report'!$A:$C), )</f>
        <v/>
      </c>
      <c r="C500" s="37"/>
      <c r="D500" s="37"/>
      <c r="E500" s="38" t="s">
        <v>735</v>
      </c>
      <c r="F500" s="38" t="s">
        <v>728</v>
      </c>
      <c r="G500" s="38">
        <v>1.0333018822031E13</v>
      </c>
      <c r="H500" s="38" t="s">
        <v>729</v>
      </c>
      <c r="I500" s="38" t="s">
        <v>730</v>
      </c>
      <c r="J500" s="38" t="s">
        <v>134</v>
      </c>
      <c r="K500" s="38" t="s">
        <v>126</v>
      </c>
      <c r="L500" s="41">
        <v>46007.020833333336</v>
      </c>
      <c r="M500" s="38" t="s">
        <v>123</v>
      </c>
      <c r="N500" s="41">
        <v>46007.041666666664</v>
      </c>
      <c r="O500" s="38" t="s">
        <v>123</v>
      </c>
      <c r="P500" s="38">
        <v>1800.0</v>
      </c>
      <c r="Q500" s="39"/>
      <c r="R500" s="39"/>
      <c r="S500" s="39"/>
      <c r="T500" s="39"/>
      <c r="U500" s="39"/>
    </row>
    <row r="501">
      <c r="A501" s="40">
        <f t="shared" si="1"/>
        <v>46006</v>
      </c>
      <c r="B501" s="37" t="str">
        <f t="array" ref="B501">iferror(xlookup($I501, 'IMPORT VHC Report'!$E:$E, 'IMPORT VHC Report'!$A:$C), )</f>
        <v/>
      </c>
      <c r="C501" s="37"/>
      <c r="D501" s="37"/>
      <c r="E501" s="38" t="s">
        <v>736</v>
      </c>
      <c r="F501" s="38" t="s">
        <v>728</v>
      </c>
      <c r="G501" s="38">
        <v>1.0333018822031E13</v>
      </c>
      <c r="H501" s="38" t="s">
        <v>729</v>
      </c>
      <c r="I501" s="38" t="s">
        <v>730</v>
      </c>
      <c r="J501" s="38" t="s">
        <v>132</v>
      </c>
      <c r="K501" s="38" t="s">
        <v>126</v>
      </c>
      <c r="L501" s="41">
        <v>46007.145833333336</v>
      </c>
      <c r="M501" s="38" t="s">
        <v>123</v>
      </c>
      <c r="N501" s="41">
        <v>46007.1875</v>
      </c>
      <c r="O501" s="38" t="s">
        <v>123</v>
      </c>
      <c r="P501" s="38">
        <v>3600.0</v>
      </c>
      <c r="Q501" s="39"/>
      <c r="R501" s="39"/>
      <c r="S501" s="39"/>
      <c r="T501" s="39"/>
      <c r="U501" s="39"/>
    </row>
    <row r="502">
      <c r="A502" s="40">
        <f t="shared" si="1"/>
        <v>46006</v>
      </c>
      <c r="B502" s="37" t="str">
        <f t="array" ref="B502">iferror(xlookup($I502, 'IMPORT VHC Report'!$E:$E, 'IMPORT VHC Report'!$A:$C), )</f>
        <v/>
      </c>
      <c r="C502" s="37"/>
      <c r="D502" s="37"/>
      <c r="E502" s="38" t="s">
        <v>737</v>
      </c>
      <c r="F502" s="38" t="s">
        <v>728</v>
      </c>
      <c r="G502" s="38">
        <v>1.0333018822031E13</v>
      </c>
      <c r="H502" s="38" t="s">
        <v>729</v>
      </c>
      <c r="I502" s="38" t="s">
        <v>730</v>
      </c>
      <c r="J502" s="38" t="s">
        <v>136</v>
      </c>
      <c r="K502" s="38" t="s">
        <v>126</v>
      </c>
      <c r="L502" s="41">
        <v>46007.916666666664</v>
      </c>
      <c r="M502" s="38" t="s">
        <v>123</v>
      </c>
      <c r="N502" s="41">
        <v>46007.958333333336</v>
      </c>
      <c r="O502" s="38" t="s">
        <v>123</v>
      </c>
      <c r="P502" s="38">
        <v>3600.0</v>
      </c>
      <c r="Q502" s="39"/>
      <c r="R502" s="39"/>
      <c r="S502" s="38" t="s">
        <v>137</v>
      </c>
      <c r="T502" s="39"/>
      <c r="U502" s="39"/>
    </row>
    <row r="503">
      <c r="A503" s="40">
        <f t="shared" si="1"/>
        <v>46006</v>
      </c>
      <c r="B503" s="37" t="str">
        <f t="array" ref="B503">iferror(xlookup($I503, 'IMPORT VHC Report'!$E:$E, 'IMPORT VHC Report'!$A:$C), )</f>
        <v/>
      </c>
      <c r="C503" s="37"/>
      <c r="D503" s="37"/>
      <c r="E503" s="38" t="s">
        <v>738</v>
      </c>
      <c r="F503" s="38" t="s">
        <v>728</v>
      </c>
      <c r="G503" s="38">
        <v>1.0333018822031E13</v>
      </c>
      <c r="H503" s="38" t="s">
        <v>729</v>
      </c>
      <c r="I503" s="38" t="s">
        <v>730</v>
      </c>
      <c r="J503" s="38" t="s">
        <v>196</v>
      </c>
      <c r="K503" s="38" t="s">
        <v>63</v>
      </c>
      <c r="L503" s="41">
        <v>46007.916666666664</v>
      </c>
      <c r="M503" s="38" t="s">
        <v>123</v>
      </c>
      <c r="N503" s="41">
        <v>46008.291666666664</v>
      </c>
      <c r="O503" s="38" t="s">
        <v>123</v>
      </c>
      <c r="P503" s="38">
        <v>32400.0</v>
      </c>
      <c r="Q503" s="39"/>
      <c r="R503" s="39"/>
      <c r="S503" s="39"/>
      <c r="T503" s="39"/>
      <c r="U503" s="39"/>
    </row>
    <row r="504">
      <c r="A504" s="40">
        <f t="shared" si="1"/>
        <v>46006</v>
      </c>
      <c r="B504" s="37" t="str">
        <f t="array" ref="B504">iferror(xlookup($I504, 'IMPORT VHC Report'!$E:$E, 'IMPORT VHC Report'!$A:$C), )</f>
        <v/>
      </c>
      <c r="C504" s="37"/>
      <c r="D504" s="37"/>
      <c r="E504" s="38" t="s">
        <v>739</v>
      </c>
      <c r="F504" s="38" t="s">
        <v>728</v>
      </c>
      <c r="G504" s="38">
        <v>1.0333018822031E13</v>
      </c>
      <c r="H504" s="38" t="s">
        <v>729</v>
      </c>
      <c r="I504" s="38" t="s">
        <v>730</v>
      </c>
      <c r="J504" s="38" t="s">
        <v>330</v>
      </c>
      <c r="K504" s="38" t="s">
        <v>126</v>
      </c>
      <c r="L504" s="41">
        <v>46007.958333333336</v>
      </c>
      <c r="M504" s="38" t="s">
        <v>123</v>
      </c>
      <c r="N504" s="41">
        <v>46007.975694444445</v>
      </c>
      <c r="O504" s="38" t="s">
        <v>123</v>
      </c>
      <c r="P504" s="38">
        <v>1500.0</v>
      </c>
      <c r="Q504" s="39"/>
      <c r="R504" s="39"/>
      <c r="S504" s="38" t="s">
        <v>330</v>
      </c>
      <c r="T504" s="39"/>
      <c r="U504" s="39"/>
    </row>
    <row r="505">
      <c r="A505" s="40">
        <f t="shared" si="1"/>
        <v>46006</v>
      </c>
      <c r="B505" s="37" t="str">
        <f t="array" ref="B505">iferror(xlookup($I505, 'IMPORT VHC Report'!$E:$E, 'IMPORT VHC Report'!$A:$C), )</f>
        <v/>
      </c>
      <c r="C505" s="37"/>
      <c r="D505" s="37"/>
      <c r="E505" s="38" t="s">
        <v>740</v>
      </c>
      <c r="F505" s="38" t="s">
        <v>728</v>
      </c>
      <c r="G505" s="38">
        <v>1.0333018822031E13</v>
      </c>
      <c r="H505" s="38" t="s">
        <v>729</v>
      </c>
      <c r="I505" s="38" t="s">
        <v>730</v>
      </c>
      <c r="J505" s="38" t="s">
        <v>134</v>
      </c>
      <c r="K505" s="38" t="s">
        <v>126</v>
      </c>
      <c r="L505" s="41">
        <v>46008.03125</v>
      </c>
      <c r="M505" s="38" t="s">
        <v>123</v>
      </c>
      <c r="N505" s="41">
        <v>46008.052083333336</v>
      </c>
      <c r="O505" s="38" t="s">
        <v>123</v>
      </c>
      <c r="P505" s="38">
        <v>1800.0</v>
      </c>
      <c r="Q505" s="39"/>
      <c r="R505" s="39"/>
      <c r="S505" s="39"/>
      <c r="T505" s="39"/>
      <c r="U505" s="39"/>
    </row>
    <row r="506">
      <c r="A506" s="40">
        <f t="shared" si="1"/>
        <v>46006</v>
      </c>
      <c r="B506" s="37" t="str">
        <f t="array" ref="B506">iferror(xlookup($I506, 'IMPORT VHC Report'!$E:$E, 'IMPORT VHC Report'!$A:$C), )</f>
        <v/>
      </c>
      <c r="C506" s="37"/>
      <c r="D506" s="37"/>
      <c r="E506" s="38" t="s">
        <v>741</v>
      </c>
      <c r="F506" s="38" t="s">
        <v>728</v>
      </c>
      <c r="G506" s="38">
        <v>1.0333018822031E13</v>
      </c>
      <c r="H506" s="38" t="s">
        <v>729</v>
      </c>
      <c r="I506" s="38" t="s">
        <v>730</v>
      </c>
      <c r="J506" s="38" t="s">
        <v>132</v>
      </c>
      <c r="K506" s="38" t="s">
        <v>126</v>
      </c>
      <c r="L506" s="41">
        <v>46008.166666666664</v>
      </c>
      <c r="M506" s="38" t="s">
        <v>123</v>
      </c>
      <c r="N506" s="41">
        <v>46008.208333333336</v>
      </c>
      <c r="O506" s="38" t="s">
        <v>123</v>
      </c>
      <c r="P506" s="38">
        <v>3600.0</v>
      </c>
      <c r="Q506" s="39"/>
      <c r="R506" s="39"/>
      <c r="S506" s="39"/>
      <c r="T506" s="39"/>
      <c r="U506" s="39"/>
    </row>
    <row r="507">
      <c r="A507" s="40">
        <f t="shared" si="1"/>
        <v>46006</v>
      </c>
      <c r="B507" s="37" t="str">
        <f t="array" ref="B507">iferror(xlookup($I507, 'IMPORT VHC Report'!$E:$E, 'IMPORT VHC Report'!$A:$C), )</f>
        <v/>
      </c>
      <c r="C507" s="37"/>
      <c r="D507" s="37"/>
      <c r="E507" s="38" t="s">
        <v>742</v>
      </c>
      <c r="F507" s="38" t="s">
        <v>728</v>
      </c>
      <c r="G507" s="38">
        <v>1.0333018822031E13</v>
      </c>
      <c r="H507" s="38" t="s">
        <v>729</v>
      </c>
      <c r="I507" s="38" t="s">
        <v>730</v>
      </c>
      <c r="J507" s="38" t="s">
        <v>125</v>
      </c>
      <c r="K507" s="38" t="s">
        <v>126</v>
      </c>
      <c r="L507" s="41">
        <v>46008.916666666664</v>
      </c>
      <c r="M507" s="38" t="s">
        <v>123</v>
      </c>
      <c r="N507" s="41">
        <v>46008.927083333336</v>
      </c>
      <c r="O507" s="38" t="s">
        <v>123</v>
      </c>
      <c r="P507" s="38">
        <v>900.0</v>
      </c>
      <c r="Q507" s="39"/>
      <c r="R507" s="39"/>
      <c r="S507" s="38" t="s">
        <v>199</v>
      </c>
      <c r="T507" s="39"/>
      <c r="U507" s="39"/>
    </row>
    <row r="508">
      <c r="A508" s="40">
        <f t="shared" si="1"/>
        <v>46006</v>
      </c>
      <c r="B508" s="37" t="str">
        <f t="array" ref="B508">iferror(xlookup($I508, 'IMPORT VHC Report'!$E:$E, 'IMPORT VHC Report'!$A:$C), )</f>
        <v/>
      </c>
      <c r="C508" s="37"/>
      <c r="D508" s="37"/>
      <c r="E508" s="38" t="s">
        <v>743</v>
      </c>
      <c r="F508" s="38" t="s">
        <v>728</v>
      </c>
      <c r="G508" s="38">
        <v>1.0333018822031E13</v>
      </c>
      <c r="H508" s="38" t="s">
        <v>729</v>
      </c>
      <c r="I508" s="38" t="s">
        <v>730</v>
      </c>
      <c r="J508" s="38" t="s">
        <v>196</v>
      </c>
      <c r="K508" s="38" t="s">
        <v>63</v>
      </c>
      <c r="L508" s="41">
        <v>46008.916666666664</v>
      </c>
      <c r="M508" s="38" t="s">
        <v>123</v>
      </c>
      <c r="N508" s="41">
        <v>46009.291666666664</v>
      </c>
      <c r="O508" s="38" t="s">
        <v>123</v>
      </c>
      <c r="P508" s="38">
        <v>32400.0</v>
      </c>
      <c r="Q508" s="39"/>
      <c r="R508" s="39"/>
      <c r="S508" s="39"/>
      <c r="T508" s="39"/>
      <c r="U508" s="39"/>
    </row>
    <row r="509">
      <c r="A509" s="40">
        <f t="shared" si="1"/>
        <v>46006</v>
      </c>
      <c r="B509" s="37" t="str">
        <f t="array" ref="B509">iferror(xlookup($I509, 'IMPORT VHC Report'!$E:$E, 'IMPORT VHC Report'!$A:$C), )</f>
        <v/>
      </c>
      <c r="C509" s="37"/>
      <c r="D509" s="37"/>
      <c r="E509" s="38" t="s">
        <v>744</v>
      </c>
      <c r="F509" s="38" t="s">
        <v>728</v>
      </c>
      <c r="G509" s="38">
        <v>1.0333018822031E13</v>
      </c>
      <c r="H509" s="38" t="s">
        <v>729</v>
      </c>
      <c r="I509" s="38" t="s">
        <v>730</v>
      </c>
      <c r="J509" s="38" t="s">
        <v>132</v>
      </c>
      <c r="K509" s="38" t="s">
        <v>126</v>
      </c>
      <c r="L509" s="41">
        <v>46009.041666666664</v>
      </c>
      <c r="M509" s="38" t="s">
        <v>123</v>
      </c>
      <c r="N509" s="41">
        <v>46009.083333333336</v>
      </c>
      <c r="O509" s="38" t="s">
        <v>123</v>
      </c>
      <c r="P509" s="38">
        <v>3600.0</v>
      </c>
      <c r="Q509" s="39"/>
      <c r="R509" s="39"/>
      <c r="S509" s="39"/>
      <c r="T509" s="39"/>
      <c r="U509" s="39"/>
    </row>
    <row r="510">
      <c r="A510" s="40">
        <f t="shared" si="1"/>
        <v>46006</v>
      </c>
      <c r="B510" s="37" t="str">
        <f t="array" ref="B510">iferror(xlookup($I510, 'IMPORT VHC Report'!$E:$E, 'IMPORT VHC Report'!$A:$C), )</f>
        <v/>
      </c>
      <c r="C510" s="37"/>
      <c r="D510" s="37"/>
      <c r="E510" s="38" t="s">
        <v>745</v>
      </c>
      <c r="F510" s="38" t="s">
        <v>728</v>
      </c>
      <c r="G510" s="38">
        <v>1.0333018822031E13</v>
      </c>
      <c r="H510" s="38" t="s">
        <v>729</v>
      </c>
      <c r="I510" s="38" t="s">
        <v>730</v>
      </c>
      <c r="J510" s="38" t="s">
        <v>134</v>
      </c>
      <c r="K510" s="38" t="s">
        <v>126</v>
      </c>
      <c r="L510" s="41">
        <v>46009.1875</v>
      </c>
      <c r="M510" s="38" t="s">
        <v>123</v>
      </c>
      <c r="N510" s="41">
        <v>46009.208333333336</v>
      </c>
      <c r="O510" s="38" t="s">
        <v>123</v>
      </c>
      <c r="P510" s="38">
        <v>1800.0</v>
      </c>
      <c r="Q510" s="39"/>
      <c r="R510" s="39"/>
      <c r="S510" s="39"/>
      <c r="T510" s="39"/>
      <c r="U510" s="39"/>
    </row>
    <row r="511">
      <c r="A511" s="40">
        <f t="shared" si="1"/>
        <v>46006</v>
      </c>
      <c r="B511" s="37" t="str">
        <f t="array" ref="B511">iferror(xlookup($I511, 'IMPORT VHC Report'!$E:$E, 'IMPORT VHC Report'!$A:$C), )</f>
        <v/>
      </c>
      <c r="C511" s="37"/>
      <c r="D511" s="37"/>
      <c r="E511" s="38" t="s">
        <v>746</v>
      </c>
      <c r="F511" s="38" t="s">
        <v>728</v>
      </c>
      <c r="G511" s="38">
        <v>1.0333018822031E13</v>
      </c>
      <c r="H511" s="38" t="s">
        <v>729</v>
      </c>
      <c r="I511" s="38" t="s">
        <v>730</v>
      </c>
      <c r="J511" s="38" t="s">
        <v>125</v>
      </c>
      <c r="K511" s="38" t="s">
        <v>126</v>
      </c>
      <c r="L511" s="41">
        <v>46009.916666666664</v>
      </c>
      <c r="M511" s="38" t="s">
        <v>123</v>
      </c>
      <c r="N511" s="41">
        <v>46009.927083333336</v>
      </c>
      <c r="O511" s="38" t="s">
        <v>123</v>
      </c>
      <c r="P511" s="38">
        <v>900.0</v>
      </c>
      <c r="Q511" s="39"/>
      <c r="R511" s="39"/>
      <c r="S511" s="38" t="s">
        <v>199</v>
      </c>
      <c r="T511" s="39"/>
      <c r="U511" s="39"/>
    </row>
    <row r="512">
      <c r="A512" s="40">
        <f t="shared" si="1"/>
        <v>46006</v>
      </c>
      <c r="B512" s="37" t="str">
        <f t="array" ref="B512">iferror(xlookup($I512, 'IMPORT VHC Report'!$E:$E, 'IMPORT VHC Report'!$A:$C), )</f>
        <v/>
      </c>
      <c r="C512" s="37"/>
      <c r="D512" s="37"/>
      <c r="E512" s="38" t="s">
        <v>747</v>
      </c>
      <c r="F512" s="38" t="s">
        <v>728</v>
      </c>
      <c r="G512" s="38">
        <v>1.0333018822031E13</v>
      </c>
      <c r="H512" s="38" t="s">
        <v>729</v>
      </c>
      <c r="I512" s="38" t="s">
        <v>730</v>
      </c>
      <c r="J512" s="38" t="s">
        <v>196</v>
      </c>
      <c r="K512" s="38" t="s">
        <v>63</v>
      </c>
      <c r="L512" s="41">
        <v>46009.916666666664</v>
      </c>
      <c r="M512" s="38" t="s">
        <v>123</v>
      </c>
      <c r="N512" s="41">
        <v>46010.291666666664</v>
      </c>
      <c r="O512" s="38" t="s">
        <v>123</v>
      </c>
      <c r="P512" s="38">
        <v>32400.0</v>
      </c>
      <c r="Q512" s="39"/>
      <c r="R512" s="39"/>
      <c r="S512" s="39"/>
      <c r="T512" s="39"/>
      <c r="U512" s="39"/>
    </row>
    <row r="513">
      <c r="A513" s="40">
        <f t="shared" si="1"/>
        <v>46006</v>
      </c>
      <c r="B513" s="37" t="str">
        <f t="array" ref="B513">iferror(xlookup($I513, 'IMPORT VHC Report'!$E:$E, 'IMPORT VHC Report'!$A:$C), )</f>
        <v/>
      </c>
      <c r="C513" s="37"/>
      <c r="D513" s="37"/>
      <c r="E513" s="38" t="s">
        <v>748</v>
      </c>
      <c r="F513" s="38" t="s">
        <v>728</v>
      </c>
      <c r="G513" s="38">
        <v>1.0333018822031E13</v>
      </c>
      <c r="H513" s="38" t="s">
        <v>729</v>
      </c>
      <c r="I513" s="38" t="s">
        <v>730</v>
      </c>
      <c r="J513" s="38" t="s">
        <v>134</v>
      </c>
      <c r="K513" s="38" t="s">
        <v>126</v>
      </c>
      <c r="L513" s="41">
        <v>46010.03125</v>
      </c>
      <c r="M513" s="38" t="s">
        <v>123</v>
      </c>
      <c r="N513" s="41">
        <v>46010.052083333336</v>
      </c>
      <c r="O513" s="38" t="s">
        <v>123</v>
      </c>
      <c r="P513" s="38">
        <v>1800.0</v>
      </c>
      <c r="Q513" s="39"/>
      <c r="R513" s="39"/>
      <c r="S513" s="39"/>
      <c r="T513" s="39"/>
      <c r="U513" s="39"/>
    </row>
    <row r="514">
      <c r="A514" s="40">
        <f t="shared" si="1"/>
        <v>46006</v>
      </c>
      <c r="B514" s="37" t="str">
        <f t="array" ref="B514">iferror(xlookup($I514, 'IMPORT VHC Report'!$E:$E, 'IMPORT VHC Report'!$A:$C), )</f>
        <v/>
      </c>
      <c r="C514" s="37"/>
      <c r="D514" s="37"/>
      <c r="E514" s="38" t="s">
        <v>749</v>
      </c>
      <c r="F514" s="38" t="s">
        <v>728</v>
      </c>
      <c r="G514" s="38">
        <v>1.0333018822031E13</v>
      </c>
      <c r="H514" s="38" t="s">
        <v>729</v>
      </c>
      <c r="I514" s="38" t="s">
        <v>730</v>
      </c>
      <c r="J514" s="38" t="s">
        <v>132</v>
      </c>
      <c r="K514" s="38" t="s">
        <v>126</v>
      </c>
      <c r="L514" s="41">
        <v>46010.166666666664</v>
      </c>
      <c r="M514" s="38" t="s">
        <v>123</v>
      </c>
      <c r="N514" s="41">
        <v>46010.208333333336</v>
      </c>
      <c r="O514" s="38" t="s">
        <v>123</v>
      </c>
      <c r="P514" s="38">
        <v>3600.0</v>
      </c>
      <c r="Q514" s="39"/>
      <c r="R514" s="39"/>
      <c r="S514" s="39"/>
      <c r="T514" s="39"/>
      <c r="U514" s="39"/>
    </row>
    <row r="515">
      <c r="A515" s="40">
        <f t="shared" si="1"/>
        <v>46006</v>
      </c>
      <c r="B515" s="37" t="str">
        <f t="array" ref="B515">iferror(xlookup($I515, 'IMPORT VHC Report'!$E:$E, 'IMPORT VHC Report'!$A:$C), )</f>
        <v/>
      </c>
      <c r="C515" s="37"/>
      <c r="D515" s="37"/>
      <c r="E515" s="38" t="s">
        <v>750</v>
      </c>
      <c r="F515" s="38" t="s">
        <v>728</v>
      </c>
      <c r="G515" s="38">
        <v>1.0333018822031E13</v>
      </c>
      <c r="H515" s="38" t="s">
        <v>729</v>
      </c>
      <c r="I515" s="38" t="s">
        <v>730</v>
      </c>
      <c r="J515" s="38" t="s">
        <v>125</v>
      </c>
      <c r="K515" s="38" t="s">
        <v>126</v>
      </c>
      <c r="L515" s="41">
        <v>46012.916666666664</v>
      </c>
      <c r="M515" s="38" t="s">
        <v>123</v>
      </c>
      <c r="N515" s="41">
        <v>46012.927083333336</v>
      </c>
      <c r="O515" s="38" t="s">
        <v>123</v>
      </c>
      <c r="P515" s="38">
        <v>900.0</v>
      </c>
      <c r="Q515" s="39"/>
      <c r="R515" s="39"/>
      <c r="S515" s="38" t="s">
        <v>199</v>
      </c>
      <c r="T515" s="39"/>
      <c r="U515" s="39"/>
    </row>
    <row r="516">
      <c r="A516" s="40">
        <f t="shared" si="1"/>
        <v>46006</v>
      </c>
      <c r="B516" s="37" t="str">
        <f t="array" ref="B516">iferror(xlookup($I516, 'IMPORT VHC Report'!$E:$E, 'IMPORT VHC Report'!$A:$C), )</f>
        <v/>
      </c>
      <c r="C516" s="37"/>
      <c r="D516" s="37"/>
      <c r="E516" s="38" t="s">
        <v>751</v>
      </c>
      <c r="F516" s="38" t="s">
        <v>728</v>
      </c>
      <c r="G516" s="38">
        <v>1.0333018822031E13</v>
      </c>
      <c r="H516" s="38" t="s">
        <v>729</v>
      </c>
      <c r="I516" s="38" t="s">
        <v>730</v>
      </c>
      <c r="J516" s="38" t="s">
        <v>196</v>
      </c>
      <c r="K516" s="38" t="s">
        <v>63</v>
      </c>
      <c r="L516" s="41">
        <v>46012.916666666664</v>
      </c>
      <c r="M516" s="38" t="s">
        <v>123</v>
      </c>
      <c r="N516" s="41">
        <v>46013.291666666664</v>
      </c>
      <c r="O516" s="38" t="s">
        <v>123</v>
      </c>
      <c r="P516" s="38">
        <v>32400.0</v>
      </c>
      <c r="Q516" s="39"/>
      <c r="R516" s="39"/>
      <c r="S516" s="39"/>
      <c r="T516" s="39"/>
      <c r="U516" s="39"/>
    </row>
    <row r="517">
      <c r="A517" s="40">
        <f t="shared" si="1"/>
        <v>45999</v>
      </c>
      <c r="B517" s="37" t="str">
        <f t="array" ref="B517">iferror(xlookup($I517, 'IMPORT VHC Report'!$E:$E, 'IMPORT VHC Report'!$A:$C), )</f>
        <v/>
      </c>
      <c r="C517" s="37"/>
      <c r="D517" s="37"/>
      <c r="E517" s="38" t="s">
        <v>752</v>
      </c>
      <c r="F517" s="38" t="s">
        <v>753</v>
      </c>
      <c r="G517" s="38">
        <v>8.904494781967E12</v>
      </c>
      <c r="H517" s="38" t="s">
        <v>754</v>
      </c>
      <c r="I517" s="38" t="s">
        <v>755</v>
      </c>
      <c r="J517" s="38" t="s">
        <v>152</v>
      </c>
      <c r="K517" s="38" t="s">
        <v>153</v>
      </c>
      <c r="L517" s="41">
        <v>46005.916666666664</v>
      </c>
      <c r="M517" s="38" t="s">
        <v>123</v>
      </c>
      <c r="N517" s="41">
        <v>46006.25</v>
      </c>
      <c r="O517" s="38" t="s">
        <v>123</v>
      </c>
      <c r="P517" s="38">
        <v>28800.0</v>
      </c>
      <c r="Q517" s="38">
        <v>28800.0</v>
      </c>
      <c r="R517" s="38" t="s">
        <v>421</v>
      </c>
      <c r="S517" s="38" t="s">
        <v>421</v>
      </c>
      <c r="T517" s="39"/>
      <c r="U517" s="39"/>
    </row>
    <row r="518">
      <c r="A518" s="40">
        <f t="shared" si="1"/>
        <v>46006</v>
      </c>
      <c r="B518" s="37" t="str">
        <f t="array" ref="B518">iferror(xlookup($I518, 'IMPORT VHC Report'!$E:$E, 'IMPORT VHC Report'!$A:$C), )</f>
        <v/>
      </c>
      <c r="C518" s="37"/>
      <c r="D518" s="37"/>
      <c r="E518" s="38" t="s">
        <v>756</v>
      </c>
      <c r="F518" s="38" t="s">
        <v>753</v>
      </c>
      <c r="G518" s="38">
        <v>8.904494781967E12</v>
      </c>
      <c r="H518" s="38" t="s">
        <v>754</v>
      </c>
      <c r="I518" s="38" t="s">
        <v>755</v>
      </c>
      <c r="J518" s="38" t="s">
        <v>134</v>
      </c>
      <c r="K518" s="38" t="s">
        <v>126</v>
      </c>
      <c r="L518" s="41">
        <v>46006.0</v>
      </c>
      <c r="M518" s="38" t="s">
        <v>123</v>
      </c>
      <c r="N518" s="41">
        <v>46006.010416666664</v>
      </c>
      <c r="O518" s="38" t="s">
        <v>123</v>
      </c>
      <c r="P518" s="38">
        <v>900.0</v>
      </c>
      <c r="Q518" s="39"/>
      <c r="R518" s="39"/>
      <c r="S518" s="39"/>
      <c r="T518" s="39"/>
      <c r="U518" s="39"/>
    </row>
    <row r="519">
      <c r="A519" s="40">
        <f t="shared" si="1"/>
        <v>46006</v>
      </c>
      <c r="B519" s="37" t="str">
        <f t="array" ref="B519">iferror(xlookup($I519, 'IMPORT VHC Report'!$E:$E, 'IMPORT VHC Report'!$A:$C), )</f>
        <v/>
      </c>
      <c r="C519" s="37"/>
      <c r="D519" s="37"/>
      <c r="E519" s="38" t="s">
        <v>757</v>
      </c>
      <c r="F519" s="38" t="s">
        <v>753</v>
      </c>
      <c r="G519" s="38">
        <v>8.904494781967E12</v>
      </c>
      <c r="H519" s="38" t="s">
        <v>754</v>
      </c>
      <c r="I519" s="38" t="s">
        <v>755</v>
      </c>
      <c r="J519" s="38" t="s">
        <v>224</v>
      </c>
      <c r="K519" s="38" t="s">
        <v>63</v>
      </c>
      <c r="L519" s="41">
        <v>46006.010416666664</v>
      </c>
      <c r="M519" s="38" t="s">
        <v>123</v>
      </c>
      <c r="N519" s="41">
        <v>46006.083333333336</v>
      </c>
      <c r="O519" s="38" t="s">
        <v>123</v>
      </c>
      <c r="P519" s="38">
        <v>6300.0</v>
      </c>
      <c r="Q519" s="39"/>
      <c r="R519" s="39"/>
      <c r="S519" s="39"/>
      <c r="T519" s="39"/>
      <c r="U519" s="39"/>
    </row>
    <row r="520">
      <c r="A520" s="40">
        <f t="shared" si="1"/>
        <v>46006</v>
      </c>
      <c r="B520" s="37" t="str">
        <f t="array" ref="B520">iferror(xlookup($I520, 'IMPORT VHC Report'!$E:$E, 'IMPORT VHC Report'!$A:$C), )</f>
        <v/>
      </c>
      <c r="C520" s="37"/>
      <c r="D520" s="37"/>
      <c r="E520" s="38" t="s">
        <v>758</v>
      </c>
      <c r="F520" s="38" t="s">
        <v>753</v>
      </c>
      <c r="G520" s="38">
        <v>8.904494781967E12</v>
      </c>
      <c r="H520" s="38" t="s">
        <v>754</v>
      </c>
      <c r="I520" s="38" t="s">
        <v>755</v>
      </c>
      <c r="J520" s="38" t="s">
        <v>132</v>
      </c>
      <c r="K520" s="38" t="s">
        <v>126</v>
      </c>
      <c r="L520" s="41">
        <v>46006.083333333336</v>
      </c>
      <c r="M520" s="38" t="s">
        <v>123</v>
      </c>
      <c r="N520" s="41">
        <v>46006.125</v>
      </c>
      <c r="O520" s="38" t="s">
        <v>123</v>
      </c>
      <c r="P520" s="38">
        <v>3600.0</v>
      </c>
      <c r="Q520" s="39"/>
      <c r="R520" s="39"/>
      <c r="S520" s="39"/>
      <c r="T520" s="39"/>
      <c r="U520" s="39"/>
    </row>
    <row r="521">
      <c r="A521" s="40">
        <f t="shared" si="1"/>
        <v>46006</v>
      </c>
      <c r="B521" s="37" t="str">
        <f t="array" ref="B521">iferror(xlookup($I521, 'IMPORT VHC Report'!$E:$E, 'IMPORT VHC Report'!$A:$C), )</f>
        <v/>
      </c>
      <c r="C521" s="37"/>
      <c r="D521" s="37"/>
      <c r="E521" s="38" t="s">
        <v>759</v>
      </c>
      <c r="F521" s="38" t="s">
        <v>753</v>
      </c>
      <c r="G521" s="38">
        <v>8.904494781967E12</v>
      </c>
      <c r="H521" s="38" t="s">
        <v>754</v>
      </c>
      <c r="I521" s="38" t="s">
        <v>755</v>
      </c>
      <c r="J521" s="38" t="s">
        <v>224</v>
      </c>
      <c r="K521" s="38" t="s">
        <v>63</v>
      </c>
      <c r="L521" s="41">
        <v>46006.125</v>
      </c>
      <c r="M521" s="38" t="s">
        <v>123</v>
      </c>
      <c r="N521" s="41">
        <v>46006.1875</v>
      </c>
      <c r="O521" s="38" t="s">
        <v>123</v>
      </c>
      <c r="P521" s="38">
        <v>5400.0</v>
      </c>
      <c r="Q521" s="39"/>
      <c r="R521" s="39"/>
      <c r="S521" s="39"/>
      <c r="T521" s="39"/>
      <c r="U521" s="39"/>
    </row>
    <row r="522">
      <c r="A522" s="40">
        <f t="shared" si="1"/>
        <v>46006</v>
      </c>
      <c r="B522" s="37" t="str">
        <f t="array" ref="B522">iferror(xlookup($I522, 'IMPORT VHC Report'!$E:$E, 'IMPORT VHC Report'!$A:$C), )</f>
        <v/>
      </c>
      <c r="C522" s="37"/>
      <c r="D522" s="37"/>
      <c r="E522" s="38" t="s">
        <v>760</v>
      </c>
      <c r="F522" s="38" t="s">
        <v>753</v>
      </c>
      <c r="G522" s="38">
        <v>8.904494781967E12</v>
      </c>
      <c r="H522" s="38" t="s">
        <v>754</v>
      </c>
      <c r="I522" s="38" t="s">
        <v>755</v>
      </c>
      <c r="J522" s="38" t="s">
        <v>134</v>
      </c>
      <c r="K522" s="38" t="s">
        <v>126</v>
      </c>
      <c r="L522" s="41">
        <v>46006.1875</v>
      </c>
      <c r="M522" s="38" t="s">
        <v>123</v>
      </c>
      <c r="N522" s="41">
        <v>46006.197916666664</v>
      </c>
      <c r="O522" s="38" t="s">
        <v>123</v>
      </c>
      <c r="P522" s="38">
        <v>900.0</v>
      </c>
      <c r="Q522" s="39"/>
      <c r="R522" s="39"/>
      <c r="S522" s="39"/>
      <c r="T522" s="39"/>
      <c r="U522" s="39"/>
    </row>
    <row r="523">
      <c r="A523" s="40">
        <f t="shared" si="1"/>
        <v>46006</v>
      </c>
      <c r="B523" s="37" t="str">
        <f t="array" ref="B523">iferror(xlookup($I523, 'IMPORT VHC Report'!$E:$E, 'IMPORT VHC Report'!$A:$C), )</f>
        <v/>
      </c>
      <c r="C523" s="37"/>
      <c r="D523" s="37"/>
      <c r="E523" s="38" t="s">
        <v>761</v>
      </c>
      <c r="F523" s="38" t="s">
        <v>753</v>
      </c>
      <c r="G523" s="38">
        <v>8.904494781967E12</v>
      </c>
      <c r="H523" s="38" t="s">
        <v>754</v>
      </c>
      <c r="I523" s="38" t="s">
        <v>755</v>
      </c>
      <c r="J523" s="38" t="s">
        <v>224</v>
      </c>
      <c r="K523" s="38" t="s">
        <v>63</v>
      </c>
      <c r="L523" s="41">
        <v>46006.197916666664</v>
      </c>
      <c r="M523" s="38" t="s">
        <v>123</v>
      </c>
      <c r="N523" s="41">
        <v>46006.25</v>
      </c>
      <c r="O523" s="38" t="s">
        <v>123</v>
      </c>
      <c r="P523" s="38">
        <v>4500.0</v>
      </c>
      <c r="Q523" s="39"/>
      <c r="R523" s="39"/>
      <c r="S523" s="39"/>
      <c r="T523" s="39"/>
      <c r="U523" s="39"/>
    </row>
    <row r="524">
      <c r="A524" s="40">
        <f t="shared" si="1"/>
        <v>46006</v>
      </c>
      <c r="B524" s="37" t="str">
        <f t="array" ref="B524">iferror(xlookup($I524, 'IMPORT VHC Report'!$E:$E, 'IMPORT VHC Report'!$A:$C), )</f>
        <v/>
      </c>
      <c r="C524" s="37"/>
      <c r="D524" s="37"/>
      <c r="E524" s="38" t="s">
        <v>762</v>
      </c>
      <c r="F524" s="38" t="s">
        <v>753</v>
      </c>
      <c r="G524" s="38">
        <v>8.904494781967E12</v>
      </c>
      <c r="H524" s="38" t="s">
        <v>754</v>
      </c>
      <c r="I524" s="38" t="s">
        <v>755</v>
      </c>
      <c r="J524" s="38" t="s">
        <v>224</v>
      </c>
      <c r="K524" s="38" t="s">
        <v>63</v>
      </c>
      <c r="L524" s="41">
        <v>46006.916666666664</v>
      </c>
      <c r="M524" s="38" t="s">
        <v>123</v>
      </c>
      <c r="N524" s="41">
        <v>46007.020833333336</v>
      </c>
      <c r="O524" s="38" t="s">
        <v>123</v>
      </c>
      <c r="P524" s="38">
        <v>9000.0</v>
      </c>
      <c r="Q524" s="39"/>
      <c r="R524" s="39"/>
      <c r="S524" s="39"/>
      <c r="T524" s="39"/>
      <c r="U524" s="39"/>
    </row>
    <row r="525">
      <c r="A525" s="40">
        <f t="shared" si="1"/>
        <v>46006</v>
      </c>
      <c r="B525" s="37" t="str">
        <f t="array" ref="B525">iferror(xlookup($I525, 'IMPORT VHC Report'!$E:$E, 'IMPORT VHC Report'!$A:$C), )</f>
        <v/>
      </c>
      <c r="C525" s="37"/>
      <c r="D525" s="37"/>
      <c r="E525" s="38" t="s">
        <v>763</v>
      </c>
      <c r="F525" s="38" t="s">
        <v>753</v>
      </c>
      <c r="G525" s="38">
        <v>8.904494781967E12</v>
      </c>
      <c r="H525" s="38" t="s">
        <v>754</v>
      </c>
      <c r="I525" s="38" t="s">
        <v>755</v>
      </c>
      <c r="J525" s="38" t="s">
        <v>134</v>
      </c>
      <c r="K525" s="38" t="s">
        <v>126</v>
      </c>
      <c r="L525" s="41">
        <v>46007.020833333336</v>
      </c>
      <c r="M525" s="38" t="s">
        <v>123</v>
      </c>
      <c r="N525" s="41">
        <v>46007.03125</v>
      </c>
      <c r="O525" s="38" t="s">
        <v>123</v>
      </c>
      <c r="P525" s="38">
        <v>900.0</v>
      </c>
      <c r="Q525" s="39"/>
      <c r="R525" s="39"/>
      <c r="S525" s="39"/>
      <c r="T525" s="39"/>
      <c r="U525" s="39"/>
    </row>
    <row r="526">
      <c r="A526" s="40">
        <f t="shared" si="1"/>
        <v>46006</v>
      </c>
      <c r="B526" s="37" t="str">
        <f t="array" ref="B526">iferror(xlookup($I526, 'IMPORT VHC Report'!$E:$E, 'IMPORT VHC Report'!$A:$C), )</f>
        <v/>
      </c>
      <c r="C526" s="37"/>
      <c r="D526" s="37"/>
      <c r="E526" s="38" t="s">
        <v>764</v>
      </c>
      <c r="F526" s="38" t="s">
        <v>753</v>
      </c>
      <c r="G526" s="38">
        <v>8.904494781967E12</v>
      </c>
      <c r="H526" s="38" t="s">
        <v>754</v>
      </c>
      <c r="I526" s="38" t="s">
        <v>755</v>
      </c>
      <c r="J526" s="38" t="s">
        <v>224</v>
      </c>
      <c r="K526" s="38" t="s">
        <v>63</v>
      </c>
      <c r="L526" s="41">
        <v>46007.03125</v>
      </c>
      <c r="M526" s="38" t="s">
        <v>123</v>
      </c>
      <c r="N526" s="41">
        <v>46007.104166666664</v>
      </c>
      <c r="O526" s="38" t="s">
        <v>123</v>
      </c>
      <c r="P526" s="38">
        <v>6300.0</v>
      </c>
      <c r="Q526" s="39"/>
      <c r="R526" s="39"/>
      <c r="S526" s="39"/>
      <c r="T526" s="39"/>
      <c r="U526" s="39"/>
    </row>
    <row r="527">
      <c r="A527" s="40">
        <f t="shared" si="1"/>
        <v>46006</v>
      </c>
      <c r="B527" s="37" t="str">
        <f t="array" ref="B527">iferror(xlookup($I527, 'IMPORT VHC Report'!$E:$E, 'IMPORT VHC Report'!$A:$C), )</f>
        <v/>
      </c>
      <c r="C527" s="37"/>
      <c r="D527" s="37"/>
      <c r="E527" s="38" t="s">
        <v>765</v>
      </c>
      <c r="F527" s="38" t="s">
        <v>753</v>
      </c>
      <c r="G527" s="38">
        <v>8.904494781967E12</v>
      </c>
      <c r="H527" s="38" t="s">
        <v>754</v>
      </c>
      <c r="I527" s="38" t="s">
        <v>755</v>
      </c>
      <c r="J527" s="38" t="s">
        <v>134</v>
      </c>
      <c r="K527" s="38" t="s">
        <v>126</v>
      </c>
      <c r="L527" s="41">
        <v>46007.104166666664</v>
      </c>
      <c r="M527" s="38" t="s">
        <v>123</v>
      </c>
      <c r="N527" s="41">
        <v>46007.114583333336</v>
      </c>
      <c r="O527" s="38" t="s">
        <v>123</v>
      </c>
      <c r="P527" s="38">
        <v>900.0</v>
      </c>
      <c r="Q527" s="39"/>
      <c r="R527" s="39"/>
      <c r="S527" s="39"/>
      <c r="T527" s="39"/>
      <c r="U527" s="39"/>
    </row>
    <row r="528">
      <c r="A528" s="40">
        <f t="shared" si="1"/>
        <v>46006</v>
      </c>
      <c r="B528" s="37" t="str">
        <f t="array" ref="B528">iferror(xlookup($I528, 'IMPORT VHC Report'!$E:$E, 'IMPORT VHC Report'!$A:$C), )</f>
        <v/>
      </c>
      <c r="C528" s="37"/>
      <c r="D528" s="37"/>
      <c r="E528" s="38" t="s">
        <v>766</v>
      </c>
      <c r="F528" s="38" t="s">
        <v>753</v>
      </c>
      <c r="G528" s="38">
        <v>8.904494781967E12</v>
      </c>
      <c r="H528" s="38" t="s">
        <v>754</v>
      </c>
      <c r="I528" s="38" t="s">
        <v>755</v>
      </c>
      <c r="J528" s="38" t="s">
        <v>224</v>
      </c>
      <c r="K528" s="38" t="s">
        <v>63</v>
      </c>
      <c r="L528" s="41">
        <v>46007.114583333336</v>
      </c>
      <c r="M528" s="38" t="s">
        <v>123</v>
      </c>
      <c r="N528" s="41">
        <v>46007.1875</v>
      </c>
      <c r="O528" s="38" t="s">
        <v>123</v>
      </c>
      <c r="P528" s="38">
        <v>6300.0</v>
      </c>
      <c r="Q528" s="39"/>
      <c r="R528" s="39"/>
      <c r="S528" s="39"/>
      <c r="T528" s="39"/>
      <c r="U528" s="39"/>
    </row>
    <row r="529">
      <c r="A529" s="40">
        <f t="shared" si="1"/>
        <v>46006</v>
      </c>
      <c r="B529" s="37" t="str">
        <f t="array" ref="B529">iferror(xlookup($I529, 'IMPORT VHC Report'!$E:$E, 'IMPORT VHC Report'!$A:$C), )</f>
        <v/>
      </c>
      <c r="C529" s="37"/>
      <c r="D529" s="37"/>
      <c r="E529" s="38" t="s">
        <v>767</v>
      </c>
      <c r="F529" s="38" t="s">
        <v>753</v>
      </c>
      <c r="G529" s="38">
        <v>8.904494781967E12</v>
      </c>
      <c r="H529" s="38" t="s">
        <v>754</v>
      </c>
      <c r="I529" s="38" t="s">
        <v>755</v>
      </c>
      <c r="J529" s="38" t="s">
        <v>132</v>
      </c>
      <c r="K529" s="38" t="s">
        <v>126</v>
      </c>
      <c r="L529" s="41">
        <v>46007.1875</v>
      </c>
      <c r="M529" s="38" t="s">
        <v>123</v>
      </c>
      <c r="N529" s="41">
        <v>46007.229166666664</v>
      </c>
      <c r="O529" s="38" t="s">
        <v>123</v>
      </c>
      <c r="P529" s="38">
        <v>3600.0</v>
      </c>
      <c r="Q529" s="39"/>
      <c r="R529" s="39"/>
      <c r="S529" s="39"/>
      <c r="T529" s="39"/>
      <c r="U529" s="39"/>
    </row>
    <row r="530">
      <c r="A530" s="40">
        <f t="shared" si="1"/>
        <v>46006</v>
      </c>
      <c r="B530" s="37" t="str">
        <f t="array" ref="B530">iferror(xlookup($I530, 'IMPORT VHC Report'!$E:$E, 'IMPORT VHC Report'!$A:$C), )</f>
        <v/>
      </c>
      <c r="C530" s="37"/>
      <c r="D530" s="37"/>
      <c r="E530" s="38" t="s">
        <v>768</v>
      </c>
      <c r="F530" s="38" t="s">
        <v>753</v>
      </c>
      <c r="G530" s="38">
        <v>8.904494781967E12</v>
      </c>
      <c r="H530" s="38" t="s">
        <v>754</v>
      </c>
      <c r="I530" s="38" t="s">
        <v>755</v>
      </c>
      <c r="J530" s="38" t="s">
        <v>224</v>
      </c>
      <c r="K530" s="38" t="s">
        <v>63</v>
      </c>
      <c r="L530" s="41">
        <v>46007.229166666664</v>
      </c>
      <c r="M530" s="38" t="s">
        <v>123</v>
      </c>
      <c r="N530" s="41">
        <v>46007.270833333336</v>
      </c>
      <c r="O530" s="38" t="s">
        <v>123</v>
      </c>
      <c r="P530" s="38">
        <v>3600.0</v>
      </c>
      <c r="Q530" s="39"/>
      <c r="R530" s="39"/>
      <c r="S530" s="39"/>
      <c r="T530" s="39"/>
      <c r="U530" s="39"/>
    </row>
    <row r="531">
      <c r="A531" s="40">
        <f t="shared" si="1"/>
        <v>46006</v>
      </c>
      <c r="B531" s="37" t="str">
        <f t="array" ref="B531">iferror(xlookup($I531, 'IMPORT VHC Report'!$E:$E, 'IMPORT VHC Report'!$A:$C), )</f>
        <v/>
      </c>
      <c r="C531" s="37"/>
      <c r="D531" s="37"/>
      <c r="E531" s="38" t="s">
        <v>769</v>
      </c>
      <c r="F531" s="38" t="s">
        <v>753</v>
      </c>
      <c r="G531" s="38">
        <v>8.904494781967E12</v>
      </c>
      <c r="H531" s="38" t="s">
        <v>754</v>
      </c>
      <c r="I531" s="38" t="s">
        <v>755</v>
      </c>
      <c r="J531" s="38" t="s">
        <v>136</v>
      </c>
      <c r="K531" s="38" t="s">
        <v>126</v>
      </c>
      <c r="L531" s="41">
        <v>46007.270833333336</v>
      </c>
      <c r="M531" s="38" t="s">
        <v>123</v>
      </c>
      <c r="N531" s="41">
        <v>46007.291666666664</v>
      </c>
      <c r="O531" s="38" t="s">
        <v>123</v>
      </c>
      <c r="P531" s="38">
        <v>1800.0</v>
      </c>
      <c r="Q531" s="39"/>
      <c r="R531" s="39"/>
      <c r="S531" s="38" t="s">
        <v>137</v>
      </c>
      <c r="T531" s="39"/>
      <c r="U531" s="39"/>
    </row>
    <row r="532">
      <c r="A532" s="40">
        <f t="shared" si="1"/>
        <v>46006</v>
      </c>
      <c r="B532" s="37" t="str">
        <f t="array" ref="B532">iferror(xlookup($I532, 'IMPORT VHC Report'!$E:$E, 'IMPORT VHC Report'!$A:$C), )</f>
        <v/>
      </c>
      <c r="C532" s="37"/>
      <c r="D532" s="37"/>
      <c r="E532" s="38" t="s">
        <v>770</v>
      </c>
      <c r="F532" s="38" t="s">
        <v>753</v>
      </c>
      <c r="G532" s="38">
        <v>8.904494781967E12</v>
      </c>
      <c r="H532" s="38" t="s">
        <v>754</v>
      </c>
      <c r="I532" s="38" t="s">
        <v>755</v>
      </c>
      <c r="J532" s="38" t="s">
        <v>224</v>
      </c>
      <c r="K532" s="38" t="s">
        <v>63</v>
      </c>
      <c r="L532" s="41">
        <v>46007.916666666664</v>
      </c>
      <c r="M532" s="38" t="s">
        <v>123</v>
      </c>
      <c r="N532" s="41">
        <v>46008.0</v>
      </c>
      <c r="O532" s="38" t="s">
        <v>123</v>
      </c>
      <c r="P532" s="38">
        <v>7200.0</v>
      </c>
      <c r="Q532" s="39"/>
      <c r="R532" s="39"/>
      <c r="S532" s="39"/>
      <c r="T532" s="39"/>
      <c r="U532" s="39"/>
    </row>
    <row r="533">
      <c r="A533" s="40">
        <f t="shared" si="1"/>
        <v>46006</v>
      </c>
      <c r="B533" s="37" t="str">
        <f t="array" ref="B533">iferror(xlookup($I533, 'IMPORT VHC Report'!$E:$E, 'IMPORT VHC Report'!$A:$C), )</f>
        <v/>
      </c>
      <c r="C533" s="37"/>
      <c r="D533" s="37"/>
      <c r="E533" s="38" t="s">
        <v>771</v>
      </c>
      <c r="F533" s="38" t="s">
        <v>753</v>
      </c>
      <c r="G533" s="38">
        <v>8.904494781967E12</v>
      </c>
      <c r="H533" s="38" t="s">
        <v>754</v>
      </c>
      <c r="I533" s="38" t="s">
        <v>755</v>
      </c>
      <c r="J533" s="38" t="s">
        <v>134</v>
      </c>
      <c r="K533" s="38" t="s">
        <v>126</v>
      </c>
      <c r="L533" s="41">
        <v>46008.0</v>
      </c>
      <c r="M533" s="38" t="s">
        <v>123</v>
      </c>
      <c r="N533" s="41">
        <v>46008.010416666664</v>
      </c>
      <c r="O533" s="38" t="s">
        <v>123</v>
      </c>
      <c r="P533" s="38">
        <v>900.0</v>
      </c>
      <c r="Q533" s="39"/>
      <c r="R533" s="39"/>
      <c r="S533" s="39"/>
      <c r="T533" s="39"/>
      <c r="U533" s="39"/>
    </row>
    <row r="534">
      <c r="A534" s="40">
        <f t="shared" si="1"/>
        <v>46006</v>
      </c>
      <c r="B534" s="37" t="str">
        <f t="array" ref="B534">iferror(xlookup($I534, 'IMPORT VHC Report'!$E:$E, 'IMPORT VHC Report'!$A:$C), )</f>
        <v/>
      </c>
      <c r="C534" s="37"/>
      <c r="D534" s="37"/>
      <c r="E534" s="38" t="s">
        <v>772</v>
      </c>
      <c r="F534" s="38" t="s">
        <v>753</v>
      </c>
      <c r="G534" s="38">
        <v>8.904494781967E12</v>
      </c>
      <c r="H534" s="38" t="s">
        <v>754</v>
      </c>
      <c r="I534" s="38" t="s">
        <v>755</v>
      </c>
      <c r="J534" s="38" t="s">
        <v>224</v>
      </c>
      <c r="K534" s="38" t="s">
        <v>63</v>
      </c>
      <c r="L534" s="41">
        <v>46008.010416666664</v>
      </c>
      <c r="M534" s="38" t="s">
        <v>123</v>
      </c>
      <c r="N534" s="41">
        <v>46008.072916666664</v>
      </c>
      <c r="O534" s="38" t="s">
        <v>123</v>
      </c>
      <c r="P534" s="38">
        <v>5400.0</v>
      </c>
      <c r="Q534" s="39"/>
      <c r="R534" s="39"/>
      <c r="S534" s="39"/>
      <c r="T534" s="39"/>
      <c r="U534" s="39"/>
    </row>
    <row r="535">
      <c r="A535" s="40">
        <f t="shared" si="1"/>
        <v>46006</v>
      </c>
      <c r="B535" s="37" t="str">
        <f t="array" ref="B535">iferror(xlookup($I535, 'IMPORT VHC Report'!$E:$E, 'IMPORT VHC Report'!$A:$C), )</f>
        <v/>
      </c>
      <c r="C535" s="37"/>
      <c r="D535" s="37"/>
      <c r="E535" s="38" t="s">
        <v>773</v>
      </c>
      <c r="F535" s="38" t="s">
        <v>753</v>
      </c>
      <c r="G535" s="38">
        <v>8.904494781967E12</v>
      </c>
      <c r="H535" s="38" t="s">
        <v>754</v>
      </c>
      <c r="I535" s="38" t="s">
        <v>755</v>
      </c>
      <c r="J535" s="38" t="s">
        <v>132</v>
      </c>
      <c r="K535" s="38" t="s">
        <v>126</v>
      </c>
      <c r="L535" s="41">
        <v>46008.072916666664</v>
      </c>
      <c r="M535" s="38" t="s">
        <v>123</v>
      </c>
      <c r="N535" s="41">
        <v>46008.114583333336</v>
      </c>
      <c r="O535" s="38" t="s">
        <v>123</v>
      </c>
      <c r="P535" s="38">
        <v>3600.0</v>
      </c>
      <c r="Q535" s="39"/>
      <c r="R535" s="39"/>
      <c r="S535" s="39"/>
      <c r="T535" s="39"/>
      <c r="U535" s="39"/>
    </row>
    <row r="536">
      <c r="A536" s="40">
        <f t="shared" si="1"/>
        <v>46006</v>
      </c>
      <c r="B536" s="37" t="str">
        <f t="array" ref="B536">iferror(xlookup($I536, 'IMPORT VHC Report'!$E:$E, 'IMPORT VHC Report'!$A:$C), )</f>
        <v/>
      </c>
      <c r="C536" s="37"/>
      <c r="D536" s="37"/>
      <c r="E536" s="38" t="s">
        <v>774</v>
      </c>
      <c r="F536" s="38" t="s">
        <v>753</v>
      </c>
      <c r="G536" s="38">
        <v>8.904494781967E12</v>
      </c>
      <c r="H536" s="38" t="s">
        <v>754</v>
      </c>
      <c r="I536" s="38" t="s">
        <v>755</v>
      </c>
      <c r="J536" s="38" t="s">
        <v>224</v>
      </c>
      <c r="K536" s="38" t="s">
        <v>63</v>
      </c>
      <c r="L536" s="41">
        <v>46008.114583333336</v>
      </c>
      <c r="M536" s="38" t="s">
        <v>123</v>
      </c>
      <c r="N536" s="41">
        <v>46008.1875</v>
      </c>
      <c r="O536" s="38" t="s">
        <v>123</v>
      </c>
      <c r="P536" s="38">
        <v>6300.0</v>
      </c>
      <c r="Q536" s="39"/>
      <c r="R536" s="39"/>
      <c r="S536" s="39"/>
      <c r="T536" s="39"/>
      <c r="U536" s="39"/>
    </row>
    <row r="537">
      <c r="A537" s="40">
        <f t="shared" si="1"/>
        <v>46006</v>
      </c>
      <c r="B537" s="37" t="str">
        <f t="array" ref="B537">iferror(xlookup($I537, 'IMPORT VHC Report'!$E:$E, 'IMPORT VHC Report'!$A:$C), )</f>
        <v/>
      </c>
      <c r="C537" s="37"/>
      <c r="D537" s="37"/>
      <c r="E537" s="38" t="s">
        <v>775</v>
      </c>
      <c r="F537" s="38" t="s">
        <v>753</v>
      </c>
      <c r="G537" s="38">
        <v>8.904494781967E12</v>
      </c>
      <c r="H537" s="38" t="s">
        <v>754</v>
      </c>
      <c r="I537" s="38" t="s">
        <v>755</v>
      </c>
      <c r="J537" s="38" t="s">
        <v>134</v>
      </c>
      <c r="K537" s="38" t="s">
        <v>126</v>
      </c>
      <c r="L537" s="41">
        <v>46008.1875</v>
      </c>
      <c r="M537" s="38" t="s">
        <v>123</v>
      </c>
      <c r="N537" s="41">
        <v>46008.197916666664</v>
      </c>
      <c r="O537" s="38" t="s">
        <v>123</v>
      </c>
      <c r="P537" s="38">
        <v>900.0</v>
      </c>
      <c r="Q537" s="39"/>
      <c r="R537" s="39"/>
      <c r="S537" s="39"/>
      <c r="T537" s="39"/>
      <c r="U537" s="39"/>
    </row>
    <row r="538">
      <c r="A538" s="40">
        <f t="shared" si="1"/>
        <v>46006</v>
      </c>
      <c r="B538" s="37" t="str">
        <f t="array" ref="B538">iferror(xlookup($I538, 'IMPORT VHC Report'!$E:$E, 'IMPORT VHC Report'!$A:$C), )</f>
        <v/>
      </c>
      <c r="C538" s="37"/>
      <c r="D538" s="37"/>
      <c r="E538" s="38" t="s">
        <v>776</v>
      </c>
      <c r="F538" s="38" t="s">
        <v>753</v>
      </c>
      <c r="G538" s="38">
        <v>8.904494781967E12</v>
      </c>
      <c r="H538" s="38" t="s">
        <v>754</v>
      </c>
      <c r="I538" s="38" t="s">
        <v>755</v>
      </c>
      <c r="J538" s="38" t="s">
        <v>224</v>
      </c>
      <c r="K538" s="38" t="s">
        <v>63</v>
      </c>
      <c r="L538" s="41">
        <v>46008.197916666664</v>
      </c>
      <c r="M538" s="38" t="s">
        <v>123</v>
      </c>
      <c r="N538" s="41">
        <v>46008.291666666664</v>
      </c>
      <c r="O538" s="38" t="s">
        <v>123</v>
      </c>
      <c r="P538" s="38">
        <v>8100.0</v>
      </c>
      <c r="Q538" s="39"/>
      <c r="R538" s="39"/>
      <c r="S538" s="39"/>
      <c r="T538" s="39"/>
      <c r="U538" s="39"/>
    </row>
    <row r="539">
      <c r="A539" s="40">
        <f t="shared" si="1"/>
        <v>46006</v>
      </c>
      <c r="B539" s="37" t="str">
        <f t="array" ref="B539">iferror(xlookup($I539, 'IMPORT VHC Report'!$E:$E, 'IMPORT VHC Report'!$A:$C), )</f>
        <v/>
      </c>
      <c r="C539" s="37"/>
      <c r="D539" s="37"/>
      <c r="E539" s="38" t="s">
        <v>777</v>
      </c>
      <c r="F539" s="38" t="s">
        <v>753</v>
      </c>
      <c r="G539" s="38">
        <v>8.904494781967E12</v>
      </c>
      <c r="H539" s="38" t="s">
        <v>754</v>
      </c>
      <c r="I539" s="38" t="s">
        <v>755</v>
      </c>
      <c r="J539" s="38" t="s">
        <v>136</v>
      </c>
      <c r="K539" s="38" t="s">
        <v>126</v>
      </c>
      <c r="L539" s="41">
        <v>46008.229166666664</v>
      </c>
      <c r="M539" s="38" t="s">
        <v>123</v>
      </c>
      <c r="N539" s="41">
        <v>46008.239583333336</v>
      </c>
      <c r="O539" s="38" t="s">
        <v>123</v>
      </c>
      <c r="P539" s="38">
        <v>900.0</v>
      </c>
      <c r="Q539" s="39"/>
      <c r="R539" s="39"/>
      <c r="S539" s="38" t="s">
        <v>778</v>
      </c>
      <c r="T539" s="39"/>
      <c r="U539" s="39"/>
    </row>
    <row r="540">
      <c r="A540" s="40">
        <f t="shared" si="1"/>
        <v>46006</v>
      </c>
      <c r="B540" s="37" t="str">
        <f t="array" ref="B540">iferror(xlookup($I540, 'IMPORT VHC Report'!$E:$E, 'IMPORT VHC Report'!$A:$C), )</f>
        <v/>
      </c>
      <c r="C540" s="37"/>
      <c r="D540" s="37"/>
      <c r="E540" s="38" t="s">
        <v>779</v>
      </c>
      <c r="F540" s="38" t="s">
        <v>753</v>
      </c>
      <c r="G540" s="38">
        <v>8.904494781967E12</v>
      </c>
      <c r="H540" s="38" t="s">
        <v>754</v>
      </c>
      <c r="I540" s="38" t="s">
        <v>755</v>
      </c>
      <c r="J540" s="38" t="s">
        <v>224</v>
      </c>
      <c r="K540" s="38" t="s">
        <v>63</v>
      </c>
      <c r="L540" s="41">
        <v>46008.916666666664</v>
      </c>
      <c r="M540" s="38" t="s">
        <v>123</v>
      </c>
      <c r="N540" s="41">
        <v>46008.989583333336</v>
      </c>
      <c r="O540" s="38" t="s">
        <v>123</v>
      </c>
      <c r="P540" s="38">
        <v>6300.0</v>
      </c>
      <c r="Q540" s="39"/>
      <c r="R540" s="39"/>
      <c r="S540" s="39"/>
      <c r="T540" s="39"/>
      <c r="U540" s="39"/>
    </row>
    <row r="541">
      <c r="A541" s="40">
        <f t="shared" si="1"/>
        <v>46006</v>
      </c>
      <c r="B541" s="37" t="str">
        <f t="array" ref="B541">iferror(xlookup($I541, 'IMPORT VHC Report'!$E:$E, 'IMPORT VHC Report'!$A:$C), )</f>
        <v/>
      </c>
      <c r="C541" s="37"/>
      <c r="D541" s="37"/>
      <c r="E541" s="38" t="s">
        <v>780</v>
      </c>
      <c r="F541" s="38" t="s">
        <v>753</v>
      </c>
      <c r="G541" s="38">
        <v>8.904494781967E12</v>
      </c>
      <c r="H541" s="38" t="s">
        <v>754</v>
      </c>
      <c r="I541" s="38" t="s">
        <v>755</v>
      </c>
      <c r="J541" s="38" t="s">
        <v>134</v>
      </c>
      <c r="K541" s="38" t="s">
        <v>126</v>
      </c>
      <c r="L541" s="41">
        <v>46008.989583333336</v>
      </c>
      <c r="M541" s="38" t="s">
        <v>123</v>
      </c>
      <c r="N541" s="41">
        <v>46009.0</v>
      </c>
      <c r="O541" s="38" t="s">
        <v>123</v>
      </c>
      <c r="P541" s="38">
        <v>900.0</v>
      </c>
      <c r="Q541" s="39"/>
      <c r="R541" s="39"/>
      <c r="S541" s="39"/>
      <c r="T541" s="39"/>
      <c r="U541" s="39"/>
    </row>
    <row r="542">
      <c r="A542" s="40">
        <f t="shared" si="1"/>
        <v>46006</v>
      </c>
      <c r="B542" s="37" t="str">
        <f t="array" ref="B542">iferror(xlookup($I542, 'IMPORT VHC Report'!$E:$E, 'IMPORT VHC Report'!$A:$C), )</f>
        <v/>
      </c>
      <c r="C542" s="37"/>
      <c r="D542" s="37"/>
      <c r="E542" s="38" t="s">
        <v>781</v>
      </c>
      <c r="F542" s="38" t="s">
        <v>753</v>
      </c>
      <c r="G542" s="38">
        <v>8.904494781967E12</v>
      </c>
      <c r="H542" s="38" t="s">
        <v>754</v>
      </c>
      <c r="I542" s="38" t="s">
        <v>755</v>
      </c>
      <c r="J542" s="38" t="s">
        <v>224</v>
      </c>
      <c r="K542" s="38" t="s">
        <v>63</v>
      </c>
      <c r="L542" s="41">
        <v>46009.0</v>
      </c>
      <c r="M542" s="38" t="s">
        <v>123</v>
      </c>
      <c r="N542" s="41">
        <v>46009.083333333336</v>
      </c>
      <c r="O542" s="38" t="s">
        <v>123</v>
      </c>
      <c r="P542" s="38">
        <v>7200.0</v>
      </c>
      <c r="Q542" s="39"/>
      <c r="R542" s="39"/>
      <c r="S542" s="39"/>
      <c r="T542" s="39"/>
      <c r="U542" s="39"/>
    </row>
    <row r="543">
      <c r="A543" s="40">
        <f t="shared" si="1"/>
        <v>46006</v>
      </c>
      <c r="B543" s="37" t="str">
        <f t="array" ref="B543">iferror(xlookup($I543, 'IMPORT VHC Report'!$E:$E, 'IMPORT VHC Report'!$A:$C), )</f>
        <v/>
      </c>
      <c r="C543" s="37"/>
      <c r="D543" s="37"/>
      <c r="E543" s="38" t="s">
        <v>782</v>
      </c>
      <c r="F543" s="38" t="s">
        <v>753</v>
      </c>
      <c r="G543" s="38">
        <v>8.904494781967E12</v>
      </c>
      <c r="H543" s="38" t="s">
        <v>754</v>
      </c>
      <c r="I543" s="38" t="s">
        <v>755</v>
      </c>
      <c r="J543" s="38" t="s">
        <v>132</v>
      </c>
      <c r="K543" s="38" t="s">
        <v>126</v>
      </c>
      <c r="L543" s="41">
        <v>46009.083333333336</v>
      </c>
      <c r="M543" s="38" t="s">
        <v>123</v>
      </c>
      <c r="N543" s="41">
        <v>46009.125</v>
      </c>
      <c r="O543" s="38" t="s">
        <v>123</v>
      </c>
      <c r="P543" s="38">
        <v>3600.0</v>
      </c>
      <c r="Q543" s="39"/>
      <c r="R543" s="39"/>
      <c r="S543" s="39"/>
      <c r="T543" s="39"/>
      <c r="U543" s="39"/>
    </row>
    <row r="544">
      <c r="A544" s="40">
        <f t="shared" si="1"/>
        <v>46006</v>
      </c>
      <c r="B544" s="37" t="str">
        <f t="array" ref="B544">iferror(xlookup($I544, 'IMPORT VHC Report'!$E:$E, 'IMPORT VHC Report'!$A:$C), )</f>
        <v/>
      </c>
      <c r="C544" s="37"/>
      <c r="D544" s="37"/>
      <c r="E544" s="38" t="s">
        <v>783</v>
      </c>
      <c r="F544" s="38" t="s">
        <v>753</v>
      </c>
      <c r="G544" s="38">
        <v>8.904494781967E12</v>
      </c>
      <c r="H544" s="38" t="s">
        <v>754</v>
      </c>
      <c r="I544" s="38" t="s">
        <v>755</v>
      </c>
      <c r="J544" s="38" t="s">
        <v>178</v>
      </c>
      <c r="K544" s="38" t="s">
        <v>153</v>
      </c>
      <c r="L544" s="41">
        <v>46009.125</v>
      </c>
      <c r="M544" s="38" t="s">
        <v>123</v>
      </c>
      <c r="N544" s="41">
        <v>46009.291666666664</v>
      </c>
      <c r="O544" s="38" t="s">
        <v>123</v>
      </c>
      <c r="P544" s="38">
        <v>14400.0</v>
      </c>
      <c r="Q544" s="38">
        <v>14400.0</v>
      </c>
      <c r="R544" s="38" t="s">
        <v>784</v>
      </c>
      <c r="S544" s="39"/>
      <c r="T544" s="39"/>
      <c r="U544" s="39"/>
    </row>
    <row r="545">
      <c r="A545" s="40">
        <f t="shared" si="1"/>
        <v>46006</v>
      </c>
      <c r="B545" s="37" t="str">
        <f t="array" ref="B545">iferror(xlookup($I545, 'IMPORT VHC Report'!$E:$E, 'IMPORT VHC Report'!$A:$C), )</f>
        <v/>
      </c>
      <c r="C545" s="37"/>
      <c r="D545" s="37"/>
      <c r="E545" s="38" t="s">
        <v>785</v>
      </c>
      <c r="F545" s="38" t="s">
        <v>753</v>
      </c>
      <c r="G545" s="38">
        <v>8.904494781967E12</v>
      </c>
      <c r="H545" s="38" t="s">
        <v>754</v>
      </c>
      <c r="I545" s="38" t="s">
        <v>755</v>
      </c>
      <c r="J545" s="38" t="s">
        <v>224</v>
      </c>
      <c r="K545" s="38" t="s">
        <v>63</v>
      </c>
      <c r="L545" s="41">
        <v>46009.916666666664</v>
      </c>
      <c r="M545" s="38" t="s">
        <v>123</v>
      </c>
      <c r="N545" s="41">
        <v>46010.1875</v>
      </c>
      <c r="O545" s="38" t="s">
        <v>123</v>
      </c>
      <c r="P545" s="38">
        <v>23400.0</v>
      </c>
      <c r="Q545" s="39"/>
      <c r="R545" s="39"/>
      <c r="S545" s="39"/>
      <c r="T545" s="39"/>
      <c r="U545" s="39"/>
    </row>
    <row r="546">
      <c r="A546" s="40">
        <f t="shared" si="1"/>
        <v>46006</v>
      </c>
      <c r="B546" s="37" t="str">
        <f t="array" ref="B546">iferror(xlookup($I546, 'IMPORT VHC Report'!$E:$E, 'IMPORT VHC Report'!$A:$C), )</f>
        <v/>
      </c>
      <c r="C546" s="37"/>
      <c r="D546" s="37"/>
      <c r="E546" s="38" t="s">
        <v>786</v>
      </c>
      <c r="F546" s="38" t="s">
        <v>753</v>
      </c>
      <c r="G546" s="38">
        <v>8.904494781967E12</v>
      </c>
      <c r="H546" s="38" t="s">
        <v>754</v>
      </c>
      <c r="I546" s="38" t="s">
        <v>755</v>
      </c>
      <c r="J546" s="38" t="s">
        <v>178</v>
      </c>
      <c r="K546" s="38" t="s">
        <v>153</v>
      </c>
      <c r="L546" s="41">
        <v>46009.916666666664</v>
      </c>
      <c r="M546" s="38" t="s">
        <v>123</v>
      </c>
      <c r="N546" s="41">
        <v>46010.291666666664</v>
      </c>
      <c r="O546" s="38" t="s">
        <v>123</v>
      </c>
      <c r="P546" s="38">
        <v>32400.0</v>
      </c>
      <c r="Q546" s="38">
        <v>28800.0</v>
      </c>
      <c r="R546" s="39"/>
      <c r="S546" s="39"/>
      <c r="T546" s="39"/>
      <c r="U546" s="39"/>
    </row>
    <row r="547">
      <c r="A547" s="40">
        <f t="shared" si="1"/>
        <v>46006</v>
      </c>
      <c r="B547" s="37" t="str">
        <f t="array" ref="B547">iferror(xlookup($I547, 'IMPORT VHC Report'!$E:$E, 'IMPORT VHC Report'!$A:$C), )</f>
        <v/>
      </c>
      <c r="C547" s="37"/>
      <c r="D547" s="37"/>
      <c r="E547" s="38" t="s">
        <v>787</v>
      </c>
      <c r="F547" s="38" t="s">
        <v>753</v>
      </c>
      <c r="G547" s="38">
        <v>8.904494781967E12</v>
      </c>
      <c r="H547" s="38" t="s">
        <v>754</v>
      </c>
      <c r="I547" s="38" t="s">
        <v>755</v>
      </c>
      <c r="J547" s="38" t="s">
        <v>330</v>
      </c>
      <c r="K547" s="38" t="s">
        <v>126</v>
      </c>
      <c r="L547" s="41">
        <v>46012.916666666664</v>
      </c>
      <c r="M547" s="38" t="s">
        <v>123</v>
      </c>
      <c r="N547" s="41">
        <v>46012.927083333336</v>
      </c>
      <c r="O547" s="38" t="s">
        <v>123</v>
      </c>
      <c r="P547" s="38">
        <v>900.0</v>
      </c>
      <c r="Q547" s="39"/>
      <c r="R547" s="39"/>
      <c r="S547" s="39"/>
      <c r="T547" s="39"/>
      <c r="U547" s="39"/>
    </row>
    <row r="548">
      <c r="A548" s="40">
        <f t="shared" si="1"/>
        <v>46006</v>
      </c>
      <c r="B548" s="37" t="str">
        <f t="array" ref="B548">iferror(xlookup($I548, 'IMPORT VHC Report'!$E:$E, 'IMPORT VHC Report'!$A:$C), )</f>
        <v/>
      </c>
      <c r="C548" s="37"/>
      <c r="D548" s="37"/>
      <c r="E548" s="38" t="s">
        <v>788</v>
      </c>
      <c r="F548" s="38" t="s">
        <v>753</v>
      </c>
      <c r="G548" s="38">
        <v>8.904494781967E12</v>
      </c>
      <c r="H548" s="38" t="s">
        <v>754</v>
      </c>
      <c r="I548" s="38" t="s">
        <v>755</v>
      </c>
      <c r="J548" s="38" t="s">
        <v>224</v>
      </c>
      <c r="K548" s="38" t="s">
        <v>63</v>
      </c>
      <c r="L548" s="41">
        <v>46012.927083333336</v>
      </c>
      <c r="M548" s="38" t="s">
        <v>123</v>
      </c>
      <c r="N548" s="41">
        <v>46013.291666666664</v>
      </c>
      <c r="O548" s="38" t="s">
        <v>123</v>
      </c>
      <c r="P548" s="38">
        <v>31500.0</v>
      </c>
      <c r="Q548" s="39"/>
      <c r="R548" s="39"/>
      <c r="S548" s="39"/>
      <c r="T548" s="39"/>
      <c r="U548" s="39"/>
    </row>
    <row r="549">
      <c r="A549" s="40">
        <f t="shared" si="1"/>
        <v>45999</v>
      </c>
      <c r="B549" s="37" t="str">
        <f t="array" ref="B549">iferror(xlookup($I549, 'IMPORT VHC Report'!$E:$E, 'IMPORT VHC Report'!$A:$C), )</f>
        <v/>
      </c>
      <c r="C549" s="37"/>
      <c r="D549" s="37"/>
      <c r="E549" s="38" t="s">
        <v>789</v>
      </c>
      <c r="F549" s="38" t="s">
        <v>790</v>
      </c>
      <c r="G549" s="38">
        <v>1.0548602304527E13</v>
      </c>
      <c r="H549" s="38" t="s">
        <v>70</v>
      </c>
      <c r="I549" s="38" t="s">
        <v>71</v>
      </c>
      <c r="J549" s="38" t="s">
        <v>791</v>
      </c>
      <c r="K549" s="38" t="s">
        <v>63</v>
      </c>
      <c r="L549" s="41">
        <v>46005.916666666664</v>
      </c>
      <c r="M549" s="38" t="s">
        <v>123</v>
      </c>
      <c r="N549" s="41">
        <v>46006.291666666664</v>
      </c>
      <c r="O549" s="38" t="s">
        <v>123</v>
      </c>
      <c r="P549" s="38">
        <v>32400.0</v>
      </c>
      <c r="Q549" s="39"/>
      <c r="R549" s="39"/>
      <c r="S549" s="39"/>
      <c r="T549" s="39"/>
      <c r="U549" s="39"/>
    </row>
    <row r="550">
      <c r="A550" s="40">
        <f t="shared" si="1"/>
        <v>46006</v>
      </c>
      <c r="B550" s="37" t="str">
        <f t="array" ref="B550">iferror(xlookup($I550, 'IMPORT VHC Report'!$E:$E, 'IMPORT VHC Report'!$A:$C), )</f>
        <v/>
      </c>
      <c r="C550" s="37"/>
      <c r="D550" s="37"/>
      <c r="E550" s="38" t="s">
        <v>792</v>
      </c>
      <c r="F550" s="38" t="s">
        <v>790</v>
      </c>
      <c r="G550" s="38">
        <v>1.0548602304527E13</v>
      </c>
      <c r="H550" s="38" t="s">
        <v>70</v>
      </c>
      <c r="I550" s="38" t="s">
        <v>71</v>
      </c>
      <c r="J550" s="38" t="s">
        <v>132</v>
      </c>
      <c r="K550" s="38" t="s">
        <v>126</v>
      </c>
      <c r="L550" s="41">
        <v>46006.166666666664</v>
      </c>
      <c r="M550" s="38" t="s">
        <v>123</v>
      </c>
      <c r="N550" s="41">
        <v>46006.208333333336</v>
      </c>
      <c r="O550" s="38" t="s">
        <v>123</v>
      </c>
      <c r="P550" s="38">
        <v>3600.0</v>
      </c>
      <c r="Q550" s="39"/>
      <c r="R550" s="39"/>
      <c r="S550" s="39"/>
      <c r="T550" s="39"/>
      <c r="U550" s="39"/>
    </row>
    <row r="551">
      <c r="A551" s="40">
        <f t="shared" si="1"/>
        <v>46006</v>
      </c>
      <c r="B551" s="37" t="str">
        <f t="array" ref="B551">iferror(xlookup($I551, 'IMPORT VHC Report'!$E:$E, 'IMPORT VHC Report'!$A:$C), )</f>
        <v/>
      </c>
      <c r="C551" s="37"/>
      <c r="D551" s="37"/>
      <c r="E551" s="38" t="s">
        <v>793</v>
      </c>
      <c r="F551" s="38" t="s">
        <v>790</v>
      </c>
      <c r="G551" s="38">
        <v>1.0548602304527E13</v>
      </c>
      <c r="H551" s="38" t="s">
        <v>70</v>
      </c>
      <c r="I551" s="38" t="s">
        <v>71</v>
      </c>
      <c r="J551" s="38" t="s">
        <v>134</v>
      </c>
      <c r="K551" s="38" t="s">
        <v>126</v>
      </c>
      <c r="L551" s="41">
        <v>46006.208333333336</v>
      </c>
      <c r="M551" s="38" t="s">
        <v>123</v>
      </c>
      <c r="N551" s="41">
        <v>46006.229166666664</v>
      </c>
      <c r="O551" s="38" t="s">
        <v>123</v>
      </c>
      <c r="P551" s="38">
        <v>1800.0</v>
      </c>
      <c r="Q551" s="39"/>
      <c r="R551" s="39"/>
      <c r="S551" s="39"/>
      <c r="T551" s="39"/>
      <c r="U551" s="39"/>
    </row>
    <row r="552">
      <c r="A552" s="40">
        <f t="shared" si="1"/>
        <v>46006</v>
      </c>
      <c r="B552" s="37" t="str">
        <f t="array" ref="B552">iferror(xlookup($I552, 'IMPORT VHC Report'!$E:$E, 'IMPORT VHC Report'!$A:$C), )</f>
        <v/>
      </c>
      <c r="C552" s="37"/>
      <c r="D552" s="37"/>
      <c r="E552" s="38" t="s">
        <v>794</v>
      </c>
      <c r="F552" s="38" t="s">
        <v>790</v>
      </c>
      <c r="G552" s="38">
        <v>1.0548602304527E13</v>
      </c>
      <c r="H552" s="38" t="s">
        <v>70</v>
      </c>
      <c r="I552" s="38" t="s">
        <v>71</v>
      </c>
      <c r="J552" s="38" t="s">
        <v>178</v>
      </c>
      <c r="K552" s="38" t="s">
        <v>153</v>
      </c>
      <c r="L552" s="41">
        <v>46006.916666666664</v>
      </c>
      <c r="M552" s="38" t="s">
        <v>123</v>
      </c>
      <c r="N552" s="41">
        <v>46007.291666666664</v>
      </c>
      <c r="O552" s="38" t="s">
        <v>123</v>
      </c>
      <c r="P552" s="38">
        <v>32400.0</v>
      </c>
      <c r="Q552" s="38">
        <v>28800.0</v>
      </c>
      <c r="R552" s="38" t="s">
        <v>795</v>
      </c>
      <c r="S552" s="39"/>
      <c r="T552" s="39"/>
      <c r="U552" s="39"/>
    </row>
    <row r="553">
      <c r="A553" s="40">
        <f t="shared" si="1"/>
        <v>46006</v>
      </c>
      <c r="B553" s="37" t="str">
        <f t="array" ref="B553">iferror(xlookup($I553, 'IMPORT VHC Report'!$E:$E, 'IMPORT VHC Report'!$A:$C), )</f>
        <v/>
      </c>
      <c r="C553" s="37"/>
      <c r="D553" s="37"/>
      <c r="E553" s="38" t="s">
        <v>796</v>
      </c>
      <c r="F553" s="38" t="s">
        <v>790</v>
      </c>
      <c r="G553" s="38">
        <v>1.0548602304527E13</v>
      </c>
      <c r="H553" s="38" t="s">
        <v>70</v>
      </c>
      <c r="I553" s="38" t="s">
        <v>71</v>
      </c>
      <c r="J553" s="38" t="s">
        <v>791</v>
      </c>
      <c r="K553" s="38" t="s">
        <v>63</v>
      </c>
      <c r="L553" s="41">
        <v>46006.916666666664</v>
      </c>
      <c r="M553" s="38" t="s">
        <v>123</v>
      </c>
      <c r="N553" s="41">
        <v>46007.291666666664</v>
      </c>
      <c r="O553" s="38" t="s">
        <v>123</v>
      </c>
      <c r="P553" s="38">
        <v>32400.0</v>
      </c>
      <c r="Q553" s="39"/>
      <c r="R553" s="39"/>
      <c r="S553" s="39"/>
      <c r="T553" s="39"/>
      <c r="U553" s="39"/>
    </row>
    <row r="554">
      <c r="A554" s="40">
        <f t="shared" si="1"/>
        <v>46006</v>
      </c>
      <c r="B554" s="37" t="str">
        <f t="array" ref="B554">iferror(xlookup($I554, 'IMPORT VHC Report'!$E:$E, 'IMPORT VHC Report'!$A:$C), )</f>
        <v/>
      </c>
      <c r="C554" s="37"/>
      <c r="D554" s="37"/>
      <c r="E554" s="38" t="s">
        <v>797</v>
      </c>
      <c r="F554" s="38" t="s">
        <v>790</v>
      </c>
      <c r="G554" s="38">
        <v>1.0548602304527E13</v>
      </c>
      <c r="H554" s="38" t="s">
        <v>70</v>
      </c>
      <c r="I554" s="38" t="s">
        <v>71</v>
      </c>
      <c r="J554" s="38" t="s">
        <v>132</v>
      </c>
      <c r="K554" s="38" t="s">
        <v>126</v>
      </c>
      <c r="L554" s="41">
        <v>46007.229166666664</v>
      </c>
      <c r="M554" s="38" t="s">
        <v>123</v>
      </c>
      <c r="N554" s="41">
        <v>46007.270833333336</v>
      </c>
      <c r="O554" s="38" t="s">
        <v>123</v>
      </c>
      <c r="P554" s="38">
        <v>3600.0</v>
      </c>
      <c r="Q554" s="39"/>
      <c r="R554" s="39"/>
      <c r="S554" s="39"/>
      <c r="T554" s="39"/>
      <c r="U554" s="39"/>
    </row>
    <row r="555">
      <c r="A555" s="40">
        <f t="shared" si="1"/>
        <v>46006</v>
      </c>
      <c r="B555" s="37" t="str">
        <f t="array" ref="B555">iferror(xlookup($I555, 'IMPORT VHC Report'!$E:$E, 'IMPORT VHC Report'!$A:$C), )</f>
        <v/>
      </c>
      <c r="C555" s="37"/>
      <c r="D555" s="37"/>
      <c r="E555" s="38" t="s">
        <v>798</v>
      </c>
      <c r="F555" s="38" t="s">
        <v>790</v>
      </c>
      <c r="G555" s="38">
        <v>1.0548602304527E13</v>
      </c>
      <c r="H555" s="38" t="s">
        <v>70</v>
      </c>
      <c r="I555" s="38" t="s">
        <v>71</v>
      </c>
      <c r="J555" s="38" t="s">
        <v>134</v>
      </c>
      <c r="K555" s="38" t="s">
        <v>126</v>
      </c>
      <c r="L555" s="41">
        <v>46007.270833333336</v>
      </c>
      <c r="M555" s="38" t="s">
        <v>123</v>
      </c>
      <c r="N555" s="41">
        <v>46007.291666666664</v>
      </c>
      <c r="O555" s="38" t="s">
        <v>123</v>
      </c>
      <c r="P555" s="38">
        <v>1800.0</v>
      </c>
      <c r="Q555" s="39"/>
      <c r="R555" s="39"/>
      <c r="S555" s="39"/>
      <c r="T555" s="39"/>
      <c r="U555" s="39"/>
    </row>
    <row r="556">
      <c r="A556" s="40">
        <f t="shared" si="1"/>
        <v>46006</v>
      </c>
      <c r="B556" s="37" t="str">
        <f t="array" ref="B556">iferror(xlookup($I556, 'IMPORT VHC Report'!$E:$E, 'IMPORT VHC Report'!$A:$C), )</f>
        <v/>
      </c>
      <c r="C556" s="37"/>
      <c r="D556" s="37"/>
      <c r="E556" s="38" t="s">
        <v>799</v>
      </c>
      <c r="F556" s="38" t="s">
        <v>790</v>
      </c>
      <c r="G556" s="38">
        <v>1.0548602304527E13</v>
      </c>
      <c r="H556" s="38" t="s">
        <v>70</v>
      </c>
      <c r="I556" s="38" t="s">
        <v>71</v>
      </c>
      <c r="J556" s="38" t="s">
        <v>791</v>
      </c>
      <c r="K556" s="38" t="s">
        <v>63</v>
      </c>
      <c r="L556" s="41">
        <v>46007.916666666664</v>
      </c>
      <c r="M556" s="38" t="s">
        <v>123</v>
      </c>
      <c r="N556" s="41">
        <v>46008.291666666664</v>
      </c>
      <c r="O556" s="38" t="s">
        <v>123</v>
      </c>
      <c r="P556" s="38">
        <v>32400.0</v>
      </c>
      <c r="Q556" s="39"/>
      <c r="R556" s="39"/>
      <c r="S556" s="39"/>
      <c r="T556" s="39"/>
      <c r="U556" s="39"/>
    </row>
    <row r="557">
      <c r="A557" s="40">
        <f t="shared" si="1"/>
        <v>46006</v>
      </c>
      <c r="B557" s="37" t="str">
        <f t="array" ref="B557">iferror(xlookup($I557, 'IMPORT VHC Report'!$E:$E, 'IMPORT VHC Report'!$A:$C), )</f>
        <v/>
      </c>
      <c r="C557" s="37"/>
      <c r="D557" s="37"/>
      <c r="E557" s="38" t="s">
        <v>800</v>
      </c>
      <c r="F557" s="38" t="s">
        <v>790</v>
      </c>
      <c r="G557" s="38">
        <v>1.0548602304527E13</v>
      </c>
      <c r="H557" s="38" t="s">
        <v>70</v>
      </c>
      <c r="I557" s="38" t="s">
        <v>71</v>
      </c>
      <c r="J557" s="38" t="s">
        <v>330</v>
      </c>
      <c r="K557" s="38" t="s">
        <v>126</v>
      </c>
      <c r="L557" s="41">
        <v>46008.0</v>
      </c>
      <c r="M557" s="38" t="s">
        <v>123</v>
      </c>
      <c r="N557" s="41">
        <v>46008.041666666664</v>
      </c>
      <c r="O557" s="38" t="s">
        <v>123</v>
      </c>
      <c r="P557" s="38">
        <v>3600.0</v>
      </c>
      <c r="Q557" s="39"/>
      <c r="R557" s="39"/>
      <c r="S557" s="38" t="s">
        <v>801</v>
      </c>
      <c r="T557" s="39"/>
      <c r="U557" s="39"/>
    </row>
    <row r="558">
      <c r="A558" s="40">
        <f t="shared" si="1"/>
        <v>46006</v>
      </c>
      <c r="B558" s="37" t="str">
        <f t="array" ref="B558">iferror(xlookup($I558, 'IMPORT VHC Report'!$E:$E, 'IMPORT VHC Report'!$A:$C), )</f>
        <v/>
      </c>
      <c r="C558" s="37"/>
      <c r="D558" s="37"/>
      <c r="E558" s="38" t="s">
        <v>802</v>
      </c>
      <c r="F558" s="38" t="s">
        <v>790</v>
      </c>
      <c r="G558" s="38">
        <v>1.0548602304527E13</v>
      </c>
      <c r="H558" s="38" t="s">
        <v>70</v>
      </c>
      <c r="I558" s="38" t="s">
        <v>71</v>
      </c>
      <c r="J558" s="38" t="s">
        <v>134</v>
      </c>
      <c r="K558" s="38" t="s">
        <v>126</v>
      </c>
      <c r="L558" s="41">
        <v>46008.229166666664</v>
      </c>
      <c r="M558" s="38" t="s">
        <v>123</v>
      </c>
      <c r="N558" s="41">
        <v>46008.25</v>
      </c>
      <c r="O558" s="38" t="s">
        <v>123</v>
      </c>
      <c r="P558" s="38">
        <v>1800.0</v>
      </c>
      <c r="Q558" s="39"/>
      <c r="R558" s="39"/>
      <c r="S558" s="39"/>
      <c r="T558" s="39"/>
      <c r="U558" s="39"/>
    </row>
    <row r="559">
      <c r="A559" s="40">
        <f t="shared" si="1"/>
        <v>46006</v>
      </c>
      <c r="B559" s="37" t="str">
        <f t="array" ref="B559">iferror(xlookup($I559, 'IMPORT VHC Report'!$E:$E, 'IMPORT VHC Report'!$A:$C), )</f>
        <v/>
      </c>
      <c r="C559" s="37"/>
      <c r="D559" s="37"/>
      <c r="E559" s="38" t="s">
        <v>803</v>
      </c>
      <c r="F559" s="38" t="s">
        <v>790</v>
      </c>
      <c r="G559" s="38">
        <v>1.0548602304527E13</v>
      </c>
      <c r="H559" s="38" t="s">
        <v>70</v>
      </c>
      <c r="I559" s="38" t="s">
        <v>71</v>
      </c>
      <c r="J559" s="38" t="s">
        <v>132</v>
      </c>
      <c r="K559" s="38" t="s">
        <v>126</v>
      </c>
      <c r="L559" s="41">
        <v>46008.25</v>
      </c>
      <c r="M559" s="38" t="s">
        <v>123</v>
      </c>
      <c r="N559" s="41">
        <v>46008.291666666664</v>
      </c>
      <c r="O559" s="38" t="s">
        <v>123</v>
      </c>
      <c r="P559" s="38">
        <v>3600.0</v>
      </c>
      <c r="Q559" s="39"/>
      <c r="R559" s="39"/>
      <c r="S559" s="39"/>
      <c r="T559" s="39"/>
      <c r="U559" s="39"/>
    </row>
    <row r="560">
      <c r="A560" s="40">
        <f t="shared" si="1"/>
        <v>46006</v>
      </c>
      <c r="B560" s="37" t="str">
        <f t="array" ref="B560">iferror(xlookup($I560, 'IMPORT VHC Report'!$E:$E, 'IMPORT VHC Report'!$A:$C), )</f>
        <v/>
      </c>
      <c r="C560" s="37"/>
      <c r="D560" s="37"/>
      <c r="E560" s="38" t="s">
        <v>804</v>
      </c>
      <c r="F560" s="38" t="s">
        <v>790</v>
      </c>
      <c r="G560" s="38">
        <v>1.0548602304527E13</v>
      </c>
      <c r="H560" s="38" t="s">
        <v>70</v>
      </c>
      <c r="I560" s="38" t="s">
        <v>71</v>
      </c>
      <c r="J560" s="38" t="s">
        <v>62</v>
      </c>
      <c r="K560" s="38" t="s">
        <v>63</v>
      </c>
      <c r="L560" s="41">
        <v>46008.916666666664</v>
      </c>
      <c r="M560" s="38" t="s">
        <v>123</v>
      </c>
      <c r="N560" s="41">
        <v>46009.083333333336</v>
      </c>
      <c r="O560" s="38" t="s">
        <v>123</v>
      </c>
      <c r="P560" s="38">
        <v>14400.0</v>
      </c>
      <c r="Q560" s="39"/>
      <c r="R560" s="39"/>
      <c r="S560" s="39"/>
      <c r="T560" s="39"/>
      <c r="U560" s="39"/>
    </row>
    <row r="561">
      <c r="A561" s="40">
        <f t="shared" si="1"/>
        <v>46006</v>
      </c>
      <c r="B561" s="37" t="str">
        <f t="array" ref="B561">iferror(xlookup($I561, 'IMPORT VHC Report'!$E:$E, 'IMPORT VHC Report'!$A:$C), )</f>
        <v/>
      </c>
      <c r="C561" s="37"/>
      <c r="D561" s="37"/>
      <c r="E561" s="38" t="s">
        <v>805</v>
      </c>
      <c r="F561" s="38" t="s">
        <v>790</v>
      </c>
      <c r="G561" s="38">
        <v>1.0548602304527E13</v>
      </c>
      <c r="H561" s="38" t="s">
        <v>70</v>
      </c>
      <c r="I561" s="38" t="s">
        <v>71</v>
      </c>
      <c r="J561" s="38" t="s">
        <v>136</v>
      </c>
      <c r="K561" s="38" t="s">
        <v>126</v>
      </c>
      <c r="L561" s="41">
        <v>46008.958333333336</v>
      </c>
      <c r="M561" s="38" t="s">
        <v>123</v>
      </c>
      <c r="N561" s="41">
        <v>46009.0</v>
      </c>
      <c r="O561" s="38" t="s">
        <v>123</v>
      </c>
      <c r="P561" s="38">
        <v>3600.0</v>
      </c>
      <c r="Q561" s="39"/>
      <c r="R561" s="39"/>
      <c r="S561" s="38" t="s">
        <v>137</v>
      </c>
      <c r="T561" s="39"/>
      <c r="U561" s="39"/>
    </row>
    <row r="562">
      <c r="A562" s="40">
        <f t="shared" si="1"/>
        <v>46006</v>
      </c>
      <c r="B562" s="37" t="str">
        <f t="array" ref="B562">iferror(xlookup($I562, 'IMPORT VHC Report'!$E:$E, 'IMPORT VHC Report'!$A:$C), )</f>
        <v/>
      </c>
      <c r="C562" s="37"/>
      <c r="D562" s="37"/>
      <c r="E562" s="38" t="s">
        <v>806</v>
      </c>
      <c r="F562" s="38" t="s">
        <v>790</v>
      </c>
      <c r="G562" s="38">
        <v>1.0548602304527E13</v>
      </c>
      <c r="H562" s="38" t="s">
        <v>70</v>
      </c>
      <c r="I562" s="38" t="s">
        <v>71</v>
      </c>
      <c r="J562" s="38" t="s">
        <v>791</v>
      </c>
      <c r="K562" s="38" t="s">
        <v>63</v>
      </c>
      <c r="L562" s="41">
        <v>46009.083333333336</v>
      </c>
      <c r="M562" s="38" t="s">
        <v>123</v>
      </c>
      <c r="N562" s="41">
        <v>46009.291666666664</v>
      </c>
      <c r="O562" s="38" t="s">
        <v>123</v>
      </c>
      <c r="P562" s="38">
        <v>18000.0</v>
      </c>
      <c r="Q562" s="39"/>
      <c r="R562" s="39"/>
      <c r="S562" s="39"/>
      <c r="T562" s="39"/>
      <c r="U562" s="39"/>
    </row>
    <row r="563">
      <c r="A563" s="40">
        <f t="shared" si="1"/>
        <v>46006</v>
      </c>
      <c r="B563" s="37" t="str">
        <f t="array" ref="B563">iferror(xlookup($I563, 'IMPORT VHC Report'!$E:$E, 'IMPORT VHC Report'!$A:$C), )</f>
        <v/>
      </c>
      <c r="C563" s="37"/>
      <c r="D563" s="37"/>
      <c r="E563" s="38" t="s">
        <v>807</v>
      </c>
      <c r="F563" s="38" t="s">
        <v>790</v>
      </c>
      <c r="G563" s="38">
        <v>1.0548602304527E13</v>
      </c>
      <c r="H563" s="38" t="s">
        <v>70</v>
      </c>
      <c r="I563" s="38" t="s">
        <v>71</v>
      </c>
      <c r="J563" s="38" t="s">
        <v>134</v>
      </c>
      <c r="K563" s="38" t="s">
        <v>126</v>
      </c>
      <c r="L563" s="41">
        <v>46009.166666666664</v>
      </c>
      <c r="M563" s="38" t="s">
        <v>123</v>
      </c>
      <c r="N563" s="41">
        <v>46009.1875</v>
      </c>
      <c r="O563" s="38" t="s">
        <v>123</v>
      </c>
      <c r="P563" s="38">
        <v>1800.0</v>
      </c>
      <c r="Q563" s="39"/>
      <c r="R563" s="39"/>
      <c r="S563" s="39"/>
      <c r="T563" s="39"/>
      <c r="U563" s="39"/>
    </row>
    <row r="564">
      <c r="A564" s="40">
        <f t="shared" si="1"/>
        <v>46006</v>
      </c>
      <c r="B564" s="37" t="str">
        <f t="array" ref="B564">iferror(xlookup($I564, 'IMPORT VHC Report'!$E:$E, 'IMPORT VHC Report'!$A:$C), )</f>
        <v/>
      </c>
      <c r="C564" s="37"/>
      <c r="D564" s="37"/>
      <c r="E564" s="38" t="s">
        <v>808</v>
      </c>
      <c r="F564" s="38" t="s">
        <v>790</v>
      </c>
      <c r="G564" s="38">
        <v>1.0548602304527E13</v>
      </c>
      <c r="H564" s="38" t="s">
        <v>70</v>
      </c>
      <c r="I564" s="38" t="s">
        <v>71</v>
      </c>
      <c r="J564" s="38" t="s">
        <v>132</v>
      </c>
      <c r="K564" s="38" t="s">
        <v>126</v>
      </c>
      <c r="L564" s="41">
        <v>46009.1875</v>
      </c>
      <c r="M564" s="38" t="s">
        <v>123</v>
      </c>
      <c r="N564" s="41">
        <v>46009.229166666664</v>
      </c>
      <c r="O564" s="38" t="s">
        <v>123</v>
      </c>
      <c r="P564" s="38">
        <v>3600.0</v>
      </c>
      <c r="Q564" s="39"/>
      <c r="R564" s="39"/>
      <c r="S564" s="39"/>
      <c r="T564" s="39"/>
      <c r="U564" s="39"/>
    </row>
    <row r="565">
      <c r="A565" s="40">
        <f t="shared" si="1"/>
        <v>46006</v>
      </c>
      <c r="B565" s="37" t="str">
        <f t="array" ref="B565">iferror(xlookup($I565, 'IMPORT VHC Report'!$E:$E, 'IMPORT VHC Report'!$A:$C), )</f>
        <v/>
      </c>
      <c r="C565" s="37"/>
      <c r="D565" s="37"/>
      <c r="E565" s="38" t="s">
        <v>809</v>
      </c>
      <c r="F565" s="38" t="s">
        <v>790</v>
      </c>
      <c r="G565" s="38">
        <v>1.0548602304527E13</v>
      </c>
      <c r="H565" s="38" t="s">
        <v>70</v>
      </c>
      <c r="I565" s="38" t="s">
        <v>71</v>
      </c>
      <c r="J565" s="38" t="s">
        <v>791</v>
      </c>
      <c r="K565" s="38" t="s">
        <v>63</v>
      </c>
      <c r="L565" s="41">
        <v>46009.916666666664</v>
      </c>
      <c r="M565" s="38" t="s">
        <v>123</v>
      </c>
      <c r="N565" s="41">
        <v>46010.291666666664</v>
      </c>
      <c r="O565" s="38" t="s">
        <v>123</v>
      </c>
      <c r="P565" s="38">
        <v>32400.0</v>
      </c>
      <c r="Q565" s="39"/>
      <c r="R565" s="39"/>
      <c r="S565" s="39"/>
      <c r="T565" s="39"/>
      <c r="U565" s="39"/>
    </row>
    <row r="566">
      <c r="A566" s="40">
        <f t="shared" si="1"/>
        <v>46006</v>
      </c>
      <c r="B566" s="37" t="str">
        <f t="array" ref="B566">iferror(xlookup($I566, 'IMPORT VHC Report'!$E:$E, 'IMPORT VHC Report'!$A:$C), )</f>
        <v/>
      </c>
      <c r="C566" s="37"/>
      <c r="D566" s="37"/>
      <c r="E566" s="38" t="s">
        <v>810</v>
      </c>
      <c r="F566" s="38" t="s">
        <v>790</v>
      </c>
      <c r="G566" s="38">
        <v>1.0548602304527E13</v>
      </c>
      <c r="H566" s="38" t="s">
        <v>70</v>
      </c>
      <c r="I566" s="38" t="s">
        <v>71</v>
      </c>
      <c r="J566" s="38" t="s">
        <v>132</v>
      </c>
      <c r="K566" s="38" t="s">
        <v>126</v>
      </c>
      <c r="L566" s="41">
        <v>46010.166666666664</v>
      </c>
      <c r="M566" s="38" t="s">
        <v>123</v>
      </c>
      <c r="N566" s="41">
        <v>46010.208333333336</v>
      </c>
      <c r="O566" s="38" t="s">
        <v>123</v>
      </c>
      <c r="P566" s="38">
        <v>3600.0</v>
      </c>
      <c r="Q566" s="39"/>
      <c r="R566" s="39"/>
      <c r="S566" s="39"/>
      <c r="T566" s="39"/>
      <c r="U566" s="39"/>
    </row>
    <row r="567">
      <c r="A567" s="40">
        <f t="shared" si="1"/>
        <v>46006</v>
      </c>
      <c r="B567" s="37" t="str">
        <f t="array" ref="B567">iferror(xlookup($I567, 'IMPORT VHC Report'!$E:$E, 'IMPORT VHC Report'!$A:$C), )</f>
        <v/>
      </c>
      <c r="C567" s="37"/>
      <c r="D567" s="37"/>
      <c r="E567" s="38" t="s">
        <v>811</v>
      </c>
      <c r="F567" s="38" t="s">
        <v>790</v>
      </c>
      <c r="G567" s="38">
        <v>1.0548602304527E13</v>
      </c>
      <c r="H567" s="38" t="s">
        <v>70</v>
      </c>
      <c r="I567" s="38" t="s">
        <v>71</v>
      </c>
      <c r="J567" s="38" t="s">
        <v>134</v>
      </c>
      <c r="K567" s="38" t="s">
        <v>126</v>
      </c>
      <c r="L567" s="41">
        <v>46010.208333333336</v>
      </c>
      <c r="M567" s="38" t="s">
        <v>123</v>
      </c>
      <c r="N567" s="41">
        <v>46010.229166666664</v>
      </c>
      <c r="O567" s="38" t="s">
        <v>123</v>
      </c>
      <c r="P567" s="38">
        <v>1800.0</v>
      </c>
      <c r="Q567" s="39"/>
      <c r="R567" s="39"/>
      <c r="S567" s="39"/>
      <c r="T567" s="39"/>
      <c r="U567" s="39"/>
    </row>
    <row r="568">
      <c r="A568" s="40">
        <f t="shared" si="1"/>
        <v>46006</v>
      </c>
      <c r="B568" s="37" t="str">
        <f t="array" ref="B568">iferror(xlookup($I568, 'IMPORT VHC Report'!$E:$E, 'IMPORT VHC Report'!$A:$C), )</f>
        <v/>
      </c>
      <c r="C568" s="37"/>
      <c r="D568" s="37"/>
      <c r="E568" s="38" t="s">
        <v>812</v>
      </c>
      <c r="F568" s="38" t="s">
        <v>790</v>
      </c>
      <c r="G568" s="38">
        <v>1.0548602304527E13</v>
      </c>
      <c r="H568" s="38" t="s">
        <v>70</v>
      </c>
      <c r="I568" s="38" t="s">
        <v>71</v>
      </c>
      <c r="J568" s="38" t="s">
        <v>791</v>
      </c>
      <c r="K568" s="38" t="s">
        <v>63</v>
      </c>
      <c r="L568" s="41">
        <v>46012.916666666664</v>
      </c>
      <c r="M568" s="38" t="s">
        <v>123</v>
      </c>
      <c r="N568" s="41">
        <v>46013.291666666664</v>
      </c>
      <c r="O568" s="38" t="s">
        <v>123</v>
      </c>
      <c r="P568" s="38">
        <v>32400.0</v>
      </c>
      <c r="Q568" s="39"/>
      <c r="R568" s="39"/>
      <c r="S568" s="39"/>
      <c r="T568" s="39"/>
      <c r="U568" s="39"/>
    </row>
    <row r="569">
      <c r="A569" s="40">
        <f t="shared" si="1"/>
        <v>45999</v>
      </c>
      <c r="B569" s="37" t="str">
        <f t="array" ref="B569">iferror(xlookup($I569, 'IMPORT VHC Report'!$E:$E, 'IMPORT VHC Report'!$A:$C), )</f>
        <v/>
      </c>
      <c r="C569" s="37"/>
      <c r="D569" s="37"/>
      <c r="E569" s="38" t="s">
        <v>813</v>
      </c>
      <c r="F569" s="38" t="s">
        <v>814</v>
      </c>
      <c r="G569" s="38">
        <v>8.139562541455E12</v>
      </c>
      <c r="H569" s="38" t="s">
        <v>88</v>
      </c>
      <c r="I569" s="38" t="s">
        <v>89</v>
      </c>
      <c r="J569" s="38" t="s">
        <v>791</v>
      </c>
      <c r="K569" s="38" t="s">
        <v>63</v>
      </c>
      <c r="L569" s="41">
        <v>46005.916666666664</v>
      </c>
      <c r="M569" s="38" t="s">
        <v>123</v>
      </c>
      <c r="N569" s="41">
        <v>46006.291666666664</v>
      </c>
      <c r="O569" s="38" t="s">
        <v>123</v>
      </c>
      <c r="P569" s="38">
        <v>32400.0</v>
      </c>
      <c r="Q569" s="39"/>
      <c r="R569" s="39"/>
      <c r="S569" s="39"/>
      <c r="T569" s="39"/>
      <c r="U569" s="39"/>
    </row>
    <row r="570">
      <c r="A570" s="40">
        <f t="shared" si="1"/>
        <v>46006</v>
      </c>
      <c r="B570" s="37" t="str">
        <f t="array" ref="B570">iferror(xlookup($I570, 'IMPORT VHC Report'!$E:$E, 'IMPORT VHC Report'!$A:$C), )</f>
        <v/>
      </c>
      <c r="C570" s="37"/>
      <c r="D570" s="37"/>
      <c r="E570" s="38" t="s">
        <v>815</v>
      </c>
      <c r="F570" s="38" t="s">
        <v>814</v>
      </c>
      <c r="G570" s="38">
        <v>8.139562541455E12</v>
      </c>
      <c r="H570" s="38" t="s">
        <v>88</v>
      </c>
      <c r="I570" s="38" t="s">
        <v>89</v>
      </c>
      <c r="J570" s="38" t="s">
        <v>134</v>
      </c>
      <c r="K570" s="38" t="s">
        <v>126</v>
      </c>
      <c r="L570" s="41">
        <v>46006.229166666664</v>
      </c>
      <c r="M570" s="38" t="s">
        <v>123</v>
      </c>
      <c r="N570" s="41">
        <v>46006.25</v>
      </c>
      <c r="O570" s="38" t="s">
        <v>123</v>
      </c>
      <c r="P570" s="38">
        <v>1800.0</v>
      </c>
      <c r="Q570" s="39"/>
      <c r="R570" s="39"/>
      <c r="S570" s="39"/>
      <c r="T570" s="39"/>
      <c r="U570" s="39"/>
    </row>
    <row r="571">
      <c r="A571" s="40">
        <f t="shared" si="1"/>
        <v>46006</v>
      </c>
      <c r="B571" s="37" t="str">
        <f t="array" ref="B571">iferror(xlookup($I571, 'IMPORT VHC Report'!$E:$E, 'IMPORT VHC Report'!$A:$C), )</f>
        <v/>
      </c>
      <c r="C571" s="37"/>
      <c r="D571" s="37"/>
      <c r="E571" s="38" t="s">
        <v>816</v>
      </c>
      <c r="F571" s="38" t="s">
        <v>814</v>
      </c>
      <c r="G571" s="38">
        <v>8.139562541455E12</v>
      </c>
      <c r="H571" s="38" t="s">
        <v>88</v>
      </c>
      <c r="I571" s="38" t="s">
        <v>89</v>
      </c>
      <c r="J571" s="38" t="s">
        <v>132</v>
      </c>
      <c r="K571" s="38" t="s">
        <v>126</v>
      </c>
      <c r="L571" s="41">
        <v>46006.25</v>
      </c>
      <c r="M571" s="38" t="s">
        <v>123</v>
      </c>
      <c r="N571" s="41">
        <v>46006.291666666664</v>
      </c>
      <c r="O571" s="38" t="s">
        <v>123</v>
      </c>
      <c r="P571" s="38">
        <v>3600.0</v>
      </c>
      <c r="Q571" s="39"/>
      <c r="R571" s="39"/>
      <c r="S571" s="39"/>
      <c r="T571" s="39"/>
      <c r="U571" s="39"/>
    </row>
    <row r="572">
      <c r="A572" s="40">
        <f t="shared" si="1"/>
        <v>46006</v>
      </c>
      <c r="B572" s="37" t="str">
        <f t="array" ref="B572">iferror(xlookup($I572, 'IMPORT VHC Report'!$E:$E, 'IMPORT VHC Report'!$A:$C), )</f>
        <v/>
      </c>
      <c r="C572" s="37"/>
      <c r="D572" s="37"/>
      <c r="E572" s="38" t="s">
        <v>817</v>
      </c>
      <c r="F572" s="38" t="s">
        <v>814</v>
      </c>
      <c r="G572" s="38">
        <v>8.139562541455E12</v>
      </c>
      <c r="H572" s="38" t="s">
        <v>88</v>
      </c>
      <c r="I572" s="38" t="s">
        <v>89</v>
      </c>
      <c r="J572" s="38" t="s">
        <v>62</v>
      </c>
      <c r="K572" s="38" t="s">
        <v>63</v>
      </c>
      <c r="L572" s="41">
        <v>46007.916666666664</v>
      </c>
      <c r="M572" s="38" t="s">
        <v>123</v>
      </c>
      <c r="N572" s="41">
        <v>46008.083333333336</v>
      </c>
      <c r="O572" s="38" t="s">
        <v>123</v>
      </c>
      <c r="P572" s="38">
        <v>14400.0</v>
      </c>
      <c r="Q572" s="39"/>
      <c r="R572" s="39"/>
      <c r="S572" s="39"/>
      <c r="T572" s="39"/>
      <c r="U572" s="39"/>
    </row>
    <row r="573">
      <c r="A573" s="40">
        <f t="shared" si="1"/>
        <v>46006</v>
      </c>
      <c r="B573" s="37" t="str">
        <f t="array" ref="B573">iferror(xlookup($I573, 'IMPORT VHC Report'!$E:$E, 'IMPORT VHC Report'!$A:$C), )</f>
        <v/>
      </c>
      <c r="C573" s="37"/>
      <c r="D573" s="37"/>
      <c r="E573" s="38" t="s">
        <v>818</v>
      </c>
      <c r="F573" s="38" t="s">
        <v>814</v>
      </c>
      <c r="G573" s="38">
        <v>8.139562541455E12</v>
      </c>
      <c r="H573" s="38" t="s">
        <v>88</v>
      </c>
      <c r="I573" s="38" t="s">
        <v>89</v>
      </c>
      <c r="J573" s="38" t="s">
        <v>791</v>
      </c>
      <c r="K573" s="38" t="s">
        <v>63</v>
      </c>
      <c r="L573" s="41">
        <v>46008.083333333336</v>
      </c>
      <c r="M573" s="38" t="s">
        <v>123</v>
      </c>
      <c r="N573" s="41">
        <v>46008.291666666664</v>
      </c>
      <c r="O573" s="38" t="s">
        <v>123</v>
      </c>
      <c r="P573" s="38">
        <v>18000.0</v>
      </c>
      <c r="Q573" s="39"/>
      <c r="R573" s="39"/>
      <c r="S573" s="39"/>
      <c r="T573" s="39"/>
      <c r="U573" s="39"/>
    </row>
    <row r="574">
      <c r="A574" s="40">
        <f t="shared" si="1"/>
        <v>46006</v>
      </c>
      <c r="B574" s="37" t="str">
        <f t="array" ref="B574">iferror(xlookup($I574, 'IMPORT VHC Report'!$E:$E, 'IMPORT VHC Report'!$A:$C), )</f>
        <v/>
      </c>
      <c r="C574" s="37"/>
      <c r="D574" s="37"/>
      <c r="E574" s="38" t="s">
        <v>819</v>
      </c>
      <c r="F574" s="38" t="s">
        <v>814</v>
      </c>
      <c r="G574" s="38">
        <v>8.139562541455E12</v>
      </c>
      <c r="H574" s="38" t="s">
        <v>88</v>
      </c>
      <c r="I574" s="38" t="s">
        <v>89</v>
      </c>
      <c r="J574" s="38" t="s">
        <v>134</v>
      </c>
      <c r="K574" s="38" t="s">
        <v>126</v>
      </c>
      <c r="L574" s="41">
        <v>46008.166666666664</v>
      </c>
      <c r="M574" s="38" t="s">
        <v>123</v>
      </c>
      <c r="N574" s="41">
        <v>46008.1875</v>
      </c>
      <c r="O574" s="38" t="s">
        <v>123</v>
      </c>
      <c r="P574" s="38">
        <v>1800.0</v>
      </c>
      <c r="Q574" s="39"/>
      <c r="R574" s="39"/>
      <c r="S574" s="39"/>
      <c r="T574" s="39"/>
      <c r="U574" s="39"/>
    </row>
    <row r="575">
      <c r="A575" s="40">
        <f t="shared" si="1"/>
        <v>46006</v>
      </c>
      <c r="B575" s="37" t="str">
        <f t="array" ref="B575">iferror(xlookup($I575, 'IMPORT VHC Report'!$E:$E, 'IMPORT VHC Report'!$A:$C), )</f>
        <v/>
      </c>
      <c r="C575" s="37"/>
      <c r="D575" s="37"/>
      <c r="E575" s="38" t="s">
        <v>820</v>
      </c>
      <c r="F575" s="38" t="s">
        <v>814</v>
      </c>
      <c r="G575" s="38">
        <v>8.139562541455E12</v>
      </c>
      <c r="H575" s="38" t="s">
        <v>88</v>
      </c>
      <c r="I575" s="38" t="s">
        <v>89</v>
      </c>
      <c r="J575" s="38" t="s">
        <v>132</v>
      </c>
      <c r="K575" s="38" t="s">
        <v>126</v>
      </c>
      <c r="L575" s="41">
        <v>46008.1875</v>
      </c>
      <c r="M575" s="38" t="s">
        <v>123</v>
      </c>
      <c r="N575" s="41">
        <v>46008.229166666664</v>
      </c>
      <c r="O575" s="38" t="s">
        <v>123</v>
      </c>
      <c r="P575" s="38">
        <v>3600.0</v>
      </c>
      <c r="Q575" s="39"/>
      <c r="R575" s="39"/>
      <c r="S575" s="39"/>
      <c r="T575" s="39"/>
      <c r="U575" s="39"/>
    </row>
    <row r="576">
      <c r="A576" s="40">
        <f t="shared" si="1"/>
        <v>46006</v>
      </c>
      <c r="B576" s="37" t="str">
        <f t="array" ref="B576">iferror(xlookup($I576, 'IMPORT VHC Report'!$E:$E, 'IMPORT VHC Report'!$A:$C), )</f>
        <v/>
      </c>
      <c r="C576" s="37"/>
      <c r="D576" s="37"/>
      <c r="E576" s="38" t="s">
        <v>821</v>
      </c>
      <c r="F576" s="38" t="s">
        <v>814</v>
      </c>
      <c r="G576" s="38">
        <v>8.139562541455E12</v>
      </c>
      <c r="H576" s="38" t="s">
        <v>88</v>
      </c>
      <c r="I576" s="38" t="s">
        <v>89</v>
      </c>
      <c r="J576" s="38" t="s">
        <v>791</v>
      </c>
      <c r="K576" s="38" t="s">
        <v>63</v>
      </c>
      <c r="L576" s="41">
        <v>46008.916666666664</v>
      </c>
      <c r="M576" s="38" t="s">
        <v>123</v>
      </c>
      <c r="N576" s="41">
        <v>46009.291666666664</v>
      </c>
      <c r="O576" s="38" t="s">
        <v>123</v>
      </c>
      <c r="P576" s="38">
        <v>32400.0</v>
      </c>
      <c r="Q576" s="39"/>
      <c r="R576" s="39"/>
      <c r="S576" s="39"/>
      <c r="T576" s="39"/>
      <c r="U576" s="39"/>
    </row>
    <row r="577">
      <c r="A577" s="40">
        <f t="shared" si="1"/>
        <v>46006</v>
      </c>
      <c r="B577" s="37" t="str">
        <f t="array" ref="B577">iferror(xlookup($I577, 'IMPORT VHC Report'!$E:$E, 'IMPORT VHC Report'!$A:$C), )</f>
        <v/>
      </c>
      <c r="C577" s="37"/>
      <c r="D577" s="37"/>
      <c r="E577" s="38" t="s">
        <v>822</v>
      </c>
      <c r="F577" s="38" t="s">
        <v>814</v>
      </c>
      <c r="G577" s="38">
        <v>8.139562541455E12</v>
      </c>
      <c r="H577" s="38" t="s">
        <v>88</v>
      </c>
      <c r="I577" s="38" t="s">
        <v>89</v>
      </c>
      <c r="J577" s="38" t="s">
        <v>136</v>
      </c>
      <c r="K577" s="38" t="s">
        <v>126</v>
      </c>
      <c r="L577" s="41">
        <v>46008.958333333336</v>
      </c>
      <c r="M577" s="38" t="s">
        <v>123</v>
      </c>
      <c r="N577" s="41">
        <v>46009.0</v>
      </c>
      <c r="O577" s="38" t="s">
        <v>123</v>
      </c>
      <c r="P577" s="38">
        <v>3600.0</v>
      </c>
      <c r="Q577" s="39"/>
      <c r="R577" s="39"/>
      <c r="S577" s="38" t="s">
        <v>137</v>
      </c>
      <c r="T577" s="39"/>
      <c r="U577" s="39"/>
    </row>
    <row r="578">
      <c r="A578" s="40">
        <f t="shared" si="1"/>
        <v>46006</v>
      </c>
      <c r="B578" s="37" t="str">
        <f t="array" ref="B578">iferror(xlookup($I578, 'IMPORT VHC Report'!$E:$E, 'IMPORT VHC Report'!$A:$C), )</f>
        <v/>
      </c>
      <c r="C578" s="37"/>
      <c r="D578" s="37"/>
      <c r="E578" s="38" t="s">
        <v>823</v>
      </c>
      <c r="F578" s="38" t="s">
        <v>814</v>
      </c>
      <c r="G578" s="38">
        <v>8.139562541455E12</v>
      </c>
      <c r="H578" s="38" t="s">
        <v>88</v>
      </c>
      <c r="I578" s="38" t="s">
        <v>89</v>
      </c>
      <c r="J578" s="38" t="s">
        <v>134</v>
      </c>
      <c r="K578" s="38" t="s">
        <v>126</v>
      </c>
      <c r="L578" s="41">
        <v>46009.229166666664</v>
      </c>
      <c r="M578" s="38" t="s">
        <v>123</v>
      </c>
      <c r="N578" s="41">
        <v>46009.25</v>
      </c>
      <c r="O578" s="38" t="s">
        <v>123</v>
      </c>
      <c r="P578" s="38">
        <v>1800.0</v>
      </c>
      <c r="Q578" s="39"/>
      <c r="R578" s="39"/>
      <c r="S578" s="39"/>
      <c r="T578" s="39"/>
      <c r="U578" s="39"/>
    </row>
    <row r="579">
      <c r="A579" s="40">
        <f t="shared" si="1"/>
        <v>46006</v>
      </c>
      <c r="B579" s="37" t="str">
        <f t="array" ref="B579">iferror(xlookup($I579, 'IMPORT VHC Report'!$E:$E, 'IMPORT VHC Report'!$A:$C), )</f>
        <v/>
      </c>
      <c r="C579" s="37"/>
      <c r="D579" s="37"/>
      <c r="E579" s="38" t="s">
        <v>824</v>
      </c>
      <c r="F579" s="38" t="s">
        <v>814</v>
      </c>
      <c r="G579" s="38">
        <v>8.139562541455E12</v>
      </c>
      <c r="H579" s="38" t="s">
        <v>88</v>
      </c>
      <c r="I579" s="38" t="s">
        <v>89</v>
      </c>
      <c r="J579" s="38" t="s">
        <v>132</v>
      </c>
      <c r="K579" s="38" t="s">
        <v>126</v>
      </c>
      <c r="L579" s="41">
        <v>46009.25</v>
      </c>
      <c r="M579" s="38" t="s">
        <v>123</v>
      </c>
      <c r="N579" s="41">
        <v>46009.291666666664</v>
      </c>
      <c r="O579" s="38" t="s">
        <v>123</v>
      </c>
      <c r="P579" s="38">
        <v>3600.0</v>
      </c>
      <c r="Q579" s="39"/>
      <c r="R579" s="39"/>
      <c r="S579" s="39"/>
      <c r="T579" s="39"/>
      <c r="U579" s="39"/>
    </row>
    <row r="580">
      <c r="A580" s="40">
        <f t="shared" si="1"/>
        <v>46006</v>
      </c>
      <c r="B580" s="37" t="str">
        <f t="array" ref="B580">iferror(xlookup($I580, 'IMPORT VHC Report'!$E:$E, 'IMPORT VHC Report'!$A:$C), )</f>
        <v/>
      </c>
      <c r="C580" s="37"/>
      <c r="D580" s="37"/>
      <c r="E580" s="38" t="s">
        <v>825</v>
      </c>
      <c r="F580" s="38" t="s">
        <v>814</v>
      </c>
      <c r="G580" s="38">
        <v>8.139562541455E12</v>
      </c>
      <c r="H580" s="38" t="s">
        <v>88</v>
      </c>
      <c r="I580" s="38" t="s">
        <v>89</v>
      </c>
      <c r="J580" s="38" t="s">
        <v>791</v>
      </c>
      <c r="K580" s="38" t="s">
        <v>63</v>
      </c>
      <c r="L580" s="41">
        <v>46009.916666666664</v>
      </c>
      <c r="M580" s="38" t="s">
        <v>123</v>
      </c>
      <c r="N580" s="41">
        <v>46010.291666666664</v>
      </c>
      <c r="O580" s="38" t="s">
        <v>123</v>
      </c>
      <c r="P580" s="38">
        <v>32400.0</v>
      </c>
      <c r="Q580" s="39"/>
      <c r="R580" s="39"/>
      <c r="S580" s="39"/>
      <c r="T580" s="39"/>
      <c r="U580" s="39"/>
    </row>
    <row r="581">
      <c r="A581" s="40">
        <f t="shared" si="1"/>
        <v>46006</v>
      </c>
      <c r="B581" s="37" t="str">
        <f t="array" ref="B581">iferror(xlookup($I581, 'IMPORT VHC Report'!$E:$E, 'IMPORT VHC Report'!$A:$C), )</f>
        <v/>
      </c>
      <c r="C581" s="37"/>
      <c r="D581" s="37"/>
      <c r="E581" s="38" t="s">
        <v>826</v>
      </c>
      <c r="F581" s="38" t="s">
        <v>814</v>
      </c>
      <c r="G581" s="38">
        <v>8.139562541455E12</v>
      </c>
      <c r="H581" s="38" t="s">
        <v>88</v>
      </c>
      <c r="I581" s="38" t="s">
        <v>89</v>
      </c>
      <c r="J581" s="38" t="s">
        <v>134</v>
      </c>
      <c r="K581" s="38" t="s">
        <v>126</v>
      </c>
      <c r="L581" s="41">
        <v>46010.229166666664</v>
      </c>
      <c r="M581" s="38" t="s">
        <v>123</v>
      </c>
      <c r="N581" s="41">
        <v>46010.25</v>
      </c>
      <c r="O581" s="38" t="s">
        <v>123</v>
      </c>
      <c r="P581" s="38">
        <v>1800.0</v>
      </c>
      <c r="Q581" s="39"/>
      <c r="R581" s="39"/>
      <c r="S581" s="39"/>
      <c r="T581" s="39"/>
      <c r="U581" s="39"/>
    </row>
    <row r="582">
      <c r="A582" s="40">
        <f t="shared" si="1"/>
        <v>46006</v>
      </c>
      <c r="B582" s="37" t="str">
        <f t="array" ref="B582">iferror(xlookup($I582, 'IMPORT VHC Report'!$E:$E, 'IMPORT VHC Report'!$A:$C), )</f>
        <v/>
      </c>
      <c r="C582" s="37"/>
      <c r="D582" s="37"/>
      <c r="E582" s="38" t="s">
        <v>827</v>
      </c>
      <c r="F582" s="38" t="s">
        <v>814</v>
      </c>
      <c r="G582" s="38">
        <v>8.139562541455E12</v>
      </c>
      <c r="H582" s="38" t="s">
        <v>88</v>
      </c>
      <c r="I582" s="38" t="s">
        <v>89</v>
      </c>
      <c r="J582" s="38" t="s">
        <v>132</v>
      </c>
      <c r="K582" s="38" t="s">
        <v>126</v>
      </c>
      <c r="L582" s="41">
        <v>46010.25</v>
      </c>
      <c r="M582" s="38" t="s">
        <v>123</v>
      </c>
      <c r="N582" s="41">
        <v>46010.291666666664</v>
      </c>
      <c r="O582" s="38" t="s">
        <v>123</v>
      </c>
      <c r="P582" s="38">
        <v>3600.0</v>
      </c>
      <c r="Q582" s="39"/>
      <c r="R582" s="39"/>
      <c r="S582" s="39"/>
      <c r="T582" s="39"/>
      <c r="U582" s="39"/>
    </row>
    <row r="583">
      <c r="A583" s="40">
        <f t="shared" si="1"/>
        <v>46006</v>
      </c>
      <c r="B583" s="37" t="str">
        <f t="array" ref="B583">iferror(xlookup($I583, 'IMPORT VHC Report'!$E:$E, 'IMPORT VHC Report'!$A:$C), )</f>
        <v/>
      </c>
      <c r="C583" s="37"/>
      <c r="D583" s="37"/>
      <c r="E583" s="38" t="s">
        <v>828</v>
      </c>
      <c r="F583" s="38" t="s">
        <v>814</v>
      </c>
      <c r="G583" s="38">
        <v>8.139562541455E12</v>
      </c>
      <c r="H583" s="38" t="s">
        <v>88</v>
      </c>
      <c r="I583" s="38" t="s">
        <v>89</v>
      </c>
      <c r="J583" s="38" t="s">
        <v>791</v>
      </c>
      <c r="K583" s="38" t="s">
        <v>63</v>
      </c>
      <c r="L583" s="41">
        <v>46010.916666666664</v>
      </c>
      <c r="M583" s="38" t="s">
        <v>123</v>
      </c>
      <c r="N583" s="41">
        <v>46011.291666666664</v>
      </c>
      <c r="O583" s="38" t="s">
        <v>123</v>
      </c>
      <c r="P583" s="38">
        <v>32400.0</v>
      </c>
      <c r="Q583" s="39"/>
      <c r="R583" s="39"/>
      <c r="S583" s="39"/>
      <c r="T583" s="39"/>
      <c r="U583" s="39"/>
    </row>
    <row r="584">
      <c r="A584" s="40">
        <f t="shared" si="1"/>
        <v>46006</v>
      </c>
      <c r="B584" s="37" t="str">
        <f t="array" ref="B584">iferror(xlookup($I584, 'IMPORT VHC Report'!$E:$E, 'IMPORT VHC Report'!$A:$C), )</f>
        <v/>
      </c>
      <c r="C584" s="37"/>
      <c r="D584" s="37"/>
      <c r="E584" s="38" t="s">
        <v>829</v>
      </c>
      <c r="F584" s="38" t="s">
        <v>814</v>
      </c>
      <c r="G584" s="38">
        <v>8.139562541455E12</v>
      </c>
      <c r="H584" s="38" t="s">
        <v>88</v>
      </c>
      <c r="I584" s="38" t="s">
        <v>89</v>
      </c>
      <c r="J584" s="38" t="s">
        <v>132</v>
      </c>
      <c r="K584" s="38" t="s">
        <v>126</v>
      </c>
      <c r="L584" s="41">
        <v>46011.083333333336</v>
      </c>
      <c r="M584" s="38" t="s">
        <v>123</v>
      </c>
      <c r="N584" s="41">
        <v>46011.125</v>
      </c>
      <c r="O584" s="38" t="s">
        <v>123</v>
      </c>
      <c r="P584" s="38">
        <v>3600.0</v>
      </c>
      <c r="Q584" s="39"/>
      <c r="R584" s="39"/>
      <c r="S584" s="39"/>
      <c r="T584" s="39"/>
      <c r="U584" s="39"/>
    </row>
    <row r="585">
      <c r="A585" s="40">
        <f t="shared" si="1"/>
        <v>46006</v>
      </c>
      <c r="B585" s="37" t="str">
        <f t="array" ref="B585">iferror(xlookup($I585, 'IMPORT VHC Report'!$E:$E, 'IMPORT VHC Report'!$A:$C), )</f>
        <v/>
      </c>
      <c r="C585" s="37"/>
      <c r="D585" s="37"/>
      <c r="E585" s="38" t="s">
        <v>830</v>
      </c>
      <c r="F585" s="38" t="s">
        <v>814</v>
      </c>
      <c r="G585" s="38">
        <v>8.139562541455E12</v>
      </c>
      <c r="H585" s="38" t="s">
        <v>88</v>
      </c>
      <c r="I585" s="38" t="s">
        <v>89</v>
      </c>
      <c r="J585" s="38" t="s">
        <v>152</v>
      </c>
      <c r="K585" s="38" t="s">
        <v>153</v>
      </c>
      <c r="L585" s="41">
        <v>46011.125</v>
      </c>
      <c r="M585" s="38" t="s">
        <v>123</v>
      </c>
      <c r="N585" s="41">
        <v>46011.291666666664</v>
      </c>
      <c r="O585" s="38" t="s">
        <v>123</v>
      </c>
      <c r="P585" s="38">
        <v>14400.0</v>
      </c>
      <c r="Q585" s="38">
        <v>18000.0</v>
      </c>
      <c r="R585" s="38" t="s">
        <v>831</v>
      </c>
      <c r="S585" s="39"/>
      <c r="T585" s="39"/>
      <c r="U585" s="39"/>
    </row>
    <row r="586">
      <c r="A586" s="40">
        <f t="shared" si="1"/>
        <v>46006</v>
      </c>
      <c r="B586" s="37" t="str">
        <f t="array" ref="B586">iferror(xlookup($I586, 'IMPORT VHC Report'!$E:$E, 'IMPORT VHC Report'!$A:$C), )</f>
        <v/>
      </c>
      <c r="C586" s="37"/>
      <c r="D586" s="37"/>
      <c r="E586" s="38" t="s">
        <v>832</v>
      </c>
      <c r="F586" s="38" t="s">
        <v>814</v>
      </c>
      <c r="G586" s="38">
        <v>8.139562541455E12</v>
      </c>
      <c r="H586" s="38" t="s">
        <v>88</v>
      </c>
      <c r="I586" s="38" t="s">
        <v>89</v>
      </c>
      <c r="J586" s="38" t="s">
        <v>134</v>
      </c>
      <c r="K586" s="38" t="s">
        <v>126</v>
      </c>
      <c r="L586" s="41">
        <v>46011.229166666664</v>
      </c>
      <c r="M586" s="38" t="s">
        <v>123</v>
      </c>
      <c r="N586" s="41">
        <v>46011.25</v>
      </c>
      <c r="O586" s="38" t="s">
        <v>123</v>
      </c>
      <c r="P586" s="38">
        <v>1800.0</v>
      </c>
      <c r="Q586" s="39"/>
      <c r="R586" s="39"/>
      <c r="S586" s="39"/>
      <c r="T586" s="39"/>
      <c r="U586" s="39"/>
    </row>
    <row r="587">
      <c r="A587" s="40">
        <f t="shared" si="1"/>
        <v>46006</v>
      </c>
      <c r="B587" s="37" t="str">
        <f t="array" ref="B587">iferror(xlookup($I587, 'IMPORT VHC Report'!$E:$E, 'IMPORT VHC Report'!$A:$C), )</f>
        <v/>
      </c>
      <c r="C587" s="37"/>
      <c r="D587" s="37"/>
      <c r="E587" s="38" t="s">
        <v>833</v>
      </c>
      <c r="F587" s="38" t="s">
        <v>814</v>
      </c>
      <c r="G587" s="38">
        <v>8.139562541455E12</v>
      </c>
      <c r="H587" s="38" t="s">
        <v>88</v>
      </c>
      <c r="I587" s="38" t="s">
        <v>89</v>
      </c>
      <c r="J587" s="38" t="s">
        <v>791</v>
      </c>
      <c r="K587" s="38" t="s">
        <v>63</v>
      </c>
      <c r="L587" s="41">
        <v>46011.916666666664</v>
      </c>
      <c r="M587" s="38" t="s">
        <v>123</v>
      </c>
      <c r="N587" s="41">
        <v>46012.291666666664</v>
      </c>
      <c r="O587" s="38" t="s">
        <v>123</v>
      </c>
      <c r="P587" s="38">
        <v>32400.0</v>
      </c>
      <c r="Q587" s="39"/>
      <c r="R587" s="39"/>
      <c r="S587" s="39"/>
      <c r="T587" s="39"/>
      <c r="U587" s="39"/>
    </row>
    <row r="588">
      <c r="A588" s="40">
        <f t="shared" si="1"/>
        <v>46006</v>
      </c>
      <c r="B588" s="37" t="str">
        <f t="array" ref="B588">iferror(xlookup($I588, 'IMPORT VHC Report'!$E:$E, 'IMPORT VHC Report'!$A:$C), )</f>
        <v/>
      </c>
      <c r="C588" s="37"/>
      <c r="D588" s="37"/>
      <c r="E588" s="38" t="s">
        <v>834</v>
      </c>
      <c r="F588" s="38" t="s">
        <v>814</v>
      </c>
      <c r="G588" s="38">
        <v>8.139562541455E12</v>
      </c>
      <c r="H588" s="38" t="s">
        <v>88</v>
      </c>
      <c r="I588" s="38" t="s">
        <v>89</v>
      </c>
      <c r="J588" s="38" t="s">
        <v>132</v>
      </c>
      <c r="K588" s="38" t="s">
        <v>126</v>
      </c>
      <c r="L588" s="41">
        <v>46012.166666666664</v>
      </c>
      <c r="M588" s="38" t="s">
        <v>123</v>
      </c>
      <c r="N588" s="41">
        <v>46012.208333333336</v>
      </c>
      <c r="O588" s="38" t="s">
        <v>123</v>
      </c>
      <c r="P588" s="38">
        <v>3600.0</v>
      </c>
      <c r="Q588" s="39"/>
      <c r="R588" s="39"/>
      <c r="S588" s="39"/>
      <c r="T588" s="39"/>
      <c r="U588" s="39"/>
    </row>
    <row r="589">
      <c r="A589" s="40">
        <f t="shared" si="1"/>
        <v>46006</v>
      </c>
      <c r="B589" s="37" t="str">
        <f t="array" ref="B589">iferror(xlookup($I589, 'IMPORT VHC Report'!$E:$E, 'IMPORT VHC Report'!$A:$C), )</f>
        <v/>
      </c>
      <c r="C589" s="37"/>
      <c r="D589" s="37"/>
      <c r="E589" s="38" t="s">
        <v>835</v>
      </c>
      <c r="F589" s="38" t="s">
        <v>814</v>
      </c>
      <c r="G589" s="38">
        <v>8.139562541455E12</v>
      </c>
      <c r="H589" s="38" t="s">
        <v>88</v>
      </c>
      <c r="I589" s="38" t="s">
        <v>89</v>
      </c>
      <c r="J589" s="38" t="s">
        <v>134</v>
      </c>
      <c r="K589" s="38" t="s">
        <v>126</v>
      </c>
      <c r="L589" s="41">
        <v>46012.208333333336</v>
      </c>
      <c r="M589" s="38" t="s">
        <v>123</v>
      </c>
      <c r="N589" s="41">
        <v>46012.229166666664</v>
      </c>
      <c r="O589" s="38" t="s">
        <v>123</v>
      </c>
      <c r="P589" s="38">
        <v>1800.0</v>
      </c>
      <c r="Q589" s="39"/>
      <c r="R589" s="39"/>
      <c r="S589" s="39"/>
      <c r="T589" s="39"/>
      <c r="U589" s="39"/>
    </row>
    <row r="590">
      <c r="A590" s="40">
        <f t="shared" si="1"/>
        <v>45999</v>
      </c>
      <c r="B590" s="37" t="str">
        <f t="array" ref="B590">iferror(xlookup($I590, 'IMPORT VHC Report'!$E:$E, 'IMPORT VHC Report'!$A:$C), )</f>
        <v/>
      </c>
      <c r="C590" s="37"/>
      <c r="D590" s="37"/>
      <c r="E590" s="38" t="s">
        <v>836</v>
      </c>
      <c r="F590" s="38" t="s">
        <v>837</v>
      </c>
      <c r="G590" s="38">
        <v>7.235417174415E12</v>
      </c>
      <c r="H590" s="38" t="s">
        <v>838</v>
      </c>
      <c r="I590" s="38" t="s">
        <v>839</v>
      </c>
      <c r="J590" s="38" t="s">
        <v>224</v>
      </c>
      <c r="K590" s="38" t="s">
        <v>63</v>
      </c>
      <c r="L590" s="41">
        <v>46005.916666666664</v>
      </c>
      <c r="M590" s="38" t="s">
        <v>123</v>
      </c>
      <c r="N590" s="41">
        <v>46006.020833333336</v>
      </c>
      <c r="O590" s="38" t="s">
        <v>123</v>
      </c>
      <c r="P590" s="38">
        <v>9000.0</v>
      </c>
      <c r="Q590" s="39"/>
      <c r="R590" s="39"/>
      <c r="S590" s="39"/>
      <c r="T590" s="39"/>
      <c r="U590" s="39"/>
    </row>
    <row r="591">
      <c r="A591" s="40">
        <f t="shared" si="1"/>
        <v>46006</v>
      </c>
      <c r="B591" s="37" t="str">
        <f t="array" ref="B591">iferror(xlookup($I591, 'IMPORT VHC Report'!$E:$E, 'IMPORT VHC Report'!$A:$C), )</f>
        <v/>
      </c>
      <c r="C591" s="37"/>
      <c r="D591" s="37"/>
      <c r="E591" s="38" t="s">
        <v>840</v>
      </c>
      <c r="F591" s="38" t="s">
        <v>837</v>
      </c>
      <c r="G591" s="38">
        <v>7.235417174415E12</v>
      </c>
      <c r="H591" s="38" t="s">
        <v>838</v>
      </c>
      <c r="I591" s="38" t="s">
        <v>839</v>
      </c>
      <c r="J591" s="38" t="s">
        <v>224</v>
      </c>
      <c r="K591" s="38" t="s">
        <v>63</v>
      </c>
      <c r="L591" s="41">
        <v>46006.020833333336</v>
      </c>
      <c r="M591" s="38" t="s">
        <v>123</v>
      </c>
      <c r="N591" s="41">
        <v>46006.0625</v>
      </c>
      <c r="O591" s="38" t="s">
        <v>123</v>
      </c>
      <c r="P591" s="38">
        <v>3600.0</v>
      </c>
      <c r="Q591" s="39"/>
      <c r="R591" s="39"/>
      <c r="S591" s="39"/>
      <c r="T591" s="39"/>
      <c r="U591" s="39"/>
    </row>
    <row r="592">
      <c r="A592" s="40">
        <f t="shared" si="1"/>
        <v>46006</v>
      </c>
      <c r="B592" s="37" t="str">
        <f t="array" ref="B592">iferror(xlookup($I592, 'IMPORT VHC Report'!$E:$E, 'IMPORT VHC Report'!$A:$C), )</f>
        <v/>
      </c>
      <c r="C592" s="37"/>
      <c r="D592" s="37"/>
      <c r="E592" s="38" t="s">
        <v>841</v>
      </c>
      <c r="F592" s="38" t="s">
        <v>837</v>
      </c>
      <c r="G592" s="38">
        <v>7.235417174415E12</v>
      </c>
      <c r="H592" s="38" t="s">
        <v>838</v>
      </c>
      <c r="I592" s="38" t="s">
        <v>839</v>
      </c>
      <c r="J592" s="38" t="s">
        <v>224</v>
      </c>
      <c r="K592" s="38" t="s">
        <v>63</v>
      </c>
      <c r="L592" s="41">
        <v>46006.0625</v>
      </c>
      <c r="M592" s="38" t="s">
        <v>123</v>
      </c>
      <c r="N592" s="41">
        <v>46006.135416666664</v>
      </c>
      <c r="O592" s="38" t="s">
        <v>123</v>
      </c>
      <c r="P592" s="38">
        <v>6300.0</v>
      </c>
      <c r="Q592" s="39"/>
      <c r="R592" s="39"/>
      <c r="S592" s="39"/>
      <c r="T592" s="39"/>
      <c r="U592" s="39"/>
    </row>
    <row r="593">
      <c r="A593" s="40">
        <f t="shared" si="1"/>
        <v>46006</v>
      </c>
      <c r="B593" s="37" t="str">
        <f t="array" ref="B593">iferror(xlookup($I593, 'IMPORT VHC Report'!$E:$E, 'IMPORT VHC Report'!$A:$C), )</f>
        <v/>
      </c>
      <c r="C593" s="37"/>
      <c r="D593" s="37"/>
      <c r="E593" s="38" t="s">
        <v>842</v>
      </c>
      <c r="F593" s="38" t="s">
        <v>837</v>
      </c>
      <c r="G593" s="38">
        <v>7.235417174415E12</v>
      </c>
      <c r="H593" s="38" t="s">
        <v>838</v>
      </c>
      <c r="I593" s="38" t="s">
        <v>839</v>
      </c>
      <c r="J593" s="38" t="s">
        <v>224</v>
      </c>
      <c r="K593" s="38" t="s">
        <v>63</v>
      </c>
      <c r="L593" s="41">
        <v>46006.135416666664</v>
      </c>
      <c r="M593" s="38" t="s">
        <v>123</v>
      </c>
      <c r="N593" s="41">
        <v>46006.145833333336</v>
      </c>
      <c r="O593" s="38" t="s">
        <v>123</v>
      </c>
      <c r="P593" s="38">
        <v>900.0</v>
      </c>
      <c r="Q593" s="39"/>
      <c r="R593" s="39"/>
      <c r="S593" s="39"/>
      <c r="T593" s="39"/>
      <c r="U593" s="39"/>
    </row>
    <row r="594">
      <c r="A594" s="40">
        <f t="shared" si="1"/>
        <v>46006</v>
      </c>
      <c r="B594" s="37" t="str">
        <f t="array" ref="B594">iferror(xlookup($I594, 'IMPORT VHC Report'!$E:$E, 'IMPORT VHC Report'!$A:$C), )</f>
        <v/>
      </c>
      <c r="C594" s="37"/>
      <c r="D594" s="37"/>
      <c r="E594" s="38" t="s">
        <v>843</v>
      </c>
      <c r="F594" s="38" t="s">
        <v>837</v>
      </c>
      <c r="G594" s="38">
        <v>7.235417174415E12</v>
      </c>
      <c r="H594" s="38" t="s">
        <v>838</v>
      </c>
      <c r="I594" s="38" t="s">
        <v>839</v>
      </c>
      <c r="J594" s="38" t="s">
        <v>224</v>
      </c>
      <c r="K594" s="38" t="s">
        <v>63</v>
      </c>
      <c r="L594" s="41">
        <v>46006.145833333336</v>
      </c>
      <c r="M594" s="38" t="s">
        <v>123</v>
      </c>
      <c r="N594" s="41">
        <v>46006.21875</v>
      </c>
      <c r="O594" s="38" t="s">
        <v>123</v>
      </c>
      <c r="P594" s="38">
        <v>6300.0</v>
      </c>
      <c r="Q594" s="39"/>
      <c r="R594" s="39"/>
      <c r="S594" s="39"/>
      <c r="T594" s="39"/>
      <c r="U594" s="39"/>
    </row>
    <row r="595">
      <c r="A595" s="40">
        <f t="shared" si="1"/>
        <v>46006</v>
      </c>
      <c r="B595" s="37" t="str">
        <f t="array" ref="B595">iferror(xlookup($I595, 'IMPORT VHC Report'!$E:$E, 'IMPORT VHC Report'!$A:$C), )</f>
        <v/>
      </c>
      <c r="C595" s="37"/>
      <c r="D595" s="37"/>
      <c r="E595" s="38" t="s">
        <v>844</v>
      </c>
      <c r="F595" s="38" t="s">
        <v>837</v>
      </c>
      <c r="G595" s="38">
        <v>7.235417174415E12</v>
      </c>
      <c r="H595" s="38" t="s">
        <v>838</v>
      </c>
      <c r="I595" s="38" t="s">
        <v>839</v>
      </c>
      <c r="J595" s="38" t="s">
        <v>224</v>
      </c>
      <c r="K595" s="38" t="s">
        <v>63</v>
      </c>
      <c r="L595" s="41">
        <v>46006.21875</v>
      </c>
      <c r="M595" s="38" t="s">
        <v>123</v>
      </c>
      <c r="N595" s="41">
        <v>46006.229166666664</v>
      </c>
      <c r="O595" s="38" t="s">
        <v>123</v>
      </c>
      <c r="P595" s="38">
        <v>900.0</v>
      </c>
      <c r="Q595" s="39"/>
      <c r="R595" s="39"/>
      <c r="S595" s="39"/>
      <c r="T595" s="39"/>
      <c r="U595" s="39"/>
    </row>
    <row r="596">
      <c r="A596" s="40">
        <f t="shared" si="1"/>
        <v>46006</v>
      </c>
      <c r="B596" s="37" t="str">
        <f t="array" ref="B596">iferror(xlookup($I596, 'IMPORT VHC Report'!$E:$E, 'IMPORT VHC Report'!$A:$C), )</f>
        <v/>
      </c>
      <c r="C596" s="37"/>
      <c r="D596" s="37"/>
      <c r="E596" s="38" t="s">
        <v>845</v>
      </c>
      <c r="F596" s="38" t="s">
        <v>837</v>
      </c>
      <c r="G596" s="38">
        <v>7.235417174415E12</v>
      </c>
      <c r="H596" s="38" t="s">
        <v>838</v>
      </c>
      <c r="I596" s="38" t="s">
        <v>839</v>
      </c>
      <c r="J596" s="38" t="s">
        <v>134</v>
      </c>
      <c r="K596" s="38" t="s">
        <v>126</v>
      </c>
      <c r="L596" s="41">
        <v>46006.229166666664</v>
      </c>
      <c r="M596" s="38" t="s">
        <v>123</v>
      </c>
      <c r="N596" s="41">
        <v>46006.25</v>
      </c>
      <c r="O596" s="38" t="s">
        <v>123</v>
      </c>
      <c r="P596" s="38">
        <v>1800.0</v>
      </c>
      <c r="Q596" s="39"/>
      <c r="R596" s="39"/>
      <c r="S596" s="39"/>
      <c r="T596" s="39"/>
      <c r="U596" s="39"/>
    </row>
    <row r="597">
      <c r="A597" s="40">
        <f t="shared" si="1"/>
        <v>46006</v>
      </c>
      <c r="B597" s="37" t="str">
        <f t="array" ref="B597">iferror(xlookup($I597, 'IMPORT VHC Report'!$E:$E, 'IMPORT VHC Report'!$A:$C), )</f>
        <v/>
      </c>
      <c r="C597" s="37"/>
      <c r="D597" s="37"/>
      <c r="E597" s="38" t="s">
        <v>846</v>
      </c>
      <c r="F597" s="38" t="s">
        <v>837</v>
      </c>
      <c r="G597" s="38">
        <v>7.235417174415E12</v>
      </c>
      <c r="H597" s="38" t="s">
        <v>838</v>
      </c>
      <c r="I597" s="38" t="s">
        <v>839</v>
      </c>
      <c r="J597" s="38" t="s">
        <v>132</v>
      </c>
      <c r="K597" s="38" t="s">
        <v>126</v>
      </c>
      <c r="L597" s="41">
        <v>46006.25</v>
      </c>
      <c r="M597" s="38" t="s">
        <v>123</v>
      </c>
      <c r="N597" s="41">
        <v>46006.291666666664</v>
      </c>
      <c r="O597" s="38" t="s">
        <v>123</v>
      </c>
      <c r="P597" s="38">
        <v>3600.0</v>
      </c>
      <c r="Q597" s="39"/>
      <c r="R597" s="39"/>
      <c r="S597" s="39"/>
      <c r="T597" s="39"/>
      <c r="U597" s="39"/>
    </row>
    <row r="598">
      <c r="A598" s="40">
        <f t="shared" si="1"/>
        <v>46006</v>
      </c>
      <c r="B598" s="37" t="str">
        <f t="array" ref="B598">iferror(xlookup($I598, 'IMPORT VHC Report'!$E:$E, 'IMPORT VHC Report'!$A:$C), )</f>
        <v/>
      </c>
      <c r="C598" s="37"/>
      <c r="D598" s="37"/>
      <c r="E598" s="38" t="s">
        <v>847</v>
      </c>
      <c r="F598" s="38" t="s">
        <v>837</v>
      </c>
      <c r="G598" s="38">
        <v>7.235417174415E12</v>
      </c>
      <c r="H598" s="38" t="s">
        <v>838</v>
      </c>
      <c r="I598" s="38" t="s">
        <v>839</v>
      </c>
      <c r="J598" s="38" t="s">
        <v>224</v>
      </c>
      <c r="K598" s="38" t="s">
        <v>63</v>
      </c>
      <c r="L598" s="41">
        <v>46006.916666666664</v>
      </c>
      <c r="M598" s="38" t="s">
        <v>123</v>
      </c>
      <c r="N598" s="41">
        <v>46007.0</v>
      </c>
      <c r="O598" s="38" t="s">
        <v>123</v>
      </c>
      <c r="P598" s="38">
        <v>7200.0</v>
      </c>
      <c r="Q598" s="39"/>
      <c r="R598" s="39"/>
      <c r="S598" s="39"/>
      <c r="T598" s="39"/>
      <c r="U598" s="39"/>
    </row>
    <row r="599">
      <c r="A599" s="40">
        <f t="shared" si="1"/>
        <v>46006</v>
      </c>
      <c r="B599" s="37" t="str">
        <f t="array" ref="B599">iferror(xlookup($I599, 'IMPORT VHC Report'!$E:$E, 'IMPORT VHC Report'!$A:$C), )</f>
        <v/>
      </c>
      <c r="C599" s="37"/>
      <c r="D599" s="37"/>
      <c r="E599" s="38" t="s">
        <v>848</v>
      </c>
      <c r="F599" s="38" t="s">
        <v>837</v>
      </c>
      <c r="G599" s="38">
        <v>7.235417174415E12</v>
      </c>
      <c r="H599" s="38" t="s">
        <v>838</v>
      </c>
      <c r="I599" s="38" t="s">
        <v>839</v>
      </c>
      <c r="J599" s="38" t="s">
        <v>134</v>
      </c>
      <c r="K599" s="38" t="s">
        <v>126</v>
      </c>
      <c r="L599" s="41">
        <v>46007.0</v>
      </c>
      <c r="M599" s="38" t="s">
        <v>123</v>
      </c>
      <c r="N599" s="41">
        <v>46007.010416666664</v>
      </c>
      <c r="O599" s="38" t="s">
        <v>123</v>
      </c>
      <c r="P599" s="38">
        <v>900.0</v>
      </c>
      <c r="Q599" s="39"/>
      <c r="R599" s="39"/>
      <c r="S599" s="39"/>
      <c r="T599" s="39"/>
      <c r="U599" s="39"/>
    </row>
    <row r="600">
      <c r="A600" s="40">
        <f t="shared" si="1"/>
        <v>46006</v>
      </c>
      <c r="B600" s="37" t="str">
        <f t="array" ref="B600">iferror(xlookup($I600, 'IMPORT VHC Report'!$E:$E, 'IMPORT VHC Report'!$A:$C), )</f>
        <v/>
      </c>
      <c r="C600" s="37"/>
      <c r="D600" s="37"/>
      <c r="E600" s="38" t="s">
        <v>849</v>
      </c>
      <c r="F600" s="38" t="s">
        <v>837</v>
      </c>
      <c r="G600" s="38">
        <v>7.235417174415E12</v>
      </c>
      <c r="H600" s="38" t="s">
        <v>838</v>
      </c>
      <c r="I600" s="38" t="s">
        <v>839</v>
      </c>
      <c r="J600" s="38" t="s">
        <v>224</v>
      </c>
      <c r="K600" s="38" t="s">
        <v>63</v>
      </c>
      <c r="L600" s="41">
        <v>46007.010416666664</v>
      </c>
      <c r="M600" s="38" t="s">
        <v>123</v>
      </c>
      <c r="N600" s="41">
        <v>46007.072916666664</v>
      </c>
      <c r="O600" s="38" t="s">
        <v>123</v>
      </c>
      <c r="P600" s="38">
        <v>5400.0</v>
      </c>
      <c r="Q600" s="39"/>
      <c r="R600" s="39"/>
      <c r="S600" s="39"/>
      <c r="T600" s="39"/>
      <c r="U600" s="39"/>
    </row>
    <row r="601">
      <c r="A601" s="40">
        <f t="shared" si="1"/>
        <v>46006</v>
      </c>
      <c r="B601" s="37" t="str">
        <f t="array" ref="B601">iferror(xlookup($I601, 'IMPORT VHC Report'!$E:$E, 'IMPORT VHC Report'!$A:$C), )</f>
        <v/>
      </c>
      <c r="C601" s="37"/>
      <c r="D601" s="37"/>
      <c r="E601" s="38" t="s">
        <v>850</v>
      </c>
      <c r="F601" s="38" t="s">
        <v>837</v>
      </c>
      <c r="G601" s="38">
        <v>7.235417174415E12</v>
      </c>
      <c r="H601" s="38" t="s">
        <v>838</v>
      </c>
      <c r="I601" s="38" t="s">
        <v>839</v>
      </c>
      <c r="J601" s="38" t="s">
        <v>134</v>
      </c>
      <c r="K601" s="38" t="s">
        <v>126</v>
      </c>
      <c r="L601" s="41">
        <v>46007.072916666664</v>
      </c>
      <c r="M601" s="38" t="s">
        <v>123</v>
      </c>
      <c r="N601" s="41">
        <v>46007.083333333336</v>
      </c>
      <c r="O601" s="38" t="s">
        <v>123</v>
      </c>
      <c r="P601" s="38">
        <v>900.0</v>
      </c>
      <c r="Q601" s="39"/>
      <c r="R601" s="39"/>
      <c r="S601" s="39"/>
      <c r="T601" s="39"/>
      <c r="U601" s="39"/>
    </row>
    <row r="602">
      <c r="A602" s="40">
        <f t="shared" si="1"/>
        <v>46006</v>
      </c>
      <c r="B602" s="37" t="str">
        <f t="array" ref="B602">iferror(xlookup($I602, 'IMPORT VHC Report'!$E:$E, 'IMPORT VHC Report'!$A:$C), )</f>
        <v/>
      </c>
      <c r="C602" s="37"/>
      <c r="D602" s="37"/>
      <c r="E602" s="38" t="s">
        <v>851</v>
      </c>
      <c r="F602" s="38" t="s">
        <v>837</v>
      </c>
      <c r="G602" s="38">
        <v>7.235417174415E12</v>
      </c>
      <c r="H602" s="38" t="s">
        <v>838</v>
      </c>
      <c r="I602" s="38" t="s">
        <v>839</v>
      </c>
      <c r="J602" s="38" t="s">
        <v>224</v>
      </c>
      <c r="K602" s="38" t="s">
        <v>63</v>
      </c>
      <c r="L602" s="41">
        <v>46007.083333333336</v>
      </c>
      <c r="M602" s="38" t="s">
        <v>123</v>
      </c>
      <c r="N602" s="41">
        <v>46007.145833333336</v>
      </c>
      <c r="O602" s="38" t="s">
        <v>123</v>
      </c>
      <c r="P602" s="38">
        <v>5400.0</v>
      </c>
      <c r="Q602" s="39"/>
      <c r="R602" s="39"/>
      <c r="S602" s="39"/>
      <c r="T602" s="39"/>
      <c r="U602" s="39"/>
    </row>
    <row r="603">
      <c r="A603" s="40">
        <f t="shared" si="1"/>
        <v>46006</v>
      </c>
      <c r="B603" s="37" t="str">
        <f t="array" ref="B603">iferror(xlookup($I603, 'IMPORT VHC Report'!$E:$E, 'IMPORT VHC Report'!$A:$C), )</f>
        <v/>
      </c>
      <c r="C603" s="37"/>
      <c r="D603" s="37"/>
      <c r="E603" s="38" t="s">
        <v>852</v>
      </c>
      <c r="F603" s="38" t="s">
        <v>837</v>
      </c>
      <c r="G603" s="38">
        <v>7.235417174415E12</v>
      </c>
      <c r="H603" s="38" t="s">
        <v>838</v>
      </c>
      <c r="I603" s="38" t="s">
        <v>839</v>
      </c>
      <c r="J603" s="38" t="s">
        <v>132</v>
      </c>
      <c r="K603" s="38" t="s">
        <v>126</v>
      </c>
      <c r="L603" s="41">
        <v>46007.145833333336</v>
      </c>
      <c r="M603" s="38" t="s">
        <v>123</v>
      </c>
      <c r="N603" s="41">
        <v>46007.1875</v>
      </c>
      <c r="O603" s="38" t="s">
        <v>123</v>
      </c>
      <c r="P603" s="38">
        <v>3600.0</v>
      </c>
      <c r="Q603" s="39"/>
      <c r="R603" s="39"/>
      <c r="S603" s="39"/>
      <c r="T603" s="39"/>
      <c r="U603" s="39"/>
    </row>
    <row r="604">
      <c r="A604" s="40">
        <f t="shared" si="1"/>
        <v>46006</v>
      </c>
      <c r="B604" s="37" t="str">
        <f t="array" ref="B604">iferror(xlookup($I604, 'IMPORT VHC Report'!$E:$E, 'IMPORT VHC Report'!$A:$C), )</f>
        <v/>
      </c>
      <c r="C604" s="37"/>
      <c r="D604" s="37"/>
      <c r="E604" s="38" t="s">
        <v>853</v>
      </c>
      <c r="F604" s="38" t="s">
        <v>837</v>
      </c>
      <c r="G604" s="38">
        <v>7.235417174415E12</v>
      </c>
      <c r="H604" s="38" t="s">
        <v>838</v>
      </c>
      <c r="I604" s="38" t="s">
        <v>839</v>
      </c>
      <c r="J604" s="38" t="s">
        <v>224</v>
      </c>
      <c r="K604" s="38" t="s">
        <v>63</v>
      </c>
      <c r="L604" s="41">
        <v>46007.1875</v>
      </c>
      <c r="M604" s="38" t="s">
        <v>123</v>
      </c>
      <c r="N604" s="41">
        <v>46007.270833333336</v>
      </c>
      <c r="O604" s="38" t="s">
        <v>123</v>
      </c>
      <c r="P604" s="38">
        <v>7200.0</v>
      </c>
      <c r="Q604" s="39"/>
      <c r="R604" s="39"/>
      <c r="S604" s="39"/>
      <c r="T604" s="39"/>
      <c r="U604" s="39"/>
    </row>
    <row r="605">
      <c r="A605" s="40">
        <f t="shared" si="1"/>
        <v>46006</v>
      </c>
      <c r="B605" s="37" t="str">
        <f t="array" ref="B605">iferror(xlookup($I605, 'IMPORT VHC Report'!$E:$E, 'IMPORT VHC Report'!$A:$C), )</f>
        <v/>
      </c>
      <c r="C605" s="37"/>
      <c r="D605" s="37"/>
      <c r="E605" s="38" t="s">
        <v>854</v>
      </c>
      <c r="F605" s="38" t="s">
        <v>837</v>
      </c>
      <c r="G605" s="38">
        <v>7.235417174415E12</v>
      </c>
      <c r="H605" s="38" t="s">
        <v>838</v>
      </c>
      <c r="I605" s="38" t="s">
        <v>839</v>
      </c>
      <c r="J605" s="38" t="s">
        <v>136</v>
      </c>
      <c r="K605" s="38" t="s">
        <v>126</v>
      </c>
      <c r="L605" s="41">
        <v>46007.270833333336</v>
      </c>
      <c r="M605" s="38" t="s">
        <v>123</v>
      </c>
      <c r="N605" s="41">
        <v>46007.291666666664</v>
      </c>
      <c r="O605" s="38" t="s">
        <v>123</v>
      </c>
      <c r="P605" s="38">
        <v>1800.0</v>
      </c>
      <c r="Q605" s="39"/>
      <c r="R605" s="39"/>
      <c r="S605" s="38" t="s">
        <v>137</v>
      </c>
      <c r="T605" s="39"/>
      <c r="U605" s="39"/>
    </row>
    <row r="606">
      <c r="A606" s="40">
        <f t="shared" si="1"/>
        <v>46006</v>
      </c>
      <c r="B606" s="37" t="str">
        <f t="array" ref="B606">iferror(xlookup($I606, 'IMPORT VHC Report'!$E:$E, 'IMPORT VHC Report'!$A:$C), )</f>
        <v/>
      </c>
      <c r="C606" s="37"/>
      <c r="D606" s="37"/>
      <c r="E606" s="38" t="s">
        <v>855</v>
      </c>
      <c r="F606" s="38" t="s">
        <v>837</v>
      </c>
      <c r="G606" s="38">
        <v>7.235417174415E12</v>
      </c>
      <c r="H606" s="38" t="s">
        <v>838</v>
      </c>
      <c r="I606" s="38" t="s">
        <v>839</v>
      </c>
      <c r="J606" s="38" t="s">
        <v>224</v>
      </c>
      <c r="K606" s="38" t="s">
        <v>63</v>
      </c>
      <c r="L606" s="41">
        <v>46007.916666666664</v>
      </c>
      <c r="M606" s="38" t="s">
        <v>123</v>
      </c>
      <c r="N606" s="41">
        <v>46007.947916666664</v>
      </c>
      <c r="O606" s="38" t="s">
        <v>123</v>
      </c>
      <c r="P606" s="38">
        <v>2700.0</v>
      </c>
      <c r="Q606" s="39"/>
      <c r="R606" s="39"/>
      <c r="S606" s="39"/>
      <c r="T606" s="39"/>
      <c r="U606" s="39"/>
    </row>
    <row r="607">
      <c r="A607" s="40">
        <f t="shared" si="1"/>
        <v>46006</v>
      </c>
      <c r="B607" s="37" t="str">
        <f t="array" ref="B607">iferror(xlookup($I607, 'IMPORT VHC Report'!$E:$E, 'IMPORT VHC Report'!$A:$C), )</f>
        <v/>
      </c>
      <c r="C607" s="37"/>
      <c r="D607" s="37"/>
      <c r="E607" s="38" t="s">
        <v>856</v>
      </c>
      <c r="F607" s="38" t="s">
        <v>837</v>
      </c>
      <c r="G607" s="38">
        <v>7.235417174415E12</v>
      </c>
      <c r="H607" s="38" t="s">
        <v>838</v>
      </c>
      <c r="I607" s="38" t="s">
        <v>839</v>
      </c>
      <c r="J607" s="38" t="s">
        <v>62</v>
      </c>
      <c r="K607" s="38" t="s">
        <v>63</v>
      </c>
      <c r="L607" s="41">
        <v>46007.947916666664</v>
      </c>
      <c r="M607" s="38" t="s">
        <v>123</v>
      </c>
      <c r="N607" s="41">
        <v>46007.96875</v>
      </c>
      <c r="O607" s="38" t="s">
        <v>123</v>
      </c>
      <c r="P607" s="38">
        <v>1800.0</v>
      </c>
      <c r="Q607" s="39"/>
      <c r="R607" s="39"/>
      <c r="S607" s="39"/>
      <c r="T607" s="39"/>
      <c r="U607" s="39"/>
    </row>
    <row r="608">
      <c r="A608" s="40">
        <f t="shared" si="1"/>
        <v>46006</v>
      </c>
      <c r="B608" s="37" t="str">
        <f t="array" ref="B608">iferror(xlookup($I608, 'IMPORT VHC Report'!$E:$E, 'IMPORT VHC Report'!$A:$C), )</f>
        <v/>
      </c>
      <c r="C608" s="37"/>
      <c r="D608" s="37"/>
      <c r="E608" s="38" t="s">
        <v>857</v>
      </c>
      <c r="F608" s="38" t="s">
        <v>837</v>
      </c>
      <c r="G608" s="38">
        <v>7.235417174415E12</v>
      </c>
      <c r="H608" s="38" t="s">
        <v>838</v>
      </c>
      <c r="I608" s="38" t="s">
        <v>839</v>
      </c>
      <c r="J608" s="38" t="s">
        <v>4</v>
      </c>
      <c r="K608" s="38" t="s">
        <v>126</v>
      </c>
      <c r="L608" s="41">
        <v>46007.947916666664</v>
      </c>
      <c r="M608" s="38" t="s">
        <v>123</v>
      </c>
      <c r="N608" s="41">
        <v>46007.989583333336</v>
      </c>
      <c r="O608" s="38" t="s">
        <v>123</v>
      </c>
      <c r="P608" s="38">
        <v>3600.0</v>
      </c>
      <c r="Q608" s="39"/>
      <c r="R608" s="39"/>
      <c r="S608" s="38" t="s">
        <v>858</v>
      </c>
      <c r="T608" s="39"/>
      <c r="U608" s="39"/>
    </row>
    <row r="609">
      <c r="A609" s="40">
        <f t="shared" si="1"/>
        <v>46006</v>
      </c>
      <c r="B609" s="37" t="str">
        <f t="array" ref="B609">iferror(xlookup($I609, 'IMPORT VHC Report'!$E:$E, 'IMPORT VHC Report'!$A:$C), )</f>
        <v/>
      </c>
      <c r="C609" s="37"/>
      <c r="D609" s="37"/>
      <c r="E609" s="38" t="s">
        <v>859</v>
      </c>
      <c r="F609" s="38" t="s">
        <v>837</v>
      </c>
      <c r="G609" s="38">
        <v>7.235417174415E12</v>
      </c>
      <c r="H609" s="38" t="s">
        <v>838</v>
      </c>
      <c r="I609" s="38" t="s">
        <v>839</v>
      </c>
      <c r="J609" s="38" t="s">
        <v>224</v>
      </c>
      <c r="K609" s="38" t="s">
        <v>63</v>
      </c>
      <c r="L609" s="41">
        <v>46007.96875</v>
      </c>
      <c r="M609" s="38" t="s">
        <v>123</v>
      </c>
      <c r="N609" s="41">
        <v>46008.0</v>
      </c>
      <c r="O609" s="38" t="s">
        <v>123</v>
      </c>
      <c r="P609" s="38">
        <v>2700.0</v>
      </c>
      <c r="Q609" s="39"/>
      <c r="R609" s="39"/>
      <c r="S609" s="39"/>
      <c r="T609" s="39"/>
      <c r="U609" s="39"/>
    </row>
    <row r="610">
      <c r="A610" s="40">
        <f t="shared" si="1"/>
        <v>46006</v>
      </c>
      <c r="B610" s="37" t="str">
        <f t="array" ref="B610">iferror(xlookup($I610, 'IMPORT VHC Report'!$E:$E, 'IMPORT VHC Report'!$A:$C), )</f>
        <v/>
      </c>
      <c r="C610" s="37"/>
      <c r="D610" s="37"/>
      <c r="E610" s="38" t="s">
        <v>860</v>
      </c>
      <c r="F610" s="38" t="s">
        <v>837</v>
      </c>
      <c r="G610" s="38">
        <v>7.235417174415E12</v>
      </c>
      <c r="H610" s="38" t="s">
        <v>838</v>
      </c>
      <c r="I610" s="38" t="s">
        <v>839</v>
      </c>
      <c r="J610" s="38" t="s">
        <v>224</v>
      </c>
      <c r="K610" s="38" t="s">
        <v>63</v>
      </c>
      <c r="L610" s="41">
        <v>46008.0</v>
      </c>
      <c r="M610" s="38" t="s">
        <v>123</v>
      </c>
      <c r="N610" s="41">
        <v>46008.25</v>
      </c>
      <c r="O610" s="38" t="s">
        <v>123</v>
      </c>
      <c r="P610" s="38">
        <v>21600.0</v>
      </c>
      <c r="Q610" s="39"/>
      <c r="R610" s="39"/>
      <c r="S610" s="39"/>
      <c r="T610" s="39"/>
      <c r="U610" s="39"/>
    </row>
    <row r="611">
      <c r="A611" s="40">
        <f t="shared" si="1"/>
        <v>46006</v>
      </c>
      <c r="B611" s="37" t="str">
        <f t="array" ref="B611">iferror(xlookup($I611, 'IMPORT VHC Report'!$E:$E, 'IMPORT VHC Report'!$A:$C), )</f>
        <v/>
      </c>
      <c r="C611" s="37"/>
      <c r="D611" s="37"/>
      <c r="E611" s="38" t="s">
        <v>861</v>
      </c>
      <c r="F611" s="38" t="s">
        <v>837</v>
      </c>
      <c r="G611" s="38">
        <v>7.235417174415E12</v>
      </c>
      <c r="H611" s="38" t="s">
        <v>838</v>
      </c>
      <c r="I611" s="38" t="s">
        <v>839</v>
      </c>
      <c r="J611" s="38" t="s">
        <v>134</v>
      </c>
      <c r="K611" s="38" t="s">
        <v>126</v>
      </c>
      <c r="L611" s="41">
        <v>46008.010416666664</v>
      </c>
      <c r="M611" s="38" t="s">
        <v>123</v>
      </c>
      <c r="N611" s="41">
        <v>46008.020833333336</v>
      </c>
      <c r="O611" s="38" t="s">
        <v>123</v>
      </c>
      <c r="P611" s="38">
        <v>900.0</v>
      </c>
      <c r="Q611" s="39"/>
      <c r="R611" s="39"/>
      <c r="S611" s="39"/>
      <c r="T611" s="39"/>
      <c r="U611" s="39"/>
    </row>
    <row r="612">
      <c r="A612" s="40">
        <f t="shared" si="1"/>
        <v>46006</v>
      </c>
      <c r="B612" s="37" t="str">
        <f t="array" ref="B612">iferror(xlookup($I612, 'IMPORT VHC Report'!$E:$E, 'IMPORT VHC Report'!$A:$C), )</f>
        <v/>
      </c>
      <c r="C612" s="37"/>
      <c r="D612" s="37"/>
      <c r="E612" s="38" t="s">
        <v>862</v>
      </c>
      <c r="F612" s="38" t="s">
        <v>837</v>
      </c>
      <c r="G612" s="38">
        <v>7.235417174415E12</v>
      </c>
      <c r="H612" s="38" t="s">
        <v>838</v>
      </c>
      <c r="I612" s="38" t="s">
        <v>839</v>
      </c>
      <c r="J612" s="38" t="s">
        <v>132</v>
      </c>
      <c r="K612" s="38" t="s">
        <v>126</v>
      </c>
      <c r="L612" s="41">
        <v>46008.083333333336</v>
      </c>
      <c r="M612" s="38" t="s">
        <v>123</v>
      </c>
      <c r="N612" s="41">
        <v>46008.125</v>
      </c>
      <c r="O612" s="38" t="s">
        <v>123</v>
      </c>
      <c r="P612" s="38">
        <v>3600.0</v>
      </c>
      <c r="Q612" s="39"/>
      <c r="R612" s="39"/>
      <c r="S612" s="39"/>
      <c r="T612" s="39"/>
      <c r="U612" s="39"/>
    </row>
    <row r="613">
      <c r="A613" s="40">
        <f t="shared" si="1"/>
        <v>46006</v>
      </c>
      <c r="B613" s="37" t="str">
        <f t="array" ref="B613">iferror(xlookup($I613, 'IMPORT VHC Report'!$E:$E, 'IMPORT VHC Report'!$A:$C), )</f>
        <v/>
      </c>
      <c r="C613" s="37"/>
      <c r="D613" s="37"/>
      <c r="E613" s="38" t="s">
        <v>863</v>
      </c>
      <c r="F613" s="38" t="s">
        <v>837</v>
      </c>
      <c r="G613" s="38">
        <v>7.235417174415E12</v>
      </c>
      <c r="H613" s="38" t="s">
        <v>838</v>
      </c>
      <c r="I613" s="38" t="s">
        <v>839</v>
      </c>
      <c r="J613" s="38" t="s">
        <v>134</v>
      </c>
      <c r="K613" s="38" t="s">
        <v>126</v>
      </c>
      <c r="L613" s="41">
        <v>46008.208333333336</v>
      </c>
      <c r="M613" s="38" t="s">
        <v>123</v>
      </c>
      <c r="N613" s="41">
        <v>46008.21875</v>
      </c>
      <c r="O613" s="38" t="s">
        <v>123</v>
      </c>
      <c r="P613" s="38">
        <v>900.0</v>
      </c>
      <c r="Q613" s="39"/>
      <c r="R613" s="39"/>
      <c r="S613" s="39"/>
      <c r="T613" s="39"/>
      <c r="U613" s="39"/>
    </row>
    <row r="614">
      <c r="A614" s="40">
        <f t="shared" si="1"/>
        <v>46006</v>
      </c>
      <c r="B614" s="37" t="str">
        <f t="array" ref="B614">iferror(xlookup($I614, 'IMPORT VHC Report'!$E:$E, 'IMPORT VHC Report'!$A:$C), )</f>
        <v/>
      </c>
      <c r="C614" s="37"/>
      <c r="D614" s="37"/>
      <c r="E614" s="38" t="s">
        <v>864</v>
      </c>
      <c r="F614" s="38" t="s">
        <v>837</v>
      </c>
      <c r="G614" s="38">
        <v>7.235417174415E12</v>
      </c>
      <c r="H614" s="38" t="s">
        <v>838</v>
      </c>
      <c r="I614" s="38" t="s">
        <v>839</v>
      </c>
      <c r="J614" s="38" t="s">
        <v>136</v>
      </c>
      <c r="K614" s="38" t="s">
        <v>126</v>
      </c>
      <c r="L614" s="41">
        <v>46008.229166666664</v>
      </c>
      <c r="M614" s="38" t="s">
        <v>123</v>
      </c>
      <c r="N614" s="41">
        <v>46008.239583333336</v>
      </c>
      <c r="O614" s="38" t="s">
        <v>123</v>
      </c>
      <c r="P614" s="38">
        <v>900.0</v>
      </c>
      <c r="Q614" s="39"/>
      <c r="R614" s="39"/>
      <c r="S614" s="38" t="s">
        <v>778</v>
      </c>
      <c r="T614" s="39"/>
      <c r="U614" s="39"/>
    </row>
    <row r="615">
      <c r="A615" s="40">
        <f t="shared" si="1"/>
        <v>46006</v>
      </c>
      <c r="B615" s="37" t="str">
        <f t="array" ref="B615">iferror(xlookup($I615, 'IMPORT VHC Report'!$E:$E, 'IMPORT VHC Report'!$A:$C), )</f>
        <v/>
      </c>
      <c r="C615" s="37"/>
      <c r="D615" s="37"/>
      <c r="E615" s="38" t="s">
        <v>865</v>
      </c>
      <c r="F615" s="38" t="s">
        <v>837</v>
      </c>
      <c r="G615" s="38">
        <v>7.235417174415E12</v>
      </c>
      <c r="H615" s="38" t="s">
        <v>838</v>
      </c>
      <c r="I615" s="38" t="s">
        <v>839</v>
      </c>
      <c r="J615" s="38" t="s">
        <v>330</v>
      </c>
      <c r="K615" s="38" t="s">
        <v>126</v>
      </c>
      <c r="L615" s="41">
        <v>46008.25</v>
      </c>
      <c r="M615" s="38" t="s">
        <v>123</v>
      </c>
      <c r="N615" s="41">
        <v>46008.291666666664</v>
      </c>
      <c r="O615" s="38" t="s">
        <v>123</v>
      </c>
      <c r="P615" s="38">
        <v>3600.0</v>
      </c>
      <c r="Q615" s="39"/>
      <c r="R615" s="39"/>
      <c r="S615" s="39"/>
      <c r="T615" s="39"/>
      <c r="U615" s="39"/>
    </row>
    <row r="616">
      <c r="A616" s="40">
        <f t="shared" si="1"/>
        <v>46006</v>
      </c>
      <c r="B616" s="37" t="str">
        <f t="array" ref="B616">iferror(xlookup($I616, 'IMPORT VHC Report'!$E:$E, 'IMPORT VHC Report'!$A:$C), )</f>
        <v/>
      </c>
      <c r="C616" s="37"/>
      <c r="D616" s="37"/>
      <c r="E616" s="38" t="s">
        <v>866</v>
      </c>
      <c r="F616" s="38" t="s">
        <v>837</v>
      </c>
      <c r="G616" s="38">
        <v>7.235417174415E12</v>
      </c>
      <c r="H616" s="38" t="s">
        <v>838</v>
      </c>
      <c r="I616" s="38" t="s">
        <v>839</v>
      </c>
      <c r="J616" s="38" t="s">
        <v>330</v>
      </c>
      <c r="K616" s="38" t="s">
        <v>126</v>
      </c>
      <c r="L616" s="41">
        <v>46010.916666666664</v>
      </c>
      <c r="M616" s="38" t="s">
        <v>123</v>
      </c>
      <c r="N616" s="41">
        <v>46010.927083333336</v>
      </c>
      <c r="O616" s="38" t="s">
        <v>123</v>
      </c>
      <c r="P616" s="38">
        <v>900.0</v>
      </c>
      <c r="Q616" s="39"/>
      <c r="R616" s="39"/>
      <c r="S616" s="39"/>
      <c r="T616" s="39"/>
      <c r="U616" s="39"/>
    </row>
    <row r="617">
      <c r="A617" s="40">
        <f t="shared" si="1"/>
        <v>46006</v>
      </c>
      <c r="B617" s="37" t="str">
        <f t="array" ref="B617">iferror(xlookup($I617, 'IMPORT VHC Report'!$E:$E, 'IMPORT VHC Report'!$A:$C), )</f>
        <v/>
      </c>
      <c r="C617" s="37"/>
      <c r="D617" s="37"/>
      <c r="E617" s="38" t="s">
        <v>867</v>
      </c>
      <c r="F617" s="38" t="s">
        <v>837</v>
      </c>
      <c r="G617" s="38">
        <v>7.235417174415E12</v>
      </c>
      <c r="H617" s="38" t="s">
        <v>838</v>
      </c>
      <c r="I617" s="38" t="s">
        <v>839</v>
      </c>
      <c r="J617" s="38" t="s">
        <v>224</v>
      </c>
      <c r="K617" s="38" t="s">
        <v>63</v>
      </c>
      <c r="L617" s="41">
        <v>46010.927083333336</v>
      </c>
      <c r="M617" s="38" t="s">
        <v>123</v>
      </c>
      <c r="N617" s="41">
        <v>46011.03125</v>
      </c>
      <c r="O617" s="38" t="s">
        <v>123</v>
      </c>
      <c r="P617" s="38">
        <v>9000.0</v>
      </c>
      <c r="Q617" s="39"/>
      <c r="R617" s="39"/>
      <c r="S617" s="39"/>
      <c r="T617" s="39"/>
      <c r="U617" s="39"/>
    </row>
    <row r="618">
      <c r="A618" s="40">
        <f t="shared" si="1"/>
        <v>46006</v>
      </c>
      <c r="B618" s="37" t="str">
        <f t="array" ref="B618">iferror(xlookup($I618, 'IMPORT VHC Report'!$E:$E, 'IMPORT VHC Report'!$A:$C), )</f>
        <v/>
      </c>
      <c r="C618" s="37"/>
      <c r="D618" s="37"/>
      <c r="E618" s="38" t="s">
        <v>868</v>
      </c>
      <c r="F618" s="38" t="s">
        <v>837</v>
      </c>
      <c r="G618" s="38">
        <v>7.235417174415E12</v>
      </c>
      <c r="H618" s="38" t="s">
        <v>838</v>
      </c>
      <c r="I618" s="38" t="s">
        <v>839</v>
      </c>
      <c r="J618" s="38" t="s">
        <v>134</v>
      </c>
      <c r="K618" s="38" t="s">
        <v>126</v>
      </c>
      <c r="L618" s="41">
        <v>46011.03125</v>
      </c>
      <c r="M618" s="38" t="s">
        <v>123</v>
      </c>
      <c r="N618" s="41">
        <v>46011.041666666664</v>
      </c>
      <c r="O618" s="38" t="s">
        <v>123</v>
      </c>
      <c r="P618" s="38">
        <v>900.0</v>
      </c>
      <c r="Q618" s="39"/>
      <c r="R618" s="39"/>
      <c r="S618" s="39"/>
      <c r="T618" s="39"/>
      <c r="U618" s="39"/>
    </row>
    <row r="619">
      <c r="A619" s="40">
        <f t="shared" si="1"/>
        <v>46006</v>
      </c>
      <c r="B619" s="37" t="str">
        <f t="array" ref="B619">iferror(xlookup($I619, 'IMPORT VHC Report'!$E:$E, 'IMPORT VHC Report'!$A:$C), )</f>
        <v/>
      </c>
      <c r="C619" s="37"/>
      <c r="D619" s="37"/>
      <c r="E619" s="38" t="s">
        <v>869</v>
      </c>
      <c r="F619" s="38" t="s">
        <v>837</v>
      </c>
      <c r="G619" s="38">
        <v>7.235417174415E12</v>
      </c>
      <c r="H619" s="38" t="s">
        <v>838</v>
      </c>
      <c r="I619" s="38" t="s">
        <v>839</v>
      </c>
      <c r="J619" s="38" t="s">
        <v>224</v>
      </c>
      <c r="K619" s="38" t="s">
        <v>63</v>
      </c>
      <c r="L619" s="41">
        <v>46011.041666666664</v>
      </c>
      <c r="M619" s="38" t="s">
        <v>123</v>
      </c>
      <c r="N619" s="41">
        <v>46011.104166666664</v>
      </c>
      <c r="O619" s="38" t="s">
        <v>123</v>
      </c>
      <c r="P619" s="38">
        <v>5400.0</v>
      </c>
      <c r="Q619" s="39"/>
      <c r="R619" s="39"/>
      <c r="S619" s="39"/>
      <c r="T619" s="39"/>
      <c r="U619" s="39"/>
    </row>
    <row r="620">
      <c r="A620" s="40">
        <f t="shared" si="1"/>
        <v>46006</v>
      </c>
      <c r="B620" s="37" t="str">
        <f t="array" ref="B620">iferror(xlookup($I620, 'IMPORT VHC Report'!$E:$E, 'IMPORT VHC Report'!$A:$C), )</f>
        <v/>
      </c>
      <c r="C620" s="37"/>
      <c r="D620" s="37"/>
      <c r="E620" s="38" t="s">
        <v>870</v>
      </c>
      <c r="F620" s="38" t="s">
        <v>837</v>
      </c>
      <c r="G620" s="38">
        <v>7.235417174415E12</v>
      </c>
      <c r="H620" s="38" t="s">
        <v>838</v>
      </c>
      <c r="I620" s="38" t="s">
        <v>839</v>
      </c>
      <c r="J620" s="38" t="s">
        <v>134</v>
      </c>
      <c r="K620" s="38" t="s">
        <v>126</v>
      </c>
      <c r="L620" s="41">
        <v>46011.104166666664</v>
      </c>
      <c r="M620" s="38" t="s">
        <v>123</v>
      </c>
      <c r="N620" s="41">
        <v>46011.114583333336</v>
      </c>
      <c r="O620" s="38" t="s">
        <v>123</v>
      </c>
      <c r="P620" s="38">
        <v>900.0</v>
      </c>
      <c r="Q620" s="39"/>
      <c r="R620" s="39"/>
      <c r="S620" s="39"/>
      <c r="T620" s="39"/>
      <c r="U620" s="39"/>
    </row>
    <row r="621">
      <c r="A621" s="40">
        <f t="shared" si="1"/>
        <v>46006</v>
      </c>
      <c r="B621" s="37" t="str">
        <f t="array" ref="B621">iferror(xlookup($I621, 'IMPORT VHC Report'!$E:$E, 'IMPORT VHC Report'!$A:$C), )</f>
        <v/>
      </c>
      <c r="C621" s="37"/>
      <c r="D621" s="37"/>
      <c r="E621" s="38" t="s">
        <v>871</v>
      </c>
      <c r="F621" s="38" t="s">
        <v>837</v>
      </c>
      <c r="G621" s="38">
        <v>7.235417174415E12</v>
      </c>
      <c r="H621" s="38" t="s">
        <v>838</v>
      </c>
      <c r="I621" s="38" t="s">
        <v>839</v>
      </c>
      <c r="J621" s="38" t="s">
        <v>224</v>
      </c>
      <c r="K621" s="38" t="s">
        <v>63</v>
      </c>
      <c r="L621" s="41">
        <v>46011.114583333336</v>
      </c>
      <c r="M621" s="38" t="s">
        <v>123</v>
      </c>
      <c r="N621" s="41">
        <v>46011.177083333336</v>
      </c>
      <c r="O621" s="38" t="s">
        <v>123</v>
      </c>
      <c r="P621" s="38">
        <v>5400.0</v>
      </c>
      <c r="Q621" s="39"/>
      <c r="R621" s="39"/>
      <c r="S621" s="39"/>
      <c r="T621" s="39"/>
      <c r="U621" s="39"/>
    </row>
    <row r="622">
      <c r="A622" s="40">
        <f t="shared" si="1"/>
        <v>46006</v>
      </c>
      <c r="B622" s="37" t="str">
        <f t="array" ref="B622">iferror(xlookup($I622, 'IMPORT VHC Report'!$E:$E, 'IMPORT VHC Report'!$A:$C), )</f>
        <v/>
      </c>
      <c r="C622" s="37"/>
      <c r="D622" s="37"/>
      <c r="E622" s="38" t="s">
        <v>872</v>
      </c>
      <c r="F622" s="38" t="s">
        <v>837</v>
      </c>
      <c r="G622" s="38">
        <v>7.235417174415E12</v>
      </c>
      <c r="H622" s="38" t="s">
        <v>838</v>
      </c>
      <c r="I622" s="38" t="s">
        <v>839</v>
      </c>
      <c r="J622" s="38" t="s">
        <v>132</v>
      </c>
      <c r="K622" s="38" t="s">
        <v>126</v>
      </c>
      <c r="L622" s="41">
        <v>46011.177083333336</v>
      </c>
      <c r="M622" s="38" t="s">
        <v>123</v>
      </c>
      <c r="N622" s="41">
        <v>46011.21875</v>
      </c>
      <c r="O622" s="38" t="s">
        <v>123</v>
      </c>
      <c r="P622" s="38">
        <v>3600.0</v>
      </c>
      <c r="Q622" s="39"/>
      <c r="R622" s="39"/>
      <c r="S622" s="39"/>
      <c r="T622" s="39"/>
      <c r="U622" s="39"/>
    </row>
    <row r="623">
      <c r="A623" s="40">
        <f t="shared" si="1"/>
        <v>46006</v>
      </c>
      <c r="B623" s="37" t="str">
        <f t="array" ref="B623">iferror(xlookup($I623, 'IMPORT VHC Report'!$E:$E, 'IMPORT VHC Report'!$A:$C), )</f>
        <v/>
      </c>
      <c r="C623" s="37"/>
      <c r="D623" s="37"/>
      <c r="E623" s="38" t="s">
        <v>873</v>
      </c>
      <c r="F623" s="38" t="s">
        <v>837</v>
      </c>
      <c r="G623" s="38">
        <v>7.235417174415E12</v>
      </c>
      <c r="H623" s="38" t="s">
        <v>838</v>
      </c>
      <c r="I623" s="38" t="s">
        <v>839</v>
      </c>
      <c r="J623" s="38" t="s">
        <v>224</v>
      </c>
      <c r="K623" s="38" t="s">
        <v>63</v>
      </c>
      <c r="L623" s="41">
        <v>46011.21875</v>
      </c>
      <c r="M623" s="38" t="s">
        <v>123</v>
      </c>
      <c r="N623" s="41">
        <v>46011.291666666664</v>
      </c>
      <c r="O623" s="38" t="s">
        <v>123</v>
      </c>
      <c r="P623" s="38">
        <v>6300.0</v>
      </c>
      <c r="Q623" s="39"/>
      <c r="R623" s="39"/>
      <c r="S623" s="39"/>
      <c r="T623" s="39"/>
      <c r="U623" s="39"/>
    </row>
    <row r="624">
      <c r="A624" s="40">
        <f t="shared" si="1"/>
        <v>46006</v>
      </c>
      <c r="B624" s="37" t="str">
        <f t="array" ref="B624">iferror(xlookup($I624, 'IMPORT VHC Report'!$E:$E, 'IMPORT VHC Report'!$A:$C), )</f>
        <v/>
      </c>
      <c r="C624" s="37"/>
      <c r="D624" s="37"/>
      <c r="E624" s="38" t="s">
        <v>874</v>
      </c>
      <c r="F624" s="38" t="s">
        <v>837</v>
      </c>
      <c r="G624" s="38">
        <v>7.235417174415E12</v>
      </c>
      <c r="H624" s="38" t="s">
        <v>838</v>
      </c>
      <c r="I624" s="38" t="s">
        <v>839</v>
      </c>
      <c r="J624" s="38" t="s">
        <v>224</v>
      </c>
      <c r="K624" s="38" t="s">
        <v>63</v>
      </c>
      <c r="L624" s="41">
        <v>46011.916666666664</v>
      </c>
      <c r="M624" s="38" t="s">
        <v>123</v>
      </c>
      <c r="N624" s="41">
        <v>46012.291666666664</v>
      </c>
      <c r="O624" s="38" t="s">
        <v>123</v>
      </c>
      <c r="P624" s="38">
        <v>32400.0</v>
      </c>
      <c r="Q624" s="39"/>
      <c r="R624" s="39"/>
      <c r="S624" s="39"/>
      <c r="T624" s="39"/>
      <c r="U624" s="39"/>
    </row>
    <row r="625">
      <c r="A625" s="40">
        <f t="shared" si="1"/>
        <v>46006</v>
      </c>
      <c r="B625" s="37" t="str">
        <f t="array" ref="B625">iferror(xlookup($I625, 'IMPORT VHC Report'!$E:$E, 'IMPORT VHC Report'!$A:$C), )</f>
        <v/>
      </c>
      <c r="C625" s="37"/>
      <c r="D625" s="37"/>
      <c r="E625" s="38" t="s">
        <v>875</v>
      </c>
      <c r="F625" s="38" t="s">
        <v>837</v>
      </c>
      <c r="G625" s="38">
        <v>7.235417174415E12</v>
      </c>
      <c r="H625" s="38" t="s">
        <v>838</v>
      </c>
      <c r="I625" s="38" t="s">
        <v>839</v>
      </c>
      <c r="J625" s="38" t="s">
        <v>134</v>
      </c>
      <c r="K625" s="38" t="s">
        <v>126</v>
      </c>
      <c r="L625" s="41">
        <v>46012.03125</v>
      </c>
      <c r="M625" s="38" t="s">
        <v>123</v>
      </c>
      <c r="N625" s="41">
        <v>46012.041666666664</v>
      </c>
      <c r="O625" s="38" t="s">
        <v>123</v>
      </c>
      <c r="P625" s="38">
        <v>900.0</v>
      </c>
      <c r="Q625" s="39"/>
      <c r="R625" s="39"/>
      <c r="S625" s="39"/>
      <c r="T625" s="39"/>
      <c r="U625" s="39"/>
    </row>
    <row r="626">
      <c r="A626" s="40">
        <f t="shared" si="1"/>
        <v>46006</v>
      </c>
      <c r="B626" s="37" t="str">
        <f t="array" ref="B626">iferror(xlookup($I626, 'IMPORT VHC Report'!$E:$E, 'IMPORT VHC Report'!$A:$C), )</f>
        <v/>
      </c>
      <c r="C626" s="37"/>
      <c r="D626" s="37"/>
      <c r="E626" s="38" t="s">
        <v>876</v>
      </c>
      <c r="F626" s="38" t="s">
        <v>837</v>
      </c>
      <c r="G626" s="38">
        <v>7.235417174415E12</v>
      </c>
      <c r="H626" s="38" t="s">
        <v>838</v>
      </c>
      <c r="I626" s="38" t="s">
        <v>839</v>
      </c>
      <c r="J626" s="38" t="s">
        <v>134</v>
      </c>
      <c r="K626" s="38" t="s">
        <v>126</v>
      </c>
      <c r="L626" s="41">
        <v>46012.104166666664</v>
      </c>
      <c r="M626" s="38" t="s">
        <v>123</v>
      </c>
      <c r="N626" s="41">
        <v>46012.114583333336</v>
      </c>
      <c r="O626" s="38" t="s">
        <v>123</v>
      </c>
      <c r="P626" s="38">
        <v>900.0</v>
      </c>
      <c r="Q626" s="39"/>
      <c r="R626" s="39"/>
      <c r="S626" s="39"/>
      <c r="T626" s="39"/>
      <c r="U626" s="39"/>
    </row>
    <row r="627">
      <c r="A627" s="40">
        <f t="shared" si="1"/>
        <v>46006</v>
      </c>
      <c r="B627" s="37" t="str">
        <f t="array" ref="B627">iferror(xlookup($I627, 'IMPORT VHC Report'!$E:$E, 'IMPORT VHC Report'!$A:$C), )</f>
        <v/>
      </c>
      <c r="C627" s="37"/>
      <c r="D627" s="37"/>
      <c r="E627" s="38" t="s">
        <v>877</v>
      </c>
      <c r="F627" s="38" t="s">
        <v>837</v>
      </c>
      <c r="G627" s="38">
        <v>7.235417174415E12</v>
      </c>
      <c r="H627" s="38" t="s">
        <v>838</v>
      </c>
      <c r="I627" s="38" t="s">
        <v>839</v>
      </c>
      <c r="J627" s="38" t="s">
        <v>132</v>
      </c>
      <c r="K627" s="38" t="s">
        <v>126</v>
      </c>
      <c r="L627" s="41">
        <v>46012.166666666664</v>
      </c>
      <c r="M627" s="38" t="s">
        <v>123</v>
      </c>
      <c r="N627" s="41">
        <v>46012.208333333336</v>
      </c>
      <c r="O627" s="38" t="s">
        <v>123</v>
      </c>
      <c r="P627" s="38">
        <v>3600.0</v>
      </c>
      <c r="Q627" s="39"/>
      <c r="R627" s="39"/>
      <c r="S627" s="39"/>
      <c r="T627" s="39"/>
      <c r="U627" s="39"/>
    </row>
    <row r="628">
      <c r="A628" s="40">
        <f t="shared" si="1"/>
        <v>46006</v>
      </c>
      <c r="B628" s="37" t="str">
        <f t="array" ref="B628">iferror(xlookup($I628, 'IMPORT VHC Report'!$E:$E, 'IMPORT VHC Report'!$A:$C), )</f>
        <v/>
      </c>
      <c r="C628" s="37"/>
      <c r="D628" s="37"/>
      <c r="E628" s="38" t="s">
        <v>878</v>
      </c>
      <c r="F628" s="38" t="s">
        <v>837</v>
      </c>
      <c r="G628" s="38">
        <v>7.235417174415E12</v>
      </c>
      <c r="H628" s="38" t="s">
        <v>838</v>
      </c>
      <c r="I628" s="38" t="s">
        <v>839</v>
      </c>
      <c r="J628" s="38" t="s">
        <v>224</v>
      </c>
      <c r="K628" s="38" t="s">
        <v>63</v>
      </c>
      <c r="L628" s="41">
        <v>46012.916666666664</v>
      </c>
      <c r="M628" s="38" t="s">
        <v>123</v>
      </c>
      <c r="N628" s="41">
        <v>46013.291666666664</v>
      </c>
      <c r="O628" s="38" t="s">
        <v>123</v>
      </c>
      <c r="P628" s="38">
        <v>32400.0</v>
      </c>
      <c r="Q628" s="39"/>
      <c r="R628" s="39"/>
      <c r="S628" s="39"/>
      <c r="T628" s="39"/>
      <c r="U628" s="39"/>
    </row>
    <row r="629">
      <c r="A629" s="40">
        <f t="shared" si="1"/>
        <v>45999</v>
      </c>
      <c r="B629" s="37" t="str">
        <f t="array" ref="B629">iferror(xlookup($I629, 'IMPORT VHC Report'!$E:$E, 'IMPORT VHC Report'!$A:$C), )</f>
        <v/>
      </c>
      <c r="C629" s="37"/>
      <c r="D629" s="37"/>
      <c r="E629" s="38" t="s">
        <v>879</v>
      </c>
      <c r="F629" s="38" t="s">
        <v>880</v>
      </c>
      <c r="G629" s="38">
        <v>5.359185373455E12</v>
      </c>
      <c r="H629" s="38" t="s">
        <v>67</v>
      </c>
      <c r="I629" s="38" t="s">
        <v>68</v>
      </c>
      <c r="J629" s="38" t="s">
        <v>791</v>
      </c>
      <c r="K629" s="38" t="s">
        <v>63</v>
      </c>
      <c r="L629" s="41">
        <v>46005.916666666664</v>
      </c>
      <c r="M629" s="38" t="s">
        <v>123</v>
      </c>
      <c r="N629" s="41">
        <v>46006.291666666664</v>
      </c>
      <c r="O629" s="38" t="s">
        <v>123</v>
      </c>
      <c r="P629" s="38">
        <v>32400.0</v>
      </c>
      <c r="Q629" s="39"/>
      <c r="R629" s="39"/>
      <c r="S629" s="39"/>
      <c r="T629" s="39"/>
      <c r="U629" s="39"/>
    </row>
    <row r="630">
      <c r="A630" s="40">
        <f t="shared" si="1"/>
        <v>46006</v>
      </c>
      <c r="B630" s="37" t="str">
        <f t="array" ref="B630">iferror(xlookup($I630, 'IMPORT VHC Report'!$E:$E, 'IMPORT VHC Report'!$A:$C), )</f>
        <v/>
      </c>
      <c r="C630" s="37"/>
      <c r="D630" s="37"/>
      <c r="E630" s="38" t="s">
        <v>881</v>
      </c>
      <c r="F630" s="38" t="s">
        <v>880</v>
      </c>
      <c r="G630" s="38">
        <v>5.359185373455E12</v>
      </c>
      <c r="H630" s="38" t="s">
        <v>67</v>
      </c>
      <c r="I630" s="38" t="s">
        <v>68</v>
      </c>
      <c r="J630" s="38" t="s">
        <v>132</v>
      </c>
      <c r="K630" s="38" t="s">
        <v>126</v>
      </c>
      <c r="L630" s="41">
        <v>46006.166666666664</v>
      </c>
      <c r="M630" s="38" t="s">
        <v>123</v>
      </c>
      <c r="N630" s="41">
        <v>46006.208333333336</v>
      </c>
      <c r="O630" s="38" t="s">
        <v>123</v>
      </c>
      <c r="P630" s="38">
        <v>3600.0</v>
      </c>
      <c r="Q630" s="39"/>
      <c r="R630" s="39"/>
      <c r="S630" s="39"/>
      <c r="T630" s="39"/>
      <c r="U630" s="39"/>
    </row>
    <row r="631">
      <c r="A631" s="40">
        <f t="shared" si="1"/>
        <v>46006</v>
      </c>
      <c r="B631" s="37" t="str">
        <f t="array" ref="B631">iferror(xlookup($I631, 'IMPORT VHC Report'!$E:$E, 'IMPORT VHC Report'!$A:$C), )</f>
        <v/>
      </c>
      <c r="C631" s="37"/>
      <c r="D631" s="37"/>
      <c r="E631" s="38" t="s">
        <v>882</v>
      </c>
      <c r="F631" s="38" t="s">
        <v>880</v>
      </c>
      <c r="G631" s="38">
        <v>5.359185373455E12</v>
      </c>
      <c r="H631" s="38" t="s">
        <v>67</v>
      </c>
      <c r="I631" s="38" t="s">
        <v>68</v>
      </c>
      <c r="J631" s="38" t="s">
        <v>134</v>
      </c>
      <c r="K631" s="38" t="s">
        <v>126</v>
      </c>
      <c r="L631" s="41">
        <v>46006.208333333336</v>
      </c>
      <c r="M631" s="38" t="s">
        <v>123</v>
      </c>
      <c r="N631" s="41">
        <v>46006.229166666664</v>
      </c>
      <c r="O631" s="38" t="s">
        <v>123</v>
      </c>
      <c r="P631" s="38">
        <v>1800.0</v>
      </c>
      <c r="Q631" s="39"/>
      <c r="R631" s="39"/>
      <c r="S631" s="39"/>
      <c r="T631" s="39"/>
      <c r="U631" s="39"/>
    </row>
    <row r="632">
      <c r="A632" s="40">
        <f t="shared" si="1"/>
        <v>46006</v>
      </c>
      <c r="B632" s="37" t="str">
        <f t="array" ref="B632">iferror(xlookup($I632, 'IMPORT VHC Report'!$E:$E, 'IMPORT VHC Report'!$A:$C), )</f>
        <v/>
      </c>
      <c r="C632" s="37"/>
      <c r="D632" s="37"/>
      <c r="E632" s="38" t="s">
        <v>883</v>
      </c>
      <c r="F632" s="38" t="s">
        <v>880</v>
      </c>
      <c r="G632" s="38">
        <v>5.359185373455E12</v>
      </c>
      <c r="H632" s="38" t="s">
        <v>67</v>
      </c>
      <c r="I632" s="38" t="s">
        <v>68</v>
      </c>
      <c r="J632" s="38" t="s">
        <v>791</v>
      </c>
      <c r="K632" s="38" t="s">
        <v>63</v>
      </c>
      <c r="L632" s="41">
        <v>46006.916666666664</v>
      </c>
      <c r="M632" s="38" t="s">
        <v>123</v>
      </c>
      <c r="N632" s="41">
        <v>46007.291666666664</v>
      </c>
      <c r="O632" s="38" t="s">
        <v>123</v>
      </c>
      <c r="P632" s="38">
        <v>32400.0</v>
      </c>
      <c r="Q632" s="39"/>
      <c r="R632" s="39"/>
      <c r="S632" s="39"/>
      <c r="T632" s="39"/>
      <c r="U632" s="39"/>
    </row>
    <row r="633">
      <c r="A633" s="40">
        <f t="shared" si="1"/>
        <v>46006</v>
      </c>
      <c r="B633" s="37" t="str">
        <f t="array" ref="B633">iferror(xlookup($I633, 'IMPORT VHC Report'!$E:$E, 'IMPORT VHC Report'!$A:$C), )</f>
        <v/>
      </c>
      <c r="C633" s="37"/>
      <c r="D633" s="37"/>
      <c r="E633" s="38" t="s">
        <v>884</v>
      </c>
      <c r="F633" s="38" t="s">
        <v>880</v>
      </c>
      <c r="G633" s="38">
        <v>5.359185373455E12</v>
      </c>
      <c r="H633" s="38" t="s">
        <v>67</v>
      </c>
      <c r="I633" s="38" t="s">
        <v>68</v>
      </c>
      <c r="J633" s="38" t="s">
        <v>132</v>
      </c>
      <c r="K633" s="38" t="s">
        <v>126</v>
      </c>
      <c r="L633" s="41">
        <v>46007.166666666664</v>
      </c>
      <c r="M633" s="38" t="s">
        <v>123</v>
      </c>
      <c r="N633" s="41">
        <v>46007.208333333336</v>
      </c>
      <c r="O633" s="38" t="s">
        <v>123</v>
      </c>
      <c r="P633" s="38">
        <v>3600.0</v>
      </c>
      <c r="Q633" s="39"/>
      <c r="R633" s="39"/>
      <c r="S633" s="39"/>
      <c r="T633" s="39"/>
      <c r="U633" s="39"/>
    </row>
    <row r="634">
      <c r="A634" s="40">
        <f t="shared" si="1"/>
        <v>46006</v>
      </c>
      <c r="B634" s="37" t="str">
        <f t="array" ref="B634">iferror(xlookup($I634, 'IMPORT VHC Report'!$E:$E, 'IMPORT VHC Report'!$A:$C), )</f>
        <v/>
      </c>
      <c r="C634" s="37"/>
      <c r="D634" s="37"/>
      <c r="E634" s="38" t="s">
        <v>885</v>
      </c>
      <c r="F634" s="38" t="s">
        <v>880</v>
      </c>
      <c r="G634" s="38">
        <v>5.359185373455E12</v>
      </c>
      <c r="H634" s="38" t="s">
        <v>67</v>
      </c>
      <c r="I634" s="38" t="s">
        <v>68</v>
      </c>
      <c r="J634" s="38" t="s">
        <v>134</v>
      </c>
      <c r="K634" s="38" t="s">
        <v>126</v>
      </c>
      <c r="L634" s="41">
        <v>46007.208333333336</v>
      </c>
      <c r="M634" s="38" t="s">
        <v>123</v>
      </c>
      <c r="N634" s="41">
        <v>46007.229166666664</v>
      </c>
      <c r="O634" s="38" t="s">
        <v>123</v>
      </c>
      <c r="P634" s="38">
        <v>1800.0</v>
      </c>
      <c r="Q634" s="39"/>
      <c r="R634" s="39"/>
      <c r="S634" s="39"/>
      <c r="T634" s="39"/>
      <c r="U634" s="39"/>
    </row>
    <row r="635">
      <c r="A635" s="40">
        <f t="shared" si="1"/>
        <v>46006</v>
      </c>
      <c r="B635" s="37" t="str">
        <f t="array" ref="B635">iferror(xlookup($I635, 'IMPORT VHC Report'!$E:$E, 'IMPORT VHC Report'!$A:$C), )</f>
        <v/>
      </c>
      <c r="C635" s="37"/>
      <c r="D635" s="37"/>
      <c r="E635" s="38" t="s">
        <v>886</v>
      </c>
      <c r="F635" s="38" t="s">
        <v>880</v>
      </c>
      <c r="G635" s="38">
        <v>5.359185373455E12</v>
      </c>
      <c r="H635" s="38" t="s">
        <v>67</v>
      </c>
      <c r="I635" s="38" t="s">
        <v>68</v>
      </c>
      <c r="J635" s="38" t="s">
        <v>152</v>
      </c>
      <c r="K635" s="38" t="s">
        <v>153</v>
      </c>
      <c r="L635" s="41">
        <v>46007.916666666664</v>
      </c>
      <c r="M635" s="38" t="s">
        <v>123</v>
      </c>
      <c r="N635" s="41">
        <v>46008.25</v>
      </c>
      <c r="O635" s="38" t="s">
        <v>123</v>
      </c>
      <c r="P635" s="38">
        <v>28800.0</v>
      </c>
      <c r="Q635" s="38">
        <v>28800.0</v>
      </c>
      <c r="R635" s="38" t="s">
        <v>887</v>
      </c>
      <c r="S635" s="38" t="s">
        <v>887</v>
      </c>
      <c r="T635" s="39"/>
      <c r="U635" s="39"/>
    </row>
    <row r="636">
      <c r="A636" s="40">
        <f t="shared" si="1"/>
        <v>46006</v>
      </c>
      <c r="B636" s="37" t="str">
        <f t="array" ref="B636">iferror(xlookup($I636, 'IMPORT VHC Report'!$E:$E, 'IMPORT VHC Report'!$A:$C), )</f>
        <v/>
      </c>
      <c r="C636" s="37"/>
      <c r="D636" s="37"/>
      <c r="E636" s="38" t="s">
        <v>888</v>
      </c>
      <c r="F636" s="38" t="s">
        <v>880</v>
      </c>
      <c r="G636" s="38">
        <v>5.359185373455E12</v>
      </c>
      <c r="H636" s="38" t="s">
        <v>67</v>
      </c>
      <c r="I636" s="38" t="s">
        <v>68</v>
      </c>
      <c r="J636" s="38" t="s">
        <v>791</v>
      </c>
      <c r="K636" s="38" t="s">
        <v>63</v>
      </c>
      <c r="L636" s="41">
        <v>46007.916666666664</v>
      </c>
      <c r="M636" s="38" t="s">
        <v>123</v>
      </c>
      <c r="N636" s="41">
        <v>46008.25</v>
      </c>
      <c r="O636" s="38" t="s">
        <v>123</v>
      </c>
      <c r="P636" s="38">
        <v>28800.0</v>
      </c>
      <c r="Q636" s="39"/>
      <c r="R636" s="39"/>
      <c r="S636" s="39"/>
      <c r="T636" s="39"/>
      <c r="U636" s="39"/>
    </row>
    <row r="637">
      <c r="A637" s="40">
        <f t="shared" si="1"/>
        <v>46006</v>
      </c>
      <c r="B637" s="37" t="str">
        <f t="array" ref="B637">iferror(xlookup($I637, 'IMPORT VHC Report'!$E:$E, 'IMPORT VHC Report'!$A:$C), )</f>
        <v/>
      </c>
      <c r="C637" s="37"/>
      <c r="D637" s="37"/>
      <c r="E637" s="38" t="s">
        <v>889</v>
      </c>
      <c r="F637" s="38" t="s">
        <v>880</v>
      </c>
      <c r="G637" s="38">
        <v>5.359185373455E12</v>
      </c>
      <c r="H637" s="38" t="s">
        <v>67</v>
      </c>
      <c r="I637" s="38" t="s">
        <v>68</v>
      </c>
      <c r="J637" s="38" t="s">
        <v>132</v>
      </c>
      <c r="K637" s="38" t="s">
        <v>126</v>
      </c>
      <c r="L637" s="41">
        <v>46008.1875</v>
      </c>
      <c r="M637" s="38" t="s">
        <v>123</v>
      </c>
      <c r="N637" s="41">
        <v>46008.229166666664</v>
      </c>
      <c r="O637" s="38" t="s">
        <v>123</v>
      </c>
      <c r="P637" s="38">
        <v>3600.0</v>
      </c>
      <c r="Q637" s="39"/>
      <c r="R637" s="39"/>
      <c r="S637" s="39"/>
      <c r="T637" s="39"/>
      <c r="U637" s="39"/>
    </row>
    <row r="638">
      <c r="A638" s="40">
        <f t="shared" si="1"/>
        <v>46006</v>
      </c>
      <c r="B638" s="37" t="str">
        <f t="array" ref="B638">iferror(xlookup($I638, 'IMPORT VHC Report'!$E:$E, 'IMPORT VHC Report'!$A:$C), )</f>
        <v/>
      </c>
      <c r="C638" s="37"/>
      <c r="D638" s="37"/>
      <c r="E638" s="38" t="s">
        <v>890</v>
      </c>
      <c r="F638" s="38" t="s">
        <v>880</v>
      </c>
      <c r="G638" s="38">
        <v>5.359185373455E12</v>
      </c>
      <c r="H638" s="38" t="s">
        <v>67</v>
      </c>
      <c r="I638" s="38" t="s">
        <v>68</v>
      </c>
      <c r="J638" s="38" t="s">
        <v>134</v>
      </c>
      <c r="K638" s="38" t="s">
        <v>126</v>
      </c>
      <c r="L638" s="41">
        <v>46008.229166666664</v>
      </c>
      <c r="M638" s="38" t="s">
        <v>123</v>
      </c>
      <c r="N638" s="41">
        <v>46008.25</v>
      </c>
      <c r="O638" s="38" t="s">
        <v>123</v>
      </c>
      <c r="P638" s="38">
        <v>1800.0</v>
      </c>
      <c r="Q638" s="39"/>
      <c r="R638" s="39"/>
      <c r="S638" s="39"/>
      <c r="T638" s="39"/>
      <c r="U638" s="39"/>
    </row>
    <row r="639">
      <c r="A639" s="40">
        <f t="shared" si="1"/>
        <v>46006</v>
      </c>
      <c r="B639" s="37" t="str">
        <f t="array" ref="B639">iferror(xlookup($I639, 'IMPORT VHC Report'!$E:$E, 'IMPORT VHC Report'!$A:$C), )</f>
        <v/>
      </c>
      <c r="C639" s="37"/>
      <c r="D639" s="37"/>
      <c r="E639" s="38" t="s">
        <v>891</v>
      </c>
      <c r="F639" s="38" t="s">
        <v>880</v>
      </c>
      <c r="G639" s="38">
        <v>5.359185373455E12</v>
      </c>
      <c r="H639" s="38" t="s">
        <v>67</v>
      </c>
      <c r="I639" s="38" t="s">
        <v>68</v>
      </c>
      <c r="J639" s="38" t="s">
        <v>62</v>
      </c>
      <c r="K639" s="38" t="s">
        <v>63</v>
      </c>
      <c r="L639" s="41">
        <v>46008.916666666664</v>
      </c>
      <c r="M639" s="38" t="s">
        <v>123</v>
      </c>
      <c r="N639" s="41">
        <v>46009.083333333336</v>
      </c>
      <c r="O639" s="38" t="s">
        <v>123</v>
      </c>
      <c r="P639" s="38">
        <v>14400.0</v>
      </c>
      <c r="Q639" s="39"/>
      <c r="R639" s="39"/>
      <c r="S639" s="39"/>
      <c r="T639" s="39"/>
      <c r="U639" s="39"/>
    </row>
    <row r="640">
      <c r="A640" s="40">
        <f t="shared" si="1"/>
        <v>46006</v>
      </c>
      <c r="B640" s="37" t="str">
        <f t="array" ref="B640">iferror(xlookup($I640, 'IMPORT VHC Report'!$E:$E, 'IMPORT VHC Report'!$A:$C), )</f>
        <v/>
      </c>
      <c r="C640" s="37"/>
      <c r="D640" s="37"/>
      <c r="E640" s="38" t="s">
        <v>892</v>
      </c>
      <c r="F640" s="38" t="s">
        <v>880</v>
      </c>
      <c r="G640" s="38">
        <v>5.359185373455E12</v>
      </c>
      <c r="H640" s="38" t="s">
        <v>67</v>
      </c>
      <c r="I640" s="38" t="s">
        <v>68</v>
      </c>
      <c r="J640" s="38" t="s">
        <v>136</v>
      </c>
      <c r="K640" s="38" t="s">
        <v>126</v>
      </c>
      <c r="L640" s="41">
        <v>46008.958333333336</v>
      </c>
      <c r="M640" s="38" t="s">
        <v>123</v>
      </c>
      <c r="N640" s="41">
        <v>46009.0</v>
      </c>
      <c r="O640" s="38" t="s">
        <v>123</v>
      </c>
      <c r="P640" s="38">
        <v>3600.0</v>
      </c>
      <c r="Q640" s="39"/>
      <c r="R640" s="39"/>
      <c r="S640" s="38" t="s">
        <v>137</v>
      </c>
      <c r="T640" s="39"/>
      <c r="U640" s="39"/>
    </row>
    <row r="641">
      <c r="A641" s="40">
        <f t="shared" si="1"/>
        <v>46006</v>
      </c>
      <c r="B641" s="37" t="str">
        <f t="array" ref="B641">iferror(xlookup($I641, 'IMPORT VHC Report'!$E:$E, 'IMPORT VHC Report'!$A:$C), )</f>
        <v/>
      </c>
      <c r="C641" s="37"/>
      <c r="D641" s="37"/>
      <c r="E641" s="38" t="s">
        <v>893</v>
      </c>
      <c r="F641" s="38" t="s">
        <v>880</v>
      </c>
      <c r="G641" s="38">
        <v>5.359185373455E12</v>
      </c>
      <c r="H641" s="38" t="s">
        <v>67</v>
      </c>
      <c r="I641" s="38" t="s">
        <v>68</v>
      </c>
      <c r="J641" s="38" t="s">
        <v>791</v>
      </c>
      <c r="K641" s="38" t="s">
        <v>63</v>
      </c>
      <c r="L641" s="41">
        <v>46009.083333333336</v>
      </c>
      <c r="M641" s="38" t="s">
        <v>123</v>
      </c>
      <c r="N641" s="41">
        <v>46009.291666666664</v>
      </c>
      <c r="O641" s="38" t="s">
        <v>123</v>
      </c>
      <c r="P641" s="38">
        <v>18000.0</v>
      </c>
      <c r="Q641" s="39"/>
      <c r="R641" s="39"/>
      <c r="S641" s="39"/>
      <c r="T641" s="39"/>
      <c r="U641" s="39"/>
    </row>
    <row r="642">
      <c r="A642" s="40">
        <f t="shared" si="1"/>
        <v>46006</v>
      </c>
      <c r="B642" s="37" t="str">
        <f t="array" ref="B642">iferror(xlookup($I642, 'IMPORT VHC Report'!$E:$E, 'IMPORT VHC Report'!$A:$C), )</f>
        <v/>
      </c>
      <c r="C642" s="37"/>
      <c r="D642" s="37"/>
      <c r="E642" s="38" t="s">
        <v>894</v>
      </c>
      <c r="F642" s="38" t="s">
        <v>880</v>
      </c>
      <c r="G642" s="38">
        <v>5.359185373455E12</v>
      </c>
      <c r="H642" s="38" t="s">
        <v>67</v>
      </c>
      <c r="I642" s="38" t="s">
        <v>68</v>
      </c>
      <c r="J642" s="38" t="s">
        <v>134</v>
      </c>
      <c r="K642" s="38" t="s">
        <v>126</v>
      </c>
      <c r="L642" s="41">
        <v>46009.229166666664</v>
      </c>
      <c r="M642" s="38" t="s">
        <v>123</v>
      </c>
      <c r="N642" s="41">
        <v>46009.25</v>
      </c>
      <c r="O642" s="38" t="s">
        <v>123</v>
      </c>
      <c r="P642" s="38">
        <v>1800.0</v>
      </c>
      <c r="Q642" s="39"/>
      <c r="R642" s="39"/>
      <c r="S642" s="39"/>
      <c r="T642" s="39"/>
      <c r="U642" s="39"/>
    </row>
    <row r="643">
      <c r="A643" s="40">
        <f t="shared" si="1"/>
        <v>46006</v>
      </c>
      <c r="B643" s="37" t="str">
        <f t="array" ref="B643">iferror(xlookup($I643, 'IMPORT VHC Report'!$E:$E, 'IMPORT VHC Report'!$A:$C), )</f>
        <v/>
      </c>
      <c r="C643" s="37"/>
      <c r="D643" s="37"/>
      <c r="E643" s="38" t="s">
        <v>895</v>
      </c>
      <c r="F643" s="38" t="s">
        <v>880</v>
      </c>
      <c r="G643" s="38">
        <v>5.359185373455E12</v>
      </c>
      <c r="H643" s="38" t="s">
        <v>67</v>
      </c>
      <c r="I643" s="38" t="s">
        <v>68</v>
      </c>
      <c r="J643" s="38" t="s">
        <v>132</v>
      </c>
      <c r="K643" s="38" t="s">
        <v>126</v>
      </c>
      <c r="L643" s="41">
        <v>46009.25</v>
      </c>
      <c r="M643" s="38" t="s">
        <v>123</v>
      </c>
      <c r="N643" s="41">
        <v>46009.291666666664</v>
      </c>
      <c r="O643" s="38" t="s">
        <v>123</v>
      </c>
      <c r="P643" s="38">
        <v>3600.0</v>
      </c>
      <c r="Q643" s="39"/>
      <c r="R643" s="39"/>
      <c r="S643" s="39"/>
      <c r="T643" s="39"/>
      <c r="U643" s="39"/>
    </row>
    <row r="644">
      <c r="A644" s="40">
        <f t="shared" si="1"/>
        <v>46006</v>
      </c>
      <c r="B644" s="37" t="str">
        <f t="array" ref="B644">iferror(xlookup($I644, 'IMPORT VHC Report'!$E:$E, 'IMPORT VHC Report'!$A:$C), )</f>
        <v/>
      </c>
      <c r="C644" s="37"/>
      <c r="D644" s="37"/>
      <c r="E644" s="38" t="s">
        <v>896</v>
      </c>
      <c r="F644" s="38" t="s">
        <v>880</v>
      </c>
      <c r="G644" s="38">
        <v>5.359185373455E12</v>
      </c>
      <c r="H644" s="38" t="s">
        <v>67</v>
      </c>
      <c r="I644" s="38" t="s">
        <v>68</v>
      </c>
      <c r="J644" s="38" t="s">
        <v>791</v>
      </c>
      <c r="K644" s="38" t="s">
        <v>63</v>
      </c>
      <c r="L644" s="41">
        <v>46009.916666666664</v>
      </c>
      <c r="M644" s="38" t="s">
        <v>123</v>
      </c>
      <c r="N644" s="41">
        <v>46010.291666666664</v>
      </c>
      <c r="O644" s="38" t="s">
        <v>123</v>
      </c>
      <c r="P644" s="38">
        <v>32400.0</v>
      </c>
      <c r="Q644" s="39"/>
      <c r="R644" s="39"/>
      <c r="S644" s="39"/>
      <c r="T644" s="39"/>
      <c r="U644" s="39"/>
    </row>
    <row r="645">
      <c r="A645" s="40">
        <f t="shared" si="1"/>
        <v>46006</v>
      </c>
      <c r="B645" s="37" t="str">
        <f t="array" ref="B645">iferror(xlookup($I645, 'IMPORT VHC Report'!$E:$E, 'IMPORT VHC Report'!$A:$C), )</f>
        <v/>
      </c>
      <c r="C645" s="37"/>
      <c r="D645" s="37"/>
      <c r="E645" s="38" t="s">
        <v>897</v>
      </c>
      <c r="F645" s="38" t="s">
        <v>880</v>
      </c>
      <c r="G645" s="38">
        <v>5.359185373455E12</v>
      </c>
      <c r="H645" s="38" t="s">
        <v>67</v>
      </c>
      <c r="I645" s="38" t="s">
        <v>68</v>
      </c>
      <c r="J645" s="38" t="s">
        <v>132</v>
      </c>
      <c r="K645" s="38" t="s">
        <v>126</v>
      </c>
      <c r="L645" s="41">
        <v>46010.166666666664</v>
      </c>
      <c r="M645" s="38" t="s">
        <v>123</v>
      </c>
      <c r="N645" s="41">
        <v>46010.208333333336</v>
      </c>
      <c r="O645" s="38" t="s">
        <v>123</v>
      </c>
      <c r="P645" s="38">
        <v>3600.0</v>
      </c>
      <c r="Q645" s="39"/>
      <c r="R645" s="39"/>
      <c r="S645" s="39"/>
      <c r="T645" s="39"/>
      <c r="U645" s="39"/>
    </row>
    <row r="646">
      <c r="A646" s="40">
        <f t="shared" si="1"/>
        <v>46006</v>
      </c>
      <c r="B646" s="37" t="str">
        <f t="array" ref="B646">iferror(xlookup($I646, 'IMPORT VHC Report'!$E:$E, 'IMPORT VHC Report'!$A:$C), )</f>
        <v/>
      </c>
      <c r="C646" s="37"/>
      <c r="D646" s="37"/>
      <c r="E646" s="38" t="s">
        <v>898</v>
      </c>
      <c r="F646" s="38" t="s">
        <v>880</v>
      </c>
      <c r="G646" s="38">
        <v>5.359185373455E12</v>
      </c>
      <c r="H646" s="38" t="s">
        <v>67</v>
      </c>
      <c r="I646" s="38" t="s">
        <v>68</v>
      </c>
      <c r="J646" s="38" t="s">
        <v>134</v>
      </c>
      <c r="K646" s="38" t="s">
        <v>126</v>
      </c>
      <c r="L646" s="41">
        <v>46010.208333333336</v>
      </c>
      <c r="M646" s="38" t="s">
        <v>123</v>
      </c>
      <c r="N646" s="41">
        <v>46010.229166666664</v>
      </c>
      <c r="O646" s="38" t="s">
        <v>123</v>
      </c>
      <c r="P646" s="38">
        <v>1800.0</v>
      </c>
      <c r="Q646" s="39"/>
      <c r="R646" s="39"/>
      <c r="S646" s="39"/>
      <c r="T646" s="39"/>
      <c r="U646" s="39"/>
    </row>
    <row r="647">
      <c r="A647" s="40">
        <f t="shared" si="1"/>
        <v>46006</v>
      </c>
      <c r="B647" s="37" t="str">
        <f t="array" ref="B647">iferror(xlookup($I647, 'IMPORT VHC Report'!$E:$E, 'IMPORT VHC Report'!$A:$C), )</f>
        <v/>
      </c>
      <c r="C647" s="37"/>
      <c r="D647" s="37"/>
      <c r="E647" s="38" t="s">
        <v>899</v>
      </c>
      <c r="F647" s="38" t="s">
        <v>880</v>
      </c>
      <c r="G647" s="38">
        <v>5.359185373455E12</v>
      </c>
      <c r="H647" s="38" t="s">
        <v>67</v>
      </c>
      <c r="I647" s="38" t="s">
        <v>68</v>
      </c>
      <c r="J647" s="38" t="s">
        <v>791</v>
      </c>
      <c r="K647" s="38" t="s">
        <v>63</v>
      </c>
      <c r="L647" s="41">
        <v>46012.916666666664</v>
      </c>
      <c r="M647" s="38" t="s">
        <v>123</v>
      </c>
      <c r="N647" s="41">
        <v>46013.291666666664</v>
      </c>
      <c r="O647" s="38" t="s">
        <v>123</v>
      </c>
      <c r="P647" s="38">
        <v>32400.0</v>
      </c>
      <c r="Q647" s="39"/>
      <c r="R647" s="39"/>
      <c r="S647" s="39"/>
      <c r="T647" s="39"/>
      <c r="U647" s="39"/>
    </row>
    <row r="648">
      <c r="A648" s="40">
        <f t="shared" si="1"/>
        <v>45999</v>
      </c>
      <c r="B648" s="37" t="str">
        <f t="array" ref="B648">iferror(xlookup($I648, 'IMPORT VHC Report'!$E:$E, 'IMPORT VHC Report'!$A:$C), )</f>
        <v/>
      </c>
      <c r="C648" s="37"/>
      <c r="D648" s="37"/>
      <c r="E648" s="38" t="s">
        <v>900</v>
      </c>
      <c r="F648" s="38" t="s">
        <v>901</v>
      </c>
      <c r="G648" s="38">
        <v>8.904451015951E12</v>
      </c>
      <c r="H648" s="38" t="s">
        <v>902</v>
      </c>
      <c r="I648" s="38" t="s">
        <v>903</v>
      </c>
      <c r="J648" s="38" t="s">
        <v>224</v>
      </c>
      <c r="K648" s="38" t="s">
        <v>63</v>
      </c>
      <c r="L648" s="41">
        <v>46005.947916666664</v>
      </c>
      <c r="M648" s="38" t="s">
        <v>123</v>
      </c>
      <c r="N648" s="41">
        <v>46006.03125</v>
      </c>
      <c r="O648" s="38" t="s">
        <v>123</v>
      </c>
      <c r="P648" s="38">
        <v>7200.0</v>
      </c>
      <c r="Q648" s="39"/>
      <c r="R648" s="39"/>
      <c r="S648" s="39"/>
      <c r="T648" s="39"/>
      <c r="U648" s="39"/>
    </row>
    <row r="649">
      <c r="A649" s="40">
        <f t="shared" si="1"/>
        <v>46006</v>
      </c>
      <c r="B649" s="37" t="str">
        <f t="array" ref="B649">iferror(xlookup($I649, 'IMPORT VHC Report'!$E:$E, 'IMPORT VHC Report'!$A:$C), )</f>
        <v/>
      </c>
      <c r="C649" s="37"/>
      <c r="D649" s="37"/>
      <c r="E649" s="38" t="s">
        <v>904</v>
      </c>
      <c r="F649" s="38" t="s">
        <v>901</v>
      </c>
      <c r="G649" s="38">
        <v>8.904451015951E12</v>
      </c>
      <c r="H649" s="38" t="s">
        <v>902</v>
      </c>
      <c r="I649" s="38" t="s">
        <v>903</v>
      </c>
      <c r="J649" s="38" t="s">
        <v>132</v>
      </c>
      <c r="K649" s="38" t="s">
        <v>126</v>
      </c>
      <c r="L649" s="41">
        <v>46006.03125</v>
      </c>
      <c r="M649" s="38" t="s">
        <v>123</v>
      </c>
      <c r="N649" s="41">
        <v>46006.072916666664</v>
      </c>
      <c r="O649" s="38" t="s">
        <v>123</v>
      </c>
      <c r="P649" s="38">
        <v>3600.0</v>
      </c>
      <c r="Q649" s="39"/>
      <c r="R649" s="39"/>
      <c r="S649" s="39"/>
      <c r="T649" s="39"/>
      <c r="U649" s="39"/>
    </row>
    <row r="650">
      <c r="A650" s="40">
        <f t="shared" si="1"/>
        <v>46006</v>
      </c>
      <c r="B650" s="37" t="str">
        <f t="array" ref="B650">iferror(xlookup($I650, 'IMPORT VHC Report'!$E:$E, 'IMPORT VHC Report'!$A:$C), )</f>
        <v/>
      </c>
      <c r="C650" s="37"/>
      <c r="D650" s="37"/>
      <c r="E650" s="38" t="s">
        <v>905</v>
      </c>
      <c r="F650" s="38" t="s">
        <v>901</v>
      </c>
      <c r="G650" s="38">
        <v>8.904451015951E12</v>
      </c>
      <c r="H650" s="38" t="s">
        <v>902</v>
      </c>
      <c r="I650" s="38" t="s">
        <v>903</v>
      </c>
      <c r="J650" s="38" t="s">
        <v>224</v>
      </c>
      <c r="K650" s="38" t="s">
        <v>63</v>
      </c>
      <c r="L650" s="41">
        <v>46006.072916666664</v>
      </c>
      <c r="M650" s="38" t="s">
        <v>123</v>
      </c>
      <c r="N650" s="41">
        <v>46006.135416666664</v>
      </c>
      <c r="O650" s="38" t="s">
        <v>123</v>
      </c>
      <c r="P650" s="38">
        <v>5400.0</v>
      </c>
      <c r="Q650" s="39"/>
      <c r="R650" s="39"/>
      <c r="S650" s="39"/>
      <c r="T650" s="39"/>
      <c r="U650" s="39"/>
    </row>
    <row r="651">
      <c r="A651" s="40">
        <f t="shared" si="1"/>
        <v>46006</v>
      </c>
      <c r="B651" s="37" t="str">
        <f t="array" ref="B651">iferror(xlookup($I651, 'IMPORT VHC Report'!$E:$E, 'IMPORT VHC Report'!$A:$C), )</f>
        <v/>
      </c>
      <c r="C651" s="37"/>
      <c r="D651" s="37"/>
      <c r="E651" s="38" t="s">
        <v>906</v>
      </c>
      <c r="F651" s="38" t="s">
        <v>901</v>
      </c>
      <c r="G651" s="38">
        <v>8.904451015951E12</v>
      </c>
      <c r="H651" s="38" t="s">
        <v>902</v>
      </c>
      <c r="I651" s="38" t="s">
        <v>903</v>
      </c>
      <c r="J651" s="38" t="s">
        <v>134</v>
      </c>
      <c r="K651" s="38" t="s">
        <v>126</v>
      </c>
      <c r="L651" s="41">
        <v>46006.135416666664</v>
      </c>
      <c r="M651" s="38" t="s">
        <v>123</v>
      </c>
      <c r="N651" s="41">
        <v>46006.145833333336</v>
      </c>
      <c r="O651" s="38" t="s">
        <v>123</v>
      </c>
      <c r="P651" s="38">
        <v>900.0</v>
      </c>
      <c r="Q651" s="39"/>
      <c r="R651" s="39"/>
      <c r="S651" s="39"/>
      <c r="T651" s="39"/>
      <c r="U651" s="39"/>
    </row>
    <row r="652">
      <c r="A652" s="40">
        <f t="shared" si="1"/>
        <v>46006</v>
      </c>
      <c r="B652" s="37" t="str">
        <f t="array" ref="B652">iferror(xlookup($I652, 'IMPORT VHC Report'!$E:$E, 'IMPORT VHC Report'!$A:$C), )</f>
        <v/>
      </c>
      <c r="C652" s="37"/>
      <c r="D652" s="37"/>
      <c r="E652" s="38" t="s">
        <v>907</v>
      </c>
      <c r="F652" s="38" t="s">
        <v>901</v>
      </c>
      <c r="G652" s="38">
        <v>8.904451015951E12</v>
      </c>
      <c r="H652" s="38" t="s">
        <v>902</v>
      </c>
      <c r="I652" s="38" t="s">
        <v>903</v>
      </c>
      <c r="J652" s="38" t="s">
        <v>224</v>
      </c>
      <c r="K652" s="38" t="s">
        <v>63</v>
      </c>
      <c r="L652" s="41">
        <v>46006.145833333336</v>
      </c>
      <c r="M652" s="38" t="s">
        <v>123</v>
      </c>
      <c r="N652" s="41">
        <v>46006.208333333336</v>
      </c>
      <c r="O652" s="38" t="s">
        <v>123</v>
      </c>
      <c r="P652" s="38">
        <v>5400.0</v>
      </c>
      <c r="Q652" s="39"/>
      <c r="R652" s="39"/>
      <c r="S652" s="39"/>
      <c r="T652" s="39"/>
      <c r="U652" s="39"/>
    </row>
    <row r="653">
      <c r="A653" s="40">
        <f t="shared" si="1"/>
        <v>46006</v>
      </c>
      <c r="B653" s="37" t="str">
        <f t="array" ref="B653">iferror(xlookup($I653, 'IMPORT VHC Report'!$E:$E, 'IMPORT VHC Report'!$A:$C), )</f>
        <v/>
      </c>
      <c r="C653" s="37"/>
      <c r="D653" s="37"/>
      <c r="E653" s="38" t="s">
        <v>908</v>
      </c>
      <c r="F653" s="38" t="s">
        <v>901</v>
      </c>
      <c r="G653" s="38">
        <v>8.904451015951E12</v>
      </c>
      <c r="H653" s="38" t="s">
        <v>902</v>
      </c>
      <c r="I653" s="38" t="s">
        <v>903</v>
      </c>
      <c r="J653" s="38" t="s">
        <v>134</v>
      </c>
      <c r="K653" s="38" t="s">
        <v>126</v>
      </c>
      <c r="L653" s="41">
        <v>46006.208333333336</v>
      </c>
      <c r="M653" s="38" t="s">
        <v>123</v>
      </c>
      <c r="N653" s="41">
        <v>46006.21875</v>
      </c>
      <c r="O653" s="38" t="s">
        <v>123</v>
      </c>
      <c r="P653" s="38">
        <v>900.0</v>
      </c>
      <c r="Q653" s="39"/>
      <c r="R653" s="39"/>
      <c r="S653" s="39"/>
      <c r="T653" s="39"/>
      <c r="U653" s="39"/>
    </row>
    <row r="654">
      <c r="A654" s="40">
        <f t="shared" si="1"/>
        <v>46006</v>
      </c>
      <c r="B654" s="37" t="str">
        <f t="array" ref="B654">iferror(xlookup($I654, 'IMPORT VHC Report'!$E:$E, 'IMPORT VHC Report'!$A:$C), )</f>
        <v/>
      </c>
      <c r="C654" s="37"/>
      <c r="D654" s="37"/>
      <c r="E654" s="38" t="s">
        <v>909</v>
      </c>
      <c r="F654" s="38" t="s">
        <v>901</v>
      </c>
      <c r="G654" s="38">
        <v>8.904451015951E12</v>
      </c>
      <c r="H654" s="38" t="s">
        <v>902</v>
      </c>
      <c r="I654" s="38" t="s">
        <v>903</v>
      </c>
      <c r="J654" s="38" t="s">
        <v>224</v>
      </c>
      <c r="K654" s="38" t="s">
        <v>63</v>
      </c>
      <c r="L654" s="41">
        <v>46006.21875</v>
      </c>
      <c r="M654" s="38" t="s">
        <v>123</v>
      </c>
      <c r="N654" s="41">
        <v>46006.291666666664</v>
      </c>
      <c r="O654" s="38" t="s">
        <v>123</v>
      </c>
      <c r="P654" s="38">
        <v>6300.0</v>
      </c>
      <c r="Q654" s="39"/>
      <c r="R654" s="39"/>
      <c r="S654" s="39"/>
      <c r="T654" s="39"/>
      <c r="U654" s="39"/>
    </row>
    <row r="655">
      <c r="A655" s="40">
        <f t="shared" si="1"/>
        <v>46006</v>
      </c>
      <c r="B655" s="37" t="str">
        <f t="array" ref="B655">iferror(xlookup($I655, 'IMPORT VHC Report'!$E:$E, 'IMPORT VHC Report'!$A:$C), )</f>
        <v/>
      </c>
      <c r="C655" s="37"/>
      <c r="D655" s="37"/>
      <c r="E655" s="38" t="s">
        <v>910</v>
      </c>
      <c r="F655" s="38" t="s">
        <v>901</v>
      </c>
      <c r="G655" s="38">
        <v>8.904451015951E12</v>
      </c>
      <c r="H655" s="38" t="s">
        <v>902</v>
      </c>
      <c r="I655" s="38" t="s">
        <v>903</v>
      </c>
      <c r="J655" s="38" t="s">
        <v>224</v>
      </c>
      <c r="K655" s="38" t="s">
        <v>63</v>
      </c>
      <c r="L655" s="41">
        <v>46006.916666666664</v>
      </c>
      <c r="M655" s="38" t="s">
        <v>123</v>
      </c>
      <c r="N655" s="41">
        <v>46006.989583333336</v>
      </c>
      <c r="O655" s="38" t="s">
        <v>123</v>
      </c>
      <c r="P655" s="38">
        <v>6300.0</v>
      </c>
      <c r="Q655" s="39"/>
      <c r="R655" s="39"/>
      <c r="S655" s="39"/>
      <c r="T655" s="39"/>
      <c r="U655" s="39"/>
    </row>
    <row r="656">
      <c r="A656" s="40">
        <f t="shared" si="1"/>
        <v>46006</v>
      </c>
      <c r="B656" s="37" t="str">
        <f t="array" ref="B656">iferror(xlookup($I656, 'IMPORT VHC Report'!$E:$E, 'IMPORT VHC Report'!$A:$C), )</f>
        <v/>
      </c>
      <c r="C656" s="37"/>
      <c r="D656" s="37"/>
      <c r="E656" s="38" t="s">
        <v>911</v>
      </c>
      <c r="F656" s="38" t="s">
        <v>901</v>
      </c>
      <c r="G656" s="38">
        <v>8.904451015951E12</v>
      </c>
      <c r="H656" s="38" t="s">
        <v>902</v>
      </c>
      <c r="I656" s="38" t="s">
        <v>903</v>
      </c>
      <c r="J656" s="38" t="s">
        <v>62</v>
      </c>
      <c r="K656" s="38" t="s">
        <v>63</v>
      </c>
      <c r="L656" s="41">
        <v>46006.989583333336</v>
      </c>
      <c r="M656" s="38" t="s">
        <v>123</v>
      </c>
      <c r="N656" s="41">
        <v>46007.010416666664</v>
      </c>
      <c r="O656" s="38" t="s">
        <v>123</v>
      </c>
      <c r="P656" s="38">
        <v>1800.0</v>
      </c>
      <c r="Q656" s="39"/>
      <c r="R656" s="39"/>
      <c r="S656" s="39"/>
      <c r="T656" s="39"/>
      <c r="U656" s="39"/>
    </row>
    <row r="657">
      <c r="A657" s="40">
        <f t="shared" si="1"/>
        <v>46006</v>
      </c>
      <c r="B657" s="37" t="str">
        <f t="array" ref="B657">iferror(xlookup($I657, 'IMPORT VHC Report'!$E:$E, 'IMPORT VHC Report'!$A:$C), )</f>
        <v/>
      </c>
      <c r="C657" s="37"/>
      <c r="D657" s="37"/>
      <c r="E657" s="38" t="s">
        <v>912</v>
      </c>
      <c r="F657" s="38" t="s">
        <v>901</v>
      </c>
      <c r="G657" s="38">
        <v>8.904451015951E12</v>
      </c>
      <c r="H657" s="38" t="s">
        <v>902</v>
      </c>
      <c r="I657" s="38" t="s">
        <v>903</v>
      </c>
      <c r="J657" s="38" t="s">
        <v>224</v>
      </c>
      <c r="K657" s="38" t="s">
        <v>63</v>
      </c>
      <c r="L657" s="41">
        <v>46007.010416666664</v>
      </c>
      <c r="M657" s="38" t="s">
        <v>123</v>
      </c>
      <c r="N657" s="41">
        <v>46007.020833333336</v>
      </c>
      <c r="O657" s="38" t="s">
        <v>123</v>
      </c>
      <c r="P657" s="38">
        <v>900.0</v>
      </c>
      <c r="Q657" s="39"/>
      <c r="R657" s="39"/>
      <c r="S657" s="39"/>
      <c r="T657" s="39"/>
      <c r="U657" s="39"/>
    </row>
    <row r="658">
      <c r="A658" s="40">
        <f t="shared" si="1"/>
        <v>46006</v>
      </c>
      <c r="B658" s="37" t="str">
        <f t="array" ref="B658">iferror(xlookup($I658, 'IMPORT VHC Report'!$E:$E, 'IMPORT VHC Report'!$A:$C), )</f>
        <v/>
      </c>
      <c r="C658" s="37"/>
      <c r="D658" s="37"/>
      <c r="E658" s="38" t="s">
        <v>913</v>
      </c>
      <c r="F658" s="38" t="s">
        <v>901</v>
      </c>
      <c r="G658" s="38">
        <v>8.904451015951E12</v>
      </c>
      <c r="H658" s="38" t="s">
        <v>902</v>
      </c>
      <c r="I658" s="38" t="s">
        <v>903</v>
      </c>
      <c r="J658" s="38" t="s">
        <v>132</v>
      </c>
      <c r="K658" s="38" t="s">
        <v>126</v>
      </c>
      <c r="L658" s="41">
        <v>46007.020833333336</v>
      </c>
      <c r="M658" s="38" t="s">
        <v>123</v>
      </c>
      <c r="N658" s="41">
        <v>46007.0625</v>
      </c>
      <c r="O658" s="38" t="s">
        <v>123</v>
      </c>
      <c r="P658" s="38">
        <v>3600.0</v>
      </c>
      <c r="Q658" s="39"/>
      <c r="R658" s="39"/>
      <c r="S658" s="39"/>
      <c r="T658" s="39"/>
      <c r="U658" s="39"/>
    </row>
    <row r="659">
      <c r="A659" s="40">
        <f t="shared" si="1"/>
        <v>46006</v>
      </c>
      <c r="B659" s="37" t="str">
        <f t="array" ref="B659">iferror(xlookup($I659, 'IMPORT VHC Report'!$E:$E, 'IMPORT VHC Report'!$A:$C), )</f>
        <v/>
      </c>
      <c r="C659" s="37"/>
      <c r="D659" s="37"/>
      <c r="E659" s="38" t="s">
        <v>914</v>
      </c>
      <c r="F659" s="38" t="s">
        <v>901</v>
      </c>
      <c r="G659" s="38">
        <v>8.904451015951E12</v>
      </c>
      <c r="H659" s="38" t="s">
        <v>902</v>
      </c>
      <c r="I659" s="38" t="s">
        <v>903</v>
      </c>
      <c r="J659" s="38" t="s">
        <v>224</v>
      </c>
      <c r="K659" s="38" t="s">
        <v>63</v>
      </c>
      <c r="L659" s="41">
        <v>46007.0625</v>
      </c>
      <c r="M659" s="38" t="s">
        <v>123</v>
      </c>
      <c r="N659" s="41">
        <v>46007.125</v>
      </c>
      <c r="O659" s="38" t="s">
        <v>123</v>
      </c>
      <c r="P659" s="38">
        <v>5400.0</v>
      </c>
      <c r="Q659" s="39"/>
      <c r="R659" s="39"/>
      <c r="S659" s="39"/>
      <c r="T659" s="39"/>
      <c r="U659" s="39"/>
    </row>
    <row r="660">
      <c r="A660" s="40">
        <f t="shared" si="1"/>
        <v>46006</v>
      </c>
      <c r="B660" s="37" t="str">
        <f t="array" ref="B660">iferror(xlookup($I660, 'IMPORT VHC Report'!$E:$E, 'IMPORT VHC Report'!$A:$C), )</f>
        <v/>
      </c>
      <c r="C660" s="37"/>
      <c r="D660" s="37"/>
      <c r="E660" s="38" t="s">
        <v>915</v>
      </c>
      <c r="F660" s="38" t="s">
        <v>901</v>
      </c>
      <c r="G660" s="38">
        <v>8.904451015951E12</v>
      </c>
      <c r="H660" s="38" t="s">
        <v>902</v>
      </c>
      <c r="I660" s="38" t="s">
        <v>903</v>
      </c>
      <c r="J660" s="38" t="s">
        <v>134</v>
      </c>
      <c r="K660" s="38" t="s">
        <v>126</v>
      </c>
      <c r="L660" s="41">
        <v>46007.125</v>
      </c>
      <c r="M660" s="38" t="s">
        <v>123</v>
      </c>
      <c r="N660" s="41">
        <v>46007.135416666664</v>
      </c>
      <c r="O660" s="38" t="s">
        <v>123</v>
      </c>
      <c r="P660" s="38">
        <v>900.0</v>
      </c>
      <c r="Q660" s="39"/>
      <c r="R660" s="39"/>
      <c r="S660" s="39"/>
      <c r="T660" s="39"/>
      <c r="U660" s="39"/>
    </row>
    <row r="661">
      <c r="A661" s="40">
        <f t="shared" si="1"/>
        <v>46006</v>
      </c>
      <c r="B661" s="37" t="str">
        <f t="array" ref="B661">iferror(xlookup($I661, 'IMPORT VHC Report'!$E:$E, 'IMPORT VHC Report'!$A:$C), )</f>
        <v/>
      </c>
      <c r="C661" s="37"/>
      <c r="D661" s="37"/>
      <c r="E661" s="38" t="s">
        <v>916</v>
      </c>
      <c r="F661" s="38" t="s">
        <v>901</v>
      </c>
      <c r="G661" s="38">
        <v>8.904451015951E12</v>
      </c>
      <c r="H661" s="38" t="s">
        <v>902</v>
      </c>
      <c r="I661" s="38" t="s">
        <v>903</v>
      </c>
      <c r="J661" s="38" t="s">
        <v>224</v>
      </c>
      <c r="K661" s="38" t="s">
        <v>63</v>
      </c>
      <c r="L661" s="41">
        <v>46007.135416666664</v>
      </c>
      <c r="M661" s="38" t="s">
        <v>123</v>
      </c>
      <c r="N661" s="41">
        <v>46007.21875</v>
      </c>
      <c r="O661" s="38" t="s">
        <v>123</v>
      </c>
      <c r="P661" s="38">
        <v>7200.0</v>
      </c>
      <c r="Q661" s="39"/>
      <c r="R661" s="39"/>
      <c r="S661" s="39"/>
      <c r="T661" s="39"/>
      <c r="U661" s="39"/>
    </row>
    <row r="662">
      <c r="A662" s="40">
        <f t="shared" si="1"/>
        <v>46006</v>
      </c>
      <c r="B662" s="37" t="str">
        <f t="array" ref="B662">iferror(xlookup($I662, 'IMPORT VHC Report'!$E:$E, 'IMPORT VHC Report'!$A:$C), )</f>
        <v/>
      </c>
      <c r="C662" s="37"/>
      <c r="D662" s="37"/>
      <c r="E662" s="38" t="s">
        <v>917</v>
      </c>
      <c r="F662" s="38" t="s">
        <v>901</v>
      </c>
      <c r="G662" s="38">
        <v>8.904451015951E12</v>
      </c>
      <c r="H662" s="38" t="s">
        <v>902</v>
      </c>
      <c r="I662" s="38" t="s">
        <v>903</v>
      </c>
      <c r="J662" s="38" t="s">
        <v>134</v>
      </c>
      <c r="K662" s="38" t="s">
        <v>126</v>
      </c>
      <c r="L662" s="41">
        <v>46007.21875</v>
      </c>
      <c r="M662" s="38" t="s">
        <v>123</v>
      </c>
      <c r="N662" s="41">
        <v>46007.229166666664</v>
      </c>
      <c r="O662" s="38" t="s">
        <v>123</v>
      </c>
      <c r="P662" s="38">
        <v>900.0</v>
      </c>
      <c r="Q662" s="39"/>
      <c r="R662" s="39"/>
      <c r="S662" s="39"/>
      <c r="T662" s="39"/>
      <c r="U662" s="39"/>
    </row>
    <row r="663">
      <c r="A663" s="40">
        <f t="shared" si="1"/>
        <v>46006</v>
      </c>
      <c r="B663" s="37" t="str">
        <f t="array" ref="B663">iferror(xlookup($I663, 'IMPORT VHC Report'!$E:$E, 'IMPORT VHC Report'!$A:$C), )</f>
        <v/>
      </c>
      <c r="C663" s="37"/>
      <c r="D663" s="37"/>
      <c r="E663" s="38" t="s">
        <v>918</v>
      </c>
      <c r="F663" s="38" t="s">
        <v>901</v>
      </c>
      <c r="G663" s="38">
        <v>8.904451015951E12</v>
      </c>
      <c r="H663" s="38" t="s">
        <v>902</v>
      </c>
      <c r="I663" s="38" t="s">
        <v>903</v>
      </c>
      <c r="J663" s="38" t="s">
        <v>224</v>
      </c>
      <c r="K663" s="38" t="s">
        <v>63</v>
      </c>
      <c r="L663" s="41">
        <v>46007.229166666664</v>
      </c>
      <c r="M663" s="38" t="s">
        <v>123</v>
      </c>
      <c r="N663" s="41">
        <v>46007.270833333336</v>
      </c>
      <c r="O663" s="38" t="s">
        <v>123</v>
      </c>
      <c r="P663" s="38">
        <v>3600.0</v>
      </c>
      <c r="Q663" s="39"/>
      <c r="R663" s="39"/>
      <c r="S663" s="39"/>
      <c r="T663" s="39"/>
      <c r="U663" s="39"/>
    </row>
    <row r="664">
      <c r="A664" s="40">
        <f t="shared" si="1"/>
        <v>46006</v>
      </c>
      <c r="B664" s="37" t="str">
        <f t="array" ref="B664">iferror(xlookup($I664, 'IMPORT VHC Report'!$E:$E, 'IMPORT VHC Report'!$A:$C), )</f>
        <v/>
      </c>
      <c r="C664" s="37"/>
      <c r="D664" s="37"/>
      <c r="E664" s="38" t="s">
        <v>919</v>
      </c>
      <c r="F664" s="38" t="s">
        <v>901</v>
      </c>
      <c r="G664" s="38">
        <v>8.904451015951E12</v>
      </c>
      <c r="H664" s="38" t="s">
        <v>902</v>
      </c>
      <c r="I664" s="38" t="s">
        <v>903</v>
      </c>
      <c r="J664" s="38" t="s">
        <v>136</v>
      </c>
      <c r="K664" s="38" t="s">
        <v>126</v>
      </c>
      <c r="L664" s="41">
        <v>46007.270833333336</v>
      </c>
      <c r="M664" s="38" t="s">
        <v>123</v>
      </c>
      <c r="N664" s="41">
        <v>46007.291666666664</v>
      </c>
      <c r="O664" s="38" t="s">
        <v>123</v>
      </c>
      <c r="P664" s="38">
        <v>1800.0</v>
      </c>
      <c r="Q664" s="39"/>
      <c r="R664" s="39"/>
      <c r="S664" s="38" t="s">
        <v>137</v>
      </c>
      <c r="T664" s="39"/>
      <c r="U664" s="39"/>
    </row>
    <row r="665">
      <c r="A665" s="40">
        <f t="shared" si="1"/>
        <v>46006</v>
      </c>
      <c r="B665" s="37" t="str">
        <f t="array" ref="B665">iferror(xlookup($I665, 'IMPORT VHC Report'!$E:$E, 'IMPORT VHC Report'!$A:$C), )</f>
        <v/>
      </c>
      <c r="C665" s="37"/>
      <c r="D665" s="37"/>
      <c r="E665" s="38" t="s">
        <v>920</v>
      </c>
      <c r="F665" s="38" t="s">
        <v>901</v>
      </c>
      <c r="G665" s="38">
        <v>8.904451015951E12</v>
      </c>
      <c r="H665" s="38" t="s">
        <v>902</v>
      </c>
      <c r="I665" s="38" t="s">
        <v>903</v>
      </c>
      <c r="J665" s="38" t="s">
        <v>224</v>
      </c>
      <c r="K665" s="38" t="s">
        <v>63</v>
      </c>
      <c r="L665" s="41">
        <v>46007.916666666664</v>
      </c>
      <c r="M665" s="38" t="s">
        <v>123</v>
      </c>
      <c r="N665" s="41">
        <v>46008.03125</v>
      </c>
      <c r="O665" s="38" t="s">
        <v>123</v>
      </c>
      <c r="P665" s="38">
        <v>9900.0</v>
      </c>
      <c r="Q665" s="39"/>
      <c r="R665" s="39"/>
      <c r="S665" s="39"/>
      <c r="T665" s="39"/>
      <c r="U665" s="39"/>
    </row>
    <row r="666">
      <c r="A666" s="40">
        <f t="shared" si="1"/>
        <v>46006</v>
      </c>
      <c r="B666" s="37" t="str">
        <f t="array" ref="B666">iferror(xlookup($I666, 'IMPORT VHC Report'!$E:$E, 'IMPORT VHC Report'!$A:$C), )</f>
        <v/>
      </c>
      <c r="C666" s="37"/>
      <c r="D666" s="37"/>
      <c r="E666" s="38" t="s">
        <v>921</v>
      </c>
      <c r="F666" s="38" t="s">
        <v>901</v>
      </c>
      <c r="G666" s="38">
        <v>8.904451015951E12</v>
      </c>
      <c r="H666" s="38" t="s">
        <v>902</v>
      </c>
      <c r="I666" s="38" t="s">
        <v>903</v>
      </c>
      <c r="J666" s="38" t="s">
        <v>134</v>
      </c>
      <c r="K666" s="38" t="s">
        <v>126</v>
      </c>
      <c r="L666" s="41">
        <v>46008.03125</v>
      </c>
      <c r="M666" s="38" t="s">
        <v>123</v>
      </c>
      <c r="N666" s="41">
        <v>46008.041666666664</v>
      </c>
      <c r="O666" s="38" t="s">
        <v>123</v>
      </c>
      <c r="P666" s="38">
        <v>900.0</v>
      </c>
      <c r="Q666" s="39"/>
      <c r="R666" s="39"/>
      <c r="S666" s="39"/>
      <c r="T666" s="39"/>
      <c r="U666" s="39"/>
    </row>
    <row r="667">
      <c r="A667" s="40">
        <f t="shared" si="1"/>
        <v>46006</v>
      </c>
      <c r="B667" s="37" t="str">
        <f t="array" ref="B667">iferror(xlookup($I667, 'IMPORT VHC Report'!$E:$E, 'IMPORT VHC Report'!$A:$C), )</f>
        <v/>
      </c>
      <c r="C667" s="37"/>
      <c r="D667" s="37"/>
      <c r="E667" s="38" t="s">
        <v>922</v>
      </c>
      <c r="F667" s="38" t="s">
        <v>901</v>
      </c>
      <c r="G667" s="38">
        <v>8.904451015951E12</v>
      </c>
      <c r="H667" s="38" t="s">
        <v>902</v>
      </c>
      <c r="I667" s="38" t="s">
        <v>903</v>
      </c>
      <c r="J667" s="38" t="s">
        <v>224</v>
      </c>
      <c r="K667" s="38" t="s">
        <v>63</v>
      </c>
      <c r="L667" s="41">
        <v>46008.041666666664</v>
      </c>
      <c r="M667" s="38" t="s">
        <v>123</v>
      </c>
      <c r="N667" s="41">
        <v>46008.104166666664</v>
      </c>
      <c r="O667" s="38" t="s">
        <v>123</v>
      </c>
      <c r="P667" s="38">
        <v>5400.0</v>
      </c>
      <c r="Q667" s="39"/>
      <c r="R667" s="39"/>
      <c r="S667" s="39"/>
      <c r="T667" s="39"/>
      <c r="U667" s="39"/>
    </row>
    <row r="668">
      <c r="A668" s="40">
        <f t="shared" si="1"/>
        <v>46006</v>
      </c>
      <c r="B668" s="37" t="str">
        <f t="array" ref="B668">iferror(xlookup($I668, 'IMPORT VHC Report'!$E:$E, 'IMPORT VHC Report'!$A:$C), )</f>
        <v/>
      </c>
      <c r="C668" s="37"/>
      <c r="D668" s="37"/>
      <c r="E668" s="38" t="s">
        <v>923</v>
      </c>
      <c r="F668" s="38" t="s">
        <v>901</v>
      </c>
      <c r="G668" s="38">
        <v>8.904451015951E12</v>
      </c>
      <c r="H668" s="38" t="s">
        <v>902</v>
      </c>
      <c r="I668" s="38" t="s">
        <v>903</v>
      </c>
      <c r="J668" s="38" t="s">
        <v>134</v>
      </c>
      <c r="K668" s="38" t="s">
        <v>126</v>
      </c>
      <c r="L668" s="41">
        <v>46008.104166666664</v>
      </c>
      <c r="M668" s="38" t="s">
        <v>123</v>
      </c>
      <c r="N668" s="41">
        <v>46008.114583333336</v>
      </c>
      <c r="O668" s="38" t="s">
        <v>123</v>
      </c>
      <c r="P668" s="38">
        <v>900.0</v>
      </c>
      <c r="Q668" s="39"/>
      <c r="R668" s="39"/>
      <c r="S668" s="39"/>
      <c r="T668" s="39"/>
      <c r="U668" s="39"/>
    </row>
    <row r="669">
      <c r="A669" s="40">
        <f t="shared" si="1"/>
        <v>46006</v>
      </c>
      <c r="B669" s="37" t="str">
        <f t="array" ref="B669">iferror(xlookup($I669, 'IMPORT VHC Report'!$E:$E, 'IMPORT VHC Report'!$A:$C), )</f>
        <v/>
      </c>
      <c r="C669" s="37"/>
      <c r="D669" s="37"/>
      <c r="E669" s="38" t="s">
        <v>924</v>
      </c>
      <c r="F669" s="38" t="s">
        <v>901</v>
      </c>
      <c r="G669" s="38">
        <v>8.904451015951E12</v>
      </c>
      <c r="H669" s="38" t="s">
        <v>902</v>
      </c>
      <c r="I669" s="38" t="s">
        <v>903</v>
      </c>
      <c r="J669" s="38" t="s">
        <v>224</v>
      </c>
      <c r="K669" s="38" t="s">
        <v>63</v>
      </c>
      <c r="L669" s="41">
        <v>46008.114583333336</v>
      </c>
      <c r="M669" s="38" t="s">
        <v>123</v>
      </c>
      <c r="N669" s="41">
        <v>46008.177083333336</v>
      </c>
      <c r="O669" s="38" t="s">
        <v>123</v>
      </c>
      <c r="P669" s="38">
        <v>5400.0</v>
      </c>
      <c r="Q669" s="39"/>
      <c r="R669" s="39"/>
      <c r="S669" s="39"/>
      <c r="T669" s="39"/>
      <c r="U669" s="39"/>
    </row>
    <row r="670">
      <c r="A670" s="40">
        <f t="shared" si="1"/>
        <v>46006</v>
      </c>
      <c r="B670" s="37" t="str">
        <f t="array" ref="B670">iferror(xlookup($I670, 'IMPORT VHC Report'!$E:$E, 'IMPORT VHC Report'!$A:$C), )</f>
        <v/>
      </c>
      <c r="C670" s="37"/>
      <c r="D670" s="37"/>
      <c r="E670" s="38" t="s">
        <v>925</v>
      </c>
      <c r="F670" s="38" t="s">
        <v>901</v>
      </c>
      <c r="G670" s="38">
        <v>8.904451015951E12</v>
      </c>
      <c r="H670" s="38" t="s">
        <v>902</v>
      </c>
      <c r="I670" s="38" t="s">
        <v>903</v>
      </c>
      <c r="J670" s="38" t="s">
        <v>132</v>
      </c>
      <c r="K670" s="38" t="s">
        <v>126</v>
      </c>
      <c r="L670" s="41">
        <v>46008.177083333336</v>
      </c>
      <c r="M670" s="38" t="s">
        <v>123</v>
      </c>
      <c r="N670" s="41">
        <v>46008.21875</v>
      </c>
      <c r="O670" s="38" t="s">
        <v>123</v>
      </c>
      <c r="P670" s="38">
        <v>3600.0</v>
      </c>
      <c r="Q670" s="39"/>
      <c r="R670" s="39"/>
      <c r="S670" s="39"/>
      <c r="T670" s="39"/>
      <c r="U670" s="39"/>
    </row>
    <row r="671">
      <c r="A671" s="40">
        <f t="shared" si="1"/>
        <v>46006</v>
      </c>
      <c r="B671" s="37" t="str">
        <f t="array" ref="B671">iferror(xlookup($I671, 'IMPORT VHC Report'!$E:$E, 'IMPORT VHC Report'!$A:$C), )</f>
        <v/>
      </c>
      <c r="C671" s="37"/>
      <c r="D671" s="37"/>
      <c r="E671" s="38" t="s">
        <v>926</v>
      </c>
      <c r="F671" s="38" t="s">
        <v>901</v>
      </c>
      <c r="G671" s="38">
        <v>8.904451015951E12</v>
      </c>
      <c r="H671" s="38" t="s">
        <v>902</v>
      </c>
      <c r="I671" s="38" t="s">
        <v>903</v>
      </c>
      <c r="J671" s="38" t="s">
        <v>224</v>
      </c>
      <c r="K671" s="38" t="s">
        <v>63</v>
      </c>
      <c r="L671" s="41">
        <v>46008.21875</v>
      </c>
      <c r="M671" s="38" t="s">
        <v>123</v>
      </c>
      <c r="N671" s="41">
        <v>46008.291666666664</v>
      </c>
      <c r="O671" s="38" t="s">
        <v>123</v>
      </c>
      <c r="P671" s="38">
        <v>6300.0</v>
      </c>
      <c r="Q671" s="39"/>
      <c r="R671" s="39"/>
      <c r="S671" s="39"/>
      <c r="T671" s="39"/>
      <c r="U671" s="39"/>
    </row>
    <row r="672">
      <c r="A672" s="40">
        <f t="shared" si="1"/>
        <v>46006</v>
      </c>
      <c r="B672" s="37" t="str">
        <f t="array" ref="B672">iferror(xlookup($I672, 'IMPORT VHC Report'!$E:$E, 'IMPORT VHC Report'!$A:$C), )</f>
        <v/>
      </c>
      <c r="C672" s="37"/>
      <c r="D672" s="37"/>
      <c r="E672" s="38" t="s">
        <v>927</v>
      </c>
      <c r="F672" s="38" t="s">
        <v>901</v>
      </c>
      <c r="G672" s="38">
        <v>8.904451015951E12</v>
      </c>
      <c r="H672" s="38" t="s">
        <v>902</v>
      </c>
      <c r="I672" s="38" t="s">
        <v>903</v>
      </c>
      <c r="J672" s="38" t="s">
        <v>136</v>
      </c>
      <c r="K672" s="38" t="s">
        <v>126</v>
      </c>
      <c r="L672" s="41">
        <v>46008.229166666664</v>
      </c>
      <c r="M672" s="38" t="s">
        <v>123</v>
      </c>
      <c r="N672" s="41">
        <v>46008.239583333336</v>
      </c>
      <c r="O672" s="38" t="s">
        <v>123</v>
      </c>
      <c r="P672" s="38">
        <v>900.0</v>
      </c>
      <c r="Q672" s="39"/>
      <c r="R672" s="39"/>
      <c r="S672" s="38" t="s">
        <v>778</v>
      </c>
      <c r="T672" s="39"/>
      <c r="U672" s="39"/>
    </row>
    <row r="673">
      <c r="A673" s="40">
        <f t="shared" si="1"/>
        <v>46006</v>
      </c>
      <c r="B673" s="37" t="str">
        <f t="array" ref="B673">iferror(xlookup($I673, 'IMPORT VHC Report'!$E:$E, 'IMPORT VHC Report'!$A:$C), )</f>
        <v/>
      </c>
      <c r="C673" s="37"/>
      <c r="D673" s="37"/>
      <c r="E673" s="38" t="s">
        <v>928</v>
      </c>
      <c r="F673" s="38" t="s">
        <v>901</v>
      </c>
      <c r="G673" s="38">
        <v>8.904451015951E12</v>
      </c>
      <c r="H673" s="38" t="s">
        <v>902</v>
      </c>
      <c r="I673" s="38" t="s">
        <v>903</v>
      </c>
      <c r="J673" s="38" t="s">
        <v>224</v>
      </c>
      <c r="K673" s="38" t="s">
        <v>63</v>
      </c>
      <c r="L673" s="41">
        <v>46008.916666666664</v>
      </c>
      <c r="M673" s="38" t="s">
        <v>123</v>
      </c>
      <c r="N673" s="41">
        <v>46009.020833333336</v>
      </c>
      <c r="O673" s="38" t="s">
        <v>123</v>
      </c>
      <c r="P673" s="38">
        <v>9000.0</v>
      </c>
      <c r="Q673" s="39"/>
      <c r="R673" s="39"/>
      <c r="S673" s="39"/>
      <c r="T673" s="39"/>
      <c r="U673" s="39"/>
    </row>
    <row r="674">
      <c r="A674" s="40">
        <f t="shared" si="1"/>
        <v>46006</v>
      </c>
      <c r="B674" s="37" t="str">
        <f t="array" ref="B674">iferror(xlookup($I674, 'IMPORT VHC Report'!$E:$E, 'IMPORT VHC Report'!$A:$C), )</f>
        <v/>
      </c>
      <c r="C674" s="37"/>
      <c r="D674" s="37"/>
      <c r="E674" s="38" t="s">
        <v>929</v>
      </c>
      <c r="F674" s="38" t="s">
        <v>901</v>
      </c>
      <c r="G674" s="38">
        <v>8.904451015951E12</v>
      </c>
      <c r="H674" s="38" t="s">
        <v>902</v>
      </c>
      <c r="I674" s="38" t="s">
        <v>903</v>
      </c>
      <c r="J674" s="38" t="s">
        <v>134</v>
      </c>
      <c r="K674" s="38" t="s">
        <v>126</v>
      </c>
      <c r="L674" s="41">
        <v>46009.020833333336</v>
      </c>
      <c r="M674" s="38" t="s">
        <v>123</v>
      </c>
      <c r="N674" s="41">
        <v>46009.03125</v>
      </c>
      <c r="O674" s="38" t="s">
        <v>123</v>
      </c>
      <c r="P674" s="38">
        <v>900.0</v>
      </c>
      <c r="Q674" s="39"/>
      <c r="R674" s="39"/>
      <c r="S674" s="39"/>
      <c r="T674" s="39"/>
      <c r="U674" s="39"/>
    </row>
    <row r="675">
      <c r="A675" s="40">
        <f t="shared" si="1"/>
        <v>46006</v>
      </c>
      <c r="B675" s="37" t="str">
        <f t="array" ref="B675">iferror(xlookup($I675, 'IMPORT VHC Report'!$E:$E, 'IMPORT VHC Report'!$A:$C), )</f>
        <v/>
      </c>
      <c r="C675" s="37"/>
      <c r="D675" s="37"/>
      <c r="E675" s="38" t="s">
        <v>930</v>
      </c>
      <c r="F675" s="38" t="s">
        <v>901</v>
      </c>
      <c r="G675" s="38">
        <v>8.904451015951E12</v>
      </c>
      <c r="H675" s="38" t="s">
        <v>902</v>
      </c>
      <c r="I675" s="38" t="s">
        <v>903</v>
      </c>
      <c r="J675" s="38" t="s">
        <v>224</v>
      </c>
      <c r="K675" s="38" t="s">
        <v>63</v>
      </c>
      <c r="L675" s="41">
        <v>46009.03125</v>
      </c>
      <c r="M675" s="38" t="s">
        <v>123</v>
      </c>
      <c r="N675" s="41">
        <v>46009.291666666664</v>
      </c>
      <c r="O675" s="38" t="s">
        <v>123</v>
      </c>
      <c r="P675" s="38">
        <v>22500.0</v>
      </c>
      <c r="Q675" s="39"/>
      <c r="R675" s="39"/>
      <c r="S675" s="39"/>
      <c r="T675" s="39"/>
      <c r="U675" s="39"/>
    </row>
    <row r="676">
      <c r="A676" s="40">
        <f t="shared" si="1"/>
        <v>46006</v>
      </c>
      <c r="B676" s="37" t="str">
        <f t="array" ref="B676">iferror(xlookup($I676, 'IMPORT VHC Report'!$E:$E, 'IMPORT VHC Report'!$A:$C), )</f>
        <v/>
      </c>
      <c r="C676" s="37"/>
      <c r="D676" s="37"/>
      <c r="E676" s="38" t="s">
        <v>931</v>
      </c>
      <c r="F676" s="38" t="s">
        <v>901</v>
      </c>
      <c r="G676" s="38">
        <v>8.904451015951E12</v>
      </c>
      <c r="H676" s="38" t="s">
        <v>902</v>
      </c>
      <c r="I676" s="38" t="s">
        <v>903</v>
      </c>
      <c r="J676" s="38" t="s">
        <v>132</v>
      </c>
      <c r="K676" s="38" t="s">
        <v>126</v>
      </c>
      <c r="L676" s="41">
        <v>46009.104166666664</v>
      </c>
      <c r="M676" s="38" t="s">
        <v>123</v>
      </c>
      <c r="N676" s="41">
        <v>46009.145833333336</v>
      </c>
      <c r="O676" s="38" t="s">
        <v>123</v>
      </c>
      <c r="P676" s="38">
        <v>3600.0</v>
      </c>
      <c r="Q676" s="39"/>
      <c r="R676" s="39"/>
      <c r="S676" s="39"/>
      <c r="T676" s="39"/>
      <c r="U676" s="39"/>
    </row>
    <row r="677">
      <c r="A677" s="40">
        <f t="shared" si="1"/>
        <v>46006</v>
      </c>
      <c r="B677" s="37" t="str">
        <f t="array" ref="B677">iferror(xlookup($I677, 'IMPORT VHC Report'!$E:$E, 'IMPORT VHC Report'!$A:$C), )</f>
        <v/>
      </c>
      <c r="C677" s="37"/>
      <c r="D677" s="37"/>
      <c r="E677" s="38" t="s">
        <v>932</v>
      </c>
      <c r="F677" s="38" t="s">
        <v>901</v>
      </c>
      <c r="G677" s="38">
        <v>8.904451015951E12</v>
      </c>
      <c r="H677" s="38" t="s">
        <v>902</v>
      </c>
      <c r="I677" s="38" t="s">
        <v>903</v>
      </c>
      <c r="J677" s="38" t="s">
        <v>134</v>
      </c>
      <c r="K677" s="38" t="s">
        <v>126</v>
      </c>
      <c r="L677" s="41">
        <v>46009.208333333336</v>
      </c>
      <c r="M677" s="38" t="s">
        <v>123</v>
      </c>
      <c r="N677" s="41">
        <v>46009.21875</v>
      </c>
      <c r="O677" s="38" t="s">
        <v>123</v>
      </c>
      <c r="P677" s="38">
        <v>900.0</v>
      </c>
      <c r="Q677" s="39"/>
      <c r="R677" s="39"/>
      <c r="S677" s="39"/>
      <c r="T677" s="39"/>
      <c r="U677" s="39"/>
    </row>
    <row r="678">
      <c r="A678" s="40">
        <f t="shared" si="1"/>
        <v>46006</v>
      </c>
      <c r="B678" s="37" t="str">
        <f t="array" ref="B678">iferror(xlookup($I678, 'IMPORT VHC Report'!$E:$E, 'IMPORT VHC Report'!$A:$C), )</f>
        <v/>
      </c>
      <c r="C678" s="37"/>
      <c r="D678" s="37"/>
      <c r="E678" s="38" t="s">
        <v>933</v>
      </c>
      <c r="F678" s="38" t="s">
        <v>901</v>
      </c>
      <c r="G678" s="38">
        <v>8.904451015951E12</v>
      </c>
      <c r="H678" s="38" t="s">
        <v>902</v>
      </c>
      <c r="I678" s="38" t="s">
        <v>903</v>
      </c>
      <c r="J678" s="38" t="s">
        <v>224</v>
      </c>
      <c r="K678" s="38" t="s">
        <v>63</v>
      </c>
      <c r="L678" s="41">
        <v>46009.916666666664</v>
      </c>
      <c r="M678" s="38" t="s">
        <v>123</v>
      </c>
      <c r="N678" s="41">
        <v>46010.010416666664</v>
      </c>
      <c r="O678" s="38" t="s">
        <v>123</v>
      </c>
      <c r="P678" s="38">
        <v>8100.0</v>
      </c>
      <c r="Q678" s="39"/>
      <c r="R678" s="39"/>
      <c r="S678" s="39"/>
      <c r="T678" s="39"/>
      <c r="U678" s="39"/>
    </row>
    <row r="679">
      <c r="A679" s="40">
        <f t="shared" si="1"/>
        <v>46006</v>
      </c>
      <c r="B679" s="37" t="str">
        <f t="array" ref="B679">iferror(xlookup($I679, 'IMPORT VHC Report'!$E:$E, 'IMPORT VHC Report'!$A:$C), )</f>
        <v/>
      </c>
      <c r="C679" s="37"/>
      <c r="D679" s="37"/>
      <c r="E679" s="38" t="s">
        <v>934</v>
      </c>
      <c r="F679" s="38" t="s">
        <v>901</v>
      </c>
      <c r="G679" s="38">
        <v>8.904451015951E12</v>
      </c>
      <c r="H679" s="38" t="s">
        <v>902</v>
      </c>
      <c r="I679" s="38" t="s">
        <v>903</v>
      </c>
      <c r="J679" s="38" t="s">
        <v>152</v>
      </c>
      <c r="K679" s="38" t="s">
        <v>153</v>
      </c>
      <c r="L679" s="41">
        <v>46009.916666666664</v>
      </c>
      <c r="M679" s="38" t="s">
        <v>123</v>
      </c>
      <c r="N679" s="41">
        <v>46010.25</v>
      </c>
      <c r="O679" s="38" t="s">
        <v>123</v>
      </c>
      <c r="P679" s="38">
        <v>28800.0</v>
      </c>
      <c r="Q679" s="38">
        <v>28800.0</v>
      </c>
      <c r="R679" s="39"/>
      <c r="S679" s="39"/>
      <c r="T679" s="39"/>
      <c r="U679" s="39"/>
    </row>
    <row r="680">
      <c r="A680" s="40">
        <f t="shared" si="1"/>
        <v>46006</v>
      </c>
      <c r="B680" s="37" t="str">
        <f t="array" ref="B680">iferror(xlookup($I680, 'IMPORT VHC Report'!$E:$E, 'IMPORT VHC Report'!$A:$C), )</f>
        <v/>
      </c>
      <c r="C680" s="37"/>
      <c r="D680" s="37"/>
      <c r="E680" s="38" t="s">
        <v>935</v>
      </c>
      <c r="F680" s="38" t="s">
        <v>901</v>
      </c>
      <c r="G680" s="38">
        <v>8.904451015951E12</v>
      </c>
      <c r="H680" s="38" t="s">
        <v>902</v>
      </c>
      <c r="I680" s="38" t="s">
        <v>903</v>
      </c>
      <c r="J680" s="38" t="s">
        <v>134</v>
      </c>
      <c r="K680" s="38" t="s">
        <v>126</v>
      </c>
      <c r="L680" s="41">
        <v>46010.010416666664</v>
      </c>
      <c r="M680" s="38" t="s">
        <v>123</v>
      </c>
      <c r="N680" s="41">
        <v>46010.020833333336</v>
      </c>
      <c r="O680" s="38" t="s">
        <v>123</v>
      </c>
      <c r="P680" s="38">
        <v>900.0</v>
      </c>
      <c r="Q680" s="39"/>
      <c r="R680" s="39"/>
      <c r="S680" s="39"/>
      <c r="T680" s="39"/>
      <c r="U680" s="39"/>
    </row>
    <row r="681">
      <c r="A681" s="40">
        <f t="shared" si="1"/>
        <v>46006</v>
      </c>
      <c r="B681" s="37" t="str">
        <f t="array" ref="B681">iferror(xlookup($I681, 'IMPORT VHC Report'!$E:$E, 'IMPORT VHC Report'!$A:$C), )</f>
        <v/>
      </c>
      <c r="C681" s="37"/>
      <c r="D681" s="37"/>
      <c r="E681" s="38" t="s">
        <v>936</v>
      </c>
      <c r="F681" s="38" t="s">
        <v>901</v>
      </c>
      <c r="G681" s="38">
        <v>8.904451015951E12</v>
      </c>
      <c r="H681" s="38" t="s">
        <v>902</v>
      </c>
      <c r="I681" s="38" t="s">
        <v>903</v>
      </c>
      <c r="J681" s="38" t="s">
        <v>224</v>
      </c>
      <c r="K681" s="38" t="s">
        <v>63</v>
      </c>
      <c r="L681" s="41">
        <v>46010.020833333336</v>
      </c>
      <c r="M681" s="38" t="s">
        <v>123</v>
      </c>
      <c r="N681" s="41">
        <v>46010.09375</v>
      </c>
      <c r="O681" s="38" t="s">
        <v>123</v>
      </c>
      <c r="P681" s="38">
        <v>6300.0</v>
      </c>
      <c r="Q681" s="39"/>
      <c r="R681" s="39"/>
      <c r="S681" s="39"/>
      <c r="T681" s="39"/>
      <c r="U681" s="39"/>
    </row>
    <row r="682">
      <c r="A682" s="40">
        <f t="shared" si="1"/>
        <v>46006</v>
      </c>
      <c r="B682" s="37" t="str">
        <f t="array" ref="B682">iferror(xlookup($I682, 'IMPORT VHC Report'!$E:$E, 'IMPORT VHC Report'!$A:$C), )</f>
        <v/>
      </c>
      <c r="C682" s="37"/>
      <c r="D682" s="37"/>
      <c r="E682" s="38" t="s">
        <v>937</v>
      </c>
      <c r="F682" s="38" t="s">
        <v>901</v>
      </c>
      <c r="G682" s="38">
        <v>8.904451015951E12</v>
      </c>
      <c r="H682" s="38" t="s">
        <v>902</v>
      </c>
      <c r="I682" s="38" t="s">
        <v>903</v>
      </c>
      <c r="J682" s="38" t="s">
        <v>132</v>
      </c>
      <c r="K682" s="38" t="s">
        <v>126</v>
      </c>
      <c r="L682" s="41">
        <v>46010.09375</v>
      </c>
      <c r="M682" s="38" t="s">
        <v>123</v>
      </c>
      <c r="N682" s="41">
        <v>46010.135416666664</v>
      </c>
      <c r="O682" s="38" t="s">
        <v>123</v>
      </c>
      <c r="P682" s="38">
        <v>3600.0</v>
      </c>
      <c r="Q682" s="39"/>
      <c r="R682" s="39"/>
      <c r="S682" s="39"/>
      <c r="T682" s="39"/>
      <c r="U682" s="39"/>
    </row>
    <row r="683">
      <c r="A683" s="40">
        <f t="shared" si="1"/>
        <v>46006</v>
      </c>
      <c r="B683" s="37" t="str">
        <f t="array" ref="B683">iferror(xlookup($I683, 'IMPORT VHC Report'!$E:$E, 'IMPORT VHC Report'!$A:$C), )</f>
        <v/>
      </c>
      <c r="C683" s="37"/>
      <c r="D683" s="37"/>
      <c r="E683" s="38" t="s">
        <v>938</v>
      </c>
      <c r="F683" s="38" t="s">
        <v>901</v>
      </c>
      <c r="G683" s="38">
        <v>8.904451015951E12</v>
      </c>
      <c r="H683" s="38" t="s">
        <v>902</v>
      </c>
      <c r="I683" s="38" t="s">
        <v>903</v>
      </c>
      <c r="J683" s="38" t="s">
        <v>224</v>
      </c>
      <c r="K683" s="38" t="s">
        <v>63</v>
      </c>
      <c r="L683" s="41">
        <v>46010.135416666664</v>
      </c>
      <c r="M683" s="38" t="s">
        <v>123</v>
      </c>
      <c r="N683" s="41">
        <v>46010.197916666664</v>
      </c>
      <c r="O683" s="38" t="s">
        <v>123</v>
      </c>
      <c r="P683" s="38">
        <v>5400.0</v>
      </c>
      <c r="Q683" s="39"/>
      <c r="R683" s="39"/>
      <c r="S683" s="39"/>
      <c r="T683" s="39"/>
      <c r="U683" s="39"/>
    </row>
    <row r="684">
      <c r="A684" s="40">
        <f t="shared" si="1"/>
        <v>46006</v>
      </c>
      <c r="B684" s="37" t="str">
        <f t="array" ref="B684">iferror(xlookup($I684, 'IMPORT VHC Report'!$E:$E, 'IMPORT VHC Report'!$A:$C), )</f>
        <v/>
      </c>
      <c r="C684" s="37"/>
      <c r="D684" s="37"/>
      <c r="E684" s="38" t="s">
        <v>939</v>
      </c>
      <c r="F684" s="38" t="s">
        <v>901</v>
      </c>
      <c r="G684" s="38">
        <v>8.904451015951E12</v>
      </c>
      <c r="H684" s="38" t="s">
        <v>902</v>
      </c>
      <c r="I684" s="38" t="s">
        <v>903</v>
      </c>
      <c r="J684" s="38" t="s">
        <v>134</v>
      </c>
      <c r="K684" s="38" t="s">
        <v>126</v>
      </c>
      <c r="L684" s="41">
        <v>46010.197916666664</v>
      </c>
      <c r="M684" s="38" t="s">
        <v>123</v>
      </c>
      <c r="N684" s="41">
        <v>46010.208333333336</v>
      </c>
      <c r="O684" s="38" t="s">
        <v>123</v>
      </c>
      <c r="P684" s="38">
        <v>900.0</v>
      </c>
      <c r="Q684" s="39"/>
      <c r="R684" s="39"/>
      <c r="S684" s="39"/>
      <c r="T684" s="39"/>
      <c r="U684" s="39"/>
    </row>
    <row r="685">
      <c r="A685" s="40">
        <f t="shared" si="1"/>
        <v>46006</v>
      </c>
      <c r="B685" s="37" t="str">
        <f t="array" ref="B685">iferror(xlookup($I685, 'IMPORT VHC Report'!$E:$E, 'IMPORT VHC Report'!$A:$C), )</f>
        <v/>
      </c>
      <c r="C685" s="37"/>
      <c r="D685" s="37"/>
      <c r="E685" s="38" t="s">
        <v>940</v>
      </c>
      <c r="F685" s="38" t="s">
        <v>901</v>
      </c>
      <c r="G685" s="38">
        <v>8.904451015951E12</v>
      </c>
      <c r="H685" s="38" t="s">
        <v>902</v>
      </c>
      <c r="I685" s="38" t="s">
        <v>903</v>
      </c>
      <c r="J685" s="38" t="s">
        <v>224</v>
      </c>
      <c r="K685" s="38" t="s">
        <v>63</v>
      </c>
      <c r="L685" s="41">
        <v>46010.208333333336</v>
      </c>
      <c r="M685" s="38" t="s">
        <v>123</v>
      </c>
      <c r="N685" s="41">
        <v>46010.25</v>
      </c>
      <c r="O685" s="38" t="s">
        <v>123</v>
      </c>
      <c r="P685" s="38">
        <v>3600.0</v>
      </c>
      <c r="Q685" s="39"/>
      <c r="R685" s="39"/>
      <c r="S685" s="39"/>
      <c r="T685" s="39"/>
      <c r="U685" s="39"/>
    </row>
    <row r="686">
      <c r="A686" s="40">
        <f t="shared" si="1"/>
        <v>46006</v>
      </c>
      <c r="B686" s="37" t="str">
        <f t="array" ref="B686">iferror(xlookup($I686, 'IMPORT VHC Report'!$E:$E, 'IMPORT VHC Report'!$A:$C), )</f>
        <v/>
      </c>
      <c r="C686" s="37"/>
      <c r="D686" s="37"/>
      <c r="E686" s="38" t="s">
        <v>941</v>
      </c>
      <c r="F686" s="38" t="s">
        <v>901</v>
      </c>
      <c r="G686" s="38">
        <v>8.904451015951E12</v>
      </c>
      <c r="H686" s="38" t="s">
        <v>902</v>
      </c>
      <c r="I686" s="38" t="s">
        <v>903</v>
      </c>
      <c r="J686" s="38" t="s">
        <v>224</v>
      </c>
      <c r="K686" s="38" t="s">
        <v>63</v>
      </c>
      <c r="L686" s="41">
        <v>46012.916666666664</v>
      </c>
      <c r="M686" s="38" t="s">
        <v>123</v>
      </c>
      <c r="N686" s="41">
        <v>46012.9375</v>
      </c>
      <c r="O686" s="38" t="s">
        <v>123</v>
      </c>
      <c r="P686" s="38">
        <v>1800.0</v>
      </c>
      <c r="Q686" s="39"/>
      <c r="R686" s="39"/>
      <c r="S686" s="39"/>
      <c r="T686" s="39"/>
      <c r="U686" s="39"/>
    </row>
    <row r="687">
      <c r="A687" s="40">
        <f t="shared" si="1"/>
        <v>46006</v>
      </c>
      <c r="B687" s="37" t="str">
        <f t="array" ref="B687">iferror(xlookup($I687, 'IMPORT VHC Report'!$E:$E, 'IMPORT VHC Report'!$A:$C), )</f>
        <v/>
      </c>
      <c r="C687" s="37"/>
      <c r="D687" s="37"/>
      <c r="E687" s="38" t="s">
        <v>942</v>
      </c>
      <c r="F687" s="38" t="s">
        <v>901</v>
      </c>
      <c r="G687" s="38">
        <v>8.904451015951E12</v>
      </c>
      <c r="H687" s="38" t="s">
        <v>902</v>
      </c>
      <c r="I687" s="38" t="s">
        <v>903</v>
      </c>
      <c r="J687" s="38" t="s">
        <v>330</v>
      </c>
      <c r="K687" s="38" t="s">
        <v>126</v>
      </c>
      <c r="L687" s="41">
        <v>46012.9375</v>
      </c>
      <c r="M687" s="38" t="s">
        <v>123</v>
      </c>
      <c r="N687" s="41">
        <v>46012.947916666664</v>
      </c>
      <c r="O687" s="38" t="s">
        <v>123</v>
      </c>
      <c r="P687" s="38">
        <v>900.0</v>
      </c>
      <c r="Q687" s="39"/>
      <c r="R687" s="39"/>
      <c r="S687" s="39"/>
      <c r="T687" s="39"/>
      <c r="U687" s="39"/>
    </row>
    <row r="688">
      <c r="A688" s="40">
        <f t="shared" si="1"/>
        <v>46006</v>
      </c>
      <c r="B688" s="37" t="str">
        <f t="array" ref="B688">iferror(xlookup($I688, 'IMPORT VHC Report'!$E:$E, 'IMPORT VHC Report'!$A:$C), )</f>
        <v/>
      </c>
      <c r="C688" s="37"/>
      <c r="D688" s="37"/>
      <c r="E688" s="38" t="s">
        <v>943</v>
      </c>
      <c r="F688" s="38" t="s">
        <v>901</v>
      </c>
      <c r="G688" s="38">
        <v>8.904451015951E12</v>
      </c>
      <c r="H688" s="38" t="s">
        <v>902</v>
      </c>
      <c r="I688" s="38" t="s">
        <v>903</v>
      </c>
      <c r="J688" s="38" t="s">
        <v>224</v>
      </c>
      <c r="K688" s="38" t="s">
        <v>63</v>
      </c>
      <c r="L688" s="41">
        <v>46012.947916666664</v>
      </c>
      <c r="M688" s="38" t="s">
        <v>123</v>
      </c>
      <c r="N688" s="41">
        <v>46012.979166666664</v>
      </c>
      <c r="O688" s="38" t="s">
        <v>123</v>
      </c>
      <c r="P688" s="38">
        <v>2700.0</v>
      </c>
      <c r="Q688" s="39"/>
      <c r="R688" s="39"/>
      <c r="S688" s="39"/>
      <c r="T688" s="39"/>
      <c r="U688" s="39"/>
    </row>
    <row r="689">
      <c r="A689" s="40">
        <f t="shared" si="1"/>
        <v>46006</v>
      </c>
      <c r="B689" s="37" t="str">
        <f t="array" ref="B689">iferror(xlookup($I689, 'IMPORT VHC Report'!$E:$E, 'IMPORT VHC Report'!$A:$C), )</f>
        <v/>
      </c>
      <c r="C689" s="37"/>
      <c r="D689" s="37"/>
      <c r="E689" s="38" t="s">
        <v>944</v>
      </c>
      <c r="F689" s="38" t="s">
        <v>901</v>
      </c>
      <c r="G689" s="38">
        <v>8.904451015951E12</v>
      </c>
      <c r="H689" s="38" t="s">
        <v>902</v>
      </c>
      <c r="I689" s="38" t="s">
        <v>903</v>
      </c>
      <c r="J689" s="38" t="s">
        <v>134</v>
      </c>
      <c r="K689" s="38" t="s">
        <v>126</v>
      </c>
      <c r="L689" s="41">
        <v>46012.979166666664</v>
      </c>
      <c r="M689" s="38" t="s">
        <v>123</v>
      </c>
      <c r="N689" s="41">
        <v>46012.989583333336</v>
      </c>
      <c r="O689" s="38" t="s">
        <v>123</v>
      </c>
      <c r="P689" s="38">
        <v>900.0</v>
      </c>
      <c r="Q689" s="39"/>
      <c r="R689" s="39"/>
      <c r="S689" s="39"/>
      <c r="T689" s="39"/>
      <c r="U689" s="39"/>
    </row>
    <row r="690">
      <c r="A690" s="40">
        <f t="shared" si="1"/>
        <v>46006</v>
      </c>
      <c r="B690" s="37" t="str">
        <f t="array" ref="B690">iferror(xlookup($I690, 'IMPORT VHC Report'!$E:$E, 'IMPORT VHC Report'!$A:$C), )</f>
        <v/>
      </c>
      <c r="C690" s="37"/>
      <c r="D690" s="37"/>
      <c r="E690" s="38" t="s">
        <v>945</v>
      </c>
      <c r="F690" s="38" t="s">
        <v>901</v>
      </c>
      <c r="G690" s="38">
        <v>8.904451015951E12</v>
      </c>
      <c r="H690" s="38" t="s">
        <v>902</v>
      </c>
      <c r="I690" s="38" t="s">
        <v>903</v>
      </c>
      <c r="J690" s="38" t="s">
        <v>224</v>
      </c>
      <c r="K690" s="38" t="s">
        <v>63</v>
      </c>
      <c r="L690" s="41">
        <v>46012.989583333336</v>
      </c>
      <c r="M690" s="38" t="s">
        <v>123</v>
      </c>
      <c r="N690" s="41">
        <v>46013.21875</v>
      </c>
      <c r="O690" s="38" t="s">
        <v>123</v>
      </c>
      <c r="P690" s="38">
        <v>19800.0</v>
      </c>
      <c r="Q690" s="39"/>
      <c r="R690" s="39"/>
      <c r="S690" s="39"/>
      <c r="T690" s="39"/>
      <c r="U690" s="39"/>
    </row>
    <row r="691">
      <c r="A691" s="40">
        <f t="shared" si="1"/>
        <v>45999</v>
      </c>
      <c r="B691" s="37" t="str">
        <f t="array" ref="B691">iferror(xlookup($I691, 'IMPORT VHC Report'!$E:$E, 'IMPORT VHC Report'!$A:$C), )</f>
        <v/>
      </c>
      <c r="C691" s="37"/>
      <c r="D691" s="37"/>
      <c r="E691" s="38" t="s">
        <v>946</v>
      </c>
      <c r="F691" s="38" t="s">
        <v>947</v>
      </c>
      <c r="G691" s="38">
        <v>3.61744117796E11</v>
      </c>
      <c r="H691" s="38" t="s">
        <v>948</v>
      </c>
      <c r="I691" s="38" t="s">
        <v>949</v>
      </c>
      <c r="J691" s="38" t="s">
        <v>332</v>
      </c>
      <c r="K691" s="38" t="s">
        <v>63</v>
      </c>
      <c r="L691" s="41">
        <v>46005.958333333336</v>
      </c>
      <c r="M691" s="38" t="s">
        <v>123</v>
      </c>
      <c r="N691" s="41">
        <v>46006.333333333336</v>
      </c>
      <c r="O691" s="38" t="s">
        <v>123</v>
      </c>
      <c r="P691" s="38">
        <v>32400.0</v>
      </c>
      <c r="Q691" s="39"/>
      <c r="R691" s="39"/>
      <c r="S691" s="39"/>
      <c r="T691" s="39"/>
      <c r="U691" s="39"/>
    </row>
    <row r="692">
      <c r="A692" s="40">
        <f t="shared" si="1"/>
        <v>46006</v>
      </c>
      <c r="B692" s="37" t="str">
        <f t="array" ref="B692">iferror(xlookup($I692, 'IMPORT VHC Report'!$E:$E, 'IMPORT VHC Report'!$A:$C), )</f>
        <v/>
      </c>
      <c r="C692" s="37"/>
      <c r="D692" s="37"/>
      <c r="E692" s="38" t="s">
        <v>950</v>
      </c>
      <c r="F692" s="38" t="s">
        <v>947</v>
      </c>
      <c r="G692" s="38">
        <v>3.61744117796E11</v>
      </c>
      <c r="H692" s="38" t="s">
        <v>948</v>
      </c>
      <c r="I692" s="38" t="s">
        <v>949</v>
      </c>
      <c r="J692" s="38" t="s">
        <v>132</v>
      </c>
      <c r="K692" s="38" t="s">
        <v>126</v>
      </c>
      <c r="L692" s="41">
        <v>46006.072916666664</v>
      </c>
      <c r="M692" s="38" t="s">
        <v>123</v>
      </c>
      <c r="N692" s="41">
        <v>46006.114583333336</v>
      </c>
      <c r="O692" s="38" t="s">
        <v>123</v>
      </c>
      <c r="P692" s="38">
        <v>3600.0</v>
      </c>
      <c r="Q692" s="39"/>
      <c r="R692" s="39"/>
      <c r="S692" s="39"/>
      <c r="T692" s="39"/>
      <c r="U692" s="39"/>
    </row>
    <row r="693">
      <c r="A693" s="40">
        <f t="shared" si="1"/>
        <v>46006</v>
      </c>
      <c r="B693" s="37" t="str">
        <f t="array" ref="B693">iferror(xlookup($I693, 'IMPORT VHC Report'!$E:$E, 'IMPORT VHC Report'!$A:$C), )</f>
        <v/>
      </c>
      <c r="C693" s="37"/>
      <c r="D693" s="37"/>
      <c r="E693" s="38" t="s">
        <v>951</v>
      </c>
      <c r="F693" s="38" t="s">
        <v>947</v>
      </c>
      <c r="G693" s="38">
        <v>3.61744117796E11</v>
      </c>
      <c r="H693" s="38" t="s">
        <v>948</v>
      </c>
      <c r="I693" s="38" t="s">
        <v>949</v>
      </c>
      <c r="J693" s="38" t="s">
        <v>134</v>
      </c>
      <c r="K693" s="38" t="s">
        <v>126</v>
      </c>
      <c r="L693" s="41">
        <v>46006.270833333336</v>
      </c>
      <c r="M693" s="38" t="s">
        <v>123</v>
      </c>
      <c r="N693" s="41">
        <v>46006.291666666664</v>
      </c>
      <c r="O693" s="38" t="s">
        <v>123</v>
      </c>
      <c r="P693" s="38">
        <v>1800.0</v>
      </c>
      <c r="Q693" s="39"/>
      <c r="R693" s="39"/>
      <c r="S693" s="39"/>
      <c r="T693" s="39"/>
      <c r="U693" s="39"/>
    </row>
    <row r="694">
      <c r="A694" s="40">
        <f t="shared" si="1"/>
        <v>46006</v>
      </c>
      <c r="B694" s="37" t="str">
        <f t="array" ref="B694">iferror(xlookup($I694, 'IMPORT VHC Report'!$E:$E, 'IMPORT VHC Report'!$A:$C), )</f>
        <v/>
      </c>
      <c r="C694" s="37"/>
      <c r="D694" s="37"/>
      <c r="E694" s="38" t="s">
        <v>952</v>
      </c>
      <c r="F694" s="38" t="s">
        <v>947</v>
      </c>
      <c r="G694" s="38">
        <v>3.61744117796E11</v>
      </c>
      <c r="H694" s="38" t="s">
        <v>948</v>
      </c>
      <c r="I694" s="38" t="s">
        <v>949</v>
      </c>
      <c r="J694" s="38" t="s">
        <v>330</v>
      </c>
      <c r="K694" s="38" t="s">
        <v>126</v>
      </c>
      <c r="L694" s="41">
        <v>46006.958333333336</v>
      </c>
      <c r="M694" s="38" t="s">
        <v>123</v>
      </c>
      <c r="N694" s="41">
        <v>46006.96527777778</v>
      </c>
      <c r="O694" s="38" t="s">
        <v>123</v>
      </c>
      <c r="P694" s="38">
        <v>600.0</v>
      </c>
      <c r="Q694" s="39"/>
      <c r="R694" s="39"/>
      <c r="S694" s="39"/>
      <c r="T694" s="39"/>
      <c r="U694" s="39"/>
    </row>
    <row r="695">
      <c r="A695" s="40">
        <f t="shared" si="1"/>
        <v>46006</v>
      </c>
      <c r="B695" s="37" t="str">
        <f t="array" ref="B695">iferror(xlookup($I695, 'IMPORT VHC Report'!$E:$E, 'IMPORT VHC Report'!$A:$C), )</f>
        <v/>
      </c>
      <c r="C695" s="37"/>
      <c r="D695" s="37"/>
      <c r="E695" s="38" t="s">
        <v>953</v>
      </c>
      <c r="F695" s="38" t="s">
        <v>947</v>
      </c>
      <c r="G695" s="38">
        <v>3.61744117796E11</v>
      </c>
      <c r="H695" s="38" t="s">
        <v>948</v>
      </c>
      <c r="I695" s="38" t="s">
        <v>949</v>
      </c>
      <c r="J695" s="38" t="s">
        <v>332</v>
      </c>
      <c r="K695" s="38" t="s">
        <v>63</v>
      </c>
      <c r="L695" s="41">
        <v>46006.958333333336</v>
      </c>
      <c r="M695" s="38" t="s">
        <v>123</v>
      </c>
      <c r="N695" s="41">
        <v>46007.333333333336</v>
      </c>
      <c r="O695" s="38" t="s">
        <v>123</v>
      </c>
      <c r="P695" s="38">
        <v>32400.0</v>
      </c>
      <c r="Q695" s="39"/>
      <c r="R695" s="39"/>
      <c r="S695" s="39"/>
      <c r="T695" s="39"/>
      <c r="U695" s="39"/>
    </row>
    <row r="696">
      <c r="A696" s="40">
        <f t="shared" si="1"/>
        <v>46006</v>
      </c>
      <c r="B696" s="37" t="str">
        <f t="array" ref="B696">iferror(xlookup($I696, 'IMPORT VHC Report'!$E:$E, 'IMPORT VHC Report'!$A:$C), )</f>
        <v/>
      </c>
      <c r="C696" s="37"/>
      <c r="D696" s="37"/>
      <c r="E696" s="38" t="s">
        <v>954</v>
      </c>
      <c r="F696" s="38" t="s">
        <v>947</v>
      </c>
      <c r="G696" s="38">
        <v>3.61744117796E11</v>
      </c>
      <c r="H696" s="38" t="s">
        <v>948</v>
      </c>
      <c r="I696" s="38" t="s">
        <v>949</v>
      </c>
      <c r="J696" s="38" t="s">
        <v>125</v>
      </c>
      <c r="K696" s="38" t="s">
        <v>126</v>
      </c>
      <c r="L696" s="41">
        <v>46007.0</v>
      </c>
      <c r="M696" s="38" t="s">
        <v>123</v>
      </c>
      <c r="N696" s="41">
        <v>46007.083333333336</v>
      </c>
      <c r="O696" s="38" t="s">
        <v>123</v>
      </c>
      <c r="P696" s="38">
        <v>7200.0</v>
      </c>
      <c r="Q696" s="39"/>
      <c r="R696" s="39"/>
      <c r="S696" s="38" t="s">
        <v>394</v>
      </c>
      <c r="T696" s="39"/>
      <c r="U696" s="39"/>
    </row>
    <row r="697">
      <c r="A697" s="40">
        <f t="shared" si="1"/>
        <v>46006</v>
      </c>
      <c r="B697" s="37" t="str">
        <f t="array" ref="B697">iferror(xlookup($I697, 'IMPORT VHC Report'!$E:$E, 'IMPORT VHC Report'!$A:$C), )</f>
        <v/>
      </c>
      <c r="C697" s="37"/>
      <c r="D697" s="37"/>
      <c r="E697" s="38" t="s">
        <v>955</v>
      </c>
      <c r="F697" s="38" t="s">
        <v>947</v>
      </c>
      <c r="G697" s="38">
        <v>3.61744117796E11</v>
      </c>
      <c r="H697" s="38" t="s">
        <v>948</v>
      </c>
      <c r="I697" s="38" t="s">
        <v>949</v>
      </c>
      <c r="J697" s="38" t="s">
        <v>134</v>
      </c>
      <c r="K697" s="38" t="s">
        <v>126</v>
      </c>
      <c r="L697" s="41">
        <v>46007.083333333336</v>
      </c>
      <c r="M697" s="38" t="s">
        <v>123</v>
      </c>
      <c r="N697" s="41">
        <v>46007.104166666664</v>
      </c>
      <c r="O697" s="38" t="s">
        <v>123</v>
      </c>
      <c r="P697" s="38">
        <v>1800.0</v>
      </c>
      <c r="Q697" s="39"/>
      <c r="R697" s="39"/>
      <c r="S697" s="39"/>
      <c r="T697" s="39"/>
      <c r="U697" s="39"/>
    </row>
    <row r="698">
      <c r="A698" s="40">
        <f t="shared" si="1"/>
        <v>46006</v>
      </c>
      <c r="B698" s="37" t="str">
        <f t="array" ref="B698">iferror(xlookup($I698, 'IMPORT VHC Report'!$E:$E, 'IMPORT VHC Report'!$A:$C), )</f>
        <v/>
      </c>
      <c r="C698" s="37"/>
      <c r="D698" s="37"/>
      <c r="E698" s="38" t="s">
        <v>956</v>
      </c>
      <c r="F698" s="38" t="s">
        <v>947</v>
      </c>
      <c r="G698" s="38">
        <v>3.61744117796E11</v>
      </c>
      <c r="H698" s="38" t="s">
        <v>948</v>
      </c>
      <c r="I698" s="38" t="s">
        <v>949</v>
      </c>
      <c r="J698" s="38" t="s">
        <v>132</v>
      </c>
      <c r="K698" s="38" t="s">
        <v>126</v>
      </c>
      <c r="L698" s="41">
        <v>46007.166666666664</v>
      </c>
      <c r="M698" s="38" t="s">
        <v>123</v>
      </c>
      <c r="N698" s="41">
        <v>46007.208333333336</v>
      </c>
      <c r="O698" s="38" t="s">
        <v>123</v>
      </c>
      <c r="P698" s="38">
        <v>3600.0</v>
      </c>
      <c r="Q698" s="39"/>
      <c r="R698" s="39"/>
      <c r="S698" s="39"/>
      <c r="T698" s="39"/>
      <c r="U698" s="39"/>
    </row>
    <row r="699">
      <c r="A699" s="40">
        <f t="shared" si="1"/>
        <v>46006</v>
      </c>
      <c r="B699" s="37" t="str">
        <f t="array" ref="B699">iferror(xlookup($I699, 'IMPORT VHC Report'!$E:$E, 'IMPORT VHC Report'!$A:$C), )</f>
        <v/>
      </c>
      <c r="C699" s="37"/>
      <c r="D699" s="37"/>
      <c r="E699" s="38" t="s">
        <v>957</v>
      </c>
      <c r="F699" s="38" t="s">
        <v>947</v>
      </c>
      <c r="G699" s="38">
        <v>3.61744117796E11</v>
      </c>
      <c r="H699" s="38" t="s">
        <v>948</v>
      </c>
      <c r="I699" s="38" t="s">
        <v>949</v>
      </c>
      <c r="J699" s="38" t="s">
        <v>4</v>
      </c>
      <c r="K699" s="38" t="s">
        <v>126</v>
      </c>
      <c r="L699" s="41">
        <v>46007.208333333336</v>
      </c>
      <c r="M699" s="38" t="s">
        <v>123</v>
      </c>
      <c r="N699" s="41">
        <v>46007.25</v>
      </c>
      <c r="O699" s="38" t="s">
        <v>123</v>
      </c>
      <c r="P699" s="38">
        <v>3600.0</v>
      </c>
      <c r="Q699" s="39"/>
      <c r="R699" s="39"/>
      <c r="S699" s="38" t="s">
        <v>130</v>
      </c>
      <c r="T699" s="39"/>
      <c r="U699" s="39"/>
    </row>
    <row r="700">
      <c r="A700" s="40">
        <f t="shared" si="1"/>
        <v>46006</v>
      </c>
      <c r="B700" s="37" t="str">
        <f t="array" ref="B700">iferror(xlookup($I700, 'IMPORT VHC Report'!$E:$E, 'IMPORT VHC Report'!$A:$C), )</f>
        <v/>
      </c>
      <c r="C700" s="37"/>
      <c r="D700" s="37"/>
      <c r="E700" s="38" t="s">
        <v>958</v>
      </c>
      <c r="F700" s="38" t="s">
        <v>947</v>
      </c>
      <c r="G700" s="38">
        <v>3.61744117796E11</v>
      </c>
      <c r="H700" s="38" t="s">
        <v>948</v>
      </c>
      <c r="I700" s="38" t="s">
        <v>949</v>
      </c>
      <c r="J700" s="38" t="s">
        <v>330</v>
      </c>
      <c r="K700" s="38" t="s">
        <v>126</v>
      </c>
      <c r="L700" s="41">
        <v>46007.958333333336</v>
      </c>
      <c r="M700" s="38" t="s">
        <v>123</v>
      </c>
      <c r="N700" s="41">
        <v>46007.96527777778</v>
      </c>
      <c r="O700" s="38" t="s">
        <v>123</v>
      </c>
      <c r="P700" s="38">
        <v>600.0</v>
      </c>
      <c r="Q700" s="39"/>
      <c r="R700" s="39"/>
      <c r="S700" s="39"/>
      <c r="T700" s="39"/>
      <c r="U700" s="39"/>
    </row>
    <row r="701">
      <c r="A701" s="40">
        <f t="shared" si="1"/>
        <v>46006</v>
      </c>
      <c r="B701" s="37" t="str">
        <f t="array" ref="B701">iferror(xlookup($I701, 'IMPORT VHC Report'!$E:$E, 'IMPORT VHC Report'!$A:$C), )</f>
        <v/>
      </c>
      <c r="C701" s="37"/>
      <c r="D701" s="37"/>
      <c r="E701" s="38" t="s">
        <v>959</v>
      </c>
      <c r="F701" s="38" t="s">
        <v>947</v>
      </c>
      <c r="G701" s="38">
        <v>3.61744117796E11</v>
      </c>
      <c r="H701" s="38" t="s">
        <v>948</v>
      </c>
      <c r="I701" s="38" t="s">
        <v>949</v>
      </c>
      <c r="J701" s="38" t="s">
        <v>332</v>
      </c>
      <c r="K701" s="38" t="s">
        <v>63</v>
      </c>
      <c r="L701" s="41">
        <v>46007.958333333336</v>
      </c>
      <c r="M701" s="38" t="s">
        <v>123</v>
      </c>
      <c r="N701" s="41">
        <v>46008.333333333336</v>
      </c>
      <c r="O701" s="38" t="s">
        <v>123</v>
      </c>
      <c r="P701" s="38">
        <v>32400.0</v>
      </c>
      <c r="Q701" s="39"/>
      <c r="R701" s="39"/>
      <c r="S701" s="39"/>
      <c r="T701" s="39"/>
      <c r="U701" s="39"/>
    </row>
    <row r="702">
      <c r="A702" s="40">
        <f t="shared" si="1"/>
        <v>46006</v>
      </c>
      <c r="B702" s="37" t="str">
        <f t="array" ref="B702">iferror(xlookup($I702, 'IMPORT VHC Report'!$E:$E, 'IMPORT VHC Report'!$A:$C), )</f>
        <v/>
      </c>
      <c r="C702" s="37"/>
      <c r="D702" s="37"/>
      <c r="E702" s="38" t="s">
        <v>960</v>
      </c>
      <c r="F702" s="38" t="s">
        <v>947</v>
      </c>
      <c r="G702" s="38">
        <v>3.61744117796E11</v>
      </c>
      <c r="H702" s="38" t="s">
        <v>948</v>
      </c>
      <c r="I702" s="38" t="s">
        <v>949</v>
      </c>
      <c r="J702" s="38" t="s">
        <v>125</v>
      </c>
      <c r="K702" s="38" t="s">
        <v>126</v>
      </c>
      <c r="L702" s="41">
        <v>46008.0</v>
      </c>
      <c r="M702" s="38" t="s">
        <v>123</v>
      </c>
      <c r="N702" s="41">
        <v>46008.083333333336</v>
      </c>
      <c r="O702" s="38" t="s">
        <v>123</v>
      </c>
      <c r="P702" s="38">
        <v>7200.0</v>
      </c>
      <c r="Q702" s="39"/>
      <c r="R702" s="39"/>
      <c r="S702" s="38" t="s">
        <v>394</v>
      </c>
      <c r="T702" s="39"/>
      <c r="U702" s="39"/>
    </row>
    <row r="703">
      <c r="A703" s="40">
        <f t="shared" si="1"/>
        <v>46006</v>
      </c>
      <c r="B703" s="37" t="str">
        <f t="array" ref="B703">iferror(xlookup($I703, 'IMPORT VHC Report'!$E:$E, 'IMPORT VHC Report'!$A:$C), )</f>
        <v/>
      </c>
      <c r="C703" s="37"/>
      <c r="D703" s="37"/>
      <c r="E703" s="38" t="s">
        <v>961</v>
      </c>
      <c r="F703" s="38" t="s">
        <v>947</v>
      </c>
      <c r="G703" s="38">
        <v>3.61744117796E11</v>
      </c>
      <c r="H703" s="38" t="s">
        <v>948</v>
      </c>
      <c r="I703" s="38" t="s">
        <v>949</v>
      </c>
      <c r="J703" s="38" t="s">
        <v>4</v>
      </c>
      <c r="K703" s="38" t="s">
        <v>126</v>
      </c>
      <c r="L703" s="41">
        <v>46008.083333333336</v>
      </c>
      <c r="M703" s="38" t="s">
        <v>123</v>
      </c>
      <c r="N703" s="41">
        <v>46008.125</v>
      </c>
      <c r="O703" s="38" t="s">
        <v>123</v>
      </c>
      <c r="P703" s="38">
        <v>3600.0</v>
      </c>
      <c r="Q703" s="39"/>
      <c r="R703" s="39"/>
      <c r="S703" s="38" t="s">
        <v>336</v>
      </c>
      <c r="T703" s="39"/>
      <c r="U703" s="39"/>
    </row>
    <row r="704">
      <c r="A704" s="40">
        <f t="shared" si="1"/>
        <v>46006</v>
      </c>
      <c r="B704" s="37" t="str">
        <f t="array" ref="B704">iferror(xlookup($I704, 'IMPORT VHC Report'!$E:$E, 'IMPORT VHC Report'!$A:$C), )</f>
        <v/>
      </c>
      <c r="C704" s="37"/>
      <c r="D704" s="37"/>
      <c r="E704" s="38" t="s">
        <v>962</v>
      </c>
      <c r="F704" s="38" t="s">
        <v>947</v>
      </c>
      <c r="G704" s="38">
        <v>3.61744117796E11</v>
      </c>
      <c r="H704" s="38" t="s">
        <v>948</v>
      </c>
      <c r="I704" s="38" t="s">
        <v>949</v>
      </c>
      <c r="J704" s="38" t="s">
        <v>134</v>
      </c>
      <c r="K704" s="38" t="s">
        <v>126</v>
      </c>
      <c r="L704" s="41">
        <v>46008.125</v>
      </c>
      <c r="M704" s="38" t="s">
        <v>123</v>
      </c>
      <c r="N704" s="41">
        <v>46008.145833333336</v>
      </c>
      <c r="O704" s="38" t="s">
        <v>123</v>
      </c>
      <c r="P704" s="38">
        <v>1800.0</v>
      </c>
      <c r="Q704" s="39"/>
      <c r="R704" s="39"/>
      <c r="S704" s="39"/>
      <c r="T704" s="39"/>
      <c r="U704" s="39"/>
    </row>
    <row r="705">
      <c r="A705" s="40">
        <f t="shared" si="1"/>
        <v>46006</v>
      </c>
      <c r="B705" s="37" t="str">
        <f t="array" ref="B705">iferror(xlookup($I705, 'IMPORT VHC Report'!$E:$E, 'IMPORT VHC Report'!$A:$C), )</f>
        <v/>
      </c>
      <c r="C705" s="37"/>
      <c r="D705" s="37"/>
      <c r="E705" s="38" t="s">
        <v>963</v>
      </c>
      <c r="F705" s="38" t="s">
        <v>947</v>
      </c>
      <c r="G705" s="38">
        <v>3.61744117796E11</v>
      </c>
      <c r="H705" s="38" t="s">
        <v>948</v>
      </c>
      <c r="I705" s="38" t="s">
        <v>949</v>
      </c>
      <c r="J705" s="38" t="s">
        <v>132</v>
      </c>
      <c r="K705" s="38" t="s">
        <v>126</v>
      </c>
      <c r="L705" s="41">
        <v>46008.208333333336</v>
      </c>
      <c r="M705" s="38" t="s">
        <v>123</v>
      </c>
      <c r="N705" s="41">
        <v>46008.25</v>
      </c>
      <c r="O705" s="38" t="s">
        <v>123</v>
      </c>
      <c r="P705" s="38">
        <v>3600.0</v>
      </c>
      <c r="Q705" s="39"/>
      <c r="R705" s="39"/>
      <c r="S705" s="39"/>
      <c r="T705" s="39"/>
      <c r="U705" s="39"/>
    </row>
    <row r="706">
      <c r="A706" s="40">
        <f t="shared" si="1"/>
        <v>46006</v>
      </c>
      <c r="B706" s="37" t="str">
        <f t="array" ref="B706">iferror(xlookup($I706, 'IMPORT VHC Report'!$E:$E, 'IMPORT VHC Report'!$A:$C), )</f>
        <v/>
      </c>
      <c r="C706" s="37"/>
      <c r="D706" s="37"/>
      <c r="E706" s="38" t="s">
        <v>964</v>
      </c>
      <c r="F706" s="38" t="s">
        <v>947</v>
      </c>
      <c r="G706" s="38">
        <v>3.61744117796E11</v>
      </c>
      <c r="H706" s="38" t="s">
        <v>948</v>
      </c>
      <c r="I706" s="38" t="s">
        <v>949</v>
      </c>
      <c r="J706" s="38" t="s">
        <v>330</v>
      </c>
      <c r="K706" s="38" t="s">
        <v>126</v>
      </c>
      <c r="L706" s="41">
        <v>46008.958333333336</v>
      </c>
      <c r="M706" s="38" t="s">
        <v>123</v>
      </c>
      <c r="N706" s="41">
        <v>46008.96527777778</v>
      </c>
      <c r="O706" s="38" t="s">
        <v>123</v>
      </c>
      <c r="P706" s="38">
        <v>600.0</v>
      </c>
      <c r="Q706" s="39"/>
      <c r="R706" s="39"/>
      <c r="S706" s="39"/>
      <c r="T706" s="39"/>
      <c r="U706" s="39"/>
    </row>
    <row r="707">
      <c r="A707" s="40">
        <f t="shared" si="1"/>
        <v>46006</v>
      </c>
      <c r="B707" s="37" t="str">
        <f t="array" ref="B707">iferror(xlookup($I707, 'IMPORT VHC Report'!$E:$E, 'IMPORT VHC Report'!$A:$C), )</f>
        <v/>
      </c>
      <c r="C707" s="37"/>
      <c r="D707" s="37"/>
      <c r="E707" s="38" t="s">
        <v>965</v>
      </c>
      <c r="F707" s="38" t="s">
        <v>947</v>
      </c>
      <c r="G707" s="38">
        <v>3.61744117796E11</v>
      </c>
      <c r="H707" s="38" t="s">
        <v>948</v>
      </c>
      <c r="I707" s="38" t="s">
        <v>949</v>
      </c>
      <c r="J707" s="38" t="s">
        <v>332</v>
      </c>
      <c r="K707" s="38" t="s">
        <v>63</v>
      </c>
      <c r="L707" s="41">
        <v>46008.958333333336</v>
      </c>
      <c r="M707" s="38" t="s">
        <v>123</v>
      </c>
      <c r="N707" s="41">
        <v>46009.333333333336</v>
      </c>
      <c r="O707" s="38" t="s">
        <v>123</v>
      </c>
      <c r="P707" s="38">
        <v>32400.0</v>
      </c>
      <c r="Q707" s="39"/>
      <c r="R707" s="39"/>
      <c r="S707" s="39"/>
      <c r="T707" s="39"/>
      <c r="U707" s="39"/>
    </row>
    <row r="708">
      <c r="A708" s="40">
        <f t="shared" si="1"/>
        <v>46006</v>
      </c>
      <c r="B708" s="37" t="str">
        <f t="array" ref="B708">iferror(xlookup($I708, 'IMPORT VHC Report'!$E:$E, 'IMPORT VHC Report'!$A:$C), )</f>
        <v/>
      </c>
      <c r="C708" s="37"/>
      <c r="D708" s="37"/>
      <c r="E708" s="38" t="s">
        <v>966</v>
      </c>
      <c r="F708" s="38" t="s">
        <v>947</v>
      </c>
      <c r="G708" s="38">
        <v>3.61744117796E11</v>
      </c>
      <c r="H708" s="38" t="s">
        <v>948</v>
      </c>
      <c r="I708" s="38" t="s">
        <v>949</v>
      </c>
      <c r="J708" s="38" t="s">
        <v>134</v>
      </c>
      <c r="K708" s="38" t="s">
        <v>126</v>
      </c>
      <c r="L708" s="41">
        <v>46009.020833333336</v>
      </c>
      <c r="M708" s="38" t="s">
        <v>123</v>
      </c>
      <c r="N708" s="41">
        <v>46009.041666666664</v>
      </c>
      <c r="O708" s="38" t="s">
        <v>123</v>
      </c>
      <c r="P708" s="38">
        <v>1800.0</v>
      </c>
      <c r="Q708" s="39"/>
      <c r="R708" s="39"/>
      <c r="S708" s="39"/>
      <c r="T708" s="39"/>
      <c r="U708" s="39"/>
    </row>
    <row r="709">
      <c r="A709" s="40">
        <f t="shared" si="1"/>
        <v>46006</v>
      </c>
      <c r="B709" s="37" t="str">
        <f t="array" ref="B709">iferror(xlookup($I709, 'IMPORT VHC Report'!$E:$E, 'IMPORT VHC Report'!$A:$C), )</f>
        <v/>
      </c>
      <c r="C709" s="37"/>
      <c r="D709" s="37"/>
      <c r="E709" s="38" t="s">
        <v>967</v>
      </c>
      <c r="F709" s="38" t="s">
        <v>947</v>
      </c>
      <c r="G709" s="38">
        <v>3.61744117796E11</v>
      </c>
      <c r="H709" s="38" t="s">
        <v>948</v>
      </c>
      <c r="I709" s="38" t="s">
        <v>949</v>
      </c>
      <c r="J709" s="38" t="s">
        <v>136</v>
      </c>
      <c r="K709" s="38" t="s">
        <v>126</v>
      </c>
      <c r="L709" s="41">
        <v>46009.041666666664</v>
      </c>
      <c r="M709" s="38" t="s">
        <v>123</v>
      </c>
      <c r="N709" s="41">
        <v>46009.083333333336</v>
      </c>
      <c r="O709" s="38" t="s">
        <v>123</v>
      </c>
      <c r="P709" s="38">
        <v>3600.0</v>
      </c>
      <c r="Q709" s="39"/>
      <c r="R709" s="39"/>
      <c r="S709" s="38" t="s">
        <v>137</v>
      </c>
      <c r="T709" s="39"/>
      <c r="U709" s="39"/>
    </row>
    <row r="710">
      <c r="A710" s="40">
        <f t="shared" si="1"/>
        <v>46006</v>
      </c>
      <c r="B710" s="37" t="str">
        <f t="array" ref="B710">iferror(xlookup($I710, 'IMPORT VHC Report'!$E:$E, 'IMPORT VHC Report'!$A:$C), )</f>
        <v/>
      </c>
      <c r="C710" s="37"/>
      <c r="D710" s="37"/>
      <c r="E710" s="38" t="s">
        <v>968</v>
      </c>
      <c r="F710" s="38" t="s">
        <v>947</v>
      </c>
      <c r="G710" s="38">
        <v>3.61744117796E11</v>
      </c>
      <c r="H710" s="38" t="s">
        <v>948</v>
      </c>
      <c r="I710" s="38" t="s">
        <v>949</v>
      </c>
      <c r="J710" s="38" t="s">
        <v>125</v>
      </c>
      <c r="K710" s="38" t="s">
        <v>126</v>
      </c>
      <c r="L710" s="41">
        <v>46009.083333333336</v>
      </c>
      <c r="M710" s="38" t="s">
        <v>123</v>
      </c>
      <c r="N710" s="41">
        <v>46009.166666666664</v>
      </c>
      <c r="O710" s="38" t="s">
        <v>123</v>
      </c>
      <c r="P710" s="38">
        <v>7200.0</v>
      </c>
      <c r="Q710" s="39"/>
      <c r="R710" s="39"/>
      <c r="S710" s="38" t="s">
        <v>394</v>
      </c>
      <c r="T710" s="39"/>
      <c r="U710" s="39"/>
    </row>
    <row r="711">
      <c r="A711" s="40">
        <f t="shared" si="1"/>
        <v>46006</v>
      </c>
      <c r="B711" s="37" t="str">
        <f t="array" ref="B711">iferror(xlookup($I711, 'IMPORT VHC Report'!$E:$E, 'IMPORT VHC Report'!$A:$C), )</f>
        <v/>
      </c>
      <c r="C711" s="37"/>
      <c r="D711" s="37"/>
      <c r="E711" s="38" t="s">
        <v>969</v>
      </c>
      <c r="F711" s="38" t="s">
        <v>947</v>
      </c>
      <c r="G711" s="38">
        <v>3.61744117796E11</v>
      </c>
      <c r="H711" s="38" t="s">
        <v>948</v>
      </c>
      <c r="I711" s="38" t="s">
        <v>949</v>
      </c>
      <c r="J711" s="38" t="s">
        <v>132</v>
      </c>
      <c r="K711" s="38" t="s">
        <v>126</v>
      </c>
      <c r="L711" s="41">
        <v>46009.208333333336</v>
      </c>
      <c r="M711" s="38" t="s">
        <v>123</v>
      </c>
      <c r="N711" s="41">
        <v>46009.25</v>
      </c>
      <c r="O711" s="38" t="s">
        <v>123</v>
      </c>
      <c r="P711" s="38">
        <v>3600.0</v>
      </c>
      <c r="Q711" s="39"/>
      <c r="R711" s="39"/>
      <c r="S711" s="39"/>
      <c r="T711" s="39"/>
      <c r="U711" s="39"/>
    </row>
    <row r="712">
      <c r="A712" s="40">
        <f t="shared" si="1"/>
        <v>46006</v>
      </c>
      <c r="B712" s="37" t="str">
        <f t="array" ref="B712">iferror(xlookup($I712, 'IMPORT VHC Report'!$E:$E, 'IMPORT VHC Report'!$A:$C), )</f>
        <v/>
      </c>
      <c r="C712" s="37"/>
      <c r="D712" s="37"/>
      <c r="E712" s="38" t="s">
        <v>970</v>
      </c>
      <c r="F712" s="38" t="s">
        <v>947</v>
      </c>
      <c r="G712" s="38">
        <v>3.61744117796E11</v>
      </c>
      <c r="H712" s="38" t="s">
        <v>948</v>
      </c>
      <c r="I712" s="38" t="s">
        <v>949</v>
      </c>
      <c r="J712" s="38" t="s">
        <v>330</v>
      </c>
      <c r="K712" s="38" t="s">
        <v>126</v>
      </c>
      <c r="L712" s="41">
        <v>46011.958333333336</v>
      </c>
      <c r="M712" s="38" t="s">
        <v>123</v>
      </c>
      <c r="N712" s="41">
        <v>46011.96527777778</v>
      </c>
      <c r="O712" s="38" t="s">
        <v>123</v>
      </c>
      <c r="P712" s="38">
        <v>600.0</v>
      </c>
      <c r="Q712" s="39"/>
      <c r="R712" s="39"/>
      <c r="S712" s="39"/>
      <c r="T712" s="39"/>
      <c r="U712" s="39"/>
    </row>
    <row r="713">
      <c r="A713" s="40">
        <f t="shared" si="1"/>
        <v>46006</v>
      </c>
      <c r="B713" s="37" t="str">
        <f t="array" ref="B713">iferror(xlookup($I713, 'IMPORT VHC Report'!$E:$E, 'IMPORT VHC Report'!$A:$C), )</f>
        <v/>
      </c>
      <c r="C713" s="37"/>
      <c r="D713" s="37"/>
      <c r="E713" s="38" t="s">
        <v>971</v>
      </c>
      <c r="F713" s="38" t="s">
        <v>947</v>
      </c>
      <c r="G713" s="38">
        <v>3.61744117796E11</v>
      </c>
      <c r="H713" s="38" t="s">
        <v>948</v>
      </c>
      <c r="I713" s="38" t="s">
        <v>949</v>
      </c>
      <c r="J713" s="38" t="s">
        <v>332</v>
      </c>
      <c r="K713" s="38" t="s">
        <v>63</v>
      </c>
      <c r="L713" s="41">
        <v>46011.958333333336</v>
      </c>
      <c r="M713" s="38" t="s">
        <v>123</v>
      </c>
      <c r="N713" s="41">
        <v>46012.333333333336</v>
      </c>
      <c r="O713" s="38" t="s">
        <v>123</v>
      </c>
      <c r="P713" s="38">
        <v>32400.0</v>
      </c>
      <c r="Q713" s="39"/>
      <c r="R713" s="39"/>
      <c r="S713" s="39"/>
      <c r="T713" s="39"/>
      <c r="U713" s="39"/>
    </row>
    <row r="714">
      <c r="A714" s="40">
        <f t="shared" si="1"/>
        <v>46006</v>
      </c>
      <c r="B714" s="37" t="str">
        <f t="array" ref="B714">iferror(xlookup($I714, 'IMPORT VHC Report'!$E:$E, 'IMPORT VHC Report'!$A:$C), )</f>
        <v/>
      </c>
      <c r="C714" s="37"/>
      <c r="D714" s="37"/>
      <c r="E714" s="38" t="s">
        <v>972</v>
      </c>
      <c r="F714" s="38" t="s">
        <v>947</v>
      </c>
      <c r="G714" s="38">
        <v>3.61744117796E11</v>
      </c>
      <c r="H714" s="38" t="s">
        <v>948</v>
      </c>
      <c r="I714" s="38" t="s">
        <v>949</v>
      </c>
      <c r="J714" s="38" t="s">
        <v>330</v>
      </c>
      <c r="K714" s="38" t="s">
        <v>126</v>
      </c>
      <c r="L714" s="41">
        <v>46011.96527777778</v>
      </c>
      <c r="M714" s="38" t="s">
        <v>123</v>
      </c>
      <c r="N714" s="41">
        <v>46011.98611111111</v>
      </c>
      <c r="O714" s="38" t="s">
        <v>123</v>
      </c>
      <c r="P714" s="38">
        <v>1800.0</v>
      </c>
      <c r="Q714" s="39"/>
      <c r="R714" s="39"/>
      <c r="S714" s="39"/>
      <c r="T714" s="39"/>
      <c r="U714" s="39"/>
    </row>
    <row r="715">
      <c r="A715" s="40">
        <f t="shared" si="1"/>
        <v>46006</v>
      </c>
      <c r="B715" s="37" t="str">
        <f t="array" ref="B715">iferror(xlookup($I715, 'IMPORT VHC Report'!$E:$E, 'IMPORT VHC Report'!$A:$C), )</f>
        <v/>
      </c>
      <c r="C715" s="37"/>
      <c r="D715" s="37"/>
      <c r="E715" s="38" t="s">
        <v>973</v>
      </c>
      <c r="F715" s="38" t="s">
        <v>947</v>
      </c>
      <c r="G715" s="38">
        <v>3.61744117796E11</v>
      </c>
      <c r="H715" s="38" t="s">
        <v>948</v>
      </c>
      <c r="I715" s="38" t="s">
        <v>949</v>
      </c>
      <c r="J715" s="38" t="s">
        <v>125</v>
      </c>
      <c r="K715" s="38" t="s">
        <v>126</v>
      </c>
      <c r="L715" s="41">
        <v>46012.0</v>
      </c>
      <c r="M715" s="38" t="s">
        <v>123</v>
      </c>
      <c r="N715" s="41">
        <v>46012.041666666664</v>
      </c>
      <c r="O715" s="38" t="s">
        <v>123</v>
      </c>
      <c r="P715" s="38">
        <v>3600.0</v>
      </c>
      <c r="Q715" s="39"/>
      <c r="R715" s="39"/>
      <c r="S715" s="38" t="s">
        <v>394</v>
      </c>
      <c r="T715" s="39"/>
      <c r="U715" s="39"/>
    </row>
    <row r="716">
      <c r="A716" s="40">
        <f t="shared" si="1"/>
        <v>46006</v>
      </c>
      <c r="B716" s="37" t="str">
        <f t="array" ref="B716">iferror(xlookup($I716, 'IMPORT VHC Report'!$E:$E, 'IMPORT VHC Report'!$A:$C), )</f>
        <v/>
      </c>
      <c r="C716" s="37"/>
      <c r="D716" s="37"/>
      <c r="E716" s="38" t="s">
        <v>974</v>
      </c>
      <c r="F716" s="38" t="s">
        <v>947</v>
      </c>
      <c r="G716" s="38">
        <v>3.61744117796E11</v>
      </c>
      <c r="H716" s="38" t="s">
        <v>948</v>
      </c>
      <c r="I716" s="38" t="s">
        <v>949</v>
      </c>
      <c r="J716" s="38" t="s">
        <v>134</v>
      </c>
      <c r="K716" s="38" t="s">
        <v>126</v>
      </c>
      <c r="L716" s="41">
        <v>46012.041666666664</v>
      </c>
      <c r="M716" s="38" t="s">
        <v>123</v>
      </c>
      <c r="N716" s="41">
        <v>46012.052083333336</v>
      </c>
      <c r="O716" s="38" t="s">
        <v>123</v>
      </c>
      <c r="P716" s="38">
        <v>900.0</v>
      </c>
      <c r="Q716" s="39"/>
      <c r="R716" s="39"/>
      <c r="S716" s="39"/>
      <c r="T716" s="39"/>
      <c r="U716" s="39"/>
    </row>
    <row r="717">
      <c r="A717" s="40">
        <f t="shared" si="1"/>
        <v>46006</v>
      </c>
      <c r="B717" s="37" t="str">
        <f t="array" ref="B717">iferror(xlookup($I717, 'IMPORT VHC Report'!$E:$E, 'IMPORT VHC Report'!$A:$C), )</f>
        <v/>
      </c>
      <c r="C717" s="37"/>
      <c r="D717" s="37"/>
      <c r="E717" s="38" t="s">
        <v>975</v>
      </c>
      <c r="F717" s="38" t="s">
        <v>947</v>
      </c>
      <c r="G717" s="38">
        <v>3.61744117796E11</v>
      </c>
      <c r="H717" s="38" t="s">
        <v>948</v>
      </c>
      <c r="I717" s="38" t="s">
        <v>949</v>
      </c>
      <c r="J717" s="38" t="s">
        <v>125</v>
      </c>
      <c r="K717" s="38" t="s">
        <v>126</v>
      </c>
      <c r="L717" s="41">
        <v>46012.052083333336</v>
      </c>
      <c r="M717" s="38" t="s">
        <v>123</v>
      </c>
      <c r="N717" s="41">
        <v>46012.09375</v>
      </c>
      <c r="O717" s="38" t="s">
        <v>123</v>
      </c>
      <c r="P717" s="38">
        <v>3600.0</v>
      </c>
      <c r="Q717" s="39"/>
      <c r="R717" s="39"/>
      <c r="S717" s="38" t="s">
        <v>394</v>
      </c>
      <c r="T717" s="39"/>
      <c r="U717" s="39"/>
    </row>
    <row r="718">
      <c r="A718" s="40">
        <f t="shared" si="1"/>
        <v>46006</v>
      </c>
      <c r="B718" s="37" t="str">
        <f t="array" ref="B718">iferror(xlookup($I718, 'IMPORT VHC Report'!$E:$E, 'IMPORT VHC Report'!$A:$C), )</f>
        <v/>
      </c>
      <c r="C718" s="37"/>
      <c r="D718" s="37"/>
      <c r="E718" s="38" t="s">
        <v>976</v>
      </c>
      <c r="F718" s="38" t="s">
        <v>947</v>
      </c>
      <c r="G718" s="38">
        <v>3.61744117796E11</v>
      </c>
      <c r="H718" s="38" t="s">
        <v>948</v>
      </c>
      <c r="I718" s="38" t="s">
        <v>949</v>
      </c>
      <c r="J718" s="38" t="s">
        <v>132</v>
      </c>
      <c r="K718" s="38" t="s">
        <v>126</v>
      </c>
      <c r="L718" s="41">
        <v>46012.125</v>
      </c>
      <c r="M718" s="38" t="s">
        <v>123</v>
      </c>
      <c r="N718" s="41">
        <v>46012.166666666664</v>
      </c>
      <c r="O718" s="38" t="s">
        <v>123</v>
      </c>
      <c r="P718" s="38">
        <v>3600.0</v>
      </c>
      <c r="Q718" s="39"/>
      <c r="R718" s="39"/>
      <c r="S718" s="39"/>
      <c r="T718" s="39"/>
      <c r="U718" s="39"/>
    </row>
    <row r="719">
      <c r="A719" s="40">
        <f t="shared" si="1"/>
        <v>46006</v>
      </c>
      <c r="B719" s="37" t="str">
        <f t="array" ref="B719">iferror(xlookup($I719, 'IMPORT VHC Report'!$E:$E, 'IMPORT VHC Report'!$A:$C), )</f>
        <v/>
      </c>
      <c r="C719" s="37"/>
      <c r="D719" s="37"/>
      <c r="E719" s="38" t="s">
        <v>977</v>
      </c>
      <c r="F719" s="38" t="s">
        <v>947</v>
      </c>
      <c r="G719" s="38">
        <v>3.61744117796E11</v>
      </c>
      <c r="H719" s="38" t="s">
        <v>948</v>
      </c>
      <c r="I719" s="38" t="s">
        <v>949</v>
      </c>
      <c r="J719" s="38" t="s">
        <v>178</v>
      </c>
      <c r="K719" s="38" t="s">
        <v>153</v>
      </c>
      <c r="L719" s="41">
        <v>46012.166666666664</v>
      </c>
      <c r="M719" s="38" t="s">
        <v>123</v>
      </c>
      <c r="N719" s="41">
        <v>46012.333333333336</v>
      </c>
      <c r="O719" s="38" t="s">
        <v>123</v>
      </c>
      <c r="P719" s="38">
        <v>14400.0</v>
      </c>
      <c r="Q719" s="38">
        <v>14400.0</v>
      </c>
      <c r="R719" s="39"/>
      <c r="S719" s="39"/>
      <c r="T719" s="39"/>
      <c r="U719" s="39"/>
    </row>
    <row r="720">
      <c r="A720" s="40">
        <f t="shared" si="1"/>
        <v>46006</v>
      </c>
      <c r="B720" s="37" t="str">
        <f t="array" ref="B720">iferror(xlookup($I720, 'IMPORT VHC Report'!$E:$E, 'IMPORT VHC Report'!$A:$C), )</f>
        <v/>
      </c>
      <c r="C720" s="37"/>
      <c r="D720" s="37"/>
      <c r="E720" s="38" t="s">
        <v>978</v>
      </c>
      <c r="F720" s="38" t="s">
        <v>947</v>
      </c>
      <c r="G720" s="38">
        <v>3.61744117796E11</v>
      </c>
      <c r="H720" s="38" t="s">
        <v>948</v>
      </c>
      <c r="I720" s="38" t="s">
        <v>949</v>
      </c>
      <c r="J720" s="38" t="s">
        <v>330</v>
      </c>
      <c r="K720" s="38" t="s">
        <v>126</v>
      </c>
      <c r="L720" s="41">
        <v>46012.958333333336</v>
      </c>
      <c r="M720" s="38" t="s">
        <v>123</v>
      </c>
      <c r="N720" s="41">
        <v>46012.96527777778</v>
      </c>
      <c r="O720" s="38" t="s">
        <v>123</v>
      </c>
      <c r="P720" s="38">
        <v>600.0</v>
      </c>
      <c r="Q720" s="39"/>
      <c r="R720" s="39"/>
      <c r="S720" s="39"/>
      <c r="T720" s="39"/>
      <c r="U720" s="39"/>
    </row>
    <row r="721">
      <c r="A721" s="40">
        <f t="shared" si="1"/>
        <v>46006</v>
      </c>
      <c r="B721" s="37" t="str">
        <f t="array" ref="B721">iferror(xlookup($I721, 'IMPORT VHC Report'!$E:$E, 'IMPORT VHC Report'!$A:$C), )</f>
        <v/>
      </c>
      <c r="C721" s="37"/>
      <c r="D721" s="37"/>
      <c r="E721" s="38" t="s">
        <v>979</v>
      </c>
      <c r="F721" s="38" t="s">
        <v>947</v>
      </c>
      <c r="G721" s="38">
        <v>3.61744117796E11</v>
      </c>
      <c r="H721" s="38" t="s">
        <v>948</v>
      </c>
      <c r="I721" s="38" t="s">
        <v>949</v>
      </c>
      <c r="J721" s="38" t="s">
        <v>178</v>
      </c>
      <c r="K721" s="38" t="s">
        <v>153</v>
      </c>
      <c r="L721" s="41">
        <v>46012.958333333336</v>
      </c>
      <c r="M721" s="38" t="s">
        <v>123</v>
      </c>
      <c r="N721" s="41">
        <v>46013.125</v>
      </c>
      <c r="O721" s="38" t="s">
        <v>123</v>
      </c>
      <c r="P721" s="38">
        <v>14400.0</v>
      </c>
      <c r="Q721" s="38">
        <v>14400.0</v>
      </c>
      <c r="R721" s="39"/>
      <c r="S721" s="39"/>
      <c r="T721" s="39"/>
      <c r="U721" s="39"/>
    </row>
    <row r="722">
      <c r="A722" s="40">
        <f t="shared" si="1"/>
        <v>46006</v>
      </c>
      <c r="B722" s="37" t="str">
        <f t="array" ref="B722">iferror(xlookup($I722, 'IMPORT VHC Report'!$E:$E, 'IMPORT VHC Report'!$A:$C), )</f>
        <v/>
      </c>
      <c r="C722" s="37"/>
      <c r="D722" s="37"/>
      <c r="E722" s="38" t="s">
        <v>980</v>
      </c>
      <c r="F722" s="38" t="s">
        <v>947</v>
      </c>
      <c r="G722" s="38">
        <v>3.61744117796E11</v>
      </c>
      <c r="H722" s="38" t="s">
        <v>948</v>
      </c>
      <c r="I722" s="38" t="s">
        <v>949</v>
      </c>
      <c r="J722" s="38" t="s">
        <v>332</v>
      </c>
      <c r="K722" s="38" t="s">
        <v>63</v>
      </c>
      <c r="L722" s="41">
        <v>46012.958333333336</v>
      </c>
      <c r="M722" s="38" t="s">
        <v>123</v>
      </c>
      <c r="N722" s="41">
        <v>46013.333333333336</v>
      </c>
      <c r="O722" s="38" t="s">
        <v>123</v>
      </c>
      <c r="P722" s="38">
        <v>32400.0</v>
      </c>
      <c r="Q722" s="39"/>
      <c r="R722" s="39"/>
      <c r="S722" s="39"/>
      <c r="T722" s="39"/>
      <c r="U722" s="39"/>
    </row>
    <row r="723">
      <c r="A723" s="40">
        <f t="shared" si="1"/>
        <v>45999</v>
      </c>
      <c r="B723" s="37" t="str">
        <f t="array" ref="B723">iferror(xlookup($I723, 'IMPORT VHC Report'!$E:$E, 'IMPORT VHC Report'!$A:$C), )</f>
        <v/>
      </c>
      <c r="C723" s="37"/>
      <c r="D723" s="37"/>
      <c r="E723" s="38" t="s">
        <v>981</v>
      </c>
      <c r="F723" s="38" t="s">
        <v>982</v>
      </c>
      <c r="G723" s="38">
        <v>3.61731348415E11</v>
      </c>
      <c r="H723" s="38" t="s">
        <v>983</v>
      </c>
      <c r="I723" s="38" t="s">
        <v>984</v>
      </c>
      <c r="J723" s="38" t="s">
        <v>985</v>
      </c>
      <c r="K723" s="38" t="s">
        <v>63</v>
      </c>
      <c r="L723" s="41">
        <v>46005.958333333336</v>
      </c>
      <c r="M723" s="38" t="s">
        <v>123</v>
      </c>
      <c r="N723" s="41">
        <v>46006.125</v>
      </c>
      <c r="O723" s="38" t="s">
        <v>123</v>
      </c>
      <c r="P723" s="38">
        <v>14400.0</v>
      </c>
      <c r="Q723" s="39"/>
      <c r="R723" s="39"/>
      <c r="S723" s="39"/>
      <c r="T723" s="39"/>
      <c r="U723" s="39"/>
    </row>
    <row r="724">
      <c r="A724" s="40">
        <f t="shared" si="1"/>
        <v>46006</v>
      </c>
      <c r="B724" s="37" t="str">
        <f t="array" ref="B724">iferror(xlookup($I724, 'IMPORT VHC Report'!$E:$E, 'IMPORT VHC Report'!$A:$C), )</f>
        <v/>
      </c>
      <c r="C724" s="37"/>
      <c r="D724" s="37"/>
      <c r="E724" s="38" t="s">
        <v>986</v>
      </c>
      <c r="F724" s="38" t="s">
        <v>982</v>
      </c>
      <c r="G724" s="38">
        <v>3.61731348415E11</v>
      </c>
      <c r="H724" s="38" t="s">
        <v>983</v>
      </c>
      <c r="I724" s="38" t="s">
        <v>984</v>
      </c>
      <c r="J724" s="38" t="s">
        <v>4</v>
      </c>
      <c r="K724" s="38" t="s">
        <v>126</v>
      </c>
      <c r="L724" s="41">
        <v>46007.875</v>
      </c>
      <c r="M724" s="38" t="s">
        <v>123</v>
      </c>
      <c r="N724" s="41">
        <v>46007.9375</v>
      </c>
      <c r="O724" s="38" t="s">
        <v>123</v>
      </c>
      <c r="P724" s="38">
        <v>5400.0</v>
      </c>
      <c r="Q724" s="39"/>
      <c r="R724" s="39"/>
      <c r="S724" s="38" t="s">
        <v>458</v>
      </c>
      <c r="T724" s="39"/>
      <c r="U724" s="39"/>
    </row>
    <row r="725">
      <c r="A725" s="40">
        <f t="shared" si="1"/>
        <v>46006</v>
      </c>
      <c r="B725" s="37" t="str">
        <f t="array" ref="B725">iferror(xlookup($I725, 'IMPORT VHC Report'!$E:$E, 'IMPORT VHC Report'!$A:$C), )</f>
        <v/>
      </c>
      <c r="C725" s="37"/>
      <c r="D725" s="37"/>
      <c r="E725" s="38" t="s">
        <v>987</v>
      </c>
      <c r="F725" s="38" t="s">
        <v>982</v>
      </c>
      <c r="G725" s="38">
        <v>3.61731348415E11</v>
      </c>
      <c r="H725" s="38" t="s">
        <v>983</v>
      </c>
      <c r="I725" s="38" t="s">
        <v>984</v>
      </c>
      <c r="J725" s="38" t="s">
        <v>368</v>
      </c>
      <c r="K725" s="38" t="s">
        <v>63</v>
      </c>
      <c r="L725" s="41">
        <v>46007.875</v>
      </c>
      <c r="M725" s="38" t="s">
        <v>123</v>
      </c>
      <c r="N725" s="41">
        <v>46008.25</v>
      </c>
      <c r="O725" s="38" t="s">
        <v>123</v>
      </c>
      <c r="P725" s="38">
        <v>32400.0</v>
      </c>
      <c r="Q725" s="39"/>
      <c r="R725" s="39"/>
      <c r="S725" s="39"/>
      <c r="T725" s="39"/>
      <c r="U725" s="39"/>
    </row>
    <row r="726">
      <c r="A726" s="40">
        <f t="shared" si="1"/>
        <v>46006</v>
      </c>
      <c r="B726" s="37" t="str">
        <f t="array" ref="B726">iferror(xlookup($I726, 'IMPORT VHC Report'!$E:$E, 'IMPORT VHC Report'!$A:$C), )</f>
        <v/>
      </c>
      <c r="C726" s="37"/>
      <c r="D726" s="37"/>
      <c r="E726" s="38" t="s">
        <v>988</v>
      </c>
      <c r="F726" s="38" t="s">
        <v>982</v>
      </c>
      <c r="G726" s="38">
        <v>3.61731348415E11</v>
      </c>
      <c r="H726" s="38" t="s">
        <v>983</v>
      </c>
      <c r="I726" s="38" t="s">
        <v>984</v>
      </c>
      <c r="J726" s="38" t="s">
        <v>134</v>
      </c>
      <c r="K726" s="38" t="s">
        <v>126</v>
      </c>
      <c r="L726" s="41">
        <v>46008.052083333336</v>
      </c>
      <c r="M726" s="38" t="s">
        <v>123</v>
      </c>
      <c r="N726" s="41">
        <v>46008.072916666664</v>
      </c>
      <c r="O726" s="38" t="s">
        <v>123</v>
      </c>
      <c r="P726" s="38">
        <v>1800.0</v>
      </c>
      <c r="Q726" s="39"/>
      <c r="R726" s="39"/>
      <c r="S726" s="39"/>
      <c r="T726" s="39"/>
      <c r="U726" s="39"/>
    </row>
    <row r="727">
      <c r="A727" s="40">
        <f t="shared" si="1"/>
        <v>46006</v>
      </c>
      <c r="B727" s="37" t="str">
        <f t="array" ref="B727">iferror(xlookup($I727, 'IMPORT VHC Report'!$E:$E, 'IMPORT VHC Report'!$A:$C), )</f>
        <v/>
      </c>
      <c r="C727" s="37"/>
      <c r="D727" s="37"/>
      <c r="E727" s="38" t="s">
        <v>989</v>
      </c>
      <c r="F727" s="38" t="s">
        <v>982</v>
      </c>
      <c r="G727" s="38">
        <v>3.61731348415E11</v>
      </c>
      <c r="H727" s="38" t="s">
        <v>983</v>
      </c>
      <c r="I727" s="38" t="s">
        <v>984</v>
      </c>
      <c r="J727" s="38" t="s">
        <v>132</v>
      </c>
      <c r="K727" s="38" t="s">
        <v>126</v>
      </c>
      <c r="L727" s="41">
        <v>46008.135416666664</v>
      </c>
      <c r="M727" s="38" t="s">
        <v>123</v>
      </c>
      <c r="N727" s="41">
        <v>46008.177083333336</v>
      </c>
      <c r="O727" s="38" t="s">
        <v>123</v>
      </c>
      <c r="P727" s="38">
        <v>3600.0</v>
      </c>
      <c r="Q727" s="39"/>
      <c r="R727" s="39"/>
      <c r="S727" s="39"/>
      <c r="T727" s="39"/>
      <c r="U727" s="39"/>
    </row>
    <row r="728">
      <c r="A728" s="40">
        <f t="shared" si="1"/>
        <v>46006</v>
      </c>
      <c r="B728" s="37" t="str">
        <f t="array" ref="B728">iferror(xlookup($I728, 'IMPORT VHC Report'!$E:$E, 'IMPORT VHC Report'!$A:$C), )</f>
        <v/>
      </c>
      <c r="C728" s="37"/>
      <c r="D728" s="37"/>
      <c r="E728" s="38" t="s">
        <v>990</v>
      </c>
      <c r="F728" s="38" t="s">
        <v>982</v>
      </c>
      <c r="G728" s="38">
        <v>3.61731348415E11</v>
      </c>
      <c r="H728" s="38" t="s">
        <v>983</v>
      </c>
      <c r="I728" s="38" t="s">
        <v>984</v>
      </c>
      <c r="J728" s="38" t="s">
        <v>368</v>
      </c>
      <c r="K728" s="38" t="s">
        <v>63</v>
      </c>
      <c r="L728" s="41">
        <v>46008.875</v>
      </c>
      <c r="M728" s="38" t="s">
        <v>123</v>
      </c>
      <c r="N728" s="41">
        <v>46009.25</v>
      </c>
      <c r="O728" s="38" t="s">
        <v>123</v>
      </c>
      <c r="P728" s="38">
        <v>32400.0</v>
      </c>
      <c r="Q728" s="39"/>
      <c r="R728" s="39"/>
      <c r="S728" s="39"/>
      <c r="T728" s="39"/>
      <c r="U728" s="39"/>
    </row>
    <row r="729">
      <c r="A729" s="40">
        <f t="shared" si="1"/>
        <v>46006</v>
      </c>
      <c r="B729" s="37" t="str">
        <f t="array" ref="B729">iferror(xlookup($I729, 'IMPORT VHC Report'!$E:$E, 'IMPORT VHC Report'!$A:$C), )</f>
        <v/>
      </c>
      <c r="C729" s="37"/>
      <c r="D729" s="37"/>
      <c r="E729" s="38" t="s">
        <v>991</v>
      </c>
      <c r="F729" s="38" t="s">
        <v>982</v>
      </c>
      <c r="G729" s="38">
        <v>3.61731348415E11</v>
      </c>
      <c r="H729" s="38" t="s">
        <v>983</v>
      </c>
      <c r="I729" s="38" t="s">
        <v>984</v>
      </c>
      <c r="J729" s="38" t="s">
        <v>134</v>
      </c>
      <c r="K729" s="38" t="s">
        <v>126</v>
      </c>
      <c r="L729" s="41">
        <v>46008.989583333336</v>
      </c>
      <c r="M729" s="38" t="s">
        <v>123</v>
      </c>
      <c r="N729" s="41">
        <v>46009.010416666664</v>
      </c>
      <c r="O729" s="38" t="s">
        <v>123</v>
      </c>
      <c r="P729" s="38">
        <v>1800.0</v>
      </c>
      <c r="Q729" s="39"/>
      <c r="R729" s="39"/>
      <c r="S729" s="39"/>
      <c r="T729" s="39"/>
      <c r="U729" s="39"/>
    </row>
    <row r="730">
      <c r="A730" s="40">
        <f t="shared" si="1"/>
        <v>46006</v>
      </c>
      <c r="B730" s="37" t="str">
        <f t="array" ref="B730">iferror(xlookup($I730, 'IMPORT VHC Report'!$E:$E, 'IMPORT VHC Report'!$A:$C), )</f>
        <v/>
      </c>
      <c r="C730" s="37"/>
      <c r="D730" s="37"/>
      <c r="E730" s="38" t="s">
        <v>992</v>
      </c>
      <c r="F730" s="38" t="s">
        <v>982</v>
      </c>
      <c r="G730" s="38">
        <v>3.61731348415E11</v>
      </c>
      <c r="H730" s="38" t="s">
        <v>983</v>
      </c>
      <c r="I730" s="38" t="s">
        <v>984</v>
      </c>
      <c r="J730" s="38" t="s">
        <v>132</v>
      </c>
      <c r="K730" s="38" t="s">
        <v>126</v>
      </c>
      <c r="L730" s="41">
        <v>46009.166666666664</v>
      </c>
      <c r="M730" s="38" t="s">
        <v>123</v>
      </c>
      <c r="N730" s="41">
        <v>46009.208333333336</v>
      </c>
      <c r="O730" s="38" t="s">
        <v>123</v>
      </c>
      <c r="P730" s="38">
        <v>3600.0</v>
      </c>
      <c r="Q730" s="39"/>
      <c r="R730" s="39"/>
      <c r="S730" s="39"/>
      <c r="T730" s="39"/>
      <c r="U730" s="39"/>
    </row>
    <row r="731">
      <c r="A731" s="40">
        <f t="shared" si="1"/>
        <v>46006</v>
      </c>
      <c r="B731" s="37" t="str">
        <f t="array" ref="B731">iferror(xlookup($I731, 'IMPORT VHC Report'!$E:$E, 'IMPORT VHC Report'!$A:$C), )</f>
        <v/>
      </c>
      <c r="C731" s="37"/>
      <c r="D731" s="37"/>
      <c r="E731" s="38" t="s">
        <v>993</v>
      </c>
      <c r="F731" s="38" t="s">
        <v>982</v>
      </c>
      <c r="G731" s="38">
        <v>3.61731348415E11</v>
      </c>
      <c r="H731" s="38" t="s">
        <v>983</v>
      </c>
      <c r="I731" s="38" t="s">
        <v>984</v>
      </c>
      <c r="J731" s="38" t="s">
        <v>368</v>
      </c>
      <c r="K731" s="38" t="s">
        <v>63</v>
      </c>
      <c r="L731" s="41">
        <v>46009.875</v>
      </c>
      <c r="M731" s="38" t="s">
        <v>123</v>
      </c>
      <c r="N731" s="41">
        <v>46010.25</v>
      </c>
      <c r="O731" s="38" t="s">
        <v>123</v>
      </c>
      <c r="P731" s="38">
        <v>32400.0</v>
      </c>
      <c r="Q731" s="39"/>
      <c r="R731" s="39"/>
      <c r="S731" s="39"/>
      <c r="T731" s="39"/>
      <c r="U731" s="39"/>
    </row>
    <row r="732">
      <c r="A732" s="40">
        <f t="shared" si="1"/>
        <v>46006</v>
      </c>
      <c r="B732" s="37" t="str">
        <f t="array" ref="B732">iferror(xlookup($I732, 'IMPORT VHC Report'!$E:$E, 'IMPORT VHC Report'!$A:$C), )</f>
        <v/>
      </c>
      <c r="C732" s="37"/>
      <c r="D732" s="37"/>
      <c r="E732" s="38" t="s">
        <v>994</v>
      </c>
      <c r="F732" s="38" t="s">
        <v>982</v>
      </c>
      <c r="G732" s="38">
        <v>3.61731348415E11</v>
      </c>
      <c r="H732" s="38" t="s">
        <v>983</v>
      </c>
      <c r="I732" s="38" t="s">
        <v>984</v>
      </c>
      <c r="J732" s="38" t="s">
        <v>134</v>
      </c>
      <c r="K732" s="38" t="s">
        <v>126</v>
      </c>
      <c r="L732" s="41">
        <v>46009.96875</v>
      </c>
      <c r="M732" s="38" t="s">
        <v>123</v>
      </c>
      <c r="N732" s="41">
        <v>46009.989583333336</v>
      </c>
      <c r="O732" s="38" t="s">
        <v>123</v>
      </c>
      <c r="P732" s="38">
        <v>1800.0</v>
      </c>
      <c r="Q732" s="39"/>
      <c r="R732" s="39"/>
      <c r="S732" s="39"/>
      <c r="T732" s="39"/>
      <c r="U732" s="39"/>
    </row>
    <row r="733">
      <c r="A733" s="40">
        <f t="shared" si="1"/>
        <v>46006</v>
      </c>
      <c r="B733" s="37" t="str">
        <f t="array" ref="B733">iferror(xlookup($I733, 'IMPORT VHC Report'!$E:$E, 'IMPORT VHC Report'!$A:$C), )</f>
        <v/>
      </c>
      <c r="C733" s="37"/>
      <c r="D733" s="37"/>
      <c r="E733" s="38" t="s">
        <v>995</v>
      </c>
      <c r="F733" s="38" t="s">
        <v>982</v>
      </c>
      <c r="G733" s="38">
        <v>3.61731348415E11</v>
      </c>
      <c r="H733" s="38" t="s">
        <v>983</v>
      </c>
      <c r="I733" s="38" t="s">
        <v>984</v>
      </c>
      <c r="J733" s="38" t="s">
        <v>132</v>
      </c>
      <c r="K733" s="38" t="s">
        <v>126</v>
      </c>
      <c r="L733" s="41">
        <v>46010.166666666664</v>
      </c>
      <c r="M733" s="38" t="s">
        <v>123</v>
      </c>
      <c r="N733" s="41">
        <v>46010.208333333336</v>
      </c>
      <c r="O733" s="38" t="s">
        <v>123</v>
      </c>
      <c r="P733" s="38">
        <v>3600.0</v>
      </c>
      <c r="Q733" s="39"/>
      <c r="R733" s="39"/>
      <c r="S733" s="39"/>
      <c r="T733" s="39"/>
      <c r="U733" s="39"/>
    </row>
    <row r="734">
      <c r="A734" s="40">
        <f t="shared" si="1"/>
        <v>46006</v>
      </c>
      <c r="B734" s="37" t="str">
        <f t="array" ref="B734">iferror(xlookup($I734, 'IMPORT VHC Report'!$E:$E, 'IMPORT VHC Report'!$A:$C), )</f>
        <v/>
      </c>
      <c r="C734" s="37"/>
      <c r="D734" s="37"/>
      <c r="E734" s="38" t="s">
        <v>996</v>
      </c>
      <c r="F734" s="38" t="s">
        <v>982</v>
      </c>
      <c r="G734" s="38">
        <v>3.61731348415E11</v>
      </c>
      <c r="H734" s="38" t="s">
        <v>983</v>
      </c>
      <c r="I734" s="38" t="s">
        <v>984</v>
      </c>
      <c r="J734" s="38" t="s">
        <v>368</v>
      </c>
      <c r="K734" s="38" t="s">
        <v>63</v>
      </c>
      <c r="L734" s="41">
        <v>46010.875</v>
      </c>
      <c r="M734" s="38" t="s">
        <v>123</v>
      </c>
      <c r="N734" s="41">
        <v>46011.25</v>
      </c>
      <c r="O734" s="38" t="s">
        <v>123</v>
      </c>
      <c r="P734" s="38">
        <v>32400.0</v>
      </c>
      <c r="Q734" s="39"/>
      <c r="R734" s="39"/>
      <c r="S734" s="39"/>
      <c r="T734" s="39"/>
      <c r="U734" s="39"/>
    </row>
    <row r="735">
      <c r="A735" s="40">
        <f t="shared" si="1"/>
        <v>46006</v>
      </c>
      <c r="B735" s="37" t="str">
        <f t="array" ref="B735">iferror(xlookup($I735, 'IMPORT VHC Report'!$E:$E, 'IMPORT VHC Report'!$A:$C), )</f>
        <v/>
      </c>
      <c r="C735" s="37"/>
      <c r="D735" s="37"/>
      <c r="E735" s="38" t="s">
        <v>997</v>
      </c>
      <c r="F735" s="38" t="s">
        <v>982</v>
      </c>
      <c r="G735" s="38">
        <v>3.61731348415E11</v>
      </c>
      <c r="H735" s="38" t="s">
        <v>983</v>
      </c>
      <c r="I735" s="38" t="s">
        <v>984</v>
      </c>
      <c r="J735" s="38" t="s">
        <v>178</v>
      </c>
      <c r="K735" s="38" t="s">
        <v>153</v>
      </c>
      <c r="L735" s="41">
        <v>46010.875</v>
      </c>
      <c r="M735" s="38" t="s">
        <v>123</v>
      </c>
      <c r="N735" s="41">
        <v>46011.25</v>
      </c>
      <c r="O735" s="38" t="s">
        <v>123</v>
      </c>
      <c r="P735" s="38">
        <v>32400.0</v>
      </c>
      <c r="Q735" s="38">
        <v>32400.0</v>
      </c>
      <c r="R735" s="39"/>
      <c r="S735" s="39"/>
      <c r="T735" s="39"/>
      <c r="U735" s="39"/>
    </row>
    <row r="736">
      <c r="A736" s="40">
        <f t="shared" si="1"/>
        <v>46006</v>
      </c>
      <c r="B736" s="37" t="str">
        <f t="array" ref="B736">iferror(xlookup($I736, 'IMPORT VHC Report'!$E:$E, 'IMPORT VHC Report'!$A:$C), )</f>
        <v/>
      </c>
      <c r="C736" s="37"/>
      <c r="D736" s="37"/>
      <c r="E736" s="38" t="s">
        <v>998</v>
      </c>
      <c r="F736" s="38" t="s">
        <v>982</v>
      </c>
      <c r="G736" s="38">
        <v>3.61731348415E11</v>
      </c>
      <c r="H736" s="38" t="s">
        <v>983</v>
      </c>
      <c r="I736" s="38" t="s">
        <v>984</v>
      </c>
      <c r="J736" s="38" t="s">
        <v>134</v>
      </c>
      <c r="K736" s="38" t="s">
        <v>126</v>
      </c>
      <c r="L736" s="41">
        <v>46011.0</v>
      </c>
      <c r="M736" s="38" t="s">
        <v>123</v>
      </c>
      <c r="N736" s="41">
        <v>46011.020833333336</v>
      </c>
      <c r="O736" s="38" t="s">
        <v>123</v>
      </c>
      <c r="P736" s="38">
        <v>1800.0</v>
      </c>
      <c r="Q736" s="39"/>
      <c r="R736" s="39"/>
      <c r="S736" s="39"/>
      <c r="T736" s="39"/>
      <c r="U736" s="39"/>
    </row>
    <row r="737">
      <c r="A737" s="40">
        <f t="shared" si="1"/>
        <v>46006</v>
      </c>
      <c r="B737" s="37" t="str">
        <f t="array" ref="B737">iferror(xlookup($I737, 'IMPORT VHC Report'!$E:$E, 'IMPORT VHC Report'!$A:$C), )</f>
        <v/>
      </c>
      <c r="C737" s="37"/>
      <c r="D737" s="37"/>
      <c r="E737" s="38" t="s">
        <v>999</v>
      </c>
      <c r="F737" s="38" t="s">
        <v>982</v>
      </c>
      <c r="G737" s="38">
        <v>3.61731348415E11</v>
      </c>
      <c r="H737" s="38" t="s">
        <v>983</v>
      </c>
      <c r="I737" s="38" t="s">
        <v>984</v>
      </c>
      <c r="J737" s="38" t="s">
        <v>132</v>
      </c>
      <c r="K737" s="38" t="s">
        <v>126</v>
      </c>
      <c r="L737" s="41">
        <v>46011.125</v>
      </c>
      <c r="M737" s="38" t="s">
        <v>123</v>
      </c>
      <c r="N737" s="41">
        <v>46011.166666666664</v>
      </c>
      <c r="O737" s="38" t="s">
        <v>123</v>
      </c>
      <c r="P737" s="38">
        <v>3600.0</v>
      </c>
      <c r="Q737" s="39"/>
      <c r="R737" s="39"/>
      <c r="S737" s="39"/>
      <c r="T737" s="39"/>
      <c r="U737" s="39"/>
    </row>
    <row r="738">
      <c r="A738" s="40">
        <f t="shared" si="1"/>
        <v>46006</v>
      </c>
      <c r="B738" s="37" t="str">
        <f t="array" ref="B738">iferror(xlookup($I738, 'IMPORT VHC Report'!$E:$E, 'IMPORT VHC Report'!$A:$C), )</f>
        <v/>
      </c>
      <c r="C738" s="37"/>
      <c r="D738" s="37"/>
      <c r="E738" s="38" t="s">
        <v>1000</v>
      </c>
      <c r="F738" s="38" t="s">
        <v>982</v>
      </c>
      <c r="G738" s="38">
        <v>3.61731348415E11</v>
      </c>
      <c r="H738" s="38" t="s">
        <v>983</v>
      </c>
      <c r="I738" s="38" t="s">
        <v>984</v>
      </c>
      <c r="J738" s="38" t="s">
        <v>368</v>
      </c>
      <c r="K738" s="38" t="s">
        <v>63</v>
      </c>
      <c r="L738" s="41">
        <v>46011.875</v>
      </c>
      <c r="M738" s="38" t="s">
        <v>123</v>
      </c>
      <c r="N738" s="41">
        <v>46012.25</v>
      </c>
      <c r="O738" s="38" t="s">
        <v>123</v>
      </c>
      <c r="P738" s="38">
        <v>32400.0</v>
      </c>
      <c r="Q738" s="39"/>
      <c r="R738" s="39"/>
      <c r="S738" s="39"/>
      <c r="T738" s="39"/>
      <c r="U738" s="39"/>
    </row>
    <row r="739">
      <c r="A739" s="40">
        <f t="shared" si="1"/>
        <v>46006</v>
      </c>
      <c r="B739" s="37" t="str">
        <f t="array" ref="B739">iferror(xlookup($I739, 'IMPORT VHC Report'!$E:$E, 'IMPORT VHC Report'!$A:$C), )</f>
        <v/>
      </c>
      <c r="C739" s="37"/>
      <c r="D739" s="37"/>
      <c r="E739" s="38" t="s">
        <v>1001</v>
      </c>
      <c r="F739" s="38" t="s">
        <v>982</v>
      </c>
      <c r="G739" s="38">
        <v>3.61731348415E11</v>
      </c>
      <c r="H739" s="38" t="s">
        <v>983</v>
      </c>
      <c r="I739" s="38" t="s">
        <v>984</v>
      </c>
      <c r="J739" s="38" t="s">
        <v>178</v>
      </c>
      <c r="K739" s="38" t="s">
        <v>153</v>
      </c>
      <c r="L739" s="41">
        <v>46011.875</v>
      </c>
      <c r="M739" s="38" t="s">
        <v>123</v>
      </c>
      <c r="N739" s="41">
        <v>46012.25</v>
      </c>
      <c r="O739" s="38" t="s">
        <v>123</v>
      </c>
      <c r="P739" s="38">
        <v>32400.0</v>
      </c>
      <c r="Q739" s="38">
        <v>32400.0</v>
      </c>
      <c r="R739" s="39"/>
      <c r="S739" s="39"/>
      <c r="T739" s="39"/>
      <c r="U739" s="39"/>
    </row>
    <row r="740">
      <c r="A740" s="40">
        <f t="shared" si="1"/>
        <v>46006</v>
      </c>
      <c r="B740" s="37" t="str">
        <f t="array" ref="B740">iferror(xlookup($I740, 'IMPORT VHC Report'!$E:$E, 'IMPORT VHC Report'!$A:$C), )</f>
        <v/>
      </c>
      <c r="C740" s="37"/>
      <c r="D740" s="37"/>
      <c r="E740" s="38" t="s">
        <v>1002</v>
      </c>
      <c r="F740" s="38" t="s">
        <v>982</v>
      </c>
      <c r="G740" s="38">
        <v>3.61731348415E11</v>
      </c>
      <c r="H740" s="38" t="s">
        <v>983</v>
      </c>
      <c r="I740" s="38" t="s">
        <v>984</v>
      </c>
      <c r="J740" s="38" t="s">
        <v>134</v>
      </c>
      <c r="K740" s="38" t="s">
        <v>126</v>
      </c>
      <c r="L740" s="41">
        <v>46011.979166666664</v>
      </c>
      <c r="M740" s="38" t="s">
        <v>123</v>
      </c>
      <c r="N740" s="41">
        <v>46012.0</v>
      </c>
      <c r="O740" s="38" t="s">
        <v>123</v>
      </c>
      <c r="P740" s="38">
        <v>1800.0</v>
      </c>
      <c r="Q740" s="39"/>
      <c r="R740" s="39"/>
      <c r="S740" s="39"/>
      <c r="T740" s="39"/>
      <c r="U740" s="39"/>
    </row>
    <row r="741">
      <c r="A741" s="40">
        <f t="shared" si="1"/>
        <v>46006</v>
      </c>
      <c r="B741" s="37" t="str">
        <f t="array" ref="B741">iferror(xlookup($I741, 'IMPORT VHC Report'!$E:$E, 'IMPORT VHC Report'!$A:$C), )</f>
        <v/>
      </c>
      <c r="C741" s="37"/>
      <c r="D741" s="37"/>
      <c r="E741" s="38" t="s">
        <v>1003</v>
      </c>
      <c r="F741" s="38" t="s">
        <v>982</v>
      </c>
      <c r="G741" s="38">
        <v>3.61731348415E11</v>
      </c>
      <c r="H741" s="38" t="s">
        <v>983</v>
      </c>
      <c r="I741" s="38" t="s">
        <v>984</v>
      </c>
      <c r="J741" s="38" t="s">
        <v>132</v>
      </c>
      <c r="K741" s="38" t="s">
        <v>126</v>
      </c>
      <c r="L741" s="41">
        <v>46012.104166666664</v>
      </c>
      <c r="M741" s="38" t="s">
        <v>123</v>
      </c>
      <c r="N741" s="41">
        <v>46012.145833333336</v>
      </c>
      <c r="O741" s="38" t="s">
        <v>123</v>
      </c>
      <c r="P741" s="38">
        <v>3600.0</v>
      </c>
      <c r="Q741" s="39"/>
      <c r="R741" s="39"/>
      <c r="S741" s="39"/>
      <c r="T741" s="39"/>
      <c r="U741" s="39"/>
    </row>
    <row r="742">
      <c r="A742" s="40">
        <f t="shared" si="1"/>
        <v>45999</v>
      </c>
      <c r="B742" s="37" t="str">
        <f t="array" ref="B742">iferror(xlookup($I742, 'IMPORT VHC Report'!$E:$E, 'IMPORT VHC Report'!$A:$C), )</f>
        <v/>
      </c>
      <c r="C742" s="37"/>
      <c r="D742" s="37"/>
      <c r="E742" s="38" t="s">
        <v>1004</v>
      </c>
      <c r="F742" s="38" t="s">
        <v>1005</v>
      </c>
      <c r="G742" s="38">
        <v>5.902016026895E12</v>
      </c>
      <c r="H742" s="38" t="s">
        <v>1006</v>
      </c>
      <c r="I742" s="38" t="s">
        <v>1007</v>
      </c>
      <c r="J742" s="38" t="s">
        <v>332</v>
      </c>
      <c r="K742" s="38" t="s">
        <v>63</v>
      </c>
      <c r="L742" s="41">
        <v>46005.979166666664</v>
      </c>
      <c r="M742" s="38" t="s">
        <v>123</v>
      </c>
      <c r="N742" s="41">
        <v>46006.25</v>
      </c>
      <c r="O742" s="38" t="s">
        <v>123</v>
      </c>
      <c r="P742" s="38">
        <v>23400.0</v>
      </c>
      <c r="Q742" s="39"/>
      <c r="R742" s="39"/>
      <c r="S742" s="39"/>
      <c r="T742" s="39"/>
      <c r="U742" s="39"/>
    </row>
    <row r="743">
      <c r="A743" s="40">
        <f t="shared" si="1"/>
        <v>45999</v>
      </c>
      <c r="B743" s="37" t="str">
        <f t="array" ref="B743">iferror(xlookup($I743, 'IMPORT VHC Report'!$E:$E, 'IMPORT VHC Report'!$A:$C), )</f>
        <v/>
      </c>
      <c r="C743" s="37"/>
      <c r="D743" s="37"/>
      <c r="E743" s="38" t="s">
        <v>1008</v>
      </c>
      <c r="F743" s="38" t="s">
        <v>1005</v>
      </c>
      <c r="G743" s="38">
        <v>5.902016026895E12</v>
      </c>
      <c r="H743" s="38" t="s">
        <v>1006</v>
      </c>
      <c r="I743" s="38" t="s">
        <v>1007</v>
      </c>
      <c r="J743" s="38" t="s">
        <v>134</v>
      </c>
      <c r="K743" s="38" t="s">
        <v>126</v>
      </c>
      <c r="L743" s="41">
        <v>46005.97986111111</v>
      </c>
      <c r="M743" s="38" t="s">
        <v>123</v>
      </c>
      <c r="N743" s="41">
        <v>46006.00069444445</v>
      </c>
      <c r="O743" s="38" t="s">
        <v>123</v>
      </c>
      <c r="P743" s="38">
        <v>1800.0</v>
      </c>
      <c r="Q743" s="39"/>
      <c r="R743" s="39"/>
      <c r="S743" s="38" t="s">
        <v>1009</v>
      </c>
      <c r="T743" s="39"/>
      <c r="U743" s="39"/>
    </row>
    <row r="744">
      <c r="A744" s="40">
        <f t="shared" si="1"/>
        <v>46006</v>
      </c>
      <c r="B744" s="37" t="str">
        <f t="array" ref="B744">iferror(xlookup($I744, 'IMPORT VHC Report'!$E:$E, 'IMPORT VHC Report'!$A:$C), )</f>
        <v/>
      </c>
      <c r="C744" s="37"/>
      <c r="D744" s="37"/>
      <c r="E744" s="38" t="s">
        <v>1010</v>
      </c>
      <c r="F744" s="38" t="s">
        <v>1005</v>
      </c>
      <c r="G744" s="38">
        <v>5.902016026895E12</v>
      </c>
      <c r="H744" s="38" t="s">
        <v>1006</v>
      </c>
      <c r="I744" s="38" t="s">
        <v>1007</v>
      </c>
      <c r="J744" s="38" t="s">
        <v>132</v>
      </c>
      <c r="K744" s="38" t="s">
        <v>126</v>
      </c>
      <c r="L744" s="41">
        <v>46006.09375</v>
      </c>
      <c r="M744" s="38" t="s">
        <v>123</v>
      </c>
      <c r="N744" s="41">
        <v>46006.135416666664</v>
      </c>
      <c r="O744" s="38" t="s">
        <v>123</v>
      </c>
      <c r="P744" s="38">
        <v>3600.0</v>
      </c>
      <c r="Q744" s="39"/>
      <c r="R744" s="39"/>
      <c r="S744" s="39"/>
      <c r="T744" s="39"/>
      <c r="U744" s="39"/>
    </row>
    <row r="745">
      <c r="A745" s="40">
        <f t="shared" si="1"/>
        <v>46006</v>
      </c>
      <c r="B745" s="37" t="str">
        <f t="array" ref="B745">iferror(xlookup($I745, 'IMPORT VHC Report'!$E:$E, 'IMPORT VHC Report'!$A:$C), )</f>
        <v/>
      </c>
      <c r="C745" s="37"/>
      <c r="D745" s="37"/>
      <c r="E745" s="38" t="s">
        <v>1011</v>
      </c>
      <c r="F745" s="38" t="s">
        <v>1005</v>
      </c>
      <c r="G745" s="38">
        <v>5.902016026895E12</v>
      </c>
      <c r="H745" s="38" t="s">
        <v>1006</v>
      </c>
      <c r="I745" s="38" t="s">
        <v>1007</v>
      </c>
      <c r="J745" s="38" t="s">
        <v>330</v>
      </c>
      <c r="K745" s="38" t="s">
        <v>126</v>
      </c>
      <c r="L745" s="41">
        <v>46008.875</v>
      </c>
      <c r="M745" s="38" t="s">
        <v>123</v>
      </c>
      <c r="N745" s="41">
        <v>46008.881944444445</v>
      </c>
      <c r="O745" s="38" t="s">
        <v>123</v>
      </c>
      <c r="P745" s="38">
        <v>600.0</v>
      </c>
      <c r="Q745" s="39"/>
      <c r="R745" s="39"/>
      <c r="S745" s="39"/>
      <c r="T745" s="39"/>
      <c r="U745" s="39"/>
    </row>
    <row r="746">
      <c r="A746" s="40">
        <f t="shared" si="1"/>
        <v>46006</v>
      </c>
      <c r="B746" s="37" t="str">
        <f t="array" ref="B746">iferror(xlookup($I746, 'IMPORT VHC Report'!$E:$E, 'IMPORT VHC Report'!$A:$C), )</f>
        <v/>
      </c>
      <c r="C746" s="37"/>
      <c r="D746" s="37"/>
      <c r="E746" s="38" t="s">
        <v>1012</v>
      </c>
      <c r="F746" s="38" t="s">
        <v>1005</v>
      </c>
      <c r="G746" s="38">
        <v>5.902016026895E12</v>
      </c>
      <c r="H746" s="38" t="s">
        <v>1006</v>
      </c>
      <c r="I746" s="38" t="s">
        <v>1007</v>
      </c>
      <c r="J746" s="38" t="s">
        <v>332</v>
      </c>
      <c r="K746" s="38" t="s">
        <v>63</v>
      </c>
      <c r="L746" s="41">
        <v>46008.875</v>
      </c>
      <c r="M746" s="38" t="s">
        <v>123</v>
      </c>
      <c r="N746" s="41">
        <v>46009.25</v>
      </c>
      <c r="O746" s="38" t="s">
        <v>123</v>
      </c>
      <c r="P746" s="38">
        <v>32400.0</v>
      </c>
      <c r="Q746" s="39"/>
      <c r="R746" s="39"/>
      <c r="S746" s="39"/>
      <c r="T746" s="39"/>
      <c r="U746" s="39"/>
    </row>
    <row r="747">
      <c r="A747" s="40">
        <f t="shared" si="1"/>
        <v>46006</v>
      </c>
      <c r="B747" s="37" t="str">
        <f t="array" ref="B747">iferror(xlookup($I747, 'IMPORT VHC Report'!$E:$E, 'IMPORT VHC Report'!$A:$C), )</f>
        <v/>
      </c>
      <c r="C747" s="37"/>
      <c r="D747" s="37"/>
      <c r="E747" s="38" t="s">
        <v>1013</v>
      </c>
      <c r="F747" s="38" t="s">
        <v>1005</v>
      </c>
      <c r="G747" s="38">
        <v>5.902016026895E12</v>
      </c>
      <c r="H747" s="38" t="s">
        <v>1006</v>
      </c>
      <c r="I747" s="38" t="s">
        <v>1007</v>
      </c>
      <c r="J747" s="38" t="s">
        <v>125</v>
      </c>
      <c r="K747" s="38" t="s">
        <v>126</v>
      </c>
      <c r="L747" s="41">
        <v>46008.91180555556</v>
      </c>
      <c r="M747" s="38" t="s">
        <v>123</v>
      </c>
      <c r="N747" s="41">
        <v>46008.916666666664</v>
      </c>
      <c r="O747" s="38" t="s">
        <v>123</v>
      </c>
      <c r="P747" s="38">
        <v>420.0</v>
      </c>
      <c r="Q747" s="39"/>
      <c r="R747" s="39"/>
      <c r="S747" s="38" t="s">
        <v>1014</v>
      </c>
      <c r="T747" s="39"/>
      <c r="U747" s="39"/>
    </row>
    <row r="748">
      <c r="A748" s="40">
        <f t="shared" si="1"/>
        <v>46006</v>
      </c>
      <c r="B748" s="37" t="str">
        <f t="array" ref="B748">iferror(xlookup($I748, 'IMPORT VHC Report'!$E:$E, 'IMPORT VHC Report'!$A:$C), )</f>
        <v/>
      </c>
      <c r="C748" s="37"/>
      <c r="D748" s="37"/>
      <c r="E748" s="38" t="s">
        <v>1015</v>
      </c>
      <c r="F748" s="38" t="s">
        <v>1005</v>
      </c>
      <c r="G748" s="38">
        <v>5.902016026895E12</v>
      </c>
      <c r="H748" s="38" t="s">
        <v>1006</v>
      </c>
      <c r="I748" s="38" t="s">
        <v>1007</v>
      </c>
      <c r="J748" s="38" t="s">
        <v>136</v>
      </c>
      <c r="K748" s="38" t="s">
        <v>126</v>
      </c>
      <c r="L748" s="41">
        <v>46008.916666666664</v>
      </c>
      <c r="M748" s="38" t="s">
        <v>123</v>
      </c>
      <c r="N748" s="41">
        <v>46008.958333333336</v>
      </c>
      <c r="O748" s="38" t="s">
        <v>123</v>
      </c>
      <c r="P748" s="38">
        <v>3600.0</v>
      </c>
      <c r="Q748" s="39"/>
      <c r="R748" s="39"/>
      <c r="S748" s="38" t="s">
        <v>137</v>
      </c>
      <c r="T748" s="39"/>
      <c r="U748" s="39"/>
    </row>
    <row r="749">
      <c r="A749" s="40">
        <f t="shared" si="1"/>
        <v>46006</v>
      </c>
      <c r="B749" s="37" t="str">
        <f t="array" ref="B749">iferror(xlookup($I749, 'IMPORT VHC Report'!$E:$E, 'IMPORT VHC Report'!$A:$C), )</f>
        <v/>
      </c>
      <c r="C749" s="37"/>
      <c r="D749" s="37"/>
      <c r="E749" s="38" t="s">
        <v>1016</v>
      </c>
      <c r="F749" s="38" t="s">
        <v>1005</v>
      </c>
      <c r="G749" s="38">
        <v>5.902016026895E12</v>
      </c>
      <c r="H749" s="38" t="s">
        <v>1006</v>
      </c>
      <c r="I749" s="38" t="s">
        <v>1007</v>
      </c>
      <c r="J749" s="38" t="s">
        <v>132</v>
      </c>
      <c r="K749" s="38" t="s">
        <v>126</v>
      </c>
      <c r="L749" s="41">
        <v>46009.00277777778</v>
      </c>
      <c r="M749" s="38" t="s">
        <v>123</v>
      </c>
      <c r="N749" s="41">
        <v>46009.041666666664</v>
      </c>
      <c r="O749" s="38" t="s">
        <v>123</v>
      </c>
      <c r="P749" s="38">
        <v>3360.0</v>
      </c>
      <c r="Q749" s="39"/>
      <c r="R749" s="39"/>
      <c r="S749" s="38" t="s">
        <v>1017</v>
      </c>
      <c r="T749" s="39"/>
      <c r="U749" s="39"/>
    </row>
    <row r="750">
      <c r="A750" s="40">
        <f t="shared" si="1"/>
        <v>46006</v>
      </c>
      <c r="B750" s="37" t="str">
        <f t="array" ref="B750">iferror(xlookup($I750, 'IMPORT VHC Report'!$E:$E, 'IMPORT VHC Report'!$A:$C), )</f>
        <v/>
      </c>
      <c r="C750" s="37"/>
      <c r="D750" s="37"/>
      <c r="E750" s="38" t="s">
        <v>1018</v>
      </c>
      <c r="F750" s="38" t="s">
        <v>1005</v>
      </c>
      <c r="G750" s="38">
        <v>5.902016026895E12</v>
      </c>
      <c r="H750" s="38" t="s">
        <v>1006</v>
      </c>
      <c r="I750" s="38" t="s">
        <v>1007</v>
      </c>
      <c r="J750" s="38" t="s">
        <v>125</v>
      </c>
      <c r="K750" s="38" t="s">
        <v>126</v>
      </c>
      <c r="L750" s="41">
        <v>46009.12777777778</v>
      </c>
      <c r="M750" s="38" t="s">
        <v>123</v>
      </c>
      <c r="N750" s="41">
        <v>46009.145833333336</v>
      </c>
      <c r="O750" s="38" t="s">
        <v>123</v>
      </c>
      <c r="P750" s="38">
        <v>1560.0</v>
      </c>
      <c r="Q750" s="39"/>
      <c r="R750" s="39"/>
      <c r="S750" s="38" t="s">
        <v>1019</v>
      </c>
      <c r="T750" s="39"/>
      <c r="U750" s="39"/>
    </row>
    <row r="751">
      <c r="A751" s="40">
        <f t="shared" si="1"/>
        <v>46006</v>
      </c>
      <c r="B751" s="37" t="str">
        <f t="array" ref="B751">iferror(xlookup($I751, 'IMPORT VHC Report'!$E:$E, 'IMPORT VHC Report'!$A:$C), )</f>
        <v/>
      </c>
      <c r="C751" s="37"/>
      <c r="D751" s="37"/>
      <c r="E751" s="38" t="s">
        <v>1020</v>
      </c>
      <c r="F751" s="38" t="s">
        <v>1005</v>
      </c>
      <c r="G751" s="38">
        <v>5.902016026895E12</v>
      </c>
      <c r="H751" s="38" t="s">
        <v>1006</v>
      </c>
      <c r="I751" s="38" t="s">
        <v>1007</v>
      </c>
      <c r="J751" s="38" t="s">
        <v>134</v>
      </c>
      <c r="K751" s="38" t="s">
        <v>126</v>
      </c>
      <c r="L751" s="41">
        <v>46009.145833333336</v>
      </c>
      <c r="M751" s="38" t="s">
        <v>123</v>
      </c>
      <c r="N751" s="41">
        <v>46009.166666666664</v>
      </c>
      <c r="O751" s="38" t="s">
        <v>123</v>
      </c>
      <c r="P751" s="38">
        <v>1800.0</v>
      </c>
      <c r="Q751" s="39"/>
      <c r="R751" s="39"/>
      <c r="S751" s="39"/>
      <c r="T751" s="39"/>
      <c r="U751" s="39"/>
    </row>
    <row r="752">
      <c r="A752" s="40">
        <f t="shared" si="1"/>
        <v>46006</v>
      </c>
      <c r="B752" s="37" t="str">
        <f t="array" ref="B752">iferror(xlookup($I752, 'IMPORT VHC Report'!$E:$E, 'IMPORT VHC Report'!$A:$C), )</f>
        <v/>
      </c>
      <c r="C752" s="37"/>
      <c r="D752" s="37"/>
      <c r="E752" s="38" t="s">
        <v>1021</v>
      </c>
      <c r="F752" s="38" t="s">
        <v>1005</v>
      </c>
      <c r="G752" s="38">
        <v>5.902016026895E12</v>
      </c>
      <c r="H752" s="38" t="s">
        <v>1006</v>
      </c>
      <c r="I752" s="38" t="s">
        <v>1007</v>
      </c>
      <c r="J752" s="38" t="s">
        <v>4</v>
      </c>
      <c r="K752" s="38" t="s">
        <v>126</v>
      </c>
      <c r="L752" s="41">
        <v>46009.166666666664</v>
      </c>
      <c r="M752" s="38" t="s">
        <v>123</v>
      </c>
      <c r="N752" s="41">
        <v>46009.208333333336</v>
      </c>
      <c r="O752" s="38" t="s">
        <v>123</v>
      </c>
      <c r="P752" s="38">
        <v>3600.0</v>
      </c>
      <c r="Q752" s="39"/>
      <c r="R752" s="39"/>
      <c r="S752" s="38" t="s">
        <v>336</v>
      </c>
      <c r="T752" s="39"/>
      <c r="U752" s="39"/>
    </row>
    <row r="753">
      <c r="A753" s="40">
        <f t="shared" si="1"/>
        <v>46006</v>
      </c>
      <c r="B753" s="37" t="str">
        <f t="array" ref="B753">iferror(xlookup($I753, 'IMPORT VHC Report'!$E:$E, 'IMPORT VHC Report'!$A:$C), )</f>
        <v/>
      </c>
      <c r="C753" s="37"/>
      <c r="D753" s="37"/>
      <c r="E753" s="38" t="s">
        <v>1022</v>
      </c>
      <c r="F753" s="38" t="s">
        <v>1005</v>
      </c>
      <c r="G753" s="38">
        <v>5.902016026895E12</v>
      </c>
      <c r="H753" s="38" t="s">
        <v>1006</v>
      </c>
      <c r="I753" s="38" t="s">
        <v>1007</v>
      </c>
      <c r="J753" s="38" t="s">
        <v>125</v>
      </c>
      <c r="K753" s="38" t="s">
        <v>126</v>
      </c>
      <c r="L753" s="41">
        <v>46009.208333333336</v>
      </c>
      <c r="M753" s="38" t="s">
        <v>123</v>
      </c>
      <c r="N753" s="41">
        <v>46009.222916666666</v>
      </c>
      <c r="O753" s="38" t="s">
        <v>123</v>
      </c>
      <c r="P753" s="38">
        <v>1260.0</v>
      </c>
      <c r="Q753" s="39"/>
      <c r="R753" s="39"/>
      <c r="S753" s="38" t="s">
        <v>1023</v>
      </c>
      <c r="T753" s="39"/>
      <c r="U753" s="39"/>
    </row>
    <row r="754">
      <c r="A754" s="40">
        <f t="shared" si="1"/>
        <v>46006</v>
      </c>
      <c r="B754" s="37" t="str">
        <f t="array" ref="B754">iferror(xlookup($I754, 'IMPORT VHC Report'!$E:$E, 'IMPORT VHC Report'!$A:$C), )</f>
        <v/>
      </c>
      <c r="C754" s="37"/>
      <c r="D754" s="37"/>
      <c r="E754" s="38" t="s">
        <v>1024</v>
      </c>
      <c r="F754" s="38" t="s">
        <v>1005</v>
      </c>
      <c r="G754" s="38">
        <v>5.902016026895E12</v>
      </c>
      <c r="H754" s="38" t="s">
        <v>1006</v>
      </c>
      <c r="I754" s="38" t="s">
        <v>1007</v>
      </c>
      <c r="J754" s="38" t="s">
        <v>330</v>
      </c>
      <c r="K754" s="38" t="s">
        <v>126</v>
      </c>
      <c r="L754" s="41">
        <v>46009.875</v>
      </c>
      <c r="M754" s="38" t="s">
        <v>123</v>
      </c>
      <c r="N754" s="41">
        <v>46009.881944444445</v>
      </c>
      <c r="O754" s="38" t="s">
        <v>123</v>
      </c>
      <c r="P754" s="38">
        <v>600.0</v>
      </c>
      <c r="Q754" s="39"/>
      <c r="R754" s="39"/>
      <c r="S754" s="39"/>
      <c r="T754" s="39"/>
      <c r="U754" s="39"/>
    </row>
    <row r="755">
      <c r="A755" s="40">
        <f t="shared" si="1"/>
        <v>46006</v>
      </c>
      <c r="B755" s="37" t="str">
        <f t="array" ref="B755">iferror(xlookup($I755, 'IMPORT VHC Report'!$E:$E, 'IMPORT VHC Report'!$A:$C), )</f>
        <v/>
      </c>
      <c r="C755" s="37"/>
      <c r="D755" s="37"/>
      <c r="E755" s="38" t="s">
        <v>1025</v>
      </c>
      <c r="F755" s="38" t="s">
        <v>1005</v>
      </c>
      <c r="G755" s="38">
        <v>5.902016026895E12</v>
      </c>
      <c r="H755" s="38" t="s">
        <v>1006</v>
      </c>
      <c r="I755" s="38" t="s">
        <v>1007</v>
      </c>
      <c r="J755" s="38" t="s">
        <v>332</v>
      </c>
      <c r="K755" s="38" t="s">
        <v>63</v>
      </c>
      <c r="L755" s="41">
        <v>46009.875</v>
      </c>
      <c r="M755" s="38" t="s">
        <v>123</v>
      </c>
      <c r="N755" s="41">
        <v>46010.25</v>
      </c>
      <c r="O755" s="38" t="s">
        <v>123</v>
      </c>
      <c r="P755" s="38">
        <v>32400.0</v>
      </c>
      <c r="Q755" s="39"/>
      <c r="R755" s="39"/>
      <c r="S755" s="39"/>
      <c r="T755" s="39"/>
      <c r="U755" s="39"/>
    </row>
    <row r="756">
      <c r="A756" s="40">
        <f t="shared" si="1"/>
        <v>46006</v>
      </c>
      <c r="B756" s="37" t="str">
        <f t="array" ref="B756">iferror(xlookup($I756, 'IMPORT VHC Report'!$E:$E, 'IMPORT VHC Report'!$A:$C), )</f>
        <v/>
      </c>
      <c r="C756" s="37"/>
      <c r="D756" s="37"/>
      <c r="E756" s="38" t="s">
        <v>1026</v>
      </c>
      <c r="F756" s="38" t="s">
        <v>1005</v>
      </c>
      <c r="G756" s="38">
        <v>5.902016026895E12</v>
      </c>
      <c r="H756" s="38" t="s">
        <v>1006</v>
      </c>
      <c r="I756" s="38" t="s">
        <v>1007</v>
      </c>
      <c r="J756" s="38" t="s">
        <v>134</v>
      </c>
      <c r="K756" s="38" t="s">
        <v>126</v>
      </c>
      <c r="L756" s="41">
        <v>46010.0</v>
      </c>
      <c r="M756" s="38" t="s">
        <v>123</v>
      </c>
      <c r="N756" s="41">
        <v>46010.020833333336</v>
      </c>
      <c r="O756" s="38" t="s">
        <v>123</v>
      </c>
      <c r="P756" s="38">
        <v>1800.0</v>
      </c>
      <c r="Q756" s="39"/>
      <c r="R756" s="39"/>
      <c r="S756" s="39"/>
      <c r="T756" s="39"/>
      <c r="U756" s="39"/>
    </row>
    <row r="757">
      <c r="A757" s="40">
        <f t="shared" si="1"/>
        <v>46006</v>
      </c>
      <c r="B757" s="37" t="str">
        <f t="array" ref="B757">iferror(xlookup($I757, 'IMPORT VHC Report'!$E:$E, 'IMPORT VHC Report'!$A:$C), )</f>
        <v/>
      </c>
      <c r="C757" s="37"/>
      <c r="D757" s="37"/>
      <c r="E757" s="38" t="s">
        <v>1027</v>
      </c>
      <c r="F757" s="38" t="s">
        <v>1005</v>
      </c>
      <c r="G757" s="38">
        <v>5.902016026895E12</v>
      </c>
      <c r="H757" s="38" t="s">
        <v>1006</v>
      </c>
      <c r="I757" s="38" t="s">
        <v>1007</v>
      </c>
      <c r="J757" s="38" t="s">
        <v>132</v>
      </c>
      <c r="K757" s="38" t="s">
        <v>126</v>
      </c>
      <c r="L757" s="41">
        <v>46010.104166666664</v>
      </c>
      <c r="M757" s="38" t="s">
        <v>123</v>
      </c>
      <c r="N757" s="41">
        <v>46010.145833333336</v>
      </c>
      <c r="O757" s="38" t="s">
        <v>123</v>
      </c>
      <c r="P757" s="38">
        <v>3600.0</v>
      </c>
      <c r="Q757" s="39"/>
      <c r="R757" s="39"/>
      <c r="S757" s="39"/>
      <c r="T757" s="39"/>
      <c r="U757" s="39"/>
    </row>
    <row r="758">
      <c r="A758" s="40">
        <f t="shared" si="1"/>
        <v>46006</v>
      </c>
      <c r="B758" s="37" t="str">
        <f t="array" ref="B758">iferror(xlookup($I758, 'IMPORT VHC Report'!$E:$E, 'IMPORT VHC Report'!$A:$C), )</f>
        <v/>
      </c>
      <c r="C758" s="37"/>
      <c r="D758" s="37"/>
      <c r="E758" s="38" t="s">
        <v>1028</v>
      </c>
      <c r="F758" s="38" t="s">
        <v>1005</v>
      </c>
      <c r="G758" s="38">
        <v>5.902016026895E12</v>
      </c>
      <c r="H758" s="38" t="s">
        <v>1006</v>
      </c>
      <c r="I758" s="38" t="s">
        <v>1007</v>
      </c>
      <c r="J758" s="38" t="s">
        <v>330</v>
      </c>
      <c r="K758" s="38" t="s">
        <v>126</v>
      </c>
      <c r="L758" s="41">
        <v>46010.875</v>
      </c>
      <c r="M758" s="38" t="s">
        <v>123</v>
      </c>
      <c r="N758" s="41">
        <v>46010.881944444445</v>
      </c>
      <c r="O758" s="38" t="s">
        <v>123</v>
      </c>
      <c r="P758" s="38">
        <v>600.0</v>
      </c>
      <c r="Q758" s="39"/>
      <c r="R758" s="39"/>
      <c r="S758" s="39"/>
      <c r="T758" s="39"/>
      <c r="U758" s="39"/>
    </row>
    <row r="759">
      <c r="A759" s="40">
        <f t="shared" si="1"/>
        <v>46006</v>
      </c>
      <c r="B759" s="37" t="str">
        <f t="array" ref="B759">iferror(xlookup($I759, 'IMPORT VHC Report'!$E:$E, 'IMPORT VHC Report'!$A:$C), )</f>
        <v/>
      </c>
      <c r="C759" s="37"/>
      <c r="D759" s="37"/>
      <c r="E759" s="38" t="s">
        <v>1029</v>
      </c>
      <c r="F759" s="38" t="s">
        <v>1005</v>
      </c>
      <c r="G759" s="38">
        <v>5.902016026895E12</v>
      </c>
      <c r="H759" s="38" t="s">
        <v>1006</v>
      </c>
      <c r="I759" s="38" t="s">
        <v>1007</v>
      </c>
      <c r="J759" s="38" t="s">
        <v>332</v>
      </c>
      <c r="K759" s="38" t="s">
        <v>63</v>
      </c>
      <c r="L759" s="41">
        <v>46010.875</v>
      </c>
      <c r="M759" s="38" t="s">
        <v>123</v>
      </c>
      <c r="N759" s="41">
        <v>46011.25</v>
      </c>
      <c r="O759" s="38" t="s">
        <v>123</v>
      </c>
      <c r="P759" s="38">
        <v>32400.0</v>
      </c>
      <c r="Q759" s="39"/>
      <c r="R759" s="39"/>
      <c r="S759" s="39"/>
      <c r="T759" s="39"/>
      <c r="U759" s="39"/>
    </row>
    <row r="760">
      <c r="A760" s="40">
        <f t="shared" si="1"/>
        <v>46006</v>
      </c>
      <c r="B760" s="37" t="str">
        <f t="array" ref="B760">iferror(xlookup($I760, 'IMPORT VHC Report'!$E:$E, 'IMPORT VHC Report'!$A:$C), )</f>
        <v/>
      </c>
      <c r="C760" s="37"/>
      <c r="D760" s="37"/>
      <c r="E760" s="38" t="s">
        <v>1030</v>
      </c>
      <c r="F760" s="38" t="s">
        <v>1005</v>
      </c>
      <c r="G760" s="38">
        <v>5.902016026895E12</v>
      </c>
      <c r="H760" s="38" t="s">
        <v>1006</v>
      </c>
      <c r="I760" s="38" t="s">
        <v>1007</v>
      </c>
      <c r="J760" s="38" t="s">
        <v>330</v>
      </c>
      <c r="K760" s="38" t="s">
        <v>126</v>
      </c>
      <c r="L760" s="41">
        <v>46010.958333333336</v>
      </c>
      <c r="M760" s="38" t="s">
        <v>123</v>
      </c>
      <c r="N760" s="41">
        <v>46010.979166666664</v>
      </c>
      <c r="O760" s="38" t="s">
        <v>123</v>
      </c>
      <c r="P760" s="38">
        <v>1800.0</v>
      </c>
      <c r="Q760" s="39"/>
      <c r="R760" s="39"/>
      <c r="S760" s="39"/>
      <c r="T760" s="39"/>
      <c r="U760" s="39"/>
    </row>
    <row r="761">
      <c r="A761" s="40">
        <f t="shared" si="1"/>
        <v>46006</v>
      </c>
      <c r="B761" s="37" t="str">
        <f t="array" ref="B761">iferror(xlookup($I761, 'IMPORT VHC Report'!$E:$E, 'IMPORT VHC Report'!$A:$C), )</f>
        <v/>
      </c>
      <c r="C761" s="37"/>
      <c r="D761" s="37"/>
      <c r="E761" s="38" t="s">
        <v>1031</v>
      </c>
      <c r="F761" s="38" t="s">
        <v>1005</v>
      </c>
      <c r="G761" s="38">
        <v>5.902016026895E12</v>
      </c>
      <c r="H761" s="38" t="s">
        <v>1006</v>
      </c>
      <c r="I761" s="38" t="s">
        <v>1007</v>
      </c>
      <c r="J761" s="38" t="s">
        <v>134</v>
      </c>
      <c r="K761" s="38" t="s">
        <v>126</v>
      </c>
      <c r="L761" s="41">
        <v>46010.979166666664</v>
      </c>
      <c r="M761" s="38" t="s">
        <v>123</v>
      </c>
      <c r="N761" s="41">
        <v>46011.0</v>
      </c>
      <c r="O761" s="38" t="s">
        <v>123</v>
      </c>
      <c r="P761" s="38">
        <v>1800.0</v>
      </c>
      <c r="Q761" s="39"/>
      <c r="R761" s="39"/>
      <c r="S761" s="39"/>
      <c r="T761" s="39"/>
      <c r="U761" s="39"/>
    </row>
    <row r="762">
      <c r="A762" s="40">
        <f t="shared" si="1"/>
        <v>46006</v>
      </c>
      <c r="B762" s="37" t="str">
        <f t="array" ref="B762">iferror(xlookup($I762, 'IMPORT VHC Report'!$E:$E, 'IMPORT VHC Report'!$A:$C), )</f>
        <v/>
      </c>
      <c r="C762" s="37"/>
      <c r="D762" s="37"/>
      <c r="E762" s="38" t="s">
        <v>1032</v>
      </c>
      <c r="F762" s="38" t="s">
        <v>1005</v>
      </c>
      <c r="G762" s="38">
        <v>5.902016026895E12</v>
      </c>
      <c r="H762" s="38" t="s">
        <v>1006</v>
      </c>
      <c r="I762" s="38" t="s">
        <v>1007</v>
      </c>
      <c r="J762" s="38" t="s">
        <v>132</v>
      </c>
      <c r="K762" s="38" t="s">
        <v>126</v>
      </c>
      <c r="L762" s="41">
        <v>46011.145833333336</v>
      </c>
      <c r="M762" s="38" t="s">
        <v>123</v>
      </c>
      <c r="N762" s="41">
        <v>46011.1875</v>
      </c>
      <c r="O762" s="38" t="s">
        <v>123</v>
      </c>
      <c r="P762" s="38">
        <v>3600.0</v>
      </c>
      <c r="Q762" s="39"/>
      <c r="R762" s="39"/>
      <c r="S762" s="39"/>
      <c r="T762" s="39"/>
      <c r="U762" s="39"/>
    </row>
    <row r="763">
      <c r="A763" s="40">
        <f t="shared" si="1"/>
        <v>46006</v>
      </c>
      <c r="B763" s="37" t="str">
        <f t="array" ref="B763">iferror(xlookup($I763, 'IMPORT VHC Report'!$E:$E, 'IMPORT VHC Report'!$A:$C), )</f>
        <v/>
      </c>
      <c r="C763" s="37"/>
      <c r="D763" s="37"/>
      <c r="E763" s="38" t="s">
        <v>1033</v>
      </c>
      <c r="F763" s="38" t="s">
        <v>1005</v>
      </c>
      <c r="G763" s="38">
        <v>5.902016026895E12</v>
      </c>
      <c r="H763" s="38" t="s">
        <v>1006</v>
      </c>
      <c r="I763" s="38" t="s">
        <v>1007</v>
      </c>
      <c r="J763" s="38" t="s">
        <v>330</v>
      </c>
      <c r="K763" s="38" t="s">
        <v>126</v>
      </c>
      <c r="L763" s="41">
        <v>46011.958333333336</v>
      </c>
      <c r="M763" s="38" t="s">
        <v>123</v>
      </c>
      <c r="N763" s="41">
        <v>46011.96527777778</v>
      </c>
      <c r="O763" s="38" t="s">
        <v>123</v>
      </c>
      <c r="P763" s="38">
        <v>600.0</v>
      </c>
      <c r="Q763" s="39"/>
      <c r="R763" s="39"/>
      <c r="S763" s="39"/>
      <c r="T763" s="39"/>
      <c r="U763" s="39"/>
    </row>
    <row r="764">
      <c r="A764" s="40">
        <f t="shared" si="1"/>
        <v>46006</v>
      </c>
      <c r="B764" s="37" t="str">
        <f t="array" ref="B764">iferror(xlookup($I764, 'IMPORT VHC Report'!$E:$E, 'IMPORT VHC Report'!$A:$C), )</f>
        <v/>
      </c>
      <c r="C764" s="37"/>
      <c r="D764" s="37"/>
      <c r="E764" s="38" t="s">
        <v>1034</v>
      </c>
      <c r="F764" s="38" t="s">
        <v>1005</v>
      </c>
      <c r="G764" s="38">
        <v>5.902016026895E12</v>
      </c>
      <c r="H764" s="38" t="s">
        <v>1006</v>
      </c>
      <c r="I764" s="38" t="s">
        <v>1007</v>
      </c>
      <c r="J764" s="38" t="s">
        <v>332</v>
      </c>
      <c r="K764" s="38" t="s">
        <v>63</v>
      </c>
      <c r="L764" s="41">
        <v>46011.958333333336</v>
      </c>
      <c r="M764" s="38" t="s">
        <v>123</v>
      </c>
      <c r="N764" s="41">
        <v>46012.333333333336</v>
      </c>
      <c r="O764" s="38" t="s">
        <v>123</v>
      </c>
      <c r="P764" s="38">
        <v>32400.0</v>
      </c>
      <c r="Q764" s="39"/>
      <c r="R764" s="39"/>
      <c r="S764" s="39"/>
      <c r="T764" s="39"/>
      <c r="U764" s="39"/>
    </row>
    <row r="765">
      <c r="A765" s="40">
        <f t="shared" si="1"/>
        <v>46006</v>
      </c>
      <c r="B765" s="37" t="str">
        <f t="array" ref="B765">iferror(xlookup($I765, 'IMPORT VHC Report'!$E:$E, 'IMPORT VHC Report'!$A:$C), )</f>
        <v/>
      </c>
      <c r="C765" s="37"/>
      <c r="D765" s="37"/>
      <c r="E765" s="38" t="s">
        <v>1035</v>
      </c>
      <c r="F765" s="38" t="s">
        <v>1005</v>
      </c>
      <c r="G765" s="38">
        <v>5.902016026895E12</v>
      </c>
      <c r="H765" s="38" t="s">
        <v>1006</v>
      </c>
      <c r="I765" s="38" t="s">
        <v>1007</v>
      </c>
      <c r="J765" s="38" t="s">
        <v>132</v>
      </c>
      <c r="K765" s="38" t="s">
        <v>126</v>
      </c>
      <c r="L765" s="41">
        <v>46012.083333333336</v>
      </c>
      <c r="M765" s="38" t="s">
        <v>123</v>
      </c>
      <c r="N765" s="41">
        <v>46012.125</v>
      </c>
      <c r="O765" s="38" t="s">
        <v>123</v>
      </c>
      <c r="P765" s="38">
        <v>3600.0</v>
      </c>
      <c r="Q765" s="39"/>
      <c r="R765" s="39"/>
      <c r="S765" s="39"/>
      <c r="T765" s="39"/>
      <c r="U765" s="39"/>
    </row>
    <row r="766">
      <c r="A766" s="40">
        <f t="shared" si="1"/>
        <v>46006</v>
      </c>
      <c r="B766" s="37" t="str">
        <f t="array" ref="B766">iferror(xlookup($I766, 'IMPORT VHC Report'!$E:$E, 'IMPORT VHC Report'!$A:$C), )</f>
        <v/>
      </c>
      <c r="C766" s="37"/>
      <c r="D766" s="37"/>
      <c r="E766" s="38" t="s">
        <v>1036</v>
      </c>
      <c r="F766" s="38" t="s">
        <v>1005</v>
      </c>
      <c r="G766" s="38">
        <v>5.902016026895E12</v>
      </c>
      <c r="H766" s="38" t="s">
        <v>1006</v>
      </c>
      <c r="I766" s="38" t="s">
        <v>1007</v>
      </c>
      <c r="J766" s="38" t="s">
        <v>134</v>
      </c>
      <c r="K766" s="38" t="s">
        <v>126</v>
      </c>
      <c r="L766" s="41">
        <v>46012.229166666664</v>
      </c>
      <c r="M766" s="38" t="s">
        <v>123</v>
      </c>
      <c r="N766" s="41">
        <v>46012.25</v>
      </c>
      <c r="O766" s="38" t="s">
        <v>123</v>
      </c>
      <c r="P766" s="38">
        <v>1800.0</v>
      </c>
      <c r="Q766" s="39"/>
      <c r="R766" s="39"/>
      <c r="S766" s="39"/>
      <c r="T766" s="39"/>
      <c r="U766" s="39"/>
    </row>
    <row r="767">
      <c r="A767" s="40">
        <f t="shared" si="1"/>
        <v>46006</v>
      </c>
      <c r="B767" s="37" t="str">
        <f t="array" ref="B767">iferror(xlookup($I767, 'IMPORT VHC Report'!$E:$E, 'IMPORT VHC Report'!$A:$C), )</f>
        <v/>
      </c>
      <c r="C767" s="37"/>
      <c r="D767" s="37"/>
      <c r="E767" s="38" t="s">
        <v>1037</v>
      </c>
      <c r="F767" s="38" t="s">
        <v>1005</v>
      </c>
      <c r="G767" s="38">
        <v>5.902016026895E12</v>
      </c>
      <c r="H767" s="38" t="s">
        <v>1006</v>
      </c>
      <c r="I767" s="38" t="s">
        <v>1007</v>
      </c>
      <c r="J767" s="38" t="s">
        <v>4</v>
      </c>
      <c r="K767" s="38" t="s">
        <v>126</v>
      </c>
      <c r="L767" s="41">
        <v>46012.291666666664</v>
      </c>
      <c r="M767" s="38" t="s">
        <v>123</v>
      </c>
      <c r="N767" s="41">
        <v>46012.333333333336</v>
      </c>
      <c r="O767" s="38" t="s">
        <v>123</v>
      </c>
      <c r="P767" s="38">
        <v>3600.0</v>
      </c>
      <c r="Q767" s="39"/>
      <c r="R767" s="39"/>
      <c r="S767" s="38" t="s">
        <v>1038</v>
      </c>
      <c r="T767" s="39"/>
      <c r="U767" s="39"/>
    </row>
    <row r="768">
      <c r="A768" s="40">
        <f t="shared" si="1"/>
        <v>46006</v>
      </c>
      <c r="B768" s="37" t="str">
        <f t="array" ref="B768">iferror(xlookup($I768, 'IMPORT VHC Report'!$E:$E, 'IMPORT VHC Report'!$A:$C), )</f>
        <v/>
      </c>
      <c r="C768" s="37"/>
      <c r="D768" s="37"/>
      <c r="E768" s="38" t="s">
        <v>1039</v>
      </c>
      <c r="F768" s="38" t="s">
        <v>1005</v>
      </c>
      <c r="G768" s="38">
        <v>5.902016026895E12</v>
      </c>
      <c r="H768" s="38" t="s">
        <v>1006</v>
      </c>
      <c r="I768" s="38" t="s">
        <v>1007</v>
      </c>
      <c r="J768" s="38" t="s">
        <v>330</v>
      </c>
      <c r="K768" s="38" t="s">
        <v>126</v>
      </c>
      <c r="L768" s="41">
        <v>46012.875</v>
      </c>
      <c r="M768" s="38" t="s">
        <v>123</v>
      </c>
      <c r="N768" s="41">
        <v>46012.881944444445</v>
      </c>
      <c r="O768" s="38" t="s">
        <v>123</v>
      </c>
      <c r="P768" s="38">
        <v>600.0</v>
      </c>
      <c r="Q768" s="39"/>
      <c r="R768" s="39"/>
      <c r="S768" s="39"/>
      <c r="T768" s="39"/>
      <c r="U768" s="39"/>
    </row>
    <row r="769">
      <c r="A769" s="40">
        <f t="shared" si="1"/>
        <v>46006</v>
      </c>
      <c r="B769" s="37" t="str">
        <f t="array" ref="B769">iferror(xlookup($I769, 'IMPORT VHC Report'!$E:$E, 'IMPORT VHC Report'!$A:$C), )</f>
        <v/>
      </c>
      <c r="C769" s="37"/>
      <c r="D769" s="37"/>
      <c r="E769" s="38" t="s">
        <v>1040</v>
      </c>
      <c r="F769" s="38" t="s">
        <v>1005</v>
      </c>
      <c r="G769" s="38">
        <v>5.902016026895E12</v>
      </c>
      <c r="H769" s="38" t="s">
        <v>1006</v>
      </c>
      <c r="I769" s="38" t="s">
        <v>1007</v>
      </c>
      <c r="J769" s="38" t="s">
        <v>332</v>
      </c>
      <c r="K769" s="38" t="s">
        <v>63</v>
      </c>
      <c r="L769" s="41">
        <v>46012.875</v>
      </c>
      <c r="M769" s="38" t="s">
        <v>123</v>
      </c>
      <c r="N769" s="41">
        <v>46013.0</v>
      </c>
      <c r="O769" s="38" t="s">
        <v>123</v>
      </c>
      <c r="P769" s="38">
        <v>10800.0</v>
      </c>
      <c r="Q769" s="39"/>
      <c r="R769" s="39"/>
      <c r="S769" s="39"/>
      <c r="T769" s="39"/>
      <c r="U769" s="39"/>
    </row>
    <row r="770">
      <c r="A770" s="40">
        <f t="shared" si="1"/>
        <v>46006</v>
      </c>
      <c r="B770" s="37" t="str">
        <f t="array" ref="B770">iferror(xlookup($I770, 'IMPORT VHC Report'!$E:$E, 'IMPORT VHC Report'!$A:$C), )</f>
        <v/>
      </c>
      <c r="C770" s="37"/>
      <c r="D770" s="37"/>
      <c r="E770" s="38" t="s">
        <v>1041</v>
      </c>
      <c r="F770" s="38" t="s">
        <v>1005</v>
      </c>
      <c r="G770" s="38">
        <v>5.902016026895E12</v>
      </c>
      <c r="H770" s="38" t="s">
        <v>1006</v>
      </c>
      <c r="I770" s="38" t="s">
        <v>1007</v>
      </c>
      <c r="J770" s="38" t="s">
        <v>134</v>
      </c>
      <c r="K770" s="38" t="s">
        <v>126</v>
      </c>
      <c r="L770" s="41">
        <v>46012.979166666664</v>
      </c>
      <c r="M770" s="38" t="s">
        <v>123</v>
      </c>
      <c r="N770" s="41">
        <v>46013.0</v>
      </c>
      <c r="O770" s="38" t="s">
        <v>123</v>
      </c>
      <c r="P770" s="38">
        <v>1800.0</v>
      </c>
      <c r="Q770" s="39"/>
      <c r="R770" s="39"/>
      <c r="S770" s="39"/>
      <c r="T770" s="39"/>
      <c r="U770" s="39"/>
    </row>
    <row r="771">
      <c r="A771" s="40">
        <f t="shared" si="1"/>
        <v>46006</v>
      </c>
      <c r="B771" s="37" t="str">
        <f t="array" ref="B771">iferror(xlookup($I771, 'IMPORT VHC Report'!$E:$E, 'IMPORT VHC Report'!$A:$C), )</f>
        <v/>
      </c>
      <c r="C771" s="37"/>
      <c r="D771" s="37"/>
      <c r="E771" s="38" t="s">
        <v>1042</v>
      </c>
      <c r="F771" s="38" t="s">
        <v>1005</v>
      </c>
      <c r="G771" s="38">
        <v>5.902016026895E12</v>
      </c>
      <c r="H771" s="38" t="s">
        <v>1006</v>
      </c>
      <c r="I771" s="38" t="s">
        <v>1007</v>
      </c>
      <c r="J771" s="38" t="s">
        <v>332</v>
      </c>
      <c r="K771" s="38" t="s">
        <v>63</v>
      </c>
      <c r="L771" s="41">
        <v>46012.979166666664</v>
      </c>
      <c r="M771" s="38" t="s">
        <v>123</v>
      </c>
      <c r="N771" s="41">
        <v>46013.25</v>
      </c>
      <c r="O771" s="38" t="s">
        <v>123</v>
      </c>
      <c r="P771" s="38">
        <v>23400.0</v>
      </c>
      <c r="Q771" s="39"/>
      <c r="R771" s="39"/>
      <c r="S771" s="39"/>
      <c r="T771" s="39"/>
      <c r="U771" s="39"/>
    </row>
    <row r="772">
      <c r="A772" s="40">
        <f t="shared" si="1"/>
        <v>45999</v>
      </c>
      <c r="B772" s="37" t="str">
        <f t="array" ref="B772">iferror(xlookup($I772, 'IMPORT VHC Report'!$E:$E, 'IMPORT VHC Report'!$A:$C), )</f>
        <v/>
      </c>
      <c r="C772" s="37"/>
      <c r="D772" s="37"/>
      <c r="E772" s="38" t="s">
        <v>1043</v>
      </c>
      <c r="F772" s="38" t="s">
        <v>1044</v>
      </c>
      <c r="G772" s="39"/>
      <c r="H772" s="38" t="s">
        <v>1045</v>
      </c>
      <c r="I772" s="38" t="s">
        <v>1046</v>
      </c>
      <c r="J772" s="38" t="s">
        <v>224</v>
      </c>
      <c r="K772" s="38" t="s">
        <v>63</v>
      </c>
      <c r="L772" s="41">
        <v>46005.979166666664</v>
      </c>
      <c r="M772" s="38" t="s">
        <v>123</v>
      </c>
      <c r="N772" s="41">
        <v>46006.166666666664</v>
      </c>
      <c r="O772" s="38" t="s">
        <v>123</v>
      </c>
      <c r="P772" s="38">
        <v>16200.0</v>
      </c>
      <c r="Q772" s="39"/>
      <c r="R772" s="39"/>
      <c r="S772" s="38" t="s">
        <v>1047</v>
      </c>
      <c r="T772" s="39"/>
      <c r="U772" s="39"/>
    </row>
    <row r="773">
      <c r="A773" s="40">
        <f t="shared" si="1"/>
        <v>46006</v>
      </c>
      <c r="B773" s="37" t="str">
        <f t="array" ref="B773">iferror(xlookup($I773, 'IMPORT VHC Report'!$E:$E, 'IMPORT VHC Report'!$A:$C), )</f>
        <v/>
      </c>
      <c r="C773" s="37"/>
      <c r="D773" s="37"/>
      <c r="E773" s="38" t="s">
        <v>1048</v>
      </c>
      <c r="F773" s="38" t="s">
        <v>1044</v>
      </c>
      <c r="G773" s="39"/>
      <c r="H773" s="38" t="s">
        <v>1045</v>
      </c>
      <c r="I773" s="38" t="s">
        <v>1046</v>
      </c>
      <c r="J773" s="38" t="s">
        <v>224</v>
      </c>
      <c r="K773" s="38" t="s">
        <v>63</v>
      </c>
      <c r="L773" s="41">
        <v>46006.708333333336</v>
      </c>
      <c r="M773" s="38" t="s">
        <v>123</v>
      </c>
      <c r="N773" s="41">
        <v>46006.791666666664</v>
      </c>
      <c r="O773" s="38" t="s">
        <v>123</v>
      </c>
      <c r="P773" s="38">
        <v>7200.0</v>
      </c>
      <c r="Q773" s="39"/>
      <c r="R773" s="39"/>
      <c r="S773" s="39"/>
      <c r="T773" s="39"/>
      <c r="U773" s="39"/>
    </row>
    <row r="774">
      <c r="A774" s="40">
        <f t="shared" si="1"/>
        <v>46006</v>
      </c>
      <c r="B774" s="37" t="str">
        <f t="array" ref="B774">iferror(xlookup($I774, 'IMPORT VHC Report'!$E:$E, 'IMPORT VHC Report'!$A:$C), )</f>
        <v/>
      </c>
      <c r="C774" s="37"/>
      <c r="D774" s="37"/>
      <c r="E774" s="38" t="s">
        <v>1049</v>
      </c>
      <c r="F774" s="38" t="s">
        <v>1044</v>
      </c>
      <c r="G774" s="39"/>
      <c r="H774" s="38" t="s">
        <v>1045</v>
      </c>
      <c r="I774" s="38" t="s">
        <v>1046</v>
      </c>
      <c r="J774" s="38" t="s">
        <v>134</v>
      </c>
      <c r="K774" s="38" t="s">
        <v>126</v>
      </c>
      <c r="L774" s="41">
        <v>46006.791666666664</v>
      </c>
      <c r="M774" s="38" t="s">
        <v>123</v>
      </c>
      <c r="N774" s="41">
        <v>46006.802083333336</v>
      </c>
      <c r="O774" s="38" t="s">
        <v>123</v>
      </c>
      <c r="P774" s="38">
        <v>900.0</v>
      </c>
      <c r="Q774" s="39"/>
      <c r="R774" s="39"/>
      <c r="S774" s="39"/>
      <c r="T774" s="39"/>
      <c r="U774" s="39"/>
    </row>
    <row r="775">
      <c r="A775" s="40">
        <f t="shared" si="1"/>
        <v>46006</v>
      </c>
      <c r="B775" s="37" t="str">
        <f t="array" ref="B775">iferror(xlookup($I775, 'IMPORT VHC Report'!$E:$E, 'IMPORT VHC Report'!$A:$C), )</f>
        <v/>
      </c>
      <c r="C775" s="37"/>
      <c r="D775" s="37"/>
      <c r="E775" s="38" t="s">
        <v>1050</v>
      </c>
      <c r="F775" s="38" t="s">
        <v>1044</v>
      </c>
      <c r="G775" s="39"/>
      <c r="H775" s="38" t="s">
        <v>1045</v>
      </c>
      <c r="I775" s="38" t="s">
        <v>1046</v>
      </c>
      <c r="J775" s="38" t="s">
        <v>224</v>
      </c>
      <c r="K775" s="38" t="s">
        <v>63</v>
      </c>
      <c r="L775" s="41">
        <v>46006.802083333336</v>
      </c>
      <c r="M775" s="38" t="s">
        <v>123</v>
      </c>
      <c r="N775" s="41">
        <v>46006.864583333336</v>
      </c>
      <c r="O775" s="38" t="s">
        <v>123</v>
      </c>
      <c r="P775" s="38">
        <v>5400.0</v>
      </c>
      <c r="Q775" s="39"/>
      <c r="R775" s="39"/>
      <c r="S775" s="39"/>
      <c r="T775" s="39"/>
      <c r="U775" s="39"/>
    </row>
    <row r="776">
      <c r="A776" s="40">
        <f t="shared" si="1"/>
        <v>46006</v>
      </c>
      <c r="B776" s="37" t="str">
        <f t="array" ref="B776">iferror(xlookup($I776, 'IMPORT VHC Report'!$E:$E, 'IMPORT VHC Report'!$A:$C), )</f>
        <v/>
      </c>
      <c r="C776" s="37"/>
      <c r="D776" s="37"/>
      <c r="E776" s="38" t="s">
        <v>1051</v>
      </c>
      <c r="F776" s="38" t="s">
        <v>1044</v>
      </c>
      <c r="G776" s="39"/>
      <c r="H776" s="38" t="s">
        <v>1045</v>
      </c>
      <c r="I776" s="38" t="s">
        <v>1046</v>
      </c>
      <c r="J776" s="38" t="s">
        <v>134</v>
      </c>
      <c r="K776" s="38" t="s">
        <v>126</v>
      </c>
      <c r="L776" s="41">
        <v>46006.864583333336</v>
      </c>
      <c r="M776" s="38" t="s">
        <v>123</v>
      </c>
      <c r="N776" s="41">
        <v>46006.875</v>
      </c>
      <c r="O776" s="38" t="s">
        <v>123</v>
      </c>
      <c r="P776" s="38">
        <v>900.0</v>
      </c>
      <c r="Q776" s="39"/>
      <c r="R776" s="39"/>
      <c r="S776" s="39"/>
      <c r="T776" s="39"/>
      <c r="U776" s="39"/>
    </row>
    <row r="777">
      <c r="A777" s="40">
        <f t="shared" si="1"/>
        <v>46006</v>
      </c>
      <c r="B777" s="37" t="str">
        <f t="array" ref="B777">iferror(xlookup($I777, 'IMPORT VHC Report'!$E:$E, 'IMPORT VHC Report'!$A:$C), )</f>
        <v/>
      </c>
      <c r="C777" s="37"/>
      <c r="D777" s="37"/>
      <c r="E777" s="38" t="s">
        <v>1052</v>
      </c>
      <c r="F777" s="38" t="s">
        <v>1044</v>
      </c>
      <c r="G777" s="39"/>
      <c r="H777" s="38" t="s">
        <v>1045</v>
      </c>
      <c r="I777" s="38" t="s">
        <v>1046</v>
      </c>
      <c r="J777" s="38" t="s">
        <v>224</v>
      </c>
      <c r="K777" s="38" t="s">
        <v>63</v>
      </c>
      <c r="L777" s="41">
        <v>46006.875</v>
      </c>
      <c r="M777" s="38" t="s">
        <v>123</v>
      </c>
      <c r="N777" s="41">
        <v>46006.9375</v>
      </c>
      <c r="O777" s="38" t="s">
        <v>123</v>
      </c>
      <c r="P777" s="38">
        <v>5400.0</v>
      </c>
      <c r="Q777" s="39"/>
      <c r="R777" s="39"/>
      <c r="S777" s="39"/>
      <c r="T777" s="39"/>
      <c r="U777" s="39"/>
    </row>
    <row r="778">
      <c r="A778" s="40">
        <f t="shared" si="1"/>
        <v>46006</v>
      </c>
      <c r="B778" s="37" t="str">
        <f t="array" ref="B778">iferror(xlookup($I778, 'IMPORT VHC Report'!$E:$E, 'IMPORT VHC Report'!$A:$C), )</f>
        <v/>
      </c>
      <c r="C778" s="37"/>
      <c r="D778" s="37"/>
      <c r="E778" s="38" t="s">
        <v>1053</v>
      </c>
      <c r="F778" s="38" t="s">
        <v>1044</v>
      </c>
      <c r="G778" s="39"/>
      <c r="H778" s="38" t="s">
        <v>1045</v>
      </c>
      <c r="I778" s="38" t="s">
        <v>1046</v>
      </c>
      <c r="J778" s="38" t="s">
        <v>132</v>
      </c>
      <c r="K778" s="38" t="s">
        <v>126</v>
      </c>
      <c r="L778" s="41">
        <v>46006.9375</v>
      </c>
      <c r="M778" s="38" t="s">
        <v>123</v>
      </c>
      <c r="N778" s="41">
        <v>46006.979166666664</v>
      </c>
      <c r="O778" s="38" t="s">
        <v>123</v>
      </c>
      <c r="P778" s="38">
        <v>3600.0</v>
      </c>
      <c r="Q778" s="39"/>
      <c r="R778" s="39"/>
      <c r="S778" s="39"/>
      <c r="T778" s="39"/>
      <c r="U778" s="39"/>
    </row>
    <row r="779">
      <c r="A779" s="40">
        <f t="shared" si="1"/>
        <v>46006</v>
      </c>
      <c r="B779" s="37" t="str">
        <f t="array" ref="B779">iferror(xlookup($I779, 'IMPORT VHC Report'!$E:$E, 'IMPORT VHC Report'!$A:$C), )</f>
        <v/>
      </c>
      <c r="C779" s="37"/>
      <c r="D779" s="37"/>
      <c r="E779" s="38" t="s">
        <v>1054</v>
      </c>
      <c r="F779" s="38" t="s">
        <v>1044</v>
      </c>
      <c r="G779" s="39"/>
      <c r="H779" s="38" t="s">
        <v>1045</v>
      </c>
      <c r="I779" s="38" t="s">
        <v>1046</v>
      </c>
      <c r="J779" s="38" t="s">
        <v>224</v>
      </c>
      <c r="K779" s="38" t="s">
        <v>63</v>
      </c>
      <c r="L779" s="41">
        <v>46006.979166666664</v>
      </c>
      <c r="M779" s="38" t="s">
        <v>123</v>
      </c>
      <c r="N779" s="41">
        <v>46007.083333333336</v>
      </c>
      <c r="O779" s="38" t="s">
        <v>123</v>
      </c>
      <c r="P779" s="38">
        <v>9000.0</v>
      </c>
      <c r="Q779" s="39"/>
      <c r="R779" s="39"/>
      <c r="S779" s="39"/>
      <c r="T779" s="39"/>
      <c r="U779" s="39"/>
    </row>
    <row r="780">
      <c r="A780" s="40">
        <f t="shared" si="1"/>
        <v>46006</v>
      </c>
      <c r="B780" s="37" t="str">
        <f t="array" ref="B780">iferror(xlookup($I780, 'IMPORT VHC Report'!$E:$E, 'IMPORT VHC Report'!$A:$C), )</f>
        <v/>
      </c>
      <c r="C780" s="37"/>
      <c r="D780" s="37"/>
      <c r="E780" s="38" t="s">
        <v>1055</v>
      </c>
      <c r="F780" s="38" t="s">
        <v>1044</v>
      </c>
      <c r="G780" s="39"/>
      <c r="H780" s="38" t="s">
        <v>1045</v>
      </c>
      <c r="I780" s="38" t="s">
        <v>1046</v>
      </c>
      <c r="J780" s="38" t="s">
        <v>224</v>
      </c>
      <c r="K780" s="38" t="s">
        <v>63</v>
      </c>
      <c r="L780" s="41">
        <v>46007.708333333336</v>
      </c>
      <c r="M780" s="38" t="s">
        <v>123</v>
      </c>
      <c r="N780" s="41">
        <v>46007.96875</v>
      </c>
      <c r="O780" s="38" t="s">
        <v>123</v>
      </c>
      <c r="P780" s="38">
        <v>22500.0</v>
      </c>
      <c r="Q780" s="39"/>
      <c r="R780" s="39"/>
      <c r="S780" s="39"/>
      <c r="T780" s="39"/>
      <c r="U780" s="39"/>
    </row>
    <row r="781">
      <c r="A781" s="40">
        <f t="shared" si="1"/>
        <v>46006</v>
      </c>
      <c r="B781" s="37" t="str">
        <f t="array" ref="B781">iferror(xlookup($I781, 'IMPORT VHC Report'!$E:$E, 'IMPORT VHC Report'!$A:$C), )</f>
        <v/>
      </c>
      <c r="C781" s="37"/>
      <c r="D781" s="37"/>
      <c r="E781" s="38" t="s">
        <v>1056</v>
      </c>
      <c r="F781" s="38" t="s">
        <v>1044</v>
      </c>
      <c r="G781" s="39"/>
      <c r="H781" s="38" t="s">
        <v>1045</v>
      </c>
      <c r="I781" s="38" t="s">
        <v>1046</v>
      </c>
      <c r="J781" s="38" t="s">
        <v>134</v>
      </c>
      <c r="K781" s="38" t="s">
        <v>126</v>
      </c>
      <c r="L781" s="41">
        <v>46007.8125</v>
      </c>
      <c r="M781" s="38" t="s">
        <v>123</v>
      </c>
      <c r="N781" s="41">
        <v>46007.822916666664</v>
      </c>
      <c r="O781" s="38" t="s">
        <v>123</v>
      </c>
      <c r="P781" s="38">
        <v>900.0</v>
      </c>
      <c r="Q781" s="39"/>
      <c r="R781" s="39"/>
      <c r="S781" s="39"/>
      <c r="T781" s="39"/>
      <c r="U781" s="39"/>
    </row>
    <row r="782">
      <c r="A782" s="40">
        <f t="shared" si="1"/>
        <v>46006</v>
      </c>
      <c r="B782" s="37" t="str">
        <f t="array" ref="B782">iferror(xlookup($I782, 'IMPORT VHC Report'!$E:$E, 'IMPORT VHC Report'!$A:$C), )</f>
        <v/>
      </c>
      <c r="C782" s="37"/>
      <c r="D782" s="37"/>
      <c r="E782" s="38" t="s">
        <v>1057</v>
      </c>
      <c r="F782" s="38" t="s">
        <v>1044</v>
      </c>
      <c r="G782" s="39"/>
      <c r="H782" s="38" t="s">
        <v>1045</v>
      </c>
      <c r="I782" s="38" t="s">
        <v>1046</v>
      </c>
      <c r="J782" s="38" t="s">
        <v>134</v>
      </c>
      <c r="K782" s="38" t="s">
        <v>126</v>
      </c>
      <c r="L782" s="41">
        <v>46007.895833333336</v>
      </c>
      <c r="M782" s="38" t="s">
        <v>123</v>
      </c>
      <c r="N782" s="41">
        <v>46007.90625</v>
      </c>
      <c r="O782" s="38" t="s">
        <v>123</v>
      </c>
      <c r="P782" s="38">
        <v>900.0</v>
      </c>
      <c r="Q782" s="39"/>
      <c r="R782" s="39"/>
      <c r="S782" s="39"/>
      <c r="T782" s="39"/>
      <c r="U782" s="39"/>
    </row>
    <row r="783">
      <c r="A783" s="40">
        <f t="shared" si="1"/>
        <v>46006</v>
      </c>
      <c r="B783" s="37" t="str">
        <f t="array" ref="B783">iferror(xlookup($I783, 'IMPORT VHC Report'!$E:$E, 'IMPORT VHC Report'!$A:$C), )</f>
        <v/>
      </c>
      <c r="C783" s="37"/>
      <c r="D783" s="37"/>
      <c r="E783" s="38" t="s">
        <v>1058</v>
      </c>
      <c r="F783" s="38" t="s">
        <v>1044</v>
      </c>
      <c r="G783" s="39"/>
      <c r="H783" s="38" t="s">
        <v>1045</v>
      </c>
      <c r="I783" s="38" t="s">
        <v>1046</v>
      </c>
      <c r="J783" s="38" t="s">
        <v>132</v>
      </c>
      <c r="K783" s="38" t="s">
        <v>126</v>
      </c>
      <c r="L783" s="41">
        <v>46007.96875</v>
      </c>
      <c r="M783" s="38" t="s">
        <v>123</v>
      </c>
      <c r="N783" s="41">
        <v>46008.010416666664</v>
      </c>
      <c r="O783" s="38" t="s">
        <v>123</v>
      </c>
      <c r="P783" s="38">
        <v>3600.0</v>
      </c>
      <c r="Q783" s="39"/>
      <c r="R783" s="39"/>
      <c r="S783" s="39"/>
      <c r="T783" s="39"/>
      <c r="U783" s="39"/>
    </row>
    <row r="784">
      <c r="A784" s="40">
        <f t="shared" si="1"/>
        <v>46006</v>
      </c>
      <c r="B784" s="37" t="str">
        <f t="array" ref="B784">iferror(xlookup($I784, 'IMPORT VHC Report'!$E:$E, 'IMPORT VHC Report'!$A:$C), )</f>
        <v/>
      </c>
      <c r="C784" s="37"/>
      <c r="D784" s="37"/>
      <c r="E784" s="38" t="s">
        <v>1059</v>
      </c>
      <c r="F784" s="38" t="s">
        <v>1044</v>
      </c>
      <c r="G784" s="39"/>
      <c r="H784" s="38" t="s">
        <v>1045</v>
      </c>
      <c r="I784" s="38" t="s">
        <v>1046</v>
      </c>
      <c r="J784" s="38" t="s">
        <v>224</v>
      </c>
      <c r="K784" s="38" t="s">
        <v>63</v>
      </c>
      <c r="L784" s="41">
        <v>46008.010416666664</v>
      </c>
      <c r="M784" s="38" t="s">
        <v>123</v>
      </c>
      <c r="N784" s="41">
        <v>46008.083333333336</v>
      </c>
      <c r="O784" s="38" t="s">
        <v>123</v>
      </c>
      <c r="P784" s="38">
        <v>6300.0</v>
      </c>
      <c r="Q784" s="39"/>
      <c r="R784" s="39"/>
      <c r="S784" s="39"/>
      <c r="T784" s="39"/>
      <c r="U784" s="39"/>
    </row>
    <row r="785">
      <c r="A785" s="40">
        <f t="shared" si="1"/>
        <v>46006</v>
      </c>
      <c r="B785" s="37" t="str">
        <f t="array" ref="B785">iferror(xlookup($I785, 'IMPORT VHC Report'!$E:$E, 'IMPORT VHC Report'!$A:$C), )</f>
        <v/>
      </c>
      <c r="C785" s="37"/>
      <c r="D785" s="37"/>
      <c r="E785" s="38" t="s">
        <v>1060</v>
      </c>
      <c r="F785" s="38" t="s">
        <v>1044</v>
      </c>
      <c r="G785" s="39"/>
      <c r="H785" s="38" t="s">
        <v>1045</v>
      </c>
      <c r="I785" s="38" t="s">
        <v>1046</v>
      </c>
      <c r="J785" s="38" t="s">
        <v>224</v>
      </c>
      <c r="K785" s="38" t="s">
        <v>63</v>
      </c>
      <c r="L785" s="41">
        <v>46008.708333333336</v>
      </c>
      <c r="M785" s="38" t="s">
        <v>123</v>
      </c>
      <c r="N785" s="41">
        <v>46008.875</v>
      </c>
      <c r="O785" s="38" t="s">
        <v>123</v>
      </c>
      <c r="P785" s="38">
        <v>14400.0</v>
      </c>
      <c r="Q785" s="39"/>
      <c r="R785" s="39"/>
      <c r="S785" s="39"/>
      <c r="T785" s="39"/>
      <c r="U785" s="39"/>
    </row>
    <row r="786">
      <c r="A786" s="40">
        <f t="shared" si="1"/>
        <v>46006</v>
      </c>
      <c r="B786" s="37" t="str">
        <f t="array" ref="B786">iferror(xlookup($I786, 'IMPORT VHC Report'!$E:$E, 'IMPORT VHC Report'!$A:$C), )</f>
        <v/>
      </c>
      <c r="C786" s="37"/>
      <c r="D786" s="37"/>
      <c r="E786" s="38" t="s">
        <v>1061</v>
      </c>
      <c r="F786" s="38" t="s">
        <v>1044</v>
      </c>
      <c r="G786" s="39"/>
      <c r="H786" s="38" t="s">
        <v>1045</v>
      </c>
      <c r="I786" s="38" t="s">
        <v>1046</v>
      </c>
      <c r="J786" s="38" t="s">
        <v>134</v>
      </c>
      <c r="K786" s="38" t="s">
        <v>126</v>
      </c>
      <c r="L786" s="41">
        <v>46008.791666666664</v>
      </c>
      <c r="M786" s="38" t="s">
        <v>123</v>
      </c>
      <c r="N786" s="41">
        <v>46008.802083333336</v>
      </c>
      <c r="O786" s="38" t="s">
        <v>123</v>
      </c>
      <c r="P786" s="38">
        <v>900.0</v>
      </c>
      <c r="Q786" s="39"/>
      <c r="R786" s="39"/>
      <c r="S786" s="39"/>
      <c r="T786" s="39"/>
      <c r="U786" s="39"/>
    </row>
    <row r="787">
      <c r="A787" s="40">
        <f t="shared" si="1"/>
        <v>46006</v>
      </c>
      <c r="B787" s="37" t="str">
        <f t="array" ref="B787">iferror(xlookup($I787, 'IMPORT VHC Report'!$E:$E, 'IMPORT VHC Report'!$A:$C), )</f>
        <v/>
      </c>
      <c r="C787" s="37"/>
      <c r="D787" s="37"/>
      <c r="E787" s="38" t="s">
        <v>1062</v>
      </c>
      <c r="F787" s="38" t="s">
        <v>1044</v>
      </c>
      <c r="G787" s="39"/>
      <c r="H787" s="38" t="s">
        <v>1045</v>
      </c>
      <c r="I787" s="38" t="s">
        <v>1046</v>
      </c>
      <c r="J787" s="38" t="s">
        <v>132</v>
      </c>
      <c r="K787" s="38" t="s">
        <v>126</v>
      </c>
      <c r="L787" s="41">
        <v>46008.875</v>
      </c>
      <c r="M787" s="38" t="s">
        <v>123</v>
      </c>
      <c r="N787" s="41">
        <v>46008.916666666664</v>
      </c>
      <c r="O787" s="38" t="s">
        <v>123</v>
      </c>
      <c r="P787" s="38">
        <v>3600.0</v>
      </c>
      <c r="Q787" s="39"/>
      <c r="R787" s="39"/>
      <c r="S787" s="39"/>
      <c r="T787" s="39"/>
      <c r="U787" s="39"/>
    </row>
    <row r="788">
      <c r="A788" s="40">
        <f t="shared" si="1"/>
        <v>46006</v>
      </c>
      <c r="B788" s="37" t="str">
        <f t="array" ref="B788">iferror(xlookup($I788, 'IMPORT VHC Report'!$E:$E, 'IMPORT VHC Report'!$A:$C), )</f>
        <v/>
      </c>
      <c r="C788" s="37"/>
      <c r="D788" s="37"/>
      <c r="E788" s="38" t="s">
        <v>1063</v>
      </c>
      <c r="F788" s="38" t="s">
        <v>1044</v>
      </c>
      <c r="G788" s="39"/>
      <c r="H788" s="38" t="s">
        <v>1045</v>
      </c>
      <c r="I788" s="38" t="s">
        <v>1046</v>
      </c>
      <c r="J788" s="38" t="s">
        <v>224</v>
      </c>
      <c r="K788" s="38" t="s">
        <v>63</v>
      </c>
      <c r="L788" s="41">
        <v>46008.916666666664</v>
      </c>
      <c r="M788" s="38" t="s">
        <v>123</v>
      </c>
      <c r="N788" s="41">
        <v>46008.989583333336</v>
      </c>
      <c r="O788" s="38" t="s">
        <v>123</v>
      </c>
      <c r="P788" s="38">
        <v>6300.0</v>
      </c>
      <c r="Q788" s="39"/>
      <c r="R788" s="39"/>
      <c r="S788" s="39"/>
      <c r="T788" s="39"/>
      <c r="U788" s="39"/>
    </row>
    <row r="789">
      <c r="A789" s="40">
        <f t="shared" si="1"/>
        <v>46006</v>
      </c>
      <c r="B789" s="37" t="str">
        <f t="array" ref="B789">iferror(xlookup($I789, 'IMPORT VHC Report'!$E:$E, 'IMPORT VHC Report'!$A:$C), )</f>
        <v/>
      </c>
      <c r="C789" s="37"/>
      <c r="D789" s="37"/>
      <c r="E789" s="38" t="s">
        <v>1064</v>
      </c>
      <c r="F789" s="38" t="s">
        <v>1044</v>
      </c>
      <c r="G789" s="39"/>
      <c r="H789" s="38" t="s">
        <v>1045</v>
      </c>
      <c r="I789" s="38" t="s">
        <v>1046</v>
      </c>
      <c r="J789" s="38" t="s">
        <v>4</v>
      </c>
      <c r="K789" s="38" t="s">
        <v>126</v>
      </c>
      <c r="L789" s="41">
        <v>46008.947916666664</v>
      </c>
      <c r="M789" s="38" t="s">
        <v>123</v>
      </c>
      <c r="N789" s="41">
        <v>46008.989583333336</v>
      </c>
      <c r="O789" s="38" t="s">
        <v>123</v>
      </c>
      <c r="P789" s="38">
        <v>3600.0</v>
      </c>
      <c r="Q789" s="39"/>
      <c r="R789" s="39"/>
      <c r="S789" s="38" t="s">
        <v>858</v>
      </c>
      <c r="T789" s="39"/>
      <c r="U789" s="39"/>
    </row>
    <row r="790">
      <c r="A790" s="40">
        <f t="shared" si="1"/>
        <v>46006</v>
      </c>
      <c r="B790" s="37" t="str">
        <f t="array" ref="B790">iferror(xlookup($I790, 'IMPORT VHC Report'!$E:$E, 'IMPORT VHC Report'!$A:$C), )</f>
        <v/>
      </c>
      <c r="C790" s="37"/>
      <c r="D790" s="37"/>
      <c r="E790" s="38" t="s">
        <v>1065</v>
      </c>
      <c r="F790" s="38" t="s">
        <v>1044</v>
      </c>
      <c r="G790" s="39"/>
      <c r="H790" s="38" t="s">
        <v>1045</v>
      </c>
      <c r="I790" s="38" t="s">
        <v>1046</v>
      </c>
      <c r="J790" s="38" t="s">
        <v>134</v>
      </c>
      <c r="K790" s="38" t="s">
        <v>126</v>
      </c>
      <c r="L790" s="41">
        <v>46008.989583333336</v>
      </c>
      <c r="M790" s="38" t="s">
        <v>123</v>
      </c>
      <c r="N790" s="41">
        <v>46009.0</v>
      </c>
      <c r="O790" s="38" t="s">
        <v>123</v>
      </c>
      <c r="P790" s="38">
        <v>900.0</v>
      </c>
      <c r="Q790" s="39"/>
      <c r="R790" s="39"/>
      <c r="S790" s="39"/>
      <c r="T790" s="39"/>
      <c r="U790" s="39"/>
    </row>
    <row r="791">
      <c r="A791" s="40">
        <f t="shared" si="1"/>
        <v>46006</v>
      </c>
      <c r="B791" s="37" t="str">
        <f t="array" ref="B791">iferror(xlookup($I791, 'IMPORT VHC Report'!$E:$E, 'IMPORT VHC Report'!$A:$C), )</f>
        <v/>
      </c>
      <c r="C791" s="37"/>
      <c r="D791" s="37"/>
      <c r="E791" s="38" t="s">
        <v>1066</v>
      </c>
      <c r="F791" s="38" t="s">
        <v>1044</v>
      </c>
      <c r="G791" s="39"/>
      <c r="H791" s="38" t="s">
        <v>1045</v>
      </c>
      <c r="I791" s="38" t="s">
        <v>1046</v>
      </c>
      <c r="J791" s="38" t="s">
        <v>224</v>
      </c>
      <c r="K791" s="38" t="s">
        <v>63</v>
      </c>
      <c r="L791" s="41">
        <v>46009.0</v>
      </c>
      <c r="M791" s="38" t="s">
        <v>123</v>
      </c>
      <c r="N791" s="41">
        <v>46009.083333333336</v>
      </c>
      <c r="O791" s="38" t="s">
        <v>123</v>
      </c>
      <c r="P791" s="38">
        <v>7200.0</v>
      </c>
      <c r="Q791" s="39"/>
      <c r="R791" s="39"/>
      <c r="S791" s="39"/>
      <c r="T791" s="39"/>
      <c r="U791" s="39"/>
    </row>
    <row r="792">
      <c r="A792" s="40">
        <f t="shared" si="1"/>
        <v>46006</v>
      </c>
      <c r="B792" s="37" t="str">
        <f t="array" ref="B792">iferror(xlookup($I792, 'IMPORT VHC Report'!$E:$E, 'IMPORT VHC Report'!$A:$C), )</f>
        <v/>
      </c>
      <c r="C792" s="37"/>
      <c r="D792" s="37"/>
      <c r="E792" s="38" t="s">
        <v>1067</v>
      </c>
      <c r="F792" s="38" t="s">
        <v>1044</v>
      </c>
      <c r="G792" s="39"/>
      <c r="H792" s="38" t="s">
        <v>1045</v>
      </c>
      <c r="I792" s="38" t="s">
        <v>1046</v>
      </c>
      <c r="J792" s="38" t="s">
        <v>224</v>
      </c>
      <c r="K792" s="38" t="s">
        <v>63</v>
      </c>
      <c r="L792" s="41">
        <v>46011.708333333336</v>
      </c>
      <c r="M792" s="38" t="s">
        <v>123</v>
      </c>
      <c r="N792" s="41">
        <v>46012.083333333336</v>
      </c>
      <c r="O792" s="38" t="s">
        <v>123</v>
      </c>
      <c r="P792" s="38">
        <v>32400.0</v>
      </c>
      <c r="Q792" s="39"/>
      <c r="R792" s="39"/>
      <c r="S792" s="39"/>
      <c r="T792" s="39"/>
      <c r="U792" s="39"/>
    </row>
    <row r="793">
      <c r="A793" s="40">
        <f t="shared" si="1"/>
        <v>46006</v>
      </c>
      <c r="B793" s="37" t="str">
        <f t="array" ref="B793">iferror(xlookup($I793, 'IMPORT VHC Report'!$E:$E, 'IMPORT VHC Report'!$A:$C), )</f>
        <v/>
      </c>
      <c r="C793" s="37"/>
      <c r="D793" s="37"/>
      <c r="E793" s="38" t="s">
        <v>1068</v>
      </c>
      <c r="F793" s="38" t="s">
        <v>1044</v>
      </c>
      <c r="G793" s="39"/>
      <c r="H793" s="38" t="s">
        <v>1045</v>
      </c>
      <c r="I793" s="38" t="s">
        <v>1046</v>
      </c>
      <c r="J793" s="38" t="s">
        <v>134</v>
      </c>
      <c r="K793" s="38" t="s">
        <v>126</v>
      </c>
      <c r="L793" s="41">
        <v>46011.78125</v>
      </c>
      <c r="M793" s="38" t="s">
        <v>123</v>
      </c>
      <c r="N793" s="41">
        <v>46011.791666666664</v>
      </c>
      <c r="O793" s="38" t="s">
        <v>123</v>
      </c>
      <c r="P793" s="38">
        <v>900.0</v>
      </c>
      <c r="Q793" s="39"/>
      <c r="R793" s="39"/>
      <c r="S793" s="39"/>
      <c r="T793" s="39"/>
      <c r="U793" s="39"/>
    </row>
    <row r="794">
      <c r="A794" s="40">
        <f t="shared" si="1"/>
        <v>46006</v>
      </c>
      <c r="B794" s="37" t="str">
        <f t="array" ref="B794">iferror(xlookup($I794, 'IMPORT VHC Report'!$E:$E, 'IMPORT VHC Report'!$A:$C), )</f>
        <v/>
      </c>
      <c r="C794" s="37"/>
      <c r="D794" s="37"/>
      <c r="E794" s="38" t="s">
        <v>1069</v>
      </c>
      <c r="F794" s="38" t="s">
        <v>1044</v>
      </c>
      <c r="G794" s="39"/>
      <c r="H794" s="38" t="s">
        <v>1045</v>
      </c>
      <c r="I794" s="38" t="s">
        <v>1046</v>
      </c>
      <c r="J794" s="38" t="s">
        <v>132</v>
      </c>
      <c r="K794" s="38" t="s">
        <v>126</v>
      </c>
      <c r="L794" s="41">
        <v>46011.90625</v>
      </c>
      <c r="M794" s="38" t="s">
        <v>123</v>
      </c>
      <c r="N794" s="41">
        <v>46011.947916666664</v>
      </c>
      <c r="O794" s="38" t="s">
        <v>123</v>
      </c>
      <c r="P794" s="38">
        <v>3600.0</v>
      </c>
      <c r="Q794" s="39"/>
      <c r="R794" s="39"/>
      <c r="S794" s="39"/>
      <c r="T794" s="39"/>
      <c r="U794" s="39"/>
    </row>
    <row r="795">
      <c r="A795" s="40">
        <f t="shared" si="1"/>
        <v>46006</v>
      </c>
      <c r="B795" s="37" t="str">
        <f t="array" ref="B795">iferror(xlookup($I795, 'IMPORT VHC Report'!$E:$E, 'IMPORT VHC Report'!$A:$C), )</f>
        <v/>
      </c>
      <c r="C795" s="37"/>
      <c r="D795" s="37"/>
      <c r="E795" s="38" t="s">
        <v>1070</v>
      </c>
      <c r="F795" s="38" t="s">
        <v>1044</v>
      </c>
      <c r="G795" s="39"/>
      <c r="H795" s="38" t="s">
        <v>1045</v>
      </c>
      <c r="I795" s="38" t="s">
        <v>1046</v>
      </c>
      <c r="J795" s="38" t="s">
        <v>134</v>
      </c>
      <c r="K795" s="38" t="s">
        <v>126</v>
      </c>
      <c r="L795" s="41">
        <v>46012.020833333336</v>
      </c>
      <c r="M795" s="38" t="s">
        <v>123</v>
      </c>
      <c r="N795" s="41">
        <v>46012.03125</v>
      </c>
      <c r="O795" s="38" t="s">
        <v>123</v>
      </c>
      <c r="P795" s="38">
        <v>900.0</v>
      </c>
      <c r="Q795" s="39"/>
      <c r="R795" s="39"/>
      <c r="S795" s="39"/>
      <c r="T795" s="39"/>
      <c r="U795" s="39"/>
    </row>
    <row r="796">
      <c r="A796" s="40">
        <f t="shared" si="1"/>
        <v>46006</v>
      </c>
      <c r="B796" s="37" t="str">
        <f t="array" ref="B796">iferror(xlookup($I796, 'IMPORT VHC Report'!$E:$E, 'IMPORT VHC Report'!$A:$C), )</f>
        <v/>
      </c>
      <c r="C796" s="37"/>
      <c r="D796" s="37"/>
      <c r="E796" s="38" t="s">
        <v>1071</v>
      </c>
      <c r="F796" s="38" t="s">
        <v>1044</v>
      </c>
      <c r="G796" s="39"/>
      <c r="H796" s="38" t="s">
        <v>1045</v>
      </c>
      <c r="I796" s="38" t="s">
        <v>1046</v>
      </c>
      <c r="J796" s="38" t="s">
        <v>224</v>
      </c>
      <c r="K796" s="38" t="s">
        <v>63</v>
      </c>
      <c r="L796" s="41">
        <v>46012.708333333336</v>
      </c>
      <c r="M796" s="38" t="s">
        <v>123</v>
      </c>
      <c r="N796" s="41">
        <v>46012.802083333336</v>
      </c>
      <c r="O796" s="38" t="s">
        <v>123</v>
      </c>
      <c r="P796" s="38">
        <v>8100.0</v>
      </c>
      <c r="Q796" s="39"/>
      <c r="R796" s="39"/>
      <c r="S796" s="38" t="s">
        <v>1072</v>
      </c>
      <c r="T796" s="39"/>
      <c r="U796" s="39"/>
    </row>
    <row r="797">
      <c r="A797" s="40">
        <f t="shared" si="1"/>
        <v>46006</v>
      </c>
      <c r="B797" s="37" t="str">
        <f t="array" ref="B797">iferror(xlookup($I797, 'IMPORT VHC Report'!$E:$E, 'IMPORT VHC Report'!$A:$C), )</f>
        <v/>
      </c>
      <c r="C797" s="37"/>
      <c r="D797" s="37"/>
      <c r="E797" s="38" t="s">
        <v>1073</v>
      </c>
      <c r="F797" s="38" t="s">
        <v>1044</v>
      </c>
      <c r="G797" s="39"/>
      <c r="H797" s="38" t="s">
        <v>1045</v>
      </c>
      <c r="I797" s="38" t="s">
        <v>1046</v>
      </c>
      <c r="J797" s="38" t="s">
        <v>134</v>
      </c>
      <c r="K797" s="38" t="s">
        <v>126</v>
      </c>
      <c r="L797" s="41">
        <v>46012.802083333336</v>
      </c>
      <c r="M797" s="38" t="s">
        <v>123</v>
      </c>
      <c r="N797" s="41">
        <v>46012.8125</v>
      </c>
      <c r="O797" s="38" t="s">
        <v>123</v>
      </c>
      <c r="P797" s="38">
        <v>900.0</v>
      </c>
      <c r="Q797" s="39"/>
      <c r="R797" s="39"/>
      <c r="S797" s="38" t="s">
        <v>1074</v>
      </c>
      <c r="T797" s="39"/>
      <c r="U797" s="39"/>
    </row>
    <row r="798">
      <c r="A798" s="40">
        <f t="shared" si="1"/>
        <v>46006</v>
      </c>
      <c r="B798" s="37" t="str">
        <f t="array" ref="B798">iferror(xlookup($I798, 'IMPORT VHC Report'!$E:$E, 'IMPORT VHC Report'!$A:$C), )</f>
        <v/>
      </c>
      <c r="C798" s="37"/>
      <c r="D798" s="37"/>
      <c r="E798" s="38" t="s">
        <v>1075</v>
      </c>
      <c r="F798" s="38" t="s">
        <v>1044</v>
      </c>
      <c r="G798" s="39"/>
      <c r="H798" s="38" t="s">
        <v>1045</v>
      </c>
      <c r="I798" s="38" t="s">
        <v>1046</v>
      </c>
      <c r="J798" s="38" t="s">
        <v>224</v>
      </c>
      <c r="K798" s="38" t="s">
        <v>63</v>
      </c>
      <c r="L798" s="41">
        <v>46012.802083333336</v>
      </c>
      <c r="M798" s="38" t="s">
        <v>123</v>
      </c>
      <c r="N798" s="41">
        <v>46012.864583333336</v>
      </c>
      <c r="O798" s="38" t="s">
        <v>123</v>
      </c>
      <c r="P798" s="38">
        <v>5400.0</v>
      </c>
      <c r="Q798" s="39"/>
      <c r="R798" s="39"/>
      <c r="S798" s="39"/>
      <c r="T798" s="39"/>
      <c r="U798" s="39"/>
    </row>
    <row r="799">
      <c r="A799" s="40">
        <f t="shared" si="1"/>
        <v>46006</v>
      </c>
      <c r="B799" s="37" t="str">
        <f t="array" ref="B799">iferror(xlookup($I799, 'IMPORT VHC Report'!$E:$E, 'IMPORT VHC Report'!$A:$C), )</f>
        <v/>
      </c>
      <c r="C799" s="37"/>
      <c r="D799" s="37"/>
      <c r="E799" s="38" t="s">
        <v>1076</v>
      </c>
      <c r="F799" s="38" t="s">
        <v>1044</v>
      </c>
      <c r="G799" s="39"/>
      <c r="H799" s="38" t="s">
        <v>1045</v>
      </c>
      <c r="I799" s="38" t="s">
        <v>1046</v>
      </c>
      <c r="J799" s="38" t="s">
        <v>132</v>
      </c>
      <c r="K799" s="38" t="s">
        <v>126</v>
      </c>
      <c r="L799" s="41">
        <v>46012.864583333336</v>
      </c>
      <c r="M799" s="38" t="s">
        <v>123</v>
      </c>
      <c r="N799" s="41">
        <v>46012.90625</v>
      </c>
      <c r="O799" s="38" t="s">
        <v>123</v>
      </c>
      <c r="P799" s="38">
        <v>3600.0</v>
      </c>
      <c r="Q799" s="39"/>
      <c r="R799" s="39"/>
      <c r="S799" s="39"/>
      <c r="T799" s="39"/>
      <c r="U799" s="39"/>
    </row>
    <row r="800">
      <c r="A800" s="40">
        <f t="shared" si="1"/>
        <v>46006</v>
      </c>
      <c r="B800" s="37" t="str">
        <f t="array" ref="B800">iferror(xlookup($I800, 'IMPORT VHC Report'!$E:$E, 'IMPORT VHC Report'!$A:$C), )</f>
        <v/>
      </c>
      <c r="C800" s="37"/>
      <c r="D800" s="37"/>
      <c r="E800" s="38" t="s">
        <v>1077</v>
      </c>
      <c r="F800" s="38" t="s">
        <v>1044</v>
      </c>
      <c r="G800" s="39"/>
      <c r="H800" s="38" t="s">
        <v>1045</v>
      </c>
      <c r="I800" s="38" t="s">
        <v>1046</v>
      </c>
      <c r="J800" s="38" t="s">
        <v>224</v>
      </c>
      <c r="K800" s="38" t="s">
        <v>63</v>
      </c>
      <c r="L800" s="41">
        <v>46012.90625</v>
      </c>
      <c r="M800" s="38" t="s">
        <v>123</v>
      </c>
      <c r="N800" s="41">
        <v>46012.96875</v>
      </c>
      <c r="O800" s="38" t="s">
        <v>123</v>
      </c>
      <c r="P800" s="38">
        <v>5400.0</v>
      </c>
      <c r="Q800" s="39"/>
      <c r="R800" s="39"/>
      <c r="S800" s="39"/>
      <c r="T800" s="39"/>
      <c r="U800" s="39"/>
    </row>
    <row r="801">
      <c r="A801" s="40">
        <f t="shared" si="1"/>
        <v>46006</v>
      </c>
      <c r="B801" s="37" t="str">
        <f t="array" ref="B801">iferror(xlookup($I801, 'IMPORT VHC Report'!$E:$E, 'IMPORT VHC Report'!$A:$C), )</f>
        <v/>
      </c>
      <c r="C801" s="37"/>
      <c r="D801" s="37"/>
      <c r="E801" s="38" t="s">
        <v>1078</v>
      </c>
      <c r="F801" s="38" t="s">
        <v>1044</v>
      </c>
      <c r="G801" s="39"/>
      <c r="H801" s="38" t="s">
        <v>1045</v>
      </c>
      <c r="I801" s="38" t="s">
        <v>1046</v>
      </c>
      <c r="J801" s="38" t="s">
        <v>134</v>
      </c>
      <c r="K801" s="38" t="s">
        <v>126</v>
      </c>
      <c r="L801" s="41">
        <v>46012.96875</v>
      </c>
      <c r="M801" s="38" t="s">
        <v>123</v>
      </c>
      <c r="N801" s="41">
        <v>46012.979166666664</v>
      </c>
      <c r="O801" s="38" t="s">
        <v>123</v>
      </c>
      <c r="P801" s="38">
        <v>900.0</v>
      </c>
      <c r="Q801" s="39"/>
      <c r="R801" s="39"/>
      <c r="S801" s="39"/>
      <c r="T801" s="39"/>
      <c r="U801" s="39"/>
    </row>
    <row r="802">
      <c r="A802" s="40">
        <f t="shared" si="1"/>
        <v>46006</v>
      </c>
      <c r="B802" s="37" t="str">
        <f t="array" ref="B802">iferror(xlookup($I802, 'IMPORT VHC Report'!$E:$E, 'IMPORT VHC Report'!$A:$C), )</f>
        <v/>
      </c>
      <c r="C802" s="37"/>
      <c r="D802" s="37"/>
      <c r="E802" s="38" t="s">
        <v>1079</v>
      </c>
      <c r="F802" s="38" t="s">
        <v>1044</v>
      </c>
      <c r="G802" s="39"/>
      <c r="H802" s="38" t="s">
        <v>1045</v>
      </c>
      <c r="I802" s="38" t="s">
        <v>1046</v>
      </c>
      <c r="J802" s="38" t="s">
        <v>125</v>
      </c>
      <c r="K802" s="38" t="s">
        <v>126</v>
      </c>
      <c r="L802" s="41">
        <v>46012.979166666664</v>
      </c>
      <c r="M802" s="38" t="s">
        <v>123</v>
      </c>
      <c r="N802" s="41">
        <v>46012.993055555555</v>
      </c>
      <c r="O802" s="38" t="s">
        <v>123</v>
      </c>
      <c r="P802" s="38">
        <v>1200.0</v>
      </c>
      <c r="Q802" s="39"/>
      <c r="R802" s="39"/>
      <c r="S802" s="38" t="s">
        <v>1080</v>
      </c>
      <c r="T802" s="39"/>
      <c r="U802" s="39"/>
    </row>
    <row r="803">
      <c r="A803" s="40">
        <f t="shared" si="1"/>
        <v>46006</v>
      </c>
      <c r="B803" s="37" t="str">
        <f t="array" ref="B803">iferror(xlookup($I803, 'IMPORT VHC Report'!$E:$E, 'IMPORT VHC Report'!$A:$C), )</f>
        <v/>
      </c>
      <c r="C803" s="37"/>
      <c r="D803" s="37"/>
      <c r="E803" s="38" t="s">
        <v>1081</v>
      </c>
      <c r="F803" s="38" t="s">
        <v>1044</v>
      </c>
      <c r="G803" s="39"/>
      <c r="H803" s="38" t="s">
        <v>1045</v>
      </c>
      <c r="I803" s="38" t="s">
        <v>1046</v>
      </c>
      <c r="J803" s="38" t="s">
        <v>224</v>
      </c>
      <c r="K803" s="38" t="s">
        <v>63</v>
      </c>
      <c r="L803" s="41">
        <v>46012.979166666664</v>
      </c>
      <c r="M803" s="38" t="s">
        <v>123</v>
      </c>
      <c r="N803" s="41">
        <v>46013.0</v>
      </c>
      <c r="O803" s="38" t="s">
        <v>123</v>
      </c>
      <c r="P803" s="38">
        <v>1800.0</v>
      </c>
      <c r="Q803" s="39"/>
      <c r="R803" s="39"/>
      <c r="S803" s="39"/>
      <c r="T803" s="39"/>
      <c r="U803" s="39"/>
    </row>
    <row r="804">
      <c r="A804" s="40">
        <f t="shared" si="1"/>
        <v>46006</v>
      </c>
      <c r="B804" s="37" t="str">
        <f t="array" ref="B804">iferror(xlookup($I804, 'IMPORT VHC Report'!$E:$E, 'IMPORT VHC Report'!$A:$C), )</f>
        <v/>
      </c>
      <c r="C804" s="37"/>
      <c r="D804" s="37"/>
      <c r="E804" s="38" t="s">
        <v>1082</v>
      </c>
      <c r="F804" s="38" t="s">
        <v>1083</v>
      </c>
      <c r="G804" s="38">
        <v>3.61744077956E11</v>
      </c>
      <c r="H804" s="38" t="s">
        <v>1084</v>
      </c>
      <c r="I804" s="38" t="s">
        <v>1085</v>
      </c>
      <c r="J804" s="38" t="s">
        <v>332</v>
      </c>
      <c r="K804" s="38" t="s">
        <v>63</v>
      </c>
      <c r="L804" s="41">
        <v>46006.0</v>
      </c>
      <c r="M804" s="38" t="s">
        <v>123</v>
      </c>
      <c r="N804" s="41">
        <v>46006.25</v>
      </c>
      <c r="O804" s="38" t="s">
        <v>123</v>
      </c>
      <c r="P804" s="38">
        <v>21600.0</v>
      </c>
      <c r="Q804" s="39"/>
      <c r="R804" s="39"/>
      <c r="S804" s="39"/>
      <c r="T804" s="39"/>
      <c r="U804" s="39"/>
    </row>
    <row r="805">
      <c r="A805" s="40">
        <f t="shared" si="1"/>
        <v>46006</v>
      </c>
      <c r="B805" s="37" t="str">
        <f t="array" ref="B805">iferror(xlookup($I805, 'IMPORT VHC Report'!$E:$E, 'IMPORT VHC Report'!$A:$C), )</f>
        <v/>
      </c>
      <c r="C805" s="37"/>
      <c r="D805" s="37"/>
      <c r="E805" s="38" t="s">
        <v>1086</v>
      </c>
      <c r="F805" s="38" t="s">
        <v>1083</v>
      </c>
      <c r="G805" s="38">
        <v>3.61744077956E11</v>
      </c>
      <c r="H805" s="38" t="s">
        <v>1084</v>
      </c>
      <c r="I805" s="38" t="s">
        <v>1085</v>
      </c>
      <c r="J805" s="38" t="s">
        <v>134</v>
      </c>
      <c r="K805" s="38" t="s">
        <v>126</v>
      </c>
      <c r="L805" s="41">
        <v>46006.1875</v>
      </c>
      <c r="M805" s="38" t="s">
        <v>123</v>
      </c>
      <c r="N805" s="41">
        <v>46006.208333333336</v>
      </c>
      <c r="O805" s="38" t="s">
        <v>123</v>
      </c>
      <c r="P805" s="38">
        <v>1800.0</v>
      </c>
      <c r="Q805" s="39"/>
      <c r="R805" s="39"/>
      <c r="S805" s="39"/>
      <c r="T805" s="39"/>
      <c r="U805" s="39"/>
    </row>
    <row r="806">
      <c r="A806" s="40">
        <f t="shared" si="1"/>
        <v>46006</v>
      </c>
      <c r="B806" s="37" t="str">
        <f t="array" ref="B806">iferror(xlookup($I806, 'IMPORT VHC Report'!$E:$E, 'IMPORT VHC Report'!$A:$C), )</f>
        <v/>
      </c>
      <c r="C806" s="37"/>
      <c r="D806" s="37"/>
      <c r="E806" s="38" t="s">
        <v>1087</v>
      </c>
      <c r="F806" s="38" t="s">
        <v>1083</v>
      </c>
      <c r="G806" s="38">
        <v>3.61744077956E11</v>
      </c>
      <c r="H806" s="38" t="s">
        <v>1084</v>
      </c>
      <c r="I806" s="38" t="s">
        <v>1085</v>
      </c>
      <c r="J806" s="38" t="s">
        <v>132</v>
      </c>
      <c r="K806" s="38" t="s">
        <v>126</v>
      </c>
      <c r="L806" s="41">
        <v>46006.208333333336</v>
      </c>
      <c r="M806" s="38" t="s">
        <v>123</v>
      </c>
      <c r="N806" s="41">
        <v>46006.25</v>
      </c>
      <c r="O806" s="38" t="s">
        <v>123</v>
      </c>
      <c r="P806" s="38">
        <v>3600.0</v>
      </c>
      <c r="Q806" s="39"/>
      <c r="R806" s="39"/>
      <c r="S806" s="39"/>
      <c r="T806" s="39"/>
      <c r="U806" s="39"/>
    </row>
    <row r="807">
      <c r="A807" s="40">
        <f t="shared" si="1"/>
        <v>46006</v>
      </c>
      <c r="B807" s="37" t="str">
        <f t="array" ref="B807">iferror(xlookup($I807, 'IMPORT VHC Report'!$E:$E, 'IMPORT VHC Report'!$A:$C), )</f>
        <v/>
      </c>
      <c r="C807" s="37"/>
      <c r="D807" s="37"/>
      <c r="E807" s="38" t="s">
        <v>1088</v>
      </c>
      <c r="F807" s="38" t="s">
        <v>1083</v>
      </c>
      <c r="G807" s="38">
        <v>3.61744077956E11</v>
      </c>
      <c r="H807" s="38" t="s">
        <v>1084</v>
      </c>
      <c r="I807" s="38" t="s">
        <v>1085</v>
      </c>
      <c r="J807" s="38" t="s">
        <v>332</v>
      </c>
      <c r="K807" s="38" t="s">
        <v>63</v>
      </c>
      <c r="L807" s="41">
        <v>46006.875</v>
      </c>
      <c r="M807" s="38" t="s">
        <v>123</v>
      </c>
      <c r="N807" s="41">
        <v>46007.25</v>
      </c>
      <c r="O807" s="38" t="s">
        <v>123</v>
      </c>
      <c r="P807" s="38">
        <v>32400.0</v>
      </c>
      <c r="Q807" s="39"/>
      <c r="R807" s="39"/>
      <c r="S807" s="39"/>
      <c r="T807" s="39"/>
      <c r="U807" s="39"/>
    </row>
    <row r="808">
      <c r="A808" s="40">
        <f t="shared" si="1"/>
        <v>46006</v>
      </c>
      <c r="B808" s="37" t="str">
        <f t="array" ref="B808">iferror(xlookup($I808, 'IMPORT VHC Report'!$E:$E, 'IMPORT VHC Report'!$A:$C), )</f>
        <v/>
      </c>
      <c r="C808" s="37"/>
      <c r="D808" s="37"/>
      <c r="E808" s="38" t="s">
        <v>1089</v>
      </c>
      <c r="F808" s="38" t="s">
        <v>1083</v>
      </c>
      <c r="G808" s="38">
        <v>3.61744077956E11</v>
      </c>
      <c r="H808" s="38" t="s">
        <v>1084</v>
      </c>
      <c r="I808" s="38" t="s">
        <v>1085</v>
      </c>
      <c r="J808" s="38" t="s">
        <v>134</v>
      </c>
      <c r="K808" s="38" t="s">
        <v>126</v>
      </c>
      <c r="L808" s="41">
        <v>46007.1875</v>
      </c>
      <c r="M808" s="38" t="s">
        <v>123</v>
      </c>
      <c r="N808" s="41">
        <v>46007.208333333336</v>
      </c>
      <c r="O808" s="38" t="s">
        <v>123</v>
      </c>
      <c r="P808" s="38">
        <v>1800.0</v>
      </c>
      <c r="Q808" s="39"/>
      <c r="R808" s="39"/>
      <c r="S808" s="39"/>
      <c r="T808" s="39"/>
      <c r="U808" s="39"/>
    </row>
    <row r="809">
      <c r="A809" s="40">
        <f t="shared" si="1"/>
        <v>46006</v>
      </c>
      <c r="B809" s="37" t="str">
        <f t="array" ref="B809">iferror(xlookup($I809, 'IMPORT VHC Report'!$E:$E, 'IMPORT VHC Report'!$A:$C), )</f>
        <v/>
      </c>
      <c r="C809" s="37"/>
      <c r="D809" s="37"/>
      <c r="E809" s="38" t="s">
        <v>1090</v>
      </c>
      <c r="F809" s="38" t="s">
        <v>1083</v>
      </c>
      <c r="G809" s="38">
        <v>3.61744077956E11</v>
      </c>
      <c r="H809" s="38" t="s">
        <v>1084</v>
      </c>
      <c r="I809" s="38" t="s">
        <v>1085</v>
      </c>
      <c r="J809" s="38" t="s">
        <v>132</v>
      </c>
      <c r="K809" s="38" t="s">
        <v>126</v>
      </c>
      <c r="L809" s="41">
        <v>46007.208333333336</v>
      </c>
      <c r="M809" s="38" t="s">
        <v>123</v>
      </c>
      <c r="N809" s="41">
        <v>46007.25</v>
      </c>
      <c r="O809" s="38" t="s">
        <v>123</v>
      </c>
      <c r="P809" s="38">
        <v>3600.0</v>
      </c>
      <c r="Q809" s="39"/>
      <c r="R809" s="39"/>
      <c r="S809" s="39"/>
      <c r="T809" s="39"/>
      <c r="U809" s="39"/>
    </row>
    <row r="810">
      <c r="A810" s="40">
        <f t="shared" si="1"/>
        <v>46006</v>
      </c>
      <c r="B810" s="37" t="str">
        <f t="array" ref="B810">iferror(xlookup($I810, 'IMPORT VHC Report'!$E:$E, 'IMPORT VHC Report'!$A:$C), )</f>
        <v/>
      </c>
      <c r="C810" s="37"/>
      <c r="D810" s="37"/>
      <c r="E810" s="38" t="s">
        <v>1091</v>
      </c>
      <c r="F810" s="38" t="s">
        <v>1083</v>
      </c>
      <c r="G810" s="38">
        <v>3.61744077956E11</v>
      </c>
      <c r="H810" s="38" t="s">
        <v>1084</v>
      </c>
      <c r="I810" s="38" t="s">
        <v>1085</v>
      </c>
      <c r="J810" s="38" t="s">
        <v>332</v>
      </c>
      <c r="K810" s="38" t="s">
        <v>63</v>
      </c>
      <c r="L810" s="41">
        <v>46007.875</v>
      </c>
      <c r="M810" s="38" t="s">
        <v>123</v>
      </c>
      <c r="N810" s="41">
        <v>46008.0</v>
      </c>
      <c r="O810" s="38" t="s">
        <v>123</v>
      </c>
      <c r="P810" s="38">
        <v>10800.0</v>
      </c>
      <c r="Q810" s="39"/>
      <c r="R810" s="39"/>
      <c r="S810" s="39"/>
      <c r="T810" s="39"/>
      <c r="U810" s="39"/>
    </row>
    <row r="811">
      <c r="A811" s="40">
        <f t="shared" si="1"/>
        <v>46006</v>
      </c>
      <c r="B811" s="37" t="str">
        <f t="array" ref="B811">iferror(xlookup($I811, 'IMPORT VHC Report'!$E:$E, 'IMPORT VHC Report'!$A:$C), )</f>
        <v/>
      </c>
      <c r="C811" s="37"/>
      <c r="D811" s="37"/>
      <c r="E811" s="38" t="s">
        <v>1092</v>
      </c>
      <c r="F811" s="38" t="s">
        <v>1083</v>
      </c>
      <c r="G811" s="38">
        <v>3.61744077956E11</v>
      </c>
      <c r="H811" s="38" t="s">
        <v>1084</v>
      </c>
      <c r="I811" s="38" t="s">
        <v>1085</v>
      </c>
      <c r="J811" s="38" t="s">
        <v>4</v>
      </c>
      <c r="K811" s="38" t="s">
        <v>126</v>
      </c>
      <c r="L811" s="41">
        <v>46008.0</v>
      </c>
      <c r="M811" s="38" t="s">
        <v>123</v>
      </c>
      <c r="N811" s="41">
        <v>46008.041666666664</v>
      </c>
      <c r="O811" s="38" t="s">
        <v>123</v>
      </c>
      <c r="P811" s="38">
        <v>3600.0</v>
      </c>
      <c r="Q811" s="39"/>
      <c r="R811" s="39"/>
      <c r="S811" s="38" t="s">
        <v>130</v>
      </c>
      <c r="T811" s="39"/>
      <c r="U811" s="39"/>
    </row>
    <row r="812">
      <c r="A812" s="40">
        <f t="shared" si="1"/>
        <v>46006</v>
      </c>
      <c r="B812" s="37" t="str">
        <f t="array" ref="B812">iferror(xlookup($I812, 'IMPORT VHC Report'!$E:$E, 'IMPORT VHC Report'!$A:$C), )</f>
        <v/>
      </c>
      <c r="C812" s="37"/>
      <c r="D812" s="37"/>
      <c r="E812" s="38" t="s">
        <v>1093</v>
      </c>
      <c r="F812" s="38" t="s">
        <v>1083</v>
      </c>
      <c r="G812" s="38">
        <v>3.61744077956E11</v>
      </c>
      <c r="H812" s="38" t="s">
        <v>1084</v>
      </c>
      <c r="I812" s="38" t="s">
        <v>1085</v>
      </c>
      <c r="J812" s="38" t="s">
        <v>62</v>
      </c>
      <c r="K812" s="38" t="s">
        <v>63</v>
      </c>
      <c r="L812" s="41">
        <v>46008.0</v>
      </c>
      <c r="M812" s="38" t="s">
        <v>123</v>
      </c>
      <c r="N812" s="41">
        <v>46008.083333333336</v>
      </c>
      <c r="O812" s="38" t="s">
        <v>123</v>
      </c>
      <c r="P812" s="38">
        <v>7200.0</v>
      </c>
      <c r="Q812" s="39"/>
      <c r="R812" s="39"/>
      <c r="S812" s="39"/>
      <c r="T812" s="39"/>
      <c r="U812" s="39"/>
    </row>
    <row r="813">
      <c r="A813" s="40">
        <f t="shared" si="1"/>
        <v>46006</v>
      </c>
      <c r="B813" s="37" t="str">
        <f t="array" ref="B813">iferror(xlookup($I813, 'IMPORT VHC Report'!$E:$E, 'IMPORT VHC Report'!$A:$C), )</f>
        <v/>
      </c>
      <c r="C813" s="37"/>
      <c r="D813" s="37"/>
      <c r="E813" s="38" t="s">
        <v>1094</v>
      </c>
      <c r="F813" s="38" t="s">
        <v>1083</v>
      </c>
      <c r="G813" s="38">
        <v>3.61744077956E11</v>
      </c>
      <c r="H813" s="38" t="s">
        <v>1084</v>
      </c>
      <c r="I813" s="38" t="s">
        <v>1085</v>
      </c>
      <c r="J813" s="38" t="s">
        <v>332</v>
      </c>
      <c r="K813" s="38" t="s">
        <v>63</v>
      </c>
      <c r="L813" s="41">
        <v>46008.083333333336</v>
      </c>
      <c r="M813" s="38" t="s">
        <v>123</v>
      </c>
      <c r="N813" s="41">
        <v>46008.25</v>
      </c>
      <c r="O813" s="38" t="s">
        <v>123</v>
      </c>
      <c r="P813" s="38">
        <v>14400.0</v>
      </c>
      <c r="Q813" s="39"/>
      <c r="R813" s="39"/>
      <c r="S813" s="39"/>
      <c r="T813" s="39"/>
      <c r="U813" s="39"/>
    </row>
    <row r="814">
      <c r="A814" s="40">
        <f t="shared" si="1"/>
        <v>46006</v>
      </c>
      <c r="B814" s="37" t="str">
        <f t="array" ref="B814">iferror(xlookup($I814, 'IMPORT VHC Report'!$E:$E, 'IMPORT VHC Report'!$A:$C), )</f>
        <v/>
      </c>
      <c r="C814" s="37"/>
      <c r="D814" s="37"/>
      <c r="E814" s="38" t="s">
        <v>1095</v>
      </c>
      <c r="F814" s="38" t="s">
        <v>1083</v>
      </c>
      <c r="G814" s="38">
        <v>3.61744077956E11</v>
      </c>
      <c r="H814" s="38" t="s">
        <v>1084</v>
      </c>
      <c r="I814" s="38" t="s">
        <v>1085</v>
      </c>
      <c r="J814" s="38" t="s">
        <v>134</v>
      </c>
      <c r="K814" s="38" t="s">
        <v>126</v>
      </c>
      <c r="L814" s="41">
        <v>46008.1875</v>
      </c>
      <c r="M814" s="38" t="s">
        <v>123</v>
      </c>
      <c r="N814" s="41">
        <v>46008.208333333336</v>
      </c>
      <c r="O814" s="38" t="s">
        <v>123</v>
      </c>
      <c r="P814" s="38">
        <v>1800.0</v>
      </c>
      <c r="Q814" s="39"/>
      <c r="R814" s="39"/>
      <c r="S814" s="39"/>
      <c r="T814" s="39"/>
      <c r="U814" s="39"/>
    </row>
    <row r="815">
      <c r="A815" s="40">
        <f t="shared" si="1"/>
        <v>46006</v>
      </c>
      <c r="B815" s="37" t="str">
        <f t="array" ref="B815">iferror(xlookup($I815, 'IMPORT VHC Report'!$E:$E, 'IMPORT VHC Report'!$A:$C), )</f>
        <v/>
      </c>
      <c r="C815" s="37"/>
      <c r="D815" s="37"/>
      <c r="E815" s="38" t="s">
        <v>1096</v>
      </c>
      <c r="F815" s="38" t="s">
        <v>1083</v>
      </c>
      <c r="G815" s="38">
        <v>3.61744077956E11</v>
      </c>
      <c r="H815" s="38" t="s">
        <v>1084</v>
      </c>
      <c r="I815" s="38" t="s">
        <v>1085</v>
      </c>
      <c r="J815" s="38" t="s">
        <v>132</v>
      </c>
      <c r="K815" s="38" t="s">
        <v>126</v>
      </c>
      <c r="L815" s="41">
        <v>46008.208333333336</v>
      </c>
      <c r="M815" s="38" t="s">
        <v>123</v>
      </c>
      <c r="N815" s="41">
        <v>46008.25</v>
      </c>
      <c r="O815" s="38" t="s">
        <v>123</v>
      </c>
      <c r="P815" s="38">
        <v>3600.0</v>
      </c>
      <c r="Q815" s="39"/>
      <c r="R815" s="39"/>
      <c r="S815" s="39"/>
      <c r="T815" s="39"/>
      <c r="U815" s="39"/>
    </row>
    <row r="816">
      <c r="A816" s="40">
        <f t="shared" si="1"/>
        <v>46006</v>
      </c>
      <c r="B816" s="37" t="str">
        <f t="array" ref="B816">iferror(xlookup($I816, 'IMPORT VHC Report'!$E:$E, 'IMPORT VHC Report'!$A:$C), )</f>
        <v/>
      </c>
      <c r="C816" s="37"/>
      <c r="D816" s="37"/>
      <c r="E816" s="38" t="s">
        <v>1097</v>
      </c>
      <c r="F816" s="38" t="s">
        <v>1083</v>
      </c>
      <c r="G816" s="38">
        <v>3.61744077956E11</v>
      </c>
      <c r="H816" s="38" t="s">
        <v>1084</v>
      </c>
      <c r="I816" s="38" t="s">
        <v>1085</v>
      </c>
      <c r="J816" s="38" t="s">
        <v>136</v>
      </c>
      <c r="K816" s="38" t="s">
        <v>126</v>
      </c>
      <c r="L816" s="41">
        <v>46008.666666666664</v>
      </c>
      <c r="M816" s="38" t="s">
        <v>123</v>
      </c>
      <c r="N816" s="41">
        <v>46008.833333333336</v>
      </c>
      <c r="O816" s="38" t="s">
        <v>123</v>
      </c>
      <c r="P816" s="38">
        <v>14400.0</v>
      </c>
      <c r="Q816" s="39"/>
      <c r="R816" s="39"/>
      <c r="S816" s="38" t="s">
        <v>1098</v>
      </c>
      <c r="T816" s="39"/>
      <c r="U816" s="39"/>
    </row>
    <row r="817">
      <c r="A817" s="40">
        <f t="shared" si="1"/>
        <v>46006</v>
      </c>
      <c r="B817" s="37" t="str">
        <f t="array" ref="B817">iferror(xlookup($I817, 'IMPORT VHC Report'!$E:$E, 'IMPORT VHC Report'!$A:$C), )</f>
        <v/>
      </c>
      <c r="C817" s="37"/>
      <c r="D817" s="37"/>
      <c r="E817" s="38" t="s">
        <v>1099</v>
      </c>
      <c r="F817" s="38" t="s">
        <v>1083</v>
      </c>
      <c r="G817" s="38">
        <v>3.61744077956E11</v>
      </c>
      <c r="H817" s="38" t="s">
        <v>1084</v>
      </c>
      <c r="I817" s="38" t="s">
        <v>1085</v>
      </c>
      <c r="J817" s="38" t="s">
        <v>332</v>
      </c>
      <c r="K817" s="38" t="s">
        <v>63</v>
      </c>
      <c r="L817" s="41">
        <v>46008.666666666664</v>
      </c>
      <c r="M817" s="38" t="s">
        <v>123</v>
      </c>
      <c r="N817" s="41">
        <v>46009.041666666664</v>
      </c>
      <c r="O817" s="38" t="s">
        <v>123</v>
      </c>
      <c r="P817" s="38">
        <v>32400.0</v>
      </c>
      <c r="Q817" s="39"/>
      <c r="R817" s="39"/>
      <c r="S817" s="39"/>
      <c r="T817" s="39"/>
      <c r="U817" s="39"/>
    </row>
    <row r="818">
      <c r="A818" s="40">
        <f t="shared" si="1"/>
        <v>46006</v>
      </c>
      <c r="B818" s="37" t="str">
        <f t="array" ref="B818">iferror(xlookup($I818, 'IMPORT VHC Report'!$E:$E, 'IMPORT VHC Report'!$A:$C), )</f>
        <v/>
      </c>
      <c r="C818" s="37"/>
      <c r="D818" s="37"/>
      <c r="E818" s="38" t="s">
        <v>1100</v>
      </c>
      <c r="F818" s="38" t="s">
        <v>1083</v>
      </c>
      <c r="G818" s="38">
        <v>3.61744077956E11</v>
      </c>
      <c r="H818" s="38" t="s">
        <v>1084</v>
      </c>
      <c r="I818" s="38" t="s">
        <v>1085</v>
      </c>
      <c r="J818" s="38" t="s">
        <v>134</v>
      </c>
      <c r="K818" s="38" t="s">
        <v>126</v>
      </c>
      <c r="L818" s="41">
        <v>46008.979166666664</v>
      </c>
      <c r="M818" s="38" t="s">
        <v>123</v>
      </c>
      <c r="N818" s="41">
        <v>46009.0</v>
      </c>
      <c r="O818" s="38" t="s">
        <v>123</v>
      </c>
      <c r="P818" s="38">
        <v>1800.0</v>
      </c>
      <c r="Q818" s="39"/>
      <c r="R818" s="39"/>
      <c r="S818" s="39"/>
      <c r="T818" s="39"/>
      <c r="U818" s="39"/>
    </row>
    <row r="819">
      <c r="A819" s="40">
        <f t="shared" si="1"/>
        <v>46006</v>
      </c>
      <c r="B819" s="37" t="str">
        <f t="array" ref="B819">iferror(xlookup($I819, 'IMPORT VHC Report'!$E:$E, 'IMPORT VHC Report'!$A:$C), )</f>
        <v/>
      </c>
      <c r="C819" s="37"/>
      <c r="D819" s="37"/>
      <c r="E819" s="38" t="s">
        <v>1101</v>
      </c>
      <c r="F819" s="38" t="s">
        <v>1083</v>
      </c>
      <c r="G819" s="38">
        <v>3.61744077956E11</v>
      </c>
      <c r="H819" s="38" t="s">
        <v>1084</v>
      </c>
      <c r="I819" s="38" t="s">
        <v>1085</v>
      </c>
      <c r="J819" s="38" t="s">
        <v>132</v>
      </c>
      <c r="K819" s="38" t="s">
        <v>126</v>
      </c>
      <c r="L819" s="41">
        <v>46009.0</v>
      </c>
      <c r="M819" s="38" t="s">
        <v>123</v>
      </c>
      <c r="N819" s="41">
        <v>46009.041666666664</v>
      </c>
      <c r="O819" s="38" t="s">
        <v>123</v>
      </c>
      <c r="P819" s="38">
        <v>3600.0</v>
      </c>
      <c r="Q819" s="39"/>
      <c r="R819" s="39"/>
      <c r="S819" s="39"/>
      <c r="T819" s="39"/>
      <c r="U819" s="39"/>
    </row>
    <row r="820">
      <c r="A820" s="40">
        <f t="shared" si="1"/>
        <v>46006</v>
      </c>
      <c r="B820" s="37" t="str">
        <f t="array" ref="B820">iferror(xlookup($I820, 'IMPORT VHC Report'!$E:$E, 'IMPORT VHC Report'!$A:$C), )</f>
        <v/>
      </c>
      <c r="C820" s="37"/>
      <c r="D820" s="37"/>
      <c r="E820" s="38" t="s">
        <v>1102</v>
      </c>
      <c r="F820" s="38" t="s">
        <v>1083</v>
      </c>
      <c r="G820" s="38">
        <v>3.61744077956E11</v>
      </c>
      <c r="H820" s="38" t="s">
        <v>1084</v>
      </c>
      <c r="I820" s="38" t="s">
        <v>1085</v>
      </c>
      <c r="J820" s="38" t="s">
        <v>332</v>
      </c>
      <c r="K820" s="38" t="s">
        <v>63</v>
      </c>
      <c r="L820" s="41">
        <v>46009.875</v>
      </c>
      <c r="M820" s="38" t="s">
        <v>123</v>
      </c>
      <c r="N820" s="41">
        <v>46010.25</v>
      </c>
      <c r="O820" s="38" t="s">
        <v>123</v>
      </c>
      <c r="P820" s="38">
        <v>32400.0</v>
      </c>
      <c r="Q820" s="39"/>
      <c r="R820" s="39"/>
      <c r="S820" s="39"/>
      <c r="T820" s="39"/>
      <c r="U820" s="39"/>
    </row>
    <row r="821">
      <c r="A821" s="40">
        <f t="shared" si="1"/>
        <v>46006</v>
      </c>
      <c r="B821" s="37" t="str">
        <f t="array" ref="B821">iferror(xlookup($I821, 'IMPORT VHC Report'!$E:$E, 'IMPORT VHC Report'!$A:$C), )</f>
        <v/>
      </c>
      <c r="C821" s="37"/>
      <c r="D821" s="37"/>
      <c r="E821" s="38" t="s">
        <v>1103</v>
      </c>
      <c r="F821" s="38" t="s">
        <v>1083</v>
      </c>
      <c r="G821" s="38">
        <v>3.61744077956E11</v>
      </c>
      <c r="H821" s="38" t="s">
        <v>1084</v>
      </c>
      <c r="I821" s="38" t="s">
        <v>1085</v>
      </c>
      <c r="J821" s="38" t="s">
        <v>134</v>
      </c>
      <c r="K821" s="38" t="s">
        <v>126</v>
      </c>
      <c r="L821" s="41">
        <v>46010.1875</v>
      </c>
      <c r="M821" s="38" t="s">
        <v>123</v>
      </c>
      <c r="N821" s="41">
        <v>46010.208333333336</v>
      </c>
      <c r="O821" s="38" t="s">
        <v>123</v>
      </c>
      <c r="P821" s="38">
        <v>1800.0</v>
      </c>
      <c r="Q821" s="39"/>
      <c r="R821" s="39"/>
      <c r="S821" s="39"/>
      <c r="T821" s="39"/>
      <c r="U821" s="39"/>
    </row>
    <row r="822">
      <c r="A822" s="40">
        <f t="shared" si="1"/>
        <v>46006</v>
      </c>
      <c r="B822" s="37" t="str">
        <f t="array" ref="B822">iferror(xlookup($I822, 'IMPORT VHC Report'!$E:$E, 'IMPORT VHC Report'!$A:$C), )</f>
        <v/>
      </c>
      <c r="C822" s="37"/>
      <c r="D822" s="37"/>
      <c r="E822" s="38" t="s">
        <v>1104</v>
      </c>
      <c r="F822" s="38" t="s">
        <v>1083</v>
      </c>
      <c r="G822" s="38">
        <v>3.61744077956E11</v>
      </c>
      <c r="H822" s="38" t="s">
        <v>1084</v>
      </c>
      <c r="I822" s="38" t="s">
        <v>1085</v>
      </c>
      <c r="J822" s="38" t="s">
        <v>132</v>
      </c>
      <c r="K822" s="38" t="s">
        <v>126</v>
      </c>
      <c r="L822" s="41">
        <v>46010.208333333336</v>
      </c>
      <c r="M822" s="38" t="s">
        <v>123</v>
      </c>
      <c r="N822" s="41">
        <v>46010.25</v>
      </c>
      <c r="O822" s="38" t="s">
        <v>123</v>
      </c>
      <c r="P822" s="38">
        <v>3600.0</v>
      </c>
      <c r="Q822" s="39"/>
      <c r="R822" s="39"/>
      <c r="S822" s="39"/>
      <c r="T822" s="39"/>
      <c r="U822" s="39"/>
    </row>
    <row r="823">
      <c r="A823" s="40">
        <f t="shared" si="1"/>
        <v>46006</v>
      </c>
      <c r="B823" s="37" t="str">
        <f t="array" ref="B823">iferror(xlookup($I823, 'IMPORT VHC Report'!$E:$E, 'IMPORT VHC Report'!$A:$C), )</f>
        <v/>
      </c>
      <c r="C823" s="37"/>
      <c r="D823" s="37"/>
      <c r="E823" s="38" t="s">
        <v>1105</v>
      </c>
      <c r="F823" s="38" t="s">
        <v>1083</v>
      </c>
      <c r="G823" s="38">
        <v>3.61744077956E11</v>
      </c>
      <c r="H823" s="38" t="s">
        <v>1084</v>
      </c>
      <c r="I823" s="38" t="s">
        <v>1085</v>
      </c>
      <c r="J823" s="38" t="s">
        <v>332</v>
      </c>
      <c r="K823" s="38" t="s">
        <v>63</v>
      </c>
      <c r="L823" s="41">
        <v>46012.875</v>
      </c>
      <c r="M823" s="38" t="s">
        <v>123</v>
      </c>
      <c r="N823" s="41">
        <v>46013.0</v>
      </c>
      <c r="O823" s="38" t="s">
        <v>123</v>
      </c>
      <c r="P823" s="38">
        <v>10800.0</v>
      </c>
      <c r="Q823" s="39"/>
      <c r="R823" s="39"/>
      <c r="S823" s="39"/>
      <c r="T823" s="39"/>
      <c r="U823" s="39"/>
    </row>
    <row r="824">
      <c r="A824" s="40">
        <f t="shared" si="1"/>
        <v>46006</v>
      </c>
      <c r="B824" s="37" t="str">
        <f t="array" ref="B824">iferror(xlookup($I824, 'IMPORT VHC Report'!$E:$E, 'IMPORT VHC Report'!$A:$C), )</f>
        <v/>
      </c>
      <c r="C824" s="37"/>
      <c r="D824" s="37"/>
      <c r="E824" s="38" t="s">
        <v>1106</v>
      </c>
      <c r="F824" s="38" t="s">
        <v>1107</v>
      </c>
      <c r="G824" s="39"/>
      <c r="H824" s="38" t="s">
        <v>1108</v>
      </c>
      <c r="I824" s="38" t="s">
        <v>1109</v>
      </c>
      <c r="J824" s="38" t="s">
        <v>122</v>
      </c>
      <c r="K824" s="38" t="s">
        <v>63</v>
      </c>
      <c r="L824" s="41">
        <v>46006.0</v>
      </c>
      <c r="M824" s="38" t="s">
        <v>123</v>
      </c>
      <c r="N824" s="41">
        <v>46006.166666666664</v>
      </c>
      <c r="O824" s="38" t="s">
        <v>123</v>
      </c>
      <c r="P824" s="38">
        <v>14400.0</v>
      </c>
      <c r="Q824" s="39"/>
      <c r="R824" s="39"/>
      <c r="S824" s="39"/>
      <c r="T824" s="39"/>
      <c r="U824" s="39"/>
    </row>
    <row r="825">
      <c r="A825" s="40">
        <f t="shared" si="1"/>
        <v>46006</v>
      </c>
      <c r="B825" s="37" t="str">
        <f t="array" ref="B825">iferror(xlookup($I825, 'IMPORT VHC Report'!$E:$E, 'IMPORT VHC Report'!$A:$C), )</f>
        <v/>
      </c>
      <c r="C825" s="37"/>
      <c r="D825" s="37"/>
      <c r="E825" s="38" t="s">
        <v>1110</v>
      </c>
      <c r="F825" s="38" t="s">
        <v>1107</v>
      </c>
      <c r="G825" s="39"/>
      <c r="H825" s="38" t="s">
        <v>1108</v>
      </c>
      <c r="I825" s="38" t="s">
        <v>1109</v>
      </c>
      <c r="J825" s="38" t="s">
        <v>134</v>
      </c>
      <c r="K825" s="38" t="s">
        <v>126</v>
      </c>
      <c r="L825" s="41">
        <v>46006.0625</v>
      </c>
      <c r="M825" s="38" t="s">
        <v>123</v>
      </c>
      <c r="N825" s="41">
        <v>46006.083333333336</v>
      </c>
      <c r="O825" s="38" t="s">
        <v>123</v>
      </c>
      <c r="P825" s="38">
        <v>1800.0</v>
      </c>
      <c r="Q825" s="39"/>
      <c r="R825" s="39"/>
      <c r="S825" s="39"/>
      <c r="T825" s="39"/>
      <c r="U825" s="39"/>
    </row>
    <row r="826">
      <c r="A826" s="40">
        <f t="shared" si="1"/>
        <v>46006</v>
      </c>
      <c r="B826" s="37" t="str">
        <f t="array" ref="B826">iferror(xlookup($I826, 'IMPORT VHC Report'!$E:$E, 'IMPORT VHC Report'!$A:$C), )</f>
        <v/>
      </c>
      <c r="C826" s="37"/>
      <c r="D826" s="37"/>
      <c r="E826" s="38" t="s">
        <v>1111</v>
      </c>
      <c r="F826" s="38" t="s">
        <v>1107</v>
      </c>
      <c r="G826" s="39"/>
      <c r="H826" s="38" t="s">
        <v>1108</v>
      </c>
      <c r="I826" s="38" t="s">
        <v>1109</v>
      </c>
      <c r="J826" s="38" t="s">
        <v>125</v>
      </c>
      <c r="K826" s="38" t="s">
        <v>126</v>
      </c>
      <c r="L826" s="41">
        <v>46006.791666666664</v>
      </c>
      <c r="M826" s="38" t="s">
        <v>123</v>
      </c>
      <c r="N826" s="41">
        <v>46006.79861111111</v>
      </c>
      <c r="O826" s="38" t="s">
        <v>123</v>
      </c>
      <c r="P826" s="38">
        <v>600.0</v>
      </c>
      <c r="Q826" s="39"/>
      <c r="R826" s="39"/>
      <c r="S826" s="38" t="s">
        <v>127</v>
      </c>
      <c r="T826" s="39"/>
      <c r="U826" s="39"/>
    </row>
    <row r="827">
      <c r="A827" s="40">
        <f t="shared" si="1"/>
        <v>46006</v>
      </c>
      <c r="B827" s="37" t="str">
        <f t="array" ref="B827">iferror(xlookup($I827, 'IMPORT VHC Report'!$E:$E, 'IMPORT VHC Report'!$A:$C), )</f>
        <v/>
      </c>
      <c r="C827" s="37"/>
      <c r="D827" s="37"/>
      <c r="E827" s="38" t="s">
        <v>1112</v>
      </c>
      <c r="F827" s="38" t="s">
        <v>1107</v>
      </c>
      <c r="G827" s="39"/>
      <c r="H827" s="38" t="s">
        <v>1108</v>
      </c>
      <c r="I827" s="38" t="s">
        <v>1109</v>
      </c>
      <c r="J827" s="38" t="s">
        <v>122</v>
      </c>
      <c r="K827" s="38" t="s">
        <v>63</v>
      </c>
      <c r="L827" s="41">
        <v>46006.791666666664</v>
      </c>
      <c r="M827" s="38" t="s">
        <v>123</v>
      </c>
      <c r="N827" s="41">
        <v>46007.166666666664</v>
      </c>
      <c r="O827" s="38" t="s">
        <v>123</v>
      </c>
      <c r="P827" s="38">
        <v>32400.0</v>
      </c>
      <c r="Q827" s="39"/>
      <c r="R827" s="39"/>
      <c r="S827" s="39"/>
      <c r="T827" s="39"/>
      <c r="U827" s="39"/>
    </row>
    <row r="828">
      <c r="A828" s="40">
        <f t="shared" si="1"/>
        <v>46006</v>
      </c>
      <c r="B828" s="37" t="str">
        <f t="array" ref="B828">iferror(xlookup($I828, 'IMPORT VHC Report'!$E:$E, 'IMPORT VHC Report'!$A:$C), )</f>
        <v/>
      </c>
      <c r="C828" s="37"/>
      <c r="D828" s="37"/>
      <c r="E828" s="38" t="s">
        <v>1113</v>
      </c>
      <c r="F828" s="38" t="s">
        <v>1107</v>
      </c>
      <c r="G828" s="39"/>
      <c r="H828" s="38" t="s">
        <v>1108</v>
      </c>
      <c r="I828" s="38" t="s">
        <v>1109</v>
      </c>
      <c r="J828" s="38" t="s">
        <v>134</v>
      </c>
      <c r="K828" s="38" t="s">
        <v>126</v>
      </c>
      <c r="L828" s="41">
        <v>46006.875</v>
      </c>
      <c r="M828" s="38" t="s">
        <v>123</v>
      </c>
      <c r="N828" s="41">
        <v>46006.895833333336</v>
      </c>
      <c r="O828" s="38" t="s">
        <v>123</v>
      </c>
      <c r="P828" s="38">
        <v>1800.0</v>
      </c>
      <c r="Q828" s="39"/>
      <c r="R828" s="39"/>
      <c r="S828" s="39"/>
      <c r="T828" s="39"/>
      <c r="U828" s="39"/>
    </row>
    <row r="829">
      <c r="A829" s="40">
        <f t="shared" si="1"/>
        <v>46006</v>
      </c>
      <c r="B829" s="37" t="str">
        <f t="array" ref="B829">iferror(xlookup($I829, 'IMPORT VHC Report'!$E:$E, 'IMPORT VHC Report'!$A:$C), )</f>
        <v/>
      </c>
      <c r="C829" s="37"/>
      <c r="D829" s="37"/>
      <c r="E829" s="38" t="s">
        <v>1114</v>
      </c>
      <c r="F829" s="38" t="s">
        <v>1107</v>
      </c>
      <c r="G829" s="39"/>
      <c r="H829" s="38" t="s">
        <v>1108</v>
      </c>
      <c r="I829" s="38" t="s">
        <v>1109</v>
      </c>
      <c r="J829" s="38" t="s">
        <v>132</v>
      </c>
      <c r="K829" s="38" t="s">
        <v>126</v>
      </c>
      <c r="L829" s="41">
        <v>46006.989583333336</v>
      </c>
      <c r="M829" s="38" t="s">
        <v>123</v>
      </c>
      <c r="N829" s="41">
        <v>46007.03125</v>
      </c>
      <c r="O829" s="38" t="s">
        <v>123</v>
      </c>
      <c r="P829" s="38">
        <v>3600.0</v>
      </c>
      <c r="Q829" s="39"/>
      <c r="R829" s="39"/>
      <c r="S829" s="39"/>
      <c r="T829" s="39"/>
      <c r="U829" s="39"/>
    </row>
    <row r="830">
      <c r="A830" s="40">
        <f t="shared" si="1"/>
        <v>46006</v>
      </c>
      <c r="B830" s="37" t="str">
        <f t="array" ref="B830">iferror(xlookup($I830, 'IMPORT VHC Report'!$E:$E, 'IMPORT VHC Report'!$A:$C), )</f>
        <v/>
      </c>
      <c r="C830" s="37"/>
      <c r="D830" s="37"/>
      <c r="E830" s="38" t="s">
        <v>1115</v>
      </c>
      <c r="F830" s="38" t="s">
        <v>1107</v>
      </c>
      <c r="G830" s="39"/>
      <c r="H830" s="38" t="s">
        <v>1108</v>
      </c>
      <c r="I830" s="38" t="s">
        <v>1109</v>
      </c>
      <c r="J830" s="38" t="s">
        <v>125</v>
      </c>
      <c r="K830" s="38" t="s">
        <v>126</v>
      </c>
      <c r="L830" s="41">
        <v>46007.791666666664</v>
      </c>
      <c r="M830" s="38" t="s">
        <v>123</v>
      </c>
      <c r="N830" s="41">
        <v>46007.79861111111</v>
      </c>
      <c r="O830" s="38" t="s">
        <v>123</v>
      </c>
      <c r="P830" s="38">
        <v>600.0</v>
      </c>
      <c r="Q830" s="39"/>
      <c r="R830" s="39"/>
      <c r="S830" s="38" t="s">
        <v>127</v>
      </c>
      <c r="T830" s="39"/>
      <c r="U830" s="39"/>
    </row>
    <row r="831">
      <c r="A831" s="40">
        <f t="shared" si="1"/>
        <v>46006</v>
      </c>
      <c r="B831" s="37" t="str">
        <f t="array" ref="B831">iferror(xlookup($I831, 'IMPORT VHC Report'!$E:$E, 'IMPORT VHC Report'!$A:$C), )</f>
        <v/>
      </c>
      <c r="C831" s="37"/>
      <c r="D831" s="37"/>
      <c r="E831" s="38" t="s">
        <v>1116</v>
      </c>
      <c r="F831" s="38" t="s">
        <v>1107</v>
      </c>
      <c r="G831" s="39"/>
      <c r="H831" s="38" t="s">
        <v>1108</v>
      </c>
      <c r="I831" s="38" t="s">
        <v>1109</v>
      </c>
      <c r="J831" s="38" t="s">
        <v>122</v>
      </c>
      <c r="K831" s="38" t="s">
        <v>63</v>
      </c>
      <c r="L831" s="41">
        <v>46007.791666666664</v>
      </c>
      <c r="M831" s="38" t="s">
        <v>123</v>
      </c>
      <c r="N831" s="41">
        <v>46008.166666666664</v>
      </c>
      <c r="O831" s="38" t="s">
        <v>123</v>
      </c>
      <c r="P831" s="38">
        <v>32400.0</v>
      </c>
      <c r="Q831" s="39"/>
      <c r="R831" s="39"/>
      <c r="S831" s="39"/>
      <c r="T831" s="39"/>
      <c r="U831" s="39"/>
    </row>
    <row r="832">
      <c r="A832" s="40">
        <f t="shared" si="1"/>
        <v>46006</v>
      </c>
      <c r="B832" s="37" t="str">
        <f t="array" ref="B832">iferror(xlookup($I832, 'IMPORT VHC Report'!$E:$E, 'IMPORT VHC Report'!$A:$C), )</f>
        <v/>
      </c>
      <c r="C832" s="37"/>
      <c r="D832" s="37"/>
      <c r="E832" s="38" t="s">
        <v>1117</v>
      </c>
      <c r="F832" s="38" t="s">
        <v>1107</v>
      </c>
      <c r="G832" s="39"/>
      <c r="H832" s="38" t="s">
        <v>1108</v>
      </c>
      <c r="I832" s="38" t="s">
        <v>1109</v>
      </c>
      <c r="J832" s="38" t="s">
        <v>134</v>
      </c>
      <c r="K832" s="38" t="s">
        <v>126</v>
      </c>
      <c r="L832" s="41">
        <v>46007.895833333336</v>
      </c>
      <c r="M832" s="38" t="s">
        <v>123</v>
      </c>
      <c r="N832" s="41">
        <v>46007.916666666664</v>
      </c>
      <c r="O832" s="38" t="s">
        <v>123</v>
      </c>
      <c r="P832" s="38">
        <v>1800.0</v>
      </c>
      <c r="Q832" s="39"/>
      <c r="R832" s="39"/>
      <c r="S832" s="39"/>
      <c r="T832" s="39"/>
      <c r="U832" s="39"/>
    </row>
    <row r="833">
      <c r="A833" s="40">
        <f t="shared" si="1"/>
        <v>46006</v>
      </c>
      <c r="B833" s="37" t="str">
        <f t="array" ref="B833">iferror(xlookup($I833, 'IMPORT VHC Report'!$E:$E, 'IMPORT VHC Report'!$A:$C), )</f>
        <v/>
      </c>
      <c r="C833" s="37"/>
      <c r="D833" s="37"/>
      <c r="E833" s="38" t="s">
        <v>1118</v>
      </c>
      <c r="F833" s="38" t="s">
        <v>1107</v>
      </c>
      <c r="G833" s="39"/>
      <c r="H833" s="38" t="s">
        <v>1108</v>
      </c>
      <c r="I833" s="38" t="s">
        <v>1109</v>
      </c>
      <c r="J833" s="38" t="s">
        <v>4</v>
      </c>
      <c r="K833" s="38" t="s">
        <v>126</v>
      </c>
      <c r="L833" s="41">
        <v>46007.916666666664</v>
      </c>
      <c r="M833" s="38" t="s">
        <v>123</v>
      </c>
      <c r="N833" s="41">
        <v>46007.958333333336</v>
      </c>
      <c r="O833" s="38" t="s">
        <v>123</v>
      </c>
      <c r="P833" s="38">
        <v>3600.0</v>
      </c>
      <c r="Q833" s="39"/>
      <c r="R833" s="39"/>
      <c r="S833" s="38" t="s">
        <v>130</v>
      </c>
      <c r="T833" s="39"/>
      <c r="U833" s="39"/>
    </row>
    <row r="834">
      <c r="A834" s="40">
        <f t="shared" si="1"/>
        <v>46006</v>
      </c>
      <c r="B834" s="37" t="str">
        <f t="array" ref="B834">iferror(xlookup($I834, 'IMPORT VHC Report'!$E:$E, 'IMPORT VHC Report'!$A:$C), )</f>
        <v/>
      </c>
      <c r="C834" s="37"/>
      <c r="D834" s="37"/>
      <c r="E834" s="38" t="s">
        <v>1119</v>
      </c>
      <c r="F834" s="38" t="s">
        <v>1107</v>
      </c>
      <c r="G834" s="39"/>
      <c r="H834" s="38" t="s">
        <v>1108</v>
      </c>
      <c r="I834" s="38" t="s">
        <v>1109</v>
      </c>
      <c r="J834" s="38" t="s">
        <v>132</v>
      </c>
      <c r="K834" s="38" t="s">
        <v>126</v>
      </c>
      <c r="L834" s="41">
        <v>46008.0</v>
      </c>
      <c r="M834" s="38" t="s">
        <v>123</v>
      </c>
      <c r="N834" s="41">
        <v>46008.041666666664</v>
      </c>
      <c r="O834" s="38" t="s">
        <v>123</v>
      </c>
      <c r="P834" s="38">
        <v>3600.0</v>
      </c>
      <c r="Q834" s="39"/>
      <c r="R834" s="39"/>
      <c r="S834" s="39"/>
      <c r="T834" s="39"/>
      <c r="U834" s="39"/>
    </row>
    <row r="835">
      <c r="A835" s="40">
        <f t="shared" si="1"/>
        <v>46006</v>
      </c>
      <c r="B835" s="37" t="str">
        <f t="array" ref="B835">iferror(xlookup($I835, 'IMPORT VHC Report'!$E:$E, 'IMPORT VHC Report'!$A:$C), )</f>
        <v/>
      </c>
      <c r="C835" s="37"/>
      <c r="D835" s="37"/>
      <c r="E835" s="38" t="s">
        <v>1120</v>
      </c>
      <c r="F835" s="38" t="s">
        <v>1107</v>
      </c>
      <c r="G835" s="39"/>
      <c r="H835" s="38" t="s">
        <v>1108</v>
      </c>
      <c r="I835" s="38" t="s">
        <v>1109</v>
      </c>
      <c r="J835" s="38" t="s">
        <v>125</v>
      </c>
      <c r="K835" s="38" t="s">
        <v>126</v>
      </c>
      <c r="L835" s="41">
        <v>46010.791666666664</v>
      </c>
      <c r="M835" s="38" t="s">
        <v>123</v>
      </c>
      <c r="N835" s="41">
        <v>46010.79861111111</v>
      </c>
      <c r="O835" s="38" t="s">
        <v>123</v>
      </c>
      <c r="P835" s="38">
        <v>600.0</v>
      </c>
      <c r="Q835" s="39"/>
      <c r="R835" s="39"/>
      <c r="S835" s="38" t="s">
        <v>127</v>
      </c>
      <c r="T835" s="39"/>
      <c r="U835" s="39"/>
    </row>
    <row r="836">
      <c r="A836" s="40">
        <f t="shared" si="1"/>
        <v>46006</v>
      </c>
      <c r="B836" s="37" t="str">
        <f t="array" ref="B836">iferror(xlookup($I836, 'IMPORT VHC Report'!$E:$E, 'IMPORT VHC Report'!$A:$C), )</f>
        <v/>
      </c>
      <c r="C836" s="37"/>
      <c r="D836" s="37"/>
      <c r="E836" s="38" t="s">
        <v>1121</v>
      </c>
      <c r="F836" s="38" t="s">
        <v>1107</v>
      </c>
      <c r="G836" s="39"/>
      <c r="H836" s="38" t="s">
        <v>1108</v>
      </c>
      <c r="I836" s="38" t="s">
        <v>1109</v>
      </c>
      <c r="J836" s="38" t="s">
        <v>122</v>
      </c>
      <c r="K836" s="38" t="s">
        <v>63</v>
      </c>
      <c r="L836" s="41">
        <v>46010.791666666664</v>
      </c>
      <c r="M836" s="38" t="s">
        <v>123</v>
      </c>
      <c r="N836" s="41">
        <v>46011.166666666664</v>
      </c>
      <c r="O836" s="38" t="s">
        <v>123</v>
      </c>
      <c r="P836" s="38">
        <v>32400.0</v>
      </c>
      <c r="Q836" s="39"/>
      <c r="R836" s="39"/>
      <c r="S836" s="39"/>
      <c r="T836" s="39"/>
      <c r="U836" s="39"/>
    </row>
    <row r="837">
      <c r="A837" s="40">
        <f t="shared" si="1"/>
        <v>46006</v>
      </c>
      <c r="B837" s="37" t="str">
        <f t="array" ref="B837">iferror(xlookup($I837, 'IMPORT VHC Report'!$E:$E, 'IMPORT VHC Report'!$A:$C), )</f>
        <v/>
      </c>
      <c r="C837" s="37"/>
      <c r="D837" s="37"/>
      <c r="E837" s="38" t="s">
        <v>1122</v>
      </c>
      <c r="F837" s="38" t="s">
        <v>1107</v>
      </c>
      <c r="G837" s="39"/>
      <c r="H837" s="38" t="s">
        <v>1108</v>
      </c>
      <c r="I837" s="38" t="s">
        <v>1109</v>
      </c>
      <c r="J837" s="38" t="s">
        <v>132</v>
      </c>
      <c r="K837" s="38" t="s">
        <v>126</v>
      </c>
      <c r="L837" s="41">
        <v>46010.916666666664</v>
      </c>
      <c r="M837" s="38" t="s">
        <v>123</v>
      </c>
      <c r="N837" s="41">
        <v>46010.958333333336</v>
      </c>
      <c r="O837" s="38" t="s">
        <v>123</v>
      </c>
      <c r="P837" s="38">
        <v>3600.0</v>
      </c>
      <c r="Q837" s="39"/>
      <c r="R837" s="39"/>
      <c r="S837" s="39"/>
      <c r="T837" s="39"/>
      <c r="U837" s="39"/>
    </row>
    <row r="838">
      <c r="A838" s="40">
        <f t="shared" si="1"/>
        <v>46006</v>
      </c>
      <c r="B838" s="37" t="str">
        <f t="array" ref="B838">iferror(xlookup($I838, 'IMPORT VHC Report'!$E:$E, 'IMPORT VHC Report'!$A:$C), )</f>
        <v/>
      </c>
      <c r="C838" s="37"/>
      <c r="D838" s="37"/>
      <c r="E838" s="38" t="s">
        <v>1123</v>
      </c>
      <c r="F838" s="38" t="s">
        <v>1107</v>
      </c>
      <c r="G838" s="39"/>
      <c r="H838" s="38" t="s">
        <v>1108</v>
      </c>
      <c r="I838" s="38" t="s">
        <v>1109</v>
      </c>
      <c r="J838" s="38" t="s">
        <v>134</v>
      </c>
      <c r="K838" s="38" t="s">
        <v>126</v>
      </c>
      <c r="L838" s="41">
        <v>46011.052083333336</v>
      </c>
      <c r="M838" s="38" t="s">
        <v>123</v>
      </c>
      <c r="N838" s="41">
        <v>46011.072916666664</v>
      </c>
      <c r="O838" s="38" t="s">
        <v>123</v>
      </c>
      <c r="P838" s="38">
        <v>1800.0</v>
      </c>
      <c r="Q838" s="39"/>
      <c r="R838" s="39"/>
      <c r="S838" s="39"/>
      <c r="T838" s="39"/>
      <c r="U838" s="39"/>
    </row>
    <row r="839">
      <c r="A839" s="40">
        <f t="shared" si="1"/>
        <v>46006</v>
      </c>
      <c r="B839" s="37" t="str">
        <f t="array" ref="B839">iferror(xlookup($I839, 'IMPORT VHC Report'!$E:$E, 'IMPORT VHC Report'!$A:$C), )</f>
        <v/>
      </c>
      <c r="C839" s="37"/>
      <c r="D839" s="37"/>
      <c r="E839" s="38" t="s">
        <v>1124</v>
      </c>
      <c r="F839" s="38" t="s">
        <v>1107</v>
      </c>
      <c r="G839" s="39"/>
      <c r="H839" s="38" t="s">
        <v>1108</v>
      </c>
      <c r="I839" s="38" t="s">
        <v>1109</v>
      </c>
      <c r="J839" s="38" t="s">
        <v>125</v>
      </c>
      <c r="K839" s="38" t="s">
        <v>126</v>
      </c>
      <c r="L839" s="41">
        <v>46011.791666666664</v>
      </c>
      <c r="M839" s="38" t="s">
        <v>123</v>
      </c>
      <c r="N839" s="41">
        <v>46011.79861111111</v>
      </c>
      <c r="O839" s="38" t="s">
        <v>123</v>
      </c>
      <c r="P839" s="38">
        <v>600.0</v>
      </c>
      <c r="Q839" s="39"/>
      <c r="R839" s="39"/>
      <c r="S839" s="38" t="s">
        <v>127</v>
      </c>
      <c r="T839" s="39"/>
      <c r="U839" s="39"/>
    </row>
    <row r="840">
      <c r="A840" s="40">
        <f t="shared" si="1"/>
        <v>46006</v>
      </c>
      <c r="B840" s="37" t="str">
        <f t="array" ref="B840">iferror(xlookup($I840, 'IMPORT VHC Report'!$E:$E, 'IMPORT VHC Report'!$A:$C), )</f>
        <v/>
      </c>
      <c r="C840" s="37"/>
      <c r="D840" s="37"/>
      <c r="E840" s="38" t="s">
        <v>1125</v>
      </c>
      <c r="F840" s="38" t="s">
        <v>1107</v>
      </c>
      <c r="G840" s="39"/>
      <c r="H840" s="38" t="s">
        <v>1108</v>
      </c>
      <c r="I840" s="38" t="s">
        <v>1109</v>
      </c>
      <c r="J840" s="38" t="s">
        <v>122</v>
      </c>
      <c r="K840" s="38" t="s">
        <v>63</v>
      </c>
      <c r="L840" s="41">
        <v>46011.791666666664</v>
      </c>
      <c r="M840" s="38" t="s">
        <v>123</v>
      </c>
      <c r="N840" s="41">
        <v>46012.166666666664</v>
      </c>
      <c r="O840" s="38" t="s">
        <v>123</v>
      </c>
      <c r="P840" s="38">
        <v>32400.0</v>
      </c>
      <c r="Q840" s="39"/>
      <c r="R840" s="39"/>
      <c r="S840" s="39"/>
      <c r="T840" s="39"/>
      <c r="U840" s="39"/>
    </row>
    <row r="841">
      <c r="A841" s="40">
        <f t="shared" si="1"/>
        <v>46006</v>
      </c>
      <c r="B841" s="37" t="str">
        <f t="array" ref="B841">iferror(xlookup($I841, 'IMPORT VHC Report'!$E:$E, 'IMPORT VHC Report'!$A:$C), )</f>
        <v/>
      </c>
      <c r="C841" s="37"/>
      <c r="D841" s="37"/>
      <c r="E841" s="38" t="s">
        <v>1126</v>
      </c>
      <c r="F841" s="38" t="s">
        <v>1107</v>
      </c>
      <c r="G841" s="39"/>
      <c r="H841" s="38" t="s">
        <v>1108</v>
      </c>
      <c r="I841" s="38" t="s">
        <v>1109</v>
      </c>
      <c r="J841" s="38" t="s">
        <v>134</v>
      </c>
      <c r="K841" s="38" t="s">
        <v>126</v>
      </c>
      <c r="L841" s="41">
        <v>46011.875</v>
      </c>
      <c r="M841" s="38" t="s">
        <v>123</v>
      </c>
      <c r="N841" s="41">
        <v>46011.895833333336</v>
      </c>
      <c r="O841" s="38" t="s">
        <v>123</v>
      </c>
      <c r="P841" s="38">
        <v>1800.0</v>
      </c>
      <c r="Q841" s="39"/>
      <c r="R841" s="39"/>
      <c r="S841" s="39"/>
      <c r="T841" s="39"/>
      <c r="U841" s="39"/>
    </row>
    <row r="842">
      <c r="A842" s="40">
        <f t="shared" si="1"/>
        <v>46006</v>
      </c>
      <c r="B842" s="37" t="str">
        <f t="array" ref="B842">iferror(xlookup($I842, 'IMPORT VHC Report'!$E:$E, 'IMPORT VHC Report'!$A:$C), )</f>
        <v/>
      </c>
      <c r="C842" s="37"/>
      <c r="D842" s="37"/>
      <c r="E842" s="38" t="s">
        <v>1127</v>
      </c>
      <c r="F842" s="38" t="s">
        <v>1107</v>
      </c>
      <c r="G842" s="39"/>
      <c r="H842" s="38" t="s">
        <v>1108</v>
      </c>
      <c r="I842" s="38" t="s">
        <v>1109</v>
      </c>
      <c r="J842" s="38" t="s">
        <v>132</v>
      </c>
      <c r="K842" s="38" t="s">
        <v>126</v>
      </c>
      <c r="L842" s="41">
        <v>46012.0</v>
      </c>
      <c r="M842" s="38" t="s">
        <v>123</v>
      </c>
      <c r="N842" s="41">
        <v>46012.041666666664</v>
      </c>
      <c r="O842" s="38" t="s">
        <v>123</v>
      </c>
      <c r="P842" s="38">
        <v>3600.0</v>
      </c>
      <c r="Q842" s="39"/>
      <c r="R842" s="39"/>
      <c r="S842" s="39"/>
      <c r="T842" s="39"/>
      <c r="U842" s="39"/>
    </row>
    <row r="843">
      <c r="A843" s="40">
        <f t="shared" si="1"/>
        <v>46006</v>
      </c>
      <c r="B843" s="37" t="str">
        <f t="array" ref="B843">iferror(xlookup($I843, 'IMPORT VHC Report'!$E:$E, 'IMPORT VHC Report'!$A:$C), )</f>
        <v/>
      </c>
      <c r="C843" s="37"/>
      <c r="D843" s="37"/>
      <c r="E843" s="38" t="s">
        <v>1128</v>
      </c>
      <c r="F843" s="38" t="s">
        <v>1107</v>
      </c>
      <c r="G843" s="39"/>
      <c r="H843" s="38" t="s">
        <v>1108</v>
      </c>
      <c r="I843" s="38" t="s">
        <v>1109</v>
      </c>
      <c r="J843" s="38" t="s">
        <v>125</v>
      </c>
      <c r="K843" s="38" t="s">
        <v>126</v>
      </c>
      <c r="L843" s="41">
        <v>46012.791666666664</v>
      </c>
      <c r="M843" s="38" t="s">
        <v>123</v>
      </c>
      <c r="N843" s="41">
        <v>46012.79861111111</v>
      </c>
      <c r="O843" s="38" t="s">
        <v>123</v>
      </c>
      <c r="P843" s="38">
        <v>600.0</v>
      </c>
      <c r="Q843" s="39"/>
      <c r="R843" s="39"/>
      <c r="S843" s="38" t="s">
        <v>127</v>
      </c>
      <c r="T843" s="39"/>
      <c r="U843" s="39"/>
    </row>
    <row r="844">
      <c r="A844" s="40">
        <f t="shared" si="1"/>
        <v>46006</v>
      </c>
      <c r="B844" s="37" t="str">
        <f t="array" ref="B844">iferror(xlookup($I844, 'IMPORT VHC Report'!$E:$E, 'IMPORT VHC Report'!$A:$C), )</f>
        <v/>
      </c>
      <c r="C844" s="37"/>
      <c r="D844" s="37"/>
      <c r="E844" s="38" t="s">
        <v>1129</v>
      </c>
      <c r="F844" s="38" t="s">
        <v>1107</v>
      </c>
      <c r="G844" s="39"/>
      <c r="H844" s="38" t="s">
        <v>1108</v>
      </c>
      <c r="I844" s="38" t="s">
        <v>1109</v>
      </c>
      <c r="J844" s="38" t="s">
        <v>122</v>
      </c>
      <c r="K844" s="38" t="s">
        <v>63</v>
      </c>
      <c r="L844" s="41">
        <v>46012.791666666664</v>
      </c>
      <c r="M844" s="38" t="s">
        <v>123</v>
      </c>
      <c r="N844" s="41">
        <v>46013.0</v>
      </c>
      <c r="O844" s="38" t="s">
        <v>123</v>
      </c>
      <c r="P844" s="38">
        <v>18000.0</v>
      </c>
      <c r="Q844" s="39"/>
      <c r="R844" s="39"/>
      <c r="S844" s="39"/>
      <c r="T844" s="39"/>
      <c r="U844" s="39"/>
    </row>
    <row r="845">
      <c r="A845" s="40">
        <f t="shared" si="1"/>
        <v>46006</v>
      </c>
      <c r="B845" s="37" t="str">
        <f t="array" ref="B845">iferror(xlookup($I845, 'IMPORT VHC Report'!$E:$E, 'IMPORT VHC Report'!$A:$C), )</f>
        <v/>
      </c>
      <c r="C845" s="37"/>
      <c r="D845" s="37"/>
      <c r="E845" s="38" t="s">
        <v>1130</v>
      </c>
      <c r="F845" s="38" t="s">
        <v>1107</v>
      </c>
      <c r="G845" s="39"/>
      <c r="H845" s="38" t="s">
        <v>1108</v>
      </c>
      <c r="I845" s="38" t="s">
        <v>1109</v>
      </c>
      <c r="J845" s="38" t="s">
        <v>132</v>
      </c>
      <c r="K845" s="38" t="s">
        <v>126</v>
      </c>
      <c r="L845" s="41">
        <v>46012.885416666664</v>
      </c>
      <c r="M845" s="38" t="s">
        <v>123</v>
      </c>
      <c r="N845" s="41">
        <v>46012.927083333336</v>
      </c>
      <c r="O845" s="38" t="s">
        <v>123</v>
      </c>
      <c r="P845" s="38">
        <v>3600.0</v>
      </c>
      <c r="Q845" s="39"/>
      <c r="R845" s="39"/>
      <c r="S845" s="39"/>
      <c r="T845" s="39"/>
      <c r="U845" s="39"/>
    </row>
    <row r="846">
      <c r="A846" s="40">
        <f t="shared" si="1"/>
        <v>46006</v>
      </c>
      <c r="B846" s="37" t="str">
        <f t="array" ref="B846">iferror(xlookup($I846, 'IMPORT VHC Report'!$E:$E, 'IMPORT VHC Report'!$A:$C), )</f>
        <v/>
      </c>
      <c r="C846" s="37"/>
      <c r="D846" s="37"/>
      <c r="E846" s="38" t="s">
        <v>1131</v>
      </c>
      <c r="F846" s="38" t="s">
        <v>1132</v>
      </c>
      <c r="G846" s="38">
        <v>3.61964324516E11</v>
      </c>
      <c r="H846" s="38" t="s">
        <v>1133</v>
      </c>
      <c r="I846" s="38" t="s">
        <v>1134</v>
      </c>
      <c r="J846" s="38" t="s">
        <v>224</v>
      </c>
      <c r="K846" s="38" t="s">
        <v>63</v>
      </c>
      <c r="L846" s="41">
        <v>46006.0</v>
      </c>
      <c r="M846" s="38" t="s">
        <v>123</v>
      </c>
      <c r="N846" s="41">
        <v>46006.208333333336</v>
      </c>
      <c r="O846" s="38" t="s">
        <v>123</v>
      </c>
      <c r="P846" s="38">
        <v>18000.0</v>
      </c>
      <c r="Q846" s="39"/>
      <c r="R846" s="39"/>
      <c r="S846" s="39"/>
      <c r="T846" s="39"/>
      <c r="U846" s="39"/>
    </row>
    <row r="847">
      <c r="A847" s="40">
        <f t="shared" si="1"/>
        <v>46006</v>
      </c>
      <c r="B847" s="37" t="str">
        <f t="array" ref="B847">iferror(xlookup($I847, 'IMPORT VHC Report'!$E:$E, 'IMPORT VHC Report'!$A:$C), )</f>
        <v/>
      </c>
      <c r="C847" s="37"/>
      <c r="D847" s="37"/>
      <c r="E847" s="38" t="s">
        <v>1135</v>
      </c>
      <c r="F847" s="38" t="s">
        <v>1132</v>
      </c>
      <c r="G847" s="38">
        <v>3.61964324516E11</v>
      </c>
      <c r="H847" s="38" t="s">
        <v>1133</v>
      </c>
      <c r="I847" s="38" t="s">
        <v>1134</v>
      </c>
      <c r="J847" s="38" t="s">
        <v>125</v>
      </c>
      <c r="K847" s="38" t="s">
        <v>126</v>
      </c>
      <c r="L847" s="41">
        <v>46006.01944444444</v>
      </c>
      <c r="M847" s="38" t="s">
        <v>123</v>
      </c>
      <c r="N847" s="41">
        <v>46006.02847222222</v>
      </c>
      <c r="O847" s="38" t="s">
        <v>123</v>
      </c>
      <c r="P847" s="38">
        <v>780.0</v>
      </c>
      <c r="Q847" s="39"/>
      <c r="R847" s="39"/>
      <c r="S847" s="39"/>
      <c r="T847" s="39"/>
      <c r="U847" s="39"/>
    </row>
    <row r="848">
      <c r="A848" s="40">
        <f t="shared" si="1"/>
        <v>46006</v>
      </c>
      <c r="B848" s="37" t="str">
        <f t="array" ref="B848">iferror(xlookup($I848, 'IMPORT VHC Report'!$E:$E, 'IMPORT VHC Report'!$A:$C), )</f>
        <v/>
      </c>
      <c r="C848" s="37"/>
      <c r="D848" s="37"/>
      <c r="E848" s="38" t="s">
        <v>1136</v>
      </c>
      <c r="F848" s="38" t="s">
        <v>1132</v>
      </c>
      <c r="G848" s="38">
        <v>3.61964324516E11</v>
      </c>
      <c r="H848" s="38" t="s">
        <v>1133</v>
      </c>
      <c r="I848" s="38" t="s">
        <v>1134</v>
      </c>
      <c r="J848" s="38" t="s">
        <v>132</v>
      </c>
      <c r="K848" s="38" t="s">
        <v>126</v>
      </c>
      <c r="L848" s="41">
        <v>46006.09444444445</v>
      </c>
      <c r="M848" s="38" t="s">
        <v>123</v>
      </c>
      <c r="N848" s="41">
        <v>46006.13611111111</v>
      </c>
      <c r="O848" s="38" t="s">
        <v>123</v>
      </c>
      <c r="P848" s="38">
        <v>3600.0</v>
      </c>
      <c r="Q848" s="39"/>
      <c r="R848" s="39"/>
      <c r="S848" s="39"/>
      <c r="T848" s="39"/>
      <c r="U848" s="39"/>
    </row>
    <row r="849">
      <c r="A849" s="40">
        <f t="shared" si="1"/>
        <v>46006</v>
      </c>
      <c r="B849" s="37" t="str">
        <f t="array" ref="B849">iferror(xlookup($I849, 'IMPORT VHC Report'!$E:$E, 'IMPORT VHC Report'!$A:$C), )</f>
        <v/>
      </c>
      <c r="C849" s="37"/>
      <c r="D849" s="37"/>
      <c r="E849" s="38" t="s">
        <v>1137</v>
      </c>
      <c r="F849" s="38" t="s">
        <v>1132</v>
      </c>
      <c r="G849" s="38">
        <v>3.61964324516E11</v>
      </c>
      <c r="H849" s="38" t="s">
        <v>1133</v>
      </c>
      <c r="I849" s="38" t="s">
        <v>1134</v>
      </c>
      <c r="J849" s="38" t="s">
        <v>224</v>
      </c>
      <c r="K849" s="38" t="s">
        <v>63</v>
      </c>
      <c r="L849" s="41">
        <v>46006.833333333336</v>
      </c>
      <c r="M849" s="38" t="s">
        <v>123</v>
      </c>
      <c r="N849" s="41">
        <v>46006.916666666664</v>
      </c>
      <c r="O849" s="38" t="s">
        <v>123</v>
      </c>
      <c r="P849" s="38">
        <v>7200.0</v>
      </c>
      <c r="Q849" s="39"/>
      <c r="R849" s="39"/>
      <c r="S849" s="39"/>
      <c r="T849" s="39"/>
      <c r="U849" s="39"/>
    </row>
    <row r="850">
      <c r="A850" s="40">
        <f t="shared" si="1"/>
        <v>46006</v>
      </c>
      <c r="B850" s="37" t="str">
        <f t="array" ref="B850">iferror(xlookup($I850, 'IMPORT VHC Report'!$E:$E, 'IMPORT VHC Report'!$A:$C), )</f>
        <v/>
      </c>
      <c r="C850" s="37"/>
      <c r="D850" s="37"/>
      <c r="E850" s="38" t="s">
        <v>1138</v>
      </c>
      <c r="F850" s="38" t="s">
        <v>1132</v>
      </c>
      <c r="G850" s="38">
        <v>3.61964324516E11</v>
      </c>
      <c r="H850" s="38" t="s">
        <v>1133</v>
      </c>
      <c r="I850" s="38" t="s">
        <v>1134</v>
      </c>
      <c r="J850" s="38" t="s">
        <v>152</v>
      </c>
      <c r="K850" s="38" t="s">
        <v>153</v>
      </c>
      <c r="L850" s="41">
        <v>46006.833333333336</v>
      </c>
      <c r="M850" s="38" t="s">
        <v>123</v>
      </c>
      <c r="N850" s="41">
        <v>46007.166666666664</v>
      </c>
      <c r="O850" s="38" t="s">
        <v>123</v>
      </c>
      <c r="P850" s="38">
        <v>28800.0</v>
      </c>
      <c r="Q850" s="38">
        <v>28800.0</v>
      </c>
      <c r="R850" s="38" t="s">
        <v>421</v>
      </c>
      <c r="S850" s="38" t="s">
        <v>421</v>
      </c>
      <c r="T850" s="39"/>
      <c r="U850" s="39"/>
    </row>
    <row r="851">
      <c r="A851" s="40">
        <f t="shared" si="1"/>
        <v>46006</v>
      </c>
      <c r="B851" s="37" t="str">
        <f t="array" ref="B851">iferror(xlookup($I851, 'IMPORT VHC Report'!$E:$E, 'IMPORT VHC Report'!$A:$C), )</f>
        <v/>
      </c>
      <c r="C851" s="37"/>
      <c r="D851" s="37"/>
      <c r="E851" s="38" t="s">
        <v>1139</v>
      </c>
      <c r="F851" s="38" t="s">
        <v>1132</v>
      </c>
      <c r="G851" s="38">
        <v>3.61964324516E11</v>
      </c>
      <c r="H851" s="38" t="s">
        <v>1133</v>
      </c>
      <c r="I851" s="38" t="s">
        <v>1134</v>
      </c>
      <c r="J851" s="38" t="s">
        <v>134</v>
      </c>
      <c r="K851" s="38" t="s">
        <v>126</v>
      </c>
      <c r="L851" s="41">
        <v>46006.916666666664</v>
      </c>
      <c r="M851" s="38" t="s">
        <v>123</v>
      </c>
      <c r="N851" s="41">
        <v>46006.927083333336</v>
      </c>
      <c r="O851" s="38" t="s">
        <v>123</v>
      </c>
      <c r="P851" s="38">
        <v>900.0</v>
      </c>
      <c r="Q851" s="39"/>
      <c r="R851" s="39"/>
      <c r="S851" s="39"/>
      <c r="T851" s="39"/>
      <c r="U851" s="39"/>
    </row>
    <row r="852">
      <c r="A852" s="40">
        <f t="shared" si="1"/>
        <v>46006</v>
      </c>
      <c r="B852" s="37" t="str">
        <f t="array" ref="B852">iferror(xlookup($I852, 'IMPORT VHC Report'!$E:$E, 'IMPORT VHC Report'!$A:$C), )</f>
        <v/>
      </c>
      <c r="C852" s="37"/>
      <c r="D852" s="37"/>
      <c r="E852" s="38" t="s">
        <v>1140</v>
      </c>
      <c r="F852" s="38" t="s">
        <v>1132</v>
      </c>
      <c r="G852" s="38">
        <v>3.61964324516E11</v>
      </c>
      <c r="H852" s="38" t="s">
        <v>1133</v>
      </c>
      <c r="I852" s="38" t="s">
        <v>1134</v>
      </c>
      <c r="J852" s="38" t="s">
        <v>224</v>
      </c>
      <c r="K852" s="38" t="s">
        <v>63</v>
      </c>
      <c r="L852" s="41">
        <v>46006.927083333336</v>
      </c>
      <c r="M852" s="38" t="s">
        <v>123</v>
      </c>
      <c r="N852" s="41">
        <v>46006.989583333336</v>
      </c>
      <c r="O852" s="38" t="s">
        <v>123</v>
      </c>
      <c r="P852" s="38">
        <v>5400.0</v>
      </c>
      <c r="Q852" s="39"/>
      <c r="R852" s="39"/>
      <c r="S852" s="39"/>
      <c r="T852" s="39"/>
      <c r="U852" s="39"/>
    </row>
    <row r="853">
      <c r="A853" s="40">
        <f t="shared" si="1"/>
        <v>46006</v>
      </c>
      <c r="B853" s="37" t="str">
        <f t="array" ref="B853">iferror(xlookup($I853, 'IMPORT VHC Report'!$E:$E, 'IMPORT VHC Report'!$A:$C), )</f>
        <v/>
      </c>
      <c r="C853" s="37"/>
      <c r="D853" s="37"/>
      <c r="E853" s="38" t="s">
        <v>1141</v>
      </c>
      <c r="F853" s="38" t="s">
        <v>1132</v>
      </c>
      <c r="G853" s="38">
        <v>3.61964324516E11</v>
      </c>
      <c r="H853" s="38" t="s">
        <v>1133</v>
      </c>
      <c r="I853" s="38" t="s">
        <v>1134</v>
      </c>
      <c r="J853" s="38" t="s">
        <v>132</v>
      </c>
      <c r="K853" s="38" t="s">
        <v>126</v>
      </c>
      <c r="L853" s="41">
        <v>46006.989583333336</v>
      </c>
      <c r="M853" s="38" t="s">
        <v>123</v>
      </c>
      <c r="N853" s="41">
        <v>46007.03125</v>
      </c>
      <c r="O853" s="38" t="s">
        <v>123</v>
      </c>
      <c r="P853" s="38">
        <v>3600.0</v>
      </c>
      <c r="Q853" s="39"/>
      <c r="R853" s="39"/>
      <c r="S853" s="39"/>
      <c r="T853" s="39"/>
      <c r="U853" s="39"/>
    </row>
    <row r="854">
      <c r="A854" s="40">
        <f t="shared" si="1"/>
        <v>46006</v>
      </c>
      <c r="B854" s="37" t="str">
        <f t="array" ref="B854">iferror(xlookup($I854, 'IMPORT VHC Report'!$E:$E, 'IMPORT VHC Report'!$A:$C), )</f>
        <v/>
      </c>
      <c r="C854" s="37"/>
      <c r="D854" s="37"/>
      <c r="E854" s="38" t="s">
        <v>1142</v>
      </c>
      <c r="F854" s="38" t="s">
        <v>1132</v>
      </c>
      <c r="G854" s="38">
        <v>3.61964324516E11</v>
      </c>
      <c r="H854" s="38" t="s">
        <v>1133</v>
      </c>
      <c r="I854" s="38" t="s">
        <v>1134</v>
      </c>
      <c r="J854" s="38" t="s">
        <v>224</v>
      </c>
      <c r="K854" s="38" t="s">
        <v>63</v>
      </c>
      <c r="L854" s="41">
        <v>46007.03125</v>
      </c>
      <c r="M854" s="38" t="s">
        <v>123</v>
      </c>
      <c r="N854" s="41">
        <v>46007.125</v>
      </c>
      <c r="O854" s="38" t="s">
        <v>123</v>
      </c>
      <c r="P854" s="38">
        <v>8100.0</v>
      </c>
      <c r="Q854" s="39"/>
      <c r="R854" s="39"/>
      <c r="S854" s="39"/>
      <c r="T854" s="39"/>
      <c r="U854" s="39"/>
    </row>
    <row r="855">
      <c r="A855" s="40">
        <f t="shared" si="1"/>
        <v>46006</v>
      </c>
      <c r="B855" s="37" t="str">
        <f t="array" ref="B855">iferror(xlookup($I855, 'IMPORT VHC Report'!$E:$E, 'IMPORT VHC Report'!$A:$C), )</f>
        <v/>
      </c>
      <c r="C855" s="37"/>
      <c r="D855" s="37"/>
      <c r="E855" s="38" t="s">
        <v>1143</v>
      </c>
      <c r="F855" s="38" t="s">
        <v>1132</v>
      </c>
      <c r="G855" s="38">
        <v>3.61964324516E11</v>
      </c>
      <c r="H855" s="38" t="s">
        <v>1133</v>
      </c>
      <c r="I855" s="38" t="s">
        <v>1134</v>
      </c>
      <c r="J855" s="38" t="s">
        <v>134</v>
      </c>
      <c r="K855" s="38" t="s">
        <v>126</v>
      </c>
      <c r="L855" s="41">
        <v>46007.125</v>
      </c>
      <c r="M855" s="38" t="s">
        <v>123</v>
      </c>
      <c r="N855" s="41">
        <v>46007.135416666664</v>
      </c>
      <c r="O855" s="38" t="s">
        <v>123</v>
      </c>
      <c r="P855" s="38">
        <v>900.0</v>
      </c>
      <c r="Q855" s="39"/>
      <c r="R855" s="39"/>
      <c r="S855" s="39"/>
      <c r="T855" s="39"/>
      <c r="U855" s="39"/>
    </row>
    <row r="856">
      <c r="A856" s="40">
        <f t="shared" si="1"/>
        <v>46006</v>
      </c>
      <c r="B856" s="37" t="str">
        <f t="array" ref="B856">iferror(xlookup($I856, 'IMPORT VHC Report'!$E:$E, 'IMPORT VHC Report'!$A:$C), )</f>
        <v/>
      </c>
      <c r="C856" s="37"/>
      <c r="D856" s="37"/>
      <c r="E856" s="38" t="s">
        <v>1144</v>
      </c>
      <c r="F856" s="38" t="s">
        <v>1132</v>
      </c>
      <c r="G856" s="38">
        <v>3.61964324516E11</v>
      </c>
      <c r="H856" s="38" t="s">
        <v>1133</v>
      </c>
      <c r="I856" s="38" t="s">
        <v>1134</v>
      </c>
      <c r="J856" s="38" t="s">
        <v>224</v>
      </c>
      <c r="K856" s="38" t="s">
        <v>63</v>
      </c>
      <c r="L856" s="41">
        <v>46007.135416666664</v>
      </c>
      <c r="M856" s="38" t="s">
        <v>123</v>
      </c>
      <c r="N856" s="41">
        <v>46007.166666666664</v>
      </c>
      <c r="O856" s="38" t="s">
        <v>123</v>
      </c>
      <c r="P856" s="38">
        <v>2700.0</v>
      </c>
      <c r="Q856" s="39"/>
      <c r="R856" s="39"/>
      <c r="S856" s="39"/>
      <c r="T856" s="39"/>
      <c r="U856" s="39"/>
    </row>
    <row r="857">
      <c r="A857" s="40">
        <f t="shared" si="1"/>
        <v>46006</v>
      </c>
      <c r="B857" s="37" t="str">
        <f t="array" ref="B857">iferror(xlookup($I857, 'IMPORT VHC Report'!$E:$E, 'IMPORT VHC Report'!$A:$C), )</f>
        <v/>
      </c>
      <c r="C857" s="37"/>
      <c r="D857" s="37"/>
      <c r="E857" s="38" t="s">
        <v>1145</v>
      </c>
      <c r="F857" s="38" t="s">
        <v>1132</v>
      </c>
      <c r="G857" s="38">
        <v>3.61964324516E11</v>
      </c>
      <c r="H857" s="38" t="s">
        <v>1133</v>
      </c>
      <c r="I857" s="38" t="s">
        <v>1134</v>
      </c>
      <c r="J857" s="38" t="s">
        <v>152</v>
      </c>
      <c r="K857" s="38" t="s">
        <v>153</v>
      </c>
      <c r="L857" s="41">
        <v>46007.833333333336</v>
      </c>
      <c r="M857" s="38" t="s">
        <v>123</v>
      </c>
      <c r="N857" s="41">
        <v>46008.0</v>
      </c>
      <c r="O857" s="38" t="s">
        <v>123</v>
      </c>
      <c r="P857" s="38">
        <v>14400.0</v>
      </c>
      <c r="Q857" s="38">
        <v>14400.0</v>
      </c>
      <c r="R857" s="39"/>
      <c r="S857" s="39"/>
      <c r="T857" s="39"/>
      <c r="U857" s="39"/>
    </row>
    <row r="858">
      <c r="A858" s="40">
        <f t="shared" si="1"/>
        <v>46006</v>
      </c>
      <c r="B858" s="37" t="str">
        <f t="array" ref="B858">iferror(xlookup($I858, 'IMPORT VHC Report'!$E:$E, 'IMPORT VHC Report'!$A:$C), )</f>
        <v/>
      </c>
      <c r="C858" s="37"/>
      <c r="D858" s="37"/>
      <c r="E858" s="38" t="s">
        <v>1146</v>
      </c>
      <c r="F858" s="38" t="s">
        <v>1132</v>
      </c>
      <c r="G858" s="38">
        <v>3.61964324516E11</v>
      </c>
      <c r="H858" s="38" t="s">
        <v>1133</v>
      </c>
      <c r="I858" s="38" t="s">
        <v>1134</v>
      </c>
      <c r="J858" s="38" t="s">
        <v>134</v>
      </c>
      <c r="K858" s="38" t="s">
        <v>126</v>
      </c>
      <c r="L858" s="41">
        <v>46007.927083333336</v>
      </c>
      <c r="M858" s="38" t="s">
        <v>123</v>
      </c>
      <c r="N858" s="41">
        <v>46007.9375</v>
      </c>
      <c r="O858" s="38" t="s">
        <v>123</v>
      </c>
      <c r="P858" s="38">
        <v>900.0</v>
      </c>
      <c r="Q858" s="39"/>
      <c r="R858" s="39"/>
      <c r="S858" s="39"/>
      <c r="T858" s="39"/>
      <c r="U858" s="39"/>
    </row>
    <row r="859">
      <c r="A859" s="40">
        <f t="shared" si="1"/>
        <v>46006</v>
      </c>
      <c r="B859" s="37" t="str">
        <f t="array" ref="B859">iferror(xlookup($I859, 'IMPORT VHC Report'!$E:$E, 'IMPORT VHC Report'!$A:$C), )</f>
        <v/>
      </c>
      <c r="C859" s="37"/>
      <c r="D859" s="37"/>
      <c r="E859" s="38" t="s">
        <v>1147</v>
      </c>
      <c r="F859" s="38" t="s">
        <v>1132</v>
      </c>
      <c r="G859" s="38">
        <v>3.61964324516E11</v>
      </c>
      <c r="H859" s="38" t="s">
        <v>1133</v>
      </c>
      <c r="I859" s="38" t="s">
        <v>1134</v>
      </c>
      <c r="J859" s="38" t="s">
        <v>224</v>
      </c>
      <c r="K859" s="38" t="s">
        <v>63</v>
      </c>
      <c r="L859" s="41">
        <v>46007.9375</v>
      </c>
      <c r="M859" s="38" t="s">
        <v>123</v>
      </c>
      <c r="N859" s="41">
        <v>46008.0</v>
      </c>
      <c r="O859" s="38" t="s">
        <v>123</v>
      </c>
      <c r="P859" s="38">
        <v>5400.0</v>
      </c>
      <c r="Q859" s="39"/>
      <c r="R859" s="39"/>
      <c r="S859" s="39"/>
      <c r="T859" s="39"/>
      <c r="U859" s="39"/>
    </row>
    <row r="860">
      <c r="A860" s="40">
        <f t="shared" si="1"/>
        <v>46006</v>
      </c>
      <c r="B860" s="37" t="str">
        <f t="array" ref="B860">iferror(xlookup($I860, 'IMPORT VHC Report'!$E:$E, 'IMPORT VHC Report'!$A:$C), )</f>
        <v/>
      </c>
      <c r="C860" s="37"/>
      <c r="D860" s="37"/>
      <c r="E860" s="38" t="s">
        <v>1148</v>
      </c>
      <c r="F860" s="38" t="s">
        <v>1132</v>
      </c>
      <c r="G860" s="38">
        <v>3.61964324516E11</v>
      </c>
      <c r="H860" s="38" t="s">
        <v>1133</v>
      </c>
      <c r="I860" s="38" t="s">
        <v>1134</v>
      </c>
      <c r="J860" s="38" t="s">
        <v>132</v>
      </c>
      <c r="K860" s="38" t="s">
        <v>126</v>
      </c>
      <c r="L860" s="41">
        <v>46008.0</v>
      </c>
      <c r="M860" s="38" t="s">
        <v>123</v>
      </c>
      <c r="N860" s="41">
        <v>46008.041666666664</v>
      </c>
      <c r="O860" s="38" t="s">
        <v>123</v>
      </c>
      <c r="P860" s="38">
        <v>3600.0</v>
      </c>
      <c r="Q860" s="39"/>
      <c r="R860" s="39"/>
      <c r="S860" s="39"/>
      <c r="T860" s="39"/>
      <c r="U860" s="39"/>
    </row>
    <row r="861">
      <c r="A861" s="40">
        <f t="shared" si="1"/>
        <v>46006</v>
      </c>
      <c r="B861" s="37" t="str">
        <f t="array" ref="B861">iferror(xlookup($I861, 'IMPORT VHC Report'!$E:$E, 'IMPORT VHC Report'!$A:$C), )</f>
        <v/>
      </c>
      <c r="C861" s="37"/>
      <c r="D861" s="37"/>
      <c r="E861" s="38" t="s">
        <v>1149</v>
      </c>
      <c r="F861" s="38" t="s">
        <v>1132</v>
      </c>
      <c r="G861" s="38">
        <v>3.61964324516E11</v>
      </c>
      <c r="H861" s="38" t="s">
        <v>1133</v>
      </c>
      <c r="I861" s="38" t="s">
        <v>1134</v>
      </c>
      <c r="J861" s="38" t="s">
        <v>224</v>
      </c>
      <c r="K861" s="38" t="s">
        <v>63</v>
      </c>
      <c r="L861" s="41">
        <v>46008.0</v>
      </c>
      <c r="M861" s="38" t="s">
        <v>123</v>
      </c>
      <c r="N861" s="41">
        <v>46008.208333333336</v>
      </c>
      <c r="O861" s="38" t="s">
        <v>123</v>
      </c>
      <c r="P861" s="38">
        <v>18000.0</v>
      </c>
      <c r="Q861" s="39"/>
      <c r="R861" s="39"/>
      <c r="S861" s="39"/>
      <c r="T861" s="39"/>
      <c r="U861" s="39"/>
    </row>
    <row r="862">
      <c r="A862" s="40">
        <f t="shared" si="1"/>
        <v>46006</v>
      </c>
      <c r="B862" s="37" t="str">
        <f t="array" ref="B862">iferror(xlookup($I862, 'IMPORT VHC Report'!$E:$E, 'IMPORT VHC Report'!$A:$C), )</f>
        <v/>
      </c>
      <c r="C862" s="37"/>
      <c r="D862" s="37"/>
      <c r="E862" s="38" t="s">
        <v>1150</v>
      </c>
      <c r="F862" s="38" t="s">
        <v>1132</v>
      </c>
      <c r="G862" s="38">
        <v>3.61964324516E11</v>
      </c>
      <c r="H862" s="38" t="s">
        <v>1133</v>
      </c>
      <c r="I862" s="38" t="s">
        <v>1134</v>
      </c>
      <c r="J862" s="38" t="s">
        <v>134</v>
      </c>
      <c r="K862" s="38" t="s">
        <v>126</v>
      </c>
      <c r="L862" s="41">
        <v>46008.083333333336</v>
      </c>
      <c r="M862" s="38" t="s">
        <v>123</v>
      </c>
      <c r="N862" s="41">
        <v>46008.09375</v>
      </c>
      <c r="O862" s="38" t="s">
        <v>123</v>
      </c>
      <c r="P862" s="38">
        <v>900.0</v>
      </c>
      <c r="Q862" s="39"/>
      <c r="R862" s="39"/>
      <c r="S862" s="39"/>
      <c r="T862" s="39"/>
      <c r="U862" s="39"/>
    </row>
    <row r="863">
      <c r="A863" s="40">
        <f t="shared" si="1"/>
        <v>46006</v>
      </c>
      <c r="B863" s="37" t="str">
        <f t="array" ref="B863">iferror(xlookup($I863, 'IMPORT VHC Report'!$E:$E, 'IMPORT VHC Report'!$A:$C), )</f>
        <v/>
      </c>
      <c r="C863" s="37"/>
      <c r="D863" s="37"/>
      <c r="E863" s="38" t="s">
        <v>1151</v>
      </c>
      <c r="F863" s="38" t="s">
        <v>1132</v>
      </c>
      <c r="G863" s="38">
        <v>3.61964324516E11</v>
      </c>
      <c r="H863" s="38" t="s">
        <v>1133</v>
      </c>
      <c r="I863" s="38" t="s">
        <v>1134</v>
      </c>
      <c r="J863" s="38" t="s">
        <v>125</v>
      </c>
      <c r="K863" s="38" t="s">
        <v>126</v>
      </c>
      <c r="L863" s="41">
        <v>46008.18263888889</v>
      </c>
      <c r="M863" s="38" t="s">
        <v>123</v>
      </c>
      <c r="N863" s="41">
        <v>46008.191666666666</v>
      </c>
      <c r="O863" s="38" t="s">
        <v>123</v>
      </c>
      <c r="P863" s="38">
        <v>780.0</v>
      </c>
      <c r="Q863" s="39"/>
      <c r="R863" s="39"/>
      <c r="S863" s="39"/>
      <c r="T863" s="39"/>
      <c r="U863" s="39"/>
    </row>
    <row r="864">
      <c r="A864" s="40">
        <f t="shared" si="1"/>
        <v>46006</v>
      </c>
      <c r="B864" s="37" t="str">
        <f t="array" ref="B864">iferror(xlookup($I864, 'IMPORT VHC Report'!$E:$E, 'IMPORT VHC Report'!$A:$C), )</f>
        <v/>
      </c>
      <c r="C864" s="37"/>
      <c r="D864" s="37"/>
      <c r="E864" s="38" t="s">
        <v>1152</v>
      </c>
      <c r="F864" s="38" t="s">
        <v>1132</v>
      </c>
      <c r="G864" s="38">
        <v>3.61964324516E11</v>
      </c>
      <c r="H864" s="38" t="s">
        <v>1133</v>
      </c>
      <c r="I864" s="38" t="s">
        <v>1134</v>
      </c>
      <c r="J864" s="38" t="s">
        <v>125</v>
      </c>
      <c r="K864" s="38" t="s">
        <v>126</v>
      </c>
      <c r="L864" s="41">
        <v>46008.19652777778</v>
      </c>
      <c r="M864" s="38" t="s">
        <v>123</v>
      </c>
      <c r="N864" s="41">
        <v>46008.19861111111</v>
      </c>
      <c r="O864" s="38" t="s">
        <v>123</v>
      </c>
      <c r="P864" s="38">
        <v>180.0</v>
      </c>
      <c r="Q864" s="39"/>
      <c r="R864" s="39"/>
      <c r="S864" s="39"/>
      <c r="T864" s="39"/>
      <c r="U864" s="39"/>
    </row>
    <row r="865">
      <c r="A865" s="40">
        <f t="shared" si="1"/>
        <v>46006</v>
      </c>
      <c r="B865" s="37" t="str">
        <f t="array" ref="B865">iferror(xlookup($I865, 'IMPORT VHC Report'!$E:$E, 'IMPORT VHC Report'!$A:$C), )</f>
        <v/>
      </c>
      <c r="C865" s="37"/>
      <c r="D865" s="37"/>
      <c r="E865" s="38" t="s">
        <v>1153</v>
      </c>
      <c r="F865" s="38" t="s">
        <v>1132</v>
      </c>
      <c r="G865" s="38">
        <v>3.61964324516E11</v>
      </c>
      <c r="H865" s="38" t="s">
        <v>1133</v>
      </c>
      <c r="I865" s="38" t="s">
        <v>1134</v>
      </c>
      <c r="J865" s="38" t="s">
        <v>224</v>
      </c>
      <c r="K865" s="38" t="s">
        <v>63</v>
      </c>
      <c r="L865" s="41">
        <v>46008.833333333336</v>
      </c>
      <c r="M865" s="38" t="s">
        <v>123</v>
      </c>
      <c r="N865" s="41">
        <v>46009.208333333336</v>
      </c>
      <c r="O865" s="38" t="s">
        <v>123</v>
      </c>
      <c r="P865" s="38">
        <v>32400.0</v>
      </c>
      <c r="Q865" s="39"/>
      <c r="R865" s="39"/>
      <c r="S865" s="39"/>
      <c r="T865" s="39"/>
      <c r="U865" s="39"/>
    </row>
    <row r="866">
      <c r="A866" s="40">
        <f t="shared" si="1"/>
        <v>46006</v>
      </c>
      <c r="B866" s="37" t="str">
        <f t="array" ref="B866">iferror(xlookup($I866, 'IMPORT VHC Report'!$E:$E, 'IMPORT VHC Report'!$A:$C), )</f>
        <v/>
      </c>
      <c r="C866" s="37"/>
      <c r="D866" s="37"/>
      <c r="E866" s="38" t="s">
        <v>1154</v>
      </c>
      <c r="F866" s="38" t="s">
        <v>1132</v>
      </c>
      <c r="G866" s="38">
        <v>3.61964324516E11</v>
      </c>
      <c r="H866" s="38" t="s">
        <v>1133</v>
      </c>
      <c r="I866" s="38" t="s">
        <v>1134</v>
      </c>
      <c r="J866" s="38" t="s">
        <v>125</v>
      </c>
      <c r="K866" s="38" t="s">
        <v>126</v>
      </c>
      <c r="L866" s="41">
        <v>46008.85972222222</v>
      </c>
      <c r="M866" s="38" t="s">
        <v>123</v>
      </c>
      <c r="N866" s="41">
        <v>46008.861805555556</v>
      </c>
      <c r="O866" s="38" t="s">
        <v>123</v>
      </c>
      <c r="P866" s="38">
        <v>180.0</v>
      </c>
      <c r="Q866" s="39"/>
      <c r="R866" s="39"/>
      <c r="S866" s="39"/>
      <c r="T866" s="39"/>
      <c r="U866" s="39"/>
    </row>
    <row r="867">
      <c r="A867" s="40">
        <f t="shared" si="1"/>
        <v>46006</v>
      </c>
      <c r="B867" s="37" t="str">
        <f t="array" ref="B867">iferror(xlookup($I867, 'IMPORT VHC Report'!$E:$E, 'IMPORT VHC Report'!$A:$C), )</f>
        <v/>
      </c>
      <c r="C867" s="37"/>
      <c r="D867" s="37"/>
      <c r="E867" s="38" t="s">
        <v>1155</v>
      </c>
      <c r="F867" s="38" t="s">
        <v>1132</v>
      </c>
      <c r="G867" s="38">
        <v>3.61964324516E11</v>
      </c>
      <c r="H867" s="38" t="s">
        <v>1133</v>
      </c>
      <c r="I867" s="38" t="s">
        <v>1134</v>
      </c>
      <c r="J867" s="38" t="s">
        <v>125</v>
      </c>
      <c r="K867" s="38" t="s">
        <v>126</v>
      </c>
      <c r="L867" s="41">
        <v>46008.86388888889</v>
      </c>
      <c r="M867" s="38" t="s">
        <v>123</v>
      </c>
      <c r="N867" s="41">
        <v>46008.86666666667</v>
      </c>
      <c r="O867" s="38" t="s">
        <v>123</v>
      </c>
      <c r="P867" s="38">
        <v>240.0</v>
      </c>
      <c r="Q867" s="39"/>
      <c r="R867" s="39"/>
      <c r="S867" s="39"/>
      <c r="T867" s="39"/>
      <c r="U867" s="39"/>
    </row>
    <row r="868">
      <c r="A868" s="40">
        <f t="shared" si="1"/>
        <v>46006</v>
      </c>
      <c r="B868" s="37" t="str">
        <f t="array" ref="B868">iferror(xlookup($I868, 'IMPORT VHC Report'!$E:$E, 'IMPORT VHC Report'!$A:$C), )</f>
        <v/>
      </c>
      <c r="C868" s="37"/>
      <c r="D868" s="37"/>
      <c r="E868" s="38" t="s">
        <v>1156</v>
      </c>
      <c r="F868" s="38" t="s">
        <v>1132</v>
      </c>
      <c r="G868" s="38">
        <v>3.61964324516E11</v>
      </c>
      <c r="H868" s="38" t="s">
        <v>1133</v>
      </c>
      <c r="I868" s="38" t="s">
        <v>1134</v>
      </c>
      <c r="J868" s="38" t="s">
        <v>125</v>
      </c>
      <c r="K868" s="38" t="s">
        <v>126</v>
      </c>
      <c r="L868" s="41">
        <v>46008.87013888889</v>
      </c>
      <c r="M868" s="38" t="s">
        <v>123</v>
      </c>
      <c r="N868" s="41">
        <v>46008.90555555555</v>
      </c>
      <c r="O868" s="38" t="s">
        <v>123</v>
      </c>
      <c r="P868" s="38">
        <v>3060.0</v>
      </c>
      <c r="Q868" s="39"/>
      <c r="R868" s="39"/>
      <c r="S868" s="39"/>
      <c r="T868" s="39"/>
      <c r="U868" s="39"/>
    </row>
    <row r="869">
      <c r="A869" s="40">
        <f t="shared" si="1"/>
        <v>46006</v>
      </c>
      <c r="B869" s="37" t="str">
        <f t="array" ref="B869">iferror(xlookup($I869, 'IMPORT VHC Report'!$E:$E, 'IMPORT VHC Report'!$A:$C), )</f>
        <v/>
      </c>
      <c r="C869" s="37"/>
      <c r="D869" s="37"/>
      <c r="E869" s="38" t="s">
        <v>1157</v>
      </c>
      <c r="F869" s="38" t="s">
        <v>1132</v>
      </c>
      <c r="G869" s="38">
        <v>3.61964324516E11</v>
      </c>
      <c r="H869" s="38" t="s">
        <v>1133</v>
      </c>
      <c r="I869" s="38" t="s">
        <v>1134</v>
      </c>
      <c r="J869" s="38" t="s">
        <v>125</v>
      </c>
      <c r="K869" s="38" t="s">
        <v>126</v>
      </c>
      <c r="L869" s="41">
        <v>46008.92083333333</v>
      </c>
      <c r="M869" s="38" t="s">
        <v>123</v>
      </c>
      <c r="N869" s="41">
        <v>46008.9375</v>
      </c>
      <c r="O869" s="38" t="s">
        <v>123</v>
      </c>
      <c r="P869" s="38">
        <v>1440.0</v>
      </c>
      <c r="Q869" s="39"/>
      <c r="R869" s="39"/>
      <c r="S869" s="39"/>
      <c r="T869" s="39"/>
      <c r="U869" s="39"/>
    </row>
    <row r="870">
      <c r="A870" s="40">
        <f t="shared" si="1"/>
        <v>46006</v>
      </c>
      <c r="B870" s="37" t="str">
        <f t="array" ref="B870">iferror(xlookup($I870, 'IMPORT VHC Report'!$E:$E, 'IMPORT VHC Report'!$A:$C), )</f>
        <v/>
      </c>
      <c r="C870" s="37"/>
      <c r="D870" s="37"/>
      <c r="E870" s="38" t="s">
        <v>1158</v>
      </c>
      <c r="F870" s="38" t="s">
        <v>1132</v>
      </c>
      <c r="G870" s="38">
        <v>3.61964324516E11</v>
      </c>
      <c r="H870" s="38" t="s">
        <v>1133</v>
      </c>
      <c r="I870" s="38" t="s">
        <v>1134</v>
      </c>
      <c r="J870" s="38" t="s">
        <v>134</v>
      </c>
      <c r="K870" s="38" t="s">
        <v>126</v>
      </c>
      <c r="L870" s="41">
        <v>46008.9375</v>
      </c>
      <c r="M870" s="38" t="s">
        <v>123</v>
      </c>
      <c r="N870" s="41">
        <v>46008.947916666664</v>
      </c>
      <c r="O870" s="38" t="s">
        <v>123</v>
      </c>
      <c r="P870" s="38">
        <v>900.0</v>
      </c>
      <c r="Q870" s="39"/>
      <c r="R870" s="39"/>
      <c r="S870" s="39"/>
      <c r="T870" s="39"/>
      <c r="U870" s="39"/>
    </row>
    <row r="871">
      <c r="A871" s="40">
        <f t="shared" si="1"/>
        <v>46006</v>
      </c>
      <c r="B871" s="37" t="str">
        <f t="array" ref="B871">iferror(xlookup($I871, 'IMPORT VHC Report'!$E:$E, 'IMPORT VHC Report'!$A:$C), )</f>
        <v/>
      </c>
      <c r="C871" s="37"/>
      <c r="D871" s="37"/>
      <c r="E871" s="38" t="s">
        <v>1159</v>
      </c>
      <c r="F871" s="38" t="s">
        <v>1132</v>
      </c>
      <c r="G871" s="38">
        <v>3.61964324516E11</v>
      </c>
      <c r="H871" s="38" t="s">
        <v>1133</v>
      </c>
      <c r="I871" s="38" t="s">
        <v>1134</v>
      </c>
      <c r="J871" s="38" t="s">
        <v>125</v>
      </c>
      <c r="K871" s="38" t="s">
        <v>126</v>
      </c>
      <c r="L871" s="41">
        <v>46008.95</v>
      </c>
      <c r="M871" s="38" t="s">
        <v>123</v>
      </c>
      <c r="N871" s="41">
        <v>46008.96805555555</v>
      </c>
      <c r="O871" s="38" t="s">
        <v>123</v>
      </c>
      <c r="P871" s="38">
        <v>1560.0</v>
      </c>
      <c r="Q871" s="39"/>
      <c r="R871" s="39"/>
      <c r="S871" s="39"/>
      <c r="T871" s="39"/>
      <c r="U871" s="39"/>
    </row>
    <row r="872">
      <c r="A872" s="40">
        <f t="shared" si="1"/>
        <v>46006</v>
      </c>
      <c r="B872" s="37" t="str">
        <f t="array" ref="B872">iferror(xlookup($I872, 'IMPORT VHC Report'!$E:$E, 'IMPORT VHC Report'!$A:$C), )</f>
        <v/>
      </c>
      <c r="C872" s="37"/>
      <c r="D872" s="37"/>
      <c r="E872" s="38" t="s">
        <v>1160</v>
      </c>
      <c r="F872" s="38" t="s">
        <v>1132</v>
      </c>
      <c r="G872" s="38">
        <v>3.61964324516E11</v>
      </c>
      <c r="H872" s="38" t="s">
        <v>1133</v>
      </c>
      <c r="I872" s="38" t="s">
        <v>1134</v>
      </c>
      <c r="J872" s="38" t="s">
        <v>125</v>
      </c>
      <c r="K872" s="38" t="s">
        <v>126</v>
      </c>
      <c r="L872" s="41">
        <v>46008.97708333333</v>
      </c>
      <c r="M872" s="38" t="s">
        <v>123</v>
      </c>
      <c r="N872" s="41">
        <v>46008.98333333333</v>
      </c>
      <c r="O872" s="38" t="s">
        <v>123</v>
      </c>
      <c r="P872" s="38">
        <v>540.0</v>
      </c>
      <c r="Q872" s="39"/>
      <c r="R872" s="39"/>
      <c r="S872" s="39"/>
      <c r="T872" s="39"/>
      <c r="U872" s="39"/>
    </row>
    <row r="873">
      <c r="A873" s="40">
        <f t="shared" si="1"/>
        <v>46006</v>
      </c>
      <c r="B873" s="37" t="str">
        <f t="array" ref="B873">iferror(xlookup($I873, 'IMPORT VHC Report'!$E:$E, 'IMPORT VHC Report'!$A:$C), )</f>
        <v/>
      </c>
      <c r="C873" s="37"/>
      <c r="D873" s="37"/>
      <c r="E873" s="38" t="s">
        <v>1161</v>
      </c>
      <c r="F873" s="38" t="s">
        <v>1132</v>
      </c>
      <c r="G873" s="38">
        <v>3.61964324516E11</v>
      </c>
      <c r="H873" s="38" t="s">
        <v>1133</v>
      </c>
      <c r="I873" s="38" t="s">
        <v>1134</v>
      </c>
      <c r="J873" s="38" t="s">
        <v>125</v>
      </c>
      <c r="K873" s="38" t="s">
        <v>126</v>
      </c>
      <c r="L873" s="41">
        <v>46008.99236111111</v>
      </c>
      <c r="M873" s="38" t="s">
        <v>123</v>
      </c>
      <c r="N873" s="41">
        <v>46008.99722222222</v>
      </c>
      <c r="O873" s="38" t="s">
        <v>123</v>
      </c>
      <c r="P873" s="38">
        <v>420.0</v>
      </c>
      <c r="Q873" s="39"/>
      <c r="R873" s="39"/>
      <c r="S873" s="39"/>
      <c r="T873" s="39"/>
      <c r="U873" s="39"/>
    </row>
    <row r="874">
      <c r="A874" s="40">
        <f t="shared" si="1"/>
        <v>46006</v>
      </c>
      <c r="B874" s="37" t="str">
        <f t="array" ref="B874">iferror(xlookup($I874, 'IMPORT VHC Report'!$E:$E, 'IMPORT VHC Report'!$A:$C), )</f>
        <v/>
      </c>
      <c r="C874" s="37"/>
      <c r="D874" s="37"/>
      <c r="E874" s="38" t="s">
        <v>1162</v>
      </c>
      <c r="F874" s="38" t="s">
        <v>1132</v>
      </c>
      <c r="G874" s="38">
        <v>3.61964324516E11</v>
      </c>
      <c r="H874" s="38" t="s">
        <v>1133</v>
      </c>
      <c r="I874" s="38" t="s">
        <v>1134</v>
      </c>
      <c r="J874" s="38" t="s">
        <v>125</v>
      </c>
      <c r="K874" s="38" t="s">
        <v>126</v>
      </c>
      <c r="L874" s="41">
        <v>46008.99791666667</v>
      </c>
      <c r="M874" s="38" t="s">
        <v>123</v>
      </c>
      <c r="N874" s="41">
        <v>46009.001388888886</v>
      </c>
      <c r="O874" s="38" t="s">
        <v>123</v>
      </c>
      <c r="P874" s="38">
        <v>300.0</v>
      </c>
      <c r="Q874" s="39"/>
      <c r="R874" s="39"/>
      <c r="S874" s="39"/>
      <c r="T874" s="39"/>
      <c r="U874" s="39"/>
    </row>
    <row r="875">
      <c r="A875" s="40">
        <f t="shared" si="1"/>
        <v>46006</v>
      </c>
      <c r="B875" s="37" t="str">
        <f t="array" ref="B875">iferror(xlookup($I875, 'IMPORT VHC Report'!$E:$E, 'IMPORT VHC Report'!$A:$C), )</f>
        <v/>
      </c>
      <c r="C875" s="37"/>
      <c r="D875" s="37"/>
      <c r="E875" s="38" t="s">
        <v>1163</v>
      </c>
      <c r="F875" s="38" t="s">
        <v>1132</v>
      </c>
      <c r="G875" s="38">
        <v>3.61964324516E11</v>
      </c>
      <c r="H875" s="38" t="s">
        <v>1133</v>
      </c>
      <c r="I875" s="38" t="s">
        <v>1134</v>
      </c>
      <c r="J875" s="38" t="s">
        <v>125</v>
      </c>
      <c r="K875" s="38" t="s">
        <v>126</v>
      </c>
      <c r="L875" s="41">
        <v>46009.00833333333</v>
      </c>
      <c r="M875" s="38" t="s">
        <v>123</v>
      </c>
      <c r="N875" s="41">
        <v>46009.009722222225</v>
      </c>
      <c r="O875" s="38" t="s">
        <v>123</v>
      </c>
      <c r="P875" s="38">
        <v>120.0</v>
      </c>
      <c r="Q875" s="39"/>
      <c r="R875" s="39"/>
      <c r="S875" s="39"/>
      <c r="T875" s="39"/>
      <c r="U875" s="39"/>
    </row>
    <row r="876">
      <c r="A876" s="40">
        <f t="shared" si="1"/>
        <v>46006</v>
      </c>
      <c r="B876" s="37" t="str">
        <f t="array" ref="B876">iferror(xlookup($I876, 'IMPORT VHC Report'!$E:$E, 'IMPORT VHC Report'!$A:$C), )</f>
        <v/>
      </c>
      <c r="C876" s="37"/>
      <c r="D876" s="37"/>
      <c r="E876" s="38" t="s">
        <v>1164</v>
      </c>
      <c r="F876" s="38" t="s">
        <v>1132</v>
      </c>
      <c r="G876" s="38">
        <v>3.61964324516E11</v>
      </c>
      <c r="H876" s="38" t="s">
        <v>1133</v>
      </c>
      <c r="I876" s="38" t="s">
        <v>1134</v>
      </c>
      <c r="J876" s="38" t="s">
        <v>132</v>
      </c>
      <c r="K876" s="38" t="s">
        <v>126</v>
      </c>
      <c r="L876" s="41">
        <v>46009.01111111111</v>
      </c>
      <c r="M876" s="38" t="s">
        <v>123</v>
      </c>
      <c r="N876" s="41">
        <v>46009.052777777775</v>
      </c>
      <c r="O876" s="38" t="s">
        <v>123</v>
      </c>
      <c r="P876" s="38">
        <v>3600.0</v>
      </c>
      <c r="Q876" s="39"/>
      <c r="R876" s="39"/>
      <c r="S876" s="39"/>
      <c r="T876" s="39"/>
      <c r="U876" s="39"/>
    </row>
    <row r="877">
      <c r="A877" s="40">
        <f t="shared" si="1"/>
        <v>46006</v>
      </c>
      <c r="B877" s="37" t="str">
        <f t="array" ref="B877">iferror(xlookup($I877, 'IMPORT VHC Report'!$E:$E, 'IMPORT VHC Report'!$A:$C), )</f>
        <v/>
      </c>
      <c r="C877" s="37"/>
      <c r="D877" s="37"/>
      <c r="E877" s="38" t="s">
        <v>1165</v>
      </c>
      <c r="F877" s="38" t="s">
        <v>1132</v>
      </c>
      <c r="G877" s="38">
        <v>3.61964324516E11</v>
      </c>
      <c r="H877" s="38" t="s">
        <v>1133</v>
      </c>
      <c r="I877" s="38" t="s">
        <v>1134</v>
      </c>
      <c r="J877" s="38" t="s">
        <v>125</v>
      </c>
      <c r="K877" s="38" t="s">
        <v>126</v>
      </c>
      <c r="L877" s="41">
        <v>46009.05347222222</v>
      </c>
      <c r="M877" s="38" t="s">
        <v>123</v>
      </c>
      <c r="N877" s="41">
        <v>46009.05625</v>
      </c>
      <c r="O877" s="38" t="s">
        <v>123</v>
      </c>
      <c r="P877" s="38">
        <v>240.0</v>
      </c>
      <c r="Q877" s="39"/>
      <c r="R877" s="39"/>
      <c r="S877" s="39"/>
      <c r="T877" s="39"/>
      <c r="U877" s="39"/>
    </row>
    <row r="878">
      <c r="A878" s="40">
        <f t="shared" si="1"/>
        <v>46006</v>
      </c>
      <c r="B878" s="37" t="str">
        <f t="array" ref="B878">iferror(xlookup($I878, 'IMPORT VHC Report'!$E:$E, 'IMPORT VHC Report'!$A:$C), )</f>
        <v/>
      </c>
      <c r="C878" s="37"/>
      <c r="D878" s="37"/>
      <c r="E878" s="38" t="s">
        <v>1166</v>
      </c>
      <c r="F878" s="38" t="s">
        <v>1132</v>
      </c>
      <c r="G878" s="38">
        <v>3.61964324516E11</v>
      </c>
      <c r="H878" s="38" t="s">
        <v>1133</v>
      </c>
      <c r="I878" s="38" t="s">
        <v>1134</v>
      </c>
      <c r="J878" s="38" t="s">
        <v>125</v>
      </c>
      <c r="K878" s="38" t="s">
        <v>126</v>
      </c>
      <c r="L878" s="41">
        <v>46009.06319444445</v>
      </c>
      <c r="M878" s="38" t="s">
        <v>123</v>
      </c>
      <c r="N878" s="41">
        <v>46009.06527777778</v>
      </c>
      <c r="O878" s="38" t="s">
        <v>123</v>
      </c>
      <c r="P878" s="38">
        <v>180.0</v>
      </c>
      <c r="Q878" s="39"/>
      <c r="R878" s="39"/>
      <c r="S878" s="39"/>
      <c r="T878" s="39"/>
      <c r="U878" s="39"/>
    </row>
    <row r="879">
      <c r="A879" s="40">
        <f t="shared" si="1"/>
        <v>46006</v>
      </c>
      <c r="B879" s="37" t="str">
        <f t="array" ref="B879">iferror(xlookup($I879, 'IMPORT VHC Report'!$E:$E, 'IMPORT VHC Report'!$A:$C), )</f>
        <v/>
      </c>
      <c r="C879" s="37"/>
      <c r="D879" s="37"/>
      <c r="E879" s="38" t="s">
        <v>1167</v>
      </c>
      <c r="F879" s="38" t="s">
        <v>1132</v>
      </c>
      <c r="G879" s="38">
        <v>3.61964324516E11</v>
      </c>
      <c r="H879" s="38" t="s">
        <v>1133</v>
      </c>
      <c r="I879" s="38" t="s">
        <v>1134</v>
      </c>
      <c r="J879" s="38" t="s">
        <v>125</v>
      </c>
      <c r="K879" s="38" t="s">
        <v>126</v>
      </c>
      <c r="L879" s="41">
        <v>46009.072916666664</v>
      </c>
      <c r="M879" s="38" t="s">
        <v>123</v>
      </c>
      <c r="N879" s="41">
        <v>46009.089583333334</v>
      </c>
      <c r="O879" s="38" t="s">
        <v>123</v>
      </c>
      <c r="P879" s="38">
        <v>1440.0</v>
      </c>
      <c r="Q879" s="39"/>
      <c r="R879" s="39"/>
      <c r="S879" s="39"/>
      <c r="T879" s="39"/>
      <c r="U879" s="39"/>
    </row>
    <row r="880">
      <c r="A880" s="40">
        <f t="shared" si="1"/>
        <v>46006</v>
      </c>
      <c r="B880" s="37" t="str">
        <f t="array" ref="B880">iferror(xlookup($I880, 'IMPORT VHC Report'!$E:$E, 'IMPORT VHC Report'!$A:$C), )</f>
        <v/>
      </c>
      <c r="C880" s="37"/>
      <c r="D880" s="37"/>
      <c r="E880" s="38" t="s">
        <v>1168</v>
      </c>
      <c r="F880" s="38" t="s">
        <v>1132</v>
      </c>
      <c r="G880" s="38">
        <v>3.61964324516E11</v>
      </c>
      <c r="H880" s="38" t="s">
        <v>1133</v>
      </c>
      <c r="I880" s="38" t="s">
        <v>1134</v>
      </c>
      <c r="J880" s="38" t="s">
        <v>125</v>
      </c>
      <c r="K880" s="38" t="s">
        <v>126</v>
      </c>
      <c r="L880" s="41">
        <v>46009.09097222222</v>
      </c>
      <c r="M880" s="38" t="s">
        <v>123</v>
      </c>
      <c r="N880" s="41">
        <v>46009.1</v>
      </c>
      <c r="O880" s="38" t="s">
        <v>123</v>
      </c>
      <c r="P880" s="38">
        <v>780.0</v>
      </c>
      <c r="Q880" s="39"/>
      <c r="R880" s="39"/>
      <c r="S880" s="39"/>
      <c r="T880" s="39"/>
      <c r="U880" s="39"/>
    </row>
    <row r="881">
      <c r="A881" s="40">
        <f t="shared" si="1"/>
        <v>46006</v>
      </c>
      <c r="B881" s="37" t="str">
        <f t="array" ref="B881">iferror(xlookup($I881, 'IMPORT VHC Report'!$E:$E, 'IMPORT VHC Report'!$A:$C), )</f>
        <v/>
      </c>
      <c r="C881" s="37"/>
      <c r="D881" s="37"/>
      <c r="E881" s="38" t="s">
        <v>1169</v>
      </c>
      <c r="F881" s="38" t="s">
        <v>1132</v>
      </c>
      <c r="G881" s="38">
        <v>3.61964324516E11</v>
      </c>
      <c r="H881" s="38" t="s">
        <v>1133</v>
      </c>
      <c r="I881" s="38" t="s">
        <v>1134</v>
      </c>
      <c r="J881" s="38" t="s">
        <v>125</v>
      </c>
      <c r="K881" s="38" t="s">
        <v>126</v>
      </c>
      <c r="L881" s="41">
        <v>46009.129166666666</v>
      </c>
      <c r="M881" s="38" t="s">
        <v>123</v>
      </c>
      <c r="N881" s="41">
        <v>46009.13402777778</v>
      </c>
      <c r="O881" s="38" t="s">
        <v>123</v>
      </c>
      <c r="P881" s="38">
        <v>420.0</v>
      </c>
      <c r="Q881" s="39"/>
      <c r="R881" s="39"/>
      <c r="S881" s="39"/>
      <c r="T881" s="39"/>
      <c r="U881" s="39"/>
    </row>
    <row r="882">
      <c r="A882" s="40">
        <f t="shared" si="1"/>
        <v>46006</v>
      </c>
      <c r="B882" s="37" t="str">
        <f t="array" ref="B882">iferror(xlookup($I882, 'IMPORT VHC Report'!$E:$E, 'IMPORT VHC Report'!$A:$C), )</f>
        <v/>
      </c>
      <c r="C882" s="37"/>
      <c r="D882" s="37"/>
      <c r="E882" s="38" t="s">
        <v>1170</v>
      </c>
      <c r="F882" s="38" t="s">
        <v>1132</v>
      </c>
      <c r="G882" s="38">
        <v>3.61964324516E11</v>
      </c>
      <c r="H882" s="38" t="s">
        <v>1133</v>
      </c>
      <c r="I882" s="38" t="s">
        <v>1134</v>
      </c>
      <c r="J882" s="38" t="s">
        <v>125</v>
      </c>
      <c r="K882" s="38" t="s">
        <v>126</v>
      </c>
      <c r="L882" s="41">
        <v>46009.145833333336</v>
      </c>
      <c r="M882" s="38" t="s">
        <v>123</v>
      </c>
      <c r="N882" s="41">
        <v>46009.152083333334</v>
      </c>
      <c r="O882" s="38" t="s">
        <v>123</v>
      </c>
      <c r="P882" s="38">
        <v>540.0</v>
      </c>
      <c r="Q882" s="39"/>
      <c r="R882" s="39"/>
      <c r="S882" s="39"/>
      <c r="T882" s="39"/>
      <c r="U882" s="39"/>
    </row>
    <row r="883">
      <c r="A883" s="40">
        <f t="shared" si="1"/>
        <v>46006</v>
      </c>
      <c r="B883" s="37" t="str">
        <f t="array" ref="B883">iferror(xlookup($I883, 'IMPORT VHC Report'!$E:$E, 'IMPORT VHC Report'!$A:$C), )</f>
        <v/>
      </c>
      <c r="C883" s="37"/>
      <c r="D883" s="37"/>
      <c r="E883" s="38" t="s">
        <v>1171</v>
      </c>
      <c r="F883" s="38" t="s">
        <v>1132</v>
      </c>
      <c r="G883" s="38">
        <v>3.61964324516E11</v>
      </c>
      <c r="H883" s="38" t="s">
        <v>1133</v>
      </c>
      <c r="I883" s="38" t="s">
        <v>1134</v>
      </c>
      <c r="J883" s="38" t="s">
        <v>125</v>
      </c>
      <c r="K883" s="38" t="s">
        <v>126</v>
      </c>
      <c r="L883" s="41">
        <v>46009.15277777778</v>
      </c>
      <c r="M883" s="38" t="s">
        <v>123</v>
      </c>
      <c r="N883" s="41">
        <v>46009.16527777778</v>
      </c>
      <c r="O883" s="38" t="s">
        <v>123</v>
      </c>
      <c r="P883" s="38">
        <v>1080.0</v>
      </c>
      <c r="Q883" s="39"/>
      <c r="R883" s="39"/>
      <c r="S883" s="39"/>
      <c r="T883" s="39"/>
      <c r="U883" s="39"/>
    </row>
    <row r="884">
      <c r="A884" s="40">
        <f t="shared" si="1"/>
        <v>46006</v>
      </c>
      <c r="B884" s="37" t="str">
        <f t="array" ref="B884">iferror(xlookup($I884, 'IMPORT VHC Report'!$E:$E, 'IMPORT VHC Report'!$A:$C), )</f>
        <v/>
      </c>
      <c r="C884" s="37"/>
      <c r="D884" s="37"/>
      <c r="E884" s="38" t="s">
        <v>1172</v>
      </c>
      <c r="F884" s="38" t="s">
        <v>1132</v>
      </c>
      <c r="G884" s="38">
        <v>3.61964324516E11</v>
      </c>
      <c r="H884" s="38" t="s">
        <v>1133</v>
      </c>
      <c r="I884" s="38" t="s">
        <v>1134</v>
      </c>
      <c r="J884" s="38" t="s">
        <v>224</v>
      </c>
      <c r="K884" s="38" t="s">
        <v>63</v>
      </c>
      <c r="L884" s="41">
        <v>46009.833333333336</v>
      </c>
      <c r="M884" s="38" t="s">
        <v>123</v>
      </c>
      <c r="N884" s="41">
        <v>46010.208333333336</v>
      </c>
      <c r="O884" s="38" t="s">
        <v>123</v>
      </c>
      <c r="P884" s="38">
        <v>32400.0</v>
      </c>
      <c r="Q884" s="39"/>
      <c r="R884" s="39"/>
      <c r="S884" s="39"/>
      <c r="T884" s="39"/>
      <c r="U884" s="39"/>
    </row>
    <row r="885">
      <c r="A885" s="40">
        <f t="shared" si="1"/>
        <v>46006</v>
      </c>
      <c r="B885" s="37" t="str">
        <f t="array" ref="B885">iferror(xlookup($I885, 'IMPORT VHC Report'!$E:$E, 'IMPORT VHC Report'!$A:$C), )</f>
        <v/>
      </c>
      <c r="C885" s="37"/>
      <c r="D885" s="37"/>
      <c r="E885" s="38" t="s">
        <v>1173</v>
      </c>
      <c r="F885" s="38" t="s">
        <v>1132</v>
      </c>
      <c r="G885" s="38">
        <v>3.61964324516E11</v>
      </c>
      <c r="H885" s="38" t="s">
        <v>1133</v>
      </c>
      <c r="I885" s="38" t="s">
        <v>1134</v>
      </c>
      <c r="J885" s="38" t="s">
        <v>125</v>
      </c>
      <c r="K885" s="38" t="s">
        <v>126</v>
      </c>
      <c r="L885" s="41">
        <v>46009.910416666666</v>
      </c>
      <c r="M885" s="38" t="s">
        <v>123</v>
      </c>
      <c r="N885" s="41">
        <v>46009.91388888889</v>
      </c>
      <c r="O885" s="38" t="s">
        <v>123</v>
      </c>
      <c r="P885" s="38">
        <v>300.0</v>
      </c>
      <c r="Q885" s="39"/>
      <c r="R885" s="39"/>
      <c r="S885" s="39"/>
      <c r="T885" s="39"/>
      <c r="U885" s="39"/>
    </row>
    <row r="886">
      <c r="A886" s="40">
        <f t="shared" si="1"/>
        <v>46006</v>
      </c>
      <c r="B886" s="37" t="str">
        <f t="array" ref="B886">iferror(xlookup($I886, 'IMPORT VHC Report'!$E:$E, 'IMPORT VHC Report'!$A:$C), )</f>
        <v/>
      </c>
      <c r="C886" s="37"/>
      <c r="D886" s="37"/>
      <c r="E886" s="38" t="s">
        <v>1174</v>
      </c>
      <c r="F886" s="38" t="s">
        <v>1132</v>
      </c>
      <c r="G886" s="38">
        <v>3.61964324516E11</v>
      </c>
      <c r="H886" s="38" t="s">
        <v>1133</v>
      </c>
      <c r="I886" s="38" t="s">
        <v>1134</v>
      </c>
      <c r="J886" s="38" t="s">
        <v>125</v>
      </c>
      <c r="K886" s="38" t="s">
        <v>126</v>
      </c>
      <c r="L886" s="41">
        <v>46009.930555555555</v>
      </c>
      <c r="M886" s="38" t="s">
        <v>123</v>
      </c>
      <c r="N886" s="41">
        <v>46009.93680555555</v>
      </c>
      <c r="O886" s="38" t="s">
        <v>123</v>
      </c>
      <c r="P886" s="38">
        <v>540.0</v>
      </c>
      <c r="Q886" s="39"/>
      <c r="R886" s="39"/>
      <c r="S886" s="39"/>
      <c r="T886" s="39"/>
      <c r="U886" s="39"/>
    </row>
    <row r="887">
      <c r="A887" s="40">
        <f t="shared" si="1"/>
        <v>46006</v>
      </c>
      <c r="B887" s="37" t="str">
        <f t="array" ref="B887">iferror(xlookup($I887, 'IMPORT VHC Report'!$E:$E, 'IMPORT VHC Report'!$A:$C), )</f>
        <v/>
      </c>
      <c r="C887" s="37"/>
      <c r="D887" s="37"/>
      <c r="E887" s="38" t="s">
        <v>1175</v>
      </c>
      <c r="F887" s="38" t="s">
        <v>1132</v>
      </c>
      <c r="G887" s="38">
        <v>3.61964324516E11</v>
      </c>
      <c r="H887" s="38" t="s">
        <v>1133</v>
      </c>
      <c r="I887" s="38" t="s">
        <v>1134</v>
      </c>
      <c r="J887" s="38" t="s">
        <v>125</v>
      </c>
      <c r="K887" s="38" t="s">
        <v>126</v>
      </c>
      <c r="L887" s="41">
        <v>46009.9375</v>
      </c>
      <c r="M887" s="38" t="s">
        <v>123</v>
      </c>
      <c r="N887" s="41">
        <v>46009.95208333333</v>
      </c>
      <c r="O887" s="38" t="s">
        <v>123</v>
      </c>
      <c r="P887" s="38">
        <v>1260.0</v>
      </c>
      <c r="Q887" s="39"/>
      <c r="R887" s="39"/>
      <c r="S887" s="39"/>
      <c r="T887" s="39"/>
      <c r="U887" s="39"/>
    </row>
    <row r="888">
      <c r="A888" s="40">
        <f t="shared" si="1"/>
        <v>46006</v>
      </c>
      <c r="B888" s="37" t="str">
        <f t="array" ref="B888">iferror(xlookup($I888, 'IMPORT VHC Report'!$E:$E, 'IMPORT VHC Report'!$A:$C), )</f>
        <v/>
      </c>
      <c r="C888" s="37"/>
      <c r="D888" s="37"/>
      <c r="E888" s="38" t="s">
        <v>1176</v>
      </c>
      <c r="F888" s="38" t="s">
        <v>1132</v>
      </c>
      <c r="G888" s="38">
        <v>3.61964324516E11</v>
      </c>
      <c r="H888" s="38" t="s">
        <v>1133</v>
      </c>
      <c r="I888" s="38" t="s">
        <v>1134</v>
      </c>
      <c r="J888" s="38" t="s">
        <v>134</v>
      </c>
      <c r="K888" s="38" t="s">
        <v>126</v>
      </c>
      <c r="L888" s="41">
        <v>46009.96041666667</v>
      </c>
      <c r="M888" s="38" t="s">
        <v>123</v>
      </c>
      <c r="N888" s="41">
        <v>46009.97083333333</v>
      </c>
      <c r="O888" s="38" t="s">
        <v>123</v>
      </c>
      <c r="P888" s="38">
        <v>900.0</v>
      </c>
      <c r="Q888" s="39"/>
      <c r="R888" s="39"/>
      <c r="S888" s="39"/>
      <c r="T888" s="39"/>
      <c r="U888" s="39"/>
    </row>
    <row r="889">
      <c r="A889" s="40">
        <f t="shared" si="1"/>
        <v>46006</v>
      </c>
      <c r="B889" s="37" t="str">
        <f t="array" ref="B889">iferror(xlookup($I889, 'IMPORT VHC Report'!$E:$E, 'IMPORT VHC Report'!$A:$C), )</f>
        <v/>
      </c>
      <c r="C889" s="37"/>
      <c r="D889" s="37"/>
      <c r="E889" s="38" t="s">
        <v>1177</v>
      </c>
      <c r="F889" s="38" t="s">
        <v>1132</v>
      </c>
      <c r="G889" s="38">
        <v>3.61964324516E11</v>
      </c>
      <c r="H889" s="38" t="s">
        <v>1133</v>
      </c>
      <c r="I889" s="38" t="s">
        <v>1134</v>
      </c>
      <c r="J889" s="38" t="s">
        <v>125</v>
      </c>
      <c r="K889" s="38" t="s">
        <v>126</v>
      </c>
      <c r="L889" s="41">
        <v>46009.99236111111</v>
      </c>
      <c r="M889" s="38" t="s">
        <v>123</v>
      </c>
      <c r="N889" s="41">
        <v>46010.00763888889</v>
      </c>
      <c r="O889" s="38" t="s">
        <v>123</v>
      </c>
      <c r="P889" s="38">
        <v>1320.0</v>
      </c>
      <c r="Q889" s="39"/>
      <c r="R889" s="39"/>
      <c r="S889" s="39"/>
      <c r="T889" s="39"/>
      <c r="U889" s="39"/>
    </row>
    <row r="890">
      <c r="A890" s="40">
        <f t="shared" si="1"/>
        <v>46006</v>
      </c>
      <c r="B890" s="37" t="str">
        <f t="array" ref="B890">iferror(xlookup($I890, 'IMPORT VHC Report'!$E:$E, 'IMPORT VHC Report'!$A:$C), )</f>
        <v/>
      </c>
      <c r="C890" s="37"/>
      <c r="D890" s="37"/>
      <c r="E890" s="38" t="s">
        <v>1178</v>
      </c>
      <c r="F890" s="38" t="s">
        <v>1132</v>
      </c>
      <c r="G890" s="38">
        <v>3.61964324516E11</v>
      </c>
      <c r="H890" s="38" t="s">
        <v>1133</v>
      </c>
      <c r="I890" s="38" t="s">
        <v>1134</v>
      </c>
      <c r="J890" s="38" t="s">
        <v>132</v>
      </c>
      <c r="K890" s="38" t="s">
        <v>126</v>
      </c>
      <c r="L890" s="41">
        <v>46010.03125</v>
      </c>
      <c r="M890" s="38" t="s">
        <v>123</v>
      </c>
      <c r="N890" s="41">
        <v>46010.072916666664</v>
      </c>
      <c r="O890" s="38" t="s">
        <v>123</v>
      </c>
      <c r="P890" s="38">
        <v>3600.0</v>
      </c>
      <c r="Q890" s="39"/>
      <c r="R890" s="39"/>
      <c r="S890" s="39"/>
      <c r="T890" s="39"/>
      <c r="U890" s="39"/>
    </row>
    <row r="891">
      <c r="A891" s="40">
        <f t="shared" si="1"/>
        <v>46006</v>
      </c>
      <c r="B891" s="37" t="str">
        <f t="array" ref="B891">iferror(xlookup($I891, 'IMPORT VHC Report'!$E:$E, 'IMPORT VHC Report'!$A:$C), )</f>
        <v/>
      </c>
      <c r="C891" s="37"/>
      <c r="D891" s="37"/>
      <c r="E891" s="38" t="s">
        <v>1179</v>
      </c>
      <c r="F891" s="38" t="s">
        <v>1132</v>
      </c>
      <c r="G891" s="38">
        <v>3.61964324516E11</v>
      </c>
      <c r="H891" s="38" t="s">
        <v>1133</v>
      </c>
      <c r="I891" s="38" t="s">
        <v>1134</v>
      </c>
      <c r="J891" s="38" t="s">
        <v>125</v>
      </c>
      <c r="K891" s="38" t="s">
        <v>126</v>
      </c>
      <c r="L891" s="41">
        <v>46010.07361111111</v>
      </c>
      <c r="M891" s="38" t="s">
        <v>123</v>
      </c>
      <c r="N891" s="41">
        <v>46010.075</v>
      </c>
      <c r="O891" s="38" t="s">
        <v>123</v>
      </c>
      <c r="P891" s="38">
        <v>120.0</v>
      </c>
      <c r="Q891" s="39"/>
      <c r="R891" s="39"/>
      <c r="S891" s="39"/>
      <c r="T891" s="39"/>
      <c r="U891" s="39"/>
    </row>
    <row r="892">
      <c r="A892" s="40">
        <f t="shared" si="1"/>
        <v>46006</v>
      </c>
      <c r="B892" s="37" t="str">
        <f t="array" ref="B892">iferror(xlookup($I892, 'IMPORT VHC Report'!$E:$E, 'IMPORT VHC Report'!$A:$C), )</f>
        <v/>
      </c>
      <c r="C892" s="37"/>
      <c r="D892" s="37"/>
      <c r="E892" s="38" t="s">
        <v>1180</v>
      </c>
      <c r="F892" s="38" t="s">
        <v>1132</v>
      </c>
      <c r="G892" s="38">
        <v>3.61964324516E11</v>
      </c>
      <c r="H892" s="38" t="s">
        <v>1133</v>
      </c>
      <c r="I892" s="38" t="s">
        <v>1134</v>
      </c>
      <c r="J892" s="38" t="s">
        <v>125</v>
      </c>
      <c r="K892" s="38" t="s">
        <v>126</v>
      </c>
      <c r="L892" s="41">
        <v>46010.11875</v>
      </c>
      <c r="M892" s="38" t="s">
        <v>123</v>
      </c>
      <c r="N892" s="41">
        <v>46010.131944444445</v>
      </c>
      <c r="O892" s="38" t="s">
        <v>123</v>
      </c>
      <c r="P892" s="38">
        <v>1140.0</v>
      </c>
      <c r="Q892" s="39"/>
      <c r="R892" s="39"/>
      <c r="S892" s="39"/>
      <c r="T892" s="39"/>
      <c r="U892" s="39"/>
    </row>
    <row r="893">
      <c r="A893" s="40">
        <f t="shared" si="1"/>
        <v>46006</v>
      </c>
      <c r="B893" s="37" t="str">
        <f t="array" ref="B893">iferror(xlookup($I893, 'IMPORT VHC Report'!$E:$E, 'IMPORT VHC Report'!$A:$C), )</f>
        <v/>
      </c>
      <c r="C893" s="37"/>
      <c r="D893" s="37"/>
      <c r="E893" s="38" t="s">
        <v>1181</v>
      </c>
      <c r="F893" s="38" t="s">
        <v>1132</v>
      </c>
      <c r="G893" s="38">
        <v>3.61964324516E11</v>
      </c>
      <c r="H893" s="38" t="s">
        <v>1133</v>
      </c>
      <c r="I893" s="38" t="s">
        <v>1134</v>
      </c>
      <c r="J893" s="38" t="s">
        <v>125</v>
      </c>
      <c r="K893" s="38" t="s">
        <v>126</v>
      </c>
      <c r="L893" s="41">
        <v>46010.134722222225</v>
      </c>
      <c r="M893" s="38" t="s">
        <v>123</v>
      </c>
      <c r="N893" s="41">
        <v>46010.13958333333</v>
      </c>
      <c r="O893" s="38" t="s">
        <v>123</v>
      </c>
      <c r="P893" s="38">
        <v>420.0</v>
      </c>
      <c r="Q893" s="39"/>
      <c r="R893" s="39"/>
      <c r="S893" s="39"/>
      <c r="T893" s="39"/>
      <c r="U893" s="39"/>
    </row>
    <row r="894">
      <c r="A894" s="40">
        <f t="shared" si="1"/>
        <v>46006</v>
      </c>
      <c r="B894" s="37" t="str">
        <f t="array" ref="B894">iferror(xlookup($I894, 'IMPORT VHC Report'!$E:$E, 'IMPORT VHC Report'!$A:$C), )</f>
        <v/>
      </c>
      <c r="C894" s="37"/>
      <c r="D894" s="37"/>
      <c r="E894" s="38" t="s">
        <v>1182</v>
      </c>
      <c r="F894" s="38" t="s">
        <v>1132</v>
      </c>
      <c r="G894" s="38">
        <v>3.61964324516E11</v>
      </c>
      <c r="H894" s="38" t="s">
        <v>1133</v>
      </c>
      <c r="I894" s="38" t="s">
        <v>1134</v>
      </c>
      <c r="J894" s="38" t="s">
        <v>134</v>
      </c>
      <c r="K894" s="38" t="s">
        <v>126</v>
      </c>
      <c r="L894" s="41">
        <v>46010.14236111111</v>
      </c>
      <c r="M894" s="38" t="s">
        <v>123</v>
      </c>
      <c r="N894" s="41">
        <v>46010.15277777778</v>
      </c>
      <c r="O894" s="38" t="s">
        <v>123</v>
      </c>
      <c r="P894" s="38">
        <v>900.0</v>
      </c>
      <c r="Q894" s="39"/>
      <c r="R894" s="39"/>
      <c r="S894" s="39"/>
      <c r="T894" s="39"/>
      <c r="U894" s="39"/>
    </row>
    <row r="895">
      <c r="A895" s="40">
        <f t="shared" si="1"/>
        <v>46006</v>
      </c>
      <c r="B895" s="37" t="str">
        <f t="array" ref="B895">iferror(xlookup($I895, 'IMPORT VHC Report'!$E:$E, 'IMPORT VHC Report'!$A:$C), )</f>
        <v/>
      </c>
      <c r="C895" s="37"/>
      <c r="D895" s="37"/>
      <c r="E895" s="38" t="s">
        <v>1183</v>
      </c>
      <c r="F895" s="38" t="s">
        <v>1132</v>
      </c>
      <c r="G895" s="38">
        <v>3.61964324516E11</v>
      </c>
      <c r="H895" s="38" t="s">
        <v>1133</v>
      </c>
      <c r="I895" s="38" t="s">
        <v>1134</v>
      </c>
      <c r="J895" s="38" t="s">
        <v>224</v>
      </c>
      <c r="K895" s="38" t="s">
        <v>63</v>
      </c>
      <c r="L895" s="41">
        <v>46012.833333333336</v>
      </c>
      <c r="M895" s="38" t="s">
        <v>123</v>
      </c>
      <c r="N895" s="41">
        <v>46012.927083333336</v>
      </c>
      <c r="O895" s="38" t="s">
        <v>123</v>
      </c>
      <c r="P895" s="38">
        <v>8100.0</v>
      </c>
      <c r="Q895" s="39"/>
      <c r="R895" s="39"/>
      <c r="S895" s="39"/>
      <c r="T895" s="39"/>
      <c r="U895" s="39"/>
    </row>
    <row r="896">
      <c r="A896" s="40">
        <f t="shared" si="1"/>
        <v>46006</v>
      </c>
      <c r="B896" s="37" t="str">
        <f t="array" ref="B896">iferror(xlookup($I896, 'IMPORT VHC Report'!$E:$E, 'IMPORT VHC Report'!$A:$C), )</f>
        <v/>
      </c>
      <c r="C896" s="37"/>
      <c r="D896" s="37"/>
      <c r="E896" s="38" t="s">
        <v>1184</v>
      </c>
      <c r="F896" s="38" t="s">
        <v>1132</v>
      </c>
      <c r="G896" s="38">
        <v>3.61964324516E11</v>
      </c>
      <c r="H896" s="38" t="s">
        <v>1133</v>
      </c>
      <c r="I896" s="38" t="s">
        <v>1134</v>
      </c>
      <c r="J896" s="38" t="s">
        <v>178</v>
      </c>
      <c r="K896" s="38" t="s">
        <v>153</v>
      </c>
      <c r="L896" s="41">
        <v>46012.833333333336</v>
      </c>
      <c r="M896" s="38" t="s">
        <v>123</v>
      </c>
      <c r="N896" s="41">
        <v>46013.208333333336</v>
      </c>
      <c r="O896" s="38" t="s">
        <v>123</v>
      </c>
      <c r="P896" s="38">
        <v>32400.0</v>
      </c>
      <c r="Q896" s="38">
        <v>28800.0</v>
      </c>
      <c r="R896" s="38" t="s">
        <v>1185</v>
      </c>
      <c r="S896" s="39"/>
      <c r="T896" s="39"/>
      <c r="U896" s="39"/>
    </row>
    <row r="897">
      <c r="A897" s="40">
        <f t="shared" si="1"/>
        <v>46006</v>
      </c>
      <c r="B897" s="37" t="str">
        <f t="array" ref="B897">iferror(xlookup($I897, 'IMPORT VHC Report'!$E:$E, 'IMPORT VHC Report'!$A:$C), )</f>
        <v/>
      </c>
      <c r="C897" s="37"/>
      <c r="D897" s="37"/>
      <c r="E897" s="38" t="s">
        <v>1186</v>
      </c>
      <c r="F897" s="38" t="s">
        <v>1132</v>
      </c>
      <c r="G897" s="38">
        <v>3.61964324516E11</v>
      </c>
      <c r="H897" s="38" t="s">
        <v>1133</v>
      </c>
      <c r="I897" s="38" t="s">
        <v>1134</v>
      </c>
      <c r="J897" s="38" t="s">
        <v>134</v>
      </c>
      <c r="K897" s="38" t="s">
        <v>126</v>
      </c>
      <c r="L897" s="41">
        <v>46012.927083333336</v>
      </c>
      <c r="M897" s="38" t="s">
        <v>123</v>
      </c>
      <c r="N897" s="41">
        <v>46012.9375</v>
      </c>
      <c r="O897" s="38" t="s">
        <v>123</v>
      </c>
      <c r="P897" s="38">
        <v>900.0</v>
      </c>
      <c r="Q897" s="39"/>
      <c r="R897" s="39"/>
      <c r="S897" s="39"/>
      <c r="T897" s="39"/>
      <c r="U897" s="39"/>
    </row>
    <row r="898">
      <c r="A898" s="40">
        <f t="shared" si="1"/>
        <v>46006</v>
      </c>
      <c r="B898" s="37" t="str">
        <f t="array" ref="B898">iferror(xlookup($I898, 'IMPORT VHC Report'!$E:$E, 'IMPORT VHC Report'!$A:$C), )</f>
        <v/>
      </c>
      <c r="C898" s="37"/>
      <c r="D898" s="37"/>
      <c r="E898" s="38" t="s">
        <v>1187</v>
      </c>
      <c r="F898" s="38" t="s">
        <v>1132</v>
      </c>
      <c r="G898" s="38">
        <v>3.61964324516E11</v>
      </c>
      <c r="H898" s="38" t="s">
        <v>1133</v>
      </c>
      <c r="I898" s="38" t="s">
        <v>1134</v>
      </c>
      <c r="J898" s="38" t="s">
        <v>224</v>
      </c>
      <c r="K898" s="38" t="s">
        <v>63</v>
      </c>
      <c r="L898" s="41">
        <v>46012.9375</v>
      </c>
      <c r="M898" s="38" t="s">
        <v>123</v>
      </c>
      <c r="N898" s="41">
        <v>46012.958333333336</v>
      </c>
      <c r="O898" s="38" t="s">
        <v>123</v>
      </c>
      <c r="P898" s="38">
        <v>1800.0</v>
      </c>
      <c r="Q898" s="39"/>
      <c r="R898" s="39"/>
      <c r="S898" s="39"/>
      <c r="T898" s="39"/>
      <c r="U898" s="39"/>
    </row>
    <row r="899">
      <c r="A899" s="40">
        <f t="shared" si="1"/>
        <v>46006</v>
      </c>
      <c r="B899" s="37" t="str">
        <f t="array" ref="B899">iferror(xlookup($I899, 'IMPORT VHC Report'!$E:$E, 'IMPORT VHC Report'!$A:$C), )</f>
        <v/>
      </c>
      <c r="C899" s="37"/>
      <c r="D899" s="37"/>
      <c r="E899" s="38" t="s">
        <v>1188</v>
      </c>
      <c r="F899" s="38" t="s">
        <v>1132</v>
      </c>
      <c r="G899" s="38">
        <v>3.61964324516E11</v>
      </c>
      <c r="H899" s="38" t="s">
        <v>1133</v>
      </c>
      <c r="I899" s="38" t="s">
        <v>1134</v>
      </c>
      <c r="J899" s="38" t="s">
        <v>62</v>
      </c>
      <c r="K899" s="38" t="s">
        <v>63</v>
      </c>
      <c r="L899" s="41">
        <v>46012.958333333336</v>
      </c>
      <c r="M899" s="38" t="s">
        <v>123</v>
      </c>
      <c r="N899" s="41">
        <v>46012.979166666664</v>
      </c>
      <c r="O899" s="38" t="s">
        <v>123</v>
      </c>
      <c r="P899" s="38">
        <v>1800.0</v>
      </c>
      <c r="Q899" s="39"/>
      <c r="R899" s="39"/>
      <c r="S899" s="39"/>
      <c r="T899" s="39"/>
      <c r="U899" s="39"/>
    </row>
    <row r="900">
      <c r="A900" s="40">
        <f t="shared" si="1"/>
        <v>46006</v>
      </c>
      <c r="B900" s="37" t="str">
        <f t="array" ref="B900">iferror(xlookup($I900, 'IMPORT VHC Report'!$E:$E, 'IMPORT VHC Report'!$A:$C), )</f>
        <v/>
      </c>
      <c r="C900" s="37"/>
      <c r="D900" s="37"/>
      <c r="E900" s="38" t="s">
        <v>1189</v>
      </c>
      <c r="F900" s="38" t="s">
        <v>1132</v>
      </c>
      <c r="G900" s="38">
        <v>3.61964324516E11</v>
      </c>
      <c r="H900" s="38" t="s">
        <v>1133</v>
      </c>
      <c r="I900" s="38" t="s">
        <v>1134</v>
      </c>
      <c r="J900" s="38" t="s">
        <v>224</v>
      </c>
      <c r="K900" s="38" t="s">
        <v>63</v>
      </c>
      <c r="L900" s="41">
        <v>46012.979166666664</v>
      </c>
      <c r="M900" s="38" t="s">
        <v>123</v>
      </c>
      <c r="N900" s="41">
        <v>46013.0</v>
      </c>
      <c r="O900" s="38" t="s">
        <v>123</v>
      </c>
      <c r="P900" s="38">
        <v>1800.0</v>
      </c>
      <c r="Q900" s="39"/>
      <c r="R900" s="39"/>
      <c r="S900" s="39"/>
      <c r="T900" s="39"/>
      <c r="U900" s="39"/>
    </row>
    <row r="901">
      <c r="A901" s="40">
        <f t="shared" si="1"/>
        <v>46006</v>
      </c>
      <c r="B901" s="37" t="str">
        <f t="array" ref="B901">iferror(xlookup($I901, 'IMPORT VHC Report'!$E:$E, 'IMPORT VHC Report'!$A:$C), )</f>
        <v/>
      </c>
      <c r="C901" s="37"/>
      <c r="D901" s="37"/>
      <c r="E901" s="38" t="s">
        <v>1190</v>
      </c>
      <c r="F901" s="38" t="s">
        <v>1191</v>
      </c>
      <c r="G901" s="38">
        <v>5.047288728079E12</v>
      </c>
      <c r="H901" s="38" t="s">
        <v>1192</v>
      </c>
      <c r="I901" s="38" t="s">
        <v>1193</v>
      </c>
      <c r="J901" s="38" t="s">
        <v>530</v>
      </c>
      <c r="K901" s="38" t="s">
        <v>63</v>
      </c>
      <c r="L901" s="41">
        <v>46006.0</v>
      </c>
      <c r="M901" s="38" t="s">
        <v>123</v>
      </c>
      <c r="N901" s="41">
        <v>46006.25</v>
      </c>
      <c r="O901" s="38" t="s">
        <v>123</v>
      </c>
      <c r="P901" s="38">
        <v>21600.0</v>
      </c>
      <c r="Q901" s="39"/>
      <c r="R901" s="39"/>
      <c r="S901" s="39"/>
      <c r="T901" s="39"/>
      <c r="U901" s="39"/>
    </row>
    <row r="902">
      <c r="A902" s="40">
        <f t="shared" si="1"/>
        <v>46006</v>
      </c>
      <c r="B902" s="37" t="str">
        <f t="array" ref="B902">iferror(xlookup($I902, 'IMPORT VHC Report'!$E:$E, 'IMPORT VHC Report'!$A:$C), )</f>
        <v/>
      </c>
      <c r="C902" s="37"/>
      <c r="D902" s="37"/>
      <c r="E902" s="38" t="s">
        <v>1194</v>
      </c>
      <c r="F902" s="38" t="s">
        <v>1191</v>
      </c>
      <c r="G902" s="38">
        <v>5.047288728079E12</v>
      </c>
      <c r="H902" s="38" t="s">
        <v>1192</v>
      </c>
      <c r="I902" s="38" t="s">
        <v>1193</v>
      </c>
      <c r="J902" s="38" t="s">
        <v>132</v>
      </c>
      <c r="K902" s="38" t="s">
        <v>126</v>
      </c>
      <c r="L902" s="41">
        <v>46006.083333333336</v>
      </c>
      <c r="M902" s="38" t="s">
        <v>123</v>
      </c>
      <c r="N902" s="41">
        <v>46006.125</v>
      </c>
      <c r="O902" s="38" t="s">
        <v>123</v>
      </c>
      <c r="P902" s="38">
        <v>3600.0</v>
      </c>
      <c r="Q902" s="39"/>
      <c r="R902" s="39"/>
      <c r="S902" s="39"/>
      <c r="T902" s="39"/>
      <c r="U902" s="39"/>
    </row>
    <row r="903">
      <c r="A903" s="40">
        <f t="shared" si="1"/>
        <v>46006</v>
      </c>
      <c r="B903" s="37" t="str">
        <f t="array" ref="B903">iferror(xlookup($I903, 'IMPORT VHC Report'!$E:$E, 'IMPORT VHC Report'!$A:$C), )</f>
        <v/>
      </c>
      <c r="C903" s="37"/>
      <c r="D903" s="37"/>
      <c r="E903" s="38" t="s">
        <v>1195</v>
      </c>
      <c r="F903" s="38" t="s">
        <v>1191</v>
      </c>
      <c r="G903" s="38">
        <v>5.047288728079E12</v>
      </c>
      <c r="H903" s="38" t="s">
        <v>1192</v>
      </c>
      <c r="I903" s="38" t="s">
        <v>1193</v>
      </c>
      <c r="J903" s="38" t="s">
        <v>134</v>
      </c>
      <c r="K903" s="38" t="s">
        <v>126</v>
      </c>
      <c r="L903" s="41">
        <v>46006.125</v>
      </c>
      <c r="M903" s="38" t="s">
        <v>123</v>
      </c>
      <c r="N903" s="41">
        <v>46006.145833333336</v>
      </c>
      <c r="O903" s="38" t="s">
        <v>123</v>
      </c>
      <c r="P903" s="38">
        <v>1800.0</v>
      </c>
      <c r="Q903" s="39"/>
      <c r="R903" s="39"/>
      <c r="S903" s="39"/>
      <c r="T903" s="39"/>
      <c r="U903" s="39"/>
    </row>
    <row r="904">
      <c r="A904" s="40">
        <f t="shared" si="1"/>
        <v>46006</v>
      </c>
      <c r="B904" s="37" t="str">
        <f t="array" ref="B904">iferror(xlookup($I904, 'IMPORT VHC Report'!$E:$E, 'IMPORT VHC Report'!$A:$C), )</f>
        <v/>
      </c>
      <c r="C904" s="37"/>
      <c r="D904" s="37"/>
      <c r="E904" s="38" t="s">
        <v>1196</v>
      </c>
      <c r="F904" s="38" t="s">
        <v>1191</v>
      </c>
      <c r="G904" s="38">
        <v>5.047288728079E12</v>
      </c>
      <c r="H904" s="38" t="s">
        <v>1192</v>
      </c>
      <c r="I904" s="38" t="s">
        <v>1193</v>
      </c>
      <c r="J904" s="38" t="s">
        <v>4</v>
      </c>
      <c r="K904" s="38" t="s">
        <v>126</v>
      </c>
      <c r="L904" s="41">
        <v>46006.875</v>
      </c>
      <c r="M904" s="38" t="s">
        <v>123</v>
      </c>
      <c r="N904" s="41">
        <v>46006.895833333336</v>
      </c>
      <c r="O904" s="38" t="s">
        <v>123</v>
      </c>
      <c r="P904" s="38">
        <v>1800.0</v>
      </c>
      <c r="Q904" s="39"/>
      <c r="R904" s="39"/>
      <c r="S904" s="39"/>
      <c r="T904" s="39"/>
      <c r="U904" s="39"/>
    </row>
    <row r="905">
      <c r="A905" s="40">
        <f t="shared" si="1"/>
        <v>46006</v>
      </c>
      <c r="B905" s="37" t="str">
        <f t="array" ref="B905">iferror(xlookup($I905, 'IMPORT VHC Report'!$E:$E, 'IMPORT VHC Report'!$A:$C), )</f>
        <v/>
      </c>
      <c r="C905" s="37"/>
      <c r="D905" s="37"/>
      <c r="E905" s="38" t="s">
        <v>1197</v>
      </c>
      <c r="F905" s="38" t="s">
        <v>1191</v>
      </c>
      <c r="G905" s="38">
        <v>5.047288728079E12</v>
      </c>
      <c r="H905" s="38" t="s">
        <v>1192</v>
      </c>
      <c r="I905" s="38" t="s">
        <v>1193</v>
      </c>
      <c r="J905" s="38" t="s">
        <v>530</v>
      </c>
      <c r="K905" s="38" t="s">
        <v>63</v>
      </c>
      <c r="L905" s="41">
        <v>46006.875</v>
      </c>
      <c r="M905" s="38" t="s">
        <v>123</v>
      </c>
      <c r="N905" s="41">
        <v>46007.25</v>
      </c>
      <c r="O905" s="38" t="s">
        <v>123</v>
      </c>
      <c r="P905" s="38">
        <v>32400.0</v>
      </c>
      <c r="Q905" s="39"/>
      <c r="R905" s="39"/>
      <c r="S905" s="39"/>
      <c r="T905" s="39"/>
      <c r="U905" s="39"/>
    </row>
    <row r="906">
      <c r="A906" s="40">
        <f t="shared" si="1"/>
        <v>46006</v>
      </c>
      <c r="B906" s="37" t="str">
        <f t="array" ref="B906">iferror(xlookup($I906, 'IMPORT VHC Report'!$E:$E, 'IMPORT VHC Report'!$A:$C), )</f>
        <v/>
      </c>
      <c r="C906" s="37"/>
      <c r="D906" s="37"/>
      <c r="E906" s="38" t="s">
        <v>1198</v>
      </c>
      <c r="F906" s="38" t="s">
        <v>1191</v>
      </c>
      <c r="G906" s="38">
        <v>5.047288728079E12</v>
      </c>
      <c r="H906" s="38" t="s">
        <v>1192</v>
      </c>
      <c r="I906" s="38" t="s">
        <v>1193</v>
      </c>
      <c r="J906" s="38" t="s">
        <v>132</v>
      </c>
      <c r="K906" s="38" t="s">
        <v>126</v>
      </c>
      <c r="L906" s="41">
        <v>46006.958333333336</v>
      </c>
      <c r="M906" s="38" t="s">
        <v>123</v>
      </c>
      <c r="N906" s="41">
        <v>46007.0</v>
      </c>
      <c r="O906" s="38" t="s">
        <v>123</v>
      </c>
      <c r="P906" s="38">
        <v>3600.0</v>
      </c>
      <c r="Q906" s="39"/>
      <c r="R906" s="39"/>
      <c r="S906" s="39"/>
      <c r="T906" s="39"/>
      <c r="U906" s="39"/>
    </row>
    <row r="907">
      <c r="A907" s="40">
        <f t="shared" si="1"/>
        <v>46006</v>
      </c>
      <c r="B907" s="37" t="str">
        <f t="array" ref="B907">iferror(xlookup($I907, 'IMPORT VHC Report'!$E:$E, 'IMPORT VHC Report'!$A:$C), )</f>
        <v/>
      </c>
      <c r="C907" s="37"/>
      <c r="D907" s="37"/>
      <c r="E907" s="38" t="s">
        <v>1199</v>
      </c>
      <c r="F907" s="38" t="s">
        <v>1191</v>
      </c>
      <c r="G907" s="38">
        <v>5.047288728079E12</v>
      </c>
      <c r="H907" s="38" t="s">
        <v>1192</v>
      </c>
      <c r="I907" s="38" t="s">
        <v>1193</v>
      </c>
      <c r="J907" s="38" t="s">
        <v>134</v>
      </c>
      <c r="K907" s="38" t="s">
        <v>126</v>
      </c>
      <c r="L907" s="41">
        <v>46007.0</v>
      </c>
      <c r="M907" s="38" t="s">
        <v>123</v>
      </c>
      <c r="N907" s="41">
        <v>46007.020833333336</v>
      </c>
      <c r="O907" s="38" t="s">
        <v>123</v>
      </c>
      <c r="P907" s="38">
        <v>1800.0</v>
      </c>
      <c r="Q907" s="39"/>
      <c r="R907" s="39"/>
      <c r="S907" s="39"/>
      <c r="T907" s="39"/>
      <c r="U907" s="39"/>
    </row>
    <row r="908">
      <c r="A908" s="40">
        <f t="shared" si="1"/>
        <v>46006</v>
      </c>
      <c r="B908" s="37" t="str">
        <f t="array" ref="B908">iferror(xlookup($I908, 'IMPORT VHC Report'!$E:$E, 'IMPORT VHC Report'!$A:$C), )</f>
        <v/>
      </c>
      <c r="C908" s="37"/>
      <c r="D908" s="37"/>
      <c r="E908" s="38" t="s">
        <v>1200</v>
      </c>
      <c r="F908" s="38" t="s">
        <v>1191</v>
      </c>
      <c r="G908" s="38">
        <v>5.047288728079E12</v>
      </c>
      <c r="H908" s="38" t="s">
        <v>1192</v>
      </c>
      <c r="I908" s="38" t="s">
        <v>1193</v>
      </c>
      <c r="J908" s="38" t="s">
        <v>4</v>
      </c>
      <c r="K908" s="38" t="s">
        <v>126</v>
      </c>
      <c r="L908" s="41">
        <v>46007.875</v>
      </c>
      <c r="M908" s="38" t="s">
        <v>123</v>
      </c>
      <c r="N908" s="41">
        <v>46007.895833333336</v>
      </c>
      <c r="O908" s="38" t="s">
        <v>123</v>
      </c>
      <c r="P908" s="38">
        <v>1800.0</v>
      </c>
      <c r="Q908" s="39"/>
      <c r="R908" s="39"/>
      <c r="S908" s="39"/>
      <c r="T908" s="39"/>
      <c r="U908" s="39"/>
    </row>
    <row r="909">
      <c r="A909" s="40">
        <f t="shared" si="1"/>
        <v>46006</v>
      </c>
      <c r="B909" s="37" t="str">
        <f t="array" ref="B909">iferror(xlookup($I909, 'IMPORT VHC Report'!$E:$E, 'IMPORT VHC Report'!$A:$C), )</f>
        <v/>
      </c>
      <c r="C909" s="37"/>
      <c r="D909" s="37"/>
      <c r="E909" s="38" t="s">
        <v>1201</v>
      </c>
      <c r="F909" s="38" t="s">
        <v>1191</v>
      </c>
      <c r="G909" s="38">
        <v>5.047288728079E12</v>
      </c>
      <c r="H909" s="38" t="s">
        <v>1192</v>
      </c>
      <c r="I909" s="38" t="s">
        <v>1193</v>
      </c>
      <c r="J909" s="38" t="s">
        <v>530</v>
      </c>
      <c r="K909" s="38" t="s">
        <v>63</v>
      </c>
      <c r="L909" s="41">
        <v>46007.875</v>
      </c>
      <c r="M909" s="38" t="s">
        <v>123</v>
      </c>
      <c r="N909" s="41">
        <v>46008.25</v>
      </c>
      <c r="O909" s="38" t="s">
        <v>123</v>
      </c>
      <c r="P909" s="38">
        <v>32400.0</v>
      </c>
      <c r="Q909" s="39"/>
      <c r="R909" s="39"/>
      <c r="S909" s="39"/>
      <c r="T909" s="39"/>
      <c r="U909" s="39"/>
    </row>
    <row r="910">
      <c r="A910" s="40">
        <f t="shared" si="1"/>
        <v>46006</v>
      </c>
      <c r="B910" s="37" t="str">
        <f t="array" ref="B910">iferror(xlookup($I910, 'IMPORT VHC Report'!$E:$E, 'IMPORT VHC Report'!$A:$C), )</f>
        <v/>
      </c>
      <c r="C910" s="37"/>
      <c r="D910" s="37"/>
      <c r="E910" s="38" t="s">
        <v>1202</v>
      </c>
      <c r="F910" s="38" t="s">
        <v>1191</v>
      </c>
      <c r="G910" s="38">
        <v>5.047288728079E12</v>
      </c>
      <c r="H910" s="38" t="s">
        <v>1192</v>
      </c>
      <c r="I910" s="38" t="s">
        <v>1193</v>
      </c>
      <c r="J910" s="38" t="s">
        <v>136</v>
      </c>
      <c r="K910" s="38" t="s">
        <v>126</v>
      </c>
      <c r="L910" s="41">
        <v>46007.9375</v>
      </c>
      <c r="M910" s="38" t="s">
        <v>123</v>
      </c>
      <c r="N910" s="41">
        <v>46007.989583333336</v>
      </c>
      <c r="O910" s="38" t="s">
        <v>123</v>
      </c>
      <c r="P910" s="38">
        <v>4500.0</v>
      </c>
      <c r="Q910" s="39"/>
      <c r="R910" s="39"/>
      <c r="S910" s="38" t="s">
        <v>1203</v>
      </c>
      <c r="T910" s="39"/>
      <c r="U910" s="39"/>
    </row>
    <row r="911">
      <c r="A911" s="40">
        <f t="shared" si="1"/>
        <v>46006</v>
      </c>
      <c r="B911" s="37" t="str">
        <f t="array" ref="B911">iferror(xlookup($I911, 'IMPORT VHC Report'!$E:$E, 'IMPORT VHC Report'!$A:$C), )</f>
        <v/>
      </c>
      <c r="C911" s="37"/>
      <c r="D911" s="37"/>
      <c r="E911" s="38" t="s">
        <v>1204</v>
      </c>
      <c r="F911" s="38" t="s">
        <v>1191</v>
      </c>
      <c r="G911" s="38">
        <v>5.047288728079E12</v>
      </c>
      <c r="H911" s="38" t="s">
        <v>1192</v>
      </c>
      <c r="I911" s="38" t="s">
        <v>1193</v>
      </c>
      <c r="J911" s="38" t="s">
        <v>132</v>
      </c>
      <c r="K911" s="38" t="s">
        <v>126</v>
      </c>
      <c r="L911" s="41">
        <v>46008.0</v>
      </c>
      <c r="M911" s="38" t="s">
        <v>123</v>
      </c>
      <c r="N911" s="41">
        <v>46008.041666666664</v>
      </c>
      <c r="O911" s="38" t="s">
        <v>123</v>
      </c>
      <c r="P911" s="38">
        <v>3600.0</v>
      </c>
      <c r="Q911" s="39"/>
      <c r="R911" s="39"/>
      <c r="S911" s="39"/>
      <c r="T911" s="39"/>
      <c r="U911" s="39"/>
    </row>
    <row r="912">
      <c r="A912" s="40">
        <f t="shared" si="1"/>
        <v>46006</v>
      </c>
      <c r="B912" s="37" t="str">
        <f t="array" ref="B912">iferror(xlookup($I912, 'IMPORT VHC Report'!$E:$E, 'IMPORT VHC Report'!$A:$C), )</f>
        <v/>
      </c>
      <c r="C912" s="37"/>
      <c r="D912" s="37"/>
      <c r="E912" s="38" t="s">
        <v>1205</v>
      </c>
      <c r="F912" s="38" t="s">
        <v>1191</v>
      </c>
      <c r="G912" s="38">
        <v>5.047288728079E12</v>
      </c>
      <c r="H912" s="38" t="s">
        <v>1192</v>
      </c>
      <c r="I912" s="38" t="s">
        <v>1193</v>
      </c>
      <c r="J912" s="38" t="s">
        <v>134</v>
      </c>
      <c r="K912" s="38" t="s">
        <v>126</v>
      </c>
      <c r="L912" s="41">
        <v>46008.041666666664</v>
      </c>
      <c r="M912" s="38" t="s">
        <v>123</v>
      </c>
      <c r="N912" s="41">
        <v>46008.0625</v>
      </c>
      <c r="O912" s="38" t="s">
        <v>123</v>
      </c>
      <c r="P912" s="38">
        <v>1800.0</v>
      </c>
      <c r="Q912" s="39"/>
      <c r="R912" s="39"/>
      <c r="S912" s="39"/>
      <c r="T912" s="39"/>
      <c r="U912" s="39"/>
    </row>
    <row r="913">
      <c r="A913" s="40">
        <f t="shared" si="1"/>
        <v>46006</v>
      </c>
      <c r="B913" s="37" t="str">
        <f t="array" ref="B913">iferror(xlookup($I913, 'IMPORT VHC Report'!$E:$E, 'IMPORT VHC Report'!$A:$C), )</f>
        <v/>
      </c>
      <c r="C913" s="37"/>
      <c r="D913" s="37"/>
      <c r="E913" s="38" t="s">
        <v>1206</v>
      </c>
      <c r="F913" s="38" t="s">
        <v>1191</v>
      </c>
      <c r="G913" s="38">
        <v>5.047288728079E12</v>
      </c>
      <c r="H913" s="38" t="s">
        <v>1192</v>
      </c>
      <c r="I913" s="38" t="s">
        <v>1193</v>
      </c>
      <c r="J913" s="38" t="s">
        <v>4</v>
      </c>
      <c r="K913" s="38" t="s">
        <v>126</v>
      </c>
      <c r="L913" s="41">
        <v>46008.875</v>
      </c>
      <c r="M913" s="38" t="s">
        <v>123</v>
      </c>
      <c r="N913" s="41">
        <v>46008.895833333336</v>
      </c>
      <c r="O913" s="38" t="s">
        <v>123</v>
      </c>
      <c r="P913" s="38">
        <v>1800.0</v>
      </c>
      <c r="Q913" s="39"/>
      <c r="R913" s="39"/>
      <c r="S913" s="39"/>
      <c r="T913" s="39"/>
      <c r="U913" s="39"/>
    </row>
    <row r="914">
      <c r="A914" s="40">
        <f t="shared" si="1"/>
        <v>46006</v>
      </c>
      <c r="B914" s="37" t="str">
        <f t="array" ref="B914">iferror(xlookup($I914, 'IMPORT VHC Report'!$E:$E, 'IMPORT VHC Report'!$A:$C), )</f>
        <v/>
      </c>
      <c r="C914" s="37"/>
      <c r="D914" s="37"/>
      <c r="E914" s="38" t="s">
        <v>1207</v>
      </c>
      <c r="F914" s="38" t="s">
        <v>1191</v>
      </c>
      <c r="G914" s="38">
        <v>5.047288728079E12</v>
      </c>
      <c r="H914" s="38" t="s">
        <v>1192</v>
      </c>
      <c r="I914" s="38" t="s">
        <v>1193</v>
      </c>
      <c r="J914" s="38" t="s">
        <v>530</v>
      </c>
      <c r="K914" s="38" t="s">
        <v>63</v>
      </c>
      <c r="L914" s="41">
        <v>46008.875</v>
      </c>
      <c r="M914" s="38" t="s">
        <v>123</v>
      </c>
      <c r="N914" s="41">
        <v>46009.25</v>
      </c>
      <c r="O914" s="38" t="s">
        <v>123</v>
      </c>
      <c r="P914" s="38">
        <v>32400.0</v>
      </c>
      <c r="Q914" s="39"/>
      <c r="R914" s="39"/>
      <c r="S914" s="39"/>
      <c r="T914" s="39"/>
      <c r="U914" s="39"/>
    </row>
    <row r="915">
      <c r="A915" s="40">
        <f t="shared" si="1"/>
        <v>46006</v>
      </c>
      <c r="B915" s="37" t="str">
        <f t="array" ref="B915">iferror(xlookup($I915, 'IMPORT VHC Report'!$E:$E, 'IMPORT VHC Report'!$A:$C), )</f>
        <v/>
      </c>
      <c r="C915" s="37"/>
      <c r="D915" s="37"/>
      <c r="E915" s="38" t="s">
        <v>1208</v>
      </c>
      <c r="F915" s="38" t="s">
        <v>1191</v>
      </c>
      <c r="G915" s="38">
        <v>5.047288728079E12</v>
      </c>
      <c r="H915" s="38" t="s">
        <v>1192</v>
      </c>
      <c r="I915" s="38" t="s">
        <v>1193</v>
      </c>
      <c r="J915" s="38" t="s">
        <v>4</v>
      </c>
      <c r="K915" s="38" t="s">
        <v>126</v>
      </c>
      <c r="L915" s="41">
        <v>46008.895833333336</v>
      </c>
      <c r="M915" s="38" t="s">
        <v>123</v>
      </c>
      <c r="N915" s="41">
        <v>46008.958333333336</v>
      </c>
      <c r="O915" s="38" t="s">
        <v>123</v>
      </c>
      <c r="P915" s="38">
        <v>5400.0</v>
      </c>
      <c r="Q915" s="39"/>
      <c r="R915" s="39"/>
      <c r="S915" s="38" t="s">
        <v>1209</v>
      </c>
      <c r="T915" s="39"/>
      <c r="U915" s="39"/>
    </row>
    <row r="916">
      <c r="A916" s="40">
        <f t="shared" si="1"/>
        <v>46006</v>
      </c>
      <c r="B916" s="37" t="str">
        <f t="array" ref="B916">iferror(xlookup($I916, 'IMPORT VHC Report'!$E:$E, 'IMPORT VHC Report'!$A:$C), )</f>
        <v/>
      </c>
      <c r="C916" s="37"/>
      <c r="D916" s="37"/>
      <c r="E916" s="38" t="s">
        <v>1210</v>
      </c>
      <c r="F916" s="38" t="s">
        <v>1191</v>
      </c>
      <c r="G916" s="38">
        <v>5.047288728079E12</v>
      </c>
      <c r="H916" s="38" t="s">
        <v>1192</v>
      </c>
      <c r="I916" s="38" t="s">
        <v>1193</v>
      </c>
      <c r="J916" s="38" t="s">
        <v>132</v>
      </c>
      <c r="K916" s="38" t="s">
        <v>126</v>
      </c>
      <c r="L916" s="41">
        <v>46009.04375</v>
      </c>
      <c r="M916" s="38" t="s">
        <v>123</v>
      </c>
      <c r="N916" s="41">
        <v>46009.08541666667</v>
      </c>
      <c r="O916" s="38" t="s">
        <v>123</v>
      </c>
      <c r="P916" s="38">
        <v>3600.0</v>
      </c>
      <c r="Q916" s="39"/>
      <c r="R916" s="39"/>
      <c r="S916" s="39"/>
      <c r="T916" s="39"/>
      <c r="U916" s="39"/>
    </row>
    <row r="917">
      <c r="A917" s="40">
        <f t="shared" si="1"/>
        <v>46006</v>
      </c>
      <c r="B917" s="37" t="str">
        <f t="array" ref="B917">iferror(xlookup($I917, 'IMPORT VHC Report'!$E:$E, 'IMPORT VHC Report'!$A:$C), )</f>
        <v/>
      </c>
      <c r="C917" s="37"/>
      <c r="D917" s="37"/>
      <c r="E917" s="38" t="s">
        <v>1211</v>
      </c>
      <c r="F917" s="38" t="s">
        <v>1191</v>
      </c>
      <c r="G917" s="38">
        <v>5.047288728079E12</v>
      </c>
      <c r="H917" s="38" t="s">
        <v>1192</v>
      </c>
      <c r="I917" s="38" t="s">
        <v>1193</v>
      </c>
      <c r="J917" s="38" t="s">
        <v>134</v>
      </c>
      <c r="K917" s="38" t="s">
        <v>126</v>
      </c>
      <c r="L917" s="41">
        <v>46009.08541666667</v>
      </c>
      <c r="M917" s="38" t="s">
        <v>123</v>
      </c>
      <c r="N917" s="41">
        <v>46009.10625</v>
      </c>
      <c r="O917" s="38" t="s">
        <v>123</v>
      </c>
      <c r="P917" s="38">
        <v>1800.0</v>
      </c>
      <c r="Q917" s="39"/>
      <c r="R917" s="39"/>
      <c r="S917" s="39"/>
      <c r="T917" s="39"/>
      <c r="U917" s="39"/>
    </row>
    <row r="918">
      <c r="A918" s="40">
        <f t="shared" si="1"/>
        <v>46006</v>
      </c>
      <c r="B918" s="37" t="str">
        <f t="array" ref="B918">iferror(xlookup($I918, 'IMPORT VHC Report'!$E:$E, 'IMPORT VHC Report'!$A:$C), )</f>
        <v/>
      </c>
      <c r="C918" s="37"/>
      <c r="D918" s="37"/>
      <c r="E918" s="38" t="s">
        <v>1212</v>
      </c>
      <c r="F918" s="38" t="s">
        <v>1191</v>
      </c>
      <c r="G918" s="38">
        <v>5.047288728079E12</v>
      </c>
      <c r="H918" s="38" t="s">
        <v>1192</v>
      </c>
      <c r="I918" s="38" t="s">
        <v>1193</v>
      </c>
      <c r="J918" s="38" t="s">
        <v>4</v>
      </c>
      <c r="K918" s="38" t="s">
        <v>126</v>
      </c>
      <c r="L918" s="41">
        <v>46009.875</v>
      </c>
      <c r="M918" s="38" t="s">
        <v>123</v>
      </c>
      <c r="N918" s="41">
        <v>46009.895833333336</v>
      </c>
      <c r="O918" s="38" t="s">
        <v>123</v>
      </c>
      <c r="P918" s="38">
        <v>1800.0</v>
      </c>
      <c r="Q918" s="39"/>
      <c r="R918" s="39"/>
      <c r="S918" s="39"/>
      <c r="T918" s="39"/>
      <c r="U918" s="39"/>
    </row>
    <row r="919">
      <c r="A919" s="40">
        <f t="shared" si="1"/>
        <v>46006</v>
      </c>
      <c r="B919" s="37" t="str">
        <f t="array" ref="B919">iferror(xlookup($I919, 'IMPORT VHC Report'!$E:$E, 'IMPORT VHC Report'!$A:$C), )</f>
        <v/>
      </c>
      <c r="C919" s="37"/>
      <c r="D919" s="37"/>
      <c r="E919" s="38" t="s">
        <v>1213</v>
      </c>
      <c r="F919" s="38" t="s">
        <v>1191</v>
      </c>
      <c r="G919" s="38">
        <v>5.047288728079E12</v>
      </c>
      <c r="H919" s="38" t="s">
        <v>1192</v>
      </c>
      <c r="I919" s="38" t="s">
        <v>1193</v>
      </c>
      <c r="J919" s="38" t="s">
        <v>530</v>
      </c>
      <c r="K919" s="38" t="s">
        <v>63</v>
      </c>
      <c r="L919" s="41">
        <v>46009.875</v>
      </c>
      <c r="M919" s="38" t="s">
        <v>123</v>
      </c>
      <c r="N919" s="41">
        <v>46010.25</v>
      </c>
      <c r="O919" s="38" t="s">
        <v>123</v>
      </c>
      <c r="P919" s="38">
        <v>32400.0</v>
      </c>
      <c r="Q919" s="39"/>
      <c r="R919" s="39"/>
      <c r="S919" s="39"/>
      <c r="T919" s="39"/>
      <c r="U919" s="39"/>
    </row>
    <row r="920">
      <c r="A920" s="40">
        <f t="shared" si="1"/>
        <v>46006</v>
      </c>
      <c r="B920" s="37" t="str">
        <f t="array" ref="B920">iferror(xlookup($I920, 'IMPORT VHC Report'!$E:$E, 'IMPORT VHC Report'!$A:$C), )</f>
        <v/>
      </c>
      <c r="C920" s="37"/>
      <c r="D920" s="37"/>
      <c r="E920" s="38" t="s">
        <v>1214</v>
      </c>
      <c r="F920" s="38" t="s">
        <v>1191</v>
      </c>
      <c r="G920" s="38">
        <v>5.047288728079E12</v>
      </c>
      <c r="H920" s="38" t="s">
        <v>1192</v>
      </c>
      <c r="I920" s="38" t="s">
        <v>1193</v>
      </c>
      <c r="J920" s="38" t="s">
        <v>136</v>
      </c>
      <c r="K920" s="38" t="s">
        <v>126</v>
      </c>
      <c r="L920" s="41">
        <v>46009.916666666664</v>
      </c>
      <c r="M920" s="38" t="s">
        <v>123</v>
      </c>
      <c r="N920" s="41">
        <v>46009.958333333336</v>
      </c>
      <c r="O920" s="38" t="s">
        <v>123</v>
      </c>
      <c r="P920" s="38">
        <v>3600.0</v>
      </c>
      <c r="Q920" s="39"/>
      <c r="R920" s="39"/>
      <c r="S920" s="39"/>
      <c r="T920" s="39"/>
      <c r="U920" s="39"/>
    </row>
    <row r="921">
      <c r="A921" s="40">
        <f t="shared" si="1"/>
        <v>46006</v>
      </c>
      <c r="B921" s="37" t="str">
        <f t="array" ref="B921">iferror(xlookup($I921, 'IMPORT VHC Report'!$E:$E, 'IMPORT VHC Report'!$A:$C), )</f>
        <v/>
      </c>
      <c r="C921" s="37"/>
      <c r="D921" s="37"/>
      <c r="E921" s="38" t="s">
        <v>1215</v>
      </c>
      <c r="F921" s="38" t="s">
        <v>1191</v>
      </c>
      <c r="G921" s="38">
        <v>5.047288728079E12</v>
      </c>
      <c r="H921" s="38" t="s">
        <v>1192</v>
      </c>
      <c r="I921" s="38" t="s">
        <v>1193</v>
      </c>
      <c r="J921" s="38" t="s">
        <v>132</v>
      </c>
      <c r="K921" s="38" t="s">
        <v>126</v>
      </c>
      <c r="L921" s="41">
        <v>46010.041666666664</v>
      </c>
      <c r="M921" s="38" t="s">
        <v>123</v>
      </c>
      <c r="N921" s="41">
        <v>46010.083333333336</v>
      </c>
      <c r="O921" s="38" t="s">
        <v>123</v>
      </c>
      <c r="P921" s="38">
        <v>3600.0</v>
      </c>
      <c r="Q921" s="39"/>
      <c r="R921" s="39"/>
      <c r="S921" s="39"/>
      <c r="T921" s="39"/>
      <c r="U921" s="39"/>
    </row>
    <row r="922">
      <c r="A922" s="40">
        <f t="shared" si="1"/>
        <v>46006</v>
      </c>
      <c r="B922" s="37" t="str">
        <f t="array" ref="B922">iferror(xlookup($I922, 'IMPORT VHC Report'!$E:$E, 'IMPORT VHC Report'!$A:$C), )</f>
        <v/>
      </c>
      <c r="C922" s="37"/>
      <c r="D922" s="37"/>
      <c r="E922" s="38" t="s">
        <v>1216</v>
      </c>
      <c r="F922" s="38" t="s">
        <v>1191</v>
      </c>
      <c r="G922" s="38">
        <v>5.047288728079E12</v>
      </c>
      <c r="H922" s="38" t="s">
        <v>1192</v>
      </c>
      <c r="I922" s="38" t="s">
        <v>1193</v>
      </c>
      <c r="J922" s="38" t="s">
        <v>134</v>
      </c>
      <c r="K922" s="38" t="s">
        <v>126</v>
      </c>
      <c r="L922" s="41">
        <v>46010.083333333336</v>
      </c>
      <c r="M922" s="38" t="s">
        <v>123</v>
      </c>
      <c r="N922" s="41">
        <v>46010.104166666664</v>
      </c>
      <c r="O922" s="38" t="s">
        <v>123</v>
      </c>
      <c r="P922" s="38">
        <v>1800.0</v>
      </c>
      <c r="Q922" s="39"/>
      <c r="R922" s="39"/>
      <c r="S922" s="39"/>
      <c r="T922" s="39"/>
      <c r="U922" s="39"/>
    </row>
    <row r="923">
      <c r="A923" s="40">
        <f t="shared" si="1"/>
        <v>46006</v>
      </c>
      <c r="B923" s="37" t="str">
        <f t="array" ref="B923">iferror(xlookup($I923, 'IMPORT VHC Report'!$E:$E, 'IMPORT VHC Report'!$A:$C), )</f>
        <v/>
      </c>
      <c r="C923" s="37"/>
      <c r="D923" s="37"/>
      <c r="E923" s="38" t="s">
        <v>1217</v>
      </c>
      <c r="F923" s="38" t="s">
        <v>1191</v>
      </c>
      <c r="G923" s="38">
        <v>5.047288728079E12</v>
      </c>
      <c r="H923" s="38" t="s">
        <v>1192</v>
      </c>
      <c r="I923" s="38" t="s">
        <v>1193</v>
      </c>
      <c r="J923" s="38" t="s">
        <v>4</v>
      </c>
      <c r="K923" s="38" t="s">
        <v>126</v>
      </c>
      <c r="L923" s="41">
        <v>46012.875</v>
      </c>
      <c r="M923" s="38" t="s">
        <v>123</v>
      </c>
      <c r="N923" s="41">
        <v>46012.895833333336</v>
      </c>
      <c r="O923" s="38" t="s">
        <v>123</v>
      </c>
      <c r="P923" s="38">
        <v>1800.0</v>
      </c>
      <c r="Q923" s="39"/>
      <c r="R923" s="39"/>
      <c r="S923" s="39"/>
      <c r="T923" s="39"/>
      <c r="U923" s="39"/>
    </row>
    <row r="924">
      <c r="A924" s="40">
        <f t="shared" si="1"/>
        <v>46006</v>
      </c>
      <c r="B924" s="37" t="str">
        <f t="array" ref="B924">iferror(xlookup($I924, 'IMPORT VHC Report'!$E:$E, 'IMPORT VHC Report'!$A:$C), )</f>
        <v/>
      </c>
      <c r="C924" s="37"/>
      <c r="D924" s="37"/>
      <c r="E924" s="38" t="s">
        <v>1218</v>
      </c>
      <c r="F924" s="38" t="s">
        <v>1191</v>
      </c>
      <c r="G924" s="38">
        <v>5.047288728079E12</v>
      </c>
      <c r="H924" s="38" t="s">
        <v>1192</v>
      </c>
      <c r="I924" s="38" t="s">
        <v>1193</v>
      </c>
      <c r="J924" s="38" t="s">
        <v>530</v>
      </c>
      <c r="K924" s="38" t="s">
        <v>63</v>
      </c>
      <c r="L924" s="41">
        <v>46012.875</v>
      </c>
      <c r="M924" s="38" t="s">
        <v>123</v>
      </c>
      <c r="N924" s="41">
        <v>46013.0</v>
      </c>
      <c r="O924" s="38" t="s">
        <v>123</v>
      </c>
      <c r="P924" s="38">
        <v>10800.0</v>
      </c>
      <c r="Q924" s="39"/>
      <c r="R924" s="39"/>
      <c r="S924" s="39"/>
      <c r="T924" s="39"/>
      <c r="U924" s="39"/>
    </row>
    <row r="925">
      <c r="A925" s="40">
        <f t="shared" si="1"/>
        <v>46006</v>
      </c>
      <c r="B925" s="37" t="str">
        <f t="array" ref="B925">iferror(xlookup($I925, 'IMPORT VHC Report'!$E:$E, 'IMPORT VHC Report'!$A:$C), )</f>
        <v/>
      </c>
      <c r="C925" s="37"/>
      <c r="D925" s="37"/>
      <c r="E925" s="38" t="s">
        <v>1219</v>
      </c>
      <c r="F925" s="38" t="s">
        <v>1191</v>
      </c>
      <c r="G925" s="38">
        <v>5.047288728079E12</v>
      </c>
      <c r="H925" s="38" t="s">
        <v>1192</v>
      </c>
      <c r="I925" s="38" t="s">
        <v>1193</v>
      </c>
      <c r="J925" s="38" t="s">
        <v>134</v>
      </c>
      <c r="K925" s="38" t="s">
        <v>126</v>
      </c>
      <c r="L925" s="41">
        <v>46012.958333333336</v>
      </c>
      <c r="M925" s="38" t="s">
        <v>123</v>
      </c>
      <c r="N925" s="41">
        <v>46012.979166666664</v>
      </c>
      <c r="O925" s="38" t="s">
        <v>123</v>
      </c>
      <c r="P925" s="38">
        <v>1800.0</v>
      </c>
      <c r="Q925" s="39"/>
      <c r="R925" s="39"/>
      <c r="S925" s="39"/>
      <c r="T925" s="39"/>
      <c r="U925" s="39"/>
    </row>
    <row r="926">
      <c r="A926" s="40">
        <f t="shared" si="1"/>
        <v>46006</v>
      </c>
      <c r="B926" s="37" t="str">
        <f t="array" ref="B926">iferror(xlookup($I926, 'IMPORT VHC Report'!$E:$E, 'IMPORT VHC Report'!$A:$C), )</f>
        <v/>
      </c>
      <c r="C926" s="37"/>
      <c r="D926" s="37"/>
      <c r="E926" s="38" t="s">
        <v>1220</v>
      </c>
      <c r="F926" s="38" t="s">
        <v>1221</v>
      </c>
      <c r="G926" s="38">
        <v>3.61725115656E11</v>
      </c>
      <c r="H926" s="38" t="s">
        <v>1222</v>
      </c>
      <c r="I926" s="38" t="s">
        <v>1223</v>
      </c>
      <c r="J926" s="38" t="s">
        <v>530</v>
      </c>
      <c r="K926" s="38" t="s">
        <v>63</v>
      </c>
      <c r="L926" s="41">
        <v>46006.0</v>
      </c>
      <c r="M926" s="38" t="s">
        <v>123</v>
      </c>
      <c r="N926" s="41">
        <v>46006.25</v>
      </c>
      <c r="O926" s="38" t="s">
        <v>123</v>
      </c>
      <c r="P926" s="38">
        <v>21600.0</v>
      </c>
      <c r="Q926" s="39"/>
      <c r="R926" s="39"/>
      <c r="S926" s="39"/>
      <c r="T926" s="39"/>
      <c r="U926" s="39"/>
    </row>
    <row r="927">
      <c r="A927" s="40">
        <f t="shared" si="1"/>
        <v>46006</v>
      </c>
      <c r="B927" s="37" t="str">
        <f t="array" ref="B927">iferror(xlookup($I927, 'IMPORT VHC Report'!$E:$E, 'IMPORT VHC Report'!$A:$C), )</f>
        <v/>
      </c>
      <c r="C927" s="37"/>
      <c r="D927" s="37"/>
      <c r="E927" s="38" t="s">
        <v>1224</v>
      </c>
      <c r="F927" s="38" t="s">
        <v>1221</v>
      </c>
      <c r="G927" s="38">
        <v>3.61725115656E11</v>
      </c>
      <c r="H927" s="38" t="s">
        <v>1222</v>
      </c>
      <c r="I927" s="38" t="s">
        <v>1223</v>
      </c>
      <c r="J927" s="38" t="s">
        <v>132</v>
      </c>
      <c r="K927" s="38" t="s">
        <v>126</v>
      </c>
      <c r="L927" s="41">
        <v>46006.145833333336</v>
      </c>
      <c r="M927" s="38" t="s">
        <v>123</v>
      </c>
      <c r="N927" s="41">
        <v>46006.1875</v>
      </c>
      <c r="O927" s="38" t="s">
        <v>123</v>
      </c>
      <c r="P927" s="38">
        <v>3600.0</v>
      </c>
      <c r="Q927" s="39"/>
      <c r="R927" s="39"/>
      <c r="S927" s="39"/>
      <c r="T927" s="39"/>
      <c r="U927" s="39"/>
    </row>
    <row r="928">
      <c r="A928" s="40">
        <f t="shared" si="1"/>
        <v>46006</v>
      </c>
      <c r="B928" s="37" t="str">
        <f t="array" ref="B928">iferror(xlookup($I928, 'IMPORT VHC Report'!$E:$E, 'IMPORT VHC Report'!$A:$C), )</f>
        <v/>
      </c>
      <c r="C928" s="37"/>
      <c r="D928" s="37"/>
      <c r="E928" s="38" t="s">
        <v>1225</v>
      </c>
      <c r="F928" s="38" t="s">
        <v>1221</v>
      </c>
      <c r="G928" s="38">
        <v>3.61725115656E11</v>
      </c>
      <c r="H928" s="38" t="s">
        <v>1222</v>
      </c>
      <c r="I928" s="38" t="s">
        <v>1223</v>
      </c>
      <c r="J928" s="38" t="s">
        <v>134</v>
      </c>
      <c r="K928" s="38" t="s">
        <v>126</v>
      </c>
      <c r="L928" s="41">
        <v>46006.1875</v>
      </c>
      <c r="M928" s="38" t="s">
        <v>123</v>
      </c>
      <c r="N928" s="41">
        <v>46006.208333333336</v>
      </c>
      <c r="O928" s="38" t="s">
        <v>123</v>
      </c>
      <c r="P928" s="38">
        <v>1800.0</v>
      </c>
      <c r="Q928" s="39"/>
      <c r="R928" s="39"/>
      <c r="S928" s="39"/>
      <c r="T928" s="39"/>
      <c r="U928" s="39"/>
    </row>
    <row r="929">
      <c r="A929" s="40">
        <f t="shared" si="1"/>
        <v>46006</v>
      </c>
      <c r="B929" s="37" t="str">
        <f t="array" ref="B929">iferror(xlookup($I929, 'IMPORT VHC Report'!$E:$E, 'IMPORT VHC Report'!$A:$C), )</f>
        <v/>
      </c>
      <c r="C929" s="37"/>
      <c r="D929" s="37"/>
      <c r="E929" s="38" t="s">
        <v>1226</v>
      </c>
      <c r="F929" s="38" t="s">
        <v>1221</v>
      </c>
      <c r="G929" s="38">
        <v>3.61725115656E11</v>
      </c>
      <c r="H929" s="38" t="s">
        <v>1222</v>
      </c>
      <c r="I929" s="38" t="s">
        <v>1223</v>
      </c>
      <c r="J929" s="38" t="s">
        <v>4</v>
      </c>
      <c r="K929" s="38" t="s">
        <v>126</v>
      </c>
      <c r="L929" s="41">
        <v>46006.875</v>
      </c>
      <c r="M929" s="38" t="s">
        <v>123</v>
      </c>
      <c r="N929" s="41">
        <v>46006.895833333336</v>
      </c>
      <c r="O929" s="38" t="s">
        <v>123</v>
      </c>
      <c r="P929" s="38">
        <v>1800.0</v>
      </c>
      <c r="Q929" s="39"/>
      <c r="R929" s="39"/>
      <c r="S929" s="39"/>
      <c r="T929" s="39"/>
      <c r="U929" s="39"/>
    </row>
    <row r="930">
      <c r="A930" s="40">
        <f t="shared" si="1"/>
        <v>46006</v>
      </c>
      <c r="B930" s="37" t="str">
        <f t="array" ref="B930">iferror(xlookup($I930, 'IMPORT VHC Report'!$E:$E, 'IMPORT VHC Report'!$A:$C), )</f>
        <v/>
      </c>
      <c r="C930" s="37"/>
      <c r="D930" s="37"/>
      <c r="E930" s="38" t="s">
        <v>1227</v>
      </c>
      <c r="F930" s="38" t="s">
        <v>1221</v>
      </c>
      <c r="G930" s="38">
        <v>3.61725115656E11</v>
      </c>
      <c r="H930" s="38" t="s">
        <v>1222</v>
      </c>
      <c r="I930" s="38" t="s">
        <v>1223</v>
      </c>
      <c r="J930" s="38" t="s">
        <v>530</v>
      </c>
      <c r="K930" s="38" t="s">
        <v>63</v>
      </c>
      <c r="L930" s="41">
        <v>46006.875</v>
      </c>
      <c r="M930" s="38" t="s">
        <v>123</v>
      </c>
      <c r="N930" s="41">
        <v>46007.25</v>
      </c>
      <c r="O930" s="38" t="s">
        <v>123</v>
      </c>
      <c r="P930" s="38">
        <v>32400.0</v>
      </c>
      <c r="Q930" s="39"/>
      <c r="R930" s="39"/>
      <c r="S930" s="39"/>
      <c r="T930" s="39"/>
      <c r="U930" s="39"/>
    </row>
    <row r="931">
      <c r="A931" s="40">
        <f t="shared" si="1"/>
        <v>46006</v>
      </c>
      <c r="B931" s="37" t="str">
        <f t="array" ref="B931">iferror(xlookup($I931, 'IMPORT VHC Report'!$E:$E, 'IMPORT VHC Report'!$A:$C), )</f>
        <v/>
      </c>
      <c r="C931" s="37"/>
      <c r="D931" s="37"/>
      <c r="E931" s="38" t="s">
        <v>1228</v>
      </c>
      <c r="F931" s="38" t="s">
        <v>1221</v>
      </c>
      <c r="G931" s="38">
        <v>3.61725115656E11</v>
      </c>
      <c r="H931" s="38" t="s">
        <v>1222</v>
      </c>
      <c r="I931" s="38" t="s">
        <v>1223</v>
      </c>
      <c r="J931" s="38" t="s">
        <v>132</v>
      </c>
      <c r="K931" s="38" t="s">
        <v>126</v>
      </c>
      <c r="L931" s="41">
        <v>46007.104166666664</v>
      </c>
      <c r="M931" s="38" t="s">
        <v>123</v>
      </c>
      <c r="N931" s="41">
        <v>46007.145833333336</v>
      </c>
      <c r="O931" s="38" t="s">
        <v>123</v>
      </c>
      <c r="P931" s="38">
        <v>3600.0</v>
      </c>
      <c r="Q931" s="39"/>
      <c r="R931" s="39"/>
      <c r="S931" s="39"/>
      <c r="T931" s="39"/>
      <c r="U931" s="39"/>
    </row>
    <row r="932">
      <c r="A932" s="40">
        <f t="shared" si="1"/>
        <v>46006</v>
      </c>
      <c r="B932" s="37" t="str">
        <f t="array" ref="B932">iferror(xlookup($I932, 'IMPORT VHC Report'!$E:$E, 'IMPORT VHC Report'!$A:$C), )</f>
        <v/>
      </c>
      <c r="C932" s="37"/>
      <c r="D932" s="37"/>
      <c r="E932" s="38" t="s">
        <v>1229</v>
      </c>
      <c r="F932" s="38" t="s">
        <v>1221</v>
      </c>
      <c r="G932" s="38">
        <v>3.61725115656E11</v>
      </c>
      <c r="H932" s="38" t="s">
        <v>1222</v>
      </c>
      <c r="I932" s="38" t="s">
        <v>1223</v>
      </c>
      <c r="J932" s="38" t="s">
        <v>134</v>
      </c>
      <c r="K932" s="38" t="s">
        <v>126</v>
      </c>
      <c r="L932" s="41">
        <v>46007.145833333336</v>
      </c>
      <c r="M932" s="38" t="s">
        <v>123</v>
      </c>
      <c r="N932" s="41">
        <v>46007.166666666664</v>
      </c>
      <c r="O932" s="38" t="s">
        <v>123</v>
      </c>
      <c r="P932" s="38">
        <v>1800.0</v>
      </c>
      <c r="Q932" s="39"/>
      <c r="R932" s="39"/>
      <c r="S932" s="39"/>
      <c r="T932" s="39"/>
      <c r="U932" s="39"/>
    </row>
    <row r="933">
      <c r="A933" s="40">
        <f t="shared" si="1"/>
        <v>46006</v>
      </c>
      <c r="B933" s="37" t="str">
        <f t="array" ref="B933">iferror(xlookup($I933, 'IMPORT VHC Report'!$E:$E, 'IMPORT VHC Report'!$A:$C), )</f>
        <v/>
      </c>
      <c r="C933" s="37"/>
      <c r="D933" s="37"/>
      <c r="E933" s="38" t="s">
        <v>1230</v>
      </c>
      <c r="F933" s="38" t="s">
        <v>1221</v>
      </c>
      <c r="G933" s="38">
        <v>3.61725115656E11</v>
      </c>
      <c r="H933" s="38" t="s">
        <v>1222</v>
      </c>
      <c r="I933" s="38" t="s">
        <v>1223</v>
      </c>
      <c r="J933" s="38" t="s">
        <v>4</v>
      </c>
      <c r="K933" s="38" t="s">
        <v>126</v>
      </c>
      <c r="L933" s="41">
        <v>46007.875</v>
      </c>
      <c r="M933" s="38" t="s">
        <v>123</v>
      </c>
      <c r="N933" s="41">
        <v>46007.895833333336</v>
      </c>
      <c r="O933" s="38" t="s">
        <v>123</v>
      </c>
      <c r="P933" s="38">
        <v>1800.0</v>
      </c>
      <c r="Q933" s="39"/>
      <c r="R933" s="39"/>
      <c r="S933" s="39"/>
      <c r="T933" s="39"/>
      <c r="U933" s="39"/>
    </row>
    <row r="934">
      <c r="A934" s="40">
        <f t="shared" si="1"/>
        <v>46006</v>
      </c>
      <c r="B934" s="37" t="str">
        <f t="array" ref="B934">iferror(xlookup($I934, 'IMPORT VHC Report'!$E:$E, 'IMPORT VHC Report'!$A:$C), )</f>
        <v/>
      </c>
      <c r="C934" s="37"/>
      <c r="D934" s="37"/>
      <c r="E934" s="38" t="s">
        <v>1231</v>
      </c>
      <c r="F934" s="38" t="s">
        <v>1221</v>
      </c>
      <c r="G934" s="38">
        <v>3.61725115656E11</v>
      </c>
      <c r="H934" s="38" t="s">
        <v>1222</v>
      </c>
      <c r="I934" s="38" t="s">
        <v>1223</v>
      </c>
      <c r="J934" s="38" t="s">
        <v>530</v>
      </c>
      <c r="K934" s="38" t="s">
        <v>63</v>
      </c>
      <c r="L934" s="41">
        <v>46007.875</v>
      </c>
      <c r="M934" s="38" t="s">
        <v>123</v>
      </c>
      <c r="N934" s="41">
        <v>46008.25</v>
      </c>
      <c r="O934" s="38" t="s">
        <v>123</v>
      </c>
      <c r="P934" s="38">
        <v>32400.0</v>
      </c>
      <c r="Q934" s="39"/>
      <c r="R934" s="39"/>
      <c r="S934" s="39"/>
      <c r="T934" s="39"/>
      <c r="U934" s="39"/>
    </row>
    <row r="935">
      <c r="A935" s="40">
        <f t="shared" si="1"/>
        <v>46006</v>
      </c>
      <c r="B935" s="37" t="str">
        <f t="array" ref="B935">iferror(xlookup($I935, 'IMPORT VHC Report'!$E:$E, 'IMPORT VHC Report'!$A:$C), )</f>
        <v/>
      </c>
      <c r="C935" s="37"/>
      <c r="D935" s="37"/>
      <c r="E935" s="38" t="s">
        <v>1232</v>
      </c>
      <c r="F935" s="38" t="s">
        <v>1221</v>
      </c>
      <c r="G935" s="38">
        <v>3.61725115656E11</v>
      </c>
      <c r="H935" s="38" t="s">
        <v>1222</v>
      </c>
      <c r="I935" s="38" t="s">
        <v>1223</v>
      </c>
      <c r="J935" s="38" t="s">
        <v>4</v>
      </c>
      <c r="K935" s="38" t="s">
        <v>126</v>
      </c>
      <c r="L935" s="41">
        <v>46007.895833333336</v>
      </c>
      <c r="M935" s="38" t="s">
        <v>123</v>
      </c>
      <c r="N935" s="41">
        <v>46007.9375</v>
      </c>
      <c r="O935" s="38" t="s">
        <v>123</v>
      </c>
      <c r="P935" s="38">
        <v>3600.0</v>
      </c>
      <c r="Q935" s="39"/>
      <c r="R935" s="39"/>
      <c r="S935" s="38" t="s">
        <v>1209</v>
      </c>
      <c r="T935" s="39"/>
      <c r="U935" s="39"/>
    </row>
    <row r="936">
      <c r="A936" s="40">
        <f t="shared" si="1"/>
        <v>46006</v>
      </c>
      <c r="B936" s="37" t="str">
        <f t="array" ref="B936">iferror(xlookup($I936, 'IMPORT VHC Report'!$E:$E, 'IMPORT VHC Report'!$A:$C), )</f>
        <v/>
      </c>
      <c r="C936" s="37"/>
      <c r="D936" s="37"/>
      <c r="E936" s="38" t="s">
        <v>1233</v>
      </c>
      <c r="F936" s="38" t="s">
        <v>1221</v>
      </c>
      <c r="G936" s="38">
        <v>3.61725115656E11</v>
      </c>
      <c r="H936" s="38" t="s">
        <v>1222</v>
      </c>
      <c r="I936" s="38" t="s">
        <v>1223</v>
      </c>
      <c r="J936" s="38" t="s">
        <v>132</v>
      </c>
      <c r="K936" s="38" t="s">
        <v>126</v>
      </c>
      <c r="L936" s="41">
        <v>46008.1875</v>
      </c>
      <c r="M936" s="38" t="s">
        <v>123</v>
      </c>
      <c r="N936" s="41">
        <v>46008.229166666664</v>
      </c>
      <c r="O936" s="38" t="s">
        <v>123</v>
      </c>
      <c r="P936" s="38">
        <v>3600.0</v>
      </c>
      <c r="Q936" s="39"/>
      <c r="R936" s="39"/>
      <c r="S936" s="39"/>
      <c r="T936" s="39"/>
      <c r="U936" s="39"/>
    </row>
    <row r="937">
      <c r="A937" s="40">
        <f t="shared" si="1"/>
        <v>46006</v>
      </c>
      <c r="B937" s="37" t="str">
        <f t="array" ref="B937">iferror(xlookup($I937, 'IMPORT VHC Report'!$E:$E, 'IMPORT VHC Report'!$A:$C), )</f>
        <v/>
      </c>
      <c r="C937" s="37"/>
      <c r="D937" s="37"/>
      <c r="E937" s="38" t="s">
        <v>1234</v>
      </c>
      <c r="F937" s="38" t="s">
        <v>1221</v>
      </c>
      <c r="G937" s="38">
        <v>3.61725115656E11</v>
      </c>
      <c r="H937" s="38" t="s">
        <v>1222</v>
      </c>
      <c r="I937" s="38" t="s">
        <v>1223</v>
      </c>
      <c r="J937" s="38" t="s">
        <v>134</v>
      </c>
      <c r="K937" s="38" t="s">
        <v>126</v>
      </c>
      <c r="L937" s="41">
        <v>46008.229166666664</v>
      </c>
      <c r="M937" s="38" t="s">
        <v>123</v>
      </c>
      <c r="N937" s="41">
        <v>46008.25</v>
      </c>
      <c r="O937" s="38" t="s">
        <v>123</v>
      </c>
      <c r="P937" s="38">
        <v>1800.0</v>
      </c>
      <c r="Q937" s="39"/>
      <c r="R937" s="39"/>
      <c r="S937" s="39"/>
      <c r="T937" s="39"/>
      <c r="U937" s="39"/>
    </row>
    <row r="938">
      <c r="A938" s="40">
        <f t="shared" si="1"/>
        <v>46006</v>
      </c>
      <c r="B938" s="37" t="str">
        <f t="array" ref="B938">iferror(xlookup($I938, 'IMPORT VHC Report'!$E:$E, 'IMPORT VHC Report'!$A:$C), )</f>
        <v/>
      </c>
      <c r="C938" s="37"/>
      <c r="D938" s="37"/>
      <c r="E938" s="38" t="s">
        <v>1235</v>
      </c>
      <c r="F938" s="38" t="s">
        <v>1221</v>
      </c>
      <c r="G938" s="38">
        <v>3.61725115656E11</v>
      </c>
      <c r="H938" s="38" t="s">
        <v>1222</v>
      </c>
      <c r="I938" s="38" t="s">
        <v>1223</v>
      </c>
      <c r="J938" s="38" t="s">
        <v>4</v>
      </c>
      <c r="K938" s="38" t="s">
        <v>126</v>
      </c>
      <c r="L938" s="41">
        <v>46008.875</v>
      </c>
      <c r="M938" s="38" t="s">
        <v>123</v>
      </c>
      <c r="N938" s="41">
        <v>46008.895833333336</v>
      </c>
      <c r="O938" s="38" t="s">
        <v>123</v>
      </c>
      <c r="P938" s="38">
        <v>1800.0</v>
      </c>
      <c r="Q938" s="39"/>
      <c r="R938" s="39"/>
      <c r="S938" s="39"/>
      <c r="T938" s="39"/>
      <c r="U938" s="39"/>
    </row>
    <row r="939">
      <c r="A939" s="40">
        <f t="shared" si="1"/>
        <v>46006</v>
      </c>
      <c r="B939" s="37" t="str">
        <f t="array" ref="B939">iferror(xlookup($I939, 'IMPORT VHC Report'!$E:$E, 'IMPORT VHC Report'!$A:$C), )</f>
        <v/>
      </c>
      <c r="C939" s="37"/>
      <c r="D939" s="37"/>
      <c r="E939" s="38" t="s">
        <v>1236</v>
      </c>
      <c r="F939" s="38" t="s">
        <v>1221</v>
      </c>
      <c r="G939" s="38">
        <v>3.61725115656E11</v>
      </c>
      <c r="H939" s="38" t="s">
        <v>1222</v>
      </c>
      <c r="I939" s="38" t="s">
        <v>1223</v>
      </c>
      <c r="J939" s="38" t="s">
        <v>530</v>
      </c>
      <c r="K939" s="38" t="s">
        <v>63</v>
      </c>
      <c r="L939" s="41">
        <v>46008.875</v>
      </c>
      <c r="M939" s="38" t="s">
        <v>123</v>
      </c>
      <c r="N939" s="41">
        <v>46009.25</v>
      </c>
      <c r="O939" s="38" t="s">
        <v>123</v>
      </c>
      <c r="P939" s="38">
        <v>32400.0</v>
      </c>
      <c r="Q939" s="39"/>
      <c r="R939" s="39"/>
      <c r="S939" s="39"/>
      <c r="T939" s="39"/>
      <c r="U939" s="39"/>
    </row>
    <row r="940">
      <c r="A940" s="40">
        <f t="shared" si="1"/>
        <v>46006</v>
      </c>
      <c r="B940" s="37" t="str">
        <f t="array" ref="B940">iferror(xlookup($I940, 'IMPORT VHC Report'!$E:$E, 'IMPORT VHC Report'!$A:$C), )</f>
        <v/>
      </c>
      <c r="C940" s="37"/>
      <c r="D940" s="37"/>
      <c r="E940" s="38" t="s">
        <v>1237</v>
      </c>
      <c r="F940" s="38" t="s">
        <v>1221</v>
      </c>
      <c r="G940" s="38">
        <v>3.61725115656E11</v>
      </c>
      <c r="H940" s="38" t="s">
        <v>1222</v>
      </c>
      <c r="I940" s="38" t="s">
        <v>1223</v>
      </c>
      <c r="J940" s="38" t="s">
        <v>134</v>
      </c>
      <c r="K940" s="38" t="s">
        <v>126</v>
      </c>
      <c r="L940" s="41">
        <v>46009.041666666664</v>
      </c>
      <c r="M940" s="38" t="s">
        <v>123</v>
      </c>
      <c r="N940" s="41">
        <v>46009.0625</v>
      </c>
      <c r="O940" s="38" t="s">
        <v>123</v>
      </c>
      <c r="P940" s="38">
        <v>1800.0</v>
      </c>
      <c r="Q940" s="39"/>
      <c r="R940" s="39"/>
      <c r="S940" s="39"/>
      <c r="T940" s="39"/>
      <c r="U940" s="39"/>
    </row>
    <row r="941">
      <c r="A941" s="40">
        <f t="shared" si="1"/>
        <v>46006</v>
      </c>
      <c r="B941" s="37" t="str">
        <f t="array" ref="B941">iferror(xlookup($I941, 'IMPORT VHC Report'!$E:$E, 'IMPORT VHC Report'!$A:$C), )</f>
        <v/>
      </c>
      <c r="C941" s="37"/>
      <c r="D941" s="37"/>
      <c r="E941" s="38" t="s">
        <v>1238</v>
      </c>
      <c r="F941" s="38" t="s">
        <v>1221</v>
      </c>
      <c r="G941" s="38">
        <v>3.61725115656E11</v>
      </c>
      <c r="H941" s="38" t="s">
        <v>1222</v>
      </c>
      <c r="I941" s="38" t="s">
        <v>1223</v>
      </c>
      <c r="J941" s="38" t="s">
        <v>132</v>
      </c>
      <c r="K941" s="38" t="s">
        <v>126</v>
      </c>
      <c r="L941" s="41">
        <v>46009.208333333336</v>
      </c>
      <c r="M941" s="38" t="s">
        <v>123</v>
      </c>
      <c r="N941" s="41">
        <v>46009.25</v>
      </c>
      <c r="O941" s="38" t="s">
        <v>123</v>
      </c>
      <c r="P941" s="38">
        <v>3600.0</v>
      </c>
      <c r="Q941" s="39"/>
      <c r="R941" s="39"/>
      <c r="S941" s="39"/>
      <c r="T941" s="39"/>
      <c r="U941" s="39"/>
    </row>
    <row r="942">
      <c r="A942" s="40">
        <f t="shared" si="1"/>
        <v>46006</v>
      </c>
      <c r="B942" s="37" t="str">
        <f t="array" ref="B942">iferror(xlookup($I942, 'IMPORT VHC Report'!$E:$E, 'IMPORT VHC Report'!$A:$C), )</f>
        <v/>
      </c>
      <c r="C942" s="37"/>
      <c r="D942" s="37"/>
      <c r="E942" s="38" t="s">
        <v>1239</v>
      </c>
      <c r="F942" s="38" t="s">
        <v>1221</v>
      </c>
      <c r="G942" s="38">
        <v>3.61725115656E11</v>
      </c>
      <c r="H942" s="38" t="s">
        <v>1222</v>
      </c>
      <c r="I942" s="38" t="s">
        <v>1223</v>
      </c>
      <c r="J942" s="38" t="s">
        <v>4</v>
      </c>
      <c r="K942" s="38" t="s">
        <v>126</v>
      </c>
      <c r="L942" s="41">
        <v>46009.875</v>
      </c>
      <c r="M942" s="38" t="s">
        <v>123</v>
      </c>
      <c r="N942" s="41">
        <v>46009.895833333336</v>
      </c>
      <c r="O942" s="38" t="s">
        <v>123</v>
      </c>
      <c r="P942" s="38">
        <v>1800.0</v>
      </c>
      <c r="Q942" s="39"/>
      <c r="R942" s="39"/>
      <c r="S942" s="39"/>
      <c r="T942" s="39"/>
      <c r="U942" s="39"/>
    </row>
    <row r="943">
      <c r="A943" s="40">
        <f t="shared" si="1"/>
        <v>46006</v>
      </c>
      <c r="B943" s="37" t="str">
        <f t="array" ref="B943">iferror(xlookup($I943, 'IMPORT VHC Report'!$E:$E, 'IMPORT VHC Report'!$A:$C), )</f>
        <v/>
      </c>
      <c r="C943" s="37"/>
      <c r="D943" s="37"/>
      <c r="E943" s="38" t="s">
        <v>1240</v>
      </c>
      <c r="F943" s="38" t="s">
        <v>1221</v>
      </c>
      <c r="G943" s="38">
        <v>3.61725115656E11</v>
      </c>
      <c r="H943" s="38" t="s">
        <v>1222</v>
      </c>
      <c r="I943" s="38" t="s">
        <v>1223</v>
      </c>
      <c r="J943" s="38" t="s">
        <v>530</v>
      </c>
      <c r="K943" s="38" t="s">
        <v>63</v>
      </c>
      <c r="L943" s="41">
        <v>46009.875</v>
      </c>
      <c r="M943" s="38" t="s">
        <v>123</v>
      </c>
      <c r="N943" s="41">
        <v>46010.25</v>
      </c>
      <c r="O943" s="38" t="s">
        <v>123</v>
      </c>
      <c r="P943" s="38">
        <v>32400.0</v>
      </c>
      <c r="Q943" s="39"/>
      <c r="R943" s="39"/>
      <c r="S943" s="39"/>
      <c r="T943" s="39"/>
      <c r="U943" s="39"/>
    </row>
    <row r="944">
      <c r="A944" s="40">
        <f t="shared" si="1"/>
        <v>46006</v>
      </c>
      <c r="B944" s="37" t="str">
        <f t="array" ref="B944">iferror(xlookup($I944, 'IMPORT VHC Report'!$E:$E, 'IMPORT VHC Report'!$A:$C), )</f>
        <v/>
      </c>
      <c r="C944" s="37"/>
      <c r="D944" s="37"/>
      <c r="E944" s="38" t="s">
        <v>1241</v>
      </c>
      <c r="F944" s="38" t="s">
        <v>1221</v>
      </c>
      <c r="G944" s="38">
        <v>3.61725115656E11</v>
      </c>
      <c r="H944" s="38" t="s">
        <v>1222</v>
      </c>
      <c r="I944" s="38" t="s">
        <v>1223</v>
      </c>
      <c r="J944" s="38" t="s">
        <v>134</v>
      </c>
      <c r="K944" s="38" t="s">
        <v>126</v>
      </c>
      <c r="L944" s="41">
        <v>46010.041666666664</v>
      </c>
      <c r="M944" s="38" t="s">
        <v>123</v>
      </c>
      <c r="N944" s="41">
        <v>46010.0625</v>
      </c>
      <c r="O944" s="38" t="s">
        <v>123</v>
      </c>
      <c r="P944" s="38">
        <v>1800.0</v>
      </c>
      <c r="Q944" s="39"/>
      <c r="R944" s="39"/>
      <c r="S944" s="39"/>
      <c r="T944" s="39"/>
      <c r="U944" s="39"/>
    </row>
    <row r="945">
      <c r="A945" s="40">
        <f t="shared" si="1"/>
        <v>46006</v>
      </c>
      <c r="B945" s="37" t="str">
        <f t="array" ref="B945">iferror(xlookup($I945, 'IMPORT VHC Report'!$E:$E, 'IMPORT VHC Report'!$A:$C), )</f>
        <v/>
      </c>
      <c r="C945" s="37"/>
      <c r="D945" s="37"/>
      <c r="E945" s="38" t="s">
        <v>1242</v>
      </c>
      <c r="F945" s="38" t="s">
        <v>1221</v>
      </c>
      <c r="G945" s="38">
        <v>3.61725115656E11</v>
      </c>
      <c r="H945" s="38" t="s">
        <v>1222</v>
      </c>
      <c r="I945" s="38" t="s">
        <v>1223</v>
      </c>
      <c r="J945" s="38" t="s">
        <v>132</v>
      </c>
      <c r="K945" s="38" t="s">
        <v>126</v>
      </c>
      <c r="L945" s="41">
        <v>46010.15625</v>
      </c>
      <c r="M945" s="38" t="s">
        <v>123</v>
      </c>
      <c r="N945" s="41">
        <v>46010.197916666664</v>
      </c>
      <c r="O945" s="38" t="s">
        <v>123</v>
      </c>
      <c r="P945" s="38">
        <v>3600.0</v>
      </c>
      <c r="Q945" s="39"/>
      <c r="R945" s="39"/>
      <c r="S945" s="39"/>
      <c r="T945" s="39"/>
      <c r="U945" s="39"/>
    </row>
    <row r="946">
      <c r="A946" s="40">
        <f t="shared" si="1"/>
        <v>46006</v>
      </c>
      <c r="B946" s="37" t="str">
        <f t="array" ref="B946">iferror(xlookup($I946, 'IMPORT VHC Report'!$E:$E, 'IMPORT VHC Report'!$A:$C), )</f>
        <v/>
      </c>
      <c r="C946" s="37"/>
      <c r="D946" s="37"/>
      <c r="E946" s="38" t="s">
        <v>1243</v>
      </c>
      <c r="F946" s="38" t="s">
        <v>1221</v>
      </c>
      <c r="G946" s="38">
        <v>3.61725115656E11</v>
      </c>
      <c r="H946" s="38" t="s">
        <v>1222</v>
      </c>
      <c r="I946" s="38" t="s">
        <v>1223</v>
      </c>
      <c r="J946" s="38" t="s">
        <v>4</v>
      </c>
      <c r="K946" s="38" t="s">
        <v>126</v>
      </c>
      <c r="L946" s="41">
        <v>46012.875</v>
      </c>
      <c r="M946" s="38" t="s">
        <v>123</v>
      </c>
      <c r="N946" s="41">
        <v>46012.895833333336</v>
      </c>
      <c r="O946" s="38" t="s">
        <v>123</v>
      </c>
      <c r="P946" s="38">
        <v>1800.0</v>
      </c>
      <c r="Q946" s="39"/>
      <c r="R946" s="39"/>
      <c r="S946" s="39"/>
      <c r="T946" s="39"/>
      <c r="U946" s="39"/>
    </row>
    <row r="947">
      <c r="A947" s="40">
        <f t="shared" si="1"/>
        <v>46006</v>
      </c>
      <c r="B947" s="37" t="str">
        <f t="array" ref="B947">iferror(xlookup($I947, 'IMPORT VHC Report'!$E:$E, 'IMPORT VHC Report'!$A:$C), )</f>
        <v/>
      </c>
      <c r="C947" s="37"/>
      <c r="D947" s="37"/>
      <c r="E947" s="38" t="s">
        <v>1244</v>
      </c>
      <c r="F947" s="38" t="s">
        <v>1221</v>
      </c>
      <c r="G947" s="38">
        <v>3.61725115656E11</v>
      </c>
      <c r="H947" s="38" t="s">
        <v>1222</v>
      </c>
      <c r="I947" s="38" t="s">
        <v>1223</v>
      </c>
      <c r="J947" s="38" t="s">
        <v>530</v>
      </c>
      <c r="K947" s="38" t="s">
        <v>63</v>
      </c>
      <c r="L947" s="41">
        <v>46012.875</v>
      </c>
      <c r="M947" s="38" t="s">
        <v>123</v>
      </c>
      <c r="N947" s="41">
        <v>46013.0</v>
      </c>
      <c r="O947" s="38" t="s">
        <v>123</v>
      </c>
      <c r="P947" s="38">
        <v>10800.0</v>
      </c>
      <c r="Q947" s="39"/>
      <c r="R947" s="39"/>
      <c r="S947" s="39"/>
      <c r="T947" s="39"/>
      <c r="U947" s="39"/>
    </row>
    <row r="948">
      <c r="A948" s="40">
        <f t="shared" si="1"/>
        <v>46006</v>
      </c>
      <c r="B948" s="37" t="str">
        <f t="array" ref="B948">iferror(xlookup($I948, 'IMPORT VHC Report'!$E:$E, 'IMPORT VHC Report'!$A:$C), )</f>
        <v/>
      </c>
      <c r="C948" s="37"/>
      <c r="D948" s="37"/>
      <c r="E948" s="38" t="s">
        <v>1245</v>
      </c>
      <c r="F948" s="38" t="s">
        <v>1221</v>
      </c>
      <c r="G948" s="38">
        <v>3.61725115656E11</v>
      </c>
      <c r="H948" s="38" t="s">
        <v>1222</v>
      </c>
      <c r="I948" s="38" t="s">
        <v>1223</v>
      </c>
      <c r="J948" s="38" t="s">
        <v>134</v>
      </c>
      <c r="K948" s="38" t="s">
        <v>126</v>
      </c>
      <c r="L948" s="41">
        <v>46012.979166666664</v>
      </c>
      <c r="M948" s="38" t="s">
        <v>123</v>
      </c>
      <c r="N948" s="41">
        <v>46013.0</v>
      </c>
      <c r="O948" s="38" t="s">
        <v>123</v>
      </c>
      <c r="P948" s="38">
        <v>1800.0</v>
      </c>
      <c r="Q948" s="39"/>
      <c r="R948" s="39"/>
      <c r="S948" s="39"/>
      <c r="T948" s="39"/>
      <c r="U948" s="39"/>
    </row>
    <row r="949">
      <c r="A949" s="40">
        <f t="shared" si="1"/>
        <v>46006</v>
      </c>
      <c r="B949" s="37" t="str">
        <f t="array" ref="B949">iferror(xlookup($I949, 'IMPORT VHC Report'!$E:$E, 'IMPORT VHC Report'!$A:$C), )</f>
        <v/>
      </c>
      <c r="C949" s="37"/>
      <c r="D949" s="37"/>
      <c r="E949" s="38" t="s">
        <v>1246</v>
      </c>
      <c r="F949" s="38" t="s">
        <v>1247</v>
      </c>
      <c r="G949" s="38">
        <v>9.285106592655E12</v>
      </c>
      <c r="H949" s="38" t="s">
        <v>1248</v>
      </c>
      <c r="I949" s="38" t="s">
        <v>1249</v>
      </c>
      <c r="J949" s="38" t="s">
        <v>332</v>
      </c>
      <c r="K949" s="38" t="s">
        <v>63</v>
      </c>
      <c r="L949" s="41">
        <v>46006.0</v>
      </c>
      <c r="M949" s="38" t="s">
        <v>123</v>
      </c>
      <c r="N949" s="41">
        <v>46006.25</v>
      </c>
      <c r="O949" s="38" t="s">
        <v>123</v>
      </c>
      <c r="P949" s="38">
        <v>21600.0</v>
      </c>
      <c r="Q949" s="39"/>
      <c r="R949" s="39"/>
      <c r="S949" s="39"/>
      <c r="T949" s="39"/>
      <c r="U949" s="39"/>
    </row>
    <row r="950">
      <c r="A950" s="40">
        <f t="shared" si="1"/>
        <v>46006</v>
      </c>
      <c r="B950" s="37" t="str">
        <f t="array" ref="B950">iferror(xlookup($I950, 'IMPORT VHC Report'!$E:$E, 'IMPORT VHC Report'!$A:$C), )</f>
        <v/>
      </c>
      <c r="C950" s="37"/>
      <c r="D950" s="37"/>
      <c r="E950" s="38" t="s">
        <v>1250</v>
      </c>
      <c r="F950" s="38" t="s">
        <v>1247</v>
      </c>
      <c r="G950" s="38">
        <v>9.285106592655E12</v>
      </c>
      <c r="H950" s="38" t="s">
        <v>1248</v>
      </c>
      <c r="I950" s="38" t="s">
        <v>1249</v>
      </c>
      <c r="J950" s="38" t="s">
        <v>132</v>
      </c>
      <c r="K950" s="38" t="s">
        <v>126</v>
      </c>
      <c r="L950" s="41">
        <v>46006.010416666664</v>
      </c>
      <c r="M950" s="38" t="s">
        <v>123</v>
      </c>
      <c r="N950" s="41">
        <v>46006.052083333336</v>
      </c>
      <c r="O950" s="38" t="s">
        <v>123</v>
      </c>
      <c r="P950" s="38">
        <v>3600.0</v>
      </c>
      <c r="Q950" s="39"/>
      <c r="R950" s="39"/>
      <c r="S950" s="39"/>
      <c r="T950" s="39"/>
      <c r="U950" s="39"/>
    </row>
    <row r="951">
      <c r="A951" s="40">
        <f t="shared" si="1"/>
        <v>46006</v>
      </c>
      <c r="B951" s="37" t="str">
        <f t="array" ref="B951">iferror(xlookup($I951, 'IMPORT VHC Report'!$E:$E, 'IMPORT VHC Report'!$A:$C), )</f>
        <v/>
      </c>
      <c r="C951" s="37"/>
      <c r="D951" s="37"/>
      <c r="E951" s="38" t="s">
        <v>1251</v>
      </c>
      <c r="F951" s="38" t="s">
        <v>1247</v>
      </c>
      <c r="G951" s="38">
        <v>9.285106592655E12</v>
      </c>
      <c r="H951" s="38" t="s">
        <v>1248</v>
      </c>
      <c r="I951" s="38" t="s">
        <v>1249</v>
      </c>
      <c r="J951" s="38" t="s">
        <v>330</v>
      </c>
      <c r="K951" s="38" t="s">
        <v>126</v>
      </c>
      <c r="L951" s="41">
        <v>46006.875</v>
      </c>
      <c r="M951" s="38" t="s">
        <v>123</v>
      </c>
      <c r="N951" s="41">
        <v>46006.881944444445</v>
      </c>
      <c r="O951" s="38" t="s">
        <v>123</v>
      </c>
      <c r="P951" s="38">
        <v>600.0</v>
      </c>
      <c r="Q951" s="39"/>
      <c r="R951" s="39"/>
      <c r="S951" s="39"/>
      <c r="T951" s="39"/>
      <c r="U951" s="39"/>
    </row>
    <row r="952">
      <c r="A952" s="40">
        <f t="shared" si="1"/>
        <v>46006</v>
      </c>
      <c r="B952" s="37" t="str">
        <f t="array" ref="B952">iferror(xlookup($I952, 'IMPORT VHC Report'!$E:$E, 'IMPORT VHC Report'!$A:$C), )</f>
        <v/>
      </c>
      <c r="C952" s="37"/>
      <c r="D952" s="37"/>
      <c r="E952" s="38" t="s">
        <v>1252</v>
      </c>
      <c r="F952" s="38" t="s">
        <v>1247</v>
      </c>
      <c r="G952" s="38">
        <v>9.285106592655E12</v>
      </c>
      <c r="H952" s="38" t="s">
        <v>1248</v>
      </c>
      <c r="I952" s="38" t="s">
        <v>1249</v>
      </c>
      <c r="J952" s="38" t="s">
        <v>332</v>
      </c>
      <c r="K952" s="38" t="s">
        <v>63</v>
      </c>
      <c r="L952" s="41">
        <v>46006.875</v>
      </c>
      <c r="M952" s="38" t="s">
        <v>123</v>
      </c>
      <c r="N952" s="41">
        <v>46007.25</v>
      </c>
      <c r="O952" s="38" t="s">
        <v>123</v>
      </c>
      <c r="P952" s="38">
        <v>32400.0</v>
      </c>
      <c r="Q952" s="39"/>
      <c r="R952" s="39"/>
      <c r="S952" s="39"/>
      <c r="T952" s="39"/>
      <c r="U952" s="39"/>
    </row>
    <row r="953">
      <c r="A953" s="40">
        <f t="shared" si="1"/>
        <v>46006</v>
      </c>
      <c r="B953" s="37" t="str">
        <f t="array" ref="B953">iferror(xlookup($I953, 'IMPORT VHC Report'!$E:$E, 'IMPORT VHC Report'!$A:$C), )</f>
        <v/>
      </c>
      <c r="C953" s="37"/>
      <c r="D953" s="37"/>
      <c r="E953" s="38" t="s">
        <v>1253</v>
      </c>
      <c r="F953" s="38" t="s">
        <v>1247</v>
      </c>
      <c r="G953" s="38">
        <v>9.285106592655E12</v>
      </c>
      <c r="H953" s="38" t="s">
        <v>1248</v>
      </c>
      <c r="I953" s="38" t="s">
        <v>1249</v>
      </c>
      <c r="J953" s="38" t="s">
        <v>132</v>
      </c>
      <c r="K953" s="38" t="s">
        <v>126</v>
      </c>
      <c r="L953" s="41">
        <v>46006.979166666664</v>
      </c>
      <c r="M953" s="38" t="s">
        <v>123</v>
      </c>
      <c r="N953" s="41">
        <v>46007.020833333336</v>
      </c>
      <c r="O953" s="38" t="s">
        <v>123</v>
      </c>
      <c r="P953" s="38">
        <v>3600.0</v>
      </c>
      <c r="Q953" s="39"/>
      <c r="R953" s="39"/>
      <c r="S953" s="39"/>
      <c r="T953" s="39"/>
      <c r="U953" s="39"/>
    </row>
    <row r="954">
      <c r="A954" s="40">
        <f t="shared" si="1"/>
        <v>46006</v>
      </c>
      <c r="B954" s="37" t="str">
        <f t="array" ref="B954">iferror(xlookup($I954, 'IMPORT VHC Report'!$E:$E, 'IMPORT VHC Report'!$A:$C), )</f>
        <v/>
      </c>
      <c r="C954" s="37"/>
      <c r="D954" s="37"/>
      <c r="E954" s="38" t="s">
        <v>1254</v>
      </c>
      <c r="F954" s="38" t="s">
        <v>1247</v>
      </c>
      <c r="G954" s="38">
        <v>9.285106592655E12</v>
      </c>
      <c r="H954" s="38" t="s">
        <v>1248</v>
      </c>
      <c r="I954" s="38" t="s">
        <v>1249</v>
      </c>
      <c r="J954" s="38" t="s">
        <v>134</v>
      </c>
      <c r="K954" s="38" t="s">
        <v>126</v>
      </c>
      <c r="L954" s="41">
        <v>46007.104166666664</v>
      </c>
      <c r="M954" s="38" t="s">
        <v>123</v>
      </c>
      <c r="N954" s="41">
        <v>46007.125</v>
      </c>
      <c r="O954" s="38" t="s">
        <v>123</v>
      </c>
      <c r="P954" s="38">
        <v>1800.0</v>
      </c>
      <c r="Q954" s="39"/>
      <c r="R954" s="39"/>
      <c r="S954" s="39"/>
      <c r="T954" s="39"/>
      <c r="U954" s="39"/>
    </row>
    <row r="955">
      <c r="A955" s="40">
        <f t="shared" si="1"/>
        <v>46006</v>
      </c>
      <c r="B955" s="37" t="str">
        <f t="array" ref="B955">iferror(xlookup($I955, 'IMPORT VHC Report'!$E:$E, 'IMPORT VHC Report'!$A:$C), )</f>
        <v/>
      </c>
      <c r="C955" s="37"/>
      <c r="D955" s="37"/>
      <c r="E955" s="38" t="s">
        <v>1255</v>
      </c>
      <c r="F955" s="38" t="s">
        <v>1247</v>
      </c>
      <c r="G955" s="38">
        <v>9.285106592655E12</v>
      </c>
      <c r="H955" s="38" t="s">
        <v>1248</v>
      </c>
      <c r="I955" s="38" t="s">
        <v>1249</v>
      </c>
      <c r="J955" s="38" t="s">
        <v>330</v>
      </c>
      <c r="K955" s="38" t="s">
        <v>126</v>
      </c>
      <c r="L955" s="41">
        <v>46007.875</v>
      </c>
      <c r="M955" s="38" t="s">
        <v>123</v>
      </c>
      <c r="N955" s="41">
        <v>46007.881944444445</v>
      </c>
      <c r="O955" s="38" t="s">
        <v>123</v>
      </c>
      <c r="P955" s="38">
        <v>600.0</v>
      </c>
      <c r="Q955" s="39"/>
      <c r="R955" s="39"/>
      <c r="S955" s="39"/>
      <c r="T955" s="39"/>
      <c r="U955" s="39"/>
    </row>
    <row r="956">
      <c r="A956" s="40">
        <f t="shared" si="1"/>
        <v>46006</v>
      </c>
      <c r="B956" s="37" t="str">
        <f t="array" ref="B956">iferror(xlookup($I956, 'IMPORT VHC Report'!$E:$E, 'IMPORT VHC Report'!$A:$C), )</f>
        <v/>
      </c>
      <c r="C956" s="37"/>
      <c r="D956" s="37"/>
      <c r="E956" s="38" t="s">
        <v>1256</v>
      </c>
      <c r="F956" s="38" t="s">
        <v>1247</v>
      </c>
      <c r="G956" s="38">
        <v>9.285106592655E12</v>
      </c>
      <c r="H956" s="38" t="s">
        <v>1248</v>
      </c>
      <c r="I956" s="38" t="s">
        <v>1249</v>
      </c>
      <c r="J956" s="38" t="s">
        <v>332</v>
      </c>
      <c r="K956" s="38" t="s">
        <v>63</v>
      </c>
      <c r="L956" s="41">
        <v>46007.875</v>
      </c>
      <c r="M956" s="38" t="s">
        <v>123</v>
      </c>
      <c r="N956" s="41">
        <v>46008.25</v>
      </c>
      <c r="O956" s="38" t="s">
        <v>123</v>
      </c>
      <c r="P956" s="38">
        <v>32400.0</v>
      </c>
      <c r="Q956" s="39"/>
      <c r="R956" s="39"/>
      <c r="S956" s="39"/>
      <c r="T956" s="39"/>
      <c r="U956" s="39"/>
    </row>
    <row r="957">
      <c r="A957" s="40">
        <f t="shared" si="1"/>
        <v>46006</v>
      </c>
      <c r="B957" s="37" t="str">
        <f t="array" ref="B957">iferror(xlookup($I957, 'IMPORT VHC Report'!$E:$E, 'IMPORT VHC Report'!$A:$C), )</f>
        <v/>
      </c>
      <c r="C957" s="37"/>
      <c r="D957" s="37"/>
      <c r="E957" s="38" t="s">
        <v>1257</v>
      </c>
      <c r="F957" s="38" t="s">
        <v>1247</v>
      </c>
      <c r="G957" s="38">
        <v>9.285106592655E12</v>
      </c>
      <c r="H957" s="38" t="s">
        <v>1248</v>
      </c>
      <c r="I957" s="38" t="s">
        <v>1249</v>
      </c>
      <c r="J957" s="38" t="s">
        <v>132</v>
      </c>
      <c r="K957" s="38" t="s">
        <v>126</v>
      </c>
      <c r="L957" s="41">
        <v>46007.979166666664</v>
      </c>
      <c r="M957" s="38" t="s">
        <v>123</v>
      </c>
      <c r="N957" s="41">
        <v>46008.020833333336</v>
      </c>
      <c r="O957" s="38" t="s">
        <v>123</v>
      </c>
      <c r="P957" s="38">
        <v>3600.0</v>
      </c>
      <c r="Q957" s="39"/>
      <c r="R957" s="39"/>
      <c r="S957" s="39"/>
      <c r="T957" s="39"/>
      <c r="U957" s="39"/>
    </row>
    <row r="958">
      <c r="A958" s="40">
        <f t="shared" si="1"/>
        <v>46006</v>
      </c>
      <c r="B958" s="37" t="str">
        <f t="array" ref="B958">iferror(xlookup($I958, 'IMPORT VHC Report'!$E:$E, 'IMPORT VHC Report'!$A:$C), )</f>
        <v/>
      </c>
      <c r="C958" s="37"/>
      <c r="D958" s="37"/>
      <c r="E958" s="38" t="s">
        <v>1258</v>
      </c>
      <c r="F958" s="38" t="s">
        <v>1247</v>
      </c>
      <c r="G958" s="38">
        <v>9.285106592655E12</v>
      </c>
      <c r="H958" s="38" t="s">
        <v>1248</v>
      </c>
      <c r="I958" s="38" t="s">
        <v>1249</v>
      </c>
      <c r="J958" s="38" t="s">
        <v>134</v>
      </c>
      <c r="K958" s="38" t="s">
        <v>126</v>
      </c>
      <c r="L958" s="41">
        <v>46008.145833333336</v>
      </c>
      <c r="M958" s="38" t="s">
        <v>123</v>
      </c>
      <c r="N958" s="41">
        <v>46008.166666666664</v>
      </c>
      <c r="O958" s="38" t="s">
        <v>123</v>
      </c>
      <c r="P958" s="38">
        <v>1800.0</v>
      </c>
      <c r="Q958" s="39"/>
      <c r="R958" s="39"/>
      <c r="S958" s="39"/>
      <c r="T958" s="39"/>
      <c r="U958" s="39"/>
    </row>
    <row r="959">
      <c r="A959" s="40">
        <f t="shared" si="1"/>
        <v>46006</v>
      </c>
      <c r="B959" s="37" t="str">
        <f t="array" ref="B959">iferror(xlookup($I959, 'IMPORT VHC Report'!$E:$E, 'IMPORT VHC Report'!$A:$C), )</f>
        <v/>
      </c>
      <c r="C959" s="37"/>
      <c r="D959" s="37"/>
      <c r="E959" s="38" t="s">
        <v>1259</v>
      </c>
      <c r="F959" s="38" t="s">
        <v>1247</v>
      </c>
      <c r="G959" s="38">
        <v>9.285106592655E12</v>
      </c>
      <c r="H959" s="38" t="s">
        <v>1248</v>
      </c>
      <c r="I959" s="38" t="s">
        <v>1249</v>
      </c>
      <c r="J959" s="38" t="s">
        <v>4</v>
      </c>
      <c r="K959" s="38" t="s">
        <v>126</v>
      </c>
      <c r="L959" s="41">
        <v>46008.166666666664</v>
      </c>
      <c r="M959" s="38" t="s">
        <v>123</v>
      </c>
      <c r="N959" s="41">
        <v>46008.208333333336</v>
      </c>
      <c r="O959" s="38" t="s">
        <v>123</v>
      </c>
      <c r="P959" s="38">
        <v>3600.0</v>
      </c>
      <c r="Q959" s="39"/>
      <c r="R959" s="39"/>
      <c r="S959" s="38" t="s">
        <v>130</v>
      </c>
      <c r="T959" s="39"/>
      <c r="U959" s="39"/>
    </row>
    <row r="960">
      <c r="A960" s="40">
        <f t="shared" si="1"/>
        <v>46006</v>
      </c>
      <c r="B960" s="37" t="str">
        <f t="array" ref="B960">iferror(xlookup($I960, 'IMPORT VHC Report'!$E:$E, 'IMPORT VHC Report'!$A:$C), )</f>
        <v/>
      </c>
      <c r="C960" s="37"/>
      <c r="D960" s="37"/>
      <c r="E960" s="38" t="s">
        <v>1260</v>
      </c>
      <c r="F960" s="38" t="s">
        <v>1247</v>
      </c>
      <c r="G960" s="38">
        <v>9.285106592655E12</v>
      </c>
      <c r="H960" s="38" t="s">
        <v>1248</v>
      </c>
      <c r="I960" s="38" t="s">
        <v>1249</v>
      </c>
      <c r="J960" s="38" t="s">
        <v>4</v>
      </c>
      <c r="K960" s="38" t="s">
        <v>126</v>
      </c>
      <c r="L960" s="41">
        <v>46008.208333333336</v>
      </c>
      <c r="M960" s="38" t="s">
        <v>123</v>
      </c>
      <c r="N960" s="41">
        <v>46008.25</v>
      </c>
      <c r="O960" s="38" t="s">
        <v>123</v>
      </c>
      <c r="P960" s="38">
        <v>3600.0</v>
      </c>
      <c r="Q960" s="39"/>
      <c r="R960" s="39"/>
      <c r="S960" s="38" t="s">
        <v>336</v>
      </c>
      <c r="T960" s="39"/>
      <c r="U960" s="39"/>
    </row>
    <row r="961">
      <c r="A961" s="40">
        <f t="shared" si="1"/>
        <v>46006</v>
      </c>
      <c r="B961" s="37" t="str">
        <f t="array" ref="B961">iferror(xlookup($I961, 'IMPORT VHC Report'!$E:$E, 'IMPORT VHC Report'!$A:$C), )</f>
        <v/>
      </c>
      <c r="C961" s="37"/>
      <c r="D961" s="37"/>
      <c r="E961" s="38" t="s">
        <v>1261</v>
      </c>
      <c r="F961" s="38" t="s">
        <v>1247</v>
      </c>
      <c r="G961" s="38">
        <v>9.285106592655E12</v>
      </c>
      <c r="H961" s="38" t="s">
        <v>1248</v>
      </c>
      <c r="I961" s="38" t="s">
        <v>1249</v>
      </c>
      <c r="J961" s="38" t="s">
        <v>330</v>
      </c>
      <c r="K961" s="38" t="s">
        <v>126</v>
      </c>
      <c r="L961" s="41">
        <v>46008.875</v>
      </c>
      <c r="M961" s="38" t="s">
        <v>123</v>
      </c>
      <c r="N961" s="41">
        <v>46008.881944444445</v>
      </c>
      <c r="O961" s="38" t="s">
        <v>123</v>
      </c>
      <c r="P961" s="38">
        <v>600.0</v>
      </c>
      <c r="Q961" s="39"/>
      <c r="R961" s="39"/>
      <c r="S961" s="39"/>
      <c r="T961" s="39"/>
      <c r="U961" s="39"/>
    </row>
    <row r="962">
      <c r="A962" s="40">
        <f t="shared" si="1"/>
        <v>46006</v>
      </c>
      <c r="B962" s="37" t="str">
        <f t="array" ref="B962">iferror(xlookup($I962, 'IMPORT VHC Report'!$E:$E, 'IMPORT VHC Report'!$A:$C), )</f>
        <v/>
      </c>
      <c r="C962" s="37"/>
      <c r="D962" s="37"/>
      <c r="E962" s="38" t="s">
        <v>1262</v>
      </c>
      <c r="F962" s="38" t="s">
        <v>1247</v>
      </c>
      <c r="G962" s="38">
        <v>9.285106592655E12</v>
      </c>
      <c r="H962" s="38" t="s">
        <v>1248</v>
      </c>
      <c r="I962" s="38" t="s">
        <v>1249</v>
      </c>
      <c r="J962" s="38" t="s">
        <v>178</v>
      </c>
      <c r="K962" s="38" t="s">
        <v>153</v>
      </c>
      <c r="L962" s="41">
        <v>46008.875</v>
      </c>
      <c r="M962" s="38" t="s">
        <v>123</v>
      </c>
      <c r="N962" s="41">
        <v>46009.25</v>
      </c>
      <c r="O962" s="38" t="s">
        <v>123</v>
      </c>
      <c r="P962" s="38">
        <v>32400.0</v>
      </c>
      <c r="Q962" s="38">
        <v>28800.0</v>
      </c>
      <c r="R962" s="38" t="s">
        <v>1263</v>
      </c>
      <c r="S962" s="39"/>
      <c r="T962" s="39"/>
      <c r="U962" s="39"/>
    </row>
    <row r="963">
      <c r="A963" s="40">
        <f t="shared" si="1"/>
        <v>46006</v>
      </c>
      <c r="B963" s="37" t="str">
        <f t="array" ref="B963">iferror(xlookup($I963, 'IMPORT VHC Report'!$E:$E, 'IMPORT VHC Report'!$A:$C), )</f>
        <v/>
      </c>
      <c r="C963" s="37"/>
      <c r="D963" s="37"/>
      <c r="E963" s="38" t="s">
        <v>1264</v>
      </c>
      <c r="F963" s="38" t="s">
        <v>1247</v>
      </c>
      <c r="G963" s="38">
        <v>9.285106592655E12</v>
      </c>
      <c r="H963" s="38" t="s">
        <v>1248</v>
      </c>
      <c r="I963" s="38" t="s">
        <v>1249</v>
      </c>
      <c r="J963" s="38" t="s">
        <v>332</v>
      </c>
      <c r="K963" s="38" t="s">
        <v>63</v>
      </c>
      <c r="L963" s="41">
        <v>46008.875</v>
      </c>
      <c r="M963" s="38" t="s">
        <v>123</v>
      </c>
      <c r="N963" s="41">
        <v>46009.25</v>
      </c>
      <c r="O963" s="38" t="s">
        <v>123</v>
      </c>
      <c r="P963" s="38">
        <v>32400.0</v>
      </c>
      <c r="Q963" s="39"/>
      <c r="R963" s="39"/>
      <c r="S963" s="39"/>
      <c r="T963" s="39"/>
      <c r="U963" s="39"/>
    </row>
    <row r="964">
      <c r="A964" s="40">
        <f t="shared" si="1"/>
        <v>46006</v>
      </c>
      <c r="B964" s="37" t="str">
        <f t="array" ref="B964">iferror(xlookup($I964, 'IMPORT VHC Report'!$E:$E, 'IMPORT VHC Report'!$A:$C), )</f>
        <v/>
      </c>
      <c r="C964" s="37"/>
      <c r="D964" s="37"/>
      <c r="E964" s="38" t="s">
        <v>1265</v>
      </c>
      <c r="F964" s="38" t="s">
        <v>1247</v>
      </c>
      <c r="G964" s="38">
        <v>9.285106592655E12</v>
      </c>
      <c r="H964" s="38" t="s">
        <v>1248</v>
      </c>
      <c r="I964" s="38" t="s">
        <v>1249</v>
      </c>
      <c r="J964" s="38" t="s">
        <v>136</v>
      </c>
      <c r="K964" s="38" t="s">
        <v>126</v>
      </c>
      <c r="L964" s="41">
        <v>46008.916666666664</v>
      </c>
      <c r="M964" s="38" t="s">
        <v>123</v>
      </c>
      <c r="N964" s="41">
        <v>46008.958333333336</v>
      </c>
      <c r="O964" s="38" t="s">
        <v>123</v>
      </c>
      <c r="P964" s="38">
        <v>3600.0</v>
      </c>
      <c r="Q964" s="39"/>
      <c r="R964" s="39"/>
      <c r="S964" s="38" t="s">
        <v>137</v>
      </c>
      <c r="T964" s="39"/>
      <c r="U964" s="39"/>
    </row>
    <row r="965">
      <c r="A965" s="40">
        <f t="shared" si="1"/>
        <v>46006</v>
      </c>
      <c r="B965" s="37" t="str">
        <f t="array" ref="B965">iferror(xlookup($I965, 'IMPORT VHC Report'!$E:$E, 'IMPORT VHC Report'!$A:$C), )</f>
        <v/>
      </c>
      <c r="C965" s="37"/>
      <c r="D965" s="37"/>
      <c r="E965" s="38" t="s">
        <v>1266</v>
      </c>
      <c r="F965" s="38" t="s">
        <v>1247</v>
      </c>
      <c r="G965" s="38">
        <v>9.285106592655E12</v>
      </c>
      <c r="H965" s="38" t="s">
        <v>1248</v>
      </c>
      <c r="I965" s="38" t="s">
        <v>1249</v>
      </c>
      <c r="J965" s="38" t="s">
        <v>132</v>
      </c>
      <c r="K965" s="38" t="s">
        <v>126</v>
      </c>
      <c r="L965" s="41">
        <v>46008.958333333336</v>
      </c>
      <c r="M965" s="38" t="s">
        <v>123</v>
      </c>
      <c r="N965" s="41">
        <v>46009.0</v>
      </c>
      <c r="O965" s="38" t="s">
        <v>123</v>
      </c>
      <c r="P965" s="38">
        <v>3600.0</v>
      </c>
      <c r="Q965" s="39"/>
      <c r="R965" s="39"/>
      <c r="S965" s="39"/>
      <c r="T965" s="39"/>
      <c r="U965" s="39"/>
    </row>
    <row r="966">
      <c r="A966" s="40">
        <f t="shared" si="1"/>
        <v>46006</v>
      </c>
      <c r="B966" s="37" t="str">
        <f t="array" ref="B966">iferror(xlookup($I966, 'IMPORT VHC Report'!$E:$E, 'IMPORT VHC Report'!$A:$C), )</f>
        <v/>
      </c>
      <c r="C966" s="37"/>
      <c r="D966" s="37"/>
      <c r="E966" s="38" t="s">
        <v>1267</v>
      </c>
      <c r="F966" s="38" t="s">
        <v>1247</v>
      </c>
      <c r="G966" s="38">
        <v>9.285106592655E12</v>
      </c>
      <c r="H966" s="38" t="s">
        <v>1248</v>
      </c>
      <c r="I966" s="38" t="s">
        <v>1249</v>
      </c>
      <c r="J966" s="38" t="s">
        <v>134</v>
      </c>
      <c r="K966" s="38" t="s">
        <v>126</v>
      </c>
      <c r="L966" s="41">
        <v>46009.166666666664</v>
      </c>
      <c r="M966" s="38" t="s">
        <v>123</v>
      </c>
      <c r="N966" s="41">
        <v>46009.1875</v>
      </c>
      <c r="O966" s="38" t="s">
        <v>123</v>
      </c>
      <c r="P966" s="38">
        <v>1800.0</v>
      </c>
      <c r="Q966" s="39"/>
      <c r="R966" s="39"/>
      <c r="S966" s="39"/>
      <c r="T966" s="39"/>
      <c r="U966" s="39"/>
    </row>
    <row r="967">
      <c r="A967" s="40">
        <f t="shared" si="1"/>
        <v>46006</v>
      </c>
      <c r="B967" s="37" t="str">
        <f t="array" ref="B967">iferror(xlookup($I967, 'IMPORT VHC Report'!$E:$E, 'IMPORT VHC Report'!$A:$C), )</f>
        <v/>
      </c>
      <c r="C967" s="37"/>
      <c r="D967" s="37"/>
      <c r="E967" s="38" t="s">
        <v>1268</v>
      </c>
      <c r="F967" s="38" t="s">
        <v>1247</v>
      </c>
      <c r="G967" s="38">
        <v>9.285106592655E12</v>
      </c>
      <c r="H967" s="38" t="s">
        <v>1248</v>
      </c>
      <c r="I967" s="38" t="s">
        <v>1249</v>
      </c>
      <c r="J967" s="38" t="s">
        <v>330</v>
      </c>
      <c r="K967" s="38" t="s">
        <v>126</v>
      </c>
      <c r="L967" s="41">
        <v>46011.875</v>
      </c>
      <c r="M967" s="38" t="s">
        <v>123</v>
      </c>
      <c r="N967" s="41">
        <v>46011.881944444445</v>
      </c>
      <c r="O967" s="38" t="s">
        <v>123</v>
      </c>
      <c r="P967" s="38">
        <v>600.0</v>
      </c>
      <c r="Q967" s="39"/>
      <c r="R967" s="39"/>
      <c r="S967" s="39"/>
      <c r="T967" s="39"/>
      <c r="U967" s="39"/>
    </row>
    <row r="968">
      <c r="A968" s="40">
        <f t="shared" si="1"/>
        <v>46006</v>
      </c>
      <c r="B968" s="37" t="str">
        <f t="array" ref="B968">iferror(xlookup($I968, 'IMPORT VHC Report'!$E:$E, 'IMPORT VHC Report'!$A:$C), )</f>
        <v/>
      </c>
      <c r="C968" s="37"/>
      <c r="D968" s="37"/>
      <c r="E968" s="38" t="s">
        <v>1269</v>
      </c>
      <c r="F968" s="38" t="s">
        <v>1247</v>
      </c>
      <c r="G968" s="38">
        <v>9.285106592655E12</v>
      </c>
      <c r="H968" s="38" t="s">
        <v>1248</v>
      </c>
      <c r="I968" s="38" t="s">
        <v>1249</v>
      </c>
      <c r="J968" s="38" t="s">
        <v>332</v>
      </c>
      <c r="K968" s="38" t="s">
        <v>63</v>
      </c>
      <c r="L968" s="41">
        <v>46011.875</v>
      </c>
      <c r="M968" s="38" t="s">
        <v>123</v>
      </c>
      <c r="N968" s="41">
        <v>46012.25</v>
      </c>
      <c r="O968" s="38" t="s">
        <v>123</v>
      </c>
      <c r="P968" s="38">
        <v>32400.0</v>
      </c>
      <c r="Q968" s="39"/>
      <c r="R968" s="39"/>
      <c r="S968" s="39"/>
      <c r="T968" s="39"/>
      <c r="U968" s="39"/>
    </row>
    <row r="969">
      <c r="A969" s="40">
        <f t="shared" si="1"/>
        <v>46006</v>
      </c>
      <c r="B969" s="37" t="str">
        <f t="array" ref="B969">iferror(xlookup($I969, 'IMPORT VHC Report'!$E:$E, 'IMPORT VHC Report'!$A:$C), )</f>
        <v/>
      </c>
      <c r="C969" s="37"/>
      <c r="D969" s="37"/>
      <c r="E969" s="38" t="s">
        <v>1270</v>
      </c>
      <c r="F969" s="38" t="s">
        <v>1247</v>
      </c>
      <c r="G969" s="38">
        <v>9.285106592655E12</v>
      </c>
      <c r="H969" s="38" t="s">
        <v>1248</v>
      </c>
      <c r="I969" s="38" t="s">
        <v>1249</v>
      </c>
      <c r="J969" s="38" t="s">
        <v>132</v>
      </c>
      <c r="K969" s="38" t="s">
        <v>126</v>
      </c>
      <c r="L969" s="41">
        <v>46012.03125</v>
      </c>
      <c r="M969" s="38" t="s">
        <v>123</v>
      </c>
      <c r="N969" s="41">
        <v>46012.072916666664</v>
      </c>
      <c r="O969" s="38" t="s">
        <v>123</v>
      </c>
      <c r="P969" s="38">
        <v>3600.0</v>
      </c>
      <c r="Q969" s="39"/>
      <c r="R969" s="39"/>
      <c r="S969" s="39"/>
      <c r="T969" s="39"/>
      <c r="U969" s="39"/>
    </row>
    <row r="970">
      <c r="A970" s="40">
        <f t="shared" si="1"/>
        <v>46006</v>
      </c>
      <c r="B970" s="37" t="str">
        <f t="array" ref="B970">iferror(xlookup($I970, 'IMPORT VHC Report'!$E:$E, 'IMPORT VHC Report'!$A:$C), )</f>
        <v/>
      </c>
      <c r="C970" s="37"/>
      <c r="D970" s="37"/>
      <c r="E970" s="38" t="s">
        <v>1271</v>
      </c>
      <c r="F970" s="38" t="s">
        <v>1247</v>
      </c>
      <c r="G970" s="38">
        <v>9.285106592655E12</v>
      </c>
      <c r="H970" s="38" t="s">
        <v>1248</v>
      </c>
      <c r="I970" s="38" t="s">
        <v>1249</v>
      </c>
      <c r="J970" s="38" t="s">
        <v>134</v>
      </c>
      <c r="K970" s="38" t="s">
        <v>126</v>
      </c>
      <c r="L970" s="41">
        <v>46012.166666666664</v>
      </c>
      <c r="M970" s="38" t="s">
        <v>123</v>
      </c>
      <c r="N970" s="41">
        <v>46012.1875</v>
      </c>
      <c r="O970" s="38" t="s">
        <v>123</v>
      </c>
      <c r="P970" s="38">
        <v>1800.0</v>
      </c>
      <c r="Q970" s="39"/>
      <c r="R970" s="39"/>
      <c r="S970" s="39"/>
      <c r="T970" s="39"/>
      <c r="U970" s="39"/>
    </row>
    <row r="971">
      <c r="A971" s="40">
        <f t="shared" si="1"/>
        <v>46006</v>
      </c>
      <c r="B971" s="37" t="str">
        <f t="array" ref="B971">iferror(xlookup($I971, 'IMPORT VHC Report'!$E:$E, 'IMPORT VHC Report'!$A:$C), )</f>
        <v/>
      </c>
      <c r="C971" s="37"/>
      <c r="D971" s="37"/>
      <c r="E971" s="38" t="s">
        <v>1272</v>
      </c>
      <c r="F971" s="38" t="s">
        <v>1247</v>
      </c>
      <c r="G971" s="38">
        <v>9.285106592655E12</v>
      </c>
      <c r="H971" s="38" t="s">
        <v>1248</v>
      </c>
      <c r="I971" s="38" t="s">
        <v>1249</v>
      </c>
      <c r="J971" s="38" t="s">
        <v>330</v>
      </c>
      <c r="K971" s="38" t="s">
        <v>126</v>
      </c>
      <c r="L971" s="41">
        <v>46012.875</v>
      </c>
      <c r="M971" s="38" t="s">
        <v>123</v>
      </c>
      <c r="N971" s="41">
        <v>46012.881944444445</v>
      </c>
      <c r="O971" s="38" t="s">
        <v>123</v>
      </c>
      <c r="P971" s="38">
        <v>600.0</v>
      </c>
      <c r="Q971" s="39"/>
      <c r="R971" s="39"/>
      <c r="S971" s="39"/>
      <c r="T971" s="39"/>
      <c r="U971" s="39"/>
    </row>
    <row r="972">
      <c r="A972" s="40">
        <f t="shared" si="1"/>
        <v>46006</v>
      </c>
      <c r="B972" s="37" t="str">
        <f t="array" ref="B972">iferror(xlookup($I972, 'IMPORT VHC Report'!$E:$E, 'IMPORT VHC Report'!$A:$C), )</f>
        <v/>
      </c>
      <c r="C972" s="37"/>
      <c r="D972" s="37"/>
      <c r="E972" s="38" t="s">
        <v>1273</v>
      </c>
      <c r="F972" s="38" t="s">
        <v>1247</v>
      </c>
      <c r="G972" s="38">
        <v>9.285106592655E12</v>
      </c>
      <c r="H972" s="38" t="s">
        <v>1248</v>
      </c>
      <c r="I972" s="38" t="s">
        <v>1249</v>
      </c>
      <c r="J972" s="38" t="s">
        <v>332</v>
      </c>
      <c r="K972" s="38" t="s">
        <v>63</v>
      </c>
      <c r="L972" s="41">
        <v>46012.875</v>
      </c>
      <c r="M972" s="38" t="s">
        <v>123</v>
      </c>
      <c r="N972" s="41">
        <v>46013.0</v>
      </c>
      <c r="O972" s="38" t="s">
        <v>123</v>
      </c>
      <c r="P972" s="38">
        <v>10800.0</v>
      </c>
      <c r="Q972" s="39"/>
      <c r="R972" s="39"/>
      <c r="S972" s="39"/>
      <c r="T972" s="39"/>
      <c r="U972" s="39"/>
    </row>
    <row r="973">
      <c r="A973" s="40">
        <f t="shared" si="1"/>
        <v>46006</v>
      </c>
      <c r="B973" s="37" t="str">
        <f t="array" ref="B973">iferror(xlookup($I973, 'IMPORT VHC Report'!$E:$E, 'IMPORT VHC Report'!$A:$C), )</f>
        <v/>
      </c>
      <c r="C973" s="37"/>
      <c r="D973" s="37"/>
      <c r="E973" s="38" t="s">
        <v>1274</v>
      </c>
      <c r="F973" s="38" t="s">
        <v>1247</v>
      </c>
      <c r="G973" s="38">
        <v>9.285106592655E12</v>
      </c>
      <c r="H973" s="38" t="s">
        <v>1248</v>
      </c>
      <c r="I973" s="38" t="s">
        <v>1249</v>
      </c>
      <c r="J973" s="38" t="s">
        <v>152</v>
      </c>
      <c r="K973" s="38" t="s">
        <v>153</v>
      </c>
      <c r="L973" s="41">
        <v>46012.875</v>
      </c>
      <c r="M973" s="38" t="s">
        <v>123</v>
      </c>
      <c r="N973" s="41">
        <v>46013.0</v>
      </c>
      <c r="O973" s="38" t="s">
        <v>123</v>
      </c>
      <c r="P973" s="38">
        <v>10800.0</v>
      </c>
      <c r="Q973" s="38">
        <v>10800.0</v>
      </c>
      <c r="R973" s="39"/>
      <c r="S973" s="39"/>
      <c r="T973" s="39"/>
      <c r="U973" s="39"/>
    </row>
    <row r="974">
      <c r="A974" s="40">
        <f t="shared" si="1"/>
        <v>46006</v>
      </c>
      <c r="B974" s="37" t="str">
        <f t="array" ref="B974">iferror(xlookup($I974, 'IMPORT VHC Report'!$E:$E, 'IMPORT VHC Report'!$A:$C), )</f>
        <v/>
      </c>
      <c r="C974" s="37"/>
      <c r="D974" s="37"/>
      <c r="E974" s="38" t="s">
        <v>1275</v>
      </c>
      <c r="F974" s="38" t="s">
        <v>1276</v>
      </c>
      <c r="G974" s="38">
        <v>1.3475806334735E13</v>
      </c>
      <c r="H974" s="38" t="s">
        <v>1277</v>
      </c>
      <c r="I974" s="38" t="s">
        <v>1278</v>
      </c>
      <c r="J974" s="38" t="s">
        <v>132</v>
      </c>
      <c r="K974" s="38" t="s">
        <v>126</v>
      </c>
      <c r="L974" s="41">
        <v>46006.0</v>
      </c>
      <c r="M974" s="38" t="s">
        <v>123</v>
      </c>
      <c r="N974" s="41">
        <v>46006.041666666664</v>
      </c>
      <c r="O974" s="38" t="s">
        <v>123</v>
      </c>
      <c r="P974" s="38">
        <v>3600.0</v>
      </c>
      <c r="Q974" s="39"/>
      <c r="R974" s="39"/>
      <c r="S974" s="39"/>
      <c r="T974" s="39"/>
      <c r="U974" s="39"/>
    </row>
    <row r="975">
      <c r="A975" s="40">
        <f t="shared" si="1"/>
        <v>46006</v>
      </c>
      <c r="B975" s="37" t="str">
        <f t="array" ref="B975">iferror(xlookup($I975, 'IMPORT VHC Report'!$E:$E, 'IMPORT VHC Report'!$A:$C), )</f>
        <v/>
      </c>
      <c r="C975" s="37"/>
      <c r="D975" s="37"/>
      <c r="E975" s="38" t="s">
        <v>1279</v>
      </c>
      <c r="F975" s="38" t="s">
        <v>1276</v>
      </c>
      <c r="G975" s="38">
        <v>1.3475806334735E13</v>
      </c>
      <c r="H975" s="38" t="s">
        <v>1277</v>
      </c>
      <c r="I975" s="38" t="s">
        <v>1278</v>
      </c>
      <c r="J975" s="38" t="s">
        <v>122</v>
      </c>
      <c r="K975" s="38" t="s">
        <v>63</v>
      </c>
      <c r="L975" s="41">
        <v>46006.0</v>
      </c>
      <c r="M975" s="38" t="s">
        <v>123</v>
      </c>
      <c r="N975" s="41">
        <v>46006.25</v>
      </c>
      <c r="O975" s="38" t="s">
        <v>123</v>
      </c>
      <c r="P975" s="38">
        <v>21600.0</v>
      </c>
      <c r="Q975" s="39"/>
      <c r="R975" s="39"/>
      <c r="S975" s="39"/>
      <c r="T975" s="39"/>
      <c r="U975" s="39"/>
    </row>
    <row r="976">
      <c r="A976" s="40">
        <f t="shared" si="1"/>
        <v>46006</v>
      </c>
      <c r="B976" s="37" t="str">
        <f t="array" ref="B976">iferror(xlookup($I976, 'IMPORT VHC Report'!$E:$E, 'IMPORT VHC Report'!$A:$C), )</f>
        <v/>
      </c>
      <c r="C976" s="37"/>
      <c r="D976" s="37"/>
      <c r="E976" s="38" t="s">
        <v>1280</v>
      </c>
      <c r="F976" s="38" t="s">
        <v>1276</v>
      </c>
      <c r="G976" s="38">
        <v>1.3475806334735E13</v>
      </c>
      <c r="H976" s="38" t="s">
        <v>1277</v>
      </c>
      <c r="I976" s="38" t="s">
        <v>1278</v>
      </c>
      <c r="J976" s="38" t="s">
        <v>134</v>
      </c>
      <c r="K976" s="38" t="s">
        <v>126</v>
      </c>
      <c r="L976" s="41">
        <v>46006.166666666664</v>
      </c>
      <c r="M976" s="38" t="s">
        <v>123</v>
      </c>
      <c r="N976" s="41">
        <v>46006.1875</v>
      </c>
      <c r="O976" s="38" t="s">
        <v>123</v>
      </c>
      <c r="P976" s="38">
        <v>1800.0</v>
      </c>
      <c r="Q976" s="39"/>
      <c r="R976" s="39"/>
      <c r="S976" s="39"/>
      <c r="T976" s="39"/>
      <c r="U976" s="39"/>
    </row>
    <row r="977">
      <c r="A977" s="40">
        <f t="shared" si="1"/>
        <v>46006</v>
      </c>
      <c r="B977" s="37" t="str">
        <f t="array" ref="B977">iferror(xlookup($I977, 'IMPORT VHC Report'!$E:$E, 'IMPORT VHC Report'!$A:$C), )</f>
        <v/>
      </c>
      <c r="C977" s="37"/>
      <c r="D977" s="37"/>
      <c r="E977" s="38" t="s">
        <v>1281</v>
      </c>
      <c r="F977" s="38" t="s">
        <v>1276</v>
      </c>
      <c r="G977" s="38">
        <v>1.3475806334735E13</v>
      </c>
      <c r="H977" s="38" t="s">
        <v>1277</v>
      </c>
      <c r="I977" s="38" t="s">
        <v>1278</v>
      </c>
      <c r="J977" s="38" t="s">
        <v>125</v>
      </c>
      <c r="K977" s="38" t="s">
        <v>126</v>
      </c>
      <c r="L977" s="41">
        <v>46008.875</v>
      </c>
      <c r="M977" s="38" t="s">
        <v>123</v>
      </c>
      <c r="N977" s="41">
        <v>46008.881944444445</v>
      </c>
      <c r="O977" s="38" t="s">
        <v>123</v>
      </c>
      <c r="P977" s="38">
        <v>600.0</v>
      </c>
      <c r="Q977" s="39"/>
      <c r="R977" s="39"/>
      <c r="S977" s="38" t="s">
        <v>127</v>
      </c>
      <c r="T977" s="39"/>
      <c r="U977" s="39"/>
    </row>
    <row r="978">
      <c r="A978" s="40">
        <f t="shared" si="1"/>
        <v>46006</v>
      </c>
      <c r="B978" s="37" t="str">
        <f t="array" ref="B978">iferror(xlookup($I978, 'IMPORT VHC Report'!$E:$E, 'IMPORT VHC Report'!$A:$C), )</f>
        <v/>
      </c>
      <c r="C978" s="37"/>
      <c r="D978" s="37"/>
      <c r="E978" s="38" t="s">
        <v>1282</v>
      </c>
      <c r="F978" s="38" t="s">
        <v>1276</v>
      </c>
      <c r="G978" s="38">
        <v>1.3475806334735E13</v>
      </c>
      <c r="H978" s="38" t="s">
        <v>1277</v>
      </c>
      <c r="I978" s="38" t="s">
        <v>1278</v>
      </c>
      <c r="J978" s="38" t="s">
        <v>122</v>
      </c>
      <c r="K978" s="38" t="s">
        <v>63</v>
      </c>
      <c r="L978" s="41">
        <v>46008.875</v>
      </c>
      <c r="M978" s="38" t="s">
        <v>123</v>
      </c>
      <c r="N978" s="41">
        <v>46009.25</v>
      </c>
      <c r="O978" s="38" t="s">
        <v>123</v>
      </c>
      <c r="P978" s="38">
        <v>32400.0</v>
      </c>
      <c r="Q978" s="39"/>
      <c r="R978" s="39"/>
      <c r="S978" s="39"/>
      <c r="T978" s="39"/>
      <c r="U978" s="39"/>
    </row>
    <row r="979">
      <c r="A979" s="40">
        <f t="shared" si="1"/>
        <v>46006</v>
      </c>
      <c r="B979" s="37" t="str">
        <f t="array" ref="B979">iferror(xlookup($I979, 'IMPORT VHC Report'!$E:$E, 'IMPORT VHC Report'!$A:$C), )</f>
        <v/>
      </c>
      <c r="C979" s="37"/>
      <c r="D979" s="37"/>
      <c r="E979" s="38" t="s">
        <v>1283</v>
      </c>
      <c r="F979" s="38" t="s">
        <v>1276</v>
      </c>
      <c r="G979" s="38">
        <v>1.3475806334735E13</v>
      </c>
      <c r="H979" s="38" t="s">
        <v>1277</v>
      </c>
      <c r="I979" s="38" t="s">
        <v>1278</v>
      </c>
      <c r="J979" s="38" t="s">
        <v>136</v>
      </c>
      <c r="K979" s="38" t="s">
        <v>126</v>
      </c>
      <c r="L979" s="41">
        <v>46008.916666666664</v>
      </c>
      <c r="M979" s="38" t="s">
        <v>123</v>
      </c>
      <c r="N979" s="41">
        <v>46008.947916666664</v>
      </c>
      <c r="O979" s="38" t="s">
        <v>123</v>
      </c>
      <c r="P979" s="38">
        <v>2700.0</v>
      </c>
      <c r="Q979" s="39"/>
      <c r="R979" s="39"/>
      <c r="S979" s="38" t="s">
        <v>137</v>
      </c>
      <c r="T979" s="39"/>
      <c r="U979" s="39"/>
    </row>
    <row r="980">
      <c r="A980" s="40">
        <f t="shared" si="1"/>
        <v>46006</v>
      </c>
      <c r="B980" s="37" t="str">
        <f t="array" ref="B980">iferror(xlookup($I980, 'IMPORT VHC Report'!$E:$E, 'IMPORT VHC Report'!$A:$C), )</f>
        <v/>
      </c>
      <c r="C980" s="37"/>
      <c r="D980" s="37"/>
      <c r="E980" s="38" t="s">
        <v>1284</v>
      </c>
      <c r="F980" s="38" t="s">
        <v>1276</v>
      </c>
      <c r="G980" s="38">
        <v>1.3475806334735E13</v>
      </c>
      <c r="H980" s="38" t="s">
        <v>1277</v>
      </c>
      <c r="I980" s="38" t="s">
        <v>1278</v>
      </c>
      <c r="J980" s="38" t="s">
        <v>134</v>
      </c>
      <c r="K980" s="38" t="s">
        <v>126</v>
      </c>
      <c r="L980" s="41">
        <v>46008.958333333336</v>
      </c>
      <c r="M980" s="38" t="s">
        <v>123</v>
      </c>
      <c r="N980" s="41">
        <v>46008.979166666664</v>
      </c>
      <c r="O980" s="38" t="s">
        <v>123</v>
      </c>
      <c r="P980" s="38">
        <v>1800.0</v>
      </c>
      <c r="Q980" s="39"/>
      <c r="R980" s="39"/>
      <c r="S980" s="39"/>
      <c r="T980" s="39"/>
      <c r="U980" s="39"/>
    </row>
    <row r="981">
      <c r="A981" s="40">
        <f t="shared" si="1"/>
        <v>46006</v>
      </c>
      <c r="B981" s="37" t="str">
        <f t="array" ref="B981">iferror(xlookup($I981, 'IMPORT VHC Report'!$E:$E, 'IMPORT VHC Report'!$A:$C), )</f>
        <v/>
      </c>
      <c r="C981" s="37"/>
      <c r="D981" s="37"/>
      <c r="E981" s="38" t="s">
        <v>1285</v>
      </c>
      <c r="F981" s="38" t="s">
        <v>1276</v>
      </c>
      <c r="G981" s="38">
        <v>1.3475806334735E13</v>
      </c>
      <c r="H981" s="38" t="s">
        <v>1277</v>
      </c>
      <c r="I981" s="38" t="s">
        <v>1278</v>
      </c>
      <c r="J981" s="38" t="s">
        <v>132</v>
      </c>
      <c r="K981" s="38" t="s">
        <v>126</v>
      </c>
      <c r="L981" s="41">
        <v>46009.166666666664</v>
      </c>
      <c r="M981" s="38" t="s">
        <v>123</v>
      </c>
      <c r="N981" s="41">
        <v>46009.208333333336</v>
      </c>
      <c r="O981" s="38" t="s">
        <v>123</v>
      </c>
      <c r="P981" s="38">
        <v>3600.0</v>
      </c>
      <c r="Q981" s="39"/>
      <c r="R981" s="39"/>
      <c r="S981" s="39"/>
      <c r="T981" s="39"/>
      <c r="U981" s="39"/>
    </row>
    <row r="982">
      <c r="A982" s="40">
        <f t="shared" si="1"/>
        <v>46006</v>
      </c>
      <c r="B982" s="37" t="str">
        <f t="array" ref="B982">iferror(xlookup($I982, 'IMPORT VHC Report'!$E:$E, 'IMPORT VHC Report'!$A:$C), )</f>
        <v/>
      </c>
      <c r="C982" s="37"/>
      <c r="D982" s="37"/>
      <c r="E982" s="38" t="s">
        <v>1286</v>
      </c>
      <c r="F982" s="38" t="s">
        <v>1276</v>
      </c>
      <c r="G982" s="38">
        <v>1.3475806334735E13</v>
      </c>
      <c r="H982" s="38" t="s">
        <v>1277</v>
      </c>
      <c r="I982" s="38" t="s">
        <v>1278</v>
      </c>
      <c r="J982" s="38" t="s">
        <v>125</v>
      </c>
      <c r="K982" s="38" t="s">
        <v>126</v>
      </c>
      <c r="L982" s="41">
        <v>46009.875</v>
      </c>
      <c r="M982" s="38" t="s">
        <v>123</v>
      </c>
      <c r="N982" s="41">
        <v>46009.881944444445</v>
      </c>
      <c r="O982" s="38" t="s">
        <v>123</v>
      </c>
      <c r="P982" s="38">
        <v>600.0</v>
      </c>
      <c r="Q982" s="39"/>
      <c r="R982" s="39"/>
      <c r="S982" s="38" t="s">
        <v>127</v>
      </c>
      <c r="T982" s="39"/>
      <c r="U982" s="39"/>
    </row>
    <row r="983">
      <c r="A983" s="40">
        <f t="shared" si="1"/>
        <v>46006</v>
      </c>
      <c r="B983" s="37" t="str">
        <f t="array" ref="B983">iferror(xlookup($I983, 'IMPORT VHC Report'!$E:$E, 'IMPORT VHC Report'!$A:$C), )</f>
        <v/>
      </c>
      <c r="C983" s="37"/>
      <c r="D983" s="37"/>
      <c r="E983" s="38" t="s">
        <v>1287</v>
      </c>
      <c r="F983" s="38" t="s">
        <v>1276</v>
      </c>
      <c r="G983" s="38">
        <v>1.3475806334735E13</v>
      </c>
      <c r="H983" s="38" t="s">
        <v>1277</v>
      </c>
      <c r="I983" s="38" t="s">
        <v>1278</v>
      </c>
      <c r="J983" s="38" t="s">
        <v>122</v>
      </c>
      <c r="K983" s="38" t="s">
        <v>63</v>
      </c>
      <c r="L983" s="41">
        <v>46009.875</v>
      </c>
      <c r="M983" s="38" t="s">
        <v>123</v>
      </c>
      <c r="N983" s="41">
        <v>46010.25</v>
      </c>
      <c r="O983" s="38" t="s">
        <v>123</v>
      </c>
      <c r="P983" s="38">
        <v>32400.0</v>
      </c>
      <c r="Q983" s="39"/>
      <c r="R983" s="39"/>
      <c r="S983" s="39"/>
      <c r="T983" s="39"/>
      <c r="U983" s="39"/>
    </row>
    <row r="984">
      <c r="A984" s="40">
        <f t="shared" si="1"/>
        <v>46006</v>
      </c>
      <c r="B984" s="37" t="str">
        <f t="array" ref="B984">iferror(xlookup($I984, 'IMPORT VHC Report'!$E:$E, 'IMPORT VHC Report'!$A:$C), )</f>
        <v/>
      </c>
      <c r="C984" s="37"/>
      <c r="D984" s="37"/>
      <c r="E984" s="38" t="s">
        <v>1288</v>
      </c>
      <c r="F984" s="38" t="s">
        <v>1276</v>
      </c>
      <c r="G984" s="38">
        <v>1.3475806334735E13</v>
      </c>
      <c r="H984" s="38" t="s">
        <v>1277</v>
      </c>
      <c r="I984" s="38" t="s">
        <v>1278</v>
      </c>
      <c r="J984" s="38" t="s">
        <v>134</v>
      </c>
      <c r="K984" s="38" t="s">
        <v>126</v>
      </c>
      <c r="L984" s="41">
        <v>46009.958333333336</v>
      </c>
      <c r="M984" s="38" t="s">
        <v>123</v>
      </c>
      <c r="N984" s="41">
        <v>46009.979166666664</v>
      </c>
      <c r="O984" s="38" t="s">
        <v>123</v>
      </c>
      <c r="P984" s="38">
        <v>1800.0</v>
      </c>
      <c r="Q984" s="39"/>
      <c r="R984" s="39"/>
      <c r="S984" s="39"/>
      <c r="T984" s="39"/>
      <c r="U984" s="39"/>
    </row>
    <row r="985">
      <c r="A985" s="40">
        <f t="shared" si="1"/>
        <v>46006</v>
      </c>
      <c r="B985" s="37" t="str">
        <f t="array" ref="B985">iferror(xlookup($I985, 'IMPORT VHC Report'!$E:$E, 'IMPORT VHC Report'!$A:$C), )</f>
        <v/>
      </c>
      <c r="C985" s="37"/>
      <c r="D985" s="37"/>
      <c r="E985" s="38" t="s">
        <v>1289</v>
      </c>
      <c r="F985" s="38" t="s">
        <v>1276</v>
      </c>
      <c r="G985" s="38">
        <v>1.3475806334735E13</v>
      </c>
      <c r="H985" s="38" t="s">
        <v>1277</v>
      </c>
      <c r="I985" s="38" t="s">
        <v>1278</v>
      </c>
      <c r="J985" s="38" t="s">
        <v>132</v>
      </c>
      <c r="K985" s="38" t="s">
        <v>126</v>
      </c>
      <c r="L985" s="41">
        <v>46010.083333333336</v>
      </c>
      <c r="M985" s="38" t="s">
        <v>123</v>
      </c>
      <c r="N985" s="41">
        <v>46010.125</v>
      </c>
      <c r="O985" s="38" t="s">
        <v>123</v>
      </c>
      <c r="P985" s="38">
        <v>3600.0</v>
      </c>
      <c r="Q985" s="39"/>
      <c r="R985" s="39"/>
      <c r="S985" s="39"/>
      <c r="T985" s="39"/>
      <c r="U985" s="39"/>
    </row>
    <row r="986">
      <c r="A986" s="40">
        <f t="shared" si="1"/>
        <v>46006</v>
      </c>
      <c r="B986" s="37" t="str">
        <f t="array" ref="B986">iferror(xlookup($I986, 'IMPORT VHC Report'!$E:$E, 'IMPORT VHC Report'!$A:$C), )</f>
        <v/>
      </c>
      <c r="C986" s="37"/>
      <c r="D986" s="37"/>
      <c r="E986" s="38" t="s">
        <v>1290</v>
      </c>
      <c r="F986" s="38" t="s">
        <v>1276</v>
      </c>
      <c r="G986" s="38">
        <v>1.3475806334735E13</v>
      </c>
      <c r="H986" s="38" t="s">
        <v>1277</v>
      </c>
      <c r="I986" s="38" t="s">
        <v>1278</v>
      </c>
      <c r="J986" s="38" t="s">
        <v>4</v>
      </c>
      <c r="K986" s="38" t="s">
        <v>126</v>
      </c>
      <c r="L986" s="41">
        <v>46010.125</v>
      </c>
      <c r="M986" s="38" t="s">
        <v>123</v>
      </c>
      <c r="N986" s="41">
        <v>46010.166666666664</v>
      </c>
      <c r="O986" s="38" t="s">
        <v>123</v>
      </c>
      <c r="P986" s="38">
        <v>3600.0</v>
      </c>
      <c r="Q986" s="39"/>
      <c r="R986" s="39"/>
      <c r="S986" s="38" t="s">
        <v>130</v>
      </c>
      <c r="T986" s="39"/>
      <c r="U986" s="39"/>
    </row>
    <row r="987">
      <c r="A987" s="40">
        <f t="shared" si="1"/>
        <v>46006</v>
      </c>
      <c r="B987" s="37" t="str">
        <f t="array" ref="B987">iferror(xlookup($I987, 'IMPORT VHC Report'!$E:$E, 'IMPORT VHC Report'!$A:$C), )</f>
        <v/>
      </c>
      <c r="C987" s="37"/>
      <c r="D987" s="37"/>
      <c r="E987" s="38" t="s">
        <v>1291</v>
      </c>
      <c r="F987" s="38" t="s">
        <v>1276</v>
      </c>
      <c r="G987" s="38">
        <v>1.3475806334735E13</v>
      </c>
      <c r="H987" s="38" t="s">
        <v>1277</v>
      </c>
      <c r="I987" s="38" t="s">
        <v>1278</v>
      </c>
      <c r="J987" s="38" t="s">
        <v>125</v>
      </c>
      <c r="K987" s="38" t="s">
        <v>126</v>
      </c>
      <c r="L987" s="41">
        <v>46010.875</v>
      </c>
      <c r="M987" s="38" t="s">
        <v>123</v>
      </c>
      <c r="N987" s="41">
        <v>46010.881944444445</v>
      </c>
      <c r="O987" s="38" t="s">
        <v>123</v>
      </c>
      <c r="P987" s="38">
        <v>600.0</v>
      </c>
      <c r="Q987" s="39"/>
      <c r="R987" s="39"/>
      <c r="S987" s="38" t="s">
        <v>127</v>
      </c>
      <c r="T987" s="39"/>
      <c r="U987" s="39"/>
    </row>
    <row r="988">
      <c r="A988" s="40">
        <f t="shared" si="1"/>
        <v>46006</v>
      </c>
      <c r="B988" s="37" t="str">
        <f t="array" ref="B988">iferror(xlookup($I988, 'IMPORT VHC Report'!$E:$E, 'IMPORT VHC Report'!$A:$C), )</f>
        <v/>
      </c>
      <c r="C988" s="37"/>
      <c r="D988" s="37"/>
      <c r="E988" s="38" t="s">
        <v>1292</v>
      </c>
      <c r="F988" s="38" t="s">
        <v>1276</v>
      </c>
      <c r="G988" s="38">
        <v>1.3475806334735E13</v>
      </c>
      <c r="H988" s="38" t="s">
        <v>1277</v>
      </c>
      <c r="I988" s="38" t="s">
        <v>1278</v>
      </c>
      <c r="J988" s="38" t="s">
        <v>122</v>
      </c>
      <c r="K988" s="38" t="s">
        <v>63</v>
      </c>
      <c r="L988" s="41">
        <v>46010.875</v>
      </c>
      <c r="M988" s="38" t="s">
        <v>123</v>
      </c>
      <c r="N988" s="41">
        <v>46011.25</v>
      </c>
      <c r="O988" s="38" t="s">
        <v>123</v>
      </c>
      <c r="P988" s="38">
        <v>32400.0</v>
      </c>
      <c r="Q988" s="39"/>
      <c r="R988" s="39"/>
      <c r="S988" s="39"/>
      <c r="T988" s="39"/>
      <c r="U988" s="39"/>
    </row>
    <row r="989">
      <c r="A989" s="40">
        <f t="shared" si="1"/>
        <v>46006</v>
      </c>
      <c r="B989" s="37" t="str">
        <f t="array" ref="B989">iferror(xlookup($I989, 'IMPORT VHC Report'!$E:$E, 'IMPORT VHC Report'!$A:$C), )</f>
        <v/>
      </c>
      <c r="C989" s="37"/>
      <c r="D989" s="37"/>
      <c r="E989" s="38" t="s">
        <v>1293</v>
      </c>
      <c r="F989" s="38" t="s">
        <v>1276</v>
      </c>
      <c r="G989" s="38">
        <v>1.3475806334735E13</v>
      </c>
      <c r="H989" s="38" t="s">
        <v>1277</v>
      </c>
      <c r="I989" s="38" t="s">
        <v>1278</v>
      </c>
      <c r="J989" s="38" t="s">
        <v>134</v>
      </c>
      <c r="K989" s="38" t="s">
        <v>126</v>
      </c>
      <c r="L989" s="41">
        <v>46010.947916666664</v>
      </c>
      <c r="M989" s="38" t="s">
        <v>123</v>
      </c>
      <c r="N989" s="41">
        <v>46010.96875</v>
      </c>
      <c r="O989" s="38" t="s">
        <v>123</v>
      </c>
      <c r="P989" s="38">
        <v>1800.0</v>
      </c>
      <c r="Q989" s="39"/>
      <c r="R989" s="39"/>
      <c r="S989" s="39"/>
      <c r="T989" s="39"/>
      <c r="U989" s="39"/>
    </row>
    <row r="990">
      <c r="A990" s="40">
        <f t="shared" si="1"/>
        <v>46006</v>
      </c>
      <c r="B990" s="37" t="str">
        <f t="array" ref="B990">iferror(xlookup($I990, 'IMPORT VHC Report'!$E:$E, 'IMPORT VHC Report'!$A:$C), )</f>
        <v/>
      </c>
      <c r="C990" s="37"/>
      <c r="D990" s="37"/>
      <c r="E990" s="38" t="s">
        <v>1294</v>
      </c>
      <c r="F990" s="38" t="s">
        <v>1276</v>
      </c>
      <c r="G990" s="38">
        <v>1.3475806334735E13</v>
      </c>
      <c r="H990" s="38" t="s">
        <v>1277</v>
      </c>
      <c r="I990" s="38" t="s">
        <v>1278</v>
      </c>
      <c r="J990" s="38" t="s">
        <v>132</v>
      </c>
      <c r="K990" s="38" t="s">
        <v>126</v>
      </c>
      <c r="L990" s="41">
        <v>46011.072916666664</v>
      </c>
      <c r="M990" s="38" t="s">
        <v>123</v>
      </c>
      <c r="N990" s="41">
        <v>46011.114583333336</v>
      </c>
      <c r="O990" s="38" t="s">
        <v>123</v>
      </c>
      <c r="P990" s="38">
        <v>3600.0</v>
      </c>
      <c r="Q990" s="39"/>
      <c r="R990" s="39"/>
      <c r="S990" s="39"/>
      <c r="T990" s="39"/>
      <c r="U990" s="39"/>
    </row>
    <row r="991">
      <c r="A991" s="40">
        <f t="shared" si="1"/>
        <v>46006</v>
      </c>
      <c r="B991" s="37" t="str">
        <f t="array" ref="B991">iferror(xlookup($I991, 'IMPORT VHC Report'!$E:$E, 'IMPORT VHC Report'!$A:$C), )</f>
        <v/>
      </c>
      <c r="C991" s="37"/>
      <c r="D991" s="37"/>
      <c r="E991" s="38" t="s">
        <v>1295</v>
      </c>
      <c r="F991" s="38" t="s">
        <v>1276</v>
      </c>
      <c r="G991" s="38">
        <v>1.3475806334735E13</v>
      </c>
      <c r="H991" s="38" t="s">
        <v>1277</v>
      </c>
      <c r="I991" s="38" t="s">
        <v>1278</v>
      </c>
      <c r="J991" s="38" t="s">
        <v>125</v>
      </c>
      <c r="K991" s="38" t="s">
        <v>126</v>
      </c>
      <c r="L991" s="41">
        <v>46011.875</v>
      </c>
      <c r="M991" s="38" t="s">
        <v>123</v>
      </c>
      <c r="N991" s="41">
        <v>46011.881944444445</v>
      </c>
      <c r="O991" s="38" t="s">
        <v>123</v>
      </c>
      <c r="P991" s="38">
        <v>600.0</v>
      </c>
      <c r="Q991" s="39"/>
      <c r="R991" s="39"/>
      <c r="S991" s="38" t="s">
        <v>127</v>
      </c>
      <c r="T991" s="39"/>
      <c r="U991" s="39"/>
    </row>
    <row r="992">
      <c r="A992" s="40">
        <f t="shared" si="1"/>
        <v>46006</v>
      </c>
      <c r="B992" s="37" t="str">
        <f t="array" ref="B992">iferror(xlookup($I992, 'IMPORT VHC Report'!$E:$E, 'IMPORT VHC Report'!$A:$C), )</f>
        <v/>
      </c>
      <c r="C992" s="37"/>
      <c r="D992" s="37"/>
      <c r="E992" s="38" t="s">
        <v>1296</v>
      </c>
      <c r="F992" s="38" t="s">
        <v>1276</v>
      </c>
      <c r="G992" s="38">
        <v>1.3475806334735E13</v>
      </c>
      <c r="H992" s="38" t="s">
        <v>1277</v>
      </c>
      <c r="I992" s="38" t="s">
        <v>1278</v>
      </c>
      <c r="J992" s="38" t="s">
        <v>152</v>
      </c>
      <c r="K992" s="38" t="s">
        <v>153</v>
      </c>
      <c r="L992" s="41">
        <v>46011.875</v>
      </c>
      <c r="M992" s="38" t="s">
        <v>123</v>
      </c>
      <c r="N992" s="41">
        <v>46012.25</v>
      </c>
      <c r="O992" s="38" t="s">
        <v>123</v>
      </c>
      <c r="P992" s="38">
        <v>32400.0</v>
      </c>
      <c r="Q992" s="38">
        <v>32400.0</v>
      </c>
      <c r="R992" s="39"/>
      <c r="S992" s="39"/>
      <c r="T992" s="39"/>
      <c r="U992" s="39"/>
    </row>
    <row r="993">
      <c r="A993" s="40">
        <f t="shared" si="1"/>
        <v>46006</v>
      </c>
      <c r="B993" s="37" t="str">
        <f t="array" ref="B993">iferror(xlookup($I993, 'IMPORT VHC Report'!$E:$E, 'IMPORT VHC Report'!$A:$C), )</f>
        <v/>
      </c>
      <c r="C993" s="37"/>
      <c r="D993" s="37"/>
      <c r="E993" s="38" t="s">
        <v>1297</v>
      </c>
      <c r="F993" s="38" t="s">
        <v>1276</v>
      </c>
      <c r="G993" s="38">
        <v>1.3475806334735E13</v>
      </c>
      <c r="H993" s="38" t="s">
        <v>1277</v>
      </c>
      <c r="I993" s="38" t="s">
        <v>1278</v>
      </c>
      <c r="J993" s="38" t="s">
        <v>122</v>
      </c>
      <c r="K993" s="38" t="s">
        <v>63</v>
      </c>
      <c r="L993" s="41">
        <v>46011.875</v>
      </c>
      <c r="M993" s="38" t="s">
        <v>123</v>
      </c>
      <c r="N993" s="41">
        <v>46012.25</v>
      </c>
      <c r="O993" s="38" t="s">
        <v>123</v>
      </c>
      <c r="P993" s="38">
        <v>32400.0</v>
      </c>
      <c r="Q993" s="39"/>
      <c r="R993" s="39"/>
      <c r="S993" s="39"/>
      <c r="T993" s="39"/>
      <c r="U993" s="39"/>
    </row>
    <row r="994">
      <c r="A994" s="40">
        <f t="shared" si="1"/>
        <v>46006</v>
      </c>
      <c r="B994" s="37" t="str">
        <f t="array" ref="B994">iferror(xlookup($I994, 'IMPORT VHC Report'!$E:$E, 'IMPORT VHC Report'!$A:$C), )</f>
        <v/>
      </c>
      <c r="C994" s="37"/>
      <c r="D994" s="37"/>
      <c r="E994" s="38" t="s">
        <v>1298</v>
      </c>
      <c r="F994" s="38" t="s">
        <v>1276</v>
      </c>
      <c r="G994" s="38">
        <v>1.3475806334735E13</v>
      </c>
      <c r="H994" s="38" t="s">
        <v>1277</v>
      </c>
      <c r="I994" s="38" t="s">
        <v>1278</v>
      </c>
      <c r="J994" s="38" t="s">
        <v>132</v>
      </c>
      <c r="K994" s="38" t="s">
        <v>126</v>
      </c>
      <c r="L994" s="41">
        <v>46011.947916666664</v>
      </c>
      <c r="M994" s="38" t="s">
        <v>123</v>
      </c>
      <c r="N994" s="41">
        <v>46011.989583333336</v>
      </c>
      <c r="O994" s="38" t="s">
        <v>123</v>
      </c>
      <c r="P994" s="38">
        <v>3600.0</v>
      </c>
      <c r="Q994" s="39"/>
      <c r="R994" s="39"/>
      <c r="S994" s="39"/>
      <c r="T994" s="39"/>
      <c r="U994" s="39"/>
    </row>
    <row r="995">
      <c r="A995" s="40">
        <f t="shared" si="1"/>
        <v>46006</v>
      </c>
      <c r="B995" s="37" t="str">
        <f t="array" ref="B995">iferror(xlookup($I995, 'IMPORT VHC Report'!$E:$E, 'IMPORT VHC Report'!$A:$C), )</f>
        <v/>
      </c>
      <c r="C995" s="37"/>
      <c r="D995" s="37"/>
      <c r="E995" s="38" t="s">
        <v>1299</v>
      </c>
      <c r="F995" s="38" t="s">
        <v>1276</v>
      </c>
      <c r="G995" s="38">
        <v>1.3475806334735E13</v>
      </c>
      <c r="H995" s="38" t="s">
        <v>1277</v>
      </c>
      <c r="I995" s="38" t="s">
        <v>1278</v>
      </c>
      <c r="J995" s="38" t="s">
        <v>134</v>
      </c>
      <c r="K995" s="38" t="s">
        <v>126</v>
      </c>
      <c r="L995" s="41">
        <v>46012.114583333336</v>
      </c>
      <c r="M995" s="38" t="s">
        <v>123</v>
      </c>
      <c r="N995" s="41">
        <v>46012.135416666664</v>
      </c>
      <c r="O995" s="38" t="s">
        <v>123</v>
      </c>
      <c r="P995" s="38">
        <v>1800.0</v>
      </c>
      <c r="Q995" s="39"/>
      <c r="R995" s="39"/>
      <c r="S995" s="39"/>
      <c r="T995" s="39"/>
      <c r="U995" s="39"/>
    </row>
    <row r="996">
      <c r="A996" s="40">
        <f t="shared" si="1"/>
        <v>46006</v>
      </c>
      <c r="B996" s="37" t="str">
        <f t="array" ref="B996">iferror(xlookup($I996, 'IMPORT VHC Report'!$E:$E, 'IMPORT VHC Report'!$A:$C), )</f>
        <v/>
      </c>
      <c r="C996" s="37"/>
      <c r="D996" s="37"/>
      <c r="E996" s="38" t="s">
        <v>1300</v>
      </c>
      <c r="F996" s="38" t="s">
        <v>1276</v>
      </c>
      <c r="G996" s="38">
        <v>1.3475806334735E13</v>
      </c>
      <c r="H996" s="38" t="s">
        <v>1277</v>
      </c>
      <c r="I996" s="38" t="s">
        <v>1278</v>
      </c>
      <c r="J996" s="38" t="s">
        <v>125</v>
      </c>
      <c r="K996" s="38" t="s">
        <v>126</v>
      </c>
      <c r="L996" s="41">
        <v>46012.875</v>
      </c>
      <c r="M996" s="38" t="s">
        <v>123</v>
      </c>
      <c r="N996" s="41">
        <v>46012.881944444445</v>
      </c>
      <c r="O996" s="38" t="s">
        <v>123</v>
      </c>
      <c r="P996" s="38">
        <v>600.0</v>
      </c>
      <c r="Q996" s="39"/>
      <c r="R996" s="39"/>
      <c r="S996" s="38" t="s">
        <v>127</v>
      </c>
      <c r="T996" s="39"/>
      <c r="U996" s="39"/>
    </row>
    <row r="997">
      <c r="A997" s="40">
        <f t="shared" si="1"/>
        <v>46006</v>
      </c>
      <c r="B997" s="37" t="str">
        <f t="array" ref="B997">iferror(xlookup($I997, 'IMPORT VHC Report'!$E:$E, 'IMPORT VHC Report'!$A:$C), )</f>
        <v/>
      </c>
      <c r="C997" s="37"/>
      <c r="D997" s="37"/>
      <c r="E997" s="38" t="s">
        <v>1301</v>
      </c>
      <c r="F997" s="38" t="s">
        <v>1276</v>
      </c>
      <c r="G997" s="38">
        <v>1.3475806334735E13</v>
      </c>
      <c r="H997" s="38" t="s">
        <v>1277</v>
      </c>
      <c r="I997" s="38" t="s">
        <v>1278</v>
      </c>
      <c r="J997" s="38" t="s">
        <v>122</v>
      </c>
      <c r="K997" s="38" t="s">
        <v>63</v>
      </c>
      <c r="L997" s="41">
        <v>46012.875</v>
      </c>
      <c r="M997" s="38" t="s">
        <v>123</v>
      </c>
      <c r="N997" s="41">
        <v>46013.0</v>
      </c>
      <c r="O997" s="38" t="s">
        <v>123</v>
      </c>
      <c r="P997" s="38">
        <v>10800.0</v>
      </c>
      <c r="Q997" s="39"/>
      <c r="R997" s="39"/>
      <c r="S997" s="39"/>
      <c r="T997" s="39"/>
      <c r="U997" s="39"/>
    </row>
    <row r="998">
      <c r="A998" s="40">
        <f t="shared" si="1"/>
        <v>46006</v>
      </c>
      <c r="B998" s="37" t="str">
        <f t="array" ref="B998">iferror(xlookup($I998, 'IMPORT VHC Report'!$E:$E, 'IMPORT VHC Report'!$A:$C), )</f>
        <v/>
      </c>
      <c r="C998" s="37"/>
      <c r="D998" s="37"/>
      <c r="E998" s="38" t="s">
        <v>1302</v>
      </c>
      <c r="F998" s="38" t="s">
        <v>1303</v>
      </c>
      <c r="G998" s="38">
        <v>3.61731348935E11</v>
      </c>
      <c r="H998" s="38" t="s">
        <v>1304</v>
      </c>
      <c r="I998" s="38" t="s">
        <v>1305</v>
      </c>
      <c r="J998" s="38" t="s">
        <v>132</v>
      </c>
      <c r="K998" s="38" t="s">
        <v>126</v>
      </c>
      <c r="L998" s="41">
        <v>46006.0</v>
      </c>
      <c r="M998" s="38" t="s">
        <v>123</v>
      </c>
      <c r="N998" s="41">
        <v>46006.020833333336</v>
      </c>
      <c r="O998" s="38" t="s">
        <v>123</v>
      </c>
      <c r="P998" s="38">
        <v>1800.0</v>
      </c>
      <c r="Q998" s="39"/>
      <c r="R998" s="39"/>
      <c r="S998" s="39"/>
      <c r="T998" s="39"/>
      <c r="U998" s="39"/>
    </row>
    <row r="999">
      <c r="A999" s="40">
        <f t="shared" si="1"/>
        <v>46006</v>
      </c>
      <c r="B999" s="37" t="str">
        <f t="array" ref="B999">iferror(xlookup($I999, 'IMPORT VHC Report'!$E:$E, 'IMPORT VHC Report'!$A:$C), )</f>
        <v/>
      </c>
      <c r="C999" s="37"/>
      <c r="D999" s="37"/>
      <c r="E999" s="38" t="s">
        <v>1306</v>
      </c>
      <c r="F999" s="38" t="s">
        <v>1303</v>
      </c>
      <c r="G999" s="38">
        <v>3.61731348935E11</v>
      </c>
      <c r="H999" s="38" t="s">
        <v>1304</v>
      </c>
      <c r="I999" s="38" t="s">
        <v>1305</v>
      </c>
      <c r="J999" s="38" t="s">
        <v>332</v>
      </c>
      <c r="K999" s="38" t="s">
        <v>63</v>
      </c>
      <c r="L999" s="41">
        <v>46006.0</v>
      </c>
      <c r="M999" s="38" t="s">
        <v>123</v>
      </c>
      <c r="N999" s="41">
        <v>46006.041666666664</v>
      </c>
      <c r="O999" s="38" t="s">
        <v>123</v>
      </c>
      <c r="P999" s="38">
        <v>3600.0</v>
      </c>
      <c r="Q999" s="39"/>
      <c r="R999" s="39"/>
      <c r="S999" s="39"/>
      <c r="T999" s="39"/>
      <c r="U999" s="39"/>
    </row>
    <row r="1000">
      <c r="A1000" s="40">
        <f t="shared" si="1"/>
        <v>46006</v>
      </c>
      <c r="B1000" s="37" t="str">
        <f t="array" ref="B1000">iferror(xlookup($I1000, 'IMPORT VHC Report'!$E:$E, 'IMPORT VHC Report'!$A:$C), )</f>
        <v/>
      </c>
      <c r="C1000" s="37"/>
      <c r="D1000" s="37"/>
      <c r="E1000" s="38" t="s">
        <v>1307</v>
      </c>
      <c r="F1000" s="38" t="s">
        <v>1303</v>
      </c>
      <c r="G1000" s="38">
        <v>3.61731348935E11</v>
      </c>
      <c r="H1000" s="38" t="s">
        <v>1304</v>
      </c>
      <c r="I1000" s="38" t="s">
        <v>1305</v>
      </c>
      <c r="J1000" s="38" t="s">
        <v>134</v>
      </c>
      <c r="K1000" s="38" t="s">
        <v>126</v>
      </c>
      <c r="L1000" s="41">
        <v>46006.020833333336</v>
      </c>
      <c r="M1000" s="38" t="s">
        <v>123</v>
      </c>
      <c r="N1000" s="41">
        <v>46006.041666666664</v>
      </c>
      <c r="O1000" s="38" t="s">
        <v>123</v>
      </c>
      <c r="P1000" s="38">
        <v>1800.0</v>
      </c>
      <c r="Q1000" s="39"/>
      <c r="R1000" s="39"/>
      <c r="S1000" s="39"/>
      <c r="T1000" s="39"/>
      <c r="U1000" s="39"/>
    </row>
    <row r="1001">
      <c r="A1001" s="40">
        <f t="shared" si="1"/>
        <v>46006</v>
      </c>
      <c r="B1001" s="37" t="str">
        <f t="array" ref="B1001">iferror(xlookup($I1001, 'IMPORT VHC Report'!$E:$E, 'IMPORT VHC Report'!$A:$C), )</f>
        <v/>
      </c>
      <c r="C1001" s="37"/>
      <c r="D1001" s="37"/>
      <c r="E1001" s="38" t="s">
        <v>1308</v>
      </c>
      <c r="F1001" s="38" t="s">
        <v>1303</v>
      </c>
      <c r="G1001" s="38">
        <v>3.61731348935E11</v>
      </c>
      <c r="H1001" s="38" t="s">
        <v>1304</v>
      </c>
      <c r="I1001" s="38" t="s">
        <v>1305</v>
      </c>
      <c r="J1001" s="38" t="s">
        <v>332</v>
      </c>
      <c r="K1001" s="38" t="s">
        <v>63</v>
      </c>
      <c r="L1001" s="41">
        <v>46006.666666666664</v>
      </c>
      <c r="M1001" s="38" t="s">
        <v>123</v>
      </c>
      <c r="N1001" s="41">
        <v>46007.041666666664</v>
      </c>
      <c r="O1001" s="38" t="s">
        <v>123</v>
      </c>
      <c r="P1001" s="38">
        <v>32400.0</v>
      </c>
      <c r="Q1001" s="39"/>
      <c r="R1001" s="39"/>
      <c r="S1001" s="39"/>
      <c r="T1001" s="39"/>
      <c r="U1001" s="39"/>
    </row>
    <row r="1002">
      <c r="A1002" s="40">
        <f t="shared" si="1"/>
        <v>46006</v>
      </c>
      <c r="B1002" s="37" t="str">
        <f t="array" ref="B1002">iferror(xlookup($I1002, 'IMPORT VHC Report'!$E:$E, 'IMPORT VHC Report'!$A:$C), )</f>
        <v/>
      </c>
      <c r="C1002" s="37"/>
      <c r="D1002" s="37"/>
      <c r="E1002" s="38" t="s">
        <v>1309</v>
      </c>
      <c r="F1002" s="38" t="s">
        <v>1303</v>
      </c>
      <c r="G1002" s="38">
        <v>3.61731348935E11</v>
      </c>
      <c r="H1002" s="38" t="s">
        <v>1304</v>
      </c>
      <c r="I1002" s="38" t="s">
        <v>1305</v>
      </c>
      <c r="J1002" s="38" t="s">
        <v>132</v>
      </c>
      <c r="K1002" s="38" t="s">
        <v>126</v>
      </c>
      <c r="L1002" s="41">
        <v>46006.979166666664</v>
      </c>
      <c r="M1002" s="38" t="s">
        <v>123</v>
      </c>
      <c r="N1002" s="41">
        <v>46007.020833333336</v>
      </c>
      <c r="O1002" s="38" t="s">
        <v>123</v>
      </c>
      <c r="P1002" s="38">
        <v>3600.0</v>
      </c>
      <c r="Q1002" s="39"/>
      <c r="R1002" s="39"/>
      <c r="S1002" s="39"/>
      <c r="T1002" s="39"/>
      <c r="U1002" s="39"/>
    </row>
    <row r="1003">
      <c r="A1003" s="40">
        <f t="shared" si="1"/>
        <v>46006</v>
      </c>
      <c r="B1003" s="37" t="str">
        <f t="array" ref="B1003">iferror(xlookup($I1003, 'IMPORT VHC Report'!$E:$E, 'IMPORT VHC Report'!$A:$C), )</f>
        <v/>
      </c>
      <c r="C1003" s="37"/>
      <c r="D1003" s="37"/>
      <c r="E1003" s="38" t="s">
        <v>1310</v>
      </c>
      <c r="F1003" s="38" t="s">
        <v>1303</v>
      </c>
      <c r="G1003" s="38">
        <v>3.61731348935E11</v>
      </c>
      <c r="H1003" s="38" t="s">
        <v>1304</v>
      </c>
      <c r="I1003" s="38" t="s">
        <v>1305</v>
      </c>
      <c r="J1003" s="38" t="s">
        <v>134</v>
      </c>
      <c r="K1003" s="38" t="s">
        <v>126</v>
      </c>
      <c r="L1003" s="41">
        <v>46007.020833333336</v>
      </c>
      <c r="M1003" s="38" t="s">
        <v>123</v>
      </c>
      <c r="N1003" s="41">
        <v>46007.041666666664</v>
      </c>
      <c r="O1003" s="38" t="s">
        <v>123</v>
      </c>
      <c r="P1003" s="38">
        <v>1800.0</v>
      </c>
      <c r="Q1003" s="39"/>
      <c r="R1003" s="39"/>
      <c r="S1003" s="39"/>
      <c r="T1003" s="39"/>
      <c r="U1003" s="39"/>
    </row>
    <row r="1004">
      <c r="A1004" s="40">
        <f t="shared" si="1"/>
        <v>46006</v>
      </c>
      <c r="B1004" s="37" t="str">
        <f t="array" ref="B1004">iferror(xlookup($I1004, 'IMPORT VHC Report'!$E:$E, 'IMPORT VHC Report'!$A:$C), )</f>
        <v/>
      </c>
      <c r="C1004" s="37"/>
      <c r="D1004" s="37"/>
      <c r="E1004" s="38" t="s">
        <v>1311</v>
      </c>
      <c r="F1004" s="38" t="s">
        <v>1303</v>
      </c>
      <c r="G1004" s="38">
        <v>3.61731348935E11</v>
      </c>
      <c r="H1004" s="38" t="s">
        <v>1304</v>
      </c>
      <c r="I1004" s="38" t="s">
        <v>1305</v>
      </c>
      <c r="J1004" s="38" t="s">
        <v>332</v>
      </c>
      <c r="K1004" s="38" t="s">
        <v>63</v>
      </c>
      <c r="L1004" s="41">
        <v>46007.666666666664</v>
      </c>
      <c r="M1004" s="38" t="s">
        <v>123</v>
      </c>
      <c r="N1004" s="41">
        <v>46007.895833333336</v>
      </c>
      <c r="O1004" s="38" t="s">
        <v>123</v>
      </c>
      <c r="P1004" s="38">
        <v>19800.0</v>
      </c>
      <c r="Q1004" s="39"/>
      <c r="R1004" s="39"/>
      <c r="S1004" s="39"/>
      <c r="T1004" s="39"/>
      <c r="U1004" s="39"/>
    </row>
    <row r="1005">
      <c r="A1005" s="40">
        <f t="shared" si="1"/>
        <v>46006</v>
      </c>
      <c r="B1005" s="37" t="str">
        <f t="array" ref="B1005">iferror(xlookup($I1005, 'IMPORT VHC Report'!$E:$E, 'IMPORT VHC Report'!$A:$C), )</f>
        <v/>
      </c>
      <c r="C1005" s="37"/>
      <c r="D1005" s="37"/>
      <c r="E1005" s="38" t="s">
        <v>1312</v>
      </c>
      <c r="F1005" s="38" t="s">
        <v>1303</v>
      </c>
      <c r="G1005" s="38">
        <v>3.61731348935E11</v>
      </c>
      <c r="H1005" s="38" t="s">
        <v>1304</v>
      </c>
      <c r="I1005" s="38" t="s">
        <v>1305</v>
      </c>
      <c r="J1005" s="38" t="s">
        <v>4</v>
      </c>
      <c r="K1005" s="38" t="s">
        <v>126</v>
      </c>
      <c r="L1005" s="41">
        <v>46007.895833333336</v>
      </c>
      <c r="M1005" s="38" t="s">
        <v>123</v>
      </c>
      <c r="N1005" s="41">
        <v>46007.9375</v>
      </c>
      <c r="O1005" s="38" t="s">
        <v>123</v>
      </c>
      <c r="P1005" s="38">
        <v>3600.0</v>
      </c>
      <c r="Q1005" s="39"/>
      <c r="R1005" s="39"/>
      <c r="S1005" s="38" t="s">
        <v>130</v>
      </c>
      <c r="T1005" s="39"/>
      <c r="U1005" s="39"/>
    </row>
    <row r="1006">
      <c r="A1006" s="40">
        <f t="shared" si="1"/>
        <v>46006</v>
      </c>
      <c r="B1006" s="37" t="str">
        <f t="array" ref="B1006">iferror(xlookup($I1006, 'IMPORT VHC Report'!$E:$E, 'IMPORT VHC Report'!$A:$C), )</f>
        <v/>
      </c>
      <c r="C1006" s="37"/>
      <c r="D1006" s="37"/>
      <c r="E1006" s="38" t="s">
        <v>1313</v>
      </c>
      <c r="F1006" s="38" t="s">
        <v>1303</v>
      </c>
      <c r="G1006" s="38">
        <v>3.61731348935E11</v>
      </c>
      <c r="H1006" s="38" t="s">
        <v>1304</v>
      </c>
      <c r="I1006" s="38" t="s">
        <v>1305</v>
      </c>
      <c r="J1006" s="38" t="s">
        <v>62</v>
      </c>
      <c r="K1006" s="38" t="s">
        <v>63</v>
      </c>
      <c r="L1006" s="41">
        <v>46007.895833333336</v>
      </c>
      <c r="M1006" s="38" t="s">
        <v>123</v>
      </c>
      <c r="N1006" s="41">
        <v>46007.979166666664</v>
      </c>
      <c r="O1006" s="38" t="s">
        <v>123</v>
      </c>
      <c r="P1006" s="38">
        <v>7200.0</v>
      </c>
      <c r="Q1006" s="39"/>
      <c r="R1006" s="39"/>
      <c r="S1006" s="39"/>
      <c r="T1006" s="39"/>
      <c r="U1006" s="39"/>
    </row>
    <row r="1007">
      <c r="A1007" s="40">
        <f t="shared" si="1"/>
        <v>46006</v>
      </c>
      <c r="B1007" s="37" t="str">
        <f t="array" ref="B1007">iferror(xlookup($I1007, 'IMPORT VHC Report'!$E:$E, 'IMPORT VHC Report'!$A:$C), )</f>
        <v/>
      </c>
      <c r="C1007" s="37"/>
      <c r="D1007" s="37"/>
      <c r="E1007" s="38" t="s">
        <v>1314</v>
      </c>
      <c r="F1007" s="38" t="s">
        <v>1303</v>
      </c>
      <c r="G1007" s="38">
        <v>3.61731348935E11</v>
      </c>
      <c r="H1007" s="38" t="s">
        <v>1304</v>
      </c>
      <c r="I1007" s="38" t="s">
        <v>1305</v>
      </c>
      <c r="J1007" s="38" t="s">
        <v>132</v>
      </c>
      <c r="K1007" s="38" t="s">
        <v>126</v>
      </c>
      <c r="L1007" s="41">
        <v>46007.979166666664</v>
      </c>
      <c r="M1007" s="38" t="s">
        <v>123</v>
      </c>
      <c r="N1007" s="41">
        <v>46008.020833333336</v>
      </c>
      <c r="O1007" s="38" t="s">
        <v>123</v>
      </c>
      <c r="P1007" s="38">
        <v>3600.0</v>
      </c>
      <c r="Q1007" s="39"/>
      <c r="R1007" s="39"/>
      <c r="S1007" s="39"/>
      <c r="T1007" s="39"/>
      <c r="U1007" s="39"/>
    </row>
    <row r="1008">
      <c r="A1008" s="40">
        <f t="shared" si="1"/>
        <v>46006</v>
      </c>
      <c r="B1008" s="37" t="str">
        <f t="array" ref="B1008">iferror(xlookup($I1008, 'IMPORT VHC Report'!$E:$E, 'IMPORT VHC Report'!$A:$C), )</f>
        <v/>
      </c>
      <c r="C1008" s="37"/>
      <c r="D1008" s="37"/>
      <c r="E1008" s="38" t="s">
        <v>1315</v>
      </c>
      <c r="F1008" s="38" t="s">
        <v>1303</v>
      </c>
      <c r="G1008" s="38">
        <v>3.61731348935E11</v>
      </c>
      <c r="H1008" s="38" t="s">
        <v>1304</v>
      </c>
      <c r="I1008" s="38" t="s">
        <v>1305</v>
      </c>
      <c r="J1008" s="38" t="s">
        <v>332</v>
      </c>
      <c r="K1008" s="38" t="s">
        <v>63</v>
      </c>
      <c r="L1008" s="41">
        <v>46007.979166666664</v>
      </c>
      <c r="M1008" s="38" t="s">
        <v>123</v>
      </c>
      <c r="N1008" s="41">
        <v>46008.041666666664</v>
      </c>
      <c r="O1008" s="38" t="s">
        <v>123</v>
      </c>
      <c r="P1008" s="38">
        <v>5400.0</v>
      </c>
      <c r="Q1008" s="39"/>
      <c r="R1008" s="39"/>
      <c r="S1008" s="39"/>
      <c r="T1008" s="39"/>
      <c r="U1008" s="39"/>
    </row>
    <row r="1009">
      <c r="A1009" s="40">
        <f t="shared" si="1"/>
        <v>46006</v>
      </c>
      <c r="B1009" s="37" t="str">
        <f t="array" ref="B1009">iferror(xlookup($I1009, 'IMPORT VHC Report'!$E:$E, 'IMPORT VHC Report'!$A:$C), )</f>
        <v/>
      </c>
      <c r="C1009" s="37"/>
      <c r="D1009" s="37"/>
      <c r="E1009" s="38" t="s">
        <v>1316</v>
      </c>
      <c r="F1009" s="38" t="s">
        <v>1303</v>
      </c>
      <c r="G1009" s="38">
        <v>3.61731348935E11</v>
      </c>
      <c r="H1009" s="38" t="s">
        <v>1304</v>
      </c>
      <c r="I1009" s="38" t="s">
        <v>1305</v>
      </c>
      <c r="J1009" s="38" t="s">
        <v>134</v>
      </c>
      <c r="K1009" s="38" t="s">
        <v>126</v>
      </c>
      <c r="L1009" s="41">
        <v>46008.020833333336</v>
      </c>
      <c r="M1009" s="38" t="s">
        <v>123</v>
      </c>
      <c r="N1009" s="41">
        <v>46008.041666666664</v>
      </c>
      <c r="O1009" s="38" t="s">
        <v>123</v>
      </c>
      <c r="P1009" s="38">
        <v>1800.0</v>
      </c>
      <c r="Q1009" s="39"/>
      <c r="R1009" s="39"/>
      <c r="S1009" s="39"/>
      <c r="T1009" s="39"/>
      <c r="U1009" s="39"/>
    </row>
    <row r="1010">
      <c r="A1010" s="40">
        <f t="shared" si="1"/>
        <v>46006</v>
      </c>
      <c r="B1010" s="37" t="str">
        <f t="array" ref="B1010">iferror(xlookup($I1010, 'IMPORT VHC Report'!$E:$E, 'IMPORT VHC Report'!$A:$C), )</f>
        <v/>
      </c>
      <c r="C1010" s="37"/>
      <c r="D1010" s="37"/>
      <c r="E1010" s="38" t="s">
        <v>1317</v>
      </c>
      <c r="F1010" s="38" t="s">
        <v>1303</v>
      </c>
      <c r="G1010" s="38">
        <v>3.61731348935E11</v>
      </c>
      <c r="H1010" s="38" t="s">
        <v>1304</v>
      </c>
      <c r="I1010" s="38" t="s">
        <v>1305</v>
      </c>
      <c r="J1010" s="38" t="s">
        <v>136</v>
      </c>
      <c r="K1010" s="38" t="s">
        <v>126</v>
      </c>
      <c r="L1010" s="41">
        <v>46008.666666666664</v>
      </c>
      <c r="M1010" s="38" t="s">
        <v>123</v>
      </c>
      <c r="N1010" s="41">
        <v>46008.833333333336</v>
      </c>
      <c r="O1010" s="38" t="s">
        <v>123</v>
      </c>
      <c r="P1010" s="38">
        <v>14400.0</v>
      </c>
      <c r="Q1010" s="39"/>
      <c r="R1010" s="39"/>
      <c r="S1010" s="38" t="s">
        <v>1098</v>
      </c>
      <c r="T1010" s="39"/>
      <c r="U1010" s="39"/>
    </row>
    <row r="1011">
      <c r="A1011" s="40">
        <f t="shared" si="1"/>
        <v>46006</v>
      </c>
      <c r="B1011" s="37" t="str">
        <f t="array" ref="B1011">iferror(xlookup($I1011, 'IMPORT VHC Report'!$E:$E, 'IMPORT VHC Report'!$A:$C), )</f>
        <v/>
      </c>
      <c r="C1011" s="37"/>
      <c r="D1011" s="37"/>
      <c r="E1011" s="38" t="s">
        <v>1318</v>
      </c>
      <c r="F1011" s="38" t="s">
        <v>1303</v>
      </c>
      <c r="G1011" s="38">
        <v>3.61731348935E11</v>
      </c>
      <c r="H1011" s="38" t="s">
        <v>1304</v>
      </c>
      <c r="I1011" s="38" t="s">
        <v>1305</v>
      </c>
      <c r="J1011" s="38" t="s">
        <v>332</v>
      </c>
      <c r="K1011" s="38" t="s">
        <v>63</v>
      </c>
      <c r="L1011" s="41">
        <v>46008.666666666664</v>
      </c>
      <c r="M1011" s="38" t="s">
        <v>123</v>
      </c>
      <c r="N1011" s="41">
        <v>46009.041666666664</v>
      </c>
      <c r="O1011" s="38" t="s">
        <v>123</v>
      </c>
      <c r="P1011" s="38">
        <v>32400.0</v>
      </c>
      <c r="Q1011" s="39"/>
      <c r="R1011" s="39"/>
      <c r="S1011" s="39"/>
      <c r="T1011" s="39"/>
      <c r="U1011" s="39"/>
    </row>
    <row r="1012">
      <c r="A1012" s="40">
        <f t="shared" si="1"/>
        <v>46006</v>
      </c>
      <c r="B1012" s="37" t="str">
        <f t="array" ref="B1012">iferror(xlookup($I1012, 'IMPORT VHC Report'!$E:$E, 'IMPORT VHC Report'!$A:$C), )</f>
        <v/>
      </c>
      <c r="C1012" s="37"/>
      <c r="D1012" s="37"/>
      <c r="E1012" s="38" t="s">
        <v>1319</v>
      </c>
      <c r="F1012" s="38" t="s">
        <v>1303</v>
      </c>
      <c r="G1012" s="38">
        <v>3.61731348935E11</v>
      </c>
      <c r="H1012" s="38" t="s">
        <v>1304</v>
      </c>
      <c r="I1012" s="38" t="s">
        <v>1305</v>
      </c>
      <c r="J1012" s="38" t="s">
        <v>132</v>
      </c>
      <c r="K1012" s="38" t="s">
        <v>126</v>
      </c>
      <c r="L1012" s="41">
        <v>46008.833333333336</v>
      </c>
      <c r="M1012" s="38" t="s">
        <v>123</v>
      </c>
      <c r="N1012" s="41">
        <v>46008.875</v>
      </c>
      <c r="O1012" s="38" t="s">
        <v>123</v>
      </c>
      <c r="P1012" s="38">
        <v>3600.0</v>
      </c>
      <c r="Q1012" s="39"/>
      <c r="R1012" s="39"/>
      <c r="S1012" s="39"/>
      <c r="T1012" s="39"/>
      <c r="U1012" s="39"/>
    </row>
    <row r="1013">
      <c r="A1013" s="40">
        <f t="shared" si="1"/>
        <v>46006</v>
      </c>
      <c r="B1013" s="37" t="str">
        <f t="array" ref="B1013">iferror(xlookup($I1013, 'IMPORT VHC Report'!$E:$E, 'IMPORT VHC Report'!$A:$C), )</f>
        <v/>
      </c>
      <c r="C1013" s="37"/>
      <c r="D1013" s="37"/>
      <c r="E1013" s="38" t="s">
        <v>1320</v>
      </c>
      <c r="F1013" s="38" t="s">
        <v>1303</v>
      </c>
      <c r="G1013" s="38">
        <v>3.61731348935E11</v>
      </c>
      <c r="H1013" s="38" t="s">
        <v>1304</v>
      </c>
      <c r="I1013" s="38" t="s">
        <v>1305</v>
      </c>
      <c r="J1013" s="38" t="s">
        <v>134</v>
      </c>
      <c r="K1013" s="38" t="s">
        <v>126</v>
      </c>
      <c r="L1013" s="41">
        <v>46008.875</v>
      </c>
      <c r="M1013" s="38" t="s">
        <v>123</v>
      </c>
      <c r="N1013" s="41">
        <v>46008.895833333336</v>
      </c>
      <c r="O1013" s="38" t="s">
        <v>123</v>
      </c>
      <c r="P1013" s="38">
        <v>1800.0</v>
      </c>
      <c r="Q1013" s="39"/>
      <c r="R1013" s="39"/>
      <c r="S1013" s="39"/>
      <c r="T1013" s="39"/>
      <c r="U1013" s="39"/>
    </row>
    <row r="1014">
      <c r="A1014" s="40">
        <f t="shared" si="1"/>
        <v>46006</v>
      </c>
      <c r="B1014" s="37" t="str">
        <f t="array" ref="B1014">iferror(xlookup($I1014, 'IMPORT VHC Report'!$E:$E, 'IMPORT VHC Report'!$A:$C), )</f>
        <v/>
      </c>
      <c r="C1014" s="37"/>
      <c r="D1014" s="37"/>
      <c r="E1014" s="38" t="s">
        <v>1321</v>
      </c>
      <c r="F1014" s="38" t="s">
        <v>1303</v>
      </c>
      <c r="G1014" s="38">
        <v>3.61731348935E11</v>
      </c>
      <c r="H1014" s="38" t="s">
        <v>1304</v>
      </c>
      <c r="I1014" s="38" t="s">
        <v>1305</v>
      </c>
      <c r="J1014" s="38" t="s">
        <v>332</v>
      </c>
      <c r="K1014" s="38" t="s">
        <v>63</v>
      </c>
      <c r="L1014" s="41">
        <v>46009.666666666664</v>
      </c>
      <c r="M1014" s="38" t="s">
        <v>123</v>
      </c>
      <c r="N1014" s="41">
        <v>46010.041666666664</v>
      </c>
      <c r="O1014" s="38" t="s">
        <v>123</v>
      </c>
      <c r="P1014" s="38">
        <v>32400.0</v>
      </c>
      <c r="Q1014" s="39"/>
      <c r="R1014" s="39"/>
      <c r="S1014" s="39"/>
      <c r="T1014" s="39"/>
      <c r="U1014" s="39"/>
    </row>
    <row r="1015">
      <c r="A1015" s="40">
        <f t="shared" si="1"/>
        <v>46006</v>
      </c>
      <c r="B1015" s="37" t="str">
        <f t="array" ref="B1015">iferror(xlookup($I1015, 'IMPORT VHC Report'!$E:$E, 'IMPORT VHC Report'!$A:$C), )</f>
        <v/>
      </c>
      <c r="C1015" s="37"/>
      <c r="D1015" s="37"/>
      <c r="E1015" s="38" t="s">
        <v>1322</v>
      </c>
      <c r="F1015" s="38" t="s">
        <v>1303</v>
      </c>
      <c r="G1015" s="38">
        <v>3.61731348935E11</v>
      </c>
      <c r="H1015" s="38" t="s">
        <v>1304</v>
      </c>
      <c r="I1015" s="38" t="s">
        <v>1305</v>
      </c>
      <c r="J1015" s="38" t="s">
        <v>132</v>
      </c>
      <c r="K1015" s="38" t="s">
        <v>126</v>
      </c>
      <c r="L1015" s="41">
        <v>46009.979166666664</v>
      </c>
      <c r="M1015" s="38" t="s">
        <v>123</v>
      </c>
      <c r="N1015" s="41">
        <v>46010.020833333336</v>
      </c>
      <c r="O1015" s="38" t="s">
        <v>123</v>
      </c>
      <c r="P1015" s="38">
        <v>3600.0</v>
      </c>
      <c r="Q1015" s="39"/>
      <c r="R1015" s="39"/>
      <c r="S1015" s="39"/>
      <c r="T1015" s="39"/>
      <c r="U1015" s="39"/>
    </row>
    <row r="1016">
      <c r="A1016" s="40">
        <f t="shared" si="1"/>
        <v>46006</v>
      </c>
      <c r="B1016" s="37" t="str">
        <f t="array" ref="B1016">iferror(xlookup($I1016, 'IMPORT VHC Report'!$E:$E, 'IMPORT VHC Report'!$A:$C), )</f>
        <v/>
      </c>
      <c r="C1016" s="37"/>
      <c r="D1016" s="37"/>
      <c r="E1016" s="38" t="s">
        <v>1323</v>
      </c>
      <c r="F1016" s="38" t="s">
        <v>1303</v>
      </c>
      <c r="G1016" s="38">
        <v>3.61731348935E11</v>
      </c>
      <c r="H1016" s="38" t="s">
        <v>1304</v>
      </c>
      <c r="I1016" s="38" t="s">
        <v>1305</v>
      </c>
      <c r="J1016" s="38" t="s">
        <v>134</v>
      </c>
      <c r="K1016" s="38" t="s">
        <v>126</v>
      </c>
      <c r="L1016" s="41">
        <v>46010.020833333336</v>
      </c>
      <c r="M1016" s="38" t="s">
        <v>123</v>
      </c>
      <c r="N1016" s="41">
        <v>46010.041666666664</v>
      </c>
      <c r="O1016" s="38" t="s">
        <v>123</v>
      </c>
      <c r="P1016" s="38">
        <v>1800.0</v>
      </c>
      <c r="Q1016" s="39"/>
      <c r="R1016" s="39"/>
      <c r="S1016" s="39"/>
      <c r="T1016" s="39"/>
      <c r="U1016" s="39"/>
    </row>
    <row r="1017">
      <c r="A1017" s="40">
        <f t="shared" si="1"/>
        <v>46006</v>
      </c>
      <c r="B1017" s="37" t="str">
        <f t="array" ref="B1017">iferror(xlookup($I1017, 'IMPORT VHC Report'!$E:$E, 'IMPORT VHC Report'!$A:$C), )</f>
        <v/>
      </c>
      <c r="C1017" s="37"/>
      <c r="D1017" s="37"/>
      <c r="E1017" s="38" t="s">
        <v>1324</v>
      </c>
      <c r="F1017" s="38" t="s">
        <v>1303</v>
      </c>
      <c r="G1017" s="38">
        <v>3.61731348935E11</v>
      </c>
      <c r="H1017" s="38" t="s">
        <v>1304</v>
      </c>
      <c r="I1017" s="38" t="s">
        <v>1305</v>
      </c>
      <c r="J1017" s="38" t="s">
        <v>332</v>
      </c>
      <c r="K1017" s="38" t="s">
        <v>63</v>
      </c>
      <c r="L1017" s="41">
        <v>46012.666666666664</v>
      </c>
      <c r="M1017" s="38" t="s">
        <v>123</v>
      </c>
      <c r="N1017" s="41">
        <v>46013.0</v>
      </c>
      <c r="O1017" s="38" t="s">
        <v>123</v>
      </c>
      <c r="P1017" s="38">
        <v>28800.0</v>
      </c>
      <c r="Q1017" s="39"/>
      <c r="R1017" s="39"/>
      <c r="S1017" s="39"/>
      <c r="T1017" s="39"/>
      <c r="U1017" s="39"/>
    </row>
    <row r="1018">
      <c r="A1018" s="40">
        <f t="shared" si="1"/>
        <v>46006</v>
      </c>
      <c r="B1018" s="37" t="str">
        <f t="array" ref="B1018">iferror(xlookup($I1018, 'IMPORT VHC Report'!$E:$E, 'IMPORT VHC Report'!$A:$C), )</f>
        <v/>
      </c>
      <c r="C1018" s="37"/>
      <c r="D1018" s="37"/>
      <c r="E1018" s="38" t="s">
        <v>1325</v>
      </c>
      <c r="F1018" s="38" t="s">
        <v>1303</v>
      </c>
      <c r="G1018" s="38">
        <v>3.61731348935E11</v>
      </c>
      <c r="H1018" s="38" t="s">
        <v>1304</v>
      </c>
      <c r="I1018" s="38" t="s">
        <v>1305</v>
      </c>
      <c r="J1018" s="38" t="s">
        <v>132</v>
      </c>
      <c r="K1018" s="38" t="s">
        <v>126</v>
      </c>
      <c r="L1018" s="41">
        <v>46012.979166666664</v>
      </c>
      <c r="M1018" s="38" t="s">
        <v>123</v>
      </c>
      <c r="N1018" s="41">
        <v>46013.0</v>
      </c>
      <c r="O1018" s="38" t="s">
        <v>123</v>
      </c>
      <c r="P1018" s="38">
        <v>1800.0</v>
      </c>
      <c r="Q1018" s="39"/>
      <c r="R1018" s="39"/>
      <c r="S1018" s="39"/>
      <c r="T1018" s="39"/>
      <c r="U1018" s="39"/>
    </row>
    <row r="1019">
      <c r="A1019" s="40">
        <f t="shared" si="1"/>
        <v>46006</v>
      </c>
      <c r="B1019" s="37" t="str">
        <f t="array" ref="B1019">iferror(xlookup($I1019, 'IMPORT VHC Report'!$E:$E, 'IMPORT VHC Report'!$A:$C), )</f>
        <v/>
      </c>
      <c r="C1019" s="37"/>
      <c r="D1019" s="37"/>
      <c r="E1019" s="38" t="s">
        <v>1326</v>
      </c>
      <c r="F1019" s="38" t="s">
        <v>1327</v>
      </c>
      <c r="G1019" s="38">
        <v>7.874569114383E12</v>
      </c>
      <c r="H1019" s="38" t="s">
        <v>1328</v>
      </c>
      <c r="I1019" s="38" t="s">
        <v>1329</v>
      </c>
      <c r="J1019" s="38" t="s">
        <v>152</v>
      </c>
      <c r="K1019" s="38" t="s">
        <v>153</v>
      </c>
      <c r="L1019" s="41">
        <v>46006.0</v>
      </c>
      <c r="M1019" s="38" t="s">
        <v>123</v>
      </c>
      <c r="N1019" s="41">
        <v>46006.375</v>
      </c>
      <c r="O1019" s="38" t="s">
        <v>123</v>
      </c>
      <c r="P1019" s="38">
        <v>32400.0</v>
      </c>
      <c r="Q1019" s="38">
        <v>32400.0</v>
      </c>
      <c r="R1019" s="39"/>
      <c r="S1019" s="39"/>
      <c r="T1019" s="39"/>
      <c r="U1019" s="39"/>
    </row>
    <row r="1020">
      <c r="A1020" s="40">
        <f t="shared" si="1"/>
        <v>46006</v>
      </c>
      <c r="B1020" s="37" t="str">
        <f t="array" ref="B1020">iferror(xlookup($I1020, 'IMPORT VHC Report'!$E:$E, 'IMPORT VHC Report'!$A:$C), )</f>
        <v/>
      </c>
      <c r="C1020" s="37"/>
      <c r="D1020" s="37"/>
      <c r="E1020" s="38" t="s">
        <v>1330</v>
      </c>
      <c r="F1020" s="38" t="s">
        <v>1327</v>
      </c>
      <c r="G1020" s="38">
        <v>7.874569114383E12</v>
      </c>
      <c r="H1020" s="38" t="s">
        <v>1328</v>
      </c>
      <c r="I1020" s="38" t="s">
        <v>1329</v>
      </c>
      <c r="J1020" s="38" t="s">
        <v>330</v>
      </c>
      <c r="K1020" s="38" t="s">
        <v>126</v>
      </c>
      <c r="L1020" s="41">
        <v>46006.020833333336</v>
      </c>
      <c r="M1020" s="38" t="s">
        <v>123</v>
      </c>
      <c r="N1020" s="41">
        <v>46006.03125</v>
      </c>
      <c r="O1020" s="38" t="s">
        <v>123</v>
      </c>
      <c r="P1020" s="38">
        <v>900.0</v>
      </c>
      <c r="Q1020" s="39"/>
      <c r="R1020" s="39"/>
      <c r="S1020" s="39"/>
      <c r="T1020" s="39"/>
      <c r="U1020" s="39"/>
    </row>
    <row r="1021">
      <c r="A1021" s="40">
        <f t="shared" si="1"/>
        <v>46006</v>
      </c>
      <c r="B1021" s="37" t="str">
        <f t="array" ref="B1021">iferror(xlookup($I1021, 'IMPORT VHC Report'!$E:$E, 'IMPORT VHC Report'!$A:$C), )</f>
        <v/>
      </c>
      <c r="C1021" s="37"/>
      <c r="D1021" s="37"/>
      <c r="E1021" s="38" t="s">
        <v>1331</v>
      </c>
      <c r="F1021" s="38" t="s">
        <v>1327</v>
      </c>
      <c r="G1021" s="38">
        <v>7.874569114383E12</v>
      </c>
      <c r="H1021" s="38" t="s">
        <v>1328</v>
      </c>
      <c r="I1021" s="38" t="s">
        <v>1329</v>
      </c>
      <c r="J1021" s="38" t="s">
        <v>224</v>
      </c>
      <c r="K1021" s="38" t="s">
        <v>63</v>
      </c>
      <c r="L1021" s="41">
        <v>46006.03125</v>
      </c>
      <c r="M1021" s="38" t="s">
        <v>123</v>
      </c>
      <c r="N1021" s="41">
        <v>46006.114583333336</v>
      </c>
      <c r="O1021" s="38" t="s">
        <v>123</v>
      </c>
      <c r="P1021" s="38">
        <v>7200.0</v>
      </c>
      <c r="Q1021" s="39"/>
      <c r="R1021" s="39"/>
      <c r="S1021" s="39"/>
      <c r="T1021" s="39"/>
      <c r="U1021" s="39"/>
    </row>
    <row r="1022">
      <c r="A1022" s="40">
        <f t="shared" si="1"/>
        <v>46006</v>
      </c>
      <c r="B1022" s="37" t="str">
        <f t="array" ref="B1022">iferror(xlookup($I1022, 'IMPORT VHC Report'!$E:$E, 'IMPORT VHC Report'!$A:$C), )</f>
        <v/>
      </c>
      <c r="C1022" s="37"/>
      <c r="D1022" s="37"/>
      <c r="E1022" s="38" t="s">
        <v>1332</v>
      </c>
      <c r="F1022" s="38" t="s">
        <v>1327</v>
      </c>
      <c r="G1022" s="38">
        <v>7.874569114383E12</v>
      </c>
      <c r="H1022" s="38" t="s">
        <v>1328</v>
      </c>
      <c r="I1022" s="38" t="s">
        <v>1329</v>
      </c>
      <c r="J1022" s="38" t="s">
        <v>132</v>
      </c>
      <c r="K1022" s="38" t="s">
        <v>126</v>
      </c>
      <c r="L1022" s="41">
        <v>46006.114583333336</v>
      </c>
      <c r="M1022" s="38" t="s">
        <v>123</v>
      </c>
      <c r="N1022" s="41">
        <v>46006.15625</v>
      </c>
      <c r="O1022" s="38" t="s">
        <v>123</v>
      </c>
      <c r="P1022" s="38">
        <v>3600.0</v>
      </c>
      <c r="Q1022" s="39"/>
      <c r="R1022" s="39"/>
      <c r="S1022" s="39"/>
      <c r="T1022" s="39"/>
      <c r="U1022" s="39"/>
    </row>
    <row r="1023">
      <c r="A1023" s="40">
        <f t="shared" si="1"/>
        <v>46006</v>
      </c>
      <c r="B1023" s="37" t="str">
        <f t="array" ref="B1023">iferror(xlookup($I1023, 'IMPORT VHC Report'!$E:$E, 'IMPORT VHC Report'!$A:$C), )</f>
        <v/>
      </c>
      <c r="C1023" s="37"/>
      <c r="D1023" s="37"/>
      <c r="E1023" s="38" t="s">
        <v>1333</v>
      </c>
      <c r="F1023" s="38" t="s">
        <v>1327</v>
      </c>
      <c r="G1023" s="38">
        <v>7.874569114383E12</v>
      </c>
      <c r="H1023" s="38" t="s">
        <v>1328</v>
      </c>
      <c r="I1023" s="38" t="s">
        <v>1329</v>
      </c>
      <c r="J1023" s="38" t="s">
        <v>224</v>
      </c>
      <c r="K1023" s="38" t="s">
        <v>63</v>
      </c>
      <c r="L1023" s="41">
        <v>46006.15625</v>
      </c>
      <c r="M1023" s="38" t="s">
        <v>123</v>
      </c>
      <c r="N1023" s="41">
        <v>46006.21875</v>
      </c>
      <c r="O1023" s="38" t="s">
        <v>123</v>
      </c>
      <c r="P1023" s="38">
        <v>5400.0</v>
      </c>
      <c r="Q1023" s="39"/>
      <c r="R1023" s="39"/>
      <c r="S1023" s="39"/>
      <c r="T1023" s="39"/>
      <c r="U1023" s="39"/>
    </row>
    <row r="1024">
      <c r="A1024" s="40">
        <f t="shared" si="1"/>
        <v>46006</v>
      </c>
      <c r="B1024" s="37" t="str">
        <f t="array" ref="B1024">iferror(xlookup($I1024, 'IMPORT VHC Report'!$E:$E, 'IMPORT VHC Report'!$A:$C), )</f>
        <v/>
      </c>
      <c r="C1024" s="37"/>
      <c r="D1024" s="37"/>
      <c r="E1024" s="38" t="s">
        <v>1334</v>
      </c>
      <c r="F1024" s="38" t="s">
        <v>1327</v>
      </c>
      <c r="G1024" s="38">
        <v>7.874569114383E12</v>
      </c>
      <c r="H1024" s="38" t="s">
        <v>1328</v>
      </c>
      <c r="I1024" s="38" t="s">
        <v>1329</v>
      </c>
      <c r="J1024" s="38" t="s">
        <v>134</v>
      </c>
      <c r="K1024" s="38" t="s">
        <v>126</v>
      </c>
      <c r="L1024" s="41">
        <v>46006.21875</v>
      </c>
      <c r="M1024" s="38" t="s">
        <v>123</v>
      </c>
      <c r="N1024" s="41">
        <v>46006.229166666664</v>
      </c>
      <c r="O1024" s="38" t="s">
        <v>123</v>
      </c>
      <c r="P1024" s="38">
        <v>900.0</v>
      </c>
      <c r="Q1024" s="39"/>
      <c r="R1024" s="39"/>
      <c r="S1024" s="39"/>
      <c r="T1024" s="39"/>
      <c r="U1024" s="39"/>
    </row>
    <row r="1025">
      <c r="A1025" s="40">
        <f t="shared" si="1"/>
        <v>46006</v>
      </c>
      <c r="B1025" s="37" t="str">
        <f t="array" ref="B1025">iferror(xlookup($I1025, 'IMPORT VHC Report'!$E:$E, 'IMPORT VHC Report'!$A:$C), )</f>
        <v/>
      </c>
      <c r="C1025" s="37"/>
      <c r="D1025" s="37"/>
      <c r="E1025" s="38" t="s">
        <v>1335</v>
      </c>
      <c r="F1025" s="38" t="s">
        <v>1327</v>
      </c>
      <c r="G1025" s="38">
        <v>7.874569114383E12</v>
      </c>
      <c r="H1025" s="38" t="s">
        <v>1328</v>
      </c>
      <c r="I1025" s="38" t="s">
        <v>1329</v>
      </c>
      <c r="J1025" s="38" t="s">
        <v>224</v>
      </c>
      <c r="K1025" s="38" t="s">
        <v>63</v>
      </c>
      <c r="L1025" s="41">
        <v>46006.229166666664</v>
      </c>
      <c r="M1025" s="38" t="s">
        <v>123</v>
      </c>
      <c r="N1025" s="41">
        <v>46006.291666666664</v>
      </c>
      <c r="O1025" s="38" t="s">
        <v>123</v>
      </c>
      <c r="P1025" s="38">
        <v>5400.0</v>
      </c>
      <c r="Q1025" s="39"/>
      <c r="R1025" s="39"/>
      <c r="S1025" s="39"/>
      <c r="T1025" s="39"/>
      <c r="U1025" s="39"/>
    </row>
    <row r="1026">
      <c r="A1026" s="40">
        <f t="shared" si="1"/>
        <v>46006</v>
      </c>
      <c r="B1026" s="37" t="str">
        <f t="array" ref="B1026">iferror(xlookup($I1026, 'IMPORT VHC Report'!$E:$E, 'IMPORT VHC Report'!$A:$C), )</f>
        <v/>
      </c>
      <c r="C1026" s="37"/>
      <c r="D1026" s="37"/>
      <c r="E1026" s="38" t="s">
        <v>1336</v>
      </c>
      <c r="F1026" s="38" t="s">
        <v>1327</v>
      </c>
      <c r="G1026" s="38">
        <v>7.874569114383E12</v>
      </c>
      <c r="H1026" s="38" t="s">
        <v>1328</v>
      </c>
      <c r="I1026" s="38" t="s">
        <v>1329</v>
      </c>
      <c r="J1026" s="38" t="s">
        <v>134</v>
      </c>
      <c r="K1026" s="38" t="s">
        <v>126</v>
      </c>
      <c r="L1026" s="41">
        <v>46006.291666666664</v>
      </c>
      <c r="M1026" s="38" t="s">
        <v>123</v>
      </c>
      <c r="N1026" s="41">
        <v>46006.302083333336</v>
      </c>
      <c r="O1026" s="38" t="s">
        <v>123</v>
      </c>
      <c r="P1026" s="38">
        <v>900.0</v>
      </c>
      <c r="Q1026" s="39"/>
      <c r="R1026" s="39"/>
      <c r="S1026" s="39"/>
      <c r="T1026" s="39"/>
      <c r="U1026" s="39"/>
    </row>
    <row r="1027">
      <c r="A1027" s="40">
        <f t="shared" si="1"/>
        <v>46006</v>
      </c>
      <c r="B1027" s="37" t="str">
        <f t="array" ref="B1027">iferror(xlookup($I1027, 'IMPORT VHC Report'!$E:$E, 'IMPORT VHC Report'!$A:$C), )</f>
        <v/>
      </c>
      <c r="C1027" s="37"/>
      <c r="D1027" s="37"/>
      <c r="E1027" s="38" t="s">
        <v>1337</v>
      </c>
      <c r="F1027" s="38" t="s">
        <v>1327</v>
      </c>
      <c r="G1027" s="38">
        <v>7.874569114383E12</v>
      </c>
      <c r="H1027" s="38" t="s">
        <v>1328</v>
      </c>
      <c r="I1027" s="38" t="s">
        <v>1329</v>
      </c>
      <c r="J1027" s="38" t="s">
        <v>224</v>
      </c>
      <c r="K1027" s="38" t="s">
        <v>63</v>
      </c>
      <c r="L1027" s="41">
        <v>46006.302083333336</v>
      </c>
      <c r="M1027" s="38" t="s">
        <v>123</v>
      </c>
      <c r="N1027" s="41">
        <v>46006.375</v>
      </c>
      <c r="O1027" s="38" t="s">
        <v>123</v>
      </c>
      <c r="P1027" s="38">
        <v>6300.0</v>
      </c>
      <c r="Q1027" s="39"/>
      <c r="R1027" s="39"/>
      <c r="S1027" s="39"/>
      <c r="T1027" s="39"/>
      <c r="U1027" s="39"/>
    </row>
    <row r="1028">
      <c r="A1028" s="40">
        <f t="shared" si="1"/>
        <v>46006</v>
      </c>
      <c r="B1028" s="37" t="str">
        <f t="array" ref="B1028">iferror(xlookup($I1028, 'IMPORT VHC Report'!$E:$E, 'IMPORT VHC Report'!$A:$C), )</f>
        <v/>
      </c>
      <c r="C1028" s="37"/>
      <c r="D1028" s="37"/>
      <c r="E1028" s="38" t="s">
        <v>1338</v>
      </c>
      <c r="F1028" s="38" t="s">
        <v>1327</v>
      </c>
      <c r="G1028" s="38">
        <v>7.874569114383E12</v>
      </c>
      <c r="H1028" s="38" t="s">
        <v>1328</v>
      </c>
      <c r="I1028" s="38" t="s">
        <v>1329</v>
      </c>
      <c r="J1028" s="38" t="s">
        <v>224</v>
      </c>
      <c r="K1028" s="38" t="s">
        <v>63</v>
      </c>
      <c r="L1028" s="41">
        <v>46007.0</v>
      </c>
      <c r="M1028" s="38" t="s">
        <v>123</v>
      </c>
      <c r="N1028" s="41">
        <v>46007.083333333336</v>
      </c>
      <c r="O1028" s="38" t="s">
        <v>123</v>
      </c>
      <c r="P1028" s="38">
        <v>7200.0</v>
      </c>
      <c r="Q1028" s="39"/>
      <c r="R1028" s="39"/>
      <c r="S1028" s="39"/>
      <c r="T1028" s="39"/>
      <c r="U1028" s="39"/>
    </row>
    <row r="1029">
      <c r="A1029" s="40">
        <f t="shared" si="1"/>
        <v>46006</v>
      </c>
      <c r="B1029" s="37" t="str">
        <f t="array" ref="B1029">iferror(xlookup($I1029, 'IMPORT VHC Report'!$E:$E, 'IMPORT VHC Report'!$A:$C), )</f>
        <v/>
      </c>
      <c r="C1029" s="37"/>
      <c r="D1029" s="37"/>
      <c r="E1029" s="38" t="s">
        <v>1339</v>
      </c>
      <c r="F1029" s="38" t="s">
        <v>1327</v>
      </c>
      <c r="G1029" s="38">
        <v>7.874569114383E12</v>
      </c>
      <c r="H1029" s="38" t="s">
        <v>1328</v>
      </c>
      <c r="I1029" s="38" t="s">
        <v>1329</v>
      </c>
      <c r="J1029" s="38" t="s">
        <v>134</v>
      </c>
      <c r="K1029" s="38" t="s">
        <v>126</v>
      </c>
      <c r="L1029" s="41">
        <v>46007.083333333336</v>
      </c>
      <c r="M1029" s="38" t="s">
        <v>123</v>
      </c>
      <c r="N1029" s="41">
        <v>46007.09375</v>
      </c>
      <c r="O1029" s="38" t="s">
        <v>123</v>
      </c>
      <c r="P1029" s="38">
        <v>900.0</v>
      </c>
      <c r="Q1029" s="39"/>
      <c r="R1029" s="39"/>
      <c r="S1029" s="39"/>
      <c r="T1029" s="39"/>
      <c r="U1029" s="39"/>
    </row>
    <row r="1030">
      <c r="A1030" s="40">
        <f t="shared" si="1"/>
        <v>46006</v>
      </c>
      <c r="B1030" s="37" t="str">
        <f t="array" ref="B1030">iferror(xlookup($I1030, 'IMPORT VHC Report'!$E:$E, 'IMPORT VHC Report'!$A:$C), )</f>
        <v/>
      </c>
      <c r="C1030" s="37"/>
      <c r="D1030" s="37"/>
      <c r="E1030" s="38" t="s">
        <v>1340</v>
      </c>
      <c r="F1030" s="38" t="s">
        <v>1327</v>
      </c>
      <c r="G1030" s="38">
        <v>7.874569114383E12</v>
      </c>
      <c r="H1030" s="38" t="s">
        <v>1328</v>
      </c>
      <c r="I1030" s="38" t="s">
        <v>1329</v>
      </c>
      <c r="J1030" s="38" t="s">
        <v>224</v>
      </c>
      <c r="K1030" s="38" t="s">
        <v>63</v>
      </c>
      <c r="L1030" s="41">
        <v>46007.09375</v>
      </c>
      <c r="M1030" s="38" t="s">
        <v>123</v>
      </c>
      <c r="N1030" s="41">
        <v>46007.15625</v>
      </c>
      <c r="O1030" s="38" t="s">
        <v>123</v>
      </c>
      <c r="P1030" s="38">
        <v>5400.0</v>
      </c>
      <c r="Q1030" s="39"/>
      <c r="R1030" s="39"/>
      <c r="S1030" s="39"/>
      <c r="T1030" s="39"/>
      <c r="U1030" s="39"/>
    </row>
    <row r="1031">
      <c r="A1031" s="40">
        <f t="shared" si="1"/>
        <v>46006</v>
      </c>
      <c r="B1031" s="37" t="str">
        <f t="array" ref="B1031">iferror(xlookup($I1031, 'IMPORT VHC Report'!$E:$E, 'IMPORT VHC Report'!$A:$C), )</f>
        <v/>
      </c>
      <c r="C1031" s="37"/>
      <c r="D1031" s="37"/>
      <c r="E1031" s="38" t="s">
        <v>1341</v>
      </c>
      <c r="F1031" s="38" t="s">
        <v>1327</v>
      </c>
      <c r="G1031" s="38">
        <v>7.874569114383E12</v>
      </c>
      <c r="H1031" s="38" t="s">
        <v>1328</v>
      </c>
      <c r="I1031" s="38" t="s">
        <v>1329</v>
      </c>
      <c r="J1031" s="38" t="s">
        <v>132</v>
      </c>
      <c r="K1031" s="38" t="s">
        <v>126</v>
      </c>
      <c r="L1031" s="41">
        <v>46007.15625</v>
      </c>
      <c r="M1031" s="38" t="s">
        <v>123</v>
      </c>
      <c r="N1031" s="41">
        <v>46007.197916666664</v>
      </c>
      <c r="O1031" s="38" t="s">
        <v>123</v>
      </c>
      <c r="P1031" s="38">
        <v>3600.0</v>
      </c>
      <c r="Q1031" s="39"/>
      <c r="R1031" s="39"/>
      <c r="S1031" s="39"/>
      <c r="T1031" s="39"/>
      <c r="U1031" s="39"/>
    </row>
    <row r="1032">
      <c r="A1032" s="40">
        <f t="shared" si="1"/>
        <v>46006</v>
      </c>
      <c r="B1032" s="37" t="str">
        <f t="array" ref="B1032">iferror(xlookup($I1032, 'IMPORT VHC Report'!$E:$E, 'IMPORT VHC Report'!$A:$C), )</f>
        <v/>
      </c>
      <c r="C1032" s="37"/>
      <c r="D1032" s="37"/>
      <c r="E1032" s="38" t="s">
        <v>1342</v>
      </c>
      <c r="F1032" s="38" t="s">
        <v>1327</v>
      </c>
      <c r="G1032" s="38">
        <v>7.874569114383E12</v>
      </c>
      <c r="H1032" s="38" t="s">
        <v>1328</v>
      </c>
      <c r="I1032" s="38" t="s">
        <v>1329</v>
      </c>
      <c r="J1032" s="38" t="s">
        <v>224</v>
      </c>
      <c r="K1032" s="38" t="s">
        <v>63</v>
      </c>
      <c r="L1032" s="41">
        <v>46007.197916666664</v>
      </c>
      <c r="M1032" s="38" t="s">
        <v>123</v>
      </c>
      <c r="N1032" s="41">
        <v>46007.260416666664</v>
      </c>
      <c r="O1032" s="38" t="s">
        <v>123</v>
      </c>
      <c r="P1032" s="38">
        <v>5400.0</v>
      </c>
      <c r="Q1032" s="39"/>
      <c r="R1032" s="39"/>
      <c r="S1032" s="39"/>
      <c r="T1032" s="39"/>
      <c r="U1032" s="39"/>
    </row>
    <row r="1033">
      <c r="A1033" s="40">
        <f t="shared" si="1"/>
        <v>46006</v>
      </c>
      <c r="B1033" s="37" t="str">
        <f t="array" ref="B1033">iferror(xlookup($I1033, 'IMPORT VHC Report'!$E:$E, 'IMPORT VHC Report'!$A:$C), )</f>
        <v/>
      </c>
      <c r="C1033" s="37"/>
      <c r="D1033" s="37"/>
      <c r="E1033" s="38" t="s">
        <v>1343</v>
      </c>
      <c r="F1033" s="38" t="s">
        <v>1327</v>
      </c>
      <c r="G1033" s="38">
        <v>7.874569114383E12</v>
      </c>
      <c r="H1033" s="38" t="s">
        <v>1328</v>
      </c>
      <c r="I1033" s="38" t="s">
        <v>1329</v>
      </c>
      <c r="J1033" s="38" t="s">
        <v>134</v>
      </c>
      <c r="K1033" s="38" t="s">
        <v>126</v>
      </c>
      <c r="L1033" s="41">
        <v>46007.260416666664</v>
      </c>
      <c r="M1033" s="38" t="s">
        <v>123</v>
      </c>
      <c r="N1033" s="41">
        <v>46007.270833333336</v>
      </c>
      <c r="O1033" s="38" t="s">
        <v>123</v>
      </c>
      <c r="P1033" s="38">
        <v>900.0</v>
      </c>
      <c r="Q1033" s="39"/>
      <c r="R1033" s="39"/>
      <c r="S1033" s="39"/>
      <c r="T1033" s="39"/>
      <c r="U1033" s="39"/>
    </row>
    <row r="1034">
      <c r="A1034" s="40">
        <f t="shared" si="1"/>
        <v>46006</v>
      </c>
      <c r="B1034" s="37" t="str">
        <f t="array" ref="B1034">iferror(xlookup($I1034, 'IMPORT VHC Report'!$E:$E, 'IMPORT VHC Report'!$A:$C), )</f>
        <v/>
      </c>
      <c r="C1034" s="37"/>
      <c r="D1034" s="37"/>
      <c r="E1034" s="38" t="s">
        <v>1344</v>
      </c>
      <c r="F1034" s="38" t="s">
        <v>1327</v>
      </c>
      <c r="G1034" s="38">
        <v>7.874569114383E12</v>
      </c>
      <c r="H1034" s="38" t="s">
        <v>1328</v>
      </c>
      <c r="I1034" s="38" t="s">
        <v>1329</v>
      </c>
      <c r="J1034" s="38" t="s">
        <v>136</v>
      </c>
      <c r="K1034" s="38" t="s">
        <v>126</v>
      </c>
      <c r="L1034" s="41">
        <v>46007.270833333336</v>
      </c>
      <c r="M1034" s="38" t="s">
        <v>123</v>
      </c>
      <c r="N1034" s="41">
        <v>46007.291666666664</v>
      </c>
      <c r="O1034" s="38" t="s">
        <v>123</v>
      </c>
      <c r="P1034" s="38">
        <v>1800.0</v>
      </c>
      <c r="Q1034" s="39"/>
      <c r="R1034" s="39"/>
      <c r="S1034" s="38" t="s">
        <v>137</v>
      </c>
      <c r="T1034" s="39"/>
      <c r="U1034" s="39"/>
    </row>
    <row r="1035">
      <c r="A1035" s="40">
        <f t="shared" si="1"/>
        <v>46006</v>
      </c>
      <c r="B1035" s="37" t="str">
        <f t="array" ref="B1035">iferror(xlookup($I1035, 'IMPORT VHC Report'!$E:$E, 'IMPORT VHC Report'!$A:$C), )</f>
        <v/>
      </c>
      <c r="C1035" s="37"/>
      <c r="D1035" s="37"/>
      <c r="E1035" s="38" t="s">
        <v>1345</v>
      </c>
      <c r="F1035" s="38" t="s">
        <v>1327</v>
      </c>
      <c r="G1035" s="38">
        <v>7.874569114383E12</v>
      </c>
      <c r="H1035" s="38" t="s">
        <v>1328</v>
      </c>
      <c r="I1035" s="38" t="s">
        <v>1329</v>
      </c>
      <c r="J1035" s="38" t="s">
        <v>62</v>
      </c>
      <c r="K1035" s="38" t="s">
        <v>63</v>
      </c>
      <c r="L1035" s="41">
        <v>46007.291666666664</v>
      </c>
      <c r="M1035" s="38" t="s">
        <v>123</v>
      </c>
      <c r="N1035" s="41">
        <v>46007.3125</v>
      </c>
      <c r="O1035" s="38" t="s">
        <v>123</v>
      </c>
      <c r="P1035" s="38">
        <v>1800.0</v>
      </c>
      <c r="Q1035" s="39"/>
      <c r="R1035" s="39"/>
      <c r="S1035" s="39"/>
      <c r="T1035" s="39"/>
      <c r="U1035" s="39"/>
    </row>
    <row r="1036">
      <c r="A1036" s="40">
        <f t="shared" si="1"/>
        <v>46006</v>
      </c>
      <c r="B1036" s="37" t="str">
        <f t="array" ref="B1036">iferror(xlookup($I1036, 'IMPORT VHC Report'!$E:$E, 'IMPORT VHC Report'!$A:$C), )</f>
        <v/>
      </c>
      <c r="C1036" s="37"/>
      <c r="D1036" s="37"/>
      <c r="E1036" s="38" t="s">
        <v>1346</v>
      </c>
      <c r="F1036" s="38" t="s">
        <v>1327</v>
      </c>
      <c r="G1036" s="38">
        <v>7.874569114383E12</v>
      </c>
      <c r="H1036" s="38" t="s">
        <v>1328</v>
      </c>
      <c r="I1036" s="38" t="s">
        <v>1329</v>
      </c>
      <c r="J1036" s="38" t="s">
        <v>224</v>
      </c>
      <c r="K1036" s="38" t="s">
        <v>63</v>
      </c>
      <c r="L1036" s="41">
        <v>46007.3125</v>
      </c>
      <c r="M1036" s="38" t="s">
        <v>123</v>
      </c>
      <c r="N1036" s="41">
        <v>46007.375</v>
      </c>
      <c r="O1036" s="38" t="s">
        <v>123</v>
      </c>
      <c r="P1036" s="38">
        <v>5400.0</v>
      </c>
      <c r="Q1036" s="39"/>
      <c r="R1036" s="39"/>
      <c r="S1036" s="39"/>
      <c r="T1036" s="39"/>
      <c r="U1036" s="39"/>
    </row>
    <row r="1037">
      <c r="A1037" s="40">
        <f t="shared" si="1"/>
        <v>46006</v>
      </c>
      <c r="B1037" s="37" t="str">
        <f t="array" ref="B1037">iferror(xlookup($I1037, 'IMPORT VHC Report'!$E:$E, 'IMPORT VHC Report'!$A:$C), )</f>
        <v/>
      </c>
      <c r="C1037" s="37"/>
      <c r="D1037" s="37"/>
      <c r="E1037" s="38" t="s">
        <v>1347</v>
      </c>
      <c r="F1037" s="38" t="s">
        <v>1327</v>
      </c>
      <c r="G1037" s="38">
        <v>7.874569114383E12</v>
      </c>
      <c r="H1037" s="38" t="s">
        <v>1328</v>
      </c>
      <c r="I1037" s="38" t="s">
        <v>1329</v>
      </c>
      <c r="J1037" s="38" t="s">
        <v>224</v>
      </c>
      <c r="K1037" s="38" t="s">
        <v>63</v>
      </c>
      <c r="L1037" s="41">
        <v>46008.0</v>
      </c>
      <c r="M1037" s="38" t="s">
        <v>123</v>
      </c>
      <c r="N1037" s="41">
        <v>46008.083333333336</v>
      </c>
      <c r="O1037" s="38" t="s">
        <v>123</v>
      </c>
      <c r="P1037" s="38">
        <v>7200.0</v>
      </c>
      <c r="Q1037" s="39"/>
      <c r="R1037" s="39"/>
      <c r="S1037" s="39"/>
      <c r="T1037" s="39"/>
      <c r="U1037" s="39"/>
    </row>
    <row r="1038">
      <c r="A1038" s="40">
        <f t="shared" si="1"/>
        <v>46006</v>
      </c>
      <c r="B1038" s="37" t="str">
        <f t="array" ref="B1038">iferror(xlookup($I1038, 'IMPORT VHC Report'!$E:$E, 'IMPORT VHC Report'!$A:$C), )</f>
        <v/>
      </c>
      <c r="C1038" s="37"/>
      <c r="D1038" s="37"/>
      <c r="E1038" s="38" t="s">
        <v>1348</v>
      </c>
      <c r="F1038" s="38" t="s">
        <v>1327</v>
      </c>
      <c r="G1038" s="38">
        <v>7.874569114383E12</v>
      </c>
      <c r="H1038" s="38" t="s">
        <v>1328</v>
      </c>
      <c r="I1038" s="38" t="s">
        <v>1329</v>
      </c>
      <c r="J1038" s="38" t="s">
        <v>134</v>
      </c>
      <c r="K1038" s="38" t="s">
        <v>126</v>
      </c>
      <c r="L1038" s="41">
        <v>46008.083333333336</v>
      </c>
      <c r="M1038" s="38" t="s">
        <v>123</v>
      </c>
      <c r="N1038" s="41">
        <v>46008.09375</v>
      </c>
      <c r="O1038" s="38" t="s">
        <v>123</v>
      </c>
      <c r="P1038" s="38">
        <v>900.0</v>
      </c>
      <c r="Q1038" s="39"/>
      <c r="R1038" s="39"/>
      <c r="S1038" s="39"/>
      <c r="T1038" s="39"/>
      <c r="U1038" s="39"/>
    </row>
    <row r="1039">
      <c r="A1039" s="40">
        <f t="shared" si="1"/>
        <v>46006</v>
      </c>
      <c r="B1039" s="37" t="str">
        <f t="array" ref="B1039">iferror(xlookup($I1039, 'IMPORT VHC Report'!$E:$E, 'IMPORT VHC Report'!$A:$C), )</f>
        <v/>
      </c>
      <c r="C1039" s="37"/>
      <c r="D1039" s="37"/>
      <c r="E1039" s="38" t="s">
        <v>1349</v>
      </c>
      <c r="F1039" s="38" t="s">
        <v>1327</v>
      </c>
      <c r="G1039" s="38">
        <v>7.874569114383E12</v>
      </c>
      <c r="H1039" s="38" t="s">
        <v>1328</v>
      </c>
      <c r="I1039" s="38" t="s">
        <v>1329</v>
      </c>
      <c r="J1039" s="38" t="s">
        <v>224</v>
      </c>
      <c r="K1039" s="38" t="s">
        <v>63</v>
      </c>
      <c r="L1039" s="41">
        <v>46008.09375</v>
      </c>
      <c r="M1039" s="38" t="s">
        <v>123</v>
      </c>
      <c r="N1039" s="41">
        <v>46008.1875</v>
      </c>
      <c r="O1039" s="38" t="s">
        <v>123</v>
      </c>
      <c r="P1039" s="38">
        <v>8100.0</v>
      </c>
      <c r="Q1039" s="39"/>
      <c r="R1039" s="39"/>
      <c r="S1039" s="39"/>
      <c r="T1039" s="39"/>
      <c r="U1039" s="39"/>
    </row>
    <row r="1040">
      <c r="A1040" s="40">
        <f t="shared" si="1"/>
        <v>46006</v>
      </c>
      <c r="B1040" s="37" t="str">
        <f t="array" ref="B1040">iferror(xlookup($I1040, 'IMPORT VHC Report'!$E:$E, 'IMPORT VHC Report'!$A:$C), )</f>
        <v/>
      </c>
      <c r="C1040" s="37"/>
      <c r="D1040" s="37"/>
      <c r="E1040" s="38" t="s">
        <v>1350</v>
      </c>
      <c r="F1040" s="38" t="s">
        <v>1327</v>
      </c>
      <c r="G1040" s="38">
        <v>7.874569114383E12</v>
      </c>
      <c r="H1040" s="38" t="s">
        <v>1328</v>
      </c>
      <c r="I1040" s="38" t="s">
        <v>1329</v>
      </c>
      <c r="J1040" s="38" t="s">
        <v>132</v>
      </c>
      <c r="K1040" s="38" t="s">
        <v>126</v>
      </c>
      <c r="L1040" s="41">
        <v>46008.1875</v>
      </c>
      <c r="M1040" s="38" t="s">
        <v>123</v>
      </c>
      <c r="N1040" s="41">
        <v>46008.229166666664</v>
      </c>
      <c r="O1040" s="38" t="s">
        <v>123</v>
      </c>
      <c r="P1040" s="38">
        <v>3600.0</v>
      </c>
      <c r="Q1040" s="39"/>
      <c r="R1040" s="39"/>
      <c r="S1040" s="39"/>
      <c r="T1040" s="39"/>
      <c r="U1040" s="39"/>
    </row>
    <row r="1041">
      <c r="A1041" s="40">
        <f t="shared" si="1"/>
        <v>46006</v>
      </c>
      <c r="B1041" s="37" t="str">
        <f t="array" ref="B1041">iferror(xlookup($I1041, 'IMPORT VHC Report'!$E:$E, 'IMPORT VHC Report'!$A:$C), )</f>
        <v/>
      </c>
      <c r="C1041" s="37"/>
      <c r="D1041" s="37"/>
      <c r="E1041" s="38" t="s">
        <v>1351</v>
      </c>
      <c r="F1041" s="38" t="s">
        <v>1327</v>
      </c>
      <c r="G1041" s="38">
        <v>7.874569114383E12</v>
      </c>
      <c r="H1041" s="38" t="s">
        <v>1328</v>
      </c>
      <c r="I1041" s="38" t="s">
        <v>1329</v>
      </c>
      <c r="J1041" s="38" t="s">
        <v>136</v>
      </c>
      <c r="K1041" s="38" t="s">
        <v>126</v>
      </c>
      <c r="L1041" s="41">
        <v>46008.229166666664</v>
      </c>
      <c r="M1041" s="38" t="s">
        <v>123</v>
      </c>
      <c r="N1041" s="41">
        <v>46008.239583333336</v>
      </c>
      <c r="O1041" s="38" t="s">
        <v>123</v>
      </c>
      <c r="P1041" s="38">
        <v>900.0</v>
      </c>
      <c r="Q1041" s="39"/>
      <c r="R1041" s="39"/>
      <c r="S1041" s="38" t="s">
        <v>778</v>
      </c>
      <c r="T1041" s="39"/>
      <c r="U1041" s="39"/>
    </row>
    <row r="1042">
      <c r="A1042" s="40">
        <f t="shared" si="1"/>
        <v>46006</v>
      </c>
      <c r="B1042" s="37" t="str">
        <f t="array" ref="B1042">iferror(xlookup($I1042, 'IMPORT VHC Report'!$E:$E, 'IMPORT VHC Report'!$A:$C), )</f>
        <v/>
      </c>
      <c r="C1042" s="37"/>
      <c r="D1042" s="37"/>
      <c r="E1042" s="38" t="s">
        <v>1352</v>
      </c>
      <c r="F1042" s="38" t="s">
        <v>1327</v>
      </c>
      <c r="G1042" s="38">
        <v>7.874569114383E12</v>
      </c>
      <c r="H1042" s="38" t="s">
        <v>1328</v>
      </c>
      <c r="I1042" s="38" t="s">
        <v>1329</v>
      </c>
      <c r="J1042" s="38" t="s">
        <v>224</v>
      </c>
      <c r="K1042" s="38" t="s">
        <v>63</v>
      </c>
      <c r="L1042" s="41">
        <v>46008.229166666664</v>
      </c>
      <c r="M1042" s="38" t="s">
        <v>123</v>
      </c>
      <c r="N1042" s="41">
        <v>46008.291666666664</v>
      </c>
      <c r="O1042" s="38" t="s">
        <v>123</v>
      </c>
      <c r="P1042" s="38">
        <v>5400.0</v>
      </c>
      <c r="Q1042" s="39"/>
      <c r="R1042" s="39"/>
      <c r="S1042" s="39"/>
      <c r="T1042" s="39"/>
      <c r="U1042" s="39"/>
    </row>
    <row r="1043">
      <c r="A1043" s="40">
        <f t="shared" si="1"/>
        <v>46006</v>
      </c>
      <c r="B1043" s="37" t="str">
        <f t="array" ref="B1043">iferror(xlookup($I1043, 'IMPORT VHC Report'!$E:$E, 'IMPORT VHC Report'!$A:$C), )</f>
        <v/>
      </c>
      <c r="C1043" s="37"/>
      <c r="D1043" s="37"/>
      <c r="E1043" s="38" t="s">
        <v>1353</v>
      </c>
      <c r="F1043" s="38" t="s">
        <v>1327</v>
      </c>
      <c r="G1043" s="38">
        <v>7.874569114383E12</v>
      </c>
      <c r="H1043" s="38" t="s">
        <v>1328</v>
      </c>
      <c r="I1043" s="38" t="s">
        <v>1329</v>
      </c>
      <c r="J1043" s="38" t="s">
        <v>134</v>
      </c>
      <c r="K1043" s="38" t="s">
        <v>126</v>
      </c>
      <c r="L1043" s="41">
        <v>46008.291666666664</v>
      </c>
      <c r="M1043" s="38" t="s">
        <v>123</v>
      </c>
      <c r="N1043" s="41">
        <v>46008.302083333336</v>
      </c>
      <c r="O1043" s="38" t="s">
        <v>123</v>
      </c>
      <c r="P1043" s="38">
        <v>900.0</v>
      </c>
      <c r="Q1043" s="39"/>
      <c r="R1043" s="39"/>
      <c r="S1043" s="39"/>
      <c r="T1043" s="39"/>
      <c r="U1043" s="39"/>
    </row>
    <row r="1044">
      <c r="A1044" s="40">
        <f t="shared" si="1"/>
        <v>46006</v>
      </c>
      <c r="B1044" s="37" t="str">
        <f t="array" ref="B1044">iferror(xlookup($I1044, 'IMPORT VHC Report'!$E:$E, 'IMPORT VHC Report'!$A:$C), )</f>
        <v/>
      </c>
      <c r="C1044" s="37"/>
      <c r="D1044" s="37"/>
      <c r="E1044" s="38" t="s">
        <v>1354</v>
      </c>
      <c r="F1044" s="38" t="s">
        <v>1327</v>
      </c>
      <c r="G1044" s="38">
        <v>7.874569114383E12</v>
      </c>
      <c r="H1044" s="38" t="s">
        <v>1328</v>
      </c>
      <c r="I1044" s="38" t="s">
        <v>1329</v>
      </c>
      <c r="J1044" s="38" t="s">
        <v>224</v>
      </c>
      <c r="K1044" s="38" t="s">
        <v>63</v>
      </c>
      <c r="L1044" s="41">
        <v>46008.302083333336</v>
      </c>
      <c r="M1044" s="38" t="s">
        <v>123</v>
      </c>
      <c r="N1044" s="41">
        <v>46008.375</v>
      </c>
      <c r="O1044" s="38" t="s">
        <v>123</v>
      </c>
      <c r="P1044" s="38">
        <v>6300.0</v>
      </c>
      <c r="Q1044" s="39"/>
      <c r="R1044" s="39"/>
      <c r="S1044" s="39"/>
      <c r="T1044" s="39"/>
      <c r="U1044" s="39"/>
    </row>
    <row r="1045">
      <c r="A1045" s="40">
        <f t="shared" si="1"/>
        <v>46006</v>
      </c>
      <c r="B1045" s="37" t="str">
        <f t="array" ref="B1045">iferror(xlookup($I1045, 'IMPORT VHC Report'!$E:$E, 'IMPORT VHC Report'!$A:$C), )</f>
        <v/>
      </c>
      <c r="C1045" s="37"/>
      <c r="D1045" s="37"/>
      <c r="E1045" s="38" t="s">
        <v>1355</v>
      </c>
      <c r="F1045" s="38" t="s">
        <v>1327</v>
      </c>
      <c r="G1045" s="38">
        <v>7.874569114383E12</v>
      </c>
      <c r="H1045" s="38" t="s">
        <v>1328</v>
      </c>
      <c r="I1045" s="38" t="s">
        <v>1329</v>
      </c>
      <c r="J1045" s="38" t="s">
        <v>224</v>
      </c>
      <c r="K1045" s="38" t="s">
        <v>63</v>
      </c>
      <c r="L1045" s="41">
        <v>46009.0</v>
      </c>
      <c r="M1045" s="38" t="s">
        <v>123</v>
      </c>
      <c r="N1045" s="41">
        <v>46009.125</v>
      </c>
      <c r="O1045" s="38" t="s">
        <v>123</v>
      </c>
      <c r="P1045" s="38">
        <v>10800.0</v>
      </c>
      <c r="Q1045" s="39"/>
      <c r="R1045" s="39"/>
      <c r="S1045" s="39"/>
      <c r="T1045" s="39"/>
      <c r="U1045" s="39"/>
    </row>
    <row r="1046">
      <c r="A1046" s="40">
        <f t="shared" si="1"/>
        <v>46006</v>
      </c>
      <c r="B1046" s="37" t="str">
        <f t="array" ref="B1046">iferror(xlookup($I1046, 'IMPORT VHC Report'!$E:$E, 'IMPORT VHC Report'!$A:$C), )</f>
        <v/>
      </c>
      <c r="C1046" s="37"/>
      <c r="D1046" s="37"/>
      <c r="E1046" s="38" t="s">
        <v>1356</v>
      </c>
      <c r="F1046" s="38" t="s">
        <v>1327</v>
      </c>
      <c r="G1046" s="38">
        <v>7.874569114383E12</v>
      </c>
      <c r="H1046" s="38" t="s">
        <v>1328</v>
      </c>
      <c r="I1046" s="38" t="s">
        <v>1329</v>
      </c>
      <c r="J1046" s="38" t="s">
        <v>134</v>
      </c>
      <c r="K1046" s="38" t="s">
        <v>126</v>
      </c>
      <c r="L1046" s="41">
        <v>46009.125</v>
      </c>
      <c r="M1046" s="38" t="s">
        <v>123</v>
      </c>
      <c r="N1046" s="41">
        <v>46009.135416666664</v>
      </c>
      <c r="O1046" s="38" t="s">
        <v>123</v>
      </c>
      <c r="P1046" s="38">
        <v>900.0</v>
      </c>
      <c r="Q1046" s="39"/>
      <c r="R1046" s="39"/>
      <c r="S1046" s="39"/>
      <c r="T1046" s="39"/>
      <c r="U1046" s="39"/>
    </row>
    <row r="1047">
      <c r="A1047" s="40">
        <f t="shared" si="1"/>
        <v>46006</v>
      </c>
      <c r="B1047" s="37" t="str">
        <f t="array" ref="B1047">iferror(xlookup($I1047, 'IMPORT VHC Report'!$E:$E, 'IMPORT VHC Report'!$A:$C), )</f>
        <v/>
      </c>
      <c r="C1047" s="37"/>
      <c r="D1047" s="37"/>
      <c r="E1047" s="38" t="s">
        <v>1357</v>
      </c>
      <c r="F1047" s="38" t="s">
        <v>1327</v>
      </c>
      <c r="G1047" s="38">
        <v>7.874569114383E12</v>
      </c>
      <c r="H1047" s="38" t="s">
        <v>1328</v>
      </c>
      <c r="I1047" s="38" t="s">
        <v>1329</v>
      </c>
      <c r="J1047" s="38" t="s">
        <v>224</v>
      </c>
      <c r="K1047" s="38" t="s">
        <v>63</v>
      </c>
      <c r="L1047" s="41">
        <v>46009.135416666664</v>
      </c>
      <c r="M1047" s="38" t="s">
        <v>123</v>
      </c>
      <c r="N1047" s="41">
        <v>46009.197916666664</v>
      </c>
      <c r="O1047" s="38" t="s">
        <v>123</v>
      </c>
      <c r="P1047" s="38">
        <v>5400.0</v>
      </c>
      <c r="Q1047" s="39"/>
      <c r="R1047" s="39"/>
      <c r="S1047" s="39"/>
      <c r="T1047" s="39"/>
      <c r="U1047" s="39"/>
    </row>
    <row r="1048">
      <c r="A1048" s="40">
        <f t="shared" si="1"/>
        <v>46006</v>
      </c>
      <c r="B1048" s="37" t="str">
        <f t="array" ref="B1048">iferror(xlookup($I1048, 'IMPORT VHC Report'!$E:$E, 'IMPORT VHC Report'!$A:$C), )</f>
        <v/>
      </c>
      <c r="C1048" s="37"/>
      <c r="D1048" s="37"/>
      <c r="E1048" s="38" t="s">
        <v>1358</v>
      </c>
      <c r="F1048" s="38" t="s">
        <v>1327</v>
      </c>
      <c r="G1048" s="38">
        <v>7.874569114383E12</v>
      </c>
      <c r="H1048" s="38" t="s">
        <v>1328</v>
      </c>
      <c r="I1048" s="38" t="s">
        <v>1329</v>
      </c>
      <c r="J1048" s="38" t="s">
        <v>132</v>
      </c>
      <c r="K1048" s="38" t="s">
        <v>126</v>
      </c>
      <c r="L1048" s="41">
        <v>46009.197916666664</v>
      </c>
      <c r="M1048" s="38" t="s">
        <v>123</v>
      </c>
      <c r="N1048" s="41">
        <v>46009.239583333336</v>
      </c>
      <c r="O1048" s="38" t="s">
        <v>123</v>
      </c>
      <c r="P1048" s="38">
        <v>3600.0</v>
      </c>
      <c r="Q1048" s="39"/>
      <c r="R1048" s="39"/>
      <c r="S1048" s="39"/>
      <c r="T1048" s="39"/>
      <c r="U1048" s="39"/>
    </row>
    <row r="1049">
      <c r="A1049" s="40">
        <f t="shared" si="1"/>
        <v>46006</v>
      </c>
      <c r="B1049" s="37" t="str">
        <f t="array" ref="B1049">iferror(xlookup($I1049, 'IMPORT VHC Report'!$E:$E, 'IMPORT VHC Report'!$A:$C), )</f>
        <v/>
      </c>
      <c r="C1049" s="37"/>
      <c r="D1049" s="37"/>
      <c r="E1049" s="38" t="s">
        <v>1359</v>
      </c>
      <c r="F1049" s="38" t="s">
        <v>1327</v>
      </c>
      <c r="G1049" s="38">
        <v>7.874569114383E12</v>
      </c>
      <c r="H1049" s="38" t="s">
        <v>1328</v>
      </c>
      <c r="I1049" s="38" t="s">
        <v>1329</v>
      </c>
      <c r="J1049" s="38" t="s">
        <v>224</v>
      </c>
      <c r="K1049" s="38" t="s">
        <v>63</v>
      </c>
      <c r="L1049" s="41">
        <v>46009.239583333336</v>
      </c>
      <c r="M1049" s="38" t="s">
        <v>123</v>
      </c>
      <c r="N1049" s="41">
        <v>46009.302083333336</v>
      </c>
      <c r="O1049" s="38" t="s">
        <v>123</v>
      </c>
      <c r="P1049" s="38">
        <v>5400.0</v>
      </c>
      <c r="Q1049" s="39"/>
      <c r="R1049" s="39"/>
      <c r="S1049" s="39"/>
      <c r="T1049" s="39"/>
      <c r="U1049" s="39"/>
    </row>
    <row r="1050">
      <c r="A1050" s="40">
        <f t="shared" si="1"/>
        <v>46006</v>
      </c>
      <c r="B1050" s="37" t="str">
        <f t="array" ref="B1050">iferror(xlookup($I1050, 'IMPORT VHC Report'!$E:$E, 'IMPORT VHC Report'!$A:$C), )</f>
        <v/>
      </c>
      <c r="C1050" s="37"/>
      <c r="D1050" s="37"/>
      <c r="E1050" s="38" t="s">
        <v>1360</v>
      </c>
      <c r="F1050" s="38" t="s">
        <v>1327</v>
      </c>
      <c r="G1050" s="38">
        <v>7.874569114383E12</v>
      </c>
      <c r="H1050" s="38" t="s">
        <v>1328</v>
      </c>
      <c r="I1050" s="38" t="s">
        <v>1329</v>
      </c>
      <c r="J1050" s="38" t="s">
        <v>134</v>
      </c>
      <c r="K1050" s="38" t="s">
        <v>126</v>
      </c>
      <c r="L1050" s="41">
        <v>46009.302083333336</v>
      </c>
      <c r="M1050" s="38" t="s">
        <v>123</v>
      </c>
      <c r="N1050" s="41">
        <v>46009.3125</v>
      </c>
      <c r="O1050" s="38" t="s">
        <v>123</v>
      </c>
      <c r="P1050" s="38">
        <v>900.0</v>
      </c>
      <c r="Q1050" s="39"/>
      <c r="R1050" s="39"/>
      <c r="S1050" s="39"/>
      <c r="T1050" s="39"/>
      <c r="U1050" s="39"/>
    </row>
    <row r="1051">
      <c r="A1051" s="40">
        <f t="shared" si="1"/>
        <v>46006</v>
      </c>
      <c r="B1051" s="37" t="str">
        <f t="array" ref="B1051">iferror(xlookup($I1051, 'IMPORT VHC Report'!$E:$E, 'IMPORT VHC Report'!$A:$C), )</f>
        <v/>
      </c>
      <c r="C1051" s="37"/>
      <c r="D1051" s="37"/>
      <c r="E1051" s="38" t="s">
        <v>1361</v>
      </c>
      <c r="F1051" s="38" t="s">
        <v>1327</v>
      </c>
      <c r="G1051" s="38">
        <v>7.874569114383E12</v>
      </c>
      <c r="H1051" s="38" t="s">
        <v>1328</v>
      </c>
      <c r="I1051" s="38" t="s">
        <v>1329</v>
      </c>
      <c r="J1051" s="38" t="s">
        <v>224</v>
      </c>
      <c r="K1051" s="38" t="s">
        <v>63</v>
      </c>
      <c r="L1051" s="41">
        <v>46009.3125</v>
      </c>
      <c r="M1051" s="38" t="s">
        <v>123</v>
      </c>
      <c r="N1051" s="41">
        <v>46009.375</v>
      </c>
      <c r="O1051" s="38" t="s">
        <v>123</v>
      </c>
      <c r="P1051" s="38">
        <v>5400.0</v>
      </c>
      <c r="Q1051" s="39"/>
      <c r="R1051" s="39"/>
      <c r="S1051" s="39"/>
      <c r="T1051" s="39"/>
      <c r="U1051" s="39"/>
    </row>
    <row r="1052">
      <c r="A1052" s="40">
        <f t="shared" si="1"/>
        <v>46006</v>
      </c>
      <c r="B1052" s="37" t="str">
        <f t="array" ref="B1052">iferror(xlookup($I1052, 'IMPORT VHC Report'!$E:$E, 'IMPORT VHC Report'!$A:$C), )</f>
        <v/>
      </c>
      <c r="C1052" s="37"/>
      <c r="D1052" s="37"/>
      <c r="E1052" s="38" t="s">
        <v>1362</v>
      </c>
      <c r="F1052" s="38" t="s">
        <v>1327</v>
      </c>
      <c r="G1052" s="38">
        <v>7.874569114383E12</v>
      </c>
      <c r="H1052" s="38" t="s">
        <v>1328</v>
      </c>
      <c r="I1052" s="38" t="s">
        <v>1329</v>
      </c>
      <c r="J1052" s="38" t="s">
        <v>224</v>
      </c>
      <c r="K1052" s="38" t="s">
        <v>63</v>
      </c>
      <c r="L1052" s="41">
        <v>46010.0</v>
      </c>
      <c r="M1052" s="38" t="s">
        <v>123</v>
      </c>
      <c r="N1052" s="41">
        <v>46010.104166666664</v>
      </c>
      <c r="O1052" s="38" t="s">
        <v>123</v>
      </c>
      <c r="P1052" s="38">
        <v>9000.0</v>
      </c>
      <c r="Q1052" s="39"/>
      <c r="R1052" s="39"/>
      <c r="S1052" s="39"/>
      <c r="T1052" s="39"/>
      <c r="U1052" s="39"/>
    </row>
    <row r="1053">
      <c r="A1053" s="40">
        <f t="shared" si="1"/>
        <v>46006</v>
      </c>
      <c r="B1053" s="37" t="str">
        <f t="array" ref="B1053">iferror(xlookup($I1053, 'IMPORT VHC Report'!$E:$E, 'IMPORT VHC Report'!$A:$C), )</f>
        <v/>
      </c>
      <c r="C1053" s="37"/>
      <c r="D1053" s="37"/>
      <c r="E1053" s="38" t="s">
        <v>1363</v>
      </c>
      <c r="F1053" s="38" t="s">
        <v>1327</v>
      </c>
      <c r="G1053" s="38">
        <v>7.874569114383E12</v>
      </c>
      <c r="H1053" s="38" t="s">
        <v>1328</v>
      </c>
      <c r="I1053" s="38" t="s">
        <v>1329</v>
      </c>
      <c r="J1053" s="38" t="s">
        <v>134</v>
      </c>
      <c r="K1053" s="38" t="s">
        <v>126</v>
      </c>
      <c r="L1053" s="41">
        <v>46010.104166666664</v>
      </c>
      <c r="M1053" s="38" t="s">
        <v>123</v>
      </c>
      <c r="N1053" s="41">
        <v>46010.114583333336</v>
      </c>
      <c r="O1053" s="38" t="s">
        <v>123</v>
      </c>
      <c r="P1053" s="38">
        <v>900.0</v>
      </c>
      <c r="Q1053" s="39"/>
      <c r="R1053" s="39"/>
      <c r="S1053" s="39"/>
      <c r="T1053" s="39"/>
      <c r="U1053" s="39"/>
    </row>
    <row r="1054">
      <c r="A1054" s="40">
        <f t="shared" si="1"/>
        <v>46006</v>
      </c>
      <c r="B1054" s="37" t="str">
        <f t="array" ref="B1054">iferror(xlookup($I1054, 'IMPORT VHC Report'!$E:$E, 'IMPORT VHC Report'!$A:$C), )</f>
        <v/>
      </c>
      <c r="C1054" s="37"/>
      <c r="D1054" s="37"/>
      <c r="E1054" s="38" t="s">
        <v>1364</v>
      </c>
      <c r="F1054" s="38" t="s">
        <v>1327</v>
      </c>
      <c r="G1054" s="38">
        <v>7.874569114383E12</v>
      </c>
      <c r="H1054" s="38" t="s">
        <v>1328</v>
      </c>
      <c r="I1054" s="38" t="s">
        <v>1329</v>
      </c>
      <c r="J1054" s="38" t="s">
        <v>224</v>
      </c>
      <c r="K1054" s="38" t="s">
        <v>63</v>
      </c>
      <c r="L1054" s="41">
        <v>46010.114583333336</v>
      </c>
      <c r="M1054" s="38" t="s">
        <v>123</v>
      </c>
      <c r="N1054" s="41">
        <v>46010.177083333336</v>
      </c>
      <c r="O1054" s="38" t="s">
        <v>123</v>
      </c>
      <c r="P1054" s="38">
        <v>5400.0</v>
      </c>
      <c r="Q1054" s="39"/>
      <c r="R1054" s="39"/>
      <c r="S1054" s="39"/>
      <c r="T1054" s="39"/>
      <c r="U1054" s="39"/>
    </row>
    <row r="1055">
      <c r="A1055" s="40">
        <f t="shared" si="1"/>
        <v>46006</v>
      </c>
      <c r="B1055" s="37" t="str">
        <f t="array" ref="B1055">iferror(xlookup($I1055, 'IMPORT VHC Report'!$E:$E, 'IMPORT VHC Report'!$A:$C), )</f>
        <v/>
      </c>
      <c r="C1055" s="37"/>
      <c r="D1055" s="37"/>
      <c r="E1055" s="38" t="s">
        <v>1365</v>
      </c>
      <c r="F1055" s="38" t="s">
        <v>1327</v>
      </c>
      <c r="G1055" s="38">
        <v>7.874569114383E12</v>
      </c>
      <c r="H1055" s="38" t="s">
        <v>1328</v>
      </c>
      <c r="I1055" s="38" t="s">
        <v>1329</v>
      </c>
      <c r="J1055" s="38" t="s">
        <v>132</v>
      </c>
      <c r="K1055" s="38" t="s">
        <v>126</v>
      </c>
      <c r="L1055" s="41">
        <v>46010.177083333336</v>
      </c>
      <c r="M1055" s="38" t="s">
        <v>123</v>
      </c>
      <c r="N1055" s="41">
        <v>46010.21875</v>
      </c>
      <c r="O1055" s="38" t="s">
        <v>123</v>
      </c>
      <c r="P1055" s="38">
        <v>3600.0</v>
      </c>
      <c r="Q1055" s="39"/>
      <c r="R1055" s="39"/>
      <c r="S1055" s="39"/>
      <c r="T1055" s="39"/>
      <c r="U1055" s="39"/>
    </row>
    <row r="1056">
      <c r="A1056" s="40">
        <f t="shared" si="1"/>
        <v>46006</v>
      </c>
      <c r="B1056" s="37" t="str">
        <f t="array" ref="B1056">iferror(xlookup($I1056, 'IMPORT VHC Report'!$E:$E, 'IMPORT VHC Report'!$A:$C), )</f>
        <v/>
      </c>
      <c r="C1056" s="37"/>
      <c r="D1056" s="37"/>
      <c r="E1056" s="38" t="s">
        <v>1366</v>
      </c>
      <c r="F1056" s="38" t="s">
        <v>1327</v>
      </c>
      <c r="G1056" s="38">
        <v>7.874569114383E12</v>
      </c>
      <c r="H1056" s="38" t="s">
        <v>1328</v>
      </c>
      <c r="I1056" s="38" t="s">
        <v>1329</v>
      </c>
      <c r="J1056" s="38" t="s">
        <v>224</v>
      </c>
      <c r="K1056" s="38" t="s">
        <v>63</v>
      </c>
      <c r="L1056" s="41">
        <v>46010.21875</v>
      </c>
      <c r="M1056" s="38" t="s">
        <v>123</v>
      </c>
      <c r="N1056" s="41">
        <v>46010.291666666664</v>
      </c>
      <c r="O1056" s="38" t="s">
        <v>123</v>
      </c>
      <c r="P1056" s="38">
        <v>6300.0</v>
      </c>
      <c r="Q1056" s="39"/>
      <c r="R1056" s="39"/>
      <c r="S1056" s="39"/>
      <c r="T1056" s="39"/>
      <c r="U1056" s="39"/>
    </row>
    <row r="1057">
      <c r="A1057" s="40">
        <f t="shared" si="1"/>
        <v>46006</v>
      </c>
      <c r="B1057" s="37" t="str">
        <f t="array" ref="B1057">iferror(xlookup($I1057, 'IMPORT VHC Report'!$E:$E, 'IMPORT VHC Report'!$A:$C), )</f>
        <v/>
      </c>
      <c r="C1057" s="37"/>
      <c r="D1057" s="37"/>
      <c r="E1057" s="38" t="s">
        <v>1367</v>
      </c>
      <c r="F1057" s="38" t="s">
        <v>1327</v>
      </c>
      <c r="G1057" s="38">
        <v>7.874569114383E12</v>
      </c>
      <c r="H1057" s="38" t="s">
        <v>1328</v>
      </c>
      <c r="I1057" s="38" t="s">
        <v>1329</v>
      </c>
      <c r="J1057" s="38" t="s">
        <v>134</v>
      </c>
      <c r="K1057" s="38" t="s">
        <v>126</v>
      </c>
      <c r="L1057" s="41">
        <v>46010.291666666664</v>
      </c>
      <c r="M1057" s="38" t="s">
        <v>123</v>
      </c>
      <c r="N1057" s="41">
        <v>46010.302083333336</v>
      </c>
      <c r="O1057" s="38" t="s">
        <v>123</v>
      </c>
      <c r="P1057" s="38">
        <v>900.0</v>
      </c>
      <c r="Q1057" s="39"/>
      <c r="R1057" s="39"/>
      <c r="S1057" s="39"/>
      <c r="T1057" s="39"/>
      <c r="U1057" s="39"/>
    </row>
    <row r="1058">
      <c r="A1058" s="40">
        <f t="shared" si="1"/>
        <v>46006</v>
      </c>
      <c r="B1058" s="37" t="str">
        <f t="array" ref="B1058">iferror(xlookup($I1058, 'IMPORT VHC Report'!$E:$E, 'IMPORT VHC Report'!$A:$C), )</f>
        <v/>
      </c>
      <c r="C1058" s="37"/>
      <c r="D1058" s="37"/>
      <c r="E1058" s="38" t="s">
        <v>1368</v>
      </c>
      <c r="F1058" s="38" t="s">
        <v>1327</v>
      </c>
      <c r="G1058" s="38">
        <v>7.874569114383E12</v>
      </c>
      <c r="H1058" s="38" t="s">
        <v>1328</v>
      </c>
      <c r="I1058" s="38" t="s">
        <v>1329</v>
      </c>
      <c r="J1058" s="38" t="s">
        <v>224</v>
      </c>
      <c r="K1058" s="38" t="s">
        <v>63</v>
      </c>
      <c r="L1058" s="41">
        <v>46010.302083333336</v>
      </c>
      <c r="M1058" s="38" t="s">
        <v>123</v>
      </c>
      <c r="N1058" s="41">
        <v>46010.375</v>
      </c>
      <c r="O1058" s="38" t="s">
        <v>123</v>
      </c>
      <c r="P1058" s="38">
        <v>6300.0</v>
      </c>
      <c r="Q1058" s="39"/>
      <c r="R1058" s="39"/>
      <c r="S1058" s="39"/>
      <c r="T1058" s="39"/>
      <c r="U1058" s="39"/>
    </row>
    <row r="1059">
      <c r="A1059" s="40">
        <f t="shared" si="1"/>
        <v>46006</v>
      </c>
      <c r="B1059" s="37" t="str">
        <f t="array" ref="B1059">iferror(xlookup($I1059, 'IMPORT VHC Report'!$E:$E, 'IMPORT VHC Report'!$A:$C), )</f>
        <v/>
      </c>
      <c r="C1059" s="37"/>
      <c r="D1059" s="37"/>
      <c r="E1059" s="38" t="s">
        <v>1369</v>
      </c>
      <c r="F1059" s="38" t="s">
        <v>1370</v>
      </c>
      <c r="G1059" s="38">
        <v>5.901960272783E12</v>
      </c>
      <c r="H1059" s="38" t="s">
        <v>1371</v>
      </c>
      <c r="I1059" s="38" t="s">
        <v>1372</v>
      </c>
      <c r="J1059" s="38" t="s">
        <v>125</v>
      </c>
      <c r="K1059" s="38" t="s">
        <v>126</v>
      </c>
      <c r="L1059" s="41">
        <v>46006.0</v>
      </c>
      <c r="M1059" s="38" t="s">
        <v>123</v>
      </c>
      <c r="N1059" s="41">
        <v>46006.006944444445</v>
      </c>
      <c r="O1059" s="38" t="s">
        <v>123</v>
      </c>
      <c r="P1059" s="38">
        <v>600.0</v>
      </c>
      <c r="Q1059" s="39"/>
      <c r="R1059" s="39"/>
      <c r="S1059" s="38" t="s">
        <v>127</v>
      </c>
      <c r="T1059" s="39"/>
      <c r="U1059" s="39"/>
    </row>
    <row r="1060">
      <c r="A1060" s="40">
        <f t="shared" si="1"/>
        <v>46006</v>
      </c>
      <c r="B1060" s="37" t="str">
        <f t="array" ref="B1060">iferror(xlookup($I1060, 'IMPORT VHC Report'!$E:$E, 'IMPORT VHC Report'!$A:$C), )</f>
        <v/>
      </c>
      <c r="C1060" s="37"/>
      <c r="D1060" s="37"/>
      <c r="E1060" s="38" t="s">
        <v>1373</v>
      </c>
      <c r="F1060" s="38" t="s">
        <v>1370</v>
      </c>
      <c r="G1060" s="38">
        <v>5.901960272783E12</v>
      </c>
      <c r="H1060" s="38" t="s">
        <v>1371</v>
      </c>
      <c r="I1060" s="38" t="s">
        <v>1372</v>
      </c>
      <c r="J1060" s="38" t="s">
        <v>122</v>
      </c>
      <c r="K1060" s="38" t="s">
        <v>63</v>
      </c>
      <c r="L1060" s="41">
        <v>46006.0</v>
      </c>
      <c r="M1060" s="38" t="s">
        <v>123</v>
      </c>
      <c r="N1060" s="41">
        <v>46006.375</v>
      </c>
      <c r="O1060" s="38" t="s">
        <v>123</v>
      </c>
      <c r="P1060" s="38">
        <v>32400.0</v>
      </c>
      <c r="Q1060" s="39"/>
      <c r="R1060" s="39"/>
      <c r="S1060" s="39"/>
      <c r="T1060" s="39"/>
      <c r="U1060" s="39"/>
    </row>
    <row r="1061">
      <c r="A1061" s="40">
        <f t="shared" si="1"/>
        <v>46006</v>
      </c>
      <c r="B1061" s="37" t="str">
        <f t="array" ref="B1061">iferror(xlookup($I1061, 'IMPORT VHC Report'!$E:$E, 'IMPORT VHC Report'!$A:$C), )</f>
        <v/>
      </c>
      <c r="C1061" s="37"/>
      <c r="D1061" s="37"/>
      <c r="E1061" s="38" t="s">
        <v>1374</v>
      </c>
      <c r="F1061" s="38" t="s">
        <v>1370</v>
      </c>
      <c r="G1061" s="38">
        <v>5.901960272783E12</v>
      </c>
      <c r="H1061" s="38" t="s">
        <v>1371</v>
      </c>
      <c r="I1061" s="38" t="s">
        <v>1372</v>
      </c>
      <c r="J1061" s="38" t="s">
        <v>134</v>
      </c>
      <c r="K1061" s="38" t="s">
        <v>126</v>
      </c>
      <c r="L1061" s="41">
        <v>46006.083333333336</v>
      </c>
      <c r="M1061" s="38" t="s">
        <v>123</v>
      </c>
      <c r="N1061" s="41">
        <v>46006.104166666664</v>
      </c>
      <c r="O1061" s="38" t="s">
        <v>123</v>
      </c>
      <c r="P1061" s="38">
        <v>1800.0</v>
      </c>
      <c r="Q1061" s="39"/>
      <c r="R1061" s="39"/>
      <c r="S1061" s="39"/>
      <c r="T1061" s="39"/>
      <c r="U1061" s="39"/>
    </row>
    <row r="1062">
      <c r="A1062" s="40">
        <f t="shared" si="1"/>
        <v>46006</v>
      </c>
      <c r="B1062" s="37" t="str">
        <f t="array" ref="B1062">iferror(xlookup($I1062, 'IMPORT VHC Report'!$E:$E, 'IMPORT VHC Report'!$A:$C), )</f>
        <v/>
      </c>
      <c r="C1062" s="37"/>
      <c r="D1062" s="37"/>
      <c r="E1062" s="38" t="s">
        <v>1375</v>
      </c>
      <c r="F1062" s="38" t="s">
        <v>1370</v>
      </c>
      <c r="G1062" s="38">
        <v>5.901960272783E12</v>
      </c>
      <c r="H1062" s="38" t="s">
        <v>1371</v>
      </c>
      <c r="I1062" s="38" t="s">
        <v>1372</v>
      </c>
      <c r="J1062" s="38" t="s">
        <v>134</v>
      </c>
      <c r="K1062" s="38" t="s">
        <v>126</v>
      </c>
      <c r="L1062" s="41">
        <v>46006.104166666664</v>
      </c>
      <c r="M1062" s="38" t="s">
        <v>123</v>
      </c>
      <c r="N1062" s="41">
        <v>46006.131944444445</v>
      </c>
      <c r="O1062" s="38" t="s">
        <v>123</v>
      </c>
      <c r="P1062" s="38">
        <v>2400.0</v>
      </c>
      <c r="Q1062" s="39"/>
      <c r="R1062" s="39"/>
      <c r="S1062" s="38" t="s">
        <v>1376</v>
      </c>
      <c r="T1062" s="39"/>
      <c r="U1062" s="39"/>
    </row>
    <row r="1063">
      <c r="A1063" s="40">
        <f t="shared" si="1"/>
        <v>46006</v>
      </c>
      <c r="B1063" s="37" t="str">
        <f t="array" ref="B1063">iferror(xlookup($I1063, 'IMPORT VHC Report'!$E:$E, 'IMPORT VHC Report'!$A:$C), )</f>
        <v/>
      </c>
      <c r="C1063" s="37"/>
      <c r="D1063" s="37"/>
      <c r="E1063" s="38" t="s">
        <v>1377</v>
      </c>
      <c r="F1063" s="38" t="s">
        <v>1370</v>
      </c>
      <c r="G1063" s="38">
        <v>5.901960272783E12</v>
      </c>
      <c r="H1063" s="38" t="s">
        <v>1371</v>
      </c>
      <c r="I1063" s="38" t="s">
        <v>1372</v>
      </c>
      <c r="J1063" s="38" t="s">
        <v>132</v>
      </c>
      <c r="K1063" s="38" t="s">
        <v>126</v>
      </c>
      <c r="L1063" s="41">
        <v>46006.208333333336</v>
      </c>
      <c r="M1063" s="38" t="s">
        <v>123</v>
      </c>
      <c r="N1063" s="41">
        <v>46006.25</v>
      </c>
      <c r="O1063" s="38" t="s">
        <v>123</v>
      </c>
      <c r="P1063" s="38">
        <v>3600.0</v>
      </c>
      <c r="Q1063" s="39"/>
      <c r="R1063" s="39"/>
      <c r="S1063" s="39"/>
      <c r="T1063" s="39"/>
      <c r="U1063" s="39"/>
    </row>
    <row r="1064">
      <c r="A1064" s="40">
        <f t="shared" si="1"/>
        <v>46006</v>
      </c>
      <c r="B1064" s="37" t="str">
        <f t="array" ref="B1064">iferror(xlookup($I1064, 'IMPORT VHC Report'!$E:$E, 'IMPORT VHC Report'!$A:$C), )</f>
        <v/>
      </c>
      <c r="C1064" s="37"/>
      <c r="D1064" s="37"/>
      <c r="E1064" s="38" t="s">
        <v>1378</v>
      </c>
      <c r="F1064" s="38" t="s">
        <v>1370</v>
      </c>
      <c r="G1064" s="38">
        <v>5.901960272783E12</v>
      </c>
      <c r="H1064" s="38" t="s">
        <v>1371</v>
      </c>
      <c r="I1064" s="38" t="s">
        <v>1372</v>
      </c>
      <c r="J1064" s="38" t="s">
        <v>125</v>
      </c>
      <c r="K1064" s="38" t="s">
        <v>126</v>
      </c>
      <c r="L1064" s="41">
        <v>46007.0</v>
      </c>
      <c r="M1064" s="38" t="s">
        <v>123</v>
      </c>
      <c r="N1064" s="41">
        <v>46007.006944444445</v>
      </c>
      <c r="O1064" s="38" t="s">
        <v>123</v>
      </c>
      <c r="P1064" s="38">
        <v>600.0</v>
      </c>
      <c r="Q1064" s="39"/>
      <c r="R1064" s="39"/>
      <c r="S1064" s="38" t="s">
        <v>127</v>
      </c>
      <c r="T1064" s="39"/>
      <c r="U1064" s="39"/>
    </row>
    <row r="1065">
      <c r="A1065" s="40">
        <f t="shared" si="1"/>
        <v>46006</v>
      </c>
      <c r="B1065" s="37" t="str">
        <f t="array" ref="B1065">iferror(xlookup($I1065, 'IMPORT VHC Report'!$E:$E, 'IMPORT VHC Report'!$A:$C), )</f>
        <v/>
      </c>
      <c r="C1065" s="37"/>
      <c r="D1065" s="37"/>
      <c r="E1065" s="38" t="s">
        <v>1379</v>
      </c>
      <c r="F1065" s="38" t="s">
        <v>1370</v>
      </c>
      <c r="G1065" s="38">
        <v>5.901960272783E12</v>
      </c>
      <c r="H1065" s="38" t="s">
        <v>1371</v>
      </c>
      <c r="I1065" s="38" t="s">
        <v>1372</v>
      </c>
      <c r="J1065" s="38" t="s">
        <v>122</v>
      </c>
      <c r="K1065" s="38" t="s">
        <v>63</v>
      </c>
      <c r="L1065" s="41">
        <v>46007.0</v>
      </c>
      <c r="M1065" s="38" t="s">
        <v>123</v>
      </c>
      <c r="N1065" s="41">
        <v>46007.375</v>
      </c>
      <c r="O1065" s="38" t="s">
        <v>123</v>
      </c>
      <c r="P1065" s="38">
        <v>32400.0</v>
      </c>
      <c r="Q1065" s="39"/>
      <c r="R1065" s="39"/>
      <c r="S1065" s="39"/>
      <c r="T1065" s="39"/>
      <c r="U1065" s="39"/>
    </row>
    <row r="1066">
      <c r="A1066" s="40">
        <f t="shared" si="1"/>
        <v>46006</v>
      </c>
      <c r="B1066" s="37" t="str">
        <f t="array" ref="B1066">iferror(xlookup($I1066, 'IMPORT VHC Report'!$E:$E, 'IMPORT VHC Report'!$A:$C), )</f>
        <v/>
      </c>
      <c r="C1066" s="37"/>
      <c r="D1066" s="37"/>
      <c r="E1066" s="38" t="s">
        <v>1380</v>
      </c>
      <c r="F1066" s="38" t="s">
        <v>1370</v>
      </c>
      <c r="G1066" s="38">
        <v>5.901960272783E12</v>
      </c>
      <c r="H1066" s="38" t="s">
        <v>1371</v>
      </c>
      <c r="I1066" s="38" t="s">
        <v>1372</v>
      </c>
      <c r="J1066" s="38" t="s">
        <v>134</v>
      </c>
      <c r="K1066" s="38" t="s">
        <v>126</v>
      </c>
      <c r="L1066" s="41">
        <v>46007.072916666664</v>
      </c>
      <c r="M1066" s="38" t="s">
        <v>123</v>
      </c>
      <c r="N1066" s="41">
        <v>46007.09375</v>
      </c>
      <c r="O1066" s="38" t="s">
        <v>123</v>
      </c>
      <c r="P1066" s="38">
        <v>1800.0</v>
      </c>
      <c r="Q1066" s="39"/>
      <c r="R1066" s="39"/>
      <c r="S1066" s="39"/>
      <c r="T1066" s="39"/>
      <c r="U1066" s="39"/>
    </row>
    <row r="1067">
      <c r="A1067" s="40">
        <f t="shared" si="1"/>
        <v>46006</v>
      </c>
      <c r="B1067" s="37" t="str">
        <f t="array" ref="B1067">iferror(xlookup($I1067, 'IMPORT VHC Report'!$E:$E, 'IMPORT VHC Report'!$A:$C), )</f>
        <v/>
      </c>
      <c r="C1067" s="37"/>
      <c r="D1067" s="37"/>
      <c r="E1067" s="38" t="s">
        <v>1381</v>
      </c>
      <c r="F1067" s="38" t="s">
        <v>1370</v>
      </c>
      <c r="G1067" s="38">
        <v>5.901960272783E12</v>
      </c>
      <c r="H1067" s="38" t="s">
        <v>1371</v>
      </c>
      <c r="I1067" s="38" t="s">
        <v>1372</v>
      </c>
      <c r="J1067" s="38" t="s">
        <v>134</v>
      </c>
      <c r="K1067" s="38" t="s">
        <v>126</v>
      </c>
      <c r="L1067" s="41">
        <v>46007.09375</v>
      </c>
      <c r="M1067" s="38" t="s">
        <v>123</v>
      </c>
      <c r="N1067" s="41">
        <v>46007.12152777778</v>
      </c>
      <c r="O1067" s="38" t="s">
        <v>123</v>
      </c>
      <c r="P1067" s="38">
        <v>2400.0</v>
      </c>
      <c r="Q1067" s="39"/>
      <c r="R1067" s="39"/>
      <c r="S1067" s="38" t="s">
        <v>1382</v>
      </c>
      <c r="T1067" s="39"/>
      <c r="U1067" s="39"/>
    </row>
    <row r="1068">
      <c r="A1068" s="40">
        <f t="shared" si="1"/>
        <v>46006</v>
      </c>
      <c r="B1068" s="37" t="str">
        <f t="array" ref="B1068">iferror(xlookup($I1068, 'IMPORT VHC Report'!$E:$E, 'IMPORT VHC Report'!$A:$C), )</f>
        <v/>
      </c>
      <c r="C1068" s="37"/>
      <c r="D1068" s="37"/>
      <c r="E1068" s="38" t="s">
        <v>1383</v>
      </c>
      <c r="F1068" s="38" t="s">
        <v>1370</v>
      </c>
      <c r="G1068" s="38">
        <v>5.901960272783E12</v>
      </c>
      <c r="H1068" s="38" t="s">
        <v>1371</v>
      </c>
      <c r="I1068" s="38" t="s">
        <v>1372</v>
      </c>
      <c r="J1068" s="38" t="s">
        <v>132</v>
      </c>
      <c r="K1068" s="38" t="s">
        <v>126</v>
      </c>
      <c r="L1068" s="41">
        <v>46007.208333333336</v>
      </c>
      <c r="M1068" s="38" t="s">
        <v>123</v>
      </c>
      <c r="N1068" s="41">
        <v>46007.25</v>
      </c>
      <c r="O1068" s="38" t="s">
        <v>123</v>
      </c>
      <c r="P1068" s="38">
        <v>3600.0</v>
      </c>
      <c r="Q1068" s="39"/>
      <c r="R1068" s="39"/>
      <c r="S1068" s="39"/>
      <c r="T1068" s="39"/>
      <c r="U1068" s="39"/>
    </row>
    <row r="1069">
      <c r="A1069" s="40">
        <f t="shared" si="1"/>
        <v>46006</v>
      </c>
      <c r="B1069" s="37" t="str">
        <f t="array" ref="B1069">iferror(xlookup($I1069, 'IMPORT VHC Report'!$E:$E, 'IMPORT VHC Report'!$A:$C), )</f>
        <v/>
      </c>
      <c r="C1069" s="37"/>
      <c r="D1069" s="37"/>
      <c r="E1069" s="38" t="s">
        <v>1384</v>
      </c>
      <c r="F1069" s="38" t="s">
        <v>1370</v>
      </c>
      <c r="G1069" s="38">
        <v>5.901960272783E12</v>
      </c>
      <c r="H1069" s="38" t="s">
        <v>1371</v>
      </c>
      <c r="I1069" s="38" t="s">
        <v>1372</v>
      </c>
      <c r="J1069" s="38" t="s">
        <v>125</v>
      </c>
      <c r="K1069" s="38" t="s">
        <v>126</v>
      </c>
      <c r="L1069" s="41">
        <v>46008.0</v>
      </c>
      <c r="M1069" s="38" t="s">
        <v>123</v>
      </c>
      <c r="N1069" s="41">
        <v>46008.006944444445</v>
      </c>
      <c r="O1069" s="38" t="s">
        <v>123</v>
      </c>
      <c r="P1069" s="38">
        <v>600.0</v>
      </c>
      <c r="Q1069" s="39"/>
      <c r="R1069" s="39"/>
      <c r="S1069" s="38" t="s">
        <v>127</v>
      </c>
      <c r="T1069" s="39"/>
      <c r="U1069" s="39"/>
    </row>
    <row r="1070">
      <c r="A1070" s="40">
        <f t="shared" si="1"/>
        <v>46006</v>
      </c>
      <c r="B1070" s="37" t="str">
        <f t="array" ref="B1070">iferror(xlookup($I1070, 'IMPORT VHC Report'!$E:$E, 'IMPORT VHC Report'!$A:$C), )</f>
        <v/>
      </c>
      <c r="C1070" s="37"/>
      <c r="D1070" s="37"/>
      <c r="E1070" s="38" t="s">
        <v>1385</v>
      </c>
      <c r="F1070" s="38" t="s">
        <v>1370</v>
      </c>
      <c r="G1070" s="38">
        <v>5.901960272783E12</v>
      </c>
      <c r="H1070" s="38" t="s">
        <v>1371</v>
      </c>
      <c r="I1070" s="38" t="s">
        <v>1372</v>
      </c>
      <c r="J1070" s="38" t="s">
        <v>122</v>
      </c>
      <c r="K1070" s="38" t="s">
        <v>63</v>
      </c>
      <c r="L1070" s="41">
        <v>46008.0</v>
      </c>
      <c r="M1070" s="38" t="s">
        <v>123</v>
      </c>
      <c r="N1070" s="41">
        <v>46008.375</v>
      </c>
      <c r="O1070" s="38" t="s">
        <v>123</v>
      </c>
      <c r="P1070" s="38">
        <v>32400.0</v>
      </c>
      <c r="Q1070" s="39"/>
      <c r="R1070" s="39"/>
      <c r="S1070" s="39"/>
      <c r="T1070" s="39"/>
      <c r="U1070" s="39"/>
    </row>
    <row r="1071">
      <c r="A1071" s="40">
        <f t="shared" si="1"/>
        <v>46006</v>
      </c>
      <c r="B1071" s="37" t="str">
        <f t="array" ref="B1071">iferror(xlookup($I1071, 'IMPORT VHC Report'!$E:$E, 'IMPORT VHC Report'!$A:$C), )</f>
        <v/>
      </c>
      <c r="C1071" s="37"/>
      <c r="D1071" s="37"/>
      <c r="E1071" s="38" t="s">
        <v>1386</v>
      </c>
      <c r="F1071" s="38" t="s">
        <v>1370</v>
      </c>
      <c r="G1071" s="38">
        <v>5.901960272783E12</v>
      </c>
      <c r="H1071" s="38" t="s">
        <v>1371</v>
      </c>
      <c r="I1071" s="38" t="s">
        <v>1372</v>
      </c>
      <c r="J1071" s="38" t="s">
        <v>152</v>
      </c>
      <c r="K1071" s="38" t="s">
        <v>153</v>
      </c>
      <c r="L1071" s="41">
        <v>46008.0</v>
      </c>
      <c r="M1071" s="38" t="s">
        <v>123</v>
      </c>
      <c r="N1071" s="41">
        <v>46008.375</v>
      </c>
      <c r="O1071" s="38" t="s">
        <v>123</v>
      </c>
      <c r="P1071" s="38">
        <v>32400.0</v>
      </c>
      <c r="Q1071" s="38">
        <v>28800.0</v>
      </c>
      <c r="R1071" s="38" t="s">
        <v>421</v>
      </c>
      <c r="S1071" s="39"/>
      <c r="T1071" s="39"/>
      <c r="U1071" s="39"/>
    </row>
    <row r="1072">
      <c r="A1072" s="40">
        <f t="shared" si="1"/>
        <v>46006</v>
      </c>
      <c r="B1072" s="37" t="str">
        <f t="array" ref="B1072">iferror(xlookup($I1072, 'IMPORT VHC Report'!$E:$E, 'IMPORT VHC Report'!$A:$C), )</f>
        <v/>
      </c>
      <c r="C1072" s="37"/>
      <c r="D1072" s="37"/>
      <c r="E1072" s="38" t="s">
        <v>1387</v>
      </c>
      <c r="F1072" s="38" t="s">
        <v>1370</v>
      </c>
      <c r="G1072" s="38">
        <v>5.901960272783E12</v>
      </c>
      <c r="H1072" s="38" t="s">
        <v>1371</v>
      </c>
      <c r="I1072" s="38" t="s">
        <v>1372</v>
      </c>
      <c r="J1072" s="38" t="s">
        <v>132</v>
      </c>
      <c r="K1072" s="38" t="s">
        <v>126</v>
      </c>
      <c r="L1072" s="41">
        <v>46008.072916666664</v>
      </c>
      <c r="M1072" s="38" t="s">
        <v>123</v>
      </c>
      <c r="N1072" s="41">
        <v>46008.114583333336</v>
      </c>
      <c r="O1072" s="38" t="s">
        <v>123</v>
      </c>
      <c r="P1072" s="38">
        <v>3600.0</v>
      </c>
      <c r="Q1072" s="39"/>
      <c r="R1072" s="39"/>
      <c r="S1072" s="39"/>
      <c r="T1072" s="39"/>
      <c r="U1072" s="39"/>
    </row>
    <row r="1073">
      <c r="A1073" s="40">
        <f t="shared" si="1"/>
        <v>46006</v>
      </c>
      <c r="B1073" s="37" t="str">
        <f t="array" ref="B1073">iferror(xlookup($I1073, 'IMPORT VHC Report'!$E:$E, 'IMPORT VHC Report'!$A:$C), )</f>
        <v/>
      </c>
      <c r="C1073" s="37"/>
      <c r="D1073" s="37"/>
      <c r="E1073" s="38" t="s">
        <v>1388</v>
      </c>
      <c r="F1073" s="38" t="s">
        <v>1370</v>
      </c>
      <c r="G1073" s="38">
        <v>5.901960272783E12</v>
      </c>
      <c r="H1073" s="38" t="s">
        <v>1371</v>
      </c>
      <c r="I1073" s="38" t="s">
        <v>1372</v>
      </c>
      <c r="J1073" s="38" t="s">
        <v>134</v>
      </c>
      <c r="K1073" s="38" t="s">
        <v>126</v>
      </c>
      <c r="L1073" s="41">
        <v>46008.229166666664</v>
      </c>
      <c r="M1073" s="38" t="s">
        <v>123</v>
      </c>
      <c r="N1073" s="41">
        <v>46008.25</v>
      </c>
      <c r="O1073" s="38" t="s">
        <v>123</v>
      </c>
      <c r="P1073" s="38">
        <v>1800.0</v>
      </c>
      <c r="Q1073" s="39"/>
      <c r="R1073" s="39"/>
      <c r="S1073" s="39"/>
      <c r="T1073" s="39"/>
      <c r="U1073" s="39"/>
    </row>
    <row r="1074">
      <c r="A1074" s="40">
        <f t="shared" si="1"/>
        <v>46006</v>
      </c>
      <c r="B1074" s="37" t="str">
        <f t="array" ref="B1074">iferror(xlookup($I1074, 'IMPORT VHC Report'!$E:$E, 'IMPORT VHC Report'!$A:$C), )</f>
        <v/>
      </c>
      <c r="C1074" s="37"/>
      <c r="D1074" s="37"/>
      <c r="E1074" s="38" t="s">
        <v>1389</v>
      </c>
      <c r="F1074" s="38" t="s">
        <v>1370</v>
      </c>
      <c r="G1074" s="38">
        <v>5.901960272783E12</v>
      </c>
      <c r="H1074" s="38" t="s">
        <v>1371</v>
      </c>
      <c r="I1074" s="38" t="s">
        <v>1372</v>
      </c>
      <c r="J1074" s="38" t="s">
        <v>125</v>
      </c>
      <c r="K1074" s="38" t="s">
        <v>126</v>
      </c>
      <c r="L1074" s="41">
        <v>46009.0</v>
      </c>
      <c r="M1074" s="38" t="s">
        <v>123</v>
      </c>
      <c r="N1074" s="41">
        <v>46009.006944444445</v>
      </c>
      <c r="O1074" s="38" t="s">
        <v>123</v>
      </c>
      <c r="P1074" s="38">
        <v>600.0</v>
      </c>
      <c r="Q1074" s="39"/>
      <c r="R1074" s="39"/>
      <c r="S1074" s="38" t="s">
        <v>127</v>
      </c>
      <c r="T1074" s="39"/>
      <c r="U1074" s="39"/>
    </row>
    <row r="1075">
      <c r="A1075" s="40">
        <f t="shared" si="1"/>
        <v>46006</v>
      </c>
      <c r="B1075" s="37" t="str">
        <f t="array" ref="B1075">iferror(xlookup($I1075, 'IMPORT VHC Report'!$E:$E, 'IMPORT VHC Report'!$A:$C), )</f>
        <v/>
      </c>
      <c r="C1075" s="37"/>
      <c r="D1075" s="37"/>
      <c r="E1075" s="38" t="s">
        <v>1390</v>
      </c>
      <c r="F1075" s="38" t="s">
        <v>1370</v>
      </c>
      <c r="G1075" s="38">
        <v>5.901960272783E12</v>
      </c>
      <c r="H1075" s="38" t="s">
        <v>1371</v>
      </c>
      <c r="I1075" s="38" t="s">
        <v>1372</v>
      </c>
      <c r="J1075" s="38" t="s">
        <v>122</v>
      </c>
      <c r="K1075" s="38" t="s">
        <v>63</v>
      </c>
      <c r="L1075" s="41">
        <v>46009.0</v>
      </c>
      <c r="M1075" s="38" t="s">
        <v>123</v>
      </c>
      <c r="N1075" s="41">
        <v>46009.375</v>
      </c>
      <c r="O1075" s="38" t="s">
        <v>123</v>
      </c>
      <c r="P1075" s="38">
        <v>32400.0</v>
      </c>
      <c r="Q1075" s="39"/>
      <c r="R1075" s="39"/>
      <c r="S1075" s="39"/>
      <c r="T1075" s="39"/>
      <c r="U1075" s="39"/>
    </row>
    <row r="1076">
      <c r="A1076" s="40">
        <f t="shared" si="1"/>
        <v>46006</v>
      </c>
      <c r="B1076" s="37" t="str">
        <f t="array" ref="B1076">iferror(xlookup($I1076, 'IMPORT VHC Report'!$E:$E, 'IMPORT VHC Report'!$A:$C), )</f>
        <v/>
      </c>
      <c r="C1076" s="37"/>
      <c r="D1076" s="37"/>
      <c r="E1076" s="38" t="s">
        <v>1391</v>
      </c>
      <c r="F1076" s="38" t="s">
        <v>1370</v>
      </c>
      <c r="G1076" s="38">
        <v>5.901960272783E12</v>
      </c>
      <c r="H1076" s="38" t="s">
        <v>1371</v>
      </c>
      <c r="I1076" s="38" t="s">
        <v>1372</v>
      </c>
      <c r="J1076" s="38" t="s">
        <v>132</v>
      </c>
      <c r="K1076" s="38" t="s">
        <v>126</v>
      </c>
      <c r="L1076" s="41">
        <v>46009.072916666664</v>
      </c>
      <c r="M1076" s="38" t="s">
        <v>123</v>
      </c>
      <c r="N1076" s="41">
        <v>46009.114583333336</v>
      </c>
      <c r="O1076" s="38" t="s">
        <v>123</v>
      </c>
      <c r="P1076" s="38">
        <v>3600.0</v>
      </c>
      <c r="Q1076" s="39"/>
      <c r="R1076" s="39"/>
      <c r="S1076" s="39"/>
      <c r="T1076" s="39"/>
      <c r="U1076" s="39"/>
    </row>
    <row r="1077">
      <c r="A1077" s="40">
        <f t="shared" si="1"/>
        <v>46006</v>
      </c>
      <c r="B1077" s="37" t="str">
        <f t="array" ref="B1077">iferror(xlookup($I1077, 'IMPORT VHC Report'!$E:$E, 'IMPORT VHC Report'!$A:$C), )</f>
        <v/>
      </c>
      <c r="C1077" s="37"/>
      <c r="D1077" s="37"/>
      <c r="E1077" s="38" t="s">
        <v>1392</v>
      </c>
      <c r="F1077" s="38" t="s">
        <v>1370</v>
      </c>
      <c r="G1077" s="38">
        <v>5.901960272783E12</v>
      </c>
      <c r="H1077" s="38" t="s">
        <v>1371</v>
      </c>
      <c r="I1077" s="38" t="s">
        <v>1372</v>
      </c>
      <c r="J1077" s="38" t="s">
        <v>4</v>
      </c>
      <c r="K1077" s="38" t="s">
        <v>126</v>
      </c>
      <c r="L1077" s="41">
        <v>46009.114583333336</v>
      </c>
      <c r="M1077" s="38" t="s">
        <v>123</v>
      </c>
      <c r="N1077" s="41">
        <v>46009.15625</v>
      </c>
      <c r="O1077" s="38" t="s">
        <v>123</v>
      </c>
      <c r="P1077" s="38">
        <v>3600.0</v>
      </c>
      <c r="Q1077" s="39"/>
      <c r="R1077" s="39"/>
      <c r="S1077" s="38" t="s">
        <v>130</v>
      </c>
      <c r="T1077" s="39"/>
      <c r="U1077" s="39"/>
    </row>
    <row r="1078">
      <c r="A1078" s="40">
        <f t="shared" si="1"/>
        <v>46006</v>
      </c>
      <c r="B1078" s="37" t="str">
        <f t="array" ref="B1078">iferror(xlookup($I1078, 'IMPORT VHC Report'!$E:$E, 'IMPORT VHC Report'!$A:$C), )</f>
        <v/>
      </c>
      <c r="C1078" s="37"/>
      <c r="D1078" s="37"/>
      <c r="E1078" s="38" t="s">
        <v>1393</v>
      </c>
      <c r="F1078" s="38" t="s">
        <v>1370</v>
      </c>
      <c r="G1078" s="38">
        <v>5.901960272783E12</v>
      </c>
      <c r="H1078" s="38" t="s">
        <v>1371</v>
      </c>
      <c r="I1078" s="38" t="s">
        <v>1372</v>
      </c>
      <c r="J1078" s="38" t="s">
        <v>134</v>
      </c>
      <c r="K1078" s="38" t="s">
        <v>126</v>
      </c>
      <c r="L1078" s="41">
        <v>46009.23263888889</v>
      </c>
      <c r="M1078" s="38" t="s">
        <v>123</v>
      </c>
      <c r="N1078" s="41">
        <v>46009.260416666664</v>
      </c>
      <c r="O1078" s="38" t="s">
        <v>123</v>
      </c>
      <c r="P1078" s="38">
        <v>2400.0</v>
      </c>
      <c r="Q1078" s="39"/>
      <c r="R1078" s="39"/>
      <c r="S1078" s="38" t="s">
        <v>1376</v>
      </c>
      <c r="T1078" s="39"/>
      <c r="U1078" s="39"/>
    </row>
    <row r="1079">
      <c r="A1079" s="40">
        <f t="shared" si="1"/>
        <v>46006</v>
      </c>
      <c r="B1079" s="37" t="str">
        <f t="array" ref="B1079">iferror(xlookup($I1079, 'IMPORT VHC Report'!$E:$E, 'IMPORT VHC Report'!$A:$C), )</f>
        <v/>
      </c>
      <c r="C1079" s="37"/>
      <c r="D1079" s="37"/>
      <c r="E1079" s="38" t="s">
        <v>1394</v>
      </c>
      <c r="F1079" s="38" t="s">
        <v>1370</v>
      </c>
      <c r="G1079" s="38">
        <v>5.901960272783E12</v>
      </c>
      <c r="H1079" s="38" t="s">
        <v>1371</v>
      </c>
      <c r="I1079" s="38" t="s">
        <v>1372</v>
      </c>
      <c r="J1079" s="38" t="s">
        <v>134</v>
      </c>
      <c r="K1079" s="38" t="s">
        <v>126</v>
      </c>
      <c r="L1079" s="41">
        <v>46009.260416666664</v>
      </c>
      <c r="M1079" s="38" t="s">
        <v>123</v>
      </c>
      <c r="N1079" s="41">
        <v>46009.28125</v>
      </c>
      <c r="O1079" s="38" t="s">
        <v>123</v>
      </c>
      <c r="P1079" s="38">
        <v>1800.0</v>
      </c>
      <c r="Q1079" s="39"/>
      <c r="R1079" s="39"/>
      <c r="S1079" s="39"/>
      <c r="T1079" s="39"/>
      <c r="U1079" s="39"/>
    </row>
    <row r="1080">
      <c r="A1080" s="40">
        <f t="shared" si="1"/>
        <v>46006</v>
      </c>
      <c r="B1080" s="37" t="str">
        <f t="array" ref="B1080">iferror(xlookup($I1080, 'IMPORT VHC Report'!$E:$E, 'IMPORT VHC Report'!$A:$C), )</f>
        <v/>
      </c>
      <c r="C1080" s="37"/>
      <c r="D1080" s="37"/>
      <c r="E1080" s="38" t="s">
        <v>1395</v>
      </c>
      <c r="F1080" s="38" t="s">
        <v>1370</v>
      </c>
      <c r="G1080" s="38">
        <v>5.901960272783E12</v>
      </c>
      <c r="H1080" s="38" t="s">
        <v>1371</v>
      </c>
      <c r="I1080" s="38" t="s">
        <v>1372</v>
      </c>
      <c r="J1080" s="38" t="s">
        <v>125</v>
      </c>
      <c r="K1080" s="38" t="s">
        <v>126</v>
      </c>
      <c r="L1080" s="41">
        <v>46012.0</v>
      </c>
      <c r="M1080" s="38" t="s">
        <v>123</v>
      </c>
      <c r="N1080" s="41">
        <v>46012.006944444445</v>
      </c>
      <c r="O1080" s="38" t="s">
        <v>123</v>
      </c>
      <c r="P1080" s="38">
        <v>600.0</v>
      </c>
      <c r="Q1080" s="39"/>
      <c r="R1080" s="39"/>
      <c r="S1080" s="38" t="s">
        <v>127</v>
      </c>
      <c r="T1080" s="39"/>
      <c r="U1080" s="39"/>
    </row>
    <row r="1081">
      <c r="A1081" s="40">
        <f t="shared" si="1"/>
        <v>46006</v>
      </c>
      <c r="B1081" s="37" t="str">
        <f t="array" ref="B1081">iferror(xlookup($I1081, 'IMPORT VHC Report'!$E:$E, 'IMPORT VHC Report'!$A:$C), )</f>
        <v/>
      </c>
      <c r="C1081" s="37"/>
      <c r="D1081" s="37"/>
      <c r="E1081" s="38" t="s">
        <v>1396</v>
      </c>
      <c r="F1081" s="38" t="s">
        <v>1370</v>
      </c>
      <c r="G1081" s="38">
        <v>5.901960272783E12</v>
      </c>
      <c r="H1081" s="38" t="s">
        <v>1371</v>
      </c>
      <c r="I1081" s="38" t="s">
        <v>1372</v>
      </c>
      <c r="J1081" s="38" t="s">
        <v>122</v>
      </c>
      <c r="K1081" s="38" t="s">
        <v>63</v>
      </c>
      <c r="L1081" s="41">
        <v>46012.0</v>
      </c>
      <c r="M1081" s="38" t="s">
        <v>123</v>
      </c>
      <c r="N1081" s="41">
        <v>46012.375</v>
      </c>
      <c r="O1081" s="38" t="s">
        <v>123</v>
      </c>
      <c r="P1081" s="38">
        <v>32400.0</v>
      </c>
      <c r="Q1081" s="39"/>
      <c r="R1081" s="39"/>
      <c r="S1081" s="39"/>
      <c r="T1081" s="39"/>
      <c r="U1081" s="39"/>
    </row>
    <row r="1082">
      <c r="A1082" s="40">
        <f t="shared" si="1"/>
        <v>46006</v>
      </c>
      <c r="B1082" s="37" t="str">
        <f t="array" ref="B1082">iferror(xlookup($I1082, 'IMPORT VHC Report'!$E:$E, 'IMPORT VHC Report'!$A:$C), )</f>
        <v/>
      </c>
      <c r="C1082" s="37"/>
      <c r="D1082" s="37"/>
      <c r="E1082" s="38" t="s">
        <v>1397</v>
      </c>
      <c r="F1082" s="38" t="s">
        <v>1370</v>
      </c>
      <c r="G1082" s="38">
        <v>5.901960272783E12</v>
      </c>
      <c r="H1082" s="38" t="s">
        <v>1371</v>
      </c>
      <c r="I1082" s="38" t="s">
        <v>1372</v>
      </c>
      <c r="J1082" s="38" t="s">
        <v>132</v>
      </c>
      <c r="K1082" s="38" t="s">
        <v>126</v>
      </c>
      <c r="L1082" s="41">
        <v>46012.09375</v>
      </c>
      <c r="M1082" s="38" t="s">
        <v>123</v>
      </c>
      <c r="N1082" s="41">
        <v>46012.135416666664</v>
      </c>
      <c r="O1082" s="38" t="s">
        <v>123</v>
      </c>
      <c r="P1082" s="38">
        <v>3600.0</v>
      </c>
      <c r="Q1082" s="39"/>
      <c r="R1082" s="39"/>
      <c r="S1082" s="39"/>
      <c r="T1082" s="39"/>
      <c r="U1082" s="39"/>
    </row>
    <row r="1083">
      <c r="A1083" s="40">
        <f t="shared" si="1"/>
        <v>46006</v>
      </c>
      <c r="B1083" s="37" t="str">
        <f t="array" ref="B1083">iferror(xlookup($I1083, 'IMPORT VHC Report'!$E:$E, 'IMPORT VHC Report'!$A:$C), )</f>
        <v/>
      </c>
      <c r="C1083" s="37"/>
      <c r="D1083" s="37"/>
      <c r="E1083" s="38" t="s">
        <v>1398</v>
      </c>
      <c r="F1083" s="38" t="s">
        <v>1370</v>
      </c>
      <c r="G1083" s="38">
        <v>5.901960272783E12</v>
      </c>
      <c r="H1083" s="38" t="s">
        <v>1371</v>
      </c>
      <c r="I1083" s="38" t="s">
        <v>1372</v>
      </c>
      <c r="J1083" s="38" t="s">
        <v>134</v>
      </c>
      <c r="K1083" s="38" t="s">
        <v>126</v>
      </c>
      <c r="L1083" s="41">
        <v>46012.229166666664</v>
      </c>
      <c r="M1083" s="38" t="s">
        <v>123</v>
      </c>
      <c r="N1083" s="41">
        <v>46012.25</v>
      </c>
      <c r="O1083" s="38" t="s">
        <v>123</v>
      </c>
      <c r="P1083" s="38">
        <v>1800.0</v>
      </c>
      <c r="Q1083" s="39"/>
      <c r="R1083" s="39"/>
      <c r="S1083" s="39"/>
      <c r="T1083" s="39"/>
      <c r="U1083" s="39"/>
    </row>
    <row r="1084">
      <c r="A1084" s="40">
        <f t="shared" si="1"/>
        <v>46006</v>
      </c>
      <c r="B1084" s="37" t="str">
        <f t="array" ref="B1084">iferror(xlookup($I1084, 'IMPORT VHC Report'!$E:$E, 'IMPORT VHC Report'!$A:$C), )</f>
        <v/>
      </c>
      <c r="C1084" s="37"/>
      <c r="D1084" s="37"/>
      <c r="E1084" s="38" t="s">
        <v>1399</v>
      </c>
      <c r="F1084" s="38" t="s">
        <v>1370</v>
      </c>
      <c r="G1084" s="38">
        <v>5.901960272783E12</v>
      </c>
      <c r="H1084" s="38" t="s">
        <v>1371</v>
      </c>
      <c r="I1084" s="38" t="s">
        <v>1372</v>
      </c>
      <c r="J1084" s="38" t="s">
        <v>134</v>
      </c>
      <c r="K1084" s="38" t="s">
        <v>126</v>
      </c>
      <c r="L1084" s="41">
        <v>46012.25</v>
      </c>
      <c r="M1084" s="38" t="s">
        <v>123</v>
      </c>
      <c r="N1084" s="41">
        <v>46012.27777777778</v>
      </c>
      <c r="O1084" s="38" t="s">
        <v>123</v>
      </c>
      <c r="P1084" s="38">
        <v>2400.0</v>
      </c>
      <c r="Q1084" s="39"/>
      <c r="R1084" s="39"/>
      <c r="S1084" s="38" t="s">
        <v>1376</v>
      </c>
      <c r="T1084" s="39"/>
      <c r="U1084" s="39"/>
    </row>
    <row r="1085">
      <c r="A1085" s="40">
        <f t="shared" si="1"/>
        <v>46006</v>
      </c>
      <c r="B1085" s="37" t="str">
        <f t="array" ref="B1085">iferror(xlookup($I1085, 'IMPORT VHC Report'!$E:$E, 'IMPORT VHC Report'!$A:$C), )</f>
        <v/>
      </c>
      <c r="C1085" s="37"/>
      <c r="D1085" s="37"/>
      <c r="E1085" s="38" t="s">
        <v>1400</v>
      </c>
      <c r="F1085" s="38" t="s">
        <v>1401</v>
      </c>
      <c r="G1085" s="38">
        <v>8.409870322319E12</v>
      </c>
      <c r="H1085" s="38" t="s">
        <v>84</v>
      </c>
      <c r="I1085" s="38" t="s">
        <v>85</v>
      </c>
      <c r="J1085" s="38" t="s">
        <v>791</v>
      </c>
      <c r="K1085" s="38" t="s">
        <v>63</v>
      </c>
      <c r="L1085" s="41">
        <v>46006.0</v>
      </c>
      <c r="M1085" s="38" t="s">
        <v>123</v>
      </c>
      <c r="N1085" s="41">
        <v>46006.291666666664</v>
      </c>
      <c r="O1085" s="38" t="s">
        <v>123</v>
      </c>
      <c r="P1085" s="38">
        <v>25200.0</v>
      </c>
      <c r="Q1085" s="39"/>
      <c r="R1085" s="39"/>
      <c r="S1085" s="39"/>
      <c r="T1085" s="39"/>
      <c r="U1085" s="39"/>
    </row>
    <row r="1086">
      <c r="A1086" s="40">
        <f t="shared" si="1"/>
        <v>46006</v>
      </c>
      <c r="B1086" s="37" t="str">
        <f t="array" ref="B1086">iferror(xlookup($I1086, 'IMPORT VHC Report'!$E:$E, 'IMPORT VHC Report'!$A:$C), )</f>
        <v/>
      </c>
      <c r="C1086" s="37"/>
      <c r="D1086" s="37"/>
      <c r="E1086" s="38" t="s">
        <v>1402</v>
      </c>
      <c r="F1086" s="38" t="s">
        <v>1401</v>
      </c>
      <c r="G1086" s="38">
        <v>8.409870322319E12</v>
      </c>
      <c r="H1086" s="38" t="s">
        <v>84</v>
      </c>
      <c r="I1086" s="38" t="s">
        <v>85</v>
      </c>
      <c r="J1086" s="38" t="s">
        <v>134</v>
      </c>
      <c r="K1086" s="38" t="s">
        <v>126</v>
      </c>
      <c r="L1086" s="41">
        <v>46006.229166666664</v>
      </c>
      <c r="M1086" s="38" t="s">
        <v>123</v>
      </c>
      <c r="N1086" s="41">
        <v>46006.25</v>
      </c>
      <c r="O1086" s="38" t="s">
        <v>123</v>
      </c>
      <c r="P1086" s="38">
        <v>1800.0</v>
      </c>
      <c r="Q1086" s="39"/>
      <c r="R1086" s="39"/>
      <c r="S1086" s="39"/>
      <c r="T1086" s="39"/>
      <c r="U1086" s="39"/>
    </row>
    <row r="1087">
      <c r="A1087" s="40">
        <f t="shared" si="1"/>
        <v>46006</v>
      </c>
      <c r="B1087" s="37" t="str">
        <f t="array" ref="B1087">iferror(xlookup($I1087, 'IMPORT VHC Report'!$E:$E, 'IMPORT VHC Report'!$A:$C), )</f>
        <v/>
      </c>
      <c r="C1087" s="37"/>
      <c r="D1087" s="37"/>
      <c r="E1087" s="38" t="s">
        <v>1403</v>
      </c>
      <c r="F1087" s="38" t="s">
        <v>1401</v>
      </c>
      <c r="G1087" s="38">
        <v>8.409870322319E12</v>
      </c>
      <c r="H1087" s="38" t="s">
        <v>84</v>
      </c>
      <c r="I1087" s="38" t="s">
        <v>85</v>
      </c>
      <c r="J1087" s="38" t="s">
        <v>132</v>
      </c>
      <c r="K1087" s="38" t="s">
        <v>126</v>
      </c>
      <c r="L1087" s="41">
        <v>46006.25</v>
      </c>
      <c r="M1087" s="38" t="s">
        <v>123</v>
      </c>
      <c r="N1087" s="41">
        <v>46006.291666666664</v>
      </c>
      <c r="O1087" s="38" t="s">
        <v>123</v>
      </c>
      <c r="P1087" s="38">
        <v>3600.0</v>
      </c>
      <c r="Q1087" s="39"/>
      <c r="R1087" s="39"/>
      <c r="S1087" s="39"/>
      <c r="T1087" s="39"/>
      <c r="U1087" s="39"/>
    </row>
    <row r="1088">
      <c r="A1088" s="40">
        <f t="shared" si="1"/>
        <v>46006</v>
      </c>
      <c r="B1088" s="37" t="str">
        <f t="array" ref="B1088">iferror(xlookup($I1088, 'IMPORT VHC Report'!$E:$E, 'IMPORT VHC Report'!$A:$C), )</f>
        <v/>
      </c>
      <c r="C1088" s="37"/>
      <c r="D1088" s="37"/>
      <c r="E1088" s="38" t="s">
        <v>1404</v>
      </c>
      <c r="F1088" s="38" t="s">
        <v>1401</v>
      </c>
      <c r="G1088" s="38">
        <v>8.409870322319E12</v>
      </c>
      <c r="H1088" s="38" t="s">
        <v>84</v>
      </c>
      <c r="I1088" s="38" t="s">
        <v>85</v>
      </c>
      <c r="J1088" s="38" t="s">
        <v>791</v>
      </c>
      <c r="K1088" s="38" t="s">
        <v>63</v>
      </c>
      <c r="L1088" s="41">
        <v>46006.916666666664</v>
      </c>
      <c r="M1088" s="38" t="s">
        <v>123</v>
      </c>
      <c r="N1088" s="41">
        <v>46007.291666666664</v>
      </c>
      <c r="O1088" s="38" t="s">
        <v>123</v>
      </c>
      <c r="P1088" s="38">
        <v>32400.0</v>
      </c>
      <c r="Q1088" s="39"/>
      <c r="R1088" s="39"/>
      <c r="S1088" s="39"/>
      <c r="T1088" s="39"/>
      <c r="U1088" s="39"/>
    </row>
    <row r="1089">
      <c r="A1089" s="40">
        <f t="shared" si="1"/>
        <v>46006</v>
      </c>
      <c r="B1089" s="37" t="str">
        <f t="array" ref="B1089">iferror(xlookup($I1089, 'IMPORT VHC Report'!$E:$E, 'IMPORT VHC Report'!$A:$C), )</f>
        <v/>
      </c>
      <c r="C1089" s="37"/>
      <c r="D1089" s="37"/>
      <c r="E1089" s="38" t="s">
        <v>1405</v>
      </c>
      <c r="F1089" s="38" t="s">
        <v>1401</v>
      </c>
      <c r="G1089" s="38">
        <v>8.409870322319E12</v>
      </c>
      <c r="H1089" s="38" t="s">
        <v>84</v>
      </c>
      <c r="I1089" s="38" t="s">
        <v>85</v>
      </c>
      <c r="J1089" s="38" t="s">
        <v>134</v>
      </c>
      <c r="K1089" s="38" t="s">
        <v>126</v>
      </c>
      <c r="L1089" s="41">
        <v>46007.166666666664</v>
      </c>
      <c r="M1089" s="38" t="s">
        <v>123</v>
      </c>
      <c r="N1089" s="41">
        <v>46007.1875</v>
      </c>
      <c r="O1089" s="38" t="s">
        <v>123</v>
      </c>
      <c r="P1089" s="38">
        <v>1800.0</v>
      </c>
      <c r="Q1089" s="39"/>
      <c r="R1089" s="39"/>
      <c r="S1089" s="39"/>
      <c r="T1089" s="39"/>
      <c r="U1089" s="39"/>
    </row>
    <row r="1090">
      <c r="A1090" s="40">
        <f t="shared" si="1"/>
        <v>46006</v>
      </c>
      <c r="B1090" s="37" t="str">
        <f t="array" ref="B1090">iferror(xlookup($I1090, 'IMPORT VHC Report'!$E:$E, 'IMPORT VHC Report'!$A:$C), )</f>
        <v/>
      </c>
      <c r="C1090" s="37"/>
      <c r="D1090" s="37"/>
      <c r="E1090" s="38" t="s">
        <v>1406</v>
      </c>
      <c r="F1090" s="38" t="s">
        <v>1401</v>
      </c>
      <c r="G1090" s="38">
        <v>8.409870322319E12</v>
      </c>
      <c r="H1090" s="38" t="s">
        <v>84</v>
      </c>
      <c r="I1090" s="38" t="s">
        <v>85</v>
      </c>
      <c r="J1090" s="38" t="s">
        <v>132</v>
      </c>
      <c r="K1090" s="38" t="s">
        <v>126</v>
      </c>
      <c r="L1090" s="41">
        <v>46007.1875</v>
      </c>
      <c r="M1090" s="38" t="s">
        <v>123</v>
      </c>
      <c r="N1090" s="41">
        <v>46007.229166666664</v>
      </c>
      <c r="O1090" s="38" t="s">
        <v>123</v>
      </c>
      <c r="P1090" s="38">
        <v>3600.0</v>
      </c>
      <c r="Q1090" s="39"/>
      <c r="R1090" s="39"/>
      <c r="S1090" s="39"/>
      <c r="T1090" s="39"/>
      <c r="U1090" s="39"/>
    </row>
    <row r="1091">
      <c r="A1091" s="40">
        <f t="shared" si="1"/>
        <v>46006</v>
      </c>
      <c r="B1091" s="37" t="str">
        <f t="array" ref="B1091">iferror(xlookup($I1091, 'IMPORT VHC Report'!$E:$E, 'IMPORT VHC Report'!$A:$C), )</f>
        <v/>
      </c>
      <c r="C1091" s="37"/>
      <c r="D1091" s="37"/>
      <c r="E1091" s="38" t="s">
        <v>1407</v>
      </c>
      <c r="F1091" s="38" t="s">
        <v>1401</v>
      </c>
      <c r="G1091" s="38">
        <v>8.409870322319E12</v>
      </c>
      <c r="H1091" s="38" t="s">
        <v>84</v>
      </c>
      <c r="I1091" s="38" t="s">
        <v>85</v>
      </c>
      <c r="J1091" s="38" t="s">
        <v>62</v>
      </c>
      <c r="K1091" s="38" t="s">
        <v>63</v>
      </c>
      <c r="L1091" s="41">
        <v>46007.916666666664</v>
      </c>
      <c r="M1091" s="38" t="s">
        <v>123</v>
      </c>
      <c r="N1091" s="41">
        <v>46008.083333333336</v>
      </c>
      <c r="O1091" s="38" t="s">
        <v>123</v>
      </c>
      <c r="P1091" s="38">
        <v>14400.0</v>
      </c>
      <c r="Q1091" s="39"/>
      <c r="R1091" s="39"/>
      <c r="S1091" s="39"/>
      <c r="T1091" s="39"/>
      <c r="U1091" s="39"/>
    </row>
    <row r="1092">
      <c r="A1092" s="40">
        <f t="shared" si="1"/>
        <v>46006</v>
      </c>
      <c r="B1092" s="37" t="str">
        <f t="array" ref="B1092">iferror(xlookup($I1092, 'IMPORT VHC Report'!$E:$E, 'IMPORT VHC Report'!$A:$C), )</f>
        <v/>
      </c>
      <c r="C1092" s="37"/>
      <c r="D1092" s="37"/>
      <c r="E1092" s="38" t="s">
        <v>1408</v>
      </c>
      <c r="F1092" s="38" t="s">
        <v>1401</v>
      </c>
      <c r="G1092" s="38">
        <v>8.409870322319E12</v>
      </c>
      <c r="H1092" s="38" t="s">
        <v>84</v>
      </c>
      <c r="I1092" s="38" t="s">
        <v>85</v>
      </c>
      <c r="J1092" s="38" t="s">
        <v>330</v>
      </c>
      <c r="K1092" s="38" t="s">
        <v>126</v>
      </c>
      <c r="L1092" s="41">
        <v>46007.958333333336</v>
      </c>
      <c r="M1092" s="38" t="s">
        <v>123</v>
      </c>
      <c r="N1092" s="41">
        <v>46008.0</v>
      </c>
      <c r="O1092" s="38" t="s">
        <v>123</v>
      </c>
      <c r="P1092" s="38">
        <v>3600.0</v>
      </c>
      <c r="Q1092" s="39"/>
      <c r="R1092" s="39"/>
      <c r="S1092" s="38" t="s">
        <v>1409</v>
      </c>
      <c r="T1092" s="39"/>
      <c r="U1092" s="39"/>
    </row>
    <row r="1093">
      <c r="A1093" s="40">
        <f t="shared" si="1"/>
        <v>46006</v>
      </c>
      <c r="B1093" s="37" t="str">
        <f t="array" ref="B1093">iferror(xlookup($I1093, 'IMPORT VHC Report'!$E:$E, 'IMPORT VHC Report'!$A:$C), )</f>
        <v/>
      </c>
      <c r="C1093" s="37"/>
      <c r="D1093" s="37"/>
      <c r="E1093" s="38" t="s">
        <v>1410</v>
      </c>
      <c r="F1093" s="38" t="s">
        <v>1401</v>
      </c>
      <c r="G1093" s="38">
        <v>8.409870322319E12</v>
      </c>
      <c r="H1093" s="38" t="s">
        <v>84</v>
      </c>
      <c r="I1093" s="38" t="s">
        <v>85</v>
      </c>
      <c r="J1093" s="38" t="s">
        <v>791</v>
      </c>
      <c r="K1093" s="38" t="s">
        <v>63</v>
      </c>
      <c r="L1093" s="41">
        <v>46008.083333333336</v>
      </c>
      <c r="M1093" s="38" t="s">
        <v>123</v>
      </c>
      <c r="N1093" s="41">
        <v>46008.291666666664</v>
      </c>
      <c r="O1093" s="38" t="s">
        <v>123</v>
      </c>
      <c r="P1093" s="38">
        <v>18000.0</v>
      </c>
      <c r="Q1093" s="39"/>
      <c r="R1093" s="39"/>
      <c r="S1093" s="39"/>
      <c r="T1093" s="39"/>
      <c r="U1093" s="39"/>
    </row>
    <row r="1094">
      <c r="A1094" s="40">
        <f t="shared" si="1"/>
        <v>46006</v>
      </c>
      <c r="B1094" s="37" t="str">
        <f t="array" ref="B1094">iferror(xlookup($I1094, 'IMPORT VHC Report'!$E:$E, 'IMPORT VHC Report'!$A:$C), )</f>
        <v/>
      </c>
      <c r="C1094" s="37"/>
      <c r="D1094" s="37"/>
      <c r="E1094" s="38" t="s">
        <v>1411</v>
      </c>
      <c r="F1094" s="38" t="s">
        <v>1401</v>
      </c>
      <c r="G1094" s="38">
        <v>8.409870322319E12</v>
      </c>
      <c r="H1094" s="38" t="s">
        <v>84</v>
      </c>
      <c r="I1094" s="38" t="s">
        <v>85</v>
      </c>
      <c r="J1094" s="38" t="s">
        <v>132</v>
      </c>
      <c r="K1094" s="38" t="s">
        <v>126</v>
      </c>
      <c r="L1094" s="41">
        <v>46008.166666666664</v>
      </c>
      <c r="M1094" s="38" t="s">
        <v>123</v>
      </c>
      <c r="N1094" s="41">
        <v>46008.208333333336</v>
      </c>
      <c r="O1094" s="38" t="s">
        <v>123</v>
      </c>
      <c r="P1094" s="38">
        <v>3600.0</v>
      </c>
      <c r="Q1094" s="39"/>
      <c r="R1094" s="39"/>
      <c r="S1094" s="39"/>
      <c r="T1094" s="39"/>
      <c r="U1094" s="39"/>
    </row>
    <row r="1095">
      <c r="A1095" s="40">
        <f t="shared" si="1"/>
        <v>46006</v>
      </c>
      <c r="B1095" s="37" t="str">
        <f t="array" ref="B1095">iferror(xlookup($I1095, 'IMPORT VHC Report'!$E:$E, 'IMPORT VHC Report'!$A:$C), )</f>
        <v/>
      </c>
      <c r="C1095" s="37"/>
      <c r="D1095" s="37"/>
      <c r="E1095" s="38" t="s">
        <v>1412</v>
      </c>
      <c r="F1095" s="38" t="s">
        <v>1401</v>
      </c>
      <c r="G1095" s="38">
        <v>8.409870322319E12</v>
      </c>
      <c r="H1095" s="38" t="s">
        <v>84</v>
      </c>
      <c r="I1095" s="38" t="s">
        <v>85</v>
      </c>
      <c r="J1095" s="38" t="s">
        <v>134</v>
      </c>
      <c r="K1095" s="38" t="s">
        <v>126</v>
      </c>
      <c r="L1095" s="41">
        <v>46008.208333333336</v>
      </c>
      <c r="M1095" s="38" t="s">
        <v>123</v>
      </c>
      <c r="N1095" s="41">
        <v>46008.229166666664</v>
      </c>
      <c r="O1095" s="38" t="s">
        <v>123</v>
      </c>
      <c r="P1095" s="38">
        <v>1800.0</v>
      </c>
      <c r="Q1095" s="39"/>
      <c r="R1095" s="39"/>
      <c r="S1095" s="39"/>
      <c r="T1095" s="39"/>
      <c r="U1095" s="39"/>
    </row>
    <row r="1096">
      <c r="A1096" s="40">
        <f t="shared" si="1"/>
        <v>46006</v>
      </c>
      <c r="B1096" s="37" t="str">
        <f t="array" ref="B1096">iferror(xlookup($I1096, 'IMPORT VHC Report'!$E:$E, 'IMPORT VHC Report'!$A:$C), )</f>
        <v/>
      </c>
      <c r="C1096" s="37"/>
      <c r="D1096" s="37"/>
      <c r="E1096" s="38" t="s">
        <v>1413</v>
      </c>
      <c r="F1096" s="38" t="s">
        <v>1401</v>
      </c>
      <c r="G1096" s="38">
        <v>8.409870322319E12</v>
      </c>
      <c r="H1096" s="38" t="s">
        <v>84</v>
      </c>
      <c r="I1096" s="38" t="s">
        <v>85</v>
      </c>
      <c r="J1096" s="38" t="s">
        <v>791</v>
      </c>
      <c r="K1096" s="38" t="s">
        <v>63</v>
      </c>
      <c r="L1096" s="41">
        <v>46008.916666666664</v>
      </c>
      <c r="M1096" s="38" t="s">
        <v>123</v>
      </c>
      <c r="N1096" s="41">
        <v>46009.291666666664</v>
      </c>
      <c r="O1096" s="38" t="s">
        <v>123</v>
      </c>
      <c r="P1096" s="38">
        <v>32400.0</v>
      </c>
      <c r="Q1096" s="39"/>
      <c r="R1096" s="39"/>
      <c r="S1096" s="39"/>
      <c r="T1096" s="39"/>
      <c r="U1096" s="39"/>
    </row>
    <row r="1097">
      <c r="A1097" s="40">
        <f t="shared" si="1"/>
        <v>46006</v>
      </c>
      <c r="B1097" s="37" t="str">
        <f t="array" ref="B1097">iferror(xlookup($I1097, 'IMPORT VHC Report'!$E:$E, 'IMPORT VHC Report'!$A:$C), )</f>
        <v/>
      </c>
      <c r="C1097" s="37"/>
      <c r="D1097" s="37"/>
      <c r="E1097" s="38" t="s">
        <v>1414</v>
      </c>
      <c r="F1097" s="38" t="s">
        <v>1401</v>
      </c>
      <c r="G1097" s="38">
        <v>8.409870322319E12</v>
      </c>
      <c r="H1097" s="38" t="s">
        <v>84</v>
      </c>
      <c r="I1097" s="38" t="s">
        <v>85</v>
      </c>
      <c r="J1097" s="38" t="s">
        <v>136</v>
      </c>
      <c r="K1097" s="38" t="s">
        <v>126</v>
      </c>
      <c r="L1097" s="41">
        <v>46008.958333333336</v>
      </c>
      <c r="M1097" s="38" t="s">
        <v>123</v>
      </c>
      <c r="N1097" s="41">
        <v>46009.0</v>
      </c>
      <c r="O1097" s="38" t="s">
        <v>123</v>
      </c>
      <c r="P1097" s="38">
        <v>3600.0</v>
      </c>
      <c r="Q1097" s="39"/>
      <c r="R1097" s="39"/>
      <c r="S1097" s="38" t="s">
        <v>137</v>
      </c>
      <c r="T1097" s="39"/>
      <c r="U1097" s="39"/>
    </row>
    <row r="1098">
      <c r="A1098" s="40">
        <f t="shared" si="1"/>
        <v>46006</v>
      </c>
      <c r="B1098" s="37" t="str">
        <f t="array" ref="B1098">iferror(xlookup($I1098, 'IMPORT VHC Report'!$E:$E, 'IMPORT VHC Report'!$A:$C), )</f>
        <v/>
      </c>
      <c r="C1098" s="37"/>
      <c r="D1098" s="37"/>
      <c r="E1098" s="38" t="s">
        <v>1415</v>
      </c>
      <c r="F1098" s="38" t="s">
        <v>1401</v>
      </c>
      <c r="G1098" s="38">
        <v>8.409870322319E12</v>
      </c>
      <c r="H1098" s="38" t="s">
        <v>84</v>
      </c>
      <c r="I1098" s="38" t="s">
        <v>85</v>
      </c>
      <c r="J1098" s="38" t="s">
        <v>132</v>
      </c>
      <c r="K1098" s="38" t="s">
        <v>126</v>
      </c>
      <c r="L1098" s="41">
        <v>46009.229166666664</v>
      </c>
      <c r="M1098" s="38" t="s">
        <v>123</v>
      </c>
      <c r="N1098" s="41">
        <v>46009.270833333336</v>
      </c>
      <c r="O1098" s="38" t="s">
        <v>123</v>
      </c>
      <c r="P1098" s="38">
        <v>3600.0</v>
      </c>
      <c r="Q1098" s="39"/>
      <c r="R1098" s="39"/>
      <c r="S1098" s="39"/>
      <c r="T1098" s="39"/>
      <c r="U1098" s="39"/>
    </row>
    <row r="1099">
      <c r="A1099" s="40">
        <f t="shared" si="1"/>
        <v>46006</v>
      </c>
      <c r="B1099" s="37" t="str">
        <f t="array" ref="B1099">iferror(xlookup($I1099, 'IMPORT VHC Report'!$E:$E, 'IMPORT VHC Report'!$A:$C), )</f>
        <v/>
      </c>
      <c r="C1099" s="37"/>
      <c r="D1099" s="37"/>
      <c r="E1099" s="38" t="s">
        <v>1416</v>
      </c>
      <c r="F1099" s="38" t="s">
        <v>1401</v>
      </c>
      <c r="G1099" s="38">
        <v>8.409870322319E12</v>
      </c>
      <c r="H1099" s="38" t="s">
        <v>84</v>
      </c>
      <c r="I1099" s="38" t="s">
        <v>85</v>
      </c>
      <c r="J1099" s="38" t="s">
        <v>134</v>
      </c>
      <c r="K1099" s="38" t="s">
        <v>126</v>
      </c>
      <c r="L1099" s="41">
        <v>46009.270833333336</v>
      </c>
      <c r="M1099" s="38" t="s">
        <v>123</v>
      </c>
      <c r="N1099" s="41">
        <v>46009.291666666664</v>
      </c>
      <c r="O1099" s="38" t="s">
        <v>123</v>
      </c>
      <c r="P1099" s="38">
        <v>1800.0</v>
      </c>
      <c r="Q1099" s="39"/>
      <c r="R1099" s="39"/>
      <c r="S1099" s="39"/>
      <c r="T1099" s="39"/>
      <c r="U1099" s="39"/>
    </row>
    <row r="1100">
      <c r="A1100" s="40">
        <f t="shared" si="1"/>
        <v>46006</v>
      </c>
      <c r="B1100" s="37" t="str">
        <f t="array" ref="B1100">iferror(xlookup($I1100, 'IMPORT VHC Report'!$E:$E, 'IMPORT VHC Report'!$A:$C), )</f>
        <v/>
      </c>
      <c r="C1100" s="37"/>
      <c r="D1100" s="37"/>
      <c r="E1100" s="38" t="s">
        <v>1417</v>
      </c>
      <c r="F1100" s="38" t="s">
        <v>1401</v>
      </c>
      <c r="G1100" s="38">
        <v>8.409870322319E12</v>
      </c>
      <c r="H1100" s="38" t="s">
        <v>84</v>
      </c>
      <c r="I1100" s="38" t="s">
        <v>85</v>
      </c>
      <c r="J1100" s="38" t="s">
        <v>791</v>
      </c>
      <c r="K1100" s="38" t="s">
        <v>63</v>
      </c>
      <c r="L1100" s="41">
        <v>46009.916666666664</v>
      </c>
      <c r="M1100" s="38" t="s">
        <v>123</v>
      </c>
      <c r="N1100" s="41">
        <v>46010.291666666664</v>
      </c>
      <c r="O1100" s="38" t="s">
        <v>123</v>
      </c>
      <c r="P1100" s="38">
        <v>32400.0</v>
      </c>
      <c r="Q1100" s="39"/>
      <c r="R1100" s="39"/>
      <c r="S1100" s="39"/>
      <c r="T1100" s="39"/>
      <c r="U1100" s="39"/>
    </row>
    <row r="1101">
      <c r="A1101" s="40">
        <f t="shared" si="1"/>
        <v>46006</v>
      </c>
      <c r="B1101" s="37" t="str">
        <f t="array" ref="B1101">iferror(xlookup($I1101, 'IMPORT VHC Report'!$E:$E, 'IMPORT VHC Report'!$A:$C), )</f>
        <v/>
      </c>
      <c r="C1101" s="37"/>
      <c r="D1101" s="37"/>
      <c r="E1101" s="38" t="s">
        <v>1418</v>
      </c>
      <c r="F1101" s="38" t="s">
        <v>1401</v>
      </c>
      <c r="G1101" s="38">
        <v>8.409870322319E12</v>
      </c>
      <c r="H1101" s="38" t="s">
        <v>84</v>
      </c>
      <c r="I1101" s="38" t="s">
        <v>85</v>
      </c>
      <c r="J1101" s="38" t="s">
        <v>134</v>
      </c>
      <c r="K1101" s="38" t="s">
        <v>126</v>
      </c>
      <c r="L1101" s="41">
        <v>46010.229166666664</v>
      </c>
      <c r="M1101" s="38" t="s">
        <v>123</v>
      </c>
      <c r="N1101" s="41">
        <v>46010.25</v>
      </c>
      <c r="O1101" s="38" t="s">
        <v>123</v>
      </c>
      <c r="P1101" s="38">
        <v>1800.0</v>
      </c>
      <c r="Q1101" s="39"/>
      <c r="R1101" s="39"/>
      <c r="S1101" s="39"/>
      <c r="T1101" s="39"/>
      <c r="U1101" s="39"/>
    </row>
    <row r="1102">
      <c r="A1102" s="40">
        <f t="shared" si="1"/>
        <v>46006</v>
      </c>
      <c r="B1102" s="37" t="str">
        <f t="array" ref="B1102">iferror(xlookup($I1102, 'IMPORT VHC Report'!$E:$E, 'IMPORT VHC Report'!$A:$C), )</f>
        <v/>
      </c>
      <c r="C1102" s="37"/>
      <c r="D1102" s="37"/>
      <c r="E1102" s="38" t="s">
        <v>1419</v>
      </c>
      <c r="F1102" s="38" t="s">
        <v>1401</v>
      </c>
      <c r="G1102" s="38">
        <v>8.409870322319E12</v>
      </c>
      <c r="H1102" s="38" t="s">
        <v>84</v>
      </c>
      <c r="I1102" s="38" t="s">
        <v>85</v>
      </c>
      <c r="J1102" s="38" t="s">
        <v>132</v>
      </c>
      <c r="K1102" s="38" t="s">
        <v>126</v>
      </c>
      <c r="L1102" s="41">
        <v>46010.25</v>
      </c>
      <c r="M1102" s="38" t="s">
        <v>123</v>
      </c>
      <c r="N1102" s="41">
        <v>46010.291666666664</v>
      </c>
      <c r="O1102" s="38" t="s">
        <v>123</v>
      </c>
      <c r="P1102" s="38">
        <v>3600.0</v>
      </c>
      <c r="Q1102" s="39"/>
      <c r="R1102" s="39"/>
      <c r="S1102" s="39"/>
      <c r="T1102" s="39"/>
      <c r="U1102" s="39"/>
    </row>
    <row r="1103">
      <c r="A1103" s="40">
        <f t="shared" si="1"/>
        <v>46006</v>
      </c>
      <c r="B1103" s="37" t="str">
        <f t="array" ref="B1103">iferror(xlookup($I1103, 'IMPORT VHC Report'!$E:$E, 'IMPORT VHC Report'!$A:$C), )</f>
        <v/>
      </c>
      <c r="C1103" s="37"/>
      <c r="D1103" s="37"/>
      <c r="E1103" s="38" t="s">
        <v>1420</v>
      </c>
      <c r="F1103" s="38" t="s">
        <v>1401</v>
      </c>
      <c r="G1103" s="38">
        <v>8.409870322319E12</v>
      </c>
      <c r="H1103" s="38" t="s">
        <v>84</v>
      </c>
      <c r="I1103" s="38" t="s">
        <v>85</v>
      </c>
      <c r="J1103" s="38" t="s">
        <v>791</v>
      </c>
      <c r="K1103" s="38" t="s">
        <v>63</v>
      </c>
      <c r="L1103" s="41">
        <v>46012.916666666664</v>
      </c>
      <c r="M1103" s="38" t="s">
        <v>123</v>
      </c>
      <c r="N1103" s="41">
        <v>46013.0</v>
      </c>
      <c r="O1103" s="38" t="s">
        <v>123</v>
      </c>
      <c r="P1103" s="38">
        <v>7200.0</v>
      </c>
      <c r="Q1103" s="39"/>
      <c r="R1103" s="39"/>
      <c r="S1103" s="39"/>
      <c r="T1103" s="39"/>
      <c r="U1103" s="39"/>
    </row>
    <row r="1104">
      <c r="A1104" s="40">
        <f t="shared" si="1"/>
        <v>46006</v>
      </c>
      <c r="B1104" s="37" t="str">
        <f t="array" ref="B1104">iferror(xlookup($I1104, 'IMPORT VHC Report'!$E:$E, 'IMPORT VHC Report'!$A:$C), )</f>
        <v/>
      </c>
      <c r="C1104" s="37"/>
      <c r="D1104" s="37"/>
      <c r="E1104" s="38" t="s">
        <v>1421</v>
      </c>
      <c r="F1104" s="38" t="s">
        <v>1422</v>
      </c>
      <c r="G1104" s="38">
        <v>8.904479838351E12</v>
      </c>
      <c r="H1104" s="38" t="s">
        <v>1423</v>
      </c>
      <c r="I1104" s="38" t="s">
        <v>1424</v>
      </c>
      <c r="J1104" s="38" t="s">
        <v>152</v>
      </c>
      <c r="K1104" s="38" t="s">
        <v>153</v>
      </c>
      <c r="L1104" s="41">
        <v>46006.0</v>
      </c>
      <c r="M1104" s="38" t="s">
        <v>123</v>
      </c>
      <c r="N1104" s="41">
        <v>46006.375</v>
      </c>
      <c r="O1104" s="38" t="s">
        <v>123</v>
      </c>
      <c r="P1104" s="38">
        <v>32400.0</v>
      </c>
      <c r="Q1104" s="38">
        <v>32400.0</v>
      </c>
      <c r="R1104" s="39"/>
      <c r="S1104" s="39"/>
      <c r="T1104" s="39"/>
      <c r="U1104" s="39"/>
    </row>
    <row r="1105">
      <c r="A1105" s="40">
        <f t="shared" si="1"/>
        <v>46006</v>
      </c>
      <c r="B1105" s="37" t="str">
        <f t="array" ref="B1105">iferror(xlookup($I1105, 'IMPORT VHC Report'!$E:$E, 'IMPORT VHC Report'!$A:$C), )</f>
        <v/>
      </c>
      <c r="C1105" s="37"/>
      <c r="D1105" s="37"/>
      <c r="E1105" s="38" t="s">
        <v>1425</v>
      </c>
      <c r="F1105" s="38" t="s">
        <v>1422</v>
      </c>
      <c r="G1105" s="38">
        <v>8.904479838351E12</v>
      </c>
      <c r="H1105" s="38" t="s">
        <v>1423</v>
      </c>
      <c r="I1105" s="38" t="s">
        <v>1424</v>
      </c>
      <c r="J1105" s="38" t="s">
        <v>330</v>
      </c>
      <c r="K1105" s="38" t="s">
        <v>126</v>
      </c>
      <c r="L1105" s="41">
        <v>46006.010416666664</v>
      </c>
      <c r="M1105" s="38" t="s">
        <v>123</v>
      </c>
      <c r="N1105" s="41">
        <v>46006.020833333336</v>
      </c>
      <c r="O1105" s="38" t="s">
        <v>123</v>
      </c>
      <c r="P1105" s="38">
        <v>900.0</v>
      </c>
      <c r="Q1105" s="39"/>
      <c r="R1105" s="39"/>
      <c r="S1105" s="39"/>
      <c r="T1105" s="39"/>
      <c r="U1105" s="39"/>
    </row>
    <row r="1106">
      <c r="A1106" s="40">
        <f t="shared" si="1"/>
        <v>46006</v>
      </c>
      <c r="B1106" s="37" t="str">
        <f t="array" ref="B1106">iferror(xlookup($I1106, 'IMPORT VHC Report'!$E:$E, 'IMPORT VHC Report'!$A:$C), )</f>
        <v/>
      </c>
      <c r="C1106" s="37"/>
      <c r="D1106" s="37"/>
      <c r="E1106" s="38" t="s">
        <v>1426</v>
      </c>
      <c r="F1106" s="38" t="s">
        <v>1422</v>
      </c>
      <c r="G1106" s="38">
        <v>8.904479838351E12</v>
      </c>
      <c r="H1106" s="38" t="s">
        <v>1423</v>
      </c>
      <c r="I1106" s="38" t="s">
        <v>1424</v>
      </c>
      <c r="J1106" s="38" t="s">
        <v>224</v>
      </c>
      <c r="K1106" s="38" t="s">
        <v>63</v>
      </c>
      <c r="L1106" s="41">
        <v>46006.020833333336</v>
      </c>
      <c r="M1106" s="38" t="s">
        <v>123</v>
      </c>
      <c r="N1106" s="41">
        <v>46006.083333333336</v>
      </c>
      <c r="O1106" s="38" t="s">
        <v>123</v>
      </c>
      <c r="P1106" s="38">
        <v>5400.0</v>
      </c>
      <c r="Q1106" s="39"/>
      <c r="R1106" s="39"/>
      <c r="S1106" s="39"/>
      <c r="T1106" s="39"/>
      <c r="U1106" s="39"/>
    </row>
    <row r="1107">
      <c r="A1107" s="40">
        <f t="shared" si="1"/>
        <v>46006</v>
      </c>
      <c r="B1107" s="37" t="str">
        <f t="array" ref="B1107">iferror(xlookup($I1107, 'IMPORT VHC Report'!$E:$E, 'IMPORT VHC Report'!$A:$C), )</f>
        <v/>
      </c>
      <c r="C1107" s="37"/>
      <c r="D1107" s="37"/>
      <c r="E1107" s="38" t="s">
        <v>1427</v>
      </c>
      <c r="F1107" s="38" t="s">
        <v>1422</v>
      </c>
      <c r="G1107" s="38">
        <v>8.904479838351E12</v>
      </c>
      <c r="H1107" s="38" t="s">
        <v>1423</v>
      </c>
      <c r="I1107" s="38" t="s">
        <v>1424</v>
      </c>
      <c r="J1107" s="38" t="s">
        <v>134</v>
      </c>
      <c r="K1107" s="38" t="s">
        <v>126</v>
      </c>
      <c r="L1107" s="41">
        <v>46006.083333333336</v>
      </c>
      <c r="M1107" s="38" t="s">
        <v>123</v>
      </c>
      <c r="N1107" s="41">
        <v>46006.09375</v>
      </c>
      <c r="O1107" s="38" t="s">
        <v>123</v>
      </c>
      <c r="P1107" s="38">
        <v>900.0</v>
      </c>
      <c r="Q1107" s="39"/>
      <c r="R1107" s="39"/>
      <c r="S1107" s="39"/>
      <c r="T1107" s="39"/>
      <c r="U1107" s="39"/>
    </row>
    <row r="1108">
      <c r="A1108" s="40">
        <f t="shared" si="1"/>
        <v>46006</v>
      </c>
      <c r="B1108" s="37" t="str">
        <f t="array" ref="B1108">iferror(xlookup($I1108, 'IMPORT VHC Report'!$E:$E, 'IMPORT VHC Report'!$A:$C), )</f>
        <v/>
      </c>
      <c r="C1108" s="37"/>
      <c r="D1108" s="37"/>
      <c r="E1108" s="38" t="s">
        <v>1428</v>
      </c>
      <c r="F1108" s="38" t="s">
        <v>1422</v>
      </c>
      <c r="G1108" s="38">
        <v>8.904479838351E12</v>
      </c>
      <c r="H1108" s="38" t="s">
        <v>1423</v>
      </c>
      <c r="I1108" s="38" t="s">
        <v>1424</v>
      </c>
      <c r="J1108" s="38" t="s">
        <v>224</v>
      </c>
      <c r="K1108" s="38" t="s">
        <v>63</v>
      </c>
      <c r="L1108" s="41">
        <v>46006.09375</v>
      </c>
      <c r="M1108" s="38" t="s">
        <v>123</v>
      </c>
      <c r="N1108" s="41">
        <v>46006.166666666664</v>
      </c>
      <c r="O1108" s="38" t="s">
        <v>123</v>
      </c>
      <c r="P1108" s="38">
        <v>6300.0</v>
      </c>
      <c r="Q1108" s="39"/>
      <c r="R1108" s="39"/>
      <c r="S1108" s="39"/>
      <c r="T1108" s="39"/>
      <c r="U1108" s="39"/>
    </row>
    <row r="1109">
      <c r="A1109" s="40">
        <f t="shared" si="1"/>
        <v>46006</v>
      </c>
      <c r="B1109" s="37" t="str">
        <f t="array" ref="B1109">iferror(xlookup($I1109, 'IMPORT VHC Report'!$E:$E, 'IMPORT VHC Report'!$A:$C), )</f>
        <v/>
      </c>
      <c r="C1109" s="37"/>
      <c r="D1109" s="37"/>
      <c r="E1109" s="38" t="s">
        <v>1429</v>
      </c>
      <c r="F1109" s="38" t="s">
        <v>1422</v>
      </c>
      <c r="G1109" s="38">
        <v>8.904479838351E12</v>
      </c>
      <c r="H1109" s="38" t="s">
        <v>1423</v>
      </c>
      <c r="I1109" s="38" t="s">
        <v>1424</v>
      </c>
      <c r="J1109" s="38" t="s">
        <v>132</v>
      </c>
      <c r="K1109" s="38" t="s">
        <v>126</v>
      </c>
      <c r="L1109" s="41">
        <v>46006.166666666664</v>
      </c>
      <c r="M1109" s="38" t="s">
        <v>123</v>
      </c>
      <c r="N1109" s="41">
        <v>46006.208333333336</v>
      </c>
      <c r="O1109" s="38" t="s">
        <v>123</v>
      </c>
      <c r="P1109" s="38">
        <v>3600.0</v>
      </c>
      <c r="Q1109" s="39"/>
      <c r="R1109" s="39"/>
      <c r="S1109" s="39"/>
      <c r="T1109" s="39"/>
      <c r="U1109" s="39"/>
    </row>
    <row r="1110">
      <c r="A1110" s="40">
        <f t="shared" si="1"/>
        <v>46006</v>
      </c>
      <c r="B1110" s="37" t="str">
        <f t="array" ref="B1110">iferror(xlookup($I1110, 'IMPORT VHC Report'!$E:$E, 'IMPORT VHC Report'!$A:$C), )</f>
        <v/>
      </c>
      <c r="C1110" s="37"/>
      <c r="D1110" s="37"/>
      <c r="E1110" s="38" t="s">
        <v>1430</v>
      </c>
      <c r="F1110" s="38" t="s">
        <v>1422</v>
      </c>
      <c r="G1110" s="38">
        <v>8.904479838351E12</v>
      </c>
      <c r="H1110" s="38" t="s">
        <v>1423</v>
      </c>
      <c r="I1110" s="38" t="s">
        <v>1424</v>
      </c>
      <c r="J1110" s="38" t="s">
        <v>224</v>
      </c>
      <c r="K1110" s="38" t="s">
        <v>63</v>
      </c>
      <c r="L1110" s="41">
        <v>46006.208333333336</v>
      </c>
      <c r="M1110" s="38" t="s">
        <v>123</v>
      </c>
      <c r="N1110" s="41">
        <v>46006.270833333336</v>
      </c>
      <c r="O1110" s="38" t="s">
        <v>123</v>
      </c>
      <c r="P1110" s="38">
        <v>5400.0</v>
      </c>
      <c r="Q1110" s="39"/>
      <c r="R1110" s="39"/>
      <c r="S1110" s="39"/>
      <c r="T1110" s="39"/>
      <c r="U1110" s="39"/>
    </row>
    <row r="1111">
      <c r="A1111" s="40">
        <f t="shared" si="1"/>
        <v>46006</v>
      </c>
      <c r="B1111" s="37" t="str">
        <f t="array" ref="B1111">iferror(xlookup($I1111, 'IMPORT VHC Report'!$E:$E, 'IMPORT VHC Report'!$A:$C), )</f>
        <v/>
      </c>
      <c r="C1111" s="37"/>
      <c r="D1111" s="37"/>
      <c r="E1111" s="38" t="s">
        <v>1431</v>
      </c>
      <c r="F1111" s="38" t="s">
        <v>1422</v>
      </c>
      <c r="G1111" s="38">
        <v>8.904479838351E12</v>
      </c>
      <c r="H1111" s="38" t="s">
        <v>1423</v>
      </c>
      <c r="I1111" s="38" t="s">
        <v>1424</v>
      </c>
      <c r="J1111" s="38" t="s">
        <v>134</v>
      </c>
      <c r="K1111" s="38" t="s">
        <v>126</v>
      </c>
      <c r="L1111" s="41">
        <v>46006.270833333336</v>
      </c>
      <c r="M1111" s="38" t="s">
        <v>123</v>
      </c>
      <c r="N1111" s="41">
        <v>46006.28125</v>
      </c>
      <c r="O1111" s="38" t="s">
        <v>123</v>
      </c>
      <c r="P1111" s="38">
        <v>900.0</v>
      </c>
      <c r="Q1111" s="39"/>
      <c r="R1111" s="39"/>
      <c r="S1111" s="39"/>
      <c r="T1111" s="39"/>
      <c r="U1111" s="39"/>
    </row>
    <row r="1112">
      <c r="A1112" s="40">
        <f t="shared" si="1"/>
        <v>46006</v>
      </c>
      <c r="B1112" s="37" t="str">
        <f t="array" ref="B1112">iferror(xlookup($I1112, 'IMPORT VHC Report'!$E:$E, 'IMPORT VHC Report'!$A:$C), )</f>
        <v/>
      </c>
      <c r="C1112" s="37"/>
      <c r="D1112" s="37"/>
      <c r="E1112" s="38" t="s">
        <v>1432</v>
      </c>
      <c r="F1112" s="38" t="s">
        <v>1422</v>
      </c>
      <c r="G1112" s="38">
        <v>8.904479838351E12</v>
      </c>
      <c r="H1112" s="38" t="s">
        <v>1423</v>
      </c>
      <c r="I1112" s="38" t="s">
        <v>1424</v>
      </c>
      <c r="J1112" s="38" t="s">
        <v>224</v>
      </c>
      <c r="K1112" s="38" t="s">
        <v>63</v>
      </c>
      <c r="L1112" s="41">
        <v>46006.28125</v>
      </c>
      <c r="M1112" s="38" t="s">
        <v>123</v>
      </c>
      <c r="N1112" s="41">
        <v>46006.375</v>
      </c>
      <c r="O1112" s="38" t="s">
        <v>123</v>
      </c>
      <c r="P1112" s="38">
        <v>8100.0</v>
      </c>
      <c r="Q1112" s="39"/>
      <c r="R1112" s="39"/>
      <c r="S1112" s="39"/>
      <c r="T1112" s="39"/>
      <c r="U1112" s="39"/>
    </row>
    <row r="1113">
      <c r="A1113" s="40">
        <f t="shared" si="1"/>
        <v>46006</v>
      </c>
      <c r="B1113" s="37" t="str">
        <f t="array" ref="B1113">iferror(xlookup($I1113, 'IMPORT VHC Report'!$E:$E, 'IMPORT VHC Report'!$A:$C), )</f>
        <v/>
      </c>
      <c r="C1113" s="37"/>
      <c r="D1113" s="37"/>
      <c r="E1113" s="38" t="s">
        <v>1433</v>
      </c>
      <c r="F1113" s="38" t="s">
        <v>1422</v>
      </c>
      <c r="G1113" s="38">
        <v>8.904479838351E12</v>
      </c>
      <c r="H1113" s="38" t="s">
        <v>1423</v>
      </c>
      <c r="I1113" s="38" t="s">
        <v>1424</v>
      </c>
      <c r="J1113" s="38" t="s">
        <v>224</v>
      </c>
      <c r="K1113" s="38" t="s">
        <v>63</v>
      </c>
      <c r="L1113" s="41">
        <v>46007.0</v>
      </c>
      <c r="M1113" s="38" t="s">
        <v>123</v>
      </c>
      <c r="N1113" s="41">
        <v>46007.114583333336</v>
      </c>
      <c r="O1113" s="38" t="s">
        <v>123</v>
      </c>
      <c r="P1113" s="38">
        <v>9900.0</v>
      </c>
      <c r="Q1113" s="39"/>
      <c r="R1113" s="39"/>
      <c r="S1113" s="39"/>
      <c r="T1113" s="39"/>
      <c r="U1113" s="39"/>
    </row>
    <row r="1114">
      <c r="A1114" s="40">
        <f t="shared" si="1"/>
        <v>46006</v>
      </c>
      <c r="B1114" s="37" t="str">
        <f t="array" ref="B1114">iferror(xlookup($I1114, 'IMPORT VHC Report'!$E:$E, 'IMPORT VHC Report'!$A:$C), )</f>
        <v/>
      </c>
      <c r="C1114" s="37"/>
      <c r="D1114" s="37"/>
      <c r="E1114" s="38" t="s">
        <v>1434</v>
      </c>
      <c r="F1114" s="38" t="s">
        <v>1422</v>
      </c>
      <c r="G1114" s="38">
        <v>8.904479838351E12</v>
      </c>
      <c r="H1114" s="38" t="s">
        <v>1423</v>
      </c>
      <c r="I1114" s="38" t="s">
        <v>1424</v>
      </c>
      <c r="J1114" s="38" t="s">
        <v>152</v>
      </c>
      <c r="K1114" s="38" t="s">
        <v>153</v>
      </c>
      <c r="L1114" s="41">
        <v>46007.0</v>
      </c>
      <c r="M1114" s="38" t="s">
        <v>123</v>
      </c>
      <c r="N1114" s="41">
        <v>46007.375</v>
      </c>
      <c r="O1114" s="38" t="s">
        <v>123</v>
      </c>
      <c r="P1114" s="38">
        <v>32400.0</v>
      </c>
      <c r="Q1114" s="38">
        <v>32400.0</v>
      </c>
      <c r="R1114" s="39"/>
      <c r="S1114" s="39"/>
      <c r="T1114" s="39"/>
      <c r="U1114" s="39"/>
    </row>
    <row r="1115">
      <c r="A1115" s="40">
        <f t="shared" si="1"/>
        <v>46006</v>
      </c>
      <c r="B1115" s="37" t="str">
        <f t="array" ref="B1115">iferror(xlookup($I1115, 'IMPORT VHC Report'!$E:$E, 'IMPORT VHC Report'!$A:$C), )</f>
        <v/>
      </c>
      <c r="C1115" s="37"/>
      <c r="D1115" s="37"/>
      <c r="E1115" s="38" t="s">
        <v>1435</v>
      </c>
      <c r="F1115" s="38" t="s">
        <v>1422</v>
      </c>
      <c r="G1115" s="38">
        <v>8.904479838351E12</v>
      </c>
      <c r="H1115" s="38" t="s">
        <v>1423</v>
      </c>
      <c r="I1115" s="38" t="s">
        <v>1424</v>
      </c>
      <c r="J1115" s="38" t="s">
        <v>132</v>
      </c>
      <c r="K1115" s="38" t="s">
        <v>126</v>
      </c>
      <c r="L1115" s="41">
        <v>46007.114583333336</v>
      </c>
      <c r="M1115" s="38" t="s">
        <v>123</v>
      </c>
      <c r="N1115" s="41">
        <v>46007.15625</v>
      </c>
      <c r="O1115" s="38" t="s">
        <v>123</v>
      </c>
      <c r="P1115" s="38">
        <v>3600.0</v>
      </c>
      <c r="Q1115" s="39"/>
      <c r="R1115" s="39"/>
      <c r="S1115" s="39"/>
      <c r="T1115" s="39"/>
      <c r="U1115" s="39"/>
    </row>
    <row r="1116">
      <c r="A1116" s="40">
        <f t="shared" si="1"/>
        <v>46006</v>
      </c>
      <c r="B1116" s="37" t="str">
        <f t="array" ref="B1116">iferror(xlookup($I1116, 'IMPORT VHC Report'!$E:$E, 'IMPORT VHC Report'!$A:$C), )</f>
        <v/>
      </c>
      <c r="C1116" s="37"/>
      <c r="D1116" s="37"/>
      <c r="E1116" s="38" t="s">
        <v>1436</v>
      </c>
      <c r="F1116" s="38" t="s">
        <v>1422</v>
      </c>
      <c r="G1116" s="38">
        <v>8.904479838351E12</v>
      </c>
      <c r="H1116" s="38" t="s">
        <v>1423</v>
      </c>
      <c r="I1116" s="38" t="s">
        <v>1424</v>
      </c>
      <c r="J1116" s="38" t="s">
        <v>224</v>
      </c>
      <c r="K1116" s="38" t="s">
        <v>63</v>
      </c>
      <c r="L1116" s="41">
        <v>46007.15625</v>
      </c>
      <c r="M1116" s="38" t="s">
        <v>123</v>
      </c>
      <c r="N1116" s="41">
        <v>46007.229166666664</v>
      </c>
      <c r="O1116" s="38" t="s">
        <v>123</v>
      </c>
      <c r="P1116" s="38">
        <v>6300.0</v>
      </c>
      <c r="Q1116" s="39"/>
      <c r="R1116" s="39"/>
      <c r="S1116" s="39"/>
      <c r="T1116" s="39"/>
      <c r="U1116" s="39"/>
    </row>
    <row r="1117">
      <c r="A1117" s="40">
        <f t="shared" si="1"/>
        <v>46006</v>
      </c>
      <c r="B1117" s="37" t="str">
        <f t="array" ref="B1117">iferror(xlookup($I1117, 'IMPORT VHC Report'!$E:$E, 'IMPORT VHC Report'!$A:$C), )</f>
        <v/>
      </c>
      <c r="C1117" s="37"/>
      <c r="D1117" s="37"/>
      <c r="E1117" s="38" t="s">
        <v>1437</v>
      </c>
      <c r="F1117" s="38" t="s">
        <v>1422</v>
      </c>
      <c r="G1117" s="38">
        <v>8.904479838351E12</v>
      </c>
      <c r="H1117" s="38" t="s">
        <v>1423</v>
      </c>
      <c r="I1117" s="38" t="s">
        <v>1424</v>
      </c>
      <c r="J1117" s="38" t="s">
        <v>134</v>
      </c>
      <c r="K1117" s="38" t="s">
        <v>126</v>
      </c>
      <c r="L1117" s="41">
        <v>46007.229166666664</v>
      </c>
      <c r="M1117" s="38" t="s">
        <v>123</v>
      </c>
      <c r="N1117" s="41">
        <v>46007.239583333336</v>
      </c>
      <c r="O1117" s="38" t="s">
        <v>123</v>
      </c>
      <c r="P1117" s="38">
        <v>900.0</v>
      </c>
      <c r="Q1117" s="39"/>
      <c r="R1117" s="39"/>
      <c r="S1117" s="39"/>
      <c r="T1117" s="39"/>
      <c r="U1117" s="39"/>
    </row>
    <row r="1118">
      <c r="A1118" s="40">
        <f t="shared" si="1"/>
        <v>46006</v>
      </c>
      <c r="B1118" s="37" t="str">
        <f t="array" ref="B1118">iferror(xlookup($I1118, 'IMPORT VHC Report'!$E:$E, 'IMPORT VHC Report'!$A:$C), )</f>
        <v/>
      </c>
      <c r="C1118" s="37"/>
      <c r="D1118" s="37"/>
      <c r="E1118" s="38" t="s">
        <v>1438</v>
      </c>
      <c r="F1118" s="38" t="s">
        <v>1422</v>
      </c>
      <c r="G1118" s="38">
        <v>8.904479838351E12</v>
      </c>
      <c r="H1118" s="38" t="s">
        <v>1423</v>
      </c>
      <c r="I1118" s="38" t="s">
        <v>1424</v>
      </c>
      <c r="J1118" s="38" t="s">
        <v>224</v>
      </c>
      <c r="K1118" s="38" t="s">
        <v>63</v>
      </c>
      <c r="L1118" s="41">
        <v>46007.239583333336</v>
      </c>
      <c r="M1118" s="38" t="s">
        <v>123</v>
      </c>
      <c r="N1118" s="41">
        <v>46007.270833333336</v>
      </c>
      <c r="O1118" s="38" t="s">
        <v>123</v>
      </c>
      <c r="P1118" s="38">
        <v>2700.0</v>
      </c>
      <c r="Q1118" s="39"/>
      <c r="R1118" s="39"/>
      <c r="S1118" s="39"/>
      <c r="T1118" s="39"/>
      <c r="U1118" s="39"/>
    </row>
    <row r="1119">
      <c r="A1119" s="40">
        <f t="shared" si="1"/>
        <v>46006</v>
      </c>
      <c r="B1119" s="37" t="str">
        <f t="array" ref="B1119">iferror(xlookup($I1119, 'IMPORT VHC Report'!$E:$E, 'IMPORT VHC Report'!$A:$C), )</f>
        <v/>
      </c>
      <c r="C1119" s="37"/>
      <c r="D1119" s="37"/>
      <c r="E1119" s="38" t="s">
        <v>1439</v>
      </c>
      <c r="F1119" s="38" t="s">
        <v>1422</v>
      </c>
      <c r="G1119" s="38">
        <v>8.904479838351E12</v>
      </c>
      <c r="H1119" s="38" t="s">
        <v>1423</v>
      </c>
      <c r="I1119" s="38" t="s">
        <v>1424</v>
      </c>
      <c r="J1119" s="38" t="s">
        <v>136</v>
      </c>
      <c r="K1119" s="38" t="s">
        <v>126</v>
      </c>
      <c r="L1119" s="41">
        <v>46007.270833333336</v>
      </c>
      <c r="M1119" s="38" t="s">
        <v>123</v>
      </c>
      <c r="N1119" s="41">
        <v>46007.291666666664</v>
      </c>
      <c r="O1119" s="38" t="s">
        <v>123</v>
      </c>
      <c r="P1119" s="38">
        <v>1800.0</v>
      </c>
      <c r="Q1119" s="39"/>
      <c r="R1119" s="39"/>
      <c r="S1119" s="38" t="s">
        <v>137</v>
      </c>
      <c r="T1119" s="39"/>
      <c r="U1119" s="39"/>
    </row>
    <row r="1120">
      <c r="A1120" s="40">
        <f t="shared" si="1"/>
        <v>46006</v>
      </c>
      <c r="B1120" s="37" t="str">
        <f t="array" ref="B1120">iferror(xlookup($I1120, 'IMPORT VHC Report'!$E:$E, 'IMPORT VHC Report'!$A:$C), )</f>
        <v/>
      </c>
      <c r="C1120" s="37"/>
      <c r="D1120" s="37"/>
      <c r="E1120" s="38" t="s">
        <v>1440</v>
      </c>
      <c r="F1120" s="38" t="s">
        <v>1422</v>
      </c>
      <c r="G1120" s="38">
        <v>8.904479838351E12</v>
      </c>
      <c r="H1120" s="38" t="s">
        <v>1423</v>
      </c>
      <c r="I1120" s="38" t="s">
        <v>1424</v>
      </c>
      <c r="J1120" s="38" t="s">
        <v>224</v>
      </c>
      <c r="K1120" s="38" t="s">
        <v>63</v>
      </c>
      <c r="L1120" s="41">
        <v>46007.291666666664</v>
      </c>
      <c r="M1120" s="38" t="s">
        <v>123</v>
      </c>
      <c r="N1120" s="41">
        <v>46007.302083333336</v>
      </c>
      <c r="O1120" s="38" t="s">
        <v>123</v>
      </c>
      <c r="P1120" s="38">
        <v>900.0</v>
      </c>
      <c r="Q1120" s="39"/>
      <c r="R1120" s="39"/>
      <c r="S1120" s="39"/>
      <c r="T1120" s="39"/>
      <c r="U1120" s="39"/>
    </row>
    <row r="1121">
      <c r="A1121" s="40">
        <f t="shared" si="1"/>
        <v>46006</v>
      </c>
      <c r="B1121" s="37" t="str">
        <f t="array" ref="B1121">iferror(xlookup($I1121, 'IMPORT VHC Report'!$E:$E, 'IMPORT VHC Report'!$A:$C), )</f>
        <v/>
      </c>
      <c r="C1121" s="37"/>
      <c r="D1121" s="37"/>
      <c r="E1121" s="38" t="s">
        <v>1441</v>
      </c>
      <c r="F1121" s="38" t="s">
        <v>1422</v>
      </c>
      <c r="G1121" s="38">
        <v>8.904479838351E12</v>
      </c>
      <c r="H1121" s="38" t="s">
        <v>1423</v>
      </c>
      <c r="I1121" s="38" t="s">
        <v>1424</v>
      </c>
      <c r="J1121" s="38" t="s">
        <v>134</v>
      </c>
      <c r="K1121" s="38" t="s">
        <v>126</v>
      </c>
      <c r="L1121" s="41">
        <v>46007.302083333336</v>
      </c>
      <c r="M1121" s="38" t="s">
        <v>123</v>
      </c>
      <c r="N1121" s="41">
        <v>46007.3125</v>
      </c>
      <c r="O1121" s="38" t="s">
        <v>123</v>
      </c>
      <c r="P1121" s="38">
        <v>900.0</v>
      </c>
      <c r="Q1121" s="39"/>
      <c r="R1121" s="39"/>
      <c r="S1121" s="39"/>
      <c r="T1121" s="39"/>
      <c r="U1121" s="39"/>
    </row>
    <row r="1122">
      <c r="A1122" s="40">
        <f t="shared" si="1"/>
        <v>46006</v>
      </c>
      <c r="B1122" s="37" t="str">
        <f t="array" ref="B1122">iferror(xlookup($I1122, 'IMPORT VHC Report'!$E:$E, 'IMPORT VHC Report'!$A:$C), )</f>
        <v/>
      </c>
      <c r="C1122" s="37"/>
      <c r="D1122" s="37"/>
      <c r="E1122" s="38" t="s">
        <v>1442</v>
      </c>
      <c r="F1122" s="38" t="s">
        <v>1422</v>
      </c>
      <c r="G1122" s="38">
        <v>8.904479838351E12</v>
      </c>
      <c r="H1122" s="38" t="s">
        <v>1423</v>
      </c>
      <c r="I1122" s="38" t="s">
        <v>1424</v>
      </c>
      <c r="J1122" s="38" t="s">
        <v>224</v>
      </c>
      <c r="K1122" s="38" t="s">
        <v>63</v>
      </c>
      <c r="L1122" s="41">
        <v>46007.3125</v>
      </c>
      <c r="M1122" s="38" t="s">
        <v>123</v>
      </c>
      <c r="N1122" s="41">
        <v>46007.375</v>
      </c>
      <c r="O1122" s="38" t="s">
        <v>123</v>
      </c>
      <c r="P1122" s="38">
        <v>5400.0</v>
      </c>
      <c r="Q1122" s="39"/>
      <c r="R1122" s="39"/>
      <c r="S1122" s="39"/>
      <c r="T1122" s="39"/>
      <c r="U1122" s="39"/>
    </row>
    <row r="1123">
      <c r="A1123" s="40">
        <f t="shared" si="1"/>
        <v>46006</v>
      </c>
      <c r="B1123" s="37" t="str">
        <f t="array" ref="B1123">iferror(xlookup($I1123, 'IMPORT VHC Report'!$E:$E, 'IMPORT VHC Report'!$A:$C), )</f>
        <v/>
      </c>
      <c r="C1123" s="37"/>
      <c r="D1123" s="37"/>
      <c r="E1123" s="38" t="s">
        <v>1443</v>
      </c>
      <c r="F1123" s="38" t="s">
        <v>1422</v>
      </c>
      <c r="G1123" s="38">
        <v>8.904479838351E12</v>
      </c>
      <c r="H1123" s="38" t="s">
        <v>1423</v>
      </c>
      <c r="I1123" s="38" t="s">
        <v>1424</v>
      </c>
      <c r="J1123" s="38" t="s">
        <v>224</v>
      </c>
      <c r="K1123" s="38" t="s">
        <v>63</v>
      </c>
      <c r="L1123" s="41">
        <v>46010.0</v>
      </c>
      <c r="M1123" s="38" t="s">
        <v>123</v>
      </c>
      <c r="N1123" s="41">
        <v>46010.09375</v>
      </c>
      <c r="O1123" s="38" t="s">
        <v>123</v>
      </c>
      <c r="P1123" s="38">
        <v>8100.0</v>
      </c>
      <c r="Q1123" s="39"/>
      <c r="R1123" s="39"/>
      <c r="S1123" s="39"/>
      <c r="T1123" s="39"/>
      <c r="U1123" s="39"/>
    </row>
    <row r="1124">
      <c r="A1124" s="40">
        <f t="shared" si="1"/>
        <v>46006</v>
      </c>
      <c r="B1124" s="37" t="str">
        <f t="array" ref="B1124">iferror(xlookup($I1124, 'IMPORT VHC Report'!$E:$E, 'IMPORT VHC Report'!$A:$C), )</f>
        <v/>
      </c>
      <c r="C1124" s="37"/>
      <c r="D1124" s="37"/>
      <c r="E1124" s="38" t="s">
        <v>1444</v>
      </c>
      <c r="F1124" s="38" t="s">
        <v>1422</v>
      </c>
      <c r="G1124" s="38">
        <v>8.904479838351E12</v>
      </c>
      <c r="H1124" s="38" t="s">
        <v>1423</v>
      </c>
      <c r="I1124" s="38" t="s">
        <v>1424</v>
      </c>
      <c r="J1124" s="38" t="s">
        <v>134</v>
      </c>
      <c r="K1124" s="38" t="s">
        <v>126</v>
      </c>
      <c r="L1124" s="41">
        <v>46010.09375</v>
      </c>
      <c r="M1124" s="38" t="s">
        <v>123</v>
      </c>
      <c r="N1124" s="41">
        <v>46010.104166666664</v>
      </c>
      <c r="O1124" s="38" t="s">
        <v>123</v>
      </c>
      <c r="P1124" s="38">
        <v>900.0</v>
      </c>
      <c r="Q1124" s="39"/>
      <c r="R1124" s="39"/>
      <c r="S1124" s="39"/>
      <c r="T1124" s="39"/>
      <c r="U1124" s="39"/>
    </row>
    <row r="1125">
      <c r="A1125" s="40">
        <f t="shared" si="1"/>
        <v>46006</v>
      </c>
      <c r="B1125" s="37" t="str">
        <f t="array" ref="B1125">iferror(xlookup($I1125, 'IMPORT VHC Report'!$E:$E, 'IMPORT VHC Report'!$A:$C), )</f>
        <v/>
      </c>
      <c r="C1125" s="37"/>
      <c r="D1125" s="37"/>
      <c r="E1125" s="38" t="s">
        <v>1445</v>
      </c>
      <c r="F1125" s="38" t="s">
        <v>1422</v>
      </c>
      <c r="G1125" s="38">
        <v>8.904479838351E12</v>
      </c>
      <c r="H1125" s="38" t="s">
        <v>1423</v>
      </c>
      <c r="I1125" s="38" t="s">
        <v>1424</v>
      </c>
      <c r="J1125" s="38" t="s">
        <v>224</v>
      </c>
      <c r="K1125" s="38" t="s">
        <v>63</v>
      </c>
      <c r="L1125" s="41">
        <v>46010.104166666664</v>
      </c>
      <c r="M1125" s="38" t="s">
        <v>123</v>
      </c>
      <c r="N1125" s="41">
        <v>46010.166666666664</v>
      </c>
      <c r="O1125" s="38" t="s">
        <v>123</v>
      </c>
      <c r="P1125" s="38">
        <v>5400.0</v>
      </c>
      <c r="Q1125" s="39"/>
      <c r="R1125" s="39"/>
      <c r="S1125" s="39"/>
      <c r="T1125" s="39"/>
      <c r="U1125" s="39"/>
    </row>
    <row r="1126">
      <c r="A1126" s="40">
        <f t="shared" si="1"/>
        <v>46006</v>
      </c>
      <c r="B1126" s="37" t="str">
        <f t="array" ref="B1126">iferror(xlookup($I1126, 'IMPORT VHC Report'!$E:$E, 'IMPORT VHC Report'!$A:$C), )</f>
        <v/>
      </c>
      <c r="C1126" s="37"/>
      <c r="D1126" s="37"/>
      <c r="E1126" s="38" t="s">
        <v>1446</v>
      </c>
      <c r="F1126" s="38" t="s">
        <v>1422</v>
      </c>
      <c r="G1126" s="38">
        <v>8.904479838351E12</v>
      </c>
      <c r="H1126" s="38" t="s">
        <v>1423</v>
      </c>
      <c r="I1126" s="38" t="s">
        <v>1424</v>
      </c>
      <c r="J1126" s="38" t="s">
        <v>134</v>
      </c>
      <c r="K1126" s="38" t="s">
        <v>126</v>
      </c>
      <c r="L1126" s="41">
        <v>46010.166666666664</v>
      </c>
      <c r="M1126" s="38" t="s">
        <v>123</v>
      </c>
      <c r="N1126" s="41">
        <v>46010.177083333336</v>
      </c>
      <c r="O1126" s="38" t="s">
        <v>123</v>
      </c>
      <c r="P1126" s="38">
        <v>900.0</v>
      </c>
      <c r="Q1126" s="39"/>
      <c r="R1126" s="39"/>
      <c r="S1126" s="39"/>
      <c r="T1126" s="39"/>
      <c r="U1126" s="39"/>
    </row>
    <row r="1127">
      <c r="A1127" s="40">
        <f t="shared" si="1"/>
        <v>46006</v>
      </c>
      <c r="B1127" s="37" t="str">
        <f t="array" ref="B1127">iferror(xlookup($I1127, 'IMPORT VHC Report'!$E:$E, 'IMPORT VHC Report'!$A:$C), )</f>
        <v/>
      </c>
      <c r="C1127" s="37"/>
      <c r="D1127" s="37"/>
      <c r="E1127" s="38" t="s">
        <v>1447</v>
      </c>
      <c r="F1127" s="38" t="s">
        <v>1422</v>
      </c>
      <c r="G1127" s="38">
        <v>8.904479838351E12</v>
      </c>
      <c r="H1127" s="38" t="s">
        <v>1423</v>
      </c>
      <c r="I1127" s="38" t="s">
        <v>1424</v>
      </c>
      <c r="J1127" s="38" t="s">
        <v>224</v>
      </c>
      <c r="K1127" s="38" t="s">
        <v>63</v>
      </c>
      <c r="L1127" s="41">
        <v>46010.177083333336</v>
      </c>
      <c r="M1127" s="38" t="s">
        <v>123</v>
      </c>
      <c r="N1127" s="41">
        <v>46010.25</v>
      </c>
      <c r="O1127" s="38" t="s">
        <v>123</v>
      </c>
      <c r="P1127" s="38">
        <v>6300.0</v>
      </c>
      <c r="Q1127" s="39"/>
      <c r="R1127" s="39"/>
      <c r="S1127" s="39"/>
      <c r="T1127" s="39"/>
      <c r="U1127" s="39"/>
    </row>
    <row r="1128">
      <c r="A1128" s="40">
        <f t="shared" si="1"/>
        <v>46006</v>
      </c>
      <c r="B1128" s="37" t="str">
        <f t="array" ref="B1128">iferror(xlookup($I1128, 'IMPORT VHC Report'!$E:$E, 'IMPORT VHC Report'!$A:$C), )</f>
        <v/>
      </c>
      <c r="C1128" s="37"/>
      <c r="D1128" s="37"/>
      <c r="E1128" s="38" t="s">
        <v>1448</v>
      </c>
      <c r="F1128" s="38" t="s">
        <v>1422</v>
      </c>
      <c r="G1128" s="38">
        <v>8.904479838351E12</v>
      </c>
      <c r="H1128" s="38" t="s">
        <v>1423</v>
      </c>
      <c r="I1128" s="38" t="s">
        <v>1424</v>
      </c>
      <c r="J1128" s="38" t="s">
        <v>132</v>
      </c>
      <c r="K1128" s="38" t="s">
        <v>126</v>
      </c>
      <c r="L1128" s="41">
        <v>46010.25</v>
      </c>
      <c r="M1128" s="38" t="s">
        <v>123</v>
      </c>
      <c r="N1128" s="41">
        <v>46010.291666666664</v>
      </c>
      <c r="O1128" s="38" t="s">
        <v>123</v>
      </c>
      <c r="P1128" s="38">
        <v>3600.0</v>
      </c>
      <c r="Q1128" s="39"/>
      <c r="R1128" s="39"/>
      <c r="S1128" s="39"/>
      <c r="T1128" s="39"/>
      <c r="U1128" s="39"/>
    </row>
    <row r="1129">
      <c r="A1129" s="40">
        <f t="shared" si="1"/>
        <v>46006</v>
      </c>
      <c r="B1129" s="37" t="str">
        <f t="array" ref="B1129">iferror(xlookup($I1129, 'IMPORT VHC Report'!$E:$E, 'IMPORT VHC Report'!$A:$C), )</f>
        <v/>
      </c>
      <c r="C1129" s="37"/>
      <c r="D1129" s="37"/>
      <c r="E1129" s="38" t="s">
        <v>1449</v>
      </c>
      <c r="F1129" s="38" t="s">
        <v>1422</v>
      </c>
      <c r="G1129" s="38">
        <v>8.904479838351E12</v>
      </c>
      <c r="H1129" s="38" t="s">
        <v>1423</v>
      </c>
      <c r="I1129" s="38" t="s">
        <v>1424</v>
      </c>
      <c r="J1129" s="38" t="s">
        <v>224</v>
      </c>
      <c r="K1129" s="38" t="s">
        <v>63</v>
      </c>
      <c r="L1129" s="41">
        <v>46010.291666666664</v>
      </c>
      <c r="M1129" s="38" t="s">
        <v>123</v>
      </c>
      <c r="N1129" s="41">
        <v>46010.375</v>
      </c>
      <c r="O1129" s="38" t="s">
        <v>123</v>
      </c>
      <c r="P1129" s="38">
        <v>7200.0</v>
      </c>
      <c r="Q1129" s="39"/>
      <c r="R1129" s="39"/>
      <c r="S1129" s="39"/>
      <c r="T1129" s="39"/>
      <c r="U1129" s="39"/>
    </row>
    <row r="1130">
      <c r="A1130" s="40">
        <f t="shared" si="1"/>
        <v>46006</v>
      </c>
      <c r="B1130" s="37" t="str">
        <f t="array" ref="B1130">iferror(xlookup($I1130, 'IMPORT VHC Report'!$E:$E, 'IMPORT VHC Report'!$A:$C), )</f>
        <v/>
      </c>
      <c r="C1130" s="37"/>
      <c r="D1130" s="37"/>
      <c r="E1130" s="38" t="s">
        <v>1450</v>
      </c>
      <c r="F1130" s="38" t="s">
        <v>1422</v>
      </c>
      <c r="G1130" s="38">
        <v>8.904479838351E12</v>
      </c>
      <c r="H1130" s="38" t="s">
        <v>1423</v>
      </c>
      <c r="I1130" s="38" t="s">
        <v>1424</v>
      </c>
      <c r="J1130" s="38" t="s">
        <v>224</v>
      </c>
      <c r="K1130" s="38" t="s">
        <v>63</v>
      </c>
      <c r="L1130" s="41">
        <v>46011.0</v>
      </c>
      <c r="M1130" s="38" t="s">
        <v>123</v>
      </c>
      <c r="N1130" s="41">
        <v>46011.083333333336</v>
      </c>
      <c r="O1130" s="38" t="s">
        <v>123</v>
      </c>
      <c r="P1130" s="38">
        <v>7200.0</v>
      </c>
      <c r="Q1130" s="39"/>
      <c r="R1130" s="39"/>
      <c r="S1130" s="39"/>
      <c r="T1130" s="39"/>
      <c r="U1130" s="39"/>
    </row>
    <row r="1131">
      <c r="A1131" s="40">
        <f t="shared" si="1"/>
        <v>46006</v>
      </c>
      <c r="B1131" s="37" t="str">
        <f t="array" ref="B1131">iferror(xlookup($I1131, 'IMPORT VHC Report'!$E:$E, 'IMPORT VHC Report'!$A:$C), )</f>
        <v/>
      </c>
      <c r="C1131" s="37"/>
      <c r="D1131" s="37"/>
      <c r="E1131" s="38" t="s">
        <v>1451</v>
      </c>
      <c r="F1131" s="38" t="s">
        <v>1422</v>
      </c>
      <c r="G1131" s="38">
        <v>8.904479838351E12</v>
      </c>
      <c r="H1131" s="38" t="s">
        <v>1423</v>
      </c>
      <c r="I1131" s="38" t="s">
        <v>1424</v>
      </c>
      <c r="J1131" s="38" t="s">
        <v>134</v>
      </c>
      <c r="K1131" s="38" t="s">
        <v>126</v>
      </c>
      <c r="L1131" s="41">
        <v>46011.083333333336</v>
      </c>
      <c r="M1131" s="38" t="s">
        <v>123</v>
      </c>
      <c r="N1131" s="41">
        <v>46011.09375</v>
      </c>
      <c r="O1131" s="38" t="s">
        <v>123</v>
      </c>
      <c r="P1131" s="38">
        <v>900.0</v>
      </c>
      <c r="Q1131" s="39"/>
      <c r="R1131" s="39"/>
      <c r="S1131" s="39"/>
      <c r="T1131" s="39"/>
      <c r="U1131" s="39"/>
    </row>
    <row r="1132">
      <c r="A1132" s="40">
        <f t="shared" si="1"/>
        <v>46006</v>
      </c>
      <c r="B1132" s="37" t="str">
        <f t="array" ref="B1132">iferror(xlookup($I1132, 'IMPORT VHC Report'!$E:$E, 'IMPORT VHC Report'!$A:$C), )</f>
        <v/>
      </c>
      <c r="C1132" s="37"/>
      <c r="D1132" s="37"/>
      <c r="E1132" s="38" t="s">
        <v>1452</v>
      </c>
      <c r="F1132" s="38" t="s">
        <v>1422</v>
      </c>
      <c r="G1132" s="38">
        <v>8.904479838351E12</v>
      </c>
      <c r="H1132" s="38" t="s">
        <v>1423</v>
      </c>
      <c r="I1132" s="38" t="s">
        <v>1424</v>
      </c>
      <c r="J1132" s="38" t="s">
        <v>224</v>
      </c>
      <c r="K1132" s="38" t="s">
        <v>63</v>
      </c>
      <c r="L1132" s="41">
        <v>46011.09375</v>
      </c>
      <c r="M1132" s="38" t="s">
        <v>123</v>
      </c>
      <c r="N1132" s="41">
        <v>46011.15625</v>
      </c>
      <c r="O1132" s="38" t="s">
        <v>123</v>
      </c>
      <c r="P1132" s="38">
        <v>5400.0</v>
      </c>
      <c r="Q1132" s="39"/>
      <c r="R1132" s="39"/>
      <c r="S1132" s="39"/>
      <c r="T1132" s="39"/>
      <c r="U1132" s="39"/>
    </row>
    <row r="1133">
      <c r="A1133" s="40">
        <f t="shared" si="1"/>
        <v>46006</v>
      </c>
      <c r="B1133" s="37" t="str">
        <f t="array" ref="B1133">iferror(xlookup($I1133, 'IMPORT VHC Report'!$E:$E, 'IMPORT VHC Report'!$A:$C), )</f>
        <v/>
      </c>
      <c r="C1133" s="37"/>
      <c r="D1133" s="37"/>
      <c r="E1133" s="38" t="s">
        <v>1453</v>
      </c>
      <c r="F1133" s="38" t="s">
        <v>1422</v>
      </c>
      <c r="G1133" s="38">
        <v>8.904479838351E12</v>
      </c>
      <c r="H1133" s="38" t="s">
        <v>1423</v>
      </c>
      <c r="I1133" s="38" t="s">
        <v>1424</v>
      </c>
      <c r="J1133" s="38" t="s">
        <v>132</v>
      </c>
      <c r="K1133" s="38" t="s">
        <v>126</v>
      </c>
      <c r="L1133" s="41">
        <v>46011.15625</v>
      </c>
      <c r="M1133" s="38" t="s">
        <v>123</v>
      </c>
      <c r="N1133" s="41">
        <v>46011.197916666664</v>
      </c>
      <c r="O1133" s="38" t="s">
        <v>123</v>
      </c>
      <c r="P1133" s="38">
        <v>3600.0</v>
      </c>
      <c r="Q1133" s="39"/>
      <c r="R1133" s="39"/>
      <c r="S1133" s="39"/>
      <c r="T1133" s="39"/>
      <c r="U1133" s="39"/>
    </row>
    <row r="1134">
      <c r="A1134" s="40">
        <f t="shared" si="1"/>
        <v>46006</v>
      </c>
      <c r="B1134" s="37" t="str">
        <f t="array" ref="B1134">iferror(xlookup($I1134, 'IMPORT VHC Report'!$E:$E, 'IMPORT VHC Report'!$A:$C), )</f>
        <v/>
      </c>
      <c r="C1134" s="37"/>
      <c r="D1134" s="37"/>
      <c r="E1134" s="38" t="s">
        <v>1454</v>
      </c>
      <c r="F1134" s="38" t="s">
        <v>1422</v>
      </c>
      <c r="G1134" s="38">
        <v>8.904479838351E12</v>
      </c>
      <c r="H1134" s="38" t="s">
        <v>1423</v>
      </c>
      <c r="I1134" s="38" t="s">
        <v>1424</v>
      </c>
      <c r="J1134" s="38" t="s">
        <v>224</v>
      </c>
      <c r="K1134" s="38" t="s">
        <v>63</v>
      </c>
      <c r="L1134" s="41">
        <v>46011.197916666664</v>
      </c>
      <c r="M1134" s="38" t="s">
        <v>123</v>
      </c>
      <c r="N1134" s="41">
        <v>46011.21875</v>
      </c>
      <c r="O1134" s="38" t="s">
        <v>123</v>
      </c>
      <c r="P1134" s="38">
        <v>1800.0</v>
      </c>
      <c r="Q1134" s="39"/>
      <c r="R1134" s="39"/>
      <c r="S1134" s="39"/>
      <c r="T1134" s="39"/>
      <c r="U1134" s="39"/>
    </row>
    <row r="1135">
      <c r="A1135" s="40">
        <f t="shared" si="1"/>
        <v>46006</v>
      </c>
      <c r="B1135" s="37" t="str">
        <f t="array" ref="B1135">iferror(xlookup($I1135, 'IMPORT VHC Report'!$E:$E, 'IMPORT VHC Report'!$A:$C), )</f>
        <v/>
      </c>
      <c r="C1135" s="37"/>
      <c r="D1135" s="37"/>
      <c r="E1135" s="38" t="s">
        <v>1455</v>
      </c>
      <c r="F1135" s="38" t="s">
        <v>1422</v>
      </c>
      <c r="G1135" s="38">
        <v>8.904479838351E12</v>
      </c>
      <c r="H1135" s="38" t="s">
        <v>1423</v>
      </c>
      <c r="I1135" s="38" t="s">
        <v>1424</v>
      </c>
      <c r="J1135" s="38" t="s">
        <v>62</v>
      </c>
      <c r="K1135" s="38" t="s">
        <v>63</v>
      </c>
      <c r="L1135" s="41">
        <v>46011.21875</v>
      </c>
      <c r="M1135" s="38" t="s">
        <v>123</v>
      </c>
      <c r="N1135" s="41">
        <v>46011.239583333336</v>
      </c>
      <c r="O1135" s="38" t="s">
        <v>123</v>
      </c>
      <c r="P1135" s="38">
        <v>1800.0</v>
      </c>
      <c r="Q1135" s="39"/>
      <c r="R1135" s="39"/>
      <c r="S1135" s="39"/>
      <c r="T1135" s="39"/>
      <c r="U1135" s="39"/>
    </row>
    <row r="1136">
      <c r="A1136" s="40">
        <f t="shared" si="1"/>
        <v>46006</v>
      </c>
      <c r="B1136" s="37" t="str">
        <f t="array" ref="B1136">iferror(xlookup($I1136, 'IMPORT VHC Report'!$E:$E, 'IMPORT VHC Report'!$A:$C), )</f>
        <v/>
      </c>
      <c r="C1136" s="37"/>
      <c r="D1136" s="37"/>
      <c r="E1136" s="38" t="s">
        <v>1456</v>
      </c>
      <c r="F1136" s="38" t="s">
        <v>1422</v>
      </c>
      <c r="G1136" s="38">
        <v>8.904479838351E12</v>
      </c>
      <c r="H1136" s="38" t="s">
        <v>1423</v>
      </c>
      <c r="I1136" s="38" t="s">
        <v>1424</v>
      </c>
      <c r="J1136" s="38" t="s">
        <v>224</v>
      </c>
      <c r="K1136" s="38" t="s">
        <v>63</v>
      </c>
      <c r="L1136" s="41">
        <v>46011.239583333336</v>
      </c>
      <c r="M1136" s="38" t="s">
        <v>123</v>
      </c>
      <c r="N1136" s="41">
        <v>46011.302083333336</v>
      </c>
      <c r="O1136" s="38" t="s">
        <v>123</v>
      </c>
      <c r="P1136" s="38">
        <v>5400.0</v>
      </c>
      <c r="Q1136" s="39"/>
      <c r="R1136" s="39"/>
      <c r="S1136" s="39"/>
      <c r="T1136" s="39"/>
      <c r="U1136" s="39"/>
    </row>
    <row r="1137">
      <c r="A1137" s="40">
        <f t="shared" si="1"/>
        <v>46006</v>
      </c>
      <c r="B1137" s="37" t="str">
        <f t="array" ref="B1137">iferror(xlookup($I1137, 'IMPORT VHC Report'!$E:$E, 'IMPORT VHC Report'!$A:$C), )</f>
        <v/>
      </c>
      <c r="C1137" s="37"/>
      <c r="D1137" s="37"/>
      <c r="E1137" s="38" t="s">
        <v>1457</v>
      </c>
      <c r="F1137" s="38" t="s">
        <v>1422</v>
      </c>
      <c r="G1137" s="38">
        <v>8.904479838351E12</v>
      </c>
      <c r="H1137" s="38" t="s">
        <v>1423</v>
      </c>
      <c r="I1137" s="38" t="s">
        <v>1424</v>
      </c>
      <c r="J1137" s="38" t="s">
        <v>134</v>
      </c>
      <c r="K1137" s="38" t="s">
        <v>126</v>
      </c>
      <c r="L1137" s="41">
        <v>46011.302083333336</v>
      </c>
      <c r="M1137" s="38" t="s">
        <v>123</v>
      </c>
      <c r="N1137" s="41">
        <v>46011.3125</v>
      </c>
      <c r="O1137" s="38" t="s">
        <v>123</v>
      </c>
      <c r="P1137" s="38">
        <v>900.0</v>
      </c>
      <c r="Q1137" s="39"/>
      <c r="R1137" s="39"/>
      <c r="S1137" s="39"/>
      <c r="T1137" s="39"/>
      <c r="U1137" s="39"/>
    </row>
    <row r="1138">
      <c r="A1138" s="40">
        <f t="shared" si="1"/>
        <v>46006</v>
      </c>
      <c r="B1138" s="37" t="str">
        <f t="array" ref="B1138">iferror(xlookup($I1138, 'IMPORT VHC Report'!$E:$E, 'IMPORT VHC Report'!$A:$C), )</f>
        <v/>
      </c>
      <c r="C1138" s="37"/>
      <c r="D1138" s="37"/>
      <c r="E1138" s="38" t="s">
        <v>1458</v>
      </c>
      <c r="F1138" s="38" t="s">
        <v>1422</v>
      </c>
      <c r="G1138" s="38">
        <v>8.904479838351E12</v>
      </c>
      <c r="H1138" s="38" t="s">
        <v>1423</v>
      </c>
      <c r="I1138" s="38" t="s">
        <v>1424</v>
      </c>
      <c r="J1138" s="38" t="s">
        <v>224</v>
      </c>
      <c r="K1138" s="38" t="s">
        <v>63</v>
      </c>
      <c r="L1138" s="41">
        <v>46011.3125</v>
      </c>
      <c r="M1138" s="38" t="s">
        <v>123</v>
      </c>
      <c r="N1138" s="41">
        <v>46011.375</v>
      </c>
      <c r="O1138" s="38" t="s">
        <v>123</v>
      </c>
      <c r="P1138" s="38">
        <v>5400.0</v>
      </c>
      <c r="Q1138" s="39"/>
      <c r="R1138" s="39"/>
      <c r="S1138" s="39"/>
      <c r="T1138" s="39"/>
      <c r="U1138" s="39"/>
    </row>
    <row r="1139">
      <c r="A1139" s="40">
        <f t="shared" si="1"/>
        <v>46006</v>
      </c>
      <c r="B1139" s="37" t="str">
        <f t="array" ref="B1139">iferror(xlookup($I1139, 'IMPORT VHC Report'!$E:$E, 'IMPORT VHC Report'!$A:$C), )</f>
        <v/>
      </c>
      <c r="C1139" s="37"/>
      <c r="D1139" s="37"/>
      <c r="E1139" s="38" t="s">
        <v>1459</v>
      </c>
      <c r="F1139" s="38" t="s">
        <v>1422</v>
      </c>
      <c r="G1139" s="38">
        <v>8.904479838351E12</v>
      </c>
      <c r="H1139" s="38" t="s">
        <v>1423</v>
      </c>
      <c r="I1139" s="38" t="s">
        <v>1424</v>
      </c>
      <c r="J1139" s="38" t="s">
        <v>224</v>
      </c>
      <c r="K1139" s="38" t="s">
        <v>63</v>
      </c>
      <c r="L1139" s="41">
        <v>46012.0</v>
      </c>
      <c r="M1139" s="38" t="s">
        <v>123</v>
      </c>
      <c r="N1139" s="41">
        <v>46012.09375</v>
      </c>
      <c r="O1139" s="38" t="s">
        <v>123</v>
      </c>
      <c r="P1139" s="38">
        <v>8100.0</v>
      </c>
      <c r="Q1139" s="39"/>
      <c r="R1139" s="39"/>
      <c r="S1139" s="39"/>
      <c r="T1139" s="39"/>
      <c r="U1139" s="39"/>
    </row>
    <row r="1140">
      <c r="A1140" s="40">
        <f t="shared" si="1"/>
        <v>46006</v>
      </c>
      <c r="B1140" s="37" t="str">
        <f t="array" ref="B1140">iferror(xlookup($I1140, 'IMPORT VHC Report'!$E:$E, 'IMPORT VHC Report'!$A:$C), )</f>
        <v/>
      </c>
      <c r="C1140" s="37"/>
      <c r="D1140" s="37"/>
      <c r="E1140" s="38" t="s">
        <v>1460</v>
      </c>
      <c r="F1140" s="38" t="s">
        <v>1422</v>
      </c>
      <c r="G1140" s="38">
        <v>8.904479838351E12</v>
      </c>
      <c r="H1140" s="38" t="s">
        <v>1423</v>
      </c>
      <c r="I1140" s="38" t="s">
        <v>1424</v>
      </c>
      <c r="J1140" s="38" t="s">
        <v>134</v>
      </c>
      <c r="K1140" s="38" t="s">
        <v>126</v>
      </c>
      <c r="L1140" s="41">
        <v>46012.09375</v>
      </c>
      <c r="M1140" s="38" t="s">
        <v>123</v>
      </c>
      <c r="N1140" s="41">
        <v>46012.104166666664</v>
      </c>
      <c r="O1140" s="38" t="s">
        <v>123</v>
      </c>
      <c r="P1140" s="38">
        <v>900.0</v>
      </c>
      <c r="Q1140" s="39"/>
      <c r="R1140" s="39"/>
      <c r="S1140" s="39"/>
      <c r="T1140" s="39"/>
      <c r="U1140" s="39"/>
    </row>
    <row r="1141">
      <c r="A1141" s="40">
        <f t="shared" si="1"/>
        <v>46006</v>
      </c>
      <c r="B1141" s="37" t="str">
        <f t="array" ref="B1141">iferror(xlookup($I1141, 'IMPORT VHC Report'!$E:$E, 'IMPORT VHC Report'!$A:$C), )</f>
        <v/>
      </c>
      <c r="C1141" s="37"/>
      <c r="D1141" s="37"/>
      <c r="E1141" s="38" t="s">
        <v>1461</v>
      </c>
      <c r="F1141" s="38" t="s">
        <v>1422</v>
      </c>
      <c r="G1141" s="38">
        <v>8.904479838351E12</v>
      </c>
      <c r="H1141" s="38" t="s">
        <v>1423</v>
      </c>
      <c r="I1141" s="38" t="s">
        <v>1424</v>
      </c>
      <c r="J1141" s="38" t="s">
        <v>224</v>
      </c>
      <c r="K1141" s="38" t="s">
        <v>63</v>
      </c>
      <c r="L1141" s="41">
        <v>46012.104166666664</v>
      </c>
      <c r="M1141" s="38" t="s">
        <v>123</v>
      </c>
      <c r="N1141" s="41">
        <v>46012.166666666664</v>
      </c>
      <c r="O1141" s="38" t="s">
        <v>123</v>
      </c>
      <c r="P1141" s="38">
        <v>5400.0</v>
      </c>
      <c r="Q1141" s="39"/>
      <c r="R1141" s="39"/>
      <c r="S1141" s="39"/>
      <c r="T1141" s="39"/>
      <c r="U1141" s="39"/>
    </row>
    <row r="1142">
      <c r="A1142" s="40">
        <f t="shared" si="1"/>
        <v>46006</v>
      </c>
      <c r="B1142" s="37" t="str">
        <f t="array" ref="B1142">iferror(xlookup($I1142, 'IMPORT VHC Report'!$E:$E, 'IMPORT VHC Report'!$A:$C), )</f>
        <v/>
      </c>
      <c r="C1142" s="37"/>
      <c r="D1142" s="37"/>
      <c r="E1142" s="38" t="s">
        <v>1462</v>
      </c>
      <c r="F1142" s="38" t="s">
        <v>1422</v>
      </c>
      <c r="G1142" s="38">
        <v>8.904479838351E12</v>
      </c>
      <c r="H1142" s="38" t="s">
        <v>1423</v>
      </c>
      <c r="I1142" s="38" t="s">
        <v>1424</v>
      </c>
      <c r="J1142" s="38" t="s">
        <v>134</v>
      </c>
      <c r="K1142" s="38" t="s">
        <v>126</v>
      </c>
      <c r="L1142" s="41">
        <v>46012.166666666664</v>
      </c>
      <c r="M1142" s="38" t="s">
        <v>123</v>
      </c>
      <c r="N1142" s="41">
        <v>46012.177083333336</v>
      </c>
      <c r="O1142" s="38" t="s">
        <v>123</v>
      </c>
      <c r="P1142" s="38">
        <v>900.0</v>
      </c>
      <c r="Q1142" s="39"/>
      <c r="R1142" s="39"/>
      <c r="S1142" s="39"/>
      <c r="T1142" s="39"/>
      <c r="U1142" s="39"/>
    </row>
    <row r="1143">
      <c r="A1143" s="40">
        <f t="shared" si="1"/>
        <v>46006</v>
      </c>
      <c r="B1143" s="37" t="str">
        <f t="array" ref="B1143">iferror(xlookup($I1143, 'IMPORT VHC Report'!$E:$E, 'IMPORT VHC Report'!$A:$C), )</f>
        <v/>
      </c>
      <c r="C1143" s="37"/>
      <c r="D1143" s="37"/>
      <c r="E1143" s="38" t="s">
        <v>1463</v>
      </c>
      <c r="F1143" s="38" t="s">
        <v>1422</v>
      </c>
      <c r="G1143" s="38">
        <v>8.904479838351E12</v>
      </c>
      <c r="H1143" s="38" t="s">
        <v>1423</v>
      </c>
      <c r="I1143" s="38" t="s">
        <v>1424</v>
      </c>
      <c r="J1143" s="38" t="s">
        <v>224</v>
      </c>
      <c r="K1143" s="38" t="s">
        <v>63</v>
      </c>
      <c r="L1143" s="41">
        <v>46012.177083333336</v>
      </c>
      <c r="M1143" s="38" t="s">
        <v>123</v>
      </c>
      <c r="N1143" s="41">
        <v>46012.25</v>
      </c>
      <c r="O1143" s="38" t="s">
        <v>123</v>
      </c>
      <c r="P1143" s="38">
        <v>6300.0</v>
      </c>
      <c r="Q1143" s="39"/>
      <c r="R1143" s="39"/>
      <c r="S1143" s="39"/>
      <c r="T1143" s="39"/>
      <c r="U1143" s="39"/>
    </row>
    <row r="1144">
      <c r="A1144" s="40">
        <f t="shared" si="1"/>
        <v>46006</v>
      </c>
      <c r="B1144" s="37" t="str">
        <f t="array" ref="B1144">iferror(xlookup($I1144, 'IMPORT VHC Report'!$E:$E, 'IMPORT VHC Report'!$A:$C), )</f>
        <v/>
      </c>
      <c r="C1144" s="37"/>
      <c r="D1144" s="37"/>
      <c r="E1144" s="38" t="s">
        <v>1464</v>
      </c>
      <c r="F1144" s="38" t="s">
        <v>1422</v>
      </c>
      <c r="G1144" s="38">
        <v>8.904479838351E12</v>
      </c>
      <c r="H1144" s="38" t="s">
        <v>1423</v>
      </c>
      <c r="I1144" s="38" t="s">
        <v>1424</v>
      </c>
      <c r="J1144" s="38" t="s">
        <v>132</v>
      </c>
      <c r="K1144" s="38" t="s">
        <v>126</v>
      </c>
      <c r="L1144" s="41">
        <v>46012.25</v>
      </c>
      <c r="M1144" s="38" t="s">
        <v>123</v>
      </c>
      <c r="N1144" s="41">
        <v>46012.291666666664</v>
      </c>
      <c r="O1144" s="38" t="s">
        <v>123</v>
      </c>
      <c r="P1144" s="38">
        <v>3600.0</v>
      </c>
      <c r="Q1144" s="39"/>
      <c r="R1144" s="39"/>
      <c r="S1144" s="39"/>
      <c r="T1144" s="39"/>
      <c r="U1144" s="39"/>
    </row>
    <row r="1145">
      <c r="A1145" s="40">
        <f t="shared" si="1"/>
        <v>46006</v>
      </c>
      <c r="B1145" s="37" t="str">
        <f t="array" ref="B1145">iferror(xlookup($I1145, 'IMPORT VHC Report'!$E:$E, 'IMPORT VHC Report'!$A:$C), )</f>
        <v/>
      </c>
      <c r="C1145" s="37"/>
      <c r="D1145" s="37"/>
      <c r="E1145" s="38" t="s">
        <v>1465</v>
      </c>
      <c r="F1145" s="38" t="s">
        <v>1422</v>
      </c>
      <c r="G1145" s="38">
        <v>8.904479838351E12</v>
      </c>
      <c r="H1145" s="38" t="s">
        <v>1423</v>
      </c>
      <c r="I1145" s="38" t="s">
        <v>1424</v>
      </c>
      <c r="J1145" s="38" t="s">
        <v>224</v>
      </c>
      <c r="K1145" s="38" t="s">
        <v>63</v>
      </c>
      <c r="L1145" s="41">
        <v>46012.291666666664</v>
      </c>
      <c r="M1145" s="38" t="s">
        <v>123</v>
      </c>
      <c r="N1145" s="41">
        <v>46012.375</v>
      </c>
      <c r="O1145" s="38" t="s">
        <v>123</v>
      </c>
      <c r="P1145" s="38">
        <v>7200.0</v>
      </c>
      <c r="Q1145" s="39"/>
      <c r="R1145" s="39"/>
      <c r="S1145" s="39"/>
      <c r="T1145" s="39"/>
      <c r="U1145" s="39"/>
    </row>
    <row r="1146">
      <c r="A1146" s="40">
        <f t="shared" si="1"/>
        <v>46006</v>
      </c>
      <c r="B1146" s="37" t="str">
        <f t="array" ref="B1146">iferror(xlookup($I1146, 'IMPORT VHC Report'!$E:$E, 'IMPORT VHC Report'!$A:$C), )</f>
        <v/>
      </c>
      <c r="C1146" s="37"/>
      <c r="D1146" s="37"/>
      <c r="E1146" s="38" t="s">
        <v>1466</v>
      </c>
      <c r="F1146" s="38" t="s">
        <v>1467</v>
      </c>
      <c r="G1146" s="38">
        <v>3.61825398056E11</v>
      </c>
      <c r="H1146" s="38" t="s">
        <v>1468</v>
      </c>
      <c r="I1146" s="38" t="s">
        <v>1469</v>
      </c>
      <c r="J1146" s="38" t="s">
        <v>178</v>
      </c>
      <c r="K1146" s="38" t="s">
        <v>153</v>
      </c>
      <c r="L1146" s="41">
        <v>46006.0</v>
      </c>
      <c r="M1146" s="38" t="s">
        <v>123</v>
      </c>
      <c r="N1146" s="41">
        <v>46006.208333333336</v>
      </c>
      <c r="O1146" s="38" t="s">
        <v>123</v>
      </c>
      <c r="P1146" s="38">
        <v>18000.0</v>
      </c>
      <c r="Q1146" s="38">
        <v>18000.0</v>
      </c>
      <c r="R1146" s="38" t="s">
        <v>1470</v>
      </c>
      <c r="S1146" s="39"/>
      <c r="T1146" s="39"/>
      <c r="U1146" s="39"/>
    </row>
    <row r="1147">
      <c r="A1147" s="40">
        <f t="shared" si="1"/>
        <v>46006</v>
      </c>
      <c r="B1147" s="37" t="str">
        <f t="array" ref="B1147">iferror(xlookup($I1147, 'IMPORT VHC Report'!$E:$E, 'IMPORT VHC Report'!$A:$C), )</f>
        <v/>
      </c>
      <c r="C1147" s="37"/>
      <c r="D1147" s="37"/>
      <c r="E1147" s="38" t="s">
        <v>1471</v>
      </c>
      <c r="F1147" s="38" t="s">
        <v>1467</v>
      </c>
      <c r="G1147" s="38">
        <v>3.61825398056E11</v>
      </c>
      <c r="H1147" s="38" t="s">
        <v>1468</v>
      </c>
      <c r="I1147" s="38" t="s">
        <v>1469</v>
      </c>
      <c r="J1147" s="38" t="s">
        <v>122</v>
      </c>
      <c r="K1147" s="38" t="s">
        <v>63</v>
      </c>
      <c r="L1147" s="41">
        <v>46006.0</v>
      </c>
      <c r="M1147" s="38" t="s">
        <v>123</v>
      </c>
      <c r="N1147" s="41">
        <v>46006.208333333336</v>
      </c>
      <c r="O1147" s="38" t="s">
        <v>123</v>
      </c>
      <c r="P1147" s="38">
        <v>18000.0</v>
      </c>
      <c r="Q1147" s="39"/>
      <c r="R1147" s="39"/>
      <c r="S1147" s="39"/>
      <c r="T1147" s="39"/>
      <c r="U1147" s="39"/>
    </row>
    <row r="1148">
      <c r="A1148" s="40">
        <f t="shared" si="1"/>
        <v>46006</v>
      </c>
      <c r="B1148" s="37" t="str">
        <f t="array" ref="B1148">iferror(xlookup($I1148, 'IMPORT VHC Report'!$E:$E, 'IMPORT VHC Report'!$A:$C), )</f>
        <v/>
      </c>
      <c r="C1148" s="37"/>
      <c r="D1148" s="37"/>
      <c r="E1148" s="38" t="s">
        <v>1472</v>
      </c>
      <c r="F1148" s="38" t="s">
        <v>1467</v>
      </c>
      <c r="G1148" s="38">
        <v>3.61825398056E11</v>
      </c>
      <c r="H1148" s="38" t="s">
        <v>1468</v>
      </c>
      <c r="I1148" s="38" t="s">
        <v>1469</v>
      </c>
      <c r="J1148" s="38" t="s">
        <v>134</v>
      </c>
      <c r="K1148" s="38" t="s">
        <v>126</v>
      </c>
      <c r="L1148" s="41">
        <v>46006.083333333336</v>
      </c>
      <c r="M1148" s="38" t="s">
        <v>123</v>
      </c>
      <c r="N1148" s="41">
        <v>46006.104166666664</v>
      </c>
      <c r="O1148" s="38" t="s">
        <v>123</v>
      </c>
      <c r="P1148" s="38">
        <v>1800.0</v>
      </c>
      <c r="Q1148" s="39"/>
      <c r="R1148" s="39"/>
      <c r="S1148" s="39"/>
      <c r="T1148" s="39"/>
      <c r="U1148" s="39"/>
    </row>
    <row r="1149">
      <c r="A1149" s="40">
        <f t="shared" si="1"/>
        <v>46006</v>
      </c>
      <c r="B1149" s="37" t="str">
        <f t="array" ref="B1149">iferror(xlookup($I1149, 'IMPORT VHC Report'!$E:$E, 'IMPORT VHC Report'!$A:$C), )</f>
        <v/>
      </c>
      <c r="C1149" s="37"/>
      <c r="D1149" s="37"/>
      <c r="E1149" s="38" t="s">
        <v>1473</v>
      </c>
      <c r="F1149" s="38" t="s">
        <v>1467</v>
      </c>
      <c r="G1149" s="38">
        <v>3.61825398056E11</v>
      </c>
      <c r="H1149" s="38" t="s">
        <v>1468</v>
      </c>
      <c r="I1149" s="38" t="s">
        <v>1469</v>
      </c>
      <c r="J1149" s="38" t="s">
        <v>125</v>
      </c>
      <c r="K1149" s="38" t="s">
        <v>126</v>
      </c>
      <c r="L1149" s="41">
        <v>46006.833333333336</v>
      </c>
      <c r="M1149" s="38" t="s">
        <v>123</v>
      </c>
      <c r="N1149" s="41">
        <v>46006.84027777778</v>
      </c>
      <c r="O1149" s="38" t="s">
        <v>123</v>
      </c>
      <c r="P1149" s="38">
        <v>600.0</v>
      </c>
      <c r="Q1149" s="39"/>
      <c r="R1149" s="39"/>
      <c r="S1149" s="38" t="s">
        <v>127</v>
      </c>
      <c r="T1149" s="39"/>
      <c r="U1149" s="39"/>
    </row>
    <row r="1150">
      <c r="A1150" s="40">
        <f t="shared" si="1"/>
        <v>46006</v>
      </c>
      <c r="B1150" s="37" t="str">
        <f t="array" ref="B1150">iferror(xlookup($I1150, 'IMPORT VHC Report'!$E:$E, 'IMPORT VHC Report'!$A:$C), )</f>
        <v/>
      </c>
      <c r="C1150" s="37"/>
      <c r="D1150" s="37"/>
      <c r="E1150" s="38" t="s">
        <v>1474</v>
      </c>
      <c r="F1150" s="38" t="s">
        <v>1467</v>
      </c>
      <c r="G1150" s="38">
        <v>3.61825398056E11</v>
      </c>
      <c r="H1150" s="38" t="s">
        <v>1468</v>
      </c>
      <c r="I1150" s="38" t="s">
        <v>1469</v>
      </c>
      <c r="J1150" s="38" t="s">
        <v>178</v>
      </c>
      <c r="K1150" s="38" t="s">
        <v>153</v>
      </c>
      <c r="L1150" s="41">
        <v>46006.833333333336</v>
      </c>
      <c r="M1150" s="38" t="s">
        <v>123</v>
      </c>
      <c r="N1150" s="41">
        <v>46006.99930555555</v>
      </c>
      <c r="O1150" s="38" t="s">
        <v>123</v>
      </c>
      <c r="P1150" s="38">
        <v>14340.0</v>
      </c>
      <c r="Q1150" s="38">
        <v>14328.0</v>
      </c>
      <c r="R1150" s="38" t="s">
        <v>1475</v>
      </c>
      <c r="S1150" s="39"/>
      <c r="T1150" s="39"/>
      <c r="U1150" s="39"/>
    </row>
    <row r="1151">
      <c r="A1151" s="40">
        <f t="shared" si="1"/>
        <v>46006</v>
      </c>
      <c r="B1151" s="37" t="str">
        <f t="array" ref="B1151">iferror(xlookup($I1151, 'IMPORT VHC Report'!$E:$E, 'IMPORT VHC Report'!$A:$C), )</f>
        <v/>
      </c>
      <c r="C1151" s="37"/>
      <c r="D1151" s="37"/>
      <c r="E1151" s="38" t="s">
        <v>1476</v>
      </c>
      <c r="F1151" s="38" t="s">
        <v>1467</v>
      </c>
      <c r="G1151" s="38">
        <v>3.61825398056E11</v>
      </c>
      <c r="H1151" s="38" t="s">
        <v>1468</v>
      </c>
      <c r="I1151" s="38" t="s">
        <v>1469</v>
      </c>
      <c r="J1151" s="38" t="s">
        <v>122</v>
      </c>
      <c r="K1151" s="38" t="s">
        <v>63</v>
      </c>
      <c r="L1151" s="41">
        <v>46006.833333333336</v>
      </c>
      <c r="M1151" s="38" t="s">
        <v>123</v>
      </c>
      <c r="N1151" s="41">
        <v>46007.208333333336</v>
      </c>
      <c r="O1151" s="38" t="s">
        <v>123</v>
      </c>
      <c r="P1151" s="38">
        <v>32400.0</v>
      </c>
      <c r="Q1151" s="39"/>
      <c r="R1151" s="39"/>
      <c r="S1151" s="39"/>
      <c r="T1151" s="39"/>
      <c r="U1151" s="39"/>
    </row>
    <row r="1152">
      <c r="A1152" s="40">
        <f t="shared" si="1"/>
        <v>46006</v>
      </c>
      <c r="B1152" s="37" t="str">
        <f t="array" ref="B1152">iferror(xlookup($I1152, 'IMPORT VHC Report'!$E:$E, 'IMPORT VHC Report'!$A:$C), )</f>
        <v/>
      </c>
      <c r="C1152" s="37"/>
      <c r="D1152" s="37"/>
      <c r="E1152" s="38" t="s">
        <v>1477</v>
      </c>
      <c r="F1152" s="38" t="s">
        <v>1467</v>
      </c>
      <c r="G1152" s="38">
        <v>3.61825398056E11</v>
      </c>
      <c r="H1152" s="38" t="s">
        <v>1468</v>
      </c>
      <c r="I1152" s="38" t="s">
        <v>1469</v>
      </c>
      <c r="J1152" s="38" t="s">
        <v>134</v>
      </c>
      <c r="K1152" s="38" t="s">
        <v>126</v>
      </c>
      <c r="L1152" s="41">
        <v>46006.90625</v>
      </c>
      <c r="M1152" s="38" t="s">
        <v>123</v>
      </c>
      <c r="N1152" s="41">
        <v>46006.927083333336</v>
      </c>
      <c r="O1152" s="38" t="s">
        <v>123</v>
      </c>
      <c r="P1152" s="38">
        <v>1800.0</v>
      </c>
      <c r="Q1152" s="39"/>
      <c r="R1152" s="39"/>
      <c r="S1152" s="39"/>
      <c r="T1152" s="39"/>
      <c r="U1152" s="39"/>
    </row>
    <row r="1153">
      <c r="A1153" s="40">
        <f t="shared" si="1"/>
        <v>46006</v>
      </c>
      <c r="B1153" s="37" t="str">
        <f t="array" ref="B1153">iferror(xlookup($I1153, 'IMPORT VHC Report'!$E:$E, 'IMPORT VHC Report'!$A:$C), )</f>
        <v/>
      </c>
      <c r="C1153" s="37"/>
      <c r="D1153" s="37"/>
      <c r="E1153" s="38" t="s">
        <v>1478</v>
      </c>
      <c r="F1153" s="38" t="s">
        <v>1467</v>
      </c>
      <c r="G1153" s="38">
        <v>3.61825398056E11</v>
      </c>
      <c r="H1153" s="38" t="s">
        <v>1468</v>
      </c>
      <c r="I1153" s="38" t="s">
        <v>1469</v>
      </c>
      <c r="J1153" s="38" t="s">
        <v>4</v>
      </c>
      <c r="K1153" s="38" t="s">
        <v>126</v>
      </c>
      <c r="L1153" s="41">
        <v>46006.927083333336</v>
      </c>
      <c r="M1153" s="38" t="s">
        <v>123</v>
      </c>
      <c r="N1153" s="41">
        <v>46006.96875</v>
      </c>
      <c r="O1153" s="38" t="s">
        <v>123</v>
      </c>
      <c r="P1153" s="38">
        <v>3600.0</v>
      </c>
      <c r="Q1153" s="39"/>
      <c r="R1153" s="39"/>
      <c r="S1153" s="38" t="s">
        <v>130</v>
      </c>
      <c r="T1153" s="39"/>
      <c r="U1153" s="39"/>
    </row>
    <row r="1154">
      <c r="A1154" s="40">
        <f t="shared" si="1"/>
        <v>46006</v>
      </c>
      <c r="B1154" s="37" t="str">
        <f t="array" ref="B1154">iferror(xlookup($I1154, 'IMPORT VHC Report'!$E:$E, 'IMPORT VHC Report'!$A:$C), )</f>
        <v/>
      </c>
      <c r="C1154" s="37"/>
      <c r="D1154" s="37"/>
      <c r="E1154" s="38" t="s">
        <v>1479</v>
      </c>
      <c r="F1154" s="38" t="s">
        <v>1467</v>
      </c>
      <c r="G1154" s="38">
        <v>3.61825398056E11</v>
      </c>
      <c r="H1154" s="38" t="s">
        <v>1468</v>
      </c>
      <c r="I1154" s="38" t="s">
        <v>1469</v>
      </c>
      <c r="J1154" s="38" t="s">
        <v>178</v>
      </c>
      <c r="K1154" s="38" t="s">
        <v>153</v>
      </c>
      <c r="L1154" s="41">
        <v>46006.99930555555</v>
      </c>
      <c r="M1154" s="38" t="s">
        <v>123</v>
      </c>
      <c r="N1154" s="41">
        <v>46007.0</v>
      </c>
      <c r="O1154" s="38" t="s">
        <v>123</v>
      </c>
      <c r="P1154" s="38">
        <v>60.0</v>
      </c>
      <c r="Q1154" s="38">
        <v>60.0</v>
      </c>
      <c r="R1154" s="39"/>
      <c r="S1154" s="39"/>
      <c r="T1154" s="39"/>
      <c r="U1154" s="39"/>
    </row>
    <row r="1155">
      <c r="A1155" s="40">
        <f t="shared" si="1"/>
        <v>46006</v>
      </c>
      <c r="B1155" s="37" t="str">
        <f t="array" ref="B1155">iferror(xlookup($I1155, 'IMPORT VHC Report'!$E:$E, 'IMPORT VHC Report'!$A:$C), )</f>
        <v/>
      </c>
      <c r="C1155" s="37"/>
      <c r="D1155" s="37"/>
      <c r="E1155" s="38" t="s">
        <v>1480</v>
      </c>
      <c r="F1155" s="38" t="s">
        <v>1467</v>
      </c>
      <c r="G1155" s="38">
        <v>3.61825398056E11</v>
      </c>
      <c r="H1155" s="38" t="s">
        <v>1468</v>
      </c>
      <c r="I1155" s="38" t="s">
        <v>1469</v>
      </c>
      <c r="J1155" s="38" t="s">
        <v>178</v>
      </c>
      <c r="K1155" s="38" t="s">
        <v>153</v>
      </c>
      <c r="L1155" s="41">
        <v>46007.0</v>
      </c>
      <c r="M1155" s="38" t="s">
        <v>123</v>
      </c>
      <c r="N1155" s="41">
        <v>46007.208333333336</v>
      </c>
      <c r="O1155" s="38" t="s">
        <v>123</v>
      </c>
      <c r="P1155" s="38">
        <v>18000.0</v>
      </c>
      <c r="Q1155" s="38">
        <v>18000.0</v>
      </c>
      <c r="R1155" s="38" t="s">
        <v>1475</v>
      </c>
      <c r="S1155" s="39"/>
      <c r="T1155" s="39"/>
      <c r="U1155" s="39"/>
    </row>
    <row r="1156">
      <c r="A1156" s="40">
        <f t="shared" si="1"/>
        <v>46006</v>
      </c>
      <c r="B1156" s="37" t="str">
        <f t="array" ref="B1156">iferror(xlookup($I1156, 'IMPORT VHC Report'!$E:$E, 'IMPORT VHC Report'!$A:$C), )</f>
        <v/>
      </c>
      <c r="C1156" s="37"/>
      <c r="D1156" s="37"/>
      <c r="E1156" s="38" t="s">
        <v>1481</v>
      </c>
      <c r="F1156" s="38" t="s">
        <v>1467</v>
      </c>
      <c r="G1156" s="38">
        <v>3.61825398056E11</v>
      </c>
      <c r="H1156" s="38" t="s">
        <v>1468</v>
      </c>
      <c r="I1156" s="38" t="s">
        <v>1469</v>
      </c>
      <c r="J1156" s="38" t="s">
        <v>132</v>
      </c>
      <c r="K1156" s="38" t="s">
        <v>126</v>
      </c>
      <c r="L1156" s="41">
        <v>46007.03125</v>
      </c>
      <c r="M1156" s="38" t="s">
        <v>123</v>
      </c>
      <c r="N1156" s="41">
        <v>46007.072916666664</v>
      </c>
      <c r="O1156" s="38" t="s">
        <v>123</v>
      </c>
      <c r="P1156" s="38">
        <v>3600.0</v>
      </c>
      <c r="Q1156" s="39"/>
      <c r="R1156" s="39"/>
      <c r="S1156" s="39"/>
      <c r="T1156" s="39"/>
      <c r="U1156" s="39"/>
    </row>
    <row r="1157">
      <c r="A1157" s="40">
        <f t="shared" si="1"/>
        <v>46006</v>
      </c>
      <c r="B1157" s="37" t="str">
        <f t="array" ref="B1157">iferror(xlookup($I1157, 'IMPORT VHC Report'!$E:$E, 'IMPORT VHC Report'!$A:$C), )</f>
        <v/>
      </c>
      <c r="C1157" s="37"/>
      <c r="D1157" s="37"/>
      <c r="E1157" s="38" t="s">
        <v>1482</v>
      </c>
      <c r="F1157" s="38" t="s">
        <v>1467</v>
      </c>
      <c r="G1157" s="38">
        <v>3.61825398056E11</v>
      </c>
      <c r="H1157" s="38" t="s">
        <v>1468</v>
      </c>
      <c r="I1157" s="38" t="s">
        <v>1469</v>
      </c>
      <c r="J1157" s="38" t="s">
        <v>125</v>
      </c>
      <c r="K1157" s="38" t="s">
        <v>126</v>
      </c>
      <c r="L1157" s="41">
        <v>46009.833333333336</v>
      </c>
      <c r="M1157" s="38" t="s">
        <v>123</v>
      </c>
      <c r="N1157" s="41">
        <v>46009.84027777778</v>
      </c>
      <c r="O1157" s="38" t="s">
        <v>123</v>
      </c>
      <c r="P1157" s="38">
        <v>600.0</v>
      </c>
      <c r="Q1157" s="39"/>
      <c r="R1157" s="39"/>
      <c r="S1157" s="38" t="s">
        <v>127</v>
      </c>
      <c r="T1157" s="39"/>
      <c r="U1157" s="39"/>
    </row>
    <row r="1158">
      <c r="A1158" s="40">
        <f t="shared" si="1"/>
        <v>46006</v>
      </c>
      <c r="B1158" s="37" t="str">
        <f t="array" ref="B1158">iferror(xlookup($I1158, 'IMPORT VHC Report'!$E:$E, 'IMPORT VHC Report'!$A:$C), )</f>
        <v/>
      </c>
      <c r="C1158" s="37"/>
      <c r="D1158" s="37"/>
      <c r="E1158" s="38" t="s">
        <v>1483</v>
      </c>
      <c r="F1158" s="38" t="s">
        <v>1467</v>
      </c>
      <c r="G1158" s="38">
        <v>3.61825398056E11</v>
      </c>
      <c r="H1158" s="38" t="s">
        <v>1468</v>
      </c>
      <c r="I1158" s="38" t="s">
        <v>1469</v>
      </c>
      <c r="J1158" s="38" t="s">
        <v>122</v>
      </c>
      <c r="K1158" s="38" t="s">
        <v>63</v>
      </c>
      <c r="L1158" s="41">
        <v>46009.833333333336</v>
      </c>
      <c r="M1158" s="38" t="s">
        <v>123</v>
      </c>
      <c r="N1158" s="41">
        <v>46010.208333333336</v>
      </c>
      <c r="O1158" s="38" t="s">
        <v>123</v>
      </c>
      <c r="P1158" s="38">
        <v>32400.0</v>
      </c>
      <c r="Q1158" s="39"/>
      <c r="R1158" s="39"/>
      <c r="S1158" s="39"/>
      <c r="T1158" s="39"/>
      <c r="U1158" s="39"/>
    </row>
    <row r="1159">
      <c r="A1159" s="40">
        <f t="shared" si="1"/>
        <v>46006</v>
      </c>
      <c r="B1159" s="37" t="str">
        <f t="array" ref="B1159">iferror(xlookup($I1159, 'IMPORT VHC Report'!$E:$E, 'IMPORT VHC Report'!$A:$C), )</f>
        <v/>
      </c>
      <c r="C1159" s="37"/>
      <c r="D1159" s="37"/>
      <c r="E1159" s="38" t="s">
        <v>1484</v>
      </c>
      <c r="F1159" s="38" t="s">
        <v>1467</v>
      </c>
      <c r="G1159" s="38">
        <v>3.61825398056E11</v>
      </c>
      <c r="H1159" s="38" t="s">
        <v>1468</v>
      </c>
      <c r="I1159" s="38" t="s">
        <v>1469</v>
      </c>
      <c r="J1159" s="38" t="s">
        <v>134</v>
      </c>
      <c r="K1159" s="38" t="s">
        <v>126</v>
      </c>
      <c r="L1159" s="41">
        <v>46009.916666666664</v>
      </c>
      <c r="M1159" s="38" t="s">
        <v>123</v>
      </c>
      <c r="N1159" s="41">
        <v>46009.9375</v>
      </c>
      <c r="O1159" s="38" t="s">
        <v>123</v>
      </c>
      <c r="P1159" s="38">
        <v>1800.0</v>
      </c>
      <c r="Q1159" s="39"/>
      <c r="R1159" s="39"/>
      <c r="S1159" s="39"/>
      <c r="T1159" s="39"/>
      <c r="U1159" s="39"/>
    </row>
    <row r="1160">
      <c r="A1160" s="40">
        <f t="shared" si="1"/>
        <v>46006</v>
      </c>
      <c r="B1160" s="37" t="str">
        <f t="array" ref="B1160">iferror(xlookup($I1160, 'IMPORT VHC Report'!$E:$E, 'IMPORT VHC Report'!$A:$C), )</f>
        <v/>
      </c>
      <c r="C1160" s="37"/>
      <c r="D1160" s="37"/>
      <c r="E1160" s="38" t="s">
        <v>1485</v>
      </c>
      <c r="F1160" s="38" t="s">
        <v>1467</v>
      </c>
      <c r="G1160" s="38">
        <v>3.61825398056E11</v>
      </c>
      <c r="H1160" s="38" t="s">
        <v>1468</v>
      </c>
      <c r="I1160" s="38" t="s">
        <v>1469</v>
      </c>
      <c r="J1160" s="38" t="s">
        <v>4</v>
      </c>
      <c r="K1160" s="38" t="s">
        <v>126</v>
      </c>
      <c r="L1160" s="41">
        <v>46009.9375</v>
      </c>
      <c r="M1160" s="38" t="s">
        <v>123</v>
      </c>
      <c r="N1160" s="41">
        <v>46009.979166666664</v>
      </c>
      <c r="O1160" s="38" t="s">
        <v>123</v>
      </c>
      <c r="P1160" s="38">
        <v>3600.0</v>
      </c>
      <c r="Q1160" s="39"/>
      <c r="R1160" s="39"/>
      <c r="S1160" s="38" t="s">
        <v>130</v>
      </c>
      <c r="T1160" s="39"/>
      <c r="U1160" s="39"/>
    </row>
    <row r="1161">
      <c r="A1161" s="40">
        <f t="shared" si="1"/>
        <v>46006</v>
      </c>
      <c r="B1161" s="37" t="str">
        <f t="array" ref="B1161">iferror(xlookup($I1161, 'IMPORT VHC Report'!$E:$E, 'IMPORT VHC Report'!$A:$C), )</f>
        <v/>
      </c>
      <c r="C1161" s="37"/>
      <c r="D1161" s="37"/>
      <c r="E1161" s="38" t="s">
        <v>1486</v>
      </c>
      <c r="F1161" s="38" t="s">
        <v>1467</v>
      </c>
      <c r="G1161" s="38">
        <v>3.61825398056E11</v>
      </c>
      <c r="H1161" s="38" t="s">
        <v>1468</v>
      </c>
      <c r="I1161" s="38" t="s">
        <v>1469</v>
      </c>
      <c r="J1161" s="38" t="s">
        <v>132</v>
      </c>
      <c r="K1161" s="38" t="s">
        <v>126</v>
      </c>
      <c r="L1161" s="41">
        <v>46010.0</v>
      </c>
      <c r="M1161" s="38" t="s">
        <v>123</v>
      </c>
      <c r="N1161" s="41">
        <v>46010.041666666664</v>
      </c>
      <c r="O1161" s="38" t="s">
        <v>123</v>
      </c>
      <c r="P1161" s="38">
        <v>3600.0</v>
      </c>
      <c r="Q1161" s="39"/>
      <c r="R1161" s="39"/>
      <c r="S1161" s="39"/>
      <c r="T1161" s="39"/>
      <c r="U1161" s="39"/>
    </row>
    <row r="1162">
      <c r="A1162" s="40">
        <f t="shared" si="1"/>
        <v>46006</v>
      </c>
      <c r="B1162" s="37" t="str">
        <f t="array" ref="B1162">iferror(xlookup($I1162, 'IMPORT VHC Report'!$E:$E, 'IMPORT VHC Report'!$A:$C), )</f>
        <v/>
      </c>
      <c r="C1162" s="37"/>
      <c r="D1162" s="37"/>
      <c r="E1162" s="38" t="s">
        <v>1487</v>
      </c>
      <c r="F1162" s="38" t="s">
        <v>1467</v>
      </c>
      <c r="G1162" s="38">
        <v>3.61825398056E11</v>
      </c>
      <c r="H1162" s="38" t="s">
        <v>1468</v>
      </c>
      <c r="I1162" s="38" t="s">
        <v>1469</v>
      </c>
      <c r="J1162" s="38" t="s">
        <v>125</v>
      </c>
      <c r="K1162" s="38" t="s">
        <v>126</v>
      </c>
      <c r="L1162" s="41">
        <v>46010.833333333336</v>
      </c>
      <c r="M1162" s="38" t="s">
        <v>123</v>
      </c>
      <c r="N1162" s="41">
        <v>46010.84027777778</v>
      </c>
      <c r="O1162" s="38" t="s">
        <v>123</v>
      </c>
      <c r="P1162" s="38">
        <v>600.0</v>
      </c>
      <c r="Q1162" s="39"/>
      <c r="R1162" s="39"/>
      <c r="S1162" s="38" t="s">
        <v>127</v>
      </c>
      <c r="T1162" s="39"/>
      <c r="U1162" s="39"/>
    </row>
    <row r="1163">
      <c r="A1163" s="40">
        <f t="shared" si="1"/>
        <v>46006</v>
      </c>
      <c r="B1163" s="37" t="str">
        <f t="array" ref="B1163">iferror(xlookup($I1163, 'IMPORT VHC Report'!$E:$E, 'IMPORT VHC Report'!$A:$C), )</f>
        <v/>
      </c>
      <c r="C1163" s="37"/>
      <c r="D1163" s="37"/>
      <c r="E1163" s="38" t="s">
        <v>1488</v>
      </c>
      <c r="F1163" s="38" t="s">
        <v>1467</v>
      </c>
      <c r="G1163" s="38">
        <v>3.61825398056E11</v>
      </c>
      <c r="H1163" s="38" t="s">
        <v>1468</v>
      </c>
      <c r="I1163" s="38" t="s">
        <v>1469</v>
      </c>
      <c r="J1163" s="38" t="s">
        <v>122</v>
      </c>
      <c r="K1163" s="38" t="s">
        <v>63</v>
      </c>
      <c r="L1163" s="41">
        <v>46010.833333333336</v>
      </c>
      <c r="M1163" s="38" t="s">
        <v>123</v>
      </c>
      <c r="N1163" s="41">
        <v>46011.208333333336</v>
      </c>
      <c r="O1163" s="38" t="s">
        <v>123</v>
      </c>
      <c r="P1163" s="38">
        <v>32400.0</v>
      </c>
      <c r="Q1163" s="39"/>
      <c r="R1163" s="39"/>
      <c r="S1163" s="39"/>
      <c r="T1163" s="39"/>
      <c r="U1163" s="39"/>
    </row>
    <row r="1164">
      <c r="A1164" s="40">
        <f t="shared" si="1"/>
        <v>46006</v>
      </c>
      <c r="B1164" s="37" t="str">
        <f t="array" ref="B1164">iferror(xlookup($I1164, 'IMPORT VHC Report'!$E:$E, 'IMPORT VHC Report'!$A:$C), )</f>
        <v/>
      </c>
      <c r="C1164" s="37"/>
      <c r="D1164" s="37"/>
      <c r="E1164" s="38" t="s">
        <v>1489</v>
      </c>
      <c r="F1164" s="38" t="s">
        <v>1467</v>
      </c>
      <c r="G1164" s="38">
        <v>3.61825398056E11</v>
      </c>
      <c r="H1164" s="38" t="s">
        <v>1468</v>
      </c>
      <c r="I1164" s="38" t="s">
        <v>1469</v>
      </c>
      <c r="J1164" s="38" t="s">
        <v>134</v>
      </c>
      <c r="K1164" s="38" t="s">
        <v>126</v>
      </c>
      <c r="L1164" s="41">
        <v>46010.9375</v>
      </c>
      <c r="M1164" s="38" t="s">
        <v>123</v>
      </c>
      <c r="N1164" s="41">
        <v>46010.958333333336</v>
      </c>
      <c r="O1164" s="38" t="s">
        <v>123</v>
      </c>
      <c r="P1164" s="38">
        <v>1800.0</v>
      </c>
      <c r="Q1164" s="39"/>
      <c r="R1164" s="39"/>
      <c r="S1164" s="39"/>
      <c r="T1164" s="39"/>
      <c r="U1164" s="39"/>
    </row>
    <row r="1165">
      <c r="A1165" s="40">
        <f t="shared" si="1"/>
        <v>46006</v>
      </c>
      <c r="B1165" s="37" t="str">
        <f t="array" ref="B1165">iferror(xlookup($I1165, 'IMPORT VHC Report'!$E:$E, 'IMPORT VHC Report'!$A:$C), )</f>
        <v/>
      </c>
      <c r="C1165" s="37"/>
      <c r="D1165" s="37"/>
      <c r="E1165" s="38" t="s">
        <v>1490</v>
      </c>
      <c r="F1165" s="38" t="s">
        <v>1467</v>
      </c>
      <c r="G1165" s="38">
        <v>3.61825398056E11</v>
      </c>
      <c r="H1165" s="38" t="s">
        <v>1468</v>
      </c>
      <c r="I1165" s="38" t="s">
        <v>1469</v>
      </c>
      <c r="J1165" s="38" t="s">
        <v>132</v>
      </c>
      <c r="K1165" s="38" t="s">
        <v>126</v>
      </c>
      <c r="L1165" s="41">
        <v>46011.0</v>
      </c>
      <c r="M1165" s="38" t="s">
        <v>123</v>
      </c>
      <c r="N1165" s="41">
        <v>46011.041666666664</v>
      </c>
      <c r="O1165" s="38" t="s">
        <v>123</v>
      </c>
      <c r="P1165" s="38">
        <v>3600.0</v>
      </c>
      <c r="Q1165" s="39"/>
      <c r="R1165" s="39"/>
      <c r="S1165" s="39"/>
      <c r="T1165" s="39"/>
      <c r="U1165" s="39"/>
    </row>
    <row r="1166">
      <c r="A1166" s="40">
        <f t="shared" si="1"/>
        <v>46006</v>
      </c>
      <c r="B1166" s="37" t="str">
        <f t="array" ref="B1166">iferror(xlookup($I1166, 'IMPORT VHC Report'!$E:$E, 'IMPORT VHC Report'!$A:$C), )</f>
        <v/>
      </c>
      <c r="C1166" s="37"/>
      <c r="D1166" s="37"/>
      <c r="E1166" s="38" t="s">
        <v>1491</v>
      </c>
      <c r="F1166" s="38" t="s">
        <v>1467</v>
      </c>
      <c r="G1166" s="38">
        <v>3.61825398056E11</v>
      </c>
      <c r="H1166" s="38" t="s">
        <v>1468</v>
      </c>
      <c r="I1166" s="38" t="s">
        <v>1469</v>
      </c>
      <c r="J1166" s="38" t="s">
        <v>125</v>
      </c>
      <c r="K1166" s="38" t="s">
        <v>126</v>
      </c>
      <c r="L1166" s="41">
        <v>46011.833333333336</v>
      </c>
      <c r="M1166" s="38" t="s">
        <v>123</v>
      </c>
      <c r="N1166" s="41">
        <v>46011.84027777778</v>
      </c>
      <c r="O1166" s="38" t="s">
        <v>123</v>
      </c>
      <c r="P1166" s="38">
        <v>600.0</v>
      </c>
      <c r="Q1166" s="39"/>
      <c r="R1166" s="39"/>
      <c r="S1166" s="38" t="s">
        <v>127</v>
      </c>
      <c r="T1166" s="39"/>
      <c r="U1166" s="39"/>
    </row>
    <row r="1167">
      <c r="A1167" s="40">
        <f t="shared" si="1"/>
        <v>46006</v>
      </c>
      <c r="B1167" s="37" t="str">
        <f t="array" ref="B1167">iferror(xlookup($I1167, 'IMPORT VHC Report'!$E:$E, 'IMPORT VHC Report'!$A:$C), )</f>
        <v/>
      </c>
      <c r="C1167" s="37"/>
      <c r="D1167" s="37"/>
      <c r="E1167" s="38" t="s">
        <v>1492</v>
      </c>
      <c r="F1167" s="38" t="s">
        <v>1467</v>
      </c>
      <c r="G1167" s="38">
        <v>3.61825398056E11</v>
      </c>
      <c r="H1167" s="38" t="s">
        <v>1468</v>
      </c>
      <c r="I1167" s="38" t="s">
        <v>1469</v>
      </c>
      <c r="J1167" s="38" t="s">
        <v>152</v>
      </c>
      <c r="K1167" s="38" t="s">
        <v>153</v>
      </c>
      <c r="L1167" s="41">
        <v>46011.833333333336</v>
      </c>
      <c r="M1167" s="38" t="s">
        <v>123</v>
      </c>
      <c r="N1167" s="41">
        <v>46012.208333333336</v>
      </c>
      <c r="O1167" s="38" t="s">
        <v>123</v>
      </c>
      <c r="P1167" s="38">
        <v>32400.0</v>
      </c>
      <c r="Q1167" s="38">
        <v>32400.0</v>
      </c>
      <c r="R1167" s="39"/>
      <c r="S1167" s="39"/>
      <c r="T1167" s="39"/>
      <c r="U1167" s="39"/>
    </row>
    <row r="1168">
      <c r="A1168" s="40">
        <f t="shared" si="1"/>
        <v>46006</v>
      </c>
      <c r="B1168" s="37" t="str">
        <f t="array" ref="B1168">iferror(xlookup($I1168, 'IMPORT VHC Report'!$E:$E, 'IMPORT VHC Report'!$A:$C), )</f>
        <v/>
      </c>
      <c r="C1168" s="37"/>
      <c r="D1168" s="37"/>
      <c r="E1168" s="38" t="s">
        <v>1493</v>
      </c>
      <c r="F1168" s="38" t="s">
        <v>1467</v>
      </c>
      <c r="G1168" s="38">
        <v>3.61825398056E11</v>
      </c>
      <c r="H1168" s="38" t="s">
        <v>1468</v>
      </c>
      <c r="I1168" s="38" t="s">
        <v>1469</v>
      </c>
      <c r="J1168" s="38" t="s">
        <v>122</v>
      </c>
      <c r="K1168" s="38" t="s">
        <v>63</v>
      </c>
      <c r="L1168" s="41">
        <v>46011.833333333336</v>
      </c>
      <c r="M1168" s="38" t="s">
        <v>123</v>
      </c>
      <c r="N1168" s="41">
        <v>46012.208333333336</v>
      </c>
      <c r="O1168" s="38" t="s">
        <v>123</v>
      </c>
      <c r="P1168" s="38">
        <v>32400.0</v>
      </c>
      <c r="Q1168" s="39"/>
      <c r="R1168" s="39"/>
      <c r="S1168" s="39"/>
      <c r="T1168" s="39"/>
      <c r="U1168" s="39"/>
    </row>
    <row r="1169">
      <c r="A1169" s="40">
        <f t="shared" si="1"/>
        <v>46006</v>
      </c>
      <c r="B1169" s="37" t="str">
        <f t="array" ref="B1169">iferror(xlookup($I1169, 'IMPORT VHC Report'!$E:$E, 'IMPORT VHC Report'!$A:$C), )</f>
        <v/>
      </c>
      <c r="C1169" s="37"/>
      <c r="D1169" s="37"/>
      <c r="E1169" s="38" t="s">
        <v>1494</v>
      </c>
      <c r="F1169" s="38" t="s">
        <v>1467</v>
      </c>
      <c r="G1169" s="38">
        <v>3.61825398056E11</v>
      </c>
      <c r="H1169" s="38" t="s">
        <v>1468</v>
      </c>
      <c r="I1169" s="38" t="s">
        <v>1469</v>
      </c>
      <c r="J1169" s="38" t="s">
        <v>132</v>
      </c>
      <c r="K1169" s="38" t="s">
        <v>126</v>
      </c>
      <c r="L1169" s="41">
        <v>46011.895833333336</v>
      </c>
      <c r="M1169" s="38" t="s">
        <v>123</v>
      </c>
      <c r="N1169" s="41">
        <v>46011.9375</v>
      </c>
      <c r="O1169" s="38" t="s">
        <v>123</v>
      </c>
      <c r="P1169" s="38">
        <v>3600.0</v>
      </c>
      <c r="Q1169" s="39"/>
      <c r="R1169" s="39"/>
      <c r="S1169" s="39"/>
      <c r="T1169" s="39"/>
      <c r="U1169" s="39"/>
    </row>
    <row r="1170">
      <c r="A1170" s="40">
        <f t="shared" si="1"/>
        <v>46006</v>
      </c>
      <c r="B1170" s="37" t="str">
        <f t="array" ref="B1170">iferror(xlookup($I1170, 'IMPORT VHC Report'!$E:$E, 'IMPORT VHC Report'!$A:$C), )</f>
        <v/>
      </c>
      <c r="C1170" s="37"/>
      <c r="D1170" s="37"/>
      <c r="E1170" s="38" t="s">
        <v>1495</v>
      </c>
      <c r="F1170" s="38" t="s">
        <v>1467</v>
      </c>
      <c r="G1170" s="38">
        <v>3.61825398056E11</v>
      </c>
      <c r="H1170" s="38" t="s">
        <v>1468</v>
      </c>
      <c r="I1170" s="38" t="s">
        <v>1469</v>
      </c>
      <c r="J1170" s="38" t="s">
        <v>134</v>
      </c>
      <c r="K1170" s="38" t="s">
        <v>126</v>
      </c>
      <c r="L1170" s="41">
        <v>46012.052083333336</v>
      </c>
      <c r="M1170" s="38" t="s">
        <v>123</v>
      </c>
      <c r="N1170" s="41">
        <v>46012.072916666664</v>
      </c>
      <c r="O1170" s="38" t="s">
        <v>123</v>
      </c>
      <c r="P1170" s="38">
        <v>1800.0</v>
      </c>
      <c r="Q1170" s="39"/>
      <c r="R1170" s="39"/>
      <c r="S1170" s="39"/>
      <c r="T1170" s="39"/>
      <c r="U1170" s="39"/>
    </row>
    <row r="1171">
      <c r="A1171" s="40">
        <f t="shared" si="1"/>
        <v>46006</v>
      </c>
      <c r="B1171" s="37" t="str">
        <f t="array" ref="B1171">iferror(xlookup($I1171, 'IMPORT VHC Report'!$E:$E, 'IMPORT VHC Report'!$A:$C), )</f>
        <v/>
      </c>
      <c r="C1171" s="37"/>
      <c r="D1171" s="37"/>
      <c r="E1171" s="38" t="s">
        <v>1496</v>
      </c>
      <c r="F1171" s="38" t="s">
        <v>1467</v>
      </c>
      <c r="G1171" s="38">
        <v>3.61825398056E11</v>
      </c>
      <c r="H1171" s="38" t="s">
        <v>1468</v>
      </c>
      <c r="I1171" s="38" t="s">
        <v>1469</v>
      </c>
      <c r="J1171" s="38" t="s">
        <v>125</v>
      </c>
      <c r="K1171" s="38" t="s">
        <v>126</v>
      </c>
      <c r="L1171" s="41">
        <v>46012.833333333336</v>
      </c>
      <c r="M1171" s="38" t="s">
        <v>123</v>
      </c>
      <c r="N1171" s="41">
        <v>46012.84027777778</v>
      </c>
      <c r="O1171" s="38" t="s">
        <v>123</v>
      </c>
      <c r="P1171" s="38">
        <v>600.0</v>
      </c>
      <c r="Q1171" s="39"/>
      <c r="R1171" s="39"/>
      <c r="S1171" s="38" t="s">
        <v>127</v>
      </c>
      <c r="T1171" s="39"/>
      <c r="U1171" s="39"/>
    </row>
    <row r="1172">
      <c r="A1172" s="40">
        <f t="shared" si="1"/>
        <v>46006</v>
      </c>
      <c r="B1172" s="37" t="str">
        <f t="array" ref="B1172">iferror(xlookup($I1172, 'IMPORT VHC Report'!$E:$E, 'IMPORT VHC Report'!$A:$C), )</f>
        <v/>
      </c>
      <c r="C1172" s="37"/>
      <c r="D1172" s="37"/>
      <c r="E1172" s="38" t="s">
        <v>1497</v>
      </c>
      <c r="F1172" s="38" t="s">
        <v>1467</v>
      </c>
      <c r="G1172" s="38">
        <v>3.61825398056E11</v>
      </c>
      <c r="H1172" s="38" t="s">
        <v>1468</v>
      </c>
      <c r="I1172" s="38" t="s">
        <v>1469</v>
      </c>
      <c r="J1172" s="38" t="s">
        <v>122</v>
      </c>
      <c r="K1172" s="38" t="s">
        <v>63</v>
      </c>
      <c r="L1172" s="41">
        <v>46012.833333333336</v>
      </c>
      <c r="M1172" s="38" t="s">
        <v>123</v>
      </c>
      <c r="N1172" s="41">
        <v>46013.0</v>
      </c>
      <c r="O1172" s="38" t="s">
        <v>123</v>
      </c>
      <c r="P1172" s="38">
        <v>14400.0</v>
      </c>
      <c r="Q1172" s="39"/>
      <c r="R1172" s="39"/>
      <c r="S1172" s="39"/>
      <c r="T1172" s="39"/>
      <c r="U1172" s="39"/>
    </row>
    <row r="1173">
      <c r="A1173" s="40">
        <f t="shared" si="1"/>
        <v>46006</v>
      </c>
      <c r="B1173" s="37" t="str">
        <f t="array" ref="B1173">iferror(xlookup($I1173, 'IMPORT VHC Report'!$E:$E, 'IMPORT VHC Report'!$A:$C), )</f>
        <v/>
      </c>
      <c r="C1173" s="37"/>
      <c r="D1173" s="37"/>
      <c r="E1173" s="38" t="s">
        <v>1498</v>
      </c>
      <c r="F1173" s="38" t="s">
        <v>1467</v>
      </c>
      <c r="G1173" s="38">
        <v>3.61825398056E11</v>
      </c>
      <c r="H1173" s="38" t="s">
        <v>1468</v>
      </c>
      <c r="I1173" s="38" t="s">
        <v>1469</v>
      </c>
      <c r="J1173" s="38" t="s">
        <v>132</v>
      </c>
      <c r="K1173" s="38" t="s">
        <v>126</v>
      </c>
      <c r="L1173" s="41">
        <v>46012.958333333336</v>
      </c>
      <c r="M1173" s="38" t="s">
        <v>123</v>
      </c>
      <c r="N1173" s="41">
        <v>46013.0</v>
      </c>
      <c r="O1173" s="38" t="s">
        <v>123</v>
      </c>
      <c r="P1173" s="38">
        <v>3600.0</v>
      </c>
      <c r="Q1173" s="39"/>
      <c r="R1173" s="39"/>
      <c r="S1173" s="39"/>
      <c r="T1173" s="39"/>
      <c r="U1173" s="39"/>
    </row>
    <row r="1174">
      <c r="A1174" s="40">
        <f t="shared" si="1"/>
        <v>46006</v>
      </c>
      <c r="B1174" s="37" t="str">
        <f t="array" ref="B1174">iferror(xlookup($I1174, 'IMPORT VHC Report'!$E:$E, 'IMPORT VHC Report'!$A:$C), )</f>
        <v/>
      </c>
      <c r="C1174" s="37"/>
      <c r="D1174" s="37"/>
      <c r="E1174" s="38" t="s">
        <v>1499</v>
      </c>
      <c r="F1174" s="38" t="s">
        <v>1500</v>
      </c>
      <c r="G1174" s="38">
        <v>1.1401981374607E13</v>
      </c>
      <c r="H1174" s="38" t="s">
        <v>1501</v>
      </c>
      <c r="I1174" s="38" t="s">
        <v>1502</v>
      </c>
      <c r="J1174" s="38" t="s">
        <v>196</v>
      </c>
      <c r="K1174" s="38" t="s">
        <v>63</v>
      </c>
      <c r="L1174" s="41">
        <v>46006.0</v>
      </c>
      <c r="M1174" s="38" t="s">
        <v>123</v>
      </c>
      <c r="N1174" s="41">
        <v>46006.291666666664</v>
      </c>
      <c r="O1174" s="38" t="s">
        <v>123</v>
      </c>
      <c r="P1174" s="38">
        <v>25200.0</v>
      </c>
      <c r="Q1174" s="39"/>
      <c r="R1174" s="39"/>
      <c r="S1174" s="39"/>
      <c r="T1174" s="39"/>
      <c r="U1174" s="39"/>
    </row>
    <row r="1175">
      <c r="A1175" s="40">
        <f t="shared" si="1"/>
        <v>46006</v>
      </c>
      <c r="B1175" s="37" t="str">
        <f t="array" ref="B1175">iferror(xlookup($I1175, 'IMPORT VHC Report'!$E:$E, 'IMPORT VHC Report'!$A:$C), )</f>
        <v/>
      </c>
      <c r="C1175" s="37"/>
      <c r="D1175" s="37"/>
      <c r="E1175" s="38" t="s">
        <v>1503</v>
      </c>
      <c r="F1175" s="38" t="s">
        <v>1500</v>
      </c>
      <c r="G1175" s="38">
        <v>1.1401981374607E13</v>
      </c>
      <c r="H1175" s="38" t="s">
        <v>1501</v>
      </c>
      <c r="I1175" s="38" t="s">
        <v>1502</v>
      </c>
      <c r="J1175" s="38" t="s">
        <v>134</v>
      </c>
      <c r="K1175" s="38" t="s">
        <v>126</v>
      </c>
      <c r="L1175" s="41">
        <v>46006.052083333336</v>
      </c>
      <c r="M1175" s="38" t="s">
        <v>123</v>
      </c>
      <c r="N1175" s="41">
        <v>46006.072916666664</v>
      </c>
      <c r="O1175" s="38" t="s">
        <v>123</v>
      </c>
      <c r="P1175" s="38">
        <v>1800.0</v>
      </c>
      <c r="Q1175" s="39"/>
      <c r="R1175" s="39"/>
      <c r="S1175" s="39"/>
      <c r="T1175" s="39"/>
      <c r="U1175" s="39"/>
    </row>
    <row r="1176">
      <c r="A1176" s="40">
        <f t="shared" si="1"/>
        <v>46006</v>
      </c>
      <c r="B1176" s="37" t="str">
        <f t="array" ref="B1176">iferror(xlookup($I1176, 'IMPORT VHC Report'!$E:$E, 'IMPORT VHC Report'!$A:$C), )</f>
        <v/>
      </c>
      <c r="C1176" s="37"/>
      <c r="D1176" s="37"/>
      <c r="E1176" s="38" t="s">
        <v>1504</v>
      </c>
      <c r="F1176" s="38" t="s">
        <v>1500</v>
      </c>
      <c r="G1176" s="38">
        <v>1.1401981374607E13</v>
      </c>
      <c r="H1176" s="38" t="s">
        <v>1501</v>
      </c>
      <c r="I1176" s="38" t="s">
        <v>1502</v>
      </c>
      <c r="J1176" s="38" t="s">
        <v>132</v>
      </c>
      <c r="K1176" s="38" t="s">
        <v>126</v>
      </c>
      <c r="L1176" s="41">
        <v>46006.1875</v>
      </c>
      <c r="M1176" s="38" t="s">
        <v>123</v>
      </c>
      <c r="N1176" s="41">
        <v>46006.229166666664</v>
      </c>
      <c r="O1176" s="38" t="s">
        <v>123</v>
      </c>
      <c r="P1176" s="38">
        <v>3600.0</v>
      </c>
      <c r="Q1176" s="39"/>
      <c r="R1176" s="39"/>
      <c r="S1176" s="39"/>
      <c r="T1176" s="39"/>
      <c r="U1176" s="39"/>
    </row>
    <row r="1177">
      <c r="A1177" s="40">
        <f t="shared" si="1"/>
        <v>46006</v>
      </c>
      <c r="B1177" s="37" t="str">
        <f t="array" ref="B1177">iferror(xlookup($I1177, 'IMPORT VHC Report'!$E:$E, 'IMPORT VHC Report'!$A:$C), )</f>
        <v/>
      </c>
      <c r="C1177" s="37"/>
      <c r="D1177" s="37"/>
      <c r="E1177" s="38" t="s">
        <v>1505</v>
      </c>
      <c r="F1177" s="38" t="s">
        <v>1500</v>
      </c>
      <c r="G1177" s="38">
        <v>1.1401981374607E13</v>
      </c>
      <c r="H1177" s="38" t="s">
        <v>1501</v>
      </c>
      <c r="I1177" s="38" t="s">
        <v>1502</v>
      </c>
      <c r="J1177" s="38" t="s">
        <v>125</v>
      </c>
      <c r="K1177" s="38" t="s">
        <v>126</v>
      </c>
      <c r="L1177" s="41">
        <v>46006.916666666664</v>
      </c>
      <c r="M1177" s="38" t="s">
        <v>123</v>
      </c>
      <c r="N1177" s="41">
        <v>46006.927083333336</v>
      </c>
      <c r="O1177" s="38" t="s">
        <v>123</v>
      </c>
      <c r="P1177" s="38">
        <v>900.0</v>
      </c>
      <c r="Q1177" s="39"/>
      <c r="R1177" s="39"/>
      <c r="S1177" s="38" t="s">
        <v>199</v>
      </c>
      <c r="T1177" s="39"/>
      <c r="U1177" s="39"/>
    </row>
    <row r="1178">
      <c r="A1178" s="40">
        <f t="shared" si="1"/>
        <v>46006</v>
      </c>
      <c r="B1178" s="37" t="str">
        <f t="array" ref="B1178">iferror(xlookup($I1178, 'IMPORT VHC Report'!$E:$E, 'IMPORT VHC Report'!$A:$C), )</f>
        <v/>
      </c>
      <c r="C1178" s="37"/>
      <c r="D1178" s="37"/>
      <c r="E1178" s="38" t="s">
        <v>1506</v>
      </c>
      <c r="F1178" s="38" t="s">
        <v>1500</v>
      </c>
      <c r="G1178" s="38">
        <v>1.1401981374607E13</v>
      </c>
      <c r="H1178" s="38" t="s">
        <v>1501</v>
      </c>
      <c r="I1178" s="38" t="s">
        <v>1502</v>
      </c>
      <c r="J1178" s="38" t="s">
        <v>196</v>
      </c>
      <c r="K1178" s="38" t="s">
        <v>63</v>
      </c>
      <c r="L1178" s="41">
        <v>46006.916666666664</v>
      </c>
      <c r="M1178" s="38" t="s">
        <v>123</v>
      </c>
      <c r="N1178" s="41">
        <v>46007.291666666664</v>
      </c>
      <c r="O1178" s="38" t="s">
        <v>123</v>
      </c>
      <c r="P1178" s="38">
        <v>32400.0</v>
      </c>
      <c r="Q1178" s="39"/>
      <c r="R1178" s="39"/>
      <c r="S1178" s="39"/>
      <c r="T1178" s="39"/>
      <c r="U1178" s="39"/>
    </row>
    <row r="1179">
      <c r="A1179" s="40">
        <f t="shared" si="1"/>
        <v>46006</v>
      </c>
      <c r="B1179" s="37" t="str">
        <f t="array" ref="B1179">iferror(xlookup($I1179, 'IMPORT VHC Report'!$E:$E, 'IMPORT VHC Report'!$A:$C), )</f>
        <v/>
      </c>
      <c r="C1179" s="37"/>
      <c r="D1179" s="37"/>
      <c r="E1179" s="38" t="s">
        <v>1507</v>
      </c>
      <c r="F1179" s="38" t="s">
        <v>1500</v>
      </c>
      <c r="G1179" s="38">
        <v>1.1401981374607E13</v>
      </c>
      <c r="H1179" s="38" t="s">
        <v>1501</v>
      </c>
      <c r="I1179" s="38" t="s">
        <v>1502</v>
      </c>
      <c r="J1179" s="38" t="s">
        <v>134</v>
      </c>
      <c r="K1179" s="38" t="s">
        <v>126</v>
      </c>
      <c r="L1179" s="41">
        <v>46007.041666666664</v>
      </c>
      <c r="M1179" s="38" t="s">
        <v>123</v>
      </c>
      <c r="N1179" s="41">
        <v>46007.0625</v>
      </c>
      <c r="O1179" s="38" t="s">
        <v>123</v>
      </c>
      <c r="P1179" s="38">
        <v>1800.0</v>
      </c>
      <c r="Q1179" s="39"/>
      <c r="R1179" s="39"/>
      <c r="S1179" s="39"/>
      <c r="T1179" s="39"/>
      <c r="U1179" s="39"/>
    </row>
    <row r="1180">
      <c r="A1180" s="40">
        <f t="shared" si="1"/>
        <v>46006</v>
      </c>
      <c r="B1180" s="37" t="str">
        <f t="array" ref="B1180">iferror(xlookup($I1180, 'IMPORT VHC Report'!$E:$E, 'IMPORT VHC Report'!$A:$C), )</f>
        <v/>
      </c>
      <c r="C1180" s="37"/>
      <c r="D1180" s="37"/>
      <c r="E1180" s="38" t="s">
        <v>1508</v>
      </c>
      <c r="F1180" s="38" t="s">
        <v>1500</v>
      </c>
      <c r="G1180" s="38">
        <v>1.1401981374607E13</v>
      </c>
      <c r="H1180" s="38" t="s">
        <v>1501</v>
      </c>
      <c r="I1180" s="38" t="s">
        <v>1502</v>
      </c>
      <c r="J1180" s="38" t="s">
        <v>132</v>
      </c>
      <c r="K1180" s="38" t="s">
        <v>126</v>
      </c>
      <c r="L1180" s="41">
        <v>46007.15625</v>
      </c>
      <c r="M1180" s="38" t="s">
        <v>123</v>
      </c>
      <c r="N1180" s="41">
        <v>46007.197916666664</v>
      </c>
      <c r="O1180" s="38" t="s">
        <v>123</v>
      </c>
      <c r="P1180" s="38">
        <v>3600.0</v>
      </c>
      <c r="Q1180" s="39"/>
      <c r="R1180" s="39"/>
      <c r="S1180" s="39"/>
      <c r="T1180" s="39"/>
      <c r="U1180" s="39"/>
    </row>
    <row r="1181">
      <c r="A1181" s="40">
        <f t="shared" si="1"/>
        <v>46006</v>
      </c>
      <c r="B1181" s="37" t="str">
        <f t="array" ref="B1181">iferror(xlookup($I1181, 'IMPORT VHC Report'!$E:$E, 'IMPORT VHC Report'!$A:$C), )</f>
        <v/>
      </c>
      <c r="C1181" s="37"/>
      <c r="D1181" s="37"/>
      <c r="E1181" s="38" t="s">
        <v>1509</v>
      </c>
      <c r="F1181" s="38" t="s">
        <v>1500</v>
      </c>
      <c r="G1181" s="38">
        <v>1.1401981374607E13</v>
      </c>
      <c r="H1181" s="38" t="s">
        <v>1501</v>
      </c>
      <c r="I1181" s="38" t="s">
        <v>1502</v>
      </c>
      <c r="J1181" s="38" t="s">
        <v>125</v>
      </c>
      <c r="K1181" s="38" t="s">
        <v>126</v>
      </c>
      <c r="L1181" s="41">
        <v>46007.916666666664</v>
      </c>
      <c r="M1181" s="38" t="s">
        <v>123</v>
      </c>
      <c r="N1181" s="41">
        <v>46007.927083333336</v>
      </c>
      <c r="O1181" s="38" t="s">
        <v>123</v>
      </c>
      <c r="P1181" s="38">
        <v>900.0</v>
      </c>
      <c r="Q1181" s="39"/>
      <c r="R1181" s="39"/>
      <c r="S1181" s="38" t="s">
        <v>199</v>
      </c>
      <c r="T1181" s="39"/>
      <c r="U1181" s="39"/>
    </row>
    <row r="1182">
      <c r="A1182" s="40">
        <f t="shared" si="1"/>
        <v>46006</v>
      </c>
      <c r="B1182" s="37" t="str">
        <f t="array" ref="B1182">iferror(xlookup($I1182, 'IMPORT VHC Report'!$E:$E, 'IMPORT VHC Report'!$A:$C), )</f>
        <v/>
      </c>
      <c r="C1182" s="37"/>
      <c r="D1182" s="37"/>
      <c r="E1182" s="38" t="s">
        <v>1510</v>
      </c>
      <c r="F1182" s="38" t="s">
        <v>1500</v>
      </c>
      <c r="G1182" s="38">
        <v>1.1401981374607E13</v>
      </c>
      <c r="H1182" s="38" t="s">
        <v>1501</v>
      </c>
      <c r="I1182" s="38" t="s">
        <v>1502</v>
      </c>
      <c r="J1182" s="38" t="s">
        <v>196</v>
      </c>
      <c r="K1182" s="38" t="s">
        <v>63</v>
      </c>
      <c r="L1182" s="41">
        <v>46007.916666666664</v>
      </c>
      <c r="M1182" s="38" t="s">
        <v>123</v>
      </c>
      <c r="N1182" s="41">
        <v>46007.979166666664</v>
      </c>
      <c r="O1182" s="38" t="s">
        <v>123</v>
      </c>
      <c r="P1182" s="38">
        <v>5400.0</v>
      </c>
      <c r="Q1182" s="39"/>
      <c r="R1182" s="39"/>
      <c r="S1182" s="39"/>
      <c r="T1182" s="39"/>
      <c r="U1182" s="39"/>
    </row>
    <row r="1183">
      <c r="A1183" s="40">
        <f t="shared" si="1"/>
        <v>46006</v>
      </c>
      <c r="B1183" s="37" t="str">
        <f t="array" ref="B1183">iferror(xlookup($I1183, 'IMPORT VHC Report'!$E:$E, 'IMPORT VHC Report'!$A:$C), )</f>
        <v/>
      </c>
      <c r="C1183" s="37"/>
      <c r="D1183" s="37"/>
      <c r="E1183" s="38" t="s">
        <v>1511</v>
      </c>
      <c r="F1183" s="38" t="s">
        <v>1500</v>
      </c>
      <c r="G1183" s="38">
        <v>1.1401981374607E13</v>
      </c>
      <c r="H1183" s="38" t="s">
        <v>1501</v>
      </c>
      <c r="I1183" s="38" t="s">
        <v>1502</v>
      </c>
      <c r="J1183" s="38" t="s">
        <v>4</v>
      </c>
      <c r="K1183" s="38" t="s">
        <v>126</v>
      </c>
      <c r="L1183" s="41">
        <v>46007.958333333336</v>
      </c>
      <c r="M1183" s="38" t="s">
        <v>123</v>
      </c>
      <c r="N1183" s="41">
        <v>46008.0</v>
      </c>
      <c r="O1183" s="38" t="s">
        <v>123</v>
      </c>
      <c r="P1183" s="38">
        <v>3600.0</v>
      </c>
      <c r="Q1183" s="39"/>
      <c r="R1183" s="39"/>
      <c r="S1183" s="38" t="s">
        <v>858</v>
      </c>
      <c r="T1183" s="39"/>
      <c r="U1183" s="39"/>
    </row>
    <row r="1184">
      <c r="A1184" s="40">
        <f t="shared" si="1"/>
        <v>46006</v>
      </c>
      <c r="B1184" s="37" t="str">
        <f t="array" ref="B1184">iferror(xlookup($I1184, 'IMPORT VHC Report'!$E:$E, 'IMPORT VHC Report'!$A:$C), )</f>
        <v/>
      </c>
      <c r="C1184" s="37"/>
      <c r="D1184" s="37"/>
      <c r="E1184" s="38" t="s">
        <v>1512</v>
      </c>
      <c r="F1184" s="38" t="s">
        <v>1500</v>
      </c>
      <c r="G1184" s="38">
        <v>1.1401981374607E13</v>
      </c>
      <c r="H1184" s="38" t="s">
        <v>1501</v>
      </c>
      <c r="I1184" s="38" t="s">
        <v>1502</v>
      </c>
      <c r="J1184" s="38" t="s">
        <v>62</v>
      </c>
      <c r="K1184" s="38" t="s">
        <v>63</v>
      </c>
      <c r="L1184" s="41">
        <v>46007.979166666664</v>
      </c>
      <c r="M1184" s="38" t="s">
        <v>123</v>
      </c>
      <c r="N1184" s="41">
        <v>46008.0</v>
      </c>
      <c r="O1184" s="38" t="s">
        <v>123</v>
      </c>
      <c r="P1184" s="38">
        <v>1800.0</v>
      </c>
      <c r="Q1184" s="39"/>
      <c r="R1184" s="39"/>
      <c r="S1184" s="39"/>
      <c r="T1184" s="39"/>
      <c r="U1184" s="39"/>
    </row>
    <row r="1185">
      <c r="A1185" s="40">
        <f t="shared" si="1"/>
        <v>46006</v>
      </c>
      <c r="B1185" s="37" t="str">
        <f t="array" ref="B1185">iferror(xlookup($I1185, 'IMPORT VHC Report'!$E:$E, 'IMPORT VHC Report'!$A:$C), )</f>
        <v/>
      </c>
      <c r="C1185" s="37"/>
      <c r="D1185" s="37"/>
      <c r="E1185" s="38" t="s">
        <v>1513</v>
      </c>
      <c r="F1185" s="38" t="s">
        <v>1500</v>
      </c>
      <c r="G1185" s="38">
        <v>1.1401981374607E13</v>
      </c>
      <c r="H1185" s="38" t="s">
        <v>1501</v>
      </c>
      <c r="I1185" s="38" t="s">
        <v>1502</v>
      </c>
      <c r="J1185" s="38" t="s">
        <v>196</v>
      </c>
      <c r="K1185" s="38" t="s">
        <v>63</v>
      </c>
      <c r="L1185" s="41">
        <v>46008.0</v>
      </c>
      <c r="M1185" s="38" t="s">
        <v>123</v>
      </c>
      <c r="N1185" s="41">
        <v>46008.291666666664</v>
      </c>
      <c r="O1185" s="38" t="s">
        <v>123</v>
      </c>
      <c r="P1185" s="38">
        <v>25200.0</v>
      </c>
      <c r="Q1185" s="39"/>
      <c r="R1185" s="39"/>
      <c r="S1185" s="39"/>
      <c r="T1185" s="39"/>
      <c r="U1185" s="39"/>
    </row>
    <row r="1186">
      <c r="A1186" s="40">
        <f t="shared" si="1"/>
        <v>46006</v>
      </c>
      <c r="B1186" s="37" t="str">
        <f t="array" ref="B1186">iferror(xlookup($I1186, 'IMPORT VHC Report'!$E:$E, 'IMPORT VHC Report'!$A:$C), )</f>
        <v/>
      </c>
      <c r="C1186" s="37"/>
      <c r="D1186" s="37"/>
      <c r="E1186" s="38" t="s">
        <v>1514</v>
      </c>
      <c r="F1186" s="38" t="s">
        <v>1500</v>
      </c>
      <c r="G1186" s="38">
        <v>1.1401981374607E13</v>
      </c>
      <c r="H1186" s="38" t="s">
        <v>1501</v>
      </c>
      <c r="I1186" s="38" t="s">
        <v>1502</v>
      </c>
      <c r="J1186" s="38" t="s">
        <v>134</v>
      </c>
      <c r="K1186" s="38" t="s">
        <v>126</v>
      </c>
      <c r="L1186" s="41">
        <v>46008.020833333336</v>
      </c>
      <c r="M1186" s="38" t="s">
        <v>123</v>
      </c>
      <c r="N1186" s="41">
        <v>46008.041666666664</v>
      </c>
      <c r="O1186" s="38" t="s">
        <v>123</v>
      </c>
      <c r="P1186" s="38">
        <v>1800.0</v>
      </c>
      <c r="Q1186" s="39"/>
      <c r="R1186" s="39"/>
      <c r="S1186" s="39"/>
      <c r="T1186" s="39"/>
      <c r="U1186" s="39"/>
    </row>
    <row r="1187">
      <c r="A1187" s="40">
        <f t="shared" si="1"/>
        <v>46006</v>
      </c>
      <c r="B1187" s="37" t="str">
        <f t="array" ref="B1187">iferror(xlookup($I1187, 'IMPORT VHC Report'!$E:$E, 'IMPORT VHC Report'!$A:$C), )</f>
        <v/>
      </c>
      <c r="C1187" s="37"/>
      <c r="D1187" s="37"/>
      <c r="E1187" s="38" t="s">
        <v>1515</v>
      </c>
      <c r="F1187" s="38" t="s">
        <v>1500</v>
      </c>
      <c r="G1187" s="38">
        <v>1.1401981374607E13</v>
      </c>
      <c r="H1187" s="38" t="s">
        <v>1501</v>
      </c>
      <c r="I1187" s="38" t="s">
        <v>1502</v>
      </c>
      <c r="J1187" s="38" t="s">
        <v>132</v>
      </c>
      <c r="K1187" s="38" t="s">
        <v>126</v>
      </c>
      <c r="L1187" s="41">
        <v>46008.145833333336</v>
      </c>
      <c r="M1187" s="38" t="s">
        <v>123</v>
      </c>
      <c r="N1187" s="41">
        <v>46008.1875</v>
      </c>
      <c r="O1187" s="38" t="s">
        <v>123</v>
      </c>
      <c r="P1187" s="38">
        <v>3600.0</v>
      </c>
      <c r="Q1187" s="39"/>
      <c r="R1187" s="39"/>
      <c r="S1187" s="39"/>
      <c r="T1187" s="39"/>
      <c r="U1187" s="39"/>
    </row>
    <row r="1188">
      <c r="A1188" s="40">
        <f t="shared" si="1"/>
        <v>46006</v>
      </c>
      <c r="B1188" s="37" t="str">
        <f t="array" ref="B1188">iferror(xlookup($I1188, 'IMPORT VHC Report'!$E:$E, 'IMPORT VHC Report'!$A:$C), )</f>
        <v/>
      </c>
      <c r="C1188" s="37"/>
      <c r="D1188" s="37"/>
      <c r="E1188" s="38" t="s">
        <v>1516</v>
      </c>
      <c r="F1188" s="38" t="s">
        <v>1500</v>
      </c>
      <c r="G1188" s="38">
        <v>1.1401981374607E13</v>
      </c>
      <c r="H1188" s="38" t="s">
        <v>1501</v>
      </c>
      <c r="I1188" s="38" t="s">
        <v>1502</v>
      </c>
      <c r="J1188" s="38" t="s">
        <v>125</v>
      </c>
      <c r="K1188" s="38" t="s">
        <v>126</v>
      </c>
      <c r="L1188" s="41">
        <v>46010.916666666664</v>
      </c>
      <c r="M1188" s="38" t="s">
        <v>123</v>
      </c>
      <c r="N1188" s="41">
        <v>46010.927083333336</v>
      </c>
      <c r="O1188" s="38" t="s">
        <v>123</v>
      </c>
      <c r="P1188" s="38">
        <v>900.0</v>
      </c>
      <c r="Q1188" s="39"/>
      <c r="R1188" s="39"/>
      <c r="S1188" s="38" t="s">
        <v>199</v>
      </c>
      <c r="T1188" s="39"/>
      <c r="U1188" s="39"/>
    </row>
    <row r="1189">
      <c r="A1189" s="40">
        <f t="shared" si="1"/>
        <v>46006</v>
      </c>
      <c r="B1189" s="37" t="str">
        <f t="array" ref="B1189">iferror(xlookup($I1189, 'IMPORT VHC Report'!$E:$E, 'IMPORT VHC Report'!$A:$C), )</f>
        <v/>
      </c>
      <c r="C1189" s="37"/>
      <c r="D1189" s="37"/>
      <c r="E1189" s="38" t="s">
        <v>1517</v>
      </c>
      <c r="F1189" s="38" t="s">
        <v>1500</v>
      </c>
      <c r="G1189" s="38">
        <v>1.1401981374607E13</v>
      </c>
      <c r="H1189" s="38" t="s">
        <v>1501</v>
      </c>
      <c r="I1189" s="38" t="s">
        <v>1502</v>
      </c>
      <c r="J1189" s="38" t="s">
        <v>196</v>
      </c>
      <c r="K1189" s="38" t="s">
        <v>63</v>
      </c>
      <c r="L1189" s="41">
        <v>46010.916666666664</v>
      </c>
      <c r="M1189" s="38" t="s">
        <v>123</v>
      </c>
      <c r="N1189" s="41">
        <v>46011.291666666664</v>
      </c>
      <c r="O1189" s="38" t="s">
        <v>123</v>
      </c>
      <c r="P1189" s="38">
        <v>32400.0</v>
      </c>
      <c r="Q1189" s="39"/>
      <c r="R1189" s="39"/>
      <c r="S1189" s="39"/>
      <c r="T1189" s="39"/>
      <c r="U1189" s="39"/>
    </row>
    <row r="1190">
      <c r="A1190" s="40">
        <f t="shared" si="1"/>
        <v>46006</v>
      </c>
      <c r="B1190" s="37" t="str">
        <f t="array" ref="B1190">iferror(xlookup($I1190, 'IMPORT VHC Report'!$E:$E, 'IMPORT VHC Report'!$A:$C), )</f>
        <v/>
      </c>
      <c r="C1190" s="37"/>
      <c r="D1190" s="37"/>
      <c r="E1190" s="38" t="s">
        <v>1518</v>
      </c>
      <c r="F1190" s="38" t="s">
        <v>1500</v>
      </c>
      <c r="G1190" s="38">
        <v>1.1401981374607E13</v>
      </c>
      <c r="H1190" s="38" t="s">
        <v>1501</v>
      </c>
      <c r="I1190" s="38" t="s">
        <v>1502</v>
      </c>
      <c r="J1190" s="38" t="s">
        <v>132</v>
      </c>
      <c r="K1190" s="38" t="s">
        <v>126</v>
      </c>
      <c r="L1190" s="41">
        <v>46011.041666666664</v>
      </c>
      <c r="M1190" s="38" t="s">
        <v>123</v>
      </c>
      <c r="N1190" s="41">
        <v>46011.083333333336</v>
      </c>
      <c r="O1190" s="38" t="s">
        <v>123</v>
      </c>
      <c r="P1190" s="38">
        <v>3600.0</v>
      </c>
      <c r="Q1190" s="39"/>
      <c r="R1190" s="39"/>
      <c r="S1190" s="39"/>
      <c r="T1190" s="39"/>
      <c r="U1190" s="39"/>
    </row>
    <row r="1191">
      <c r="A1191" s="40">
        <f t="shared" si="1"/>
        <v>46006</v>
      </c>
      <c r="B1191" s="37" t="str">
        <f t="array" ref="B1191">iferror(xlookup($I1191, 'IMPORT VHC Report'!$E:$E, 'IMPORT VHC Report'!$A:$C), )</f>
        <v/>
      </c>
      <c r="C1191" s="37"/>
      <c r="D1191" s="37"/>
      <c r="E1191" s="38" t="s">
        <v>1519</v>
      </c>
      <c r="F1191" s="38" t="s">
        <v>1500</v>
      </c>
      <c r="G1191" s="38">
        <v>1.1401981374607E13</v>
      </c>
      <c r="H1191" s="38" t="s">
        <v>1501</v>
      </c>
      <c r="I1191" s="38" t="s">
        <v>1502</v>
      </c>
      <c r="J1191" s="38" t="s">
        <v>134</v>
      </c>
      <c r="K1191" s="38" t="s">
        <v>126</v>
      </c>
      <c r="L1191" s="41">
        <v>46011.1875</v>
      </c>
      <c r="M1191" s="38" t="s">
        <v>123</v>
      </c>
      <c r="N1191" s="41">
        <v>46011.208333333336</v>
      </c>
      <c r="O1191" s="38" t="s">
        <v>123</v>
      </c>
      <c r="P1191" s="38">
        <v>1800.0</v>
      </c>
      <c r="Q1191" s="39"/>
      <c r="R1191" s="39"/>
      <c r="S1191" s="39"/>
      <c r="T1191" s="39"/>
      <c r="U1191" s="39"/>
    </row>
    <row r="1192">
      <c r="A1192" s="40">
        <f t="shared" si="1"/>
        <v>46006</v>
      </c>
      <c r="B1192" s="37" t="str">
        <f t="array" ref="B1192">iferror(xlookup($I1192, 'IMPORT VHC Report'!$E:$E, 'IMPORT VHC Report'!$A:$C), )</f>
        <v/>
      </c>
      <c r="C1192" s="37"/>
      <c r="D1192" s="37"/>
      <c r="E1192" s="38" t="s">
        <v>1520</v>
      </c>
      <c r="F1192" s="38" t="s">
        <v>1500</v>
      </c>
      <c r="G1192" s="38">
        <v>1.1401981374607E13</v>
      </c>
      <c r="H1192" s="38" t="s">
        <v>1501</v>
      </c>
      <c r="I1192" s="38" t="s">
        <v>1502</v>
      </c>
      <c r="J1192" s="38" t="s">
        <v>125</v>
      </c>
      <c r="K1192" s="38" t="s">
        <v>126</v>
      </c>
      <c r="L1192" s="41">
        <v>46011.916666666664</v>
      </c>
      <c r="M1192" s="38" t="s">
        <v>123</v>
      </c>
      <c r="N1192" s="41">
        <v>46011.927083333336</v>
      </c>
      <c r="O1192" s="38" t="s">
        <v>123</v>
      </c>
      <c r="P1192" s="38">
        <v>900.0</v>
      </c>
      <c r="Q1192" s="39"/>
      <c r="R1192" s="39"/>
      <c r="S1192" s="38" t="s">
        <v>199</v>
      </c>
      <c r="T1192" s="39"/>
      <c r="U1192" s="39"/>
    </row>
    <row r="1193">
      <c r="A1193" s="40">
        <f t="shared" si="1"/>
        <v>46006</v>
      </c>
      <c r="B1193" s="37" t="str">
        <f t="array" ref="B1193">iferror(xlookup($I1193, 'IMPORT VHC Report'!$E:$E, 'IMPORT VHC Report'!$A:$C), )</f>
        <v/>
      </c>
      <c r="C1193" s="37"/>
      <c r="D1193" s="37"/>
      <c r="E1193" s="38" t="s">
        <v>1521</v>
      </c>
      <c r="F1193" s="38" t="s">
        <v>1500</v>
      </c>
      <c r="G1193" s="38">
        <v>1.1401981374607E13</v>
      </c>
      <c r="H1193" s="38" t="s">
        <v>1501</v>
      </c>
      <c r="I1193" s="38" t="s">
        <v>1502</v>
      </c>
      <c r="J1193" s="38" t="s">
        <v>196</v>
      </c>
      <c r="K1193" s="38" t="s">
        <v>63</v>
      </c>
      <c r="L1193" s="41">
        <v>46011.916666666664</v>
      </c>
      <c r="M1193" s="38" t="s">
        <v>123</v>
      </c>
      <c r="N1193" s="41">
        <v>46012.291666666664</v>
      </c>
      <c r="O1193" s="38" t="s">
        <v>123</v>
      </c>
      <c r="P1193" s="38">
        <v>32400.0</v>
      </c>
      <c r="Q1193" s="39"/>
      <c r="R1193" s="39"/>
      <c r="S1193" s="39"/>
      <c r="T1193" s="39"/>
      <c r="U1193" s="39"/>
    </row>
    <row r="1194">
      <c r="A1194" s="40">
        <f t="shared" si="1"/>
        <v>46006</v>
      </c>
      <c r="B1194" s="37" t="str">
        <f t="array" ref="B1194">iferror(xlookup($I1194, 'IMPORT VHC Report'!$E:$E, 'IMPORT VHC Report'!$A:$C), )</f>
        <v/>
      </c>
      <c r="C1194" s="37"/>
      <c r="D1194" s="37"/>
      <c r="E1194" s="38" t="s">
        <v>1522</v>
      </c>
      <c r="F1194" s="38" t="s">
        <v>1500</v>
      </c>
      <c r="G1194" s="38">
        <v>1.1401981374607E13</v>
      </c>
      <c r="H1194" s="38" t="s">
        <v>1501</v>
      </c>
      <c r="I1194" s="38" t="s">
        <v>1502</v>
      </c>
      <c r="J1194" s="38" t="s">
        <v>134</v>
      </c>
      <c r="K1194" s="38" t="s">
        <v>126</v>
      </c>
      <c r="L1194" s="41">
        <v>46012.020833333336</v>
      </c>
      <c r="M1194" s="38" t="s">
        <v>123</v>
      </c>
      <c r="N1194" s="41">
        <v>46012.041666666664</v>
      </c>
      <c r="O1194" s="38" t="s">
        <v>123</v>
      </c>
      <c r="P1194" s="38">
        <v>1800.0</v>
      </c>
      <c r="Q1194" s="39"/>
      <c r="R1194" s="39"/>
      <c r="S1194" s="39"/>
      <c r="T1194" s="39"/>
      <c r="U1194" s="39"/>
    </row>
    <row r="1195">
      <c r="A1195" s="40">
        <f t="shared" si="1"/>
        <v>46006</v>
      </c>
      <c r="B1195" s="37" t="str">
        <f t="array" ref="B1195">iferror(xlookup($I1195, 'IMPORT VHC Report'!$E:$E, 'IMPORT VHC Report'!$A:$C), )</f>
        <v/>
      </c>
      <c r="C1195" s="37"/>
      <c r="D1195" s="37"/>
      <c r="E1195" s="38" t="s">
        <v>1523</v>
      </c>
      <c r="F1195" s="38" t="s">
        <v>1500</v>
      </c>
      <c r="G1195" s="38">
        <v>1.1401981374607E13</v>
      </c>
      <c r="H1195" s="38" t="s">
        <v>1501</v>
      </c>
      <c r="I1195" s="38" t="s">
        <v>1502</v>
      </c>
      <c r="J1195" s="38" t="s">
        <v>132</v>
      </c>
      <c r="K1195" s="38" t="s">
        <v>126</v>
      </c>
      <c r="L1195" s="41">
        <v>46012.166666666664</v>
      </c>
      <c r="M1195" s="38" t="s">
        <v>123</v>
      </c>
      <c r="N1195" s="41">
        <v>46012.208333333336</v>
      </c>
      <c r="O1195" s="38" t="s">
        <v>123</v>
      </c>
      <c r="P1195" s="38">
        <v>3600.0</v>
      </c>
      <c r="Q1195" s="39"/>
      <c r="R1195" s="39"/>
      <c r="S1195" s="39"/>
      <c r="T1195" s="39"/>
      <c r="U1195" s="39"/>
    </row>
    <row r="1196">
      <c r="A1196" s="40">
        <f t="shared" si="1"/>
        <v>46006</v>
      </c>
      <c r="B1196" s="37" t="str">
        <f t="array" ref="B1196">iferror(xlookup($I1196, 'IMPORT VHC Report'!$E:$E, 'IMPORT VHC Report'!$A:$C), )</f>
        <v/>
      </c>
      <c r="C1196" s="37"/>
      <c r="D1196" s="37"/>
      <c r="E1196" s="38" t="s">
        <v>1524</v>
      </c>
      <c r="F1196" s="38" t="s">
        <v>1500</v>
      </c>
      <c r="G1196" s="38">
        <v>1.1401981374607E13</v>
      </c>
      <c r="H1196" s="38" t="s">
        <v>1501</v>
      </c>
      <c r="I1196" s="38" t="s">
        <v>1502</v>
      </c>
      <c r="J1196" s="38" t="s">
        <v>125</v>
      </c>
      <c r="K1196" s="38" t="s">
        <v>126</v>
      </c>
      <c r="L1196" s="41">
        <v>46012.916666666664</v>
      </c>
      <c r="M1196" s="38" t="s">
        <v>123</v>
      </c>
      <c r="N1196" s="41">
        <v>46012.927083333336</v>
      </c>
      <c r="O1196" s="38" t="s">
        <v>123</v>
      </c>
      <c r="P1196" s="38">
        <v>900.0</v>
      </c>
      <c r="Q1196" s="39"/>
      <c r="R1196" s="39"/>
      <c r="S1196" s="38" t="s">
        <v>199</v>
      </c>
      <c r="T1196" s="39"/>
      <c r="U1196" s="39"/>
    </row>
    <row r="1197">
      <c r="A1197" s="40">
        <f t="shared" si="1"/>
        <v>46006</v>
      </c>
      <c r="B1197" s="37" t="str">
        <f t="array" ref="B1197">iferror(xlookup($I1197, 'IMPORT VHC Report'!$E:$E, 'IMPORT VHC Report'!$A:$C), )</f>
        <v/>
      </c>
      <c r="C1197" s="37"/>
      <c r="D1197" s="37"/>
      <c r="E1197" s="38" t="s">
        <v>1525</v>
      </c>
      <c r="F1197" s="38" t="s">
        <v>1500</v>
      </c>
      <c r="G1197" s="38">
        <v>1.1401981374607E13</v>
      </c>
      <c r="H1197" s="38" t="s">
        <v>1501</v>
      </c>
      <c r="I1197" s="38" t="s">
        <v>1502</v>
      </c>
      <c r="J1197" s="38" t="s">
        <v>196</v>
      </c>
      <c r="K1197" s="38" t="s">
        <v>63</v>
      </c>
      <c r="L1197" s="41">
        <v>46012.916666666664</v>
      </c>
      <c r="M1197" s="38" t="s">
        <v>123</v>
      </c>
      <c r="N1197" s="41">
        <v>46013.0</v>
      </c>
      <c r="O1197" s="38" t="s">
        <v>123</v>
      </c>
      <c r="P1197" s="38">
        <v>7200.0</v>
      </c>
      <c r="Q1197" s="39"/>
      <c r="R1197" s="39"/>
      <c r="S1197" s="39"/>
      <c r="T1197" s="39"/>
      <c r="U1197" s="39"/>
    </row>
    <row r="1198">
      <c r="A1198" s="40">
        <f t="shared" si="1"/>
        <v>46006</v>
      </c>
      <c r="B1198" s="37" t="str">
        <f t="array" ref="B1198">iferror(xlookup($I1198, 'IMPORT VHC Report'!$E:$E, 'IMPORT VHC Report'!$A:$C), )</f>
        <v/>
      </c>
      <c r="C1198" s="37"/>
      <c r="D1198" s="37"/>
      <c r="E1198" s="38" t="s">
        <v>1526</v>
      </c>
      <c r="F1198" s="38" t="s">
        <v>1500</v>
      </c>
      <c r="G1198" s="38">
        <v>1.1401981374607E13</v>
      </c>
      <c r="H1198" s="38" t="s">
        <v>1501</v>
      </c>
      <c r="I1198" s="38" t="s">
        <v>1502</v>
      </c>
      <c r="J1198" s="38" t="s">
        <v>178</v>
      </c>
      <c r="K1198" s="38" t="s">
        <v>153</v>
      </c>
      <c r="L1198" s="41">
        <v>46012.916666666664</v>
      </c>
      <c r="M1198" s="38" t="s">
        <v>123</v>
      </c>
      <c r="N1198" s="41">
        <v>46013.291666666664</v>
      </c>
      <c r="O1198" s="38" t="s">
        <v>123</v>
      </c>
      <c r="P1198" s="38">
        <v>32400.0</v>
      </c>
      <c r="Q1198" s="38">
        <v>32400.0</v>
      </c>
      <c r="R1198" s="39"/>
      <c r="S1198" s="39"/>
      <c r="T1198" s="39"/>
      <c r="U1198" s="39"/>
    </row>
    <row r="1199">
      <c r="A1199" s="40">
        <f t="shared" si="1"/>
        <v>46006</v>
      </c>
      <c r="B1199" s="37" t="str">
        <f t="array" ref="B1199">iferror(xlookup($I1199, 'IMPORT VHC Report'!$E:$E, 'IMPORT VHC Report'!$A:$C), )</f>
        <v/>
      </c>
      <c r="C1199" s="37"/>
      <c r="D1199" s="37"/>
      <c r="E1199" s="38" t="s">
        <v>1527</v>
      </c>
      <c r="F1199" s="38" t="s">
        <v>1528</v>
      </c>
      <c r="G1199" s="39"/>
      <c r="H1199" s="38" t="s">
        <v>1529</v>
      </c>
      <c r="I1199" s="38" t="s">
        <v>1530</v>
      </c>
      <c r="J1199" s="38" t="s">
        <v>122</v>
      </c>
      <c r="K1199" s="38" t="s">
        <v>63</v>
      </c>
      <c r="L1199" s="41">
        <v>46006.0</v>
      </c>
      <c r="M1199" s="38" t="s">
        <v>123</v>
      </c>
      <c r="N1199" s="41">
        <v>46006.041666666664</v>
      </c>
      <c r="O1199" s="38" t="s">
        <v>123</v>
      </c>
      <c r="P1199" s="38">
        <v>3600.0</v>
      </c>
      <c r="Q1199" s="39"/>
      <c r="R1199" s="39"/>
      <c r="S1199" s="39"/>
      <c r="T1199" s="39"/>
      <c r="U1199" s="39"/>
    </row>
    <row r="1200">
      <c r="A1200" s="40">
        <f t="shared" si="1"/>
        <v>46006</v>
      </c>
      <c r="B1200" s="37" t="str">
        <f t="array" ref="B1200">iferror(xlookup($I1200, 'IMPORT VHC Report'!$E:$E, 'IMPORT VHC Report'!$A:$C), )</f>
        <v/>
      </c>
      <c r="C1200" s="37"/>
      <c r="D1200" s="37"/>
      <c r="E1200" s="38" t="s">
        <v>1531</v>
      </c>
      <c r="F1200" s="38" t="s">
        <v>1528</v>
      </c>
      <c r="G1200" s="39"/>
      <c r="H1200" s="38" t="s">
        <v>1529</v>
      </c>
      <c r="I1200" s="38" t="s">
        <v>1530</v>
      </c>
      <c r="J1200" s="38" t="s">
        <v>125</v>
      </c>
      <c r="K1200" s="38" t="s">
        <v>126</v>
      </c>
      <c r="L1200" s="41">
        <v>46006.666666666664</v>
      </c>
      <c r="M1200" s="38" t="s">
        <v>123</v>
      </c>
      <c r="N1200" s="41">
        <v>46006.67361111111</v>
      </c>
      <c r="O1200" s="38" t="s">
        <v>123</v>
      </c>
      <c r="P1200" s="38">
        <v>600.0</v>
      </c>
      <c r="Q1200" s="39"/>
      <c r="R1200" s="39"/>
      <c r="S1200" s="38" t="s">
        <v>127</v>
      </c>
      <c r="T1200" s="39"/>
      <c r="U1200" s="39"/>
    </row>
    <row r="1201">
      <c r="A1201" s="40">
        <f t="shared" si="1"/>
        <v>46006</v>
      </c>
      <c r="B1201" s="37" t="str">
        <f t="array" ref="B1201">iferror(xlookup($I1201, 'IMPORT VHC Report'!$E:$E, 'IMPORT VHC Report'!$A:$C), )</f>
        <v/>
      </c>
      <c r="C1201" s="37"/>
      <c r="D1201" s="37"/>
      <c r="E1201" s="38" t="s">
        <v>1532</v>
      </c>
      <c r="F1201" s="38" t="s">
        <v>1528</v>
      </c>
      <c r="G1201" s="39"/>
      <c r="H1201" s="38" t="s">
        <v>1529</v>
      </c>
      <c r="I1201" s="38" t="s">
        <v>1530</v>
      </c>
      <c r="J1201" s="38" t="s">
        <v>122</v>
      </c>
      <c r="K1201" s="38" t="s">
        <v>63</v>
      </c>
      <c r="L1201" s="41">
        <v>46006.666666666664</v>
      </c>
      <c r="M1201" s="38" t="s">
        <v>123</v>
      </c>
      <c r="N1201" s="41">
        <v>46007.041666666664</v>
      </c>
      <c r="O1201" s="38" t="s">
        <v>123</v>
      </c>
      <c r="P1201" s="38">
        <v>32400.0</v>
      </c>
      <c r="Q1201" s="39"/>
      <c r="R1201" s="39"/>
      <c r="S1201" s="39"/>
      <c r="T1201" s="39"/>
      <c r="U1201" s="39"/>
    </row>
    <row r="1202">
      <c r="A1202" s="40">
        <f t="shared" si="1"/>
        <v>46006</v>
      </c>
      <c r="B1202" s="37" t="str">
        <f t="array" ref="B1202">iferror(xlookup($I1202, 'IMPORT VHC Report'!$E:$E, 'IMPORT VHC Report'!$A:$C), )</f>
        <v/>
      </c>
      <c r="C1202" s="37"/>
      <c r="D1202" s="37"/>
      <c r="E1202" s="38" t="s">
        <v>1533</v>
      </c>
      <c r="F1202" s="38" t="s">
        <v>1528</v>
      </c>
      <c r="G1202" s="39"/>
      <c r="H1202" s="38" t="s">
        <v>1529</v>
      </c>
      <c r="I1202" s="38" t="s">
        <v>1530</v>
      </c>
      <c r="J1202" s="38" t="s">
        <v>134</v>
      </c>
      <c r="K1202" s="38" t="s">
        <v>126</v>
      </c>
      <c r="L1202" s="41">
        <v>46006.75</v>
      </c>
      <c r="M1202" s="38" t="s">
        <v>123</v>
      </c>
      <c r="N1202" s="41">
        <v>46006.770833333336</v>
      </c>
      <c r="O1202" s="38" t="s">
        <v>123</v>
      </c>
      <c r="P1202" s="38">
        <v>1800.0</v>
      </c>
      <c r="Q1202" s="39"/>
      <c r="R1202" s="39"/>
      <c r="S1202" s="39"/>
      <c r="T1202" s="39"/>
      <c r="U1202" s="39"/>
    </row>
    <row r="1203">
      <c r="A1203" s="40">
        <f t="shared" si="1"/>
        <v>46006</v>
      </c>
      <c r="B1203" s="37" t="str">
        <f t="array" ref="B1203">iferror(xlookup($I1203, 'IMPORT VHC Report'!$E:$E, 'IMPORT VHC Report'!$A:$C), )</f>
        <v/>
      </c>
      <c r="C1203" s="37"/>
      <c r="D1203" s="37"/>
      <c r="E1203" s="38" t="s">
        <v>1534</v>
      </c>
      <c r="F1203" s="38" t="s">
        <v>1528</v>
      </c>
      <c r="G1203" s="39"/>
      <c r="H1203" s="38" t="s">
        <v>1529</v>
      </c>
      <c r="I1203" s="38" t="s">
        <v>1530</v>
      </c>
      <c r="J1203" s="38" t="s">
        <v>132</v>
      </c>
      <c r="K1203" s="38" t="s">
        <v>126</v>
      </c>
      <c r="L1203" s="41">
        <v>46006.916666666664</v>
      </c>
      <c r="M1203" s="38" t="s">
        <v>123</v>
      </c>
      <c r="N1203" s="41">
        <v>46006.958333333336</v>
      </c>
      <c r="O1203" s="38" t="s">
        <v>123</v>
      </c>
      <c r="P1203" s="38">
        <v>3600.0</v>
      </c>
      <c r="Q1203" s="39"/>
      <c r="R1203" s="39"/>
      <c r="S1203" s="39"/>
      <c r="T1203" s="39"/>
      <c r="U1203" s="39"/>
    </row>
    <row r="1204">
      <c r="A1204" s="40">
        <f t="shared" si="1"/>
        <v>46006</v>
      </c>
      <c r="B1204" s="37" t="str">
        <f t="array" ref="B1204">iferror(xlookup($I1204, 'IMPORT VHC Report'!$E:$E, 'IMPORT VHC Report'!$A:$C), )</f>
        <v/>
      </c>
      <c r="C1204" s="37"/>
      <c r="D1204" s="37"/>
      <c r="E1204" s="38" t="s">
        <v>1535</v>
      </c>
      <c r="F1204" s="38" t="s">
        <v>1528</v>
      </c>
      <c r="G1204" s="39"/>
      <c r="H1204" s="38" t="s">
        <v>1529</v>
      </c>
      <c r="I1204" s="38" t="s">
        <v>1530</v>
      </c>
      <c r="J1204" s="38" t="s">
        <v>4</v>
      </c>
      <c r="K1204" s="38" t="s">
        <v>126</v>
      </c>
      <c r="L1204" s="41">
        <v>46006.958333333336</v>
      </c>
      <c r="M1204" s="38" t="s">
        <v>123</v>
      </c>
      <c r="N1204" s="41">
        <v>46007.0</v>
      </c>
      <c r="O1204" s="38" t="s">
        <v>123</v>
      </c>
      <c r="P1204" s="38">
        <v>3600.0</v>
      </c>
      <c r="Q1204" s="39"/>
      <c r="R1204" s="39"/>
      <c r="S1204" s="38" t="s">
        <v>130</v>
      </c>
      <c r="T1204" s="39"/>
      <c r="U1204" s="39"/>
    </row>
    <row r="1205">
      <c r="A1205" s="40">
        <f t="shared" si="1"/>
        <v>46006</v>
      </c>
      <c r="B1205" s="37" t="str">
        <f t="array" ref="B1205">iferror(xlookup($I1205, 'IMPORT VHC Report'!$E:$E, 'IMPORT VHC Report'!$A:$C), )</f>
        <v/>
      </c>
      <c r="C1205" s="37"/>
      <c r="D1205" s="37"/>
      <c r="E1205" s="38" t="s">
        <v>1536</v>
      </c>
      <c r="F1205" s="38" t="s">
        <v>1528</v>
      </c>
      <c r="G1205" s="39"/>
      <c r="H1205" s="38" t="s">
        <v>1529</v>
      </c>
      <c r="I1205" s="38" t="s">
        <v>1530</v>
      </c>
      <c r="J1205" s="38" t="s">
        <v>125</v>
      </c>
      <c r="K1205" s="38" t="s">
        <v>126</v>
      </c>
      <c r="L1205" s="41">
        <v>46007.666666666664</v>
      </c>
      <c r="M1205" s="38" t="s">
        <v>123</v>
      </c>
      <c r="N1205" s="41">
        <v>46007.67361111111</v>
      </c>
      <c r="O1205" s="38" t="s">
        <v>123</v>
      </c>
      <c r="P1205" s="38">
        <v>600.0</v>
      </c>
      <c r="Q1205" s="39"/>
      <c r="R1205" s="39"/>
      <c r="S1205" s="38" t="s">
        <v>127</v>
      </c>
      <c r="T1205" s="39"/>
      <c r="U1205" s="39"/>
    </row>
    <row r="1206">
      <c r="A1206" s="40">
        <f t="shared" si="1"/>
        <v>46006</v>
      </c>
      <c r="B1206" s="37" t="str">
        <f t="array" ref="B1206">iferror(xlookup($I1206, 'IMPORT VHC Report'!$E:$E, 'IMPORT VHC Report'!$A:$C), )</f>
        <v/>
      </c>
      <c r="C1206" s="37"/>
      <c r="D1206" s="37"/>
      <c r="E1206" s="38" t="s">
        <v>1537</v>
      </c>
      <c r="F1206" s="38" t="s">
        <v>1528</v>
      </c>
      <c r="G1206" s="39"/>
      <c r="H1206" s="38" t="s">
        <v>1529</v>
      </c>
      <c r="I1206" s="38" t="s">
        <v>1530</v>
      </c>
      <c r="J1206" s="38" t="s">
        <v>122</v>
      </c>
      <c r="K1206" s="38" t="s">
        <v>63</v>
      </c>
      <c r="L1206" s="41">
        <v>46007.666666666664</v>
      </c>
      <c r="M1206" s="38" t="s">
        <v>123</v>
      </c>
      <c r="N1206" s="41">
        <v>46008.041666666664</v>
      </c>
      <c r="O1206" s="38" t="s">
        <v>123</v>
      </c>
      <c r="P1206" s="38">
        <v>32400.0</v>
      </c>
      <c r="Q1206" s="39"/>
      <c r="R1206" s="39"/>
      <c r="S1206" s="39"/>
      <c r="T1206" s="39"/>
      <c r="U1206" s="39"/>
    </row>
    <row r="1207">
      <c r="A1207" s="40">
        <f t="shared" si="1"/>
        <v>46006</v>
      </c>
      <c r="B1207" s="37" t="str">
        <f t="array" ref="B1207">iferror(xlookup($I1207, 'IMPORT VHC Report'!$E:$E, 'IMPORT VHC Report'!$A:$C), )</f>
        <v/>
      </c>
      <c r="C1207" s="37"/>
      <c r="D1207" s="37"/>
      <c r="E1207" s="38" t="s">
        <v>1538</v>
      </c>
      <c r="F1207" s="38" t="s">
        <v>1528</v>
      </c>
      <c r="G1207" s="39"/>
      <c r="H1207" s="38" t="s">
        <v>1529</v>
      </c>
      <c r="I1207" s="38" t="s">
        <v>1530</v>
      </c>
      <c r="J1207" s="38" t="s">
        <v>134</v>
      </c>
      <c r="K1207" s="38" t="s">
        <v>126</v>
      </c>
      <c r="L1207" s="41">
        <v>46007.75</v>
      </c>
      <c r="M1207" s="38" t="s">
        <v>123</v>
      </c>
      <c r="N1207" s="41">
        <v>46007.770833333336</v>
      </c>
      <c r="O1207" s="38" t="s">
        <v>123</v>
      </c>
      <c r="P1207" s="38">
        <v>1800.0</v>
      </c>
      <c r="Q1207" s="39"/>
      <c r="R1207" s="39"/>
      <c r="S1207" s="39"/>
      <c r="T1207" s="39"/>
      <c r="U1207" s="39"/>
    </row>
    <row r="1208">
      <c r="A1208" s="40">
        <f t="shared" si="1"/>
        <v>46006</v>
      </c>
      <c r="B1208" s="37" t="str">
        <f t="array" ref="B1208">iferror(xlookup($I1208, 'IMPORT VHC Report'!$E:$E, 'IMPORT VHC Report'!$A:$C), )</f>
        <v/>
      </c>
      <c r="C1208" s="37"/>
      <c r="D1208" s="37"/>
      <c r="E1208" s="38" t="s">
        <v>1539</v>
      </c>
      <c r="F1208" s="38" t="s">
        <v>1528</v>
      </c>
      <c r="G1208" s="39"/>
      <c r="H1208" s="38" t="s">
        <v>1529</v>
      </c>
      <c r="I1208" s="38" t="s">
        <v>1530</v>
      </c>
      <c r="J1208" s="38" t="s">
        <v>132</v>
      </c>
      <c r="K1208" s="38" t="s">
        <v>126</v>
      </c>
      <c r="L1208" s="41">
        <v>46007.927083333336</v>
      </c>
      <c r="M1208" s="38" t="s">
        <v>123</v>
      </c>
      <c r="N1208" s="41">
        <v>46007.96875</v>
      </c>
      <c r="O1208" s="38" t="s">
        <v>123</v>
      </c>
      <c r="P1208" s="38">
        <v>3600.0</v>
      </c>
      <c r="Q1208" s="39"/>
      <c r="R1208" s="39"/>
      <c r="S1208" s="39"/>
      <c r="T1208" s="39"/>
      <c r="U1208" s="39"/>
    </row>
    <row r="1209">
      <c r="A1209" s="40">
        <f t="shared" si="1"/>
        <v>46006</v>
      </c>
      <c r="B1209" s="37" t="str">
        <f t="array" ref="B1209">iferror(xlookup($I1209, 'IMPORT VHC Report'!$E:$E, 'IMPORT VHC Report'!$A:$C), )</f>
        <v/>
      </c>
      <c r="C1209" s="37"/>
      <c r="D1209" s="37"/>
      <c r="E1209" s="38" t="s">
        <v>1540</v>
      </c>
      <c r="F1209" s="38" t="s">
        <v>1528</v>
      </c>
      <c r="G1209" s="39"/>
      <c r="H1209" s="38" t="s">
        <v>1529</v>
      </c>
      <c r="I1209" s="38" t="s">
        <v>1530</v>
      </c>
      <c r="J1209" s="38" t="s">
        <v>125</v>
      </c>
      <c r="K1209" s="38" t="s">
        <v>126</v>
      </c>
      <c r="L1209" s="41">
        <v>46010.666666666664</v>
      </c>
      <c r="M1209" s="38" t="s">
        <v>123</v>
      </c>
      <c r="N1209" s="41">
        <v>46010.67361111111</v>
      </c>
      <c r="O1209" s="38" t="s">
        <v>123</v>
      </c>
      <c r="P1209" s="38">
        <v>600.0</v>
      </c>
      <c r="Q1209" s="39"/>
      <c r="R1209" s="39"/>
      <c r="S1209" s="38" t="s">
        <v>127</v>
      </c>
      <c r="T1209" s="39"/>
      <c r="U1209" s="39"/>
    </row>
    <row r="1210">
      <c r="A1210" s="40">
        <f t="shared" si="1"/>
        <v>46006</v>
      </c>
      <c r="B1210" s="37" t="str">
        <f t="array" ref="B1210">iferror(xlookup($I1210, 'IMPORT VHC Report'!$E:$E, 'IMPORT VHC Report'!$A:$C), )</f>
        <v/>
      </c>
      <c r="C1210" s="37"/>
      <c r="D1210" s="37"/>
      <c r="E1210" s="38" t="s">
        <v>1541</v>
      </c>
      <c r="F1210" s="38" t="s">
        <v>1528</v>
      </c>
      <c r="G1210" s="39"/>
      <c r="H1210" s="38" t="s">
        <v>1529</v>
      </c>
      <c r="I1210" s="38" t="s">
        <v>1530</v>
      </c>
      <c r="J1210" s="38" t="s">
        <v>122</v>
      </c>
      <c r="K1210" s="38" t="s">
        <v>63</v>
      </c>
      <c r="L1210" s="41">
        <v>46010.666666666664</v>
      </c>
      <c r="M1210" s="38" t="s">
        <v>123</v>
      </c>
      <c r="N1210" s="41">
        <v>46011.041666666664</v>
      </c>
      <c r="O1210" s="38" t="s">
        <v>123</v>
      </c>
      <c r="P1210" s="38">
        <v>32400.0</v>
      </c>
      <c r="Q1210" s="39"/>
      <c r="R1210" s="39"/>
      <c r="S1210" s="39"/>
      <c r="T1210" s="39"/>
      <c r="U1210" s="39"/>
    </row>
    <row r="1211">
      <c r="A1211" s="40">
        <f t="shared" si="1"/>
        <v>46006</v>
      </c>
      <c r="B1211" s="37" t="str">
        <f t="array" ref="B1211">iferror(xlookup($I1211, 'IMPORT VHC Report'!$E:$E, 'IMPORT VHC Report'!$A:$C), )</f>
        <v/>
      </c>
      <c r="C1211" s="37"/>
      <c r="D1211" s="37"/>
      <c r="E1211" s="38" t="s">
        <v>1542</v>
      </c>
      <c r="F1211" s="38" t="s">
        <v>1528</v>
      </c>
      <c r="G1211" s="39"/>
      <c r="H1211" s="38" t="s">
        <v>1529</v>
      </c>
      <c r="I1211" s="38" t="s">
        <v>1530</v>
      </c>
      <c r="J1211" s="38" t="s">
        <v>134</v>
      </c>
      <c r="K1211" s="38" t="s">
        <v>126</v>
      </c>
      <c r="L1211" s="41">
        <v>46010.75</v>
      </c>
      <c r="M1211" s="38" t="s">
        <v>123</v>
      </c>
      <c r="N1211" s="41">
        <v>46010.770833333336</v>
      </c>
      <c r="O1211" s="38" t="s">
        <v>123</v>
      </c>
      <c r="P1211" s="38">
        <v>1800.0</v>
      </c>
      <c r="Q1211" s="39"/>
      <c r="R1211" s="39"/>
      <c r="S1211" s="39"/>
      <c r="T1211" s="39"/>
      <c r="U1211" s="39"/>
    </row>
    <row r="1212">
      <c r="A1212" s="40">
        <f t="shared" si="1"/>
        <v>46006</v>
      </c>
      <c r="B1212" s="37" t="str">
        <f t="array" ref="B1212">iferror(xlookup($I1212, 'IMPORT VHC Report'!$E:$E, 'IMPORT VHC Report'!$A:$C), )</f>
        <v/>
      </c>
      <c r="C1212" s="37"/>
      <c r="D1212" s="37"/>
      <c r="E1212" s="38" t="s">
        <v>1543</v>
      </c>
      <c r="F1212" s="38" t="s">
        <v>1528</v>
      </c>
      <c r="G1212" s="39"/>
      <c r="H1212" s="38" t="s">
        <v>1529</v>
      </c>
      <c r="I1212" s="38" t="s">
        <v>1530</v>
      </c>
      <c r="J1212" s="38" t="s">
        <v>132</v>
      </c>
      <c r="K1212" s="38" t="s">
        <v>126</v>
      </c>
      <c r="L1212" s="41">
        <v>46010.916666666664</v>
      </c>
      <c r="M1212" s="38" t="s">
        <v>123</v>
      </c>
      <c r="N1212" s="41">
        <v>46010.958333333336</v>
      </c>
      <c r="O1212" s="38" t="s">
        <v>123</v>
      </c>
      <c r="P1212" s="38">
        <v>3600.0</v>
      </c>
      <c r="Q1212" s="39"/>
      <c r="R1212" s="39"/>
      <c r="S1212" s="39"/>
      <c r="T1212" s="39"/>
      <c r="U1212" s="39"/>
    </row>
    <row r="1213">
      <c r="A1213" s="40">
        <f t="shared" si="1"/>
        <v>46006</v>
      </c>
      <c r="B1213" s="37" t="str">
        <f t="array" ref="B1213">iferror(xlookup($I1213, 'IMPORT VHC Report'!$E:$E, 'IMPORT VHC Report'!$A:$C), )</f>
        <v/>
      </c>
      <c r="C1213" s="37"/>
      <c r="D1213" s="37"/>
      <c r="E1213" s="38" t="s">
        <v>1544</v>
      </c>
      <c r="F1213" s="38" t="s">
        <v>1528</v>
      </c>
      <c r="G1213" s="39"/>
      <c r="H1213" s="38" t="s">
        <v>1529</v>
      </c>
      <c r="I1213" s="38" t="s">
        <v>1530</v>
      </c>
      <c r="J1213" s="38" t="s">
        <v>136</v>
      </c>
      <c r="K1213" s="38" t="s">
        <v>126</v>
      </c>
      <c r="L1213" s="41">
        <v>46010.958333333336</v>
      </c>
      <c r="M1213" s="38" t="s">
        <v>123</v>
      </c>
      <c r="N1213" s="41">
        <v>46010.979166666664</v>
      </c>
      <c r="O1213" s="38" t="s">
        <v>123</v>
      </c>
      <c r="P1213" s="38">
        <v>1800.0</v>
      </c>
      <c r="Q1213" s="39"/>
      <c r="R1213" s="39"/>
      <c r="S1213" s="38" t="s">
        <v>1545</v>
      </c>
      <c r="T1213" s="39"/>
      <c r="U1213" s="39"/>
    </row>
    <row r="1214">
      <c r="A1214" s="40">
        <f t="shared" si="1"/>
        <v>46006</v>
      </c>
      <c r="B1214" s="37" t="str">
        <f t="array" ref="B1214">iferror(xlookup($I1214, 'IMPORT VHC Report'!$E:$E, 'IMPORT VHC Report'!$A:$C), )</f>
        <v/>
      </c>
      <c r="C1214" s="37"/>
      <c r="D1214" s="37"/>
      <c r="E1214" s="38" t="s">
        <v>1546</v>
      </c>
      <c r="F1214" s="38" t="s">
        <v>1528</v>
      </c>
      <c r="G1214" s="39"/>
      <c r="H1214" s="38" t="s">
        <v>1529</v>
      </c>
      <c r="I1214" s="38" t="s">
        <v>1530</v>
      </c>
      <c r="J1214" s="38" t="s">
        <v>125</v>
      </c>
      <c r="K1214" s="38" t="s">
        <v>126</v>
      </c>
      <c r="L1214" s="41">
        <v>46011.666666666664</v>
      </c>
      <c r="M1214" s="38" t="s">
        <v>123</v>
      </c>
      <c r="N1214" s="41">
        <v>46011.67361111111</v>
      </c>
      <c r="O1214" s="38" t="s">
        <v>123</v>
      </c>
      <c r="P1214" s="38">
        <v>600.0</v>
      </c>
      <c r="Q1214" s="39"/>
      <c r="R1214" s="39"/>
      <c r="S1214" s="38" t="s">
        <v>127</v>
      </c>
      <c r="T1214" s="39"/>
      <c r="U1214" s="39"/>
    </row>
    <row r="1215">
      <c r="A1215" s="40">
        <f t="shared" si="1"/>
        <v>46006</v>
      </c>
      <c r="B1215" s="37" t="str">
        <f t="array" ref="B1215">iferror(xlookup($I1215, 'IMPORT VHC Report'!$E:$E, 'IMPORT VHC Report'!$A:$C), )</f>
        <v/>
      </c>
      <c r="C1215" s="37"/>
      <c r="D1215" s="37"/>
      <c r="E1215" s="38" t="s">
        <v>1547</v>
      </c>
      <c r="F1215" s="38" t="s">
        <v>1528</v>
      </c>
      <c r="G1215" s="39"/>
      <c r="H1215" s="38" t="s">
        <v>1529</v>
      </c>
      <c r="I1215" s="38" t="s">
        <v>1530</v>
      </c>
      <c r="J1215" s="38" t="s">
        <v>122</v>
      </c>
      <c r="K1215" s="38" t="s">
        <v>63</v>
      </c>
      <c r="L1215" s="41">
        <v>46011.666666666664</v>
      </c>
      <c r="M1215" s="38" t="s">
        <v>123</v>
      </c>
      <c r="N1215" s="41">
        <v>46012.041666666664</v>
      </c>
      <c r="O1215" s="38" t="s">
        <v>123</v>
      </c>
      <c r="P1215" s="38">
        <v>32400.0</v>
      </c>
      <c r="Q1215" s="39"/>
      <c r="R1215" s="39"/>
      <c r="S1215" s="39"/>
      <c r="T1215" s="39"/>
      <c r="U1215" s="39"/>
    </row>
    <row r="1216">
      <c r="A1216" s="40">
        <f t="shared" si="1"/>
        <v>46006</v>
      </c>
      <c r="B1216" s="37" t="str">
        <f t="array" ref="B1216">iferror(xlookup($I1216, 'IMPORT VHC Report'!$E:$E, 'IMPORT VHC Report'!$A:$C), )</f>
        <v/>
      </c>
      <c r="C1216" s="37"/>
      <c r="D1216" s="37"/>
      <c r="E1216" s="38" t="s">
        <v>1548</v>
      </c>
      <c r="F1216" s="38" t="s">
        <v>1528</v>
      </c>
      <c r="G1216" s="39"/>
      <c r="H1216" s="38" t="s">
        <v>1529</v>
      </c>
      <c r="I1216" s="38" t="s">
        <v>1530</v>
      </c>
      <c r="J1216" s="38" t="s">
        <v>152</v>
      </c>
      <c r="K1216" s="38" t="s">
        <v>153</v>
      </c>
      <c r="L1216" s="41">
        <v>46011.666666666664</v>
      </c>
      <c r="M1216" s="38" t="s">
        <v>123</v>
      </c>
      <c r="N1216" s="41">
        <v>46012.041666666664</v>
      </c>
      <c r="O1216" s="38" t="s">
        <v>123</v>
      </c>
      <c r="P1216" s="38">
        <v>32400.0</v>
      </c>
      <c r="Q1216" s="38">
        <v>28800.0</v>
      </c>
      <c r="R1216" s="38" t="s">
        <v>1549</v>
      </c>
      <c r="S1216" s="39"/>
      <c r="T1216" s="39"/>
      <c r="U1216" s="39"/>
    </row>
    <row r="1217">
      <c r="A1217" s="40">
        <f t="shared" si="1"/>
        <v>46006</v>
      </c>
      <c r="B1217" s="37" t="str">
        <f t="array" ref="B1217">iferror(xlookup($I1217, 'IMPORT VHC Report'!$E:$E, 'IMPORT VHC Report'!$A:$C), )</f>
        <v/>
      </c>
      <c r="C1217" s="37"/>
      <c r="D1217" s="37"/>
      <c r="E1217" s="38" t="s">
        <v>1550</v>
      </c>
      <c r="F1217" s="38" t="s">
        <v>1528</v>
      </c>
      <c r="G1217" s="39"/>
      <c r="H1217" s="38" t="s">
        <v>1529</v>
      </c>
      <c r="I1217" s="38" t="s">
        <v>1530</v>
      </c>
      <c r="J1217" s="38" t="s">
        <v>134</v>
      </c>
      <c r="K1217" s="38" t="s">
        <v>126</v>
      </c>
      <c r="L1217" s="41">
        <v>46011.729166666664</v>
      </c>
      <c r="M1217" s="38" t="s">
        <v>123</v>
      </c>
      <c r="N1217" s="41">
        <v>46011.75</v>
      </c>
      <c r="O1217" s="38" t="s">
        <v>123</v>
      </c>
      <c r="P1217" s="38">
        <v>1800.0</v>
      </c>
      <c r="Q1217" s="39"/>
      <c r="R1217" s="39"/>
      <c r="S1217" s="39"/>
      <c r="T1217" s="39"/>
      <c r="U1217" s="39"/>
    </row>
    <row r="1218">
      <c r="A1218" s="40">
        <f t="shared" si="1"/>
        <v>46006</v>
      </c>
      <c r="B1218" s="37" t="str">
        <f t="array" ref="B1218">iferror(xlookup($I1218, 'IMPORT VHC Report'!$E:$E, 'IMPORT VHC Report'!$A:$C), )</f>
        <v/>
      </c>
      <c r="C1218" s="37"/>
      <c r="D1218" s="37"/>
      <c r="E1218" s="38" t="s">
        <v>1551</v>
      </c>
      <c r="F1218" s="38" t="s">
        <v>1528</v>
      </c>
      <c r="G1218" s="39"/>
      <c r="H1218" s="38" t="s">
        <v>1529</v>
      </c>
      <c r="I1218" s="38" t="s">
        <v>1530</v>
      </c>
      <c r="J1218" s="38" t="s">
        <v>132</v>
      </c>
      <c r="K1218" s="38" t="s">
        <v>126</v>
      </c>
      <c r="L1218" s="41">
        <v>46011.885416666664</v>
      </c>
      <c r="M1218" s="38" t="s">
        <v>123</v>
      </c>
      <c r="N1218" s="41">
        <v>46011.927083333336</v>
      </c>
      <c r="O1218" s="38" t="s">
        <v>123</v>
      </c>
      <c r="P1218" s="38">
        <v>3600.0</v>
      </c>
      <c r="Q1218" s="39"/>
      <c r="R1218" s="39"/>
      <c r="S1218" s="39"/>
      <c r="T1218" s="39"/>
      <c r="U1218" s="39"/>
    </row>
    <row r="1219">
      <c r="A1219" s="40">
        <f t="shared" si="1"/>
        <v>46006</v>
      </c>
      <c r="B1219" s="37" t="str">
        <f t="array" ref="B1219">iferror(xlookup($I1219, 'IMPORT VHC Report'!$E:$E, 'IMPORT VHC Report'!$A:$C), )</f>
        <v/>
      </c>
      <c r="C1219" s="37"/>
      <c r="D1219" s="37"/>
      <c r="E1219" s="38" t="s">
        <v>1552</v>
      </c>
      <c r="F1219" s="38" t="s">
        <v>1528</v>
      </c>
      <c r="G1219" s="39"/>
      <c r="H1219" s="38" t="s">
        <v>1529</v>
      </c>
      <c r="I1219" s="38" t="s">
        <v>1530</v>
      </c>
      <c r="J1219" s="38" t="s">
        <v>125</v>
      </c>
      <c r="K1219" s="38" t="s">
        <v>126</v>
      </c>
      <c r="L1219" s="41">
        <v>46012.666666666664</v>
      </c>
      <c r="M1219" s="38" t="s">
        <v>123</v>
      </c>
      <c r="N1219" s="41">
        <v>46012.67361111111</v>
      </c>
      <c r="O1219" s="38" t="s">
        <v>123</v>
      </c>
      <c r="P1219" s="38">
        <v>600.0</v>
      </c>
      <c r="Q1219" s="39"/>
      <c r="R1219" s="39"/>
      <c r="S1219" s="38" t="s">
        <v>127</v>
      </c>
      <c r="T1219" s="39"/>
      <c r="U1219" s="39"/>
    </row>
    <row r="1220">
      <c r="A1220" s="40">
        <f t="shared" si="1"/>
        <v>46006</v>
      </c>
      <c r="B1220" s="37" t="str">
        <f t="array" ref="B1220">iferror(xlookup($I1220, 'IMPORT VHC Report'!$E:$E, 'IMPORT VHC Report'!$A:$C), )</f>
        <v/>
      </c>
      <c r="C1220" s="37"/>
      <c r="D1220" s="37"/>
      <c r="E1220" s="38" t="s">
        <v>1553</v>
      </c>
      <c r="F1220" s="38" t="s">
        <v>1528</v>
      </c>
      <c r="G1220" s="39"/>
      <c r="H1220" s="38" t="s">
        <v>1529</v>
      </c>
      <c r="I1220" s="38" t="s">
        <v>1530</v>
      </c>
      <c r="J1220" s="38" t="s">
        <v>122</v>
      </c>
      <c r="K1220" s="38" t="s">
        <v>63</v>
      </c>
      <c r="L1220" s="41">
        <v>46012.666666666664</v>
      </c>
      <c r="M1220" s="38" t="s">
        <v>123</v>
      </c>
      <c r="N1220" s="41">
        <v>46013.0</v>
      </c>
      <c r="O1220" s="38" t="s">
        <v>123</v>
      </c>
      <c r="P1220" s="38">
        <v>28800.0</v>
      </c>
      <c r="Q1220" s="39"/>
      <c r="R1220" s="39"/>
      <c r="S1220" s="39"/>
      <c r="T1220" s="39"/>
      <c r="U1220" s="39"/>
    </row>
    <row r="1221">
      <c r="A1221" s="40">
        <f t="shared" si="1"/>
        <v>46006</v>
      </c>
      <c r="B1221" s="37" t="str">
        <f t="array" ref="B1221">iferror(xlookup($I1221, 'IMPORT VHC Report'!$E:$E, 'IMPORT VHC Report'!$A:$C), )</f>
        <v/>
      </c>
      <c r="C1221" s="37"/>
      <c r="D1221" s="37"/>
      <c r="E1221" s="38" t="s">
        <v>1554</v>
      </c>
      <c r="F1221" s="38" t="s">
        <v>1528</v>
      </c>
      <c r="G1221" s="39"/>
      <c r="H1221" s="38" t="s">
        <v>1529</v>
      </c>
      <c r="I1221" s="38" t="s">
        <v>1530</v>
      </c>
      <c r="J1221" s="38" t="s">
        <v>134</v>
      </c>
      <c r="K1221" s="38" t="s">
        <v>126</v>
      </c>
      <c r="L1221" s="41">
        <v>46012.75</v>
      </c>
      <c r="M1221" s="38" t="s">
        <v>123</v>
      </c>
      <c r="N1221" s="41">
        <v>46012.770833333336</v>
      </c>
      <c r="O1221" s="38" t="s">
        <v>123</v>
      </c>
      <c r="P1221" s="38">
        <v>1800.0</v>
      </c>
      <c r="Q1221" s="39"/>
      <c r="R1221" s="39"/>
      <c r="S1221" s="39"/>
      <c r="T1221" s="39"/>
      <c r="U1221" s="39"/>
    </row>
    <row r="1222">
      <c r="A1222" s="40">
        <f t="shared" si="1"/>
        <v>46006</v>
      </c>
      <c r="B1222" s="37" t="str">
        <f t="array" ref="B1222">iferror(xlookup($I1222, 'IMPORT VHC Report'!$E:$E, 'IMPORT VHC Report'!$A:$C), )</f>
        <v/>
      </c>
      <c r="C1222" s="37"/>
      <c r="D1222" s="37"/>
      <c r="E1222" s="38" t="s">
        <v>1555</v>
      </c>
      <c r="F1222" s="38" t="s">
        <v>1528</v>
      </c>
      <c r="G1222" s="39"/>
      <c r="H1222" s="38" t="s">
        <v>1529</v>
      </c>
      <c r="I1222" s="38" t="s">
        <v>1530</v>
      </c>
      <c r="J1222" s="38" t="s">
        <v>132</v>
      </c>
      <c r="K1222" s="38" t="s">
        <v>126</v>
      </c>
      <c r="L1222" s="41">
        <v>46012.895833333336</v>
      </c>
      <c r="M1222" s="38" t="s">
        <v>123</v>
      </c>
      <c r="N1222" s="41">
        <v>46012.9375</v>
      </c>
      <c r="O1222" s="38" t="s">
        <v>123</v>
      </c>
      <c r="P1222" s="38">
        <v>3600.0</v>
      </c>
      <c r="Q1222" s="39"/>
      <c r="R1222" s="39"/>
      <c r="S1222" s="39"/>
      <c r="T1222" s="39"/>
      <c r="U1222" s="39"/>
    </row>
    <row r="1223">
      <c r="A1223" s="40">
        <f t="shared" si="1"/>
        <v>46006</v>
      </c>
      <c r="B1223" s="37" t="str">
        <f t="array" ref="B1223">iferror(xlookup($I1223, 'IMPORT VHC Report'!$E:$E, 'IMPORT VHC Report'!$A:$C), )</f>
        <v/>
      </c>
      <c r="C1223" s="37"/>
      <c r="D1223" s="37"/>
      <c r="E1223" s="38" t="s">
        <v>1556</v>
      </c>
      <c r="F1223" s="38" t="s">
        <v>1557</v>
      </c>
      <c r="G1223" s="39"/>
      <c r="H1223" s="38" t="s">
        <v>1558</v>
      </c>
      <c r="I1223" s="38" t="s">
        <v>1559</v>
      </c>
      <c r="J1223" s="38" t="s">
        <v>196</v>
      </c>
      <c r="K1223" s="38" t="s">
        <v>63</v>
      </c>
      <c r="L1223" s="41">
        <v>46006.0</v>
      </c>
      <c r="M1223" s="38" t="s">
        <v>123</v>
      </c>
      <c r="N1223" s="41">
        <v>46006.291666666664</v>
      </c>
      <c r="O1223" s="38" t="s">
        <v>123</v>
      </c>
      <c r="P1223" s="38">
        <v>25200.0</v>
      </c>
      <c r="Q1223" s="39"/>
      <c r="R1223" s="39"/>
      <c r="S1223" s="39"/>
      <c r="T1223" s="39"/>
      <c r="U1223" s="39"/>
    </row>
    <row r="1224">
      <c r="A1224" s="40">
        <f t="shared" si="1"/>
        <v>46006</v>
      </c>
      <c r="B1224" s="37" t="str">
        <f t="array" ref="B1224">iferror(xlookup($I1224, 'IMPORT VHC Report'!$E:$E, 'IMPORT VHC Report'!$A:$C), )</f>
        <v/>
      </c>
      <c r="C1224" s="37"/>
      <c r="D1224" s="37"/>
      <c r="E1224" s="38" t="s">
        <v>1560</v>
      </c>
      <c r="F1224" s="38" t="s">
        <v>1557</v>
      </c>
      <c r="G1224" s="39"/>
      <c r="H1224" s="38" t="s">
        <v>1558</v>
      </c>
      <c r="I1224" s="38" t="s">
        <v>1559</v>
      </c>
      <c r="J1224" s="38" t="s">
        <v>134</v>
      </c>
      <c r="K1224" s="38" t="s">
        <v>126</v>
      </c>
      <c r="L1224" s="41">
        <v>46006.010416666664</v>
      </c>
      <c r="M1224" s="38" t="s">
        <v>123</v>
      </c>
      <c r="N1224" s="41">
        <v>46006.03125</v>
      </c>
      <c r="O1224" s="38" t="s">
        <v>123</v>
      </c>
      <c r="P1224" s="38">
        <v>1800.0</v>
      </c>
      <c r="Q1224" s="39"/>
      <c r="R1224" s="39"/>
      <c r="S1224" s="39"/>
      <c r="T1224" s="39"/>
      <c r="U1224" s="39"/>
    </row>
    <row r="1225">
      <c r="A1225" s="40">
        <f t="shared" si="1"/>
        <v>46006</v>
      </c>
      <c r="B1225" s="37" t="str">
        <f t="array" ref="B1225">iferror(xlookup($I1225, 'IMPORT VHC Report'!$E:$E, 'IMPORT VHC Report'!$A:$C), )</f>
        <v/>
      </c>
      <c r="C1225" s="37"/>
      <c r="D1225" s="37"/>
      <c r="E1225" s="38" t="s">
        <v>1561</v>
      </c>
      <c r="F1225" s="38" t="s">
        <v>1557</v>
      </c>
      <c r="G1225" s="39"/>
      <c r="H1225" s="38" t="s">
        <v>1558</v>
      </c>
      <c r="I1225" s="38" t="s">
        <v>1559</v>
      </c>
      <c r="J1225" s="38" t="s">
        <v>132</v>
      </c>
      <c r="K1225" s="38" t="s">
        <v>126</v>
      </c>
      <c r="L1225" s="41">
        <v>46006.135416666664</v>
      </c>
      <c r="M1225" s="38" t="s">
        <v>123</v>
      </c>
      <c r="N1225" s="41">
        <v>46006.177083333336</v>
      </c>
      <c r="O1225" s="38" t="s">
        <v>123</v>
      </c>
      <c r="P1225" s="38">
        <v>3600.0</v>
      </c>
      <c r="Q1225" s="39"/>
      <c r="R1225" s="39"/>
      <c r="S1225" s="39"/>
      <c r="T1225" s="39"/>
      <c r="U1225" s="39"/>
    </row>
    <row r="1226">
      <c r="A1226" s="40">
        <f t="shared" si="1"/>
        <v>46006</v>
      </c>
      <c r="B1226" s="37" t="str">
        <f t="array" ref="B1226">iferror(xlookup($I1226, 'IMPORT VHC Report'!$E:$E, 'IMPORT VHC Report'!$A:$C), )</f>
        <v/>
      </c>
      <c r="C1226" s="37"/>
      <c r="D1226" s="37"/>
      <c r="E1226" s="38" t="s">
        <v>1562</v>
      </c>
      <c r="F1226" s="38" t="s">
        <v>1557</v>
      </c>
      <c r="G1226" s="39"/>
      <c r="H1226" s="38" t="s">
        <v>1558</v>
      </c>
      <c r="I1226" s="38" t="s">
        <v>1559</v>
      </c>
      <c r="J1226" s="38" t="s">
        <v>125</v>
      </c>
      <c r="K1226" s="38" t="s">
        <v>126</v>
      </c>
      <c r="L1226" s="41">
        <v>46006.916666666664</v>
      </c>
      <c r="M1226" s="38" t="s">
        <v>123</v>
      </c>
      <c r="N1226" s="41">
        <v>46006.927083333336</v>
      </c>
      <c r="O1226" s="38" t="s">
        <v>123</v>
      </c>
      <c r="P1226" s="38">
        <v>900.0</v>
      </c>
      <c r="Q1226" s="39"/>
      <c r="R1226" s="39"/>
      <c r="S1226" s="38" t="s">
        <v>199</v>
      </c>
      <c r="T1226" s="39"/>
      <c r="U1226" s="39"/>
    </row>
    <row r="1227">
      <c r="A1227" s="40">
        <f t="shared" si="1"/>
        <v>46006</v>
      </c>
      <c r="B1227" s="37" t="str">
        <f t="array" ref="B1227">iferror(xlookup($I1227, 'IMPORT VHC Report'!$E:$E, 'IMPORT VHC Report'!$A:$C), )</f>
        <v/>
      </c>
      <c r="C1227" s="37"/>
      <c r="D1227" s="37"/>
      <c r="E1227" s="38" t="s">
        <v>1563</v>
      </c>
      <c r="F1227" s="38" t="s">
        <v>1557</v>
      </c>
      <c r="G1227" s="39"/>
      <c r="H1227" s="38" t="s">
        <v>1558</v>
      </c>
      <c r="I1227" s="38" t="s">
        <v>1559</v>
      </c>
      <c r="J1227" s="38" t="s">
        <v>196</v>
      </c>
      <c r="K1227" s="38" t="s">
        <v>63</v>
      </c>
      <c r="L1227" s="41">
        <v>46006.916666666664</v>
      </c>
      <c r="M1227" s="38" t="s">
        <v>123</v>
      </c>
      <c r="N1227" s="41">
        <v>46007.291666666664</v>
      </c>
      <c r="O1227" s="38" t="s">
        <v>123</v>
      </c>
      <c r="P1227" s="38">
        <v>32400.0</v>
      </c>
      <c r="Q1227" s="39"/>
      <c r="R1227" s="39"/>
      <c r="S1227" s="39"/>
      <c r="T1227" s="39"/>
      <c r="U1227" s="39"/>
    </row>
    <row r="1228">
      <c r="A1228" s="40">
        <f t="shared" si="1"/>
        <v>46006</v>
      </c>
      <c r="B1228" s="37" t="str">
        <f t="array" ref="B1228">iferror(xlookup($I1228, 'IMPORT VHC Report'!$E:$E, 'IMPORT VHC Report'!$A:$C), )</f>
        <v/>
      </c>
      <c r="C1228" s="37"/>
      <c r="D1228" s="37"/>
      <c r="E1228" s="38" t="s">
        <v>1564</v>
      </c>
      <c r="F1228" s="38" t="s">
        <v>1557</v>
      </c>
      <c r="G1228" s="39"/>
      <c r="H1228" s="38" t="s">
        <v>1558</v>
      </c>
      <c r="I1228" s="38" t="s">
        <v>1559</v>
      </c>
      <c r="J1228" s="38" t="s">
        <v>132</v>
      </c>
      <c r="K1228" s="38" t="s">
        <v>126</v>
      </c>
      <c r="L1228" s="41">
        <v>46007.0625</v>
      </c>
      <c r="M1228" s="38" t="s">
        <v>123</v>
      </c>
      <c r="N1228" s="41">
        <v>46007.104166666664</v>
      </c>
      <c r="O1228" s="38" t="s">
        <v>123</v>
      </c>
      <c r="P1228" s="38">
        <v>3600.0</v>
      </c>
      <c r="Q1228" s="39"/>
      <c r="R1228" s="39"/>
      <c r="S1228" s="39"/>
      <c r="T1228" s="39"/>
      <c r="U1228" s="39"/>
    </row>
    <row r="1229">
      <c r="A1229" s="40">
        <f t="shared" si="1"/>
        <v>46006</v>
      </c>
      <c r="B1229" s="37" t="str">
        <f t="array" ref="B1229">iferror(xlookup($I1229, 'IMPORT VHC Report'!$E:$E, 'IMPORT VHC Report'!$A:$C), )</f>
        <v/>
      </c>
      <c r="C1229" s="37"/>
      <c r="D1229" s="37"/>
      <c r="E1229" s="38" t="s">
        <v>1565</v>
      </c>
      <c r="F1229" s="38" t="s">
        <v>1557</v>
      </c>
      <c r="G1229" s="39"/>
      <c r="H1229" s="38" t="s">
        <v>1558</v>
      </c>
      <c r="I1229" s="38" t="s">
        <v>1559</v>
      </c>
      <c r="J1229" s="38" t="s">
        <v>134</v>
      </c>
      <c r="K1229" s="38" t="s">
        <v>126</v>
      </c>
      <c r="L1229" s="41">
        <v>46007.208333333336</v>
      </c>
      <c r="M1229" s="38" t="s">
        <v>123</v>
      </c>
      <c r="N1229" s="41">
        <v>46007.229166666664</v>
      </c>
      <c r="O1229" s="38" t="s">
        <v>123</v>
      </c>
      <c r="P1229" s="38">
        <v>1800.0</v>
      </c>
      <c r="Q1229" s="39"/>
      <c r="R1229" s="39"/>
      <c r="S1229" s="39"/>
      <c r="T1229" s="39"/>
      <c r="U1229" s="39"/>
    </row>
    <row r="1230">
      <c r="A1230" s="40">
        <f t="shared" si="1"/>
        <v>46006</v>
      </c>
      <c r="B1230" s="37" t="str">
        <f t="array" ref="B1230">iferror(xlookup($I1230, 'IMPORT VHC Report'!$E:$E, 'IMPORT VHC Report'!$A:$C), )</f>
        <v/>
      </c>
      <c r="C1230" s="37"/>
      <c r="D1230" s="37"/>
      <c r="E1230" s="38" t="s">
        <v>1566</v>
      </c>
      <c r="F1230" s="38" t="s">
        <v>1557</v>
      </c>
      <c r="G1230" s="39"/>
      <c r="H1230" s="38" t="s">
        <v>1558</v>
      </c>
      <c r="I1230" s="38" t="s">
        <v>1559</v>
      </c>
      <c r="J1230" s="38" t="s">
        <v>125</v>
      </c>
      <c r="K1230" s="38" t="s">
        <v>126</v>
      </c>
      <c r="L1230" s="41">
        <v>46007.916666666664</v>
      </c>
      <c r="M1230" s="38" t="s">
        <v>123</v>
      </c>
      <c r="N1230" s="41">
        <v>46007.927083333336</v>
      </c>
      <c r="O1230" s="38" t="s">
        <v>123</v>
      </c>
      <c r="P1230" s="38">
        <v>900.0</v>
      </c>
      <c r="Q1230" s="39"/>
      <c r="R1230" s="39"/>
      <c r="S1230" s="38" t="s">
        <v>199</v>
      </c>
      <c r="T1230" s="39"/>
      <c r="U1230" s="39"/>
    </row>
    <row r="1231">
      <c r="A1231" s="40">
        <f t="shared" si="1"/>
        <v>46006</v>
      </c>
      <c r="B1231" s="37" t="str">
        <f t="array" ref="B1231">iferror(xlookup($I1231, 'IMPORT VHC Report'!$E:$E, 'IMPORT VHC Report'!$A:$C), )</f>
        <v/>
      </c>
      <c r="C1231" s="37"/>
      <c r="D1231" s="37"/>
      <c r="E1231" s="38" t="s">
        <v>1567</v>
      </c>
      <c r="F1231" s="38" t="s">
        <v>1557</v>
      </c>
      <c r="G1231" s="39"/>
      <c r="H1231" s="38" t="s">
        <v>1558</v>
      </c>
      <c r="I1231" s="38" t="s">
        <v>1559</v>
      </c>
      <c r="J1231" s="38" t="s">
        <v>196</v>
      </c>
      <c r="K1231" s="38" t="s">
        <v>63</v>
      </c>
      <c r="L1231" s="41">
        <v>46007.916666666664</v>
      </c>
      <c r="M1231" s="38" t="s">
        <v>123</v>
      </c>
      <c r="N1231" s="41">
        <v>46008.291666666664</v>
      </c>
      <c r="O1231" s="38" t="s">
        <v>123</v>
      </c>
      <c r="P1231" s="38">
        <v>32400.0</v>
      </c>
      <c r="Q1231" s="39"/>
      <c r="R1231" s="39"/>
      <c r="S1231" s="39"/>
      <c r="T1231" s="39"/>
      <c r="U1231" s="39"/>
    </row>
    <row r="1232">
      <c r="A1232" s="40">
        <f t="shared" si="1"/>
        <v>46006</v>
      </c>
      <c r="B1232" s="37" t="str">
        <f t="array" ref="B1232">iferror(xlookup($I1232, 'IMPORT VHC Report'!$E:$E, 'IMPORT VHC Report'!$A:$C), )</f>
        <v/>
      </c>
      <c r="C1232" s="37"/>
      <c r="D1232" s="37"/>
      <c r="E1232" s="38" t="s">
        <v>1568</v>
      </c>
      <c r="F1232" s="38" t="s">
        <v>1557</v>
      </c>
      <c r="G1232" s="39"/>
      <c r="H1232" s="38" t="s">
        <v>1558</v>
      </c>
      <c r="I1232" s="38" t="s">
        <v>1559</v>
      </c>
      <c r="J1232" s="38" t="s">
        <v>134</v>
      </c>
      <c r="K1232" s="38" t="s">
        <v>126</v>
      </c>
      <c r="L1232" s="41">
        <v>46008.03125</v>
      </c>
      <c r="M1232" s="38" t="s">
        <v>123</v>
      </c>
      <c r="N1232" s="41">
        <v>46008.052083333336</v>
      </c>
      <c r="O1232" s="38" t="s">
        <v>123</v>
      </c>
      <c r="P1232" s="38">
        <v>1800.0</v>
      </c>
      <c r="Q1232" s="39"/>
      <c r="R1232" s="39"/>
      <c r="S1232" s="39"/>
      <c r="T1232" s="39"/>
      <c r="U1232" s="39"/>
    </row>
    <row r="1233">
      <c r="A1233" s="40">
        <f t="shared" si="1"/>
        <v>46006</v>
      </c>
      <c r="B1233" s="37" t="str">
        <f t="array" ref="B1233">iferror(xlookup($I1233, 'IMPORT VHC Report'!$E:$E, 'IMPORT VHC Report'!$A:$C), )</f>
        <v/>
      </c>
      <c r="C1233" s="37"/>
      <c r="D1233" s="37"/>
      <c r="E1233" s="38" t="s">
        <v>1569</v>
      </c>
      <c r="F1233" s="38" t="s">
        <v>1557</v>
      </c>
      <c r="G1233" s="39"/>
      <c r="H1233" s="38" t="s">
        <v>1558</v>
      </c>
      <c r="I1233" s="38" t="s">
        <v>1559</v>
      </c>
      <c r="J1233" s="38" t="s">
        <v>4</v>
      </c>
      <c r="K1233" s="38" t="s">
        <v>126</v>
      </c>
      <c r="L1233" s="41">
        <v>46008.114583333336</v>
      </c>
      <c r="M1233" s="38" t="s">
        <v>123</v>
      </c>
      <c r="N1233" s="41">
        <v>46008.15625</v>
      </c>
      <c r="O1233" s="38" t="s">
        <v>123</v>
      </c>
      <c r="P1233" s="38">
        <v>3600.0</v>
      </c>
      <c r="Q1233" s="39"/>
      <c r="R1233" s="39"/>
      <c r="S1233" s="38" t="s">
        <v>858</v>
      </c>
      <c r="T1233" s="39"/>
      <c r="U1233" s="39"/>
    </row>
    <row r="1234">
      <c r="A1234" s="40">
        <f t="shared" si="1"/>
        <v>46006</v>
      </c>
      <c r="B1234" s="37" t="str">
        <f t="array" ref="B1234">iferror(xlookup($I1234, 'IMPORT VHC Report'!$E:$E, 'IMPORT VHC Report'!$A:$C), )</f>
        <v/>
      </c>
      <c r="C1234" s="37"/>
      <c r="D1234" s="37"/>
      <c r="E1234" s="38" t="s">
        <v>1570</v>
      </c>
      <c r="F1234" s="38" t="s">
        <v>1557</v>
      </c>
      <c r="G1234" s="39"/>
      <c r="H1234" s="38" t="s">
        <v>1558</v>
      </c>
      <c r="I1234" s="38" t="s">
        <v>1559</v>
      </c>
      <c r="J1234" s="38" t="s">
        <v>132</v>
      </c>
      <c r="K1234" s="38" t="s">
        <v>126</v>
      </c>
      <c r="L1234" s="41">
        <v>46008.15625</v>
      </c>
      <c r="M1234" s="38" t="s">
        <v>123</v>
      </c>
      <c r="N1234" s="41">
        <v>46008.197916666664</v>
      </c>
      <c r="O1234" s="38" t="s">
        <v>123</v>
      </c>
      <c r="P1234" s="38">
        <v>3600.0</v>
      </c>
      <c r="Q1234" s="39"/>
      <c r="R1234" s="39"/>
      <c r="S1234" s="39"/>
      <c r="T1234" s="39"/>
      <c r="U1234" s="39"/>
    </row>
    <row r="1235">
      <c r="A1235" s="40">
        <f t="shared" si="1"/>
        <v>46006</v>
      </c>
      <c r="B1235" s="37" t="str">
        <f t="array" ref="B1235">iferror(xlookup($I1235, 'IMPORT VHC Report'!$E:$E, 'IMPORT VHC Report'!$A:$C), )</f>
        <v/>
      </c>
      <c r="C1235" s="37"/>
      <c r="D1235" s="37"/>
      <c r="E1235" s="38" t="s">
        <v>1571</v>
      </c>
      <c r="F1235" s="38" t="s">
        <v>1557</v>
      </c>
      <c r="G1235" s="39"/>
      <c r="H1235" s="38" t="s">
        <v>1558</v>
      </c>
      <c r="I1235" s="38" t="s">
        <v>1559</v>
      </c>
      <c r="J1235" s="38" t="s">
        <v>125</v>
      </c>
      <c r="K1235" s="38" t="s">
        <v>126</v>
      </c>
      <c r="L1235" s="41">
        <v>46008.916666666664</v>
      </c>
      <c r="M1235" s="38" t="s">
        <v>123</v>
      </c>
      <c r="N1235" s="41">
        <v>46008.927083333336</v>
      </c>
      <c r="O1235" s="38" t="s">
        <v>123</v>
      </c>
      <c r="P1235" s="38">
        <v>900.0</v>
      </c>
      <c r="Q1235" s="39"/>
      <c r="R1235" s="39"/>
      <c r="S1235" s="38" t="s">
        <v>199</v>
      </c>
      <c r="T1235" s="39"/>
      <c r="U1235" s="39"/>
    </row>
    <row r="1236">
      <c r="A1236" s="40">
        <f t="shared" si="1"/>
        <v>46006</v>
      </c>
      <c r="B1236" s="37" t="str">
        <f t="array" ref="B1236">iferror(xlookup($I1236, 'IMPORT VHC Report'!$E:$E, 'IMPORT VHC Report'!$A:$C), )</f>
        <v/>
      </c>
      <c r="C1236" s="37"/>
      <c r="D1236" s="37"/>
      <c r="E1236" s="38" t="s">
        <v>1572</v>
      </c>
      <c r="F1236" s="38" t="s">
        <v>1557</v>
      </c>
      <c r="G1236" s="39"/>
      <c r="H1236" s="38" t="s">
        <v>1558</v>
      </c>
      <c r="I1236" s="38" t="s">
        <v>1559</v>
      </c>
      <c r="J1236" s="38" t="s">
        <v>196</v>
      </c>
      <c r="K1236" s="38" t="s">
        <v>63</v>
      </c>
      <c r="L1236" s="41">
        <v>46008.916666666664</v>
      </c>
      <c r="M1236" s="38" t="s">
        <v>123</v>
      </c>
      <c r="N1236" s="41">
        <v>46009.291666666664</v>
      </c>
      <c r="O1236" s="38" t="s">
        <v>123</v>
      </c>
      <c r="P1236" s="38">
        <v>32400.0</v>
      </c>
      <c r="Q1236" s="39"/>
      <c r="R1236" s="39"/>
      <c r="S1236" s="39"/>
      <c r="T1236" s="39"/>
      <c r="U1236" s="39"/>
    </row>
    <row r="1237">
      <c r="A1237" s="40">
        <f t="shared" si="1"/>
        <v>46006</v>
      </c>
      <c r="B1237" s="37" t="str">
        <f t="array" ref="B1237">iferror(xlookup($I1237, 'IMPORT VHC Report'!$E:$E, 'IMPORT VHC Report'!$A:$C), )</f>
        <v/>
      </c>
      <c r="C1237" s="37"/>
      <c r="D1237" s="37"/>
      <c r="E1237" s="38" t="s">
        <v>1573</v>
      </c>
      <c r="F1237" s="38" t="s">
        <v>1557</v>
      </c>
      <c r="G1237" s="39"/>
      <c r="H1237" s="38" t="s">
        <v>1558</v>
      </c>
      <c r="I1237" s="38" t="s">
        <v>1559</v>
      </c>
      <c r="J1237" s="38" t="s">
        <v>134</v>
      </c>
      <c r="K1237" s="38" t="s">
        <v>126</v>
      </c>
      <c r="L1237" s="41">
        <v>46009.020833333336</v>
      </c>
      <c r="M1237" s="38" t="s">
        <v>123</v>
      </c>
      <c r="N1237" s="41">
        <v>46009.041666666664</v>
      </c>
      <c r="O1237" s="38" t="s">
        <v>123</v>
      </c>
      <c r="P1237" s="38">
        <v>1800.0</v>
      </c>
      <c r="Q1237" s="39"/>
      <c r="R1237" s="39"/>
      <c r="S1237" s="39"/>
      <c r="T1237" s="39"/>
      <c r="U1237" s="39"/>
    </row>
    <row r="1238">
      <c r="A1238" s="40">
        <f t="shared" si="1"/>
        <v>46006</v>
      </c>
      <c r="B1238" s="37" t="str">
        <f t="array" ref="B1238">iferror(xlookup($I1238, 'IMPORT VHC Report'!$E:$E, 'IMPORT VHC Report'!$A:$C), )</f>
        <v/>
      </c>
      <c r="C1238" s="37"/>
      <c r="D1238" s="37"/>
      <c r="E1238" s="38" t="s">
        <v>1574</v>
      </c>
      <c r="F1238" s="38" t="s">
        <v>1557</v>
      </c>
      <c r="G1238" s="39"/>
      <c r="H1238" s="38" t="s">
        <v>1558</v>
      </c>
      <c r="I1238" s="38" t="s">
        <v>1559</v>
      </c>
      <c r="J1238" s="38" t="s">
        <v>132</v>
      </c>
      <c r="K1238" s="38" t="s">
        <v>126</v>
      </c>
      <c r="L1238" s="41">
        <v>46009.177083333336</v>
      </c>
      <c r="M1238" s="38" t="s">
        <v>123</v>
      </c>
      <c r="N1238" s="41">
        <v>46009.21875</v>
      </c>
      <c r="O1238" s="38" t="s">
        <v>123</v>
      </c>
      <c r="P1238" s="38">
        <v>3600.0</v>
      </c>
      <c r="Q1238" s="39"/>
      <c r="R1238" s="39"/>
      <c r="S1238" s="39"/>
      <c r="T1238" s="39"/>
      <c r="U1238" s="39"/>
    </row>
    <row r="1239">
      <c r="A1239" s="40">
        <f t="shared" si="1"/>
        <v>46006</v>
      </c>
      <c r="B1239" s="37" t="str">
        <f t="array" ref="B1239">iferror(xlookup($I1239, 'IMPORT VHC Report'!$E:$E, 'IMPORT VHC Report'!$A:$C), )</f>
        <v/>
      </c>
      <c r="C1239" s="37"/>
      <c r="D1239" s="37"/>
      <c r="E1239" s="38" t="s">
        <v>1575</v>
      </c>
      <c r="F1239" s="38" t="s">
        <v>1557</v>
      </c>
      <c r="G1239" s="39"/>
      <c r="H1239" s="38" t="s">
        <v>1558</v>
      </c>
      <c r="I1239" s="38" t="s">
        <v>1559</v>
      </c>
      <c r="J1239" s="38" t="s">
        <v>125</v>
      </c>
      <c r="K1239" s="38" t="s">
        <v>126</v>
      </c>
      <c r="L1239" s="41">
        <v>46011.916666666664</v>
      </c>
      <c r="M1239" s="38" t="s">
        <v>123</v>
      </c>
      <c r="N1239" s="41">
        <v>46011.927083333336</v>
      </c>
      <c r="O1239" s="38" t="s">
        <v>123</v>
      </c>
      <c r="P1239" s="38">
        <v>900.0</v>
      </c>
      <c r="Q1239" s="39"/>
      <c r="R1239" s="39"/>
      <c r="S1239" s="38" t="s">
        <v>199</v>
      </c>
      <c r="T1239" s="39"/>
      <c r="U1239" s="39"/>
    </row>
    <row r="1240">
      <c r="A1240" s="40">
        <f t="shared" si="1"/>
        <v>46006</v>
      </c>
      <c r="B1240" s="37" t="str">
        <f t="array" ref="B1240">iferror(xlookup($I1240, 'IMPORT VHC Report'!$E:$E, 'IMPORT VHC Report'!$A:$C), )</f>
        <v/>
      </c>
      <c r="C1240" s="37"/>
      <c r="D1240" s="37"/>
      <c r="E1240" s="38" t="s">
        <v>1576</v>
      </c>
      <c r="F1240" s="38" t="s">
        <v>1557</v>
      </c>
      <c r="G1240" s="39"/>
      <c r="H1240" s="38" t="s">
        <v>1558</v>
      </c>
      <c r="I1240" s="38" t="s">
        <v>1559</v>
      </c>
      <c r="J1240" s="38" t="s">
        <v>196</v>
      </c>
      <c r="K1240" s="38" t="s">
        <v>63</v>
      </c>
      <c r="L1240" s="41">
        <v>46011.916666666664</v>
      </c>
      <c r="M1240" s="38" t="s">
        <v>123</v>
      </c>
      <c r="N1240" s="41">
        <v>46012.291666666664</v>
      </c>
      <c r="O1240" s="38" t="s">
        <v>123</v>
      </c>
      <c r="P1240" s="38">
        <v>32400.0</v>
      </c>
      <c r="Q1240" s="39"/>
      <c r="R1240" s="39"/>
      <c r="S1240" s="39"/>
      <c r="T1240" s="39"/>
      <c r="U1240" s="39"/>
    </row>
    <row r="1241">
      <c r="A1241" s="40">
        <f t="shared" si="1"/>
        <v>46006</v>
      </c>
      <c r="B1241" s="37" t="str">
        <f t="array" ref="B1241">iferror(xlookup($I1241, 'IMPORT VHC Report'!$E:$E, 'IMPORT VHC Report'!$A:$C), )</f>
        <v/>
      </c>
      <c r="C1241" s="37"/>
      <c r="D1241" s="37"/>
      <c r="E1241" s="38" t="s">
        <v>1577</v>
      </c>
      <c r="F1241" s="38" t="s">
        <v>1557</v>
      </c>
      <c r="G1241" s="39"/>
      <c r="H1241" s="38" t="s">
        <v>1558</v>
      </c>
      <c r="I1241" s="38" t="s">
        <v>1559</v>
      </c>
      <c r="J1241" s="38" t="s">
        <v>134</v>
      </c>
      <c r="K1241" s="38" t="s">
        <v>126</v>
      </c>
      <c r="L1241" s="41">
        <v>46012.03125</v>
      </c>
      <c r="M1241" s="38" t="s">
        <v>123</v>
      </c>
      <c r="N1241" s="41">
        <v>46012.052083333336</v>
      </c>
      <c r="O1241" s="38" t="s">
        <v>123</v>
      </c>
      <c r="P1241" s="38">
        <v>1800.0</v>
      </c>
      <c r="Q1241" s="39"/>
      <c r="R1241" s="39"/>
      <c r="S1241" s="39"/>
      <c r="T1241" s="39"/>
      <c r="U1241" s="39"/>
    </row>
    <row r="1242">
      <c r="A1242" s="40">
        <f t="shared" si="1"/>
        <v>46006</v>
      </c>
      <c r="B1242" s="37" t="str">
        <f t="array" ref="B1242">iferror(xlookup($I1242, 'IMPORT VHC Report'!$E:$E, 'IMPORT VHC Report'!$A:$C), )</f>
        <v/>
      </c>
      <c r="C1242" s="37"/>
      <c r="D1242" s="37"/>
      <c r="E1242" s="38" t="s">
        <v>1578</v>
      </c>
      <c r="F1242" s="38" t="s">
        <v>1557</v>
      </c>
      <c r="G1242" s="39"/>
      <c r="H1242" s="38" t="s">
        <v>1558</v>
      </c>
      <c r="I1242" s="38" t="s">
        <v>1559</v>
      </c>
      <c r="J1242" s="38" t="s">
        <v>132</v>
      </c>
      <c r="K1242" s="38" t="s">
        <v>126</v>
      </c>
      <c r="L1242" s="41">
        <v>46012.166666666664</v>
      </c>
      <c r="M1242" s="38" t="s">
        <v>123</v>
      </c>
      <c r="N1242" s="41">
        <v>46012.208333333336</v>
      </c>
      <c r="O1242" s="38" t="s">
        <v>123</v>
      </c>
      <c r="P1242" s="38">
        <v>3600.0</v>
      </c>
      <c r="Q1242" s="39"/>
      <c r="R1242" s="39"/>
      <c r="S1242" s="39"/>
      <c r="T1242" s="39"/>
      <c r="U1242" s="39"/>
    </row>
    <row r="1243">
      <c r="A1243" s="40">
        <f t="shared" si="1"/>
        <v>46006</v>
      </c>
      <c r="B1243" s="37" t="str">
        <f t="array" ref="B1243">iferror(xlookup($I1243, 'IMPORT VHC Report'!$E:$E, 'IMPORT VHC Report'!$A:$C), )</f>
        <v/>
      </c>
      <c r="C1243" s="37"/>
      <c r="D1243" s="37"/>
      <c r="E1243" s="38" t="s">
        <v>1579</v>
      </c>
      <c r="F1243" s="38" t="s">
        <v>1557</v>
      </c>
      <c r="G1243" s="39"/>
      <c r="H1243" s="38" t="s">
        <v>1558</v>
      </c>
      <c r="I1243" s="38" t="s">
        <v>1559</v>
      </c>
      <c r="J1243" s="38" t="s">
        <v>125</v>
      </c>
      <c r="K1243" s="38" t="s">
        <v>126</v>
      </c>
      <c r="L1243" s="41">
        <v>46012.916666666664</v>
      </c>
      <c r="M1243" s="38" t="s">
        <v>123</v>
      </c>
      <c r="N1243" s="41">
        <v>46012.927083333336</v>
      </c>
      <c r="O1243" s="38" t="s">
        <v>123</v>
      </c>
      <c r="P1243" s="38">
        <v>900.0</v>
      </c>
      <c r="Q1243" s="39"/>
      <c r="R1243" s="39"/>
      <c r="S1243" s="38" t="s">
        <v>199</v>
      </c>
      <c r="T1243" s="39"/>
      <c r="U1243" s="39"/>
    </row>
    <row r="1244">
      <c r="A1244" s="40">
        <f t="shared" si="1"/>
        <v>46006</v>
      </c>
      <c r="B1244" s="37" t="str">
        <f t="array" ref="B1244">iferror(xlookup($I1244, 'IMPORT VHC Report'!$E:$E, 'IMPORT VHC Report'!$A:$C), )</f>
        <v/>
      </c>
      <c r="C1244" s="37"/>
      <c r="D1244" s="37"/>
      <c r="E1244" s="38" t="s">
        <v>1580</v>
      </c>
      <c r="F1244" s="38" t="s">
        <v>1557</v>
      </c>
      <c r="G1244" s="39"/>
      <c r="H1244" s="38" t="s">
        <v>1558</v>
      </c>
      <c r="I1244" s="38" t="s">
        <v>1559</v>
      </c>
      <c r="J1244" s="38" t="s">
        <v>196</v>
      </c>
      <c r="K1244" s="38" t="s">
        <v>63</v>
      </c>
      <c r="L1244" s="41">
        <v>46012.916666666664</v>
      </c>
      <c r="M1244" s="38" t="s">
        <v>123</v>
      </c>
      <c r="N1244" s="41">
        <v>46013.0</v>
      </c>
      <c r="O1244" s="38" t="s">
        <v>123</v>
      </c>
      <c r="P1244" s="38">
        <v>7200.0</v>
      </c>
      <c r="Q1244" s="39"/>
      <c r="R1244" s="39"/>
      <c r="S1244" s="39"/>
      <c r="T1244" s="39"/>
      <c r="U1244" s="39"/>
    </row>
    <row r="1245">
      <c r="A1245" s="40">
        <f t="shared" si="1"/>
        <v>46006</v>
      </c>
      <c r="B1245" s="37" t="str">
        <f t="array" ref="B1245">iferror(xlookup($I1245, 'IMPORT VHC Report'!$E:$E, 'IMPORT VHC Report'!$A:$C), )</f>
        <v/>
      </c>
      <c r="C1245" s="37"/>
      <c r="D1245" s="37"/>
      <c r="E1245" s="38" t="s">
        <v>1581</v>
      </c>
      <c r="F1245" s="38" t="s">
        <v>1582</v>
      </c>
      <c r="G1245" s="39"/>
      <c r="H1245" s="38" t="s">
        <v>1583</v>
      </c>
      <c r="I1245" s="38" t="s">
        <v>1584</v>
      </c>
      <c r="J1245" s="38" t="s">
        <v>132</v>
      </c>
      <c r="K1245" s="38" t="s">
        <v>126</v>
      </c>
      <c r="L1245" s="41">
        <v>46006.0</v>
      </c>
      <c r="M1245" s="38" t="s">
        <v>123</v>
      </c>
      <c r="N1245" s="41">
        <v>46006.041666666664</v>
      </c>
      <c r="O1245" s="38" t="s">
        <v>123</v>
      </c>
      <c r="P1245" s="38">
        <v>3600.0</v>
      </c>
      <c r="Q1245" s="39"/>
      <c r="R1245" s="39"/>
      <c r="S1245" s="39"/>
      <c r="T1245" s="39"/>
      <c r="U1245" s="39"/>
    </row>
    <row r="1246">
      <c r="A1246" s="40">
        <f t="shared" si="1"/>
        <v>46006</v>
      </c>
      <c r="B1246" s="37" t="str">
        <f t="array" ref="B1246">iferror(xlookup($I1246, 'IMPORT VHC Report'!$E:$E, 'IMPORT VHC Report'!$A:$C), )</f>
        <v/>
      </c>
      <c r="C1246" s="37"/>
      <c r="D1246" s="37"/>
      <c r="E1246" s="38" t="s">
        <v>1585</v>
      </c>
      <c r="F1246" s="38" t="s">
        <v>1582</v>
      </c>
      <c r="G1246" s="39"/>
      <c r="H1246" s="38" t="s">
        <v>1583</v>
      </c>
      <c r="I1246" s="38" t="s">
        <v>1584</v>
      </c>
      <c r="J1246" s="38" t="s">
        <v>122</v>
      </c>
      <c r="K1246" s="38" t="s">
        <v>63</v>
      </c>
      <c r="L1246" s="41">
        <v>46006.0</v>
      </c>
      <c r="M1246" s="38" t="s">
        <v>123</v>
      </c>
      <c r="N1246" s="41">
        <v>46006.291666666664</v>
      </c>
      <c r="O1246" s="38" t="s">
        <v>123</v>
      </c>
      <c r="P1246" s="38">
        <v>25200.0</v>
      </c>
      <c r="Q1246" s="39"/>
      <c r="R1246" s="39"/>
      <c r="S1246" s="39"/>
      <c r="T1246" s="39"/>
      <c r="U1246" s="39"/>
    </row>
    <row r="1247">
      <c r="A1247" s="40">
        <f t="shared" si="1"/>
        <v>46006</v>
      </c>
      <c r="B1247" s="37" t="str">
        <f t="array" ref="B1247">iferror(xlookup($I1247, 'IMPORT VHC Report'!$E:$E, 'IMPORT VHC Report'!$A:$C), )</f>
        <v/>
      </c>
      <c r="C1247" s="37"/>
      <c r="D1247" s="37"/>
      <c r="E1247" s="38" t="s">
        <v>1586</v>
      </c>
      <c r="F1247" s="38" t="s">
        <v>1582</v>
      </c>
      <c r="G1247" s="39"/>
      <c r="H1247" s="38" t="s">
        <v>1583</v>
      </c>
      <c r="I1247" s="38" t="s">
        <v>1584</v>
      </c>
      <c r="J1247" s="38" t="s">
        <v>134</v>
      </c>
      <c r="K1247" s="38" t="s">
        <v>126</v>
      </c>
      <c r="L1247" s="41">
        <v>46006.1875</v>
      </c>
      <c r="M1247" s="38" t="s">
        <v>123</v>
      </c>
      <c r="N1247" s="41">
        <v>46006.208333333336</v>
      </c>
      <c r="O1247" s="38" t="s">
        <v>123</v>
      </c>
      <c r="P1247" s="38">
        <v>1800.0</v>
      </c>
      <c r="Q1247" s="39"/>
      <c r="R1247" s="39"/>
      <c r="S1247" s="39"/>
      <c r="T1247" s="39"/>
      <c r="U1247" s="39"/>
    </row>
    <row r="1248">
      <c r="A1248" s="40">
        <f t="shared" si="1"/>
        <v>46006</v>
      </c>
      <c r="B1248" s="37" t="str">
        <f t="array" ref="B1248">iferror(xlookup($I1248, 'IMPORT VHC Report'!$E:$E, 'IMPORT VHC Report'!$A:$C), )</f>
        <v/>
      </c>
      <c r="C1248" s="37"/>
      <c r="D1248" s="37"/>
      <c r="E1248" s="38" t="s">
        <v>1587</v>
      </c>
      <c r="F1248" s="38" t="s">
        <v>1582</v>
      </c>
      <c r="G1248" s="39"/>
      <c r="H1248" s="38" t="s">
        <v>1583</v>
      </c>
      <c r="I1248" s="38" t="s">
        <v>1584</v>
      </c>
      <c r="J1248" s="38" t="s">
        <v>125</v>
      </c>
      <c r="K1248" s="38" t="s">
        <v>126</v>
      </c>
      <c r="L1248" s="41">
        <v>46006.916666666664</v>
      </c>
      <c r="M1248" s="38" t="s">
        <v>123</v>
      </c>
      <c r="N1248" s="41">
        <v>46006.92361111111</v>
      </c>
      <c r="O1248" s="38" t="s">
        <v>123</v>
      </c>
      <c r="P1248" s="38">
        <v>600.0</v>
      </c>
      <c r="Q1248" s="39"/>
      <c r="R1248" s="39"/>
      <c r="S1248" s="38" t="s">
        <v>127</v>
      </c>
      <c r="T1248" s="39"/>
      <c r="U1248" s="39"/>
    </row>
    <row r="1249">
      <c r="A1249" s="40">
        <f t="shared" si="1"/>
        <v>46006</v>
      </c>
      <c r="B1249" s="37" t="str">
        <f t="array" ref="B1249">iferror(xlookup($I1249, 'IMPORT VHC Report'!$E:$E, 'IMPORT VHC Report'!$A:$C), )</f>
        <v/>
      </c>
      <c r="C1249" s="37"/>
      <c r="D1249" s="37"/>
      <c r="E1249" s="38" t="s">
        <v>1588</v>
      </c>
      <c r="F1249" s="38" t="s">
        <v>1582</v>
      </c>
      <c r="G1249" s="39"/>
      <c r="H1249" s="38" t="s">
        <v>1583</v>
      </c>
      <c r="I1249" s="38" t="s">
        <v>1584</v>
      </c>
      <c r="J1249" s="38" t="s">
        <v>122</v>
      </c>
      <c r="K1249" s="38" t="s">
        <v>63</v>
      </c>
      <c r="L1249" s="41">
        <v>46006.916666666664</v>
      </c>
      <c r="M1249" s="38" t="s">
        <v>123</v>
      </c>
      <c r="N1249" s="41">
        <v>46007.291666666664</v>
      </c>
      <c r="O1249" s="38" t="s">
        <v>123</v>
      </c>
      <c r="P1249" s="38">
        <v>32400.0</v>
      </c>
      <c r="Q1249" s="39"/>
      <c r="R1249" s="39"/>
      <c r="S1249" s="39"/>
      <c r="T1249" s="39"/>
      <c r="U1249" s="39"/>
    </row>
    <row r="1250">
      <c r="A1250" s="40">
        <f t="shared" si="1"/>
        <v>46006</v>
      </c>
      <c r="B1250" s="37" t="str">
        <f t="array" ref="B1250">iferror(xlookup($I1250, 'IMPORT VHC Report'!$E:$E, 'IMPORT VHC Report'!$A:$C), )</f>
        <v/>
      </c>
      <c r="C1250" s="37"/>
      <c r="D1250" s="37"/>
      <c r="E1250" s="38" t="s">
        <v>1589</v>
      </c>
      <c r="F1250" s="38" t="s">
        <v>1582</v>
      </c>
      <c r="G1250" s="39"/>
      <c r="H1250" s="38" t="s">
        <v>1583</v>
      </c>
      <c r="I1250" s="38" t="s">
        <v>1584</v>
      </c>
      <c r="J1250" s="38" t="s">
        <v>134</v>
      </c>
      <c r="K1250" s="38" t="s">
        <v>126</v>
      </c>
      <c r="L1250" s="41">
        <v>46007.0</v>
      </c>
      <c r="M1250" s="38" t="s">
        <v>123</v>
      </c>
      <c r="N1250" s="41">
        <v>46007.020833333336</v>
      </c>
      <c r="O1250" s="38" t="s">
        <v>123</v>
      </c>
      <c r="P1250" s="38">
        <v>1800.0</v>
      </c>
      <c r="Q1250" s="39"/>
      <c r="R1250" s="39"/>
      <c r="S1250" s="39"/>
      <c r="T1250" s="39"/>
      <c r="U1250" s="39"/>
    </row>
    <row r="1251">
      <c r="A1251" s="40">
        <f t="shared" si="1"/>
        <v>46006</v>
      </c>
      <c r="B1251" s="37" t="str">
        <f t="array" ref="B1251">iferror(xlookup($I1251, 'IMPORT VHC Report'!$E:$E, 'IMPORT VHC Report'!$A:$C), )</f>
        <v/>
      </c>
      <c r="C1251" s="37"/>
      <c r="D1251" s="37"/>
      <c r="E1251" s="38" t="s">
        <v>1590</v>
      </c>
      <c r="F1251" s="38" t="s">
        <v>1582</v>
      </c>
      <c r="G1251" s="39"/>
      <c r="H1251" s="38" t="s">
        <v>1583</v>
      </c>
      <c r="I1251" s="38" t="s">
        <v>1584</v>
      </c>
      <c r="J1251" s="38" t="s">
        <v>132</v>
      </c>
      <c r="K1251" s="38" t="s">
        <v>126</v>
      </c>
      <c r="L1251" s="41">
        <v>46007.125</v>
      </c>
      <c r="M1251" s="38" t="s">
        <v>123</v>
      </c>
      <c r="N1251" s="41">
        <v>46007.166666666664</v>
      </c>
      <c r="O1251" s="38" t="s">
        <v>123</v>
      </c>
      <c r="P1251" s="38">
        <v>3600.0</v>
      </c>
      <c r="Q1251" s="39"/>
      <c r="R1251" s="39"/>
      <c r="S1251" s="39"/>
      <c r="T1251" s="39"/>
      <c r="U1251" s="39"/>
    </row>
    <row r="1252">
      <c r="A1252" s="40">
        <f t="shared" si="1"/>
        <v>46006</v>
      </c>
      <c r="B1252" s="37" t="str">
        <f t="array" ref="B1252">iferror(xlookup($I1252, 'IMPORT VHC Report'!$E:$E, 'IMPORT VHC Report'!$A:$C), )</f>
        <v/>
      </c>
      <c r="C1252" s="37"/>
      <c r="D1252" s="37"/>
      <c r="E1252" s="38" t="s">
        <v>1591</v>
      </c>
      <c r="F1252" s="38" t="s">
        <v>1582</v>
      </c>
      <c r="G1252" s="39"/>
      <c r="H1252" s="38" t="s">
        <v>1583</v>
      </c>
      <c r="I1252" s="38" t="s">
        <v>1584</v>
      </c>
      <c r="J1252" s="38" t="s">
        <v>4</v>
      </c>
      <c r="K1252" s="38" t="s">
        <v>126</v>
      </c>
      <c r="L1252" s="41">
        <v>46007.166666666664</v>
      </c>
      <c r="M1252" s="38" t="s">
        <v>123</v>
      </c>
      <c r="N1252" s="41">
        <v>46007.208333333336</v>
      </c>
      <c r="O1252" s="38" t="s">
        <v>123</v>
      </c>
      <c r="P1252" s="38">
        <v>3600.0</v>
      </c>
      <c r="Q1252" s="39"/>
      <c r="R1252" s="39"/>
      <c r="S1252" s="38" t="s">
        <v>130</v>
      </c>
      <c r="T1252" s="39"/>
      <c r="U1252" s="39"/>
    </row>
    <row r="1253">
      <c r="A1253" s="40">
        <f t="shared" si="1"/>
        <v>46006</v>
      </c>
      <c r="B1253" s="37" t="str">
        <f t="array" ref="B1253">iferror(xlookup($I1253, 'IMPORT VHC Report'!$E:$E, 'IMPORT VHC Report'!$A:$C), )</f>
        <v/>
      </c>
      <c r="C1253" s="37"/>
      <c r="D1253" s="37"/>
      <c r="E1253" s="38" t="s">
        <v>1592</v>
      </c>
      <c r="F1253" s="38" t="s">
        <v>1582</v>
      </c>
      <c r="G1253" s="39"/>
      <c r="H1253" s="38" t="s">
        <v>1583</v>
      </c>
      <c r="I1253" s="38" t="s">
        <v>1584</v>
      </c>
      <c r="J1253" s="38" t="s">
        <v>125</v>
      </c>
      <c r="K1253" s="38" t="s">
        <v>126</v>
      </c>
      <c r="L1253" s="41">
        <v>46007.75</v>
      </c>
      <c r="M1253" s="38" t="s">
        <v>123</v>
      </c>
      <c r="N1253" s="41">
        <v>46007.756944444445</v>
      </c>
      <c r="O1253" s="38" t="s">
        <v>123</v>
      </c>
      <c r="P1253" s="38">
        <v>600.0</v>
      </c>
      <c r="Q1253" s="39"/>
      <c r="R1253" s="39"/>
      <c r="S1253" s="38" t="s">
        <v>127</v>
      </c>
      <c r="T1253" s="39"/>
      <c r="U1253" s="39"/>
    </row>
    <row r="1254">
      <c r="A1254" s="40">
        <f t="shared" si="1"/>
        <v>46006</v>
      </c>
      <c r="B1254" s="37" t="str">
        <f t="array" ref="B1254">iferror(xlookup($I1254, 'IMPORT VHC Report'!$E:$E, 'IMPORT VHC Report'!$A:$C), )</f>
        <v/>
      </c>
      <c r="C1254" s="37"/>
      <c r="D1254" s="37"/>
      <c r="E1254" s="38" t="s">
        <v>1593</v>
      </c>
      <c r="F1254" s="38" t="s">
        <v>1582</v>
      </c>
      <c r="G1254" s="39"/>
      <c r="H1254" s="38" t="s">
        <v>1583</v>
      </c>
      <c r="I1254" s="38" t="s">
        <v>1584</v>
      </c>
      <c r="J1254" s="38" t="s">
        <v>122</v>
      </c>
      <c r="K1254" s="38" t="s">
        <v>63</v>
      </c>
      <c r="L1254" s="41">
        <v>46007.75</v>
      </c>
      <c r="M1254" s="38" t="s">
        <v>123</v>
      </c>
      <c r="N1254" s="41">
        <v>46008.125</v>
      </c>
      <c r="O1254" s="38" t="s">
        <v>123</v>
      </c>
      <c r="P1254" s="38">
        <v>32400.0</v>
      </c>
      <c r="Q1254" s="39"/>
      <c r="R1254" s="39"/>
      <c r="S1254" s="39"/>
      <c r="T1254" s="39"/>
      <c r="U1254" s="39"/>
    </row>
    <row r="1255">
      <c r="A1255" s="40">
        <f t="shared" si="1"/>
        <v>46006</v>
      </c>
      <c r="B1255" s="37" t="str">
        <f t="array" ref="B1255">iferror(xlookup($I1255, 'IMPORT VHC Report'!$E:$E, 'IMPORT VHC Report'!$A:$C), )</f>
        <v/>
      </c>
      <c r="C1255" s="37"/>
      <c r="D1255" s="37"/>
      <c r="E1255" s="38" t="s">
        <v>1594</v>
      </c>
      <c r="F1255" s="38" t="s">
        <v>1582</v>
      </c>
      <c r="G1255" s="39"/>
      <c r="H1255" s="38" t="s">
        <v>1583</v>
      </c>
      <c r="I1255" s="38" t="s">
        <v>1584</v>
      </c>
      <c r="J1255" s="38" t="s">
        <v>134</v>
      </c>
      <c r="K1255" s="38" t="s">
        <v>126</v>
      </c>
      <c r="L1255" s="41">
        <v>46007.895833333336</v>
      </c>
      <c r="M1255" s="38" t="s">
        <v>123</v>
      </c>
      <c r="N1255" s="41">
        <v>46007.916666666664</v>
      </c>
      <c r="O1255" s="38" t="s">
        <v>123</v>
      </c>
      <c r="P1255" s="38">
        <v>1800.0</v>
      </c>
      <c r="Q1255" s="39"/>
      <c r="R1255" s="39"/>
      <c r="S1255" s="39"/>
      <c r="T1255" s="39"/>
      <c r="U1255" s="39"/>
    </row>
    <row r="1256">
      <c r="A1256" s="40">
        <f t="shared" si="1"/>
        <v>46006</v>
      </c>
      <c r="B1256" s="37" t="str">
        <f t="array" ref="B1256">iferror(xlookup($I1256, 'IMPORT VHC Report'!$E:$E, 'IMPORT VHC Report'!$A:$C), )</f>
        <v/>
      </c>
      <c r="C1256" s="37"/>
      <c r="D1256" s="37"/>
      <c r="E1256" s="38" t="s">
        <v>1595</v>
      </c>
      <c r="F1256" s="38" t="s">
        <v>1582</v>
      </c>
      <c r="G1256" s="39"/>
      <c r="H1256" s="38" t="s">
        <v>1583</v>
      </c>
      <c r="I1256" s="38" t="s">
        <v>1584</v>
      </c>
      <c r="J1256" s="38" t="s">
        <v>132</v>
      </c>
      <c r="K1256" s="38" t="s">
        <v>126</v>
      </c>
      <c r="L1256" s="41">
        <v>46008.0</v>
      </c>
      <c r="M1256" s="38" t="s">
        <v>123</v>
      </c>
      <c r="N1256" s="41">
        <v>46008.041666666664</v>
      </c>
      <c r="O1256" s="38" t="s">
        <v>123</v>
      </c>
      <c r="P1256" s="38">
        <v>3600.0</v>
      </c>
      <c r="Q1256" s="39"/>
      <c r="R1256" s="39"/>
      <c r="S1256" s="39"/>
      <c r="T1256" s="39"/>
      <c r="U1256" s="39"/>
    </row>
    <row r="1257">
      <c r="A1257" s="40">
        <f t="shared" si="1"/>
        <v>46006</v>
      </c>
      <c r="B1257" s="37" t="str">
        <f t="array" ref="B1257">iferror(xlookup($I1257, 'IMPORT VHC Report'!$E:$E, 'IMPORT VHC Report'!$A:$C), )</f>
        <v/>
      </c>
      <c r="C1257" s="37"/>
      <c r="D1257" s="37"/>
      <c r="E1257" s="38" t="s">
        <v>1596</v>
      </c>
      <c r="F1257" s="38" t="s">
        <v>1582</v>
      </c>
      <c r="G1257" s="39"/>
      <c r="H1257" s="38" t="s">
        <v>1583</v>
      </c>
      <c r="I1257" s="38" t="s">
        <v>1584</v>
      </c>
      <c r="J1257" s="38" t="s">
        <v>136</v>
      </c>
      <c r="K1257" s="38" t="s">
        <v>126</v>
      </c>
      <c r="L1257" s="41">
        <v>46008.916666666664</v>
      </c>
      <c r="M1257" s="38" t="s">
        <v>123</v>
      </c>
      <c r="N1257" s="41">
        <v>46008.947916666664</v>
      </c>
      <c r="O1257" s="38" t="s">
        <v>123</v>
      </c>
      <c r="P1257" s="38">
        <v>2700.0</v>
      </c>
      <c r="Q1257" s="39"/>
      <c r="R1257" s="39"/>
      <c r="S1257" s="38" t="s">
        <v>137</v>
      </c>
      <c r="T1257" s="39"/>
      <c r="U1257" s="39"/>
    </row>
    <row r="1258">
      <c r="A1258" s="40">
        <f t="shared" si="1"/>
        <v>46006</v>
      </c>
      <c r="B1258" s="37" t="str">
        <f t="array" ref="B1258">iferror(xlookup($I1258, 'IMPORT VHC Report'!$E:$E, 'IMPORT VHC Report'!$A:$C), )</f>
        <v/>
      </c>
      <c r="C1258" s="37"/>
      <c r="D1258" s="37"/>
      <c r="E1258" s="38" t="s">
        <v>1597</v>
      </c>
      <c r="F1258" s="38" t="s">
        <v>1582</v>
      </c>
      <c r="G1258" s="39"/>
      <c r="H1258" s="38" t="s">
        <v>1583</v>
      </c>
      <c r="I1258" s="38" t="s">
        <v>1584</v>
      </c>
      <c r="J1258" s="38" t="s">
        <v>152</v>
      </c>
      <c r="K1258" s="38" t="s">
        <v>153</v>
      </c>
      <c r="L1258" s="41">
        <v>46008.916666666664</v>
      </c>
      <c r="M1258" s="38" t="s">
        <v>123</v>
      </c>
      <c r="N1258" s="41">
        <v>46009.291666666664</v>
      </c>
      <c r="O1258" s="38" t="s">
        <v>123</v>
      </c>
      <c r="P1258" s="38">
        <v>32400.0</v>
      </c>
      <c r="Q1258" s="38">
        <v>32400.0</v>
      </c>
      <c r="R1258" s="38" t="s">
        <v>1598</v>
      </c>
      <c r="S1258" s="38" t="s">
        <v>1598</v>
      </c>
      <c r="T1258" s="39"/>
      <c r="U1258" s="39"/>
    </row>
    <row r="1259">
      <c r="A1259" s="40">
        <f t="shared" si="1"/>
        <v>46006</v>
      </c>
      <c r="B1259" s="37" t="str">
        <f t="array" ref="B1259">iferror(xlookup($I1259, 'IMPORT VHC Report'!$E:$E, 'IMPORT VHC Report'!$A:$C), )</f>
        <v/>
      </c>
      <c r="C1259" s="37"/>
      <c r="D1259" s="37"/>
      <c r="E1259" s="38" t="s">
        <v>1599</v>
      </c>
      <c r="F1259" s="38" t="s">
        <v>1582</v>
      </c>
      <c r="G1259" s="39"/>
      <c r="H1259" s="38" t="s">
        <v>1583</v>
      </c>
      <c r="I1259" s="38" t="s">
        <v>1584</v>
      </c>
      <c r="J1259" s="38" t="s">
        <v>122</v>
      </c>
      <c r="K1259" s="38" t="s">
        <v>63</v>
      </c>
      <c r="L1259" s="41">
        <v>46008.916666666664</v>
      </c>
      <c r="M1259" s="38" t="s">
        <v>123</v>
      </c>
      <c r="N1259" s="41">
        <v>46009.291666666664</v>
      </c>
      <c r="O1259" s="38" t="s">
        <v>123</v>
      </c>
      <c r="P1259" s="38">
        <v>32400.0</v>
      </c>
      <c r="Q1259" s="39"/>
      <c r="R1259" s="39"/>
      <c r="S1259" s="39"/>
      <c r="T1259" s="39"/>
      <c r="U1259" s="39"/>
    </row>
    <row r="1260">
      <c r="A1260" s="40">
        <f t="shared" si="1"/>
        <v>46006</v>
      </c>
      <c r="B1260" s="37" t="str">
        <f t="array" ref="B1260">iferror(xlookup($I1260, 'IMPORT VHC Report'!$E:$E, 'IMPORT VHC Report'!$A:$C), )</f>
        <v/>
      </c>
      <c r="C1260" s="37"/>
      <c r="D1260" s="37"/>
      <c r="E1260" s="38" t="s">
        <v>1600</v>
      </c>
      <c r="F1260" s="38" t="s">
        <v>1582</v>
      </c>
      <c r="G1260" s="39"/>
      <c r="H1260" s="38" t="s">
        <v>1583</v>
      </c>
      <c r="I1260" s="38" t="s">
        <v>1584</v>
      </c>
      <c r="J1260" s="38" t="s">
        <v>125</v>
      </c>
      <c r="K1260" s="38" t="s">
        <v>126</v>
      </c>
      <c r="L1260" s="41">
        <v>46008.947916666664</v>
      </c>
      <c r="M1260" s="38" t="s">
        <v>123</v>
      </c>
      <c r="N1260" s="41">
        <v>46008.95486111111</v>
      </c>
      <c r="O1260" s="38" t="s">
        <v>123</v>
      </c>
      <c r="P1260" s="38">
        <v>600.0</v>
      </c>
      <c r="Q1260" s="39"/>
      <c r="R1260" s="39"/>
      <c r="S1260" s="38" t="s">
        <v>127</v>
      </c>
      <c r="T1260" s="39"/>
      <c r="U1260" s="39"/>
    </row>
    <row r="1261">
      <c r="A1261" s="40">
        <f t="shared" si="1"/>
        <v>46006</v>
      </c>
      <c r="B1261" s="37" t="str">
        <f t="array" ref="B1261">iferror(xlookup($I1261, 'IMPORT VHC Report'!$E:$E, 'IMPORT VHC Report'!$A:$C), )</f>
        <v/>
      </c>
      <c r="C1261" s="37"/>
      <c r="D1261" s="37"/>
      <c r="E1261" s="38" t="s">
        <v>1601</v>
      </c>
      <c r="F1261" s="38" t="s">
        <v>1582</v>
      </c>
      <c r="G1261" s="39"/>
      <c r="H1261" s="38" t="s">
        <v>1583</v>
      </c>
      <c r="I1261" s="38" t="s">
        <v>1584</v>
      </c>
      <c r="J1261" s="38" t="s">
        <v>134</v>
      </c>
      <c r="K1261" s="38" t="s">
        <v>126</v>
      </c>
      <c r="L1261" s="41">
        <v>46009.020833333336</v>
      </c>
      <c r="M1261" s="38" t="s">
        <v>123</v>
      </c>
      <c r="N1261" s="41">
        <v>46009.041666666664</v>
      </c>
      <c r="O1261" s="38" t="s">
        <v>123</v>
      </c>
      <c r="P1261" s="38">
        <v>1800.0</v>
      </c>
      <c r="Q1261" s="39"/>
      <c r="R1261" s="39"/>
      <c r="S1261" s="39"/>
      <c r="T1261" s="39"/>
      <c r="U1261" s="39"/>
    </row>
    <row r="1262">
      <c r="A1262" s="40">
        <f t="shared" si="1"/>
        <v>46006</v>
      </c>
      <c r="B1262" s="37" t="str">
        <f t="array" ref="B1262">iferror(xlookup($I1262, 'IMPORT VHC Report'!$E:$E, 'IMPORT VHC Report'!$A:$C), )</f>
        <v/>
      </c>
      <c r="C1262" s="37"/>
      <c r="D1262" s="37"/>
      <c r="E1262" s="38" t="s">
        <v>1602</v>
      </c>
      <c r="F1262" s="38" t="s">
        <v>1582</v>
      </c>
      <c r="G1262" s="39"/>
      <c r="H1262" s="38" t="s">
        <v>1583</v>
      </c>
      <c r="I1262" s="38" t="s">
        <v>1584</v>
      </c>
      <c r="J1262" s="38" t="s">
        <v>132</v>
      </c>
      <c r="K1262" s="38" t="s">
        <v>126</v>
      </c>
      <c r="L1262" s="41">
        <v>46009.166666666664</v>
      </c>
      <c r="M1262" s="38" t="s">
        <v>123</v>
      </c>
      <c r="N1262" s="41">
        <v>46009.208333333336</v>
      </c>
      <c r="O1262" s="38" t="s">
        <v>123</v>
      </c>
      <c r="P1262" s="38">
        <v>3600.0</v>
      </c>
      <c r="Q1262" s="39"/>
      <c r="R1262" s="39"/>
      <c r="S1262" s="39"/>
      <c r="T1262" s="39"/>
      <c r="U1262" s="39"/>
    </row>
    <row r="1263">
      <c r="A1263" s="40">
        <f t="shared" si="1"/>
        <v>46006</v>
      </c>
      <c r="B1263" s="37" t="str">
        <f t="array" ref="B1263">iferror(xlookup($I1263, 'IMPORT VHC Report'!$E:$E, 'IMPORT VHC Report'!$A:$C), )</f>
        <v/>
      </c>
      <c r="C1263" s="37"/>
      <c r="D1263" s="37"/>
      <c r="E1263" s="38" t="s">
        <v>1603</v>
      </c>
      <c r="F1263" s="38" t="s">
        <v>1582</v>
      </c>
      <c r="G1263" s="39"/>
      <c r="H1263" s="38" t="s">
        <v>1583</v>
      </c>
      <c r="I1263" s="38" t="s">
        <v>1584</v>
      </c>
      <c r="J1263" s="38" t="s">
        <v>125</v>
      </c>
      <c r="K1263" s="38" t="s">
        <v>126</v>
      </c>
      <c r="L1263" s="41">
        <v>46009.916666666664</v>
      </c>
      <c r="M1263" s="38" t="s">
        <v>123</v>
      </c>
      <c r="N1263" s="41">
        <v>46009.92361111111</v>
      </c>
      <c r="O1263" s="38" t="s">
        <v>123</v>
      </c>
      <c r="P1263" s="38">
        <v>600.0</v>
      </c>
      <c r="Q1263" s="39"/>
      <c r="R1263" s="39"/>
      <c r="S1263" s="38" t="s">
        <v>127</v>
      </c>
      <c r="T1263" s="39"/>
      <c r="U1263" s="39"/>
    </row>
    <row r="1264">
      <c r="A1264" s="40">
        <f t="shared" si="1"/>
        <v>46006</v>
      </c>
      <c r="B1264" s="37" t="str">
        <f t="array" ref="B1264">iferror(xlookup($I1264, 'IMPORT VHC Report'!$E:$E, 'IMPORT VHC Report'!$A:$C), )</f>
        <v/>
      </c>
      <c r="C1264" s="37"/>
      <c r="D1264" s="37"/>
      <c r="E1264" s="38" t="s">
        <v>1604</v>
      </c>
      <c r="F1264" s="38" t="s">
        <v>1582</v>
      </c>
      <c r="G1264" s="39"/>
      <c r="H1264" s="38" t="s">
        <v>1583</v>
      </c>
      <c r="I1264" s="38" t="s">
        <v>1584</v>
      </c>
      <c r="J1264" s="38" t="s">
        <v>152</v>
      </c>
      <c r="K1264" s="38" t="s">
        <v>153</v>
      </c>
      <c r="L1264" s="41">
        <v>46009.916666666664</v>
      </c>
      <c r="M1264" s="38" t="s">
        <v>123</v>
      </c>
      <c r="N1264" s="41">
        <v>46010.291666666664</v>
      </c>
      <c r="O1264" s="38" t="s">
        <v>123</v>
      </c>
      <c r="P1264" s="38">
        <v>32400.0</v>
      </c>
      <c r="Q1264" s="38">
        <v>32400.0</v>
      </c>
      <c r="R1264" s="38" t="s">
        <v>1598</v>
      </c>
      <c r="S1264" s="38" t="s">
        <v>1598</v>
      </c>
      <c r="T1264" s="39"/>
      <c r="U1264" s="39"/>
    </row>
    <row r="1265">
      <c r="A1265" s="40">
        <f t="shared" si="1"/>
        <v>46006</v>
      </c>
      <c r="B1265" s="37" t="str">
        <f t="array" ref="B1265">iferror(xlookup($I1265, 'IMPORT VHC Report'!$E:$E, 'IMPORT VHC Report'!$A:$C), )</f>
        <v/>
      </c>
      <c r="C1265" s="37"/>
      <c r="D1265" s="37"/>
      <c r="E1265" s="38" t="s">
        <v>1605</v>
      </c>
      <c r="F1265" s="38" t="s">
        <v>1582</v>
      </c>
      <c r="G1265" s="39"/>
      <c r="H1265" s="38" t="s">
        <v>1583</v>
      </c>
      <c r="I1265" s="38" t="s">
        <v>1584</v>
      </c>
      <c r="J1265" s="38" t="s">
        <v>122</v>
      </c>
      <c r="K1265" s="38" t="s">
        <v>63</v>
      </c>
      <c r="L1265" s="41">
        <v>46009.916666666664</v>
      </c>
      <c r="M1265" s="38" t="s">
        <v>123</v>
      </c>
      <c r="N1265" s="41">
        <v>46010.291666666664</v>
      </c>
      <c r="O1265" s="38" t="s">
        <v>123</v>
      </c>
      <c r="P1265" s="38">
        <v>32400.0</v>
      </c>
      <c r="Q1265" s="39"/>
      <c r="R1265" s="39"/>
      <c r="S1265" s="39"/>
      <c r="T1265" s="39"/>
      <c r="U1265" s="39"/>
    </row>
    <row r="1266">
      <c r="A1266" s="40">
        <f t="shared" si="1"/>
        <v>46006</v>
      </c>
      <c r="B1266" s="37" t="str">
        <f t="array" ref="B1266">iferror(xlookup($I1266, 'IMPORT VHC Report'!$E:$E, 'IMPORT VHC Report'!$A:$C), )</f>
        <v/>
      </c>
      <c r="C1266" s="37"/>
      <c r="D1266" s="37"/>
      <c r="E1266" s="38" t="s">
        <v>1606</v>
      </c>
      <c r="F1266" s="38" t="s">
        <v>1582</v>
      </c>
      <c r="G1266" s="39"/>
      <c r="H1266" s="38" t="s">
        <v>1583</v>
      </c>
      <c r="I1266" s="38" t="s">
        <v>1584</v>
      </c>
      <c r="J1266" s="38" t="s">
        <v>132</v>
      </c>
      <c r="K1266" s="38" t="s">
        <v>126</v>
      </c>
      <c r="L1266" s="41">
        <v>46009.989583333336</v>
      </c>
      <c r="M1266" s="38" t="s">
        <v>123</v>
      </c>
      <c r="N1266" s="41">
        <v>46010.03125</v>
      </c>
      <c r="O1266" s="38" t="s">
        <v>123</v>
      </c>
      <c r="P1266" s="38">
        <v>3600.0</v>
      </c>
      <c r="Q1266" s="39"/>
      <c r="R1266" s="39"/>
      <c r="S1266" s="39"/>
      <c r="T1266" s="39"/>
      <c r="U1266" s="39"/>
    </row>
    <row r="1267">
      <c r="A1267" s="40">
        <f t="shared" si="1"/>
        <v>46006</v>
      </c>
      <c r="B1267" s="37" t="str">
        <f t="array" ref="B1267">iferror(xlookup($I1267, 'IMPORT VHC Report'!$E:$E, 'IMPORT VHC Report'!$A:$C), )</f>
        <v/>
      </c>
      <c r="C1267" s="37"/>
      <c r="D1267" s="37"/>
      <c r="E1267" s="38" t="s">
        <v>1607</v>
      </c>
      <c r="F1267" s="38" t="s">
        <v>1582</v>
      </c>
      <c r="G1267" s="39"/>
      <c r="H1267" s="38" t="s">
        <v>1583</v>
      </c>
      <c r="I1267" s="38" t="s">
        <v>1584</v>
      </c>
      <c r="J1267" s="38" t="s">
        <v>134</v>
      </c>
      <c r="K1267" s="38" t="s">
        <v>126</v>
      </c>
      <c r="L1267" s="41">
        <v>46010.166666666664</v>
      </c>
      <c r="M1267" s="38" t="s">
        <v>123</v>
      </c>
      <c r="N1267" s="41">
        <v>46010.1875</v>
      </c>
      <c r="O1267" s="38" t="s">
        <v>123</v>
      </c>
      <c r="P1267" s="38">
        <v>1800.0</v>
      </c>
      <c r="Q1267" s="39"/>
      <c r="R1267" s="39"/>
      <c r="S1267" s="39"/>
      <c r="T1267" s="39"/>
      <c r="U1267" s="39"/>
    </row>
    <row r="1268">
      <c r="A1268" s="40">
        <f t="shared" si="1"/>
        <v>46006</v>
      </c>
      <c r="B1268" s="37" t="str">
        <f t="array" ref="B1268">iferror(xlookup($I1268, 'IMPORT VHC Report'!$E:$E, 'IMPORT VHC Report'!$A:$C), )</f>
        <v/>
      </c>
      <c r="C1268" s="37"/>
      <c r="D1268" s="37"/>
      <c r="E1268" s="38" t="s">
        <v>1608</v>
      </c>
      <c r="F1268" s="38" t="s">
        <v>1582</v>
      </c>
      <c r="G1268" s="39"/>
      <c r="H1268" s="38" t="s">
        <v>1583</v>
      </c>
      <c r="I1268" s="38" t="s">
        <v>1584</v>
      </c>
      <c r="J1268" s="38" t="s">
        <v>125</v>
      </c>
      <c r="K1268" s="38" t="s">
        <v>126</v>
      </c>
      <c r="L1268" s="41">
        <v>46012.916666666664</v>
      </c>
      <c r="M1268" s="38" t="s">
        <v>123</v>
      </c>
      <c r="N1268" s="41">
        <v>46012.92361111111</v>
      </c>
      <c r="O1268" s="38" t="s">
        <v>123</v>
      </c>
      <c r="P1268" s="38">
        <v>600.0</v>
      </c>
      <c r="Q1268" s="39"/>
      <c r="R1268" s="39"/>
      <c r="S1268" s="38" t="s">
        <v>127</v>
      </c>
      <c r="T1268" s="39"/>
      <c r="U1268" s="39"/>
    </row>
    <row r="1269">
      <c r="A1269" s="40">
        <f t="shared" si="1"/>
        <v>46006</v>
      </c>
      <c r="B1269" s="37" t="str">
        <f t="array" ref="B1269">iferror(xlookup($I1269, 'IMPORT VHC Report'!$E:$E, 'IMPORT VHC Report'!$A:$C), )</f>
        <v/>
      </c>
      <c r="C1269" s="37"/>
      <c r="D1269" s="37"/>
      <c r="E1269" s="38" t="s">
        <v>1609</v>
      </c>
      <c r="F1269" s="38" t="s">
        <v>1582</v>
      </c>
      <c r="G1269" s="39"/>
      <c r="H1269" s="38" t="s">
        <v>1583</v>
      </c>
      <c r="I1269" s="38" t="s">
        <v>1584</v>
      </c>
      <c r="J1269" s="38" t="s">
        <v>122</v>
      </c>
      <c r="K1269" s="38" t="s">
        <v>63</v>
      </c>
      <c r="L1269" s="41">
        <v>46012.916666666664</v>
      </c>
      <c r="M1269" s="38" t="s">
        <v>123</v>
      </c>
      <c r="N1269" s="41">
        <v>46013.0</v>
      </c>
      <c r="O1269" s="38" t="s">
        <v>123</v>
      </c>
      <c r="P1269" s="38">
        <v>7200.0</v>
      </c>
      <c r="Q1269" s="39"/>
      <c r="R1269" s="39"/>
      <c r="S1269" s="39"/>
      <c r="T1269" s="39"/>
      <c r="U1269" s="39"/>
    </row>
    <row r="1270">
      <c r="A1270" s="40">
        <f t="shared" si="1"/>
        <v>46006</v>
      </c>
      <c r="B1270" s="37" t="str">
        <f t="array" ref="B1270">iferror(xlookup($I1270, 'IMPORT VHC Report'!$E:$E, 'IMPORT VHC Report'!$A:$C), )</f>
        <v/>
      </c>
      <c r="C1270" s="37"/>
      <c r="D1270" s="37"/>
      <c r="E1270" s="38" t="s">
        <v>1610</v>
      </c>
      <c r="F1270" s="38" t="s">
        <v>1611</v>
      </c>
      <c r="G1270" s="38">
        <v>5.901973593231E12</v>
      </c>
      <c r="H1270" s="38" t="s">
        <v>1612</v>
      </c>
      <c r="I1270" s="38" t="s">
        <v>1613</v>
      </c>
      <c r="J1270" s="38" t="s">
        <v>196</v>
      </c>
      <c r="K1270" s="38" t="s">
        <v>63</v>
      </c>
      <c r="L1270" s="41">
        <v>46006.0</v>
      </c>
      <c r="M1270" s="38" t="s">
        <v>123</v>
      </c>
      <c r="N1270" s="41">
        <v>46006.208333333336</v>
      </c>
      <c r="O1270" s="38" t="s">
        <v>123</v>
      </c>
      <c r="P1270" s="38">
        <v>18000.0</v>
      </c>
      <c r="Q1270" s="39"/>
      <c r="R1270" s="39"/>
      <c r="S1270" s="39"/>
      <c r="T1270" s="39"/>
      <c r="U1270" s="39"/>
    </row>
    <row r="1271">
      <c r="A1271" s="40">
        <f t="shared" si="1"/>
        <v>46006</v>
      </c>
      <c r="B1271" s="37" t="str">
        <f t="array" ref="B1271">iferror(xlookup($I1271, 'IMPORT VHC Report'!$E:$E, 'IMPORT VHC Report'!$A:$C), )</f>
        <v/>
      </c>
      <c r="C1271" s="37"/>
      <c r="D1271" s="37"/>
      <c r="E1271" s="38" t="s">
        <v>1614</v>
      </c>
      <c r="F1271" s="38" t="s">
        <v>1611</v>
      </c>
      <c r="G1271" s="38">
        <v>5.901973593231E12</v>
      </c>
      <c r="H1271" s="38" t="s">
        <v>1612</v>
      </c>
      <c r="I1271" s="38" t="s">
        <v>1613</v>
      </c>
      <c r="J1271" s="38" t="s">
        <v>132</v>
      </c>
      <c r="K1271" s="38" t="s">
        <v>126</v>
      </c>
      <c r="L1271" s="41">
        <v>46006.083333333336</v>
      </c>
      <c r="M1271" s="38" t="s">
        <v>123</v>
      </c>
      <c r="N1271" s="41">
        <v>46006.125</v>
      </c>
      <c r="O1271" s="38" t="s">
        <v>123</v>
      </c>
      <c r="P1271" s="38">
        <v>3600.0</v>
      </c>
      <c r="Q1271" s="39"/>
      <c r="R1271" s="39"/>
      <c r="S1271" s="39"/>
      <c r="T1271" s="39"/>
      <c r="U1271" s="39"/>
    </row>
    <row r="1272">
      <c r="A1272" s="40">
        <f t="shared" si="1"/>
        <v>46006</v>
      </c>
      <c r="B1272" s="37" t="str">
        <f t="array" ref="B1272">iferror(xlookup($I1272, 'IMPORT VHC Report'!$E:$E, 'IMPORT VHC Report'!$A:$C), )</f>
        <v/>
      </c>
      <c r="C1272" s="37"/>
      <c r="D1272" s="37"/>
      <c r="E1272" s="38" t="s">
        <v>1615</v>
      </c>
      <c r="F1272" s="38" t="s">
        <v>1611</v>
      </c>
      <c r="G1272" s="38">
        <v>5.901973593231E12</v>
      </c>
      <c r="H1272" s="38" t="s">
        <v>1612</v>
      </c>
      <c r="I1272" s="38" t="s">
        <v>1613</v>
      </c>
      <c r="J1272" s="38" t="s">
        <v>125</v>
      </c>
      <c r="K1272" s="38" t="s">
        <v>126</v>
      </c>
      <c r="L1272" s="41">
        <v>46006.833333333336</v>
      </c>
      <c r="M1272" s="38" t="s">
        <v>123</v>
      </c>
      <c r="N1272" s="41">
        <v>46006.84375</v>
      </c>
      <c r="O1272" s="38" t="s">
        <v>123</v>
      </c>
      <c r="P1272" s="38">
        <v>900.0</v>
      </c>
      <c r="Q1272" s="39"/>
      <c r="R1272" s="39"/>
      <c r="S1272" s="38" t="s">
        <v>199</v>
      </c>
      <c r="T1272" s="39"/>
      <c r="U1272" s="39"/>
    </row>
    <row r="1273">
      <c r="A1273" s="40">
        <f t="shared" si="1"/>
        <v>46006</v>
      </c>
      <c r="B1273" s="37" t="str">
        <f t="array" ref="B1273">iferror(xlookup($I1273, 'IMPORT VHC Report'!$E:$E, 'IMPORT VHC Report'!$A:$C), )</f>
        <v/>
      </c>
      <c r="C1273" s="37"/>
      <c r="D1273" s="37"/>
      <c r="E1273" s="38" t="s">
        <v>1616</v>
      </c>
      <c r="F1273" s="38" t="s">
        <v>1611</v>
      </c>
      <c r="G1273" s="38">
        <v>5.901973593231E12</v>
      </c>
      <c r="H1273" s="38" t="s">
        <v>1612</v>
      </c>
      <c r="I1273" s="38" t="s">
        <v>1613</v>
      </c>
      <c r="J1273" s="38" t="s">
        <v>152</v>
      </c>
      <c r="K1273" s="38" t="s">
        <v>153</v>
      </c>
      <c r="L1273" s="41">
        <v>46006.833333333336</v>
      </c>
      <c r="M1273" s="38" t="s">
        <v>123</v>
      </c>
      <c r="N1273" s="41">
        <v>46007.208333333336</v>
      </c>
      <c r="O1273" s="38" t="s">
        <v>123</v>
      </c>
      <c r="P1273" s="38">
        <v>32400.0</v>
      </c>
      <c r="Q1273" s="38">
        <v>28800.0</v>
      </c>
      <c r="R1273" s="38" t="s">
        <v>1617</v>
      </c>
      <c r="S1273" s="39"/>
      <c r="T1273" s="39"/>
      <c r="U1273" s="39"/>
    </row>
    <row r="1274">
      <c r="A1274" s="40">
        <f t="shared" si="1"/>
        <v>46006</v>
      </c>
      <c r="B1274" s="37" t="str">
        <f t="array" ref="B1274">iferror(xlookup($I1274, 'IMPORT VHC Report'!$E:$E, 'IMPORT VHC Report'!$A:$C), )</f>
        <v/>
      </c>
      <c r="C1274" s="37"/>
      <c r="D1274" s="37"/>
      <c r="E1274" s="38" t="s">
        <v>1618</v>
      </c>
      <c r="F1274" s="38" t="s">
        <v>1611</v>
      </c>
      <c r="G1274" s="38">
        <v>5.901973593231E12</v>
      </c>
      <c r="H1274" s="38" t="s">
        <v>1612</v>
      </c>
      <c r="I1274" s="38" t="s">
        <v>1613</v>
      </c>
      <c r="J1274" s="38" t="s">
        <v>196</v>
      </c>
      <c r="K1274" s="38" t="s">
        <v>63</v>
      </c>
      <c r="L1274" s="41">
        <v>46006.833333333336</v>
      </c>
      <c r="M1274" s="38" t="s">
        <v>123</v>
      </c>
      <c r="N1274" s="41">
        <v>46007.208333333336</v>
      </c>
      <c r="O1274" s="38" t="s">
        <v>123</v>
      </c>
      <c r="P1274" s="38">
        <v>32400.0</v>
      </c>
      <c r="Q1274" s="39"/>
      <c r="R1274" s="39"/>
      <c r="S1274" s="39"/>
      <c r="T1274" s="39"/>
      <c r="U1274" s="39"/>
    </row>
    <row r="1275">
      <c r="A1275" s="40">
        <f t="shared" si="1"/>
        <v>46006</v>
      </c>
      <c r="B1275" s="37" t="str">
        <f t="array" ref="B1275">iferror(xlookup($I1275, 'IMPORT VHC Report'!$E:$E, 'IMPORT VHC Report'!$A:$C), )</f>
        <v/>
      </c>
      <c r="C1275" s="37"/>
      <c r="D1275" s="37"/>
      <c r="E1275" s="38" t="s">
        <v>1619</v>
      </c>
      <c r="F1275" s="38" t="s">
        <v>1611</v>
      </c>
      <c r="G1275" s="38">
        <v>5.901973593231E12</v>
      </c>
      <c r="H1275" s="38" t="s">
        <v>1612</v>
      </c>
      <c r="I1275" s="38" t="s">
        <v>1613</v>
      </c>
      <c r="J1275" s="38" t="s">
        <v>134</v>
      </c>
      <c r="K1275" s="38" t="s">
        <v>126</v>
      </c>
      <c r="L1275" s="41">
        <v>46006.958333333336</v>
      </c>
      <c r="M1275" s="38" t="s">
        <v>123</v>
      </c>
      <c r="N1275" s="41">
        <v>46006.979166666664</v>
      </c>
      <c r="O1275" s="38" t="s">
        <v>123</v>
      </c>
      <c r="P1275" s="38">
        <v>1800.0</v>
      </c>
      <c r="Q1275" s="39"/>
      <c r="R1275" s="39"/>
      <c r="S1275" s="39"/>
      <c r="T1275" s="39"/>
      <c r="U1275" s="39"/>
    </row>
    <row r="1276">
      <c r="A1276" s="40">
        <f t="shared" si="1"/>
        <v>46006</v>
      </c>
      <c r="B1276" s="37" t="str">
        <f t="array" ref="B1276">iferror(xlookup($I1276, 'IMPORT VHC Report'!$E:$E, 'IMPORT VHC Report'!$A:$C), )</f>
        <v/>
      </c>
      <c r="C1276" s="37"/>
      <c r="D1276" s="37"/>
      <c r="E1276" s="38" t="s">
        <v>1620</v>
      </c>
      <c r="F1276" s="38" t="s">
        <v>1611</v>
      </c>
      <c r="G1276" s="38">
        <v>5.901973593231E12</v>
      </c>
      <c r="H1276" s="38" t="s">
        <v>1612</v>
      </c>
      <c r="I1276" s="38" t="s">
        <v>1613</v>
      </c>
      <c r="J1276" s="38" t="s">
        <v>132</v>
      </c>
      <c r="K1276" s="38" t="s">
        <v>126</v>
      </c>
      <c r="L1276" s="41">
        <v>46007.083333333336</v>
      </c>
      <c r="M1276" s="38" t="s">
        <v>123</v>
      </c>
      <c r="N1276" s="41">
        <v>46007.125</v>
      </c>
      <c r="O1276" s="38" t="s">
        <v>123</v>
      </c>
      <c r="P1276" s="38">
        <v>3600.0</v>
      </c>
      <c r="Q1276" s="39"/>
      <c r="R1276" s="39"/>
      <c r="S1276" s="39"/>
      <c r="T1276" s="39"/>
      <c r="U1276" s="39"/>
    </row>
    <row r="1277">
      <c r="A1277" s="40">
        <f t="shared" si="1"/>
        <v>46006</v>
      </c>
      <c r="B1277" s="37" t="str">
        <f t="array" ref="B1277">iferror(xlookup($I1277, 'IMPORT VHC Report'!$E:$E, 'IMPORT VHC Report'!$A:$C), )</f>
        <v/>
      </c>
      <c r="C1277" s="37"/>
      <c r="D1277" s="37"/>
      <c r="E1277" s="38" t="s">
        <v>1621</v>
      </c>
      <c r="F1277" s="38" t="s">
        <v>1611</v>
      </c>
      <c r="G1277" s="38">
        <v>5.901973593231E12</v>
      </c>
      <c r="H1277" s="38" t="s">
        <v>1612</v>
      </c>
      <c r="I1277" s="38" t="s">
        <v>1613</v>
      </c>
      <c r="J1277" s="38" t="s">
        <v>125</v>
      </c>
      <c r="K1277" s="38" t="s">
        <v>126</v>
      </c>
      <c r="L1277" s="41">
        <v>46007.833333333336</v>
      </c>
      <c r="M1277" s="38" t="s">
        <v>123</v>
      </c>
      <c r="N1277" s="41">
        <v>46007.84375</v>
      </c>
      <c r="O1277" s="38" t="s">
        <v>123</v>
      </c>
      <c r="P1277" s="38">
        <v>900.0</v>
      </c>
      <c r="Q1277" s="39"/>
      <c r="R1277" s="39"/>
      <c r="S1277" s="38" t="s">
        <v>199</v>
      </c>
      <c r="T1277" s="39"/>
      <c r="U1277" s="39"/>
    </row>
    <row r="1278">
      <c r="A1278" s="40">
        <f t="shared" si="1"/>
        <v>46006</v>
      </c>
      <c r="B1278" s="37" t="str">
        <f t="array" ref="B1278">iferror(xlookup($I1278, 'IMPORT VHC Report'!$E:$E, 'IMPORT VHC Report'!$A:$C), )</f>
        <v/>
      </c>
      <c r="C1278" s="37"/>
      <c r="D1278" s="37"/>
      <c r="E1278" s="38" t="s">
        <v>1622</v>
      </c>
      <c r="F1278" s="38" t="s">
        <v>1611</v>
      </c>
      <c r="G1278" s="38">
        <v>5.901973593231E12</v>
      </c>
      <c r="H1278" s="38" t="s">
        <v>1612</v>
      </c>
      <c r="I1278" s="38" t="s">
        <v>1613</v>
      </c>
      <c r="J1278" s="38" t="s">
        <v>196</v>
      </c>
      <c r="K1278" s="38" t="s">
        <v>63</v>
      </c>
      <c r="L1278" s="41">
        <v>46007.833333333336</v>
      </c>
      <c r="M1278" s="38" t="s">
        <v>123</v>
      </c>
      <c r="N1278" s="41">
        <v>46008.208333333336</v>
      </c>
      <c r="O1278" s="38" t="s">
        <v>123</v>
      </c>
      <c r="P1278" s="38">
        <v>32400.0</v>
      </c>
      <c r="Q1278" s="39"/>
      <c r="R1278" s="39"/>
      <c r="S1278" s="39"/>
      <c r="T1278" s="39"/>
      <c r="U1278" s="39"/>
    </row>
    <row r="1279">
      <c r="A1279" s="40">
        <f t="shared" si="1"/>
        <v>46006</v>
      </c>
      <c r="B1279" s="37" t="str">
        <f t="array" ref="B1279">iferror(xlookup($I1279, 'IMPORT VHC Report'!$E:$E, 'IMPORT VHC Report'!$A:$C), )</f>
        <v/>
      </c>
      <c r="C1279" s="37"/>
      <c r="D1279" s="37"/>
      <c r="E1279" s="38" t="s">
        <v>1623</v>
      </c>
      <c r="F1279" s="38" t="s">
        <v>1611</v>
      </c>
      <c r="G1279" s="38">
        <v>5.901973593231E12</v>
      </c>
      <c r="H1279" s="38" t="s">
        <v>1612</v>
      </c>
      <c r="I1279" s="38" t="s">
        <v>1613</v>
      </c>
      <c r="J1279" s="38" t="s">
        <v>4</v>
      </c>
      <c r="K1279" s="38" t="s">
        <v>126</v>
      </c>
      <c r="L1279" s="41">
        <v>46007.895833333336</v>
      </c>
      <c r="M1279" s="38" t="s">
        <v>123</v>
      </c>
      <c r="N1279" s="41">
        <v>46007.9375</v>
      </c>
      <c r="O1279" s="38" t="s">
        <v>123</v>
      </c>
      <c r="P1279" s="38">
        <v>3600.0</v>
      </c>
      <c r="Q1279" s="39"/>
      <c r="R1279" s="39"/>
      <c r="S1279" s="38" t="s">
        <v>858</v>
      </c>
      <c r="T1279" s="39"/>
      <c r="U1279" s="39"/>
    </row>
    <row r="1280">
      <c r="A1280" s="40">
        <f t="shared" si="1"/>
        <v>46006</v>
      </c>
      <c r="B1280" s="37" t="str">
        <f t="array" ref="B1280">iferror(xlookup($I1280, 'IMPORT VHC Report'!$E:$E, 'IMPORT VHC Report'!$A:$C), )</f>
        <v/>
      </c>
      <c r="C1280" s="37"/>
      <c r="D1280" s="37"/>
      <c r="E1280" s="38" t="s">
        <v>1624</v>
      </c>
      <c r="F1280" s="38" t="s">
        <v>1611</v>
      </c>
      <c r="G1280" s="38">
        <v>5.901973593231E12</v>
      </c>
      <c r="H1280" s="38" t="s">
        <v>1612</v>
      </c>
      <c r="I1280" s="38" t="s">
        <v>1613</v>
      </c>
      <c r="J1280" s="38" t="s">
        <v>132</v>
      </c>
      <c r="K1280" s="38" t="s">
        <v>126</v>
      </c>
      <c r="L1280" s="41">
        <v>46007.958333333336</v>
      </c>
      <c r="M1280" s="38" t="s">
        <v>123</v>
      </c>
      <c r="N1280" s="41">
        <v>46008.0</v>
      </c>
      <c r="O1280" s="38" t="s">
        <v>123</v>
      </c>
      <c r="P1280" s="38">
        <v>3600.0</v>
      </c>
      <c r="Q1280" s="39"/>
      <c r="R1280" s="39"/>
      <c r="S1280" s="39"/>
      <c r="T1280" s="39"/>
      <c r="U1280" s="39"/>
    </row>
    <row r="1281">
      <c r="A1281" s="40">
        <f t="shared" si="1"/>
        <v>46006</v>
      </c>
      <c r="B1281" s="37" t="str">
        <f t="array" ref="B1281">iferror(xlookup($I1281, 'IMPORT VHC Report'!$E:$E, 'IMPORT VHC Report'!$A:$C), )</f>
        <v/>
      </c>
      <c r="C1281" s="37"/>
      <c r="D1281" s="37"/>
      <c r="E1281" s="38" t="s">
        <v>1625</v>
      </c>
      <c r="F1281" s="38" t="s">
        <v>1611</v>
      </c>
      <c r="G1281" s="38">
        <v>5.901973593231E12</v>
      </c>
      <c r="H1281" s="38" t="s">
        <v>1612</v>
      </c>
      <c r="I1281" s="38" t="s">
        <v>1613</v>
      </c>
      <c r="J1281" s="38" t="s">
        <v>134</v>
      </c>
      <c r="K1281" s="38" t="s">
        <v>126</v>
      </c>
      <c r="L1281" s="41">
        <v>46008.104166666664</v>
      </c>
      <c r="M1281" s="38" t="s">
        <v>123</v>
      </c>
      <c r="N1281" s="41">
        <v>46008.125</v>
      </c>
      <c r="O1281" s="38" t="s">
        <v>123</v>
      </c>
      <c r="P1281" s="38">
        <v>1800.0</v>
      </c>
      <c r="Q1281" s="39"/>
      <c r="R1281" s="39"/>
      <c r="S1281" s="39"/>
      <c r="T1281" s="39"/>
      <c r="U1281" s="39"/>
    </row>
    <row r="1282">
      <c r="A1282" s="40">
        <f t="shared" si="1"/>
        <v>46006</v>
      </c>
      <c r="B1282" s="37" t="str">
        <f t="array" ref="B1282">iferror(xlookup($I1282, 'IMPORT VHC Report'!$E:$E, 'IMPORT VHC Report'!$A:$C), )</f>
        <v/>
      </c>
      <c r="C1282" s="37"/>
      <c r="D1282" s="37"/>
      <c r="E1282" s="38" t="s">
        <v>1626</v>
      </c>
      <c r="F1282" s="38" t="s">
        <v>1611</v>
      </c>
      <c r="G1282" s="38">
        <v>5.901973593231E12</v>
      </c>
      <c r="H1282" s="38" t="s">
        <v>1612</v>
      </c>
      <c r="I1282" s="38" t="s">
        <v>1613</v>
      </c>
      <c r="J1282" s="38" t="s">
        <v>125</v>
      </c>
      <c r="K1282" s="38" t="s">
        <v>126</v>
      </c>
      <c r="L1282" s="41">
        <v>46008.833333333336</v>
      </c>
      <c r="M1282" s="38" t="s">
        <v>123</v>
      </c>
      <c r="N1282" s="41">
        <v>46008.84375</v>
      </c>
      <c r="O1282" s="38" t="s">
        <v>123</v>
      </c>
      <c r="P1282" s="38">
        <v>900.0</v>
      </c>
      <c r="Q1282" s="39"/>
      <c r="R1282" s="39"/>
      <c r="S1282" s="38" t="s">
        <v>199</v>
      </c>
      <c r="T1282" s="39"/>
      <c r="U1282" s="39"/>
    </row>
    <row r="1283">
      <c r="A1283" s="40">
        <f t="shared" si="1"/>
        <v>46006</v>
      </c>
      <c r="B1283" s="37" t="str">
        <f t="array" ref="B1283">iferror(xlookup($I1283, 'IMPORT VHC Report'!$E:$E, 'IMPORT VHC Report'!$A:$C), )</f>
        <v/>
      </c>
      <c r="C1283" s="37"/>
      <c r="D1283" s="37"/>
      <c r="E1283" s="38" t="s">
        <v>1627</v>
      </c>
      <c r="F1283" s="38" t="s">
        <v>1611</v>
      </c>
      <c r="G1283" s="38">
        <v>5.901973593231E12</v>
      </c>
      <c r="H1283" s="38" t="s">
        <v>1612</v>
      </c>
      <c r="I1283" s="38" t="s">
        <v>1613</v>
      </c>
      <c r="J1283" s="38" t="s">
        <v>196</v>
      </c>
      <c r="K1283" s="38" t="s">
        <v>63</v>
      </c>
      <c r="L1283" s="41">
        <v>46008.833333333336</v>
      </c>
      <c r="M1283" s="38" t="s">
        <v>123</v>
      </c>
      <c r="N1283" s="41">
        <v>46009.208333333336</v>
      </c>
      <c r="O1283" s="38" t="s">
        <v>123</v>
      </c>
      <c r="P1283" s="38">
        <v>32400.0</v>
      </c>
      <c r="Q1283" s="39"/>
      <c r="R1283" s="39"/>
      <c r="S1283" s="39"/>
      <c r="T1283" s="39"/>
      <c r="U1283" s="39"/>
    </row>
    <row r="1284">
      <c r="A1284" s="40">
        <f t="shared" si="1"/>
        <v>46006</v>
      </c>
      <c r="B1284" s="37" t="str">
        <f t="array" ref="B1284">iferror(xlookup($I1284, 'IMPORT VHC Report'!$E:$E, 'IMPORT VHC Report'!$A:$C), )</f>
        <v/>
      </c>
      <c r="C1284" s="37"/>
      <c r="D1284" s="37"/>
      <c r="E1284" s="38" t="s">
        <v>1628</v>
      </c>
      <c r="F1284" s="38" t="s">
        <v>1611</v>
      </c>
      <c r="G1284" s="38">
        <v>5.901973593231E12</v>
      </c>
      <c r="H1284" s="38" t="s">
        <v>1612</v>
      </c>
      <c r="I1284" s="38" t="s">
        <v>1613</v>
      </c>
      <c r="J1284" s="38" t="s">
        <v>134</v>
      </c>
      <c r="K1284" s="38" t="s">
        <v>126</v>
      </c>
      <c r="L1284" s="41">
        <v>46008.9375</v>
      </c>
      <c r="M1284" s="38" t="s">
        <v>123</v>
      </c>
      <c r="N1284" s="41">
        <v>46008.958333333336</v>
      </c>
      <c r="O1284" s="38" t="s">
        <v>123</v>
      </c>
      <c r="P1284" s="38">
        <v>1800.0</v>
      </c>
      <c r="Q1284" s="39"/>
      <c r="R1284" s="39"/>
      <c r="S1284" s="39"/>
      <c r="T1284" s="39"/>
      <c r="U1284" s="39"/>
    </row>
    <row r="1285">
      <c r="A1285" s="40">
        <f t="shared" si="1"/>
        <v>46006</v>
      </c>
      <c r="B1285" s="37" t="str">
        <f t="array" ref="B1285">iferror(xlookup($I1285, 'IMPORT VHC Report'!$E:$E, 'IMPORT VHC Report'!$A:$C), )</f>
        <v/>
      </c>
      <c r="C1285" s="37"/>
      <c r="D1285" s="37"/>
      <c r="E1285" s="38" t="s">
        <v>1629</v>
      </c>
      <c r="F1285" s="38" t="s">
        <v>1611</v>
      </c>
      <c r="G1285" s="38">
        <v>5.901973593231E12</v>
      </c>
      <c r="H1285" s="38" t="s">
        <v>1612</v>
      </c>
      <c r="I1285" s="38" t="s">
        <v>1613</v>
      </c>
      <c r="J1285" s="38" t="s">
        <v>132</v>
      </c>
      <c r="K1285" s="38" t="s">
        <v>126</v>
      </c>
      <c r="L1285" s="41">
        <v>46009.052083333336</v>
      </c>
      <c r="M1285" s="38" t="s">
        <v>123</v>
      </c>
      <c r="N1285" s="41">
        <v>46009.09375</v>
      </c>
      <c r="O1285" s="38" t="s">
        <v>123</v>
      </c>
      <c r="P1285" s="38">
        <v>3600.0</v>
      </c>
      <c r="Q1285" s="39"/>
      <c r="R1285" s="39"/>
      <c r="S1285" s="39"/>
      <c r="T1285" s="39"/>
      <c r="U1285" s="39"/>
    </row>
    <row r="1286">
      <c r="A1286" s="40">
        <f t="shared" si="1"/>
        <v>46006</v>
      </c>
      <c r="B1286" s="37" t="str">
        <f t="array" ref="B1286">iferror(xlookup($I1286, 'IMPORT VHC Report'!$E:$E, 'IMPORT VHC Report'!$A:$C), )</f>
        <v/>
      </c>
      <c r="C1286" s="37"/>
      <c r="D1286" s="37"/>
      <c r="E1286" s="38" t="s">
        <v>1630</v>
      </c>
      <c r="F1286" s="38" t="s">
        <v>1611</v>
      </c>
      <c r="G1286" s="38">
        <v>5.901973593231E12</v>
      </c>
      <c r="H1286" s="38" t="s">
        <v>1612</v>
      </c>
      <c r="I1286" s="38" t="s">
        <v>1613</v>
      </c>
      <c r="J1286" s="38" t="s">
        <v>125</v>
      </c>
      <c r="K1286" s="38" t="s">
        <v>126</v>
      </c>
      <c r="L1286" s="41">
        <v>46009.833333333336</v>
      </c>
      <c r="M1286" s="38" t="s">
        <v>123</v>
      </c>
      <c r="N1286" s="41">
        <v>46009.84375</v>
      </c>
      <c r="O1286" s="38" t="s">
        <v>123</v>
      </c>
      <c r="P1286" s="38">
        <v>900.0</v>
      </c>
      <c r="Q1286" s="39"/>
      <c r="R1286" s="39"/>
      <c r="S1286" s="38" t="s">
        <v>199</v>
      </c>
      <c r="T1286" s="39"/>
      <c r="U1286" s="39"/>
    </row>
    <row r="1287">
      <c r="A1287" s="40">
        <f t="shared" si="1"/>
        <v>46006</v>
      </c>
      <c r="B1287" s="37" t="str">
        <f t="array" ref="B1287">iferror(xlookup($I1287, 'IMPORT VHC Report'!$E:$E, 'IMPORT VHC Report'!$A:$C), )</f>
        <v/>
      </c>
      <c r="C1287" s="37"/>
      <c r="D1287" s="37"/>
      <c r="E1287" s="38" t="s">
        <v>1631</v>
      </c>
      <c r="F1287" s="38" t="s">
        <v>1611</v>
      </c>
      <c r="G1287" s="38">
        <v>5.901973593231E12</v>
      </c>
      <c r="H1287" s="38" t="s">
        <v>1612</v>
      </c>
      <c r="I1287" s="38" t="s">
        <v>1613</v>
      </c>
      <c r="J1287" s="38" t="s">
        <v>152</v>
      </c>
      <c r="K1287" s="38" t="s">
        <v>153</v>
      </c>
      <c r="L1287" s="41">
        <v>46009.833333333336</v>
      </c>
      <c r="M1287" s="38" t="s">
        <v>123</v>
      </c>
      <c r="N1287" s="41">
        <v>46010.208333333336</v>
      </c>
      <c r="O1287" s="38" t="s">
        <v>123</v>
      </c>
      <c r="P1287" s="38">
        <v>32400.0</v>
      </c>
      <c r="Q1287" s="38">
        <v>28800.0</v>
      </c>
      <c r="R1287" s="38" t="s">
        <v>1617</v>
      </c>
      <c r="S1287" s="39"/>
      <c r="T1287" s="39"/>
      <c r="U1287" s="39"/>
    </row>
    <row r="1288">
      <c r="A1288" s="40">
        <f t="shared" si="1"/>
        <v>46006</v>
      </c>
      <c r="B1288" s="37" t="str">
        <f t="array" ref="B1288">iferror(xlookup($I1288, 'IMPORT VHC Report'!$E:$E, 'IMPORT VHC Report'!$A:$C), )</f>
        <v/>
      </c>
      <c r="C1288" s="37"/>
      <c r="D1288" s="37"/>
      <c r="E1288" s="38" t="s">
        <v>1632</v>
      </c>
      <c r="F1288" s="38" t="s">
        <v>1611</v>
      </c>
      <c r="G1288" s="38">
        <v>5.901973593231E12</v>
      </c>
      <c r="H1288" s="38" t="s">
        <v>1612</v>
      </c>
      <c r="I1288" s="38" t="s">
        <v>1613</v>
      </c>
      <c r="J1288" s="38" t="s">
        <v>196</v>
      </c>
      <c r="K1288" s="38" t="s">
        <v>63</v>
      </c>
      <c r="L1288" s="41">
        <v>46009.833333333336</v>
      </c>
      <c r="M1288" s="38" t="s">
        <v>123</v>
      </c>
      <c r="N1288" s="41">
        <v>46010.208333333336</v>
      </c>
      <c r="O1288" s="38" t="s">
        <v>123</v>
      </c>
      <c r="P1288" s="38">
        <v>32400.0</v>
      </c>
      <c r="Q1288" s="39"/>
      <c r="R1288" s="39"/>
      <c r="S1288" s="39"/>
      <c r="T1288" s="39"/>
      <c r="U1288" s="39"/>
    </row>
    <row r="1289">
      <c r="A1289" s="40">
        <f t="shared" si="1"/>
        <v>46006</v>
      </c>
      <c r="B1289" s="37" t="str">
        <f t="array" ref="B1289">iferror(xlookup($I1289, 'IMPORT VHC Report'!$E:$E, 'IMPORT VHC Report'!$A:$C), )</f>
        <v/>
      </c>
      <c r="C1289" s="37"/>
      <c r="D1289" s="37"/>
      <c r="E1289" s="38" t="s">
        <v>1633</v>
      </c>
      <c r="F1289" s="38" t="s">
        <v>1611</v>
      </c>
      <c r="G1289" s="38">
        <v>5.901973593231E12</v>
      </c>
      <c r="H1289" s="38" t="s">
        <v>1612</v>
      </c>
      <c r="I1289" s="38" t="s">
        <v>1613</v>
      </c>
      <c r="J1289" s="38" t="s">
        <v>134</v>
      </c>
      <c r="K1289" s="38" t="s">
        <v>126</v>
      </c>
      <c r="L1289" s="41">
        <v>46009.958333333336</v>
      </c>
      <c r="M1289" s="38" t="s">
        <v>123</v>
      </c>
      <c r="N1289" s="41">
        <v>46009.979166666664</v>
      </c>
      <c r="O1289" s="38" t="s">
        <v>123</v>
      </c>
      <c r="P1289" s="38">
        <v>1800.0</v>
      </c>
      <c r="Q1289" s="39"/>
      <c r="R1289" s="39"/>
      <c r="S1289" s="39"/>
      <c r="T1289" s="39"/>
      <c r="U1289" s="39"/>
    </row>
    <row r="1290">
      <c r="A1290" s="40">
        <f t="shared" si="1"/>
        <v>46006</v>
      </c>
      <c r="B1290" s="37" t="str">
        <f t="array" ref="B1290">iferror(xlookup($I1290, 'IMPORT VHC Report'!$E:$E, 'IMPORT VHC Report'!$A:$C), )</f>
        <v/>
      </c>
      <c r="C1290" s="37"/>
      <c r="D1290" s="37"/>
      <c r="E1290" s="38" t="s">
        <v>1634</v>
      </c>
      <c r="F1290" s="38" t="s">
        <v>1611</v>
      </c>
      <c r="G1290" s="38">
        <v>5.901973593231E12</v>
      </c>
      <c r="H1290" s="38" t="s">
        <v>1612</v>
      </c>
      <c r="I1290" s="38" t="s">
        <v>1613</v>
      </c>
      <c r="J1290" s="38" t="s">
        <v>132</v>
      </c>
      <c r="K1290" s="38" t="s">
        <v>126</v>
      </c>
      <c r="L1290" s="41">
        <v>46010.0625</v>
      </c>
      <c r="M1290" s="38" t="s">
        <v>123</v>
      </c>
      <c r="N1290" s="41">
        <v>46010.104166666664</v>
      </c>
      <c r="O1290" s="38" t="s">
        <v>123</v>
      </c>
      <c r="P1290" s="38">
        <v>3600.0</v>
      </c>
      <c r="Q1290" s="39"/>
      <c r="R1290" s="39"/>
      <c r="S1290" s="39"/>
      <c r="T1290" s="39"/>
      <c r="U1290" s="39"/>
    </row>
    <row r="1291">
      <c r="A1291" s="40">
        <f t="shared" si="1"/>
        <v>46006</v>
      </c>
      <c r="B1291" s="37" t="str">
        <f t="array" ref="B1291">iferror(xlookup($I1291, 'IMPORT VHC Report'!$E:$E, 'IMPORT VHC Report'!$A:$C), )</f>
        <v/>
      </c>
      <c r="C1291" s="37"/>
      <c r="D1291" s="37"/>
      <c r="E1291" s="38" t="s">
        <v>1635</v>
      </c>
      <c r="F1291" s="38" t="s">
        <v>1611</v>
      </c>
      <c r="G1291" s="38">
        <v>5.901973593231E12</v>
      </c>
      <c r="H1291" s="38" t="s">
        <v>1612</v>
      </c>
      <c r="I1291" s="38" t="s">
        <v>1613</v>
      </c>
      <c r="J1291" s="38" t="s">
        <v>125</v>
      </c>
      <c r="K1291" s="38" t="s">
        <v>126</v>
      </c>
      <c r="L1291" s="41">
        <v>46012.833333333336</v>
      </c>
      <c r="M1291" s="38" t="s">
        <v>123</v>
      </c>
      <c r="N1291" s="41">
        <v>46012.84375</v>
      </c>
      <c r="O1291" s="38" t="s">
        <v>123</v>
      </c>
      <c r="P1291" s="38">
        <v>900.0</v>
      </c>
      <c r="Q1291" s="39"/>
      <c r="R1291" s="39"/>
      <c r="S1291" s="38" t="s">
        <v>199</v>
      </c>
      <c r="T1291" s="39"/>
      <c r="U1291" s="39"/>
    </row>
    <row r="1292">
      <c r="A1292" s="40">
        <f t="shared" si="1"/>
        <v>46006</v>
      </c>
      <c r="B1292" s="37" t="str">
        <f t="array" ref="B1292">iferror(xlookup($I1292, 'IMPORT VHC Report'!$E:$E, 'IMPORT VHC Report'!$A:$C), )</f>
        <v/>
      </c>
      <c r="C1292" s="37"/>
      <c r="D1292" s="37"/>
      <c r="E1292" s="38" t="s">
        <v>1636</v>
      </c>
      <c r="F1292" s="38" t="s">
        <v>1611</v>
      </c>
      <c r="G1292" s="38">
        <v>5.901973593231E12</v>
      </c>
      <c r="H1292" s="38" t="s">
        <v>1612</v>
      </c>
      <c r="I1292" s="38" t="s">
        <v>1613</v>
      </c>
      <c r="J1292" s="38" t="s">
        <v>196</v>
      </c>
      <c r="K1292" s="38" t="s">
        <v>63</v>
      </c>
      <c r="L1292" s="41">
        <v>46012.833333333336</v>
      </c>
      <c r="M1292" s="38" t="s">
        <v>123</v>
      </c>
      <c r="N1292" s="41">
        <v>46013.0</v>
      </c>
      <c r="O1292" s="38" t="s">
        <v>123</v>
      </c>
      <c r="P1292" s="38">
        <v>14400.0</v>
      </c>
      <c r="Q1292" s="39"/>
      <c r="R1292" s="39"/>
      <c r="S1292" s="39"/>
      <c r="T1292" s="39"/>
      <c r="U1292" s="39"/>
    </row>
    <row r="1293">
      <c r="A1293" s="40">
        <f t="shared" si="1"/>
        <v>46006</v>
      </c>
      <c r="B1293" s="37" t="str">
        <f t="array" ref="B1293">iferror(xlookup($I1293, 'IMPORT VHC Report'!$E:$E, 'IMPORT VHC Report'!$A:$C), )</f>
        <v/>
      </c>
      <c r="C1293" s="37"/>
      <c r="D1293" s="37"/>
      <c r="E1293" s="38" t="s">
        <v>1637</v>
      </c>
      <c r="F1293" s="38" t="s">
        <v>1611</v>
      </c>
      <c r="G1293" s="38">
        <v>5.901973593231E12</v>
      </c>
      <c r="H1293" s="38" t="s">
        <v>1612</v>
      </c>
      <c r="I1293" s="38" t="s">
        <v>1613</v>
      </c>
      <c r="J1293" s="38" t="s">
        <v>134</v>
      </c>
      <c r="K1293" s="38" t="s">
        <v>126</v>
      </c>
      <c r="L1293" s="41">
        <v>46012.9375</v>
      </c>
      <c r="M1293" s="38" t="s">
        <v>123</v>
      </c>
      <c r="N1293" s="41">
        <v>46012.958333333336</v>
      </c>
      <c r="O1293" s="38" t="s">
        <v>123</v>
      </c>
      <c r="P1293" s="38">
        <v>1800.0</v>
      </c>
      <c r="Q1293" s="39"/>
      <c r="R1293" s="39"/>
      <c r="S1293" s="39"/>
      <c r="T1293" s="39"/>
      <c r="U1293" s="39"/>
    </row>
    <row r="1294">
      <c r="A1294" s="40">
        <f t="shared" si="1"/>
        <v>46006</v>
      </c>
      <c r="B1294" s="37" t="str">
        <f t="array" ref="B1294">iferror(xlookup($I1294, 'IMPORT VHC Report'!$E:$E, 'IMPORT VHC Report'!$A:$C), )</f>
        <v/>
      </c>
      <c r="C1294" s="37"/>
      <c r="D1294" s="37"/>
      <c r="E1294" s="38" t="s">
        <v>1638</v>
      </c>
      <c r="F1294" s="38" t="s">
        <v>1639</v>
      </c>
      <c r="G1294" s="38">
        <v>1.0548627051023E13</v>
      </c>
      <c r="H1294" s="38" t="s">
        <v>1640</v>
      </c>
      <c r="I1294" s="38" t="s">
        <v>1641</v>
      </c>
      <c r="J1294" s="38" t="s">
        <v>132</v>
      </c>
      <c r="K1294" s="38" t="s">
        <v>126</v>
      </c>
      <c r="L1294" s="41">
        <v>46006.0</v>
      </c>
      <c r="M1294" s="38" t="s">
        <v>123</v>
      </c>
      <c r="N1294" s="41">
        <v>46006.020833333336</v>
      </c>
      <c r="O1294" s="38" t="s">
        <v>123</v>
      </c>
      <c r="P1294" s="38">
        <v>1800.0</v>
      </c>
      <c r="Q1294" s="39"/>
      <c r="R1294" s="39"/>
      <c r="S1294" s="39"/>
      <c r="T1294" s="39"/>
      <c r="U1294" s="39"/>
    </row>
    <row r="1295">
      <c r="A1295" s="40">
        <f t="shared" si="1"/>
        <v>46006</v>
      </c>
      <c r="B1295" s="37" t="str">
        <f t="array" ref="B1295">iferror(xlookup($I1295, 'IMPORT VHC Report'!$E:$E, 'IMPORT VHC Report'!$A:$C), )</f>
        <v/>
      </c>
      <c r="C1295" s="37"/>
      <c r="D1295" s="37"/>
      <c r="E1295" s="38" t="s">
        <v>1642</v>
      </c>
      <c r="F1295" s="38" t="s">
        <v>1639</v>
      </c>
      <c r="G1295" s="38">
        <v>1.0548627051023E13</v>
      </c>
      <c r="H1295" s="38" t="s">
        <v>1640</v>
      </c>
      <c r="I1295" s="38" t="s">
        <v>1641</v>
      </c>
      <c r="J1295" s="38" t="s">
        <v>196</v>
      </c>
      <c r="K1295" s="38" t="s">
        <v>63</v>
      </c>
      <c r="L1295" s="41">
        <v>46006.0</v>
      </c>
      <c r="M1295" s="38" t="s">
        <v>123</v>
      </c>
      <c r="N1295" s="41">
        <v>46006.125</v>
      </c>
      <c r="O1295" s="38" t="s">
        <v>123</v>
      </c>
      <c r="P1295" s="38">
        <v>10800.0</v>
      </c>
      <c r="Q1295" s="39"/>
      <c r="R1295" s="39"/>
      <c r="S1295" s="39"/>
      <c r="T1295" s="39"/>
      <c r="U1295" s="39"/>
    </row>
    <row r="1296">
      <c r="A1296" s="40">
        <f t="shared" si="1"/>
        <v>46006</v>
      </c>
      <c r="B1296" s="37" t="str">
        <f t="array" ref="B1296">iferror(xlookup($I1296, 'IMPORT VHC Report'!$E:$E, 'IMPORT VHC Report'!$A:$C), )</f>
        <v/>
      </c>
      <c r="C1296" s="37"/>
      <c r="D1296" s="37"/>
      <c r="E1296" s="38" t="s">
        <v>1643</v>
      </c>
      <c r="F1296" s="38" t="s">
        <v>1639</v>
      </c>
      <c r="G1296" s="38">
        <v>1.0548627051023E13</v>
      </c>
      <c r="H1296" s="38" t="s">
        <v>1640</v>
      </c>
      <c r="I1296" s="38" t="s">
        <v>1641</v>
      </c>
      <c r="J1296" s="38" t="s">
        <v>125</v>
      </c>
      <c r="K1296" s="38" t="s">
        <v>126</v>
      </c>
      <c r="L1296" s="41">
        <v>46006.75</v>
      </c>
      <c r="M1296" s="38" t="s">
        <v>123</v>
      </c>
      <c r="N1296" s="41">
        <v>46006.760416666664</v>
      </c>
      <c r="O1296" s="38" t="s">
        <v>123</v>
      </c>
      <c r="P1296" s="38">
        <v>900.0</v>
      </c>
      <c r="Q1296" s="39"/>
      <c r="R1296" s="39"/>
      <c r="S1296" s="38" t="s">
        <v>199</v>
      </c>
      <c r="T1296" s="39"/>
      <c r="U1296" s="39"/>
    </row>
    <row r="1297">
      <c r="A1297" s="40">
        <f t="shared" si="1"/>
        <v>46006</v>
      </c>
      <c r="B1297" s="37" t="str">
        <f t="array" ref="B1297">iferror(xlookup($I1297, 'IMPORT VHC Report'!$E:$E, 'IMPORT VHC Report'!$A:$C), )</f>
        <v/>
      </c>
      <c r="C1297" s="37"/>
      <c r="D1297" s="37"/>
      <c r="E1297" s="38" t="s">
        <v>1644</v>
      </c>
      <c r="F1297" s="38" t="s">
        <v>1639</v>
      </c>
      <c r="G1297" s="38">
        <v>1.0548627051023E13</v>
      </c>
      <c r="H1297" s="38" t="s">
        <v>1640</v>
      </c>
      <c r="I1297" s="38" t="s">
        <v>1641</v>
      </c>
      <c r="J1297" s="38" t="s">
        <v>196</v>
      </c>
      <c r="K1297" s="38" t="s">
        <v>63</v>
      </c>
      <c r="L1297" s="41">
        <v>46006.75</v>
      </c>
      <c r="M1297" s="38" t="s">
        <v>123</v>
      </c>
      <c r="N1297" s="41">
        <v>46007.125</v>
      </c>
      <c r="O1297" s="38" t="s">
        <v>123</v>
      </c>
      <c r="P1297" s="38">
        <v>32400.0</v>
      </c>
      <c r="Q1297" s="39"/>
      <c r="R1297" s="39"/>
      <c r="S1297" s="39"/>
      <c r="T1297" s="39"/>
      <c r="U1297" s="39"/>
    </row>
    <row r="1298">
      <c r="A1298" s="40">
        <f t="shared" si="1"/>
        <v>46006</v>
      </c>
      <c r="B1298" s="37" t="str">
        <f t="array" ref="B1298">iferror(xlookup($I1298, 'IMPORT VHC Report'!$E:$E, 'IMPORT VHC Report'!$A:$C), )</f>
        <v/>
      </c>
      <c r="C1298" s="37"/>
      <c r="D1298" s="37"/>
      <c r="E1298" s="38" t="s">
        <v>1645</v>
      </c>
      <c r="F1298" s="38" t="s">
        <v>1639</v>
      </c>
      <c r="G1298" s="38">
        <v>1.0548627051023E13</v>
      </c>
      <c r="H1298" s="38" t="s">
        <v>1640</v>
      </c>
      <c r="I1298" s="38" t="s">
        <v>1641</v>
      </c>
      <c r="J1298" s="38" t="s">
        <v>134</v>
      </c>
      <c r="K1298" s="38" t="s">
        <v>126</v>
      </c>
      <c r="L1298" s="41">
        <v>46006.84375</v>
      </c>
      <c r="M1298" s="38" t="s">
        <v>123</v>
      </c>
      <c r="N1298" s="41">
        <v>46006.864583333336</v>
      </c>
      <c r="O1298" s="38" t="s">
        <v>123</v>
      </c>
      <c r="P1298" s="38">
        <v>1800.0</v>
      </c>
      <c r="Q1298" s="39"/>
      <c r="R1298" s="39"/>
      <c r="S1298" s="39"/>
      <c r="T1298" s="39"/>
      <c r="U1298" s="39"/>
    </row>
    <row r="1299">
      <c r="A1299" s="40">
        <f t="shared" si="1"/>
        <v>46006</v>
      </c>
      <c r="B1299" s="37" t="str">
        <f t="array" ref="B1299">iferror(xlookup($I1299, 'IMPORT VHC Report'!$E:$E, 'IMPORT VHC Report'!$A:$C), )</f>
        <v/>
      </c>
      <c r="C1299" s="37"/>
      <c r="D1299" s="37"/>
      <c r="E1299" s="38" t="s">
        <v>1646</v>
      </c>
      <c r="F1299" s="38" t="s">
        <v>1639</v>
      </c>
      <c r="G1299" s="38">
        <v>1.0548627051023E13</v>
      </c>
      <c r="H1299" s="38" t="s">
        <v>1640</v>
      </c>
      <c r="I1299" s="38" t="s">
        <v>1641</v>
      </c>
      <c r="J1299" s="38" t="s">
        <v>132</v>
      </c>
      <c r="K1299" s="38" t="s">
        <v>126</v>
      </c>
      <c r="L1299" s="41">
        <v>46007.0</v>
      </c>
      <c r="M1299" s="38" t="s">
        <v>123</v>
      </c>
      <c r="N1299" s="41">
        <v>46007.041666666664</v>
      </c>
      <c r="O1299" s="38" t="s">
        <v>123</v>
      </c>
      <c r="P1299" s="38">
        <v>3600.0</v>
      </c>
      <c r="Q1299" s="39"/>
      <c r="R1299" s="39"/>
      <c r="S1299" s="39"/>
      <c r="T1299" s="39"/>
      <c r="U1299" s="39"/>
    </row>
    <row r="1300">
      <c r="A1300" s="40">
        <f t="shared" si="1"/>
        <v>46006</v>
      </c>
      <c r="B1300" s="37" t="str">
        <f t="array" ref="B1300">iferror(xlookup($I1300, 'IMPORT VHC Report'!$E:$E, 'IMPORT VHC Report'!$A:$C), )</f>
        <v/>
      </c>
      <c r="C1300" s="37"/>
      <c r="D1300" s="37"/>
      <c r="E1300" s="38" t="s">
        <v>1647</v>
      </c>
      <c r="F1300" s="38" t="s">
        <v>1639</v>
      </c>
      <c r="G1300" s="38">
        <v>1.0548627051023E13</v>
      </c>
      <c r="H1300" s="38" t="s">
        <v>1640</v>
      </c>
      <c r="I1300" s="38" t="s">
        <v>1641</v>
      </c>
      <c r="J1300" s="38" t="s">
        <v>125</v>
      </c>
      <c r="K1300" s="38" t="s">
        <v>126</v>
      </c>
      <c r="L1300" s="41">
        <v>46009.75</v>
      </c>
      <c r="M1300" s="38" t="s">
        <v>123</v>
      </c>
      <c r="N1300" s="41">
        <v>46009.760416666664</v>
      </c>
      <c r="O1300" s="38" t="s">
        <v>123</v>
      </c>
      <c r="P1300" s="38">
        <v>900.0</v>
      </c>
      <c r="Q1300" s="39"/>
      <c r="R1300" s="39"/>
      <c r="S1300" s="38" t="s">
        <v>199</v>
      </c>
      <c r="T1300" s="39"/>
      <c r="U1300" s="39"/>
    </row>
    <row r="1301">
      <c r="A1301" s="40">
        <f t="shared" si="1"/>
        <v>46006</v>
      </c>
      <c r="B1301" s="37" t="str">
        <f t="array" ref="B1301">iferror(xlookup($I1301, 'IMPORT VHC Report'!$E:$E, 'IMPORT VHC Report'!$A:$C), )</f>
        <v/>
      </c>
      <c r="C1301" s="37"/>
      <c r="D1301" s="37"/>
      <c r="E1301" s="38" t="s">
        <v>1648</v>
      </c>
      <c r="F1301" s="38" t="s">
        <v>1639</v>
      </c>
      <c r="G1301" s="38">
        <v>1.0548627051023E13</v>
      </c>
      <c r="H1301" s="38" t="s">
        <v>1640</v>
      </c>
      <c r="I1301" s="38" t="s">
        <v>1641</v>
      </c>
      <c r="J1301" s="38" t="s">
        <v>196</v>
      </c>
      <c r="K1301" s="38" t="s">
        <v>63</v>
      </c>
      <c r="L1301" s="41">
        <v>46009.75</v>
      </c>
      <c r="M1301" s="38" t="s">
        <v>123</v>
      </c>
      <c r="N1301" s="41">
        <v>46010.125</v>
      </c>
      <c r="O1301" s="38" t="s">
        <v>123</v>
      </c>
      <c r="P1301" s="38">
        <v>32400.0</v>
      </c>
      <c r="Q1301" s="39"/>
      <c r="R1301" s="39"/>
      <c r="S1301" s="39"/>
      <c r="T1301" s="39"/>
      <c r="U1301" s="39"/>
    </row>
    <row r="1302">
      <c r="A1302" s="40">
        <f t="shared" si="1"/>
        <v>46006</v>
      </c>
      <c r="B1302" s="37" t="str">
        <f t="array" ref="B1302">iferror(xlookup($I1302, 'IMPORT VHC Report'!$E:$E, 'IMPORT VHC Report'!$A:$C), )</f>
        <v/>
      </c>
      <c r="C1302" s="37"/>
      <c r="D1302" s="37"/>
      <c r="E1302" s="38" t="s">
        <v>1649</v>
      </c>
      <c r="F1302" s="38" t="s">
        <v>1639</v>
      </c>
      <c r="G1302" s="38">
        <v>1.0548627051023E13</v>
      </c>
      <c r="H1302" s="38" t="s">
        <v>1640</v>
      </c>
      <c r="I1302" s="38" t="s">
        <v>1641</v>
      </c>
      <c r="J1302" s="38" t="s">
        <v>132</v>
      </c>
      <c r="K1302" s="38" t="s">
        <v>126</v>
      </c>
      <c r="L1302" s="41">
        <v>46009.885416666664</v>
      </c>
      <c r="M1302" s="38" t="s">
        <v>123</v>
      </c>
      <c r="N1302" s="41">
        <v>46009.927083333336</v>
      </c>
      <c r="O1302" s="38" t="s">
        <v>123</v>
      </c>
      <c r="P1302" s="38">
        <v>3600.0</v>
      </c>
      <c r="Q1302" s="39"/>
      <c r="R1302" s="39"/>
      <c r="S1302" s="39"/>
      <c r="T1302" s="39"/>
      <c r="U1302" s="39"/>
    </row>
    <row r="1303">
      <c r="A1303" s="40">
        <f t="shared" si="1"/>
        <v>46006</v>
      </c>
      <c r="B1303" s="37" t="str">
        <f t="array" ref="B1303">iferror(xlookup($I1303, 'IMPORT VHC Report'!$E:$E, 'IMPORT VHC Report'!$A:$C), )</f>
        <v/>
      </c>
      <c r="C1303" s="37"/>
      <c r="D1303" s="37"/>
      <c r="E1303" s="38" t="s">
        <v>1650</v>
      </c>
      <c r="F1303" s="38" t="s">
        <v>1639</v>
      </c>
      <c r="G1303" s="38">
        <v>1.0548627051023E13</v>
      </c>
      <c r="H1303" s="38" t="s">
        <v>1640</v>
      </c>
      <c r="I1303" s="38" t="s">
        <v>1641</v>
      </c>
      <c r="J1303" s="38" t="s">
        <v>134</v>
      </c>
      <c r="K1303" s="38" t="s">
        <v>126</v>
      </c>
      <c r="L1303" s="41">
        <v>46010.041666666664</v>
      </c>
      <c r="M1303" s="38" t="s">
        <v>123</v>
      </c>
      <c r="N1303" s="41">
        <v>46010.0625</v>
      </c>
      <c r="O1303" s="38" t="s">
        <v>123</v>
      </c>
      <c r="P1303" s="38">
        <v>1800.0</v>
      </c>
      <c r="Q1303" s="39"/>
      <c r="R1303" s="39"/>
      <c r="S1303" s="39"/>
      <c r="T1303" s="39"/>
      <c r="U1303" s="39"/>
    </row>
    <row r="1304">
      <c r="A1304" s="40">
        <f t="shared" si="1"/>
        <v>46006</v>
      </c>
      <c r="B1304" s="37" t="str">
        <f t="array" ref="B1304">iferror(xlookup($I1304, 'IMPORT VHC Report'!$E:$E, 'IMPORT VHC Report'!$A:$C), )</f>
        <v/>
      </c>
      <c r="C1304" s="37"/>
      <c r="D1304" s="37"/>
      <c r="E1304" s="38" t="s">
        <v>1651</v>
      </c>
      <c r="F1304" s="38" t="s">
        <v>1639</v>
      </c>
      <c r="G1304" s="38">
        <v>1.0548627051023E13</v>
      </c>
      <c r="H1304" s="38" t="s">
        <v>1640</v>
      </c>
      <c r="I1304" s="38" t="s">
        <v>1641</v>
      </c>
      <c r="J1304" s="38" t="s">
        <v>125</v>
      </c>
      <c r="K1304" s="38" t="s">
        <v>126</v>
      </c>
      <c r="L1304" s="41">
        <v>46010.75</v>
      </c>
      <c r="M1304" s="38" t="s">
        <v>123</v>
      </c>
      <c r="N1304" s="41">
        <v>46010.760416666664</v>
      </c>
      <c r="O1304" s="38" t="s">
        <v>123</v>
      </c>
      <c r="P1304" s="38">
        <v>900.0</v>
      </c>
      <c r="Q1304" s="39"/>
      <c r="R1304" s="39"/>
      <c r="S1304" s="38" t="s">
        <v>199</v>
      </c>
      <c r="T1304" s="39"/>
      <c r="U1304" s="39"/>
    </row>
    <row r="1305">
      <c r="A1305" s="40">
        <f t="shared" si="1"/>
        <v>46006</v>
      </c>
      <c r="B1305" s="37" t="str">
        <f t="array" ref="B1305">iferror(xlookup($I1305, 'IMPORT VHC Report'!$E:$E, 'IMPORT VHC Report'!$A:$C), )</f>
        <v/>
      </c>
      <c r="C1305" s="37"/>
      <c r="D1305" s="37"/>
      <c r="E1305" s="38" t="s">
        <v>1652</v>
      </c>
      <c r="F1305" s="38" t="s">
        <v>1639</v>
      </c>
      <c r="G1305" s="38">
        <v>1.0548627051023E13</v>
      </c>
      <c r="H1305" s="38" t="s">
        <v>1640</v>
      </c>
      <c r="I1305" s="38" t="s">
        <v>1641</v>
      </c>
      <c r="J1305" s="38" t="s">
        <v>196</v>
      </c>
      <c r="K1305" s="38" t="s">
        <v>63</v>
      </c>
      <c r="L1305" s="41">
        <v>46010.75</v>
      </c>
      <c r="M1305" s="38" t="s">
        <v>123</v>
      </c>
      <c r="N1305" s="41">
        <v>46011.125</v>
      </c>
      <c r="O1305" s="38" t="s">
        <v>123</v>
      </c>
      <c r="P1305" s="38">
        <v>32400.0</v>
      </c>
      <c r="Q1305" s="39"/>
      <c r="R1305" s="39"/>
      <c r="S1305" s="39"/>
      <c r="T1305" s="39"/>
      <c r="U1305" s="39"/>
    </row>
    <row r="1306">
      <c r="A1306" s="40">
        <f t="shared" si="1"/>
        <v>46006</v>
      </c>
      <c r="B1306" s="37" t="str">
        <f t="array" ref="B1306">iferror(xlookup($I1306, 'IMPORT VHC Report'!$E:$E, 'IMPORT VHC Report'!$A:$C), )</f>
        <v/>
      </c>
      <c r="C1306" s="37"/>
      <c r="D1306" s="37"/>
      <c r="E1306" s="38" t="s">
        <v>1653</v>
      </c>
      <c r="F1306" s="38" t="s">
        <v>1639</v>
      </c>
      <c r="G1306" s="38">
        <v>1.0548627051023E13</v>
      </c>
      <c r="H1306" s="38" t="s">
        <v>1640</v>
      </c>
      <c r="I1306" s="38" t="s">
        <v>1641</v>
      </c>
      <c r="J1306" s="38" t="s">
        <v>132</v>
      </c>
      <c r="K1306" s="38" t="s">
        <v>126</v>
      </c>
      <c r="L1306" s="41">
        <v>46010.885416666664</v>
      </c>
      <c r="M1306" s="38" t="s">
        <v>123</v>
      </c>
      <c r="N1306" s="41">
        <v>46010.927083333336</v>
      </c>
      <c r="O1306" s="38" t="s">
        <v>123</v>
      </c>
      <c r="P1306" s="38">
        <v>3600.0</v>
      </c>
      <c r="Q1306" s="39"/>
      <c r="R1306" s="39"/>
      <c r="S1306" s="39"/>
      <c r="T1306" s="39"/>
      <c r="U1306" s="39"/>
    </row>
    <row r="1307">
      <c r="A1307" s="40">
        <f t="shared" si="1"/>
        <v>46006</v>
      </c>
      <c r="B1307" s="37" t="str">
        <f t="array" ref="B1307">iferror(xlookup($I1307, 'IMPORT VHC Report'!$E:$E, 'IMPORT VHC Report'!$A:$C), )</f>
        <v/>
      </c>
      <c r="C1307" s="37"/>
      <c r="D1307" s="37"/>
      <c r="E1307" s="38" t="s">
        <v>1654</v>
      </c>
      <c r="F1307" s="38" t="s">
        <v>1639</v>
      </c>
      <c r="G1307" s="38">
        <v>1.0548627051023E13</v>
      </c>
      <c r="H1307" s="38" t="s">
        <v>1640</v>
      </c>
      <c r="I1307" s="38" t="s">
        <v>1641</v>
      </c>
      <c r="J1307" s="38" t="s">
        <v>134</v>
      </c>
      <c r="K1307" s="38" t="s">
        <v>126</v>
      </c>
      <c r="L1307" s="41">
        <v>46011.041666666664</v>
      </c>
      <c r="M1307" s="38" t="s">
        <v>123</v>
      </c>
      <c r="N1307" s="41">
        <v>46011.0625</v>
      </c>
      <c r="O1307" s="38" t="s">
        <v>123</v>
      </c>
      <c r="P1307" s="38">
        <v>1800.0</v>
      </c>
      <c r="Q1307" s="39"/>
      <c r="R1307" s="39"/>
      <c r="S1307" s="39"/>
      <c r="T1307" s="39"/>
      <c r="U1307" s="39"/>
    </row>
    <row r="1308">
      <c r="A1308" s="40">
        <f t="shared" si="1"/>
        <v>46006</v>
      </c>
      <c r="B1308" s="37" t="str">
        <f t="array" ref="B1308">iferror(xlookup($I1308, 'IMPORT VHC Report'!$E:$E, 'IMPORT VHC Report'!$A:$C), )</f>
        <v/>
      </c>
      <c r="C1308" s="37"/>
      <c r="D1308" s="37"/>
      <c r="E1308" s="38" t="s">
        <v>1655</v>
      </c>
      <c r="F1308" s="38" t="s">
        <v>1639</v>
      </c>
      <c r="G1308" s="38">
        <v>1.0548627051023E13</v>
      </c>
      <c r="H1308" s="38" t="s">
        <v>1640</v>
      </c>
      <c r="I1308" s="38" t="s">
        <v>1641</v>
      </c>
      <c r="J1308" s="38" t="s">
        <v>125</v>
      </c>
      <c r="K1308" s="38" t="s">
        <v>126</v>
      </c>
      <c r="L1308" s="41">
        <v>46011.75</v>
      </c>
      <c r="M1308" s="38" t="s">
        <v>123</v>
      </c>
      <c r="N1308" s="41">
        <v>46011.760416666664</v>
      </c>
      <c r="O1308" s="38" t="s">
        <v>123</v>
      </c>
      <c r="P1308" s="38">
        <v>900.0</v>
      </c>
      <c r="Q1308" s="39"/>
      <c r="R1308" s="39"/>
      <c r="S1308" s="38" t="s">
        <v>199</v>
      </c>
      <c r="T1308" s="39"/>
      <c r="U1308" s="39"/>
    </row>
    <row r="1309">
      <c r="A1309" s="40">
        <f t="shared" si="1"/>
        <v>46006</v>
      </c>
      <c r="B1309" s="37" t="str">
        <f t="array" ref="B1309">iferror(xlookup($I1309, 'IMPORT VHC Report'!$E:$E, 'IMPORT VHC Report'!$A:$C), )</f>
        <v/>
      </c>
      <c r="C1309" s="37"/>
      <c r="D1309" s="37"/>
      <c r="E1309" s="38" t="s">
        <v>1656</v>
      </c>
      <c r="F1309" s="38" t="s">
        <v>1639</v>
      </c>
      <c r="G1309" s="38">
        <v>1.0548627051023E13</v>
      </c>
      <c r="H1309" s="38" t="s">
        <v>1640</v>
      </c>
      <c r="I1309" s="38" t="s">
        <v>1641</v>
      </c>
      <c r="J1309" s="38" t="s">
        <v>196</v>
      </c>
      <c r="K1309" s="38" t="s">
        <v>63</v>
      </c>
      <c r="L1309" s="41">
        <v>46011.75</v>
      </c>
      <c r="M1309" s="38" t="s">
        <v>123</v>
      </c>
      <c r="N1309" s="41">
        <v>46012.125</v>
      </c>
      <c r="O1309" s="38" t="s">
        <v>123</v>
      </c>
      <c r="P1309" s="38">
        <v>32400.0</v>
      </c>
      <c r="Q1309" s="39"/>
      <c r="R1309" s="39"/>
      <c r="S1309" s="39"/>
      <c r="T1309" s="39"/>
      <c r="U1309" s="39"/>
    </row>
    <row r="1310">
      <c r="A1310" s="40">
        <f t="shared" si="1"/>
        <v>46006</v>
      </c>
      <c r="B1310" s="37" t="str">
        <f t="array" ref="B1310">iferror(xlookup($I1310, 'IMPORT VHC Report'!$E:$E, 'IMPORT VHC Report'!$A:$C), )</f>
        <v/>
      </c>
      <c r="C1310" s="37"/>
      <c r="D1310" s="37"/>
      <c r="E1310" s="38" t="s">
        <v>1657</v>
      </c>
      <c r="F1310" s="38" t="s">
        <v>1639</v>
      </c>
      <c r="G1310" s="38">
        <v>1.0548627051023E13</v>
      </c>
      <c r="H1310" s="38" t="s">
        <v>1640</v>
      </c>
      <c r="I1310" s="38" t="s">
        <v>1641</v>
      </c>
      <c r="J1310" s="38" t="s">
        <v>132</v>
      </c>
      <c r="K1310" s="38" t="s">
        <v>126</v>
      </c>
      <c r="L1310" s="41">
        <v>46011.885416666664</v>
      </c>
      <c r="M1310" s="38" t="s">
        <v>123</v>
      </c>
      <c r="N1310" s="41">
        <v>46011.927083333336</v>
      </c>
      <c r="O1310" s="38" t="s">
        <v>123</v>
      </c>
      <c r="P1310" s="38">
        <v>3600.0</v>
      </c>
      <c r="Q1310" s="39"/>
      <c r="R1310" s="39"/>
      <c r="S1310" s="39"/>
      <c r="T1310" s="39"/>
      <c r="U1310" s="39"/>
    </row>
    <row r="1311">
      <c r="A1311" s="40">
        <f t="shared" si="1"/>
        <v>46006</v>
      </c>
      <c r="B1311" s="37" t="str">
        <f t="array" ref="B1311">iferror(xlookup($I1311, 'IMPORT VHC Report'!$E:$E, 'IMPORT VHC Report'!$A:$C), )</f>
        <v/>
      </c>
      <c r="C1311" s="37"/>
      <c r="D1311" s="37"/>
      <c r="E1311" s="38" t="s">
        <v>1658</v>
      </c>
      <c r="F1311" s="38" t="s">
        <v>1639</v>
      </c>
      <c r="G1311" s="38">
        <v>1.0548627051023E13</v>
      </c>
      <c r="H1311" s="38" t="s">
        <v>1640</v>
      </c>
      <c r="I1311" s="38" t="s">
        <v>1641</v>
      </c>
      <c r="J1311" s="38" t="s">
        <v>134</v>
      </c>
      <c r="K1311" s="38" t="s">
        <v>126</v>
      </c>
      <c r="L1311" s="41">
        <v>46012.041666666664</v>
      </c>
      <c r="M1311" s="38" t="s">
        <v>123</v>
      </c>
      <c r="N1311" s="41">
        <v>46012.0625</v>
      </c>
      <c r="O1311" s="38" t="s">
        <v>123</v>
      </c>
      <c r="P1311" s="38">
        <v>1800.0</v>
      </c>
      <c r="Q1311" s="39"/>
      <c r="R1311" s="39"/>
      <c r="S1311" s="39"/>
      <c r="T1311" s="39"/>
      <c r="U1311" s="39"/>
    </row>
    <row r="1312">
      <c r="A1312" s="40">
        <f t="shared" si="1"/>
        <v>46006</v>
      </c>
      <c r="B1312" s="37" t="str">
        <f t="array" ref="B1312">iferror(xlookup($I1312, 'IMPORT VHC Report'!$E:$E, 'IMPORT VHC Report'!$A:$C), )</f>
        <v/>
      </c>
      <c r="C1312" s="37"/>
      <c r="D1312" s="37"/>
      <c r="E1312" s="38" t="s">
        <v>1659</v>
      </c>
      <c r="F1312" s="38" t="s">
        <v>1639</v>
      </c>
      <c r="G1312" s="38">
        <v>1.0548627051023E13</v>
      </c>
      <c r="H1312" s="38" t="s">
        <v>1640</v>
      </c>
      <c r="I1312" s="38" t="s">
        <v>1641</v>
      </c>
      <c r="J1312" s="38" t="s">
        <v>125</v>
      </c>
      <c r="K1312" s="38" t="s">
        <v>126</v>
      </c>
      <c r="L1312" s="41">
        <v>46012.75</v>
      </c>
      <c r="M1312" s="38" t="s">
        <v>123</v>
      </c>
      <c r="N1312" s="41">
        <v>46012.760416666664</v>
      </c>
      <c r="O1312" s="38" t="s">
        <v>123</v>
      </c>
      <c r="P1312" s="38">
        <v>900.0</v>
      </c>
      <c r="Q1312" s="39"/>
      <c r="R1312" s="39"/>
      <c r="S1312" s="38" t="s">
        <v>199</v>
      </c>
      <c r="T1312" s="39"/>
      <c r="U1312" s="39"/>
    </row>
    <row r="1313">
      <c r="A1313" s="40">
        <f t="shared" si="1"/>
        <v>46006</v>
      </c>
      <c r="B1313" s="37" t="str">
        <f t="array" ref="B1313">iferror(xlookup($I1313, 'IMPORT VHC Report'!$E:$E, 'IMPORT VHC Report'!$A:$C), )</f>
        <v/>
      </c>
      <c r="C1313" s="37"/>
      <c r="D1313" s="37"/>
      <c r="E1313" s="38" t="s">
        <v>1660</v>
      </c>
      <c r="F1313" s="38" t="s">
        <v>1639</v>
      </c>
      <c r="G1313" s="38">
        <v>1.0548627051023E13</v>
      </c>
      <c r="H1313" s="38" t="s">
        <v>1640</v>
      </c>
      <c r="I1313" s="38" t="s">
        <v>1641</v>
      </c>
      <c r="J1313" s="38" t="s">
        <v>196</v>
      </c>
      <c r="K1313" s="38" t="s">
        <v>63</v>
      </c>
      <c r="L1313" s="41">
        <v>46012.75</v>
      </c>
      <c r="M1313" s="38" t="s">
        <v>123</v>
      </c>
      <c r="N1313" s="41">
        <v>46013.0</v>
      </c>
      <c r="O1313" s="38" t="s">
        <v>123</v>
      </c>
      <c r="P1313" s="38">
        <v>21600.0</v>
      </c>
      <c r="Q1313" s="39"/>
      <c r="R1313" s="39"/>
      <c r="S1313" s="39"/>
      <c r="T1313" s="39"/>
      <c r="U1313" s="39"/>
    </row>
    <row r="1314">
      <c r="A1314" s="40">
        <f t="shared" si="1"/>
        <v>46006</v>
      </c>
      <c r="B1314" s="37" t="str">
        <f t="array" ref="B1314">iferror(xlookup($I1314, 'IMPORT VHC Report'!$E:$E, 'IMPORT VHC Report'!$A:$C), )</f>
        <v/>
      </c>
      <c r="C1314" s="37"/>
      <c r="D1314" s="37"/>
      <c r="E1314" s="38" t="s">
        <v>1661</v>
      </c>
      <c r="F1314" s="38" t="s">
        <v>1639</v>
      </c>
      <c r="G1314" s="38">
        <v>1.0548627051023E13</v>
      </c>
      <c r="H1314" s="38" t="s">
        <v>1640</v>
      </c>
      <c r="I1314" s="38" t="s">
        <v>1641</v>
      </c>
      <c r="J1314" s="38" t="s">
        <v>134</v>
      </c>
      <c r="K1314" s="38" t="s">
        <v>126</v>
      </c>
      <c r="L1314" s="41">
        <v>46012.854166666664</v>
      </c>
      <c r="M1314" s="38" t="s">
        <v>123</v>
      </c>
      <c r="N1314" s="41">
        <v>46012.875</v>
      </c>
      <c r="O1314" s="38" t="s">
        <v>123</v>
      </c>
      <c r="P1314" s="38">
        <v>1800.0</v>
      </c>
      <c r="Q1314" s="39"/>
      <c r="R1314" s="39"/>
      <c r="S1314" s="39"/>
      <c r="T1314" s="39"/>
      <c r="U1314" s="39"/>
    </row>
    <row r="1315">
      <c r="A1315" s="40">
        <f t="shared" si="1"/>
        <v>46006</v>
      </c>
      <c r="B1315" s="37" t="str">
        <f t="array" ref="B1315">iferror(xlookup($I1315, 'IMPORT VHC Report'!$E:$E, 'IMPORT VHC Report'!$A:$C), )</f>
        <v/>
      </c>
      <c r="C1315" s="37"/>
      <c r="D1315" s="37"/>
      <c r="E1315" s="38" t="s">
        <v>1662</v>
      </c>
      <c r="F1315" s="38" t="s">
        <v>1639</v>
      </c>
      <c r="G1315" s="38">
        <v>1.0548627051023E13</v>
      </c>
      <c r="H1315" s="38" t="s">
        <v>1640</v>
      </c>
      <c r="I1315" s="38" t="s">
        <v>1641</v>
      </c>
      <c r="J1315" s="38" t="s">
        <v>4</v>
      </c>
      <c r="K1315" s="38" t="s">
        <v>126</v>
      </c>
      <c r="L1315" s="41">
        <v>46012.875</v>
      </c>
      <c r="M1315" s="38" t="s">
        <v>123</v>
      </c>
      <c r="N1315" s="41">
        <v>46012.885416666664</v>
      </c>
      <c r="O1315" s="38" t="s">
        <v>123</v>
      </c>
      <c r="P1315" s="38">
        <v>900.0</v>
      </c>
      <c r="Q1315" s="39"/>
      <c r="R1315" s="39"/>
      <c r="S1315" s="38" t="s">
        <v>1663</v>
      </c>
      <c r="T1315" s="39"/>
      <c r="U1315" s="39"/>
    </row>
    <row r="1316">
      <c r="A1316" s="40">
        <f t="shared" si="1"/>
        <v>46006</v>
      </c>
      <c r="B1316" s="37" t="str">
        <f t="array" ref="B1316">iferror(xlookup($I1316, 'IMPORT VHC Report'!$E:$E, 'IMPORT VHC Report'!$A:$C), )</f>
        <v/>
      </c>
      <c r="C1316" s="37"/>
      <c r="D1316" s="37"/>
      <c r="E1316" s="38" t="s">
        <v>1664</v>
      </c>
      <c r="F1316" s="38" t="s">
        <v>1639</v>
      </c>
      <c r="G1316" s="38">
        <v>1.0548627051023E13</v>
      </c>
      <c r="H1316" s="38" t="s">
        <v>1640</v>
      </c>
      <c r="I1316" s="38" t="s">
        <v>1641</v>
      </c>
      <c r="J1316" s="38" t="s">
        <v>330</v>
      </c>
      <c r="K1316" s="38" t="s">
        <v>126</v>
      </c>
      <c r="L1316" s="41">
        <v>46012.958333333336</v>
      </c>
      <c r="M1316" s="38" t="s">
        <v>123</v>
      </c>
      <c r="N1316" s="41">
        <v>46012.979166666664</v>
      </c>
      <c r="O1316" s="38" t="s">
        <v>123</v>
      </c>
      <c r="P1316" s="38">
        <v>1800.0</v>
      </c>
      <c r="Q1316" s="39"/>
      <c r="R1316" s="39"/>
      <c r="S1316" s="39"/>
      <c r="T1316" s="39"/>
      <c r="U1316" s="39"/>
    </row>
    <row r="1317">
      <c r="A1317" s="40">
        <f t="shared" si="1"/>
        <v>46006</v>
      </c>
      <c r="B1317" s="37" t="str">
        <f t="array" ref="B1317">iferror(xlookup($I1317, 'IMPORT VHC Report'!$E:$E, 'IMPORT VHC Report'!$A:$C), )</f>
        <v/>
      </c>
      <c r="C1317" s="37"/>
      <c r="D1317" s="37"/>
      <c r="E1317" s="38" t="s">
        <v>1665</v>
      </c>
      <c r="F1317" s="38" t="s">
        <v>1639</v>
      </c>
      <c r="G1317" s="38">
        <v>1.0548627051023E13</v>
      </c>
      <c r="H1317" s="38" t="s">
        <v>1640</v>
      </c>
      <c r="I1317" s="38" t="s">
        <v>1641</v>
      </c>
      <c r="J1317" s="38" t="s">
        <v>132</v>
      </c>
      <c r="K1317" s="38" t="s">
        <v>126</v>
      </c>
      <c r="L1317" s="41">
        <v>46012.979166666664</v>
      </c>
      <c r="M1317" s="38" t="s">
        <v>123</v>
      </c>
      <c r="N1317" s="41">
        <v>46013.0</v>
      </c>
      <c r="O1317" s="38" t="s">
        <v>123</v>
      </c>
      <c r="P1317" s="38">
        <v>1800.0</v>
      </c>
      <c r="Q1317" s="39"/>
      <c r="R1317" s="39"/>
      <c r="S1317" s="39"/>
      <c r="T1317" s="39"/>
      <c r="U1317" s="39"/>
    </row>
    <row r="1318">
      <c r="A1318" s="40">
        <f t="shared" si="1"/>
        <v>46006</v>
      </c>
      <c r="B1318" s="37" t="str">
        <f t="array" ref="B1318">iferror(xlookup($I1318, 'IMPORT VHC Report'!$E:$E, 'IMPORT VHC Report'!$A:$C), )</f>
        <v/>
      </c>
      <c r="C1318" s="37"/>
      <c r="D1318" s="37"/>
      <c r="E1318" s="38" t="s">
        <v>1666</v>
      </c>
      <c r="F1318" s="38" t="s">
        <v>1667</v>
      </c>
      <c r="G1318" s="38">
        <v>5.047383497615E12</v>
      </c>
      <c r="H1318" s="38" t="s">
        <v>1668</v>
      </c>
      <c r="I1318" s="38" t="s">
        <v>1669</v>
      </c>
      <c r="J1318" s="38" t="s">
        <v>1670</v>
      </c>
      <c r="K1318" s="38" t="s">
        <v>63</v>
      </c>
      <c r="L1318" s="41">
        <v>46006.0</v>
      </c>
      <c r="M1318" s="38" t="s">
        <v>123</v>
      </c>
      <c r="N1318" s="41">
        <v>46006.333333333336</v>
      </c>
      <c r="O1318" s="38" t="s">
        <v>123</v>
      </c>
      <c r="P1318" s="38">
        <v>28800.0</v>
      </c>
      <c r="Q1318" s="39"/>
      <c r="R1318" s="39"/>
      <c r="S1318" s="39"/>
      <c r="T1318" s="39"/>
      <c r="U1318" s="39"/>
    </row>
    <row r="1319">
      <c r="A1319" s="40">
        <f t="shared" si="1"/>
        <v>46006</v>
      </c>
      <c r="B1319" s="37" t="str">
        <f t="array" ref="B1319">iferror(xlookup($I1319, 'IMPORT VHC Report'!$E:$E, 'IMPORT VHC Report'!$A:$C), )</f>
        <v/>
      </c>
      <c r="C1319" s="37"/>
      <c r="D1319" s="37"/>
      <c r="E1319" s="38" t="s">
        <v>1671</v>
      </c>
      <c r="F1319" s="38" t="s">
        <v>1667</v>
      </c>
      <c r="G1319" s="38">
        <v>5.047383497615E12</v>
      </c>
      <c r="H1319" s="38" t="s">
        <v>1668</v>
      </c>
      <c r="I1319" s="38" t="s">
        <v>1669</v>
      </c>
      <c r="J1319" s="38" t="s">
        <v>132</v>
      </c>
      <c r="K1319" s="38" t="s">
        <v>126</v>
      </c>
      <c r="L1319" s="41">
        <v>46006.270833333336</v>
      </c>
      <c r="M1319" s="38" t="s">
        <v>123</v>
      </c>
      <c r="N1319" s="41">
        <v>46006.3125</v>
      </c>
      <c r="O1319" s="38" t="s">
        <v>123</v>
      </c>
      <c r="P1319" s="38">
        <v>3600.0</v>
      </c>
      <c r="Q1319" s="39"/>
      <c r="R1319" s="39"/>
      <c r="S1319" s="39"/>
      <c r="T1319" s="39"/>
      <c r="U1319" s="39"/>
    </row>
    <row r="1320">
      <c r="A1320" s="40">
        <f t="shared" si="1"/>
        <v>46006</v>
      </c>
      <c r="B1320" s="37" t="str">
        <f t="array" ref="B1320">iferror(xlookup($I1320, 'IMPORT VHC Report'!$E:$E, 'IMPORT VHC Report'!$A:$C), )</f>
        <v/>
      </c>
      <c r="C1320" s="37"/>
      <c r="D1320" s="37"/>
      <c r="E1320" s="38" t="s">
        <v>1672</v>
      </c>
      <c r="F1320" s="38" t="s">
        <v>1667</v>
      </c>
      <c r="G1320" s="38">
        <v>5.047383497615E12</v>
      </c>
      <c r="H1320" s="38" t="s">
        <v>1668</v>
      </c>
      <c r="I1320" s="38" t="s">
        <v>1669</v>
      </c>
      <c r="J1320" s="38" t="s">
        <v>134</v>
      </c>
      <c r="K1320" s="38" t="s">
        <v>126</v>
      </c>
      <c r="L1320" s="41">
        <v>46006.3125</v>
      </c>
      <c r="M1320" s="38" t="s">
        <v>123</v>
      </c>
      <c r="N1320" s="41">
        <v>46006.333333333336</v>
      </c>
      <c r="O1320" s="38" t="s">
        <v>123</v>
      </c>
      <c r="P1320" s="38">
        <v>1800.0</v>
      </c>
      <c r="Q1320" s="39"/>
      <c r="R1320" s="39"/>
      <c r="S1320" s="39"/>
      <c r="T1320" s="39"/>
      <c r="U1320" s="39"/>
    </row>
    <row r="1321">
      <c r="A1321" s="40">
        <f t="shared" si="1"/>
        <v>46006</v>
      </c>
      <c r="B1321" s="37" t="str">
        <f t="array" ref="B1321">iferror(xlookup($I1321, 'IMPORT VHC Report'!$E:$E, 'IMPORT VHC Report'!$A:$C), )</f>
        <v/>
      </c>
      <c r="C1321" s="37"/>
      <c r="D1321" s="37"/>
      <c r="E1321" s="38" t="s">
        <v>1673</v>
      </c>
      <c r="F1321" s="38" t="s">
        <v>1667</v>
      </c>
      <c r="G1321" s="38">
        <v>5.047383497615E12</v>
      </c>
      <c r="H1321" s="38" t="s">
        <v>1668</v>
      </c>
      <c r="I1321" s="38" t="s">
        <v>1669</v>
      </c>
      <c r="J1321" s="38" t="s">
        <v>1670</v>
      </c>
      <c r="K1321" s="38" t="s">
        <v>63</v>
      </c>
      <c r="L1321" s="41">
        <v>46006.958333333336</v>
      </c>
      <c r="M1321" s="38" t="s">
        <v>123</v>
      </c>
      <c r="N1321" s="41">
        <v>46007.333333333336</v>
      </c>
      <c r="O1321" s="38" t="s">
        <v>123</v>
      </c>
      <c r="P1321" s="38">
        <v>32400.0</v>
      </c>
      <c r="Q1321" s="39"/>
      <c r="R1321" s="39"/>
      <c r="S1321" s="39"/>
      <c r="T1321" s="39"/>
      <c r="U1321" s="39"/>
    </row>
    <row r="1322">
      <c r="A1322" s="40">
        <f t="shared" si="1"/>
        <v>46006</v>
      </c>
      <c r="B1322" s="37" t="str">
        <f t="array" ref="B1322">iferror(xlookup($I1322, 'IMPORT VHC Report'!$E:$E, 'IMPORT VHC Report'!$A:$C), )</f>
        <v/>
      </c>
      <c r="C1322" s="37"/>
      <c r="D1322" s="37"/>
      <c r="E1322" s="38" t="s">
        <v>1674</v>
      </c>
      <c r="F1322" s="38" t="s">
        <v>1667</v>
      </c>
      <c r="G1322" s="38">
        <v>5.047383497615E12</v>
      </c>
      <c r="H1322" s="38" t="s">
        <v>1668</v>
      </c>
      <c r="I1322" s="38" t="s">
        <v>1669</v>
      </c>
      <c r="J1322" s="38" t="s">
        <v>132</v>
      </c>
      <c r="K1322" s="38" t="s">
        <v>126</v>
      </c>
      <c r="L1322" s="41">
        <v>46007.270833333336</v>
      </c>
      <c r="M1322" s="38" t="s">
        <v>123</v>
      </c>
      <c r="N1322" s="41">
        <v>46007.3125</v>
      </c>
      <c r="O1322" s="38" t="s">
        <v>123</v>
      </c>
      <c r="P1322" s="38">
        <v>3600.0</v>
      </c>
      <c r="Q1322" s="39"/>
      <c r="R1322" s="39"/>
      <c r="S1322" s="39"/>
      <c r="T1322" s="39"/>
      <c r="U1322" s="39"/>
    </row>
    <row r="1323">
      <c r="A1323" s="40">
        <f t="shared" si="1"/>
        <v>46006</v>
      </c>
      <c r="B1323" s="37" t="str">
        <f t="array" ref="B1323">iferror(xlookup($I1323, 'IMPORT VHC Report'!$E:$E, 'IMPORT VHC Report'!$A:$C), )</f>
        <v/>
      </c>
      <c r="C1323" s="37"/>
      <c r="D1323" s="37"/>
      <c r="E1323" s="38" t="s">
        <v>1675</v>
      </c>
      <c r="F1323" s="38" t="s">
        <v>1667</v>
      </c>
      <c r="G1323" s="38">
        <v>5.047383497615E12</v>
      </c>
      <c r="H1323" s="38" t="s">
        <v>1668</v>
      </c>
      <c r="I1323" s="38" t="s">
        <v>1669</v>
      </c>
      <c r="J1323" s="38" t="s">
        <v>134</v>
      </c>
      <c r="K1323" s="38" t="s">
        <v>126</v>
      </c>
      <c r="L1323" s="41">
        <v>46007.3125</v>
      </c>
      <c r="M1323" s="38" t="s">
        <v>123</v>
      </c>
      <c r="N1323" s="41">
        <v>46007.333333333336</v>
      </c>
      <c r="O1323" s="38" t="s">
        <v>123</v>
      </c>
      <c r="P1323" s="38">
        <v>1800.0</v>
      </c>
      <c r="Q1323" s="39"/>
      <c r="R1323" s="39"/>
      <c r="S1323" s="39"/>
      <c r="T1323" s="39"/>
      <c r="U1323" s="39"/>
    </row>
    <row r="1324">
      <c r="A1324" s="40">
        <f t="shared" si="1"/>
        <v>46006</v>
      </c>
      <c r="B1324" s="37" t="str">
        <f t="array" ref="B1324">iferror(xlookup($I1324, 'IMPORT VHC Report'!$E:$E, 'IMPORT VHC Report'!$A:$C), )</f>
        <v/>
      </c>
      <c r="C1324" s="37"/>
      <c r="D1324" s="37"/>
      <c r="E1324" s="38" t="s">
        <v>1676</v>
      </c>
      <c r="F1324" s="38" t="s">
        <v>1667</v>
      </c>
      <c r="G1324" s="38">
        <v>5.047383497615E12</v>
      </c>
      <c r="H1324" s="38" t="s">
        <v>1668</v>
      </c>
      <c r="I1324" s="38" t="s">
        <v>1669</v>
      </c>
      <c r="J1324" s="38" t="s">
        <v>1670</v>
      </c>
      <c r="K1324" s="38" t="s">
        <v>63</v>
      </c>
      <c r="L1324" s="41">
        <v>46007.958333333336</v>
      </c>
      <c r="M1324" s="38" t="s">
        <v>123</v>
      </c>
      <c r="N1324" s="41">
        <v>46008.333333333336</v>
      </c>
      <c r="O1324" s="38" t="s">
        <v>123</v>
      </c>
      <c r="P1324" s="38">
        <v>32400.0</v>
      </c>
      <c r="Q1324" s="39"/>
      <c r="R1324" s="39"/>
      <c r="S1324" s="39"/>
      <c r="T1324" s="39"/>
      <c r="U1324" s="39"/>
    </row>
    <row r="1325">
      <c r="A1325" s="40">
        <f t="shared" si="1"/>
        <v>46006</v>
      </c>
      <c r="B1325" s="37" t="str">
        <f t="array" ref="B1325">iferror(xlookup($I1325, 'IMPORT VHC Report'!$E:$E, 'IMPORT VHC Report'!$A:$C), )</f>
        <v/>
      </c>
      <c r="C1325" s="37"/>
      <c r="D1325" s="37"/>
      <c r="E1325" s="38" t="s">
        <v>1677</v>
      </c>
      <c r="F1325" s="38" t="s">
        <v>1667</v>
      </c>
      <c r="G1325" s="38">
        <v>5.047383497615E12</v>
      </c>
      <c r="H1325" s="38" t="s">
        <v>1668</v>
      </c>
      <c r="I1325" s="38" t="s">
        <v>1669</v>
      </c>
      <c r="J1325" s="38" t="s">
        <v>132</v>
      </c>
      <c r="K1325" s="38" t="s">
        <v>126</v>
      </c>
      <c r="L1325" s="41">
        <v>46008.125</v>
      </c>
      <c r="M1325" s="38" t="s">
        <v>123</v>
      </c>
      <c r="N1325" s="41">
        <v>46008.166666666664</v>
      </c>
      <c r="O1325" s="38" t="s">
        <v>123</v>
      </c>
      <c r="P1325" s="38">
        <v>3600.0</v>
      </c>
      <c r="Q1325" s="39"/>
      <c r="R1325" s="39"/>
      <c r="S1325" s="39"/>
      <c r="T1325" s="39"/>
      <c r="U1325" s="39"/>
    </row>
    <row r="1326">
      <c r="A1326" s="40">
        <f t="shared" si="1"/>
        <v>46006</v>
      </c>
      <c r="B1326" s="37" t="str">
        <f t="array" ref="B1326">iferror(xlookup($I1326, 'IMPORT VHC Report'!$E:$E, 'IMPORT VHC Report'!$A:$C), )</f>
        <v/>
      </c>
      <c r="C1326" s="37"/>
      <c r="D1326" s="37"/>
      <c r="E1326" s="38" t="s">
        <v>1678</v>
      </c>
      <c r="F1326" s="38" t="s">
        <v>1667</v>
      </c>
      <c r="G1326" s="38">
        <v>5.047383497615E12</v>
      </c>
      <c r="H1326" s="38" t="s">
        <v>1668</v>
      </c>
      <c r="I1326" s="38" t="s">
        <v>1669</v>
      </c>
      <c r="J1326" s="38" t="s">
        <v>134</v>
      </c>
      <c r="K1326" s="38" t="s">
        <v>126</v>
      </c>
      <c r="L1326" s="41">
        <v>46008.166666666664</v>
      </c>
      <c r="M1326" s="38" t="s">
        <v>123</v>
      </c>
      <c r="N1326" s="41">
        <v>46008.1875</v>
      </c>
      <c r="O1326" s="38" t="s">
        <v>123</v>
      </c>
      <c r="P1326" s="38">
        <v>1800.0</v>
      </c>
      <c r="Q1326" s="39"/>
      <c r="R1326" s="39"/>
      <c r="S1326" s="39"/>
      <c r="T1326" s="39"/>
      <c r="U1326" s="39"/>
    </row>
    <row r="1327">
      <c r="A1327" s="40">
        <f t="shared" si="1"/>
        <v>46006</v>
      </c>
      <c r="B1327" s="37" t="str">
        <f t="array" ref="B1327">iferror(xlookup($I1327, 'IMPORT VHC Report'!$E:$E, 'IMPORT VHC Report'!$A:$C), )</f>
        <v/>
      </c>
      <c r="C1327" s="37"/>
      <c r="D1327" s="37"/>
      <c r="E1327" s="38" t="s">
        <v>1679</v>
      </c>
      <c r="F1327" s="38" t="s">
        <v>1667</v>
      </c>
      <c r="G1327" s="38">
        <v>5.047383497615E12</v>
      </c>
      <c r="H1327" s="38" t="s">
        <v>1668</v>
      </c>
      <c r="I1327" s="38" t="s">
        <v>1669</v>
      </c>
      <c r="J1327" s="38" t="s">
        <v>136</v>
      </c>
      <c r="K1327" s="38" t="s">
        <v>126</v>
      </c>
      <c r="L1327" s="41">
        <v>46008.291666666664</v>
      </c>
      <c r="M1327" s="38" t="s">
        <v>123</v>
      </c>
      <c r="N1327" s="41">
        <v>46008.333333333336</v>
      </c>
      <c r="O1327" s="38" t="s">
        <v>123</v>
      </c>
      <c r="P1327" s="38">
        <v>3600.0</v>
      </c>
      <c r="Q1327" s="39"/>
      <c r="R1327" s="39"/>
      <c r="S1327" s="38" t="s">
        <v>1680</v>
      </c>
      <c r="T1327" s="39"/>
      <c r="U1327" s="39"/>
    </row>
    <row r="1328">
      <c r="A1328" s="40">
        <f t="shared" si="1"/>
        <v>46006</v>
      </c>
      <c r="B1328" s="37" t="str">
        <f t="array" ref="B1328">iferror(xlookup($I1328, 'IMPORT VHC Report'!$E:$E, 'IMPORT VHC Report'!$A:$C), )</f>
        <v/>
      </c>
      <c r="C1328" s="37"/>
      <c r="D1328" s="37"/>
      <c r="E1328" s="38" t="s">
        <v>1681</v>
      </c>
      <c r="F1328" s="38" t="s">
        <v>1667</v>
      </c>
      <c r="G1328" s="38">
        <v>5.047383497615E12</v>
      </c>
      <c r="H1328" s="38" t="s">
        <v>1668</v>
      </c>
      <c r="I1328" s="38" t="s">
        <v>1669</v>
      </c>
      <c r="J1328" s="38" t="s">
        <v>1670</v>
      </c>
      <c r="K1328" s="38" t="s">
        <v>63</v>
      </c>
      <c r="L1328" s="41">
        <v>46008.958333333336</v>
      </c>
      <c r="M1328" s="38" t="s">
        <v>123</v>
      </c>
      <c r="N1328" s="41">
        <v>46009.333333333336</v>
      </c>
      <c r="O1328" s="38" t="s">
        <v>123</v>
      </c>
      <c r="P1328" s="38">
        <v>32400.0</v>
      </c>
      <c r="Q1328" s="39"/>
      <c r="R1328" s="39"/>
      <c r="S1328" s="39"/>
      <c r="T1328" s="39"/>
      <c r="U1328" s="39"/>
    </row>
    <row r="1329">
      <c r="A1329" s="40">
        <f t="shared" si="1"/>
        <v>46006</v>
      </c>
      <c r="B1329" s="37" t="str">
        <f t="array" ref="B1329">iferror(xlookup($I1329, 'IMPORT VHC Report'!$E:$E, 'IMPORT VHC Report'!$A:$C), )</f>
        <v/>
      </c>
      <c r="C1329" s="37"/>
      <c r="D1329" s="37"/>
      <c r="E1329" s="38" t="s">
        <v>1682</v>
      </c>
      <c r="F1329" s="38" t="s">
        <v>1667</v>
      </c>
      <c r="G1329" s="38">
        <v>5.047383497615E12</v>
      </c>
      <c r="H1329" s="38" t="s">
        <v>1668</v>
      </c>
      <c r="I1329" s="38" t="s">
        <v>1669</v>
      </c>
      <c r="J1329" s="38" t="s">
        <v>136</v>
      </c>
      <c r="K1329" s="38" t="s">
        <v>126</v>
      </c>
      <c r="L1329" s="41">
        <v>46009.166666666664</v>
      </c>
      <c r="M1329" s="38" t="s">
        <v>123</v>
      </c>
      <c r="N1329" s="41">
        <v>46009.208333333336</v>
      </c>
      <c r="O1329" s="38" t="s">
        <v>123</v>
      </c>
      <c r="P1329" s="38">
        <v>3600.0</v>
      </c>
      <c r="Q1329" s="39"/>
      <c r="R1329" s="39"/>
      <c r="S1329" s="38" t="s">
        <v>1683</v>
      </c>
      <c r="T1329" s="39"/>
      <c r="U1329" s="39"/>
    </row>
    <row r="1330">
      <c r="A1330" s="40">
        <f t="shared" si="1"/>
        <v>46006</v>
      </c>
      <c r="B1330" s="37" t="str">
        <f t="array" ref="B1330">iferror(xlookup($I1330, 'IMPORT VHC Report'!$E:$E, 'IMPORT VHC Report'!$A:$C), )</f>
        <v/>
      </c>
      <c r="C1330" s="37"/>
      <c r="D1330" s="37"/>
      <c r="E1330" s="38" t="s">
        <v>1684</v>
      </c>
      <c r="F1330" s="38" t="s">
        <v>1667</v>
      </c>
      <c r="G1330" s="38">
        <v>5.047383497615E12</v>
      </c>
      <c r="H1330" s="38" t="s">
        <v>1668</v>
      </c>
      <c r="I1330" s="38" t="s">
        <v>1669</v>
      </c>
      <c r="J1330" s="38" t="s">
        <v>132</v>
      </c>
      <c r="K1330" s="38" t="s">
        <v>126</v>
      </c>
      <c r="L1330" s="41">
        <v>46009.270833333336</v>
      </c>
      <c r="M1330" s="38" t="s">
        <v>123</v>
      </c>
      <c r="N1330" s="41">
        <v>46009.3125</v>
      </c>
      <c r="O1330" s="38" t="s">
        <v>123</v>
      </c>
      <c r="P1330" s="38">
        <v>3600.0</v>
      </c>
      <c r="Q1330" s="39"/>
      <c r="R1330" s="39"/>
      <c r="S1330" s="39"/>
      <c r="T1330" s="39"/>
      <c r="U1330" s="39"/>
    </row>
    <row r="1331">
      <c r="A1331" s="40">
        <f t="shared" si="1"/>
        <v>46006</v>
      </c>
      <c r="B1331" s="37" t="str">
        <f t="array" ref="B1331">iferror(xlookup($I1331, 'IMPORT VHC Report'!$E:$E, 'IMPORT VHC Report'!$A:$C), )</f>
        <v/>
      </c>
      <c r="C1331" s="37"/>
      <c r="D1331" s="37"/>
      <c r="E1331" s="38" t="s">
        <v>1685</v>
      </c>
      <c r="F1331" s="38" t="s">
        <v>1667</v>
      </c>
      <c r="G1331" s="38">
        <v>5.047383497615E12</v>
      </c>
      <c r="H1331" s="38" t="s">
        <v>1668</v>
      </c>
      <c r="I1331" s="38" t="s">
        <v>1669</v>
      </c>
      <c r="J1331" s="38" t="s">
        <v>134</v>
      </c>
      <c r="K1331" s="38" t="s">
        <v>126</v>
      </c>
      <c r="L1331" s="41">
        <v>46009.3125</v>
      </c>
      <c r="M1331" s="38" t="s">
        <v>123</v>
      </c>
      <c r="N1331" s="41">
        <v>46009.333333333336</v>
      </c>
      <c r="O1331" s="38" t="s">
        <v>123</v>
      </c>
      <c r="P1331" s="38">
        <v>1800.0</v>
      </c>
      <c r="Q1331" s="39"/>
      <c r="R1331" s="39"/>
      <c r="S1331" s="39"/>
      <c r="T1331" s="39"/>
      <c r="U1331" s="39"/>
    </row>
    <row r="1332">
      <c r="A1332" s="40">
        <f t="shared" si="1"/>
        <v>46006</v>
      </c>
      <c r="B1332" s="37" t="str">
        <f t="array" ref="B1332">iferror(xlookup($I1332, 'IMPORT VHC Report'!$E:$E, 'IMPORT VHC Report'!$A:$C), )</f>
        <v/>
      </c>
      <c r="C1332" s="37"/>
      <c r="D1332" s="37"/>
      <c r="E1332" s="38" t="s">
        <v>1686</v>
      </c>
      <c r="F1332" s="38" t="s">
        <v>1667</v>
      </c>
      <c r="G1332" s="38">
        <v>5.047383497615E12</v>
      </c>
      <c r="H1332" s="38" t="s">
        <v>1668</v>
      </c>
      <c r="I1332" s="38" t="s">
        <v>1669</v>
      </c>
      <c r="J1332" s="38" t="s">
        <v>178</v>
      </c>
      <c r="K1332" s="38" t="s">
        <v>153</v>
      </c>
      <c r="L1332" s="41">
        <v>46009.958333333336</v>
      </c>
      <c r="M1332" s="38" t="s">
        <v>123</v>
      </c>
      <c r="N1332" s="41">
        <v>46010.333333333336</v>
      </c>
      <c r="O1332" s="38" t="s">
        <v>123</v>
      </c>
      <c r="P1332" s="38">
        <v>32400.0</v>
      </c>
      <c r="Q1332" s="38">
        <v>28800.0</v>
      </c>
      <c r="R1332" s="38" t="s">
        <v>1687</v>
      </c>
      <c r="S1332" s="39"/>
      <c r="T1332" s="39"/>
      <c r="U1332" s="39"/>
    </row>
    <row r="1333">
      <c r="A1333" s="40">
        <f t="shared" si="1"/>
        <v>46006</v>
      </c>
      <c r="B1333" s="37" t="str">
        <f t="array" ref="B1333">iferror(xlookup($I1333, 'IMPORT VHC Report'!$E:$E, 'IMPORT VHC Report'!$A:$C), )</f>
        <v/>
      </c>
      <c r="C1333" s="37"/>
      <c r="D1333" s="37"/>
      <c r="E1333" s="38" t="s">
        <v>1688</v>
      </c>
      <c r="F1333" s="38" t="s">
        <v>1667</v>
      </c>
      <c r="G1333" s="38">
        <v>5.047383497615E12</v>
      </c>
      <c r="H1333" s="38" t="s">
        <v>1668</v>
      </c>
      <c r="I1333" s="38" t="s">
        <v>1669</v>
      </c>
      <c r="J1333" s="38" t="s">
        <v>1670</v>
      </c>
      <c r="K1333" s="38" t="s">
        <v>63</v>
      </c>
      <c r="L1333" s="41">
        <v>46009.958333333336</v>
      </c>
      <c r="M1333" s="38" t="s">
        <v>123</v>
      </c>
      <c r="N1333" s="41">
        <v>46010.333333333336</v>
      </c>
      <c r="O1333" s="38" t="s">
        <v>123</v>
      </c>
      <c r="P1333" s="38">
        <v>32400.0</v>
      </c>
      <c r="Q1333" s="39"/>
      <c r="R1333" s="39"/>
      <c r="S1333" s="39"/>
      <c r="T1333" s="39"/>
      <c r="U1333" s="39"/>
    </row>
    <row r="1334">
      <c r="A1334" s="40">
        <f t="shared" si="1"/>
        <v>46006</v>
      </c>
      <c r="B1334" s="37" t="str">
        <f t="array" ref="B1334">iferror(xlookup($I1334, 'IMPORT VHC Report'!$E:$E, 'IMPORT VHC Report'!$A:$C), )</f>
        <v/>
      </c>
      <c r="C1334" s="37"/>
      <c r="D1334" s="37"/>
      <c r="E1334" s="38" t="s">
        <v>1689</v>
      </c>
      <c r="F1334" s="38" t="s">
        <v>1667</v>
      </c>
      <c r="G1334" s="38">
        <v>5.047383497615E12</v>
      </c>
      <c r="H1334" s="38" t="s">
        <v>1668</v>
      </c>
      <c r="I1334" s="38" t="s">
        <v>1669</v>
      </c>
      <c r="J1334" s="38" t="s">
        <v>132</v>
      </c>
      <c r="K1334" s="38" t="s">
        <v>126</v>
      </c>
      <c r="L1334" s="41">
        <v>46010.270833333336</v>
      </c>
      <c r="M1334" s="38" t="s">
        <v>123</v>
      </c>
      <c r="N1334" s="41">
        <v>46010.3125</v>
      </c>
      <c r="O1334" s="38" t="s">
        <v>123</v>
      </c>
      <c r="P1334" s="38">
        <v>3600.0</v>
      </c>
      <c r="Q1334" s="39"/>
      <c r="R1334" s="39"/>
      <c r="S1334" s="39"/>
      <c r="T1334" s="39"/>
      <c r="U1334" s="39"/>
    </row>
    <row r="1335">
      <c r="A1335" s="40">
        <f t="shared" si="1"/>
        <v>46006</v>
      </c>
      <c r="B1335" s="37" t="str">
        <f t="array" ref="B1335">iferror(xlookup($I1335, 'IMPORT VHC Report'!$E:$E, 'IMPORT VHC Report'!$A:$C), )</f>
        <v/>
      </c>
      <c r="C1335" s="37"/>
      <c r="D1335" s="37"/>
      <c r="E1335" s="38" t="s">
        <v>1690</v>
      </c>
      <c r="F1335" s="38" t="s">
        <v>1667</v>
      </c>
      <c r="G1335" s="38">
        <v>5.047383497615E12</v>
      </c>
      <c r="H1335" s="38" t="s">
        <v>1668</v>
      </c>
      <c r="I1335" s="38" t="s">
        <v>1669</v>
      </c>
      <c r="J1335" s="38" t="s">
        <v>134</v>
      </c>
      <c r="K1335" s="38" t="s">
        <v>126</v>
      </c>
      <c r="L1335" s="41">
        <v>46010.3125</v>
      </c>
      <c r="M1335" s="38" t="s">
        <v>123</v>
      </c>
      <c r="N1335" s="41">
        <v>46010.333333333336</v>
      </c>
      <c r="O1335" s="38" t="s">
        <v>123</v>
      </c>
      <c r="P1335" s="38">
        <v>1800.0</v>
      </c>
      <c r="Q1335" s="39"/>
      <c r="R1335" s="39"/>
      <c r="S1335" s="39"/>
      <c r="T1335" s="39"/>
      <c r="U1335" s="39"/>
    </row>
    <row r="1336">
      <c r="A1336" s="40">
        <f t="shared" si="1"/>
        <v>46006</v>
      </c>
      <c r="B1336" s="37" t="str">
        <f t="array" ref="B1336">iferror(xlookup($I1336, 'IMPORT VHC Report'!$E:$E, 'IMPORT VHC Report'!$A:$C), )</f>
        <v/>
      </c>
      <c r="C1336" s="37"/>
      <c r="D1336" s="37"/>
      <c r="E1336" s="38" t="s">
        <v>1691</v>
      </c>
      <c r="F1336" s="38" t="s">
        <v>1667</v>
      </c>
      <c r="G1336" s="38">
        <v>5.047383497615E12</v>
      </c>
      <c r="H1336" s="38" t="s">
        <v>1668</v>
      </c>
      <c r="I1336" s="38" t="s">
        <v>1669</v>
      </c>
      <c r="J1336" s="38" t="s">
        <v>1670</v>
      </c>
      <c r="K1336" s="38" t="s">
        <v>63</v>
      </c>
      <c r="L1336" s="41">
        <v>46012.958333333336</v>
      </c>
      <c r="M1336" s="38" t="s">
        <v>123</v>
      </c>
      <c r="N1336" s="41">
        <v>46013.0</v>
      </c>
      <c r="O1336" s="38" t="s">
        <v>123</v>
      </c>
      <c r="P1336" s="38">
        <v>3600.0</v>
      </c>
      <c r="Q1336" s="39"/>
      <c r="R1336" s="39"/>
      <c r="S1336" s="39"/>
      <c r="T1336" s="39"/>
      <c r="U1336" s="39"/>
    </row>
    <row r="1337">
      <c r="A1337" s="40">
        <f t="shared" si="1"/>
        <v>46006</v>
      </c>
      <c r="B1337" s="37" t="str">
        <f t="array" ref="B1337">iferror(xlookup($I1337, 'IMPORT VHC Report'!$E:$E, 'IMPORT VHC Report'!$A:$C), )</f>
        <v/>
      </c>
      <c r="C1337" s="37"/>
      <c r="D1337" s="37"/>
      <c r="E1337" s="38" t="s">
        <v>1692</v>
      </c>
      <c r="F1337" s="38" t="s">
        <v>1667</v>
      </c>
      <c r="G1337" s="38">
        <v>5.047383497615E12</v>
      </c>
      <c r="H1337" s="38" t="s">
        <v>1668</v>
      </c>
      <c r="I1337" s="38" t="s">
        <v>1669</v>
      </c>
      <c r="J1337" s="38" t="s">
        <v>178</v>
      </c>
      <c r="K1337" s="38" t="s">
        <v>153</v>
      </c>
      <c r="L1337" s="41">
        <v>46012.958333333336</v>
      </c>
      <c r="M1337" s="38" t="s">
        <v>123</v>
      </c>
      <c r="N1337" s="41">
        <v>46013.333333333336</v>
      </c>
      <c r="O1337" s="38" t="s">
        <v>123</v>
      </c>
      <c r="P1337" s="38">
        <v>32400.0</v>
      </c>
      <c r="Q1337" s="38">
        <v>28800.0</v>
      </c>
      <c r="R1337" s="38" t="s">
        <v>1687</v>
      </c>
      <c r="S1337" s="39"/>
      <c r="T1337" s="39"/>
      <c r="U1337" s="39"/>
    </row>
    <row r="1338">
      <c r="A1338" s="40">
        <f t="shared" si="1"/>
        <v>46006</v>
      </c>
      <c r="B1338" s="37" t="str">
        <f t="array" ref="B1338">iferror(xlookup($I1338, 'IMPORT VHC Report'!$E:$E, 'IMPORT VHC Report'!$A:$C), )</f>
        <v/>
      </c>
      <c r="C1338" s="37"/>
      <c r="D1338" s="37"/>
      <c r="E1338" s="38" t="s">
        <v>1693</v>
      </c>
      <c r="F1338" s="38" t="s">
        <v>1694</v>
      </c>
      <c r="G1338" s="39"/>
      <c r="H1338" s="38" t="s">
        <v>1695</v>
      </c>
      <c r="I1338" s="38" t="s">
        <v>1696</v>
      </c>
      <c r="J1338" s="38" t="s">
        <v>122</v>
      </c>
      <c r="K1338" s="38" t="s">
        <v>63</v>
      </c>
      <c r="L1338" s="41">
        <v>46006.0</v>
      </c>
      <c r="M1338" s="38" t="s">
        <v>123</v>
      </c>
      <c r="N1338" s="41">
        <v>46006.25</v>
      </c>
      <c r="O1338" s="38" t="s">
        <v>123</v>
      </c>
      <c r="P1338" s="38">
        <v>21600.0</v>
      </c>
      <c r="Q1338" s="39"/>
      <c r="R1338" s="39"/>
      <c r="S1338" s="39"/>
      <c r="T1338" s="39"/>
      <c r="U1338" s="39"/>
    </row>
    <row r="1339">
      <c r="A1339" s="40">
        <f t="shared" si="1"/>
        <v>46006</v>
      </c>
      <c r="B1339" s="37" t="str">
        <f t="array" ref="B1339">iferror(xlookup($I1339, 'IMPORT VHC Report'!$E:$E, 'IMPORT VHC Report'!$A:$C), )</f>
        <v/>
      </c>
      <c r="C1339" s="37"/>
      <c r="D1339" s="37"/>
      <c r="E1339" s="38" t="s">
        <v>1697</v>
      </c>
      <c r="F1339" s="38" t="s">
        <v>1694</v>
      </c>
      <c r="G1339" s="39"/>
      <c r="H1339" s="38" t="s">
        <v>1695</v>
      </c>
      <c r="I1339" s="38" t="s">
        <v>1696</v>
      </c>
      <c r="J1339" s="38" t="s">
        <v>134</v>
      </c>
      <c r="K1339" s="38" t="s">
        <v>126</v>
      </c>
      <c r="L1339" s="41">
        <v>46006.041666666664</v>
      </c>
      <c r="M1339" s="38" t="s">
        <v>123</v>
      </c>
      <c r="N1339" s="41">
        <v>46006.0625</v>
      </c>
      <c r="O1339" s="38" t="s">
        <v>123</v>
      </c>
      <c r="P1339" s="38">
        <v>1800.0</v>
      </c>
      <c r="Q1339" s="39"/>
      <c r="R1339" s="39"/>
      <c r="S1339" s="39"/>
      <c r="T1339" s="39"/>
      <c r="U1339" s="39"/>
    </row>
    <row r="1340">
      <c r="A1340" s="40">
        <f t="shared" si="1"/>
        <v>46006</v>
      </c>
      <c r="B1340" s="37" t="str">
        <f t="array" ref="B1340">iferror(xlookup($I1340, 'IMPORT VHC Report'!$E:$E, 'IMPORT VHC Report'!$A:$C), )</f>
        <v/>
      </c>
      <c r="C1340" s="37"/>
      <c r="D1340" s="37"/>
      <c r="E1340" s="38" t="s">
        <v>1698</v>
      </c>
      <c r="F1340" s="38" t="s">
        <v>1694</v>
      </c>
      <c r="G1340" s="39"/>
      <c r="H1340" s="38" t="s">
        <v>1695</v>
      </c>
      <c r="I1340" s="38" t="s">
        <v>1696</v>
      </c>
      <c r="J1340" s="38" t="s">
        <v>132</v>
      </c>
      <c r="K1340" s="38" t="s">
        <v>126</v>
      </c>
      <c r="L1340" s="41">
        <v>46006.125</v>
      </c>
      <c r="M1340" s="38" t="s">
        <v>123</v>
      </c>
      <c r="N1340" s="41">
        <v>46006.166666666664</v>
      </c>
      <c r="O1340" s="38" t="s">
        <v>123</v>
      </c>
      <c r="P1340" s="38">
        <v>3600.0</v>
      </c>
      <c r="Q1340" s="39"/>
      <c r="R1340" s="39"/>
      <c r="S1340" s="39"/>
      <c r="T1340" s="39"/>
      <c r="U1340" s="39"/>
    </row>
    <row r="1341">
      <c r="A1341" s="40">
        <f t="shared" si="1"/>
        <v>46006</v>
      </c>
      <c r="B1341" s="37" t="str">
        <f t="array" ref="B1341">iferror(xlookup($I1341, 'IMPORT VHC Report'!$E:$E, 'IMPORT VHC Report'!$A:$C), )</f>
        <v/>
      </c>
      <c r="C1341" s="37"/>
      <c r="D1341" s="37"/>
      <c r="E1341" s="38" t="s">
        <v>1699</v>
      </c>
      <c r="F1341" s="38" t="s">
        <v>1694</v>
      </c>
      <c r="G1341" s="39"/>
      <c r="H1341" s="38" t="s">
        <v>1695</v>
      </c>
      <c r="I1341" s="38" t="s">
        <v>1696</v>
      </c>
      <c r="J1341" s="38" t="s">
        <v>125</v>
      </c>
      <c r="K1341" s="38" t="s">
        <v>126</v>
      </c>
      <c r="L1341" s="41">
        <v>46006.875</v>
      </c>
      <c r="M1341" s="38" t="s">
        <v>123</v>
      </c>
      <c r="N1341" s="41">
        <v>46006.881944444445</v>
      </c>
      <c r="O1341" s="38" t="s">
        <v>123</v>
      </c>
      <c r="P1341" s="38">
        <v>600.0</v>
      </c>
      <c r="Q1341" s="39"/>
      <c r="R1341" s="39"/>
      <c r="S1341" s="38" t="s">
        <v>127</v>
      </c>
      <c r="T1341" s="39"/>
      <c r="U1341" s="39"/>
    </row>
    <row r="1342">
      <c r="A1342" s="40">
        <f t="shared" si="1"/>
        <v>46006</v>
      </c>
      <c r="B1342" s="37" t="str">
        <f t="array" ref="B1342">iferror(xlookup($I1342, 'IMPORT VHC Report'!$E:$E, 'IMPORT VHC Report'!$A:$C), )</f>
        <v/>
      </c>
      <c r="C1342" s="37"/>
      <c r="D1342" s="37"/>
      <c r="E1342" s="38" t="s">
        <v>1700</v>
      </c>
      <c r="F1342" s="38" t="s">
        <v>1694</v>
      </c>
      <c r="G1342" s="39"/>
      <c r="H1342" s="38" t="s">
        <v>1695</v>
      </c>
      <c r="I1342" s="38" t="s">
        <v>1696</v>
      </c>
      <c r="J1342" s="38" t="s">
        <v>122</v>
      </c>
      <c r="K1342" s="38" t="s">
        <v>63</v>
      </c>
      <c r="L1342" s="41">
        <v>46006.875</v>
      </c>
      <c r="M1342" s="38" t="s">
        <v>123</v>
      </c>
      <c r="N1342" s="41">
        <v>46007.25</v>
      </c>
      <c r="O1342" s="38" t="s">
        <v>123</v>
      </c>
      <c r="P1342" s="38">
        <v>32400.0</v>
      </c>
      <c r="Q1342" s="39"/>
      <c r="R1342" s="39"/>
      <c r="S1342" s="39"/>
      <c r="T1342" s="39"/>
      <c r="U1342" s="39"/>
    </row>
    <row r="1343">
      <c r="A1343" s="40">
        <f t="shared" si="1"/>
        <v>46006</v>
      </c>
      <c r="B1343" s="37" t="str">
        <f t="array" ref="B1343">iferror(xlookup($I1343, 'IMPORT VHC Report'!$E:$E, 'IMPORT VHC Report'!$A:$C), )</f>
        <v/>
      </c>
      <c r="C1343" s="37"/>
      <c r="D1343" s="37"/>
      <c r="E1343" s="38" t="s">
        <v>1701</v>
      </c>
      <c r="F1343" s="38" t="s">
        <v>1694</v>
      </c>
      <c r="G1343" s="39"/>
      <c r="H1343" s="38" t="s">
        <v>1695</v>
      </c>
      <c r="I1343" s="38" t="s">
        <v>1696</v>
      </c>
      <c r="J1343" s="38" t="s">
        <v>134</v>
      </c>
      <c r="K1343" s="38" t="s">
        <v>126</v>
      </c>
      <c r="L1343" s="41">
        <v>46006.947916666664</v>
      </c>
      <c r="M1343" s="38" t="s">
        <v>123</v>
      </c>
      <c r="N1343" s="41">
        <v>46006.96875</v>
      </c>
      <c r="O1343" s="38" t="s">
        <v>123</v>
      </c>
      <c r="P1343" s="38">
        <v>1800.0</v>
      </c>
      <c r="Q1343" s="39"/>
      <c r="R1343" s="39"/>
      <c r="S1343" s="39"/>
      <c r="T1343" s="39"/>
      <c r="U1343" s="39"/>
    </row>
    <row r="1344">
      <c r="A1344" s="40">
        <f t="shared" si="1"/>
        <v>46006</v>
      </c>
      <c r="B1344" s="37" t="str">
        <f t="array" ref="B1344">iferror(xlookup($I1344, 'IMPORT VHC Report'!$E:$E, 'IMPORT VHC Report'!$A:$C), )</f>
        <v/>
      </c>
      <c r="C1344" s="37"/>
      <c r="D1344" s="37"/>
      <c r="E1344" s="38" t="s">
        <v>1702</v>
      </c>
      <c r="F1344" s="38" t="s">
        <v>1694</v>
      </c>
      <c r="G1344" s="39"/>
      <c r="H1344" s="38" t="s">
        <v>1695</v>
      </c>
      <c r="I1344" s="38" t="s">
        <v>1696</v>
      </c>
      <c r="J1344" s="38" t="s">
        <v>132</v>
      </c>
      <c r="K1344" s="38" t="s">
        <v>126</v>
      </c>
      <c r="L1344" s="41">
        <v>46007.072916666664</v>
      </c>
      <c r="M1344" s="38" t="s">
        <v>123</v>
      </c>
      <c r="N1344" s="41">
        <v>46007.114583333336</v>
      </c>
      <c r="O1344" s="38" t="s">
        <v>123</v>
      </c>
      <c r="P1344" s="38">
        <v>3600.0</v>
      </c>
      <c r="Q1344" s="39"/>
      <c r="R1344" s="39"/>
      <c r="S1344" s="39"/>
      <c r="T1344" s="39"/>
      <c r="U1344" s="39"/>
    </row>
    <row r="1345">
      <c r="A1345" s="40">
        <f t="shared" si="1"/>
        <v>46006</v>
      </c>
      <c r="B1345" s="37" t="str">
        <f t="array" ref="B1345">iferror(xlookup($I1345, 'IMPORT VHC Report'!$E:$E, 'IMPORT VHC Report'!$A:$C), )</f>
        <v/>
      </c>
      <c r="C1345" s="37"/>
      <c r="D1345" s="37"/>
      <c r="E1345" s="38" t="s">
        <v>1703</v>
      </c>
      <c r="F1345" s="38" t="s">
        <v>1694</v>
      </c>
      <c r="G1345" s="39"/>
      <c r="H1345" s="38" t="s">
        <v>1695</v>
      </c>
      <c r="I1345" s="38" t="s">
        <v>1696</v>
      </c>
      <c r="J1345" s="38" t="s">
        <v>4</v>
      </c>
      <c r="K1345" s="38" t="s">
        <v>126</v>
      </c>
      <c r="L1345" s="41">
        <v>46007.114583333336</v>
      </c>
      <c r="M1345" s="38" t="s">
        <v>123</v>
      </c>
      <c r="N1345" s="41">
        <v>46007.15625</v>
      </c>
      <c r="O1345" s="38" t="s">
        <v>123</v>
      </c>
      <c r="P1345" s="38">
        <v>3600.0</v>
      </c>
      <c r="Q1345" s="39"/>
      <c r="R1345" s="39"/>
      <c r="S1345" s="38" t="s">
        <v>130</v>
      </c>
      <c r="T1345" s="39"/>
      <c r="U1345" s="39"/>
    </row>
    <row r="1346">
      <c r="A1346" s="40">
        <f t="shared" si="1"/>
        <v>46006</v>
      </c>
      <c r="B1346" s="37" t="str">
        <f t="array" ref="B1346">iferror(xlookup($I1346, 'IMPORT VHC Report'!$E:$E, 'IMPORT VHC Report'!$A:$C), )</f>
        <v/>
      </c>
      <c r="C1346" s="37"/>
      <c r="D1346" s="37"/>
      <c r="E1346" s="38" t="s">
        <v>1704</v>
      </c>
      <c r="F1346" s="38" t="s">
        <v>1694</v>
      </c>
      <c r="G1346" s="39"/>
      <c r="H1346" s="38" t="s">
        <v>1695</v>
      </c>
      <c r="I1346" s="38" t="s">
        <v>1696</v>
      </c>
      <c r="J1346" s="38" t="s">
        <v>125</v>
      </c>
      <c r="K1346" s="38" t="s">
        <v>126</v>
      </c>
      <c r="L1346" s="41">
        <v>46007.875</v>
      </c>
      <c r="M1346" s="38" t="s">
        <v>123</v>
      </c>
      <c r="N1346" s="41">
        <v>46007.881944444445</v>
      </c>
      <c r="O1346" s="38" t="s">
        <v>123</v>
      </c>
      <c r="P1346" s="38">
        <v>600.0</v>
      </c>
      <c r="Q1346" s="39"/>
      <c r="R1346" s="39"/>
      <c r="S1346" s="38" t="s">
        <v>127</v>
      </c>
      <c r="T1346" s="39"/>
      <c r="U1346" s="39"/>
    </row>
    <row r="1347">
      <c r="A1347" s="40">
        <f t="shared" si="1"/>
        <v>46006</v>
      </c>
      <c r="B1347" s="37" t="str">
        <f t="array" ref="B1347">iferror(xlookup($I1347, 'IMPORT VHC Report'!$E:$E, 'IMPORT VHC Report'!$A:$C), )</f>
        <v/>
      </c>
      <c r="C1347" s="37"/>
      <c r="D1347" s="37"/>
      <c r="E1347" s="38" t="s">
        <v>1705</v>
      </c>
      <c r="F1347" s="38" t="s">
        <v>1694</v>
      </c>
      <c r="G1347" s="39"/>
      <c r="H1347" s="38" t="s">
        <v>1695</v>
      </c>
      <c r="I1347" s="38" t="s">
        <v>1696</v>
      </c>
      <c r="J1347" s="38" t="s">
        <v>122</v>
      </c>
      <c r="K1347" s="38" t="s">
        <v>63</v>
      </c>
      <c r="L1347" s="41">
        <v>46007.875</v>
      </c>
      <c r="M1347" s="38" t="s">
        <v>123</v>
      </c>
      <c r="N1347" s="41">
        <v>46008.25</v>
      </c>
      <c r="O1347" s="38" t="s">
        <v>123</v>
      </c>
      <c r="P1347" s="38">
        <v>32400.0</v>
      </c>
      <c r="Q1347" s="39"/>
      <c r="R1347" s="39"/>
      <c r="S1347" s="39"/>
      <c r="T1347" s="39"/>
      <c r="U1347" s="39"/>
    </row>
    <row r="1348">
      <c r="A1348" s="40">
        <f t="shared" si="1"/>
        <v>46006</v>
      </c>
      <c r="B1348" s="37" t="str">
        <f t="array" ref="B1348">iferror(xlookup($I1348, 'IMPORT VHC Report'!$E:$E, 'IMPORT VHC Report'!$A:$C), )</f>
        <v/>
      </c>
      <c r="C1348" s="37"/>
      <c r="D1348" s="37"/>
      <c r="E1348" s="38" t="s">
        <v>1706</v>
      </c>
      <c r="F1348" s="38" t="s">
        <v>1694</v>
      </c>
      <c r="G1348" s="39"/>
      <c r="H1348" s="38" t="s">
        <v>1695</v>
      </c>
      <c r="I1348" s="38" t="s">
        <v>1696</v>
      </c>
      <c r="J1348" s="38" t="s">
        <v>134</v>
      </c>
      <c r="K1348" s="38" t="s">
        <v>126</v>
      </c>
      <c r="L1348" s="41">
        <v>46007.958333333336</v>
      </c>
      <c r="M1348" s="38" t="s">
        <v>123</v>
      </c>
      <c r="N1348" s="41">
        <v>46007.979166666664</v>
      </c>
      <c r="O1348" s="38" t="s">
        <v>123</v>
      </c>
      <c r="P1348" s="38">
        <v>1800.0</v>
      </c>
      <c r="Q1348" s="39"/>
      <c r="R1348" s="39"/>
      <c r="S1348" s="39"/>
      <c r="T1348" s="39"/>
      <c r="U1348" s="39"/>
    </row>
    <row r="1349">
      <c r="A1349" s="40">
        <f t="shared" si="1"/>
        <v>46006</v>
      </c>
      <c r="B1349" s="37" t="str">
        <f t="array" ref="B1349">iferror(xlookup($I1349, 'IMPORT VHC Report'!$E:$E, 'IMPORT VHC Report'!$A:$C), )</f>
        <v/>
      </c>
      <c r="C1349" s="37"/>
      <c r="D1349" s="37"/>
      <c r="E1349" s="38" t="s">
        <v>1707</v>
      </c>
      <c r="F1349" s="38" t="s">
        <v>1694</v>
      </c>
      <c r="G1349" s="39"/>
      <c r="H1349" s="38" t="s">
        <v>1695</v>
      </c>
      <c r="I1349" s="38" t="s">
        <v>1696</v>
      </c>
      <c r="J1349" s="38" t="s">
        <v>132</v>
      </c>
      <c r="K1349" s="38" t="s">
        <v>126</v>
      </c>
      <c r="L1349" s="41">
        <v>46008.135416666664</v>
      </c>
      <c r="M1349" s="38" t="s">
        <v>123</v>
      </c>
      <c r="N1349" s="41">
        <v>46008.177083333336</v>
      </c>
      <c r="O1349" s="38" t="s">
        <v>123</v>
      </c>
      <c r="P1349" s="38">
        <v>3600.0</v>
      </c>
      <c r="Q1349" s="39"/>
      <c r="R1349" s="39"/>
      <c r="S1349" s="39"/>
      <c r="T1349" s="39"/>
      <c r="U1349" s="39"/>
    </row>
    <row r="1350">
      <c r="A1350" s="40">
        <f t="shared" si="1"/>
        <v>46006</v>
      </c>
      <c r="B1350" s="37" t="str">
        <f t="array" ref="B1350">iferror(xlookup($I1350, 'IMPORT VHC Report'!$E:$E, 'IMPORT VHC Report'!$A:$C), )</f>
        <v/>
      </c>
      <c r="C1350" s="37"/>
      <c r="D1350" s="37"/>
      <c r="E1350" s="38" t="s">
        <v>1708</v>
      </c>
      <c r="F1350" s="38" t="s">
        <v>1694</v>
      </c>
      <c r="G1350" s="39"/>
      <c r="H1350" s="38" t="s">
        <v>1695</v>
      </c>
      <c r="I1350" s="38" t="s">
        <v>1696</v>
      </c>
      <c r="J1350" s="38" t="s">
        <v>125</v>
      </c>
      <c r="K1350" s="38" t="s">
        <v>126</v>
      </c>
      <c r="L1350" s="41">
        <v>46008.875</v>
      </c>
      <c r="M1350" s="38" t="s">
        <v>123</v>
      </c>
      <c r="N1350" s="41">
        <v>46008.881944444445</v>
      </c>
      <c r="O1350" s="38" t="s">
        <v>123</v>
      </c>
      <c r="P1350" s="38">
        <v>600.0</v>
      </c>
      <c r="Q1350" s="39"/>
      <c r="R1350" s="39"/>
      <c r="S1350" s="38" t="s">
        <v>127</v>
      </c>
      <c r="T1350" s="39"/>
      <c r="U1350" s="39"/>
    </row>
    <row r="1351">
      <c r="A1351" s="40">
        <f t="shared" si="1"/>
        <v>46006</v>
      </c>
      <c r="B1351" s="37" t="str">
        <f t="array" ref="B1351">iferror(xlookup($I1351, 'IMPORT VHC Report'!$E:$E, 'IMPORT VHC Report'!$A:$C), )</f>
        <v/>
      </c>
      <c r="C1351" s="37"/>
      <c r="D1351" s="37"/>
      <c r="E1351" s="38" t="s">
        <v>1709</v>
      </c>
      <c r="F1351" s="38" t="s">
        <v>1694</v>
      </c>
      <c r="G1351" s="39"/>
      <c r="H1351" s="38" t="s">
        <v>1695</v>
      </c>
      <c r="I1351" s="38" t="s">
        <v>1696</v>
      </c>
      <c r="J1351" s="38" t="s">
        <v>122</v>
      </c>
      <c r="K1351" s="38" t="s">
        <v>63</v>
      </c>
      <c r="L1351" s="41">
        <v>46008.875</v>
      </c>
      <c r="M1351" s="38" t="s">
        <v>123</v>
      </c>
      <c r="N1351" s="41">
        <v>46009.25</v>
      </c>
      <c r="O1351" s="38" t="s">
        <v>123</v>
      </c>
      <c r="P1351" s="38">
        <v>32400.0</v>
      </c>
      <c r="Q1351" s="39"/>
      <c r="R1351" s="39"/>
      <c r="S1351" s="39"/>
      <c r="T1351" s="39"/>
      <c r="U1351" s="39"/>
    </row>
    <row r="1352">
      <c r="A1352" s="40">
        <f t="shared" si="1"/>
        <v>46006</v>
      </c>
      <c r="B1352" s="37" t="str">
        <f t="array" ref="B1352">iferror(xlookup($I1352, 'IMPORT VHC Report'!$E:$E, 'IMPORT VHC Report'!$A:$C), )</f>
        <v/>
      </c>
      <c r="C1352" s="37"/>
      <c r="D1352" s="37"/>
      <c r="E1352" s="38" t="s">
        <v>1710</v>
      </c>
      <c r="F1352" s="38" t="s">
        <v>1694</v>
      </c>
      <c r="G1352" s="39"/>
      <c r="H1352" s="38" t="s">
        <v>1695</v>
      </c>
      <c r="I1352" s="38" t="s">
        <v>1696</v>
      </c>
      <c r="J1352" s="38" t="s">
        <v>136</v>
      </c>
      <c r="K1352" s="38" t="s">
        <v>126</v>
      </c>
      <c r="L1352" s="41">
        <v>46008.916666666664</v>
      </c>
      <c r="M1352" s="38" t="s">
        <v>123</v>
      </c>
      <c r="N1352" s="41">
        <v>46008.947916666664</v>
      </c>
      <c r="O1352" s="38" t="s">
        <v>123</v>
      </c>
      <c r="P1352" s="38">
        <v>2700.0</v>
      </c>
      <c r="Q1352" s="39"/>
      <c r="R1352" s="39"/>
      <c r="S1352" s="38" t="s">
        <v>137</v>
      </c>
      <c r="T1352" s="39"/>
      <c r="U1352" s="39"/>
    </row>
    <row r="1353">
      <c r="A1353" s="40">
        <f t="shared" si="1"/>
        <v>46006</v>
      </c>
      <c r="B1353" s="37" t="str">
        <f t="array" ref="B1353">iferror(xlookup($I1353, 'IMPORT VHC Report'!$E:$E, 'IMPORT VHC Report'!$A:$C), )</f>
        <v/>
      </c>
      <c r="C1353" s="37"/>
      <c r="D1353" s="37"/>
      <c r="E1353" s="38" t="s">
        <v>1711</v>
      </c>
      <c r="F1353" s="38" t="s">
        <v>1694</v>
      </c>
      <c r="G1353" s="39"/>
      <c r="H1353" s="38" t="s">
        <v>1695</v>
      </c>
      <c r="I1353" s="38" t="s">
        <v>1696</v>
      </c>
      <c r="J1353" s="38" t="s">
        <v>134</v>
      </c>
      <c r="K1353" s="38" t="s">
        <v>126</v>
      </c>
      <c r="L1353" s="41">
        <v>46008.979166666664</v>
      </c>
      <c r="M1353" s="38" t="s">
        <v>123</v>
      </c>
      <c r="N1353" s="41">
        <v>46009.0</v>
      </c>
      <c r="O1353" s="38" t="s">
        <v>123</v>
      </c>
      <c r="P1353" s="38">
        <v>1800.0</v>
      </c>
      <c r="Q1353" s="39"/>
      <c r="R1353" s="39"/>
      <c r="S1353" s="39"/>
      <c r="T1353" s="39"/>
      <c r="U1353" s="39"/>
    </row>
    <row r="1354">
      <c r="A1354" s="40">
        <f t="shared" si="1"/>
        <v>46006</v>
      </c>
      <c r="B1354" s="37" t="str">
        <f t="array" ref="B1354">iferror(xlookup($I1354, 'IMPORT VHC Report'!$E:$E, 'IMPORT VHC Report'!$A:$C), )</f>
        <v/>
      </c>
      <c r="C1354" s="37"/>
      <c r="D1354" s="37"/>
      <c r="E1354" s="38" t="s">
        <v>1712</v>
      </c>
      <c r="F1354" s="38" t="s">
        <v>1694</v>
      </c>
      <c r="G1354" s="39"/>
      <c r="H1354" s="38" t="s">
        <v>1695</v>
      </c>
      <c r="I1354" s="38" t="s">
        <v>1696</v>
      </c>
      <c r="J1354" s="38" t="s">
        <v>132</v>
      </c>
      <c r="K1354" s="38" t="s">
        <v>126</v>
      </c>
      <c r="L1354" s="41">
        <v>46009.0625</v>
      </c>
      <c r="M1354" s="38" t="s">
        <v>123</v>
      </c>
      <c r="N1354" s="41">
        <v>46009.104166666664</v>
      </c>
      <c r="O1354" s="38" t="s">
        <v>123</v>
      </c>
      <c r="P1354" s="38">
        <v>3600.0</v>
      </c>
      <c r="Q1354" s="39"/>
      <c r="R1354" s="39"/>
      <c r="S1354" s="39"/>
      <c r="T1354" s="39"/>
      <c r="U1354" s="39"/>
    </row>
    <row r="1355">
      <c r="A1355" s="40">
        <f t="shared" si="1"/>
        <v>46006</v>
      </c>
      <c r="B1355" s="37" t="str">
        <f t="array" ref="B1355">iferror(xlookup($I1355, 'IMPORT VHC Report'!$E:$E, 'IMPORT VHC Report'!$A:$C), )</f>
        <v/>
      </c>
      <c r="C1355" s="37"/>
      <c r="D1355" s="37"/>
      <c r="E1355" s="38" t="s">
        <v>1713</v>
      </c>
      <c r="F1355" s="38" t="s">
        <v>1694</v>
      </c>
      <c r="G1355" s="39"/>
      <c r="H1355" s="38" t="s">
        <v>1695</v>
      </c>
      <c r="I1355" s="38" t="s">
        <v>1696</v>
      </c>
      <c r="J1355" s="38" t="s">
        <v>125</v>
      </c>
      <c r="K1355" s="38" t="s">
        <v>126</v>
      </c>
      <c r="L1355" s="41">
        <v>46011.875</v>
      </c>
      <c r="M1355" s="38" t="s">
        <v>123</v>
      </c>
      <c r="N1355" s="41">
        <v>46011.881944444445</v>
      </c>
      <c r="O1355" s="38" t="s">
        <v>123</v>
      </c>
      <c r="P1355" s="38">
        <v>600.0</v>
      </c>
      <c r="Q1355" s="39"/>
      <c r="R1355" s="39"/>
      <c r="S1355" s="38" t="s">
        <v>127</v>
      </c>
      <c r="T1355" s="39"/>
      <c r="U1355" s="39"/>
    </row>
    <row r="1356">
      <c r="A1356" s="40">
        <f t="shared" si="1"/>
        <v>46006</v>
      </c>
      <c r="B1356" s="37" t="str">
        <f t="array" ref="B1356">iferror(xlookup($I1356, 'IMPORT VHC Report'!$E:$E, 'IMPORT VHC Report'!$A:$C), )</f>
        <v/>
      </c>
      <c r="C1356" s="37"/>
      <c r="D1356" s="37"/>
      <c r="E1356" s="38" t="s">
        <v>1714</v>
      </c>
      <c r="F1356" s="38" t="s">
        <v>1694</v>
      </c>
      <c r="G1356" s="39"/>
      <c r="H1356" s="38" t="s">
        <v>1695</v>
      </c>
      <c r="I1356" s="38" t="s">
        <v>1696</v>
      </c>
      <c r="J1356" s="38" t="s">
        <v>122</v>
      </c>
      <c r="K1356" s="38" t="s">
        <v>63</v>
      </c>
      <c r="L1356" s="41">
        <v>46011.875</v>
      </c>
      <c r="M1356" s="38" t="s">
        <v>123</v>
      </c>
      <c r="N1356" s="41">
        <v>46012.25</v>
      </c>
      <c r="O1356" s="38" t="s">
        <v>123</v>
      </c>
      <c r="P1356" s="38">
        <v>32400.0</v>
      </c>
      <c r="Q1356" s="39"/>
      <c r="R1356" s="39"/>
      <c r="S1356" s="39"/>
      <c r="T1356" s="39"/>
      <c r="U1356" s="39"/>
    </row>
    <row r="1357">
      <c r="A1357" s="40">
        <f t="shared" si="1"/>
        <v>46006</v>
      </c>
      <c r="B1357" s="37" t="str">
        <f t="array" ref="B1357">iferror(xlookup($I1357, 'IMPORT VHC Report'!$E:$E, 'IMPORT VHC Report'!$A:$C), )</f>
        <v/>
      </c>
      <c r="C1357" s="37"/>
      <c r="D1357" s="37"/>
      <c r="E1357" s="38" t="s">
        <v>1715</v>
      </c>
      <c r="F1357" s="38" t="s">
        <v>1694</v>
      </c>
      <c r="G1357" s="39"/>
      <c r="H1357" s="38" t="s">
        <v>1695</v>
      </c>
      <c r="I1357" s="38" t="s">
        <v>1696</v>
      </c>
      <c r="J1357" s="38" t="s">
        <v>132</v>
      </c>
      <c r="K1357" s="38" t="s">
        <v>126</v>
      </c>
      <c r="L1357" s="41">
        <v>46011.947916666664</v>
      </c>
      <c r="M1357" s="38" t="s">
        <v>123</v>
      </c>
      <c r="N1357" s="41">
        <v>46011.989583333336</v>
      </c>
      <c r="O1357" s="38" t="s">
        <v>123</v>
      </c>
      <c r="P1357" s="38">
        <v>3600.0</v>
      </c>
      <c r="Q1357" s="39"/>
      <c r="R1357" s="39"/>
      <c r="S1357" s="39"/>
      <c r="T1357" s="39"/>
      <c r="U1357" s="39"/>
    </row>
    <row r="1358">
      <c r="A1358" s="40">
        <f t="shared" si="1"/>
        <v>46006</v>
      </c>
      <c r="B1358" s="37" t="str">
        <f t="array" ref="B1358">iferror(xlookup($I1358, 'IMPORT VHC Report'!$E:$E, 'IMPORT VHC Report'!$A:$C), )</f>
        <v/>
      </c>
      <c r="C1358" s="37"/>
      <c r="D1358" s="37"/>
      <c r="E1358" s="38" t="s">
        <v>1716</v>
      </c>
      <c r="F1358" s="38" t="s">
        <v>1694</v>
      </c>
      <c r="G1358" s="39"/>
      <c r="H1358" s="38" t="s">
        <v>1695</v>
      </c>
      <c r="I1358" s="38" t="s">
        <v>1696</v>
      </c>
      <c r="J1358" s="38" t="s">
        <v>134</v>
      </c>
      <c r="K1358" s="38" t="s">
        <v>126</v>
      </c>
      <c r="L1358" s="41">
        <v>46012.135416666664</v>
      </c>
      <c r="M1358" s="38" t="s">
        <v>123</v>
      </c>
      <c r="N1358" s="41">
        <v>46012.15625</v>
      </c>
      <c r="O1358" s="38" t="s">
        <v>123</v>
      </c>
      <c r="P1358" s="38">
        <v>1800.0</v>
      </c>
      <c r="Q1358" s="39"/>
      <c r="R1358" s="39"/>
      <c r="S1358" s="39"/>
      <c r="T1358" s="39"/>
      <c r="U1358" s="39"/>
    </row>
    <row r="1359">
      <c r="A1359" s="40">
        <f t="shared" si="1"/>
        <v>46006</v>
      </c>
      <c r="B1359" s="37" t="str">
        <f t="array" ref="B1359">iferror(xlookup($I1359, 'IMPORT VHC Report'!$E:$E, 'IMPORT VHC Report'!$A:$C), )</f>
        <v/>
      </c>
      <c r="C1359" s="37"/>
      <c r="D1359" s="37"/>
      <c r="E1359" s="38" t="s">
        <v>1717</v>
      </c>
      <c r="F1359" s="38" t="s">
        <v>1694</v>
      </c>
      <c r="G1359" s="39"/>
      <c r="H1359" s="38" t="s">
        <v>1695</v>
      </c>
      <c r="I1359" s="38" t="s">
        <v>1696</v>
      </c>
      <c r="J1359" s="38" t="s">
        <v>125</v>
      </c>
      <c r="K1359" s="38" t="s">
        <v>126</v>
      </c>
      <c r="L1359" s="41">
        <v>46012.875</v>
      </c>
      <c r="M1359" s="38" t="s">
        <v>123</v>
      </c>
      <c r="N1359" s="41">
        <v>46012.881944444445</v>
      </c>
      <c r="O1359" s="38" t="s">
        <v>123</v>
      </c>
      <c r="P1359" s="38">
        <v>600.0</v>
      </c>
      <c r="Q1359" s="39"/>
      <c r="R1359" s="39"/>
      <c r="S1359" s="38" t="s">
        <v>127</v>
      </c>
      <c r="T1359" s="39"/>
      <c r="U1359" s="39"/>
    </row>
    <row r="1360">
      <c r="A1360" s="40">
        <f t="shared" si="1"/>
        <v>46006</v>
      </c>
      <c r="B1360" s="37" t="str">
        <f t="array" ref="B1360">iferror(xlookup($I1360, 'IMPORT VHC Report'!$E:$E, 'IMPORT VHC Report'!$A:$C), )</f>
        <v/>
      </c>
      <c r="C1360" s="37"/>
      <c r="D1360" s="37"/>
      <c r="E1360" s="38" t="s">
        <v>1718</v>
      </c>
      <c r="F1360" s="38" t="s">
        <v>1694</v>
      </c>
      <c r="G1360" s="39"/>
      <c r="H1360" s="38" t="s">
        <v>1695</v>
      </c>
      <c r="I1360" s="38" t="s">
        <v>1696</v>
      </c>
      <c r="J1360" s="38" t="s">
        <v>122</v>
      </c>
      <c r="K1360" s="38" t="s">
        <v>63</v>
      </c>
      <c r="L1360" s="41">
        <v>46012.875</v>
      </c>
      <c r="M1360" s="38" t="s">
        <v>123</v>
      </c>
      <c r="N1360" s="41">
        <v>46013.0</v>
      </c>
      <c r="O1360" s="38" t="s">
        <v>123</v>
      </c>
      <c r="P1360" s="38">
        <v>10800.0</v>
      </c>
      <c r="Q1360" s="39"/>
      <c r="R1360" s="39"/>
      <c r="S1360" s="39"/>
      <c r="T1360" s="39"/>
      <c r="U1360" s="39"/>
    </row>
    <row r="1361">
      <c r="A1361" s="40">
        <f t="shared" si="1"/>
        <v>46006</v>
      </c>
      <c r="B1361" s="37" t="str">
        <f t="array" ref="B1361">iferror(xlookup($I1361, 'IMPORT VHC Report'!$E:$E, 'IMPORT VHC Report'!$A:$C), )</f>
        <v/>
      </c>
      <c r="C1361" s="37"/>
      <c r="D1361" s="37"/>
      <c r="E1361" s="38" t="s">
        <v>1719</v>
      </c>
      <c r="F1361" s="38" t="s">
        <v>1720</v>
      </c>
      <c r="G1361" s="38">
        <v>3.61750052875E11</v>
      </c>
      <c r="H1361" s="38" t="s">
        <v>1721</v>
      </c>
      <c r="I1361" s="38" t="s">
        <v>1722</v>
      </c>
      <c r="J1361" s="38" t="s">
        <v>332</v>
      </c>
      <c r="K1361" s="38" t="s">
        <v>63</v>
      </c>
      <c r="L1361" s="41">
        <v>46006.0</v>
      </c>
      <c r="M1361" s="38" t="s">
        <v>123</v>
      </c>
      <c r="N1361" s="41">
        <v>46006.208333333336</v>
      </c>
      <c r="O1361" s="38" t="s">
        <v>123</v>
      </c>
      <c r="P1361" s="38">
        <v>18000.0</v>
      </c>
      <c r="Q1361" s="39"/>
      <c r="R1361" s="39"/>
      <c r="S1361" s="39"/>
      <c r="T1361" s="39"/>
      <c r="U1361" s="39"/>
    </row>
    <row r="1362">
      <c r="A1362" s="40">
        <f t="shared" si="1"/>
        <v>46006</v>
      </c>
      <c r="B1362" s="37" t="str">
        <f t="array" ref="B1362">iferror(xlookup($I1362, 'IMPORT VHC Report'!$E:$E, 'IMPORT VHC Report'!$A:$C), )</f>
        <v/>
      </c>
      <c r="C1362" s="37"/>
      <c r="D1362" s="37"/>
      <c r="E1362" s="38" t="s">
        <v>1723</v>
      </c>
      <c r="F1362" s="38" t="s">
        <v>1720</v>
      </c>
      <c r="G1362" s="38">
        <v>3.61750052875E11</v>
      </c>
      <c r="H1362" s="38" t="s">
        <v>1721</v>
      </c>
      <c r="I1362" s="38" t="s">
        <v>1722</v>
      </c>
      <c r="J1362" s="38" t="s">
        <v>134</v>
      </c>
      <c r="K1362" s="38" t="s">
        <v>126</v>
      </c>
      <c r="L1362" s="41">
        <v>46006.145833333336</v>
      </c>
      <c r="M1362" s="38" t="s">
        <v>123</v>
      </c>
      <c r="N1362" s="41">
        <v>46006.166666666664</v>
      </c>
      <c r="O1362" s="38" t="s">
        <v>123</v>
      </c>
      <c r="P1362" s="38">
        <v>1800.0</v>
      </c>
      <c r="Q1362" s="39"/>
      <c r="R1362" s="39"/>
      <c r="S1362" s="39"/>
      <c r="T1362" s="39"/>
      <c r="U1362" s="39"/>
    </row>
    <row r="1363">
      <c r="A1363" s="40">
        <f t="shared" si="1"/>
        <v>46006</v>
      </c>
      <c r="B1363" s="37" t="str">
        <f t="array" ref="B1363">iferror(xlookup($I1363, 'IMPORT VHC Report'!$E:$E, 'IMPORT VHC Report'!$A:$C), )</f>
        <v/>
      </c>
      <c r="C1363" s="37"/>
      <c r="D1363" s="37"/>
      <c r="E1363" s="38" t="s">
        <v>1724</v>
      </c>
      <c r="F1363" s="38" t="s">
        <v>1720</v>
      </c>
      <c r="G1363" s="38">
        <v>3.61750052875E11</v>
      </c>
      <c r="H1363" s="38" t="s">
        <v>1721</v>
      </c>
      <c r="I1363" s="38" t="s">
        <v>1722</v>
      </c>
      <c r="J1363" s="38" t="s">
        <v>132</v>
      </c>
      <c r="K1363" s="38" t="s">
        <v>126</v>
      </c>
      <c r="L1363" s="41">
        <v>46006.166666666664</v>
      </c>
      <c r="M1363" s="38" t="s">
        <v>123</v>
      </c>
      <c r="N1363" s="41">
        <v>46006.208333333336</v>
      </c>
      <c r="O1363" s="38" t="s">
        <v>123</v>
      </c>
      <c r="P1363" s="38">
        <v>3600.0</v>
      </c>
      <c r="Q1363" s="39"/>
      <c r="R1363" s="39"/>
      <c r="S1363" s="39"/>
      <c r="T1363" s="39"/>
      <c r="U1363" s="39"/>
    </row>
    <row r="1364">
      <c r="A1364" s="40">
        <f t="shared" si="1"/>
        <v>46006</v>
      </c>
      <c r="B1364" s="37" t="str">
        <f t="array" ref="B1364">iferror(xlookup($I1364, 'IMPORT VHC Report'!$E:$E, 'IMPORT VHC Report'!$A:$C), )</f>
        <v/>
      </c>
      <c r="C1364" s="37"/>
      <c r="D1364" s="37"/>
      <c r="E1364" s="38" t="s">
        <v>1725</v>
      </c>
      <c r="F1364" s="38" t="s">
        <v>1720</v>
      </c>
      <c r="G1364" s="38">
        <v>3.61750052875E11</v>
      </c>
      <c r="H1364" s="38" t="s">
        <v>1721</v>
      </c>
      <c r="I1364" s="38" t="s">
        <v>1722</v>
      </c>
      <c r="J1364" s="38" t="s">
        <v>332</v>
      </c>
      <c r="K1364" s="38" t="s">
        <v>63</v>
      </c>
      <c r="L1364" s="41">
        <v>46006.833333333336</v>
      </c>
      <c r="M1364" s="38" t="s">
        <v>123</v>
      </c>
      <c r="N1364" s="41">
        <v>46007.208333333336</v>
      </c>
      <c r="O1364" s="38" t="s">
        <v>123</v>
      </c>
      <c r="P1364" s="38">
        <v>32400.0</v>
      </c>
      <c r="Q1364" s="39"/>
      <c r="R1364" s="39"/>
      <c r="S1364" s="39"/>
      <c r="T1364" s="39"/>
      <c r="U1364" s="39"/>
    </row>
    <row r="1365">
      <c r="A1365" s="40">
        <f t="shared" si="1"/>
        <v>46006</v>
      </c>
      <c r="B1365" s="37" t="str">
        <f t="array" ref="B1365">iferror(xlookup($I1365, 'IMPORT VHC Report'!$E:$E, 'IMPORT VHC Report'!$A:$C), )</f>
        <v/>
      </c>
      <c r="C1365" s="37"/>
      <c r="D1365" s="37"/>
      <c r="E1365" s="38" t="s">
        <v>1726</v>
      </c>
      <c r="F1365" s="38" t="s">
        <v>1720</v>
      </c>
      <c r="G1365" s="38">
        <v>3.61750052875E11</v>
      </c>
      <c r="H1365" s="38" t="s">
        <v>1721</v>
      </c>
      <c r="I1365" s="38" t="s">
        <v>1722</v>
      </c>
      <c r="J1365" s="38" t="s">
        <v>134</v>
      </c>
      <c r="K1365" s="38" t="s">
        <v>126</v>
      </c>
      <c r="L1365" s="41">
        <v>46007.145833333336</v>
      </c>
      <c r="M1365" s="38" t="s">
        <v>123</v>
      </c>
      <c r="N1365" s="41">
        <v>46007.166666666664</v>
      </c>
      <c r="O1365" s="38" t="s">
        <v>123</v>
      </c>
      <c r="P1365" s="38">
        <v>1800.0</v>
      </c>
      <c r="Q1365" s="39"/>
      <c r="R1365" s="39"/>
      <c r="S1365" s="39"/>
      <c r="T1365" s="39"/>
      <c r="U1365" s="39"/>
    </row>
    <row r="1366">
      <c r="A1366" s="40">
        <f t="shared" si="1"/>
        <v>46006</v>
      </c>
      <c r="B1366" s="37" t="str">
        <f t="array" ref="B1366">iferror(xlookup($I1366, 'IMPORT VHC Report'!$E:$E, 'IMPORT VHC Report'!$A:$C), )</f>
        <v/>
      </c>
      <c r="C1366" s="37"/>
      <c r="D1366" s="37"/>
      <c r="E1366" s="38" t="s">
        <v>1727</v>
      </c>
      <c r="F1366" s="38" t="s">
        <v>1720</v>
      </c>
      <c r="G1366" s="38">
        <v>3.61750052875E11</v>
      </c>
      <c r="H1366" s="38" t="s">
        <v>1721</v>
      </c>
      <c r="I1366" s="38" t="s">
        <v>1722</v>
      </c>
      <c r="J1366" s="38" t="s">
        <v>132</v>
      </c>
      <c r="K1366" s="38" t="s">
        <v>126</v>
      </c>
      <c r="L1366" s="41">
        <v>46007.166666666664</v>
      </c>
      <c r="M1366" s="38" t="s">
        <v>123</v>
      </c>
      <c r="N1366" s="41">
        <v>46007.208333333336</v>
      </c>
      <c r="O1366" s="38" t="s">
        <v>123</v>
      </c>
      <c r="P1366" s="38">
        <v>3600.0</v>
      </c>
      <c r="Q1366" s="39"/>
      <c r="R1366" s="39"/>
      <c r="S1366" s="39"/>
      <c r="T1366" s="39"/>
      <c r="U1366" s="39"/>
    </row>
    <row r="1367">
      <c r="A1367" s="40">
        <f t="shared" si="1"/>
        <v>46006</v>
      </c>
      <c r="B1367" s="37" t="str">
        <f t="array" ref="B1367">iferror(xlookup($I1367, 'IMPORT VHC Report'!$E:$E, 'IMPORT VHC Report'!$A:$C), )</f>
        <v/>
      </c>
      <c r="C1367" s="37"/>
      <c r="D1367" s="37"/>
      <c r="E1367" s="38" t="s">
        <v>1728</v>
      </c>
      <c r="F1367" s="38" t="s">
        <v>1720</v>
      </c>
      <c r="G1367" s="38">
        <v>3.61750052875E11</v>
      </c>
      <c r="H1367" s="38" t="s">
        <v>1721</v>
      </c>
      <c r="I1367" s="38" t="s">
        <v>1722</v>
      </c>
      <c r="J1367" s="38" t="s">
        <v>332</v>
      </c>
      <c r="K1367" s="38" t="s">
        <v>63</v>
      </c>
      <c r="L1367" s="41">
        <v>46007.833333333336</v>
      </c>
      <c r="M1367" s="38" t="s">
        <v>123</v>
      </c>
      <c r="N1367" s="41">
        <v>46008.208333333336</v>
      </c>
      <c r="O1367" s="38" t="s">
        <v>123</v>
      </c>
      <c r="P1367" s="38">
        <v>32400.0</v>
      </c>
      <c r="Q1367" s="39"/>
      <c r="R1367" s="39"/>
      <c r="S1367" s="39"/>
      <c r="T1367" s="39"/>
      <c r="U1367" s="39"/>
    </row>
    <row r="1368">
      <c r="A1368" s="40">
        <f t="shared" si="1"/>
        <v>46006</v>
      </c>
      <c r="B1368" s="37" t="str">
        <f t="array" ref="B1368">iferror(xlookup($I1368, 'IMPORT VHC Report'!$E:$E, 'IMPORT VHC Report'!$A:$C), )</f>
        <v/>
      </c>
      <c r="C1368" s="37"/>
      <c r="D1368" s="37"/>
      <c r="E1368" s="38" t="s">
        <v>1729</v>
      </c>
      <c r="F1368" s="38" t="s">
        <v>1720</v>
      </c>
      <c r="G1368" s="38">
        <v>3.61750052875E11</v>
      </c>
      <c r="H1368" s="38" t="s">
        <v>1721</v>
      </c>
      <c r="I1368" s="38" t="s">
        <v>1722</v>
      </c>
      <c r="J1368" s="38" t="s">
        <v>134</v>
      </c>
      <c r="K1368" s="38" t="s">
        <v>126</v>
      </c>
      <c r="L1368" s="41">
        <v>46008.145833333336</v>
      </c>
      <c r="M1368" s="38" t="s">
        <v>123</v>
      </c>
      <c r="N1368" s="41">
        <v>46008.166666666664</v>
      </c>
      <c r="O1368" s="38" t="s">
        <v>123</v>
      </c>
      <c r="P1368" s="38">
        <v>1800.0</v>
      </c>
      <c r="Q1368" s="39"/>
      <c r="R1368" s="39"/>
      <c r="S1368" s="39"/>
      <c r="T1368" s="39"/>
      <c r="U1368" s="39"/>
    </row>
    <row r="1369">
      <c r="A1369" s="40">
        <f t="shared" si="1"/>
        <v>46006</v>
      </c>
      <c r="B1369" s="37" t="str">
        <f t="array" ref="B1369">iferror(xlookup($I1369, 'IMPORT VHC Report'!$E:$E, 'IMPORT VHC Report'!$A:$C), )</f>
        <v/>
      </c>
      <c r="C1369" s="37"/>
      <c r="D1369" s="37"/>
      <c r="E1369" s="38" t="s">
        <v>1730</v>
      </c>
      <c r="F1369" s="38" t="s">
        <v>1720</v>
      </c>
      <c r="G1369" s="38">
        <v>3.61750052875E11</v>
      </c>
      <c r="H1369" s="38" t="s">
        <v>1721</v>
      </c>
      <c r="I1369" s="38" t="s">
        <v>1722</v>
      </c>
      <c r="J1369" s="38" t="s">
        <v>132</v>
      </c>
      <c r="K1369" s="38" t="s">
        <v>126</v>
      </c>
      <c r="L1369" s="41">
        <v>46008.166666666664</v>
      </c>
      <c r="M1369" s="38" t="s">
        <v>123</v>
      </c>
      <c r="N1369" s="41">
        <v>46008.208333333336</v>
      </c>
      <c r="O1369" s="38" t="s">
        <v>123</v>
      </c>
      <c r="P1369" s="38">
        <v>3600.0</v>
      </c>
      <c r="Q1369" s="39"/>
      <c r="R1369" s="39"/>
      <c r="S1369" s="39"/>
      <c r="T1369" s="39"/>
      <c r="U1369" s="39"/>
    </row>
    <row r="1370">
      <c r="A1370" s="40">
        <f t="shared" si="1"/>
        <v>46006</v>
      </c>
      <c r="B1370" s="37" t="str">
        <f t="array" ref="B1370">iferror(xlookup($I1370, 'IMPORT VHC Report'!$E:$E, 'IMPORT VHC Report'!$A:$C), )</f>
        <v/>
      </c>
      <c r="C1370" s="37"/>
      <c r="D1370" s="37"/>
      <c r="E1370" s="38" t="s">
        <v>1731</v>
      </c>
      <c r="F1370" s="38" t="s">
        <v>1720</v>
      </c>
      <c r="G1370" s="38">
        <v>3.61750052875E11</v>
      </c>
      <c r="H1370" s="38" t="s">
        <v>1721</v>
      </c>
      <c r="I1370" s="38" t="s">
        <v>1722</v>
      </c>
      <c r="J1370" s="38" t="s">
        <v>136</v>
      </c>
      <c r="K1370" s="38" t="s">
        <v>126</v>
      </c>
      <c r="L1370" s="41">
        <v>46008.666666666664</v>
      </c>
      <c r="M1370" s="38" t="s">
        <v>123</v>
      </c>
      <c r="N1370" s="41">
        <v>46008.833333333336</v>
      </c>
      <c r="O1370" s="38" t="s">
        <v>123</v>
      </c>
      <c r="P1370" s="38">
        <v>14400.0</v>
      </c>
      <c r="Q1370" s="39"/>
      <c r="R1370" s="39"/>
      <c r="S1370" s="38" t="s">
        <v>1098</v>
      </c>
      <c r="T1370" s="39"/>
      <c r="U1370" s="39"/>
    </row>
    <row r="1371">
      <c r="A1371" s="40">
        <f t="shared" si="1"/>
        <v>46006</v>
      </c>
      <c r="B1371" s="37" t="str">
        <f t="array" ref="B1371">iferror(xlookup($I1371, 'IMPORT VHC Report'!$E:$E, 'IMPORT VHC Report'!$A:$C), )</f>
        <v/>
      </c>
      <c r="C1371" s="37"/>
      <c r="D1371" s="37"/>
      <c r="E1371" s="38" t="s">
        <v>1732</v>
      </c>
      <c r="F1371" s="38" t="s">
        <v>1720</v>
      </c>
      <c r="G1371" s="38">
        <v>3.61750052875E11</v>
      </c>
      <c r="H1371" s="38" t="s">
        <v>1721</v>
      </c>
      <c r="I1371" s="38" t="s">
        <v>1722</v>
      </c>
      <c r="J1371" s="38" t="s">
        <v>332</v>
      </c>
      <c r="K1371" s="38" t="s">
        <v>63</v>
      </c>
      <c r="L1371" s="41">
        <v>46008.666666666664</v>
      </c>
      <c r="M1371" s="38" t="s">
        <v>123</v>
      </c>
      <c r="N1371" s="41">
        <v>46009.041666666664</v>
      </c>
      <c r="O1371" s="38" t="s">
        <v>123</v>
      </c>
      <c r="P1371" s="38">
        <v>32400.0</v>
      </c>
      <c r="Q1371" s="39"/>
      <c r="R1371" s="39"/>
      <c r="S1371" s="39"/>
      <c r="T1371" s="39"/>
      <c r="U1371" s="39"/>
    </row>
    <row r="1372">
      <c r="A1372" s="40">
        <f t="shared" si="1"/>
        <v>46006</v>
      </c>
      <c r="B1372" s="37" t="str">
        <f t="array" ref="B1372">iferror(xlookup($I1372, 'IMPORT VHC Report'!$E:$E, 'IMPORT VHC Report'!$A:$C), )</f>
        <v/>
      </c>
      <c r="C1372" s="37"/>
      <c r="D1372" s="37"/>
      <c r="E1372" s="38" t="s">
        <v>1733</v>
      </c>
      <c r="F1372" s="38" t="s">
        <v>1720</v>
      </c>
      <c r="G1372" s="38">
        <v>3.61750052875E11</v>
      </c>
      <c r="H1372" s="38" t="s">
        <v>1721</v>
      </c>
      <c r="I1372" s="38" t="s">
        <v>1722</v>
      </c>
      <c r="J1372" s="38" t="s">
        <v>134</v>
      </c>
      <c r="K1372" s="38" t="s">
        <v>126</v>
      </c>
      <c r="L1372" s="41">
        <v>46008.833333333336</v>
      </c>
      <c r="M1372" s="38" t="s">
        <v>123</v>
      </c>
      <c r="N1372" s="41">
        <v>46008.854166666664</v>
      </c>
      <c r="O1372" s="38" t="s">
        <v>123</v>
      </c>
      <c r="P1372" s="38">
        <v>1800.0</v>
      </c>
      <c r="Q1372" s="39"/>
      <c r="R1372" s="39"/>
      <c r="S1372" s="39"/>
      <c r="T1372" s="39"/>
      <c r="U1372" s="39"/>
    </row>
    <row r="1373">
      <c r="A1373" s="40">
        <f t="shared" si="1"/>
        <v>46006</v>
      </c>
      <c r="B1373" s="37" t="str">
        <f t="array" ref="B1373">iferror(xlookup($I1373, 'IMPORT VHC Report'!$E:$E, 'IMPORT VHC Report'!$A:$C), )</f>
        <v/>
      </c>
      <c r="C1373" s="37"/>
      <c r="D1373" s="37"/>
      <c r="E1373" s="38" t="s">
        <v>1734</v>
      </c>
      <c r="F1373" s="38" t="s">
        <v>1720</v>
      </c>
      <c r="G1373" s="38">
        <v>3.61750052875E11</v>
      </c>
      <c r="H1373" s="38" t="s">
        <v>1721</v>
      </c>
      <c r="I1373" s="38" t="s">
        <v>1722</v>
      </c>
      <c r="J1373" s="38" t="s">
        <v>132</v>
      </c>
      <c r="K1373" s="38" t="s">
        <v>126</v>
      </c>
      <c r="L1373" s="41">
        <v>46008.854166666664</v>
      </c>
      <c r="M1373" s="38" t="s">
        <v>123</v>
      </c>
      <c r="N1373" s="41">
        <v>46008.895833333336</v>
      </c>
      <c r="O1373" s="38" t="s">
        <v>123</v>
      </c>
      <c r="P1373" s="38">
        <v>3600.0</v>
      </c>
      <c r="Q1373" s="39"/>
      <c r="R1373" s="39"/>
      <c r="S1373" s="39"/>
      <c r="T1373" s="39"/>
      <c r="U1373" s="39"/>
    </row>
    <row r="1374">
      <c r="A1374" s="40">
        <f t="shared" si="1"/>
        <v>46006</v>
      </c>
      <c r="B1374" s="37" t="str">
        <f t="array" ref="B1374">iferror(xlookup($I1374, 'IMPORT VHC Report'!$E:$E, 'IMPORT VHC Report'!$A:$C), )</f>
        <v/>
      </c>
      <c r="C1374" s="37"/>
      <c r="D1374" s="37"/>
      <c r="E1374" s="38" t="s">
        <v>1735</v>
      </c>
      <c r="F1374" s="38" t="s">
        <v>1720</v>
      </c>
      <c r="G1374" s="38">
        <v>3.61750052875E11</v>
      </c>
      <c r="H1374" s="38" t="s">
        <v>1721</v>
      </c>
      <c r="I1374" s="38" t="s">
        <v>1722</v>
      </c>
      <c r="J1374" s="38" t="s">
        <v>332</v>
      </c>
      <c r="K1374" s="38" t="s">
        <v>63</v>
      </c>
      <c r="L1374" s="41">
        <v>46009.833333333336</v>
      </c>
      <c r="M1374" s="38" t="s">
        <v>123</v>
      </c>
      <c r="N1374" s="41">
        <v>46009.875</v>
      </c>
      <c r="O1374" s="38" t="s">
        <v>123</v>
      </c>
      <c r="P1374" s="38">
        <v>3600.0</v>
      </c>
      <c r="Q1374" s="39"/>
      <c r="R1374" s="39"/>
      <c r="S1374" s="39"/>
      <c r="T1374" s="39"/>
      <c r="U1374" s="39"/>
    </row>
    <row r="1375">
      <c r="A1375" s="40">
        <f t="shared" si="1"/>
        <v>46006</v>
      </c>
      <c r="B1375" s="37" t="str">
        <f t="array" ref="B1375">iferror(xlookup($I1375, 'IMPORT VHC Report'!$E:$E, 'IMPORT VHC Report'!$A:$C), )</f>
        <v/>
      </c>
      <c r="C1375" s="37"/>
      <c r="D1375" s="37"/>
      <c r="E1375" s="38" t="s">
        <v>1736</v>
      </c>
      <c r="F1375" s="38" t="s">
        <v>1720</v>
      </c>
      <c r="G1375" s="38">
        <v>3.61750052875E11</v>
      </c>
      <c r="H1375" s="38" t="s">
        <v>1721</v>
      </c>
      <c r="I1375" s="38" t="s">
        <v>1722</v>
      </c>
      <c r="J1375" s="38" t="s">
        <v>62</v>
      </c>
      <c r="K1375" s="38" t="s">
        <v>63</v>
      </c>
      <c r="L1375" s="41">
        <v>46009.875</v>
      </c>
      <c r="M1375" s="38" t="s">
        <v>123</v>
      </c>
      <c r="N1375" s="41">
        <v>46009.958333333336</v>
      </c>
      <c r="O1375" s="38" t="s">
        <v>123</v>
      </c>
      <c r="P1375" s="38">
        <v>7200.0</v>
      </c>
      <c r="Q1375" s="39"/>
      <c r="R1375" s="39"/>
      <c r="S1375" s="39"/>
      <c r="T1375" s="39"/>
      <c r="U1375" s="39"/>
    </row>
    <row r="1376">
      <c r="A1376" s="40">
        <f t="shared" si="1"/>
        <v>46006</v>
      </c>
      <c r="B1376" s="37" t="str">
        <f t="array" ref="B1376">iferror(xlookup($I1376, 'IMPORT VHC Report'!$E:$E, 'IMPORT VHC Report'!$A:$C), )</f>
        <v/>
      </c>
      <c r="C1376" s="37"/>
      <c r="D1376" s="37"/>
      <c r="E1376" s="38" t="s">
        <v>1737</v>
      </c>
      <c r="F1376" s="38" t="s">
        <v>1720</v>
      </c>
      <c r="G1376" s="38">
        <v>3.61750052875E11</v>
      </c>
      <c r="H1376" s="38" t="s">
        <v>1721</v>
      </c>
      <c r="I1376" s="38" t="s">
        <v>1722</v>
      </c>
      <c r="J1376" s="38" t="s">
        <v>4</v>
      </c>
      <c r="K1376" s="38" t="s">
        <v>126</v>
      </c>
      <c r="L1376" s="41">
        <v>46009.916666666664</v>
      </c>
      <c r="M1376" s="38" t="s">
        <v>123</v>
      </c>
      <c r="N1376" s="41">
        <v>46009.958333333336</v>
      </c>
      <c r="O1376" s="38" t="s">
        <v>123</v>
      </c>
      <c r="P1376" s="38">
        <v>3600.0</v>
      </c>
      <c r="Q1376" s="39"/>
      <c r="R1376" s="39"/>
      <c r="S1376" s="38" t="s">
        <v>130</v>
      </c>
      <c r="T1376" s="39"/>
      <c r="U1376" s="39"/>
    </row>
    <row r="1377">
      <c r="A1377" s="40">
        <f t="shared" si="1"/>
        <v>46006</v>
      </c>
      <c r="B1377" s="37" t="str">
        <f t="array" ref="B1377">iferror(xlookup($I1377, 'IMPORT VHC Report'!$E:$E, 'IMPORT VHC Report'!$A:$C), )</f>
        <v/>
      </c>
      <c r="C1377" s="37"/>
      <c r="D1377" s="37"/>
      <c r="E1377" s="38" t="s">
        <v>1738</v>
      </c>
      <c r="F1377" s="38" t="s">
        <v>1720</v>
      </c>
      <c r="G1377" s="38">
        <v>3.61750052875E11</v>
      </c>
      <c r="H1377" s="38" t="s">
        <v>1721</v>
      </c>
      <c r="I1377" s="38" t="s">
        <v>1722</v>
      </c>
      <c r="J1377" s="38" t="s">
        <v>332</v>
      </c>
      <c r="K1377" s="38" t="s">
        <v>63</v>
      </c>
      <c r="L1377" s="41">
        <v>46009.958333333336</v>
      </c>
      <c r="M1377" s="38" t="s">
        <v>123</v>
      </c>
      <c r="N1377" s="41">
        <v>46010.208333333336</v>
      </c>
      <c r="O1377" s="38" t="s">
        <v>123</v>
      </c>
      <c r="P1377" s="38">
        <v>21600.0</v>
      </c>
      <c r="Q1377" s="39"/>
      <c r="R1377" s="39"/>
      <c r="S1377" s="39"/>
      <c r="T1377" s="39"/>
      <c r="U1377" s="39"/>
    </row>
    <row r="1378">
      <c r="A1378" s="40">
        <f t="shared" si="1"/>
        <v>46006</v>
      </c>
      <c r="B1378" s="37" t="str">
        <f t="array" ref="B1378">iferror(xlookup($I1378, 'IMPORT VHC Report'!$E:$E, 'IMPORT VHC Report'!$A:$C), )</f>
        <v/>
      </c>
      <c r="C1378" s="37"/>
      <c r="D1378" s="37"/>
      <c r="E1378" s="38" t="s">
        <v>1739</v>
      </c>
      <c r="F1378" s="38" t="s">
        <v>1720</v>
      </c>
      <c r="G1378" s="38">
        <v>3.61750052875E11</v>
      </c>
      <c r="H1378" s="38" t="s">
        <v>1721</v>
      </c>
      <c r="I1378" s="38" t="s">
        <v>1722</v>
      </c>
      <c r="J1378" s="38" t="s">
        <v>134</v>
      </c>
      <c r="K1378" s="38" t="s">
        <v>126</v>
      </c>
      <c r="L1378" s="41">
        <v>46010.145833333336</v>
      </c>
      <c r="M1378" s="38" t="s">
        <v>123</v>
      </c>
      <c r="N1378" s="41">
        <v>46010.166666666664</v>
      </c>
      <c r="O1378" s="38" t="s">
        <v>123</v>
      </c>
      <c r="P1378" s="38">
        <v>1800.0</v>
      </c>
      <c r="Q1378" s="39"/>
      <c r="R1378" s="39"/>
      <c r="S1378" s="39"/>
      <c r="T1378" s="39"/>
      <c r="U1378" s="39"/>
    </row>
    <row r="1379">
      <c r="A1379" s="40">
        <f t="shared" si="1"/>
        <v>46006</v>
      </c>
      <c r="B1379" s="37" t="str">
        <f t="array" ref="B1379">iferror(xlookup($I1379, 'IMPORT VHC Report'!$E:$E, 'IMPORT VHC Report'!$A:$C), )</f>
        <v/>
      </c>
      <c r="C1379" s="37"/>
      <c r="D1379" s="37"/>
      <c r="E1379" s="38" t="s">
        <v>1740</v>
      </c>
      <c r="F1379" s="38" t="s">
        <v>1720</v>
      </c>
      <c r="G1379" s="38">
        <v>3.61750052875E11</v>
      </c>
      <c r="H1379" s="38" t="s">
        <v>1721</v>
      </c>
      <c r="I1379" s="38" t="s">
        <v>1722</v>
      </c>
      <c r="J1379" s="38" t="s">
        <v>132</v>
      </c>
      <c r="K1379" s="38" t="s">
        <v>126</v>
      </c>
      <c r="L1379" s="41">
        <v>46010.166666666664</v>
      </c>
      <c r="M1379" s="38" t="s">
        <v>123</v>
      </c>
      <c r="N1379" s="41">
        <v>46010.208333333336</v>
      </c>
      <c r="O1379" s="38" t="s">
        <v>123</v>
      </c>
      <c r="P1379" s="38">
        <v>3600.0</v>
      </c>
      <c r="Q1379" s="39"/>
      <c r="R1379" s="39"/>
      <c r="S1379" s="39"/>
      <c r="T1379" s="39"/>
      <c r="U1379" s="39"/>
    </row>
    <row r="1380">
      <c r="A1380" s="40">
        <f t="shared" si="1"/>
        <v>46006</v>
      </c>
      <c r="B1380" s="37" t="str">
        <f t="array" ref="B1380">iferror(xlookup($I1380, 'IMPORT VHC Report'!$E:$E, 'IMPORT VHC Report'!$A:$C), )</f>
        <v/>
      </c>
      <c r="C1380" s="37"/>
      <c r="D1380" s="37"/>
      <c r="E1380" s="38" t="s">
        <v>1741</v>
      </c>
      <c r="F1380" s="38" t="s">
        <v>1720</v>
      </c>
      <c r="G1380" s="38">
        <v>3.61750052875E11</v>
      </c>
      <c r="H1380" s="38" t="s">
        <v>1721</v>
      </c>
      <c r="I1380" s="38" t="s">
        <v>1722</v>
      </c>
      <c r="J1380" s="38" t="s">
        <v>332</v>
      </c>
      <c r="K1380" s="38" t="s">
        <v>63</v>
      </c>
      <c r="L1380" s="41">
        <v>46012.833333333336</v>
      </c>
      <c r="M1380" s="38" t="s">
        <v>123</v>
      </c>
      <c r="N1380" s="41">
        <v>46013.0</v>
      </c>
      <c r="O1380" s="38" t="s">
        <v>123</v>
      </c>
      <c r="P1380" s="38">
        <v>14400.0</v>
      </c>
      <c r="Q1380" s="39"/>
      <c r="R1380" s="39"/>
      <c r="S1380" s="39"/>
      <c r="T1380" s="39"/>
      <c r="U1380" s="39"/>
    </row>
    <row r="1381">
      <c r="A1381" s="40">
        <f t="shared" si="1"/>
        <v>46006</v>
      </c>
      <c r="B1381" s="37" t="str">
        <f t="array" ref="B1381">iferror(xlookup($I1381, 'IMPORT VHC Report'!$E:$E, 'IMPORT VHC Report'!$A:$C), )</f>
        <v/>
      </c>
      <c r="C1381" s="37"/>
      <c r="D1381" s="37"/>
      <c r="E1381" s="38" t="s">
        <v>1742</v>
      </c>
      <c r="F1381" s="38" t="s">
        <v>1743</v>
      </c>
      <c r="G1381" s="38">
        <v>3.61731349115E11</v>
      </c>
      <c r="H1381" s="38" t="s">
        <v>1744</v>
      </c>
      <c r="I1381" s="38" t="s">
        <v>1745</v>
      </c>
      <c r="J1381" s="38" t="s">
        <v>125</v>
      </c>
      <c r="K1381" s="38" t="s">
        <v>126</v>
      </c>
      <c r="L1381" s="41">
        <v>46006.083333333336</v>
      </c>
      <c r="M1381" s="38" t="s">
        <v>123</v>
      </c>
      <c r="N1381" s="41">
        <v>46006.09375</v>
      </c>
      <c r="O1381" s="38" t="s">
        <v>123</v>
      </c>
      <c r="P1381" s="38">
        <v>900.0</v>
      </c>
      <c r="Q1381" s="39"/>
      <c r="R1381" s="39"/>
      <c r="S1381" s="38" t="s">
        <v>199</v>
      </c>
      <c r="T1381" s="39"/>
      <c r="U1381" s="39"/>
    </row>
    <row r="1382">
      <c r="A1382" s="40">
        <f t="shared" si="1"/>
        <v>46006</v>
      </c>
      <c r="B1382" s="37" t="str">
        <f t="array" ref="B1382">iferror(xlookup($I1382, 'IMPORT VHC Report'!$E:$E, 'IMPORT VHC Report'!$A:$C), )</f>
        <v/>
      </c>
      <c r="C1382" s="37"/>
      <c r="D1382" s="37"/>
      <c r="E1382" s="38" t="s">
        <v>1746</v>
      </c>
      <c r="F1382" s="38" t="s">
        <v>1743</v>
      </c>
      <c r="G1382" s="38">
        <v>3.61731349115E11</v>
      </c>
      <c r="H1382" s="38" t="s">
        <v>1744</v>
      </c>
      <c r="I1382" s="38" t="s">
        <v>1745</v>
      </c>
      <c r="J1382" s="38" t="s">
        <v>196</v>
      </c>
      <c r="K1382" s="38" t="s">
        <v>63</v>
      </c>
      <c r="L1382" s="41">
        <v>46006.083333333336</v>
      </c>
      <c r="M1382" s="38" t="s">
        <v>123</v>
      </c>
      <c r="N1382" s="41">
        <v>46006.458333333336</v>
      </c>
      <c r="O1382" s="38" t="s">
        <v>123</v>
      </c>
      <c r="P1382" s="38">
        <v>32400.0</v>
      </c>
      <c r="Q1382" s="39"/>
      <c r="R1382" s="39"/>
      <c r="S1382" s="39"/>
      <c r="T1382" s="39"/>
      <c r="U1382" s="39"/>
    </row>
    <row r="1383">
      <c r="A1383" s="40">
        <f t="shared" si="1"/>
        <v>46006</v>
      </c>
      <c r="B1383" s="37" t="str">
        <f t="array" ref="B1383">iferror(xlookup($I1383, 'IMPORT VHC Report'!$E:$E, 'IMPORT VHC Report'!$A:$C), )</f>
        <v/>
      </c>
      <c r="C1383" s="37"/>
      <c r="D1383" s="37"/>
      <c r="E1383" s="38" t="s">
        <v>1747</v>
      </c>
      <c r="F1383" s="38" t="s">
        <v>1743</v>
      </c>
      <c r="G1383" s="38">
        <v>3.61731349115E11</v>
      </c>
      <c r="H1383" s="38" t="s">
        <v>1744</v>
      </c>
      <c r="I1383" s="38" t="s">
        <v>1745</v>
      </c>
      <c r="J1383" s="38" t="s">
        <v>125</v>
      </c>
      <c r="K1383" s="38" t="s">
        <v>126</v>
      </c>
      <c r="L1383" s="41">
        <v>46006.10555555556</v>
      </c>
      <c r="M1383" s="38" t="s">
        <v>123</v>
      </c>
      <c r="N1383" s="41">
        <v>46006.11597222222</v>
      </c>
      <c r="O1383" s="38" t="s">
        <v>123</v>
      </c>
      <c r="P1383" s="38">
        <v>900.0</v>
      </c>
      <c r="Q1383" s="39"/>
      <c r="R1383" s="39"/>
      <c r="S1383" s="38" t="s">
        <v>1748</v>
      </c>
      <c r="T1383" s="39"/>
      <c r="U1383" s="39"/>
    </row>
    <row r="1384">
      <c r="A1384" s="40">
        <f t="shared" si="1"/>
        <v>46006</v>
      </c>
      <c r="B1384" s="37" t="str">
        <f t="array" ref="B1384">iferror(xlookup($I1384, 'IMPORT VHC Report'!$E:$E, 'IMPORT VHC Report'!$A:$C), )</f>
        <v/>
      </c>
      <c r="C1384" s="37"/>
      <c r="D1384" s="37"/>
      <c r="E1384" s="38" t="s">
        <v>1749</v>
      </c>
      <c r="F1384" s="38" t="s">
        <v>1743</v>
      </c>
      <c r="G1384" s="38">
        <v>3.61731349115E11</v>
      </c>
      <c r="H1384" s="38" t="s">
        <v>1744</v>
      </c>
      <c r="I1384" s="38" t="s">
        <v>1745</v>
      </c>
      <c r="J1384" s="38" t="s">
        <v>125</v>
      </c>
      <c r="K1384" s="38" t="s">
        <v>126</v>
      </c>
      <c r="L1384" s="41">
        <v>46006.125</v>
      </c>
      <c r="M1384" s="38" t="s">
        <v>123</v>
      </c>
      <c r="N1384" s="41">
        <v>46006.135416666664</v>
      </c>
      <c r="O1384" s="38" t="s">
        <v>123</v>
      </c>
      <c r="P1384" s="38">
        <v>900.0</v>
      </c>
      <c r="Q1384" s="39"/>
      <c r="R1384" s="39"/>
      <c r="S1384" s="38" t="s">
        <v>1750</v>
      </c>
      <c r="T1384" s="39"/>
      <c r="U1384" s="39"/>
    </row>
    <row r="1385">
      <c r="A1385" s="40">
        <f t="shared" si="1"/>
        <v>46006</v>
      </c>
      <c r="B1385" s="37" t="str">
        <f t="array" ref="B1385">iferror(xlookup($I1385, 'IMPORT VHC Report'!$E:$E, 'IMPORT VHC Report'!$A:$C), )</f>
        <v/>
      </c>
      <c r="C1385" s="37"/>
      <c r="D1385" s="37"/>
      <c r="E1385" s="38" t="s">
        <v>1751</v>
      </c>
      <c r="F1385" s="38" t="s">
        <v>1743</v>
      </c>
      <c r="G1385" s="38">
        <v>3.61731349115E11</v>
      </c>
      <c r="H1385" s="38" t="s">
        <v>1744</v>
      </c>
      <c r="I1385" s="38" t="s">
        <v>1745</v>
      </c>
      <c r="J1385" s="38" t="s">
        <v>134</v>
      </c>
      <c r="K1385" s="38" t="s">
        <v>126</v>
      </c>
      <c r="L1385" s="41">
        <v>46006.1875</v>
      </c>
      <c r="M1385" s="38" t="s">
        <v>123</v>
      </c>
      <c r="N1385" s="41">
        <v>46006.208333333336</v>
      </c>
      <c r="O1385" s="38" t="s">
        <v>123</v>
      </c>
      <c r="P1385" s="38">
        <v>1800.0</v>
      </c>
      <c r="Q1385" s="39"/>
      <c r="R1385" s="39"/>
      <c r="S1385" s="39"/>
      <c r="T1385" s="39"/>
      <c r="U1385" s="39"/>
    </row>
    <row r="1386">
      <c r="A1386" s="40">
        <f t="shared" si="1"/>
        <v>46006</v>
      </c>
      <c r="B1386" s="37" t="str">
        <f t="array" ref="B1386">iferror(xlookup($I1386, 'IMPORT VHC Report'!$E:$E, 'IMPORT VHC Report'!$A:$C), )</f>
        <v/>
      </c>
      <c r="C1386" s="37"/>
      <c r="D1386" s="37"/>
      <c r="E1386" s="38" t="s">
        <v>1752</v>
      </c>
      <c r="F1386" s="38" t="s">
        <v>1743</v>
      </c>
      <c r="G1386" s="38">
        <v>3.61731349115E11</v>
      </c>
      <c r="H1386" s="38" t="s">
        <v>1744</v>
      </c>
      <c r="I1386" s="38" t="s">
        <v>1745</v>
      </c>
      <c r="J1386" s="38" t="s">
        <v>125</v>
      </c>
      <c r="K1386" s="38" t="s">
        <v>126</v>
      </c>
      <c r="L1386" s="41">
        <v>46006.208333333336</v>
      </c>
      <c r="M1386" s="38" t="s">
        <v>123</v>
      </c>
      <c r="N1386" s="41">
        <v>46006.21875</v>
      </c>
      <c r="O1386" s="38" t="s">
        <v>123</v>
      </c>
      <c r="P1386" s="38">
        <v>900.0</v>
      </c>
      <c r="Q1386" s="39"/>
      <c r="R1386" s="39"/>
      <c r="S1386" s="38" t="s">
        <v>1753</v>
      </c>
      <c r="T1386" s="39"/>
      <c r="U1386" s="39"/>
    </row>
    <row r="1387">
      <c r="A1387" s="40">
        <f t="shared" si="1"/>
        <v>46006</v>
      </c>
      <c r="B1387" s="37" t="str">
        <f t="array" ref="B1387">iferror(xlookup($I1387, 'IMPORT VHC Report'!$E:$E, 'IMPORT VHC Report'!$A:$C), )</f>
        <v/>
      </c>
      <c r="C1387" s="37"/>
      <c r="D1387" s="37"/>
      <c r="E1387" s="38" t="s">
        <v>1754</v>
      </c>
      <c r="F1387" s="38" t="s">
        <v>1743</v>
      </c>
      <c r="G1387" s="38">
        <v>3.61731349115E11</v>
      </c>
      <c r="H1387" s="38" t="s">
        <v>1744</v>
      </c>
      <c r="I1387" s="38" t="s">
        <v>1745</v>
      </c>
      <c r="J1387" s="38" t="s">
        <v>132</v>
      </c>
      <c r="K1387" s="38" t="s">
        <v>126</v>
      </c>
      <c r="L1387" s="41">
        <v>46006.322916666664</v>
      </c>
      <c r="M1387" s="38" t="s">
        <v>123</v>
      </c>
      <c r="N1387" s="41">
        <v>46006.364583333336</v>
      </c>
      <c r="O1387" s="38" t="s">
        <v>123</v>
      </c>
      <c r="P1387" s="38">
        <v>3600.0</v>
      </c>
      <c r="Q1387" s="39"/>
      <c r="R1387" s="39"/>
      <c r="S1387" s="39"/>
      <c r="T1387" s="39"/>
      <c r="U1387" s="39"/>
    </row>
    <row r="1388">
      <c r="A1388" s="40">
        <f t="shared" si="1"/>
        <v>46006</v>
      </c>
      <c r="B1388" s="37" t="str">
        <f t="array" ref="B1388">iferror(xlookup($I1388, 'IMPORT VHC Report'!$E:$E, 'IMPORT VHC Report'!$A:$C), )</f>
        <v/>
      </c>
      <c r="C1388" s="37"/>
      <c r="D1388" s="37"/>
      <c r="E1388" s="38" t="s">
        <v>1755</v>
      </c>
      <c r="F1388" s="38" t="s">
        <v>1743</v>
      </c>
      <c r="G1388" s="38">
        <v>3.61731349115E11</v>
      </c>
      <c r="H1388" s="38" t="s">
        <v>1744</v>
      </c>
      <c r="I1388" s="38" t="s">
        <v>1745</v>
      </c>
      <c r="J1388" s="38" t="s">
        <v>125</v>
      </c>
      <c r="K1388" s="38" t="s">
        <v>126</v>
      </c>
      <c r="L1388" s="41">
        <v>46006.37847222222</v>
      </c>
      <c r="M1388" s="38" t="s">
        <v>123</v>
      </c>
      <c r="N1388" s="41">
        <v>46006.38888888889</v>
      </c>
      <c r="O1388" s="38" t="s">
        <v>123</v>
      </c>
      <c r="P1388" s="38">
        <v>900.0</v>
      </c>
      <c r="Q1388" s="39"/>
      <c r="R1388" s="39"/>
      <c r="S1388" s="38" t="s">
        <v>1756</v>
      </c>
      <c r="T1388" s="39"/>
      <c r="U1388" s="39"/>
    </row>
    <row r="1389">
      <c r="A1389" s="40">
        <f t="shared" si="1"/>
        <v>46006</v>
      </c>
      <c r="B1389" s="37" t="str">
        <f t="array" ref="B1389">iferror(xlookup($I1389, 'IMPORT VHC Report'!$E:$E, 'IMPORT VHC Report'!$A:$C), )</f>
        <v/>
      </c>
      <c r="C1389" s="37"/>
      <c r="D1389" s="37"/>
      <c r="E1389" s="38" t="s">
        <v>1757</v>
      </c>
      <c r="F1389" s="38" t="s">
        <v>1743</v>
      </c>
      <c r="G1389" s="38">
        <v>3.61731349115E11</v>
      </c>
      <c r="H1389" s="38" t="s">
        <v>1744</v>
      </c>
      <c r="I1389" s="38" t="s">
        <v>1745</v>
      </c>
      <c r="J1389" s="38" t="s">
        <v>125</v>
      </c>
      <c r="K1389" s="38" t="s">
        <v>126</v>
      </c>
      <c r="L1389" s="41">
        <v>46007.083333333336</v>
      </c>
      <c r="M1389" s="38" t="s">
        <v>123</v>
      </c>
      <c r="N1389" s="41">
        <v>46007.09375</v>
      </c>
      <c r="O1389" s="38" t="s">
        <v>123</v>
      </c>
      <c r="P1389" s="38">
        <v>900.0</v>
      </c>
      <c r="Q1389" s="39"/>
      <c r="R1389" s="39"/>
      <c r="S1389" s="38" t="s">
        <v>199</v>
      </c>
      <c r="T1389" s="39"/>
      <c r="U1389" s="39"/>
    </row>
    <row r="1390">
      <c r="A1390" s="40">
        <f t="shared" si="1"/>
        <v>46006</v>
      </c>
      <c r="B1390" s="37" t="str">
        <f t="array" ref="B1390">iferror(xlookup($I1390, 'IMPORT VHC Report'!$E:$E, 'IMPORT VHC Report'!$A:$C), )</f>
        <v/>
      </c>
      <c r="C1390" s="37"/>
      <c r="D1390" s="37"/>
      <c r="E1390" s="38" t="s">
        <v>1758</v>
      </c>
      <c r="F1390" s="38" t="s">
        <v>1743</v>
      </c>
      <c r="G1390" s="38">
        <v>3.61731349115E11</v>
      </c>
      <c r="H1390" s="38" t="s">
        <v>1744</v>
      </c>
      <c r="I1390" s="38" t="s">
        <v>1745</v>
      </c>
      <c r="J1390" s="38" t="s">
        <v>196</v>
      </c>
      <c r="K1390" s="38" t="s">
        <v>63</v>
      </c>
      <c r="L1390" s="41">
        <v>46007.083333333336</v>
      </c>
      <c r="M1390" s="38" t="s">
        <v>123</v>
      </c>
      <c r="N1390" s="41">
        <v>46007.458333333336</v>
      </c>
      <c r="O1390" s="38" t="s">
        <v>123</v>
      </c>
      <c r="P1390" s="38">
        <v>32400.0</v>
      </c>
      <c r="Q1390" s="39"/>
      <c r="R1390" s="39"/>
      <c r="S1390" s="39"/>
      <c r="T1390" s="39"/>
      <c r="U1390" s="39"/>
    </row>
    <row r="1391">
      <c r="A1391" s="40">
        <f t="shared" si="1"/>
        <v>46006</v>
      </c>
      <c r="B1391" s="37" t="str">
        <f t="array" ref="B1391">iferror(xlookup($I1391, 'IMPORT VHC Report'!$E:$E, 'IMPORT VHC Report'!$A:$C), )</f>
        <v/>
      </c>
      <c r="C1391" s="37"/>
      <c r="D1391" s="37"/>
      <c r="E1391" s="38" t="s">
        <v>1759</v>
      </c>
      <c r="F1391" s="38" t="s">
        <v>1743</v>
      </c>
      <c r="G1391" s="38">
        <v>3.61731349115E11</v>
      </c>
      <c r="H1391" s="38" t="s">
        <v>1744</v>
      </c>
      <c r="I1391" s="38" t="s">
        <v>1745</v>
      </c>
      <c r="J1391" s="38" t="s">
        <v>134</v>
      </c>
      <c r="K1391" s="38" t="s">
        <v>126</v>
      </c>
      <c r="L1391" s="41">
        <v>46007.197916666664</v>
      </c>
      <c r="M1391" s="38" t="s">
        <v>123</v>
      </c>
      <c r="N1391" s="41">
        <v>46007.21875</v>
      </c>
      <c r="O1391" s="38" t="s">
        <v>123</v>
      </c>
      <c r="P1391" s="38">
        <v>1800.0</v>
      </c>
      <c r="Q1391" s="39"/>
      <c r="R1391" s="39"/>
      <c r="S1391" s="39"/>
      <c r="T1391" s="39"/>
      <c r="U1391" s="39"/>
    </row>
    <row r="1392">
      <c r="A1392" s="40">
        <f t="shared" si="1"/>
        <v>46006</v>
      </c>
      <c r="B1392" s="37" t="str">
        <f t="array" ref="B1392">iferror(xlookup($I1392, 'IMPORT VHC Report'!$E:$E, 'IMPORT VHC Report'!$A:$C), )</f>
        <v/>
      </c>
      <c r="C1392" s="37"/>
      <c r="D1392" s="37"/>
      <c r="E1392" s="38" t="s">
        <v>1760</v>
      </c>
      <c r="F1392" s="38" t="s">
        <v>1743</v>
      </c>
      <c r="G1392" s="38">
        <v>3.61731349115E11</v>
      </c>
      <c r="H1392" s="38" t="s">
        <v>1744</v>
      </c>
      <c r="I1392" s="38" t="s">
        <v>1745</v>
      </c>
      <c r="J1392" s="38" t="s">
        <v>4</v>
      </c>
      <c r="K1392" s="38" t="s">
        <v>126</v>
      </c>
      <c r="L1392" s="41">
        <v>46007.25</v>
      </c>
      <c r="M1392" s="38" t="s">
        <v>123</v>
      </c>
      <c r="N1392" s="41">
        <v>46007.291666666664</v>
      </c>
      <c r="O1392" s="38" t="s">
        <v>123</v>
      </c>
      <c r="P1392" s="38">
        <v>3600.0</v>
      </c>
      <c r="Q1392" s="39"/>
      <c r="R1392" s="39"/>
      <c r="S1392" s="38" t="s">
        <v>858</v>
      </c>
      <c r="T1392" s="39"/>
      <c r="U1392" s="39"/>
    </row>
    <row r="1393">
      <c r="A1393" s="40">
        <f t="shared" si="1"/>
        <v>46006</v>
      </c>
      <c r="B1393" s="37" t="str">
        <f t="array" ref="B1393">iferror(xlookup($I1393, 'IMPORT VHC Report'!$E:$E, 'IMPORT VHC Report'!$A:$C), )</f>
        <v/>
      </c>
      <c r="C1393" s="37"/>
      <c r="D1393" s="37"/>
      <c r="E1393" s="38" t="s">
        <v>1761</v>
      </c>
      <c r="F1393" s="38" t="s">
        <v>1743</v>
      </c>
      <c r="G1393" s="38">
        <v>3.61731349115E11</v>
      </c>
      <c r="H1393" s="38" t="s">
        <v>1744</v>
      </c>
      <c r="I1393" s="38" t="s">
        <v>1745</v>
      </c>
      <c r="J1393" s="38" t="s">
        <v>132</v>
      </c>
      <c r="K1393" s="38" t="s">
        <v>126</v>
      </c>
      <c r="L1393" s="41">
        <v>46007.322916666664</v>
      </c>
      <c r="M1393" s="38" t="s">
        <v>123</v>
      </c>
      <c r="N1393" s="41">
        <v>46007.34861111111</v>
      </c>
      <c r="O1393" s="38" t="s">
        <v>123</v>
      </c>
      <c r="P1393" s="38">
        <v>2220.0</v>
      </c>
      <c r="Q1393" s="39"/>
      <c r="R1393" s="39"/>
      <c r="S1393" s="39"/>
      <c r="T1393" s="39"/>
      <c r="U1393" s="39"/>
    </row>
    <row r="1394">
      <c r="A1394" s="40">
        <f t="shared" si="1"/>
        <v>46006</v>
      </c>
      <c r="B1394" s="37" t="str">
        <f t="array" ref="B1394">iferror(xlookup($I1394, 'IMPORT VHC Report'!$E:$E, 'IMPORT VHC Report'!$A:$C), )</f>
        <v/>
      </c>
      <c r="C1394" s="37"/>
      <c r="D1394" s="37"/>
      <c r="E1394" s="38" t="s">
        <v>1762</v>
      </c>
      <c r="F1394" s="38" t="s">
        <v>1743</v>
      </c>
      <c r="G1394" s="38">
        <v>3.61731349115E11</v>
      </c>
      <c r="H1394" s="38" t="s">
        <v>1744</v>
      </c>
      <c r="I1394" s="38" t="s">
        <v>1745</v>
      </c>
      <c r="J1394" s="38" t="s">
        <v>125</v>
      </c>
      <c r="K1394" s="38" t="s">
        <v>126</v>
      </c>
      <c r="L1394" s="41">
        <v>46007.34861111111</v>
      </c>
      <c r="M1394" s="38" t="s">
        <v>123</v>
      </c>
      <c r="N1394" s="41">
        <v>46007.35902777778</v>
      </c>
      <c r="O1394" s="38" t="s">
        <v>123</v>
      </c>
      <c r="P1394" s="38">
        <v>900.0</v>
      </c>
      <c r="Q1394" s="39"/>
      <c r="R1394" s="39"/>
      <c r="S1394" s="38" t="s">
        <v>1763</v>
      </c>
      <c r="T1394" s="39"/>
      <c r="U1394" s="39"/>
    </row>
    <row r="1395">
      <c r="A1395" s="40">
        <f t="shared" si="1"/>
        <v>46006</v>
      </c>
      <c r="B1395" s="37" t="str">
        <f t="array" ref="B1395">iferror(xlookup($I1395, 'IMPORT VHC Report'!$E:$E, 'IMPORT VHC Report'!$A:$C), )</f>
        <v/>
      </c>
      <c r="C1395" s="37"/>
      <c r="D1395" s="37"/>
      <c r="E1395" s="38" t="s">
        <v>1764</v>
      </c>
      <c r="F1395" s="38" t="s">
        <v>1743</v>
      </c>
      <c r="G1395" s="38">
        <v>3.61731349115E11</v>
      </c>
      <c r="H1395" s="38" t="s">
        <v>1744</v>
      </c>
      <c r="I1395" s="38" t="s">
        <v>1745</v>
      </c>
      <c r="J1395" s="38" t="s">
        <v>132</v>
      </c>
      <c r="K1395" s="38" t="s">
        <v>126</v>
      </c>
      <c r="L1395" s="41">
        <v>46007.35902777778</v>
      </c>
      <c r="M1395" s="38" t="s">
        <v>123</v>
      </c>
      <c r="N1395" s="41">
        <v>46007.364583333336</v>
      </c>
      <c r="O1395" s="38" t="s">
        <v>123</v>
      </c>
      <c r="P1395" s="38">
        <v>480.0</v>
      </c>
      <c r="Q1395" s="39"/>
      <c r="R1395" s="39"/>
      <c r="S1395" s="39"/>
      <c r="T1395" s="39"/>
      <c r="U1395" s="39"/>
    </row>
    <row r="1396">
      <c r="A1396" s="40">
        <f t="shared" si="1"/>
        <v>46006</v>
      </c>
      <c r="B1396" s="37" t="str">
        <f t="array" ref="B1396">iferror(xlookup($I1396, 'IMPORT VHC Report'!$E:$E, 'IMPORT VHC Report'!$A:$C), )</f>
        <v/>
      </c>
      <c r="C1396" s="37"/>
      <c r="D1396" s="37"/>
      <c r="E1396" s="38" t="s">
        <v>1765</v>
      </c>
      <c r="F1396" s="38" t="s">
        <v>1743</v>
      </c>
      <c r="G1396" s="38">
        <v>3.61731349115E11</v>
      </c>
      <c r="H1396" s="38" t="s">
        <v>1744</v>
      </c>
      <c r="I1396" s="38" t="s">
        <v>1745</v>
      </c>
      <c r="J1396" s="38" t="s">
        <v>125</v>
      </c>
      <c r="K1396" s="38" t="s">
        <v>126</v>
      </c>
      <c r="L1396" s="41">
        <v>46010.083333333336</v>
      </c>
      <c r="M1396" s="38" t="s">
        <v>123</v>
      </c>
      <c r="N1396" s="41">
        <v>46010.09375</v>
      </c>
      <c r="O1396" s="38" t="s">
        <v>123</v>
      </c>
      <c r="P1396" s="38">
        <v>900.0</v>
      </c>
      <c r="Q1396" s="39"/>
      <c r="R1396" s="39"/>
      <c r="S1396" s="38" t="s">
        <v>199</v>
      </c>
      <c r="T1396" s="39"/>
      <c r="U1396" s="39"/>
    </row>
    <row r="1397">
      <c r="A1397" s="40">
        <f t="shared" si="1"/>
        <v>46006</v>
      </c>
      <c r="B1397" s="37" t="str">
        <f t="array" ref="B1397">iferror(xlookup($I1397, 'IMPORT VHC Report'!$E:$E, 'IMPORT VHC Report'!$A:$C), )</f>
        <v/>
      </c>
      <c r="C1397" s="37"/>
      <c r="D1397" s="37"/>
      <c r="E1397" s="38" t="s">
        <v>1766</v>
      </c>
      <c r="F1397" s="38" t="s">
        <v>1743</v>
      </c>
      <c r="G1397" s="38">
        <v>3.61731349115E11</v>
      </c>
      <c r="H1397" s="38" t="s">
        <v>1744</v>
      </c>
      <c r="I1397" s="38" t="s">
        <v>1745</v>
      </c>
      <c r="J1397" s="38" t="s">
        <v>196</v>
      </c>
      <c r="K1397" s="38" t="s">
        <v>63</v>
      </c>
      <c r="L1397" s="41">
        <v>46010.083333333336</v>
      </c>
      <c r="M1397" s="38" t="s">
        <v>123</v>
      </c>
      <c r="N1397" s="41">
        <v>46010.458333333336</v>
      </c>
      <c r="O1397" s="38" t="s">
        <v>123</v>
      </c>
      <c r="P1397" s="38">
        <v>32400.0</v>
      </c>
      <c r="Q1397" s="39"/>
      <c r="R1397" s="39"/>
      <c r="S1397" s="39"/>
      <c r="T1397" s="39"/>
      <c r="U1397" s="39"/>
    </row>
    <row r="1398">
      <c r="A1398" s="40">
        <f t="shared" si="1"/>
        <v>46006</v>
      </c>
      <c r="B1398" s="37" t="str">
        <f t="array" ref="B1398">iferror(xlookup($I1398, 'IMPORT VHC Report'!$E:$E, 'IMPORT VHC Report'!$A:$C), )</f>
        <v/>
      </c>
      <c r="C1398" s="37"/>
      <c r="D1398" s="37"/>
      <c r="E1398" s="38" t="s">
        <v>1767</v>
      </c>
      <c r="F1398" s="38" t="s">
        <v>1743</v>
      </c>
      <c r="G1398" s="38">
        <v>3.61731349115E11</v>
      </c>
      <c r="H1398" s="38" t="s">
        <v>1744</v>
      </c>
      <c r="I1398" s="38" t="s">
        <v>1745</v>
      </c>
      <c r="J1398" s="38" t="s">
        <v>132</v>
      </c>
      <c r="K1398" s="38" t="s">
        <v>126</v>
      </c>
      <c r="L1398" s="41">
        <v>46010.21875</v>
      </c>
      <c r="M1398" s="38" t="s">
        <v>123</v>
      </c>
      <c r="N1398" s="41">
        <v>46010.260416666664</v>
      </c>
      <c r="O1398" s="38" t="s">
        <v>123</v>
      </c>
      <c r="P1398" s="38">
        <v>3600.0</v>
      </c>
      <c r="Q1398" s="39"/>
      <c r="R1398" s="39"/>
      <c r="S1398" s="39"/>
      <c r="T1398" s="39"/>
      <c r="U1398" s="39"/>
    </row>
    <row r="1399">
      <c r="A1399" s="40">
        <f t="shared" si="1"/>
        <v>46006</v>
      </c>
      <c r="B1399" s="37" t="str">
        <f t="array" ref="B1399">iferror(xlookup($I1399, 'IMPORT VHC Report'!$E:$E, 'IMPORT VHC Report'!$A:$C), )</f>
        <v/>
      </c>
      <c r="C1399" s="37"/>
      <c r="D1399" s="37"/>
      <c r="E1399" s="38" t="s">
        <v>1768</v>
      </c>
      <c r="F1399" s="38" t="s">
        <v>1743</v>
      </c>
      <c r="G1399" s="38">
        <v>3.61731349115E11</v>
      </c>
      <c r="H1399" s="38" t="s">
        <v>1744</v>
      </c>
      <c r="I1399" s="38" t="s">
        <v>1745</v>
      </c>
      <c r="J1399" s="38" t="s">
        <v>134</v>
      </c>
      <c r="K1399" s="38" t="s">
        <v>126</v>
      </c>
      <c r="L1399" s="41">
        <v>46010.375</v>
      </c>
      <c r="M1399" s="38" t="s">
        <v>123</v>
      </c>
      <c r="N1399" s="41">
        <v>46010.395833333336</v>
      </c>
      <c r="O1399" s="38" t="s">
        <v>123</v>
      </c>
      <c r="P1399" s="38">
        <v>1800.0</v>
      </c>
      <c r="Q1399" s="39"/>
      <c r="R1399" s="39"/>
      <c r="S1399" s="39"/>
      <c r="T1399" s="39"/>
      <c r="U1399" s="39"/>
    </row>
    <row r="1400">
      <c r="A1400" s="40">
        <f t="shared" si="1"/>
        <v>46006</v>
      </c>
      <c r="B1400" s="37" t="str">
        <f t="array" ref="B1400">iferror(xlookup($I1400, 'IMPORT VHC Report'!$E:$E, 'IMPORT VHC Report'!$A:$C), )</f>
        <v/>
      </c>
      <c r="C1400" s="37"/>
      <c r="D1400" s="37"/>
      <c r="E1400" s="38" t="s">
        <v>1769</v>
      </c>
      <c r="F1400" s="38" t="s">
        <v>1743</v>
      </c>
      <c r="G1400" s="38">
        <v>3.61731349115E11</v>
      </c>
      <c r="H1400" s="38" t="s">
        <v>1744</v>
      </c>
      <c r="I1400" s="38" t="s">
        <v>1745</v>
      </c>
      <c r="J1400" s="38" t="s">
        <v>125</v>
      </c>
      <c r="K1400" s="38" t="s">
        <v>126</v>
      </c>
      <c r="L1400" s="41">
        <v>46011.083333333336</v>
      </c>
      <c r="M1400" s="38" t="s">
        <v>123</v>
      </c>
      <c r="N1400" s="41">
        <v>46011.09375</v>
      </c>
      <c r="O1400" s="38" t="s">
        <v>123</v>
      </c>
      <c r="P1400" s="38">
        <v>900.0</v>
      </c>
      <c r="Q1400" s="39"/>
      <c r="R1400" s="39"/>
      <c r="S1400" s="38" t="s">
        <v>199</v>
      </c>
      <c r="T1400" s="39"/>
      <c r="U1400" s="39"/>
    </row>
    <row r="1401">
      <c r="A1401" s="40">
        <f t="shared" si="1"/>
        <v>46006</v>
      </c>
      <c r="B1401" s="37" t="str">
        <f t="array" ref="B1401">iferror(xlookup($I1401, 'IMPORT VHC Report'!$E:$E, 'IMPORT VHC Report'!$A:$C), )</f>
        <v/>
      </c>
      <c r="C1401" s="37"/>
      <c r="D1401" s="37"/>
      <c r="E1401" s="38" t="s">
        <v>1770</v>
      </c>
      <c r="F1401" s="38" t="s">
        <v>1743</v>
      </c>
      <c r="G1401" s="38">
        <v>3.61731349115E11</v>
      </c>
      <c r="H1401" s="38" t="s">
        <v>1744</v>
      </c>
      <c r="I1401" s="38" t="s">
        <v>1745</v>
      </c>
      <c r="J1401" s="38" t="s">
        <v>196</v>
      </c>
      <c r="K1401" s="38" t="s">
        <v>63</v>
      </c>
      <c r="L1401" s="41">
        <v>46011.083333333336</v>
      </c>
      <c r="M1401" s="38" t="s">
        <v>123</v>
      </c>
      <c r="N1401" s="41">
        <v>46011.458333333336</v>
      </c>
      <c r="O1401" s="38" t="s">
        <v>123</v>
      </c>
      <c r="P1401" s="38">
        <v>32400.0</v>
      </c>
      <c r="Q1401" s="39"/>
      <c r="R1401" s="39"/>
      <c r="S1401" s="39"/>
      <c r="T1401" s="39"/>
      <c r="U1401" s="39"/>
    </row>
    <row r="1402">
      <c r="A1402" s="40">
        <f t="shared" si="1"/>
        <v>46006</v>
      </c>
      <c r="B1402" s="37" t="str">
        <f t="array" ref="B1402">iferror(xlookup($I1402, 'IMPORT VHC Report'!$E:$E, 'IMPORT VHC Report'!$A:$C), )</f>
        <v/>
      </c>
      <c r="C1402" s="37"/>
      <c r="D1402" s="37"/>
      <c r="E1402" s="38" t="s">
        <v>1771</v>
      </c>
      <c r="F1402" s="38" t="s">
        <v>1743</v>
      </c>
      <c r="G1402" s="38">
        <v>3.61731349115E11</v>
      </c>
      <c r="H1402" s="38" t="s">
        <v>1744</v>
      </c>
      <c r="I1402" s="38" t="s">
        <v>1745</v>
      </c>
      <c r="J1402" s="38" t="s">
        <v>132</v>
      </c>
      <c r="K1402" s="38" t="s">
        <v>126</v>
      </c>
      <c r="L1402" s="41">
        <v>46011.208333333336</v>
      </c>
      <c r="M1402" s="38" t="s">
        <v>123</v>
      </c>
      <c r="N1402" s="41">
        <v>46011.25</v>
      </c>
      <c r="O1402" s="38" t="s">
        <v>123</v>
      </c>
      <c r="P1402" s="38">
        <v>3600.0</v>
      </c>
      <c r="Q1402" s="39"/>
      <c r="R1402" s="39"/>
      <c r="S1402" s="39"/>
      <c r="T1402" s="39"/>
      <c r="U1402" s="39"/>
    </row>
    <row r="1403">
      <c r="A1403" s="40">
        <f t="shared" si="1"/>
        <v>46006</v>
      </c>
      <c r="B1403" s="37" t="str">
        <f t="array" ref="B1403">iferror(xlookup($I1403, 'IMPORT VHC Report'!$E:$E, 'IMPORT VHC Report'!$A:$C), )</f>
        <v/>
      </c>
      <c r="C1403" s="37"/>
      <c r="D1403" s="37"/>
      <c r="E1403" s="38" t="s">
        <v>1772</v>
      </c>
      <c r="F1403" s="38" t="s">
        <v>1743</v>
      </c>
      <c r="G1403" s="38">
        <v>3.61731349115E11</v>
      </c>
      <c r="H1403" s="38" t="s">
        <v>1744</v>
      </c>
      <c r="I1403" s="38" t="s">
        <v>1745</v>
      </c>
      <c r="J1403" s="38" t="s">
        <v>134</v>
      </c>
      <c r="K1403" s="38" t="s">
        <v>126</v>
      </c>
      <c r="L1403" s="41">
        <v>46011.375</v>
      </c>
      <c r="M1403" s="38" t="s">
        <v>123</v>
      </c>
      <c r="N1403" s="41">
        <v>46011.395833333336</v>
      </c>
      <c r="O1403" s="38" t="s">
        <v>123</v>
      </c>
      <c r="P1403" s="38">
        <v>1800.0</v>
      </c>
      <c r="Q1403" s="39"/>
      <c r="R1403" s="39"/>
      <c r="S1403" s="39"/>
      <c r="T1403" s="39"/>
      <c r="U1403" s="39"/>
    </row>
    <row r="1404">
      <c r="A1404" s="40">
        <f t="shared" si="1"/>
        <v>46006</v>
      </c>
      <c r="B1404" s="37" t="str">
        <f t="array" ref="B1404">iferror(xlookup($I1404, 'IMPORT VHC Report'!$E:$E, 'IMPORT VHC Report'!$A:$C), )</f>
        <v/>
      </c>
      <c r="C1404" s="37"/>
      <c r="D1404" s="37"/>
      <c r="E1404" s="38" t="s">
        <v>1773</v>
      </c>
      <c r="F1404" s="38" t="s">
        <v>1743</v>
      </c>
      <c r="G1404" s="38">
        <v>3.61731349115E11</v>
      </c>
      <c r="H1404" s="38" t="s">
        <v>1744</v>
      </c>
      <c r="I1404" s="38" t="s">
        <v>1745</v>
      </c>
      <c r="J1404" s="38" t="s">
        <v>125</v>
      </c>
      <c r="K1404" s="38" t="s">
        <v>126</v>
      </c>
      <c r="L1404" s="41">
        <v>46012.083333333336</v>
      </c>
      <c r="M1404" s="38" t="s">
        <v>123</v>
      </c>
      <c r="N1404" s="41">
        <v>46012.09375</v>
      </c>
      <c r="O1404" s="38" t="s">
        <v>123</v>
      </c>
      <c r="P1404" s="38">
        <v>900.0</v>
      </c>
      <c r="Q1404" s="39"/>
      <c r="R1404" s="39"/>
      <c r="S1404" s="38" t="s">
        <v>199</v>
      </c>
      <c r="T1404" s="39"/>
      <c r="U1404" s="39"/>
    </row>
    <row r="1405">
      <c r="A1405" s="40">
        <f t="shared" si="1"/>
        <v>46006</v>
      </c>
      <c r="B1405" s="37" t="str">
        <f t="array" ref="B1405">iferror(xlookup($I1405, 'IMPORT VHC Report'!$E:$E, 'IMPORT VHC Report'!$A:$C), )</f>
        <v/>
      </c>
      <c r="C1405" s="37"/>
      <c r="D1405" s="37"/>
      <c r="E1405" s="38" t="s">
        <v>1774</v>
      </c>
      <c r="F1405" s="38" t="s">
        <v>1743</v>
      </c>
      <c r="G1405" s="38">
        <v>3.61731349115E11</v>
      </c>
      <c r="H1405" s="38" t="s">
        <v>1744</v>
      </c>
      <c r="I1405" s="38" t="s">
        <v>1745</v>
      </c>
      <c r="J1405" s="38" t="s">
        <v>196</v>
      </c>
      <c r="K1405" s="38" t="s">
        <v>63</v>
      </c>
      <c r="L1405" s="41">
        <v>46012.083333333336</v>
      </c>
      <c r="M1405" s="38" t="s">
        <v>123</v>
      </c>
      <c r="N1405" s="41">
        <v>46012.458333333336</v>
      </c>
      <c r="O1405" s="38" t="s">
        <v>123</v>
      </c>
      <c r="P1405" s="38">
        <v>32400.0</v>
      </c>
      <c r="Q1405" s="39"/>
      <c r="R1405" s="39"/>
      <c r="S1405" s="39"/>
      <c r="T1405" s="39"/>
      <c r="U1405" s="39"/>
    </row>
    <row r="1406">
      <c r="A1406" s="40">
        <f t="shared" si="1"/>
        <v>46006</v>
      </c>
      <c r="B1406" s="37" t="str">
        <f t="array" ref="B1406">iferror(xlookup($I1406, 'IMPORT VHC Report'!$E:$E, 'IMPORT VHC Report'!$A:$C), )</f>
        <v/>
      </c>
      <c r="C1406" s="37"/>
      <c r="D1406" s="37"/>
      <c r="E1406" s="38" t="s">
        <v>1775</v>
      </c>
      <c r="F1406" s="38" t="s">
        <v>1743</v>
      </c>
      <c r="G1406" s="38">
        <v>3.61731349115E11</v>
      </c>
      <c r="H1406" s="38" t="s">
        <v>1744</v>
      </c>
      <c r="I1406" s="38" t="s">
        <v>1745</v>
      </c>
      <c r="J1406" s="38" t="s">
        <v>132</v>
      </c>
      <c r="K1406" s="38" t="s">
        <v>126</v>
      </c>
      <c r="L1406" s="41">
        <v>46012.229166666664</v>
      </c>
      <c r="M1406" s="38" t="s">
        <v>123</v>
      </c>
      <c r="N1406" s="41">
        <v>46012.270833333336</v>
      </c>
      <c r="O1406" s="38" t="s">
        <v>123</v>
      </c>
      <c r="P1406" s="38">
        <v>3600.0</v>
      </c>
      <c r="Q1406" s="39"/>
      <c r="R1406" s="39"/>
      <c r="S1406" s="39"/>
      <c r="T1406" s="39"/>
      <c r="U1406" s="39"/>
    </row>
    <row r="1407">
      <c r="A1407" s="40">
        <f t="shared" si="1"/>
        <v>46006</v>
      </c>
      <c r="B1407" s="37" t="str">
        <f t="array" ref="B1407">iferror(xlookup($I1407, 'IMPORT VHC Report'!$E:$E, 'IMPORT VHC Report'!$A:$C), )</f>
        <v/>
      </c>
      <c r="C1407" s="37"/>
      <c r="D1407" s="37"/>
      <c r="E1407" s="38" t="s">
        <v>1776</v>
      </c>
      <c r="F1407" s="38" t="s">
        <v>1743</v>
      </c>
      <c r="G1407" s="38">
        <v>3.61731349115E11</v>
      </c>
      <c r="H1407" s="38" t="s">
        <v>1744</v>
      </c>
      <c r="I1407" s="38" t="s">
        <v>1745</v>
      </c>
      <c r="J1407" s="38" t="s">
        <v>134</v>
      </c>
      <c r="K1407" s="38" t="s">
        <v>126</v>
      </c>
      <c r="L1407" s="41">
        <v>46012.375</v>
      </c>
      <c r="M1407" s="38" t="s">
        <v>123</v>
      </c>
      <c r="N1407" s="41">
        <v>46012.395833333336</v>
      </c>
      <c r="O1407" s="38" t="s">
        <v>123</v>
      </c>
      <c r="P1407" s="38">
        <v>1800.0</v>
      </c>
      <c r="Q1407" s="39"/>
      <c r="R1407" s="39"/>
      <c r="S1407" s="39"/>
      <c r="T1407" s="39"/>
      <c r="U1407" s="39"/>
    </row>
    <row r="1408">
      <c r="A1408" s="40">
        <f t="shared" si="1"/>
        <v>46006</v>
      </c>
      <c r="B1408" s="37" t="str">
        <f t="array" ref="B1408">iferror(xlookup($I1408, 'IMPORT VHC Report'!$E:$E, 'IMPORT VHC Report'!$A:$C), )</f>
        <v/>
      </c>
      <c r="C1408" s="37"/>
      <c r="D1408" s="37"/>
      <c r="E1408" s="38" t="s">
        <v>1777</v>
      </c>
      <c r="F1408" s="38" t="s">
        <v>1778</v>
      </c>
      <c r="G1408" s="38">
        <v>8.409892191631E12</v>
      </c>
      <c r="H1408" s="38" t="s">
        <v>1779</v>
      </c>
      <c r="I1408" s="38" t="s">
        <v>1780</v>
      </c>
      <c r="J1408" s="38" t="s">
        <v>224</v>
      </c>
      <c r="K1408" s="38" t="s">
        <v>63</v>
      </c>
      <c r="L1408" s="41">
        <v>46006.083333333336</v>
      </c>
      <c r="M1408" s="38" t="s">
        <v>123</v>
      </c>
      <c r="N1408" s="41">
        <v>46006.166666666664</v>
      </c>
      <c r="O1408" s="38" t="s">
        <v>123</v>
      </c>
      <c r="P1408" s="38">
        <v>7200.0</v>
      </c>
      <c r="Q1408" s="39"/>
      <c r="R1408" s="39"/>
      <c r="S1408" s="39"/>
      <c r="T1408" s="39"/>
      <c r="U1408" s="39"/>
    </row>
    <row r="1409">
      <c r="A1409" s="40">
        <f t="shared" si="1"/>
        <v>46006</v>
      </c>
      <c r="B1409" s="37" t="str">
        <f t="array" ref="B1409">iferror(xlookup($I1409, 'IMPORT VHC Report'!$E:$E, 'IMPORT VHC Report'!$A:$C), )</f>
        <v/>
      </c>
      <c r="C1409" s="37"/>
      <c r="D1409" s="37"/>
      <c r="E1409" s="38" t="s">
        <v>1781</v>
      </c>
      <c r="F1409" s="38" t="s">
        <v>1778</v>
      </c>
      <c r="G1409" s="38">
        <v>8.409892191631E12</v>
      </c>
      <c r="H1409" s="38" t="s">
        <v>1779</v>
      </c>
      <c r="I1409" s="38" t="s">
        <v>1780</v>
      </c>
      <c r="J1409" s="38" t="s">
        <v>134</v>
      </c>
      <c r="K1409" s="38" t="s">
        <v>126</v>
      </c>
      <c r="L1409" s="41">
        <v>46006.166666666664</v>
      </c>
      <c r="M1409" s="38" t="s">
        <v>123</v>
      </c>
      <c r="N1409" s="41">
        <v>46006.177083333336</v>
      </c>
      <c r="O1409" s="38" t="s">
        <v>123</v>
      </c>
      <c r="P1409" s="38">
        <v>900.0</v>
      </c>
      <c r="Q1409" s="39"/>
      <c r="R1409" s="39"/>
      <c r="S1409" s="39"/>
      <c r="T1409" s="39"/>
      <c r="U1409" s="39"/>
    </row>
    <row r="1410">
      <c r="A1410" s="40">
        <f t="shared" si="1"/>
        <v>46006</v>
      </c>
      <c r="B1410" s="37" t="str">
        <f t="array" ref="B1410">iferror(xlookup($I1410, 'IMPORT VHC Report'!$E:$E, 'IMPORT VHC Report'!$A:$C), )</f>
        <v/>
      </c>
      <c r="C1410" s="37"/>
      <c r="D1410" s="37"/>
      <c r="E1410" s="38" t="s">
        <v>1782</v>
      </c>
      <c r="F1410" s="38" t="s">
        <v>1778</v>
      </c>
      <c r="G1410" s="38">
        <v>8.409892191631E12</v>
      </c>
      <c r="H1410" s="38" t="s">
        <v>1779</v>
      </c>
      <c r="I1410" s="38" t="s">
        <v>1780</v>
      </c>
      <c r="J1410" s="38" t="s">
        <v>224</v>
      </c>
      <c r="K1410" s="38" t="s">
        <v>63</v>
      </c>
      <c r="L1410" s="41">
        <v>46006.177083333336</v>
      </c>
      <c r="M1410" s="38" t="s">
        <v>123</v>
      </c>
      <c r="N1410" s="41">
        <v>46006.260416666664</v>
      </c>
      <c r="O1410" s="38" t="s">
        <v>123</v>
      </c>
      <c r="P1410" s="38">
        <v>7200.0</v>
      </c>
      <c r="Q1410" s="39"/>
      <c r="R1410" s="39"/>
      <c r="S1410" s="39"/>
      <c r="T1410" s="39"/>
      <c r="U1410" s="39"/>
    </row>
    <row r="1411">
      <c r="A1411" s="40">
        <f t="shared" si="1"/>
        <v>46006</v>
      </c>
      <c r="B1411" s="37" t="str">
        <f t="array" ref="B1411">iferror(xlookup($I1411, 'IMPORT VHC Report'!$E:$E, 'IMPORT VHC Report'!$A:$C), )</f>
        <v/>
      </c>
      <c r="C1411" s="37"/>
      <c r="D1411" s="37"/>
      <c r="E1411" s="38" t="s">
        <v>1783</v>
      </c>
      <c r="F1411" s="38" t="s">
        <v>1778</v>
      </c>
      <c r="G1411" s="38">
        <v>8.409892191631E12</v>
      </c>
      <c r="H1411" s="38" t="s">
        <v>1779</v>
      </c>
      <c r="I1411" s="38" t="s">
        <v>1780</v>
      </c>
      <c r="J1411" s="38" t="s">
        <v>134</v>
      </c>
      <c r="K1411" s="38" t="s">
        <v>126</v>
      </c>
      <c r="L1411" s="41">
        <v>46006.260416666664</v>
      </c>
      <c r="M1411" s="38" t="s">
        <v>123</v>
      </c>
      <c r="N1411" s="41">
        <v>46006.270833333336</v>
      </c>
      <c r="O1411" s="38" t="s">
        <v>123</v>
      </c>
      <c r="P1411" s="38">
        <v>900.0</v>
      </c>
      <c r="Q1411" s="39"/>
      <c r="R1411" s="39"/>
      <c r="S1411" s="39"/>
      <c r="T1411" s="39"/>
      <c r="U1411" s="39"/>
    </row>
    <row r="1412">
      <c r="A1412" s="40">
        <f t="shared" si="1"/>
        <v>46006</v>
      </c>
      <c r="B1412" s="37" t="str">
        <f t="array" ref="B1412">iferror(xlookup($I1412, 'IMPORT VHC Report'!$E:$E, 'IMPORT VHC Report'!$A:$C), )</f>
        <v/>
      </c>
      <c r="C1412" s="37"/>
      <c r="D1412" s="37"/>
      <c r="E1412" s="38" t="s">
        <v>1784</v>
      </c>
      <c r="F1412" s="38" t="s">
        <v>1778</v>
      </c>
      <c r="G1412" s="38">
        <v>8.409892191631E12</v>
      </c>
      <c r="H1412" s="38" t="s">
        <v>1779</v>
      </c>
      <c r="I1412" s="38" t="s">
        <v>1780</v>
      </c>
      <c r="J1412" s="38" t="s">
        <v>224</v>
      </c>
      <c r="K1412" s="38" t="s">
        <v>63</v>
      </c>
      <c r="L1412" s="41">
        <v>46006.270833333336</v>
      </c>
      <c r="M1412" s="38" t="s">
        <v>123</v>
      </c>
      <c r="N1412" s="41">
        <v>46006.333333333336</v>
      </c>
      <c r="O1412" s="38" t="s">
        <v>123</v>
      </c>
      <c r="P1412" s="38">
        <v>5400.0</v>
      </c>
      <c r="Q1412" s="39"/>
      <c r="R1412" s="39"/>
      <c r="S1412" s="39"/>
      <c r="T1412" s="39"/>
      <c r="U1412" s="39"/>
    </row>
    <row r="1413">
      <c r="A1413" s="40">
        <f t="shared" si="1"/>
        <v>46006</v>
      </c>
      <c r="B1413" s="37" t="str">
        <f t="array" ref="B1413">iferror(xlookup($I1413, 'IMPORT VHC Report'!$E:$E, 'IMPORT VHC Report'!$A:$C), )</f>
        <v/>
      </c>
      <c r="C1413" s="37"/>
      <c r="D1413" s="37"/>
      <c r="E1413" s="38" t="s">
        <v>1785</v>
      </c>
      <c r="F1413" s="38" t="s">
        <v>1778</v>
      </c>
      <c r="G1413" s="38">
        <v>8.409892191631E12</v>
      </c>
      <c r="H1413" s="38" t="s">
        <v>1779</v>
      </c>
      <c r="I1413" s="38" t="s">
        <v>1780</v>
      </c>
      <c r="J1413" s="38" t="s">
        <v>132</v>
      </c>
      <c r="K1413" s="38" t="s">
        <v>126</v>
      </c>
      <c r="L1413" s="41">
        <v>46006.333333333336</v>
      </c>
      <c r="M1413" s="38" t="s">
        <v>123</v>
      </c>
      <c r="N1413" s="41">
        <v>46006.375</v>
      </c>
      <c r="O1413" s="38" t="s">
        <v>123</v>
      </c>
      <c r="P1413" s="38">
        <v>3600.0</v>
      </c>
      <c r="Q1413" s="39"/>
      <c r="R1413" s="39"/>
      <c r="S1413" s="39"/>
      <c r="T1413" s="39"/>
      <c r="U1413" s="39"/>
    </row>
    <row r="1414">
      <c r="A1414" s="40">
        <f t="shared" si="1"/>
        <v>46006</v>
      </c>
      <c r="B1414" s="37" t="str">
        <f t="array" ref="B1414">iferror(xlookup($I1414, 'IMPORT VHC Report'!$E:$E, 'IMPORT VHC Report'!$A:$C), )</f>
        <v/>
      </c>
      <c r="C1414" s="37"/>
      <c r="D1414" s="37"/>
      <c r="E1414" s="38" t="s">
        <v>1786</v>
      </c>
      <c r="F1414" s="38" t="s">
        <v>1778</v>
      </c>
      <c r="G1414" s="38">
        <v>8.409892191631E12</v>
      </c>
      <c r="H1414" s="38" t="s">
        <v>1779</v>
      </c>
      <c r="I1414" s="38" t="s">
        <v>1780</v>
      </c>
      <c r="J1414" s="38" t="s">
        <v>224</v>
      </c>
      <c r="K1414" s="38" t="s">
        <v>63</v>
      </c>
      <c r="L1414" s="41">
        <v>46006.375</v>
      </c>
      <c r="M1414" s="38" t="s">
        <v>123</v>
      </c>
      <c r="N1414" s="41">
        <v>46006.458333333336</v>
      </c>
      <c r="O1414" s="38" t="s">
        <v>123</v>
      </c>
      <c r="P1414" s="38">
        <v>7200.0</v>
      </c>
      <c r="Q1414" s="39"/>
      <c r="R1414" s="39"/>
      <c r="S1414" s="39"/>
      <c r="T1414" s="39"/>
      <c r="U1414" s="39"/>
    </row>
    <row r="1415">
      <c r="A1415" s="40">
        <f t="shared" si="1"/>
        <v>46006</v>
      </c>
      <c r="B1415" s="37" t="str">
        <f t="array" ref="B1415">iferror(xlookup($I1415, 'IMPORT VHC Report'!$E:$E, 'IMPORT VHC Report'!$A:$C), )</f>
        <v/>
      </c>
      <c r="C1415" s="37"/>
      <c r="D1415" s="37"/>
      <c r="E1415" s="38" t="s">
        <v>1787</v>
      </c>
      <c r="F1415" s="38" t="s">
        <v>1778</v>
      </c>
      <c r="G1415" s="38">
        <v>8.409892191631E12</v>
      </c>
      <c r="H1415" s="38" t="s">
        <v>1779</v>
      </c>
      <c r="I1415" s="38" t="s">
        <v>1780</v>
      </c>
      <c r="J1415" s="38" t="s">
        <v>224</v>
      </c>
      <c r="K1415" s="38" t="s">
        <v>63</v>
      </c>
      <c r="L1415" s="41">
        <v>46007.083333333336</v>
      </c>
      <c r="M1415" s="38" t="s">
        <v>123</v>
      </c>
      <c r="N1415" s="41">
        <v>46007.458333333336</v>
      </c>
      <c r="O1415" s="38" t="s">
        <v>123</v>
      </c>
      <c r="P1415" s="38">
        <v>32400.0</v>
      </c>
      <c r="Q1415" s="39"/>
      <c r="R1415" s="39"/>
      <c r="S1415" s="39"/>
      <c r="T1415" s="39"/>
      <c r="U1415" s="39"/>
    </row>
    <row r="1416">
      <c r="A1416" s="40">
        <f t="shared" si="1"/>
        <v>46006</v>
      </c>
      <c r="B1416" s="37" t="str">
        <f t="array" ref="B1416">iferror(xlookup($I1416, 'IMPORT VHC Report'!$E:$E, 'IMPORT VHC Report'!$A:$C), )</f>
        <v/>
      </c>
      <c r="C1416" s="37"/>
      <c r="D1416" s="37"/>
      <c r="E1416" s="38" t="s">
        <v>1788</v>
      </c>
      <c r="F1416" s="38" t="s">
        <v>1778</v>
      </c>
      <c r="G1416" s="38">
        <v>8.409892191631E12</v>
      </c>
      <c r="H1416" s="38" t="s">
        <v>1779</v>
      </c>
      <c r="I1416" s="38" t="s">
        <v>1780</v>
      </c>
      <c r="J1416" s="38" t="s">
        <v>134</v>
      </c>
      <c r="K1416" s="38" t="s">
        <v>126</v>
      </c>
      <c r="L1416" s="41">
        <v>46007.197916666664</v>
      </c>
      <c r="M1416" s="38" t="s">
        <v>123</v>
      </c>
      <c r="N1416" s="41">
        <v>46007.208333333336</v>
      </c>
      <c r="O1416" s="38" t="s">
        <v>123</v>
      </c>
      <c r="P1416" s="38">
        <v>900.0</v>
      </c>
      <c r="Q1416" s="39"/>
      <c r="R1416" s="39"/>
      <c r="S1416" s="39"/>
      <c r="T1416" s="39"/>
      <c r="U1416" s="39"/>
    </row>
    <row r="1417">
      <c r="A1417" s="40">
        <f t="shared" si="1"/>
        <v>46006</v>
      </c>
      <c r="B1417" s="37" t="str">
        <f t="array" ref="B1417">iferror(xlookup($I1417, 'IMPORT VHC Report'!$E:$E, 'IMPORT VHC Report'!$A:$C), )</f>
        <v/>
      </c>
      <c r="C1417" s="37"/>
      <c r="D1417" s="37"/>
      <c r="E1417" s="38" t="s">
        <v>1789</v>
      </c>
      <c r="F1417" s="38" t="s">
        <v>1778</v>
      </c>
      <c r="G1417" s="38">
        <v>8.409892191631E12</v>
      </c>
      <c r="H1417" s="38" t="s">
        <v>1779</v>
      </c>
      <c r="I1417" s="38" t="s">
        <v>1780</v>
      </c>
      <c r="J1417" s="38" t="s">
        <v>134</v>
      </c>
      <c r="K1417" s="38" t="s">
        <v>126</v>
      </c>
      <c r="L1417" s="41">
        <v>46007.28125</v>
      </c>
      <c r="M1417" s="38" t="s">
        <v>123</v>
      </c>
      <c r="N1417" s="41">
        <v>46007.291666666664</v>
      </c>
      <c r="O1417" s="38" t="s">
        <v>123</v>
      </c>
      <c r="P1417" s="38">
        <v>900.0</v>
      </c>
      <c r="Q1417" s="39"/>
      <c r="R1417" s="39"/>
      <c r="S1417" s="39"/>
      <c r="T1417" s="39"/>
      <c r="U1417" s="39"/>
    </row>
    <row r="1418">
      <c r="A1418" s="40">
        <f t="shared" si="1"/>
        <v>46006</v>
      </c>
      <c r="B1418" s="37" t="str">
        <f t="array" ref="B1418">iferror(xlookup($I1418, 'IMPORT VHC Report'!$E:$E, 'IMPORT VHC Report'!$A:$C), )</f>
        <v/>
      </c>
      <c r="C1418" s="37"/>
      <c r="D1418" s="37"/>
      <c r="E1418" s="38" t="s">
        <v>1790</v>
      </c>
      <c r="F1418" s="38" t="s">
        <v>1778</v>
      </c>
      <c r="G1418" s="38">
        <v>8.409892191631E12</v>
      </c>
      <c r="H1418" s="38" t="s">
        <v>1779</v>
      </c>
      <c r="I1418" s="38" t="s">
        <v>1780</v>
      </c>
      <c r="J1418" s="38" t="s">
        <v>132</v>
      </c>
      <c r="K1418" s="38" t="s">
        <v>126</v>
      </c>
      <c r="L1418" s="41">
        <v>46007.354166666664</v>
      </c>
      <c r="M1418" s="38" t="s">
        <v>123</v>
      </c>
      <c r="N1418" s="41">
        <v>46007.395833333336</v>
      </c>
      <c r="O1418" s="38" t="s">
        <v>123</v>
      </c>
      <c r="P1418" s="38">
        <v>3600.0</v>
      </c>
      <c r="Q1418" s="39"/>
      <c r="R1418" s="39"/>
      <c r="S1418" s="39"/>
      <c r="T1418" s="39"/>
      <c r="U1418" s="39"/>
    </row>
    <row r="1419">
      <c r="A1419" s="40">
        <f t="shared" si="1"/>
        <v>46006</v>
      </c>
      <c r="B1419" s="37" t="str">
        <f t="array" ref="B1419">iferror(xlookup($I1419, 'IMPORT VHC Report'!$E:$E, 'IMPORT VHC Report'!$A:$C), )</f>
        <v/>
      </c>
      <c r="C1419" s="37"/>
      <c r="D1419" s="37"/>
      <c r="E1419" s="38" t="s">
        <v>1791</v>
      </c>
      <c r="F1419" s="38" t="s">
        <v>1778</v>
      </c>
      <c r="G1419" s="38">
        <v>8.409892191631E12</v>
      </c>
      <c r="H1419" s="38" t="s">
        <v>1779</v>
      </c>
      <c r="I1419" s="38" t="s">
        <v>1780</v>
      </c>
      <c r="J1419" s="38" t="s">
        <v>224</v>
      </c>
      <c r="K1419" s="38" t="s">
        <v>63</v>
      </c>
      <c r="L1419" s="41">
        <v>46008.083333333336</v>
      </c>
      <c r="M1419" s="38" t="s">
        <v>123</v>
      </c>
      <c r="N1419" s="41">
        <v>46008.1875</v>
      </c>
      <c r="O1419" s="38" t="s">
        <v>123</v>
      </c>
      <c r="P1419" s="38">
        <v>9000.0</v>
      </c>
      <c r="Q1419" s="39"/>
      <c r="R1419" s="39"/>
      <c r="S1419" s="39"/>
      <c r="T1419" s="39"/>
      <c r="U1419" s="39"/>
    </row>
    <row r="1420">
      <c r="A1420" s="40">
        <f t="shared" si="1"/>
        <v>46006</v>
      </c>
      <c r="B1420" s="37" t="str">
        <f t="array" ref="B1420">iferror(xlookup($I1420, 'IMPORT VHC Report'!$E:$E, 'IMPORT VHC Report'!$A:$C), )</f>
        <v/>
      </c>
      <c r="C1420" s="37"/>
      <c r="D1420" s="37"/>
      <c r="E1420" s="38" t="s">
        <v>1792</v>
      </c>
      <c r="F1420" s="38" t="s">
        <v>1778</v>
      </c>
      <c r="G1420" s="38">
        <v>8.409892191631E12</v>
      </c>
      <c r="H1420" s="38" t="s">
        <v>1779</v>
      </c>
      <c r="I1420" s="38" t="s">
        <v>1780</v>
      </c>
      <c r="J1420" s="38" t="s">
        <v>125</v>
      </c>
      <c r="K1420" s="38" t="s">
        <v>126</v>
      </c>
      <c r="L1420" s="41">
        <v>46008.09027777778</v>
      </c>
      <c r="M1420" s="38" t="s">
        <v>123</v>
      </c>
      <c r="N1420" s="41">
        <v>46008.157638888886</v>
      </c>
      <c r="O1420" s="38" t="s">
        <v>123</v>
      </c>
      <c r="P1420" s="38">
        <v>5820.0</v>
      </c>
      <c r="Q1420" s="39"/>
      <c r="R1420" s="39"/>
      <c r="S1420" s="38" t="s">
        <v>1793</v>
      </c>
      <c r="T1420" s="39"/>
      <c r="U1420" s="39"/>
    </row>
    <row r="1421">
      <c r="A1421" s="40">
        <f t="shared" si="1"/>
        <v>46006</v>
      </c>
      <c r="B1421" s="37" t="str">
        <f t="array" ref="B1421">iferror(xlookup($I1421, 'IMPORT VHC Report'!$E:$E, 'IMPORT VHC Report'!$A:$C), )</f>
        <v/>
      </c>
      <c r="C1421" s="37"/>
      <c r="D1421" s="37"/>
      <c r="E1421" s="38" t="s">
        <v>1794</v>
      </c>
      <c r="F1421" s="38" t="s">
        <v>1778</v>
      </c>
      <c r="G1421" s="38">
        <v>8.409892191631E12</v>
      </c>
      <c r="H1421" s="38" t="s">
        <v>1779</v>
      </c>
      <c r="I1421" s="38" t="s">
        <v>1780</v>
      </c>
      <c r="J1421" s="38" t="s">
        <v>132</v>
      </c>
      <c r="K1421" s="38" t="s">
        <v>126</v>
      </c>
      <c r="L1421" s="41">
        <v>46008.1875</v>
      </c>
      <c r="M1421" s="38" t="s">
        <v>123</v>
      </c>
      <c r="N1421" s="41">
        <v>46008.229166666664</v>
      </c>
      <c r="O1421" s="38" t="s">
        <v>123</v>
      </c>
      <c r="P1421" s="38">
        <v>3600.0</v>
      </c>
      <c r="Q1421" s="39"/>
      <c r="R1421" s="39"/>
      <c r="S1421" s="39"/>
      <c r="T1421" s="39"/>
      <c r="U1421" s="39"/>
    </row>
    <row r="1422">
      <c r="A1422" s="40">
        <f t="shared" si="1"/>
        <v>46006</v>
      </c>
      <c r="B1422" s="37" t="str">
        <f t="array" ref="B1422">iferror(xlookup($I1422, 'IMPORT VHC Report'!$E:$E, 'IMPORT VHC Report'!$A:$C), )</f>
        <v/>
      </c>
      <c r="C1422" s="37"/>
      <c r="D1422" s="37"/>
      <c r="E1422" s="38" t="s">
        <v>1795</v>
      </c>
      <c r="F1422" s="38" t="s">
        <v>1778</v>
      </c>
      <c r="G1422" s="38">
        <v>8.409892191631E12</v>
      </c>
      <c r="H1422" s="38" t="s">
        <v>1779</v>
      </c>
      <c r="I1422" s="38" t="s">
        <v>1780</v>
      </c>
      <c r="J1422" s="38" t="s">
        <v>4</v>
      </c>
      <c r="K1422" s="38" t="s">
        <v>126</v>
      </c>
      <c r="L1422" s="41">
        <v>46008.229166666664</v>
      </c>
      <c r="M1422" s="38" t="s">
        <v>123</v>
      </c>
      <c r="N1422" s="41">
        <v>46008.270833333336</v>
      </c>
      <c r="O1422" s="38" t="s">
        <v>123</v>
      </c>
      <c r="P1422" s="38">
        <v>3600.0</v>
      </c>
      <c r="Q1422" s="39"/>
      <c r="R1422" s="39"/>
      <c r="S1422" s="38" t="s">
        <v>858</v>
      </c>
      <c r="T1422" s="39"/>
      <c r="U1422" s="39"/>
    </row>
    <row r="1423">
      <c r="A1423" s="40">
        <f t="shared" si="1"/>
        <v>46006</v>
      </c>
      <c r="B1423" s="37" t="str">
        <f t="array" ref="B1423">iferror(xlookup($I1423, 'IMPORT VHC Report'!$E:$E, 'IMPORT VHC Report'!$A:$C), )</f>
        <v/>
      </c>
      <c r="C1423" s="37"/>
      <c r="D1423" s="37"/>
      <c r="E1423" s="38" t="s">
        <v>1796</v>
      </c>
      <c r="F1423" s="38" t="s">
        <v>1778</v>
      </c>
      <c r="G1423" s="38">
        <v>8.409892191631E12</v>
      </c>
      <c r="H1423" s="38" t="s">
        <v>1779</v>
      </c>
      <c r="I1423" s="38" t="s">
        <v>1780</v>
      </c>
      <c r="J1423" s="38" t="s">
        <v>224</v>
      </c>
      <c r="K1423" s="38" t="s">
        <v>63</v>
      </c>
      <c r="L1423" s="41">
        <v>46008.229166666664</v>
      </c>
      <c r="M1423" s="38" t="s">
        <v>123</v>
      </c>
      <c r="N1423" s="41">
        <v>46008.291666666664</v>
      </c>
      <c r="O1423" s="38" t="s">
        <v>123</v>
      </c>
      <c r="P1423" s="38">
        <v>5400.0</v>
      </c>
      <c r="Q1423" s="39"/>
      <c r="R1423" s="39"/>
      <c r="S1423" s="39"/>
      <c r="T1423" s="39"/>
      <c r="U1423" s="39"/>
    </row>
    <row r="1424">
      <c r="A1424" s="40">
        <f t="shared" si="1"/>
        <v>46006</v>
      </c>
      <c r="B1424" s="37" t="str">
        <f t="array" ref="B1424">iferror(xlookup($I1424, 'IMPORT VHC Report'!$E:$E, 'IMPORT VHC Report'!$A:$C), )</f>
        <v/>
      </c>
      <c r="C1424" s="37"/>
      <c r="D1424" s="37"/>
      <c r="E1424" s="38" t="s">
        <v>1797</v>
      </c>
      <c r="F1424" s="38" t="s">
        <v>1778</v>
      </c>
      <c r="G1424" s="38">
        <v>8.409892191631E12</v>
      </c>
      <c r="H1424" s="38" t="s">
        <v>1779</v>
      </c>
      <c r="I1424" s="38" t="s">
        <v>1780</v>
      </c>
      <c r="J1424" s="38" t="s">
        <v>134</v>
      </c>
      <c r="K1424" s="38" t="s">
        <v>126</v>
      </c>
      <c r="L1424" s="41">
        <v>46008.291666666664</v>
      </c>
      <c r="M1424" s="38" t="s">
        <v>123</v>
      </c>
      <c r="N1424" s="41">
        <v>46008.302083333336</v>
      </c>
      <c r="O1424" s="38" t="s">
        <v>123</v>
      </c>
      <c r="P1424" s="38">
        <v>900.0</v>
      </c>
      <c r="Q1424" s="39"/>
      <c r="R1424" s="39"/>
      <c r="S1424" s="39"/>
      <c r="T1424" s="39"/>
      <c r="U1424" s="39"/>
    </row>
    <row r="1425">
      <c r="A1425" s="40">
        <f t="shared" si="1"/>
        <v>46006</v>
      </c>
      <c r="B1425" s="37" t="str">
        <f t="array" ref="B1425">iferror(xlookup($I1425, 'IMPORT VHC Report'!$E:$E, 'IMPORT VHC Report'!$A:$C), )</f>
        <v/>
      </c>
      <c r="C1425" s="37"/>
      <c r="D1425" s="37"/>
      <c r="E1425" s="38" t="s">
        <v>1798</v>
      </c>
      <c r="F1425" s="38" t="s">
        <v>1778</v>
      </c>
      <c r="G1425" s="38">
        <v>8.409892191631E12</v>
      </c>
      <c r="H1425" s="38" t="s">
        <v>1779</v>
      </c>
      <c r="I1425" s="38" t="s">
        <v>1780</v>
      </c>
      <c r="J1425" s="38" t="s">
        <v>224</v>
      </c>
      <c r="K1425" s="38" t="s">
        <v>63</v>
      </c>
      <c r="L1425" s="41">
        <v>46008.302083333336</v>
      </c>
      <c r="M1425" s="38" t="s">
        <v>123</v>
      </c>
      <c r="N1425" s="41">
        <v>46008.364583333336</v>
      </c>
      <c r="O1425" s="38" t="s">
        <v>123</v>
      </c>
      <c r="P1425" s="38">
        <v>5400.0</v>
      </c>
      <c r="Q1425" s="39"/>
      <c r="R1425" s="39"/>
      <c r="S1425" s="39"/>
      <c r="T1425" s="39"/>
      <c r="U1425" s="39"/>
    </row>
    <row r="1426">
      <c r="A1426" s="40">
        <f t="shared" si="1"/>
        <v>46006</v>
      </c>
      <c r="B1426" s="37" t="str">
        <f t="array" ref="B1426">iferror(xlookup($I1426, 'IMPORT VHC Report'!$E:$E, 'IMPORT VHC Report'!$A:$C), )</f>
        <v/>
      </c>
      <c r="C1426" s="37"/>
      <c r="D1426" s="37"/>
      <c r="E1426" s="38" t="s">
        <v>1799</v>
      </c>
      <c r="F1426" s="38" t="s">
        <v>1778</v>
      </c>
      <c r="G1426" s="38">
        <v>8.409892191631E12</v>
      </c>
      <c r="H1426" s="38" t="s">
        <v>1779</v>
      </c>
      <c r="I1426" s="38" t="s">
        <v>1780</v>
      </c>
      <c r="J1426" s="38" t="s">
        <v>134</v>
      </c>
      <c r="K1426" s="38" t="s">
        <v>126</v>
      </c>
      <c r="L1426" s="41">
        <v>46008.364583333336</v>
      </c>
      <c r="M1426" s="38" t="s">
        <v>123</v>
      </c>
      <c r="N1426" s="41">
        <v>46008.375</v>
      </c>
      <c r="O1426" s="38" t="s">
        <v>123</v>
      </c>
      <c r="P1426" s="38">
        <v>900.0</v>
      </c>
      <c r="Q1426" s="39"/>
      <c r="R1426" s="39"/>
      <c r="S1426" s="39"/>
      <c r="T1426" s="39"/>
      <c r="U1426" s="39"/>
    </row>
    <row r="1427">
      <c r="A1427" s="40">
        <f t="shared" si="1"/>
        <v>46006</v>
      </c>
      <c r="B1427" s="37" t="str">
        <f t="array" ref="B1427">iferror(xlookup($I1427, 'IMPORT VHC Report'!$E:$E, 'IMPORT VHC Report'!$A:$C), )</f>
        <v/>
      </c>
      <c r="C1427" s="37"/>
      <c r="D1427" s="37"/>
      <c r="E1427" s="38" t="s">
        <v>1800</v>
      </c>
      <c r="F1427" s="38" t="s">
        <v>1778</v>
      </c>
      <c r="G1427" s="38">
        <v>8.409892191631E12</v>
      </c>
      <c r="H1427" s="38" t="s">
        <v>1779</v>
      </c>
      <c r="I1427" s="38" t="s">
        <v>1780</v>
      </c>
      <c r="J1427" s="38" t="s">
        <v>224</v>
      </c>
      <c r="K1427" s="38" t="s">
        <v>63</v>
      </c>
      <c r="L1427" s="41">
        <v>46008.375</v>
      </c>
      <c r="M1427" s="38" t="s">
        <v>123</v>
      </c>
      <c r="N1427" s="41">
        <v>46008.458333333336</v>
      </c>
      <c r="O1427" s="38" t="s">
        <v>123</v>
      </c>
      <c r="P1427" s="38">
        <v>7200.0</v>
      </c>
      <c r="Q1427" s="39"/>
      <c r="R1427" s="39"/>
      <c r="S1427" s="39"/>
      <c r="T1427" s="39"/>
      <c r="U1427" s="39"/>
    </row>
    <row r="1428">
      <c r="A1428" s="40">
        <f t="shared" si="1"/>
        <v>46006</v>
      </c>
      <c r="B1428" s="37" t="str">
        <f t="array" ref="B1428">iferror(xlookup($I1428, 'IMPORT VHC Report'!$E:$E, 'IMPORT VHC Report'!$A:$C), )</f>
        <v/>
      </c>
      <c r="C1428" s="37"/>
      <c r="D1428" s="37"/>
      <c r="E1428" s="38" t="s">
        <v>1801</v>
      </c>
      <c r="F1428" s="38" t="s">
        <v>1778</v>
      </c>
      <c r="G1428" s="38">
        <v>8.409892191631E12</v>
      </c>
      <c r="H1428" s="38" t="s">
        <v>1779</v>
      </c>
      <c r="I1428" s="38" t="s">
        <v>1780</v>
      </c>
      <c r="J1428" s="38" t="s">
        <v>224</v>
      </c>
      <c r="K1428" s="38" t="s">
        <v>63</v>
      </c>
      <c r="L1428" s="41">
        <v>46011.083333333336</v>
      </c>
      <c r="M1428" s="38" t="s">
        <v>123</v>
      </c>
      <c r="N1428" s="41">
        <v>46011.15625</v>
      </c>
      <c r="O1428" s="38" t="s">
        <v>123</v>
      </c>
      <c r="P1428" s="38">
        <v>6300.0</v>
      </c>
      <c r="Q1428" s="39"/>
      <c r="R1428" s="39"/>
      <c r="S1428" s="39"/>
      <c r="T1428" s="39"/>
      <c r="U1428" s="39"/>
    </row>
    <row r="1429">
      <c r="A1429" s="40">
        <f t="shared" si="1"/>
        <v>46006</v>
      </c>
      <c r="B1429" s="37" t="str">
        <f t="array" ref="B1429">iferror(xlookup($I1429, 'IMPORT VHC Report'!$E:$E, 'IMPORT VHC Report'!$A:$C), )</f>
        <v/>
      </c>
      <c r="C1429" s="37"/>
      <c r="D1429" s="37"/>
      <c r="E1429" s="38" t="s">
        <v>1802</v>
      </c>
      <c r="F1429" s="38" t="s">
        <v>1778</v>
      </c>
      <c r="G1429" s="38">
        <v>8.409892191631E12</v>
      </c>
      <c r="H1429" s="38" t="s">
        <v>1779</v>
      </c>
      <c r="I1429" s="38" t="s">
        <v>1780</v>
      </c>
      <c r="J1429" s="38" t="s">
        <v>134</v>
      </c>
      <c r="K1429" s="38" t="s">
        <v>126</v>
      </c>
      <c r="L1429" s="41">
        <v>46011.15625</v>
      </c>
      <c r="M1429" s="38" t="s">
        <v>123</v>
      </c>
      <c r="N1429" s="41">
        <v>46011.166666666664</v>
      </c>
      <c r="O1429" s="38" t="s">
        <v>123</v>
      </c>
      <c r="P1429" s="38">
        <v>900.0</v>
      </c>
      <c r="Q1429" s="39"/>
      <c r="R1429" s="39"/>
      <c r="S1429" s="39"/>
      <c r="T1429" s="39"/>
      <c r="U1429" s="39"/>
    </row>
    <row r="1430">
      <c r="A1430" s="40">
        <f t="shared" si="1"/>
        <v>46006</v>
      </c>
      <c r="B1430" s="37" t="str">
        <f t="array" ref="B1430">iferror(xlookup($I1430, 'IMPORT VHC Report'!$E:$E, 'IMPORT VHC Report'!$A:$C), )</f>
        <v/>
      </c>
      <c r="C1430" s="37"/>
      <c r="D1430" s="37"/>
      <c r="E1430" s="38" t="s">
        <v>1803</v>
      </c>
      <c r="F1430" s="38" t="s">
        <v>1778</v>
      </c>
      <c r="G1430" s="38">
        <v>8.409892191631E12</v>
      </c>
      <c r="H1430" s="38" t="s">
        <v>1779</v>
      </c>
      <c r="I1430" s="38" t="s">
        <v>1780</v>
      </c>
      <c r="J1430" s="38" t="s">
        <v>224</v>
      </c>
      <c r="K1430" s="38" t="s">
        <v>63</v>
      </c>
      <c r="L1430" s="41">
        <v>46011.166666666664</v>
      </c>
      <c r="M1430" s="38" t="s">
        <v>123</v>
      </c>
      <c r="N1430" s="41">
        <v>46011.239583333336</v>
      </c>
      <c r="O1430" s="38" t="s">
        <v>123</v>
      </c>
      <c r="P1430" s="38">
        <v>6300.0</v>
      </c>
      <c r="Q1430" s="39"/>
      <c r="R1430" s="39"/>
      <c r="S1430" s="39"/>
      <c r="T1430" s="39"/>
      <c r="U1430" s="39"/>
    </row>
    <row r="1431">
      <c r="A1431" s="40">
        <f t="shared" si="1"/>
        <v>46006</v>
      </c>
      <c r="B1431" s="37" t="str">
        <f t="array" ref="B1431">iferror(xlookup($I1431, 'IMPORT VHC Report'!$E:$E, 'IMPORT VHC Report'!$A:$C), )</f>
        <v/>
      </c>
      <c r="C1431" s="37"/>
      <c r="D1431" s="37"/>
      <c r="E1431" s="38" t="s">
        <v>1804</v>
      </c>
      <c r="F1431" s="38" t="s">
        <v>1778</v>
      </c>
      <c r="G1431" s="38">
        <v>8.409892191631E12</v>
      </c>
      <c r="H1431" s="38" t="s">
        <v>1779</v>
      </c>
      <c r="I1431" s="38" t="s">
        <v>1780</v>
      </c>
      <c r="J1431" s="38" t="s">
        <v>134</v>
      </c>
      <c r="K1431" s="38" t="s">
        <v>126</v>
      </c>
      <c r="L1431" s="41">
        <v>46011.239583333336</v>
      </c>
      <c r="M1431" s="38" t="s">
        <v>123</v>
      </c>
      <c r="N1431" s="41">
        <v>46011.25</v>
      </c>
      <c r="O1431" s="38" t="s">
        <v>123</v>
      </c>
      <c r="P1431" s="38">
        <v>900.0</v>
      </c>
      <c r="Q1431" s="39"/>
      <c r="R1431" s="39"/>
      <c r="S1431" s="39"/>
      <c r="T1431" s="39"/>
      <c r="U1431" s="39"/>
    </row>
    <row r="1432">
      <c r="A1432" s="40">
        <f t="shared" si="1"/>
        <v>46006</v>
      </c>
      <c r="B1432" s="37" t="str">
        <f t="array" ref="B1432">iferror(xlookup($I1432, 'IMPORT VHC Report'!$E:$E, 'IMPORT VHC Report'!$A:$C), )</f>
        <v/>
      </c>
      <c r="C1432" s="37"/>
      <c r="D1432" s="37"/>
      <c r="E1432" s="38" t="s">
        <v>1805</v>
      </c>
      <c r="F1432" s="38" t="s">
        <v>1778</v>
      </c>
      <c r="G1432" s="38">
        <v>8.409892191631E12</v>
      </c>
      <c r="H1432" s="38" t="s">
        <v>1779</v>
      </c>
      <c r="I1432" s="38" t="s">
        <v>1780</v>
      </c>
      <c r="J1432" s="38" t="s">
        <v>224</v>
      </c>
      <c r="K1432" s="38" t="s">
        <v>63</v>
      </c>
      <c r="L1432" s="41">
        <v>46011.25</v>
      </c>
      <c r="M1432" s="38" t="s">
        <v>123</v>
      </c>
      <c r="N1432" s="41">
        <v>46011.333333333336</v>
      </c>
      <c r="O1432" s="38" t="s">
        <v>123</v>
      </c>
      <c r="P1432" s="38">
        <v>7200.0</v>
      </c>
      <c r="Q1432" s="39"/>
      <c r="R1432" s="39"/>
      <c r="S1432" s="39"/>
      <c r="T1432" s="39"/>
      <c r="U1432" s="39"/>
    </row>
    <row r="1433">
      <c r="A1433" s="40">
        <f t="shared" si="1"/>
        <v>46006</v>
      </c>
      <c r="B1433" s="37" t="str">
        <f t="array" ref="B1433">iferror(xlookup($I1433, 'IMPORT VHC Report'!$E:$E, 'IMPORT VHC Report'!$A:$C), )</f>
        <v/>
      </c>
      <c r="C1433" s="37"/>
      <c r="D1433" s="37"/>
      <c r="E1433" s="38" t="s">
        <v>1806</v>
      </c>
      <c r="F1433" s="38" t="s">
        <v>1778</v>
      </c>
      <c r="G1433" s="38">
        <v>8.409892191631E12</v>
      </c>
      <c r="H1433" s="38" t="s">
        <v>1779</v>
      </c>
      <c r="I1433" s="38" t="s">
        <v>1780</v>
      </c>
      <c r="J1433" s="38" t="s">
        <v>132</v>
      </c>
      <c r="K1433" s="38" t="s">
        <v>126</v>
      </c>
      <c r="L1433" s="41">
        <v>46011.333333333336</v>
      </c>
      <c r="M1433" s="38" t="s">
        <v>123</v>
      </c>
      <c r="N1433" s="41">
        <v>46011.375</v>
      </c>
      <c r="O1433" s="38" t="s">
        <v>123</v>
      </c>
      <c r="P1433" s="38">
        <v>3600.0</v>
      </c>
      <c r="Q1433" s="39"/>
      <c r="R1433" s="39"/>
      <c r="S1433" s="39"/>
      <c r="T1433" s="39"/>
      <c r="U1433" s="39"/>
    </row>
    <row r="1434">
      <c r="A1434" s="40">
        <f t="shared" si="1"/>
        <v>46006</v>
      </c>
      <c r="B1434" s="37" t="str">
        <f t="array" ref="B1434">iferror(xlookup($I1434, 'IMPORT VHC Report'!$E:$E, 'IMPORT VHC Report'!$A:$C), )</f>
        <v/>
      </c>
      <c r="C1434" s="37"/>
      <c r="D1434" s="37"/>
      <c r="E1434" s="38" t="s">
        <v>1807</v>
      </c>
      <c r="F1434" s="38" t="s">
        <v>1778</v>
      </c>
      <c r="G1434" s="38">
        <v>8.409892191631E12</v>
      </c>
      <c r="H1434" s="38" t="s">
        <v>1779</v>
      </c>
      <c r="I1434" s="38" t="s">
        <v>1780</v>
      </c>
      <c r="J1434" s="38" t="s">
        <v>224</v>
      </c>
      <c r="K1434" s="38" t="s">
        <v>63</v>
      </c>
      <c r="L1434" s="41">
        <v>46011.375</v>
      </c>
      <c r="M1434" s="38" t="s">
        <v>123</v>
      </c>
      <c r="N1434" s="41">
        <v>46011.458333333336</v>
      </c>
      <c r="O1434" s="38" t="s">
        <v>123</v>
      </c>
      <c r="P1434" s="38">
        <v>7200.0</v>
      </c>
      <c r="Q1434" s="39"/>
      <c r="R1434" s="39"/>
      <c r="S1434" s="39"/>
      <c r="T1434" s="39"/>
      <c r="U1434" s="39"/>
    </row>
    <row r="1435">
      <c r="A1435" s="40">
        <f t="shared" si="1"/>
        <v>46006</v>
      </c>
      <c r="B1435" s="37" t="str">
        <f t="array" ref="B1435">iferror(xlookup($I1435, 'IMPORT VHC Report'!$E:$E, 'IMPORT VHC Report'!$A:$C), )</f>
        <v/>
      </c>
      <c r="C1435" s="37"/>
      <c r="D1435" s="37"/>
      <c r="E1435" s="38" t="s">
        <v>1808</v>
      </c>
      <c r="F1435" s="38" t="s">
        <v>1778</v>
      </c>
      <c r="G1435" s="38">
        <v>8.409892191631E12</v>
      </c>
      <c r="H1435" s="38" t="s">
        <v>1779</v>
      </c>
      <c r="I1435" s="38" t="s">
        <v>1780</v>
      </c>
      <c r="J1435" s="38" t="s">
        <v>224</v>
      </c>
      <c r="K1435" s="38" t="s">
        <v>63</v>
      </c>
      <c r="L1435" s="41">
        <v>46012.083333333336</v>
      </c>
      <c r="M1435" s="38" t="s">
        <v>123</v>
      </c>
      <c r="N1435" s="41">
        <v>46012.458333333336</v>
      </c>
      <c r="O1435" s="38" t="s">
        <v>123</v>
      </c>
      <c r="P1435" s="38">
        <v>32400.0</v>
      </c>
      <c r="Q1435" s="39"/>
      <c r="R1435" s="39"/>
      <c r="S1435" s="39"/>
      <c r="T1435" s="39"/>
      <c r="U1435" s="39"/>
    </row>
    <row r="1436">
      <c r="A1436" s="40">
        <f t="shared" si="1"/>
        <v>46006</v>
      </c>
      <c r="B1436" s="37" t="str">
        <f t="array" ref="B1436">iferror(xlookup($I1436, 'IMPORT VHC Report'!$E:$E, 'IMPORT VHC Report'!$A:$C), )</f>
        <v/>
      </c>
      <c r="C1436" s="37"/>
      <c r="D1436" s="37"/>
      <c r="E1436" s="38" t="s">
        <v>1809</v>
      </c>
      <c r="F1436" s="38" t="s">
        <v>1778</v>
      </c>
      <c r="G1436" s="38">
        <v>8.409892191631E12</v>
      </c>
      <c r="H1436" s="38" t="s">
        <v>1779</v>
      </c>
      <c r="I1436" s="38" t="s">
        <v>1780</v>
      </c>
      <c r="J1436" s="38" t="s">
        <v>134</v>
      </c>
      <c r="K1436" s="38" t="s">
        <v>126</v>
      </c>
      <c r="L1436" s="41">
        <v>46012.15625</v>
      </c>
      <c r="M1436" s="38" t="s">
        <v>123</v>
      </c>
      <c r="N1436" s="41">
        <v>46012.166666666664</v>
      </c>
      <c r="O1436" s="38" t="s">
        <v>123</v>
      </c>
      <c r="P1436" s="38">
        <v>900.0</v>
      </c>
      <c r="Q1436" s="39"/>
      <c r="R1436" s="39"/>
      <c r="S1436" s="39"/>
      <c r="T1436" s="39"/>
      <c r="U1436" s="39"/>
    </row>
    <row r="1437">
      <c r="A1437" s="40">
        <f t="shared" si="1"/>
        <v>46006</v>
      </c>
      <c r="B1437" s="37" t="str">
        <f t="array" ref="B1437">iferror(xlookup($I1437, 'IMPORT VHC Report'!$E:$E, 'IMPORT VHC Report'!$A:$C), )</f>
        <v/>
      </c>
      <c r="C1437" s="37"/>
      <c r="D1437" s="37"/>
      <c r="E1437" s="38" t="s">
        <v>1810</v>
      </c>
      <c r="F1437" s="38" t="s">
        <v>1778</v>
      </c>
      <c r="G1437" s="38">
        <v>8.409892191631E12</v>
      </c>
      <c r="H1437" s="38" t="s">
        <v>1779</v>
      </c>
      <c r="I1437" s="38" t="s">
        <v>1780</v>
      </c>
      <c r="J1437" s="38" t="s">
        <v>132</v>
      </c>
      <c r="K1437" s="38" t="s">
        <v>126</v>
      </c>
      <c r="L1437" s="41">
        <v>46012.239583333336</v>
      </c>
      <c r="M1437" s="38" t="s">
        <v>123</v>
      </c>
      <c r="N1437" s="41">
        <v>46012.28125</v>
      </c>
      <c r="O1437" s="38" t="s">
        <v>123</v>
      </c>
      <c r="P1437" s="38">
        <v>3600.0</v>
      </c>
      <c r="Q1437" s="39"/>
      <c r="R1437" s="39"/>
      <c r="S1437" s="39"/>
      <c r="T1437" s="39"/>
      <c r="U1437" s="39"/>
    </row>
    <row r="1438">
      <c r="A1438" s="40">
        <f t="shared" si="1"/>
        <v>46006</v>
      </c>
      <c r="B1438" s="37" t="str">
        <f t="array" ref="B1438">iferror(xlookup($I1438, 'IMPORT VHC Report'!$E:$E, 'IMPORT VHC Report'!$A:$C), )</f>
        <v/>
      </c>
      <c r="C1438" s="37"/>
      <c r="D1438" s="37"/>
      <c r="E1438" s="38" t="s">
        <v>1811</v>
      </c>
      <c r="F1438" s="38" t="s">
        <v>1778</v>
      </c>
      <c r="G1438" s="38">
        <v>8.409892191631E12</v>
      </c>
      <c r="H1438" s="38" t="s">
        <v>1779</v>
      </c>
      <c r="I1438" s="38" t="s">
        <v>1780</v>
      </c>
      <c r="J1438" s="38" t="s">
        <v>134</v>
      </c>
      <c r="K1438" s="38" t="s">
        <v>126</v>
      </c>
      <c r="L1438" s="41">
        <v>46012.364583333336</v>
      </c>
      <c r="M1438" s="38" t="s">
        <v>123</v>
      </c>
      <c r="N1438" s="41">
        <v>46012.375</v>
      </c>
      <c r="O1438" s="38" t="s">
        <v>123</v>
      </c>
      <c r="P1438" s="38">
        <v>900.0</v>
      </c>
      <c r="Q1438" s="39"/>
      <c r="R1438" s="39"/>
      <c r="S1438" s="39"/>
      <c r="T1438" s="39"/>
      <c r="U1438" s="39"/>
    </row>
    <row r="1439">
      <c r="A1439" s="40">
        <f t="shared" si="1"/>
        <v>46006</v>
      </c>
      <c r="B1439" s="37" t="str">
        <f t="array" ref="B1439">iferror(xlookup($I1439, 'IMPORT VHC Report'!$E:$E, 'IMPORT VHC Report'!$A:$C), )</f>
        <v/>
      </c>
      <c r="C1439" s="37"/>
      <c r="D1439" s="37"/>
      <c r="E1439" s="38" t="s">
        <v>1812</v>
      </c>
      <c r="F1439" s="38" t="s">
        <v>1813</v>
      </c>
      <c r="G1439" s="38">
        <v>1.0808000160399E13</v>
      </c>
      <c r="H1439" s="38" t="s">
        <v>1814</v>
      </c>
      <c r="I1439" s="38" t="s">
        <v>1815</v>
      </c>
      <c r="J1439" s="38" t="s">
        <v>125</v>
      </c>
      <c r="K1439" s="38" t="s">
        <v>126</v>
      </c>
      <c r="L1439" s="41">
        <v>46006.125</v>
      </c>
      <c r="M1439" s="38" t="s">
        <v>123</v>
      </c>
      <c r="N1439" s="41">
        <v>46006.135416666664</v>
      </c>
      <c r="O1439" s="38" t="s">
        <v>123</v>
      </c>
      <c r="P1439" s="38">
        <v>900.0</v>
      </c>
      <c r="Q1439" s="39"/>
      <c r="R1439" s="39"/>
      <c r="S1439" s="38" t="s">
        <v>199</v>
      </c>
      <c r="T1439" s="39"/>
      <c r="U1439" s="39"/>
    </row>
    <row r="1440">
      <c r="A1440" s="40">
        <f t="shared" si="1"/>
        <v>46006</v>
      </c>
      <c r="B1440" s="37" t="str">
        <f t="array" ref="B1440">iferror(xlookup($I1440, 'IMPORT VHC Report'!$E:$E, 'IMPORT VHC Report'!$A:$C), )</f>
        <v/>
      </c>
      <c r="C1440" s="37"/>
      <c r="D1440" s="37"/>
      <c r="E1440" s="38" t="s">
        <v>1816</v>
      </c>
      <c r="F1440" s="38" t="s">
        <v>1813</v>
      </c>
      <c r="G1440" s="38">
        <v>1.0808000160399E13</v>
      </c>
      <c r="H1440" s="38" t="s">
        <v>1814</v>
      </c>
      <c r="I1440" s="38" t="s">
        <v>1815</v>
      </c>
      <c r="J1440" s="38" t="s">
        <v>196</v>
      </c>
      <c r="K1440" s="38" t="s">
        <v>63</v>
      </c>
      <c r="L1440" s="41">
        <v>46006.125</v>
      </c>
      <c r="M1440" s="38" t="s">
        <v>123</v>
      </c>
      <c r="N1440" s="41">
        <v>46006.5</v>
      </c>
      <c r="O1440" s="38" t="s">
        <v>123</v>
      </c>
      <c r="P1440" s="38">
        <v>32400.0</v>
      </c>
      <c r="Q1440" s="39"/>
      <c r="R1440" s="39"/>
      <c r="S1440" s="39"/>
      <c r="T1440" s="39"/>
      <c r="U1440" s="39"/>
    </row>
    <row r="1441">
      <c r="A1441" s="40">
        <f t="shared" si="1"/>
        <v>46006</v>
      </c>
      <c r="B1441" s="37" t="str">
        <f t="array" ref="B1441">iferror(xlookup($I1441, 'IMPORT VHC Report'!$E:$E, 'IMPORT VHC Report'!$A:$C), )</f>
        <v/>
      </c>
      <c r="C1441" s="37"/>
      <c r="D1441" s="37"/>
      <c r="E1441" s="38" t="s">
        <v>1817</v>
      </c>
      <c r="F1441" s="38" t="s">
        <v>1813</v>
      </c>
      <c r="G1441" s="38">
        <v>1.0808000160399E13</v>
      </c>
      <c r="H1441" s="38" t="s">
        <v>1814</v>
      </c>
      <c r="I1441" s="38" t="s">
        <v>1815</v>
      </c>
      <c r="J1441" s="38" t="s">
        <v>134</v>
      </c>
      <c r="K1441" s="38" t="s">
        <v>126</v>
      </c>
      <c r="L1441" s="41">
        <v>46006.260416666664</v>
      </c>
      <c r="M1441" s="38" t="s">
        <v>123</v>
      </c>
      <c r="N1441" s="41">
        <v>46006.28125</v>
      </c>
      <c r="O1441" s="38" t="s">
        <v>123</v>
      </c>
      <c r="P1441" s="38">
        <v>1800.0</v>
      </c>
      <c r="Q1441" s="39"/>
      <c r="R1441" s="39"/>
      <c r="S1441" s="39"/>
      <c r="T1441" s="39"/>
      <c r="U1441" s="39"/>
    </row>
    <row r="1442">
      <c r="A1442" s="40">
        <f t="shared" si="1"/>
        <v>46006</v>
      </c>
      <c r="B1442" s="37" t="str">
        <f t="array" ref="B1442">iferror(xlookup($I1442, 'IMPORT VHC Report'!$E:$E, 'IMPORT VHC Report'!$A:$C), )</f>
        <v/>
      </c>
      <c r="C1442" s="37"/>
      <c r="D1442" s="37"/>
      <c r="E1442" s="38" t="s">
        <v>1818</v>
      </c>
      <c r="F1442" s="38" t="s">
        <v>1813</v>
      </c>
      <c r="G1442" s="38">
        <v>1.0808000160399E13</v>
      </c>
      <c r="H1442" s="38" t="s">
        <v>1814</v>
      </c>
      <c r="I1442" s="38" t="s">
        <v>1815</v>
      </c>
      <c r="J1442" s="38" t="s">
        <v>132</v>
      </c>
      <c r="K1442" s="38" t="s">
        <v>126</v>
      </c>
      <c r="L1442" s="41">
        <v>46006.385416666664</v>
      </c>
      <c r="M1442" s="38" t="s">
        <v>123</v>
      </c>
      <c r="N1442" s="41">
        <v>46006.427083333336</v>
      </c>
      <c r="O1442" s="38" t="s">
        <v>123</v>
      </c>
      <c r="P1442" s="38">
        <v>3600.0</v>
      </c>
      <c r="Q1442" s="39"/>
      <c r="R1442" s="39"/>
      <c r="S1442" s="39"/>
      <c r="T1442" s="39"/>
      <c r="U1442" s="39"/>
    </row>
    <row r="1443">
      <c r="A1443" s="40">
        <f t="shared" si="1"/>
        <v>46006</v>
      </c>
      <c r="B1443" s="37" t="str">
        <f t="array" ref="B1443">iferror(xlookup($I1443, 'IMPORT VHC Report'!$E:$E, 'IMPORT VHC Report'!$A:$C), )</f>
        <v/>
      </c>
      <c r="C1443" s="37"/>
      <c r="D1443" s="37"/>
      <c r="E1443" s="38" t="s">
        <v>1819</v>
      </c>
      <c r="F1443" s="38" t="s">
        <v>1813</v>
      </c>
      <c r="G1443" s="38">
        <v>1.0808000160399E13</v>
      </c>
      <c r="H1443" s="38" t="s">
        <v>1814</v>
      </c>
      <c r="I1443" s="38" t="s">
        <v>1815</v>
      </c>
      <c r="J1443" s="38" t="s">
        <v>125</v>
      </c>
      <c r="K1443" s="38" t="s">
        <v>126</v>
      </c>
      <c r="L1443" s="41">
        <v>46007.125</v>
      </c>
      <c r="M1443" s="38" t="s">
        <v>123</v>
      </c>
      <c r="N1443" s="41">
        <v>46007.135416666664</v>
      </c>
      <c r="O1443" s="38" t="s">
        <v>123</v>
      </c>
      <c r="P1443" s="38">
        <v>900.0</v>
      </c>
      <c r="Q1443" s="39"/>
      <c r="R1443" s="39"/>
      <c r="S1443" s="38" t="s">
        <v>199</v>
      </c>
      <c r="T1443" s="39"/>
      <c r="U1443" s="39"/>
    </row>
    <row r="1444">
      <c r="A1444" s="40">
        <f t="shared" si="1"/>
        <v>46006</v>
      </c>
      <c r="B1444" s="37" t="str">
        <f t="array" ref="B1444">iferror(xlookup($I1444, 'IMPORT VHC Report'!$E:$E, 'IMPORT VHC Report'!$A:$C), )</f>
        <v/>
      </c>
      <c r="C1444" s="37"/>
      <c r="D1444" s="37"/>
      <c r="E1444" s="38" t="s">
        <v>1820</v>
      </c>
      <c r="F1444" s="38" t="s">
        <v>1813</v>
      </c>
      <c r="G1444" s="38">
        <v>1.0808000160399E13</v>
      </c>
      <c r="H1444" s="38" t="s">
        <v>1814</v>
      </c>
      <c r="I1444" s="38" t="s">
        <v>1815</v>
      </c>
      <c r="J1444" s="38" t="s">
        <v>196</v>
      </c>
      <c r="K1444" s="38" t="s">
        <v>63</v>
      </c>
      <c r="L1444" s="41">
        <v>46007.125</v>
      </c>
      <c r="M1444" s="38" t="s">
        <v>123</v>
      </c>
      <c r="N1444" s="41">
        <v>46007.5</v>
      </c>
      <c r="O1444" s="38" t="s">
        <v>123</v>
      </c>
      <c r="P1444" s="38">
        <v>32400.0</v>
      </c>
      <c r="Q1444" s="39"/>
      <c r="R1444" s="39"/>
      <c r="S1444" s="39"/>
      <c r="T1444" s="39"/>
      <c r="U1444" s="39"/>
    </row>
    <row r="1445">
      <c r="A1445" s="40">
        <f t="shared" si="1"/>
        <v>46006</v>
      </c>
      <c r="B1445" s="37" t="str">
        <f t="array" ref="B1445">iferror(xlookup($I1445, 'IMPORT VHC Report'!$E:$E, 'IMPORT VHC Report'!$A:$C), )</f>
        <v/>
      </c>
      <c r="C1445" s="37"/>
      <c r="D1445" s="37"/>
      <c r="E1445" s="38" t="s">
        <v>1821</v>
      </c>
      <c r="F1445" s="38" t="s">
        <v>1813</v>
      </c>
      <c r="G1445" s="38">
        <v>1.0808000160399E13</v>
      </c>
      <c r="H1445" s="38" t="s">
        <v>1814</v>
      </c>
      <c r="I1445" s="38" t="s">
        <v>1815</v>
      </c>
      <c r="J1445" s="38" t="s">
        <v>132</v>
      </c>
      <c r="K1445" s="38" t="s">
        <v>126</v>
      </c>
      <c r="L1445" s="41">
        <v>46007.260416666664</v>
      </c>
      <c r="M1445" s="38" t="s">
        <v>123</v>
      </c>
      <c r="N1445" s="41">
        <v>46007.302083333336</v>
      </c>
      <c r="O1445" s="38" t="s">
        <v>123</v>
      </c>
      <c r="P1445" s="38">
        <v>3600.0</v>
      </c>
      <c r="Q1445" s="39"/>
      <c r="R1445" s="39"/>
      <c r="S1445" s="39"/>
      <c r="T1445" s="39"/>
      <c r="U1445" s="39"/>
    </row>
    <row r="1446">
      <c r="A1446" s="40">
        <f t="shared" si="1"/>
        <v>46006</v>
      </c>
      <c r="B1446" s="37" t="str">
        <f t="array" ref="B1446">iferror(xlookup($I1446, 'IMPORT VHC Report'!$E:$E, 'IMPORT VHC Report'!$A:$C), )</f>
        <v/>
      </c>
      <c r="C1446" s="37"/>
      <c r="D1446" s="37"/>
      <c r="E1446" s="38" t="s">
        <v>1822</v>
      </c>
      <c r="F1446" s="38" t="s">
        <v>1813</v>
      </c>
      <c r="G1446" s="38">
        <v>1.0808000160399E13</v>
      </c>
      <c r="H1446" s="38" t="s">
        <v>1814</v>
      </c>
      <c r="I1446" s="38" t="s">
        <v>1815</v>
      </c>
      <c r="J1446" s="38" t="s">
        <v>134</v>
      </c>
      <c r="K1446" s="38" t="s">
        <v>126</v>
      </c>
      <c r="L1446" s="41">
        <v>46007.395833333336</v>
      </c>
      <c r="M1446" s="38" t="s">
        <v>123</v>
      </c>
      <c r="N1446" s="41">
        <v>46007.416666666664</v>
      </c>
      <c r="O1446" s="38" t="s">
        <v>123</v>
      </c>
      <c r="P1446" s="38">
        <v>1800.0</v>
      </c>
      <c r="Q1446" s="39"/>
      <c r="R1446" s="39"/>
      <c r="S1446" s="39"/>
      <c r="T1446" s="39"/>
      <c r="U1446" s="39"/>
    </row>
    <row r="1447">
      <c r="A1447" s="40">
        <f t="shared" si="1"/>
        <v>46006</v>
      </c>
      <c r="B1447" s="37" t="str">
        <f t="array" ref="B1447">iferror(xlookup($I1447, 'IMPORT VHC Report'!$E:$E, 'IMPORT VHC Report'!$A:$C), )</f>
        <v/>
      </c>
      <c r="C1447" s="37"/>
      <c r="D1447" s="37"/>
      <c r="E1447" s="38" t="s">
        <v>1823</v>
      </c>
      <c r="F1447" s="38" t="s">
        <v>1813</v>
      </c>
      <c r="G1447" s="38">
        <v>1.0808000160399E13</v>
      </c>
      <c r="H1447" s="38" t="s">
        <v>1814</v>
      </c>
      <c r="I1447" s="38" t="s">
        <v>1815</v>
      </c>
      <c r="J1447" s="38" t="s">
        <v>4</v>
      </c>
      <c r="K1447" s="38" t="s">
        <v>126</v>
      </c>
      <c r="L1447" s="41">
        <v>46007.416666666664</v>
      </c>
      <c r="M1447" s="38" t="s">
        <v>123</v>
      </c>
      <c r="N1447" s="41">
        <v>46007.458333333336</v>
      </c>
      <c r="O1447" s="38" t="s">
        <v>123</v>
      </c>
      <c r="P1447" s="38">
        <v>3600.0</v>
      </c>
      <c r="Q1447" s="39"/>
      <c r="R1447" s="39"/>
      <c r="S1447" s="38" t="s">
        <v>858</v>
      </c>
      <c r="T1447" s="39"/>
      <c r="U1447" s="39"/>
    </row>
    <row r="1448">
      <c r="A1448" s="40">
        <f t="shared" si="1"/>
        <v>46006</v>
      </c>
      <c r="B1448" s="37" t="str">
        <f t="array" ref="B1448">iferror(xlookup($I1448, 'IMPORT VHC Report'!$E:$E, 'IMPORT VHC Report'!$A:$C), )</f>
        <v/>
      </c>
      <c r="C1448" s="37"/>
      <c r="D1448" s="37"/>
      <c r="E1448" s="38" t="s">
        <v>1824</v>
      </c>
      <c r="F1448" s="38" t="s">
        <v>1813</v>
      </c>
      <c r="G1448" s="38">
        <v>1.0808000160399E13</v>
      </c>
      <c r="H1448" s="38" t="s">
        <v>1814</v>
      </c>
      <c r="I1448" s="38" t="s">
        <v>1815</v>
      </c>
      <c r="J1448" s="38" t="s">
        <v>125</v>
      </c>
      <c r="K1448" s="38" t="s">
        <v>126</v>
      </c>
      <c r="L1448" s="41">
        <v>46008.125</v>
      </c>
      <c r="M1448" s="38" t="s">
        <v>123</v>
      </c>
      <c r="N1448" s="41">
        <v>46008.135416666664</v>
      </c>
      <c r="O1448" s="38" t="s">
        <v>123</v>
      </c>
      <c r="P1448" s="38">
        <v>900.0</v>
      </c>
      <c r="Q1448" s="39"/>
      <c r="R1448" s="39"/>
      <c r="S1448" s="38" t="s">
        <v>199</v>
      </c>
      <c r="T1448" s="39"/>
      <c r="U1448" s="39"/>
    </row>
    <row r="1449">
      <c r="A1449" s="40">
        <f t="shared" si="1"/>
        <v>46006</v>
      </c>
      <c r="B1449" s="37" t="str">
        <f t="array" ref="B1449">iferror(xlookup($I1449, 'IMPORT VHC Report'!$E:$E, 'IMPORT VHC Report'!$A:$C), )</f>
        <v/>
      </c>
      <c r="C1449" s="37"/>
      <c r="D1449" s="37"/>
      <c r="E1449" s="38" t="s">
        <v>1825</v>
      </c>
      <c r="F1449" s="38" t="s">
        <v>1813</v>
      </c>
      <c r="G1449" s="38">
        <v>1.0808000160399E13</v>
      </c>
      <c r="H1449" s="38" t="s">
        <v>1814</v>
      </c>
      <c r="I1449" s="38" t="s">
        <v>1815</v>
      </c>
      <c r="J1449" s="38" t="s">
        <v>196</v>
      </c>
      <c r="K1449" s="38" t="s">
        <v>63</v>
      </c>
      <c r="L1449" s="41">
        <v>46008.125</v>
      </c>
      <c r="M1449" s="38" t="s">
        <v>123</v>
      </c>
      <c r="N1449" s="41">
        <v>46008.5</v>
      </c>
      <c r="O1449" s="38" t="s">
        <v>123</v>
      </c>
      <c r="P1449" s="38">
        <v>32400.0</v>
      </c>
      <c r="Q1449" s="39"/>
      <c r="R1449" s="39"/>
      <c r="S1449" s="39"/>
      <c r="T1449" s="39"/>
      <c r="U1449" s="39"/>
    </row>
    <row r="1450">
      <c r="A1450" s="40">
        <f t="shared" si="1"/>
        <v>46006</v>
      </c>
      <c r="B1450" s="37" t="str">
        <f t="array" ref="B1450">iferror(xlookup($I1450, 'IMPORT VHC Report'!$E:$E, 'IMPORT VHC Report'!$A:$C), )</f>
        <v/>
      </c>
      <c r="C1450" s="37"/>
      <c r="D1450" s="37"/>
      <c r="E1450" s="38" t="s">
        <v>1826</v>
      </c>
      <c r="F1450" s="38" t="s">
        <v>1813</v>
      </c>
      <c r="G1450" s="38">
        <v>1.0808000160399E13</v>
      </c>
      <c r="H1450" s="38" t="s">
        <v>1814</v>
      </c>
      <c r="I1450" s="38" t="s">
        <v>1815</v>
      </c>
      <c r="J1450" s="38" t="s">
        <v>132</v>
      </c>
      <c r="K1450" s="38" t="s">
        <v>126</v>
      </c>
      <c r="L1450" s="41">
        <v>46008.25</v>
      </c>
      <c r="M1450" s="38" t="s">
        <v>123</v>
      </c>
      <c r="N1450" s="41">
        <v>46008.291666666664</v>
      </c>
      <c r="O1450" s="38" t="s">
        <v>123</v>
      </c>
      <c r="P1450" s="38">
        <v>3600.0</v>
      </c>
      <c r="Q1450" s="39"/>
      <c r="R1450" s="39"/>
      <c r="S1450" s="39"/>
      <c r="T1450" s="39"/>
      <c r="U1450" s="39"/>
    </row>
    <row r="1451">
      <c r="A1451" s="40">
        <f t="shared" si="1"/>
        <v>46006</v>
      </c>
      <c r="B1451" s="37" t="str">
        <f t="array" ref="B1451">iferror(xlookup($I1451, 'IMPORT VHC Report'!$E:$E, 'IMPORT VHC Report'!$A:$C), )</f>
        <v/>
      </c>
      <c r="C1451" s="37"/>
      <c r="D1451" s="37"/>
      <c r="E1451" s="38" t="s">
        <v>1827</v>
      </c>
      <c r="F1451" s="38" t="s">
        <v>1813</v>
      </c>
      <c r="G1451" s="38">
        <v>1.0808000160399E13</v>
      </c>
      <c r="H1451" s="38" t="s">
        <v>1814</v>
      </c>
      <c r="I1451" s="38" t="s">
        <v>1815</v>
      </c>
      <c r="J1451" s="38" t="s">
        <v>134</v>
      </c>
      <c r="K1451" s="38" t="s">
        <v>126</v>
      </c>
      <c r="L1451" s="41">
        <v>46008.395833333336</v>
      </c>
      <c r="M1451" s="38" t="s">
        <v>123</v>
      </c>
      <c r="N1451" s="41">
        <v>46008.416666666664</v>
      </c>
      <c r="O1451" s="38" t="s">
        <v>123</v>
      </c>
      <c r="P1451" s="38">
        <v>1800.0</v>
      </c>
      <c r="Q1451" s="39"/>
      <c r="R1451" s="39"/>
      <c r="S1451" s="39"/>
      <c r="T1451" s="39"/>
      <c r="U1451" s="39"/>
    </row>
    <row r="1452">
      <c r="A1452" s="40">
        <f t="shared" si="1"/>
        <v>46006</v>
      </c>
      <c r="B1452" s="37" t="str">
        <f t="array" ref="B1452">iferror(xlookup($I1452, 'IMPORT VHC Report'!$E:$E, 'IMPORT VHC Report'!$A:$C), )</f>
        <v/>
      </c>
      <c r="C1452" s="37"/>
      <c r="D1452" s="37"/>
      <c r="E1452" s="38" t="s">
        <v>1828</v>
      </c>
      <c r="F1452" s="38" t="s">
        <v>1813</v>
      </c>
      <c r="G1452" s="38">
        <v>1.0808000160399E13</v>
      </c>
      <c r="H1452" s="38" t="s">
        <v>1814</v>
      </c>
      <c r="I1452" s="38" t="s">
        <v>1815</v>
      </c>
      <c r="J1452" s="38" t="s">
        <v>125</v>
      </c>
      <c r="K1452" s="38" t="s">
        <v>126</v>
      </c>
      <c r="L1452" s="41">
        <v>46009.125</v>
      </c>
      <c r="M1452" s="38" t="s">
        <v>123</v>
      </c>
      <c r="N1452" s="41">
        <v>46009.135416666664</v>
      </c>
      <c r="O1452" s="38" t="s">
        <v>123</v>
      </c>
      <c r="P1452" s="38">
        <v>900.0</v>
      </c>
      <c r="Q1452" s="39"/>
      <c r="R1452" s="39"/>
      <c r="S1452" s="38" t="s">
        <v>199</v>
      </c>
      <c r="T1452" s="39"/>
      <c r="U1452" s="39"/>
    </row>
    <row r="1453">
      <c r="A1453" s="40">
        <f t="shared" si="1"/>
        <v>46006</v>
      </c>
      <c r="B1453" s="37" t="str">
        <f t="array" ref="B1453">iferror(xlookup($I1453, 'IMPORT VHC Report'!$E:$E, 'IMPORT VHC Report'!$A:$C), )</f>
        <v/>
      </c>
      <c r="C1453" s="37"/>
      <c r="D1453" s="37"/>
      <c r="E1453" s="38" t="s">
        <v>1829</v>
      </c>
      <c r="F1453" s="38" t="s">
        <v>1813</v>
      </c>
      <c r="G1453" s="38">
        <v>1.0808000160399E13</v>
      </c>
      <c r="H1453" s="38" t="s">
        <v>1814</v>
      </c>
      <c r="I1453" s="38" t="s">
        <v>1815</v>
      </c>
      <c r="J1453" s="38" t="s">
        <v>196</v>
      </c>
      <c r="K1453" s="38" t="s">
        <v>63</v>
      </c>
      <c r="L1453" s="41">
        <v>46009.125</v>
      </c>
      <c r="M1453" s="38" t="s">
        <v>123</v>
      </c>
      <c r="N1453" s="41">
        <v>46009.5</v>
      </c>
      <c r="O1453" s="38" t="s">
        <v>123</v>
      </c>
      <c r="P1453" s="38">
        <v>32400.0</v>
      </c>
      <c r="Q1453" s="39"/>
      <c r="R1453" s="39"/>
      <c r="S1453" s="39"/>
      <c r="T1453" s="39"/>
      <c r="U1453" s="39"/>
    </row>
    <row r="1454">
      <c r="A1454" s="40">
        <f t="shared" si="1"/>
        <v>46006</v>
      </c>
      <c r="B1454" s="37" t="str">
        <f t="array" ref="B1454">iferror(xlookup($I1454, 'IMPORT VHC Report'!$E:$E, 'IMPORT VHC Report'!$A:$C), )</f>
        <v/>
      </c>
      <c r="C1454" s="37"/>
      <c r="D1454" s="37"/>
      <c r="E1454" s="38" t="s">
        <v>1830</v>
      </c>
      <c r="F1454" s="38" t="s">
        <v>1813</v>
      </c>
      <c r="G1454" s="38">
        <v>1.0808000160399E13</v>
      </c>
      <c r="H1454" s="38" t="s">
        <v>1814</v>
      </c>
      <c r="I1454" s="38" t="s">
        <v>1815</v>
      </c>
      <c r="J1454" s="38" t="s">
        <v>132</v>
      </c>
      <c r="K1454" s="38" t="s">
        <v>126</v>
      </c>
      <c r="L1454" s="41">
        <v>46009.197916666664</v>
      </c>
      <c r="M1454" s="38" t="s">
        <v>123</v>
      </c>
      <c r="N1454" s="41">
        <v>46009.239583333336</v>
      </c>
      <c r="O1454" s="38" t="s">
        <v>123</v>
      </c>
      <c r="P1454" s="38">
        <v>3600.0</v>
      </c>
      <c r="Q1454" s="39"/>
      <c r="R1454" s="39"/>
      <c r="S1454" s="39"/>
      <c r="T1454" s="39"/>
      <c r="U1454" s="39"/>
    </row>
    <row r="1455">
      <c r="A1455" s="40">
        <f t="shared" si="1"/>
        <v>46006</v>
      </c>
      <c r="B1455" s="37" t="str">
        <f t="array" ref="B1455">iferror(xlookup($I1455, 'IMPORT VHC Report'!$E:$E, 'IMPORT VHC Report'!$A:$C), )</f>
        <v/>
      </c>
      <c r="C1455" s="37"/>
      <c r="D1455" s="37"/>
      <c r="E1455" s="38" t="s">
        <v>1831</v>
      </c>
      <c r="F1455" s="38" t="s">
        <v>1813</v>
      </c>
      <c r="G1455" s="38">
        <v>1.0808000160399E13</v>
      </c>
      <c r="H1455" s="38" t="s">
        <v>1814</v>
      </c>
      <c r="I1455" s="38" t="s">
        <v>1815</v>
      </c>
      <c r="J1455" s="38" t="s">
        <v>134</v>
      </c>
      <c r="K1455" s="38" t="s">
        <v>126</v>
      </c>
      <c r="L1455" s="41">
        <v>46009.385416666664</v>
      </c>
      <c r="M1455" s="38" t="s">
        <v>123</v>
      </c>
      <c r="N1455" s="41">
        <v>46009.40625</v>
      </c>
      <c r="O1455" s="38" t="s">
        <v>123</v>
      </c>
      <c r="P1455" s="38">
        <v>1800.0</v>
      </c>
      <c r="Q1455" s="39"/>
      <c r="R1455" s="39"/>
      <c r="S1455" s="39"/>
      <c r="T1455" s="39"/>
      <c r="U1455" s="39"/>
    </row>
    <row r="1456">
      <c r="A1456" s="40">
        <f t="shared" si="1"/>
        <v>46006</v>
      </c>
      <c r="B1456" s="37" t="str">
        <f t="array" ref="B1456">iferror(xlookup($I1456, 'IMPORT VHC Report'!$E:$E, 'IMPORT VHC Report'!$A:$C), )</f>
        <v/>
      </c>
      <c r="C1456" s="37"/>
      <c r="D1456" s="37"/>
      <c r="E1456" s="38" t="s">
        <v>1832</v>
      </c>
      <c r="F1456" s="38" t="s">
        <v>1813</v>
      </c>
      <c r="G1456" s="38">
        <v>1.0808000160399E13</v>
      </c>
      <c r="H1456" s="38" t="s">
        <v>1814</v>
      </c>
      <c r="I1456" s="38" t="s">
        <v>1815</v>
      </c>
      <c r="J1456" s="38" t="s">
        <v>125</v>
      </c>
      <c r="K1456" s="38" t="s">
        <v>126</v>
      </c>
      <c r="L1456" s="41">
        <v>46012.125</v>
      </c>
      <c r="M1456" s="38" t="s">
        <v>123</v>
      </c>
      <c r="N1456" s="41">
        <v>46012.135416666664</v>
      </c>
      <c r="O1456" s="38" t="s">
        <v>123</v>
      </c>
      <c r="P1456" s="38">
        <v>900.0</v>
      </c>
      <c r="Q1456" s="39"/>
      <c r="R1456" s="39"/>
      <c r="S1456" s="38" t="s">
        <v>199</v>
      </c>
      <c r="T1456" s="39"/>
      <c r="U1456" s="39"/>
    </row>
    <row r="1457">
      <c r="A1457" s="40">
        <f t="shared" si="1"/>
        <v>46006</v>
      </c>
      <c r="B1457" s="37" t="str">
        <f t="array" ref="B1457">iferror(xlookup($I1457, 'IMPORT VHC Report'!$E:$E, 'IMPORT VHC Report'!$A:$C), )</f>
        <v/>
      </c>
      <c r="C1457" s="37"/>
      <c r="D1457" s="37"/>
      <c r="E1457" s="38" t="s">
        <v>1833</v>
      </c>
      <c r="F1457" s="38" t="s">
        <v>1813</v>
      </c>
      <c r="G1457" s="38">
        <v>1.0808000160399E13</v>
      </c>
      <c r="H1457" s="38" t="s">
        <v>1814</v>
      </c>
      <c r="I1457" s="38" t="s">
        <v>1815</v>
      </c>
      <c r="J1457" s="38" t="s">
        <v>196</v>
      </c>
      <c r="K1457" s="38" t="s">
        <v>63</v>
      </c>
      <c r="L1457" s="41">
        <v>46012.125</v>
      </c>
      <c r="M1457" s="38" t="s">
        <v>123</v>
      </c>
      <c r="N1457" s="41">
        <v>46012.5</v>
      </c>
      <c r="O1457" s="38" t="s">
        <v>123</v>
      </c>
      <c r="P1457" s="38">
        <v>32400.0</v>
      </c>
      <c r="Q1457" s="39"/>
      <c r="R1457" s="39"/>
      <c r="S1457" s="39"/>
      <c r="T1457" s="39"/>
      <c r="U1457" s="39"/>
    </row>
    <row r="1458">
      <c r="A1458" s="40">
        <f t="shared" si="1"/>
        <v>46006</v>
      </c>
      <c r="B1458" s="37" t="str">
        <f t="array" ref="B1458">iferror(xlookup($I1458, 'IMPORT VHC Report'!$E:$E, 'IMPORT VHC Report'!$A:$C), )</f>
        <v/>
      </c>
      <c r="C1458" s="37"/>
      <c r="D1458" s="37"/>
      <c r="E1458" s="38" t="s">
        <v>1834</v>
      </c>
      <c r="F1458" s="38" t="s">
        <v>1813</v>
      </c>
      <c r="G1458" s="38">
        <v>1.0808000160399E13</v>
      </c>
      <c r="H1458" s="38" t="s">
        <v>1814</v>
      </c>
      <c r="I1458" s="38" t="s">
        <v>1815</v>
      </c>
      <c r="J1458" s="38" t="s">
        <v>134</v>
      </c>
      <c r="K1458" s="38" t="s">
        <v>126</v>
      </c>
      <c r="L1458" s="41">
        <v>46012.229166666664</v>
      </c>
      <c r="M1458" s="38" t="s">
        <v>123</v>
      </c>
      <c r="N1458" s="41">
        <v>46012.25</v>
      </c>
      <c r="O1458" s="38" t="s">
        <v>123</v>
      </c>
      <c r="P1458" s="38">
        <v>1800.0</v>
      </c>
      <c r="Q1458" s="39"/>
      <c r="R1458" s="39"/>
      <c r="S1458" s="39"/>
      <c r="T1458" s="39"/>
      <c r="U1458" s="39"/>
    </row>
    <row r="1459">
      <c r="A1459" s="40">
        <f t="shared" si="1"/>
        <v>46006</v>
      </c>
      <c r="B1459" s="37" t="str">
        <f t="array" ref="B1459">iferror(xlookup($I1459, 'IMPORT VHC Report'!$E:$E, 'IMPORT VHC Report'!$A:$C), )</f>
        <v/>
      </c>
      <c r="C1459" s="37"/>
      <c r="D1459" s="37"/>
      <c r="E1459" s="38" t="s">
        <v>1835</v>
      </c>
      <c r="F1459" s="38" t="s">
        <v>1813</v>
      </c>
      <c r="G1459" s="38">
        <v>1.0808000160399E13</v>
      </c>
      <c r="H1459" s="38" t="s">
        <v>1814</v>
      </c>
      <c r="I1459" s="38" t="s">
        <v>1815</v>
      </c>
      <c r="J1459" s="38" t="s">
        <v>132</v>
      </c>
      <c r="K1459" s="38" t="s">
        <v>126</v>
      </c>
      <c r="L1459" s="41">
        <v>46012.354166666664</v>
      </c>
      <c r="M1459" s="38" t="s">
        <v>123</v>
      </c>
      <c r="N1459" s="41">
        <v>46012.395833333336</v>
      </c>
      <c r="O1459" s="38" t="s">
        <v>123</v>
      </c>
      <c r="P1459" s="38">
        <v>3600.0</v>
      </c>
      <c r="Q1459" s="39"/>
      <c r="R1459" s="39"/>
      <c r="S1459" s="39"/>
      <c r="T1459" s="39"/>
      <c r="U1459" s="39"/>
    </row>
    <row r="1460">
      <c r="A1460" s="40">
        <f t="shared" si="1"/>
        <v>46006</v>
      </c>
      <c r="B1460" s="37" t="str">
        <f t="array" ref="B1460">iferror(xlookup($I1460, 'IMPORT VHC Report'!$E:$E, 'IMPORT VHC Report'!$A:$C), )</f>
        <v/>
      </c>
      <c r="C1460" s="37"/>
      <c r="D1460" s="37"/>
      <c r="E1460" s="38" t="s">
        <v>1836</v>
      </c>
      <c r="F1460" s="38" t="s">
        <v>1837</v>
      </c>
      <c r="G1460" s="38">
        <v>4.502516921487E12</v>
      </c>
      <c r="H1460" s="38" t="s">
        <v>1838</v>
      </c>
      <c r="I1460" s="38" t="s">
        <v>1839</v>
      </c>
      <c r="J1460" s="38" t="s">
        <v>224</v>
      </c>
      <c r="K1460" s="38" t="s">
        <v>63</v>
      </c>
      <c r="L1460" s="41">
        <v>46006.166666666664</v>
      </c>
      <c r="M1460" s="38" t="s">
        <v>123</v>
      </c>
      <c r="N1460" s="41">
        <v>46006.239583333336</v>
      </c>
      <c r="O1460" s="38" t="s">
        <v>123</v>
      </c>
      <c r="P1460" s="38">
        <v>6300.0</v>
      </c>
      <c r="Q1460" s="39"/>
      <c r="R1460" s="39"/>
      <c r="S1460" s="39"/>
      <c r="T1460" s="39"/>
      <c r="U1460" s="39"/>
    </row>
    <row r="1461">
      <c r="A1461" s="40">
        <f t="shared" si="1"/>
        <v>46006</v>
      </c>
      <c r="B1461" s="37" t="str">
        <f t="array" ref="B1461">iferror(xlookup($I1461, 'IMPORT VHC Report'!$E:$E, 'IMPORT VHC Report'!$A:$C), )</f>
        <v/>
      </c>
      <c r="C1461" s="37"/>
      <c r="D1461" s="37"/>
      <c r="E1461" s="38" t="s">
        <v>1840</v>
      </c>
      <c r="F1461" s="38" t="s">
        <v>1837</v>
      </c>
      <c r="G1461" s="38">
        <v>4.502516921487E12</v>
      </c>
      <c r="H1461" s="38" t="s">
        <v>1838</v>
      </c>
      <c r="I1461" s="38" t="s">
        <v>1839</v>
      </c>
      <c r="J1461" s="38" t="s">
        <v>134</v>
      </c>
      <c r="K1461" s="38" t="s">
        <v>126</v>
      </c>
      <c r="L1461" s="41">
        <v>46006.239583333336</v>
      </c>
      <c r="M1461" s="38" t="s">
        <v>123</v>
      </c>
      <c r="N1461" s="41">
        <v>46006.260416666664</v>
      </c>
      <c r="O1461" s="38" t="s">
        <v>123</v>
      </c>
      <c r="P1461" s="38">
        <v>1800.0</v>
      </c>
      <c r="Q1461" s="39"/>
      <c r="R1461" s="39"/>
      <c r="S1461" s="39"/>
      <c r="T1461" s="39"/>
      <c r="U1461" s="39"/>
    </row>
    <row r="1462">
      <c r="A1462" s="40">
        <f t="shared" si="1"/>
        <v>46006</v>
      </c>
      <c r="B1462" s="37" t="str">
        <f t="array" ref="B1462">iferror(xlookup($I1462, 'IMPORT VHC Report'!$E:$E, 'IMPORT VHC Report'!$A:$C), )</f>
        <v/>
      </c>
      <c r="C1462" s="37"/>
      <c r="D1462" s="37"/>
      <c r="E1462" s="38" t="s">
        <v>1841</v>
      </c>
      <c r="F1462" s="38" t="s">
        <v>1837</v>
      </c>
      <c r="G1462" s="38">
        <v>4.502516921487E12</v>
      </c>
      <c r="H1462" s="38" t="s">
        <v>1838</v>
      </c>
      <c r="I1462" s="38" t="s">
        <v>1839</v>
      </c>
      <c r="J1462" s="38" t="s">
        <v>224</v>
      </c>
      <c r="K1462" s="38" t="s">
        <v>63</v>
      </c>
      <c r="L1462" s="41">
        <v>46006.260416666664</v>
      </c>
      <c r="M1462" s="38" t="s">
        <v>123</v>
      </c>
      <c r="N1462" s="41">
        <v>46006.375</v>
      </c>
      <c r="O1462" s="38" t="s">
        <v>123</v>
      </c>
      <c r="P1462" s="38">
        <v>9900.0</v>
      </c>
      <c r="Q1462" s="39"/>
      <c r="R1462" s="39"/>
      <c r="S1462" s="39"/>
      <c r="T1462" s="39"/>
      <c r="U1462" s="39"/>
    </row>
    <row r="1463">
      <c r="A1463" s="40">
        <f t="shared" si="1"/>
        <v>46006</v>
      </c>
      <c r="B1463" s="37" t="str">
        <f t="array" ref="B1463">iferror(xlookup($I1463, 'IMPORT VHC Report'!$E:$E, 'IMPORT VHC Report'!$A:$C), )</f>
        <v/>
      </c>
      <c r="C1463" s="37"/>
      <c r="D1463" s="37"/>
      <c r="E1463" s="38" t="s">
        <v>1842</v>
      </c>
      <c r="F1463" s="38" t="s">
        <v>1837</v>
      </c>
      <c r="G1463" s="38">
        <v>4.502516921487E12</v>
      </c>
      <c r="H1463" s="38" t="s">
        <v>1838</v>
      </c>
      <c r="I1463" s="38" t="s">
        <v>1839</v>
      </c>
      <c r="J1463" s="38" t="s">
        <v>132</v>
      </c>
      <c r="K1463" s="38" t="s">
        <v>126</v>
      </c>
      <c r="L1463" s="41">
        <v>46006.375</v>
      </c>
      <c r="M1463" s="38" t="s">
        <v>123</v>
      </c>
      <c r="N1463" s="41">
        <v>46006.416666666664</v>
      </c>
      <c r="O1463" s="38" t="s">
        <v>123</v>
      </c>
      <c r="P1463" s="38">
        <v>3600.0</v>
      </c>
      <c r="Q1463" s="39"/>
      <c r="R1463" s="39"/>
      <c r="S1463" s="39"/>
      <c r="T1463" s="39"/>
      <c r="U1463" s="39"/>
    </row>
    <row r="1464">
      <c r="A1464" s="40">
        <f t="shared" si="1"/>
        <v>46006</v>
      </c>
      <c r="B1464" s="37" t="str">
        <f t="array" ref="B1464">iferror(xlookup($I1464, 'IMPORT VHC Report'!$E:$E, 'IMPORT VHC Report'!$A:$C), )</f>
        <v/>
      </c>
      <c r="C1464" s="37"/>
      <c r="D1464" s="37"/>
      <c r="E1464" s="38" t="s">
        <v>1843</v>
      </c>
      <c r="F1464" s="38" t="s">
        <v>1837</v>
      </c>
      <c r="G1464" s="38">
        <v>4.502516921487E12</v>
      </c>
      <c r="H1464" s="38" t="s">
        <v>1838</v>
      </c>
      <c r="I1464" s="38" t="s">
        <v>1839</v>
      </c>
      <c r="J1464" s="38" t="s">
        <v>224</v>
      </c>
      <c r="K1464" s="38" t="s">
        <v>63</v>
      </c>
      <c r="L1464" s="41">
        <v>46006.416666666664</v>
      </c>
      <c r="M1464" s="38" t="s">
        <v>123</v>
      </c>
      <c r="N1464" s="41">
        <v>46006.541666666664</v>
      </c>
      <c r="O1464" s="38" t="s">
        <v>123</v>
      </c>
      <c r="P1464" s="38">
        <v>10800.0</v>
      </c>
      <c r="Q1464" s="39"/>
      <c r="R1464" s="39"/>
      <c r="S1464" s="39"/>
      <c r="T1464" s="39"/>
      <c r="U1464" s="39"/>
    </row>
    <row r="1465">
      <c r="A1465" s="40">
        <f t="shared" si="1"/>
        <v>46006</v>
      </c>
      <c r="B1465" s="37" t="str">
        <f t="array" ref="B1465">iferror(xlookup($I1465, 'IMPORT VHC Report'!$E:$E, 'IMPORT VHC Report'!$A:$C), )</f>
        <v/>
      </c>
      <c r="C1465" s="37"/>
      <c r="D1465" s="37"/>
      <c r="E1465" s="38" t="s">
        <v>1844</v>
      </c>
      <c r="F1465" s="38" t="s">
        <v>1837</v>
      </c>
      <c r="G1465" s="38">
        <v>4.502516921487E12</v>
      </c>
      <c r="H1465" s="38" t="s">
        <v>1838</v>
      </c>
      <c r="I1465" s="38" t="s">
        <v>1839</v>
      </c>
      <c r="J1465" s="38" t="s">
        <v>152</v>
      </c>
      <c r="K1465" s="38" t="s">
        <v>153</v>
      </c>
      <c r="L1465" s="41">
        <v>46007.125</v>
      </c>
      <c r="M1465" s="38" t="s">
        <v>123</v>
      </c>
      <c r="N1465" s="41">
        <v>46007.5</v>
      </c>
      <c r="O1465" s="38" t="s">
        <v>123</v>
      </c>
      <c r="P1465" s="38">
        <v>32400.0</v>
      </c>
      <c r="Q1465" s="38">
        <v>32400.0</v>
      </c>
      <c r="R1465" s="39"/>
      <c r="S1465" s="39"/>
      <c r="T1465" s="39"/>
      <c r="U1465" s="39"/>
    </row>
    <row r="1466">
      <c r="A1466" s="40">
        <f t="shared" si="1"/>
        <v>46006</v>
      </c>
      <c r="B1466" s="37" t="str">
        <f t="array" ref="B1466">iferror(xlookup($I1466, 'IMPORT VHC Report'!$E:$E, 'IMPORT VHC Report'!$A:$C), )</f>
        <v/>
      </c>
      <c r="C1466" s="37"/>
      <c r="D1466" s="37"/>
      <c r="E1466" s="38" t="s">
        <v>1845</v>
      </c>
      <c r="F1466" s="38" t="s">
        <v>1837</v>
      </c>
      <c r="G1466" s="38">
        <v>4.502516921487E12</v>
      </c>
      <c r="H1466" s="38" t="s">
        <v>1838</v>
      </c>
      <c r="I1466" s="38" t="s">
        <v>1839</v>
      </c>
      <c r="J1466" s="38" t="s">
        <v>136</v>
      </c>
      <c r="K1466" s="38" t="s">
        <v>126</v>
      </c>
      <c r="L1466" s="41">
        <v>46007.166666666664</v>
      </c>
      <c r="M1466" s="38" t="s">
        <v>123</v>
      </c>
      <c r="N1466" s="41">
        <v>46007.177083333336</v>
      </c>
      <c r="O1466" s="38" t="s">
        <v>123</v>
      </c>
      <c r="P1466" s="38">
        <v>900.0</v>
      </c>
      <c r="Q1466" s="39"/>
      <c r="R1466" s="39"/>
      <c r="S1466" s="38" t="s">
        <v>1846</v>
      </c>
      <c r="T1466" s="39"/>
      <c r="U1466" s="39"/>
    </row>
    <row r="1467">
      <c r="A1467" s="40">
        <f t="shared" si="1"/>
        <v>46006</v>
      </c>
      <c r="B1467" s="37" t="str">
        <f t="array" ref="B1467">iferror(xlookup($I1467, 'IMPORT VHC Report'!$E:$E, 'IMPORT VHC Report'!$A:$C), )</f>
        <v/>
      </c>
      <c r="C1467" s="37"/>
      <c r="D1467" s="37"/>
      <c r="E1467" s="38" t="s">
        <v>1847</v>
      </c>
      <c r="F1467" s="38" t="s">
        <v>1837</v>
      </c>
      <c r="G1467" s="38">
        <v>4.502516921487E12</v>
      </c>
      <c r="H1467" s="38" t="s">
        <v>1838</v>
      </c>
      <c r="I1467" s="38" t="s">
        <v>1839</v>
      </c>
      <c r="J1467" s="38" t="s">
        <v>224</v>
      </c>
      <c r="K1467" s="38" t="s">
        <v>63</v>
      </c>
      <c r="L1467" s="41">
        <v>46007.177083333336</v>
      </c>
      <c r="M1467" s="38" t="s">
        <v>123</v>
      </c>
      <c r="N1467" s="41">
        <v>46007.25</v>
      </c>
      <c r="O1467" s="38" t="s">
        <v>123</v>
      </c>
      <c r="P1467" s="38">
        <v>6300.0</v>
      </c>
      <c r="Q1467" s="39"/>
      <c r="R1467" s="39"/>
      <c r="S1467" s="39"/>
      <c r="T1467" s="39"/>
      <c r="U1467" s="39"/>
    </row>
    <row r="1468">
      <c r="A1468" s="40">
        <f t="shared" si="1"/>
        <v>46006</v>
      </c>
      <c r="B1468" s="37" t="str">
        <f t="array" ref="B1468">iferror(xlookup($I1468, 'IMPORT VHC Report'!$E:$E, 'IMPORT VHC Report'!$A:$C), )</f>
        <v/>
      </c>
      <c r="C1468" s="37"/>
      <c r="D1468" s="37"/>
      <c r="E1468" s="38" t="s">
        <v>1848</v>
      </c>
      <c r="F1468" s="38" t="s">
        <v>1837</v>
      </c>
      <c r="G1468" s="38">
        <v>4.502516921487E12</v>
      </c>
      <c r="H1468" s="38" t="s">
        <v>1838</v>
      </c>
      <c r="I1468" s="38" t="s">
        <v>1839</v>
      </c>
      <c r="J1468" s="38" t="s">
        <v>132</v>
      </c>
      <c r="K1468" s="38" t="s">
        <v>126</v>
      </c>
      <c r="L1468" s="41">
        <v>46007.25</v>
      </c>
      <c r="M1468" s="38" t="s">
        <v>123</v>
      </c>
      <c r="N1468" s="41">
        <v>46007.291666666664</v>
      </c>
      <c r="O1468" s="38" t="s">
        <v>123</v>
      </c>
      <c r="P1468" s="38">
        <v>3600.0</v>
      </c>
      <c r="Q1468" s="39"/>
      <c r="R1468" s="39"/>
      <c r="S1468" s="39"/>
      <c r="T1468" s="39"/>
      <c r="U1468" s="39"/>
    </row>
    <row r="1469">
      <c r="A1469" s="40">
        <f t="shared" si="1"/>
        <v>46006</v>
      </c>
      <c r="B1469" s="37" t="str">
        <f t="array" ref="B1469">iferror(xlookup($I1469, 'IMPORT VHC Report'!$E:$E, 'IMPORT VHC Report'!$A:$C), )</f>
        <v/>
      </c>
      <c r="C1469" s="37"/>
      <c r="D1469" s="37"/>
      <c r="E1469" s="38" t="s">
        <v>1849</v>
      </c>
      <c r="F1469" s="38" t="s">
        <v>1837</v>
      </c>
      <c r="G1469" s="38">
        <v>4.502516921487E12</v>
      </c>
      <c r="H1469" s="38" t="s">
        <v>1838</v>
      </c>
      <c r="I1469" s="38" t="s">
        <v>1839</v>
      </c>
      <c r="J1469" s="38" t="s">
        <v>224</v>
      </c>
      <c r="K1469" s="38" t="s">
        <v>63</v>
      </c>
      <c r="L1469" s="41">
        <v>46007.291666666664</v>
      </c>
      <c r="M1469" s="38" t="s">
        <v>123</v>
      </c>
      <c r="N1469" s="41">
        <v>46007.395833333336</v>
      </c>
      <c r="O1469" s="38" t="s">
        <v>123</v>
      </c>
      <c r="P1469" s="38">
        <v>9000.0</v>
      </c>
      <c r="Q1469" s="39"/>
      <c r="R1469" s="39"/>
      <c r="S1469" s="39"/>
      <c r="T1469" s="39"/>
      <c r="U1469" s="39"/>
    </row>
    <row r="1470">
      <c r="A1470" s="40">
        <f t="shared" si="1"/>
        <v>46006</v>
      </c>
      <c r="B1470" s="37" t="str">
        <f t="array" ref="B1470">iferror(xlookup($I1470, 'IMPORT VHC Report'!$E:$E, 'IMPORT VHC Report'!$A:$C), )</f>
        <v/>
      </c>
      <c r="C1470" s="37"/>
      <c r="D1470" s="37"/>
      <c r="E1470" s="38" t="s">
        <v>1850</v>
      </c>
      <c r="F1470" s="38" t="s">
        <v>1837</v>
      </c>
      <c r="G1470" s="38">
        <v>4.502516921487E12</v>
      </c>
      <c r="H1470" s="38" t="s">
        <v>1838</v>
      </c>
      <c r="I1470" s="38" t="s">
        <v>1839</v>
      </c>
      <c r="J1470" s="38" t="s">
        <v>134</v>
      </c>
      <c r="K1470" s="38" t="s">
        <v>126</v>
      </c>
      <c r="L1470" s="41">
        <v>46007.395833333336</v>
      </c>
      <c r="M1470" s="38" t="s">
        <v>123</v>
      </c>
      <c r="N1470" s="41">
        <v>46007.416666666664</v>
      </c>
      <c r="O1470" s="38" t="s">
        <v>123</v>
      </c>
      <c r="P1470" s="38">
        <v>1800.0</v>
      </c>
      <c r="Q1470" s="39"/>
      <c r="R1470" s="39"/>
      <c r="S1470" s="39"/>
      <c r="T1470" s="39"/>
      <c r="U1470" s="39"/>
    </row>
    <row r="1471">
      <c r="A1471" s="40">
        <f t="shared" si="1"/>
        <v>46006</v>
      </c>
      <c r="B1471" s="37" t="str">
        <f t="array" ref="B1471">iferror(xlookup($I1471, 'IMPORT VHC Report'!$E:$E, 'IMPORT VHC Report'!$A:$C), )</f>
        <v/>
      </c>
      <c r="C1471" s="37"/>
      <c r="D1471" s="37"/>
      <c r="E1471" s="38" t="s">
        <v>1851</v>
      </c>
      <c r="F1471" s="38" t="s">
        <v>1837</v>
      </c>
      <c r="G1471" s="38">
        <v>4.502516921487E12</v>
      </c>
      <c r="H1471" s="38" t="s">
        <v>1838</v>
      </c>
      <c r="I1471" s="38" t="s">
        <v>1839</v>
      </c>
      <c r="J1471" s="38" t="s">
        <v>224</v>
      </c>
      <c r="K1471" s="38" t="s">
        <v>63</v>
      </c>
      <c r="L1471" s="41">
        <v>46007.416666666664</v>
      </c>
      <c r="M1471" s="38" t="s">
        <v>123</v>
      </c>
      <c r="N1471" s="41">
        <v>46007.5</v>
      </c>
      <c r="O1471" s="38" t="s">
        <v>123</v>
      </c>
      <c r="P1471" s="38">
        <v>7200.0</v>
      </c>
      <c r="Q1471" s="39"/>
      <c r="R1471" s="39"/>
      <c r="S1471" s="39"/>
      <c r="T1471" s="39"/>
      <c r="U1471" s="39"/>
    </row>
    <row r="1472">
      <c r="A1472" s="40">
        <f t="shared" si="1"/>
        <v>46006</v>
      </c>
      <c r="B1472" s="37" t="str">
        <f t="array" ref="B1472">iferror(xlookup($I1472, 'IMPORT VHC Report'!$E:$E, 'IMPORT VHC Report'!$A:$C), )</f>
        <v/>
      </c>
      <c r="C1472" s="37"/>
      <c r="D1472" s="37"/>
      <c r="E1472" s="38" t="s">
        <v>1852</v>
      </c>
      <c r="F1472" s="38" t="s">
        <v>1837</v>
      </c>
      <c r="G1472" s="38">
        <v>4.502516921487E12</v>
      </c>
      <c r="H1472" s="38" t="s">
        <v>1838</v>
      </c>
      <c r="I1472" s="38" t="s">
        <v>1839</v>
      </c>
      <c r="J1472" s="38" t="s">
        <v>224</v>
      </c>
      <c r="K1472" s="38" t="s">
        <v>63</v>
      </c>
      <c r="L1472" s="41">
        <v>46008.125</v>
      </c>
      <c r="M1472" s="38" t="s">
        <v>123</v>
      </c>
      <c r="N1472" s="41">
        <v>46008.166666666664</v>
      </c>
      <c r="O1472" s="38" t="s">
        <v>123</v>
      </c>
      <c r="P1472" s="38">
        <v>3600.0</v>
      </c>
      <c r="Q1472" s="39"/>
      <c r="R1472" s="39"/>
      <c r="S1472" s="39"/>
      <c r="T1472" s="39"/>
      <c r="U1472" s="39"/>
    </row>
    <row r="1473">
      <c r="A1473" s="40">
        <f t="shared" si="1"/>
        <v>46006</v>
      </c>
      <c r="B1473" s="37" t="str">
        <f t="array" ref="B1473">iferror(xlookup($I1473, 'IMPORT VHC Report'!$E:$E, 'IMPORT VHC Report'!$A:$C), )</f>
        <v/>
      </c>
      <c r="C1473" s="37"/>
      <c r="D1473" s="37"/>
      <c r="E1473" s="38" t="s">
        <v>1853</v>
      </c>
      <c r="F1473" s="38" t="s">
        <v>1837</v>
      </c>
      <c r="G1473" s="38">
        <v>4.502516921487E12</v>
      </c>
      <c r="H1473" s="38" t="s">
        <v>1838</v>
      </c>
      <c r="I1473" s="38" t="s">
        <v>1839</v>
      </c>
      <c r="J1473" s="38" t="s">
        <v>62</v>
      </c>
      <c r="K1473" s="38" t="s">
        <v>63</v>
      </c>
      <c r="L1473" s="41">
        <v>46008.166666666664</v>
      </c>
      <c r="M1473" s="38" t="s">
        <v>123</v>
      </c>
      <c r="N1473" s="41">
        <v>46008.1875</v>
      </c>
      <c r="O1473" s="38" t="s">
        <v>123</v>
      </c>
      <c r="P1473" s="38">
        <v>1800.0</v>
      </c>
      <c r="Q1473" s="39"/>
      <c r="R1473" s="39"/>
      <c r="S1473" s="39"/>
      <c r="T1473" s="39"/>
      <c r="U1473" s="39"/>
    </row>
    <row r="1474">
      <c r="A1474" s="40">
        <f t="shared" si="1"/>
        <v>46006</v>
      </c>
      <c r="B1474" s="37" t="str">
        <f t="array" ref="B1474">iferror(xlookup($I1474, 'IMPORT VHC Report'!$E:$E, 'IMPORT VHC Report'!$A:$C), )</f>
        <v/>
      </c>
      <c r="C1474" s="37"/>
      <c r="D1474" s="37"/>
      <c r="E1474" s="38" t="s">
        <v>1854</v>
      </c>
      <c r="F1474" s="38" t="s">
        <v>1837</v>
      </c>
      <c r="G1474" s="38">
        <v>4.502516921487E12</v>
      </c>
      <c r="H1474" s="38" t="s">
        <v>1838</v>
      </c>
      <c r="I1474" s="38" t="s">
        <v>1839</v>
      </c>
      <c r="J1474" s="38" t="s">
        <v>224</v>
      </c>
      <c r="K1474" s="38" t="s">
        <v>63</v>
      </c>
      <c r="L1474" s="41">
        <v>46008.1875</v>
      </c>
      <c r="M1474" s="38" t="s">
        <v>123</v>
      </c>
      <c r="N1474" s="41">
        <v>46008.229166666664</v>
      </c>
      <c r="O1474" s="38" t="s">
        <v>123</v>
      </c>
      <c r="P1474" s="38">
        <v>3600.0</v>
      </c>
      <c r="Q1474" s="39"/>
      <c r="R1474" s="39"/>
      <c r="S1474" s="39"/>
      <c r="T1474" s="39"/>
      <c r="U1474" s="39"/>
    </row>
    <row r="1475">
      <c r="A1475" s="40">
        <f t="shared" si="1"/>
        <v>46006</v>
      </c>
      <c r="B1475" s="37" t="str">
        <f t="array" ref="B1475">iferror(xlookup($I1475, 'IMPORT VHC Report'!$E:$E, 'IMPORT VHC Report'!$A:$C), )</f>
        <v/>
      </c>
      <c r="C1475" s="37"/>
      <c r="D1475" s="37"/>
      <c r="E1475" s="38" t="s">
        <v>1855</v>
      </c>
      <c r="F1475" s="38" t="s">
        <v>1837</v>
      </c>
      <c r="G1475" s="38">
        <v>4.502516921487E12</v>
      </c>
      <c r="H1475" s="38" t="s">
        <v>1838</v>
      </c>
      <c r="I1475" s="38" t="s">
        <v>1839</v>
      </c>
      <c r="J1475" s="38" t="s">
        <v>134</v>
      </c>
      <c r="K1475" s="38" t="s">
        <v>126</v>
      </c>
      <c r="L1475" s="41">
        <v>46008.229166666664</v>
      </c>
      <c r="M1475" s="38" t="s">
        <v>123</v>
      </c>
      <c r="N1475" s="41">
        <v>46008.25</v>
      </c>
      <c r="O1475" s="38" t="s">
        <v>123</v>
      </c>
      <c r="P1475" s="38">
        <v>1800.0</v>
      </c>
      <c r="Q1475" s="39"/>
      <c r="R1475" s="39"/>
      <c r="S1475" s="39"/>
      <c r="T1475" s="39"/>
      <c r="U1475" s="39"/>
    </row>
    <row r="1476">
      <c r="A1476" s="40">
        <f t="shared" si="1"/>
        <v>46006</v>
      </c>
      <c r="B1476" s="37" t="str">
        <f t="array" ref="B1476">iferror(xlookup($I1476, 'IMPORT VHC Report'!$E:$E, 'IMPORT VHC Report'!$A:$C), )</f>
        <v/>
      </c>
      <c r="C1476" s="37"/>
      <c r="D1476" s="37"/>
      <c r="E1476" s="38" t="s">
        <v>1856</v>
      </c>
      <c r="F1476" s="38" t="s">
        <v>1837</v>
      </c>
      <c r="G1476" s="38">
        <v>4.502516921487E12</v>
      </c>
      <c r="H1476" s="38" t="s">
        <v>1838</v>
      </c>
      <c r="I1476" s="38" t="s">
        <v>1839</v>
      </c>
      <c r="J1476" s="38" t="s">
        <v>224</v>
      </c>
      <c r="K1476" s="38" t="s">
        <v>63</v>
      </c>
      <c r="L1476" s="41">
        <v>46008.25</v>
      </c>
      <c r="M1476" s="38" t="s">
        <v>123</v>
      </c>
      <c r="N1476" s="41">
        <v>46008.364583333336</v>
      </c>
      <c r="O1476" s="38" t="s">
        <v>123</v>
      </c>
      <c r="P1476" s="38">
        <v>9900.0</v>
      </c>
      <c r="Q1476" s="39"/>
      <c r="R1476" s="39"/>
      <c r="S1476" s="39"/>
      <c r="T1476" s="39"/>
      <c r="U1476" s="39"/>
    </row>
    <row r="1477">
      <c r="A1477" s="40">
        <f t="shared" si="1"/>
        <v>46006</v>
      </c>
      <c r="B1477" s="37" t="str">
        <f t="array" ref="B1477">iferror(xlookup($I1477, 'IMPORT VHC Report'!$E:$E, 'IMPORT VHC Report'!$A:$C), )</f>
        <v/>
      </c>
      <c r="C1477" s="37"/>
      <c r="D1477" s="37"/>
      <c r="E1477" s="38" t="s">
        <v>1857</v>
      </c>
      <c r="F1477" s="38" t="s">
        <v>1837</v>
      </c>
      <c r="G1477" s="38">
        <v>4.502516921487E12</v>
      </c>
      <c r="H1477" s="38" t="s">
        <v>1838</v>
      </c>
      <c r="I1477" s="38" t="s">
        <v>1839</v>
      </c>
      <c r="J1477" s="38" t="s">
        <v>132</v>
      </c>
      <c r="K1477" s="38" t="s">
        <v>126</v>
      </c>
      <c r="L1477" s="41">
        <v>46008.364583333336</v>
      </c>
      <c r="M1477" s="38" t="s">
        <v>123</v>
      </c>
      <c r="N1477" s="41">
        <v>46008.40625</v>
      </c>
      <c r="O1477" s="38" t="s">
        <v>123</v>
      </c>
      <c r="P1477" s="38">
        <v>3600.0</v>
      </c>
      <c r="Q1477" s="39"/>
      <c r="R1477" s="39"/>
      <c r="S1477" s="39"/>
      <c r="T1477" s="39"/>
      <c r="U1477" s="39"/>
    </row>
    <row r="1478">
      <c r="A1478" s="40">
        <f t="shared" si="1"/>
        <v>46006</v>
      </c>
      <c r="B1478" s="37" t="str">
        <f t="array" ref="B1478">iferror(xlookup($I1478, 'IMPORT VHC Report'!$E:$E, 'IMPORT VHC Report'!$A:$C), )</f>
        <v/>
      </c>
      <c r="C1478" s="37"/>
      <c r="D1478" s="37"/>
      <c r="E1478" s="38" t="s">
        <v>1858</v>
      </c>
      <c r="F1478" s="38" t="s">
        <v>1837</v>
      </c>
      <c r="G1478" s="38">
        <v>4.502516921487E12</v>
      </c>
      <c r="H1478" s="38" t="s">
        <v>1838</v>
      </c>
      <c r="I1478" s="38" t="s">
        <v>1839</v>
      </c>
      <c r="J1478" s="38" t="s">
        <v>224</v>
      </c>
      <c r="K1478" s="38" t="s">
        <v>63</v>
      </c>
      <c r="L1478" s="41">
        <v>46008.40625</v>
      </c>
      <c r="M1478" s="38" t="s">
        <v>123</v>
      </c>
      <c r="N1478" s="41">
        <v>46008.5</v>
      </c>
      <c r="O1478" s="38" t="s">
        <v>123</v>
      </c>
      <c r="P1478" s="38">
        <v>8100.0</v>
      </c>
      <c r="Q1478" s="39"/>
      <c r="R1478" s="39"/>
      <c r="S1478" s="39"/>
      <c r="T1478" s="39"/>
      <c r="U1478" s="39"/>
    </row>
    <row r="1479">
      <c r="A1479" s="40">
        <f t="shared" si="1"/>
        <v>46006</v>
      </c>
      <c r="B1479" s="37" t="str">
        <f t="array" ref="B1479">iferror(xlookup($I1479, 'IMPORT VHC Report'!$E:$E, 'IMPORT VHC Report'!$A:$C), )</f>
        <v/>
      </c>
      <c r="C1479" s="37"/>
      <c r="D1479" s="37"/>
      <c r="E1479" s="38" t="s">
        <v>1859</v>
      </c>
      <c r="F1479" s="38" t="s">
        <v>1837</v>
      </c>
      <c r="G1479" s="38">
        <v>4.502516921487E12</v>
      </c>
      <c r="H1479" s="38" t="s">
        <v>1838</v>
      </c>
      <c r="I1479" s="38" t="s">
        <v>1839</v>
      </c>
      <c r="J1479" s="38" t="s">
        <v>152</v>
      </c>
      <c r="K1479" s="38" t="s">
        <v>153</v>
      </c>
      <c r="L1479" s="41">
        <v>46009.125</v>
      </c>
      <c r="M1479" s="38" t="s">
        <v>123</v>
      </c>
      <c r="N1479" s="41">
        <v>46009.5</v>
      </c>
      <c r="O1479" s="38" t="s">
        <v>123</v>
      </c>
      <c r="P1479" s="38">
        <v>32400.0</v>
      </c>
      <c r="Q1479" s="38">
        <v>32400.0</v>
      </c>
      <c r="R1479" s="39"/>
      <c r="S1479" s="39"/>
      <c r="T1479" s="39"/>
      <c r="U1479" s="39"/>
    </row>
    <row r="1480">
      <c r="A1480" s="40">
        <f t="shared" si="1"/>
        <v>46006</v>
      </c>
      <c r="B1480" s="37" t="str">
        <f t="array" ref="B1480">iferror(xlookup($I1480, 'IMPORT VHC Report'!$E:$E, 'IMPORT VHC Report'!$A:$C), )</f>
        <v/>
      </c>
      <c r="C1480" s="37"/>
      <c r="D1480" s="37"/>
      <c r="E1480" s="38" t="s">
        <v>1860</v>
      </c>
      <c r="F1480" s="38" t="s">
        <v>1837</v>
      </c>
      <c r="G1480" s="38">
        <v>4.502516921487E12</v>
      </c>
      <c r="H1480" s="38" t="s">
        <v>1838</v>
      </c>
      <c r="I1480" s="38" t="s">
        <v>1839</v>
      </c>
      <c r="J1480" s="38" t="s">
        <v>330</v>
      </c>
      <c r="K1480" s="38" t="s">
        <v>126</v>
      </c>
      <c r="L1480" s="41">
        <v>46009.229166666664</v>
      </c>
      <c r="M1480" s="38" t="s">
        <v>123</v>
      </c>
      <c r="N1480" s="41">
        <v>46009.25</v>
      </c>
      <c r="O1480" s="38" t="s">
        <v>123</v>
      </c>
      <c r="P1480" s="38">
        <v>1800.0</v>
      </c>
      <c r="Q1480" s="39"/>
      <c r="R1480" s="39"/>
      <c r="S1480" s="38" t="s">
        <v>640</v>
      </c>
      <c r="T1480" s="39"/>
      <c r="U1480" s="39"/>
    </row>
    <row r="1481">
      <c r="A1481" s="40">
        <f t="shared" si="1"/>
        <v>46006</v>
      </c>
      <c r="B1481" s="37" t="str">
        <f t="array" ref="B1481">iferror(xlookup($I1481, 'IMPORT VHC Report'!$E:$E, 'IMPORT VHC Report'!$A:$C), )</f>
        <v/>
      </c>
      <c r="C1481" s="37"/>
      <c r="D1481" s="37"/>
      <c r="E1481" s="38" t="s">
        <v>1861</v>
      </c>
      <c r="F1481" s="38" t="s">
        <v>1837</v>
      </c>
      <c r="G1481" s="38">
        <v>4.502516921487E12</v>
      </c>
      <c r="H1481" s="38" t="s">
        <v>1838</v>
      </c>
      <c r="I1481" s="38" t="s">
        <v>1839</v>
      </c>
      <c r="J1481" s="38" t="s">
        <v>132</v>
      </c>
      <c r="K1481" s="38" t="s">
        <v>126</v>
      </c>
      <c r="L1481" s="41">
        <v>46009.25</v>
      </c>
      <c r="M1481" s="38" t="s">
        <v>123</v>
      </c>
      <c r="N1481" s="41">
        <v>46009.291666666664</v>
      </c>
      <c r="O1481" s="38" t="s">
        <v>123</v>
      </c>
      <c r="P1481" s="38">
        <v>3600.0</v>
      </c>
      <c r="Q1481" s="39"/>
      <c r="R1481" s="39"/>
      <c r="S1481" s="39"/>
      <c r="T1481" s="39"/>
      <c r="U1481" s="39"/>
    </row>
    <row r="1482">
      <c r="A1482" s="40">
        <f t="shared" si="1"/>
        <v>46006</v>
      </c>
      <c r="B1482" s="37" t="str">
        <f t="array" ref="B1482">iferror(xlookup($I1482, 'IMPORT VHC Report'!$E:$E, 'IMPORT VHC Report'!$A:$C), )</f>
        <v/>
      </c>
      <c r="C1482" s="37"/>
      <c r="D1482" s="37"/>
      <c r="E1482" s="38" t="s">
        <v>1862</v>
      </c>
      <c r="F1482" s="38" t="s">
        <v>1837</v>
      </c>
      <c r="G1482" s="38">
        <v>4.502516921487E12</v>
      </c>
      <c r="H1482" s="38" t="s">
        <v>1838</v>
      </c>
      <c r="I1482" s="38" t="s">
        <v>1839</v>
      </c>
      <c r="J1482" s="38" t="s">
        <v>224</v>
      </c>
      <c r="K1482" s="38" t="s">
        <v>63</v>
      </c>
      <c r="L1482" s="41">
        <v>46009.291666666664</v>
      </c>
      <c r="M1482" s="38" t="s">
        <v>123</v>
      </c>
      <c r="N1482" s="41">
        <v>46009.385416666664</v>
      </c>
      <c r="O1482" s="38" t="s">
        <v>123</v>
      </c>
      <c r="P1482" s="38">
        <v>8100.0</v>
      </c>
      <c r="Q1482" s="39"/>
      <c r="R1482" s="39"/>
      <c r="S1482" s="39"/>
      <c r="T1482" s="39"/>
      <c r="U1482" s="39"/>
    </row>
    <row r="1483">
      <c r="A1483" s="40">
        <f t="shared" si="1"/>
        <v>46006</v>
      </c>
      <c r="B1483" s="37" t="str">
        <f t="array" ref="B1483">iferror(xlookup($I1483, 'IMPORT VHC Report'!$E:$E, 'IMPORT VHC Report'!$A:$C), )</f>
        <v/>
      </c>
      <c r="C1483" s="37"/>
      <c r="D1483" s="37"/>
      <c r="E1483" s="38" t="s">
        <v>1863</v>
      </c>
      <c r="F1483" s="38" t="s">
        <v>1837</v>
      </c>
      <c r="G1483" s="38">
        <v>4.502516921487E12</v>
      </c>
      <c r="H1483" s="38" t="s">
        <v>1838</v>
      </c>
      <c r="I1483" s="38" t="s">
        <v>1839</v>
      </c>
      <c r="J1483" s="38" t="s">
        <v>134</v>
      </c>
      <c r="K1483" s="38" t="s">
        <v>126</v>
      </c>
      <c r="L1483" s="41">
        <v>46009.385416666664</v>
      </c>
      <c r="M1483" s="38" t="s">
        <v>123</v>
      </c>
      <c r="N1483" s="41">
        <v>46009.40625</v>
      </c>
      <c r="O1483" s="38" t="s">
        <v>123</v>
      </c>
      <c r="P1483" s="38">
        <v>1800.0</v>
      </c>
      <c r="Q1483" s="39"/>
      <c r="R1483" s="39"/>
      <c r="S1483" s="39"/>
      <c r="T1483" s="39"/>
      <c r="U1483" s="39"/>
    </row>
    <row r="1484">
      <c r="A1484" s="40">
        <f t="shared" si="1"/>
        <v>46006</v>
      </c>
      <c r="B1484" s="37" t="str">
        <f t="array" ref="B1484">iferror(xlookup($I1484, 'IMPORT VHC Report'!$E:$E, 'IMPORT VHC Report'!$A:$C), )</f>
        <v/>
      </c>
      <c r="C1484" s="37"/>
      <c r="D1484" s="37"/>
      <c r="E1484" s="38" t="s">
        <v>1864</v>
      </c>
      <c r="F1484" s="38" t="s">
        <v>1837</v>
      </c>
      <c r="G1484" s="38">
        <v>4.502516921487E12</v>
      </c>
      <c r="H1484" s="38" t="s">
        <v>1838</v>
      </c>
      <c r="I1484" s="38" t="s">
        <v>1839</v>
      </c>
      <c r="J1484" s="38" t="s">
        <v>224</v>
      </c>
      <c r="K1484" s="38" t="s">
        <v>63</v>
      </c>
      <c r="L1484" s="41">
        <v>46009.40625</v>
      </c>
      <c r="M1484" s="38" t="s">
        <v>123</v>
      </c>
      <c r="N1484" s="41">
        <v>46009.5</v>
      </c>
      <c r="O1484" s="38" t="s">
        <v>123</v>
      </c>
      <c r="P1484" s="38">
        <v>8100.0</v>
      </c>
      <c r="Q1484" s="39"/>
      <c r="R1484" s="39"/>
      <c r="S1484" s="39"/>
      <c r="T1484" s="39"/>
      <c r="U1484" s="39"/>
    </row>
    <row r="1485">
      <c r="A1485" s="40">
        <f t="shared" si="1"/>
        <v>46006</v>
      </c>
      <c r="B1485" s="37" t="str">
        <f t="array" ref="B1485">iferror(xlookup($I1485, 'IMPORT VHC Report'!$E:$E, 'IMPORT VHC Report'!$A:$C), )</f>
        <v/>
      </c>
      <c r="C1485" s="37"/>
      <c r="D1485" s="37"/>
      <c r="E1485" s="38" t="s">
        <v>1865</v>
      </c>
      <c r="F1485" s="38" t="s">
        <v>1837</v>
      </c>
      <c r="G1485" s="38">
        <v>4.502516921487E12</v>
      </c>
      <c r="H1485" s="38" t="s">
        <v>1838</v>
      </c>
      <c r="I1485" s="38" t="s">
        <v>1839</v>
      </c>
      <c r="J1485" s="38" t="s">
        <v>152</v>
      </c>
      <c r="K1485" s="38" t="s">
        <v>153</v>
      </c>
      <c r="L1485" s="41">
        <v>46010.125</v>
      </c>
      <c r="M1485" s="38" t="s">
        <v>123</v>
      </c>
      <c r="N1485" s="41">
        <v>46010.458333333336</v>
      </c>
      <c r="O1485" s="38" t="s">
        <v>123</v>
      </c>
      <c r="P1485" s="38">
        <v>28800.0</v>
      </c>
      <c r="Q1485" s="38">
        <v>28800.0</v>
      </c>
      <c r="R1485" s="39"/>
      <c r="S1485" s="39"/>
      <c r="T1485" s="39"/>
      <c r="U1485" s="39"/>
    </row>
    <row r="1486">
      <c r="A1486" s="40">
        <f t="shared" si="1"/>
        <v>46006</v>
      </c>
      <c r="B1486" s="37" t="str">
        <f t="array" ref="B1486">iferror(xlookup($I1486, 'IMPORT VHC Report'!$E:$E, 'IMPORT VHC Report'!$A:$C), )</f>
        <v/>
      </c>
      <c r="C1486" s="37"/>
      <c r="D1486" s="37"/>
      <c r="E1486" s="38" t="s">
        <v>1866</v>
      </c>
      <c r="F1486" s="38" t="s">
        <v>1837</v>
      </c>
      <c r="G1486" s="38">
        <v>4.502516921487E12</v>
      </c>
      <c r="H1486" s="38" t="s">
        <v>1838</v>
      </c>
      <c r="I1486" s="38" t="s">
        <v>1839</v>
      </c>
      <c r="J1486" s="38" t="s">
        <v>134</v>
      </c>
      <c r="K1486" s="38" t="s">
        <v>126</v>
      </c>
      <c r="L1486" s="41">
        <v>46010.239583333336</v>
      </c>
      <c r="M1486" s="38" t="s">
        <v>123</v>
      </c>
      <c r="N1486" s="41">
        <v>46010.260416666664</v>
      </c>
      <c r="O1486" s="38" t="s">
        <v>123</v>
      </c>
      <c r="P1486" s="38">
        <v>1800.0</v>
      </c>
      <c r="Q1486" s="39"/>
      <c r="R1486" s="39"/>
      <c r="S1486" s="39"/>
      <c r="T1486" s="39"/>
      <c r="U1486" s="39"/>
    </row>
    <row r="1487">
      <c r="A1487" s="40">
        <f t="shared" si="1"/>
        <v>46006</v>
      </c>
      <c r="B1487" s="37" t="str">
        <f t="array" ref="B1487">iferror(xlookup($I1487, 'IMPORT VHC Report'!$E:$E, 'IMPORT VHC Report'!$A:$C), )</f>
        <v/>
      </c>
      <c r="C1487" s="37"/>
      <c r="D1487" s="37"/>
      <c r="E1487" s="38" t="s">
        <v>1867</v>
      </c>
      <c r="F1487" s="38" t="s">
        <v>1837</v>
      </c>
      <c r="G1487" s="38">
        <v>4.502516921487E12</v>
      </c>
      <c r="H1487" s="38" t="s">
        <v>1838</v>
      </c>
      <c r="I1487" s="38" t="s">
        <v>1839</v>
      </c>
      <c r="J1487" s="38" t="s">
        <v>224</v>
      </c>
      <c r="K1487" s="38" t="s">
        <v>63</v>
      </c>
      <c r="L1487" s="41">
        <v>46010.260416666664</v>
      </c>
      <c r="M1487" s="38" t="s">
        <v>123</v>
      </c>
      <c r="N1487" s="41">
        <v>46010.364583333336</v>
      </c>
      <c r="O1487" s="38" t="s">
        <v>123</v>
      </c>
      <c r="P1487" s="38">
        <v>9000.0</v>
      </c>
      <c r="Q1487" s="39"/>
      <c r="R1487" s="39"/>
      <c r="S1487" s="39"/>
      <c r="T1487" s="39"/>
      <c r="U1487" s="39"/>
    </row>
    <row r="1488">
      <c r="A1488" s="40">
        <f t="shared" si="1"/>
        <v>46006</v>
      </c>
      <c r="B1488" s="37" t="str">
        <f t="array" ref="B1488">iferror(xlookup($I1488, 'IMPORT VHC Report'!$E:$E, 'IMPORT VHC Report'!$A:$C), )</f>
        <v/>
      </c>
      <c r="C1488" s="37"/>
      <c r="D1488" s="37"/>
      <c r="E1488" s="38" t="s">
        <v>1868</v>
      </c>
      <c r="F1488" s="38" t="s">
        <v>1837</v>
      </c>
      <c r="G1488" s="38">
        <v>4.502516921487E12</v>
      </c>
      <c r="H1488" s="38" t="s">
        <v>1838</v>
      </c>
      <c r="I1488" s="38" t="s">
        <v>1839</v>
      </c>
      <c r="J1488" s="38" t="s">
        <v>132</v>
      </c>
      <c r="K1488" s="38" t="s">
        <v>126</v>
      </c>
      <c r="L1488" s="41">
        <v>46010.364583333336</v>
      </c>
      <c r="M1488" s="38" t="s">
        <v>123</v>
      </c>
      <c r="N1488" s="41">
        <v>46010.40625</v>
      </c>
      <c r="O1488" s="38" t="s">
        <v>123</v>
      </c>
      <c r="P1488" s="38">
        <v>3600.0</v>
      </c>
      <c r="Q1488" s="39"/>
      <c r="R1488" s="39"/>
      <c r="S1488" s="39"/>
      <c r="T1488" s="39"/>
      <c r="U1488" s="39"/>
    </row>
    <row r="1489">
      <c r="A1489" s="40">
        <f t="shared" si="1"/>
        <v>46006</v>
      </c>
      <c r="B1489" s="37" t="str">
        <f t="array" ref="B1489">iferror(xlookup($I1489, 'IMPORT VHC Report'!$E:$E, 'IMPORT VHC Report'!$A:$C), )</f>
        <v/>
      </c>
      <c r="C1489" s="37"/>
      <c r="D1489" s="37"/>
      <c r="E1489" s="38" t="s">
        <v>1869</v>
      </c>
      <c r="F1489" s="38" t="s">
        <v>1870</v>
      </c>
      <c r="G1489" s="38">
        <v>3.61861297935E11</v>
      </c>
      <c r="H1489" s="38" t="s">
        <v>1871</v>
      </c>
      <c r="I1489" s="38" t="s">
        <v>1872</v>
      </c>
      <c r="J1489" s="38" t="s">
        <v>132</v>
      </c>
      <c r="K1489" s="38" t="s">
        <v>126</v>
      </c>
      <c r="L1489" s="41">
        <v>46006.166666666664</v>
      </c>
      <c r="M1489" s="38" t="s">
        <v>123</v>
      </c>
      <c r="N1489" s="41">
        <v>46006.208333333336</v>
      </c>
      <c r="O1489" s="38" t="s">
        <v>123</v>
      </c>
      <c r="P1489" s="38">
        <v>3600.0</v>
      </c>
      <c r="Q1489" s="39"/>
      <c r="R1489" s="39"/>
      <c r="S1489" s="39"/>
      <c r="T1489" s="39"/>
      <c r="U1489" s="39"/>
    </row>
    <row r="1490">
      <c r="A1490" s="40">
        <f t="shared" si="1"/>
        <v>46006</v>
      </c>
      <c r="B1490" s="37" t="str">
        <f t="array" ref="B1490">iferror(xlookup($I1490, 'IMPORT VHC Report'!$E:$E, 'IMPORT VHC Report'!$A:$C), )</f>
        <v/>
      </c>
      <c r="C1490" s="37"/>
      <c r="D1490" s="37"/>
      <c r="E1490" s="38" t="s">
        <v>1873</v>
      </c>
      <c r="F1490" s="38" t="s">
        <v>1870</v>
      </c>
      <c r="G1490" s="38">
        <v>3.61861297935E11</v>
      </c>
      <c r="H1490" s="38" t="s">
        <v>1871</v>
      </c>
      <c r="I1490" s="38" t="s">
        <v>1872</v>
      </c>
      <c r="J1490" s="38" t="s">
        <v>224</v>
      </c>
      <c r="K1490" s="38" t="s">
        <v>63</v>
      </c>
      <c r="L1490" s="41">
        <v>46006.166666666664</v>
      </c>
      <c r="M1490" s="38" t="s">
        <v>123</v>
      </c>
      <c r="N1490" s="41">
        <v>46006.541666666664</v>
      </c>
      <c r="O1490" s="38" t="s">
        <v>123</v>
      </c>
      <c r="P1490" s="38">
        <v>32400.0</v>
      </c>
      <c r="Q1490" s="39"/>
      <c r="R1490" s="39"/>
      <c r="S1490" s="39"/>
      <c r="T1490" s="39"/>
      <c r="U1490" s="39"/>
    </row>
    <row r="1491">
      <c r="A1491" s="40">
        <f t="shared" si="1"/>
        <v>46006</v>
      </c>
      <c r="B1491" s="37" t="str">
        <f t="array" ref="B1491">iferror(xlookup($I1491, 'IMPORT VHC Report'!$E:$E, 'IMPORT VHC Report'!$A:$C), )</f>
        <v/>
      </c>
      <c r="C1491" s="37"/>
      <c r="D1491" s="37"/>
      <c r="E1491" s="38" t="s">
        <v>1874</v>
      </c>
      <c r="F1491" s="38" t="s">
        <v>1870</v>
      </c>
      <c r="G1491" s="38">
        <v>3.61861297935E11</v>
      </c>
      <c r="H1491" s="38" t="s">
        <v>1871</v>
      </c>
      <c r="I1491" s="38" t="s">
        <v>1872</v>
      </c>
      <c r="J1491" s="38" t="s">
        <v>134</v>
      </c>
      <c r="K1491" s="38" t="s">
        <v>126</v>
      </c>
      <c r="L1491" s="41">
        <v>46006.208333333336</v>
      </c>
      <c r="M1491" s="38" t="s">
        <v>123</v>
      </c>
      <c r="N1491" s="41">
        <v>46006.21875</v>
      </c>
      <c r="O1491" s="38" t="s">
        <v>123</v>
      </c>
      <c r="P1491" s="38">
        <v>900.0</v>
      </c>
      <c r="Q1491" s="39"/>
      <c r="R1491" s="39"/>
      <c r="S1491" s="39"/>
      <c r="T1491" s="39"/>
      <c r="U1491" s="39"/>
    </row>
    <row r="1492">
      <c r="A1492" s="40">
        <f t="shared" si="1"/>
        <v>46006</v>
      </c>
      <c r="B1492" s="37" t="str">
        <f t="array" ref="B1492">iferror(xlookup($I1492, 'IMPORT VHC Report'!$E:$E, 'IMPORT VHC Report'!$A:$C), )</f>
        <v/>
      </c>
      <c r="C1492" s="37"/>
      <c r="D1492" s="37"/>
      <c r="E1492" s="38" t="s">
        <v>1875</v>
      </c>
      <c r="F1492" s="38" t="s">
        <v>1870</v>
      </c>
      <c r="G1492" s="38">
        <v>3.61861297935E11</v>
      </c>
      <c r="H1492" s="38" t="s">
        <v>1871</v>
      </c>
      <c r="I1492" s="38" t="s">
        <v>1872</v>
      </c>
      <c r="J1492" s="38" t="s">
        <v>134</v>
      </c>
      <c r="K1492" s="38" t="s">
        <v>126</v>
      </c>
      <c r="L1492" s="41">
        <v>46006.21875</v>
      </c>
      <c r="M1492" s="38" t="s">
        <v>123</v>
      </c>
      <c r="N1492" s="41">
        <v>46006.229166666664</v>
      </c>
      <c r="O1492" s="38" t="s">
        <v>123</v>
      </c>
      <c r="P1492" s="38">
        <v>900.0</v>
      </c>
      <c r="Q1492" s="39"/>
      <c r="R1492" s="39"/>
      <c r="S1492" s="39"/>
      <c r="T1492" s="39"/>
      <c r="U1492" s="39"/>
    </row>
    <row r="1493">
      <c r="A1493" s="40">
        <f t="shared" si="1"/>
        <v>46006</v>
      </c>
      <c r="B1493" s="37" t="str">
        <f t="array" ref="B1493">iferror(xlookup($I1493, 'IMPORT VHC Report'!$E:$E, 'IMPORT VHC Report'!$A:$C), )</f>
        <v/>
      </c>
      <c r="C1493" s="37"/>
      <c r="D1493" s="37"/>
      <c r="E1493" s="38" t="s">
        <v>1876</v>
      </c>
      <c r="F1493" s="38" t="s">
        <v>1870</v>
      </c>
      <c r="G1493" s="38">
        <v>3.61861297935E11</v>
      </c>
      <c r="H1493" s="38" t="s">
        <v>1871</v>
      </c>
      <c r="I1493" s="38" t="s">
        <v>1872</v>
      </c>
      <c r="J1493" s="38" t="s">
        <v>224</v>
      </c>
      <c r="K1493" s="38" t="s">
        <v>63</v>
      </c>
      <c r="L1493" s="41">
        <v>46007.166666666664</v>
      </c>
      <c r="M1493" s="38" t="s">
        <v>123</v>
      </c>
      <c r="N1493" s="41">
        <v>46007.541666666664</v>
      </c>
      <c r="O1493" s="38" t="s">
        <v>123</v>
      </c>
      <c r="P1493" s="38">
        <v>32400.0</v>
      </c>
      <c r="Q1493" s="39"/>
      <c r="R1493" s="39"/>
      <c r="S1493" s="39"/>
      <c r="T1493" s="39"/>
      <c r="U1493" s="39"/>
    </row>
    <row r="1494">
      <c r="A1494" s="40">
        <f t="shared" si="1"/>
        <v>46006</v>
      </c>
      <c r="B1494" s="37" t="str">
        <f t="array" ref="B1494">iferror(xlookup($I1494, 'IMPORT VHC Report'!$E:$E, 'IMPORT VHC Report'!$A:$C), )</f>
        <v/>
      </c>
      <c r="C1494" s="37"/>
      <c r="D1494" s="37"/>
      <c r="E1494" s="38" t="s">
        <v>1877</v>
      </c>
      <c r="F1494" s="38" t="s">
        <v>1870</v>
      </c>
      <c r="G1494" s="38">
        <v>3.61861297935E11</v>
      </c>
      <c r="H1494" s="38" t="s">
        <v>1871</v>
      </c>
      <c r="I1494" s="38" t="s">
        <v>1872</v>
      </c>
      <c r="J1494" s="38" t="s">
        <v>134</v>
      </c>
      <c r="K1494" s="38" t="s">
        <v>126</v>
      </c>
      <c r="L1494" s="41">
        <v>46007.25</v>
      </c>
      <c r="M1494" s="38" t="s">
        <v>123</v>
      </c>
      <c r="N1494" s="41">
        <v>46007.260416666664</v>
      </c>
      <c r="O1494" s="38" t="s">
        <v>123</v>
      </c>
      <c r="P1494" s="38">
        <v>900.0</v>
      </c>
      <c r="Q1494" s="39"/>
      <c r="R1494" s="39"/>
      <c r="S1494" s="39"/>
      <c r="T1494" s="39"/>
      <c r="U1494" s="39"/>
    </row>
    <row r="1495">
      <c r="A1495" s="40">
        <f t="shared" si="1"/>
        <v>46006</v>
      </c>
      <c r="B1495" s="37" t="str">
        <f t="array" ref="B1495">iferror(xlookup($I1495, 'IMPORT VHC Report'!$E:$E, 'IMPORT VHC Report'!$A:$C), )</f>
        <v/>
      </c>
      <c r="C1495" s="37"/>
      <c r="D1495" s="37"/>
      <c r="E1495" s="38" t="s">
        <v>1878</v>
      </c>
      <c r="F1495" s="38" t="s">
        <v>1870</v>
      </c>
      <c r="G1495" s="38">
        <v>3.61861297935E11</v>
      </c>
      <c r="H1495" s="38" t="s">
        <v>1871</v>
      </c>
      <c r="I1495" s="38" t="s">
        <v>1872</v>
      </c>
      <c r="J1495" s="38" t="s">
        <v>132</v>
      </c>
      <c r="K1495" s="38" t="s">
        <v>126</v>
      </c>
      <c r="L1495" s="41">
        <v>46007.354166666664</v>
      </c>
      <c r="M1495" s="38" t="s">
        <v>123</v>
      </c>
      <c r="N1495" s="41">
        <v>46007.395833333336</v>
      </c>
      <c r="O1495" s="38" t="s">
        <v>123</v>
      </c>
      <c r="P1495" s="38">
        <v>3600.0</v>
      </c>
      <c r="Q1495" s="39"/>
      <c r="R1495" s="39"/>
      <c r="S1495" s="39"/>
      <c r="T1495" s="39"/>
      <c r="U1495" s="39"/>
    </row>
    <row r="1496">
      <c r="A1496" s="40">
        <f t="shared" si="1"/>
        <v>46006</v>
      </c>
      <c r="B1496" s="37" t="str">
        <f t="array" ref="B1496">iferror(xlookup($I1496, 'IMPORT VHC Report'!$E:$E, 'IMPORT VHC Report'!$A:$C), )</f>
        <v/>
      </c>
      <c r="C1496" s="37"/>
      <c r="D1496" s="37"/>
      <c r="E1496" s="38" t="s">
        <v>1879</v>
      </c>
      <c r="F1496" s="38" t="s">
        <v>1870</v>
      </c>
      <c r="G1496" s="38">
        <v>3.61861297935E11</v>
      </c>
      <c r="H1496" s="38" t="s">
        <v>1871</v>
      </c>
      <c r="I1496" s="38" t="s">
        <v>1872</v>
      </c>
      <c r="J1496" s="38" t="s">
        <v>134</v>
      </c>
      <c r="K1496" s="38" t="s">
        <v>126</v>
      </c>
      <c r="L1496" s="41">
        <v>46007.46875</v>
      </c>
      <c r="M1496" s="38" t="s">
        <v>123</v>
      </c>
      <c r="N1496" s="41">
        <v>46007.479166666664</v>
      </c>
      <c r="O1496" s="38" t="s">
        <v>123</v>
      </c>
      <c r="P1496" s="38">
        <v>900.0</v>
      </c>
      <c r="Q1496" s="39"/>
      <c r="R1496" s="39"/>
      <c r="S1496" s="39"/>
      <c r="T1496" s="39"/>
      <c r="U1496" s="39"/>
    </row>
    <row r="1497">
      <c r="A1497" s="40">
        <f t="shared" si="1"/>
        <v>46006</v>
      </c>
      <c r="B1497" s="37" t="str">
        <f t="array" ref="B1497">iferror(xlookup($I1497, 'IMPORT VHC Report'!$E:$E, 'IMPORT VHC Report'!$A:$C), )</f>
        <v/>
      </c>
      <c r="C1497" s="37"/>
      <c r="D1497" s="37"/>
      <c r="E1497" s="38" t="s">
        <v>1880</v>
      </c>
      <c r="F1497" s="38" t="s">
        <v>1870</v>
      </c>
      <c r="G1497" s="38">
        <v>3.61861297935E11</v>
      </c>
      <c r="H1497" s="38" t="s">
        <v>1871</v>
      </c>
      <c r="I1497" s="38" t="s">
        <v>1872</v>
      </c>
      <c r="J1497" s="38" t="s">
        <v>224</v>
      </c>
      <c r="K1497" s="38" t="s">
        <v>63</v>
      </c>
      <c r="L1497" s="41">
        <v>46008.166666666664</v>
      </c>
      <c r="M1497" s="38" t="s">
        <v>123</v>
      </c>
      <c r="N1497" s="41">
        <v>46008.270833333336</v>
      </c>
      <c r="O1497" s="38" t="s">
        <v>123</v>
      </c>
      <c r="P1497" s="38">
        <v>9000.0</v>
      </c>
      <c r="Q1497" s="39"/>
      <c r="R1497" s="39"/>
      <c r="S1497" s="39"/>
      <c r="T1497" s="39"/>
      <c r="U1497" s="39"/>
    </row>
    <row r="1498">
      <c r="A1498" s="40">
        <f t="shared" si="1"/>
        <v>46006</v>
      </c>
      <c r="B1498" s="37" t="str">
        <f t="array" ref="B1498">iferror(xlookup($I1498, 'IMPORT VHC Report'!$E:$E, 'IMPORT VHC Report'!$A:$C), )</f>
        <v/>
      </c>
      <c r="C1498" s="37"/>
      <c r="D1498" s="37"/>
      <c r="E1498" s="38" t="s">
        <v>1881</v>
      </c>
      <c r="F1498" s="38" t="s">
        <v>1870</v>
      </c>
      <c r="G1498" s="38">
        <v>3.61861297935E11</v>
      </c>
      <c r="H1498" s="38" t="s">
        <v>1871</v>
      </c>
      <c r="I1498" s="38" t="s">
        <v>1872</v>
      </c>
      <c r="J1498" s="38" t="s">
        <v>134</v>
      </c>
      <c r="K1498" s="38" t="s">
        <v>126</v>
      </c>
      <c r="L1498" s="41">
        <v>46008.270833333336</v>
      </c>
      <c r="M1498" s="38" t="s">
        <v>123</v>
      </c>
      <c r="N1498" s="41">
        <v>46008.28125</v>
      </c>
      <c r="O1498" s="38" t="s">
        <v>123</v>
      </c>
      <c r="P1498" s="38">
        <v>900.0</v>
      </c>
      <c r="Q1498" s="39"/>
      <c r="R1498" s="39"/>
      <c r="S1498" s="39"/>
      <c r="T1498" s="39"/>
      <c r="U1498" s="39"/>
    </row>
    <row r="1499">
      <c r="A1499" s="40">
        <f t="shared" si="1"/>
        <v>46006</v>
      </c>
      <c r="B1499" s="37" t="str">
        <f t="array" ref="B1499">iferror(xlookup($I1499, 'IMPORT VHC Report'!$E:$E, 'IMPORT VHC Report'!$A:$C), )</f>
        <v/>
      </c>
      <c r="C1499" s="37"/>
      <c r="D1499" s="37"/>
      <c r="E1499" s="38" t="s">
        <v>1882</v>
      </c>
      <c r="F1499" s="38" t="s">
        <v>1870</v>
      </c>
      <c r="G1499" s="38">
        <v>3.61861297935E11</v>
      </c>
      <c r="H1499" s="38" t="s">
        <v>1871</v>
      </c>
      <c r="I1499" s="38" t="s">
        <v>1872</v>
      </c>
      <c r="J1499" s="38" t="s">
        <v>224</v>
      </c>
      <c r="K1499" s="38" t="s">
        <v>63</v>
      </c>
      <c r="L1499" s="41">
        <v>46008.28125</v>
      </c>
      <c r="M1499" s="38" t="s">
        <v>123</v>
      </c>
      <c r="N1499" s="41">
        <v>46008.354166666664</v>
      </c>
      <c r="O1499" s="38" t="s">
        <v>123</v>
      </c>
      <c r="P1499" s="38">
        <v>6300.0</v>
      </c>
      <c r="Q1499" s="39"/>
      <c r="R1499" s="39"/>
      <c r="S1499" s="39"/>
      <c r="T1499" s="39"/>
      <c r="U1499" s="39"/>
    </row>
    <row r="1500">
      <c r="A1500" s="40">
        <f t="shared" si="1"/>
        <v>46006</v>
      </c>
      <c r="B1500" s="37" t="str">
        <f t="array" ref="B1500">iferror(xlookup($I1500, 'IMPORT VHC Report'!$E:$E, 'IMPORT VHC Report'!$A:$C), )</f>
        <v/>
      </c>
      <c r="C1500" s="37"/>
      <c r="D1500" s="37"/>
      <c r="E1500" s="38" t="s">
        <v>1883</v>
      </c>
      <c r="F1500" s="38" t="s">
        <v>1870</v>
      </c>
      <c r="G1500" s="38">
        <v>3.61861297935E11</v>
      </c>
      <c r="H1500" s="38" t="s">
        <v>1871</v>
      </c>
      <c r="I1500" s="38" t="s">
        <v>1872</v>
      </c>
      <c r="J1500" s="38" t="s">
        <v>134</v>
      </c>
      <c r="K1500" s="38" t="s">
        <v>126</v>
      </c>
      <c r="L1500" s="41">
        <v>46008.354166666664</v>
      </c>
      <c r="M1500" s="38" t="s">
        <v>123</v>
      </c>
      <c r="N1500" s="41">
        <v>46008.364583333336</v>
      </c>
      <c r="O1500" s="38" t="s">
        <v>123</v>
      </c>
      <c r="P1500" s="38">
        <v>900.0</v>
      </c>
      <c r="Q1500" s="39"/>
      <c r="R1500" s="39"/>
      <c r="S1500" s="39"/>
      <c r="T1500" s="39"/>
      <c r="U1500" s="39"/>
    </row>
    <row r="1501">
      <c r="A1501" s="40">
        <f t="shared" si="1"/>
        <v>46006</v>
      </c>
      <c r="B1501" s="37" t="str">
        <f t="array" ref="B1501">iferror(xlookup($I1501, 'IMPORT VHC Report'!$E:$E, 'IMPORT VHC Report'!$A:$C), )</f>
        <v/>
      </c>
      <c r="C1501" s="37"/>
      <c r="D1501" s="37"/>
      <c r="E1501" s="38" t="s">
        <v>1884</v>
      </c>
      <c r="F1501" s="38" t="s">
        <v>1870</v>
      </c>
      <c r="G1501" s="38">
        <v>3.61861297935E11</v>
      </c>
      <c r="H1501" s="38" t="s">
        <v>1871</v>
      </c>
      <c r="I1501" s="38" t="s">
        <v>1872</v>
      </c>
      <c r="J1501" s="38" t="s">
        <v>224</v>
      </c>
      <c r="K1501" s="38" t="s">
        <v>63</v>
      </c>
      <c r="L1501" s="41">
        <v>46008.364583333336</v>
      </c>
      <c r="M1501" s="38" t="s">
        <v>123</v>
      </c>
      <c r="N1501" s="41">
        <v>46008.4375</v>
      </c>
      <c r="O1501" s="38" t="s">
        <v>123</v>
      </c>
      <c r="P1501" s="38">
        <v>6300.0</v>
      </c>
      <c r="Q1501" s="39"/>
      <c r="R1501" s="39"/>
      <c r="S1501" s="39"/>
      <c r="T1501" s="39"/>
      <c r="U1501" s="39"/>
    </row>
    <row r="1502">
      <c r="A1502" s="40">
        <f t="shared" si="1"/>
        <v>46006</v>
      </c>
      <c r="B1502" s="37" t="str">
        <f t="array" ref="B1502">iferror(xlookup($I1502, 'IMPORT VHC Report'!$E:$E, 'IMPORT VHC Report'!$A:$C), )</f>
        <v/>
      </c>
      <c r="C1502" s="37"/>
      <c r="D1502" s="37"/>
      <c r="E1502" s="38" t="s">
        <v>1885</v>
      </c>
      <c r="F1502" s="38" t="s">
        <v>1870</v>
      </c>
      <c r="G1502" s="38">
        <v>3.61861297935E11</v>
      </c>
      <c r="H1502" s="38" t="s">
        <v>1871</v>
      </c>
      <c r="I1502" s="38" t="s">
        <v>1872</v>
      </c>
      <c r="J1502" s="38" t="s">
        <v>132</v>
      </c>
      <c r="K1502" s="38" t="s">
        <v>126</v>
      </c>
      <c r="L1502" s="41">
        <v>46008.4375</v>
      </c>
      <c r="M1502" s="38" t="s">
        <v>123</v>
      </c>
      <c r="N1502" s="41">
        <v>46008.479166666664</v>
      </c>
      <c r="O1502" s="38" t="s">
        <v>123</v>
      </c>
      <c r="P1502" s="38">
        <v>3600.0</v>
      </c>
      <c r="Q1502" s="39"/>
      <c r="R1502" s="39"/>
      <c r="S1502" s="39"/>
      <c r="T1502" s="39"/>
      <c r="U1502" s="39"/>
    </row>
    <row r="1503">
      <c r="A1503" s="40">
        <f t="shared" si="1"/>
        <v>46006</v>
      </c>
      <c r="B1503" s="37" t="str">
        <f t="array" ref="B1503">iferror(xlookup($I1503, 'IMPORT VHC Report'!$E:$E, 'IMPORT VHC Report'!$A:$C), )</f>
        <v/>
      </c>
      <c r="C1503" s="37"/>
      <c r="D1503" s="37"/>
      <c r="E1503" s="38" t="s">
        <v>1886</v>
      </c>
      <c r="F1503" s="38" t="s">
        <v>1870</v>
      </c>
      <c r="G1503" s="38">
        <v>3.61861297935E11</v>
      </c>
      <c r="H1503" s="38" t="s">
        <v>1871</v>
      </c>
      <c r="I1503" s="38" t="s">
        <v>1872</v>
      </c>
      <c r="J1503" s="38" t="s">
        <v>224</v>
      </c>
      <c r="K1503" s="38" t="s">
        <v>63</v>
      </c>
      <c r="L1503" s="41">
        <v>46008.479166666664</v>
      </c>
      <c r="M1503" s="38" t="s">
        <v>123</v>
      </c>
      <c r="N1503" s="41">
        <v>46008.541666666664</v>
      </c>
      <c r="O1503" s="38" t="s">
        <v>123</v>
      </c>
      <c r="P1503" s="38">
        <v>5400.0</v>
      </c>
      <c r="Q1503" s="39"/>
      <c r="R1503" s="39"/>
      <c r="S1503" s="39"/>
      <c r="T1503" s="39"/>
      <c r="U1503" s="39"/>
    </row>
    <row r="1504">
      <c r="A1504" s="40">
        <f t="shared" si="1"/>
        <v>46006</v>
      </c>
      <c r="B1504" s="37" t="str">
        <f t="array" ref="B1504">iferror(xlookup($I1504, 'IMPORT VHC Report'!$E:$E, 'IMPORT VHC Report'!$A:$C), )</f>
        <v/>
      </c>
      <c r="C1504" s="37"/>
      <c r="D1504" s="37"/>
      <c r="E1504" s="38" t="s">
        <v>1887</v>
      </c>
      <c r="F1504" s="38" t="s">
        <v>1870</v>
      </c>
      <c r="G1504" s="38">
        <v>3.61861297935E11</v>
      </c>
      <c r="H1504" s="38" t="s">
        <v>1871</v>
      </c>
      <c r="I1504" s="38" t="s">
        <v>1872</v>
      </c>
      <c r="J1504" s="38" t="s">
        <v>224</v>
      </c>
      <c r="K1504" s="38" t="s">
        <v>63</v>
      </c>
      <c r="L1504" s="41">
        <v>46009.166666666664</v>
      </c>
      <c r="M1504" s="38" t="s">
        <v>123</v>
      </c>
      <c r="N1504" s="41">
        <v>46009.458333333336</v>
      </c>
      <c r="O1504" s="38" t="s">
        <v>123</v>
      </c>
      <c r="P1504" s="38">
        <v>25200.0</v>
      </c>
      <c r="Q1504" s="39"/>
      <c r="R1504" s="39"/>
      <c r="S1504" s="39"/>
      <c r="T1504" s="39"/>
      <c r="U1504" s="39"/>
    </row>
    <row r="1505">
      <c r="A1505" s="40">
        <f t="shared" si="1"/>
        <v>46006</v>
      </c>
      <c r="B1505" s="37" t="str">
        <f t="array" ref="B1505">iferror(xlookup($I1505, 'IMPORT VHC Report'!$E:$E, 'IMPORT VHC Report'!$A:$C), )</f>
        <v/>
      </c>
      <c r="C1505" s="37"/>
      <c r="D1505" s="37"/>
      <c r="E1505" s="38" t="s">
        <v>1888</v>
      </c>
      <c r="F1505" s="38" t="s">
        <v>1870</v>
      </c>
      <c r="G1505" s="38">
        <v>3.61861297935E11</v>
      </c>
      <c r="H1505" s="38" t="s">
        <v>1871</v>
      </c>
      <c r="I1505" s="38" t="s">
        <v>1872</v>
      </c>
      <c r="J1505" s="38" t="s">
        <v>134</v>
      </c>
      <c r="K1505" s="38" t="s">
        <v>126</v>
      </c>
      <c r="L1505" s="41">
        <v>46009.25</v>
      </c>
      <c r="M1505" s="38" t="s">
        <v>123</v>
      </c>
      <c r="N1505" s="41">
        <v>46009.260416666664</v>
      </c>
      <c r="O1505" s="38" t="s">
        <v>123</v>
      </c>
      <c r="P1505" s="38">
        <v>900.0</v>
      </c>
      <c r="Q1505" s="39"/>
      <c r="R1505" s="39"/>
      <c r="S1505" s="39"/>
      <c r="T1505" s="39"/>
      <c r="U1505" s="39"/>
    </row>
    <row r="1506">
      <c r="A1506" s="40">
        <f t="shared" si="1"/>
        <v>46006</v>
      </c>
      <c r="B1506" s="37" t="str">
        <f t="array" ref="B1506">iferror(xlookup($I1506, 'IMPORT VHC Report'!$E:$E, 'IMPORT VHC Report'!$A:$C), )</f>
        <v/>
      </c>
      <c r="C1506" s="37"/>
      <c r="D1506" s="37"/>
      <c r="E1506" s="38" t="s">
        <v>1889</v>
      </c>
      <c r="F1506" s="38" t="s">
        <v>1870</v>
      </c>
      <c r="G1506" s="38">
        <v>3.61861297935E11</v>
      </c>
      <c r="H1506" s="38" t="s">
        <v>1871</v>
      </c>
      <c r="I1506" s="38" t="s">
        <v>1872</v>
      </c>
      <c r="J1506" s="38" t="s">
        <v>132</v>
      </c>
      <c r="K1506" s="38" t="s">
        <v>126</v>
      </c>
      <c r="L1506" s="41">
        <v>46009.34375</v>
      </c>
      <c r="M1506" s="38" t="s">
        <v>123</v>
      </c>
      <c r="N1506" s="41">
        <v>46009.385416666664</v>
      </c>
      <c r="O1506" s="38" t="s">
        <v>123</v>
      </c>
      <c r="P1506" s="38">
        <v>3600.0</v>
      </c>
      <c r="Q1506" s="39"/>
      <c r="R1506" s="39"/>
      <c r="S1506" s="39"/>
      <c r="T1506" s="39"/>
      <c r="U1506" s="39"/>
    </row>
    <row r="1507">
      <c r="A1507" s="40">
        <f t="shared" si="1"/>
        <v>46006</v>
      </c>
      <c r="B1507" s="37" t="str">
        <f t="array" ref="B1507">iferror(xlookup($I1507, 'IMPORT VHC Report'!$E:$E, 'IMPORT VHC Report'!$A:$C), )</f>
        <v/>
      </c>
      <c r="C1507" s="37"/>
      <c r="D1507" s="37"/>
      <c r="E1507" s="38" t="s">
        <v>1890</v>
      </c>
      <c r="F1507" s="38" t="s">
        <v>1870</v>
      </c>
      <c r="G1507" s="38">
        <v>3.61861297935E11</v>
      </c>
      <c r="H1507" s="38" t="s">
        <v>1871</v>
      </c>
      <c r="I1507" s="38" t="s">
        <v>1872</v>
      </c>
      <c r="J1507" s="38" t="s">
        <v>134</v>
      </c>
      <c r="K1507" s="38" t="s">
        <v>126</v>
      </c>
      <c r="L1507" s="41">
        <v>46009.447916666664</v>
      </c>
      <c r="M1507" s="38" t="s">
        <v>123</v>
      </c>
      <c r="N1507" s="41">
        <v>46009.458333333336</v>
      </c>
      <c r="O1507" s="38" t="s">
        <v>123</v>
      </c>
      <c r="P1507" s="38">
        <v>900.0</v>
      </c>
      <c r="Q1507" s="39"/>
      <c r="R1507" s="39"/>
      <c r="S1507" s="39"/>
      <c r="T1507" s="39"/>
      <c r="U1507" s="39"/>
    </row>
    <row r="1508">
      <c r="A1508" s="40">
        <f t="shared" si="1"/>
        <v>46006</v>
      </c>
      <c r="B1508" s="37" t="str">
        <f t="array" ref="B1508">iferror(xlookup($I1508, 'IMPORT VHC Report'!$E:$E, 'IMPORT VHC Report'!$A:$C), )</f>
        <v/>
      </c>
      <c r="C1508" s="37"/>
      <c r="D1508" s="37"/>
      <c r="E1508" s="38" t="s">
        <v>1891</v>
      </c>
      <c r="F1508" s="38" t="s">
        <v>1870</v>
      </c>
      <c r="G1508" s="38">
        <v>3.61861297935E11</v>
      </c>
      <c r="H1508" s="38" t="s">
        <v>1871</v>
      </c>
      <c r="I1508" s="38" t="s">
        <v>1872</v>
      </c>
      <c r="J1508" s="38" t="s">
        <v>62</v>
      </c>
      <c r="K1508" s="38" t="s">
        <v>63</v>
      </c>
      <c r="L1508" s="41">
        <v>46009.458333333336</v>
      </c>
      <c r="M1508" s="38" t="s">
        <v>123</v>
      </c>
      <c r="N1508" s="41">
        <v>46009.479166666664</v>
      </c>
      <c r="O1508" s="38" t="s">
        <v>123</v>
      </c>
      <c r="P1508" s="38">
        <v>1800.0</v>
      </c>
      <c r="Q1508" s="39"/>
      <c r="R1508" s="39"/>
      <c r="S1508" s="39"/>
      <c r="T1508" s="39"/>
      <c r="U1508" s="39"/>
    </row>
    <row r="1509">
      <c r="A1509" s="40">
        <f t="shared" si="1"/>
        <v>46006</v>
      </c>
      <c r="B1509" s="37" t="str">
        <f t="array" ref="B1509">iferror(xlookup($I1509, 'IMPORT VHC Report'!$E:$E, 'IMPORT VHC Report'!$A:$C), )</f>
        <v/>
      </c>
      <c r="C1509" s="37"/>
      <c r="D1509" s="37"/>
      <c r="E1509" s="38" t="s">
        <v>1892</v>
      </c>
      <c r="F1509" s="38" t="s">
        <v>1870</v>
      </c>
      <c r="G1509" s="38">
        <v>3.61861297935E11</v>
      </c>
      <c r="H1509" s="38" t="s">
        <v>1871</v>
      </c>
      <c r="I1509" s="38" t="s">
        <v>1872</v>
      </c>
      <c r="J1509" s="38" t="s">
        <v>224</v>
      </c>
      <c r="K1509" s="38" t="s">
        <v>63</v>
      </c>
      <c r="L1509" s="41">
        <v>46009.479166666664</v>
      </c>
      <c r="M1509" s="38" t="s">
        <v>123</v>
      </c>
      <c r="N1509" s="41">
        <v>46009.541666666664</v>
      </c>
      <c r="O1509" s="38" t="s">
        <v>123</v>
      </c>
      <c r="P1509" s="38">
        <v>5400.0</v>
      </c>
      <c r="Q1509" s="39"/>
      <c r="R1509" s="39"/>
      <c r="S1509" s="39"/>
      <c r="T1509" s="39"/>
      <c r="U1509" s="39"/>
    </row>
    <row r="1510">
      <c r="A1510" s="40">
        <f t="shared" si="1"/>
        <v>46006</v>
      </c>
      <c r="B1510" s="37" t="str">
        <f t="array" ref="B1510">iferror(xlookup($I1510, 'IMPORT VHC Report'!$E:$E, 'IMPORT VHC Report'!$A:$C), )</f>
        <v/>
      </c>
      <c r="C1510" s="37"/>
      <c r="D1510" s="37"/>
      <c r="E1510" s="38" t="s">
        <v>1893</v>
      </c>
      <c r="F1510" s="38" t="s">
        <v>1870</v>
      </c>
      <c r="G1510" s="38">
        <v>3.61861297935E11</v>
      </c>
      <c r="H1510" s="38" t="s">
        <v>1871</v>
      </c>
      <c r="I1510" s="38" t="s">
        <v>1872</v>
      </c>
      <c r="J1510" s="38" t="s">
        <v>224</v>
      </c>
      <c r="K1510" s="38" t="s">
        <v>63</v>
      </c>
      <c r="L1510" s="41">
        <v>46012.166666666664</v>
      </c>
      <c r="M1510" s="38" t="s">
        <v>123</v>
      </c>
      <c r="N1510" s="41">
        <v>46012.541666666664</v>
      </c>
      <c r="O1510" s="38" t="s">
        <v>123</v>
      </c>
      <c r="P1510" s="38">
        <v>32400.0</v>
      </c>
      <c r="Q1510" s="39"/>
      <c r="R1510" s="39"/>
      <c r="S1510" s="39"/>
      <c r="T1510" s="39"/>
      <c r="U1510" s="39"/>
    </row>
    <row r="1511">
      <c r="A1511" s="40">
        <f t="shared" si="1"/>
        <v>46006</v>
      </c>
      <c r="B1511" s="37" t="str">
        <f t="array" ref="B1511">iferror(xlookup($I1511, 'IMPORT VHC Report'!$E:$E, 'IMPORT VHC Report'!$A:$C), )</f>
        <v/>
      </c>
      <c r="C1511" s="37"/>
      <c r="D1511" s="37"/>
      <c r="E1511" s="38" t="s">
        <v>1894</v>
      </c>
      <c r="F1511" s="38" t="s">
        <v>1870</v>
      </c>
      <c r="G1511" s="38">
        <v>3.61861297935E11</v>
      </c>
      <c r="H1511" s="38" t="s">
        <v>1871</v>
      </c>
      <c r="I1511" s="38" t="s">
        <v>1872</v>
      </c>
      <c r="J1511" s="38" t="s">
        <v>134</v>
      </c>
      <c r="K1511" s="38" t="s">
        <v>126</v>
      </c>
      <c r="L1511" s="41">
        <v>46012.239583333336</v>
      </c>
      <c r="M1511" s="38" t="s">
        <v>123</v>
      </c>
      <c r="N1511" s="41">
        <v>46012.25</v>
      </c>
      <c r="O1511" s="38" t="s">
        <v>123</v>
      </c>
      <c r="P1511" s="38">
        <v>900.0</v>
      </c>
      <c r="Q1511" s="39"/>
      <c r="R1511" s="39"/>
      <c r="S1511" s="39"/>
      <c r="T1511" s="39"/>
      <c r="U1511" s="39"/>
    </row>
    <row r="1512">
      <c r="A1512" s="40">
        <f t="shared" si="1"/>
        <v>46006</v>
      </c>
      <c r="B1512" s="37" t="str">
        <f t="array" ref="B1512">iferror(xlookup($I1512, 'IMPORT VHC Report'!$E:$E, 'IMPORT VHC Report'!$A:$C), )</f>
        <v/>
      </c>
      <c r="C1512" s="37"/>
      <c r="D1512" s="37"/>
      <c r="E1512" s="38" t="s">
        <v>1895</v>
      </c>
      <c r="F1512" s="38" t="s">
        <v>1870</v>
      </c>
      <c r="G1512" s="38">
        <v>3.61861297935E11</v>
      </c>
      <c r="H1512" s="38" t="s">
        <v>1871</v>
      </c>
      <c r="I1512" s="38" t="s">
        <v>1872</v>
      </c>
      <c r="J1512" s="38" t="s">
        <v>134</v>
      </c>
      <c r="K1512" s="38" t="s">
        <v>126</v>
      </c>
      <c r="L1512" s="41">
        <v>46012.333333333336</v>
      </c>
      <c r="M1512" s="38" t="s">
        <v>123</v>
      </c>
      <c r="N1512" s="41">
        <v>46012.34375</v>
      </c>
      <c r="O1512" s="38" t="s">
        <v>123</v>
      </c>
      <c r="P1512" s="38">
        <v>900.0</v>
      </c>
      <c r="Q1512" s="39"/>
      <c r="R1512" s="39"/>
      <c r="S1512" s="39"/>
      <c r="T1512" s="39"/>
      <c r="U1512" s="39"/>
    </row>
    <row r="1513">
      <c r="A1513" s="40">
        <f t="shared" si="1"/>
        <v>46006</v>
      </c>
      <c r="B1513" s="37" t="str">
        <f t="array" ref="B1513">iferror(xlookup($I1513, 'IMPORT VHC Report'!$E:$E, 'IMPORT VHC Report'!$A:$C), )</f>
        <v/>
      </c>
      <c r="C1513" s="37"/>
      <c r="D1513" s="37"/>
      <c r="E1513" s="38" t="s">
        <v>1896</v>
      </c>
      <c r="F1513" s="38" t="s">
        <v>1870</v>
      </c>
      <c r="G1513" s="38">
        <v>3.61861297935E11</v>
      </c>
      <c r="H1513" s="38" t="s">
        <v>1871</v>
      </c>
      <c r="I1513" s="38" t="s">
        <v>1872</v>
      </c>
      <c r="J1513" s="38" t="s">
        <v>132</v>
      </c>
      <c r="K1513" s="38" t="s">
        <v>126</v>
      </c>
      <c r="L1513" s="41">
        <v>46012.4375</v>
      </c>
      <c r="M1513" s="38" t="s">
        <v>123</v>
      </c>
      <c r="N1513" s="41">
        <v>46012.479166666664</v>
      </c>
      <c r="O1513" s="38" t="s">
        <v>123</v>
      </c>
      <c r="P1513" s="38">
        <v>3600.0</v>
      </c>
      <c r="Q1513" s="39"/>
      <c r="R1513" s="39"/>
      <c r="S1513" s="39"/>
      <c r="T1513" s="39"/>
      <c r="U1513" s="39"/>
    </row>
    <row r="1514">
      <c r="A1514" s="40">
        <f t="shared" si="1"/>
        <v>46006</v>
      </c>
      <c r="B1514" s="37" t="str">
        <f t="array" ref="B1514">iferror(xlookup($I1514, 'IMPORT VHC Report'!$E:$E, 'IMPORT VHC Report'!$A:$C), )</f>
        <v/>
      </c>
      <c r="C1514" s="37"/>
      <c r="D1514" s="37"/>
      <c r="E1514" s="38" t="s">
        <v>1897</v>
      </c>
      <c r="F1514" s="38" t="s">
        <v>1898</v>
      </c>
      <c r="G1514" s="38">
        <v>3.61731943495E11</v>
      </c>
      <c r="H1514" s="38" t="s">
        <v>1899</v>
      </c>
      <c r="I1514" s="38" t="s">
        <v>1900</v>
      </c>
      <c r="J1514" s="38" t="s">
        <v>330</v>
      </c>
      <c r="K1514" s="38" t="s">
        <v>126</v>
      </c>
      <c r="L1514" s="41">
        <v>46006.166666666664</v>
      </c>
      <c r="M1514" s="38" t="s">
        <v>123</v>
      </c>
      <c r="N1514" s="41">
        <v>46006.17361111111</v>
      </c>
      <c r="O1514" s="38" t="s">
        <v>123</v>
      </c>
      <c r="P1514" s="38">
        <v>600.0</v>
      </c>
      <c r="Q1514" s="39"/>
      <c r="R1514" s="39"/>
      <c r="S1514" s="39"/>
      <c r="T1514" s="39"/>
      <c r="U1514" s="39"/>
    </row>
    <row r="1515">
      <c r="A1515" s="40">
        <f t="shared" si="1"/>
        <v>46006</v>
      </c>
      <c r="B1515" s="37" t="str">
        <f t="array" ref="B1515">iferror(xlookup($I1515, 'IMPORT VHC Report'!$E:$E, 'IMPORT VHC Report'!$A:$C), )</f>
        <v/>
      </c>
      <c r="C1515" s="37"/>
      <c r="D1515" s="37"/>
      <c r="E1515" s="38" t="s">
        <v>1901</v>
      </c>
      <c r="F1515" s="38" t="s">
        <v>1898</v>
      </c>
      <c r="G1515" s="38">
        <v>3.61731943495E11</v>
      </c>
      <c r="H1515" s="38" t="s">
        <v>1899</v>
      </c>
      <c r="I1515" s="38" t="s">
        <v>1900</v>
      </c>
      <c r="J1515" s="38" t="s">
        <v>332</v>
      </c>
      <c r="K1515" s="38" t="s">
        <v>63</v>
      </c>
      <c r="L1515" s="41">
        <v>46006.166666666664</v>
      </c>
      <c r="M1515" s="38" t="s">
        <v>123</v>
      </c>
      <c r="N1515" s="41">
        <v>46006.541666666664</v>
      </c>
      <c r="O1515" s="38" t="s">
        <v>123</v>
      </c>
      <c r="P1515" s="38">
        <v>32400.0</v>
      </c>
      <c r="Q1515" s="39"/>
      <c r="R1515" s="39"/>
      <c r="S1515" s="39"/>
      <c r="T1515" s="39"/>
      <c r="U1515" s="39"/>
    </row>
    <row r="1516">
      <c r="A1516" s="40">
        <f t="shared" si="1"/>
        <v>46006</v>
      </c>
      <c r="B1516" s="37" t="str">
        <f t="array" ref="B1516">iferror(xlookup($I1516, 'IMPORT VHC Report'!$E:$E, 'IMPORT VHC Report'!$A:$C), )</f>
        <v/>
      </c>
      <c r="C1516" s="37"/>
      <c r="D1516" s="37"/>
      <c r="E1516" s="38" t="s">
        <v>1902</v>
      </c>
      <c r="F1516" s="38" t="s">
        <v>1898</v>
      </c>
      <c r="G1516" s="38">
        <v>3.61731943495E11</v>
      </c>
      <c r="H1516" s="38" t="s">
        <v>1899</v>
      </c>
      <c r="I1516" s="38" t="s">
        <v>1900</v>
      </c>
      <c r="J1516" s="38" t="s">
        <v>134</v>
      </c>
      <c r="K1516" s="38" t="s">
        <v>126</v>
      </c>
      <c r="L1516" s="41">
        <v>46006.25</v>
      </c>
      <c r="M1516" s="38" t="s">
        <v>123</v>
      </c>
      <c r="N1516" s="41">
        <v>46006.270833333336</v>
      </c>
      <c r="O1516" s="38" t="s">
        <v>123</v>
      </c>
      <c r="P1516" s="38">
        <v>1800.0</v>
      </c>
      <c r="Q1516" s="39"/>
      <c r="R1516" s="39"/>
      <c r="S1516" s="39"/>
      <c r="T1516" s="39"/>
      <c r="U1516" s="39"/>
    </row>
    <row r="1517">
      <c r="A1517" s="40">
        <f t="shared" si="1"/>
        <v>46006</v>
      </c>
      <c r="B1517" s="37" t="str">
        <f t="array" ref="B1517">iferror(xlookup($I1517, 'IMPORT VHC Report'!$E:$E, 'IMPORT VHC Report'!$A:$C), )</f>
        <v/>
      </c>
      <c r="C1517" s="37"/>
      <c r="D1517" s="37"/>
      <c r="E1517" s="38" t="s">
        <v>1903</v>
      </c>
      <c r="F1517" s="38" t="s">
        <v>1898</v>
      </c>
      <c r="G1517" s="38">
        <v>3.61731943495E11</v>
      </c>
      <c r="H1517" s="38" t="s">
        <v>1899</v>
      </c>
      <c r="I1517" s="38" t="s">
        <v>1900</v>
      </c>
      <c r="J1517" s="38" t="s">
        <v>132</v>
      </c>
      <c r="K1517" s="38" t="s">
        <v>126</v>
      </c>
      <c r="L1517" s="41">
        <v>46006.385416666664</v>
      </c>
      <c r="M1517" s="38" t="s">
        <v>123</v>
      </c>
      <c r="N1517" s="41">
        <v>46006.427083333336</v>
      </c>
      <c r="O1517" s="38" t="s">
        <v>123</v>
      </c>
      <c r="P1517" s="38">
        <v>3600.0</v>
      </c>
      <c r="Q1517" s="39"/>
      <c r="R1517" s="39"/>
      <c r="S1517" s="39"/>
      <c r="T1517" s="39"/>
      <c r="U1517" s="39"/>
    </row>
    <row r="1518">
      <c r="A1518" s="40">
        <f t="shared" si="1"/>
        <v>46006</v>
      </c>
      <c r="B1518" s="37" t="str">
        <f t="array" ref="B1518">iferror(xlookup($I1518, 'IMPORT VHC Report'!$E:$E, 'IMPORT VHC Report'!$A:$C), )</f>
        <v/>
      </c>
      <c r="C1518" s="37"/>
      <c r="D1518" s="37"/>
      <c r="E1518" s="38" t="s">
        <v>1904</v>
      </c>
      <c r="F1518" s="38" t="s">
        <v>1898</v>
      </c>
      <c r="G1518" s="38">
        <v>3.61731943495E11</v>
      </c>
      <c r="H1518" s="38" t="s">
        <v>1899</v>
      </c>
      <c r="I1518" s="38" t="s">
        <v>1900</v>
      </c>
      <c r="J1518" s="38" t="s">
        <v>330</v>
      </c>
      <c r="K1518" s="38" t="s">
        <v>126</v>
      </c>
      <c r="L1518" s="41">
        <v>46007.166666666664</v>
      </c>
      <c r="M1518" s="38" t="s">
        <v>123</v>
      </c>
      <c r="N1518" s="41">
        <v>46007.17361111111</v>
      </c>
      <c r="O1518" s="38" t="s">
        <v>123</v>
      </c>
      <c r="P1518" s="38">
        <v>600.0</v>
      </c>
      <c r="Q1518" s="39"/>
      <c r="R1518" s="39"/>
      <c r="S1518" s="39"/>
      <c r="T1518" s="39"/>
      <c r="U1518" s="39"/>
    </row>
    <row r="1519">
      <c r="A1519" s="40">
        <f t="shared" si="1"/>
        <v>46006</v>
      </c>
      <c r="B1519" s="37" t="str">
        <f t="array" ref="B1519">iferror(xlookup($I1519, 'IMPORT VHC Report'!$E:$E, 'IMPORT VHC Report'!$A:$C), )</f>
        <v/>
      </c>
      <c r="C1519" s="37"/>
      <c r="D1519" s="37"/>
      <c r="E1519" s="38" t="s">
        <v>1905</v>
      </c>
      <c r="F1519" s="38" t="s">
        <v>1898</v>
      </c>
      <c r="G1519" s="38">
        <v>3.61731943495E11</v>
      </c>
      <c r="H1519" s="38" t="s">
        <v>1899</v>
      </c>
      <c r="I1519" s="38" t="s">
        <v>1900</v>
      </c>
      <c r="J1519" s="38" t="s">
        <v>332</v>
      </c>
      <c r="K1519" s="38" t="s">
        <v>63</v>
      </c>
      <c r="L1519" s="41">
        <v>46007.166666666664</v>
      </c>
      <c r="M1519" s="38" t="s">
        <v>123</v>
      </c>
      <c r="N1519" s="41">
        <v>46007.541666666664</v>
      </c>
      <c r="O1519" s="38" t="s">
        <v>123</v>
      </c>
      <c r="P1519" s="38">
        <v>32400.0</v>
      </c>
      <c r="Q1519" s="39"/>
      <c r="R1519" s="39"/>
      <c r="S1519" s="39"/>
      <c r="T1519" s="39"/>
      <c r="U1519" s="39"/>
    </row>
    <row r="1520">
      <c r="A1520" s="40">
        <f t="shared" si="1"/>
        <v>46006</v>
      </c>
      <c r="B1520" s="37" t="str">
        <f t="array" ref="B1520">iferror(xlookup($I1520, 'IMPORT VHC Report'!$E:$E, 'IMPORT VHC Report'!$A:$C), )</f>
        <v/>
      </c>
      <c r="C1520" s="37"/>
      <c r="D1520" s="37"/>
      <c r="E1520" s="38" t="s">
        <v>1906</v>
      </c>
      <c r="F1520" s="38" t="s">
        <v>1898</v>
      </c>
      <c r="G1520" s="38">
        <v>3.61731943495E11</v>
      </c>
      <c r="H1520" s="38" t="s">
        <v>1899</v>
      </c>
      <c r="I1520" s="38" t="s">
        <v>1900</v>
      </c>
      <c r="J1520" s="38" t="s">
        <v>132</v>
      </c>
      <c r="K1520" s="38" t="s">
        <v>126</v>
      </c>
      <c r="L1520" s="41">
        <v>46007.25</v>
      </c>
      <c r="M1520" s="38" t="s">
        <v>123</v>
      </c>
      <c r="N1520" s="41">
        <v>46007.291666666664</v>
      </c>
      <c r="O1520" s="38" t="s">
        <v>123</v>
      </c>
      <c r="P1520" s="38">
        <v>3600.0</v>
      </c>
      <c r="Q1520" s="39"/>
      <c r="R1520" s="39"/>
      <c r="S1520" s="39"/>
      <c r="T1520" s="39"/>
      <c r="U1520" s="39"/>
    </row>
    <row r="1521">
      <c r="A1521" s="40">
        <f t="shared" si="1"/>
        <v>46006</v>
      </c>
      <c r="B1521" s="37" t="str">
        <f t="array" ref="B1521">iferror(xlookup($I1521, 'IMPORT VHC Report'!$E:$E, 'IMPORT VHC Report'!$A:$C), )</f>
        <v/>
      </c>
      <c r="C1521" s="37"/>
      <c r="D1521" s="37"/>
      <c r="E1521" s="38" t="s">
        <v>1907</v>
      </c>
      <c r="F1521" s="38" t="s">
        <v>1898</v>
      </c>
      <c r="G1521" s="38">
        <v>3.61731943495E11</v>
      </c>
      <c r="H1521" s="38" t="s">
        <v>1899</v>
      </c>
      <c r="I1521" s="38" t="s">
        <v>1900</v>
      </c>
      <c r="J1521" s="38" t="s">
        <v>134</v>
      </c>
      <c r="K1521" s="38" t="s">
        <v>126</v>
      </c>
      <c r="L1521" s="41">
        <v>46007.416666666664</v>
      </c>
      <c r="M1521" s="38" t="s">
        <v>123</v>
      </c>
      <c r="N1521" s="41">
        <v>46007.4375</v>
      </c>
      <c r="O1521" s="38" t="s">
        <v>123</v>
      </c>
      <c r="P1521" s="38">
        <v>1800.0</v>
      </c>
      <c r="Q1521" s="39"/>
      <c r="R1521" s="39"/>
      <c r="S1521" s="39"/>
      <c r="T1521" s="39"/>
      <c r="U1521" s="39"/>
    </row>
    <row r="1522">
      <c r="A1522" s="40">
        <f t="shared" si="1"/>
        <v>46006</v>
      </c>
      <c r="B1522" s="37" t="str">
        <f t="array" ref="B1522">iferror(xlookup($I1522, 'IMPORT VHC Report'!$E:$E, 'IMPORT VHC Report'!$A:$C), )</f>
        <v/>
      </c>
      <c r="C1522" s="37"/>
      <c r="D1522" s="37"/>
      <c r="E1522" s="38" t="s">
        <v>1908</v>
      </c>
      <c r="F1522" s="38" t="s">
        <v>1898</v>
      </c>
      <c r="G1522" s="38">
        <v>3.61731943495E11</v>
      </c>
      <c r="H1522" s="38" t="s">
        <v>1899</v>
      </c>
      <c r="I1522" s="38" t="s">
        <v>1900</v>
      </c>
      <c r="J1522" s="38" t="s">
        <v>330</v>
      </c>
      <c r="K1522" s="38" t="s">
        <v>126</v>
      </c>
      <c r="L1522" s="41">
        <v>46008.166666666664</v>
      </c>
      <c r="M1522" s="38" t="s">
        <v>123</v>
      </c>
      <c r="N1522" s="41">
        <v>46008.17361111111</v>
      </c>
      <c r="O1522" s="38" t="s">
        <v>123</v>
      </c>
      <c r="P1522" s="38">
        <v>600.0</v>
      </c>
      <c r="Q1522" s="39"/>
      <c r="R1522" s="39"/>
      <c r="S1522" s="39"/>
      <c r="T1522" s="39"/>
      <c r="U1522" s="39"/>
    </row>
    <row r="1523">
      <c r="A1523" s="40">
        <f t="shared" si="1"/>
        <v>46006</v>
      </c>
      <c r="B1523" s="37" t="str">
        <f t="array" ref="B1523">iferror(xlookup($I1523, 'IMPORT VHC Report'!$E:$E, 'IMPORT VHC Report'!$A:$C), )</f>
        <v/>
      </c>
      <c r="C1523" s="37"/>
      <c r="D1523" s="37"/>
      <c r="E1523" s="38" t="s">
        <v>1909</v>
      </c>
      <c r="F1523" s="38" t="s">
        <v>1898</v>
      </c>
      <c r="G1523" s="38">
        <v>3.61731943495E11</v>
      </c>
      <c r="H1523" s="38" t="s">
        <v>1899</v>
      </c>
      <c r="I1523" s="38" t="s">
        <v>1900</v>
      </c>
      <c r="J1523" s="38" t="s">
        <v>332</v>
      </c>
      <c r="K1523" s="38" t="s">
        <v>63</v>
      </c>
      <c r="L1523" s="41">
        <v>46008.166666666664</v>
      </c>
      <c r="M1523" s="38" t="s">
        <v>123</v>
      </c>
      <c r="N1523" s="41">
        <v>46008.541666666664</v>
      </c>
      <c r="O1523" s="38" t="s">
        <v>123</v>
      </c>
      <c r="P1523" s="38">
        <v>32400.0</v>
      </c>
      <c r="Q1523" s="39"/>
      <c r="R1523" s="39"/>
      <c r="S1523" s="39"/>
      <c r="T1523" s="39"/>
      <c r="U1523" s="39"/>
    </row>
    <row r="1524">
      <c r="A1524" s="40">
        <f t="shared" si="1"/>
        <v>46006</v>
      </c>
      <c r="B1524" s="37" t="str">
        <f t="array" ref="B1524">iferror(xlookup($I1524, 'IMPORT VHC Report'!$E:$E, 'IMPORT VHC Report'!$A:$C), )</f>
        <v/>
      </c>
      <c r="C1524" s="37"/>
      <c r="D1524" s="37"/>
      <c r="E1524" s="38" t="s">
        <v>1910</v>
      </c>
      <c r="F1524" s="38" t="s">
        <v>1898</v>
      </c>
      <c r="G1524" s="38">
        <v>3.61731943495E11</v>
      </c>
      <c r="H1524" s="38" t="s">
        <v>1899</v>
      </c>
      <c r="I1524" s="38" t="s">
        <v>1900</v>
      </c>
      <c r="J1524" s="38" t="s">
        <v>136</v>
      </c>
      <c r="K1524" s="38" t="s">
        <v>126</v>
      </c>
      <c r="L1524" s="41">
        <v>46008.208333333336</v>
      </c>
      <c r="M1524" s="38" t="s">
        <v>123</v>
      </c>
      <c r="N1524" s="41">
        <v>46008.25</v>
      </c>
      <c r="O1524" s="38" t="s">
        <v>123</v>
      </c>
      <c r="P1524" s="38">
        <v>3600.0</v>
      </c>
      <c r="Q1524" s="39"/>
      <c r="R1524" s="39"/>
      <c r="S1524" s="38" t="s">
        <v>137</v>
      </c>
      <c r="T1524" s="39"/>
      <c r="U1524" s="39"/>
    </row>
    <row r="1525">
      <c r="A1525" s="40">
        <f t="shared" si="1"/>
        <v>46006</v>
      </c>
      <c r="B1525" s="37" t="str">
        <f t="array" ref="B1525">iferror(xlookup($I1525, 'IMPORT VHC Report'!$E:$E, 'IMPORT VHC Report'!$A:$C), )</f>
        <v/>
      </c>
      <c r="C1525" s="37"/>
      <c r="D1525" s="37"/>
      <c r="E1525" s="38" t="s">
        <v>1911</v>
      </c>
      <c r="F1525" s="38" t="s">
        <v>1898</v>
      </c>
      <c r="G1525" s="38">
        <v>3.61731943495E11</v>
      </c>
      <c r="H1525" s="38" t="s">
        <v>1899</v>
      </c>
      <c r="I1525" s="38" t="s">
        <v>1900</v>
      </c>
      <c r="J1525" s="38" t="s">
        <v>132</v>
      </c>
      <c r="K1525" s="38" t="s">
        <v>126</v>
      </c>
      <c r="L1525" s="41">
        <v>46008.270833333336</v>
      </c>
      <c r="M1525" s="38" t="s">
        <v>123</v>
      </c>
      <c r="N1525" s="41">
        <v>46008.3125</v>
      </c>
      <c r="O1525" s="38" t="s">
        <v>123</v>
      </c>
      <c r="P1525" s="38">
        <v>3600.0</v>
      </c>
      <c r="Q1525" s="39"/>
      <c r="R1525" s="39"/>
      <c r="S1525" s="39"/>
      <c r="T1525" s="39"/>
      <c r="U1525" s="39"/>
    </row>
    <row r="1526">
      <c r="A1526" s="40">
        <f t="shared" si="1"/>
        <v>46006</v>
      </c>
      <c r="B1526" s="37" t="str">
        <f t="array" ref="B1526">iferror(xlookup($I1526, 'IMPORT VHC Report'!$E:$E, 'IMPORT VHC Report'!$A:$C), )</f>
        <v/>
      </c>
      <c r="C1526" s="37"/>
      <c r="D1526" s="37"/>
      <c r="E1526" s="38" t="s">
        <v>1912</v>
      </c>
      <c r="F1526" s="38" t="s">
        <v>1898</v>
      </c>
      <c r="G1526" s="38">
        <v>3.61731943495E11</v>
      </c>
      <c r="H1526" s="38" t="s">
        <v>1899</v>
      </c>
      <c r="I1526" s="38" t="s">
        <v>1900</v>
      </c>
      <c r="J1526" s="38" t="s">
        <v>4</v>
      </c>
      <c r="K1526" s="38" t="s">
        <v>126</v>
      </c>
      <c r="L1526" s="41">
        <v>46008.34375</v>
      </c>
      <c r="M1526" s="38" t="s">
        <v>123</v>
      </c>
      <c r="N1526" s="41">
        <v>46008.385416666664</v>
      </c>
      <c r="O1526" s="38" t="s">
        <v>123</v>
      </c>
      <c r="P1526" s="38">
        <v>3600.0</v>
      </c>
      <c r="Q1526" s="39"/>
      <c r="R1526" s="39"/>
      <c r="S1526" s="38" t="s">
        <v>130</v>
      </c>
      <c r="T1526" s="39"/>
      <c r="U1526" s="39"/>
    </row>
    <row r="1527">
      <c r="A1527" s="40">
        <f t="shared" si="1"/>
        <v>46006</v>
      </c>
      <c r="B1527" s="37" t="str">
        <f t="array" ref="B1527">iferror(xlookup($I1527, 'IMPORT VHC Report'!$E:$E, 'IMPORT VHC Report'!$A:$C), )</f>
        <v/>
      </c>
      <c r="C1527" s="37"/>
      <c r="D1527" s="37"/>
      <c r="E1527" s="38" t="s">
        <v>1913</v>
      </c>
      <c r="F1527" s="38" t="s">
        <v>1898</v>
      </c>
      <c r="G1527" s="38">
        <v>3.61731943495E11</v>
      </c>
      <c r="H1527" s="38" t="s">
        <v>1899</v>
      </c>
      <c r="I1527" s="38" t="s">
        <v>1900</v>
      </c>
      <c r="J1527" s="38" t="s">
        <v>134</v>
      </c>
      <c r="K1527" s="38" t="s">
        <v>126</v>
      </c>
      <c r="L1527" s="41">
        <v>46008.458333333336</v>
      </c>
      <c r="M1527" s="38" t="s">
        <v>123</v>
      </c>
      <c r="N1527" s="41">
        <v>46008.479166666664</v>
      </c>
      <c r="O1527" s="38" t="s">
        <v>123</v>
      </c>
      <c r="P1527" s="38">
        <v>1800.0</v>
      </c>
      <c r="Q1527" s="39"/>
      <c r="R1527" s="39"/>
      <c r="S1527" s="39"/>
      <c r="T1527" s="39"/>
      <c r="U1527" s="39"/>
    </row>
    <row r="1528">
      <c r="A1528" s="40">
        <f t="shared" si="1"/>
        <v>46006</v>
      </c>
      <c r="B1528" s="37" t="str">
        <f t="array" ref="B1528">iferror(xlookup($I1528, 'IMPORT VHC Report'!$E:$E, 'IMPORT VHC Report'!$A:$C), )</f>
        <v/>
      </c>
      <c r="C1528" s="37"/>
      <c r="D1528" s="37"/>
      <c r="E1528" s="38" t="s">
        <v>1914</v>
      </c>
      <c r="F1528" s="38" t="s">
        <v>1898</v>
      </c>
      <c r="G1528" s="38">
        <v>3.61731943495E11</v>
      </c>
      <c r="H1528" s="38" t="s">
        <v>1899</v>
      </c>
      <c r="I1528" s="38" t="s">
        <v>1900</v>
      </c>
      <c r="J1528" s="38" t="s">
        <v>330</v>
      </c>
      <c r="K1528" s="38" t="s">
        <v>126</v>
      </c>
      <c r="L1528" s="41">
        <v>46009.166666666664</v>
      </c>
      <c r="M1528" s="38" t="s">
        <v>123</v>
      </c>
      <c r="N1528" s="41">
        <v>46009.17361111111</v>
      </c>
      <c r="O1528" s="38" t="s">
        <v>123</v>
      </c>
      <c r="P1528" s="38">
        <v>600.0</v>
      </c>
      <c r="Q1528" s="39"/>
      <c r="R1528" s="39"/>
      <c r="S1528" s="39"/>
      <c r="T1528" s="39"/>
      <c r="U1528" s="39"/>
    </row>
    <row r="1529">
      <c r="A1529" s="40">
        <f t="shared" si="1"/>
        <v>46006</v>
      </c>
      <c r="B1529" s="37" t="str">
        <f t="array" ref="B1529">iferror(xlookup($I1529, 'IMPORT VHC Report'!$E:$E, 'IMPORT VHC Report'!$A:$C), )</f>
        <v/>
      </c>
      <c r="C1529" s="37"/>
      <c r="D1529" s="37"/>
      <c r="E1529" s="38" t="s">
        <v>1915</v>
      </c>
      <c r="F1529" s="38" t="s">
        <v>1898</v>
      </c>
      <c r="G1529" s="38">
        <v>3.61731943495E11</v>
      </c>
      <c r="H1529" s="38" t="s">
        <v>1899</v>
      </c>
      <c r="I1529" s="38" t="s">
        <v>1900</v>
      </c>
      <c r="J1529" s="38" t="s">
        <v>332</v>
      </c>
      <c r="K1529" s="38" t="s">
        <v>63</v>
      </c>
      <c r="L1529" s="41">
        <v>46009.166666666664</v>
      </c>
      <c r="M1529" s="38" t="s">
        <v>123</v>
      </c>
      <c r="N1529" s="41">
        <v>46009.541666666664</v>
      </c>
      <c r="O1529" s="38" t="s">
        <v>123</v>
      </c>
      <c r="P1529" s="38">
        <v>32400.0</v>
      </c>
      <c r="Q1529" s="39"/>
      <c r="R1529" s="39"/>
      <c r="S1529" s="39"/>
      <c r="T1529" s="39"/>
      <c r="U1529" s="39"/>
    </row>
    <row r="1530">
      <c r="A1530" s="40">
        <f t="shared" si="1"/>
        <v>46006</v>
      </c>
      <c r="B1530" s="37" t="str">
        <f t="array" ref="B1530">iferror(xlookup($I1530, 'IMPORT VHC Report'!$E:$E, 'IMPORT VHC Report'!$A:$C), )</f>
        <v/>
      </c>
      <c r="C1530" s="37"/>
      <c r="D1530" s="37"/>
      <c r="E1530" s="38" t="s">
        <v>1916</v>
      </c>
      <c r="F1530" s="38" t="s">
        <v>1898</v>
      </c>
      <c r="G1530" s="38">
        <v>3.61731943495E11</v>
      </c>
      <c r="H1530" s="38" t="s">
        <v>1899</v>
      </c>
      <c r="I1530" s="38" t="s">
        <v>1900</v>
      </c>
      <c r="J1530" s="38" t="s">
        <v>332</v>
      </c>
      <c r="K1530" s="38" t="s">
        <v>63</v>
      </c>
      <c r="L1530" s="41">
        <v>46009.1875</v>
      </c>
      <c r="M1530" s="38" t="s">
        <v>123</v>
      </c>
      <c r="N1530" s="41">
        <v>46009.229166666664</v>
      </c>
      <c r="O1530" s="38" t="s">
        <v>123</v>
      </c>
      <c r="P1530" s="38">
        <v>3600.0</v>
      </c>
      <c r="Q1530" s="39"/>
      <c r="R1530" s="39"/>
      <c r="S1530" s="39"/>
      <c r="T1530" s="39"/>
      <c r="U1530" s="39"/>
    </row>
    <row r="1531">
      <c r="A1531" s="40">
        <f t="shared" si="1"/>
        <v>46006</v>
      </c>
      <c r="B1531" s="37" t="str">
        <f t="array" ref="B1531">iferror(xlookup($I1531, 'IMPORT VHC Report'!$E:$E, 'IMPORT VHC Report'!$A:$C), )</f>
        <v/>
      </c>
      <c r="C1531" s="37"/>
      <c r="D1531" s="37"/>
      <c r="E1531" s="38" t="s">
        <v>1917</v>
      </c>
      <c r="F1531" s="38" t="s">
        <v>1898</v>
      </c>
      <c r="G1531" s="38">
        <v>3.61731943495E11</v>
      </c>
      <c r="H1531" s="38" t="s">
        <v>1899</v>
      </c>
      <c r="I1531" s="38" t="s">
        <v>1900</v>
      </c>
      <c r="J1531" s="38" t="s">
        <v>132</v>
      </c>
      <c r="K1531" s="38" t="s">
        <v>126</v>
      </c>
      <c r="L1531" s="41">
        <v>46009.229166666664</v>
      </c>
      <c r="M1531" s="38" t="s">
        <v>123</v>
      </c>
      <c r="N1531" s="41">
        <v>46009.270833333336</v>
      </c>
      <c r="O1531" s="38" t="s">
        <v>123</v>
      </c>
      <c r="P1531" s="38">
        <v>3600.0</v>
      </c>
      <c r="Q1531" s="39"/>
      <c r="R1531" s="39"/>
      <c r="S1531" s="39"/>
      <c r="T1531" s="39"/>
      <c r="U1531" s="39"/>
    </row>
    <row r="1532">
      <c r="A1532" s="40">
        <f t="shared" si="1"/>
        <v>46006</v>
      </c>
      <c r="B1532" s="37" t="str">
        <f t="array" ref="B1532">iferror(xlookup($I1532, 'IMPORT VHC Report'!$E:$E, 'IMPORT VHC Report'!$A:$C), )</f>
        <v/>
      </c>
      <c r="C1532" s="37"/>
      <c r="D1532" s="37"/>
      <c r="E1532" s="38" t="s">
        <v>1918</v>
      </c>
      <c r="F1532" s="38" t="s">
        <v>1898</v>
      </c>
      <c r="G1532" s="38">
        <v>3.61731943495E11</v>
      </c>
      <c r="H1532" s="38" t="s">
        <v>1899</v>
      </c>
      <c r="I1532" s="38" t="s">
        <v>1900</v>
      </c>
      <c r="J1532" s="38" t="s">
        <v>4</v>
      </c>
      <c r="K1532" s="38" t="s">
        <v>126</v>
      </c>
      <c r="L1532" s="41">
        <v>46009.271527777775</v>
      </c>
      <c r="M1532" s="38" t="s">
        <v>123</v>
      </c>
      <c r="N1532" s="41">
        <v>46009.31319444445</v>
      </c>
      <c r="O1532" s="38" t="s">
        <v>123</v>
      </c>
      <c r="P1532" s="38">
        <v>3600.0</v>
      </c>
      <c r="Q1532" s="39"/>
      <c r="R1532" s="39"/>
      <c r="S1532" s="38" t="s">
        <v>336</v>
      </c>
      <c r="T1532" s="39"/>
      <c r="U1532" s="39"/>
    </row>
    <row r="1533">
      <c r="A1533" s="40">
        <f t="shared" si="1"/>
        <v>46006</v>
      </c>
      <c r="B1533" s="37" t="str">
        <f t="array" ref="B1533">iferror(xlookup($I1533, 'IMPORT VHC Report'!$E:$E, 'IMPORT VHC Report'!$A:$C), )</f>
        <v/>
      </c>
      <c r="C1533" s="37"/>
      <c r="D1533" s="37"/>
      <c r="E1533" s="38" t="s">
        <v>1919</v>
      </c>
      <c r="F1533" s="38" t="s">
        <v>1898</v>
      </c>
      <c r="G1533" s="38">
        <v>3.61731943495E11</v>
      </c>
      <c r="H1533" s="38" t="s">
        <v>1899</v>
      </c>
      <c r="I1533" s="38" t="s">
        <v>1900</v>
      </c>
      <c r="J1533" s="38" t="s">
        <v>134</v>
      </c>
      <c r="K1533" s="38" t="s">
        <v>126</v>
      </c>
      <c r="L1533" s="41">
        <v>46009.4375</v>
      </c>
      <c r="M1533" s="38" t="s">
        <v>123</v>
      </c>
      <c r="N1533" s="41">
        <v>46009.458333333336</v>
      </c>
      <c r="O1533" s="38" t="s">
        <v>123</v>
      </c>
      <c r="P1533" s="38">
        <v>1800.0</v>
      </c>
      <c r="Q1533" s="39"/>
      <c r="R1533" s="39"/>
      <c r="S1533" s="39"/>
      <c r="T1533" s="39"/>
      <c r="U1533" s="39"/>
    </row>
    <row r="1534">
      <c r="A1534" s="40">
        <f t="shared" si="1"/>
        <v>46006</v>
      </c>
      <c r="B1534" s="37" t="str">
        <f t="array" ref="B1534">iferror(xlookup($I1534, 'IMPORT VHC Report'!$E:$E, 'IMPORT VHC Report'!$A:$C), )</f>
        <v/>
      </c>
      <c r="C1534" s="37"/>
      <c r="D1534" s="37"/>
      <c r="E1534" s="38" t="s">
        <v>1920</v>
      </c>
      <c r="F1534" s="38" t="s">
        <v>1898</v>
      </c>
      <c r="G1534" s="38">
        <v>3.61731943495E11</v>
      </c>
      <c r="H1534" s="38" t="s">
        <v>1899</v>
      </c>
      <c r="I1534" s="38" t="s">
        <v>1900</v>
      </c>
      <c r="J1534" s="38" t="s">
        <v>330</v>
      </c>
      <c r="K1534" s="38" t="s">
        <v>126</v>
      </c>
      <c r="L1534" s="41">
        <v>46012.166666666664</v>
      </c>
      <c r="M1534" s="38" t="s">
        <v>123</v>
      </c>
      <c r="N1534" s="41">
        <v>46012.17361111111</v>
      </c>
      <c r="O1534" s="38" t="s">
        <v>123</v>
      </c>
      <c r="P1534" s="38">
        <v>600.0</v>
      </c>
      <c r="Q1534" s="39"/>
      <c r="R1534" s="39"/>
      <c r="S1534" s="39"/>
      <c r="T1534" s="39"/>
      <c r="U1534" s="39"/>
    </row>
    <row r="1535">
      <c r="A1535" s="40">
        <f t="shared" si="1"/>
        <v>46006</v>
      </c>
      <c r="B1535" s="37" t="str">
        <f t="array" ref="B1535">iferror(xlookup($I1535, 'IMPORT VHC Report'!$E:$E, 'IMPORT VHC Report'!$A:$C), )</f>
        <v/>
      </c>
      <c r="C1535" s="37"/>
      <c r="D1535" s="37"/>
      <c r="E1535" s="38" t="s">
        <v>1921</v>
      </c>
      <c r="F1535" s="38" t="s">
        <v>1898</v>
      </c>
      <c r="G1535" s="38">
        <v>3.61731943495E11</v>
      </c>
      <c r="H1535" s="38" t="s">
        <v>1899</v>
      </c>
      <c r="I1535" s="38" t="s">
        <v>1900</v>
      </c>
      <c r="J1535" s="38" t="s">
        <v>332</v>
      </c>
      <c r="K1535" s="38" t="s">
        <v>63</v>
      </c>
      <c r="L1535" s="41">
        <v>46012.166666666664</v>
      </c>
      <c r="M1535" s="38" t="s">
        <v>123</v>
      </c>
      <c r="N1535" s="41">
        <v>46012.541666666664</v>
      </c>
      <c r="O1535" s="38" t="s">
        <v>123</v>
      </c>
      <c r="P1535" s="38">
        <v>32400.0</v>
      </c>
      <c r="Q1535" s="39"/>
      <c r="R1535" s="39"/>
      <c r="S1535" s="39"/>
      <c r="T1535" s="39"/>
      <c r="U1535" s="39"/>
    </row>
    <row r="1536">
      <c r="A1536" s="40">
        <f t="shared" si="1"/>
        <v>46006</v>
      </c>
      <c r="B1536" s="37" t="str">
        <f t="array" ref="B1536">iferror(xlookup($I1536, 'IMPORT VHC Report'!$E:$E, 'IMPORT VHC Report'!$A:$C), )</f>
        <v/>
      </c>
      <c r="C1536" s="37"/>
      <c r="D1536" s="37"/>
      <c r="E1536" s="38" t="s">
        <v>1922</v>
      </c>
      <c r="F1536" s="38" t="s">
        <v>1898</v>
      </c>
      <c r="G1536" s="38">
        <v>3.61731943495E11</v>
      </c>
      <c r="H1536" s="38" t="s">
        <v>1899</v>
      </c>
      <c r="I1536" s="38" t="s">
        <v>1900</v>
      </c>
      <c r="J1536" s="38" t="s">
        <v>132</v>
      </c>
      <c r="K1536" s="38" t="s">
        <v>126</v>
      </c>
      <c r="L1536" s="41">
        <v>46012.21875</v>
      </c>
      <c r="M1536" s="38" t="s">
        <v>123</v>
      </c>
      <c r="N1536" s="41">
        <v>46012.260416666664</v>
      </c>
      <c r="O1536" s="38" t="s">
        <v>123</v>
      </c>
      <c r="P1536" s="38">
        <v>3600.0</v>
      </c>
      <c r="Q1536" s="39"/>
      <c r="R1536" s="39"/>
      <c r="S1536" s="39"/>
      <c r="T1536" s="39"/>
      <c r="U1536" s="39"/>
    </row>
    <row r="1537">
      <c r="A1537" s="40">
        <f t="shared" si="1"/>
        <v>46006</v>
      </c>
      <c r="B1537" s="37" t="str">
        <f t="array" ref="B1537">iferror(xlookup($I1537, 'IMPORT VHC Report'!$E:$E, 'IMPORT VHC Report'!$A:$C), )</f>
        <v/>
      </c>
      <c r="C1537" s="37"/>
      <c r="D1537" s="37"/>
      <c r="E1537" s="38" t="s">
        <v>1923</v>
      </c>
      <c r="F1537" s="38" t="s">
        <v>1898</v>
      </c>
      <c r="G1537" s="38">
        <v>3.61731943495E11</v>
      </c>
      <c r="H1537" s="38" t="s">
        <v>1899</v>
      </c>
      <c r="I1537" s="38" t="s">
        <v>1900</v>
      </c>
      <c r="J1537" s="38" t="s">
        <v>134</v>
      </c>
      <c r="K1537" s="38" t="s">
        <v>126</v>
      </c>
      <c r="L1537" s="41">
        <v>46012.385416666664</v>
      </c>
      <c r="M1537" s="38" t="s">
        <v>123</v>
      </c>
      <c r="N1537" s="41">
        <v>46012.40625</v>
      </c>
      <c r="O1537" s="38" t="s">
        <v>123</v>
      </c>
      <c r="P1537" s="38">
        <v>1800.0</v>
      </c>
      <c r="Q1537" s="39"/>
      <c r="R1537" s="39"/>
      <c r="S1537" s="39"/>
      <c r="T1537" s="39"/>
      <c r="U1537" s="39"/>
    </row>
    <row r="1538">
      <c r="A1538" s="40">
        <f t="shared" si="1"/>
        <v>46006</v>
      </c>
      <c r="B1538" s="37" t="str">
        <f t="array" ref="B1538">iferror(xlookup($I1538, 'IMPORT VHC Report'!$E:$E, 'IMPORT VHC Report'!$A:$C), )</f>
        <v/>
      </c>
      <c r="C1538" s="37"/>
      <c r="D1538" s="37"/>
      <c r="E1538" s="38" t="s">
        <v>1924</v>
      </c>
      <c r="F1538" s="38" t="s">
        <v>1925</v>
      </c>
      <c r="G1538" s="38">
        <v>3.61857411916E11</v>
      </c>
      <c r="H1538" s="38" t="s">
        <v>1926</v>
      </c>
      <c r="I1538" s="38" t="s">
        <v>1927</v>
      </c>
      <c r="J1538" s="38" t="s">
        <v>224</v>
      </c>
      <c r="K1538" s="38" t="s">
        <v>63</v>
      </c>
      <c r="L1538" s="41">
        <v>46006.166666666664</v>
      </c>
      <c r="M1538" s="38" t="s">
        <v>123</v>
      </c>
      <c r="N1538" s="41">
        <v>46006.291666666664</v>
      </c>
      <c r="O1538" s="38" t="s">
        <v>123</v>
      </c>
      <c r="P1538" s="38">
        <v>10800.0</v>
      </c>
      <c r="Q1538" s="39"/>
      <c r="R1538" s="39"/>
      <c r="S1538" s="39"/>
      <c r="T1538" s="39"/>
      <c r="U1538" s="39"/>
    </row>
    <row r="1539">
      <c r="A1539" s="40">
        <f t="shared" si="1"/>
        <v>46006</v>
      </c>
      <c r="B1539" s="37" t="str">
        <f t="array" ref="B1539">iferror(xlookup($I1539, 'IMPORT VHC Report'!$E:$E, 'IMPORT VHC Report'!$A:$C), )</f>
        <v/>
      </c>
      <c r="C1539" s="37"/>
      <c r="D1539" s="37"/>
      <c r="E1539" s="38" t="s">
        <v>1928</v>
      </c>
      <c r="F1539" s="38" t="s">
        <v>1925</v>
      </c>
      <c r="G1539" s="38">
        <v>3.61857411916E11</v>
      </c>
      <c r="H1539" s="38" t="s">
        <v>1926</v>
      </c>
      <c r="I1539" s="38" t="s">
        <v>1927</v>
      </c>
      <c r="J1539" s="38" t="s">
        <v>178</v>
      </c>
      <c r="K1539" s="38" t="s">
        <v>153</v>
      </c>
      <c r="L1539" s="41">
        <v>46006.166666666664</v>
      </c>
      <c r="M1539" s="38" t="s">
        <v>123</v>
      </c>
      <c r="N1539" s="41">
        <v>46006.541666666664</v>
      </c>
      <c r="O1539" s="38" t="s">
        <v>123</v>
      </c>
      <c r="P1539" s="38">
        <v>32400.0</v>
      </c>
      <c r="Q1539" s="38">
        <v>32400.0</v>
      </c>
      <c r="R1539" s="39"/>
      <c r="S1539" s="39"/>
      <c r="T1539" s="39"/>
      <c r="U1539" s="39"/>
    </row>
    <row r="1540">
      <c r="A1540" s="40">
        <f t="shared" si="1"/>
        <v>46006</v>
      </c>
      <c r="B1540" s="37" t="str">
        <f t="array" ref="B1540">iferror(xlookup($I1540, 'IMPORT VHC Report'!$E:$E, 'IMPORT VHC Report'!$A:$C), )</f>
        <v/>
      </c>
      <c r="C1540" s="37"/>
      <c r="D1540" s="37"/>
      <c r="E1540" s="38" t="s">
        <v>1929</v>
      </c>
      <c r="F1540" s="38" t="s">
        <v>1925</v>
      </c>
      <c r="G1540" s="38">
        <v>3.61857411916E11</v>
      </c>
      <c r="H1540" s="38" t="s">
        <v>1926</v>
      </c>
      <c r="I1540" s="38" t="s">
        <v>1927</v>
      </c>
      <c r="J1540" s="38" t="s">
        <v>132</v>
      </c>
      <c r="K1540" s="38" t="s">
        <v>126</v>
      </c>
      <c r="L1540" s="41">
        <v>46006.291666666664</v>
      </c>
      <c r="M1540" s="38" t="s">
        <v>123</v>
      </c>
      <c r="N1540" s="41">
        <v>46006.333333333336</v>
      </c>
      <c r="O1540" s="38" t="s">
        <v>123</v>
      </c>
      <c r="P1540" s="38">
        <v>3600.0</v>
      </c>
      <c r="Q1540" s="39"/>
      <c r="R1540" s="39"/>
      <c r="S1540" s="39"/>
      <c r="T1540" s="39"/>
      <c r="U1540" s="39"/>
    </row>
    <row r="1541">
      <c r="A1541" s="40">
        <f t="shared" si="1"/>
        <v>46006</v>
      </c>
      <c r="B1541" s="37" t="str">
        <f t="array" ref="B1541">iferror(xlookup($I1541, 'IMPORT VHC Report'!$E:$E, 'IMPORT VHC Report'!$A:$C), )</f>
        <v/>
      </c>
      <c r="C1541" s="37"/>
      <c r="D1541" s="37"/>
      <c r="E1541" s="38" t="s">
        <v>1930</v>
      </c>
      <c r="F1541" s="38" t="s">
        <v>1925</v>
      </c>
      <c r="G1541" s="38">
        <v>3.61857411916E11</v>
      </c>
      <c r="H1541" s="38" t="s">
        <v>1926</v>
      </c>
      <c r="I1541" s="38" t="s">
        <v>1927</v>
      </c>
      <c r="J1541" s="38" t="s">
        <v>224</v>
      </c>
      <c r="K1541" s="38" t="s">
        <v>63</v>
      </c>
      <c r="L1541" s="41">
        <v>46006.333333333336</v>
      </c>
      <c r="M1541" s="38" t="s">
        <v>123</v>
      </c>
      <c r="N1541" s="41">
        <v>46006.447916666664</v>
      </c>
      <c r="O1541" s="38" t="s">
        <v>123</v>
      </c>
      <c r="P1541" s="38">
        <v>9900.0</v>
      </c>
      <c r="Q1541" s="39"/>
      <c r="R1541" s="39"/>
      <c r="S1541" s="39"/>
      <c r="T1541" s="39"/>
      <c r="U1541" s="39"/>
    </row>
    <row r="1542">
      <c r="A1542" s="40">
        <f t="shared" si="1"/>
        <v>46006</v>
      </c>
      <c r="B1542" s="37" t="str">
        <f t="array" ref="B1542">iferror(xlookup($I1542, 'IMPORT VHC Report'!$E:$E, 'IMPORT VHC Report'!$A:$C), )</f>
        <v/>
      </c>
      <c r="C1542" s="37"/>
      <c r="D1542" s="37"/>
      <c r="E1542" s="38" t="s">
        <v>1931</v>
      </c>
      <c r="F1542" s="38" t="s">
        <v>1925</v>
      </c>
      <c r="G1542" s="38">
        <v>3.61857411916E11</v>
      </c>
      <c r="H1542" s="38" t="s">
        <v>1926</v>
      </c>
      <c r="I1542" s="38" t="s">
        <v>1927</v>
      </c>
      <c r="J1542" s="38" t="s">
        <v>134</v>
      </c>
      <c r="K1542" s="38" t="s">
        <v>126</v>
      </c>
      <c r="L1542" s="41">
        <v>46006.447916666664</v>
      </c>
      <c r="M1542" s="38" t="s">
        <v>123</v>
      </c>
      <c r="N1542" s="41">
        <v>46006.46875</v>
      </c>
      <c r="O1542" s="38" t="s">
        <v>123</v>
      </c>
      <c r="P1542" s="38">
        <v>1800.0</v>
      </c>
      <c r="Q1542" s="39"/>
      <c r="R1542" s="39"/>
      <c r="S1542" s="39"/>
      <c r="T1542" s="39"/>
      <c r="U1542" s="39"/>
    </row>
    <row r="1543">
      <c r="A1543" s="40">
        <f t="shared" si="1"/>
        <v>46006</v>
      </c>
      <c r="B1543" s="37" t="str">
        <f t="array" ref="B1543">iferror(xlookup($I1543, 'IMPORT VHC Report'!$E:$E, 'IMPORT VHC Report'!$A:$C), )</f>
        <v/>
      </c>
      <c r="C1543" s="37"/>
      <c r="D1543" s="37"/>
      <c r="E1543" s="38" t="s">
        <v>1932</v>
      </c>
      <c r="F1543" s="38" t="s">
        <v>1925</v>
      </c>
      <c r="G1543" s="38">
        <v>3.61857411916E11</v>
      </c>
      <c r="H1543" s="38" t="s">
        <v>1926</v>
      </c>
      <c r="I1543" s="38" t="s">
        <v>1927</v>
      </c>
      <c r="J1543" s="38" t="s">
        <v>224</v>
      </c>
      <c r="K1543" s="38" t="s">
        <v>63</v>
      </c>
      <c r="L1543" s="41">
        <v>46006.46875</v>
      </c>
      <c r="M1543" s="38" t="s">
        <v>123</v>
      </c>
      <c r="N1543" s="41">
        <v>46006.541666666664</v>
      </c>
      <c r="O1543" s="38" t="s">
        <v>123</v>
      </c>
      <c r="P1543" s="38">
        <v>6300.0</v>
      </c>
      <c r="Q1543" s="39"/>
      <c r="R1543" s="39"/>
      <c r="S1543" s="39"/>
      <c r="T1543" s="39"/>
      <c r="U1543" s="39"/>
    </row>
    <row r="1544">
      <c r="A1544" s="40">
        <f t="shared" si="1"/>
        <v>46006</v>
      </c>
      <c r="B1544" s="37" t="str">
        <f t="array" ref="B1544">iferror(xlookup($I1544, 'IMPORT VHC Report'!$E:$E, 'IMPORT VHC Report'!$A:$C), )</f>
        <v/>
      </c>
      <c r="C1544" s="37"/>
      <c r="D1544" s="37"/>
      <c r="E1544" s="38" t="s">
        <v>1933</v>
      </c>
      <c r="F1544" s="38" t="s">
        <v>1925</v>
      </c>
      <c r="G1544" s="38">
        <v>3.61857411916E11</v>
      </c>
      <c r="H1544" s="38" t="s">
        <v>1926</v>
      </c>
      <c r="I1544" s="38" t="s">
        <v>1927</v>
      </c>
      <c r="J1544" s="38" t="s">
        <v>224</v>
      </c>
      <c r="K1544" s="38" t="s">
        <v>63</v>
      </c>
      <c r="L1544" s="41">
        <v>46007.166666666664</v>
      </c>
      <c r="M1544" s="38" t="s">
        <v>123</v>
      </c>
      <c r="N1544" s="41">
        <v>46007.291666666664</v>
      </c>
      <c r="O1544" s="38" t="s">
        <v>123</v>
      </c>
      <c r="P1544" s="38">
        <v>10800.0</v>
      </c>
      <c r="Q1544" s="39"/>
      <c r="R1544" s="39"/>
      <c r="S1544" s="39"/>
      <c r="T1544" s="39"/>
      <c r="U1544" s="39"/>
    </row>
    <row r="1545">
      <c r="A1545" s="40">
        <f t="shared" si="1"/>
        <v>46006</v>
      </c>
      <c r="B1545" s="37" t="str">
        <f t="array" ref="B1545">iferror(xlookup($I1545, 'IMPORT VHC Report'!$E:$E, 'IMPORT VHC Report'!$A:$C), )</f>
        <v/>
      </c>
      <c r="C1545" s="37"/>
      <c r="D1545" s="37"/>
      <c r="E1545" s="38" t="s">
        <v>1934</v>
      </c>
      <c r="F1545" s="38" t="s">
        <v>1925</v>
      </c>
      <c r="G1545" s="38">
        <v>3.61857411916E11</v>
      </c>
      <c r="H1545" s="38" t="s">
        <v>1926</v>
      </c>
      <c r="I1545" s="38" t="s">
        <v>1927</v>
      </c>
      <c r="J1545" s="38" t="s">
        <v>132</v>
      </c>
      <c r="K1545" s="38" t="s">
        <v>126</v>
      </c>
      <c r="L1545" s="41">
        <v>46007.291666666664</v>
      </c>
      <c r="M1545" s="38" t="s">
        <v>123</v>
      </c>
      <c r="N1545" s="41">
        <v>46007.333333333336</v>
      </c>
      <c r="O1545" s="38" t="s">
        <v>123</v>
      </c>
      <c r="P1545" s="38">
        <v>3600.0</v>
      </c>
      <c r="Q1545" s="39"/>
      <c r="R1545" s="39"/>
      <c r="S1545" s="39"/>
      <c r="T1545" s="39"/>
      <c r="U1545" s="39"/>
    </row>
    <row r="1546">
      <c r="A1546" s="40">
        <f t="shared" si="1"/>
        <v>46006</v>
      </c>
      <c r="B1546" s="37" t="str">
        <f t="array" ref="B1546">iferror(xlookup($I1546, 'IMPORT VHC Report'!$E:$E, 'IMPORT VHC Report'!$A:$C), )</f>
        <v/>
      </c>
      <c r="C1546" s="37"/>
      <c r="D1546" s="37"/>
      <c r="E1546" s="38" t="s">
        <v>1935</v>
      </c>
      <c r="F1546" s="38" t="s">
        <v>1925</v>
      </c>
      <c r="G1546" s="38">
        <v>3.61857411916E11</v>
      </c>
      <c r="H1546" s="38" t="s">
        <v>1926</v>
      </c>
      <c r="I1546" s="38" t="s">
        <v>1927</v>
      </c>
      <c r="J1546" s="38" t="s">
        <v>224</v>
      </c>
      <c r="K1546" s="38" t="s">
        <v>63</v>
      </c>
      <c r="L1546" s="41">
        <v>46007.333333333336</v>
      </c>
      <c r="M1546" s="38" t="s">
        <v>123</v>
      </c>
      <c r="N1546" s="41">
        <v>46007.4375</v>
      </c>
      <c r="O1546" s="38" t="s">
        <v>123</v>
      </c>
      <c r="P1546" s="38">
        <v>9000.0</v>
      </c>
      <c r="Q1546" s="39"/>
      <c r="R1546" s="39"/>
      <c r="S1546" s="39"/>
      <c r="T1546" s="39"/>
      <c r="U1546" s="39"/>
    </row>
    <row r="1547">
      <c r="A1547" s="40">
        <f t="shared" si="1"/>
        <v>46006</v>
      </c>
      <c r="B1547" s="37" t="str">
        <f t="array" ref="B1547">iferror(xlookup($I1547, 'IMPORT VHC Report'!$E:$E, 'IMPORT VHC Report'!$A:$C), )</f>
        <v/>
      </c>
      <c r="C1547" s="37"/>
      <c r="D1547" s="37"/>
      <c r="E1547" s="38" t="s">
        <v>1936</v>
      </c>
      <c r="F1547" s="38" t="s">
        <v>1925</v>
      </c>
      <c r="G1547" s="38">
        <v>3.61857411916E11</v>
      </c>
      <c r="H1547" s="38" t="s">
        <v>1926</v>
      </c>
      <c r="I1547" s="38" t="s">
        <v>1927</v>
      </c>
      <c r="J1547" s="38" t="s">
        <v>134</v>
      </c>
      <c r="K1547" s="38" t="s">
        <v>126</v>
      </c>
      <c r="L1547" s="41">
        <v>46007.4375</v>
      </c>
      <c r="M1547" s="38" t="s">
        <v>123</v>
      </c>
      <c r="N1547" s="41">
        <v>46007.458333333336</v>
      </c>
      <c r="O1547" s="38" t="s">
        <v>123</v>
      </c>
      <c r="P1547" s="38">
        <v>1800.0</v>
      </c>
      <c r="Q1547" s="39"/>
      <c r="R1547" s="39"/>
      <c r="S1547" s="39"/>
      <c r="T1547" s="39"/>
      <c r="U1547" s="39"/>
    </row>
    <row r="1548">
      <c r="A1548" s="40">
        <f t="shared" si="1"/>
        <v>46006</v>
      </c>
      <c r="B1548" s="37" t="str">
        <f t="array" ref="B1548">iferror(xlookup($I1548, 'IMPORT VHC Report'!$E:$E, 'IMPORT VHC Report'!$A:$C), )</f>
        <v/>
      </c>
      <c r="C1548" s="37"/>
      <c r="D1548" s="37"/>
      <c r="E1548" s="38" t="s">
        <v>1937</v>
      </c>
      <c r="F1548" s="38" t="s">
        <v>1925</v>
      </c>
      <c r="G1548" s="38">
        <v>3.61857411916E11</v>
      </c>
      <c r="H1548" s="38" t="s">
        <v>1926</v>
      </c>
      <c r="I1548" s="38" t="s">
        <v>1927</v>
      </c>
      <c r="J1548" s="38" t="s">
        <v>224</v>
      </c>
      <c r="K1548" s="38" t="s">
        <v>63</v>
      </c>
      <c r="L1548" s="41">
        <v>46007.458333333336</v>
      </c>
      <c r="M1548" s="38" t="s">
        <v>123</v>
      </c>
      <c r="N1548" s="41">
        <v>46007.541666666664</v>
      </c>
      <c r="O1548" s="38" t="s">
        <v>123</v>
      </c>
      <c r="P1548" s="38">
        <v>7200.0</v>
      </c>
      <c r="Q1548" s="39"/>
      <c r="R1548" s="39"/>
      <c r="S1548" s="39"/>
      <c r="T1548" s="39"/>
      <c r="U1548" s="39"/>
    </row>
    <row r="1549">
      <c r="A1549" s="40">
        <f t="shared" si="1"/>
        <v>46006</v>
      </c>
      <c r="B1549" s="37" t="str">
        <f t="array" ref="B1549">iferror(xlookup($I1549, 'IMPORT VHC Report'!$E:$E, 'IMPORT VHC Report'!$A:$C), )</f>
        <v/>
      </c>
      <c r="C1549" s="37"/>
      <c r="D1549" s="37"/>
      <c r="E1549" s="38" t="s">
        <v>1938</v>
      </c>
      <c r="F1549" s="38" t="s">
        <v>1925</v>
      </c>
      <c r="G1549" s="38">
        <v>3.61857411916E11</v>
      </c>
      <c r="H1549" s="38" t="s">
        <v>1926</v>
      </c>
      <c r="I1549" s="38" t="s">
        <v>1927</v>
      </c>
      <c r="J1549" s="38" t="s">
        <v>224</v>
      </c>
      <c r="K1549" s="38" t="s">
        <v>63</v>
      </c>
      <c r="L1549" s="41">
        <v>46008.166666666664</v>
      </c>
      <c r="M1549" s="38" t="s">
        <v>123</v>
      </c>
      <c r="N1549" s="41">
        <v>46008.208333333336</v>
      </c>
      <c r="O1549" s="38" t="s">
        <v>123</v>
      </c>
      <c r="P1549" s="38">
        <v>3600.0</v>
      </c>
      <c r="Q1549" s="39"/>
      <c r="R1549" s="39"/>
      <c r="S1549" s="39"/>
      <c r="T1549" s="39"/>
      <c r="U1549" s="39"/>
    </row>
    <row r="1550">
      <c r="A1550" s="40">
        <f t="shared" si="1"/>
        <v>46006</v>
      </c>
      <c r="B1550" s="37" t="str">
        <f t="array" ref="B1550">iferror(xlookup($I1550, 'IMPORT VHC Report'!$E:$E, 'IMPORT VHC Report'!$A:$C), )</f>
        <v/>
      </c>
      <c r="C1550" s="37"/>
      <c r="D1550" s="37"/>
      <c r="E1550" s="38" t="s">
        <v>1939</v>
      </c>
      <c r="F1550" s="38" t="s">
        <v>1925</v>
      </c>
      <c r="G1550" s="38">
        <v>3.61857411916E11</v>
      </c>
      <c r="H1550" s="38" t="s">
        <v>1926</v>
      </c>
      <c r="I1550" s="38" t="s">
        <v>1927</v>
      </c>
      <c r="J1550" s="38" t="s">
        <v>178</v>
      </c>
      <c r="K1550" s="38" t="s">
        <v>153</v>
      </c>
      <c r="L1550" s="41">
        <v>46008.166666666664</v>
      </c>
      <c r="M1550" s="38" t="s">
        <v>123</v>
      </c>
      <c r="N1550" s="41">
        <v>46008.541666666664</v>
      </c>
      <c r="O1550" s="38" t="s">
        <v>123</v>
      </c>
      <c r="P1550" s="38">
        <v>32400.0</v>
      </c>
      <c r="Q1550" s="38">
        <v>32400.0</v>
      </c>
      <c r="R1550" s="39"/>
      <c r="S1550" s="39"/>
      <c r="T1550" s="39"/>
      <c r="U1550" s="39"/>
    </row>
    <row r="1551">
      <c r="A1551" s="40">
        <f t="shared" si="1"/>
        <v>46006</v>
      </c>
      <c r="B1551" s="37" t="str">
        <f t="array" ref="B1551">iferror(xlookup($I1551, 'IMPORT VHC Report'!$E:$E, 'IMPORT VHC Report'!$A:$C), )</f>
        <v/>
      </c>
      <c r="C1551" s="37"/>
      <c r="D1551" s="37"/>
      <c r="E1551" s="38" t="s">
        <v>1940</v>
      </c>
      <c r="F1551" s="38" t="s">
        <v>1925</v>
      </c>
      <c r="G1551" s="38">
        <v>3.61857411916E11</v>
      </c>
      <c r="H1551" s="38" t="s">
        <v>1926</v>
      </c>
      <c r="I1551" s="38" t="s">
        <v>1927</v>
      </c>
      <c r="J1551" s="38" t="s">
        <v>62</v>
      </c>
      <c r="K1551" s="38" t="s">
        <v>63</v>
      </c>
      <c r="L1551" s="41">
        <v>46008.208333333336</v>
      </c>
      <c r="M1551" s="38" t="s">
        <v>123</v>
      </c>
      <c r="N1551" s="41">
        <v>46008.229166666664</v>
      </c>
      <c r="O1551" s="38" t="s">
        <v>123</v>
      </c>
      <c r="P1551" s="38">
        <v>1800.0</v>
      </c>
      <c r="Q1551" s="39"/>
      <c r="R1551" s="39"/>
      <c r="S1551" s="39"/>
      <c r="T1551" s="39"/>
      <c r="U1551" s="39"/>
    </row>
    <row r="1552">
      <c r="A1552" s="40">
        <f t="shared" si="1"/>
        <v>46006</v>
      </c>
      <c r="B1552" s="37" t="str">
        <f t="array" ref="B1552">iferror(xlookup($I1552, 'IMPORT VHC Report'!$E:$E, 'IMPORT VHC Report'!$A:$C), )</f>
        <v/>
      </c>
      <c r="C1552" s="37"/>
      <c r="D1552" s="37"/>
      <c r="E1552" s="38" t="s">
        <v>1941</v>
      </c>
      <c r="F1552" s="38" t="s">
        <v>1925</v>
      </c>
      <c r="G1552" s="38">
        <v>3.61857411916E11</v>
      </c>
      <c r="H1552" s="38" t="s">
        <v>1926</v>
      </c>
      <c r="I1552" s="38" t="s">
        <v>1927</v>
      </c>
      <c r="J1552" s="38" t="s">
        <v>224</v>
      </c>
      <c r="K1552" s="38" t="s">
        <v>63</v>
      </c>
      <c r="L1552" s="41">
        <v>46008.229166666664</v>
      </c>
      <c r="M1552" s="38" t="s">
        <v>123</v>
      </c>
      <c r="N1552" s="41">
        <v>46008.270833333336</v>
      </c>
      <c r="O1552" s="38" t="s">
        <v>123</v>
      </c>
      <c r="P1552" s="38">
        <v>3600.0</v>
      </c>
      <c r="Q1552" s="39"/>
      <c r="R1552" s="39"/>
      <c r="S1552" s="39"/>
      <c r="T1552" s="39"/>
      <c r="U1552" s="39"/>
    </row>
    <row r="1553">
      <c r="A1553" s="40">
        <f t="shared" si="1"/>
        <v>46006</v>
      </c>
      <c r="B1553" s="37" t="str">
        <f t="array" ref="B1553">iferror(xlookup($I1553, 'IMPORT VHC Report'!$E:$E, 'IMPORT VHC Report'!$A:$C), )</f>
        <v/>
      </c>
      <c r="C1553" s="37"/>
      <c r="D1553" s="37"/>
      <c r="E1553" s="38" t="s">
        <v>1942</v>
      </c>
      <c r="F1553" s="38" t="s">
        <v>1925</v>
      </c>
      <c r="G1553" s="38">
        <v>3.61857411916E11</v>
      </c>
      <c r="H1553" s="38" t="s">
        <v>1926</v>
      </c>
      <c r="I1553" s="38" t="s">
        <v>1927</v>
      </c>
      <c r="J1553" s="38" t="s">
        <v>134</v>
      </c>
      <c r="K1553" s="38" t="s">
        <v>126</v>
      </c>
      <c r="L1553" s="41">
        <v>46008.270833333336</v>
      </c>
      <c r="M1553" s="38" t="s">
        <v>123</v>
      </c>
      <c r="N1553" s="41">
        <v>46008.291666666664</v>
      </c>
      <c r="O1553" s="38" t="s">
        <v>123</v>
      </c>
      <c r="P1553" s="38">
        <v>1800.0</v>
      </c>
      <c r="Q1553" s="39"/>
      <c r="R1553" s="39"/>
      <c r="S1553" s="39"/>
      <c r="T1553" s="39"/>
      <c r="U1553" s="39"/>
    </row>
    <row r="1554">
      <c r="A1554" s="40">
        <f t="shared" si="1"/>
        <v>46006</v>
      </c>
      <c r="B1554" s="37" t="str">
        <f t="array" ref="B1554">iferror(xlookup($I1554, 'IMPORT VHC Report'!$E:$E, 'IMPORT VHC Report'!$A:$C), )</f>
        <v/>
      </c>
      <c r="C1554" s="37"/>
      <c r="D1554" s="37"/>
      <c r="E1554" s="38" t="s">
        <v>1943</v>
      </c>
      <c r="F1554" s="38" t="s">
        <v>1925</v>
      </c>
      <c r="G1554" s="38">
        <v>3.61857411916E11</v>
      </c>
      <c r="H1554" s="38" t="s">
        <v>1926</v>
      </c>
      <c r="I1554" s="38" t="s">
        <v>1927</v>
      </c>
      <c r="J1554" s="38" t="s">
        <v>224</v>
      </c>
      <c r="K1554" s="38" t="s">
        <v>63</v>
      </c>
      <c r="L1554" s="41">
        <v>46008.291666666664</v>
      </c>
      <c r="M1554" s="38" t="s">
        <v>123</v>
      </c>
      <c r="N1554" s="41">
        <v>46008.416666666664</v>
      </c>
      <c r="O1554" s="38" t="s">
        <v>123</v>
      </c>
      <c r="P1554" s="38">
        <v>10800.0</v>
      </c>
      <c r="Q1554" s="39"/>
      <c r="R1554" s="39"/>
      <c r="S1554" s="39"/>
      <c r="T1554" s="39"/>
      <c r="U1554" s="39"/>
    </row>
    <row r="1555">
      <c r="A1555" s="40">
        <f t="shared" si="1"/>
        <v>46006</v>
      </c>
      <c r="B1555" s="37" t="str">
        <f t="array" ref="B1555">iferror(xlookup($I1555, 'IMPORT VHC Report'!$E:$E, 'IMPORT VHC Report'!$A:$C), )</f>
        <v/>
      </c>
      <c r="C1555" s="37"/>
      <c r="D1555" s="37"/>
      <c r="E1555" s="38" t="s">
        <v>1944</v>
      </c>
      <c r="F1555" s="38" t="s">
        <v>1925</v>
      </c>
      <c r="G1555" s="38">
        <v>3.61857411916E11</v>
      </c>
      <c r="H1555" s="38" t="s">
        <v>1926</v>
      </c>
      <c r="I1555" s="38" t="s">
        <v>1927</v>
      </c>
      <c r="J1555" s="38" t="s">
        <v>132</v>
      </c>
      <c r="K1555" s="38" t="s">
        <v>126</v>
      </c>
      <c r="L1555" s="41">
        <v>46008.416666666664</v>
      </c>
      <c r="M1555" s="38" t="s">
        <v>123</v>
      </c>
      <c r="N1555" s="41">
        <v>46008.458333333336</v>
      </c>
      <c r="O1555" s="38" t="s">
        <v>123</v>
      </c>
      <c r="P1555" s="38">
        <v>3600.0</v>
      </c>
      <c r="Q1555" s="39"/>
      <c r="R1555" s="39"/>
      <c r="S1555" s="39"/>
      <c r="T1555" s="39"/>
      <c r="U1555" s="39"/>
    </row>
    <row r="1556">
      <c r="A1556" s="40">
        <f t="shared" si="1"/>
        <v>46006</v>
      </c>
      <c r="B1556" s="37" t="str">
        <f t="array" ref="B1556">iferror(xlookup($I1556, 'IMPORT VHC Report'!$E:$E, 'IMPORT VHC Report'!$A:$C), )</f>
        <v/>
      </c>
      <c r="C1556" s="37"/>
      <c r="D1556" s="37"/>
      <c r="E1556" s="38" t="s">
        <v>1945</v>
      </c>
      <c r="F1556" s="38" t="s">
        <v>1925</v>
      </c>
      <c r="G1556" s="38">
        <v>3.61857411916E11</v>
      </c>
      <c r="H1556" s="38" t="s">
        <v>1926</v>
      </c>
      <c r="I1556" s="38" t="s">
        <v>1927</v>
      </c>
      <c r="J1556" s="38" t="s">
        <v>224</v>
      </c>
      <c r="K1556" s="38" t="s">
        <v>63</v>
      </c>
      <c r="L1556" s="41">
        <v>46008.458333333336</v>
      </c>
      <c r="M1556" s="38" t="s">
        <v>123</v>
      </c>
      <c r="N1556" s="41">
        <v>46008.541666666664</v>
      </c>
      <c r="O1556" s="38" t="s">
        <v>123</v>
      </c>
      <c r="P1556" s="38">
        <v>7200.0</v>
      </c>
      <c r="Q1556" s="39"/>
      <c r="R1556" s="39"/>
      <c r="S1556" s="39"/>
      <c r="T1556" s="39"/>
      <c r="U1556" s="39"/>
    </row>
    <row r="1557">
      <c r="A1557" s="40">
        <f t="shared" si="1"/>
        <v>46006</v>
      </c>
      <c r="B1557" s="37" t="str">
        <f t="array" ref="B1557">iferror(xlookup($I1557, 'IMPORT VHC Report'!$E:$E, 'IMPORT VHC Report'!$A:$C), )</f>
        <v/>
      </c>
      <c r="C1557" s="37"/>
      <c r="D1557" s="37"/>
      <c r="E1557" s="38" t="s">
        <v>1946</v>
      </c>
      <c r="F1557" s="38" t="s">
        <v>1925</v>
      </c>
      <c r="G1557" s="38">
        <v>3.61857411916E11</v>
      </c>
      <c r="H1557" s="38" t="s">
        <v>1926</v>
      </c>
      <c r="I1557" s="38" t="s">
        <v>1927</v>
      </c>
      <c r="J1557" s="38" t="s">
        <v>224</v>
      </c>
      <c r="K1557" s="38" t="s">
        <v>63</v>
      </c>
      <c r="L1557" s="41">
        <v>46009.166666666664</v>
      </c>
      <c r="M1557" s="38" t="s">
        <v>123</v>
      </c>
      <c r="N1557" s="41">
        <v>46009.291666666664</v>
      </c>
      <c r="O1557" s="38" t="s">
        <v>123</v>
      </c>
      <c r="P1557" s="38">
        <v>10800.0</v>
      </c>
      <c r="Q1557" s="39"/>
      <c r="R1557" s="39"/>
      <c r="S1557" s="39"/>
      <c r="T1557" s="39"/>
      <c r="U1557" s="39"/>
    </row>
    <row r="1558">
      <c r="A1558" s="40">
        <f t="shared" si="1"/>
        <v>46006</v>
      </c>
      <c r="B1558" s="37" t="str">
        <f t="array" ref="B1558">iferror(xlookup($I1558, 'IMPORT VHC Report'!$E:$E, 'IMPORT VHC Report'!$A:$C), )</f>
        <v/>
      </c>
      <c r="C1558" s="37"/>
      <c r="D1558" s="37"/>
      <c r="E1558" s="38" t="s">
        <v>1947</v>
      </c>
      <c r="F1558" s="38" t="s">
        <v>1925</v>
      </c>
      <c r="G1558" s="38">
        <v>3.61857411916E11</v>
      </c>
      <c r="H1558" s="38" t="s">
        <v>1926</v>
      </c>
      <c r="I1558" s="38" t="s">
        <v>1927</v>
      </c>
      <c r="J1558" s="38" t="s">
        <v>178</v>
      </c>
      <c r="K1558" s="38" t="s">
        <v>153</v>
      </c>
      <c r="L1558" s="41">
        <v>46009.166666666664</v>
      </c>
      <c r="M1558" s="38" t="s">
        <v>123</v>
      </c>
      <c r="N1558" s="41">
        <v>46009.541666666664</v>
      </c>
      <c r="O1558" s="38" t="s">
        <v>123</v>
      </c>
      <c r="P1558" s="38">
        <v>32400.0</v>
      </c>
      <c r="Q1558" s="38">
        <v>32400.0</v>
      </c>
      <c r="R1558" s="39"/>
      <c r="S1558" s="39"/>
      <c r="T1558" s="39"/>
      <c r="U1558" s="39"/>
    </row>
    <row r="1559">
      <c r="A1559" s="40">
        <f t="shared" si="1"/>
        <v>46006</v>
      </c>
      <c r="B1559" s="37" t="str">
        <f t="array" ref="B1559">iferror(xlookup($I1559, 'IMPORT VHC Report'!$E:$E, 'IMPORT VHC Report'!$A:$C), )</f>
        <v/>
      </c>
      <c r="C1559" s="37"/>
      <c r="D1559" s="37"/>
      <c r="E1559" s="38" t="s">
        <v>1948</v>
      </c>
      <c r="F1559" s="38" t="s">
        <v>1925</v>
      </c>
      <c r="G1559" s="38">
        <v>3.61857411916E11</v>
      </c>
      <c r="H1559" s="38" t="s">
        <v>1926</v>
      </c>
      <c r="I1559" s="38" t="s">
        <v>1927</v>
      </c>
      <c r="J1559" s="38" t="s">
        <v>132</v>
      </c>
      <c r="K1559" s="38" t="s">
        <v>126</v>
      </c>
      <c r="L1559" s="41">
        <v>46009.291666666664</v>
      </c>
      <c r="M1559" s="38" t="s">
        <v>123</v>
      </c>
      <c r="N1559" s="41">
        <v>46009.333333333336</v>
      </c>
      <c r="O1559" s="38" t="s">
        <v>123</v>
      </c>
      <c r="P1559" s="38">
        <v>3600.0</v>
      </c>
      <c r="Q1559" s="39"/>
      <c r="R1559" s="39"/>
      <c r="S1559" s="39"/>
      <c r="T1559" s="39"/>
      <c r="U1559" s="39"/>
    </row>
    <row r="1560">
      <c r="A1560" s="40">
        <f t="shared" si="1"/>
        <v>46006</v>
      </c>
      <c r="B1560" s="37" t="str">
        <f t="array" ref="B1560">iferror(xlookup($I1560, 'IMPORT VHC Report'!$E:$E, 'IMPORT VHC Report'!$A:$C), )</f>
        <v/>
      </c>
      <c r="C1560" s="37"/>
      <c r="D1560" s="37"/>
      <c r="E1560" s="38" t="s">
        <v>1949</v>
      </c>
      <c r="F1560" s="38" t="s">
        <v>1925</v>
      </c>
      <c r="G1560" s="38">
        <v>3.61857411916E11</v>
      </c>
      <c r="H1560" s="38" t="s">
        <v>1926</v>
      </c>
      <c r="I1560" s="38" t="s">
        <v>1927</v>
      </c>
      <c r="J1560" s="38" t="s">
        <v>224</v>
      </c>
      <c r="K1560" s="38" t="s">
        <v>63</v>
      </c>
      <c r="L1560" s="41">
        <v>46009.333333333336</v>
      </c>
      <c r="M1560" s="38" t="s">
        <v>123</v>
      </c>
      <c r="N1560" s="41">
        <v>46009.458333333336</v>
      </c>
      <c r="O1560" s="38" t="s">
        <v>123</v>
      </c>
      <c r="P1560" s="38">
        <v>10800.0</v>
      </c>
      <c r="Q1560" s="39"/>
      <c r="R1560" s="39"/>
      <c r="S1560" s="39"/>
      <c r="T1560" s="39"/>
      <c r="U1560" s="39"/>
    </row>
    <row r="1561">
      <c r="A1561" s="40">
        <f t="shared" si="1"/>
        <v>46006</v>
      </c>
      <c r="B1561" s="37" t="str">
        <f t="array" ref="B1561">iferror(xlookup($I1561, 'IMPORT VHC Report'!$E:$E, 'IMPORT VHC Report'!$A:$C), )</f>
        <v/>
      </c>
      <c r="C1561" s="37"/>
      <c r="D1561" s="37"/>
      <c r="E1561" s="38" t="s">
        <v>1950</v>
      </c>
      <c r="F1561" s="38" t="s">
        <v>1925</v>
      </c>
      <c r="G1561" s="38">
        <v>3.61857411916E11</v>
      </c>
      <c r="H1561" s="38" t="s">
        <v>1926</v>
      </c>
      <c r="I1561" s="38" t="s">
        <v>1927</v>
      </c>
      <c r="J1561" s="38" t="s">
        <v>134</v>
      </c>
      <c r="K1561" s="38" t="s">
        <v>126</v>
      </c>
      <c r="L1561" s="41">
        <v>46009.458333333336</v>
      </c>
      <c r="M1561" s="38" t="s">
        <v>123</v>
      </c>
      <c r="N1561" s="41">
        <v>46009.479166666664</v>
      </c>
      <c r="O1561" s="38" t="s">
        <v>123</v>
      </c>
      <c r="P1561" s="38">
        <v>1800.0</v>
      </c>
      <c r="Q1561" s="39"/>
      <c r="R1561" s="39"/>
      <c r="S1561" s="39"/>
      <c r="T1561" s="39"/>
      <c r="U1561" s="39"/>
    </row>
    <row r="1562">
      <c r="A1562" s="40">
        <f t="shared" si="1"/>
        <v>46006</v>
      </c>
      <c r="B1562" s="37" t="str">
        <f t="array" ref="B1562">iferror(xlookup($I1562, 'IMPORT VHC Report'!$E:$E, 'IMPORT VHC Report'!$A:$C), )</f>
        <v/>
      </c>
      <c r="C1562" s="37"/>
      <c r="D1562" s="37"/>
      <c r="E1562" s="38" t="s">
        <v>1951</v>
      </c>
      <c r="F1562" s="38" t="s">
        <v>1925</v>
      </c>
      <c r="G1562" s="38">
        <v>3.61857411916E11</v>
      </c>
      <c r="H1562" s="38" t="s">
        <v>1926</v>
      </c>
      <c r="I1562" s="38" t="s">
        <v>1927</v>
      </c>
      <c r="J1562" s="38" t="s">
        <v>224</v>
      </c>
      <c r="K1562" s="38" t="s">
        <v>63</v>
      </c>
      <c r="L1562" s="41">
        <v>46009.479166666664</v>
      </c>
      <c r="M1562" s="38" t="s">
        <v>123</v>
      </c>
      <c r="N1562" s="41">
        <v>46009.541666666664</v>
      </c>
      <c r="O1562" s="38" t="s">
        <v>123</v>
      </c>
      <c r="P1562" s="38">
        <v>5400.0</v>
      </c>
      <c r="Q1562" s="39"/>
      <c r="R1562" s="39"/>
      <c r="S1562" s="39"/>
      <c r="T1562" s="39"/>
      <c r="U1562" s="39"/>
    </row>
    <row r="1563">
      <c r="A1563" s="40">
        <f t="shared" si="1"/>
        <v>46006</v>
      </c>
      <c r="B1563" s="37" t="str">
        <f t="array" ref="B1563">iferror(xlookup($I1563, 'IMPORT VHC Report'!$E:$E, 'IMPORT VHC Report'!$A:$C), )</f>
        <v/>
      </c>
      <c r="C1563" s="37"/>
      <c r="D1563" s="37"/>
      <c r="E1563" s="38" t="s">
        <v>1952</v>
      </c>
      <c r="F1563" s="38" t="s">
        <v>1925</v>
      </c>
      <c r="G1563" s="38">
        <v>3.61857411916E11</v>
      </c>
      <c r="H1563" s="38" t="s">
        <v>1926</v>
      </c>
      <c r="I1563" s="38" t="s">
        <v>1927</v>
      </c>
      <c r="J1563" s="38" t="s">
        <v>224</v>
      </c>
      <c r="K1563" s="38" t="s">
        <v>63</v>
      </c>
      <c r="L1563" s="41">
        <v>46010.166666666664</v>
      </c>
      <c r="M1563" s="38" t="s">
        <v>123</v>
      </c>
      <c r="N1563" s="41">
        <v>46010.270833333336</v>
      </c>
      <c r="O1563" s="38" t="s">
        <v>123</v>
      </c>
      <c r="P1563" s="38">
        <v>9000.0</v>
      </c>
      <c r="Q1563" s="39"/>
      <c r="R1563" s="39"/>
      <c r="S1563" s="39"/>
      <c r="T1563" s="39"/>
      <c r="U1563" s="39"/>
    </row>
    <row r="1564">
      <c r="A1564" s="40">
        <f t="shared" si="1"/>
        <v>46006</v>
      </c>
      <c r="B1564" s="37" t="str">
        <f t="array" ref="B1564">iferror(xlookup($I1564, 'IMPORT VHC Report'!$E:$E, 'IMPORT VHC Report'!$A:$C), )</f>
        <v/>
      </c>
      <c r="C1564" s="37"/>
      <c r="D1564" s="37"/>
      <c r="E1564" s="38" t="s">
        <v>1953</v>
      </c>
      <c r="F1564" s="38" t="s">
        <v>1925</v>
      </c>
      <c r="G1564" s="38">
        <v>3.61857411916E11</v>
      </c>
      <c r="H1564" s="38" t="s">
        <v>1926</v>
      </c>
      <c r="I1564" s="38" t="s">
        <v>1927</v>
      </c>
      <c r="J1564" s="38" t="s">
        <v>178</v>
      </c>
      <c r="K1564" s="38" t="s">
        <v>153</v>
      </c>
      <c r="L1564" s="41">
        <v>46010.166666666664</v>
      </c>
      <c r="M1564" s="38" t="s">
        <v>123</v>
      </c>
      <c r="N1564" s="41">
        <v>46010.541666666664</v>
      </c>
      <c r="O1564" s="38" t="s">
        <v>123</v>
      </c>
      <c r="P1564" s="38">
        <v>32400.0</v>
      </c>
      <c r="Q1564" s="38">
        <v>32400.0</v>
      </c>
      <c r="R1564" s="39"/>
      <c r="S1564" s="39"/>
      <c r="T1564" s="39"/>
      <c r="U1564" s="39"/>
    </row>
    <row r="1565">
      <c r="A1565" s="40">
        <f t="shared" si="1"/>
        <v>46006</v>
      </c>
      <c r="B1565" s="37" t="str">
        <f t="array" ref="B1565">iferror(xlookup($I1565, 'IMPORT VHC Report'!$E:$E, 'IMPORT VHC Report'!$A:$C), )</f>
        <v/>
      </c>
      <c r="C1565" s="37"/>
      <c r="D1565" s="37"/>
      <c r="E1565" s="38" t="s">
        <v>1954</v>
      </c>
      <c r="F1565" s="38" t="s">
        <v>1925</v>
      </c>
      <c r="G1565" s="38">
        <v>3.61857411916E11</v>
      </c>
      <c r="H1565" s="38" t="s">
        <v>1926</v>
      </c>
      <c r="I1565" s="38" t="s">
        <v>1927</v>
      </c>
      <c r="J1565" s="38" t="s">
        <v>134</v>
      </c>
      <c r="K1565" s="38" t="s">
        <v>126</v>
      </c>
      <c r="L1565" s="41">
        <v>46010.270833333336</v>
      </c>
      <c r="M1565" s="38" t="s">
        <v>123</v>
      </c>
      <c r="N1565" s="41">
        <v>46010.291666666664</v>
      </c>
      <c r="O1565" s="38" t="s">
        <v>123</v>
      </c>
      <c r="P1565" s="38">
        <v>1800.0</v>
      </c>
      <c r="Q1565" s="39"/>
      <c r="R1565" s="39"/>
      <c r="S1565" s="39"/>
      <c r="T1565" s="39"/>
      <c r="U1565" s="39"/>
    </row>
    <row r="1566">
      <c r="A1566" s="40">
        <f t="shared" si="1"/>
        <v>46006</v>
      </c>
      <c r="B1566" s="37" t="str">
        <f t="array" ref="B1566">iferror(xlookup($I1566, 'IMPORT VHC Report'!$E:$E, 'IMPORT VHC Report'!$A:$C), )</f>
        <v/>
      </c>
      <c r="C1566" s="37"/>
      <c r="D1566" s="37"/>
      <c r="E1566" s="38" t="s">
        <v>1955</v>
      </c>
      <c r="F1566" s="38" t="s">
        <v>1925</v>
      </c>
      <c r="G1566" s="38">
        <v>3.61857411916E11</v>
      </c>
      <c r="H1566" s="38" t="s">
        <v>1926</v>
      </c>
      <c r="I1566" s="38" t="s">
        <v>1927</v>
      </c>
      <c r="J1566" s="38" t="s">
        <v>224</v>
      </c>
      <c r="K1566" s="38" t="s">
        <v>63</v>
      </c>
      <c r="L1566" s="41">
        <v>46010.291666666664</v>
      </c>
      <c r="M1566" s="38" t="s">
        <v>123</v>
      </c>
      <c r="N1566" s="41">
        <v>46010.416666666664</v>
      </c>
      <c r="O1566" s="38" t="s">
        <v>123</v>
      </c>
      <c r="P1566" s="38">
        <v>10800.0</v>
      </c>
      <c r="Q1566" s="39"/>
      <c r="R1566" s="39"/>
      <c r="S1566" s="39"/>
      <c r="T1566" s="39"/>
      <c r="U1566" s="39"/>
    </row>
    <row r="1567">
      <c r="A1567" s="40">
        <f t="shared" si="1"/>
        <v>46006</v>
      </c>
      <c r="B1567" s="37" t="str">
        <f t="array" ref="B1567">iferror(xlookup($I1567, 'IMPORT VHC Report'!$E:$E, 'IMPORT VHC Report'!$A:$C), )</f>
        <v/>
      </c>
      <c r="C1567" s="37"/>
      <c r="D1567" s="37"/>
      <c r="E1567" s="38" t="s">
        <v>1956</v>
      </c>
      <c r="F1567" s="38" t="s">
        <v>1925</v>
      </c>
      <c r="G1567" s="38">
        <v>3.61857411916E11</v>
      </c>
      <c r="H1567" s="38" t="s">
        <v>1926</v>
      </c>
      <c r="I1567" s="38" t="s">
        <v>1927</v>
      </c>
      <c r="J1567" s="38" t="s">
        <v>132</v>
      </c>
      <c r="K1567" s="38" t="s">
        <v>126</v>
      </c>
      <c r="L1567" s="41">
        <v>46010.416666666664</v>
      </c>
      <c r="M1567" s="38" t="s">
        <v>123</v>
      </c>
      <c r="N1567" s="41">
        <v>46010.458333333336</v>
      </c>
      <c r="O1567" s="38" t="s">
        <v>123</v>
      </c>
      <c r="P1567" s="38">
        <v>3600.0</v>
      </c>
      <c r="Q1567" s="39"/>
      <c r="R1567" s="39"/>
      <c r="S1567" s="39"/>
      <c r="T1567" s="39"/>
      <c r="U1567" s="39"/>
    </row>
    <row r="1568">
      <c r="A1568" s="40">
        <f t="shared" si="1"/>
        <v>46006</v>
      </c>
      <c r="B1568" s="37" t="str">
        <f t="array" ref="B1568">iferror(xlookup($I1568, 'IMPORT VHC Report'!$E:$E, 'IMPORT VHC Report'!$A:$C), )</f>
        <v/>
      </c>
      <c r="C1568" s="37"/>
      <c r="D1568" s="37"/>
      <c r="E1568" s="38" t="s">
        <v>1957</v>
      </c>
      <c r="F1568" s="38" t="s">
        <v>1925</v>
      </c>
      <c r="G1568" s="38">
        <v>3.61857411916E11</v>
      </c>
      <c r="H1568" s="38" t="s">
        <v>1926</v>
      </c>
      <c r="I1568" s="38" t="s">
        <v>1927</v>
      </c>
      <c r="J1568" s="38" t="s">
        <v>224</v>
      </c>
      <c r="K1568" s="38" t="s">
        <v>63</v>
      </c>
      <c r="L1568" s="41">
        <v>46010.458333333336</v>
      </c>
      <c r="M1568" s="38" t="s">
        <v>123</v>
      </c>
      <c r="N1568" s="41">
        <v>46010.541666666664</v>
      </c>
      <c r="O1568" s="38" t="s">
        <v>123</v>
      </c>
      <c r="P1568" s="38">
        <v>7200.0</v>
      </c>
      <c r="Q1568" s="39"/>
      <c r="R1568" s="39"/>
      <c r="S1568" s="39"/>
      <c r="T1568" s="39"/>
      <c r="U1568" s="39"/>
    </row>
    <row r="1569">
      <c r="A1569" s="40">
        <f t="shared" si="1"/>
        <v>46006</v>
      </c>
      <c r="B1569" s="37" t="str">
        <f t="array" ref="B1569">iferror(xlookup($I1569, 'IMPORT VHC Report'!$E:$E, 'IMPORT VHC Report'!$A:$C), )</f>
        <v/>
      </c>
      <c r="C1569" s="37"/>
      <c r="D1569" s="37"/>
      <c r="E1569" s="38" t="s">
        <v>1958</v>
      </c>
      <c r="F1569" s="38" t="s">
        <v>1959</v>
      </c>
      <c r="G1569" s="38">
        <v>3.61750003915E11</v>
      </c>
      <c r="H1569" s="38" t="s">
        <v>1960</v>
      </c>
      <c r="I1569" s="38" t="s">
        <v>1961</v>
      </c>
      <c r="J1569" s="38" t="s">
        <v>332</v>
      </c>
      <c r="K1569" s="38" t="s">
        <v>63</v>
      </c>
      <c r="L1569" s="41">
        <v>46006.166666666664</v>
      </c>
      <c r="M1569" s="38" t="s">
        <v>123</v>
      </c>
      <c r="N1569" s="41">
        <v>46006.17361111111</v>
      </c>
      <c r="O1569" s="38" t="s">
        <v>123</v>
      </c>
      <c r="P1569" s="38">
        <v>600.0</v>
      </c>
      <c r="Q1569" s="39"/>
      <c r="R1569" s="39"/>
      <c r="S1569" s="39"/>
      <c r="T1569" s="39"/>
      <c r="U1569" s="39"/>
    </row>
    <row r="1570">
      <c r="A1570" s="40">
        <f t="shared" si="1"/>
        <v>46006</v>
      </c>
      <c r="B1570" s="37" t="str">
        <f t="array" ref="B1570">iferror(xlookup($I1570, 'IMPORT VHC Report'!$E:$E, 'IMPORT VHC Report'!$A:$C), )</f>
        <v/>
      </c>
      <c r="C1570" s="37"/>
      <c r="D1570" s="37"/>
      <c r="E1570" s="38" t="s">
        <v>1962</v>
      </c>
      <c r="F1570" s="38" t="s">
        <v>1959</v>
      </c>
      <c r="G1570" s="38">
        <v>3.61750003915E11</v>
      </c>
      <c r="H1570" s="38" t="s">
        <v>1960</v>
      </c>
      <c r="I1570" s="38" t="s">
        <v>1961</v>
      </c>
      <c r="J1570" s="38" t="s">
        <v>330</v>
      </c>
      <c r="K1570" s="38" t="s">
        <v>126</v>
      </c>
      <c r="L1570" s="41">
        <v>46006.166666666664</v>
      </c>
      <c r="M1570" s="38" t="s">
        <v>123</v>
      </c>
      <c r="N1570" s="41">
        <v>46006.17361111111</v>
      </c>
      <c r="O1570" s="38" t="s">
        <v>123</v>
      </c>
      <c r="P1570" s="38">
        <v>600.0</v>
      </c>
      <c r="Q1570" s="39"/>
      <c r="R1570" s="39"/>
      <c r="S1570" s="39"/>
      <c r="T1570" s="39"/>
      <c r="U1570" s="39"/>
    </row>
    <row r="1571">
      <c r="A1571" s="40">
        <f t="shared" si="1"/>
        <v>46006</v>
      </c>
      <c r="B1571" s="37" t="str">
        <f t="array" ref="B1571">iferror(xlookup($I1571, 'IMPORT VHC Report'!$E:$E, 'IMPORT VHC Report'!$A:$C), )</f>
        <v/>
      </c>
      <c r="C1571" s="37"/>
      <c r="D1571" s="37"/>
      <c r="E1571" s="38" t="s">
        <v>1963</v>
      </c>
      <c r="F1571" s="38" t="s">
        <v>1959</v>
      </c>
      <c r="G1571" s="38">
        <v>3.61750003915E11</v>
      </c>
      <c r="H1571" s="38" t="s">
        <v>1960</v>
      </c>
      <c r="I1571" s="38" t="s">
        <v>1961</v>
      </c>
      <c r="J1571" s="38" t="s">
        <v>332</v>
      </c>
      <c r="K1571" s="38" t="s">
        <v>63</v>
      </c>
      <c r="L1571" s="41">
        <v>46006.17361111111</v>
      </c>
      <c r="M1571" s="38" t="s">
        <v>123</v>
      </c>
      <c r="N1571" s="41">
        <v>46006.274305555555</v>
      </c>
      <c r="O1571" s="38" t="s">
        <v>123</v>
      </c>
      <c r="P1571" s="38">
        <v>8700.0</v>
      </c>
      <c r="Q1571" s="39"/>
      <c r="R1571" s="39"/>
      <c r="S1571" s="39"/>
      <c r="T1571" s="39"/>
      <c r="U1571" s="39"/>
    </row>
    <row r="1572">
      <c r="A1572" s="40">
        <f t="shared" si="1"/>
        <v>46006</v>
      </c>
      <c r="B1572" s="37" t="str">
        <f t="array" ref="B1572">iferror(xlookup($I1572, 'IMPORT VHC Report'!$E:$E, 'IMPORT VHC Report'!$A:$C), )</f>
        <v/>
      </c>
      <c r="C1572" s="37"/>
      <c r="D1572" s="37"/>
      <c r="E1572" s="38" t="s">
        <v>1964</v>
      </c>
      <c r="F1572" s="38" t="s">
        <v>1959</v>
      </c>
      <c r="G1572" s="38">
        <v>3.61750003915E11</v>
      </c>
      <c r="H1572" s="38" t="s">
        <v>1960</v>
      </c>
      <c r="I1572" s="38" t="s">
        <v>1961</v>
      </c>
      <c r="J1572" s="38" t="s">
        <v>132</v>
      </c>
      <c r="K1572" s="38" t="s">
        <v>126</v>
      </c>
      <c r="L1572" s="41">
        <v>46006.270833333336</v>
      </c>
      <c r="M1572" s="38" t="s">
        <v>123</v>
      </c>
      <c r="N1572" s="41">
        <v>46006.274305555555</v>
      </c>
      <c r="O1572" s="38" t="s">
        <v>123</v>
      </c>
      <c r="P1572" s="38">
        <v>300.0</v>
      </c>
      <c r="Q1572" s="39"/>
      <c r="R1572" s="39"/>
      <c r="S1572" s="39"/>
      <c r="T1572" s="39"/>
      <c r="U1572" s="39"/>
    </row>
    <row r="1573">
      <c r="A1573" s="40">
        <f t="shared" si="1"/>
        <v>46006</v>
      </c>
      <c r="B1573" s="37" t="str">
        <f t="array" ref="B1573">iferror(xlookup($I1573, 'IMPORT VHC Report'!$E:$E, 'IMPORT VHC Report'!$A:$C), )</f>
        <v/>
      </c>
      <c r="C1573" s="37"/>
      <c r="D1573" s="37"/>
      <c r="E1573" s="38" t="s">
        <v>1965</v>
      </c>
      <c r="F1573" s="38" t="s">
        <v>1959</v>
      </c>
      <c r="G1573" s="38">
        <v>3.61750003915E11</v>
      </c>
      <c r="H1573" s="38" t="s">
        <v>1960</v>
      </c>
      <c r="I1573" s="38" t="s">
        <v>1961</v>
      </c>
      <c r="J1573" s="38" t="s">
        <v>132</v>
      </c>
      <c r="K1573" s="38" t="s">
        <v>126</v>
      </c>
      <c r="L1573" s="41">
        <v>46006.274305555555</v>
      </c>
      <c r="M1573" s="38" t="s">
        <v>123</v>
      </c>
      <c r="N1573" s="41">
        <v>46006.31597222222</v>
      </c>
      <c r="O1573" s="38" t="s">
        <v>123</v>
      </c>
      <c r="P1573" s="38">
        <v>3600.0</v>
      </c>
      <c r="Q1573" s="39"/>
      <c r="R1573" s="39"/>
      <c r="S1573" s="39"/>
      <c r="T1573" s="39"/>
      <c r="U1573" s="39"/>
    </row>
    <row r="1574">
      <c r="A1574" s="40">
        <f t="shared" si="1"/>
        <v>46006</v>
      </c>
      <c r="B1574" s="37" t="str">
        <f t="array" ref="B1574">iferror(xlookup($I1574, 'IMPORT VHC Report'!$E:$E, 'IMPORT VHC Report'!$A:$C), )</f>
        <v/>
      </c>
      <c r="C1574" s="37"/>
      <c r="D1574" s="37"/>
      <c r="E1574" s="38" t="s">
        <v>1966</v>
      </c>
      <c r="F1574" s="38" t="s">
        <v>1959</v>
      </c>
      <c r="G1574" s="38">
        <v>3.61750003915E11</v>
      </c>
      <c r="H1574" s="38" t="s">
        <v>1960</v>
      </c>
      <c r="I1574" s="38" t="s">
        <v>1961</v>
      </c>
      <c r="J1574" s="38" t="s">
        <v>332</v>
      </c>
      <c r="K1574" s="38" t="s">
        <v>63</v>
      </c>
      <c r="L1574" s="41">
        <v>46006.274305555555</v>
      </c>
      <c r="M1574" s="38" t="s">
        <v>123</v>
      </c>
      <c r="N1574" s="41">
        <v>46006.541666666664</v>
      </c>
      <c r="O1574" s="38" t="s">
        <v>123</v>
      </c>
      <c r="P1574" s="38">
        <v>23100.0</v>
      </c>
      <c r="Q1574" s="39"/>
      <c r="R1574" s="39"/>
      <c r="S1574" s="39"/>
      <c r="T1574" s="39"/>
      <c r="U1574" s="39"/>
    </row>
    <row r="1575">
      <c r="A1575" s="40">
        <f t="shared" si="1"/>
        <v>46006</v>
      </c>
      <c r="B1575" s="37" t="str">
        <f t="array" ref="B1575">iferror(xlookup($I1575, 'IMPORT VHC Report'!$E:$E, 'IMPORT VHC Report'!$A:$C), )</f>
        <v/>
      </c>
      <c r="C1575" s="37"/>
      <c r="D1575" s="37"/>
      <c r="E1575" s="38" t="s">
        <v>1967</v>
      </c>
      <c r="F1575" s="38" t="s">
        <v>1959</v>
      </c>
      <c r="G1575" s="38">
        <v>3.61750003915E11</v>
      </c>
      <c r="H1575" s="38" t="s">
        <v>1960</v>
      </c>
      <c r="I1575" s="38" t="s">
        <v>1961</v>
      </c>
      <c r="J1575" s="38" t="s">
        <v>134</v>
      </c>
      <c r="K1575" s="38" t="s">
        <v>126</v>
      </c>
      <c r="L1575" s="41">
        <v>46006.416666666664</v>
      </c>
      <c r="M1575" s="38" t="s">
        <v>123</v>
      </c>
      <c r="N1575" s="41">
        <v>46006.4375</v>
      </c>
      <c r="O1575" s="38" t="s">
        <v>123</v>
      </c>
      <c r="P1575" s="38">
        <v>1800.0</v>
      </c>
      <c r="Q1575" s="39"/>
      <c r="R1575" s="39"/>
      <c r="S1575" s="39"/>
      <c r="T1575" s="39"/>
      <c r="U1575" s="39"/>
    </row>
    <row r="1576">
      <c r="A1576" s="40">
        <f t="shared" si="1"/>
        <v>46006</v>
      </c>
      <c r="B1576" s="37" t="str">
        <f t="array" ref="B1576">iferror(xlookup($I1576, 'IMPORT VHC Report'!$E:$E, 'IMPORT VHC Report'!$A:$C), )</f>
        <v/>
      </c>
      <c r="C1576" s="37"/>
      <c r="D1576" s="37"/>
      <c r="E1576" s="38" t="s">
        <v>1968</v>
      </c>
      <c r="F1576" s="38" t="s">
        <v>1959</v>
      </c>
      <c r="G1576" s="38">
        <v>3.61750003915E11</v>
      </c>
      <c r="H1576" s="38" t="s">
        <v>1960</v>
      </c>
      <c r="I1576" s="38" t="s">
        <v>1961</v>
      </c>
      <c r="J1576" s="38" t="s">
        <v>330</v>
      </c>
      <c r="K1576" s="38" t="s">
        <v>126</v>
      </c>
      <c r="L1576" s="41">
        <v>46007.166666666664</v>
      </c>
      <c r="M1576" s="38" t="s">
        <v>123</v>
      </c>
      <c r="N1576" s="41">
        <v>46007.17361111111</v>
      </c>
      <c r="O1576" s="38" t="s">
        <v>123</v>
      </c>
      <c r="P1576" s="38">
        <v>600.0</v>
      </c>
      <c r="Q1576" s="39"/>
      <c r="R1576" s="39"/>
      <c r="S1576" s="39"/>
      <c r="T1576" s="39"/>
      <c r="U1576" s="39"/>
    </row>
    <row r="1577">
      <c r="A1577" s="40">
        <f t="shared" si="1"/>
        <v>46006</v>
      </c>
      <c r="B1577" s="37" t="str">
        <f t="array" ref="B1577">iferror(xlookup($I1577, 'IMPORT VHC Report'!$E:$E, 'IMPORT VHC Report'!$A:$C), )</f>
        <v/>
      </c>
      <c r="C1577" s="37"/>
      <c r="D1577" s="37"/>
      <c r="E1577" s="38" t="s">
        <v>1969</v>
      </c>
      <c r="F1577" s="38" t="s">
        <v>1959</v>
      </c>
      <c r="G1577" s="38">
        <v>3.61750003915E11</v>
      </c>
      <c r="H1577" s="38" t="s">
        <v>1960</v>
      </c>
      <c r="I1577" s="38" t="s">
        <v>1961</v>
      </c>
      <c r="J1577" s="38" t="s">
        <v>332</v>
      </c>
      <c r="K1577" s="38" t="s">
        <v>63</v>
      </c>
      <c r="L1577" s="41">
        <v>46007.166666666664</v>
      </c>
      <c r="M1577" s="38" t="s">
        <v>123</v>
      </c>
      <c r="N1577" s="41">
        <v>46007.541666666664</v>
      </c>
      <c r="O1577" s="38" t="s">
        <v>123</v>
      </c>
      <c r="P1577" s="38">
        <v>32400.0</v>
      </c>
      <c r="Q1577" s="39"/>
      <c r="R1577" s="39"/>
      <c r="S1577" s="39"/>
      <c r="T1577" s="39"/>
      <c r="U1577" s="39"/>
    </row>
    <row r="1578">
      <c r="A1578" s="40">
        <f t="shared" si="1"/>
        <v>46006</v>
      </c>
      <c r="B1578" s="37" t="str">
        <f t="array" ref="B1578">iferror(xlookup($I1578, 'IMPORT VHC Report'!$E:$E, 'IMPORT VHC Report'!$A:$C), )</f>
        <v/>
      </c>
      <c r="C1578" s="37"/>
      <c r="D1578" s="37"/>
      <c r="E1578" s="38" t="s">
        <v>1970</v>
      </c>
      <c r="F1578" s="38" t="s">
        <v>1959</v>
      </c>
      <c r="G1578" s="38">
        <v>3.61750003915E11</v>
      </c>
      <c r="H1578" s="38" t="s">
        <v>1960</v>
      </c>
      <c r="I1578" s="38" t="s">
        <v>1961</v>
      </c>
      <c r="J1578" s="38" t="s">
        <v>4</v>
      </c>
      <c r="K1578" s="38" t="s">
        <v>126</v>
      </c>
      <c r="L1578" s="41">
        <v>46007.17361111111</v>
      </c>
      <c r="M1578" s="38" t="s">
        <v>123</v>
      </c>
      <c r="N1578" s="41">
        <v>46007.21527777778</v>
      </c>
      <c r="O1578" s="38" t="s">
        <v>123</v>
      </c>
      <c r="P1578" s="38">
        <v>3600.0</v>
      </c>
      <c r="Q1578" s="39"/>
      <c r="R1578" s="39"/>
      <c r="S1578" s="38" t="s">
        <v>1971</v>
      </c>
      <c r="T1578" s="39"/>
      <c r="U1578" s="39"/>
    </row>
    <row r="1579">
      <c r="A1579" s="40">
        <f t="shared" si="1"/>
        <v>46006</v>
      </c>
      <c r="B1579" s="37" t="str">
        <f t="array" ref="B1579">iferror(xlookup($I1579, 'IMPORT VHC Report'!$E:$E, 'IMPORT VHC Report'!$A:$C), )</f>
        <v/>
      </c>
      <c r="C1579" s="37"/>
      <c r="D1579" s="37"/>
      <c r="E1579" s="38" t="s">
        <v>1972</v>
      </c>
      <c r="F1579" s="38" t="s">
        <v>1959</v>
      </c>
      <c r="G1579" s="38">
        <v>3.61750003915E11</v>
      </c>
      <c r="H1579" s="38" t="s">
        <v>1960</v>
      </c>
      <c r="I1579" s="38" t="s">
        <v>1961</v>
      </c>
      <c r="J1579" s="38" t="s">
        <v>134</v>
      </c>
      <c r="K1579" s="38" t="s">
        <v>126</v>
      </c>
      <c r="L1579" s="41">
        <v>46007.291666666664</v>
      </c>
      <c r="M1579" s="38" t="s">
        <v>123</v>
      </c>
      <c r="N1579" s="41">
        <v>46007.3125</v>
      </c>
      <c r="O1579" s="38" t="s">
        <v>123</v>
      </c>
      <c r="P1579" s="38">
        <v>1800.0</v>
      </c>
      <c r="Q1579" s="39"/>
      <c r="R1579" s="39"/>
      <c r="S1579" s="39"/>
      <c r="T1579" s="39"/>
      <c r="U1579" s="39"/>
    </row>
    <row r="1580">
      <c r="A1580" s="40">
        <f t="shared" si="1"/>
        <v>46006</v>
      </c>
      <c r="B1580" s="37" t="str">
        <f t="array" ref="B1580">iferror(xlookup($I1580, 'IMPORT VHC Report'!$E:$E, 'IMPORT VHC Report'!$A:$C), )</f>
        <v/>
      </c>
      <c r="C1580" s="37"/>
      <c r="D1580" s="37"/>
      <c r="E1580" s="38" t="s">
        <v>1973</v>
      </c>
      <c r="F1580" s="38" t="s">
        <v>1959</v>
      </c>
      <c r="G1580" s="38">
        <v>3.61750003915E11</v>
      </c>
      <c r="H1580" s="38" t="s">
        <v>1960</v>
      </c>
      <c r="I1580" s="38" t="s">
        <v>1961</v>
      </c>
      <c r="J1580" s="38" t="s">
        <v>132</v>
      </c>
      <c r="K1580" s="38" t="s">
        <v>126</v>
      </c>
      <c r="L1580" s="41">
        <v>46007.447916666664</v>
      </c>
      <c r="M1580" s="38" t="s">
        <v>123</v>
      </c>
      <c r="N1580" s="41">
        <v>46007.489583333336</v>
      </c>
      <c r="O1580" s="38" t="s">
        <v>123</v>
      </c>
      <c r="P1580" s="38">
        <v>3600.0</v>
      </c>
      <c r="Q1580" s="39"/>
      <c r="R1580" s="39"/>
      <c r="S1580" s="39"/>
      <c r="T1580" s="39"/>
      <c r="U1580" s="39"/>
    </row>
    <row r="1581">
      <c r="A1581" s="40">
        <f t="shared" si="1"/>
        <v>46006</v>
      </c>
      <c r="B1581" s="37" t="str">
        <f t="array" ref="B1581">iferror(xlookup($I1581, 'IMPORT VHC Report'!$E:$E, 'IMPORT VHC Report'!$A:$C), )</f>
        <v/>
      </c>
      <c r="C1581" s="37"/>
      <c r="D1581" s="37"/>
      <c r="E1581" s="38" t="s">
        <v>1974</v>
      </c>
      <c r="F1581" s="38" t="s">
        <v>1959</v>
      </c>
      <c r="G1581" s="38">
        <v>3.61750003915E11</v>
      </c>
      <c r="H1581" s="38" t="s">
        <v>1960</v>
      </c>
      <c r="I1581" s="38" t="s">
        <v>1961</v>
      </c>
      <c r="J1581" s="38" t="s">
        <v>330</v>
      </c>
      <c r="K1581" s="38" t="s">
        <v>126</v>
      </c>
      <c r="L1581" s="41">
        <v>46008.166666666664</v>
      </c>
      <c r="M1581" s="38" t="s">
        <v>123</v>
      </c>
      <c r="N1581" s="41">
        <v>46008.17361111111</v>
      </c>
      <c r="O1581" s="38" t="s">
        <v>123</v>
      </c>
      <c r="P1581" s="38">
        <v>600.0</v>
      </c>
      <c r="Q1581" s="39"/>
      <c r="R1581" s="39"/>
      <c r="S1581" s="39"/>
      <c r="T1581" s="39"/>
      <c r="U1581" s="39"/>
    </row>
    <row r="1582">
      <c r="A1582" s="40">
        <f t="shared" si="1"/>
        <v>46006</v>
      </c>
      <c r="B1582" s="37" t="str">
        <f t="array" ref="B1582">iferror(xlookup($I1582, 'IMPORT VHC Report'!$E:$E, 'IMPORT VHC Report'!$A:$C), )</f>
        <v/>
      </c>
      <c r="C1582" s="37"/>
      <c r="D1582" s="37"/>
      <c r="E1582" s="38" t="s">
        <v>1975</v>
      </c>
      <c r="F1582" s="38" t="s">
        <v>1959</v>
      </c>
      <c r="G1582" s="38">
        <v>3.61750003915E11</v>
      </c>
      <c r="H1582" s="38" t="s">
        <v>1960</v>
      </c>
      <c r="I1582" s="38" t="s">
        <v>1961</v>
      </c>
      <c r="J1582" s="38" t="s">
        <v>332</v>
      </c>
      <c r="K1582" s="38" t="s">
        <v>63</v>
      </c>
      <c r="L1582" s="41">
        <v>46008.166666666664</v>
      </c>
      <c r="M1582" s="38" t="s">
        <v>123</v>
      </c>
      <c r="N1582" s="41">
        <v>46008.29583333333</v>
      </c>
      <c r="O1582" s="38" t="s">
        <v>123</v>
      </c>
      <c r="P1582" s="38">
        <v>11160.0</v>
      </c>
      <c r="Q1582" s="39"/>
      <c r="R1582" s="39"/>
      <c r="S1582" s="39"/>
      <c r="T1582" s="39"/>
      <c r="U1582" s="39"/>
    </row>
    <row r="1583">
      <c r="A1583" s="40">
        <f t="shared" si="1"/>
        <v>46006</v>
      </c>
      <c r="B1583" s="37" t="str">
        <f t="array" ref="B1583">iferror(xlookup($I1583, 'IMPORT VHC Report'!$E:$E, 'IMPORT VHC Report'!$A:$C), )</f>
        <v/>
      </c>
      <c r="C1583" s="37"/>
      <c r="D1583" s="37"/>
      <c r="E1583" s="38" t="s">
        <v>1976</v>
      </c>
      <c r="F1583" s="38" t="s">
        <v>1959</v>
      </c>
      <c r="G1583" s="38">
        <v>3.61750003915E11</v>
      </c>
      <c r="H1583" s="38" t="s">
        <v>1960</v>
      </c>
      <c r="I1583" s="38" t="s">
        <v>1961</v>
      </c>
      <c r="J1583" s="38" t="s">
        <v>136</v>
      </c>
      <c r="K1583" s="38" t="s">
        <v>126</v>
      </c>
      <c r="L1583" s="41">
        <v>46008.208333333336</v>
      </c>
      <c r="M1583" s="38" t="s">
        <v>123</v>
      </c>
      <c r="N1583" s="41">
        <v>46008.25208333333</v>
      </c>
      <c r="O1583" s="38" t="s">
        <v>123</v>
      </c>
      <c r="P1583" s="38">
        <v>3780.0</v>
      </c>
      <c r="Q1583" s="39"/>
      <c r="R1583" s="39"/>
      <c r="S1583" s="39"/>
      <c r="T1583" s="39"/>
      <c r="U1583" s="39"/>
    </row>
    <row r="1584">
      <c r="A1584" s="40">
        <f t="shared" si="1"/>
        <v>46006</v>
      </c>
      <c r="B1584" s="37" t="str">
        <f t="array" ref="B1584">iferror(xlookup($I1584, 'IMPORT VHC Report'!$E:$E, 'IMPORT VHC Report'!$A:$C), )</f>
        <v/>
      </c>
      <c r="C1584" s="37"/>
      <c r="D1584" s="37"/>
      <c r="E1584" s="38" t="s">
        <v>1977</v>
      </c>
      <c r="F1584" s="38" t="s">
        <v>1959</v>
      </c>
      <c r="G1584" s="38">
        <v>3.61750003915E11</v>
      </c>
      <c r="H1584" s="38" t="s">
        <v>1960</v>
      </c>
      <c r="I1584" s="38" t="s">
        <v>1961</v>
      </c>
      <c r="J1584" s="38" t="s">
        <v>132</v>
      </c>
      <c r="K1584" s="38" t="s">
        <v>126</v>
      </c>
      <c r="L1584" s="41">
        <v>46008.25208333333</v>
      </c>
      <c r="M1584" s="38" t="s">
        <v>123</v>
      </c>
      <c r="N1584" s="41">
        <v>46008.29583333333</v>
      </c>
      <c r="O1584" s="38" t="s">
        <v>123</v>
      </c>
      <c r="P1584" s="38">
        <v>3780.0</v>
      </c>
      <c r="Q1584" s="39"/>
      <c r="R1584" s="39"/>
      <c r="S1584" s="39"/>
      <c r="T1584" s="39"/>
      <c r="U1584" s="39"/>
    </row>
    <row r="1585">
      <c r="A1585" s="40">
        <f t="shared" si="1"/>
        <v>46006</v>
      </c>
      <c r="B1585" s="37" t="str">
        <f t="array" ref="B1585">iferror(xlookup($I1585, 'IMPORT VHC Report'!$E:$E, 'IMPORT VHC Report'!$A:$C), )</f>
        <v/>
      </c>
      <c r="C1585" s="37"/>
      <c r="D1585" s="37"/>
      <c r="E1585" s="38" t="s">
        <v>1978</v>
      </c>
      <c r="F1585" s="38" t="s">
        <v>1959</v>
      </c>
      <c r="G1585" s="38">
        <v>3.61750003915E11</v>
      </c>
      <c r="H1585" s="38" t="s">
        <v>1960</v>
      </c>
      <c r="I1585" s="38" t="s">
        <v>1961</v>
      </c>
      <c r="J1585" s="38" t="s">
        <v>332</v>
      </c>
      <c r="K1585" s="38" t="s">
        <v>63</v>
      </c>
      <c r="L1585" s="41">
        <v>46008.29583333333</v>
      </c>
      <c r="M1585" s="38" t="s">
        <v>123</v>
      </c>
      <c r="N1585" s="41">
        <v>46008.427083333336</v>
      </c>
      <c r="O1585" s="38" t="s">
        <v>123</v>
      </c>
      <c r="P1585" s="38">
        <v>11340.0</v>
      </c>
      <c r="Q1585" s="39"/>
      <c r="R1585" s="39"/>
      <c r="S1585" s="39"/>
      <c r="T1585" s="39"/>
      <c r="U1585" s="39"/>
    </row>
    <row r="1586">
      <c r="A1586" s="40">
        <f t="shared" si="1"/>
        <v>46006</v>
      </c>
      <c r="B1586" s="37" t="str">
        <f t="array" ref="B1586">iferror(xlookup($I1586, 'IMPORT VHC Report'!$E:$E, 'IMPORT VHC Report'!$A:$C), )</f>
        <v/>
      </c>
      <c r="C1586" s="37"/>
      <c r="D1586" s="37"/>
      <c r="E1586" s="38" t="s">
        <v>1979</v>
      </c>
      <c r="F1586" s="38" t="s">
        <v>1959</v>
      </c>
      <c r="G1586" s="38">
        <v>3.61750003915E11</v>
      </c>
      <c r="H1586" s="38" t="s">
        <v>1960</v>
      </c>
      <c r="I1586" s="38" t="s">
        <v>1961</v>
      </c>
      <c r="J1586" s="38" t="s">
        <v>134</v>
      </c>
      <c r="K1586" s="38" t="s">
        <v>126</v>
      </c>
      <c r="L1586" s="41">
        <v>46008.416666666664</v>
      </c>
      <c r="M1586" s="38" t="s">
        <v>123</v>
      </c>
      <c r="N1586" s="41">
        <v>46008.427083333336</v>
      </c>
      <c r="O1586" s="38" t="s">
        <v>123</v>
      </c>
      <c r="P1586" s="38">
        <v>900.0</v>
      </c>
      <c r="Q1586" s="39"/>
      <c r="R1586" s="39"/>
      <c r="S1586" s="39"/>
      <c r="T1586" s="39"/>
      <c r="U1586" s="39"/>
    </row>
    <row r="1587">
      <c r="A1587" s="40">
        <f t="shared" si="1"/>
        <v>46006</v>
      </c>
      <c r="B1587" s="37" t="str">
        <f t="array" ref="B1587">iferror(xlookup($I1587, 'IMPORT VHC Report'!$E:$E, 'IMPORT VHC Report'!$A:$C), )</f>
        <v/>
      </c>
      <c r="C1587" s="37"/>
      <c r="D1587" s="37"/>
      <c r="E1587" s="38" t="s">
        <v>1980</v>
      </c>
      <c r="F1587" s="38" t="s">
        <v>1959</v>
      </c>
      <c r="G1587" s="38">
        <v>3.61750003915E11</v>
      </c>
      <c r="H1587" s="38" t="s">
        <v>1960</v>
      </c>
      <c r="I1587" s="38" t="s">
        <v>1961</v>
      </c>
      <c r="J1587" s="38" t="s">
        <v>134</v>
      </c>
      <c r="K1587" s="38" t="s">
        <v>126</v>
      </c>
      <c r="L1587" s="41">
        <v>46008.427083333336</v>
      </c>
      <c r="M1587" s="38" t="s">
        <v>123</v>
      </c>
      <c r="N1587" s="41">
        <v>46008.44583333333</v>
      </c>
      <c r="O1587" s="38" t="s">
        <v>123</v>
      </c>
      <c r="P1587" s="38">
        <v>1620.0</v>
      </c>
      <c r="Q1587" s="39"/>
      <c r="R1587" s="39"/>
      <c r="S1587" s="38" t="s">
        <v>1981</v>
      </c>
      <c r="T1587" s="39"/>
      <c r="U1587" s="39"/>
    </row>
    <row r="1588">
      <c r="A1588" s="40">
        <f t="shared" si="1"/>
        <v>46006</v>
      </c>
      <c r="B1588" s="37" t="str">
        <f t="array" ref="B1588">iferror(xlookup($I1588, 'IMPORT VHC Report'!$E:$E, 'IMPORT VHC Report'!$A:$C), )</f>
        <v/>
      </c>
      <c r="C1588" s="37"/>
      <c r="D1588" s="37"/>
      <c r="E1588" s="38" t="s">
        <v>1982</v>
      </c>
      <c r="F1588" s="38" t="s">
        <v>1959</v>
      </c>
      <c r="G1588" s="38">
        <v>3.61750003915E11</v>
      </c>
      <c r="H1588" s="38" t="s">
        <v>1960</v>
      </c>
      <c r="I1588" s="38" t="s">
        <v>1961</v>
      </c>
      <c r="J1588" s="38" t="s">
        <v>332</v>
      </c>
      <c r="K1588" s="38" t="s">
        <v>63</v>
      </c>
      <c r="L1588" s="41">
        <v>46008.427083333336</v>
      </c>
      <c r="M1588" s="38" t="s">
        <v>123</v>
      </c>
      <c r="N1588" s="41">
        <v>46008.541666666664</v>
      </c>
      <c r="O1588" s="38" t="s">
        <v>123</v>
      </c>
      <c r="P1588" s="38">
        <v>9900.0</v>
      </c>
      <c r="Q1588" s="39"/>
      <c r="R1588" s="39"/>
      <c r="S1588" s="39"/>
      <c r="T1588" s="39"/>
      <c r="U1588" s="39"/>
    </row>
    <row r="1589">
      <c r="A1589" s="40">
        <f t="shared" si="1"/>
        <v>46006</v>
      </c>
      <c r="B1589" s="37" t="str">
        <f t="array" ref="B1589">iferror(xlookup($I1589, 'IMPORT VHC Report'!$E:$E, 'IMPORT VHC Report'!$A:$C), )</f>
        <v/>
      </c>
      <c r="C1589" s="37"/>
      <c r="D1589" s="37"/>
      <c r="E1589" s="38" t="s">
        <v>1983</v>
      </c>
      <c r="F1589" s="38" t="s">
        <v>1959</v>
      </c>
      <c r="G1589" s="38">
        <v>3.61750003915E11</v>
      </c>
      <c r="H1589" s="38" t="s">
        <v>1960</v>
      </c>
      <c r="I1589" s="38" t="s">
        <v>1961</v>
      </c>
      <c r="J1589" s="38" t="s">
        <v>332</v>
      </c>
      <c r="K1589" s="38" t="s">
        <v>63</v>
      </c>
      <c r="L1589" s="41">
        <v>46011.166666666664</v>
      </c>
      <c r="M1589" s="38" t="s">
        <v>123</v>
      </c>
      <c r="N1589" s="41">
        <v>46011.17361111111</v>
      </c>
      <c r="O1589" s="38" t="s">
        <v>123</v>
      </c>
      <c r="P1589" s="38">
        <v>600.0</v>
      </c>
      <c r="Q1589" s="39"/>
      <c r="R1589" s="39"/>
      <c r="S1589" s="39"/>
      <c r="T1589" s="39"/>
      <c r="U1589" s="39"/>
    </row>
    <row r="1590">
      <c r="A1590" s="40">
        <f t="shared" si="1"/>
        <v>46006</v>
      </c>
      <c r="B1590" s="37" t="str">
        <f t="array" ref="B1590">iferror(xlookup($I1590, 'IMPORT VHC Report'!$E:$E, 'IMPORT VHC Report'!$A:$C), )</f>
        <v/>
      </c>
      <c r="C1590" s="37"/>
      <c r="D1590" s="37"/>
      <c r="E1590" s="38" t="s">
        <v>1984</v>
      </c>
      <c r="F1590" s="38" t="s">
        <v>1959</v>
      </c>
      <c r="G1590" s="38">
        <v>3.61750003915E11</v>
      </c>
      <c r="H1590" s="38" t="s">
        <v>1960</v>
      </c>
      <c r="I1590" s="38" t="s">
        <v>1961</v>
      </c>
      <c r="J1590" s="38" t="s">
        <v>330</v>
      </c>
      <c r="K1590" s="38" t="s">
        <v>126</v>
      </c>
      <c r="L1590" s="41">
        <v>46011.166666666664</v>
      </c>
      <c r="M1590" s="38" t="s">
        <v>123</v>
      </c>
      <c r="N1590" s="41">
        <v>46011.17361111111</v>
      </c>
      <c r="O1590" s="38" t="s">
        <v>123</v>
      </c>
      <c r="P1590" s="38">
        <v>600.0</v>
      </c>
      <c r="Q1590" s="39"/>
      <c r="R1590" s="39"/>
      <c r="S1590" s="39"/>
      <c r="T1590" s="39"/>
      <c r="U1590" s="39"/>
    </row>
    <row r="1591">
      <c r="A1591" s="40">
        <f t="shared" si="1"/>
        <v>46006</v>
      </c>
      <c r="B1591" s="37" t="str">
        <f t="array" ref="B1591">iferror(xlookup($I1591, 'IMPORT VHC Report'!$E:$E, 'IMPORT VHC Report'!$A:$C), )</f>
        <v/>
      </c>
      <c r="C1591" s="37"/>
      <c r="D1591" s="37"/>
      <c r="E1591" s="38" t="s">
        <v>1985</v>
      </c>
      <c r="F1591" s="38" t="s">
        <v>1959</v>
      </c>
      <c r="G1591" s="38">
        <v>3.61750003915E11</v>
      </c>
      <c r="H1591" s="38" t="s">
        <v>1960</v>
      </c>
      <c r="I1591" s="38" t="s">
        <v>1961</v>
      </c>
      <c r="J1591" s="38" t="s">
        <v>332</v>
      </c>
      <c r="K1591" s="38" t="s">
        <v>63</v>
      </c>
      <c r="L1591" s="41">
        <v>46011.17361111111</v>
      </c>
      <c r="M1591" s="38" t="s">
        <v>123</v>
      </c>
      <c r="N1591" s="41">
        <v>46011.27777777778</v>
      </c>
      <c r="O1591" s="38" t="s">
        <v>123</v>
      </c>
      <c r="P1591" s="38">
        <v>9000.0</v>
      </c>
      <c r="Q1591" s="39"/>
      <c r="R1591" s="39"/>
      <c r="S1591" s="39"/>
      <c r="T1591" s="39"/>
      <c r="U1591" s="39"/>
    </row>
    <row r="1592">
      <c r="A1592" s="40">
        <f t="shared" si="1"/>
        <v>46006</v>
      </c>
      <c r="B1592" s="37" t="str">
        <f t="array" ref="B1592">iferror(xlookup($I1592, 'IMPORT VHC Report'!$E:$E, 'IMPORT VHC Report'!$A:$C), )</f>
        <v/>
      </c>
      <c r="C1592" s="37"/>
      <c r="D1592" s="37"/>
      <c r="E1592" s="38" t="s">
        <v>1986</v>
      </c>
      <c r="F1592" s="38" t="s">
        <v>1959</v>
      </c>
      <c r="G1592" s="38">
        <v>3.61750003915E11</v>
      </c>
      <c r="H1592" s="38" t="s">
        <v>1960</v>
      </c>
      <c r="I1592" s="38" t="s">
        <v>1961</v>
      </c>
      <c r="J1592" s="38" t="s">
        <v>134</v>
      </c>
      <c r="K1592" s="38" t="s">
        <v>126</v>
      </c>
      <c r="L1592" s="41">
        <v>46011.270833333336</v>
      </c>
      <c r="M1592" s="38" t="s">
        <v>123</v>
      </c>
      <c r="N1592" s="41">
        <v>46011.27777777778</v>
      </c>
      <c r="O1592" s="38" t="s">
        <v>123</v>
      </c>
      <c r="P1592" s="38">
        <v>600.0</v>
      </c>
      <c r="Q1592" s="39"/>
      <c r="R1592" s="39"/>
      <c r="S1592" s="39"/>
      <c r="T1592" s="39"/>
      <c r="U1592" s="39"/>
    </row>
    <row r="1593">
      <c r="A1593" s="40">
        <f t="shared" si="1"/>
        <v>46006</v>
      </c>
      <c r="B1593" s="37" t="str">
        <f t="array" ref="B1593">iferror(xlookup($I1593, 'IMPORT VHC Report'!$E:$E, 'IMPORT VHC Report'!$A:$C), )</f>
        <v/>
      </c>
      <c r="C1593" s="37"/>
      <c r="D1593" s="37"/>
      <c r="E1593" s="38" t="s">
        <v>1987</v>
      </c>
      <c r="F1593" s="38" t="s">
        <v>1959</v>
      </c>
      <c r="G1593" s="38">
        <v>3.61750003915E11</v>
      </c>
      <c r="H1593" s="38" t="s">
        <v>1960</v>
      </c>
      <c r="I1593" s="38" t="s">
        <v>1961</v>
      </c>
      <c r="J1593" s="38" t="s">
        <v>134</v>
      </c>
      <c r="K1593" s="38" t="s">
        <v>126</v>
      </c>
      <c r="L1593" s="41">
        <v>46011.27777777778</v>
      </c>
      <c r="M1593" s="38" t="s">
        <v>123</v>
      </c>
      <c r="N1593" s="41">
        <v>46011.29861111111</v>
      </c>
      <c r="O1593" s="38" t="s">
        <v>123</v>
      </c>
      <c r="P1593" s="38">
        <v>1800.0</v>
      </c>
      <c r="Q1593" s="39"/>
      <c r="R1593" s="39"/>
      <c r="S1593" s="39"/>
      <c r="T1593" s="39"/>
      <c r="U1593" s="39"/>
    </row>
    <row r="1594">
      <c r="A1594" s="40">
        <f t="shared" si="1"/>
        <v>46006</v>
      </c>
      <c r="B1594" s="37" t="str">
        <f t="array" ref="B1594">iferror(xlookup($I1594, 'IMPORT VHC Report'!$E:$E, 'IMPORT VHC Report'!$A:$C), )</f>
        <v/>
      </c>
      <c r="C1594" s="37"/>
      <c r="D1594" s="37"/>
      <c r="E1594" s="38" t="s">
        <v>1988</v>
      </c>
      <c r="F1594" s="38" t="s">
        <v>1959</v>
      </c>
      <c r="G1594" s="38">
        <v>3.61750003915E11</v>
      </c>
      <c r="H1594" s="38" t="s">
        <v>1960</v>
      </c>
      <c r="I1594" s="38" t="s">
        <v>1961</v>
      </c>
      <c r="J1594" s="38" t="s">
        <v>332</v>
      </c>
      <c r="K1594" s="38" t="s">
        <v>63</v>
      </c>
      <c r="L1594" s="41">
        <v>46011.27777777778</v>
      </c>
      <c r="M1594" s="38" t="s">
        <v>123</v>
      </c>
      <c r="N1594" s="41">
        <v>46011.541666666664</v>
      </c>
      <c r="O1594" s="38" t="s">
        <v>123</v>
      </c>
      <c r="P1594" s="38">
        <v>22800.0</v>
      </c>
      <c r="Q1594" s="39"/>
      <c r="R1594" s="39"/>
      <c r="S1594" s="39"/>
      <c r="T1594" s="39"/>
      <c r="U1594" s="39"/>
    </row>
    <row r="1595">
      <c r="A1595" s="40">
        <f t="shared" si="1"/>
        <v>46006</v>
      </c>
      <c r="B1595" s="37" t="str">
        <f t="array" ref="B1595">iferror(xlookup($I1595, 'IMPORT VHC Report'!$E:$E, 'IMPORT VHC Report'!$A:$C), )</f>
        <v/>
      </c>
      <c r="C1595" s="37"/>
      <c r="D1595" s="37"/>
      <c r="E1595" s="38" t="s">
        <v>1989</v>
      </c>
      <c r="F1595" s="38" t="s">
        <v>1959</v>
      </c>
      <c r="G1595" s="38">
        <v>3.61750003915E11</v>
      </c>
      <c r="H1595" s="38" t="s">
        <v>1960</v>
      </c>
      <c r="I1595" s="38" t="s">
        <v>1961</v>
      </c>
      <c r="J1595" s="38" t="s">
        <v>132</v>
      </c>
      <c r="K1595" s="38" t="s">
        <v>126</v>
      </c>
      <c r="L1595" s="41">
        <v>46011.427083333336</v>
      </c>
      <c r="M1595" s="38" t="s">
        <v>123</v>
      </c>
      <c r="N1595" s="41">
        <v>46011.46875</v>
      </c>
      <c r="O1595" s="38" t="s">
        <v>123</v>
      </c>
      <c r="P1595" s="38">
        <v>3600.0</v>
      </c>
      <c r="Q1595" s="39"/>
      <c r="R1595" s="39"/>
      <c r="S1595" s="39"/>
      <c r="T1595" s="39"/>
      <c r="U1595" s="39"/>
    </row>
    <row r="1596">
      <c r="A1596" s="40">
        <f t="shared" si="1"/>
        <v>46006</v>
      </c>
      <c r="B1596" s="37" t="str">
        <f t="array" ref="B1596">iferror(xlookup($I1596, 'IMPORT VHC Report'!$E:$E, 'IMPORT VHC Report'!$A:$C), )</f>
        <v/>
      </c>
      <c r="C1596" s="37"/>
      <c r="D1596" s="37"/>
      <c r="E1596" s="38" t="s">
        <v>1990</v>
      </c>
      <c r="F1596" s="38" t="s">
        <v>1959</v>
      </c>
      <c r="G1596" s="38">
        <v>3.61750003915E11</v>
      </c>
      <c r="H1596" s="38" t="s">
        <v>1960</v>
      </c>
      <c r="I1596" s="38" t="s">
        <v>1961</v>
      </c>
      <c r="J1596" s="38" t="s">
        <v>125</v>
      </c>
      <c r="K1596" s="38" t="s">
        <v>126</v>
      </c>
      <c r="L1596" s="41">
        <v>46011.49097222222</v>
      </c>
      <c r="M1596" s="38" t="s">
        <v>123</v>
      </c>
      <c r="N1596" s="41">
        <v>46011.51180555556</v>
      </c>
      <c r="O1596" s="38" t="s">
        <v>123</v>
      </c>
      <c r="P1596" s="38">
        <v>1800.0</v>
      </c>
      <c r="Q1596" s="39"/>
      <c r="R1596" s="39"/>
      <c r="S1596" s="38" t="s">
        <v>1991</v>
      </c>
      <c r="T1596" s="39"/>
      <c r="U1596" s="39"/>
    </row>
    <row r="1597">
      <c r="A1597" s="40">
        <f t="shared" si="1"/>
        <v>46006</v>
      </c>
      <c r="B1597" s="37" t="str">
        <f t="array" ref="B1597">iferror(xlookup($I1597, 'IMPORT VHC Report'!$E:$E, 'IMPORT VHC Report'!$A:$C), )</f>
        <v/>
      </c>
      <c r="C1597" s="37"/>
      <c r="D1597" s="37"/>
      <c r="E1597" s="38" t="s">
        <v>1992</v>
      </c>
      <c r="F1597" s="38" t="s">
        <v>1959</v>
      </c>
      <c r="G1597" s="38">
        <v>3.61750003915E11</v>
      </c>
      <c r="H1597" s="38" t="s">
        <v>1960</v>
      </c>
      <c r="I1597" s="38" t="s">
        <v>1961</v>
      </c>
      <c r="J1597" s="38" t="s">
        <v>330</v>
      </c>
      <c r="K1597" s="38" t="s">
        <v>126</v>
      </c>
      <c r="L1597" s="41">
        <v>46012.166666666664</v>
      </c>
      <c r="M1597" s="38" t="s">
        <v>123</v>
      </c>
      <c r="N1597" s="41">
        <v>46012.17361111111</v>
      </c>
      <c r="O1597" s="38" t="s">
        <v>123</v>
      </c>
      <c r="P1597" s="38">
        <v>600.0</v>
      </c>
      <c r="Q1597" s="39"/>
      <c r="R1597" s="39"/>
      <c r="S1597" s="39"/>
      <c r="T1597" s="39"/>
      <c r="U1597" s="39"/>
    </row>
    <row r="1598">
      <c r="A1598" s="40">
        <f t="shared" si="1"/>
        <v>46006</v>
      </c>
      <c r="B1598" s="37" t="str">
        <f t="array" ref="B1598">iferror(xlookup($I1598, 'IMPORT VHC Report'!$E:$E, 'IMPORT VHC Report'!$A:$C), )</f>
        <v/>
      </c>
      <c r="C1598" s="37"/>
      <c r="D1598" s="37"/>
      <c r="E1598" s="38" t="s">
        <v>1993</v>
      </c>
      <c r="F1598" s="38" t="s">
        <v>1959</v>
      </c>
      <c r="G1598" s="38">
        <v>3.61750003915E11</v>
      </c>
      <c r="H1598" s="38" t="s">
        <v>1960</v>
      </c>
      <c r="I1598" s="38" t="s">
        <v>1961</v>
      </c>
      <c r="J1598" s="38" t="s">
        <v>332</v>
      </c>
      <c r="K1598" s="38" t="s">
        <v>63</v>
      </c>
      <c r="L1598" s="41">
        <v>46012.166666666664</v>
      </c>
      <c r="M1598" s="38" t="s">
        <v>123</v>
      </c>
      <c r="N1598" s="41">
        <v>46012.541666666664</v>
      </c>
      <c r="O1598" s="38" t="s">
        <v>123</v>
      </c>
      <c r="P1598" s="38">
        <v>32400.0</v>
      </c>
      <c r="Q1598" s="39"/>
      <c r="R1598" s="39"/>
      <c r="S1598" s="39"/>
      <c r="T1598" s="39"/>
      <c r="U1598" s="39"/>
    </row>
    <row r="1599">
      <c r="A1599" s="40">
        <f t="shared" si="1"/>
        <v>46006</v>
      </c>
      <c r="B1599" s="37" t="str">
        <f t="array" ref="B1599">iferror(xlookup($I1599, 'IMPORT VHC Report'!$E:$E, 'IMPORT VHC Report'!$A:$C), )</f>
        <v/>
      </c>
      <c r="C1599" s="37"/>
      <c r="D1599" s="37"/>
      <c r="E1599" s="38" t="s">
        <v>1994</v>
      </c>
      <c r="F1599" s="38" t="s">
        <v>1959</v>
      </c>
      <c r="G1599" s="38">
        <v>3.61750003915E11</v>
      </c>
      <c r="H1599" s="38" t="s">
        <v>1960</v>
      </c>
      <c r="I1599" s="38" t="s">
        <v>1961</v>
      </c>
      <c r="J1599" s="38" t="s">
        <v>4</v>
      </c>
      <c r="K1599" s="38" t="s">
        <v>126</v>
      </c>
      <c r="L1599" s="41">
        <v>46012.180555555555</v>
      </c>
      <c r="M1599" s="38" t="s">
        <v>123</v>
      </c>
      <c r="N1599" s="41">
        <v>46012.211805555555</v>
      </c>
      <c r="O1599" s="38" t="s">
        <v>123</v>
      </c>
      <c r="P1599" s="38">
        <v>2700.0</v>
      </c>
      <c r="Q1599" s="39"/>
      <c r="R1599" s="39"/>
      <c r="S1599" s="38" t="s">
        <v>1995</v>
      </c>
      <c r="T1599" s="39"/>
      <c r="U1599" s="39"/>
    </row>
    <row r="1600">
      <c r="A1600" s="40">
        <f t="shared" si="1"/>
        <v>46006</v>
      </c>
      <c r="B1600" s="37" t="str">
        <f t="array" ref="B1600">iferror(xlookup($I1600, 'IMPORT VHC Report'!$E:$E, 'IMPORT VHC Report'!$A:$C), )</f>
        <v/>
      </c>
      <c r="C1600" s="37"/>
      <c r="D1600" s="37"/>
      <c r="E1600" s="38" t="s">
        <v>1996</v>
      </c>
      <c r="F1600" s="38" t="s">
        <v>1959</v>
      </c>
      <c r="G1600" s="38">
        <v>3.61750003915E11</v>
      </c>
      <c r="H1600" s="38" t="s">
        <v>1960</v>
      </c>
      <c r="I1600" s="38" t="s">
        <v>1961</v>
      </c>
      <c r="J1600" s="38" t="s">
        <v>134</v>
      </c>
      <c r="K1600" s="38" t="s">
        <v>126</v>
      </c>
      <c r="L1600" s="41">
        <v>46012.270833333336</v>
      </c>
      <c r="M1600" s="38" t="s">
        <v>123</v>
      </c>
      <c r="N1600" s="41">
        <v>46012.291666666664</v>
      </c>
      <c r="O1600" s="38" t="s">
        <v>123</v>
      </c>
      <c r="P1600" s="38">
        <v>1800.0</v>
      </c>
      <c r="Q1600" s="39"/>
      <c r="R1600" s="39"/>
      <c r="S1600" s="39"/>
      <c r="T1600" s="39"/>
      <c r="U1600" s="39"/>
    </row>
    <row r="1601">
      <c r="A1601" s="40">
        <f t="shared" si="1"/>
        <v>46006</v>
      </c>
      <c r="B1601" s="37" t="str">
        <f t="array" ref="B1601">iferror(xlookup($I1601, 'IMPORT VHC Report'!$E:$E, 'IMPORT VHC Report'!$A:$C), )</f>
        <v/>
      </c>
      <c r="C1601" s="37"/>
      <c r="D1601" s="37"/>
      <c r="E1601" s="38" t="s">
        <v>1997</v>
      </c>
      <c r="F1601" s="38" t="s">
        <v>1959</v>
      </c>
      <c r="G1601" s="38">
        <v>3.61750003915E11</v>
      </c>
      <c r="H1601" s="38" t="s">
        <v>1960</v>
      </c>
      <c r="I1601" s="38" t="s">
        <v>1961</v>
      </c>
      <c r="J1601" s="38" t="s">
        <v>132</v>
      </c>
      <c r="K1601" s="38" t="s">
        <v>126</v>
      </c>
      <c r="L1601" s="41">
        <v>46012.427083333336</v>
      </c>
      <c r="M1601" s="38" t="s">
        <v>123</v>
      </c>
      <c r="N1601" s="41">
        <v>46012.46875</v>
      </c>
      <c r="O1601" s="38" t="s">
        <v>123</v>
      </c>
      <c r="P1601" s="38">
        <v>3600.0</v>
      </c>
      <c r="Q1601" s="39"/>
      <c r="R1601" s="39"/>
      <c r="S1601" s="39"/>
      <c r="T1601" s="39"/>
      <c r="U1601" s="39"/>
    </row>
    <row r="1602">
      <c r="A1602" s="40">
        <f t="shared" si="1"/>
        <v>46006</v>
      </c>
      <c r="B1602" s="37" t="str">
        <f t="array" ref="B1602">iferror(xlookup($I1602, 'IMPORT VHC Report'!$E:$E, 'IMPORT VHC Report'!$A:$C), )</f>
        <v/>
      </c>
      <c r="C1602" s="37"/>
      <c r="D1602" s="37"/>
      <c r="E1602" s="38" t="s">
        <v>1998</v>
      </c>
      <c r="F1602" s="38" t="s">
        <v>1999</v>
      </c>
      <c r="G1602" s="38">
        <v>9.795981813775E12</v>
      </c>
      <c r="H1602" s="38" t="s">
        <v>2000</v>
      </c>
      <c r="I1602" s="38" t="s">
        <v>2001</v>
      </c>
      <c r="J1602" s="38" t="s">
        <v>330</v>
      </c>
      <c r="K1602" s="38" t="s">
        <v>126</v>
      </c>
      <c r="L1602" s="41">
        <v>46006.166666666664</v>
      </c>
      <c r="M1602" s="38" t="s">
        <v>123</v>
      </c>
      <c r="N1602" s="41">
        <v>46006.17361111111</v>
      </c>
      <c r="O1602" s="38" t="s">
        <v>123</v>
      </c>
      <c r="P1602" s="38">
        <v>600.0</v>
      </c>
      <c r="Q1602" s="39"/>
      <c r="R1602" s="39"/>
      <c r="S1602" s="39"/>
      <c r="T1602" s="39"/>
      <c r="U1602" s="39"/>
    </row>
    <row r="1603">
      <c r="A1603" s="40">
        <f t="shared" si="1"/>
        <v>46006</v>
      </c>
      <c r="B1603" s="37" t="str">
        <f t="array" ref="B1603">iferror(xlookup($I1603, 'IMPORT VHC Report'!$E:$E, 'IMPORT VHC Report'!$A:$C), )</f>
        <v/>
      </c>
      <c r="C1603" s="37"/>
      <c r="D1603" s="37"/>
      <c r="E1603" s="38" t="s">
        <v>2002</v>
      </c>
      <c r="F1603" s="38" t="s">
        <v>1999</v>
      </c>
      <c r="G1603" s="38">
        <v>9.795981813775E12</v>
      </c>
      <c r="H1603" s="38" t="s">
        <v>2000</v>
      </c>
      <c r="I1603" s="38" t="s">
        <v>2001</v>
      </c>
      <c r="J1603" s="38" t="s">
        <v>332</v>
      </c>
      <c r="K1603" s="38" t="s">
        <v>63</v>
      </c>
      <c r="L1603" s="41">
        <v>46006.166666666664</v>
      </c>
      <c r="M1603" s="38" t="s">
        <v>123</v>
      </c>
      <c r="N1603" s="41">
        <v>46006.541666666664</v>
      </c>
      <c r="O1603" s="38" t="s">
        <v>123</v>
      </c>
      <c r="P1603" s="38">
        <v>32400.0</v>
      </c>
      <c r="Q1603" s="39"/>
      <c r="R1603" s="39"/>
      <c r="S1603" s="39"/>
      <c r="T1603" s="39"/>
      <c r="U1603" s="39"/>
    </row>
    <row r="1604">
      <c r="A1604" s="40">
        <f t="shared" si="1"/>
        <v>46006</v>
      </c>
      <c r="B1604" s="37" t="str">
        <f t="array" ref="B1604">iferror(xlookup($I1604, 'IMPORT VHC Report'!$E:$E, 'IMPORT VHC Report'!$A:$C), )</f>
        <v/>
      </c>
      <c r="C1604" s="37"/>
      <c r="D1604" s="37"/>
      <c r="E1604" s="38" t="s">
        <v>2003</v>
      </c>
      <c r="F1604" s="38" t="s">
        <v>1999</v>
      </c>
      <c r="G1604" s="38">
        <v>9.795981813775E12</v>
      </c>
      <c r="H1604" s="38" t="s">
        <v>2000</v>
      </c>
      <c r="I1604" s="38" t="s">
        <v>2001</v>
      </c>
      <c r="J1604" s="38" t="s">
        <v>132</v>
      </c>
      <c r="K1604" s="38" t="s">
        <v>126</v>
      </c>
      <c r="L1604" s="41">
        <v>46006.3125</v>
      </c>
      <c r="M1604" s="38" t="s">
        <v>123</v>
      </c>
      <c r="N1604" s="41">
        <v>46006.354166666664</v>
      </c>
      <c r="O1604" s="38" t="s">
        <v>123</v>
      </c>
      <c r="P1604" s="38">
        <v>3600.0</v>
      </c>
      <c r="Q1604" s="39"/>
      <c r="R1604" s="39"/>
      <c r="S1604" s="39"/>
      <c r="T1604" s="39"/>
      <c r="U1604" s="39"/>
    </row>
    <row r="1605">
      <c r="A1605" s="40">
        <f t="shared" si="1"/>
        <v>46006</v>
      </c>
      <c r="B1605" s="37" t="str">
        <f t="array" ref="B1605">iferror(xlookup($I1605, 'IMPORT VHC Report'!$E:$E, 'IMPORT VHC Report'!$A:$C), )</f>
        <v/>
      </c>
      <c r="C1605" s="37"/>
      <c r="D1605" s="37"/>
      <c r="E1605" s="38" t="s">
        <v>2004</v>
      </c>
      <c r="F1605" s="38" t="s">
        <v>1999</v>
      </c>
      <c r="G1605" s="38">
        <v>9.795981813775E12</v>
      </c>
      <c r="H1605" s="38" t="s">
        <v>2000</v>
      </c>
      <c r="I1605" s="38" t="s">
        <v>2001</v>
      </c>
      <c r="J1605" s="38" t="s">
        <v>134</v>
      </c>
      <c r="K1605" s="38" t="s">
        <v>126</v>
      </c>
      <c r="L1605" s="41">
        <v>46006.45138888889</v>
      </c>
      <c r="M1605" s="38" t="s">
        <v>123</v>
      </c>
      <c r="N1605" s="41">
        <v>46006.47222222222</v>
      </c>
      <c r="O1605" s="38" t="s">
        <v>123</v>
      </c>
      <c r="P1605" s="38">
        <v>1800.0</v>
      </c>
      <c r="Q1605" s="39"/>
      <c r="R1605" s="39"/>
      <c r="S1605" s="38" t="s">
        <v>2005</v>
      </c>
      <c r="T1605" s="39"/>
      <c r="U1605" s="39"/>
    </row>
    <row r="1606">
      <c r="A1606" s="40">
        <f t="shared" si="1"/>
        <v>46006</v>
      </c>
      <c r="B1606" s="37" t="str">
        <f t="array" ref="B1606">iferror(xlookup($I1606, 'IMPORT VHC Report'!$E:$E, 'IMPORT VHC Report'!$A:$C), )</f>
        <v/>
      </c>
      <c r="C1606" s="37"/>
      <c r="D1606" s="37"/>
      <c r="E1606" s="38" t="s">
        <v>2006</v>
      </c>
      <c r="F1606" s="38" t="s">
        <v>1999</v>
      </c>
      <c r="G1606" s="38">
        <v>9.795981813775E12</v>
      </c>
      <c r="H1606" s="38" t="s">
        <v>2000</v>
      </c>
      <c r="I1606" s="38" t="s">
        <v>2001</v>
      </c>
      <c r="J1606" s="38" t="s">
        <v>330</v>
      </c>
      <c r="K1606" s="38" t="s">
        <v>126</v>
      </c>
      <c r="L1606" s="41">
        <v>46007.166666666664</v>
      </c>
      <c r="M1606" s="38" t="s">
        <v>123</v>
      </c>
      <c r="N1606" s="41">
        <v>46007.17361111111</v>
      </c>
      <c r="O1606" s="38" t="s">
        <v>123</v>
      </c>
      <c r="P1606" s="38">
        <v>600.0</v>
      </c>
      <c r="Q1606" s="39"/>
      <c r="R1606" s="39"/>
      <c r="S1606" s="39"/>
      <c r="T1606" s="39"/>
      <c r="U1606" s="39"/>
    </row>
    <row r="1607">
      <c r="A1607" s="40">
        <f t="shared" si="1"/>
        <v>46006</v>
      </c>
      <c r="B1607" s="37" t="str">
        <f t="array" ref="B1607">iferror(xlookup($I1607, 'IMPORT VHC Report'!$E:$E, 'IMPORT VHC Report'!$A:$C), )</f>
        <v/>
      </c>
      <c r="C1607" s="37"/>
      <c r="D1607" s="37"/>
      <c r="E1607" s="38" t="s">
        <v>2007</v>
      </c>
      <c r="F1607" s="38" t="s">
        <v>1999</v>
      </c>
      <c r="G1607" s="38">
        <v>9.795981813775E12</v>
      </c>
      <c r="H1607" s="38" t="s">
        <v>2000</v>
      </c>
      <c r="I1607" s="38" t="s">
        <v>2001</v>
      </c>
      <c r="J1607" s="38" t="s">
        <v>332</v>
      </c>
      <c r="K1607" s="38" t="s">
        <v>63</v>
      </c>
      <c r="L1607" s="41">
        <v>46007.166666666664</v>
      </c>
      <c r="M1607" s="38" t="s">
        <v>123</v>
      </c>
      <c r="N1607" s="41">
        <v>46007.541666666664</v>
      </c>
      <c r="O1607" s="38" t="s">
        <v>123</v>
      </c>
      <c r="P1607" s="38">
        <v>32400.0</v>
      </c>
      <c r="Q1607" s="39"/>
      <c r="R1607" s="39"/>
      <c r="S1607" s="39"/>
      <c r="T1607" s="39"/>
      <c r="U1607" s="39"/>
    </row>
    <row r="1608">
      <c r="A1608" s="40">
        <f t="shared" si="1"/>
        <v>46006</v>
      </c>
      <c r="B1608" s="37" t="str">
        <f t="array" ref="B1608">iferror(xlookup($I1608, 'IMPORT VHC Report'!$E:$E, 'IMPORT VHC Report'!$A:$C), )</f>
        <v/>
      </c>
      <c r="C1608" s="37"/>
      <c r="D1608" s="37"/>
      <c r="E1608" s="38" t="s">
        <v>2008</v>
      </c>
      <c r="F1608" s="38" t="s">
        <v>1999</v>
      </c>
      <c r="G1608" s="38">
        <v>9.795981813775E12</v>
      </c>
      <c r="H1608" s="38" t="s">
        <v>2000</v>
      </c>
      <c r="I1608" s="38" t="s">
        <v>2001</v>
      </c>
      <c r="J1608" s="38" t="s">
        <v>4</v>
      </c>
      <c r="K1608" s="38" t="s">
        <v>126</v>
      </c>
      <c r="L1608" s="41">
        <v>46007.21527777778</v>
      </c>
      <c r="M1608" s="38" t="s">
        <v>123</v>
      </c>
      <c r="N1608" s="41">
        <v>46007.256944444445</v>
      </c>
      <c r="O1608" s="38" t="s">
        <v>123</v>
      </c>
      <c r="P1608" s="38">
        <v>3600.0</v>
      </c>
      <c r="Q1608" s="39"/>
      <c r="R1608" s="39"/>
      <c r="S1608" s="38" t="s">
        <v>130</v>
      </c>
      <c r="T1608" s="39"/>
      <c r="U1608" s="39"/>
    </row>
    <row r="1609">
      <c r="A1609" s="40">
        <f t="shared" si="1"/>
        <v>46006</v>
      </c>
      <c r="B1609" s="37" t="str">
        <f t="array" ref="B1609">iferror(xlookup($I1609, 'IMPORT VHC Report'!$E:$E, 'IMPORT VHC Report'!$A:$C), )</f>
        <v/>
      </c>
      <c r="C1609" s="37"/>
      <c r="D1609" s="37"/>
      <c r="E1609" s="38" t="s">
        <v>2009</v>
      </c>
      <c r="F1609" s="38" t="s">
        <v>1999</v>
      </c>
      <c r="G1609" s="38">
        <v>9.795981813775E12</v>
      </c>
      <c r="H1609" s="38" t="s">
        <v>2000</v>
      </c>
      <c r="I1609" s="38" t="s">
        <v>2001</v>
      </c>
      <c r="J1609" s="38" t="s">
        <v>134</v>
      </c>
      <c r="K1609" s="38" t="s">
        <v>126</v>
      </c>
      <c r="L1609" s="41">
        <v>46007.3125</v>
      </c>
      <c r="M1609" s="38" t="s">
        <v>123</v>
      </c>
      <c r="N1609" s="41">
        <v>46007.333333333336</v>
      </c>
      <c r="O1609" s="38" t="s">
        <v>123</v>
      </c>
      <c r="P1609" s="38">
        <v>1800.0</v>
      </c>
      <c r="Q1609" s="39"/>
      <c r="R1609" s="39"/>
      <c r="S1609" s="39"/>
      <c r="T1609" s="39"/>
      <c r="U1609" s="39"/>
    </row>
    <row r="1610">
      <c r="A1610" s="40">
        <f t="shared" si="1"/>
        <v>46006</v>
      </c>
      <c r="B1610" s="37" t="str">
        <f t="array" ref="B1610">iferror(xlookup($I1610, 'IMPORT VHC Report'!$E:$E, 'IMPORT VHC Report'!$A:$C), )</f>
        <v/>
      </c>
      <c r="C1610" s="37"/>
      <c r="D1610" s="37"/>
      <c r="E1610" s="38" t="s">
        <v>2010</v>
      </c>
      <c r="F1610" s="38" t="s">
        <v>1999</v>
      </c>
      <c r="G1610" s="38">
        <v>9.795981813775E12</v>
      </c>
      <c r="H1610" s="38" t="s">
        <v>2000</v>
      </c>
      <c r="I1610" s="38" t="s">
        <v>2001</v>
      </c>
      <c r="J1610" s="38" t="s">
        <v>132</v>
      </c>
      <c r="K1610" s="38" t="s">
        <v>126</v>
      </c>
      <c r="L1610" s="41">
        <v>46007.416666666664</v>
      </c>
      <c r="M1610" s="38" t="s">
        <v>123</v>
      </c>
      <c r="N1610" s="41">
        <v>46007.458333333336</v>
      </c>
      <c r="O1610" s="38" t="s">
        <v>123</v>
      </c>
      <c r="P1610" s="38">
        <v>3600.0</v>
      </c>
      <c r="Q1610" s="39"/>
      <c r="R1610" s="39"/>
      <c r="S1610" s="39"/>
      <c r="T1610" s="39"/>
      <c r="U1610" s="39"/>
    </row>
    <row r="1611">
      <c r="A1611" s="40">
        <f t="shared" si="1"/>
        <v>46006</v>
      </c>
      <c r="B1611" s="37" t="str">
        <f t="array" ref="B1611">iferror(xlookup($I1611, 'IMPORT VHC Report'!$E:$E, 'IMPORT VHC Report'!$A:$C), )</f>
        <v/>
      </c>
      <c r="C1611" s="37"/>
      <c r="D1611" s="37"/>
      <c r="E1611" s="38" t="s">
        <v>2011</v>
      </c>
      <c r="F1611" s="38" t="s">
        <v>1999</v>
      </c>
      <c r="G1611" s="38">
        <v>9.795981813775E12</v>
      </c>
      <c r="H1611" s="38" t="s">
        <v>2000</v>
      </c>
      <c r="I1611" s="38" t="s">
        <v>2001</v>
      </c>
      <c r="J1611" s="38" t="s">
        <v>330</v>
      </c>
      <c r="K1611" s="38" t="s">
        <v>126</v>
      </c>
      <c r="L1611" s="41">
        <v>46008.166666666664</v>
      </c>
      <c r="M1611" s="38" t="s">
        <v>123</v>
      </c>
      <c r="N1611" s="41">
        <v>46008.17361111111</v>
      </c>
      <c r="O1611" s="38" t="s">
        <v>123</v>
      </c>
      <c r="P1611" s="38">
        <v>600.0</v>
      </c>
      <c r="Q1611" s="39"/>
      <c r="R1611" s="39"/>
      <c r="S1611" s="39"/>
      <c r="T1611" s="39"/>
      <c r="U1611" s="39"/>
    </row>
    <row r="1612">
      <c r="A1612" s="40">
        <f t="shared" si="1"/>
        <v>46006</v>
      </c>
      <c r="B1612" s="37" t="str">
        <f t="array" ref="B1612">iferror(xlookup($I1612, 'IMPORT VHC Report'!$E:$E, 'IMPORT VHC Report'!$A:$C), )</f>
        <v/>
      </c>
      <c r="C1612" s="37"/>
      <c r="D1612" s="37"/>
      <c r="E1612" s="38" t="s">
        <v>2012</v>
      </c>
      <c r="F1612" s="38" t="s">
        <v>1999</v>
      </c>
      <c r="G1612" s="38">
        <v>9.795981813775E12</v>
      </c>
      <c r="H1612" s="38" t="s">
        <v>2000</v>
      </c>
      <c r="I1612" s="38" t="s">
        <v>2001</v>
      </c>
      <c r="J1612" s="38" t="s">
        <v>332</v>
      </c>
      <c r="K1612" s="38" t="s">
        <v>63</v>
      </c>
      <c r="L1612" s="41">
        <v>46008.166666666664</v>
      </c>
      <c r="M1612" s="38" t="s">
        <v>123</v>
      </c>
      <c r="N1612" s="41">
        <v>46008.541666666664</v>
      </c>
      <c r="O1612" s="38" t="s">
        <v>123</v>
      </c>
      <c r="P1612" s="38">
        <v>32400.0</v>
      </c>
      <c r="Q1612" s="39"/>
      <c r="R1612" s="39"/>
      <c r="S1612" s="39"/>
      <c r="T1612" s="39"/>
      <c r="U1612" s="39"/>
    </row>
    <row r="1613">
      <c r="A1613" s="40">
        <f t="shared" si="1"/>
        <v>46006</v>
      </c>
      <c r="B1613" s="37" t="str">
        <f t="array" ref="B1613">iferror(xlookup($I1613, 'IMPORT VHC Report'!$E:$E, 'IMPORT VHC Report'!$A:$C), )</f>
        <v/>
      </c>
      <c r="C1613" s="37"/>
      <c r="D1613" s="37"/>
      <c r="E1613" s="38" t="s">
        <v>2013</v>
      </c>
      <c r="F1613" s="38" t="s">
        <v>1999</v>
      </c>
      <c r="G1613" s="38">
        <v>9.795981813775E12</v>
      </c>
      <c r="H1613" s="38" t="s">
        <v>2000</v>
      </c>
      <c r="I1613" s="38" t="s">
        <v>2001</v>
      </c>
      <c r="J1613" s="38" t="s">
        <v>136</v>
      </c>
      <c r="K1613" s="38" t="s">
        <v>126</v>
      </c>
      <c r="L1613" s="41">
        <v>46008.208333333336</v>
      </c>
      <c r="M1613" s="38" t="s">
        <v>123</v>
      </c>
      <c r="N1613" s="41">
        <v>46008.25</v>
      </c>
      <c r="O1613" s="38" t="s">
        <v>123</v>
      </c>
      <c r="P1613" s="38">
        <v>3600.0</v>
      </c>
      <c r="Q1613" s="39"/>
      <c r="R1613" s="39"/>
      <c r="S1613" s="38" t="s">
        <v>137</v>
      </c>
      <c r="T1613" s="39"/>
      <c r="U1613" s="39"/>
    </row>
    <row r="1614">
      <c r="A1614" s="40">
        <f t="shared" si="1"/>
        <v>46006</v>
      </c>
      <c r="B1614" s="37" t="str">
        <f t="array" ref="B1614">iferror(xlookup($I1614, 'IMPORT VHC Report'!$E:$E, 'IMPORT VHC Report'!$A:$C), )</f>
        <v/>
      </c>
      <c r="C1614" s="37"/>
      <c r="D1614" s="37"/>
      <c r="E1614" s="38" t="s">
        <v>2014</v>
      </c>
      <c r="F1614" s="38" t="s">
        <v>1999</v>
      </c>
      <c r="G1614" s="38">
        <v>9.795981813775E12</v>
      </c>
      <c r="H1614" s="38" t="s">
        <v>2000</v>
      </c>
      <c r="I1614" s="38" t="s">
        <v>2001</v>
      </c>
      <c r="J1614" s="38" t="s">
        <v>132</v>
      </c>
      <c r="K1614" s="38" t="s">
        <v>126</v>
      </c>
      <c r="L1614" s="41">
        <v>46008.302083333336</v>
      </c>
      <c r="M1614" s="38" t="s">
        <v>123</v>
      </c>
      <c r="N1614" s="41">
        <v>46008.34375</v>
      </c>
      <c r="O1614" s="38" t="s">
        <v>123</v>
      </c>
      <c r="P1614" s="38">
        <v>3600.0</v>
      </c>
      <c r="Q1614" s="39"/>
      <c r="R1614" s="39"/>
      <c r="S1614" s="39"/>
      <c r="T1614" s="39"/>
      <c r="U1614" s="39"/>
    </row>
    <row r="1615">
      <c r="A1615" s="40">
        <f t="shared" si="1"/>
        <v>46006</v>
      </c>
      <c r="B1615" s="37" t="str">
        <f t="array" ref="B1615">iferror(xlookup($I1615, 'IMPORT VHC Report'!$E:$E, 'IMPORT VHC Report'!$A:$C), )</f>
        <v/>
      </c>
      <c r="C1615" s="37"/>
      <c r="D1615" s="37"/>
      <c r="E1615" s="38" t="s">
        <v>2015</v>
      </c>
      <c r="F1615" s="38" t="s">
        <v>1999</v>
      </c>
      <c r="G1615" s="38">
        <v>9.795981813775E12</v>
      </c>
      <c r="H1615" s="38" t="s">
        <v>2000</v>
      </c>
      <c r="I1615" s="38" t="s">
        <v>2001</v>
      </c>
      <c r="J1615" s="38" t="s">
        <v>134</v>
      </c>
      <c r="K1615" s="38" t="s">
        <v>126</v>
      </c>
      <c r="L1615" s="41">
        <v>46008.479166666664</v>
      </c>
      <c r="M1615" s="38" t="s">
        <v>123</v>
      </c>
      <c r="N1615" s="41">
        <v>46008.5</v>
      </c>
      <c r="O1615" s="38" t="s">
        <v>123</v>
      </c>
      <c r="P1615" s="38">
        <v>1800.0</v>
      </c>
      <c r="Q1615" s="39"/>
      <c r="R1615" s="39"/>
      <c r="S1615" s="39"/>
      <c r="T1615" s="39"/>
      <c r="U1615" s="39"/>
    </row>
    <row r="1616">
      <c r="A1616" s="40">
        <f t="shared" si="1"/>
        <v>46006</v>
      </c>
      <c r="B1616" s="37" t="str">
        <f t="array" ref="B1616">iferror(xlookup($I1616, 'IMPORT VHC Report'!$E:$E, 'IMPORT VHC Report'!$A:$C), )</f>
        <v/>
      </c>
      <c r="C1616" s="37"/>
      <c r="D1616" s="37"/>
      <c r="E1616" s="38" t="s">
        <v>2016</v>
      </c>
      <c r="F1616" s="38" t="s">
        <v>1999</v>
      </c>
      <c r="G1616" s="38">
        <v>9.795981813775E12</v>
      </c>
      <c r="H1616" s="38" t="s">
        <v>2000</v>
      </c>
      <c r="I1616" s="38" t="s">
        <v>2001</v>
      </c>
      <c r="J1616" s="38" t="s">
        <v>4</v>
      </c>
      <c r="K1616" s="38" t="s">
        <v>126</v>
      </c>
      <c r="L1616" s="41">
        <v>46008.5</v>
      </c>
      <c r="M1616" s="38" t="s">
        <v>123</v>
      </c>
      <c r="N1616" s="41">
        <v>46008.541666666664</v>
      </c>
      <c r="O1616" s="38" t="s">
        <v>123</v>
      </c>
      <c r="P1616" s="38">
        <v>3600.0</v>
      </c>
      <c r="Q1616" s="39"/>
      <c r="R1616" s="39"/>
      <c r="S1616" s="38" t="s">
        <v>336</v>
      </c>
      <c r="T1616" s="39"/>
      <c r="U1616" s="39"/>
    </row>
    <row r="1617">
      <c r="A1617" s="40">
        <f t="shared" si="1"/>
        <v>46006</v>
      </c>
      <c r="B1617" s="37" t="str">
        <f t="array" ref="B1617">iferror(xlookup($I1617, 'IMPORT VHC Report'!$E:$E, 'IMPORT VHC Report'!$A:$C), )</f>
        <v/>
      </c>
      <c r="C1617" s="37"/>
      <c r="D1617" s="37"/>
      <c r="E1617" s="38" t="s">
        <v>2017</v>
      </c>
      <c r="F1617" s="38" t="s">
        <v>1999</v>
      </c>
      <c r="G1617" s="38">
        <v>9.795981813775E12</v>
      </c>
      <c r="H1617" s="38" t="s">
        <v>2000</v>
      </c>
      <c r="I1617" s="38" t="s">
        <v>2001</v>
      </c>
      <c r="J1617" s="38" t="s">
        <v>330</v>
      </c>
      <c r="K1617" s="38" t="s">
        <v>126</v>
      </c>
      <c r="L1617" s="41">
        <v>46009.166666666664</v>
      </c>
      <c r="M1617" s="38" t="s">
        <v>123</v>
      </c>
      <c r="N1617" s="41">
        <v>46009.17361111111</v>
      </c>
      <c r="O1617" s="38" t="s">
        <v>123</v>
      </c>
      <c r="P1617" s="38">
        <v>600.0</v>
      </c>
      <c r="Q1617" s="39"/>
      <c r="R1617" s="39"/>
      <c r="S1617" s="39"/>
      <c r="T1617" s="39"/>
      <c r="U1617" s="39"/>
    </row>
    <row r="1618">
      <c r="A1618" s="40">
        <f t="shared" si="1"/>
        <v>46006</v>
      </c>
      <c r="B1618" s="37" t="str">
        <f t="array" ref="B1618">iferror(xlookup($I1618, 'IMPORT VHC Report'!$E:$E, 'IMPORT VHC Report'!$A:$C), )</f>
        <v/>
      </c>
      <c r="C1618" s="37"/>
      <c r="D1618" s="37"/>
      <c r="E1618" s="38" t="s">
        <v>2018</v>
      </c>
      <c r="F1618" s="38" t="s">
        <v>1999</v>
      </c>
      <c r="G1618" s="38">
        <v>9.795981813775E12</v>
      </c>
      <c r="H1618" s="38" t="s">
        <v>2000</v>
      </c>
      <c r="I1618" s="38" t="s">
        <v>2001</v>
      </c>
      <c r="J1618" s="38" t="s">
        <v>152</v>
      </c>
      <c r="K1618" s="38" t="s">
        <v>153</v>
      </c>
      <c r="L1618" s="41">
        <v>46009.166666666664</v>
      </c>
      <c r="M1618" s="38" t="s">
        <v>123</v>
      </c>
      <c r="N1618" s="41">
        <v>46009.333333333336</v>
      </c>
      <c r="O1618" s="38" t="s">
        <v>123</v>
      </c>
      <c r="P1618" s="38">
        <v>14400.0</v>
      </c>
      <c r="Q1618" s="38">
        <v>14400.0</v>
      </c>
      <c r="R1618" s="38" t="s">
        <v>2019</v>
      </c>
      <c r="S1618" s="39"/>
      <c r="T1618" s="39"/>
      <c r="U1618" s="39"/>
    </row>
    <row r="1619">
      <c r="A1619" s="40">
        <f t="shared" si="1"/>
        <v>46006</v>
      </c>
      <c r="B1619" s="37" t="str">
        <f t="array" ref="B1619">iferror(xlookup($I1619, 'IMPORT VHC Report'!$E:$E, 'IMPORT VHC Report'!$A:$C), )</f>
        <v/>
      </c>
      <c r="C1619" s="37"/>
      <c r="D1619" s="37"/>
      <c r="E1619" s="38" t="s">
        <v>2020</v>
      </c>
      <c r="F1619" s="38" t="s">
        <v>1999</v>
      </c>
      <c r="G1619" s="38">
        <v>9.795981813775E12</v>
      </c>
      <c r="H1619" s="38" t="s">
        <v>2000</v>
      </c>
      <c r="I1619" s="38" t="s">
        <v>2001</v>
      </c>
      <c r="J1619" s="38" t="s">
        <v>332</v>
      </c>
      <c r="K1619" s="38" t="s">
        <v>63</v>
      </c>
      <c r="L1619" s="41">
        <v>46009.166666666664</v>
      </c>
      <c r="M1619" s="38" t="s">
        <v>123</v>
      </c>
      <c r="N1619" s="41">
        <v>46009.541666666664</v>
      </c>
      <c r="O1619" s="38" t="s">
        <v>123</v>
      </c>
      <c r="P1619" s="38">
        <v>32400.0</v>
      </c>
      <c r="Q1619" s="39"/>
      <c r="R1619" s="39"/>
      <c r="S1619" s="39"/>
      <c r="T1619" s="39"/>
      <c r="U1619" s="39"/>
    </row>
    <row r="1620">
      <c r="A1620" s="40">
        <f t="shared" si="1"/>
        <v>46006</v>
      </c>
      <c r="B1620" s="37" t="str">
        <f t="array" ref="B1620">iferror(xlookup($I1620, 'IMPORT VHC Report'!$E:$E, 'IMPORT VHC Report'!$A:$C), )</f>
        <v/>
      </c>
      <c r="C1620" s="37"/>
      <c r="D1620" s="37"/>
      <c r="E1620" s="38" t="s">
        <v>2021</v>
      </c>
      <c r="F1620" s="38" t="s">
        <v>1999</v>
      </c>
      <c r="G1620" s="38">
        <v>9.795981813775E12</v>
      </c>
      <c r="H1620" s="38" t="s">
        <v>2000</v>
      </c>
      <c r="I1620" s="38" t="s">
        <v>2001</v>
      </c>
      <c r="J1620" s="38" t="s">
        <v>332</v>
      </c>
      <c r="K1620" s="38" t="s">
        <v>63</v>
      </c>
      <c r="L1620" s="41">
        <v>46009.333333333336</v>
      </c>
      <c r="M1620" s="38" t="s">
        <v>123</v>
      </c>
      <c r="N1620" s="41">
        <v>46009.375</v>
      </c>
      <c r="O1620" s="38" t="s">
        <v>123</v>
      </c>
      <c r="P1620" s="38">
        <v>3600.0</v>
      </c>
      <c r="Q1620" s="39"/>
      <c r="R1620" s="39"/>
      <c r="S1620" s="39"/>
      <c r="T1620" s="39"/>
      <c r="U1620" s="39"/>
    </row>
    <row r="1621">
      <c r="A1621" s="40">
        <f t="shared" si="1"/>
        <v>46006</v>
      </c>
      <c r="B1621" s="37" t="str">
        <f t="array" ref="B1621">iferror(xlookup($I1621, 'IMPORT VHC Report'!$E:$E, 'IMPORT VHC Report'!$A:$C), )</f>
        <v/>
      </c>
      <c r="C1621" s="37"/>
      <c r="D1621" s="37"/>
      <c r="E1621" s="38" t="s">
        <v>2022</v>
      </c>
      <c r="F1621" s="38" t="s">
        <v>1999</v>
      </c>
      <c r="G1621" s="38">
        <v>9.795981813775E12</v>
      </c>
      <c r="H1621" s="38" t="s">
        <v>2000</v>
      </c>
      <c r="I1621" s="38" t="s">
        <v>2001</v>
      </c>
      <c r="J1621" s="38" t="s">
        <v>134</v>
      </c>
      <c r="K1621" s="38" t="s">
        <v>126</v>
      </c>
      <c r="L1621" s="41">
        <v>46009.458333333336</v>
      </c>
      <c r="M1621" s="38" t="s">
        <v>123</v>
      </c>
      <c r="N1621" s="41">
        <v>46009.46875</v>
      </c>
      <c r="O1621" s="38" t="s">
        <v>123</v>
      </c>
      <c r="P1621" s="38">
        <v>900.0</v>
      </c>
      <c r="Q1621" s="39"/>
      <c r="R1621" s="39"/>
      <c r="S1621" s="39"/>
      <c r="T1621" s="39"/>
      <c r="U1621" s="39"/>
    </row>
    <row r="1622">
      <c r="A1622" s="40">
        <f t="shared" si="1"/>
        <v>46006</v>
      </c>
      <c r="B1622" s="37" t="str">
        <f t="array" ref="B1622">iferror(xlookup($I1622, 'IMPORT VHC Report'!$E:$E, 'IMPORT VHC Report'!$A:$C), )</f>
        <v/>
      </c>
      <c r="C1622" s="37"/>
      <c r="D1622" s="37"/>
      <c r="E1622" s="38" t="s">
        <v>2023</v>
      </c>
      <c r="F1622" s="38" t="s">
        <v>1999</v>
      </c>
      <c r="G1622" s="38">
        <v>9.795981813775E12</v>
      </c>
      <c r="H1622" s="38" t="s">
        <v>2000</v>
      </c>
      <c r="I1622" s="38" t="s">
        <v>2001</v>
      </c>
      <c r="J1622" s="38" t="s">
        <v>330</v>
      </c>
      <c r="K1622" s="38" t="s">
        <v>126</v>
      </c>
      <c r="L1622" s="41">
        <v>46010.166666666664</v>
      </c>
      <c r="M1622" s="38" t="s">
        <v>123</v>
      </c>
      <c r="N1622" s="41">
        <v>46010.17361111111</v>
      </c>
      <c r="O1622" s="38" t="s">
        <v>123</v>
      </c>
      <c r="P1622" s="38">
        <v>600.0</v>
      </c>
      <c r="Q1622" s="39"/>
      <c r="R1622" s="39"/>
      <c r="S1622" s="39"/>
      <c r="T1622" s="39"/>
      <c r="U1622" s="39"/>
    </row>
    <row r="1623">
      <c r="A1623" s="40">
        <f t="shared" si="1"/>
        <v>46006</v>
      </c>
      <c r="B1623" s="37" t="str">
        <f t="array" ref="B1623">iferror(xlookup($I1623, 'IMPORT VHC Report'!$E:$E, 'IMPORT VHC Report'!$A:$C), )</f>
        <v/>
      </c>
      <c r="C1623" s="37"/>
      <c r="D1623" s="37"/>
      <c r="E1623" s="38" t="s">
        <v>2024</v>
      </c>
      <c r="F1623" s="38" t="s">
        <v>1999</v>
      </c>
      <c r="G1623" s="38">
        <v>9.795981813775E12</v>
      </c>
      <c r="H1623" s="38" t="s">
        <v>2000</v>
      </c>
      <c r="I1623" s="38" t="s">
        <v>2001</v>
      </c>
      <c r="J1623" s="38" t="s">
        <v>332</v>
      </c>
      <c r="K1623" s="38" t="s">
        <v>63</v>
      </c>
      <c r="L1623" s="41">
        <v>46010.166666666664</v>
      </c>
      <c r="M1623" s="38" t="s">
        <v>123</v>
      </c>
      <c r="N1623" s="41">
        <v>46010.541666666664</v>
      </c>
      <c r="O1623" s="38" t="s">
        <v>123</v>
      </c>
      <c r="P1623" s="38">
        <v>32400.0</v>
      </c>
      <c r="Q1623" s="39"/>
      <c r="R1623" s="39"/>
      <c r="S1623" s="39"/>
      <c r="T1623" s="39"/>
      <c r="U1623" s="39"/>
    </row>
    <row r="1624">
      <c r="A1624" s="40">
        <f t="shared" si="1"/>
        <v>46006</v>
      </c>
      <c r="B1624" s="37" t="str">
        <f t="array" ref="B1624">iferror(xlookup($I1624, 'IMPORT VHC Report'!$E:$E, 'IMPORT VHC Report'!$A:$C), )</f>
        <v/>
      </c>
      <c r="C1624" s="37"/>
      <c r="D1624" s="37"/>
      <c r="E1624" s="38" t="s">
        <v>2025</v>
      </c>
      <c r="F1624" s="38" t="s">
        <v>1999</v>
      </c>
      <c r="G1624" s="38">
        <v>9.795981813775E12</v>
      </c>
      <c r="H1624" s="38" t="s">
        <v>2000</v>
      </c>
      <c r="I1624" s="38" t="s">
        <v>2001</v>
      </c>
      <c r="J1624" s="38" t="s">
        <v>134</v>
      </c>
      <c r="K1624" s="38" t="s">
        <v>126</v>
      </c>
      <c r="L1624" s="41">
        <v>46010.3125</v>
      </c>
      <c r="M1624" s="38" t="s">
        <v>123</v>
      </c>
      <c r="N1624" s="41">
        <v>46010.333333333336</v>
      </c>
      <c r="O1624" s="38" t="s">
        <v>123</v>
      </c>
      <c r="P1624" s="38">
        <v>1800.0</v>
      </c>
      <c r="Q1624" s="39"/>
      <c r="R1624" s="39"/>
      <c r="S1624" s="39"/>
      <c r="T1624" s="39"/>
      <c r="U1624" s="39"/>
    </row>
    <row r="1625">
      <c r="A1625" s="40">
        <f t="shared" si="1"/>
        <v>46006</v>
      </c>
      <c r="B1625" s="37" t="str">
        <f t="array" ref="B1625">iferror(xlookup($I1625, 'IMPORT VHC Report'!$E:$E, 'IMPORT VHC Report'!$A:$C), )</f>
        <v/>
      </c>
      <c r="C1625" s="37"/>
      <c r="D1625" s="37"/>
      <c r="E1625" s="38" t="s">
        <v>2026</v>
      </c>
      <c r="F1625" s="38" t="s">
        <v>1999</v>
      </c>
      <c r="G1625" s="38">
        <v>9.795981813775E12</v>
      </c>
      <c r="H1625" s="38" t="s">
        <v>2000</v>
      </c>
      <c r="I1625" s="38" t="s">
        <v>2001</v>
      </c>
      <c r="J1625" s="38" t="s">
        <v>125</v>
      </c>
      <c r="K1625" s="38" t="s">
        <v>126</v>
      </c>
      <c r="L1625" s="41">
        <v>46010.37847222222</v>
      </c>
      <c r="M1625" s="38" t="s">
        <v>123</v>
      </c>
      <c r="N1625" s="41">
        <v>46010.38888888889</v>
      </c>
      <c r="O1625" s="38" t="s">
        <v>123</v>
      </c>
      <c r="P1625" s="38">
        <v>900.0</v>
      </c>
      <c r="Q1625" s="39"/>
      <c r="R1625" s="39"/>
      <c r="S1625" s="38" t="s">
        <v>2027</v>
      </c>
      <c r="T1625" s="39"/>
      <c r="U1625" s="39"/>
    </row>
    <row r="1626">
      <c r="A1626" s="40">
        <f t="shared" si="1"/>
        <v>46006</v>
      </c>
      <c r="B1626" s="37" t="str">
        <f t="array" ref="B1626">iferror(xlookup($I1626, 'IMPORT VHC Report'!$E:$E, 'IMPORT VHC Report'!$A:$C), )</f>
        <v/>
      </c>
      <c r="C1626" s="37"/>
      <c r="D1626" s="37"/>
      <c r="E1626" s="38" t="s">
        <v>2028</v>
      </c>
      <c r="F1626" s="38" t="s">
        <v>1999</v>
      </c>
      <c r="G1626" s="38">
        <v>9.795981813775E12</v>
      </c>
      <c r="H1626" s="38" t="s">
        <v>2000</v>
      </c>
      <c r="I1626" s="38" t="s">
        <v>2001</v>
      </c>
      <c r="J1626" s="38" t="s">
        <v>125</v>
      </c>
      <c r="K1626" s="38" t="s">
        <v>126</v>
      </c>
      <c r="L1626" s="41">
        <v>46010.37847222222</v>
      </c>
      <c r="M1626" s="38" t="s">
        <v>123</v>
      </c>
      <c r="N1626" s="41">
        <v>46010.38888888889</v>
      </c>
      <c r="O1626" s="38" t="s">
        <v>123</v>
      </c>
      <c r="P1626" s="38">
        <v>900.0</v>
      </c>
      <c r="Q1626" s="39"/>
      <c r="R1626" s="39"/>
      <c r="S1626" s="38" t="s">
        <v>2029</v>
      </c>
      <c r="T1626" s="39"/>
      <c r="U1626" s="39"/>
    </row>
    <row r="1627">
      <c r="A1627" s="40">
        <f t="shared" si="1"/>
        <v>46006</v>
      </c>
      <c r="B1627" s="37" t="str">
        <f t="array" ref="B1627">iferror(xlookup($I1627, 'IMPORT VHC Report'!$E:$E, 'IMPORT VHC Report'!$A:$C), )</f>
        <v/>
      </c>
      <c r="C1627" s="37"/>
      <c r="D1627" s="37"/>
      <c r="E1627" s="38" t="s">
        <v>2030</v>
      </c>
      <c r="F1627" s="38" t="s">
        <v>1999</v>
      </c>
      <c r="G1627" s="38">
        <v>9.795981813775E12</v>
      </c>
      <c r="H1627" s="38" t="s">
        <v>2000</v>
      </c>
      <c r="I1627" s="38" t="s">
        <v>2001</v>
      </c>
      <c r="J1627" s="38" t="s">
        <v>132</v>
      </c>
      <c r="K1627" s="38" t="s">
        <v>126</v>
      </c>
      <c r="L1627" s="41">
        <v>46010.4375</v>
      </c>
      <c r="M1627" s="38" t="s">
        <v>123</v>
      </c>
      <c r="N1627" s="41">
        <v>46010.479166666664</v>
      </c>
      <c r="O1627" s="38" t="s">
        <v>123</v>
      </c>
      <c r="P1627" s="38">
        <v>3600.0</v>
      </c>
      <c r="Q1627" s="39"/>
      <c r="R1627" s="39"/>
      <c r="S1627" s="39"/>
      <c r="T1627" s="39"/>
      <c r="U1627" s="39"/>
    </row>
    <row r="1628">
      <c r="A1628" s="40">
        <f t="shared" si="1"/>
        <v>46006</v>
      </c>
      <c r="B1628" s="37" t="str">
        <f t="array" ref="B1628">iferror(xlookup($I1628, 'IMPORT VHC Report'!$E:$E, 'IMPORT VHC Report'!$A:$C), )</f>
        <v/>
      </c>
      <c r="C1628" s="37"/>
      <c r="D1628" s="37"/>
      <c r="E1628" s="38" t="s">
        <v>2031</v>
      </c>
      <c r="F1628" s="38" t="s">
        <v>2032</v>
      </c>
      <c r="G1628" s="38">
        <v>3.61857411736E11</v>
      </c>
      <c r="H1628" s="38" t="s">
        <v>2033</v>
      </c>
      <c r="I1628" s="38" t="s">
        <v>2034</v>
      </c>
      <c r="J1628" s="38" t="s">
        <v>224</v>
      </c>
      <c r="K1628" s="38" t="s">
        <v>63</v>
      </c>
      <c r="L1628" s="41">
        <v>46006.166666666664</v>
      </c>
      <c r="M1628" s="38" t="s">
        <v>123</v>
      </c>
      <c r="N1628" s="41">
        <v>46006.260416666664</v>
      </c>
      <c r="O1628" s="38" t="s">
        <v>123</v>
      </c>
      <c r="P1628" s="38">
        <v>8100.0</v>
      </c>
      <c r="Q1628" s="39"/>
      <c r="R1628" s="39"/>
      <c r="S1628" s="39"/>
      <c r="T1628" s="39"/>
      <c r="U1628" s="39"/>
    </row>
    <row r="1629">
      <c r="A1629" s="40">
        <f t="shared" si="1"/>
        <v>46006</v>
      </c>
      <c r="B1629" s="37" t="str">
        <f t="array" ref="B1629">iferror(xlookup($I1629, 'IMPORT VHC Report'!$E:$E, 'IMPORT VHC Report'!$A:$C), )</f>
        <v/>
      </c>
      <c r="C1629" s="37"/>
      <c r="D1629" s="37"/>
      <c r="E1629" s="38" t="s">
        <v>2035</v>
      </c>
      <c r="F1629" s="38" t="s">
        <v>2032</v>
      </c>
      <c r="G1629" s="38">
        <v>3.61857411736E11</v>
      </c>
      <c r="H1629" s="38" t="s">
        <v>2033</v>
      </c>
      <c r="I1629" s="38" t="s">
        <v>2034</v>
      </c>
      <c r="J1629" s="38" t="s">
        <v>178</v>
      </c>
      <c r="K1629" s="38" t="s">
        <v>153</v>
      </c>
      <c r="L1629" s="41">
        <v>46006.177083333336</v>
      </c>
      <c r="M1629" s="38" t="s">
        <v>123</v>
      </c>
      <c r="N1629" s="41">
        <v>46006.552083333336</v>
      </c>
      <c r="O1629" s="38" t="s">
        <v>123</v>
      </c>
      <c r="P1629" s="38">
        <v>32400.0</v>
      </c>
      <c r="Q1629" s="38">
        <v>32400.0</v>
      </c>
      <c r="R1629" s="39"/>
      <c r="S1629" s="39"/>
      <c r="T1629" s="39"/>
      <c r="U1629" s="39"/>
    </row>
    <row r="1630">
      <c r="A1630" s="40">
        <f t="shared" si="1"/>
        <v>46006</v>
      </c>
      <c r="B1630" s="37" t="str">
        <f t="array" ref="B1630">iferror(xlookup($I1630, 'IMPORT VHC Report'!$E:$E, 'IMPORT VHC Report'!$A:$C), )</f>
        <v/>
      </c>
      <c r="C1630" s="37"/>
      <c r="D1630" s="37"/>
      <c r="E1630" s="38" t="s">
        <v>2036</v>
      </c>
      <c r="F1630" s="38" t="s">
        <v>2032</v>
      </c>
      <c r="G1630" s="38">
        <v>3.61857411736E11</v>
      </c>
      <c r="H1630" s="38" t="s">
        <v>2033</v>
      </c>
      <c r="I1630" s="38" t="s">
        <v>2034</v>
      </c>
      <c r="J1630" s="38" t="s">
        <v>134</v>
      </c>
      <c r="K1630" s="38" t="s">
        <v>126</v>
      </c>
      <c r="L1630" s="41">
        <v>46006.260416666664</v>
      </c>
      <c r="M1630" s="38" t="s">
        <v>123</v>
      </c>
      <c r="N1630" s="41">
        <v>46006.28125</v>
      </c>
      <c r="O1630" s="38" t="s">
        <v>123</v>
      </c>
      <c r="P1630" s="38">
        <v>1800.0</v>
      </c>
      <c r="Q1630" s="39"/>
      <c r="R1630" s="39"/>
      <c r="S1630" s="39"/>
      <c r="T1630" s="39"/>
      <c r="U1630" s="39"/>
    </row>
    <row r="1631">
      <c r="A1631" s="40">
        <f t="shared" si="1"/>
        <v>46006</v>
      </c>
      <c r="B1631" s="37" t="str">
        <f t="array" ref="B1631">iferror(xlookup($I1631, 'IMPORT VHC Report'!$E:$E, 'IMPORT VHC Report'!$A:$C), )</f>
        <v/>
      </c>
      <c r="C1631" s="37"/>
      <c r="D1631" s="37"/>
      <c r="E1631" s="38" t="s">
        <v>2037</v>
      </c>
      <c r="F1631" s="38" t="s">
        <v>2032</v>
      </c>
      <c r="G1631" s="38">
        <v>3.61857411736E11</v>
      </c>
      <c r="H1631" s="38" t="s">
        <v>2033</v>
      </c>
      <c r="I1631" s="38" t="s">
        <v>2034</v>
      </c>
      <c r="J1631" s="38" t="s">
        <v>224</v>
      </c>
      <c r="K1631" s="38" t="s">
        <v>63</v>
      </c>
      <c r="L1631" s="41">
        <v>46006.28125</v>
      </c>
      <c r="M1631" s="38" t="s">
        <v>123</v>
      </c>
      <c r="N1631" s="41">
        <v>46006.375</v>
      </c>
      <c r="O1631" s="38" t="s">
        <v>123</v>
      </c>
      <c r="P1631" s="38">
        <v>8100.0</v>
      </c>
      <c r="Q1631" s="39"/>
      <c r="R1631" s="39"/>
      <c r="S1631" s="39"/>
      <c r="T1631" s="39"/>
      <c r="U1631" s="39"/>
    </row>
    <row r="1632">
      <c r="A1632" s="40">
        <f t="shared" si="1"/>
        <v>46006</v>
      </c>
      <c r="B1632" s="37" t="str">
        <f t="array" ref="B1632">iferror(xlookup($I1632, 'IMPORT VHC Report'!$E:$E, 'IMPORT VHC Report'!$A:$C), )</f>
        <v/>
      </c>
      <c r="C1632" s="37"/>
      <c r="D1632" s="37"/>
      <c r="E1632" s="38" t="s">
        <v>2038</v>
      </c>
      <c r="F1632" s="38" t="s">
        <v>2032</v>
      </c>
      <c r="G1632" s="38">
        <v>3.61857411736E11</v>
      </c>
      <c r="H1632" s="38" t="s">
        <v>2033</v>
      </c>
      <c r="I1632" s="38" t="s">
        <v>2034</v>
      </c>
      <c r="J1632" s="38" t="s">
        <v>132</v>
      </c>
      <c r="K1632" s="38" t="s">
        <v>126</v>
      </c>
      <c r="L1632" s="41">
        <v>46006.375</v>
      </c>
      <c r="M1632" s="38" t="s">
        <v>123</v>
      </c>
      <c r="N1632" s="41">
        <v>46006.416666666664</v>
      </c>
      <c r="O1632" s="38" t="s">
        <v>123</v>
      </c>
      <c r="P1632" s="38">
        <v>3600.0</v>
      </c>
      <c r="Q1632" s="39"/>
      <c r="R1632" s="39"/>
      <c r="S1632" s="39"/>
      <c r="T1632" s="39"/>
      <c r="U1632" s="39"/>
    </row>
    <row r="1633">
      <c r="A1633" s="40">
        <f t="shared" si="1"/>
        <v>46006</v>
      </c>
      <c r="B1633" s="37" t="str">
        <f t="array" ref="B1633">iferror(xlookup($I1633, 'IMPORT VHC Report'!$E:$E, 'IMPORT VHC Report'!$A:$C), )</f>
        <v/>
      </c>
      <c r="C1633" s="37"/>
      <c r="D1633" s="37"/>
      <c r="E1633" s="38" t="s">
        <v>2039</v>
      </c>
      <c r="F1633" s="38" t="s">
        <v>2032</v>
      </c>
      <c r="G1633" s="38">
        <v>3.61857411736E11</v>
      </c>
      <c r="H1633" s="38" t="s">
        <v>2033</v>
      </c>
      <c r="I1633" s="38" t="s">
        <v>2034</v>
      </c>
      <c r="J1633" s="38" t="s">
        <v>224</v>
      </c>
      <c r="K1633" s="38" t="s">
        <v>63</v>
      </c>
      <c r="L1633" s="41">
        <v>46006.416666666664</v>
      </c>
      <c r="M1633" s="38" t="s">
        <v>123</v>
      </c>
      <c r="N1633" s="41">
        <v>46006.541666666664</v>
      </c>
      <c r="O1633" s="38" t="s">
        <v>123</v>
      </c>
      <c r="P1633" s="38">
        <v>10800.0</v>
      </c>
      <c r="Q1633" s="39"/>
      <c r="R1633" s="39"/>
      <c r="S1633" s="39"/>
      <c r="T1633" s="39"/>
      <c r="U1633" s="39"/>
    </row>
    <row r="1634">
      <c r="A1634" s="40">
        <f t="shared" si="1"/>
        <v>46006</v>
      </c>
      <c r="B1634" s="37" t="str">
        <f t="array" ref="B1634">iferror(xlookup($I1634, 'IMPORT VHC Report'!$E:$E, 'IMPORT VHC Report'!$A:$C), )</f>
        <v/>
      </c>
      <c r="C1634" s="37"/>
      <c r="D1634" s="37"/>
      <c r="E1634" s="38" t="s">
        <v>2040</v>
      </c>
      <c r="F1634" s="38" t="s">
        <v>2032</v>
      </c>
      <c r="G1634" s="38">
        <v>3.61857411736E11</v>
      </c>
      <c r="H1634" s="38" t="s">
        <v>2033</v>
      </c>
      <c r="I1634" s="38" t="s">
        <v>2034</v>
      </c>
      <c r="J1634" s="38" t="s">
        <v>224</v>
      </c>
      <c r="K1634" s="38" t="s">
        <v>63</v>
      </c>
      <c r="L1634" s="41">
        <v>46007.166666666664</v>
      </c>
      <c r="M1634" s="38" t="s">
        <v>123</v>
      </c>
      <c r="N1634" s="41">
        <v>46007.25</v>
      </c>
      <c r="O1634" s="38" t="s">
        <v>123</v>
      </c>
      <c r="P1634" s="38">
        <v>7200.0</v>
      </c>
      <c r="Q1634" s="39"/>
      <c r="R1634" s="39"/>
      <c r="S1634" s="39"/>
      <c r="T1634" s="39"/>
      <c r="U1634" s="39"/>
    </row>
    <row r="1635">
      <c r="A1635" s="40">
        <f t="shared" si="1"/>
        <v>46006</v>
      </c>
      <c r="B1635" s="37" t="str">
        <f t="array" ref="B1635">iferror(xlookup($I1635, 'IMPORT VHC Report'!$E:$E, 'IMPORT VHC Report'!$A:$C), )</f>
        <v/>
      </c>
      <c r="C1635" s="37"/>
      <c r="D1635" s="37"/>
      <c r="E1635" s="38" t="s">
        <v>2041</v>
      </c>
      <c r="F1635" s="38" t="s">
        <v>2032</v>
      </c>
      <c r="G1635" s="38">
        <v>3.61857411736E11</v>
      </c>
      <c r="H1635" s="38" t="s">
        <v>2033</v>
      </c>
      <c r="I1635" s="38" t="s">
        <v>2034</v>
      </c>
      <c r="J1635" s="38" t="s">
        <v>134</v>
      </c>
      <c r="K1635" s="38" t="s">
        <v>126</v>
      </c>
      <c r="L1635" s="41">
        <v>46007.25</v>
      </c>
      <c r="M1635" s="38" t="s">
        <v>123</v>
      </c>
      <c r="N1635" s="41">
        <v>46007.270833333336</v>
      </c>
      <c r="O1635" s="38" t="s">
        <v>123</v>
      </c>
      <c r="P1635" s="38">
        <v>1800.0</v>
      </c>
      <c r="Q1635" s="39"/>
      <c r="R1635" s="39"/>
      <c r="S1635" s="39"/>
      <c r="T1635" s="39"/>
      <c r="U1635" s="39"/>
    </row>
    <row r="1636">
      <c r="A1636" s="40">
        <f t="shared" si="1"/>
        <v>46006</v>
      </c>
      <c r="B1636" s="37" t="str">
        <f t="array" ref="B1636">iferror(xlookup($I1636, 'IMPORT VHC Report'!$E:$E, 'IMPORT VHC Report'!$A:$C), )</f>
        <v/>
      </c>
      <c r="C1636" s="37"/>
      <c r="D1636" s="37"/>
      <c r="E1636" s="38" t="s">
        <v>2042</v>
      </c>
      <c r="F1636" s="38" t="s">
        <v>2032</v>
      </c>
      <c r="G1636" s="38">
        <v>3.61857411736E11</v>
      </c>
      <c r="H1636" s="38" t="s">
        <v>2033</v>
      </c>
      <c r="I1636" s="38" t="s">
        <v>2034</v>
      </c>
      <c r="J1636" s="38" t="s">
        <v>224</v>
      </c>
      <c r="K1636" s="38" t="s">
        <v>63</v>
      </c>
      <c r="L1636" s="41">
        <v>46007.270833333336</v>
      </c>
      <c r="M1636" s="38" t="s">
        <v>123</v>
      </c>
      <c r="N1636" s="41">
        <v>46007.395833333336</v>
      </c>
      <c r="O1636" s="38" t="s">
        <v>123</v>
      </c>
      <c r="P1636" s="38">
        <v>10800.0</v>
      </c>
      <c r="Q1636" s="39"/>
      <c r="R1636" s="39"/>
      <c r="S1636" s="39"/>
      <c r="T1636" s="39"/>
      <c r="U1636" s="39"/>
    </row>
    <row r="1637">
      <c r="A1637" s="40">
        <f t="shared" si="1"/>
        <v>46006</v>
      </c>
      <c r="B1637" s="37" t="str">
        <f t="array" ref="B1637">iferror(xlookup($I1637, 'IMPORT VHC Report'!$E:$E, 'IMPORT VHC Report'!$A:$C), )</f>
        <v/>
      </c>
      <c r="C1637" s="37"/>
      <c r="D1637" s="37"/>
      <c r="E1637" s="38" t="s">
        <v>2043</v>
      </c>
      <c r="F1637" s="38" t="s">
        <v>2032</v>
      </c>
      <c r="G1637" s="38">
        <v>3.61857411736E11</v>
      </c>
      <c r="H1637" s="38" t="s">
        <v>2033</v>
      </c>
      <c r="I1637" s="38" t="s">
        <v>2034</v>
      </c>
      <c r="J1637" s="38" t="s">
        <v>132</v>
      </c>
      <c r="K1637" s="38" t="s">
        <v>126</v>
      </c>
      <c r="L1637" s="41">
        <v>46007.395833333336</v>
      </c>
      <c r="M1637" s="38" t="s">
        <v>123</v>
      </c>
      <c r="N1637" s="41">
        <v>46007.4375</v>
      </c>
      <c r="O1637" s="38" t="s">
        <v>123</v>
      </c>
      <c r="P1637" s="38">
        <v>3600.0</v>
      </c>
      <c r="Q1637" s="39"/>
      <c r="R1637" s="39"/>
      <c r="S1637" s="39"/>
      <c r="T1637" s="39"/>
      <c r="U1637" s="39"/>
    </row>
    <row r="1638">
      <c r="A1638" s="40">
        <f t="shared" si="1"/>
        <v>46006</v>
      </c>
      <c r="B1638" s="37" t="str">
        <f t="array" ref="B1638">iferror(xlookup($I1638, 'IMPORT VHC Report'!$E:$E, 'IMPORT VHC Report'!$A:$C), )</f>
        <v/>
      </c>
      <c r="C1638" s="37"/>
      <c r="D1638" s="37"/>
      <c r="E1638" s="38" t="s">
        <v>2044</v>
      </c>
      <c r="F1638" s="38" t="s">
        <v>2032</v>
      </c>
      <c r="G1638" s="38">
        <v>3.61857411736E11</v>
      </c>
      <c r="H1638" s="38" t="s">
        <v>2033</v>
      </c>
      <c r="I1638" s="38" t="s">
        <v>2034</v>
      </c>
      <c r="J1638" s="38" t="s">
        <v>224</v>
      </c>
      <c r="K1638" s="38" t="s">
        <v>63</v>
      </c>
      <c r="L1638" s="41">
        <v>46007.4375</v>
      </c>
      <c r="M1638" s="38" t="s">
        <v>123</v>
      </c>
      <c r="N1638" s="41">
        <v>46007.541666666664</v>
      </c>
      <c r="O1638" s="38" t="s">
        <v>123</v>
      </c>
      <c r="P1638" s="38">
        <v>9000.0</v>
      </c>
      <c r="Q1638" s="39"/>
      <c r="R1638" s="39"/>
      <c r="S1638" s="39"/>
      <c r="T1638" s="39"/>
      <c r="U1638" s="39"/>
    </row>
    <row r="1639">
      <c r="A1639" s="40">
        <f t="shared" si="1"/>
        <v>46006</v>
      </c>
      <c r="B1639" s="37" t="str">
        <f t="array" ref="B1639">iferror(xlookup($I1639, 'IMPORT VHC Report'!$E:$E, 'IMPORT VHC Report'!$A:$C), )</f>
        <v/>
      </c>
      <c r="C1639" s="37"/>
      <c r="D1639" s="37"/>
      <c r="E1639" s="38" t="s">
        <v>2045</v>
      </c>
      <c r="F1639" s="38" t="s">
        <v>2032</v>
      </c>
      <c r="G1639" s="38">
        <v>3.61857411736E11</v>
      </c>
      <c r="H1639" s="38" t="s">
        <v>2033</v>
      </c>
      <c r="I1639" s="38" t="s">
        <v>2034</v>
      </c>
      <c r="J1639" s="38" t="s">
        <v>224</v>
      </c>
      <c r="K1639" s="38" t="s">
        <v>63</v>
      </c>
      <c r="L1639" s="41">
        <v>46008.166666666664</v>
      </c>
      <c r="M1639" s="38" t="s">
        <v>123</v>
      </c>
      <c r="N1639" s="41">
        <v>46008.208333333336</v>
      </c>
      <c r="O1639" s="38" t="s">
        <v>123</v>
      </c>
      <c r="P1639" s="38">
        <v>3600.0</v>
      </c>
      <c r="Q1639" s="39"/>
      <c r="R1639" s="39"/>
      <c r="S1639" s="39"/>
      <c r="T1639" s="39"/>
      <c r="U1639" s="39"/>
    </row>
    <row r="1640">
      <c r="A1640" s="40">
        <f t="shared" si="1"/>
        <v>46006</v>
      </c>
      <c r="B1640" s="37" t="str">
        <f t="array" ref="B1640">iferror(xlookup($I1640, 'IMPORT VHC Report'!$E:$E, 'IMPORT VHC Report'!$A:$C), )</f>
        <v/>
      </c>
      <c r="C1640" s="37"/>
      <c r="D1640" s="37"/>
      <c r="E1640" s="38" t="s">
        <v>2046</v>
      </c>
      <c r="F1640" s="38" t="s">
        <v>2032</v>
      </c>
      <c r="G1640" s="38">
        <v>3.61857411736E11</v>
      </c>
      <c r="H1640" s="38" t="s">
        <v>2033</v>
      </c>
      <c r="I1640" s="38" t="s">
        <v>2034</v>
      </c>
      <c r="J1640" s="38" t="s">
        <v>62</v>
      </c>
      <c r="K1640" s="38" t="s">
        <v>63</v>
      </c>
      <c r="L1640" s="41">
        <v>46008.208333333336</v>
      </c>
      <c r="M1640" s="38" t="s">
        <v>123</v>
      </c>
      <c r="N1640" s="41">
        <v>46008.229166666664</v>
      </c>
      <c r="O1640" s="38" t="s">
        <v>123</v>
      </c>
      <c r="P1640" s="38">
        <v>1800.0</v>
      </c>
      <c r="Q1640" s="39"/>
      <c r="R1640" s="39"/>
      <c r="S1640" s="39"/>
      <c r="T1640" s="39"/>
      <c r="U1640" s="39"/>
    </row>
    <row r="1641">
      <c r="A1641" s="40">
        <f t="shared" si="1"/>
        <v>46006</v>
      </c>
      <c r="B1641" s="37" t="str">
        <f t="array" ref="B1641">iferror(xlookup($I1641, 'IMPORT VHC Report'!$E:$E, 'IMPORT VHC Report'!$A:$C), )</f>
        <v/>
      </c>
      <c r="C1641" s="37"/>
      <c r="D1641" s="37"/>
      <c r="E1641" s="38" t="s">
        <v>2047</v>
      </c>
      <c r="F1641" s="38" t="s">
        <v>2032</v>
      </c>
      <c r="G1641" s="38">
        <v>3.61857411736E11</v>
      </c>
      <c r="H1641" s="38" t="s">
        <v>2033</v>
      </c>
      <c r="I1641" s="38" t="s">
        <v>2034</v>
      </c>
      <c r="J1641" s="38" t="s">
        <v>224</v>
      </c>
      <c r="K1641" s="38" t="s">
        <v>63</v>
      </c>
      <c r="L1641" s="41">
        <v>46008.229166666664</v>
      </c>
      <c r="M1641" s="38" t="s">
        <v>123</v>
      </c>
      <c r="N1641" s="41">
        <v>46008.302083333336</v>
      </c>
      <c r="O1641" s="38" t="s">
        <v>123</v>
      </c>
      <c r="P1641" s="38">
        <v>6300.0</v>
      </c>
      <c r="Q1641" s="39"/>
      <c r="R1641" s="39"/>
      <c r="S1641" s="39"/>
      <c r="T1641" s="39"/>
      <c r="U1641" s="39"/>
    </row>
    <row r="1642">
      <c r="A1642" s="40">
        <f t="shared" si="1"/>
        <v>46006</v>
      </c>
      <c r="B1642" s="37" t="str">
        <f t="array" ref="B1642">iferror(xlookup($I1642, 'IMPORT VHC Report'!$E:$E, 'IMPORT VHC Report'!$A:$C), )</f>
        <v/>
      </c>
      <c r="C1642" s="37"/>
      <c r="D1642" s="37"/>
      <c r="E1642" s="38" t="s">
        <v>2048</v>
      </c>
      <c r="F1642" s="38" t="s">
        <v>2032</v>
      </c>
      <c r="G1642" s="38">
        <v>3.61857411736E11</v>
      </c>
      <c r="H1642" s="38" t="s">
        <v>2033</v>
      </c>
      <c r="I1642" s="38" t="s">
        <v>2034</v>
      </c>
      <c r="J1642" s="38" t="s">
        <v>132</v>
      </c>
      <c r="K1642" s="38" t="s">
        <v>126</v>
      </c>
      <c r="L1642" s="41">
        <v>46008.302083333336</v>
      </c>
      <c r="M1642" s="38" t="s">
        <v>123</v>
      </c>
      <c r="N1642" s="41">
        <v>46008.34375</v>
      </c>
      <c r="O1642" s="38" t="s">
        <v>123</v>
      </c>
      <c r="P1642" s="38">
        <v>3600.0</v>
      </c>
      <c r="Q1642" s="39"/>
      <c r="R1642" s="39"/>
      <c r="S1642" s="39"/>
      <c r="T1642" s="39"/>
      <c r="U1642" s="39"/>
    </row>
    <row r="1643">
      <c r="A1643" s="40">
        <f t="shared" si="1"/>
        <v>46006</v>
      </c>
      <c r="B1643" s="37" t="str">
        <f t="array" ref="B1643">iferror(xlookup($I1643, 'IMPORT VHC Report'!$E:$E, 'IMPORT VHC Report'!$A:$C), )</f>
        <v/>
      </c>
      <c r="C1643" s="37"/>
      <c r="D1643" s="37"/>
      <c r="E1643" s="38" t="s">
        <v>2049</v>
      </c>
      <c r="F1643" s="38" t="s">
        <v>2032</v>
      </c>
      <c r="G1643" s="38">
        <v>3.61857411736E11</v>
      </c>
      <c r="H1643" s="38" t="s">
        <v>2033</v>
      </c>
      <c r="I1643" s="38" t="s">
        <v>2034</v>
      </c>
      <c r="J1643" s="38" t="s">
        <v>224</v>
      </c>
      <c r="K1643" s="38" t="s">
        <v>63</v>
      </c>
      <c r="L1643" s="41">
        <v>46008.34375</v>
      </c>
      <c r="M1643" s="38" t="s">
        <v>123</v>
      </c>
      <c r="N1643" s="41">
        <v>46008.458333333336</v>
      </c>
      <c r="O1643" s="38" t="s">
        <v>123</v>
      </c>
      <c r="P1643" s="38">
        <v>9900.0</v>
      </c>
      <c r="Q1643" s="39"/>
      <c r="R1643" s="39"/>
      <c r="S1643" s="39"/>
      <c r="T1643" s="39"/>
      <c r="U1643" s="39"/>
    </row>
    <row r="1644">
      <c r="A1644" s="40">
        <f t="shared" si="1"/>
        <v>46006</v>
      </c>
      <c r="B1644" s="37" t="str">
        <f t="array" ref="B1644">iferror(xlookup($I1644, 'IMPORT VHC Report'!$E:$E, 'IMPORT VHC Report'!$A:$C), )</f>
        <v/>
      </c>
      <c r="C1644" s="37"/>
      <c r="D1644" s="37"/>
      <c r="E1644" s="38" t="s">
        <v>2050</v>
      </c>
      <c r="F1644" s="38" t="s">
        <v>2032</v>
      </c>
      <c r="G1644" s="38">
        <v>3.61857411736E11</v>
      </c>
      <c r="H1644" s="38" t="s">
        <v>2033</v>
      </c>
      <c r="I1644" s="38" t="s">
        <v>2034</v>
      </c>
      <c r="J1644" s="38" t="s">
        <v>134</v>
      </c>
      <c r="K1644" s="38" t="s">
        <v>126</v>
      </c>
      <c r="L1644" s="41">
        <v>46008.458333333336</v>
      </c>
      <c r="M1644" s="38" t="s">
        <v>123</v>
      </c>
      <c r="N1644" s="41">
        <v>46008.479166666664</v>
      </c>
      <c r="O1644" s="38" t="s">
        <v>123</v>
      </c>
      <c r="P1644" s="38">
        <v>1800.0</v>
      </c>
      <c r="Q1644" s="39"/>
      <c r="R1644" s="39"/>
      <c r="S1644" s="39"/>
      <c r="T1644" s="39"/>
      <c r="U1644" s="39"/>
    </row>
    <row r="1645">
      <c r="A1645" s="40">
        <f t="shared" si="1"/>
        <v>46006</v>
      </c>
      <c r="B1645" s="37" t="str">
        <f t="array" ref="B1645">iferror(xlookup($I1645, 'IMPORT VHC Report'!$E:$E, 'IMPORT VHC Report'!$A:$C), )</f>
        <v/>
      </c>
      <c r="C1645" s="37"/>
      <c r="D1645" s="37"/>
      <c r="E1645" s="38" t="s">
        <v>2051</v>
      </c>
      <c r="F1645" s="38" t="s">
        <v>2032</v>
      </c>
      <c r="G1645" s="38">
        <v>3.61857411736E11</v>
      </c>
      <c r="H1645" s="38" t="s">
        <v>2033</v>
      </c>
      <c r="I1645" s="38" t="s">
        <v>2034</v>
      </c>
      <c r="J1645" s="38" t="s">
        <v>224</v>
      </c>
      <c r="K1645" s="38" t="s">
        <v>63</v>
      </c>
      <c r="L1645" s="41">
        <v>46008.479166666664</v>
      </c>
      <c r="M1645" s="38" t="s">
        <v>123</v>
      </c>
      <c r="N1645" s="41">
        <v>46008.541666666664</v>
      </c>
      <c r="O1645" s="38" t="s">
        <v>123</v>
      </c>
      <c r="P1645" s="38">
        <v>5400.0</v>
      </c>
      <c r="Q1645" s="39"/>
      <c r="R1645" s="39"/>
      <c r="S1645" s="39"/>
      <c r="T1645" s="39"/>
      <c r="U1645" s="39"/>
    </row>
    <row r="1646">
      <c r="A1646" s="40">
        <f t="shared" si="1"/>
        <v>46006</v>
      </c>
      <c r="B1646" s="37" t="str">
        <f t="array" ref="B1646">iferror(xlookup($I1646, 'IMPORT VHC Report'!$E:$E, 'IMPORT VHC Report'!$A:$C), )</f>
        <v/>
      </c>
      <c r="C1646" s="37"/>
      <c r="D1646" s="37"/>
      <c r="E1646" s="38" t="s">
        <v>2052</v>
      </c>
      <c r="F1646" s="38" t="s">
        <v>2032</v>
      </c>
      <c r="G1646" s="38">
        <v>3.61857411736E11</v>
      </c>
      <c r="H1646" s="38" t="s">
        <v>2033</v>
      </c>
      <c r="I1646" s="38" t="s">
        <v>2034</v>
      </c>
      <c r="J1646" s="38" t="s">
        <v>224</v>
      </c>
      <c r="K1646" s="38" t="s">
        <v>63</v>
      </c>
      <c r="L1646" s="41">
        <v>46009.166666666664</v>
      </c>
      <c r="M1646" s="38" t="s">
        <v>123</v>
      </c>
      <c r="N1646" s="41">
        <v>46009.458333333336</v>
      </c>
      <c r="O1646" s="38" t="s">
        <v>123</v>
      </c>
      <c r="P1646" s="38">
        <v>25200.0</v>
      </c>
      <c r="Q1646" s="39"/>
      <c r="R1646" s="39"/>
      <c r="S1646" s="39"/>
      <c r="T1646" s="39"/>
      <c r="U1646" s="39"/>
    </row>
    <row r="1647">
      <c r="A1647" s="40">
        <f t="shared" si="1"/>
        <v>46006</v>
      </c>
      <c r="B1647" s="37" t="str">
        <f t="array" ref="B1647">iferror(xlookup($I1647, 'IMPORT VHC Report'!$E:$E, 'IMPORT VHC Report'!$A:$C), )</f>
        <v/>
      </c>
      <c r="C1647" s="37"/>
      <c r="D1647" s="37"/>
      <c r="E1647" s="38" t="s">
        <v>2053</v>
      </c>
      <c r="F1647" s="38" t="s">
        <v>2032</v>
      </c>
      <c r="G1647" s="38">
        <v>3.61857411736E11</v>
      </c>
      <c r="H1647" s="38" t="s">
        <v>2033</v>
      </c>
      <c r="I1647" s="38" t="s">
        <v>2034</v>
      </c>
      <c r="J1647" s="38" t="s">
        <v>224</v>
      </c>
      <c r="K1647" s="38" t="s">
        <v>63</v>
      </c>
      <c r="L1647" s="41">
        <v>46009.458333333336</v>
      </c>
      <c r="M1647" s="38" t="s">
        <v>123</v>
      </c>
      <c r="N1647" s="41">
        <v>46009.541666666664</v>
      </c>
      <c r="O1647" s="38" t="s">
        <v>123</v>
      </c>
      <c r="P1647" s="38">
        <v>7200.0</v>
      </c>
      <c r="Q1647" s="39"/>
      <c r="R1647" s="39"/>
      <c r="S1647" s="39"/>
      <c r="T1647" s="39"/>
      <c r="U1647" s="39"/>
    </row>
    <row r="1648">
      <c r="A1648" s="40">
        <f t="shared" si="1"/>
        <v>46006</v>
      </c>
      <c r="B1648" s="37" t="str">
        <f t="array" ref="B1648">iferror(xlookup($I1648, 'IMPORT VHC Report'!$E:$E, 'IMPORT VHC Report'!$A:$C), )</f>
        <v/>
      </c>
      <c r="C1648" s="37"/>
      <c r="D1648" s="37"/>
      <c r="E1648" s="38" t="s">
        <v>2054</v>
      </c>
      <c r="F1648" s="38" t="s">
        <v>2032</v>
      </c>
      <c r="G1648" s="38">
        <v>3.61857411736E11</v>
      </c>
      <c r="H1648" s="38" t="s">
        <v>2033</v>
      </c>
      <c r="I1648" s="38" t="s">
        <v>2034</v>
      </c>
      <c r="J1648" s="38" t="s">
        <v>134</v>
      </c>
      <c r="K1648" s="38" t="s">
        <v>126</v>
      </c>
      <c r="L1648" s="41">
        <v>46009.479166666664</v>
      </c>
      <c r="M1648" s="38" t="s">
        <v>123</v>
      </c>
      <c r="N1648" s="41">
        <v>46009.5</v>
      </c>
      <c r="O1648" s="38" t="s">
        <v>123</v>
      </c>
      <c r="P1648" s="38">
        <v>1800.0</v>
      </c>
      <c r="Q1648" s="39"/>
      <c r="R1648" s="39"/>
      <c r="S1648" s="39"/>
      <c r="T1648" s="39"/>
      <c r="U1648" s="39"/>
    </row>
    <row r="1649">
      <c r="A1649" s="40">
        <f t="shared" si="1"/>
        <v>46006</v>
      </c>
      <c r="B1649" s="37" t="str">
        <f t="array" ref="B1649">iferror(xlookup($I1649, 'IMPORT VHC Report'!$E:$E, 'IMPORT VHC Report'!$A:$C), )</f>
        <v/>
      </c>
      <c r="C1649" s="37"/>
      <c r="D1649" s="37"/>
      <c r="E1649" s="38" t="s">
        <v>2055</v>
      </c>
      <c r="F1649" s="38" t="s">
        <v>2032</v>
      </c>
      <c r="G1649" s="38">
        <v>3.61857411736E11</v>
      </c>
      <c r="H1649" s="38" t="s">
        <v>2033</v>
      </c>
      <c r="I1649" s="38" t="s">
        <v>2034</v>
      </c>
      <c r="J1649" s="38" t="s">
        <v>132</v>
      </c>
      <c r="K1649" s="38" t="s">
        <v>126</v>
      </c>
      <c r="L1649" s="41">
        <v>46009.5</v>
      </c>
      <c r="M1649" s="38" t="s">
        <v>123</v>
      </c>
      <c r="N1649" s="41">
        <v>46009.541666666664</v>
      </c>
      <c r="O1649" s="38" t="s">
        <v>123</v>
      </c>
      <c r="P1649" s="38">
        <v>3600.0</v>
      </c>
      <c r="Q1649" s="39"/>
      <c r="R1649" s="39"/>
      <c r="S1649" s="39"/>
      <c r="T1649" s="39"/>
      <c r="U1649" s="39"/>
    </row>
    <row r="1650">
      <c r="A1650" s="40">
        <f t="shared" si="1"/>
        <v>46006</v>
      </c>
      <c r="B1650" s="37" t="str">
        <f t="array" ref="B1650">iferror(xlookup($I1650, 'IMPORT VHC Report'!$E:$E, 'IMPORT VHC Report'!$A:$C), )</f>
        <v/>
      </c>
      <c r="C1650" s="37"/>
      <c r="D1650" s="37"/>
      <c r="E1650" s="38" t="s">
        <v>2056</v>
      </c>
      <c r="F1650" s="38" t="s">
        <v>2032</v>
      </c>
      <c r="G1650" s="38">
        <v>3.61857411736E11</v>
      </c>
      <c r="H1650" s="38" t="s">
        <v>2033</v>
      </c>
      <c r="I1650" s="38" t="s">
        <v>2034</v>
      </c>
      <c r="J1650" s="38" t="s">
        <v>224</v>
      </c>
      <c r="K1650" s="38" t="s">
        <v>63</v>
      </c>
      <c r="L1650" s="41">
        <v>46010.166666666664</v>
      </c>
      <c r="M1650" s="38" t="s">
        <v>123</v>
      </c>
      <c r="N1650" s="41">
        <v>46010.46875</v>
      </c>
      <c r="O1650" s="38" t="s">
        <v>123</v>
      </c>
      <c r="P1650" s="38">
        <v>26100.0</v>
      </c>
      <c r="Q1650" s="39"/>
      <c r="R1650" s="39"/>
      <c r="S1650" s="39"/>
      <c r="T1650" s="39"/>
      <c r="U1650" s="39"/>
    </row>
    <row r="1651">
      <c r="A1651" s="40">
        <f t="shared" si="1"/>
        <v>46006</v>
      </c>
      <c r="B1651" s="37" t="str">
        <f t="array" ref="B1651">iferror(xlookup($I1651, 'IMPORT VHC Report'!$E:$E, 'IMPORT VHC Report'!$A:$C), )</f>
        <v/>
      </c>
      <c r="C1651" s="37"/>
      <c r="D1651" s="37"/>
      <c r="E1651" s="38" t="s">
        <v>2057</v>
      </c>
      <c r="F1651" s="38" t="s">
        <v>2032</v>
      </c>
      <c r="G1651" s="38">
        <v>3.61857411736E11</v>
      </c>
      <c r="H1651" s="38" t="s">
        <v>2033</v>
      </c>
      <c r="I1651" s="38" t="s">
        <v>2034</v>
      </c>
      <c r="J1651" s="38" t="s">
        <v>224</v>
      </c>
      <c r="K1651" s="38" t="s">
        <v>63</v>
      </c>
      <c r="L1651" s="41">
        <v>46010.46875</v>
      </c>
      <c r="M1651" s="38" t="s">
        <v>123</v>
      </c>
      <c r="N1651" s="41">
        <v>46010.541666666664</v>
      </c>
      <c r="O1651" s="38" t="s">
        <v>123</v>
      </c>
      <c r="P1651" s="38">
        <v>6300.0</v>
      </c>
      <c r="Q1651" s="39"/>
      <c r="R1651" s="39"/>
      <c r="S1651" s="39"/>
      <c r="T1651" s="39"/>
      <c r="U1651" s="39"/>
    </row>
    <row r="1652">
      <c r="A1652" s="40">
        <f t="shared" si="1"/>
        <v>46006</v>
      </c>
      <c r="B1652" s="37" t="str">
        <f t="array" ref="B1652">iferror(xlookup($I1652, 'IMPORT VHC Report'!$E:$E, 'IMPORT VHC Report'!$A:$C), )</f>
        <v/>
      </c>
      <c r="C1652" s="37"/>
      <c r="D1652" s="37"/>
      <c r="E1652" s="38" t="s">
        <v>2058</v>
      </c>
      <c r="F1652" s="38" t="s">
        <v>2032</v>
      </c>
      <c r="G1652" s="38">
        <v>3.61857411736E11</v>
      </c>
      <c r="H1652" s="38" t="s">
        <v>2033</v>
      </c>
      <c r="I1652" s="38" t="s">
        <v>2034</v>
      </c>
      <c r="J1652" s="38" t="s">
        <v>132</v>
      </c>
      <c r="K1652" s="38" t="s">
        <v>126</v>
      </c>
      <c r="L1652" s="41">
        <v>46010.479166666664</v>
      </c>
      <c r="M1652" s="38" t="s">
        <v>123</v>
      </c>
      <c r="N1652" s="41">
        <v>46010.520833333336</v>
      </c>
      <c r="O1652" s="38" t="s">
        <v>123</v>
      </c>
      <c r="P1652" s="38">
        <v>3600.0</v>
      </c>
      <c r="Q1652" s="39"/>
      <c r="R1652" s="39"/>
      <c r="S1652" s="39"/>
      <c r="T1652" s="39"/>
      <c r="U1652" s="39"/>
    </row>
    <row r="1653">
      <c r="A1653" s="40">
        <f t="shared" si="1"/>
        <v>46006</v>
      </c>
      <c r="B1653" s="37" t="str">
        <f t="array" ref="B1653">iferror(xlookup($I1653, 'IMPORT VHC Report'!$E:$E, 'IMPORT VHC Report'!$A:$C), )</f>
        <v/>
      </c>
      <c r="C1653" s="37"/>
      <c r="D1653" s="37"/>
      <c r="E1653" s="38" t="s">
        <v>2059</v>
      </c>
      <c r="F1653" s="38" t="s">
        <v>2032</v>
      </c>
      <c r="G1653" s="38">
        <v>3.61857411736E11</v>
      </c>
      <c r="H1653" s="38" t="s">
        <v>2033</v>
      </c>
      <c r="I1653" s="38" t="s">
        <v>2034</v>
      </c>
      <c r="J1653" s="38" t="s">
        <v>134</v>
      </c>
      <c r="K1653" s="38" t="s">
        <v>126</v>
      </c>
      <c r="L1653" s="41">
        <v>46010.520833333336</v>
      </c>
      <c r="M1653" s="38" t="s">
        <v>123</v>
      </c>
      <c r="N1653" s="41">
        <v>46010.541666666664</v>
      </c>
      <c r="O1653" s="38" t="s">
        <v>123</v>
      </c>
      <c r="P1653" s="38">
        <v>1800.0</v>
      </c>
      <c r="Q1653" s="39"/>
      <c r="R1653" s="39"/>
      <c r="S1653" s="39"/>
      <c r="T1653" s="39"/>
      <c r="U1653" s="39"/>
    </row>
    <row r="1654">
      <c r="A1654" s="40">
        <f t="shared" si="1"/>
        <v>46006</v>
      </c>
      <c r="B1654" s="37" t="str">
        <f t="array" ref="B1654">iferror(xlookup($I1654, 'IMPORT VHC Report'!$E:$E, 'IMPORT VHC Report'!$A:$C), )</f>
        <v/>
      </c>
      <c r="C1654" s="37"/>
      <c r="D1654" s="37"/>
      <c r="E1654" s="38" t="s">
        <v>2060</v>
      </c>
      <c r="F1654" s="38" t="s">
        <v>2061</v>
      </c>
      <c r="G1654" s="38">
        <v>1.0548625681423E13</v>
      </c>
      <c r="H1654" s="38" t="s">
        <v>2062</v>
      </c>
      <c r="I1654" s="38" t="s">
        <v>2063</v>
      </c>
      <c r="J1654" s="38" t="s">
        <v>330</v>
      </c>
      <c r="K1654" s="38" t="s">
        <v>126</v>
      </c>
      <c r="L1654" s="41">
        <v>46006.166666666664</v>
      </c>
      <c r="M1654" s="38" t="s">
        <v>123</v>
      </c>
      <c r="N1654" s="41">
        <v>46006.17361111111</v>
      </c>
      <c r="O1654" s="38" t="s">
        <v>123</v>
      </c>
      <c r="P1654" s="38">
        <v>600.0</v>
      </c>
      <c r="Q1654" s="39"/>
      <c r="R1654" s="39"/>
      <c r="S1654" s="39"/>
      <c r="T1654" s="39"/>
      <c r="U1654" s="39"/>
    </row>
    <row r="1655">
      <c r="A1655" s="40">
        <f t="shared" si="1"/>
        <v>46006</v>
      </c>
      <c r="B1655" s="37" t="str">
        <f t="array" ref="B1655">iferror(xlookup($I1655, 'IMPORT VHC Report'!$E:$E, 'IMPORT VHC Report'!$A:$C), )</f>
        <v/>
      </c>
      <c r="C1655" s="37"/>
      <c r="D1655" s="37"/>
      <c r="E1655" s="38" t="s">
        <v>2064</v>
      </c>
      <c r="F1655" s="38" t="s">
        <v>2061</v>
      </c>
      <c r="G1655" s="38">
        <v>1.0548625681423E13</v>
      </c>
      <c r="H1655" s="38" t="s">
        <v>2062</v>
      </c>
      <c r="I1655" s="38" t="s">
        <v>2063</v>
      </c>
      <c r="J1655" s="38" t="s">
        <v>332</v>
      </c>
      <c r="K1655" s="38" t="s">
        <v>63</v>
      </c>
      <c r="L1655" s="41">
        <v>46006.166666666664</v>
      </c>
      <c r="M1655" s="38" t="s">
        <v>123</v>
      </c>
      <c r="N1655" s="41">
        <v>46006.541666666664</v>
      </c>
      <c r="O1655" s="38" t="s">
        <v>123</v>
      </c>
      <c r="P1655" s="38">
        <v>32400.0</v>
      </c>
      <c r="Q1655" s="39"/>
      <c r="R1655" s="39"/>
      <c r="S1655" s="39"/>
      <c r="T1655" s="39"/>
      <c r="U1655" s="39"/>
    </row>
    <row r="1656">
      <c r="A1656" s="40">
        <f t="shared" si="1"/>
        <v>46006</v>
      </c>
      <c r="B1656" s="37" t="str">
        <f t="array" ref="B1656">iferror(xlookup($I1656, 'IMPORT VHC Report'!$E:$E, 'IMPORT VHC Report'!$A:$C), )</f>
        <v/>
      </c>
      <c r="C1656" s="37"/>
      <c r="D1656" s="37"/>
      <c r="E1656" s="38" t="s">
        <v>2065</v>
      </c>
      <c r="F1656" s="38" t="s">
        <v>2061</v>
      </c>
      <c r="G1656" s="38">
        <v>1.0548625681423E13</v>
      </c>
      <c r="H1656" s="38" t="s">
        <v>2062</v>
      </c>
      <c r="I1656" s="38" t="s">
        <v>2063</v>
      </c>
      <c r="J1656" s="38" t="s">
        <v>132</v>
      </c>
      <c r="K1656" s="38" t="s">
        <v>126</v>
      </c>
      <c r="L1656" s="41">
        <v>46006.3125</v>
      </c>
      <c r="M1656" s="38" t="s">
        <v>123</v>
      </c>
      <c r="N1656" s="41">
        <v>46006.354166666664</v>
      </c>
      <c r="O1656" s="38" t="s">
        <v>123</v>
      </c>
      <c r="P1656" s="38">
        <v>3600.0</v>
      </c>
      <c r="Q1656" s="39"/>
      <c r="R1656" s="39"/>
      <c r="S1656" s="39"/>
      <c r="T1656" s="39"/>
      <c r="U1656" s="39"/>
    </row>
    <row r="1657">
      <c r="A1657" s="40">
        <f t="shared" si="1"/>
        <v>46006</v>
      </c>
      <c r="B1657" s="37" t="str">
        <f t="array" ref="B1657">iferror(xlookup($I1657, 'IMPORT VHC Report'!$E:$E, 'IMPORT VHC Report'!$A:$C), )</f>
        <v/>
      </c>
      <c r="C1657" s="37"/>
      <c r="D1657" s="37"/>
      <c r="E1657" s="38" t="s">
        <v>2066</v>
      </c>
      <c r="F1657" s="38" t="s">
        <v>2061</v>
      </c>
      <c r="G1657" s="38">
        <v>1.0548625681423E13</v>
      </c>
      <c r="H1657" s="38" t="s">
        <v>2062</v>
      </c>
      <c r="I1657" s="38" t="s">
        <v>2063</v>
      </c>
      <c r="J1657" s="38" t="s">
        <v>152</v>
      </c>
      <c r="K1657" s="38" t="s">
        <v>153</v>
      </c>
      <c r="L1657" s="41">
        <v>46006.375</v>
      </c>
      <c r="M1657" s="38" t="s">
        <v>123</v>
      </c>
      <c r="N1657" s="41">
        <v>46006.541666666664</v>
      </c>
      <c r="O1657" s="38" t="s">
        <v>123</v>
      </c>
      <c r="P1657" s="38">
        <v>14400.0</v>
      </c>
      <c r="Q1657" s="38">
        <v>14400.0</v>
      </c>
      <c r="R1657" s="38" t="s">
        <v>2067</v>
      </c>
      <c r="S1657" s="39"/>
      <c r="T1657" s="39"/>
      <c r="U1657" s="39"/>
    </row>
    <row r="1658">
      <c r="A1658" s="40">
        <f t="shared" si="1"/>
        <v>46006</v>
      </c>
      <c r="B1658" s="37" t="str">
        <f t="array" ref="B1658">iferror(xlookup($I1658, 'IMPORT VHC Report'!$E:$E, 'IMPORT VHC Report'!$A:$C), )</f>
        <v/>
      </c>
      <c r="C1658" s="37"/>
      <c r="D1658" s="37"/>
      <c r="E1658" s="38" t="s">
        <v>2068</v>
      </c>
      <c r="F1658" s="38" t="s">
        <v>2061</v>
      </c>
      <c r="G1658" s="38">
        <v>1.0548625681423E13</v>
      </c>
      <c r="H1658" s="38" t="s">
        <v>2062</v>
      </c>
      <c r="I1658" s="38" t="s">
        <v>2063</v>
      </c>
      <c r="J1658" s="38" t="s">
        <v>134</v>
      </c>
      <c r="K1658" s="38" t="s">
        <v>126</v>
      </c>
      <c r="L1658" s="41">
        <v>46006.4375</v>
      </c>
      <c r="M1658" s="38" t="s">
        <v>123</v>
      </c>
      <c r="N1658" s="41">
        <v>46006.458333333336</v>
      </c>
      <c r="O1658" s="38" t="s">
        <v>123</v>
      </c>
      <c r="P1658" s="38">
        <v>1800.0</v>
      </c>
      <c r="Q1658" s="39"/>
      <c r="R1658" s="39"/>
      <c r="S1658" s="39"/>
      <c r="T1658" s="39"/>
      <c r="U1658" s="39"/>
    </row>
    <row r="1659">
      <c r="A1659" s="40">
        <f t="shared" si="1"/>
        <v>46006</v>
      </c>
      <c r="B1659" s="37" t="str">
        <f t="array" ref="B1659">iferror(xlookup($I1659, 'IMPORT VHC Report'!$E:$E, 'IMPORT VHC Report'!$A:$C), )</f>
        <v/>
      </c>
      <c r="C1659" s="37"/>
      <c r="D1659" s="37"/>
      <c r="E1659" s="38" t="s">
        <v>2069</v>
      </c>
      <c r="F1659" s="38" t="s">
        <v>2061</v>
      </c>
      <c r="G1659" s="38">
        <v>1.0548625681423E13</v>
      </c>
      <c r="H1659" s="38" t="s">
        <v>2062</v>
      </c>
      <c r="I1659" s="38" t="s">
        <v>2063</v>
      </c>
      <c r="J1659" s="38" t="s">
        <v>125</v>
      </c>
      <c r="K1659" s="38" t="s">
        <v>126</v>
      </c>
      <c r="L1659" s="41">
        <v>46006.458333333336</v>
      </c>
      <c r="M1659" s="38" t="s">
        <v>123</v>
      </c>
      <c r="N1659" s="41">
        <v>46006.541666666664</v>
      </c>
      <c r="O1659" s="38" t="s">
        <v>123</v>
      </c>
      <c r="P1659" s="38">
        <v>7200.0</v>
      </c>
      <c r="Q1659" s="39"/>
      <c r="R1659" s="39"/>
      <c r="S1659" s="38" t="s">
        <v>394</v>
      </c>
      <c r="T1659" s="39"/>
      <c r="U1659" s="39"/>
    </row>
    <row r="1660">
      <c r="A1660" s="40">
        <f t="shared" si="1"/>
        <v>46006</v>
      </c>
      <c r="B1660" s="37" t="str">
        <f t="array" ref="B1660">iferror(xlookup($I1660, 'IMPORT VHC Report'!$E:$E, 'IMPORT VHC Report'!$A:$C), )</f>
        <v/>
      </c>
      <c r="C1660" s="37"/>
      <c r="D1660" s="37"/>
      <c r="E1660" s="38" t="s">
        <v>2070</v>
      </c>
      <c r="F1660" s="38" t="s">
        <v>2061</v>
      </c>
      <c r="G1660" s="38">
        <v>1.0548625681423E13</v>
      </c>
      <c r="H1660" s="38" t="s">
        <v>2062</v>
      </c>
      <c r="I1660" s="38" t="s">
        <v>2063</v>
      </c>
      <c r="J1660" s="38" t="s">
        <v>330</v>
      </c>
      <c r="K1660" s="38" t="s">
        <v>126</v>
      </c>
      <c r="L1660" s="41">
        <v>46007.166666666664</v>
      </c>
      <c r="M1660" s="38" t="s">
        <v>123</v>
      </c>
      <c r="N1660" s="41">
        <v>46007.17361111111</v>
      </c>
      <c r="O1660" s="38" t="s">
        <v>123</v>
      </c>
      <c r="P1660" s="38">
        <v>600.0</v>
      </c>
      <c r="Q1660" s="39"/>
      <c r="R1660" s="39"/>
      <c r="S1660" s="39"/>
      <c r="T1660" s="39"/>
      <c r="U1660" s="39"/>
    </row>
    <row r="1661">
      <c r="A1661" s="40">
        <f t="shared" si="1"/>
        <v>46006</v>
      </c>
      <c r="B1661" s="37" t="str">
        <f t="array" ref="B1661">iferror(xlookup($I1661, 'IMPORT VHC Report'!$E:$E, 'IMPORT VHC Report'!$A:$C), )</f>
        <v/>
      </c>
      <c r="C1661" s="37"/>
      <c r="D1661" s="37"/>
      <c r="E1661" s="38" t="s">
        <v>2071</v>
      </c>
      <c r="F1661" s="38" t="s">
        <v>2061</v>
      </c>
      <c r="G1661" s="38">
        <v>1.0548625681423E13</v>
      </c>
      <c r="H1661" s="38" t="s">
        <v>2062</v>
      </c>
      <c r="I1661" s="38" t="s">
        <v>2063</v>
      </c>
      <c r="J1661" s="38" t="s">
        <v>332</v>
      </c>
      <c r="K1661" s="38" t="s">
        <v>63</v>
      </c>
      <c r="L1661" s="41">
        <v>46007.166666666664</v>
      </c>
      <c r="M1661" s="38" t="s">
        <v>123</v>
      </c>
      <c r="N1661" s="41">
        <v>46007.541666666664</v>
      </c>
      <c r="O1661" s="38" t="s">
        <v>123</v>
      </c>
      <c r="P1661" s="38">
        <v>32400.0</v>
      </c>
      <c r="Q1661" s="39"/>
      <c r="R1661" s="39"/>
      <c r="S1661" s="39"/>
      <c r="T1661" s="39"/>
      <c r="U1661" s="39"/>
    </row>
    <row r="1662">
      <c r="A1662" s="40">
        <f t="shared" si="1"/>
        <v>46006</v>
      </c>
      <c r="B1662" s="37" t="str">
        <f t="array" ref="B1662">iferror(xlookup($I1662, 'IMPORT VHC Report'!$E:$E, 'IMPORT VHC Report'!$A:$C), )</f>
        <v/>
      </c>
      <c r="C1662" s="37"/>
      <c r="D1662" s="37"/>
      <c r="E1662" s="38" t="s">
        <v>2072</v>
      </c>
      <c r="F1662" s="38" t="s">
        <v>2061</v>
      </c>
      <c r="G1662" s="38">
        <v>1.0548625681423E13</v>
      </c>
      <c r="H1662" s="38" t="s">
        <v>2062</v>
      </c>
      <c r="I1662" s="38" t="s">
        <v>2063</v>
      </c>
      <c r="J1662" s="38" t="s">
        <v>132</v>
      </c>
      <c r="K1662" s="38" t="s">
        <v>126</v>
      </c>
      <c r="L1662" s="41">
        <v>46007.270833333336</v>
      </c>
      <c r="M1662" s="38" t="s">
        <v>123</v>
      </c>
      <c r="N1662" s="41">
        <v>46007.3125</v>
      </c>
      <c r="O1662" s="38" t="s">
        <v>123</v>
      </c>
      <c r="P1662" s="38">
        <v>3600.0</v>
      </c>
      <c r="Q1662" s="39"/>
      <c r="R1662" s="39"/>
      <c r="S1662" s="39"/>
      <c r="T1662" s="39"/>
      <c r="U1662" s="39"/>
    </row>
    <row r="1663">
      <c r="A1663" s="40">
        <f t="shared" si="1"/>
        <v>46006</v>
      </c>
      <c r="B1663" s="37" t="str">
        <f t="array" ref="B1663">iferror(xlookup($I1663, 'IMPORT VHC Report'!$E:$E, 'IMPORT VHC Report'!$A:$C), )</f>
        <v/>
      </c>
      <c r="C1663" s="37"/>
      <c r="D1663" s="37"/>
      <c r="E1663" s="38" t="s">
        <v>2073</v>
      </c>
      <c r="F1663" s="38" t="s">
        <v>2061</v>
      </c>
      <c r="G1663" s="38">
        <v>1.0548625681423E13</v>
      </c>
      <c r="H1663" s="38" t="s">
        <v>2062</v>
      </c>
      <c r="I1663" s="38" t="s">
        <v>2063</v>
      </c>
      <c r="J1663" s="38" t="s">
        <v>125</v>
      </c>
      <c r="K1663" s="38" t="s">
        <v>126</v>
      </c>
      <c r="L1663" s="41">
        <v>46007.381944444445</v>
      </c>
      <c r="M1663" s="38" t="s">
        <v>123</v>
      </c>
      <c r="N1663" s="41">
        <v>46007.506944444445</v>
      </c>
      <c r="O1663" s="38" t="s">
        <v>123</v>
      </c>
      <c r="P1663" s="38">
        <v>10800.0</v>
      </c>
      <c r="Q1663" s="39"/>
      <c r="R1663" s="39"/>
      <c r="S1663" s="38" t="s">
        <v>2074</v>
      </c>
      <c r="T1663" s="39"/>
      <c r="U1663" s="39"/>
    </row>
    <row r="1664">
      <c r="A1664" s="40">
        <f t="shared" si="1"/>
        <v>46006</v>
      </c>
      <c r="B1664" s="37" t="str">
        <f t="array" ref="B1664">iferror(xlookup($I1664, 'IMPORT VHC Report'!$E:$E, 'IMPORT VHC Report'!$A:$C), )</f>
        <v/>
      </c>
      <c r="C1664" s="37"/>
      <c r="D1664" s="37"/>
      <c r="E1664" s="38" t="s">
        <v>2075</v>
      </c>
      <c r="F1664" s="38" t="s">
        <v>2061</v>
      </c>
      <c r="G1664" s="38">
        <v>1.0548625681423E13</v>
      </c>
      <c r="H1664" s="38" t="s">
        <v>2062</v>
      </c>
      <c r="I1664" s="38" t="s">
        <v>2063</v>
      </c>
      <c r="J1664" s="38" t="s">
        <v>134</v>
      </c>
      <c r="K1664" s="38" t="s">
        <v>126</v>
      </c>
      <c r="L1664" s="41">
        <v>46007.506944444445</v>
      </c>
      <c r="M1664" s="38" t="s">
        <v>123</v>
      </c>
      <c r="N1664" s="41">
        <v>46007.52777777778</v>
      </c>
      <c r="O1664" s="38" t="s">
        <v>123</v>
      </c>
      <c r="P1664" s="38">
        <v>1800.0</v>
      </c>
      <c r="Q1664" s="39"/>
      <c r="R1664" s="39"/>
      <c r="S1664" s="39"/>
      <c r="T1664" s="39"/>
      <c r="U1664" s="39"/>
    </row>
    <row r="1665">
      <c r="A1665" s="40">
        <f t="shared" si="1"/>
        <v>46006</v>
      </c>
      <c r="B1665" s="37" t="str">
        <f t="array" ref="B1665">iferror(xlookup($I1665, 'IMPORT VHC Report'!$E:$E, 'IMPORT VHC Report'!$A:$C), )</f>
        <v/>
      </c>
      <c r="C1665" s="37"/>
      <c r="D1665" s="37"/>
      <c r="E1665" s="38" t="s">
        <v>2076</v>
      </c>
      <c r="F1665" s="38" t="s">
        <v>2061</v>
      </c>
      <c r="G1665" s="38">
        <v>1.0548625681423E13</v>
      </c>
      <c r="H1665" s="38" t="s">
        <v>2062</v>
      </c>
      <c r="I1665" s="38" t="s">
        <v>2063</v>
      </c>
      <c r="J1665" s="38" t="s">
        <v>332</v>
      </c>
      <c r="K1665" s="38" t="s">
        <v>63</v>
      </c>
      <c r="L1665" s="41">
        <v>46007.52777777778</v>
      </c>
      <c r="M1665" s="38" t="s">
        <v>123</v>
      </c>
      <c r="N1665" s="41">
        <v>46007.541666666664</v>
      </c>
      <c r="O1665" s="38" t="s">
        <v>123</v>
      </c>
      <c r="P1665" s="38">
        <v>1200.0</v>
      </c>
      <c r="Q1665" s="39"/>
      <c r="R1665" s="39"/>
      <c r="S1665" s="38" t="s">
        <v>394</v>
      </c>
      <c r="T1665" s="39"/>
      <c r="U1665" s="39"/>
    </row>
    <row r="1666">
      <c r="A1666" s="40">
        <f t="shared" si="1"/>
        <v>46006</v>
      </c>
      <c r="B1666" s="37" t="str">
        <f t="array" ref="B1666">iferror(xlookup($I1666, 'IMPORT VHC Report'!$E:$E, 'IMPORT VHC Report'!$A:$C), )</f>
        <v/>
      </c>
      <c r="C1666" s="37"/>
      <c r="D1666" s="37"/>
      <c r="E1666" s="38" t="s">
        <v>2077</v>
      </c>
      <c r="F1666" s="38" t="s">
        <v>2061</v>
      </c>
      <c r="G1666" s="38">
        <v>1.0548625681423E13</v>
      </c>
      <c r="H1666" s="38" t="s">
        <v>2062</v>
      </c>
      <c r="I1666" s="38" t="s">
        <v>2063</v>
      </c>
      <c r="J1666" s="38" t="s">
        <v>330</v>
      </c>
      <c r="K1666" s="38" t="s">
        <v>126</v>
      </c>
      <c r="L1666" s="41">
        <v>46008.166666666664</v>
      </c>
      <c r="M1666" s="38" t="s">
        <v>123</v>
      </c>
      <c r="N1666" s="41">
        <v>46008.17361111111</v>
      </c>
      <c r="O1666" s="38" t="s">
        <v>123</v>
      </c>
      <c r="P1666" s="38">
        <v>600.0</v>
      </c>
      <c r="Q1666" s="39"/>
      <c r="R1666" s="39"/>
      <c r="S1666" s="39"/>
      <c r="T1666" s="39"/>
      <c r="U1666" s="39"/>
    </row>
    <row r="1667">
      <c r="A1667" s="40">
        <f t="shared" si="1"/>
        <v>46006</v>
      </c>
      <c r="B1667" s="37" t="str">
        <f t="array" ref="B1667">iferror(xlookup($I1667, 'IMPORT VHC Report'!$E:$E, 'IMPORT VHC Report'!$A:$C), )</f>
        <v/>
      </c>
      <c r="C1667" s="37"/>
      <c r="D1667" s="37"/>
      <c r="E1667" s="38" t="s">
        <v>2078</v>
      </c>
      <c r="F1667" s="38" t="s">
        <v>2061</v>
      </c>
      <c r="G1667" s="38">
        <v>1.0548625681423E13</v>
      </c>
      <c r="H1667" s="38" t="s">
        <v>2062</v>
      </c>
      <c r="I1667" s="38" t="s">
        <v>2063</v>
      </c>
      <c r="J1667" s="38" t="s">
        <v>332</v>
      </c>
      <c r="K1667" s="38" t="s">
        <v>63</v>
      </c>
      <c r="L1667" s="41">
        <v>46008.166666666664</v>
      </c>
      <c r="M1667" s="38" t="s">
        <v>123</v>
      </c>
      <c r="N1667" s="41">
        <v>46008.541666666664</v>
      </c>
      <c r="O1667" s="38" t="s">
        <v>123</v>
      </c>
      <c r="P1667" s="38">
        <v>32400.0</v>
      </c>
      <c r="Q1667" s="39"/>
      <c r="R1667" s="39"/>
      <c r="S1667" s="39"/>
      <c r="T1667" s="39"/>
      <c r="U1667" s="39"/>
    </row>
    <row r="1668">
      <c r="A1668" s="40">
        <f t="shared" si="1"/>
        <v>46006</v>
      </c>
      <c r="B1668" s="37" t="str">
        <f t="array" ref="B1668">iferror(xlookup($I1668, 'IMPORT VHC Report'!$E:$E, 'IMPORT VHC Report'!$A:$C), )</f>
        <v/>
      </c>
      <c r="C1668" s="37"/>
      <c r="D1668" s="37"/>
      <c r="E1668" s="38" t="s">
        <v>2079</v>
      </c>
      <c r="F1668" s="38" t="s">
        <v>2061</v>
      </c>
      <c r="G1668" s="38">
        <v>1.0548625681423E13</v>
      </c>
      <c r="H1668" s="38" t="s">
        <v>2062</v>
      </c>
      <c r="I1668" s="38" t="s">
        <v>2063</v>
      </c>
      <c r="J1668" s="38" t="s">
        <v>136</v>
      </c>
      <c r="K1668" s="38" t="s">
        <v>126</v>
      </c>
      <c r="L1668" s="41">
        <v>46008.208333333336</v>
      </c>
      <c r="M1668" s="38" t="s">
        <v>123</v>
      </c>
      <c r="N1668" s="41">
        <v>46008.25</v>
      </c>
      <c r="O1668" s="38" t="s">
        <v>123</v>
      </c>
      <c r="P1668" s="38">
        <v>3600.0</v>
      </c>
      <c r="Q1668" s="39"/>
      <c r="R1668" s="39"/>
      <c r="S1668" s="38" t="s">
        <v>137</v>
      </c>
      <c r="T1668" s="39"/>
      <c r="U1668" s="39"/>
    </row>
    <row r="1669">
      <c r="A1669" s="40">
        <f t="shared" si="1"/>
        <v>46006</v>
      </c>
      <c r="B1669" s="37" t="str">
        <f t="array" ref="B1669">iferror(xlookup($I1669, 'IMPORT VHC Report'!$E:$E, 'IMPORT VHC Report'!$A:$C), )</f>
        <v/>
      </c>
      <c r="C1669" s="37"/>
      <c r="D1669" s="37"/>
      <c r="E1669" s="38" t="s">
        <v>2080</v>
      </c>
      <c r="F1669" s="38" t="s">
        <v>2061</v>
      </c>
      <c r="G1669" s="38">
        <v>1.0548625681423E13</v>
      </c>
      <c r="H1669" s="38" t="s">
        <v>2062</v>
      </c>
      <c r="I1669" s="38" t="s">
        <v>2063</v>
      </c>
      <c r="J1669" s="38" t="s">
        <v>132</v>
      </c>
      <c r="K1669" s="38" t="s">
        <v>126</v>
      </c>
      <c r="L1669" s="41">
        <v>46008.25</v>
      </c>
      <c r="M1669" s="38" t="s">
        <v>123</v>
      </c>
      <c r="N1669" s="41">
        <v>46008.291666666664</v>
      </c>
      <c r="O1669" s="38" t="s">
        <v>123</v>
      </c>
      <c r="P1669" s="38">
        <v>3600.0</v>
      </c>
      <c r="Q1669" s="39"/>
      <c r="R1669" s="39"/>
      <c r="S1669" s="39"/>
      <c r="T1669" s="39"/>
      <c r="U1669" s="39"/>
    </row>
    <row r="1670">
      <c r="A1670" s="40">
        <f t="shared" si="1"/>
        <v>46006</v>
      </c>
      <c r="B1670" s="37" t="str">
        <f t="array" ref="B1670">iferror(xlookup($I1670, 'IMPORT VHC Report'!$E:$E, 'IMPORT VHC Report'!$A:$C), )</f>
        <v/>
      </c>
      <c r="C1670" s="37"/>
      <c r="D1670" s="37"/>
      <c r="E1670" s="38" t="s">
        <v>2081</v>
      </c>
      <c r="F1670" s="38" t="s">
        <v>2061</v>
      </c>
      <c r="G1670" s="38">
        <v>1.0548625681423E13</v>
      </c>
      <c r="H1670" s="38" t="s">
        <v>2062</v>
      </c>
      <c r="I1670" s="38" t="s">
        <v>2063</v>
      </c>
      <c r="J1670" s="38" t="s">
        <v>4</v>
      </c>
      <c r="K1670" s="38" t="s">
        <v>126</v>
      </c>
      <c r="L1670" s="41">
        <v>46008.291666666664</v>
      </c>
      <c r="M1670" s="38" t="s">
        <v>123</v>
      </c>
      <c r="N1670" s="41">
        <v>46008.333333333336</v>
      </c>
      <c r="O1670" s="38" t="s">
        <v>123</v>
      </c>
      <c r="P1670" s="38">
        <v>3600.0</v>
      </c>
      <c r="Q1670" s="39"/>
      <c r="R1670" s="39"/>
      <c r="S1670" s="38" t="s">
        <v>336</v>
      </c>
      <c r="T1670" s="39"/>
      <c r="U1670" s="39"/>
    </row>
    <row r="1671">
      <c r="A1671" s="40">
        <f t="shared" si="1"/>
        <v>46006</v>
      </c>
      <c r="B1671" s="37" t="str">
        <f t="array" ref="B1671">iferror(xlookup($I1671, 'IMPORT VHC Report'!$E:$E, 'IMPORT VHC Report'!$A:$C), )</f>
        <v/>
      </c>
      <c r="C1671" s="37"/>
      <c r="D1671" s="37"/>
      <c r="E1671" s="38" t="s">
        <v>2082</v>
      </c>
      <c r="F1671" s="38" t="s">
        <v>2061</v>
      </c>
      <c r="G1671" s="38">
        <v>1.0548625681423E13</v>
      </c>
      <c r="H1671" s="38" t="s">
        <v>2062</v>
      </c>
      <c r="I1671" s="38" t="s">
        <v>2063</v>
      </c>
      <c r="J1671" s="38" t="s">
        <v>134</v>
      </c>
      <c r="K1671" s="38" t="s">
        <v>126</v>
      </c>
      <c r="L1671" s="41">
        <v>46008.4375</v>
      </c>
      <c r="M1671" s="38" t="s">
        <v>123</v>
      </c>
      <c r="N1671" s="41">
        <v>46008.458333333336</v>
      </c>
      <c r="O1671" s="38" t="s">
        <v>123</v>
      </c>
      <c r="P1671" s="38">
        <v>1800.0</v>
      </c>
      <c r="Q1671" s="39"/>
      <c r="R1671" s="39"/>
      <c r="S1671" s="39"/>
      <c r="T1671" s="39"/>
      <c r="U1671" s="39"/>
    </row>
    <row r="1672">
      <c r="A1672" s="40">
        <f t="shared" si="1"/>
        <v>46006</v>
      </c>
      <c r="B1672" s="37" t="str">
        <f t="array" ref="B1672">iferror(xlookup($I1672, 'IMPORT VHC Report'!$E:$E, 'IMPORT VHC Report'!$A:$C), )</f>
        <v/>
      </c>
      <c r="C1672" s="37"/>
      <c r="D1672" s="37"/>
      <c r="E1672" s="38" t="s">
        <v>2083</v>
      </c>
      <c r="F1672" s="38" t="s">
        <v>2061</v>
      </c>
      <c r="G1672" s="38">
        <v>1.0548625681423E13</v>
      </c>
      <c r="H1672" s="38" t="s">
        <v>2062</v>
      </c>
      <c r="I1672" s="38" t="s">
        <v>2063</v>
      </c>
      <c r="J1672" s="38" t="s">
        <v>332</v>
      </c>
      <c r="K1672" s="38" t="s">
        <v>63</v>
      </c>
      <c r="L1672" s="41">
        <v>46008.458333333336</v>
      </c>
      <c r="M1672" s="38" t="s">
        <v>123</v>
      </c>
      <c r="N1672" s="41">
        <v>46008.541666666664</v>
      </c>
      <c r="O1672" s="38" t="s">
        <v>123</v>
      </c>
      <c r="P1672" s="38">
        <v>7200.0</v>
      </c>
      <c r="Q1672" s="39"/>
      <c r="R1672" s="39"/>
      <c r="S1672" s="38" t="s">
        <v>394</v>
      </c>
      <c r="T1672" s="39"/>
      <c r="U1672" s="39"/>
    </row>
    <row r="1673">
      <c r="A1673" s="40">
        <f t="shared" si="1"/>
        <v>46006</v>
      </c>
      <c r="B1673" s="37" t="str">
        <f t="array" ref="B1673">iferror(xlookup($I1673, 'IMPORT VHC Report'!$E:$E, 'IMPORT VHC Report'!$A:$C), )</f>
        <v/>
      </c>
      <c r="C1673" s="37"/>
      <c r="D1673" s="37"/>
      <c r="E1673" s="38" t="s">
        <v>2084</v>
      </c>
      <c r="F1673" s="38" t="s">
        <v>2061</v>
      </c>
      <c r="G1673" s="38">
        <v>1.0548625681423E13</v>
      </c>
      <c r="H1673" s="38" t="s">
        <v>2062</v>
      </c>
      <c r="I1673" s="38" t="s">
        <v>2063</v>
      </c>
      <c r="J1673" s="38" t="s">
        <v>330</v>
      </c>
      <c r="K1673" s="38" t="s">
        <v>126</v>
      </c>
      <c r="L1673" s="41">
        <v>46009.166666666664</v>
      </c>
      <c r="M1673" s="38" t="s">
        <v>123</v>
      </c>
      <c r="N1673" s="41">
        <v>46009.17361111111</v>
      </c>
      <c r="O1673" s="38" t="s">
        <v>123</v>
      </c>
      <c r="P1673" s="38">
        <v>600.0</v>
      </c>
      <c r="Q1673" s="39"/>
      <c r="R1673" s="39"/>
      <c r="S1673" s="39"/>
      <c r="T1673" s="39"/>
      <c r="U1673" s="39"/>
    </row>
    <row r="1674">
      <c r="A1674" s="40">
        <f t="shared" si="1"/>
        <v>46006</v>
      </c>
      <c r="B1674" s="37" t="str">
        <f t="array" ref="B1674">iferror(xlookup($I1674, 'IMPORT VHC Report'!$E:$E, 'IMPORT VHC Report'!$A:$C), )</f>
        <v/>
      </c>
      <c r="C1674" s="37"/>
      <c r="D1674" s="37"/>
      <c r="E1674" s="38" t="s">
        <v>2085</v>
      </c>
      <c r="F1674" s="38" t="s">
        <v>2061</v>
      </c>
      <c r="G1674" s="38">
        <v>1.0548625681423E13</v>
      </c>
      <c r="H1674" s="38" t="s">
        <v>2062</v>
      </c>
      <c r="I1674" s="38" t="s">
        <v>2063</v>
      </c>
      <c r="J1674" s="38" t="s">
        <v>332</v>
      </c>
      <c r="K1674" s="38" t="s">
        <v>63</v>
      </c>
      <c r="L1674" s="41">
        <v>46009.166666666664</v>
      </c>
      <c r="M1674" s="38" t="s">
        <v>123</v>
      </c>
      <c r="N1674" s="41">
        <v>46009.541666666664</v>
      </c>
      <c r="O1674" s="38" t="s">
        <v>123</v>
      </c>
      <c r="P1674" s="38">
        <v>32400.0</v>
      </c>
      <c r="Q1674" s="39"/>
      <c r="R1674" s="39"/>
      <c r="S1674" s="39"/>
      <c r="T1674" s="39"/>
      <c r="U1674" s="39"/>
    </row>
    <row r="1675">
      <c r="A1675" s="40">
        <f t="shared" si="1"/>
        <v>46006</v>
      </c>
      <c r="B1675" s="37" t="str">
        <f t="array" ref="B1675">iferror(xlookup($I1675, 'IMPORT VHC Report'!$E:$E, 'IMPORT VHC Report'!$A:$C), )</f>
        <v/>
      </c>
      <c r="C1675" s="37"/>
      <c r="D1675" s="37"/>
      <c r="E1675" s="38" t="s">
        <v>2086</v>
      </c>
      <c r="F1675" s="38" t="s">
        <v>2061</v>
      </c>
      <c r="G1675" s="38">
        <v>1.0548625681423E13</v>
      </c>
      <c r="H1675" s="38" t="s">
        <v>2062</v>
      </c>
      <c r="I1675" s="38" t="s">
        <v>2063</v>
      </c>
      <c r="J1675" s="38" t="s">
        <v>4</v>
      </c>
      <c r="K1675" s="38" t="s">
        <v>126</v>
      </c>
      <c r="L1675" s="41">
        <v>46009.208333333336</v>
      </c>
      <c r="M1675" s="38" t="s">
        <v>123</v>
      </c>
      <c r="N1675" s="41">
        <v>46009.25</v>
      </c>
      <c r="O1675" s="38" t="s">
        <v>123</v>
      </c>
      <c r="P1675" s="38">
        <v>3600.0</v>
      </c>
      <c r="Q1675" s="39"/>
      <c r="R1675" s="39"/>
      <c r="S1675" s="38" t="s">
        <v>130</v>
      </c>
      <c r="T1675" s="39"/>
      <c r="U1675" s="39"/>
    </row>
    <row r="1676">
      <c r="A1676" s="40">
        <f t="shared" si="1"/>
        <v>46006</v>
      </c>
      <c r="B1676" s="37" t="str">
        <f t="array" ref="B1676">iferror(xlookup($I1676, 'IMPORT VHC Report'!$E:$E, 'IMPORT VHC Report'!$A:$C), )</f>
        <v/>
      </c>
      <c r="C1676" s="37"/>
      <c r="D1676" s="37"/>
      <c r="E1676" s="38" t="s">
        <v>2087</v>
      </c>
      <c r="F1676" s="38" t="s">
        <v>2061</v>
      </c>
      <c r="G1676" s="38">
        <v>1.0548625681423E13</v>
      </c>
      <c r="H1676" s="38" t="s">
        <v>2062</v>
      </c>
      <c r="I1676" s="38" t="s">
        <v>2063</v>
      </c>
      <c r="J1676" s="38" t="s">
        <v>132</v>
      </c>
      <c r="K1676" s="38" t="s">
        <v>126</v>
      </c>
      <c r="L1676" s="41">
        <v>46009.291666666664</v>
      </c>
      <c r="M1676" s="38" t="s">
        <v>123</v>
      </c>
      <c r="N1676" s="41">
        <v>46009.333333333336</v>
      </c>
      <c r="O1676" s="38" t="s">
        <v>123</v>
      </c>
      <c r="P1676" s="38">
        <v>3600.0</v>
      </c>
      <c r="Q1676" s="39"/>
      <c r="R1676" s="39"/>
      <c r="S1676" s="39"/>
      <c r="T1676" s="39"/>
      <c r="U1676" s="39"/>
    </row>
    <row r="1677">
      <c r="A1677" s="40">
        <f t="shared" si="1"/>
        <v>46006</v>
      </c>
      <c r="B1677" s="37" t="str">
        <f t="array" ref="B1677">iferror(xlookup($I1677, 'IMPORT VHC Report'!$E:$E, 'IMPORT VHC Report'!$A:$C), )</f>
        <v/>
      </c>
      <c r="C1677" s="37"/>
      <c r="D1677" s="37"/>
      <c r="E1677" s="38" t="s">
        <v>2088</v>
      </c>
      <c r="F1677" s="38" t="s">
        <v>2061</v>
      </c>
      <c r="G1677" s="38">
        <v>1.0548625681423E13</v>
      </c>
      <c r="H1677" s="38" t="s">
        <v>2062</v>
      </c>
      <c r="I1677" s="38" t="s">
        <v>2063</v>
      </c>
      <c r="J1677" s="38" t="s">
        <v>134</v>
      </c>
      <c r="K1677" s="38" t="s">
        <v>126</v>
      </c>
      <c r="L1677" s="41">
        <v>46009.416666666664</v>
      </c>
      <c r="M1677" s="38" t="s">
        <v>123</v>
      </c>
      <c r="N1677" s="41">
        <v>46009.4375</v>
      </c>
      <c r="O1677" s="38" t="s">
        <v>123</v>
      </c>
      <c r="P1677" s="38">
        <v>1800.0</v>
      </c>
      <c r="Q1677" s="39"/>
      <c r="R1677" s="39"/>
      <c r="S1677" s="39"/>
      <c r="T1677" s="39"/>
      <c r="U1677" s="39"/>
    </row>
    <row r="1678">
      <c r="A1678" s="40">
        <f t="shared" si="1"/>
        <v>46006</v>
      </c>
      <c r="B1678" s="37" t="str">
        <f t="array" ref="B1678">iferror(xlookup($I1678, 'IMPORT VHC Report'!$E:$E, 'IMPORT VHC Report'!$A:$C), )</f>
        <v/>
      </c>
      <c r="C1678" s="37"/>
      <c r="D1678" s="37"/>
      <c r="E1678" s="38" t="s">
        <v>2089</v>
      </c>
      <c r="F1678" s="38" t="s">
        <v>2061</v>
      </c>
      <c r="G1678" s="38">
        <v>1.0548625681423E13</v>
      </c>
      <c r="H1678" s="38" t="s">
        <v>2062</v>
      </c>
      <c r="I1678" s="38" t="s">
        <v>2063</v>
      </c>
      <c r="J1678" s="38" t="s">
        <v>332</v>
      </c>
      <c r="K1678" s="38" t="s">
        <v>63</v>
      </c>
      <c r="L1678" s="41">
        <v>46009.458333333336</v>
      </c>
      <c r="M1678" s="38" t="s">
        <v>123</v>
      </c>
      <c r="N1678" s="41">
        <v>46009.541666666664</v>
      </c>
      <c r="O1678" s="38" t="s">
        <v>123</v>
      </c>
      <c r="P1678" s="38">
        <v>7200.0</v>
      </c>
      <c r="Q1678" s="39"/>
      <c r="R1678" s="39"/>
      <c r="S1678" s="39"/>
      <c r="T1678" s="39"/>
      <c r="U1678" s="39"/>
    </row>
    <row r="1679">
      <c r="A1679" s="40">
        <f t="shared" si="1"/>
        <v>46006</v>
      </c>
      <c r="B1679" s="37" t="str">
        <f t="array" ref="B1679">iferror(xlookup($I1679, 'IMPORT VHC Report'!$E:$E, 'IMPORT VHC Report'!$A:$C), )</f>
        <v/>
      </c>
      <c r="C1679" s="37"/>
      <c r="D1679" s="37"/>
      <c r="E1679" s="38" t="s">
        <v>2090</v>
      </c>
      <c r="F1679" s="38" t="s">
        <v>2061</v>
      </c>
      <c r="G1679" s="38">
        <v>1.0548625681423E13</v>
      </c>
      <c r="H1679" s="38" t="s">
        <v>2062</v>
      </c>
      <c r="I1679" s="38" t="s">
        <v>2063</v>
      </c>
      <c r="J1679" s="38" t="s">
        <v>330</v>
      </c>
      <c r="K1679" s="38" t="s">
        <v>126</v>
      </c>
      <c r="L1679" s="41">
        <v>46012.166666666664</v>
      </c>
      <c r="M1679" s="38" t="s">
        <v>123</v>
      </c>
      <c r="N1679" s="41">
        <v>46012.17361111111</v>
      </c>
      <c r="O1679" s="38" t="s">
        <v>123</v>
      </c>
      <c r="P1679" s="38">
        <v>600.0</v>
      </c>
      <c r="Q1679" s="39"/>
      <c r="R1679" s="39"/>
      <c r="S1679" s="39"/>
      <c r="T1679" s="39"/>
      <c r="U1679" s="39"/>
    </row>
    <row r="1680">
      <c r="A1680" s="40">
        <f t="shared" si="1"/>
        <v>46006</v>
      </c>
      <c r="B1680" s="37" t="str">
        <f t="array" ref="B1680">iferror(xlookup($I1680, 'IMPORT VHC Report'!$E:$E, 'IMPORT VHC Report'!$A:$C), )</f>
        <v/>
      </c>
      <c r="C1680" s="37"/>
      <c r="D1680" s="37"/>
      <c r="E1680" s="38" t="s">
        <v>2091</v>
      </c>
      <c r="F1680" s="38" t="s">
        <v>2061</v>
      </c>
      <c r="G1680" s="38">
        <v>1.0548625681423E13</v>
      </c>
      <c r="H1680" s="38" t="s">
        <v>2062</v>
      </c>
      <c r="I1680" s="38" t="s">
        <v>2063</v>
      </c>
      <c r="J1680" s="38" t="s">
        <v>332</v>
      </c>
      <c r="K1680" s="38" t="s">
        <v>63</v>
      </c>
      <c r="L1680" s="41">
        <v>46012.166666666664</v>
      </c>
      <c r="M1680" s="38" t="s">
        <v>123</v>
      </c>
      <c r="N1680" s="41">
        <v>46012.541666666664</v>
      </c>
      <c r="O1680" s="38" t="s">
        <v>123</v>
      </c>
      <c r="P1680" s="38">
        <v>32400.0</v>
      </c>
      <c r="Q1680" s="39"/>
      <c r="R1680" s="39"/>
      <c r="S1680" s="39"/>
      <c r="T1680" s="39"/>
      <c r="U1680" s="39"/>
    </row>
    <row r="1681">
      <c r="A1681" s="40">
        <f t="shared" si="1"/>
        <v>46006</v>
      </c>
      <c r="B1681" s="37" t="str">
        <f t="array" ref="B1681">iferror(xlookup($I1681, 'IMPORT VHC Report'!$E:$E, 'IMPORT VHC Report'!$A:$C), )</f>
        <v/>
      </c>
      <c r="C1681" s="37"/>
      <c r="D1681" s="37"/>
      <c r="E1681" s="38" t="s">
        <v>2092</v>
      </c>
      <c r="F1681" s="38" t="s">
        <v>2061</v>
      </c>
      <c r="G1681" s="38">
        <v>1.0548625681423E13</v>
      </c>
      <c r="H1681" s="38" t="s">
        <v>2062</v>
      </c>
      <c r="I1681" s="38" t="s">
        <v>2063</v>
      </c>
      <c r="J1681" s="38" t="s">
        <v>132</v>
      </c>
      <c r="K1681" s="38" t="s">
        <v>126</v>
      </c>
      <c r="L1681" s="41">
        <v>46012.333333333336</v>
      </c>
      <c r="M1681" s="38" t="s">
        <v>123</v>
      </c>
      <c r="N1681" s="41">
        <v>46012.375</v>
      </c>
      <c r="O1681" s="38" t="s">
        <v>123</v>
      </c>
      <c r="P1681" s="38">
        <v>3600.0</v>
      </c>
      <c r="Q1681" s="39"/>
      <c r="R1681" s="39"/>
      <c r="S1681" s="39"/>
      <c r="T1681" s="39"/>
      <c r="U1681" s="39"/>
    </row>
    <row r="1682">
      <c r="A1682" s="40">
        <f t="shared" si="1"/>
        <v>46006</v>
      </c>
      <c r="B1682" s="37" t="str">
        <f t="array" ref="B1682">iferror(xlookup($I1682, 'IMPORT VHC Report'!$E:$E, 'IMPORT VHC Report'!$A:$C), )</f>
        <v/>
      </c>
      <c r="C1682" s="37"/>
      <c r="D1682" s="37"/>
      <c r="E1682" s="38" t="s">
        <v>2093</v>
      </c>
      <c r="F1682" s="38" t="s">
        <v>2061</v>
      </c>
      <c r="G1682" s="38">
        <v>1.0548625681423E13</v>
      </c>
      <c r="H1682" s="38" t="s">
        <v>2062</v>
      </c>
      <c r="I1682" s="38" t="s">
        <v>2063</v>
      </c>
      <c r="J1682" s="38" t="s">
        <v>134</v>
      </c>
      <c r="K1682" s="38" t="s">
        <v>126</v>
      </c>
      <c r="L1682" s="41">
        <v>46012.4375</v>
      </c>
      <c r="M1682" s="38" t="s">
        <v>123</v>
      </c>
      <c r="N1682" s="41">
        <v>46012.458333333336</v>
      </c>
      <c r="O1682" s="38" t="s">
        <v>123</v>
      </c>
      <c r="P1682" s="38">
        <v>1800.0</v>
      </c>
      <c r="Q1682" s="39"/>
      <c r="R1682" s="39"/>
      <c r="S1682" s="39"/>
      <c r="T1682" s="39"/>
      <c r="U1682" s="39"/>
    </row>
    <row r="1683">
      <c r="A1683" s="40">
        <f t="shared" si="1"/>
        <v>46006</v>
      </c>
      <c r="B1683" s="37" t="str">
        <f t="array" ref="B1683">iferror(xlookup($I1683, 'IMPORT VHC Report'!$E:$E, 'IMPORT VHC Report'!$A:$C), )</f>
        <v/>
      </c>
      <c r="C1683" s="37"/>
      <c r="D1683" s="37"/>
      <c r="E1683" s="38" t="s">
        <v>2094</v>
      </c>
      <c r="F1683" s="38" t="s">
        <v>2061</v>
      </c>
      <c r="G1683" s="38">
        <v>1.0548625681423E13</v>
      </c>
      <c r="H1683" s="38" t="s">
        <v>2062</v>
      </c>
      <c r="I1683" s="38" t="s">
        <v>2063</v>
      </c>
      <c r="J1683" s="38" t="s">
        <v>125</v>
      </c>
      <c r="K1683" s="38" t="s">
        <v>126</v>
      </c>
      <c r="L1683" s="41">
        <v>46012.458333333336</v>
      </c>
      <c r="M1683" s="38" t="s">
        <v>123</v>
      </c>
      <c r="N1683" s="41">
        <v>46012.541666666664</v>
      </c>
      <c r="O1683" s="38" t="s">
        <v>123</v>
      </c>
      <c r="P1683" s="38">
        <v>7200.0</v>
      </c>
      <c r="Q1683" s="39"/>
      <c r="R1683" s="39"/>
      <c r="S1683" s="38" t="s">
        <v>394</v>
      </c>
      <c r="T1683" s="39"/>
      <c r="U1683" s="39"/>
    </row>
    <row r="1684">
      <c r="A1684" s="40">
        <f t="shared" si="1"/>
        <v>46006</v>
      </c>
      <c r="B1684" s="37" t="str">
        <f t="array" ref="B1684">iferror(xlookup($I1684, 'IMPORT VHC Report'!$E:$E, 'IMPORT VHC Report'!$A:$C), )</f>
        <v/>
      </c>
      <c r="C1684" s="37"/>
      <c r="D1684" s="37"/>
      <c r="E1684" s="38" t="s">
        <v>2095</v>
      </c>
      <c r="F1684" s="38" t="s">
        <v>2096</v>
      </c>
      <c r="G1684" s="38">
        <v>1.0005722473615E13</v>
      </c>
      <c r="H1684" s="38" t="s">
        <v>2097</v>
      </c>
      <c r="I1684" s="38" t="s">
        <v>2098</v>
      </c>
      <c r="J1684" s="38" t="s">
        <v>224</v>
      </c>
      <c r="K1684" s="38" t="s">
        <v>63</v>
      </c>
      <c r="L1684" s="41">
        <v>46006.166666666664</v>
      </c>
      <c r="M1684" s="38" t="s">
        <v>123</v>
      </c>
      <c r="N1684" s="41">
        <v>46006.28125</v>
      </c>
      <c r="O1684" s="38" t="s">
        <v>123</v>
      </c>
      <c r="P1684" s="38">
        <v>9900.0</v>
      </c>
      <c r="Q1684" s="39"/>
      <c r="R1684" s="39"/>
      <c r="S1684" s="39"/>
      <c r="T1684" s="39"/>
      <c r="U1684" s="39"/>
    </row>
    <row r="1685">
      <c r="A1685" s="40">
        <f t="shared" si="1"/>
        <v>46006</v>
      </c>
      <c r="B1685" s="37" t="str">
        <f t="array" ref="B1685">iferror(xlookup($I1685, 'IMPORT VHC Report'!$E:$E, 'IMPORT VHC Report'!$A:$C), )</f>
        <v/>
      </c>
      <c r="C1685" s="37"/>
      <c r="D1685" s="37"/>
      <c r="E1685" s="38" t="s">
        <v>2099</v>
      </c>
      <c r="F1685" s="38" t="s">
        <v>2096</v>
      </c>
      <c r="G1685" s="38">
        <v>1.0005722473615E13</v>
      </c>
      <c r="H1685" s="38" t="s">
        <v>2097</v>
      </c>
      <c r="I1685" s="38" t="s">
        <v>2098</v>
      </c>
      <c r="J1685" s="38" t="s">
        <v>134</v>
      </c>
      <c r="K1685" s="38" t="s">
        <v>126</v>
      </c>
      <c r="L1685" s="41">
        <v>46006.25347222222</v>
      </c>
      <c r="M1685" s="38" t="s">
        <v>123</v>
      </c>
      <c r="N1685" s="41">
        <v>46006.274305555555</v>
      </c>
      <c r="O1685" s="38" t="s">
        <v>123</v>
      </c>
      <c r="P1685" s="38">
        <v>1800.0</v>
      </c>
      <c r="Q1685" s="39"/>
      <c r="R1685" s="39"/>
      <c r="S1685" s="39"/>
      <c r="T1685" s="39"/>
      <c r="U1685" s="39"/>
    </row>
    <row r="1686">
      <c r="A1686" s="40">
        <f t="shared" si="1"/>
        <v>46006</v>
      </c>
      <c r="B1686" s="37" t="str">
        <f t="array" ref="B1686">iferror(xlookup($I1686, 'IMPORT VHC Report'!$E:$E, 'IMPORT VHC Report'!$A:$C), )</f>
        <v/>
      </c>
      <c r="C1686" s="37"/>
      <c r="D1686" s="37"/>
      <c r="E1686" s="38" t="s">
        <v>2100</v>
      </c>
      <c r="F1686" s="38" t="s">
        <v>2096</v>
      </c>
      <c r="G1686" s="38">
        <v>1.0005722473615E13</v>
      </c>
      <c r="H1686" s="38" t="s">
        <v>2097</v>
      </c>
      <c r="I1686" s="38" t="s">
        <v>2098</v>
      </c>
      <c r="J1686" s="38" t="s">
        <v>132</v>
      </c>
      <c r="K1686" s="38" t="s">
        <v>126</v>
      </c>
      <c r="L1686" s="41">
        <v>46006.274305555555</v>
      </c>
      <c r="M1686" s="38" t="s">
        <v>123</v>
      </c>
      <c r="N1686" s="41">
        <v>46006.31597222222</v>
      </c>
      <c r="O1686" s="38" t="s">
        <v>123</v>
      </c>
      <c r="P1686" s="38">
        <v>3600.0</v>
      </c>
      <c r="Q1686" s="39"/>
      <c r="R1686" s="39"/>
      <c r="S1686" s="39"/>
      <c r="T1686" s="39"/>
      <c r="U1686" s="39"/>
    </row>
    <row r="1687">
      <c r="A1687" s="40">
        <f t="shared" si="1"/>
        <v>46006</v>
      </c>
      <c r="B1687" s="37" t="str">
        <f t="array" ref="B1687">iferror(xlookup($I1687, 'IMPORT VHC Report'!$E:$E, 'IMPORT VHC Report'!$A:$C), )</f>
        <v/>
      </c>
      <c r="C1687" s="37"/>
      <c r="D1687" s="37"/>
      <c r="E1687" s="38" t="s">
        <v>2101</v>
      </c>
      <c r="F1687" s="38" t="s">
        <v>2096</v>
      </c>
      <c r="G1687" s="38">
        <v>1.0005722473615E13</v>
      </c>
      <c r="H1687" s="38" t="s">
        <v>2097</v>
      </c>
      <c r="I1687" s="38" t="s">
        <v>2098</v>
      </c>
      <c r="J1687" s="38" t="s">
        <v>224</v>
      </c>
      <c r="K1687" s="38" t="s">
        <v>63</v>
      </c>
      <c r="L1687" s="41">
        <v>46006.28125</v>
      </c>
      <c r="M1687" s="38" t="s">
        <v>123</v>
      </c>
      <c r="N1687" s="41">
        <v>46006.291666666664</v>
      </c>
      <c r="O1687" s="38" t="s">
        <v>123</v>
      </c>
      <c r="P1687" s="38">
        <v>900.0</v>
      </c>
      <c r="Q1687" s="39"/>
      <c r="R1687" s="39"/>
      <c r="S1687" s="39"/>
      <c r="T1687" s="39"/>
      <c r="U1687" s="39"/>
    </row>
    <row r="1688">
      <c r="A1688" s="40">
        <f t="shared" si="1"/>
        <v>46006</v>
      </c>
      <c r="B1688" s="37" t="str">
        <f t="array" ref="B1688">iferror(xlookup($I1688, 'IMPORT VHC Report'!$E:$E, 'IMPORT VHC Report'!$A:$C), )</f>
        <v/>
      </c>
      <c r="C1688" s="37"/>
      <c r="D1688" s="37"/>
      <c r="E1688" s="38" t="s">
        <v>2102</v>
      </c>
      <c r="F1688" s="38" t="s">
        <v>2096</v>
      </c>
      <c r="G1688" s="38">
        <v>1.0005722473615E13</v>
      </c>
      <c r="H1688" s="38" t="s">
        <v>2097</v>
      </c>
      <c r="I1688" s="38" t="s">
        <v>2098</v>
      </c>
      <c r="J1688" s="38" t="s">
        <v>224</v>
      </c>
      <c r="K1688" s="38" t="s">
        <v>63</v>
      </c>
      <c r="L1688" s="41">
        <v>46006.291666666664</v>
      </c>
      <c r="M1688" s="38" t="s">
        <v>123</v>
      </c>
      <c r="N1688" s="41">
        <v>46006.354166666664</v>
      </c>
      <c r="O1688" s="38" t="s">
        <v>123</v>
      </c>
      <c r="P1688" s="38">
        <v>5400.0</v>
      </c>
      <c r="Q1688" s="39"/>
      <c r="R1688" s="39"/>
      <c r="S1688" s="39"/>
      <c r="T1688" s="39"/>
      <c r="U1688" s="39"/>
    </row>
    <row r="1689">
      <c r="A1689" s="40">
        <f t="shared" si="1"/>
        <v>46006</v>
      </c>
      <c r="B1689" s="37" t="str">
        <f t="array" ref="B1689">iferror(xlookup($I1689, 'IMPORT VHC Report'!$E:$E, 'IMPORT VHC Report'!$A:$C), )</f>
        <v/>
      </c>
      <c r="C1689" s="37"/>
      <c r="D1689" s="37"/>
      <c r="E1689" s="38" t="s">
        <v>2103</v>
      </c>
      <c r="F1689" s="38" t="s">
        <v>2096</v>
      </c>
      <c r="G1689" s="38">
        <v>1.0005722473615E13</v>
      </c>
      <c r="H1689" s="38" t="s">
        <v>2097</v>
      </c>
      <c r="I1689" s="38" t="s">
        <v>2098</v>
      </c>
      <c r="J1689" s="38" t="s">
        <v>224</v>
      </c>
      <c r="K1689" s="38" t="s">
        <v>63</v>
      </c>
      <c r="L1689" s="41">
        <v>46006.354166666664</v>
      </c>
      <c r="M1689" s="38" t="s">
        <v>123</v>
      </c>
      <c r="N1689" s="41">
        <v>46006.364583333336</v>
      </c>
      <c r="O1689" s="38" t="s">
        <v>123</v>
      </c>
      <c r="P1689" s="38">
        <v>900.0</v>
      </c>
      <c r="Q1689" s="39"/>
      <c r="R1689" s="39"/>
      <c r="S1689" s="39"/>
      <c r="T1689" s="39"/>
      <c r="U1689" s="39"/>
    </row>
    <row r="1690">
      <c r="A1690" s="40">
        <f t="shared" si="1"/>
        <v>46006</v>
      </c>
      <c r="B1690" s="37" t="str">
        <f t="array" ref="B1690">iferror(xlookup($I1690, 'IMPORT VHC Report'!$E:$E, 'IMPORT VHC Report'!$A:$C), )</f>
        <v/>
      </c>
      <c r="C1690" s="37"/>
      <c r="D1690" s="37"/>
      <c r="E1690" s="38" t="s">
        <v>2104</v>
      </c>
      <c r="F1690" s="38" t="s">
        <v>2096</v>
      </c>
      <c r="G1690" s="38">
        <v>1.0005722473615E13</v>
      </c>
      <c r="H1690" s="38" t="s">
        <v>2097</v>
      </c>
      <c r="I1690" s="38" t="s">
        <v>2098</v>
      </c>
      <c r="J1690" s="38" t="s">
        <v>224</v>
      </c>
      <c r="K1690" s="38" t="s">
        <v>63</v>
      </c>
      <c r="L1690" s="41">
        <v>46006.364583333336</v>
      </c>
      <c r="M1690" s="38" t="s">
        <v>123</v>
      </c>
      <c r="N1690" s="41">
        <v>46006.4375</v>
      </c>
      <c r="O1690" s="38" t="s">
        <v>123</v>
      </c>
      <c r="P1690" s="38">
        <v>6300.0</v>
      </c>
      <c r="Q1690" s="39"/>
      <c r="R1690" s="39"/>
      <c r="S1690" s="39"/>
      <c r="T1690" s="39"/>
      <c r="U1690" s="39"/>
    </row>
    <row r="1691">
      <c r="A1691" s="40">
        <f t="shared" si="1"/>
        <v>46006</v>
      </c>
      <c r="B1691" s="37" t="str">
        <f t="array" ref="B1691">iferror(xlookup($I1691, 'IMPORT VHC Report'!$E:$E, 'IMPORT VHC Report'!$A:$C), )</f>
        <v/>
      </c>
      <c r="C1691" s="37"/>
      <c r="D1691" s="37"/>
      <c r="E1691" s="38" t="s">
        <v>2105</v>
      </c>
      <c r="F1691" s="38" t="s">
        <v>2096</v>
      </c>
      <c r="G1691" s="38">
        <v>1.0005722473615E13</v>
      </c>
      <c r="H1691" s="38" t="s">
        <v>2097</v>
      </c>
      <c r="I1691" s="38" t="s">
        <v>2098</v>
      </c>
      <c r="J1691" s="38" t="s">
        <v>224</v>
      </c>
      <c r="K1691" s="38" t="s">
        <v>63</v>
      </c>
      <c r="L1691" s="41">
        <v>46006.4375</v>
      </c>
      <c r="M1691" s="38" t="s">
        <v>123</v>
      </c>
      <c r="N1691" s="41">
        <v>46006.479166666664</v>
      </c>
      <c r="O1691" s="38" t="s">
        <v>123</v>
      </c>
      <c r="P1691" s="38">
        <v>3600.0</v>
      </c>
      <c r="Q1691" s="39"/>
      <c r="R1691" s="39"/>
      <c r="S1691" s="39"/>
      <c r="T1691" s="39"/>
      <c r="U1691" s="39"/>
    </row>
    <row r="1692">
      <c r="A1692" s="40">
        <f t="shared" si="1"/>
        <v>46006</v>
      </c>
      <c r="B1692" s="37" t="str">
        <f t="array" ref="B1692">iferror(xlookup($I1692, 'IMPORT VHC Report'!$E:$E, 'IMPORT VHC Report'!$A:$C), )</f>
        <v/>
      </c>
      <c r="C1692" s="37"/>
      <c r="D1692" s="37"/>
      <c r="E1692" s="38" t="s">
        <v>2106</v>
      </c>
      <c r="F1692" s="38" t="s">
        <v>2096</v>
      </c>
      <c r="G1692" s="38">
        <v>1.0005722473615E13</v>
      </c>
      <c r="H1692" s="38" t="s">
        <v>2097</v>
      </c>
      <c r="I1692" s="38" t="s">
        <v>2098</v>
      </c>
      <c r="J1692" s="38" t="s">
        <v>224</v>
      </c>
      <c r="K1692" s="38" t="s">
        <v>63</v>
      </c>
      <c r="L1692" s="41">
        <v>46006.479166666664</v>
      </c>
      <c r="M1692" s="38" t="s">
        <v>123</v>
      </c>
      <c r="N1692" s="41">
        <v>46006.541666666664</v>
      </c>
      <c r="O1692" s="38" t="s">
        <v>123</v>
      </c>
      <c r="P1692" s="38">
        <v>5400.0</v>
      </c>
      <c r="Q1692" s="39"/>
      <c r="R1692" s="39"/>
      <c r="S1692" s="39"/>
      <c r="T1692" s="39"/>
      <c r="U1692" s="39"/>
    </row>
    <row r="1693">
      <c r="A1693" s="40">
        <f t="shared" si="1"/>
        <v>46006</v>
      </c>
      <c r="B1693" s="37" t="str">
        <f t="array" ref="B1693">iferror(xlookup($I1693, 'IMPORT VHC Report'!$E:$E, 'IMPORT VHC Report'!$A:$C), )</f>
        <v/>
      </c>
      <c r="C1693" s="37"/>
      <c r="D1693" s="37"/>
      <c r="E1693" s="38" t="s">
        <v>2107</v>
      </c>
      <c r="F1693" s="38" t="s">
        <v>2096</v>
      </c>
      <c r="G1693" s="38">
        <v>1.0005722473615E13</v>
      </c>
      <c r="H1693" s="38" t="s">
        <v>2097</v>
      </c>
      <c r="I1693" s="38" t="s">
        <v>2098</v>
      </c>
      <c r="J1693" s="38" t="s">
        <v>224</v>
      </c>
      <c r="K1693" s="38" t="s">
        <v>63</v>
      </c>
      <c r="L1693" s="41">
        <v>46007.166666666664</v>
      </c>
      <c r="M1693" s="38" t="s">
        <v>123</v>
      </c>
      <c r="N1693" s="41">
        <v>46007.25</v>
      </c>
      <c r="O1693" s="38" t="s">
        <v>123</v>
      </c>
      <c r="P1693" s="38">
        <v>7200.0</v>
      </c>
      <c r="Q1693" s="39"/>
      <c r="R1693" s="39"/>
      <c r="S1693" s="39"/>
      <c r="T1693" s="39"/>
      <c r="U1693" s="39"/>
    </row>
    <row r="1694">
      <c r="A1694" s="40">
        <f t="shared" si="1"/>
        <v>46006</v>
      </c>
      <c r="B1694" s="37" t="str">
        <f t="array" ref="B1694">iferror(xlookup($I1694, 'IMPORT VHC Report'!$E:$E, 'IMPORT VHC Report'!$A:$C), )</f>
        <v/>
      </c>
      <c r="C1694" s="37"/>
      <c r="D1694" s="37"/>
      <c r="E1694" s="38" t="s">
        <v>2108</v>
      </c>
      <c r="F1694" s="38" t="s">
        <v>2096</v>
      </c>
      <c r="G1694" s="38">
        <v>1.0005722473615E13</v>
      </c>
      <c r="H1694" s="38" t="s">
        <v>2097</v>
      </c>
      <c r="I1694" s="38" t="s">
        <v>2098</v>
      </c>
      <c r="J1694" s="38" t="s">
        <v>134</v>
      </c>
      <c r="K1694" s="38" t="s">
        <v>126</v>
      </c>
      <c r="L1694" s="41">
        <v>46007.25</v>
      </c>
      <c r="M1694" s="38" t="s">
        <v>123</v>
      </c>
      <c r="N1694" s="41">
        <v>46007.260416666664</v>
      </c>
      <c r="O1694" s="38" t="s">
        <v>123</v>
      </c>
      <c r="P1694" s="38">
        <v>900.0</v>
      </c>
      <c r="Q1694" s="39"/>
      <c r="R1694" s="39"/>
      <c r="S1694" s="39"/>
      <c r="T1694" s="39"/>
      <c r="U1694" s="39"/>
    </row>
    <row r="1695">
      <c r="A1695" s="40">
        <f t="shared" si="1"/>
        <v>46006</v>
      </c>
      <c r="B1695" s="37" t="str">
        <f t="array" ref="B1695">iferror(xlookup($I1695, 'IMPORT VHC Report'!$E:$E, 'IMPORT VHC Report'!$A:$C), )</f>
        <v/>
      </c>
      <c r="C1695" s="37"/>
      <c r="D1695" s="37"/>
      <c r="E1695" s="38" t="s">
        <v>2109</v>
      </c>
      <c r="F1695" s="38" t="s">
        <v>2096</v>
      </c>
      <c r="G1695" s="38">
        <v>1.0005722473615E13</v>
      </c>
      <c r="H1695" s="38" t="s">
        <v>2097</v>
      </c>
      <c r="I1695" s="38" t="s">
        <v>2098</v>
      </c>
      <c r="J1695" s="38" t="s">
        <v>224</v>
      </c>
      <c r="K1695" s="38" t="s">
        <v>63</v>
      </c>
      <c r="L1695" s="41">
        <v>46007.260416666664</v>
      </c>
      <c r="M1695" s="38" t="s">
        <v>123</v>
      </c>
      <c r="N1695" s="41">
        <v>46007.322916666664</v>
      </c>
      <c r="O1695" s="38" t="s">
        <v>123</v>
      </c>
      <c r="P1695" s="38">
        <v>5400.0</v>
      </c>
      <c r="Q1695" s="39"/>
      <c r="R1695" s="39"/>
      <c r="S1695" s="39"/>
      <c r="T1695" s="39"/>
      <c r="U1695" s="39"/>
    </row>
    <row r="1696">
      <c r="A1696" s="40">
        <f t="shared" si="1"/>
        <v>46006</v>
      </c>
      <c r="B1696" s="37" t="str">
        <f t="array" ref="B1696">iferror(xlookup($I1696, 'IMPORT VHC Report'!$E:$E, 'IMPORT VHC Report'!$A:$C), )</f>
        <v/>
      </c>
      <c r="C1696" s="37"/>
      <c r="D1696" s="37"/>
      <c r="E1696" s="38" t="s">
        <v>2110</v>
      </c>
      <c r="F1696" s="38" t="s">
        <v>2096</v>
      </c>
      <c r="G1696" s="38">
        <v>1.0005722473615E13</v>
      </c>
      <c r="H1696" s="38" t="s">
        <v>2097</v>
      </c>
      <c r="I1696" s="38" t="s">
        <v>2098</v>
      </c>
      <c r="J1696" s="38" t="s">
        <v>132</v>
      </c>
      <c r="K1696" s="38" t="s">
        <v>126</v>
      </c>
      <c r="L1696" s="41">
        <v>46007.322916666664</v>
      </c>
      <c r="M1696" s="38" t="s">
        <v>123</v>
      </c>
      <c r="N1696" s="41">
        <v>46007.364583333336</v>
      </c>
      <c r="O1696" s="38" t="s">
        <v>123</v>
      </c>
      <c r="P1696" s="38">
        <v>3600.0</v>
      </c>
      <c r="Q1696" s="39"/>
      <c r="R1696" s="39"/>
      <c r="S1696" s="39"/>
      <c r="T1696" s="39"/>
      <c r="U1696" s="39"/>
    </row>
    <row r="1697">
      <c r="A1697" s="40">
        <f t="shared" si="1"/>
        <v>46006</v>
      </c>
      <c r="B1697" s="37" t="str">
        <f t="array" ref="B1697">iferror(xlookup($I1697, 'IMPORT VHC Report'!$E:$E, 'IMPORT VHC Report'!$A:$C), )</f>
        <v/>
      </c>
      <c r="C1697" s="37"/>
      <c r="D1697" s="37"/>
      <c r="E1697" s="38" t="s">
        <v>2111</v>
      </c>
      <c r="F1697" s="38" t="s">
        <v>2096</v>
      </c>
      <c r="G1697" s="38">
        <v>1.0005722473615E13</v>
      </c>
      <c r="H1697" s="38" t="s">
        <v>2097</v>
      </c>
      <c r="I1697" s="38" t="s">
        <v>2098</v>
      </c>
      <c r="J1697" s="38" t="s">
        <v>224</v>
      </c>
      <c r="K1697" s="38" t="s">
        <v>63</v>
      </c>
      <c r="L1697" s="41">
        <v>46007.364583333336</v>
      </c>
      <c r="M1697" s="38" t="s">
        <v>123</v>
      </c>
      <c r="N1697" s="41">
        <v>46007.427083333336</v>
      </c>
      <c r="O1697" s="38" t="s">
        <v>123</v>
      </c>
      <c r="P1697" s="38">
        <v>5400.0</v>
      </c>
      <c r="Q1697" s="39"/>
      <c r="R1697" s="39"/>
      <c r="S1697" s="39"/>
      <c r="T1697" s="39"/>
      <c r="U1697" s="39"/>
    </row>
    <row r="1698">
      <c r="A1698" s="40">
        <f t="shared" si="1"/>
        <v>46006</v>
      </c>
      <c r="B1698" s="37" t="str">
        <f t="array" ref="B1698">iferror(xlookup($I1698, 'IMPORT VHC Report'!$E:$E, 'IMPORT VHC Report'!$A:$C), )</f>
        <v/>
      </c>
      <c r="C1698" s="37"/>
      <c r="D1698" s="37"/>
      <c r="E1698" s="38" t="s">
        <v>2112</v>
      </c>
      <c r="F1698" s="38" t="s">
        <v>2096</v>
      </c>
      <c r="G1698" s="38">
        <v>1.0005722473615E13</v>
      </c>
      <c r="H1698" s="38" t="s">
        <v>2097</v>
      </c>
      <c r="I1698" s="38" t="s">
        <v>2098</v>
      </c>
      <c r="J1698" s="38" t="s">
        <v>134</v>
      </c>
      <c r="K1698" s="38" t="s">
        <v>126</v>
      </c>
      <c r="L1698" s="41">
        <v>46007.427083333336</v>
      </c>
      <c r="M1698" s="38" t="s">
        <v>123</v>
      </c>
      <c r="N1698" s="41">
        <v>46007.4375</v>
      </c>
      <c r="O1698" s="38" t="s">
        <v>123</v>
      </c>
      <c r="P1698" s="38">
        <v>900.0</v>
      </c>
      <c r="Q1698" s="39"/>
      <c r="R1698" s="39"/>
      <c r="S1698" s="39"/>
      <c r="T1698" s="39"/>
      <c r="U1698" s="39"/>
    </row>
    <row r="1699">
      <c r="A1699" s="40">
        <f t="shared" si="1"/>
        <v>46006</v>
      </c>
      <c r="B1699" s="37" t="str">
        <f t="array" ref="B1699">iferror(xlookup($I1699, 'IMPORT VHC Report'!$E:$E, 'IMPORT VHC Report'!$A:$C), )</f>
        <v/>
      </c>
      <c r="C1699" s="37"/>
      <c r="D1699" s="37"/>
      <c r="E1699" s="38" t="s">
        <v>2113</v>
      </c>
      <c r="F1699" s="38" t="s">
        <v>2096</v>
      </c>
      <c r="G1699" s="38">
        <v>1.0005722473615E13</v>
      </c>
      <c r="H1699" s="38" t="s">
        <v>2097</v>
      </c>
      <c r="I1699" s="38" t="s">
        <v>2098</v>
      </c>
      <c r="J1699" s="38" t="s">
        <v>224</v>
      </c>
      <c r="K1699" s="38" t="s">
        <v>63</v>
      </c>
      <c r="L1699" s="41">
        <v>46007.4375</v>
      </c>
      <c r="M1699" s="38" t="s">
        <v>123</v>
      </c>
      <c r="N1699" s="41">
        <v>46007.541666666664</v>
      </c>
      <c r="O1699" s="38" t="s">
        <v>123</v>
      </c>
      <c r="P1699" s="38">
        <v>9000.0</v>
      </c>
      <c r="Q1699" s="39"/>
      <c r="R1699" s="39"/>
      <c r="S1699" s="39"/>
      <c r="T1699" s="39"/>
      <c r="U1699" s="39"/>
    </row>
    <row r="1700">
      <c r="A1700" s="40">
        <f t="shared" si="1"/>
        <v>46006</v>
      </c>
      <c r="B1700" s="37" t="str">
        <f t="array" ref="B1700">iferror(xlookup($I1700, 'IMPORT VHC Report'!$E:$E, 'IMPORT VHC Report'!$A:$C), )</f>
        <v/>
      </c>
      <c r="C1700" s="37"/>
      <c r="D1700" s="37"/>
      <c r="E1700" s="38" t="s">
        <v>2114</v>
      </c>
      <c r="F1700" s="38" t="s">
        <v>2096</v>
      </c>
      <c r="G1700" s="38">
        <v>1.0005722473615E13</v>
      </c>
      <c r="H1700" s="38" t="s">
        <v>2097</v>
      </c>
      <c r="I1700" s="38" t="s">
        <v>2098</v>
      </c>
      <c r="J1700" s="38" t="s">
        <v>224</v>
      </c>
      <c r="K1700" s="38" t="s">
        <v>63</v>
      </c>
      <c r="L1700" s="41">
        <v>46008.166666666664</v>
      </c>
      <c r="M1700" s="38" t="s">
        <v>123</v>
      </c>
      <c r="N1700" s="41">
        <v>46008.25</v>
      </c>
      <c r="O1700" s="38" t="s">
        <v>123</v>
      </c>
      <c r="P1700" s="38">
        <v>7200.0</v>
      </c>
      <c r="Q1700" s="39"/>
      <c r="R1700" s="39"/>
      <c r="S1700" s="39"/>
      <c r="T1700" s="39"/>
      <c r="U1700" s="39"/>
    </row>
    <row r="1701">
      <c r="A1701" s="40">
        <f t="shared" si="1"/>
        <v>46006</v>
      </c>
      <c r="B1701" s="37" t="str">
        <f t="array" ref="B1701">iferror(xlookup($I1701, 'IMPORT VHC Report'!$E:$E, 'IMPORT VHC Report'!$A:$C), )</f>
        <v/>
      </c>
      <c r="C1701" s="37"/>
      <c r="D1701" s="37"/>
      <c r="E1701" s="38" t="s">
        <v>2115</v>
      </c>
      <c r="F1701" s="38" t="s">
        <v>2096</v>
      </c>
      <c r="G1701" s="38">
        <v>1.0005722473615E13</v>
      </c>
      <c r="H1701" s="38" t="s">
        <v>2097</v>
      </c>
      <c r="I1701" s="38" t="s">
        <v>2098</v>
      </c>
      <c r="J1701" s="38" t="s">
        <v>134</v>
      </c>
      <c r="K1701" s="38" t="s">
        <v>126</v>
      </c>
      <c r="L1701" s="41">
        <v>46008.25</v>
      </c>
      <c r="M1701" s="38" t="s">
        <v>123</v>
      </c>
      <c r="N1701" s="41">
        <v>46008.260416666664</v>
      </c>
      <c r="O1701" s="38" t="s">
        <v>123</v>
      </c>
      <c r="P1701" s="38">
        <v>900.0</v>
      </c>
      <c r="Q1701" s="39"/>
      <c r="R1701" s="39"/>
      <c r="S1701" s="39"/>
      <c r="T1701" s="39"/>
      <c r="U1701" s="39"/>
    </row>
    <row r="1702">
      <c r="A1702" s="40">
        <f t="shared" si="1"/>
        <v>46006</v>
      </c>
      <c r="B1702" s="37" t="str">
        <f t="array" ref="B1702">iferror(xlookup($I1702, 'IMPORT VHC Report'!$E:$E, 'IMPORT VHC Report'!$A:$C), )</f>
        <v/>
      </c>
      <c r="C1702" s="37"/>
      <c r="D1702" s="37"/>
      <c r="E1702" s="38" t="s">
        <v>2116</v>
      </c>
      <c r="F1702" s="38" t="s">
        <v>2096</v>
      </c>
      <c r="G1702" s="38">
        <v>1.0005722473615E13</v>
      </c>
      <c r="H1702" s="38" t="s">
        <v>2097</v>
      </c>
      <c r="I1702" s="38" t="s">
        <v>2098</v>
      </c>
      <c r="J1702" s="38" t="s">
        <v>224</v>
      </c>
      <c r="K1702" s="38" t="s">
        <v>63</v>
      </c>
      <c r="L1702" s="41">
        <v>46008.260416666664</v>
      </c>
      <c r="M1702" s="38" t="s">
        <v>123</v>
      </c>
      <c r="N1702" s="41">
        <v>46008.322916666664</v>
      </c>
      <c r="O1702" s="38" t="s">
        <v>123</v>
      </c>
      <c r="P1702" s="38">
        <v>5400.0</v>
      </c>
      <c r="Q1702" s="39"/>
      <c r="R1702" s="39"/>
      <c r="S1702" s="39"/>
      <c r="T1702" s="39"/>
      <c r="U1702" s="39"/>
    </row>
    <row r="1703">
      <c r="A1703" s="40">
        <f t="shared" si="1"/>
        <v>46006</v>
      </c>
      <c r="B1703" s="37" t="str">
        <f t="array" ref="B1703">iferror(xlookup($I1703, 'IMPORT VHC Report'!$E:$E, 'IMPORT VHC Report'!$A:$C), )</f>
        <v/>
      </c>
      <c r="C1703" s="37"/>
      <c r="D1703" s="37"/>
      <c r="E1703" s="38" t="s">
        <v>2117</v>
      </c>
      <c r="F1703" s="38" t="s">
        <v>2096</v>
      </c>
      <c r="G1703" s="38">
        <v>1.0005722473615E13</v>
      </c>
      <c r="H1703" s="38" t="s">
        <v>2097</v>
      </c>
      <c r="I1703" s="38" t="s">
        <v>2098</v>
      </c>
      <c r="J1703" s="38" t="s">
        <v>132</v>
      </c>
      <c r="K1703" s="38" t="s">
        <v>126</v>
      </c>
      <c r="L1703" s="41">
        <v>46008.322916666664</v>
      </c>
      <c r="M1703" s="38" t="s">
        <v>123</v>
      </c>
      <c r="N1703" s="41">
        <v>46008.364583333336</v>
      </c>
      <c r="O1703" s="38" t="s">
        <v>123</v>
      </c>
      <c r="P1703" s="38">
        <v>3600.0</v>
      </c>
      <c r="Q1703" s="39"/>
      <c r="R1703" s="39"/>
      <c r="S1703" s="39"/>
      <c r="T1703" s="39"/>
      <c r="U1703" s="39"/>
    </row>
    <row r="1704">
      <c r="A1704" s="40">
        <f t="shared" si="1"/>
        <v>46006</v>
      </c>
      <c r="B1704" s="37" t="str">
        <f t="array" ref="B1704">iferror(xlookup($I1704, 'IMPORT VHC Report'!$E:$E, 'IMPORT VHC Report'!$A:$C), )</f>
        <v/>
      </c>
      <c r="C1704" s="37"/>
      <c r="D1704" s="37"/>
      <c r="E1704" s="38" t="s">
        <v>2118</v>
      </c>
      <c r="F1704" s="38" t="s">
        <v>2096</v>
      </c>
      <c r="G1704" s="38">
        <v>1.0005722473615E13</v>
      </c>
      <c r="H1704" s="38" t="s">
        <v>2097</v>
      </c>
      <c r="I1704" s="38" t="s">
        <v>2098</v>
      </c>
      <c r="J1704" s="38" t="s">
        <v>224</v>
      </c>
      <c r="K1704" s="38" t="s">
        <v>63</v>
      </c>
      <c r="L1704" s="41">
        <v>46008.364583333336</v>
      </c>
      <c r="M1704" s="38" t="s">
        <v>123</v>
      </c>
      <c r="N1704" s="41">
        <v>46008.458333333336</v>
      </c>
      <c r="O1704" s="38" t="s">
        <v>123</v>
      </c>
      <c r="P1704" s="38">
        <v>8100.0</v>
      </c>
      <c r="Q1704" s="39"/>
      <c r="R1704" s="39"/>
      <c r="S1704" s="39"/>
      <c r="T1704" s="39"/>
      <c r="U1704" s="39"/>
    </row>
    <row r="1705">
      <c r="A1705" s="40">
        <f t="shared" si="1"/>
        <v>46006</v>
      </c>
      <c r="B1705" s="37" t="str">
        <f t="array" ref="B1705">iferror(xlookup($I1705, 'IMPORT VHC Report'!$E:$E, 'IMPORT VHC Report'!$A:$C), )</f>
        <v/>
      </c>
      <c r="C1705" s="37"/>
      <c r="D1705" s="37"/>
      <c r="E1705" s="38" t="s">
        <v>2119</v>
      </c>
      <c r="F1705" s="38" t="s">
        <v>2096</v>
      </c>
      <c r="G1705" s="38">
        <v>1.0005722473615E13</v>
      </c>
      <c r="H1705" s="38" t="s">
        <v>2097</v>
      </c>
      <c r="I1705" s="38" t="s">
        <v>2098</v>
      </c>
      <c r="J1705" s="38" t="s">
        <v>134</v>
      </c>
      <c r="K1705" s="38" t="s">
        <v>126</v>
      </c>
      <c r="L1705" s="41">
        <v>46008.458333333336</v>
      </c>
      <c r="M1705" s="38" t="s">
        <v>123</v>
      </c>
      <c r="N1705" s="41">
        <v>46008.46875</v>
      </c>
      <c r="O1705" s="38" t="s">
        <v>123</v>
      </c>
      <c r="P1705" s="38">
        <v>900.0</v>
      </c>
      <c r="Q1705" s="39"/>
      <c r="R1705" s="39"/>
      <c r="S1705" s="39"/>
      <c r="T1705" s="39"/>
      <c r="U1705" s="39"/>
    </row>
    <row r="1706">
      <c r="A1706" s="40">
        <f t="shared" si="1"/>
        <v>46006</v>
      </c>
      <c r="B1706" s="37" t="str">
        <f t="array" ref="B1706">iferror(xlookup($I1706, 'IMPORT VHC Report'!$E:$E, 'IMPORT VHC Report'!$A:$C), )</f>
        <v/>
      </c>
      <c r="C1706" s="37"/>
      <c r="D1706" s="37"/>
      <c r="E1706" s="38" t="s">
        <v>2120</v>
      </c>
      <c r="F1706" s="38" t="s">
        <v>2096</v>
      </c>
      <c r="G1706" s="38">
        <v>1.0005722473615E13</v>
      </c>
      <c r="H1706" s="38" t="s">
        <v>2097</v>
      </c>
      <c r="I1706" s="38" t="s">
        <v>2098</v>
      </c>
      <c r="J1706" s="38" t="s">
        <v>224</v>
      </c>
      <c r="K1706" s="38" t="s">
        <v>63</v>
      </c>
      <c r="L1706" s="41">
        <v>46008.46875</v>
      </c>
      <c r="M1706" s="38" t="s">
        <v>123</v>
      </c>
      <c r="N1706" s="41">
        <v>46008.5</v>
      </c>
      <c r="O1706" s="38" t="s">
        <v>123</v>
      </c>
      <c r="P1706" s="38">
        <v>2700.0</v>
      </c>
      <c r="Q1706" s="39"/>
      <c r="R1706" s="39"/>
      <c r="S1706" s="39"/>
      <c r="T1706" s="39"/>
      <c r="U1706" s="39"/>
    </row>
    <row r="1707">
      <c r="A1707" s="40">
        <f t="shared" si="1"/>
        <v>46006</v>
      </c>
      <c r="B1707" s="37" t="str">
        <f t="array" ref="B1707">iferror(xlookup($I1707, 'IMPORT VHC Report'!$E:$E, 'IMPORT VHC Report'!$A:$C), )</f>
        <v/>
      </c>
      <c r="C1707" s="37"/>
      <c r="D1707" s="37"/>
      <c r="E1707" s="38" t="s">
        <v>2121</v>
      </c>
      <c r="F1707" s="38" t="s">
        <v>2096</v>
      </c>
      <c r="G1707" s="38">
        <v>1.0005722473615E13</v>
      </c>
      <c r="H1707" s="38" t="s">
        <v>2097</v>
      </c>
      <c r="I1707" s="38" t="s">
        <v>2098</v>
      </c>
      <c r="J1707" s="38" t="s">
        <v>62</v>
      </c>
      <c r="K1707" s="38" t="s">
        <v>63</v>
      </c>
      <c r="L1707" s="41">
        <v>46008.5</v>
      </c>
      <c r="M1707" s="38" t="s">
        <v>123</v>
      </c>
      <c r="N1707" s="41">
        <v>46008.520833333336</v>
      </c>
      <c r="O1707" s="38" t="s">
        <v>123</v>
      </c>
      <c r="P1707" s="38">
        <v>1800.0</v>
      </c>
      <c r="Q1707" s="39"/>
      <c r="R1707" s="39"/>
      <c r="S1707" s="39"/>
      <c r="T1707" s="39"/>
      <c r="U1707" s="39"/>
    </row>
    <row r="1708">
      <c r="A1708" s="40">
        <f t="shared" si="1"/>
        <v>46006</v>
      </c>
      <c r="B1708" s="37" t="str">
        <f t="array" ref="B1708">iferror(xlookup($I1708, 'IMPORT VHC Report'!$E:$E, 'IMPORT VHC Report'!$A:$C), )</f>
        <v/>
      </c>
      <c r="C1708" s="37"/>
      <c r="D1708" s="37"/>
      <c r="E1708" s="38" t="s">
        <v>2122</v>
      </c>
      <c r="F1708" s="38" t="s">
        <v>2096</v>
      </c>
      <c r="G1708" s="38">
        <v>1.0005722473615E13</v>
      </c>
      <c r="H1708" s="38" t="s">
        <v>2097</v>
      </c>
      <c r="I1708" s="38" t="s">
        <v>2098</v>
      </c>
      <c r="J1708" s="38" t="s">
        <v>224</v>
      </c>
      <c r="K1708" s="38" t="s">
        <v>63</v>
      </c>
      <c r="L1708" s="41">
        <v>46008.520833333336</v>
      </c>
      <c r="M1708" s="38" t="s">
        <v>123</v>
      </c>
      <c r="N1708" s="41">
        <v>46008.541666666664</v>
      </c>
      <c r="O1708" s="38" t="s">
        <v>123</v>
      </c>
      <c r="P1708" s="38">
        <v>1800.0</v>
      </c>
      <c r="Q1708" s="39"/>
      <c r="R1708" s="39"/>
      <c r="S1708" s="39"/>
      <c r="T1708" s="39"/>
      <c r="U1708" s="39"/>
    </row>
    <row r="1709">
      <c r="A1709" s="40">
        <f t="shared" si="1"/>
        <v>46006</v>
      </c>
      <c r="B1709" s="37" t="str">
        <f t="array" ref="B1709">iferror(xlookup($I1709, 'IMPORT VHC Report'!$E:$E, 'IMPORT VHC Report'!$A:$C), )</f>
        <v/>
      </c>
      <c r="C1709" s="37"/>
      <c r="D1709" s="37"/>
      <c r="E1709" s="38" t="s">
        <v>2123</v>
      </c>
      <c r="F1709" s="38" t="s">
        <v>2096</v>
      </c>
      <c r="G1709" s="38">
        <v>1.0005722473615E13</v>
      </c>
      <c r="H1709" s="38" t="s">
        <v>2097</v>
      </c>
      <c r="I1709" s="38" t="s">
        <v>2098</v>
      </c>
      <c r="J1709" s="38" t="s">
        <v>224</v>
      </c>
      <c r="K1709" s="38" t="s">
        <v>63</v>
      </c>
      <c r="L1709" s="41">
        <v>46009.166666666664</v>
      </c>
      <c r="M1709" s="38" t="s">
        <v>123</v>
      </c>
      <c r="N1709" s="41">
        <v>46009.479166666664</v>
      </c>
      <c r="O1709" s="38" t="s">
        <v>123</v>
      </c>
      <c r="P1709" s="38">
        <v>27000.0</v>
      </c>
      <c r="Q1709" s="39"/>
      <c r="R1709" s="39"/>
      <c r="S1709" s="39"/>
      <c r="T1709" s="39"/>
      <c r="U1709" s="39"/>
    </row>
    <row r="1710">
      <c r="A1710" s="40">
        <f t="shared" si="1"/>
        <v>46006</v>
      </c>
      <c r="B1710" s="37" t="str">
        <f t="array" ref="B1710">iferror(xlookup($I1710, 'IMPORT VHC Report'!$E:$E, 'IMPORT VHC Report'!$A:$C), )</f>
        <v/>
      </c>
      <c r="C1710" s="37"/>
      <c r="D1710" s="37"/>
      <c r="E1710" s="38" t="s">
        <v>2124</v>
      </c>
      <c r="F1710" s="38" t="s">
        <v>2096</v>
      </c>
      <c r="G1710" s="38">
        <v>1.0005722473615E13</v>
      </c>
      <c r="H1710" s="38" t="s">
        <v>2097</v>
      </c>
      <c r="I1710" s="38" t="s">
        <v>2098</v>
      </c>
      <c r="J1710" s="38" t="s">
        <v>132</v>
      </c>
      <c r="K1710" s="38" t="s">
        <v>126</v>
      </c>
      <c r="L1710" s="41">
        <v>46009.479166666664</v>
      </c>
      <c r="M1710" s="38" t="s">
        <v>123</v>
      </c>
      <c r="N1710" s="41">
        <v>46009.520833333336</v>
      </c>
      <c r="O1710" s="38" t="s">
        <v>123</v>
      </c>
      <c r="P1710" s="38">
        <v>3600.0</v>
      </c>
      <c r="Q1710" s="39"/>
      <c r="R1710" s="39"/>
      <c r="S1710" s="39"/>
      <c r="T1710" s="39"/>
      <c r="U1710" s="39"/>
    </row>
    <row r="1711">
      <c r="A1711" s="40">
        <f t="shared" si="1"/>
        <v>46006</v>
      </c>
      <c r="B1711" s="37" t="str">
        <f t="array" ref="B1711">iferror(xlookup($I1711, 'IMPORT VHC Report'!$E:$E, 'IMPORT VHC Report'!$A:$C), )</f>
        <v/>
      </c>
      <c r="C1711" s="37"/>
      <c r="D1711" s="37"/>
      <c r="E1711" s="38" t="s">
        <v>2125</v>
      </c>
      <c r="F1711" s="38" t="s">
        <v>2096</v>
      </c>
      <c r="G1711" s="38">
        <v>1.0005722473615E13</v>
      </c>
      <c r="H1711" s="38" t="s">
        <v>2097</v>
      </c>
      <c r="I1711" s="38" t="s">
        <v>2098</v>
      </c>
      <c r="J1711" s="38" t="s">
        <v>224</v>
      </c>
      <c r="K1711" s="38" t="s">
        <v>63</v>
      </c>
      <c r="L1711" s="41">
        <v>46009.479166666664</v>
      </c>
      <c r="M1711" s="38" t="s">
        <v>123</v>
      </c>
      <c r="N1711" s="41">
        <v>46009.541666666664</v>
      </c>
      <c r="O1711" s="38" t="s">
        <v>123</v>
      </c>
      <c r="P1711" s="38">
        <v>5400.0</v>
      </c>
      <c r="Q1711" s="39"/>
      <c r="R1711" s="39"/>
      <c r="S1711" s="39"/>
      <c r="T1711" s="39"/>
      <c r="U1711" s="39"/>
    </row>
    <row r="1712">
      <c r="A1712" s="40">
        <f t="shared" si="1"/>
        <v>46006</v>
      </c>
      <c r="B1712" s="37" t="str">
        <f t="array" ref="B1712">iferror(xlookup($I1712, 'IMPORT VHC Report'!$E:$E, 'IMPORT VHC Report'!$A:$C), )</f>
        <v/>
      </c>
      <c r="C1712" s="37"/>
      <c r="D1712" s="37"/>
      <c r="E1712" s="38" t="s">
        <v>2126</v>
      </c>
      <c r="F1712" s="38" t="s">
        <v>2096</v>
      </c>
      <c r="G1712" s="38">
        <v>1.0005722473615E13</v>
      </c>
      <c r="H1712" s="38" t="s">
        <v>2097</v>
      </c>
      <c r="I1712" s="38" t="s">
        <v>2098</v>
      </c>
      <c r="J1712" s="38" t="s">
        <v>134</v>
      </c>
      <c r="K1712" s="38" t="s">
        <v>126</v>
      </c>
      <c r="L1712" s="41">
        <v>46009.520833333336</v>
      </c>
      <c r="M1712" s="38" t="s">
        <v>123</v>
      </c>
      <c r="N1712" s="41">
        <v>46009.541666666664</v>
      </c>
      <c r="O1712" s="38" t="s">
        <v>123</v>
      </c>
      <c r="P1712" s="38">
        <v>1800.0</v>
      </c>
      <c r="Q1712" s="39"/>
      <c r="R1712" s="39"/>
      <c r="S1712" s="39"/>
      <c r="T1712" s="39"/>
      <c r="U1712" s="39"/>
    </row>
    <row r="1713">
      <c r="A1713" s="40">
        <f t="shared" si="1"/>
        <v>46006</v>
      </c>
      <c r="B1713" s="37" t="str">
        <f t="array" ref="B1713">iferror(xlookup($I1713, 'IMPORT VHC Report'!$E:$E, 'IMPORT VHC Report'!$A:$C), )</f>
        <v/>
      </c>
      <c r="C1713" s="37"/>
      <c r="D1713" s="37"/>
      <c r="E1713" s="38" t="s">
        <v>2127</v>
      </c>
      <c r="F1713" s="38" t="s">
        <v>2096</v>
      </c>
      <c r="G1713" s="38">
        <v>1.0005722473615E13</v>
      </c>
      <c r="H1713" s="38" t="s">
        <v>2097</v>
      </c>
      <c r="I1713" s="38" t="s">
        <v>2098</v>
      </c>
      <c r="J1713" s="38" t="s">
        <v>224</v>
      </c>
      <c r="K1713" s="38" t="s">
        <v>63</v>
      </c>
      <c r="L1713" s="41">
        <v>46010.166666666664</v>
      </c>
      <c r="M1713" s="38" t="s">
        <v>123</v>
      </c>
      <c r="N1713" s="41">
        <v>46010.458333333336</v>
      </c>
      <c r="O1713" s="38" t="s">
        <v>123</v>
      </c>
      <c r="P1713" s="38">
        <v>25200.0</v>
      </c>
      <c r="Q1713" s="39"/>
      <c r="R1713" s="39"/>
      <c r="S1713" s="39"/>
      <c r="T1713" s="39"/>
      <c r="U1713" s="39"/>
    </row>
    <row r="1714">
      <c r="A1714" s="40">
        <f t="shared" si="1"/>
        <v>46006</v>
      </c>
      <c r="B1714" s="37" t="str">
        <f t="array" ref="B1714">iferror(xlookup($I1714, 'IMPORT VHC Report'!$E:$E, 'IMPORT VHC Report'!$A:$C), )</f>
        <v/>
      </c>
      <c r="C1714" s="37"/>
      <c r="D1714" s="37"/>
      <c r="E1714" s="38" t="s">
        <v>2128</v>
      </c>
      <c r="F1714" s="38" t="s">
        <v>2096</v>
      </c>
      <c r="G1714" s="38">
        <v>1.0005722473615E13</v>
      </c>
      <c r="H1714" s="38" t="s">
        <v>2097</v>
      </c>
      <c r="I1714" s="38" t="s">
        <v>2098</v>
      </c>
      <c r="J1714" s="38" t="s">
        <v>224</v>
      </c>
      <c r="K1714" s="38" t="s">
        <v>63</v>
      </c>
      <c r="L1714" s="41">
        <v>46010.458333333336</v>
      </c>
      <c r="M1714" s="38" t="s">
        <v>123</v>
      </c>
      <c r="N1714" s="41">
        <v>46010.541666666664</v>
      </c>
      <c r="O1714" s="38" t="s">
        <v>123</v>
      </c>
      <c r="P1714" s="38">
        <v>7200.0</v>
      </c>
      <c r="Q1714" s="39"/>
      <c r="R1714" s="39"/>
      <c r="S1714" s="39"/>
      <c r="T1714" s="39"/>
      <c r="U1714" s="39"/>
    </row>
    <row r="1715">
      <c r="A1715" s="40">
        <f t="shared" si="1"/>
        <v>46006</v>
      </c>
      <c r="B1715" s="37" t="str">
        <f t="array" ref="B1715">iferror(xlookup($I1715, 'IMPORT VHC Report'!$E:$E, 'IMPORT VHC Report'!$A:$C), )</f>
        <v/>
      </c>
      <c r="C1715" s="37"/>
      <c r="D1715" s="37"/>
      <c r="E1715" s="38" t="s">
        <v>2129</v>
      </c>
      <c r="F1715" s="38" t="s">
        <v>2096</v>
      </c>
      <c r="G1715" s="38">
        <v>1.0005722473615E13</v>
      </c>
      <c r="H1715" s="38" t="s">
        <v>2097</v>
      </c>
      <c r="I1715" s="38" t="s">
        <v>2098</v>
      </c>
      <c r="J1715" s="38" t="s">
        <v>132</v>
      </c>
      <c r="K1715" s="38" t="s">
        <v>126</v>
      </c>
      <c r="L1715" s="41">
        <v>46010.479166666664</v>
      </c>
      <c r="M1715" s="38" t="s">
        <v>123</v>
      </c>
      <c r="N1715" s="41">
        <v>46010.520833333336</v>
      </c>
      <c r="O1715" s="38" t="s">
        <v>123</v>
      </c>
      <c r="P1715" s="38">
        <v>3600.0</v>
      </c>
      <c r="Q1715" s="39"/>
      <c r="R1715" s="39"/>
      <c r="S1715" s="39"/>
      <c r="T1715" s="39"/>
      <c r="U1715" s="39"/>
    </row>
    <row r="1716">
      <c r="A1716" s="40">
        <f t="shared" si="1"/>
        <v>46006</v>
      </c>
      <c r="B1716" s="37" t="str">
        <f t="array" ref="B1716">iferror(xlookup($I1716, 'IMPORT VHC Report'!$E:$E, 'IMPORT VHC Report'!$A:$C), )</f>
        <v/>
      </c>
      <c r="C1716" s="37"/>
      <c r="D1716" s="37"/>
      <c r="E1716" s="38" t="s">
        <v>2130</v>
      </c>
      <c r="F1716" s="38" t="s">
        <v>2096</v>
      </c>
      <c r="G1716" s="38">
        <v>1.0005722473615E13</v>
      </c>
      <c r="H1716" s="38" t="s">
        <v>2097</v>
      </c>
      <c r="I1716" s="38" t="s">
        <v>2098</v>
      </c>
      <c r="J1716" s="38" t="s">
        <v>134</v>
      </c>
      <c r="K1716" s="38" t="s">
        <v>126</v>
      </c>
      <c r="L1716" s="41">
        <v>46010.520833333336</v>
      </c>
      <c r="M1716" s="38" t="s">
        <v>123</v>
      </c>
      <c r="N1716" s="41">
        <v>46010.541666666664</v>
      </c>
      <c r="O1716" s="38" t="s">
        <v>123</v>
      </c>
      <c r="P1716" s="38">
        <v>1800.0</v>
      </c>
      <c r="Q1716" s="39"/>
      <c r="R1716" s="39"/>
      <c r="S1716" s="39"/>
      <c r="T1716" s="39"/>
      <c r="U1716" s="39"/>
    </row>
    <row r="1717">
      <c r="A1717" s="40">
        <f t="shared" si="1"/>
        <v>46006</v>
      </c>
      <c r="B1717" s="37" t="str">
        <f t="array" ref="B1717">iferror(xlookup($I1717, 'IMPORT VHC Report'!$E:$E, 'IMPORT VHC Report'!$A:$C), )</f>
        <v/>
      </c>
      <c r="C1717" s="37"/>
      <c r="D1717" s="37"/>
      <c r="E1717" s="38" t="s">
        <v>2131</v>
      </c>
      <c r="F1717" s="38" t="s">
        <v>2132</v>
      </c>
      <c r="G1717" s="38">
        <v>3.61724963216E11</v>
      </c>
      <c r="H1717" s="38" t="s">
        <v>2133</v>
      </c>
      <c r="I1717" s="38" t="s">
        <v>2134</v>
      </c>
      <c r="J1717" s="38" t="s">
        <v>2135</v>
      </c>
      <c r="K1717" s="38" t="s">
        <v>63</v>
      </c>
      <c r="L1717" s="41">
        <v>46006.166666666664</v>
      </c>
      <c r="M1717" s="38" t="s">
        <v>123</v>
      </c>
      <c r="N1717" s="41">
        <v>46006.541666666664</v>
      </c>
      <c r="O1717" s="38" t="s">
        <v>123</v>
      </c>
      <c r="P1717" s="38">
        <v>32400.0</v>
      </c>
      <c r="Q1717" s="39"/>
      <c r="R1717" s="39"/>
      <c r="S1717" s="39"/>
      <c r="T1717" s="39"/>
      <c r="U1717" s="39"/>
    </row>
    <row r="1718">
      <c r="A1718" s="40">
        <f t="shared" si="1"/>
        <v>46006</v>
      </c>
      <c r="B1718" s="37" t="str">
        <f t="array" ref="B1718">iferror(xlookup($I1718, 'IMPORT VHC Report'!$E:$E, 'IMPORT VHC Report'!$A:$C), )</f>
        <v/>
      </c>
      <c r="C1718" s="37"/>
      <c r="D1718" s="37"/>
      <c r="E1718" s="38" t="s">
        <v>2136</v>
      </c>
      <c r="F1718" s="38" t="s">
        <v>2132</v>
      </c>
      <c r="G1718" s="38">
        <v>3.61724963216E11</v>
      </c>
      <c r="H1718" s="38" t="s">
        <v>2133</v>
      </c>
      <c r="I1718" s="38" t="s">
        <v>2134</v>
      </c>
      <c r="J1718" s="38" t="s">
        <v>134</v>
      </c>
      <c r="K1718" s="38" t="s">
        <v>126</v>
      </c>
      <c r="L1718" s="41">
        <v>46006.479166666664</v>
      </c>
      <c r="M1718" s="38" t="s">
        <v>123</v>
      </c>
      <c r="N1718" s="41">
        <v>46006.5</v>
      </c>
      <c r="O1718" s="38" t="s">
        <v>123</v>
      </c>
      <c r="P1718" s="38">
        <v>1800.0</v>
      </c>
      <c r="Q1718" s="39"/>
      <c r="R1718" s="39"/>
      <c r="S1718" s="39"/>
      <c r="T1718" s="39"/>
      <c r="U1718" s="39"/>
    </row>
    <row r="1719">
      <c r="A1719" s="40">
        <f t="shared" si="1"/>
        <v>46006</v>
      </c>
      <c r="B1719" s="37" t="str">
        <f t="array" ref="B1719">iferror(xlookup($I1719, 'IMPORT VHC Report'!$E:$E, 'IMPORT VHC Report'!$A:$C), )</f>
        <v/>
      </c>
      <c r="C1719" s="37"/>
      <c r="D1719" s="37"/>
      <c r="E1719" s="38" t="s">
        <v>2137</v>
      </c>
      <c r="F1719" s="38" t="s">
        <v>2132</v>
      </c>
      <c r="G1719" s="38">
        <v>3.61724963216E11</v>
      </c>
      <c r="H1719" s="38" t="s">
        <v>2133</v>
      </c>
      <c r="I1719" s="38" t="s">
        <v>2134</v>
      </c>
      <c r="J1719" s="38" t="s">
        <v>132</v>
      </c>
      <c r="K1719" s="38" t="s">
        <v>126</v>
      </c>
      <c r="L1719" s="41">
        <v>46006.5</v>
      </c>
      <c r="M1719" s="38" t="s">
        <v>123</v>
      </c>
      <c r="N1719" s="41">
        <v>46006.541666666664</v>
      </c>
      <c r="O1719" s="38" t="s">
        <v>123</v>
      </c>
      <c r="P1719" s="38">
        <v>3600.0</v>
      </c>
      <c r="Q1719" s="39"/>
      <c r="R1719" s="39"/>
      <c r="S1719" s="39"/>
      <c r="T1719" s="39"/>
      <c r="U1719" s="39"/>
    </row>
    <row r="1720">
      <c r="A1720" s="40">
        <f t="shared" si="1"/>
        <v>46006</v>
      </c>
      <c r="B1720" s="37" t="str">
        <f t="array" ref="B1720">iferror(xlookup($I1720, 'IMPORT VHC Report'!$E:$E, 'IMPORT VHC Report'!$A:$C), )</f>
        <v/>
      </c>
      <c r="C1720" s="37"/>
      <c r="D1720" s="37"/>
      <c r="E1720" s="38" t="s">
        <v>2138</v>
      </c>
      <c r="F1720" s="38" t="s">
        <v>2132</v>
      </c>
      <c r="G1720" s="38">
        <v>3.61724963216E11</v>
      </c>
      <c r="H1720" s="38" t="s">
        <v>2133</v>
      </c>
      <c r="I1720" s="38" t="s">
        <v>2134</v>
      </c>
      <c r="J1720" s="38" t="s">
        <v>2135</v>
      </c>
      <c r="K1720" s="38" t="s">
        <v>63</v>
      </c>
      <c r="L1720" s="41">
        <v>46007.166666666664</v>
      </c>
      <c r="M1720" s="38" t="s">
        <v>123</v>
      </c>
      <c r="N1720" s="41">
        <v>46007.541666666664</v>
      </c>
      <c r="O1720" s="38" t="s">
        <v>123</v>
      </c>
      <c r="P1720" s="38">
        <v>32400.0</v>
      </c>
      <c r="Q1720" s="39"/>
      <c r="R1720" s="39"/>
      <c r="S1720" s="39"/>
      <c r="T1720" s="39"/>
      <c r="U1720" s="39"/>
    </row>
    <row r="1721">
      <c r="A1721" s="40">
        <f t="shared" si="1"/>
        <v>46006</v>
      </c>
      <c r="B1721" s="37" t="str">
        <f t="array" ref="B1721">iferror(xlookup($I1721, 'IMPORT VHC Report'!$E:$E, 'IMPORT VHC Report'!$A:$C), )</f>
        <v/>
      </c>
      <c r="C1721" s="37"/>
      <c r="D1721" s="37"/>
      <c r="E1721" s="38" t="s">
        <v>2139</v>
      </c>
      <c r="F1721" s="38" t="s">
        <v>2132</v>
      </c>
      <c r="G1721" s="38">
        <v>3.61724963216E11</v>
      </c>
      <c r="H1721" s="38" t="s">
        <v>2133</v>
      </c>
      <c r="I1721" s="38" t="s">
        <v>2134</v>
      </c>
      <c r="J1721" s="38" t="s">
        <v>134</v>
      </c>
      <c r="K1721" s="38" t="s">
        <v>126</v>
      </c>
      <c r="L1721" s="41">
        <v>46007.479166666664</v>
      </c>
      <c r="M1721" s="38" t="s">
        <v>123</v>
      </c>
      <c r="N1721" s="41">
        <v>46007.5</v>
      </c>
      <c r="O1721" s="38" t="s">
        <v>123</v>
      </c>
      <c r="P1721" s="38">
        <v>1800.0</v>
      </c>
      <c r="Q1721" s="39"/>
      <c r="R1721" s="39"/>
      <c r="S1721" s="39"/>
      <c r="T1721" s="39"/>
      <c r="U1721" s="39"/>
    </row>
    <row r="1722">
      <c r="A1722" s="40">
        <f t="shared" si="1"/>
        <v>46006</v>
      </c>
      <c r="B1722" s="37" t="str">
        <f t="array" ref="B1722">iferror(xlookup($I1722, 'IMPORT VHC Report'!$E:$E, 'IMPORT VHC Report'!$A:$C), )</f>
        <v/>
      </c>
      <c r="C1722" s="37"/>
      <c r="D1722" s="37"/>
      <c r="E1722" s="38" t="s">
        <v>2140</v>
      </c>
      <c r="F1722" s="38" t="s">
        <v>2132</v>
      </c>
      <c r="G1722" s="38">
        <v>3.61724963216E11</v>
      </c>
      <c r="H1722" s="38" t="s">
        <v>2133</v>
      </c>
      <c r="I1722" s="38" t="s">
        <v>2134</v>
      </c>
      <c r="J1722" s="38" t="s">
        <v>132</v>
      </c>
      <c r="K1722" s="38" t="s">
        <v>126</v>
      </c>
      <c r="L1722" s="41">
        <v>46007.5</v>
      </c>
      <c r="M1722" s="38" t="s">
        <v>123</v>
      </c>
      <c r="N1722" s="41">
        <v>46007.541666666664</v>
      </c>
      <c r="O1722" s="38" t="s">
        <v>123</v>
      </c>
      <c r="P1722" s="38">
        <v>3600.0</v>
      </c>
      <c r="Q1722" s="39"/>
      <c r="R1722" s="39"/>
      <c r="S1722" s="39"/>
      <c r="T1722" s="39"/>
      <c r="U1722" s="39"/>
    </row>
    <row r="1723">
      <c r="A1723" s="40">
        <f t="shared" si="1"/>
        <v>46006</v>
      </c>
      <c r="B1723" s="37" t="str">
        <f t="array" ref="B1723">iferror(xlookup($I1723, 'IMPORT VHC Report'!$E:$E, 'IMPORT VHC Report'!$A:$C), )</f>
        <v/>
      </c>
      <c r="C1723" s="37"/>
      <c r="D1723" s="37"/>
      <c r="E1723" s="38" t="s">
        <v>2141</v>
      </c>
      <c r="F1723" s="38" t="s">
        <v>2132</v>
      </c>
      <c r="G1723" s="38">
        <v>3.61724963216E11</v>
      </c>
      <c r="H1723" s="38" t="s">
        <v>2133</v>
      </c>
      <c r="I1723" s="38" t="s">
        <v>2134</v>
      </c>
      <c r="J1723" s="38" t="s">
        <v>2135</v>
      </c>
      <c r="K1723" s="38" t="s">
        <v>63</v>
      </c>
      <c r="L1723" s="41">
        <v>46008.208333333336</v>
      </c>
      <c r="M1723" s="38" t="s">
        <v>123</v>
      </c>
      <c r="N1723" s="41">
        <v>46008.583333333336</v>
      </c>
      <c r="O1723" s="38" t="s">
        <v>123</v>
      </c>
      <c r="P1723" s="38">
        <v>32400.0</v>
      </c>
      <c r="Q1723" s="39"/>
      <c r="R1723" s="39"/>
      <c r="S1723" s="39"/>
      <c r="T1723" s="39"/>
      <c r="U1723" s="39"/>
    </row>
    <row r="1724">
      <c r="A1724" s="40">
        <f t="shared" si="1"/>
        <v>46006</v>
      </c>
      <c r="B1724" s="37" t="str">
        <f t="array" ref="B1724">iferror(xlookup($I1724, 'IMPORT VHC Report'!$E:$E, 'IMPORT VHC Report'!$A:$C), )</f>
        <v/>
      </c>
      <c r="C1724" s="37"/>
      <c r="D1724" s="37"/>
      <c r="E1724" s="38" t="s">
        <v>2142</v>
      </c>
      <c r="F1724" s="38" t="s">
        <v>2132</v>
      </c>
      <c r="G1724" s="38">
        <v>3.61724963216E11</v>
      </c>
      <c r="H1724" s="38" t="s">
        <v>2133</v>
      </c>
      <c r="I1724" s="38" t="s">
        <v>2134</v>
      </c>
      <c r="J1724" s="38" t="s">
        <v>134</v>
      </c>
      <c r="K1724" s="38" t="s">
        <v>126</v>
      </c>
      <c r="L1724" s="41">
        <v>46008.520833333336</v>
      </c>
      <c r="M1724" s="38" t="s">
        <v>123</v>
      </c>
      <c r="N1724" s="41">
        <v>46008.541666666664</v>
      </c>
      <c r="O1724" s="38" t="s">
        <v>123</v>
      </c>
      <c r="P1724" s="38">
        <v>1800.0</v>
      </c>
      <c r="Q1724" s="39"/>
      <c r="R1724" s="39"/>
      <c r="S1724" s="39"/>
      <c r="T1724" s="39"/>
      <c r="U1724" s="39"/>
    </row>
    <row r="1725">
      <c r="A1725" s="40">
        <f t="shared" si="1"/>
        <v>46006</v>
      </c>
      <c r="B1725" s="37" t="str">
        <f t="array" ref="B1725">iferror(xlookup($I1725, 'IMPORT VHC Report'!$E:$E, 'IMPORT VHC Report'!$A:$C), )</f>
        <v/>
      </c>
      <c r="C1725" s="37"/>
      <c r="D1725" s="37"/>
      <c r="E1725" s="38" t="s">
        <v>2143</v>
      </c>
      <c r="F1725" s="38" t="s">
        <v>2132</v>
      </c>
      <c r="G1725" s="38">
        <v>3.61724963216E11</v>
      </c>
      <c r="H1725" s="38" t="s">
        <v>2133</v>
      </c>
      <c r="I1725" s="38" t="s">
        <v>2134</v>
      </c>
      <c r="J1725" s="38" t="s">
        <v>132</v>
      </c>
      <c r="K1725" s="38" t="s">
        <v>126</v>
      </c>
      <c r="L1725" s="41">
        <v>46008.541666666664</v>
      </c>
      <c r="M1725" s="38" t="s">
        <v>123</v>
      </c>
      <c r="N1725" s="41">
        <v>46008.583333333336</v>
      </c>
      <c r="O1725" s="38" t="s">
        <v>123</v>
      </c>
      <c r="P1725" s="38">
        <v>3600.0</v>
      </c>
      <c r="Q1725" s="39"/>
      <c r="R1725" s="39"/>
      <c r="S1725" s="39"/>
      <c r="T1725" s="39"/>
      <c r="U1725" s="39"/>
    </row>
    <row r="1726">
      <c r="A1726" s="40">
        <f t="shared" si="1"/>
        <v>46006</v>
      </c>
      <c r="B1726" s="37" t="str">
        <f t="array" ref="B1726">iferror(xlookup($I1726, 'IMPORT VHC Report'!$E:$E, 'IMPORT VHC Report'!$A:$C), )</f>
        <v/>
      </c>
      <c r="C1726" s="37"/>
      <c r="D1726" s="37"/>
      <c r="E1726" s="38" t="s">
        <v>2144</v>
      </c>
      <c r="F1726" s="38" t="s">
        <v>2132</v>
      </c>
      <c r="G1726" s="38">
        <v>3.61724963216E11</v>
      </c>
      <c r="H1726" s="38" t="s">
        <v>2133</v>
      </c>
      <c r="I1726" s="38" t="s">
        <v>2134</v>
      </c>
      <c r="J1726" s="38" t="s">
        <v>2135</v>
      </c>
      <c r="K1726" s="38" t="s">
        <v>63</v>
      </c>
      <c r="L1726" s="41">
        <v>46009.291666666664</v>
      </c>
      <c r="M1726" s="38" t="s">
        <v>123</v>
      </c>
      <c r="N1726" s="41">
        <v>46009.666666666664</v>
      </c>
      <c r="O1726" s="38" t="s">
        <v>123</v>
      </c>
      <c r="P1726" s="38">
        <v>32400.0</v>
      </c>
      <c r="Q1726" s="39"/>
      <c r="R1726" s="39"/>
      <c r="S1726" s="39"/>
      <c r="T1726" s="39"/>
      <c r="U1726" s="39"/>
    </row>
    <row r="1727">
      <c r="A1727" s="40">
        <f t="shared" si="1"/>
        <v>46006</v>
      </c>
      <c r="B1727" s="37" t="str">
        <f t="array" ref="B1727">iferror(xlookup($I1727, 'IMPORT VHC Report'!$E:$E, 'IMPORT VHC Report'!$A:$C), )</f>
        <v/>
      </c>
      <c r="C1727" s="37"/>
      <c r="D1727" s="37"/>
      <c r="E1727" s="38" t="s">
        <v>2145</v>
      </c>
      <c r="F1727" s="38" t="s">
        <v>2132</v>
      </c>
      <c r="G1727" s="38">
        <v>3.61724963216E11</v>
      </c>
      <c r="H1727" s="38" t="s">
        <v>2133</v>
      </c>
      <c r="I1727" s="38" t="s">
        <v>2134</v>
      </c>
      <c r="J1727" s="38" t="s">
        <v>134</v>
      </c>
      <c r="K1727" s="38" t="s">
        <v>126</v>
      </c>
      <c r="L1727" s="41">
        <v>46009.604166666664</v>
      </c>
      <c r="M1727" s="38" t="s">
        <v>123</v>
      </c>
      <c r="N1727" s="41">
        <v>46009.625</v>
      </c>
      <c r="O1727" s="38" t="s">
        <v>123</v>
      </c>
      <c r="P1727" s="38">
        <v>1800.0</v>
      </c>
      <c r="Q1727" s="39"/>
      <c r="R1727" s="39"/>
      <c r="S1727" s="39"/>
      <c r="T1727" s="39"/>
      <c r="U1727" s="39"/>
    </row>
    <row r="1728">
      <c r="A1728" s="40">
        <f t="shared" si="1"/>
        <v>46006</v>
      </c>
      <c r="B1728" s="37" t="str">
        <f t="array" ref="B1728">iferror(xlookup($I1728, 'IMPORT VHC Report'!$E:$E, 'IMPORT VHC Report'!$A:$C), )</f>
        <v/>
      </c>
      <c r="C1728" s="37"/>
      <c r="D1728" s="37"/>
      <c r="E1728" s="38" t="s">
        <v>2146</v>
      </c>
      <c r="F1728" s="38" t="s">
        <v>2132</v>
      </c>
      <c r="G1728" s="38">
        <v>3.61724963216E11</v>
      </c>
      <c r="H1728" s="38" t="s">
        <v>2133</v>
      </c>
      <c r="I1728" s="38" t="s">
        <v>2134</v>
      </c>
      <c r="J1728" s="38" t="s">
        <v>132</v>
      </c>
      <c r="K1728" s="38" t="s">
        <v>126</v>
      </c>
      <c r="L1728" s="41">
        <v>46009.625</v>
      </c>
      <c r="M1728" s="38" t="s">
        <v>123</v>
      </c>
      <c r="N1728" s="41">
        <v>46009.666666666664</v>
      </c>
      <c r="O1728" s="38" t="s">
        <v>123</v>
      </c>
      <c r="P1728" s="38">
        <v>3600.0</v>
      </c>
      <c r="Q1728" s="39"/>
      <c r="R1728" s="39"/>
      <c r="S1728" s="39"/>
      <c r="T1728" s="39"/>
      <c r="U1728" s="39"/>
    </row>
    <row r="1729">
      <c r="A1729" s="40">
        <f t="shared" si="1"/>
        <v>46006</v>
      </c>
      <c r="B1729" s="37" t="str">
        <f t="array" ref="B1729">iferror(xlookup($I1729, 'IMPORT VHC Report'!$E:$E, 'IMPORT VHC Report'!$A:$C), )</f>
        <v/>
      </c>
      <c r="C1729" s="37"/>
      <c r="D1729" s="37"/>
      <c r="E1729" s="38" t="s">
        <v>2147</v>
      </c>
      <c r="F1729" s="38" t="s">
        <v>2132</v>
      </c>
      <c r="G1729" s="38">
        <v>3.61724963216E11</v>
      </c>
      <c r="H1729" s="38" t="s">
        <v>2133</v>
      </c>
      <c r="I1729" s="38" t="s">
        <v>2134</v>
      </c>
      <c r="J1729" s="38" t="s">
        <v>2135</v>
      </c>
      <c r="K1729" s="38" t="s">
        <v>63</v>
      </c>
      <c r="L1729" s="41">
        <v>46010.291666666664</v>
      </c>
      <c r="M1729" s="38" t="s">
        <v>123</v>
      </c>
      <c r="N1729" s="41">
        <v>46010.666666666664</v>
      </c>
      <c r="O1729" s="38" t="s">
        <v>123</v>
      </c>
      <c r="P1729" s="38">
        <v>32400.0</v>
      </c>
      <c r="Q1729" s="39"/>
      <c r="R1729" s="39"/>
      <c r="S1729" s="39"/>
      <c r="T1729" s="39"/>
      <c r="U1729" s="39"/>
    </row>
    <row r="1730">
      <c r="A1730" s="40">
        <f t="shared" si="1"/>
        <v>46006</v>
      </c>
      <c r="B1730" s="37" t="str">
        <f t="array" ref="B1730">iferror(xlookup($I1730, 'IMPORT VHC Report'!$E:$E, 'IMPORT VHC Report'!$A:$C), )</f>
        <v/>
      </c>
      <c r="C1730" s="37"/>
      <c r="D1730" s="37"/>
      <c r="E1730" s="38" t="s">
        <v>2148</v>
      </c>
      <c r="F1730" s="38" t="s">
        <v>2132</v>
      </c>
      <c r="G1730" s="38">
        <v>3.61724963216E11</v>
      </c>
      <c r="H1730" s="38" t="s">
        <v>2133</v>
      </c>
      <c r="I1730" s="38" t="s">
        <v>2134</v>
      </c>
      <c r="J1730" s="38" t="s">
        <v>134</v>
      </c>
      <c r="K1730" s="38" t="s">
        <v>126</v>
      </c>
      <c r="L1730" s="41">
        <v>46010.604166666664</v>
      </c>
      <c r="M1730" s="38" t="s">
        <v>123</v>
      </c>
      <c r="N1730" s="41">
        <v>46010.625</v>
      </c>
      <c r="O1730" s="38" t="s">
        <v>123</v>
      </c>
      <c r="P1730" s="38">
        <v>1800.0</v>
      </c>
      <c r="Q1730" s="39"/>
      <c r="R1730" s="39"/>
      <c r="S1730" s="39"/>
      <c r="T1730" s="39"/>
      <c r="U1730" s="39"/>
    </row>
    <row r="1731">
      <c r="A1731" s="40">
        <f t="shared" si="1"/>
        <v>46006</v>
      </c>
      <c r="B1731" s="37" t="str">
        <f t="array" ref="B1731">iferror(xlookup($I1731, 'IMPORT VHC Report'!$E:$E, 'IMPORT VHC Report'!$A:$C), )</f>
        <v/>
      </c>
      <c r="C1731" s="37"/>
      <c r="D1731" s="37"/>
      <c r="E1731" s="38" t="s">
        <v>2149</v>
      </c>
      <c r="F1731" s="38" t="s">
        <v>2132</v>
      </c>
      <c r="G1731" s="38">
        <v>3.61724963216E11</v>
      </c>
      <c r="H1731" s="38" t="s">
        <v>2133</v>
      </c>
      <c r="I1731" s="38" t="s">
        <v>2134</v>
      </c>
      <c r="J1731" s="38" t="s">
        <v>132</v>
      </c>
      <c r="K1731" s="38" t="s">
        <v>126</v>
      </c>
      <c r="L1731" s="41">
        <v>46010.625</v>
      </c>
      <c r="M1731" s="38" t="s">
        <v>123</v>
      </c>
      <c r="N1731" s="41">
        <v>46010.666666666664</v>
      </c>
      <c r="O1731" s="38" t="s">
        <v>123</v>
      </c>
      <c r="P1731" s="38">
        <v>3600.0</v>
      </c>
      <c r="Q1731" s="39"/>
      <c r="R1731" s="39"/>
      <c r="S1731" s="39"/>
      <c r="T1731" s="39"/>
      <c r="U1731" s="39"/>
    </row>
    <row r="1732">
      <c r="A1732" s="40">
        <f t="shared" si="1"/>
        <v>46006</v>
      </c>
      <c r="B1732" s="37" t="str">
        <f t="array" ref="B1732">iferror(xlookup($I1732, 'IMPORT VHC Report'!$E:$E, 'IMPORT VHC Report'!$A:$C), )</f>
        <v/>
      </c>
      <c r="C1732" s="37"/>
      <c r="D1732" s="37"/>
      <c r="E1732" s="38" t="s">
        <v>2150</v>
      </c>
      <c r="F1732" s="38" t="s">
        <v>2151</v>
      </c>
      <c r="G1732" s="38">
        <v>5.901988041103E12</v>
      </c>
      <c r="H1732" s="38" t="s">
        <v>2152</v>
      </c>
      <c r="I1732" s="38" t="s">
        <v>2153</v>
      </c>
      <c r="J1732" s="38" t="s">
        <v>224</v>
      </c>
      <c r="K1732" s="38" t="s">
        <v>63</v>
      </c>
      <c r="L1732" s="41">
        <v>46006.166666666664</v>
      </c>
      <c r="M1732" s="38" t="s">
        <v>123</v>
      </c>
      <c r="N1732" s="41">
        <v>46006.28125</v>
      </c>
      <c r="O1732" s="38" t="s">
        <v>123</v>
      </c>
      <c r="P1732" s="38">
        <v>9900.0</v>
      </c>
      <c r="Q1732" s="39"/>
      <c r="R1732" s="39"/>
      <c r="S1732" s="39"/>
      <c r="T1732" s="39"/>
      <c r="U1732" s="39"/>
    </row>
    <row r="1733">
      <c r="A1733" s="40">
        <f t="shared" si="1"/>
        <v>46006</v>
      </c>
      <c r="B1733" s="37" t="str">
        <f t="array" ref="B1733">iferror(xlookup($I1733, 'IMPORT VHC Report'!$E:$E, 'IMPORT VHC Report'!$A:$C), )</f>
        <v/>
      </c>
      <c r="C1733" s="37"/>
      <c r="D1733" s="37"/>
      <c r="E1733" s="38" t="s">
        <v>2154</v>
      </c>
      <c r="F1733" s="38" t="s">
        <v>2151</v>
      </c>
      <c r="G1733" s="38">
        <v>5.901988041103E12</v>
      </c>
      <c r="H1733" s="38" t="s">
        <v>2152</v>
      </c>
      <c r="I1733" s="38" t="s">
        <v>2153</v>
      </c>
      <c r="J1733" s="38" t="s">
        <v>134</v>
      </c>
      <c r="K1733" s="38" t="s">
        <v>126</v>
      </c>
      <c r="L1733" s="41">
        <v>46006.28125</v>
      </c>
      <c r="M1733" s="38" t="s">
        <v>123</v>
      </c>
      <c r="N1733" s="41">
        <v>46006.302083333336</v>
      </c>
      <c r="O1733" s="38" t="s">
        <v>123</v>
      </c>
      <c r="P1733" s="38">
        <v>1800.0</v>
      </c>
      <c r="Q1733" s="39"/>
      <c r="R1733" s="39"/>
      <c r="S1733" s="39"/>
      <c r="T1733" s="39"/>
      <c r="U1733" s="39"/>
    </row>
    <row r="1734">
      <c r="A1734" s="40">
        <f t="shared" si="1"/>
        <v>46006</v>
      </c>
      <c r="B1734" s="37" t="str">
        <f t="array" ref="B1734">iferror(xlookup($I1734, 'IMPORT VHC Report'!$E:$E, 'IMPORT VHC Report'!$A:$C), )</f>
        <v/>
      </c>
      <c r="C1734" s="37"/>
      <c r="D1734" s="37"/>
      <c r="E1734" s="38" t="s">
        <v>2155</v>
      </c>
      <c r="F1734" s="38" t="s">
        <v>2151</v>
      </c>
      <c r="G1734" s="38">
        <v>5.901988041103E12</v>
      </c>
      <c r="H1734" s="38" t="s">
        <v>2152</v>
      </c>
      <c r="I1734" s="38" t="s">
        <v>2153</v>
      </c>
      <c r="J1734" s="38" t="s">
        <v>224</v>
      </c>
      <c r="K1734" s="38" t="s">
        <v>63</v>
      </c>
      <c r="L1734" s="41">
        <v>46006.302083333336</v>
      </c>
      <c r="M1734" s="38" t="s">
        <v>123</v>
      </c>
      <c r="N1734" s="41">
        <v>46006.416666666664</v>
      </c>
      <c r="O1734" s="38" t="s">
        <v>123</v>
      </c>
      <c r="P1734" s="38">
        <v>9900.0</v>
      </c>
      <c r="Q1734" s="39"/>
      <c r="R1734" s="39"/>
      <c r="S1734" s="39"/>
      <c r="T1734" s="39"/>
      <c r="U1734" s="39"/>
    </row>
    <row r="1735">
      <c r="A1735" s="40">
        <f t="shared" si="1"/>
        <v>46006</v>
      </c>
      <c r="B1735" s="37" t="str">
        <f t="array" ref="B1735">iferror(xlookup($I1735, 'IMPORT VHC Report'!$E:$E, 'IMPORT VHC Report'!$A:$C), )</f>
        <v/>
      </c>
      <c r="C1735" s="37"/>
      <c r="D1735" s="37"/>
      <c r="E1735" s="38" t="s">
        <v>2156</v>
      </c>
      <c r="F1735" s="38" t="s">
        <v>2151</v>
      </c>
      <c r="G1735" s="38">
        <v>5.901988041103E12</v>
      </c>
      <c r="H1735" s="38" t="s">
        <v>2152</v>
      </c>
      <c r="I1735" s="38" t="s">
        <v>2153</v>
      </c>
      <c r="J1735" s="38" t="s">
        <v>132</v>
      </c>
      <c r="K1735" s="38" t="s">
        <v>126</v>
      </c>
      <c r="L1735" s="41">
        <v>46006.416666666664</v>
      </c>
      <c r="M1735" s="38" t="s">
        <v>123</v>
      </c>
      <c r="N1735" s="41">
        <v>46006.458333333336</v>
      </c>
      <c r="O1735" s="38" t="s">
        <v>123</v>
      </c>
      <c r="P1735" s="38">
        <v>3600.0</v>
      </c>
      <c r="Q1735" s="39"/>
      <c r="R1735" s="39"/>
      <c r="S1735" s="39"/>
      <c r="T1735" s="39"/>
      <c r="U1735" s="39"/>
    </row>
    <row r="1736">
      <c r="A1736" s="40">
        <f t="shared" si="1"/>
        <v>46006</v>
      </c>
      <c r="B1736" s="37" t="str">
        <f t="array" ref="B1736">iferror(xlookup($I1736, 'IMPORT VHC Report'!$E:$E, 'IMPORT VHC Report'!$A:$C), )</f>
        <v/>
      </c>
      <c r="C1736" s="37"/>
      <c r="D1736" s="37"/>
      <c r="E1736" s="38" t="s">
        <v>2157</v>
      </c>
      <c r="F1736" s="38" t="s">
        <v>2151</v>
      </c>
      <c r="G1736" s="38">
        <v>5.901988041103E12</v>
      </c>
      <c r="H1736" s="38" t="s">
        <v>2152</v>
      </c>
      <c r="I1736" s="38" t="s">
        <v>2153</v>
      </c>
      <c r="J1736" s="38" t="s">
        <v>224</v>
      </c>
      <c r="K1736" s="38" t="s">
        <v>63</v>
      </c>
      <c r="L1736" s="41">
        <v>46006.458333333336</v>
      </c>
      <c r="M1736" s="38" t="s">
        <v>123</v>
      </c>
      <c r="N1736" s="41">
        <v>46006.541666666664</v>
      </c>
      <c r="O1736" s="38" t="s">
        <v>123</v>
      </c>
      <c r="P1736" s="38">
        <v>7200.0</v>
      </c>
      <c r="Q1736" s="39"/>
      <c r="R1736" s="39"/>
      <c r="S1736" s="39"/>
      <c r="T1736" s="39"/>
      <c r="U1736" s="39"/>
    </row>
    <row r="1737">
      <c r="A1737" s="40">
        <f t="shared" si="1"/>
        <v>46006</v>
      </c>
      <c r="B1737" s="37" t="str">
        <f t="array" ref="B1737">iferror(xlookup($I1737, 'IMPORT VHC Report'!$E:$E, 'IMPORT VHC Report'!$A:$C), )</f>
        <v/>
      </c>
      <c r="C1737" s="37"/>
      <c r="D1737" s="37"/>
      <c r="E1737" s="38" t="s">
        <v>2158</v>
      </c>
      <c r="F1737" s="38" t="s">
        <v>2151</v>
      </c>
      <c r="G1737" s="38">
        <v>5.901988041103E12</v>
      </c>
      <c r="H1737" s="38" t="s">
        <v>2152</v>
      </c>
      <c r="I1737" s="38" t="s">
        <v>2153</v>
      </c>
      <c r="J1737" s="38" t="s">
        <v>224</v>
      </c>
      <c r="K1737" s="38" t="s">
        <v>63</v>
      </c>
      <c r="L1737" s="41">
        <v>46007.166666666664</v>
      </c>
      <c r="M1737" s="38" t="s">
        <v>123</v>
      </c>
      <c r="N1737" s="41">
        <v>46007.291666666664</v>
      </c>
      <c r="O1737" s="38" t="s">
        <v>123</v>
      </c>
      <c r="P1737" s="38">
        <v>10800.0</v>
      </c>
      <c r="Q1737" s="39"/>
      <c r="R1737" s="39"/>
      <c r="S1737" s="39"/>
      <c r="T1737" s="39"/>
      <c r="U1737" s="39"/>
    </row>
    <row r="1738">
      <c r="A1738" s="40">
        <f t="shared" si="1"/>
        <v>46006</v>
      </c>
      <c r="B1738" s="37" t="str">
        <f t="array" ref="B1738">iferror(xlookup($I1738, 'IMPORT VHC Report'!$E:$E, 'IMPORT VHC Report'!$A:$C), )</f>
        <v/>
      </c>
      <c r="C1738" s="37"/>
      <c r="D1738" s="37"/>
      <c r="E1738" s="38" t="s">
        <v>2159</v>
      </c>
      <c r="F1738" s="38" t="s">
        <v>2151</v>
      </c>
      <c r="G1738" s="38">
        <v>5.901988041103E12</v>
      </c>
      <c r="H1738" s="38" t="s">
        <v>2152</v>
      </c>
      <c r="I1738" s="38" t="s">
        <v>2153</v>
      </c>
      <c r="J1738" s="38" t="s">
        <v>178</v>
      </c>
      <c r="K1738" s="38" t="s">
        <v>153</v>
      </c>
      <c r="L1738" s="41">
        <v>46007.166666666664</v>
      </c>
      <c r="M1738" s="38" t="s">
        <v>123</v>
      </c>
      <c r="N1738" s="41">
        <v>46007.541666666664</v>
      </c>
      <c r="O1738" s="38" t="s">
        <v>123</v>
      </c>
      <c r="P1738" s="38">
        <v>32400.0</v>
      </c>
      <c r="Q1738" s="38">
        <v>32400.0</v>
      </c>
      <c r="R1738" s="39"/>
      <c r="S1738" s="39"/>
      <c r="T1738" s="39"/>
      <c r="U1738" s="39"/>
    </row>
    <row r="1739">
      <c r="A1739" s="40">
        <f t="shared" si="1"/>
        <v>46006</v>
      </c>
      <c r="B1739" s="37" t="str">
        <f t="array" ref="B1739">iferror(xlookup($I1739, 'IMPORT VHC Report'!$E:$E, 'IMPORT VHC Report'!$A:$C), )</f>
        <v/>
      </c>
      <c r="C1739" s="37"/>
      <c r="D1739" s="37"/>
      <c r="E1739" s="38" t="s">
        <v>2160</v>
      </c>
      <c r="F1739" s="38" t="s">
        <v>2151</v>
      </c>
      <c r="G1739" s="38">
        <v>5.901988041103E12</v>
      </c>
      <c r="H1739" s="38" t="s">
        <v>2152</v>
      </c>
      <c r="I1739" s="38" t="s">
        <v>2153</v>
      </c>
      <c r="J1739" s="38" t="s">
        <v>132</v>
      </c>
      <c r="K1739" s="38" t="s">
        <v>126</v>
      </c>
      <c r="L1739" s="41">
        <v>46007.291666666664</v>
      </c>
      <c r="M1739" s="38" t="s">
        <v>123</v>
      </c>
      <c r="N1739" s="41">
        <v>46007.333333333336</v>
      </c>
      <c r="O1739" s="38" t="s">
        <v>123</v>
      </c>
      <c r="P1739" s="38">
        <v>3600.0</v>
      </c>
      <c r="Q1739" s="39"/>
      <c r="R1739" s="39"/>
      <c r="S1739" s="39"/>
      <c r="T1739" s="39"/>
      <c r="U1739" s="39"/>
    </row>
    <row r="1740">
      <c r="A1740" s="40">
        <f t="shared" si="1"/>
        <v>46006</v>
      </c>
      <c r="B1740" s="37" t="str">
        <f t="array" ref="B1740">iferror(xlookup($I1740, 'IMPORT VHC Report'!$E:$E, 'IMPORT VHC Report'!$A:$C), )</f>
        <v/>
      </c>
      <c r="C1740" s="37"/>
      <c r="D1740" s="37"/>
      <c r="E1740" s="38" t="s">
        <v>2161</v>
      </c>
      <c r="F1740" s="38" t="s">
        <v>2151</v>
      </c>
      <c r="G1740" s="38">
        <v>5.901988041103E12</v>
      </c>
      <c r="H1740" s="38" t="s">
        <v>2152</v>
      </c>
      <c r="I1740" s="38" t="s">
        <v>2153</v>
      </c>
      <c r="J1740" s="38" t="s">
        <v>224</v>
      </c>
      <c r="K1740" s="38" t="s">
        <v>63</v>
      </c>
      <c r="L1740" s="41">
        <v>46007.333333333336</v>
      </c>
      <c r="M1740" s="38" t="s">
        <v>123</v>
      </c>
      <c r="N1740" s="41">
        <v>46007.4375</v>
      </c>
      <c r="O1740" s="38" t="s">
        <v>123</v>
      </c>
      <c r="P1740" s="38">
        <v>9000.0</v>
      </c>
      <c r="Q1740" s="39"/>
      <c r="R1740" s="39"/>
      <c r="S1740" s="39"/>
      <c r="T1740" s="39"/>
      <c r="U1740" s="39"/>
    </row>
    <row r="1741">
      <c r="A1741" s="40">
        <f t="shared" si="1"/>
        <v>46006</v>
      </c>
      <c r="B1741" s="37" t="str">
        <f t="array" ref="B1741">iferror(xlookup($I1741, 'IMPORT VHC Report'!$E:$E, 'IMPORT VHC Report'!$A:$C), )</f>
        <v/>
      </c>
      <c r="C1741" s="37"/>
      <c r="D1741" s="37"/>
      <c r="E1741" s="38" t="s">
        <v>2162</v>
      </c>
      <c r="F1741" s="38" t="s">
        <v>2151</v>
      </c>
      <c r="G1741" s="38">
        <v>5.901988041103E12</v>
      </c>
      <c r="H1741" s="38" t="s">
        <v>2152</v>
      </c>
      <c r="I1741" s="38" t="s">
        <v>2153</v>
      </c>
      <c r="J1741" s="38" t="s">
        <v>134</v>
      </c>
      <c r="K1741" s="38" t="s">
        <v>126</v>
      </c>
      <c r="L1741" s="41">
        <v>46007.4375</v>
      </c>
      <c r="M1741" s="38" t="s">
        <v>123</v>
      </c>
      <c r="N1741" s="41">
        <v>46007.458333333336</v>
      </c>
      <c r="O1741" s="38" t="s">
        <v>123</v>
      </c>
      <c r="P1741" s="38">
        <v>1800.0</v>
      </c>
      <c r="Q1741" s="39"/>
      <c r="R1741" s="39"/>
      <c r="S1741" s="39"/>
      <c r="T1741" s="39"/>
      <c r="U1741" s="39"/>
    </row>
    <row r="1742">
      <c r="A1742" s="40">
        <f t="shared" si="1"/>
        <v>46006</v>
      </c>
      <c r="B1742" s="37" t="str">
        <f t="array" ref="B1742">iferror(xlookup($I1742, 'IMPORT VHC Report'!$E:$E, 'IMPORT VHC Report'!$A:$C), )</f>
        <v/>
      </c>
      <c r="C1742" s="37"/>
      <c r="D1742" s="37"/>
      <c r="E1742" s="38" t="s">
        <v>2163</v>
      </c>
      <c r="F1742" s="38" t="s">
        <v>2151</v>
      </c>
      <c r="G1742" s="38">
        <v>5.901988041103E12</v>
      </c>
      <c r="H1742" s="38" t="s">
        <v>2152</v>
      </c>
      <c r="I1742" s="38" t="s">
        <v>2153</v>
      </c>
      <c r="J1742" s="38" t="s">
        <v>224</v>
      </c>
      <c r="K1742" s="38" t="s">
        <v>63</v>
      </c>
      <c r="L1742" s="41">
        <v>46007.458333333336</v>
      </c>
      <c r="M1742" s="38" t="s">
        <v>123</v>
      </c>
      <c r="N1742" s="41">
        <v>46007.541666666664</v>
      </c>
      <c r="O1742" s="38" t="s">
        <v>123</v>
      </c>
      <c r="P1742" s="38">
        <v>7200.0</v>
      </c>
      <c r="Q1742" s="39"/>
      <c r="R1742" s="39"/>
      <c r="S1742" s="39"/>
      <c r="T1742" s="39"/>
      <c r="U1742" s="39"/>
    </row>
    <row r="1743">
      <c r="A1743" s="40">
        <f t="shared" si="1"/>
        <v>46006</v>
      </c>
      <c r="B1743" s="37" t="str">
        <f t="array" ref="B1743">iferror(xlookup($I1743, 'IMPORT VHC Report'!$E:$E, 'IMPORT VHC Report'!$A:$C), )</f>
        <v/>
      </c>
      <c r="C1743" s="37"/>
      <c r="D1743" s="37"/>
      <c r="E1743" s="38" t="s">
        <v>2164</v>
      </c>
      <c r="F1743" s="38" t="s">
        <v>2151</v>
      </c>
      <c r="G1743" s="38">
        <v>5.901988041103E12</v>
      </c>
      <c r="H1743" s="38" t="s">
        <v>2152</v>
      </c>
      <c r="I1743" s="38" t="s">
        <v>2153</v>
      </c>
      <c r="J1743" s="38" t="s">
        <v>224</v>
      </c>
      <c r="K1743" s="38" t="s">
        <v>63</v>
      </c>
      <c r="L1743" s="41">
        <v>46008.166666666664</v>
      </c>
      <c r="M1743" s="38" t="s">
        <v>123</v>
      </c>
      <c r="N1743" s="41">
        <v>46008.208333333336</v>
      </c>
      <c r="O1743" s="38" t="s">
        <v>123</v>
      </c>
      <c r="P1743" s="38">
        <v>3600.0</v>
      </c>
      <c r="Q1743" s="39"/>
      <c r="R1743" s="39"/>
      <c r="S1743" s="39"/>
      <c r="T1743" s="39"/>
      <c r="U1743" s="39"/>
    </row>
    <row r="1744">
      <c r="A1744" s="40">
        <f t="shared" si="1"/>
        <v>46006</v>
      </c>
      <c r="B1744" s="37" t="str">
        <f t="array" ref="B1744">iferror(xlookup($I1744, 'IMPORT VHC Report'!$E:$E, 'IMPORT VHC Report'!$A:$C), )</f>
        <v/>
      </c>
      <c r="C1744" s="37"/>
      <c r="D1744" s="37"/>
      <c r="E1744" s="38" t="s">
        <v>2165</v>
      </c>
      <c r="F1744" s="38" t="s">
        <v>2151</v>
      </c>
      <c r="G1744" s="38">
        <v>5.901988041103E12</v>
      </c>
      <c r="H1744" s="38" t="s">
        <v>2152</v>
      </c>
      <c r="I1744" s="38" t="s">
        <v>2153</v>
      </c>
      <c r="J1744" s="38" t="s">
        <v>62</v>
      </c>
      <c r="K1744" s="38" t="s">
        <v>63</v>
      </c>
      <c r="L1744" s="41">
        <v>46008.208333333336</v>
      </c>
      <c r="M1744" s="38" t="s">
        <v>123</v>
      </c>
      <c r="N1744" s="41">
        <v>46008.229166666664</v>
      </c>
      <c r="O1744" s="38" t="s">
        <v>123</v>
      </c>
      <c r="P1744" s="38">
        <v>1800.0</v>
      </c>
      <c r="Q1744" s="39"/>
      <c r="R1744" s="39"/>
      <c r="S1744" s="39"/>
      <c r="T1744" s="39"/>
      <c r="U1744" s="39"/>
    </row>
    <row r="1745">
      <c r="A1745" s="40">
        <f t="shared" si="1"/>
        <v>46006</v>
      </c>
      <c r="B1745" s="37" t="str">
        <f t="array" ref="B1745">iferror(xlookup($I1745, 'IMPORT VHC Report'!$E:$E, 'IMPORT VHC Report'!$A:$C), )</f>
        <v/>
      </c>
      <c r="C1745" s="37"/>
      <c r="D1745" s="37"/>
      <c r="E1745" s="38" t="s">
        <v>2166</v>
      </c>
      <c r="F1745" s="38" t="s">
        <v>2151</v>
      </c>
      <c r="G1745" s="38">
        <v>5.901988041103E12</v>
      </c>
      <c r="H1745" s="38" t="s">
        <v>2152</v>
      </c>
      <c r="I1745" s="38" t="s">
        <v>2153</v>
      </c>
      <c r="J1745" s="38" t="s">
        <v>224</v>
      </c>
      <c r="K1745" s="38" t="s">
        <v>63</v>
      </c>
      <c r="L1745" s="41">
        <v>46008.229166666664</v>
      </c>
      <c r="M1745" s="38" t="s">
        <v>123</v>
      </c>
      <c r="N1745" s="41">
        <v>46008.270833333336</v>
      </c>
      <c r="O1745" s="38" t="s">
        <v>123</v>
      </c>
      <c r="P1745" s="38">
        <v>3600.0</v>
      </c>
      <c r="Q1745" s="39"/>
      <c r="R1745" s="39"/>
      <c r="S1745" s="39"/>
      <c r="T1745" s="39"/>
      <c r="U1745" s="39"/>
    </row>
    <row r="1746">
      <c r="A1746" s="40">
        <f t="shared" si="1"/>
        <v>46006</v>
      </c>
      <c r="B1746" s="37" t="str">
        <f t="array" ref="B1746">iferror(xlookup($I1746, 'IMPORT VHC Report'!$E:$E, 'IMPORT VHC Report'!$A:$C), )</f>
        <v/>
      </c>
      <c r="C1746" s="37"/>
      <c r="D1746" s="37"/>
      <c r="E1746" s="38" t="s">
        <v>2167</v>
      </c>
      <c r="F1746" s="38" t="s">
        <v>2151</v>
      </c>
      <c r="G1746" s="38">
        <v>5.901988041103E12</v>
      </c>
      <c r="H1746" s="38" t="s">
        <v>2152</v>
      </c>
      <c r="I1746" s="38" t="s">
        <v>2153</v>
      </c>
      <c r="J1746" s="38" t="s">
        <v>134</v>
      </c>
      <c r="K1746" s="38" t="s">
        <v>126</v>
      </c>
      <c r="L1746" s="41">
        <v>46008.270833333336</v>
      </c>
      <c r="M1746" s="38" t="s">
        <v>123</v>
      </c>
      <c r="N1746" s="41">
        <v>46008.291666666664</v>
      </c>
      <c r="O1746" s="38" t="s">
        <v>123</v>
      </c>
      <c r="P1746" s="38">
        <v>1800.0</v>
      </c>
      <c r="Q1746" s="39"/>
      <c r="R1746" s="39"/>
      <c r="S1746" s="39"/>
      <c r="T1746" s="39"/>
      <c r="U1746" s="39"/>
    </row>
    <row r="1747">
      <c r="A1747" s="40">
        <f t="shared" si="1"/>
        <v>46006</v>
      </c>
      <c r="B1747" s="37" t="str">
        <f t="array" ref="B1747">iferror(xlookup($I1747, 'IMPORT VHC Report'!$E:$E, 'IMPORT VHC Report'!$A:$C), )</f>
        <v/>
      </c>
      <c r="C1747" s="37"/>
      <c r="D1747" s="37"/>
      <c r="E1747" s="38" t="s">
        <v>2168</v>
      </c>
      <c r="F1747" s="38" t="s">
        <v>2151</v>
      </c>
      <c r="G1747" s="38">
        <v>5.901988041103E12</v>
      </c>
      <c r="H1747" s="38" t="s">
        <v>2152</v>
      </c>
      <c r="I1747" s="38" t="s">
        <v>2153</v>
      </c>
      <c r="J1747" s="38" t="s">
        <v>224</v>
      </c>
      <c r="K1747" s="38" t="s">
        <v>63</v>
      </c>
      <c r="L1747" s="41">
        <v>46008.291666666664</v>
      </c>
      <c r="M1747" s="38" t="s">
        <v>123</v>
      </c>
      <c r="N1747" s="41">
        <v>46008.416666666664</v>
      </c>
      <c r="O1747" s="38" t="s">
        <v>123</v>
      </c>
      <c r="P1747" s="38">
        <v>10800.0</v>
      </c>
      <c r="Q1747" s="39"/>
      <c r="R1747" s="39"/>
      <c r="S1747" s="39"/>
      <c r="T1747" s="39"/>
      <c r="U1747" s="39"/>
    </row>
    <row r="1748">
      <c r="A1748" s="40">
        <f t="shared" si="1"/>
        <v>46006</v>
      </c>
      <c r="B1748" s="37" t="str">
        <f t="array" ref="B1748">iferror(xlookup($I1748, 'IMPORT VHC Report'!$E:$E, 'IMPORT VHC Report'!$A:$C), )</f>
        <v/>
      </c>
      <c r="C1748" s="37"/>
      <c r="D1748" s="37"/>
      <c r="E1748" s="38" t="s">
        <v>2169</v>
      </c>
      <c r="F1748" s="38" t="s">
        <v>2151</v>
      </c>
      <c r="G1748" s="38">
        <v>5.901988041103E12</v>
      </c>
      <c r="H1748" s="38" t="s">
        <v>2152</v>
      </c>
      <c r="I1748" s="38" t="s">
        <v>2153</v>
      </c>
      <c r="J1748" s="38" t="s">
        <v>132</v>
      </c>
      <c r="K1748" s="38" t="s">
        <v>126</v>
      </c>
      <c r="L1748" s="41">
        <v>46008.416666666664</v>
      </c>
      <c r="M1748" s="38" t="s">
        <v>123</v>
      </c>
      <c r="N1748" s="41">
        <v>46008.458333333336</v>
      </c>
      <c r="O1748" s="38" t="s">
        <v>123</v>
      </c>
      <c r="P1748" s="38">
        <v>3600.0</v>
      </c>
      <c r="Q1748" s="39"/>
      <c r="R1748" s="39"/>
      <c r="S1748" s="39"/>
      <c r="T1748" s="39"/>
      <c r="U1748" s="39"/>
    </row>
    <row r="1749">
      <c r="A1749" s="40">
        <f t="shared" si="1"/>
        <v>46006</v>
      </c>
      <c r="B1749" s="37" t="str">
        <f t="array" ref="B1749">iferror(xlookup($I1749, 'IMPORT VHC Report'!$E:$E, 'IMPORT VHC Report'!$A:$C), )</f>
        <v/>
      </c>
      <c r="C1749" s="37"/>
      <c r="D1749" s="37"/>
      <c r="E1749" s="38" t="s">
        <v>2170</v>
      </c>
      <c r="F1749" s="38" t="s">
        <v>2151</v>
      </c>
      <c r="G1749" s="38">
        <v>5.901988041103E12</v>
      </c>
      <c r="H1749" s="38" t="s">
        <v>2152</v>
      </c>
      <c r="I1749" s="38" t="s">
        <v>2153</v>
      </c>
      <c r="J1749" s="38" t="s">
        <v>224</v>
      </c>
      <c r="K1749" s="38" t="s">
        <v>63</v>
      </c>
      <c r="L1749" s="41">
        <v>46008.458333333336</v>
      </c>
      <c r="M1749" s="38" t="s">
        <v>123</v>
      </c>
      <c r="N1749" s="41">
        <v>46008.541666666664</v>
      </c>
      <c r="O1749" s="38" t="s">
        <v>123</v>
      </c>
      <c r="P1749" s="38">
        <v>7200.0</v>
      </c>
      <c r="Q1749" s="39"/>
      <c r="R1749" s="39"/>
      <c r="S1749" s="39"/>
      <c r="T1749" s="39"/>
      <c r="U1749" s="39"/>
    </row>
    <row r="1750">
      <c r="A1750" s="40">
        <f t="shared" si="1"/>
        <v>46006</v>
      </c>
      <c r="B1750" s="37" t="str">
        <f t="array" ref="B1750">iferror(xlookup($I1750, 'IMPORT VHC Report'!$E:$E, 'IMPORT VHC Report'!$A:$C), )</f>
        <v/>
      </c>
      <c r="C1750" s="37"/>
      <c r="D1750" s="37"/>
      <c r="E1750" s="38" t="s">
        <v>2171</v>
      </c>
      <c r="F1750" s="38" t="s">
        <v>2151</v>
      </c>
      <c r="G1750" s="38">
        <v>5.901988041103E12</v>
      </c>
      <c r="H1750" s="38" t="s">
        <v>2152</v>
      </c>
      <c r="I1750" s="38" t="s">
        <v>2153</v>
      </c>
      <c r="J1750" s="38" t="s">
        <v>224</v>
      </c>
      <c r="K1750" s="38" t="s">
        <v>63</v>
      </c>
      <c r="L1750" s="41">
        <v>46009.166666666664</v>
      </c>
      <c r="M1750" s="38" t="s">
        <v>123</v>
      </c>
      <c r="N1750" s="41">
        <v>46009.270833333336</v>
      </c>
      <c r="O1750" s="38" t="s">
        <v>123</v>
      </c>
      <c r="P1750" s="38">
        <v>9000.0</v>
      </c>
      <c r="Q1750" s="39"/>
      <c r="R1750" s="39"/>
      <c r="S1750" s="39"/>
      <c r="T1750" s="39"/>
      <c r="U1750" s="39"/>
    </row>
    <row r="1751">
      <c r="A1751" s="40">
        <f t="shared" si="1"/>
        <v>46006</v>
      </c>
      <c r="B1751" s="37" t="str">
        <f t="array" ref="B1751">iferror(xlookup($I1751, 'IMPORT VHC Report'!$E:$E, 'IMPORT VHC Report'!$A:$C), )</f>
        <v/>
      </c>
      <c r="C1751" s="37"/>
      <c r="D1751" s="37"/>
      <c r="E1751" s="38" t="s">
        <v>2172</v>
      </c>
      <c r="F1751" s="38" t="s">
        <v>2151</v>
      </c>
      <c r="G1751" s="38">
        <v>5.901988041103E12</v>
      </c>
      <c r="H1751" s="38" t="s">
        <v>2152</v>
      </c>
      <c r="I1751" s="38" t="s">
        <v>2153</v>
      </c>
      <c r="J1751" s="38" t="s">
        <v>178</v>
      </c>
      <c r="K1751" s="38" t="s">
        <v>153</v>
      </c>
      <c r="L1751" s="41">
        <v>46009.166666666664</v>
      </c>
      <c r="M1751" s="38" t="s">
        <v>123</v>
      </c>
      <c r="N1751" s="41">
        <v>46009.541666666664</v>
      </c>
      <c r="O1751" s="38" t="s">
        <v>123</v>
      </c>
      <c r="P1751" s="38">
        <v>32400.0</v>
      </c>
      <c r="Q1751" s="38">
        <v>32400.0</v>
      </c>
      <c r="R1751" s="39"/>
      <c r="S1751" s="39"/>
      <c r="T1751" s="39"/>
      <c r="U1751" s="39"/>
    </row>
    <row r="1752">
      <c r="A1752" s="40">
        <f t="shared" si="1"/>
        <v>46006</v>
      </c>
      <c r="B1752" s="37" t="str">
        <f t="array" ref="B1752">iferror(xlookup($I1752, 'IMPORT VHC Report'!$E:$E, 'IMPORT VHC Report'!$A:$C), )</f>
        <v/>
      </c>
      <c r="C1752" s="37"/>
      <c r="D1752" s="37"/>
      <c r="E1752" s="38" t="s">
        <v>2173</v>
      </c>
      <c r="F1752" s="38" t="s">
        <v>2151</v>
      </c>
      <c r="G1752" s="38">
        <v>5.901988041103E12</v>
      </c>
      <c r="H1752" s="38" t="s">
        <v>2152</v>
      </c>
      <c r="I1752" s="38" t="s">
        <v>2153</v>
      </c>
      <c r="J1752" s="38" t="s">
        <v>134</v>
      </c>
      <c r="K1752" s="38" t="s">
        <v>126</v>
      </c>
      <c r="L1752" s="41">
        <v>46009.270833333336</v>
      </c>
      <c r="M1752" s="38" t="s">
        <v>123</v>
      </c>
      <c r="N1752" s="41">
        <v>46009.291666666664</v>
      </c>
      <c r="O1752" s="38" t="s">
        <v>123</v>
      </c>
      <c r="P1752" s="38">
        <v>1800.0</v>
      </c>
      <c r="Q1752" s="39"/>
      <c r="R1752" s="39"/>
      <c r="S1752" s="39"/>
      <c r="T1752" s="39"/>
      <c r="U1752" s="39"/>
    </row>
    <row r="1753">
      <c r="A1753" s="40">
        <f t="shared" si="1"/>
        <v>46006</v>
      </c>
      <c r="B1753" s="37" t="str">
        <f t="array" ref="B1753">iferror(xlookup($I1753, 'IMPORT VHC Report'!$E:$E, 'IMPORT VHC Report'!$A:$C), )</f>
        <v/>
      </c>
      <c r="C1753" s="37"/>
      <c r="D1753" s="37"/>
      <c r="E1753" s="38" t="s">
        <v>2174</v>
      </c>
      <c r="F1753" s="38" t="s">
        <v>2151</v>
      </c>
      <c r="G1753" s="38">
        <v>5.901988041103E12</v>
      </c>
      <c r="H1753" s="38" t="s">
        <v>2152</v>
      </c>
      <c r="I1753" s="38" t="s">
        <v>2153</v>
      </c>
      <c r="J1753" s="38" t="s">
        <v>224</v>
      </c>
      <c r="K1753" s="38" t="s">
        <v>63</v>
      </c>
      <c r="L1753" s="41">
        <v>46009.291666666664</v>
      </c>
      <c r="M1753" s="38" t="s">
        <v>123</v>
      </c>
      <c r="N1753" s="41">
        <v>46009.395833333336</v>
      </c>
      <c r="O1753" s="38" t="s">
        <v>123</v>
      </c>
      <c r="P1753" s="38">
        <v>9000.0</v>
      </c>
      <c r="Q1753" s="39"/>
      <c r="R1753" s="39"/>
      <c r="S1753" s="39"/>
      <c r="T1753" s="39"/>
      <c r="U1753" s="39"/>
    </row>
    <row r="1754">
      <c r="A1754" s="40">
        <f t="shared" si="1"/>
        <v>46006</v>
      </c>
      <c r="B1754" s="37" t="str">
        <f t="array" ref="B1754">iferror(xlookup($I1754, 'IMPORT VHC Report'!$E:$E, 'IMPORT VHC Report'!$A:$C), )</f>
        <v/>
      </c>
      <c r="C1754" s="37"/>
      <c r="D1754" s="37"/>
      <c r="E1754" s="38" t="s">
        <v>2175</v>
      </c>
      <c r="F1754" s="38" t="s">
        <v>2151</v>
      </c>
      <c r="G1754" s="38">
        <v>5.901988041103E12</v>
      </c>
      <c r="H1754" s="38" t="s">
        <v>2152</v>
      </c>
      <c r="I1754" s="38" t="s">
        <v>2153</v>
      </c>
      <c r="J1754" s="38" t="s">
        <v>132</v>
      </c>
      <c r="K1754" s="38" t="s">
        <v>126</v>
      </c>
      <c r="L1754" s="41">
        <v>46009.395833333336</v>
      </c>
      <c r="M1754" s="38" t="s">
        <v>123</v>
      </c>
      <c r="N1754" s="41">
        <v>46009.4375</v>
      </c>
      <c r="O1754" s="38" t="s">
        <v>123</v>
      </c>
      <c r="P1754" s="38">
        <v>3600.0</v>
      </c>
      <c r="Q1754" s="39"/>
      <c r="R1754" s="39"/>
      <c r="S1754" s="39"/>
      <c r="T1754" s="39"/>
      <c r="U1754" s="39"/>
    </row>
    <row r="1755">
      <c r="A1755" s="40">
        <f t="shared" si="1"/>
        <v>46006</v>
      </c>
      <c r="B1755" s="37" t="str">
        <f t="array" ref="B1755">iferror(xlookup($I1755, 'IMPORT VHC Report'!$E:$E, 'IMPORT VHC Report'!$A:$C), )</f>
        <v/>
      </c>
      <c r="C1755" s="37"/>
      <c r="D1755" s="37"/>
      <c r="E1755" s="38" t="s">
        <v>2176</v>
      </c>
      <c r="F1755" s="38" t="s">
        <v>2151</v>
      </c>
      <c r="G1755" s="38">
        <v>5.901988041103E12</v>
      </c>
      <c r="H1755" s="38" t="s">
        <v>2152</v>
      </c>
      <c r="I1755" s="38" t="s">
        <v>2153</v>
      </c>
      <c r="J1755" s="38" t="s">
        <v>224</v>
      </c>
      <c r="K1755" s="38" t="s">
        <v>63</v>
      </c>
      <c r="L1755" s="41">
        <v>46009.4375</v>
      </c>
      <c r="M1755" s="38" t="s">
        <v>123</v>
      </c>
      <c r="N1755" s="41">
        <v>46009.541666666664</v>
      </c>
      <c r="O1755" s="38" t="s">
        <v>123</v>
      </c>
      <c r="P1755" s="38">
        <v>9000.0</v>
      </c>
      <c r="Q1755" s="39"/>
      <c r="R1755" s="39"/>
      <c r="S1755" s="39"/>
      <c r="T1755" s="39"/>
      <c r="U1755" s="39"/>
    </row>
    <row r="1756">
      <c r="A1756" s="40">
        <f t="shared" si="1"/>
        <v>46006</v>
      </c>
      <c r="B1756" s="37" t="str">
        <f t="array" ref="B1756">iferror(xlookup($I1756, 'IMPORT VHC Report'!$E:$E, 'IMPORT VHC Report'!$A:$C), )</f>
        <v/>
      </c>
      <c r="C1756" s="37"/>
      <c r="D1756" s="37"/>
      <c r="E1756" s="38" t="s">
        <v>2177</v>
      </c>
      <c r="F1756" s="38" t="s">
        <v>2151</v>
      </c>
      <c r="G1756" s="38">
        <v>5.901988041103E12</v>
      </c>
      <c r="H1756" s="38" t="s">
        <v>2152</v>
      </c>
      <c r="I1756" s="38" t="s">
        <v>2153</v>
      </c>
      <c r="J1756" s="38" t="s">
        <v>178</v>
      </c>
      <c r="K1756" s="38" t="s">
        <v>153</v>
      </c>
      <c r="L1756" s="41">
        <v>46010.166666666664</v>
      </c>
      <c r="M1756" s="38" t="s">
        <v>123</v>
      </c>
      <c r="N1756" s="41">
        <v>46010.541666666664</v>
      </c>
      <c r="O1756" s="38" t="s">
        <v>123</v>
      </c>
      <c r="P1756" s="38">
        <v>32400.0</v>
      </c>
      <c r="Q1756" s="38">
        <v>32400.0</v>
      </c>
      <c r="R1756" s="39"/>
      <c r="S1756" s="39"/>
      <c r="T1756" s="39"/>
      <c r="U1756" s="39"/>
    </row>
    <row r="1757">
      <c r="A1757" s="40">
        <f t="shared" si="1"/>
        <v>46006</v>
      </c>
      <c r="B1757" s="37" t="str">
        <f t="array" ref="B1757">iferror(xlookup($I1757, 'IMPORT VHC Report'!$E:$E, 'IMPORT VHC Report'!$A:$C), )</f>
        <v/>
      </c>
      <c r="C1757" s="37"/>
      <c r="D1757" s="37"/>
      <c r="E1757" s="38" t="s">
        <v>2178</v>
      </c>
      <c r="F1757" s="38" t="s">
        <v>2151</v>
      </c>
      <c r="G1757" s="38">
        <v>5.901988041103E12</v>
      </c>
      <c r="H1757" s="38" t="s">
        <v>2152</v>
      </c>
      <c r="I1757" s="38" t="s">
        <v>2153</v>
      </c>
      <c r="J1757" s="38" t="s">
        <v>132</v>
      </c>
      <c r="K1757" s="38" t="s">
        <v>126</v>
      </c>
      <c r="L1757" s="41">
        <v>46010.3125</v>
      </c>
      <c r="M1757" s="38" t="s">
        <v>123</v>
      </c>
      <c r="N1757" s="41">
        <v>46010.354166666664</v>
      </c>
      <c r="O1757" s="38" t="s">
        <v>123</v>
      </c>
      <c r="P1757" s="38">
        <v>3600.0</v>
      </c>
      <c r="Q1757" s="39"/>
      <c r="R1757" s="39"/>
      <c r="S1757" s="39"/>
      <c r="T1757" s="39"/>
      <c r="U1757" s="39"/>
    </row>
    <row r="1758">
      <c r="A1758" s="40">
        <f t="shared" si="1"/>
        <v>46006</v>
      </c>
      <c r="B1758" s="37" t="str">
        <f t="array" ref="B1758">iferror(xlookup($I1758, 'IMPORT VHC Report'!$E:$E, 'IMPORT VHC Report'!$A:$C), )</f>
        <v/>
      </c>
      <c r="C1758" s="37"/>
      <c r="D1758" s="37"/>
      <c r="E1758" s="38" t="s">
        <v>2179</v>
      </c>
      <c r="F1758" s="38" t="s">
        <v>2151</v>
      </c>
      <c r="G1758" s="38">
        <v>5.901988041103E12</v>
      </c>
      <c r="H1758" s="38" t="s">
        <v>2152</v>
      </c>
      <c r="I1758" s="38" t="s">
        <v>2153</v>
      </c>
      <c r="J1758" s="38" t="s">
        <v>224</v>
      </c>
      <c r="K1758" s="38" t="s">
        <v>63</v>
      </c>
      <c r="L1758" s="41">
        <v>46010.354166666664</v>
      </c>
      <c r="M1758" s="38" t="s">
        <v>123</v>
      </c>
      <c r="N1758" s="41">
        <v>46010.458333333336</v>
      </c>
      <c r="O1758" s="38" t="s">
        <v>123</v>
      </c>
      <c r="P1758" s="38">
        <v>9000.0</v>
      </c>
      <c r="Q1758" s="39"/>
      <c r="R1758" s="39"/>
      <c r="S1758" s="39"/>
      <c r="T1758" s="39"/>
      <c r="U1758" s="39"/>
    </row>
    <row r="1759">
      <c r="A1759" s="40">
        <f t="shared" si="1"/>
        <v>46006</v>
      </c>
      <c r="B1759" s="37" t="str">
        <f t="array" ref="B1759">iferror(xlookup($I1759, 'IMPORT VHC Report'!$E:$E, 'IMPORT VHC Report'!$A:$C), )</f>
        <v/>
      </c>
      <c r="C1759" s="37"/>
      <c r="D1759" s="37"/>
      <c r="E1759" s="38" t="s">
        <v>2180</v>
      </c>
      <c r="F1759" s="38" t="s">
        <v>2151</v>
      </c>
      <c r="G1759" s="38">
        <v>5.901988041103E12</v>
      </c>
      <c r="H1759" s="38" t="s">
        <v>2152</v>
      </c>
      <c r="I1759" s="38" t="s">
        <v>2153</v>
      </c>
      <c r="J1759" s="38" t="s">
        <v>134</v>
      </c>
      <c r="K1759" s="38" t="s">
        <v>126</v>
      </c>
      <c r="L1759" s="41">
        <v>46010.458333333336</v>
      </c>
      <c r="M1759" s="38" t="s">
        <v>123</v>
      </c>
      <c r="N1759" s="41">
        <v>46010.479166666664</v>
      </c>
      <c r="O1759" s="38" t="s">
        <v>123</v>
      </c>
      <c r="P1759" s="38">
        <v>1800.0</v>
      </c>
      <c r="Q1759" s="39"/>
      <c r="R1759" s="39"/>
      <c r="S1759" s="39"/>
      <c r="T1759" s="39"/>
      <c r="U1759" s="39"/>
    </row>
    <row r="1760">
      <c r="A1760" s="40">
        <f t="shared" si="1"/>
        <v>46006</v>
      </c>
      <c r="B1760" s="37" t="str">
        <f t="array" ref="B1760">iferror(xlookup($I1760, 'IMPORT VHC Report'!$E:$E, 'IMPORT VHC Report'!$A:$C), )</f>
        <v/>
      </c>
      <c r="C1760" s="37"/>
      <c r="D1760" s="37"/>
      <c r="E1760" s="38" t="s">
        <v>2181</v>
      </c>
      <c r="F1760" s="38" t="s">
        <v>2151</v>
      </c>
      <c r="G1760" s="38">
        <v>5.901988041103E12</v>
      </c>
      <c r="H1760" s="38" t="s">
        <v>2152</v>
      </c>
      <c r="I1760" s="38" t="s">
        <v>2153</v>
      </c>
      <c r="J1760" s="38" t="s">
        <v>224</v>
      </c>
      <c r="K1760" s="38" t="s">
        <v>63</v>
      </c>
      <c r="L1760" s="41">
        <v>46010.479166666664</v>
      </c>
      <c r="M1760" s="38" t="s">
        <v>123</v>
      </c>
      <c r="N1760" s="41">
        <v>46010.541666666664</v>
      </c>
      <c r="O1760" s="38" t="s">
        <v>123</v>
      </c>
      <c r="P1760" s="38">
        <v>5400.0</v>
      </c>
      <c r="Q1760" s="39"/>
      <c r="R1760" s="39"/>
      <c r="S1760" s="39"/>
      <c r="T1760" s="39"/>
      <c r="U1760" s="39"/>
    </row>
    <row r="1761">
      <c r="A1761" s="40">
        <f t="shared" si="1"/>
        <v>46006</v>
      </c>
      <c r="B1761" s="37" t="str">
        <f t="array" ref="B1761">iferror(xlookup($I1761, 'IMPORT VHC Report'!$E:$E, 'IMPORT VHC Report'!$A:$C), )</f>
        <v/>
      </c>
      <c r="C1761" s="37"/>
      <c r="D1761" s="37"/>
      <c r="E1761" s="38" t="s">
        <v>2182</v>
      </c>
      <c r="F1761" s="38" t="s">
        <v>2183</v>
      </c>
      <c r="G1761" s="38">
        <v>3.61969384715E11</v>
      </c>
      <c r="H1761" s="38" t="s">
        <v>2184</v>
      </c>
      <c r="I1761" s="38" t="s">
        <v>2185</v>
      </c>
      <c r="J1761" s="38" t="s">
        <v>224</v>
      </c>
      <c r="K1761" s="38" t="s">
        <v>63</v>
      </c>
      <c r="L1761" s="41">
        <v>46006.166666666664</v>
      </c>
      <c r="M1761" s="38" t="s">
        <v>123</v>
      </c>
      <c r="N1761" s="41">
        <v>46006.291666666664</v>
      </c>
      <c r="O1761" s="38" t="s">
        <v>123</v>
      </c>
      <c r="P1761" s="38">
        <v>10800.0</v>
      </c>
      <c r="Q1761" s="39"/>
      <c r="R1761" s="39"/>
      <c r="S1761" s="39"/>
      <c r="T1761" s="39"/>
      <c r="U1761" s="39"/>
    </row>
    <row r="1762">
      <c r="A1762" s="40">
        <f t="shared" si="1"/>
        <v>46006</v>
      </c>
      <c r="B1762" s="37" t="str">
        <f t="array" ref="B1762">iferror(xlookup($I1762, 'IMPORT VHC Report'!$E:$E, 'IMPORT VHC Report'!$A:$C), )</f>
        <v/>
      </c>
      <c r="C1762" s="37"/>
      <c r="D1762" s="37"/>
      <c r="E1762" s="38" t="s">
        <v>2186</v>
      </c>
      <c r="F1762" s="38" t="s">
        <v>2183</v>
      </c>
      <c r="G1762" s="38">
        <v>3.61969384715E11</v>
      </c>
      <c r="H1762" s="38" t="s">
        <v>2184</v>
      </c>
      <c r="I1762" s="38" t="s">
        <v>2185</v>
      </c>
      <c r="J1762" s="38" t="s">
        <v>134</v>
      </c>
      <c r="K1762" s="38" t="s">
        <v>126</v>
      </c>
      <c r="L1762" s="41">
        <v>46006.291666666664</v>
      </c>
      <c r="M1762" s="38" t="s">
        <v>123</v>
      </c>
      <c r="N1762" s="41">
        <v>46006.3125</v>
      </c>
      <c r="O1762" s="38" t="s">
        <v>123</v>
      </c>
      <c r="P1762" s="38">
        <v>1800.0</v>
      </c>
      <c r="Q1762" s="39"/>
      <c r="R1762" s="39"/>
      <c r="S1762" s="39"/>
      <c r="T1762" s="39"/>
      <c r="U1762" s="39"/>
    </row>
    <row r="1763">
      <c r="A1763" s="40">
        <f t="shared" si="1"/>
        <v>46006</v>
      </c>
      <c r="B1763" s="37" t="str">
        <f t="array" ref="B1763">iferror(xlookup($I1763, 'IMPORT VHC Report'!$E:$E, 'IMPORT VHC Report'!$A:$C), )</f>
        <v/>
      </c>
      <c r="C1763" s="37"/>
      <c r="D1763" s="37"/>
      <c r="E1763" s="38" t="s">
        <v>2187</v>
      </c>
      <c r="F1763" s="38" t="s">
        <v>2183</v>
      </c>
      <c r="G1763" s="38">
        <v>3.61969384715E11</v>
      </c>
      <c r="H1763" s="38" t="s">
        <v>2184</v>
      </c>
      <c r="I1763" s="38" t="s">
        <v>2185</v>
      </c>
      <c r="J1763" s="38" t="s">
        <v>224</v>
      </c>
      <c r="K1763" s="38" t="s">
        <v>63</v>
      </c>
      <c r="L1763" s="41">
        <v>46006.3125</v>
      </c>
      <c r="M1763" s="38" t="s">
        <v>123</v>
      </c>
      <c r="N1763" s="41">
        <v>46006.4375</v>
      </c>
      <c r="O1763" s="38" t="s">
        <v>123</v>
      </c>
      <c r="P1763" s="38">
        <v>10800.0</v>
      </c>
      <c r="Q1763" s="39"/>
      <c r="R1763" s="39"/>
      <c r="S1763" s="39"/>
      <c r="T1763" s="39"/>
      <c r="U1763" s="39"/>
    </row>
    <row r="1764">
      <c r="A1764" s="40">
        <f t="shared" si="1"/>
        <v>46006</v>
      </c>
      <c r="B1764" s="37" t="str">
        <f t="array" ref="B1764">iferror(xlookup($I1764, 'IMPORT VHC Report'!$E:$E, 'IMPORT VHC Report'!$A:$C), )</f>
        <v/>
      </c>
      <c r="C1764" s="37"/>
      <c r="D1764" s="37"/>
      <c r="E1764" s="38" t="s">
        <v>2188</v>
      </c>
      <c r="F1764" s="38" t="s">
        <v>2183</v>
      </c>
      <c r="G1764" s="38">
        <v>3.61969384715E11</v>
      </c>
      <c r="H1764" s="38" t="s">
        <v>2184</v>
      </c>
      <c r="I1764" s="38" t="s">
        <v>2185</v>
      </c>
      <c r="J1764" s="38" t="s">
        <v>132</v>
      </c>
      <c r="K1764" s="38" t="s">
        <v>126</v>
      </c>
      <c r="L1764" s="41">
        <v>46006.4375</v>
      </c>
      <c r="M1764" s="38" t="s">
        <v>123</v>
      </c>
      <c r="N1764" s="41">
        <v>46006.479166666664</v>
      </c>
      <c r="O1764" s="38" t="s">
        <v>123</v>
      </c>
      <c r="P1764" s="38">
        <v>3600.0</v>
      </c>
      <c r="Q1764" s="39"/>
      <c r="R1764" s="39"/>
      <c r="S1764" s="39"/>
      <c r="T1764" s="39"/>
      <c r="U1764" s="39"/>
    </row>
    <row r="1765">
      <c r="A1765" s="40">
        <f t="shared" si="1"/>
        <v>46006</v>
      </c>
      <c r="B1765" s="37" t="str">
        <f t="array" ref="B1765">iferror(xlookup($I1765, 'IMPORT VHC Report'!$E:$E, 'IMPORT VHC Report'!$A:$C), )</f>
        <v/>
      </c>
      <c r="C1765" s="37"/>
      <c r="D1765" s="37"/>
      <c r="E1765" s="38" t="s">
        <v>2189</v>
      </c>
      <c r="F1765" s="38" t="s">
        <v>2183</v>
      </c>
      <c r="G1765" s="38">
        <v>3.61969384715E11</v>
      </c>
      <c r="H1765" s="38" t="s">
        <v>2184</v>
      </c>
      <c r="I1765" s="38" t="s">
        <v>2185</v>
      </c>
      <c r="J1765" s="38" t="s">
        <v>224</v>
      </c>
      <c r="K1765" s="38" t="s">
        <v>63</v>
      </c>
      <c r="L1765" s="41">
        <v>46006.479166666664</v>
      </c>
      <c r="M1765" s="38" t="s">
        <v>123</v>
      </c>
      <c r="N1765" s="41">
        <v>46006.541666666664</v>
      </c>
      <c r="O1765" s="38" t="s">
        <v>123</v>
      </c>
      <c r="P1765" s="38">
        <v>5400.0</v>
      </c>
      <c r="Q1765" s="39"/>
      <c r="R1765" s="39"/>
      <c r="S1765" s="39"/>
      <c r="T1765" s="39"/>
      <c r="U1765" s="39"/>
    </row>
    <row r="1766">
      <c r="A1766" s="40">
        <f t="shared" si="1"/>
        <v>46006</v>
      </c>
      <c r="B1766" s="37" t="str">
        <f t="array" ref="B1766">iferror(xlookup($I1766, 'IMPORT VHC Report'!$E:$E, 'IMPORT VHC Report'!$A:$C), )</f>
        <v/>
      </c>
      <c r="C1766" s="37"/>
      <c r="D1766" s="37"/>
      <c r="E1766" s="38" t="s">
        <v>2190</v>
      </c>
      <c r="F1766" s="38" t="s">
        <v>2183</v>
      </c>
      <c r="G1766" s="38">
        <v>3.61969384715E11</v>
      </c>
      <c r="H1766" s="38" t="s">
        <v>2184</v>
      </c>
      <c r="I1766" s="38" t="s">
        <v>2185</v>
      </c>
      <c r="J1766" s="38" t="s">
        <v>224</v>
      </c>
      <c r="K1766" s="38" t="s">
        <v>63</v>
      </c>
      <c r="L1766" s="41">
        <v>46007.125</v>
      </c>
      <c r="M1766" s="38" t="s">
        <v>123</v>
      </c>
      <c r="N1766" s="41">
        <v>46007.25</v>
      </c>
      <c r="O1766" s="38" t="s">
        <v>123</v>
      </c>
      <c r="P1766" s="38">
        <v>10800.0</v>
      </c>
      <c r="Q1766" s="39"/>
      <c r="R1766" s="39"/>
      <c r="S1766" s="39"/>
      <c r="T1766" s="39"/>
      <c r="U1766" s="39"/>
    </row>
    <row r="1767">
      <c r="A1767" s="40">
        <f t="shared" si="1"/>
        <v>46006</v>
      </c>
      <c r="B1767" s="37" t="str">
        <f t="array" ref="B1767">iferror(xlookup($I1767, 'IMPORT VHC Report'!$E:$E, 'IMPORT VHC Report'!$A:$C), )</f>
        <v/>
      </c>
      <c r="C1767" s="37"/>
      <c r="D1767" s="37"/>
      <c r="E1767" s="38" t="s">
        <v>2191</v>
      </c>
      <c r="F1767" s="38" t="s">
        <v>2183</v>
      </c>
      <c r="G1767" s="38">
        <v>3.61969384715E11</v>
      </c>
      <c r="H1767" s="38" t="s">
        <v>2184</v>
      </c>
      <c r="I1767" s="38" t="s">
        <v>2185</v>
      </c>
      <c r="J1767" s="38" t="s">
        <v>132</v>
      </c>
      <c r="K1767" s="38" t="s">
        <v>126</v>
      </c>
      <c r="L1767" s="41">
        <v>46007.25</v>
      </c>
      <c r="M1767" s="38" t="s">
        <v>123</v>
      </c>
      <c r="N1767" s="41">
        <v>46007.291666666664</v>
      </c>
      <c r="O1767" s="38" t="s">
        <v>123</v>
      </c>
      <c r="P1767" s="38">
        <v>3600.0</v>
      </c>
      <c r="Q1767" s="39"/>
      <c r="R1767" s="39"/>
      <c r="S1767" s="39"/>
      <c r="T1767" s="39"/>
      <c r="U1767" s="39"/>
    </row>
    <row r="1768">
      <c r="A1768" s="40">
        <f t="shared" si="1"/>
        <v>46006</v>
      </c>
      <c r="B1768" s="37" t="str">
        <f t="array" ref="B1768">iferror(xlookup($I1768, 'IMPORT VHC Report'!$E:$E, 'IMPORT VHC Report'!$A:$C), )</f>
        <v/>
      </c>
      <c r="C1768" s="37"/>
      <c r="D1768" s="37"/>
      <c r="E1768" s="38" t="s">
        <v>2192</v>
      </c>
      <c r="F1768" s="38" t="s">
        <v>2183</v>
      </c>
      <c r="G1768" s="38">
        <v>3.61969384715E11</v>
      </c>
      <c r="H1768" s="38" t="s">
        <v>2184</v>
      </c>
      <c r="I1768" s="38" t="s">
        <v>2185</v>
      </c>
      <c r="J1768" s="38" t="s">
        <v>224</v>
      </c>
      <c r="K1768" s="38" t="s">
        <v>63</v>
      </c>
      <c r="L1768" s="41">
        <v>46007.291666666664</v>
      </c>
      <c r="M1768" s="38" t="s">
        <v>123</v>
      </c>
      <c r="N1768" s="41">
        <v>46007.416666666664</v>
      </c>
      <c r="O1768" s="38" t="s">
        <v>123</v>
      </c>
      <c r="P1768" s="38">
        <v>10800.0</v>
      </c>
      <c r="Q1768" s="39"/>
      <c r="R1768" s="39"/>
      <c r="S1768" s="39"/>
      <c r="T1768" s="39"/>
      <c r="U1768" s="39"/>
    </row>
    <row r="1769">
      <c r="A1769" s="40">
        <f t="shared" si="1"/>
        <v>46006</v>
      </c>
      <c r="B1769" s="37" t="str">
        <f t="array" ref="B1769">iferror(xlookup($I1769, 'IMPORT VHC Report'!$E:$E, 'IMPORT VHC Report'!$A:$C), )</f>
        <v/>
      </c>
      <c r="C1769" s="37"/>
      <c r="D1769" s="37"/>
      <c r="E1769" s="38" t="s">
        <v>2193</v>
      </c>
      <c r="F1769" s="38" t="s">
        <v>2183</v>
      </c>
      <c r="G1769" s="38">
        <v>3.61969384715E11</v>
      </c>
      <c r="H1769" s="38" t="s">
        <v>2184</v>
      </c>
      <c r="I1769" s="38" t="s">
        <v>2185</v>
      </c>
      <c r="J1769" s="38" t="s">
        <v>134</v>
      </c>
      <c r="K1769" s="38" t="s">
        <v>126</v>
      </c>
      <c r="L1769" s="41">
        <v>46007.416666666664</v>
      </c>
      <c r="M1769" s="38" t="s">
        <v>123</v>
      </c>
      <c r="N1769" s="41">
        <v>46007.4375</v>
      </c>
      <c r="O1769" s="38" t="s">
        <v>123</v>
      </c>
      <c r="P1769" s="38">
        <v>1800.0</v>
      </c>
      <c r="Q1769" s="39"/>
      <c r="R1769" s="39"/>
      <c r="S1769" s="39"/>
      <c r="T1769" s="39"/>
      <c r="U1769" s="39"/>
    </row>
    <row r="1770">
      <c r="A1770" s="40">
        <f t="shared" si="1"/>
        <v>46006</v>
      </c>
      <c r="B1770" s="37" t="str">
        <f t="array" ref="B1770">iferror(xlookup($I1770, 'IMPORT VHC Report'!$E:$E, 'IMPORT VHC Report'!$A:$C), )</f>
        <v/>
      </c>
      <c r="C1770" s="37"/>
      <c r="D1770" s="37"/>
      <c r="E1770" s="38" t="s">
        <v>2194</v>
      </c>
      <c r="F1770" s="38" t="s">
        <v>2183</v>
      </c>
      <c r="G1770" s="38">
        <v>3.61969384715E11</v>
      </c>
      <c r="H1770" s="38" t="s">
        <v>2184</v>
      </c>
      <c r="I1770" s="38" t="s">
        <v>2185</v>
      </c>
      <c r="J1770" s="38" t="s">
        <v>224</v>
      </c>
      <c r="K1770" s="38" t="s">
        <v>63</v>
      </c>
      <c r="L1770" s="41">
        <v>46007.4375</v>
      </c>
      <c r="M1770" s="38" t="s">
        <v>123</v>
      </c>
      <c r="N1770" s="41">
        <v>46007.5</v>
      </c>
      <c r="O1770" s="38" t="s">
        <v>123</v>
      </c>
      <c r="P1770" s="38">
        <v>5400.0</v>
      </c>
      <c r="Q1770" s="39"/>
      <c r="R1770" s="39"/>
      <c r="S1770" s="39"/>
      <c r="T1770" s="39"/>
      <c r="U1770" s="39"/>
    </row>
    <row r="1771">
      <c r="A1771" s="40">
        <f t="shared" si="1"/>
        <v>46006</v>
      </c>
      <c r="B1771" s="37" t="str">
        <f t="array" ref="B1771">iferror(xlookup($I1771, 'IMPORT VHC Report'!$E:$E, 'IMPORT VHC Report'!$A:$C), )</f>
        <v/>
      </c>
      <c r="C1771" s="37"/>
      <c r="D1771" s="37"/>
      <c r="E1771" s="38" t="s">
        <v>2195</v>
      </c>
      <c r="F1771" s="38" t="s">
        <v>2183</v>
      </c>
      <c r="G1771" s="38">
        <v>3.61969384715E11</v>
      </c>
      <c r="H1771" s="38" t="s">
        <v>2184</v>
      </c>
      <c r="I1771" s="38" t="s">
        <v>2185</v>
      </c>
      <c r="J1771" s="38" t="s">
        <v>224</v>
      </c>
      <c r="K1771" s="38" t="s">
        <v>63</v>
      </c>
      <c r="L1771" s="41">
        <v>46008.125</v>
      </c>
      <c r="M1771" s="38" t="s">
        <v>123</v>
      </c>
      <c r="N1771" s="41">
        <v>46008.416666666664</v>
      </c>
      <c r="O1771" s="38" t="s">
        <v>123</v>
      </c>
      <c r="P1771" s="38">
        <v>25200.0</v>
      </c>
      <c r="Q1771" s="39"/>
      <c r="R1771" s="39"/>
      <c r="S1771" s="39"/>
      <c r="T1771" s="39"/>
      <c r="U1771" s="39"/>
    </row>
    <row r="1772">
      <c r="A1772" s="40">
        <f t="shared" si="1"/>
        <v>46006</v>
      </c>
      <c r="B1772" s="37" t="str">
        <f t="array" ref="B1772">iferror(xlookup($I1772, 'IMPORT VHC Report'!$E:$E, 'IMPORT VHC Report'!$A:$C), )</f>
        <v/>
      </c>
      <c r="C1772" s="37"/>
      <c r="D1772" s="37"/>
      <c r="E1772" s="38" t="s">
        <v>2196</v>
      </c>
      <c r="F1772" s="38" t="s">
        <v>2183</v>
      </c>
      <c r="G1772" s="38">
        <v>3.61969384715E11</v>
      </c>
      <c r="H1772" s="38" t="s">
        <v>2184</v>
      </c>
      <c r="I1772" s="38" t="s">
        <v>2185</v>
      </c>
      <c r="J1772" s="38" t="s">
        <v>132</v>
      </c>
      <c r="K1772" s="38" t="s">
        <v>126</v>
      </c>
      <c r="L1772" s="41">
        <v>46008.375</v>
      </c>
      <c r="M1772" s="38" t="s">
        <v>123</v>
      </c>
      <c r="N1772" s="41">
        <v>46008.416666666664</v>
      </c>
      <c r="O1772" s="38" t="s">
        <v>123</v>
      </c>
      <c r="P1772" s="38">
        <v>3600.0</v>
      </c>
      <c r="Q1772" s="39"/>
      <c r="R1772" s="39"/>
      <c r="S1772" s="39"/>
      <c r="T1772" s="39"/>
      <c r="U1772" s="39"/>
    </row>
    <row r="1773">
      <c r="A1773" s="40">
        <f t="shared" si="1"/>
        <v>46006</v>
      </c>
      <c r="B1773" s="37" t="str">
        <f t="array" ref="B1773">iferror(xlookup($I1773, 'IMPORT VHC Report'!$E:$E, 'IMPORT VHC Report'!$A:$C), )</f>
        <v/>
      </c>
      <c r="C1773" s="37"/>
      <c r="D1773" s="37"/>
      <c r="E1773" s="38" t="s">
        <v>2197</v>
      </c>
      <c r="F1773" s="38" t="s">
        <v>2183</v>
      </c>
      <c r="G1773" s="38">
        <v>3.61969384715E11</v>
      </c>
      <c r="H1773" s="38" t="s">
        <v>2184</v>
      </c>
      <c r="I1773" s="38" t="s">
        <v>2185</v>
      </c>
      <c r="J1773" s="38" t="s">
        <v>134</v>
      </c>
      <c r="K1773" s="38" t="s">
        <v>126</v>
      </c>
      <c r="L1773" s="41">
        <v>46008.416666666664</v>
      </c>
      <c r="M1773" s="38" t="s">
        <v>123</v>
      </c>
      <c r="N1773" s="41">
        <v>46008.4375</v>
      </c>
      <c r="O1773" s="38" t="s">
        <v>123</v>
      </c>
      <c r="P1773" s="38">
        <v>1800.0</v>
      </c>
      <c r="Q1773" s="39"/>
      <c r="R1773" s="39"/>
      <c r="S1773" s="39"/>
      <c r="T1773" s="39"/>
      <c r="U1773" s="39"/>
    </row>
    <row r="1774">
      <c r="A1774" s="40">
        <f t="shared" si="1"/>
        <v>46006</v>
      </c>
      <c r="B1774" s="37" t="str">
        <f t="array" ref="B1774">iferror(xlookup($I1774, 'IMPORT VHC Report'!$E:$E, 'IMPORT VHC Report'!$A:$C), )</f>
        <v/>
      </c>
      <c r="C1774" s="37"/>
      <c r="D1774" s="37"/>
      <c r="E1774" s="38" t="s">
        <v>2198</v>
      </c>
      <c r="F1774" s="38" t="s">
        <v>2183</v>
      </c>
      <c r="G1774" s="38">
        <v>3.61969384715E11</v>
      </c>
      <c r="H1774" s="38" t="s">
        <v>2184</v>
      </c>
      <c r="I1774" s="38" t="s">
        <v>2185</v>
      </c>
      <c r="J1774" s="38" t="s">
        <v>224</v>
      </c>
      <c r="K1774" s="38" t="s">
        <v>63</v>
      </c>
      <c r="L1774" s="41">
        <v>46008.416666666664</v>
      </c>
      <c r="M1774" s="38" t="s">
        <v>123</v>
      </c>
      <c r="N1774" s="41">
        <v>46008.5</v>
      </c>
      <c r="O1774" s="38" t="s">
        <v>123</v>
      </c>
      <c r="P1774" s="38">
        <v>7200.0</v>
      </c>
      <c r="Q1774" s="39"/>
      <c r="R1774" s="39"/>
      <c r="S1774" s="39"/>
      <c r="T1774" s="39"/>
      <c r="U1774" s="39"/>
    </row>
    <row r="1775">
      <c r="A1775" s="40">
        <f t="shared" si="1"/>
        <v>46006</v>
      </c>
      <c r="B1775" s="37" t="str">
        <f t="array" ref="B1775">iferror(xlookup($I1775, 'IMPORT VHC Report'!$E:$E, 'IMPORT VHC Report'!$A:$C), )</f>
        <v/>
      </c>
      <c r="C1775" s="37"/>
      <c r="D1775" s="37"/>
      <c r="E1775" s="38" t="s">
        <v>2199</v>
      </c>
      <c r="F1775" s="38" t="s">
        <v>2183</v>
      </c>
      <c r="G1775" s="38">
        <v>3.61969384715E11</v>
      </c>
      <c r="H1775" s="38" t="s">
        <v>2184</v>
      </c>
      <c r="I1775" s="38" t="s">
        <v>2185</v>
      </c>
      <c r="J1775" s="38" t="s">
        <v>125</v>
      </c>
      <c r="K1775" s="38" t="s">
        <v>126</v>
      </c>
      <c r="L1775" s="41">
        <v>46009.125</v>
      </c>
      <c r="M1775" s="38" t="s">
        <v>123</v>
      </c>
      <c r="N1775" s="41">
        <v>46009.13611111111</v>
      </c>
      <c r="O1775" s="38" t="s">
        <v>123</v>
      </c>
      <c r="P1775" s="38">
        <v>960.0</v>
      </c>
      <c r="Q1775" s="39"/>
      <c r="R1775" s="39"/>
      <c r="S1775" s="38" t="s">
        <v>1793</v>
      </c>
      <c r="T1775" s="39"/>
      <c r="U1775" s="39"/>
    </row>
    <row r="1776">
      <c r="A1776" s="40">
        <f t="shared" si="1"/>
        <v>46006</v>
      </c>
      <c r="B1776" s="37" t="str">
        <f t="array" ref="B1776">iferror(xlookup($I1776, 'IMPORT VHC Report'!$E:$E, 'IMPORT VHC Report'!$A:$C), )</f>
        <v/>
      </c>
      <c r="C1776" s="37"/>
      <c r="D1776" s="37"/>
      <c r="E1776" s="38" t="s">
        <v>2200</v>
      </c>
      <c r="F1776" s="38" t="s">
        <v>2183</v>
      </c>
      <c r="G1776" s="38">
        <v>3.61969384715E11</v>
      </c>
      <c r="H1776" s="38" t="s">
        <v>2184</v>
      </c>
      <c r="I1776" s="38" t="s">
        <v>2185</v>
      </c>
      <c r="J1776" s="38" t="s">
        <v>224</v>
      </c>
      <c r="K1776" s="38" t="s">
        <v>63</v>
      </c>
      <c r="L1776" s="41">
        <v>46009.125</v>
      </c>
      <c r="M1776" s="38" t="s">
        <v>123</v>
      </c>
      <c r="N1776" s="41">
        <v>46009.25</v>
      </c>
      <c r="O1776" s="38" t="s">
        <v>123</v>
      </c>
      <c r="P1776" s="38">
        <v>10800.0</v>
      </c>
      <c r="Q1776" s="39"/>
      <c r="R1776" s="39"/>
      <c r="S1776" s="39"/>
      <c r="T1776" s="39"/>
      <c r="U1776" s="39"/>
    </row>
    <row r="1777">
      <c r="A1777" s="40">
        <f t="shared" si="1"/>
        <v>46006</v>
      </c>
      <c r="B1777" s="37" t="str">
        <f t="array" ref="B1777">iferror(xlookup($I1777, 'IMPORT VHC Report'!$E:$E, 'IMPORT VHC Report'!$A:$C), )</f>
        <v/>
      </c>
      <c r="C1777" s="37"/>
      <c r="D1777" s="37"/>
      <c r="E1777" s="38" t="s">
        <v>2201</v>
      </c>
      <c r="F1777" s="38" t="s">
        <v>2183</v>
      </c>
      <c r="G1777" s="38">
        <v>3.61969384715E11</v>
      </c>
      <c r="H1777" s="38" t="s">
        <v>2184</v>
      </c>
      <c r="I1777" s="38" t="s">
        <v>2185</v>
      </c>
      <c r="J1777" s="38" t="s">
        <v>224</v>
      </c>
      <c r="K1777" s="38" t="s">
        <v>63</v>
      </c>
      <c r="L1777" s="41">
        <v>46009.25</v>
      </c>
      <c r="M1777" s="38" t="s">
        <v>123</v>
      </c>
      <c r="N1777" s="41">
        <v>46009.479166666664</v>
      </c>
      <c r="O1777" s="38" t="s">
        <v>123</v>
      </c>
      <c r="P1777" s="38">
        <v>19800.0</v>
      </c>
      <c r="Q1777" s="39"/>
      <c r="R1777" s="39"/>
      <c r="S1777" s="39"/>
      <c r="T1777" s="39"/>
      <c r="U1777" s="39"/>
    </row>
    <row r="1778">
      <c r="A1778" s="40">
        <f t="shared" si="1"/>
        <v>46006</v>
      </c>
      <c r="B1778" s="37" t="str">
        <f t="array" ref="B1778">iferror(xlookup($I1778, 'IMPORT VHC Report'!$E:$E, 'IMPORT VHC Report'!$A:$C), )</f>
        <v/>
      </c>
      <c r="C1778" s="37"/>
      <c r="D1778" s="37"/>
      <c r="E1778" s="38" t="s">
        <v>2202</v>
      </c>
      <c r="F1778" s="38" t="s">
        <v>2183</v>
      </c>
      <c r="G1778" s="38">
        <v>3.61969384715E11</v>
      </c>
      <c r="H1778" s="38" t="s">
        <v>2184</v>
      </c>
      <c r="I1778" s="38" t="s">
        <v>2185</v>
      </c>
      <c r="J1778" s="38" t="s">
        <v>132</v>
      </c>
      <c r="K1778" s="38" t="s">
        <v>126</v>
      </c>
      <c r="L1778" s="41">
        <v>46009.4375</v>
      </c>
      <c r="M1778" s="38" t="s">
        <v>123</v>
      </c>
      <c r="N1778" s="41">
        <v>46009.479166666664</v>
      </c>
      <c r="O1778" s="38" t="s">
        <v>123</v>
      </c>
      <c r="P1778" s="38">
        <v>3600.0</v>
      </c>
      <c r="Q1778" s="39"/>
      <c r="R1778" s="39"/>
      <c r="S1778" s="39"/>
      <c r="T1778" s="39"/>
      <c r="U1778" s="39"/>
    </row>
    <row r="1779">
      <c r="A1779" s="40">
        <f t="shared" si="1"/>
        <v>46006</v>
      </c>
      <c r="B1779" s="37" t="str">
        <f t="array" ref="B1779">iferror(xlookup($I1779, 'IMPORT VHC Report'!$E:$E, 'IMPORT VHC Report'!$A:$C), )</f>
        <v/>
      </c>
      <c r="C1779" s="37"/>
      <c r="D1779" s="37"/>
      <c r="E1779" s="38" t="s">
        <v>2203</v>
      </c>
      <c r="F1779" s="38" t="s">
        <v>2183</v>
      </c>
      <c r="G1779" s="38">
        <v>3.61969384715E11</v>
      </c>
      <c r="H1779" s="38" t="s">
        <v>2184</v>
      </c>
      <c r="I1779" s="38" t="s">
        <v>2185</v>
      </c>
      <c r="J1779" s="38" t="s">
        <v>134</v>
      </c>
      <c r="K1779" s="38" t="s">
        <v>126</v>
      </c>
      <c r="L1779" s="41">
        <v>46009.479166666664</v>
      </c>
      <c r="M1779" s="38" t="s">
        <v>123</v>
      </c>
      <c r="N1779" s="41">
        <v>46009.5</v>
      </c>
      <c r="O1779" s="38" t="s">
        <v>123</v>
      </c>
      <c r="P1779" s="38">
        <v>1800.0</v>
      </c>
      <c r="Q1779" s="39"/>
      <c r="R1779" s="39"/>
      <c r="S1779" s="39"/>
      <c r="T1779" s="39"/>
      <c r="U1779" s="39"/>
    </row>
    <row r="1780">
      <c r="A1780" s="40">
        <f t="shared" si="1"/>
        <v>46006</v>
      </c>
      <c r="B1780" s="37" t="str">
        <f t="array" ref="B1780">iferror(xlookup($I1780, 'IMPORT VHC Report'!$E:$E, 'IMPORT VHC Report'!$A:$C), )</f>
        <v/>
      </c>
      <c r="C1780" s="37"/>
      <c r="D1780" s="37"/>
      <c r="E1780" s="38" t="s">
        <v>2204</v>
      </c>
      <c r="F1780" s="38" t="s">
        <v>2183</v>
      </c>
      <c r="G1780" s="38">
        <v>3.61969384715E11</v>
      </c>
      <c r="H1780" s="38" t="s">
        <v>2184</v>
      </c>
      <c r="I1780" s="38" t="s">
        <v>2185</v>
      </c>
      <c r="J1780" s="38" t="s">
        <v>224</v>
      </c>
      <c r="K1780" s="38" t="s">
        <v>63</v>
      </c>
      <c r="L1780" s="41">
        <v>46009.479166666664</v>
      </c>
      <c r="M1780" s="38" t="s">
        <v>123</v>
      </c>
      <c r="N1780" s="41">
        <v>46009.5</v>
      </c>
      <c r="O1780" s="38" t="s">
        <v>123</v>
      </c>
      <c r="P1780" s="38">
        <v>1800.0</v>
      </c>
      <c r="Q1780" s="39"/>
      <c r="R1780" s="39"/>
      <c r="S1780" s="39"/>
      <c r="T1780" s="39"/>
      <c r="U1780" s="39"/>
    </row>
    <row r="1781">
      <c r="A1781" s="40">
        <f t="shared" si="1"/>
        <v>46006</v>
      </c>
      <c r="B1781" s="37" t="str">
        <f t="array" ref="B1781">iferror(xlookup($I1781, 'IMPORT VHC Report'!$E:$E, 'IMPORT VHC Report'!$A:$C), )</f>
        <v/>
      </c>
      <c r="C1781" s="37"/>
      <c r="D1781" s="37"/>
      <c r="E1781" s="38" t="s">
        <v>2205</v>
      </c>
      <c r="F1781" s="38" t="s">
        <v>2183</v>
      </c>
      <c r="G1781" s="38">
        <v>3.61969384715E11</v>
      </c>
      <c r="H1781" s="38" t="s">
        <v>2184</v>
      </c>
      <c r="I1781" s="38" t="s">
        <v>2185</v>
      </c>
      <c r="J1781" s="38" t="s">
        <v>224</v>
      </c>
      <c r="K1781" s="38" t="s">
        <v>63</v>
      </c>
      <c r="L1781" s="41">
        <v>46010.125</v>
      </c>
      <c r="M1781" s="38" t="s">
        <v>123</v>
      </c>
      <c r="N1781" s="41">
        <v>46010.270833333336</v>
      </c>
      <c r="O1781" s="38" t="s">
        <v>123</v>
      </c>
      <c r="P1781" s="38">
        <v>12600.0</v>
      </c>
      <c r="Q1781" s="39"/>
      <c r="R1781" s="39"/>
      <c r="S1781" s="39"/>
      <c r="T1781" s="39"/>
      <c r="U1781" s="39"/>
    </row>
    <row r="1782">
      <c r="A1782" s="40">
        <f t="shared" si="1"/>
        <v>46006</v>
      </c>
      <c r="B1782" s="37" t="str">
        <f t="array" ref="B1782">iferror(xlookup($I1782, 'IMPORT VHC Report'!$E:$E, 'IMPORT VHC Report'!$A:$C), )</f>
        <v/>
      </c>
      <c r="C1782" s="37"/>
      <c r="D1782" s="37"/>
      <c r="E1782" s="38" t="s">
        <v>2206</v>
      </c>
      <c r="F1782" s="38" t="s">
        <v>2183</v>
      </c>
      <c r="G1782" s="38">
        <v>3.61969384715E11</v>
      </c>
      <c r="H1782" s="38" t="s">
        <v>2184</v>
      </c>
      <c r="I1782" s="38" t="s">
        <v>2185</v>
      </c>
      <c r="J1782" s="38" t="s">
        <v>224</v>
      </c>
      <c r="K1782" s="38" t="s">
        <v>63</v>
      </c>
      <c r="L1782" s="41">
        <v>46010.270833333336</v>
      </c>
      <c r="M1782" s="38" t="s">
        <v>123</v>
      </c>
      <c r="N1782" s="41">
        <v>46010.40625</v>
      </c>
      <c r="O1782" s="38" t="s">
        <v>123</v>
      </c>
      <c r="P1782" s="38">
        <v>11700.0</v>
      </c>
      <c r="Q1782" s="39"/>
      <c r="R1782" s="39"/>
      <c r="S1782" s="39"/>
      <c r="T1782" s="39"/>
      <c r="U1782" s="39"/>
    </row>
    <row r="1783">
      <c r="A1783" s="40">
        <f t="shared" si="1"/>
        <v>46006</v>
      </c>
      <c r="B1783" s="37" t="str">
        <f t="array" ref="B1783">iferror(xlookup($I1783, 'IMPORT VHC Report'!$E:$E, 'IMPORT VHC Report'!$A:$C), )</f>
        <v/>
      </c>
      <c r="C1783" s="37"/>
      <c r="D1783" s="37"/>
      <c r="E1783" s="38" t="s">
        <v>2207</v>
      </c>
      <c r="F1783" s="38" t="s">
        <v>2183</v>
      </c>
      <c r="G1783" s="38">
        <v>3.61969384715E11</v>
      </c>
      <c r="H1783" s="38" t="s">
        <v>2184</v>
      </c>
      <c r="I1783" s="38" t="s">
        <v>2185</v>
      </c>
      <c r="J1783" s="38" t="s">
        <v>224</v>
      </c>
      <c r="K1783" s="38" t="s">
        <v>63</v>
      </c>
      <c r="L1783" s="41">
        <v>46010.40625</v>
      </c>
      <c r="M1783" s="38" t="s">
        <v>123</v>
      </c>
      <c r="N1783" s="41">
        <v>46010.5</v>
      </c>
      <c r="O1783" s="38" t="s">
        <v>123</v>
      </c>
      <c r="P1783" s="38">
        <v>8100.0</v>
      </c>
      <c r="Q1783" s="39"/>
      <c r="R1783" s="39"/>
      <c r="S1783" s="39"/>
      <c r="T1783" s="39"/>
      <c r="U1783" s="39"/>
    </row>
    <row r="1784">
      <c r="A1784" s="40">
        <f t="shared" si="1"/>
        <v>46006</v>
      </c>
      <c r="B1784" s="37" t="str">
        <f t="array" ref="B1784">iferror(xlookup($I1784, 'IMPORT VHC Report'!$E:$E, 'IMPORT VHC Report'!$A:$C), )</f>
        <v/>
      </c>
      <c r="C1784" s="37"/>
      <c r="D1784" s="37"/>
      <c r="E1784" s="38" t="s">
        <v>2208</v>
      </c>
      <c r="F1784" s="38" t="s">
        <v>2183</v>
      </c>
      <c r="G1784" s="38">
        <v>3.61969384715E11</v>
      </c>
      <c r="H1784" s="38" t="s">
        <v>2184</v>
      </c>
      <c r="I1784" s="38" t="s">
        <v>2185</v>
      </c>
      <c r="J1784" s="38" t="s">
        <v>134</v>
      </c>
      <c r="K1784" s="38" t="s">
        <v>126</v>
      </c>
      <c r="L1784" s="41">
        <v>46010.4375</v>
      </c>
      <c r="M1784" s="38" t="s">
        <v>123</v>
      </c>
      <c r="N1784" s="41">
        <v>46010.458333333336</v>
      </c>
      <c r="O1784" s="38" t="s">
        <v>123</v>
      </c>
      <c r="P1784" s="38">
        <v>1800.0</v>
      </c>
      <c r="Q1784" s="39"/>
      <c r="R1784" s="39"/>
      <c r="S1784" s="39"/>
      <c r="T1784" s="39"/>
      <c r="U1784" s="39"/>
    </row>
    <row r="1785">
      <c r="A1785" s="40">
        <f t="shared" si="1"/>
        <v>46006</v>
      </c>
      <c r="B1785" s="37" t="str">
        <f t="array" ref="B1785">iferror(xlookup($I1785, 'IMPORT VHC Report'!$E:$E, 'IMPORT VHC Report'!$A:$C), )</f>
        <v/>
      </c>
      <c r="C1785" s="37"/>
      <c r="D1785" s="37"/>
      <c r="E1785" s="38" t="s">
        <v>2209</v>
      </c>
      <c r="F1785" s="38" t="s">
        <v>2183</v>
      </c>
      <c r="G1785" s="38">
        <v>3.61969384715E11</v>
      </c>
      <c r="H1785" s="38" t="s">
        <v>2184</v>
      </c>
      <c r="I1785" s="38" t="s">
        <v>2185</v>
      </c>
      <c r="J1785" s="38" t="s">
        <v>132</v>
      </c>
      <c r="K1785" s="38" t="s">
        <v>126</v>
      </c>
      <c r="L1785" s="41">
        <v>46010.458333333336</v>
      </c>
      <c r="M1785" s="38" t="s">
        <v>123</v>
      </c>
      <c r="N1785" s="41">
        <v>46010.5</v>
      </c>
      <c r="O1785" s="38" t="s">
        <v>123</v>
      </c>
      <c r="P1785" s="38">
        <v>3600.0</v>
      </c>
      <c r="Q1785" s="39"/>
      <c r="R1785" s="39"/>
      <c r="S1785" s="39"/>
      <c r="T1785" s="39"/>
      <c r="U1785" s="39"/>
    </row>
    <row r="1786">
      <c r="A1786" s="40">
        <f t="shared" si="1"/>
        <v>46006</v>
      </c>
      <c r="B1786" s="37" t="str">
        <f t="array" ref="B1786">iferror(xlookup($I1786, 'IMPORT VHC Report'!$E:$E, 'IMPORT VHC Report'!$A:$C), )</f>
        <v/>
      </c>
      <c r="C1786" s="37"/>
      <c r="D1786" s="37"/>
      <c r="E1786" s="38" t="s">
        <v>2210</v>
      </c>
      <c r="F1786" s="38" t="s">
        <v>2211</v>
      </c>
      <c r="G1786" s="38">
        <v>3.61731646775E11</v>
      </c>
      <c r="H1786" s="38" t="s">
        <v>2212</v>
      </c>
      <c r="I1786" s="38" t="s">
        <v>2213</v>
      </c>
      <c r="J1786" s="38" t="s">
        <v>4</v>
      </c>
      <c r="K1786" s="38" t="s">
        <v>126</v>
      </c>
      <c r="L1786" s="41">
        <v>46006.208333333336</v>
      </c>
      <c r="M1786" s="38" t="s">
        <v>123</v>
      </c>
      <c r="N1786" s="41">
        <v>46006.270833333336</v>
      </c>
      <c r="O1786" s="38" t="s">
        <v>123</v>
      </c>
      <c r="P1786" s="38">
        <v>5400.0</v>
      </c>
      <c r="Q1786" s="39"/>
      <c r="R1786" s="39"/>
      <c r="S1786" s="38" t="s">
        <v>2214</v>
      </c>
      <c r="T1786" s="39"/>
      <c r="U1786" s="39"/>
    </row>
    <row r="1787">
      <c r="A1787" s="40">
        <f t="shared" si="1"/>
        <v>46006</v>
      </c>
      <c r="B1787" s="37" t="str">
        <f t="array" ref="B1787">iferror(xlookup($I1787, 'IMPORT VHC Report'!$E:$E, 'IMPORT VHC Report'!$A:$C), )</f>
        <v/>
      </c>
      <c r="C1787" s="37"/>
      <c r="D1787" s="37"/>
      <c r="E1787" s="38" t="s">
        <v>2215</v>
      </c>
      <c r="F1787" s="38" t="s">
        <v>2211</v>
      </c>
      <c r="G1787" s="38">
        <v>3.61731646775E11</v>
      </c>
      <c r="H1787" s="38" t="s">
        <v>2212</v>
      </c>
      <c r="I1787" s="38" t="s">
        <v>2213</v>
      </c>
      <c r="J1787" s="38" t="s">
        <v>530</v>
      </c>
      <c r="K1787" s="38" t="s">
        <v>63</v>
      </c>
      <c r="L1787" s="41">
        <v>46006.208333333336</v>
      </c>
      <c r="M1787" s="38" t="s">
        <v>123</v>
      </c>
      <c r="N1787" s="41">
        <v>46006.520833333336</v>
      </c>
      <c r="O1787" s="38" t="s">
        <v>123</v>
      </c>
      <c r="P1787" s="38">
        <v>27000.0</v>
      </c>
      <c r="Q1787" s="39"/>
      <c r="R1787" s="39"/>
      <c r="S1787" s="39"/>
      <c r="T1787" s="39"/>
      <c r="U1787" s="39"/>
    </row>
    <row r="1788">
      <c r="A1788" s="40">
        <f t="shared" si="1"/>
        <v>46006</v>
      </c>
      <c r="B1788" s="37" t="str">
        <f t="array" ref="B1788">iferror(xlookup($I1788, 'IMPORT VHC Report'!$E:$E, 'IMPORT VHC Report'!$A:$C), )</f>
        <v/>
      </c>
      <c r="C1788" s="37"/>
      <c r="D1788" s="37"/>
      <c r="E1788" s="38" t="s">
        <v>2216</v>
      </c>
      <c r="F1788" s="38" t="s">
        <v>2211</v>
      </c>
      <c r="G1788" s="38">
        <v>3.61731646775E11</v>
      </c>
      <c r="H1788" s="38" t="s">
        <v>2212</v>
      </c>
      <c r="I1788" s="38" t="s">
        <v>2213</v>
      </c>
      <c r="J1788" s="38" t="s">
        <v>125</v>
      </c>
      <c r="K1788" s="38" t="s">
        <v>126</v>
      </c>
      <c r="L1788" s="41">
        <v>46006.270833333336</v>
      </c>
      <c r="M1788" s="38" t="s">
        <v>123</v>
      </c>
      <c r="N1788" s="41">
        <v>46006.291666666664</v>
      </c>
      <c r="O1788" s="38" t="s">
        <v>123</v>
      </c>
      <c r="P1788" s="38">
        <v>1800.0</v>
      </c>
      <c r="Q1788" s="39"/>
      <c r="R1788" s="39"/>
      <c r="S1788" s="38" t="s">
        <v>2217</v>
      </c>
      <c r="T1788" s="39"/>
      <c r="U1788" s="39"/>
    </row>
    <row r="1789">
      <c r="A1789" s="40">
        <f t="shared" si="1"/>
        <v>46006</v>
      </c>
      <c r="B1789" s="37" t="str">
        <f t="array" ref="B1789">iferror(xlookup($I1789, 'IMPORT VHC Report'!$E:$E, 'IMPORT VHC Report'!$A:$C), )</f>
        <v/>
      </c>
      <c r="C1789" s="37"/>
      <c r="D1789" s="37"/>
      <c r="E1789" s="38" t="s">
        <v>2218</v>
      </c>
      <c r="F1789" s="38" t="s">
        <v>2211</v>
      </c>
      <c r="G1789" s="38">
        <v>3.61731646775E11</v>
      </c>
      <c r="H1789" s="38" t="s">
        <v>2212</v>
      </c>
      <c r="I1789" s="38" t="s">
        <v>2213</v>
      </c>
      <c r="J1789" s="38" t="s">
        <v>132</v>
      </c>
      <c r="K1789" s="38" t="s">
        <v>126</v>
      </c>
      <c r="L1789" s="41">
        <v>46006.333333333336</v>
      </c>
      <c r="M1789" s="38" t="s">
        <v>123</v>
      </c>
      <c r="N1789" s="41">
        <v>46006.375</v>
      </c>
      <c r="O1789" s="38" t="s">
        <v>123</v>
      </c>
      <c r="P1789" s="38">
        <v>3600.0</v>
      </c>
      <c r="Q1789" s="39"/>
      <c r="R1789" s="39"/>
      <c r="S1789" s="39"/>
      <c r="T1789" s="39"/>
      <c r="U1789" s="39"/>
    </row>
    <row r="1790">
      <c r="A1790" s="40">
        <f t="shared" si="1"/>
        <v>46006</v>
      </c>
      <c r="B1790" s="37" t="str">
        <f t="array" ref="B1790">iferror(xlookup($I1790, 'IMPORT VHC Report'!$E:$E, 'IMPORT VHC Report'!$A:$C), )</f>
        <v/>
      </c>
      <c r="C1790" s="37"/>
      <c r="D1790" s="37"/>
      <c r="E1790" s="38" t="s">
        <v>2219</v>
      </c>
      <c r="F1790" s="38" t="s">
        <v>2211</v>
      </c>
      <c r="G1790" s="38">
        <v>3.61731646775E11</v>
      </c>
      <c r="H1790" s="38" t="s">
        <v>2212</v>
      </c>
      <c r="I1790" s="38" t="s">
        <v>2213</v>
      </c>
      <c r="J1790" s="38" t="s">
        <v>134</v>
      </c>
      <c r="K1790" s="38" t="s">
        <v>126</v>
      </c>
      <c r="L1790" s="41">
        <v>46006.375</v>
      </c>
      <c r="M1790" s="38" t="s">
        <v>123</v>
      </c>
      <c r="N1790" s="41">
        <v>46006.395833333336</v>
      </c>
      <c r="O1790" s="38" t="s">
        <v>123</v>
      </c>
      <c r="P1790" s="38">
        <v>1800.0</v>
      </c>
      <c r="Q1790" s="39"/>
      <c r="R1790" s="39"/>
      <c r="S1790" s="39"/>
      <c r="T1790" s="39"/>
      <c r="U1790" s="39"/>
    </row>
    <row r="1791">
      <c r="A1791" s="40">
        <f t="shared" si="1"/>
        <v>46006</v>
      </c>
      <c r="B1791" s="37" t="str">
        <f t="array" ref="B1791">iferror(xlookup($I1791, 'IMPORT VHC Report'!$E:$E, 'IMPORT VHC Report'!$A:$C), )</f>
        <v/>
      </c>
      <c r="C1791" s="37"/>
      <c r="D1791" s="37"/>
      <c r="E1791" s="38" t="s">
        <v>2220</v>
      </c>
      <c r="F1791" s="38" t="s">
        <v>2211</v>
      </c>
      <c r="G1791" s="38">
        <v>3.61731646775E11</v>
      </c>
      <c r="H1791" s="38" t="s">
        <v>2212</v>
      </c>
      <c r="I1791" s="38" t="s">
        <v>2213</v>
      </c>
      <c r="J1791" s="38" t="s">
        <v>125</v>
      </c>
      <c r="K1791" s="38" t="s">
        <v>126</v>
      </c>
      <c r="L1791" s="41">
        <v>46006.416666666664</v>
      </c>
      <c r="M1791" s="38" t="s">
        <v>123</v>
      </c>
      <c r="N1791" s="41">
        <v>46006.427083333336</v>
      </c>
      <c r="O1791" s="38" t="s">
        <v>123</v>
      </c>
      <c r="P1791" s="38">
        <v>900.0</v>
      </c>
      <c r="Q1791" s="39"/>
      <c r="R1791" s="39"/>
      <c r="S1791" s="38" t="s">
        <v>2221</v>
      </c>
      <c r="T1791" s="39"/>
      <c r="U1791" s="39"/>
    </row>
    <row r="1792">
      <c r="A1792" s="40">
        <f t="shared" si="1"/>
        <v>46006</v>
      </c>
      <c r="B1792" s="37" t="str">
        <f t="array" ref="B1792">iferror(xlookup($I1792, 'IMPORT VHC Report'!$E:$E, 'IMPORT VHC Report'!$A:$C), )</f>
        <v/>
      </c>
      <c r="C1792" s="37"/>
      <c r="D1792" s="37"/>
      <c r="E1792" s="38" t="s">
        <v>2222</v>
      </c>
      <c r="F1792" s="38" t="s">
        <v>2211</v>
      </c>
      <c r="G1792" s="38">
        <v>3.61731646775E11</v>
      </c>
      <c r="H1792" s="38" t="s">
        <v>2212</v>
      </c>
      <c r="I1792" s="38" t="s">
        <v>2213</v>
      </c>
      <c r="J1792" s="38" t="s">
        <v>125</v>
      </c>
      <c r="K1792" s="38" t="s">
        <v>126</v>
      </c>
      <c r="L1792" s="41">
        <v>46006.4375</v>
      </c>
      <c r="M1792" s="38" t="s">
        <v>123</v>
      </c>
      <c r="N1792" s="41">
        <v>46006.447916666664</v>
      </c>
      <c r="O1792" s="38" t="s">
        <v>123</v>
      </c>
      <c r="P1792" s="38">
        <v>900.0</v>
      </c>
      <c r="Q1792" s="39"/>
      <c r="R1792" s="39"/>
      <c r="S1792" s="38" t="s">
        <v>2221</v>
      </c>
      <c r="T1792" s="39"/>
      <c r="U1792" s="39"/>
    </row>
    <row r="1793">
      <c r="A1793" s="40">
        <f t="shared" si="1"/>
        <v>46006</v>
      </c>
      <c r="B1793" s="37" t="str">
        <f t="array" ref="B1793">iferror(xlookup($I1793, 'IMPORT VHC Report'!$E:$E, 'IMPORT VHC Report'!$A:$C), )</f>
        <v/>
      </c>
      <c r="C1793" s="37"/>
      <c r="D1793" s="37"/>
      <c r="E1793" s="38" t="s">
        <v>2223</v>
      </c>
      <c r="F1793" s="38" t="s">
        <v>2211</v>
      </c>
      <c r="G1793" s="38">
        <v>3.61731646775E11</v>
      </c>
      <c r="H1793" s="38" t="s">
        <v>2212</v>
      </c>
      <c r="I1793" s="38" t="s">
        <v>2213</v>
      </c>
      <c r="J1793" s="38" t="s">
        <v>1670</v>
      </c>
      <c r="K1793" s="38" t="s">
        <v>63</v>
      </c>
      <c r="L1793" s="41">
        <v>46006.458333333336</v>
      </c>
      <c r="M1793" s="38" t="s">
        <v>123</v>
      </c>
      <c r="N1793" s="41">
        <v>46006.489583333336</v>
      </c>
      <c r="O1793" s="38" t="s">
        <v>123</v>
      </c>
      <c r="P1793" s="38">
        <v>2700.0</v>
      </c>
      <c r="Q1793" s="39"/>
      <c r="R1793" s="39"/>
      <c r="S1793" s="38" t="s">
        <v>2224</v>
      </c>
      <c r="T1793" s="39"/>
      <c r="U1793" s="39"/>
    </row>
    <row r="1794">
      <c r="A1794" s="40">
        <f t="shared" si="1"/>
        <v>46006</v>
      </c>
      <c r="B1794" s="37" t="str">
        <f t="array" ref="B1794">iferror(xlookup($I1794, 'IMPORT VHC Report'!$E:$E, 'IMPORT VHC Report'!$A:$C), )</f>
        <v/>
      </c>
      <c r="C1794" s="37"/>
      <c r="D1794" s="37"/>
      <c r="E1794" s="38" t="s">
        <v>2225</v>
      </c>
      <c r="F1794" s="38" t="s">
        <v>2211</v>
      </c>
      <c r="G1794" s="38">
        <v>3.61731646775E11</v>
      </c>
      <c r="H1794" s="38" t="s">
        <v>2212</v>
      </c>
      <c r="I1794" s="38" t="s">
        <v>2213</v>
      </c>
      <c r="J1794" s="38" t="s">
        <v>125</v>
      </c>
      <c r="K1794" s="38" t="s">
        <v>126</v>
      </c>
      <c r="L1794" s="41">
        <v>46006.489583333336</v>
      </c>
      <c r="M1794" s="38" t="s">
        <v>123</v>
      </c>
      <c r="N1794" s="41">
        <v>46006.510416666664</v>
      </c>
      <c r="O1794" s="38" t="s">
        <v>123</v>
      </c>
      <c r="P1794" s="38">
        <v>1800.0</v>
      </c>
      <c r="Q1794" s="39"/>
      <c r="R1794" s="39"/>
      <c r="S1794" s="38" t="s">
        <v>2226</v>
      </c>
      <c r="T1794" s="39"/>
      <c r="U1794" s="39"/>
    </row>
    <row r="1795">
      <c r="A1795" s="40">
        <f t="shared" si="1"/>
        <v>46006</v>
      </c>
      <c r="B1795" s="37" t="str">
        <f t="array" ref="B1795">iferror(xlookup($I1795, 'IMPORT VHC Report'!$E:$E, 'IMPORT VHC Report'!$A:$C), )</f>
        <v/>
      </c>
      <c r="C1795" s="37"/>
      <c r="D1795" s="37"/>
      <c r="E1795" s="38" t="s">
        <v>2227</v>
      </c>
      <c r="F1795" s="38" t="s">
        <v>2211</v>
      </c>
      <c r="G1795" s="38">
        <v>3.61731646775E11</v>
      </c>
      <c r="H1795" s="38" t="s">
        <v>2212</v>
      </c>
      <c r="I1795" s="38" t="s">
        <v>2213</v>
      </c>
      <c r="J1795" s="38" t="s">
        <v>1670</v>
      </c>
      <c r="K1795" s="38" t="s">
        <v>63</v>
      </c>
      <c r="L1795" s="41">
        <v>46006.520833333336</v>
      </c>
      <c r="M1795" s="38" t="s">
        <v>123</v>
      </c>
      <c r="N1795" s="41">
        <v>46006.541666666664</v>
      </c>
      <c r="O1795" s="38" t="s">
        <v>123</v>
      </c>
      <c r="P1795" s="38">
        <v>1800.0</v>
      </c>
      <c r="Q1795" s="39"/>
      <c r="R1795" s="39"/>
      <c r="S1795" s="38" t="s">
        <v>2228</v>
      </c>
      <c r="T1795" s="39"/>
      <c r="U1795" s="39"/>
    </row>
    <row r="1796">
      <c r="A1796" s="40">
        <f t="shared" si="1"/>
        <v>46006</v>
      </c>
      <c r="B1796" s="37" t="str">
        <f t="array" ref="B1796">iferror(xlookup($I1796, 'IMPORT VHC Report'!$E:$E, 'IMPORT VHC Report'!$A:$C), )</f>
        <v/>
      </c>
      <c r="C1796" s="37"/>
      <c r="D1796" s="37"/>
      <c r="E1796" s="38" t="s">
        <v>2229</v>
      </c>
      <c r="F1796" s="38" t="s">
        <v>2211</v>
      </c>
      <c r="G1796" s="38">
        <v>3.61731646775E11</v>
      </c>
      <c r="H1796" s="38" t="s">
        <v>2212</v>
      </c>
      <c r="I1796" s="38" t="s">
        <v>2213</v>
      </c>
      <c r="J1796" s="38" t="s">
        <v>125</v>
      </c>
      <c r="K1796" s="38" t="s">
        <v>126</v>
      </c>
      <c r="L1796" s="41">
        <v>46006.541666666664</v>
      </c>
      <c r="M1796" s="38" t="s">
        <v>123</v>
      </c>
      <c r="N1796" s="41">
        <v>46006.552083333336</v>
      </c>
      <c r="O1796" s="38" t="s">
        <v>123</v>
      </c>
      <c r="P1796" s="38">
        <v>900.0</v>
      </c>
      <c r="Q1796" s="39"/>
      <c r="R1796" s="39"/>
      <c r="S1796" s="38" t="s">
        <v>2221</v>
      </c>
      <c r="T1796" s="39"/>
      <c r="U1796" s="39"/>
    </row>
    <row r="1797">
      <c r="A1797" s="40">
        <f t="shared" si="1"/>
        <v>46006</v>
      </c>
      <c r="B1797" s="37" t="str">
        <f t="array" ref="B1797">iferror(xlookup($I1797, 'IMPORT VHC Report'!$E:$E, 'IMPORT VHC Report'!$A:$C), )</f>
        <v/>
      </c>
      <c r="C1797" s="37"/>
      <c r="D1797" s="37"/>
      <c r="E1797" s="38" t="s">
        <v>2230</v>
      </c>
      <c r="F1797" s="38" t="s">
        <v>2211</v>
      </c>
      <c r="G1797" s="38">
        <v>3.61731646775E11</v>
      </c>
      <c r="H1797" s="38" t="s">
        <v>2212</v>
      </c>
      <c r="I1797" s="38" t="s">
        <v>2213</v>
      </c>
      <c r="J1797" s="38" t="s">
        <v>530</v>
      </c>
      <c r="K1797" s="38" t="s">
        <v>63</v>
      </c>
      <c r="L1797" s="41">
        <v>46006.541666666664</v>
      </c>
      <c r="M1797" s="38" t="s">
        <v>123</v>
      </c>
      <c r="N1797" s="41">
        <v>46006.552083333336</v>
      </c>
      <c r="O1797" s="38" t="s">
        <v>123</v>
      </c>
      <c r="P1797" s="38">
        <v>900.0</v>
      </c>
      <c r="Q1797" s="39"/>
      <c r="R1797" s="39"/>
      <c r="S1797" s="39"/>
      <c r="T1797" s="39"/>
      <c r="U1797" s="39"/>
    </row>
    <row r="1798">
      <c r="A1798" s="40">
        <f t="shared" si="1"/>
        <v>46006</v>
      </c>
      <c r="B1798" s="37" t="str">
        <f t="array" ref="B1798">iferror(xlookup($I1798, 'IMPORT VHC Report'!$E:$E, 'IMPORT VHC Report'!$A:$C), )</f>
        <v/>
      </c>
      <c r="C1798" s="37"/>
      <c r="D1798" s="37"/>
      <c r="E1798" s="38" t="s">
        <v>2231</v>
      </c>
      <c r="F1798" s="38" t="s">
        <v>2211</v>
      </c>
      <c r="G1798" s="38">
        <v>3.61731646775E11</v>
      </c>
      <c r="H1798" s="38" t="s">
        <v>2212</v>
      </c>
      <c r="I1798" s="38" t="s">
        <v>2213</v>
      </c>
      <c r="J1798" s="38" t="s">
        <v>1670</v>
      </c>
      <c r="K1798" s="38" t="s">
        <v>63</v>
      </c>
      <c r="L1798" s="41">
        <v>46006.552083333336</v>
      </c>
      <c r="M1798" s="38" t="s">
        <v>123</v>
      </c>
      <c r="N1798" s="41">
        <v>46006.572916666664</v>
      </c>
      <c r="O1798" s="38" t="s">
        <v>123</v>
      </c>
      <c r="P1798" s="38">
        <v>1800.0</v>
      </c>
      <c r="Q1798" s="39"/>
      <c r="R1798" s="39"/>
      <c r="S1798" s="38" t="s">
        <v>2232</v>
      </c>
      <c r="T1798" s="39"/>
      <c r="U1798" s="39"/>
    </row>
    <row r="1799">
      <c r="A1799" s="40">
        <f t="shared" si="1"/>
        <v>46006</v>
      </c>
      <c r="B1799" s="37" t="str">
        <f t="array" ref="B1799">iferror(xlookup($I1799, 'IMPORT VHC Report'!$E:$E, 'IMPORT VHC Report'!$A:$C), )</f>
        <v/>
      </c>
      <c r="C1799" s="37"/>
      <c r="D1799" s="37"/>
      <c r="E1799" s="38" t="s">
        <v>2233</v>
      </c>
      <c r="F1799" s="38" t="s">
        <v>2211</v>
      </c>
      <c r="G1799" s="38">
        <v>3.61731646775E11</v>
      </c>
      <c r="H1799" s="38" t="s">
        <v>2212</v>
      </c>
      <c r="I1799" s="38" t="s">
        <v>2213</v>
      </c>
      <c r="J1799" s="38" t="s">
        <v>125</v>
      </c>
      <c r="K1799" s="38" t="s">
        <v>126</v>
      </c>
      <c r="L1799" s="41">
        <v>46006.572916666664</v>
      </c>
      <c r="M1799" s="38" t="s">
        <v>123</v>
      </c>
      <c r="N1799" s="41">
        <v>46006.583333333336</v>
      </c>
      <c r="O1799" s="38" t="s">
        <v>123</v>
      </c>
      <c r="P1799" s="38">
        <v>900.0</v>
      </c>
      <c r="Q1799" s="39"/>
      <c r="R1799" s="39"/>
      <c r="S1799" s="38" t="s">
        <v>2234</v>
      </c>
      <c r="T1799" s="39"/>
      <c r="U1799" s="39"/>
    </row>
    <row r="1800">
      <c r="A1800" s="40">
        <f t="shared" si="1"/>
        <v>46006</v>
      </c>
      <c r="B1800" s="37" t="str">
        <f t="array" ref="B1800">iferror(xlookup($I1800, 'IMPORT VHC Report'!$E:$E, 'IMPORT VHC Report'!$A:$C), )</f>
        <v/>
      </c>
      <c r="C1800" s="37"/>
      <c r="D1800" s="37"/>
      <c r="E1800" s="38" t="s">
        <v>2235</v>
      </c>
      <c r="F1800" s="38" t="s">
        <v>2211</v>
      </c>
      <c r="G1800" s="38">
        <v>3.61731646775E11</v>
      </c>
      <c r="H1800" s="38" t="s">
        <v>2212</v>
      </c>
      <c r="I1800" s="38" t="s">
        <v>2213</v>
      </c>
      <c r="J1800" s="38" t="s">
        <v>530</v>
      </c>
      <c r="K1800" s="38" t="s">
        <v>63</v>
      </c>
      <c r="L1800" s="41">
        <v>46006.572916666664</v>
      </c>
      <c r="M1800" s="38" t="s">
        <v>123</v>
      </c>
      <c r="N1800" s="41">
        <v>46006.583333333336</v>
      </c>
      <c r="O1800" s="38" t="s">
        <v>123</v>
      </c>
      <c r="P1800" s="38">
        <v>900.0</v>
      </c>
      <c r="Q1800" s="39"/>
      <c r="R1800" s="39"/>
      <c r="S1800" s="39"/>
      <c r="T1800" s="39"/>
      <c r="U1800" s="39"/>
    </row>
    <row r="1801">
      <c r="A1801" s="40">
        <f t="shared" si="1"/>
        <v>46006</v>
      </c>
      <c r="B1801" s="37" t="str">
        <f t="array" ref="B1801">iferror(xlookup($I1801, 'IMPORT VHC Report'!$E:$E, 'IMPORT VHC Report'!$A:$C), )</f>
        <v/>
      </c>
      <c r="C1801" s="37"/>
      <c r="D1801" s="37"/>
      <c r="E1801" s="38" t="s">
        <v>2236</v>
      </c>
      <c r="F1801" s="38" t="s">
        <v>2211</v>
      </c>
      <c r="G1801" s="38">
        <v>3.61731646775E11</v>
      </c>
      <c r="H1801" s="38" t="s">
        <v>2212</v>
      </c>
      <c r="I1801" s="38" t="s">
        <v>2213</v>
      </c>
      <c r="J1801" s="38" t="s">
        <v>4</v>
      </c>
      <c r="K1801" s="38" t="s">
        <v>126</v>
      </c>
      <c r="L1801" s="41">
        <v>46007.208333333336</v>
      </c>
      <c r="M1801" s="38" t="s">
        <v>123</v>
      </c>
      <c r="N1801" s="41">
        <v>46007.25</v>
      </c>
      <c r="O1801" s="38" t="s">
        <v>123</v>
      </c>
      <c r="P1801" s="38">
        <v>3600.0</v>
      </c>
      <c r="Q1801" s="39"/>
      <c r="R1801" s="39"/>
      <c r="S1801" s="38" t="s">
        <v>2237</v>
      </c>
      <c r="T1801" s="39"/>
      <c r="U1801" s="39"/>
    </row>
    <row r="1802">
      <c r="A1802" s="40">
        <f t="shared" si="1"/>
        <v>46006</v>
      </c>
      <c r="B1802" s="37" t="str">
        <f t="array" ref="B1802">iferror(xlookup($I1802, 'IMPORT VHC Report'!$E:$E, 'IMPORT VHC Report'!$A:$C), )</f>
        <v/>
      </c>
      <c r="C1802" s="37"/>
      <c r="D1802" s="37"/>
      <c r="E1802" s="38" t="s">
        <v>2238</v>
      </c>
      <c r="F1802" s="38" t="s">
        <v>2211</v>
      </c>
      <c r="G1802" s="38">
        <v>3.61731646775E11</v>
      </c>
      <c r="H1802" s="38" t="s">
        <v>2212</v>
      </c>
      <c r="I1802" s="38" t="s">
        <v>2213</v>
      </c>
      <c r="J1802" s="38" t="s">
        <v>530</v>
      </c>
      <c r="K1802" s="38" t="s">
        <v>63</v>
      </c>
      <c r="L1802" s="41">
        <v>46007.208333333336</v>
      </c>
      <c r="M1802" s="38" t="s">
        <v>123</v>
      </c>
      <c r="N1802" s="41">
        <v>46007.583333333336</v>
      </c>
      <c r="O1802" s="38" t="s">
        <v>123</v>
      </c>
      <c r="P1802" s="38">
        <v>32400.0</v>
      </c>
      <c r="Q1802" s="39"/>
      <c r="R1802" s="39"/>
      <c r="S1802" s="39"/>
      <c r="T1802" s="39"/>
      <c r="U1802" s="39"/>
    </row>
    <row r="1803">
      <c r="A1803" s="40">
        <f t="shared" si="1"/>
        <v>46006</v>
      </c>
      <c r="B1803" s="37" t="str">
        <f t="array" ref="B1803">iferror(xlookup($I1803, 'IMPORT VHC Report'!$E:$E, 'IMPORT VHC Report'!$A:$C), )</f>
        <v/>
      </c>
      <c r="C1803" s="37"/>
      <c r="D1803" s="37"/>
      <c r="E1803" s="38" t="s">
        <v>2239</v>
      </c>
      <c r="F1803" s="38" t="s">
        <v>2211</v>
      </c>
      <c r="G1803" s="38">
        <v>3.61731646775E11</v>
      </c>
      <c r="H1803" s="38" t="s">
        <v>2212</v>
      </c>
      <c r="I1803" s="38" t="s">
        <v>2213</v>
      </c>
      <c r="J1803" s="38" t="s">
        <v>132</v>
      </c>
      <c r="K1803" s="38" t="s">
        <v>126</v>
      </c>
      <c r="L1803" s="41">
        <v>46007.333333333336</v>
      </c>
      <c r="M1803" s="38" t="s">
        <v>123</v>
      </c>
      <c r="N1803" s="41">
        <v>46007.375</v>
      </c>
      <c r="O1803" s="38" t="s">
        <v>123</v>
      </c>
      <c r="P1803" s="38">
        <v>3600.0</v>
      </c>
      <c r="Q1803" s="39"/>
      <c r="R1803" s="39"/>
      <c r="S1803" s="39"/>
      <c r="T1803" s="39"/>
      <c r="U1803" s="39"/>
    </row>
    <row r="1804">
      <c r="A1804" s="40">
        <f t="shared" si="1"/>
        <v>46006</v>
      </c>
      <c r="B1804" s="37" t="str">
        <f t="array" ref="B1804">iferror(xlookup($I1804, 'IMPORT VHC Report'!$E:$E, 'IMPORT VHC Report'!$A:$C), )</f>
        <v/>
      </c>
      <c r="C1804" s="37"/>
      <c r="D1804" s="37"/>
      <c r="E1804" s="38" t="s">
        <v>2240</v>
      </c>
      <c r="F1804" s="38" t="s">
        <v>2211</v>
      </c>
      <c r="G1804" s="38">
        <v>3.61731646775E11</v>
      </c>
      <c r="H1804" s="38" t="s">
        <v>2212</v>
      </c>
      <c r="I1804" s="38" t="s">
        <v>2213</v>
      </c>
      <c r="J1804" s="38" t="s">
        <v>134</v>
      </c>
      <c r="K1804" s="38" t="s">
        <v>126</v>
      </c>
      <c r="L1804" s="41">
        <v>46007.375</v>
      </c>
      <c r="M1804" s="38" t="s">
        <v>123</v>
      </c>
      <c r="N1804" s="41">
        <v>46007.395833333336</v>
      </c>
      <c r="O1804" s="38" t="s">
        <v>123</v>
      </c>
      <c r="P1804" s="38">
        <v>1800.0</v>
      </c>
      <c r="Q1804" s="39"/>
      <c r="R1804" s="39"/>
      <c r="S1804" s="39"/>
      <c r="T1804" s="39"/>
      <c r="U1804" s="39"/>
    </row>
    <row r="1805">
      <c r="A1805" s="40">
        <f t="shared" si="1"/>
        <v>46006</v>
      </c>
      <c r="B1805" s="37" t="str">
        <f t="array" ref="B1805">iferror(xlookup($I1805, 'IMPORT VHC Report'!$E:$E, 'IMPORT VHC Report'!$A:$C), )</f>
        <v/>
      </c>
      <c r="C1805" s="37"/>
      <c r="D1805" s="37"/>
      <c r="E1805" s="38" t="s">
        <v>2241</v>
      </c>
      <c r="F1805" s="38" t="s">
        <v>2211</v>
      </c>
      <c r="G1805" s="38">
        <v>3.61731646775E11</v>
      </c>
      <c r="H1805" s="38" t="s">
        <v>2212</v>
      </c>
      <c r="I1805" s="38" t="s">
        <v>2213</v>
      </c>
      <c r="J1805" s="38" t="s">
        <v>4</v>
      </c>
      <c r="K1805" s="38" t="s">
        <v>126</v>
      </c>
      <c r="L1805" s="41">
        <v>46007.541666666664</v>
      </c>
      <c r="M1805" s="38" t="s">
        <v>123</v>
      </c>
      <c r="N1805" s="41">
        <v>46007.583333333336</v>
      </c>
      <c r="O1805" s="38" t="s">
        <v>123</v>
      </c>
      <c r="P1805" s="38">
        <v>3600.0</v>
      </c>
      <c r="Q1805" s="39"/>
      <c r="R1805" s="39"/>
      <c r="S1805" s="38" t="s">
        <v>1209</v>
      </c>
      <c r="T1805" s="39"/>
      <c r="U1805" s="39"/>
    </row>
    <row r="1806">
      <c r="A1806" s="40">
        <f t="shared" si="1"/>
        <v>46006</v>
      </c>
      <c r="B1806" s="37" t="str">
        <f t="array" ref="B1806">iferror(xlookup($I1806, 'IMPORT VHC Report'!$E:$E, 'IMPORT VHC Report'!$A:$C), )</f>
        <v/>
      </c>
      <c r="C1806" s="37"/>
      <c r="D1806" s="37"/>
      <c r="E1806" s="38" t="s">
        <v>2242</v>
      </c>
      <c r="F1806" s="38" t="s">
        <v>2211</v>
      </c>
      <c r="G1806" s="38">
        <v>3.61731646775E11</v>
      </c>
      <c r="H1806" s="38" t="s">
        <v>2212</v>
      </c>
      <c r="I1806" s="38" t="s">
        <v>2213</v>
      </c>
      <c r="J1806" s="38" t="s">
        <v>4</v>
      </c>
      <c r="K1806" s="38" t="s">
        <v>126</v>
      </c>
      <c r="L1806" s="41">
        <v>46008.208333333336</v>
      </c>
      <c r="M1806" s="38" t="s">
        <v>123</v>
      </c>
      <c r="N1806" s="41">
        <v>46008.229166666664</v>
      </c>
      <c r="O1806" s="38" t="s">
        <v>123</v>
      </c>
      <c r="P1806" s="38">
        <v>1800.0</v>
      </c>
      <c r="Q1806" s="39"/>
      <c r="R1806" s="39"/>
      <c r="S1806" s="39"/>
      <c r="T1806" s="39"/>
      <c r="U1806" s="39"/>
    </row>
    <row r="1807">
      <c r="A1807" s="40">
        <f t="shared" si="1"/>
        <v>46006</v>
      </c>
      <c r="B1807" s="37" t="str">
        <f t="array" ref="B1807">iferror(xlookup($I1807, 'IMPORT VHC Report'!$E:$E, 'IMPORT VHC Report'!$A:$C), )</f>
        <v/>
      </c>
      <c r="C1807" s="37"/>
      <c r="D1807" s="37"/>
      <c r="E1807" s="38" t="s">
        <v>2243</v>
      </c>
      <c r="F1807" s="38" t="s">
        <v>2211</v>
      </c>
      <c r="G1807" s="38">
        <v>3.61731646775E11</v>
      </c>
      <c r="H1807" s="38" t="s">
        <v>2212</v>
      </c>
      <c r="I1807" s="38" t="s">
        <v>2213</v>
      </c>
      <c r="J1807" s="38" t="s">
        <v>152</v>
      </c>
      <c r="K1807" s="38" t="s">
        <v>153</v>
      </c>
      <c r="L1807" s="41">
        <v>46008.208333333336</v>
      </c>
      <c r="M1807" s="38" t="s">
        <v>123</v>
      </c>
      <c r="N1807" s="41">
        <v>46008.583333333336</v>
      </c>
      <c r="O1807" s="38" t="s">
        <v>123</v>
      </c>
      <c r="P1807" s="38">
        <v>32400.0</v>
      </c>
      <c r="Q1807" s="38">
        <v>28800.0</v>
      </c>
      <c r="R1807" s="38" t="s">
        <v>2244</v>
      </c>
      <c r="S1807" s="39"/>
      <c r="T1807" s="39"/>
      <c r="U1807" s="39"/>
    </row>
    <row r="1808">
      <c r="A1808" s="40">
        <f t="shared" si="1"/>
        <v>46006</v>
      </c>
      <c r="B1808" s="37" t="str">
        <f t="array" ref="B1808">iferror(xlookup($I1808, 'IMPORT VHC Report'!$E:$E, 'IMPORT VHC Report'!$A:$C), )</f>
        <v/>
      </c>
      <c r="C1808" s="37"/>
      <c r="D1808" s="37"/>
      <c r="E1808" s="38" t="s">
        <v>2245</v>
      </c>
      <c r="F1808" s="38" t="s">
        <v>2211</v>
      </c>
      <c r="G1808" s="38">
        <v>3.61731646775E11</v>
      </c>
      <c r="H1808" s="38" t="s">
        <v>2212</v>
      </c>
      <c r="I1808" s="38" t="s">
        <v>2213</v>
      </c>
      <c r="J1808" s="38" t="s">
        <v>530</v>
      </c>
      <c r="K1808" s="38" t="s">
        <v>63</v>
      </c>
      <c r="L1808" s="41">
        <v>46008.208333333336</v>
      </c>
      <c r="M1808" s="38" t="s">
        <v>123</v>
      </c>
      <c r="N1808" s="41">
        <v>46008.583333333336</v>
      </c>
      <c r="O1808" s="38" t="s">
        <v>123</v>
      </c>
      <c r="P1808" s="38">
        <v>32400.0</v>
      </c>
      <c r="Q1808" s="39"/>
      <c r="R1808" s="39"/>
      <c r="S1808" s="39"/>
      <c r="T1808" s="39"/>
      <c r="U1808" s="39"/>
    </row>
    <row r="1809">
      <c r="A1809" s="40">
        <f t="shared" si="1"/>
        <v>46006</v>
      </c>
      <c r="B1809" s="37" t="str">
        <f t="array" ref="B1809">iferror(xlookup($I1809, 'IMPORT VHC Report'!$E:$E, 'IMPORT VHC Report'!$A:$C), )</f>
        <v/>
      </c>
      <c r="C1809" s="37"/>
      <c r="D1809" s="37"/>
      <c r="E1809" s="38" t="s">
        <v>2246</v>
      </c>
      <c r="F1809" s="38" t="s">
        <v>2211</v>
      </c>
      <c r="G1809" s="38">
        <v>3.61731646775E11</v>
      </c>
      <c r="H1809" s="38" t="s">
        <v>2212</v>
      </c>
      <c r="I1809" s="38" t="s">
        <v>2213</v>
      </c>
      <c r="J1809" s="38" t="s">
        <v>134</v>
      </c>
      <c r="K1809" s="38" t="s">
        <v>126</v>
      </c>
      <c r="L1809" s="41">
        <v>46008.302083333336</v>
      </c>
      <c r="M1809" s="38" t="s">
        <v>123</v>
      </c>
      <c r="N1809" s="41">
        <v>46008.322916666664</v>
      </c>
      <c r="O1809" s="38" t="s">
        <v>123</v>
      </c>
      <c r="P1809" s="38">
        <v>1800.0</v>
      </c>
      <c r="Q1809" s="39"/>
      <c r="R1809" s="39"/>
      <c r="S1809" s="39"/>
      <c r="T1809" s="39"/>
      <c r="U1809" s="39"/>
    </row>
    <row r="1810">
      <c r="A1810" s="40">
        <f t="shared" si="1"/>
        <v>46006</v>
      </c>
      <c r="B1810" s="37" t="str">
        <f t="array" ref="B1810">iferror(xlookup($I1810, 'IMPORT VHC Report'!$E:$E, 'IMPORT VHC Report'!$A:$C), )</f>
        <v/>
      </c>
      <c r="C1810" s="37"/>
      <c r="D1810" s="37"/>
      <c r="E1810" s="38" t="s">
        <v>2247</v>
      </c>
      <c r="F1810" s="38" t="s">
        <v>2211</v>
      </c>
      <c r="G1810" s="38">
        <v>3.61731646775E11</v>
      </c>
      <c r="H1810" s="38" t="s">
        <v>2212</v>
      </c>
      <c r="I1810" s="38" t="s">
        <v>2213</v>
      </c>
      <c r="J1810" s="38" t="s">
        <v>132</v>
      </c>
      <c r="K1810" s="38" t="s">
        <v>126</v>
      </c>
      <c r="L1810" s="41">
        <v>46008.4375</v>
      </c>
      <c r="M1810" s="38" t="s">
        <v>123</v>
      </c>
      <c r="N1810" s="41">
        <v>46008.479166666664</v>
      </c>
      <c r="O1810" s="38" t="s">
        <v>123</v>
      </c>
      <c r="P1810" s="38">
        <v>3600.0</v>
      </c>
      <c r="Q1810" s="39"/>
      <c r="R1810" s="39"/>
      <c r="S1810" s="39"/>
      <c r="T1810" s="39"/>
      <c r="U1810" s="39"/>
    </row>
    <row r="1811">
      <c r="A1811" s="40">
        <f t="shared" si="1"/>
        <v>46006</v>
      </c>
      <c r="B1811" s="37" t="str">
        <f t="array" ref="B1811">iferror(xlookup($I1811, 'IMPORT VHC Report'!$E:$E, 'IMPORT VHC Report'!$A:$C), )</f>
        <v/>
      </c>
      <c r="C1811" s="37"/>
      <c r="D1811" s="37"/>
      <c r="E1811" s="38" t="s">
        <v>2248</v>
      </c>
      <c r="F1811" s="38" t="s">
        <v>2211</v>
      </c>
      <c r="G1811" s="38">
        <v>3.61731646775E11</v>
      </c>
      <c r="H1811" s="38" t="s">
        <v>2212</v>
      </c>
      <c r="I1811" s="38" t="s">
        <v>2213</v>
      </c>
      <c r="J1811" s="38" t="s">
        <v>4</v>
      </c>
      <c r="K1811" s="38" t="s">
        <v>126</v>
      </c>
      <c r="L1811" s="41">
        <v>46009.208333333336</v>
      </c>
      <c r="M1811" s="38" t="s">
        <v>123</v>
      </c>
      <c r="N1811" s="41">
        <v>46009.25</v>
      </c>
      <c r="O1811" s="38" t="s">
        <v>123</v>
      </c>
      <c r="P1811" s="38">
        <v>3600.0</v>
      </c>
      <c r="Q1811" s="39"/>
      <c r="R1811" s="39"/>
      <c r="S1811" s="38" t="s">
        <v>2237</v>
      </c>
      <c r="T1811" s="39"/>
      <c r="U1811" s="39"/>
    </row>
    <row r="1812">
      <c r="A1812" s="40">
        <f t="shared" si="1"/>
        <v>46006</v>
      </c>
      <c r="B1812" s="37" t="str">
        <f t="array" ref="B1812">iferror(xlookup($I1812, 'IMPORT VHC Report'!$E:$E, 'IMPORT VHC Report'!$A:$C), )</f>
        <v/>
      </c>
      <c r="C1812" s="37"/>
      <c r="D1812" s="37"/>
      <c r="E1812" s="38" t="s">
        <v>2249</v>
      </c>
      <c r="F1812" s="38" t="s">
        <v>2211</v>
      </c>
      <c r="G1812" s="38">
        <v>3.61731646775E11</v>
      </c>
      <c r="H1812" s="38" t="s">
        <v>2212</v>
      </c>
      <c r="I1812" s="38" t="s">
        <v>2213</v>
      </c>
      <c r="J1812" s="38" t="s">
        <v>530</v>
      </c>
      <c r="K1812" s="38" t="s">
        <v>63</v>
      </c>
      <c r="L1812" s="41">
        <v>46009.208333333336</v>
      </c>
      <c r="M1812" s="38" t="s">
        <v>123</v>
      </c>
      <c r="N1812" s="41">
        <v>46009.302083333336</v>
      </c>
      <c r="O1812" s="38" t="s">
        <v>123</v>
      </c>
      <c r="P1812" s="38">
        <v>8100.0</v>
      </c>
      <c r="Q1812" s="39"/>
      <c r="R1812" s="39"/>
      <c r="S1812" s="39"/>
      <c r="T1812" s="39"/>
      <c r="U1812" s="39"/>
    </row>
    <row r="1813">
      <c r="A1813" s="40">
        <f t="shared" si="1"/>
        <v>46006</v>
      </c>
      <c r="B1813" s="37" t="str">
        <f t="array" ref="B1813">iferror(xlookup($I1813, 'IMPORT VHC Report'!$E:$E, 'IMPORT VHC Report'!$A:$C), )</f>
        <v/>
      </c>
      <c r="C1813" s="37"/>
      <c r="D1813" s="37"/>
      <c r="E1813" s="38" t="s">
        <v>2250</v>
      </c>
      <c r="F1813" s="38" t="s">
        <v>2211</v>
      </c>
      <c r="G1813" s="38">
        <v>3.61731646775E11</v>
      </c>
      <c r="H1813" s="38" t="s">
        <v>2212</v>
      </c>
      <c r="I1813" s="38" t="s">
        <v>2213</v>
      </c>
      <c r="J1813" s="38" t="s">
        <v>4</v>
      </c>
      <c r="K1813" s="38" t="s">
        <v>126</v>
      </c>
      <c r="L1813" s="41">
        <v>46009.260416666664</v>
      </c>
      <c r="M1813" s="38" t="s">
        <v>123</v>
      </c>
      <c r="N1813" s="41">
        <v>46009.302083333336</v>
      </c>
      <c r="O1813" s="38" t="s">
        <v>123</v>
      </c>
      <c r="P1813" s="38">
        <v>3600.0</v>
      </c>
      <c r="Q1813" s="39"/>
      <c r="R1813" s="39"/>
      <c r="S1813" s="38" t="s">
        <v>858</v>
      </c>
      <c r="T1813" s="39"/>
      <c r="U1813" s="39"/>
    </row>
    <row r="1814">
      <c r="A1814" s="40">
        <f t="shared" si="1"/>
        <v>46006</v>
      </c>
      <c r="B1814" s="37" t="str">
        <f t="array" ref="B1814">iferror(xlookup($I1814, 'IMPORT VHC Report'!$E:$E, 'IMPORT VHC Report'!$A:$C), )</f>
        <v/>
      </c>
      <c r="C1814" s="37"/>
      <c r="D1814" s="37"/>
      <c r="E1814" s="38" t="s">
        <v>2251</v>
      </c>
      <c r="F1814" s="38" t="s">
        <v>2211</v>
      </c>
      <c r="G1814" s="38">
        <v>3.61731646775E11</v>
      </c>
      <c r="H1814" s="38" t="s">
        <v>2212</v>
      </c>
      <c r="I1814" s="38" t="s">
        <v>2213</v>
      </c>
      <c r="J1814" s="38" t="s">
        <v>1670</v>
      </c>
      <c r="K1814" s="38" t="s">
        <v>63</v>
      </c>
      <c r="L1814" s="41">
        <v>46009.302083333336</v>
      </c>
      <c r="M1814" s="38" t="s">
        <v>123</v>
      </c>
      <c r="N1814" s="41">
        <v>46009.4375</v>
      </c>
      <c r="O1814" s="38" t="s">
        <v>123</v>
      </c>
      <c r="P1814" s="38">
        <v>11700.0</v>
      </c>
      <c r="Q1814" s="39"/>
      <c r="R1814" s="39"/>
      <c r="S1814" s="38" t="s">
        <v>2252</v>
      </c>
      <c r="T1814" s="39"/>
      <c r="U1814" s="39"/>
    </row>
    <row r="1815">
      <c r="A1815" s="40">
        <f t="shared" si="1"/>
        <v>46006</v>
      </c>
      <c r="B1815" s="37" t="str">
        <f t="array" ref="B1815">iferror(xlookup($I1815, 'IMPORT VHC Report'!$E:$E, 'IMPORT VHC Report'!$A:$C), )</f>
        <v/>
      </c>
      <c r="C1815" s="37"/>
      <c r="D1815" s="37"/>
      <c r="E1815" s="38" t="s">
        <v>2253</v>
      </c>
      <c r="F1815" s="38" t="s">
        <v>2211</v>
      </c>
      <c r="G1815" s="38">
        <v>3.61731646775E11</v>
      </c>
      <c r="H1815" s="38" t="s">
        <v>2212</v>
      </c>
      <c r="I1815" s="38" t="s">
        <v>2213</v>
      </c>
      <c r="J1815" s="38" t="s">
        <v>134</v>
      </c>
      <c r="K1815" s="38" t="s">
        <v>126</v>
      </c>
      <c r="L1815" s="41">
        <v>46009.4375</v>
      </c>
      <c r="M1815" s="38" t="s">
        <v>123</v>
      </c>
      <c r="N1815" s="41">
        <v>46009.458333333336</v>
      </c>
      <c r="O1815" s="38" t="s">
        <v>123</v>
      </c>
      <c r="P1815" s="38">
        <v>1800.0</v>
      </c>
      <c r="Q1815" s="39"/>
      <c r="R1815" s="39"/>
      <c r="S1815" s="39"/>
      <c r="T1815" s="39"/>
      <c r="U1815" s="39"/>
    </row>
    <row r="1816">
      <c r="A1816" s="40">
        <f t="shared" si="1"/>
        <v>46006</v>
      </c>
      <c r="B1816" s="37" t="str">
        <f t="array" ref="B1816">iferror(xlookup($I1816, 'IMPORT VHC Report'!$E:$E, 'IMPORT VHC Report'!$A:$C), )</f>
        <v/>
      </c>
      <c r="C1816" s="37"/>
      <c r="D1816" s="37"/>
      <c r="E1816" s="38" t="s">
        <v>2254</v>
      </c>
      <c r="F1816" s="38" t="s">
        <v>2211</v>
      </c>
      <c r="G1816" s="38">
        <v>3.61731646775E11</v>
      </c>
      <c r="H1816" s="38" t="s">
        <v>2212</v>
      </c>
      <c r="I1816" s="38" t="s">
        <v>2213</v>
      </c>
      <c r="J1816" s="38" t="s">
        <v>530</v>
      </c>
      <c r="K1816" s="38" t="s">
        <v>63</v>
      </c>
      <c r="L1816" s="41">
        <v>46009.4375</v>
      </c>
      <c r="M1816" s="38" t="s">
        <v>123</v>
      </c>
      <c r="N1816" s="41">
        <v>46009.583333333336</v>
      </c>
      <c r="O1816" s="38" t="s">
        <v>123</v>
      </c>
      <c r="P1816" s="38">
        <v>12600.0</v>
      </c>
      <c r="Q1816" s="39"/>
      <c r="R1816" s="39"/>
      <c r="S1816" s="39"/>
      <c r="T1816" s="39"/>
      <c r="U1816" s="39"/>
    </row>
    <row r="1817">
      <c r="A1817" s="40">
        <f t="shared" si="1"/>
        <v>46006</v>
      </c>
      <c r="B1817" s="37" t="str">
        <f t="array" ref="B1817">iferror(xlookup($I1817, 'IMPORT VHC Report'!$E:$E, 'IMPORT VHC Report'!$A:$C), )</f>
        <v/>
      </c>
      <c r="C1817" s="37"/>
      <c r="D1817" s="37"/>
      <c r="E1817" s="38" t="s">
        <v>2255</v>
      </c>
      <c r="F1817" s="38" t="s">
        <v>2211</v>
      </c>
      <c r="G1817" s="38">
        <v>3.61731646775E11</v>
      </c>
      <c r="H1817" s="38" t="s">
        <v>2212</v>
      </c>
      <c r="I1817" s="38" t="s">
        <v>2213</v>
      </c>
      <c r="J1817" s="38" t="s">
        <v>132</v>
      </c>
      <c r="K1817" s="38" t="s">
        <v>126</v>
      </c>
      <c r="L1817" s="41">
        <v>46009.458333333336</v>
      </c>
      <c r="M1817" s="38" t="s">
        <v>123</v>
      </c>
      <c r="N1817" s="41">
        <v>46009.5</v>
      </c>
      <c r="O1817" s="38" t="s">
        <v>123</v>
      </c>
      <c r="P1817" s="38">
        <v>3600.0</v>
      </c>
      <c r="Q1817" s="39"/>
      <c r="R1817" s="39"/>
      <c r="S1817" s="39"/>
      <c r="T1817" s="39"/>
      <c r="U1817" s="39"/>
    </row>
    <row r="1818">
      <c r="A1818" s="40">
        <f t="shared" si="1"/>
        <v>46006</v>
      </c>
      <c r="B1818" s="37" t="str">
        <f t="array" ref="B1818">iferror(xlookup($I1818, 'IMPORT VHC Report'!$E:$E, 'IMPORT VHC Report'!$A:$C), )</f>
        <v/>
      </c>
      <c r="C1818" s="37"/>
      <c r="D1818" s="37"/>
      <c r="E1818" s="38" t="s">
        <v>2256</v>
      </c>
      <c r="F1818" s="38" t="s">
        <v>2211</v>
      </c>
      <c r="G1818" s="38">
        <v>3.61731646775E11</v>
      </c>
      <c r="H1818" s="38" t="s">
        <v>2212</v>
      </c>
      <c r="I1818" s="38" t="s">
        <v>2213</v>
      </c>
      <c r="J1818" s="38" t="s">
        <v>125</v>
      </c>
      <c r="K1818" s="38" t="s">
        <v>126</v>
      </c>
      <c r="L1818" s="41">
        <v>46009.572916666664</v>
      </c>
      <c r="M1818" s="38" t="s">
        <v>123</v>
      </c>
      <c r="N1818" s="41">
        <v>46009.583333333336</v>
      </c>
      <c r="O1818" s="38" t="s">
        <v>123</v>
      </c>
      <c r="P1818" s="38">
        <v>900.0</v>
      </c>
      <c r="Q1818" s="39"/>
      <c r="R1818" s="39"/>
      <c r="S1818" s="38" t="s">
        <v>2257</v>
      </c>
      <c r="T1818" s="39"/>
      <c r="U1818" s="39"/>
    </row>
    <row r="1819">
      <c r="A1819" s="40">
        <f t="shared" si="1"/>
        <v>46006</v>
      </c>
      <c r="B1819" s="37" t="str">
        <f t="array" ref="B1819">iferror(xlookup($I1819, 'IMPORT VHC Report'!$E:$E, 'IMPORT VHC Report'!$A:$C), )</f>
        <v/>
      </c>
      <c r="C1819" s="37"/>
      <c r="D1819" s="37"/>
      <c r="E1819" s="38" t="s">
        <v>2258</v>
      </c>
      <c r="F1819" s="38" t="s">
        <v>2211</v>
      </c>
      <c r="G1819" s="38">
        <v>3.61731646775E11</v>
      </c>
      <c r="H1819" s="38" t="s">
        <v>2212</v>
      </c>
      <c r="I1819" s="38" t="s">
        <v>2213</v>
      </c>
      <c r="J1819" s="38" t="s">
        <v>4</v>
      </c>
      <c r="K1819" s="38" t="s">
        <v>126</v>
      </c>
      <c r="L1819" s="41">
        <v>46012.208333333336</v>
      </c>
      <c r="M1819" s="38" t="s">
        <v>123</v>
      </c>
      <c r="N1819" s="41">
        <v>46012.229166666664</v>
      </c>
      <c r="O1819" s="38" t="s">
        <v>123</v>
      </c>
      <c r="P1819" s="38">
        <v>1800.0</v>
      </c>
      <c r="Q1819" s="39"/>
      <c r="R1819" s="39"/>
      <c r="S1819" s="39"/>
      <c r="T1819" s="39"/>
      <c r="U1819" s="39"/>
    </row>
    <row r="1820">
      <c r="A1820" s="40">
        <f t="shared" si="1"/>
        <v>46006</v>
      </c>
      <c r="B1820" s="37" t="str">
        <f t="array" ref="B1820">iferror(xlookup($I1820, 'IMPORT VHC Report'!$E:$E, 'IMPORT VHC Report'!$A:$C), )</f>
        <v/>
      </c>
      <c r="C1820" s="37"/>
      <c r="D1820" s="37"/>
      <c r="E1820" s="38" t="s">
        <v>2259</v>
      </c>
      <c r="F1820" s="38" t="s">
        <v>2211</v>
      </c>
      <c r="G1820" s="38">
        <v>3.61731646775E11</v>
      </c>
      <c r="H1820" s="38" t="s">
        <v>2212</v>
      </c>
      <c r="I1820" s="38" t="s">
        <v>2213</v>
      </c>
      <c r="J1820" s="38" t="s">
        <v>530</v>
      </c>
      <c r="K1820" s="38" t="s">
        <v>63</v>
      </c>
      <c r="L1820" s="41">
        <v>46012.208333333336</v>
      </c>
      <c r="M1820" s="38" t="s">
        <v>123</v>
      </c>
      <c r="N1820" s="41">
        <v>46012.583333333336</v>
      </c>
      <c r="O1820" s="38" t="s">
        <v>123</v>
      </c>
      <c r="P1820" s="38">
        <v>32400.0</v>
      </c>
      <c r="Q1820" s="39"/>
      <c r="R1820" s="39"/>
      <c r="S1820" s="39"/>
      <c r="T1820" s="39"/>
      <c r="U1820" s="39"/>
    </row>
    <row r="1821">
      <c r="A1821" s="40">
        <f t="shared" si="1"/>
        <v>46006</v>
      </c>
      <c r="B1821" s="37" t="str">
        <f t="array" ref="B1821">iferror(xlookup($I1821, 'IMPORT VHC Report'!$E:$E, 'IMPORT VHC Report'!$A:$C), )</f>
        <v/>
      </c>
      <c r="C1821" s="37"/>
      <c r="D1821" s="37"/>
      <c r="E1821" s="38" t="s">
        <v>2260</v>
      </c>
      <c r="F1821" s="38" t="s">
        <v>2211</v>
      </c>
      <c r="G1821" s="38">
        <v>3.61731646775E11</v>
      </c>
      <c r="H1821" s="38" t="s">
        <v>2212</v>
      </c>
      <c r="I1821" s="38" t="s">
        <v>2213</v>
      </c>
      <c r="J1821" s="38" t="s">
        <v>178</v>
      </c>
      <c r="K1821" s="38" t="s">
        <v>153</v>
      </c>
      <c r="L1821" s="41">
        <v>46012.208333333336</v>
      </c>
      <c r="M1821" s="38" t="s">
        <v>123</v>
      </c>
      <c r="N1821" s="41">
        <v>46012.583333333336</v>
      </c>
      <c r="O1821" s="38" t="s">
        <v>123</v>
      </c>
      <c r="P1821" s="38">
        <v>32400.0</v>
      </c>
      <c r="Q1821" s="38">
        <v>28800.0</v>
      </c>
      <c r="R1821" s="38" t="s">
        <v>2261</v>
      </c>
      <c r="S1821" s="39"/>
      <c r="T1821" s="39"/>
      <c r="U1821" s="39"/>
    </row>
    <row r="1822">
      <c r="A1822" s="40">
        <f t="shared" si="1"/>
        <v>46006</v>
      </c>
      <c r="B1822" s="37" t="str">
        <f t="array" ref="B1822">iferror(xlookup($I1822, 'IMPORT VHC Report'!$E:$E, 'IMPORT VHC Report'!$A:$C), )</f>
        <v/>
      </c>
      <c r="C1822" s="37"/>
      <c r="D1822" s="37"/>
      <c r="E1822" s="38" t="s">
        <v>2262</v>
      </c>
      <c r="F1822" s="38" t="s">
        <v>2211</v>
      </c>
      <c r="G1822" s="38">
        <v>3.61731646775E11</v>
      </c>
      <c r="H1822" s="38" t="s">
        <v>2212</v>
      </c>
      <c r="I1822" s="38" t="s">
        <v>2213</v>
      </c>
      <c r="J1822" s="38" t="s">
        <v>134</v>
      </c>
      <c r="K1822" s="38" t="s">
        <v>126</v>
      </c>
      <c r="L1822" s="41">
        <v>46012.322916666664</v>
      </c>
      <c r="M1822" s="38" t="s">
        <v>123</v>
      </c>
      <c r="N1822" s="41">
        <v>46012.34375</v>
      </c>
      <c r="O1822" s="38" t="s">
        <v>123</v>
      </c>
      <c r="P1822" s="38">
        <v>1800.0</v>
      </c>
      <c r="Q1822" s="39"/>
      <c r="R1822" s="39"/>
      <c r="S1822" s="39"/>
      <c r="T1822" s="39"/>
      <c r="U1822" s="39"/>
    </row>
    <row r="1823">
      <c r="A1823" s="40">
        <f t="shared" si="1"/>
        <v>46006</v>
      </c>
      <c r="B1823" s="37" t="str">
        <f t="array" ref="B1823">iferror(xlookup($I1823, 'IMPORT VHC Report'!$E:$E, 'IMPORT VHC Report'!$A:$C), )</f>
        <v/>
      </c>
      <c r="C1823" s="37"/>
      <c r="D1823" s="37"/>
      <c r="E1823" s="38" t="s">
        <v>2263</v>
      </c>
      <c r="F1823" s="38" t="s">
        <v>2211</v>
      </c>
      <c r="G1823" s="38">
        <v>3.61731646775E11</v>
      </c>
      <c r="H1823" s="38" t="s">
        <v>2212</v>
      </c>
      <c r="I1823" s="38" t="s">
        <v>2213</v>
      </c>
      <c r="J1823" s="38" t="s">
        <v>132</v>
      </c>
      <c r="K1823" s="38" t="s">
        <v>126</v>
      </c>
      <c r="L1823" s="41">
        <v>46012.479166666664</v>
      </c>
      <c r="M1823" s="38" t="s">
        <v>123</v>
      </c>
      <c r="N1823" s="41">
        <v>46012.520833333336</v>
      </c>
      <c r="O1823" s="38" t="s">
        <v>123</v>
      </c>
      <c r="P1823" s="38">
        <v>3600.0</v>
      </c>
      <c r="Q1823" s="39"/>
      <c r="R1823" s="39"/>
      <c r="S1823" s="39"/>
      <c r="T1823" s="39"/>
      <c r="U1823" s="39"/>
    </row>
    <row r="1824">
      <c r="A1824" s="40">
        <f t="shared" si="1"/>
        <v>46006</v>
      </c>
      <c r="B1824" s="37" t="str">
        <f t="array" ref="B1824">iferror(xlookup($I1824, 'IMPORT VHC Report'!$E:$E, 'IMPORT VHC Report'!$A:$C), )</f>
        <v/>
      </c>
      <c r="C1824" s="37"/>
      <c r="D1824" s="37"/>
      <c r="E1824" s="38" t="s">
        <v>2264</v>
      </c>
      <c r="F1824" s="38" t="s">
        <v>2265</v>
      </c>
      <c r="G1824" s="38">
        <v>3.61725486916E11</v>
      </c>
      <c r="H1824" s="38" t="s">
        <v>2266</v>
      </c>
      <c r="I1824" s="38" t="s">
        <v>2267</v>
      </c>
      <c r="J1824" s="38" t="s">
        <v>2268</v>
      </c>
      <c r="K1824" s="38" t="s">
        <v>63</v>
      </c>
      <c r="L1824" s="41">
        <v>46006.208333333336</v>
      </c>
      <c r="M1824" s="38" t="s">
        <v>123</v>
      </c>
      <c r="N1824" s="41">
        <v>46006.583333333336</v>
      </c>
      <c r="O1824" s="38" t="s">
        <v>123</v>
      </c>
      <c r="P1824" s="38">
        <v>32400.0</v>
      </c>
      <c r="Q1824" s="39"/>
      <c r="R1824" s="39"/>
      <c r="S1824" s="39"/>
      <c r="T1824" s="39"/>
      <c r="U1824" s="39"/>
    </row>
    <row r="1825">
      <c r="A1825" s="40">
        <f t="shared" si="1"/>
        <v>46006</v>
      </c>
      <c r="B1825" s="37" t="str">
        <f t="array" ref="B1825">iferror(xlookup($I1825, 'IMPORT VHC Report'!$E:$E, 'IMPORT VHC Report'!$A:$C), )</f>
        <v/>
      </c>
      <c r="C1825" s="37"/>
      <c r="D1825" s="37"/>
      <c r="E1825" s="38" t="s">
        <v>2269</v>
      </c>
      <c r="F1825" s="38" t="s">
        <v>2265</v>
      </c>
      <c r="G1825" s="38">
        <v>3.61725486916E11</v>
      </c>
      <c r="H1825" s="38" t="s">
        <v>2266</v>
      </c>
      <c r="I1825" s="38" t="s">
        <v>2267</v>
      </c>
      <c r="J1825" s="38" t="s">
        <v>136</v>
      </c>
      <c r="K1825" s="38" t="s">
        <v>126</v>
      </c>
      <c r="L1825" s="41">
        <v>46006.291666666664</v>
      </c>
      <c r="M1825" s="38" t="s">
        <v>123</v>
      </c>
      <c r="N1825" s="41">
        <v>46006.3125</v>
      </c>
      <c r="O1825" s="38" t="s">
        <v>123</v>
      </c>
      <c r="P1825" s="38">
        <v>1800.0</v>
      </c>
      <c r="Q1825" s="39"/>
      <c r="R1825" s="39"/>
      <c r="S1825" s="38" t="s">
        <v>2270</v>
      </c>
      <c r="T1825" s="39"/>
      <c r="U1825" s="39"/>
    </row>
    <row r="1826">
      <c r="A1826" s="40">
        <f t="shared" si="1"/>
        <v>46006</v>
      </c>
      <c r="B1826" s="37" t="str">
        <f t="array" ref="B1826">iferror(xlookup($I1826, 'IMPORT VHC Report'!$E:$E, 'IMPORT VHC Report'!$A:$C), )</f>
        <v/>
      </c>
      <c r="C1826" s="37"/>
      <c r="D1826" s="37"/>
      <c r="E1826" s="38" t="s">
        <v>2271</v>
      </c>
      <c r="F1826" s="38" t="s">
        <v>2265</v>
      </c>
      <c r="G1826" s="38">
        <v>3.61725486916E11</v>
      </c>
      <c r="H1826" s="38" t="s">
        <v>2266</v>
      </c>
      <c r="I1826" s="38" t="s">
        <v>2267</v>
      </c>
      <c r="J1826" s="38" t="s">
        <v>134</v>
      </c>
      <c r="K1826" s="38" t="s">
        <v>126</v>
      </c>
      <c r="L1826" s="41">
        <v>46006.322916666664</v>
      </c>
      <c r="M1826" s="38" t="s">
        <v>123</v>
      </c>
      <c r="N1826" s="41">
        <v>46006.34375</v>
      </c>
      <c r="O1826" s="38" t="s">
        <v>123</v>
      </c>
      <c r="P1826" s="38">
        <v>1800.0</v>
      </c>
      <c r="Q1826" s="39"/>
      <c r="R1826" s="39"/>
      <c r="S1826" s="39"/>
      <c r="T1826" s="39"/>
      <c r="U1826" s="39"/>
    </row>
    <row r="1827">
      <c r="A1827" s="40">
        <f t="shared" si="1"/>
        <v>46006</v>
      </c>
      <c r="B1827" s="37" t="str">
        <f t="array" ref="B1827">iferror(xlookup($I1827, 'IMPORT VHC Report'!$E:$E, 'IMPORT VHC Report'!$A:$C), )</f>
        <v/>
      </c>
      <c r="C1827" s="37"/>
      <c r="D1827" s="37"/>
      <c r="E1827" s="38" t="s">
        <v>2272</v>
      </c>
      <c r="F1827" s="38" t="s">
        <v>2265</v>
      </c>
      <c r="G1827" s="38">
        <v>3.61725486916E11</v>
      </c>
      <c r="H1827" s="38" t="s">
        <v>2266</v>
      </c>
      <c r="I1827" s="38" t="s">
        <v>2267</v>
      </c>
      <c r="J1827" s="38" t="s">
        <v>132</v>
      </c>
      <c r="K1827" s="38" t="s">
        <v>126</v>
      </c>
      <c r="L1827" s="41">
        <v>46006.5</v>
      </c>
      <c r="M1827" s="38" t="s">
        <v>123</v>
      </c>
      <c r="N1827" s="41">
        <v>46006.541666666664</v>
      </c>
      <c r="O1827" s="38" t="s">
        <v>123</v>
      </c>
      <c r="P1827" s="38">
        <v>3600.0</v>
      </c>
      <c r="Q1827" s="39"/>
      <c r="R1827" s="39"/>
      <c r="S1827" s="39"/>
      <c r="T1827" s="39"/>
      <c r="U1827" s="39"/>
    </row>
    <row r="1828">
      <c r="A1828" s="40">
        <f t="shared" si="1"/>
        <v>46006</v>
      </c>
      <c r="B1828" s="37" t="str">
        <f t="array" ref="B1828">iferror(xlookup($I1828, 'IMPORT VHC Report'!$E:$E, 'IMPORT VHC Report'!$A:$C), )</f>
        <v/>
      </c>
      <c r="C1828" s="37"/>
      <c r="D1828" s="37"/>
      <c r="E1828" s="38" t="s">
        <v>2273</v>
      </c>
      <c r="F1828" s="38" t="s">
        <v>2265</v>
      </c>
      <c r="G1828" s="38">
        <v>3.61725486916E11</v>
      </c>
      <c r="H1828" s="38" t="s">
        <v>2266</v>
      </c>
      <c r="I1828" s="38" t="s">
        <v>2267</v>
      </c>
      <c r="J1828" s="38" t="s">
        <v>134</v>
      </c>
      <c r="K1828" s="38" t="s">
        <v>126</v>
      </c>
      <c r="L1828" s="41">
        <v>46006.541666666664</v>
      </c>
      <c r="M1828" s="38" t="s">
        <v>123</v>
      </c>
      <c r="N1828" s="41">
        <v>46006.569444444445</v>
      </c>
      <c r="O1828" s="38" t="s">
        <v>123</v>
      </c>
      <c r="P1828" s="38">
        <v>2400.0</v>
      </c>
      <c r="Q1828" s="39"/>
      <c r="R1828" s="39"/>
      <c r="S1828" s="38" t="s">
        <v>2274</v>
      </c>
      <c r="T1828" s="39"/>
      <c r="U1828" s="39"/>
    </row>
    <row r="1829">
      <c r="A1829" s="40">
        <f t="shared" si="1"/>
        <v>46006</v>
      </c>
      <c r="B1829" s="37" t="str">
        <f t="array" ref="B1829">iferror(xlookup($I1829, 'IMPORT VHC Report'!$E:$E, 'IMPORT VHC Report'!$A:$C), )</f>
        <v/>
      </c>
      <c r="C1829" s="37"/>
      <c r="D1829" s="37"/>
      <c r="E1829" s="38" t="s">
        <v>2275</v>
      </c>
      <c r="F1829" s="38" t="s">
        <v>2265</v>
      </c>
      <c r="G1829" s="38">
        <v>3.61725486916E11</v>
      </c>
      <c r="H1829" s="38" t="s">
        <v>2266</v>
      </c>
      <c r="I1829" s="38" t="s">
        <v>2267</v>
      </c>
      <c r="J1829" s="38" t="s">
        <v>2268</v>
      </c>
      <c r="K1829" s="38" t="s">
        <v>63</v>
      </c>
      <c r="L1829" s="41">
        <v>46007.208333333336</v>
      </c>
      <c r="M1829" s="38" t="s">
        <v>123</v>
      </c>
      <c r="N1829" s="41">
        <v>46007.583333333336</v>
      </c>
      <c r="O1829" s="38" t="s">
        <v>123</v>
      </c>
      <c r="P1829" s="38">
        <v>32400.0</v>
      </c>
      <c r="Q1829" s="39"/>
      <c r="R1829" s="39"/>
      <c r="S1829" s="39"/>
      <c r="T1829" s="39"/>
      <c r="U1829" s="39"/>
    </row>
    <row r="1830">
      <c r="A1830" s="40">
        <f t="shared" si="1"/>
        <v>46006</v>
      </c>
      <c r="B1830" s="37" t="str">
        <f t="array" ref="B1830">iferror(xlookup($I1830, 'IMPORT VHC Report'!$E:$E, 'IMPORT VHC Report'!$A:$C), )</f>
        <v/>
      </c>
      <c r="C1830" s="37"/>
      <c r="D1830" s="37"/>
      <c r="E1830" s="38" t="s">
        <v>2276</v>
      </c>
      <c r="F1830" s="38" t="s">
        <v>2265</v>
      </c>
      <c r="G1830" s="38">
        <v>3.61725486916E11</v>
      </c>
      <c r="H1830" s="38" t="s">
        <v>2266</v>
      </c>
      <c r="I1830" s="38" t="s">
        <v>2267</v>
      </c>
      <c r="J1830" s="38" t="s">
        <v>136</v>
      </c>
      <c r="K1830" s="38" t="s">
        <v>126</v>
      </c>
      <c r="L1830" s="41">
        <v>46007.291666666664</v>
      </c>
      <c r="M1830" s="38" t="s">
        <v>123</v>
      </c>
      <c r="N1830" s="41">
        <v>46007.3125</v>
      </c>
      <c r="O1830" s="38" t="s">
        <v>123</v>
      </c>
      <c r="P1830" s="38">
        <v>1800.0</v>
      </c>
      <c r="Q1830" s="39"/>
      <c r="R1830" s="39"/>
      <c r="S1830" s="38" t="s">
        <v>2270</v>
      </c>
      <c r="T1830" s="39"/>
      <c r="U1830" s="39"/>
    </row>
    <row r="1831">
      <c r="A1831" s="40">
        <f t="shared" si="1"/>
        <v>46006</v>
      </c>
      <c r="B1831" s="37" t="str">
        <f t="array" ref="B1831">iferror(xlookup($I1831, 'IMPORT VHC Report'!$E:$E, 'IMPORT VHC Report'!$A:$C), )</f>
        <v/>
      </c>
      <c r="C1831" s="37"/>
      <c r="D1831" s="37"/>
      <c r="E1831" s="38" t="s">
        <v>2277</v>
      </c>
      <c r="F1831" s="38" t="s">
        <v>2265</v>
      </c>
      <c r="G1831" s="38">
        <v>3.61725486916E11</v>
      </c>
      <c r="H1831" s="38" t="s">
        <v>2266</v>
      </c>
      <c r="I1831" s="38" t="s">
        <v>2267</v>
      </c>
      <c r="J1831" s="38" t="s">
        <v>134</v>
      </c>
      <c r="K1831" s="38" t="s">
        <v>126</v>
      </c>
      <c r="L1831" s="41">
        <v>46007.34375</v>
      </c>
      <c r="M1831" s="38" t="s">
        <v>123</v>
      </c>
      <c r="N1831" s="41">
        <v>46007.364583333336</v>
      </c>
      <c r="O1831" s="38" t="s">
        <v>123</v>
      </c>
      <c r="P1831" s="38">
        <v>1800.0</v>
      </c>
      <c r="Q1831" s="39"/>
      <c r="R1831" s="39"/>
      <c r="S1831" s="39"/>
      <c r="T1831" s="39"/>
      <c r="U1831" s="39"/>
    </row>
    <row r="1832">
      <c r="A1832" s="40">
        <f t="shared" si="1"/>
        <v>46006</v>
      </c>
      <c r="B1832" s="37" t="str">
        <f t="array" ref="B1832">iferror(xlookup($I1832, 'IMPORT VHC Report'!$E:$E, 'IMPORT VHC Report'!$A:$C), )</f>
        <v/>
      </c>
      <c r="C1832" s="37"/>
      <c r="D1832" s="37"/>
      <c r="E1832" s="38" t="s">
        <v>2278</v>
      </c>
      <c r="F1832" s="38" t="s">
        <v>2265</v>
      </c>
      <c r="G1832" s="38">
        <v>3.61725486916E11</v>
      </c>
      <c r="H1832" s="38" t="s">
        <v>2266</v>
      </c>
      <c r="I1832" s="38" t="s">
        <v>2267</v>
      </c>
      <c r="J1832" s="38" t="s">
        <v>132</v>
      </c>
      <c r="K1832" s="38" t="s">
        <v>126</v>
      </c>
      <c r="L1832" s="41">
        <v>46007.5</v>
      </c>
      <c r="M1832" s="38" t="s">
        <v>123</v>
      </c>
      <c r="N1832" s="41">
        <v>46007.541666666664</v>
      </c>
      <c r="O1832" s="38" t="s">
        <v>123</v>
      </c>
      <c r="P1832" s="38">
        <v>3600.0</v>
      </c>
      <c r="Q1832" s="39"/>
      <c r="R1832" s="39"/>
      <c r="S1832" s="39"/>
      <c r="T1832" s="39"/>
      <c r="U1832" s="39"/>
    </row>
    <row r="1833">
      <c r="A1833" s="40">
        <f t="shared" si="1"/>
        <v>46006</v>
      </c>
      <c r="B1833" s="37" t="str">
        <f t="array" ref="B1833">iferror(xlookup($I1833, 'IMPORT VHC Report'!$E:$E, 'IMPORT VHC Report'!$A:$C), )</f>
        <v/>
      </c>
      <c r="C1833" s="37"/>
      <c r="D1833" s="37"/>
      <c r="E1833" s="38" t="s">
        <v>2279</v>
      </c>
      <c r="F1833" s="38" t="s">
        <v>2265</v>
      </c>
      <c r="G1833" s="38">
        <v>3.61725486916E11</v>
      </c>
      <c r="H1833" s="38" t="s">
        <v>2266</v>
      </c>
      <c r="I1833" s="38" t="s">
        <v>2267</v>
      </c>
      <c r="J1833" s="38" t="s">
        <v>134</v>
      </c>
      <c r="K1833" s="38" t="s">
        <v>126</v>
      </c>
      <c r="L1833" s="41">
        <v>46007.541666666664</v>
      </c>
      <c r="M1833" s="38" t="s">
        <v>123</v>
      </c>
      <c r="N1833" s="41">
        <v>46007.569444444445</v>
      </c>
      <c r="O1833" s="38" t="s">
        <v>123</v>
      </c>
      <c r="P1833" s="38">
        <v>2400.0</v>
      </c>
      <c r="Q1833" s="39"/>
      <c r="R1833" s="39"/>
      <c r="S1833" s="38" t="s">
        <v>2274</v>
      </c>
      <c r="T1833" s="39"/>
      <c r="U1833" s="39"/>
    </row>
    <row r="1834">
      <c r="A1834" s="40">
        <f t="shared" si="1"/>
        <v>46006</v>
      </c>
      <c r="B1834" s="37" t="str">
        <f t="array" ref="B1834">iferror(xlookup($I1834, 'IMPORT VHC Report'!$E:$E, 'IMPORT VHC Report'!$A:$C), )</f>
        <v/>
      </c>
      <c r="C1834" s="37"/>
      <c r="D1834" s="37"/>
      <c r="E1834" s="38" t="s">
        <v>2280</v>
      </c>
      <c r="F1834" s="38" t="s">
        <v>2265</v>
      </c>
      <c r="G1834" s="38">
        <v>3.61725486916E11</v>
      </c>
      <c r="H1834" s="38" t="s">
        <v>2266</v>
      </c>
      <c r="I1834" s="38" t="s">
        <v>2267</v>
      </c>
      <c r="J1834" s="38" t="s">
        <v>2268</v>
      </c>
      <c r="K1834" s="38" t="s">
        <v>63</v>
      </c>
      <c r="L1834" s="41">
        <v>46008.208333333336</v>
      </c>
      <c r="M1834" s="38" t="s">
        <v>123</v>
      </c>
      <c r="N1834" s="41">
        <v>46008.583333333336</v>
      </c>
      <c r="O1834" s="38" t="s">
        <v>123</v>
      </c>
      <c r="P1834" s="38">
        <v>32400.0</v>
      </c>
      <c r="Q1834" s="39"/>
      <c r="R1834" s="39"/>
      <c r="S1834" s="39"/>
      <c r="T1834" s="39"/>
      <c r="U1834" s="39"/>
    </row>
    <row r="1835">
      <c r="A1835" s="40">
        <f t="shared" si="1"/>
        <v>46006</v>
      </c>
      <c r="B1835" s="37" t="str">
        <f t="array" ref="B1835">iferror(xlookup($I1835, 'IMPORT VHC Report'!$E:$E, 'IMPORT VHC Report'!$A:$C), )</f>
        <v/>
      </c>
      <c r="C1835" s="37"/>
      <c r="D1835" s="37"/>
      <c r="E1835" s="38" t="s">
        <v>2281</v>
      </c>
      <c r="F1835" s="38" t="s">
        <v>2265</v>
      </c>
      <c r="G1835" s="38">
        <v>3.61725486916E11</v>
      </c>
      <c r="H1835" s="38" t="s">
        <v>2266</v>
      </c>
      <c r="I1835" s="38" t="s">
        <v>2267</v>
      </c>
      <c r="J1835" s="38" t="s">
        <v>132</v>
      </c>
      <c r="K1835" s="38" t="s">
        <v>126</v>
      </c>
      <c r="L1835" s="41">
        <v>46008.291666666664</v>
      </c>
      <c r="M1835" s="38" t="s">
        <v>123</v>
      </c>
      <c r="N1835" s="41">
        <v>46008.333333333336</v>
      </c>
      <c r="O1835" s="38" t="s">
        <v>123</v>
      </c>
      <c r="P1835" s="38">
        <v>3600.0</v>
      </c>
      <c r="Q1835" s="39"/>
      <c r="R1835" s="39"/>
      <c r="S1835" s="39"/>
      <c r="T1835" s="39"/>
      <c r="U1835" s="39"/>
    </row>
    <row r="1836">
      <c r="A1836" s="40">
        <f t="shared" si="1"/>
        <v>46006</v>
      </c>
      <c r="B1836" s="37" t="str">
        <f t="array" ref="B1836">iferror(xlookup($I1836, 'IMPORT VHC Report'!$E:$E, 'IMPORT VHC Report'!$A:$C), )</f>
        <v/>
      </c>
      <c r="C1836" s="37"/>
      <c r="D1836" s="37"/>
      <c r="E1836" s="38" t="s">
        <v>2282</v>
      </c>
      <c r="F1836" s="38" t="s">
        <v>2265</v>
      </c>
      <c r="G1836" s="38">
        <v>3.61725486916E11</v>
      </c>
      <c r="H1836" s="38" t="s">
        <v>2266</v>
      </c>
      <c r="I1836" s="38" t="s">
        <v>2267</v>
      </c>
      <c r="J1836" s="38" t="s">
        <v>4</v>
      </c>
      <c r="K1836" s="38" t="s">
        <v>126</v>
      </c>
      <c r="L1836" s="41">
        <v>46008.333333333336</v>
      </c>
      <c r="M1836" s="38" t="s">
        <v>123</v>
      </c>
      <c r="N1836" s="41">
        <v>46008.458333333336</v>
      </c>
      <c r="O1836" s="38" t="s">
        <v>123</v>
      </c>
      <c r="P1836" s="38">
        <v>10800.0</v>
      </c>
      <c r="Q1836" s="39"/>
      <c r="R1836" s="39"/>
      <c r="S1836" s="38" t="s">
        <v>2283</v>
      </c>
      <c r="T1836" s="39"/>
      <c r="U1836" s="39"/>
    </row>
    <row r="1837">
      <c r="A1837" s="40">
        <f t="shared" si="1"/>
        <v>46006</v>
      </c>
      <c r="B1837" s="37" t="str">
        <f t="array" ref="B1837">iferror(xlookup($I1837, 'IMPORT VHC Report'!$E:$E, 'IMPORT VHC Report'!$A:$C), )</f>
        <v/>
      </c>
      <c r="C1837" s="37"/>
      <c r="D1837" s="37"/>
      <c r="E1837" s="38" t="s">
        <v>2284</v>
      </c>
      <c r="F1837" s="38" t="s">
        <v>2265</v>
      </c>
      <c r="G1837" s="38">
        <v>3.61725486916E11</v>
      </c>
      <c r="H1837" s="38" t="s">
        <v>2266</v>
      </c>
      <c r="I1837" s="38" t="s">
        <v>2267</v>
      </c>
      <c r="J1837" s="38" t="s">
        <v>152</v>
      </c>
      <c r="K1837" s="38" t="s">
        <v>153</v>
      </c>
      <c r="L1837" s="41">
        <v>46008.458333333336</v>
      </c>
      <c r="M1837" s="38" t="s">
        <v>123</v>
      </c>
      <c r="N1837" s="41">
        <v>46008.583333333336</v>
      </c>
      <c r="O1837" s="38" t="s">
        <v>123</v>
      </c>
      <c r="P1837" s="38">
        <v>10800.0</v>
      </c>
      <c r="Q1837" s="38">
        <v>10800.0</v>
      </c>
      <c r="R1837" s="39"/>
      <c r="S1837" s="39"/>
      <c r="T1837" s="39"/>
      <c r="U1837" s="39"/>
    </row>
    <row r="1838">
      <c r="A1838" s="40">
        <f t="shared" si="1"/>
        <v>46006</v>
      </c>
      <c r="B1838" s="37" t="str">
        <f t="array" ref="B1838">iferror(xlookup($I1838, 'IMPORT VHC Report'!$E:$E, 'IMPORT VHC Report'!$A:$C), )</f>
        <v/>
      </c>
      <c r="C1838" s="37"/>
      <c r="D1838" s="37"/>
      <c r="E1838" s="38" t="s">
        <v>2285</v>
      </c>
      <c r="F1838" s="38" t="s">
        <v>2265</v>
      </c>
      <c r="G1838" s="38">
        <v>3.61725486916E11</v>
      </c>
      <c r="H1838" s="38" t="s">
        <v>2266</v>
      </c>
      <c r="I1838" s="38" t="s">
        <v>2267</v>
      </c>
      <c r="J1838" s="38" t="s">
        <v>2268</v>
      </c>
      <c r="K1838" s="38" t="s">
        <v>63</v>
      </c>
      <c r="L1838" s="41">
        <v>46011.208333333336</v>
      </c>
      <c r="M1838" s="38" t="s">
        <v>123</v>
      </c>
      <c r="N1838" s="41">
        <v>46011.583333333336</v>
      </c>
      <c r="O1838" s="38" t="s">
        <v>123</v>
      </c>
      <c r="P1838" s="38">
        <v>32400.0</v>
      </c>
      <c r="Q1838" s="39"/>
      <c r="R1838" s="39"/>
      <c r="S1838" s="39"/>
      <c r="T1838" s="39"/>
      <c r="U1838" s="39"/>
    </row>
    <row r="1839">
      <c r="A1839" s="40">
        <f t="shared" si="1"/>
        <v>46006</v>
      </c>
      <c r="B1839" s="37" t="str">
        <f t="array" ref="B1839">iferror(xlookup($I1839, 'IMPORT VHC Report'!$E:$E, 'IMPORT VHC Report'!$A:$C), )</f>
        <v/>
      </c>
      <c r="C1839" s="37"/>
      <c r="D1839" s="37"/>
      <c r="E1839" s="38" t="s">
        <v>2286</v>
      </c>
      <c r="F1839" s="38" t="s">
        <v>2265</v>
      </c>
      <c r="G1839" s="38">
        <v>3.61725486916E11</v>
      </c>
      <c r="H1839" s="38" t="s">
        <v>2266</v>
      </c>
      <c r="I1839" s="38" t="s">
        <v>2267</v>
      </c>
      <c r="J1839" s="38" t="s">
        <v>134</v>
      </c>
      <c r="K1839" s="38" t="s">
        <v>126</v>
      </c>
      <c r="L1839" s="41">
        <v>46011.354166666664</v>
      </c>
      <c r="M1839" s="38" t="s">
        <v>123</v>
      </c>
      <c r="N1839" s="41">
        <v>46011.375</v>
      </c>
      <c r="O1839" s="38" t="s">
        <v>123</v>
      </c>
      <c r="P1839" s="38">
        <v>1800.0</v>
      </c>
      <c r="Q1839" s="39"/>
      <c r="R1839" s="39"/>
      <c r="S1839" s="39"/>
      <c r="T1839" s="39"/>
      <c r="U1839" s="39"/>
    </row>
    <row r="1840">
      <c r="A1840" s="40">
        <f t="shared" si="1"/>
        <v>46006</v>
      </c>
      <c r="B1840" s="37" t="str">
        <f t="array" ref="B1840">iferror(xlookup($I1840, 'IMPORT VHC Report'!$E:$E, 'IMPORT VHC Report'!$A:$C), )</f>
        <v/>
      </c>
      <c r="C1840" s="37"/>
      <c r="D1840" s="37"/>
      <c r="E1840" s="38" t="s">
        <v>2287</v>
      </c>
      <c r="F1840" s="38" t="s">
        <v>2265</v>
      </c>
      <c r="G1840" s="38">
        <v>3.61725486916E11</v>
      </c>
      <c r="H1840" s="38" t="s">
        <v>2266</v>
      </c>
      <c r="I1840" s="38" t="s">
        <v>2267</v>
      </c>
      <c r="J1840" s="38" t="s">
        <v>132</v>
      </c>
      <c r="K1840" s="38" t="s">
        <v>126</v>
      </c>
      <c r="L1840" s="41">
        <v>46011.46875</v>
      </c>
      <c r="M1840" s="38" t="s">
        <v>123</v>
      </c>
      <c r="N1840" s="41">
        <v>46011.510416666664</v>
      </c>
      <c r="O1840" s="38" t="s">
        <v>123</v>
      </c>
      <c r="P1840" s="38">
        <v>3600.0</v>
      </c>
      <c r="Q1840" s="39"/>
      <c r="R1840" s="39"/>
      <c r="S1840" s="39"/>
      <c r="T1840" s="39"/>
      <c r="U1840" s="39"/>
    </row>
    <row r="1841">
      <c r="A1841" s="40">
        <f t="shared" si="1"/>
        <v>46006</v>
      </c>
      <c r="B1841" s="37" t="str">
        <f t="array" ref="B1841">iferror(xlookup($I1841, 'IMPORT VHC Report'!$E:$E, 'IMPORT VHC Report'!$A:$C), )</f>
        <v/>
      </c>
      <c r="C1841" s="37"/>
      <c r="D1841" s="37"/>
      <c r="E1841" s="38" t="s">
        <v>2288</v>
      </c>
      <c r="F1841" s="38" t="s">
        <v>2265</v>
      </c>
      <c r="G1841" s="38">
        <v>3.61725486916E11</v>
      </c>
      <c r="H1841" s="38" t="s">
        <v>2266</v>
      </c>
      <c r="I1841" s="38" t="s">
        <v>2267</v>
      </c>
      <c r="J1841" s="38" t="s">
        <v>134</v>
      </c>
      <c r="K1841" s="38" t="s">
        <v>126</v>
      </c>
      <c r="L1841" s="41">
        <v>46011.510416666664</v>
      </c>
      <c r="M1841" s="38" t="s">
        <v>123</v>
      </c>
      <c r="N1841" s="41">
        <v>46011.538194444445</v>
      </c>
      <c r="O1841" s="38" t="s">
        <v>123</v>
      </c>
      <c r="P1841" s="38">
        <v>2400.0</v>
      </c>
      <c r="Q1841" s="39"/>
      <c r="R1841" s="39"/>
      <c r="S1841" s="38" t="s">
        <v>2274</v>
      </c>
      <c r="T1841" s="39"/>
      <c r="U1841" s="39"/>
    </row>
    <row r="1842">
      <c r="A1842" s="40">
        <f t="shared" si="1"/>
        <v>46006</v>
      </c>
      <c r="B1842" s="37" t="str">
        <f t="array" ref="B1842">iferror(xlookup($I1842, 'IMPORT VHC Report'!$E:$E, 'IMPORT VHC Report'!$A:$C), )</f>
        <v/>
      </c>
      <c r="C1842" s="37"/>
      <c r="D1842" s="37"/>
      <c r="E1842" s="38" t="s">
        <v>2289</v>
      </c>
      <c r="F1842" s="38" t="s">
        <v>2265</v>
      </c>
      <c r="G1842" s="38">
        <v>3.61725486916E11</v>
      </c>
      <c r="H1842" s="38" t="s">
        <v>2266</v>
      </c>
      <c r="I1842" s="38" t="s">
        <v>2267</v>
      </c>
      <c r="J1842" s="38" t="s">
        <v>2268</v>
      </c>
      <c r="K1842" s="38" t="s">
        <v>63</v>
      </c>
      <c r="L1842" s="41">
        <v>46012.208333333336</v>
      </c>
      <c r="M1842" s="38" t="s">
        <v>123</v>
      </c>
      <c r="N1842" s="41">
        <v>46012.583333333336</v>
      </c>
      <c r="O1842" s="38" t="s">
        <v>123</v>
      </c>
      <c r="P1842" s="38">
        <v>32400.0</v>
      </c>
      <c r="Q1842" s="39"/>
      <c r="R1842" s="39"/>
      <c r="S1842" s="39"/>
      <c r="T1842" s="39"/>
      <c r="U1842" s="39"/>
    </row>
    <row r="1843">
      <c r="A1843" s="40">
        <f t="shared" si="1"/>
        <v>46006</v>
      </c>
      <c r="B1843" s="37" t="str">
        <f t="array" ref="B1843">iferror(xlookup($I1843, 'IMPORT VHC Report'!$E:$E, 'IMPORT VHC Report'!$A:$C), )</f>
        <v/>
      </c>
      <c r="C1843" s="37"/>
      <c r="D1843" s="37"/>
      <c r="E1843" s="38" t="s">
        <v>2290</v>
      </c>
      <c r="F1843" s="38" t="s">
        <v>2265</v>
      </c>
      <c r="G1843" s="38">
        <v>3.61725486916E11</v>
      </c>
      <c r="H1843" s="38" t="s">
        <v>2266</v>
      </c>
      <c r="I1843" s="38" t="s">
        <v>2267</v>
      </c>
      <c r="J1843" s="38" t="s">
        <v>134</v>
      </c>
      <c r="K1843" s="38" t="s">
        <v>126</v>
      </c>
      <c r="L1843" s="41">
        <v>46012.291666666664</v>
      </c>
      <c r="M1843" s="38" t="s">
        <v>123</v>
      </c>
      <c r="N1843" s="41">
        <v>46012.3125</v>
      </c>
      <c r="O1843" s="38" t="s">
        <v>123</v>
      </c>
      <c r="P1843" s="38">
        <v>1800.0</v>
      </c>
      <c r="Q1843" s="39"/>
      <c r="R1843" s="39"/>
      <c r="S1843" s="39"/>
      <c r="T1843" s="39"/>
      <c r="U1843" s="39"/>
    </row>
    <row r="1844">
      <c r="A1844" s="40">
        <f t="shared" si="1"/>
        <v>46006</v>
      </c>
      <c r="B1844" s="37" t="str">
        <f t="array" ref="B1844">iferror(xlookup($I1844, 'IMPORT VHC Report'!$E:$E, 'IMPORT VHC Report'!$A:$C), )</f>
        <v/>
      </c>
      <c r="C1844" s="37"/>
      <c r="D1844" s="37"/>
      <c r="E1844" s="38" t="s">
        <v>2291</v>
      </c>
      <c r="F1844" s="38" t="s">
        <v>2265</v>
      </c>
      <c r="G1844" s="38">
        <v>3.61725486916E11</v>
      </c>
      <c r="H1844" s="38" t="s">
        <v>2266</v>
      </c>
      <c r="I1844" s="38" t="s">
        <v>2267</v>
      </c>
      <c r="J1844" s="38" t="s">
        <v>132</v>
      </c>
      <c r="K1844" s="38" t="s">
        <v>126</v>
      </c>
      <c r="L1844" s="41">
        <v>46012.479166666664</v>
      </c>
      <c r="M1844" s="38" t="s">
        <v>123</v>
      </c>
      <c r="N1844" s="41">
        <v>46012.520833333336</v>
      </c>
      <c r="O1844" s="38" t="s">
        <v>123</v>
      </c>
      <c r="P1844" s="38">
        <v>3600.0</v>
      </c>
      <c r="Q1844" s="39"/>
      <c r="R1844" s="39"/>
      <c r="S1844" s="39"/>
      <c r="T1844" s="39"/>
      <c r="U1844" s="39"/>
    </row>
    <row r="1845">
      <c r="A1845" s="40">
        <f t="shared" si="1"/>
        <v>46006</v>
      </c>
      <c r="B1845" s="37" t="str">
        <f t="array" ref="B1845">iferror(xlookup($I1845, 'IMPORT VHC Report'!$E:$E, 'IMPORT VHC Report'!$A:$C), )</f>
        <v/>
      </c>
      <c r="C1845" s="37"/>
      <c r="D1845" s="37"/>
      <c r="E1845" s="38" t="s">
        <v>2292</v>
      </c>
      <c r="F1845" s="38" t="s">
        <v>2265</v>
      </c>
      <c r="G1845" s="38">
        <v>3.61725486916E11</v>
      </c>
      <c r="H1845" s="38" t="s">
        <v>2266</v>
      </c>
      <c r="I1845" s="38" t="s">
        <v>2267</v>
      </c>
      <c r="J1845" s="38" t="s">
        <v>134</v>
      </c>
      <c r="K1845" s="38" t="s">
        <v>126</v>
      </c>
      <c r="L1845" s="41">
        <v>46012.520833333336</v>
      </c>
      <c r="M1845" s="38" t="s">
        <v>123</v>
      </c>
      <c r="N1845" s="41">
        <v>46012.54861111111</v>
      </c>
      <c r="O1845" s="38" t="s">
        <v>123</v>
      </c>
      <c r="P1845" s="38">
        <v>2400.0</v>
      </c>
      <c r="Q1845" s="39"/>
      <c r="R1845" s="39"/>
      <c r="S1845" s="38" t="s">
        <v>2274</v>
      </c>
      <c r="T1845" s="39"/>
      <c r="U1845" s="39"/>
    </row>
    <row r="1846">
      <c r="A1846" s="40">
        <f t="shared" si="1"/>
        <v>46006</v>
      </c>
      <c r="B1846" s="37" t="str">
        <f t="array" ref="B1846">iferror(xlookup($I1846, 'IMPORT VHC Report'!$E:$E, 'IMPORT VHC Report'!$A:$C), )</f>
        <v/>
      </c>
      <c r="C1846" s="37"/>
      <c r="D1846" s="37"/>
      <c r="E1846" s="38" t="s">
        <v>2293</v>
      </c>
      <c r="F1846" s="38" t="s">
        <v>2294</v>
      </c>
      <c r="G1846" s="38">
        <v>5.202392949391E12</v>
      </c>
      <c r="H1846" s="38" t="s">
        <v>2295</v>
      </c>
      <c r="I1846" s="38" t="s">
        <v>2296</v>
      </c>
      <c r="J1846" s="38" t="s">
        <v>4</v>
      </c>
      <c r="K1846" s="38" t="s">
        <v>126</v>
      </c>
      <c r="L1846" s="41">
        <v>46006.208333333336</v>
      </c>
      <c r="M1846" s="38" t="s">
        <v>123</v>
      </c>
      <c r="N1846" s="41">
        <v>46006.229166666664</v>
      </c>
      <c r="O1846" s="38" t="s">
        <v>123</v>
      </c>
      <c r="P1846" s="38">
        <v>1800.0</v>
      </c>
      <c r="Q1846" s="39"/>
      <c r="R1846" s="39"/>
      <c r="S1846" s="39"/>
      <c r="T1846" s="39"/>
      <c r="U1846" s="39"/>
    </row>
    <row r="1847">
      <c r="A1847" s="40">
        <f t="shared" si="1"/>
        <v>46006</v>
      </c>
      <c r="B1847" s="37" t="str">
        <f t="array" ref="B1847">iferror(xlookup($I1847, 'IMPORT VHC Report'!$E:$E, 'IMPORT VHC Report'!$A:$C), )</f>
        <v/>
      </c>
      <c r="C1847" s="37"/>
      <c r="D1847" s="37"/>
      <c r="E1847" s="38" t="s">
        <v>2297</v>
      </c>
      <c r="F1847" s="38" t="s">
        <v>2294</v>
      </c>
      <c r="G1847" s="38">
        <v>5.202392949391E12</v>
      </c>
      <c r="H1847" s="38" t="s">
        <v>2295</v>
      </c>
      <c r="I1847" s="38" t="s">
        <v>2296</v>
      </c>
      <c r="J1847" s="38" t="s">
        <v>530</v>
      </c>
      <c r="K1847" s="38" t="s">
        <v>63</v>
      </c>
      <c r="L1847" s="41">
        <v>46006.208333333336</v>
      </c>
      <c r="M1847" s="38" t="s">
        <v>123</v>
      </c>
      <c r="N1847" s="41">
        <v>46006.35902777778</v>
      </c>
      <c r="O1847" s="38" t="s">
        <v>123</v>
      </c>
      <c r="P1847" s="38">
        <v>13020.0</v>
      </c>
      <c r="Q1847" s="39"/>
      <c r="R1847" s="39"/>
      <c r="S1847" s="39"/>
      <c r="T1847" s="39"/>
      <c r="U1847" s="39"/>
    </row>
    <row r="1848">
      <c r="A1848" s="40">
        <f t="shared" si="1"/>
        <v>46006</v>
      </c>
      <c r="B1848" s="37" t="str">
        <f t="array" ref="B1848">iferror(xlookup($I1848, 'IMPORT VHC Report'!$E:$E, 'IMPORT VHC Report'!$A:$C), )</f>
        <v/>
      </c>
      <c r="C1848" s="37"/>
      <c r="D1848" s="37"/>
      <c r="E1848" s="38" t="s">
        <v>2298</v>
      </c>
      <c r="F1848" s="38" t="s">
        <v>2294</v>
      </c>
      <c r="G1848" s="38">
        <v>5.202392949391E12</v>
      </c>
      <c r="H1848" s="38" t="s">
        <v>2295</v>
      </c>
      <c r="I1848" s="38" t="s">
        <v>2296</v>
      </c>
      <c r="J1848" s="38" t="s">
        <v>1670</v>
      </c>
      <c r="K1848" s="38" t="s">
        <v>63</v>
      </c>
      <c r="L1848" s="41">
        <v>46006.35902777778</v>
      </c>
      <c r="M1848" s="38" t="s">
        <v>123</v>
      </c>
      <c r="N1848" s="41">
        <v>46006.379166666666</v>
      </c>
      <c r="O1848" s="38" t="s">
        <v>123</v>
      </c>
      <c r="P1848" s="38">
        <v>1740.0</v>
      </c>
      <c r="Q1848" s="39"/>
      <c r="R1848" s="39"/>
      <c r="S1848" s="38" t="s">
        <v>2299</v>
      </c>
      <c r="T1848" s="39"/>
      <c r="U1848" s="39"/>
    </row>
    <row r="1849">
      <c r="A1849" s="40">
        <f t="shared" si="1"/>
        <v>46006</v>
      </c>
      <c r="B1849" s="37" t="str">
        <f t="array" ref="B1849">iferror(xlookup($I1849, 'IMPORT VHC Report'!$E:$E, 'IMPORT VHC Report'!$A:$C), )</f>
        <v/>
      </c>
      <c r="C1849" s="37"/>
      <c r="D1849" s="37"/>
      <c r="E1849" s="38" t="s">
        <v>2300</v>
      </c>
      <c r="F1849" s="38" t="s">
        <v>2294</v>
      </c>
      <c r="G1849" s="38">
        <v>5.202392949391E12</v>
      </c>
      <c r="H1849" s="38" t="s">
        <v>2295</v>
      </c>
      <c r="I1849" s="38" t="s">
        <v>2296</v>
      </c>
      <c r="J1849" s="38" t="s">
        <v>530</v>
      </c>
      <c r="K1849" s="38" t="s">
        <v>63</v>
      </c>
      <c r="L1849" s="41">
        <v>46006.379166666666</v>
      </c>
      <c r="M1849" s="38" t="s">
        <v>123</v>
      </c>
      <c r="N1849" s="41">
        <v>46006.42291666667</v>
      </c>
      <c r="O1849" s="38" t="s">
        <v>123</v>
      </c>
      <c r="P1849" s="38">
        <v>3780.0</v>
      </c>
      <c r="Q1849" s="39"/>
      <c r="R1849" s="39"/>
      <c r="S1849" s="39"/>
      <c r="T1849" s="39"/>
      <c r="U1849" s="39"/>
    </row>
    <row r="1850">
      <c r="A1850" s="40">
        <f t="shared" si="1"/>
        <v>46006</v>
      </c>
      <c r="B1850" s="37" t="str">
        <f t="array" ref="B1850">iferror(xlookup($I1850, 'IMPORT VHC Report'!$E:$E, 'IMPORT VHC Report'!$A:$C), )</f>
        <v/>
      </c>
      <c r="C1850" s="37"/>
      <c r="D1850" s="37"/>
      <c r="E1850" s="38" t="s">
        <v>2301</v>
      </c>
      <c r="F1850" s="38" t="s">
        <v>2294</v>
      </c>
      <c r="G1850" s="38">
        <v>5.202392949391E12</v>
      </c>
      <c r="H1850" s="38" t="s">
        <v>2295</v>
      </c>
      <c r="I1850" s="38" t="s">
        <v>2296</v>
      </c>
      <c r="J1850" s="38" t="s">
        <v>1670</v>
      </c>
      <c r="K1850" s="38" t="s">
        <v>63</v>
      </c>
      <c r="L1850" s="41">
        <v>46006.42291666667</v>
      </c>
      <c r="M1850" s="38" t="s">
        <v>123</v>
      </c>
      <c r="N1850" s="41">
        <v>46006.433333333334</v>
      </c>
      <c r="O1850" s="38" t="s">
        <v>123</v>
      </c>
      <c r="P1850" s="38">
        <v>900.0</v>
      </c>
      <c r="Q1850" s="39"/>
      <c r="R1850" s="39"/>
      <c r="S1850" s="38" t="s">
        <v>2302</v>
      </c>
      <c r="T1850" s="39"/>
      <c r="U1850" s="39"/>
    </row>
    <row r="1851">
      <c r="A1851" s="40">
        <f t="shared" si="1"/>
        <v>46006</v>
      </c>
      <c r="B1851" s="37" t="str">
        <f t="array" ref="B1851">iferror(xlookup($I1851, 'IMPORT VHC Report'!$E:$E, 'IMPORT VHC Report'!$A:$C), )</f>
        <v/>
      </c>
      <c r="C1851" s="37"/>
      <c r="D1851" s="37"/>
      <c r="E1851" s="38" t="s">
        <v>2303</v>
      </c>
      <c r="F1851" s="38" t="s">
        <v>2294</v>
      </c>
      <c r="G1851" s="38">
        <v>5.202392949391E12</v>
      </c>
      <c r="H1851" s="38" t="s">
        <v>2295</v>
      </c>
      <c r="I1851" s="38" t="s">
        <v>2296</v>
      </c>
      <c r="J1851" s="38" t="s">
        <v>530</v>
      </c>
      <c r="K1851" s="38" t="s">
        <v>63</v>
      </c>
      <c r="L1851" s="41">
        <v>46006.433333333334</v>
      </c>
      <c r="M1851" s="38" t="s">
        <v>123</v>
      </c>
      <c r="N1851" s="41">
        <v>46006.583333333336</v>
      </c>
      <c r="O1851" s="38" t="s">
        <v>123</v>
      </c>
      <c r="P1851" s="38">
        <v>12960.0</v>
      </c>
      <c r="Q1851" s="39"/>
      <c r="R1851" s="39"/>
      <c r="S1851" s="39"/>
      <c r="T1851" s="39"/>
      <c r="U1851" s="39"/>
    </row>
    <row r="1852">
      <c r="A1852" s="40">
        <f t="shared" si="1"/>
        <v>46006</v>
      </c>
      <c r="B1852" s="37" t="str">
        <f t="array" ref="B1852">iferror(xlookup($I1852, 'IMPORT VHC Report'!$E:$E, 'IMPORT VHC Report'!$A:$C), )</f>
        <v/>
      </c>
      <c r="C1852" s="37"/>
      <c r="D1852" s="37"/>
      <c r="E1852" s="38" t="s">
        <v>2304</v>
      </c>
      <c r="F1852" s="38" t="s">
        <v>2294</v>
      </c>
      <c r="G1852" s="38">
        <v>5.202392949391E12</v>
      </c>
      <c r="H1852" s="38" t="s">
        <v>2295</v>
      </c>
      <c r="I1852" s="38" t="s">
        <v>2296</v>
      </c>
      <c r="J1852" s="38" t="s">
        <v>134</v>
      </c>
      <c r="K1852" s="38" t="s">
        <v>126</v>
      </c>
      <c r="L1852" s="41">
        <v>46006.479166666664</v>
      </c>
      <c r="M1852" s="38" t="s">
        <v>123</v>
      </c>
      <c r="N1852" s="41">
        <v>46006.5</v>
      </c>
      <c r="O1852" s="38" t="s">
        <v>123</v>
      </c>
      <c r="P1852" s="38">
        <v>1800.0</v>
      </c>
      <c r="Q1852" s="39"/>
      <c r="R1852" s="39"/>
      <c r="S1852" s="39"/>
      <c r="T1852" s="39"/>
      <c r="U1852" s="39"/>
    </row>
    <row r="1853">
      <c r="A1853" s="40">
        <f t="shared" si="1"/>
        <v>46006</v>
      </c>
      <c r="B1853" s="37" t="str">
        <f t="array" ref="B1853">iferror(xlookup($I1853, 'IMPORT VHC Report'!$E:$E, 'IMPORT VHC Report'!$A:$C), )</f>
        <v/>
      </c>
      <c r="C1853" s="37"/>
      <c r="D1853" s="37"/>
      <c r="E1853" s="38" t="s">
        <v>2305</v>
      </c>
      <c r="F1853" s="38" t="s">
        <v>2294</v>
      </c>
      <c r="G1853" s="38">
        <v>5.202392949391E12</v>
      </c>
      <c r="H1853" s="38" t="s">
        <v>2295</v>
      </c>
      <c r="I1853" s="38" t="s">
        <v>2296</v>
      </c>
      <c r="J1853" s="38" t="s">
        <v>132</v>
      </c>
      <c r="K1853" s="38" t="s">
        <v>126</v>
      </c>
      <c r="L1853" s="41">
        <v>46006.5</v>
      </c>
      <c r="M1853" s="38" t="s">
        <v>123</v>
      </c>
      <c r="N1853" s="41">
        <v>46006.541666666664</v>
      </c>
      <c r="O1853" s="38" t="s">
        <v>123</v>
      </c>
      <c r="P1853" s="38">
        <v>3600.0</v>
      </c>
      <c r="Q1853" s="39"/>
      <c r="R1853" s="39"/>
      <c r="S1853" s="39"/>
      <c r="T1853" s="39"/>
      <c r="U1853" s="39"/>
    </row>
    <row r="1854">
      <c r="A1854" s="40">
        <f t="shared" si="1"/>
        <v>46006</v>
      </c>
      <c r="B1854" s="37" t="str">
        <f t="array" ref="B1854">iferror(xlookup($I1854, 'IMPORT VHC Report'!$E:$E, 'IMPORT VHC Report'!$A:$C), )</f>
        <v/>
      </c>
      <c r="C1854" s="37"/>
      <c r="D1854" s="37"/>
      <c r="E1854" s="38" t="s">
        <v>2306</v>
      </c>
      <c r="F1854" s="38" t="s">
        <v>2294</v>
      </c>
      <c r="G1854" s="38">
        <v>5.202392949391E12</v>
      </c>
      <c r="H1854" s="38" t="s">
        <v>2295</v>
      </c>
      <c r="I1854" s="38" t="s">
        <v>2296</v>
      </c>
      <c r="J1854" s="38" t="s">
        <v>4</v>
      </c>
      <c r="K1854" s="38" t="s">
        <v>126</v>
      </c>
      <c r="L1854" s="41">
        <v>46007.208333333336</v>
      </c>
      <c r="M1854" s="38" t="s">
        <v>123</v>
      </c>
      <c r="N1854" s="41">
        <v>46007.229166666664</v>
      </c>
      <c r="O1854" s="38" t="s">
        <v>123</v>
      </c>
      <c r="P1854" s="38">
        <v>1800.0</v>
      </c>
      <c r="Q1854" s="39"/>
      <c r="R1854" s="39"/>
      <c r="S1854" s="39"/>
      <c r="T1854" s="39"/>
      <c r="U1854" s="39"/>
    </row>
    <row r="1855">
      <c r="A1855" s="40">
        <f t="shared" si="1"/>
        <v>46006</v>
      </c>
      <c r="B1855" s="37" t="str">
        <f t="array" ref="B1855">iferror(xlookup($I1855, 'IMPORT VHC Report'!$E:$E, 'IMPORT VHC Report'!$A:$C), )</f>
        <v/>
      </c>
      <c r="C1855" s="37"/>
      <c r="D1855" s="37"/>
      <c r="E1855" s="38" t="s">
        <v>2307</v>
      </c>
      <c r="F1855" s="38" t="s">
        <v>2294</v>
      </c>
      <c r="G1855" s="38">
        <v>5.202392949391E12</v>
      </c>
      <c r="H1855" s="38" t="s">
        <v>2295</v>
      </c>
      <c r="I1855" s="38" t="s">
        <v>2296</v>
      </c>
      <c r="J1855" s="38" t="s">
        <v>152</v>
      </c>
      <c r="K1855" s="38" t="s">
        <v>153</v>
      </c>
      <c r="L1855" s="41">
        <v>46007.208333333336</v>
      </c>
      <c r="M1855" s="38" t="s">
        <v>123</v>
      </c>
      <c r="N1855" s="41">
        <v>46007.583333333336</v>
      </c>
      <c r="O1855" s="38" t="s">
        <v>123</v>
      </c>
      <c r="P1855" s="38">
        <v>32400.0</v>
      </c>
      <c r="Q1855" s="38">
        <v>28800.0</v>
      </c>
      <c r="R1855" s="39"/>
      <c r="S1855" s="39"/>
      <c r="T1855" s="39"/>
      <c r="U1855" s="39"/>
    </row>
    <row r="1856">
      <c r="A1856" s="40">
        <f t="shared" si="1"/>
        <v>46006</v>
      </c>
      <c r="B1856" s="37" t="str">
        <f t="array" ref="B1856">iferror(xlookup($I1856, 'IMPORT VHC Report'!$E:$E, 'IMPORT VHC Report'!$A:$C), )</f>
        <v/>
      </c>
      <c r="C1856" s="37"/>
      <c r="D1856" s="37"/>
      <c r="E1856" s="38" t="s">
        <v>2308</v>
      </c>
      <c r="F1856" s="38" t="s">
        <v>2294</v>
      </c>
      <c r="G1856" s="38">
        <v>5.202392949391E12</v>
      </c>
      <c r="H1856" s="38" t="s">
        <v>2295</v>
      </c>
      <c r="I1856" s="38" t="s">
        <v>2296</v>
      </c>
      <c r="J1856" s="38" t="s">
        <v>530</v>
      </c>
      <c r="K1856" s="38" t="s">
        <v>63</v>
      </c>
      <c r="L1856" s="41">
        <v>46007.208333333336</v>
      </c>
      <c r="M1856" s="38" t="s">
        <v>123</v>
      </c>
      <c r="N1856" s="41">
        <v>46007.583333333336</v>
      </c>
      <c r="O1856" s="38" t="s">
        <v>123</v>
      </c>
      <c r="P1856" s="38">
        <v>32400.0</v>
      </c>
      <c r="Q1856" s="39"/>
      <c r="R1856" s="39"/>
      <c r="S1856" s="39"/>
      <c r="T1856" s="39"/>
      <c r="U1856" s="39"/>
    </row>
    <row r="1857">
      <c r="A1857" s="40">
        <f t="shared" si="1"/>
        <v>46006</v>
      </c>
      <c r="B1857" s="37" t="str">
        <f t="array" ref="B1857">iferror(xlookup($I1857, 'IMPORT VHC Report'!$E:$E, 'IMPORT VHC Report'!$A:$C), )</f>
        <v/>
      </c>
      <c r="C1857" s="37"/>
      <c r="D1857" s="37"/>
      <c r="E1857" s="38" t="s">
        <v>2309</v>
      </c>
      <c r="F1857" s="38" t="s">
        <v>2294</v>
      </c>
      <c r="G1857" s="38">
        <v>5.202392949391E12</v>
      </c>
      <c r="H1857" s="38" t="s">
        <v>2295</v>
      </c>
      <c r="I1857" s="38" t="s">
        <v>2296</v>
      </c>
      <c r="J1857" s="38" t="s">
        <v>134</v>
      </c>
      <c r="K1857" s="38" t="s">
        <v>126</v>
      </c>
      <c r="L1857" s="41">
        <v>46007.3125</v>
      </c>
      <c r="M1857" s="38" t="s">
        <v>123</v>
      </c>
      <c r="N1857" s="41">
        <v>46007.333333333336</v>
      </c>
      <c r="O1857" s="38" t="s">
        <v>123</v>
      </c>
      <c r="P1857" s="38">
        <v>1800.0</v>
      </c>
      <c r="Q1857" s="39"/>
      <c r="R1857" s="39"/>
      <c r="S1857" s="39"/>
      <c r="T1857" s="39"/>
      <c r="U1857" s="39"/>
    </row>
    <row r="1858">
      <c r="A1858" s="40">
        <f t="shared" si="1"/>
        <v>46006</v>
      </c>
      <c r="B1858" s="37" t="str">
        <f t="array" ref="B1858">iferror(xlookup($I1858, 'IMPORT VHC Report'!$E:$E, 'IMPORT VHC Report'!$A:$C), )</f>
        <v/>
      </c>
      <c r="C1858" s="37"/>
      <c r="D1858" s="37"/>
      <c r="E1858" s="38" t="s">
        <v>2310</v>
      </c>
      <c r="F1858" s="38" t="s">
        <v>2294</v>
      </c>
      <c r="G1858" s="38">
        <v>5.202392949391E12</v>
      </c>
      <c r="H1858" s="38" t="s">
        <v>2295</v>
      </c>
      <c r="I1858" s="38" t="s">
        <v>2296</v>
      </c>
      <c r="J1858" s="38" t="s">
        <v>4</v>
      </c>
      <c r="K1858" s="38" t="s">
        <v>126</v>
      </c>
      <c r="L1858" s="41">
        <v>46007.375</v>
      </c>
      <c r="M1858" s="38" t="s">
        <v>123</v>
      </c>
      <c r="N1858" s="41">
        <v>46007.416666666664</v>
      </c>
      <c r="O1858" s="38" t="s">
        <v>123</v>
      </c>
      <c r="P1858" s="38">
        <v>3600.0</v>
      </c>
      <c r="Q1858" s="39"/>
      <c r="R1858" s="39"/>
      <c r="S1858" s="38" t="s">
        <v>1209</v>
      </c>
      <c r="T1858" s="39"/>
      <c r="U1858" s="39"/>
    </row>
    <row r="1859">
      <c r="A1859" s="40">
        <f t="shared" si="1"/>
        <v>46006</v>
      </c>
      <c r="B1859" s="37" t="str">
        <f t="array" ref="B1859">iferror(xlookup($I1859, 'IMPORT VHC Report'!$E:$E, 'IMPORT VHC Report'!$A:$C), )</f>
        <v/>
      </c>
      <c r="C1859" s="37"/>
      <c r="D1859" s="37"/>
      <c r="E1859" s="38" t="s">
        <v>2311</v>
      </c>
      <c r="F1859" s="38" t="s">
        <v>2294</v>
      </c>
      <c r="G1859" s="38">
        <v>5.202392949391E12</v>
      </c>
      <c r="H1859" s="38" t="s">
        <v>2295</v>
      </c>
      <c r="I1859" s="38" t="s">
        <v>2296</v>
      </c>
      <c r="J1859" s="38" t="s">
        <v>132</v>
      </c>
      <c r="K1859" s="38" t="s">
        <v>126</v>
      </c>
      <c r="L1859" s="41">
        <v>46007.479166666664</v>
      </c>
      <c r="M1859" s="38" t="s">
        <v>123</v>
      </c>
      <c r="N1859" s="41">
        <v>46007.520833333336</v>
      </c>
      <c r="O1859" s="38" t="s">
        <v>123</v>
      </c>
      <c r="P1859" s="38">
        <v>3600.0</v>
      </c>
      <c r="Q1859" s="39"/>
      <c r="R1859" s="39"/>
      <c r="S1859" s="39"/>
      <c r="T1859" s="39"/>
      <c r="U1859" s="39"/>
    </row>
    <row r="1860">
      <c r="A1860" s="40">
        <f t="shared" si="1"/>
        <v>46006</v>
      </c>
      <c r="B1860" s="37" t="str">
        <f t="array" ref="B1860">iferror(xlookup($I1860, 'IMPORT VHC Report'!$E:$E, 'IMPORT VHC Report'!$A:$C), )</f>
        <v/>
      </c>
      <c r="C1860" s="37"/>
      <c r="D1860" s="37"/>
      <c r="E1860" s="38" t="s">
        <v>2312</v>
      </c>
      <c r="F1860" s="38" t="s">
        <v>2294</v>
      </c>
      <c r="G1860" s="38">
        <v>5.202392949391E12</v>
      </c>
      <c r="H1860" s="38" t="s">
        <v>2295</v>
      </c>
      <c r="I1860" s="38" t="s">
        <v>2296</v>
      </c>
      <c r="J1860" s="38" t="s">
        <v>4</v>
      </c>
      <c r="K1860" s="38" t="s">
        <v>126</v>
      </c>
      <c r="L1860" s="41">
        <v>46007.541666666664</v>
      </c>
      <c r="M1860" s="38" t="s">
        <v>123</v>
      </c>
      <c r="N1860" s="41">
        <v>46007.583333333336</v>
      </c>
      <c r="O1860" s="38" t="s">
        <v>123</v>
      </c>
      <c r="P1860" s="38">
        <v>3600.0</v>
      </c>
      <c r="Q1860" s="39"/>
      <c r="R1860" s="39"/>
      <c r="S1860" s="38" t="s">
        <v>858</v>
      </c>
      <c r="T1860" s="39"/>
      <c r="U1860" s="39"/>
    </row>
    <row r="1861">
      <c r="A1861" s="40">
        <f t="shared" si="1"/>
        <v>46006</v>
      </c>
      <c r="B1861" s="37" t="str">
        <f t="array" ref="B1861">iferror(xlookup($I1861, 'IMPORT VHC Report'!$E:$E, 'IMPORT VHC Report'!$A:$C), )</f>
        <v/>
      </c>
      <c r="C1861" s="37"/>
      <c r="D1861" s="37"/>
      <c r="E1861" s="38" t="s">
        <v>2313</v>
      </c>
      <c r="F1861" s="38" t="s">
        <v>2294</v>
      </c>
      <c r="G1861" s="38">
        <v>5.202392949391E12</v>
      </c>
      <c r="H1861" s="38" t="s">
        <v>2295</v>
      </c>
      <c r="I1861" s="38" t="s">
        <v>2296</v>
      </c>
      <c r="J1861" s="38" t="s">
        <v>4</v>
      </c>
      <c r="K1861" s="38" t="s">
        <v>126</v>
      </c>
      <c r="L1861" s="41">
        <v>46008.208333333336</v>
      </c>
      <c r="M1861" s="38" t="s">
        <v>123</v>
      </c>
      <c r="N1861" s="41">
        <v>46008.229166666664</v>
      </c>
      <c r="O1861" s="38" t="s">
        <v>123</v>
      </c>
      <c r="P1861" s="38">
        <v>1800.0</v>
      </c>
      <c r="Q1861" s="39"/>
      <c r="R1861" s="39"/>
      <c r="S1861" s="39"/>
      <c r="T1861" s="39"/>
      <c r="U1861" s="39"/>
    </row>
    <row r="1862">
      <c r="A1862" s="40">
        <f t="shared" si="1"/>
        <v>46006</v>
      </c>
      <c r="B1862" s="37" t="str">
        <f t="array" ref="B1862">iferror(xlookup($I1862, 'IMPORT VHC Report'!$E:$E, 'IMPORT VHC Report'!$A:$C), )</f>
        <v/>
      </c>
      <c r="C1862" s="37"/>
      <c r="D1862" s="37"/>
      <c r="E1862" s="38" t="s">
        <v>2314</v>
      </c>
      <c r="F1862" s="38" t="s">
        <v>2294</v>
      </c>
      <c r="G1862" s="38">
        <v>5.202392949391E12</v>
      </c>
      <c r="H1862" s="38" t="s">
        <v>2295</v>
      </c>
      <c r="I1862" s="38" t="s">
        <v>2296</v>
      </c>
      <c r="J1862" s="38" t="s">
        <v>530</v>
      </c>
      <c r="K1862" s="38" t="s">
        <v>63</v>
      </c>
      <c r="L1862" s="41">
        <v>46008.208333333336</v>
      </c>
      <c r="M1862" s="38" t="s">
        <v>123</v>
      </c>
      <c r="N1862" s="41">
        <v>46008.31805555556</v>
      </c>
      <c r="O1862" s="38" t="s">
        <v>123</v>
      </c>
      <c r="P1862" s="38">
        <v>9480.0</v>
      </c>
      <c r="Q1862" s="39"/>
      <c r="R1862" s="39"/>
      <c r="S1862" s="39"/>
      <c r="T1862" s="39"/>
      <c r="U1862" s="39"/>
    </row>
    <row r="1863">
      <c r="A1863" s="40">
        <f t="shared" si="1"/>
        <v>46006</v>
      </c>
      <c r="B1863" s="37" t="str">
        <f t="array" ref="B1863">iferror(xlookup($I1863, 'IMPORT VHC Report'!$E:$E, 'IMPORT VHC Report'!$A:$C), )</f>
        <v/>
      </c>
      <c r="C1863" s="37"/>
      <c r="D1863" s="37"/>
      <c r="E1863" s="38" t="s">
        <v>2315</v>
      </c>
      <c r="F1863" s="38" t="s">
        <v>2294</v>
      </c>
      <c r="G1863" s="38">
        <v>5.202392949391E12</v>
      </c>
      <c r="H1863" s="38" t="s">
        <v>2295</v>
      </c>
      <c r="I1863" s="38" t="s">
        <v>2296</v>
      </c>
      <c r="J1863" s="38" t="s">
        <v>1670</v>
      </c>
      <c r="K1863" s="38" t="s">
        <v>63</v>
      </c>
      <c r="L1863" s="41">
        <v>46008.31805555556</v>
      </c>
      <c r="M1863" s="38" t="s">
        <v>123</v>
      </c>
      <c r="N1863" s="41">
        <v>46008.33472222222</v>
      </c>
      <c r="O1863" s="38" t="s">
        <v>123</v>
      </c>
      <c r="P1863" s="38">
        <v>1440.0</v>
      </c>
      <c r="Q1863" s="39"/>
      <c r="R1863" s="39"/>
      <c r="S1863" s="38" t="s">
        <v>2316</v>
      </c>
      <c r="T1863" s="39"/>
      <c r="U1863" s="39"/>
    </row>
    <row r="1864">
      <c r="A1864" s="40">
        <f t="shared" si="1"/>
        <v>46006</v>
      </c>
      <c r="B1864" s="37" t="str">
        <f t="array" ref="B1864">iferror(xlookup($I1864, 'IMPORT VHC Report'!$E:$E, 'IMPORT VHC Report'!$A:$C), )</f>
        <v/>
      </c>
      <c r="C1864" s="37"/>
      <c r="D1864" s="37"/>
      <c r="E1864" s="38" t="s">
        <v>2317</v>
      </c>
      <c r="F1864" s="38" t="s">
        <v>2294</v>
      </c>
      <c r="G1864" s="38">
        <v>5.202392949391E12</v>
      </c>
      <c r="H1864" s="38" t="s">
        <v>2295</v>
      </c>
      <c r="I1864" s="38" t="s">
        <v>2296</v>
      </c>
      <c r="J1864" s="38" t="s">
        <v>530</v>
      </c>
      <c r="K1864" s="38" t="s">
        <v>63</v>
      </c>
      <c r="L1864" s="41">
        <v>46008.33472222222</v>
      </c>
      <c r="M1864" s="38" t="s">
        <v>123</v>
      </c>
      <c r="N1864" s="41">
        <v>46008.42986111111</v>
      </c>
      <c r="O1864" s="38" t="s">
        <v>123</v>
      </c>
      <c r="P1864" s="38">
        <v>8220.0</v>
      </c>
      <c r="Q1864" s="39"/>
      <c r="R1864" s="39"/>
      <c r="S1864" s="39"/>
      <c r="T1864" s="39"/>
      <c r="U1864" s="39"/>
    </row>
    <row r="1865">
      <c r="A1865" s="40">
        <f t="shared" si="1"/>
        <v>46006</v>
      </c>
      <c r="B1865" s="37" t="str">
        <f t="array" ref="B1865">iferror(xlookup($I1865, 'IMPORT VHC Report'!$E:$E, 'IMPORT VHC Report'!$A:$C), )</f>
        <v/>
      </c>
      <c r="C1865" s="37"/>
      <c r="D1865" s="37"/>
      <c r="E1865" s="38" t="s">
        <v>2318</v>
      </c>
      <c r="F1865" s="38" t="s">
        <v>2294</v>
      </c>
      <c r="G1865" s="38">
        <v>5.202392949391E12</v>
      </c>
      <c r="H1865" s="38" t="s">
        <v>2295</v>
      </c>
      <c r="I1865" s="38" t="s">
        <v>2296</v>
      </c>
      <c r="J1865" s="38" t="s">
        <v>125</v>
      </c>
      <c r="K1865" s="38" t="s">
        <v>126</v>
      </c>
      <c r="L1865" s="41">
        <v>46008.35972222222</v>
      </c>
      <c r="M1865" s="38" t="s">
        <v>123</v>
      </c>
      <c r="N1865" s="41">
        <v>46008.375</v>
      </c>
      <c r="O1865" s="38" t="s">
        <v>123</v>
      </c>
      <c r="P1865" s="38">
        <v>1320.0</v>
      </c>
      <c r="Q1865" s="39"/>
      <c r="R1865" s="39"/>
      <c r="S1865" s="38" t="s">
        <v>2319</v>
      </c>
      <c r="T1865" s="39"/>
      <c r="U1865" s="39"/>
    </row>
    <row r="1866">
      <c r="A1866" s="40">
        <f t="shared" si="1"/>
        <v>46006</v>
      </c>
      <c r="B1866" s="37" t="str">
        <f t="array" ref="B1866">iferror(xlookup($I1866, 'IMPORT VHC Report'!$E:$E, 'IMPORT VHC Report'!$A:$C), )</f>
        <v/>
      </c>
      <c r="C1866" s="37"/>
      <c r="D1866" s="37"/>
      <c r="E1866" s="38" t="s">
        <v>2320</v>
      </c>
      <c r="F1866" s="38" t="s">
        <v>2294</v>
      </c>
      <c r="G1866" s="38">
        <v>5.202392949391E12</v>
      </c>
      <c r="H1866" s="38" t="s">
        <v>2295</v>
      </c>
      <c r="I1866" s="38" t="s">
        <v>2296</v>
      </c>
      <c r="J1866" s="38" t="s">
        <v>4</v>
      </c>
      <c r="K1866" s="38" t="s">
        <v>126</v>
      </c>
      <c r="L1866" s="41">
        <v>46008.375</v>
      </c>
      <c r="M1866" s="38" t="s">
        <v>123</v>
      </c>
      <c r="N1866" s="41">
        <v>46008.416666666664</v>
      </c>
      <c r="O1866" s="38" t="s">
        <v>123</v>
      </c>
      <c r="P1866" s="38">
        <v>3600.0</v>
      </c>
      <c r="Q1866" s="39"/>
      <c r="R1866" s="39"/>
      <c r="S1866" s="38" t="s">
        <v>1209</v>
      </c>
      <c r="T1866" s="39"/>
      <c r="U1866" s="39"/>
    </row>
    <row r="1867">
      <c r="A1867" s="40">
        <f t="shared" si="1"/>
        <v>46006</v>
      </c>
      <c r="B1867" s="37" t="str">
        <f t="array" ref="B1867">iferror(xlookup($I1867, 'IMPORT VHC Report'!$E:$E, 'IMPORT VHC Report'!$A:$C), )</f>
        <v/>
      </c>
      <c r="C1867" s="37"/>
      <c r="D1867" s="37"/>
      <c r="E1867" s="38" t="s">
        <v>2321</v>
      </c>
      <c r="F1867" s="38" t="s">
        <v>2294</v>
      </c>
      <c r="G1867" s="38">
        <v>5.202392949391E12</v>
      </c>
      <c r="H1867" s="38" t="s">
        <v>2295</v>
      </c>
      <c r="I1867" s="38" t="s">
        <v>2296</v>
      </c>
      <c r="J1867" s="38" t="s">
        <v>1670</v>
      </c>
      <c r="K1867" s="38" t="s">
        <v>63</v>
      </c>
      <c r="L1867" s="41">
        <v>46008.42986111111</v>
      </c>
      <c r="M1867" s="38" t="s">
        <v>123</v>
      </c>
      <c r="N1867" s="41">
        <v>46008.43541666667</v>
      </c>
      <c r="O1867" s="38" t="s">
        <v>123</v>
      </c>
      <c r="P1867" s="38">
        <v>480.0</v>
      </c>
      <c r="Q1867" s="39"/>
      <c r="R1867" s="39"/>
      <c r="S1867" s="38" t="s">
        <v>2322</v>
      </c>
      <c r="T1867" s="39"/>
      <c r="U1867" s="39"/>
    </row>
    <row r="1868">
      <c r="A1868" s="40">
        <f t="shared" si="1"/>
        <v>46006</v>
      </c>
      <c r="B1868" s="37" t="str">
        <f t="array" ref="B1868">iferror(xlookup($I1868, 'IMPORT VHC Report'!$E:$E, 'IMPORT VHC Report'!$A:$C), )</f>
        <v/>
      </c>
      <c r="C1868" s="37"/>
      <c r="D1868" s="37"/>
      <c r="E1868" s="38" t="s">
        <v>2323</v>
      </c>
      <c r="F1868" s="38" t="s">
        <v>2294</v>
      </c>
      <c r="G1868" s="38">
        <v>5.202392949391E12</v>
      </c>
      <c r="H1868" s="38" t="s">
        <v>2295</v>
      </c>
      <c r="I1868" s="38" t="s">
        <v>2296</v>
      </c>
      <c r="J1868" s="38" t="s">
        <v>530</v>
      </c>
      <c r="K1868" s="38" t="s">
        <v>63</v>
      </c>
      <c r="L1868" s="41">
        <v>46008.43541666667</v>
      </c>
      <c r="M1868" s="38" t="s">
        <v>123</v>
      </c>
      <c r="N1868" s="41">
        <v>46008.583333333336</v>
      </c>
      <c r="O1868" s="38" t="s">
        <v>123</v>
      </c>
      <c r="P1868" s="38">
        <v>12780.0</v>
      </c>
      <c r="Q1868" s="39"/>
      <c r="R1868" s="39"/>
      <c r="S1868" s="39"/>
      <c r="T1868" s="39"/>
      <c r="U1868" s="39"/>
    </row>
    <row r="1869">
      <c r="A1869" s="40">
        <f t="shared" si="1"/>
        <v>46006</v>
      </c>
      <c r="B1869" s="37" t="str">
        <f t="array" ref="B1869">iferror(xlookup($I1869, 'IMPORT VHC Report'!$E:$E, 'IMPORT VHC Report'!$A:$C), )</f>
        <v/>
      </c>
      <c r="C1869" s="37"/>
      <c r="D1869" s="37"/>
      <c r="E1869" s="38" t="s">
        <v>2324</v>
      </c>
      <c r="F1869" s="38" t="s">
        <v>2294</v>
      </c>
      <c r="G1869" s="38">
        <v>5.202392949391E12</v>
      </c>
      <c r="H1869" s="38" t="s">
        <v>2295</v>
      </c>
      <c r="I1869" s="38" t="s">
        <v>2296</v>
      </c>
      <c r="J1869" s="38" t="s">
        <v>125</v>
      </c>
      <c r="K1869" s="38" t="s">
        <v>126</v>
      </c>
      <c r="L1869" s="41">
        <v>46008.46875</v>
      </c>
      <c r="M1869" s="38" t="s">
        <v>123</v>
      </c>
      <c r="N1869" s="41">
        <v>46008.5</v>
      </c>
      <c r="O1869" s="38" t="s">
        <v>123</v>
      </c>
      <c r="P1869" s="38">
        <v>2700.0</v>
      </c>
      <c r="Q1869" s="39"/>
      <c r="R1869" s="39"/>
      <c r="S1869" s="38" t="s">
        <v>2325</v>
      </c>
      <c r="T1869" s="39"/>
      <c r="U1869" s="39"/>
    </row>
    <row r="1870">
      <c r="A1870" s="40">
        <f t="shared" si="1"/>
        <v>46006</v>
      </c>
      <c r="B1870" s="37" t="str">
        <f t="array" ref="B1870">iferror(xlookup($I1870, 'IMPORT VHC Report'!$E:$E, 'IMPORT VHC Report'!$A:$C), )</f>
        <v/>
      </c>
      <c r="C1870" s="37"/>
      <c r="D1870" s="37"/>
      <c r="E1870" s="38" t="s">
        <v>2326</v>
      </c>
      <c r="F1870" s="38" t="s">
        <v>2294</v>
      </c>
      <c r="G1870" s="38">
        <v>5.202392949391E12</v>
      </c>
      <c r="H1870" s="38" t="s">
        <v>2295</v>
      </c>
      <c r="I1870" s="38" t="s">
        <v>2296</v>
      </c>
      <c r="J1870" s="38" t="s">
        <v>132</v>
      </c>
      <c r="K1870" s="38" t="s">
        <v>126</v>
      </c>
      <c r="L1870" s="41">
        <v>46008.5</v>
      </c>
      <c r="M1870" s="38" t="s">
        <v>123</v>
      </c>
      <c r="N1870" s="41">
        <v>46008.541666666664</v>
      </c>
      <c r="O1870" s="38" t="s">
        <v>123</v>
      </c>
      <c r="P1870" s="38">
        <v>3600.0</v>
      </c>
      <c r="Q1870" s="39"/>
      <c r="R1870" s="39"/>
      <c r="S1870" s="39"/>
      <c r="T1870" s="39"/>
      <c r="U1870" s="39"/>
    </row>
    <row r="1871">
      <c r="A1871" s="40">
        <f t="shared" si="1"/>
        <v>46006</v>
      </c>
      <c r="B1871" s="37" t="str">
        <f t="array" ref="B1871">iferror(xlookup($I1871, 'IMPORT VHC Report'!$E:$E, 'IMPORT VHC Report'!$A:$C), )</f>
        <v/>
      </c>
      <c r="C1871" s="37"/>
      <c r="D1871" s="37"/>
      <c r="E1871" s="38" t="s">
        <v>2327</v>
      </c>
      <c r="F1871" s="38" t="s">
        <v>2294</v>
      </c>
      <c r="G1871" s="38">
        <v>5.202392949391E12</v>
      </c>
      <c r="H1871" s="38" t="s">
        <v>2295</v>
      </c>
      <c r="I1871" s="38" t="s">
        <v>2296</v>
      </c>
      <c r="J1871" s="38" t="s">
        <v>134</v>
      </c>
      <c r="K1871" s="38" t="s">
        <v>126</v>
      </c>
      <c r="L1871" s="41">
        <v>46008.541666666664</v>
      </c>
      <c r="M1871" s="38" t="s">
        <v>123</v>
      </c>
      <c r="N1871" s="41">
        <v>46008.5625</v>
      </c>
      <c r="O1871" s="38" t="s">
        <v>123</v>
      </c>
      <c r="P1871" s="38">
        <v>1800.0</v>
      </c>
      <c r="Q1871" s="39"/>
      <c r="R1871" s="39"/>
      <c r="S1871" s="39"/>
      <c r="T1871" s="39"/>
      <c r="U1871" s="39"/>
    </row>
    <row r="1872">
      <c r="A1872" s="40">
        <f t="shared" si="1"/>
        <v>46006</v>
      </c>
      <c r="B1872" s="37" t="str">
        <f t="array" ref="B1872">iferror(xlookup($I1872, 'IMPORT VHC Report'!$E:$E, 'IMPORT VHC Report'!$A:$C), )</f>
        <v/>
      </c>
      <c r="C1872" s="37"/>
      <c r="D1872" s="37"/>
      <c r="E1872" s="38" t="s">
        <v>2328</v>
      </c>
      <c r="F1872" s="38" t="s">
        <v>2294</v>
      </c>
      <c r="G1872" s="38">
        <v>5.202392949391E12</v>
      </c>
      <c r="H1872" s="38" t="s">
        <v>2295</v>
      </c>
      <c r="I1872" s="38" t="s">
        <v>2296</v>
      </c>
      <c r="J1872" s="38" t="s">
        <v>4</v>
      </c>
      <c r="K1872" s="38" t="s">
        <v>126</v>
      </c>
      <c r="L1872" s="41">
        <v>46009.208333333336</v>
      </c>
      <c r="M1872" s="38" t="s">
        <v>123</v>
      </c>
      <c r="N1872" s="41">
        <v>46009.229166666664</v>
      </c>
      <c r="O1872" s="38" t="s">
        <v>123</v>
      </c>
      <c r="P1872" s="38">
        <v>1800.0</v>
      </c>
      <c r="Q1872" s="39"/>
      <c r="R1872" s="39"/>
      <c r="S1872" s="39"/>
      <c r="T1872" s="39"/>
      <c r="U1872" s="39"/>
    </row>
    <row r="1873">
      <c r="A1873" s="40">
        <f t="shared" si="1"/>
        <v>46006</v>
      </c>
      <c r="B1873" s="37" t="str">
        <f t="array" ref="B1873">iferror(xlookup($I1873, 'IMPORT VHC Report'!$E:$E, 'IMPORT VHC Report'!$A:$C), )</f>
        <v/>
      </c>
      <c r="C1873" s="37"/>
      <c r="D1873" s="37"/>
      <c r="E1873" s="38" t="s">
        <v>2329</v>
      </c>
      <c r="F1873" s="38" t="s">
        <v>2294</v>
      </c>
      <c r="G1873" s="38">
        <v>5.202392949391E12</v>
      </c>
      <c r="H1873" s="38" t="s">
        <v>2295</v>
      </c>
      <c r="I1873" s="38" t="s">
        <v>2296</v>
      </c>
      <c r="J1873" s="38" t="s">
        <v>530</v>
      </c>
      <c r="K1873" s="38" t="s">
        <v>63</v>
      </c>
      <c r="L1873" s="41">
        <v>46009.208333333336</v>
      </c>
      <c r="M1873" s="38" t="s">
        <v>123</v>
      </c>
      <c r="N1873" s="41">
        <v>46009.260416666664</v>
      </c>
      <c r="O1873" s="38" t="s">
        <v>123</v>
      </c>
      <c r="P1873" s="38">
        <v>4500.0</v>
      </c>
      <c r="Q1873" s="39"/>
      <c r="R1873" s="39"/>
      <c r="S1873" s="39"/>
      <c r="T1873" s="39"/>
      <c r="U1873" s="39"/>
    </row>
    <row r="1874">
      <c r="A1874" s="40">
        <f t="shared" si="1"/>
        <v>46006</v>
      </c>
      <c r="B1874" s="37" t="str">
        <f t="array" ref="B1874">iferror(xlookup($I1874, 'IMPORT VHC Report'!$E:$E, 'IMPORT VHC Report'!$A:$C), )</f>
        <v/>
      </c>
      <c r="C1874" s="37"/>
      <c r="D1874" s="37"/>
      <c r="E1874" s="38" t="s">
        <v>2330</v>
      </c>
      <c r="F1874" s="38" t="s">
        <v>2294</v>
      </c>
      <c r="G1874" s="38">
        <v>5.202392949391E12</v>
      </c>
      <c r="H1874" s="38" t="s">
        <v>2295</v>
      </c>
      <c r="I1874" s="38" t="s">
        <v>2296</v>
      </c>
      <c r="J1874" s="38" t="s">
        <v>1670</v>
      </c>
      <c r="K1874" s="38" t="s">
        <v>63</v>
      </c>
      <c r="L1874" s="41">
        <v>46009.260416666664</v>
      </c>
      <c r="M1874" s="38" t="s">
        <v>123</v>
      </c>
      <c r="N1874" s="41">
        <v>46009.425</v>
      </c>
      <c r="O1874" s="38" t="s">
        <v>123</v>
      </c>
      <c r="P1874" s="38">
        <v>14220.0</v>
      </c>
      <c r="Q1874" s="39"/>
      <c r="R1874" s="39"/>
      <c r="S1874" s="38" t="s">
        <v>2331</v>
      </c>
      <c r="T1874" s="39"/>
      <c r="U1874" s="39"/>
    </row>
    <row r="1875">
      <c r="A1875" s="40">
        <f t="shared" si="1"/>
        <v>46006</v>
      </c>
      <c r="B1875" s="37" t="str">
        <f t="array" ref="B1875">iferror(xlookup($I1875, 'IMPORT VHC Report'!$E:$E, 'IMPORT VHC Report'!$A:$C), )</f>
        <v/>
      </c>
      <c r="C1875" s="37"/>
      <c r="D1875" s="37"/>
      <c r="E1875" s="38" t="s">
        <v>2332</v>
      </c>
      <c r="F1875" s="38" t="s">
        <v>2294</v>
      </c>
      <c r="G1875" s="38">
        <v>5.202392949391E12</v>
      </c>
      <c r="H1875" s="38" t="s">
        <v>2295</v>
      </c>
      <c r="I1875" s="38" t="s">
        <v>2296</v>
      </c>
      <c r="J1875" s="38" t="s">
        <v>530</v>
      </c>
      <c r="K1875" s="38" t="s">
        <v>63</v>
      </c>
      <c r="L1875" s="41">
        <v>46009.425</v>
      </c>
      <c r="M1875" s="38" t="s">
        <v>123</v>
      </c>
      <c r="N1875" s="41">
        <v>46009.583333333336</v>
      </c>
      <c r="O1875" s="38" t="s">
        <v>123</v>
      </c>
      <c r="P1875" s="38">
        <v>13680.0</v>
      </c>
      <c r="Q1875" s="39"/>
      <c r="R1875" s="39"/>
      <c r="S1875" s="39"/>
      <c r="T1875" s="39"/>
      <c r="U1875" s="39"/>
    </row>
    <row r="1876">
      <c r="A1876" s="40">
        <f t="shared" si="1"/>
        <v>46006</v>
      </c>
      <c r="B1876" s="37" t="str">
        <f t="array" ref="B1876">iferror(xlookup($I1876, 'IMPORT VHC Report'!$E:$E, 'IMPORT VHC Report'!$A:$C), )</f>
        <v/>
      </c>
      <c r="C1876" s="37"/>
      <c r="D1876" s="37"/>
      <c r="E1876" s="38" t="s">
        <v>2333</v>
      </c>
      <c r="F1876" s="38" t="s">
        <v>2294</v>
      </c>
      <c r="G1876" s="38">
        <v>5.202392949391E12</v>
      </c>
      <c r="H1876" s="38" t="s">
        <v>2295</v>
      </c>
      <c r="I1876" s="38" t="s">
        <v>2296</v>
      </c>
      <c r="J1876" s="38" t="s">
        <v>132</v>
      </c>
      <c r="K1876" s="38" t="s">
        <v>126</v>
      </c>
      <c r="L1876" s="41">
        <v>46009.479166666664</v>
      </c>
      <c r="M1876" s="38" t="s">
        <v>123</v>
      </c>
      <c r="N1876" s="41">
        <v>46009.520833333336</v>
      </c>
      <c r="O1876" s="38" t="s">
        <v>123</v>
      </c>
      <c r="P1876" s="38">
        <v>3600.0</v>
      </c>
      <c r="Q1876" s="39"/>
      <c r="R1876" s="39"/>
      <c r="S1876" s="39"/>
      <c r="T1876" s="39"/>
      <c r="U1876" s="39"/>
    </row>
    <row r="1877">
      <c r="A1877" s="40">
        <f t="shared" si="1"/>
        <v>46006</v>
      </c>
      <c r="B1877" s="37" t="str">
        <f t="array" ref="B1877">iferror(xlookup($I1877, 'IMPORT VHC Report'!$E:$E, 'IMPORT VHC Report'!$A:$C), )</f>
        <v/>
      </c>
      <c r="C1877" s="37"/>
      <c r="D1877" s="37"/>
      <c r="E1877" s="38" t="s">
        <v>2334</v>
      </c>
      <c r="F1877" s="38" t="s">
        <v>2294</v>
      </c>
      <c r="G1877" s="38">
        <v>5.202392949391E12</v>
      </c>
      <c r="H1877" s="38" t="s">
        <v>2295</v>
      </c>
      <c r="I1877" s="38" t="s">
        <v>2296</v>
      </c>
      <c r="J1877" s="38" t="s">
        <v>134</v>
      </c>
      <c r="K1877" s="38" t="s">
        <v>126</v>
      </c>
      <c r="L1877" s="41">
        <v>46009.520833333336</v>
      </c>
      <c r="M1877" s="38" t="s">
        <v>123</v>
      </c>
      <c r="N1877" s="41">
        <v>46009.541666666664</v>
      </c>
      <c r="O1877" s="38" t="s">
        <v>123</v>
      </c>
      <c r="P1877" s="38">
        <v>1800.0</v>
      </c>
      <c r="Q1877" s="39"/>
      <c r="R1877" s="39"/>
      <c r="S1877" s="39"/>
      <c r="T1877" s="39"/>
      <c r="U1877" s="39"/>
    </row>
    <row r="1878">
      <c r="A1878" s="40">
        <f t="shared" si="1"/>
        <v>46006</v>
      </c>
      <c r="B1878" s="37" t="str">
        <f t="array" ref="B1878">iferror(xlookup($I1878, 'IMPORT VHC Report'!$E:$E, 'IMPORT VHC Report'!$A:$C), )</f>
        <v/>
      </c>
      <c r="C1878" s="37"/>
      <c r="D1878" s="37"/>
      <c r="E1878" s="38" t="s">
        <v>2335</v>
      </c>
      <c r="F1878" s="38" t="s">
        <v>2294</v>
      </c>
      <c r="G1878" s="38">
        <v>5.202392949391E12</v>
      </c>
      <c r="H1878" s="38" t="s">
        <v>2295</v>
      </c>
      <c r="I1878" s="38" t="s">
        <v>2296</v>
      </c>
      <c r="J1878" s="38" t="s">
        <v>136</v>
      </c>
      <c r="K1878" s="38" t="s">
        <v>126</v>
      </c>
      <c r="L1878" s="41">
        <v>46009.541666666664</v>
      </c>
      <c r="M1878" s="38" t="s">
        <v>123</v>
      </c>
      <c r="N1878" s="41">
        <v>46009.583333333336</v>
      </c>
      <c r="O1878" s="38" t="s">
        <v>123</v>
      </c>
      <c r="P1878" s="38">
        <v>3600.0</v>
      </c>
      <c r="Q1878" s="39"/>
      <c r="R1878" s="39"/>
      <c r="S1878" s="38" t="s">
        <v>2336</v>
      </c>
      <c r="T1878" s="39"/>
      <c r="U1878" s="39"/>
    </row>
    <row r="1879">
      <c r="A1879" s="40">
        <f t="shared" si="1"/>
        <v>46006</v>
      </c>
      <c r="B1879" s="37" t="str">
        <f t="array" ref="B1879">iferror(xlookup($I1879, 'IMPORT VHC Report'!$E:$E, 'IMPORT VHC Report'!$A:$C), )</f>
        <v/>
      </c>
      <c r="C1879" s="37"/>
      <c r="D1879" s="37"/>
      <c r="E1879" s="38" t="s">
        <v>2337</v>
      </c>
      <c r="F1879" s="38" t="s">
        <v>2294</v>
      </c>
      <c r="G1879" s="38">
        <v>5.202392949391E12</v>
      </c>
      <c r="H1879" s="38" t="s">
        <v>2295</v>
      </c>
      <c r="I1879" s="38" t="s">
        <v>2296</v>
      </c>
      <c r="J1879" s="38" t="s">
        <v>4</v>
      </c>
      <c r="K1879" s="38" t="s">
        <v>126</v>
      </c>
      <c r="L1879" s="41">
        <v>46012.208333333336</v>
      </c>
      <c r="M1879" s="38" t="s">
        <v>123</v>
      </c>
      <c r="N1879" s="41">
        <v>46012.25</v>
      </c>
      <c r="O1879" s="38" t="s">
        <v>123</v>
      </c>
      <c r="P1879" s="38">
        <v>3600.0</v>
      </c>
      <c r="Q1879" s="39"/>
      <c r="R1879" s="39"/>
      <c r="S1879" s="39"/>
      <c r="T1879" s="39"/>
      <c r="U1879" s="39"/>
    </row>
    <row r="1880">
      <c r="A1880" s="40">
        <f t="shared" si="1"/>
        <v>46006</v>
      </c>
      <c r="B1880" s="37" t="str">
        <f t="array" ref="B1880">iferror(xlookup($I1880, 'IMPORT VHC Report'!$E:$E, 'IMPORT VHC Report'!$A:$C), )</f>
        <v/>
      </c>
      <c r="C1880" s="37"/>
      <c r="D1880" s="37"/>
      <c r="E1880" s="38" t="s">
        <v>2338</v>
      </c>
      <c r="F1880" s="38" t="s">
        <v>2294</v>
      </c>
      <c r="G1880" s="38">
        <v>5.202392949391E12</v>
      </c>
      <c r="H1880" s="38" t="s">
        <v>2295</v>
      </c>
      <c r="I1880" s="38" t="s">
        <v>2296</v>
      </c>
      <c r="J1880" s="38" t="s">
        <v>530</v>
      </c>
      <c r="K1880" s="38" t="s">
        <v>63</v>
      </c>
      <c r="L1880" s="41">
        <v>46012.208333333336</v>
      </c>
      <c r="M1880" s="38" t="s">
        <v>123</v>
      </c>
      <c r="N1880" s="41">
        <v>46012.25486111111</v>
      </c>
      <c r="O1880" s="38" t="s">
        <v>123</v>
      </c>
      <c r="P1880" s="38">
        <v>4020.0</v>
      </c>
      <c r="Q1880" s="39"/>
      <c r="R1880" s="39"/>
      <c r="S1880" s="39"/>
      <c r="T1880" s="39"/>
      <c r="U1880" s="39"/>
    </row>
    <row r="1881">
      <c r="A1881" s="40">
        <f t="shared" si="1"/>
        <v>46006</v>
      </c>
      <c r="B1881" s="37" t="str">
        <f t="array" ref="B1881">iferror(xlookup($I1881, 'IMPORT VHC Report'!$E:$E, 'IMPORT VHC Report'!$A:$C), )</f>
        <v/>
      </c>
      <c r="C1881" s="37"/>
      <c r="D1881" s="37"/>
      <c r="E1881" s="38" t="s">
        <v>2339</v>
      </c>
      <c r="F1881" s="38" t="s">
        <v>2294</v>
      </c>
      <c r="G1881" s="38">
        <v>5.202392949391E12</v>
      </c>
      <c r="H1881" s="38" t="s">
        <v>2295</v>
      </c>
      <c r="I1881" s="38" t="s">
        <v>2296</v>
      </c>
      <c r="J1881" s="38" t="s">
        <v>1670</v>
      </c>
      <c r="K1881" s="38" t="s">
        <v>63</v>
      </c>
      <c r="L1881" s="41">
        <v>46012.25486111111</v>
      </c>
      <c r="M1881" s="38" t="s">
        <v>123</v>
      </c>
      <c r="N1881" s="41">
        <v>46012.27847222222</v>
      </c>
      <c r="O1881" s="38" t="s">
        <v>123</v>
      </c>
      <c r="P1881" s="38">
        <v>2040.0</v>
      </c>
      <c r="Q1881" s="39"/>
      <c r="R1881" s="39"/>
      <c r="S1881" s="38" t="s">
        <v>2340</v>
      </c>
      <c r="T1881" s="39"/>
      <c r="U1881" s="39"/>
    </row>
    <row r="1882">
      <c r="A1882" s="40">
        <f t="shared" si="1"/>
        <v>46006</v>
      </c>
      <c r="B1882" s="37" t="str">
        <f t="array" ref="B1882">iferror(xlookup($I1882, 'IMPORT VHC Report'!$E:$E, 'IMPORT VHC Report'!$A:$C), )</f>
        <v/>
      </c>
      <c r="C1882" s="37"/>
      <c r="D1882" s="37"/>
      <c r="E1882" s="38" t="s">
        <v>2341</v>
      </c>
      <c r="F1882" s="38" t="s">
        <v>2294</v>
      </c>
      <c r="G1882" s="38">
        <v>5.202392949391E12</v>
      </c>
      <c r="H1882" s="38" t="s">
        <v>2295</v>
      </c>
      <c r="I1882" s="38" t="s">
        <v>2296</v>
      </c>
      <c r="J1882" s="38" t="s">
        <v>530</v>
      </c>
      <c r="K1882" s="38" t="s">
        <v>63</v>
      </c>
      <c r="L1882" s="41">
        <v>46012.27847222222</v>
      </c>
      <c r="M1882" s="38" t="s">
        <v>123</v>
      </c>
      <c r="N1882" s="41">
        <v>46012.583333333336</v>
      </c>
      <c r="O1882" s="38" t="s">
        <v>123</v>
      </c>
      <c r="P1882" s="38">
        <v>26340.0</v>
      </c>
      <c r="Q1882" s="39"/>
      <c r="R1882" s="39"/>
      <c r="S1882" s="39"/>
      <c r="T1882" s="39"/>
      <c r="U1882" s="39"/>
    </row>
    <row r="1883">
      <c r="A1883" s="40">
        <f t="shared" si="1"/>
        <v>46006</v>
      </c>
      <c r="B1883" s="37" t="str">
        <f t="array" ref="B1883">iferror(xlookup($I1883, 'IMPORT VHC Report'!$E:$E, 'IMPORT VHC Report'!$A:$C), )</f>
        <v/>
      </c>
      <c r="C1883" s="37"/>
      <c r="D1883" s="37"/>
      <c r="E1883" s="38" t="s">
        <v>2342</v>
      </c>
      <c r="F1883" s="38" t="s">
        <v>2294</v>
      </c>
      <c r="G1883" s="38">
        <v>5.202392949391E12</v>
      </c>
      <c r="H1883" s="38" t="s">
        <v>2295</v>
      </c>
      <c r="I1883" s="38" t="s">
        <v>2296</v>
      </c>
      <c r="J1883" s="38" t="s">
        <v>125</v>
      </c>
      <c r="K1883" s="38" t="s">
        <v>126</v>
      </c>
      <c r="L1883" s="41">
        <v>46012.42222222222</v>
      </c>
      <c r="M1883" s="38" t="s">
        <v>123</v>
      </c>
      <c r="N1883" s="41">
        <v>46012.427777777775</v>
      </c>
      <c r="O1883" s="38" t="s">
        <v>123</v>
      </c>
      <c r="P1883" s="38">
        <v>480.0</v>
      </c>
      <c r="Q1883" s="39"/>
      <c r="R1883" s="39"/>
      <c r="S1883" s="38" t="s">
        <v>2343</v>
      </c>
      <c r="T1883" s="39"/>
      <c r="U1883" s="39"/>
    </row>
    <row r="1884">
      <c r="A1884" s="40">
        <f t="shared" si="1"/>
        <v>46006</v>
      </c>
      <c r="B1884" s="37" t="str">
        <f t="array" ref="B1884">iferror(xlookup($I1884, 'IMPORT VHC Report'!$E:$E, 'IMPORT VHC Report'!$A:$C), )</f>
        <v/>
      </c>
      <c r="C1884" s="37"/>
      <c r="D1884" s="37"/>
      <c r="E1884" s="38" t="s">
        <v>2344</v>
      </c>
      <c r="F1884" s="38" t="s">
        <v>2294</v>
      </c>
      <c r="G1884" s="38">
        <v>5.202392949391E12</v>
      </c>
      <c r="H1884" s="38" t="s">
        <v>2295</v>
      </c>
      <c r="I1884" s="38" t="s">
        <v>2296</v>
      </c>
      <c r="J1884" s="38" t="s">
        <v>134</v>
      </c>
      <c r="K1884" s="38" t="s">
        <v>126</v>
      </c>
      <c r="L1884" s="41">
        <v>46012.458333333336</v>
      </c>
      <c r="M1884" s="38" t="s">
        <v>123</v>
      </c>
      <c r="N1884" s="41">
        <v>46012.479166666664</v>
      </c>
      <c r="O1884" s="38" t="s">
        <v>123</v>
      </c>
      <c r="P1884" s="38">
        <v>1800.0</v>
      </c>
      <c r="Q1884" s="39"/>
      <c r="R1884" s="39"/>
      <c r="S1884" s="39"/>
      <c r="T1884" s="39"/>
      <c r="U1884" s="39"/>
    </row>
    <row r="1885">
      <c r="A1885" s="40">
        <f t="shared" si="1"/>
        <v>46006</v>
      </c>
      <c r="B1885" s="37" t="str">
        <f t="array" ref="B1885">iferror(xlookup($I1885, 'IMPORT VHC Report'!$E:$E, 'IMPORT VHC Report'!$A:$C), )</f>
        <v/>
      </c>
      <c r="C1885" s="37"/>
      <c r="D1885" s="37"/>
      <c r="E1885" s="38" t="s">
        <v>2345</v>
      </c>
      <c r="F1885" s="38" t="s">
        <v>2294</v>
      </c>
      <c r="G1885" s="38">
        <v>5.202392949391E12</v>
      </c>
      <c r="H1885" s="38" t="s">
        <v>2295</v>
      </c>
      <c r="I1885" s="38" t="s">
        <v>2296</v>
      </c>
      <c r="J1885" s="38" t="s">
        <v>132</v>
      </c>
      <c r="K1885" s="38" t="s">
        <v>126</v>
      </c>
      <c r="L1885" s="41">
        <v>46012.479166666664</v>
      </c>
      <c r="M1885" s="38" t="s">
        <v>123</v>
      </c>
      <c r="N1885" s="41">
        <v>46012.520833333336</v>
      </c>
      <c r="O1885" s="38" t="s">
        <v>123</v>
      </c>
      <c r="P1885" s="38">
        <v>3600.0</v>
      </c>
      <c r="Q1885" s="39"/>
      <c r="R1885" s="39"/>
      <c r="S1885" s="39"/>
      <c r="T1885" s="39"/>
      <c r="U1885" s="39"/>
    </row>
    <row r="1886">
      <c r="A1886" s="40">
        <f t="shared" si="1"/>
        <v>46006</v>
      </c>
      <c r="B1886" s="37" t="str">
        <f t="array" ref="B1886">iferror(xlookup($I1886, 'IMPORT VHC Report'!$E:$E, 'IMPORT VHC Report'!$A:$C), )</f>
        <v/>
      </c>
      <c r="C1886" s="37"/>
      <c r="D1886" s="37"/>
      <c r="E1886" s="38" t="s">
        <v>2346</v>
      </c>
      <c r="F1886" s="38" t="s">
        <v>2347</v>
      </c>
      <c r="G1886" s="38">
        <v>3.61825394516E11</v>
      </c>
      <c r="H1886" s="38" t="s">
        <v>2348</v>
      </c>
      <c r="I1886" s="38" t="s">
        <v>2349</v>
      </c>
      <c r="J1886" s="38" t="s">
        <v>125</v>
      </c>
      <c r="K1886" s="38" t="s">
        <v>126</v>
      </c>
      <c r="L1886" s="41">
        <v>46006.208333333336</v>
      </c>
      <c r="M1886" s="38" t="s">
        <v>123</v>
      </c>
      <c r="N1886" s="41">
        <v>46006.21527777778</v>
      </c>
      <c r="O1886" s="38" t="s">
        <v>123</v>
      </c>
      <c r="P1886" s="38">
        <v>600.0</v>
      </c>
      <c r="Q1886" s="39"/>
      <c r="R1886" s="39"/>
      <c r="S1886" s="38" t="s">
        <v>127</v>
      </c>
      <c r="T1886" s="39"/>
      <c r="U1886" s="39"/>
    </row>
    <row r="1887">
      <c r="A1887" s="40">
        <f t="shared" si="1"/>
        <v>46006</v>
      </c>
      <c r="B1887" s="37" t="str">
        <f t="array" ref="B1887">iferror(xlookup($I1887, 'IMPORT VHC Report'!$E:$E, 'IMPORT VHC Report'!$A:$C), )</f>
        <v/>
      </c>
      <c r="C1887" s="37"/>
      <c r="D1887" s="37"/>
      <c r="E1887" s="38" t="s">
        <v>2350</v>
      </c>
      <c r="F1887" s="38" t="s">
        <v>2347</v>
      </c>
      <c r="G1887" s="38">
        <v>3.61825394516E11</v>
      </c>
      <c r="H1887" s="38" t="s">
        <v>2348</v>
      </c>
      <c r="I1887" s="38" t="s">
        <v>2349</v>
      </c>
      <c r="J1887" s="38" t="s">
        <v>122</v>
      </c>
      <c r="K1887" s="38" t="s">
        <v>63</v>
      </c>
      <c r="L1887" s="41">
        <v>46006.208333333336</v>
      </c>
      <c r="M1887" s="38" t="s">
        <v>123</v>
      </c>
      <c r="N1887" s="41">
        <v>46006.583333333336</v>
      </c>
      <c r="O1887" s="38" t="s">
        <v>123</v>
      </c>
      <c r="P1887" s="38">
        <v>32400.0</v>
      </c>
      <c r="Q1887" s="39"/>
      <c r="R1887" s="39"/>
      <c r="S1887" s="39"/>
      <c r="T1887" s="39"/>
      <c r="U1887" s="39"/>
    </row>
    <row r="1888">
      <c r="A1888" s="40">
        <f t="shared" si="1"/>
        <v>46006</v>
      </c>
      <c r="B1888" s="37" t="str">
        <f t="array" ref="B1888">iferror(xlookup($I1888, 'IMPORT VHC Report'!$E:$E, 'IMPORT VHC Report'!$A:$C), )</f>
        <v/>
      </c>
      <c r="C1888" s="37"/>
      <c r="D1888" s="37"/>
      <c r="E1888" s="38" t="s">
        <v>2351</v>
      </c>
      <c r="F1888" s="38" t="s">
        <v>2347</v>
      </c>
      <c r="G1888" s="38">
        <v>3.61825394516E11</v>
      </c>
      <c r="H1888" s="38" t="s">
        <v>2348</v>
      </c>
      <c r="I1888" s="38" t="s">
        <v>2349</v>
      </c>
      <c r="J1888" s="38" t="s">
        <v>132</v>
      </c>
      <c r="K1888" s="38" t="s">
        <v>126</v>
      </c>
      <c r="L1888" s="41">
        <v>46006.333333333336</v>
      </c>
      <c r="M1888" s="38" t="s">
        <v>123</v>
      </c>
      <c r="N1888" s="41">
        <v>46006.375</v>
      </c>
      <c r="O1888" s="38" t="s">
        <v>123</v>
      </c>
      <c r="P1888" s="38">
        <v>3600.0</v>
      </c>
      <c r="Q1888" s="39"/>
      <c r="R1888" s="39"/>
      <c r="S1888" s="39"/>
      <c r="T1888" s="39"/>
      <c r="U1888" s="39"/>
    </row>
    <row r="1889">
      <c r="A1889" s="40">
        <f t="shared" si="1"/>
        <v>46006</v>
      </c>
      <c r="B1889" s="37" t="str">
        <f t="array" ref="B1889">iferror(xlookup($I1889, 'IMPORT VHC Report'!$E:$E, 'IMPORT VHC Report'!$A:$C), )</f>
        <v/>
      </c>
      <c r="C1889" s="37"/>
      <c r="D1889" s="37"/>
      <c r="E1889" s="38" t="s">
        <v>2352</v>
      </c>
      <c r="F1889" s="38" t="s">
        <v>2347</v>
      </c>
      <c r="G1889" s="38">
        <v>3.61825394516E11</v>
      </c>
      <c r="H1889" s="38" t="s">
        <v>2348</v>
      </c>
      <c r="I1889" s="38" t="s">
        <v>2349</v>
      </c>
      <c r="J1889" s="38" t="s">
        <v>134</v>
      </c>
      <c r="K1889" s="38" t="s">
        <v>126</v>
      </c>
      <c r="L1889" s="41">
        <v>46006.46875</v>
      </c>
      <c r="M1889" s="38" t="s">
        <v>123</v>
      </c>
      <c r="N1889" s="41">
        <v>46006.489583333336</v>
      </c>
      <c r="O1889" s="38" t="s">
        <v>123</v>
      </c>
      <c r="P1889" s="38">
        <v>1800.0</v>
      </c>
      <c r="Q1889" s="39"/>
      <c r="R1889" s="39"/>
      <c r="S1889" s="39"/>
      <c r="T1889" s="39"/>
      <c r="U1889" s="39"/>
    </row>
    <row r="1890">
      <c r="A1890" s="40">
        <f t="shared" si="1"/>
        <v>46006</v>
      </c>
      <c r="B1890" s="37" t="str">
        <f t="array" ref="B1890">iferror(xlookup($I1890, 'IMPORT VHC Report'!$E:$E, 'IMPORT VHC Report'!$A:$C), )</f>
        <v/>
      </c>
      <c r="C1890" s="37"/>
      <c r="D1890" s="37"/>
      <c r="E1890" s="38" t="s">
        <v>2353</v>
      </c>
      <c r="F1890" s="38" t="s">
        <v>2347</v>
      </c>
      <c r="G1890" s="38">
        <v>3.61825394516E11</v>
      </c>
      <c r="H1890" s="38" t="s">
        <v>2348</v>
      </c>
      <c r="I1890" s="38" t="s">
        <v>2349</v>
      </c>
      <c r="J1890" s="38" t="s">
        <v>125</v>
      </c>
      <c r="K1890" s="38" t="s">
        <v>126</v>
      </c>
      <c r="L1890" s="41">
        <v>46007.208333333336</v>
      </c>
      <c r="M1890" s="38" t="s">
        <v>123</v>
      </c>
      <c r="N1890" s="41">
        <v>46007.21527777778</v>
      </c>
      <c r="O1890" s="38" t="s">
        <v>123</v>
      </c>
      <c r="P1890" s="38">
        <v>600.0</v>
      </c>
      <c r="Q1890" s="39"/>
      <c r="R1890" s="39"/>
      <c r="S1890" s="38" t="s">
        <v>127</v>
      </c>
      <c r="T1890" s="39"/>
      <c r="U1890" s="39"/>
    </row>
    <row r="1891">
      <c r="A1891" s="40">
        <f t="shared" si="1"/>
        <v>46006</v>
      </c>
      <c r="B1891" s="37" t="str">
        <f t="array" ref="B1891">iferror(xlookup($I1891, 'IMPORT VHC Report'!$E:$E, 'IMPORT VHC Report'!$A:$C), )</f>
        <v/>
      </c>
      <c r="C1891" s="37"/>
      <c r="D1891" s="37"/>
      <c r="E1891" s="38" t="s">
        <v>2354</v>
      </c>
      <c r="F1891" s="38" t="s">
        <v>2347</v>
      </c>
      <c r="G1891" s="38">
        <v>3.61825394516E11</v>
      </c>
      <c r="H1891" s="38" t="s">
        <v>2348</v>
      </c>
      <c r="I1891" s="38" t="s">
        <v>2349</v>
      </c>
      <c r="J1891" s="38" t="s">
        <v>122</v>
      </c>
      <c r="K1891" s="38" t="s">
        <v>63</v>
      </c>
      <c r="L1891" s="41">
        <v>46007.208333333336</v>
      </c>
      <c r="M1891" s="38" t="s">
        <v>123</v>
      </c>
      <c r="N1891" s="41">
        <v>46007.583333333336</v>
      </c>
      <c r="O1891" s="38" t="s">
        <v>123</v>
      </c>
      <c r="P1891" s="38">
        <v>32400.0</v>
      </c>
      <c r="Q1891" s="39"/>
      <c r="R1891" s="39"/>
      <c r="S1891" s="39"/>
      <c r="T1891" s="39"/>
      <c r="U1891" s="39"/>
    </row>
    <row r="1892">
      <c r="A1892" s="40">
        <f t="shared" si="1"/>
        <v>46006</v>
      </c>
      <c r="B1892" s="37" t="str">
        <f t="array" ref="B1892">iferror(xlookup($I1892, 'IMPORT VHC Report'!$E:$E, 'IMPORT VHC Report'!$A:$C), )</f>
        <v/>
      </c>
      <c r="C1892" s="37"/>
      <c r="D1892" s="37"/>
      <c r="E1892" s="38" t="s">
        <v>2355</v>
      </c>
      <c r="F1892" s="38" t="s">
        <v>2347</v>
      </c>
      <c r="G1892" s="38">
        <v>3.61825394516E11</v>
      </c>
      <c r="H1892" s="38" t="s">
        <v>2348</v>
      </c>
      <c r="I1892" s="38" t="s">
        <v>2349</v>
      </c>
      <c r="J1892" s="38" t="s">
        <v>132</v>
      </c>
      <c r="K1892" s="38" t="s">
        <v>126</v>
      </c>
      <c r="L1892" s="41">
        <v>46007.291666666664</v>
      </c>
      <c r="M1892" s="38" t="s">
        <v>123</v>
      </c>
      <c r="N1892" s="41">
        <v>46007.333333333336</v>
      </c>
      <c r="O1892" s="38" t="s">
        <v>123</v>
      </c>
      <c r="P1892" s="38">
        <v>3600.0</v>
      </c>
      <c r="Q1892" s="39"/>
      <c r="R1892" s="39"/>
      <c r="S1892" s="39"/>
      <c r="T1892" s="39"/>
      <c r="U1892" s="39"/>
    </row>
    <row r="1893">
      <c r="A1893" s="40">
        <f t="shared" si="1"/>
        <v>46006</v>
      </c>
      <c r="B1893" s="37" t="str">
        <f t="array" ref="B1893">iferror(xlookup($I1893, 'IMPORT VHC Report'!$E:$E, 'IMPORT VHC Report'!$A:$C), )</f>
        <v/>
      </c>
      <c r="C1893" s="37"/>
      <c r="D1893" s="37"/>
      <c r="E1893" s="38" t="s">
        <v>2356</v>
      </c>
      <c r="F1893" s="38" t="s">
        <v>2347</v>
      </c>
      <c r="G1893" s="38">
        <v>3.61825394516E11</v>
      </c>
      <c r="H1893" s="38" t="s">
        <v>2348</v>
      </c>
      <c r="I1893" s="38" t="s">
        <v>2349</v>
      </c>
      <c r="J1893" s="38" t="s">
        <v>4</v>
      </c>
      <c r="K1893" s="38" t="s">
        <v>126</v>
      </c>
      <c r="L1893" s="41">
        <v>46007.333333333336</v>
      </c>
      <c r="M1893" s="38" t="s">
        <v>123</v>
      </c>
      <c r="N1893" s="41">
        <v>46007.375</v>
      </c>
      <c r="O1893" s="38" t="s">
        <v>123</v>
      </c>
      <c r="P1893" s="38">
        <v>3600.0</v>
      </c>
      <c r="Q1893" s="39"/>
      <c r="R1893" s="39"/>
      <c r="S1893" s="38" t="s">
        <v>130</v>
      </c>
      <c r="T1893" s="39"/>
      <c r="U1893" s="39"/>
    </row>
    <row r="1894">
      <c r="A1894" s="40">
        <f t="shared" si="1"/>
        <v>46006</v>
      </c>
      <c r="B1894" s="37" t="str">
        <f t="array" ref="B1894">iferror(xlookup($I1894, 'IMPORT VHC Report'!$E:$E, 'IMPORT VHC Report'!$A:$C), )</f>
        <v/>
      </c>
      <c r="C1894" s="37"/>
      <c r="D1894" s="37"/>
      <c r="E1894" s="38" t="s">
        <v>2357</v>
      </c>
      <c r="F1894" s="38" t="s">
        <v>2347</v>
      </c>
      <c r="G1894" s="38">
        <v>3.61825394516E11</v>
      </c>
      <c r="H1894" s="38" t="s">
        <v>2348</v>
      </c>
      <c r="I1894" s="38" t="s">
        <v>2349</v>
      </c>
      <c r="J1894" s="38" t="s">
        <v>134</v>
      </c>
      <c r="K1894" s="38" t="s">
        <v>126</v>
      </c>
      <c r="L1894" s="41">
        <v>46007.46875</v>
      </c>
      <c r="M1894" s="38" t="s">
        <v>123</v>
      </c>
      <c r="N1894" s="41">
        <v>46007.489583333336</v>
      </c>
      <c r="O1894" s="38" t="s">
        <v>123</v>
      </c>
      <c r="P1894" s="38">
        <v>1800.0</v>
      </c>
      <c r="Q1894" s="39"/>
      <c r="R1894" s="39"/>
      <c r="S1894" s="39"/>
      <c r="T1894" s="39"/>
      <c r="U1894" s="39"/>
    </row>
    <row r="1895">
      <c r="A1895" s="40">
        <f t="shared" si="1"/>
        <v>46006</v>
      </c>
      <c r="B1895" s="37" t="str">
        <f t="array" ref="B1895">iferror(xlookup($I1895, 'IMPORT VHC Report'!$E:$E, 'IMPORT VHC Report'!$A:$C), )</f>
        <v/>
      </c>
      <c r="C1895" s="37"/>
      <c r="D1895" s="37"/>
      <c r="E1895" s="38" t="s">
        <v>2358</v>
      </c>
      <c r="F1895" s="38" t="s">
        <v>2347</v>
      </c>
      <c r="G1895" s="38">
        <v>3.61825394516E11</v>
      </c>
      <c r="H1895" s="38" t="s">
        <v>2348</v>
      </c>
      <c r="I1895" s="38" t="s">
        <v>2349</v>
      </c>
      <c r="J1895" s="38" t="s">
        <v>125</v>
      </c>
      <c r="K1895" s="38" t="s">
        <v>126</v>
      </c>
      <c r="L1895" s="41">
        <v>46008.208333333336</v>
      </c>
      <c r="M1895" s="38" t="s">
        <v>123</v>
      </c>
      <c r="N1895" s="41">
        <v>46008.21527777778</v>
      </c>
      <c r="O1895" s="38" t="s">
        <v>123</v>
      </c>
      <c r="P1895" s="38">
        <v>600.0</v>
      </c>
      <c r="Q1895" s="39"/>
      <c r="R1895" s="39"/>
      <c r="S1895" s="38" t="s">
        <v>127</v>
      </c>
      <c r="T1895" s="39"/>
      <c r="U1895" s="39"/>
    </row>
    <row r="1896">
      <c r="A1896" s="40">
        <f t="shared" si="1"/>
        <v>46006</v>
      </c>
      <c r="B1896" s="37" t="str">
        <f t="array" ref="B1896">iferror(xlookup($I1896, 'IMPORT VHC Report'!$E:$E, 'IMPORT VHC Report'!$A:$C), )</f>
        <v/>
      </c>
      <c r="C1896" s="37"/>
      <c r="D1896" s="37"/>
      <c r="E1896" s="38" t="s">
        <v>2359</v>
      </c>
      <c r="F1896" s="38" t="s">
        <v>2347</v>
      </c>
      <c r="G1896" s="38">
        <v>3.61825394516E11</v>
      </c>
      <c r="H1896" s="38" t="s">
        <v>2348</v>
      </c>
      <c r="I1896" s="38" t="s">
        <v>2349</v>
      </c>
      <c r="J1896" s="38" t="s">
        <v>122</v>
      </c>
      <c r="K1896" s="38" t="s">
        <v>63</v>
      </c>
      <c r="L1896" s="41">
        <v>46008.208333333336</v>
      </c>
      <c r="M1896" s="38" t="s">
        <v>123</v>
      </c>
      <c r="N1896" s="41">
        <v>46008.583333333336</v>
      </c>
      <c r="O1896" s="38" t="s">
        <v>123</v>
      </c>
      <c r="P1896" s="38">
        <v>32400.0</v>
      </c>
      <c r="Q1896" s="39"/>
      <c r="R1896" s="39"/>
      <c r="S1896" s="39"/>
      <c r="T1896" s="39"/>
      <c r="U1896" s="39"/>
    </row>
    <row r="1897">
      <c r="A1897" s="40">
        <f t="shared" si="1"/>
        <v>46006</v>
      </c>
      <c r="B1897" s="37" t="str">
        <f t="array" ref="B1897">iferror(xlookup($I1897, 'IMPORT VHC Report'!$E:$E, 'IMPORT VHC Report'!$A:$C), )</f>
        <v/>
      </c>
      <c r="C1897" s="37"/>
      <c r="D1897" s="37"/>
      <c r="E1897" s="38" t="s">
        <v>2360</v>
      </c>
      <c r="F1897" s="38" t="s">
        <v>2347</v>
      </c>
      <c r="G1897" s="38">
        <v>3.61825394516E11</v>
      </c>
      <c r="H1897" s="38" t="s">
        <v>2348</v>
      </c>
      <c r="I1897" s="38" t="s">
        <v>2349</v>
      </c>
      <c r="J1897" s="38" t="s">
        <v>132</v>
      </c>
      <c r="K1897" s="38" t="s">
        <v>126</v>
      </c>
      <c r="L1897" s="41">
        <v>46008.3125</v>
      </c>
      <c r="M1897" s="38" t="s">
        <v>123</v>
      </c>
      <c r="N1897" s="41">
        <v>46008.354166666664</v>
      </c>
      <c r="O1897" s="38" t="s">
        <v>123</v>
      </c>
      <c r="P1897" s="38">
        <v>3600.0</v>
      </c>
      <c r="Q1897" s="39"/>
      <c r="R1897" s="39"/>
      <c r="S1897" s="39"/>
      <c r="T1897" s="39"/>
      <c r="U1897" s="39"/>
    </row>
    <row r="1898">
      <c r="A1898" s="40">
        <f t="shared" si="1"/>
        <v>46006</v>
      </c>
      <c r="B1898" s="37" t="str">
        <f t="array" ref="B1898">iferror(xlookup($I1898, 'IMPORT VHC Report'!$E:$E, 'IMPORT VHC Report'!$A:$C), )</f>
        <v/>
      </c>
      <c r="C1898" s="37"/>
      <c r="D1898" s="37"/>
      <c r="E1898" s="38" t="s">
        <v>2361</v>
      </c>
      <c r="F1898" s="38" t="s">
        <v>2347</v>
      </c>
      <c r="G1898" s="38">
        <v>3.61825394516E11</v>
      </c>
      <c r="H1898" s="38" t="s">
        <v>2348</v>
      </c>
      <c r="I1898" s="38" t="s">
        <v>2349</v>
      </c>
      <c r="J1898" s="38" t="s">
        <v>136</v>
      </c>
      <c r="K1898" s="38" t="s">
        <v>126</v>
      </c>
      <c r="L1898" s="41">
        <v>46008.416666666664</v>
      </c>
      <c r="M1898" s="38" t="s">
        <v>123</v>
      </c>
      <c r="N1898" s="41">
        <v>46008.447916666664</v>
      </c>
      <c r="O1898" s="38" t="s">
        <v>123</v>
      </c>
      <c r="P1898" s="38">
        <v>2700.0</v>
      </c>
      <c r="Q1898" s="39"/>
      <c r="R1898" s="39"/>
      <c r="S1898" s="38" t="s">
        <v>137</v>
      </c>
      <c r="T1898" s="39"/>
      <c r="U1898" s="39"/>
    </row>
    <row r="1899">
      <c r="A1899" s="40">
        <f t="shared" si="1"/>
        <v>46006</v>
      </c>
      <c r="B1899" s="37" t="str">
        <f t="array" ref="B1899">iferror(xlookup($I1899, 'IMPORT VHC Report'!$E:$E, 'IMPORT VHC Report'!$A:$C), )</f>
        <v/>
      </c>
      <c r="C1899" s="37"/>
      <c r="D1899" s="37"/>
      <c r="E1899" s="38" t="s">
        <v>2362</v>
      </c>
      <c r="F1899" s="38" t="s">
        <v>2347</v>
      </c>
      <c r="G1899" s="38">
        <v>3.61825394516E11</v>
      </c>
      <c r="H1899" s="38" t="s">
        <v>2348</v>
      </c>
      <c r="I1899" s="38" t="s">
        <v>2349</v>
      </c>
      <c r="J1899" s="38" t="s">
        <v>134</v>
      </c>
      <c r="K1899" s="38" t="s">
        <v>126</v>
      </c>
      <c r="L1899" s="41">
        <v>46008.46875</v>
      </c>
      <c r="M1899" s="38" t="s">
        <v>123</v>
      </c>
      <c r="N1899" s="41">
        <v>46008.489583333336</v>
      </c>
      <c r="O1899" s="38" t="s">
        <v>123</v>
      </c>
      <c r="P1899" s="38">
        <v>1800.0</v>
      </c>
      <c r="Q1899" s="39"/>
      <c r="R1899" s="39"/>
      <c r="S1899" s="39"/>
      <c r="T1899" s="39"/>
      <c r="U1899" s="39"/>
    </row>
    <row r="1900">
      <c r="A1900" s="40">
        <f t="shared" si="1"/>
        <v>46006</v>
      </c>
      <c r="B1900" s="37" t="str">
        <f t="array" ref="B1900">iferror(xlookup($I1900, 'IMPORT VHC Report'!$E:$E, 'IMPORT VHC Report'!$A:$C), )</f>
        <v/>
      </c>
      <c r="C1900" s="37"/>
      <c r="D1900" s="37"/>
      <c r="E1900" s="38" t="s">
        <v>2363</v>
      </c>
      <c r="F1900" s="38" t="s">
        <v>2347</v>
      </c>
      <c r="G1900" s="38">
        <v>3.61825394516E11</v>
      </c>
      <c r="H1900" s="38" t="s">
        <v>2348</v>
      </c>
      <c r="I1900" s="38" t="s">
        <v>2349</v>
      </c>
      <c r="J1900" s="38" t="s">
        <v>125</v>
      </c>
      <c r="K1900" s="38" t="s">
        <v>126</v>
      </c>
      <c r="L1900" s="41">
        <v>46011.208333333336</v>
      </c>
      <c r="M1900" s="38" t="s">
        <v>123</v>
      </c>
      <c r="N1900" s="41">
        <v>46011.21527777778</v>
      </c>
      <c r="O1900" s="38" t="s">
        <v>123</v>
      </c>
      <c r="P1900" s="38">
        <v>600.0</v>
      </c>
      <c r="Q1900" s="39"/>
      <c r="R1900" s="39"/>
      <c r="S1900" s="38" t="s">
        <v>127</v>
      </c>
      <c r="T1900" s="39"/>
      <c r="U1900" s="39"/>
    </row>
    <row r="1901">
      <c r="A1901" s="40">
        <f t="shared" si="1"/>
        <v>46006</v>
      </c>
      <c r="B1901" s="37" t="str">
        <f t="array" ref="B1901">iferror(xlookup($I1901, 'IMPORT VHC Report'!$E:$E, 'IMPORT VHC Report'!$A:$C), )</f>
        <v/>
      </c>
      <c r="C1901" s="37"/>
      <c r="D1901" s="37"/>
      <c r="E1901" s="38" t="s">
        <v>2364</v>
      </c>
      <c r="F1901" s="38" t="s">
        <v>2347</v>
      </c>
      <c r="G1901" s="38">
        <v>3.61825394516E11</v>
      </c>
      <c r="H1901" s="38" t="s">
        <v>2348</v>
      </c>
      <c r="I1901" s="38" t="s">
        <v>2349</v>
      </c>
      <c r="J1901" s="38" t="s">
        <v>178</v>
      </c>
      <c r="K1901" s="38" t="s">
        <v>153</v>
      </c>
      <c r="L1901" s="41">
        <v>46011.208333333336</v>
      </c>
      <c r="M1901" s="38" t="s">
        <v>123</v>
      </c>
      <c r="N1901" s="41">
        <v>46011.583333333336</v>
      </c>
      <c r="O1901" s="38" t="s">
        <v>123</v>
      </c>
      <c r="P1901" s="38">
        <v>32400.0</v>
      </c>
      <c r="Q1901" s="38">
        <v>57600.0</v>
      </c>
      <c r="R1901" s="39"/>
      <c r="S1901" s="39"/>
      <c r="T1901" s="39"/>
      <c r="U1901" s="39"/>
    </row>
    <row r="1902">
      <c r="A1902" s="40">
        <f t="shared" si="1"/>
        <v>46006</v>
      </c>
      <c r="B1902" s="37" t="str">
        <f t="array" ref="B1902">iferror(xlookup($I1902, 'IMPORT VHC Report'!$E:$E, 'IMPORT VHC Report'!$A:$C), )</f>
        <v/>
      </c>
      <c r="C1902" s="37"/>
      <c r="D1902" s="37"/>
      <c r="E1902" s="38" t="s">
        <v>2365</v>
      </c>
      <c r="F1902" s="38" t="s">
        <v>2347</v>
      </c>
      <c r="G1902" s="38">
        <v>3.61825394516E11</v>
      </c>
      <c r="H1902" s="38" t="s">
        <v>2348</v>
      </c>
      <c r="I1902" s="38" t="s">
        <v>2349</v>
      </c>
      <c r="J1902" s="38" t="s">
        <v>122</v>
      </c>
      <c r="K1902" s="38" t="s">
        <v>63</v>
      </c>
      <c r="L1902" s="41">
        <v>46011.208333333336</v>
      </c>
      <c r="M1902" s="38" t="s">
        <v>123</v>
      </c>
      <c r="N1902" s="41">
        <v>46011.583333333336</v>
      </c>
      <c r="O1902" s="38" t="s">
        <v>123</v>
      </c>
      <c r="P1902" s="38">
        <v>32400.0</v>
      </c>
      <c r="Q1902" s="39"/>
      <c r="R1902" s="39"/>
      <c r="S1902" s="39"/>
      <c r="T1902" s="39"/>
      <c r="U1902" s="39"/>
    </row>
    <row r="1903">
      <c r="A1903" s="40">
        <f t="shared" si="1"/>
        <v>46006</v>
      </c>
      <c r="B1903" s="37" t="str">
        <f t="array" ref="B1903">iferror(xlookup($I1903, 'IMPORT VHC Report'!$E:$E, 'IMPORT VHC Report'!$A:$C), )</f>
        <v/>
      </c>
      <c r="C1903" s="37"/>
      <c r="D1903" s="37"/>
      <c r="E1903" s="38" t="s">
        <v>2366</v>
      </c>
      <c r="F1903" s="38" t="s">
        <v>2347</v>
      </c>
      <c r="G1903" s="38">
        <v>3.61825394516E11</v>
      </c>
      <c r="H1903" s="38" t="s">
        <v>2348</v>
      </c>
      <c r="I1903" s="38" t="s">
        <v>2349</v>
      </c>
      <c r="J1903" s="38" t="s">
        <v>134</v>
      </c>
      <c r="K1903" s="38" t="s">
        <v>126</v>
      </c>
      <c r="L1903" s="41">
        <v>46011.302083333336</v>
      </c>
      <c r="M1903" s="38" t="s">
        <v>123</v>
      </c>
      <c r="N1903" s="41">
        <v>46011.322916666664</v>
      </c>
      <c r="O1903" s="38" t="s">
        <v>123</v>
      </c>
      <c r="P1903" s="38">
        <v>1800.0</v>
      </c>
      <c r="Q1903" s="39"/>
      <c r="R1903" s="39"/>
      <c r="S1903" s="39"/>
      <c r="T1903" s="39"/>
      <c r="U1903" s="39"/>
    </row>
    <row r="1904">
      <c r="A1904" s="40">
        <f t="shared" si="1"/>
        <v>46006</v>
      </c>
      <c r="B1904" s="37" t="str">
        <f t="array" ref="B1904">iferror(xlookup($I1904, 'IMPORT VHC Report'!$E:$E, 'IMPORT VHC Report'!$A:$C), )</f>
        <v/>
      </c>
      <c r="C1904" s="37"/>
      <c r="D1904" s="37"/>
      <c r="E1904" s="38" t="s">
        <v>2367</v>
      </c>
      <c r="F1904" s="38" t="s">
        <v>2347</v>
      </c>
      <c r="G1904" s="38">
        <v>3.61825394516E11</v>
      </c>
      <c r="H1904" s="38" t="s">
        <v>2348</v>
      </c>
      <c r="I1904" s="38" t="s">
        <v>2349</v>
      </c>
      <c r="J1904" s="38" t="s">
        <v>132</v>
      </c>
      <c r="K1904" s="38" t="s">
        <v>126</v>
      </c>
      <c r="L1904" s="41">
        <v>46011.46875</v>
      </c>
      <c r="M1904" s="38" t="s">
        <v>123</v>
      </c>
      <c r="N1904" s="41">
        <v>46011.510416666664</v>
      </c>
      <c r="O1904" s="38" t="s">
        <v>123</v>
      </c>
      <c r="P1904" s="38">
        <v>3600.0</v>
      </c>
      <c r="Q1904" s="39"/>
      <c r="R1904" s="39"/>
      <c r="S1904" s="39"/>
      <c r="T1904" s="39"/>
      <c r="U1904" s="39"/>
    </row>
    <row r="1905">
      <c r="A1905" s="40">
        <f t="shared" si="1"/>
        <v>46006</v>
      </c>
      <c r="B1905" s="37" t="str">
        <f t="array" ref="B1905">iferror(xlookup($I1905, 'IMPORT VHC Report'!$E:$E, 'IMPORT VHC Report'!$A:$C), )</f>
        <v/>
      </c>
      <c r="C1905" s="37"/>
      <c r="D1905" s="37"/>
      <c r="E1905" s="38" t="s">
        <v>2368</v>
      </c>
      <c r="F1905" s="38" t="s">
        <v>2347</v>
      </c>
      <c r="G1905" s="38">
        <v>3.61825394516E11</v>
      </c>
      <c r="H1905" s="38" t="s">
        <v>2348</v>
      </c>
      <c r="I1905" s="38" t="s">
        <v>2349</v>
      </c>
      <c r="J1905" s="38" t="s">
        <v>125</v>
      </c>
      <c r="K1905" s="38" t="s">
        <v>126</v>
      </c>
      <c r="L1905" s="41">
        <v>46012.208333333336</v>
      </c>
      <c r="M1905" s="38" t="s">
        <v>123</v>
      </c>
      <c r="N1905" s="41">
        <v>46012.21527777778</v>
      </c>
      <c r="O1905" s="38" t="s">
        <v>123</v>
      </c>
      <c r="P1905" s="38">
        <v>600.0</v>
      </c>
      <c r="Q1905" s="39"/>
      <c r="R1905" s="39"/>
      <c r="S1905" s="38" t="s">
        <v>127</v>
      </c>
      <c r="T1905" s="39"/>
      <c r="U1905" s="39"/>
    </row>
    <row r="1906">
      <c r="A1906" s="40">
        <f t="shared" si="1"/>
        <v>46006</v>
      </c>
      <c r="B1906" s="37" t="str">
        <f t="array" ref="B1906">iferror(xlookup($I1906, 'IMPORT VHC Report'!$E:$E, 'IMPORT VHC Report'!$A:$C), )</f>
        <v/>
      </c>
      <c r="C1906" s="37"/>
      <c r="D1906" s="37"/>
      <c r="E1906" s="38" t="s">
        <v>2369</v>
      </c>
      <c r="F1906" s="38" t="s">
        <v>2347</v>
      </c>
      <c r="G1906" s="38">
        <v>3.61825394516E11</v>
      </c>
      <c r="H1906" s="38" t="s">
        <v>2348</v>
      </c>
      <c r="I1906" s="38" t="s">
        <v>2349</v>
      </c>
      <c r="J1906" s="38" t="s">
        <v>178</v>
      </c>
      <c r="K1906" s="38" t="s">
        <v>153</v>
      </c>
      <c r="L1906" s="41">
        <v>46012.208333333336</v>
      </c>
      <c r="M1906" s="38" t="s">
        <v>123</v>
      </c>
      <c r="N1906" s="41">
        <v>46012.583333333336</v>
      </c>
      <c r="O1906" s="38" t="s">
        <v>123</v>
      </c>
      <c r="P1906" s="38">
        <v>32400.0</v>
      </c>
      <c r="Q1906" s="38">
        <v>32400.0</v>
      </c>
      <c r="R1906" s="39"/>
      <c r="S1906" s="39"/>
      <c r="T1906" s="39"/>
      <c r="U1906" s="39"/>
    </row>
    <row r="1907">
      <c r="A1907" s="40">
        <f t="shared" si="1"/>
        <v>46006</v>
      </c>
      <c r="B1907" s="37" t="str">
        <f t="array" ref="B1907">iferror(xlookup($I1907, 'IMPORT VHC Report'!$E:$E, 'IMPORT VHC Report'!$A:$C), )</f>
        <v/>
      </c>
      <c r="C1907" s="37"/>
      <c r="D1907" s="37"/>
      <c r="E1907" s="38" t="s">
        <v>2370</v>
      </c>
      <c r="F1907" s="38" t="s">
        <v>2347</v>
      </c>
      <c r="G1907" s="38">
        <v>3.61825394516E11</v>
      </c>
      <c r="H1907" s="38" t="s">
        <v>2348</v>
      </c>
      <c r="I1907" s="38" t="s">
        <v>2349</v>
      </c>
      <c r="J1907" s="38" t="s">
        <v>122</v>
      </c>
      <c r="K1907" s="38" t="s">
        <v>63</v>
      </c>
      <c r="L1907" s="41">
        <v>46012.208333333336</v>
      </c>
      <c r="M1907" s="38" t="s">
        <v>123</v>
      </c>
      <c r="N1907" s="41">
        <v>46012.583333333336</v>
      </c>
      <c r="O1907" s="38" t="s">
        <v>123</v>
      </c>
      <c r="P1907" s="38">
        <v>32400.0</v>
      </c>
      <c r="Q1907" s="39"/>
      <c r="R1907" s="39"/>
      <c r="S1907" s="39"/>
      <c r="T1907" s="39"/>
      <c r="U1907" s="39"/>
    </row>
    <row r="1908">
      <c r="A1908" s="40">
        <f t="shared" si="1"/>
        <v>46006</v>
      </c>
      <c r="B1908" s="37" t="str">
        <f t="array" ref="B1908">iferror(xlookup($I1908, 'IMPORT VHC Report'!$E:$E, 'IMPORT VHC Report'!$A:$C), )</f>
        <v/>
      </c>
      <c r="C1908" s="37"/>
      <c r="D1908" s="37"/>
      <c r="E1908" s="38" t="s">
        <v>2371</v>
      </c>
      <c r="F1908" s="38" t="s">
        <v>2347</v>
      </c>
      <c r="G1908" s="38">
        <v>3.61825394516E11</v>
      </c>
      <c r="H1908" s="38" t="s">
        <v>2348</v>
      </c>
      <c r="I1908" s="38" t="s">
        <v>2349</v>
      </c>
      <c r="J1908" s="38" t="s">
        <v>132</v>
      </c>
      <c r="K1908" s="38" t="s">
        <v>126</v>
      </c>
      <c r="L1908" s="41">
        <v>46012.28125</v>
      </c>
      <c r="M1908" s="38" t="s">
        <v>123</v>
      </c>
      <c r="N1908" s="41">
        <v>46012.322916666664</v>
      </c>
      <c r="O1908" s="38" t="s">
        <v>123</v>
      </c>
      <c r="P1908" s="38">
        <v>3600.0</v>
      </c>
      <c r="Q1908" s="39"/>
      <c r="R1908" s="39"/>
      <c r="S1908" s="39"/>
      <c r="T1908" s="39"/>
      <c r="U1908" s="39"/>
    </row>
    <row r="1909">
      <c r="A1909" s="40">
        <f t="shared" si="1"/>
        <v>46006</v>
      </c>
      <c r="B1909" s="37" t="str">
        <f t="array" ref="B1909">iferror(xlookup($I1909, 'IMPORT VHC Report'!$E:$E, 'IMPORT VHC Report'!$A:$C), )</f>
        <v/>
      </c>
      <c r="C1909" s="37"/>
      <c r="D1909" s="37"/>
      <c r="E1909" s="38" t="s">
        <v>2372</v>
      </c>
      <c r="F1909" s="38" t="s">
        <v>2347</v>
      </c>
      <c r="G1909" s="38">
        <v>3.61825394516E11</v>
      </c>
      <c r="H1909" s="38" t="s">
        <v>2348</v>
      </c>
      <c r="I1909" s="38" t="s">
        <v>2349</v>
      </c>
      <c r="J1909" s="38" t="s">
        <v>134</v>
      </c>
      <c r="K1909" s="38" t="s">
        <v>126</v>
      </c>
      <c r="L1909" s="41">
        <v>46012.4375</v>
      </c>
      <c r="M1909" s="38" t="s">
        <v>123</v>
      </c>
      <c r="N1909" s="41">
        <v>46012.458333333336</v>
      </c>
      <c r="O1909" s="38" t="s">
        <v>123</v>
      </c>
      <c r="P1909" s="38">
        <v>1800.0</v>
      </c>
      <c r="Q1909" s="39"/>
      <c r="R1909" s="39"/>
      <c r="S1909" s="39"/>
      <c r="T1909" s="39"/>
      <c r="U1909" s="39"/>
    </row>
    <row r="1910">
      <c r="A1910" s="40">
        <f t="shared" si="1"/>
        <v>46006</v>
      </c>
      <c r="B1910" s="37" t="str">
        <f t="array" ref="B1910">iferror(xlookup($I1910, 'IMPORT VHC Report'!$E:$E, 'IMPORT VHC Report'!$A:$C), )</f>
        <v/>
      </c>
      <c r="C1910" s="37"/>
      <c r="D1910" s="37"/>
      <c r="E1910" s="38" t="s">
        <v>2373</v>
      </c>
      <c r="F1910" s="38" t="s">
        <v>2374</v>
      </c>
      <c r="G1910" s="38">
        <v>5.202378938383E12</v>
      </c>
      <c r="H1910" s="38" t="s">
        <v>2375</v>
      </c>
      <c r="I1910" s="38" t="s">
        <v>2376</v>
      </c>
      <c r="J1910" s="38" t="s">
        <v>4</v>
      </c>
      <c r="K1910" s="38" t="s">
        <v>126</v>
      </c>
      <c r="L1910" s="41">
        <v>46006.208333333336</v>
      </c>
      <c r="M1910" s="38" t="s">
        <v>123</v>
      </c>
      <c r="N1910" s="41">
        <v>46006.229166666664</v>
      </c>
      <c r="O1910" s="38" t="s">
        <v>123</v>
      </c>
      <c r="P1910" s="38">
        <v>1800.0</v>
      </c>
      <c r="Q1910" s="39"/>
      <c r="R1910" s="39"/>
      <c r="S1910" s="39"/>
      <c r="T1910" s="39"/>
      <c r="U1910" s="39"/>
    </row>
    <row r="1911">
      <c r="A1911" s="40">
        <f t="shared" si="1"/>
        <v>46006</v>
      </c>
      <c r="B1911" s="37" t="str">
        <f t="array" ref="B1911">iferror(xlookup($I1911, 'IMPORT VHC Report'!$E:$E, 'IMPORT VHC Report'!$A:$C), )</f>
        <v/>
      </c>
      <c r="C1911" s="37"/>
      <c r="D1911" s="37"/>
      <c r="E1911" s="38" t="s">
        <v>2377</v>
      </c>
      <c r="F1911" s="38" t="s">
        <v>2374</v>
      </c>
      <c r="G1911" s="38">
        <v>5.202378938383E12</v>
      </c>
      <c r="H1911" s="38" t="s">
        <v>2375</v>
      </c>
      <c r="I1911" s="38" t="s">
        <v>2376</v>
      </c>
      <c r="J1911" s="38" t="s">
        <v>530</v>
      </c>
      <c r="K1911" s="38" t="s">
        <v>63</v>
      </c>
      <c r="L1911" s="41">
        <v>46006.208333333336</v>
      </c>
      <c r="M1911" s="38" t="s">
        <v>123</v>
      </c>
      <c r="N1911" s="41">
        <v>46006.583333333336</v>
      </c>
      <c r="O1911" s="38" t="s">
        <v>123</v>
      </c>
      <c r="P1911" s="38">
        <v>32400.0</v>
      </c>
      <c r="Q1911" s="39"/>
      <c r="R1911" s="39"/>
      <c r="S1911" s="39"/>
      <c r="T1911" s="39"/>
      <c r="U1911" s="39"/>
    </row>
    <row r="1912">
      <c r="A1912" s="40">
        <f t="shared" si="1"/>
        <v>46006</v>
      </c>
      <c r="B1912" s="37" t="str">
        <f t="array" ref="B1912">iferror(xlookup($I1912, 'IMPORT VHC Report'!$E:$E, 'IMPORT VHC Report'!$A:$C), )</f>
        <v/>
      </c>
      <c r="C1912" s="37"/>
      <c r="D1912" s="37"/>
      <c r="E1912" s="38" t="s">
        <v>2378</v>
      </c>
      <c r="F1912" s="38" t="s">
        <v>2374</v>
      </c>
      <c r="G1912" s="38">
        <v>5.202378938383E12</v>
      </c>
      <c r="H1912" s="38" t="s">
        <v>2375</v>
      </c>
      <c r="I1912" s="38" t="s">
        <v>2376</v>
      </c>
      <c r="J1912" s="38" t="s">
        <v>125</v>
      </c>
      <c r="K1912" s="38" t="s">
        <v>126</v>
      </c>
      <c r="L1912" s="41">
        <v>46006.30347222222</v>
      </c>
      <c r="M1912" s="38" t="s">
        <v>123</v>
      </c>
      <c r="N1912" s="41">
        <v>46006.31805555556</v>
      </c>
      <c r="O1912" s="38" t="s">
        <v>123</v>
      </c>
      <c r="P1912" s="38">
        <v>1260.0</v>
      </c>
      <c r="Q1912" s="39"/>
      <c r="R1912" s="39"/>
      <c r="S1912" s="39"/>
      <c r="T1912" s="39"/>
      <c r="U1912" s="39"/>
    </row>
    <row r="1913">
      <c r="A1913" s="40">
        <f t="shared" si="1"/>
        <v>46006</v>
      </c>
      <c r="B1913" s="37" t="str">
        <f t="array" ref="B1913">iferror(xlookup($I1913, 'IMPORT VHC Report'!$E:$E, 'IMPORT VHC Report'!$A:$C), )</f>
        <v/>
      </c>
      <c r="C1913" s="37"/>
      <c r="D1913" s="37"/>
      <c r="E1913" s="38" t="s">
        <v>2379</v>
      </c>
      <c r="F1913" s="38" t="s">
        <v>2374</v>
      </c>
      <c r="G1913" s="38">
        <v>5.202378938383E12</v>
      </c>
      <c r="H1913" s="38" t="s">
        <v>2375</v>
      </c>
      <c r="I1913" s="38" t="s">
        <v>2376</v>
      </c>
      <c r="J1913" s="38" t="s">
        <v>132</v>
      </c>
      <c r="K1913" s="38" t="s">
        <v>126</v>
      </c>
      <c r="L1913" s="41">
        <v>46006.41736111111</v>
      </c>
      <c r="M1913" s="38" t="s">
        <v>123</v>
      </c>
      <c r="N1913" s="41">
        <v>46006.459027777775</v>
      </c>
      <c r="O1913" s="38" t="s">
        <v>123</v>
      </c>
      <c r="P1913" s="38">
        <v>3600.0</v>
      </c>
      <c r="Q1913" s="39"/>
      <c r="R1913" s="39"/>
      <c r="S1913" s="39"/>
      <c r="T1913" s="39"/>
      <c r="U1913" s="39"/>
    </row>
    <row r="1914">
      <c r="A1914" s="40">
        <f t="shared" si="1"/>
        <v>46006</v>
      </c>
      <c r="B1914" s="37" t="str">
        <f t="array" ref="B1914">iferror(xlookup($I1914, 'IMPORT VHC Report'!$E:$E, 'IMPORT VHC Report'!$A:$C), )</f>
        <v/>
      </c>
      <c r="C1914" s="37"/>
      <c r="D1914" s="37"/>
      <c r="E1914" s="38" t="s">
        <v>2380</v>
      </c>
      <c r="F1914" s="38" t="s">
        <v>2374</v>
      </c>
      <c r="G1914" s="38">
        <v>5.202378938383E12</v>
      </c>
      <c r="H1914" s="38" t="s">
        <v>2375</v>
      </c>
      <c r="I1914" s="38" t="s">
        <v>2376</v>
      </c>
      <c r="J1914" s="38" t="s">
        <v>134</v>
      </c>
      <c r="K1914" s="38" t="s">
        <v>126</v>
      </c>
      <c r="L1914" s="41">
        <v>46006.459027777775</v>
      </c>
      <c r="M1914" s="38" t="s">
        <v>123</v>
      </c>
      <c r="N1914" s="41">
        <v>46006.47986111111</v>
      </c>
      <c r="O1914" s="38" t="s">
        <v>123</v>
      </c>
      <c r="P1914" s="38">
        <v>1800.0</v>
      </c>
      <c r="Q1914" s="39"/>
      <c r="R1914" s="39"/>
      <c r="S1914" s="39"/>
      <c r="T1914" s="39"/>
      <c r="U1914" s="39"/>
    </row>
    <row r="1915">
      <c r="A1915" s="40">
        <f t="shared" si="1"/>
        <v>46006</v>
      </c>
      <c r="B1915" s="37" t="str">
        <f t="array" ref="B1915">iferror(xlookup($I1915, 'IMPORT VHC Report'!$E:$E, 'IMPORT VHC Report'!$A:$C), )</f>
        <v/>
      </c>
      <c r="C1915" s="37"/>
      <c r="D1915" s="37"/>
      <c r="E1915" s="38" t="s">
        <v>2381</v>
      </c>
      <c r="F1915" s="38" t="s">
        <v>2374</v>
      </c>
      <c r="G1915" s="38">
        <v>5.202378938383E12</v>
      </c>
      <c r="H1915" s="38" t="s">
        <v>2375</v>
      </c>
      <c r="I1915" s="38" t="s">
        <v>2376</v>
      </c>
      <c r="J1915" s="38" t="s">
        <v>125</v>
      </c>
      <c r="K1915" s="38" t="s">
        <v>126</v>
      </c>
      <c r="L1915" s="41">
        <v>46006.47986111111</v>
      </c>
      <c r="M1915" s="38" t="s">
        <v>123</v>
      </c>
      <c r="N1915" s="41">
        <v>46006.53958333333</v>
      </c>
      <c r="O1915" s="38" t="s">
        <v>123</v>
      </c>
      <c r="P1915" s="38">
        <v>5160.0</v>
      </c>
      <c r="Q1915" s="39"/>
      <c r="R1915" s="39"/>
      <c r="S1915" s="39"/>
      <c r="T1915" s="39"/>
      <c r="U1915" s="39"/>
    </row>
    <row r="1916">
      <c r="A1916" s="40">
        <f t="shared" si="1"/>
        <v>46006</v>
      </c>
      <c r="B1916" s="37" t="str">
        <f t="array" ref="B1916">iferror(xlookup($I1916, 'IMPORT VHC Report'!$E:$E, 'IMPORT VHC Report'!$A:$C), )</f>
        <v/>
      </c>
      <c r="C1916" s="37"/>
      <c r="D1916" s="37"/>
      <c r="E1916" s="38" t="s">
        <v>2382</v>
      </c>
      <c r="F1916" s="38" t="s">
        <v>2374</v>
      </c>
      <c r="G1916" s="38">
        <v>5.202378938383E12</v>
      </c>
      <c r="H1916" s="38" t="s">
        <v>2375</v>
      </c>
      <c r="I1916" s="38" t="s">
        <v>2376</v>
      </c>
      <c r="J1916" s="38" t="s">
        <v>4</v>
      </c>
      <c r="K1916" s="38" t="s">
        <v>126</v>
      </c>
      <c r="L1916" s="41">
        <v>46007.208333333336</v>
      </c>
      <c r="M1916" s="38" t="s">
        <v>123</v>
      </c>
      <c r="N1916" s="41">
        <v>46007.2125</v>
      </c>
      <c r="O1916" s="38" t="s">
        <v>123</v>
      </c>
      <c r="P1916" s="38">
        <v>360.0</v>
      </c>
      <c r="Q1916" s="39"/>
      <c r="R1916" s="39"/>
      <c r="S1916" s="39"/>
      <c r="T1916" s="39"/>
      <c r="U1916" s="39"/>
    </row>
    <row r="1917">
      <c r="A1917" s="40">
        <f t="shared" si="1"/>
        <v>46006</v>
      </c>
      <c r="B1917" s="37" t="str">
        <f t="array" ref="B1917">iferror(xlookup($I1917, 'IMPORT VHC Report'!$E:$E, 'IMPORT VHC Report'!$A:$C), )</f>
        <v/>
      </c>
      <c r="C1917" s="37"/>
      <c r="D1917" s="37"/>
      <c r="E1917" s="38" t="s">
        <v>2383</v>
      </c>
      <c r="F1917" s="38" t="s">
        <v>2374</v>
      </c>
      <c r="G1917" s="38">
        <v>5.202378938383E12</v>
      </c>
      <c r="H1917" s="38" t="s">
        <v>2375</v>
      </c>
      <c r="I1917" s="38" t="s">
        <v>2376</v>
      </c>
      <c r="J1917" s="38" t="s">
        <v>530</v>
      </c>
      <c r="K1917" s="38" t="s">
        <v>63</v>
      </c>
      <c r="L1917" s="41">
        <v>46007.208333333336</v>
      </c>
      <c r="M1917" s="38" t="s">
        <v>123</v>
      </c>
      <c r="N1917" s="41">
        <v>46007.583333333336</v>
      </c>
      <c r="O1917" s="38" t="s">
        <v>123</v>
      </c>
      <c r="P1917" s="38">
        <v>32400.0</v>
      </c>
      <c r="Q1917" s="39"/>
      <c r="R1917" s="39"/>
      <c r="S1917" s="39"/>
      <c r="T1917" s="39"/>
      <c r="U1917" s="39"/>
    </row>
    <row r="1918">
      <c r="A1918" s="40">
        <f t="shared" si="1"/>
        <v>46006</v>
      </c>
      <c r="B1918" s="37" t="str">
        <f t="array" ref="B1918">iferror(xlookup($I1918, 'IMPORT VHC Report'!$E:$E, 'IMPORT VHC Report'!$A:$C), )</f>
        <v/>
      </c>
      <c r="C1918" s="37"/>
      <c r="D1918" s="37"/>
      <c r="E1918" s="38" t="s">
        <v>2384</v>
      </c>
      <c r="F1918" s="38" t="s">
        <v>2374</v>
      </c>
      <c r="G1918" s="38">
        <v>5.202378938383E12</v>
      </c>
      <c r="H1918" s="38" t="s">
        <v>2375</v>
      </c>
      <c r="I1918" s="38" t="s">
        <v>2376</v>
      </c>
      <c r="J1918" s="38" t="s">
        <v>4</v>
      </c>
      <c r="K1918" s="38" t="s">
        <v>126</v>
      </c>
      <c r="L1918" s="41">
        <v>46007.220138888886</v>
      </c>
      <c r="M1918" s="38" t="s">
        <v>123</v>
      </c>
      <c r="N1918" s="41">
        <v>46007.240277777775</v>
      </c>
      <c r="O1918" s="38" t="s">
        <v>123</v>
      </c>
      <c r="P1918" s="38">
        <v>1740.0</v>
      </c>
      <c r="Q1918" s="39"/>
      <c r="R1918" s="39"/>
      <c r="S1918" s="39"/>
      <c r="T1918" s="39"/>
      <c r="U1918" s="39"/>
    </row>
    <row r="1919">
      <c r="A1919" s="40">
        <f t="shared" si="1"/>
        <v>46006</v>
      </c>
      <c r="B1919" s="37" t="str">
        <f t="array" ref="B1919">iferror(xlookup($I1919, 'IMPORT VHC Report'!$E:$E, 'IMPORT VHC Report'!$A:$C), )</f>
        <v/>
      </c>
      <c r="C1919" s="37"/>
      <c r="D1919" s="37"/>
      <c r="E1919" s="38" t="s">
        <v>2385</v>
      </c>
      <c r="F1919" s="38" t="s">
        <v>2374</v>
      </c>
      <c r="G1919" s="38">
        <v>5.202378938383E12</v>
      </c>
      <c r="H1919" s="38" t="s">
        <v>2375</v>
      </c>
      <c r="I1919" s="38" t="s">
        <v>2376</v>
      </c>
      <c r="J1919" s="38" t="s">
        <v>125</v>
      </c>
      <c r="K1919" s="38" t="s">
        <v>126</v>
      </c>
      <c r="L1919" s="41">
        <v>46007.36388888889</v>
      </c>
      <c r="M1919" s="38" t="s">
        <v>123</v>
      </c>
      <c r="N1919" s="41">
        <v>46007.41458333333</v>
      </c>
      <c r="O1919" s="38" t="s">
        <v>123</v>
      </c>
      <c r="P1919" s="38">
        <v>4380.0</v>
      </c>
      <c r="Q1919" s="39"/>
      <c r="R1919" s="39"/>
      <c r="S1919" s="39"/>
      <c r="T1919" s="39"/>
      <c r="U1919" s="39"/>
    </row>
    <row r="1920">
      <c r="A1920" s="40">
        <f t="shared" si="1"/>
        <v>46006</v>
      </c>
      <c r="B1920" s="37" t="str">
        <f t="array" ref="B1920">iferror(xlookup($I1920, 'IMPORT VHC Report'!$E:$E, 'IMPORT VHC Report'!$A:$C), )</f>
        <v/>
      </c>
      <c r="C1920" s="37"/>
      <c r="D1920" s="37"/>
      <c r="E1920" s="38" t="s">
        <v>2386</v>
      </c>
      <c r="F1920" s="38" t="s">
        <v>2374</v>
      </c>
      <c r="G1920" s="38">
        <v>5.202378938383E12</v>
      </c>
      <c r="H1920" s="38" t="s">
        <v>2375</v>
      </c>
      <c r="I1920" s="38" t="s">
        <v>2376</v>
      </c>
      <c r="J1920" s="38" t="s">
        <v>132</v>
      </c>
      <c r="K1920" s="38" t="s">
        <v>126</v>
      </c>
      <c r="L1920" s="41">
        <v>46007.4375</v>
      </c>
      <c r="M1920" s="38" t="s">
        <v>123</v>
      </c>
      <c r="N1920" s="41">
        <v>46007.479166666664</v>
      </c>
      <c r="O1920" s="38" t="s">
        <v>123</v>
      </c>
      <c r="P1920" s="38">
        <v>3600.0</v>
      </c>
      <c r="Q1920" s="39"/>
      <c r="R1920" s="39"/>
      <c r="S1920" s="39"/>
      <c r="T1920" s="39"/>
      <c r="U1920" s="39"/>
    </row>
    <row r="1921">
      <c r="A1921" s="40">
        <f t="shared" si="1"/>
        <v>46006</v>
      </c>
      <c r="B1921" s="37" t="str">
        <f t="array" ref="B1921">iferror(xlookup($I1921, 'IMPORT VHC Report'!$E:$E, 'IMPORT VHC Report'!$A:$C), )</f>
        <v/>
      </c>
      <c r="C1921" s="37"/>
      <c r="D1921" s="37"/>
      <c r="E1921" s="38" t="s">
        <v>2387</v>
      </c>
      <c r="F1921" s="38" t="s">
        <v>2374</v>
      </c>
      <c r="G1921" s="38">
        <v>5.202378938383E12</v>
      </c>
      <c r="H1921" s="38" t="s">
        <v>2375</v>
      </c>
      <c r="I1921" s="38" t="s">
        <v>2376</v>
      </c>
      <c r="J1921" s="38" t="s">
        <v>134</v>
      </c>
      <c r="K1921" s="38" t="s">
        <v>126</v>
      </c>
      <c r="L1921" s="41">
        <v>46007.479166666664</v>
      </c>
      <c r="M1921" s="38" t="s">
        <v>123</v>
      </c>
      <c r="N1921" s="41">
        <v>46007.5</v>
      </c>
      <c r="O1921" s="38" t="s">
        <v>123</v>
      </c>
      <c r="P1921" s="38">
        <v>1800.0</v>
      </c>
      <c r="Q1921" s="39"/>
      <c r="R1921" s="39"/>
      <c r="S1921" s="39"/>
      <c r="T1921" s="39"/>
      <c r="U1921" s="39"/>
    </row>
    <row r="1922">
      <c r="A1922" s="40">
        <f t="shared" si="1"/>
        <v>46006</v>
      </c>
      <c r="B1922" s="37" t="str">
        <f t="array" ref="B1922">iferror(xlookup($I1922, 'IMPORT VHC Report'!$E:$E, 'IMPORT VHC Report'!$A:$C), )</f>
        <v/>
      </c>
      <c r="C1922" s="37"/>
      <c r="D1922" s="37"/>
      <c r="E1922" s="38" t="s">
        <v>2388</v>
      </c>
      <c r="F1922" s="38" t="s">
        <v>2374</v>
      </c>
      <c r="G1922" s="38">
        <v>5.202378938383E12</v>
      </c>
      <c r="H1922" s="38" t="s">
        <v>2375</v>
      </c>
      <c r="I1922" s="38" t="s">
        <v>2376</v>
      </c>
      <c r="J1922" s="38" t="s">
        <v>125</v>
      </c>
      <c r="K1922" s="38" t="s">
        <v>126</v>
      </c>
      <c r="L1922" s="41">
        <v>46007.5</v>
      </c>
      <c r="M1922" s="38" t="s">
        <v>123</v>
      </c>
      <c r="N1922" s="41">
        <v>46007.50555555556</v>
      </c>
      <c r="O1922" s="38" t="s">
        <v>123</v>
      </c>
      <c r="P1922" s="38">
        <v>480.0</v>
      </c>
      <c r="Q1922" s="39"/>
      <c r="R1922" s="39"/>
      <c r="S1922" s="39"/>
      <c r="T1922" s="39"/>
      <c r="U1922" s="39"/>
    </row>
    <row r="1923">
      <c r="A1923" s="40">
        <f t="shared" si="1"/>
        <v>46006</v>
      </c>
      <c r="B1923" s="37" t="str">
        <f t="array" ref="B1923">iferror(xlookup($I1923, 'IMPORT VHC Report'!$E:$E, 'IMPORT VHC Report'!$A:$C), )</f>
        <v/>
      </c>
      <c r="C1923" s="37"/>
      <c r="D1923" s="37"/>
      <c r="E1923" s="38" t="s">
        <v>2389</v>
      </c>
      <c r="F1923" s="38" t="s">
        <v>2374</v>
      </c>
      <c r="G1923" s="38">
        <v>5.202378938383E12</v>
      </c>
      <c r="H1923" s="38" t="s">
        <v>2375</v>
      </c>
      <c r="I1923" s="38" t="s">
        <v>2376</v>
      </c>
      <c r="J1923" s="38" t="s">
        <v>125</v>
      </c>
      <c r="K1923" s="38" t="s">
        <v>126</v>
      </c>
      <c r="L1923" s="41">
        <v>46007.51666666667</v>
      </c>
      <c r="M1923" s="38" t="s">
        <v>123</v>
      </c>
      <c r="N1923" s="41">
        <v>46007.54583333333</v>
      </c>
      <c r="O1923" s="38" t="s">
        <v>123</v>
      </c>
      <c r="P1923" s="38">
        <v>2520.0</v>
      </c>
      <c r="Q1923" s="39"/>
      <c r="R1923" s="39"/>
      <c r="S1923" s="39"/>
      <c r="T1923" s="39"/>
      <c r="U1923" s="39"/>
    </row>
    <row r="1924">
      <c r="A1924" s="40">
        <f t="shared" si="1"/>
        <v>46006</v>
      </c>
      <c r="B1924" s="37" t="str">
        <f t="array" ref="B1924">iferror(xlookup($I1924, 'IMPORT VHC Report'!$E:$E, 'IMPORT VHC Report'!$A:$C), )</f>
        <v/>
      </c>
      <c r="C1924" s="37"/>
      <c r="D1924" s="37"/>
      <c r="E1924" s="38" t="s">
        <v>2390</v>
      </c>
      <c r="F1924" s="38" t="s">
        <v>2374</v>
      </c>
      <c r="G1924" s="38">
        <v>5.202378938383E12</v>
      </c>
      <c r="H1924" s="38" t="s">
        <v>2375</v>
      </c>
      <c r="I1924" s="38" t="s">
        <v>2376</v>
      </c>
      <c r="J1924" s="38" t="s">
        <v>125</v>
      </c>
      <c r="K1924" s="38" t="s">
        <v>126</v>
      </c>
      <c r="L1924" s="41">
        <v>46007.57152777778</v>
      </c>
      <c r="M1924" s="38" t="s">
        <v>123</v>
      </c>
      <c r="N1924" s="41">
        <v>46007.583333333336</v>
      </c>
      <c r="O1924" s="38" t="s">
        <v>123</v>
      </c>
      <c r="P1924" s="38">
        <v>1020.0</v>
      </c>
      <c r="Q1924" s="39"/>
      <c r="R1924" s="39"/>
      <c r="S1924" s="39"/>
      <c r="T1924" s="39"/>
      <c r="U1924" s="39"/>
    </row>
    <row r="1925">
      <c r="A1925" s="40">
        <f t="shared" si="1"/>
        <v>46006</v>
      </c>
      <c r="B1925" s="37" t="str">
        <f t="array" ref="B1925">iferror(xlookup($I1925, 'IMPORT VHC Report'!$E:$E, 'IMPORT VHC Report'!$A:$C), )</f>
        <v/>
      </c>
      <c r="C1925" s="37"/>
      <c r="D1925" s="37"/>
      <c r="E1925" s="38" t="s">
        <v>2391</v>
      </c>
      <c r="F1925" s="38" t="s">
        <v>2374</v>
      </c>
      <c r="G1925" s="38">
        <v>5.202378938383E12</v>
      </c>
      <c r="H1925" s="38" t="s">
        <v>2375</v>
      </c>
      <c r="I1925" s="38" t="s">
        <v>2376</v>
      </c>
      <c r="J1925" s="38" t="s">
        <v>4</v>
      </c>
      <c r="K1925" s="38" t="s">
        <v>126</v>
      </c>
      <c r="L1925" s="41">
        <v>46008.208333333336</v>
      </c>
      <c r="M1925" s="38" t="s">
        <v>123</v>
      </c>
      <c r="N1925" s="41">
        <v>46008.229166666664</v>
      </c>
      <c r="O1925" s="38" t="s">
        <v>123</v>
      </c>
      <c r="P1925" s="38">
        <v>1800.0</v>
      </c>
      <c r="Q1925" s="39"/>
      <c r="R1925" s="39"/>
      <c r="S1925" s="39"/>
      <c r="T1925" s="39"/>
      <c r="U1925" s="39"/>
    </row>
    <row r="1926">
      <c r="A1926" s="40">
        <f t="shared" si="1"/>
        <v>46006</v>
      </c>
      <c r="B1926" s="37" t="str">
        <f t="array" ref="B1926">iferror(xlookup($I1926, 'IMPORT VHC Report'!$E:$E, 'IMPORT VHC Report'!$A:$C), )</f>
        <v/>
      </c>
      <c r="C1926" s="37"/>
      <c r="D1926" s="37"/>
      <c r="E1926" s="38" t="s">
        <v>2392</v>
      </c>
      <c r="F1926" s="38" t="s">
        <v>2374</v>
      </c>
      <c r="G1926" s="38">
        <v>5.202378938383E12</v>
      </c>
      <c r="H1926" s="38" t="s">
        <v>2375</v>
      </c>
      <c r="I1926" s="38" t="s">
        <v>2376</v>
      </c>
      <c r="J1926" s="38" t="s">
        <v>530</v>
      </c>
      <c r="K1926" s="38" t="s">
        <v>63</v>
      </c>
      <c r="L1926" s="41">
        <v>46008.208333333336</v>
      </c>
      <c r="M1926" s="38" t="s">
        <v>123</v>
      </c>
      <c r="N1926" s="41">
        <v>46008.375</v>
      </c>
      <c r="O1926" s="38" t="s">
        <v>123</v>
      </c>
      <c r="P1926" s="38">
        <v>14400.0</v>
      </c>
      <c r="Q1926" s="39"/>
      <c r="R1926" s="39"/>
      <c r="S1926" s="39"/>
      <c r="T1926" s="39"/>
      <c r="U1926" s="39"/>
    </row>
    <row r="1927">
      <c r="A1927" s="40">
        <f t="shared" si="1"/>
        <v>46006</v>
      </c>
      <c r="B1927" s="37" t="str">
        <f t="array" ref="B1927">iferror(xlookup($I1927, 'IMPORT VHC Report'!$E:$E, 'IMPORT VHC Report'!$A:$C), )</f>
        <v/>
      </c>
      <c r="C1927" s="37"/>
      <c r="D1927" s="37"/>
      <c r="E1927" s="38" t="s">
        <v>2393</v>
      </c>
      <c r="F1927" s="38" t="s">
        <v>2374</v>
      </c>
      <c r="G1927" s="38">
        <v>5.202378938383E12</v>
      </c>
      <c r="H1927" s="38" t="s">
        <v>2375</v>
      </c>
      <c r="I1927" s="38" t="s">
        <v>2376</v>
      </c>
      <c r="J1927" s="38" t="s">
        <v>134</v>
      </c>
      <c r="K1927" s="38" t="s">
        <v>126</v>
      </c>
      <c r="L1927" s="41">
        <v>46008.2375</v>
      </c>
      <c r="M1927" s="38" t="s">
        <v>123</v>
      </c>
      <c r="N1927" s="41">
        <v>46008.25833333333</v>
      </c>
      <c r="O1927" s="38" t="s">
        <v>123</v>
      </c>
      <c r="P1927" s="38">
        <v>1800.0</v>
      </c>
      <c r="Q1927" s="39"/>
      <c r="R1927" s="39"/>
      <c r="S1927" s="39"/>
      <c r="T1927" s="39"/>
      <c r="U1927" s="39"/>
    </row>
    <row r="1928">
      <c r="A1928" s="40">
        <f t="shared" si="1"/>
        <v>46006</v>
      </c>
      <c r="B1928" s="37" t="str">
        <f t="array" ref="B1928">iferror(xlookup($I1928, 'IMPORT VHC Report'!$E:$E, 'IMPORT VHC Report'!$A:$C), )</f>
        <v/>
      </c>
      <c r="C1928" s="37"/>
      <c r="D1928" s="37"/>
      <c r="E1928" s="38" t="s">
        <v>2394</v>
      </c>
      <c r="F1928" s="38" t="s">
        <v>2374</v>
      </c>
      <c r="G1928" s="38">
        <v>5.202378938383E12</v>
      </c>
      <c r="H1928" s="38" t="s">
        <v>2375</v>
      </c>
      <c r="I1928" s="38" t="s">
        <v>2376</v>
      </c>
      <c r="J1928" s="38" t="s">
        <v>125</v>
      </c>
      <c r="K1928" s="38" t="s">
        <v>126</v>
      </c>
      <c r="L1928" s="41">
        <v>46008.33611111111</v>
      </c>
      <c r="M1928" s="38" t="s">
        <v>123</v>
      </c>
      <c r="N1928" s="41">
        <v>46008.35208333333</v>
      </c>
      <c r="O1928" s="38" t="s">
        <v>123</v>
      </c>
      <c r="P1928" s="38">
        <v>1380.0</v>
      </c>
      <c r="Q1928" s="39"/>
      <c r="R1928" s="39"/>
      <c r="S1928" s="39"/>
      <c r="T1928" s="39"/>
      <c r="U1928" s="39"/>
    </row>
    <row r="1929">
      <c r="A1929" s="40">
        <f t="shared" si="1"/>
        <v>46006</v>
      </c>
      <c r="B1929" s="37" t="str">
        <f t="array" ref="B1929">iferror(xlookup($I1929, 'IMPORT VHC Report'!$E:$E, 'IMPORT VHC Report'!$A:$C), )</f>
        <v/>
      </c>
      <c r="C1929" s="37"/>
      <c r="D1929" s="37"/>
      <c r="E1929" s="38" t="s">
        <v>2395</v>
      </c>
      <c r="F1929" s="38" t="s">
        <v>2374</v>
      </c>
      <c r="G1929" s="38">
        <v>5.202378938383E12</v>
      </c>
      <c r="H1929" s="38" t="s">
        <v>2375</v>
      </c>
      <c r="I1929" s="38" t="s">
        <v>2376</v>
      </c>
      <c r="J1929" s="38" t="s">
        <v>125</v>
      </c>
      <c r="K1929" s="38" t="s">
        <v>126</v>
      </c>
      <c r="L1929" s="41">
        <v>46008.36111111111</v>
      </c>
      <c r="M1929" s="38" t="s">
        <v>123</v>
      </c>
      <c r="N1929" s="41">
        <v>46008.375</v>
      </c>
      <c r="O1929" s="38" t="s">
        <v>123</v>
      </c>
      <c r="P1929" s="38">
        <v>1200.0</v>
      </c>
      <c r="Q1929" s="39"/>
      <c r="R1929" s="39"/>
      <c r="S1929" s="39"/>
      <c r="T1929" s="39"/>
      <c r="U1929" s="39"/>
    </row>
    <row r="1930">
      <c r="A1930" s="40">
        <f t="shared" si="1"/>
        <v>46006</v>
      </c>
      <c r="B1930" s="37" t="str">
        <f t="array" ref="B1930">iferror(xlookup($I1930, 'IMPORT VHC Report'!$E:$E, 'IMPORT VHC Report'!$A:$C), )</f>
        <v/>
      </c>
      <c r="C1930" s="37"/>
      <c r="D1930" s="37"/>
      <c r="E1930" s="38" t="s">
        <v>2396</v>
      </c>
      <c r="F1930" s="38" t="s">
        <v>2374</v>
      </c>
      <c r="G1930" s="38">
        <v>5.202378938383E12</v>
      </c>
      <c r="H1930" s="38" t="s">
        <v>2375</v>
      </c>
      <c r="I1930" s="38" t="s">
        <v>2376</v>
      </c>
      <c r="J1930" s="38" t="s">
        <v>62</v>
      </c>
      <c r="K1930" s="38" t="s">
        <v>63</v>
      </c>
      <c r="L1930" s="41">
        <v>46008.375</v>
      </c>
      <c r="M1930" s="38" t="s">
        <v>123</v>
      </c>
      <c r="N1930" s="41">
        <v>46008.395833333336</v>
      </c>
      <c r="O1930" s="38" t="s">
        <v>123</v>
      </c>
      <c r="P1930" s="38">
        <v>1800.0</v>
      </c>
      <c r="Q1930" s="39"/>
      <c r="R1930" s="39"/>
      <c r="S1930" s="39"/>
      <c r="T1930" s="39"/>
      <c r="U1930" s="39"/>
    </row>
    <row r="1931">
      <c r="A1931" s="40">
        <f t="shared" si="1"/>
        <v>46006</v>
      </c>
      <c r="B1931" s="37" t="str">
        <f t="array" ref="B1931">iferror(xlookup($I1931, 'IMPORT VHC Report'!$E:$E, 'IMPORT VHC Report'!$A:$C), )</f>
        <v/>
      </c>
      <c r="C1931" s="37"/>
      <c r="D1931" s="37"/>
      <c r="E1931" s="38" t="s">
        <v>2397</v>
      </c>
      <c r="F1931" s="38" t="s">
        <v>2374</v>
      </c>
      <c r="G1931" s="38">
        <v>5.202378938383E12</v>
      </c>
      <c r="H1931" s="38" t="s">
        <v>2375</v>
      </c>
      <c r="I1931" s="38" t="s">
        <v>2376</v>
      </c>
      <c r="J1931" s="38" t="s">
        <v>4</v>
      </c>
      <c r="K1931" s="38" t="s">
        <v>126</v>
      </c>
      <c r="L1931" s="41">
        <v>46008.375</v>
      </c>
      <c r="M1931" s="38" t="s">
        <v>123</v>
      </c>
      <c r="N1931" s="41">
        <v>46008.416666666664</v>
      </c>
      <c r="O1931" s="38" t="s">
        <v>123</v>
      </c>
      <c r="P1931" s="38">
        <v>3600.0</v>
      </c>
      <c r="Q1931" s="39"/>
      <c r="R1931" s="39"/>
      <c r="S1931" s="38" t="s">
        <v>1209</v>
      </c>
      <c r="T1931" s="39"/>
      <c r="U1931" s="39"/>
    </row>
    <row r="1932">
      <c r="A1932" s="40">
        <f t="shared" si="1"/>
        <v>46006</v>
      </c>
      <c r="B1932" s="37" t="str">
        <f t="array" ref="B1932">iferror(xlookup($I1932, 'IMPORT VHC Report'!$E:$E, 'IMPORT VHC Report'!$A:$C), )</f>
        <v/>
      </c>
      <c r="C1932" s="37"/>
      <c r="D1932" s="37"/>
      <c r="E1932" s="38" t="s">
        <v>2398</v>
      </c>
      <c r="F1932" s="38" t="s">
        <v>2374</v>
      </c>
      <c r="G1932" s="38">
        <v>5.202378938383E12</v>
      </c>
      <c r="H1932" s="38" t="s">
        <v>2375</v>
      </c>
      <c r="I1932" s="38" t="s">
        <v>2376</v>
      </c>
      <c r="J1932" s="38" t="s">
        <v>530</v>
      </c>
      <c r="K1932" s="38" t="s">
        <v>63</v>
      </c>
      <c r="L1932" s="41">
        <v>46008.395833333336</v>
      </c>
      <c r="M1932" s="38" t="s">
        <v>123</v>
      </c>
      <c r="N1932" s="41">
        <v>46008.481944444444</v>
      </c>
      <c r="O1932" s="38" t="s">
        <v>123</v>
      </c>
      <c r="P1932" s="38">
        <v>7440.0</v>
      </c>
      <c r="Q1932" s="39"/>
      <c r="R1932" s="39"/>
      <c r="S1932" s="39"/>
      <c r="T1932" s="39"/>
      <c r="U1932" s="39"/>
    </row>
    <row r="1933">
      <c r="A1933" s="40">
        <f t="shared" si="1"/>
        <v>46006</v>
      </c>
      <c r="B1933" s="37" t="str">
        <f t="array" ref="B1933">iferror(xlookup($I1933, 'IMPORT VHC Report'!$E:$E, 'IMPORT VHC Report'!$A:$C), )</f>
        <v/>
      </c>
      <c r="C1933" s="37"/>
      <c r="D1933" s="37"/>
      <c r="E1933" s="38" t="s">
        <v>2399</v>
      </c>
      <c r="F1933" s="38" t="s">
        <v>2374</v>
      </c>
      <c r="G1933" s="38">
        <v>5.202378938383E12</v>
      </c>
      <c r="H1933" s="38" t="s">
        <v>2375</v>
      </c>
      <c r="I1933" s="38" t="s">
        <v>2376</v>
      </c>
      <c r="J1933" s="38" t="s">
        <v>125</v>
      </c>
      <c r="K1933" s="38" t="s">
        <v>126</v>
      </c>
      <c r="L1933" s="41">
        <v>46008.416666666664</v>
      </c>
      <c r="M1933" s="38" t="s">
        <v>123</v>
      </c>
      <c r="N1933" s="41">
        <v>46008.42152777778</v>
      </c>
      <c r="O1933" s="38" t="s">
        <v>123</v>
      </c>
      <c r="P1933" s="38">
        <v>420.0</v>
      </c>
      <c r="Q1933" s="39"/>
      <c r="R1933" s="39"/>
      <c r="S1933" s="39"/>
      <c r="T1933" s="39"/>
      <c r="U1933" s="39"/>
    </row>
    <row r="1934">
      <c r="A1934" s="40">
        <f t="shared" si="1"/>
        <v>46006</v>
      </c>
      <c r="B1934" s="37" t="str">
        <f t="array" ref="B1934">iferror(xlookup($I1934, 'IMPORT VHC Report'!$E:$E, 'IMPORT VHC Report'!$A:$C), )</f>
        <v/>
      </c>
      <c r="C1934" s="37"/>
      <c r="D1934" s="37"/>
      <c r="E1934" s="38" t="s">
        <v>2400</v>
      </c>
      <c r="F1934" s="38" t="s">
        <v>2374</v>
      </c>
      <c r="G1934" s="38">
        <v>5.202378938383E12</v>
      </c>
      <c r="H1934" s="38" t="s">
        <v>2375</v>
      </c>
      <c r="I1934" s="38" t="s">
        <v>2376</v>
      </c>
      <c r="J1934" s="38" t="s">
        <v>132</v>
      </c>
      <c r="K1934" s="38" t="s">
        <v>126</v>
      </c>
      <c r="L1934" s="41">
        <v>46008.42361111111</v>
      </c>
      <c r="M1934" s="38" t="s">
        <v>123</v>
      </c>
      <c r="N1934" s="41">
        <v>46008.46527777778</v>
      </c>
      <c r="O1934" s="38" t="s">
        <v>123</v>
      </c>
      <c r="P1934" s="38">
        <v>3600.0</v>
      </c>
      <c r="Q1934" s="39"/>
      <c r="R1934" s="39"/>
      <c r="S1934" s="39"/>
      <c r="T1934" s="39"/>
      <c r="U1934" s="39"/>
    </row>
    <row r="1935">
      <c r="A1935" s="40">
        <f t="shared" si="1"/>
        <v>46006</v>
      </c>
      <c r="B1935" s="37" t="str">
        <f t="array" ref="B1935">iferror(xlookup($I1935, 'IMPORT VHC Report'!$E:$E, 'IMPORT VHC Report'!$A:$C), )</f>
        <v/>
      </c>
      <c r="C1935" s="37"/>
      <c r="D1935" s="37"/>
      <c r="E1935" s="38" t="s">
        <v>2401</v>
      </c>
      <c r="F1935" s="38" t="s">
        <v>2374</v>
      </c>
      <c r="G1935" s="38">
        <v>5.202378938383E12</v>
      </c>
      <c r="H1935" s="38" t="s">
        <v>2375</v>
      </c>
      <c r="I1935" s="38" t="s">
        <v>2376</v>
      </c>
      <c r="J1935" s="38" t="s">
        <v>1670</v>
      </c>
      <c r="K1935" s="38" t="s">
        <v>63</v>
      </c>
      <c r="L1935" s="41">
        <v>46008.481944444444</v>
      </c>
      <c r="M1935" s="38" t="s">
        <v>123</v>
      </c>
      <c r="N1935" s="41">
        <v>46008.50763888889</v>
      </c>
      <c r="O1935" s="38" t="s">
        <v>123</v>
      </c>
      <c r="P1935" s="38">
        <v>2220.0</v>
      </c>
      <c r="Q1935" s="39"/>
      <c r="R1935" s="39"/>
      <c r="S1935" s="39"/>
      <c r="T1935" s="39"/>
      <c r="U1935" s="39"/>
    </row>
    <row r="1936">
      <c r="A1936" s="40">
        <f t="shared" si="1"/>
        <v>46006</v>
      </c>
      <c r="B1936" s="37" t="str">
        <f t="array" ref="B1936">iferror(xlookup($I1936, 'IMPORT VHC Report'!$E:$E, 'IMPORT VHC Report'!$A:$C), )</f>
        <v/>
      </c>
      <c r="C1936" s="37"/>
      <c r="D1936" s="37"/>
      <c r="E1936" s="38" t="s">
        <v>2402</v>
      </c>
      <c r="F1936" s="38" t="s">
        <v>2374</v>
      </c>
      <c r="G1936" s="38">
        <v>5.202378938383E12</v>
      </c>
      <c r="H1936" s="38" t="s">
        <v>2375</v>
      </c>
      <c r="I1936" s="38" t="s">
        <v>2376</v>
      </c>
      <c r="J1936" s="38" t="s">
        <v>530</v>
      </c>
      <c r="K1936" s="38" t="s">
        <v>63</v>
      </c>
      <c r="L1936" s="41">
        <v>46008.50763888889</v>
      </c>
      <c r="M1936" s="38" t="s">
        <v>123</v>
      </c>
      <c r="N1936" s="41">
        <v>46008.583333333336</v>
      </c>
      <c r="O1936" s="38" t="s">
        <v>123</v>
      </c>
      <c r="P1936" s="38">
        <v>6540.0</v>
      </c>
      <c r="Q1936" s="39"/>
      <c r="R1936" s="39"/>
      <c r="S1936" s="39"/>
      <c r="T1936" s="39"/>
      <c r="U1936" s="39"/>
    </row>
    <row r="1937">
      <c r="A1937" s="40">
        <f t="shared" si="1"/>
        <v>46006</v>
      </c>
      <c r="B1937" s="37" t="str">
        <f t="array" ref="B1937">iferror(xlookup($I1937, 'IMPORT VHC Report'!$E:$E, 'IMPORT VHC Report'!$A:$C), )</f>
        <v/>
      </c>
      <c r="C1937" s="37"/>
      <c r="D1937" s="37"/>
      <c r="E1937" s="38" t="s">
        <v>2403</v>
      </c>
      <c r="F1937" s="38" t="s">
        <v>2374</v>
      </c>
      <c r="G1937" s="38">
        <v>5.202378938383E12</v>
      </c>
      <c r="H1937" s="38" t="s">
        <v>2375</v>
      </c>
      <c r="I1937" s="38" t="s">
        <v>2376</v>
      </c>
      <c r="J1937" s="38" t="s">
        <v>4</v>
      </c>
      <c r="K1937" s="38" t="s">
        <v>126</v>
      </c>
      <c r="L1937" s="41">
        <v>46008.541666666664</v>
      </c>
      <c r="M1937" s="38" t="s">
        <v>123</v>
      </c>
      <c r="N1937" s="41">
        <v>46008.583333333336</v>
      </c>
      <c r="O1937" s="38" t="s">
        <v>123</v>
      </c>
      <c r="P1937" s="38">
        <v>3600.0</v>
      </c>
      <c r="Q1937" s="39"/>
      <c r="R1937" s="39"/>
      <c r="S1937" s="38" t="s">
        <v>858</v>
      </c>
      <c r="T1937" s="39"/>
      <c r="U1937" s="39"/>
    </row>
    <row r="1938">
      <c r="A1938" s="40">
        <f t="shared" si="1"/>
        <v>46006</v>
      </c>
      <c r="B1938" s="37" t="str">
        <f t="array" ref="B1938">iferror(xlookup($I1938, 'IMPORT VHC Report'!$E:$E, 'IMPORT VHC Report'!$A:$C), )</f>
        <v/>
      </c>
      <c r="C1938" s="37"/>
      <c r="D1938" s="37"/>
      <c r="E1938" s="38" t="s">
        <v>2404</v>
      </c>
      <c r="F1938" s="38" t="s">
        <v>2374</v>
      </c>
      <c r="G1938" s="38">
        <v>5.202378938383E12</v>
      </c>
      <c r="H1938" s="38" t="s">
        <v>2375</v>
      </c>
      <c r="I1938" s="38" t="s">
        <v>2376</v>
      </c>
      <c r="J1938" s="38" t="s">
        <v>4</v>
      </c>
      <c r="K1938" s="38" t="s">
        <v>126</v>
      </c>
      <c r="L1938" s="41">
        <v>46009.208333333336</v>
      </c>
      <c r="M1938" s="38" t="s">
        <v>123</v>
      </c>
      <c r="N1938" s="41">
        <v>46009.23263888889</v>
      </c>
      <c r="O1938" s="38" t="s">
        <v>123</v>
      </c>
      <c r="P1938" s="38">
        <v>2100.0</v>
      </c>
      <c r="Q1938" s="39"/>
      <c r="R1938" s="39"/>
      <c r="S1938" s="39"/>
      <c r="T1938" s="39"/>
      <c r="U1938" s="39"/>
    </row>
    <row r="1939">
      <c r="A1939" s="40">
        <f t="shared" si="1"/>
        <v>46006</v>
      </c>
      <c r="B1939" s="37" t="str">
        <f t="array" ref="B1939">iferror(xlookup($I1939, 'IMPORT VHC Report'!$E:$E, 'IMPORT VHC Report'!$A:$C), )</f>
        <v/>
      </c>
      <c r="C1939" s="37"/>
      <c r="D1939" s="37"/>
      <c r="E1939" s="38" t="s">
        <v>2405</v>
      </c>
      <c r="F1939" s="38" t="s">
        <v>2374</v>
      </c>
      <c r="G1939" s="38">
        <v>5.202378938383E12</v>
      </c>
      <c r="H1939" s="38" t="s">
        <v>2375</v>
      </c>
      <c r="I1939" s="38" t="s">
        <v>2376</v>
      </c>
      <c r="J1939" s="38" t="s">
        <v>530</v>
      </c>
      <c r="K1939" s="38" t="s">
        <v>63</v>
      </c>
      <c r="L1939" s="41">
        <v>46009.208333333336</v>
      </c>
      <c r="M1939" s="38" t="s">
        <v>123</v>
      </c>
      <c r="N1939" s="41">
        <v>46009.375</v>
      </c>
      <c r="O1939" s="38" t="s">
        <v>123</v>
      </c>
      <c r="P1939" s="38">
        <v>14400.0</v>
      </c>
      <c r="Q1939" s="39"/>
      <c r="R1939" s="39"/>
      <c r="S1939" s="39"/>
      <c r="T1939" s="39"/>
      <c r="U1939" s="39"/>
    </row>
    <row r="1940">
      <c r="A1940" s="40">
        <f t="shared" si="1"/>
        <v>46006</v>
      </c>
      <c r="B1940" s="37" t="str">
        <f t="array" ref="B1940">iferror(xlookup($I1940, 'IMPORT VHC Report'!$E:$E, 'IMPORT VHC Report'!$A:$C), )</f>
        <v/>
      </c>
      <c r="C1940" s="37"/>
      <c r="D1940" s="37"/>
      <c r="E1940" s="38" t="s">
        <v>2406</v>
      </c>
      <c r="F1940" s="38" t="s">
        <v>2374</v>
      </c>
      <c r="G1940" s="38">
        <v>5.202378938383E12</v>
      </c>
      <c r="H1940" s="38" t="s">
        <v>2375</v>
      </c>
      <c r="I1940" s="38" t="s">
        <v>2376</v>
      </c>
      <c r="J1940" s="38" t="s">
        <v>125</v>
      </c>
      <c r="K1940" s="38" t="s">
        <v>126</v>
      </c>
      <c r="L1940" s="41">
        <v>46009.24166666667</v>
      </c>
      <c r="M1940" s="38" t="s">
        <v>123</v>
      </c>
      <c r="N1940" s="41">
        <v>46009.24652777778</v>
      </c>
      <c r="O1940" s="38" t="s">
        <v>123</v>
      </c>
      <c r="P1940" s="38">
        <v>420.0</v>
      </c>
      <c r="Q1940" s="39"/>
      <c r="R1940" s="39"/>
      <c r="S1940" s="39"/>
      <c r="T1940" s="39"/>
      <c r="U1940" s="39"/>
    </row>
    <row r="1941">
      <c r="A1941" s="40">
        <f t="shared" si="1"/>
        <v>46006</v>
      </c>
      <c r="B1941" s="37" t="str">
        <f t="array" ref="B1941">iferror(xlookup($I1941, 'IMPORT VHC Report'!$E:$E, 'IMPORT VHC Report'!$A:$C), )</f>
        <v/>
      </c>
      <c r="C1941" s="37"/>
      <c r="D1941" s="37"/>
      <c r="E1941" s="38" t="s">
        <v>2407</v>
      </c>
      <c r="F1941" s="38" t="s">
        <v>2374</v>
      </c>
      <c r="G1941" s="38">
        <v>5.202378938383E12</v>
      </c>
      <c r="H1941" s="38" t="s">
        <v>2375</v>
      </c>
      <c r="I1941" s="38" t="s">
        <v>2376</v>
      </c>
      <c r="J1941" s="38" t="s">
        <v>125</v>
      </c>
      <c r="K1941" s="38" t="s">
        <v>126</v>
      </c>
      <c r="L1941" s="41">
        <v>46009.25277777778</v>
      </c>
      <c r="M1941" s="38" t="s">
        <v>123</v>
      </c>
      <c r="N1941" s="41">
        <v>46009.26458333333</v>
      </c>
      <c r="O1941" s="38" t="s">
        <v>123</v>
      </c>
      <c r="P1941" s="38">
        <v>1020.0</v>
      </c>
      <c r="Q1941" s="39"/>
      <c r="R1941" s="39"/>
      <c r="S1941" s="39"/>
      <c r="T1941" s="39"/>
      <c r="U1941" s="39"/>
    </row>
    <row r="1942">
      <c r="A1942" s="40">
        <f t="shared" si="1"/>
        <v>46006</v>
      </c>
      <c r="B1942" s="37" t="str">
        <f t="array" ref="B1942">iferror(xlookup($I1942, 'IMPORT VHC Report'!$E:$E, 'IMPORT VHC Report'!$A:$C), )</f>
        <v/>
      </c>
      <c r="C1942" s="37"/>
      <c r="D1942" s="37"/>
      <c r="E1942" s="38" t="s">
        <v>2408</v>
      </c>
      <c r="F1942" s="38" t="s">
        <v>2374</v>
      </c>
      <c r="G1942" s="38">
        <v>5.202378938383E12</v>
      </c>
      <c r="H1942" s="38" t="s">
        <v>2375</v>
      </c>
      <c r="I1942" s="38" t="s">
        <v>2376</v>
      </c>
      <c r="J1942" s="38" t="s">
        <v>125</v>
      </c>
      <c r="K1942" s="38" t="s">
        <v>126</v>
      </c>
      <c r="L1942" s="41">
        <v>46009.27013888889</v>
      </c>
      <c r="M1942" s="38" t="s">
        <v>123</v>
      </c>
      <c r="N1942" s="41">
        <v>46009.35138888889</v>
      </c>
      <c r="O1942" s="38" t="s">
        <v>123</v>
      </c>
      <c r="P1942" s="38">
        <v>7020.0</v>
      </c>
      <c r="Q1942" s="39"/>
      <c r="R1942" s="39"/>
      <c r="S1942" s="39"/>
      <c r="T1942" s="39"/>
      <c r="U1942" s="39"/>
    </row>
    <row r="1943">
      <c r="A1943" s="40">
        <f t="shared" si="1"/>
        <v>46006</v>
      </c>
      <c r="B1943" s="37" t="str">
        <f t="array" ref="B1943">iferror(xlookup($I1943, 'IMPORT VHC Report'!$E:$E, 'IMPORT VHC Report'!$A:$C), )</f>
        <v/>
      </c>
      <c r="C1943" s="37"/>
      <c r="D1943" s="37"/>
      <c r="E1943" s="38" t="s">
        <v>2409</v>
      </c>
      <c r="F1943" s="38" t="s">
        <v>2374</v>
      </c>
      <c r="G1943" s="38">
        <v>5.202378938383E12</v>
      </c>
      <c r="H1943" s="38" t="s">
        <v>2375</v>
      </c>
      <c r="I1943" s="38" t="s">
        <v>2376</v>
      </c>
      <c r="J1943" s="38" t="s">
        <v>125</v>
      </c>
      <c r="K1943" s="38" t="s">
        <v>126</v>
      </c>
      <c r="L1943" s="41">
        <v>46009.354166666664</v>
      </c>
      <c r="M1943" s="38" t="s">
        <v>123</v>
      </c>
      <c r="N1943" s="41">
        <v>46009.375</v>
      </c>
      <c r="O1943" s="38" t="s">
        <v>123</v>
      </c>
      <c r="P1943" s="38">
        <v>1800.0</v>
      </c>
      <c r="Q1943" s="39"/>
      <c r="R1943" s="39"/>
      <c r="S1943" s="39"/>
      <c r="T1943" s="39"/>
      <c r="U1943" s="39"/>
    </row>
    <row r="1944">
      <c r="A1944" s="40">
        <f t="shared" si="1"/>
        <v>46006</v>
      </c>
      <c r="B1944" s="37" t="str">
        <f t="array" ref="B1944">iferror(xlookup($I1944, 'IMPORT VHC Report'!$E:$E, 'IMPORT VHC Report'!$A:$C), )</f>
        <v/>
      </c>
      <c r="C1944" s="37"/>
      <c r="D1944" s="37"/>
      <c r="E1944" s="38" t="s">
        <v>2410</v>
      </c>
      <c r="F1944" s="38" t="s">
        <v>2374</v>
      </c>
      <c r="G1944" s="38">
        <v>5.202378938383E12</v>
      </c>
      <c r="H1944" s="38" t="s">
        <v>2375</v>
      </c>
      <c r="I1944" s="38" t="s">
        <v>2376</v>
      </c>
      <c r="J1944" s="38" t="s">
        <v>1670</v>
      </c>
      <c r="K1944" s="38" t="s">
        <v>63</v>
      </c>
      <c r="L1944" s="41">
        <v>46009.375</v>
      </c>
      <c r="M1944" s="38" t="s">
        <v>123</v>
      </c>
      <c r="N1944" s="41">
        <v>46009.395833333336</v>
      </c>
      <c r="O1944" s="38" t="s">
        <v>123</v>
      </c>
      <c r="P1944" s="38">
        <v>1800.0</v>
      </c>
      <c r="Q1944" s="39"/>
      <c r="R1944" s="39"/>
      <c r="S1944" s="39"/>
      <c r="T1944" s="39"/>
      <c r="U1944" s="39"/>
    </row>
    <row r="1945">
      <c r="A1945" s="40">
        <f t="shared" si="1"/>
        <v>46006</v>
      </c>
      <c r="B1945" s="37" t="str">
        <f t="array" ref="B1945">iferror(xlookup($I1945, 'IMPORT VHC Report'!$E:$E, 'IMPORT VHC Report'!$A:$C), )</f>
        <v/>
      </c>
      <c r="C1945" s="37"/>
      <c r="D1945" s="37"/>
      <c r="E1945" s="38" t="s">
        <v>2411</v>
      </c>
      <c r="F1945" s="38" t="s">
        <v>2374</v>
      </c>
      <c r="G1945" s="38">
        <v>5.202378938383E12</v>
      </c>
      <c r="H1945" s="38" t="s">
        <v>2375</v>
      </c>
      <c r="I1945" s="38" t="s">
        <v>2376</v>
      </c>
      <c r="J1945" s="38" t="s">
        <v>132</v>
      </c>
      <c r="K1945" s="38" t="s">
        <v>126</v>
      </c>
      <c r="L1945" s="41">
        <v>46009.395833333336</v>
      </c>
      <c r="M1945" s="38" t="s">
        <v>123</v>
      </c>
      <c r="N1945" s="41">
        <v>46009.4375</v>
      </c>
      <c r="O1945" s="38" t="s">
        <v>123</v>
      </c>
      <c r="P1945" s="38">
        <v>3600.0</v>
      </c>
      <c r="Q1945" s="39"/>
      <c r="R1945" s="39"/>
      <c r="S1945" s="39"/>
      <c r="T1945" s="39"/>
      <c r="U1945" s="39"/>
    </row>
    <row r="1946">
      <c r="A1946" s="40">
        <f t="shared" si="1"/>
        <v>46006</v>
      </c>
      <c r="B1946" s="37" t="str">
        <f t="array" ref="B1946">iferror(xlookup($I1946, 'IMPORT VHC Report'!$E:$E, 'IMPORT VHC Report'!$A:$C), )</f>
        <v/>
      </c>
      <c r="C1946" s="37"/>
      <c r="D1946" s="37"/>
      <c r="E1946" s="38" t="s">
        <v>2412</v>
      </c>
      <c r="F1946" s="38" t="s">
        <v>2374</v>
      </c>
      <c r="G1946" s="38">
        <v>5.202378938383E12</v>
      </c>
      <c r="H1946" s="38" t="s">
        <v>2375</v>
      </c>
      <c r="I1946" s="38" t="s">
        <v>2376</v>
      </c>
      <c r="J1946" s="38" t="s">
        <v>530</v>
      </c>
      <c r="K1946" s="38" t="s">
        <v>63</v>
      </c>
      <c r="L1946" s="41">
        <v>46009.395833333336</v>
      </c>
      <c r="M1946" s="38" t="s">
        <v>123</v>
      </c>
      <c r="N1946" s="41">
        <v>46009.47708333333</v>
      </c>
      <c r="O1946" s="38" t="s">
        <v>123</v>
      </c>
      <c r="P1946" s="38">
        <v>7020.0</v>
      </c>
      <c r="Q1946" s="39"/>
      <c r="R1946" s="39"/>
      <c r="S1946" s="39"/>
      <c r="T1946" s="39"/>
      <c r="U1946" s="39"/>
    </row>
    <row r="1947">
      <c r="A1947" s="40">
        <f t="shared" si="1"/>
        <v>46006</v>
      </c>
      <c r="B1947" s="37" t="str">
        <f t="array" ref="B1947">iferror(xlookup($I1947, 'IMPORT VHC Report'!$E:$E, 'IMPORT VHC Report'!$A:$C), )</f>
        <v/>
      </c>
      <c r="C1947" s="37"/>
      <c r="D1947" s="37"/>
      <c r="E1947" s="38" t="s">
        <v>2413</v>
      </c>
      <c r="F1947" s="38" t="s">
        <v>2374</v>
      </c>
      <c r="G1947" s="38">
        <v>5.202378938383E12</v>
      </c>
      <c r="H1947" s="38" t="s">
        <v>2375</v>
      </c>
      <c r="I1947" s="38" t="s">
        <v>2376</v>
      </c>
      <c r="J1947" s="38" t="s">
        <v>134</v>
      </c>
      <c r="K1947" s="38" t="s">
        <v>126</v>
      </c>
      <c r="L1947" s="41">
        <v>46009.4375</v>
      </c>
      <c r="M1947" s="38" t="s">
        <v>123</v>
      </c>
      <c r="N1947" s="41">
        <v>46009.458333333336</v>
      </c>
      <c r="O1947" s="38" t="s">
        <v>123</v>
      </c>
      <c r="P1947" s="38">
        <v>1800.0</v>
      </c>
      <c r="Q1947" s="39"/>
      <c r="R1947" s="39"/>
      <c r="S1947" s="39"/>
      <c r="T1947" s="39"/>
      <c r="U1947" s="39"/>
    </row>
    <row r="1948">
      <c r="A1948" s="40">
        <f t="shared" si="1"/>
        <v>46006</v>
      </c>
      <c r="B1948" s="37" t="str">
        <f t="array" ref="B1948">iferror(xlookup($I1948, 'IMPORT VHC Report'!$E:$E, 'IMPORT VHC Report'!$A:$C), )</f>
        <v/>
      </c>
      <c r="C1948" s="37"/>
      <c r="D1948" s="37"/>
      <c r="E1948" s="38" t="s">
        <v>2414</v>
      </c>
      <c r="F1948" s="38" t="s">
        <v>2374</v>
      </c>
      <c r="G1948" s="38">
        <v>5.202378938383E12</v>
      </c>
      <c r="H1948" s="38" t="s">
        <v>2375</v>
      </c>
      <c r="I1948" s="38" t="s">
        <v>2376</v>
      </c>
      <c r="J1948" s="38" t="s">
        <v>125</v>
      </c>
      <c r="K1948" s="38" t="s">
        <v>126</v>
      </c>
      <c r="L1948" s="41">
        <v>46009.458333333336</v>
      </c>
      <c r="M1948" s="38" t="s">
        <v>123</v>
      </c>
      <c r="N1948" s="41">
        <v>46009.46388888889</v>
      </c>
      <c r="O1948" s="38" t="s">
        <v>123</v>
      </c>
      <c r="P1948" s="38">
        <v>480.0</v>
      </c>
      <c r="Q1948" s="39"/>
      <c r="R1948" s="39"/>
      <c r="S1948" s="39"/>
      <c r="T1948" s="39"/>
      <c r="U1948" s="39"/>
    </row>
    <row r="1949">
      <c r="A1949" s="40">
        <f t="shared" si="1"/>
        <v>46006</v>
      </c>
      <c r="B1949" s="37" t="str">
        <f t="array" ref="B1949">iferror(xlookup($I1949, 'IMPORT VHC Report'!$E:$E, 'IMPORT VHC Report'!$A:$C), )</f>
        <v/>
      </c>
      <c r="C1949" s="37"/>
      <c r="D1949" s="37"/>
      <c r="E1949" s="38" t="s">
        <v>2415</v>
      </c>
      <c r="F1949" s="38" t="s">
        <v>2374</v>
      </c>
      <c r="G1949" s="38">
        <v>5.202378938383E12</v>
      </c>
      <c r="H1949" s="38" t="s">
        <v>2375</v>
      </c>
      <c r="I1949" s="38" t="s">
        <v>2376</v>
      </c>
      <c r="J1949" s="38" t="s">
        <v>1670</v>
      </c>
      <c r="K1949" s="38" t="s">
        <v>63</v>
      </c>
      <c r="L1949" s="41">
        <v>46009.47708333333</v>
      </c>
      <c r="M1949" s="38" t="s">
        <v>123</v>
      </c>
      <c r="N1949" s="41">
        <v>46009.541666666664</v>
      </c>
      <c r="O1949" s="38" t="s">
        <v>123</v>
      </c>
      <c r="P1949" s="38">
        <v>5580.0</v>
      </c>
      <c r="Q1949" s="39"/>
      <c r="R1949" s="39"/>
      <c r="S1949" s="39"/>
      <c r="T1949" s="39"/>
      <c r="U1949" s="39"/>
    </row>
    <row r="1950">
      <c r="A1950" s="40">
        <f t="shared" si="1"/>
        <v>46006</v>
      </c>
      <c r="B1950" s="37" t="str">
        <f t="array" ref="B1950">iferror(xlookup($I1950, 'IMPORT VHC Report'!$E:$E, 'IMPORT VHC Report'!$A:$C), )</f>
        <v/>
      </c>
      <c r="C1950" s="37"/>
      <c r="D1950" s="37"/>
      <c r="E1950" s="38" t="s">
        <v>2416</v>
      </c>
      <c r="F1950" s="38" t="s">
        <v>2374</v>
      </c>
      <c r="G1950" s="38">
        <v>5.202378938383E12</v>
      </c>
      <c r="H1950" s="38" t="s">
        <v>2375</v>
      </c>
      <c r="I1950" s="38" t="s">
        <v>2376</v>
      </c>
      <c r="J1950" s="38" t="s">
        <v>4</v>
      </c>
      <c r="K1950" s="38" t="s">
        <v>126</v>
      </c>
      <c r="L1950" s="41">
        <v>46009.541666666664</v>
      </c>
      <c r="M1950" s="38" t="s">
        <v>123</v>
      </c>
      <c r="N1950" s="41">
        <v>46009.583333333336</v>
      </c>
      <c r="O1950" s="38" t="s">
        <v>123</v>
      </c>
      <c r="P1950" s="38">
        <v>3600.0</v>
      </c>
      <c r="Q1950" s="39"/>
      <c r="R1950" s="39"/>
      <c r="S1950" s="39"/>
      <c r="T1950" s="39"/>
      <c r="U1950" s="39"/>
    </row>
    <row r="1951">
      <c r="A1951" s="40">
        <f t="shared" si="1"/>
        <v>46006</v>
      </c>
      <c r="B1951" s="37" t="str">
        <f t="array" ref="B1951">iferror(xlookup($I1951, 'IMPORT VHC Report'!$E:$E, 'IMPORT VHC Report'!$A:$C), )</f>
        <v/>
      </c>
      <c r="C1951" s="37"/>
      <c r="D1951" s="37"/>
      <c r="E1951" s="38" t="s">
        <v>2417</v>
      </c>
      <c r="F1951" s="38" t="s">
        <v>2374</v>
      </c>
      <c r="G1951" s="38">
        <v>5.202378938383E12</v>
      </c>
      <c r="H1951" s="38" t="s">
        <v>2375</v>
      </c>
      <c r="I1951" s="38" t="s">
        <v>2376</v>
      </c>
      <c r="J1951" s="38" t="s">
        <v>4</v>
      </c>
      <c r="K1951" s="38" t="s">
        <v>126</v>
      </c>
      <c r="L1951" s="41">
        <v>46011.208333333336</v>
      </c>
      <c r="M1951" s="38" t="s">
        <v>123</v>
      </c>
      <c r="N1951" s="41">
        <v>46011.23263888889</v>
      </c>
      <c r="O1951" s="38" t="s">
        <v>123</v>
      </c>
      <c r="P1951" s="38">
        <v>2100.0</v>
      </c>
      <c r="Q1951" s="39"/>
      <c r="R1951" s="39"/>
      <c r="S1951" s="39"/>
      <c r="T1951" s="39"/>
      <c r="U1951" s="39"/>
    </row>
    <row r="1952">
      <c r="A1952" s="40">
        <f t="shared" si="1"/>
        <v>46006</v>
      </c>
      <c r="B1952" s="37" t="str">
        <f t="array" ref="B1952">iferror(xlookup($I1952, 'IMPORT VHC Report'!$E:$E, 'IMPORT VHC Report'!$A:$C), )</f>
        <v/>
      </c>
      <c r="C1952" s="37"/>
      <c r="D1952" s="37"/>
      <c r="E1952" s="38" t="s">
        <v>2418</v>
      </c>
      <c r="F1952" s="38" t="s">
        <v>2374</v>
      </c>
      <c r="G1952" s="38">
        <v>5.202378938383E12</v>
      </c>
      <c r="H1952" s="38" t="s">
        <v>2375</v>
      </c>
      <c r="I1952" s="38" t="s">
        <v>2376</v>
      </c>
      <c r="J1952" s="38" t="s">
        <v>985</v>
      </c>
      <c r="K1952" s="38" t="s">
        <v>63</v>
      </c>
      <c r="L1952" s="41">
        <v>46011.208333333336</v>
      </c>
      <c r="M1952" s="38" t="s">
        <v>123</v>
      </c>
      <c r="N1952" s="41">
        <v>46011.24097222222</v>
      </c>
      <c r="O1952" s="38" t="s">
        <v>123</v>
      </c>
      <c r="P1952" s="38">
        <v>2820.0</v>
      </c>
      <c r="Q1952" s="39"/>
      <c r="R1952" s="39"/>
      <c r="S1952" s="39"/>
      <c r="T1952" s="39"/>
      <c r="U1952" s="39"/>
    </row>
    <row r="1953">
      <c r="A1953" s="40">
        <f t="shared" si="1"/>
        <v>46006</v>
      </c>
      <c r="B1953" s="37" t="str">
        <f t="array" ref="B1953">iferror(xlookup($I1953, 'IMPORT VHC Report'!$E:$E, 'IMPORT VHC Report'!$A:$C), )</f>
        <v/>
      </c>
      <c r="C1953" s="37"/>
      <c r="D1953" s="37"/>
      <c r="E1953" s="38" t="s">
        <v>2419</v>
      </c>
      <c r="F1953" s="38" t="s">
        <v>2374</v>
      </c>
      <c r="G1953" s="38">
        <v>5.202378938383E12</v>
      </c>
      <c r="H1953" s="38" t="s">
        <v>2375</v>
      </c>
      <c r="I1953" s="38" t="s">
        <v>2376</v>
      </c>
      <c r="J1953" s="38" t="s">
        <v>125</v>
      </c>
      <c r="K1953" s="38" t="s">
        <v>126</v>
      </c>
      <c r="L1953" s="41">
        <v>46011.23819444444</v>
      </c>
      <c r="M1953" s="38" t="s">
        <v>123</v>
      </c>
      <c r="N1953" s="41">
        <v>46011.24097222222</v>
      </c>
      <c r="O1953" s="38" t="s">
        <v>123</v>
      </c>
      <c r="P1953" s="38">
        <v>240.0</v>
      </c>
      <c r="Q1953" s="39"/>
      <c r="R1953" s="39"/>
      <c r="S1953" s="39"/>
      <c r="T1953" s="39"/>
      <c r="U1953" s="39"/>
    </row>
    <row r="1954">
      <c r="A1954" s="40">
        <f t="shared" si="1"/>
        <v>46006</v>
      </c>
      <c r="B1954" s="37" t="str">
        <f t="array" ref="B1954">iferror(xlookup($I1954, 'IMPORT VHC Report'!$E:$E, 'IMPORT VHC Report'!$A:$C), )</f>
        <v/>
      </c>
      <c r="C1954" s="37"/>
      <c r="D1954" s="37"/>
      <c r="E1954" s="38" t="s">
        <v>2420</v>
      </c>
      <c r="F1954" s="38" t="s">
        <v>2374</v>
      </c>
      <c r="G1954" s="38">
        <v>5.202378938383E12</v>
      </c>
      <c r="H1954" s="38" t="s">
        <v>2375</v>
      </c>
      <c r="I1954" s="38" t="s">
        <v>2376</v>
      </c>
      <c r="J1954" s="38" t="s">
        <v>1670</v>
      </c>
      <c r="K1954" s="38" t="s">
        <v>63</v>
      </c>
      <c r="L1954" s="41">
        <v>46011.24097222222</v>
      </c>
      <c r="M1954" s="38" t="s">
        <v>123</v>
      </c>
      <c r="N1954" s="41">
        <v>46011.294444444444</v>
      </c>
      <c r="O1954" s="38" t="s">
        <v>123</v>
      </c>
      <c r="P1954" s="38">
        <v>4620.0</v>
      </c>
      <c r="Q1954" s="39"/>
      <c r="R1954" s="39"/>
      <c r="S1954" s="39"/>
      <c r="T1954" s="39"/>
      <c r="U1954" s="39"/>
    </row>
    <row r="1955">
      <c r="A1955" s="40">
        <f t="shared" si="1"/>
        <v>46006</v>
      </c>
      <c r="B1955" s="37" t="str">
        <f t="array" ref="B1955">iferror(xlookup($I1955, 'IMPORT VHC Report'!$E:$E, 'IMPORT VHC Report'!$A:$C), )</f>
        <v/>
      </c>
      <c r="C1955" s="37"/>
      <c r="D1955" s="37"/>
      <c r="E1955" s="38" t="s">
        <v>2421</v>
      </c>
      <c r="F1955" s="38" t="s">
        <v>2374</v>
      </c>
      <c r="G1955" s="38">
        <v>5.202378938383E12</v>
      </c>
      <c r="H1955" s="38" t="s">
        <v>2375</v>
      </c>
      <c r="I1955" s="38" t="s">
        <v>2376</v>
      </c>
      <c r="J1955" s="38" t="s">
        <v>985</v>
      </c>
      <c r="K1955" s="38" t="s">
        <v>63</v>
      </c>
      <c r="L1955" s="41">
        <v>46011.294444444444</v>
      </c>
      <c r="M1955" s="38" t="s">
        <v>123</v>
      </c>
      <c r="N1955" s="41">
        <v>46011.32847222222</v>
      </c>
      <c r="O1955" s="38" t="s">
        <v>123</v>
      </c>
      <c r="P1955" s="38">
        <v>2940.0</v>
      </c>
      <c r="Q1955" s="39"/>
      <c r="R1955" s="39"/>
      <c r="S1955" s="39"/>
      <c r="T1955" s="39"/>
      <c r="U1955" s="39"/>
    </row>
    <row r="1956">
      <c r="A1956" s="40">
        <f t="shared" si="1"/>
        <v>46006</v>
      </c>
      <c r="B1956" s="37" t="str">
        <f t="array" ref="B1956">iferror(xlookup($I1956, 'IMPORT VHC Report'!$E:$E, 'IMPORT VHC Report'!$A:$C), )</f>
        <v/>
      </c>
      <c r="C1956" s="37"/>
      <c r="D1956" s="37"/>
      <c r="E1956" s="38" t="s">
        <v>2422</v>
      </c>
      <c r="F1956" s="38" t="s">
        <v>2374</v>
      </c>
      <c r="G1956" s="38">
        <v>5.202378938383E12</v>
      </c>
      <c r="H1956" s="38" t="s">
        <v>2375</v>
      </c>
      <c r="I1956" s="38" t="s">
        <v>2376</v>
      </c>
      <c r="J1956" s="38" t="s">
        <v>1670</v>
      </c>
      <c r="K1956" s="38" t="s">
        <v>63</v>
      </c>
      <c r="L1956" s="41">
        <v>46011.32847222222</v>
      </c>
      <c r="M1956" s="38" t="s">
        <v>123</v>
      </c>
      <c r="N1956" s="41">
        <v>46011.334027777775</v>
      </c>
      <c r="O1956" s="38" t="s">
        <v>123</v>
      </c>
      <c r="P1956" s="38">
        <v>480.0</v>
      </c>
      <c r="Q1956" s="39"/>
      <c r="R1956" s="39"/>
      <c r="S1956" s="39"/>
      <c r="T1956" s="39"/>
      <c r="U1956" s="39"/>
    </row>
    <row r="1957">
      <c r="A1957" s="40">
        <f t="shared" si="1"/>
        <v>46006</v>
      </c>
      <c r="B1957" s="37" t="str">
        <f t="array" ref="B1957">iferror(xlookup($I1957, 'IMPORT VHC Report'!$E:$E, 'IMPORT VHC Report'!$A:$C), )</f>
        <v/>
      </c>
      <c r="C1957" s="37"/>
      <c r="D1957" s="37"/>
      <c r="E1957" s="38" t="s">
        <v>2423</v>
      </c>
      <c r="F1957" s="38" t="s">
        <v>2374</v>
      </c>
      <c r="G1957" s="38">
        <v>5.202378938383E12</v>
      </c>
      <c r="H1957" s="38" t="s">
        <v>2375</v>
      </c>
      <c r="I1957" s="38" t="s">
        <v>2376</v>
      </c>
      <c r="J1957" s="38" t="s">
        <v>132</v>
      </c>
      <c r="K1957" s="38" t="s">
        <v>126</v>
      </c>
      <c r="L1957" s="41">
        <v>46011.334027777775</v>
      </c>
      <c r="M1957" s="38" t="s">
        <v>123</v>
      </c>
      <c r="N1957" s="41">
        <v>46011.37569444445</v>
      </c>
      <c r="O1957" s="38" t="s">
        <v>123</v>
      </c>
      <c r="P1957" s="38">
        <v>3600.0</v>
      </c>
      <c r="Q1957" s="39"/>
      <c r="R1957" s="39"/>
      <c r="S1957" s="39"/>
      <c r="T1957" s="39"/>
      <c r="U1957" s="39"/>
    </row>
    <row r="1958">
      <c r="A1958" s="40">
        <f t="shared" si="1"/>
        <v>46006</v>
      </c>
      <c r="B1958" s="37" t="str">
        <f t="array" ref="B1958">iferror(xlookup($I1958, 'IMPORT VHC Report'!$E:$E, 'IMPORT VHC Report'!$A:$C), )</f>
        <v/>
      </c>
      <c r="C1958" s="37"/>
      <c r="D1958" s="37"/>
      <c r="E1958" s="38" t="s">
        <v>2424</v>
      </c>
      <c r="F1958" s="38" t="s">
        <v>2374</v>
      </c>
      <c r="G1958" s="38">
        <v>5.202378938383E12</v>
      </c>
      <c r="H1958" s="38" t="s">
        <v>2375</v>
      </c>
      <c r="I1958" s="38" t="s">
        <v>2376</v>
      </c>
      <c r="J1958" s="38" t="s">
        <v>985</v>
      </c>
      <c r="K1958" s="38" t="s">
        <v>63</v>
      </c>
      <c r="L1958" s="41">
        <v>46011.334027777775</v>
      </c>
      <c r="M1958" s="38" t="s">
        <v>123</v>
      </c>
      <c r="N1958" s="41">
        <v>46011.583333333336</v>
      </c>
      <c r="O1958" s="38" t="s">
        <v>123</v>
      </c>
      <c r="P1958" s="38">
        <v>21540.0</v>
      </c>
      <c r="Q1958" s="39"/>
      <c r="R1958" s="39"/>
      <c r="S1958" s="39"/>
      <c r="T1958" s="39"/>
      <c r="U1958" s="39"/>
    </row>
    <row r="1959">
      <c r="A1959" s="40">
        <f t="shared" si="1"/>
        <v>46006</v>
      </c>
      <c r="B1959" s="37" t="str">
        <f t="array" ref="B1959">iferror(xlookup($I1959, 'IMPORT VHC Report'!$E:$E, 'IMPORT VHC Report'!$A:$C), )</f>
        <v/>
      </c>
      <c r="C1959" s="37"/>
      <c r="D1959" s="37"/>
      <c r="E1959" s="38" t="s">
        <v>2425</v>
      </c>
      <c r="F1959" s="38" t="s">
        <v>2374</v>
      </c>
      <c r="G1959" s="38">
        <v>5.202378938383E12</v>
      </c>
      <c r="H1959" s="38" t="s">
        <v>2375</v>
      </c>
      <c r="I1959" s="38" t="s">
        <v>2376</v>
      </c>
      <c r="J1959" s="38" t="s">
        <v>134</v>
      </c>
      <c r="K1959" s="38" t="s">
        <v>126</v>
      </c>
      <c r="L1959" s="41">
        <v>46011.37569444445</v>
      </c>
      <c r="M1959" s="38" t="s">
        <v>123</v>
      </c>
      <c r="N1959" s="41">
        <v>46011.396527777775</v>
      </c>
      <c r="O1959" s="38" t="s">
        <v>123</v>
      </c>
      <c r="P1959" s="38">
        <v>1800.0</v>
      </c>
      <c r="Q1959" s="39"/>
      <c r="R1959" s="39"/>
      <c r="S1959" s="39"/>
      <c r="T1959" s="39"/>
      <c r="U1959" s="39"/>
    </row>
    <row r="1960">
      <c r="A1960" s="40">
        <f t="shared" si="1"/>
        <v>46006</v>
      </c>
      <c r="B1960" s="37" t="str">
        <f t="array" ref="B1960">iferror(xlookup($I1960, 'IMPORT VHC Report'!$E:$E, 'IMPORT VHC Report'!$A:$C), )</f>
        <v/>
      </c>
      <c r="C1960" s="37"/>
      <c r="D1960" s="37"/>
      <c r="E1960" s="38" t="s">
        <v>2426</v>
      </c>
      <c r="F1960" s="38" t="s">
        <v>2374</v>
      </c>
      <c r="G1960" s="38">
        <v>5.202378938383E12</v>
      </c>
      <c r="H1960" s="38" t="s">
        <v>2375</v>
      </c>
      <c r="I1960" s="38" t="s">
        <v>2376</v>
      </c>
      <c r="J1960" s="38" t="s">
        <v>125</v>
      </c>
      <c r="K1960" s="38" t="s">
        <v>126</v>
      </c>
      <c r="L1960" s="41">
        <v>46011.44861111111</v>
      </c>
      <c r="M1960" s="38" t="s">
        <v>123</v>
      </c>
      <c r="N1960" s="41">
        <v>46011.47222222222</v>
      </c>
      <c r="O1960" s="38" t="s">
        <v>123</v>
      </c>
      <c r="P1960" s="38">
        <v>2040.0</v>
      </c>
      <c r="Q1960" s="39"/>
      <c r="R1960" s="39"/>
      <c r="S1960" s="39"/>
      <c r="T1960" s="39"/>
      <c r="U1960" s="39"/>
    </row>
    <row r="1961">
      <c r="A1961" s="40">
        <f t="shared" si="1"/>
        <v>46006</v>
      </c>
      <c r="B1961" s="37" t="str">
        <f t="array" ref="B1961">iferror(xlookup($I1961, 'IMPORT VHC Report'!$E:$E, 'IMPORT VHC Report'!$A:$C), )</f>
        <v/>
      </c>
      <c r="C1961" s="37"/>
      <c r="D1961" s="37"/>
      <c r="E1961" s="38" t="s">
        <v>2427</v>
      </c>
      <c r="F1961" s="38" t="s">
        <v>2374</v>
      </c>
      <c r="G1961" s="38">
        <v>5.202378938383E12</v>
      </c>
      <c r="H1961" s="38" t="s">
        <v>2375</v>
      </c>
      <c r="I1961" s="38" t="s">
        <v>2376</v>
      </c>
      <c r="J1961" s="38" t="s">
        <v>125</v>
      </c>
      <c r="K1961" s="38" t="s">
        <v>126</v>
      </c>
      <c r="L1961" s="41">
        <v>46011.481944444444</v>
      </c>
      <c r="M1961" s="38" t="s">
        <v>123</v>
      </c>
      <c r="N1961" s="41">
        <v>46011.49930555555</v>
      </c>
      <c r="O1961" s="38" t="s">
        <v>123</v>
      </c>
      <c r="P1961" s="38">
        <v>1500.0</v>
      </c>
      <c r="Q1961" s="39"/>
      <c r="R1961" s="39"/>
      <c r="S1961" s="39"/>
      <c r="T1961" s="39"/>
      <c r="U1961" s="39"/>
    </row>
    <row r="1962">
      <c r="A1962" s="40">
        <f t="shared" si="1"/>
        <v>46006</v>
      </c>
      <c r="B1962" s="37" t="str">
        <f t="array" ref="B1962">iferror(xlookup($I1962, 'IMPORT VHC Report'!$E:$E, 'IMPORT VHC Report'!$A:$C), )</f>
        <v/>
      </c>
      <c r="C1962" s="37"/>
      <c r="D1962" s="37"/>
      <c r="E1962" s="38" t="s">
        <v>2428</v>
      </c>
      <c r="F1962" s="38" t="s">
        <v>2374</v>
      </c>
      <c r="G1962" s="38">
        <v>5.202378938383E12</v>
      </c>
      <c r="H1962" s="38" t="s">
        <v>2375</v>
      </c>
      <c r="I1962" s="38" t="s">
        <v>2376</v>
      </c>
      <c r="J1962" s="38" t="s">
        <v>125</v>
      </c>
      <c r="K1962" s="38" t="s">
        <v>126</v>
      </c>
      <c r="L1962" s="41">
        <v>46011.53194444445</v>
      </c>
      <c r="M1962" s="38" t="s">
        <v>123</v>
      </c>
      <c r="N1962" s="41">
        <v>46011.5375</v>
      </c>
      <c r="O1962" s="38" t="s">
        <v>123</v>
      </c>
      <c r="P1962" s="38">
        <v>480.0</v>
      </c>
      <c r="Q1962" s="39"/>
      <c r="R1962" s="39"/>
      <c r="S1962" s="39"/>
      <c r="T1962" s="39"/>
      <c r="U1962" s="39"/>
    </row>
    <row r="1963">
      <c r="A1963" s="40">
        <f t="shared" si="1"/>
        <v>46006</v>
      </c>
      <c r="B1963" s="37" t="str">
        <f t="array" ref="B1963">iferror(xlookup($I1963, 'IMPORT VHC Report'!$E:$E, 'IMPORT VHC Report'!$A:$C), )</f>
        <v/>
      </c>
      <c r="C1963" s="37"/>
      <c r="D1963" s="37"/>
      <c r="E1963" s="38" t="s">
        <v>2429</v>
      </c>
      <c r="F1963" s="38" t="s">
        <v>2374</v>
      </c>
      <c r="G1963" s="38">
        <v>5.202378938383E12</v>
      </c>
      <c r="H1963" s="38" t="s">
        <v>2375</v>
      </c>
      <c r="I1963" s="38" t="s">
        <v>2376</v>
      </c>
      <c r="J1963" s="38" t="s">
        <v>125</v>
      </c>
      <c r="K1963" s="38" t="s">
        <v>126</v>
      </c>
      <c r="L1963" s="41">
        <v>46011.55138888889</v>
      </c>
      <c r="M1963" s="38" t="s">
        <v>123</v>
      </c>
      <c r="N1963" s="41">
        <v>46011.55625</v>
      </c>
      <c r="O1963" s="38" t="s">
        <v>123</v>
      </c>
      <c r="P1963" s="38">
        <v>420.0</v>
      </c>
      <c r="Q1963" s="39"/>
      <c r="R1963" s="39"/>
      <c r="S1963" s="39"/>
      <c r="T1963" s="39"/>
      <c r="U1963" s="39"/>
    </row>
    <row r="1964">
      <c r="A1964" s="40">
        <f t="shared" si="1"/>
        <v>46006</v>
      </c>
      <c r="B1964" s="37" t="str">
        <f t="array" ref="B1964">iferror(xlookup($I1964, 'IMPORT VHC Report'!$E:$E, 'IMPORT VHC Report'!$A:$C), )</f>
        <v/>
      </c>
      <c r="C1964" s="37"/>
      <c r="D1964" s="37"/>
      <c r="E1964" s="38" t="s">
        <v>2430</v>
      </c>
      <c r="F1964" s="38" t="s">
        <v>2374</v>
      </c>
      <c r="G1964" s="38">
        <v>5.202378938383E12</v>
      </c>
      <c r="H1964" s="38" t="s">
        <v>2375</v>
      </c>
      <c r="I1964" s="38" t="s">
        <v>2376</v>
      </c>
      <c r="J1964" s="38" t="s">
        <v>4</v>
      </c>
      <c r="K1964" s="38" t="s">
        <v>126</v>
      </c>
      <c r="L1964" s="41">
        <v>46012.208333333336</v>
      </c>
      <c r="M1964" s="38" t="s">
        <v>123</v>
      </c>
      <c r="N1964" s="41">
        <v>46012.229166666664</v>
      </c>
      <c r="O1964" s="38" t="s">
        <v>123</v>
      </c>
      <c r="P1964" s="38">
        <v>1800.0</v>
      </c>
      <c r="Q1964" s="39"/>
      <c r="R1964" s="39"/>
      <c r="S1964" s="39"/>
      <c r="T1964" s="39"/>
      <c r="U1964" s="39"/>
    </row>
    <row r="1965">
      <c r="A1965" s="40">
        <f t="shared" si="1"/>
        <v>46006</v>
      </c>
      <c r="B1965" s="37" t="str">
        <f t="array" ref="B1965">iferror(xlookup($I1965, 'IMPORT VHC Report'!$E:$E, 'IMPORT VHC Report'!$A:$C), )</f>
        <v/>
      </c>
      <c r="C1965" s="37"/>
      <c r="D1965" s="37"/>
      <c r="E1965" s="38" t="s">
        <v>2431</v>
      </c>
      <c r="F1965" s="38" t="s">
        <v>2374</v>
      </c>
      <c r="G1965" s="38">
        <v>5.202378938383E12</v>
      </c>
      <c r="H1965" s="38" t="s">
        <v>2375</v>
      </c>
      <c r="I1965" s="38" t="s">
        <v>2376</v>
      </c>
      <c r="J1965" s="38" t="s">
        <v>530</v>
      </c>
      <c r="K1965" s="38" t="s">
        <v>63</v>
      </c>
      <c r="L1965" s="41">
        <v>46012.208333333336</v>
      </c>
      <c r="M1965" s="38" t="s">
        <v>123</v>
      </c>
      <c r="N1965" s="41">
        <v>46012.583333333336</v>
      </c>
      <c r="O1965" s="38" t="s">
        <v>123</v>
      </c>
      <c r="P1965" s="38">
        <v>32400.0</v>
      </c>
      <c r="Q1965" s="39"/>
      <c r="R1965" s="39"/>
      <c r="S1965" s="39"/>
      <c r="T1965" s="39"/>
      <c r="U1965" s="39"/>
    </row>
    <row r="1966">
      <c r="A1966" s="40">
        <f t="shared" si="1"/>
        <v>46006</v>
      </c>
      <c r="B1966" s="37" t="str">
        <f t="array" ref="B1966">iferror(xlookup($I1966, 'IMPORT VHC Report'!$E:$E, 'IMPORT VHC Report'!$A:$C), )</f>
        <v/>
      </c>
      <c r="C1966" s="37"/>
      <c r="D1966" s="37"/>
      <c r="E1966" s="38" t="s">
        <v>2432</v>
      </c>
      <c r="F1966" s="38" t="s">
        <v>2374</v>
      </c>
      <c r="G1966" s="38">
        <v>5.202378938383E12</v>
      </c>
      <c r="H1966" s="38" t="s">
        <v>2375</v>
      </c>
      <c r="I1966" s="38" t="s">
        <v>2376</v>
      </c>
      <c r="J1966" s="38" t="s">
        <v>125</v>
      </c>
      <c r="K1966" s="38" t="s">
        <v>126</v>
      </c>
      <c r="L1966" s="41">
        <v>46012.23472222222</v>
      </c>
      <c r="M1966" s="38" t="s">
        <v>123</v>
      </c>
      <c r="N1966" s="41">
        <v>46012.24444444444</v>
      </c>
      <c r="O1966" s="38" t="s">
        <v>123</v>
      </c>
      <c r="P1966" s="38">
        <v>840.0</v>
      </c>
      <c r="Q1966" s="39"/>
      <c r="R1966" s="39"/>
      <c r="S1966" s="39"/>
      <c r="T1966" s="39"/>
      <c r="U1966" s="39"/>
    </row>
    <row r="1967">
      <c r="A1967" s="40">
        <f t="shared" si="1"/>
        <v>46006</v>
      </c>
      <c r="B1967" s="37" t="str">
        <f t="array" ref="B1967">iferror(xlookup($I1967, 'IMPORT VHC Report'!$E:$E, 'IMPORT VHC Report'!$A:$C), )</f>
        <v/>
      </c>
      <c r="C1967" s="37"/>
      <c r="D1967" s="37"/>
      <c r="E1967" s="38" t="s">
        <v>2433</v>
      </c>
      <c r="F1967" s="38" t="s">
        <v>2374</v>
      </c>
      <c r="G1967" s="38">
        <v>5.202378938383E12</v>
      </c>
      <c r="H1967" s="38" t="s">
        <v>2375</v>
      </c>
      <c r="I1967" s="38" t="s">
        <v>2376</v>
      </c>
      <c r="J1967" s="38" t="s">
        <v>125</v>
      </c>
      <c r="K1967" s="38" t="s">
        <v>126</v>
      </c>
      <c r="L1967" s="41">
        <v>46012.32013888889</v>
      </c>
      <c r="M1967" s="38" t="s">
        <v>123</v>
      </c>
      <c r="N1967" s="41">
        <v>46012.334027777775</v>
      </c>
      <c r="O1967" s="38" t="s">
        <v>123</v>
      </c>
      <c r="P1967" s="38">
        <v>1200.0</v>
      </c>
      <c r="Q1967" s="39"/>
      <c r="R1967" s="39"/>
      <c r="S1967" s="39"/>
      <c r="T1967" s="39"/>
      <c r="U1967" s="39"/>
    </row>
    <row r="1968">
      <c r="A1968" s="40">
        <f t="shared" si="1"/>
        <v>46006</v>
      </c>
      <c r="B1968" s="37" t="str">
        <f t="array" ref="B1968">iferror(xlookup($I1968, 'IMPORT VHC Report'!$E:$E, 'IMPORT VHC Report'!$A:$C), )</f>
        <v/>
      </c>
      <c r="C1968" s="37"/>
      <c r="D1968" s="37"/>
      <c r="E1968" s="38" t="s">
        <v>2434</v>
      </c>
      <c r="F1968" s="38" t="s">
        <v>2374</v>
      </c>
      <c r="G1968" s="38">
        <v>5.202378938383E12</v>
      </c>
      <c r="H1968" s="38" t="s">
        <v>2375</v>
      </c>
      <c r="I1968" s="38" t="s">
        <v>2376</v>
      </c>
      <c r="J1968" s="38" t="s">
        <v>125</v>
      </c>
      <c r="K1968" s="38" t="s">
        <v>126</v>
      </c>
      <c r="L1968" s="41">
        <v>46012.36666666667</v>
      </c>
      <c r="M1968" s="38" t="s">
        <v>123</v>
      </c>
      <c r="N1968" s="41">
        <v>46012.37986111111</v>
      </c>
      <c r="O1968" s="38" t="s">
        <v>123</v>
      </c>
      <c r="P1968" s="38">
        <v>1140.0</v>
      </c>
      <c r="Q1968" s="39"/>
      <c r="R1968" s="39"/>
      <c r="S1968" s="39"/>
      <c r="T1968" s="39"/>
      <c r="U1968" s="39"/>
    </row>
    <row r="1969">
      <c r="A1969" s="40">
        <f t="shared" si="1"/>
        <v>46006</v>
      </c>
      <c r="B1969" s="37" t="str">
        <f t="array" ref="B1969">iferror(xlookup($I1969, 'IMPORT VHC Report'!$E:$E, 'IMPORT VHC Report'!$A:$C), )</f>
        <v/>
      </c>
      <c r="C1969" s="37"/>
      <c r="D1969" s="37"/>
      <c r="E1969" s="38" t="s">
        <v>2435</v>
      </c>
      <c r="F1969" s="38" t="s">
        <v>2374</v>
      </c>
      <c r="G1969" s="38">
        <v>5.202378938383E12</v>
      </c>
      <c r="H1969" s="38" t="s">
        <v>2375</v>
      </c>
      <c r="I1969" s="38" t="s">
        <v>2376</v>
      </c>
      <c r="J1969" s="38" t="s">
        <v>125</v>
      </c>
      <c r="K1969" s="38" t="s">
        <v>126</v>
      </c>
      <c r="L1969" s="41">
        <v>46012.39791666667</v>
      </c>
      <c r="M1969" s="38" t="s">
        <v>123</v>
      </c>
      <c r="N1969" s="41">
        <v>46012.43125</v>
      </c>
      <c r="O1969" s="38" t="s">
        <v>123</v>
      </c>
      <c r="P1969" s="38">
        <v>2880.0</v>
      </c>
      <c r="Q1969" s="39"/>
      <c r="R1969" s="39"/>
      <c r="S1969" s="39"/>
      <c r="T1969" s="39"/>
      <c r="U1969" s="39"/>
    </row>
    <row r="1970">
      <c r="A1970" s="40">
        <f t="shared" si="1"/>
        <v>46006</v>
      </c>
      <c r="B1970" s="37" t="str">
        <f t="array" ref="B1970">iferror(xlookup($I1970, 'IMPORT VHC Report'!$E:$E, 'IMPORT VHC Report'!$A:$C), )</f>
        <v/>
      </c>
      <c r="C1970" s="37"/>
      <c r="D1970" s="37"/>
      <c r="E1970" s="38" t="s">
        <v>2436</v>
      </c>
      <c r="F1970" s="38" t="s">
        <v>2374</v>
      </c>
      <c r="G1970" s="38">
        <v>5.202378938383E12</v>
      </c>
      <c r="H1970" s="38" t="s">
        <v>2375</v>
      </c>
      <c r="I1970" s="38" t="s">
        <v>2376</v>
      </c>
      <c r="J1970" s="38" t="s">
        <v>125</v>
      </c>
      <c r="K1970" s="38" t="s">
        <v>126</v>
      </c>
      <c r="L1970" s="41">
        <v>46012.43819444445</v>
      </c>
      <c r="M1970" s="38" t="s">
        <v>123</v>
      </c>
      <c r="N1970" s="41">
        <v>46012.46319444444</v>
      </c>
      <c r="O1970" s="38" t="s">
        <v>123</v>
      </c>
      <c r="P1970" s="38">
        <v>2160.0</v>
      </c>
      <c r="Q1970" s="39"/>
      <c r="R1970" s="39"/>
      <c r="S1970" s="39"/>
      <c r="T1970" s="39"/>
      <c r="U1970" s="39"/>
    </row>
    <row r="1971">
      <c r="A1971" s="40">
        <f t="shared" si="1"/>
        <v>46006</v>
      </c>
      <c r="B1971" s="37" t="str">
        <f t="array" ref="B1971">iferror(xlookup($I1971, 'IMPORT VHC Report'!$E:$E, 'IMPORT VHC Report'!$A:$C), )</f>
        <v/>
      </c>
      <c r="C1971" s="37"/>
      <c r="D1971" s="37"/>
      <c r="E1971" s="38" t="s">
        <v>2437</v>
      </c>
      <c r="F1971" s="38" t="s">
        <v>2374</v>
      </c>
      <c r="G1971" s="38">
        <v>5.202378938383E12</v>
      </c>
      <c r="H1971" s="38" t="s">
        <v>2375</v>
      </c>
      <c r="I1971" s="38" t="s">
        <v>2376</v>
      </c>
      <c r="J1971" s="38" t="s">
        <v>125</v>
      </c>
      <c r="K1971" s="38" t="s">
        <v>126</v>
      </c>
      <c r="L1971" s="41">
        <v>46012.48055555556</v>
      </c>
      <c r="M1971" s="38" t="s">
        <v>123</v>
      </c>
      <c r="N1971" s="41">
        <v>46012.493055555555</v>
      </c>
      <c r="O1971" s="38" t="s">
        <v>123</v>
      </c>
      <c r="P1971" s="38">
        <v>1080.0</v>
      </c>
      <c r="Q1971" s="39"/>
      <c r="R1971" s="39"/>
      <c r="S1971" s="39"/>
      <c r="T1971" s="39"/>
      <c r="U1971" s="39"/>
    </row>
    <row r="1972">
      <c r="A1972" s="40">
        <f t="shared" si="1"/>
        <v>46006</v>
      </c>
      <c r="B1972" s="37" t="str">
        <f t="array" ref="B1972">iferror(xlookup($I1972, 'IMPORT VHC Report'!$E:$E, 'IMPORT VHC Report'!$A:$C), )</f>
        <v/>
      </c>
      <c r="C1972" s="37"/>
      <c r="D1972" s="37"/>
      <c r="E1972" s="38" t="s">
        <v>2438</v>
      </c>
      <c r="F1972" s="38" t="s">
        <v>2374</v>
      </c>
      <c r="G1972" s="38">
        <v>5.202378938383E12</v>
      </c>
      <c r="H1972" s="38" t="s">
        <v>2375</v>
      </c>
      <c r="I1972" s="38" t="s">
        <v>2376</v>
      </c>
      <c r="J1972" s="38" t="s">
        <v>125</v>
      </c>
      <c r="K1972" s="38" t="s">
        <v>126</v>
      </c>
      <c r="L1972" s="41">
        <v>46012.49930555555</v>
      </c>
      <c r="M1972" s="38" t="s">
        <v>123</v>
      </c>
      <c r="N1972" s="41">
        <v>46012.50277777778</v>
      </c>
      <c r="O1972" s="38" t="s">
        <v>123</v>
      </c>
      <c r="P1972" s="38">
        <v>300.0</v>
      </c>
      <c r="Q1972" s="39"/>
      <c r="R1972" s="39"/>
      <c r="S1972" s="39"/>
      <c r="T1972" s="39"/>
      <c r="U1972" s="39"/>
    </row>
    <row r="1973">
      <c r="A1973" s="40">
        <f t="shared" si="1"/>
        <v>46006</v>
      </c>
      <c r="B1973" s="37" t="str">
        <f t="array" ref="B1973">iferror(xlookup($I1973, 'IMPORT VHC Report'!$E:$E, 'IMPORT VHC Report'!$A:$C), )</f>
        <v/>
      </c>
      <c r="C1973" s="37"/>
      <c r="D1973" s="37"/>
      <c r="E1973" s="38" t="s">
        <v>2439</v>
      </c>
      <c r="F1973" s="38" t="s">
        <v>2374</v>
      </c>
      <c r="G1973" s="38">
        <v>5.202378938383E12</v>
      </c>
      <c r="H1973" s="38" t="s">
        <v>2375</v>
      </c>
      <c r="I1973" s="38" t="s">
        <v>2376</v>
      </c>
      <c r="J1973" s="38" t="s">
        <v>125</v>
      </c>
      <c r="K1973" s="38" t="s">
        <v>126</v>
      </c>
      <c r="L1973" s="41">
        <v>46012.50347222222</v>
      </c>
      <c r="M1973" s="38" t="s">
        <v>123</v>
      </c>
      <c r="N1973" s="41">
        <v>46012.51527777778</v>
      </c>
      <c r="O1973" s="38" t="s">
        <v>123</v>
      </c>
      <c r="P1973" s="38">
        <v>1020.0</v>
      </c>
      <c r="Q1973" s="39"/>
      <c r="R1973" s="39"/>
      <c r="S1973" s="39"/>
      <c r="T1973" s="39"/>
      <c r="U1973" s="39"/>
    </row>
    <row r="1974">
      <c r="A1974" s="40">
        <f t="shared" si="1"/>
        <v>46006</v>
      </c>
      <c r="B1974" s="37" t="str">
        <f t="array" ref="B1974">iferror(xlookup($I1974, 'IMPORT VHC Report'!$E:$E, 'IMPORT VHC Report'!$A:$C), )</f>
        <v/>
      </c>
      <c r="C1974" s="37"/>
      <c r="D1974" s="37"/>
      <c r="E1974" s="38" t="s">
        <v>2440</v>
      </c>
      <c r="F1974" s="38" t="s">
        <v>2374</v>
      </c>
      <c r="G1974" s="38">
        <v>5.202378938383E12</v>
      </c>
      <c r="H1974" s="38" t="s">
        <v>2375</v>
      </c>
      <c r="I1974" s="38" t="s">
        <v>2376</v>
      </c>
      <c r="J1974" s="38" t="s">
        <v>132</v>
      </c>
      <c r="K1974" s="38" t="s">
        <v>126</v>
      </c>
      <c r="L1974" s="41">
        <v>46012.520833333336</v>
      </c>
      <c r="M1974" s="38" t="s">
        <v>123</v>
      </c>
      <c r="N1974" s="41">
        <v>46012.5625</v>
      </c>
      <c r="O1974" s="38" t="s">
        <v>123</v>
      </c>
      <c r="P1974" s="38">
        <v>3600.0</v>
      </c>
      <c r="Q1974" s="39"/>
      <c r="R1974" s="39"/>
      <c r="S1974" s="39"/>
      <c r="T1974" s="39"/>
      <c r="U1974" s="39"/>
    </row>
    <row r="1975">
      <c r="A1975" s="40">
        <f t="shared" si="1"/>
        <v>46006</v>
      </c>
      <c r="B1975" s="37" t="str">
        <f t="array" ref="B1975">iferror(xlookup($I1975, 'IMPORT VHC Report'!$E:$E, 'IMPORT VHC Report'!$A:$C), )</f>
        <v/>
      </c>
      <c r="C1975" s="37"/>
      <c r="D1975" s="37"/>
      <c r="E1975" s="38" t="s">
        <v>2441</v>
      </c>
      <c r="F1975" s="38" t="s">
        <v>2374</v>
      </c>
      <c r="G1975" s="38">
        <v>5.202378938383E12</v>
      </c>
      <c r="H1975" s="38" t="s">
        <v>2375</v>
      </c>
      <c r="I1975" s="38" t="s">
        <v>2376</v>
      </c>
      <c r="J1975" s="38" t="s">
        <v>134</v>
      </c>
      <c r="K1975" s="38" t="s">
        <v>126</v>
      </c>
      <c r="L1975" s="41">
        <v>46012.5625</v>
      </c>
      <c r="M1975" s="38" t="s">
        <v>123</v>
      </c>
      <c r="N1975" s="41">
        <v>46012.583333333336</v>
      </c>
      <c r="O1975" s="38" t="s">
        <v>123</v>
      </c>
      <c r="P1975" s="38">
        <v>1800.0</v>
      </c>
      <c r="Q1975" s="39"/>
      <c r="R1975" s="39"/>
      <c r="S1975" s="39"/>
      <c r="T1975" s="39"/>
      <c r="U1975" s="39"/>
    </row>
    <row r="1976">
      <c r="A1976" s="40">
        <f t="shared" si="1"/>
        <v>46006</v>
      </c>
      <c r="B1976" s="37" t="str">
        <f t="array" ref="B1976">iferror(xlookup($I1976, 'IMPORT VHC Report'!$E:$E, 'IMPORT VHC Report'!$A:$C), )</f>
        <v/>
      </c>
      <c r="C1976" s="37"/>
      <c r="D1976" s="37"/>
      <c r="E1976" s="38" t="s">
        <v>2442</v>
      </c>
      <c r="F1976" s="38" t="s">
        <v>2443</v>
      </c>
      <c r="G1976" s="38">
        <v>3.61731348455E11</v>
      </c>
      <c r="H1976" s="38" t="s">
        <v>2444</v>
      </c>
      <c r="I1976" s="38" t="s">
        <v>2445</v>
      </c>
      <c r="J1976" s="38" t="s">
        <v>4</v>
      </c>
      <c r="K1976" s="38" t="s">
        <v>126</v>
      </c>
      <c r="L1976" s="41">
        <v>46006.208333333336</v>
      </c>
      <c r="M1976" s="38" t="s">
        <v>123</v>
      </c>
      <c r="N1976" s="41">
        <v>46006.229166666664</v>
      </c>
      <c r="O1976" s="38" t="s">
        <v>123</v>
      </c>
      <c r="P1976" s="38">
        <v>1800.0</v>
      </c>
      <c r="Q1976" s="39"/>
      <c r="R1976" s="39"/>
      <c r="S1976" s="39"/>
      <c r="T1976" s="39"/>
      <c r="U1976" s="39"/>
    </row>
    <row r="1977">
      <c r="A1977" s="40">
        <f t="shared" si="1"/>
        <v>46006</v>
      </c>
      <c r="B1977" s="37" t="str">
        <f t="array" ref="B1977">iferror(xlookup($I1977, 'IMPORT VHC Report'!$E:$E, 'IMPORT VHC Report'!$A:$C), )</f>
        <v/>
      </c>
      <c r="C1977" s="37"/>
      <c r="D1977" s="37"/>
      <c r="E1977" s="38" t="s">
        <v>2446</v>
      </c>
      <c r="F1977" s="38" t="s">
        <v>2443</v>
      </c>
      <c r="G1977" s="38">
        <v>3.61731348455E11</v>
      </c>
      <c r="H1977" s="38" t="s">
        <v>2444</v>
      </c>
      <c r="I1977" s="38" t="s">
        <v>2445</v>
      </c>
      <c r="J1977" s="38" t="s">
        <v>530</v>
      </c>
      <c r="K1977" s="38" t="s">
        <v>63</v>
      </c>
      <c r="L1977" s="41">
        <v>46006.208333333336</v>
      </c>
      <c r="M1977" s="38" t="s">
        <v>123</v>
      </c>
      <c r="N1977" s="41">
        <v>46006.583333333336</v>
      </c>
      <c r="O1977" s="38" t="s">
        <v>123</v>
      </c>
      <c r="P1977" s="38">
        <v>32400.0</v>
      </c>
      <c r="Q1977" s="39"/>
      <c r="R1977" s="39"/>
      <c r="S1977" s="39"/>
      <c r="T1977" s="39"/>
      <c r="U1977" s="39"/>
    </row>
    <row r="1978">
      <c r="A1978" s="40">
        <f t="shared" si="1"/>
        <v>46006</v>
      </c>
      <c r="B1978" s="37" t="str">
        <f t="array" ref="B1978">iferror(xlookup($I1978, 'IMPORT VHC Report'!$E:$E, 'IMPORT VHC Report'!$A:$C), )</f>
        <v/>
      </c>
      <c r="C1978" s="37"/>
      <c r="D1978" s="37"/>
      <c r="E1978" s="38" t="s">
        <v>2447</v>
      </c>
      <c r="F1978" s="38" t="s">
        <v>2443</v>
      </c>
      <c r="G1978" s="38">
        <v>3.61731348455E11</v>
      </c>
      <c r="H1978" s="38" t="s">
        <v>2444</v>
      </c>
      <c r="I1978" s="38" t="s">
        <v>2445</v>
      </c>
      <c r="J1978" s="38" t="s">
        <v>132</v>
      </c>
      <c r="K1978" s="38" t="s">
        <v>126</v>
      </c>
      <c r="L1978" s="41">
        <v>46006.3125</v>
      </c>
      <c r="M1978" s="38" t="s">
        <v>123</v>
      </c>
      <c r="N1978" s="41">
        <v>46006.354166666664</v>
      </c>
      <c r="O1978" s="38" t="s">
        <v>123</v>
      </c>
      <c r="P1978" s="38">
        <v>3600.0</v>
      </c>
      <c r="Q1978" s="39"/>
      <c r="R1978" s="39"/>
      <c r="S1978" s="39"/>
      <c r="T1978" s="39"/>
      <c r="U1978" s="39"/>
    </row>
    <row r="1979">
      <c r="A1979" s="40">
        <f t="shared" si="1"/>
        <v>46006</v>
      </c>
      <c r="B1979" s="37" t="str">
        <f t="array" ref="B1979">iferror(xlookup($I1979, 'IMPORT VHC Report'!$E:$E, 'IMPORT VHC Report'!$A:$C), )</f>
        <v/>
      </c>
      <c r="C1979" s="37"/>
      <c r="D1979" s="37"/>
      <c r="E1979" s="38" t="s">
        <v>2448</v>
      </c>
      <c r="F1979" s="38" t="s">
        <v>2443</v>
      </c>
      <c r="G1979" s="38">
        <v>3.61731348455E11</v>
      </c>
      <c r="H1979" s="38" t="s">
        <v>2444</v>
      </c>
      <c r="I1979" s="38" t="s">
        <v>2445</v>
      </c>
      <c r="J1979" s="38" t="s">
        <v>134</v>
      </c>
      <c r="K1979" s="38" t="s">
        <v>126</v>
      </c>
      <c r="L1979" s="41">
        <v>46006.46875</v>
      </c>
      <c r="M1979" s="38" t="s">
        <v>123</v>
      </c>
      <c r="N1979" s="41">
        <v>46006.489583333336</v>
      </c>
      <c r="O1979" s="38" t="s">
        <v>123</v>
      </c>
      <c r="P1979" s="38">
        <v>1800.0</v>
      </c>
      <c r="Q1979" s="39"/>
      <c r="R1979" s="39"/>
      <c r="S1979" s="39"/>
      <c r="T1979" s="39"/>
      <c r="U1979" s="39"/>
    </row>
    <row r="1980">
      <c r="A1980" s="40">
        <f t="shared" si="1"/>
        <v>46006</v>
      </c>
      <c r="B1980" s="37" t="str">
        <f t="array" ref="B1980">iferror(xlookup($I1980, 'IMPORT VHC Report'!$E:$E, 'IMPORT VHC Report'!$A:$C), )</f>
        <v/>
      </c>
      <c r="C1980" s="37"/>
      <c r="D1980" s="37"/>
      <c r="E1980" s="38" t="s">
        <v>2449</v>
      </c>
      <c r="F1980" s="38" t="s">
        <v>2443</v>
      </c>
      <c r="G1980" s="38">
        <v>3.61731348455E11</v>
      </c>
      <c r="H1980" s="38" t="s">
        <v>2444</v>
      </c>
      <c r="I1980" s="38" t="s">
        <v>2445</v>
      </c>
      <c r="J1980" s="38" t="s">
        <v>4</v>
      </c>
      <c r="K1980" s="38" t="s">
        <v>126</v>
      </c>
      <c r="L1980" s="41">
        <v>46007.208333333336</v>
      </c>
      <c r="M1980" s="38" t="s">
        <v>123</v>
      </c>
      <c r="N1980" s="41">
        <v>46007.229166666664</v>
      </c>
      <c r="O1980" s="38" t="s">
        <v>123</v>
      </c>
      <c r="P1980" s="38">
        <v>1800.0</v>
      </c>
      <c r="Q1980" s="39"/>
      <c r="R1980" s="39"/>
      <c r="S1980" s="39"/>
      <c r="T1980" s="39"/>
      <c r="U1980" s="39"/>
    </row>
    <row r="1981">
      <c r="A1981" s="40">
        <f t="shared" si="1"/>
        <v>46006</v>
      </c>
      <c r="B1981" s="37" t="str">
        <f t="array" ref="B1981">iferror(xlookup($I1981, 'IMPORT VHC Report'!$E:$E, 'IMPORT VHC Report'!$A:$C), )</f>
        <v/>
      </c>
      <c r="C1981" s="37"/>
      <c r="D1981" s="37"/>
      <c r="E1981" s="38" t="s">
        <v>2450</v>
      </c>
      <c r="F1981" s="38" t="s">
        <v>2443</v>
      </c>
      <c r="G1981" s="38">
        <v>3.61731348455E11</v>
      </c>
      <c r="H1981" s="38" t="s">
        <v>2444</v>
      </c>
      <c r="I1981" s="38" t="s">
        <v>2445</v>
      </c>
      <c r="J1981" s="38" t="s">
        <v>530</v>
      </c>
      <c r="K1981" s="38" t="s">
        <v>63</v>
      </c>
      <c r="L1981" s="41">
        <v>46007.208333333336</v>
      </c>
      <c r="M1981" s="38" t="s">
        <v>123</v>
      </c>
      <c r="N1981" s="41">
        <v>46007.583333333336</v>
      </c>
      <c r="O1981" s="38" t="s">
        <v>123</v>
      </c>
      <c r="P1981" s="38">
        <v>32400.0</v>
      </c>
      <c r="Q1981" s="39"/>
      <c r="R1981" s="39"/>
      <c r="S1981" s="39"/>
      <c r="T1981" s="39"/>
      <c r="U1981" s="39"/>
    </row>
    <row r="1982">
      <c r="A1982" s="40">
        <f t="shared" si="1"/>
        <v>46006</v>
      </c>
      <c r="B1982" s="37" t="str">
        <f t="array" ref="B1982">iferror(xlookup($I1982, 'IMPORT VHC Report'!$E:$E, 'IMPORT VHC Report'!$A:$C), )</f>
        <v/>
      </c>
      <c r="C1982" s="37"/>
      <c r="D1982" s="37"/>
      <c r="E1982" s="38" t="s">
        <v>2451</v>
      </c>
      <c r="F1982" s="38" t="s">
        <v>2443</v>
      </c>
      <c r="G1982" s="38">
        <v>3.61731348455E11</v>
      </c>
      <c r="H1982" s="38" t="s">
        <v>2444</v>
      </c>
      <c r="I1982" s="38" t="s">
        <v>2445</v>
      </c>
      <c r="J1982" s="38" t="s">
        <v>134</v>
      </c>
      <c r="K1982" s="38" t="s">
        <v>126</v>
      </c>
      <c r="L1982" s="41">
        <v>46007.333333333336</v>
      </c>
      <c r="M1982" s="38" t="s">
        <v>123</v>
      </c>
      <c r="N1982" s="41">
        <v>46007.354166666664</v>
      </c>
      <c r="O1982" s="38" t="s">
        <v>123</v>
      </c>
      <c r="P1982" s="38">
        <v>1800.0</v>
      </c>
      <c r="Q1982" s="39"/>
      <c r="R1982" s="39"/>
      <c r="S1982" s="39"/>
      <c r="T1982" s="39"/>
      <c r="U1982" s="39"/>
    </row>
    <row r="1983">
      <c r="A1983" s="40">
        <f t="shared" si="1"/>
        <v>46006</v>
      </c>
      <c r="B1983" s="37" t="str">
        <f t="array" ref="B1983">iferror(xlookup($I1983, 'IMPORT VHC Report'!$E:$E, 'IMPORT VHC Report'!$A:$C), )</f>
        <v/>
      </c>
      <c r="C1983" s="37"/>
      <c r="D1983" s="37"/>
      <c r="E1983" s="38" t="s">
        <v>2452</v>
      </c>
      <c r="F1983" s="38" t="s">
        <v>2443</v>
      </c>
      <c r="G1983" s="38">
        <v>3.61731348455E11</v>
      </c>
      <c r="H1983" s="38" t="s">
        <v>2444</v>
      </c>
      <c r="I1983" s="38" t="s">
        <v>2445</v>
      </c>
      <c r="J1983" s="38" t="s">
        <v>132</v>
      </c>
      <c r="K1983" s="38" t="s">
        <v>126</v>
      </c>
      <c r="L1983" s="41">
        <v>46007.458333333336</v>
      </c>
      <c r="M1983" s="38" t="s">
        <v>123</v>
      </c>
      <c r="N1983" s="41">
        <v>46007.5</v>
      </c>
      <c r="O1983" s="38" t="s">
        <v>123</v>
      </c>
      <c r="P1983" s="38">
        <v>3600.0</v>
      </c>
      <c r="Q1983" s="39"/>
      <c r="R1983" s="39"/>
      <c r="S1983" s="39"/>
      <c r="T1983" s="39"/>
      <c r="U1983" s="39"/>
    </row>
    <row r="1984">
      <c r="A1984" s="40">
        <f t="shared" si="1"/>
        <v>46006</v>
      </c>
      <c r="B1984" s="37" t="str">
        <f t="array" ref="B1984">iferror(xlookup($I1984, 'IMPORT VHC Report'!$E:$E, 'IMPORT VHC Report'!$A:$C), )</f>
        <v/>
      </c>
      <c r="C1984" s="37"/>
      <c r="D1984" s="37"/>
      <c r="E1984" s="38" t="s">
        <v>2453</v>
      </c>
      <c r="F1984" s="38" t="s">
        <v>2443</v>
      </c>
      <c r="G1984" s="38">
        <v>3.61731348455E11</v>
      </c>
      <c r="H1984" s="38" t="s">
        <v>2444</v>
      </c>
      <c r="I1984" s="38" t="s">
        <v>2445</v>
      </c>
      <c r="J1984" s="38" t="s">
        <v>4</v>
      </c>
      <c r="K1984" s="38" t="s">
        <v>126</v>
      </c>
      <c r="L1984" s="41">
        <v>46008.208333333336</v>
      </c>
      <c r="M1984" s="38" t="s">
        <v>123</v>
      </c>
      <c r="N1984" s="41">
        <v>46008.229166666664</v>
      </c>
      <c r="O1984" s="38" t="s">
        <v>123</v>
      </c>
      <c r="P1984" s="38">
        <v>1800.0</v>
      </c>
      <c r="Q1984" s="39"/>
      <c r="R1984" s="39"/>
      <c r="S1984" s="39"/>
      <c r="T1984" s="39"/>
      <c r="U1984" s="39"/>
    </row>
    <row r="1985">
      <c r="A1985" s="40">
        <f t="shared" si="1"/>
        <v>46006</v>
      </c>
      <c r="B1985" s="37" t="str">
        <f t="array" ref="B1985">iferror(xlookup($I1985, 'IMPORT VHC Report'!$E:$E, 'IMPORT VHC Report'!$A:$C), )</f>
        <v/>
      </c>
      <c r="C1985" s="37"/>
      <c r="D1985" s="37"/>
      <c r="E1985" s="38" t="s">
        <v>2454</v>
      </c>
      <c r="F1985" s="38" t="s">
        <v>2443</v>
      </c>
      <c r="G1985" s="38">
        <v>3.61731348455E11</v>
      </c>
      <c r="H1985" s="38" t="s">
        <v>2444</v>
      </c>
      <c r="I1985" s="38" t="s">
        <v>2445</v>
      </c>
      <c r="J1985" s="38" t="s">
        <v>530</v>
      </c>
      <c r="K1985" s="38" t="s">
        <v>63</v>
      </c>
      <c r="L1985" s="41">
        <v>46008.208333333336</v>
      </c>
      <c r="M1985" s="38" t="s">
        <v>123</v>
      </c>
      <c r="N1985" s="41">
        <v>46008.583333333336</v>
      </c>
      <c r="O1985" s="38" t="s">
        <v>123</v>
      </c>
      <c r="P1985" s="38">
        <v>32400.0</v>
      </c>
      <c r="Q1985" s="39"/>
      <c r="R1985" s="39"/>
      <c r="S1985" s="39"/>
      <c r="T1985" s="39"/>
      <c r="U1985" s="39"/>
    </row>
    <row r="1986">
      <c r="A1986" s="40">
        <f t="shared" si="1"/>
        <v>46006</v>
      </c>
      <c r="B1986" s="37" t="str">
        <f t="array" ref="B1986">iferror(xlookup($I1986, 'IMPORT VHC Report'!$E:$E, 'IMPORT VHC Report'!$A:$C), )</f>
        <v/>
      </c>
      <c r="C1986" s="37"/>
      <c r="D1986" s="37"/>
      <c r="E1986" s="38" t="s">
        <v>2455</v>
      </c>
      <c r="F1986" s="38" t="s">
        <v>2443</v>
      </c>
      <c r="G1986" s="38">
        <v>3.61731348455E11</v>
      </c>
      <c r="H1986" s="38" t="s">
        <v>2444</v>
      </c>
      <c r="I1986" s="38" t="s">
        <v>2445</v>
      </c>
      <c r="J1986" s="38" t="s">
        <v>134</v>
      </c>
      <c r="K1986" s="38" t="s">
        <v>126</v>
      </c>
      <c r="L1986" s="41">
        <v>46008.333333333336</v>
      </c>
      <c r="M1986" s="38" t="s">
        <v>123</v>
      </c>
      <c r="N1986" s="41">
        <v>46008.354166666664</v>
      </c>
      <c r="O1986" s="38" t="s">
        <v>123</v>
      </c>
      <c r="P1986" s="38">
        <v>1800.0</v>
      </c>
      <c r="Q1986" s="39"/>
      <c r="R1986" s="39"/>
      <c r="S1986" s="39"/>
      <c r="T1986" s="39"/>
      <c r="U1986" s="39"/>
    </row>
    <row r="1987">
      <c r="A1987" s="40">
        <f t="shared" si="1"/>
        <v>46006</v>
      </c>
      <c r="B1987" s="37" t="str">
        <f t="array" ref="B1987">iferror(xlookup($I1987, 'IMPORT VHC Report'!$E:$E, 'IMPORT VHC Report'!$A:$C), )</f>
        <v/>
      </c>
      <c r="C1987" s="37"/>
      <c r="D1987" s="37"/>
      <c r="E1987" s="38" t="s">
        <v>2456</v>
      </c>
      <c r="F1987" s="38" t="s">
        <v>2443</v>
      </c>
      <c r="G1987" s="38">
        <v>3.61731348455E11</v>
      </c>
      <c r="H1987" s="38" t="s">
        <v>2444</v>
      </c>
      <c r="I1987" s="38" t="s">
        <v>2445</v>
      </c>
      <c r="J1987" s="38" t="s">
        <v>4</v>
      </c>
      <c r="K1987" s="38" t="s">
        <v>126</v>
      </c>
      <c r="L1987" s="41">
        <v>46008.375</v>
      </c>
      <c r="M1987" s="38" t="s">
        <v>123</v>
      </c>
      <c r="N1987" s="41">
        <v>46008.416666666664</v>
      </c>
      <c r="O1987" s="38" t="s">
        <v>123</v>
      </c>
      <c r="P1987" s="38">
        <v>3600.0</v>
      </c>
      <c r="Q1987" s="39"/>
      <c r="R1987" s="39"/>
      <c r="S1987" s="38" t="s">
        <v>1209</v>
      </c>
      <c r="T1987" s="39"/>
      <c r="U1987" s="39"/>
    </row>
    <row r="1988">
      <c r="A1988" s="40">
        <f t="shared" si="1"/>
        <v>46006</v>
      </c>
      <c r="B1988" s="37" t="str">
        <f t="array" ref="B1988">iferror(xlookup($I1988, 'IMPORT VHC Report'!$E:$E, 'IMPORT VHC Report'!$A:$C), )</f>
        <v/>
      </c>
      <c r="C1988" s="37"/>
      <c r="D1988" s="37"/>
      <c r="E1988" s="38" t="s">
        <v>2457</v>
      </c>
      <c r="F1988" s="38" t="s">
        <v>2443</v>
      </c>
      <c r="G1988" s="38">
        <v>3.61731348455E11</v>
      </c>
      <c r="H1988" s="38" t="s">
        <v>2444</v>
      </c>
      <c r="I1988" s="38" t="s">
        <v>2445</v>
      </c>
      <c r="J1988" s="38" t="s">
        <v>4</v>
      </c>
      <c r="K1988" s="38" t="s">
        <v>126</v>
      </c>
      <c r="L1988" s="41">
        <v>46008.416666666664</v>
      </c>
      <c r="M1988" s="38" t="s">
        <v>123</v>
      </c>
      <c r="N1988" s="41">
        <v>46008.458333333336</v>
      </c>
      <c r="O1988" s="38" t="s">
        <v>123</v>
      </c>
      <c r="P1988" s="38">
        <v>3600.0</v>
      </c>
      <c r="Q1988" s="39"/>
      <c r="R1988" s="39"/>
      <c r="S1988" s="38" t="s">
        <v>858</v>
      </c>
      <c r="T1988" s="39"/>
      <c r="U1988" s="39"/>
    </row>
    <row r="1989">
      <c r="A1989" s="40">
        <f t="shared" si="1"/>
        <v>46006</v>
      </c>
      <c r="B1989" s="37" t="str">
        <f t="array" ref="B1989">iferror(xlookup($I1989, 'IMPORT VHC Report'!$E:$E, 'IMPORT VHC Report'!$A:$C), )</f>
        <v/>
      </c>
      <c r="C1989" s="37"/>
      <c r="D1989" s="37"/>
      <c r="E1989" s="38" t="s">
        <v>2458</v>
      </c>
      <c r="F1989" s="38" t="s">
        <v>2443</v>
      </c>
      <c r="G1989" s="38">
        <v>3.61731348455E11</v>
      </c>
      <c r="H1989" s="38" t="s">
        <v>2444</v>
      </c>
      <c r="I1989" s="38" t="s">
        <v>2445</v>
      </c>
      <c r="J1989" s="38" t="s">
        <v>132</v>
      </c>
      <c r="K1989" s="38" t="s">
        <v>126</v>
      </c>
      <c r="L1989" s="41">
        <v>46008.458333333336</v>
      </c>
      <c r="M1989" s="38" t="s">
        <v>123</v>
      </c>
      <c r="N1989" s="41">
        <v>46008.5</v>
      </c>
      <c r="O1989" s="38" t="s">
        <v>123</v>
      </c>
      <c r="P1989" s="38">
        <v>3600.0</v>
      </c>
      <c r="Q1989" s="39"/>
      <c r="R1989" s="39"/>
      <c r="S1989" s="39"/>
      <c r="T1989" s="39"/>
      <c r="U1989" s="39"/>
    </row>
    <row r="1990">
      <c r="A1990" s="40">
        <f t="shared" si="1"/>
        <v>46006</v>
      </c>
      <c r="B1990" s="37" t="str">
        <f t="array" ref="B1990">iferror(xlookup($I1990, 'IMPORT VHC Report'!$E:$E, 'IMPORT VHC Report'!$A:$C), )</f>
        <v/>
      </c>
      <c r="C1990" s="37"/>
      <c r="D1990" s="37"/>
      <c r="E1990" s="38" t="s">
        <v>2459</v>
      </c>
      <c r="F1990" s="38" t="s">
        <v>2443</v>
      </c>
      <c r="G1990" s="38">
        <v>3.61731348455E11</v>
      </c>
      <c r="H1990" s="38" t="s">
        <v>2444</v>
      </c>
      <c r="I1990" s="38" t="s">
        <v>2445</v>
      </c>
      <c r="J1990" s="38" t="s">
        <v>4</v>
      </c>
      <c r="K1990" s="38" t="s">
        <v>126</v>
      </c>
      <c r="L1990" s="41">
        <v>46009.208333333336</v>
      </c>
      <c r="M1990" s="38" t="s">
        <v>123</v>
      </c>
      <c r="N1990" s="41">
        <v>46009.229166666664</v>
      </c>
      <c r="O1990" s="38" t="s">
        <v>123</v>
      </c>
      <c r="P1990" s="38">
        <v>1800.0</v>
      </c>
      <c r="Q1990" s="39"/>
      <c r="R1990" s="39"/>
      <c r="S1990" s="39"/>
      <c r="T1990" s="39"/>
      <c r="U1990" s="39"/>
    </row>
    <row r="1991">
      <c r="A1991" s="40">
        <f t="shared" si="1"/>
        <v>46006</v>
      </c>
      <c r="B1991" s="37" t="str">
        <f t="array" ref="B1991">iferror(xlookup($I1991, 'IMPORT VHC Report'!$E:$E, 'IMPORT VHC Report'!$A:$C), )</f>
        <v/>
      </c>
      <c r="C1991" s="37"/>
      <c r="D1991" s="37"/>
      <c r="E1991" s="38" t="s">
        <v>2460</v>
      </c>
      <c r="F1991" s="38" t="s">
        <v>2443</v>
      </c>
      <c r="G1991" s="38">
        <v>3.61731348455E11</v>
      </c>
      <c r="H1991" s="38" t="s">
        <v>2444</v>
      </c>
      <c r="I1991" s="38" t="s">
        <v>2445</v>
      </c>
      <c r="J1991" s="38" t="s">
        <v>530</v>
      </c>
      <c r="K1991" s="38" t="s">
        <v>63</v>
      </c>
      <c r="L1991" s="41">
        <v>46009.208333333336</v>
      </c>
      <c r="M1991" s="38" t="s">
        <v>123</v>
      </c>
      <c r="N1991" s="41">
        <v>46009.583333333336</v>
      </c>
      <c r="O1991" s="38" t="s">
        <v>123</v>
      </c>
      <c r="P1991" s="38">
        <v>32400.0</v>
      </c>
      <c r="Q1991" s="39"/>
      <c r="R1991" s="39"/>
      <c r="S1991" s="39"/>
      <c r="T1991" s="39"/>
      <c r="U1991" s="39"/>
    </row>
    <row r="1992">
      <c r="A1992" s="40">
        <f t="shared" si="1"/>
        <v>46006</v>
      </c>
      <c r="B1992" s="37" t="str">
        <f t="array" ref="B1992">iferror(xlookup($I1992, 'IMPORT VHC Report'!$E:$E, 'IMPORT VHC Report'!$A:$C), )</f>
        <v/>
      </c>
      <c r="C1992" s="37"/>
      <c r="D1992" s="37"/>
      <c r="E1992" s="38" t="s">
        <v>2461</v>
      </c>
      <c r="F1992" s="38" t="s">
        <v>2443</v>
      </c>
      <c r="G1992" s="38">
        <v>3.61731348455E11</v>
      </c>
      <c r="H1992" s="38" t="s">
        <v>2444</v>
      </c>
      <c r="I1992" s="38" t="s">
        <v>2445</v>
      </c>
      <c r="J1992" s="38" t="s">
        <v>134</v>
      </c>
      <c r="K1992" s="38" t="s">
        <v>126</v>
      </c>
      <c r="L1992" s="41">
        <v>46009.333333333336</v>
      </c>
      <c r="M1992" s="38" t="s">
        <v>123</v>
      </c>
      <c r="N1992" s="41">
        <v>46009.354166666664</v>
      </c>
      <c r="O1992" s="38" t="s">
        <v>123</v>
      </c>
      <c r="P1992" s="38">
        <v>1800.0</v>
      </c>
      <c r="Q1992" s="39"/>
      <c r="R1992" s="39"/>
      <c r="S1992" s="39"/>
      <c r="T1992" s="39"/>
      <c r="U1992" s="39"/>
    </row>
    <row r="1993">
      <c r="A1993" s="40">
        <f t="shared" si="1"/>
        <v>46006</v>
      </c>
      <c r="B1993" s="37" t="str">
        <f t="array" ref="B1993">iferror(xlookup($I1993, 'IMPORT VHC Report'!$E:$E, 'IMPORT VHC Report'!$A:$C), )</f>
        <v/>
      </c>
      <c r="C1993" s="37"/>
      <c r="D1993" s="37"/>
      <c r="E1993" s="38" t="s">
        <v>2462</v>
      </c>
      <c r="F1993" s="38" t="s">
        <v>2443</v>
      </c>
      <c r="G1993" s="38">
        <v>3.61731348455E11</v>
      </c>
      <c r="H1993" s="38" t="s">
        <v>2444</v>
      </c>
      <c r="I1993" s="38" t="s">
        <v>2445</v>
      </c>
      <c r="J1993" s="38" t="s">
        <v>132</v>
      </c>
      <c r="K1993" s="38" t="s">
        <v>126</v>
      </c>
      <c r="L1993" s="41">
        <v>46009.458333333336</v>
      </c>
      <c r="M1993" s="38" t="s">
        <v>123</v>
      </c>
      <c r="N1993" s="41">
        <v>46009.5</v>
      </c>
      <c r="O1993" s="38" t="s">
        <v>123</v>
      </c>
      <c r="P1993" s="38">
        <v>3600.0</v>
      </c>
      <c r="Q1993" s="39"/>
      <c r="R1993" s="39"/>
      <c r="S1993" s="39"/>
      <c r="T1993" s="39"/>
      <c r="U1993" s="39"/>
    </row>
    <row r="1994">
      <c r="A1994" s="40">
        <f t="shared" si="1"/>
        <v>46006</v>
      </c>
      <c r="B1994" s="37" t="str">
        <f t="array" ref="B1994">iferror(xlookup($I1994, 'IMPORT VHC Report'!$E:$E, 'IMPORT VHC Report'!$A:$C), )</f>
        <v/>
      </c>
      <c r="C1994" s="37"/>
      <c r="D1994" s="37"/>
      <c r="E1994" s="38" t="s">
        <v>2463</v>
      </c>
      <c r="F1994" s="38" t="s">
        <v>2443</v>
      </c>
      <c r="G1994" s="38">
        <v>3.61731348455E11</v>
      </c>
      <c r="H1994" s="38" t="s">
        <v>2444</v>
      </c>
      <c r="I1994" s="38" t="s">
        <v>2445</v>
      </c>
      <c r="J1994" s="38" t="s">
        <v>4</v>
      </c>
      <c r="K1994" s="38" t="s">
        <v>126</v>
      </c>
      <c r="L1994" s="41">
        <v>46012.208333333336</v>
      </c>
      <c r="M1994" s="38" t="s">
        <v>123</v>
      </c>
      <c r="N1994" s="41">
        <v>46012.229166666664</v>
      </c>
      <c r="O1994" s="38" t="s">
        <v>123</v>
      </c>
      <c r="P1994" s="38">
        <v>1800.0</v>
      </c>
      <c r="Q1994" s="39"/>
      <c r="R1994" s="39"/>
      <c r="S1994" s="39"/>
      <c r="T1994" s="39"/>
      <c r="U1994" s="39"/>
    </row>
    <row r="1995">
      <c r="A1995" s="40">
        <f t="shared" si="1"/>
        <v>46006</v>
      </c>
      <c r="B1995" s="37" t="str">
        <f t="array" ref="B1995">iferror(xlookup($I1995, 'IMPORT VHC Report'!$E:$E, 'IMPORT VHC Report'!$A:$C), )</f>
        <v/>
      </c>
      <c r="C1995" s="37"/>
      <c r="D1995" s="37"/>
      <c r="E1995" s="38" t="s">
        <v>2464</v>
      </c>
      <c r="F1995" s="38" t="s">
        <v>2443</v>
      </c>
      <c r="G1995" s="38">
        <v>3.61731348455E11</v>
      </c>
      <c r="H1995" s="38" t="s">
        <v>2444</v>
      </c>
      <c r="I1995" s="38" t="s">
        <v>2445</v>
      </c>
      <c r="J1995" s="38" t="s">
        <v>530</v>
      </c>
      <c r="K1995" s="38" t="s">
        <v>63</v>
      </c>
      <c r="L1995" s="41">
        <v>46012.208333333336</v>
      </c>
      <c r="M1995" s="38" t="s">
        <v>123</v>
      </c>
      <c r="N1995" s="41">
        <v>46012.583333333336</v>
      </c>
      <c r="O1995" s="38" t="s">
        <v>123</v>
      </c>
      <c r="P1995" s="38">
        <v>32400.0</v>
      </c>
      <c r="Q1995" s="39"/>
      <c r="R1995" s="39"/>
      <c r="S1995" s="39"/>
      <c r="T1995" s="39"/>
      <c r="U1995" s="39"/>
    </row>
    <row r="1996">
      <c r="A1996" s="40">
        <f t="shared" si="1"/>
        <v>46006</v>
      </c>
      <c r="B1996" s="37" t="str">
        <f t="array" ref="B1996">iferror(xlookup($I1996, 'IMPORT VHC Report'!$E:$E, 'IMPORT VHC Report'!$A:$C), )</f>
        <v/>
      </c>
      <c r="C1996" s="37"/>
      <c r="D1996" s="37"/>
      <c r="E1996" s="38" t="s">
        <v>2465</v>
      </c>
      <c r="F1996" s="38" t="s">
        <v>2443</v>
      </c>
      <c r="G1996" s="38">
        <v>3.61731348455E11</v>
      </c>
      <c r="H1996" s="38" t="s">
        <v>2444</v>
      </c>
      <c r="I1996" s="38" t="s">
        <v>2445</v>
      </c>
      <c r="J1996" s="38" t="s">
        <v>178</v>
      </c>
      <c r="K1996" s="38" t="s">
        <v>153</v>
      </c>
      <c r="L1996" s="41">
        <v>46012.208333333336</v>
      </c>
      <c r="M1996" s="38" t="s">
        <v>123</v>
      </c>
      <c r="N1996" s="41">
        <v>46012.583333333336</v>
      </c>
      <c r="O1996" s="38" t="s">
        <v>123</v>
      </c>
      <c r="P1996" s="38">
        <v>32400.0</v>
      </c>
      <c r="Q1996" s="38">
        <v>28800.0</v>
      </c>
      <c r="R1996" s="39"/>
      <c r="S1996" s="39"/>
      <c r="T1996" s="39"/>
      <c r="U1996" s="39"/>
    </row>
    <row r="1997">
      <c r="A1997" s="40">
        <f t="shared" si="1"/>
        <v>46006</v>
      </c>
      <c r="B1997" s="37" t="str">
        <f t="array" ref="B1997">iferror(xlookup($I1997, 'IMPORT VHC Report'!$E:$E, 'IMPORT VHC Report'!$A:$C), )</f>
        <v/>
      </c>
      <c r="C1997" s="37"/>
      <c r="D1997" s="37"/>
      <c r="E1997" s="38" t="s">
        <v>2466</v>
      </c>
      <c r="F1997" s="38" t="s">
        <v>2443</v>
      </c>
      <c r="G1997" s="38">
        <v>3.61731348455E11</v>
      </c>
      <c r="H1997" s="38" t="s">
        <v>2444</v>
      </c>
      <c r="I1997" s="38" t="s">
        <v>2445</v>
      </c>
      <c r="J1997" s="38" t="s">
        <v>132</v>
      </c>
      <c r="K1997" s="38" t="s">
        <v>126</v>
      </c>
      <c r="L1997" s="41">
        <v>46012.333333333336</v>
      </c>
      <c r="M1997" s="38" t="s">
        <v>123</v>
      </c>
      <c r="N1997" s="41">
        <v>46012.375</v>
      </c>
      <c r="O1997" s="38" t="s">
        <v>123</v>
      </c>
      <c r="P1997" s="38">
        <v>3600.0</v>
      </c>
      <c r="Q1997" s="39"/>
      <c r="R1997" s="39"/>
      <c r="S1997" s="39"/>
      <c r="T1997" s="39"/>
      <c r="U1997" s="39"/>
    </row>
    <row r="1998">
      <c r="A1998" s="40">
        <f t="shared" si="1"/>
        <v>46006</v>
      </c>
      <c r="B1998" s="37" t="str">
        <f t="array" ref="B1998">iferror(xlookup($I1998, 'IMPORT VHC Report'!$E:$E, 'IMPORT VHC Report'!$A:$C), )</f>
        <v/>
      </c>
      <c r="C1998" s="37"/>
      <c r="D1998" s="37"/>
      <c r="E1998" s="38" t="s">
        <v>2467</v>
      </c>
      <c r="F1998" s="38" t="s">
        <v>2443</v>
      </c>
      <c r="G1998" s="38">
        <v>3.61731348455E11</v>
      </c>
      <c r="H1998" s="38" t="s">
        <v>2444</v>
      </c>
      <c r="I1998" s="38" t="s">
        <v>2445</v>
      </c>
      <c r="J1998" s="38" t="s">
        <v>134</v>
      </c>
      <c r="K1998" s="38" t="s">
        <v>126</v>
      </c>
      <c r="L1998" s="41">
        <v>46012.489583333336</v>
      </c>
      <c r="M1998" s="38" t="s">
        <v>123</v>
      </c>
      <c r="N1998" s="41">
        <v>46012.510416666664</v>
      </c>
      <c r="O1998" s="38" t="s">
        <v>123</v>
      </c>
      <c r="P1998" s="38">
        <v>1800.0</v>
      </c>
      <c r="Q1998" s="39"/>
      <c r="R1998" s="39"/>
      <c r="S1998" s="39"/>
      <c r="T1998" s="39"/>
      <c r="U1998" s="39"/>
    </row>
    <row r="1999">
      <c r="A1999" s="40">
        <f t="shared" si="1"/>
        <v>46006</v>
      </c>
      <c r="B1999" s="37" t="str">
        <f t="array" ref="B1999">iferror(xlookup($I1999, 'IMPORT VHC Report'!$E:$E, 'IMPORT VHC Report'!$A:$C), )</f>
        <v/>
      </c>
      <c r="C1999" s="37"/>
      <c r="D1999" s="37"/>
      <c r="E1999" s="38" t="s">
        <v>2468</v>
      </c>
      <c r="F1999" s="38" t="s">
        <v>2469</v>
      </c>
      <c r="G1999" s="38">
        <v>8.409862611087E12</v>
      </c>
      <c r="H1999" s="38" t="s">
        <v>2470</v>
      </c>
      <c r="I1999" s="38" t="s">
        <v>2471</v>
      </c>
      <c r="J1999" s="38" t="s">
        <v>368</v>
      </c>
      <c r="K1999" s="38" t="s">
        <v>63</v>
      </c>
      <c r="L1999" s="41">
        <v>46006.208333333336</v>
      </c>
      <c r="M1999" s="38" t="s">
        <v>123</v>
      </c>
      <c r="N1999" s="41">
        <v>46006.583333333336</v>
      </c>
      <c r="O1999" s="38" t="s">
        <v>123</v>
      </c>
      <c r="P1999" s="38">
        <v>32400.0</v>
      </c>
      <c r="Q1999" s="39"/>
      <c r="R1999" s="39"/>
      <c r="S1999" s="39"/>
      <c r="T1999" s="39"/>
      <c r="U1999" s="39"/>
    </row>
    <row r="2000">
      <c r="A2000" s="40">
        <f t="shared" si="1"/>
        <v>46006</v>
      </c>
      <c r="B2000" s="37" t="str">
        <f t="array" ref="B2000">iferror(xlookup($I2000, 'IMPORT VHC Report'!$E:$E, 'IMPORT VHC Report'!$A:$C), )</f>
        <v/>
      </c>
      <c r="C2000" s="37"/>
      <c r="D2000" s="37"/>
      <c r="E2000" s="38" t="s">
        <v>2472</v>
      </c>
      <c r="F2000" s="38" t="s">
        <v>2469</v>
      </c>
      <c r="G2000" s="38">
        <v>8.409862611087E12</v>
      </c>
      <c r="H2000" s="38" t="s">
        <v>2470</v>
      </c>
      <c r="I2000" s="38" t="s">
        <v>2471</v>
      </c>
      <c r="J2000" s="38" t="s">
        <v>134</v>
      </c>
      <c r="K2000" s="38" t="s">
        <v>126</v>
      </c>
      <c r="L2000" s="41">
        <v>46006.395833333336</v>
      </c>
      <c r="M2000" s="38" t="s">
        <v>123</v>
      </c>
      <c r="N2000" s="41">
        <v>46006.416666666664</v>
      </c>
      <c r="O2000" s="38" t="s">
        <v>123</v>
      </c>
      <c r="P2000" s="38">
        <v>1800.0</v>
      </c>
      <c r="Q2000" s="39"/>
      <c r="R2000" s="39"/>
      <c r="S2000" s="39"/>
      <c r="T2000" s="39"/>
      <c r="U2000" s="39"/>
    </row>
    <row r="2001">
      <c r="A2001" s="40">
        <f t="shared" si="1"/>
        <v>46006</v>
      </c>
      <c r="B2001" s="37" t="str">
        <f t="array" ref="B2001">iferror(xlookup($I2001, 'IMPORT VHC Report'!$E:$E, 'IMPORT VHC Report'!$A:$C), )</f>
        <v/>
      </c>
      <c r="C2001" s="37"/>
      <c r="D2001" s="37"/>
      <c r="E2001" s="38" t="s">
        <v>2473</v>
      </c>
      <c r="F2001" s="38" t="s">
        <v>2469</v>
      </c>
      <c r="G2001" s="38">
        <v>8.409862611087E12</v>
      </c>
      <c r="H2001" s="38" t="s">
        <v>2470</v>
      </c>
      <c r="I2001" s="38" t="s">
        <v>2471</v>
      </c>
      <c r="J2001" s="38" t="s">
        <v>132</v>
      </c>
      <c r="K2001" s="38" t="s">
        <v>126</v>
      </c>
      <c r="L2001" s="41">
        <v>46006.5</v>
      </c>
      <c r="M2001" s="38" t="s">
        <v>123</v>
      </c>
      <c r="N2001" s="41">
        <v>46006.541666666664</v>
      </c>
      <c r="O2001" s="38" t="s">
        <v>123</v>
      </c>
      <c r="P2001" s="38">
        <v>3600.0</v>
      </c>
      <c r="Q2001" s="39"/>
      <c r="R2001" s="39"/>
      <c r="S2001" s="39"/>
      <c r="T2001" s="39"/>
      <c r="U2001" s="39"/>
    </row>
    <row r="2002">
      <c r="A2002" s="40">
        <f t="shared" si="1"/>
        <v>46006</v>
      </c>
      <c r="B2002" s="37" t="str">
        <f t="array" ref="B2002">iferror(xlookup($I2002, 'IMPORT VHC Report'!$E:$E, 'IMPORT VHC Report'!$A:$C), )</f>
        <v/>
      </c>
      <c r="C2002" s="37"/>
      <c r="D2002" s="37"/>
      <c r="E2002" s="38" t="s">
        <v>2474</v>
      </c>
      <c r="F2002" s="38" t="s">
        <v>2469</v>
      </c>
      <c r="G2002" s="38">
        <v>8.409862611087E12</v>
      </c>
      <c r="H2002" s="38" t="s">
        <v>2470</v>
      </c>
      <c r="I2002" s="38" t="s">
        <v>2471</v>
      </c>
      <c r="J2002" s="38" t="s">
        <v>368</v>
      </c>
      <c r="K2002" s="38" t="s">
        <v>63</v>
      </c>
      <c r="L2002" s="41">
        <v>46007.208333333336</v>
      </c>
      <c r="M2002" s="38" t="s">
        <v>123</v>
      </c>
      <c r="N2002" s="41">
        <v>46007.583333333336</v>
      </c>
      <c r="O2002" s="38" t="s">
        <v>123</v>
      </c>
      <c r="P2002" s="38">
        <v>32400.0</v>
      </c>
      <c r="Q2002" s="39"/>
      <c r="R2002" s="39"/>
      <c r="S2002" s="39"/>
      <c r="T2002" s="39"/>
      <c r="U2002" s="39"/>
    </row>
    <row r="2003">
      <c r="A2003" s="40">
        <f t="shared" si="1"/>
        <v>46006</v>
      </c>
      <c r="B2003" s="37" t="str">
        <f t="array" ref="B2003">iferror(xlookup($I2003, 'IMPORT VHC Report'!$E:$E, 'IMPORT VHC Report'!$A:$C), )</f>
        <v/>
      </c>
      <c r="C2003" s="37"/>
      <c r="D2003" s="37"/>
      <c r="E2003" s="38" t="s">
        <v>2475</v>
      </c>
      <c r="F2003" s="38" t="s">
        <v>2469</v>
      </c>
      <c r="G2003" s="38">
        <v>8.409862611087E12</v>
      </c>
      <c r="H2003" s="38" t="s">
        <v>2470</v>
      </c>
      <c r="I2003" s="38" t="s">
        <v>2471</v>
      </c>
      <c r="J2003" s="38" t="s">
        <v>134</v>
      </c>
      <c r="K2003" s="38" t="s">
        <v>126</v>
      </c>
      <c r="L2003" s="41">
        <v>46007.291666666664</v>
      </c>
      <c r="M2003" s="38" t="s">
        <v>123</v>
      </c>
      <c r="N2003" s="41">
        <v>46007.3125</v>
      </c>
      <c r="O2003" s="38" t="s">
        <v>123</v>
      </c>
      <c r="P2003" s="38">
        <v>1800.0</v>
      </c>
      <c r="Q2003" s="39"/>
      <c r="R2003" s="39"/>
      <c r="S2003" s="39"/>
      <c r="T2003" s="39"/>
      <c r="U2003" s="39"/>
    </row>
    <row r="2004">
      <c r="A2004" s="40">
        <f t="shared" si="1"/>
        <v>46006</v>
      </c>
      <c r="B2004" s="37" t="str">
        <f t="array" ref="B2004">iferror(xlookup($I2004, 'IMPORT VHC Report'!$E:$E, 'IMPORT VHC Report'!$A:$C), )</f>
        <v/>
      </c>
      <c r="C2004" s="37"/>
      <c r="D2004" s="37"/>
      <c r="E2004" s="38" t="s">
        <v>2476</v>
      </c>
      <c r="F2004" s="38" t="s">
        <v>2469</v>
      </c>
      <c r="G2004" s="38">
        <v>8.409862611087E12</v>
      </c>
      <c r="H2004" s="38" t="s">
        <v>2470</v>
      </c>
      <c r="I2004" s="38" t="s">
        <v>2471</v>
      </c>
      <c r="J2004" s="38" t="s">
        <v>132</v>
      </c>
      <c r="K2004" s="38" t="s">
        <v>126</v>
      </c>
      <c r="L2004" s="41">
        <v>46007.40625</v>
      </c>
      <c r="M2004" s="38" t="s">
        <v>123</v>
      </c>
      <c r="N2004" s="41">
        <v>46007.447916666664</v>
      </c>
      <c r="O2004" s="38" t="s">
        <v>123</v>
      </c>
      <c r="P2004" s="38">
        <v>3600.0</v>
      </c>
      <c r="Q2004" s="39"/>
      <c r="R2004" s="39"/>
      <c r="S2004" s="39"/>
      <c r="T2004" s="39"/>
      <c r="U2004" s="39"/>
    </row>
    <row r="2005">
      <c r="A2005" s="40">
        <f t="shared" si="1"/>
        <v>46006</v>
      </c>
      <c r="B2005" s="37" t="str">
        <f t="array" ref="B2005">iferror(xlookup($I2005, 'IMPORT VHC Report'!$E:$E, 'IMPORT VHC Report'!$A:$C), )</f>
        <v/>
      </c>
      <c r="C2005" s="37"/>
      <c r="D2005" s="37"/>
      <c r="E2005" s="38" t="s">
        <v>2477</v>
      </c>
      <c r="F2005" s="38" t="s">
        <v>2469</v>
      </c>
      <c r="G2005" s="38">
        <v>8.409862611087E12</v>
      </c>
      <c r="H2005" s="38" t="s">
        <v>2470</v>
      </c>
      <c r="I2005" s="38" t="s">
        <v>2471</v>
      </c>
      <c r="J2005" s="38" t="s">
        <v>4</v>
      </c>
      <c r="K2005" s="38" t="s">
        <v>126</v>
      </c>
      <c r="L2005" s="41">
        <v>46007.5</v>
      </c>
      <c r="M2005" s="38" t="s">
        <v>123</v>
      </c>
      <c r="N2005" s="41">
        <v>46007.53125</v>
      </c>
      <c r="O2005" s="38" t="s">
        <v>123</v>
      </c>
      <c r="P2005" s="38">
        <v>2700.0</v>
      </c>
      <c r="Q2005" s="39"/>
      <c r="R2005" s="39"/>
      <c r="S2005" s="38" t="s">
        <v>2478</v>
      </c>
      <c r="T2005" s="39"/>
      <c r="U2005" s="39"/>
    </row>
    <row r="2006">
      <c r="A2006" s="40">
        <f t="shared" si="1"/>
        <v>46006</v>
      </c>
      <c r="B2006" s="37" t="str">
        <f t="array" ref="B2006">iferror(xlookup($I2006, 'IMPORT VHC Report'!$E:$E, 'IMPORT VHC Report'!$A:$C), )</f>
        <v/>
      </c>
      <c r="C2006" s="37"/>
      <c r="D2006" s="37"/>
      <c r="E2006" s="38" t="s">
        <v>2479</v>
      </c>
      <c r="F2006" s="38" t="s">
        <v>2469</v>
      </c>
      <c r="G2006" s="38">
        <v>8.409862611087E12</v>
      </c>
      <c r="H2006" s="38" t="s">
        <v>2470</v>
      </c>
      <c r="I2006" s="38" t="s">
        <v>2471</v>
      </c>
      <c r="J2006" s="38" t="s">
        <v>368</v>
      </c>
      <c r="K2006" s="38" t="s">
        <v>63</v>
      </c>
      <c r="L2006" s="41">
        <v>46008.208333333336</v>
      </c>
      <c r="M2006" s="38" t="s">
        <v>123</v>
      </c>
      <c r="N2006" s="41">
        <v>46008.583333333336</v>
      </c>
      <c r="O2006" s="38" t="s">
        <v>123</v>
      </c>
      <c r="P2006" s="38">
        <v>32400.0</v>
      </c>
      <c r="Q2006" s="39"/>
      <c r="R2006" s="39"/>
      <c r="S2006" s="39"/>
      <c r="T2006" s="39"/>
      <c r="U2006" s="39"/>
    </row>
    <row r="2007">
      <c r="A2007" s="40">
        <f t="shared" si="1"/>
        <v>46006</v>
      </c>
      <c r="B2007" s="37" t="str">
        <f t="array" ref="B2007">iferror(xlookup($I2007, 'IMPORT VHC Report'!$E:$E, 'IMPORT VHC Report'!$A:$C), )</f>
        <v/>
      </c>
      <c r="C2007" s="37"/>
      <c r="D2007" s="37"/>
      <c r="E2007" s="38" t="s">
        <v>2480</v>
      </c>
      <c r="F2007" s="38" t="s">
        <v>2469</v>
      </c>
      <c r="G2007" s="38">
        <v>8.409862611087E12</v>
      </c>
      <c r="H2007" s="38" t="s">
        <v>2470</v>
      </c>
      <c r="I2007" s="38" t="s">
        <v>2471</v>
      </c>
      <c r="J2007" s="38" t="s">
        <v>134</v>
      </c>
      <c r="K2007" s="38" t="s">
        <v>126</v>
      </c>
      <c r="L2007" s="41">
        <v>46008.291666666664</v>
      </c>
      <c r="M2007" s="38" t="s">
        <v>123</v>
      </c>
      <c r="N2007" s="41">
        <v>46008.3125</v>
      </c>
      <c r="O2007" s="38" t="s">
        <v>123</v>
      </c>
      <c r="P2007" s="38">
        <v>1800.0</v>
      </c>
      <c r="Q2007" s="39"/>
      <c r="R2007" s="39"/>
      <c r="S2007" s="39"/>
      <c r="T2007" s="39"/>
      <c r="U2007" s="39"/>
    </row>
    <row r="2008">
      <c r="A2008" s="40">
        <f t="shared" si="1"/>
        <v>46006</v>
      </c>
      <c r="B2008" s="37" t="str">
        <f t="array" ref="B2008">iferror(xlookup($I2008, 'IMPORT VHC Report'!$E:$E, 'IMPORT VHC Report'!$A:$C), )</f>
        <v/>
      </c>
      <c r="C2008" s="37"/>
      <c r="D2008" s="37"/>
      <c r="E2008" s="38" t="s">
        <v>2481</v>
      </c>
      <c r="F2008" s="38" t="s">
        <v>2469</v>
      </c>
      <c r="G2008" s="38">
        <v>8.409862611087E12</v>
      </c>
      <c r="H2008" s="38" t="s">
        <v>2470</v>
      </c>
      <c r="I2008" s="38" t="s">
        <v>2471</v>
      </c>
      <c r="J2008" s="38" t="s">
        <v>132</v>
      </c>
      <c r="K2008" s="38" t="s">
        <v>126</v>
      </c>
      <c r="L2008" s="41">
        <v>46008.395833333336</v>
      </c>
      <c r="M2008" s="38" t="s">
        <v>123</v>
      </c>
      <c r="N2008" s="41">
        <v>46008.4375</v>
      </c>
      <c r="O2008" s="38" t="s">
        <v>123</v>
      </c>
      <c r="P2008" s="38">
        <v>3600.0</v>
      </c>
      <c r="Q2008" s="39"/>
      <c r="R2008" s="39"/>
      <c r="S2008" s="39"/>
      <c r="T2008" s="39"/>
      <c r="U2008" s="39"/>
    </row>
    <row r="2009">
      <c r="A2009" s="40">
        <f t="shared" si="1"/>
        <v>46006</v>
      </c>
      <c r="B2009" s="37" t="str">
        <f t="array" ref="B2009">iferror(xlookup($I2009, 'IMPORT VHC Report'!$E:$E, 'IMPORT VHC Report'!$A:$C), )</f>
        <v/>
      </c>
      <c r="C2009" s="37"/>
      <c r="D2009" s="37"/>
      <c r="E2009" s="38" t="s">
        <v>2482</v>
      </c>
      <c r="F2009" s="38" t="s">
        <v>2469</v>
      </c>
      <c r="G2009" s="38">
        <v>8.409862611087E12</v>
      </c>
      <c r="H2009" s="38" t="s">
        <v>2470</v>
      </c>
      <c r="I2009" s="38" t="s">
        <v>2471</v>
      </c>
      <c r="J2009" s="38" t="s">
        <v>368</v>
      </c>
      <c r="K2009" s="38" t="s">
        <v>63</v>
      </c>
      <c r="L2009" s="41">
        <v>46009.208333333336</v>
      </c>
      <c r="M2009" s="38" t="s">
        <v>123</v>
      </c>
      <c r="N2009" s="41">
        <v>46009.583333333336</v>
      </c>
      <c r="O2009" s="38" t="s">
        <v>123</v>
      </c>
      <c r="P2009" s="38">
        <v>32400.0</v>
      </c>
      <c r="Q2009" s="39"/>
      <c r="R2009" s="39"/>
      <c r="S2009" s="39"/>
      <c r="T2009" s="39"/>
      <c r="U2009" s="39"/>
    </row>
    <row r="2010">
      <c r="A2010" s="40">
        <f t="shared" si="1"/>
        <v>46006</v>
      </c>
      <c r="B2010" s="37" t="str">
        <f t="array" ref="B2010">iferror(xlookup($I2010, 'IMPORT VHC Report'!$E:$E, 'IMPORT VHC Report'!$A:$C), )</f>
        <v/>
      </c>
      <c r="C2010" s="37"/>
      <c r="D2010" s="37"/>
      <c r="E2010" s="38" t="s">
        <v>2483</v>
      </c>
      <c r="F2010" s="38" t="s">
        <v>2469</v>
      </c>
      <c r="G2010" s="38">
        <v>8.409862611087E12</v>
      </c>
      <c r="H2010" s="38" t="s">
        <v>2470</v>
      </c>
      <c r="I2010" s="38" t="s">
        <v>2471</v>
      </c>
      <c r="J2010" s="38" t="s">
        <v>134</v>
      </c>
      <c r="K2010" s="38" t="s">
        <v>126</v>
      </c>
      <c r="L2010" s="41">
        <v>46009.375</v>
      </c>
      <c r="M2010" s="38" t="s">
        <v>123</v>
      </c>
      <c r="N2010" s="41">
        <v>46009.395833333336</v>
      </c>
      <c r="O2010" s="38" t="s">
        <v>123</v>
      </c>
      <c r="P2010" s="38">
        <v>1800.0</v>
      </c>
      <c r="Q2010" s="39"/>
      <c r="R2010" s="39"/>
      <c r="S2010" s="39"/>
      <c r="T2010" s="39"/>
      <c r="U2010" s="39"/>
    </row>
    <row r="2011">
      <c r="A2011" s="40">
        <f t="shared" si="1"/>
        <v>46006</v>
      </c>
      <c r="B2011" s="37" t="str">
        <f t="array" ref="B2011">iferror(xlookup($I2011, 'IMPORT VHC Report'!$E:$E, 'IMPORT VHC Report'!$A:$C), )</f>
        <v/>
      </c>
      <c r="C2011" s="37"/>
      <c r="D2011" s="37"/>
      <c r="E2011" s="38" t="s">
        <v>2484</v>
      </c>
      <c r="F2011" s="38" t="s">
        <v>2469</v>
      </c>
      <c r="G2011" s="38">
        <v>8.409862611087E12</v>
      </c>
      <c r="H2011" s="38" t="s">
        <v>2470</v>
      </c>
      <c r="I2011" s="38" t="s">
        <v>2471</v>
      </c>
      <c r="J2011" s="38" t="s">
        <v>132</v>
      </c>
      <c r="K2011" s="38" t="s">
        <v>126</v>
      </c>
      <c r="L2011" s="41">
        <v>46009.5</v>
      </c>
      <c r="M2011" s="38" t="s">
        <v>123</v>
      </c>
      <c r="N2011" s="41">
        <v>46009.541666666664</v>
      </c>
      <c r="O2011" s="38" t="s">
        <v>123</v>
      </c>
      <c r="P2011" s="38">
        <v>3600.0</v>
      </c>
      <c r="Q2011" s="39"/>
      <c r="R2011" s="39"/>
      <c r="S2011" s="39"/>
      <c r="T2011" s="39"/>
      <c r="U2011" s="39"/>
    </row>
    <row r="2012">
      <c r="A2012" s="40">
        <f t="shared" si="1"/>
        <v>46006</v>
      </c>
      <c r="B2012" s="37" t="str">
        <f t="array" ref="B2012">iferror(xlookup($I2012, 'IMPORT VHC Report'!$E:$E, 'IMPORT VHC Report'!$A:$C), )</f>
        <v/>
      </c>
      <c r="C2012" s="37"/>
      <c r="D2012" s="37"/>
      <c r="E2012" s="38" t="s">
        <v>2485</v>
      </c>
      <c r="F2012" s="38" t="s">
        <v>2469</v>
      </c>
      <c r="G2012" s="38">
        <v>8.409862611087E12</v>
      </c>
      <c r="H2012" s="38" t="s">
        <v>2470</v>
      </c>
      <c r="I2012" s="38" t="s">
        <v>2471</v>
      </c>
      <c r="J2012" s="38" t="s">
        <v>368</v>
      </c>
      <c r="K2012" s="38" t="s">
        <v>63</v>
      </c>
      <c r="L2012" s="41">
        <v>46010.5</v>
      </c>
      <c r="M2012" s="38" t="s">
        <v>123</v>
      </c>
      <c r="N2012" s="41">
        <v>46010.666666666664</v>
      </c>
      <c r="O2012" s="38" t="s">
        <v>123</v>
      </c>
      <c r="P2012" s="38">
        <v>14400.0</v>
      </c>
      <c r="Q2012" s="39"/>
      <c r="R2012" s="39"/>
      <c r="S2012" s="38" t="s">
        <v>2486</v>
      </c>
      <c r="T2012" s="39"/>
      <c r="U2012" s="39"/>
    </row>
    <row r="2013">
      <c r="A2013" s="40">
        <f t="shared" si="1"/>
        <v>46006</v>
      </c>
      <c r="B2013" s="37" t="str">
        <f t="array" ref="B2013">iferror(xlookup($I2013, 'IMPORT VHC Report'!$E:$E, 'IMPORT VHC Report'!$A:$C), )</f>
        <v/>
      </c>
      <c r="C2013" s="37"/>
      <c r="D2013" s="37"/>
      <c r="E2013" s="38" t="s">
        <v>2487</v>
      </c>
      <c r="F2013" s="38" t="s">
        <v>2469</v>
      </c>
      <c r="G2013" s="38">
        <v>8.409862611087E12</v>
      </c>
      <c r="H2013" s="38" t="s">
        <v>2470</v>
      </c>
      <c r="I2013" s="38" t="s">
        <v>2471</v>
      </c>
      <c r="J2013" s="38" t="s">
        <v>368</v>
      </c>
      <c r="K2013" s="38" t="s">
        <v>63</v>
      </c>
      <c r="L2013" s="41">
        <v>46012.208333333336</v>
      </c>
      <c r="M2013" s="38" t="s">
        <v>123</v>
      </c>
      <c r="N2013" s="41">
        <v>46012.583333333336</v>
      </c>
      <c r="O2013" s="38" t="s">
        <v>123</v>
      </c>
      <c r="P2013" s="38">
        <v>32400.0</v>
      </c>
      <c r="Q2013" s="39"/>
      <c r="R2013" s="39"/>
      <c r="S2013" s="39"/>
      <c r="T2013" s="39"/>
      <c r="U2013" s="39"/>
    </row>
    <row r="2014">
      <c r="A2014" s="40">
        <f t="shared" si="1"/>
        <v>46006</v>
      </c>
      <c r="B2014" s="37" t="str">
        <f t="array" ref="B2014">iferror(xlookup($I2014, 'IMPORT VHC Report'!$E:$E, 'IMPORT VHC Report'!$A:$C), )</f>
        <v/>
      </c>
      <c r="C2014" s="37"/>
      <c r="D2014" s="37"/>
      <c r="E2014" s="38" t="s">
        <v>2488</v>
      </c>
      <c r="F2014" s="38" t="s">
        <v>2469</v>
      </c>
      <c r="G2014" s="38">
        <v>8.409862611087E12</v>
      </c>
      <c r="H2014" s="38" t="s">
        <v>2470</v>
      </c>
      <c r="I2014" s="38" t="s">
        <v>2471</v>
      </c>
      <c r="J2014" s="38" t="s">
        <v>152</v>
      </c>
      <c r="K2014" s="38" t="s">
        <v>153</v>
      </c>
      <c r="L2014" s="41">
        <v>46012.208333333336</v>
      </c>
      <c r="M2014" s="38" t="s">
        <v>123</v>
      </c>
      <c r="N2014" s="41">
        <v>46012.583333333336</v>
      </c>
      <c r="O2014" s="38" t="s">
        <v>123</v>
      </c>
      <c r="P2014" s="38">
        <v>32400.0</v>
      </c>
      <c r="Q2014" s="38">
        <v>32400.0</v>
      </c>
      <c r="R2014" s="38" t="s">
        <v>2489</v>
      </c>
      <c r="S2014" s="39"/>
      <c r="T2014" s="39"/>
      <c r="U2014" s="39"/>
    </row>
    <row r="2015">
      <c r="A2015" s="40">
        <f t="shared" si="1"/>
        <v>46006</v>
      </c>
      <c r="B2015" s="37" t="str">
        <f t="array" ref="B2015">iferror(xlookup($I2015, 'IMPORT VHC Report'!$E:$E, 'IMPORT VHC Report'!$A:$C), )</f>
        <v/>
      </c>
      <c r="C2015" s="37"/>
      <c r="D2015" s="37"/>
      <c r="E2015" s="38" t="s">
        <v>2490</v>
      </c>
      <c r="F2015" s="38" t="s">
        <v>2469</v>
      </c>
      <c r="G2015" s="38">
        <v>8.409862611087E12</v>
      </c>
      <c r="H2015" s="38" t="s">
        <v>2470</v>
      </c>
      <c r="I2015" s="38" t="s">
        <v>2471</v>
      </c>
      <c r="J2015" s="38" t="s">
        <v>134</v>
      </c>
      <c r="K2015" s="38" t="s">
        <v>126</v>
      </c>
      <c r="L2015" s="41">
        <v>46012.291666666664</v>
      </c>
      <c r="M2015" s="38" t="s">
        <v>123</v>
      </c>
      <c r="N2015" s="41">
        <v>46012.3125</v>
      </c>
      <c r="O2015" s="38" t="s">
        <v>123</v>
      </c>
      <c r="P2015" s="38">
        <v>1800.0</v>
      </c>
      <c r="Q2015" s="39"/>
      <c r="R2015" s="39"/>
      <c r="S2015" s="39"/>
      <c r="T2015" s="39"/>
      <c r="U2015" s="39"/>
    </row>
    <row r="2016">
      <c r="A2016" s="40">
        <f t="shared" si="1"/>
        <v>46006</v>
      </c>
      <c r="B2016" s="37" t="str">
        <f t="array" ref="B2016">iferror(xlookup($I2016, 'IMPORT VHC Report'!$E:$E, 'IMPORT VHC Report'!$A:$C), )</f>
        <v/>
      </c>
      <c r="C2016" s="37"/>
      <c r="D2016" s="37"/>
      <c r="E2016" s="38" t="s">
        <v>2491</v>
      </c>
      <c r="F2016" s="38" t="s">
        <v>2469</v>
      </c>
      <c r="G2016" s="38">
        <v>8.409862611087E12</v>
      </c>
      <c r="H2016" s="38" t="s">
        <v>2470</v>
      </c>
      <c r="I2016" s="38" t="s">
        <v>2471</v>
      </c>
      <c r="J2016" s="38" t="s">
        <v>132</v>
      </c>
      <c r="K2016" s="38" t="s">
        <v>126</v>
      </c>
      <c r="L2016" s="41">
        <v>46012.395833333336</v>
      </c>
      <c r="M2016" s="38" t="s">
        <v>123</v>
      </c>
      <c r="N2016" s="41">
        <v>46012.4375</v>
      </c>
      <c r="O2016" s="38" t="s">
        <v>123</v>
      </c>
      <c r="P2016" s="38">
        <v>3600.0</v>
      </c>
      <c r="Q2016" s="39"/>
      <c r="R2016" s="39"/>
      <c r="S2016" s="39"/>
      <c r="T2016" s="39"/>
      <c r="U2016" s="39"/>
    </row>
    <row r="2017">
      <c r="A2017" s="40">
        <f t="shared" si="1"/>
        <v>46006</v>
      </c>
      <c r="B2017" s="37" t="str">
        <f t="array" ref="B2017">iferror(xlookup($I2017, 'IMPORT VHC Report'!$E:$E, 'IMPORT VHC Report'!$A:$C), )</f>
        <v/>
      </c>
      <c r="C2017" s="37"/>
      <c r="D2017" s="37"/>
      <c r="E2017" s="38" t="s">
        <v>2492</v>
      </c>
      <c r="F2017" s="38" t="s">
        <v>2493</v>
      </c>
      <c r="G2017" s="39"/>
      <c r="H2017" s="38" t="s">
        <v>2494</v>
      </c>
      <c r="I2017" s="38" t="s">
        <v>2495</v>
      </c>
      <c r="J2017" s="38" t="s">
        <v>125</v>
      </c>
      <c r="K2017" s="38" t="s">
        <v>126</v>
      </c>
      <c r="L2017" s="41">
        <v>46006.208333333336</v>
      </c>
      <c r="M2017" s="38" t="s">
        <v>123</v>
      </c>
      <c r="N2017" s="41">
        <v>46006.21527777778</v>
      </c>
      <c r="O2017" s="38" t="s">
        <v>123</v>
      </c>
      <c r="P2017" s="38">
        <v>600.0</v>
      </c>
      <c r="Q2017" s="39"/>
      <c r="R2017" s="39"/>
      <c r="S2017" s="38" t="s">
        <v>127</v>
      </c>
      <c r="T2017" s="39"/>
      <c r="U2017" s="39"/>
    </row>
    <row r="2018">
      <c r="A2018" s="40">
        <f t="shared" si="1"/>
        <v>46006</v>
      </c>
      <c r="B2018" s="37" t="str">
        <f t="array" ref="B2018">iferror(xlookup($I2018, 'IMPORT VHC Report'!$E:$E, 'IMPORT VHC Report'!$A:$C), )</f>
        <v/>
      </c>
      <c r="C2018" s="37"/>
      <c r="D2018" s="37"/>
      <c r="E2018" s="38" t="s">
        <v>2496</v>
      </c>
      <c r="F2018" s="38" t="s">
        <v>2493</v>
      </c>
      <c r="G2018" s="39"/>
      <c r="H2018" s="38" t="s">
        <v>2494</v>
      </c>
      <c r="I2018" s="38" t="s">
        <v>2495</v>
      </c>
      <c r="J2018" s="38" t="s">
        <v>122</v>
      </c>
      <c r="K2018" s="38" t="s">
        <v>63</v>
      </c>
      <c r="L2018" s="41">
        <v>46006.208333333336</v>
      </c>
      <c r="M2018" s="38" t="s">
        <v>123</v>
      </c>
      <c r="N2018" s="41">
        <v>46006.583333333336</v>
      </c>
      <c r="O2018" s="38" t="s">
        <v>123</v>
      </c>
      <c r="P2018" s="38">
        <v>32400.0</v>
      </c>
      <c r="Q2018" s="39"/>
      <c r="R2018" s="39"/>
      <c r="S2018" s="39"/>
      <c r="T2018" s="39"/>
      <c r="U2018" s="39"/>
    </row>
    <row r="2019">
      <c r="A2019" s="40">
        <f t="shared" si="1"/>
        <v>46006</v>
      </c>
      <c r="B2019" s="37" t="str">
        <f t="array" ref="B2019">iferror(xlookup($I2019, 'IMPORT VHC Report'!$E:$E, 'IMPORT VHC Report'!$A:$C), )</f>
        <v/>
      </c>
      <c r="C2019" s="37"/>
      <c r="D2019" s="37"/>
      <c r="E2019" s="38" t="s">
        <v>2497</v>
      </c>
      <c r="F2019" s="38" t="s">
        <v>2493</v>
      </c>
      <c r="G2019" s="39"/>
      <c r="H2019" s="38" t="s">
        <v>2494</v>
      </c>
      <c r="I2019" s="38" t="s">
        <v>2495</v>
      </c>
      <c r="J2019" s="38" t="s">
        <v>134</v>
      </c>
      <c r="K2019" s="38" t="s">
        <v>126</v>
      </c>
      <c r="L2019" s="41">
        <v>46006.291666666664</v>
      </c>
      <c r="M2019" s="38" t="s">
        <v>123</v>
      </c>
      <c r="N2019" s="41">
        <v>46006.3125</v>
      </c>
      <c r="O2019" s="38" t="s">
        <v>123</v>
      </c>
      <c r="P2019" s="38">
        <v>1800.0</v>
      </c>
      <c r="Q2019" s="39"/>
      <c r="R2019" s="39"/>
      <c r="S2019" s="39"/>
      <c r="T2019" s="39"/>
      <c r="U2019" s="39"/>
    </row>
    <row r="2020">
      <c r="A2020" s="40">
        <f t="shared" si="1"/>
        <v>46006</v>
      </c>
      <c r="B2020" s="37" t="str">
        <f t="array" ref="B2020">iferror(xlookup($I2020, 'IMPORT VHC Report'!$E:$E, 'IMPORT VHC Report'!$A:$C), )</f>
        <v/>
      </c>
      <c r="C2020" s="37"/>
      <c r="D2020" s="37"/>
      <c r="E2020" s="38" t="s">
        <v>2498</v>
      </c>
      <c r="F2020" s="38" t="s">
        <v>2493</v>
      </c>
      <c r="G2020" s="39"/>
      <c r="H2020" s="38" t="s">
        <v>2494</v>
      </c>
      <c r="I2020" s="38" t="s">
        <v>2495</v>
      </c>
      <c r="J2020" s="38" t="s">
        <v>132</v>
      </c>
      <c r="K2020" s="38" t="s">
        <v>126</v>
      </c>
      <c r="L2020" s="41">
        <v>46006.40625</v>
      </c>
      <c r="M2020" s="38" t="s">
        <v>123</v>
      </c>
      <c r="N2020" s="41">
        <v>46006.447916666664</v>
      </c>
      <c r="O2020" s="38" t="s">
        <v>123</v>
      </c>
      <c r="P2020" s="38">
        <v>3600.0</v>
      </c>
      <c r="Q2020" s="39"/>
      <c r="R2020" s="39"/>
      <c r="S2020" s="39"/>
      <c r="T2020" s="39"/>
      <c r="U2020" s="39"/>
    </row>
    <row r="2021">
      <c r="A2021" s="40">
        <f t="shared" si="1"/>
        <v>46006</v>
      </c>
      <c r="B2021" s="37" t="str">
        <f t="array" ref="B2021">iferror(xlookup($I2021, 'IMPORT VHC Report'!$E:$E, 'IMPORT VHC Report'!$A:$C), )</f>
        <v/>
      </c>
      <c r="C2021" s="37"/>
      <c r="D2021" s="37"/>
      <c r="E2021" s="38" t="s">
        <v>2499</v>
      </c>
      <c r="F2021" s="38" t="s">
        <v>2493</v>
      </c>
      <c r="G2021" s="39"/>
      <c r="H2021" s="38" t="s">
        <v>2494</v>
      </c>
      <c r="I2021" s="38" t="s">
        <v>2495</v>
      </c>
      <c r="J2021" s="38" t="s">
        <v>125</v>
      </c>
      <c r="K2021" s="38" t="s">
        <v>126</v>
      </c>
      <c r="L2021" s="41">
        <v>46007.208333333336</v>
      </c>
      <c r="M2021" s="38" t="s">
        <v>123</v>
      </c>
      <c r="N2021" s="41">
        <v>46007.21527777778</v>
      </c>
      <c r="O2021" s="38" t="s">
        <v>123</v>
      </c>
      <c r="P2021" s="38">
        <v>600.0</v>
      </c>
      <c r="Q2021" s="39"/>
      <c r="R2021" s="39"/>
      <c r="S2021" s="38" t="s">
        <v>127</v>
      </c>
      <c r="T2021" s="39"/>
      <c r="U2021" s="39"/>
    </row>
    <row r="2022">
      <c r="A2022" s="40">
        <f t="shared" si="1"/>
        <v>46006</v>
      </c>
      <c r="B2022" s="37" t="str">
        <f t="array" ref="B2022">iferror(xlookup($I2022, 'IMPORT VHC Report'!$E:$E, 'IMPORT VHC Report'!$A:$C), )</f>
        <v/>
      </c>
      <c r="C2022" s="37"/>
      <c r="D2022" s="37"/>
      <c r="E2022" s="38" t="s">
        <v>2500</v>
      </c>
      <c r="F2022" s="38" t="s">
        <v>2493</v>
      </c>
      <c r="G2022" s="39"/>
      <c r="H2022" s="38" t="s">
        <v>2494</v>
      </c>
      <c r="I2022" s="38" t="s">
        <v>2495</v>
      </c>
      <c r="J2022" s="38" t="s">
        <v>122</v>
      </c>
      <c r="K2022" s="38" t="s">
        <v>63</v>
      </c>
      <c r="L2022" s="41">
        <v>46007.208333333336</v>
      </c>
      <c r="M2022" s="38" t="s">
        <v>123</v>
      </c>
      <c r="N2022" s="41">
        <v>46007.583333333336</v>
      </c>
      <c r="O2022" s="38" t="s">
        <v>123</v>
      </c>
      <c r="P2022" s="38">
        <v>32400.0</v>
      </c>
      <c r="Q2022" s="39"/>
      <c r="R2022" s="39"/>
      <c r="S2022" s="39"/>
      <c r="T2022" s="39"/>
      <c r="U2022" s="39"/>
    </row>
    <row r="2023">
      <c r="A2023" s="40">
        <f t="shared" si="1"/>
        <v>46006</v>
      </c>
      <c r="B2023" s="37" t="str">
        <f t="array" ref="B2023">iferror(xlookup($I2023, 'IMPORT VHC Report'!$E:$E, 'IMPORT VHC Report'!$A:$C), )</f>
        <v/>
      </c>
      <c r="C2023" s="37"/>
      <c r="D2023" s="37"/>
      <c r="E2023" s="38" t="s">
        <v>2501</v>
      </c>
      <c r="F2023" s="38" t="s">
        <v>2493</v>
      </c>
      <c r="G2023" s="39"/>
      <c r="H2023" s="38" t="s">
        <v>2494</v>
      </c>
      <c r="I2023" s="38" t="s">
        <v>2495</v>
      </c>
      <c r="J2023" s="38" t="s">
        <v>134</v>
      </c>
      <c r="K2023" s="38" t="s">
        <v>126</v>
      </c>
      <c r="L2023" s="41">
        <v>46007.291666666664</v>
      </c>
      <c r="M2023" s="38" t="s">
        <v>123</v>
      </c>
      <c r="N2023" s="41">
        <v>46007.3125</v>
      </c>
      <c r="O2023" s="38" t="s">
        <v>123</v>
      </c>
      <c r="P2023" s="38">
        <v>1800.0</v>
      </c>
      <c r="Q2023" s="39"/>
      <c r="R2023" s="39"/>
      <c r="S2023" s="39"/>
      <c r="T2023" s="39"/>
      <c r="U2023" s="39"/>
    </row>
    <row r="2024">
      <c r="A2024" s="40">
        <f t="shared" si="1"/>
        <v>46006</v>
      </c>
      <c r="B2024" s="37" t="str">
        <f t="array" ref="B2024">iferror(xlookup($I2024, 'IMPORT VHC Report'!$E:$E, 'IMPORT VHC Report'!$A:$C), )</f>
        <v/>
      </c>
      <c r="C2024" s="37"/>
      <c r="D2024" s="37"/>
      <c r="E2024" s="38" t="s">
        <v>2502</v>
      </c>
      <c r="F2024" s="38" t="s">
        <v>2493</v>
      </c>
      <c r="G2024" s="39"/>
      <c r="H2024" s="38" t="s">
        <v>2494</v>
      </c>
      <c r="I2024" s="38" t="s">
        <v>2495</v>
      </c>
      <c r="J2024" s="38" t="s">
        <v>132</v>
      </c>
      <c r="K2024" s="38" t="s">
        <v>126</v>
      </c>
      <c r="L2024" s="41">
        <v>46007.427083333336</v>
      </c>
      <c r="M2024" s="38" t="s">
        <v>123</v>
      </c>
      <c r="N2024" s="41">
        <v>46007.4375</v>
      </c>
      <c r="O2024" s="38" t="s">
        <v>123</v>
      </c>
      <c r="P2024" s="38">
        <v>900.0</v>
      </c>
      <c r="Q2024" s="39"/>
      <c r="R2024" s="39"/>
      <c r="S2024" s="39"/>
      <c r="T2024" s="39"/>
      <c r="U2024" s="39"/>
    </row>
    <row r="2025">
      <c r="A2025" s="40">
        <f t="shared" si="1"/>
        <v>46006</v>
      </c>
      <c r="B2025" s="37" t="str">
        <f t="array" ref="B2025">iferror(xlookup($I2025, 'IMPORT VHC Report'!$E:$E, 'IMPORT VHC Report'!$A:$C), )</f>
        <v/>
      </c>
      <c r="C2025" s="37"/>
      <c r="D2025" s="37"/>
      <c r="E2025" s="38" t="s">
        <v>2503</v>
      </c>
      <c r="F2025" s="38" t="s">
        <v>2493</v>
      </c>
      <c r="G2025" s="39"/>
      <c r="H2025" s="38" t="s">
        <v>2494</v>
      </c>
      <c r="I2025" s="38" t="s">
        <v>2495</v>
      </c>
      <c r="J2025" s="38" t="s">
        <v>132</v>
      </c>
      <c r="K2025" s="38" t="s">
        <v>126</v>
      </c>
      <c r="L2025" s="41">
        <v>46007.552083333336</v>
      </c>
      <c r="M2025" s="38" t="s">
        <v>123</v>
      </c>
      <c r="N2025" s="41">
        <v>46007.583333333336</v>
      </c>
      <c r="O2025" s="38" t="s">
        <v>123</v>
      </c>
      <c r="P2025" s="38">
        <v>2700.0</v>
      </c>
      <c r="Q2025" s="39"/>
      <c r="R2025" s="39"/>
      <c r="S2025" s="39"/>
      <c r="T2025" s="39"/>
      <c r="U2025" s="39"/>
    </row>
    <row r="2026">
      <c r="A2026" s="40">
        <f t="shared" si="1"/>
        <v>46006</v>
      </c>
      <c r="B2026" s="37" t="str">
        <f t="array" ref="B2026">iferror(xlookup($I2026, 'IMPORT VHC Report'!$E:$E, 'IMPORT VHC Report'!$A:$C), )</f>
        <v/>
      </c>
      <c r="C2026" s="37"/>
      <c r="D2026" s="37"/>
      <c r="E2026" s="38" t="s">
        <v>2504</v>
      </c>
      <c r="F2026" s="38" t="s">
        <v>2493</v>
      </c>
      <c r="G2026" s="39"/>
      <c r="H2026" s="38" t="s">
        <v>2494</v>
      </c>
      <c r="I2026" s="38" t="s">
        <v>2495</v>
      </c>
      <c r="J2026" s="38" t="s">
        <v>125</v>
      </c>
      <c r="K2026" s="38" t="s">
        <v>126</v>
      </c>
      <c r="L2026" s="41">
        <v>46008.208333333336</v>
      </c>
      <c r="M2026" s="38" t="s">
        <v>123</v>
      </c>
      <c r="N2026" s="41">
        <v>46008.21527777778</v>
      </c>
      <c r="O2026" s="38" t="s">
        <v>123</v>
      </c>
      <c r="P2026" s="38">
        <v>600.0</v>
      </c>
      <c r="Q2026" s="39"/>
      <c r="R2026" s="39"/>
      <c r="S2026" s="38" t="s">
        <v>127</v>
      </c>
      <c r="T2026" s="39"/>
      <c r="U2026" s="39"/>
    </row>
    <row r="2027">
      <c r="A2027" s="40">
        <f t="shared" si="1"/>
        <v>46006</v>
      </c>
      <c r="B2027" s="37" t="str">
        <f t="array" ref="B2027">iferror(xlookup($I2027, 'IMPORT VHC Report'!$E:$E, 'IMPORT VHC Report'!$A:$C), )</f>
        <v/>
      </c>
      <c r="C2027" s="37"/>
      <c r="D2027" s="37"/>
      <c r="E2027" s="38" t="s">
        <v>2505</v>
      </c>
      <c r="F2027" s="38" t="s">
        <v>2493</v>
      </c>
      <c r="G2027" s="39"/>
      <c r="H2027" s="38" t="s">
        <v>2494</v>
      </c>
      <c r="I2027" s="38" t="s">
        <v>2495</v>
      </c>
      <c r="J2027" s="38" t="s">
        <v>122</v>
      </c>
      <c r="K2027" s="38" t="s">
        <v>63</v>
      </c>
      <c r="L2027" s="41">
        <v>46008.208333333336</v>
      </c>
      <c r="M2027" s="38" t="s">
        <v>123</v>
      </c>
      <c r="N2027" s="41">
        <v>46008.583333333336</v>
      </c>
      <c r="O2027" s="38" t="s">
        <v>123</v>
      </c>
      <c r="P2027" s="38">
        <v>32400.0</v>
      </c>
      <c r="Q2027" s="39"/>
      <c r="R2027" s="39"/>
      <c r="S2027" s="39"/>
      <c r="T2027" s="39"/>
      <c r="U2027" s="39"/>
    </row>
    <row r="2028">
      <c r="A2028" s="40">
        <f t="shared" si="1"/>
        <v>46006</v>
      </c>
      <c r="B2028" s="37" t="str">
        <f t="array" ref="B2028">iferror(xlookup($I2028, 'IMPORT VHC Report'!$E:$E, 'IMPORT VHC Report'!$A:$C), )</f>
        <v/>
      </c>
      <c r="C2028" s="37"/>
      <c r="D2028" s="37"/>
      <c r="E2028" s="38" t="s">
        <v>2506</v>
      </c>
      <c r="F2028" s="38" t="s">
        <v>2493</v>
      </c>
      <c r="G2028" s="39"/>
      <c r="H2028" s="38" t="s">
        <v>2494</v>
      </c>
      <c r="I2028" s="38" t="s">
        <v>2495</v>
      </c>
      <c r="J2028" s="38" t="s">
        <v>134</v>
      </c>
      <c r="K2028" s="38" t="s">
        <v>126</v>
      </c>
      <c r="L2028" s="41">
        <v>46008.354166666664</v>
      </c>
      <c r="M2028" s="38" t="s">
        <v>123</v>
      </c>
      <c r="N2028" s="41">
        <v>46008.375</v>
      </c>
      <c r="O2028" s="38" t="s">
        <v>123</v>
      </c>
      <c r="P2028" s="38">
        <v>1800.0</v>
      </c>
      <c r="Q2028" s="39"/>
      <c r="R2028" s="39"/>
      <c r="S2028" s="39"/>
      <c r="T2028" s="39"/>
      <c r="U2028" s="39"/>
    </row>
    <row r="2029">
      <c r="A2029" s="40">
        <f t="shared" si="1"/>
        <v>46006</v>
      </c>
      <c r="B2029" s="37" t="str">
        <f t="array" ref="B2029">iferror(xlookup($I2029, 'IMPORT VHC Report'!$E:$E, 'IMPORT VHC Report'!$A:$C), )</f>
        <v/>
      </c>
      <c r="C2029" s="37"/>
      <c r="D2029" s="37"/>
      <c r="E2029" s="38" t="s">
        <v>2507</v>
      </c>
      <c r="F2029" s="38" t="s">
        <v>2493</v>
      </c>
      <c r="G2029" s="39"/>
      <c r="H2029" s="38" t="s">
        <v>2494</v>
      </c>
      <c r="I2029" s="38" t="s">
        <v>2495</v>
      </c>
      <c r="J2029" s="38" t="s">
        <v>136</v>
      </c>
      <c r="K2029" s="38" t="s">
        <v>126</v>
      </c>
      <c r="L2029" s="41">
        <v>46008.416666666664</v>
      </c>
      <c r="M2029" s="38" t="s">
        <v>123</v>
      </c>
      <c r="N2029" s="41">
        <v>46008.447916666664</v>
      </c>
      <c r="O2029" s="38" t="s">
        <v>123</v>
      </c>
      <c r="P2029" s="38">
        <v>2700.0</v>
      </c>
      <c r="Q2029" s="39"/>
      <c r="R2029" s="39"/>
      <c r="S2029" s="38" t="s">
        <v>137</v>
      </c>
      <c r="T2029" s="39"/>
      <c r="U2029" s="39"/>
    </row>
    <row r="2030">
      <c r="A2030" s="40">
        <f t="shared" si="1"/>
        <v>46006</v>
      </c>
      <c r="B2030" s="37" t="str">
        <f t="array" ref="B2030">iferror(xlookup($I2030, 'IMPORT VHC Report'!$E:$E, 'IMPORT VHC Report'!$A:$C), )</f>
        <v/>
      </c>
      <c r="C2030" s="37"/>
      <c r="D2030" s="37"/>
      <c r="E2030" s="38" t="s">
        <v>2508</v>
      </c>
      <c r="F2030" s="38" t="s">
        <v>2493</v>
      </c>
      <c r="G2030" s="39"/>
      <c r="H2030" s="38" t="s">
        <v>2494</v>
      </c>
      <c r="I2030" s="38" t="s">
        <v>2495</v>
      </c>
      <c r="J2030" s="38" t="s">
        <v>132</v>
      </c>
      <c r="K2030" s="38" t="s">
        <v>126</v>
      </c>
      <c r="L2030" s="41">
        <v>46008.489583333336</v>
      </c>
      <c r="M2030" s="38" t="s">
        <v>123</v>
      </c>
      <c r="N2030" s="41">
        <v>46008.53125</v>
      </c>
      <c r="O2030" s="38" t="s">
        <v>123</v>
      </c>
      <c r="P2030" s="38">
        <v>3600.0</v>
      </c>
      <c r="Q2030" s="39"/>
      <c r="R2030" s="39"/>
      <c r="S2030" s="39"/>
      <c r="T2030" s="39"/>
      <c r="U2030" s="39"/>
    </row>
    <row r="2031">
      <c r="A2031" s="40">
        <f t="shared" si="1"/>
        <v>46006</v>
      </c>
      <c r="B2031" s="37" t="str">
        <f t="array" ref="B2031">iferror(xlookup($I2031, 'IMPORT VHC Report'!$E:$E, 'IMPORT VHC Report'!$A:$C), )</f>
        <v/>
      </c>
      <c r="C2031" s="37"/>
      <c r="D2031" s="37"/>
      <c r="E2031" s="38" t="s">
        <v>2509</v>
      </c>
      <c r="F2031" s="38" t="s">
        <v>2493</v>
      </c>
      <c r="G2031" s="39"/>
      <c r="H2031" s="38" t="s">
        <v>2494</v>
      </c>
      <c r="I2031" s="38" t="s">
        <v>2495</v>
      </c>
      <c r="J2031" s="38" t="s">
        <v>4</v>
      </c>
      <c r="K2031" s="38" t="s">
        <v>126</v>
      </c>
      <c r="L2031" s="41">
        <v>46008.53125</v>
      </c>
      <c r="M2031" s="38" t="s">
        <v>123</v>
      </c>
      <c r="N2031" s="41">
        <v>46008.572916666664</v>
      </c>
      <c r="O2031" s="38" t="s">
        <v>123</v>
      </c>
      <c r="P2031" s="38">
        <v>3600.0</v>
      </c>
      <c r="Q2031" s="39"/>
      <c r="R2031" s="39"/>
      <c r="S2031" s="38" t="s">
        <v>130</v>
      </c>
      <c r="T2031" s="39"/>
      <c r="U2031" s="39"/>
    </row>
    <row r="2032">
      <c r="A2032" s="40">
        <f t="shared" si="1"/>
        <v>46006</v>
      </c>
      <c r="B2032" s="37" t="str">
        <f t="array" ref="B2032">iferror(xlookup($I2032, 'IMPORT VHC Report'!$E:$E, 'IMPORT VHC Report'!$A:$C), )</f>
        <v/>
      </c>
      <c r="C2032" s="37"/>
      <c r="D2032" s="37"/>
      <c r="E2032" s="38" t="s">
        <v>2510</v>
      </c>
      <c r="F2032" s="38" t="s">
        <v>2493</v>
      </c>
      <c r="G2032" s="39"/>
      <c r="H2032" s="38" t="s">
        <v>2494</v>
      </c>
      <c r="I2032" s="38" t="s">
        <v>2495</v>
      </c>
      <c r="J2032" s="38" t="s">
        <v>125</v>
      </c>
      <c r="K2032" s="38" t="s">
        <v>126</v>
      </c>
      <c r="L2032" s="41">
        <v>46009.208333333336</v>
      </c>
      <c r="M2032" s="38" t="s">
        <v>123</v>
      </c>
      <c r="N2032" s="41">
        <v>46009.21527777778</v>
      </c>
      <c r="O2032" s="38" t="s">
        <v>123</v>
      </c>
      <c r="P2032" s="38">
        <v>600.0</v>
      </c>
      <c r="Q2032" s="39"/>
      <c r="R2032" s="39"/>
      <c r="S2032" s="38" t="s">
        <v>127</v>
      </c>
      <c r="T2032" s="39"/>
      <c r="U2032" s="39"/>
    </row>
    <row r="2033">
      <c r="A2033" s="40">
        <f t="shared" si="1"/>
        <v>46006</v>
      </c>
      <c r="B2033" s="37" t="str">
        <f t="array" ref="B2033">iferror(xlookup($I2033, 'IMPORT VHC Report'!$E:$E, 'IMPORT VHC Report'!$A:$C), )</f>
        <v/>
      </c>
      <c r="C2033" s="37"/>
      <c r="D2033" s="37"/>
      <c r="E2033" s="38" t="s">
        <v>2511</v>
      </c>
      <c r="F2033" s="38" t="s">
        <v>2493</v>
      </c>
      <c r="G2033" s="39"/>
      <c r="H2033" s="38" t="s">
        <v>2494</v>
      </c>
      <c r="I2033" s="38" t="s">
        <v>2495</v>
      </c>
      <c r="J2033" s="38" t="s">
        <v>122</v>
      </c>
      <c r="K2033" s="38" t="s">
        <v>63</v>
      </c>
      <c r="L2033" s="41">
        <v>46009.208333333336</v>
      </c>
      <c r="M2033" s="38" t="s">
        <v>123</v>
      </c>
      <c r="N2033" s="41">
        <v>46009.583333333336</v>
      </c>
      <c r="O2033" s="38" t="s">
        <v>123</v>
      </c>
      <c r="P2033" s="38">
        <v>32400.0</v>
      </c>
      <c r="Q2033" s="39"/>
      <c r="R2033" s="39"/>
      <c r="S2033" s="39"/>
      <c r="T2033" s="39"/>
      <c r="U2033" s="39"/>
    </row>
    <row r="2034">
      <c r="A2034" s="40">
        <f t="shared" si="1"/>
        <v>46006</v>
      </c>
      <c r="B2034" s="37" t="str">
        <f t="array" ref="B2034">iferror(xlookup($I2034, 'IMPORT VHC Report'!$E:$E, 'IMPORT VHC Report'!$A:$C), )</f>
        <v/>
      </c>
      <c r="C2034" s="37"/>
      <c r="D2034" s="37"/>
      <c r="E2034" s="38" t="s">
        <v>2512</v>
      </c>
      <c r="F2034" s="38" t="s">
        <v>2493</v>
      </c>
      <c r="G2034" s="39"/>
      <c r="H2034" s="38" t="s">
        <v>2494</v>
      </c>
      <c r="I2034" s="38" t="s">
        <v>2495</v>
      </c>
      <c r="J2034" s="38" t="s">
        <v>132</v>
      </c>
      <c r="K2034" s="38" t="s">
        <v>126</v>
      </c>
      <c r="L2034" s="41">
        <v>46009.322916666664</v>
      </c>
      <c r="M2034" s="38" t="s">
        <v>123</v>
      </c>
      <c r="N2034" s="41">
        <v>46009.364583333336</v>
      </c>
      <c r="O2034" s="38" t="s">
        <v>123</v>
      </c>
      <c r="P2034" s="38">
        <v>3600.0</v>
      </c>
      <c r="Q2034" s="39"/>
      <c r="R2034" s="39"/>
      <c r="S2034" s="39"/>
      <c r="T2034" s="39"/>
      <c r="U2034" s="39"/>
    </row>
    <row r="2035">
      <c r="A2035" s="40">
        <f t="shared" si="1"/>
        <v>46006</v>
      </c>
      <c r="B2035" s="37" t="str">
        <f t="array" ref="B2035">iferror(xlookup($I2035, 'IMPORT VHC Report'!$E:$E, 'IMPORT VHC Report'!$A:$C), )</f>
        <v/>
      </c>
      <c r="C2035" s="37"/>
      <c r="D2035" s="37"/>
      <c r="E2035" s="38" t="s">
        <v>2513</v>
      </c>
      <c r="F2035" s="38" t="s">
        <v>2493</v>
      </c>
      <c r="G2035" s="39"/>
      <c r="H2035" s="38" t="s">
        <v>2494</v>
      </c>
      <c r="I2035" s="38" t="s">
        <v>2495</v>
      </c>
      <c r="J2035" s="38" t="s">
        <v>134</v>
      </c>
      <c r="K2035" s="38" t="s">
        <v>126</v>
      </c>
      <c r="L2035" s="41">
        <v>46009.447916666664</v>
      </c>
      <c r="M2035" s="38" t="s">
        <v>123</v>
      </c>
      <c r="N2035" s="41">
        <v>46009.46875</v>
      </c>
      <c r="O2035" s="38" t="s">
        <v>123</v>
      </c>
      <c r="P2035" s="38">
        <v>1800.0</v>
      </c>
      <c r="Q2035" s="39"/>
      <c r="R2035" s="39"/>
      <c r="S2035" s="39"/>
      <c r="T2035" s="39"/>
      <c r="U2035" s="39"/>
    </row>
    <row r="2036">
      <c r="A2036" s="40">
        <f t="shared" si="1"/>
        <v>46006</v>
      </c>
      <c r="B2036" s="37" t="str">
        <f t="array" ref="B2036">iferror(xlookup($I2036, 'IMPORT VHC Report'!$E:$E, 'IMPORT VHC Report'!$A:$C), )</f>
        <v/>
      </c>
      <c r="C2036" s="37"/>
      <c r="D2036" s="37"/>
      <c r="E2036" s="38" t="s">
        <v>2514</v>
      </c>
      <c r="F2036" s="38" t="s">
        <v>2493</v>
      </c>
      <c r="G2036" s="39"/>
      <c r="H2036" s="38" t="s">
        <v>2494</v>
      </c>
      <c r="I2036" s="38" t="s">
        <v>2495</v>
      </c>
      <c r="J2036" s="38" t="s">
        <v>125</v>
      </c>
      <c r="K2036" s="38" t="s">
        <v>126</v>
      </c>
      <c r="L2036" s="41">
        <v>46010.208333333336</v>
      </c>
      <c r="M2036" s="38" t="s">
        <v>123</v>
      </c>
      <c r="N2036" s="41">
        <v>46010.21527777778</v>
      </c>
      <c r="O2036" s="38" t="s">
        <v>123</v>
      </c>
      <c r="P2036" s="38">
        <v>600.0</v>
      </c>
      <c r="Q2036" s="39"/>
      <c r="R2036" s="39"/>
      <c r="S2036" s="38" t="s">
        <v>127</v>
      </c>
      <c r="T2036" s="39"/>
      <c r="U2036" s="39"/>
    </row>
    <row r="2037">
      <c r="A2037" s="40">
        <f t="shared" si="1"/>
        <v>46006</v>
      </c>
      <c r="B2037" s="37" t="str">
        <f t="array" ref="B2037">iferror(xlookup($I2037, 'IMPORT VHC Report'!$E:$E, 'IMPORT VHC Report'!$A:$C), )</f>
        <v/>
      </c>
      <c r="C2037" s="37"/>
      <c r="D2037" s="37"/>
      <c r="E2037" s="38" t="s">
        <v>2515</v>
      </c>
      <c r="F2037" s="38" t="s">
        <v>2493</v>
      </c>
      <c r="G2037" s="39"/>
      <c r="H2037" s="38" t="s">
        <v>2494</v>
      </c>
      <c r="I2037" s="38" t="s">
        <v>2495</v>
      </c>
      <c r="J2037" s="38" t="s">
        <v>122</v>
      </c>
      <c r="K2037" s="38" t="s">
        <v>63</v>
      </c>
      <c r="L2037" s="41">
        <v>46010.208333333336</v>
      </c>
      <c r="M2037" s="38" t="s">
        <v>123</v>
      </c>
      <c r="N2037" s="41">
        <v>46010.583333333336</v>
      </c>
      <c r="O2037" s="38" t="s">
        <v>123</v>
      </c>
      <c r="P2037" s="38">
        <v>32400.0</v>
      </c>
      <c r="Q2037" s="39"/>
      <c r="R2037" s="39"/>
      <c r="S2037" s="39"/>
      <c r="T2037" s="39"/>
      <c r="U2037" s="39"/>
    </row>
    <row r="2038">
      <c r="A2038" s="40">
        <f t="shared" si="1"/>
        <v>46006</v>
      </c>
      <c r="B2038" s="37" t="str">
        <f t="array" ref="B2038">iferror(xlookup($I2038, 'IMPORT VHC Report'!$E:$E, 'IMPORT VHC Report'!$A:$C), )</f>
        <v/>
      </c>
      <c r="C2038" s="37"/>
      <c r="D2038" s="37"/>
      <c r="E2038" s="38" t="s">
        <v>2516</v>
      </c>
      <c r="F2038" s="38" t="s">
        <v>2493</v>
      </c>
      <c r="G2038" s="39"/>
      <c r="H2038" s="38" t="s">
        <v>2494</v>
      </c>
      <c r="I2038" s="38" t="s">
        <v>2495</v>
      </c>
      <c r="J2038" s="38" t="s">
        <v>134</v>
      </c>
      <c r="K2038" s="38" t="s">
        <v>126</v>
      </c>
      <c r="L2038" s="41">
        <v>46010.354166666664</v>
      </c>
      <c r="M2038" s="38" t="s">
        <v>123</v>
      </c>
      <c r="N2038" s="41">
        <v>46010.375</v>
      </c>
      <c r="O2038" s="38" t="s">
        <v>123</v>
      </c>
      <c r="P2038" s="38">
        <v>1800.0</v>
      </c>
      <c r="Q2038" s="39"/>
      <c r="R2038" s="39"/>
      <c r="S2038" s="39"/>
      <c r="T2038" s="39"/>
      <c r="U2038" s="39"/>
    </row>
    <row r="2039">
      <c r="A2039" s="40">
        <f t="shared" si="1"/>
        <v>46006</v>
      </c>
      <c r="B2039" s="37" t="str">
        <f t="array" ref="B2039">iferror(xlookup($I2039, 'IMPORT VHC Report'!$E:$E, 'IMPORT VHC Report'!$A:$C), )</f>
        <v/>
      </c>
      <c r="C2039" s="37"/>
      <c r="D2039" s="37"/>
      <c r="E2039" s="38" t="s">
        <v>2517</v>
      </c>
      <c r="F2039" s="38" t="s">
        <v>2493</v>
      </c>
      <c r="G2039" s="39"/>
      <c r="H2039" s="38" t="s">
        <v>2494</v>
      </c>
      <c r="I2039" s="38" t="s">
        <v>2495</v>
      </c>
      <c r="J2039" s="38" t="s">
        <v>132</v>
      </c>
      <c r="K2039" s="38" t="s">
        <v>126</v>
      </c>
      <c r="L2039" s="41">
        <v>46010.46875</v>
      </c>
      <c r="M2039" s="38" t="s">
        <v>123</v>
      </c>
      <c r="N2039" s="41">
        <v>46010.510416666664</v>
      </c>
      <c r="O2039" s="38" t="s">
        <v>123</v>
      </c>
      <c r="P2039" s="38">
        <v>3600.0</v>
      </c>
      <c r="Q2039" s="39"/>
      <c r="R2039" s="39"/>
      <c r="S2039" s="39"/>
      <c r="T2039" s="39"/>
      <c r="U2039" s="39"/>
    </row>
    <row r="2040">
      <c r="A2040" s="40">
        <f t="shared" si="1"/>
        <v>46006</v>
      </c>
      <c r="B2040" s="37" t="str">
        <f t="array" ref="B2040">iferror(xlookup($I2040, 'IMPORT VHC Report'!$E:$E, 'IMPORT VHC Report'!$A:$C), )</f>
        <v/>
      </c>
      <c r="C2040" s="37"/>
      <c r="D2040" s="37"/>
      <c r="E2040" s="38" t="s">
        <v>2518</v>
      </c>
      <c r="F2040" s="38" t="s">
        <v>2519</v>
      </c>
      <c r="G2040" s="39"/>
      <c r="H2040" s="38" t="s">
        <v>2520</v>
      </c>
      <c r="I2040" s="38" t="s">
        <v>2521</v>
      </c>
      <c r="J2040" s="38" t="s">
        <v>125</v>
      </c>
      <c r="K2040" s="38" t="s">
        <v>126</v>
      </c>
      <c r="L2040" s="41">
        <v>46006.25</v>
      </c>
      <c r="M2040" s="38" t="s">
        <v>123</v>
      </c>
      <c r="N2040" s="41">
        <v>46006.256944444445</v>
      </c>
      <c r="O2040" s="38" t="s">
        <v>123</v>
      </c>
      <c r="P2040" s="38">
        <v>600.0</v>
      </c>
      <c r="Q2040" s="39"/>
      <c r="R2040" s="39"/>
      <c r="S2040" s="38" t="s">
        <v>127</v>
      </c>
      <c r="T2040" s="39"/>
      <c r="U2040" s="39"/>
    </row>
    <row r="2041">
      <c r="A2041" s="40">
        <f t="shared" si="1"/>
        <v>46006</v>
      </c>
      <c r="B2041" s="37" t="str">
        <f t="array" ref="B2041">iferror(xlookup($I2041, 'IMPORT VHC Report'!$E:$E, 'IMPORT VHC Report'!$A:$C), )</f>
        <v/>
      </c>
      <c r="C2041" s="37"/>
      <c r="D2041" s="37"/>
      <c r="E2041" s="38" t="s">
        <v>2522</v>
      </c>
      <c r="F2041" s="38" t="s">
        <v>2519</v>
      </c>
      <c r="G2041" s="39"/>
      <c r="H2041" s="38" t="s">
        <v>2520</v>
      </c>
      <c r="I2041" s="38" t="s">
        <v>2521</v>
      </c>
      <c r="J2041" s="38" t="s">
        <v>122</v>
      </c>
      <c r="K2041" s="38" t="s">
        <v>63</v>
      </c>
      <c r="L2041" s="41">
        <v>46006.25</v>
      </c>
      <c r="M2041" s="38" t="s">
        <v>123</v>
      </c>
      <c r="N2041" s="41">
        <v>46006.625</v>
      </c>
      <c r="O2041" s="38" t="s">
        <v>123</v>
      </c>
      <c r="P2041" s="38">
        <v>32400.0</v>
      </c>
      <c r="Q2041" s="39"/>
      <c r="R2041" s="39"/>
      <c r="S2041" s="39"/>
      <c r="T2041" s="39"/>
      <c r="U2041" s="39"/>
    </row>
    <row r="2042">
      <c r="A2042" s="40">
        <f t="shared" si="1"/>
        <v>46006</v>
      </c>
      <c r="B2042" s="37" t="str">
        <f t="array" ref="B2042">iferror(xlookup($I2042, 'IMPORT VHC Report'!$E:$E, 'IMPORT VHC Report'!$A:$C), )</f>
        <v/>
      </c>
      <c r="C2042" s="37"/>
      <c r="D2042" s="37"/>
      <c r="E2042" s="38" t="s">
        <v>2523</v>
      </c>
      <c r="F2042" s="38" t="s">
        <v>2519</v>
      </c>
      <c r="G2042" s="39"/>
      <c r="H2042" s="38" t="s">
        <v>2520</v>
      </c>
      <c r="I2042" s="38" t="s">
        <v>2521</v>
      </c>
      <c r="J2042" s="38" t="s">
        <v>134</v>
      </c>
      <c r="K2042" s="38" t="s">
        <v>126</v>
      </c>
      <c r="L2042" s="41">
        <v>46006.333333333336</v>
      </c>
      <c r="M2042" s="38" t="s">
        <v>123</v>
      </c>
      <c r="N2042" s="41">
        <v>46006.354166666664</v>
      </c>
      <c r="O2042" s="38" t="s">
        <v>123</v>
      </c>
      <c r="P2042" s="38">
        <v>1800.0</v>
      </c>
      <c r="Q2042" s="39"/>
      <c r="R2042" s="39"/>
      <c r="S2042" s="39"/>
      <c r="T2042" s="39"/>
      <c r="U2042" s="39"/>
    </row>
    <row r="2043">
      <c r="A2043" s="40">
        <f t="shared" si="1"/>
        <v>46006</v>
      </c>
      <c r="B2043" s="37" t="str">
        <f t="array" ref="B2043">iferror(xlookup($I2043, 'IMPORT VHC Report'!$E:$E, 'IMPORT VHC Report'!$A:$C), )</f>
        <v/>
      </c>
      <c r="C2043" s="37"/>
      <c r="D2043" s="37"/>
      <c r="E2043" s="38" t="s">
        <v>2524</v>
      </c>
      <c r="F2043" s="38" t="s">
        <v>2519</v>
      </c>
      <c r="G2043" s="39"/>
      <c r="H2043" s="38" t="s">
        <v>2520</v>
      </c>
      <c r="I2043" s="38" t="s">
        <v>2521</v>
      </c>
      <c r="J2043" s="38" t="s">
        <v>132</v>
      </c>
      <c r="K2043" s="38" t="s">
        <v>126</v>
      </c>
      <c r="L2043" s="41">
        <v>46006.447916666664</v>
      </c>
      <c r="M2043" s="38" t="s">
        <v>123</v>
      </c>
      <c r="N2043" s="41">
        <v>46006.489583333336</v>
      </c>
      <c r="O2043" s="38" t="s">
        <v>123</v>
      </c>
      <c r="P2043" s="38">
        <v>3600.0</v>
      </c>
      <c r="Q2043" s="39"/>
      <c r="R2043" s="39"/>
      <c r="S2043" s="39"/>
      <c r="T2043" s="39"/>
      <c r="U2043" s="39"/>
    </row>
    <row r="2044">
      <c r="A2044" s="40">
        <f t="shared" si="1"/>
        <v>46006</v>
      </c>
      <c r="B2044" s="37" t="str">
        <f t="array" ref="B2044">iferror(xlookup($I2044, 'IMPORT VHC Report'!$E:$E, 'IMPORT VHC Report'!$A:$C), )</f>
        <v/>
      </c>
      <c r="C2044" s="37"/>
      <c r="D2044" s="37"/>
      <c r="E2044" s="38" t="s">
        <v>2525</v>
      </c>
      <c r="F2044" s="38" t="s">
        <v>2519</v>
      </c>
      <c r="G2044" s="39"/>
      <c r="H2044" s="38" t="s">
        <v>2520</v>
      </c>
      <c r="I2044" s="38" t="s">
        <v>2521</v>
      </c>
      <c r="J2044" s="38" t="s">
        <v>125</v>
      </c>
      <c r="K2044" s="38" t="s">
        <v>126</v>
      </c>
      <c r="L2044" s="41">
        <v>46007.25</v>
      </c>
      <c r="M2044" s="38" t="s">
        <v>123</v>
      </c>
      <c r="N2044" s="41">
        <v>46007.256944444445</v>
      </c>
      <c r="O2044" s="38" t="s">
        <v>123</v>
      </c>
      <c r="P2044" s="38">
        <v>600.0</v>
      </c>
      <c r="Q2044" s="39"/>
      <c r="R2044" s="39"/>
      <c r="S2044" s="38" t="s">
        <v>127</v>
      </c>
      <c r="T2044" s="39"/>
      <c r="U2044" s="39"/>
    </row>
    <row r="2045">
      <c r="A2045" s="40">
        <f t="shared" si="1"/>
        <v>46006</v>
      </c>
      <c r="B2045" s="37" t="str">
        <f t="array" ref="B2045">iferror(xlookup($I2045, 'IMPORT VHC Report'!$E:$E, 'IMPORT VHC Report'!$A:$C), )</f>
        <v/>
      </c>
      <c r="C2045" s="37"/>
      <c r="D2045" s="37"/>
      <c r="E2045" s="38" t="s">
        <v>2526</v>
      </c>
      <c r="F2045" s="38" t="s">
        <v>2519</v>
      </c>
      <c r="G2045" s="39"/>
      <c r="H2045" s="38" t="s">
        <v>2520</v>
      </c>
      <c r="I2045" s="38" t="s">
        <v>2521</v>
      </c>
      <c r="J2045" s="38" t="s">
        <v>122</v>
      </c>
      <c r="K2045" s="38" t="s">
        <v>63</v>
      </c>
      <c r="L2045" s="41">
        <v>46007.25</v>
      </c>
      <c r="M2045" s="38" t="s">
        <v>123</v>
      </c>
      <c r="N2045" s="41">
        <v>46007.625</v>
      </c>
      <c r="O2045" s="38" t="s">
        <v>123</v>
      </c>
      <c r="P2045" s="38">
        <v>32400.0</v>
      </c>
      <c r="Q2045" s="39"/>
      <c r="R2045" s="39"/>
      <c r="S2045" s="39"/>
      <c r="T2045" s="39"/>
      <c r="U2045" s="39"/>
    </row>
    <row r="2046">
      <c r="A2046" s="40">
        <f t="shared" si="1"/>
        <v>46006</v>
      </c>
      <c r="B2046" s="37" t="str">
        <f t="array" ref="B2046">iferror(xlookup($I2046, 'IMPORT VHC Report'!$E:$E, 'IMPORT VHC Report'!$A:$C), )</f>
        <v/>
      </c>
      <c r="C2046" s="37"/>
      <c r="D2046" s="37"/>
      <c r="E2046" s="38" t="s">
        <v>2527</v>
      </c>
      <c r="F2046" s="38" t="s">
        <v>2519</v>
      </c>
      <c r="G2046" s="39"/>
      <c r="H2046" s="38" t="s">
        <v>2520</v>
      </c>
      <c r="I2046" s="38" t="s">
        <v>2521</v>
      </c>
      <c r="J2046" s="38" t="s">
        <v>134</v>
      </c>
      <c r="K2046" s="38" t="s">
        <v>126</v>
      </c>
      <c r="L2046" s="41">
        <v>46007.333333333336</v>
      </c>
      <c r="M2046" s="38" t="s">
        <v>123</v>
      </c>
      <c r="N2046" s="41">
        <v>46007.354166666664</v>
      </c>
      <c r="O2046" s="38" t="s">
        <v>123</v>
      </c>
      <c r="P2046" s="38">
        <v>1800.0</v>
      </c>
      <c r="Q2046" s="39"/>
      <c r="R2046" s="39"/>
      <c r="S2046" s="39"/>
      <c r="T2046" s="39"/>
      <c r="U2046" s="39"/>
    </row>
    <row r="2047">
      <c r="A2047" s="40">
        <f t="shared" si="1"/>
        <v>46006</v>
      </c>
      <c r="B2047" s="37" t="str">
        <f t="array" ref="B2047">iferror(xlookup($I2047, 'IMPORT VHC Report'!$E:$E, 'IMPORT VHC Report'!$A:$C), )</f>
        <v/>
      </c>
      <c r="C2047" s="37"/>
      <c r="D2047" s="37"/>
      <c r="E2047" s="38" t="s">
        <v>2528</v>
      </c>
      <c r="F2047" s="38" t="s">
        <v>2519</v>
      </c>
      <c r="G2047" s="39"/>
      <c r="H2047" s="38" t="s">
        <v>2520</v>
      </c>
      <c r="I2047" s="38" t="s">
        <v>2521</v>
      </c>
      <c r="J2047" s="38" t="s">
        <v>132</v>
      </c>
      <c r="K2047" s="38" t="s">
        <v>126</v>
      </c>
      <c r="L2047" s="41">
        <v>46007.458333333336</v>
      </c>
      <c r="M2047" s="38" t="s">
        <v>123</v>
      </c>
      <c r="N2047" s="41">
        <v>46007.5</v>
      </c>
      <c r="O2047" s="38" t="s">
        <v>123</v>
      </c>
      <c r="P2047" s="38">
        <v>3600.0</v>
      </c>
      <c r="Q2047" s="39"/>
      <c r="R2047" s="39"/>
      <c r="S2047" s="39"/>
      <c r="T2047" s="39"/>
      <c r="U2047" s="39"/>
    </row>
    <row r="2048">
      <c r="A2048" s="40">
        <f t="shared" si="1"/>
        <v>46006</v>
      </c>
      <c r="B2048" s="37" t="str">
        <f t="array" ref="B2048">iferror(xlookup($I2048, 'IMPORT VHC Report'!$E:$E, 'IMPORT VHC Report'!$A:$C), )</f>
        <v/>
      </c>
      <c r="C2048" s="37"/>
      <c r="D2048" s="37"/>
      <c r="E2048" s="38" t="s">
        <v>2529</v>
      </c>
      <c r="F2048" s="38" t="s">
        <v>2519</v>
      </c>
      <c r="G2048" s="39"/>
      <c r="H2048" s="38" t="s">
        <v>2520</v>
      </c>
      <c r="I2048" s="38" t="s">
        <v>2521</v>
      </c>
      <c r="J2048" s="38" t="s">
        <v>125</v>
      </c>
      <c r="K2048" s="38" t="s">
        <v>126</v>
      </c>
      <c r="L2048" s="41">
        <v>46008.25</v>
      </c>
      <c r="M2048" s="38" t="s">
        <v>123</v>
      </c>
      <c r="N2048" s="41">
        <v>46008.256944444445</v>
      </c>
      <c r="O2048" s="38" t="s">
        <v>123</v>
      </c>
      <c r="P2048" s="38">
        <v>600.0</v>
      </c>
      <c r="Q2048" s="39"/>
      <c r="R2048" s="39"/>
      <c r="S2048" s="38" t="s">
        <v>127</v>
      </c>
      <c r="T2048" s="39"/>
      <c r="U2048" s="39"/>
    </row>
    <row r="2049">
      <c r="A2049" s="40">
        <f t="shared" si="1"/>
        <v>46006</v>
      </c>
      <c r="B2049" s="37" t="str">
        <f t="array" ref="B2049">iferror(xlookup($I2049, 'IMPORT VHC Report'!$E:$E, 'IMPORT VHC Report'!$A:$C), )</f>
        <v/>
      </c>
      <c r="C2049" s="37"/>
      <c r="D2049" s="37"/>
      <c r="E2049" s="38" t="s">
        <v>2530</v>
      </c>
      <c r="F2049" s="38" t="s">
        <v>2519</v>
      </c>
      <c r="G2049" s="39"/>
      <c r="H2049" s="38" t="s">
        <v>2520</v>
      </c>
      <c r="I2049" s="38" t="s">
        <v>2521</v>
      </c>
      <c r="J2049" s="38" t="s">
        <v>122</v>
      </c>
      <c r="K2049" s="38" t="s">
        <v>63</v>
      </c>
      <c r="L2049" s="41">
        <v>46008.25</v>
      </c>
      <c r="M2049" s="38" t="s">
        <v>123</v>
      </c>
      <c r="N2049" s="41">
        <v>46008.625</v>
      </c>
      <c r="O2049" s="38" t="s">
        <v>123</v>
      </c>
      <c r="P2049" s="38">
        <v>32400.0</v>
      </c>
      <c r="Q2049" s="39"/>
      <c r="R2049" s="39"/>
      <c r="S2049" s="39"/>
      <c r="T2049" s="39"/>
      <c r="U2049" s="39"/>
    </row>
    <row r="2050">
      <c r="A2050" s="40">
        <f t="shared" si="1"/>
        <v>46006</v>
      </c>
      <c r="B2050" s="37" t="str">
        <f t="array" ref="B2050">iferror(xlookup($I2050, 'IMPORT VHC Report'!$E:$E, 'IMPORT VHC Report'!$A:$C), )</f>
        <v/>
      </c>
      <c r="C2050" s="37"/>
      <c r="D2050" s="37"/>
      <c r="E2050" s="38" t="s">
        <v>2531</v>
      </c>
      <c r="F2050" s="38" t="s">
        <v>2519</v>
      </c>
      <c r="G2050" s="39"/>
      <c r="H2050" s="38" t="s">
        <v>2520</v>
      </c>
      <c r="I2050" s="38" t="s">
        <v>2521</v>
      </c>
      <c r="J2050" s="38" t="s">
        <v>134</v>
      </c>
      <c r="K2050" s="38" t="s">
        <v>126</v>
      </c>
      <c r="L2050" s="41">
        <v>46008.333333333336</v>
      </c>
      <c r="M2050" s="38" t="s">
        <v>123</v>
      </c>
      <c r="N2050" s="41">
        <v>46008.354166666664</v>
      </c>
      <c r="O2050" s="38" t="s">
        <v>123</v>
      </c>
      <c r="P2050" s="38">
        <v>1800.0</v>
      </c>
      <c r="Q2050" s="39"/>
      <c r="R2050" s="39"/>
      <c r="S2050" s="39"/>
      <c r="T2050" s="39"/>
      <c r="U2050" s="39"/>
    </row>
    <row r="2051">
      <c r="A2051" s="40">
        <f t="shared" si="1"/>
        <v>46006</v>
      </c>
      <c r="B2051" s="37" t="str">
        <f t="array" ref="B2051">iferror(xlookup($I2051, 'IMPORT VHC Report'!$E:$E, 'IMPORT VHC Report'!$A:$C), )</f>
        <v/>
      </c>
      <c r="C2051" s="37"/>
      <c r="D2051" s="37"/>
      <c r="E2051" s="38" t="s">
        <v>2532</v>
      </c>
      <c r="F2051" s="38" t="s">
        <v>2519</v>
      </c>
      <c r="G2051" s="39"/>
      <c r="H2051" s="38" t="s">
        <v>2520</v>
      </c>
      <c r="I2051" s="38" t="s">
        <v>2521</v>
      </c>
      <c r="J2051" s="38" t="s">
        <v>136</v>
      </c>
      <c r="K2051" s="38" t="s">
        <v>126</v>
      </c>
      <c r="L2051" s="41">
        <v>46008.416666666664</v>
      </c>
      <c r="M2051" s="38" t="s">
        <v>123</v>
      </c>
      <c r="N2051" s="41">
        <v>46008.447916666664</v>
      </c>
      <c r="O2051" s="38" t="s">
        <v>123</v>
      </c>
      <c r="P2051" s="38">
        <v>2700.0</v>
      </c>
      <c r="Q2051" s="39"/>
      <c r="R2051" s="39"/>
      <c r="S2051" s="38" t="s">
        <v>137</v>
      </c>
      <c r="T2051" s="39"/>
      <c r="U2051" s="39"/>
    </row>
    <row r="2052">
      <c r="A2052" s="40">
        <f t="shared" si="1"/>
        <v>46006</v>
      </c>
      <c r="B2052" s="37" t="str">
        <f t="array" ref="B2052">iferror(xlookup($I2052, 'IMPORT VHC Report'!$E:$E, 'IMPORT VHC Report'!$A:$C), )</f>
        <v/>
      </c>
      <c r="C2052" s="37"/>
      <c r="D2052" s="37"/>
      <c r="E2052" s="38" t="s">
        <v>2533</v>
      </c>
      <c r="F2052" s="38" t="s">
        <v>2519</v>
      </c>
      <c r="G2052" s="39"/>
      <c r="H2052" s="38" t="s">
        <v>2520</v>
      </c>
      <c r="I2052" s="38" t="s">
        <v>2521</v>
      </c>
      <c r="J2052" s="38" t="s">
        <v>132</v>
      </c>
      <c r="K2052" s="38" t="s">
        <v>126</v>
      </c>
      <c r="L2052" s="41">
        <v>46008.458333333336</v>
      </c>
      <c r="M2052" s="38" t="s">
        <v>123</v>
      </c>
      <c r="N2052" s="41">
        <v>46008.5</v>
      </c>
      <c r="O2052" s="38" t="s">
        <v>123</v>
      </c>
      <c r="P2052" s="38">
        <v>3600.0</v>
      </c>
      <c r="Q2052" s="39"/>
      <c r="R2052" s="39"/>
      <c r="S2052" s="39"/>
      <c r="T2052" s="39"/>
      <c r="U2052" s="39"/>
    </row>
    <row r="2053">
      <c r="A2053" s="40">
        <f t="shared" si="1"/>
        <v>46006</v>
      </c>
      <c r="B2053" s="37" t="str">
        <f t="array" ref="B2053">iferror(xlookup($I2053, 'IMPORT VHC Report'!$E:$E, 'IMPORT VHC Report'!$A:$C), )</f>
        <v/>
      </c>
      <c r="C2053" s="37"/>
      <c r="D2053" s="37"/>
      <c r="E2053" s="38" t="s">
        <v>2534</v>
      </c>
      <c r="F2053" s="38" t="s">
        <v>2519</v>
      </c>
      <c r="G2053" s="39"/>
      <c r="H2053" s="38" t="s">
        <v>2520</v>
      </c>
      <c r="I2053" s="38" t="s">
        <v>2521</v>
      </c>
      <c r="J2053" s="38" t="s">
        <v>125</v>
      </c>
      <c r="K2053" s="38" t="s">
        <v>126</v>
      </c>
      <c r="L2053" s="41">
        <v>46009.25</v>
      </c>
      <c r="M2053" s="38" t="s">
        <v>123</v>
      </c>
      <c r="N2053" s="41">
        <v>46009.256944444445</v>
      </c>
      <c r="O2053" s="38" t="s">
        <v>123</v>
      </c>
      <c r="P2053" s="38">
        <v>600.0</v>
      </c>
      <c r="Q2053" s="39"/>
      <c r="R2053" s="39"/>
      <c r="S2053" s="38" t="s">
        <v>127</v>
      </c>
      <c r="T2053" s="39"/>
      <c r="U2053" s="39"/>
    </row>
    <row r="2054">
      <c r="A2054" s="40">
        <f t="shared" si="1"/>
        <v>46006</v>
      </c>
      <c r="B2054" s="37" t="str">
        <f t="array" ref="B2054">iferror(xlookup($I2054, 'IMPORT VHC Report'!$E:$E, 'IMPORT VHC Report'!$A:$C), )</f>
        <v/>
      </c>
      <c r="C2054" s="37"/>
      <c r="D2054" s="37"/>
      <c r="E2054" s="38" t="s">
        <v>2535</v>
      </c>
      <c r="F2054" s="38" t="s">
        <v>2519</v>
      </c>
      <c r="G2054" s="39"/>
      <c r="H2054" s="38" t="s">
        <v>2520</v>
      </c>
      <c r="I2054" s="38" t="s">
        <v>2521</v>
      </c>
      <c r="J2054" s="38" t="s">
        <v>122</v>
      </c>
      <c r="K2054" s="38" t="s">
        <v>63</v>
      </c>
      <c r="L2054" s="41">
        <v>46009.25</v>
      </c>
      <c r="M2054" s="38" t="s">
        <v>123</v>
      </c>
      <c r="N2054" s="41">
        <v>46009.625</v>
      </c>
      <c r="O2054" s="38" t="s">
        <v>123</v>
      </c>
      <c r="P2054" s="38">
        <v>32400.0</v>
      </c>
      <c r="Q2054" s="39"/>
      <c r="R2054" s="39"/>
      <c r="S2054" s="39"/>
      <c r="T2054" s="39"/>
      <c r="U2054" s="39"/>
    </row>
    <row r="2055">
      <c r="A2055" s="40">
        <f t="shared" si="1"/>
        <v>46006</v>
      </c>
      <c r="B2055" s="37" t="str">
        <f t="array" ref="B2055">iferror(xlookup($I2055, 'IMPORT VHC Report'!$E:$E, 'IMPORT VHC Report'!$A:$C), )</f>
        <v/>
      </c>
      <c r="C2055" s="37"/>
      <c r="D2055" s="37"/>
      <c r="E2055" s="38" t="s">
        <v>2536</v>
      </c>
      <c r="F2055" s="38" t="s">
        <v>2519</v>
      </c>
      <c r="G2055" s="39"/>
      <c r="H2055" s="38" t="s">
        <v>2520</v>
      </c>
      <c r="I2055" s="38" t="s">
        <v>2521</v>
      </c>
      <c r="J2055" s="38" t="s">
        <v>134</v>
      </c>
      <c r="K2055" s="38" t="s">
        <v>126</v>
      </c>
      <c r="L2055" s="41">
        <v>46009.34375</v>
      </c>
      <c r="M2055" s="38" t="s">
        <v>123</v>
      </c>
      <c r="N2055" s="41">
        <v>46009.364583333336</v>
      </c>
      <c r="O2055" s="38" t="s">
        <v>123</v>
      </c>
      <c r="P2055" s="38">
        <v>1800.0</v>
      </c>
      <c r="Q2055" s="39"/>
      <c r="R2055" s="39"/>
      <c r="S2055" s="39"/>
      <c r="T2055" s="39"/>
      <c r="U2055" s="39"/>
    </row>
    <row r="2056">
      <c r="A2056" s="40">
        <f t="shared" si="1"/>
        <v>46006</v>
      </c>
      <c r="B2056" s="37" t="str">
        <f t="array" ref="B2056">iferror(xlookup($I2056, 'IMPORT VHC Report'!$E:$E, 'IMPORT VHC Report'!$A:$C), )</f>
        <v/>
      </c>
      <c r="C2056" s="37"/>
      <c r="D2056" s="37"/>
      <c r="E2056" s="38" t="s">
        <v>2537</v>
      </c>
      <c r="F2056" s="38" t="s">
        <v>2519</v>
      </c>
      <c r="G2056" s="39"/>
      <c r="H2056" s="38" t="s">
        <v>2520</v>
      </c>
      <c r="I2056" s="38" t="s">
        <v>2521</v>
      </c>
      <c r="J2056" s="38" t="s">
        <v>4</v>
      </c>
      <c r="K2056" s="38" t="s">
        <v>126</v>
      </c>
      <c r="L2056" s="41">
        <v>46009.364583333336</v>
      </c>
      <c r="M2056" s="38" t="s">
        <v>123</v>
      </c>
      <c r="N2056" s="41">
        <v>46009.40625</v>
      </c>
      <c r="O2056" s="38" t="s">
        <v>123</v>
      </c>
      <c r="P2056" s="38">
        <v>3600.0</v>
      </c>
      <c r="Q2056" s="39"/>
      <c r="R2056" s="39"/>
      <c r="S2056" s="38" t="s">
        <v>130</v>
      </c>
      <c r="T2056" s="39"/>
      <c r="U2056" s="39"/>
    </row>
    <row r="2057">
      <c r="A2057" s="40">
        <f t="shared" si="1"/>
        <v>46006</v>
      </c>
      <c r="B2057" s="37" t="str">
        <f t="array" ref="B2057">iferror(xlookup($I2057, 'IMPORT VHC Report'!$E:$E, 'IMPORT VHC Report'!$A:$C), )</f>
        <v/>
      </c>
      <c r="C2057" s="37"/>
      <c r="D2057" s="37"/>
      <c r="E2057" s="38" t="s">
        <v>2538</v>
      </c>
      <c r="F2057" s="38" t="s">
        <v>2519</v>
      </c>
      <c r="G2057" s="39"/>
      <c r="H2057" s="38" t="s">
        <v>2520</v>
      </c>
      <c r="I2057" s="38" t="s">
        <v>2521</v>
      </c>
      <c r="J2057" s="38" t="s">
        <v>132</v>
      </c>
      <c r="K2057" s="38" t="s">
        <v>126</v>
      </c>
      <c r="L2057" s="41">
        <v>46009.458333333336</v>
      </c>
      <c r="M2057" s="38" t="s">
        <v>123</v>
      </c>
      <c r="N2057" s="41">
        <v>46009.5</v>
      </c>
      <c r="O2057" s="38" t="s">
        <v>123</v>
      </c>
      <c r="P2057" s="38">
        <v>3600.0</v>
      </c>
      <c r="Q2057" s="39"/>
      <c r="R2057" s="39"/>
      <c r="S2057" s="39"/>
      <c r="T2057" s="39"/>
      <c r="U2057" s="39"/>
    </row>
    <row r="2058">
      <c r="A2058" s="40">
        <f t="shared" si="1"/>
        <v>46006</v>
      </c>
      <c r="B2058" s="37" t="str">
        <f t="array" ref="B2058">iferror(xlookup($I2058, 'IMPORT VHC Report'!$E:$E, 'IMPORT VHC Report'!$A:$C), )</f>
        <v/>
      </c>
      <c r="C2058" s="37"/>
      <c r="D2058" s="37"/>
      <c r="E2058" s="38" t="s">
        <v>2539</v>
      </c>
      <c r="F2058" s="38" t="s">
        <v>2519</v>
      </c>
      <c r="G2058" s="39"/>
      <c r="H2058" s="38" t="s">
        <v>2520</v>
      </c>
      <c r="I2058" s="38" t="s">
        <v>2521</v>
      </c>
      <c r="J2058" s="38" t="s">
        <v>125</v>
      </c>
      <c r="K2058" s="38" t="s">
        <v>126</v>
      </c>
      <c r="L2058" s="41">
        <v>46010.25</v>
      </c>
      <c r="M2058" s="38" t="s">
        <v>123</v>
      </c>
      <c r="N2058" s="41">
        <v>46010.256944444445</v>
      </c>
      <c r="O2058" s="38" t="s">
        <v>123</v>
      </c>
      <c r="P2058" s="38">
        <v>600.0</v>
      </c>
      <c r="Q2058" s="39"/>
      <c r="R2058" s="39"/>
      <c r="S2058" s="38" t="s">
        <v>127</v>
      </c>
      <c r="T2058" s="39"/>
      <c r="U2058" s="39"/>
    </row>
    <row r="2059">
      <c r="A2059" s="40">
        <f t="shared" si="1"/>
        <v>46006</v>
      </c>
      <c r="B2059" s="37" t="str">
        <f t="array" ref="B2059">iferror(xlookup($I2059, 'IMPORT VHC Report'!$E:$E, 'IMPORT VHC Report'!$A:$C), )</f>
        <v/>
      </c>
      <c r="C2059" s="37"/>
      <c r="D2059" s="37"/>
      <c r="E2059" s="38" t="s">
        <v>2540</v>
      </c>
      <c r="F2059" s="38" t="s">
        <v>2519</v>
      </c>
      <c r="G2059" s="39"/>
      <c r="H2059" s="38" t="s">
        <v>2520</v>
      </c>
      <c r="I2059" s="38" t="s">
        <v>2521</v>
      </c>
      <c r="J2059" s="38" t="s">
        <v>122</v>
      </c>
      <c r="K2059" s="38" t="s">
        <v>63</v>
      </c>
      <c r="L2059" s="41">
        <v>46010.25</v>
      </c>
      <c r="M2059" s="38" t="s">
        <v>123</v>
      </c>
      <c r="N2059" s="41">
        <v>46010.625</v>
      </c>
      <c r="O2059" s="38" t="s">
        <v>123</v>
      </c>
      <c r="P2059" s="38">
        <v>32400.0</v>
      </c>
      <c r="Q2059" s="39"/>
      <c r="R2059" s="39"/>
      <c r="S2059" s="39"/>
      <c r="T2059" s="39"/>
      <c r="U2059" s="39"/>
    </row>
    <row r="2060">
      <c r="A2060" s="40">
        <f t="shared" si="1"/>
        <v>46006</v>
      </c>
      <c r="B2060" s="37" t="str">
        <f t="array" ref="B2060">iferror(xlookup($I2060, 'IMPORT VHC Report'!$E:$E, 'IMPORT VHC Report'!$A:$C), )</f>
        <v/>
      </c>
      <c r="C2060" s="37"/>
      <c r="D2060" s="37"/>
      <c r="E2060" s="38" t="s">
        <v>2541</v>
      </c>
      <c r="F2060" s="38" t="s">
        <v>2519</v>
      </c>
      <c r="G2060" s="39"/>
      <c r="H2060" s="38" t="s">
        <v>2520</v>
      </c>
      <c r="I2060" s="38" t="s">
        <v>2521</v>
      </c>
      <c r="J2060" s="38" t="s">
        <v>132</v>
      </c>
      <c r="K2060" s="38" t="s">
        <v>126</v>
      </c>
      <c r="L2060" s="41">
        <v>46010.375</v>
      </c>
      <c r="M2060" s="38" t="s">
        <v>123</v>
      </c>
      <c r="N2060" s="41">
        <v>46010.416666666664</v>
      </c>
      <c r="O2060" s="38" t="s">
        <v>123</v>
      </c>
      <c r="P2060" s="38">
        <v>3600.0</v>
      </c>
      <c r="Q2060" s="39"/>
      <c r="R2060" s="39"/>
      <c r="S2060" s="39"/>
      <c r="T2060" s="39"/>
      <c r="U2060" s="39"/>
    </row>
    <row r="2061">
      <c r="A2061" s="40">
        <f t="shared" si="1"/>
        <v>46006</v>
      </c>
      <c r="B2061" s="37" t="str">
        <f t="array" ref="B2061">iferror(xlookup($I2061, 'IMPORT VHC Report'!$E:$E, 'IMPORT VHC Report'!$A:$C), )</f>
        <v/>
      </c>
      <c r="C2061" s="37"/>
      <c r="D2061" s="37"/>
      <c r="E2061" s="38" t="s">
        <v>2542</v>
      </c>
      <c r="F2061" s="38" t="s">
        <v>2519</v>
      </c>
      <c r="G2061" s="39"/>
      <c r="H2061" s="38" t="s">
        <v>2520</v>
      </c>
      <c r="I2061" s="38" t="s">
        <v>2521</v>
      </c>
      <c r="J2061" s="38" t="s">
        <v>134</v>
      </c>
      <c r="K2061" s="38" t="s">
        <v>126</v>
      </c>
      <c r="L2061" s="41">
        <v>46010.510416666664</v>
      </c>
      <c r="M2061" s="38" t="s">
        <v>123</v>
      </c>
      <c r="N2061" s="41">
        <v>46010.53125</v>
      </c>
      <c r="O2061" s="38" t="s">
        <v>123</v>
      </c>
      <c r="P2061" s="38">
        <v>1800.0</v>
      </c>
      <c r="Q2061" s="39"/>
      <c r="R2061" s="39"/>
      <c r="S2061" s="39"/>
      <c r="T2061" s="39"/>
      <c r="U2061" s="39"/>
    </row>
    <row r="2062">
      <c r="A2062" s="40">
        <f t="shared" si="1"/>
        <v>46006</v>
      </c>
      <c r="B2062" s="37" t="str">
        <f t="array" ref="B2062">iferror(xlookup($I2062, 'IMPORT VHC Report'!$E:$E, 'IMPORT VHC Report'!$A:$C), )</f>
        <v/>
      </c>
      <c r="C2062" s="37"/>
      <c r="D2062" s="37"/>
      <c r="E2062" s="38" t="s">
        <v>2543</v>
      </c>
      <c r="F2062" s="38" t="s">
        <v>2544</v>
      </c>
      <c r="G2062" s="38">
        <v>3.61731516535E11</v>
      </c>
      <c r="H2062" s="38" t="s">
        <v>2545</v>
      </c>
      <c r="I2062" s="38" t="s">
        <v>2546</v>
      </c>
      <c r="J2062" s="38" t="s">
        <v>2268</v>
      </c>
      <c r="K2062" s="38" t="s">
        <v>63</v>
      </c>
      <c r="L2062" s="41">
        <v>46006.25</v>
      </c>
      <c r="M2062" s="38" t="s">
        <v>123</v>
      </c>
      <c r="N2062" s="41">
        <v>46006.625</v>
      </c>
      <c r="O2062" s="38" t="s">
        <v>123</v>
      </c>
      <c r="P2062" s="38">
        <v>32400.0</v>
      </c>
      <c r="Q2062" s="39"/>
      <c r="R2062" s="39"/>
      <c r="S2062" s="39"/>
      <c r="T2062" s="39"/>
      <c r="U2062" s="39"/>
    </row>
    <row r="2063">
      <c r="A2063" s="40">
        <f t="shared" si="1"/>
        <v>46006</v>
      </c>
      <c r="B2063" s="37" t="str">
        <f t="array" ref="B2063">iferror(xlookup($I2063, 'IMPORT VHC Report'!$E:$E, 'IMPORT VHC Report'!$A:$C), )</f>
        <v/>
      </c>
      <c r="C2063" s="37"/>
      <c r="D2063" s="37"/>
      <c r="E2063" s="38" t="s">
        <v>2547</v>
      </c>
      <c r="F2063" s="38" t="s">
        <v>2544</v>
      </c>
      <c r="G2063" s="38">
        <v>3.61731516535E11</v>
      </c>
      <c r="H2063" s="38" t="s">
        <v>2545</v>
      </c>
      <c r="I2063" s="38" t="s">
        <v>2546</v>
      </c>
      <c r="J2063" s="38" t="s">
        <v>178</v>
      </c>
      <c r="K2063" s="38" t="s">
        <v>153</v>
      </c>
      <c r="L2063" s="41">
        <v>46006.25</v>
      </c>
      <c r="M2063" s="38" t="s">
        <v>123</v>
      </c>
      <c r="N2063" s="41">
        <v>46006.625</v>
      </c>
      <c r="O2063" s="38" t="s">
        <v>123</v>
      </c>
      <c r="P2063" s="38">
        <v>32400.0</v>
      </c>
      <c r="Q2063" s="38">
        <v>32400.0</v>
      </c>
      <c r="R2063" s="39"/>
      <c r="S2063" s="39"/>
      <c r="T2063" s="39"/>
      <c r="U2063" s="39"/>
    </row>
    <row r="2064">
      <c r="A2064" s="40">
        <f t="shared" si="1"/>
        <v>46006</v>
      </c>
      <c r="B2064" s="37" t="str">
        <f t="array" ref="B2064">iferror(xlookup($I2064, 'IMPORT VHC Report'!$E:$E, 'IMPORT VHC Report'!$A:$C), )</f>
        <v/>
      </c>
      <c r="C2064" s="37"/>
      <c r="D2064" s="37"/>
      <c r="E2064" s="38" t="s">
        <v>2548</v>
      </c>
      <c r="F2064" s="38" t="s">
        <v>2544</v>
      </c>
      <c r="G2064" s="38">
        <v>3.61731516535E11</v>
      </c>
      <c r="H2064" s="38" t="s">
        <v>2545</v>
      </c>
      <c r="I2064" s="38" t="s">
        <v>2546</v>
      </c>
      <c r="J2064" s="38" t="s">
        <v>134</v>
      </c>
      <c r="K2064" s="38" t="s">
        <v>126</v>
      </c>
      <c r="L2064" s="41">
        <v>46006.385416666664</v>
      </c>
      <c r="M2064" s="38" t="s">
        <v>123</v>
      </c>
      <c r="N2064" s="41">
        <v>46006.40625</v>
      </c>
      <c r="O2064" s="38" t="s">
        <v>123</v>
      </c>
      <c r="P2064" s="38">
        <v>1800.0</v>
      </c>
      <c r="Q2064" s="39"/>
      <c r="R2064" s="39"/>
      <c r="S2064" s="39"/>
      <c r="T2064" s="39"/>
      <c r="U2064" s="39"/>
    </row>
    <row r="2065">
      <c r="A2065" s="40">
        <f t="shared" si="1"/>
        <v>46006</v>
      </c>
      <c r="B2065" s="37" t="str">
        <f t="array" ref="B2065">iferror(xlookup($I2065, 'IMPORT VHC Report'!$E:$E, 'IMPORT VHC Report'!$A:$C), )</f>
        <v/>
      </c>
      <c r="C2065" s="37"/>
      <c r="D2065" s="37"/>
      <c r="E2065" s="38" t="s">
        <v>2549</v>
      </c>
      <c r="F2065" s="38" t="s">
        <v>2544</v>
      </c>
      <c r="G2065" s="38">
        <v>3.61731516535E11</v>
      </c>
      <c r="H2065" s="38" t="s">
        <v>2545</v>
      </c>
      <c r="I2065" s="38" t="s">
        <v>2546</v>
      </c>
      <c r="J2065" s="38" t="s">
        <v>132</v>
      </c>
      <c r="K2065" s="38" t="s">
        <v>126</v>
      </c>
      <c r="L2065" s="41">
        <v>46006.489583333336</v>
      </c>
      <c r="M2065" s="38" t="s">
        <v>123</v>
      </c>
      <c r="N2065" s="41">
        <v>46006.53125</v>
      </c>
      <c r="O2065" s="38" t="s">
        <v>123</v>
      </c>
      <c r="P2065" s="38">
        <v>3600.0</v>
      </c>
      <c r="Q2065" s="39"/>
      <c r="R2065" s="39"/>
      <c r="S2065" s="39"/>
      <c r="T2065" s="39"/>
      <c r="U2065" s="39"/>
    </row>
    <row r="2066">
      <c r="A2066" s="40">
        <f t="shared" si="1"/>
        <v>46006</v>
      </c>
      <c r="B2066" s="37" t="str">
        <f t="array" ref="B2066">iferror(xlookup($I2066, 'IMPORT VHC Report'!$E:$E, 'IMPORT VHC Report'!$A:$C), )</f>
        <v/>
      </c>
      <c r="C2066" s="37"/>
      <c r="D2066" s="37"/>
      <c r="E2066" s="38" t="s">
        <v>2550</v>
      </c>
      <c r="F2066" s="38" t="s">
        <v>2544</v>
      </c>
      <c r="G2066" s="38">
        <v>3.61731516535E11</v>
      </c>
      <c r="H2066" s="38" t="s">
        <v>2545</v>
      </c>
      <c r="I2066" s="38" t="s">
        <v>2546</v>
      </c>
      <c r="J2066" s="38" t="s">
        <v>2268</v>
      </c>
      <c r="K2066" s="38" t="s">
        <v>63</v>
      </c>
      <c r="L2066" s="41">
        <v>46007.25</v>
      </c>
      <c r="M2066" s="38" t="s">
        <v>123</v>
      </c>
      <c r="N2066" s="41">
        <v>46007.416666666664</v>
      </c>
      <c r="O2066" s="38" t="s">
        <v>123</v>
      </c>
      <c r="P2066" s="38">
        <v>14400.0</v>
      </c>
      <c r="Q2066" s="39"/>
      <c r="R2066" s="39"/>
      <c r="S2066" s="39"/>
      <c r="T2066" s="39"/>
      <c r="U2066" s="39"/>
    </row>
    <row r="2067">
      <c r="A2067" s="40">
        <f t="shared" si="1"/>
        <v>46006</v>
      </c>
      <c r="B2067" s="37" t="str">
        <f t="array" ref="B2067">iferror(xlookup($I2067, 'IMPORT VHC Report'!$E:$E, 'IMPORT VHC Report'!$A:$C), )</f>
        <v/>
      </c>
      <c r="C2067" s="37"/>
      <c r="D2067" s="37"/>
      <c r="E2067" s="38" t="s">
        <v>2551</v>
      </c>
      <c r="F2067" s="38" t="s">
        <v>2544</v>
      </c>
      <c r="G2067" s="38">
        <v>3.61731516535E11</v>
      </c>
      <c r="H2067" s="38" t="s">
        <v>2545</v>
      </c>
      <c r="I2067" s="38" t="s">
        <v>2546</v>
      </c>
      <c r="J2067" s="38" t="s">
        <v>136</v>
      </c>
      <c r="K2067" s="38" t="s">
        <v>126</v>
      </c>
      <c r="L2067" s="41">
        <v>46007.3125</v>
      </c>
      <c r="M2067" s="38" t="s">
        <v>123</v>
      </c>
      <c r="N2067" s="41">
        <v>46007.333333333336</v>
      </c>
      <c r="O2067" s="38" t="s">
        <v>123</v>
      </c>
      <c r="P2067" s="38">
        <v>1800.0</v>
      </c>
      <c r="Q2067" s="39"/>
      <c r="R2067" s="39"/>
      <c r="S2067" s="38" t="s">
        <v>1680</v>
      </c>
      <c r="T2067" s="39"/>
      <c r="U2067" s="39"/>
    </row>
    <row r="2068">
      <c r="A2068" s="40">
        <f t="shared" si="1"/>
        <v>46006</v>
      </c>
      <c r="B2068" s="37" t="str">
        <f t="array" ref="B2068">iferror(xlookup($I2068, 'IMPORT VHC Report'!$E:$E, 'IMPORT VHC Report'!$A:$C), )</f>
        <v/>
      </c>
      <c r="C2068" s="37"/>
      <c r="D2068" s="37"/>
      <c r="E2068" s="38" t="s">
        <v>2552</v>
      </c>
      <c r="F2068" s="38" t="s">
        <v>2544</v>
      </c>
      <c r="G2068" s="38">
        <v>3.61731516535E11</v>
      </c>
      <c r="H2068" s="38" t="s">
        <v>2545</v>
      </c>
      <c r="I2068" s="38" t="s">
        <v>2546</v>
      </c>
      <c r="J2068" s="38" t="s">
        <v>134</v>
      </c>
      <c r="K2068" s="38" t="s">
        <v>126</v>
      </c>
      <c r="L2068" s="41">
        <v>46007.354166666664</v>
      </c>
      <c r="M2068" s="38" t="s">
        <v>123</v>
      </c>
      <c r="N2068" s="41">
        <v>46007.375</v>
      </c>
      <c r="O2068" s="38" t="s">
        <v>123</v>
      </c>
      <c r="P2068" s="38">
        <v>1800.0</v>
      </c>
      <c r="Q2068" s="39"/>
      <c r="R2068" s="39"/>
      <c r="S2068" s="39"/>
      <c r="T2068" s="39"/>
      <c r="U2068" s="39"/>
    </row>
    <row r="2069">
      <c r="A2069" s="40">
        <f t="shared" si="1"/>
        <v>46006</v>
      </c>
      <c r="B2069" s="37" t="str">
        <f t="array" ref="B2069">iferror(xlookup($I2069, 'IMPORT VHC Report'!$E:$E, 'IMPORT VHC Report'!$A:$C), )</f>
        <v/>
      </c>
      <c r="C2069" s="37"/>
      <c r="D2069" s="37"/>
      <c r="E2069" s="38" t="s">
        <v>2553</v>
      </c>
      <c r="F2069" s="38" t="s">
        <v>2544</v>
      </c>
      <c r="G2069" s="38">
        <v>3.61731516535E11</v>
      </c>
      <c r="H2069" s="38" t="s">
        <v>2545</v>
      </c>
      <c r="I2069" s="38" t="s">
        <v>2546</v>
      </c>
      <c r="J2069" s="38" t="s">
        <v>4</v>
      </c>
      <c r="K2069" s="38" t="s">
        <v>126</v>
      </c>
      <c r="L2069" s="41">
        <v>46007.375</v>
      </c>
      <c r="M2069" s="38" t="s">
        <v>123</v>
      </c>
      <c r="N2069" s="41">
        <v>46007.40625</v>
      </c>
      <c r="O2069" s="38" t="s">
        <v>123</v>
      </c>
      <c r="P2069" s="38">
        <v>2700.0</v>
      </c>
      <c r="Q2069" s="39"/>
      <c r="R2069" s="39"/>
      <c r="S2069" s="38" t="s">
        <v>2478</v>
      </c>
      <c r="T2069" s="39"/>
      <c r="U2069" s="39"/>
    </row>
    <row r="2070">
      <c r="A2070" s="40">
        <f t="shared" si="1"/>
        <v>46006</v>
      </c>
      <c r="B2070" s="37" t="str">
        <f t="array" ref="B2070">iferror(xlookup($I2070, 'IMPORT VHC Report'!$E:$E, 'IMPORT VHC Report'!$A:$C), )</f>
        <v/>
      </c>
      <c r="C2070" s="37"/>
      <c r="D2070" s="37"/>
      <c r="E2070" s="38" t="s">
        <v>2554</v>
      </c>
      <c r="F2070" s="38" t="s">
        <v>2544</v>
      </c>
      <c r="G2070" s="38">
        <v>3.61731516535E11</v>
      </c>
      <c r="H2070" s="38" t="s">
        <v>2545</v>
      </c>
      <c r="I2070" s="38" t="s">
        <v>2546</v>
      </c>
      <c r="J2070" s="38" t="s">
        <v>2268</v>
      </c>
      <c r="K2070" s="38" t="s">
        <v>63</v>
      </c>
      <c r="L2070" s="41">
        <v>46007.416666666664</v>
      </c>
      <c r="M2070" s="38" t="s">
        <v>123</v>
      </c>
      <c r="N2070" s="41">
        <v>46007.458333333336</v>
      </c>
      <c r="O2070" s="38" t="s">
        <v>123</v>
      </c>
      <c r="P2070" s="38">
        <v>3600.0</v>
      </c>
      <c r="Q2070" s="39"/>
      <c r="R2070" s="39"/>
      <c r="S2070" s="38" t="s">
        <v>2555</v>
      </c>
      <c r="T2070" s="39"/>
      <c r="U2070" s="39"/>
    </row>
    <row r="2071">
      <c r="A2071" s="40">
        <f t="shared" si="1"/>
        <v>46006</v>
      </c>
      <c r="B2071" s="37" t="str">
        <f t="array" ref="B2071">iferror(xlookup($I2071, 'IMPORT VHC Report'!$E:$E, 'IMPORT VHC Report'!$A:$C), )</f>
        <v/>
      </c>
      <c r="C2071" s="37"/>
      <c r="D2071" s="37"/>
      <c r="E2071" s="38" t="s">
        <v>2556</v>
      </c>
      <c r="F2071" s="38" t="s">
        <v>2544</v>
      </c>
      <c r="G2071" s="38">
        <v>3.61731516535E11</v>
      </c>
      <c r="H2071" s="38" t="s">
        <v>2545</v>
      </c>
      <c r="I2071" s="38" t="s">
        <v>2546</v>
      </c>
      <c r="J2071" s="38" t="s">
        <v>2268</v>
      </c>
      <c r="K2071" s="38" t="s">
        <v>63</v>
      </c>
      <c r="L2071" s="41">
        <v>46007.458333333336</v>
      </c>
      <c r="M2071" s="38" t="s">
        <v>123</v>
      </c>
      <c r="N2071" s="41">
        <v>46007.541666666664</v>
      </c>
      <c r="O2071" s="38" t="s">
        <v>123</v>
      </c>
      <c r="P2071" s="38">
        <v>7200.0</v>
      </c>
      <c r="Q2071" s="39"/>
      <c r="R2071" s="39"/>
      <c r="S2071" s="39"/>
      <c r="T2071" s="39"/>
      <c r="U2071" s="39"/>
    </row>
    <row r="2072">
      <c r="A2072" s="40">
        <f t="shared" si="1"/>
        <v>46006</v>
      </c>
      <c r="B2072" s="37" t="str">
        <f t="array" ref="B2072">iferror(xlookup($I2072, 'IMPORT VHC Report'!$E:$E, 'IMPORT VHC Report'!$A:$C), )</f>
        <v/>
      </c>
      <c r="C2072" s="37"/>
      <c r="D2072" s="37"/>
      <c r="E2072" s="38" t="s">
        <v>2557</v>
      </c>
      <c r="F2072" s="38" t="s">
        <v>2544</v>
      </c>
      <c r="G2072" s="38">
        <v>3.61731516535E11</v>
      </c>
      <c r="H2072" s="38" t="s">
        <v>2545</v>
      </c>
      <c r="I2072" s="38" t="s">
        <v>2546</v>
      </c>
      <c r="J2072" s="38" t="s">
        <v>132</v>
      </c>
      <c r="K2072" s="38" t="s">
        <v>126</v>
      </c>
      <c r="L2072" s="41">
        <v>46007.510416666664</v>
      </c>
      <c r="M2072" s="38" t="s">
        <v>123</v>
      </c>
      <c r="N2072" s="41">
        <v>46007.552083333336</v>
      </c>
      <c r="O2072" s="38" t="s">
        <v>123</v>
      </c>
      <c r="P2072" s="38">
        <v>3600.0</v>
      </c>
      <c r="Q2072" s="39"/>
      <c r="R2072" s="39"/>
      <c r="S2072" s="39"/>
      <c r="T2072" s="39"/>
      <c r="U2072" s="39"/>
    </row>
    <row r="2073">
      <c r="A2073" s="40">
        <f t="shared" si="1"/>
        <v>46006</v>
      </c>
      <c r="B2073" s="37" t="str">
        <f t="array" ref="B2073">iferror(xlookup($I2073, 'IMPORT VHC Report'!$E:$E, 'IMPORT VHC Report'!$A:$C), )</f>
        <v/>
      </c>
      <c r="C2073" s="37"/>
      <c r="D2073" s="37"/>
      <c r="E2073" s="38" t="s">
        <v>2558</v>
      </c>
      <c r="F2073" s="38" t="s">
        <v>2544</v>
      </c>
      <c r="G2073" s="38">
        <v>3.61731516535E11</v>
      </c>
      <c r="H2073" s="38" t="s">
        <v>2545</v>
      </c>
      <c r="I2073" s="38" t="s">
        <v>2546</v>
      </c>
      <c r="J2073" s="38" t="s">
        <v>368</v>
      </c>
      <c r="K2073" s="38" t="s">
        <v>63</v>
      </c>
      <c r="L2073" s="41">
        <v>46007.541666666664</v>
      </c>
      <c r="M2073" s="38" t="s">
        <v>123</v>
      </c>
      <c r="N2073" s="41">
        <v>46007.625</v>
      </c>
      <c r="O2073" s="38" t="s">
        <v>123</v>
      </c>
      <c r="P2073" s="38">
        <v>7200.0</v>
      </c>
      <c r="Q2073" s="39"/>
      <c r="R2073" s="39"/>
      <c r="S2073" s="39"/>
      <c r="T2073" s="39"/>
      <c r="U2073" s="39"/>
    </row>
    <row r="2074">
      <c r="A2074" s="40">
        <f t="shared" si="1"/>
        <v>46006</v>
      </c>
      <c r="B2074" s="37" t="str">
        <f t="array" ref="B2074">iferror(xlookup($I2074, 'IMPORT VHC Report'!$E:$E, 'IMPORT VHC Report'!$A:$C), )</f>
        <v/>
      </c>
      <c r="C2074" s="37"/>
      <c r="D2074" s="37"/>
      <c r="E2074" s="38" t="s">
        <v>2559</v>
      </c>
      <c r="F2074" s="38" t="s">
        <v>2544</v>
      </c>
      <c r="G2074" s="38">
        <v>3.61731516535E11</v>
      </c>
      <c r="H2074" s="38" t="s">
        <v>2545</v>
      </c>
      <c r="I2074" s="38" t="s">
        <v>2546</v>
      </c>
      <c r="J2074" s="38" t="s">
        <v>2268</v>
      </c>
      <c r="K2074" s="38" t="s">
        <v>63</v>
      </c>
      <c r="L2074" s="41">
        <v>46008.25</v>
      </c>
      <c r="M2074" s="38" t="s">
        <v>123</v>
      </c>
      <c r="N2074" s="41">
        <v>46008.416666666664</v>
      </c>
      <c r="O2074" s="38" t="s">
        <v>123</v>
      </c>
      <c r="P2074" s="38">
        <v>14400.0</v>
      </c>
      <c r="Q2074" s="39"/>
      <c r="R2074" s="39"/>
      <c r="S2074" s="39"/>
      <c r="T2074" s="39"/>
      <c r="U2074" s="39"/>
    </row>
    <row r="2075">
      <c r="A2075" s="40">
        <f t="shared" si="1"/>
        <v>46006</v>
      </c>
      <c r="B2075" s="37" t="str">
        <f t="array" ref="B2075">iferror(xlookup($I2075, 'IMPORT VHC Report'!$E:$E, 'IMPORT VHC Report'!$A:$C), )</f>
        <v/>
      </c>
      <c r="C2075" s="37"/>
      <c r="D2075" s="37"/>
      <c r="E2075" s="38" t="s">
        <v>2560</v>
      </c>
      <c r="F2075" s="38" t="s">
        <v>2544</v>
      </c>
      <c r="G2075" s="38">
        <v>3.61731516535E11</v>
      </c>
      <c r="H2075" s="38" t="s">
        <v>2545</v>
      </c>
      <c r="I2075" s="38" t="s">
        <v>2546</v>
      </c>
      <c r="J2075" s="38" t="s">
        <v>134</v>
      </c>
      <c r="K2075" s="38" t="s">
        <v>126</v>
      </c>
      <c r="L2075" s="41">
        <v>46008.333333333336</v>
      </c>
      <c r="M2075" s="38" t="s">
        <v>123</v>
      </c>
      <c r="N2075" s="41">
        <v>46008.354166666664</v>
      </c>
      <c r="O2075" s="38" t="s">
        <v>123</v>
      </c>
      <c r="P2075" s="38">
        <v>1800.0</v>
      </c>
      <c r="Q2075" s="39"/>
      <c r="R2075" s="39"/>
      <c r="S2075" s="39"/>
      <c r="T2075" s="39"/>
      <c r="U2075" s="39"/>
    </row>
    <row r="2076">
      <c r="A2076" s="40">
        <f t="shared" si="1"/>
        <v>46006</v>
      </c>
      <c r="B2076" s="37" t="str">
        <f t="array" ref="B2076">iferror(xlookup($I2076, 'IMPORT VHC Report'!$E:$E, 'IMPORT VHC Report'!$A:$C), )</f>
        <v/>
      </c>
      <c r="C2076" s="37"/>
      <c r="D2076" s="37"/>
      <c r="E2076" s="38" t="s">
        <v>2561</v>
      </c>
      <c r="F2076" s="38" t="s">
        <v>2544</v>
      </c>
      <c r="G2076" s="38">
        <v>3.61731516535E11</v>
      </c>
      <c r="H2076" s="38" t="s">
        <v>2545</v>
      </c>
      <c r="I2076" s="38" t="s">
        <v>2546</v>
      </c>
      <c r="J2076" s="38" t="s">
        <v>368</v>
      </c>
      <c r="K2076" s="38" t="s">
        <v>63</v>
      </c>
      <c r="L2076" s="41">
        <v>46008.416666666664</v>
      </c>
      <c r="M2076" s="38" t="s">
        <v>123</v>
      </c>
      <c r="N2076" s="41">
        <v>46008.5</v>
      </c>
      <c r="O2076" s="38" t="s">
        <v>123</v>
      </c>
      <c r="P2076" s="38">
        <v>7200.0</v>
      </c>
      <c r="Q2076" s="39"/>
      <c r="R2076" s="39"/>
      <c r="S2076" s="39"/>
      <c r="T2076" s="39"/>
      <c r="U2076" s="39"/>
    </row>
    <row r="2077">
      <c r="A2077" s="40">
        <f t="shared" si="1"/>
        <v>46006</v>
      </c>
      <c r="B2077" s="37" t="str">
        <f t="array" ref="B2077">iferror(xlookup($I2077, 'IMPORT VHC Report'!$E:$E, 'IMPORT VHC Report'!$A:$C), )</f>
        <v/>
      </c>
      <c r="C2077" s="37"/>
      <c r="D2077" s="37"/>
      <c r="E2077" s="38" t="s">
        <v>2562</v>
      </c>
      <c r="F2077" s="38" t="s">
        <v>2544</v>
      </c>
      <c r="G2077" s="38">
        <v>3.61731516535E11</v>
      </c>
      <c r="H2077" s="38" t="s">
        <v>2545</v>
      </c>
      <c r="I2077" s="38" t="s">
        <v>2546</v>
      </c>
      <c r="J2077" s="38" t="s">
        <v>2268</v>
      </c>
      <c r="K2077" s="38" t="s">
        <v>63</v>
      </c>
      <c r="L2077" s="41">
        <v>46008.5</v>
      </c>
      <c r="M2077" s="38" t="s">
        <v>123</v>
      </c>
      <c r="N2077" s="41">
        <v>46008.625</v>
      </c>
      <c r="O2077" s="38" t="s">
        <v>123</v>
      </c>
      <c r="P2077" s="38">
        <v>10800.0</v>
      </c>
      <c r="Q2077" s="39"/>
      <c r="R2077" s="39"/>
      <c r="S2077" s="39"/>
      <c r="T2077" s="39"/>
      <c r="U2077" s="39"/>
    </row>
    <row r="2078">
      <c r="A2078" s="40">
        <f t="shared" si="1"/>
        <v>46006</v>
      </c>
      <c r="B2078" s="37" t="str">
        <f t="array" ref="B2078">iferror(xlookup($I2078, 'IMPORT VHC Report'!$E:$E, 'IMPORT VHC Report'!$A:$C), )</f>
        <v/>
      </c>
      <c r="C2078" s="37"/>
      <c r="D2078" s="37"/>
      <c r="E2078" s="38" t="s">
        <v>2563</v>
      </c>
      <c r="F2078" s="38" t="s">
        <v>2544</v>
      </c>
      <c r="G2078" s="38">
        <v>3.61731516535E11</v>
      </c>
      <c r="H2078" s="38" t="s">
        <v>2545</v>
      </c>
      <c r="I2078" s="38" t="s">
        <v>2546</v>
      </c>
      <c r="J2078" s="38" t="s">
        <v>132</v>
      </c>
      <c r="K2078" s="38" t="s">
        <v>126</v>
      </c>
      <c r="L2078" s="41">
        <v>46008.541666666664</v>
      </c>
      <c r="M2078" s="38" t="s">
        <v>123</v>
      </c>
      <c r="N2078" s="41">
        <v>46008.583333333336</v>
      </c>
      <c r="O2078" s="38" t="s">
        <v>123</v>
      </c>
      <c r="P2078" s="38">
        <v>3600.0</v>
      </c>
      <c r="Q2078" s="39"/>
      <c r="R2078" s="39"/>
      <c r="S2078" s="39"/>
      <c r="T2078" s="39"/>
      <c r="U2078" s="39"/>
    </row>
    <row r="2079">
      <c r="A2079" s="40">
        <f t="shared" si="1"/>
        <v>46006</v>
      </c>
      <c r="B2079" s="37" t="str">
        <f t="array" ref="B2079">iferror(xlookup($I2079, 'IMPORT VHC Report'!$E:$E, 'IMPORT VHC Report'!$A:$C), )</f>
        <v/>
      </c>
      <c r="C2079" s="37"/>
      <c r="D2079" s="37"/>
      <c r="E2079" s="38" t="s">
        <v>2564</v>
      </c>
      <c r="F2079" s="38" t="s">
        <v>2544</v>
      </c>
      <c r="G2079" s="38">
        <v>3.61731516535E11</v>
      </c>
      <c r="H2079" s="38" t="s">
        <v>2545</v>
      </c>
      <c r="I2079" s="38" t="s">
        <v>2546</v>
      </c>
      <c r="J2079" s="38" t="s">
        <v>368</v>
      </c>
      <c r="K2079" s="38" t="s">
        <v>63</v>
      </c>
      <c r="L2079" s="41">
        <v>46009.25</v>
      </c>
      <c r="M2079" s="38" t="s">
        <v>123</v>
      </c>
      <c r="N2079" s="41">
        <v>46009.375</v>
      </c>
      <c r="O2079" s="38" t="s">
        <v>123</v>
      </c>
      <c r="P2079" s="38">
        <v>10800.0</v>
      </c>
      <c r="Q2079" s="39"/>
      <c r="R2079" s="39"/>
      <c r="S2079" s="39"/>
      <c r="T2079" s="39"/>
      <c r="U2079" s="39"/>
    </row>
    <row r="2080">
      <c r="A2080" s="40">
        <f t="shared" si="1"/>
        <v>46006</v>
      </c>
      <c r="B2080" s="37" t="str">
        <f t="array" ref="B2080">iferror(xlookup($I2080, 'IMPORT VHC Report'!$E:$E, 'IMPORT VHC Report'!$A:$C), )</f>
        <v/>
      </c>
      <c r="C2080" s="37"/>
      <c r="D2080" s="37"/>
      <c r="E2080" s="38" t="s">
        <v>2565</v>
      </c>
      <c r="F2080" s="38" t="s">
        <v>2544</v>
      </c>
      <c r="G2080" s="38">
        <v>3.61731516535E11</v>
      </c>
      <c r="H2080" s="38" t="s">
        <v>2545</v>
      </c>
      <c r="I2080" s="38" t="s">
        <v>2546</v>
      </c>
      <c r="J2080" s="38" t="s">
        <v>136</v>
      </c>
      <c r="K2080" s="38" t="s">
        <v>126</v>
      </c>
      <c r="L2080" s="41">
        <v>46009.375</v>
      </c>
      <c r="M2080" s="38" t="s">
        <v>123</v>
      </c>
      <c r="N2080" s="41">
        <v>46009.395833333336</v>
      </c>
      <c r="O2080" s="38" t="s">
        <v>123</v>
      </c>
      <c r="P2080" s="38">
        <v>1800.0</v>
      </c>
      <c r="Q2080" s="39"/>
      <c r="R2080" s="39"/>
      <c r="S2080" s="38" t="s">
        <v>1680</v>
      </c>
      <c r="T2080" s="39"/>
      <c r="U2080" s="39"/>
    </row>
    <row r="2081">
      <c r="A2081" s="40">
        <f t="shared" si="1"/>
        <v>46006</v>
      </c>
      <c r="B2081" s="37" t="str">
        <f t="array" ref="B2081">iferror(xlookup($I2081, 'IMPORT VHC Report'!$E:$E, 'IMPORT VHC Report'!$A:$C), )</f>
        <v/>
      </c>
      <c r="C2081" s="37"/>
      <c r="D2081" s="37"/>
      <c r="E2081" s="38" t="s">
        <v>2566</v>
      </c>
      <c r="F2081" s="38" t="s">
        <v>2544</v>
      </c>
      <c r="G2081" s="38">
        <v>3.61731516535E11</v>
      </c>
      <c r="H2081" s="38" t="s">
        <v>2545</v>
      </c>
      <c r="I2081" s="38" t="s">
        <v>2546</v>
      </c>
      <c r="J2081" s="38" t="s">
        <v>2268</v>
      </c>
      <c r="K2081" s="38" t="s">
        <v>63</v>
      </c>
      <c r="L2081" s="41">
        <v>46009.375</v>
      </c>
      <c r="M2081" s="38" t="s">
        <v>123</v>
      </c>
      <c r="N2081" s="41">
        <v>46009.625</v>
      </c>
      <c r="O2081" s="38" t="s">
        <v>123</v>
      </c>
      <c r="P2081" s="38">
        <v>21600.0</v>
      </c>
      <c r="Q2081" s="39"/>
      <c r="R2081" s="39"/>
      <c r="S2081" s="39"/>
      <c r="T2081" s="39"/>
      <c r="U2081" s="39"/>
    </row>
    <row r="2082">
      <c r="A2082" s="40">
        <f t="shared" si="1"/>
        <v>46006</v>
      </c>
      <c r="B2082" s="37" t="str">
        <f t="array" ref="B2082">iferror(xlookup($I2082, 'IMPORT VHC Report'!$E:$E, 'IMPORT VHC Report'!$A:$C), )</f>
        <v/>
      </c>
      <c r="C2082" s="37"/>
      <c r="D2082" s="37"/>
      <c r="E2082" s="38" t="s">
        <v>2567</v>
      </c>
      <c r="F2082" s="38" t="s">
        <v>2544</v>
      </c>
      <c r="G2082" s="38">
        <v>3.61731516535E11</v>
      </c>
      <c r="H2082" s="38" t="s">
        <v>2545</v>
      </c>
      <c r="I2082" s="38" t="s">
        <v>2546</v>
      </c>
      <c r="J2082" s="38" t="s">
        <v>134</v>
      </c>
      <c r="K2082" s="38" t="s">
        <v>126</v>
      </c>
      <c r="L2082" s="41">
        <v>46009.395833333336</v>
      </c>
      <c r="M2082" s="38" t="s">
        <v>123</v>
      </c>
      <c r="N2082" s="41">
        <v>46009.416666666664</v>
      </c>
      <c r="O2082" s="38" t="s">
        <v>123</v>
      </c>
      <c r="P2082" s="38">
        <v>1800.0</v>
      </c>
      <c r="Q2082" s="39"/>
      <c r="R2082" s="39"/>
      <c r="S2082" s="39"/>
      <c r="T2082" s="39"/>
      <c r="U2082" s="39"/>
    </row>
    <row r="2083">
      <c r="A2083" s="40">
        <f t="shared" si="1"/>
        <v>46006</v>
      </c>
      <c r="B2083" s="37" t="str">
        <f t="array" ref="B2083">iferror(xlookup($I2083, 'IMPORT VHC Report'!$E:$E, 'IMPORT VHC Report'!$A:$C), )</f>
        <v/>
      </c>
      <c r="C2083" s="37"/>
      <c r="D2083" s="37"/>
      <c r="E2083" s="38" t="s">
        <v>2568</v>
      </c>
      <c r="F2083" s="38" t="s">
        <v>2544</v>
      </c>
      <c r="G2083" s="38">
        <v>3.61731516535E11</v>
      </c>
      <c r="H2083" s="38" t="s">
        <v>2545</v>
      </c>
      <c r="I2083" s="38" t="s">
        <v>2546</v>
      </c>
      <c r="J2083" s="38" t="s">
        <v>132</v>
      </c>
      <c r="K2083" s="38" t="s">
        <v>126</v>
      </c>
      <c r="L2083" s="41">
        <v>46009.541666666664</v>
      </c>
      <c r="M2083" s="38" t="s">
        <v>123</v>
      </c>
      <c r="N2083" s="41">
        <v>46009.583333333336</v>
      </c>
      <c r="O2083" s="38" t="s">
        <v>123</v>
      </c>
      <c r="P2083" s="38">
        <v>3600.0</v>
      </c>
      <c r="Q2083" s="39"/>
      <c r="R2083" s="39"/>
      <c r="S2083" s="39"/>
      <c r="T2083" s="39"/>
      <c r="U2083" s="39"/>
    </row>
    <row r="2084">
      <c r="A2084" s="40">
        <f t="shared" si="1"/>
        <v>46006</v>
      </c>
      <c r="B2084" s="37" t="str">
        <f t="array" ref="B2084">iferror(xlookup($I2084, 'IMPORT VHC Report'!$E:$E, 'IMPORT VHC Report'!$A:$C), )</f>
        <v/>
      </c>
      <c r="C2084" s="37"/>
      <c r="D2084" s="37"/>
      <c r="E2084" s="38" t="s">
        <v>2569</v>
      </c>
      <c r="F2084" s="38" t="s">
        <v>2544</v>
      </c>
      <c r="G2084" s="38">
        <v>3.61731516535E11</v>
      </c>
      <c r="H2084" s="38" t="s">
        <v>2545</v>
      </c>
      <c r="I2084" s="38" t="s">
        <v>2546</v>
      </c>
      <c r="J2084" s="38" t="s">
        <v>368</v>
      </c>
      <c r="K2084" s="38" t="s">
        <v>63</v>
      </c>
      <c r="L2084" s="41">
        <v>46010.25</v>
      </c>
      <c r="M2084" s="38" t="s">
        <v>123</v>
      </c>
      <c r="N2084" s="41">
        <v>46010.416666666664</v>
      </c>
      <c r="O2084" s="38" t="s">
        <v>123</v>
      </c>
      <c r="P2084" s="38">
        <v>14400.0</v>
      </c>
      <c r="Q2084" s="39"/>
      <c r="R2084" s="39"/>
      <c r="S2084" s="39"/>
      <c r="T2084" s="39"/>
      <c r="U2084" s="39"/>
    </row>
    <row r="2085">
      <c r="A2085" s="40">
        <f t="shared" si="1"/>
        <v>46006</v>
      </c>
      <c r="B2085" s="37" t="str">
        <f t="array" ref="B2085">iferror(xlookup($I2085, 'IMPORT VHC Report'!$E:$E, 'IMPORT VHC Report'!$A:$C), )</f>
        <v/>
      </c>
      <c r="C2085" s="37"/>
      <c r="D2085" s="37"/>
      <c r="E2085" s="38" t="s">
        <v>2570</v>
      </c>
      <c r="F2085" s="38" t="s">
        <v>2544</v>
      </c>
      <c r="G2085" s="38">
        <v>3.61731516535E11</v>
      </c>
      <c r="H2085" s="38" t="s">
        <v>2545</v>
      </c>
      <c r="I2085" s="38" t="s">
        <v>2546</v>
      </c>
      <c r="J2085" s="38" t="s">
        <v>134</v>
      </c>
      <c r="K2085" s="38" t="s">
        <v>126</v>
      </c>
      <c r="L2085" s="41">
        <v>46010.375</v>
      </c>
      <c r="M2085" s="38" t="s">
        <v>123</v>
      </c>
      <c r="N2085" s="41">
        <v>46010.395833333336</v>
      </c>
      <c r="O2085" s="38" t="s">
        <v>123</v>
      </c>
      <c r="P2085" s="38">
        <v>1800.0</v>
      </c>
      <c r="Q2085" s="39"/>
      <c r="R2085" s="39"/>
      <c r="S2085" s="39"/>
      <c r="T2085" s="39"/>
      <c r="U2085" s="39"/>
    </row>
    <row r="2086">
      <c r="A2086" s="40">
        <f t="shared" si="1"/>
        <v>46006</v>
      </c>
      <c r="B2086" s="37" t="str">
        <f t="array" ref="B2086">iferror(xlookup($I2086, 'IMPORT VHC Report'!$E:$E, 'IMPORT VHC Report'!$A:$C), )</f>
        <v/>
      </c>
      <c r="C2086" s="37"/>
      <c r="D2086" s="37"/>
      <c r="E2086" s="38" t="s">
        <v>2571</v>
      </c>
      <c r="F2086" s="38" t="s">
        <v>2544</v>
      </c>
      <c r="G2086" s="38">
        <v>3.61731516535E11</v>
      </c>
      <c r="H2086" s="38" t="s">
        <v>2545</v>
      </c>
      <c r="I2086" s="38" t="s">
        <v>2546</v>
      </c>
      <c r="J2086" s="38" t="s">
        <v>2268</v>
      </c>
      <c r="K2086" s="38" t="s">
        <v>63</v>
      </c>
      <c r="L2086" s="41">
        <v>46010.416666666664</v>
      </c>
      <c r="M2086" s="38" t="s">
        <v>123</v>
      </c>
      <c r="N2086" s="41">
        <v>46010.625</v>
      </c>
      <c r="O2086" s="38" t="s">
        <v>123</v>
      </c>
      <c r="P2086" s="38">
        <v>18000.0</v>
      </c>
      <c r="Q2086" s="39"/>
      <c r="R2086" s="39"/>
      <c r="S2086" s="38" t="s">
        <v>2572</v>
      </c>
      <c r="T2086" s="39"/>
      <c r="U2086" s="39"/>
    </row>
    <row r="2087">
      <c r="A2087" s="40">
        <f t="shared" si="1"/>
        <v>46006</v>
      </c>
      <c r="B2087" s="37" t="str">
        <f t="array" ref="B2087">iferror(xlookup($I2087, 'IMPORT VHC Report'!$E:$E, 'IMPORT VHC Report'!$A:$C), )</f>
        <v/>
      </c>
      <c r="C2087" s="37"/>
      <c r="D2087" s="37"/>
      <c r="E2087" s="38" t="s">
        <v>2573</v>
      </c>
      <c r="F2087" s="38" t="s">
        <v>2544</v>
      </c>
      <c r="G2087" s="38">
        <v>3.61731516535E11</v>
      </c>
      <c r="H2087" s="38" t="s">
        <v>2545</v>
      </c>
      <c r="I2087" s="38" t="s">
        <v>2546</v>
      </c>
      <c r="J2087" s="38" t="s">
        <v>132</v>
      </c>
      <c r="K2087" s="38" t="s">
        <v>126</v>
      </c>
      <c r="L2087" s="41">
        <v>46010.53125</v>
      </c>
      <c r="M2087" s="38" t="s">
        <v>123</v>
      </c>
      <c r="N2087" s="41">
        <v>46010.572916666664</v>
      </c>
      <c r="O2087" s="38" t="s">
        <v>123</v>
      </c>
      <c r="P2087" s="38">
        <v>3600.0</v>
      </c>
      <c r="Q2087" s="39"/>
      <c r="R2087" s="39"/>
      <c r="S2087" s="39"/>
      <c r="T2087" s="39"/>
      <c r="U2087" s="39"/>
    </row>
    <row r="2088">
      <c r="A2088" s="40">
        <f t="shared" si="1"/>
        <v>46006</v>
      </c>
      <c r="B2088" s="37" t="str">
        <f t="array" ref="B2088">iferror(xlookup($I2088, 'IMPORT VHC Report'!$E:$E, 'IMPORT VHC Report'!$A:$C), )</f>
        <v/>
      </c>
      <c r="C2088" s="37"/>
      <c r="D2088" s="37"/>
      <c r="E2088" s="38" t="s">
        <v>2574</v>
      </c>
      <c r="F2088" s="38" t="s">
        <v>2575</v>
      </c>
      <c r="G2088" s="38">
        <v>5.047314693263E12</v>
      </c>
      <c r="H2088" s="38" t="s">
        <v>2576</v>
      </c>
      <c r="I2088" s="38" t="s">
        <v>2577</v>
      </c>
      <c r="J2088" s="38" t="s">
        <v>125</v>
      </c>
      <c r="K2088" s="38" t="s">
        <v>126</v>
      </c>
      <c r="L2088" s="41">
        <v>46006.25</v>
      </c>
      <c r="M2088" s="38" t="s">
        <v>123</v>
      </c>
      <c r="N2088" s="41">
        <v>46006.260416666664</v>
      </c>
      <c r="O2088" s="38" t="s">
        <v>123</v>
      </c>
      <c r="P2088" s="38">
        <v>900.0</v>
      </c>
      <c r="Q2088" s="39"/>
      <c r="R2088" s="39"/>
      <c r="S2088" s="38" t="s">
        <v>199</v>
      </c>
      <c r="T2088" s="39"/>
      <c r="U2088" s="39"/>
    </row>
    <row r="2089">
      <c r="A2089" s="40">
        <f t="shared" si="1"/>
        <v>46006</v>
      </c>
      <c r="B2089" s="37" t="str">
        <f t="array" ref="B2089">iferror(xlookup($I2089, 'IMPORT VHC Report'!$E:$E, 'IMPORT VHC Report'!$A:$C), )</f>
        <v/>
      </c>
      <c r="C2089" s="37"/>
      <c r="D2089" s="37"/>
      <c r="E2089" s="38" t="s">
        <v>2578</v>
      </c>
      <c r="F2089" s="38" t="s">
        <v>2575</v>
      </c>
      <c r="G2089" s="38">
        <v>5.047314693263E12</v>
      </c>
      <c r="H2089" s="38" t="s">
        <v>2576</v>
      </c>
      <c r="I2089" s="38" t="s">
        <v>2577</v>
      </c>
      <c r="J2089" s="38" t="s">
        <v>196</v>
      </c>
      <c r="K2089" s="38" t="s">
        <v>63</v>
      </c>
      <c r="L2089" s="41">
        <v>46006.25</v>
      </c>
      <c r="M2089" s="38" t="s">
        <v>123</v>
      </c>
      <c r="N2089" s="41">
        <v>46006.625</v>
      </c>
      <c r="O2089" s="38" t="s">
        <v>123</v>
      </c>
      <c r="P2089" s="38">
        <v>32400.0</v>
      </c>
      <c r="Q2089" s="39"/>
      <c r="R2089" s="39"/>
      <c r="S2089" s="39"/>
      <c r="T2089" s="39"/>
      <c r="U2089" s="39"/>
    </row>
    <row r="2090">
      <c r="A2090" s="40">
        <f t="shared" si="1"/>
        <v>46006</v>
      </c>
      <c r="B2090" s="37" t="str">
        <f t="array" ref="B2090">iferror(xlookup($I2090, 'IMPORT VHC Report'!$E:$E, 'IMPORT VHC Report'!$A:$C), )</f>
        <v/>
      </c>
      <c r="C2090" s="37"/>
      <c r="D2090" s="37"/>
      <c r="E2090" s="38" t="s">
        <v>2579</v>
      </c>
      <c r="F2090" s="38" t="s">
        <v>2575</v>
      </c>
      <c r="G2090" s="38">
        <v>5.047314693263E12</v>
      </c>
      <c r="H2090" s="38" t="s">
        <v>2576</v>
      </c>
      <c r="I2090" s="38" t="s">
        <v>2577</v>
      </c>
      <c r="J2090" s="38" t="s">
        <v>132</v>
      </c>
      <c r="K2090" s="38" t="s">
        <v>126</v>
      </c>
      <c r="L2090" s="41">
        <v>46006.385416666664</v>
      </c>
      <c r="M2090" s="38" t="s">
        <v>123</v>
      </c>
      <c r="N2090" s="41">
        <v>46006.427083333336</v>
      </c>
      <c r="O2090" s="38" t="s">
        <v>123</v>
      </c>
      <c r="P2090" s="38">
        <v>3600.0</v>
      </c>
      <c r="Q2090" s="39"/>
      <c r="R2090" s="39"/>
      <c r="S2090" s="39"/>
      <c r="T2090" s="39"/>
      <c r="U2090" s="39"/>
    </row>
    <row r="2091">
      <c r="A2091" s="40">
        <f t="shared" si="1"/>
        <v>46006</v>
      </c>
      <c r="B2091" s="37" t="str">
        <f t="array" ref="B2091">iferror(xlookup($I2091, 'IMPORT VHC Report'!$E:$E, 'IMPORT VHC Report'!$A:$C), )</f>
        <v/>
      </c>
      <c r="C2091" s="37"/>
      <c r="D2091" s="37"/>
      <c r="E2091" s="38" t="s">
        <v>2580</v>
      </c>
      <c r="F2091" s="38" t="s">
        <v>2575</v>
      </c>
      <c r="G2091" s="38">
        <v>5.047314693263E12</v>
      </c>
      <c r="H2091" s="38" t="s">
        <v>2576</v>
      </c>
      <c r="I2091" s="38" t="s">
        <v>2577</v>
      </c>
      <c r="J2091" s="38" t="s">
        <v>134</v>
      </c>
      <c r="K2091" s="38" t="s">
        <v>126</v>
      </c>
      <c r="L2091" s="41">
        <v>46006.427083333336</v>
      </c>
      <c r="M2091" s="38" t="s">
        <v>123</v>
      </c>
      <c r="N2091" s="41">
        <v>46006.447916666664</v>
      </c>
      <c r="O2091" s="38" t="s">
        <v>123</v>
      </c>
      <c r="P2091" s="38">
        <v>1800.0</v>
      </c>
      <c r="Q2091" s="39"/>
      <c r="R2091" s="39"/>
      <c r="S2091" s="38" t="s">
        <v>2581</v>
      </c>
      <c r="T2091" s="39"/>
      <c r="U2091" s="39"/>
    </row>
    <row r="2092">
      <c r="A2092" s="40">
        <f t="shared" si="1"/>
        <v>46006</v>
      </c>
      <c r="B2092" s="37" t="str">
        <f t="array" ref="B2092">iferror(xlookup($I2092, 'IMPORT VHC Report'!$E:$E, 'IMPORT VHC Report'!$A:$C), )</f>
        <v/>
      </c>
      <c r="C2092" s="37"/>
      <c r="D2092" s="37"/>
      <c r="E2092" s="38" t="s">
        <v>2582</v>
      </c>
      <c r="F2092" s="38" t="s">
        <v>2575</v>
      </c>
      <c r="G2092" s="38">
        <v>5.047314693263E12</v>
      </c>
      <c r="H2092" s="38" t="s">
        <v>2576</v>
      </c>
      <c r="I2092" s="38" t="s">
        <v>2577</v>
      </c>
      <c r="J2092" s="38" t="s">
        <v>125</v>
      </c>
      <c r="K2092" s="38" t="s">
        <v>126</v>
      </c>
      <c r="L2092" s="41">
        <v>46007.25</v>
      </c>
      <c r="M2092" s="38" t="s">
        <v>123</v>
      </c>
      <c r="N2092" s="41">
        <v>46007.260416666664</v>
      </c>
      <c r="O2092" s="38" t="s">
        <v>123</v>
      </c>
      <c r="P2092" s="38">
        <v>900.0</v>
      </c>
      <c r="Q2092" s="39"/>
      <c r="R2092" s="39"/>
      <c r="S2092" s="38" t="s">
        <v>199</v>
      </c>
      <c r="T2092" s="39"/>
      <c r="U2092" s="39"/>
    </row>
    <row r="2093">
      <c r="A2093" s="40">
        <f t="shared" si="1"/>
        <v>46006</v>
      </c>
      <c r="B2093" s="37" t="str">
        <f t="array" ref="B2093">iferror(xlookup($I2093, 'IMPORT VHC Report'!$E:$E, 'IMPORT VHC Report'!$A:$C), )</f>
        <v/>
      </c>
      <c r="C2093" s="37"/>
      <c r="D2093" s="37"/>
      <c r="E2093" s="38" t="s">
        <v>2583</v>
      </c>
      <c r="F2093" s="38" t="s">
        <v>2575</v>
      </c>
      <c r="G2093" s="38">
        <v>5.047314693263E12</v>
      </c>
      <c r="H2093" s="38" t="s">
        <v>2576</v>
      </c>
      <c r="I2093" s="38" t="s">
        <v>2577</v>
      </c>
      <c r="J2093" s="38" t="s">
        <v>196</v>
      </c>
      <c r="K2093" s="38" t="s">
        <v>63</v>
      </c>
      <c r="L2093" s="41">
        <v>46007.25</v>
      </c>
      <c r="M2093" s="38" t="s">
        <v>123</v>
      </c>
      <c r="N2093" s="41">
        <v>46007.625</v>
      </c>
      <c r="O2093" s="38" t="s">
        <v>123</v>
      </c>
      <c r="P2093" s="38">
        <v>32400.0</v>
      </c>
      <c r="Q2093" s="39"/>
      <c r="R2093" s="39"/>
      <c r="S2093" s="39"/>
      <c r="T2093" s="39"/>
      <c r="U2093" s="39"/>
    </row>
    <row r="2094">
      <c r="A2094" s="40">
        <f t="shared" si="1"/>
        <v>46006</v>
      </c>
      <c r="B2094" s="37" t="str">
        <f t="array" ref="B2094">iferror(xlookup($I2094, 'IMPORT VHC Report'!$E:$E, 'IMPORT VHC Report'!$A:$C), )</f>
        <v/>
      </c>
      <c r="C2094" s="37"/>
      <c r="D2094" s="37"/>
      <c r="E2094" s="38" t="s">
        <v>2584</v>
      </c>
      <c r="F2094" s="38" t="s">
        <v>2575</v>
      </c>
      <c r="G2094" s="38">
        <v>5.047314693263E12</v>
      </c>
      <c r="H2094" s="38" t="s">
        <v>2576</v>
      </c>
      <c r="I2094" s="38" t="s">
        <v>2577</v>
      </c>
      <c r="J2094" s="38" t="s">
        <v>132</v>
      </c>
      <c r="K2094" s="38" t="s">
        <v>126</v>
      </c>
      <c r="L2094" s="41">
        <v>46007.375</v>
      </c>
      <c r="M2094" s="38" t="s">
        <v>123</v>
      </c>
      <c r="N2094" s="41">
        <v>46007.416666666664</v>
      </c>
      <c r="O2094" s="38" t="s">
        <v>123</v>
      </c>
      <c r="P2094" s="38">
        <v>3600.0</v>
      </c>
      <c r="Q2094" s="39"/>
      <c r="R2094" s="39"/>
      <c r="S2094" s="39"/>
      <c r="T2094" s="39"/>
      <c r="U2094" s="39"/>
    </row>
    <row r="2095">
      <c r="A2095" s="40">
        <f t="shared" si="1"/>
        <v>46006</v>
      </c>
      <c r="B2095" s="37" t="str">
        <f t="array" ref="B2095">iferror(xlookup($I2095, 'IMPORT VHC Report'!$E:$E, 'IMPORT VHC Report'!$A:$C), )</f>
        <v/>
      </c>
      <c r="C2095" s="37"/>
      <c r="D2095" s="37"/>
      <c r="E2095" s="38" t="s">
        <v>2585</v>
      </c>
      <c r="F2095" s="38" t="s">
        <v>2575</v>
      </c>
      <c r="G2095" s="38">
        <v>5.047314693263E12</v>
      </c>
      <c r="H2095" s="38" t="s">
        <v>2576</v>
      </c>
      <c r="I2095" s="38" t="s">
        <v>2577</v>
      </c>
      <c r="J2095" s="38" t="s">
        <v>134</v>
      </c>
      <c r="K2095" s="38" t="s">
        <v>126</v>
      </c>
      <c r="L2095" s="41">
        <v>46007.53125</v>
      </c>
      <c r="M2095" s="38" t="s">
        <v>123</v>
      </c>
      <c r="N2095" s="41">
        <v>46007.552083333336</v>
      </c>
      <c r="O2095" s="38" t="s">
        <v>123</v>
      </c>
      <c r="P2095" s="38">
        <v>1800.0</v>
      </c>
      <c r="Q2095" s="39"/>
      <c r="R2095" s="39"/>
      <c r="S2095" s="39"/>
      <c r="T2095" s="39"/>
      <c r="U2095" s="39"/>
    </row>
    <row r="2096">
      <c r="A2096" s="40">
        <f t="shared" si="1"/>
        <v>46006</v>
      </c>
      <c r="B2096" s="37" t="str">
        <f t="array" ref="B2096">iferror(xlookup($I2096, 'IMPORT VHC Report'!$E:$E, 'IMPORT VHC Report'!$A:$C), )</f>
        <v/>
      </c>
      <c r="C2096" s="37"/>
      <c r="D2096" s="37"/>
      <c r="E2096" s="38" t="s">
        <v>2586</v>
      </c>
      <c r="F2096" s="38" t="s">
        <v>2575</v>
      </c>
      <c r="G2096" s="38">
        <v>5.047314693263E12</v>
      </c>
      <c r="H2096" s="38" t="s">
        <v>2576</v>
      </c>
      <c r="I2096" s="38" t="s">
        <v>2577</v>
      </c>
      <c r="J2096" s="38" t="s">
        <v>4</v>
      </c>
      <c r="K2096" s="38" t="s">
        <v>126</v>
      </c>
      <c r="L2096" s="41">
        <v>46007.552083333336</v>
      </c>
      <c r="M2096" s="38" t="s">
        <v>123</v>
      </c>
      <c r="N2096" s="41">
        <v>46007.59375</v>
      </c>
      <c r="O2096" s="38" t="s">
        <v>123</v>
      </c>
      <c r="P2096" s="38">
        <v>3600.0</v>
      </c>
      <c r="Q2096" s="39"/>
      <c r="R2096" s="39"/>
      <c r="S2096" s="38" t="s">
        <v>858</v>
      </c>
      <c r="T2096" s="39"/>
      <c r="U2096" s="39"/>
    </row>
    <row r="2097">
      <c r="A2097" s="40">
        <f t="shared" si="1"/>
        <v>46006</v>
      </c>
      <c r="B2097" s="37" t="str">
        <f t="array" ref="B2097">iferror(xlookup($I2097, 'IMPORT VHC Report'!$E:$E, 'IMPORT VHC Report'!$A:$C), )</f>
        <v/>
      </c>
      <c r="C2097" s="37"/>
      <c r="D2097" s="37"/>
      <c r="E2097" s="38" t="s">
        <v>2587</v>
      </c>
      <c r="F2097" s="38" t="s">
        <v>2575</v>
      </c>
      <c r="G2097" s="38">
        <v>5.047314693263E12</v>
      </c>
      <c r="H2097" s="38" t="s">
        <v>2576</v>
      </c>
      <c r="I2097" s="38" t="s">
        <v>2577</v>
      </c>
      <c r="J2097" s="38" t="s">
        <v>125</v>
      </c>
      <c r="K2097" s="38" t="s">
        <v>126</v>
      </c>
      <c r="L2097" s="41">
        <v>46008.25</v>
      </c>
      <c r="M2097" s="38" t="s">
        <v>123</v>
      </c>
      <c r="N2097" s="41">
        <v>46008.260416666664</v>
      </c>
      <c r="O2097" s="38" t="s">
        <v>123</v>
      </c>
      <c r="P2097" s="38">
        <v>900.0</v>
      </c>
      <c r="Q2097" s="39"/>
      <c r="R2097" s="39"/>
      <c r="S2097" s="38" t="s">
        <v>199</v>
      </c>
      <c r="T2097" s="39"/>
      <c r="U2097" s="39"/>
    </row>
    <row r="2098">
      <c r="A2098" s="40">
        <f t="shared" si="1"/>
        <v>46006</v>
      </c>
      <c r="B2098" s="37" t="str">
        <f t="array" ref="B2098">iferror(xlookup($I2098, 'IMPORT VHC Report'!$E:$E, 'IMPORT VHC Report'!$A:$C), )</f>
        <v/>
      </c>
      <c r="C2098" s="37"/>
      <c r="D2098" s="37"/>
      <c r="E2098" s="38" t="s">
        <v>2588</v>
      </c>
      <c r="F2098" s="38" t="s">
        <v>2575</v>
      </c>
      <c r="G2098" s="38">
        <v>5.047314693263E12</v>
      </c>
      <c r="H2098" s="38" t="s">
        <v>2576</v>
      </c>
      <c r="I2098" s="38" t="s">
        <v>2577</v>
      </c>
      <c r="J2098" s="38" t="s">
        <v>196</v>
      </c>
      <c r="K2098" s="38" t="s">
        <v>63</v>
      </c>
      <c r="L2098" s="41">
        <v>46008.25</v>
      </c>
      <c r="M2098" s="38" t="s">
        <v>123</v>
      </c>
      <c r="N2098" s="41">
        <v>46008.625</v>
      </c>
      <c r="O2098" s="38" t="s">
        <v>123</v>
      </c>
      <c r="P2098" s="38">
        <v>32400.0</v>
      </c>
      <c r="Q2098" s="39"/>
      <c r="R2098" s="39"/>
      <c r="S2098" s="39"/>
      <c r="T2098" s="39"/>
      <c r="U2098" s="39"/>
    </row>
    <row r="2099">
      <c r="A2099" s="40">
        <f t="shared" si="1"/>
        <v>46006</v>
      </c>
      <c r="B2099" s="37" t="str">
        <f t="array" ref="B2099">iferror(xlookup($I2099, 'IMPORT VHC Report'!$E:$E, 'IMPORT VHC Report'!$A:$C), )</f>
        <v/>
      </c>
      <c r="C2099" s="37"/>
      <c r="D2099" s="37"/>
      <c r="E2099" s="38" t="s">
        <v>2589</v>
      </c>
      <c r="F2099" s="38" t="s">
        <v>2575</v>
      </c>
      <c r="G2099" s="38">
        <v>5.047314693263E12</v>
      </c>
      <c r="H2099" s="38" t="s">
        <v>2576</v>
      </c>
      <c r="I2099" s="38" t="s">
        <v>2577</v>
      </c>
      <c r="J2099" s="38" t="s">
        <v>134</v>
      </c>
      <c r="K2099" s="38" t="s">
        <v>126</v>
      </c>
      <c r="L2099" s="41">
        <v>46008.375</v>
      </c>
      <c r="M2099" s="38" t="s">
        <v>123</v>
      </c>
      <c r="N2099" s="41">
        <v>46008.395833333336</v>
      </c>
      <c r="O2099" s="38" t="s">
        <v>123</v>
      </c>
      <c r="P2099" s="38">
        <v>1800.0</v>
      </c>
      <c r="Q2099" s="39"/>
      <c r="R2099" s="39"/>
      <c r="S2099" s="39"/>
      <c r="T2099" s="39"/>
      <c r="U2099" s="39"/>
    </row>
    <row r="2100">
      <c r="A2100" s="40">
        <f t="shared" si="1"/>
        <v>46006</v>
      </c>
      <c r="B2100" s="37" t="str">
        <f t="array" ref="B2100">iferror(xlookup($I2100, 'IMPORT VHC Report'!$E:$E, 'IMPORT VHC Report'!$A:$C), )</f>
        <v/>
      </c>
      <c r="C2100" s="37"/>
      <c r="D2100" s="37"/>
      <c r="E2100" s="38" t="s">
        <v>2590</v>
      </c>
      <c r="F2100" s="38" t="s">
        <v>2575</v>
      </c>
      <c r="G2100" s="38">
        <v>5.047314693263E12</v>
      </c>
      <c r="H2100" s="38" t="s">
        <v>2576</v>
      </c>
      <c r="I2100" s="38" t="s">
        <v>2577</v>
      </c>
      <c r="J2100" s="38" t="s">
        <v>132</v>
      </c>
      <c r="K2100" s="38" t="s">
        <v>126</v>
      </c>
      <c r="L2100" s="41">
        <v>46008.520833333336</v>
      </c>
      <c r="M2100" s="38" t="s">
        <v>123</v>
      </c>
      <c r="N2100" s="41">
        <v>46008.5625</v>
      </c>
      <c r="O2100" s="38" t="s">
        <v>123</v>
      </c>
      <c r="P2100" s="38">
        <v>3600.0</v>
      </c>
      <c r="Q2100" s="39"/>
      <c r="R2100" s="39"/>
      <c r="S2100" s="39"/>
      <c r="T2100" s="39"/>
      <c r="U2100" s="39"/>
    </row>
    <row r="2101">
      <c r="A2101" s="40">
        <f t="shared" si="1"/>
        <v>46006</v>
      </c>
      <c r="B2101" s="37" t="str">
        <f t="array" ref="B2101">iferror(xlookup($I2101, 'IMPORT VHC Report'!$E:$E, 'IMPORT VHC Report'!$A:$C), )</f>
        <v/>
      </c>
      <c r="C2101" s="37"/>
      <c r="D2101" s="37"/>
      <c r="E2101" s="38" t="s">
        <v>2591</v>
      </c>
      <c r="F2101" s="38" t="s">
        <v>2575</v>
      </c>
      <c r="G2101" s="38">
        <v>5.047314693263E12</v>
      </c>
      <c r="H2101" s="38" t="s">
        <v>2576</v>
      </c>
      <c r="I2101" s="38" t="s">
        <v>2577</v>
      </c>
      <c r="J2101" s="38" t="s">
        <v>125</v>
      </c>
      <c r="K2101" s="38" t="s">
        <v>126</v>
      </c>
      <c r="L2101" s="41">
        <v>46009.25</v>
      </c>
      <c r="M2101" s="38" t="s">
        <v>123</v>
      </c>
      <c r="N2101" s="41">
        <v>46009.260416666664</v>
      </c>
      <c r="O2101" s="38" t="s">
        <v>123</v>
      </c>
      <c r="P2101" s="38">
        <v>900.0</v>
      </c>
      <c r="Q2101" s="39"/>
      <c r="R2101" s="39"/>
      <c r="S2101" s="38" t="s">
        <v>199</v>
      </c>
      <c r="T2101" s="39"/>
      <c r="U2101" s="39"/>
    </row>
    <row r="2102">
      <c r="A2102" s="40">
        <f t="shared" si="1"/>
        <v>46006</v>
      </c>
      <c r="B2102" s="37" t="str">
        <f t="array" ref="B2102">iferror(xlookup($I2102, 'IMPORT VHC Report'!$E:$E, 'IMPORT VHC Report'!$A:$C), )</f>
        <v/>
      </c>
      <c r="C2102" s="37"/>
      <c r="D2102" s="37"/>
      <c r="E2102" s="38" t="s">
        <v>2592</v>
      </c>
      <c r="F2102" s="38" t="s">
        <v>2575</v>
      </c>
      <c r="G2102" s="38">
        <v>5.047314693263E12</v>
      </c>
      <c r="H2102" s="38" t="s">
        <v>2576</v>
      </c>
      <c r="I2102" s="38" t="s">
        <v>2577</v>
      </c>
      <c r="J2102" s="38" t="s">
        <v>196</v>
      </c>
      <c r="K2102" s="38" t="s">
        <v>63</v>
      </c>
      <c r="L2102" s="41">
        <v>46009.25</v>
      </c>
      <c r="M2102" s="38" t="s">
        <v>123</v>
      </c>
      <c r="N2102" s="41">
        <v>46009.625</v>
      </c>
      <c r="O2102" s="38" t="s">
        <v>123</v>
      </c>
      <c r="P2102" s="38">
        <v>32400.0</v>
      </c>
      <c r="Q2102" s="39"/>
      <c r="R2102" s="39"/>
      <c r="S2102" s="39"/>
      <c r="T2102" s="39"/>
      <c r="U2102" s="39"/>
    </row>
    <row r="2103">
      <c r="A2103" s="40">
        <f t="shared" si="1"/>
        <v>46006</v>
      </c>
      <c r="B2103" s="37" t="str">
        <f t="array" ref="B2103">iferror(xlookup($I2103, 'IMPORT VHC Report'!$E:$E, 'IMPORT VHC Report'!$A:$C), )</f>
        <v/>
      </c>
      <c r="C2103" s="37"/>
      <c r="D2103" s="37"/>
      <c r="E2103" s="38" t="s">
        <v>2593</v>
      </c>
      <c r="F2103" s="38" t="s">
        <v>2575</v>
      </c>
      <c r="G2103" s="38">
        <v>5.047314693263E12</v>
      </c>
      <c r="H2103" s="38" t="s">
        <v>2576</v>
      </c>
      <c r="I2103" s="38" t="s">
        <v>2577</v>
      </c>
      <c r="J2103" s="38" t="s">
        <v>132</v>
      </c>
      <c r="K2103" s="38" t="s">
        <v>126</v>
      </c>
      <c r="L2103" s="41">
        <v>46009.375</v>
      </c>
      <c r="M2103" s="38" t="s">
        <v>123</v>
      </c>
      <c r="N2103" s="41">
        <v>46009.416666666664</v>
      </c>
      <c r="O2103" s="38" t="s">
        <v>123</v>
      </c>
      <c r="P2103" s="38">
        <v>3600.0</v>
      </c>
      <c r="Q2103" s="39"/>
      <c r="R2103" s="39"/>
      <c r="S2103" s="39"/>
      <c r="T2103" s="39"/>
      <c r="U2103" s="39"/>
    </row>
    <row r="2104">
      <c r="A2104" s="40">
        <f t="shared" si="1"/>
        <v>46006</v>
      </c>
      <c r="B2104" s="37" t="str">
        <f t="array" ref="B2104">iferror(xlookup($I2104, 'IMPORT VHC Report'!$E:$E, 'IMPORT VHC Report'!$A:$C), )</f>
        <v/>
      </c>
      <c r="C2104" s="37"/>
      <c r="D2104" s="37"/>
      <c r="E2104" s="38" t="s">
        <v>2594</v>
      </c>
      <c r="F2104" s="38" t="s">
        <v>2575</v>
      </c>
      <c r="G2104" s="38">
        <v>5.047314693263E12</v>
      </c>
      <c r="H2104" s="38" t="s">
        <v>2576</v>
      </c>
      <c r="I2104" s="38" t="s">
        <v>2577</v>
      </c>
      <c r="J2104" s="38" t="s">
        <v>136</v>
      </c>
      <c r="K2104" s="38" t="s">
        <v>126</v>
      </c>
      <c r="L2104" s="41">
        <v>46009.5</v>
      </c>
      <c r="M2104" s="38" t="s">
        <v>123</v>
      </c>
      <c r="N2104" s="41">
        <v>46009.52777777778</v>
      </c>
      <c r="O2104" s="38" t="s">
        <v>123</v>
      </c>
      <c r="P2104" s="38">
        <v>2400.0</v>
      </c>
      <c r="Q2104" s="39"/>
      <c r="R2104" s="39"/>
      <c r="S2104" s="38" t="s">
        <v>2595</v>
      </c>
      <c r="T2104" s="39"/>
      <c r="U2104" s="39"/>
    </row>
    <row r="2105">
      <c r="A2105" s="40">
        <f t="shared" si="1"/>
        <v>46006</v>
      </c>
      <c r="B2105" s="37" t="str">
        <f t="array" ref="B2105">iferror(xlookup($I2105, 'IMPORT VHC Report'!$E:$E, 'IMPORT VHC Report'!$A:$C), )</f>
        <v/>
      </c>
      <c r="C2105" s="37"/>
      <c r="D2105" s="37"/>
      <c r="E2105" s="38" t="s">
        <v>2596</v>
      </c>
      <c r="F2105" s="38" t="s">
        <v>2575</v>
      </c>
      <c r="G2105" s="38">
        <v>5.047314693263E12</v>
      </c>
      <c r="H2105" s="38" t="s">
        <v>2576</v>
      </c>
      <c r="I2105" s="38" t="s">
        <v>2577</v>
      </c>
      <c r="J2105" s="38" t="s">
        <v>4</v>
      </c>
      <c r="K2105" s="38" t="s">
        <v>126</v>
      </c>
      <c r="L2105" s="41">
        <v>46009.52777777778</v>
      </c>
      <c r="M2105" s="38" t="s">
        <v>123</v>
      </c>
      <c r="N2105" s="41">
        <v>46009.555555555555</v>
      </c>
      <c r="O2105" s="38" t="s">
        <v>123</v>
      </c>
      <c r="P2105" s="38">
        <v>2400.0</v>
      </c>
      <c r="Q2105" s="39"/>
      <c r="R2105" s="39"/>
      <c r="S2105" s="38" t="s">
        <v>2597</v>
      </c>
      <c r="T2105" s="39"/>
      <c r="U2105" s="39"/>
    </row>
    <row r="2106">
      <c r="A2106" s="40">
        <f t="shared" si="1"/>
        <v>46006</v>
      </c>
      <c r="B2106" s="37" t="str">
        <f t="array" ref="B2106">iferror(xlookup($I2106, 'IMPORT VHC Report'!$E:$E, 'IMPORT VHC Report'!$A:$C), )</f>
        <v/>
      </c>
      <c r="C2106" s="37"/>
      <c r="D2106" s="37"/>
      <c r="E2106" s="38" t="s">
        <v>2598</v>
      </c>
      <c r="F2106" s="38" t="s">
        <v>2575</v>
      </c>
      <c r="G2106" s="38">
        <v>5.047314693263E12</v>
      </c>
      <c r="H2106" s="38" t="s">
        <v>2576</v>
      </c>
      <c r="I2106" s="38" t="s">
        <v>2577</v>
      </c>
      <c r="J2106" s="38" t="s">
        <v>134</v>
      </c>
      <c r="K2106" s="38" t="s">
        <v>126</v>
      </c>
      <c r="L2106" s="41">
        <v>46009.555555555555</v>
      </c>
      <c r="M2106" s="38" t="s">
        <v>123</v>
      </c>
      <c r="N2106" s="41">
        <v>46009.57638888889</v>
      </c>
      <c r="O2106" s="38" t="s">
        <v>123</v>
      </c>
      <c r="P2106" s="38">
        <v>1800.0</v>
      </c>
      <c r="Q2106" s="39"/>
      <c r="R2106" s="39"/>
      <c r="S2106" s="38" t="s">
        <v>2599</v>
      </c>
      <c r="T2106" s="39"/>
      <c r="U2106" s="39"/>
    </row>
    <row r="2107">
      <c r="A2107" s="40">
        <f t="shared" si="1"/>
        <v>46006</v>
      </c>
      <c r="B2107" s="37" t="str">
        <f t="array" ref="B2107">iferror(xlookup($I2107, 'IMPORT VHC Report'!$E:$E, 'IMPORT VHC Report'!$A:$C), )</f>
        <v/>
      </c>
      <c r="C2107" s="37"/>
      <c r="D2107" s="37"/>
      <c r="E2107" s="38" t="s">
        <v>2600</v>
      </c>
      <c r="F2107" s="38" t="s">
        <v>2575</v>
      </c>
      <c r="G2107" s="38">
        <v>5.047314693263E12</v>
      </c>
      <c r="H2107" s="38" t="s">
        <v>2576</v>
      </c>
      <c r="I2107" s="38" t="s">
        <v>2577</v>
      </c>
      <c r="J2107" s="38" t="s">
        <v>125</v>
      </c>
      <c r="K2107" s="38" t="s">
        <v>126</v>
      </c>
      <c r="L2107" s="41">
        <v>46010.25</v>
      </c>
      <c r="M2107" s="38" t="s">
        <v>123</v>
      </c>
      <c r="N2107" s="41">
        <v>46010.260416666664</v>
      </c>
      <c r="O2107" s="38" t="s">
        <v>123</v>
      </c>
      <c r="P2107" s="38">
        <v>900.0</v>
      </c>
      <c r="Q2107" s="39"/>
      <c r="R2107" s="39"/>
      <c r="S2107" s="38" t="s">
        <v>199</v>
      </c>
      <c r="T2107" s="39"/>
      <c r="U2107" s="39"/>
    </row>
    <row r="2108">
      <c r="A2108" s="40">
        <f t="shared" si="1"/>
        <v>46006</v>
      </c>
      <c r="B2108" s="37" t="str">
        <f t="array" ref="B2108">iferror(xlookup($I2108, 'IMPORT VHC Report'!$E:$E, 'IMPORT VHC Report'!$A:$C), )</f>
        <v/>
      </c>
      <c r="C2108" s="37"/>
      <c r="D2108" s="37"/>
      <c r="E2108" s="38" t="s">
        <v>2601</v>
      </c>
      <c r="F2108" s="38" t="s">
        <v>2575</v>
      </c>
      <c r="G2108" s="38">
        <v>5.047314693263E12</v>
      </c>
      <c r="H2108" s="38" t="s">
        <v>2576</v>
      </c>
      <c r="I2108" s="38" t="s">
        <v>2577</v>
      </c>
      <c r="J2108" s="38" t="s">
        <v>196</v>
      </c>
      <c r="K2108" s="38" t="s">
        <v>63</v>
      </c>
      <c r="L2108" s="41">
        <v>46010.25</v>
      </c>
      <c r="M2108" s="38" t="s">
        <v>123</v>
      </c>
      <c r="N2108" s="41">
        <v>46010.625</v>
      </c>
      <c r="O2108" s="38" t="s">
        <v>123</v>
      </c>
      <c r="P2108" s="38">
        <v>32400.0</v>
      </c>
      <c r="Q2108" s="39"/>
      <c r="R2108" s="39"/>
      <c r="S2108" s="39"/>
      <c r="T2108" s="39"/>
      <c r="U2108" s="39"/>
    </row>
    <row r="2109">
      <c r="A2109" s="40">
        <f t="shared" si="1"/>
        <v>46006</v>
      </c>
      <c r="B2109" s="37" t="str">
        <f t="array" ref="B2109">iferror(xlookup($I2109, 'IMPORT VHC Report'!$E:$E, 'IMPORT VHC Report'!$A:$C), )</f>
        <v/>
      </c>
      <c r="C2109" s="37"/>
      <c r="D2109" s="37"/>
      <c r="E2109" s="38" t="s">
        <v>2602</v>
      </c>
      <c r="F2109" s="38" t="s">
        <v>2575</v>
      </c>
      <c r="G2109" s="38">
        <v>5.047314693263E12</v>
      </c>
      <c r="H2109" s="38" t="s">
        <v>2576</v>
      </c>
      <c r="I2109" s="38" t="s">
        <v>2577</v>
      </c>
      <c r="J2109" s="38" t="s">
        <v>132</v>
      </c>
      <c r="K2109" s="38" t="s">
        <v>126</v>
      </c>
      <c r="L2109" s="41">
        <v>46010.375</v>
      </c>
      <c r="M2109" s="38" t="s">
        <v>123</v>
      </c>
      <c r="N2109" s="41">
        <v>46010.416666666664</v>
      </c>
      <c r="O2109" s="38" t="s">
        <v>123</v>
      </c>
      <c r="P2109" s="38">
        <v>3600.0</v>
      </c>
      <c r="Q2109" s="39"/>
      <c r="R2109" s="39"/>
      <c r="S2109" s="39"/>
      <c r="T2109" s="39"/>
      <c r="U2109" s="39"/>
    </row>
    <row r="2110">
      <c r="A2110" s="40">
        <f t="shared" si="1"/>
        <v>46006</v>
      </c>
      <c r="B2110" s="37" t="str">
        <f t="array" ref="B2110">iferror(xlookup($I2110, 'IMPORT VHC Report'!$E:$E, 'IMPORT VHC Report'!$A:$C), )</f>
        <v/>
      </c>
      <c r="C2110" s="37"/>
      <c r="D2110" s="37"/>
      <c r="E2110" s="38" t="s">
        <v>2603</v>
      </c>
      <c r="F2110" s="38" t="s">
        <v>2575</v>
      </c>
      <c r="G2110" s="38">
        <v>5.047314693263E12</v>
      </c>
      <c r="H2110" s="38" t="s">
        <v>2576</v>
      </c>
      <c r="I2110" s="38" t="s">
        <v>2577</v>
      </c>
      <c r="J2110" s="38" t="s">
        <v>134</v>
      </c>
      <c r="K2110" s="38" t="s">
        <v>126</v>
      </c>
      <c r="L2110" s="41">
        <v>46010.416666666664</v>
      </c>
      <c r="M2110" s="38" t="s">
        <v>123</v>
      </c>
      <c r="N2110" s="41">
        <v>46010.4375</v>
      </c>
      <c r="O2110" s="38" t="s">
        <v>123</v>
      </c>
      <c r="P2110" s="38">
        <v>1800.0</v>
      </c>
      <c r="Q2110" s="39"/>
      <c r="R2110" s="39"/>
      <c r="S2110" s="38" t="s">
        <v>2604</v>
      </c>
      <c r="T2110" s="39"/>
      <c r="U2110" s="39"/>
    </row>
    <row r="2111">
      <c r="A2111" s="40">
        <f t="shared" si="1"/>
        <v>46006</v>
      </c>
      <c r="B2111" s="37" t="str">
        <f t="array" ref="B2111">iferror(xlookup($I2111, 'IMPORT VHC Report'!$E:$E, 'IMPORT VHC Report'!$A:$C), )</f>
        <v/>
      </c>
      <c r="C2111" s="37"/>
      <c r="D2111" s="37"/>
      <c r="E2111" s="38" t="s">
        <v>2605</v>
      </c>
      <c r="F2111" s="38" t="s">
        <v>2575</v>
      </c>
      <c r="G2111" s="38">
        <v>5.047314693263E12</v>
      </c>
      <c r="H2111" s="38" t="s">
        <v>2576</v>
      </c>
      <c r="I2111" s="38" t="s">
        <v>2577</v>
      </c>
      <c r="J2111" s="38" t="s">
        <v>136</v>
      </c>
      <c r="K2111" s="38" t="s">
        <v>126</v>
      </c>
      <c r="L2111" s="41">
        <v>46010.604166666664</v>
      </c>
      <c r="M2111" s="38" t="s">
        <v>123</v>
      </c>
      <c r="N2111" s="41">
        <v>46010.625</v>
      </c>
      <c r="O2111" s="38" t="s">
        <v>123</v>
      </c>
      <c r="P2111" s="38">
        <v>1800.0</v>
      </c>
      <c r="Q2111" s="39"/>
      <c r="R2111" s="39"/>
      <c r="S2111" s="38" t="s">
        <v>2606</v>
      </c>
      <c r="T2111" s="39"/>
      <c r="U2111" s="39"/>
    </row>
    <row r="2112">
      <c r="A2112" s="40">
        <f t="shared" si="1"/>
        <v>46006</v>
      </c>
      <c r="B2112" s="37" t="str">
        <f t="array" ref="B2112">iferror(xlookup($I2112, 'IMPORT VHC Report'!$E:$E, 'IMPORT VHC Report'!$A:$C), )</f>
        <v/>
      </c>
      <c r="C2112" s="37"/>
      <c r="D2112" s="37"/>
      <c r="E2112" s="38" t="s">
        <v>2607</v>
      </c>
      <c r="F2112" s="38" t="s">
        <v>2608</v>
      </c>
      <c r="G2112" s="38">
        <v>3.61861297795E11</v>
      </c>
      <c r="H2112" s="38" t="s">
        <v>2609</v>
      </c>
      <c r="I2112" s="38" t="s">
        <v>2610</v>
      </c>
      <c r="J2112" s="38" t="s">
        <v>224</v>
      </c>
      <c r="K2112" s="38" t="s">
        <v>63</v>
      </c>
      <c r="L2112" s="41">
        <v>46006.25</v>
      </c>
      <c r="M2112" s="38" t="s">
        <v>123</v>
      </c>
      <c r="N2112" s="41">
        <v>46006.333333333336</v>
      </c>
      <c r="O2112" s="38" t="s">
        <v>123</v>
      </c>
      <c r="P2112" s="38">
        <v>7200.0</v>
      </c>
      <c r="Q2112" s="39"/>
      <c r="R2112" s="39"/>
      <c r="S2112" s="39"/>
      <c r="T2112" s="39"/>
      <c r="U2112" s="39"/>
    </row>
    <row r="2113">
      <c r="A2113" s="40">
        <f t="shared" si="1"/>
        <v>46006</v>
      </c>
      <c r="B2113" s="37" t="str">
        <f t="array" ref="B2113">iferror(xlookup($I2113, 'IMPORT VHC Report'!$E:$E, 'IMPORT VHC Report'!$A:$C), )</f>
        <v/>
      </c>
      <c r="C2113" s="37"/>
      <c r="D2113" s="37"/>
      <c r="E2113" s="38" t="s">
        <v>2611</v>
      </c>
      <c r="F2113" s="38" t="s">
        <v>2608</v>
      </c>
      <c r="G2113" s="38">
        <v>3.61861297795E11</v>
      </c>
      <c r="H2113" s="38" t="s">
        <v>2609</v>
      </c>
      <c r="I2113" s="38" t="s">
        <v>2610</v>
      </c>
      <c r="J2113" s="38" t="s">
        <v>134</v>
      </c>
      <c r="K2113" s="38" t="s">
        <v>126</v>
      </c>
      <c r="L2113" s="41">
        <v>46006.333333333336</v>
      </c>
      <c r="M2113" s="38" t="s">
        <v>123</v>
      </c>
      <c r="N2113" s="41">
        <v>46006.34375</v>
      </c>
      <c r="O2113" s="38" t="s">
        <v>123</v>
      </c>
      <c r="P2113" s="38">
        <v>900.0</v>
      </c>
      <c r="Q2113" s="39"/>
      <c r="R2113" s="39"/>
      <c r="S2113" s="39"/>
      <c r="T2113" s="39"/>
      <c r="U2113" s="39"/>
    </row>
    <row r="2114">
      <c r="A2114" s="40">
        <f t="shared" si="1"/>
        <v>46006</v>
      </c>
      <c r="B2114" s="37" t="str">
        <f t="array" ref="B2114">iferror(xlookup($I2114, 'IMPORT VHC Report'!$E:$E, 'IMPORT VHC Report'!$A:$C), )</f>
        <v/>
      </c>
      <c r="C2114" s="37"/>
      <c r="D2114" s="37"/>
      <c r="E2114" s="38" t="s">
        <v>2612</v>
      </c>
      <c r="F2114" s="38" t="s">
        <v>2608</v>
      </c>
      <c r="G2114" s="38">
        <v>3.61861297795E11</v>
      </c>
      <c r="H2114" s="38" t="s">
        <v>2609</v>
      </c>
      <c r="I2114" s="38" t="s">
        <v>2610</v>
      </c>
      <c r="J2114" s="38" t="s">
        <v>224</v>
      </c>
      <c r="K2114" s="38" t="s">
        <v>63</v>
      </c>
      <c r="L2114" s="41">
        <v>46006.34375</v>
      </c>
      <c r="M2114" s="38" t="s">
        <v>123</v>
      </c>
      <c r="N2114" s="41">
        <v>46006.416666666664</v>
      </c>
      <c r="O2114" s="38" t="s">
        <v>123</v>
      </c>
      <c r="P2114" s="38">
        <v>6300.0</v>
      </c>
      <c r="Q2114" s="39"/>
      <c r="R2114" s="39"/>
      <c r="S2114" s="39"/>
      <c r="T2114" s="39"/>
      <c r="U2114" s="39"/>
    </row>
    <row r="2115">
      <c r="A2115" s="40">
        <f t="shared" si="1"/>
        <v>46006</v>
      </c>
      <c r="B2115" s="37" t="str">
        <f t="array" ref="B2115">iferror(xlookup($I2115, 'IMPORT VHC Report'!$E:$E, 'IMPORT VHC Report'!$A:$C), )</f>
        <v/>
      </c>
      <c r="C2115" s="37"/>
      <c r="D2115" s="37"/>
      <c r="E2115" s="38" t="s">
        <v>2613</v>
      </c>
      <c r="F2115" s="38" t="s">
        <v>2608</v>
      </c>
      <c r="G2115" s="38">
        <v>3.61861297795E11</v>
      </c>
      <c r="H2115" s="38" t="s">
        <v>2609</v>
      </c>
      <c r="I2115" s="38" t="s">
        <v>2610</v>
      </c>
      <c r="J2115" s="38" t="s">
        <v>134</v>
      </c>
      <c r="K2115" s="38" t="s">
        <v>126</v>
      </c>
      <c r="L2115" s="41">
        <v>46006.416666666664</v>
      </c>
      <c r="M2115" s="38" t="s">
        <v>123</v>
      </c>
      <c r="N2115" s="41">
        <v>46006.427083333336</v>
      </c>
      <c r="O2115" s="38" t="s">
        <v>123</v>
      </c>
      <c r="P2115" s="38">
        <v>900.0</v>
      </c>
      <c r="Q2115" s="39"/>
      <c r="R2115" s="39"/>
      <c r="S2115" s="39"/>
      <c r="T2115" s="39"/>
      <c r="U2115" s="39"/>
    </row>
    <row r="2116">
      <c r="A2116" s="40">
        <f t="shared" si="1"/>
        <v>46006</v>
      </c>
      <c r="B2116" s="37" t="str">
        <f t="array" ref="B2116">iferror(xlookup($I2116, 'IMPORT VHC Report'!$E:$E, 'IMPORT VHC Report'!$A:$C), )</f>
        <v/>
      </c>
      <c r="C2116" s="37"/>
      <c r="D2116" s="37"/>
      <c r="E2116" s="38" t="s">
        <v>2614</v>
      </c>
      <c r="F2116" s="38" t="s">
        <v>2608</v>
      </c>
      <c r="G2116" s="38">
        <v>3.61861297795E11</v>
      </c>
      <c r="H2116" s="38" t="s">
        <v>2609</v>
      </c>
      <c r="I2116" s="38" t="s">
        <v>2610</v>
      </c>
      <c r="J2116" s="38" t="s">
        <v>224</v>
      </c>
      <c r="K2116" s="38" t="s">
        <v>63</v>
      </c>
      <c r="L2116" s="41">
        <v>46006.427083333336</v>
      </c>
      <c r="M2116" s="38" t="s">
        <v>123</v>
      </c>
      <c r="N2116" s="41">
        <v>46006.489583333336</v>
      </c>
      <c r="O2116" s="38" t="s">
        <v>123</v>
      </c>
      <c r="P2116" s="38">
        <v>5400.0</v>
      </c>
      <c r="Q2116" s="39"/>
      <c r="R2116" s="39"/>
      <c r="S2116" s="39"/>
      <c r="T2116" s="39"/>
      <c r="U2116" s="39"/>
    </row>
    <row r="2117">
      <c r="A2117" s="40">
        <f t="shared" si="1"/>
        <v>46006</v>
      </c>
      <c r="B2117" s="37" t="str">
        <f t="array" ref="B2117">iferror(xlookup($I2117, 'IMPORT VHC Report'!$E:$E, 'IMPORT VHC Report'!$A:$C), )</f>
        <v/>
      </c>
      <c r="C2117" s="37"/>
      <c r="D2117" s="37"/>
      <c r="E2117" s="38" t="s">
        <v>2615</v>
      </c>
      <c r="F2117" s="38" t="s">
        <v>2608</v>
      </c>
      <c r="G2117" s="38">
        <v>3.61861297795E11</v>
      </c>
      <c r="H2117" s="38" t="s">
        <v>2609</v>
      </c>
      <c r="I2117" s="38" t="s">
        <v>2610</v>
      </c>
      <c r="J2117" s="38" t="s">
        <v>132</v>
      </c>
      <c r="K2117" s="38" t="s">
        <v>126</v>
      </c>
      <c r="L2117" s="41">
        <v>46006.489583333336</v>
      </c>
      <c r="M2117" s="38" t="s">
        <v>123</v>
      </c>
      <c r="N2117" s="41">
        <v>46006.53125</v>
      </c>
      <c r="O2117" s="38" t="s">
        <v>123</v>
      </c>
      <c r="P2117" s="38">
        <v>3600.0</v>
      </c>
      <c r="Q2117" s="39"/>
      <c r="R2117" s="39"/>
      <c r="S2117" s="39"/>
      <c r="T2117" s="39"/>
      <c r="U2117" s="39"/>
    </row>
    <row r="2118">
      <c r="A2118" s="40">
        <f t="shared" si="1"/>
        <v>46006</v>
      </c>
      <c r="B2118" s="37" t="str">
        <f t="array" ref="B2118">iferror(xlookup($I2118, 'IMPORT VHC Report'!$E:$E, 'IMPORT VHC Report'!$A:$C), )</f>
        <v/>
      </c>
      <c r="C2118" s="37"/>
      <c r="D2118" s="37"/>
      <c r="E2118" s="38" t="s">
        <v>2616</v>
      </c>
      <c r="F2118" s="38" t="s">
        <v>2608</v>
      </c>
      <c r="G2118" s="38">
        <v>3.61861297795E11</v>
      </c>
      <c r="H2118" s="38" t="s">
        <v>2609</v>
      </c>
      <c r="I2118" s="38" t="s">
        <v>2610</v>
      </c>
      <c r="J2118" s="38" t="s">
        <v>224</v>
      </c>
      <c r="K2118" s="38" t="s">
        <v>63</v>
      </c>
      <c r="L2118" s="41">
        <v>46006.53125</v>
      </c>
      <c r="M2118" s="38" t="s">
        <v>123</v>
      </c>
      <c r="N2118" s="41">
        <v>46006.625</v>
      </c>
      <c r="O2118" s="38" t="s">
        <v>123</v>
      </c>
      <c r="P2118" s="38">
        <v>8100.0</v>
      </c>
      <c r="Q2118" s="39"/>
      <c r="R2118" s="39"/>
      <c r="S2118" s="39"/>
      <c r="T2118" s="39"/>
      <c r="U2118" s="39"/>
    </row>
    <row r="2119">
      <c r="A2119" s="40">
        <f t="shared" si="1"/>
        <v>46006</v>
      </c>
      <c r="B2119" s="37" t="str">
        <f t="array" ref="B2119">iferror(xlookup($I2119, 'IMPORT VHC Report'!$E:$E, 'IMPORT VHC Report'!$A:$C), )</f>
        <v/>
      </c>
      <c r="C2119" s="37"/>
      <c r="D2119" s="37"/>
      <c r="E2119" s="38" t="s">
        <v>2617</v>
      </c>
      <c r="F2119" s="38" t="s">
        <v>2608</v>
      </c>
      <c r="G2119" s="38">
        <v>3.61861297795E11</v>
      </c>
      <c r="H2119" s="38" t="s">
        <v>2609</v>
      </c>
      <c r="I2119" s="38" t="s">
        <v>2610</v>
      </c>
      <c r="J2119" s="38" t="s">
        <v>224</v>
      </c>
      <c r="K2119" s="38" t="s">
        <v>63</v>
      </c>
      <c r="L2119" s="41">
        <v>46007.25</v>
      </c>
      <c r="M2119" s="38" t="s">
        <v>123</v>
      </c>
      <c r="N2119" s="41">
        <v>46007.375</v>
      </c>
      <c r="O2119" s="38" t="s">
        <v>123</v>
      </c>
      <c r="P2119" s="38">
        <v>10800.0</v>
      </c>
      <c r="Q2119" s="39"/>
      <c r="R2119" s="39"/>
      <c r="S2119" s="39"/>
      <c r="T2119" s="39"/>
      <c r="U2119" s="39"/>
    </row>
    <row r="2120">
      <c r="A2120" s="40">
        <f t="shared" si="1"/>
        <v>46006</v>
      </c>
      <c r="B2120" s="37" t="str">
        <f t="array" ref="B2120">iferror(xlookup($I2120, 'IMPORT VHC Report'!$E:$E, 'IMPORT VHC Report'!$A:$C), )</f>
        <v/>
      </c>
      <c r="C2120" s="37"/>
      <c r="D2120" s="37"/>
      <c r="E2120" s="38" t="s">
        <v>2618</v>
      </c>
      <c r="F2120" s="38" t="s">
        <v>2608</v>
      </c>
      <c r="G2120" s="38">
        <v>3.61861297795E11</v>
      </c>
      <c r="H2120" s="38" t="s">
        <v>2609</v>
      </c>
      <c r="I2120" s="38" t="s">
        <v>2610</v>
      </c>
      <c r="J2120" s="38" t="s">
        <v>134</v>
      </c>
      <c r="K2120" s="38" t="s">
        <v>126</v>
      </c>
      <c r="L2120" s="41">
        <v>46007.375</v>
      </c>
      <c r="M2120" s="38" t="s">
        <v>123</v>
      </c>
      <c r="N2120" s="41">
        <v>46007.385416666664</v>
      </c>
      <c r="O2120" s="38" t="s">
        <v>123</v>
      </c>
      <c r="P2120" s="38">
        <v>900.0</v>
      </c>
      <c r="Q2120" s="39"/>
      <c r="R2120" s="39"/>
      <c r="S2120" s="39"/>
      <c r="T2120" s="39"/>
      <c r="U2120" s="39"/>
    </row>
    <row r="2121">
      <c r="A2121" s="40">
        <f t="shared" si="1"/>
        <v>46006</v>
      </c>
      <c r="B2121" s="37" t="str">
        <f t="array" ref="B2121">iferror(xlookup($I2121, 'IMPORT VHC Report'!$E:$E, 'IMPORT VHC Report'!$A:$C), )</f>
        <v/>
      </c>
      <c r="C2121" s="37"/>
      <c r="D2121" s="37"/>
      <c r="E2121" s="38" t="s">
        <v>2619</v>
      </c>
      <c r="F2121" s="38" t="s">
        <v>2608</v>
      </c>
      <c r="G2121" s="38">
        <v>3.61861297795E11</v>
      </c>
      <c r="H2121" s="38" t="s">
        <v>2609</v>
      </c>
      <c r="I2121" s="38" t="s">
        <v>2610</v>
      </c>
      <c r="J2121" s="38" t="s">
        <v>224</v>
      </c>
      <c r="K2121" s="38" t="s">
        <v>63</v>
      </c>
      <c r="L2121" s="41">
        <v>46007.385416666664</v>
      </c>
      <c r="M2121" s="38" t="s">
        <v>123</v>
      </c>
      <c r="N2121" s="41">
        <v>46007.447916666664</v>
      </c>
      <c r="O2121" s="38" t="s">
        <v>123</v>
      </c>
      <c r="P2121" s="38">
        <v>5400.0</v>
      </c>
      <c r="Q2121" s="39"/>
      <c r="R2121" s="39"/>
      <c r="S2121" s="39"/>
      <c r="T2121" s="39"/>
      <c r="U2121" s="39"/>
    </row>
    <row r="2122">
      <c r="A2122" s="40">
        <f t="shared" si="1"/>
        <v>46006</v>
      </c>
      <c r="B2122" s="37" t="str">
        <f t="array" ref="B2122">iferror(xlookup($I2122, 'IMPORT VHC Report'!$E:$E, 'IMPORT VHC Report'!$A:$C), )</f>
        <v/>
      </c>
      <c r="C2122" s="37"/>
      <c r="D2122" s="37"/>
      <c r="E2122" s="38" t="s">
        <v>2620</v>
      </c>
      <c r="F2122" s="38" t="s">
        <v>2608</v>
      </c>
      <c r="G2122" s="38">
        <v>3.61861297795E11</v>
      </c>
      <c r="H2122" s="38" t="s">
        <v>2609</v>
      </c>
      <c r="I2122" s="38" t="s">
        <v>2610</v>
      </c>
      <c r="J2122" s="38" t="s">
        <v>134</v>
      </c>
      <c r="K2122" s="38" t="s">
        <v>126</v>
      </c>
      <c r="L2122" s="41">
        <v>46007.447916666664</v>
      </c>
      <c r="M2122" s="38" t="s">
        <v>123</v>
      </c>
      <c r="N2122" s="41">
        <v>46007.458333333336</v>
      </c>
      <c r="O2122" s="38" t="s">
        <v>123</v>
      </c>
      <c r="P2122" s="38">
        <v>900.0</v>
      </c>
      <c r="Q2122" s="39"/>
      <c r="R2122" s="39"/>
      <c r="S2122" s="39"/>
      <c r="T2122" s="39"/>
      <c r="U2122" s="39"/>
    </row>
    <row r="2123">
      <c r="A2123" s="40">
        <f t="shared" si="1"/>
        <v>46006</v>
      </c>
      <c r="B2123" s="37" t="str">
        <f t="array" ref="B2123">iferror(xlookup($I2123, 'IMPORT VHC Report'!$E:$E, 'IMPORT VHC Report'!$A:$C), )</f>
        <v/>
      </c>
      <c r="C2123" s="37"/>
      <c r="D2123" s="37"/>
      <c r="E2123" s="38" t="s">
        <v>2621</v>
      </c>
      <c r="F2123" s="38" t="s">
        <v>2608</v>
      </c>
      <c r="G2123" s="38">
        <v>3.61861297795E11</v>
      </c>
      <c r="H2123" s="38" t="s">
        <v>2609</v>
      </c>
      <c r="I2123" s="38" t="s">
        <v>2610</v>
      </c>
      <c r="J2123" s="38" t="s">
        <v>224</v>
      </c>
      <c r="K2123" s="38" t="s">
        <v>63</v>
      </c>
      <c r="L2123" s="41">
        <v>46007.458333333336</v>
      </c>
      <c r="M2123" s="38" t="s">
        <v>123</v>
      </c>
      <c r="N2123" s="41">
        <v>46007.520833333336</v>
      </c>
      <c r="O2123" s="38" t="s">
        <v>123</v>
      </c>
      <c r="P2123" s="38">
        <v>5400.0</v>
      </c>
      <c r="Q2123" s="39"/>
      <c r="R2123" s="39"/>
      <c r="S2123" s="39"/>
      <c r="T2123" s="39"/>
      <c r="U2123" s="39"/>
    </row>
    <row r="2124">
      <c r="A2124" s="40">
        <f t="shared" si="1"/>
        <v>46006</v>
      </c>
      <c r="B2124" s="37" t="str">
        <f t="array" ref="B2124">iferror(xlookup($I2124, 'IMPORT VHC Report'!$E:$E, 'IMPORT VHC Report'!$A:$C), )</f>
        <v/>
      </c>
      <c r="C2124" s="37"/>
      <c r="D2124" s="37"/>
      <c r="E2124" s="38" t="s">
        <v>2622</v>
      </c>
      <c r="F2124" s="38" t="s">
        <v>2608</v>
      </c>
      <c r="G2124" s="38">
        <v>3.61861297795E11</v>
      </c>
      <c r="H2124" s="38" t="s">
        <v>2609</v>
      </c>
      <c r="I2124" s="38" t="s">
        <v>2610</v>
      </c>
      <c r="J2124" s="38" t="s">
        <v>132</v>
      </c>
      <c r="K2124" s="38" t="s">
        <v>126</v>
      </c>
      <c r="L2124" s="41">
        <v>46007.520833333336</v>
      </c>
      <c r="M2124" s="38" t="s">
        <v>123</v>
      </c>
      <c r="N2124" s="41">
        <v>46007.5625</v>
      </c>
      <c r="O2124" s="38" t="s">
        <v>123</v>
      </c>
      <c r="P2124" s="38">
        <v>3600.0</v>
      </c>
      <c r="Q2124" s="39"/>
      <c r="R2124" s="39"/>
      <c r="S2124" s="39"/>
      <c r="T2124" s="39"/>
      <c r="U2124" s="39"/>
    </row>
    <row r="2125">
      <c r="A2125" s="40">
        <f t="shared" si="1"/>
        <v>46006</v>
      </c>
      <c r="B2125" s="37" t="str">
        <f t="array" ref="B2125">iferror(xlookup($I2125, 'IMPORT VHC Report'!$E:$E, 'IMPORT VHC Report'!$A:$C), )</f>
        <v/>
      </c>
      <c r="C2125" s="37"/>
      <c r="D2125" s="37"/>
      <c r="E2125" s="38" t="s">
        <v>2623</v>
      </c>
      <c r="F2125" s="38" t="s">
        <v>2608</v>
      </c>
      <c r="G2125" s="38">
        <v>3.61861297795E11</v>
      </c>
      <c r="H2125" s="38" t="s">
        <v>2609</v>
      </c>
      <c r="I2125" s="38" t="s">
        <v>2610</v>
      </c>
      <c r="J2125" s="38" t="s">
        <v>224</v>
      </c>
      <c r="K2125" s="38" t="s">
        <v>63</v>
      </c>
      <c r="L2125" s="41">
        <v>46007.5625</v>
      </c>
      <c r="M2125" s="38" t="s">
        <v>123</v>
      </c>
      <c r="N2125" s="41">
        <v>46007.625</v>
      </c>
      <c r="O2125" s="38" t="s">
        <v>123</v>
      </c>
      <c r="P2125" s="38">
        <v>5400.0</v>
      </c>
      <c r="Q2125" s="39"/>
      <c r="R2125" s="39"/>
      <c r="S2125" s="39"/>
      <c r="T2125" s="39"/>
      <c r="U2125" s="39"/>
    </row>
    <row r="2126">
      <c r="A2126" s="40">
        <f t="shared" si="1"/>
        <v>46006</v>
      </c>
      <c r="B2126" s="37" t="str">
        <f t="array" ref="B2126">iferror(xlookup($I2126, 'IMPORT VHC Report'!$E:$E, 'IMPORT VHC Report'!$A:$C), )</f>
        <v/>
      </c>
      <c r="C2126" s="37"/>
      <c r="D2126" s="37"/>
      <c r="E2126" s="38" t="s">
        <v>2624</v>
      </c>
      <c r="F2126" s="38" t="s">
        <v>2608</v>
      </c>
      <c r="G2126" s="38">
        <v>3.61861297795E11</v>
      </c>
      <c r="H2126" s="38" t="s">
        <v>2609</v>
      </c>
      <c r="I2126" s="38" t="s">
        <v>2610</v>
      </c>
      <c r="J2126" s="38" t="s">
        <v>224</v>
      </c>
      <c r="K2126" s="38" t="s">
        <v>63</v>
      </c>
      <c r="L2126" s="41">
        <v>46010.25</v>
      </c>
      <c r="M2126" s="38" t="s">
        <v>123</v>
      </c>
      <c r="N2126" s="41">
        <v>46010.5</v>
      </c>
      <c r="O2126" s="38" t="s">
        <v>123</v>
      </c>
      <c r="P2126" s="38">
        <v>21600.0</v>
      </c>
      <c r="Q2126" s="39"/>
      <c r="R2126" s="39"/>
      <c r="S2126" s="39"/>
      <c r="T2126" s="39"/>
      <c r="U2126" s="39"/>
    </row>
    <row r="2127">
      <c r="A2127" s="40">
        <f t="shared" si="1"/>
        <v>46006</v>
      </c>
      <c r="B2127" s="37" t="str">
        <f t="array" ref="B2127">iferror(xlookup($I2127, 'IMPORT VHC Report'!$E:$E, 'IMPORT VHC Report'!$A:$C), )</f>
        <v/>
      </c>
      <c r="C2127" s="37"/>
      <c r="D2127" s="37"/>
      <c r="E2127" s="38" t="s">
        <v>2625</v>
      </c>
      <c r="F2127" s="38" t="s">
        <v>2608</v>
      </c>
      <c r="G2127" s="38">
        <v>3.61861297795E11</v>
      </c>
      <c r="H2127" s="38" t="s">
        <v>2609</v>
      </c>
      <c r="I2127" s="38" t="s">
        <v>2610</v>
      </c>
      <c r="J2127" s="38" t="s">
        <v>178</v>
      </c>
      <c r="K2127" s="38" t="s">
        <v>153</v>
      </c>
      <c r="L2127" s="41">
        <v>46010.25</v>
      </c>
      <c r="M2127" s="38" t="s">
        <v>123</v>
      </c>
      <c r="N2127" s="41">
        <v>46010.625</v>
      </c>
      <c r="O2127" s="38" t="s">
        <v>123</v>
      </c>
      <c r="P2127" s="38">
        <v>32400.0</v>
      </c>
      <c r="Q2127" s="38">
        <v>144000.0</v>
      </c>
      <c r="R2127" s="38" t="s">
        <v>2626</v>
      </c>
      <c r="S2127" s="39"/>
      <c r="T2127" s="39"/>
      <c r="U2127" s="39"/>
    </row>
    <row r="2128">
      <c r="A2128" s="40">
        <f t="shared" si="1"/>
        <v>46006</v>
      </c>
      <c r="B2128" s="37" t="str">
        <f t="array" ref="B2128">iferror(xlookup($I2128, 'IMPORT VHC Report'!$E:$E, 'IMPORT VHC Report'!$A:$C), )</f>
        <v/>
      </c>
      <c r="C2128" s="37"/>
      <c r="D2128" s="37"/>
      <c r="E2128" s="38" t="s">
        <v>2627</v>
      </c>
      <c r="F2128" s="38" t="s">
        <v>2608</v>
      </c>
      <c r="G2128" s="38">
        <v>3.61861297795E11</v>
      </c>
      <c r="H2128" s="38" t="s">
        <v>2609</v>
      </c>
      <c r="I2128" s="38" t="s">
        <v>2610</v>
      </c>
      <c r="J2128" s="38" t="s">
        <v>178</v>
      </c>
      <c r="K2128" s="38" t="s">
        <v>153</v>
      </c>
      <c r="L2128" s="41">
        <v>46011.25</v>
      </c>
      <c r="M2128" s="38" t="s">
        <v>123</v>
      </c>
      <c r="N2128" s="41">
        <v>46011.625</v>
      </c>
      <c r="O2128" s="38" t="s">
        <v>123</v>
      </c>
      <c r="P2128" s="38">
        <v>32400.0</v>
      </c>
      <c r="Q2128" s="38">
        <v>32400.0</v>
      </c>
      <c r="R2128" s="39"/>
      <c r="S2128" s="39"/>
      <c r="T2128" s="39"/>
      <c r="U2128" s="39"/>
    </row>
    <row r="2129">
      <c r="A2129" s="40">
        <f t="shared" si="1"/>
        <v>46006</v>
      </c>
      <c r="B2129" s="37" t="str">
        <f t="array" ref="B2129">iferror(xlookup($I2129, 'IMPORT VHC Report'!$E:$E, 'IMPORT VHC Report'!$A:$C), )</f>
        <v/>
      </c>
      <c r="C2129" s="37"/>
      <c r="D2129" s="37"/>
      <c r="E2129" s="38" t="s">
        <v>2628</v>
      </c>
      <c r="F2129" s="38" t="s">
        <v>2608</v>
      </c>
      <c r="G2129" s="38">
        <v>3.61861297795E11</v>
      </c>
      <c r="H2129" s="38" t="s">
        <v>2609</v>
      </c>
      <c r="I2129" s="38" t="s">
        <v>2610</v>
      </c>
      <c r="J2129" s="38" t="s">
        <v>178</v>
      </c>
      <c r="K2129" s="38" t="s">
        <v>153</v>
      </c>
      <c r="L2129" s="41">
        <v>46012.25</v>
      </c>
      <c r="M2129" s="38" t="s">
        <v>123</v>
      </c>
      <c r="N2129" s="41">
        <v>46012.625</v>
      </c>
      <c r="O2129" s="38" t="s">
        <v>123</v>
      </c>
      <c r="P2129" s="38">
        <v>32400.0</v>
      </c>
      <c r="Q2129" s="38">
        <v>32400.0</v>
      </c>
      <c r="R2129" s="39"/>
      <c r="S2129" s="39"/>
      <c r="T2129" s="39"/>
      <c r="U2129" s="39"/>
    </row>
    <row r="2130">
      <c r="A2130" s="40">
        <f t="shared" si="1"/>
        <v>46006</v>
      </c>
      <c r="B2130" s="37" t="str">
        <f t="array" ref="B2130">iferror(xlookup($I2130, 'IMPORT VHC Report'!$E:$E, 'IMPORT VHC Report'!$A:$C), )</f>
        <v/>
      </c>
      <c r="C2130" s="37"/>
      <c r="D2130" s="37"/>
      <c r="E2130" s="38" t="s">
        <v>2629</v>
      </c>
      <c r="F2130" s="38" t="s">
        <v>2630</v>
      </c>
      <c r="G2130" s="39"/>
      <c r="H2130" s="38" t="s">
        <v>2631</v>
      </c>
      <c r="I2130" s="38" t="s">
        <v>2632</v>
      </c>
      <c r="J2130" s="38" t="s">
        <v>125</v>
      </c>
      <c r="K2130" s="38" t="s">
        <v>126</v>
      </c>
      <c r="L2130" s="41">
        <v>46006.25</v>
      </c>
      <c r="M2130" s="38" t="s">
        <v>123</v>
      </c>
      <c r="N2130" s="41">
        <v>46006.256944444445</v>
      </c>
      <c r="O2130" s="38" t="s">
        <v>123</v>
      </c>
      <c r="P2130" s="38">
        <v>600.0</v>
      </c>
      <c r="Q2130" s="39"/>
      <c r="R2130" s="39"/>
      <c r="S2130" s="38" t="s">
        <v>127</v>
      </c>
      <c r="T2130" s="39"/>
      <c r="U2130" s="39"/>
    </row>
    <row r="2131">
      <c r="A2131" s="40">
        <f t="shared" si="1"/>
        <v>46006</v>
      </c>
      <c r="B2131" s="37" t="str">
        <f t="array" ref="B2131">iferror(xlookup($I2131, 'IMPORT VHC Report'!$E:$E, 'IMPORT VHC Report'!$A:$C), )</f>
        <v/>
      </c>
      <c r="C2131" s="37"/>
      <c r="D2131" s="37"/>
      <c r="E2131" s="38" t="s">
        <v>2633</v>
      </c>
      <c r="F2131" s="38" t="s">
        <v>2630</v>
      </c>
      <c r="G2131" s="39"/>
      <c r="H2131" s="38" t="s">
        <v>2631</v>
      </c>
      <c r="I2131" s="38" t="s">
        <v>2632</v>
      </c>
      <c r="J2131" s="38" t="s">
        <v>122</v>
      </c>
      <c r="K2131" s="38" t="s">
        <v>63</v>
      </c>
      <c r="L2131" s="41">
        <v>46006.25</v>
      </c>
      <c r="M2131" s="38" t="s">
        <v>123</v>
      </c>
      <c r="N2131" s="41">
        <v>46006.625</v>
      </c>
      <c r="O2131" s="38" t="s">
        <v>123</v>
      </c>
      <c r="P2131" s="38">
        <v>32400.0</v>
      </c>
      <c r="Q2131" s="39"/>
      <c r="R2131" s="39"/>
      <c r="S2131" s="39"/>
      <c r="T2131" s="39"/>
      <c r="U2131" s="39"/>
    </row>
    <row r="2132">
      <c r="A2132" s="40">
        <f t="shared" si="1"/>
        <v>46006</v>
      </c>
      <c r="B2132" s="37" t="str">
        <f t="array" ref="B2132">iferror(xlookup($I2132, 'IMPORT VHC Report'!$E:$E, 'IMPORT VHC Report'!$A:$C), )</f>
        <v/>
      </c>
      <c r="C2132" s="37"/>
      <c r="D2132" s="37"/>
      <c r="E2132" s="38" t="s">
        <v>2634</v>
      </c>
      <c r="F2132" s="38" t="s">
        <v>2630</v>
      </c>
      <c r="G2132" s="39"/>
      <c r="H2132" s="38" t="s">
        <v>2631</v>
      </c>
      <c r="I2132" s="38" t="s">
        <v>2632</v>
      </c>
      <c r="J2132" s="38" t="s">
        <v>134</v>
      </c>
      <c r="K2132" s="38" t="s">
        <v>126</v>
      </c>
      <c r="L2132" s="41">
        <v>46006.333333333336</v>
      </c>
      <c r="M2132" s="38" t="s">
        <v>123</v>
      </c>
      <c r="N2132" s="41">
        <v>46006.354166666664</v>
      </c>
      <c r="O2132" s="38" t="s">
        <v>123</v>
      </c>
      <c r="P2132" s="38">
        <v>1800.0</v>
      </c>
      <c r="Q2132" s="39"/>
      <c r="R2132" s="39"/>
      <c r="S2132" s="39"/>
      <c r="T2132" s="39"/>
      <c r="U2132" s="39"/>
    </row>
    <row r="2133">
      <c r="A2133" s="40">
        <f t="shared" si="1"/>
        <v>46006</v>
      </c>
      <c r="B2133" s="37" t="str">
        <f t="array" ref="B2133">iferror(xlookup($I2133, 'IMPORT VHC Report'!$E:$E, 'IMPORT VHC Report'!$A:$C), )</f>
        <v/>
      </c>
      <c r="C2133" s="37"/>
      <c r="D2133" s="37"/>
      <c r="E2133" s="38" t="s">
        <v>2635</v>
      </c>
      <c r="F2133" s="38" t="s">
        <v>2630</v>
      </c>
      <c r="G2133" s="39"/>
      <c r="H2133" s="38" t="s">
        <v>2631</v>
      </c>
      <c r="I2133" s="38" t="s">
        <v>2632</v>
      </c>
      <c r="J2133" s="38" t="s">
        <v>132</v>
      </c>
      <c r="K2133" s="38" t="s">
        <v>126</v>
      </c>
      <c r="L2133" s="41">
        <v>46006.458333333336</v>
      </c>
      <c r="M2133" s="38" t="s">
        <v>123</v>
      </c>
      <c r="N2133" s="41">
        <v>46006.5</v>
      </c>
      <c r="O2133" s="38" t="s">
        <v>123</v>
      </c>
      <c r="P2133" s="38">
        <v>3600.0</v>
      </c>
      <c r="Q2133" s="39"/>
      <c r="R2133" s="39"/>
      <c r="S2133" s="39"/>
      <c r="T2133" s="39"/>
      <c r="U2133" s="39"/>
    </row>
    <row r="2134">
      <c r="A2134" s="40">
        <f t="shared" si="1"/>
        <v>46006</v>
      </c>
      <c r="B2134" s="37" t="str">
        <f t="array" ref="B2134">iferror(xlookup($I2134, 'IMPORT VHC Report'!$E:$E, 'IMPORT VHC Report'!$A:$C), )</f>
        <v/>
      </c>
      <c r="C2134" s="37"/>
      <c r="D2134" s="37"/>
      <c r="E2134" s="38" t="s">
        <v>2636</v>
      </c>
      <c r="F2134" s="38" t="s">
        <v>2630</v>
      </c>
      <c r="G2134" s="39"/>
      <c r="H2134" s="38" t="s">
        <v>2631</v>
      </c>
      <c r="I2134" s="38" t="s">
        <v>2632</v>
      </c>
      <c r="J2134" s="38" t="s">
        <v>125</v>
      </c>
      <c r="K2134" s="38" t="s">
        <v>126</v>
      </c>
      <c r="L2134" s="41">
        <v>46007.25</v>
      </c>
      <c r="M2134" s="38" t="s">
        <v>123</v>
      </c>
      <c r="N2134" s="41">
        <v>46007.256944444445</v>
      </c>
      <c r="O2134" s="38" t="s">
        <v>123</v>
      </c>
      <c r="P2134" s="38">
        <v>600.0</v>
      </c>
      <c r="Q2134" s="39"/>
      <c r="R2134" s="39"/>
      <c r="S2134" s="38" t="s">
        <v>127</v>
      </c>
      <c r="T2134" s="39"/>
      <c r="U2134" s="39"/>
    </row>
    <row r="2135">
      <c r="A2135" s="40">
        <f t="shared" si="1"/>
        <v>46006</v>
      </c>
      <c r="B2135" s="37" t="str">
        <f t="array" ref="B2135">iferror(xlookup($I2135, 'IMPORT VHC Report'!$E:$E, 'IMPORT VHC Report'!$A:$C), )</f>
        <v/>
      </c>
      <c r="C2135" s="37"/>
      <c r="D2135" s="37"/>
      <c r="E2135" s="38" t="s">
        <v>2637</v>
      </c>
      <c r="F2135" s="38" t="s">
        <v>2630</v>
      </c>
      <c r="G2135" s="39"/>
      <c r="H2135" s="38" t="s">
        <v>2631</v>
      </c>
      <c r="I2135" s="38" t="s">
        <v>2632</v>
      </c>
      <c r="J2135" s="38" t="s">
        <v>122</v>
      </c>
      <c r="K2135" s="38" t="s">
        <v>63</v>
      </c>
      <c r="L2135" s="41">
        <v>46007.25</v>
      </c>
      <c r="M2135" s="38" t="s">
        <v>123</v>
      </c>
      <c r="N2135" s="41">
        <v>46007.625</v>
      </c>
      <c r="O2135" s="38" t="s">
        <v>123</v>
      </c>
      <c r="P2135" s="38">
        <v>32400.0</v>
      </c>
      <c r="Q2135" s="39"/>
      <c r="R2135" s="39"/>
      <c r="S2135" s="39"/>
      <c r="T2135" s="39"/>
      <c r="U2135" s="39"/>
    </row>
    <row r="2136">
      <c r="A2136" s="40">
        <f t="shared" si="1"/>
        <v>46006</v>
      </c>
      <c r="B2136" s="37" t="str">
        <f t="array" ref="B2136">iferror(xlookup($I2136, 'IMPORT VHC Report'!$E:$E, 'IMPORT VHC Report'!$A:$C), )</f>
        <v/>
      </c>
      <c r="C2136" s="37"/>
      <c r="D2136" s="37"/>
      <c r="E2136" s="38" t="s">
        <v>2638</v>
      </c>
      <c r="F2136" s="38" t="s">
        <v>2630</v>
      </c>
      <c r="G2136" s="39"/>
      <c r="H2136" s="38" t="s">
        <v>2631</v>
      </c>
      <c r="I2136" s="38" t="s">
        <v>2632</v>
      </c>
      <c r="J2136" s="38" t="s">
        <v>132</v>
      </c>
      <c r="K2136" s="38" t="s">
        <v>126</v>
      </c>
      <c r="L2136" s="41">
        <v>46007.375</v>
      </c>
      <c r="M2136" s="38" t="s">
        <v>123</v>
      </c>
      <c r="N2136" s="41">
        <v>46007.416666666664</v>
      </c>
      <c r="O2136" s="38" t="s">
        <v>123</v>
      </c>
      <c r="P2136" s="38">
        <v>3600.0</v>
      </c>
      <c r="Q2136" s="39"/>
      <c r="R2136" s="39"/>
      <c r="S2136" s="39"/>
      <c r="T2136" s="39"/>
      <c r="U2136" s="39"/>
    </row>
    <row r="2137">
      <c r="A2137" s="40">
        <f t="shared" si="1"/>
        <v>46006</v>
      </c>
      <c r="B2137" s="37" t="str">
        <f t="array" ref="B2137">iferror(xlookup($I2137, 'IMPORT VHC Report'!$E:$E, 'IMPORT VHC Report'!$A:$C), )</f>
        <v/>
      </c>
      <c r="C2137" s="37"/>
      <c r="D2137" s="37"/>
      <c r="E2137" s="38" t="s">
        <v>2639</v>
      </c>
      <c r="F2137" s="38" t="s">
        <v>2630</v>
      </c>
      <c r="G2137" s="39"/>
      <c r="H2137" s="38" t="s">
        <v>2631</v>
      </c>
      <c r="I2137" s="38" t="s">
        <v>2632</v>
      </c>
      <c r="J2137" s="38" t="s">
        <v>134</v>
      </c>
      <c r="K2137" s="38" t="s">
        <v>126</v>
      </c>
      <c r="L2137" s="41">
        <v>46007.510416666664</v>
      </c>
      <c r="M2137" s="38" t="s">
        <v>123</v>
      </c>
      <c r="N2137" s="41">
        <v>46007.53125</v>
      </c>
      <c r="O2137" s="38" t="s">
        <v>123</v>
      </c>
      <c r="P2137" s="38">
        <v>1800.0</v>
      </c>
      <c r="Q2137" s="39"/>
      <c r="R2137" s="39"/>
      <c r="S2137" s="39"/>
      <c r="T2137" s="39"/>
      <c r="U2137" s="39"/>
    </row>
    <row r="2138">
      <c r="A2138" s="40">
        <f t="shared" si="1"/>
        <v>46006</v>
      </c>
      <c r="B2138" s="37" t="str">
        <f t="array" ref="B2138">iferror(xlookup($I2138, 'IMPORT VHC Report'!$E:$E, 'IMPORT VHC Report'!$A:$C), )</f>
        <v/>
      </c>
      <c r="C2138" s="37"/>
      <c r="D2138" s="37"/>
      <c r="E2138" s="38" t="s">
        <v>2640</v>
      </c>
      <c r="F2138" s="38" t="s">
        <v>2630</v>
      </c>
      <c r="G2138" s="39"/>
      <c r="H2138" s="38" t="s">
        <v>2631</v>
      </c>
      <c r="I2138" s="38" t="s">
        <v>2632</v>
      </c>
      <c r="J2138" s="38" t="s">
        <v>4</v>
      </c>
      <c r="K2138" s="38" t="s">
        <v>126</v>
      </c>
      <c r="L2138" s="41">
        <v>46007.53125</v>
      </c>
      <c r="M2138" s="38" t="s">
        <v>123</v>
      </c>
      <c r="N2138" s="41">
        <v>46007.572916666664</v>
      </c>
      <c r="O2138" s="38" t="s">
        <v>123</v>
      </c>
      <c r="P2138" s="38">
        <v>3600.0</v>
      </c>
      <c r="Q2138" s="39"/>
      <c r="R2138" s="39"/>
      <c r="S2138" s="38" t="s">
        <v>130</v>
      </c>
      <c r="T2138" s="39"/>
      <c r="U2138" s="39"/>
    </row>
    <row r="2139">
      <c r="A2139" s="40">
        <f t="shared" si="1"/>
        <v>46006</v>
      </c>
      <c r="B2139" s="37" t="str">
        <f t="array" ref="B2139">iferror(xlookup($I2139, 'IMPORT VHC Report'!$E:$E, 'IMPORT VHC Report'!$A:$C), )</f>
        <v/>
      </c>
      <c r="C2139" s="37"/>
      <c r="D2139" s="37"/>
      <c r="E2139" s="38" t="s">
        <v>2641</v>
      </c>
      <c r="F2139" s="38" t="s">
        <v>2630</v>
      </c>
      <c r="G2139" s="39"/>
      <c r="H2139" s="38" t="s">
        <v>2631</v>
      </c>
      <c r="I2139" s="38" t="s">
        <v>2632</v>
      </c>
      <c r="J2139" s="38" t="s">
        <v>125</v>
      </c>
      <c r="K2139" s="38" t="s">
        <v>126</v>
      </c>
      <c r="L2139" s="41">
        <v>46010.25</v>
      </c>
      <c r="M2139" s="38" t="s">
        <v>123</v>
      </c>
      <c r="N2139" s="41">
        <v>46010.256944444445</v>
      </c>
      <c r="O2139" s="38" t="s">
        <v>123</v>
      </c>
      <c r="P2139" s="38">
        <v>600.0</v>
      </c>
      <c r="Q2139" s="39"/>
      <c r="R2139" s="39"/>
      <c r="S2139" s="38" t="s">
        <v>127</v>
      </c>
      <c r="T2139" s="39"/>
      <c r="U2139" s="39"/>
    </row>
    <row r="2140">
      <c r="A2140" s="40">
        <f t="shared" si="1"/>
        <v>46006</v>
      </c>
      <c r="B2140" s="37" t="str">
        <f t="array" ref="B2140">iferror(xlookup($I2140, 'IMPORT VHC Report'!$E:$E, 'IMPORT VHC Report'!$A:$C), )</f>
        <v/>
      </c>
      <c r="C2140" s="37"/>
      <c r="D2140" s="37"/>
      <c r="E2140" s="38" t="s">
        <v>2642</v>
      </c>
      <c r="F2140" s="38" t="s">
        <v>2630</v>
      </c>
      <c r="G2140" s="39"/>
      <c r="H2140" s="38" t="s">
        <v>2631</v>
      </c>
      <c r="I2140" s="38" t="s">
        <v>2632</v>
      </c>
      <c r="J2140" s="38" t="s">
        <v>122</v>
      </c>
      <c r="K2140" s="38" t="s">
        <v>63</v>
      </c>
      <c r="L2140" s="41">
        <v>46010.25</v>
      </c>
      <c r="M2140" s="38" t="s">
        <v>123</v>
      </c>
      <c r="N2140" s="41">
        <v>46010.625</v>
      </c>
      <c r="O2140" s="38" t="s">
        <v>123</v>
      </c>
      <c r="P2140" s="38">
        <v>32400.0</v>
      </c>
      <c r="Q2140" s="39"/>
      <c r="R2140" s="39"/>
      <c r="S2140" s="39"/>
      <c r="T2140" s="39"/>
      <c r="U2140" s="39"/>
    </row>
    <row r="2141">
      <c r="A2141" s="40">
        <f t="shared" si="1"/>
        <v>46006</v>
      </c>
      <c r="B2141" s="37" t="str">
        <f t="array" ref="B2141">iferror(xlookup($I2141, 'IMPORT VHC Report'!$E:$E, 'IMPORT VHC Report'!$A:$C), )</f>
        <v/>
      </c>
      <c r="C2141" s="37"/>
      <c r="D2141" s="37"/>
      <c r="E2141" s="38" t="s">
        <v>2643</v>
      </c>
      <c r="F2141" s="38" t="s">
        <v>2630</v>
      </c>
      <c r="G2141" s="39"/>
      <c r="H2141" s="38" t="s">
        <v>2631</v>
      </c>
      <c r="I2141" s="38" t="s">
        <v>2632</v>
      </c>
      <c r="J2141" s="38" t="s">
        <v>134</v>
      </c>
      <c r="K2141" s="38" t="s">
        <v>126</v>
      </c>
      <c r="L2141" s="41">
        <v>46010.333333333336</v>
      </c>
      <c r="M2141" s="38" t="s">
        <v>123</v>
      </c>
      <c r="N2141" s="41">
        <v>46010.354166666664</v>
      </c>
      <c r="O2141" s="38" t="s">
        <v>123</v>
      </c>
      <c r="P2141" s="38">
        <v>1800.0</v>
      </c>
      <c r="Q2141" s="39"/>
      <c r="R2141" s="39"/>
      <c r="S2141" s="39"/>
      <c r="T2141" s="39"/>
      <c r="U2141" s="39"/>
    </row>
    <row r="2142">
      <c r="A2142" s="40">
        <f t="shared" si="1"/>
        <v>46006</v>
      </c>
      <c r="B2142" s="37" t="str">
        <f t="array" ref="B2142">iferror(xlookup($I2142, 'IMPORT VHC Report'!$E:$E, 'IMPORT VHC Report'!$A:$C), )</f>
        <v/>
      </c>
      <c r="C2142" s="37"/>
      <c r="D2142" s="37"/>
      <c r="E2142" s="38" t="s">
        <v>2644</v>
      </c>
      <c r="F2142" s="38" t="s">
        <v>2630</v>
      </c>
      <c r="G2142" s="39"/>
      <c r="H2142" s="38" t="s">
        <v>2631</v>
      </c>
      <c r="I2142" s="38" t="s">
        <v>2632</v>
      </c>
      <c r="J2142" s="38" t="s">
        <v>132</v>
      </c>
      <c r="K2142" s="38" t="s">
        <v>126</v>
      </c>
      <c r="L2142" s="41">
        <v>46010.458333333336</v>
      </c>
      <c r="M2142" s="38" t="s">
        <v>123</v>
      </c>
      <c r="N2142" s="41">
        <v>46010.5</v>
      </c>
      <c r="O2142" s="38" t="s">
        <v>123</v>
      </c>
      <c r="P2142" s="38">
        <v>3600.0</v>
      </c>
      <c r="Q2142" s="39"/>
      <c r="R2142" s="39"/>
      <c r="S2142" s="39"/>
      <c r="T2142" s="39"/>
      <c r="U2142" s="39"/>
    </row>
    <row r="2143">
      <c r="A2143" s="40">
        <f t="shared" si="1"/>
        <v>46006</v>
      </c>
      <c r="B2143" s="37" t="str">
        <f t="array" ref="B2143">iferror(xlookup($I2143, 'IMPORT VHC Report'!$E:$E, 'IMPORT VHC Report'!$A:$C), )</f>
        <v/>
      </c>
      <c r="C2143" s="37"/>
      <c r="D2143" s="37"/>
      <c r="E2143" s="38" t="s">
        <v>2645</v>
      </c>
      <c r="F2143" s="38" t="s">
        <v>2630</v>
      </c>
      <c r="G2143" s="39"/>
      <c r="H2143" s="38" t="s">
        <v>2631</v>
      </c>
      <c r="I2143" s="38" t="s">
        <v>2632</v>
      </c>
      <c r="J2143" s="38" t="s">
        <v>125</v>
      </c>
      <c r="K2143" s="38" t="s">
        <v>126</v>
      </c>
      <c r="L2143" s="41">
        <v>46011.25</v>
      </c>
      <c r="M2143" s="38" t="s">
        <v>123</v>
      </c>
      <c r="N2143" s="41">
        <v>46011.256944444445</v>
      </c>
      <c r="O2143" s="38" t="s">
        <v>123</v>
      </c>
      <c r="P2143" s="38">
        <v>600.0</v>
      </c>
      <c r="Q2143" s="39"/>
      <c r="R2143" s="39"/>
      <c r="S2143" s="38" t="s">
        <v>127</v>
      </c>
      <c r="T2143" s="39"/>
      <c r="U2143" s="39"/>
    </row>
    <row r="2144">
      <c r="A2144" s="40">
        <f t="shared" si="1"/>
        <v>46006</v>
      </c>
      <c r="B2144" s="37" t="str">
        <f t="array" ref="B2144">iferror(xlookup($I2144, 'IMPORT VHC Report'!$E:$E, 'IMPORT VHC Report'!$A:$C), )</f>
        <v/>
      </c>
      <c r="C2144" s="37"/>
      <c r="D2144" s="37"/>
      <c r="E2144" s="38" t="s">
        <v>2646</v>
      </c>
      <c r="F2144" s="38" t="s">
        <v>2630</v>
      </c>
      <c r="G2144" s="39"/>
      <c r="H2144" s="38" t="s">
        <v>2631</v>
      </c>
      <c r="I2144" s="38" t="s">
        <v>2632</v>
      </c>
      <c r="J2144" s="38" t="s">
        <v>122</v>
      </c>
      <c r="K2144" s="38" t="s">
        <v>63</v>
      </c>
      <c r="L2144" s="41">
        <v>46011.25</v>
      </c>
      <c r="M2144" s="38" t="s">
        <v>123</v>
      </c>
      <c r="N2144" s="41">
        <v>46011.625</v>
      </c>
      <c r="O2144" s="38" t="s">
        <v>123</v>
      </c>
      <c r="P2144" s="38">
        <v>32400.0</v>
      </c>
      <c r="Q2144" s="39"/>
      <c r="R2144" s="39"/>
      <c r="S2144" s="39"/>
      <c r="T2144" s="39"/>
      <c r="U2144" s="39"/>
    </row>
    <row r="2145">
      <c r="A2145" s="40">
        <f t="shared" si="1"/>
        <v>46006</v>
      </c>
      <c r="B2145" s="37" t="str">
        <f t="array" ref="B2145">iferror(xlookup($I2145, 'IMPORT VHC Report'!$E:$E, 'IMPORT VHC Report'!$A:$C), )</f>
        <v/>
      </c>
      <c r="C2145" s="37"/>
      <c r="D2145" s="37"/>
      <c r="E2145" s="38" t="s">
        <v>2647</v>
      </c>
      <c r="F2145" s="38" t="s">
        <v>2630</v>
      </c>
      <c r="G2145" s="39"/>
      <c r="H2145" s="38" t="s">
        <v>2631</v>
      </c>
      <c r="I2145" s="38" t="s">
        <v>2632</v>
      </c>
      <c r="J2145" s="38" t="s">
        <v>132</v>
      </c>
      <c r="K2145" s="38" t="s">
        <v>126</v>
      </c>
      <c r="L2145" s="41">
        <v>46011.333333333336</v>
      </c>
      <c r="M2145" s="38" t="s">
        <v>123</v>
      </c>
      <c r="N2145" s="41">
        <v>46011.375</v>
      </c>
      <c r="O2145" s="38" t="s">
        <v>123</v>
      </c>
      <c r="P2145" s="38">
        <v>3600.0</v>
      </c>
      <c r="Q2145" s="39"/>
      <c r="R2145" s="39"/>
      <c r="S2145" s="39"/>
      <c r="T2145" s="39"/>
      <c r="U2145" s="39"/>
    </row>
    <row r="2146">
      <c r="A2146" s="40">
        <f t="shared" si="1"/>
        <v>46006</v>
      </c>
      <c r="B2146" s="37" t="str">
        <f t="array" ref="B2146">iferror(xlookup($I2146, 'IMPORT VHC Report'!$E:$E, 'IMPORT VHC Report'!$A:$C), )</f>
        <v/>
      </c>
      <c r="C2146" s="37"/>
      <c r="D2146" s="37"/>
      <c r="E2146" s="38" t="s">
        <v>2648</v>
      </c>
      <c r="F2146" s="38" t="s">
        <v>2630</v>
      </c>
      <c r="G2146" s="39"/>
      <c r="H2146" s="38" t="s">
        <v>2631</v>
      </c>
      <c r="I2146" s="38" t="s">
        <v>2632</v>
      </c>
      <c r="J2146" s="38" t="s">
        <v>134</v>
      </c>
      <c r="K2146" s="38" t="s">
        <v>126</v>
      </c>
      <c r="L2146" s="41">
        <v>46011.447916666664</v>
      </c>
      <c r="M2146" s="38" t="s">
        <v>123</v>
      </c>
      <c r="N2146" s="41">
        <v>46011.46875</v>
      </c>
      <c r="O2146" s="38" t="s">
        <v>123</v>
      </c>
      <c r="P2146" s="38">
        <v>1800.0</v>
      </c>
      <c r="Q2146" s="39"/>
      <c r="R2146" s="39"/>
      <c r="S2146" s="39"/>
      <c r="T2146" s="39"/>
      <c r="U2146" s="39"/>
    </row>
    <row r="2147">
      <c r="A2147" s="40">
        <f t="shared" si="1"/>
        <v>46006</v>
      </c>
      <c r="B2147" s="37" t="str">
        <f t="array" ref="B2147">iferror(xlookup($I2147, 'IMPORT VHC Report'!$E:$E, 'IMPORT VHC Report'!$A:$C), )</f>
        <v/>
      </c>
      <c r="C2147" s="37"/>
      <c r="D2147" s="37"/>
      <c r="E2147" s="38" t="s">
        <v>2649</v>
      </c>
      <c r="F2147" s="38" t="s">
        <v>2630</v>
      </c>
      <c r="G2147" s="39"/>
      <c r="H2147" s="38" t="s">
        <v>2631</v>
      </c>
      <c r="I2147" s="38" t="s">
        <v>2632</v>
      </c>
      <c r="J2147" s="38" t="s">
        <v>125</v>
      </c>
      <c r="K2147" s="38" t="s">
        <v>126</v>
      </c>
      <c r="L2147" s="41">
        <v>46012.25</v>
      </c>
      <c r="M2147" s="38" t="s">
        <v>123</v>
      </c>
      <c r="N2147" s="41">
        <v>46012.256944444445</v>
      </c>
      <c r="O2147" s="38" t="s">
        <v>123</v>
      </c>
      <c r="P2147" s="38">
        <v>600.0</v>
      </c>
      <c r="Q2147" s="39"/>
      <c r="R2147" s="39"/>
      <c r="S2147" s="38" t="s">
        <v>127</v>
      </c>
      <c r="T2147" s="39"/>
      <c r="U2147" s="39"/>
    </row>
    <row r="2148">
      <c r="A2148" s="40">
        <f t="shared" si="1"/>
        <v>46006</v>
      </c>
      <c r="B2148" s="37" t="str">
        <f t="array" ref="B2148">iferror(xlookup($I2148, 'IMPORT VHC Report'!$E:$E, 'IMPORT VHC Report'!$A:$C), )</f>
        <v/>
      </c>
      <c r="C2148" s="37"/>
      <c r="D2148" s="37"/>
      <c r="E2148" s="38" t="s">
        <v>2650</v>
      </c>
      <c r="F2148" s="38" t="s">
        <v>2630</v>
      </c>
      <c r="G2148" s="39"/>
      <c r="H2148" s="38" t="s">
        <v>2631</v>
      </c>
      <c r="I2148" s="38" t="s">
        <v>2632</v>
      </c>
      <c r="J2148" s="38" t="s">
        <v>122</v>
      </c>
      <c r="K2148" s="38" t="s">
        <v>63</v>
      </c>
      <c r="L2148" s="41">
        <v>46012.25</v>
      </c>
      <c r="M2148" s="38" t="s">
        <v>123</v>
      </c>
      <c r="N2148" s="41">
        <v>46012.625</v>
      </c>
      <c r="O2148" s="38" t="s">
        <v>123</v>
      </c>
      <c r="P2148" s="38">
        <v>32400.0</v>
      </c>
      <c r="Q2148" s="39"/>
      <c r="R2148" s="39"/>
      <c r="S2148" s="39"/>
      <c r="T2148" s="39"/>
      <c r="U2148" s="39"/>
    </row>
    <row r="2149">
      <c r="A2149" s="40">
        <f t="shared" si="1"/>
        <v>46006</v>
      </c>
      <c r="B2149" s="37" t="str">
        <f t="array" ref="B2149">iferror(xlookup($I2149, 'IMPORT VHC Report'!$E:$E, 'IMPORT VHC Report'!$A:$C), )</f>
        <v/>
      </c>
      <c r="C2149" s="37"/>
      <c r="D2149" s="37"/>
      <c r="E2149" s="38" t="s">
        <v>2651</v>
      </c>
      <c r="F2149" s="38" t="s">
        <v>2630</v>
      </c>
      <c r="G2149" s="39"/>
      <c r="H2149" s="38" t="s">
        <v>2631</v>
      </c>
      <c r="I2149" s="38" t="s">
        <v>2632</v>
      </c>
      <c r="J2149" s="38" t="s">
        <v>134</v>
      </c>
      <c r="K2149" s="38" t="s">
        <v>126</v>
      </c>
      <c r="L2149" s="41">
        <v>46012.354166666664</v>
      </c>
      <c r="M2149" s="38" t="s">
        <v>123</v>
      </c>
      <c r="N2149" s="41">
        <v>46012.375</v>
      </c>
      <c r="O2149" s="38" t="s">
        <v>123</v>
      </c>
      <c r="P2149" s="38">
        <v>1800.0</v>
      </c>
      <c r="Q2149" s="39"/>
      <c r="R2149" s="39"/>
      <c r="S2149" s="39"/>
      <c r="T2149" s="39"/>
      <c r="U2149" s="39"/>
    </row>
    <row r="2150">
      <c r="A2150" s="40">
        <f t="shared" si="1"/>
        <v>46006</v>
      </c>
      <c r="B2150" s="37" t="str">
        <f t="array" ref="B2150">iferror(xlookup($I2150, 'IMPORT VHC Report'!$E:$E, 'IMPORT VHC Report'!$A:$C), )</f>
        <v/>
      </c>
      <c r="C2150" s="37"/>
      <c r="D2150" s="37"/>
      <c r="E2150" s="38" t="s">
        <v>2652</v>
      </c>
      <c r="F2150" s="38" t="s">
        <v>2630</v>
      </c>
      <c r="G2150" s="39"/>
      <c r="H2150" s="38" t="s">
        <v>2631</v>
      </c>
      <c r="I2150" s="38" t="s">
        <v>2632</v>
      </c>
      <c r="J2150" s="38" t="s">
        <v>132</v>
      </c>
      <c r="K2150" s="38" t="s">
        <v>126</v>
      </c>
      <c r="L2150" s="41">
        <v>46012.479166666664</v>
      </c>
      <c r="M2150" s="38" t="s">
        <v>123</v>
      </c>
      <c r="N2150" s="41">
        <v>46012.520833333336</v>
      </c>
      <c r="O2150" s="38" t="s">
        <v>123</v>
      </c>
      <c r="P2150" s="38">
        <v>3600.0</v>
      </c>
      <c r="Q2150" s="39"/>
      <c r="R2150" s="39"/>
      <c r="S2150" s="39"/>
      <c r="T2150" s="39"/>
      <c r="U2150" s="39"/>
    </row>
    <row r="2151">
      <c r="A2151" s="40">
        <f t="shared" si="1"/>
        <v>46006</v>
      </c>
      <c r="B2151" s="37" t="str">
        <f t="array" ref="B2151">iferror(xlookup($I2151, 'IMPORT VHC Report'!$E:$E, 'IMPORT VHC Report'!$A:$C), )</f>
        <v/>
      </c>
      <c r="C2151" s="37"/>
      <c r="D2151" s="37"/>
      <c r="E2151" s="38" t="s">
        <v>2653</v>
      </c>
      <c r="F2151" s="38" t="s">
        <v>2654</v>
      </c>
      <c r="G2151" s="38">
        <v>3.61724965056E11</v>
      </c>
      <c r="H2151" s="38" t="s">
        <v>2655</v>
      </c>
      <c r="I2151" s="38" t="s">
        <v>2656</v>
      </c>
      <c r="J2151" s="38" t="s">
        <v>368</v>
      </c>
      <c r="K2151" s="38" t="s">
        <v>63</v>
      </c>
      <c r="L2151" s="41">
        <v>46006.25</v>
      </c>
      <c r="M2151" s="38" t="s">
        <v>123</v>
      </c>
      <c r="N2151" s="41">
        <v>46006.625</v>
      </c>
      <c r="O2151" s="38" t="s">
        <v>123</v>
      </c>
      <c r="P2151" s="38">
        <v>32400.0</v>
      </c>
      <c r="Q2151" s="39"/>
      <c r="R2151" s="39"/>
      <c r="S2151" s="39"/>
      <c r="T2151" s="39"/>
      <c r="U2151" s="39"/>
    </row>
    <row r="2152">
      <c r="A2152" s="40">
        <f t="shared" si="1"/>
        <v>46006</v>
      </c>
      <c r="B2152" s="37" t="str">
        <f t="array" ref="B2152">iferror(xlookup($I2152, 'IMPORT VHC Report'!$E:$E, 'IMPORT VHC Report'!$A:$C), )</f>
        <v/>
      </c>
      <c r="C2152" s="37"/>
      <c r="D2152" s="37"/>
      <c r="E2152" s="38" t="s">
        <v>2657</v>
      </c>
      <c r="F2152" s="38" t="s">
        <v>2654</v>
      </c>
      <c r="G2152" s="38">
        <v>3.61724965056E11</v>
      </c>
      <c r="H2152" s="38" t="s">
        <v>2655</v>
      </c>
      <c r="I2152" s="38" t="s">
        <v>2656</v>
      </c>
      <c r="J2152" s="38" t="s">
        <v>134</v>
      </c>
      <c r="K2152" s="38" t="s">
        <v>126</v>
      </c>
      <c r="L2152" s="41">
        <v>46006.395833333336</v>
      </c>
      <c r="M2152" s="38" t="s">
        <v>123</v>
      </c>
      <c r="N2152" s="41">
        <v>46006.416666666664</v>
      </c>
      <c r="O2152" s="38" t="s">
        <v>123</v>
      </c>
      <c r="P2152" s="38">
        <v>1800.0</v>
      </c>
      <c r="Q2152" s="39"/>
      <c r="R2152" s="39"/>
      <c r="S2152" s="39"/>
      <c r="T2152" s="39"/>
      <c r="U2152" s="39"/>
    </row>
    <row r="2153">
      <c r="A2153" s="40">
        <f t="shared" si="1"/>
        <v>46006</v>
      </c>
      <c r="B2153" s="37" t="str">
        <f t="array" ref="B2153">iferror(xlookup($I2153, 'IMPORT VHC Report'!$E:$E, 'IMPORT VHC Report'!$A:$C), )</f>
        <v/>
      </c>
      <c r="C2153" s="37"/>
      <c r="D2153" s="37"/>
      <c r="E2153" s="38" t="s">
        <v>2658</v>
      </c>
      <c r="F2153" s="38" t="s">
        <v>2654</v>
      </c>
      <c r="G2153" s="38">
        <v>3.61724965056E11</v>
      </c>
      <c r="H2153" s="38" t="s">
        <v>2655</v>
      </c>
      <c r="I2153" s="38" t="s">
        <v>2656</v>
      </c>
      <c r="J2153" s="38" t="s">
        <v>136</v>
      </c>
      <c r="K2153" s="38" t="s">
        <v>126</v>
      </c>
      <c r="L2153" s="41">
        <v>46006.416666666664</v>
      </c>
      <c r="M2153" s="38" t="s">
        <v>123</v>
      </c>
      <c r="N2153" s="41">
        <v>46006.43472222222</v>
      </c>
      <c r="O2153" s="38" t="s">
        <v>123</v>
      </c>
      <c r="P2153" s="38">
        <v>1560.0</v>
      </c>
      <c r="Q2153" s="39"/>
      <c r="R2153" s="39"/>
      <c r="S2153" s="38" t="s">
        <v>2659</v>
      </c>
      <c r="T2153" s="39"/>
      <c r="U2153" s="39"/>
    </row>
    <row r="2154">
      <c r="A2154" s="40">
        <f t="shared" si="1"/>
        <v>46006</v>
      </c>
      <c r="B2154" s="37" t="str">
        <f t="array" ref="B2154">iferror(xlookup($I2154, 'IMPORT VHC Report'!$E:$E, 'IMPORT VHC Report'!$A:$C), )</f>
        <v/>
      </c>
      <c r="C2154" s="37"/>
      <c r="D2154" s="37"/>
      <c r="E2154" s="38" t="s">
        <v>2660</v>
      </c>
      <c r="F2154" s="38" t="s">
        <v>2654</v>
      </c>
      <c r="G2154" s="38">
        <v>3.61724965056E11</v>
      </c>
      <c r="H2154" s="38" t="s">
        <v>2655</v>
      </c>
      <c r="I2154" s="38" t="s">
        <v>2656</v>
      </c>
      <c r="J2154" s="38" t="s">
        <v>132</v>
      </c>
      <c r="K2154" s="38" t="s">
        <v>126</v>
      </c>
      <c r="L2154" s="41">
        <v>46006.520833333336</v>
      </c>
      <c r="M2154" s="38" t="s">
        <v>123</v>
      </c>
      <c r="N2154" s="41">
        <v>46006.5625</v>
      </c>
      <c r="O2154" s="38" t="s">
        <v>123</v>
      </c>
      <c r="P2154" s="38">
        <v>3600.0</v>
      </c>
      <c r="Q2154" s="39"/>
      <c r="R2154" s="39"/>
      <c r="S2154" s="39"/>
      <c r="T2154" s="39"/>
      <c r="U2154" s="39"/>
    </row>
    <row r="2155">
      <c r="A2155" s="40">
        <f t="shared" si="1"/>
        <v>46006</v>
      </c>
      <c r="B2155" s="37" t="str">
        <f t="array" ref="B2155">iferror(xlookup($I2155, 'IMPORT VHC Report'!$E:$E, 'IMPORT VHC Report'!$A:$C), )</f>
        <v/>
      </c>
      <c r="C2155" s="37"/>
      <c r="D2155" s="37"/>
      <c r="E2155" s="38" t="s">
        <v>2661</v>
      </c>
      <c r="F2155" s="38" t="s">
        <v>2654</v>
      </c>
      <c r="G2155" s="38">
        <v>3.61724965056E11</v>
      </c>
      <c r="H2155" s="38" t="s">
        <v>2655</v>
      </c>
      <c r="I2155" s="38" t="s">
        <v>2656</v>
      </c>
      <c r="J2155" s="38" t="s">
        <v>368</v>
      </c>
      <c r="K2155" s="38" t="s">
        <v>63</v>
      </c>
      <c r="L2155" s="41">
        <v>46007.25</v>
      </c>
      <c r="M2155" s="38" t="s">
        <v>123</v>
      </c>
      <c r="N2155" s="41">
        <v>46007.625</v>
      </c>
      <c r="O2155" s="38" t="s">
        <v>123</v>
      </c>
      <c r="P2155" s="38">
        <v>32400.0</v>
      </c>
      <c r="Q2155" s="39"/>
      <c r="R2155" s="39"/>
      <c r="S2155" s="39"/>
      <c r="T2155" s="39"/>
      <c r="U2155" s="39"/>
    </row>
    <row r="2156">
      <c r="A2156" s="40">
        <f t="shared" si="1"/>
        <v>46006</v>
      </c>
      <c r="B2156" s="37" t="str">
        <f t="array" ref="B2156">iferror(xlookup($I2156, 'IMPORT VHC Report'!$E:$E, 'IMPORT VHC Report'!$A:$C), )</f>
        <v/>
      </c>
      <c r="C2156" s="37"/>
      <c r="D2156" s="37"/>
      <c r="E2156" s="38" t="s">
        <v>2662</v>
      </c>
      <c r="F2156" s="38" t="s">
        <v>2654</v>
      </c>
      <c r="G2156" s="38">
        <v>3.61724965056E11</v>
      </c>
      <c r="H2156" s="38" t="s">
        <v>2655</v>
      </c>
      <c r="I2156" s="38" t="s">
        <v>2656</v>
      </c>
      <c r="J2156" s="38" t="s">
        <v>134</v>
      </c>
      <c r="K2156" s="38" t="s">
        <v>126</v>
      </c>
      <c r="L2156" s="41">
        <v>46007.4375</v>
      </c>
      <c r="M2156" s="38" t="s">
        <v>123</v>
      </c>
      <c r="N2156" s="41">
        <v>46007.458333333336</v>
      </c>
      <c r="O2156" s="38" t="s">
        <v>123</v>
      </c>
      <c r="P2156" s="38">
        <v>1800.0</v>
      </c>
      <c r="Q2156" s="39"/>
      <c r="R2156" s="39"/>
      <c r="S2156" s="39"/>
      <c r="T2156" s="39"/>
      <c r="U2156" s="39"/>
    </row>
    <row r="2157">
      <c r="A2157" s="40">
        <f t="shared" si="1"/>
        <v>46006</v>
      </c>
      <c r="B2157" s="37" t="str">
        <f t="array" ref="B2157">iferror(xlookup($I2157, 'IMPORT VHC Report'!$E:$E, 'IMPORT VHC Report'!$A:$C), )</f>
        <v/>
      </c>
      <c r="C2157" s="37"/>
      <c r="D2157" s="37"/>
      <c r="E2157" s="38" t="s">
        <v>2663</v>
      </c>
      <c r="F2157" s="38" t="s">
        <v>2654</v>
      </c>
      <c r="G2157" s="38">
        <v>3.61724965056E11</v>
      </c>
      <c r="H2157" s="38" t="s">
        <v>2655</v>
      </c>
      <c r="I2157" s="38" t="s">
        <v>2656</v>
      </c>
      <c r="J2157" s="38" t="s">
        <v>132</v>
      </c>
      <c r="K2157" s="38" t="s">
        <v>126</v>
      </c>
      <c r="L2157" s="41">
        <v>46007.541666666664</v>
      </c>
      <c r="M2157" s="38" t="s">
        <v>123</v>
      </c>
      <c r="N2157" s="41">
        <v>46007.583333333336</v>
      </c>
      <c r="O2157" s="38" t="s">
        <v>123</v>
      </c>
      <c r="P2157" s="38">
        <v>3600.0</v>
      </c>
      <c r="Q2157" s="39"/>
      <c r="R2157" s="39"/>
      <c r="S2157" s="39"/>
      <c r="T2157" s="39"/>
      <c r="U2157" s="39"/>
    </row>
    <row r="2158">
      <c r="A2158" s="40">
        <f t="shared" si="1"/>
        <v>46006</v>
      </c>
      <c r="B2158" s="37" t="str">
        <f t="array" ref="B2158">iferror(xlookup($I2158, 'IMPORT VHC Report'!$E:$E, 'IMPORT VHC Report'!$A:$C), )</f>
        <v/>
      </c>
      <c r="C2158" s="37"/>
      <c r="D2158" s="37"/>
      <c r="E2158" s="38" t="s">
        <v>2664</v>
      </c>
      <c r="F2158" s="38" t="s">
        <v>2654</v>
      </c>
      <c r="G2158" s="38">
        <v>3.61724965056E11</v>
      </c>
      <c r="H2158" s="38" t="s">
        <v>2655</v>
      </c>
      <c r="I2158" s="38" t="s">
        <v>2656</v>
      </c>
      <c r="J2158" s="38" t="s">
        <v>368</v>
      </c>
      <c r="K2158" s="38" t="s">
        <v>63</v>
      </c>
      <c r="L2158" s="41">
        <v>46008.25</v>
      </c>
      <c r="M2158" s="38" t="s">
        <v>123</v>
      </c>
      <c r="N2158" s="41">
        <v>46008.625</v>
      </c>
      <c r="O2158" s="38" t="s">
        <v>123</v>
      </c>
      <c r="P2158" s="38">
        <v>32400.0</v>
      </c>
      <c r="Q2158" s="39"/>
      <c r="R2158" s="39"/>
      <c r="S2158" s="39"/>
      <c r="T2158" s="39"/>
      <c r="U2158" s="39"/>
    </row>
    <row r="2159">
      <c r="A2159" s="40">
        <f t="shared" si="1"/>
        <v>46006</v>
      </c>
      <c r="B2159" s="37" t="str">
        <f t="array" ref="B2159">iferror(xlookup($I2159, 'IMPORT VHC Report'!$E:$E, 'IMPORT VHC Report'!$A:$C), )</f>
        <v/>
      </c>
      <c r="C2159" s="37"/>
      <c r="D2159" s="37"/>
      <c r="E2159" s="38" t="s">
        <v>2665</v>
      </c>
      <c r="F2159" s="38" t="s">
        <v>2654</v>
      </c>
      <c r="G2159" s="38">
        <v>3.61724965056E11</v>
      </c>
      <c r="H2159" s="38" t="s">
        <v>2655</v>
      </c>
      <c r="I2159" s="38" t="s">
        <v>2656</v>
      </c>
      <c r="J2159" s="38" t="s">
        <v>134</v>
      </c>
      <c r="K2159" s="38" t="s">
        <v>126</v>
      </c>
      <c r="L2159" s="41">
        <v>46008.364583333336</v>
      </c>
      <c r="M2159" s="38" t="s">
        <v>123</v>
      </c>
      <c r="N2159" s="41">
        <v>46008.385416666664</v>
      </c>
      <c r="O2159" s="38" t="s">
        <v>123</v>
      </c>
      <c r="P2159" s="38">
        <v>1800.0</v>
      </c>
      <c r="Q2159" s="39"/>
      <c r="R2159" s="39"/>
      <c r="S2159" s="39"/>
      <c r="T2159" s="39"/>
      <c r="U2159" s="39"/>
    </row>
    <row r="2160">
      <c r="A2160" s="40">
        <f t="shared" si="1"/>
        <v>46006</v>
      </c>
      <c r="B2160" s="37" t="str">
        <f t="array" ref="B2160">iferror(xlookup($I2160, 'IMPORT VHC Report'!$E:$E, 'IMPORT VHC Report'!$A:$C), )</f>
        <v/>
      </c>
      <c r="C2160" s="37"/>
      <c r="D2160" s="37"/>
      <c r="E2160" s="38" t="s">
        <v>2666</v>
      </c>
      <c r="F2160" s="38" t="s">
        <v>2654</v>
      </c>
      <c r="G2160" s="38">
        <v>3.61724965056E11</v>
      </c>
      <c r="H2160" s="38" t="s">
        <v>2655</v>
      </c>
      <c r="I2160" s="38" t="s">
        <v>2656</v>
      </c>
      <c r="J2160" s="38" t="s">
        <v>132</v>
      </c>
      <c r="K2160" s="38" t="s">
        <v>126</v>
      </c>
      <c r="L2160" s="41">
        <v>46008.489583333336</v>
      </c>
      <c r="M2160" s="38" t="s">
        <v>123</v>
      </c>
      <c r="N2160" s="41">
        <v>46008.53125</v>
      </c>
      <c r="O2160" s="38" t="s">
        <v>123</v>
      </c>
      <c r="P2160" s="38">
        <v>3600.0</v>
      </c>
      <c r="Q2160" s="39"/>
      <c r="R2160" s="39"/>
      <c r="S2160" s="39"/>
      <c r="T2160" s="39"/>
      <c r="U2160" s="39"/>
    </row>
    <row r="2161">
      <c r="A2161" s="40">
        <f t="shared" si="1"/>
        <v>46006</v>
      </c>
      <c r="B2161" s="37" t="str">
        <f t="array" ref="B2161">iferror(xlookup($I2161, 'IMPORT VHC Report'!$E:$E, 'IMPORT VHC Report'!$A:$C), )</f>
        <v/>
      </c>
      <c r="C2161" s="37"/>
      <c r="D2161" s="37"/>
      <c r="E2161" s="38" t="s">
        <v>2667</v>
      </c>
      <c r="F2161" s="38" t="s">
        <v>2654</v>
      </c>
      <c r="G2161" s="38">
        <v>3.61724965056E11</v>
      </c>
      <c r="H2161" s="38" t="s">
        <v>2655</v>
      </c>
      <c r="I2161" s="38" t="s">
        <v>2656</v>
      </c>
      <c r="J2161" s="38" t="s">
        <v>368</v>
      </c>
      <c r="K2161" s="38" t="s">
        <v>63</v>
      </c>
      <c r="L2161" s="41">
        <v>46009.25</v>
      </c>
      <c r="M2161" s="38" t="s">
        <v>123</v>
      </c>
      <c r="N2161" s="41">
        <v>46009.625</v>
      </c>
      <c r="O2161" s="38" t="s">
        <v>123</v>
      </c>
      <c r="P2161" s="38">
        <v>32400.0</v>
      </c>
      <c r="Q2161" s="39"/>
      <c r="R2161" s="39"/>
      <c r="S2161" s="39"/>
      <c r="T2161" s="39"/>
      <c r="U2161" s="39"/>
    </row>
    <row r="2162">
      <c r="A2162" s="40">
        <f t="shared" si="1"/>
        <v>46006</v>
      </c>
      <c r="B2162" s="37" t="str">
        <f t="array" ref="B2162">iferror(xlookup($I2162, 'IMPORT VHC Report'!$E:$E, 'IMPORT VHC Report'!$A:$C), )</f>
        <v/>
      </c>
      <c r="C2162" s="37"/>
      <c r="D2162" s="37"/>
      <c r="E2162" s="38" t="s">
        <v>2668</v>
      </c>
      <c r="F2162" s="38" t="s">
        <v>2654</v>
      </c>
      <c r="G2162" s="38">
        <v>3.61724965056E11</v>
      </c>
      <c r="H2162" s="38" t="s">
        <v>2655</v>
      </c>
      <c r="I2162" s="38" t="s">
        <v>2656</v>
      </c>
      <c r="J2162" s="38" t="s">
        <v>134</v>
      </c>
      <c r="K2162" s="38" t="s">
        <v>126</v>
      </c>
      <c r="L2162" s="41">
        <v>46009.34375</v>
      </c>
      <c r="M2162" s="38" t="s">
        <v>123</v>
      </c>
      <c r="N2162" s="41">
        <v>46009.364583333336</v>
      </c>
      <c r="O2162" s="38" t="s">
        <v>123</v>
      </c>
      <c r="P2162" s="38">
        <v>1800.0</v>
      </c>
      <c r="Q2162" s="39"/>
      <c r="R2162" s="39"/>
      <c r="S2162" s="39"/>
      <c r="T2162" s="39"/>
      <c r="U2162" s="39"/>
    </row>
    <row r="2163">
      <c r="A2163" s="40">
        <f t="shared" si="1"/>
        <v>46006</v>
      </c>
      <c r="B2163" s="37" t="str">
        <f t="array" ref="B2163">iferror(xlookup($I2163, 'IMPORT VHC Report'!$E:$E, 'IMPORT VHC Report'!$A:$C), )</f>
        <v/>
      </c>
      <c r="C2163" s="37"/>
      <c r="D2163" s="37"/>
      <c r="E2163" s="38" t="s">
        <v>2669</v>
      </c>
      <c r="F2163" s="38" t="s">
        <v>2654</v>
      </c>
      <c r="G2163" s="38">
        <v>3.61724965056E11</v>
      </c>
      <c r="H2163" s="38" t="s">
        <v>2655</v>
      </c>
      <c r="I2163" s="38" t="s">
        <v>2656</v>
      </c>
      <c r="J2163" s="38" t="s">
        <v>132</v>
      </c>
      <c r="K2163" s="38" t="s">
        <v>126</v>
      </c>
      <c r="L2163" s="41">
        <v>46009.447916666664</v>
      </c>
      <c r="M2163" s="38" t="s">
        <v>123</v>
      </c>
      <c r="N2163" s="41">
        <v>46009.489583333336</v>
      </c>
      <c r="O2163" s="38" t="s">
        <v>123</v>
      </c>
      <c r="P2163" s="38">
        <v>3600.0</v>
      </c>
      <c r="Q2163" s="39"/>
      <c r="R2163" s="39"/>
      <c r="S2163" s="39"/>
      <c r="T2163" s="39"/>
      <c r="U2163" s="39"/>
    </row>
    <row r="2164">
      <c r="A2164" s="40">
        <f t="shared" si="1"/>
        <v>46006</v>
      </c>
      <c r="B2164" s="37" t="str">
        <f t="array" ref="B2164">iferror(xlookup($I2164, 'IMPORT VHC Report'!$E:$E, 'IMPORT VHC Report'!$A:$C), )</f>
        <v/>
      </c>
      <c r="C2164" s="37"/>
      <c r="D2164" s="37"/>
      <c r="E2164" s="38" t="s">
        <v>2670</v>
      </c>
      <c r="F2164" s="38" t="s">
        <v>2654</v>
      </c>
      <c r="G2164" s="38">
        <v>3.61724965056E11</v>
      </c>
      <c r="H2164" s="38" t="s">
        <v>2655</v>
      </c>
      <c r="I2164" s="38" t="s">
        <v>2656</v>
      </c>
      <c r="J2164" s="38" t="s">
        <v>985</v>
      </c>
      <c r="K2164" s="38" t="s">
        <v>63</v>
      </c>
      <c r="L2164" s="41">
        <v>46009.9375</v>
      </c>
      <c r="M2164" s="38" t="s">
        <v>123</v>
      </c>
      <c r="N2164" s="41">
        <v>46010.020833333336</v>
      </c>
      <c r="O2164" s="38" t="s">
        <v>123</v>
      </c>
      <c r="P2164" s="38">
        <v>7200.0</v>
      </c>
      <c r="Q2164" s="39"/>
      <c r="R2164" s="39"/>
      <c r="S2164" s="39"/>
      <c r="T2164" s="39"/>
      <c r="U2164" s="39"/>
    </row>
    <row r="2165">
      <c r="A2165" s="40">
        <f t="shared" si="1"/>
        <v>46006</v>
      </c>
      <c r="B2165" s="37" t="str">
        <f t="array" ref="B2165">iferror(xlookup($I2165, 'IMPORT VHC Report'!$E:$E, 'IMPORT VHC Report'!$A:$C), )</f>
        <v/>
      </c>
      <c r="C2165" s="37"/>
      <c r="D2165" s="37"/>
      <c r="E2165" s="38" t="s">
        <v>2671</v>
      </c>
      <c r="F2165" s="38" t="s">
        <v>2654</v>
      </c>
      <c r="G2165" s="38">
        <v>3.61724965056E11</v>
      </c>
      <c r="H2165" s="38" t="s">
        <v>2655</v>
      </c>
      <c r="I2165" s="38" t="s">
        <v>2656</v>
      </c>
      <c r="J2165" s="38" t="s">
        <v>368</v>
      </c>
      <c r="K2165" s="38" t="s">
        <v>63</v>
      </c>
      <c r="L2165" s="41">
        <v>46010.25</v>
      </c>
      <c r="M2165" s="38" t="s">
        <v>123</v>
      </c>
      <c r="N2165" s="41">
        <v>46010.625</v>
      </c>
      <c r="O2165" s="38" t="s">
        <v>123</v>
      </c>
      <c r="P2165" s="38">
        <v>32400.0</v>
      </c>
      <c r="Q2165" s="39"/>
      <c r="R2165" s="39"/>
      <c r="S2165" s="39"/>
      <c r="T2165" s="39"/>
      <c r="U2165" s="39"/>
    </row>
    <row r="2166">
      <c r="A2166" s="40">
        <f t="shared" si="1"/>
        <v>46006</v>
      </c>
      <c r="B2166" s="37" t="str">
        <f t="array" ref="B2166">iferror(xlookup($I2166, 'IMPORT VHC Report'!$E:$E, 'IMPORT VHC Report'!$A:$C), )</f>
        <v/>
      </c>
      <c r="C2166" s="37"/>
      <c r="D2166" s="37"/>
      <c r="E2166" s="38" t="s">
        <v>2672</v>
      </c>
      <c r="F2166" s="38" t="s">
        <v>2654</v>
      </c>
      <c r="G2166" s="38">
        <v>3.61724965056E11</v>
      </c>
      <c r="H2166" s="38" t="s">
        <v>2655</v>
      </c>
      <c r="I2166" s="38" t="s">
        <v>2656</v>
      </c>
      <c r="J2166" s="38" t="s">
        <v>134</v>
      </c>
      <c r="K2166" s="38" t="s">
        <v>126</v>
      </c>
      <c r="L2166" s="41">
        <v>46010.34375</v>
      </c>
      <c r="M2166" s="38" t="s">
        <v>123</v>
      </c>
      <c r="N2166" s="41">
        <v>46010.364583333336</v>
      </c>
      <c r="O2166" s="38" t="s">
        <v>123</v>
      </c>
      <c r="P2166" s="38">
        <v>1800.0</v>
      </c>
      <c r="Q2166" s="39"/>
      <c r="R2166" s="39"/>
      <c r="S2166" s="39"/>
      <c r="T2166" s="39"/>
      <c r="U2166" s="39"/>
    </row>
    <row r="2167">
      <c r="A2167" s="40">
        <f t="shared" si="1"/>
        <v>46006</v>
      </c>
      <c r="B2167" s="37" t="str">
        <f t="array" ref="B2167">iferror(xlookup($I2167, 'IMPORT VHC Report'!$E:$E, 'IMPORT VHC Report'!$A:$C), )</f>
        <v/>
      </c>
      <c r="C2167" s="37"/>
      <c r="D2167" s="37"/>
      <c r="E2167" s="38" t="s">
        <v>2673</v>
      </c>
      <c r="F2167" s="38" t="s">
        <v>2654</v>
      </c>
      <c r="G2167" s="38">
        <v>3.61724965056E11</v>
      </c>
      <c r="H2167" s="38" t="s">
        <v>2655</v>
      </c>
      <c r="I2167" s="38" t="s">
        <v>2656</v>
      </c>
      <c r="J2167" s="38" t="s">
        <v>132</v>
      </c>
      <c r="K2167" s="38" t="s">
        <v>126</v>
      </c>
      <c r="L2167" s="41">
        <v>46010.46875</v>
      </c>
      <c r="M2167" s="38" t="s">
        <v>123</v>
      </c>
      <c r="N2167" s="41">
        <v>46010.510416666664</v>
      </c>
      <c r="O2167" s="38" t="s">
        <v>123</v>
      </c>
      <c r="P2167" s="38">
        <v>3600.0</v>
      </c>
      <c r="Q2167" s="39"/>
      <c r="R2167" s="39"/>
      <c r="S2167" s="39"/>
      <c r="T2167" s="39"/>
      <c r="U2167" s="39"/>
    </row>
    <row r="2168">
      <c r="A2168" s="40">
        <f t="shared" si="1"/>
        <v>46006</v>
      </c>
      <c r="B2168" s="37" t="str">
        <f t="array" ref="B2168">iferror(xlookup($I2168, 'IMPORT VHC Report'!$E:$E, 'IMPORT VHC Report'!$A:$C), )</f>
        <v/>
      </c>
      <c r="C2168" s="37"/>
      <c r="D2168" s="37"/>
      <c r="E2168" s="38" t="s">
        <v>2674</v>
      </c>
      <c r="F2168" s="38" t="s">
        <v>2654</v>
      </c>
      <c r="G2168" s="38">
        <v>3.61724965056E11</v>
      </c>
      <c r="H2168" s="38" t="s">
        <v>2655</v>
      </c>
      <c r="I2168" s="38" t="s">
        <v>2656</v>
      </c>
      <c r="J2168" s="38" t="s">
        <v>136</v>
      </c>
      <c r="K2168" s="38" t="s">
        <v>126</v>
      </c>
      <c r="L2168" s="41">
        <v>46010.510416666664</v>
      </c>
      <c r="M2168" s="38" t="s">
        <v>123</v>
      </c>
      <c r="N2168" s="41">
        <v>46010.520833333336</v>
      </c>
      <c r="O2168" s="38" t="s">
        <v>123</v>
      </c>
      <c r="P2168" s="38">
        <v>900.0</v>
      </c>
      <c r="Q2168" s="39"/>
      <c r="R2168" s="39"/>
      <c r="S2168" s="38" t="s">
        <v>2675</v>
      </c>
      <c r="T2168" s="39"/>
      <c r="U2168" s="39"/>
    </row>
    <row r="2169">
      <c r="A2169" s="40">
        <f t="shared" si="1"/>
        <v>46006</v>
      </c>
      <c r="B2169" s="37" t="str">
        <f t="array" ref="B2169">iferror(xlookup($I2169, 'IMPORT VHC Report'!$E:$E, 'IMPORT VHC Report'!$A:$C), )</f>
        <v/>
      </c>
      <c r="C2169" s="37"/>
      <c r="D2169" s="37"/>
      <c r="E2169" s="38" t="s">
        <v>2676</v>
      </c>
      <c r="F2169" s="38" t="s">
        <v>2677</v>
      </c>
      <c r="G2169" s="38">
        <v>8.409877156495E12</v>
      </c>
      <c r="H2169" s="38" t="s">
        <v>2678</v>
      </c>
      <c r="I2169" s="38" t="s">
        <v>2679</v>
      </c>
      <c r="J2169" s="38" t="s">
        <v>224</v>
      </c>
      <c r="K2169" s="38" t="s">
        <v>63</v>
      </c>
      <c r="L2169" s="41">
        <v>46006.25</v>
      </c>
      <c r="M2169" s="38" t="s">
        <v>123</v>
      </c>
      <c r="N2169" s="41">
        <v>46006.375</v>
      </c>
      <c r="O2169" s="38" t="s">
        <v>123</v>
      </c>
      <c r="P2169" s="38">
        <v>10800.0</v>
      </c>
      <c r="Q2169" s="39"/>
      <c r="R2169" s="39"/>
      <c r="S2169" s="39"/>
      <c r="T2169" s="39"/>
      <c r="U2169" s="39"/>
    </row>
    <row r="2170">
      <c r="A2170" s="40">
        <f t="shared" si="1"/>
        <v>46006</v>
      </c>
      <c r="B2170" s="37" t="str">
        <f t="array" ref="B2170">iferror(xlookup($I2170, 'IMPORT VHC Report'!$E:$E, 'IMPORT VHC Report'!$A:$C), )</f>
        <v/>
      </c>
      <c r="C2170" s="37"/>
      <c r="D2170" s="37"/>
      <c r="E2170" s="38" t="s">
        <v>2680</v>
      </c>
      <c r="F2170" s="38" t="s">
        <v>2677</v>
      </c>
      <c r="G2170" s="38">
        <v>8.409877156495E12</v>
      </c>
      <c r="H2170" s="38" t="s">
        <v>2678</v>
      </c>
      <c r="I2170" s="38" t="s">
        <v>2679</v>
      </c>
      <c r="J2170" s="38" t="s">
        <v>134</v>
      </c>
      <c r="K2170" s="38" t="s">
        <v>126</v>
      </c>
      <c r="L2170" s="41">
        <v>46006.375</v>
      </c>
      <c r="M2170" s="38" t="s">
        <v>123</v>
      </c>
      <c r="N2170" s="41">
        <v>46006.385416666664</v>
      </c>
      <c r="O2170" s="38" t="s">
        <v>123</v>
      </c>
      <c r="P2170" s="38">
        <v>900.0</v>
      </c>
      <c r="Q2170" s="39"/>
      <c r="R2170" s="39"/>
      <c r="S2170" s="39"/>
      <c r="T2170" s="39"/>
      <c r="U2170" s="39"/>
    </row>
    <row r="2171">
      <c r="A2171" s="40">
        <f t="shared" si="1"/>
        <v>46006</v>
      </c>
      <c r="B2171" s="37" t="str">
        <f t="array" ref="B2171">iferror(xlookup($I2171, 'IMPORT VHC Report'!$E:$E, 'IMPORT VHC Report'!$A:$C), )</f>
        <v/>
      </c>
      <c r="C2171" s="37"/>
      <c r="D2171" s="37"/>
      <c r="E2171" s="38" t="s">
        <v>2681</v>
      </c>
      <c r="F2171" s="38" t="s">
        <v>2677</v>
      </c>
      <c r="G2171" s="38">
        <v>8.409877156495E12</v>
      </c>
      <c r="H2171" s="38" t="s">
        <v>2678</v>
      </c>
      <c r="I2171" s="38" t="s">
        <v>2679</v>
      </c>
      <c r="J2171" s="38" t="s">
        <v>224</v>
      </c>
      <c r="K2171" s="38" t="s">
        <v>63</v>
      </c>
      <c r="L2171" s="41">
        <v>46006.385416666664</v>
      </c>
      <c r="M2171" s="38" t="s">
        <v>123</v>
      </c>
      <c r="N2171" s="41">
        <v>46006.447916666664</v>
      </c>
      <c r="O2171" s="38" t="s">
        <v>123</v>
      </c>
      <c r="P2171" s="38">
        <v>5400.0</v>
      </c>
      <c r="Q2171" s="39"/>
      <c r="R2171" s="39"/>
      <c r="S2171" s="39"/>
      <c r="T2171" s="39"/>
      <c r="U2171" s="39"/>
    </row>
    <row r="2172">
      <c r="A2172" s="40">
        <f t="shared" si="1"/>
        <v>46006</v>
      </c>
      <c r="B2172" s="37" t="str">
        <f t="array" ref="B2172">iferror(xlookup($I2172, 'IMPORT VHC Report'!$E:$E, 'IMPORT VHC Report'!$A:$C), )</f>
        <v/>
      </c>
      <c r="C2172" s="37"/>
      <c r="D2172" s="37"/>
      <c r="E2172" s="38" t="s">
        <v>2682</v>
      </c>
      <c r="F2172" s="38" t="s">
        <v>2677</v>
      </c>
      <c r="G2172" s="38">
        <v>8.409877156495E12</v>
      </c>
      <c r="H2172" s="38" t="s">
        <v>2678</v>
      </c>
      <c r="I2172" s="38" t="s">
        <v>2679</v>
      </c>
      <c r="J2172" s="38" t="s">
        <v>132</v>
      </c>
      <c r="K2172" s="38" t="s">
        <v>126</v>
      </c>
      <c r="L2172" s="41">
        <v>46006.447916666664</v>
      </c>
      <c r="M2172" s="38" t="s">
        <v>123</v>
      </c>
      <c r="N2172" s="41">
        <v>46006.489583333336</v>
      </c>
      <c r="O2172" s="38" t="s">
        <v>123</v>
      </c>
      <c r="P2172" s="38">
        <v>3600.0</v>
      </c>
      <c r="Q2172" s="39"/>
      <c r="R2172" s="39"/>
      <c r="S2172" s="39"/>
      <c r="T2172" s="39"/>
      <c r="U2172" s="39"/>
    </row>
    <row r="2173">
      <c r="A2173" s="40">
        <f t="shared" si="1"/>
        <v>46006</v>
      </c>
      <c r="B2173" s="37" t="str">
        <f t="array" ref="B2173">iferror(xlookup($I2173, 'IMPORT VHC Report'!$E:$E, 'IMPORT VHC Report'!$A:$C), )</f>
        <v/>
      </c>
      <c r="C2173" s="37"/>
      <c r="D2173" s="37"/>
      <c r="E2173" s="38" t="s">
        <v>2683</v>
      </c>
      <c r="F2173" s="38" t="s">
        <v>2677</v>
      </c>
      <c r="G2173" s="38">
        <v>8.409877156495E12</v>
      </c>
      <c r="H2173" s="38" t="s">
        <v>2678</v>
      </c>
      <c r="I2173" s="38" t="s">
        <v>2679</v>
      </c>
      <c r="J2173" s="38" t="s">
        <v>224</v>
      </c>
      <c r="K2173" s="38" t="s">
        <v>63</v>
      </c>
      <c r="L2173" s="41">
        <v>46006.489583333336</v>
      </c>
      <c r="M2173" s="38" t="s">
        <v>123</v>
      </c>
      <c r="N2173" s="41">
        <v>46006.552083333336</v>
      </c>
      <c r="O2173" s="38" t="s">
        <v>123</v>
      </c>
      <c r="P2173" s="38">
        <v>5400.0</v>
      </c>
      <c r="Q2173" s="39"/>
      <c r="R2173" s="39"/>
      <c r="S2173" s="39"/>
      <c r="T2173" s="39"/>
      <c r="U2173" s="39"/>
    </row>
    <row r="2174">
      <c r="A2174" s="40">
        <f t="shared" si="1"/>
        <v>46006</v>
      </c>
      <c r="B2174" s="37" t="str">
        <f t="array" ref="B2174">iferror(xlookup($I2174, 'IMPORT VHC Report'!$E:$E, 'IMPORT VHC Report'!$A:$C), )</f>
        <v/>
      </c>
      <c r="C2174" s="37"/>
      <c r="D2174" s="37"/>
      <c r="E2174" s="38" t="s">
        <v>2684</v>
      </c>
      <c r="F2174" s="38" t="s">
        <v>2677</v>
      </c>
      <c r="G2174" s="38">
        <v>8.409877156495E12</v>
      </c>
      <c r="H2174" s="38" t="s">
        <v>2678</v>
      </c>
      <c r="I2174" s="38" t="s">
        <v>2679</v>
      </c>
      <c r="J2174" s="38" t="s">
        <v>134</v>
      </c>
      <c r="K2174" s="38" t="s">
        <v>126</v>
      </c>
      <c r="L2174" s="41">
        <v>46006.552083333336</v>
      </c>
      <c r="M2174" s="38" t="s">
        <v>123</v>
      </c>
      <c r="N2174" s="41">
        <v>46006.5625</v>
      </c>
      <c r="O2174" s="38" t="s">
        <v>123</v>
      </c>
      <c r="P2174" s="38">
        <v>900.0</v>
      </c>
      <c r="Q2174" s="39"/>
      <c r="R2174" s="39"/>
      <c r="S2174" s="39"/>
      <c r="T2174" s="39"/>
      <c r="U2174" s="39"/>
    </row>
    <row r="2175">
      <c r="A2175" s="40">
        <f t="shared" si="1"/>
        <v>46006</v>
      </c>
      <c r="B2175" s="37" t="str">
        <f t="array" ref="B2175">iferror(xlookup($I2175, 'IMPORT VHC Report'!$E:$E, 'IMPORT VHC Report'!$A:$C), )</f>
        <v/>
      </c>
      <c r="C2175" s="37"/>
      <c r="D2175" s="37"/>
      <c r="E2175" s="38" t="s">
        <v>2685</v>
      </c>
      <c r="F2175" s="38" t="s">
        <v>2677</v>
      </c>
      <c r="G2175" s="38">
        <v>8.409877156495E12</v>
      </c>
      <c r="H2175" s="38" t="s">
        <v>2678</v>
      </c>
      <c r="I2175" s="38" t="s">
        <v>2679</v>
      </c>
      <c r="J2175" s="38" t="s">
        <v>224</v>
      </c>
      <c r="K2175" s="38" t="s">
        <v>63</v>
      </c>
      <c r="L2175" s="41">
        <v>46006.5625</v>
      </c>
      <c r="M2175" s="38" t="s">
        <v>123</v>
      </c>
      <c r="N2175" s="41">
        <v>46006.625</v>
      </c>
      <c r="O2175" s="38" t="s">
        <v>123</v>
      </c>
      <c r="P2175" s="38">
        <v>5400.0</v>
      </c>
      <c r="Q2175" s="39"/>
      <c r="R2175" s="39"/>
      <c r="S2175" s="39"/>
      <c r="T2175" s="39"/>
      <c r="U2175" s="39"/>
    </row>
    <row r="2176">
      <c r="A2176" s="40">
        <f t="shared" si="1"/>
        <v>46006</v>
      </c>
      <c r="B2176" s="37" t="str">
        <f t="array" ref="B2176">iferror(xlookup($I2176, 'IMPORT VHC Report'!$E:$E, 'IMPORT VHC Report'!$A:$C), )</f>
        <v/>
      </c>
      <c r="C2176" s="37"/>
      <c r="D2176" s="37"/>
      <c r="E2176" s="38" t="s">
        <v>2686</v>
      </c>
      <c r="F2176" s="38" t="s">
        <v>2677</v>
      </c>
      <c r="G2176" s="38">
        <v>8.409877156495E12</v>
      </c>
      <c r="H2176" s="38" t="s">
        <v>2678</v>
      </c>
      <c r="I2176" s="38" t="s">
        <v>2679</v>
      </c>
      <c r="J2176" s="38" t="s">
        <v>985</v>
      </c>
      <c r="K2176" s="38" t="s">
        <v>63</v>
      </c>
      <c r="L2176" s="41">
        <v>46006.625</v>
      </c>
      <c r="M2176" s="38" t="s">
        <v>123</v>
      </c>
      <c r="N2176" s="41">
        <v>46006.666666666664</v>
      </c>
      <c r="O2176" s="38" t="s">
        <v>123</v>
      </c>
      <c r="P2176" s="38">
        <v>3600.0</v>
      </c>
      <c r="Q2176" s="39"/>
      <c r="R2176" s="39"/>
      <c r="S2176" s="39"/>
      <c r="T2176" s="39"/>
      <c r="U2176" s="39"/>
    </row>
    <row r="2177">
      <c r="A2177" s="40">
        <f t="shared" si="1"/>
        <v>46006</v>
      </c>
      <c r="B2177" s="37" t="str">
        <f t="array" ref="B2177">iferror(xlookup($I2177, 'IMPORT VHC Report'!$E:$E, 'IMPORT VHC Report'!$A:$C), )</f>
        <v/>
      </c>
      <c r="C2177" s="37"/>
      <c r="D2177" s="37"/>
      <c r="E2177" s="38" t="s">
        <v>2687</v>
      </c>
      <c r="F2177" s="38" t="s">
        <v>2677</v>
      </c>
      <c r="G2177" s="38">
        <v>8.409877156495E12</v>
      </c>
      <c r="H2177" s="38" t="s">
        <v>2678</v>
      </c>
      <c r="I2177" s="38" t="s">
        <v>2679</v>
      </c>
      <c r="J2177" s="38" t="s">
        <v>224</v>
      </c>
      <c r="K2177" s="38" t="s">
        <v>63</v>
      </c>
      <c r="L2177" s="41">
        <v>46007.25</v>
      </c>
      <c r="M2177" s="38" t="s">
        <v>123</v>
      </c>
      <c r="N2177" s="41">
        <v>46007.625</v>
      </c>
      <c r="O2177" s="38" t="s">
        <v>123</v>
      </c>
      <c r="P2177" s="38">
        <v>32400.0</v>
      </c>
      <c r="Q2177" s="39"/>
      <c r="R2177" s="39"/>
      <c r="S2177" s="39"/>
      <c r="T2177" s="39"/>
      <c r="U2177" s="39"/>
    </row>
    <row r="2178">
      <c r="A2178" s="40">
        <f t="shared" si="1"/>
        <v>46006</v>
      </c>
      <c r="B2178" s="37" t="str">
        <f t="array" ref="B2178">iferror(xlookup($I2178, 'IMPORT VHC Report'!$E:$E, 'IMPORT VHC Report'!$A:$C), )</f>
        <v/>
      </c>
      <c r="C2178" s="37"/>
      <c r="D2178" s="37"/>
      <c r="E2178" s="38" t="s">
        <v>2688</v>
      </c>
      <c r="F2178" s="38" t="s">
        <v>2677</v>
      </c>
      <c r="G2178" s="38">
        <v>8.409877156495E12</v>
      </c>
      <c r="H2178" s="38" t="s">
        <v>2678</v>
      </c>
      <c r="I2178" s="38" t="s">
        <v>2679</v>
      </c>
      <c r="J2178" s="38" t="s">
        <v>134</v>
      </c>
      <c r="K2178" s="38" t="s">
        <v>126</v>
      </c>
      <c r="L2178" s="41">
        <v>46007.333333333336</v>
      </c>
      <c r="M2178" s="38" t="s">
        <v>123</v>
      </c>
      <c r="N2178" s="41">
        <v>46007.34375</v>
      </c>
      <c r="O2178" s="38" t="s">
        <v>123</v>
      </c>
      <c r="P2178" s="38">
        <v>900.0</v>
      </c>
      <c r="Q2178" s="39"/>
      <c r="R2178" s="39"/>
      <c r="S2178" s="39"/>
      <c r="T2178" s="39"/>
      <c r="U2178" s="39"/>
    </row>
    <row r="2179">
      <c r="A2179" s="40">
        <f t="shared" si="1"/>
        <v>46006</v>
      </c>
      <c r="B2179" s="37" t="str">
        <f t="array" ref="B2179">iferror(xlookup($I2179, 'IMPORT VHC Report'!$E:$E, 'IMPORT VHC Report'!$A:$C), )</f>
        <v/>
      </c>
      <c r="C2179" s="37"/>
      <c r="D2179" s="37"/>
      <c r="E2179" s="38" t="s">
        <v>2689</v>
      </c>
      <c r="F2179" s="38" t="s">
        <v>2677</v>
      </c>
      <c r="G2179" s="38">
        <v>8.409877156495E12</v>
      </c>
      <c r="H2179" s="38" t="s">
        <v>2678</v>
      </c>
      <c r="I2179" s="38" t="s">
        <v>2679</v>
      </c>
      <c r="J2179" s="38" t="s">
        <v>134</v>
      </c>
      <c r="K2179" s="38" t="s">
        <v>126</v>
      </c>
      <c r="L2179" s="41">
        <v>46007.40625</v>
      </c>
      <c r="M2179" s="38" t="s">
        <v>123</v>
      </c>
      <c r="N2179" s="41">
        <v>46007.416666666664</v>
      </c>
      <c r="O2179" s="38" t="s">
        <v>123</v>
      </c>
      <c r="P2179" s="38">
        <v>900.0</v>
      </c>
      <c r="Q2179" s="39"/>
      <c r="R2179" s="39"/>
      <c r="S2179" s="39"/>
      <c r="T2179" s="39"/>
      <c r="U2179" s="39"/>
    </row>
    <row r="2180">
      <c r="A2180" s="40">
        <f t="shared" si="1"/>
        <v>46006</v>
      </c>
      <c r="B2180" s="37" t="str">
        <f t="array" ref="B2180">iferror(xlookup($I2180, 'IMPORT VHC Report'!$E:$E, 'IMPORT VHC Report'!$A:$C), )</f>
        <v/>
      </c>
      <c r="C2180" s="37"/>
      <c r="D2180" s="37"/>
      <c r="E2180" s="38" t="s">
        <v>2690</v>
      </c>
      <c r="F2180" s="38" t="s">
        <v>2677</v>
      </c>
      <c r="G2180" s="38">
        <v>8.409877156495E12</v>
      </c>
      <c r="H2180" s="38" t="s">
        <v>2678</v>
      </c>
      <c r="I2180" s="38" t="s">
        <v>2679</v>
      </c>
      <c r="J2180" s="38" t="s">
        <v>132</v>
      </c>
      <c r="K2180" s="38" t="s">
        <v>126</v>
      </c>
      <c r="L2180" s="41">
        <v>46007.5</v>
      </c>
      <c r="M2180" s="38" t="s">
        <v>123</v>
      </c>
      <c r="N2180" s="41">
        <v>46007.541666666664</v>
      </c>
      <c r="O2180" s="38" t="s">
        <v>123</v>
      </c>
      <c r="P2180" s="38">
        <v>3600.0</v>
      </c>
      <c r="Q2180" s="39"/>
      <c r="R2180" s="39"/>
      <c r="S2180" s="39"/>
      <c r="T2180" s="39"/>
      <c r="U2180" s="39"/>
    </row>
    <row r="2181">
      <c r="A2181" s="40">
        <f t="shared" si="1"/>
        <v>46006</v>
      </c>
      <c r="B2181" s="37" t="str">
        <f t="array" ref="B2181">iferror(xlookup($I2181, 'IMPORT VHC Report'!$E:$E, 'IMPORT VHC Report'!$A:$C), )</f>
        <v/>
      </c>
      <c r="C2181" s="37"/>
      <c r="D2181" s="37"/>
      <c r="E2181" s="38" t="s">
        <v>2691</v>
      </c>
      <c r="F2181" s="38" t="s">
        <v>2677</v>
      </c>
      <c r="G2181" s="38">
        <v>8.409877156495E12</v>
      </c>
      <c r="H2181" s="38" t="s">
        <v>2678</v>
      </c>
      <c r="I2181" s="38" t="s">
        <v>2679</v>
      </c>
      <c r="J2181" s="38" t="s">
        <v>224</v>
      </c>
      <c r="K2181" s="38" t="s">
        <v>63</v>
      </c>
      <c r="L2181" s="41">
        <v>46008.25</v>
      </c>
      <c r="M2181" s="38" t="s">
        <v>123</v>
      </c>
      <c r="N2181" s="41">
        <v>46008.354166666664</v>
      </c>
      <c r="O2181" s="38" t="s">
        <v>123</v>
      </c>
      <c r="P2181" s="38">
        <v>9000.0</v>
      </c>
      <c r="Q2181" s="39"/>
      <c r="R2181" s="39"/>
      <c r="S2181" s="39"/>
      <c r="T2181" s="39"/>
      <c r="U2181" s="39"/>
    </row>
    <row r="2182">
      <c r="A2182" s="40">
        <f t="shared" si="1"/>
        <v>46006</v>
      </c>
      <c r="B2182" s="37" t="str">
        <f t="array" ref="B2182">iferror(xlookup($I2182, 'IMPORT VHC Report'!$E:$E, 'IMPORT VHC Report'!$A:$C), )</f>
        <v/>
      </c>
      <c r="C2182" s="37"/>
      <c r="D2182" s="37"/>
      <c r="E2182" s="38" t="s">
        <v>2692</v>
      </c>
      <c r="F2182" s="38" t="s">
        <v>2677</v>
      </c>
      <c r="G2182" s="38">
        <v>8.409877156495E12</v>
      </c>
      <c r="H2182" s="38" t="s">
        <v>2678</v>
      </c>
      <c r="I2182" s="38" t="s">
        <v>2679</v>
      </c>
      <c r="J2182" s="38" t="s">
        <v>132</v>
      </c>
      <c r="K2182" s="38" t="s">
        <v>126</v>
      </c>
      <c r="L2182" s="41">
        <v>46008.354166666664</v>
      </c>
      <c r="M2182" s="38" t="s">
        <v>123</v>
      </c>
      <c r="N2182" s="41">
        <v>46008.395833333336</v>
      </c>
      <c r="O2182" s="38" t="s">
        <v>123</v>
      </c>
      <c r="P2182" s="38">
        <v>3600.0</v>
      </c>
      <c r="Q2182" s="39"/>
      <c r="R2182" s="39"/>
      <c r="S2182" s="39"/>
      <c r="T2182" s="39"/>
      <c r="U2182" s="39"/>
    </row>
    <row r="2183">
      <c r="A2183" s="40">
        <f t="shared" si="1"/>
        <v>46006</v>
      </c>
      <c r="B2183" s="37" t="str">
        <f t="array" ref="B2183">iferror(xlookup($I2183, 'IMPORT VHC Report'!$E:$E, 'IMPORT VHC Report'!$A:$C), )</f>
        <v/>
      </c>
      <c r="C2183" s="37"/>
      <c r="D2183" s="37"/>
      <c r="E2183" s="38" t="s">
        <v>2693</v>
      </c>
      <c r="F2183" s="38" t="s">
        <v>2677</v>
      </c>
      <c r="G2183" s="38">
        <v>8.409877156495E12</v>
      </c>
      <c r="H2183" s="38" t="s">
        <v>2678</v>
      </c>
      <c r="I2183" s="38" t="s">
        <v>2679</v>
      </c>
      <c r="J2183" s="38" t="s">
        <v>224</v>
      </c>
      <c r="K2183" s="38" t="s">
        <v>63</v>
      </c>
      <c r="L2183" s="41">
        <v>46008.395833333336</v>
      </c>
      <c r="M2183" s="38" t="s">
        <v>123</v>
      </c>
      <c r="N2183" s="41">
        <v>46008.46875</v>
      </c>
      <c r="O2183" s="38" t="s">
        <v>123</v>
      </c>
      <c r="P2183" s="38">
        <v>6300.0</v>
      </c>
      <c r="Q2183" s="39"/>
      <c r="R2183" s="39"/>
      <c r="S2183" s="39"/>
      <c r="T2183" s="39"/>
      <c r="U2183" s="39"/>
    </row>
    <row r="2184">
      <c r="A2184" s="40">
        <f t="shared" si="1"/>
        <v>46006</v>
      </c>
      <c r="B2184" s="37" t="str">
        <f t="array" ref="B2184">iferror(xlookup($I2184, 'IMPORT VHC Report'!$E:$E, 'IMPORT VHC Report'!$A:$C), )</f>
        <v/>
      </c>
      <c r="C2184" s="37"/>
      <c r="D2184" s="37"/>
      <c r="E2184" s="38" t="s">
        <v>2694</v>
      </c>
      <c r="F2184" s="38" t="s">
        <v>2677</v>
      </c>
      <c r="G2184" s="38">
        <v>8.409877156495E12</v>
      </c>
      <c r="H2184" s="38" t="s">
        <v>2678</v>
      </c>
      <c r="I2184" s="38" t="s">
        <v>2679</v>
      </c>
      <c r="J2184" s="38" t="s">
        <v>152</v>
      </c>
      <c r="K2184" s="38" t="s">
        <v>153</v>
      </c>
      <c r="L2184" s="41">
        <v>46008.458333333336</v>
      </c>
      <c r="M2184" s="38" t="s">
        <v>123</v>
      </c>
      <c r="N2184" s="41">
        <v>46008.625</v>
      </c>
      <c r="O2184" s="38" t="s">
        <v>123</v>
      </c>
      <c r="P2184" s="38">
        <v>14400.0</v>
      </c>
      <c r="Q2184" s="38">
        <v>14400.0</v>
      </c>
      <c r="R2184" s="39"/>
      <c r="S2184" s="39"/>
      <c r="T2184" s="39"/>
      <c r="U2184" s="39"/>
    </row>
    <row r="2185">
      <c r="A2185" s="40">
        <f t="shared" si="1"/>
        <v>46006</v>
      </c>
      <c r="B2185" s="37" t="str">
        <f t="array" ref="B2185">iferror(xlookup($I2185, 'IMPORT VHC Report'!$E:$E, 'IMPORT VHC Report'!$A:$C), )</f>
        <v/>
      </c>
      <c r="C2185" s="37"/>
      <c r="D2185" s="37"/>
      <c r="E2185" s="38" t="s">
        <v>2695</v>
      </c>
      <c r="F2185" s="38" t="s">
        <v>2677</v>
      </c>
      <c r="G2185" s="38">
        <v>8.409877156495E12</v>
      </c>
      <c r="H2185" s="38" t="s">
        <v>2678</v>
      </c>
      <c r="I2185" s="38" t="s">
        <v>2679</v>
      </c>
      <c r="J2185" s="38" t="s">
        <v>134</v>
      </c>
      <c r="K2185" s="38" t="s">
        <v>126</v>
      </c>
      <c r="L2185" s="41">
        <v>46008.46875</v>
      </c>
      <c r="M2185" s="38" t="s">
        <v>123</v>
      </c>
      <c r="N2185" s="41">
        <v>46008.479166666664</v>
      </c>
      <c r="O2185" s="38" t="s">
        <v>123</v>
      </c>
      <c r="P2185" s="38">
        <v>900.0</v>
      </c>
      <c r="Q2185" s="39"/>
      <c r="R2185" s="39"/>
      <c r="S2185" s="39"/>
      <c r="T2185" s="39"/>
      <c r="U2185" s="39"/>
    </row>
    <row r="2186">
      <c r="A2186" s="40">
        <f t="shared" si="1"/>
        <v>46006</v>
      </c>
      <c r="B2186" s="37" t="str">
        <f t="array" ref="B2186">iferror(xlookup($I2186, 'IMPORT VHC Report'!$E:$E, 'IMPORT VHC Report'!$A:$C), )</f>
        <v/>
      </c>
      <c r="C2186" s="37"/>
      <c r="D2186" s="37"/>
      <c r="E2186" s="38" t="s">
        <v>2696</v>
      </c>
      <c r="F2186" s="38" t="s">
        <v>2677</v>
      </c>
      <c r="G2186" s="38">
        <v>8.409877156495E12</v>
      </c>
      <c r="H2186" s="38" t="s">
        <v>2678</v>
      </c>
      <c r="I2186" s="38" t="s">
        <v>2679</v>
      </c>
      <c r="J2186" s="38" t="s">
        <v>224</v>
      </c>
      <c r="K2186" s="38" t="s">
        <v>63</v>
      </c>
      <c r="L2186" s="41">
        <v>46008.479166666664</v>
      </c>
      <c r="M2186" s="38" t="s">
        <v>123</v>
      </c>
      <c r="N2186" s="41">
        <v>46008.541666666664</v>
      </c>
      <c r="O2186" s="38" t="s">
        <v>123</v>
      </c>
      <c r="P2186" s="38">
        <v>5400.0</v>
      </c>
      <c r="Q2186" s="39"/>
      <c r="R2186" s="39"/>
      <c r="S2186" s="39"/>
      <c r="T2186" s="39"/>
      <c r="U2186" s="39"/>
    </row>
    <row r="2187">
      <c r="A2187" s="40">
        <f t="shared" si="1"/>
        <v>46006</v>
      </c>
      <c r="B2187" s="37" t="str">
        <f t="array" ref="B2187">iferror(xlookup($I2187, 'IMPORT VHC Report'!$E:$E, 'IMPORT VHC Report'!$A:$C), )</f>
        <v/>
      </c>
      <c r="C2187" s="37"/>
      <c r="D2187" s="37"/>
      <c r="E2187" s="38" t="s">
        <v>2697</v>
      </c>
      <c r="F2187" s="38" t="s">
        <v>2677</v>
      </c>
      <c r="G2187" s="38">
        <v>8.409877156495E12</v>
      </c>
      <c r="H2187" s="38" t="s">
        <v>2678</v>
      </c>
      <c r="I2187" s="38" t="s">
        <v>2679</v>
      </c>
      <c r="J2187" s="38" t="s">
        <v>134</v>
      </c>
      <c r="K2187" s="38" t="s">
        <v>126</v>
      </c>
      <c r="L2187" s="41">
        <v>46008.541666666664</v>
      </c>
      <c r="M2187" s="38" t="s">
        <v>123</v>
      </c>
      <c r="N2187" s="41">
        <v>46008.552083333336</v>
      </c>
      <c r="O2187" s="38" t="s">
        <v>123</v>
      </c>
      <c r="P2187" s="38">
        <v>900.0</v>
      </c>
      <c r="Q2187" s="39"/>
      <c r="R2187" s="39"/>
      <c r="S2187" s="39"/>
      <c r="T2187" s="39"/>
      <c r="U2187" s="39"/>
    </row>
    <row r="2188">
      <c r="A2188" s="40">
        <f t="shared" si="1"/>
        <v>46006</v>
      </c>
      <c r="B2188" s="37" t="str">
        <f t="array" ref="B2188">iferror(xlookup($I2188, 'IMPORT VHC Report'!$E:$E, 'IMPORT VHC Report'!$A:$C), )</f>
        <v/>
      </c>
      <c r="C2188" s="37"/>
      <c r="D2188" s="37"/>
      <c r="E2188" s="38" t="s">
        <v>2698</v>
      </c>
      <c r="F2188" s="38" t="s">
        <v>2677</v>
      </c>
      <c r="G2188" s="38">
        <v>8.409877156495E12</v>
      </c>
      <c r="H2188" s="38" t="s">
        <v>2678</v>
      </c>
      <c r="I2188" s="38" t="s">
        <v>2679</v>
      </c>
      <c r="J2188" s="38" t="s">
        <v>224</v>
      </c>
      <c r="K2188" s="38" t="s">
        <v>63</v>
      </c>
      <c r="L2188" s="41">
        <v>46008.552083333336</v>
      </c>
      <c r="M2188" s="38" t="s">
        <v>123</v>
      </c>
      <c r="N2188" s="41">
        <v>46008.625</v>
      </c>
      <c r="O2188" s="38" t="s">
        <v>123</v>
      </c>
      <c r="P2188" s="38">
        <v>6300.0</v>
      </c>
      <c r="Q2188" s="39"/>
      <c r="R2188" s="39"/>
      <c r="S2188" s="39"/>
      <c r="T2188" s="39"/>
      <c r="U2188" s="39"/>
    </row>
    <row r="2189">
      <c r="A2189" s="40">
        <f t="shared" si="1"/>
        <v>46006</v>
      </c>
      <c r="B2189" s="37" t="str">
        <f t="array" ref="B2189">iferror(xlookup($I2189, 'IMPORT VHC Report'!$E:$E, 'IMPORT VHC Report'!$A:$C), )</f>
        <v/>
      </c>
      <c r="C2189" s="37"/>
      <c r="D2189" s="37"/>
      <c r="E2189" s="38" t="s">
        <v>2699</v>
      </c>
      <c r="F2189" s="38" t="s">
        <v>2677</v>
      </c>
      <c r="G2189" s="38">
        <v>8.409877156495E12</v>
      </c>
      <c r="H2189" s="38" t="s">
        <v>2678</v>
      </c>
      <c r="I2189" s="38" t="s">
        <v>2679</v>
      </c>
      <c r="J2189" s="38" t="s">
        <v>224</v>
      </c>
      <c r="K2189" s="38" t="s">
        <v>63</v>
      </c>
      <c r="L2189" s="41">
        <v>46009.25</v>
      </c>
      <c r="M2189" s="38" t="s">
        <v>123</v>
      </c>
      <c r="N2189" s="41">
        <v>46009.354166666664</v>
      </c>
      <c r="O2189" s="38" t="s">
        <v>123</v>
      </c>
      <c r="P2189" s="38">
        <v>9000.0</v>
      </c>
      <c r="Q2189" s="39"/>
      <c r="R2189" s="39"/>
      <c r="S2189" s="39"/>
      <c r="T2189" s="39"/>
      <c r="U2189" s="39"/>
    </row>
    <row r="2190">
      <c r="A2190" s="40">
        <f t="shared" si="1"/>
        <v>46006</v>
      </c>
      <c r="B2190" s="37" t="str">
        <f t="array" ref="B2190">iferror(xlookup($I2190, 'IMPORT VHC Report'!$E:$E, 'IMPORT VHC Report'!$A:$C), )</f>
        <v/>
      </c>
      <c r="C2190" s="37"/>
      <c r="D2190" s="37"/>
      <c r="E2190" s="38" t="s">
        <v>2700</v>
      </c>
      <c r="F2190" s="38" t="s">
        <v>2677</v>
      </c>
      <c r="G2190" s="38">
        <v>8.409877156495E12</v>
      </c>
      <c r="H2190" s="38" t="s">
        <v>2678</v>
      </c>
      <c r="I2190" s="38" t="s">
        <v>2679</v>
      </c>
      <c r="J2190" s="38" t="s">
        <v>134</v>
      </c>
      <c r="K2190" s="38" t="s">
        <v>126</v>
      </c>
      <c r="L2190" s="41">
        <v>46009.354166666664</v>
      </c>
      <c r="M2190" s="38" t="s">
        <v>123</v>
      </c>
      <c r="N2190" s="41">
        <v>46009.364583333336</v>
      </c>
      <c r="O2190" s="38" t="s">
        <v>123</v>
      </c>
      <c r="P2190" s="38">
        <v>900.0</v>
      </c>
      <c r="Q2190" s="39"/>
      <c r="R2190" s="39"/>
      <c r="S2190" s="39"/>
      <c r="T2190" s="39"/>
      <c r="U2190" s="39"/>
    </row>
    <row r="2191">
      <c r="A2191" s="40">
        <f t="shared" si="1"/>
        <v>46006</v>
      </c>
      <c r="B2191" s="37" t="str">
        <f t="array" ref="B2191">iferror(xlookup($I2191, 'IMPORT VHC Report'!$E:$E, 'IMPORT VHC Report'!$A:$C), )</f>
        <v/>
      </c>
      <c r="C2191" s="37"/>
      <c r="D2191" s="37"/>
      <c r="E2191" s="38" t="s">
        <v>2701</v>
      </c>
      <c r="F2191" s="38" t="s">
        <v>2677</v>
      </c>
      <c r="G2191" s="38">
        <v>8.409877156495E12</v>
      </c>
      <c r="H2191" s="38" t="s">
        <v>2678</v>
      </c>
      <c r="I2191" s="38" t="s">
        <v>2679</v>
      </c>
      <c r="J2191" s="38" t="s">
        <v>224</v>
      </c>
      <c r="K2191" s="38" t="s">
        <v>63</v>
      </c>
      <c r="L2191" s="41">
        <v>46009.364583333336</v>
      </c>
      <c r="M2191" s="38" t="s">
        <v>123</v>
      </c>
      <c r="N2191" s="41">
        <v>46009.4375</v>
      </c>
      <c r="O2191" s="38" t="s">
        <v>123</v>
      </c>
      <c r="P2191" s="38">
        <v>6300.0</v>
      </c>
      <c r="Q2191" s="39"/>
      <c r="R2191" s="39"/>
      <c r="S2191" s="39"/>
      <c r="T2191" s="39"/>
      <c r="U2191" s="39"/>
    </row>
    <row r="2192">
      <c r="A2192" s="40">
        <f t="shared" si="1"/>
        <v>46006</v>
      </c>
      <c r="B2192" s="37" t="str">
        <f t="array" ref="B2192">iferror(xlookup($I2192, 'IMPORT VHC Report'!$E:$E, 'IMPORT VHC Report'!$A:$C), )</f>
        <v/>
      </c>
      <c r="C2192" s="37"/>
      <c r="D2192" s="37"/>
      <c r="E2192" s="38" t="s">
        <v>2702</v>
      </c>
      <c r="F2192" s="38" t="s">
        <v>2677</v>
      </c>
      <c r="G2192" s="38">
        <v>8.409877156495E12</v>
      </c>
      <c r="H2192" s="38" t="s">
        <v>2678</v>
      </c>
      <c r="I2192" s="38" t="s">
        <v>2679</v>
      </c>
      <c r="J2192" s="38" t="s">
        <v>134</v>
      </c>
      <c r="K2192" s="38" t="s">
        <v>126</v>
      </c>
      <c r="L2192" s="41">
        <v>46009.4375</v>
      </c>
      <c r="M2192" s="38" t="s">
        <v>123</v>
      </c>
      <c r="N2192" s="41">
        <v>46009.447916666664</v>
      </c>
      <c r="O2192" s="38" t="s">
        <v>123</v>
      </c>
      <c r="P2192" s="38">
        <v>900.0</v>
      </c>
      <c r="Q2192" s="39"/>
      <c r="R2192" s="39"/>
      <c r="S2192" s="39"/>
      <c r="T2192" s="39"/>
      <c r="U2192" s="39"/>
    </row>
    <row r="2193">
      <c r="A2193" s="40">
        <f t="shared" si="1"/>
        <v>46006</v>
      </c>
      <c r="B2193" s="37" t="str">
        <f t="array" ref="B2193">iferror(xlookup($I2193, 'IMPORT VHC Report'!$E:$E, 'IMPORT VHC Report'!$A:$C), )</f>
        <v/>
      </c>
      <c r="C2193" s="37"/>
      <c r="D2193" s="37"/>
      <c r="E2193" s="38" t="s">
        <v>2703</v>
      </c>
      <c r="F2193" s="38" t="s">
        <v>2677</v>
      </c>
      <c r="G2193" s="38">
        <v>8.409877156495E12</v>
      </c>
      <c r="H2193" s="38" t="s">
        <v>2678</v>
      </c>
      <c r="I2193" s="38" t="s">
        <v>2679</v>
      </c>
      <c r="J2193" s="38" t="s">
        <v>224</v>
      </c>
      <c r="K2193" s="38" t="s">
        <v>63</v>
      </c>
      <c r="L2193" s="41">
        <v>46009.447916666664</v>
      </c>
      <c r="M2193" s="38" t="s">
        <v>123</v>
      </c>
      <c r="N2193" s="41">
        <v>46009.510416666664</v>
      </c>
      <c r="O2193" s="38" t="s">
        <v>123</v>
      </c>
      <c r="P2193" s="38">
        <v>5400.0</v>
      </c>
      <c r="Q2193" s="39"/>
      <c r="R2193" s="39"/>
      <c r="S2193" s="39"/>
      <c r="T2193" s="39"/>
      <c r="U2193" s="39"/>
    </row>
    <row r="2194">
      <c r="A2194" s="40">
        <f t="shared" si="1"/>
        <v>46006</v>
      </c>
      <c r="B2194" s="37" t="str">
        <f t="array" ref="B2194">iferror(xlookup($I2194, 'IMPORT VHC Report'!$E:$E, 'IMPORT VHC Report'!$A:$C), )</f>
        <v/>
      </c>
      <c r="C2194" s="37"/>
      <c r="D2194" s="37"/>
      <c r="E2194" s="38" t="s">
        <v>2704</v>
      </c>
      <c r="F2194" s="38" t="s">
        <v>2677</v>
      </c>
      <c r="G2194" s="38">
        <v>8.409877156495E12</v>
      </c>
      <c r="H2194" s="38" t="s">
        <v>2678</v>
      </c>
      <c r="I2194" s="38" t="s">
        <v>2679</v>
      </c>
      <c r="J2194" s="38" t="s">
        <v>132</v>
      </c>
      <c r="K2194" s="38" t="s">
        <v>126</v>
      </c>
      <c r="L2194" s="41">
        <v>46009.510416666664</v>
      </c>
      <c r="M2194" s="38" t="s">
        <v>123</v>
      </c>
      <c r="N2194" s="41">
        <v>46009.552083333336</v>
      </c>
      <c r="O2194" s="38" t="s">
        <v>123</v>
      </c>
      <c r="P2194" s="38">
        <v>3600.0</v>
      </c>
      <c r="Q2194" s="39"/>
      <c r="R2194" s="39"/>
      <c r="S2194" s="39"/>
      <c r="T2194" s="39"/>
      <c r="U2194" s="39"/>
    </row>
    <row r="2195">
      <c r="A2195" s="40">
        <f t="shared" si="1"/>
        <v>46006</v>
      </c>
      <c r="B2195" s="37" t="str">
        <f t="array" ref="B2195">iferror(xlookup($I2195, 'IMPORT VHC Report'!$E:$E, 'IMPORT VHC Report'!$A:$C), )</f>
        <v/>
      </c>
      <c r="C2195" s="37"/>
      <c r="D2195" s="37"/>
      <c r="E2195" s="38" t="s">
        <v>2705</v>
      </c>
      <c r="F2195" s="38" t="s">
        <v>2677</v>
      </c>
      <c r="G2195" s="38">
        <v>8.409877156495E12</v>
      </c>
      <c r="H2195" s="38" t="s">
        <v>2678</v>
      </c>
      <c r="I2195" s="38" t="s">
        <v>2679</v>
      </c>
      <c r="J2195" s="38" t="s">
        <v>224</v>
      </c>
      <c r="K2195" s="38" t="s">
        <v>63</v>
      </c>
      <c r="L2195" s="41">
        <v>46009.552083333336</v>
      </c>
      <c r="M2195" s="38" t="s">
        <v>123</v>
      </c>
      <c r="N2195" s="41">
        <v>46009.625</v>
      </c>
      <c r="O2195" s="38" t="s">
        <v>123</v>
      </c>
      <c r="P2195" s="38">
        <v>6300.0</v>
      </c>
      <c r="Q2195" s="39"/>
      <c r="R2195" s="39"/>
      <c r="S2195" s="39"/>
      <c r="T2195" s="39"/>
      <c r="U2195" s="39"/>
    </row>
    <row r="2196">
      <c r="A2196" s="40">
        <f t="shared" si="1"/>
        <v>46006</v>
      </c>
      <c r="B2196" s="37" t="str">
        <f t="array" ref="B2196">iferror(xlookup($I2196, 'IMPORT VHC Report'!$E:$E, 'IMPORT VHC Report'!$A:$C), )</f>
        <v/>
      </c>
      <c r="C2196" s="37"/>
      <c r="D2196" s="37"/>
      <c r="E2196" s="38" t="s">
        <v>2706</v>
      </c>
      <c r="F2196" s="38" t="s">
        <v>2677</v>
      </c>
      <c r="G2196" s="38">
        <v>8.409877156495E12</v>
      </c>
      <c r="H2196" s="38" t="s">
        <v>2678</v>
      </c>
      <c r="I2196" s="38" t="s">
        <v>2679</v>
      </c>
      <c r="J2196" s="38" t="s">
        <v>224</v>
      </c>
      <c r="K2196" s="38" t="s">
        <v>63</v>
      </c>
      <c r="L2196" s="41">
        <v>46010.25</v>
      </c>
      <c r="M2196" s="38" t="s">
        <v>123</v>
      </c>
      <c r="N2196" s="41">
        <v>46010.354166666664</v>
      </c>
      <c r="O2196" s="38" t="s">
        <v>123</v>
      </c>
      <c r="P2196" s="38">
        <v>9000.0</v>
      </c>
      <c r="Q2196" s="39"/>
      <c r="R2196" s="39"/>
      <c r="S2196" s="39"/>
      <c r="T2196" s="39"/>
      <c r="U2196" s="39"/>
    </row>
    <row r="2197">
      <c r="A2197" s="40">
        <f t="shared" si="1"/>
        <v>46006</v>
      </c>
      <c r="B2197" s="37" t="str">
        <f t="array" ref="B2197">iferror(xlookup($I2197, 'IMPORT VHC Report'!$E:$E, 'IMPORT VHC Report'!$A:$C), )</f>
        <v/>
      </c>
      <c r="C2197" s="37"/>
      <c r="D2197" s="37"/>
      <c r="E2197" s="38" t="s">
        <v>2707</v>
      </c>
      <c r="F2197" s="38" t="s">
        <v>2677</v>
      </c>
      <c r="G2197" s="38">
        <v>8.409877156495E12</v>
      </c>
      <c r="H2197" s="38" t="s">
        <v>2678</v>
      </c>
      <c r="I2197" s="38" t="s">
        <v>2679</v>
      </c>
      <c r="J2197" s="38" t="s">
        <v>132</v>
      </c>
      <c r="K2197" s="38" t="s">
        <v>126</v>
      </c>
      <c r="L2197" s="41">
        <v>46010.354166666664</v>
      </c>
      <c r="M2197" s="38" t="s">
        <v>123</v>
      </c>
      <c r="N2197" s="41">
        <v>46010.395833333336</v>
      </c>
      <c r="O2197" s="38" t="s">
        <v>123</v>
      </c>
      <c r="P2197" s="38">
        <v>3600.0</v>
      </c>
      <c r="Q2197" s="39"/>
      <c r="R2197" s="39"/>
      <c r="S2197" s="39"/>
      <c r="T2197" s="39"/>
      <c r="U2197" s="39"/>
    </row>
    <row r="2198">
      <c r="A2198" s="40">
        <f t="shared" si="1"/>
        <v>46006</v>
      </c>
      <c r="B2198" s="37" t="str">
        <f t="array" ref="B2198">iferror(xlookup($I2198, 'IMPORT VHC Report'!$E:$E, 'IMPORT VHC Report'!$A:$C), )</f>
        <v/>
      </c>
      <c r="C2198" s="37"/>
      <c r="D2198" s="37"/>
      <c r="E2198" s="38" t="s">
        <v>2708</v>
      </c>
      <c r="F2198" s="38" t="s">
        <v>2677</v>
      </c>
      <c r="G2198" s="38">
        <v>8.409877156495E12</v>
      </c>
      <c r="H2198" s="38" t="s">
        <v>2678</v>
      </c>
      <c r="I2198" s="38" t="s">
        <v>2679</v>
      </c>
      <c r="J2198" s="38" t="s">
        <v>62</v>
      </c>
      <c r="K2198" s="38" t="s">
        <v>63</v>
      </c>
      <c r="L2198" s="41">
        <v>46010.395833333336</v>
      </c>
      <c r="M2198" s="38" t="s">
        <v>123</v>
      </c>
      <c r="N2198" s="41">
        <v>46010.416666666664</v>
      </c>
      <c r="O2198" s="38" t="s">
        <v>123</v>
      </c>
      <c r="P2198" s="38">
        <v>1800.0</v>
      </c>
      <c r="Q2198" s="39"/>
      <c r="R2198" s="39"/>
      <c r="S2198" s="39"/>
      <c r="T2198" s="39"/>
      <c r="U2198" s="39"/>
    </row>
    <row r="2199">
      <c r="A2199" s="40">
        <f t="shared" si="1"/>
        <v>46006</v>
      </c>
      <c r="B2199" s="37" t="str">
        <f t="array" ref="B2199">iferror(xlookup($I2199, 'IMPORT VHC Report'!$E:$E, 'IMPORT VHC Report'!$A:$C), )</f>
        <v/>
      </c>
      <c r="C2199" s="37"/>
      <c r="D2199" s="37"/>
      <c r="E2199" s="38" t="s">
        <v>2709</v>
      </c>
      <c r="F2199" s="38" t="s">
        <v>2677</v>
      </c>
      <c r="G2199" s="38">
        <v>8.409877156495E12</v>
      </c>
      <c r="H2199" s="38" t="s">
        <v>2678</v>
      </c>
      <c r="I2199" s="38" t="s">
        <v>2679</v>
      </c>
      <c r="J2199" s="38" t="s">
        <v>224</v>
      </c>
      <c r="K2199" s="38" t="s">
        <v>63</v>
      </c>
      <c r="L2199" s="41">
        <v>46010.416666666664</v>
      </c>
      <c r="M2199" s="38" t="s">
        <v>123</v>
      </c>
      <c r="N2199" s="41">
        <v>46010.46875</v>
      </c>
      <c r="O2199" s="38" t="s">
        <v>123</v>
      </c>
      <c r="P2199" s="38">
        <v>4500.0</v>
      </c>
      <c r="Q2199" s="39"/>
      <c r="R2199" s="39"/>
      <c r="S2199" s="39"/>
      <c r="T2199" s="39"/>
      <c r="U2199" s="39"/>
    </row>
    <row r="2200">
      <c r="A2200" s="40">
        <f t="shared" si="1"/>
        <v>46006</v>
      </c>
      <c r="B2200" s="37" t="str">
        <f t="array" ref="B2200">iferror(xlookup($I2200, 'IMPORT VHC Report'!$E:$E, 'IMPORT VHC Report'!$A:$C), )</f>
        <v/>
      </c>
      <c r="C2200" s="37"/>
      <c r="D2200" s="37"/>
      <c r="E2200" s="38" t="s">
        <v>2710</v>
      </c>
      <c r="F2200" s="38" t="s">
        <v>2677</v>
      </c>
      <c r="G2200" s="38">
        <v>8.409877156495E12</v>
      </c>
      <c r="H2200" s="38" t="s">
        <v>2678</v>
      </c>
      <c r="I2200" s="38" t="s">
        <v>2679</v>
      </c>
      <c r="J2200" s="38" t="s">
        <v>134</v>
      </c>
      <c r="K2200" s="38" t="s">
        <v>126</v>
      </c>
      <c r="L2200" s="41">
        <v>46010.46875</v>
      </c>
      <c r="M2200" s="38" t="s">
        <v>123</v>
      </c>
      <c r="N2200" s="41">
        <v>46010.479166666664</v>
      </c>
      <c r="O2200" s="38" t="s">
        <v>123</v>
      </c>
      <c r="P2200" s="38">
        <v>900.0</v>
      </c>
      <c r="Q2200" s="39"/>
      <c r="R2200" s="39"/>
      <c r="S2200" s="39"/>
      <c r="T2200" s="39"/>
      <c r="U2200" s="39"/>
    </row>
    <row r="2201">
      <c r="A2201" s="40">
        <f t="shared" si="1"/>
        <v>46006</v>
      </c>
      <c r="B2201" s="37" t="str">
        <f t="array" ref="B2201">iferror(xlookup($I2201, 'IMPORT VHC Report'!$E:$E, 'IMPORT VHC Report'!$A:$C), )</f>
        <v/>
      </c>
      <c r="C2201" s="37"/>
      <c r="D2201" s="37"/>
      <c r="E2201" s="38" t="s">
        <v>2711</v>
      </c>
      <c r="F2201" s="38" t="s">
        <v>2677</v>
      </c>
      <c r="G2201" s="38">
        <v>8.409877156495E12</v>
      </c>
      <c r="H2201" s="38" t="s">
        <v>2678</v>
      </c>
      <c r="I2201" s="38" t="s">
        <v>2679</v>
      </c>
      <c r="J2201" s="38" t="s">
        <v>224</v>
      </c>
      <c r="K2201" s="38" t="s">
        <v>63</v>
      </c>
      <c r="L2201" s="41">
        <v>46010.479166666664</v>
      </c>
      <c r="M2201" s="38" t="s">
        <v>123</v>
      </c>
      <c r="N2201" s="41">
        <v>46010.552083333336</v>
      </c>
      <c r="O2201" s="38" t="s">
        <v>123</v>
      </c>
      <c r="P2201" s="38">
        <v>6300.0</v>
      </c>
      <c r="Q2201" s="39"/>
      <c r="R2201" s="39"/>
      <c r="S2201" s="39"/>
      <c r="T2201" s="39"/>
      <c r="U2201" s="39"/>
    </row>
    <row r="2202">
      <c r="A2202" s="40">
        <f t="shared" si="1"/>
        <v>46006</v>
      </c>
      <c r="B2202" s="37" t="str">
        <f t="array" ref="B2202">iferror(xlookup($I2202, 'IMPORT VHC Report'!$E:$E, 'IMPORT VHC Report'!$A:$C), )</f>
        <v/>
      </c>
      <c r="C2202" s="37"/>
      <c r="D2202" s="37"/>
      <c r="E2202" s="38" t="s">
        <v>2712</v>
      </c>
      <c r="F2202" s="38" t="s">
        <v>2677</v>
      </c>
      <c r="G2202" s="38">
        <v>8.409877156495E12</v>
      </c>
      <c r="H2202" s="38" t="s">
        <v>2678</v>
      </c>
      <c r="I2202" s="38" t="s">
        <v>2679</v>
      </c>
      <c r="J2202" s="38" t="s">
        <v>134</v>
      </c>
      <c r="K2202" s="38" t="s">
        <v>126</v>
      </c>
      <c r="L2202" s="41">
        <v>46010.552083333336</v>
      </c>
      <c r="M2202" s="38" t="s">
        <v>123</v>
      </c>
      <c r="N2202" s="41">
        <v>46010.5625</v>
      </c>
      <c r="O2202" s="38" t="s">
        <v>123</v>
      </c>
      <c r="P2202" s="38">
        <v>900.0</v>
      </c>
      <c r="Q2202" s="39"/>
      <c r="R2202" s="39"/>
      <c r="S2202" s="39"/>
      <c r="T2202" s="39"/>
      <c r="U2202" s="39"/>
    </row>
    <row r="2203">
      <c r="A2203" s="40">
        <f t="shared" si="1"/>
        <v>46006</v>
      </c>
      <c r="B2203" s="37" t="str">
        <f t="array" ref="B2203">iferror(xlookup($I2203, 'IMPORT VHC Report'!$E:$E, 'IMPORT VHC Report'!$A:$C), )</f>
        <v/>
      </c>
      <c r="C2203" s="37"/>
      <c r="D2203" s="37"/>
      <c r="E2203" s="38" t="s">
        <v>2713</v>
      </c>
      <c r="F2203" s="38" t="s">
        <v>2677</v>
      </c>
      <c r="G2203" s="38">
        <v>8.409877156495E12</v>
      </c>
      <c r="H2203" s="38" t="s">
        <v>2678</v>
      </c>
      <c r="I2203" s="38" t="s">
        <v>2679</v>
      </c>
      <c r="J2203" s="38" t="s">
        <v>224</v>
      </c>
      <c r="K2203" s="38" t="s">
        <v>63</v>
      </c>
      <c r="L2203" s="41">
        <v>46010.5625</v>
      </c>
      <c r="M2203" s="38" t="s">
        <v>123</v>
      </c>
      <c r="N2203" s="41">
        <v>46010.625</v>
      </c>
      <c r="O2203" s="38" t="s">
        <v>123</v>
      </c>
      <c r="P2203" s="38">
        <v>5400.0</v>
      </c>
      <c r="Q2203" s="39"/>
      <c r="R2203" s="39"/>
      <c r="S2203" s="39"/>
      <c r="T2203" s="39"/>
      <c r="U2203" s="39"/>
    </row>
    <row r="2204">
      <c r="A2204" s="40">
        <f t="shared" si="1"/>
        <v>46006</v>
      </c>
      <c r="B2204" s="37" t="str">
        <f t="array" ref="B2204">iferror(xlookup($I2204, 'IMPORT VHC Report'!$E:$E, 'IMPORT VHC Report'!$A:$C), )</f>
        <v/>
      </c>
      <c r="C2204" s="37"/>
      <c r="D2204" s="37"/>
      <c r="E2204" s="38" t="s">
        <v>2714</v>
      </c>
      <c r="F2204" s="38" t="s">
        <v>2715</v>
      </c>
      <c r="G2204" s="38">
        <v>3.61688633916E11</v>
      </c>
      <c r="H2204" s="38" t="s">
        <v>56</v>
      </c>
      <c r="I2204" s="38" t="s">
        <v>57</v>
      </c>
      <c r="J2204" s="38" t="s">
        <v>178</v>
      </c>
      <c r="K2204" s="38" t="s">
        <v>153</v>
      </c>
      <c r="L2204" s="41">
        <v>46006.25</v>
      </c>
      <c r="M2204" s="38" t="s">
        <v>123</v>
      </c>
      <c r="N2204" s="41">
        <v>46006.625</v>
      </c>
      <c r="O2204" s="38" t="s">
        <v>123</v>
      </c>
      <c r="P2204" s="38">
        <v>32400.0</v>
      </c>
      <c r="Q2204" s="38">
        <v>28800.0</v>
      </c>
      <c r="R2204" s="39"/>
      <c r="S2204" s="39"/>
      <c r="T2204" s="39"/>
      <c r="U2204" s="39"/>
    </row>
    <row r="2205">
      <c r="A2205" s="40">
        <f t="shared" si="1"/>
        <v>46006</v>
      </c>
      <c r="B2205" s="37" t="str">
        <f t="array" ref="B2205">iferror(xlookup($I2205, 'IMPORT VHC Report'!$E:$E, 'IMPORT VHC Report'!$A:$C), )</f>
        <v/>
      </c>
      <c r="C2205" s="37"/>
      <c r="D2205" s="37"/>
      <c r="E2205" s="38" t="s">
        <v>2716</v>
      </c>
      <c r="F2205" s="38" t="s">
        <v>2715</v>
      </c>
      <c r="G2205" s="38">
        <v>3.61688633916E11</v>
      </c>
      <c r="H2205" s="38" t="s">
        <v>56</v>
      </c>
      <c r="I2205" s="38" t="s">
        <v>57</v>
      </c>
      <c r="J2205" s="38" t="s">
        <v>791</v>
      </c>
      <c r="K2205" s="38" t="s">
        <v>63</v>
      </c>
      <c r="L2205" s="41">
        <v>46006.25</v>
      </c>
      <c r="M2205" s="38" t="s">
        <v>123</v>
      </c>
      <c r="N2205" s="41">
        <v>46006.625</v>
      </c>
      <c r="O2205" s="38" t="s">
        <v>123</v>
      </c>
      <c r="P2205" s="38">
        <v>32400.0</v>
      </c>
      <c r="Q2205" s="39"/>
      <c r="R2205" s="39"/>
      <c r="S2205" s="39"/>
      <c r="T2205" s="39"/>
      <c r="U2205" s="39"/>
    </row>
    <row r="2206">
      <c r="A2206" s="40">
        <f t="shared" si="1"/>
        <v>46006</v>
      </c>
      <c r="B2206" s="37" t="str">
        <f t="array" ref="B2206">iferror(xlookup($I2206, 'IMPORT VHC Report'!$E:$E, 'IMPORT VHC Report'!$A:$C), )</f>
        <v/>
      </c>
      <c r="C2206" s="37"/>
      <c r="D2206" s="37"/>
      <c r="E2206" s="38" t="s">
        <v>2717</v>
      </c>
      <c r="F2206" s="38" t="s">
        <v>2715</v>
      </c>
      <c r="G2206" s="38">
        <v>3.61688633916E11</v>
      </c>
      <c r="H2206" s="38" t="s">
        <v>56</v>
      </c>
      <c r="I2206" s="38" t="s">
        <v>57</v>
      </c>
      <c r="J2206" s="38" t="s">
        <v>134</v>
      </c>
      <c r="K2206" s="38" t="s">
        <v>126</v>
      </c>
      <c r="L2206" s="41">
        <v>46006.5</v>
      </c>
      <c r="M2206" s="38" t="s">
        <v>123</v>
      </c>
      <c r="N2206" s="41">
        <v>46006.520833333336</v>
      </c>
      <c r="O2206" s="38" t="s">
        <v>123</v>
      </c>
      <c r="P2206" s="38">
        <v>1800.0</v>
      </c>
      <c r="Q2206" s="39"/>
      <c r="R2206" s="39"/>
      <c r="S2206" s="39"/>
      <c r="T2206" s="39"/>
      <c r="U2206" s="39"/>
    </row>
    <row r="2207">
      <c r="A2207" s="40">
        <f t="shared" si="1"/>
        <v>46006</v>
      </c>
      <c r="B2207" s="37" t="str">
        <f t="array" ref="B2207">iferror(xlookup($I2207, 'IMPORT VHC Report'!$E:$E, 'IMPORT VHC Report'!$A:$C), )</f>
        <v/>
      </c>
      <c r="C2207" s="37"/>
      <c r="D2207" s="37"/>
      <c r="E2207" s="38" t="s">
        <v>2718</v>
      </c>
      <c r="F2207" s="38" t="s">
        <v>2715</v>
      </c>
      <c r="G2207" s="38">
        <v>3.61688633916E11</v>
      </c>
      <c r="H2207" s="38" t="s">
        <v>56</v>
      </c>
      <c r="I2207" s="38" t="s">
        <v>57</v>
      </c>
      <c r="J2207" s="38" t="s">
        <v>132</v>
      </c>
      <c r="K2207" s="38" t="s">
        <v>126</v>
      </c>
      <c r="L2207" s="41">
        <v>46006.520833333336</v>
      </c>
      <c r="M2207" s="38" t="s">
        <v>123</v>
      </c>
      <c r="N2207" s="41">
        <v>46006.5625</v>
      </c>
      <c r="O2207" s="38" t="s">
        <v>123</v>
      </c>
      <c r="P2207" s="38">
        <v>3600.0</v>
      </c>
      <c r="Q2207" s="39"/>
      <c r="R2207" s="39"/>
      <c r="S2207" s="39"/>
      <c r="T2207" s="39"/>
      <c r="U2207" s="39"/>
    </row>
    <row r="2208">
      <c r="A2208" s="40">
        <f t="shared" si="1"/>
        <v>46006</v>
      </c>
      <c r="B2208" s="37" t="str">
        <f t="array" ref="B2208">iferror(xlookup($I2208, 'IMPORT VHC Report'!$E:$E, 'IMPORT VHC Report'!$A:$C), )</f>
        <v/>
      </c>
      <c r="C2208" s="37"/>
      <c r="D2208" s="37"/>
      <c r="E2208" s="38" t="s">
        <v>2719</v>
      </c>
      <c r="F2208" s="38" t="s">
        <v>2715</v>
      </c>
      <c r="G2208" s="38">
        <v>3.61688633916E11</v>
      </c>
      <c r="H2208" s="38" t="s">
        <v>56</v>
      </c>
      <c r="I2208" s="38" t="s">
        <v>57</v>
      </c>
      <c r="J2208" s="38" t="s">
        <v>791</v>
      </c>
      <c r="K2208" s="38" t="s">
        <v>63</v>
      </c>
      <c r="L2208" s="41">
        <v>46007.25</v>
      </c>
      <c r="M2208" s="38" t="s">
        <v>123</v>
      </c>
      <c r="N2208" s="41">
        <v>46007.625</v>
      </c>
      <c r="O2208" s="38" t="s">
        <v>123</v>
      </c>
      <c r="P2208" s="38">
        <v>32400.0</v>
      </c>
      <c r="Q2208" s="39"/>
      <c r="R2208" s="39"/>
      <c r="S2208" s="39"/>
      <c r="T2208" s="39"/>
      <c r="U2208" s="39"/>
    </row>
    <row r="2209">
      <c r="A2209" s="40">
        <f t="shared" si="1"/>
        <v>46006</v>
      </c>
      <c r="B2209" s="37" t="str">
        <f t="array" ref="B2209">iferror(xlookup($I2209, 'IMPORT VHC Report'!$E:$E, 'IMPORT VHC Report'!$A:$C), )</f>
        <v/>
      </c>
      <c r="C2209" s="37"/>
      <c r="D2209" s="37"/>
      <c r="E2209" s="38" t="s">
        <v>2720</v>
      </c>
      <c r="F2209" s="38" t="s">
        <v>2715</v>
      </c>
      <c r="G2209" s="38">
        <v>3.61688633916E11</v>
      </c>
      <c r="H2209" s="38" t="s">
        <v>56</v>
      </c>
      <c r="I2209" s="38" t="s">
        <v>57</v>
      </c>
      <c r="J2209" s="38" t="s">
        <v>134</v>
      </c>
      <c r="K2209" s="38" t="s">
        <v>126</v>
      </c>
      <c r="L2209" s="41">
        <v>46007.5625</v>
      </c>
      <c r="M2209" s="38" t="s">
        <v>123</v>
      </c>
      <c r="N2209" s="41">
        <v>46007.583333333336</v>
      </c>
      <c r="O2209" s="38" t="s">
        <v>123</v>
      </c>
      <c r="P2209" s="38">
        <v>1800.0</v>
      </c>
      <c r="Q2209" s="39"/>
      <c r="R2209" s="39"/>
      <c r="S2209" s="39"/>
      <c r="T2209" s="39"/>
      <c r="U2209" s="39"/>
    </row>
    <row r="2210">
      <c r="A2210" s="40">
        <f t="shared" si="1"/>
        <v>46006</v>
      </c>
      <c r="B2210" s="37" t="str">
        <f t="array" ref="B2210">iferror(xlookup($I2210, 'IMPORT VHC Report'!$E:$E, 'IMPORT VHC Report'!$A:$C), )</f>
        <v/>
      </c>
      <c r="C2210" s="37"/>
      <c r="D2210" s="37"/>
      <c r="E2210" s="38" t="s">
        <v>2721</v>
      </c>
      <c r="F2210" s="38" t="s">
        <v>2715</v>
      </c>
      <c r="G2210" s="38">
        <v>3.61688633916E11</v>
      </c>
      <c r="H2210" s="38" t="s">
        <v>56</v>
      </c>
      <c r="I2210" s="38" t="s">
        <v>57</v>
      </c>
      <c r="J2210" s="38" t="s">
        <v>132</v>
      </c>
      <c r="K2210" s="38" t="s">
        <v>126</v>
      </c>
      <c r="L2210" s="41">
        <v>46007.583333333336</v>
      </c>
      <c r="M2210" s="38" t="s">
        <v>123</v>
      </c>
      <c r="N2210" s="41">
        <v>46007.625</v>
      </c>
      <c r="O2210" s="38" t="s">
        <v>123</v>
      </c>
      <c r="P2210" s="38">
        <v>3600.0</v>
      </c>
      <c r="Q2210" s="39"/>
      <c r="R2210" s="39"/>
      <c r="S2210" s="39"/>
      <c r="T2210" s="39"/>
      <c r="U2210" s="39"/>
    </row>
    <row r="2211">
      <c r="A2211" s="40">
        <f t="shared" si="1"/>
        <v>46006</v>
      </c>
      <c r="B2211" s="37" t="str">
        <f t="array" ref="B2211">iferror(xlookup($I2211, 'IMPORT VHC Report'!$E:$E, 'IMPORT VHC Report'!$A:$C), )</f>
        <v/>
      </c>
      <c r="C2211" s="37"/>
      <c r="D2211" s="37"/>
      <c r="E2211" s="38" t="s">
        <v>2722</v>
      </c>
      <c r="F2211" s="38" t="s">
        <v>2715</v>
      </c>
      <c r="G2211" s="38">
        <v>3.61688633916E11</v>
      </c>
      <c r="H2211" s="38" t="s">
        <v>56</v>
      </c>
      <c r="I2211" s="38" t="s">
        <v>57</v>
      </c>
      <c r="J2211" s="38" t="s">
        <v>62</v>
      </c>
      <c r="K2211" s="38" t="s">
        <v>63</v>
      </c>
      <c r="L2211" s="41">
        <v>46008.25</v>
      </c>
      <c r="M2211" s="38" t="s">
        <v>123</v>
      </c>
      <c r="N2211" s="41">
        <v>46008.458333333336</v>
      </c>
      <c r="O2211" s="38" t="s">
        <v>123</v>
      </c>
      <c r="P2211" s="38">
        <v>18000.0</v>
      </c>
      <c r="Q2211" s="39"/>
      <c r="R2211" s="39"/>
      <c r="S2211" s="39"/>
      <c r="T2211" s="39"/>
      <c r="U2211" s="39"/>
    </row>
    <row r="2212">
      <c r="A2212" s="40">
        <f t="shared" si="1"/>
        <v>46006</v>
      </c>
      <c r="B2212" s="37" t="str">
        <f t="array" ref="B2212">iferror(xlookup($I2212, 'IMPORT VHC Report'!$E:$E, 'IMPORT VHC Report'!$A:$C), )</f>
        <v/>
      </c>
      <c r="C2212" s="37"/>
      <c r="D2212" s="37"/>
      <c r="E2212" s="38" t="s">
        <v>2723</v>
      </c>
      <c r="F2212" s="38" t="s">
        <v>2715</v>
      </c>
      <c r="G2212" s="38">
        <v>3.61688633916E11</v>
      </c>
      <c r="H2212" s="38" t="s">
        <v>56</v>
      </c>
      <c r="I2212" s="38" t="s">
        <v>57</v>
      </c>
      <c r="J2212" s="38" t="s">
        <v>330</v>
      </c>
      <c r="K2212" s="38" t="s">
        <v>126</v>
      </c>
      <c r="L2212" s="41">
        <v>46008.34375</v>
      </c>
      <c r="M2212" s="38" t="s">
        <v>123</v>
      </c>
      <c r="N2212" s="41">
        <v>46008.385416666664</v>
      </c>
      <c r="O2212" s="38" t="s">
        <v>123</v>
      </c>
      <c r="P2212" s="38">
        <v>3600.0</v>
      </c>
      <c r="Q2212" s="39"/>
      <c r="R2212" s="39"/>
      <c r="S2212" s="38" t="s">
        <v>2724</v>
      </c>
      <c r="T2212" s="39"/>
      <c r="U2212" s="39"/>
    </row>
    <row r="2213">
      <c r="A2213" s="40">
        <f t="shared" si="1"/>
        <v>46006</v>
      </c>
      <c r="B2213" s="37" t="str">
        <f t="array" ref="B2213">iferror(xlookup($I2213, 'IMPORT VHC Report'!$E:$E, 'IMPORT VHC Report'!$A:$C), )</f>
        <v/>
      </c>
      <c r="C2213" s="37"/>
      <c r="D2213" s="37"/>
      <c r="E2213" s="38" t="s">
        <v>2725</v>
      </c>
      <c r="F2213" s="38" t="s">
        <v>2715</v>
      </c>
      <c r="G2213" s="38">
        <v>3.61688633916E11</v>
      </c>
      <c r="H2213" s="38" t="s">
        <v>56</v>
      </c>
      <c r="I2213" s="38" t="s">
        <v>57</v>
      </c>
      <c r="J2213" s="38" t="s">
        <v>132</v>
      </c>
      <c r="K2213" s="38" t="s">
        <v>126</v>
      </c>
      <c r="L2213" s="41">
        <v>46008.395833333336</v>
      </c>
      <c r="M2213" s="38" t="s">
        <v>123</v>
      </c>
      <c r="N2213" s="41">
        <v>46008.4375</v>
      </c>
      <c r="O2213" s="38" t="s">
        <v>123</v>
      </c>
      <c r="P2213" s="38">
        <v>3600.0</v>
      </c>
      <c r="Q2213" s="39"/>
      <c r="R2213" s="39"/>
      <c r="S2213" s="39"/>
      <c r="T2213" s="39"/>
      <c r="U2213" s="39"/>
    </row>
    <row r="2214">
      <c r="A2214" s="40">
        <f t="shared" si="1"/>
        <v>46006</v>
      </c>
      <c r="B2214" s="37" t="str">
        <f t="array" ref="B2214">iferror(xlookup($I2214, 'IMPORT VHC Report'!$E:$E, 'IMPORT VHC Report'!$A:$C), )</f>
        <v/>
      </c>
      <c r="C2214" s="37"/>
      <c r="D2214" s="37"/>
      <c r="E2214" s="38" t="s">
        <v>2726</v>
      </c>
      <c r="F2214" s="38" t="s">
        <v>2715</v>
      </c>
      <c r="G2214" s="38">
        <v>3.61688633916E11</v>
      </c>
      <c r="H2214" s="38" t="s">
        <v>56</v>
      </c>
      <c r="I2214" s="38" t="s">
        <v>57</v>
      </c>
      <c r="J2214" s="38" t="s">
        <v>791</v>
      </c>
      <c r="K2214" s="38" t="s">
        <v>63</v>
      </c>
      <c r="L2214" s="41">
        <v>46008.416666666664</v>
      </c>
      <c r="M2214" s="38" t="s">
        <v>123</v>
      </c>
      <c r="N2214" s="41">
        <v>46008.625</v>
      </c>
      <c r="O2214" s="38" t="s">
        <v>123</v>
      </c>
      <c r="P2214" s="38">
        <v>18000.0</v>
      </c>
      <c r="Q2214" s="39"/>
      <c r="R2214" s="39"/>
      <c r="S2214" s="39"/>
      <c r="T2214" s="39"/>
      <c r="U2214" s="39"/>
    </row>
    <row r="2215">
      <c r="A2215" s="40">
        <f t="shared" si="1"/>
        <v>46006</v>
      </c>
      <c r="B2215" s="37" t="str">
        <f t="array" ref="B2215">iferror(xlookup($I2215, 'IMPORT VHC Report'!$E:$E, 'IMPORT VHC Report'!$A:$C), )</f>
        <v/>
      </c>
      <c r="C2215" s="37"/>
      <c r="D2215" s="37"/>
      <c r="E2215" s="38" t="s">
        <v>2727</v>
      </c>
      <c r="F2215" s="38" t="s">
        <v>2715</v>
      </c>
      <c r="G2215" s="38">
        <v>3.61688633916E11</v>
      </c>
      <c r="H2215" s="38" t="s">
        <v>56</v>
      </c>
      <c r="I2215" s="38" t="s">
        <v>57</v>
      </c>
      <c r="J2215" s="38" t="s">
        <v>134</v>
      </c>
      <c r="K2215" s="38" t="s">
        <v>126</v>
      </c>
      <c r="L2215" s="41">
        <v>46008.604166666664</v>
      </c>
      <c r="M2215" s="38" t="s">
        <v>123</v>
      </c>
      <c r="N2215" s="41">
        <v>46008.625</v>
      </c>
      <c r="O2215" s="38" t="s">
        <v>123</v>
      </c>
      <c r="P2215" s="38">
        <v>1800.0</v>
      </c>
      <c r="Q2215" s="39"/>
      <c r="R2215" s="39"/>
      <c r="S2215" s="39"/>
      <c r="T2215" s="39"/>
      <c r="U2215" s="39"/>
    </row>
    <row r="2216">
      <c r="A2216" s="40">
        <f t="shared" si="1"/>
        <v>46006</v>
      </c>
      <c r="B2216" s="37" t="str">
        <f t="array" ref="B2216">iferror(xlookup($I2216, 'IMPORT VHC Report'!$E:$E, 'IMPORT VHC Report'!$A:$C), )</f>
        <v/>
      </c>
      <c r="C2216" s="37"/>
      <c r="D2216" s="37"/>
      <c r="E2216" s="38" t="s">
        <v>2728</v>
      </c>
      <c r="F2216" s="38" t="s">
        <v>2715</v>
      </c>
      <c r="G2216" s="38">
        <v>3.61688633916E11</v>
      </c>
      <c r="H2216" s="38" t="s">
        <v>56</v>
      </c>
      <c r="I2216" s="38" t="s">
        <v>57</v>
      </c>
      <c r="J2216" s="38" t="s">
        <v>132</v>
      </c>
      <c r="K2216" s="38" t="s">
        <v>126</v>
      </c>
      <c r="L2216" s="41">
        <v>46009.25</v>
      </c>
      <c r="M2216" s="38" t="s">
        <v>123</v>
      </c>
      <c r="N2216" s="41">
        <v>46009.291666666664</v>
      </c>
      <c r="O2216" s="38" t="s">
        <v>123</v>
      </c>
      <c r="P2216" s="38">
        <v>3600.0</v>
      </c>
      <c r="Q2216" s="39"/>
      <c r="R2216" s="39"/>
      <c r="S2216" s="39"/>
      <c r="T2216" s="39"/>
      <c r="U2216" s="39"/>
    </row>
    <row r="2217">
      <c r="A2217" s="40">
        <f t="shared" si="1"/>
        <v>46006</v>
      </c>
      <c r="B2217" s="37" t="str">
        <f t="array" ref="B2217">iferror(xlookup($I2217, 'IMPORT VHC Report'!$E:$E, 'IMPORT VHC Report'!$A:$C), )</f>
        <v/>
      </c>
      <c r="C2217" s="37"/>
      <c r="D2217" s="37"/>
      <c r="E2217" s="38" t="s">
        <v>2729</v>
      </c>
      <c r="F2217" s="38" t="s">
        <v>2715</v>
      </c>
      <c r="G2217" s="38">
        <v>3.61688633916E11</v>
      </c>
      <c r="H2217" s="38" t="s">
        <v>56</v>
      </c>
      <c r="I2217" s="38" t="s">
        <v>57</v>
      </c>
      <c r="J2217" s="38" t="s">
        <v>791</v>
      </c>
      <c r="K2217" s="38" t="s">
        <v>63</v>
      </c>
      <c r="L2217" s="41">
        <v>46009.25</v>
      </c>
      <c r="M2217" s="38" t="s">
        <v>123</v>
      </c>
      <c r="N2217" s="41">
        <v>46009.625</v>
      </c>
      <c r="O2217" s="38" t="s">
        <v>123</v>
      </c>
      <c r="P2217" s="38">
        <v>32400.0</v>
      </c>
      <c r="Q2217" s="39"/>
      <c r="R2217" s="39"/>
      <c r="S2217" s="39"/>
      <c r="T2217" s="39"/>
      <c r="U2217" s="39"/>
    </row>
    <row r="2218">
      <c r="A2218" s="40">
        <f t="shared" si="1"/>
        <v>46006</v>
      </c>
      <c r="B2218" s="37" t="str">
        <f t="array" ref="B2218">iferror(xlookup($I2218, 'IMPORT VHC Report'!$E:$E, 'IMPORT VHC Report'!$A:$C), )</f>
        <v/>
      </c>
      <c r="C2218" s="37"/>
      <c r="D2218" s="37"/>
      <c r="E2218" s="38" t="s">
        <v>2730</v>
      </c>
      <c r="F2218" s="38" t="s">
        <v>2715</v>
      </c>
      <c r="G2218" s="38">
        <v>3.61688633916E11</v>
      </c>
      <c r="H2218" s="38" t="s">
        <v>56</v>
      </c>
      <c r="I2218" s="38" t="s">
        <v>57</v>
      </c>
      <c r="J2218" s="38" t="s">
        <v>136</v>
      </c>
      <c r="K2218" s="38" t="s">
        <v>126</v>
      </c>
      <c r="L2218" s="41">
        <v>46009.375</v>
      </c>
      <c r="M2218" s="38" t="s">
        <v>123</v>
      </c>
      <c r="N2218" s="41">
        <v>46009.427083333336</v>
      </c>
      <c r="O2218" s="38" t="s">
        <v>123</v>
      </c>
      <c r="P2218" s="38">
        <v>4500.0</v>
      </c>
      <c r="Q2218" s="39"/>
      <c r="R2218" s="39"/>
      <c r="S2218" s="39"/>
      <c r="T2218" s="39"/>
      <c r="U2218" s="39"/>
    </row>
    <row r="2219">
      <c r="A2219" s="40">
        <f t="shared" si="1"/>
        <v>46006</v>
      </c>
      <c r="B2219" s="37" t="str">
        <f t="array" ref="B2219">iferror(xlookup($I2219, 'IMPORT VHC Report'!$E:$E, 'IMPORT VHC Report'!$A:$C), )</f>
        <v/>
      </c>
      <c r="C2219" s="37"/>
      <c r="D2219" s="37"/>
      <c r="E2219" s="38" t="s">
        <v>2731</v>
      </c>
      <c r="F2219" s="38" t="s">
        <v>2715</v>
      </c>
      <c r="G2219" s="38">
        <v>3.61688633916E11</v>
      </c>
      <c r="H2219" s="38" t="s">
        <v>56</v>
      </c>
      <c r="I2219" s="38" t="s">
        <v>57</v>
      </c>
      <c r="J2219" s="38" t="s">
        <v>136</v>
      </c>
      <c r="K2219" s="38" t="s">
        <v>126</v>
      </c>
      <c r="L2219" s="41">
        <v>46009.458333333336</v>
      </c>
      <c r="M2219" s="38" t="s">
        <v>123</v>
      </c>
      <c r="N2219" s="41">
        <v>46009.50833333333</v>
      </c>
      <c r="O2219" s="38" t="s">
        <v>123</v>
      </c>
      <c r="P2219" s="38">
        <v>4320.0</v>
      </c>
      <c r="Q2219" s="39"/>
      <c r="R2219" s="39"/>
      <c r="S2219" s="38" t="s">
        <v>2732</v>
      </c>
      <c r="T2219" s="39"/>
      <c r="U2219" s="39"/>
    </row>
    <row r="2220">
      <c r="A2220" s="40">
        <f t="shared" si="1"/>
        <v>46006</v>
      </c>
      <c r="B2220" s="37" t="str">
        <f t="array" ref="B2220">iferror(xlookup($I2220, 'IMPORT VHC Report'!$E:$E, 'IMPORT VHC Report'!$A:$C), )</f>
        <v/>
      </c>
      <c r="C2220" s="37"/>
      <c r="D2220" s="37"/>
      <c r="E2220" s="38" t="s">
        <v>2733</v>
      </c>
      <c r="F2220" s="38" t="s">
        <v>2715</v>
      </c>
      <c r="G2220" s="38">
        <v>3.61688633916E11</v>
      </c>
      <c r="H2220" s="38" t="s">
        <v>56</v>
      </c>
      <c r="I2220" s="38" t="s">
        <v>57</v>
      </c>
      <c r="J2220" s="38" t="s">
        <v>4</v>
      </c>
      <c r="K2220" s="38" t="s">
        <v>126</v>
      </c>
      <c r="L2220" s="41">
        <v>46009.520833333336</v>
      </c>
      <c r="M2220" s="38" t="s">
        <v>123</v>
      </c>
      <c r="N2220" s="41">
        <v>46009.541666666664</v>
      </c>
      <c r="O2220" s="38" t="s">
        <v>123</v>
      </c>
      <c r="P2220" s="38">
        <v>1800.0</v>
      </c>
      <c r="Q2220" s="39"/>
      <c r="R2220" s="39"/>
      <c r="S2220" s="39"/>
      <c r="T2220" s="39"/>
      <c r="U2220" s="39"/>
    </row>
    <row r="2221">
      <c r="A2221" s="40">
        <f t="shared" si="1"/>
        <v>46006</v>
      </c>
      <c r="B2221" s="37" t="str">
        <f t="array" ref="B2221">iferror(xlookup($I2221, 'IMPORT VHC Report'!$E:$E, 'IMPORT VHC Report'!$A:$C), )</f>
        <v/>
      </c>
      <c r="C2221" s="37"/>
      <c r="D2221" s="37"/>
      <c r="E2221" s="38" t="s">
        <v>2734</v>
      </c>
      <c r="F2221" s="38" t="s">
        <v>2715</v>
      </c>
      <c r="G2221" s="38">
        <v>3.61688633916E11</v>
      </c>
      <c r="H2221" s="38" t="s">
        <v>56</v>
      </c>
      <c r="I2221" s="38" t="s">
        <v>57</v>
      </c>
      <c r="J2221" s="38" t="s">
        <v>134</v>
      </c>
      <c r="K2221" s="38" t="s">
        <v>126</v>
      </c>
      <c r="L2221" s="41">
        <v>46009.604166666664</v>
      </c>
      <c r="M2221" s="38" t="s">
        <v>123</v>
      </c>
      <c r="N2221" s="41">
        <v>46009.625</v>
      </c>
      <c r="O2221" s="38" t="s">
        <v>123</v>
      </c>
      <c r="P2221" s="38">
        <v>1800.0</v>
      </c>
      <c r="Q2221" s="39"/>
      <c r="R2221" s="39"/>
      <c r="S2221" s="39"/>
      <c r="T2221" s="39"/>
      <c r="U2221" s="39"/>
    </row>
    <row r="2222">
      <c r="A2222" s="40">
        <f t="shared" si="1"/>
        <v>46006</v>
      </c>
      <c r="B2222" s="37" t="str">
        <f t="array" ref="B2222">iferror(xlookup($I2222, 'IMPORT VHC Report'!$E:$E, 'IMPORT VHC Report'!$A:$C), )</f>
        <v/>
      </c>
      <c r="C2222" s="37"/>
      <c r="D2222" s="37"/>
      <c r="E2222" s="38" t="s">
        <v>2735</v>
      </c>
      <c r="F2222" s="38" t="s">
        <v>2715</v>
      </c>
      <c r="G2222" s="38">
        <v>3.61688633916E11</v>
      </c>
      <c r="H2222" s="38" t="s">
        <v>56</v>
      </c>
      <c r="I2222" s="38" t="s">
        <v>57</v>
      </c>
      <c r="J2222" s="38" t="s">
        <v>178</v>
      </c>
      <c r="K2222" s="38" t="s">
        <v>153</v>
      </c>
      <c r="L2222" s="41">
        <v>46012.25</v>
      </c>
      <c r="M2222" s="38" t="s">
        <v>123</v>
      </c>
      <c r="N2222" s="41">
        <v>46012.625</v>
      </c>
      <c r="O2222" s="38" t="s">
        <v>123</v>
      </c>
      <c r="P2222" s="38">
        <v>32400.0</v>
      </c>
      <c r="Q2222" s="38">
        <v>28800.0</v>
      </c>
      <c r="R2222" s="39"/>
      <c r="S2222" s="39"/>
      <c r="T2222" s="39"/>
      <c r="U2222" s="39"/>
    </row>
    <row r="2223">
      <c r="A2223" s="40">
        <f t="shared" si="1"/>
        <v>46006</v>
      </c>
      <c r="B2223" s="37" t="str">
        <f t="array" ref="B2223">iferror(xlookup($I2223, 'IMPORT VHC Report'!$E:$E, 'IMPORT VHC Report'!$A:$C), )</f>
        <v/>
      </c>
      <c r="C2223" s="37"/>
      <c r="D2223" s="37"/>
      <c r="E2223" s="38" t="s">
        <v>2736</v>
      </c>
      <c r="F2223" s="38" t="s">
        <v>2715</v>
      </c>
      <c r="G2223" s="38">
        <v>3.61688633916E11</v>
      </c>
      <c r="H2223" s="38" t="s">
        <v>56</v>
      </c>
      <c r="I2223" s="38" t="s">
        <v>57</v>
      </c>
      <c r="J2223" s="38" t="s">
        <v>791</v>
      </c>
      <c r="K2223" s="38" t="s">
        <v>63</v>
      </c>
      <c r="L2223" s="41">
        <v>46012.25</v>
      </c>
      <c r="M2223" s="38" t="s">
        <v>123</v>
      </c>
      <c r="N2223" s="41">
        <v>46012.625</v>
      </c>
      <c r="O2223" s="38" t="s">
        <v>123</v>
      </c>
      <c r="P2223" s="38">
        <v>32400.0</v>
      </c>
      <c r="Q2223" s="39"/>
      <c r="R2223" s="39"/>
      <c r="S2223" s="39"/>
      <c r="T2223" s="39"/>
      <c r="U2223" s="39"/>
    </row>
    <row r="2224">
      <c r="A2224" s="40">
        <f t="shared" si="1"/>
        <v>46006</v>
      </c>
      <c r="B2224" s="37" t="str">
        <f t="array" ref="B2224">iferror(xlookup($I2224, 'IMPORT VHC Report'!$E:$E, 'IMPORT VHC Report'!$A:$C), )</f>
        <v/>
      </c>
      <c r="C2224" s="37"/>
      <c r="D2224" s="37"/>
      <c r="E2224" s="38" t="s">
        <v>2737</v>
      </c>
      <c r="F2224" s="38" t="s">
        <v>2715</v>
      </c>
      <c r="G2224" s="38">
        <v>3.61688633916E11</v>
      </c>
      <c r="H2224" s="38" t="s">
        <v>56</v>
      </c>
      <c r="I2224" s="38" t="s">
        <v>57</v>
      </c>
      <c r="J2224" s="38" t="s">
        <v>134</v>
      </c>
      <c r="K2224" s="38" t="s">
        <v>126</v>
      </c>
      <c r="L2224" s="41">
        <v>46012.5625</v>
      </c>
      <c r="M2224" s="38" t="s">
        <v>123</v>
      </c>
      <c r="N2224" s="41">
        <v>46012.583333333336</v>
      </c>
      <c r="O2224" s="38" t="s">
        <v>123</v>
      </c>
      <c r="P2224" s="38">
        <v>1800.0</v>
      </c>
      <c r="Q2224" s="39"/>
      <c r="R2224" s="39"/>
      <c r="S2224" s="39"/>
      <c r="T2224" s="39"/>
      <c r="U2224" s="39"/>
    </row>
    <row r="2225">
      <c r="A2225" s="40">
        <f t="shared" si="1"/>
        <v>46006</v>
      </c>
      <c r="B2225" s="37" t="str">
        <f t="array" ref="B2225">iferror(xlookup($I2225, 'IMPORT VHC Report'!$E:$E, 'IMPORT VHC Report'!$A:$C), )</f>
        <v/>
      </c>
      <c r="C2225" s="37"/>
      <c r="D2225" s="37"/>
      <c r="E2225" s="38" t="s">
        <v>2738</v>
      </c>
      <c r="F2225" s="38" t="s">
        <v>2715</v>
      </c>
      <c r="G2225" s="38">
        <v>3.61688633916E11</v>
      </c>
      <c r="H2225" s="38" t="s">
        <v>56</v>
      </c>
      <c r="I2225" s="38" t="s">
        <v>57</v>
      </c>
      <c r="J2225" s="38" t="s">
        <v>132</v>
      </c>
      <c r="K2225" s="38" t="s">
        <v>126</v>
      </c>
      <c r="L2225" s="41">
        <v>46012.583333333336</v>
      </c>
      <c r="M2225" s="38" t="s">
        <v>123</v>
      </c>
      <c r="N2225" s="41">
        <v>46012.625</v>
      </c>
      <c r="O2225" s="38" t="s">
        <v>123</v>
      </c>
      <c r="P2225" s="38">
        <v>3600.0</v>
      </c>
      <c r="Q2225" s="39"/>
      <c r="R2225" s="39"/>
      <c r="S2225" s="39"/>
      <c r="T2225" s="39"/>
      <c r="U2225" s="39"/>
    </row>
    <row r="2226">
      <c r="A2226" s="40">
        <f t="shared" si="1"/>
        <v>46006</v>
      </c>
      <c r="B2226" s="37" t="str">
        <f t="array" ref="B2226">iferror(xlookup($I2226, 'IMPORT VHC Report'!$E:$E, 'IMPORT VHC Report'!$A:$C), )</f>
        <v/>
      </c>
      <c r="C2226" s="37"/>
      <c r="D2226" s="37"/>
      <c r="E2226" s="38" t="s">
        <v>2739</v>
      </c>
      <c r="F2226" s="38" t="s">
        <v>2740</v>
      </c>
      <c r="G2226" s="38">
        <v>3.61734092356E11</v>
      </c>
      <c r="H2226" s="38" t="s">
        <v>2741</v>
      </c>
      <c r="I2226" s="38" t="s">
        <v>2742</v>
      </c>
      <c r="J2226" s="38" t="s">
        <v>332</v>
      </c>
      <c r="K2226" s="38" t="s">
        <v>63</v>
      </c>
      <c r="L2226" s="41">
        <v>46006.25</v>
      </c>
      <c r="M2226" s="38" t="s">
        <v>123</v>
      </c>
      <c r="N2226" s="41">
        <v>46006.625</v>
      </c>
      <c r="O2226" s="38" t="s">
        <v>123</v>
      </c>
      <c r="P2226" s="38">
        <v>32400.0</v>
      </c>
      <c r="Q2226" s="39"/>
      <c r="R2226" s="39"/>
      <c r="S2226" s="39"/>
      <c r="T2226" s="39"/>
      <c r="U2226" s="39"/>
    </row>
    <row r="2227">
      <c r="A2227" s="40">
        <f t="shared" si="1"/>
        <v>46006</v>
      </c>
      <c r="B2227" s="37" t="str">
        <f t="array" ref="B2227">iferror(xlookup($I2227, 'IMPORT VHC Report'!$E:$E, 'IMPORT VHC Report'!$A:$C), )</f>
        <v/>
      </c>
      <c r="C2227" s="37"/>
      <c r="D2227" s="37"/>
      <c r="E2227" s="38" t="s">
        <v>2743</v>
      </c>
      <c r="F2227" s="38" t="s">
        <v>2740</v>
      </c>
      <c r="G2227" s="38">
        <v>3.61734092356E11</v>
      </c>
      <c r="H2227" s="38" t="s">
        <v>2741</v>
      </c>
      <c r="I2227" s="38" t="s">
        <v>2742</v>
      </c>
      <c r="J2227" s="38" t="s">
        <v>134</v>
      </c>
      <c r="K2227" s="38" t="s">
        <v>126</v>
      </c>
      <c r="L2227" s="41">
        <v>46006.5625</v>
      </c>
      <c r="M2227" s="38" t="s">
        <v>123</v>
      </c>
      <c r="N2227" s="41">
        <v>46006.583333333336</v>
      </c>
      <c r="O2227" s="38" t="s">
        <v>123</v>
      </c>
      <c r="P2227" s="38">
        <v>1800.0</v>
      </c>
      <c r="Q2227" s="39"/>
      <c r="R2227" s="39"/>
      <c r="S2227" s="39"/>
      <c r="T2227" s="39"/>
      <c r="U2227" s="39"/>
    </row>
    <row r="2228">
      <c r="A2228" s="40">
        <f t="shared" si="1"/>
        <v>46006</v>
      </c>
      <c r="B2228" s="37" t="str">
        <f t="array" ref="B2228">iferror(xlookup($I2228, 'IMPORT VHC Report'!$E:$E, 'IMPORT VHC Report'!$A:$C), )</f>
        <v/>
      </c>
      <c r="C2228" s="37"/>
      <c r="D2228" s="37"/>
      <c r="E2228" s="38" t="s">
        <v>2744</v>
      </c>
      <c r="F2228" s="38" t="s">
        <v>2740</v>
      </c>
      <c r="G2228" s="38">
        <v>3.61734092356E11</v>
      </c>
      <c r="H2228" s="38" t="s">
        <v>2741</v>
      </c>
      <c r="I2228" s="38" t="s">
        <v>2742</v>
      </c>
      <c r="J2228" s="38" t="s">
        <v>132</v>
      </c>
      <c r="K2228" s="38" t="s">
        <v>126</v>
      </c>
      <c r="L2228" s="41">
        <v>46006.583333333336</v>
      </c>
      <c r="M2228" s="38" t="s">
        <v>123</v>
      </c>
      <c r="N2228" s="41">
        <v>46006.625</v>
      </c>
      <c r="O2228" s="38" t="s">
        <v>123</v>
      </c>
      <c r="P2228" s="38">
        <v>3600.0</v>
      </c>
      <c r="Q2228" s="39"/>
      <c r="R2228" s="39"/>
      <c r="S2228" s="39"/>
      <c r="T2228" s="39"/>
      <c r="U2228" s="39"/>
    </row>
    <row r="2229">
      <c r="A2229" s="40">
        <f t="shared" si="1"/>
        <v>46006</v>
      </c>
      <c r="B2229" s="37" t="str">
        <f t="array" ref="B2229">iferror(xlookup($I2229, 'IMPORT VHC Report'!$E:$E, 'IMPORT VHC Report'!$A:$C), )</f>
        <v/>
      </c>
      <c r="C2229" s="37"/>
      <c r="D2229" s="37"/>
      <c r="E2229" s="38" t="s">
        <v>2745</v>
      </c>
      <c r="F2229" s="38" t="s">
        <v>2740</v>
      </c>
      <c r="G2229" s="38">
        <v>3.61734092356E11</v>
      </c>
      <c r="H2229" s="38" t="s">
        <v>2741</v>
      </c>
      <c r="I2229" s="38" t="s">
        <v>2742</v>
      </c>
      <c r="J2229" s="38" t="s">
        <v>332</v>
      </c>
      <c r="K2229" s="38" t="s">
        <v>63</v>
      </c>
      <c r="L2229" s="41">
        <v>46007.25</v>
      </c>
      <c r="M2229" s="38" t="s">
        <v>123</v>
      </c>
      <c r="N2229" s="41">
        <v>46007.625</v>
      </c>
      <c r="O2229" s="38" t="s">
        <v>123</v>
      </c>
      <c r="P2229" s="38">
        <v>32400.0</v>
      </c>
      <c r="Q2229" s="39"/>
      <c r="R2229" s="39"/>
      <c r="S2229" s="39"/>
      <c r="T2229" s="39"/>
      <c r="U2229" s="39"/>
    </row>
    <row r="2230">
      <c r="A2230" s="40">
        <f t="shared" si="1"/>
        <v>46006</v>
      </c>
      <c r="B2230" s="37" t="str">
        <f t="array" ref="B2230">iferror(xlookup($I2230, 'IMPORT VHC Report'!$E:$E, 'IMPORT VHC Report'!$A:$C), )</f>
        <v/>
      </c>
      <c r="C2230" s="37"/>
      <c r="D2230" s="37"/>
      <c r="E2230" s="38" t="s">
        <v>2746</v>
      </c>
      <c r="F2230" s="38" t="s">
        <v>2740</v>
      </c>
      <c r="G2230" s="38">
        <v>3.61734092356E11</v>
      </c>
      <c r="H2230" s="38" t="s">
        <v>2741</v>
      </c>
      <c r="I2230" s="38" t="s">
        <v>2742</v>
      </c>
      <c r="J2230" s="38" t="s">
        <v>134</v>
      </c>
      <c r="K2230" s="38" t="s">
        <v>126</v>
      </c>
      <c r="L2230" s="41">
        <v>46007.5625</v>
      </c>
      <c r="M2230" s="38" t="s">
        <v>123</v>
      </c>
      <c r="N2230" s="41">
        <v>46007.583333333336</v>
      </c>
      <c r="O2230" s="38" t="s">
        <v>123</v>
      </c>
      <c r="P2230" s="38">
        <v>1800.0</v>
      </c>
      <c r="Q2230" s="39"/>
      <c r="R2230" s="39"/>
      <c r="S2230" s="39"/>
      <c r="T2230" s="39"/>
      <c r="U2230" s="39"/>
    </row>
    <row r="2231">
      <c r="A2231" s="40">
        <f t="shared" si="1"/>
        <v>46006</v>
      </c>
      <c r="B2231" s="37" t="str">
        <f t="array" ref="B2231">iferror(xlookup($I2231, 'IMPORT VHC Report'!$E:$E, 'IMPORT VHC Report'!$A:$C), )</f>
        <v/>
      </c>
      <c r="C2231" s="37"/>
      <c r="D2231" s="37"/>
      <c r="E2231" s="38" t="s">
        <v>2747</v>
      </c>
      <c r="F2231" s="38" t="s">
        <v>2740</v>
      </c>
      <c r="G2231" s="38">
        <v>3.61734092356E11</v>
      </c>
      <c r="H2231" s="38" t="s">
        <v>2741</v>
      </c>
      <c r="I2231" s="38" t="s">
        <v>2742</v>
      </c>
      <c r="J2231" s="38" t="s">
        <v>132</v>
      </c>
      <c r="K2231" s="38" t="s">
        <v>126</v>
      </c>
      <c r="L2231" s="41">
        <v>46007.583333333336</v>
      </c>
      <c r="M2231" s="38" t="s">
        <v>123</v>
      </c>
      <c r="N2231" s="41">
        <v>46007.625</v>
      </c>
      <c r="O2231" s="38" t="s">
        <v>123</v>
      </c>
      <c r="P2231" s="38">
        <v>3600.0</v>
      </c>
      <c r="Q2231" s="39"/>
      <c r="R2231" s="39"/>
      <c r="S2231" s="39"/>
      <c r="T2231" s="39"/>
      <c r="U2231" s="39"/>
    </row>
    <row r="2232">
      <c r="A2232" s="40">
        <f t="shared" si="1"/>
        <v>46006</v>
      </c>
      <c r="B2232" s="37" t="str">
        <f t="array" ref="B2232">iferror(xlookup($I2232, 'IMPORT VHC Report'!$E:$E, 'IMPORT VHC Report'!$A:$C), )</f>
        <v/>
      </c>
      <c r="C2232" s="37"/>
      <c r="D2232" s="37"/>
      <c r="E2232" s="38" t="s">
        <v>2748</v>
      </c>
      <c r="F2232" s="38" t="s">
        <v>2740</v>
      </c>
      <c r="G2232" s="38">
        <v>3.61734092356E11</v>
      </c>
      <c r="H2232" s="38" t="s">
        <v>2741</v>
      </c>
      <c r="I2232" s="38" t="s">
        <v>2742</v>
      </c>
      <c r="J2232" s="38" t="s">
        <v>132</v>
      </c>
      <c r="K2232" s="38" t="s">
        <v>126</v>
      </c>
      <c r="L2232" s="41">
        <v>46008.458333333336</v>
      </c>
      <c r="M2232" s="38" t="s">
        <v>123</v>
      </c>
      <c r="N2232" s="41">
        <v>46008.5</v>
      </c>
      <c r="O2232" s="38" t="s">
        <v>123</v>
      </c>
      <c r="P2232" s="38">
        <v>3600.0</v>
      </c>
      <c r="Q2232" s="39"/>
      <c r="R2232" s="39"/>
      <c r="S2232" s="39"/>
      <c r="T2232" s="39"/>
      <c r="U2232" s="39"/>
    </row>
    <row r="2233">
      <c r="A2233" s="40">
        <f t="shared" si="1"/>
        <v>46006</v>
      </c>
      <c r="B2233" s="37" t="str">
        <f t="array" ref="B2233">iferror(xlookup($I2233, 'IMPORT VHC Report'!$E:$E, 'IMPORT VHC Report'!$A:$C), )</f>
        <v/>
      </c>
      <c r="C2233" s="37"/>
      <c r="D2233" s="37"/>
      <c r="E2233" s="38" t="s">
        <v>2749</v>
      </c>
      <c r="F2233" s="38" t="s">
        <v>2740</v>
      </c>
      <c r="G2233" s="38">
        <v>3.61734092356E11</v>
      </c>
      <c r="H2233" s="38" t="s">
        <v>2741</v>
      </c>
      <c r="I2233" s="38" t="s">
        <v>2742</v>
      </c>
      <c r="J2233" s="38" t="s">
        <v>332</v>
      </c>
      <c r="K2233" s="38" t="s">
        <v>63</v>
      </c>
      <c r="L2233" s="41">
        <v>46008.458333333336</v>
      </c>
      <c r="M2233" s="38" t="s">
        <v>123</v>
      </c>
      <c r="N2233" s="41">
        <v>46008.833333333336</v>
      </c>
      <c r="O2233" s="38" t="s">
        <v>123</v>
      </c>
      <c r="P2233" s="38">
        <v>32400.0</v>
      </c>
      <c r="Q2233" s="39"/>
      <c r="R2233" s="39"/>
      <c r="S2233" s="39"/>
      <c r="T2233" s="39"/>
      <c r="U2233" s="39"/>
    </row>
    <row r="2234">
      <c r="A2234" s="40">
        <f t="shared" si="1"/>
        <v>46006</v>
      </c>
      <c r="B2234" s="37" t="str">
        <f t="array" ref="B2234">iferror(xlookup($I2234, 'IMPORT VHC Report'!$E:$E, 'IMPORT VHC Report'!$A:$C), )</f>
        <v/>
      </c>
      <c r="C2234" s="37"/>
      <c r="D2234" s="37"/>
      <c r="E2234" s="38" t="s">
        <v>2750</v>
      </c>
      <c r="F2234" s="38" t="s">
        <v>2740</v>
      </c>
      <c r="G2234" s="38">
        <v>3.61734092356E11</v>
      </c>
      <c r="H2234" s="38" t="s">
        <v>2741</v>
      </c>
      <c r="I2234" s="38" t="s">
        <v>2742</v>
      </c>
      <c r="J2234" s="38" t="s">
        <v>134</v>
      </c>
      <c r="K2234" s="38" t="s">
        <v>126</v>
      </c>
      <c r="L2234" s="41">
        <v>46008.5</v>
      </c>
      <c r="M2234" s="38" t="s">
        <v>123</v>
      </c>
      <c r="N2234" s="41">
        <v>46008.520833333336</v>
      </c>
      <c r="O2234" s="38" t="s">
        <v>123</v>
      </c>
      <c r="P2234" s="38">
        <v>1800.0</v>
      </c>
      <c r="Q2234" s="39"/>
      <c r="R2234" s="39"/>
      <c r="S2234" s="39"/>
      <c r="T2234" s="39"/>
      <c r="U2234" s="39"/>
    </row>
    <row r="2235">
      <c r="A2235" s="40">
        <f t="shared" si="1"/>
        <v>46006</v>
      </c>
      <c r="B2235" s="37" t="str">
        <f t="array" ref="B2235">iferror(xlookup($I2235, 'IMPORT VHC Report'!$E:$E, 'IMPORT VHC Report'!$A:$C), )</f>
        <v/>
      </c>
      <c r="C2235" s="37"/>
      <c r="D2235" s="37"/>
      <c r="E2235" s="38" t="s">
        <v>2751</v>
      </c>
      <c r="F2235" s="38" t="s">
        <v>2740</v>
      </c>
      <c r="G2235" s="38">
        <v>3.61734092356E11</v>
      </c>
      <c r="H2235" s="38" t="s">
        <v>2741</v>
      </c>
      <c r="I2235" s="38" t="s">
        <v>2742</v>
      </c>
      <c r="J2235" s="38" t="s">
        <v>136</v>
      </c>
      <c r="K2235" s="38" t="s">
        <v>126</v>
      </c>
      <c r="L2235" s="41">
        <v>46008.666666666664</v>
      </c>
      <c r="M2235" s="38" t="s">
        <v>123</v>
      </c>
      <c r="N2235" s="41">
        <v>46008.833333333336</v>
      </c>
      <c r="O2235" s="38" t="s">
        <v>123</v>
      </c>
      <c r="P2235" s="38">
        <v>14400.0</v>
      </c>
      <c r="Q2235" s="39"/>
      <c r="R2235" s="39"/>
      <c r="S2235" s="38" t="s">
        <v>1098</v>
      </c>
      <c r="T2235" s="39"/>
      <c r="U2235" s="39"/>
    </row>
    <row r="2236">
      <c r="A2236" s="40">
        <f t="shared" si="1"/>
        <v>46006</v>
      </c>
      <c r="B2236" s="37" t="str">
        <f t="array" ref="B2236">iferror(xlookup($I2236, 'IMPORT VHC Report'!$E:$E, 'IMPORT VHC Report'!$A:$C), )</f>
        <v/>
      </c>
      <c r="C2236" s="37"/>
      <c r="D2236" s="37"/>
      <c r="E2236" s="38" t="s">
        <v>2752</v>
      </c>
      <c r="F2236" s="38" t="s">
        <v>2740</v>
      </c>
      <c r="G2236" s="38">
        <v>3.61734092356E11</v>
      </c>
      <c r="H2236" s="38" t="s">
        <v>2741</v>
      </c>
      <c r="I2236" s="38" t="s">
        <v>2742</v>
      </c>
      <c r="J2236" s="38" t="s">
        <v>332</v>
      </c>
      <c r="K2236" s="38" t="s">
        <v>63</v>
      </c>
      <c r="L2236" s="41">
        <v>46009.333333333336</v>
      </c>
      <c r="M2236" s="38" t="s">
        <v>123</v>
      </c>
      <c r="N2236" s="41">
        <v>46009.375</v>
      </c>
      <c r="O2236" s="38" t="s">
        <v>123</v>
      </c>
      <c r="P2236" s="38">
        <v>3600.0</v>
      </c>
      <c r="Q2236" s="39"/>
      <c r="R2236" s="39"/>
      <c r="S2236" s="39"/>
      <c r="T2236" s="39"/>
      <c r="U2236" s="39"/>
    </row>
    <row r="2237">
      <c r="A2237" s="40">
        <f t="shared" si="1"/>
        <v>46006</v>
      </c>
      <c r="B2237" s="37" t="str">
        <f t="array" ref="B2237">iferror(xlookup($I2237, 'IMPORT VHC Report'!$E:$E, 'IMPORT VHC Report'!$A:$C), )</f>
        <v/>
      </c>
      <c r="C2237" s="37"/>
      <c r="D2237" s="37"/>
      <c r="E2237" s="38" t="s">
        <v>2753</v>
      </c>
      <c r="F2237" s="38" t="s">
        <v>2740</v>
      </c>
      <c r="G2237" s="38">
        <v>3.61734092356E11</v>
      </c>
      <c r="H2237" s="38" t="s">
        <v>2741</v>
      </c>
      <c r="I2237" s="38" t="s">
        <v>2742</v>
      </c>
      <c r="J2237" s="38" t="s">
        <v>62</v>
      </c>
      <c r="K2237" s="38" t="s">
        <v>63</v>
      </c>
      <c r="L2237" s="41">
        <v>46009.375</v>
      </c>
      <c r="M2237" s="38" t="s">
        <v>123</v>
      </c>
      <c r="N2237" s="41">
        <v>46009.458333333336</v>
      </c>
      <c r="O2237" s="38" t="s">
        <v>123</v>
      </c>
      <c r="P2237" s="38">
        <v>7200.0</v>
      </c>
      <c r="Q2237" s="39"/>
      <c r="R2237" s="39"/>
      <c r="S2237" s="39"/>
      <c r="T2237" s="39"/>
      <c r="U2237" s="39"/>
    </row>
    <row r="2238">
      <c r="A2238" s="40">
        <f t="shared" si="1"/>
        <v>46006</v>
      </c>
      <c r="B2238" s="37" t="str">
        <f t="array" ref="B2238">iferror(xlookup($I2238, 'IMPORT VHC Report'!$E:$E, 'IMPORT VHC Report'!$A:$C), )</f>
        <v/>
      </c>
      <c r="C2238" s="37"/>
      <c r="D2238" s="37"/>
      <c r="E2238" s="38" t="s">
        <v>2754</v>
      </c>
      <c r="F2238" s="38" t="s">
        <v>2740</v>
      </c>
      <c r="G2238" s="38">
        <v>3.61734092356E11</v>
      </c>
      <c r="H2238" s="38" t="s">
        <v>2741</v>
      </c>
      <c r="I2238" s="38" t="s">
        <v>2742</v>
      </c>
      <c r="J2238" s="38" t="s">
        <v>4</v>
      </c>
      <c r="K2238" s="38" t="s">
        <v>126</v>
      </c>
      <c r="L2238" s="41">
        <v>46009.416666666664</v>
      </c>
      <c r="M2238" s="38" t="s">
        <v>123</v>
      </c>
      <c r="N2238" s="41">
        <v>46009.458333333336</v>
      </c>
      <c r="O2238" s="38" t="s">
        <v>123</v>
      </c>
      <c r="P2238" s="38">
        <v>3600.0</v>
      </c>
      <c r="Q2238" s="39"/>
      <c r="R2238" s="39"/>
      <c r="S2238" s="38" t="s">
        <v>130</v>
      </c>
      <c r="T2238" s="39"/>
      <c r="U2238" s="39"/>
    </row>
    <row r="2239">
      <c r="A2239" s="40">
        <f t="shared" si="1"/>
        <v>46006</v>
      </c>
      <c r="B2239" s="37" t="str">
        <f t="array" ref="B2239">iferror(xlookup($I2239, 'IMPORT VHC Report'!$E:$E, 'IMPORT VHC Report'!$A:$C), )</f>
        <v/>
      </c>
      <c r="C2239" s="37"/>
      <c r="D2239" s="37"/>
      <c r="E2239" s="38" t="s">
        <v>2755</v>
      </c>
      <c r="F2239" s="38" t="s">
        <v>2740</v>
      </c>
      <c r="G2239" s="38">
        <v>3.61734092356E11</v>
      </c>
      <c r="H2239" s="38" t="s">
        <v>2741</v>
      </c>
      <c r="I2239" s="38" t="s">
        <v>2742</v>
      </c>
      <c r="J2239" s="38" t="s">
        <v>332</v>
      </c>
      <c r="K2239" s="38" t="s">
        <v>63</v>
      </c>
      <c r="L2239" s="41">
        <v>46009.458333333336</v>
      </c>
      <c r="M2239" s="38" t="s">
        <v>123</v>
      </c>
      <c r="N2239" s="41">
        <v>46009.708333333336</v>
      </c>
      <c r="O2239" s="38" t="s">
        <v>123</v>
      </c>
      <c r="P2239" s="38">
        <v>21600.0</v>
      </c>
      <c r="Q2239" s="39"/>
      <c r="R2239" s="39"/>
      <c r="S2239" s="39"/>
      <c r="T2239" s="39"/>
      <c r="U2239" s="39"/>
    </row>
    <row r="2240">
      <c r="A2240" s="40">
        <f t="shared" si="1"/>
        <v>46006</v>
      </c>
      <c r="B2240" s="37" t="str">
        <f t="array" ref="B2240">iferror(xlookup($I2240, 'IMPORT VHC Report'!$E:$E, 'IMPORT VHC Report'!$A:$C), )</f>
        <v/>
      </c>
      <c r="C2240" s="37"/>
      <c r="D2240" s="37"/>
      <c r="E2240" s="38" t="s">
        <v>2756</v>
      </c>
      <c r="F2240" s="38" t="s">
        <v>2740</v>
      </c>
      <c r="G2240" s="38">
        <v>3.61734092356E11</v>
      </c>
      <c r="H2240" s="38" t="s">
        <v>2741</v>
      </c>
      <c r="I2240" s="38" t="s">
        <v>2742</v>
      </c>
      <c r="J2240" s="38" t="s">
        <v>134</v>
      </c>
      <c r="K2240" s="38" t="s">
        <v>126</v>
      </c>
      <c r="L2240" s="41">
        <v>46009.645833333336</v>
      </c>
      <c r="M2240" s="38" t="s">
        <v>123</v>
      </c>
      <c r="N2240" s="41">
        <v>46009.666666666664</v>
      </c>
      <c r="O2240" s="38" t="s">
        <v>123</v>
      </c>
      <c r="P2240" s="38">
        <v>1800.0</v>
      </c>
      <c r="Q2240" s="39"/>
      <c r="R2240" s="39"/>
      <c r="S2240" s="39"/>
      <c r="T2240" s="39"/>
      <c r="U2240" s="39"/>
    </row>
    <row r="2241">
      <c r="A2241" s="40">
        <f t="shared" si="1"/>
        <v>46006</v>
      </c>
      <c r="B2241" s="37" t="str">
        <f t="array" ref="B2241">iferror(xlookup($I2241, 'IMPORT VHC Report'!$E:$E, 'IMPORT VHC Report'!$A:$C), )</f>
        <v/>
      </c>
      <c r="C2241" s="37"/>
      <c r="D2241" s="37"/>
      <c r="E2241" s="38" t="s">
        <v>2757</v>
      </c>
      <c r="F2241" s="38" t="s">
        <v>2740</v>
      </c>
      <c r="G2241" s="38">
        <v>3.61734092356E11</v>
      </c>
      <c r="H2241" s="38" t="s">
        <v>2741</v>
      </c>
      <c r="I2241" s="38" t="s">
        <v>2742</v>
      </c>
      <c r="J2241" s="38" t="s">
        <v>132</v>
      </c>
      <c r="K2241" s="38" t="s">
        <v>126</v>
      </c>
      <c r="L2241" s="41">
        <v>46009.666666666664</v>
      </c>
      <c r="M2241" s="38" t="s">
        <v>123</v>
      </c>
      <c r="N2241" s="41">
        <v>46009.708333333336</v>
      </c>
      <c r="O2241" s="38" t="s">
        <v>123</v>
      </c>
      <c r="P2241" s="38">
        <v>3600.0</v>
      </c>
      <c r="Q2241" s="39"/>
      <c r="R2241" s="39"/>
      <c r="S2241" s="39"/>
      <c r="T2241" s="39"/>
      <c r="U2241" s="39"/>
    </row>
    <row r="2242">
      <c r="A2242" s="40">
        <f t="shared" si="1"/>
        <v>46006</v>
      </c>
      <c r="B2242" s="37" t="str">
        <f t="array" ref="B2242">iferror(xlookup($I2242, 'IMPORT VHC Report'!$E:$E, 'IMPORT VHC Report'!$A:$C), )</f>
        <v/>
      </c>
      <c r="C2242" s="37"/>
      <c r="D2242" s="37"/>
      <c r="E2242" s="38" t="s">
        <v>2758</v>
      </c>
      <c r="F2242" s="38" t="s">
        <v>2740</v>
      </c>
      <c r="G2242" s="38">
        <v>3.61734092356E11</v>
      </c>
      <c r="H2242" s="38" t="s">
        <v>2741</v>
      </c>
      <c r="I2242" s="38" t="s">
        <v>2742</v>
      </c>
      <c r="J2242" s="38" t="s">
        <v>332</v>
      </c>
      <c r="K2242" s="38" t="s">
        <v>63</v>
      </c>
      <c r="L2242" s="41">
        <v>46012.25</v>
      </c>
      <c r="M2242" s="38" t="s">
        <v>123</v>
      </c>
      <c r="N2242" s="41">
        <v>46012.625</v>
      </c>
      <c r="O2242" s="38" t="s">
        <v>123</v>
      </c>
      <c r="P2242" s="38">
        <v>32400.0</v>
      </c>
      <c r="Q2242" s="39"/>
      <c r="R2242" s="39"/>
      <c r="S2242" s="39"/>
      <c r="T2242" s="39"/>
      <c r="U2242" s="39"/>
    </row>
    <row r="2243">
      <c r="A2243" s="40">
        <f t="shared" si="1"/>
        <v>46006</v>
      </c>
      <c r="B2243" s="37" t="str">
        <f t="array" ref="B2243">iferror(xlookup($I2243, 'IMPORT VHC Report'!$E:$E, 'IMPORT VHC Report'!$A:$C), )</f>
        <v/>
      </c>
      <c r="C2243" s="37"/>
      <c r="D2243" s="37"/>
      <c r="E2243" s="38" t="s">
        <v>2759</v>
      </c>
      <c r="F2243" s="38" t="s">
        <v>2740</v>
      </c>
      <c r="G2243" s="38">
        <v>3.61734092356E11</v>
      </c>
      <c r="H2243" s="38" t="s">
        <v>2741</v>
      </c>
      <c r="I2243" s="38" t="s">
        <v>2742</v>
      </c>
      <c r="J2243" s="38" t="s">
        <v>134</v>
      </c>
      <c r="K2243" s="38" t="s">
        <v>126</v>
      </c>
      <c r="L2243" s="41">
        <v>46012.5625</v>
      </c>
      <c r="M2243" s="38" t="s">
        <v>123</v>
      </c>
      <c r="N2243" s="41">
        <v>46012.583333333336</v>
      </c>
      <c r="O2243" s="38" t="s">
        <v>123</v>
      </c>
      <c r="P2243" s="38">
        <v>1800.0</v>
      </c>
      <c r="Q2243" s="39"/>
      <c r="R2243" s="39"/>
      <c r="S2243" s="39"/>
      <c r="T2243" s="39"/>
      <c r="U2243" s="39"/>
    </row>
    <row r="2244">
      <c r="A2244" s="40">
        <f t="shared" si="1"/>
        <v>46006</v>
      </c>
      <c r="B2244" s="37" t="str">
        <f t="array" ref="B2244">iferror(xlookup($I2244, 'IMPORT VHC Report'!$E:$E, 'IMPORT VHC Report'!$A:$C), )</f>
        <v/>
      </c>
      <c r="C2244" s="37"/>
      <c r="D2244" s="37"/>
      <c r="E2244" s="38" t="s">
        <v>2760</v>
      </c>
      <c r="F2244" s="38" t="s">
        <v>2740</v>
      </c>
      <c r="G2244" s="38">
        <v>3.61734092356E11</v>
      </c>
      <c r="H2244" s="38" t="s">
        <v>2741</v>
      </c>
      <c r="I2244" s="38" t="s">
        <v>2742</v>
      </c>
      <c r="J2244" s="38" t="s">
        <v>132</v>
      </c>
      <c r="K2244" s="38" t="s">
        <v>126</v>
      </c>
      <c r="L2244" s="41">
        <v>46012.583333333336</v>
      </c>
      <c r="M2244" s="38" t="s">
        <v>123</v>
      </c>
      <c r="N2244" s="41">
        <v>46012.625</v>
      </c>
      <c r="O2244" s="38" t="s">
        <v>123</v>
      </c>
      <c r="P2244" s="38">
        <v>3600.0</v>
      </c>
      <c r="Q2244" s="39"/>
      <c r="R2244" s="39"/>
      <c r="S2244" s="39"/>
      <c r="T2244" s="39"/>
      <c r="U2244" s="39"/>
    </row>
    <row r="2245">
      <c r="A2245" s="40">
        <f t="shared" si="1"/>
        <v>46006</v>
      </c>
      <c r="B2245" s="37" t="str">
        <f t="array" ref="B2245">iferror(xlookup($I2245, 'IMPORT VHC Report'!$E:$E, 'IMPORT VHC Report'!$A:$C), )</f>
        <v/>
      </c>
      <c r="C2245" s="37"/>
      <c r="D2245" s="37"/>
      <c r="E2245" s="38" t="s">
        <v>2761</v>
      </c>
      <c r="F2245" s="38" t="s">
        <v>2762</v>
      </c>
      <c r="G2245" s="38">
        <v>3.61725374736E11</v>
      </c>
      <c r="H2245" s="38" t="s">
        <v>2763</v>
      </c>
      <c r="I2245" s="38" t="s">
        <v>2764</v>
      </c>
      <c r="J2245" s="38" t="s">
        <v>4</v>
      </c>
      <c r="K2245" s="38" t="s">
        <v>126</v>
      </c>
      <c r="L2245" s="41">
        <v>46006.25</v>
      </c>
      <c r="M2245" s="38" t="s">
        <v>123</v>
      </c>
      <c r="N2245" s="41">
        <v>46006.260416666664</v>
      </c>
      <c r="O2245" s="38" t="s">
        <v>123</v>
      </c>
      <c r="P2245" s="38">
        <v>900.0</v>
      </c>
      <c r="Q2245" s="39"/>
      <c r="R2245" s="39"/>
      <c r="S2245" s="38" t="s">
        <v>632</v>
      </c>
      <c r="T2245" s="39"/>
      <c r="U2245" s="39"/>
    </row>
    <row r="2246">
      <c r="A2246" s="40">
        <f t="shared" si="1"/>
        <v>46006</v>
      </c>
      <c r="B2246" s="37" t="str">
        <f t="array" ref="B2246">iferror(xlookup($I2246, 'IMPORT VHC Report'!$E:$E, 'IMPORT VHC Report'!$A:$C), )</f>
        <v/>
      </c>
      <c r="C2246" s="37"/>
      <c r="D2246" s="37"/>
      <c r="E2246" s="38" t="s">
        <v>2765</v>
      </c>
      <c r="F2246" s="38" t="s">
        <v>2762</v>
      </c>
      <c r="G2246" s="38">
        <v>3.61725374736E11</v>
      </c>
      <c r="H2246" s="38" t="s">
        <v>2763</v>
      </c>
      <c r="I2246" s="38" t="s">
        <v>2764</v>
      </c>
      <c r="J2246" s="38" t="s">
        <v>368</v>
      </c>
      <c r="K2246" s="38" t="s">
        <v>63</v>
      </c>
      <c r="L2246" s="41">
        <v>46006.25</v>
      </c>
      <c r="M2246" s="38" t="s">
        <v>123</v>
      </c>
      <c r="N2246" s="41">
        <v>46006.625</v>
      </c>
      <c r="O2246" s="38" t="s">
        <v>123</v>
      </c>
      <c r="P2246" s="38">
        <v>32400.0</v>
      </c>
      <c r="Q2246" s="39"/>
      <c r="R2246" s="39"/>
      <c r="S2246" s="39"/>
      <c r="T2246" s="39"/>
      <c r="U2246" s="39"/>
    </row>
    <row r="2247">
      <c r="A2247" s="40">
        <f t="shared" si="1"/>
        <v>46006</v>
      </c>
      <c r="B2247" s="37" t="str">
        <f t="array" ref="B2247">iferror(xlookup($I2247, 'IMPORT VHC Report'!$E:$E, 'IMPORT VHC Report'!$A:$C), )</f>
        <v/>
      </c>
      <c r="C2247" s="37"/>
      <c r="D2247" s="37"/>
      <c r="E2247" s="38" t="s">
        <v>2766</v>
      </c>
      <c r="F2247" s="38" t="s">
        <v>2762</v>
      </c>
      <c r="G2247" s="38">
        <v>3.61725374736E11</v>
      </c>
      <c r="H2247" s="38" t="s">
        <v>2763</v>
      </c>
      <c r="I2247" s="38" t="s">
        <v>2764</v>
      </c>
      <c r="J2247" s="38" t="s">
        <v>136</v>
      </c>
      <c r="K2247" s="38" t="s">
        <v>126</v>
      </c>
      <c r="L2247" s="41">
        <v>46006.291666666664</v>
      </c>
      <c r="M2247" s="38" t="s">
        <v>123</v>
      </c>
      <c r="N2247" s="41">
        <v>46006.3125</v>
      </c>
      <c r="O2247" s="38" t="s">
        <v>123</v>
      </c>
      <c r="P2247" s="38">
        <v>1800.0</v>
      </c>
      <c r="Q2247" s="39"/>
      <c r="R2247" s="39"/>
      <c r="S2247" s="38" t="s">
        <v>2270</v>
      </c>
      <c r="T2247" s="39"/>
      <c r="U2247" s="39"/>
    </row>
    <row r="2248">
      <c r="A2248" s="40">
        <f t="shared" si="1"/>
        <v>46006</v>
      </c>
      <c r="B2248" s="37" t="str">
        <f t="array" ref="B2248">iferror(xlookup($I2248, 'IMPORT VHC Report'!$E:$E, 'IMPORT VHC Report'!$A:$C), )</f>
        <v/>
      </c>
      <c r="C2248" s="37"/>
      <c r="D2248" s="37"/>
      <c r="E2248" s="38" t="s">
        <v>2767</v>
      </c>
      <c r="F2248" s="38" t="s">
        <v>2762</v>
      </c>
      <c r="G2248" s="38">
        <v>3.61725374736E11</v>
      </c>
      <c r="H2248" s="38" t="s">
        <v>2763</v>
      </c>
      <c r="I2248" s="38" t="s">
        <v>2764</v>
      </c>
      <c r="J2248" s="38" t="s">
        <v>134</v>
      </c>
      <c r="K2248" s="38" t="s">
        <v>126</v>
      </c>
      <c r="L2248" s="41">
        <v>46006.385416666664</v>
      </c>
      <c r="M2248" s="38" t="s">
        <v>123</v>
      </c>
      <c r="N2248" s="41">
        <v>46006.40625</v>
      </c>
      <c r="O2248" s="38" t="s">
        <v>123</v>
      </c>
      <c r="P2248" s="38">
        <v>1800.0</v>
      </c>
      <c r="Q2248" s="39"/>
      <c r="R2248" s="39"/>
      <c r="S2248" s="39"/>
      <c r="T2248" s="39"/>
      <c r="U2248" s="39"/>
    </row>
    <row r="2249">
      <c r="A2249" s="40">
        <f t="shared" si="1"/>
        <v>46006</v>
      </c>
      <c r="B2249" s="37" t="str">
        <f t="array" ref="B2249">iferror(xlookup($I2249, 'IMPORT VHC Report'!$E:$E, 'IMPORT VHC Report'!$A:$C), )</f>
        <v/>
      </c>
      <c r="C2249" s="37"/>
      <c r="D2249" s="37"/>
      <c r="E2249" s="38" t="s">
        <v>2768</v>
      </c>
      <c r="F2249" s="38" t="s">
        <v>2762</v>
      </c>
      <c r="G2249" s="38">
        <v>3.61725374736E11</v>
      </c>
      <c r="H2249" s="38" t="s">
        <v>2763</v>
      </c>
      <c r="I2249" s="38" t="s">
        <v>2764</v>
      </c>
      <c r="J2249" s="38" t="s">
        <v>132</v>
      </c>
      <c r="K2249" s="38" t="s">
        <v>126</v>
      </c>
      <c r="L2249" s="41">
        <v>46006.489583333336</v>
      </c>
      <c r="M2249" s="38" t="s">
        <v>123</v>
      </c>
      <c r="N2249" s="41">
        <v>46006.53125</v>
      </c>
      <c r="O2249" s="38" t="s">
        <v>123</v>
      </c>
      <c r="P2249" s="38">
        <v>3600.0</v>
      </c>
      <c r="Q2249" s="39"/>
      <c r="R2249" s="39"/>
      <c r="S2249" s="39"/>
      <c r="T2249" s="39"/>
      <c r="U2249" s="39"/>
    </row>
    <row r="2250">
      <c r="A2250" s="40">
        <f t="shared" si="1"/>
        <v>46006</v>
      </c>
      <c r="B2250" s="37" t="str">
        <f t="array" ref="B2250">iferror(xlookup($I2250, 'IMPORT VHC Report'!$E:$E, 'IMPORT VHC Report'!$A:$C), )</f>
        <v/>
      </c>
      <c r="C2250" s="37"/>
      <c r="D2250" s="37"/>
      <c r="E2250" s="38" t="s">
        <v>2769</v>
      </c>
      <c r="F2250" s="38" t="s">
        <v>2762</v>
      </c>
      <c r="G2250" s="38">
        <v>3.61725374736E11</v>
      </c>
      <c r="H2250" s="38" t="s">
        <v>2763</v>
      </c>
      <c r="I2250" s="38" t="s">
        <v>2764</v>
      </c>
      <c r="J2250" s="38" t="s">
        <v>152</v>
      </c>
      <c r="K2250" s="38" t="s">
        <v>153</v>
      </c>
      <c r="L2250" s="41">
        <v>46007.25</v>
      </c>
      <c r="M2250" s="38" t="s">
        <v>123</v>
      </c>
      <c r="N2250" s="41">
        <v>46007.625</v>
      </c>
      <c r="O2250" s="38" t="s">
        <v>123</v>
      </c>
      <c r="P2250" s="38">
        <v>32400.0</v>
      </c>
      <c r="Q2250" s="38">
        <v>32400.0</v>
      </c>
      <c r="R2250" s="39"/>
      <c r="S2250" s="39"/>
      <c r="T2250" s="39"/>
      <c r="U2250" s="39"/>
    </row>
    <row r="2251">
      <c r="A2251" s="40">
        <f t="shared" si="1"/>
        <v>46006</v>
      </c>
      <c r="B2251" s="37" t="str">
        <f t="array" ref="B2251">iferror(xlookup($I2251, 'IMPORT VHC Report'!$E:$E, 'IMPORT VHC Report'!$A:$C), )</f>
        <v/>
      </c>
      <c r="C2251" s="37"/>
      <c r="D2251" s="37"/>
      <c r="E2251" s="38" t="s">
        <v>2770</v>
      </c>
      <c r="F2251" s="38" t="s">
        <v>2762</v>
      </c>
      <c r="G2251" s="38">
        <v>3.61725374736E11</v>
      </c>
      <c r="H2251" s="38" t="s">
        <v>2763</v>
      </c>
      <c r="I2251" s="38" t="s">
        <v>2764</v>
      </c>
      <c r="J2251" s="38" t="s">
        <v>136</v>
      </c>
      <c r="K2251" s="38" t="s">
        <v>126</v>
      </c>
      <c r="L2251" s="41">
        <v>46007.291666666664</v>
      </c>
      <c r="M2251" s="38" t="s">
        <v>123</v>
      </c>
      <c r="N2251" s="41">
        <v>46007.3125</v>
      </c>
      <c r="O2251" s="38" t="s">
        <v>123</v>
      </c>
      <c r="P2251" s="38">
        <v>1800.0</v>
      </c>
      <c r="Q2251" s="39"/>
      <c r="R2251" s="39"/>
      <c r="S2251" s="38" t="s">
        <v>2270</v>
      </c>
      <c r="T2251" s="39"/>
      <c r="U2251" s="39"/>
    </row>
    <row r="2252">
      <c r="A2252" s="40">
        <f t="shared" si="1"/>
        <v>46006</v>
      </c>
      <c r="B2252" s="37" t="str">
        <f t="array" ref="B2252">iferror(xlookup($I2252, 'IMPORT VHC Report'!$E:$E, 'IMPORT VHC Report'!$A:$C), )</f>
        <v/>
      </c>
      <c r="C2252" s="37"/>
      <c r="D2252" s="37"/>
      <c r="E2252" s="38" t="s">
        <v>2771</v>
      </c>
      <c r="F2252" s="38" t="s">
        <v>2762</v>
      </c>
      <c r="G2252" s="38">
        <v>3.61725374736E11</v>
      </c>
      <c r="H2252" s="38" t="s">
        <v>2763</v>
      </c>
      <c r="I2252" s="38" t="s">
        <v>2764</v>
      </c>
      <c r="J2252" s="38" t="s">
        <v>134</v>
      </c>
      <c r="K2252" s="38" t="s">
        <v>126</v>
      </c>
      <c r="L2252" s="41">
        <v>46007.40625</v>
      </c>
      <c r="M2252" s="38" t="s">
        <v>123</v>
      </c>
      <c r="N2252" s="41">
        <v>46007.427083333336</v>
      </c>
      <c r="O2252" s="38" t="s">
        <v>123</v>
      </c>
      <c r="P2252" s="38">
        <v>1800.0</v>
      </c>
      <c r="Q2252" s="39"/>
      <c r="R2252" s="39"/>
      <c r="S2252" s="39"/>
      <c r="T2252" s="39"/>
      <c r="U2252" s="39"/>
    </row>
    <row r="2253">
      <c r="A2253" s="40">
        <f t="shared" si="1"/>
        <v>46006</v>
      </c>
      <c r="B2253" s="37" t="str">
        <f t="array" ref="B2253">iferror(xlookup($I2253, 'IMPORT VHC Report'!$E:$E, 'IMPORT VHC Report'!$A:$C), )</f>
        <v/>
      </c>
      <c r="C2253" s="37"/>
      <c r="D2253" s="37"/>
      <c r="E2253" s="38" t="s">
        <v>2772</v>
      </c>
      <c r="F2253" s="38" t="s">
        <v>2762</v>
      </c>
      <c r="G2253" s="38">
        <v>3.61725374736E11</v>
      </c>
      <c r="H2253" s="38" t="s">
        <v>2763</v>
      </c>
      <c r="I2253" s="38" t="s">
        <v>2764</v>
      </c>
      <c r="J2253" s="38" t="s">
        <v>132</v>
      </c>
      <c r="K2253" s="38" t="s">
        <v>126</v>
      </c>
      <c r="L2253" s="41">
        <v>46007.541666666664</v>
      </c>
      <c r="M2253" s="38" t="s">
        <v>123</v>
      </c>
      <c r="N2253" s="41">
        <v>46007.583333333336</v>
      </c>
      <c r="O2253" s="38" t="s">
        <v>123</v>
      </c>
      <c r="P2253" s="38">
        <v>3600.0</v>
      </c>
      <c r="Q2253" s="39"/>
      <c r="R2253" s="39"/>
      <c r="S2253" s="39"/>
      <c r="T2253" s="39"/>
      <c r="U2253" s="39"/>
    </row>
    <row r="2254">
      <c r="A2254" s="40">
        <f t="shared" si="1"/>
        <v>46006</v>
      </c>
      <c r="B2254" s="37" t="str">
        <f t="array" ref="B2254">iferror(xlookup($I2254, 'IMPORT VHC Report'!$E:$E, 'IMPORT VHC Report'!$A:$C), )</f>
        <v/>
      </c>
      <c r="C2254" s="37"/>
      <c r="D2254" s="37"/>
      <c r="E2254" s="38" t="s">
        <v>2773</v>
      </c>
      <c r="F2254" s="38" t="s">
        <v>2762</v>
      </c>
      <c r="G2254" s="38">
        <v>3.61725374736E11</v>
      </c>
      <c r="H2254" s="38" t="s">
        <v>2763</v>
      </c>
      <c r="I2254" s="38" t="s">
        <v>2764</v>
      </c>
      <c r="J2254" s="38" t="s">
        <v>152</v>
      </c>
      <c r="K2254" s="38" t="s">
        <v>153</v>
      </c>
      <c r="L2254" s="41">
        <v>46008.25</v>
      </c>
      <c r="M2254" s="38" t="s">
        <v>123</v>
      </c>
      <c r="N2254" s="41">
        <v>46008.625</v>
      </c>
      <c r="O2254" s="38" t="s">
        <v>123</v>
      </c>
      <c r="P2254" s="38">
        <v>32400.0</v>
      </c>
      <c r="Q2254" s="38">
        <v>32400.0</v>
      </c>
      <c r="R2254" s="39"/>
      <c r="S2254" s="39"/>
      <c r="T2254" s="39"/>
      <c r="U2254" s="39"/>
    </row>
    <row r="2255">
      <c r="A2255" s="40">
        <f t="shared" si="1"/>
        <v>46006</v>
      </c>
      <c r="B2255" s="37" t="str">
        <f t="array" ref="B2255">iferror(xlookup($I2255, 'IMPORT VHC Report'!$E:$E, 'IMPORT VHC Report'!$A:$C), )</f>
        <v/>
      </c>
      <c r="C2255" s="37"/>
      <c r="D2255" s="37"/>
      <c r="E2255" s="38" t="s">
        <v>2774</v>
      </c>
      <c r="F2255" s="38" t="s">
        <v>2762</v>
      </c>
      <c r="G2255" s="38">
        <v>3.61725374736E11</v>
      </c>
      <c r="H2255" s="38" t="s">
        <v>2763</v>
      </c>
      <c r="I2255" s="38" t="s">
        <v>2764</v>
      </c>
      <c r="J2255" s="38" t="s">
        <v>134</v>
      </c>
      <c r="K2255" s="38" t="s">
        <v>126</v>
      </c>
      <c r="L2255" s="41">
        <v>46008.427083333336</v>
      </c>
      <c r="M2255" s="38" t="s">
        <v>123</v>
      </c>
      <c r="N2255" s="41">
        <v>46008.447916666664</v>
      </c>
      <c r="O2255" s="38" t="s">
        <v>123</v>
      </c>
      <c r="P2255" s="38">
        <v>1800.0</v>
      </c>
      <c r="Q2255" s="39"/>
      <c r="R2255" s="39"/>
      <c r="S2255" s="39"/>
      <c r="T2255" s="39"/>
      <c r="U2255" s="39"/>
    </row>
    <row r="2256">
      <c r="A2256" s="40">
        <f t="shared" si="1"/>
        <v>46006</v>
      </c>
      <c r="B2256" s="37" t="str">
        <f t="array" ref="B2256">iferror(xlookup($I2256, 'IMPORT VHC Report'!$E:$E, 'IMPORT VHC Report'!$A:$C), )</f>
        <v/>
      </c>
      <c r="C2256" s="37"/>
      <c r="D2256" s="37"/>
      <c r="E2256" s="38" t="s">
        <v>2775</v>
      </c>
      <c r="F2256" s="38" t="s">
        <v>2762</v>
      </c>
      <c r="G2256" s="38">
        <v>3.61725374736E11</v>
      </c>
      <c r="H2256" s="38" t="s">
        <v>2763</v>
      </c>
      <c r="I2256" s="38" t="s">
        <v>2764</v>
      </c>
      <c r="J2256" s="38" t="s">
        <v>132</v>
      </c>
      <c r="K2256" s="38" t="s">
        <v>126</v>
      </c>
      <c r="L2256" s="41">
        <v>46008.541666666664</v>
      </c>
      <c r="M2256" s="38" t="s">
        <v>123</v>
      </c>
      <c r="N2256" s="41">
        <v>46008.583333333336</v>
      </c>
      <c r="O2256" s="38" t="s">
        <v>123</v>
      </c>
      <c r="P2256" s="38">
        <v>3600.0</v>
      </c>
      <c r="Q2256" s="39"/>
      <c r="R2256" s="39"/>
      <c r="S2256" s="39"/>
      <c r="T2256" s="39"/>
      <c r="U2256" s="39"/>
    </row>
    <row r="2257">
      <c r="A2257" s="40">
        <f t="shared" si="1"/>
        <v>46006</v>
      </c>
      <c r="B2257" s="37" t="str">
        <f t="array" ref="B2257">iferror(xlookup($I2257, 'IMPORT VHC Report'!$E:$E, 'IMPORT VHC Report'!$A:$C), )</f>
        <v/>
      </c>
      <c r="C2257" s="37"/>
      <c r="D2257" s="37"/>
      <c r="E2257" s="38" t="s">
        <v>2776</v>
      </c>
      <c r="F2257" s="38" t="s">
        <v>2762</v>
      </c>
      <c r="G2257" s="38">
        <v>3.61725374736E11</v>
      </c>
      <c r="H2257" s="38" t="s">
        <v>2763</v>
      </c>
      <c r="I2257" s="38" t="s">
        <v>2764</v>
      </c>
      <c r="J2257" s="38" t="s">
        <v>152</v>
      </c>
      <c r="K2257" s="38" t="s">
        <v>153</v>
      </c>
      <c r="L2257" s="41">
        <v>46009.25</v>
      </c>
      <c r="M2257" s="38" t="s">
        <v>123</v>
      </c>
      <c r="N2257" s="41">
        <v>46009.625</v>
      </c>
      <c r="O2257" s="38" t="s">
        <v>123</v>
      </c>
      <c r="P2257" s="38">
        <v>32400.0</v>
      </c>
      <c r="Q2257" s="38">
        <v>32400.0</v>
      </c>
      <c r="R2257" s="39"/>
      <c r="S2257" s="39"/>
      <c r="T2257" s="39"/>
      <c r="U2257" s="39"/>
    </row>
    <row r="2258">
      <c r="A2258" s="40">
        <f t="shared" si="1"/>
        <v>46006</v>
      </c>
      <c r="B2258" s="37" t="str">
        <f t="array" ref="B2258">iferror(xlookup($I2258, 'IMPORT VHC Report'!$E:$E, 'IMPORT VHC Report'!$A:$C), )</f>
        <v/>
      </c>
      <c r="C2258" s="37"/>
      <c r="D2258" s="37"/>
      <c r="E2258" s="38" t="s">
        <v>2777</v>
      </c>
      <c r="F2258" s="38" t="s">
        <v>2762</v>
      </c>
      <c r="G2258" s="38">
        <v>3.61725374736E11</v>
      </c>
      <c r="H2258" s="38" t="s">
        <v>2763</v>
      </c>
      <c r="I2258" s="38" t="s">
        <v>2764</v>
      </c>
      <c r="J2258" s="38" t="s">
        <v>134</v>
      </c>
      <c r="K2258" s="38" t="s">
        <v>126</v>
      </c>
      <c r="L2258" s="41">
        <v>46009.385416666664</v>
      </c>
      <c r="M2258" s="38" t="s">
        <v>123</v>
      </c>
      <c r="N2258" s="41">
        <v>46009.40625</v>
      </c>
      <c r="O2258" s="38" t="s">
        <v>123</v>
      </c>
      <c r="P2258" s="38">
        <v>1800.0</v>
      </c>
      <c r="Q2258" s="39"/>
      <c r="R2258" s="39"/>
      <c r="S2258" s="39"/>
      <c r="T2258" s="39"/>
      <c r="U2258" s="39"/>
    </row>
    <row r="2259">
      <c r="A2259" s="40">
        <f t="shared" si="1"/>
        <v>46006</v>
      </c>
      <c r="B2259" s="37" t="str">
        <f t="array" ref="B2259">iferror(xlookup($I2259, 'IMPORT VHC Report'!$E:$E, 'IMPORT VHC Report'!$A:$C), )</f>
        <v/>
      </c>
      <c r="C2259" s="37"/>
      <c r="D2259" s="37"/>
      <c r="E2259" s="38" t="s">
        <v>2778</v>
      </c>
      <c r="F2259" s="38" t="s">
        <v>2762</v>
      </c>
      <c r="G2259" s="38">
        <v>3.61725374736E11</v>
      </c>
      <c r="H2259" s="38" t="s">
        <v>2763</v>
      </c>
      <c r="I2259" s="38" t="s">
        <v>2764</v>
      </c>
      <c r="J2259" s="38" t="s">
        <v>132</v>
      </c>
      <c r="K2259" s="38" t="s">
        <v>126</v>
      </c>
      <c r="L2259" s="41">
        <v>46009.520833333336</v>
      </c>
      <c r="M2259" s="38" t="s">
        <v>123</v>
      </c>
      <c r="N2259" s="41">
        <v>46009.5625</v>
      </c>
      <c r="O2259" s="38" t="s">
        <v>123</v>
      </c>
      <c r="P2259" s="38">
        <v>3600.0</v>
      </c>
      <c r="Q2259" s="39"/>
      <c r="R2259" s="39"/>
      <c r="S2259" s="39"/>
      <c r="T2259" s="39"/>
      <c r="U2259" s="39"/>
    </row>
    <row r="2260">
      <c r="A2260" s="40">
        <f t="shared" si="1"/>
        <v>46006</v>
      </c>
      <c r="B2260" s="37" t="str">
        <f t="array" ref="B2260">iferror(xlookup($I2260, 'IMPORT VHC Report'!$E:$E, 'IMPORT VHC Report'!$A:$C), )</f>
        <v/>
      </c>
      <c r="C2260" s="37"/>
      <c r="D2260" s="37"/>
      <c r="E2260" s="38" t="s">
        <v>2779</v>
      </c>
      <c r="F2260" s="38" t="s">
        <v>2762</v>
      </c>
      <c r="G2260" s="38">
        <v>3.61725374736E11</v>
      </c>
      <c r="H2260" s="38" t="s">
        <v>2763</v>
      </c>
      <c r="I2260" s="38" t="s">
        <v>2764</v>
      </c>
      <c r="J2260" s="38" t="s">
        <v>368</v>
      </c>
      <c r="K2260" s="38" t="s">
        <v>63</v>
      </c>
      <c r="L2260" s="41">
        <v>46010.25</v>
      </c>
      <c r="M2260" s="38" t="s">
        <v>123</v>
      </c>
      <c r="N2260" s="41">
        <v>46010.625</v>
      </c>
      <c r="O2260" s="38" t="s">
        <v>123</v>
      </c>
      <c r="P2260" s="38">
        <v>32400.0</v>
      </c>
      <c r="Q2260" s="39"/>
      <c r="R2260" s="39"/>
      <c r="S2260" s="39"/>
      <c r="T2260" s="39"/>
      <c r="U2260" s="39"/>
    </row>
    <row r="2261">
      <c r="A2261" s="40">
        <f t="shared" si="1"/>
        <v>46006</v>
      </c>
      <c r="B2261" s="37" t="str">
        <f t="array" ref="B2261">iferror(xlookup($I2261, 'IMPORT VHC Report'!$E:$E, 'IMPORT VHC Report'!$A:$C), )</f>
        <v/>
      </c>
      <c r="C2261" s="37"/>
      <c r="D2261" s="37"/>
      <c r="E2261" s="38" t="s">
        <v>2780</v>
      </c>
      <c r="F2261" s="38" t="s">
        <v>2762</v>
      </c>
      <c r="G2261" s="38">
        <v>3.61725374736E11</v>
      </c>
      <c r="H2261" s="38" t="s">
        <v>2763</v>
      </c>
      <c r="I2261" s="38" t="s">
        <v>2764</v>
      </c>
      <c r="J2261" s="38" t="s">
        <v>134</v>
      </c>
      <c r="K2261" s="38" t="s">
        <v>126</v>
      </c>
      <c r="L2261" s="41">
        <v>46010.395833333336</v>
      </c>
      <c r="M2261" s="38" t="s">
        <v>123</v>
      </c>
      <c r="N2261" s="41">
        <v>46010.416666666664</v>
      </c>
      <c r="O2261" s="38" t="s">
        <v>123</v>
      </c>
      <c r="P2261" s="38">
        <v>1800.0</v>
      </c>
      <c r="Q2261" s="39"/>
      <c r="R2261" s="39"/>
      <c r="S2261" s="39"/>
      <c r="T2261" s="39"/>
      <c r="U2261" s="39"/>
    </row>
    <row r="2262">
      <c r="A2262" s="40">
        <f t="shared" si="1"/>
        <v>46006</v>
      </c>
      <c r="B2262" s="37" t="str">
        <f t="array" ref="B2262">iferror(xlookup($I2262, 'IMPORT VHC Report'!$E:$E, 'IMPORT VHC Report'!$A:$C), )</f>
        <v/>
      </c>
      <c r="C2262" s="37"/>
      <c r="D2262" s="37"/>
      <c r="E2262" s="38" t="s">
        <v>2781</v>
      </c>
      <c r="F2262" s="38" t="s">
        <v>2762</v>
      </c>
      <c r="G2262" s="38">
        <v>3.61725374736E11</v>
      </c>
      <c r="H2262" s="38" t="s">
        <v>2763</v>
      </c>
      <c r="I2262" s="38" t="s">
        <v>2764</v>
      </c>
      <c r="J2262" s="38" t="s">
        <v>132</v>
      </c>
      <c r="K2262" s="38" t="s">
        <v>126</v>
      </c>
      <c r="L2262" s="41">
        <v>46010.5</v>
      </c>
      <c r="M2262" s="38" t="s">
        <v>123</v>
      </c>
      <c r="N2262" s="41">
        <v>46010.541666666664</v>
      </c>
      <c r="O2262" s="38" t="s">
        <v>123</v>
      </c>
      <c r="P2262" s="38">
        <v>3600.0</v>
      </c>
      <c r="Q2262" s="39"/>
      <c r="R2262" s="39"/>
      <c r="S2262" s="39"/>
      <c r="T2262" s="39"/>
      <c r="U2262" s="39"/>
    </row>
    <row r="2263">
      <c r="A2263" s="40">
        <f t="shared" si="1"/>
        <v>46006</v>
      </c>
      <c r="B2263" s="37" t="str">
        <f t="array" ref="B2263">iferror(xlookup($I2263, 'IMPORT VHC Report'!$E:$E, 'IMPORT VHC Report'!$A:$C), )</f>
        <v/>
      </c>
      <c r="C2263" s="37"/>
      <c r="D2263" s="37"/>
      <c r="E2263" s="38" t="s">
        <v>2782</v>
      </c>
      <c r="F2263" s="38" t="s">
        <v>2783</v>
      </c>
      <c r="G2263" s="38">
        <v>7.235815910671E12</v>
      </c>
      <c r="H2263" s="38" t="s">
        <v>2784</v>
      </c>
      <c r="I2263" s="38" t="s">
        <v>2785</v>
      </c>
      <c r="J2263" s="38" t="s">
        <v>791</v>
      </c>
      <c r="K2263" s="38" t="s">
        <v>63</v>
      </c>
      <c r="L2263" s="41">
        <v>46006.25</v>
      </c>
      <c r="M2263" s="38" t="s">
        <v>123</v>
      </c>
      <c r="N2263" s="41">
        <v>46006.625</v>
      </c>
      <c r="O2263" s="38" t="s">
        <v>123</v>
      </c>
      <c r="P2263" s="38">
        <v>32400.0</v>
      </c>
      <c r="Q2263" s="39"/>
      <c r="R2263" s="39"/>
      <c r="S2263" s="39"/>
      <c r="T2263" s="39"/>
      <c r="U2263" s="39"/>
    </row>
    <row r="2264">
      <c r="A2264" s="40">
        <f t="shared" si="1"/>
        <v>46006</v>
      </c>
      <c r="B2264" s="37" t="str">
        <f t="array" ref="B2264">iferror(xlookup($I2264, 'IMPORT VHC Report'!$E:$E, 'IMPORT VHC Report'!$A:$C), )</f>
        <v/>
      </c>
      <c r="C2264" s="37"/>
      <c r="D2264" s="37"/>
      <c r="E2264" s="38" t="s">
        <v>2786</v>
      </c>
      <c r="F2264" s="38" t="s">
        <v>2783</v>
      </c>
      <c r="G2264" s="38">
        <v>7.235815910671E12</v>
      </c>
      <c r="H2264" s="38" t="s">
        <v>2784</v>
      </c>
      <c r="I2264" s="38" t="s">
        <v>2785</v>
      </c>
      <c r="J2264" s="38" t="s">
        <v>178</v>
      </c>
      <c r="K2264" s="38" t="s">
        <v>153</v>
      </c>
      <c r="L2264" s="41">
        <v>46006.25</v>
      </c>
      <c r="M2264" s="38" t="s">
        <v>123</v>
      </c>
      <c r="N2264" s="41">
        <v>46006.625</v>
      </c>
      <c r="O2264" s="38" t="s">
        <v>123</v>
      </c>
      <c r="P2264" s="38">
        <v>32400.0</v>
      </c>
      <c r="Q2264" s="38">
        <v>32400.0</v>
      </c>
      <c r="R2264" s="39"/>
      <c r="S2264" s="39"/>
      <c r="T2264" s="39"/>
      <c r="U2264" s="39"/>
    </row>
    <row r="2265">
      <c r="A2265" s="40">
        <f t="shared" si="1"/>
        <v>46006</v>
      </c>
      <c r="B2265" s="37" t="str">
        <f t="array" ref="B2265">iferror(xlookup($I2265, 'IMPORT VHC Report'!$E:$E, 'IMPORT VHC Report'!$A:$C), )</f>
        <v/>
      </c>
      <c r="C2265" s="37"/>
      <c r="D2265" s="37"/>
      <c r="E2265" s="38" t="s">
        <v>2787</v>
      </c>
      <c r="F2265" s="38" t="s">
        <v>2783</v>
      </c>
      <c r="G2265" s="38">
        <v>7.235815910671E12</v>
      </c>
      <c r="H2265" s="38" t="s">
        <v>2784</v>
      </c>
      <c r="I2265" s="38" t="s">
        <v>2785</v>
      </c>
      <c r="J2265" s="38" t="s">
        <v>134</v>
      </c>
      <c r="K2265" s="38" t="s">
        <v>126</v>
      </c>
      <c r="L2265" s="41">
        <v>46006.5625</v>
      </c>
      <c r="M2265" s="38" t="s">
        <v>123</v>
      </c>
      <c r="N2265" s="41">
        <v>46006.583333333336</v>
      </c>
      <c r="O2265" s="38" t="s">
        <v>123</v>
      </c>
      <c r="P2265" s="38">
        <v>1800.0</v>
      </c>
      <c r="Q2265" s="39"/>
      <c r="R2265" s="39"/>
      <c r="S2265" s="39"/>
      <c r="T2265" s="39"/>
      <c r="U2265" s="39"/>
    </row>
    <row r="2266">
      <c r="A2266" s="40">
        <f t="shared" si="1"/>
        <v>46006</v>
      </c>
      <c r="B2266" s="37" t="str">
        <f t="array" ref="B2266">iferror(xlookup($I2266, 'IMPORT VHC Report'!$E:$E, 'IMPORT VHC Report'!$A:$C), )</f>
        <v/>
      </c>
      <c r="C2266" s="37"/>
      <c r="D2266" s="37"/>
      <c r="E2266" s="38" t="s">
        <v>2788</v>
      </c>
      <c r="F2266" s="38" t="s">
        <v>2783</v>
      </c>
      <c r="G2266" s="38">
        <v>7.235815910671E12</v>
      </c>
      <c r="H2266" s="38" t="s">
        <v>2784</v>
      </c>
      <c r="I2266" s="38" t="s">
        <v>2785</v>
      </c>
      <c r="J2266" s="38" t="s">
        <v>132</v>
      </c>
      <c r="K2266" s="38" t="s">
        <v>126</v>
      </c>
      <c r="L2266" s="41">
        <v>46006.583333333336</v>
      </c>
      <c r="M2266" s="38" t="s">
        <v>123</v>
      </c>
      <c r="N2266" s="41">
        <v>46006.625</v>
      </c>
      <c r="O2266" s="38" t="s">
        <v>123</v>
      </c>
      <c r="P2266" s="38">
        <v>3600.0</v>
      </c>
      <c r="Q2266" s="39"/>
      <c r="R2266" s="39"/>
      <c r="S2266" s="39"/>
      <c r="T2266" s="39"/>
      <c r="U2266" s="39"/>
    </row>
    <row r="2267">
      <c r="A2267" s="40">
        <f t="shared" si="1"/>
        <v>46006</v>
      </c>
      <c r="B2267" s="37" t="str">
        <f t="array" ref="B2267">iferror(xlookup($I2267, 'IMPORT VHC Report'!$E:$E, 'IMPORT VHC Report'!$A:$C), )</f>
        <v/>
      </c>
      <c r="C2267" s="37"/>
      <c r="D2267" s="37"/>
      <c r="E2267" s="38" t="s">
        <v>2789</v>
      </c>
      <c r="F2267" s="38" t="s">
        <v>2783</v>
      </c>
      <c r="G2267" s="38">
        <v>7.235815910671E12</v>
      </c>
      <c r="H2267" s="38" t="s">
        <v>2784</v>
      </c>
      <c r="I2267" s="38" t="s">
        <v>2785</v>
      </c>
      <c r="J2267" s="38" t="s">
        <v>62</v>
      </c>
      <c r="K2267" s="38" t="s">
        <v>63</v>
      </c>
      <c r="L2267" s="41">
        <v>46007.25</v>
      </c>
      <c r="M2267" s="38" t="s">
        <v>123</v>
      </c>
      <c r="N2267" s="41">
        <v>46007.458333333336</v>
      </c>
      <c r="O2267" s="38" t="s">
        <v>123</v>
      </c>
      <c r="P2267" s="38">
        <v>18000.0</v>
      </c>
      <c r="Q2267" s="39"/>
      <c r="R2267" s="39"/>
      <c r="S2267" s="39"/>
      <c r="T2267" s="39"/>
      <c r="U2267" s="39"/>
    </row>
    <row r="2268">
      <c r="A2268" s="40">
        <f t="shared" si="1"/>
        <v>46006</v>
      </c>
      <c r="B2268" s="37" t="str">
        <f t="array" ref="B2268">iferror(xlookup($I2268, 'IMPORT VHC Report'!$E:$E, 'IMPORT VHC Report'!$A:$C), )</f>
        <v/>
      </c>
      <c r="C2268" s="37"/>
      <c r="D2268" s="37"/>
      <c r="E2268" s="38" t="s">
        <v>2790</v>
      </c>
      <c r="F2268" s="38" t="s">
        <v>2783</v>
      </c>
      <c r="G2268" s="38">
        <v>7.235815910671E12</v>
      </c>
      <c r="H2268" s="38" t="s">
        <v>2784</v>
      </c>
      <c r="I2268" s="38" t="s">
        <v>2785</v>
      </c>
      <c r="J2268" s="38" t="s">
        <v>178</v>
      </c>
      <c r="K2268" s="38" t="s">
        <v>153</v>
      </c>
      <c r="L2268" s="41">
        <v>46007.25</v>
      </c>
      <c r="M2268" s="38" t="s">
        <v>123</v>
      </c>
      <c r="N2268" s="41">
        <v>46007.625</v>
      </c>
      <c r="O2268" s="38" t="s">
        <v>123</v>
      </c>
      <c r="P2268" s="38">
        <v>32400.0</v>
      </c>
      <c r="Q2268" s="38">
        <v>32400.0</v>
      </c>
      <c r="R2268" s="39"/>
      <c r="S2268" s="39"/>
      <c r="T2268" s="39"/>
      <c r="U2268" s="39"/>
    </row>
    <row r="2269">
      <c r="A2269" s="40">
        <f t="shared" si="1"/>
        <v>46006</v>
      </c>
      <c r="B2269" s="37" t="str">
        <f t="array" ref="B2269">iferror(xlookup($I2269, 'IMPORT VHC Report'!$E:$E, 'IMPORT VHC Report'!$A:$C), )</f>
        <v/>
      </c>
      <c r="C2269" s="37"/>
      <c r="D2269" s="37"/>
      <c r="E2269" s="38" t="s">
        <v>2791</v>
      </c>
      <c r="F2269" s="38" t="s">
        <v>2783</v>
      </c>
      <c r="G2269" s="38">
        <v>7.235815910671E12</v>
      </c>
      <c r="H2269" s="38" t="s">
        <v>2784</v>
      </c>
      <c r="I2269" s="38" t="s">
        <v>2785</v>
      </c>
      <c r="J2269" s="38" t="s">
        <v>330</v>
      </c>
      <c r="K2269" s="38" t="s">
        <v>126</v>
      </c>
      <c r="L2269" s="41">
        <v>46007.416666666664</v>
      </c>
      <c r="M2269" s="38" t="s">
        <v>123</v>
      </c>
      <c r="N2269" s="41">
        <v>46007.458333333336</v>
      </c>
      <c r="O2269" s="38" t="s">
        <v>123</v>
      </c>
      <c r="P2269" s="38">
        <v>3600.0</v>
      </c>
      <c r="Q2269" s="39"/>
      <c r="R2269" s="39"/>
      <c r="S2269" s="38" t="s">
        <v>640</v>
      </c>
      <c r="T2269" s="39"/>
      <c r="U2269" s="39"/>
    </row>
    <row r="2270">
      <c r="A2270" s="40">
        <f t="shared" si="1"/>
        <v>46006</v>
      </c>
      <c r="B2270" s="37" t="str">
        <f t="array" ref="B2270">iferror(xlookup($I2270, 'IMPORT VHC Report'!$E:$E, 'IMPORT VHC Report'!$A:$C), )</f>
        <v/>
      </c>
      <c r="C2270" s="37"/>
      <c r="D2270" s="37"/>
      <c r="E2270" s="38" t="s">
        <v>2792</v>
      </c>
      <c r="F2270" s="38" t="s">
        <v>2783</v>
      </c>
      <c r="G2270" s="38">
        <v>7.235815910671E12</v>
      </c>
      <c r="H2270" s="38" t="s">
        <v>2784</v>
      </c>
      <c r="I2270" s="38" t="s">
        <v>2785</v>
      </c>
      <c r="J2270" s="38" t="s">
        <v>791</v>
      </c>
      <c r="K2270" s="38" t="s">
        <v>63</v>
      </c>
      <c r="L2270" s="41">
        <v>46007.416666666664</v>
      </c>
      <c r="M2270" s="38" t="s">
        <v>123</v>
      </c>
      <c r="N2270" s="41">
        <v>46007.625</v>
      </c>
      <c r="O2270" s="38" t="s">
        <v>123</v>
      </c>
      <c r="P2270" s="38">
        <v>18000.0</v>
      </c>
      <c r="Q2270" s="39"/>
      <c r="R2270" s="39"/>
      <c r="S2270" s="39"/>
      <c r="T2270" s="39"/>
      <c r="U2270" s="39"/>
    </row>
    <row r="2271">
      <c r="A2271" s="40">
        <f t="shared" si="1"/>
        <v>46006</v>
      </c>
      <c r="B2271" s="37" t="str">
        <f t="array" ref="B2271">iferror(xlookup($I2271, 'IMPORT VHC Report'!$E:$E, 'IMPORT VHC Report'!$A:$C), )</f>
        <v/>
      </c>
      <c r="C2271" s="37"/>
      <c r="D2271" s="37"/>
      <c r="E2271" s="38" t="s">
        <v>2793</v>
      </c>
      <c r="F2271" s="38" t="s">
        <v>2783</v>
      </c>
      <c r="G2271" s="38">
        <v>7.235815910671E12</v>
      </c>
      <c r="H2271" s="38" t="s">
        <v>2784</v>
      </c>
      <c r="I2271" s="38" t="s">
        <v>2785</v>
      </c>
      <c r="J2271" s="38" t="s">
        <v>134</v>
      </c>
      <c r="K2271" s="38" t="s">
        <v>126</v>
      </c>
      <c r="L2271" s="41">
        <v>46007.5625</v>
      </c>
      <c r="M2271" s="38" t="s">
        <v>123</v>
      </c>
      <c r="N2271" s="41">
        <v>46007.583333333336</v>
      </c>
      <c r="O2271" s="38" t="s">
        <v>123</v>
      </c>
      <c r="P2271" s="38">
        <v>1800.0</v>
      </c>
      <c r="Q2271" s="39"/>
      <c r="R2271" s="39"/>
      <c r="S2271" s="39"/>
      <c r="T2271" s="39"/>
      <c r="U2271" s="39"/>
    </row>
    <row r="2272">
      <c r="A2272" s="40">
        <f t="shared" si="1"/>
        <v>46006</v>
      </c>
      <c r="B2272" s="37" t="str">
        <f t="array" ref="B2272">iferror(xlookup($I2272, 'IMPORT VHC Report'!$E:$E, 'IMPORT VHC Report'!$A:$C), )</f>
        <v/>
      </c>
      <c r="C2272" s="37"/>
      <c r="D2272" s="37"/>
      <c r="E2272" s="38" t="s">
        <v>2794</v>
      </c>
      <c r="F2272" s="38" t="s">
        <v>2783</v>
      </c>
      <c r="G2272" s="38">
        <v>7.235815910671E12</v>
      </c>
      <c r="H2272" s="38" t="s">
        <v>2784</v>
      </c>
      <c r="I2272" s="38" t="s">
        <v>2785</v>
      </c>
      <c r="J2272" s="38" t="s">
        <v>132</v>
      </c>
      <c r="K2272" s="38" t="s">
        <v>126</v>
      </c>
      <c r="L2272" s="41">
        <v>46007.583333333336</v>
      </c>
      <c r="M2272" s="38" t="s">
        <v>123</v>
      </c>
      <c r="N2272" s="41">
        <v>46007.625</v>
      </c>
      <c r="O2272" s="38" t="s">
        <v>123</v>
      </c>
      <c r="P2272" s="38">
        <v>3600.0</v>
      </c>
      <c r="Q2272" s="39"/>
      <c r="R2272" s="39"/>
      <c r="S2272" s="39"/>
      <c r="T2272" s="39"/>
      <c r="U2272" s="39"/>
    </row>
    <row r="2273">
      <c r="A2273" s="40">
        <f t="shared" si="1"/>
        <v>46006</v>
      </c>
      <c r="B2273" s="37" t="str">
        <f t="array" ref="B2273">iferror(xlookup($I2273, 'IMPORT VHC Report'!$E:$E, 'IMPORT VHC Report'!$A:$C), )</f>
        <v/>
      </c>
      <c r="C2273" s="37"/>
      <c r="D2273" s="37"/>
      <c r="E2273" s="38" t="s">
        <v>2795</v>
      </c>
      <c r="F2273" s="38" t="s">
        <v>2783</v>
      </c>
      <c r="G2273" s="38">
        <v>7.235815910671E12</v>
      </c>
      <c r="H2273" s="38" t="s">
        <v>2784</v>
      </c>
      <c r="I2273" s="38" t="s">
        <v>2785</v>
      </c>
      <c r="J2273" s="38" t="s">
        <v>791</v>
      </c>
      <c r="K2273" s="38" t="s">
        <v>63</v>
      </c>
      <c r="L2273" s="41">
        <v>46008.25</v>
      </c>
      <c r="M2273" s="38" t="s">
        <v>123</v>
      </c>
      <c r="N2273" s="41">
        <v>46008.625</v>
      </c>
      <c r="O2273" s="38" t="s">
        <v>123</v>
      </c>
      <c r="P2273" s="38">
        <v>32400.0</v>
      </c>
      <c r="Q2273" s="39"/>
      <c r="R2273" s="39"/>
      <c r="S2273" s="39"/>
      <c r="T2273" s="39"/>
      <c r="U2273" s="39"/>
    </row>
    <row r="2274">
      <c r="A2274" s="40">
        <f t="shared" si="1"/>
        <v>46006</v>
      </c>
      <c r="B2274" s="37" t="str">
        <f t="array" ref="B2274">iferror(xlookup($I2274, 'IMPORT VHC Report'!$E:$E, 'IMPORT VHC Report'!$A:$C), )</f>
        <v/>
      </c>
      <c r="C2274" s="37"/>
      <c r="D2274" s="37"/>
      <c r="E2274" s="38" t="s">
        <v>2796</v>
      </c>
      <c r="F2274" s="38" t="s">
        <v>2783</v>
      </c>
      <c r="G2274" s="38">
        <v>7.235815910671E12</v>
      </c>
      <c r="H2274" s="38" t="s">
        <v>2784</v>
      </c>
      <c r="I2274" s="38" t="s">
        <v>2785</v>
      </c>
      <c r="J2274" s="38" t="s">
        <v>132</v>
      </c>
      <c r="K2274" s="38" t="s">
        <v>126</v>
      </c>
      <c r="L2274" s="41">
        <v>46008.5</v>
      </c>
      <c r="M2274" s="38" t="s">
        <v>123</v>
      </c>
      <c r="N2274" s="41">
        <v>46008.541666666664</v>
      </c>
      <c r="O2274" s="38" t="s">
        <v>123</v>
      </c>
      <c r="P2274" s="38">
        <v>3600.0</v>
      </c>
      <c r="Q2274" s="39"/>
      <c r="R2274" s="39"/>
      <c r="S2274" s="39"/>
      <c r="T2274" s="39"/>
      <c r="U2274" s="39"/>
    </row>
    <row r="2275">
      <c r="A2275" s="40">
        <f t="shared" si="1"/>
        <v>46006</v>
      </c>
      <c r="B2275" s="37" t="str">
        <f t="array" ref="B2275">iferror(xlookup($I2275, 'IMPORT VHC Report'!$E:$E, 'IMPORT VHC Report'!$A:$C), )</f>
        <v/>
      </c>
      <c r="C2275" s="37"/>
      <c r="D2275" s="37"/>
      <c r="E2275" s="38" t="s">
        <v>2797</v>
      </c>
      <c r="F2275" s="38" t="s">
        <v>2783</v>
      </c>
      <c r="G2275" s="38">
        <v>7.235815910671E12</v>
      </c>
      <c r="H2275" s="38" t="s">
        <v>2784</v>
      </c>
      <c r="I2275" s="38" t="s">
        <v>2785</v>
      </c>
      <c r="J2275" s="38" t="s">
        <v>134</v>
      </c>
      <c r="K2275" s="38" t="s">
        <v>126</v>
      </c>
      <c r="L2275" s="41">
        <v>46008.541666666664</v>
      </c>
      <c r="M2275" s="38" t="s">
        <v>123</v>
      </c>
      <c r="N2275" s="41">
        <v>46008.5625</v>
      </c>
      <c r="O2275" s="38" t="s">
        <v>123</v>
      </c>
      <c r="P2275" s="38">
        <v>1800.0</v>
      </c>
      <c r="Q2275" s="39"/>
      <c r="R2275" s="39"/>
      <c r="S2275" s="39"/>
      <c r="T2275" s="39"/>
      <c r="U2275" s="39"/>
    </row>
    <row r="2276">
      <c r="A2276" s="40">
        <f t="shared" si="1"/>
        <v>46006</v>
      </c>
      <c r="B2276" s="37" t="str">
        <f t="array" ref="B2276">iferror(xlookup($I2276, 'IMPORT VHC Report'!$E:$E, 'IMPORT VHC Report'!$A:$C), )</f>
        <v/>
      </c>
      <c r="C2276" s="37"/>
      <c r="D2276" s="37"/>
      <c r="E2276" s="38" t="s">
        <v>2798</v>
      </c>
      <c r="F2276" s="38" t="s">
        <v>2783</v>
      </c>
      <c r="G2276" s="38">
        <v>7.235815910671E12</v>
      </c>
      <c r="H2276" s="38" t="s">
        <v>2784</v>
      </c>
      <c r="I2276" s="38" t="s">
        <v>2785</v>
      </c>
      <c r="J2276" s="38" t="s">
        <v>791</v>
      </c>
      <c r="K2276" s="38" t="s">
        <v>63</v>
      </c>
      <c r="L2276" s="41">
        <v>46009.25</v>
      </c>
      <c r="M2276" s="38" t="s">
        <v>123</v>
      </c>
      <c r="N2276" s="41">
        <v>46009.625</v>
      </c>
      <c r="O2276" s="38" t="s">
        <v>123</v>
      </c>
      <c r="P2276" s="38">
        <v>32400.0</v>
      </c>
      <c r="Q2276" s="39"/>
      <c r="R2276" s="39"/>
      <c r="S2276" s="39"/>
      <c r="T2276" s="39"/>
      <c r="U2276" s="39"/>
    </row>
    <row r="2277">
      <c r="A2277" s="40">
        <f t="shared" si="1"/>
        <v>46006</v>
      </c>
      <c r="B2277" s="37" t="str">
        <f t="array" ref="B2277">iferror(xlookup($I2277, 'IMPORT VHC Report'!$E:$E, 'IMPORT VHC Report'!$A:$C), )</f>
        <v/>
      </c>
      <c r="C2277" s="37"/>
      <c r="D2277" s="37"/>
      <c r="E2277" s="38" t="s">
        <v>2799</v>
      </c>
      <c r="F2277" s="38" t="s">
        <v>2783</v>
      </c>
      <c r="G2277" s="38">
        <v>7.235815910671E12</v>
      </c>
      <c r="H2277" s="38" t="s">
        <v>2784</v>
      </c>
      <c r="I2277" s="38" t="s">
        <v>2785</v>
      </c>
      <c r="J2277" s="38" t="s">
        <v>330</v>
      </c>
      <c r="K2277" s="38" t="s">
        <v>126</v>
      </c>
      <c r="L2277" s="41">
        <v>46009.291666666664</v>
      </c>
      <c r="M2277" s="38" t="s">
        <v>123</v>
      </c>
      <c r="N2277" s="41">
        <v>46009.333333333336</v>
      </c>
      <c r="O2277" s="38" t="s">
        <v>123</v>
      </c>
      <c r="P2277" s="38">
        <v>3600.0</v>
      </c>
      <c r="Q2277" s="39"/>
      <c r="R2277" s="39"/>
      <c r="S2277" s="39"/>
      <c r="T2277" s="39"/>
      <c r="U2277" s="39"/>
    </row>
    <row r="2278">
      <c r="A2278" s="40">
        <f t="shared" si="1"/>
        <v>46006</v>
      </c>
      <c r="B2278" s="37" t="str">
        <f t="array" ref="B2278">iferror(xlookup($I2278, 'IMPORT VHC Report'!$E:$E, 'IMPORT VHC Report'!$A:$C), )</f>
        <v/>
      </c>
      <c r="C2278" s="37"/>
      <c r="D2278" s="37"/>
      <c r="E2278" s="38" t="s">
        <v>2800</v>
      </c>
      <c r="F2278" s="38" t="s">
        <v>2783</v>
      </c>
      <c r="G2278" s="38">
        <v>7.235815910671E12</v>
      </c>
      <c r="H2278" s="38" t="s">
        <v>2784</v>
      </c>
      <c r="I2278" s="38" t="s">
        <v>2785</v>
      </c>
      <c r="J2278" s="38" t="s">
        <v>136</v>
      </c>
      <c r="K2278" s="38" t="s">
        <v>126</v>
      </c>
      <c r="L2278" s="41">
        <v>46009.458333333336</v>
      </c>
      <c r="M2278" s="38" t="s">
        <v>123</v>
      </c>
      <c r="N2278" s="41">
        <v>46009.50833333333</v>
      </c>
      <c r="O2278" s="38" t="s">
        <v>123</v>
      </c>
      <c r="P2278" s="38">
        <v>4320.0</v>
      </c>
      <c r="Q2278" s="39"/>
      <c r="R2278" s="39"/>
      <c r="S2278" s="38" t="s">
        <v>2732</v>
      </c>
      <c r="T2278" s="39"/>
      <c r="U2278" s="39"/>
    </row>
    <row r="2279">
      <c r="A2279" s="40">
        <f t="shared" si="1"/>
        <v>46006</v>
      </c>
      <c r="B2279" s="37" t="str">
        <f t="array" ref="B2279">iferror(xlookup($I2279, 'IMPORT VHC Report'!$E:$E, 'IMPORT VHC Report'!$A:$C), )</f>
        <v/>
      </c>
      <c r="C2279" s="37"/>
      <c r="D2279" s="37"/>
      <c r="E2279" s="38" t="s">
        <v>2801</v>
      </c>
      <c r="F2279" s="38" t="s">
        <v>2783</v>
      </c>
      <c r="G2279" s="38">
        <v>7.235815910671E12</v>
      </c>
      <c r="H2279" s="38" t="s">
        <v>2784</v>
      </c>
      <c r="I2279" s="38" t="s">
        <v>2785</v>
      </c>
      <c r="J2279" s="38" t="s">
        <v>134</v>
      </c>
      <c r="K2279" s="38" t="s">
        <v>126</v>
      </c>
      <c r="L2279" s="41">
        <v>46009.5625</v>
      </c>
      <c r="M2279" s="38" t="s">
        <v>123</v>
      </c>
      <c r="N2279" s="41">
        <v>46009.583333333336</v>
      </c>
      <c r="O2279" s="38" t="s">
        <v>123</v>
      </c>
      <c r="P2279" s="38">
        <v>1800.0</v>
      </c>
      <c r="Q2279" s="39"/>
      <c r="R2279" s="39"/>
      <c r="S2279" s="39"/>
      <c r="T2279" s="39"/>
      <c r="U2279" s="39"/>
    </row>
    <row r="2280">
      <c r="A2280" s="40">
        <f t="shared" si="1"/>
        <v>46006</v>
      </c>
      <c r="B2280" s="37" t="str">
        <f t="array" ref="B2280">iferror(xlookup($I2280, 'IMPORT VHC Report'!$E:$E, 'IMPORT VHC Report'!$A:$C), )</f>
        <v/>
      </c>
      <c r="C2280" s="37"/>
      <c r="D2280" s="37"/>
      <c r="E2280" s="38" t="s">
        <v>2802</v>
      </c>
      <c r="F2280" s="38" t="s">
        <v>2783</v>
      </c>
      <c r="G2280" s="38">
        <v>7.235815910671E12</v>
      </c>
      <c r="H2280" s="38" t="s">
        <v>2784</v>
      </c>
      <c r="I2280" s="38" t="s">
        <v>2785</v>
      </c>
      <c r="J2280" s="38" t="s">
        <v>132</v>
      </c>
      <c r="K2280" s="38" t="s">
        <v>126</v>
      </c>
      <c r="L2280" s="41">
        <v>46009.583333333336</v>
      </c>
      <c r="M2280" s="38" t="s">
        <v>123</v>
      </c>
      <c r="N2280" s="41">
        <v>46009.625</v>
      </c>
      <c r="O2280" s="38" t="s">
        <v>123</v>
      </c>
      <c r="P2280" s="38">
        <v>3600.0</v>
      </c>
      <c r="Q2280" s="39"/>
      <c r="R2280" s="39"/>
      <c r="S2280" s="39"/>
      <c r="T2280" s="39"/>
      <c r="U2280" s="39"/>
    </row>
    <row r="2281">
      <c r="A2281" s="40">
        <f t="shared" si="1"/>
        <v>46006</v>
      </c>
      <c r="B2281" s="37" t="str">
        <f t="array" ref="B2281">iferror(xlookup($I2281, 'IMPORT VHC Report'!$E:$E, 'IMPORT VHC Report'!$A:$C), )</f>
        <v/>
      </c>
      <c r="C2281" s="37"/>
      <c r="D2281" s="37"/>
      <c r="E2281" s="38" t="s">
        <v>2803</v>
      </c>
      <c r="F2281" s="38" t="s">
        <v>2783</v>
      </c>
      <c r="G2281" s="38">
        <v>7.235815910671E12</v>
      </c>
      <c r="H2281" s="38" t="s">
        <v>2784</v>
      </c>
      <c r="I2281" s="38" t="s">
        <v>2785</v>
      </c>
      <c r="J2281" s="38" t="s">
        <v>791</v>
      </c>
      <c r="K2281" s="38" t="s">
        <v>63</v>
      </c>
      <c r="L2281" s="41">
        <v>46012.25</v>
      </c>
      <c r="M2281" s="38" t="s">
        <v>123</v>
      </c>
      <c r="N2281" s="41">
        <v>46012.625</v>
      </c>
      <c r="O2281" s="38" t="s">
        <v>123</v>
      </c>
      <c r="P2281" s="38">
        <v>32400.0</v>
      </c>
      <c r="Q2281" s="39"/>
      <c r="R2281" s="39"/>
      <c r="S2281" s="39"/>
      <c r="T2281" s="39"/>
      <c r="U2281" s="39"/>
    </row>
    <row r="2282">
      <c r="A2282" s="40">
        <f t="shared" si="1"/>
        <v>46006</v>
      </c>
      <c r="B2282" s="37" t="str">
        <f t="array" ref="B2282">iferror(xlookup($I2282, 'IMPORT VHC Report'!$E:$E, 'IMPORT VHC Report'!$A:$C), )</f>
        <v/>
      </c>
      <c r="C2282" s="37"/>
      <c r="D2282" s="37"/>
      <c r="E2282" s="38" t="s">
        <v>2804</v>
      </c>
      <c r="F2282" s="38" t="s">
        <v>2783</v>
      </c>
      <c r="G2282" s="38">
        <v>7.235815910671E12</v>
      </c>
      <c r="H2282" s="38" t="s">
        <v>2784</v>
      </c>
      <c r="I2282" s="38" t="s">
        <v>2785</v>
      </c>
      <c r="J2282" s="38" t="s">
        <v>132</v>
      </c>
      <c r="K2282" s="38" t="s">
        <v>126</v>
      </c>
      <c r="L2282" s="41">
        <v>46012.5</v>
      </c>
      <c r="M2282" s="38" t="s">
        <v>123</v>
      </c>
      <c r="N2282" s="41">
        <v>46012.541666666664</v>
      </c>
      <c r="O2282" s="38" t="s">
        <v>123</v>
      </c>
      <c r="P2282" s="38">
        <v>3600.0</v>
      </c>
      <c r="Q2282" s="39"/>
      <c r="R2282" s="39"/>
      <c r="S2282" s="39"/>
      <c r="T2282" s="39"/>
      <c r="U2282" s="39"/>
    </row>
    <row r="2283">
      <c r="A2283" s="40">
        <f t="shared" si="1"/>
        <v>46006</v>
      </c>
      <c r="B2283" s="37" t="str">
        <f t="array" ref="B2283">iferror(xlookup($I2283, 'IMPORT VHC Report'!$E:$E, 'IMPORT VHC Report'!$A:$C), )</f>
        <v/>
      </c>
      <c r="C2283" s="37"/>
      <c r="D2283" s="37"/>
      <c r="E2283" s="38" t="s">
        <v>2805</v>
      </c>
      <c r="F2283" s="38" t="s">
        <v>2783</v>
      </c>
      <c r="G2283" s="38">
        <v>7.235815910671E12</v>
      </c>
      <c r="H2283" s="38" t="s">
        <v>2784</v>
      </c>
      <c r="I2283" s="38" t="s">
        <v>2785</v>
      </c>
      <c r="J2283" s="38" t="s">
        <v>134</v>
      </c>
      <c r="K2283" s="38" t="s">
        <v>126</v>
      </c>
      <c r="L2283" s="41">
        <v>46012.541666666664</v>
      </c>
      <c r="M2283" s="38" t="s">
        <v>123</v>
      </c>
      <c r="N2283" s="41">
        <v>46012.5625</v>
      </c>
      <c r="O2283" s="38" t="s">
        <v>123</v>
      </c>
      <c r="P2283" s="38">
        <v>1800.0</v>
      </c>
      <c r="Q2283" s="39"/>
      <c r="R2283" s="39"/>
      <c r="S2283" s="39"/>
      <c r="T2283" s="39"/>
      <c r="U2283" s="39"/>
    </row>
    <row r="2284">
      <c r="A2284" s="40">
        <f t="shared" si="1"/>
        <v>46006</v>
      </c>
      <c r="B2284" s="37" t="str">
        <f t="array" ref="B2284">iferror(xlookup($I2284, 'IMPORT VHC Report'!$E:$E, 'IMPORT VHC Report'!$A:$C), )</f>
        <v/>
      </c>
      <c r="C2284" s="37"/>
      <c r="D2284" s="37"/>
      <c r="E2284" s="38" t="s">
        <v>2806</v>
      </c>
      <c r="F2284" s="38" t="s">
        <v>2807</v>
      </c>
      <c r="G2284" s="38">
        <v>5.566859239951E12</v>
      </c>
      <c r="H2284" s="38" t="s">
        <v>2808</v>
      </c>
      <c r="I2284" s="38" t="s">
        <v>2809</v>
      </c>
      <c r="J2284" s="38" t="s">
        <v>224</v>
      </c>
      <c r="K2284" s="38" t="s">
        <v>63</v>
      </c>
      <c r="L2284" s="41">
        <v>46006.25</v>
      </c>
      <c r="M2284" s="38" t="s">
        <v>123</v>
      </c>
      <c r="N2284" s="41">
        <v>46006.364583333336</v>
      </c>
      <c r="O2284" s="38" t="s">
        <v>123</v>
      </c>
      <c r="P2284" s="38">
        <v>9900.0</v>
      </c>
      <c r="Q2284" s="39"/>
      <c r="R2284" s="39"/>
      <c r="S2284" s="39"/>
      <c r="T2284" s="39"/>
      <c r="U2284" s="39"/>
    </row>
    <row r="2285">
      <c r="A2285" s="40">
        <f t="shared" si="1"/>
        <v>46006</v>
      </c>
      <c r="B2285" s="37" t="str">
        <f t="array" ref="B2285">iferror(xlookup($I2285, 'IMPORT VHC Report'!$E:$E, 'IMPORT VHC Report'!$A:$C), )</f>
        <v/>
      </c>
      <c r="C2285" s="37"/>
      <c r="D2285" s="37"/>
      <c r="E2285" s="38" t="s">
        <v>2810</v>
      </c>
      <c r="F2285" s="38" t="s">
        <v>2807</v>
      </c>
      <c r="G2285" s="38">
        <v>5.566859239951E12</v>
      </c>
      <c r="H2285" s="38" t="s">
        <v>2808</v>
      </c>
      <c r="I2285" s="38" t="s">
        <v>2809</v>
      </c>
      <c r="J2285" s="38" t="s">
        <v>134</v>
      </c>
      <c r="K2285" s="38" t="s">
        <v>126</v>
      </c>
      <c r="L2285" s="41">
        <v>46006.364583333336</v>
      </c>
      <c r="M2285" s="38" t="s">
        <v>123</v>
      </c>
      <c r="N2285" s="41">
        <v>46006.375</v>
      </c>
      <c r="O2285" s="38" t="s">
        <v>123</v>
      </c>
      <c r="P2285" s="38">
        <v>900.0</v>
      </c>
      <c r="Q2285" s="39"/>
      <c r="R2285" s="39"/>
      <c r="S2285" s="39"/>
      <c r="T2285" s="39"/>
      <c r="U2285" s="39"/>
    </row>
    <row r="2286">
      <c r="A2286" s="40">
        <f t="shared" si="1"/>
        <v>46006</v>
      </c>
      <c r="B2286" s="37" t="str">
        <f t="array" ref="B2286">iferror(xlookup($I2286, 'IMPORT VHC Report'!$E:$E, 'IMPORT VHC Report'!$A:$C), )</f>
        <v/>
      </c>
      <c r="C2286" s="37"/>
      <c r="D2286" s="37"/>
      <c r="E2286" s="38" t="s">
        <v>2811</v>
      </c>
      <c r="F2286" s="38" t="s">
        <v>2807</v>
      </c>
      <c r="G2286" s="38">
        <v>5.566859239951E12</v>
      </c>
      <c r="H2286" s="38" t="s">
        <v>2808</v>
      </c>
      <c r="I2286" s="38" t="s">
        <v>2809</v>
      </c>
      <c r="J2286" s="38" t="s">
        <v>224</v>
      </c>
      <c r="K2286" s="38" t="s">
        <v>63</v>
      </c>
      <c r="L2286" s="41">
        <v>46006.375</v>
      </c>
      <c r="M2286" s="38" t="s">
        <v>123</v>
      </c>
      <c r="N2286" s="41">
        <v>46006.4375</v>
      </c>
      <c r="O2286" s="38" t="s">
        <v>123</v>
      </c>
      <c r="P2286" s="38">
        <v>5400.0</v>
      </c>
      <c r="Q2286" s="39"/>
      <c r="R2286" s="39"/>
      <c r="S2286" s="39"/>
      <c r="T2286" s="39"/>
      <c r="U2286" s="39"/>
    </row>
    <row r="2287">
      <c r="A2287" s="40">
        <f t="shared" si="1"/>
        <v>46006</v>
      </c>
      <c r="B2287" s="37" t="str">
        <f t="array" ref="B2287">iferror(xlookup($I2287, 'IMPORT VHC Report'!$E:$E, 'IMPORT VHC Report'!$A:$C), )</f>
        <v/>
      </c>
      <c r="C2287" s="37"/>
      <c r="D2287" s="37"/>
      <c r="E2287" s="38" t="s">
        <v>2812</v>
      </c>
      <c r="F2287" s="38" t="s">
        <v>2807</v>
      </c>
      <c r="G2287" s="38">
        <v>5.566859239951E12</v>
      </c>
      <c r="H2287" s="38" t="s">
        <v>2808</v>
      </c>
      <c r="I2287" s="38" t="s">
        <v>2809</v>
      </c>
      <c r="J2287" s="38" t="s">
        <v>134</v>
      </c>
      <c r="K2287" s="38" t="s">
        <v>126</v>
      </c>
      <c r="L2287" s="41">
        <v>46006.4375</v>
      </c>
      <c r="M2287" s="38" t="s">
        <v>123</v>
      </c>
      <c r="N2287" s="41">
        <v>46006.447916666664</v>
      </c>
      <c r="O2287" s="38" t="s">
        <v>123</v>
      </c>
      <c r="P2287" s="38">
        <v>900.0</v>
      </c>
      <c r="Q2287" s="39"/>
      <c r="R2287" s="39"/>
      <c r="S2287" s="39"/>
      <c r="T2287" s="39"/>
      <c r="U2287" s="39"/>
    </row>
    <row r="2288">
      <c r="A2288" s="40">
        <f t="shared" si="1"/>
        <v>46006</v>
      </c>
      <c r="B2288" s="37" t="str">
        <f t="array" ref="B2288">iferror(xlookup($I2288, 'IMPORT VHC Report'!$E:$E, 'IMPORT VHC Report'!$A:$C), )</f>
        <v/>
      </c>
      <c r="C2288" s="37"/>
      <c r="D2288" s="37"/>
      <c r="E2288" s="38" t="s">
        <v>2813</v>
      </c>
      <c r="F2288" s="38" t="s">
        <v>2807</v>
      </c>
      <c r="G2288" s="38">
        <v>5.566859239951E12</v>
      </c>
      <c r="H2288" s="38" t="s">
        <v>2808</v>
      </c>
      <c r="I2288" s="38" t="s">
        <v>2809</v>
      </c>
      <c r="J2288" s="38" t="s">
        <v>224</v>
      </c>
      <c r="K2288" s="38" t="s">
        <v>63</v>
      </c>
      <c r="L2288" s="41">
        <v>46006.447916666664</v>
      </c>
      <c r="M2288" s="38" t="s">
        <v>123</v>
      </c>
      <c r="N2288" s="41">
        <v>46006.520833333336</v>
      </c>
      <c r="O2288" s="38" t="s">
        <v>123</v>
      </c>
      <c r="P2288" s="38">
        <v>6300.0</v>
      </c>
      <c r="Q2288" s="39"/>
      <c r="R2288" s="39"/>
      <c r="S2288" s="39"/>
      <c r="T2288" s="39"/>
      <c r="U2288" s="39"/>
    </row>
    <row r="2289">
      <c r="A2289" s="40">
        <f t="shared" si="1"/>
        <v>46006</v>
      </c>
      <c r="B2289" s="37" t="str">
        <f t="array" ref="B2289">iferror(xlookup($I2289, 'IMPORT VHC Report'!$E:$E, 'IMPORT VHC Report'!$A:$C), )</f>
        <v/>
      </c>
      <c r="C2289" s="37"/>
      <c r="D2289" s="37"/>
      <c r="E2289" s="38" t="s">
        <v>2814</v>
      </c>
      <c r="F2289" s="38" t="s">
        <v>2807</v>
      </c>
      <c r="G2289" s="38">
        <v>5.566859239951E12</v>
      </c>
      <c r="H2289" s="38" t="s">
        <v>2808</v>
      </c>
      <c r="I2289" s="38" t="s">
        <v>2809</v>
      </c>
      <c r="J2289" s="38" t="s">
        <v>4</v>
      </c>
      <c r="K2289" s="38" t="s">
        <v>126</v>
      </c>
      <c r="L2289" s="41">
        <v>46006.479166666664</v>
      </c>
      <c r="M2289" s="38" t="s">
        <v>123</v>
      </c>
      <c r="N2289" s="41">
        <v>46006.520833333336</v>
      </c>
      <c r="O2289" s="38" t="s">
        <v>123</v>
      </c>
      <c r="P2289" s="38">
        <v>3600.0</v>
      </c>
      <c r="Q2289" s="39"/>
      <c r="R2289" s="39"/>
      <c r="S2289" s="38" t="s">
        <v>858</v>
      </c>
      <c r="T2289" s="39"/>
      <c r="U2289" s="39"/>
    </row>
    <row r="2290">
      <c r="A2290" s="40">
        <f t="shared" si="1"/>
        <v>46006</v>
      </c>
      <c r="B2290" s="37" t="str">
        <f t="array" ref="B2290">iferror(xlookup($I2290, 'IMPORT VHC Report'!$E:$E, 'IMPORT VHC Report'!$A:$C), )</f>
        <v/>
      </c>
      <c r="C2290" s="37"/>
      <c r="D2290" s="37"/>
      <c r="E2290" s="38" t="s">
        <v>2815</v>
      </c>
      <c r="F2290" s="38" t="s">
        <v>2807</v>
      </c>
      <c r="G2290" s="38">
        <v>5.566859239951E12</v>
      </c>
      <c r="H2290" s="38" t="s">
        <v>2808</v>
      </c>
      <c r="I2290" s="38" t="s">
        <v>2809</v>
      </c>
      <c r="J2290" s="38" t="s">
        <v>132</v>
      </c>
      <c r="K2290" s="38" t="s">
        <v>126</v>
      </c>
      <c r="L2290" s="41">
        <v>46006.520833333336</v>
      </c>
      <c r="M2290" s="38" t="s">
        <v>123</v>
      </c>
      <c r="N2290" s="41">
        <v>46006.5625</v>
      </c>
      <c r="O2290" s="38" t="s">
        <v>123</v>
      </c>
      <c r="P2290" s="38">
        <v>3600.0</v>
      </c>
      <c r="Q2290" s="39"/>
      <c r="R2290" s="39"/>
      <c r="S2290" s="39"/>
      <c r="T2290" s="39"/>
      <c r="U2290" s="39"/>
    </row>
    <row r="2291">
      <c r="A2291" s="40">
        <f t="shared" si="1"/>
        <v>46006</v>
      </c>
      <c r="B2291" s="37" t="str">
        <f t="array" ref="B2291">iferror(xlookup($I2291, 'IMPORT VHC Report'!$E:$E, 'IMPORT VHC Report'!$A:$C), )</f>
        <v/>
      </c>
      <c r="C2291" s="37"/>
      <c r="D2291" s="37"/>
      <c r="E2291" s="38" t="s">
        <v>2816</v>
      </c>
      <c r="F2291" s="38" t="s">
        <v>2807</v>
      </c>
      <c r="G2291" s="38">
        <v>5.566859239951E12</v>
      </c>
      <c r="H2291" s="38" t="s">
        <v>2808</v>
      </c>
      <c r="I2291" s="38" t="s">
        <v>2809</v>
      </c>
      <c r="J2291" s="38" t="s">
        <v>224</v>
      </c>
      <c r="K2291" s="38" t="s">
        <v>63</v>
      </c>
      <c r="L2291" s="41">
        <v>46006.5625</v>
      </c>
      <c r="M2291" s="38" t="s">
        <v>123</v>
      </c>
      <c r="N2291" s="41">
        <v>46006.625</v>
      </c>
      <c r="O2291" s="38" t="s">
        <v>123</v>
      </c>
      <c r="P2291" s="38">
        <v>5400.0</v>
      </c>
      <c r="Q2291" s="39"/>
      <c r="R2291" s="39"/>
      <c r="S2291" s="39"/>
      <c r="T2291" s="39"/>
      <c r="U2291" s="39"/>
    </row>
    <row r="2292">
      <c r="A2292" s="40">
        <f t="shared" si="1"/>
        <v>46006</v>
      </c>
      <c r="B2292" s="37" t="str">
        <f t="array" ref="B2292">iferror(xlookup($I2292, 'IMPORT VHC Report'!$E:$E, 'IMPORT VHC Report'!$A:$C), )</f>
        <v/>
      </c>
      <c r="C2292" s="37"/>
      <c r="D2292" s="37"/>
      <c r="E2292" s="38" t="s">
        <v>2817</v>
      </c>
      <c r="F2292" s="38" t="s">
        <v>2807</v>
      </c>
      <c r="G2292" s="38">
        <v>5.566859239951E12</v>
      </c>
      <c r="H2292" s="38" t="s">
        <v>2808</v>
      </c>
      <c r="I2292" s="38" t="s">
        <v>2809</v>
      </c>
      <c r="J2292" s="38" t="s">
        <v>224</v>
      </c>
      <c r="K2292" s="38" t="s">
        <v>63</v>
      </c>
      <c r="L2292" s="41">
        <v>46007.25</v>
      </c>
      <c r="M2292" s="38" t="s">
        <v>123</v>
      </c>
      <c r="N2292" s="41">
        <v>46007.625</v>
      </c>
      <c r="O2292" s="38" t="s">
        <v>123</v>
      </c>
      <c r="P2292" s="38">
        <v>32400.0</v>
      </c>
      <c r="Q2292" s="39"/>
      <c r="R2292" s="39"/>
      <c r="S2292" s="39"/>
      <c r="T2292" s="39"/>
      <c r="U2292" s="39"/>
    </row>
    <row r="2293">
      <c r="A2293" s="40">
        <f t="shared" si="1"/>
        <v>46006</v>
      </c>
      <c r="B2293" s="37" t="str">
        <f t="array" ref="B2293">iferror(xlookup($I2293, 'IMPORT VHC Report'!$E:$E, 'IMPORT VHC Report'!$A:$C), )</f>
        <v/>
      </c>
      <c r="C2293" s="37"/>
      <c r="D2293" s="37"/>
      <c r="E2293" s="38" t="s">
        <v>2818</v>
      </c>
      <c r="F2293" s="38" t="s">
        <v>2807</v>
      </c>
      <c r="G2293" s="38">
        <v>5.566859239951E12</v>
      </c>
      <c r="H2293" s="38" t="s">
        <v>2808</v>
      </c>
      <c r="I2293" s="38" t="s">
        <v>2809</v>
      </c>
      <c r="J2293" s="38" t="s">
        <v>132</v>
      </c>
      <c r="K2293" s="38" t="s">
        <v>126</v>
      </c>
      <c r="L2293" s="41">
        <v>46007.354166666664</v>
      </c>
      <c r="M2293" s="38" t="s">
        <v>123</v>
      </c>
      <c r="N2293" s="41">
        <v>46007.395833333336</v>
      </c>
      <c r="O2293" s="38" t="s">
        <v>123</v>
      </c>
      <c r="P2293" s="38">
        <v>3600.0</v>
      </c>
      <c r="Q2293" s="39"/>
      <c r="R2293" s="39"/>
      <c r="S2293" s="39"/>
      <c r="T2293" s="39"/>
      <c r="U2293" s="39"/>
    </row>
    <row r="2294">
      <c r="A2294" s="40">
        <f t="shared" si="1"/>
        <v>46006</v>
      </c>
      <c r="B2294" s="37" t="str">
        <f t="array" ref="B2294">iferror(xlookup($I2294, 'IMPORT VHC Report'!$E:$E, 'IMPORT VHC Report'!$A:$C), )</f>
        <v/>
      </c>
      <c r="C2294" s="37"/>
      <c r="D2294" s="37"/>
      <c r="E2294" s="38" t="s">
        <v>2819</v>
      </c>
      <c r="F2294" s="38" t="s">
        <v>2807</v>
      </c>
      <c r="G2294" s="38">
        <v>5.566859239951E12</v>
      </c>
      <c r="H2294" s="38" t="s">
        <v>2808</v>
      </c>
      <c r="I2294" s="38" t="s">
        <v>2809</v>
      </c>
      <c r="J2294" s="38" t="s">
        <v>134</v>
      </c>
      <c r="K2294" s="38" t="s">
        <v>126</v>
      </c>
      <c r="L2294" s="41">
        <v>46007.479166666664</v>
      </c>
      <c r="M2294" s="38" t="s">
        <v>123</v>
      </c>
      <c r="N2294" s="41">
        <v>46007.489583333336</v>
      </c>
      <c r="O2294" s="38" t="s">
        <v>123</v>
      </c>
      <c r="P2294" s="38">
        <v>900.0</v>
      </c>
      <c r="Q2294" s="39"/>
      <c r="R2294" s="39"/>
      <c r="S2294" s="39"/>
      <c r="T2294" s="39"/>
      <c r="U2294" s="39"/>
    </row>
    <row r="2295">
      <c r="A2295" s="40">
        <f t="shared" si="1"/>
        <v>46006</v>
      </c>
      <c r="B2295" s="37" t="str">
        <f t="array" ref="B2295">iferror(xlookup($I2295, 'IMPORT VHC Report'!$E:$E, 'IMPORT VHC Report'!$A:$C), )</f>
        <v/>
      </c>
      <c r="C2295" s="37"/>
      <c r="D2295" s="37"/>
      <c r="E2295" s="38" t="s">
        <v>2820</v>
      </c>
      <c r="F2295" s="38" t="s">
        <v>2807</v>
      </c>
      <c r="G2295" s="38">
        <v>5.566859239951E12</v>
      </c>
      <c r="H2295" s="38" t="s">
        <v>2808</v>
      </c>
      <c r="I2295" s="38" t="s">
        <v>2809</v>
      </c>
      <c r="J2295" s="38" t="s">
        <v>134</v>
      </c>
      <c r="K2295" s="38" t="s">
        <v>126</v>
      </c>
      <c r="L2295" s="41">
        <v>46007.5625</v>
      </c>
      <c r="M2295" s="38" t="s">
        <v>123</v>
      </c>
      <c r="N2295" s="41">
        <v>46007.572916666664</v>
      </c>
      <c r="O2295" s="38" t="s">
        <v>123</v>
      </c>
      <c r="P2295" s="38">
        <v>900.0</v>
      </c>
      <c r="Q2295" s="39"/>
      <c r="R2295" s="39"/>
      <c r="S2295" s="39"/>
      <c r="T2295" s="39"/>
      <c r="U2295" s="39"/>
    </row>
    <row r="2296">
      <c r="A2296" s="40">
        <f t="shared" si="1"/>
        <v>46006</v>
      </c>
      <c r="B2296" s="37" t="str">
        <f t="array" ref="B2296">iferror(xlookup($I2296, 'IMPORT VHC Report'!$E:$E, 'IMPORT VHC Report'!$A:$C), )</f>
        <v/>
      </c>
      <c r="C2296" s="37"/>
      <c r="D2296" s="37"/>
      <c r="E2296" s="38" t="s">
        <v>2821</v>
      </c>
      <c r="F2296" s="38" t="s">
        <v>2807</v>
      </c>
      <c r="G2296" s="38">
        <v>5.566859239951E12</v>
      </c>
      <c r="H2296" s="38" t="s">
        <v>2808</v>
      </c>
      <c r="I2296" s="38" t="s">
        <v>2809</v>
      </c>
      <c r="J2296" s="38" t="s">
        <v>224</v>
      </c>
      <c r="K2296" s="38" t="s">
        <v>63</v>
      </c>
      <c r="L2296" s="41">
        <v>46008.25</v>
      </c>
      <c r="M2296" s="38" t="s">
        <v>123</v>
      </c>
      <c r="N2296" s="41">
        <v>46008.333333333336</v>
      </c>
      <c r="O2296" s="38" t="s">
        <v>123</v>
      </c>
      <c r="P2296" s="38">
        <v>7200.0</v>
      </c>
      <c r="Q2296" s="39"/>
      <c r="R2296" s="39"/>
      <c r="S2296" s="39"/>
      <c r="T2296" s="39"/>
      <c r="U2296" s="39"/>
    </row>
    <row r="2297">
      <c r="A2297" s="40">
        <f t="shared" si="1"/>
        <v>46006</v>
      </c>
      <c r="B2297" s="37" t="str">
        <f t="array" ref="B2297">iferror(xlookup($I2297, 'IMPORT VHC Report'!$E:$E, 'IMPORT VHC Report'!$A:$C), )</f>
        <v/>
      </c>
      <c r="C2297" s="37"/>
      <c r="D2297" s="37"/>
      <c r="E2297" s="38" t="s">
        <v>2822</v>
      </c>
      <c r="F2297" s="38" t="s">
        <v>2807</v>
      </c>
      <c r="G2297" s="38">
        <v>5.566859239951E12</v>
      </c>
      <c r="H2297" s="38" t="s">
        <v>2808</v>
      </c>
      <c r="I2297" s="38" t="s">
        <v>2809</v>
      </c>
      <c r="J2297" s="38" t="s">
        <v>178</v>
      </c>
      <c r="K2297" s="38" t="s">
        <v>153</v>
      </c>
      <c r="L2297" s="41">
        <v>46008.25</v>
      </c>
      <c r="M2297" s="38" t="s">
        <v>123</v>
      </c>
      <c r="N2297" s="41">
        <v>46008.625</v>
      </c>
      <c r="O2297" s="38" t="s">
        <v>123</v>
      </c>
      <c r="P2297" s="38">
        <v>32400.0</v>
      </c>
      <c r="Q2297" s="38">
        <v>28800.0</v>
      </c>
      <c r="R2297" s="39"/>
      <c r="S2297" s="39"/>
      <c r="T2297" s="39"/>
      <c r="U2297" s="39"/>
    </row>
    <row r="2298">
      <c r="A2298" s="40">
        <f t="shared" si="1"/>
        <v>46006</v>
      </c>
      <c r="B2298" s="37" t="str">
        <f t="array" ref="B2298">iferror(xlookup($I2298, 'IMPORT VHC Report'!$E:$E, 'IMPORT VHC Report'!$A:$C), )</f>
        <v/>
      </c>
      <c r="C2298" s="37"/>
      <c r="D2298" s="37"/>
      <c r="E2298" s="38" t="s">
        <v>2823</v>
      </c>
      <c r="F2298" s="38" t="s">
        <v>2807</v>
      </c>
      <c r="G2298" s="38">
        <v>5.566859239951E12</v>
      </c>
      <c r="H2298" s="38" t="s">
        <v>2808</v>
      </c>
      <c r="I2298" s="38" t="s">
        <v>2809</v>
      </c>
      <c r="J2298" s="38" t="s">
        <v>134</v>
      </c>
      <c r="K2298" s="38" t="s">
        <v>126</v>
      </c>
      <c r="L2298" s="41">
        <v>46008.333333333336</v>
      </c>
      <c r="M2298" s="38" t="s">
        <v>123</v>
      </c>
      <c r="N2298" s="41">
        <v>46008.34375</v>
      </c>
      <c r="O2298" s="38" t="s">
        <v>123</v>
      </c>
      <c r="P2298" s="38">
        <v>900.0</v>
      </c>
      <c r="Q2298" s="39"/>
      <c r="R2298" s="39"/>
      <c r="S2298" s="39"/>
      <c r="T2298" s="39"/>
      <c r="U2298" s="39"/>
    </row>
    <row r="2299">
      <c r="A2299" s="40">
        <f t="shared" si="1"/>
        <v>46006</v>
      </c>
      <c r="B2299" s="37" t="str">
        <f t="array" ref="B2299">iferror(xlookup($I2299, 'IMPORT VHC Report'!$E:$E, 'IMPORT VHC Report'!$A:$C), )</f>
        <v/>
      </c>
      <c r="C2299" s="37"/>
      <c r="D2299" s="37"/>
      <c r="E2299" s="38" t="s">
        <v>2824</v>
      </c>
      <c r="F2299" s="38" t="s">
        <v>2807</v>
      </c>
      <c r="G2299" s="38">
        <v>5.566859239951E12</v>
      </c>
      <c r="H2299" s="38" t="s">
        <v>2808</v>
      </c>
      <c r="I2299" s="38" t="s">
        <v>2809</v>
      </c>
      <c r="J2299" s="38" t="s">
        <v>224</v>
      </c>
      <c r="K2299" s="38" t="s">
        <v>63</v>
      </c>
      <c r="L2299" s="41">
        <v>46008.34375</v>
      </c>
      <c r="M2299" s="38" t="s">
        <v>123</v>
      </c>
      <c r="N2299" s="41">
        <v>46008.416666666664</v>
      </c>
      <c r="O2299" s="38" t="s">
        <v>123</v>
      </c>
      <c r="P2299" s="38">
        <v>6300.0</v>
      </c>
      <c r="Q2299" s="39"/>
      <c r="R2299" s="39"/>
      <c r="S2299" s="39"/>
      <c r="T2299" s="39"/>
      <c r="U2299" s="39"/>
    </row>
    <row r="2300">
      <c r="A2300" s="40">
        <f t="shared" si="1"/>
        <v>46006</v>
      </c>
      <c r="B2300" s="37" t="str">
        <f t="array" ref="B2300">iferror(xlookup($I2300, 'IMPORT VHC Report'!$E:$E, 'IMPORT VHC Report'!$A:$C), )</f>
        <v/>
      </c>
      <c r="C2300" s="37"/>
      <c r="D2300" s="37"/>
      <c r="E2300" s="38" t="s">
        <v>2825</v>
      </c>
      <c r="F2300" s="38" t="s">
        <v>2807</v>
      </c>
      <c r="G2300" s="38">
        <v>5.566859239951E12</v>
      </c>
      <c r="H2300" s="38" t="s">
        <v>2808</v>
      </c>
      <c r="I2300" s="38" t="s">
        <v>2809</v>
      </c>
      <c r="J2300" s="38" t="s">
        <v>134</v>
      </c>
      <c r="K2300" s="38" t="s">
        <v>126</v>
      </c>
      <c r="L2300" s="41">
        <v>46008.416666666664</v>
      </c>
      <c r="M2300" s="38" t="s">
        <v>123</v>
      </c>
      <c r="N2300" s="41">
        <v>46008.427083333336</v>
      </c>
      <c r="O2300" s="38" t="s">
        <v>123</v>
      </c>
      <c r="P2300" s="38">
        <v>900.0</v>
      </c>
      <c r="Q2300" s="39"/>
      <c r="R2300" s="39"/>
      <c r="S2300" s="39"/>
      <c r="T2300" s="39"/>
      <c r="U2300" s="39"/>
    </row>
    <row r="2301">
      <c r="A2301" s="40">
        <f t="shared" si="1"/>
        <v>46006</v>
      </c>
      <c r="B2301" s="37" t="str">
        <f t="array" ref="B2301">iferror(xlookup($I2301, 'IMPORT VHC Report'!$E:$E, 'IMPORT VHC Report'!$A:$C), )</f>
        <v/>
      </c>
      <c r="C2301" s="37"/>
      <c r="D2301" s="37"/>
      <c r="E2301" s="38" t="s">
        <v>2826</v>
      </c>
      <c r="F2301" s="38" t="s">
        <v>2807</v>
      </c>
      <c r="G2301" s="38">
        <v>5.566859239951E12</v>
      </c>
      <c r="H2301" s="38" t="s">
        <v>2808</v>
      </c>
      <c r="I2301" s="38" t="s">
        <v>2809</v>
      </c>
      <c r="J2301" s="38" t="s">
        <v>224</v>
      </c>
      <c r="K2301" s="38" t="s">
        <v>63</v>
      </c>
      <c r="L2301" s="41">
        <v>46008.427083333336</v>
      </c>
      <c r="M2301" s="38" t="s">
        <v>123</v>
      </c>
      <c r="N2301" s="41">
        <v>46008.5</v>
      </c>
      <c r="O2301" s="38" t="s">
        <v>123</v>
      </c>
      <c r="P2301" s="38">
        <v>6300.0</v>
      </c>
      <c r="Q2301" s="39"/>
      <c r="R2301" s="39"/>
      <c r="S2301" s="39"/>
      <c r="T2301" s="39"/>
      <c r="U2301" s="39"/>
    </row>
    <row r="2302">
      <c r="A2302" s="40">
        <f t="shared" si="1"/>
        <v>46006</v>
      </c>
      <c r="B2302" s="37" t="str">
        <f t="array" ref="B2302">iferror(xlookup($I2302, 'IMPORT VHC Report'!$E:$E, 'IMPORT VHC Report'!$A:$C), )</f>
        <v/>
      </c>
      <c r="C2302" s="37"/>
      <c r="D2302" s="37"/>
      <c r="E2302" s="38" t="s">
        <v>2827</v>
      </c>
      <c r="F2302" s="38" t="s">
        <v>2807</v>
      </c>
      <c r="G2302" s="38">
        <v>5.566859239951E12</v>
      </c>
      <c r="H2302" s="38" t="s">
        <v>2808</v>
      </c>
      <c r="I2302" s="38" t="s">
        <v>2809</v>
      </c>
      <c r="J2302" s="38" t="s">
        <v>132</v>
      </c>
      <c r="K2302" s="38" t="s">
        <v>126</v>
      </c>
      <c r="L2302" s="41">
        <v>46008.5</v>
      </c>
      <c r="M2302" s="38" t="s">
        <v>123</v>
      </c>
      <c r="N2302" s="41">
        <v>46008.541666666664</v>
      </c>
      <c r="O2302" s="38" t="s">
        <v>123</v>
      </c>
      <c r="P2302" s="38">
        <v>3600.0</v>
      </c>
      <c r="Q2302" s="39"/>
      <c r="R2302" s="39"/>
      <c r="S2302" s="39"/>
      <c r="T2302" s="39"/>
      <c r="U2302" s="39"/>
    </row>
    <row r="2303">
      <c r="A2303" s="40">
        <f t="shared" si="1"/>
        <v>46006</v>
      </c>
      <c r="B2303" s="37" t="str">
        <f t="array" ref="B2303">iferror(xlookup($I2303, 'IMPORT VHC Report'!$E:$E, 'IMPORT VHC Report'!$A:$C), )</f>
        <v/>
      </c>
      <c r="C2303" s="37"/>
      <c r="D2303" s="37"/>
      <c r="E2303" s="38" t="s">
        <v>2828</v>
      </c>
      <c r="F2303" s="38" t="s">
        <v>2807</v>
      </c>
      <c r="G2303" s="38">
        <v>5.566859239951E12</v>
      </c>
      <c r="H2303" s="38" t="s">
        <v>2808</v>
      </c>
      <c r="I2303" s="38" t="s">
        <v>2809</v>
      </c>
      <c r="J2303" s="38" t="s">
        <v>224</v>
      </c>
      <c r="K2303" s="38" t="s">
        <v>63</v>
      </c>
      <c r="L2303" s="41">
        <v>46008.541666666664</v>
      </c>
      <c r="M2303" s="38" t="s">
        <v>123</v>
      </c>
      <c r="N2303" s="41">
        <v>46008.625</v>
      </c>
      <c r="O2303" s="38" t="s">
        <v>123</v>
      </c>
      <c r="P2303" s="38">
        <v>7200.0</v>
      </c>
      <c r="Q2303" s="39"/>
      <c r="R2303" s="39"/>
      <c r="S2303" s="39"/>
      <c r="T2303" s="39"/>
      <c r="U2303" s="39"/>
    </row>
    <row r="2304">
      <c r="A2304" s="40">
        <f t="shared" si="1"/>
        <v>46006</v>
      </c>
      <c r="B2304" s="37" t="str">
        <f t="array" ref="B2304">iferror(xlookup($I2304, 'IMPORT VHC Report'!$E:$E, 'IMPORT VHC Report'!$A:$C), )</f>
        <v/>
      </c>
      <c r="C2304" s="37"/>
      <c r="D2304" s="37"/>
      <c r="E2304" s="38" t="s">
        <v>2829</v>
      </c>
      <c r="F2304" s="38" t="s">
        <v>2807</v>
      </c>
      <c r="G2304" s="38">
        <v>5.566859239951E12</v>
      </c>
      <c r="H2304" s="38" t="s">
        <v>2808</v>
      </c>
      <c r="I2304" s="38" t="s">
        <v>2809</v>
      </c>
      <c r="J2304" s="38" t="s">
        <v>152</v>
      </c>
      <c r="K2304" s="38" t="s">
        <v>153</v>
      </c>
      <c r="L2304" s="41">
        <v>46011.25</v>
      </c>
      <c r="M2304" s="38" t="s">
        <v>123</v>
      </c>
      <c r="N2304" s="41">
        <v>46011.583333333336</v>
      </c>
      <c r="O2304" s="38" t="s">
        <v>123</v>
      </c>
      <c r="P2304" s="38">
        <v>28800.0</v>
      </c>
      <c r="Q2304" s="38">
        <v>28800.0</v>
      </c>
      <c r="R2304" s="39"/>
      <c r="S2304" s="39"/>
      <c r="T2304" s="39"/>
      <c r="U2304" s="39"/>
    </row>
    <row r="2305">
      <c r="A2305" s="40">
        <f t="shared" si="1"/>
        <v>46006</v>
      </c>
      <c r="B2305" s="37" t="str">
        <f t="array" ref="B2305">iferror(xlookup($I2305, 'IMPORT VHC Report'!$E:$E, 'IMPORT VHC Report'!$A:$C), )</f>
        <v/>
      </c>
      <c r="C2305" s="37"/>
      <c r="D2305" s="37"/>
      <c r="E2305" s="38" t="s">
        <v>2830</v>
      </c>
      <c r="F2305" s="38" t="s">
        <v>2807</v>
      </c>
      <c r="G2305" s="38">
        <v>5.566859239951E12</v>
      </c>
      <c r="H2305" s="38" t="s">
        <v>2808</v>
      </c>
      <c r="I2305" s="38" t="s">
        <v>2809</v>
      </c>
      <c r="J2305" s="38" t="s">
        <v>134</v>
      </c>
      <c r="K2305" s="38" t="s">
        <v>126</v>
      </c>
      <c r="L2305" s="41">
        <v>46011.322916666664</v>
      </c>
      <c r="M2305" s="38" t="s">
        <v>123</v>
      </c>
      <c r="N2305" s="41">
        <v>46011.333333333336</v>
      </c>
      <c r="O2305" s="38" t="s">
        <v>123</v>
      </c>
      <c r="P2305" s="38">
        <v>900.0</v>
      </c>
      <c r="Q2305" s="39"/>
      <c r="R2305" s="39"/>
      <c r="S2305" s="39"/>
      <c r="T2305" s="39"/>
      <c r="U2305" s="39"/>
    </row>
    <row r="2306">
      <c r="A2306" s="40">
        <f t="shared" si="1"/>
        <v>46006</v>
      </c>
      <c r="B2306" s="37" t="str">
        <f t="array" ref="B2306">iferror(xlookup($I2306, 'IMPORT VHC Report'!$E:$E, 'IMPORT VHC Report'!$A:$C), )</f>
        <v/>
      </c>
      <c r="C2306" s="37"/>
      <c r="D2306" s="37"/>
      <c r="E2306" s="38" t="s">
        <v>2831</v>
      </c>
      <c r="F2306" s="38" t="s">
        <v>2807</v>
      </c>
      <c r="G2306" s="38">
        <v>5.566859239951E12</v>
      </c>
      <c r="H2306" s="38" t="s">
        <v>2808</v>
      </c>
      <c r="I2306" s="38" t="s">
        <v>2809</v>
      </c>
      <c r="J2306" s="38" t="s">
        <v>134</v>
      </c>
      <c r="K2306" s="38" t="s">
        <v>126</v>
      </c>
      <c r="L2306" s="41">
        <v>46011.416666666664</v>
      </c>
      <c r="M2306" s="38" t="s">
        <v>123</v>
      </c>
      <c r="N2306" s="41">
        <v>46011.427083333336</v>
      </c>
      <c r="O2306" s="38" t="s">
        <v>123</v>
      </c>
      <c r="P2306" s="38">
        <v>900.0</v>
      </c>
      <c r="Q2306" s="39"/>
      <c r="R2306" s="39"/>
      <c r="S2306" s="39"/>
      <c r="T2306" s="39"/>
      <c r="U2306" s="39"/>
    </row>
    <row r="2307">
      <c r="A2307" s="40">
        <f t="shared" si="1"/>
        <v>46006</v>
      </c>
      <c r="B2307" s="37" t="str">
        <f t="array" ref="B2307">iferror(xlookup($I2307, 'IMPORT VHC Report'!$E:$E, 'IMPORT VHC Report'!$A:$C), )</f>
        <v/>
      </c>
      <c r="C2307" s="37"/>
      <c r="D2307" s="37"/>
      <c r="E2307" s="38" t="s">
        <v>2832</v>
      </c>
      <c r="F2307" s="38" t="s">
        <v>2807</v>
      </c>
      <c r="G2307" s="38">
        <v>5.566859239951E12</v>
      </c>
      <c r="H2307" s="38" t="s">
        <v>2808</v>
      </c>
      <c r="I2307" s="38" t="s">
        <v>2809</v>
      </c>
      <c r="J2307" s="38" t="s">
        <v>132</v>
      </c>
      <c r="K2307" s="38" t="s">
        <v>126</v>
      </c>
      <c r="L2307" s="41">
        <v>46011.5</v>
      </c>
      <c r="M2307" s="38" t="s">
        <v>123</v>
      </c>
      <c r="N2307" s="41">
        <v>46011.541666666664</v>
      </c>
      <c r="O2307" s="38" t="s">
        <v>123</v>
      </c>
      <c r="P2307" s="38">
        <v>3600.0</v>
      </c>
      <c r="Q2307" s="39"/>
      <c r="R2307" s="39"/>
      <c r="S2307" s="39"/>
      <c r="T2307" s="39"/>
      <c r="U2307" s="39"/>
    </row>
    <row r="2308">
      <c r="A2308" s="40">
        <f t="shared" si="1"/>
        <v>46006</v>
      </c>
      <c r="B2308" s="37" t="str">
        <f t="array" ref="B2308">iferror(xlookup($I2308, 'IMPORT VHC Report'!$E:$E, 'IMPORT VHC Report'!$A:$C), )</f>
        <v/>
      </c>
      <c r="C2308" s="37"/>
      <c r="D2308" s="37"/>
      <c r="E2308" s="38" t="s">
        <v>2833</v>
      </c>
      <c r="F2308" s="38" t="s">
        <v>2807</v>
      </c>
      <c r="G2308" s="38">
        <v>5.566859239951E12</v>
      </c>
      <c r="H2308" s="38" t="s">
        <v>2808</v>
      </c>
      <c r="I2308" s="38" t="s">
        <v>2809</v>
      </c>
      <c r="J2308" s="38" t="s">
        <v>224</v>
      </c>
      <c r="K2308" s="38" t="s">
        <v>63</v>
      </c>
      <c r="L2308" s="41">
        <v>46012.25</v>
      </c>
      <c r="M2308" s="38" t="s">
        <v>123</v>
      </c>
      <c r="N2308" s="41">
        <v>46012.46875</v>
      </c>
      <c r="O2308" s="38" t="s">
        <v>123</v>
      </c>
      <c r="P2308" s="38">
        <v>18900.0</v>
      </c>
      <c r="Q2308" s="39"/>
      <c r="R2308" s="39"/>
      <c r="S2308" s="39"/>
      <c r="T2308" s="39"/>
      <c r="U2308" s="39"/>
    </row>
    <row r="2309">
      <c r="A2309" s="40">
        <f t="shared" si="1"/>
        <v>46006</v>
      </c>
      <c r="B2309" s="37" t="str">
        <f t="array" ref="B2309">iferror(xlookup($I2309, 'IMPORT VHC Report'!$E:$E, 'IMPORT VHC Report'!$A:$C), )</f>
        <v/>
      </c>
      <c r="C2309" s="37"/>
      <c r="D2309" s="37"/>
      <c r="E2309" s="38" t="s">
        <v>2834</v>
      </c>
      <c r="F2309" s="38" t="s">
        <v>2807</v>
      </c>
      <c r="G2309" s="38">
        <v>5.566859239951E12</v>
      </c>
      <c r="H2309" s="38" t="s">
        <v>2808</v>
      </c>
      <c r="I2309" s="38" t="s">
        <v>2809</v>
      </c>
      <c r="J2309" s="38" t="s">
        <v>178</v>
      </c>
      <c r="K2309" s="38" t="s">
        <v>153</v>
      </c>
      <c r="L2309" s="41">
        <v>46012.25</v>
      </c>
      <c r="M2309" s="38" t="s">
        <v>123</v>
      </c>
      <c r="N2309" s="41">
        <v>46012.625</v>
      </c>
      <c r="O2309" s="38" t="s">
        <v>123</v>
      </c>
      <c r="P2309" s="38">
        <v>32400.0</v>
      </c>
      <c r="Q2309" s="38">
        <v>57600.0</v>
      </c>
      <c r="R2309" s="39"/>
      <c r="S2309" s="39"/>
      <c r="T2309" s="39"/>
      <c r="U2309" s="39"/>
    </row>
    <row r="2310">
      <c r="A2310" s="40">
        <f t="shared" si="1"/>
        <v>46006</v>
      </c>
      <c r="B2310" s="37" t="str">
        <f t="array" ref="B2310">iferror(xlookup($I2310, 'IMPORT VHC Report'!$E:$E, 'IMPORT VHC Report'!$A:$C), )</f>
        <v/>
      </c>
      <c r="C2310" s="37"/>
      <c r="D2310" s="37"/>
      <c r="E2310" s="38" t="s">
        <v>2835</v>
      </c>
      <c r="F2310" s="38" t="s">
        <v>2836</v>
      </c>
      <c r="G2310" s="38">
        <v>3.61725375656E11</v>
      </c>
      <c r="H2310" s="38" t="s">
        <v>2837</v>
      </c>
      <c r="I2310" s="38" t="s">
        <v>2838</v>
      </c>
      <c r="J2310" s="38" t="s">
        <v>2135</v>
      </c>
      <c r="K2310" s="38" t="s">
        <v>63</v>
      </c>
      <c r="L2310" s="41">
        <v>46006.25</v>
      </c>
      <c r="M2310" s="38" t="s">
        <v>123</v>
      </c>
      <c r="N2310" s="41">
        <v>46006.625</v>
      </c>
      <c r="O2310" s="38" t="s">
        <v>123</v>
      </c>
      <c r="P2310" s="38">
        <v>32400.0</v>
      </c>
      <c r="Q2310" s="39"/>
      <c r="R2310" s="39"/>
      <c r="S2310" s="39"/>
      <c r="T2310" s="39"/>
      <c r="U2310" s="39"/>
    </row>
    <row r="2311">
      <c r="A2311" s="40">
        <f t="shared" si="1"/>
        <v>46006</v>
      </c>
      <c r="B2311" s="37" t="str">
        <f t="array" ref="B2311">iferror(xlookup($I2311, 'IMPORT VHC Report'!$E:$E, 'IMPORT VHC Report'!$A:$C), )</f>
        <v/>
      </c>
      <c r="C2311" s="37"/>
      <c r="D2311" s="37"/>
      <c r="E2311" s="38" t="s">
        <v>2839</v>
      </c>
      <c r="F2311" s="38" t="s">
        <v>2836</v>
      </c>
      <c r="G2311" s="38">
        <v>3.61725375656E11</v>
      </c>
      <c r="H2311" s="38" t="s">
        <v>2837</v>
      </c>
      <c r="I2311" s="38" t="s">
        <v>2838</v>
      </c>
      <c r="J2311" s="38" t="s">
        <v>134</v>
      </c>
      <c r="K2311" s="38" t="s">
        <v>126</v>
      </c>
      <c r="L2311" s="41">
        <v>46006.34375</v>
      </c>
      <c r="M2311" s="38" t="s">
        <v>123</v>
      </c>
      <c r="N2311" s="41">
        <v>46006.354166666664</v>
      </c>
      <c r="O2311" s="38" t="s">
        <v>123</v>
      </c>
      <c r="P2311" s="38">
        <v>900.0</v>
      </c>
      <c r="Q2311" s="39"/>
      <c r="R2311" s="39"/>
      <c r="S2311" s="39"/>
      <c r="T2311" s="39"/>
      <c r="U2311" s="39"/>
    </row>
    <row r="2312">
      <c r="A2312" s="40">
        <f t="shared" si="1"/>
        <v>46006</v>
      </c>
      <c r="B2312" s="37" t="str">
        <f t="array" ref="B2312">iferror(xlookup($I2312, 'IMPORT VHC Report'!$E:$E, 'IMPORT VHC Report'!$A:$C), )</f>
        <v/>
      </c>
      <c r="C2312" s="37"/>
      <c r="D2312" s="37"/>
      <c r="E2312" s="38" t="s">
        <v>2840</v>
      </c>
      <c r="F2312" s="38" t="s">
        <v>2836</v>
      </c>
      <c r="G2312" s="38">
        <v>3.61725375656E11</v>
      </c>
      <c r="H2312" s="38" t="s">
        <v>2837</v>
      </c>
      <c r="I2312" s="38" t="s">
        <v>2838</v>
      </c>
      <c r="J2312" s="38" t="s">
        <v>132</v>
      </c>
      <c r="K2312" s="38" t="s">
        <v>126</v>
      </c>
      <c r="L2312" s="41">
        <v>46006.447916666664</v>
      </c>
      <c r="M2312" s="38" t="s">
        <v>123</v>
      </c>
      <c r="N2312" s="41">
        <v>46006.489583333336</v>
      </c>
      <c r="O2312" s="38" t="s">
        <v>123</v>
      </c>
      <c r="P2312" s="38">
        <v>3600.0</v>
      </c>
      <c r="Q2312" s="39"/>
      <c r="R2312" s="39"/>
      <c r="S2312" s="39"/>
      <c r="T2312" s="39"/>
      <c r="U2312" s="39"/>
    </row>
    <row r="2313">
      <c r="A2313" s="40">
        <f t="shared" si="1"/>
        <v>46006</v>
      </c>
      <c r="B2313" s="37" t="str">
        <f t="array" ref="B2313">iferror(xlookup($I2313, 'IMPORT VHC Report'!$E:$E, 'IMPORT VHC Report'!$A:$C), )</f>
        <v/>
      </c>
      <c r="C2313" s="37"/>
      <c r="D2313" s="37"/>
      <c r="E2313" s="38" t="s">
        <v>2841</v>
      </c>
      <c r="F2313" s="38" t="s">
        <v>2836</v>
      </c>
      <c r="G2313" s="38">
        <v>3.61725375656E11</v>
      </c>
      <c r="H2313" s="38" t="s">
        <v>2837</v>
      </c>
      <c r="I2313" s="38" t="s">
        <v>2838</v>
      </c>
      <c r="J2313" s="38" t="s">
        <v>134</v>
      </c>
      <c r="K2313" s="38" t="s">
        <v>126</v>
      </c>
      <c r="L2313" s="41">
        <v>46006.552083333336</v>
      </c>
      <c r="M2313" s="38" t="s">
        <v>123</v>
      </c>
      <c r="N2313" s="41">
        <v>46006.5625</v>
      </c>
      <c r="O2313" s="38" t="s">
        <v>123</v>
      </c>
      <c r="P2313" s="38">
        <v>900.0</v>
      </c>
      <c r="Q2313" s="39"/>
      <c r="R2313" s="39"/>
      <c r="S2313" s="39"/>
      <c r="T2313" s="39"/>
      <c r="U2313" s="39"/>
    </row>
    <row r="2314">
      <c r="A2314" s="40">
        <f t="shared" si="1"/>
        <v>46006</v>
      </c>
      <c r="B2314" s="37" t="str">
        <f t="array" ref="B2314">iferror(xlookup($I2314, 'IMPORT VHC Report'!$E:$E, 'IMPORT VHC Report'!$A:$C), )</f>
        <v/>
      </c>
      <c r="C2314" s="37"/>
      <c r="D2314" s="37"/>
      <c r="E2314" s="38" t="s">
        <v>2842</v>
      </c>
      <c r="F2314" s="38" t="s">
        <v>2836</v>
      </c>
      <c r="G2314" s="38">
        <v>3.61725375656E11</v>
      </c>
      <c r="H2314" s="38" t="s">
        <v>2837</v>
      </c>
      <c r="I2314" s="38" t="s">
        <v>2838</v>
      </c>
      <c r="J2314" s="38" t="s">
        <v>2135</v>
      </c>
      <c r="K2314" s="38" t="s">
        <v>63</v>
      </c>
      <c r="L2314" s="41">
        <v>46007.25</v>
      </c>
      <c r="M2314" s="38" t="s">
        <v>123</v>
      </c>
      <c r="N2314" s="41">
        <v>46007.625</v>
      </c>
      <c r="O2314" s="38" t="s">
        <v>123</v>
      </c>
      <c r="P2314" s="38">
        <v>32400.0</v>
      </c>
      <c r="Q2314" s="39"/>
      <c r="R2314" s="39"/>
      <c r="S2314" s="39"/>
      <c r="T2314" s="39"/>
      <c r="U2314" s="39"/>
    </row>
    <row r="2315">
      <c r="A2315" s="40">
        <f t="shared" si="1"/>
        <v>46006</v>
      </c>
      <c r="B2315" s="37" t="str">
        <f t="array" ref="B2315">iferror(xlookup($I2315, 'IMPORT VHC Report'!$E:$E, 'IMPORT VHC Report'!$A:$C), )</f>
        <v/>
      </c>
      <c r="C2315" s="37"/>
      <c r="D2315" s="37"/>
      <c r="E2315" s="38" t="s">
        <v>2843</v>
      </c>
      <c r="F2315" s="38" t="s">
        <v>2836</v>
      </c>
      <c r="G2315" s="38">
        <v>3.61725375656E11</v>
      </c>
      <c r="H2315" s="38" t="s">
        <v>2837</v>
      </c>
      <c r="I2315" s="38" t="s">
        <v>2838</v>
      </c>
      <c r="J2315" s="38" t="s">
        <v>134</v>
      </c>
      <c r="K2315" s="38" t="s">
        <v>126</v>
      </c>
      <c r="L2315" s="41">
        <v>46007.34375</v>
      </c>
      <c r="M2315" s="38" t="s">
        <v>123</v>
      </c>
      <c r="N2315" s="41">
        <v>46007.354166666664</v>
      </c>
      <c r="O2315" s="38" t="s">
        <v>123</v>
      </c>
      <c r="P2315" s="38">
        <v>900.0</v>
      </c>
      <c r="Q2315" s="39"/>
      <c r="R2315" s="39"/>
      <c r="S2315" s="39"/>
      <c r="T2315" s="39"/>
      <c r="U2315" s="39"/>
    </row>
    <row r="2316">
      <c r="A2316" s="40">
        <f t="shared" si="1"/>
        <v>46006</v>
      </c>
      <c r="B2316" s="37" t="str">
        <f t="array" ref="B2316">iferror(xlookup($I2316, 'IMPORT VHC Report'!$E:$E, 'IMPORT VHC Report'!$A:$C), )</f>
        <v/>
      </c>
      <c r="C2316" s="37"/>
      <c r="D2316" s="37"/>
      <c r="E2316" s="38" t="s">
        <v>2844</v>
      </c>
      <c r="F2316" s="38" t="s">
        <v>2836</v>
      </c>
      <c r="G2316" s="38">
        <v>3.61725375656E11</v>
      </c>
      <c r="H2316" s="38" t="s">
        <v>2837</v>
      </c>
      <c r="I2316" s="38" t="s">
        <v>2838</v>
      </c>
      <c r="J2316" s="38" t="s">
        <v>132</v>
      </c>
      <c r="K2316" s="38" t="s">
        <v>126</v>
      </c>
      <c r="L2316" s="41">
        <v>46007.427083333336</v>
      </c>
      <c r="M2316" s="38" t="s">
        <v>123</v>
      </c>
      <c r="N2316" s="41">
        <v>46007.46875</v>
      </c>
      <c r="O2316" s="38" t="s">
        <v>123</v>
      </c>
      <c r="P2316" s="38">
        <v>3600.0</v>
      </c>
      <c r="Q2316" s="39"/>
      <c r="R2316" s="39"/>
      <c r="S2316" s="39"/>
      <c r="T2316" s="39"/>
      <c r="U2316" s="39"/>
    </row>
    <row r="2317">
      <c r="A2317" s="40">
        <f t="shared" si="1"/>
        <v>46006</v>
      </c>
      <c r="B2317" s="37" t="str">
        <f t="array" ref="B2317">iferror(xlookup($I2317, 'IMPORT VHC Report'!$E:$E, 'IMPORT VHC Report'!$A:$C), )</f>
        <v/>
      </c>
      <c r="C2317" s="37"/>
      <c r="D2317" s="37"/>
      <c r="E2317" s="38" t="s">
        <v>2845</v>
      </c>
      <c r="F2317" s="38" t="s">
        <v>2836</v>
      </c>
      <c r="G2317" s="38">
        <v>3.61725375656E11</v>
      </c>
      <c r="H2317" s="38" t="s">
        <v>2837</v>
      </c>
      <c r="I2317" s="38" t="s">
        <v>2838</v>
      </c>
      <c r="J2317" s="38" t="s">
        <v>134</v>
      </c>
      <c r="K2317" s="38" t="s">
        <v>126</v>
      </c>
      <c r="L2317" s="41">
        <v>46007.552083333336</v>
      </c>
      <c r="M2317" s="38" t="s">
        <v>123</v>
      </c>
      <c r="N2317" s="41">
        <v>46007.5625</v>
      </c>
      <c r="O2317" s="38" t="s">
        <v>123</v>
      </c>
      <c r="P2317" s="38">
        <v>900.0</v>
      </c>
      <c r="Q2317" s="39"/>
      <c r="R2317" s="39"/>
      <c r="S2317" s="39"/>
      <c r="T2317" s="39"/>
      <c r="U2317" s="39"/>
    </row>
    <row r="2318">
      <c r="A2318" s="40">
        <f t="shared" si="1"/>
        <v>46006</v>
      </c>
      <c r="B2318" s="37" t="str">
        <f t="array" ref="B2318">iferror(xlookup($I2318, 'IMPORT VHC Report'!$E:$E, 'IMPORT VHC Report'!$A:$C), )</f>
        <v/>
      </c>
      <c r="C2318" s="37"/>
      <c r="D2318" s="37"/>
      <c r="E2318" s="38" t="s">
        <v>2846</v>
      </c>
      <c r="F2318" s="38" t="s">
        <v>2836</v>
      </c>
      <c r="G2318" s="38">
        <v>3.61725375656E11</v>
      </c>
      <c r="H2318" s="38" t="s">
        <v>2837</v>
      </c>
      <c r="I2318" s="38" t="s">
        <v>2838</v>
      </c>
      <c r="J2318" s="38" t="s">
        <v>2135</v>
      </c>
      <c r="K2318" s="38" t="s">
        <v>63</v>
      </c>
      <c r="L2318" s="41">
        <v>46008.25</v>
      </c>
      <c r="M2318" s="38" t="s">
        <v>123</v>
      </c>
      <c r="N2318" s="41">
        <v>46008.625</v>
      </c>
      <c r="O2318" s="38" t="s">
        <v>123</v>
      </c>
      <c r="P2318" s="38">
        <v>32400.0</v>
      </c>
      <c r="Q2318" s="39"/>
      <c r="R2318" s="39"/>
      <c r="S2318" s="39"/>
      <c r="T2318" s="39"/>
      <c r="U2318" s="39"/>
    </row>
    <row r="2319">
      <c r="A2319" s="40">
        <f t="shared" si="1"/>
        <v>46006</v>
      </c>
      <c r="B2319" s="37" t="str">
        <f t="array" ref="B2319">iferror(xlookup($I2319, 'IMPORT VHC Report'!$E:$E, 'IMPORT VHC Report'!$A:$C), )</f>
        <v/>
      </c>
      <c r="C2319" s="37"/>
      <c r="D2319" s="37"/>
      <c r="E2319" s="38" t="s">
        <v>2847</v>
      </c>
      <c r="F2319" s="38" t="s">
        <v>2836</v>
      </c>
      <c r="G2319" s="38">
        <v>3.61725375656E11</v>
      </c>
      <c r="H2319" s="38" t="s">
        <v>2837</v>
      </c>
      <c r="I2319" s="38" t="s">
        <v>2838</v>
      </c>
      <c r="J2319" s="38" t="s">
        <v>134</v>
      </c>
      <c r="K2319" s="38" t="s">
        <v>126</v>
      </c>
      <c r="L2319" s="41">
        <v>46008.354166666664</v>
      </c>
      <c r="M2319" s="38" t="s">
        <v>123</v>
      </c>
      <c r="N2319" s="41">
        <v>46008.364583333336</v>
      </c>
      <c r="O2319" s="38" t="s">
        <v>123</v>
      </c>
      <c r="P2319" s="38">
        <v>900.0</v>
      </c>
      <c r="Q2319" s="39"/>
      <c r="R2319" s="39"/>
      <c r="S2319" s="39"/>
      <c r="T2319" s="39"/>
      <c r="U2319" s="39"/>
    </row>
    <row r="2320">
      <c r="A2320" s="40">
        <f t="shared" si="1"/>
        <v>46006</v>
      </c>
      <c r="B2320" s="37" t="str">
        <f t="array" ref="B2320">iferror(xlookup($I2320, 'IMPORT VHC Report'!$E:$E, 'IMPORT VHC Report'!$A:$C), )</f>
        <v/>
      </c>
      <c r="C2320" s="37"/>
      <c r="D2320" s="37"/>
      <c r="E2320" s="38" t="s">
        <v>2848</v>
      </c>
      <c r="F2320" s="38" t="s">
        <v>2836</v>
      </c>
      <c r="G2320" s="38">
        <v>3.61725375656E11</v>
      </c>
      <c r="H2320" s="38" t="s">
        <v>2837</v>
      </c>
      <c r="I2320" s="38" t="s">
        <v>2838</v>
      </c>
      <c r="J2320" s="38" t="s">
        <v>132</v>
      </c>
      <c r="K2320" s="38" t="s">
        <v>126</v>
      </c>
      <c r="L2320" s="41">
        <v>46008.427083333336</v>
      </c>
      <c r="M2320" s="38" t="s">
        <v>123</v>
      </c>
      <c r="N2320" s="41">
        <v>46008.46875</v>
      </c>
      <c r="O2320" s="38" t="s">
        <v>123</v>
      </c>
      <c r="P2320" s="38">
        <v>3600.0</v>
      </c>
      <c r="Q2320" s="39"/>
      <c r="R2320" s="39"/>
      <c r="S2320" s="39"/>
      <c r="T2320" s="39"/>
      <c r="U2320" s="39"/>
    </row>
    <row r="2321">
      <c r="A2321" s="40">
        <f t="shared" si="1"/>
        <v>46006</v>
      </c>
      <c r="B2321" s="37" t="str">
        <f t="array" ref="B2321">iferror(xlookup($I2321, 'IMPORT VHC Report'!$E:$E, 'IMPORT VHC Report'!$A:$C), )</f>
        <v/>
      </c>
      <c r="C2321" s="37"/>
      <c r="D2321" s="37"/>
      <c r="E2321" s="38" t="s">
        <v>2849</v>
      </c>
      <c r="F2321" s="38" t="s">
        <v>2836</v>
      </c>
      <c r="G2321" s="38">
        <v>3.61725375656E11</v>
      </c>
      <c r="H2321" s="38" t="s">
        <v>2837</v>
      </c>
      <c r="I2321" s="38" t="s">
        <v>2838</v>
      </c>
      <c r="J2321" s="38" t="s">
        <v>134</v>
      </c>
      <c r="K2321" s="38" t="s">
        <v>126</v>
      </c>
      <c r="L2321" s="41">
        <v>46008.541666666664</v>
      </c>
      <c r="M2321" s="38" t="s">
        <v>123</v>
      </c>
      <c r="N2321" s="41">
        <v>46008.552083333336</v>
      </c>
      <c r="O2321" s="38" t="s">
        <v>123</v>
      </c>
      <c r="P2321" s="38">
        <v>900.0</v>
      </c>
      <c r="Q2321" s="39"/>
      <c r="R2321" s="39"/>
      <c r="S2321" s="39"/>
      <c r="T2321" s="39"/>
      <c r="U2321" s="39"/>
    </row>
    <row r="2322">
      <c r="A2322" s="40">
        <f t="shared" si="1"/>
        <v>46006</v>
      </c>
      <c r="B2322" s="37" t="str">
        <f t="array" ref="B2322">iferror(xlookup($I2322, 'IMPORT VHC Report'!$E:$E, 'IMPORT VHC Report'!$A:$C), )</f>
        <v/>
      </c>
      <c r="C2322" s="37"/>
      <c r="D2322" s="37"/>
      <c r="E2322" s="38" t="s">
        <v>2850</v>
      </c>
      <c r="F2322" s="38" t="s">
        <v>2836</v>
      </c>
      <c r="G2322" s="38">
        <v>3.61725375656E11</v>
      </c>
      <c r="H2322" s="38" t="s">
        <v>2837</v>
      </c>
      <c r="I2322" s="38" t="s">
        <v>2838</v>
      </c>
      <c r="J2322" s="38" t="s">
        <v>2135</v>
      </c>
      <c r="K2322" s="38" t="s">
        <v>63</v>
      </c>
      <c r="L2322" s="41">
        <v>46009.25</v>
      </c>
      <c r="M2322" s="38" t="s">
        <v>123</v>
      </c>
      <c r="N2322" s="41">
        <v>46009.625</v>
      </c>
      <c r="O2322" s="38" t="s">
        <v>123</v>
      </c>
      <c r="P2322" s="38">
        <v>32400.0</v>
      </c>
      <c r="Q2322" s="39"/>
      <c r="R2322" s="39"/>
      <c r="S2322" s="39"/>
      <c r="T2322" s="39"/>
      <c r="U2322" s="39"/>
    </row>
    <row r="2323">
      <c r="A2323" s="40">
        <f t="shared" si="1"/>
        <v>46006</v>
      </c>
      <c r="B2323" s="37" t="str">
        <f t="array" ref="B2323">iferror(xlookup($I2323, 'IMPORT VHC Report'!$E:$E, 'IMPORT VHC Report'!$A:$C), )</f>
        <v/>
      </c>
      <c r="C2323" s="37"/>
      <c r="D2323" s="37"/>
      <c r="E2323" s="38" t="s">
        <v>2851</v>
      </c>
      <c r="F2323" s="38" t="s">
        <v>2836</v>
      </c>
      <c r="G2323" s="38">
        <v>3.61725375656E11</v>
      </c>
      <c r="H2323" s="38" t="s">
        <v>2837</v>
      </c>
      <c r="I2323" s="38" t="s">
        <v>2838</v>
      </c>
      <c r="J2323" s="38" t="s">
        <v>134</v>
      </c>
      <c r="K2323" s="38" t="s">
        <v>126</v>
      </c>
      <c r="L2323" s="41">
        <v>46009.322916666664</v>
      </c>
      <c r="M2323" s="38" t="s">
        <v>123</v>
      </c>
      <c r="N2323" s="41">
        <v>46009.333333333336</v>
      </c>
      <c r="O2323" s="38" t="s">
        <v>123</v>
      </c>
      <c r="P2323" s="38">
        <v>900.0</v>
      </c>
      <c r="Q2323" s="39"/>
      <c r="R2323" s="39"/>
      <c r="S2323" s="39"/>
      <c r="T2323" s="39"/>
      <c r="U2323" s="39"/>
    </row>
    <row r="2324">
      <c r="A2324" s="40">
        <f t="shared" si="1"/>
        <v>46006</v>
      </c>
      <c r="B2324" s="37" t="str">
        <f t="array" ref="B2324">iferror(xlookup($I2324, 'IMPORT VHC Report'!$E:$E, 'IMPORT VHC Report'!$A:$C), )</f>
        <v/>
      </c>
      <c r="C2324" s="37"/>
      <c r="D2324" s="37"/>
      <c r="E2324" s="38" t="s">
        <v>2852</v>
      </c>
      <c r="F2324" s="38" t="s">
        <v>2836</v>
      </c>
      <c r="G2324" s="38">
        <v>3.61725375656E11</v>
      </c>
      <c r="H2324" s="38" t="s">
        <v>2837</v>
      </c>
      <c r="I2324" s="38" t="s">
        <v>2838</v>
      </c>
      <c r="J2324" s="38" t="s">
        <v>132</v>
      </c>
      <c r="K2324" s="38" t="s">
        <v>126</v>
      </c>
      <c r="L2324" s="41">
        <v>46009.416666666664</v>
      </c>
      <c r="M2324" s="38" t="s">
        <v>123</v>
      </c>
      <c r="N2324" s="41">
        <v>46009.458333333336</v>
      </c>
      <c r="O2324" s="38" t="s">
        <v>123</v>
      </c>
      <c r="P2324" s="38">
        <v>3600.0</v>
      </c>
      <c r="Q2324" s="39"/>
      <c r="R2324" s="39"/>
      <c r="S2324" s="39"/>
      <c r="T2324" s="39"/>
      <c r="U2324" s="39"/>
    </row>
    <row r="2325">
      <c r="A2325" s="40">
        <f t="shared" si="1"/>
        <v>46006</v>
      </c>
      <c r="B2325" s="37" t="str">
        <f t="array" ref="B2325">iferror(xlookup($I2325, 'IMPORT VHC Report'!$E:$E, 'IMPORT VHC Report'!$A:$C), )</f>
        <v/>
      </c>
      <c r="C2325" s="37"/>
      <c r="D2325" s="37"/>
      <c r="E2325" s="38" t="s">
        <v>2853</v>
      </c>
      <c r="F2325" s="38" t="s">
        <v>2836</v>
      </c>
      <c r="G2325" s="38">
        <v>3.61725375656E11</v>
      </c>
      <c r="H2325" s="38" t="s">
        <v>2837</v>
      </c>
      <c r="I2325" s="38" t="s">
        <v>2838</v>
      </c>
      <c r="J2325" s="38" t="s">
        <v>134</v>
      </c>
      <c r="K2325" s="38" t="s">
        <v>126</v>
      </c>
      <c r="L2325" s="41">
        <v>46009.53125</v>
      </c>
      <c r="M2325" s="38" t="s">
        <v>123</v>
      </c>
      <c r="N2325" s="41">
        <v>46009.541666666664</v>
      </c>
      <c r="O2325" s="38" t="s">
        <v>123</v>
      </c>
      <c r="P2325" s="38">
        <v>900.0</v>
      </c>
      <c r="Q2325" s="39"/>
      <c r="R2325" s="39"/>
      <c r="S2325" s="39"/>
      <c r="T2325" s="39"/>
      <c r="U2325" s="39"/>
    </row>
    <row r="2326">
      <c r="A2326" s="40">
        <f t="shared" si="1"/>
        <v>46006</v>
      </c>
      <c r="B2326" s="37" t="str">
        <f t="array" ref="B2326">iferror(xlookup($I2326, 'IMPORT VHC Report'!$E:$E, 'IMPORT VHC Report'!$A:$C), )</f>
        <v/>
      </c>
      <c r="C2326" s="37"/>
      <c r="D2326" s="37"/>
      <c r="E2326" s="38" t="s">
        <v>2854</v>
      </c>
      <c r="F2326" s="38" t="s">
        <v>2836</v>
      </c>
      <c r="G2326" s="38">
        <v>3.61725375656E11</v>
      </c>
      <c r="H2326" s="38" t="s">
        <v>2837</v>
      </c>
      <c r="I2326" s="38" t="s">
        <v>2838</v>
      </c>
      <c r="J2326" s="38" t="s">
        <v>2135</v>
      </c>
      <c r="K2326" s="38" t="s">
        <v>63</v>
      </c>
      <c r="L2326" s="41">
        <v>46010.25</v>
      </c>
      <c r="M2326" s="38" t="s">
        <v>123</v>
      </c>
      <c r="N2326" s="41">
        <v>46010.625</v>
      </c>
      <c r="O2326" s="38" t="s">
        <v>123</v>
      </c>
      <c r="P2326" s="38">
        <v>32400.0</v>
      </c>
      <c r="Q2326" s="39"/>
      <c r="R2326" s="39"/>
      <c r="S2326" s="39"/>
      <c r="T2326" s="39"/>
      <c r="U2326" s="39"/>
    </row>
    <row r="2327">
      <c r="A2327" s="40">
        <f t="shared" si="1"/>
        <v>46006</v>
      </c>
      <c r="B2327" s="37" t="str">
        <f t="array" ref="B2327">iferror(xlookup($I2327, 'IMPORT VHC Report'!$E:$E, 'IMPORT VHC Report'!$A:$C), )</f>
        <v/>
      </c>
      <c r="C2327" s="37"/>
      <c r="D2327" s="37"/>
      <c r="E2327" s="38" t="s">
        <v>2855</v>
      </c>
      <c r="F2327" s="38" t="s">
        <v>2836</v>
      </c>
      <c r="G2327" s="38">
        <v>3.61725375656E11</v>
      </c>
      <c r="H2327" s="38" t="s">
        <v>2837</v>
      </c>
      <c r="I2327" s="38" t="s">
        <v>2838</v>
      </c>
      <c r="J2327" s="38" t="s">
        <v>134</v>
      </c>
      <c r="K2327" s="38" t="s">
        <v>126</v>
      </c>
      <c r="L2327" s="41">
        <v>46010.322916666664</v>
      </c>
      <c r="M2327" s="38" t="s">
        <v>123</v>
      </c>
      <c r="N2327" s="41">
        <v>46010.333333333336</v>
      </c>
      <c r="O2327" s="38" t="s">
        <v>123</v>
      </c>
      <c r="P2327" s="38">
        <v>900.0</v>
      </c>
      <c r="Q2327" s="39"/>
      <c r="R2327" s="39"/>
      <c r="S2327" s="39"/>
      <c r="T2327" s="39"/>
      <c r="U2327" s="39"/>
    </row>
    <row r="2328">
      <c r="A2328" s="40">
        <f t="shared" si="1"/>
        <v>46006</v>
      </c>
      <c r="B2328" s="37" t="str">
        <f t="array" ref="B2328">iferror(xlookup($I2328, 'IMPORT VHC Report'!$E:$E, 'IMPORT VHC Report'!$A:$C), )</f>
        <v/>
      </c>
      <c r="C2328" s="37"/>
      <c r="D2328" s="37"/>
      <c r="E2328" s="38" t="s">
        <v>2856</v>
      </c>
      <c r="F2328" s="38" t="s">
        <v>2836</v>
      </c>
      <c r="G2328" s="38">
        <v>3.61725375656E11</v>
      </c>
      <c r="H2328" s="38" t="s">
        <v>2837</v>
      </c>
      <c r="I2328" s="38" t="s">
        <v>2838</v>
      </c>
      <c r="J2328" s="38" t="s">
        <v>132</v>
      </c>
      <c r="K2328" s="38" t="s">
        <v>126</v>
      </c>
      <c r="L2328" s="41">
        <v>46010.427083333336</v>
      </c>
      <c r="M2328" s="38" t="s">
        <v>123</v>
      </c>
      <c r="N2328" s="41">
        <v>46010.46875</v>
      </c>
      <c r="O2328" s="38" t="s">
        <v>123</v>
      </c>
      <c r="P2328" s="38">
        <v>3600.0</v>
      </c>
      <c r="Q2328" s="39"/>
      <c r="R2328" s="39"/>
      <c r="S2328" s="39"/>
      <c r="T2328" s="39"/>
      <c r="U2328" s="39"/>
    </row>
    <row r="2329">
      <c r="A2329" s="40">
        <f t="shared" si="1"/>
        <v>46006</v>
      </c>
      <c r="B2329" s="37" t="str">
        <f t="array" ref="B2329">iferror(xlookup($I2329, 'IMPORT VHC Report'!$E:$E, 'IMPORT VHC Report'!$A:$C), )</f>
        <v/>
      </c>
      <c r="C2329" s="37"/>
      <c r="D2329" s="37"/>
      <c r="E2329" s="38" t="s">
        <v>2857</v>
      </c>
      <c r="F2329" s="38" t="s">
        <v>2836</v>
      </c>
      <c r="G2329" s="38">
        <v>3.61725375656E11</v>
      </c>
      <c r="H2329" s="38" t="s">
        <v>2837</v>
      </c>
      <c r="I2329" s="38" t="s">
        <v>2838</v>
      </c>
      <c r="J2329" s="38" t="s">
        <v>134</v>
      </c>
      <c r="K2329" s="38" t="s">
        <v>126</v>
      </c>
      <c r="L2329" s="41">
        <v>46010.541666666664</v>
      </c>
      <c r="M2329" s="38" t="s">
        <v>123</v>
      </c>
      <c r="N2329" s="41">
        <v>46010.552083333336</v>
      </c>
      <c r="O2329" s="38" t="s">
        <v>123</v>
      </c>
      <c r="P2329" s="38">
        <v>900.0</v>
      </c>
      <c r="Q2329" s="39"/>
      <c r="R2329" s="39"/>
      <c r="S2329" s="39"/>
      <c r="T2329" s="39"/>
      <c r="U2329" s="39"/>
    </row>
    <row r="2330">
      <c r="A2330" s="40">
        <f t="shared" si="1"/>
        <v>46006</v>
      </c>
      <c r="B2330" s="37" t="str">
        <f t="array" ref="B2330">iferror(xlookup($I2330, 'IMPORT VHC Report'!$E:$E, 'IMPORT VHC Report'!$A:$C), )</f>
        <v/>
      </c>
      <c r="C2330" s="37"/>
      <c r="D2330" s="37"/>
      <c r="E2330" s="38" t="s">
        <v>2858</v>
      </c>
      <c r="F2330" s="38" t="s">
        <v>2859</v>
      </c>
      <c r="G2330" s="38">
        <v>5.202441057551E12</v>
      </c>
      <c r="H2330" s="38" t="s">
        <v>98</v>
      </c>
      <c r="I2330" s="38" t="s">
        <v>99</v>
      </c>
      <c r="J2330" s="38" t="s">
        <v>125</v>
      </c>
      <c r="K2330" s="38" t="s">
        <v>126</v>
      </c>
      <c r="L2330" s="41">
        <v>46006.25</v>
      </c>
      <c r="M2330" s="38" t="s">
        <v>123</v>
      </c>
      <c r="N2330" s="41">
        <v>46006.25833333333</v>
      </c>
      <c r="O2330" s="38" t="s">
        <v>123</v>
      </c>
      <c r="P2330" s="38">
        <v>720.0</v>
      </c>
      <c r="Q2330" s="39"/>
      <c r="R2330" s="39"/>
      <c r="S2330" s="39"/>
      <c r="T2330" s="39"/>
      <c r="U2330" s="39"/>
    </row>
    <row r="2331">
      <c r="A2331" s="40">
        <f t="shared" si="1"/>
        <v>46006</v>
      </c>
      <c r="B2331" s="37" t="str">
        <f t="array" ref="B2331">iferror(xlookup($I2331, 'IMPORT VHC Report'!$E:$E, 'IMPORT VHC Report'!$A:$C), )</f>
        <v/>
      </c>
      <c r="C2331" s="37"/>
      <c r="D2331" s="37"/>
      <c r="E2331" s="38" t="s">
        <v>2860</v>
      </c>
      <c r="F2331" s="38" t="s">
        <v>2859</v>
      </c>
      <c r="G2331" s="38">
        <v>5.202441057551E12</v>
      </c>
      <c r="H2331" s="38" t="s">
        <v>98</v>
      </c>
      <c r="I2331" s="38" t="s">
        <v>99</v>
      </c>
      <c r="J2331" s="38" t="s">
        <v>791</v>
      </c>
      <c r="K2331" s="38" t="s">
        <v>63</v>
      </c>
      <c r="L2331" s="41">
        <v>46006.25833333333</v>
      </c>
      <c r="M2331" s="38" t="s">
        <v>123</v>
      </c>
      <c r="N2331" s="41">
        <v>46006.430555555555</v>
      </c>
      <c r="O2331" s="38" t="s">
        <v>123</v>
      </c>
      <c r="P2331" s="38">
        <v>14880.0</v>
      </c>
      <c r="Q2331" s="39"/>
      <c r="R2331" s="39"/>
      <c r="S2331" s="39"/>
      <c r="T2331" s="39"/>
      <c r="U2331" s="39"/>
    </row>
    <row r="2332">
      <c r="A2332" s="40">
        <f t="shared" si="1"/>
        <v>46006</v>
      </c>
      <c r="B2332" s="37" t="str">
        <f t="array" ref="B2332">iferror(xlookup($I2332, 'IMPORT VHC Report'!$E:$E, 'IMPORT VHC Report'!$A:$C), )</f>
        <v/>
      </c>
      <c r="C2332" s="37"/>
      <c r="D2332" s="37"/>
      <c r="E2332" s="38" t="s">
        <v>2861</v>
      </c>
      <c r="F2332" s="38" t="s">
        <v>2859</v>
      </c>
      <c r="G2332" s="38">
        <v>5.202441057551E12</v>
      </c>
      <c r="H2332" s="38" t="s">
        <v>98</v>
      </c>
      <c r="I2332" s="38" t="s">
        <v>99</v>
      </c>
      <c r="J2332" s="38" t="s">
        <v>132</v>
      </c>
      <c r="K2332" s="38" t="s">
        <v>126</v>
      </c>
      <c r="L2332" s="41">
        <v>46006.430555555555</v>
      </c>
      <c r="M2332" s="38" t="s">
        <v>123</v>
      </c>
      <c r="N2332" s="41">
        <v>46006.47222222222</v>
      </c>
      <c r="O2332" s="38" t="s">
        <v>123</v>
      </c>
      <c r="P2332" s="38">
        <v>3600.0</v>
      </c>
      <c r="Q2332" s="39"/>
      <c r="R2332" s="39"/>
      <c r="S2332" s="39"/>
      <c r="T2332" s="39"/>
      <c r="U2332" s="39"/>
    </row>
    <row r="2333">
      <c r="A2333" s="40">
        <f t="shared" si="1"/>
        <v>46006</v>
      </c>
      <c r="B2333" s="37" t="str">
        <f t="array" ref="B2333">iferror(xlookup($I2333, 'IMPORT VHC Report'!$E:$E, 'IMPORT VHC Report'!$A:$C), )</f>
        <v/>
      </c>
      <c r="C2333" s="37"/>
      <c r="D2333" s="37"/>
      <c r="E2333" s="38" t="s">
        <v>2862</v>
      </c>
      <c r="F2333" s="38" t="s">
        <v>2859</v>
      </c>
      <c r="G2333" s="38">
        <v>5.202441057551E12</v>
      </c>
      <c r="H2333" s="38" t="s">
        <v>98</v>
      </c>
      <c r="I2333" s="38" t="s">
        <v>99</v>
      </c>
      <c r="J2333" s="38" t="s">
        <v>132</v>
      </c>
      <c r="K2333" s="38" t="s">
        <v>126</v>
      </c>
      <c r="L2333" s="41">
        <v>46006.47222222222</v>
      </c>
      <c r="M2333" s="38" t="s">
        <v>123</v>
      </c>
      <c r="N2333" s="41">
        <v>46006.493055555555</v>
      </c>
      <c r="O2333" s="38" t="s">
        <v>123</v>
      </c>
      <c r="P2333" s="38">
        <v>1800.0</v>
      </c>
      <c r="Q2333" s="39"/>
      <c r="R2333" s="39"/>
      <c r="S2333" s="39"/>
      <c r="T2333" s="39"/>
      <c r="U2333" s="39"/>
    </row>
    <row r="2334">
      <c r="A2334" s="40">
        <f t="shared" si="1"/>
        <v>46006</v>
      </c>
      <c r="B2334" s="37" t="str">
        <f t="array" ref="B2334">iferror(xlookup($I2334, 'IMPORT VHC Report'!$E:$E, 'IMPORT VHC Report'!$A:$C), )</f>
        <v/>
      </c>
      <c r="C2334" s="37"/>
      <c r="D2334" s="37"/>
      <c r="E2334" s="38" t="s">
        <v>2863</v>
      </c>
      <c r="F2334" s="38" t="s">
        <v>2859</v>
      </c>
      <c r="G2334" s="38">
        <v>5.202441057551E12</v>
      </c>
      <c r="H2334" s="38" t="s">
        <v>98</v>
      </c>
      <c r="I2334" s="38" t="s">
        <v>99</v>
      </c>
      <c r="J2334" s="38" t="s">
        <v>791</v>
      </c>
      <c r="K2334" s="38" t="s">
        <v>63</v>
      </c>
      <c r="L2334" s="41">
        <v>46006.493055555555</v>
      </c>
      <c r="M2334" s="38" t="s">
        <v>123</v>
      </c>
      <c r="N2334" s="41">
        <v>46006.625</v>
      </c>
      <c r="O2334" s="38" t="s">
        <v>123</v>
      </c>
      <c r="P2334" s="38">
        <v>11400.0</v>
      </c>
      <c r="Q2334" s="39"/>
      <c r="R2334" s="39"/>
      <c r="S2334" s="39"/>
      <c r="T2334" s="39"/>
      <c r="U2334" s="39"/>
    </row>
    <row r="2335">
      <c r="A2335" s="40">
        <f t="shared" si="1"/>
        <v>46006</v>
      </c>
      <c r="B2335" s="37" t="str">
        <f t="array" ref="B2335">iferror(xlookup($I2335, 'IMPORT VHC Report'!$E:$E, 'IMPORT VHC Report'!$A:$C), )</f>
        <v/>
      </c>
      <c r="C2335" s="37"/>
      <c r="D2335" s="37"/>
      <c r="E2335" s="38" t="s">
        <v>2864</v>
      </c>
      <c r="F2335" s="38" t="s">
        <v>2859</v>
      </c>
      <c r="G2335" s="38">
        <v>5.202441057551E12</v>
      </c>
      <c r="H2335" s="38" t="s">
        <v>98</v>
      </c>
      <c r="I2335" s="38" t="s">
        <v>99</v>
      </c>
      <c r="J2335" s="38" t="s">
        <v>62</v>
      </c>
      <c r="K2335" s="38" t="s">
        <v>63</v>
      </c>
      <c r="L2335" s="41">
        <v>46007.25</v>
      </c>
      <c r="M2335" s="38" t="s">
        <v>123</v>
      </c>
      <c r="N2335" s="41">
        <v>46007.416666666664</v>
      </c>
      <c r="O2335" s="38" t="s">
        <v>123</v>
      </c>
      <c r="P2335" s="38">
        <v>14400.0</v>
      </c>
      <c r="Q2335" s="39"/>
      <c r="R2335" s="39"/>
      <c r="S2335" s="39"/>
      <c r="T2335" s="39"/>
      <c r="U2335" s="39"/>
    </row>
    <row r="2336">
      <c r="A2336" s="40">
        <f t="shared" si="1"/>
        <v>46006</v>
      </c>
      <c r="B2336" s="37" t="str">
        <f t="array" ref="B2336">iferror(xlookup($I2336, 'IMPORT VHC Report'!$E:$E, 'IMPORT VHC Report'!$A:$C), )</f>
        <v/>
      </c>
      <c r="C2336" s="37"/>
      <c r="D2336" s="37"/>
      <c r="E2336" s="38" t="s">
        <v>2865</v>
      </c>
      <c r="F2336" s="38" t="s">
        <v>2859</v>
      </c>
      <c r="G2336" s="38">
        <v>5.202441057551E12</v>
      </c>
      <c r="H2336" s="38" t="s">
        <v>98</v>
      </c>
      <c r="I2336" s="38" t="s">
        <v>99</v>
      </c>
      <c r="J2336" s="38" t="s">
        <v>330</v>
      </c>
      <c r="K2336" s="38" t="s">
        <v>126</v>
      </c>
      <c r="L2336" s="41">
        <v>46007.375</v>
      </c>
      <c r="M2336" s="38" t="s">
        <v>123</v>
      </c>
      <c r="N2336" s="41">
        <v>46007.416666666664</v>
      </c>
      <c r="O2336" s="38" t="s">
        <v>123</v>
      </c>
      <c r="P2336" s="38">
        <v>3600.0</v>
      </c>
      <c r="Q2336" s="39"/>
      <c r="R2336" s="39"/>
      <c r="S2336" s="39"/>
      <c r="T2336" s="39"/>
      <c r="U2336" s="39"/>
    </row>
    <row r="2337">
      <c r="A2337" s="40">
        <f t="shared" si="1"/>
        <v>46006</v>
      </c>
      <c r="B2337" s="37" t="str">
        <f t="array" ref="B2337">iferror(xlookup($I2337, 'IMPORT VHC Report'!$E:$E, 'IMPORT VHC Report'!$A:$C), )</f>
        <v/>
      </c>
      <c r="C2337" s="37"/>
      <c r="D2337" s="37"/>
      <c r="E2337" s="38" t="s">
        <v>2866</v>
      </c>
      <c r="F2337" s="38" t="s">
        <v>2859</v>
      </c>
      <c r="G2337" s="38">
        <v>5.202441057551E12</v>
      </c>
      <c r="H2337" s="38" t="s">
        <v>98</v>
      </c>
      <c r="I2337" s="38" t="s">
        <v>99</v>
      </c>
      <c r="J2337" s="38" t="s">
        <v>791</v>
      </c>
      <c r="K2337" s="38" t="s">
        <v>63</v>
      </c>
      <c r="L2337" s="41">
        <v>46007.416666666664</v>
      </c>
      <c r="M2337" s="38" t="s">
        <v>123</v>
      </c>
      <c r="N2337" s="41">
        <v>46007.625</v>
      </c>
      <c r="O2337" s="38" t="s">
        <v>123</v>
      </c>
      <c r="P2337" s="38">
        <v>18000.0</v>
      </c>
      <c r="Q2337" s="39"/>
      <c r="R2337" s="39"/>
      <c r="S2337" s="39"/>
      <c r="T2337" s="39"/>
      <c r="U2337" s="39"/>
    </row>
    <row r="2338">
      <c r="A2338" s="40">
        <f t="shared" si="1"/>
        <v>46006</v>
      </c>
      <c r="B2338" s="37" t="str">
        <f t="array" ref="B2338">iferror(xlookup($I2338, 'IMPORT VHC Report'!$E:$E, 'IMPORT VHC Report'!$A:$C), )</f>
        <v/>
      </c>
      <c r="C2338" s="37"/>
      <c r="D2338" s="37"/>
      <c r="E2338" s="38" t="s">
        <v>2867</v>
      </c>
      <c r="F2338" s="38" t="s">
        <v>2859</v>
      </c>
      <c r="G2338" s="38">
        <v>5.202441057551E12</v>
      </c>
      <c r="H2338" s="38" t="s">
        <v>98</v>
      </c>
      <c r="I2338" s="38" t="s">
        <v>99</v>
      </c>
      <c r="J2338" s="38" t="s">
        <v>132</v>
      </c>
      <c r="K2338" s="38" t="s">
        <v>126</v>
      </c>
      <c r="L2338" s="41">
        <v>46007.5</v>
      </c>
      <c r="M2338" s="38" t="s">
        <v>123</v>
      </c>
      <c r="N2338" s="41">
        <v>46007.541666666664</v>
      </c>
      <c r="O2338" s="38" t="s">
        <v>123</v>
      </c>
      <c r="P2338" s="38">
        <v>3600.0</v>
      </c>
      <c r="Q2338" s="39"/>
      <c r="R2338" s="39"/>
      <c r="S2338" s="39"/>
      <c r="T2338" s="39"/>
      <c r="U2338" s="39"/>
    </row>
    <row r="2339">
      <c r="A2339" s="40">
        <f t="shared" si="1"/>
        <v>46006</v>
      </c>
      <c r="B2339" s="37" t="str">
        <f t="array" ref="B2339">iferror(xlookup($I2339, 'IMPORT VHC Report'!$E:$E, 'IMPORT VHC Report'!$A:$C), )</f>
        <v/>
      </c>
      <c r="C2339" s="37"/>
      <c r="D2339" s="37"/>
      <c r="E2339" s="38" t="s">
        <v>2868</v>
      </c>
      <c r="F2339" s="38" t="s">
        <v>2859</v>
      </c>
      <c r="G2339" s="38">
        <v>5.202441057551E12</v>
      </c>
      <c r="H2339" s="38" t="s">
        <v>98</v>
      </c>
      <c r="I2339" s="38" t="s">
        <v>99</v>
      </c>
      <c r="J2339" s="38" t="s">
        <v>134</v>
      </c>
      <c r="K2339" s="38" t="s">
        <v>126</v>
      </c>
      <c r="L2339" s="41">
        <v>46007.541666666664</v>
      </c>
      <c r="M2339" s="38" t="s">
        <v>123</v>
      </c>
      <c r="N2339" s="41">
        <v>46007.5625</v>
      </c>
      <c r="O2339" s="38" t="s">
        <v>123</v>
      </c>
      <c r="P2339" s="38">
        <v>1800.0</v>
      </c>
      <c r="Q2339" s="39"/>
      <c r="R2339" s="39"/>
      <c r="S2339" s="39"/>
      <c r="T2339" s="39"/>
      <c r="U2339" s="39"/>
    </row>
    <row r="2340">
      <c r="A2340" s="40">
        <f t="shared" si="1"/>
        <v>46006</v>
      </c>
      <c r="B2340" s="37" t="str">
        <f t="array" ref="B2340">iferror(xlookup($I2340, 'IMPORT VHC Report'!$E:$E, 'IMPORT VHC Report'!$A:$C), )</f>
        <v/>
      </c>
      <c r="C2340" s="37"/>
      <c r="D2340" s="37"/>
      <c r="E2340" s="38" t="s">
        <v>2869</v>
      </c>
      <c r="F2340" s="38" t="s">
        <v>2859</v>
      </c>
      <c r="G2340" s="38">
        <v>5.202441057551E12</v>
      </c>
      <c r="H2340" s="38" t="s">
        <v>98</v>
      </c>
      <c r="I2340" s="38" t="s">
        <v>99</v>
      </c>
      <c r="J2340" s="38" t="s">
        <v>791</v>
      </c>
      <c r="K2340" s="38" t="s">
        <v>63</v>
      </c>
      <c r="L2340" s="41">
        <v>46008.25</v>
      </c>
      <c r="M2340" s="38" t="s">
        <v>123</v>
      </c>
      <c r="N2340" s="41">
        <v>46008.625</v>
      </c>
      <c r="O2340" s="38" t="s">
        <v>123</v>
      </c>
      <c r="P2340" s="38">
        <v>32400.0</v>
      </c>
      <c r="Q2340" s="39"/>
      <c r="R2340" s="39"/>
      <c r="S2340" s="39"/>
      <c r="T2340" s="39"/>
      <c r="U2340" s="39"/>
    </row>
    <row r="2341">
      <c r="A2341" s="40">
        <f t="shared" si="1"/>
        <v>46006</v>
      </c>
      <c r="B2341" s="37" t="str">
        <f t="array" ref="B2341">iferror(xlookup($I2341, 'IMPORT VHC Report'!$E:$E, 'IMPORT VHC Report'!$A:$C), )</f>
        <v/>
      </c>
      <c r="C2341" s="37"/>
      <c r="D2341" s="37"/>
      <c r="E2341" s="38" t="s">
        <v>2870</v>
      </c>
      <c r="F2341" s="38" t="s">
        <v>2859</v>
      </c>
      <c r="G2341" s="38">
        <v>5.202441057551E12</v>
      </c>
      <c r="H2341" s="38" t="s">
        <v>98</v>
      </c>
      <c r="I2341" s="38" t="s">
        <v>99</v>
      </c>
      <c r="J2341" s="38" t="s">
        <v>134</v>
      </c>
      <c r="K2341" s="38" t="s">
        <v>126</v>
      </c>
      <c r="L2341" s="41">
        <v>46008.5625</v>
      </c>
      <c r="M2341" s="38" t="s">
        <v>123</v>
      </c>
      <c r="N2341" s="41">
        <v>46008.583333333336</v>
      </c>
      <c r="O2341" s="38" t="s">
        <v>123</v>
      </c>
      <c r="P2341" s="38">
        <v>1800.0</v>
      </c>
      <c r="Q2341" s="39"/>
      <c r="R2341" s="39"/>
      <c r="S2341" s="39"/>
      <c r="T2341" s="39"/>
      <c r="U2341" s="39"/>
    </row>
    <row r="2342">
      <c r="A2342" s="40">
        <f t="shared" si="1"/>
        <v>46006</v>
      </c>
      <c r="B2342" s="37" t="str">
        <f t="array" ref="B2342">iferror(xlookup($I2342, 'IMPORT VHC Report'!$E:$E, 'IMPORT VHC Report'!$A:$C), )</f>
        <v/>
      </c>
      <c r="C2342" s="37"/>
      <c r="D2342" s="37"/>
      <c r="E2342" s="38" t="s">
        <v>2871</v>
      </c>
      <c r="F2342" s="38" t="s">
        <v>2859</v>
      </c>
      <c r="G2342" s="38">
        <v>5.202441057551E12</v>
      </c>
      <c r="H2342" s="38" t="s">
        <v>98</v>
      </c>
      <c r="I2342" s="38" t="s">
        <v>99</v>
      </c>
      <c r="J2342" s="38" t="s">
        <v>132</v>
      </c>
      <c r="K2342" s="38" t="s">
        <v>126</v>
      </c>
      <c r="L2342" s="41">
        <v>46008.583333333336</v>
      </c>
      <c r="M2342" s="38" t="s">
        <v>123</v>
      </c>
      <c r="N2342" s="41">
        <v>46008.625</v>
      </c>
      <c r="O2342" s="38" t="s">
        <v>123</v>
      </c>
      <c r="P2342" s="38">
        <v>3600.0</v>
      </c>
      <c r="Q2342" s="39"/>
      <c r="R2342" s="39"/>
      <c r="S2342" s="39"/>
      <c r="T2342" s="39"/>
      <c r="U2342" s="39"/>
    </row>
    <row r="2343">
      <c r="A2343" s="40">
        <f t="shared" si="1"/>
        <v>46006</v>
      </c>
      <c r="B2343" s="37" t="str">
        <f t="array" ref="B2343">iferror(xlookup($I2343, 'IMPORT VHC Report'!$E:$E, 'IMPORT VHC Report'!$A:$C), )</f>
        <v/>
      </c>
      <c r="C2343" s="37"/>
      <c r="D2343" s="37"/>
      <c r="E2343" s="38" t="s">
        <v>2872</v>
      </c>
      <c r="F2343" s="38" t="s">
        <v>2859</v>
      </c>
      <c r="G2343" s="38">
        <v>5.202441057551E12</v>
      </c>
      <c r="H2343" s="38" t="s">
        <v>98</v>
      </c>
      <c r="I2343" s="38" t="s">
        <v>99</v>
      </c>
      <c r="J2343" s="38" t="s">
        <v>791</v>
      </c>
      <c r="K2343" s="38" t="s">
        <v>63</v>
      </c>
      <c r="L2343" s="41">
        <v>46009.25</v>
      </c>
      <c r="M2343" s="38" t="s">
        <v>123</v>
      </c>
      <c r="N2343" s="41">
        <v>46009.625</v>
      </c>
      <c r="O2343" s="38" t="s">
        <v>123</v>
      </c>
      <c r="P2343" s="38">
        <v>32400.0</v>
      </c>
      <c r="Q2343" s="39"/>
      <c r="R2343" s="39"/>
      <c r="S2343" s="39"/>
      <c r="T2343" s="39"/>
      <c r="U2343" s="39"/>
    </row>
    <row r="2344">
      <c r="A2344" s="40">
        <f t="shared" si="1"/>
        <v>46006</v>
      </c>
      <c r="B2344" s="37" t="str">
        <f t="array" ref="B2344">iferror(xlookup($I2344, 'IMPORT VHC Report'!$E:$E, 'IMPORT VHC Report'!$A:$C), )</f>
        <v/>
      </c>
      <c r="C2344" s="37"/>
      <c r="D2344" s="37"/>
      <c r="E2344" s="38" t="s">
        <v>2873</v>
      </c>
      <c r="F2344" s="38" t="s">
        <v>2859</v>
      </c>
      <c r="G2344" s="38">
        <v>5.202441057551E12</v>
      </c>
      <c r="H2344" s="38" t="s">
        <v>98</v>
      </c>
      <c r="I2344" s="38" t="s">
        <v>99</v>
      </c>
      <c r="J2344" s="38" t="s">
        <v>136</v>
      </c>
      <c r="K2344" s="38" t="s">
        <v>126</v>
      </c>
      <c r="L2344" s="41">
        <v>46009.375</v>
      </c>
      <c r="M2344" s="38" t="s">
        <v>123</v>
      </c>
      <c r="N2344" s="41">
        <v>46009.427083333336</v>
      </c>
      <c r="O2344" s="38" t="s">
        <v>123</v>
      </c>
      <c r="P2344" s="38">
        <v>4500.0</v>
      </c>
      <c r="Q2344" s="39"/>
      <c r="R2344" s="39"/>
      <c r="S2344" s="38" t="s">
        <v>2732</v>
      </c>
      <c r="T2344" s="39"/>
      <c r="U2344" s="39"/>
    </row>
    <row r="2345">
      <c r="A2345" s="40">
        <f t="shared" si="1"/>
        <v>46006</v>
      </c>
      <c r="B2345" s="37" t="str">
        <f t="array" ref="B2345">iferror(xlookup($I2345, 'IMPORT VHC Report'!$E:$E, 'IMPORT VHC Report'!$A:$C), )</f>
        <v/>
      </c>
      <c r="C2345" s="37"/>
      <c r="D2345" s="37"/>
      <c r="E2345" s="38" t="s">
        <v>2874</v>
      </c>
      <c r="F2345" s="38" t="s">
        <v>2859</v>
      </c>
      <c r="G2345" s="38">
        <v>5.202441057551E12</v>
      </c>
      <c r="H2345" s="38" t="s">
        <v>98</v>
      </c>
      <c r="I2345" s="38" t="s">
        <v>99</v>
      </c>
      <c r="J2345" s="38" t="s">
        <v>132</v>
      </c>
      <c r="K2345" s="38" t="s">
        <v>126</v>
      </c>
      <c r="L2345" s="41">
        <v>46009.427083333336</v>
      </c>
      <c r="M2345" s="38" t="s">
        <v>123</v>
      </c>
      <c r="N2345" s="41">
        <v>46009.458333333336</v>
      </c>
      <c r="O2345" s="38" t="s">
        <v>123</v>
      </c>
      <c r="P2345" s="38">
        <v>2700.0</v>
      </c>
      <c r="Q2345" s="39"/>
      <c r="R2345" s="39"/>
      <c r="S2345" s="39"/>
      <c r="T2345" s="39"/>
      <c r="U2345" s="39"/>
    </row>
    <row r="2346">
      <c r="A2346" s="40">
        <f t="shared" si="1"/>
        <v>46006</v>
      </c>
      <c r="B2346" s="37" t="str">
        <f t="array" ref="B2346">iferror(xlookup($I2346, 'IMPORT VHC Report'!$E:$E, 'IMPORT VHC Report'!$A:$C), )</f>
        <v/>
      </c>
      <c r="C2346" s="37"/>
      <c r="D2346" s="37"/>
      <c r="E2346" s="38" t="s">
        <v>2875</v>
      </c>
      <c r="F2346" s="38" t="s">
        <v>2859</v>
      </c>
      <c r="G2346" s="38">
        <v>5.202441057551E12</v>
      </c>
      <c r="H2346" s="38" t="s">
        <v>98</v>
      </c>
      <c r="I2346" s="38" t="s">
        <v>99</v>
      </c>
      <c r="J2346" s="38" t="s">
        <v>152</v>
      </c>
      <c r="K2346" s="38" t="s">
        <v>153</v>
      </c>
      <c r="L2346" s="41">
        <v>46009.458333333336</v>
      </c>
      <c r="M2346" s="38" t="s">
        <v>123</v>
      </c>
      <c r="N2346" s="41">
        <v>46009.625</v>
      </c>
      <c r="O2346" s="38" t="s">
        <v>123</v>
      </c>
      <c r="P2346" s="38">
        <v>14400.0</v>
      </c>
      <c r="Q2346" s="38">
        <v>18000.0</v>
      </c>
      <c r="R2346" s="39"/>
      <c r="S2346" s="39"/>
      <c r="T2346" s="39"/>
      <c r="U2346" s="39"/>
    </row>
    <row r="2347">
      <c r="A2347" s="40">
        <f t="shared" si="1"/>
        <v>46006</v>
      </c>
      <c r="B2347" s="37" t="str">
        <f t="array" ref="B2347">iferror(xlookup($I2347, 'IMPORT VHC Report'!$E:$E, 'IMPORT VHC Report'!$A:$C), )</f>
        <v/>
      </c>
      <c r="C2347" s="37"/>
      <c r="D2347" s="37"/>
      <c r="E2347" s="38" t="s">
        <v>2876</v>
      </c>
      <c r="F2347" s="38" t="s">
        <v>2859</v>
      </c>
      <c r="G2347" s="38">
        <v>5.202441057551E12</v>
      </c>
      <c r="H2347" s="38" t="s">
        <v>98</v>
      </c>
      <c r="I2347" s="38" t="s">
        <v>99</v>
      </c>
      <c r="J2347" s="38" t="s">
        <v>134</v>
      </c>
      <c r="K2347" s="38" t="s">
        <v>126</v>
      </c>
      <c r="L2347" s="41">
        <v>46009.5625</v>
      </c>
      <c r="M2347" s="38" t="s">
        <v>123</v>
      </c>
      <c r="N2347" s="41">
        <v>46009.583333333336</v>
      </c>
      <c r="O2347" s="38" t="s">
        <v>123</v>
      </c>
      <c r="P2347" s="38">
        <v>1800.0</v>
      </c>
      <c r="Q2347" s="39"/>
      <c r="R2347" s="39"/>
      <c r="S2347" s="39"/>
      <c r="T2347" s="39"/>
      <c r="U2347" s="39"/>
    </row>
    <row r="2348">
      <c r="A2348" s="40">
        <f t="shared" si="1"/>
        <v>46006</v>
      </c>
      <c r="B2348" s="37" t="str">
        <f t="array" ref="B2348">iferror(xlookup($I2348, 'IMPORT VHC Report'!$E:$E, 'IMPORT VHC Report'!$A:$C), )</f>
        <v/>
      </c>
      <c r="C2348" s="37"/>
      <c r="D2348" s="37"/>
      <c r="E2348" s="38" t="s">
        <v>2877</v>
      </c>
      <c r="F2348" s="38" t="s">
        <v>2859</v>
      </c>
      <c r="G2348" s="38">
        <v>5.202441057551E12</v>
      </c>
      <c r="H2348" s="38" t="s">
        <v>98</v>
      </c>
      <c r="I2348" s="38" t="s">
        <v>99</v>
      </c>
      <c r="J2348" s="38" t="s">
        <v>152</v>
      </c>
      <c r="K2348" s="38" t="s">
        <v>153</v>
      </c>
      <c r="L2348" s="41">
        <v>46012.25</v>
      </c>
      <c r="M2348" s="38" t="s">
        <v>123</v>
      </c>
      <c r="N2348" s="41">
        <v>46012.625</v>
      </c>
      <c r="O2348" s="38" t="s">
        <v>123</v>
      </c>
      <c r="P2348" s="38">
        <v>32400.0</v>
      </c>
      <c r="Q2348" s="38">
        <v>32400.0</v>
      </c>
      <c r="R2348" s="39"/>
      <c r="S2348" s="39"/>
      <c r="T2348" s="39"/>
      <c r="U2348" s="39"/>
    </row>
    <row r="2349">
      <c r="A2349" s="40">
        <f t="shared" si="1"/>
        <v>46006</v>
      </c>
      <c r="B2349" s="37" t="str">
        <f t="array" ref="B2349">iferror(xlookup($I2349, 'IMPORT VHC Report'!$E:$E, 'IMPORT VHC Report'!$A:$C), )</f>
        <v/>
      </c>
      <c r="C2349" s="37"/>
      <c r="D2349" s="37"/>
      <c r="E2349" s="38" t="s">
        <v>2878</v>
      </c>
      <c r="F2349" s="38" t="s">
        <v>2859</v>
      </c>
      <c r="G2349" s="38">
        <v>5.202441057551E12</v>
      </c>
      <c r="H2349" s="38" t="s">
        <v>98</v>
      </c>
      <c r="I2349" s="38" t="s">
        <v>99</v>
      </c>
      <c r="J2349" s="38" t="s">
        <v>791</v>
      </c>
      <c r="K2349" s="38" t="s">
        <v>63</v>
      </c>
      <c r="L2349" s="41">
        <v>46012.25</v>
      </c>
      <c r="M2349" s="38" t="s">
        <v>123</v>
      </c>
      <c r="N2349" s="41">
        <v>46012.625</v>
      </c>
      <c r="O2349" s="38" t="s">
        <v>123</v>
      </c>
      <c r="P2349" s="38">
        <v>32400.0</v>
      </c>
      <c r="Q2349" s="39"/>
      <c r="R2349" s="39"/>
      <c r="S2349" s="39"/>
      <c r="T2349" s="39"/>
      <c r="U2349" s="39"/>
    </row>
    <row r="2350">
      <c r="A2350" s="40">
        <f t="shared" si="1"/>
        <v>46006</v>
      </c>
      <c r="B2350" s="37" t="str">
        <f t="array" ref="B2350">iferror(xlookup($I2350, 'IMPORT VHC Report'!$E:$E, 'IMPORT VHC Report'!$A:$C), )</f>
        <v/>
      </c>
      <c r="C2350" s="37"/>
      <c r="D2350" s="37"/>
      <c r="E2350" s="38" t="s">
        <v>2879</v>
      </c>
      <c r="F2350" s="38" t="s">
        <v>2859</v>
      </c>
      <c r="G2350" s="38">
        <v>5.202441057551E12</v>
      </c>
      <c r="H2350" s="38" t="s">
        <v>98</v>
      </c>
      <c r="I2350" s="38" t="s">
        <v>99</v>
      </c>
      <c r="J2350" s="38" t="s">
        <v>132</v>
      </c>
      <c r="K2350" s="38" t="s">
        <v>126</v>
      </c>
      <c r="L2350" s="41">
        <v>46012.5</v>
      </c>
      <c r="M2350" s="38" t="s">
        <v>123</v>
      </c>
      <c r="N2350" s="41">
        <v>46012.541666666664</v>
      </c>
      <c r="O2350" s="38" t="s">
        <v>123</v>
      </c>
      <c r="P2350" s="38">
        <v>3600.0</v>
      </c>
      <c r="Q2350" s="39"/>
      <c r="R2350" s="39"/>
      <c r="S2350" s="39"/>
      <c r="T2350" s="39"/>
      <c r="U2350" s="39"/>
    </row>
    <row r="2351">
      <c r="A2351" s="40">
        <f t="shared" si="1"/>
        <v>46006</v>
      </c>
      <c r="B2351" s="37" t="str">
        <f t="array" ref="B2351">iferror(xlookup($I2351, 'IMPORT VHC Report'!$E:$E, 'IMPORT VHC Report'!$A:$C), )</f>
        <v/>
      </c>
      <c r="C2351" s="37"/>
      <c r="D2351" s="37"/>
      <c r="E2351" s="38" t="s">
        <v>2880</v>
      </c>
      <c r="F2351" s="38" t="s">
        <v>2859</v>
      </c>
      <c r="G2351" s="38">
        <v>5.202441057551E12</v>
      </c>
      <c r="H2351" s="38" t="s">
        <v>98</v>
      </c>
      <c r="I2351" s="38" t="s">
        <v>99</v>
      </c>
      <c r="J2351" s="38" t="s">
        <v>134</v>
      </c>
      <c r="K2351" s="38" t="s">
        <v>126</v>
      </c>
      <c r="L2351" s="41">
        <v>46012.541666666664</v>
      </c>
      <c r="M2351" s="38" t="s">
        <v>123</v>
      </c>
      <c r="N2351" s="41">
        <v>46012.5625</v>
      </c>
      <c r="O2351" s="38" t="s">
        <v>123</v>
      </c>
      <c r="P2351" s="38">
        <v>1800.0</v>
      </c>
      <c r="Q2351" s="39"/>
      <c r="R2351" s="39"/>
      <c r="S2351" s="39"/>
      <c r="T2351" s="39"/>
      <c r="U2351" s="39"/>
    </row>
    <row r="2352">
      <c r="A2352" s="40">
        <f t="shared" si="1"/>
        <v>46006</v>
      </c>
      <c r="B2352" s="37" t="str">
        <f t="array" ref="B2352">iferror(xlookup($I2352, 'IMPORT VHC Report'!$E:$E, 'IMPORT VHC Report'!$A:$C), )</f>
        <v/>
      </c>
      <c r="C2352" s="37"/>
      <c r="D2352" s="37"/>
      <c r="E2352" s="38" t="s">
        <v>2881</v>
      </c>
      <c r="F2352" s="38" t="s">
        <v>2882</v>
      </c>
      <c r="G2352" s="38">
        <v>9.285050515215E12</v>
      </c>
      <c r="H2352" s="38" t="s">
        <v>96</v>
      </c>
      <c r="I2352" s="38" t="s">
        <v>97</v>
      </c>
      <c r="J2352" s="38" t="s">
        <v>791</v>
      </c>
      <c r="K2352" s="38" t="s">
        <v>63</v>
      </c>
      <c r="L2352" s="41">
        <v>46006.25</v>
      </c>
      <c r="M2352" s="38" t="s">
        <v>123</v>
      </c>
      <c r="N2352" s="41">
        <v>46006.625</v>
      </c>
      <c r="O2352" s="38" t="s">
        <v>123</v>
      </c>
      <c r="P2352" s="38">
        <v>32400.0</v>
      </c>
      <c r="Q2352" s="39"/>
      <c r="R2352" s="39"/>
      <c r="S2352" s="39"/>
      <c r="T2352" s="39"/>
      <c r="U2352" s="39"/>
    </row>
    <row r="2353">
      <c r="A2353" s="40">
        <f t="shared" si="1"/>
        <v>46006</v>
      </c>
      <c r="B2353" s="37" t="str">
        <f t="array" ref="B2353">iferror(xlookup($I2353, 'IMPORT VHC Report'!$E:$E, 'IMPORT VHC Report'!$A:$C), )</f>
        <v/>
      </c>
      <c r="C2353" s="37"/>
      <c r="D2353" s="37"/>
      <c r="E2353" s="38" t="s">
        <v>2883</v>
      </c>
      <c r="F2353" s="38" t="s">
        <v>2882</v>
      </c>
      <c r="G2353" s="38">
        <v>9.285050515215E12</v>
      </c>
      <c r="H2353" s="38" t="s">
        <v>96</v>
      </c>
      <c r="I2353" s="38" t="s">
        <v>97</v>
      </c>
      <c r="J2353" s="38" t="s">
        <v>132</v>
      </c>
      <c r="K2353" s="38" t="s">
        <v>126</v>
      </c>
      <c r="L2353" s="41">
        <v>46006.52777777778</v>
      </c>
      <c r="M2353" s="38" t="s">
        <v>123</v>
      </c>
      <c r="N2353" s="41">
        <v>46006.569444444445</v>
      </c>
      <c r="O2353" s="38" t="s">
        <v>123</v>
      </c>
      <c r="P2353" s="38">
        <v>3600.0</v>
      </c>
      <c r="Q2353" s="39"/>
      <c r="R2353" s="39"/>
      <c r="S2353" s="39"/>
      <c r="T2353" s="39"/>
      <c r="U2353" s="39"/>
    </row>
    <row r="2354">
      <c r="A2354" s="40">
        <f t="shared" si="1"/>
        <v>46006</v>
      </c>
      <c r="B2354" s="37" t="str">
        <f t="array" ref="B2354">iferror(xlookup($I2354, 'IMPORT VHC Report'!$E:$E, 'IMPORT VHC Report'!$A:$C), )</f>
        <v/>
      </c>
      <c r="C2354" s="37"/>
      <c r="D2354" s="37"/>
      <c r="E2354" s="38" t="s">
        <v>2884</v>
      </c>
      <c r="F2354" s="38" t="s">
        <v>2882</v>
      </c>
      <c r="G2354" s="38">
        <v>9.285050515215E12</v>
      </c>
      <c r="H2354" s="38" t="s">
        <v>96</v>
      </c>
      <c r="I2354" s="38" t="s">
        <v>97</v>
      </c>
      <c r="J2354" s="38" t="s">
        <v>134</v>
      </c>
      <c r="K2354" s="38" t="s">
        <v>126</v>
      </c>
      <c r="L2354" s="41">
        <v>46006.569444444445</v>
      </c>
      <c r="M2354" s="38" t="s">
        <v>123</v>
      </c>
      <c r="N2354" s="41">
        <v>46006.59027777778</v>
      </c>
      <c r="O2354" s="38" t="s">
        <v>123</v>
      </c>
      <c r="P2354" s="38">
        <v>1800.0</v>
      </c>
      <c r="Q2354" s="39"/>
      <c r="R2354" s="39"/>
      <c r="S2354" s="39"/>
      <c r="T2354" s="39"/>
      <c r="U2354" s="39"/>
    </row>
    <row r="2355">
      <c r="A2355" s="40">
        <f t="shared" si="1"/>
        <v>46006</v>
      </c>
      <c r="B2355" s="37" t="str">
        <f t="array" ref="B2355">iferror(xlookup($I2355, 'IMPORT VHC Report'!$E:$E, 'IMPORT VHC Report'!$A:$C), )</f>
        <v/>
      </c>
      <c r="C2355" s="37"/>
      <c r="D2355" s="37"/>
      <c r="E2355" s="38" t="s">
        <v>2885</v>
      </c>
      <c r="F2355" s="38" t="s">
        <v>2882</v>
      </c>
      <c r="G2355" s="38">
        <v>9.285050515215E12</v>
      </c>
      <c r="H2355" s="38" t="s">
        <v>96</v>
      </c>
      <c r="I2355" s="38" t="s">
        <v>97</v>
      </c>
      <c r="J2355" s="38" t="s">
        <v>62</v>
      </c>
      <c r="K2355" s="38" t="s">
        <v>63</v>
      </c>
      <c r="L2355" s="41">
        <v>46007.25</v>
      </c>
      <c r="M2355" s="38" t="s">
        <v>123</v>
      </c>
      <c r="N2355" s="41">
        <v>46007.416666666664</v>
      </c>
      <c r="O2355" s="38" t="s">
        <v>123</v>
      </c>
      <c r="P2355" s="38">
        <v>14400.0</v>
      </c>
      <c r="Q2355" s="39"/>
      <c r="R2355" s="39"/>
      <c r="S2355" s="39"/>
      <c r="T2355" s="39"/>
      <c r="U2355" s="39"/>
    </row>
    <row r="2356">
      <c r="A2356" s="40">
        <f t="shared" si="1"/>
        <v>46006</v>
      </c>
      <c r="B2356" s="37" t="str">
        <f t="array" ref="B2356">iferror(xlookup($I2356, 'IMPORT VHC Report'!$E:$E, 'IMPORT VHC Report'!$A:$C), )</f>
        <v/>
      </c>
      <c r="C2356" s="37"/>
      <c r="D2356" s="37"/>
      <c r="E2356" s="38" t="s">
        <v>2886</v>
      </c>
      <c r="F2356" s="38" t="s">
        <v>2882</v>
      </c>
      <c r="G2356" s="38">
        <v>9.285050515215E12</v>
      </c>
      <c r="H2356" s="38" t="s">
        <v>96</v>
      </c>
      <c r="I2356" s="38" t="s">
        <v>97</v>
      </c>
      <c r="J2356" s="38" t="s">
        <v>330</v>
      </c>
      <c r="K2356" s="38" t="s">
        <v>126</v>
      </c>
      <c r="L2356" s="41">
        <v>46007.333333333336</v>
      </c>
      <c r="M2356" s="38" t="s">
        <v>123</v>
      </c>
      <c r="N2356" s="41">
        <v>46007.375</v>
      </c>
      <c r="O2356" s="38" t="s">
        <v>123</v>
      </c>
      <c r="P2356" s="38">
        <v>3600.0</v>
      </c>
      <c r="Q2356" s="39"/>
      <c r="R2356" s="39"/>
      <c r="S2356" s="38" t="s">
        <v>640</v>
      </c>
      <c r="T2356" s="39"/>
      <c r="U2356" s="39"/>
    </row>
    <row r="2357">
      <c r="A2357" s="40">
        <f t="shared" si="1"/>
        <v>46006</v>
      </c>
      <c r="B2357" s="37" t="str">
        <f t="array" ref="B2357">iferror(xlookup($I2357, 'IMPORT VHC Report'!$E:$E, 'IMPORT VHC Report'!$A:$C), )</f>
        <v/>
      </c>
      <c r="C2357" s="37"/>
      <c r="D2357" s="37"/>
      <c r="E2357" s="38" t="s">
        <v>2887</v>
      </c>
      <c r="F2357" s="38" t="s">
        <v>2882</v>
      </c>
      <c r="G2357" s="38">
        <v>9.285050515215E12</v>
      </c>
      <c r="H2357" s="38" t="s">
        <v>96</v>
      </c>
      <c r="I2357" s="38" t="s">
        <v>97</v>
      </c>
      <c r="J2357" s="38" t="s">
        <v>791</v>
      </c>
      <c r="K2357" s="38" t="s">
        <v>63</v>
      </c>
      <c r="L2357" s="41">
        <v>46007.416666666664</v>
      </c>
      <c r="M2357" s="38" t="s">
        <v>123</v>
      </c>
      <c r="N2357" s="41">
        <v>46007.625</v>
      </c>
      <c r="O2357" s="38" t="s">
        <v>123</v>
      </c>
      <c r="P2357" s="38">
        <v>18000.0</v>
      </c>
      <c r="Q2357" s="39"/>
      <c r="R2357" s="39"/>
      <c r="S2357" s="39"/>
      <c r="T2357" s="39"/>
      <c r="U2357" s="39"/>
    </row>
    <row r="2358">
      <c r="A2358" s="40">
        <f t="shared" si="1"/>
        <v>46006</v>
      </c>
      <c r="B2358" s="37" t="str">
        <f t="array" ref="B2358">iferror(xlookup($I2358, 'IMPORT VHC Report'!$E:$E, 'IMPORT VHC Report'!$A:$C), )</f>
        <v/>
      </c>
      <c r="C2358" s="37"/>
      <c r="D2358" s="37"/>
      <c r="E2358" s="38" t="s">
        <v>2888</v>
      </c>
      <c r="F2358" s="38" t="s">
        <v>2882</v>
      </c>
      <c r="G2358" s="38">
        <v>9.285050515215E12</v>
      </c>
      <c r="H2358" s="38" t="s">
        <v>96</v>
      </c>
      <c r="I2358" s="38" t="s">
        <v>97</v>
      </c>
      <c r="J2358" s="38" t="s">
        <v>132</v>
      </c>
      <c r="K2358" s="38" t="s">
        <v>126</v>
      </c>
      <c r="L2358" s="41">
        <v>46007.5</v>
      </c>
      <c r="M2358" s="38" t="s">
        <v>123</v>
      </c>
      <c r="N2358" s="41">
        <v>46007.541666666664</v>
      </c>
      <c r="O2358" s="38" t="s">
        <v>123</v>
      </c>
      <c r="P2358" s="38">
        <v>3600.0</v>
      </c>
      <c r="Q2358" s="39"/>
      <c r="R2358" s="39"/>
      <c r="S2358" s="39"/>
      <c r="T2358" s="39"/>
      <c r="U2358" s="39"/>
    </row>
    <row r="2359">
      <c r="A2359" s="40">
        <f t="shared" si="1"/>
        <v>46006</v>
      </c>
      <c r="B2359" s="37" t="str">
        <f t="array" ref="B2359">iferror(xlookup($I2359, 'IMPORT VHC Report'!$E:$E, 'IMPORT VHC Report'!$A:$C), )</f>
        <v/>
      </c>
      <c r="C2359" s="37"/>
      <c r="D2359" s="37"/>
      <c r="E2359" s="38" t="s">
        <v>2889</v>
      </c>
      <c r="F2359" s="38" t="s">
        <v>2882</v>
      </c>
      <c r="G2359" s="38">
        <v>9.285050515215E12</v>
      </c>
      <c r="H2359" s="38" t="s">
        <v>96</v>
      </c>
      <c r="I2359" s="38" t="s">
        <v>97</v>
      </c>
      <c r="J2359" s="38" t="s">
        <v>134</v>
      </c>
      <c r="K2359" s="38" t="s">
        <v>126</v>
      </c>
      <c r="L2359" s="41">
        <v>46007.541666666664</v>
      </c>
      <c r="M2359" s="38" t="s">
        <v>123</v>
      </c>
      <c r="N2359" s="41">
        <v>46007.5625</v>
      </c>
      <c r="O2359" s="38" t="s">
        <v>123</v>
      </c>
      <c r="P2359" s="38">
        <v>1800.0</v>
      </c>
      <c r="Q2359" s="39"/>
      <c r="R2359" s="39"/>
      <c r="S2359" s="39"/>
      <c r="T2359" s="39"/>
      <c r="U2359" s="39"/>
    </row>
    <row r="2360">
      <c r="A2360" s="40">
        <f t="shared" si="1"/>
        <v>46006</v>
      </c>
      <c r="B2360" s="37" t="str">
        <f t="array" ref="B2360">iferror(xlookup($I2360, 'IMPORT VHC Report'!$E:$E, 'IMPORT VHC Report'!$A:$C), )</f>
        <v/>
      </c>
      <c r="C2360" s="37"/>
      <c r="D2360" s="37"/>
      <c r="E2360" s="38" t="s">
        <v>2890</v>
      </c>
      <c r="F2360" s="38" t="s">
        <v>2882</v>
      </c>
      <c r="G2360" s="38">
        <v>9.285050515215E12</v>
      </c>
      <c r="H2360" s="38" t="s">
        <v>96</v>
      </c>
      <c r="I2360" s="38" t="s">
        <v>97</v>
      </c>
      <c r="J2360" s="38" t="s">
        <v>791</v>
      </c>
      <c r="K2360" s="38" t="s">
        <v>63</v>
      </c>
      <c r="L2360" s="41">
        <v>46008.25</v>
      </c>
      <c r="M2360" s="38" t="s">
        <v>123</v>
      </c>
      <c r="N2360" s="41">
        <v>46008.625</v>
      </c>
      <c r="O2360" s="38" t="s">
        <v>123</v>
      </c>
      <c r="P2360" s="38">
        <v>32400.0</v>
      </c>
      <c r="Q2360" s="39"/>
      <c r="R2360" s="39"/>
      <c r="S2360" s="39"/>
      <c r="T2360" s="39"/>
      <c r="U2360" s="39"/>
    </row>
    <row r="2361">
      <c r="A2361" s="40">
        <f t="shared" si="1"/>
        <v>46006</v>
      </c>
      <c r="B2361" s="37" t="str">
        <f t="array" ref="B2361">iferror(xlookup($I2361, 'IMPORT VHC Report'!$E:$E, 'IMPORT VHC Report'!$A:$C), )</f>
        <v/>
      </c>
      <c r="C2361" s="37"/>
      <c r="D2361" s="37"/>
      <c r="E2361" s="38" t="s">
        <v>2891</v>
      </c>
      <c r="F2361" s="38" t="s">
        <v>2882</v>
      </c>
      <c r="G2361" s="38">
        <v>9.285050515215E12</v>
      </c>
      <c r="H2361" s="38" t="s">
        <v>96</v>
      </c>
      <c r="I2361" s="38" t="s">
        <v>97</v>
      </c>
      <c r="J2361" s="38" t="s">
        <v>132</v>
      </c>
      <c r="K2361" s="38" t="s">
        <v>126</v>
      </c>
      <c r="L2361" s="41">
        <v>46008.5</v>
      </c>
      <c r="M2361" s="38" t="s">
        <v>123</v>
      </c>
      <c r="N2361" s="41">
        <v>46008.541666666664</v>
      </c>
      <c r="O2361" s="38" t="s">
        <v>123</v>
      </c>
      <c r="P2361" s="38">
        <v>3600.0</v>
      </c>
      <c r="Q2361" s="39"/>
      <c r="R2361" s="39"/>
      <c r="S2361" s="39"/>
      <c r="T2361" s="39"/>
      <c r="U2361" s="39"/>
    </row>
    <row r="2362">
      <c r="A2362" s="40">
        <f t="shared" si="1"/>
        <v>46006</v>
      </c>
      <c r="B2362" s="37" t="str">
        <f t="array" ref="B2362">iferror(xlookup($I2362, 'IMPORT VHC Report'!$E:$E, 'IMPORT VHC Report'!$A:$C), )</f>
        <v/>
      </c>
      <c r="C2362" s="37"/>
      <c r="D2362" s="37"/>
      <c r="E2362" s="38" t="s">
        <v>2892</v>
      </c>
      <c r="F2362" s="38" t="s">
        <v>2882</v>
      </c>
      <c r="G2362" s="38">
        <v>9.285050515215E12</v>
      </c>
      <c r="H2362" s="38" t="s">
        <v>96</v>
      </c>
      <c r="I2362" s="38" t="s">
        <v>97</v>
      </c>
      <c r="J2362" s="38" t="s">
        <v>134</v>
      </c>
      <c r="K2362" s="38" t="s">
        <v>126</v>
      </c>
      <c r="L2362" s="41">
        <v>46008.541666666664</v>
      </c>
      <c r="M2362" s="38" t="s">
        <v>123</v>
      </c>
      <c r="N2362" s="41">
        <v>46008.5625</v>
      </c>
      <c r="O2362" s="38" t="s">
        <v>123</v>
      </c>
      <c r="P2362" s="38">
        <v>1800.0</v>
      </c>
      <c r="Q2362" s="39"/>
      <c r="R2362" s="39"/>
      <c r="S2362" s="39"/>
      <c r="T2362" s="39"/>
      <c r="U2362" s="39"/>
    </row>
    <row r="2363">
      <c r="A2363" s="40">
        <f t="shared" si="1"/>
        <v>46006</v>
      </c>
      <c r="B2363" s="37" t="str">
        <f t="array" ref="B2363">iferror(xlookup($I2363, 'IMPORT VHC Report'!$E:$E, 'IMPORT VHC Report'!$A:$C), )</f>
        <v/>
      </c>
      <c r="C2363" s="37"/>
      <c r="D2363" s="37"/>
      <c r="E2363" s="38" t="s">
        <v>2893</v>
      </c>
      <c r="F2363" s="38" t="s">
        <v>2882</v>
      </c>
      <c r="G2363" s="38">
        <v>9.285050515215E12</v>
      </c>
      <c r="H2363" s="38" t="s">
        <v>96</v>
      </c>
      <c r="I2363" s="38" t="s">
        <v>97</v>
      </c>
      <c r="J2363" s="38" t="s">
        <v>791</v>
      </c>
      <c r="K2363" s="38" t="s">
        <v>63</v>
      </c>
      <c r="L2363" s="41">
        <v>46009.25</v>
      </c>
      <c r="M2363" s="38" t="s">
        <v>123</v>
      </c>
      <c r="N2363" s="41">
        <v>46009.625</v>
      </c>
      <c r="O2363" s="38" t="s">
        <v>123</v>
      </c>
      <c r="P2363" s="38">
        <v>32400.0</v>
      </c>
      <c r="Q2363" s="39"/>
      <c r="R2363" s="39"/>
      <c r="S2363" s="39"/>
      <c r="T2363" s="39"/>
      <c r="U2363" s="39"/>
    </row>
    <row r="2364">
      <c r="A2364" s="40">
        <f t="shared" si="1"/>
        <v>46006</v>
      </c>
      <c r="B2364" s="37" t="str">
        <f t="array" ref="B2364">iferror(xlookup($I2364, 'IMPORT VHC Report'!$E:$E, 'IMPORT VHC Report'!$A:$C), )</f>
        <v/>
      </c>
      <c r="C2364" s="37"/>
      <c r="D2364" s="37"/>
      <c r="E2364" s="38" t="s">
        <v>2894</v>
      </c>
      <c r="F2364" s="38" t="s">
        <v>2882</v>
      </c>
      <c r="G2364" s="38">
        <v>9.285050515215E12</v>
      </c>
      <c r="H2364" s="38" t="s">
        <v>96</v>
      </c>
      <c r="I2364" s="38" t="s">
        <v>97</v>
      </c>
      <c r="J2364" s="38" t="s">
        <v>136</v>
      </c>
      <c r="K2364" s="38" t="s">
        <v>126</v>
      </c>
      <c r="L2364" s="41">
        <v>46009.375</v>
      </c>
      <c r="M2364" s="38" t="s">
        <v>123</v>
      </c>
      <c r="N2364" s="41">
        <v>46009.427083333336</v>
      </c>
      <c r="O2364" s="38" t="s">
        <v>123</v>
      </c>
      <c r="P2364" s="38">
        <v>4500.0</v>
      </c>
      <c r="Q2364" s="39"/>
      <c r="R2364" s="39"/>
      <c r="S2364" s="39"/>
      <c r="T2364" s="39"/>
      <c r="U2364" s="39"/>
    </row>
    <row r="2365">
      <c r="A2365" s="40">
        <f t="shared" si="1"/>
        <v>46006</v>
      </c>
      <c r="B2365" s="37" t="str">
        <f t="array" ref="B2365">iferror(xlookup($I2365, 'IMPORT VHC Report'!$E:$E, 'IMPORT VHC Report'!$A:$C), )</f>
        <v/>
      </c>
      <c r="C2365" s="37"/>
      <c r="D2365" s="37"/>
      <c r="E2365" s="38" t="s">
        <v>2895</v>
      </c>
      <c r="F2365" s="38" t="s">
        <v>2882</v>
      </c>
      <c r="G2365" s="38">
        <v>9.285050515215E12</v>
      </c>
      <c r="H2365" s="38" t="s">
        <v>96</v>
      </c>
      <c r="I2365" s="38" t="s">
        <v>97</v>
      </c>
      <c r="J2365" s="38" t="s">
        <v>136</v>
      </c>
      <c r="K2365" s="38" t="s">
        <v>126</v>
      </c>
      <c r="L2365" s="41">
        <v>46009.458333333336</v>
      </c>
      <c r="M2365" s="38" t="s">
        <v>123</v>
      </c>
      <c r="N2365" s="41">
        <v>46009.50833333333</v>
      </c>
      <c r="O2365" s="38" t="s">
        <v>123</v>
      </c>
      <c r="P2365" s="38">
        <v>4320.0</v>
      </c>
      <c r="Q2365" s="39"/>
      <c r="R2365" s="39"/>
      <c r="S2365" s="38" t="s">
        <v>2732</v>
      </c>
      <c r="T2365" s="39"/>
      <c r="U2365" s="39"/>
    </row>
    <row r="2366">
      <c r="A2366" s="40">
        <f t="shared" si="1"/>
        <v>46006</v>
      </c>
      <c r="B2366" s="37" t="str">
        <f t="array" ref="B2366">iferror(xlookup($I2366, 'IMPORT VHC Report'!$E:$E, 'IMPORT VHC Report'!$A:$C), )</f>
        <v/>
      </c>
      <c r="C2366" s="37"/>
      <c r="D2366" s="37"/>
      <c r="E2366" s="38" t="s">
        <v>2896</v>
      </c>
      <c r="F2366" s="38" t="s">
        <v>2882</v>
      </c>
      <c r="G2366" s="38">
        <v>9.285050515215E12</v>
      </c>
      <c r="H2366" s="38" t="s">
        <v>96</v>
      </c>
      <c r="I2366" s="38" t="s">
        <v>97</v>
      </c>
      <c r="J2366" s="38" t="s">
        <v>134</v>
      </c>
      <c r="K2366" s="38" t="s">
        <v>126</v>
      </c>
      <c r="L2366" s="41">
        <v>46009.5625</v>
      </c>
      <c r="M2366" s="38" t="s">
        <v>123</v>
      </c>
      <c r="N2366" s="41">
        <v>46009.583333333336</v>
      </c>
      <c r="O2366" s="38" t="s">
        <v>123</v>
      </c>
      <c r="P2366" s="38">
        <v>1800.0</v>
      </c>
      <c r="Q2366" s="39"/>
      <c r="R2366" s="39"/>
      <c r="S2366" s="39"/>
      <c r="T2366" s="39"/>
      <c r="U2366" s="39"/>
    </row>
    <row r="2367">
      <c r="A2367" s="40">
        <f t="shared" si="1"/>
        <v>46006</v>
      </c>
      <c r="B2367" s="37" t="str">
        <f t="array" ref="B2367">iferror(xlookup($I2367, 'IMPORT VHC Report'!$E:$E, 'IMPORT VHC Report'!$A:$C), )</f>
        <v/>
      </c>
      <c r="C2367" s="37"/>
      <c r="D2367" s="37"/>
      <c r="E2367" s="38" t="s">
        <v>2897</v>
      </c>
      <c r="F2367" s="38" t="s">
        <v>2882</v>
      </c>
      <c r="G2367" s="38">
        <v>9.285050515215E12</v>
      </c>
      <c r="H2367" s="38" t="s">
        <v>96</v>
      </c>
      <c r="I2367" s="38" t="s">
        <v>97</v>
      </c>
      <c r="J2367" s="38" t="s">
        <v>132</v>
      </c>
      <c r="K2367" s="38" t="s">
        <v>126</v>
      </c>
      <c r="L2367" s="41">
        <v>46009.583333333336</v>
      </c>
      <c r="M2367" s="38" t="s">
        <v>123</v>
      </c>
      <c r="N2367" s="41">
        <v>46009.625</v>
      </c>
      <c r="O2367" s="38" t="s">
        <v>123</v>
      </c>
      <c r="P2367" s="38">
        <v>3600.0</v>
      </c>
      <c r="Q2367" s="39"/>
      <c r="R2367" s="39"/>
      <c r="S2367" s="39"/>
      <c r="T2367" s="39"/>
      <c r="U2367" s="39"/>
    </row>
    <row r="2368">
      <c r="A2368" s="40">
        <f t="shared" si="1"/>
        <v>46006</v>
      </c>
      <c r="B2368" s="37" t="str">
        <f t="array" ref="B2368">iferror(xlookup($I2368, 'IMPORT VHC Report'!$E:$E, 'IMPORT VHC Report'!$A:$C), )</f>
        <v/>
      </c>
      <c r="C2368" s="37"/>
      <c r="D2368" s="37"/>
      <c r="E2368" s="38" t="s">
        <v>2898</v>
      </c>
      <c r="F2368" s="38" t="s">
        <v>2882</v>
      </c>
      <c r="G2368" s="38">
        <v>9.285050515215E12</v>
      </c>
      <c r="H2368" s="38" t="s">
        <v>96</v>
      </c>
      <c r="I2368" s="38" t="s">
        <v>97</v>
      </c>
      <c r="J2368" s="38" t="s">
        <v>791</v>
      </c>
      <c r="K2368" s="38" t="s">
        <v>63</v>
      </c>
      <c r="L2368" s="41">
        <v>46012.25</v>
      </c>
      <c r="M2368" s="38" t="s">
        <v>123</v>
      </c>
      <c r="N2368" s="41">
        <v>46012.625</v>
      </c>
      <c r="O2368" s="38" t="s">
        <v>123</v>
      </c>
      <c r="P2368" s="38">
        <v>32400.0</v>
      </c>
      <c r="Q2368" s="39"/>
      <c r="R2368" s="39"/>
      <c r="S2368" s="39"/>
      <c r="T2368" s="39"/>
      <c r="U2368" s="39"/>
    </row>
    <row r="2369">
      <c r="A2369" s="40">
        <f t="shared" si="1"/>
        <v>46006</v>
      </c>
      <c r="B2369" s="37" t="str">
        <f t="array" ref="B2369">iferror(xlookup($I2369, 'IMPORT VHC Report'!$E:$E, 'IMPORT VHC Report'!$A:$C), )</f>
        <v/>
      </c>
      <c r="C2369" s="37"/>
      <c r="D2369" s="37"/>
      <c r="E2369" s="38" t="s">
        <v>2899</v>
      </c>
      <c r="F2369" s="38" t="s">
        <v>2882</v>
      </c>
      <c r="G2369" s="38">
        <v>9.285050515215E12</v>
      </c>
      <c r="H2369" s="38" t="s">
        <v>96</v>
      </c>
      <c r="I2369" s="38" t="s">
        <v>97</v>
      </c>
      <c r="J2369" s="38" t="s">
        <v>134</v>
      </c>
      <c r="K2369" s="38" t="s">
        <v>126</v>
      </c>
      <c r="L2369" s="41">
        <v>46012.5625</v>
      </c>
      <c r="M2369" s="38" t="s">
        <v>123</v>
      </c>
      <c r="N2369" s="41">
        <v>46012.583333333336</v>
      </c>
      <c r="O2369" s="38" t="s">
        <v>123</v>
      </c>
      <c r="P2369" s="38">
        <v>1800.0</v>
      </c>
      <c r="Q2369" s="39"/>
      <c r="R2369" s="39"/>
      <c r="S2369" s="39"/>
      <c r="T2369" s="39"/>
      <c r="U2369" s="39"/>
    </row>
    <row r="2370">
      <c r="A2370" s="40">
        <f t="shared" si="1"/>
        <v>46006</v>
      </c>
      <c r="B2370" s="37" t="str">
        <f t="array" ref="B2370">iferror(xlookup($I2370, 'IMPORT VHC Report'!$E:$E, 'IMPORT VHC Report'!$A:$C), )</f>
        <v/>
      </c>
      <c r="C2370" s="37"/>
      <c r="D2370" s="37"/>
      <c r="E2370" s="38" t="s">
        <v>2900</v>
      </c>
      <c r="F2370" s="38" t="s">
        <v>2882</v>
      </c>
      <c r="G2370" s="38">
        <v>9.285050515215E12</v>
      </c>
      <c r="H2370" s="38" t="s">
        <v>96</v>
      </c>
      <c r="I2370" s="38" t="s">
        <v>97</v>
      </c>
      <c r="J2370" s="38" t="s">
        <v>132</v>
      </c>
      <c r="K2370" s="38" t="s">
        <v>126</v>
      </c>
      <c r="L2370" s="41">
        <v>46012.583333333336</v>
      </c>
      <c r="M2370" s="38" t="s">
        <v>123</v>
      </c>
      <c r="N2370" s="41">
        <v>46012.625</v>
      </c>
      <c r="O2370" s="38" t="s">
        <v>123</v>
      </c>
      <c r="P2370" s="38">
        <v>3600.0</v>
      </c>
      <c r="Q2370" s="39"/>
      <c r="R2370" s="39"/>
      <c r="S2370" s="39"/>
      <c r="T2370" s="39"/>
      <c r="U2370" s="39"/>
    </row>
    <row r="2371">
      <c r="A2371" s="40">
        <f t="shared" si="1"/>
        <v>46006</v>
      </c>
      <c r="B2371" s="37" t="str">
        <f t="array" ref="B2371">iferror(xlookup($I2371, 'IMPORT VHC Report'!$E:$E, 'IMPORT VHC Report'!$A:$C), )</f>
        <v/>
      </c>
      <c r="C2371" s="37"/>
      <c r="D2371" s="37"/>
      <c r="E2371" s="38" t="s">
        <v>2901</v>
      </c>
      <c r="F2371" s="38" t="s">
        <v>2902</v>
      </c>
      <c r="G2371" s="38">
        <v>1.0333049582991E13</v>
      </c>
      <c r="H2371" s="38" t="s">
        <v>2903</v>
      </c>
      <c r="I2371" s="38" t="s">
        <v>2904</v>
      </c>
      <c r="J2371" s="38" t="s">
        <v>125</v>
      </c>
      <c r="K2371" s="38" t="s">
        <v>126</v>
      </c>
      <c r="L2371" s="41">
        <v>46006.25</v>
      </c>
      <c r="M2371" s="38" t="s">
        <v>123</v>
      </c>
      <c r="N2371" s="41">
        <v>46006.260416666664</v>
      </c>
      <c r="O2371" s="38" t="s">
        <v>123</v>
      </c>
      <c r="P2371" s="38">
        <v>900.0</v>
      </c>
      <c r="Q2371" s="39"/>
      <c r="R2371" s="39"/>
      <c r="S2371" s="38" t="s">
        <v>199</v>
      </c>
      <c r="T2371" s="39"/>
      <c r="U2371" s="39"/>
    </row>
    <row r="2372">
      <c r="A2372" s="40">
        <f t="shared" si="1"/>
        <v>46006</v>
      </c>
      <c r="B2372" s="37" t="str">
        <f t="array" ref="B2372">iferror(xlookup($I2372, 'IMPORT VHC Report'!$E:$E, 'IMPORT VHC Report'!$A:$C), )</f>
        <v/>
      </c>
      <c r="C2372" s="37"/>
      <c r="D2372" s="37"/>
      <c r="E2372" s="38" t="s">
        <v>2905</v>
      </c>
      <c r="F2372" s="38" t="s">
        <v>2902</v>
      </c>
      <c r="G2372" s="38">
        <v>1.0333049582991E13</v>
      </c>
      <c r="H2372" s="38" t="s">
        <v>2903</v>
      </c>
      <c r="I2372" s="38" t="s">
        <v>2904</v>
      </c>
      <c r="J2372" s="38" t="s">
        <v>196</v>
      </c>
      <c r="K2372" s="38" t="s">
        <v>63</v>
      </c>
      <c r="L2372" s="41">
        <v>46006.25</v>
      </c>
      <c r="M2372" s="38" t="s">
        <v>123</v>
      </c>
      <c r="N2372" s="41">
        <v>46006.625</v>
      </c>
      <c r="O2372" s="38" t="s">
        <v>123</v>
      </c>
      <c r="P2372" s="38">
        <v>32400.0</v>
      </c>
      <c r="Q2372" s="39"/>
      <c r="R2372" s="39"/>
      <c r="S2372" s="39"/>
      <c r="T2372" s="39"/>
      <c r="U2372" s="39"/>
    </row>
    <row r="2373">
      <c r="A2373" s="40">
        <f t="shared" si="1"/>
        <v>46006</v>
      </c>
      <c r="B2373" s="37" t="str">
        <f t="array" ref="B2373">iferror(xlookup($I2373, 'IMPORT VHC Report'!$E:$E, 'IMPORT VHC Report'!$A:$C), )</f>
        <v/>
      </c>
      <c r="C2373" s="37"/>
      <c r="D2373" s="37"/>
      <c r="E2373" s="38" t="s">
        <v>2906</v>
      </c>
      <c r="F2373" s="38" t="s">
        <v>2902</v>
      </c>
      <c r="G2373" s="38">
        <v>1.0333049582991E13</v>
      </c>
      <c r="H2373" s="38" t="s">
        <v>2903</v>
      </c>
      <c r="I2373" s="38" t="s">
        <v>2904</v>
      </c>
      <c r="J2373" s="38" t="s">
        <v>134</v>
      </c>
      <c r="K2373" s="38" t="s">
        <v>126</v>
      </c>
      <c r="L2373" s="41">
        <v>46006.364583333336</v>
      </c>
      <c r="M2373" s="38" t="s">
        <v>123</v>
      </c>
      <c r="N2373" s="41">
        <v>46006.385416666664</v>
      </c>
      <c r="O2373" s="38" t="s">
        <v>123</v>
      </c>
      <c r="P2373" s="38">
        <v>1800.0</v>
      </c>
      <c r="Q2373" s="39"/>
      <c r="R2373" s="39"/>
      <c r="S2373" s="39"/>
      <c r="T2373" s="39"/>
      <c r="U2373" s="39"/>
    </row>
    <row r="2374">
      <c r="A2374" s="40">
        <f t="shared" si="1"/>
        <v>46006</v>
      </c>
      <c r="B2374" s="37" t="str">
        <f t="array" ref="B2374">iferror(xlookup($I2374, 'IMPORT VHC Report'!$E:$E, 'IMPORT VHC Report'!$A:$C), )</f>
        <v/>
      </c>
      <c r="C2374" s="37"/>
      <c r="D2374" s="37"/>
      <c r="E2374" s="38" t="s">
        <v>2907</v>
      </c>
      <c r="F2374" s="38" t="s">
        <v>2902</v>
      </c>
      <c r="G2374" s="38">
        <v>1.0333049582991E13</v>
      </c>
      <c r="H2374" s="38" t="s">
        <v>2903</v>
      </c>
      <c r="I2374" s="38" t="s">
        <v>2904</v>
      </c>
      <c r="J2374" s="38" t="s">
        <v>132</v>
      </c>
      <c r="K2374" s="38" t="s">
        <v>126</v>
      </c>
      <c r="L2374" s="41">
        <v>46006.489583333336</v>
      </c>
      <c r="M2374" s="38" t="s">
        <v>123</v>
      </c>
      <c r="N2374" s="41">
        <v>46006.53125</v>
      </c>
      <c r="O2374" s="38" t="s">
        <v>123</v>
      </c>
      <c r="P2374" s="38">
        <v>3600.0</v>
      </c>
      <c r="Q2374" s="39"/>
      <c r="R2374" s="39"/>
      <c r="S2374" s="39"/>
      <c r="T2374" s="39"/>
      <c r="U2374" s="39"/>
    </row>
    <row r="2375">
      <c r="A2375" s="40">
        <f t="shared" si="1"/>
        <v>46006</v>
      </c>
      <c r="B2375" s="37" t="str">
        <f t="array" ref="B2375">iferror(xlookup($I2375, 'IMPORT VHC Report'!$E:$E, 'IMPORT VHC Report'!$A:$C), )</f>
        <v/>
      </c>
      <c r="C2375" s="37"/>
      <c r="D2375" s="37"/>
      <c r="E2375" s="38" t="s">
        <v>2908</v>
      </c>
      <c r="F2375" s="38" t="s">
        <v>2902</v>
      </c>
      <c r="G2375" s="38">
        <v>1.0333049582991E13</v>
      </c>
      <c r="H2375" s="38" t="s">
        <v>2903</v>
      </c>
      <c r="I2375" s="38" t="s">
        <v>2904</v>
      </c>
      <c r="J2375" s="38" t="s">
        <v>125</v>
      </c>
      <c r="K2375" s="38" t="s">
        <v>126</v>
      </c>
      <c r="L2375" s="41">
        <v>46007.25</v>
      </c>
      <c r="M2375" s="38" t="s">
        <v>123</v>
      </c>
      <c r="N2375" s="41">
        <v>46007.260416666664</v>
      </c>
      <c r="O2375" s="38" t="s">
        <v>123</v>
      </c>
      <c r="P2375" s="38">
        <v>900.0</v>
      </c>
      <c r="Q2375" s="39"/>
      <c r="R2375" s="39"/>
      <c r="S2375" s="38" t="s">
        <v>199</v>
      </c>
      <c r="T2375" s="39"/>
      <c r="U2375" s="39"/>
    </row>
    <row r="2376">
      <c r="A2376" s="40">
        <f t="shared" si="1"/>
        <v>46006</v>
      </c>
      <c r="B2376" s="37" t="str">
        <f t="array" ref="B2376">iferror(xlookup($I2376, 'IMPORT VHC Report'!$E:$E, 'IMPORT VHC Report'!$A:$C), )</f>
        <v/>
      </c>
      <c r="C2376" s="37"/>
      <c r="D2376" s="37"/>
      <c r="E2376" s="38" t="s">
        <v>2909</v>
      </c>
      <c r="F2376" s="38" t="s">
        <v>2902</v>
      </c>
      <c r="G2376" s="38">
        <v>1.0333049582991E13</v>
      </c>
      <c r="H2376" s="38" t="s">
        <v>2903</v>
      </c>
      <c r="I2376" s="38" t="s">
        <v>2904</v>
      </c>
      <c r="J2376" s="38" t="s">
        <v>196</v>
      </c>
      <c r="K2376" s="38" t="s">
        <v>63</v>
      </c>
      <c r="L2376" s="41">
        <v>46007.25</v>
      </c>
      <c r="M2376" s="38" t="s">
        <v>123</v>
      </c>
      <c r="N2376" s="41">
        <v>46007.625</v>
      </c>
      <c r="O2376" s="38" t="s">
        <v>123</v>
      </c>
      <c r="P2376" s="38">
        <v>32400.0</v>
      </c>
      <c r="Q2376" s="39"/>
      <c r="R2376" s="39"/>
      <c r="S2376" s="39"/>
      <c r="T2376" s="39"/>
      <c r="U2376" s="39"/>
    </row>
    <row r="2377">
      <c r="A2377" s="40">
        <f t="shared" si="1"/>
        <v>46006</v>
      </c>
      <c r="B2377" s="37" t="str">
        <f t="array" ref="B2377">iferror(xlookup($I2377, 'IMPORT VHC Report'!$E:$E, 'IMPORT VHC Report'!$A:$C), )</f>
        <v/>
      </c>
      <c r="C2377" s="37"/>
      <c r="D2377" s="37"/>
      <c r="E2377" s="38" t="s">
        <v>2910</v>
      </c>
      <c r="F2377" s="38" t="s">
        <v>2902</v>
      </c>
      <c r="G2377" s="38">
        <v>1.0333049582991E13</v>
      </c>
      <c r="H2377" s="38" t="s">
        <v>2903</v>
      </c>
      <c r="I2377" s="38" t="s">
        <v>2904</v>
      </c>
      <c r="J2377" s="38" t="s">
        <v>134</v>
      </c>
      <c r="K2377" s="38" t="s">
        <v>126</v>
      </c>
      <c r="L2377" s="41">
        <v>46007.354166666664</v>
      </c>
      <c r="M2377" s="38" t="s">
        <v>123</v>
      </c>
      <c r="N2377" s="41">
        <v>46007.375</v>
      </c>
      <c r="O2377" s="38" t="s">
        <v>123</v>
      </c>
      <c r="P2377" s="38">
        <v>1800.0</v>
      </c>
      <c r="Q2377" s="39"/>
      <c r="R2377" s="39"/>
      <c r="S2377" s="39"/>
      <c r="T2377" s="39"/>
      <c r="U2377" s="39"/>
    </row>
    <row r="2378">
      <c r="A2378" s="40">
        <f t="shared" si="1"/>
        <v>46006</v>
      </c>
      <c r="B2378" s="37" t="str">
        <f t="array" ref="B2378">iferror(xlookup($I2378, 'IMPORT VHC Report'!$E:$E, 'IMPORT VHC Report'!$A:$C), )</f>
        <v/>
      </c>
      <c r="C2378" s="37"/>
      <c r="D2378" s="37"/>
      <c r="E2378" s="38" t="s">
        <v>2911</v>
      </c>
      <c r="F2378" s="38" t="s">
        <v>2902</v>
      </c>
      <c r="G2378" s="38">
        <v>1.0333049582991E13</v>
      </c>
      <c r="H2378" s="38" t="s">
        <v>2903</v>
      </c>
      <c r="I2378" s="38" t="s">
        <v>2904</v>
      </c>
      <c r="J2378" s="38" t="s">
        <v>4</v>
      </c>
      <c r="K2378" s="38" t="s">
        <v>126</v>
      </c>
      <c r="L2378" s="41">
        <v>46007.447916666664</v>
      </c>
      <c r="M2378" s="38" t="s">
        <v>123</v>
      </c>
      <c r="N2378" s="41">
        <v>46007.489583333336</v>
      </c>
      <c r="O2378" s="38" t="s">
        <v>123</v>
      </c>
      <c r="P2378" s="38">
        <v>3600.0</v>
      </c>
      <c r="Q2378" s="39"/>
      <c r="R2378" s="39"/>
      <c r="S2378" s="38" t="s">
        <v>858</v>
      </c>
      <c r="T2378" s="39"/>
      <c r="U2378" s="39"/>
    </row>
    <row r="2379">
      <c r="A2379" s="40">
        <f t="shared" si="1"/>
        <v>46006</v>
      </c>
      <c r="B2379" s="37" t="str">
        <f t="array" ref="B2379">iferror(xlookup($I2379, 'IMPORT VHC Report'!$E:$E, 'IMPORT VHC Report'!$A:$C), )</f>
        <v/>
      </c>
      <c r="C2379" s="37"/>
      <c r="D2379" s="37"/>
      <c r="E2379" s="38" t="s">
        <v>2912</v>
      </c>
      <c r="F2379" s="38" t="s">
        <v>2902</v>
      </c>
      <c r="G2379" s="38">
        <v>1.0333049582991E13</v>
      </c>
      <c r="H2379" s="38" t="s">
        <v>2903</v>
      </c>
      <c r="I2379" s="38" t="s">
        <v>2904</v>
      </c>
      <c r="J2379" s="38" t="s">
        <v>132</v>
      </c>
      <c r="K2379" s="38" t="s">
        <v>126</v>
      </c>
      <c r="L2379" s="41">
        <v>46007.489583333336</v>
      </c>
      <c r="M2379" s="38" t="s">
        <v>123</v>
      </c>
      <c r="N2379" s="41">
        <v>46007.53125</v>
      </c>
      <c r="O2379" s="38" t="s">
        <v>123</v>
      </c>
      <c r="P2379" s="38">
        <v>3600.0</v>
      </c>
      <c r="Q2379" s="39"/>
      <c r="R2379" s="39"/>
      <c r="S2379" s="39"/>
      <c r="T2379" s="39"/>
      <c r="U2379" s="39"/>
    </row>
    <row r="2380">
      <c r="A2380" s="40">
        <f t="shared" si="1"/>
        <v>46006</v>
      </c>
      <c r="B2380" s="37" t="str">
        <f t="array" ref="B2380">iferror(xlookup($I2380, 'IMPORT VHC Report'!$E:$E, 'IMPORT VHC Report'!$A:$C), )</f>
        <v/>
      </c>
      <c r="C2380" s="37"/>
      <c r="D2380" s="37"/>
      <c r="E2380" s="38" t="s">
        <v>2913</v>
      </c>
      <c r="F2380" s="38" t="s">
        <v>2902</v>
      </c>
      <c r="G2380" s="38">
        <v>1.0333049582991E13</v>
      </c>
      <c r="H2380" s="38" t="s">
        <v>2903</v>
      </c>
      <c r="I2380" s="38" t="s">
        <v>2904</v>
      </c>
      <c r="J2380" s="38" t="s">
        <v>125</v>
      </c>
      <c r="K2380" s="38" t="s">
        <v>126</v>
      </c>
      <c r="L2380" s="41">
        <v>46008.25</v>
      </c>
      <c r="M2380" s="38" t="s">
        <v>123</v>
      </c>
      <c r="N2380" s="41">
        <v>46008.260416666664</v>
      </c>
      <c r="O2380" s="38" t="s">
        <v>123</v>
      </c>
      <c r="P2380" s="38">
        <v>900.0</v>
      </c>
      <c r="Q2380" s="39"/>
      <c r="R2380" s="39"/>
      <c r="S2380" s="38" t="s">
        <v>199</v>
      </c>
      <c r="T2380" s="39"/>
      <c r="U2380" s="39"/>
    </row>
    <row r="2381">
      <c r="A2381" s="40">
        <f t="shared" si="1"/>
        <v>46006</v>
      </c>
      <c r="B2381" s="37" t="str">
        <f t="array" ref="B2381">iferror(xlookup($I2381, 'IMPORT VHC Report'!$E:$E, 'IMPORT VHC Report'!$A:$C), )</f>
        <v/>
      </c>
      <c r="C2381" s="37"/>
      <c r="D2381" s="37"/>
      <c r="E2381" s="38" t="s">
        <v>2914</v>
      </c>
      <c r="F2381" s="38" t="s">
        <v>2902</v>
      </c>
      <c r="G2381" s="38">
        <v>1.0333049582991E13</v>
      </c>
      <c r="H2381" s="38" t="s">
        <v>2903</v>
      </c>
      <c r="I2381" s="38" t="s">
        <v>2904</v>
      </c>
      <c r="J2381" s="38" t="s">
        <v>196</v>
      </c>
      <c r="K2381" s="38" t="s">
        <v>63</v>
      </c>
      <c r="L2381" s="41">
        <v>46008.25</v>
      </c>
      <c r="M2381" s="38" t="s">
        <v>123</v>
      </c>
      <c r="N2381" s="41">
        <v>46008.625</v>
      </c>
      <c r="O2381" s="38" t="s">
        <v>123</v>
      </c>
      <c r="P2381" s="38">
        <v>32400.0</v>
      </c>
      <c r="Q2381" s="39"/>
      <c r="R2381" s="39"/>
      <c r="S2381" s="39"/>
      <c r="T2381" s="39"/>
      <c r="U2381" s="39"/>
    </row>
    <row r="2382">
      <c r="A2382" s="40">
        <f t="shared" si="1"/>
        <v>46006</v>
      </c>
      <c r="B2382" s="37" t="str">
        <f t="array" ref="B2382">iferror(xlookup($I2382, 'IMPORT VHC Report'!$E:$E, 'IMPORT VHC Report'!$A:$C), )</f>
        <v/>
      </c>
      <c r="C2382" s="37"/>
      <c r="D2382" s="37"/>
      <c r="E2382" s="38" t="s">
        <v>2915</v>
      </c>
      <c r="F2382" s="38" t="s">
        <v>2902</v>
      </c>
      <c r="G2382" s="38">
        <v>1.0333049582991E13</v>
      </c>
      <c r="H2382" s="38" t="s">
        <v>2903</v>
      </c>
      <c r="I2382" s="38" t="s">
        <v>2904</v>
      </c>
      <c r="J2382" s="38" t="s">
        <v>134</v>
      </c>
      <c r="K2382" s="38" t="s">
        <v>126</v>
      </c>
      <c r="L2382" s="41">
        <v>46008.354166666664</v>
      </c>
      <c r="M2382" s="38" t="s">
        <v>123</v>
      </c>
      <c r="N2382" s="41">
        <v>46008.375</v>
      </c>
      <c r="O2382" s="38" t="s">
        <v>123</v>
      </c>
      <c r="P2382" s="38">
        <v>1800.0</v>
      </c>
      <c r="Q2382" s="39"/>
      <c r="R2382" s="39"/>
      <c r="S2382" s="39"/>
      <c r="T2382" s="39"/>
      <c r="U2382" s="39"/>
    </row>
    <row r="2383">
      <c r="A2383" s="40">
        <f t="shared" si="1"/>
        <v>46006</v>
      </c>
      <c r="B2383" s="37" t="str">
        <f t="array" ref="B2383">iferror(xlookup($I2383, 'IMPORT VHC Report'!$E:$E, 'IMPORT VHC Report'!$A:$C), )</f>
        <v/>
      </c>
      <c r="C2383" s="37"/>
      <c r="D2383" s="37"/>
      <c r="E2383" s="38" t="s">
        <v>2916</v>
      </c>
      <c r="F2383" s="38" t="s">
        <v>2902</v>
      </c>
      <c r="G2383" s="38">
        <v>1.0333049582991E13</v>
      </c>
      <c r="H2383" s="38" t="s">
        <v>2903</v>
      </c>
      <c r="I2383" s="38" t="s">
        <v>2904</v>
      </c>
      <c r="J2383" s="38" t="s">
        <v>132</v>
      </c>
      <c r="K2383" s="38" t="s">
        <v>126</v>
      </c>
      <c r="L2383" s="41">
        <v>46008.5</v>
      </c>
      <c r="M2383" s="38" t="s">
        <v>123</v>
      </c>
      <c r="N2383" s="41">
        <v>46008.541666666664</v>
      </c>
      <c r="O2383" s="38" t="s">
        <v>123</v>
      </c>
      <c r="P2383" s="38">
        <v>3600.0</v>
      </c>
      <c r="Q2383" s="39"/>
      <c r="R2383" s="39"/>
      <c r="S2383" s="39"/>
      <c r="T2383" s="39"/>
      <c r="U2383" s="39"/>
    </row>
    <row r="2384">
      <c r="A2384" s="40">
        <f t="shared" si="1"/>
        <v>46006</v>
      </c>
      <c r="B2384" s="37" t="str">
        <f t="array" ref="B2384">iferror(xlookup($I2384, 'IMPORT VHC Report'!$E:$E, 'IMPORT VHC Report'!$A:$C), )</f>
        <v/>
      </c>
      <c r="C2384" s="37"/>
      <c r="D2384" s="37"/>
      <c r="E2384" s="38" t="s">
        <v>2917</v>
      </c>
      <c r="F2384" s="38" t="s">
        <v>2902</v>
      </c>
      <c r="G2384" s="38">
        <v>1.0333049582991E13</v>
      </c>
      <c r="H2384" s="38" t="s">
        <v>2903</v>
      </c>
      <c r="I2384" s="38" t="s">
        <v>2904</v>
      </c>
      <c r="J2384" s="38" t="s">
        <v>125</v>
      </c>
      <c r="K2384" s="38" t="s">
        <v>126</v>
      </c>
      <c r="L2384" s="41">
        <v>46011.25</v>
      </c>
      <c r="M2384" s="38" t="s">
        <v>123</v>
      </c>
      <c r="N2384" s="41">
        <v>46011.260416666664</v>
      </c>
      <c r="O2384" s="38" t="s">
        <v>123</v>
      </c>
      <c r="P2384" s="38">
        <v>900.0</v>
      </c>
      <c r="Q2384" s="39"/>
      <c r="R2384" s="39"/>
      <c r="S2384" s="38" t="s">
        <v>199</v>
      </c>
      <c r="T2384" s="39"/>
      <c r="U2384" s="39"/>
    </row>
    <row r="2385">
      <c r="A2385" s="40">
        <f t="shared" si="1"/>
        <v>46006</v>
      </c>
      <c r="B2385" s="37" t="str">
        <f t="array" ref="B2385">iferror(xlookup($I2385, 'IMPORT VHC Report'!$E:$E, 'IMPORT VHC Report'!$A:$C), )</f>
        <v/>
      </c>
      <c r="C2385" s="37"/>
      <c r="D2385" s="37"/>
      <c r="E2385" s="38" t="s">
        <v>2918</v>
      </c>
      <c r="F2385" s="38" t="s">
        <v>2902</v>
      </c>
      <c r="G2385" s="38">
        <v>1.0333049582991E13</v>
      </c>
      <c r="H2385" s="38" t="s">
        <v>2903</v>
      </c>
      <c r="I2385" s="38" t="s">
        <v>2904</v>
      </c>
      <c r="J2385" s="38" t="s">
        <v>196</v>
      </c>
      <c r="K2385" s="38" t="s">
        <v>63</v>
      </c>
      <c r="L2385" s="41">
        <v>46011.25</v>
      </c>
      <c r="M2385" s="38" t="s">
        <v>123</v>
      </c>
      <c r="N2385" s="41">
        <v>46011.625</v>
      </c>
      <c r="O2385" s="38" t="s">
        <v>123</v>
      </c>
      <c r="P2385" s="38">
        <v>32400.0</v>
      </c>
      <c r="Q2385" s="39"/>
      <c r="R2385" s="39"/>
      <c r="S2385" s="39"/>
      <c r="T2385" s="39"/>
      <c r="U2385" s="39"/>
    </row>
    <row r="2386">
      <c r="A2386" s="40">
        <f t="shared" si="1"/>
        <v>46006</v>
      </c>
      <c r="B2386" s="37" t="str">
        <f t="array" ref="B2386">iferror(xlookup($I2386, 'IMPORT VHC Report'!$E:$E, 'IMPORT VHC Report'!$A:$C), )</f>
        <v/>
      </c>
      <c r="C2386" s="37"/>
      <c r="D2386" s="37"/>
      <c r="E2386" s="38" t="s">
        <v>2919</v>
      </c>
      <c r="F2386" s="38" t="s">
        <v>2902</v>
      </c>
      <c r="G2386" s="38">
        <v>1.0333049582991E13</v>
      </c>
      <c r="H2386" s="38" t="s">
        <v>2903</v>
      </c>
      <c r="I2386" s="38" t="s">
        <v>2904</v>
      </c>
      <c r="J2386" s="38" t="s">
        <v>134</v>
      </c>
      <c r="K2386" s="38" t="s">
        <v>126</v>
      </c>
      <c r="L2386" s="41">
        <v>46011.34375</v>
      </c>
      <c r="M2386" s="38" t="s">
        <v>123</v>
      </c>
      <c r="N2386" s="41">
        <v>46011.364583333336</v>
      </c>
      <c r="O2386" s="38" t="s">
        <v>123</v>
      </c>
      <c r="P2386" s="38">
        <v>1800.0</v>
      </c>
      <c r="Q2386" s="39"/>
      <c r="R2386" s="39"/>
      <c r="S2386" s="39"/>
      <c r="T2386" s="39"/>
      <c r="U2386" s="39"/>
    </row>
    <row r="2387">
      <c r="A2387" s="40">
        <f t="shared" si="1"/>
        <v>46006</v>
      </c>
      <c r="B2387" s="37" t="str">
        <f t="array" ref="B2387">iferror(xlookup($I2387, 'IMPORT VHC Report'!$E:$E, 'IMPORT VHC Report'!$A:$C), )</f>
        <v/>
      </c>
      <c r="C2387" s="37"/>
      <c r="D2387" s="37"/>
      <c r="E2387" s="38" t="s">
        <v>2920</v>
      </c>
      <c r="F2387" s="38" t="s">
        <v>2902</v>
      </c>
      <c r="G2387" s="38">
        <v>1.0333049582991E13</v>
      </c>
      <c r="H2387" s="38" t="s">
        <v>2903</v>
      </c>
      <c r="I2387" s="38" t="s">
        <v>2904</v>
      </c>
      <c r="J2387" s="38" t="s">
        <v>132</v>
      </c>
      <c r="K2387" s="38" t="s">
        <v>126</v>
      </c>
      <c r="L2387" s="41">
        <v>46011.489583333336</v>
      </c>
      <c r="M2387" s="38" t="s">
        <v>123</v>
      </c>
      <c r="N2387" s="41">
        <v>46011.53125</v>
      </c>
      <c r="O2387" s="38" t="s">
        <v>123</v>
      </c>
      <c r="P2387" s="38">
        <v>3600.0</v>
      </c>
      <c r="Q2387" s="39"/>
      <c r="R2387" s="39"/>
      <c r="S2387" s="39"/>
      <c r="T2387" s="39"/>
      <c r="U2387" s="39"/>
    </row>
    <row r="2388">
      <c r="A2388" s="40">
        <f t="shared" si="1"/>
        <v>46006</v>
      </c>
      <c r="B2388" s="37" t="str">
        <f t="array" ref="B2388">iferror(xlookup($I2388, 'IMPORT VHC Report'!$E:$E, 'IMPORT VHC Report'!$A:$C), )</f>
        <v/>
      </c>
      <c r="C2388" s="37"/>
      <c r="D2388" s="37"/>
      <c r="E2388" s="38" t="s">
        <v>2921</v>
      </c>
      <c r="F2388" s="38" t="s">
        <v>2902</v>
      </c>
      <c r="G2388" s="38">
        <v>1.0333049582991E13</v>
      </c>
      <c r="H2388" s="38" t="s">
        <v>2903</v>
      </c>
      <c r="I2388" s="38" t="s">
        <v>2904</v>
      </c>
      <c r="J2388" s="38" t="s">
        <v>125</v>
      </c>
      <c r="K2388" s="38" t="s">
        <v>126</v>
      </c>
      <c r="L2388" s="41">
        <v>46012.25</v>
      </c>
      <c r="M2388" s="38" t="s">
        <v>123</v>
      </c>
      <c r="N2388" s="41">
        <v>46012.260416666664</v>
      </c>
      <c r="O2388" s="38" t="s">
        <v>123</v>
      </c>
      <c r="P2388" s="38">
        <v>900.0</v>
      </c>
      <c r="Q2388" s="39"/>
      <c r="R2388" s="39"/>
      <c r="S2388" s="38" t="s">
        <v>199</v>
      </c>
      <c r="T2388" s="39"/>
      <c r="U2388" s="39"/>
    </row>
    <row r="2389">
      <c r="A2389" s="40">
        <f t="shared" si="1"/>
        <v>46006</v>
      </c>
      <c r="B2389" s="37" t="str">
        <f t="array" ref="B2389">iferror(xlookup($I2389, 'IMPORT VHC Report'!$E:$E, 'IMPORT VHC Report'!$A:$C), )</f>
        <v/>
      </c>
      <c r="C2389" s="37"/>
      <c r="D2389" s="37"/>
      <c r="E2389" s="38" t="s">
        <v>2922</v>
      </c>
      <c r="F2389" s="38" t="s">
        <v>2902</v>
      </c>
      <c r="G2389" s="38">
        <v>1.0333049582991E13</v>
      </c>
      <c r="H2389" s="38" t="s">
        <v>2903</v>
      </c>
      <c r="I2389" s="38" t="s">
        <v>2904</v>
      </c>
      <c r="J2389" s="38" t="s">
        <v>196</v>
      </c>
      <c r="K2389" s="38" t="s">
        <v>63</v>
      </c>
      <c r="L2389" s="41">
        <v>46012.25</v>
      </c>
      <c r="M2389" s="38" t="s">
        <v>123</v>
      </c>
      <c r="N2389" s="41">
        <v>46012.625</v>
      </c>
      <c r="O2389" s="38" t="s">
        <v>123</v>
      </c>
      <c r="P2389" s="38">
        <v>32400.0</v>
      </c>
      <c r="Q2389" s="39"/>
      <c r="R2389" s="39"/>
      <c r="S2389" s="39"/>
      <c r="T2389" s="39"/>
      <c r="U2389" s="39"/>
    </row>
    <row r="2390">
      <c r="A2390" s="40">
        <f t="shared" si="1"/>
        <v>46006</v>
      </c>
      <c r="B2390" s="37" t="str">
        <f t="array" ref="B2390">iferror(xlookup($I2390, 'IMPORT VHC Report'!$E:$E, 'IMPORT VHC Report'!$A:$C), )</f>
        <v/>
      </c>
      <c r="C2390" s="37"/>
      <c r="D2390" s="37"/>
      <c r="E2390" s="38" t="s">
        <v>2923</v>
      </c>
      <c r="F2390" s="38" t="s">
        <v>2902</v>
      </c>
      <c r="G2390" s="38">
        <v>1.0333049582991E13</v>
      </c>
      <c r="H2390" s="38" t="s">
        <v>2903</v>
      </c>
      <c r="I2390" s="38" t="s">
        <v>2904</v>
      </c>
      <c r="J2390" s="38" t="s">
        <v>134</v>
      </c>
      <c r="K2390" s="38" t="s">
        <v>126</v>
      </c>
      <c r="L2390" s="41">
        <v>46012.34375</v>
      </c>
      <c r="M2390" s="38" t="s">
        <v>123</v>
      </c>
      <c r="N2390" s="41">
        <v>46012.364583333336</v>
      </c>
      <c r="O2390" s="38" t="s">
        <v>123</v>
      </c>
      <c r="P2390" s="38">
        <v>1800.0</v>
      </c>
      <c r="Q2390" s="39"/>
      <c r="R2390" s="39"/>
      <c r="S2390" s="39"/>
      <c r="T2390" s="39"/>
      <c r="U2390" s="39"/>
    </row>
    <row r="2391">
      <c r="A2391" s="40">
        <f t="shared" si="1"/>
        <v>46006</v>
      </c>
      <c r="B2391" s="37" t="str">
        <f t="array" ref="B2391">iferror(xlookup($I2391, 'IMPORT VHC Report'!$E:$E, 'IMPORT VHC Report'!$A:$C), )</f>
        <v/>
      </c>
      <c r="C2391" s="37"/>
      <c r="D2391" s="37"/>
      <c r="E2391" s="38" t="s">
        <v>2924</v>
      </c>
      <c r="F2391" s="38" t="s">
        <v>2902</v>
      </c>
      <c r="G2391" s="38">
        <v>1.0333049582991E13</v>
      </c>
      <c r="H2391" s="38" t="s">
        <v>2903</v>
      </c>
      <c r="I2391" s="38" t="s">
        <v>2904</v>
      </c>
      <c r="J2391" s="38" t="s">
        <v>132</v>
      </c>
      <c r="K2391" s="38" t="s">
        <v>126</v>
      </c>
      <c r="L2391" s="41">
        <v>46012.489583333336</v>
      </c>
      <c r="M2391" s="38" t="s">
        <v>123</v>
      </c>
      <c r="N2391" s="41">
        <v>46012.53125</v>
      </c>
      <c r="O2391" s="38" t="s">
        <v>123</v>
      </c>
      <c r="P2391" s="38">
        <v>3600.0</v>
      </c>
      <c r="Q2391" s="39"/>
      <c r="R2391" s="39"/>
      <c r="S2391" s="39"/>
      <c r="T2391" s="39"/>
      <c r="U2391" s="39"/>
    </row>
    <row r="2392">
      <c r="A2392" s="40">
        <f t="shared" si="1"/>
        <v>46006</v>
      </c>
      <c r="B2392" s="37" t="str">
        <f t="array" ref="B2392">iferror(xlookup($I2392, 'IMPORT VHC Report'!$E:$E, 'IMPORT VHC Report'!$A:$C), )</f>
        <v/>
      </c>
      <c r="C2392" s="37"/>
      <c r="D2392" s="37"/>
      <c r="E2392" s="38" t="s">
        <v>2925</v>
      </c>
      <c r="F2392" s="38" t="s">
        <v>2926</v>
      </c>
      <c r="G2392" s="38">
        <v>1.1401981037583E13</v>
      </c>
      <c r="H2392" s="38" t="s">
        <v>2927</v>
      </c>
      <c r="I2392" s="38" t="s">
        <v>2928</v>
      </c>
      <c r="J2392" s="38" t="s">
        <v>300</v>
      </c>
      <c r="K2392" s="38" t="s">
        <v>63</v>
      </c>
      <c r="L2392" s="41">
        <v>46006.291666666664</v>
      </c>
      <c r="M2392" s="38" t="s">
        <v>123</v>
      </c>
      <c r="N2392" s="41">
        <v>46006.666666666664</v>
      </c>
      <c r="O2392" s="38" t="s">
        <v>123</v>
      </c>
      <c r="P2392" s="38">
        <v>32400.0</v>
      </c>
      <c r="Q2392" s="39"/>
      <c r="R2392" s="39"/>
      <c r="S2392" s="39"/>
      <c r="T2392" s="39"/>
      <c r="U2392" s="39"/>
    </row>
    <row r="2393">
      <c r="A2393" s="40">
        <f t="shared" si="1"/>
        <v>46006</v>
      </c>
      <c r="B2393" s="37" t="str">
        <f t="array" ref="B2393">iferror(xlookup($I2393, 'IMPORT VHC Report'!$E:$E, 'IMPORT VHC Report'!$A:$C), )</f>
        <v/>
      </c>
      <c r="C2393" s="37"/>
      <c r="D2393" s="37"/>
      <c r="E2393" s="38" t="s">
        <v>2929</v>
      </c>
      <c r="F2393" s="38" t="s">
        <v>2926</v>
      </c>
      <c r="G2393" s="38">
        <v>1.1401981037583E13</v>
      </c>
      <c r="H2393" s="38" t="s">
        <v>2927</v>
      </c>
      <c r="I2393" s="38" t="s">
        <v>2928</v>
      </c>
      <c r="J2393" s="38" t="s">
        <v>134</v>
      </c>
      <c r="K2393" s="38" t="s">
        <v>126</v>
      </c>
      <c r="L2393" s="41">
        <v>46006.40625</v>
      </c>
      <c r="M2393" s="38" t="s">
        <v>123</v>
      </c>
      <c r="N2393" s="41">
        <v>46006.416666666664</v>
      </c>
      <c r="O2393" s="38" t="s">
        <v>123</v>
      </c>
      <c r="P2393" s="38">
        <v>900.0</v>
      </c>
      <c r="Q2393" s="39"/>
      <c r="R2393" s="39"/>
      <c r="S2393" s="39"/>
      <c r="T2393" s="39"/>
      <c r="U2393" s="39"/>
    </row>
    <row r="2394">
      <c r="A2394" s="40">
        <f t="shared" si="1"/>
        <v>46006</v>
      </c>
      <c r="B2394" s="37" t="str">
        <f t="array" ref="B2394">iferror(xlookup($I2394, 'IMPORT VHC Report'!$E:$E, 'IMPORT VHC Report'!$A:$C), )</f>
        <v/>
      </c>
      <c r="C2394" s="37"/>
      <c r="D2394" s="37"/>
      <c r="E2394" s="38" t="s">
        <v>2930</v>
      </c>
      <c r="F2394" s="38" t="s">
        <v>2926</v>
      </c>
      <c r="G2394" s="38">
        <v>1.1401981037583E13</v>
      </c>
      <c r="H2394" s="38" t="s">
        <v>2927</v>
      </c>
      <c r="I2394" s="38" t="s">
        <v>2928</v>
      </c>
      <c r="J2394" s="38" t="s">
        <v>132</v>
      </c>
      <c r="K2394" s="38" t="s">
        <v>126</v>
      </c>
      <c r="L2394" s="41">
        <v>46006.46875</v>
      </c>
      <c r="M2394" s="38" t="s">
        <v>123</v>
      </c>
      <c r="N2394" s="41">
        <v>46006.510416666664</v>
      </c>
      <c r="O2394" s="38" t="s">
        <v>123</v>
      </c>
      <c r="P2394" s="38">
        <v>3600.0</v>
      </c>
      <c r="Q2394" s="39"/>
      <c r="R2394" s="39"/>
      <c r="S2394" s="39"/>
      <c r="T2394" s="39"/>
      <c r="U2394" s="39"/>
    </row>
    <row r="2395">
      <c r="A2395" s="40">
        <f t="shared" si="1"/>
        <v>46006</v>
      </c>
      <c r="B2395" s="37" t="str">
        <f t="array" ref="B2395">iferror(xlookup($I2395, 'IMPORT VHC Report'!$E:$E, 'IMPORT VHC Report'!$A:$C), )</f>
        <v/>
      </c>
      <c r="C2395" s="37"/>
      <c r="D2395" s="37"/>
      <c r="E2395" s="38" t="s">
        <v>2931</v>
      </c>
      <c r="F2395" s="38" t="s">
        <v>2926</v>
      </c>
      <c r="G2395" s="38">
        <v>1.1401981037583E13</v>
      </c>
      <c r="H2395" s="38" t="s">
        <v>2927</v>
      </c>
      <c r="I2395" s="38" t="s">
        <v>2928</v>
      </c>
      <c r="J2395" s="38" t="s">
        <v>134</v>
      </c>
      <c r="K2395" s="38" t="s">
        <v>126</v>
      </c>
      <c r="L2395" s="41">
        <v>46006.541666666664</v>
      </c>
      <c r="M2395" s="38" t="s">
        <v>123</v>
      </c>
      <c r="N2395" s="41">
        <v>46006.552083333336</v>
      </c>
      <c r="O2395" s="38" t="s">
        <v>123</v>
      </c>
      <c r="P2395" s="38">
        <v>900.0</v>
      </c>
      <c r="Q2395" s="39"/>
      <c r="R2395" s="39"/>
      <c r="S2395" s="39"/>
      <c r="T2395" s="39"/>
      <c r="U2395" s="39"/>
    </row>
    <row r="2396">
      <c r="A2396" s="40">
        <f t="shared" si="1"/>
        <v>46006</v>
      </c>
      <c r="B2396" s="37" t="str">
        <f t="array" ref="B2396">iferror(xlookup($I2396, 'IMPORT VHC Report'!$E:$E, 'IMPORT VHC Report'!$A:$C), )</f>
        <v/>
      </c>
      <c r="C2396" s="37"/>
      <c r="D2396" s="37"/>
      <c r="E2396" s="38" t="s">
        <v>2932</v>
      </c>
      <c r="F2396" s="38" t="s">
        <v>2926</v>
      </c>
      <c r="G2396" s="38">
        <v>1.1401981037583E13</v>
      </c>
      <c r="H2396" s="38" t="s">
        <v>2927</v>
      </c>
      <c r="I2396" s="38" t="s">
        <v>2928</v>
      </c>
      <c r="J2396" s="38" t="s">
        <v>300</v>
      </c>
      <c r="K2396" s="38" t="s">
        <v>63</v>
      </c>
      <c r="L2396" s="41">
        <v>46007.291666666664</v>
      </c>
      <c r="M2396" s="38" t="s">
        <v>123</v>
      </c>
      <c r="N2396" s="41">
        <v>46007.666666666664</v>
      </c>
      <c r="O2396" s="38" t="s">
        <v>123</v>
      </c>
      <c r="P2396" s="38">
        <v>32400.0</v>
      </c>
      <c r="Q2396" s="39"/>
      <c r="R2396" s="39"/>
      <c r="S2396" s="39"/>
      <c r="T2396" s="39"/>
      <c r="U2396" s="39"/>
    </row>
    <row r="2397">
      <c r="A2397" s="40">
        <f t="shared" si="1"/>
        <v>46006</v>
      </c>
      <c r="B2397" s="37" t="str">
        <f t="array" ref="B2397">iferror(xlookup($I2397, 'IMPORT VHC Report'!$E:$E, 'IMPORT VHC Report'!$A:$C), )</f>
        <v/>
      </c>
      <c r="C2397" s="37"/>
      <c r="D2397" s="37"/>
      <c r="E2397" s="38" t="s">
        <v>2933</v>
      </c>
      <c r="F2397" s="38" t="s">
        <v>2926</v>
      </c>
      <c r="G2397" s="38">
        <v>1.1401981037583E13</v>
      </c>
      <c r="H2397" s="38" t="s">
        <v>2927</v>
      </c>
      <c r="I2397" s="38" t="s">
        <v>2928</v>
      </c>
      <c r="J2397" s="38" t="s">
        <v>134</v>
      </c>
      <c r="K2397" s="38" t="s">
        <v>126</v>
      </c>
      <c r="L2397" s="41">
        <v>46007.354166666664</v>
      </c>
      <c r="M2397" s="38" t="s">
        <v>123</v>
      </c>
      <c r="N2397" s="41">
        <v>46007.364583333336</v>
      </c>
      <c r="O2397" s="38" t="s">
        <v>123</v>
      </c>
      <c r="P2397" s="38">
        <v>900.0</v>
      </c>
      <c r="Q2397" s="39"/>
      <c r="R2397" s="39"/>
      <c r="S2397" s="39"/>
      <c r="T2397" s="39"/>
      <c r="U2397" s="39"/>
    </row>
    <row r="2398">
      <c r="A2398" s="40">
        <f t="shared" si="1"/>
        <v>46006</v>
      </c>
      <c r="B2398" s="37" t="str">
        <f t="array" ref="B2398">iferror(xlookup($I2398, 'IMPORT VHC Report'!$E:$E, 'IMPORT VHC Report'!$A:$C), )</f>
        <v/>
      </c>
      <c r="C2398" s="37"/>
      <c r="D2398" s="37"/>
      <c r="E2398" s="38" t="s">
        <v>2934</v>
      </c>
      <c r="F2398" s="38" t="s">
        <v>2926</v>
      </c>
      <c r="G2398" s="38">
        <v>1.1401981037583E13</v>
      </c>
      <c r="H2398" s="38" t="s">
        <v>2927</v>
      </c>
      <c r="I2398" s="38" t="s">
        <v>2928</v>
      </c>
      <c r="J2398" s="38" t="s">
        <v>134</v>
      </c>
      <c r="K2398" s="38" t="s">
        <v>126</v>
      </c>
      <c r="L2398" s="41">
        <v>46007.46875</v>
      </c>
      <c r="M2398" s="38" t="s">
        <v>123</v>
      </c>
      <c r="N2398" s="41">
        <v>46007.479166666664</v>
      </c>
      <c r="O2398" s="38" t="s">
        <v>123</v>
      </c>
      <c r="P2398" s="38">
        <v>900.0</v>
      </c>
      <c r="Q2398" s="39"/>
      <c r="R2398" s="39"/>
      <c r="S2398" s="39"/>
      <c r="T2398" s="39"/>
      <c r="U2398" s="39"/>
    </row>
    <row r="2399">
      <c r="A2399" s="40">
        <f t="shared" si="1"/>
        <v>46006</v>
      </c>
      <c r="B2399" s="37" t="str">
        <f t="array" ref="B2399">iferror(xlookup($I2399, 'IMPORT VHC Report'!$E:$E, 'IMPORT VHC Report'!$A:$C), )</f>
        <v/>
      </c>
      <c r="C2399" s="37"/>
      <c r="D2399" s="37"/>
      <c r="E2399" s="38" t="s">
        <v>2935</v>
      </c>
      <c r="F2399" s="38" t="s">
        <v>2926</v>
      </c>
      <c r="G2399" s="38">
        <v>1.1401981037583E13</v>
      </c>
      <c r="H2399" s="38" t="s">
        <v>2927</v>
      </c>
      <c r="I2399" s="38" t="s">
        <v>2928</v>
      </c>
      <c r="J2399" s="38" t="s">
        <v>132</v>
      </c>
      <c r="K2399" s="38" t="s">
        <v>126</v>
      </c>
      <c r="L2399" s="41">
        <v>46007.541666666664</v>
      </c>
      <c r="M2399" s="38" t="s">
        <v>123</v>
      </c>
      <c r="N2399" s="41">
        <v>46007.583333333336</v>
      </c>
      <c r="O2399" s="38" t="s">
        <v>123</v>
      </c>
      <c r="P2399" s="38">
        <v>3600.0</v>
      </c>
      <c r="Q2399" s="39"/>
      <c r="R2399" s="39"/>
      <c r="S2399" s="39"/>
      <c r="T2399" s="39"/>
      <c r="U2399" s="39"/>
    </row>
    <row r="2400">
      <c r="A2400" s="40">
        <f t="shared" si="1"/>
        <v>46006</v>
      </c>
      <c r="B2400" s="37" t="str">
        <f t="array" ref="B2400">iferror(xlookup($I2400, 'IMPORT VHC Report'!$E:$E, 'IMPORT VHC Report'!$A:$C), )</f>
        <v/>
      </c>
      <c r="C2400" s="37"/>
      <c r="D2400" s="37"/>
      <c r="E2400" s="38" t="s">
        <v>2936</v>
      </c>
      <c r="F2400" s="38" t="s">
        <v>2926</v>
      </c>
      <c r="G2400" s="38">
        <v>1.1401981037583E13</v>
      </c>
      <c r="H2400" s="38" t="s">
        <v>2927</v>
      </c>
      <c r="I2400" s="38" t="s">
        <v>2928</v>
      </c>
      <c r="J2400" s="38" t="s">
        <v>300</v>
      </c>
      <c r="K2400" s="38" t="s">
        <v>63</v>
      </c>
      <c r="L2400" s="41">
        <v>46008.291666666664</v>
      </c>
      <c r="M2400" s="38" t="s">
        <v>123</v>
      </c>
      <c r="N2400" s="41">
        <v>46008.666666666664</v>
      </c>
      <c r="O2400" s="38" t="s">
        <v>123</v>
      </c>
      <c r="P2400" s="38">
        <v>32400.0</v>
      </c>
      <c r="Q2400" s="39"/>
      <c r="R2400" s="39"/>
      <c r="S2400" s="39"/>
      <c r="T2400" s="39"/>
      <c r="U2400" s="39"/>
    </row>
    <row r="2401">
      <c r="A2401" s="40">
        <f t="shared" si="1"/>
        <v>46006</v>
      </c>
      <c r="B2401" s="37" t="str">
        <f t="array" ref="B2401">iferror(xlookup($I2401, 'IMPORT VHC Report'!$E:$E, 'IMPORT VHC Report'!$A:$C), )</f>
        <v/>
      </c>
      <c r="C2401" s="37"/>
      <c r="D2401" s="37"/>
      <c r="E2401" s="38" t="s">
        <v>2937</v>
      </c>
      <c r="F2401" s="38" t="s">
        <v>2926</v>
      </c>
      <c r="G2401" s="38">
        <v>1.1401981037583E13</v>
      </c>
      <c r="H2401" s="38" t="s">
        <v>2927</v>
      </c>
      <c r="I2401" s="38" t="s">
        <v>2928</v>
      </c>
      <c r="J2401" s="38" t="s">
        <v>134</v>
      </c>
      <c r="K2401" s="38" t="s">
        <v>126</v>
      </c>
      <c r="L2401" s="41">
        <v>46008.447916666664</v>
      </c>
      <c r="M2401" s="38" t="s">
        <v>123</v>
      </c>
      <c r="N2401" s="41">
        <v>46008.458333333336</v>
      </c>
      <c r="O2401" s="38" t="s">
        <v>123</v>
      </c>
      <c r="P2401" s="38">
        <v>900.0</v>
      </c>
      <c r="Q2401" s="39"/>
      <c r="R2401" s="39"/>
      <c r="S2401" s="39"/>
      <c r="T2401" s="39"/>
      <c r="U2401" s="39"/>
    </row>
    <row r="2402">
      <c r="A2402" s="40">
        <f t="shared" si="1"/>
        <v>46006</v>
      </c>
      <c r="B2402" s="37" t="str">
        <f t="array" ref="B2402">iferror(xlookup($I2402, 'IMPORT VHC Report'!$E:$E, 'IMPORT VHC Report'!$A:$C), )</f>
        <v/>
      </c>
      <c r="C2402" s="37"/>
      <c r="D2402" s="37"/>
      <c r="E2402" s="38" t="s">
        <v>2938</v>
      </c>
      <c r="F2402" s="38" t="s">
        <v>2926</v>
      </c>
      <c r="G2402" s="38">
        <v>1.1401981037583E13</v>
      </c>
      <c r="H2402" s="38" t="s">
        <v>2927</v>
      </c>
      <c r="I2402" s="38" t="s">
        <v>2928</v>
      </c>
      <c r="J2402" s="38" t="s">
        <v>4</v>
      </c>
      <c r="K2402" s="38" t="s">
        <v>126</v>
      </c>
      <c r="L2402" s="41">
        <v>46008.5</v>
      </c>
      <c r="M2402" s="38" t="s">
        <v>123</v>
      </c>
      <c r="N2402" s="41">
        <v>46008.541666666664</v>
      </c>
      <c r="O2402" s="38" t="s">
        <v>123</v>
      </c>
      <c r="P2402" s="38">
        <v>3600.0</v>
      </c>
      <c r="Q2402" s="39"/>
      <c r="R2402" s="39"/>
      <c r="S2402" s="38" t="s">
        <v>305</v>
      </c>
      <c r="T2402" s="39"/>
      <c r="U2402" s="39"/>
    </row>
    <row r="2403">
      <c r="A2403" s="40">
        <f t="shared" si="1"/>
        <v>46006</v>
      </c>
      <c r="B2403" s="37" t="str">
        <f t="array" ref="B2403">iferror(xlookup($I2403, 'IMPORT VHC Report'!$E:$E, 'IMPORT VHC Report'!$A:$C), )</f>
        <v/>
      </c>
      <c r="C2403" s="37"/>
      <c r="D2403" s="37"/>
      <c r="E2403" s="38" t="s">
        <v>2939</v>
      </c>
      <c r="F2403" s="38" t="s">
        <v>2926</v>
      </c>
      <c r="G2403" s="38">
        <v>1.1401981037583E13</v>
      </c>
      <c r="H2403" s="38" t="s">
        <v>2927</v>
      </c>
      <c r="I2403" s="38" t="s">
        <v>2928</v>
      </c>
      <c r="J2403" s="38" t="s">
        <v>134</v>
      </c>
      <c r="K2403" s="38" t="s">
        <v>126</v>
      </c>
      <c r="L2403" s="41">
        <v>46008.541666666664</v>
      </c>
      <c r="M2403" s="38" t="s">
        <v>123</v>
      </c>
      <c r="N2403" s="41">
        <v>46008.552083333336</v>
      </c>
      <c r="O2403" s="38" t="s">
        <v>123</v>
      </c>
      <c r="P2403" s="38">
        <v>900.0</v>
      </c>
      <c r="Q2403" s="39"/>
      <c r="R2403" s="39"/>
      <c r="S2403" s="39"/>
      <c r="T2403" s="39"/>
      <c r="U2403" s="39"/>
    </row>
    <row r="2404">
      <c r="A2404" s="40">
        <f t="shared" si="1"/>
        <v>46006</v>
      </c>
      <c r="B2404" s="37" t="str">
        <f t="array" ref="B2404">iferror(xlookup($I2404, 'IMPORT VHC Report'!$E:$E, 'IMPORT VHC Report'!$A:$C), )</f>
        <v/>
      </c>
      <c r="C2404" s="37"/>
      <c r="D2404" s="37"/>
      <c r="E2404" s="38" t="s">
        <v>2940</v>
      </c>
      <c r="F2404" s="38" t="s">
        <v>2926</v>
      </c>
      <c r="G2404" s="38">
        <v>1.1401981037583E13</v>
      </c>
      <c r="H2404" s="38" t="s">
        <v>2927</v>
      </c>
      <c r="I2404" s="38" t="s">
        <v>2928</v>
      </c>
      <c r="J2404" s="38" t="s">
        <v>132</v>
      </c>
      <c r="K2404" s="38" t="s">
        <v>126</v>
      </c>
      <c r="L2404" s="41">
        <v>46008.614583333336</v>
      </c>
      <c r="M2404" s="38" t="s">
        <v>123</v>
      </c>
      <c r="N2404" s="41">
        <v>46008.65625</v>
      </c>
      <c r="O2404" s="38" t="s">
        <v>123</v>
      </c>
      <c r="P2404" s="38">
        <v>3600.0</v>
      </c>
      <c r="Q2404" s="39"/>
      <c r="R2404" s="39"/>
      <c r="S2404" s="39"/>
      <c r="T2404" s="39"/>
      <c r="U2404" s="39"/>
    </row>
    <row r="2405">
      <c r="A2405" s="40">
        <f t="shared" si="1"/>
        <v>46006</v>
      </c>
      <c r="B2405" s="37" t="str">
        <f t="array" ref="B2405">iferror(xlookup($I2405, 'IMPORT VHC Report'!$E:$E, 'IMPORT VHC Report'!$A:$C), )</f>
        <v/>
      </c>
      <c r="C2405" s="37"/>
      <c r="D2405" s="37"/>
      <c r="E2405" s="38" t="s">
        <v>2941</v>
      </c>
      <c r="F2405" s="38" t="s">
        <v>2926</v>
      </c>
      <c r="G2405" s="38">
        <v>1.1401981037583E13</v>
      </c>
      <c r="H2405" s="38" t="s">
        <v>2927</v>
      </c>
      <c r="I2405" s="38" t="s">
        <v>2928</v>
      </c>
      <c r="J2405" s="38" t="s">
        <v>178</v>
      </c>
      <c r="K2405" s="38" t="s">
        <v>153</v>
      </c>
      <c r="L2405" s="41">
        <v>46011.291666666664</v>
      </c>
      <c r="M2405" s="38" t="s">
        <v>123</v>
      </c>
      <c r="N2405" s="41">
        <v>46011.666666666664</v>
      </c>
      <c r="O2405" s="38" t="s">
        <v>123</v>
      </c>
      <c r="P2405" s="38">
        <v>32400.0</v>
      </c>
      <c r="Q2405" s="38">
        <v>32400.0</v>
      </c>
      <c r="R2405" s="38" t="s">
        <v>2942</v>
      </c>
      <c r="S2405" s="39"/>
      <c r="T2405" s="39"/>
      <c r="U2405" s="39"/>
    </row>
    <row r="2406">
      <c r="A2406" s="40">
        <f t="shared" si="1"/>
        <v>46006</v>
      </c>
      <c r="B2406" s="37" t="str">
        <f t="array" ref="B2406">iferror(xlookup($I2406, 'IMPORT VHC Report'!$E:$E, 'IMPORT VHC Report'!$A:$C), )</f>
        <v/>
      </c>
      <c r="C2406" s="37"/>
      <c r="D2406" s="37"/>
      <c r="E2406" s="38" t="s">
        <v>2943</v>
      </c>
      <c r="F2406" s="38" t="s">
        <v>2926</v>
      </c>
      <c r="G2406" s="38">
        <v>1.1401981037583E13</v>
      </c>
      <c r="H2406" s="38" t="s">
        <v>2927</v>
      </c>
      <c r="I2406" s="38" t="s">
        <v>2928</v>
      </c>
      <c r="J2406" s="38" t="s">
        <v>300</v>
      </c>
      <c r="K2406" s="38" t="s">
        <v>63</v>
      </c>
      <c r="L2406" s="41">
        <v>46011.291666666664</v>
      </c>
      <c r="M2406" s="38" t="s">
        <v>123</v>
      </c>
      <c r="N2406" s="41">
        <v>46011.666666666664</v>
      </c>
      <c r="O2406" s="38" t="s">
        <v>123</v>
      </c>
      <c r="P2406" s="38">
        <v>32400.0</v>
      </c>
      <c r="Q2406" s="39"/>
      <c r="R2406" s="39"/>
      <c r="S2406" s="39"/>
      <c r="T2406" s="39"/>
      <c r="U2406" s="39"/>
    </row>
    <row r="2407">
      <c r="A2407" s="40">
        <f t="shared" si="1"/>
        <v>46006</v>
      </c>
      <c r="B2407" s="37" t="str">
        <f t="array" ref="B2407">iferror(xlookup($I2407, 'IMPORT VHC Report'!$E:$E, 'IMPORT VHC Report'!$A:$C), )</f>
        <v/>
      </c>
      <c r="C2407" s="37"/>
      <c r="D2407" s="37"/>
      <c r="E2407" s="38" t="s">
        <v>2944</v>
      </c>
      <c r="F2407" s="38" t="s">
        <v>2926</v>
      </c>
      <c r="G2407" s="38">
        <v>1.1401981037583E13</v>
      </c>
      <c r="H2407" s="38" t="s">
        <v>2927</v>
      </c>
      <c r="I2407" s="38" t="s">
        <v>2928</v>
      </c>
      <c r="J2407" s="38" t="s">
        <v>134</v>
      </c>
      <c r="K2407" s="38" t="s">
        <v>126</v>
      </c>
      <c r="L2407" s="41">
        <v>46011.375</v>
      </c>
      <c r="M2407" s="38" t="s">
        <v>123</v>
      </c>
      <c r="N2407" s="41">
        <v>46011.385416666664</v>
      </c>
      <c r="O2407" s="38" t="s">
        <v>123</v>
      </c>
      <c r="P2407" s="38">
        <v>900.0</v>
      </c>
      <c r="Q2407" s="39"/>
      <c r="R2407" s="39"/>
      <c r="S2407" s="39"/>
      <c r="T2407" s="39"/>
      <c r="U2407" s="39"/>
    </row>
    <row r="2408">
      <c r="A2408" s="40">
        <f t="shared" si="1"/>
        <v>46006</v>
      </c>
      <c r="B2408" s="37" t="str">
        <f t="array" ref="B2408">iferror(xlookup($I2408, 'IMPORT VHC Report'!$E:$E, 'IMPORT VHC Report'!$A:$C), )</f>
        <v/>
      </c>
      <c r="C2408" s="37"/>
      <c r="D2408" s="37"/>
      <c r="E2408" s="38" t="s">
        <v>2945</v>
      </c>
      <c r="F2408" s="38" t="s">
        <v>2926</v>
      </c>
      <c r="G2408" s="38">
        <v>1.1401981037583E13</v>
      </c>
      <c r="H2408" s="38" t="s">
        <v>2927</v>
      </c>
      <c r="I2408" s="38" t="s">
        <v>2928</v>
      </c>
      <c r="J2408" s="38" t="s">
        <v>134</v>
      </c>
      <c r="K2408" s="38" t="s">
        <v>126</v>
      </c>
      <c r="L2408" s="41">
        <v>46011.447916666664</v>
      </c>
      <c r="M2408" s="38" t="s">
        <v>123</v>
      </c>
      <c r="N2408" s="41">
        <v>46011.458333333336</v>
      </c>
      <c r="O2408" s="38" t="s">
        <v>123</v>
      </c>
      <c r="P2408" s="38">
        <v>900.0</v>
      </c>
      <c r="Q2408" s="39"/>
      <c r="R2408" s="39"/>
      <c r="S2408" s="39"/>
      <c r="T2408" s="39"/>
      <c r="U2408" s="39"/>
    </row>
    <row r="2409">
      <c r="A2409" s="40">
        <f t="shared" si="1"/>
        <v>46006</v>
      </c>
      <c r="B2409" s="37" t="str">
        <f t="array" ref="B2409">iferror(xlookup($I2409, 'IMPORT VHC Report'!$E:$E, 'IMPORT VHC Report'!$A:$C), )</f>
        <v/>
      </c>
      <c r="C2409" s="37"/>
      <c r="D2409" s="37"/>
      <c r="E2409" s="38" t="s">
        <v>2946</v>
      </c>
      <c r="F2409" s="38" t="s">
        <v>2926</v>
      </c>
      <c r="G2409" s="38">
        <v>1.1401981037583E13</v>
      </c>
      <c r="H2409" s="38" t="s">
        <v>2927</v>
      </c>
      <c r="I2409" s="38" t="s">
        <v>2928</v>
      </c>
      <c r="J2409" s="38" t="s">
        <v>132</v>
      </c>
      <c r="K2409" s="38" t="s">
        <v>126</v>
      </c>
      <c r="L2409" s="41">
        <v>46011.625</v>
      </c>
      <c r="M2409" s="38" t="s">
        <v>123</v>
      </c>
      <c r="N2409" s="41">
        <v>46011.666666666664</v>
      </c>
      <c r="O2409" s="38" t="s">
        <v>123</v>
      </c>
      <c r="P2409" s="38">
        <v>3600.0</v>
      </c>
      <c r="Q2409" s="39"/>
      <c r="R2409" s="39"/>
      <c r="S2409" s="39"/>
      <c r="T2409" s="39"/>
      <c r="U2409" s="39"/>
    </row>
    <row r="2410">
      <c r="A2410" s="40">
        <f t="shared" si="1"/>
        <v>46006</v>
      </c>
      <c r="B2410" s="37" t="str">
        <f t="array" ref="B2410">iferror(xlookup($I2410, 'IMPORT VHC Report'!$E:$E, 'IMPORT VHC Report'!$A:$C), )</f>
        <v/>
      </c>
      <c r="C2410" s="37"/>
      <c r="D2410" s="37"/>
      <c r="E2410" s="38" t="s">
        <v>2947</v>
      </c>
      <c r="F2410" s="38" t="s">
        <v>2926</v>
      </c>
      <c r="G2410" s="38">
        <v>1.1401981037583E13</v>
      </c>
      <c r="H2410" s="38" t="s">
        <v>2927</v>
      </c>
      <c r="I2410" s="38" t="s">
        <v>2928</v>
      </c>
      <c r="J2410" s="38" t="s">
        <v>300</v>
      </c>
      <c r="K2410" s="38" t="s">
        <v>63</v>
      </c>
      <c r="L2410" s="41">
        <v>46012.291666666664</v>
      </c>
      <c r="M2410" s="38" t="s">
        <v>123</v>
      </c>
      <c r="N2410" s="41">
        <v>46012.666666666664</v>
      </c>
      <c r="O2410" s="38" t="s">
        <v>123</v>
      </c>
      <c r="P2410" s="38">
        <v>32400.0</v>
      </c>
      <c r="Q2410" s="39"/>
      <c r="R2410" s="39"/>
      <c r="S2410" s="39"/>
      <c r="T2410" s="39"/>
      <c r="U2410" s="39"/>
    </row>
    <row r="2411">
      <c r="A2411" s="40">
        <f t="shared" si="1"/>
        <v>46006</v>
      </c>
      <c r="B2411" s="37" t="str">
        <f t="array" ref="B2411">iferror(xlookup($I2411, 'IMPORT VHC Report'!$E:$E, 'IMPORT VHC Report'!$A:$C), )</f>
        <v/>
      </c>
      <c r="C2411" s="37"/>
      <c r="D2411" s="37"/>
      <c r="E2411" s="38" t="s">
        <v>2948</v>
      </c>
      <c r="F2411" s="38" t="s">
        <v>2926</v>
      </c>
      <c r="G2411" s="38">
        <v>1.1401981037583E13</v>
      </c>
      <c r="H2411" s="38" t="s">
        <v>2927</v>
      </c>
      <c r="I2411" s="38" t="s">
        <v>2928</v>
      </c>
      <c r="J2411" s="38" t="s">
        <v>134</v>
      </c>
      <c r="K2411" s="38" t="s">
        <v>126</v>
      </c>
      <c r="L2411" s="41">
        <v>46012.375</v>
      </c>
      <c r="M2411" s="38" t="s">
        <v>123</v>
      </c>
      <c r="N2411" s="41">
        <v>46012.385416666664</v>
      </c>
      <c r="O2411" s="38" t="s">
        <v>123</v>
      </c>
      <c r="P2411" s="38">
        <v>900.0</v>
      </c>
      <c r="Q2411" s="39"/>
      <c r="R2411" s="39"/>
      <c r="S2411" s="39"/>
      <c r="T2411" s="39"/>
      <c r="U2411" s="39"/>
    </row>
    <row r="2412">
      <c r="A2412" s="40">
        <f t="shared" si="1"/>
        <v>46006</v>
      </c>
      <c r="B2412" s="37" t="str">
        <f t="array" ref="B2412">iferror(xlookup($I2412, 'IMPORT VHC Report'!$E:$E, 'IMPORT VHC Report'!$A:$C), )</f>
        <v/>
      </c>
      <c r="C2412" s="37"/>
      <c r="D2412" s="37"/>
      <c r="E2412" s="38" t="s">
        <v>2949</v>
      </c>
      <c r="F2412" s="38" t="s">
        <v>2926</v>
      </c>
      <c r="G2412" s="38">
        <v>1.1401981037583E13</v>
      </c>
      <c r="H2412" s="38" t="s">
        <v>2927</v>
      </c>
      <c r="I2412" s="38" t="s">
        <v>2928</v>
      </c>
      <c r="J2412" s="38" t="s">
        <v>134</v>
      </c>
      <c r="K2412" s="38" t="s">
        <v>126</v>
      </c>
      <c r="L2412" s="41">
        <v>46012.520833333336</v>
      </c>
      <c r="M2412" s="38" t="s">
        <v>123</v>
      </c>
      <c r="N2412" s="41">
        <v>46012.53125</v>
      </c>
      <c r="O2412" s="38" t="s">
        <v>123</v>
      </c>
      <c r="P2412" s="38">
        <v>900.0</v>
      </c>
      <c r="Q2412" s="39"/>
      <c r="R2412" s="39"/>
      <c r="S2412" s="39"/>
      <c r="T2412" s="39"/>
      <c r="U2412" s="39"/>
    </row>
    <row r="2413">
      <c r="A2413" s="40">
        <f t="shared" si="1"/>
        <v>46006</v>
      </c>
      <c r="B2413" s="37" t="str">
        <f t="array" ref="B2413">iferror(xlookup($I2413, 'IMPORT VHC Report'!$E:$E, 'IMPORT VHC Report'!$A:$C), )</f>
        <v/>
      </c>
      <c r="C2413" s="37"/>
      <c r="D2413" s="37"/>
      <c r="E2413" s="38" t="s">
        <v>2950</v>
      </c>
      <c r="F2413" s="38" t="s">
        <v>2926</v>
      </c>
      <c r="G2413" s="38">
        <v>1.1401981037583E13</v>
      </c>
      <c r="H2413" s="38" t="s">
        <v>2927</v>
      </c>
      <c r="I2413" s="38" t="s">
        <v>2928</v>
      </c>
      <c r="J2413" s="38" t="s">
        <v>132</v>
      </c>
      <c r="K2413" s="38" t="s">
        <v>126</v>
      </c>
      <c r="L2413" s="41">
        <v>46012.583333333336</v>
      </c>
      <c r="M2413" s="38" t="s">
        <v>123</v>
      </c>
      <c r="N2413" s="41">
        <v>46012.625</v>
      </c>
      <c r="O2413" s="38" t="s">
        <v>123</v>
      </c>
      <c r="P2413" s="38">
        <v>3600.0</v>
      </c>
      <c r="Q2413" s="39"/>
      <c r="R2413" s="39"/>
      <c r="S2413" s="39"/>
      <c r="T2413" s="39"/>
      <c r="U2413" s="39"/>
    </row>
    <row r="2414">
      <c r="A2414" s="40">
        <f t="shared" si="1"/>
        <v>46006</v>
      </c>
      <c r="B2414" s="37" t="str">
        <f t="array" ref="B2414">iferror(xlookup($I2414, 'IMPORT VHC Report'!$E:$E, 'IMPORT VHC Report'!$A:$C), )</f>
        <v/>
      </c>
      <c r="C2414" s="37"/>
      <c r="D2414" s="37"/>
      <c r="E2414" s="38" t="s">
        <v>2951</v>
      </c>
      <c r="F2414" s="38" t="s">
        <v>2952</v>
      </c>
      <c r="G2414" s="38">
        <v>3.61731515255E11</v>
      </c>
      <c r="H2414" s="38" t="s">
        <v>2953</v>
      </c>
      <c r="I2414" s="38" t="s">
        <v>2954</v>
      </c>
      <c r="J2414" s="38" t="s">
        <v>2135</v>
      </c>
      <c r="K2414" s="38" t="s">
        <v>63</v>
      </c>
      <c r="L2414" s="41">
        <v>46006.291666666664</v>
      </c>
      <c r="M2414" s="38" t="s">
        <v>123</v>
      </c>
      <c r="N2414" s="41">
        <v>46006.666666666664</v>
      </c>
      <c r="O2414" s="38" t="s">
        <v>123</v>
      </c>
      <c r="P2414" s="38">
        <v>32400.0</v>
      </c>
      <c r="Q2414" s="39"/>
      <c r="R2414" s="39"/>
      <c r="S2414" s="39"/>
      <c r="T2414" s="39"/>
      <c r="U2414" s="39"/>
    </row>
    <row r="2415">
      <c r="A2415" s="40">
        <f t="shared" si="1"/>
        <v>46006</v>
      </c>
      <c r="B2415" s="37" t="str">
        <f t="array" ref="B2415">iferror(xlookup($I2415, 'IMPORT VHC Report'!$E:$E, 'IMPORT VHC Report'!$A:$C), )</f>
        <v/>
      </c>
      <c r="C2415" s="37"/>
      <c r="D2415" s="37"/>
      <c r="E2415" s="38" t="s">
        <v>2955</v>
      </c>
      <c r="F2415" s="38" t="s">
        <v>2952</v>
      </c>
      <c r="G2415" s="38">
        <v>3.61731515255E11</v>
      </c>
      <c r="H2415" s="38" t="s">
        <v>2953</v>
      </c>
      <c r="I2415" s="38" t="s">
        <v>2954</v>
      </c>
      <c r="J2415" s="38" t="s">
        <v>134</v>
      </c>
      <c r="K2415" s="38" t="s">
        <v>126</v>
      </c>
      <c r="L2415" s="41">
        <v>46006.46875</v>
      </c>
      <c r="M2415" s="38" t="s">
        <v>123</v>
      </c>
      <c r="N2415" s="41">
        <v>46006.489583333336</v>
      </c>
      <c r="O2415" s="38" t="s">
        <v>123</v>
      </c>
      <c r="P2415" s="38">
        <v>1800.0</v>
      </c>
      <c r="Q2415" s="39"/>
      <c r="R2415" s="39"/>
      <c r="S2415" s="39"/>
      <c r="T2415" s="39"/>
      <c r="U2415" s="39"/>
    </row>
    <row r="2416">
      <c r="A2416" s="40">
        <f t="shared" si="1"/>
        <v>46006</v>
      </c>
      <c r="B2416" s="37" t="str">
        <f t="array" ref="B2416">iferror(xlookup($I2416, 'IMPORT VHC Report'!$E:$E, 'IMPORT VHC Report'!$A:$C), )</f>
        <v/>
      </c>
      <c r="C2416" s="37"/>
      <c r="D2416" s="37"/>
      <c r="E2416" s="38" t="s">
        <v>2956</v>
      </c>
      <c r="F2416" s="38" t="s">
        <v>2952</v>
      </c>
      <c r="G2416" s="38">
        <v>3.61731515255E11</v>
      </c>
      <c r="H2416" s="38" t="s">
        <v>2953</v>
      </c>
      <c r="I2416" s="38" t="s">
        <v>2954</v>
      </c>
      <c r="J2416" s="38" t="s">
        <v>132</v>
      </c>
      <c r="K2416" s="38" t="s">
        <v>126</v>
      </c>
      <c r="L2416" s="41">
        <v>46006.583333333336</v>
      </c>
      <c r="M2416" s="38" t="s">
        <v>123</v>
      </c>
      <c r="N2416" s="41">
        <v>46006.625</v>
      </c>
      <c r="O2416" s="38" t="s">
        <v>123</v>
      </c>
      <c r="P2416" s="38">
        <v>3600.0</v>
      </c>
      <c r="Q2416" s="39"/>
      <c r="R2416" s="39"/>
      <c r="S2416" s="39"/>
      <c r="T2416" s="39"/>
      <c r="U2416" s="39"/>
    </row>
    <row r="2417">
      <c r="A2417" s="40">
        <f t="shared" si="1"/>
        <v>46006</v>
      </c>
      <c r="B2417" s="37" t="str">
        <f t="array" ref="B2417">iferror(xlookup($I2417, 'IMPORT VHC Report'!$E:$E, 'IMPORT VHC Report'!$A:$C), )</f>
        <v/>
      </c>
      <c r="C2417" s="37"/>
      <c r="D2417" s="37"/>
      <c r="E2417" s="38" t="s">
        <v>2957</v>
      </c>
      <c r="F2417" s="38" t="s">
        <v>2952</v>
      </c>
      <c r="G2417" s="38">
        <v>3.61731515255E11</v>
      </c>
      <c r="H2417" s="38" t="s">
        <v>2953</v>
      </c>
      <c r="I2417" s="38" t="s">
        <v>2954</v>
      </c>
      <c r="J2417" s="38" t="s">
        <v>2135</v>
      </c>
      <c r="K2417" s="38" t="s">
        <v>63</v>
      </c>
      <c r="L2417" s="41">
        <v>46007.291666666664</v>
      </c>
      <c r="M2417" s="38" t="s">
        <v>123</v>
      </c>
      <c r="N2417" s="41">
        <v>46007.666666666664</v>
      </c>
      <c r="O2417" s="38" t="s">
        <v>123</v>
      </c>
      <c r="P2417" s="38">
        <v>32400.0</v>
      </c>
      <c r="Q2417" s="39"/>
      <c r="R2417" s="39"/>
      <c r="S2417" s="39"/>
      <c r="T2417" s="39"/>
      <c r="U2417" s="39"/>
    </row>
    <row r="2418">
      <c r="A2418" s="40">
        <f t="shared" si="1"/>
        <v>46006</v>
      </c>
      <c r="B2418" s="37" t="str">
        <f t="array" ref="B2418">iferror(xlookup($I2418, 'IMPORT VHC Report'!$E:$E, 'IMPORT VHC Report'!$A:$C), )</f>
        <v/>
      </c>
      <c r="C2418" s="37"/>
      <c r="D2418" s="37"/>
      <c r="E2418" s="38" t="s">
        <v>2958</v>
      </c>
      <c r="F2418" s="38" t="s">
        <v>2952</v>
      </c>
      <c r="G2418" s="38">
        <v>3.61731515255E11</v>
      </c>
      <c r="H2418" s="38" t="s">
        <v>2953</v>
      </c>
      <c r="I2418" s="38" t="s">
        <v>2954</v>
      </c>
      <c r="J2418" s="38" t="s">
        <v>134</v>
      </c>
      <c r="K2418" s="38" t="s">
        <v>126</v>
      </c>
      <c r="L2418" s="41">
        <v>46007.447916666664</v>
      </c>
      <c r="M2418" s="38" t="s">
        <v>123</v>
      </c>
      <c r="N2418" s="41">
        <v>46007.46875</v>
      </c>
      <c r="O2418" s="38" t="s">
        <v>123</v>
      </c>
      <c r="P2418" s="38">
        <v>1800.0</v>
      </c>
      <c r="Q2418" s="39"/>
      <c r="R2418" s="39"/>
      <c r="S2418" s="39"/>
      <c r="T2418" s="39"/>
      <c r="U2418" s="39"/>
    </row>
    <row r="2419">
      <c r="A2419" s="40">
        <f t="shared" si="1"/>
        <v>46006</v>
      </c>
      <c r="B2419" s="37" t="str">
        <f t="array" ref="B2419">iferror(xlookup($I2419, 'IMPORT VHC Report'!$E:$E, 'IMPORT VHC Report'!$A:$C), )</f>
        <v/>
      </c>
      <c r="C2419" s="37"/>
      <c r="D2419" s="37"/>
      <c r="E2419" s="38" t="s">
        <v>2959</v>
      </c>
      <c r="F2419" s="38" t="s">
        <v>2952</v>
      </c>
      <c r="G2419" s="38">
        <v>3.61731515255E11</v>
      </c>
      <c r="H2419" s="38" t="s">
        <v>2953</v>
      </c>
      <c r="I2419" s="38" t="s">
        <v>2954</v>
      </c>
      <c r="J2419" s="38" t="s">
        <v>132</v>
      </c>
      <c r="K2419" s="38" t="s">
        <v>126</v>
      </c>
      <c r="L2419" s="41">
        <v>46007.583333333336</v>
      </c>
      <c r="M2419" s="38" t="s">
        <v>123</v>
      </c>
      <c r="N2419" s="41">
        <v>46007.625</v>
      </c>
      <c r="O2419" s="38" t="s">
        <v>123</v>
      </c>
      <c r="P2419" s="38">
        <v>3600.0</v>
      </c>
      <c r="Q2419" s="39"/>
      <c r="R2419" s="39"/>
      <c r="S2419" s="39"/>
      <c r="T2419" s="39"/>
      <c r="U2419" s="39"/>
    </row>
    <row r="2420">
      <c r="A2420" s="40">
        <f t="shared" si="1"/>
        <v>46006</v>
      </c>
      <c r="B2420" s="37" t="str">
        <f t="array" ref="B2420">iferror(xlookup($I2420, 'IMPORT VHC Report'!$E:$E, 'IMPORT VHC Report'!$A:$C), )</f>
        <v/>
      </c>
      <c r="C2420" s="37"/>
      <c r="D2420" s="37"/>
      <c r="E2420" s="38" t="s">
        <v>2960</v>
      </c>
      <c r="F2420" s="38" t="s">
        <v>2952</v>
      </c>
      <c r="G2420" s="38">
        <v>3.61731515255E11</v>
      </c>
      <c r="H2420" s="38" t="s">
        <v>2953</v>
      </c>
      <c r="I2420" s="38" t="s">
        <v>2954</v>
      </c>
      <c r="J2420" s="38" t="s">
        <v>152</v>
      </c>
      <c r="K2420" s="38" t="s">
        <v>153</v>
      </c>
      <c r="L2420" s="41">
        <v>46008.291666666664</v>
      </c>
      <c r="M2420" s="38" t="s">
        <v>123</v>
      </c>
      <c r="N2420" s="41">
        <v>46008.666666666664</v>
      </c>
      <c r="O2420" s="38" t="s">
        <v>123</v>
      </c>
      <c r="P2420" s="38">
        <v>32400.0</v>
      </c>
      <c r="Q2420" s="38">
        <v>86400.0</v>
      </c>
      <c r="R2420" s="39"/>
      <c r="S2420" s="39"/>
      <c r="T2420" s="39"/>
      <c r="U2420" s="39"/>
    </row>
    <row r="2421">
      <c r="A2421" s="40">
        <f t="shared" si="1"/>
        <v>46006</v>
      </c>
      <c r="B2421" s="37" t="str">
        <f t="array" ref="B2421">iferror(xlookup($I2421, 'IMPORT VHC Report'!$E:$E, 'IMPORT VHC Report'!$A:$C), )</f>
        <v/>
      </c>
      <c r="C2421" s="37"/>
      <c r="D2421" s="37"/>
      <c r="E2421" s="38" t="s">
        <v>2961</v>
      </c>
      <c r="F2421" s="38" t="s">
        <v>2952</v>
      </c>
      <c r="G2421" s="38">
        <v>3.61731515255E11</v>
      </c>
      <c r="H2421" s="38" t="s">
        <v>2953</v>
      </c>
      <c r="I2421" s="38" t="s">
        <v>2954</v>
      </c>
      <c r="J2421" s="38" t="s">
        <v>2135</v>
      </c>
      <c r="K2421" s="38" t="s">
        <v>63</v>
      </c>
      <c r="L2421" s="41">
        <v>46008.291666666664</v>
      </c>
      <c r="M2421" s="38" t="s">
        <v>123</v>
      </c>
      <c r="N2421" s="41">
        <v>46008.666666666664</v>
      </c>
      <c r="O2421" s="38" t="s">
        <v>123</v>
      </c>
      <c r="P2421" s="38">
        <v>32400.0</v>
      </c>
      <c r="Q2421" s="39"/>
      <c r="R2421" s="39"/>
      <c r="S2421" s="39"/>
      <c r="T2421" s="39"/>
      <c r="U2421" s="39"/>
    </row>
    <row r="2422">
      <c r="A2422" s="40">
        <f t="shared" si="1"/>
        <v>46006</v>
      </c>
      <c r="B2422" s="37" t="str">
        <f t="array" ref="B2422">iferror(xlookup($I2422, 'IMPORT VHC Report'!$E:$E, 'IMPORT VHC Report'!$A:$C), )</f>
        <v/>
      </c>
      <c r="C2422" s="37"/>
      <c r="D2422" s="37"/>
      <c r="E2422" s="38" t="s">
        <v>2962</v>
      </c>
      <c r="F2422" s="38" t="s">
        <v>2952</v>
      </c>
      <c r="G2422" s="38">
        <v>3.61731515255E11</v>
      </c>
      <c r="H2422" s="38" t="s">
        <v>2953</v>
      </c>
      <c r="I2422" s="38" t="s">
        <v>2954</v>
      </c>
      <c r="J2422" s="38" t="s">
        <v>134</v>
      </c>
      <c r="K2422" s="38" t="s">
        <v>126</v>
      </c>
      <c r="L2422" s="41">
        <v>46008.40625</v>
      </c>
      <c r="M2422" s="38" t="s">
        <v>123</v>
      </c>
      <c r="N2422" s="41">
        <v>46008.427083333336</v>
      </c>
      <c r="O2422" s="38" t="s">
        <v>123</v>
      </c>
      <c r="P2422" s="38">
        <v>1800.0</v>
      </c>
      <c r="Q2422" s="39"/>
      <c r="R2422" s="39"/>
      <c r="S2422" s="39"/>
      <c r="T2422" s="39"/>
      <c r="U2422" s="39"/>
    </row>
    <row r="2423">
      <c r="A2423" s="40">
        <f t="shared" si="1"/>
        <v>46006</v>
      </c>
      <c r="B2423" s="37" t="str">
        <f t="array" ref="B2423">iferror(xlookup($I2423, 'IMPORT VHC Report'!$E:$E, 'IMPORT VHC Report'!$A:$C), )</f>
        <v/>
      </c>
      <c r="C2423" s="37"/>
      <c r="D2423" s="37"/>
      <c r="E2423" s="38" t="s">
        <v>2963</v>
      </c>
      <c r="F2423" s="38" t="s">
        <v>2952</v>
      </c>
      <c r="G2423" s="38">
        <v>3.61731515255E11</v>
      </c>
      <c r="H2423" s="38" t="s">
        <v>2953</v>
      </c>
      <c r="I2423" s="38" t="s">
        <v>2954</v>
      </c>
      <c r="J2423" s="38" t="s">
        <v>132</v>
      </c>
      <c r="K2423" s="38" t="s">
        <v>126</v>
      </c>
      <c r="L2423" s="41">
        <v>46008.510416666664</v>
      </c>
      <c r="M2423" s="38" t="s">
        <v>123</v>
      </c>
      <c r="N2423" s="41">
        <v>46008.552083333336</v>
      </c>
      <c r="O2423" s="38" t="s">
        <v>123</v>
      </c>
      <c r="P2423" s="38">
        <v>3600.0</v>
      </c>
      <c r="Q2423" s="39"/>
      <c r="R2423" s="39"/>
      <c r="S2423" s="39"/>
      <c r="T2423" s="39"/>
      <c r="U2423" s="39"/>
    </row>
    <row r="2424">
      <c r="A2424" s="40">
        <f t="shared" si="1"/>
        <v>46006</v>
      </c>
      <c r="B2424" s="37" t="str">
        <f t="array" ref="B2424">iferror(xlookup($I2424, 'IMPORT VHC Report'!$E:$E, 'IMPORT VHC Report'!$A:$C), )</f>
        <v/>
      </c>
      <c r="C2424" s="37"/>
      <c r="D2424" s="37"/>
      <c r="E2424" s="38" t="s">
        <v>2964</v>
      </c>
      <c r="F2424" s="38" t="s">
        <v>2952</v>
      </c>
      <c r="G2424" s="38">
        <v>3.61731515255E11</v>
      </c>
      <c r="H2424" s="38" t="s">
        <v>2953</v>
      </c>
      <c r="I2424" s="38" t="s">
        <v>2954</v>
      </c>
      <c r="J2424" s="38" t="s">
        <v>152</v>
      </c>
      <c r="K2424" s="38" t="s">
        <v>153</v>
      </c>
      <c r="L2424" s="41">
        <v>46009.291666666664</v>
      </c>
      <c r="M2424" s="38" t="s">
        <v>123</v>
      </c>
      <c r="N2424" s="41">
        <v>46009.666666666664</v>
      </c>
      <c r="O2424" s="38" t="s">
        <v>123</v>
      </c>
      <c r="P2424" s="38">
        <v>32400.0</v>
      </c>
      <c r="Q2424" s="38">
        <v>32400.0</v>
      </c>
      <c r="R2424" s="39"/>
      <c r="S2424" s="39"/>
      <c r="T2424" s="39"/>
      <c r="U2424" s="39"/>
    </row>
    <row r="2425">
      <c r="A2425" s="40">
        <f t="shared" si="1"/>
        <v>46006</v>
      </c>
      <c r="B2425" s="37" t="str">
        <f t="array" ref="B2425">iferror(xlookup($I2425, 'IMPORT VHC Report'!$E:$E, 'IMPORT VHC Report'!$A:$C), )</f>
        <v/>
      </c>
      <c r="C2425" s="37"/>
      <c r="D2425" s="37"/>
      <c r="E2425" s="38" t="s">
        <v>2965</v>
      </c>
      <c r="F2425" s="38" t="s">
        <v>2952</v>
      </c>
      <c r="G2425" s="38">
        <v>3.61731515255E11</v>
      </c>
      <c r="H2425" s="38" t="s">
        <v>2953</v>
      </c>
      <c r="I2425" s="38" t="s">
        <v>2954</v>
      </c>
      <c r="J2425" s="38" t="s">
        <v>2135</v>
      </c>
      <c r="K2425" s="38" t="s">
        <v>63</v>
      </c>
      <c r="L2425" s="41">
        <v>46009.291666666664</v>
      </c>
      <c r="M2425" s="38" t="s">
        <v>123</v>
      </c>
      <c r="N2425" s="41">
        <v>46009.666666666664</v>
      </c>
      <c r="O2425" s="38" t="s">
        <v>123</v>
      </c>
      <c r="P2425" s="38">
        <v>32400.0</v>
      </c>
      <c r="Q2425" s="39"/>
      <c r="R2425" s="39"/>
      <c r="S2425" s="39"/>
      <c r="T2425" s="39"/>
      <c r="U2425" s="39"/>
    </row>
    <row r="2426">
      <c r="A2426" s="40">
        <f t="shared" si="1"/>
        <v>46006</v>
      </c>
      <c r="B2426" s="37" t="str">
        <f t="array" ref="B2426">iferror(xlookup($I2426, 'IMPORT VHC Report'!$E:$E, 'IMPORT VHC Report'!$A:$C), )</f>
        <v/>
      </c>
      <c r="C2426" s="37"/>
      <c r="D2426" s="37"/>
      <c r="E2426" s="38" t="s">
        <v>2966</v>
      </c>
      <c r="F2426" s="38" t="s">
        <v>2952</v>
      </c>
      <c r="G2426" s="38">
        <v>3.61731515255E11</v>
      </c>
      <c r="H2426" s="38" t="s">
        <v>2953</v>
      </c>
      <c r="I2426" s="38" t="s">
        <v>2954</v>
      </c>
      <c r="J2426" s="38" t="s">
        <v>134</v>
      </c>
      <c r="K2426" s="38" t="s">
        <v>126</v>
      </c>
      <c r="L2426" s="41">
        <v>46009.46875</v>
      </c>
      <c r="M2426" s="38" t="s">
        <v>123</v>
      </c>
      <c r="N2426" s="41">
        <v>46009.489583333336</v>
      </c>
      <c r="O2426" s="38" t="s">
        <v>123</v>
      </c>
      <c r="P2426" s="38">
        <v>1800.0</v>
      </c>
      <c r="Q2426" s="39"/>
      <c r="R2426" s="39"/>
      <c r="S2426" s="39"/>
      <c r="T2426" s="39"/>
      <c r="U2426" s="39"/>
    </row>
    <row r="2427">
      <c r="A2427" s="40">
        <f t="shared" si="1"/>
        <v>46006</v>
      </c>
      <c r="B2427" s="37" t="str">
        <f t="array" ref="B2427">iferror(xlookup($I2427, 'IMPORT VHC Report'!$E:$E, 'IMPORT VHC Report'!$A:$C), )</f>
        <v/>
      </c>
      <c r="C2427" s="37"/>
      <c r="D2427" s="37"/>
      <c r="E2427" s="38" t="s">
        <v>2967</v>
      </c>
      <c r="F2427" s="38" t="s">
        <v>2952</v>
      </c>
      <c r="G2427" s="38">
        <v>3.61731515255E11</v>
      </c>
      <c r="H2427" s="38" t="s">
        <v>2953</v>
      </c>
      <c r="I2427" s="38" t="s">
        <v>2954</v>
      </c>
      <c r="J2427" s="38" t="s">
        <v>132</v>
      </c>
      <c r="K2427" s="38" t="s">
        <v>126</v>
      </c>
      <c r="L2427" s="41">
        <v>46009.572916666664</v>
      </c>
      <c r="M2427" s="38" t="s">
        <v>123</v>
      </c>
      <c r="N2427" s="41">
        <v>46009.614583333336</v>
      </c>
      <c r="O2427" s="38" t="s">
        <v>123</v>
      </c>
      <c r="P2427" s="38">
        <v>3600.0</v>
      </c>
      <c r="Q2427" s="39"/>
      <c r="R2427" s="39"/>
      <c r="S2427" s="39"/>
      <c r="T2427" s="39"/>
      <c r="U2427" s="39"/>
    </row>
    <row r="2428">
      <c r="A2428" s="40">
        <f t="shared" si="1"/>
        <v>46006</v>
      </c>
      <c r="B2428" s="37" t="str">
        <f t="array" ref="B2428">iferror(xlookup($I2428, 'IMPORT VHC Report'!$E:$E, 'IMPORT VHC Report'!$A:$C), )</f>
        <v/>
      </c>
      <c r="C2428" s="37"/>
      <c r="D2428" s="37"/>
      <c r="E2428" s="38" t="s">
        <v>2968</v>
      </c>
      <c r="F2428" s="38" t="s">
        <v>2952</v>
      </c>
      <c r="G2428" s="38">
        <v>3.61731515255E11</v>
      </c>
      <c r="H2428" s="38" t="s">
        <v>2953</v>
      </c>
      <c r="I2428" s="38" t="s">
        <v>2954</v>
      </c>
      <c r="J2428" s="38" t="s">
        <v>152</v>
      </c>
      <c r="K2428" s="38" t="s">
        <v>153</v>
      </c>
      <c r="L2428" s="41">
        <v>46010.291666666664</v>
      </c>
      <c r="M2428" s="38" t="s">
        <v>123</v>
      </c>
      <c r="N2428" s="41">
        <v>46010.666666666664</v>
      </c>
      <c r="O2428" s="38" t="s">
        <v>123</v>
      </c>
      <c r="P2428" s="38">
        <v>32400.0</v>
      </c>
      <c r="Q2428" s="38">
        <v>32400.0</v>
      </c>
      <c r="R2428" s="39"/>
      <c r="S2428" s="39"/>
      <c r="T2428" s="39"/>
      <c r="U2428" s="39"/>
    </row>
    <row r="2429">
      <c r="A2429" s="40">
        <f t="shared" si="1"/>
        <v>46006</v>
      </c>
      <c r="B2429" s="37" t="str">
        <f t="array" ref="B2429">iferror(xlookup($I2429, 'IMPORT VHC Report'!$E:$E, 'IMPORT VHC Report'!$A:$C), )</f>
        <v/>
      </c>
      <c r="C2429" s="37"/>
      <c r="D2429" s="37"/>
      <c r="E2429" s="38" t="s">
        <v>2969</v>
      </c>
      <c r="F2429" s="38" t="s">
        <v>2952</v>
      </c>
      <c r="G2429" s="38">
        <v>3.61731515255E11</v>
      </c>
      <c r="H2429" s="38" t="s">
        <v>2953</v>
      </c>
      <c r="I2429" s="38" t="s">
        <v>2954</v>
      </c>
      <c r="J2429" s="38" t="s">
        <v>2135</v>
      </c>
      <c r="K2429" s="38" t="s">
        <v>63</v>
      </c>
      <c r="L2429" s="41">
        <v>46010.291666666664</v>
      </c>
      <c r="M2429" s="38" t="s">
        <v>123</v>
      </c>
      <c r="N2429" s="41">
        <v>46010.666666666664</v>
      </c>
      <c r="O2429" s="38" t="s">
        <v>123</v>
      </c>
      <c r="P2429" s="38">
        <v>32400.0</v>
      </c>
      <c r="Q2429" s="39"/>
      <c r="R2429" s="39"/>
      <c r="S2429" s="39"/>
      <c r="T2429" s="39"/>
      <c r="U2429" s="39"/>
    </row>
    <row r="2430">
      <c r="A2430" s="40">
        <f t="shared" si="1"/>
        <v>46006</v>
      </c>
      <c r="B2430" s="37" t="str">
        <f t="array" ref="B2430">iferror(xlookup($I2430, 'IMPORT VHC Report'!$E:$E, 'IMPORT VHC Report'!$A:$C), )</f>
        <v/>
      </c>
      <c r="C2430" s="37"/>
      <c r="D2430" s="37"/>
      <c r="E2430" s="38" t="s">
        <v>2970</v>
      </c>
      <c r="F2430" s="38" t="s">
        <v>2952</v>
      </c>
      <c r="G2430" s="38">
        <v>3.61731515255E11</v>
      </c>
      <c r="H2430" s="38" t="s">
        <v>2953</v>
      </c>
      <c r="I2430" s="38" t="s">
        <v>2954</v>
      </c>
      <c r="J2430" s="38" t="s">
        <v>134</v>
      </c>
      <c r="K2430" s="38" t="s">
        <v>126</v>
      </c>
      <c r="L2430" s="41">
        <v>46010.395833333336</v>
      </c>
      <c r="M2430" s="38" t="s">
        <v>123</v>
      </c>
      <c r="N2430" s="41">
        <v>46010.416666666664</v>
      </c>
      <c r="O2430" s="38" t="s">
        <v>123</v>
      </c>
      <c r="P2430" s="38">
        <v>1800.0</v>
      </c>
      <c r="Q2430" s="39"/>
      <c r="R2430" s="39"/>
      <c r="S2430" s="39"/>
      <c r="T2430" s="39"/>
      <c r="U2430" s="39"/>
    </row>
    <row r="2431">
      <c r="A2431" s="40">
        <f t="shared" si="1"/>
        <v>46006</v>
      </c>
      <c r="B2431" s="37" t="str">
        <f t="array" ref="B2431">iferror(xlookup($I2431, 'IMPORT VHC Report'!$E:$E, 'IMPORT VHC Report'!$A:$C), )</f>
        <v/>
      </c>
      <c r="C2431" s="37"/>
      <c r="D2431" s="37"/>
      <c r="E2431" s="38" t="s">
        <v>2971</v>
      </c>
      <c r="F2431" s="38" t="s">
        <v>2952</v>
      </c>
      <c r="G2431" s="38">
        <v>3.61731515255E11</v>
      </c>
      <c r="H2431" s="38" t="s">
        <v>2953</v>
      </c>
      <c r="I2431" s="38" t="s">
        <v>2954</v>
      </c>
      <c r="J2431" s="38" t="s">
        <v>132</v>
      </c>
      <c r="K2431" s="38" t="s">
        <v>126</v>
      </c>
      <c r="L2431" s="41">
        <v>46010.53125</v>
      </c>
      <c r="M2431" s="38" t="s">
        <v>123</v>
      </c>
      <c r="N2431" s="41">
        <v>46010.572916666664</v>
      </c>
      <c r="O2431" s="38" t="s">
        <v>123</v>
      </c>
      <c r="P2431" s="38">
        <v>3600.0</v>
      </c>
      <c r="Q2431" s="39"/>
      <c r="R2431" s="39"/>
      <c r="S2431" s="39"/>
      <c r="T2431" s="39"/>
      <c r="U2431" s="39"/>
    </row>
    <row r="2432">
      <c r="A2432" s="40">
        <f t="shared" si="1"/>
        <v>46006</v>
      </c>
      <c r="B2432" s="37" t="str">
        <f t="array" ref="B2432">iferror(xlookup($I2432, 'IMPORT VHC Report'!$E:$E, 'IMPORT VHC Report'!$A:$C), )</f>
        <v/>
      </c>
      <c r="C2432" s="37"/>
      <c r="D2432" s="37"/>
      <c r="E2432" s="38" t="s">
        <v>2972</v>
      </c>
      <c r="F2432" s="38" t="s">
        <v>2973</v>
      </c>
      <c r="G2432" s="38">
        <v>3.61732055015E11</v>
      </c>
      <c r="H2432" s="38" t="s">
        <v>2974</v>
      </c>
      <c r="I2432" s="38" t="s">
        <v>2975</v>
      </c>
      <c r="J2432" s="38" t="s">
        <v>136</v>
      </c>
      <c r="K2432" s="38" t="s">
        <v>126</v>
      </c>
      <c r="L2432" s="41">
        <v>46006.291666666664</v>
      </c>
      <c r="M2432" s="38" t="s">
        <v>123</v>
      </c>
      <c r="N2432" s="41">
        <v>46006.3125</v>
      </c>
      <c r="O2432" s="38" t="s">
        <v>123</v>
      </c>
      <c r="P2432" s="38">
        <v>1800.0</v>
      </c>
      <c r="Q2432" s="39"/>
      <c r="R2432" s="39"/>
      <c r="S2432" s="38" t="s">
        <v>2270</v>
      </c>
      <c r="T2432" s="39"/>
      <c r="U2432" s="39"/>
    </row>
    <row r="2433">
      <c r="A2433" s="40">
        <f t="shared" si="1"/>
        <v>46006</v>
      </c>
      <c r="B2433" s="37" t="str">
        <f t="array" ref="B2433">iferror(xlookup($I2433, 'IMPORT VHC Report'!$E:$E, 'IMPORT VHC Report'!$A:$C), )</f>
        <v/>
      </c>
      <c r="C2433" s="37"/>
      <c r="D2433" s="37"/>
      <c r="E2433" s="38" t="s">
        <v>2976</v>
      </c>
      <c r="F2433" s="38" t="s">
        <v>2973</v>
      </c>
      <c r="G2433" s="38">
        <v>3.61732055015E11</v>
      </c>
      <c r="H2433" s="38" t="s">
        <v>2974</v>
      </c>
      <c r="I2433" s="38" t="s">
        <v>2975</v>
      </c>
      <c r="J2433" s="38" t="s">
        <v>2268</v>
      </c>
      <c r="K2433" s="38" t="s">
        <v>63</v>
      </c>
      <c r="L2433" s="41">
        <v>46006.291666666664</v>
      </c>
      <c r="M2433" s="38" t="s">
        <v>123</v>
      </c>
      <c r="N2433" s="41">
        <v>46006.666666666664</v>
      </c>
      <c r="O2433" s="38" t="s">
        <v>123</v>
      </c>
      <c r="P2433" s="38">
        <v>32400.0</v>
      </c>
      <c r="Q2433" s="39"/>
      <c r="R2433" s="39"/>
      <c r="S2433" s="39"/>
      <c r="T2433" s="39"/>
      <c r="U2433" s="39"/>
    </row>
    <row r="2434">
      <c r="A2434" s="40">
        <f t="shared" si="1"/>
        <v>46006</v>
      </c>
      <c r="B2434" s="37" t="str">
        <f t="array" ref="B2434">iferror(xlookup($I2434, 'IMPORT VHC Report'!$E:$E, 'IMPORT VHC Report'!$A:$C), )</f>
        <v/>
      </c>
      <c r="C2434" s="37"/>
      <c r="D2434" s="37"/>
      <c r="E2434" s="38" t="s">
        <v>2977</v>
      </c>
      <c r="F2434" s="38" t="s">
        <v>2973</v>
      </c>
      <c r="G2434" s="38">
        <v>3.61732055015E11</v>
      </c>
      <c r="H2434" s="38" t="s">
        <v>2974</v>
      </c>
      <c r="I2434" s="38" t="s">
        <v>2975</v>
      </c>
      <c r="J2434" s="38" t="s">
        <v>134</v>
      </c>
      <c r="K2434" s="38" t="s">
        <v>126</v>
      </c>
      <c r="L2434" s="41">
        <v>46006.427083333336</v>
      </c>
      <c r="M2434" s="38" t="s">
        <v>123</v>
      </c>
      <c r="N2434" s="41">
        <v>46006.447916666664</v>
      </c>
      <c r="O2434" s="38" t="s">
        <v>123</v>
      </c>
      <c r="P2434" s="38">
        <v>1800.0</v>
      </c>
      <c r="Q2434" s="39"/>
      <c r="R2434" s="39"/>
      <c r="S2434" s="39"/>
      <c r="T2434" s="39"/>
      <c r="U2434" s="39"/>
    </row>
    <row r="2435">
      <c r="A2435" s="40">
        <f t="shared" si="1"/>
        <v>46006</v>
      </c>
      <c r="B2435" s="37" t="str">
        <f t="array" ref="B2435">iferror(xlookup($I2435, 'IMPORT VHC Report'!$E:$E, 'IMPORT VHC Report'!$A:$C), )</f>
        <v/>
      </c>
      <c r="C2435" s="37"/>
      <c r="D2435" s="37"/>
      <c r="E2435" s="38" t="s">
        <v>2978</v>
      </c>
      <c r="F2435" s="38" t="s">
        <v>2973</v>
      </c>
      <c r="G2435" s="38">
        <v>3.61732055015E11</v>
      </c>
      <c r="H2435" s="38" t="s">
        <v>2974</v>
      </c>
      <c r="I2435" s="38" t="s">
        <v>2975</v>
      </c>
      <c r="J2435" s="38" t="s">
        <v>132</v>
      </c>
      <c r="K2435" s="38" t="s">
        <v>126</v>
      </c>
      <c r="L2435" s="41">
        <v>46006.572916666664</v>
      </c>
      <c r="M2435" s="38" t="s">
        <v>123</v>
      </c>
      <c r="N2435" s="41">
        <v>46006.614583333336</v>
      </c>
      <c r="O2435" s="38" t="s">
        <v>123</v>
      </c>
      <c r="P2435" s="38">
        <v>3600.0</v>
      </c>
      <c r="Q2435" s="39"/>
      <c r="R2435" s="39"/>
      <c r="S2435" s="39"/>
      <c r="T2435" s="39"/>
      <c r="U2435" s="39"/>
    </row>
    <row r="2436">
      <c r="A2436" s="40">
        <f t="shared" si="1"/>
        <v>46006</v>
      </c>
      <c r="B2436" s="37" t="str">
        <f t="array" ref="B2436">iferror(xlookup($I2436, 'IMPORT VHC Report'!$E:$E, 'IMPORT VHC Report'!$A:$C), )</f>
        <v/>
      </c>
      <c r="C2436" s="37"/>
      <c r="D2436" s="37"/>
      <c r="E2436" s="38" t="s">
        <v>2979</v>
      </c>
      <c r="F2436" s="38" t="s">
        <v>2973</v>
      </c>
      <c r="G2436" s="38">
        <v>3.61732055015E11</v>
      </c>
      <c r="H2436" s="38" t="s">
        <v>2974</v>
      </c>
      <c r="I2436" s="38" t="s">
        <v>2975</v>
      </c>
      <c r="J2436" s="38" t="s">
        <v>136</v>
      </c>
      <c r="K2436" s="38" t="s">
        <v>126</v>
      </c>
      <c r="L2436" s="41">
        <v>46007.291666666664</v>
      </c>
      <c r="M2436" s="38" t="s">
        <v>123</v>
      </c>
      <c r="N2436" s="41">
        <v>46007.3125</v>
      </c>
      <c r="O2436" s="38" t="s">
        <v>123</v>
      </c>
      <c r="P2436" s="38">
        <v>1800.0</v>
      </c>
      <c r="Q2436" s="39"/>
      <c r="R2436" s="39"/>
      <c r="S2436" s="38" t="s">
        <v>2270</v>
      </c>
      <c r="T2436" s="39"/>
      <c r="U2436" s="39"/>
    </row>
    <row r="2437">
      <c r="A2437" s="40">
        <f t="shared" si="1"/>
        <v>46006</v>
      </c>
      <c r="B2437" s="37" t="str">
        <f t="array" ref="B2437">iferror(xlookup($I2437, 'IMPORT VHC Report'!$E:$E, 'IMPORT VHC Report'!$A:$C), )</f>
        <v/>
      </c>
      <c r="C2437" s="37"/>
      <c r="D2437" s="37"/>
      <c r="E2437" s="38" t="s">
        <v>2980</v>
      </c>
      <c r="F2437" s="38" t="s">
        <v>2973</v>
      </c>
      <c r="G2437" s="38">
        <v>3.61732055015E11</v>
      </c>
      <c r="H2437" s="38" t="s">
        <v>2974</v>
      </c>
      <c r="I2437" s="38" t="s">
        <v>2975</v>
      </c>
      <c r="J2437" s="38" t="s">
        <v>2268</v>
      </c>
      <c r="K2437" s="38" t="s">
        <v>63</v>
      </c>
      <c r="L2437" s="41">
        <v>46007.291666666664</v>
      </c>
      <c r="M2437" s="38" t="s">
        <v>123</v>
      </c>
      <c r="N2437" s="41">
        <v>46007.666666666664</v>
      </c>
      <c r="O2437" s="38" t="s">
        <v>123</v>
      </c>
      <c r="P2437" s="38">
        <v>32400.0</v>
      </c>
      <c r="Q2437" s="39"/>
      <c r="R2437" s="39"/>
      <c r="S2437" s="39"/>
      <c r="T2437" s="39"/>
      <c r="U2437" s="39"/>
    </row>
    <row r="2438">
      <c r="A2438" s="40">
        <f t="shared" si="1"/>
        <v>46006</v>
      </c>
      <c r="B2438" s="37" t="str">
        <f t="array" ref="B2438">iferror(xlookup($I2438, 'IMPORT VHC Report'!$E:$E, 'IMPORT VHC Report'!$A:$C), )</f>
        <v/>
      </c>
      <c r="C2438" s="37"/>
      <c r="D2438" s="37"/>
      <c r="E2438" s="38" t="s">
        <v>2981</v>
      </c>
      <c r="F2438" s="38" t="s">
        <v>2973</v>
      </c>
      <c r="G2438" s="38">
        <v>3.61732055015E11</v>
      </c>
      <c r="H2438" s="38" t="s">
        <v>2974</v>
      </c>
      <c r="I2438" s="38" t="s">
        <v>2975</v>
      </c>
      <c r="J2438" s="38" t="s">
        <v>134</v>
      </c>
      <c r="K2438" s="38" t="s">
        <v>126</v>
      </c>
      <c r="L2438" s="41">
        <v>46007.458333333336</v>
      </c>
      <c r="M2438" s="38" t="s">
        <v>123</v>
      </c>
      <c r="N2438" s="41">
        <v>46007.479166666664</v>
      </c>
      <c r="O2438" s="38" t="s">
        <v>123</v>
      </c>
      <c r="P2438" s="38">
        <v>1800.0</v>
      </c>
      <c r="Q2438" s="39"/>
      <c r="R2438" s="39"/>
      <c r="S2438" s="39"/>
      <c r="T2438" s="39"/>
      <c r="U2438" s="39"/>
    </row>
    <row r="2439">
      <c r="A2439" s="40">
        <f t="shared" si="1"/>
        <v>46006</v>
      </c>
      <c r="B2439" s="37" t="str">
        <f t="array" ref="B2439">iferror(xlookup($I2439, 'IMPORT VHC Report'!$E:$E, 'IMPORT VHC Report'!$A:$C), )</f>
        <v/>
      </c>
      <c r="C2439" s="37"/>
      <c r="D2439" s="37"/>
      <c r="E2439" s="38" t="s">
        <v>2982</v>
      </c>
      <c r="F2439" s="38" t="s">
        <v>2973</v>
      </c>
      <c r="G2439" s="38">
        <v>3.61732055015E11</v>
      </c>
      <c r="H2439" s="38" t="s">
        <v>2974</v>
      </c>
      <c r="I2439" s="38" t="s">
        <v>2975</v>
      </c>
      <c r="J2439" s="38" t="s">
        <v>132</v>
      </c>
      <c r="K2439" s="38" t="s">
        <v>126</v>
      </c>
      <c r="L2439" s="41">
        <v>46007.572916666664</v>
      </c>
      <c r="M2439" s="38" t="s">
        <v>123</v>
      </c>
      <c r="N2439" s="41">
        <v>46007.614583333336</v>
      </c>
      <c r="O2439" s="38" t="s">
        <v>123</v>
      </c>
      <c r="P2439" s="38">
        <v>3600.0</v>
      </c>
      <c r="Q2439" s="39"/>
      <c r="R2439" s="39"/>
      <c r="S2439" s="39"/>
      <c r="T2439" s="39"/>
      <c r="U2439" s="39"/>
    </row>
    <row r="2440">
      <c r="A2440" s="40">
        <f t="shared" si="1"/>
        <v>46006</v>
      </c>
      <c r="B2440" s="37" t="str">
        <f t="array" ref="B2440">iferror(xlookup($I2440, 'IMPORT VHC Report'!$E:$E, 'IMPORT VHC Report'!$A:$C), )</f>
        <v/>
      </c>
      <c r="C2440" s="37"/>
      <c r="D2440" s="37"/>
      <c r="E2440" s="38" t="s">
        <v>2983</v>
      </c>
      <c r="F2440" s="38" t="s">
        <v>2973</v>
      </c>
      <c r="G2440" s="38">
        <v>3.61732055015E11</v>
      </c>
      <c r="H2440" s="38" t="s">
        <v>2974</v>
      </c>
      <c r="I2440" s="38" t="s">
        <v>2975</v>
      </c>
      <c r="J2440" s="38" t="s">
        <v>2268</v>
      </c>
      <c r="K2440" s="38" t="s">
        <v>63</v>
      </c>
      <c r="L2440" s="41">
        <v>46008.291666666664</v>
      </c>
      <c r="M2440" s="38" t="s">
        <v>123</v>
      </c>
      <c r="N2440" s="41">
        <v>46008.666666666664</v>
      </c>
      <c r="O2440" s="38" t="s">
        <v>123</v>
      </c>
      <c r="P2440" s="38">
        <v>32400.0</v>
      </c>
      <c r="Q2440" s="39"/>
      <c r="R2440" s="39"/>
      <c r="S2440" s="39"/>
      <c r="T2440" s="39"/>
      <c r="U2440" s="39"/>
    </row>
    <row r="2441">
      <c r="A2441" s="40">
        <f t="shared" si="1"/>
        <v>46006</v>
      </c>
      <c r="B2441" s="37" t="str">
        <f t="array" ref="B2441">iferror(xlookup($I2441, 'IMPORT VHC Report'!$E:$E, 'IMPORT VHC Report'!$A:$C), )</f>
        <v/>
      </c>
      <c r="C2441" s="37"/>
      <c r="D2441" s="37"/>
      <c r="E2441" s="38" t="s">
        <v>2984</v>
      </c>
      <c r="F2441" s="38" t="s">
        <v>2973</v>
      </c>
      <c r="G2441" s="38">
        <v>3.61732055015E11</v>
      </c>
      <c r="H2441" s="38" t="s">
        <v>2974</v>
      </c>
      <c r="I2441" s="38" t="s">
        <v>2975</v>
      </c>
      <c r="J2441" s="38" t="s">
        <v>4</v>
      </c>
      <c r="K2441" s="38" t="s">
        <v>126</v>
      </c>
      <c r="L2441" s="41">
        <v>46008.333333333336</v>
      </c>
      <c r="M2441" s="38" t="s">
        <v>123</v>
      </c>
      <c r="N2441" s="41">
        <v>46008.458333333336</v>
      </c>
      <c r="O2441" s="38" t="s">
        <v>123</v>
      </c>
      <c r="P2441" s="38">
        <v>10800.0</v>
      </c>
      <c r="Q2441" s="39"/>
      <c r="R2441" s="39"/>
      <c r="S2441" s="38" t="s">
        <v>2283</v>
      </c>
      <c r="T2441" s="39"/>
      <c r="U2441" s="39"/>
    </row>
    <row r="2442">
      <c r="A2442" s="40">
        <f t="shared" si="1"/>
        <v>46006</v>
      </c>
      <c r="B2442" s="37" t="str">
        <f t="array" ref="B2442">iferror(xlookup($I2442, 'IMPORT VHC Report'!$E:$E, 'IMPORT VHC Report'!$A:$C), )</f>
        <v/>
      </c>
      <c r="C2442" s="37"/>
      <c r="D2442" s="37"/>
      <c r="E2442" s="38" t="s">
        <v>2985</v>
      </c>
      <c r="F2442" s="38" t="s">
        <v>2973</v>
      </c>
      <c r="G2442" s="38">
        <v>3.61732055015E11</v>
      </c>
      <c r="H2442" s="38" t="s">
        <v>2974</v>
      </c>
      <c r="I2442" s="38" t="s">
        <v>2975</v>
      </c>
      <c r="J2442" s="38" t="s">
        <v>134</v>
      </c>
      <c r="K2442" s="38" t="s">
        <v>126</v>
      </c>
      <c r="L2442" s="41">
        <v>46008.458333333336</v>
      </c>
      <c r="M2442" s="38" t="s">
        <v>123</v>
      </c>
      <c r="N2442" s="41">
        <v>46008.479166666664</v>
      </c>
      <c r="O2442" s="38" t="s">
        <v>123</v>
      </c>
      <c r="P2442" s="38">
        <v>1800.0</v>
      </c>
      <c r="Q2442" s="39"/>
      <c r="R2442" s="39"/>
      <c r="S2442" s="39"/>
      <c r="T2442" s="39"/>
      <c r="U2442" s="39"/>
    </row>
    <row r="2443">
      <c r="A2443" s="40">
        <f t="shared" si="1"/>
        <v>46006</v>
      </c>
      <c r="B2443" s="37" t="str">
        <f t="array" ref="B2443">iferror(xlookup($I2443, 'IMPORT VHC Report'!$E:$E, 'IMPORT VHC Report'!$A:$C), )</f>
        <v/>
      </c>
      <c r="C2443" s="37"/>
      <c r="D2443" s="37"/>
      <c r="E2443" s="38" t="s">
        <v>2986</v>
      </c>
      <c r="F2443" s="38" t="s">
        <v>2973</v>
      </c>
      <c r="G2443" s="38">
        <v>3.61732055015E11</v>
      </c>
      <c r="H2443" s="38" t="s">
        <v>2974</v>
      </c>
      <c r="I2443" s="38" t="s">
        <v>2975</v>
      </c>
      <c r="J2443" s="38" t="s">
        <v>132</v>
      </c>
      <c r="K2443" s="38" t="s">
        <v>126</v>
      </c>
      <c r="L2443" s="41">
        <v>46008.604166666664</v>
      </c>
      <c r="M2443" s="38" t="s">
        <v>123</v>
      </c>
      <c r="N2443" s="41">
        <v>46008.645833333336</v>
      </c>
      <c r="O2443" s="38" t="s">
        <v>123</v>
      </c>
      <c r="P2443" s="38">
        <v>3600.0</v>
      </c>
      <c r="Q2443" s="39"/>
      <c r="R2443" s="39"/>
      <c r="S2443" s="39"/>
      <c r="T2443" s="39"/>
      <c r="U2443" s="39"/>
    </row>
    <row r="2444">
      <c r="A2444" s="40">
        <f t="shared" si="1"/>
        <v>46006</v>
      </c>
      <c r="B2444" s="37" t="str">
        <f t="array" ref="B2444">iferror(xlookup($I2444, 'IMPORT VHC Report'!$E:$E, 'IMPORT VHC Report'!$A:$C), )</f>
        <v/>
      </c>
      <c r="C2444" s="37"/>
      <c r="D2444" s="37"/>
      <c r="E2444" s="38" t="s">
        <v>2987</v>
      </c>
      <c r="F2444" s="38" t="s">
        <v>2973</v>
      </c>
      <c r="G2444" s="38">
        <v>3.61732055015E11</v>
      </c>
      <c r="H2444" s="38" t="s">
        <v>2974</v>
      </c>
      <c r="I2444" s="38" t="s">
        <v>2975</v>
      </c>
      <c r="J2444" s="38" t="s">
        <v>2268</v>
      </c>
      <c r="K2444" s="38" t="s">
        <v>63</v>
      </c>
      <c r="L2444" s="41">
        <v>46009.291666666664</v>
      </c>
      <c r="M2444" s="38" t="s">
        <v>123</v>
      </c>
      <c r="N2444" s="41">
        <v>46009.666666666664</v>
      </c>
      <c r="O2444" s="38" t="s">
        <v>123</v>
      </c>
      <c r="P2444" s="38">
        <v>32400.0</v>
      </c>
      <c r="Q2444" s="39"/>
      <c r="R2444" s="39"/>
      <c r="S2444" s="39"/>
      <c r="T2444" s="39"/>
      <c r="U2444" s="39"/>
    </row>
    <row r="2445">
      <c r="A2445" s="40">
        <f t="shared" si="1"/>
        <v>46006</v>
      </c>
      <c r="B2445" s="37" t="str">
        <f t="array" ref="B2445">iferror(xlookup($I2445, 'IMPORT VHC Report'!$E:$E, 'IMPORT VHC Report'!$A:$C), )</f>
        <v/>
      </c>
      <c r="C2445" s="37"/>
      <c r="D2445" s="37"/>
      <c r="E2445" s="38" t="s">
        <v>2988</v>
      </c>
      <c r="F2445" s="38" t="s">
        <v>2973</v>
      </c>
      <c r="G2445" s="38">
        <v>3.61732055015E11</v>
      </c>
      <c r="H2445" s="38" t="s">
        <v>2974</v>
      </c>
      <c r="I2445" s="38" t="s">
        <v>2975</v>
      </c>
      <c r="J2445" s="38" t="s">
        <v>134</v>
      </c>
      <c r="K2445" s="38" t="s">
        <v>126</v>
      </c>
      <c r="L2445" s="41">
        <v>46009.416666666664</v>
      </c>
      <c r="M2445" s="38" t="s">
        <v>123</v>
      </c>
      <c r="N2445" s="41">
        <v>46009.4375</v>
      </c>
      <c r="O2445" s="38" t="s">
        <v>123</v>
      </c>
      <c r="P2445" s="38">
        <v>1800.0</v>
      </c>
      <c r="Q2445" s="39"/>
      <c r="R2445" s="39"/>
      <c r="S2445" s="39"/>
      <c r="T2445" s="39"/>
      <c r="U2445" s="39"/>
    </row>
    <row r="2446">
      <c r="A2446" s="40">
        <f t="shared" si="1"/>
        <v>46006</v>
      </c>
      <c r="B2446" s="37" t="str">
        <f t="array" ref="B2446">iferror(xlookup($I2446, 'IMPORT VHC Report'!$E:$E, 'IMPORT VHC Report'!$A:$C), )</f>
        <v/>
      </c>
      <c r="C2446" s="37"/>
      <c r="D2446" s="37"/>
      <c r="E2446" s="38" t="s">
        <v>2989</v>
      </c>
      <c r="F2446" s="38" t="s">
        <v>2973</v>
      </c>
      <c r="G2446" s="38">
        <v>3.61732055015E11</v>
      </c>
      <c r="H2446" s="38" t="s">
        <v>2974</v>
      </c>
      <c r="I2446" s="38" t="s">
        <v>2975</v>
      </c>
      <c r="J2446" s="38" t="s">
        <v>132</v>
      </c>
      <c r="K2446" s="38" t="s">
        <v>126</v>
      </c>
      <c r="L2446" s="41">
        <v>46009.572916666664</v>
      </c>
      <c r="M2446" s="38" t="s">
        <v>123</v>
      </c>
      <c r="N2446" s="41">
        <v>46009.614583333336</v>
      </c>
      <c r="O2446" s="38" t="s">
        <v>123</v>
      </c>
      <c r="P2446" s="38">
        <v>3600.0</v>
      </c>
      <c r="Q2446" s="39"/>
      <c r="R2446" s="39"/>
      <c r="S2446" s="39"/>
      <c r="T2446" s="39"/>
      <c r="U2446" s="39"/>
    </row>
    <row r="2447">
      <c r="A2447" s="40">
        <f t="shared" si="1"/>
        <v>46006</v>
      </c>
      <c r="B2447" s="37" t="str">
        <f t="array" ref="B2447">iferror(xlookup($I2447, 'IMPORT VHC Report'!$E:$E, 'IMPORT VHC Report'!$A:$C), )</f>
        <v/>
      </c>
      <c r="C2447" s="37"/>
      <c r="D2447" s="37"/>
      <c r="E2447" s="38" t="s">
        <v>2990</v>
      </c>
      <c r="F2447" s="38" t="s">
        <v>2973</v>
      </c>
      <c r="G2447" s="38">
        <v>3.61732055015E11</v>
      </c>
      <c r="H2447" s="38" t="s">
        <v>2974</v>
      </c>
      <c r="I2447" s="38" t="s">
        <v>2975</v>
      </c>
      <c r="J2447" s="38" t="s">
        <v>2268</v>
      </c>
      <c r="K2447" s="38" t="s">
        <v>63</v>
      </c>
      <c r="L2447" s="41">
        <v>46010.291666666664</v>
      </c>
      <c r="M2447" s="38" t="s">
        <v>123</v>
      </c>
      <c r="N2447" s="41">
        <v>46010.666666666664</v>
      </c>
      <c r="O2447" s="38" t="s">
        <v>123</v>
      </c>
      <c r="P2447" s="38">
        <v>32400.0</v>
      </c>
      <c r="Q2447" s="39"/>
      <c r="R2447" s="39"/>
      <c r="S2447" s="39"/>
      <c r="T2447" s="39"/>
      <c r="U2447" s="39"/>
    </row>
    <row r="2448">
      <c r="A2448" s="40">
        <f t="shared" si="1"/>
        <v>46006</v>
      </c>
      <c r="B2448" s="37" t="str">
        <f t="array" ref="B2448">iferror(xlookup($I2448, 'IMPORT VHC Report'!$E:$E, 'IMPORT VHC Report'!$A:$C), )</f>
        <v/>
      </c>
      <c r="C2448" s="37"/>
      <c r="D2448" s="37"/>
      <c r="E2448" s="38" t="s">
        <v>2991</v>
      </c>
      <c r="F2448" s="38" t="s">
        <v>2973</v>
      </c>
      <c r="G2448" s="38">
        <v>3.61732055015E11</v>
      </c>
      <c r="H2448" s="38" t="s">
        <v>2974</v>
      </c>
      <c r="I2448" s="38" t="s">
        <v>2975</v>
      </c>
      <c r="J2448" s="38" t="s">
        <v>134</v>
      </c>
      <c r="K2448" s="38" t="s">
        <v>126</v>
      </c>
      <c r="L2448" s="41">
        <v>46010.375</v>
      </c>
      <c r="M2448" s="38" t="s">
        <v>123</v>
      </c>
      <c r="N2448" s="41">
        <v>46010.395833333336</v>
      </c>
      <c r="O2448" s="38" t="s">
        <v>123</v>
      </c>
      <c r="P2448" s="38">
        <v>1800.0</v>
      </c>
      <c r="Q2448" s="39"/>
      <c r="R2448" s="39"/>
      <c r="S2448" s="39"/>
      <c r="T2448" s="39"/>
      <c r="U2448" s="39"/>
    </row>
    <row r="2449">
      <c r="A2449" s="40">
        <f t="shared" si="1"/>
        <v>46006</v>
      </c>
      <c r="B2449" s="37" t="str">
        <f t="array" ref="B2449">iferror(xlookup($I2449, 'IMPORT VHC Report'!$E:$E, 'IMPORT VHC Report'!$A:$C), )</f>
        <v/>
      </c>
      <c r="C2449" s="37"/>
      <c r="D2449" s="37"/>
      <c r="E2449" s="38" t="s">
        <v>2992</v>
      </c>
      <c r="F2449" s="38" t="s">
        <v>2973</v>
      </c>
      <c r="G2449" s="38">
        <v>3.61732055015E11</v>
      </c>
      <c r="H2449" s="38" t="s">
        <v>2974</v>
      </c>
      <c r="I2449" s="38" t="s">
        <v>2975</v>
      </c>
      <c r="J2449" s="38" t="s">
        <v>132</v>
      </c>
      <c r="K2449" s="38" t="s">
        <v>126</v>
      </c>
      <c r="L2449" s="41">
        <v>46010.583333333336</v>
      </c>
      <c r="M2449" s="38" t="s">
        <v>123</v>
      </c>
      <c r="N2449" s="41">
        <v>46010.625</v>
      </c>
      <c r="O2449" s="38" t="s">
        <v>123</v>
      </c>
      <c r="P2449" s="38">
        <v>3600.0</v>
      </c>
      <c r="Q2449" s="39"/>
      <c r="R2449" s="39"/>
      <c r="S2449" s="39"/>
      <c r="T2449" s="39"/>
      <c r="U2449" s="39"/>
    </row>
    <row r="2450">
      <c r="A2450" s="40">
        <f t="shared" si="1"/>
        <v>46006</v>
      </c>
      <c r="B2450" s="37" t="str">
        <f t="array" ref="B2450">iferror(xlookup($I2450, 'IMPORT VHC Report'!$E:$E, 'IMPORT VHC Report'!$A:$C), )</f>
        <v/>
      </c>
      <c r="C2450" s="37"/>
      <c r="D2450" s="37"/>
      <c r="E2450" s="38" t="s">
        <v>2993</v>
      </c>
      <c r="F2450" s="38" t="s">
        <v>2994</v>
      </c>
      <c r="G2450" s="38">
        <v>3.61726427416E11</v>
      </c>
      <c r="H2450" s="38" t="s">
        <v>2995</v>
      </c>
      <c r="I2450" s="38" t="s">
        <v>2996</v>
      </c>
      <c r="J2450" s="38" t="s">
        <v>2135</v>
      </c>
      <c r="K2450" s="38" t="s">
        <v>63</v>
      </c>
      <c r="L2450" s="41">
        <v>46006.291666666664</v>
      </c>
      <c r="M2450" s="38" t="s">
        <v>123</v>
      </c>
      <c r="N2450" s="41">
        <v>46006.666666666664</v>
      </c>
      <c r="O2450" s="38" t="s">
        <v>123</v>
      </c>
      <c r="P2450" s="38">
        <v>32400.0</v>
      </c>
      <c r="Q2450" s="39"/>
      <c r="R2450" s="39"/>
      <c r="S2450" s="39"/>
      <c r="T2450" s="39"/>
      <c r="U2450" s="39"/>
    </row>
    <row r="2451">
      <c r="A2451" s="40">
        <f t="shared" si="1"/>
        <v>46006</v>
      </c>
      <c r="B2451" s="37" t="str">
        <f t="array" ref="B2451">iferror(xlookup($I2451, 'IMPORT VHC Report'!$E:$E, 'IMPORT VHC Report'!$A:$C), )</f>
        <v/>
      </c>
      <c r="C2451" s="37"/>
      <c r="D2451" s="37"/>
      <c r="E2451" s="38" t="s">
        <v>2997</v>
      </c>
      <c r="F2451" s="38" t="s">
        <v>2994</v>
      </c>
      <c r="G2451" s="38">
        <v>3.61726427416E11</v>
      </c>
      <c r="H2451" s="38" t="s">
        <v>2995</v>
      </c>
      <c r="I2451" s="38" t="s">
        <v>2996</v>
      </c>
      <c r="J2451" s="38" t="s">
        <v>134</v>
      </c>
      <c r="K2451" s="38" t="s">
        <v>126</v>
      </c>
      <c r="L2451" s="41">
        <v>46006.46875</v>
      </c>
      <c r="M2451" s="38" t="s">
        <v>123</v>
      </c>
      <c r="N2451" s="41">
        <v>46006.489583333336</v>
      </c>
      <c r="O2451" s="38" t="s">
        <v>123</v>
      </c>
      <c r="P2451" s="38">
        <v>1800.0</v>
      </c>
      <c r="Q2451" s="39"/>
      <c r="R2451" s="39"/>
      <c r="S2451" s="39"/>
      <c r="T2451" s="39"/>
      <c r="U2451" s="39"/>
    </row>
    <row r="2452">
      <c r="A2452" s="40">
        <f t="shared" si="1"/>
        <v>46006</v>
      </c>
      <c r="B2452" s="37" t="str">
        <f t="array" ref="B2452">iferror(xlookup($I2452, 'IMPORT VHC Report'!$E:$E, 'IMPORT VHC Report'!$A:$C), )</f>
        <v/>
      </c>
      <c r="C2452" s="37"/>
      <c r="D2452" s="37"/>
      <c r="E2452" s="38" t="s">
        <v>2998</v>
      </c>
      <c r="F2452" s="38" t="s">
        <v>2994</v>
      </c>
      <c r="G2452" s="38">
        <v>3.61726427416E11</v>
      </c>
      <c r="H2452" s="38" t="s">
        <v>2995</v>
      </c>
      <c r="I2452" s="38" t="s">
        <v>2996</v>
      </c>
      <c r="J2452" s="38" t="s">
        <v>132</v>
      </c>
      <c r="K2452" s="38" t="s">
        <v>126</v>
      </c>
      <c r="L2452" s="41">
        <v>46006.583333333336</v>
      </c>
      <c r="M2452" s="38" t="s">
        <v>123</v>
      </c>
      <c r="N2452" s="41">
        <v>46006.625</v>
      </c>
      <c r="O2452" s="38" t="s">
        <v>123</v>
      </c>
      <c r="P2452" s="38">
        <v>3600.0</v>
      </c>
      <c r="Q2452" s="39"/>
      <c r="R2452" s="39"/>
      <c r="S2452" s="39"/>
      <c r="T2452" s="39"/>
      <c r="U2452" s="39"/>
    </row>
    <row r="2453">
      <c r="A2453" s="40">
        <f t="shared" si="1"/>
        <v>46006</v>
      </c>
      <c r="B2453" s="37" t="str">
        <f t="array" ref="B2453">iferror(xlookup($I2453, 'IMPORT VHC Report'!$E:$E, 'IMPORT VHC Report'!$A:$C), )</f>
        <v/>
      </c>
      <c r="C2453" s="37"/>
      <c r="D2453" s="37"/>
      <c r="E2453" s="38" t="s">
        <v>2999</v>
      </c>
      <c r="F2453" s="38" t="s">
        <v>2994</v>
      </c>
      <c r="G2453" s="38">
        <v>3.61726427416E11</v>
      </c>
      <c r="H2453" s="38" t="s">
        <v>2995</v>
      </c>
      <c r="I2453" s="38" t="s">
        <v>2996</v>
      </c>
      <c r="J2453" s="38" t="s">
        <v>2135</v>
      </c>
      <c r="K2453" s="38" t="s">
        <v>63</v>
      </c>
      <c r="L2453" s="41">
        <v>46007.291666666664</v>
      </c>
      <c r="M2453" s="38" t="s">
        <v>123</v>
      </c>
      <c r="N2453" s="41">
        <v>46007.666666666664</v>
      </c>
      <c r="O2453" s="38" t="s">
        <v>123</v>
      </c>
      <c r="P2453" s="38">
        <v>32400.0</v>
      </c>
      <c r="Q2453" s="39"/>
      <c r="R2453" s="39"/>
      <c r="S2453" s="39"/>
      <c r="T2453" s="39"/>
      <c r="U2453" s="39"/>
    </row>
    <row r="2454">
      <c r="A2454" s="40">
        <f t="shared" si="1"/>
        <v>46006</v>
      </c>
      <c r="B2454" s="37" t="str">
        <f t="array" ref="B2454">iferror(xlookup($I2454, 'IMPORT VHC Report'!$E:$E, 'IMPORT VHC Report'!$A:$C), )</f>
        <v/>
      </c>
      <c r="C2454" s="37"/>
      <c r="D2454" s="37"/>
      <c r="E2454" s="38" t="s">
        <v>3000</v>
      </c>
      <c r="F2454" s="38" t="s">
        <v>2994</v>
      </c>
      <c r="G2454" s="38">
        <v>3.61726427416E11</v>
      </c>
      <c r="H2454" s="38" t="s">
        <v>2995</v>
      </c>
      <c r="I2454" s="38" t="s">
        <v>2996</v>
      </c>
      <c r="J2454" s="38" t="s">
        <v>134</v>
      </c>
      <c r="K2454" s="38" t="s">
        <v>126</v>
      </c>
      <c r="L2454" s="41">
        <v>46007.40625</v>
      </c>
      <c r="M2454" s="38" t="s">
        <v>123</v>
      </c>
      <c r="N2454" s="41">
        <v>46007.427083333336</v>
      </c>
      <c r="O2454" s="38" t="s">
        <v>123</v>
      </c>
      <c r="P2454" s="38">
        <v>1800.0</v>
      </c>
      <c r="Q2454" s="39"/>
      <c r="R2454" s="39"/>
      <c r="S2454" s="39"/>
      <c r="T2454" s="39"/>
      <c r="U2454" s="39"/>
    </row>
    <row r="2455">
      <c r="A2455" s="40">
        <f t="shared" si="1"/>
        <v>46006</v>
      </c>
      <c r="B2455" s="37" t="str">
        <f t="array" ref="B2455">iferror(xlookup($I2455, 'IMPORT VHC Report'!$E:$E, 'IMPORT VHC Report'!$A:$C), )</f>
        <v/>
      </c>
      <c r="C2455" s="37"/>
      <c r="D2455" s="37"/>
      <c r="E2455" s="38" t="s">
        <v>3001</v>
      </c>
      <c r="F2455" s="38" t="s">
        <v>2994</v>
      </c>
      <c r="G2455" s="38">
        <v>3.61726427416E11</v>
      </c>
      <c r="H2455" s="38" t="s">
        <v>2995</v>
      </c>
      <c r="I2455" s="38" t="s">
        <v>2996</v>
      </c>
      <c r="J2455" s="38" t="s">
        <v>132</v>
      </c>
      <c r="K2455" s="38" t="s">
        <v>126</v>
      </c>
      <c r="L2455" s="41">
        <v>46007.552083333336</v>
      </c>
      <c r="M2455" s="38" t="s">
        <v>123</v>
      </c>
      <c r="N2455" s="41">
        <v>46007.59375</v>
      </c>
      <c r="O2455" s="38" t="s">
        <v>123</v>
      </c>
      <c r="P2455" s="38">
        <v>3600.0</v>
      </c>
      <c r="Q2455" s="39"/>
      <c r="R2455" s="39"/>
      <c r="S2455" s="39"/>
      <c r="T2455" s="39"/>
      <c r="U2455" s="39"/>
    </row>
    <row r="2456">
      <c r="A2456" s="40">
        <f t="shared" si="1"/>
        <v>46006</v>
      </c>
      <c r="B2456" s="37" t="str">
        <f t="array" ref="B2456">iferror(xlookup($I2456, 'IMPORT VHC Report'!$E:$E, 'IMPORT VHC Report'!$A:$C), )</f>
        <v/>
      </c>
      <c r="C2456" s="37"/>
      <c r="D2456" s="37"/>
      <c r="E2456" s="38" t="s">
        <v>3002</v>
      </c>
      <c r="F2456" s="38" t="s">
        <v>2994</v>
      </c>
      <c r="G2456" s="38">
        <v>3.61726427416E11</v>
      </c>
      <c r="H2456" s="38" t="s">
        <v>2995</v>
      </c>
      <c r="I2456" s="38" t="s">
        <v>2996</v>
      </c>
      <c r="J2456" s="38" t="s">
        <v>2135</v>
      </c>
      <c r="K2456" s="38" t="s">
        <v>63</v>
      </c>
      <c r="L2456" s="41">
        <v>46008.291666666664</v>
      </c>
      <c r="M2456" s="38" t="s">
        <v>123</v>
      </c>
      <c r="N2456" s="41">
        <v>46008.666666666664</v>
      </c>
      <c r="O2456" s="38" t="s">
        <v>123</v>
      </c>
      <c r="P2456" s="38">
        <v>32400.0</v>
      </c>
      <c r="Q2456" s="39"/>
      <c r="R2456" s="39"/>
      <c r="S2456" s="39"/>
      <c r="T2456" s="39"/>
      <c r="U2456" s="39"/>
    </row>
    <row r="2457">
      <c r="A2457" s="40">
        <f t="shared" si="1"/>
        <v>46006</v>
      </c>
      <c r="B2457" s="37" t="str">
        <f t="array" ref="B2457">iferror(xlookup($I2457, 'IMPORT VHC Report'!$E:$E, 'IMPORT VHC Report'!$A:$C), )</f>
        <v/>
      </c>
      <c r="C2457" s="37"/>
      <c r="D2457" s="37"/>
      <c r="E2457" s="38" t="s">
        <v>3003</v>
      </c>
      <c r="F2457" s="38" t="s">
        <v>2994</v>
      </c>
      <c r="G2457" s="38">
        <v>3.61726427416E11</v>
      </c>
      <c r="H2457" s="38" t="s">
        <v>2995</v>
      </c>
      <c r="I2457" s="38" t="s">
        <v>2996</v>
      </c>
      <c r="J2457" s="38" t="s">
        <v>134</v>
      </c>
      <c r="K2457" s="38" t="s">
        <v>126</v>
      </c>
      <c r="L2457" s="41">
        <v>46008.385416666664</v>
      </c>
      <c r="M2457" s="38" t="s">
        <v>123</v>
      </c>
      <c r="N2457" s="41">
        <v>46008.40625</v>
      </c>
      <c r="O2457" s="38" t="s">
        <v>123</v>
      </c>
      <c r="P2457" s="38">
        <v>1800.0</v>
      </c>
      <c r="Q2457" s="39"/>
      <c r="R2457" s="39"/>
      <c r="S2457" s="39"/>
      <c r="T2457" s="39"/>
      <c r="U2457" s="39"/>
    </row>
    <row r="2458">
      <c r="A2458" s="40">
        <f t="shared" si="1"/>
        <v>46006</v>
      </c>
      <c r="B2458" s="37" t="str">
        <f t="array" ref="B2458">iferror(xlookup($I2458, 'IMPORT VHC Report'!$E:$E, 'IMPORT VHC Report'!$A:$C), )</f>
        <v/>
      </c>
      <c r="C2458" s="37"/>
      <c r="D2458" s="37"/>
      <c r="E2458" s="38" t="s">
        <v>3004</v>
      </c>
      <c r="F2458" s="38" t="s">
        <v>2994</v>
      </c>
      <c r="G2458" s="38">
        <v>3.61726427416E11</v>
      </c>
      <c r="H2458" s="38" t="s">
        <v>2995</v>
      </c>
      <c r="I2458" s="38" t="s">
        <v>2996</v>
      </c>
      <c r="J2458" s="38" t="s">
        <v>132</v>
      </c>
      <c r="K2458" s="38" t="s">
        <v>126</v>
      </c>
      <c r="L2458" s="41">
        <v>46008.583333333336</v>
      </c>
      <c r="M2458" s="38" t="s">
        <v>123</v>
      </c>
      <c r="N2458" s="41">
        <v>46008.625</v>
      </c>
      <c r="O2458" s="38" t="s">
        <v>123</v>
      </c>
      <c r="P2458" s="38">
        <v>3600.0</v>
      </c>
      <c r="Q2458" s="39"/>
      <c r="R2458" s="39"/>
      <c r="S2458" s="39"/>
      <c r="T2458" s="39"/>
      <c r="U2458" s="39"/>
    </row>
    <row r="2459">
      <c r="A2459" s="40">
        <f t="shared" si="1"/>
        <v>46006</v>
      </c>
      <c r="B2459" s="37" t="str">
        <f t="array" ref="B2459">iferror(xlookup($I2459, 'IMPORT VHC Report'!$E:$E, 'IMPORT VHC Report'!$A:$C), )</f>
        <v/>
      </c>
      <c r="C2459" s="37"/>
      <c r="D2459" s="37"/>
      <c r="E2459" s="38" t="s">
        <v>3005</v>
      </c>
      <c r="F2459" s="38" t="s">
        <v>2994</v>
      </c>
      <c r="G2459" s="38">
        <v>3.61726427416E11</v>
      </c>
      <c r="H2459" s="38" t="s">
        <v>2995</v>
      </c>
      <c r="I2459" s="38" t="s">
        <v>2996</v>
      </c>
      <c r="J2459" s="38" t="s">
        <v>2135</v>
      </c>
      <c r="K2459" s="38" t="s">
        <v>63</v>
      </c>
      <c r="L2459" s="41">
        <v>46009.291666666664</v>
      </c>
      <c r="M2459" s="38" t="s">
        <v>123</v>
      </c>
      <c r="N2459" s="41">
        <v>46009.666666666664</v>
      </c>
      <c r="O2459" s="38" t="s">
        <v>123</v>
      </c>
      <c r="P2459" s="38">
        <v>32400.0</v>
      </c>
      <c r="Q2459" s="39"/>
      <c r="R2459" s="39"/>
      <c r="S2459" s="39"/>
      <c r="T2459" s="39"/>
      <c r="U2459" s="39"/>
    </row>
    <row r="2460">
      <c r="A2460" s="40">
        <f t="shared" si="1"/>
        <v>46006</v>
      </c>
      <c r="B2460" s="37" t="str">
        <f t="array" ref="B2460">iferror(xlookup($I2460, 'IMPORT VHC Report'!$E:$E, 'IMPORT VHC Report'!$A:$C), )</f>
        <v/>
      </c>
      <c r="C2460" s="37"/>
      <c r="D2460" s="37"/>
      <c r="E2460" s="38" t="s">
        <v>3006</v>
      </c>
      <c r="F2460" s="38" t="s">
        <v>2994</v>
      </c>
      <c r="G2460" s="38">
        <v>3.61726427416E11</v>
      </c>
      <c r="H2460" s="38" t="s">
        <v>2995</v>
      </c>
      <c r="I2460" s="38" t="s">
        <v>2996</v>
      </c>
      <c r="J2460" s="38" t="s">
        <v>134</v>
      </c>
      <c r="K2460" s="38" t="s">
        <v>126</v>
      </c>
      <c r="L2460" s="41">
        <v>46009.375</v>
      </c>
      <c r="M2460" s="38" t="s">
        <v>123</v>
      </c>
      <c r="N2460" s="41">
        <v>46009.395833333336</v>
      </c>
      <c r="O2460" s="38" t="s">
        <v>123</v>
      </c>
      <c r="P2460" s="38">
        <v>1800.0</v>
      </c>
      <c r="Q2460" s="39"/>
      <c r="R2460" s="39"/>
      <c r="S2460" s="39"/>
      <c r="T2460" s="39"/>
      <c r="U2460" s="39"/>
    </row>
    <row r="2461">
      <c r="A2461" s="40">
        <f t="shared" si="1"/>
        <v>46006</v>
      </c>
      <c r="B2461" s="37" t="str">
        <f t="array" ref="B2461">iferror(xlookup($I2461, 'IMPORT VHC Report'!$E:$E, 'IMPORT VHC Report'!$A:$C), )</f>
        <v/>
      </c>
      <c r="C2461" s="37"/>
      <c r="D2461" s="37"/>
      <c r="E2461" s="38" t="s">
        <v>3007</v>
      </c>
      <c r="F2461" s="38" t="s">
        <v>2994</v>
      </c>
      <c r="G2461" s="38">
        <v>3.61726427416E11</v>
      </c>
      <c r="H2461" s="38" t="s">
        <v>2995</v>
      </c>
      <c r="I2461" s="38" t="s">
        <v>2996</v>
      </c>
      <c r="J2461" s="38" t="s">
        <v>132</v>
      </c>
      <c r="K2461" s="38" t="s">
        <v>126</v>
      </c>
      <c r="L2461" s="41">
        <v>46009.5625</v>
      </c>
      <c r="M2461" s="38" t="s">
        <v>123</v>
      </c>
      <c r="N2461" s="41">
        <v>46009.604166666664</v>
      </c>
      <c r="O2461" s="38" t="s">
        <v>123</v>
      </c>
      <c r="P2461" s="38">
        <v>3600.0</v>
      </c>
      <c r="Q2461" s="39"/>
      <c r="R2461" s="39"/>
      <c r="S2461" s="39"/>
      <c r="T2461" s="39"/>
      <c r="U2461" s="39"/>
    </row>
    <row r="2462">
      <c r="A2462" s="40">
        <f t="shared" si="1"/>
        <v>46006</v>
      </c>
      <c r="B2462" s="37" t="str">
        <f t="array" ref="B2462">iferror(xlookup($I2462, 'IMPORT VHC Report'!$E:$E, 'IMPORT VHC Report'!$A:$C), )</f>
        <v/>
      </c>
      <c r="C2462" s="37"/>
      <c r="D2462" s="37"/>
      <c r="E2462" s="38" t="s">
        <v>3008</v>
      </c>
      <c r="F2462" s="38" t="s">
        <v>2994</v>
      </c>
      <c r="G2462" s="38">
        <v>3.61726427416E11</v>
      </c>
      <c r="H2462" s="38" t="s">
        <v>2995</v>
      </c>
      <c r="I2462" s="38" t="s">
        <v>2996</v>
      </c>
      <c r="J2462" s="38" t="s">
        <v>2135</v>
      </c>
      <c r="K2462" s="38" t="s">
        <v>63</v>
      </c>
      <c r="L2462" s="41">
        <v>46010.291666666664</v>
      </c>
      <c r="M2462" s="38" t="s">
        <v>123</v>
      </c>
      <c r="N2462" s="41">
        <v>46010.666666666664</v>
      </c>
      <c r="O2462" s="38" t="s">
        <v>123</v>
      </c>
      <c r="P2462" s="38">
        <v>32400.0</v>
      </c>
      <c r="Q2462" s="39"/>
      <c r="R2462" s="39"/>
      <c r="S2462" s="39"/>
      <c r="T2462" s="39"/>
      <c r="U2462" s="39"/>
    </row>
    <row r="2463">
      <c r="A2463" s="40">
        <f t="shared" si="1"/>
        <v>46006</v>
      </c>
      <c r="B2463" s="37" t="str">
        <f t="array" ref="B2463">iferror(xlookup($I2463, 'IMPORT VHC Report'!$E:$E, 'IMPORT VHC Report'!$A:$C), )</f>
        <v/>
      </c>
      <c r="C2463" s="37"/>
      <c r="D2463" s="37"/>
      <c r="E2463" s="38" t="s">
        <v>3009</v>
      </c>
      <c r="F2463" s="38" t="s">
        <v>2994</v>
      </c>
      <c r="G2463" s="38">
        <v>3.61726427416E11</v>
      </c>
      <c r="H2463" s="38" t="s">
        <v>2995</v>
      </c>
      <c r="I2463" s="38" t="s">
        <v>2996</v>
      </c>
      <c r="J2463" s="38" t="s">
        <v>134</v>
      </c>
      <c r="K2463" s="38" t="s">
        <v>126</v>
      </c>
      <c r="L2463" s="41">
        <v>46010.458333333336</v>
      </c>
      <c r="M2463" s="38" t="s">
        <v>123</v>
      </c>
      <c r="N2463" s="41">
        <v>46010.479166666664</v>
      </c>
      <c r="O2463" s="38" t="s">
        <v>123</v>
      </c>
      <c r="P2463" s="38">
        <v>1800.0</v>
      </c>
      <c r="Q2463" s="39"/>
      <c r="R2463" s="39"/>
      <c r="S2463" s="39"/>
      <c r="T2463" s="39"/>
      <c r="U2463" s="39"/>
    </row>
    <row r="2464">
      <c r="A2464" s="40">
        <f t="shared" si="1"/>
        <v>46006</v>
      </c>
      <c r="B2464" s="37" t="str">
        <f t="array" ref="B2464">iferror(xlookup($I2464, 'IMPORT VHC Report'!$E:$E, 'IMPORT VHC Report'!$A:$C), )</f>
        <v/>
      </c>
      <c r="C2464" s="37"/>
      <c r="D2464" s="37"/>
      <c r="E2464" s="38" t="s">
        <v>3010</v>
      </c>
      <c r="F2464" s="38" t="s">
        <v>2994</v>
      </c>
      <c r="G2464" s="38">
        <v>3.61726427416E11</v>
      </c>
      <c r="H2464" s="38" t="s">
        <v>2995</v>
      </c>
      <c r="I2464" s="38" t="s">
        <v>2996</v>
      </c>
      <c r="J2464" s="38" t="s">
        <v>132</v>
      </c>
      <c r="K2464" s="38" t="s">
        <v>126</v>
      </c>
      <c r="L2464" s="41">
        <v>46010.572916666664</v>
      </c>
      <c r="M2464" s="38" t="s">
        <v>123</v>
      </c>
      <c r="N2464" s="41">
        <v>46010.614583333336</v>
      </c>
      <c r="O2464" s="38" t="s">
        <v>123</v>
      </c>
      <c r="P2464" s="38">
        <v>3600.0</v>
      </c>
      <c r="Q2464" s="39"/>
      <c r="R2464" s="39"/>
      <c r="S2464" s="39"/>
      <c r="T2464" s="39"/>
      <c r="U2464" s="39"/>
    </row>
    <row r="2465">
      <c r="A2465" s="40">
        <f t="shared" si="1"/>
        <v>46006</v>
      </c>
      <c r="B2465" s="37" t="str">
        <f t="array" ref="B2465">iferror(xlookup($I2465, 'IMPORT VHC Report'!$E:$E, 'IMPORT VHC Report'!$A:$C), )</f>
        <v/>
      </c>
      <c r="C2465" s="37"/>
      <c r="D2465" s="37"/>
      <c r="E2465" s="38" t="s">
        <v>3011</v>
      </c>
      <c r="F2465" s="38" t="s">
        <v>3012</v>
      </c>
      <c r="G2465" s="38">
        <v>3.61726424816E11</v>
      </c>
      <c r="H2465" s="38" t="s">
        <v>3013</v>
      </c>
      <c r="I2465" s="38" t="s">
        <v>3014</v>
      </c>
      <c r="J2465" s="38" t="s">
        <v>178</v>
      </c>
      <c r="K2465" s="38" t="s">
        <v>153</v>
      </c>
      <c r="L2465" s="41">
        <v>46006.291666666664</v>
      </c>
      <c r="M2465" s="38" t="s">
        <v>123</v>
      </c>
      <c r="N2465" s="41">
        <v>46006.666666666664</v>
      </c>
      <c r="O2465" s="38" t="s">
        <v>123</v>
      </c>
      <c r="P2465" s="38">
        <v>32400.0</v>
      </c>
      <c r="Q2465" s="38">
        <v>32400.0</v>
      </c>
      <c r="R2465" s="39"/>
      <c r="S2465" s="39"/>
      <c r="T2465" s="39"/>
      <c r="U2465" s="39"/>
    </row>
    <row r="2466">
      <c r="A2466" s="40">
        <f t="shared" si="1"/>
        <v>46006</v>
      </c>
      <c r="B2466" s="37" t="str">
        <f t="array" ref="B2466">iferror(xlookup($I2466, 'IMPORT VHC Report'!$E:$E, 'IMPORT VHC Report'!$A:$C), )</f>
        <v/>
      </c>
      <c r="C2466" s="37"/>
      <c r="D2466" s="37"/>
      <c r="E2466" s="38" t="s">
        <v>3015</v>
      </c>
      <c r="F2466" s="38" t="s">
        <v>3012</v>
      </c>
      <c r="G2466" s="38">
        <v>3.61726424816E11</v>
      </c>
      <c r="H2466" s="38" t="s">
        <v>3013</v>
      </c>
      <c r="I2466" s="38" t="s">
        <v>3014</v>
      </c>
      <c r="J2466" s="38" t="s">
        <v>300</v>
      </c>
      <c r="K2466" s="38" t="s">
        <v>63</v>
      </c>
      <c r="L2466" s="41">
        <v>46006.291666666664</v>
      </c>
      <c r="M2466" s="38" t="s">
        <v>123</v>
      </c>
      <c r="N2466" s="41">
        <v>46006.666666666664</v>
      </c>
      <c r="O2466" s="38" t="s">
        <v>123</v>
      </c>
      <c r="P2466" s="38">
        <v>32400.0</v>
      </c>
      <c r="Q2466" s="39"/>
      <c r="R2466" s="39"/>
      <c r="S2466" s="39"/>
      <c r="T2466" s="39"/>
      <c r="U2466" s="39"/>
    </row>
    <row r="2467">
      <c r="A2467" s="40">
        <f t="shared" si="1"/>
        <v>46006</v>
      </c>
      <c r="B2467" s="37" t="str">
        <f t="array" ref="B2467">iferror(xlookup($I2467, 'IMPORT VHC Report'!$E:$E, 'IMPORT VHC Report'!$A:$C), )</f>
        <v/>
      </c>
      <c r="C2467" s="37"/>
      <c r="D2467" s="37"/>
      <c r="E2467" s="38" t="s">
        <v>3016</v>
      </c>
      <c r="F2467" s="38" t="s">
        <v>3012</v>
      </c>
      <c r="G2467" s="38">
        <v>3.61726424816E11</v>
      </c>
      <c r="H2467" s="38" t="s">
        <v>3013</v>
      </c>
      <c r="I2467" s="38" t="s">
        <v>3014</v>
      </c>
      <c r="J2467" s="38" t="s">
        <v>134</v>
      </c>
      <c r="K2467" s="38" t="s">
        <v>126</v>
      </c>
      <c r="L2467" s="41">
        <v>46006.385416666664</v>
      </c>
      <c r="M2467" s="38" t="s">
        <v>123</v>
      </c>
      <c r="N2467" s="41">
        <v>46006.395833333336</v>
      </c>
      <c r="O2467" s="38" t="s">
        <v>123</v>
      </c>
      <c r="P2467" s="38">
        <v>900.0</v>
      </c>
      <c r="Q2467" s="39"/>
      <c r="R2467" s="39"/>
      <c r="S2467" s="39"/>
      <c r="T2467" s="39"/>
      <c r="U2467" s="39"/>
    </row>
    <row r="2468">
      <c r="A2468" s="40">
        <f t="shared" si="1"/>
        <v>46006</v>
      </c>
      <c r="B2468" s="37" t="str">
        <f t="array" ref="B2468">iferror(xlookup($I2468, 'IMPORT VHC Report'!$E:$E, 'IMPORT VHC Report'!$A:$C), )</f>
        <v/>
      </c>
      <c r="C2468" s="37"/>
      <c r="D2468" s="37"/>
      <c r="E2468" s="38" t="s">
        <v>3017</v>
      </c>
      <c r="F2468" s="38" t="s">
        <v>3012</v>
      </c>
      <c r="G2468" s="38">
        <v>3.61726424816E11</v>
      </c>
      <c r="H2468" s="38" t="s">
        <v>3013</v>
      </c>
      <c r="I2468" s="38" t="s">
        <v>3014</v>
      </c>
      <c r="J2468" s="38" t="s">
        <v>134</v>
      </c>
      <c r="K2468" s="38" t="s">
        <v>126</v>
      </c>
      <c r="L2468" s="41">
        <v>46006.53125</v>
      </c>
      <c r="M2468" s="38" t="s">
        <v>123</v>
      </c>
      <c r="N2468" s="41">
        <v>46006.541666666664</v>
      </c>
      <c r="O2468" s="38" t="s">
        <v>123</v>
      </c>
      <c r="P2468" s="38">
        <v>900.0</v>
      </c>
      <c r="Q2468" s="39"/>
      <c r="R2468" s="39"/>
      <c r="S2468" s="39"/>
      <c r="T2468" s="39"/>
      <c r="U2468" s="39"/>
    </row>
    <row r="2469">
      <c r="A2469" s="40">
        <f t="shared" si="1"/>
        <v>46006</v>
      </c>
      <c r="B2469" s="37" t="str">
        <f t="array" ref="B2469">iferror(xlookup($I2469, 'IMPORT VHC Report'!$E:$E, 'IMPORT VHC Report'!$A:$C), )</f>
        <v/>
      </c>
      <c r="C2469" s="37"/>
      <c r="D2469" s="37"/>
      <c r="E2469" s="38" t="s">
        <v>3018</v>
      </c>
      <c r="F2469" s="38" t="s">
        <v>3012</v>
      </c>
      <c r="G2469" s="38">
        <v>3.61726424816E11</v>
      </c>
      <c r="H2469" s="38" t="s">
        <v>3013</v>
      </c>
      <c r="I2469" s="38" t="s">
        <v>3014</v>
      </c>
      <c r="J2469" s="38" t="s">
        <v>132</v>
      </c>
      <c r="K2469" s="38" t="s">
        <v>126</v>
      </c>
      <c r="L2469" s="41">
        <v>46006.5625</v>
      </c>
      <c r="M2469" s="38" t="s">
        <v>123</v>
      </c>
      <c r="N2469" s="41">
        <v>46006.604166666664</v>
      </c>
      <c r="O2469" s="38" t="s">
        <v>123</v>
      </c>
      <c r="P2469" s="38">
        <v>3600.0</v>
      </c>
      <c r="Q2469" s="39"/>
      <c r="R2469" s="39"/>
      <c r="S2469" s="39"/>
      <c r="T2469" s="39"/>
      <c r="U2469" s="39"/>
    </row>
    <row r="2470">
      <c r="A2470" s="40">
        <f t="shared" si="1"/>
        <v>46006</v>
      </c>
      <c r="B2470" s="37" t="str">
        <f t="array" ref="B2470">iferror(xlookup($I2470, 'IMPORT VHC Report'!$E:$E, 'IMPORT VHC Report'!$A:$C), )</f>
        <v/>
      </c>
      <c r="C2470" s="37"/>
      <c r="D2470" s="37"/>
      <c r="E2470" s="38" t="s">
        <v>3019</v>
      </c>
      <c r="F2470" s="38" t="s">
        <v>3012</v>
      </c>
      <c r="G2470" s="38">
        <v>3.61726424816E11</v>
      </c>
      <c r="H2470" s="38" t="s">
        <v>3013</v>
      </c>
      <c r="I2470" s="38" t="s">
        <v>3014</v>
      </c>
      <c r="J2470" s="38" t="s">
        <v>178</v>
      </c>
      <c r="K2470" s="38" t="s">
        <v>153</v>
      </c>
      <c r="L2470" s="41">
        <v>46007.291666666664</v>
      </c>
      <c r="M2470" s="38" t="s">
        <v>123</v>
      </c>
      <c r="N2470" s="41">
        <v>46007.666666666664</v>
      </c>
      <c r="O2470" s="38" t="s">
        <v>123</v>
      </c>
      <c r="P2470" s="38">
        <v>32400.0</v>
      </c>
      <c r="Q2470" s="38">
        <v>32400.0</v>
      </c>
      <c r="R2470" s="39"/>
      <c r="S2470" s="39"/>
      <c r="T2470" s="39"/>
      <c r="U2470" s="39"/>
    </row>
    <row r="2471">
      <c r="A2471" s="40">
        <f t="shared" si="1"/>
        <v>46006</v>
      </c>
      <c r="B2471" s="37" t="str">
        <f t="array" ref="B2471">iferror(xlookup($I2471, 'IMPORT VHC Report'!$E:$E, 'IMPORT VHC Report'!$A:$C), )</f>
        <v/>
      </c>
      <c r="C2471" s="37"/>
      <c r="D2471" s="37"/>
      <c r="E2471" s="38" t="s">
        <v>3020</v>
      </c>
      <c r="F2471" s="38" t="s">
        <v>3012</v>
      </c>
      <c r="G2471" s="38">
        <v>3.61726424816E11</v>
      </c>
      <c r="H2471" s="38" t="s">
        <v>3013</v>
      </c>
      <c r="I2471" s="38" t="s">
        <v>3014</v>
      </c>
      <c r="J2471" s="38" t="s">
        <v>300</v>
      </c>
      <c r="K2471" s="38" t="s">
        <v>63</v>
      </c>
      <c r="L2471" s="41">
        <v>46007.291666666664</v>
      </c>
      <c r="M2471" s="38" t="s">
        <v>123</v>
      </c>
      <c r="N2471" s="41">
        <v>46007.666666666664</v>
      </c>
      <c r="O2471" s="38" t="s">
        <v>123</v>
      </c>
      <c r="P2471" s="38">
        <v>32400.0</v>
      </c>
      <c r="Q2471" s="39"/>
      <c r="R2471" s="39"/>
      <c r="S2471" s="39"/>
      <c r="T2471" s="39"/>
      <c r="U2471" s="39"/>
    </row>
    <row r="2472">
      <c r="A2472" s="40">
        <f t="shared" si="1"/>
        <v>46006</v>
      </c>
      <c r="B2472" s="37" t="str">
        <f t="array" ref="B2472">iferror(xlookup($I2472, 'IMPORT VHC Report'!$E:$E, 'IMPORT VHC Report'!$A:$C), )</f>
        <v/>
      </c>
      <c r="C2472" s="37"/>
      <c r="D2472" s="37"/>
      <c r="E2472" s="38" t="s">
        <v>3021</v>
      </c>
      <c r="F2472" s="38" t="s">
        <v>3012</v>
      </c>
      <c r="G2472" s="38">
        <v>3.61726424816E11</v>
      </c>
      <c r="H2472" s="38" t="s">
        <v>3013</v>
      </c>
      <c r="I2472" s="38" t="s">
        <v>3014</v>
      </c>
      <c r="J2472" s="38" t="s">
        <v>134</v>
      </c>
      <c r="K2472" s="38" t="s">
        <v>126</v>
      </c>
      <c r="L2472" s="41">
        <v>46007.364583333336</v>
      </c>
      <c r="M2472" s="38" t="s">
        <v>123</v>
      </c>
      <c r="N2472" s="41">
        <v>46007.375</v>
      </c>
      <c r="O2472" s="38" t="s">
        <v>123</v>
      </c>
      <c r="P2472" s="38">
        <v>900.0</v>
      </c>
      <c r="Q2472" s="39"/>
      <c r="R2472" s="39"/>
      <c r="S2472" s="39"/>
      <c r="T2472" s="39"/>
      <c r="U2472" s="39"/>
    </row>
    <row r="2473">
      <c r="A2473" s="40">
        <f t="shared" si="1"/>
        <v>46006</v>
      </c>
      <c r="B2473" s="37" t="str">
        <f t="array" ref="B2473">iferror(xlookup($I2473, 'IMPORT VHC Report'!$E:$E, 'IMPORT VHC Report'!$A:$C), )</f>
        <v/>
      </c>
      <c r="C2473" s="37"/>
      <c r="D2473" s="37"/>
      <c r="E2473" s="38" t="s">
        <v>3022</v>
      </c>
      <c r="F2473" s="38" t="s">
        <v>3012</v>
      </c>
      <c r="G2473" s="38">
        <v>3.61726424816E11</v>
      </c>
      <c r="H2473" s="38" t="s">
        <v>3013</v>
      </c>
      <c r="I2473" s="38" t="s">
        <v>3014</v>
      </c>
      <c r="J2473" s="38" t="s">
        <v>132</v>
      </c>
      <c r="K2473" s="38" t="s">
        <v>126</v>
      </c>
      <c r="L2473" s="41">
        <v>46007.489583333336</v>
      </c>
      <c r="M2473" s="38" t="s">
        <v>123</v>
      </c>
      <c r="N2473" s="41">
        <v>46007.53125</v>
      </c>
      <c r="O2473" s="38" t="s">
        <v>123</v>
      </c>
      <c r="P2473" s="38">
        <v>3600.0</v>
      </c>
      <c r="Q2473" s="39"/>
      <c r="R2473" s="39"/>
      <c r="S2473" s="39"/>
      <c r="T2473" s="39"/>
      <c r="U2473" s="39"/>
    </row>
    <row r="2474">
      <c r="A2474" s="40">
        <f t="shared" si="1"/>
        <v>46006</v>
      </c>
      <c r="B2474" s="37" t="str">
        <f t="array" ref="B2474">iferror(xlookup($I2474, 'IMPORT VHC Report'!$E:$E, 'IMPORT VHC Report'!$A:$C), )</f>
        <v/>
      </c>
      <c r="C2474" s="37"/>
      <c r="D2474" s="37"/>
      <c r="E2474" s="38" t="s">
        <v>3023</v>
      </c>
      <c r="F2474" s="38" t="s">
        <v>3012</v>
      </c>
      <c r="G2474" s="38">
        <v>3.61726424816E11</v>
      </c>
      <c r="H2474" s="38" t="s">
        <v>3013</v>
      </c>
      <c r="I2474" s="38" t="s">
        <v>3014</v>
      </c>
      <c r="J2474" s="38" t="s">
        <v>134</v>
      </c>
      <c r="K2474" s="38" t="s">
        <v>126</v>
      </c>
      <c r="L2474" s="41">
        <v>46007.5625</v>
      </c>
      <c r="M2474" s="38" t="s">
        <v>123</v>
      </c>
      <c r="N2474" s="41">
        <v>46007.572916666664</v>
      </c>
      <c r="O2474" s="38" t="s">
        <v>123</v>
      </c>
      <c r="P2474" s="38">
        <v>900.0</v>
      </c>
      <c r="Q2474" s="39"/>
      <c r="R2474" s="39"/>
      <c r="S2474" s="39"/>
      <c r="T2474" s="39"/>
      <c r="U2474" s="39"/>
    </row>
    <row r="2475">
      <c r="A2475" s="40">
        <f t="shared" si="1"/>
        <v>46006</v>
      </c>
      <c r="B2475" s="37" t="str">
        <f t="array" ref="B2475">iferror(xlookup($I2475, 'IMPORT VHC Report'!$E:$E, 'IMPORT VHC Report'!$A:$C), )</f>
        <v/>
      </c>
      <c r="C2475" s="37"/>
      <c r="D2475" s="37"/>
      <c r="E2475" s="38" t="s">
        <v>3024</v>
      </c>
      <c r="F2475" s="38" t="s">
        <v>3012</v>
      </c>
      <c r="G2475" s="38">
        <v>3.61726424816E11</v>
      </c>
      <c r="H2475" s="38" t="s">
        <v>3013</v>
      </c>
      <c r="I2475" s="38" t="s">
        <v>3014</v>
      </c>
      <c r="J2475" s="38" t="s">
        <v>300</v>
      </c>
      <c r="K2475" s="38" t="s">
        <v>63</v>
      </c>
      <c r="L2475" s="41">
        <v>46008.291666666664</v>
      </c>
      <c r="M2475" s="38" t="s">
        <v>123</v>
      </c>
      <c r="N2475" s="41">
        <v>46008.666666666664</v>
      </c>
      <c r="O2475" s="38" t="s">
        <v>123</v>
      </c>
      <c r="P2475" s="38">
        <v>32400.0</v>
      </c>
      <c r="Q2475" s="39"/>
      <c r="R2475" s="39"/>
      <c r="S2475" s="39"/>
      <c r="T2475" s="39"/>
      <c r="U2475" s="39"/>
    </row>
    <row r="2476">
      <c r="A2476" s="40">
        <f t="shared" si="1"/>
        <v>46006</v>
      </c>
      <c r="B2476" s="37" t="str">
        <f t="array" ref="B2476">iferror(xlookup($I2476, 'IMPORT VHC Report'!$E:$E, 'IMPORT VHC Report'!$A:$C), )</f>
        <v/>
      </c>
      <c r="C2476" s="37"/>
      <c r="D2476" s="37"/>
      <c r="E2476" s="38" t="s">
        <v>3025</v>
      </c>
      <c r="F2476" s="38" t="s">
        <v>3012</v>
      </c>
      <c r="G2476" s="38">
        <v>3.61726424816E11</v>
      </c>
      <c r="H2476" s="38" t="s">
        <v>3013</v>
      </c>
      <c r="I2476" s="38" t="s">
        <v>3014</v>
      </c>
      <c r="J2476" s="38" t="s">
        <v>178</v>
      </c>
      <c r="K2476" s="38" t="s">
        <v>153</v>
      </c>
      <c r="L2476" s="41">
        <v>46008.291666666664</v>
      </c>
      <c r="M2476" s="38" t="s">
        <v>123</v>
      </c>
      <c r="N2476" s="41">
        <v>46008.666666666664</v>
      </c>
      <c r="O2476" s="38" t="s">
        <v>123</v>
      </c>
      <c r="P2476" s="38">
        <v>32400.0</v>
      </c>
      <c r="Q2476" s="38">
        <v>32400.0</v>
      </c>
      <c r="R2476" s="39"/>
      <c r="S2476" s="39"/>
      <c r="T2476" s="39"/>
      <c r="U2476" s="39"/>
    </row>
    <row r="2477">
      <c r="A2477" s="40">
        <f t="shared" si="1"/>
        <v>46006</v>
      </c>
      <c r="B2477" s="37" t="str">
        <f t="array" ref="B2477">iferror(xlookup($I2477, 'IMPORT VHC Report'!$E:$E, 'IMPORT VHC Report'!$A:$C), )</f>
        <v/>
      </c>
      <c r="C2477" s="37"/>
      <c r="D2477" s="37"/>
      <c r="E2477" s="38" t="s">
        <v>3026</v>
      </c>
      <c r="F2477" s="38" t="s">
        <v>3012</v>
      </c>
      <c r="G2477" s="38">
        <v>3.61726424816E11</v>
      </c>
      <c r="H2477" s="38" t="s">
        <v>3013</v>
      </c>
      <c r="I2477" s="38" t="s">
        <v>3014</v>
      </c>
      <c r="J2477" s="38" t="s">
        <v>134</v>
      </c>
      <c r="K2477" s="38" t="s">
        <v>126</v>
      </c>
      <c r="L2477" s="41">
        <v>46008.4375</v>
      </c>
      <c r="M2477" s="38" t="s">
        <v>123</v>
      </c>
      <c r="N2477" s="41">
        <v>46008.447916666664</v>
      </c>
      <c r="O2477" s="38" t="s">
        <v>123</v>
      </c>
      <c r="P2477" s="38">
        <v>900.0</v>
      </c>
      <c r="Q2477" s="39"/>
      <c r="R2477" s="39"/>
      <c r="S2477" s="39"/>
      <c r="T2477" s="39"/>
      <c r="U2477" s="39"/>
    </row>
    <row r="2478">
      <c r="A2478" s="40">
        <f t="shared" si="1"/>
        <v>46006</v>
      </c>
      <c r="B2478" s="37" t="str">
        <f t="array" ref="B2478">iferror(xlookup($I2478, 'IMPORT VHC Report'!$E:$E, 'IMPORT VHC Report'!$A:$C), )</f>
        <v/>
      </c>
      <c r="C2478" s="37"/>
      <c r="D2478" s="37"/>
      <c r="E2478" s="38" t="s">
        <v>3027</v>
      </c>
      <c r="F2478" s="38" t="s">
        <v>3012</v>
      </c>
      <c r="G2478" s="38">
        <v>3.61726424816E11</v>
      </c>
      <c r="H2478" s="38" t="s">
        <v>3013</v>
      </c>
      <c r="I2478" s="38" t="s">
        <v>3014</v>
      </c>
      <c r="J2478" s="38" t="s">
        <v>134</v>
      </c>
      <c r="K2478" s="38" t="s">
        <v>126</v>
      </c>
      <c r="L2478" s="41">
        <v>46008.552083333336</v>
      </c>
      <c r="M2478" s="38" t="s">
        <v>123</v>
      </c>
      <c r="N2478" s="41">
        <v>46008.5625</v>
      </c>
      <c r="O2478" s="38" t="s">
        <v>123</v>
      </c>
      <c r="P2478" s="38">
        <v>900.0</v>
      </c>
      <c r="Q2478" s="39"/>
      <c r="R2478" s="39"/>
      <c r="S2478" s="39"/>
      <c r="T2478" s="39"/>
      <c r="U2478" s="39"/>
    </row>
    <row r="2479">
      <c r="A2479" s="40">
        <f t="shared" si="1"/>
        <v>46006</v>
      </c>
      <c r="B2479" s="37" t="str">
        <f t="array" ref="B2479">iferror(xlookup($I2479, 'IMPORT VHC Report'!$E:$E, 'IMPORT VHC Report'!$A:$C), )</f>
        <v/>
      </c>
      <c r="C2479" s="37"/>
      <c r="D2479" s="37"/>
      <c r="E2479" s="38" t="s">
        <v>3028</v>
      </c>
      <c r="F2479" s="38" t="s">
        <v>3012</v>
      </c>
      <c r="G2479" s="38">
        <v>3.61726424816E11</v>
      </c>
      <c r="H2479" s="38" t="s">
        <v>3013</v>
      </c>
      <c r="I2479" s="38" t="s">
        <v>3014</v>
      </c>
      <c r="J2479" s="38" t="s">
        <v>132</v>
      </c>
      <c r="K2479" s="38" t="s">
        <v>126</v>
      </c>
      <c r="L2479" s="41">
        <v>46008.604166666664</v>
      </c>
      <c r="M2479" s="38" t="s">
        <v>123</v>
      </c>
      <c r="N2479" s="41">
        <v>46008.645833333336</v>
      </c>
      <c r="O2479" s="38" t="s">
        <v>123</v>
      </c>
      <c r="P2479" s="38">
        <v>3600.0</v>
      </c>
      <c r="Q2479" s="39"/>
      <c r="R2479" s="39"/>
      <c r="S2479" s="39"/>
      <c r="T2479" s="39"/>
      <c r="U2479" s="39"/>
    </row>
    <row r="2480">
      <c r="A2480" s="40">
        <f t="shared" si="1"/>
        <v>46006</v>
      </c>
      <c r="B2480" s="37" t="str">
        <f t="array" ref="B2480">iferror(xlookup($I2480, 'IMPORT VHC Report'!$E:$E, 'IMPORT VHC Report'!$A:$C), )</f>
        <v/>
      </c>
      <c r="C2480" s="37"/>
      <c r="D2480" s="37"/>
      <c r="E2480" s="38" t="s">
        <v>3029</v>
      </c>
      <c r="F2480" s="38" t="s">
        <v>3012</v>
      </c>
      <c r="G2480" s="38">
        <v>3.61726424816E11</v>
      </c>
      <c r="H2480" s="38" t="s">
        <v>3013</v>
      </c>
      <c r="I2480" s="38" t="s">
        <v>3014</v>
      </c>
      <c r="J2480" s="38" t="s">
        <v>178</v>
      </c>
      <c r="K2480" s="38" t="s">
        <v>153</v>
      </c>
      <c r="L2480" s="41">
        <v>46009.291666666664</v>
      </c>
      <c r="M2480" s="38" t="s">
        <v>123</v>
      </c>
      <c r="N2480" s="41">
        <v>46009.666666666664</v>
      </c>
      <c r="O2480" s="38" t="s">
        <v>123</v>
      </c>
      <c r="P2480" s="38">
        <v>32400.0</v>
      </c>
      <c r="Q2480" s="38">
        <v>32400.0</v>
      </c>
      <c r="R2480" s="39"/>
      <c r="S2480" s="39"/>
      <c r="T2480" s="39"/>
      <c r="U2480" s="39"/>
    </row>
    <row r="2481">
      <c r="A2481" s="40">
        <f t="shared" si="1"/>
        <v>46006</v>
      </c>
      <c r="B2481" s="37" t="str">
        <f t="array" ref="B2481">iferror(xlookup($I2481, 'IMPORT VHC Report'!$E:$E, 'IMPORT VHC Report'!$A:$C), )</f>
        <v/>
      </c>
      <c r="C2481" s="37"/>
      <c r="D2481" s="37"/>
      <c r="E2481" s="38" t="s">
        <v>3030</v>
      </c>
      <c r="F2481" s="38" t="s">
        <v>3012</v>
      </c>
      <c r="G2481" s="38">
        <v>3.61726424816E11</v>
      </c>
      <c r="H2481" s="38" t="s">
        <v>3013</v>
      </c>
      <c r="I2481" s="38" t="s">
        <v>3014</v>
      </c>
      <c r="J2481" s="38" t="s">
        <v>300</v>
      </c>
      <c r="K2481" s="38" t="s">
        <v>63</v>
      </c>
      <c r="L2481" s="41">
        <v>46009.291666666664</v>
      </c>
      <c r="M2481" s="38" t="s">
        <v>123</v>
      </c>
      <c r="N2481" s="41">
        <v>46009.666666666664</v>
      </c>
      <c r="O2481" s="38" t="s">
        <v>123</v>
      </c>
      <c r="P2481" s="38">
        <v>32400.0</v>
      </c>
      <c r="Q2481" s="39"/>
      <c r="R2481" s="39"/>
      <c r="S2481" s="39"/>
      <c r="T2481" s="39"/>
      <c r="U2481" s="39"/>
    </row>
    <row r="2482">
      <c r="A2482" s="40">
        <f t="shared" si="1"/>
        <v>46006</v>
      </c>
      <c r="B2482" s="37" t="str">
        <f t="array" ref="B2482">iferror(xlookup($I2482, 'IMPORT VHC Report'!$E:$E, 'IMPORT VHC Report'!$A:$C), )</f>
        <v/>
      </c>
      <c r="C2482" s="37"/>
      <c r="D2482" s="37"/>
      <c r="E2482" s="38" t="s">
        <v>3031</v>
      </c>
      <c r="F2482" s="38" t="s">
        <v>3012</v>
      </c>
      <c r="G2482" s="38">
        <v>3.61726424816E11</v>
      </c>
      <c r="H2482" s="38" t="s">
        <v>3013</v>
      </c>
      <c r="I2482" s="38" t="s">
        <v>3014</v>
      </c>
      <c r="J2482" s="38" t="s">
        <v>134</v>
      </c>
      <c r="K2482" s="38" t="s">
        <v>126</v>
      </c>
      <c r="L2482" s="41">
        <v>46009.447916666664</v>
      </c>
      <c r="M2482" s="38" t="s">
        <v>123</v>
      </c>
      <c r="N2482" s="41">
        <v>46009.458333333336</v>
      </c>
      <c r="O2482" s="38" t="s">
        <v>123</v>
      </c>
      <c r="P2482" s="38">
        <v>900.0</v>
      </c>
      <c r="Q2482" s="39"/>
      <c r="R2482" s="39"/>
      <c r="S2482" s="39"/>
      <c r="T2482" s="39"/>
      <c r="U2482" s="39"/>
    </row>
    <row r="2483">
      <c r="A2483" s="40">
        <f t="shared" si="1"/>
        <v>46006</v>
      </c>
      <c r="B2483" s="37" t="str">
        <f t="array" ref="B2483">iferror(xlookup($I2483, 'IMPORT VHC Report'!$E:$E, 'IMPORT VHC Report'!$A:$C), )</f>
        <v/>
      </c>
      <c r="C2483" s="37"/>
      <c r="D2483" s="37"/>
      <c r="E2483" s="38" t="s">
        <v>3032</v>
      </c>
      <c r="F2483" s="38" t="s">
        <v>3012</v>
      </c>
      <c r="G2483" s="38">
        <v>3.61726424816E11</v>
      </c>
      <c r="H2483" s="38" t="s">
        <v>3013</v>
      </c>
      <c r="I2483" s="38" t="s">
        <v>3014</v>
      </c>
      <c r="J2483" s="38" t="s">
        <v>134</v>
      </c>
      <c r="K2483" s="38" t="s">
        <v>126</v>
      </c>
      <c r="L2483" s="41">
        <v>46009.520833333336</v>
      </c>
      <c r="M2483" s="38" t="s">
        <v>123</v>
      </c>
      <c r="N2483" s="41">
        <v>46009.53125</v>
      </c>
      <c r="O2483" s="38" t="s">
        <v>123</v>
      </c>
      <c r="P2483" s="38">
        <v>900.0</v>
      </c>
      <c r="Q2483" s="39"/>
      <c r="R2483" s="39"/>
      <c r="S2483" s="39"/>
      <c r="T2483" s="39"/>
      <c r="U2483" s="39"/>
    </row>
    <row r="2484">
      <c r="A2484" s="40">
        <f t="shared" si="1"/>
        <v>46006</v>
      </c>
      <c r="B2484" s="37" t="str">
        <f t="array" ref="B2484">iferror(xlookup($I2484, 'IMPORT VHC Report'!$E:$E, 'IMPORT VHC Report'!$A:$C), )</f>
        <v/>
      </c>
      <c r="C2484" s="37"/>
      <c r="D2484" s="37"/>
      <c r="E2484" s="38" t="s">
        <v>3033</v>
      </c>
      <c r="F2484" s="38" t="s">
        <v>3012</v>
      </c>
      <c r="G2484" s="38">
        <v>3.61726424816E11</v>
      </c>
      <c r="H2484" s="38" t="s">
        <v>3013</v>
      </c>
      <c r="I2484" s="38" t="s">
        <v>3014</v>
      </c>
      <c r="J2484" s="38" t="s">
        <v>132</v>
      </c>
      <c r="K2484" s="38" t="s">
        <v>126</v>
      </c>
      <c r="L2484" s="41">
        <v>46009.5625</v>
      </c>
      <c r="M2484" s="38" t="s">
        <v>123</v>
      </c>
      <c r="N2484" s="41">
        <v>46009.604166666664</v>
      </c>
      <c r="O2484" s="38" t="s">
        <v>123</v>
      </c>
      <c r="P2484" s="38">
        <v>3600.0</v>
      </c>
      <c r="Q2484" s="39"/>
      <c r="R2484" s="39"/>
      <c r="S2484" s="39"/>
      <c r="T2484" s="39"/>
      <c r="U2484" s="39"/>
    </row>
    <row r="2485">
      <c r="A2485" s="40">
        <f t="shared" si="1"/>
        <v>46006</v>
      </c>
      <c r="B2485" s="37" t="str">
        <f t="array" ref="B2485">iferror(xlookup($I2485, 'IMPORT VHC Report'!$E:$E, 'IMPORT VHC Report'!$A:$C), )</f>
        <v/>
      </c>
      <c r="C2485" s="37"/>
      <c r="D2485" s="37"/>
      <c r="E2485" s="38" t="s">
        <v>3034</v>
      </c>
      <c r="F2485" s="38" t="s">
        <v>3012</v>
      </c>
      <c r="G2485" s="38">
        <v>3.61726424816E11</v>
      </c>
      <c r="H2485" s="38" t="s">
        <v>3013</v>
      </c>
      <c r="I2485" s="38" t="s">
        <v>3014</v>
      </c>
      <c r="J2485" s="38" t="s">
        <v>178</v>
      </c>
      <c r="K2485" s="38" t="s">
        <v>153</v>
      </c>
      <c r="L2485" s="41">
        <v>46010.291666666664</v>
      </c>
      <c r="M2485" s="38" t="s">
        <v>123</v>
      </c>
      <c r="N2485" s="41">
        <v>46010.666666666664</v>
      </c>
      <c r="O2485" s="38" t="s">
        <v>123</v>
      </c>
      <c r="P2485" s="38">
        <v>32400.0</v>
      </c>
      <c r="Q2485" s="38">
        <v>32400.0</v>
      </c>
      <c r="R2485" s="39"/>
      <c r="S2485" s="39"/>
      <c r="T2485" s="39"/>
      <c r="U2485" s="39"/>
    </row>
    <row r="2486">
      <c r="A2486" s="40">
        <f t="shared" si="1"/>
        <v>46006</v>
      </c>
      <c r="B2486" s="37" t="str">
        <f t="array" ref="B2486">iferror(xlookup($I2486, 'IMPORT VHC Report'!$E:$E, 'IMPORT VHC Report'!$A:$C), )</f>
        <v/>
      </c>
      <c r="C2486" s="37"/>
      <c r="D2486" s="37"/>
      <c r="E2486" s="38" t="s">
        <v>3035</v>
      </c>
      <c r="F2486" s="38" t="s">
        <v>3012</v>
      </c>
      <c r="G2486" s="38">
        <v>3.61726424816E11</v>
      </c>
      <c r="H2486" s="38" t="s">
        <v>3013</v>
      </c>
      <c r="I2486" s="38" t="s">
        <v>3014</v>
      </c>
      <c r="J2486" s="38" t="s">
        <v>300</v>
      </c>
      <c r="K2486" s="38" t="s">
        <v>63</v>
      </c>
      <c r="L2486" s="41">
        <v>46010.291666666664</v>
      </c>
      <c r="M2486" s="38" t="s">
        <v>123</v>
      </c>
      <c r="N2486" s="41">
        <v>46010.666666666664</v>
      </c>
      <c r="O2486" s="38" t="s">
        <v>123</v>
      </c>
      <c r="P2486" s="38">
        <v>32400.0</v>
      </c>
      <c r="Q2486" s="39"/>
      <c r="R2486" s="39"/>
      <c r="S2486" s="39"/>
      <c r="T2486" s="39"/>
      <c r="U2486" s="39"/>
    </row>
    <row r="2487">
      <c r="A2487" s="40">
        <f t="shared" si="1"/>
        <v>46006</v>
      </c>
      <c r="B2487" s="37" t="str">
        <f t="array" ref="B2487">iferror(xlookup($I2487, 'IMPORT VHC Report'!$E:$E, 'IMPORT VHC Report'!$A:$C), )</f>
        <v/>
      </c>
      <c r="C2487" s="37"/>
      <c r="D2487" s="37"/>
      <c r="E2487" s="38" t="s">
        <v>3036</v>
      </c>
      <c r="F2487" s="38" t="s">
        <v>3012</v>
      </c>
      <c r="G2487" s="38">
        <v>3.61726424816E11</v>
      </c>
      <c r="H2487" s="38" t="s">
        <v>3013</v>
      </c>
      <c r="I2487" s="38" t="s">
        <v>3014</v>
      </c>
      <c r="J2487" s="38" t="s">
        <v>134</v>
      </c>
      <c r="K2487" s="38" t="s">
        <v>126</v>
      </c>
      <c r="L2487" s="41">
        <v>46010.427083333336</v>
      </c>
      <c r="M2487" s="38" t="s">
        <v>123</v>
      </c>
      <c r="N2487" s="41">
        <v>46010.4375</v>
      </c>
      <c r="O2487" s="38" t="s">
        <v>123</v>
      </c>
      <c r="P2487" s="38">
        <v>900.0</v>
      </c>
      <c r="Q2487" s="39"/>
      <c r="R2487" s="39"/>
      <c r="S2487" s="39"/>
      <c r="T2487" s="39"/>
      <c r="U2487" s="39"/>
    </row>
    <row r="2488">
      <c r="A2488" s="40">
        <f t="shared" si="1"/>
        <v>46006</v>
      </c>
      <c r="B2488" s="37" t="str">
        <f t="array" ref="B2488">iferror(xlookup($I2488, 'IMPORT VHC Report'!$E:$E, 'IMPORT VHC Report'!$A:$C), )</f>
        <v/>
      </c>
      <c r="C2488" s="37"/>
      <c r="D2488" s="37"/>
      <c r="E2488" s="38" t="s">
        <v>3037</v>
      </c>
      <c r="F2488" s="38" t="s">
        <v>3012</v>
      </c>
      <c r="G2488" s="38">
        <v>3.61726424816E11</v>
      </c>
      <c r="H2488" s="38" t="s">
        <v>3013</v>
      </c>
      <c r="I2488" s="38" t="s">
        <v>3014</v>
      </c>
      <c r="J2488" s="38" t="s">
        <v>132</v>
      </c>
      <c r="K2488" s="38" t="s">
        <v>126</v>
      </c>
      <c r="L2488" s="41">
        <v>46010.5</v>
      </c>
      <c r="M2488" s="38" t="s">
        <v>123</v>
      </c>
      <c r="N2488" s="41">
        <v>46010.541666666664</v>
      </c>
      <c r="O2488" s="38" t="s">
        <v>123</v>
      </c>
      <c r="P2488" s="38">
        <v>3600.0</v>
      </c>
      <c r="Q2488" s="39"/>
      <c r="R2488" s="39"/>
      <c r="S2488" s="39"/>
      <c r="T2488" s="39"/>
      <c r="U2488" s="39"/>
    </row>
    <row r="2489">
      <c r="A2489" s="40">
        <f t="shared" si="1"/>
        <v>46006</v>
      </c>
      <c r="B2489" s="37" t="str">
        <f t="array" ref="B2489">iferror(xlookup($I2489, 'IMPORT VHC Report'!$E:$E, 'IMPORT VHC Report'!$A:$C), )</f>
        <v/>
      </c>
      <c r="C2489" s="37"/>
      <c r="D2489" s="37"/>
      <c r="E2489" s="38" t="s">
        <v>3038</v>
      </c>
      <c r="F2489" s="38" t="s">
        <v>3012</v>
      </c>
      <c r="G2489" s="38">
        <v>3.61726424816E11</v>
      </c>
      <c r="H2489" s="38" t="s">
        <v>3013</v>
      </c>
      <c r="I2489" s="38" t="s">
        <v>3014</v>
      </c>
      <c r="J2489" s="38" t="s">
        <v>134</v>
      </c>
      <c r="K2489" s="38" t="s">
        <v>126</v>
      </c>
      <c r="L2489" s="41">
        <v>46010.5625</v>
      </c>
      <c r="M2489" s="38" t="s">
        <v>123</v>
      </c>
      <c r="N2489" s="41">
        <v>46010.572916666664</v>
      </c>
      <c r="O2489" s="38" t="s">
        <v>123</v>
      </c>
      <c r="P2489" s="38">
        <v>900.0</v>
      </c>
      <c r="Q2489" s="39"/>
      <c r="R2489" s="39"/>
      <c r="S2489" s="39"/>
      <c r="T2489" s="39"/>
      <c r="U2489" s="39"/>
    </row>
    <row r="2490">
      <c r="A2490" s="40">
        <f t="shared" si="1"/>
        <v>46006</v>
      </c>
      <c r="B2490" s="37" t="str">
        <f t="array" ref="B2490">iferror(xlookup($I2490, 'IMPORT VHC Report'!$E:$E, 'IMPORT VHC Report'!$A:$C), )</f>
        <v/>
      </c>
      <c r="C2490" s="37"/>
      <c r="D2490" s="37"/>
      <c r="E2490" s="38" t="s">
        <v>3039</v>
      </c>
      <c r="F2490" s="38" t="s">
        <v>3040</v>
      </c>
      <c r="G2490" s="38">
        <v>3.61731792375E11</v>
      </c>
      <c r="H2490" s="38" t="s">
        <v>3041</v>
      </c>
      <c r="I2490" s="38" t="s">
        <v>3042</v>
      </c>
      <c r="J2490" s="38" t="s">
        <v>2135</v>
      </c>
      <c r="K2490" s="38" t="s">
        <v>63</v>
      </c>
      <c r="L2490" s="41">
        <v>46006.291666666664</v>
      </c>
      <c r="M2490" s="38" t="s">
        <v>123</v>
      </c>
      <c r="N2490" s="41">
        <v>46006.666666666664</v>
      </c>
      <c r="O2490" s="38" t="s">
        <v>123</v>
      </c>
      <c r="P2490" s="38">
        <v>32400.0</v>
      </c>
      <c r="Q2490" s="39"/>
      <c r="R2490" s="39"/>
      <c r="S2490" s="39"/>
      <c r="T2490" s="39"/>
      <c r="U2490" s="39"/>
    </row>
    <row r="2491">
      <c r="A2491" s="40">
        <f t="shared" si="1"/>
        <v>46006</v>
      </c>
      <c r="B2491" s="37" t="str">
        <f t="array" ref="B2491">iferror(xlookup($I2491, 'IMPORT VHC Report'!$E:$E, 'IMPORT VHC Report'!$A:$C), )</f>
        <v/>
      </c>
      <c r="C2491" s="37"/>
      <c r="D2491" s="37"/>
      <c r="E2491" s="38" t="s">
        <v>3043</v>
      </c>
      <c r="F2491" s="38" t="s">
        <v>3040</v>
      </c>
      <c r="G2491" s="38">
        <v>3.61731792375E11</v>
      </c>
      <c r="H2491" s="38" t="s">
        <v>3041</v>
      </c>
      <c r="I2491" s="38" t="s">
        <v>3042</v>
      </c>
      <c r="J2491" s="38" t="s">
        <v>134</v>
      </c>
      <c r="K2491" s="38" t="s">
        <v>126</v>
      </c>
      <c r="L2491" s="41">
        <v>46006.604166666664</v>
      </c>
      <c r="M2491" s="38" t="s">
        <v>123</v>
      </c>
      <c r="N2491" s="41">
        <v>46006.625</v>
      </c>
      <c r="O2491" s="38" t="s">
        <v>123</v>
      </c>
      <c r="P2491" s="38">
        <v>1800.0</v>
      </c>
      <c r="Q2491" s="39"/>
      <c r="R2491" s="39"/>
      <c r="S2491" s="39"/>
      <c r="T2491" s="39"/>
      <c r="U2491" s="39"/>
    </row>
    <row r="2492">
      <c r="A2492" s="40">
        <f t="shared" si="1"/>
        <v>46006</v>
      </c>
      <c r="B2492" s="37" t="str">
        <f t="array" ref="B2492">iferror(xlookup($I2492, 'IMPORT VHC Report'!$E:$E, 'IMPORT VHC Report'!$A:$C), )</f>
        <v/>
      </c>
      <c r="C2492" s="37"/>
      <c r="D2492" s="37"/>
      <c r="E2492" s="38" t="s">
        <v>3044</v>
      </c>
      <c r="F2492" s="38" t="s">
        <v>3040</v>
      </c>
      <c r="G2492" s="38">
        <v>3.61731792375E11</v>
      </c>
      <c r="H2492" s="38" t="s">
        <v>3041</v>
      </c>
      <c r="I2492" s="38" t="s">
        <v>3042</v>
      </c>
      <c r="J2492" s="38" t="s">
        <v>132</v>
      </c>
      <c r="K2492" s="38" t="s">
        <v>126</v>
      </c>
      <c r="L2492" s="41">
        <v>46006.625</v>
      </c>
      <c r="M2492" s="38" t="s">
        <v>123</v>
      </c>
      <c r="N2492" s="41">
        <v>46006.666666666664</v>
      </c>
      <c r="O2492" s="38" t="s">
        <v>123</v>
      </c>
      <c r="P2492" s="38">
        <v>3600.0</v>
      </c>
      <c r="Q2492" s="39"/>
      <c r="R2492" s="39"/>
      <c r="S2492" s="39"/>
      <c r="T2492" s="39"/>
      <c r="U2492" s="39"/>
    </row>
    <row r="2493">
      <c r="A2493" s="40">
        <f t="shared" si="1"/>
        <v>46006</v>
      </c>
      <c r="B2493" s="37" t="str">
        <f t="array" ref="B2493">iferror(xlookup($I2493, 'IMPORT VHC Report'!$E:$E, 'IMPORT VHC Report'!$A:$C), )</f>
        <v/>
      </c>
      <c r="C2493" s="37"/>
      <c r="D2493" s="37"/>
      <c r="E2493" s="38" t="s">
        <v>3045</v>
      </c>
      <c r="F2493" s="38" t="s">
        <v>3040</v>
      </c>
      <c r="G2493" s="38">
        <v>3.61731792375E11</v>
      </c>
      <c r="H2493" s="38" t="s">
        <v>3041</v>
      </c>
      <c r="I2493" s="38" t="s">
        <v>3042</v>
      </c>
      <c r="J2493" s="38" t="s">
        <v>2135</v>
      </c>
      <c r="K2493" s="38" t="s">
        <v>63</v>
      </c>
      <c r="L2493" s="41">
        <v>46007.291666666664</v>
      </c>
      <c r="M2493" s="38" t="s">
        <v>123</v>
      </c>
      <c r="N2493" s="41">
        <v>46007.666666666664</v>
      </c>
      <c r="O2493" s="38" t="s">
        <v>123</v>
      </c>
      <c r="P2493" s="38">
        <v>32400.0</v>
      </c>
      <c r="Q2493" s="39"/>
      <c r="R2493" s="39"/>
      <c r="S2493" s="39"/>
      <c r="T2493" s="39"/>
      <c r="U2493" s="39"/>
    </row>
    <row r="2494">
      <c r="A2494" s="40">
        <f t="shared" si="1"/>
        <v>46006</v>
      </c>
      <c r="B2494" s="37" t="str">
        <f t="array" ref="B2494">iferror(xlookup($I2494, 'IMPORT VHC Report'!$E:$E, 'IMPORT VHC Report'!$A:$C), )</f>
        <v/>
      </c>
      <c r="C2494" s="37"/>
      <c r="D2494" s="37"/>
      <c r="E2494" s="38" t="s">
        <v>3046</v>
      </c>
      <c r="F2494" s="38" t="s">
        <v>3040</v>
      </c>
      <c r="G2494" s="38">
        <v>3.61731792375E11</v>
      </c>
      <c r="H2494" s="38" t="s">
        <v>3041</v>
      </c>
      <c r="I2494" s="38" t="s">
        <v>3042</v>
      </c>
      <c r="J2494" s="38" t="s">
        <v>134</v>
      </c>
      <c r="K2494" s="38" t="s">
        <v>126</v>
      </c>
      <c r="L2494" s="41">
        <v>46007.604166666664</v>
      </c>
      <c r="M2494" s="38" t="s">
        <v>123</v>
      </c>
      <c r="N2494" s="41">
        <v>46007.625</v>
      </c>
      <c r="O2494" s="38" t="s">
        <v>123</v>
      </c>
      <c r="P2494" s="38">
        <v>1800.0</v>
      </c>
      <c r="Q2494" s="39"/>
      <c r="R2494" s="39"/>
      <c r="S2494" s="39"/>
      <c r="T2494" s="39"/>
      <c r="U2494" s="39"/>
    </row>
    <row r="2495">
      <c r="A2495" s="40">
        <f t="shared" si="1"/>
        <v>46006</v>
      </c>
      <c r="B2495" s="37" t="str">
        <f t="array" ref="B2495">iferror(xlookup($I2495, 'IMPORT VHC Report'!$E:$E, 'IMPORT VHC Report'!$A:$C), )</f>
        <v/>
      </c>
      <c r="C2495" s="37"/>
      <c r="D2495" s="37"/>
      <c r="E2495" s="38" t="s">
        <v>3047</v>
      </c>
      <c r="F2495" s="38" t="s">
        <v>3040</v>
      </c>
      <c r="G2495" s="38">
        <v>3.61731792375E11</v>
      </c>
      <c r="H2495" s="38" t="s">
        <v>3041</v>
      </c>
      <c r="I2495" s="38" t="s">
        <v>3042</v>
      </c>
      <c r="J2495" s="38" t="s">
        <v>132</v>
      </c>
      <c r="K2495" s="38" t="s">
        <v>126</v>
      </c>
      <c r="L2495" s="41">
        <v>46007.625</v>
      </c>
      <c r="M2495" s="38" t="s">
        <v>123</v>
      </c>
      <c r="N2495" s="41">
        <v>46007.666666666664</v>
      </c>
      <c r="O2495" s="38" t="s">
        <v>123</v>
      </c>
      <c r="P2495" s="38">
        <v>3600.0</v>
      </c>
      <c r="Q2495" s="39"/>
      <c r="R2495" s="39"/>
      <c r="S2495" s="39"/>
      <c r="T2495" s="39"/>
      <c r="U2495" s="39"/>
    </row>
    <row r="2496">
      <c r="A2496" s="40">
        <f t="shared" si="1"/>
        <v>46006</v>
      </c>
      <c r="B2496" s="37" t="str">
        <f t="array" ref="B2496">iferror(xlookup($I2496, 'IMPORT VHC Report'!$E:$E, 'IMPORT VHC Report'!$A:$C), )</f>
        <v/>
      </c>
      <c r="C2496" s="37"/>
      <c r="D2496" s="37"/>
      <c r="E2496" s="38" t="s">
        <v>3048</v>
      </c>
      <c r="F2496" s="38" t="s">
        <v>3040</v>
      </c>
      <c r="G2496" s="38">
        <v>3.61731792375E11</v>
      </c>
      <c r="H2496" s="38" t="s">
        <v>3041</v>
      </c>
      <c r="I2496" s="38" t="s">
        <v>3042</v>
      </c>
      <c r="J2496" s="38" t="s">
        <v>2135</v>
      </c>
      <c r="K2496" s="38" t="s">
        <v>63</v>
      </c>
      <c r="L2496" s="41">
        <v>46008.291666666664</v>
      </c>
      <c r="M2496" s="38" t="s">
        <v>123</v>
      </c>
      <c r="N2496" s="41">
        <v>46008.666666666664</v>
      </c>
      <c r="O2496" s="38" t="s">
        <v>123</v>
      </c>
      <c r="P2496" s="38">
        <v>32400.0</v>
      </c>
      <c r="Q2496" s="39"/>
      <c r="R2496" s="39"/>
      <c r="S2496" s="39"/>
      <c r="T2496" s="39"/>
      <c r="U2496" s="39"/>
    </row>
    <row r="2497">
      <c r="A2497" s="40">
        <f t="shared" si="1"/>
        <v>46006</v>
      </c>
      <c r="B2497" s="37" t="str">
        <f t="array" ref="B2497">iferror(xlookup($I2497, 'IMPORT VHC Report'!$E:$E, 'IMPORT VHC Report'!$A:$C), )</f>
        <v/>
      </c>
      <c r="C2497" s="37"/>
      <c r="D2497" s="37"/>
      <c r="E2497" s="38" t="s">
        <v>3049</v>
      </c>
      <c r="F2497" s="38" t="s">
        <v>3040</v>
      </c>
      <c r="G2497" s="38">
        <v>3.61731792375E11</v>
      </c>
      <c r="H2497" s="38" t="s">
        <v>3041</v>
      </c>
      <c r="I2497" s="38" t="s">
        <v>3042</v>
      </c>
      <c r="J2497" s="38" t="s">
        <v>134</v>
      </c>
      <c r="K2497" s="38" t="s">
        <v>126</v>
      </c>
      <c r="L2497" s="41">
        <v>46008.604166666664</v>
      </c>
      <c r="M2497" s="38" t="s">
        <v>123</v>
      </c>
      <c r="N2497" s="41">
        <v>46008.625</v>
      </c>
      <c r="O2497" s="38" t="s">
        <v>123</v>
      </c>
      <c r="P2497" s="38">
        <v>1800.0</v>
      </c>
      <c r="Q2497" s="39"/>
      <c r="R2497" s="39"/>
      <c r="S2497" s="39"/>
      <c r="T2497" s="39"/>
      <c r="U2497" s="39"/>
    </row>
    <row r="2498">
      <c r="A2498" s="40">
        <f t="shared" si="1"/>
        <v>46006</v>
      </c>
      <c r="B2498" s="37" t="str">
        <f t="array" ref="B2498">iferror(xlookup($I2498, 'IMPORT VHC Report'!$E:$E, 'IMPORT VHC Report'!$A:$C), )</f>
        <v/>
      </c>
      <c r="C2498" s="37"/>
      <c r="D2498" s="37"/>
      <c r="E2498" s="38" t="s">
        <v>3050</v>
      </c>
      <c r="F2498" s="38" t="s">
        <v>3040</v>
      </c>
      <c r="G2498" s="38">
        <v>3.61731792375E11</v>
      </c>
      <c r="H2498" s="38" t="s">
        <v>3041</v>
      </c>
      <c r="I2498" s="38" t="s">
        <v>3042</v>
      </c>
      <c r="J2498" s="38" t="s">
        <v>132</v>
      </c>
      <c r="K2498" s="38" t="s">
        <v>126</v>
      </c>
      <c r="L2498" s="41">
        <v>46008.625</v>
      </c>
      <c r="M2498" s="38" t="s">
        <v>123</v>
      </c>
      <c r="N2498" s="41">
        <v>46008.666666666664</v>
      </c>
      <c r="O2498" s="38" t="s">
        <v>123</v>
      </c>
      <c r="P2498" s="38">
        <v>3600.0</v>
      </c>
      <c r="Q2498" s="39"/>
      <c r="R2498" s="39"/>
      <c r="S2498" s="39"/>
      <c r="T2498" s="39"/>
      <c r="U2498" s="39"/>
    </row>
    <row r="2499">
      <c r="A2499" s="40">
        <f t="shared" si="1"/>
        <v>46006</v>
      </c>
      <c r="B2499" s="37" t="str">
        <f t="array" ref="B2499">iferror(xlookup($I2499, 'IMPORT VHC Report'!$E:$E, 'IMPORT VHC Report'!$A:$C), )</f>
        <v/>
      </c>
      <c r="C2499" s="37"/>
      <c r="D2499" s="37"/>
      <c r="E2499" s="38" t="s">
        <v>3051</v>
      </c>
      <c r="F2499" s="38" t="s">
        <v>3040</v>
      </c>
      <c r="G2499" s="38">
        <v>3.61731792375E11</v>
      </c>
      <c r="H2499" s="38" t="s">
        <v>3041</v>
      </c>
      <c r="I2499" s="38" t="s">
        <v>3042</v>
      </c>
      <c r="J2499" s="38" t="s">
        <v>2135</v>
      </c>
      <c r="K2499" s="38" t="s">
        <v>63</v>
      </c>
      <c r="L2499" s="41">
        <v>46009.291666666664</v>
      </c>
      <c r="M2499" s="38" t="s">
        <v>123</v>
      </c>
      <c r="N2499" s="41">
        <v>46009.666666666664</v>
      </c>
      <c r="O2499" s="38" t="s">
        <v>123</v>
      </c>
      <c r="P2499" s="38">
        <v>32400.0</v>
      </c>
      <c r="Q2499" s="39"/>
      <c r="R2499" s="39"/>
      <c r="S2499" s="39"/>
      <c r="T2499" s="39"/>
      <c r="U2499" s="39"/>
    </row>
    <row r="2500">
      <c r="A2500" s="40">
        <f t="shared" si="1"/>
        <v>46006</v>
      </c>
      <c r="B2500" s="37" t="str">
        <f t="array" ref="B2500">iferror(xlookup($I2500, 'IMPORT VHC Report'!$E:$E, 'IMPORT VHC Report'!$A:$C), )</f>
        <v/>
      </c>
      <c r="C2500" s="37"/>
      <c r="D2500" s="37"/>
      <c r="E2500" s="38" t="s">
        <v>3052</v>
      </c>
      <c r="F2500" s="38" t="s">
        <v>3040</v>
      </c>
      <c r="G2500" s="38">
        <v>3.61731792375E11</v>
      </c>
      <c r="H2500" s="38" t="s">
        <v>3041</v>
      </c>
      <c r="I2500" s="38" t="s">
        <v>3042</v>
      </c>
      <c r="J2500" s="38" t="s">
        <v>134</v>
      </c>
      <c r="K2500" s="38" t="s">
        <v>126</v>
      </c>
      <c r="L2500" s="41">
        <v>46009.604166666664</v>
      </c>
      <c r="M2500" s="38" t="s">
        <v>123</v>
      </c>
      <c r="N2500" s="41">
        <v>46009.625</v>
      </c>
      <c r="O2500" s="38" t="s">
        <v>123</v>
      </c>
      <c r="P2500" s="38">
        <v>1800.0</v>
      </c>
      <c r="Q2500" s="39"/>
      <c r="R2500" s="39"/>
      <c r="S2500" s="39"/>
      <c r="T2500" s="39"/>
      <c r="U2500" s="39"/>
    </row>
    <row r="2501">
      <c r="A2501" s="40">
        <f t="shared" si="1"/>
        <v>46006</v>
      </c>
      <c r="B2501" s="37" t="str">
        <f t="array" ref="B2501">iferror(xlookup($I2501, 'IMPORT VHC Report'!$E:$E, 'IMPORT VHC Report'!$A:$C), )</f>
        <v/>
      </c>
      <c r="C2501" s="37"/>
      <c r="D2501" s="37"/>
      <c r="E2501" s="38" t="s">
        <v>3053</v>
      </c>
      <c r="F2501" s="38" t="s">
        <v>3040</v>
      </c>
      <c r="G2501" s="38">
        <v>3.61731792375E11</v>
      </c>
      <c r="H2501" s="38" t="s">
        <v>3041</v>
      </c>
      <c r="I2501" s="38" t="s">
        <v>3042</v>
      </c>
      <c r="J2501" s="38" t="s">
        <v>132</v>
      </c>
      <c r="K2501" s="38" t="s">
        <v>126</v>
      </c>
      <c r="L2501" s="41">
        <v>46009.625</v>
      </c>
      <c r="M2501" s="38" t="s">
        <v>123</v>
      </c>
      <c r="N2501" s="41">
        <v>46009.666666666664</v>
      </c>
      <c r="O2501" s="38" t="s">
        <v>123</v>
      </c>
      <c r="P2501" s="38">
        <v>3600.0</v>
      </c>
      <c r="Q2501" s="39"/>
      <c r="R2501" s="39"/>
      <c r="S2501" s="39"/>
      <c r="T2501" s="39"/>
      <c r="U2501" s="39"/>
    </row>
    <row r="2502">
      <c r="A2502" s="40">
        <f t="shared" si="1"/>
        <v>46006</v>
      </c>
      <c r="B2502" s="37" t="str">
        <f t="array" ref="B2502">iferror(xlookup($I2502, 'IMPORT VHC Report'!$E:$E, 'IMPORT VHC Report'!$A:$C), )</f>
        <v/>
      </c>
      <c r="C2502" s="37"/>
      <c r="D2502" s="37"/>
      <c r="E2502" s="38" t="s">
        <v>3054</v>
      </c>
      <c r="F2502" s="38" t="s">
        <v>3040</v>
      </c>
      <c r="G2502" s="38">
        <v>3.61731792375E11</v>
      </c>
      <c r="H2502" s="38" t="s">
        <v>3041</v>
      </c>
      <c r="I2502" s="38" t="s">
        <v>3042</v>
      </c>
      <c r="J2502" s="38" t="s">
        <v>2135</v>
      </c>
      <c r="K2502" s="38" t="s">
        <v>63</v>
      </c>
      <c r="L2502" s="41">
        <v>46010.291666666664</v>
      </c>
      <c r="M2502" s="38" t="s">
        <v>123</v>
      </c>
      <c r="N2502" s="41">
        <v>46010.666666666664</v>
      </c>
      <c r="O2502" s="38" t="s">
        <v>123</v>
      </c>
      <c r="P2502" s="38">
        <v>32400.0</v>
      </c>
      <c r="Q2502" s="39"/>
      <c r="R2502" s="39"/>
      <c r="S2502" s="39"/>
      <c r="T2502" s="39"/>
      <c r="U2502" s="39"/>
    </row>
    <row r="2503">
      <c r="A2503" s="40">
        <f t="shared" si="1"/>
        <v>46006</v>
      </c>
      <c r="B2503" s="37" t="str">
        <f t="array" ref="B2503">iferror(xlookup($I2503, 'IMPORT VHC Report'!$E:$E, 'IMPORT VHC Report'!$A:$C), )</f>
        <v/>
      </c>
      <c r="C2503" s="37"/>
      <c r="D2503" s="37"/>
      <c r="E2503" s="38" t="s">
        <v>3055</v>
      </c>
      <c r="F2503" s="38" t="s">
        <v>3040</v>
      </c>
      <c r="G2503" s="38">
        <v>3.61731792375E11</v>
      </c>
      <c r="H2503" s="38" t="s">
        <v>3041</v>
      </c>
      <c r="I2503" s="38" t="s">
        <v>3042</v>
      </c>
      <c r="J2503" s="38" t="s">
        <v>134</v>
      </c>
      <c r="K2503" s="38" t="s">
        <v>126</v>
      </c>
      <c r="L2503" s="41">
        <v>46010.604166666664</v>
      </c>
      <c r="M2503" s="38" t="s">
        <v>123</v>
      </c>
      <c r="N2503" s="41">
        <v>46010.625</v>
      </c>
      <c r="O2503" s="38" t="s">
        <v>123</v>
      </c>
      <c r="P2503" s="38">
        <v>1800.0</v>
      </c>
      <c r="Q2503" s="39"/>
      <c r="R2503" s="39"/>
      <c r="S2503" s="39"/>
      <c r="T2503" s="39"/>
      <c r="U2503" s="39"/>
    </row>
    <row r="2504">
      <c r="A2504" s="40">
        <f t="shared" si="1"/>
        <v>46006</v>
      </c>
      <c r="B2504" s="37" t="str">
        <f t="array" ref="B2504">iferror(xlookup($I2504, 'IMPORT VHC Report'!$E:$E, 'IMPORT VHC Report'!$A:$C), )</f>
        <v/>
      </c>
      <c r="C2504" s="37"/>
      <c r="D2504" s="37"/>
      <c r="E2504" s="38" t="s">
        <v>3056</v>
      </c>
      <c r="F2504" s="38" t="s">
        <v>3040</v>
      </c>
      <c r="G2504" s="38">
        <v>3.61731792375E11</v>
      </c>
      <c r="H2504" s="38" t="s">
        <v>3041</v>
      </c>
      <c r="I2504" s="38" t="s">
        <v>3042</v>
      </c>
      <c r="J2504" s="38" t="s">
        <v>132</v>
      </c>
      <c r="K2504" s="38" t="s">
        <v>126</v>
      </c>
      <c r="L2504" s="41">
        <v>46010.625</v>
      </c>
      <c r="M2504" s="38" t="s">
        <v>123</v>
      </c>
      <c r="N2504" s="41">
        <v>46010.666666666664</v>
      </c>
      <c r="O2504" s="38" t="s">
        <v>123</v>
      </c>
      <c r="P2504" s="38">
        <v>3600.0</v>
      </c>
      <c r="Q2504" s="39"/>
      <c r="R2504" s="39"/>
      <c r="S2504" s="39"/>
      <c r="T2504" s="39"/>
      <c r="U2504" s="39"/>
    </row>
    <row r="2505">
      <c r="A2505" s="40">
        <f t="shared" si="1"/>
        <v>46006</v>
      </c>
      <c r="B2505" s="37" t="str">
        <f t="array" ref="B2505">iferror(xlookup($I2505, 'IMPORT VHC Report'!$E:$E, 'IMPORT VHC Report'!$A:$C), )</f>
        <v/>
      </c>
      <c r="C2505" s="37"/>
      <c r="D2505" s="37"/>
      <c r="E2505" s="38" t="s">
        <v>3057</v>
      </c>
      <c r="F2505" s="38" t="s">
        <v>3058</v>
      </c>
      <c r="G2505" s="38">
        <v>1.0333049788943E13</v>
      </c>
      <c r="H2505" s="38" t="s">
        <v>3059</v>
      </c>
      <c r="I2505" s="38" t="s">
        <v>3060</v>
      </c>
      <c r="J2505" s="38" t="s">
        <v>136</v>
      </c>
      <c r="K2505" s="38" t="s">
        <v>126</v>
      </c>
      <c r="L2505" s="41">
        <v>46006.291666666664</v>
      </c>
      <c r="M2505" s="38" t="s">
        <v>123</v>
      </c>
      <c r="N2505" s="41">
        <v>46006.3125</v>
      </c>
      <c r="O2505" s="38" t="s">
        <v>123</v>
      </c>
      <c r="P2505" s="38">
        <v>1800.0</v>
      </c>
      <c r="Q2505" s="39"/>
      <c r="R2505" s="39"/>
      <c r="S2505" s="38" t="s">
        <v>2270</v>
      </c>
      <c r="T2505" s="39"/>
      <c r="U2505" s="39"/>
    </row>
    <row r="2506">
      <c r="A2506" s="40">
        <f t="shared" si="1"/>
        <v>46006</v>
      </c>
      <c r="B2506" s="37" t="str">
        <f t="array" ref="B2506">iferror(xlookup($I2506, 'IMPORT VHC Report'!$E:$E, 'IMPORT VHC Report'!$A:$C), )</f>
        <v/>
      </c>
      <c r="C2506" s="37"/>
      <c r="D2506" s="37"/>
      <c r="E2506" s="38" t="s">
        <v>3061</v>
      </c>
      <c r="F2506" s="38" t="s">
        <v>3058</v>
      </c>
      <c r="G2506" s="38">
        <v>1.0333049788943E13</v>
      </c>
      <c r="H2506" s="38" t="s">
        <v>3059</v>
      </c>
      <c r="I2506" s="38" t="s">
        <v>3060</v>
      </c>
      <c r="J2506" s="38" t="s">
        <v>2268</v>
      </c>
      <c r="K2506" s="38" t="s">
        <v>63</v>
      </c>
      <c r="L2506" s="41">
        <v>46006.291666666664</v>
      </c>
      <c r="M2506" s="38" t="s">
        <v>123</v>
      </c>
      <c r="N2506" s="41">
        <v>46006.666666666664</v>
      </c>
      <c r="O2506" s="38" t="s">
        <v>123</v>
      </c>
      <c r="P2506" s="38">
        <v>32400.0</v>
      </c>
      <c r="Q2506" s="39"/>
      <c r="R2506" s="39"/>
      <c r="S2506" s="39"/>
      <c r="T2506" s="39"/>
      <c r="U2506" s="39"/>
    </row>
    <row r="2507">
      <c r="A2507" s="40">
        <f t="shared" si="1"/>
        <v>46006</v>
      </c>
      <c r="B2507" s="37" t="str">
        <f t="array" ref="B2507">iferror(xlookup($I2507, 'IMPORT VHC Report'!$E:$E, 'IMPORT VHC Report'!$A:$C), )</f>
        <v/>
      </c>
      <c r="C2507" s="37"/>
      <c r="D2507" s="37"/>
      <c r="E2507" s="38" t="s">
        <v>3062</v>
      </c>
      <c r="F2507" s="38" t="s">
        <v>3058</v>
      </c>
      <c r="G2507" s="38">
        <v>1.0333049788943E13</v>
      </c>
      <c r="H2507" s="38" t="s">
        <v>3059</v>
      </c>
      <c r="I2507" s="38" t="s">
        <v>3060</v>
      </c>
      <c r="J2507" s="38" t="s">
        <v>134</v>
      </c>
      <c r="K2507" s="38" t="s">
        <v>126</v>
      </c>
      <c r="L2507" s="41">
        <v>46006.395833333336</v>
      </c>
      <c r="M2507" s="38" t="s">
        <v>123</v>
      </c>
      <c r="N2507" s="41">
        <v>46006.416666666664</v>
      </c>
      <c r="O2507" s="38" t="s">
        <v>123</v>
      </c>
      <c r="P2507" s="38">
        <v>1800.0</v>
      </c>
      <c r="Q2507" s="39"/>
      <c r="R2507" s="39"/>
      <c r="S2507" s="39"/>
      <c r="T2507" s="39"/>
      <c r="U2507" s="39"/>
    </row>
    <row r="2508">
      <c r="A2508" s="40">
        <f t="shared" si="1"/>
        <v>46006</v>
      </c>
      <c r="B2508" s="37" t="str">
        <f t="array" ref="B2508">iferror(xlookup($I2508, 'IMPORT VHC Report'!$E:$E, 'IMPORT VHC Report'!$A:$C), )</f>
        <v/>
      </c>
      <c r="C2508" s="37"/>
      <c r="D2508" s="37"/>
      <c r="E2508" s="38" t="s">
        <v>3063</v>
      </c>
      <c r="F2508" s="38" t="s">
        <v>3058</v>
      </c>
      <c r="G2508" s="38">
        <v>1.0333049788943E13</v>
      </c>
      <c r="H2508" s="38" t="s">
        <v>3059</v>
      </c>
      <c r="I2508" s="38" t="s">
        <v>3060</v>
      </c>
      <c r="J2508" s="38" t="s">
        <v>132</v>
      </c>
      <c r="K2508" s="38" t="s">
        <v>126</v>
      </c>
      <c r="L2508" s="41">
        <v>46006.520833333336</v>
      </c>
      <c r="M2508" s="38" t="s">
        <v>123</v>
      </c>
      <c r="N2508" s="41">
        <v>46006.5625</v>
      </c>
      <c r="O2508" s="38" t="s">
        <v>123</v>
      </c>
      <c r="P2508" s="38">
        <v>3600.0</v>
      </c>
      <c r="Q2508" s="39"/>
      <c r="R2508" s="39"/>
      <c r="S2508" s="39"/>
      <c r="T2508" s="39"/>
      <c r="U2508" s="39"/>
    </row>
    <row r="2509">
      <c r="A2509" s="40">
        <f t="shared" si="1"/>
        <v>46006</v>
      </c>
      <c r="B2509" s="37" t="str">
        <f t="array" ref="B2509">iferror(xlookup($I2509, 'IMPORT VHC Report'!$E:$E, 'IMPORT VHC Report'!$A:$C), )</f>
        <v/>
      </c>
      <c r="C2509" s="37"/>
      <c r="D2509" s="37"/>
      <c r="E2509" s="38" t="s">
        <v>3064</v>
      </c>
      <c r="F2509" s="38" t="s">
        <v>3058</v>
      </c>
      <c r="G2509" s="38">
        <v>1.0333049788943E13</v>
      </c>
      <c r="H2509" s="38" t="s">
        <v>3059</v>
      </c>
      <c r="I2509" s="38" t="s">
        <v>3060</v>
      </c>
      <c r="J2509" s="38" t="s">
        <v>136</v>
      </c>
      <c r="K2509" s="38" t="s">
        <v>126</v>
      </c>
      <c r="L2509" s="41">
        <v>46007.291666666664</v>
      </c>
      <c r="M2509" s="38" t="s">
        <v>123</v>
      </c>
      <c r="N2509" s="41">
        <v>46007.3125</v>
      </c>
      <c r="O2509" s="38" t="s">
        <v>123</v>
      </c>
      <c r="P2509" s="38">
        <v>1800.0</v>
      </c>
      <c r="Q2509" s="39"/>
      <c r="R2509" s="39"/>
      <c r="S2509" s="38" t="s">
        <v>2270</v>
      </c>
      <c r="T2509" s="39"/>
      <c r="U2509" s="39"/>
    </row>
    <row r="2510">
      <c r="A2510" s="40">
        <f t="shared" si="1"/>
        <v>46006</v>
      </c>
      <c r="B2510" s="37" t="str">
        <f t="array" ref="B2510">iferror(xlookup($I2510, 'IMPORT VHC Report'!$E:$E, 'IMPORT VHC Report'!$A:$C), )</f>
        <v/>
      </c>
      <c r="C2510" s="37"/>
      <c r="D2510" s="37"/>
      <c r="E2510" s="38" t="s">
        <v>3065</v>
      </c>
      <c r="F2510" s="38" t="s">
        <v>3058</v>
      </c>
      <c r="G2510" s="38">
        <v>1.0333049788943E13</v>
      </c>
      <c r="H2510" s="38" t="s">
        <v>3059</v>
      </c>
      <c r="I2510" s="38" t="s">
        <v>3060</v>
      </c>
      <c r="J2510" s="38" t="s">
        <v>2268</v>
      </c>
      <c r="K2510" s="38" t="s">
        <v>63</v>
      </c>
      <c r="L2510" s="41">
        <v>46007.291666666664</v>
      </c>
      <c r="M2510" s="38" t="s">
        <v>123</v>
      </c>
      <c r="N2510" s="41">
        <v>46007.666666666664</v>
      </c>
      <c r="O2510" s="38" t="s">
        <v>123</v>
      </c>
      <c r="P2510" s="38">
        <v>32400.0</v>
      </c>
      <c r="Q2510" s="39"/>
      <c r="R2510" s="39"/>
      <c r="S2510" s="39"/>
      <c r="T2510" s="39"/>
      <c r="U2510" s="39"/>
    </row>
    <row r="2511">
      <c r="A2511" s="40">
        <f t="shared" si="1"/>
        <v>46006</v>
      </c>
      <c r="B2511" s="37" t="str">
        <f t="array" ref="B2511">iferror(xlookup($I2511, 'IMPORT VHC Report'!$E:$E, 'IMPORT VHC Report'!$A:$C), )</f>
        <v/>
      </c>
      <c r="C2511" s="37"/>
      <c r="D2511" s="37"/>
      <c r="E2511" s="38" t="s">
        <v>3066</v>
      </c>
      <c r="F2511" s="38" t="s">
        <v>3058</v>
      </c>
      <c r="G2511" s="38">
        <v>1.0333049788943E13</v>
      </c>
      <c r="H2511" s="38" t="s">
        <v>3059</v>
      </c>
      <c r="I2511" s="38" t="s">
        <v>3060</v>
      </c>
      <c r="J2511" s="38" t="s">
        <v>134</v>
      </c>
      <c r="K2511" s="38" t="s">
        <v>126</v>
      </c>
      <c r="L2511" s="41">
        <v>46007.416666666664</v>
      </c>
      <c r="M2511" s="38" t="s">
        <v>123</v>
      </c>
      <c r="N2511" s="41">
        <v>46007.4375</v>
      </c>
      <c r="O2511" s="38" t="s">
        <v>123</v>
      </c>
      <c r="P2511" s="38">
        <v>1800.0</v>
      </c>
      <c r="Q2511" s="39"/>
      <c r="R2511" s="39"/>
      <c r="S2511" s="39"/>
      <c r="T2511" s="39"/>
      <c r="U2511" s="39"/>
    </row>
    <row r="2512">
      <c r="A2512" s="40">
        <f t="shared" si="1"/>
        <v>46006</v>
      </c>
      <c r="B2512" s="37" t="str">
        <f t="array" ref="B2512">iferror(xlookup($I2512, 'IMPORT VHC Report'!$E:$E, 'IMPORT VHC Report'!$A:$C), )</f>
        <v/>
      </c>
      <c r="C2512" s="37"/>
      <c r="D2512" s="37"/>
      <c r="E2512" s="38" t="s">
        <v>3067</v>
      </c>
      <c r="F2512" s="38" t="s">
        <v>3058</v>
      </c>
      <c r="G2512" s="38">
        <v>1.0333049788943E13</v>
      </c>
      <c r="H2512" s="38" t="s">
        <v>3059</v>
      </c>
      <c r="I2512" s="38" t="s">
        <v>3060</v>
      </c>
      <c r="J2512" s="38" t="s">
        <v>132</v>
      </c>
      <c r="K2512" s="38" t="s">
        <v>126</v>
      </c>
      <c r="L2512" s="41">
        <v>46007.541666666664</v>
      </c>
      <c r="M2512" s="38" t="s">
        <v>123</v>
      </c>
      <c r="N2512" s="41">
        <v>46007.583333333336</v>
      </c>
      <c r="O2512" s="38" t="s">
        <v>123</v>
      </c>
      <c r="P2512" s="38">
        <v>3600.0</v>
      </c>
      <c r="Q2512" s="39"/>
      <c r="R2512" s="39"/>
      <c r="S2512" s="39"/>
      <c r="T2512" s="39"/>
      <c r="U2512" s="39"/>
    </row>
    <row r="2513">
      <c r="A2513" s="40">
        <f t="shared" si="1"/>
        <v>46006</v>
      </c>
      <c r="B2513" s="37" t="str">
        <f t="array" ref="B2513">iferror(xlookup($I2513, 'IMPORT VHC Report'!$E:$E, 'IMPORT VHC Report'!$A:$C), )</f>
        <v/>
      </c>
      <c r="C2513" s="37"/>
      <c r="D2513" s="37"/>
      <c r="E2513" s="38" t="s">
        <v>3068</v>
      </c>
      <c r="F2513" s="38" t="s">
        <v>3058</v>
      </c>
      <c r="G2513" s="38">
        <v>1.0333049788943E13</v>
      </c>
      <c r="H2513" s="38" t="s">
        <v>3059</v>
      </c>
      <c r="I2513" s="38" t="s">
        <v>3060</v>
      </c>
      <c r="J2513" s="38" t="s">
        <v>2268</v>
      </c>
      <c r="K2513" s="38" t="s">
        <v>63</v>
      </c>
      <c r="L2513" s="41">
        <v>46008.291666666664</v>
      </c>
      <c r="M2513" s="38" t="s">
        <v>123</v>
      </c>
      <c r="N2513" s="41">
        <v>46008.666666666664</v>
      </c>
      <c r="O2513" s="38" t="s">
        <v>123</v>
      </c>
      <c r="P2513" s="38">
        <v>32400.0</v>
      </c>
      <c r="Q2513" s="39"/>
      <c r="R2513" s="39"/>
      <c r="S2513" s="39"/>
      <c r="T2513" s="39"/>
      <c r="U2513" s="39"/>
    </row>
    <row r="2514">
      <c r="A2514" s="40">
        <f t="shared" si="1"/>
        <v>46006</v>
      </c>
      <c r="B2514" s="37" t="str">
        <f t="array" ref="B2514">iferror(xlookup($I2514, 'IMPORT VHC Report'!$E:$E, 'IMPORT VHC Report'!$A:$C), )</f>
        <v/>
      </c>
      <c r="C2514" s="37"/>
      <c r="D2514" s="37"/>
      <c r="E2514" s="38" t="s">
        <v>3069</v>
      </c>
      <c r="F2514" s="38" t="s">
        <v>3058</v>
      </c>
      <c r="G2514" s="38">
        <v>1.0333049788943E13</v>
      </c>
      <c r="H2514" s="38" t="s">
        <v>3059</v>
      </c>
      <c r="I2514" s="38" t="s">
        <v>3060</v>
      </c>
      <c r="J2514" s="38" t="s">
        <v>4</v>
      </c>
      <c r="K2514" s="38" t="s">
        <v>126</v>
      </c>
      <c r="L2514" s="41">
        <v>46008.333333333336</v>
      </c>
      <c r="M2514" s="38" t="s">
        <v>123</v>
      </c>
      <c r="N2514" s="41">
        <v>46008.458333333336</v>
      </c>
      <c r="O2514" s="38" t="s">
        <v>123</v>
      </c>
      <c r="P2514" s="38">
        <v>10800.0</v>
      </c>
      <c r="Q2514" s="39"/>
      <c r="R2514" s="39"/>
      <c r="S2514" s="38" t="s">
        <v>2283</v>
      </c>
      <c r="T2514" s="39"/>
      <c r="U2514" s="39"/>
    </row>
    <row r="2515">
      <c r="A2515" s="40">
        <f t="shared" si="1"/>
        <v>46006</v>
      </c>
      <c r="B2515" s="37" t="str">
        <f t="array" ref="B2515">iferror(xlookup($I2515, 'IMPORT VHC Report'!$E:$E, 'IMPORT VHC Report'!$A:$C), )</f>
        <v/>
      </c>
      <c r="C2515" s="37"/>
      <c r="D2515" s="37"/>
      <c r="E2515" s="38" t="s">
        <v>3070</v>
      </c>
      <c r="F2515" s="38" t="s">
        <v>3058</v>
      </c>
      <c r="G2515" s="38">
        <v>1.0333049788943E13</v>
      </c>
      <c r="H2515" s="38" t="s">
        <v>3059</v>
      </c>
      <c r="I2515" s="38" t="s">
        <v>3060</v>
      </c>
      <c r="J2515" s="38" t="s">
        <v>134</v>
      </c>
      <c r="K2515" s="38" t="s">
        <v>126</v>
      </c>
      <c r="L2515" s="41">
        <v>46008.458333333336</v>
      </c>
      <c r="M2515" s="38" t="s">
        <v>123</v>
      </c>
      <c r="N2515" s="41">
        <v>46008.479166666664</v>
      </c>
      <c r="O2515" s="38" t="s">
        <v>123</v>
      </c>
      <c r="P2515" s="38">
        <v>1800.0</v>
      </c>
      <c r="Q2515" s="39"/>
      <c r="R2515" s="39"/>
      <c r="S2515" s="39"/>
      <c r="T2515" s="39"/>
      <c r="U2515" s="39"/>
    </row>
    <row r="2516">
      <c r="A2516" s="40">
        <f t="shared" si="1"/>
        <v>46006</v>
      </c>
      <c r="B2516" s="37" t="str">
        <f t="array" ref="B2516">iferror(xlookup($I2516, 'IMPORT VHC Report'!$E:$E, 'IMPORT VHC Report'!$A:$C), )</f>
        <v/>
      </c>
      <c r="C2516" s="37"/>
      <c r="D2516" s="37"/>
      <c r="E2516" s="38" t="s">
        <v>3071</v>
      </c>
      <c r="F2516" s="38" t="s">
        <v>3058</v>
      </c>
      <c r="G2516" s="38">
        <v>1.0333049788943E13</v>
      </c>
      <c r="H2516" s="38" t="s">
        <v>3059</v>
      </c>
      <c r="I2516" s="38" t="s">
        <v>3060</v>
      </c>
      <c r="J2516" s="38" t="s">
        <v>132</v>
      </c>
      <c r="K2516" s="38" t="s">
        <v>126</v>
      </c>
      <c r="L2516" s="41">
        <v>46008.541666666664</v>
      </c>
      <c r="M2516" s="38" t="s">
        <v>123</v>
      </c>
      <c r="N2516" s="41">
        <v>46008.583333333336</v>
      </c>
      <c r="O2516" s="38" t="s">
        <v>123</v>
      </c>
      <c r="P2516" s="38">
        <v>3600.0</v>
      </c>
      <c r="Q2516" s="39"/>
      <c r="R2516" s="39"/>
      <c r="S2516" s="39"/>
      <c r="T2516" s="39"/>
      <c r="U2516" s="39"/>
    </row>
    <row r="2517">
      <c r="A2517" s="40">
        <f t="shared" si="1"/>
        <v>46006</v>
      </c>
      <c r="B2517" s="37" t="str">
        <f t="array" ref="B2517">iferror(xlookup($I2517, 'IMPORT VHC Report'!$E:$E, 'IMPORT VHC Report'!$A:$C), )</f>
        <v/>
      </c>
      <c r="C2517" s="37"/>
      <c r="D2517" s="37"/>
      <c r="E2517" s="38" t="s">
        <v>3072</v>
      </c>
      <c r="F2517" s="38" t="s">
        <v>3058</v>
      </c>
      <c r="G2517" s="38">
        <v>1.0333049788943E13</v>
      </c>
      <c r="H2517" s="38" t="s">
        <v>3059</v>
      </c>
      <c r="I2517" s="38" t="s">
        <v>3060</v>
      </c>
      <c r="J2517" s="38" t="s">
        <v>178</v>
      </c>
      <c r="K2517" s="38" t="s">
        <v>153</v>
      </c>
      <c r="L2517" s="41">
        <v>46009.291666666664</v>
      </c>
      <c r="M2517" s="38" t="s">
        <v>123</v>
      </c>
      <c r="N2517" s="41">
        <v>46009.666666666664</v>
      </c>
      <c r="O2517" s="38" t="s">
        <v>123</v>
      </c>
      <c r="P2517" s="38">
        <v>32400.0</v>
      </c>
      <c r="Q2517" s="38">
        <v>32400.0</v>
      </c>
      <c r="R2517" s="39"/>
      <c r="S2517" s="39"/>
      <c r="T2517" s="39"/>
      <c r="U2517" s="39"/>
    </row>
    <row r="2518">
      <c r="A2518" s="40">
        <f t="shared" si="1"/>
        <v>46006</v>
      </c>
      <c r="B2518" s="37" t="str">
        <f t="array" ref="B2518">iferror(xlookup($I2518, 'IMPORT VHC Report'!$E:$E, 'IMPORT VHC Report'!$A:$C), )</f>
        <v/>
      </c>
      <c r="C2518" s="37"/>
      <c r="D2518" s="37"/>
      <c r="E2518" s="38" t="s">
        <v>3073</v>
      </c>
      <c r="F2518" s="38" t="s">
        <v>3058</v>
      </c>
      <c r="G2518" s="38">
        <v>1.0333049788943E13</v>
      </c>
      <c r="H2518" s="38" t="s">
        <v>3059</v>
      </c>
      <c r="I2518" s="38" t="s">
        <v>3060</v>
      </c>
      <c r="J2518" s="38" t="s">
        <v>2268</v>
      </c>
      <c r="K2518" s="38" t="s">
        <v>63</v>
      </c>
      <c r="L2518" s="41">
        <v>46009.291666666664</v>
      </c>
      <c r="M2518" s="38" t="s">
        <v>123</v>
      </c>
      <c r="N2518" s="41">
        <v>46009.666666666664</v>
      </c>
      <c r="O2518" s="38" t="s">
        <v>123</v>
      </c>
      <c r="P2518" s="38">
        <v>32400.0</v>
      </c>
      <c r="Q2518" s="39"/>
      <c r="R2518" s="39"/>
      <c r="S2518" s="39"/>
      <c r="T2518" s="39"/>
      <c r="U2518" s="39"/>
    </row>
    <row r="2519">
      <c r="A2519" s="40">
        <f t="shared" si="1"/>
        <v>46006</v>
      </c>
      <c r="B2519" s="37" t="str">
        <f t="array" ref="B2519">iferror(xlookup($I2519, 'IMPORT VHC Report'!$E:$E, 'IMPORT VHC Report'!$A:$C), )</f>
        <v/>
      </c>
      <c r="C2519" s="37"/>
      <c r="D2519" s="37"/>
      <c r="E2519" s="38" t="s">
        <v>3074</v>
      </c>
      <c r="F2519" s="38" t="s">
        <v>3058</v>
      </c>
      <c r="G2519" s="38">
        <v>1.0333049788943E13</v>
      </c>
      <c r="H2519" s="38" t="s">
        <v>3059</v>
      </c>
      <c r="I2519" s="38" t="s">
        <v>3060</v>
      </c>
      <c r="J2519" s="38" t="s">
        <v>134</v>
      </c>
      <c r="K2519" s="38" t="s">
        <v>126</v>
      </c>
      <c r="L2519" s="41">
        <v>46009.416666666664</v>
      </c>
      <c r="M2519" s="38" t="s">
        <v>123</v>
      </c>
      <c r="N2519" s="41">
        <v>46009.4375</v>
      </c>
      <c r="O2519" s="38" t="s">
        <v>123</v>
      </c>
      <c r="P2519" s="38">
        <v>1800.0</v>
      </c>
      <c r="Q2519" s="39"/>
      <c r="R2519" s="39"/>
      <c r="S2519" s="39"/>
      <c r="T2519" s="39"/>
      <c r="U2519" s="39"/>
    </row>
    <row r="2520">
      <c r="A2520" s="40">
        <f t="shared" si="1"/>
        <v>46006</v>
      </c>
      <c r="B2520" s="37" t="str">
        <f t="array" ref="B2520">iferror(xlookup($I2520, 'IMPORT VHC Report'!$E:$E, 'IMPORT VHC Report'!$A:$C), )</f>
        <v/>
      </c>
      <c r="C2520" s="37"/>
      <c r="D2520" s="37"/>
      <c r="E2520" s="38" t="s">
        <v>3075</v>
      </c>
      <c r="F2520" s="38" t="s">
        <v>3058</v>
      </c>
      <c r="G2520" s="38">
        <v>1.0333049788943E13</v>
      </c>
      <c r="H2520" s="38" t="s">
        <v>3059</v>
      </c>
      <c r="I2520" s="38" t="s">
        <v>3060</v>
      </c>
      <c r="J2520" s="38" t="s">
        <v>132</v>
      </c>
      <c r="K2520" s="38" t="s">
        <v>126</v>
      </c>
      <c r="L2520" s="41">
        <v>46009.541666666664</v>
      </c>
      <c r="M2520" s="38" t="s">
        <v>123</v>
      </c>
      <c r="N2520" s="41">
        <v>46009.583333333336</v>
      </c>
      <c r="O2520" s="38" t="s">
        <v>123</v>
      </c>
      <c r="P2520" s="38">
        <v>3600.0</v>
      </c>
      <c r="Q2520" s="39"/>
      <c r="R2520" s="39"/>
      <c r="S2520" s="39"/>
      <c r="T2520" s="39"/>
      <c r="U2520" s="39"/>
    </row>
    <row r="2521">
      <c r="A2521" s="40">
        <f t="shared" si="1"/>
        <v>46006</v>
      </c>
      <c r="B2521" s="37" t="str">
        <f t="array" ref="B2521">iferror(xlookup($I2521, 'IMPORT VHC Report'!$E:$E, 'IMPORT VHC Report'!$A:$C), )</f>
        <v/>
      </c>
      <c r="C2521" s="37"/>
      <c r="D2521" s="37"/>
      <c r="E2521" s="38" t="s">
        <v>3076</v>
      </c>
      <c r="F2521" s="38" t="s">
        <v>3058</v>
      </c>
      <c r="G2521" s="38">
        <v>1.0333049788943E13</v>
      </c>
      <c r="H2521" s="38" t="s">
        <v>3059</v>
      </c>
      <c r="I2521" s="38" t="s">
        <v>3060</v>
      </c>
      <c r="J2521" s="38" t="s">
        <v>178</v>
      </c>
      <c r="K2521" s="38" t="s">
        <v>153</v>
      </c>
      <c r="L2521" s="41">
        <v>46010.291666666664</v>
      </c>
      <c r="M2521" s="38" t="s">
        <v>123</v>
      </c>
      <c r="N2521" s="41">
        <v>46010.666666666664</v>
      </c>
      <c r="O2521" s="38" t="s">
        <v>123</v>
      </c>
      <c r="P2521" s="38">
        <v>32400.0</v>
      </c>
      <c r="Q2521" s="38">
        <v>32400.0</v>
      </c>
      <c r="R2521" s="39"/>
      <c r="S2521" s="39"/>
      <c r="T2521" s="39"/>
      <c r="U2521" s="39"/>
    </row>
    <row r="2522">
      <c r="A2522" s="40">
        <f t="shared" si="1"/>
        <v>46006</v>
      </c>
      <c r="B2522" s="37" t="str">
        <f t="array" ref="B2522">iferror(xlookup($I2522, 'IMPORT VHC Report'!$E:$E, 'IMPORT VHC Report'!$A:$C), )</f>
        <v/>
      </c>
      <c r="C2522" s="37"/>
      <c r="D2522" s="37"/>
      <c r="E2522" s="38" t="s">
        <v>3077</v>
      </c>
      <c r="F2522" s="38" t="s">
        <v>3058</v>
      </c>
      <c r="G2522" s="38">
        <v>1.0333049788943E13</v>
      </c>
      <c r="H2522" s="38" t="s">
        <v>3059</v>
      </c>
      <c r="I2522" s="38" t="s">
        <v>3060</v>
      </c>
      <c r="J2522" s="38" t="s">
        <v>2268</v>
      </c>
      <c r="K2522" s="38" t="s">
        <v>63</v>
      </c>
      <c r="L2522" s="41">
        <v>46010.291666666664</v>
      </c>
      <c r="M2522" s="38" t="s">
        <v>123</v>
      </c>
      <c r="N2522" s="41">
        <v>46010.666666666664</v>
      </c>
      <c r="O2522" s="38" t="s">
        <v>123</v>
      </c>
      <c r="P2522" s="38">
        <v>32400.0</v>
      </c>
      <c r="Q2522" s="39"/>
      <c r="R2522" s="39"/>
      <c r="S2522" s="39"/>
      <c r="T2522" s="39"/>
      <c r="U2522" s="39"/>
    </row>
    <row r="2523">
      <c r="A2523" s="40">
        <f t="shared" si="1"/>
        <v>46006</v>
      </c>
      <c r="B2523" s="37" t="str">
        <f t="array" ref="B2523">iferror(xlookup($I2523, 'IMPORT VHC Report'!$E:$E, 'IMPORT VHC Report'!$A:$C), )</f>
        <v/>
      </c>
      <c r="C2523" s="37"/>
      <c r="D2523" s="37"/>
      <c r="E2523" s="38" t="s">
        <v>3078</v>
      </c>
      <c r="F2523" s="38" t="s">
        <v>3058</v>
      </c>
      <c r="G2523" s="38">
        <v>1.0333049788943E13</v>
      </c>
      <c r="H2523" s="38" t="s">
        <v>3059</v>
      </c>
      <c r="I2523" s="38" t="s">
        <v>3060</v>
      </c>
      <c r="J2523" s="38" t="s">
        <v>134</v>
      </c>
      <c r="K2523" s="38" t="s">
        <v>126</v>
      </c>
      <c r="L2523" s="41">
        <v>46010.416666666664</v>
      </c>
      <c r="M2523" s="38" t="s">
        <v>123</v>
      </c>
      <c r="N2523" s="41">
        <v>46010.4375</v>
      </c>
      <c r="O2523" s="38" t="s">
        <v>123</v>
      </c>
      <c r="P2523" s="38">
        <v>1800.0</v>
      </c>
      <c r="Q2523" s="39"/>
      <c r="R2523" s="39"/>
      <c r="S2523" s="39"/>
      <c r="T2523" s="39"/>
      <c r="U2523" s="39"/>
    </row>
    <row r="2524">
      <c r="A2524" s="40">
        <f t="shared" si="1"/>
        <v>46006</v>
      </c>
      <c r="B2524" s="37" t="str">
        <f t="array" ref="B2524">iferror(xlookup($I2524, 'IMPORT VHC Report'!$E:$E, 'IMPORT VHC Report'!$A:$C), )</f>
        <v/>
      </c>
      <c r="C2524" s="37"/>
      <c r="D2524" s="37"/>
      <c r="E2524" s="38" t="s">
        <v>3079</v>
      </c>
      <c r="F2524" s="38" t="s">
        <v>3058</v>
      </c>
      <c r="G2524" s="38">
        <v>1.0333049788943E13</v>
      </c>
      <c r="H2524" s="38" t="s">
        <v>3059</v>
      </c>
      <c r="I2524" s="38" t="s">
        <v>3060</v>
      </c>
      <c r="J2524" s="38" t="s">
        <v>132</v>
      </c>
      <c r="K2524" s="38" t="s">
        <v>126</v>
      </c>
      <c r="L2524" s="41">
        <v>46010.541666666664</v>
      </c>
      <c r="M2524" s="38" t="s">
        <v>123</v>
      </c>
      <c r="N2524" s="41">
        <v>46010.583333333336</v>
      </c>
      <c r="O2524" s="38" t="s">
        <v>123</v>
      </c>
      <c r="P2524" s="38">
        <v>3600.0</v>
      </c>
      <c r="Q2524" s="39"/>
      <c r="R2524" s="39"/>
      <c r="S2524" s="39"/>
      <c r="T2524" s="39"/>
      <c r="U2524" s="39"/>
    </row>
    <row r="2525">
      <c r="A2525" s="40">
        <f t="shared" si="1"/>
        <v>46006</v>
      </c>
      <c r="B2525" s="37" t="str">
        <f t="array" ref="B2525">iferror(xlookup($I2525, 'IMPORT VHC Report'!$E:$E, 'IMPORT VHC Report'!$A:$C), )</f>
        <v/>
      </c>
      <c r="C2525" s="37"/>
      <c r="D2525" s="37"/>
      <c r="E2525" s="38" t="s">
        <v>3080</v>
      </c>
      <c r="F2525" s="38" t="s">
        <v>3081</v>
      </c>
      <c r="G2525" s="38">
        <v>9.795666354191E12</v>
      </c>
      <c r="H2525" s="38" t="s">
        <v>3082</v>
      </c>
      <c r="I2525" s="38" t="s">
        <v>3083</v>
      </c>
      <c r="J2525" s="38" t="s">
        <v>3084</v>
      </c>
      <c r="K2525" s="38" t="s">
        <v>63</v>
      </c>
      <c r="L2525" s="41">
        <v>46006.291666666664</v>
      </c>
      <c r="M2525" s="38" t="s">
        <v>123</v>
      </c>
      <c r="N2525" s="41">
        <v>46006.645833333336</v>
      </c>
      <c r="O2525" s="38" t="s">
        <v>123</v>
      </c>
      <c r="P2525" s="38">
        <v>30600.0</v>
      </c>
      <c r="Q2525" s="39"/>
      <c r="R2525" s="39"/>
      <c r="S2525" s="39"/>
      <c r="T2525" s="39"/>
      <c r="U2525" s="39"/>
    </row>
    <row r="2526">
      <c r="A2526" s="40">
        <f t="shared" si="1"/>
        <v>46006</v>
      </c>
      <c r="B2526" s="37" t="str">
        <f t="array" ref="B2526">iferror(xlookup($I2526, 'IMPORT VHC Report'!$E:$E, 'IMPORT VHC Report'!$A:$C), )</f>
        <v/>
      </c>
      <c r="C2526" s="37"/>
      <c r="D2526" s="37"/>
      <c r="E2526" s="38" t="s">
        <v>3085</v>
      </c>
      <c r="F2526" s="38" t="s">
        <v>3081</v>
      </c>
      <c r="G2526" s="38">
        <v>9.795666354191E12</v>
      </c>
      <c r="H2526" s="38" t="s">
        <v>3082</v>
      </c>
      <c r="I2526" s="38" t="s">
        <v>3083</v>
      </c>
      <c r="J2526" s="38" t="s">
        <v>132</v>
      </c>
      <c r="K2526" s="38" t="s">
        <v>126</v>
      </c>
      <c r="L2526" s="41">
        <v>46006.4375</v>
      </c>
      <c r="M2526" s="38" t="s">
        <v>123</v>
      </c>
      <c r="N2526" s="41">
        <v>46006.479166666664</v>
      </c>
      <c r="O2526" s="38" t="s">
        <v>123</v>
      </c>
      <c r="P2526" s="38">
        <v>3600.0</v>
      </c>
      <c r="Q2526" s="39"/>
      <c r="R2526" s="39"/>
      <c r="S2526" s="39"/>
      <c r="T2526" s="39"/>
      <c r="U2526" s="39"/>
    </row>
    <row r="2527">
      <c r="A2527" s="40">
        <f t="shared" si="1"/>
        <v>46006</v>
      </c>
      <c r="B2527" s="37" t="str">
        <f t="array" ref="B2527">iferror(xlookup($I2527, 'IMPORT VHC Report'!$E:$E, 'IMPORT VHC Report'!$A:$C), )</f>
        <v/>
      </c>
      <c r="C2527" s="37"/>
      <c r="D2527" s="37"/>
      <c r="E2527" s="38" t="s">
        <v>3086</v>
      </c>
      <c r="F2527" s="38" t="s">
        <v>3081</v>
      </c>
      <c r="G2527" s="38">
        <v>9.795666354191E12</v>
      </c>
      <c r="H2527" s="38" t="s">
        <v>3082</v>
      </c>
      <c r="I2527" s="38" t="s">
        <v>3083</v>
      </c>
      <c r="J2527" s="38" t="s">
        <v>3084</v>
      </c>
      <c r="K2527" s="38" t="s">
        <v>63</v>
      </c>
      <c r="L2527" s="41">
        <v>46007.291666666664</v>
      </c>
      <c r="M2527" s="38" t="s">
        <v>123</v>
      </c>
      <c r="N2527" s="41">
        <v>46007.645833333336</v>
      </c>
      <c r="O2527" s="38" t="s">
        <v>123</v>
      </c>
      <c r="P2527" s="38">
        <v>30600.0</v>
      </c>
      <c r="Q2527" s="39"/>
      <c r="R2527" s="39"/>
      <c r="S2527" s="39"/>
      <c r="T2527" s="39"/>
      <c r="U2527" s="39"/>
    </row>
    <row r="2528">
      <c r="A2528" s="40">
        <f t="shared" si="1"/>
        <v>46006</v>
      </c>
      <c r="B2528" s="37" t="str">
        <f t="array" ref="B2528">iferror(xlookup($I2528, 'IMPORT VHC Report'!$E:$E, 'IMPORT VHC Report'!$A:$C), )</f>
        <v/>
      </c>
      <c r="C2528" s="37"/>
      <c r="D2528" s="37"/>
      <c r="E2528" s="38" t="s">
        <v>3087</v>
      </c>
      <c r="F2528" s="38" t="s">
        <v>3081</v>
      </c>
      <c r="G2528" s="38">
        <v>9.795666354191E12</v>
      </c>
      <c r="H2528" s="38" t="s">
        <v>3082</v>
      </c>
      <c r="I2528" s="38" t="s">
        <v>3083</v>
      </c>
      <c r="J2528" s="38" t="s">
        <v>132</v>
      </c>
      <c r="K2528" s="38" t="s">
        <v>126</v>
      </c>
      <c r="L2528" s="41">
        <v>46007.4375</v>
      </c>
      <c r="M2528" s="38" t="s">
        <v>123</v>
      </c>
      <c r="N2528" s="41">
        <v>46007.479166666664</v>
      </c>
      <c r="O2528" s="38" t="s">
        <v>123</v>
      </c>
      <c r="P2528" s="38">
        <v>3600.0</v>
      </c>
      <c r="Q2528" s="39"/>
      <c r="R2528" s="39"/>
      <c r="S2528" s="39"/>
      <c r="T2528" s="39"/>
      <c r="U2528" s="39"/>
    </row>
    <row r="2529">
      <c r="A2529" s="40">
        <f t="shared" si="1"/>
        <v>46006</v>
      </c>
      <c r="B2529" s="37" t="str">
        <f t="array" ref="B2529">iferror(xlookup($I2529, 'IMPORT VHC Report'!$E:$E, 'IMPORT VHC Report'!$A:$C), )</f>
        <v/>
      </c>
      <c r="C2529" s="37"/>
      <c r="D2529" s="37"/>
      <c r="E2529" s="38" t="s">
        <v>3088</v>
      </c>
      <c r="F2529" s="38" t="s">
        <v>3081</v>
      </c>
      <c r="G2529" s="38">
        <v>9.795666354191E12</v>
      </c>
      <c r="H2529" s="38" t="s">
        <v>3082</v>
      </c>
      <c r="I2529" s="38" t="s">
        <v>3083</v>
      </c>
      <c r="J2529" s="38" t="s">
        <v>3084</v>
      </c>
      <c r="K2529" s="38" t="s">
        <v>63</v>
      </c>
      <c r="L2529" s="41">
        <v>46008.291666666664</v>
      </c>
      <c r="M2529" s="38" t="s">
        <v>123</v>
      </c>
      <c r="N2529" s="41">
        <v>46008.645833333336</v>
      </c>
      <c r="O2529" s="38" t="s">
        <v>123</v>
      </c>
      <c r="P2529" s="38">
        <v>30600.0</v>
      </c>
      <c r="Q2529" s="39"/>
      <c r="R2529" s="39"/>
      <c r="S2529" s="39"/>
      <c r="T2529" s="39"/>
      <c r="U2529" s="39"/>
    </row>
    <row r="2530">
      <c r="A2530" s="40">
        <f t="shared" si="1"/>
        <v>46006</v>
      </c>
      <c r="B2530" s="37" t="str">
        <f t="array" ref="B2530">iferror(xlookup($I2530, 'IMPORT VHC Report'!$E:$E, 'IMPORT VHC Report'!$A:$C), )</f>
        <v/>
      </c>
      <c r="C2530" s="37"/>
      <c r="D2530" s="37"/>
      <c r="E2530" s="38" t="s">
        <v>3089</v>
      </c>
      <c r="F2530" s="38" t="s">
        <v>3081</v>
      </c>
      <c r="G2530" s="38">
        <v>9.795666354191E12</v>
      </c>
      <c r="H2530" s="38" t="s">
        <v>3082</v>
      </c>
      <c r="I2530" s="38" t="s">
        <v>3083</v>
      </c>
      <c r="J2530" s="38" t="s">
        <v>4</v>
      </c>
      <c r="K2530" s="38" t="s">
        <v>126</v>
      </c>
      <c r="L2530" s="41">
        <v>46008.333333333336</v>
      </c>
      <c r="M2530" s="38" t="s">
        <v>123</v>
      </c>
      <c r="N2530" s="41">
        <v>46008.375</v>
      </c>
      <c r="O2530" s="38" t="s">
        <v>123</v>
      </c>
      <c r="P2530" s="38">
        <v>3600.0</v>
      </c>
      <c r="Q2530" s="39"/>
      <c r="R2530" s="39"/>
      <c r="S2530" s="38" t="s">
        <v>3090</v>
      </c>
      <c r="T2530" s="39"/>
      <c r="U2530" s="39"/>
    </row>
    <row r="2531">
      <c r="A2531" s="40">
        <f t="shared" si="1"/>
        <v>46006</v>
      </c>
      <c r="B2531" s="37" t="str">
        <f t="array" ref="B2531">iferror(xlookup($I2531, 'IMPORT VHC Report'!$E:$E, 'IMPORT VHC Report'!$A:$C), )</f>
        <v/>
      </c>
      <c r="C2531" s="37"/>
      <c r="D2531" s="37"/>
      <c r="E2531" s="38" t="s">
        <v>3091</v>
      </c>
      <c r="F2531" s="38" t="s">
        <v>3081</v>
      </c>
      <c r="G2531" s="38">
        <v>9.795666354191E12</v>
      </c>
      <c r="H2531" s="38" t="s">
        <v>3082</v>
      </c>
      <c r="I2531" s="38" t="s">
        <v>3083</v>
      </c>
      <c r="J2531" s="38" t="s">
        <v>132</v>
      </c>
      <c r="K2531" s="38" t="s">
        <v>126</v>
      </c>
      <c r="L2531" s="41">
        <v>46008.4375</v>
      </c>
      <c r="M2531" s="38" t="s">
        <v>123</v>
      </c>
      <c r="N2531" s="41">
        <v>46008.479166666664</v>
      </c>
      <c r="O2531" s="38" t="s">
        <v>123</v>
      </c>
      <c r="P2531" s="38">
        <v>3600.0</v>
      </c>
      <c r="Q2531" s="39"/>
      <c r="R2531" s="39"/>
      <c r="S2531" s="39"/>
      <c r="T2531" s="39"/>
      <c r="U2531" s="39"/>
    </row>
    <row r="2532">
      <c r="A2532" s="40">
        <f t="shared" si="1"/>
        <v>46006</v>
      </c>
      <c r="B2532" s="37" t="str">
        <f t="array" ref="B2532">iferror(xlookup($I2532, 'IMPORT VHC Report'!$E:$E, 'IMPORT VHC Report'!$A:$C), )</f>
        <v/>
      </c>
      <c r="C2532" s="37"/>
      <c r="D2532" s="37"/>
      <c r="E2532" s="38" t="s">
        <v>3092</v>
      </c>
      <c r="F2532" s="38" t="s">
        <v>3081</v>
      </c>
      <c r="G2532" s="38">
        <v>9.795666354191E12</v>
      </c>
      <c r="H2532" s="38" t="s">
        <v>3082</v>
      </c>
      <c r="I2532" s="38" t="s">
        <v>3083</v>
      </c>
      <c r="J2532" s="38" t="s">
        <v>3084</v>
      </c>
      <c r="K2532" s="38" t="s">
        <v>63</v>
      </c>
      <c r="L2532" s="41">
        <v>46009.291666666664</v>
      </c>
      <c r="M2532" s="38" t="s">
        <v>123</v>
      </c>
      <c r="N2532" s="41">
        <v>46009.645833333336</v>
      </c>
      <c r="O2532" s="38" t="s">
        <v>123</v>
      </c>
      <c r="P2532" s="38">
        <v>30600.0</v>
      </c>
      <c r="Q2532" s="39"/>
      <c r="R2532" s="39"/>
      <c r="S2532" s="39"/>
      <c r="T2532" s="39"/>
      <c r="U2532" s="39"/>
    </row>
    <row r="2533">
      <c r="A2533" s="40">
        <f t="shared" si="1"/>
        <v>46006</v>
      </c>
      <c r="B2533" s="37" t="str">
        <f t="array" ref="B2533">iferror(xlookup($I2533, 'IMPORT VHC Report'!$E:$E, 'IMPORT VHC Report'!$A:$C), )</f>
        <v/>
      </c>
      <c r="C2533" s="37"/>
      <c r="D2533" s="37"/>
      <c r="E2533" s="38" t="s">
        <v>3093</v>
      </c>
      <c r="F2533" s="38" t="s">
        <v>3081</v>
      </c>
      <c r="G2533" s="38">
        <v>9.795666354191E12</v>
      </c>
      <c r="H2533" s="38" t="s">
        <v>3082</v>
      </c>
      <c r="I2533" s="38" t="s">
        <v>3083</v>
      </c>
      <c r="J2533" s="38" t="s">
        <v>132</v>
      </c>
      <c r="K2533" s="38" t="s">
        <v>126</v>
      </c>
      <c r="L2533" s="41">
        <v>46009.4375</v>
      </c>
      <c r="M2533" s="38" t="s">
        <v>123</v>
      </c>
      <c r="N2533" s="41">
        <v>46009.479166666664</v>
      </c>
      <c r="O2533" s="38" t="s">
        <v>123</v>
      </c>
      <c r="P2533" s="38">
        <v>3600.0</v>
      </c>
      <c r="Q2533" s="39"/>
      <c r="R2533" s="39"/>
      <c r="S2533" s="39"/>
      <c r="T2533" s="39"/>
      <c r="U2533" s="39"/>
    </row>
    <row r="2534">
      <c r="A2534" s="40">
        <f t="shared" si="1"/>
        <v>46006</v>
      </c>
      <c r="B2534" s="37" t="str">
        <f t="array" ref="B2534">iferror(xlookup($I2534, 'IMPORT VHC Report'!$E:$E, 'IMPORT VHC Report'!$A:$C), )</f>
        <v/>
      </c>
      <c r="C2534" s="37"/>
      <c r="D2534" s="37"/>
      <c r="E2534" s="38" t="s">
        <v>3094</v>
      </c>
      <c r="F2534" s="38" t="s">
        <v>3081</v>
      </c>
      <c r="G2534" s="38">
        <v>9.795666354191E12</v>
      </c>
      <c r="H2534" s="38" t="s">
        <v>3082</v>
      </c>
      <c r="I2534" s="38" t="s">
        <v>3083</v>
      </c>
      <c r="J2534" s="38" t="s">
        <v>3084</v>
      </c>
      <c r="K2534" s="38" t="s">
        <v>63</v>
      </c>
      <c r="L2534" s="41">
        <v>46010.291666666664</v>
      </c>
      <c r="M2534" s="38" t="s">
        <v>123</v>
      </c>
      <c r="N2534" s="41">
        <v>46010.645833333336</v>
      </c>
      <c r="O2534" s="38" t="s">
        <v>123</v>
      </c>
      <c r="P2534" s="38">
        <v>30600.0</v>
      </c>
      <c r="Q2534" s="39"/>
      <c r="R2534" s="39"/>
      <c r="S2534" s="39"/>
      <c r="T2534" s="39"/>
      <c r="U2534" s="39"/>
    </row>
    <row r="2535">
      <c r="A2535" s="40">
        <f t="shared" si="1"/>
        <v>46006</v>
      </c>
      <c r="B2535" s="37" t="str">
        <f t="array" ref="B2535">iferror(xlookup($I2535, 'IMPORT VHC Report'!$E:$E, 'IMPORT VHC Report'!$A:$C), )</f>
        <v/>
      </c>
      <c r="C2535" s="37"/>
      <c r="D2535" s="37"/>
      <c r="E2535" s="38" t="s">
        <v>3095</v>
      </c>
      <c r="F2535" s="38" t="s">
        <v>3081</v>
      </c>
      <c r="G2535" s="38">
        <v>9.795666354191E12</v>
      </c>
      <c r="H2535" s="38" t="s">
        <v>3082</v>
      </c>
      <c r="I2535" s="38" t="s">
        <v>3083</v>
      </c>
      <c r="J2535" s="38" t="s">
        <v>132</v>
      </c>
      <c r="K2535" s="38" t="s">
        <v>126</v>
      </c>
      <c r="L2535" s="41">
        <v>46010.4375</v>
      </c>
      <c r="M2535" s="38" t="s">
        <v>123</v>
      </c>
      <c r="N2535" s="41">
        <v>46010.479166666664</v>
      </c>
      <c r="O2535" s="38" t="s">
        <v>123</v>
      </c>
      <c r="P2535" s="38">
        <v>3600.0</v>
      </c>
      <c r="Q2535" s="39"/>
      <c r="R2535" s="39"/>
      <c r="S2535" s="39"/>
      <c r="T2535" s="39"/>
      <c r="U2535" s="39"/>
    </row>
    <row r="2536">
      <c r="A2536" s="40">
        <f t="shared" si="1"/>
        <v>46006</v>
      </c>
      <c r="B2536" s="37" t="str">
        <f t="array" ref="B2536">iferror(xlookup($I2536, 'IMPORT VHC Report'!$E:$E, 'IMPORT VHC Report'!$A:$C), )</f>
        <v/>
      </c>
      <c r="C2536" s="37"/>
      <c r="D2536" s="37"/>
      <c r="E2536" s="38" t="s">
        <v>3096</v>
      </c>
      <c r="F2536" s="38" t="s">
        <v>3097</v>
      </c>
      <c r="G2536" s="39"/>
      <c r="H2536" s="38" t="s">
        <v>3098</v>
      </c>
      <c r="I2536" s="38" t="s">
        <v>3099</v>
      </c>
      <c r="J2536" s="38" t="s">
        <v>125</v>
      </c>
      <c r="K2536" s="38" t="s">
        <v>126</v>
      </c>
      <c r="L2536" s="41">
        <v>46006.291666666664</v>
      </c>
      <c r="M2536" s="38" t="s">
        <v>123</v>
      </c>
      <c r="N2536" s="41">
        <v>46006.29861111111</v>
      </c>
      <c r="O2536" s="38" t="s">
        <v>123</v>
      </c>
      <c r="P2536" s="38">
        <v>600.0</v>
      </c>
      <c r="Q2536" s="39"/>
      <c r="R2536" s="39"/>
      <c r="S2536" s="38" t="s">
        <v>127</v>
      </c>
      <c r="T2536" s="39"/>
      <c r="U2536" s="39"/>
    </row>
    <row r="2537">
      <c r="A2537" s="40">
        <f t="shared" si="1"/>
        <v>46006</v>
      </c>
      <c r="B2537" s="37" t="str">
        <f t="array" ref="B2537">iferror(xlookup($I2537, 'IMPORT VHC Report'!$E:$E, 'IMPORT VHC Report'!$A:$C), )</f>
        <v/>
      </c>
      <c r="C2537" s="37"/>
      <c r="D2537" s="37"/>
      <c r="E2537" s="38" t="s">
        <v>3100</v>
      </c>
      <c r="F2537" s="38" t="s">
        <v>3097</v>
      </c>
      <c r="G2537" s="39"/>
      <c r="H2537" s="38" t="s">
        <v>3098</v>
      </c>
      <c r="I2537" s="38" t="s">
        <v>3099</v>
      </c>
      <c r="J2537" s="38" t="s">
        <v>122</v>
      </c>
      <c r="K2537" s="38" t="s">
        <v>63</v>
      </c>
      <c r="L2537" s="41">
        <v>46006.291666666664</v>
      </c>
      <c r="M2537" s="38" t="s">
        <v>123</v>
      </c>
      <c r="N2537" s="41">
        <v>46006.666666666664</v>
      </c>
      <c r="O2537" s="38" t="s">
        <v>123</v>
      </c>
      <c r="P2537" s="38">
        <v>32400.0</v>
      </c>
      <c r="Q2537" s="39"/>
      <c r="R2537" s="39"/>
      <c r="S2537" s="39"/>
      <c r="T2537" s="39"/>
      <c r="U2537" s="39"/>
    </row>
    <row r="2538">
      <c r="A2538" s="40">
        <f t="shared" si="1"/>
        <v>46006</v>
      </c>
      <c r="B2538" s="37" t="str">
        <f t="array" ref="B2538">iferror(xlookup($I2538, 'IMPORT VHC Report'!$E:$E, 'IMPORT VHC Report'!$A:$C), )</f>
        <v/>
      </c>
      <c r="C2538" s="37"/>
      <c r="D2538" s="37"/>
      <c r="E2538" s="38" t="s">
        <v>3101</v>
      </c>
      <c r="F2538" s="38" t="s">
        <v>3097</v>
      </c>
      <c r="G2538" s="39"/>
      <c r="H2538" s="38" t="s">
        <v>3098</v>
      </c>
      <c r="I2538" s="38" t="s">
        <v>3099</v>
      </c>
      <c r="J2538" s="38" t="s">
        <v>134</v>
      </c>
      <c r="K2538" s="38" t="s">
        <v>126</v>
      </c>
      <c r="L2538" s="41">
        <v>46006.375</v>
      </c>
      <c r="M2538" s="38" t="s">
        <v>123</v>
      </c>
      <c r="N2538" s="41">
        <v>46006.395833333336</v>
      </c>
      <c r="O2538" s="38" t="s">
        <v>123</v>
      </c>
      <c r="P2538" s="38">
        <v>1800.0</v>
      </c>
      <c r="Q2538" s="39"/>
      <c r="R2538" s="39"/>
      <c r="S2538" s="39"/>
      <c r="T2538" s="39"/>
      <c r="U2538" s="39"/>
    </row>
    <row r="2539">
      <c r="A2539" s="40">
        <f t="shared" si="1"/>
        <v>46006</v>
      </c>
      <c r="B2539" s="37" t="str">
        <f t="array" ref="B2539">iferror(xlookup($I2539, 'IMPORT VHC Report'!$E:$E, 'IMPORT VHC Report'!$A:$C), )</f>
        <v/>
      </c>
      <c r="C2539" s="37"/>
      <c r="D2539" s="37"/>
      <c r="E2539" s="38" t="s">
        <v>3102</v>
      </c>
      <c r="F2539" s="38" t="s">
        <v>3097</v>
      </c>
      <c r="G2539" s="39"/>
      <c r="H2539" s="38" t="s">
        <v>3098</v>
      </c>
      <c r="I2539" s="38" t="s">
        <v>3099</v>
      </c>
      <c r="J2539" s="38" t="s">
        <v>132</v>
      </c>
      <c r="K2539" s="38" t="s">
        <v>126</v>
      </c>
      <c r="L2539" s="41">
        <v>46006.5</v>
      </c>
      <c r="M2539" s="38" t="s">
        <v>123</v>
      </c>
      <c r="N2539" s="41">
        <v>46006.541666666664</v>
      </c>
      <c r="O2539" s="38" t="s">
        <v>123</v>
      </c>
      <c r="P2539" s="38">
        <v>3600.0</v>
      </c>
      <c r="Q2539" s="39"/>
      <c r="R2539" s="39"/>
      <c r="S2539" s="39"/>
      <c r="T2539" s="39"/>
      <c r="U2539" s="39"/>
    </row>
    <row r="2540">
      <c r="A2540" s="40">
        <f t="shared" si="1"/>
        <v>46006</v>
      </c>
      <c r="B2540" s="37" t="str">
        <f t="array" ref="B2540">iferror(xlookup($I2540, 'IMPORT VHC Report'!$E:$E, 'IMPORT VHC Report'!$A:$C), )</f>
        <v/>
      </c>
      <c r="C2540" s="37"/>
      <c r="D2540" s="37"/>
      <c r="E2540" s="38" t="s">
        <v>3103</v>
      </c>
      <c r="F2540" s="38" t="s">
        <v>3097</v>
      </c>
      <c r="G2540" s="39"/>
      <c r="H2540" s="38" t="s">
        <v>3098</v>
      </c>
      <c r="I2540" s="38" t="s">
        <v>3099</v>
      </c>
      <c r="J2540" s="38" t="s">
        <v>125</v>
      </c>
      <c r="K2540" s="38" t="s">
        <v>126</v>
      </c>
      <c r="L2540" s="41">
        <v>46007.291666666664</v>
      </c>
      <c r="M2540" s="38" t="s">
        <v>123</v>
      </c>
      <c r="N2540" s="41">
        <v>46007.29861111111</v>
      </c>
      <c r="O2540" s="38" t="s">
        <v>123</v>
      </c>
      <c r="P2540" s="38">
        <v>600.0</v>
      </c>
      <c r="Q2540" s="39"/>
      <c r="R2540" s="39"/>
      <c r="S2540" s="38" t="s">
        <v>127</v>
      </c>
      <c r="T2540" s="39"/>
      <c r="U2540" s="39"/>
    </row>
    <row r="2541">
      <c r="A2541" s="40">
        <f t="shared" si="1"/>
        <v>46006</v>
      </c>
      <c r="B2541" s="37" t="str">
        <f t="array" ref="B2541">iferror(xlookup($I2541, 'IMPORT VHC Report'!$E:$E, 'IMPORT VHC Report'!$A:$C), )</f>
        <v/>
      </c>
      <c r="C2541" s="37"/>
      <c r="D2541" s="37"/>
      <c r="E2541" s="38" t="s">
        <v>3104</v>
      </c>
      <c r="F2541" s="38" t="s">
        <v>3097</v>
      </c>
      <c r="G2541" s="39"/>
      <c r="H2541" s="38" t="s">
        <v>3098</v>
      </c>
      <c r="I2541" s="38" t="s">
        <v>3099</v>
      </c>
      <c r="J2541" s="38" t="s">
        <v>122</v>
      </c>
      <c r="K2541" s="38" t="s">
        <v>63</v>
      </c>
      <c r="L2541" s="41">
        <v>46007.291666666664</v>
      </c>
      <c r="M2541" s="38" t="s">
        <v>123</v>
      </c>
      <c r="N2541" s="41">
        <v>46007.666666666664</v>
      </c>
      <c r="O2541" s="38" t="s">
        <v>123</v>
      </c>
      <c r="P2541" s="38">
        <v>32400.0</v>
      </c>
      <c r="Q2541" s="39"/>
      <c r="R2541" s="39"/>
      <c r="S2541" s="39"/>
      <c r="T2541" s="39"/>
      <c r="U2541" s="39"/>
    </row>
    <row r="2542">
      <c r="A2542" s="40">
        <f t="shared" si="1"/>
        <v>46006</v>
      </c>
      <c r="B2542" s="37" t="str">
        <f t="array" ref="B2542">iferror(xlookup($I2542, 'IMPORT VHC Report'!$E:$E, 'IMPORT VHC Report'!$A:$C), )</f>
        <v/>
      </c>
      <c r="C2542" s="37"/>
      <c r="D2542" s="37"/>
      <c r="E2542" s="38" t="s">
        <v>3105</v>
      </c>
      <c r="F2542" s="38" t="s">
        <v>3097</v>
      </c>
      <c r="G2542" s="39"/>
      <c r="H2542" s="38" t="s">
        <v>3098</v>
      </c>
      <c r="I2542" s="38" t="s">
        <v>3099</v>
      </c>
      <c r="J2542" s="38" t="s">
        <v>132</v>
      </c>
      <c r="K2542" s="38" t="s">
        <v>126</v>
      </c>
      <c r="L2542" s="41">
        <v>46007.364583333336</v>
      </c>
      <c r="M2542" s="38" t="s">
        <v>123</v>
      </c>
      <c r="N2542" s="41">
        <v>46007.40625</v>
      </c>
      <c r="O2542" s="38" t="s">
        <v>123</v>
      </c>
      <c r="P2542" s="38">
        <v>3600.0</v>
      </c>
      <c r="Q2542" s="39"/>
      <c r="R2542" s="39"/>
      <c r="S2542" s="39"/>
      <c r="T2542" s="39"/>
      <c r="U2542" s="39"/>
    </row>
    <row r="2543">
      <c r="A2543" s="40">
        <f t="shared" si="1"/>
        <v>46006</v>
      </c>
      <c r="B2543" s="37" t="str">
        <f t="array" ref="B2543">iferror(xlookup($I2543, 'IMPORT VHC Report'!$E:$E, 'IMPORT VHC Report'!$A:$C), )</f>
        <v/>
      </c>
      <c r="C2543" s="37"/>
      <c r="D2543" s="37"/>
      <c r="E2543" s="38" t="s">
        <v>3106</v>
      </c>
      <c r="F2543" s="38" t="s">
        <v>3097</v>
      </c>
      <c r="G2543" s="39"/>
      <c r="H2543" s="38" t="s">
        <v>3098</v>
      </c>
      <c r="I2543" s="38" t="s">
        <v>3099</v>
      </c>
      <c r="J2543" s="38" t="s">
        <v>134</v>
      </c>
      <c r="K2543" s="38" t="s">
        <v>126</v>
      </c>
      <c r="L2543" s="41">
        <v>46007.489583333336</v>
      </c>
      <c r="M2543" s="38" t="s">
        <v>123</v>
      </c>
      <c r="N2543" s="41">
        <v>46007.510416666664</v>
      </c>
      <c r="O2543" s="38" t="s">
        <v>123</v>
      </c>
      <c r="P2543" s="38">
        <v>1800.0</v>
      </c>
      <c r="Q2543" s="39"/>
      <c r="R2543" s="39"/>
      <c r="S2543" s="39"/>
      <c r="T2543" s="39"/>
      <c r="U2543" s="39"/>
    </row>
    <row r="2544">
      <c r="A2544" s="40">
        <f t="shared" si="1"/>
        <v>46006</v>
      </c>
      <c r="B2544" s="37" t="str">
        <f t="array" ref="B2544">iferror(xlookup($I2544, 'IMPORT VHC Report'!$E:$E, 'IMPORT VHC Report'!$A:$C), )</f>
        <v/>
      </c>
      <c r="C2544" s="37"/>
      <c r="D2544" s="37"/>
      <c r="E2544" s="38" t="s">
        <v>3107</v>
      </c>
      <c r="F2544" s="38" t="s">
        <v>3097</v>
      </c>
      <c r="G2544" s="39"/>
      <c r="H2544" s="38" t="s">
        <v>3098</v>
      </c>
      <c r="I2544" s="38" t="s">
        <v>3099</v>
      </c>
      <c r="J2544" s="38" t="s">
        <v>125</v>
      </c>
      <c r="K2544" s="38" t="s">
        <v>126</v>
      </c>
      <c r="L2544" s="41">
        <v>46008.291666666664</v>
      </c>
      <c r="M2544" s="38" t="s">
        <v>123</v>
      </c>
      <c r="N2544" s="41">
        <v>46008.29861111111</v>
      </c>
      <c r="O2544" s="38" t="s">
        <v>123</v>
      </c>
      <c r="P2544" s="38">
        <v>600.0</v>
      </c>
      <c r="Q2544" s="39"/>
      <c r="R2544" s="39"/>
      <c r="S2544" s="38" t="s">
        <v>127</v>
      </c>
      <c r="T2544" s="39"/>
      <c r="U2544" s="39"/>
    </row>
    <row r="2545">
      <c r="A2545" s="40">
        <f t="shared" si="1"/>
        <v>46006</v>
      </c>
      <c r="B2545" s="37" t="str">
        <f t="array" ref="B2545">iferror(xlookup($I2545, 'IMPORT VHC Report'!$E:$E, 'IMPORT VHC Report'!$A:$C), )</f>
        <v/>
      </c>
      <c r="C2545" s="37"/>
      <c r="D2545" s="37"/>
      <c r="E2545" s="38" t="s">
        <v>3108</v>
      </c>
      <c r="F2545" s="38" t="s">
        <v>3097</v>
      </c>
      <c r="G2545" s="39"/>
      <c r="H2545" s="38" t="s">
        <v>3098</v>
      </c>
      <c r="I2545" s="38" t="s">
        <v>3099</v>
      </c>
      <c r="J2545" s="38" t="s">
        <v>122</v>
      </c>
      <c r="K2545" s="38" t="s">
        <v>63</v>
      </c>
      <c r="L2545" s="41">
        <v>46008.291666666664</v>
      </c>
      <c r="M2545" s="38" t="s">
        <v>123</v>
      </c>
      <c r="N2545" s="41">
        <v>46008.666666666664</v>
      </c>
      <c r="O2545" s="38" t="s">
        <v>123</v>
      </c>
      <c r="P2545" s="38">
        <v>32400.0</v>
      </c>
      <c r="Q2545" s="39"/>
      <c r="R2545" s="39"/>
      <c r="S2545" s="39"/>
      <c r="T2545" s="39"/>
      <c r="U2545" s="39"/>
    </row>
    <row r="2546">
      <c r="A2546" s="40">
        <f t="shared" si="1"/>
        <v>46006</v>
      </c>
      <c r="B2546" s="37" t="str">
        <f t="array" ref="B2546">iferror(xlookup($I2546, 'IMPORT VHC Report'!$E:$E, 'IMPORT VHC Report'!$A:$C), )</f>
        <v/>
      </c>
      <c r="C2546" s="37"/>
      <c r="D2546" s="37"/>
      <c r="E2546" s="38" t="s">
        <v>3109</v>
      </c>
      <c r="F2546" s="38" t="s">
        <v>3097</v>
      </c>
      <c r="G2546" s="39"/>
      <c r="H2546" s="38" t="s">
        <v>3098</v>
      </c>
      <c r="I2546" s="38" t="s">
        <v>3099</v>
      </c>
      <c r="J2546" s="38" t="s">
        <v>134</v>
      </c>
      <c r="K2546" s="38" t="s">
        <v>126</v>
      </c>
      <c r="L2546" s="41">
        <v>46008.395833333336</v>
      </c>
      <c r="M2546" s="38" t="s">
        <v>123</v>
      </c>
      <c r="N2546" s="41">
        <v>46008.416666666664</v>
      </c>
      <c r="O2546" s="38" t="s">
        <v>123</v>
      </c>
      <c r="P2546" s="38">
        <v>1800.0</v>
      </c>
      <c r="Q2546" s="39"/>
      <c r="R2546" s="39"/>
      <c r="S2546" s="39"/>
      <c r="T2546" s="39"/>
      <c r="U2546" s="39"/>
    </row>
    <row r="2547">
      <c r="A2547" s="40">
        <f t="shared" si="1"/>
        <v>46006</v>
      </c>
      <c r="B2547" s="37" t="str">
        <f t="array" ref="B2547">iferror(xlookup($I2547, 'IMPORT VHC Report'!$E:$E, 'IMPORT VHC Report'!$A:$C), )</f>
        <v/>
      </c>
      <c r="C2547" s="37"/>
      <c r="D2547" s="37"/>
      <c r="E2547" s="38" t="s">
        <v>3110</v>
      </c>
      <c r="F2547" s="38" t="s">
        <v>3097</v>
      </c>
      <c r="G2547" s="39"/>
      <c r="H2547" s="38" t="s">
        <v>3098</v>
      </c>
      <c r="I2547" s="38" t="s">
        <v>3099</v>
      </c>
      <c r="J2547" s="38" t="s">
        <v>136</v>
      </c>
      <c r="K2547" s="38" t="s">
        <v>126</v>
      </c>
      <c r="L2547" s="41">
        <v>46008.416666666664</v>
      </c>
      <c r="M2547" s="38" t="s">
        <v>123</v>
      </c>
      <c r="N2547" s="41">
        <v>46008.447916666664</v>
      </c>
      <c r="O2547" s="38" t="s">
        <v>123</v>
      </c>
      <c r="P2547" s="38">
        <v>2700.0</v>
      </c>
      <c r="Q2547" s="39"/>
      <c r="R2547" s="39"/>
      <c r="S2547" s="38" t="s">
        <v>137</v>
      </c>
      <c r="T2547" s="39"/>
      <c r="U2547" s="39"/>
    </row>
    <row r="2548">
      <c r="A2548" s="40">
        <f t="shared" si="1"/>
        <v>46006</v>
      </c>
      <c r="B2548" s="37" t="str">
        <f t="array" ref="B2548">iferror(xlookup($I2548, 'IMPORT VHC Report'!$E:$E, 'IMPORT VHC Report'!$A:$C), )</f>
        <v/>
      </c>
      <c r="C2548" s="37"/>
      <c r="D2548" s="37"/>
      <c r="E2548" s="38" t="s">
        <v>3111</v>
      </c>
      <c r="F2548" s="38" t="s">
        <v>3097</v>
      </c>
      <c r="G2548" s="39"/>
      <c r="H2548" s="38" t="s">
        <v>3098</v>
      </c>
      <c r="I2548" s="38" t="s">
        <v>3099</v>
      </c>
      <c r="J2548" s="38" t="s">
        <v>152</v>
      </c>
      <c r="K2548" s="38" t="s">
        <v>153</v>
      </c>
      <c r="L2548" s="41">
        <v>46008.5</v>
      </c>
      <c r="M2548" s="38" t="s">
        <v>123</v>
      </c>
      <c r="N2548" s="41">
        <v>46008.666666666664</v>
      </c>
      <c r="O2548" s="38" t="s">
        <v>123</v>
      </c>
      <c r="P2548" s="38">
        <v>14400.0</v>
      </c>
      <c r="Q2548" s="38">
        <v>14400.0</v>
      </c>
      <c r="R2548" s="39"/>
      <c r="S2548" s="39"/>
      <c r="T2548" s="39"/>
      <c r="U2548" s="39"/>
    </row>
    <row r="2549">
      <c r="A2549" s="40">
        <f t="shared" si="1"/>
        <v>46006</v>
      </c>
      <c r="B2549" s="37" t="str">
        <f t="array" ref="B2549">iferror(xlookup($I2549, 'IMPORT VHC Report'!$E:$E, 'IMPORT VHC Report'!$A:$C), )</f>
        <v/>
      </c>
      <c r="C2549" s="37"/>
      <c r="D2549" s="37"/>
      <c r="E2549" s="38" t="s">
        <v>3112</v>
      </c>
      <c r="F2549" s="38" t="s">
        <v>3097</v>
      </c>
      <c r="G2549" s="39"/>
      <c r="H2549" s="38" t="s">
        <v>3098</v>
      </c>
      <c r="I2549" s="38" t="s">
        <v>3099</v>
      </c>
      <c r="J2549" s="38" t="s">
        <v>132</v>
      </c>
      <c r="K2549" s="38" t="s">
        <v>126</v>
      </c>
      <c r="L2549" s="41">
        <v>46008.53125</v>
      </c>
      <c r="M2549" s="38" t="s">
        <v>123</v>
      </c>
      <c r="N2549" s="41">
        <v>46008.572916666664</v>
      </c>
      <c r="O2549" s="38" t="s">
        <v>123</v>
      </c>
      <c r="P2549" s="38">
        <v>3600.0</v>
      </c>
      <c r="Q2549" s="39"/>
      <c r="R2549" s="39"/>
      <c r="S2549" s="39"/>
      <c r="T2549" s="39"/>
      <c r="U2549" s="39"/>
    </row>
    <row r="2550">
      <c r="A2550" s="40">
        <f t="shared" si="1"/>
        <v>46006</v>
      </c>
      <c r="B2550" s="37" t="str">
        <f t="array" ref="B2550">iferror(xlookup($I2550, 'IMPORT VHC Report'!$E:$E, 'IMPORT VHC Report'!$A:$C), )</f>
        <v/>
      </c>
      <c r="C2550" s="37"/>
      <c r="D2550" s="37"/>
      <c r="E2550" s="38" t="s">
        <v>3113</v>
      </c>
      <c r="F2550" s="38" t="s">
        <v>3097</v>
      </c>
      <c r="G2550" s="39"/>
      <c r="H2550" s="38" t="s">
        <v>3098</v>
      </c>
      <c r="I2550" s="38" t="s">
        <v>3099</v>
      </c>
      <c r="J2550" s="38" t="s">
        <v>125</v>
      </c>
      <c r="K2550" s="38" t="s">
        <v>126</v>
      </c>
      <c r="L2550" s="41">
        <v>46009.291666666664</v>
      </c>
      <c r="M2550" s="38" t="s">
        <v>123</v>
      </c>
      <c r="N2550" s="41">
        <v>46009.29861111111</v>
      </c>
      <c r="O2550" s="38" t="s">
        <v>123</v>
      </c>
      <c r="P2550" s="38">
        <v>600.0</v>
      </c>
      <c r="Q2550" s="39"/>
      <c r="R2550" s="39"/>
      <c r="S2550" s="38" t="s">
        <v>127</v>
      </c>
      <c r="T2550" s="39"/>
      <c r="U2550" s="39"/>
    </row>
    <row r="2551">
      <c r="A2551" s="40">
        <f t="shared" si="1"/>
        <v>46006</v>
      </c>
      <c r="B2551" s="37" t="str">
        <f t="array" ref="B2551">iferror(xlookup($I2551, 'IMPORT VHC Report'!$E:$E, 'IMPORT VHC Report'!$A:$C), )</f>
        <v/>
      </c>
      <c r="C2551" s="37"/>
      <c r="D2551" s="37"/>
      <c r="E2551" s="38" t="s">
        <v>3114</v>
      </c>
      <c r="F2551" s="38" t="s">
        <v>3097</v>
      </c>
      <c r="G2551" s="39"/>
      <c r="H2551" s="38" t="s">
        <v>3098</v>
      </c>
      <c r="I2551" s="38" t="s">
        <v>3099</v>
      </c>
      <c r="J2551" s="38" t="s">
        <v>122</v>
      </c>
      <c r="K2551" s="38" t="s">
        <v>63</v>
      </c>
      <c r="L2551" s="41">
        <v>46009.291666666664</v>
      </c>
      <c r="M2551" s="38" t="s">
        <v>123</v>
      </c>
      <c r="N2551" s="41">
        <v>46009.666666666664</v>
      </c>
      <c r="O2551" s="38" t="s">
        <v>123</v>
      </c>
      <c r="P2551" s="38">
        <v>32400.0</v>
      </c>
      <c r="Q2551" s="39"/>
      <c r="R2551" s="39"/>
      <c r="S2551" s="39"/>
      <c r="T2551" s="39"/>
      <c r="U2551" s="39"/>
    </row>
    <row r="2552">
      <c r="A2552" s="40">
        <f t="shared" si="1"/>
        <v>46006</v>
      </c>
      <c r="B2552" s="37" t="str">
        <f t="array" ref="B2552">iferror(xlookup($I2552, 'IMPORT VHC Report'!$E:$E, 'IMPORT VHC Report'!$A:$C), )</f>
        <v/>
      </c>
      <c r="C2552" s="37"/>
      <c r="D2552" s="37"/>
      <c r="E2552" s="38" t="s">
        <v>3115</v>
      </c>
      <c r="F2552" s="38" t="s">
        <v>3097</v>
      </c>
      <c r="G2552" s="39"/>
      <c r="H2552" s="38" t="s">
        <v>3098</v>
      </c>
      <c r="I2552" s="38" t="s">
        <v>3099</v>
      </c>
      <c r="J2552" s="38" t="s">
        <v>132</v>
      </c>
      <c r="K2552" s="38" t="s">
        <v>126</v>
      </c>
      <c r="L2552" s="41">
        <v>46009.368055555555</v>
      </c>
      <c r="M2552" s="38" t="s">
        <v>123</v>
      </c>
      <c r="N2552" s="41">
        <v>46009.40972222222</v>
      </c>
      <c r="O2552" s="38" t="s">
        <v>123</v>
      </c>
      <c r="P2552" s="38">
        <v>3600.0</v>
      </c>
      <c r="Q2552" s="39"/>
      <c r="R2552" s="39"/>
      <c r="S2552" s="39"/>
      <c r="T2552" s="39"/>
      <c r="U2552" s="39"/>
    </row>
    <row r="2553">
      <c r="A2553" s="40">
        <f t="shared" si="1"/>
        <v>46006</v>
      </c>
      <c r="B2553" s="37" t="str">
        <f t="array" ref="B2553">iferror(xlookup($I2553, 'IMPORT VHC Report'!$E:$E, 'IMPORT VHC Report'!$A:$C), )</f>
        <v/>
      </c>
      <c r="C2553" s="37"/>
      <c r="D2553" s="37"/>
      <c r="E2553" s="38" t="s">
        <v>3116</v>
      </c>
      <c r="F2553" s="38" t="s">
        <v>3097</v>
      </c>
      <c r="G2553" s="39"/>
      <c r="H2553" s="38" t="s">
        <v>3098</v>
      </c>
      <c r="I2553" s="38" t="s">
        <v>3099</v>
      </c>
      <c r="J2553" s="38" t="s">
        <v>134</v>
      </c>
      <c r="K2553" s="38" t="s">
        <v>126</v>
      </c>
      <c r="L2553" s="41">
        <v>46009.55416666667</v>
      </c>
      <c r="M2553" s="38" t="s">
        <v>123</v>
      </c>
      <c r="N2553" s="41">
        <v>46009.575</v>
      </c>
      <c r="O2553" s="38" t="s">
        <v>123</v>
      </c>
      <c r="P2553" s="38">
        <v>1800.0</v>
      </c>
      <c r="Q2553" s="39"/>
      <c r="R2553" s="39"/>
      <c r="S2553" s="39"/>
      <c r="T2553" s="39"/>
      <c r="U2553" s="39"/>
    </row>
    <row r="2554">
      <c r="A2554" s="40">
        <f t="shared" si="1"/>
        <v>46006</v>
      </c>
      <c r="B2554" s="37" t="str">
        <f t="array" ref="B2554">iferror(xlookup($I2554, 'IMPORT VHC Report'!$E:$E, 'IMPORT VHC Report'!$A:$C), )</f>
        <v/>
      </c>
      <c r="C2554" s="37"/>
      <c r="D2554" s="37"/>
      <c r="E2554" s="38" t="s">
        <v>3117</v>
      </c>
      <c r="F2554" s="38" t="s">
        <v>3097</v>
      </c>
      <c r="G2554" s="39"/>
      <c r="H2554" s="38" t="s">
        <v>3098</v>
      </c>
      <c r="I2554" s="38" t="s">
        <v>3099</v>
      </c>
      <c r="J2554" s="38" t="s">
        <v>136</v>
      </c>
      <c r="K2554" s="38" t="s">
        <v>126</v>
      </c>
      <c r="L2554" s="41">
        <v>46009.583333333336</v>
      </c>
      <c r="M2554" s="38" t="s">
        <v>123</v>
      </c>
      <c r="N2554" s="41">
        <v>46009.62777777778</v>
      </c>
      <c r="O2554" s="38" t="s">
        <v>123</v>
      </c>
      <c r="P2554" s="38">
        <v>3840.0</v>
      </c>
      <c r="Q2554" s="39"/>
      <c r="R2554" s="39"/>
      <c r="S2554" s="38" t="s">
        <v>275</v>
      </c>
      <c r="T2554" s="39"/>
      <c r="U2554" s="39"/>
    </row>
    <row r="2555">
      <c r="A2555" s="40">
        <f t="shared" si="1"/>
        <v>46006</v>
      </c>
      <c r="B2555" s="37" t="str">
        <f t="array" ref="B2555">iferror(xlookup($I2555, 'IMPORT VHC Report'!$E:$E, 'IMPORT VHC Report'!$A:$C), )</f>
        <v/>
      </c>
      <c r="C2555" s="37"/>
      <c r="D2555" s="37"/>
      <c r="E2555" s="38" t="s">
        <v>3118</v>
      </c>
      <c r="F2555" s="38" t="s">
        <v>3097</v>
      </c>
      <c r="G2555" s="39"/>
      <c r="H2555" s="38" t="s">
        <v>3098</v>
      </c>
      <c r="I2555" s="38" t="s">
        <v>3099</v>
      </c>
      <c r="J2555" s="38" t="s">
        <v>125</v>
      </c>
      <c r="K2555" s="38" t="s">
        <v>126</v>
      </c>
      <c r="L2555" s="41">
        <v>46012.291666666664</v>
      </c>
      <c r="M2555" s="38" t="s">
        <v>123</v>
      </c>
      <c r="N2555" s="41">
        <v>46012.29861111111</v>
      </c>
      <c r="O2555" s="38" t="s">
        <v>123</v>
      </c>
      <c r="P2555" s="38">
        <v>600.0</v>
      </c>
      <c r="Q2555" s="39"/>
      <c r="R2555" s="39"/>
      <c r="S2555" s="38" t="s">
        <v>127</v>
      </c>
      <c r="T2555" s="39"/>
      <c r="U2555" s="39"/>
    </row>
    <row r="2556">
      <c r="A2556" s="40">
        <f t="shared" si="1"/>
        <v>46006</v>
      </c>
      <c r="B2556" s="37" t="str">
        <f t="array" ref="B2556">iferror(xlookup($I2556, 'IMPORT VHC Report'!$E:$E, 'IMPORT VHC Report'!$A:$C), )</f>
        <v/>
      </c>
      <c r="C2556" s="37"/>
      <c r="D2556" s="37"/>
      <c r="E2556" s="38" t="s">
        <v>3119</v>
      </c>
      <c r="F2556" s="38" t="s">
        <v>3097</v>
      </c>
      <c r="G2556" s="39"/>
      <c r="H2556" s="38" t="s">
        <v>3098</v>
      </c>
      <c r="I2556" s="38" t="s">
        <v>3099</v>
      </c>
      <c r="J2556" s="38" t="s">
        <v>122</v>
      </c>
      <c r="K2556" s="38" t="s">
        <v>63</v>
      </c>
      <c r="L2556" s="41">
        <v>46012.291666666664</v>
      </c>
      <c r="M2556" s="38" t="s">
        <v>123</v>
      </c>
      <c r="N2556" s="41">
        <v>46012.666666666664</v>
      </c>
      <c r="O2556" s="38" t="s">
        <v>123</v>
      </c>
      <c r="P2556" s="38">
        <v>32400.0</v>
      </c>
      <c r="Q2556" s="39"/>
      <c r="R2556" s="39"/>
      <c r="S2556" s="39"/>
      <c r="T2556" s="39"/>
      <c r="U2556" s="39"/>
    </row>
    <row r="2557">
      <c r="A2557" s="40">
        <f t="shared" si="1"/>
        <v>46006</v>
      </c>
      <c r="B2557" s="37" t="str">
        <f t="array" ref="B2557">iferror(xlookup($I2557, 'IMPORT VHC Report'!$E:$E, 'IMPORT VHC Report'!$A:$C), )</f>
        <v/>
      </c>
      <c r="C2557" s="37"/>
      <c r="D2557" s="37"/>
      <c r="E2557" s="38" t="s">
        <v>3120</v>
      </c>
      <c r="F2557" s="38" t="s">
        <v>3097</v>
      </c>
      <c r="G2557" s="39"/>
      <c r="H2557" s="38" t="s">
        <v>3098</v>
      </c>
      <c r="I2557" s="38" t="s">
        <v>3099</v>
      </c>
      <c r="J2557" s="38" t="s">
        <v>132</v>
      </c>
      <c r="K2557" s="38" t="s">
        <v>126</v>
      </c>
      <c r="L2557" s="41">
        <v>46012.354166666664</v>
      </c>
      <c r="M2557" s="38" t="s">
        <v>123</v>
      </c>
      <c r="N2557" s="41">
        <v>46012.395833333336</v>
      </c>
      <c r="O2557" s="38" t="s">
        <v>123</v>
      </c>
      <c r="P2557" s="38">
        <v>3600.0</v>
      </c>
      <c r="Q2557" s="39"/>
      <c r="R2557" s="39"/>
      <c r="S2557" s="39"/>
      <c r="T2557" s="39"/>
      <c r="U2557" s="39"/>
    </row>
    <row r="2558">
      <c r="A2558" s="40">
        <f t="shared" si="1"/>
        <v>46006</v>
      </c>
      <c r="B2558" s="37" t="str">
        <f t="array" ref="B2558">iferror(xlookup($I2558, 'IMPORT VHC Report'!$E:$E, 'IMPORT VHC Report'!$A:$C), )</f>
        <v/>
      </c>
      <c r="C2558" s="37"/>
      <c r="D2558" s="37"/>
      <c r="E2558" s="38" t="s">
        <v>3121</v>
      </c>
      <c r="F2558" s="38" t="s">
        <v>3097</v>
      </c>
      <c r="G2558" s="39"/>
      <c r="H2558" s="38" t="s">
        <v>3098</v>
      </c>
      <c r="I2558" s="38" t="s">
        <v>3099</v>
      </c>
      <c r="J2558" s="38" t="s">
        <v>134</v>
      </c>
      <c r="K2558" s="38" t="s">
        <v>126</v>
      </c>
      <c r="L2558" s="41">
        <v>46012.520833333336</v>
      </c>
      <c r="M2558" s="38" t="s">
        <v>123</v>
      </c>
      <c r="N2558" s="41">
        <v>46012.541666666664</v>
      </c>
      <c r="O2558" s="38" t="s">
        <v>123</v>
      </c>
      <c r="P2558" s="38">
        <v>1800.0</v>
      </c>
      <c r="Q2558" s="39"/>
      <c r="R2558" s="39"/>
      <c r="S2558" s="39"/>
      <c r="T2558" s="39"/>
      <c r="U2558" s="39"/>
    </row>
    <row r="2559">
      <c r="A2559" s="40">
        <f t="shared" si="1"/>
        <v>46006</v>
      </c>
      <c r="B2559" s="37" t="str">
        <f t="array" ref="B2559">iferror(xlookup($I2559, 'IMPORT VHC Report'!$E:$E, 'IMPORT VHC Report'!$A:$C), )</f>
        <v/>
      </c>
      <c r="C2559" s="37"/>
      <c r="D2559" s="37"/>
      <c r="E2559" s="38" t="s">
        <v>3122</v>
      </c>
      <c r="F2559" s="38" t="s">
        <v>3097</v>
      </c>
      <c r="G2559" s="39"/>
      <c r="H2559" s="38" t="s">
        <v>3098</v>
      </c>
      <c r="I2559" s="38" t="s">
        <v>3099</v>
      </c>
      <c r="J2559" s="38" t="s">
        <v>4</v>
      </c>
      <c r="K2559" s="38" t="s">
        <v>126</v>
      </c>
      <c r="L2559" s="41">
        <v>46012.59375</v>
      </c>
      <c r="M2559" s="38" t="s">
        <v>123</v>
      </c>
      <c r="N2559" s="41">
        <v>46012.635416666664</v>
      </c>
      <c r="O2559" s="38" t="s">
        <v>123</v>
      </c>
      <c r="P2559" s="38">
        <v>3600.0</v>
      </c>
      <c r="Q2559" s="39"/>
      <c r="R2559" s="39"/>
      <c r="S2559" s="38" t="s">
        <v>130</v>
      </c>
      <c r="T2559" s="39"/>
      <c r="U2559" s="39"/>
    </row>
    <row r="2560">
      <c r="A2560" s="40">
        <f t="shared" si="1"/>
        <v>46006</v>
      </c>
      <c r="B2560" s="37" t="str">
        <f t="array" ref="B2560">iferror(xlookup($I2560, 'IMPORT VHC Report'!$E:$E, 'IMPORT VHC Report'!$A:$C), )</f>
        <v/>
      </c>
      <c r="C2560" s="37"/>
      <c r="D2560" s="37"/>
      <c r="E2560" s="38" t="s">
        <v>3123</v>
      </c>
      <c r="F2560" s="38" t="s">
        <v>3124</v>
      </c>
      <c r="G2560" s="38">
        <v>3.61725115636E11</v>
      </c>
      <c r="H2560" s="38" t="s">
        <v>3125</v>
      </c>
      <c r="I2560" s="38" t="s">
        <v>3126</v>
      </c>
      <c r="J2560" s="38" t="s">
        <v>368</v>
      </c>
      <c r="K2560" s="38" t="s">
        <v>63</v>
      </c>
      <c r="L2560" s="41">
        <v>46006.291666666664</v>
      </c>
      <c r="M2560" s="38" t="s">
        <v>123</v>
      </c>
      <c r="N2560" s="41">
        <v>46006.666666666664</v>
      </c>
      <c r="O2560" s="38" t="s">
        <v>123</v>
      </c>
      <c r="P2560" s="38">
        <v>32400.0</v>
      </c>
      <c r="Q2560" s="39"/>
      <c r="R2560" s="39"/>
      <c r="S2560" s="39"/>
      <c r="T2560" s="39"/>
      <c r="U2560" s="39"/>
    </row>
    <row r="2561">
      <c r="A2561" s="40">
        <f t="shared" si="1"/>
        <v>46006</v>
      </c>
      <c r="B2561" s="37" t="str">
        <f t="array" ref="B2561">iferror(xlookup($I2561, 'IMPORT VHC Report'!$E:$E, 'IMPORT VHC Report'!$A:$C), )</f>
        <v/>
      </c>
      <c r="C2561" s="37"/>
      <c r="D2561" s="37"/>
      <c r="E2561" s="38" t="s">
        <v>3127</v>
      </c>
      <c r="F2561" s="38" t="s">
        <v>3124</v>
      </c>
      <c r="G2561" s="38">
        <v>3.61725115636E11</v>
      </c>
      <c r="H2561" s="38" t="s">
        <v>3125</v>
      </c>
      <c r="I2561" s="38" t="s">
        <v>3126</v>
      </c>
      <c r="J2561" s="38" t="s">
        <v>178</v>
      </c>
      <c r="K2561" s="38" t="s">
        <v>153</v>
      </c>
      <c r="L2561" s="41">
        <v>46006.291666666664</v>
      </c>
      <c r="M2561" s="38" t="s">
        <v>123</v>
      </c>
      <c r="N2561" s="41">
        <v>46006.666666666664</v>
      </c>
      <c r="O2561" s="38" t="s">
        <v>123</v>
      </c>
      <c r="P2561" s="38">
        <v>32400.0</v>
      </c>
      <c r="Q2561" s="38">
        <v>32400.0</v>
      </c>
      <c r="R2561" s="39"/>
      <c r="S2561" s="39"/>
      <c r="T2561" s="39"/>
      <c r="U2561" s="39"/>
    </row>
    <row r="2562">
      <c r="A2562" s="40">
        <f t="shared" si="1"/>
        <v>46006</v>
      </c>
      <c r="B2562" s="37" t="str">
        <f t="array" ref="B2562">iferror(xlookup($I2562, 'IMPORT VHC Report'!$E:$E, 'IMPORT VHC Report'!$A:$C), )</f>
        <v/>
      </c>
      <c r="C2562" s="37"/>
      <c r="D2562" s="37"/>
      <c r="E2562" s="38" t="s">
        <v>3128</v>
      </c>
      <c r="F2562" s="38" t="s">
        <v>3124</v>
      </c>
      <c r="G2562" s="38">
        <v>3.61725115636E11</v>
      </c>
      <c r="H2562" s="38" t="s">
        <v>3125</v>
      </c>
      <c r="I2562" s="38" t="s">
        <v>3126</v>
      </c>
      <c r="J2562" s="38" t="s">
        <v>134</v>
      </c>
      <c r="K2562" s="38" t="s">
        <v>126</v>
      </c>
      <c r="L2562" s="41">
        <v>46006.46875</v>
      </c>
      <c r="M2562" s="38" t="s">
        <v>123</v>
      </c>
      <c r="N2562" s="41">
        <v>46006.489583333336</v>
      </c>
      <c r="O2562" s="38" t="s">
        <v>123</v>
      </c>
      <c r="P2562" s="38">
        <v>1800.0</v>
      </c>
      <c r="Q2562" s="39"/>
      <c r="R2562" s="39"/>
      <c r="S2562" s="39"/>
      <c r="T2562" s="39"/>
      <c r="U2562" s="39"/>
    </row>
    <row r="2563">
      <c r="A2563" s="40">
        <f t="shared" si="1"/>
        <v>46006</v>
      </c>
      <c r="B2563" s="37" t="str">
        <f t="array" ref="B2563">iferror(xlookup($I2563, 'IMPORT VHC Report'!$E:$E, 'IMPORT VHC Report'!$A:$C), )</f>
        <v/>
      </c>
      <c r="C2563" s="37"/>
      <c r="D2563" s="37"/>
      <c r="E2563" s="38" t="s">
        <v>3129</v>
      </c>
      <c r="F2563" s="38" t="s">
        <v>3124</v>
      </c>
      <c r="G2563" s="38">
        <v>3.61725115636E11</v>
      </c>
      <c r="H2563" s="38" t="s">
        <v>3125</v>
      </c>
      <c r="I2563" s="38" t="s">
        <v>3126</v>
      </c>
      <c r="J2563" s="38" t="s">
        <v>132</v>
      </c>
      <c r="K2563" s="38" t="s">
        <v>126</v>
      </c>
      <c r="L2563" s="41">
        <v>46006.583333333336</v>
      </c>
      <c r="M2563" s="38" t="s">
        <v>123</v>
      </c>
      <c r="N2563" s="41">
        <v>46006.625</v>
      </c>
      <c r="O2563" s="38" t="s">
        <v>123</v>
      </c>
      <c r="P2563" s="38">
        <v>3600.0</v>
      </c>
      <c r="Q2563" s="39"/>
      <c r="R2563" s="39"/>
      <c r="S2563" s="39"/>
      <c r="T2563" s="39"/>
      <c r="U2563" s="39"/>
    </row>
    <row r="2564">
      <c r="A2564" s="40">
        <f t="shared" si="1"/>
        <v>46006</v>
      </c>
      <c r="B2564" s="37" t="str">
        <f t="array" ref="B2564">iferror(xlookup($I2564, 'IMPORT VHC Report'!$E:$E, 'IMPORT VHC Report'!$A:$C), )</f>
        <v/>
      </c>
      <c r="C2564" s="37"/>
      <c r="D2564" s="37"/>
      <c r="E2564" s="38" t="s">
        <v>3130</v>
      </c>
      <c r="F2564" s="38" t="s">
        <v>3124</v>
      </c>
      <c r="G2564" s="38">
        <v>3.61725115636E11</v>
      </c>
      <c r="H2564" s="38" t="s">
        <v>3125</v>
      </c>
      <c r="I2564" s="38" t="s">
        <v>3126</v>
      </c>
      <c r="J2564" s="38" t="s">
        <v>368</v>
      </c>
      <c r="K2564" s="38" t="s">
        <v>63</v>
      </c>
      <c r="L2564" s="41">
        <v>46007.291666666664</v>
      </c>
      <c r="M2564" s="38" t="s">
        <v>123</v>
      </c>
      <c r="N2564" s="41">
        <v>46007.666666666664</v>
      </c>
      <c r="O2564" s="38" t="s">
        <v>123</v>
      </c>
      <c r="P2564" s="38">
        <v>32400.0</v>
      </c>
      <c r="Q2564" s="39"/>
      <c r="R2564" s="39"/>
      <c r="S2564" s="39"/>
      <c r="T2564" s="39"/>
      <c r="U2564" s="39"/>
    </row>
    <row r="2565">
      <c r="A2565" s="40">
        <f t="shared" si="1"/>
        <v>46006</v>
      </c>
      <c r="B2565" s="37" t="str">
        <f t="array" ref="B2565">iferror(xlookup($I2565, 'IMPORT VHC Report'!$E:$E, 'IMPORT VHC Report'!$A:$C), )</f>
        <v/>
      </c>
      <c r="C2565" s="37"/>
      <c r="D2565" s="37"/>
      <c r="E2565" s="38" t="s">
        <v>3131</v>
      </c>
      <c r="F2565" s="38" t="s">
        <v>3124</v>
      </c>
      <c r="G2565" s="38">
        <v>3.61725115636E11</v>
      </c>
      <c r="H2565" s="38" t="s">
        <v>3125</v>
      </c>
      <c r="I2565" s="38" t="s">
        <v>3126</v>
      </c>
      <c r="J2565" s="38" t="s">
        <v>152</v>
      </c>
      <c r="K2565" s="38" t="s">
        <v>153</v>
      </c>
      <c r="L2565" s="41">
        <v>46007.291666666664</v>
      </c>
      <c r="M2565" s="38" t="s">
        <v>123</v>
      </c>
      <c r="N2565" s="41">
        <v>46007.666666666664</v>
      </c>
      <c r="O2565" s="38" t="s">
        <v>123</v>
      </c>
      <c r="P2565" s="38">
        <v>32400.0</v>
      </c>
      <c r="Q2565" s="38">
        <v>32400.0</v>
      </c>
      <c r="R2565" s="39"/>
      <c r="S2565" s="39"/>
      <c r="T2565" s="39"/>
      <c r="U2565" s="39"/>
    </row>
    <row r="2566">
      <c r="A2566" s="40">
        <f t="shared" si="1"/>
        <v>46006</v>
      </c>
      <c r="B2566" s="37" t="str">
        <f t="array" ref="B2566">iferror(xlookup($I2566, 'IMPORT VHC Report'!$E:$E, 'IMPORT VHC Report'!$A:$C), )</f>
        <v/>
      </c>
      <c r="C2566" s="37"/>
      <c r="D2566" s="37"/>
      <c r="E2566" s="38" t="s">
        <v>3132</v>
      </c>
      <c r="F2566" s="38" t="s">
        <v>3124</v>
      </c>
      <c r="G2566" s="38">
        <v>3.61725115636E11</v>
      </c>
      <c r="H2566" s="38" t="s">
        <v>3125</v>
      </c>
      <c r="I2566" s="38" t="s">
        <v>3126</v>
      </c>
      <c r="J2566" s="38" t="s">
        <v>136</v>
      </c>
      <c r="K2566" s="38" t="s">
        <v>126</v>
      </c>
      <c r="L2566" s="41">
        <v>46007.3125</v>
      </c>
      <c r="M2566" s="38" t="s">
        <v>123</v>
      </c>
      <c r="N2566" s="41">
        <v>46007.333333333336</v>
      </c>
      <c r="O2566" s="38" t="s">
        <v>123</v>
      </c>
      <c r="P2566" s="38">
        <v>1800.0</v>
      </c>
      <c r="Q2566" s="39"/>
      <c r="R2566" s="39"/>
      <c r="S2566" s="38" t="s">
        <v>1680</v>
      </c>
      <c r="T2566" s="39"/>
      <c r="U2566" s="39"/>
    </row>
    <row r="2567">
      <c r="A2567" s="40">
        <f t="shared" si="1"/>
        <v>46006</v>
      </c>
      <c r="B2567" s="37" t="str">
        <f t="array" ref="B2567">iferror(xlookup($I2567, 'IMPORT VHC Report'!$E:$E, 'IMPORT VHC Report'!$A:$C), )</f>
        <v/>
      </c>
      <c r="C2567" s="37"/>
      <c r="D2567" s="37"/>
      <c r="E2567" s="38" t="s">
        <v>3133</v>
      </c>
      <c r="F2567" s="38" t="s">
        <v>3124</v>
      </c>
      <c r="G2567" s="38">
        <v>3.61725115636E11</v>
      </c>
      <c r="H2567" s="38" t="s">
        <v>3125</v>
      </c>
      <c r="I2567" s="38" t="s">
        <v>3126</v>
      </c>
      <c r="J2567" s="38" t="s">
        <v>134</v>
      </c>
      <c r="K2567" s="38" t="s">
        <v>126</v>
      </c>
      <c r="L2567" s="41">
        <v>46007.40625</v>
      </c>
      <c r="M2567" s="38" t="s">
        <v>123</v>
      </c>
      <c r="N2567" s="41">
        <v>46007.427083333336</v>
      </c>
      <c r="O2567" s="38" t="s">
        <v>123</v>
      </c>
      <c r="P2567" s="38">
        <v>1800.0</v>
      </c>
      <c r="Q2567" s="39"/>
      <c r="R2567" s="39"/>
      <c r="S2567" s="39"/>
      <c r="T2567" s="39"/>
      <c r="U2567" s="39"/>
    </row>
    <row r="2568">
      <c r="A2568" s="40">
        <f t="shared" si="1"/>
        <v>46006</v>
      </c>
      <c r="B2568" s="37" t="str">
        <f t="array" ref="B2568">iferror(xlookup($I2568, 'IMPORT VHC Report'!$E:$E, 'IMPORT VHC Report'!$A:$C), )</f>
        <v/>
      </c>
      <c r="C2568" s="37"/>
      <c r="D2568" s="37"/>
      <c r="E2568" s="38" t="s">
        <v>3134</v>
      </c>
      <c r="F2568" s="38" t="s">
        <v>3124</v>
      </c>
      <c r="G2568" s="38">
        <v>3.61725115636E11</v>
      </c>
      <c r="H2568" s="38" t="s">
        <v>3125</v>
      </c>
      <c r="I2568" s="38" t="s">
        <v>3126</v>
      </c>
      <c r="J2568" s="38" t="s">
        <v>132</v>
      </c>
      <c r="K2568" s="38" t="s">
        <v>126</v>
      </c>
      <c r="L2568" s="41">
        <v>46007.552083333336</v>
      </c>
      <c r="M2568" s="38" t="s">
        <v>123</v>
      </c>
      <c r="N2568" s="41">
        <v>46007.59375</v>
      </c>
      <c r="O2568" s="38" t="s">
        <v>123</v>
      </c>
      <c r="P2568" s="38">
        <v>3600.0</v>
      </c>
      <c r="Q2568" s="39"/>
      <c r="R2568" s="39"/>
      <c r="S2568" s="39"/>
      <c r="T2568" s="39"/>
      <c r="U2568" s="39"/>
    </row>
    <row r="2569">
      <c r="A2569" s="40">
        <f t="shared" si="1"/>
        <v>46006</v>
      </c>
      <c r="B2569" s="37" t="str">
        <f t="array" ref="B2569">iferror(xlookup($I2569, 'IMPORT VHC Report'!$E:$E, 'IMPORT VHC Report'!$A:$C), )</f>
        <v/>
      </c>
      <c r="C2569" s="37"/>
      <c r="D2569" s="37"/>
      <c r="E2569" s="38" t="s">
        <v>3135</v>
      </c>
      <c r="F2569" s="38" t="s">
        <v>3124</v>
      </c>
      <c r="G2569" s="38">
        <v>3.61725115636E11</v>
      </c>
      <c r="H2569" s="38" t="s">
        <v>3125</v>
      </c>
      <c r="I2569" s="38" t="s">
        <v>3126</v>
      </c>
      <c r="J2569" s="38" t="s">
        <v>125</v>
      </c>
      <c r="K2569" s="38" t="s">
        <v>126</v>
      </c>
      <c r="L2569" s="41">
        <v>46008.291666666664</v>
      </c>
      <c r="M2569" s="38" t="s">
        <v>123</v>
      </c>
      <c r="N2569" s="41">
        <v>46008.34444444445</v>
      </c>
      <c r="O2569" s="38" t="s">
        <v>123</v>
      </c>
      <c r="P2569" s="38">
        <v>4560.0</v>
      </c>
      <c r="Q2569" s="39"/>
      <c r="R2569" s="39"/>
      <c r="S2569" s="39"/>
      <c r="T2569" s="39"/>
      <c r="U2569" s="39"/>
    </row>
    <row r="2570">
      <c r="A2570" s="40">
        <f t="shared" si="1"/>
        <v>46006</v>
      </c>
      <c r="B2570" s="37" t="str">
        <f t="array" ref="B2570">iferror(xlookup($I2570, 'IMPORT VHC Report'!$E:$E, 'IMPORT VHC Report'!$A:$C), )</f>
        <v/>
      </c>
      <c r="C2570" s="37"/>
      <c r="D2570" s="37"/>
      <c r="E2570" s="38" t="s">
        <v>3136</v>
      </c>
      <c r="F2570" s="38" t="s">
        <v>3124</v>
      </c>
      <c r="G2570" s="38">
        <v>3.61725115636E11</v>
      </c>
      <c r="H2570" s="38" t="s">
        <v>3125</v>
      </c>
      <c r="I2570" s="38" t="s">
        <v>3126</v>
      </c>
      <c r="J2570" s="38" t="s">
        <v>368</v>
      </c>
      <c r="K2570" s="38" t="s">
        <v>63</v>
      </c>
      <c r="L2570" s="41">
        <v>46008.291666666664</v>
      </c>
      <c r="M2570" s="38" t="s">
        <v>123</v>
      </c>
      <c r="N2570" s="41">
        <v>46008.666666666664</v>
      </c>
      <c r="O2570" s="38" t="s">
        <v>123</v>
      </c>
      <c r="P2570" s="38">
        <v>32400.0</v>
      </c>
      <c r="Q2570" s="39"/>
      <c r="R2570" s="39"/>
      <c r="S2570" s="39"/>
      <c r="T2570" s="39"/>
      <c r="U2570" s="39"/>
    </row>
    <row r="2571">
      <c r="A2571" s="40">
        <f t="shared" si="1"/>
        <v>46006</v>
      </c>
      <c r="B2571" s="37" t="str">
        <f t="array" ref="B2571">iferror(xlookup($I2571, 'IMPORT VHC Report'!$E:$E, 'IMPORT VHC Report'!$A:$C), )</f>
        <v/>
      </c>
      <c r="C2571" s="37"/>
      <c r="D2571" s="37"/>
      <c r="E2571" s="38" t="s">
        <v>3137</v>
      </c>
      <c r="F2571" s="38" t="s">
        <v>3124</v>
      </c>
      <c r="G2571" s="38">
        <v>3.61725115636E11</v>
      </c>
      <c r="H2571" s="38" t="s">
        <v>3125</v>
      </c>
      <c r="I2571" s="38" t="s">
        <v>3126</v>
      </c>
      <c r="J2571" s="38" t="s">
        <v>134</v>
      </c>
      <c r="K2571" s="38" t="s">
        <v>126</v>
      </c>
      <c r="L2571" s="41">
        <v>46008.399305555555</v>
      </c>
      <c r="M2571" s="38" t="s">
        <v>123</v>
      </c>
      <c r="N2571" s="41">
        <v>46008.42013888889</v>
      </c>
      <c r="O2571" s="38" t="s">
        <v>123</v>
      </c>
      <c r="P2571" s="38">
        <v>1800.0</v>
      </c>
      <c r="Q2571" s="39"/>
      <c r="R2571" s="39"/>
      <c r="S2571" s="39"/>
      <c r="T2571" s="39"/>
      <c r="U2571" s="39"/>
    </row>
    <row r="2572">
      <c r="A2572" s="40">
        <f t="shared" si="1"/>
        <v>46006</v>
      </c>
      <c r="B2572" s="37" t="str">
        <f t="array" ref="B2572">iferror(xlookup($I2572, 'IMPORT VHC Report'!$E:$E, 'IMPORT VHC Report'!$A:$C), )</f>
        <v/>
      </c>
      <c r="C2572" s="37"/>
      <c r="D2572" s="37"/>
      <c r="E2572" s="38" t="s">
        <v>3138</v>
      </c>
      <c r="F2572" s="38" t="s">
        <v>3124</v>
      </c>
      <c r="G2572" s="38">
        <v>3.61725115636E11</v>
      </c>
      <c r="H2572" s="38" t="s">
        <v>3125</v>
      </c>
      <c r="I2572" s="38" t="s">
        <v>3126</v>
      </c>
      <c r="J2572" s="38" t="s">
        <v>125</v>
      </c>
      <c r="K2572" s="38" t="s">
        <v>126</v>
      </c>
      <c r="L2572" s="41">
        <v>46008.42013888889</v>
      </c>
      <c r="M2572" s="38" t="s">
        <v>123</v>
      </c>
      <c r="N2572" s="41">
        <v>46008.45625</v>
      </c>
      <c r="O2572" s="38" t="s">
        <v>123</v>
      </c>
      <c r="P2572" s="38">
        <v>3120.0</v>
      </c>
      <c r="Q2572" s="39"/>
      <c r="R2572" s="39"/>
      <c r="S2572" s="39"/>
      <c r="T2572" s="39"/>
      <c r="U2572" s="39"/>
    </row>
    <row r="2573">
      <c r="A2573" s="40">
        <f t="shared" si="1"/>
        <v>46006</v>
      </c>
      <c r="B2573" s="37" t="str">
        <f t="array" ref="B2573">iferror(xlookup($I2573, 'IMPORT VHC Report'!$E:$E, 'IMPORT VHC Report'!$A:$C), )</f>
        <v/>
      </c>
      <c r="C2573" s="37"/>
      <c r="D2573" s="37"/>
      <c r="E2573" s="38" t="s">
        <v>3139</v>
      </c>
      <c r="F2573" s="38" t="s">
        <v>3124</v>
      </c>
      <c r="G2573" s="38">
        <v>3.61725115636E11</v>
      </c>
      <c r="H2573" s="38" t="s">
        <v>3125</v>
      </c>
      <c r="I2573" s="38" t="s">
        <v>3126</v>
      </c>
      <c r="J2573" s="38" t="s">
        <v>125</v>
      </c>
      <c r="K2573" s="38" t="s">
        <v>126</v>
      </c>
      <c r="L2573" s="41">
        <v>46008.47430555556</v>
      </c>
      <c r="M2573" s="38" t="s">
        <v>123</v>
      </c>
      <c r="N2573" s="41">
        <v>46008.49166666667</v>
      </c>
      <c r="O2573" s="38" t="s">
        <v>123</v>
      </c>
      <c r="P2573" s="38">
        <v>1500.0</v>
      </c>
      <c r="Q2573" s="39"/>
      <c r="R2573" s="39"/>
      <c r="S2573" s="39"/>
      <c r="T2573" s="39"/>
      <c r="U2573" s="39"/>
    </row>
    <row r="2574">
      <c r="A2574" s="40">
        <f t="shared" si="1"/>
        <v>46006</v>
      </c>
      <c r="B2574" s="37" t="str">
        <f t="array" ref="B2574">iferror(xlookup($I2574, 'IMPORT VHC Report'!$E:$E, 'IMPORT VHC Report'!$A:$C), )</f>
        <v/>
      </c>
      <c r="C2574" s="37"/>
      <c r="D2574" s="37"/>
      <c r="E2574" s="38" t="s">
        <v>3140</v>
      </c>
      <c r="F2574" s="38" t="s">
        <v>3124</v>
      </c>
      <c r="G2574" s="38">
        <v>3.61725115636E11</v>
      </c>
      <c r="H2574" s="38" t="s">
        <v>3125</v>
      </c>
      <c r="I2574" s="38" t="s">
        <v>3126</v>
      </c>
      <c r="J2574" s="38" t="s">
        <v>125</v>
      </c>
      <c r="K2574" s="38" t="s">
        <v>126</v>
      </c>
      <c r="L2574" s="41">
        <v>46008.54305555556</v>
      </c>
      <c r="M2574" s="38" t="s">
        <v>123</v>
      </c>
      <c r="N2574" s="41">
        <v>46008.566666666666</v>
      </c>
      <c r="O2574" s="38" t="s">
        <v>123</v>
      </c>
      <c r="P2574" s="38">
        <v>2040.0</v>
      </c>
      <c r="Q2574" s="39"/>
      <c r="R2574" s="39"/>
      <c r="S2574" s="39"/>
      <c r="T2574" s="39"/>
      <c r="U2574" s="39"/>
    </row>
    <row r="2575">
      <c r="A2575" s="40">
        <f t="shared" si="1"/>
        <v>46006</v>
      </c>
      <c r="B2575" s="37" t="str">
        <f t="array" ref="B2575">iferror(xlookup($I2575, 'IMPORT VHC Report'!$E:$E, 'IMPORT VHC Report'!$A:$C), )</f>
        <v/>
      </c>
      <c r="C2575" s="37"/>
      <c r="D2575" s="37"/>
      <c r="E2575" s="38" t="s">
        <v>3141</v>
      </c>
      <c r="F2575" s="38" t="s">
        <v>3124</v>
      </c>
      <c r="G2575" s="38">
        <v>3.61725115636E11</v>
      </c>
      <c r="H2575" s="38" t="s">
        <v>3125</v>
      </c>
      <c r="I2575" s="38" t="s">
        <v>3126</v>
      </c>
      <c r="J2575" s="38" t="s">
        <v>132</v>
      </c>
      <c r="K2575" s="38" t="s">
        <v>126</v>
      </c>
      <c r="L2575" s="41">
        <v>46008.566666666666</v>
      </c>
      <c r="M2575" s="38" t="s">
        <v>123</v>
      </c>
      <c r="N2575" s="41">
        <v>46008.60833333333</v>
      </c>
      <c r="O2575" s="38" t="s">
        <v>123</v>
      </c>
      <c r="P2575" s="38">
        <v>3600.0</v>
      </c>
      <c r="Q2575" s="39"/>
      <c r="R2575" s="39"/>
      <c r="S2575" s="39"/>
      <c r="T2575" s="39"/>
      <c r="U2575" s="39"/>
    </row>
    <row r="2576">
      <c r="A2576" s="40">
        <f t="shared" si="1"/>
        <v>46006</v>
      </c>
      <c r="B2576" s="37" t="str">
        <f t="array" ref="B2576">iferror(xlookup($I2576, 'IMPORT VHC Report'!$E:$E, 'IMPORT VHC Report'!$A:$C), )</f>
        <v/>
      </c>
      <c r="C2576" s="37"/>
      <c r="D2576" s="37"/>
      <c r="E2576" s="38" t="s">
        <v>3142</v>
      </c>
      <c r="F2576" s="38" t="s">
        <v>3124</v>
      </c>
      <c r="G2576" s="38">
        <v>3.61725115636E11</v>
      </c>
      <c r="H2576" s="38" t="s">
        <v>3125</v>
      </c>
      <c r="I2576" s="38" t="s">
        <v>3126</v>
      </c>
      <c r="J2576" s="38" t="s">
        <v>125</v>
      </c>
      <c r="K2576" s="38" t="s">
        <v>126</v>
      </c>
      <c r="L2576" s="41">
        <v>46009.291666666664</v>
      </c>
      <c r="M2576" s="38" t="s">
        <v>123</v>
      </c>
      <c r="N2576" s="41">
        <v>46009.3125</v>
      </c>
      <c r="O2576" s="38" t="s">
        <v>123</v>
      </c>
      <c r="P2576" s="38">
        <v>1800.0</v>
      </c>
      <c r="Q2576" s="39"/>
      <c r="R2576" s="39"/>
      <c r="S2576" s="39"/>
      <c r="T2576" s="39"/>
      <c r="U2576" s="39"/>
    </row>
    <row r="2577">
      <c r="A2577" s="40">
        <f t="shared" si="1"/>
        <v>46006</v>
      </c>
      <c r="B2577" s="37" t="str">
        <f t="array" ref="B2577">iferror(xlookup($I2577, 'IMPORT VHC Report'!$E:$E, 'IMPORT VHC Report'!$A:$C), )</f>
        <v/>
      </c>
      <c r="C2577" s="37"/>
      <c r="D2577" s="37"/>
      <c r="E2577" s="38" t="s">
        <v>3143</v>
      </c>
      <c r="F2577" s="38" t="s">
        <v>3124</v>
      </c>
      <c r="G2577" s="38">
        <v>3.61725115636E11</v>
      </c>
      <c r="H2577" s="38" t="s">
        <v>3125</v>
      </c>
      <c r="I2577" s="38" t="s">
        <v>3126</v>
      </c>
      <c r="J2577" s="38" t="s">
        <v>368</v>
      </c>
      <c r="K2577" s="38" t="s">
        <v>63</v>
      </c>
      <c r="L2577" s="41">
        <v>46009.291666666664</v>
      </c>
      <c r="M2577" s="38" t="s">
        <v>123</v>
      </c>
      <c r="N2577" s="41">
        <v>46009.666666666664</v>
      </c>
      <c r="O2577" s="38" t="s">
        <v>123</v>
      </c>
      <c r="P2577" s="38">
        <v>32400.0</v>
      </c>
      <c r="Q2577" s="39"/>
      <c r="R2577" s="39"/>
      <c r="S2577" s="39"/>
      <c r="T2577" s="39"/>
      <c r="U2577" s="39"/>
    </row>
    <row r="2578">
      <c r="A2578" s="40">
        <f t="shared" si="1"/>
        <v>46006</v>
      </c>
      <c r="B2578" s="37" t="str">
        <f t="array" ref="B2578">iferror(xlookup($I2578, 'IMPORT VHC Report'!$E:$E, 'IMPORT VHC Report'!$A:$C), )</f>
        <v/>
      </c>
      <c r="C2578" s="37"/>
      <c r="D2578" s="37"/>
      <c r="E2578" s="38" t="s">
        <v>3144</v>
      </c>
      <c r="F2578" s="38" t="s">
        <v>3124</v>
      </c>
      <c r="G2578" s="38">
        <v>3.61725115636E11</v>
      </c>
      <c r="H2578" s="38" t="s">
        <v>3125</v>
      </c>
      <c r="I2578" s="38" t="s">
        <v>3126</v>
      </c>
      <c r="J2578" s="38" t="s">
        <v>134</v>
      </c>
      <c r="K2578" s="38" t="s">
        <v>126</v>
      </c>
      <c r="L2578" s="41">
        <v>46009.395833333336</v>
      </c>
      <c r="M2578" s="38" t="s">
        <v>123</v>
      </c>
      <c r="N2578" s="41">
        <v>46009.416666666664</v>
      </c>
      <c r="O2578" s="38" t="s">
        <v>123</v>
      </c>
      <c r="P2578" s="38">
        <v>1800.0</v>
      </c>
      <c r="Q2578" s="39"/>
      <c r="R2578" s="39"/>
      <c r="S2578" s="39"/>
      <c r="T2578" s="39"/>
      <c r="U2578" s="39"/>
    </row>
    <row r="2579">
      <c r="A2579" s="40">
        <f t="shared" si="1"/>
        <v>46006</v>
      </c>
      <c r="B2579" s="37" t="str">
        <f t="array" ref="B2579">iferror(xlookup($I2579, 'IMPORT VHC Report'!$E:$E, 'IMPORT VHC Report'!$A:$C), )</f>
        <v/>
      </c>
      <c r="C2579" s="37"/>
      <c r="D2579" s="37"/>
      <c r="E2579" s="38" t="s">
        <v>3145</v>
      </c>
      <c r="F2579" s="38" t="s">
        <v>3124</v>
      </c>
      <c r="G2579" s="38">
        <v>3.61725115636E11</v>
      </c>
      <c r="H2579" s="38" t="s">
        <v>3125</v>
      </c>
      <c r="I2579" s="38" t="s">
        <v>3126</v>
      </c>
      <c r="J2579" s="38" t="s">
        <v>132</v>
      </c>
      <c r="K2579" s="38" t="s">
        <v>126</v>
      </c>
      <c r="L2579" s="41">
        <v>46009.5625</v>
      </c>
      <c r="M2579" s="38" t="s">
        <v>123</v>
      </c>
      <c r="N2579" s="41">
        <v>46009.604166666664</v>
      </c>
      <c r="O2579" s="38" t="s">
        <v>123</v>
      </c>
      <c r="P2579" s="38">
        <v>3600.0</v>
      </c>
      <c r="Q2579" s="39"/>
      <c r="R2579" s="39"/>
      <c r="S2579" s="39"/>
      <c r="T2579" s="39"/>
      <c r="U2579" s="39"/>
    </row>
    <row r="2580">
      <c r="A2580" s="40">
        <f t="shared" si="1"/>
        <v>46006</v>
      </c>
      <c r="B2580" s="37" t="str">
        <f t="array" ref="B2580">iferror(xlookup($I2580, 'IMPORT VHC Report'!$E:$E, 'IMPORT VHC Report'!$A:$C), )</f>
        <v/>
      </c>
      <c r="C2580" s="37"/>
      <c r="D2580" s="37"/>
      <c r="E2580" s="38" t="s">
        <v>3146</v>
      </c>
      <c r="F2580" s="38" t="s">
        <v>3124</v>
      </c>
      <c r="G2580" s="38">
        <v>3.61725115636E11</v>
      </c>
      <c r="H2580" s="38" t="s">
        <v>3125</v>
      </c>
      <c r="I2580" s="38" t="s">
        <v>3126</v>
      </c>
      <c r="J2580" s="38" t="s">
        <v>125</v>
      </c>
      <c r="K2580" s="38" t="s">
        <v>126</v>
      </c>
      <c r="L2580" s="41">
        <v>46010.291666666664</v>
      </c>
      <c r="M2580" s="38" t="s">
        <v>123</v>
      </c>
      <c r="N2580" s="41">
        <v>46010.3125</v>
      </c>
      <c r="O2580" s="38" t="s">
        <v>123</v>
      </c>
      <c r="P2580" s="38">
        <v>1800.0</v>
      </c>
      <c r="Q2580" s="39"/>
      <c r="R2580" s="39"/>
      <c r="S2580" s="39"/>
      <c r="T2580" s="39"/>
      <c r="U2580" s="39"/>
    </row>
    <row r="2581">
      <c r="A2581" s="40">
        <f t="shared" si="1"/>
        <v>46006</v>
      </c>
      <c r="B2581" s="37" t="str">
        <f t="array" ref="B2581">iferror(xlookup($I2581, 'IMPORT VHC Report'!$E:$E, 'IMPORT VHC Report'!$A:$C), )</f>
        <v/>
      </c>
      <c r="C2581" s="37"/>
      <c r="D2581" s="37"/>
      <c r="E2581" s="38" t="s">
        <v>3147</v>
      </c>
      <c r="F2581" s="38" t="s">
        <v>3124</v>
      </c>
      <c r="G2581" s="38">
        <v>3.61725115636E11</v>
      </c>
      <c r="H2581" s="38" t="s">
        <v>3125</v>
      </c>
      <c r="I2581" s="38" t="s">
        <v>3126</v>
      </c>
      <c r="J2581" s="38" t="s">
        <v>368</v>
      </c>
      <c r="K2581" s="38" t="s">
        <v>63</v>
      </c>
      <c r="L2581" s="41">
        <v>46010.291666666664</v>
      </c>
      <c r="M2581" s="38" t="s">
        <v>123</v>
      </c>
      <c r="N2581" s="41">
        <v>46010.666666666664</v>
      </c>
      <c r="O2581" s="38" t="s">
        <v>123</v>
      </c>
      <c r="P2581" s="38">
        <v>32400.0</v>
      </c>
      <c r="Q2581" s="39"/>
      <c r="R2581" s="39"/>
      <c r="S2581" s="38" t="s">
        <v>3148</v>
      </c>
      <c r="T2581" s="39"/>
      <c r="U2581" s="39"/>
    </row>
    <row r="2582">
      <c r="A2582" s="40">
        <f t="shared" si="1"/>
        <v>46006</v>
      </c>
      <c r="B2582" s="37" t="str">
        <f t="array" ref="B2582">iferror(xlookup($I2582, 'IMPORT VHC Report'!$E:$E, 'IMPORT VHC Report'!$A:$C), )</f>
        <v/>
      </c>
      <c r="C2582" s="37"/>
      <c r="D2582" s="37"/>
      <c r="E2582" s="38" t="s">
        <v>3149</v>
      </c>
      <c r="F2582" s="38" t="s">
        <v>3124</v>
      </c>
      <c r="G2582" s="38">
        <v>3.61725115636E11</v>
      </c>
      <c r="H2582" s="38" t="s">
        <v>3125</v>
      </c>
      <c r="I2582" s="38" t="s">
        <v>3126</v>
      </c>
      <c r="J2582" s="38" t="s">
        <v>134</v>
      </c>
      <c r="K2582" s="38" t="s">
        <v>126</v>
      </c>
      <c r="L2582" s="41">
        <v>46010.4375</v>
      </c>
      <c r="M2582" s="38" t="s">
        <v>123</v>
      </c>
      <c r="N2582" s="41">
        <v>46010.458333333336</v>
      </c>
      <c r="O2582" s="38" t="s">
        <v>123</v>
      </c>
      <c r="P2582" s="38">
        <v>1800.0</v>
      </c>
      <c r="Q2582" s="39"/>
      <c r="R2582" s="39"/>
      <c r="S2582" s="39"/>
      <c r="T2582" s="39"/>
      <c r="U2582" s="39"/>
    </row>
    <row r="2583">
      <c r="A2583" s="40">
        <f t="shared" si="1"/>
        <v>46006</v>
      </c>
      <c r="B2583" s="37" t="str">
        <f t="array" ref="B2583">iferror(xlookup($I2583, 'IMPORT VHC Report'!$E:$E, 'IMPORT VHC Report'!$A:$C), )</f>
        <v/>
      </c>
      <c r="C2583" s="37"/>
      <c r="D2583" s="37"/>
      <c r="E2583" s="38" t="s">
        <v>3150</v>
      </c>
      <c r="F2583" s="38" t="s">
        <v>3124</v>
      </c>
      <c r="G2583" s="38">
        <v>3.61725115636E11</v>
      </c>
      <c r="H2583" s="38" t="s">
        <v>3125</v>
      </c>
      <c r="I2583" s="38" t="s">
        <v>3126</v>
      </c>
      <c r="J2583" s="38" t="s">
        <v>136</v>
      </c>
      <c r="K2583" s="38" t="s">
        <v>126</v>
      </c>
      <c r="L2583" s="41">
        <v>46010.458333333336</v>
      </c>
      <c r="M2583" s="38" t="s">
        <v>123</v>
      </c>
      <c r="N2583" s="41">
        <v>46010.5</v>
      </c>
      <c r="O2583" s="38" t="s">
        <v>123</v>
      </c>
      <c r="P2583" s="38">
        <v>3600.0</v>
      </c>
      <c r="Q2583" s="39"/>
      <c r="R2583" s="39"/>
      <c r="S2583" s="39"/>
      <c r="T2583" s="39"/>
      <c r="U2583" s="39"/>
    </row>
    <row r="2584">
      <c r="A2584" s="40">
        <f t="shared" si="1"/>
        <v>46006</v>
      </c>
      <c r="B2584" s="37" t="str">
        <f t="array" ref="B2584">iferror(xlookup($I2584, 'IMPORT VHC Report'!$E:$E, 'IMPORT VHC Report'!$A:$C), )</f>
        <v/>
      </c>
      <c r="C2584" s="37"/>
      <c r="D2584" s="37"/>
      <c r="E2584" s="38" t="s">
        <v>3151</v>
      </c>
      <c r="F2584" s="38" t="s">
        <v>3124</v>
      </c>
      <c r="G2584" s="38">
        <v>3.61725115636E11</v>
      </c>
      <c r="H2584" s="38" t="s">
        <v>3125</v>
      </c>
      <c r="I2584" s="38" t="s">
        <v>3126</v>
      </c>
      <c r="J2584" s="38" t="s">
        <v>125</v>
      </c>
      <c r="K2584" s="38" t="s">
        <v>126</v>
      </c>
      <c r="L2584" s="41">
        <v>46010.5</v>
      </c>
      <c r="M2584" s="38" t="s">
        <v>123</v>
      </c>
      <c r="N2584" s="41">
        <v>46010.520833333336</v>
      </c>
      <c r="O2584" s="38" t="s">
        <v>123</v>
      </c>
      <c r="P2584" s="38">
        <v>1800.0</v>
      </c>
      <c r="Q2584" s="39"/>
      <c r="R2584" s="39"/>
      <c r="S2584" s="39"/>
      <c r="T2584" s="39"/>
      <c r="U2584" s="39"/>
    </row>
    <row r="2585">
      <c r="A2585" s="40">
        <f t="shared" si="1"/>
        <v>46006</v>
      </c>
      <c r="B2585" s="37" t="str">
        <f t="array" ref="B2585">iferror(xlookup($I2585, 'IMPORT VHC Report'!$E:$E, 'IMPORT VHC Report'!$A:$C), )</f>
        <v/>
      </c>
      <c r="C2585" s="37"/>
      <c r="D2585" s="37"/>
      <c r="E2585" s="38" t="s">
        <v>3152</v>
      </c>
      <c r="F2585" s="38" t="s">
        <v>3124</v>
      </c>
      <c r="G2585" s="38">
        <v>3.61725115636E11</v>
      </c>
      <c r="H2585" s="38" t="s">
        <v>3125</v>
      </c>
      <c r="I2585" s="38" t="s">
        <v>3126</v>
      </c>
      <c r="J2585" s="38" t="s">
        <v>132</v>
      </c>
      <c r="K2585" s="38" t="s">
        <v>126</v>
      </c>
      <c r="L2585" s="41">
        <v>46010.57986111111</v>
      </c>
      <c r="M2585" s="38" t="s">
        <v>123</v>
      </c>
      <c r="N2585" s="41">
        <v>46010.62152777778</v>
      </c>
      <c r="O2585" s="38" t="s">
        <v>123</v>
      </c>
      <c r="P2585" s="38">
        <v>3600.0</v>
      </c>
      <c r="Q2585" s="39"/>
      <c r="R2585" s="39"/>
      <c r="S2585" s="39"/>
      <c r="T2585" s="39"/>
      <c r="U2585" s="39"/>
    </row>
    <row r="2586">
      <c r="A2586" s="40">
        <f t="shared" si="1"/>
        <v>46006</v>
      </c>
      <c r="B2586" s="37" t="str">
        <f t="array" ref="B2586">iferror(xlookup($I2586, 'IMPORT VHC Report'!$E:$E, 'IMPORT VHC Report'!$A:$C), )</f>
        <v/>
      </c>
      <c r="C2586" s="37"/>
      <c r="D2586" s="37"/>
      <c r="E2586" s="38" t="s">
        <v>3153</v>
      </c>
      <c r="F2586" s="38" t="s">
        <v>3124</v>
      </c>
      <c r="G2586" s="38">
        <v>3.61725115636E11</v>
      </c>
      <c r="H2586" s="38" t="s">
        <v>3125</v>
      </c>
      <c r="I2586" s="38" t="s">
        <v>3126</v>
      </c>
      <c r="J2586" s="38" t="s">
        <v>125</v>
      </c>
      <c r="K2586" s="38" t="s">
        <v>126</v>
      </c>
      <c r="L2586" s="41">
        <v>46010.64513888889</v>
      </c>
      <c r="M2586" s="38" t="s">
        <v>123</v>
      </c>
      <c r="N2586" s="41">
        <v>46010.666666666664</v>
      </c>
      <c r="O2586" s="38" t="s">
        <v>123</v>
      </c>
      <c r="P2586" s="38">
        <v>1860.0</v>
      </c>
      <c r="Q2586" s="39"/>
      <c r="R2586" s="39"/>
      <c r="S2586" s="39"/>
      <c r="T2586" s="39"/>
      <c r="U2586" s="39"/>
    </row>
    <row r="2587">
      <c r="A2587" s="40">
        <f t="shared" si="1"/>
        <v>46006</v>
      </c>
      <c r="B2587" s="37" t="str">
        <f t="array" ref="B2587">iferror(xlookup($I2587, 'IMPORT VHC Report'!$E:$E, 'IMPORT VHC Report'!$A:$C), )</f>
        <v/>
      </c>
      <c r="C2587" s="37"/>
      <c r="D2587" s="37"/>
      <c r="E2587" s="38" t="s">
        <v>3154</v>
      </c>
      <c r="F2587" s="38" t="s">
        <v>3155</v>
      </c>
      <c r="G2587" s="38">
        <v>3.61744520136E11</v>
      </c>
      <c r="H2587" s="38" t="s">
        <v>3156</v>
      </c>
      <c r="I2587" s="38" t="s">
        <v>3157</v>
      </c>
      <c r="J2587" s="38" t="s">
        <v>178</v>
      </c>
      <c r="K2587" s="38" t="s">
        <v>153</v>
      </c>
      <c r="L2587" s="41">
        <v>46006.333333333336</v>
      </c>
      <c r="M2587" s="38" t="s">
        <v>123</v>
      </c>
      <c r="N2587" s="41">
        <v>46006.708333333336</v>
      </c>
      <c r="O2587" s="38" t="s">
        <v>123</v>
      </c>
      <c r="P2587" s="38">
        <v>32400.0</v>
      </c>
      <c r="Q2587" s="38">
        <v>32400.0</v>
      </c>
      <c r="R2587" s="39"/>
      <c r="S2587" s="39"/>
      <c r="T2587" s="39"/>
      <c r="U2587" s="39"/>
    </row>
    <row r="2588">
      <c r="A2588" s="40">
        <f t="shared" si="1"/>
        <v>46006</v>
      </c>
      <c r="B2588" s="37" t="str">
        <f t="array" ref="B2588">iferror(xlookup($I2588, 'IMPORT VHC Report'!$E:$E, 'IMPORT VHC Report'!$A:$C), )</f>
        <v/>
      </c>
      <c r="C2588" s="37"/>
      <c r="D2588" s="37"/>
      <c r="E2588" s="38" t="s">
        <v>3158</v>
      </c>
      <c r="F2588" s="38" t="s">
        <v>3155</v>
      </c>
      <c r="G2588" s="38">
        <v>3.61744520136E11</v>
      </c>
      <c r="H2588" s="38" t="s">
        <v>3156</v>
      </c>
      <c r="I2588" s="38" t="s">
        <v>3157</v>
      </c>
      <c r="J2588" s="38" t="s">
        <v>3159</v>
      </c>
      <c r="K2588" s="38" t="s">
        <v>63</v>
      </c>
      <c r="L2588" s="41">
        <v>46006.333333333336</v>
      </c>
      <c r="M2588" s="38" t="s">
        <v>123</v>
      </c>
      <c r="N2588" s="41">
        <v>46006.708333333336</v>
      </c>
      <c r="O2588" s="38" t="s">
        <v>123</v>
      </c>
      <c r="P2588" s="38">
        <v>32400.0</v>
      </c>
      <c r="Q2588" s="39"/>
      <c r="R2588" s="39"/>
      <c r="S2588" s="39"/>
      <c r="T2588" s="39"/>
      <c r="U2588" s="39"/>
    </row>
    <row r="2589">
      <c r="A2589" s="40">
        <f t="shared" si="1"/>
        <v>46006</v>
      </c>
      <c r="B2589" s="37" t="str">
        <f t="array" ref="B2589">iferror(xlookup($I2589, 'IMPORT VHC Report'!$E:$E, 'IMPORT VHC Report'!$A:$C), )</f>
        <v/>
      </c>
      <c r="C2589" s="37"/>
      <c r="D2589" s="37"/>
      <c r="E2589" s="38" t="s">
        <v>3160</v>
      </c>
      <c r="F2589" s="38" t="s">
        <v>3155</v>
      </c>
      <c r="G2589" s="38">
        <v>3.61744520136E11</v>
      </c>
      <c r="H2589" s="38" t="s">
        <v>3156</v>
      </c>
      <c r="I2589" s="38" t="s">
        <v>3157</v>
      </c>
      <c r="J2589" s="38" t="s">
        <v>134</v>
      </c>
      <c r="K2589" s="38" t="s">
        <v>126</v>
      </c>
      <c r="L2589" s="41">
        <v>46006.427083333336</v>
      </c>
      <c r="M2589" s="38" t="s">
        <v>123</v>
      </c>
      <c r="N2589" s="41">
        <v>46006.4375</v>
      </c>
      <c r="O2589" s="38" t="s">
        <v>123</v>
      </c>
      <c r="P2589" s="38">
        <v>900.0</v>
      </c>
      <c r="Q2589" s="39"/>
      <c r="R2589" s="39"/>
      <c r="S2589" s="39"/>
      <c r="T2589" s="39"/>
      <c r="U2589" s="39"/>
    </row>
    <row r="2590">
      <c r="A2590" s="40">
        <f t="shared" si="1"/>
        <v>46006</v>
      </c>
      <c r="B2590" s="37" t="str">
        <f t="array" ref="B2590">iferror(xlookup($I2590, 'IMPORT VHC Report'!$E:$E, 'IMPORT VHC Report'!$A:$C), )</f>
        <v/>
      </c>
      <c r="C2590" s="37"/>
      <c r="D2590" s="37"/>
      <c r="E2590" s="38" t="s">
        <v>3161</v>
      </c>
      <c r="F2590" s="38" t="s">
        <v>3155</v>
      </c>
      <c r="G2590" s="38">
        <v>3.61744520136E11</v>
      </c>
      <c r="H2590" s="38" t="s">
        <v>3156</v>
      </c>
      <c r="I2590" s="38" t="s">
        <v>3157</v>
      </c>
      <c r="J2590" s="38" t="s">
        <v>132</v>
      </c>
      <c r="K2590" s="38" t="s">
        <v>126</v>
      </c>
      <c r="L2590" s="41">
        <v>46006.5</v>
      </c>
      <c r="M2590" s="38" t="s">
        <v>123</v>
      </c>
      <c r="N2590" s="41">
        <v>46006.541666666664</v>
      </c>
      <c r="O2590" s="38" t="s">
        <v>123</v>
      </c>
      <c r="P2590" s="38">
        <v>3600.0</v>
      </c>
      <c r="Q2590" s="39"/>
      <c r="R2590" s="39"/>
      <c r="S2590" s="39"/>
      <c r="T2590" s="39"/>
      <c r="U2590" s="39"/>
    </row>
    <row r="2591">
      <c r="A2591" s="40">
        <f t="shared" si="1"/>
        <v>46006</v>
      </c>
      <c r="B2591" s="37" t="str">
        <f t="array" ref="B2591">iferror(xlookup($I2591, 'IMPORT VHC Report'!$E:$E, 'IMPORT VHC Report'!$A:$C), )</f>
        <v/>
      </c>
      <c r="C2591" s="37"/>
      <c r="D2591" s="37"/>
      <c r="E2591" s="38" t="s">
        <v>3162</v>
      </c>
      <c r="F2591" s="38" t="s">
        <v>3155</v>
      </c>
      <c r="G2591" s="38">
        <v>3.61744520136E11</v>
      </c>
      <c r="H2591" s="38" t="s">
        <v>3156</v>
      </c>
      <c r="I2591" s="38" t="s">
        <v>3157</v>
      </c>
      <c r="J2591" s="38" t="s">
        <v>134</v>
      </c>
      <c r="K2591" s="38" t="s">
        <v>126</v>
      </c>
      <c r="L2591" s="41">
        <v>46006.635416666664</v>
      </c>
      <c r="M2591" s="38" t="s">
        <v>123</v>
      </c>
      <c r="N2591" s="41">
        <v>46006.645833333336</v>
      </c>
      <c r="O2591" s="38" t="s">
        <v>123</v>
      </c>
      <c r="P2591" s="38">
        <v>900.0</v>
      </c>
      <c r="Q2591" s="39"/>
      <c r="R2591" s="39"/>
      <c r="S2591" s="39"/>
      <c r="T2591" s="39"/>
      <c r="U2591" s="39"/>
    </row>
    <row r="2592">
      <c r="A2592" s="40">
        <f t="shared" si="1"/>
        <v>46006</v>
      </c>
      <c r="B2592" s="37" t="str">
        <f t="array" ref="B2592">iferror(xlookup($I2592, 'IMPORT VHC Report'!$E:$E, 'IMPORT VHC Report'!$A:$C), )</f>
        <v/>
      </c>
      <c r="C2592" s="37"/>
      <c r="D2592" s="37"/>
      <c r="E2592" s="38" t="s">
        <v>3163</v>
      </c>
      <c r="F2592" s="38" t="s">
        <v>3155</v>
      </c>
      <c r="G2592" s="38">
        <v>3.61744520136E11</v>
      </c>
      <c r="H2592" s="38" t="s">
        <v>3156</v>
      </c>
      <c r="I2592" s="38" t="s">
        <v>3157</v>
      </c>
      <c r="J2592" s="38" t="s">
        <v>178</v>
      </c>
      <c r="K2592" s="38" t="s">
        <v>153</v>
      </c>
      <c r="L2592" s="41">
        <v>46007.333333333336</v>
      </c>
      <c r="M2592" s="38" t="s">
        <v>123</v>
      </c>
      <c r="N2592" s="41">
        <v>46007.708333333336</v>
      </c>
      <c r="O2592" s="38" t="s">
        <v>123</v>
      </c>
      <c r="P2592" s="38">
        <v>32400.0</v>
      </c>
      <c r="Q2592" s="38">
        <v>32400.0</v>
      </c>
      <c r="R2592" s="39"/>
      <c r="S2592" s="39"/>
      <c r="T2592" s="39"/>
      <c r="U2592" s="39"/>
    </row>
    <row r="2593">
      <c r="A2593" s="40">
        <f t="shared" si="1"/>
        <v>46006</v>
      </c>
      <c r="B2593" s="37" t="str">
        <f t="array" ref="B2593">iferror(xlookup($I2593, 'IMPORT VHC Report'!$E:$E, 'IMPORT VHC Report'!$A:$C), )</f>
        <v/>
      </c>
      <c r="C2593" s="37"/>
      <c r="D2593" s="37"/>
      <c r="E2593" s="38" t="s">
        <v>3164</v>
      </c>
      <c r="F2593" s="38" t="s">
        <v>3155</v>
      </c>
      <c r="G2593" s="38">
        <v>3.61744520136E11</v>
      </c>
      <c r="H2593" s="38" t="s">
        <v>3156</v>
      </c>
      <c r="I2593" s="38" t="s">
        <v>3157</v>
      </c>
      <c r="J2593" s="38" t="s">
        <v>3159</v>
      </c>
      <c r="K2593" s="38" t="s">
        <v>63</v>
      </c>
      <c r="L2593" s="41">
        <v>46007.333333333336</v>
      </c>
      <c r="M2593" s="38" t="s">
        <v>123</v>
      </c>
      <c r="N2593" s="41">
        <v>46007.708333333336</v>
      </c>
      <c r="O2593" s="38" t="s">
        <v>123</v>
      </c>
      <c r="P2593" s="38">
        <v>32400.0</v>
      </c>
      <c r="Q2593" s="39"/>
      <c r="R2593" s="39"/>
      <c r="S2593" s="39"/>
      <c r="T2593" s="39"/>
      <c r="U2593" s="39"/>
    </row>
    <row r="2594">
      <c r="A2594" s="40">
        <f t="shared" si="1"/>
        <v>46006</v>
      </c>
      <c r="B2594" s="37" t="str">
        <f t="array" ref="B2594">iferror(xlookup($I2594, 'IMPORT VHC Report'!$E:$E, 'IMPORT VHC Report'!$A:$C), )</f>
        <v/>
      </c>
      <c r="C2594" s="37"/>
      <c r="D2594" s="37"/>
      <c r="E2594" s="38" t="s">
        <v>3165</v>
      </c>
      <c r="F2594" s="38" t="s">
        <v>3155</v>
      </c>
      <c r="G2594" s="38">
        <v>3.61744520136E11</v>
      </c>
      <c r="H2594" s="38" t="s">
        <v>3156</v>
      </c>
      <c r="I2594" s="38" t="s">
        <v>3157</v>
      </c>
      <c r="J2594" s="38" t="s">
        <v>134</v>
      </c>
      <c r="K2594" s="38" t="s">
        <v>126</v>
      </c>
      <c r="L2594" s="41">
        <v>46007.447916666664</v>
      </c>
      <c r="M2594" s="38" t="s">
        <v>123</v>
      </c>
      <c r="N2594" s="41">
        <v>46007.458333333336</v>
      </c>
      <c r="O2594" s="38" t="s">
        <v>123</v>
      </c>
      <c r="P2594" s="38">
        <v>900.0</v>
      </c>
      <c r="Q2594" s="39"/>
      <c r="R2594" s="39"/>
      <c r="S2594" s="39"/>
      <c r="T2594" s="39"/>
      <c r="U2594" s="39"/>
    </row>
    <row r="2595">
      <c r="A2595" s="40">
        <f t="shared" si="1"/>
        <v>46006</v>
      </c>
      <c r="B2595" s="37" t="str">
        <f t="array" ref="B2595">iferror(xlookup($I2595, 'IMPORT VHC Report'!$E:$E, 'IMPORT VHC Report'!$A:$C), )</f>
        <v/>
      </c>
      <c r="C2595" s="37"/>
      <c r="D2595" s="37"/>
      <c r="E2595" s="38" t="s">
        <v>3166</v>
      </c>
      <c r="F2595" s="38" t="s">
        <v>3155</v>
      </c>
      <c r="G2595" s="38">
        <v>3.61744520136E11</v>
      </c>
      <c r="H2595" s="38" t="s">
        <v>3156</v>
      </c>
      <c r="I2595" s="38" t="s">
        <v>3157</v>
      </c>
      <c r="J2595" s="38" t="s">
        <v>132</v>
      </c>
      <c r="K2595" s="38" t="s">
        <v>126</v>
      </c>
      <c r="L2595" s="41">
        <v>46007.53125</v>
      </c>
      <c r="M2595" s="38" t="s">
        <v>123</v>
      </c>
      <c r="N2595" s="41">
        <v>46007.572916666664</v>
      </c>
      <c r="O2595" s="38" t="s">
        <v>123</v>
      </c>
      <c r="P2595" s="38">
        <v>3600.0</v>
      </c>
      <c r="Q2595" s="39"/>
      <c r="R2595" s="39"/>
      <c r="S2595" s="39"/>
      <c r="T2595" s="39"/>
      <c r="U2595" s="39"/>
    </row>
    <row r="2596">
      <c r="A2596" s="40">
        <f t="shared" si="1"/>
        <v>46006</v>
      </c>
      <c r="B2596" s="37" t="str">
        <f t="array" ref="B2596">iferror(xlookup($I2596, 'IMPORT VHC Report'!$E:$E, 'IMPORT VHC Report'!$A:$C), )</f>
        <v/>
      </c>
      <c r="C2596" s="37"/>
      <c r="D2596" s="37"/>
      <c r="E2596" s="38" t="s">
        <v>3167</v>
      </c>
      <c r="F2596" s="38" t="s">
        <v>3155</v>
      </c>
      <c r="G2596" s="38">
        <v>3.61744520136E11</v>
      </c>
      <c r="H2596" s="38" t="s">
        <v>3156</v>
      </c>
      <c r="I2596" s="38" t="s">
        <v>3157</v>
      </c>
      <c r="J2596" s="38" t="s">
        <v>134</v>
      </c>
      <c r="K2596" s="38" t="s">
        <v>126</v>
      </c>
      <c r="L2596" s="41">
        <v>46007.635416666664</v>
      </c>
      <c r="M2596" s="38" t="s">
        <v>123</v>
      </c>
      <c r="N2596" s="41">
        <v>46007.645833333336</v>
      </c>
      <c r="O2596" s="38" t="s">
        <v>123</v>
      </c>
      <c r="P2596" s="38">
        <v>900.0</v>
      </c>
      <c r="Q2596" s="39"/>
      <c r="R2596" s="39"/>
      <c r="S2596" s="39"/>
      <c r="T2596" s="39"/>
      <c r="U2596" s="39"/>
    </row>
    <row r="2597">
      <c r="A2597" s="40">
        <f t="shared" si="1"/>
        <v>46006</v>
      </c>
      <c r="B2597" s="37" t="str">
        <f t="array" ref="B2597">iferror(xlookup($I2597, 'IMPORT VHC Report'!$E:$E, 'IMPORT VHC Report'!$A:$C), )</f>
        <v/>
      </c>
      <c r="C2597" s="37"/>
      <c r="D2597" s="37"/>
      <c r="E2597" s="38" t="s">
        <v>3168</v>
      </c>
      <c r="F2597" s="38" t="s">
        <v>3155</v>
      </c>
      <c r="G2597" s="38">
        <v>3.61744520136E11</v>
      </c>
      <c r="H2597" s="38" t="s">
        <v>3156</v>
      </c>
      <c r="I2597" s="38" t="s">
        <v>3157</v>
      </c>
      <c r="J2597" s="38" t="s">
        <v>3159</v>
      </c>
      <c r="K2597" s="38" t="s">
        <v>63</v>
      </c>
      <c r="L2597" s="41">
        <v>46008.333333333336</v>
      </c>
      <c r="M2597" s="38" t="s">
        <v>123</v>
      </c>
      <c r="N2597" s="41">
        <v>46008.708333333336</v>
      </c>
      <c r="O2597" s="38" t="s">
        <v>123</v>
      </c>
      <c r="P2597" s="38">
        <v>32400.0</v>
      </c>
      <c r="Q2597" s="39"/>
      <c r="R2597" s="39"/>
      <c r="S2597" s="39"/>
      <c r="T2597" s="39"/>
      <c r="U2597" s="39"/>
    </row>
    <row r="2598">
      <c r="A2598" s="40">
        <f t="shared" si="1"/>
        <v>46006</v>
      </c>
      <c r="B2598" s="37" t="str">
        <f t="array" ref="B2598">iferror(xlookup($I2598, 'IMPORT VHC Report'!$E:$E, 'IMPORT VHC Report'!$A:$C), )</f>
        <v/>
      </c>
      <c r="C2598" s="37"/>
      <c r="D2598" s="37"/>
      <c r="E2598" s="38" t="s">
        <v>3169</v>
      </c>
      <c r="F2598" s="38" t="s">
        <v>3155</v>
      </c>
      <c r="G2598" s="38">
        <v>3.61744520136E11</v>
      </c>
      <c r="H2598" s="38" t="s">
        <v>3156</v>
      </c>
      <c r="I2598" s="38" t="s">
        <v>3157</v>
      </c>
      <c r="J2598" s="38" t="s">
        <v>134</v>
      </c>
      <c r="K2598" s="38" t="s">
        <v>126</v>
      </c>
      <c r="L2598" s="41">
        <v>46008.4375</v>
      </c>
      <c r="M2598" s="38" t="s">
        <v>123</v>
      </c>
      <c r="N2598" s="41">
        <v>46008.447916666664</v>
      </c>
      <c r="O2598" s="38" t="s">
        <v>123</v>
      </c>
      <c r="P2598" s="38">
        <v>900.0</v>
      </c>
      <c r="Q2598" s="39"/>
      <c r="R2598" s="39"/>
      <c r="S2598" s="39"/>
      <c r="T2598" s="39"/>
      <c r="U2598" s="39"/>
    </row>
    <row r="2599">
      <c r="A2599" s="40">
        <f t="shared" si="1"/>
        <v>46006</v>
      </c>
      <c r="B2599" s="37" t="str">
        <f t="array" ref="B2599">iferror(xlookup($I2599, 'IMPORT VHC Report'!$E:$E, 'IMPORT VHC Report'!$A:$C), )</f>
        <v/>
      </c>
      <c r="C2599" s="37"/>
      <c r="D2599" s="37"/>
      <c r="E2599" s="38" t="s">
        <v>3170</v>
      </c>
      <c r="F2599" s="38" t="s">
        <v>3155</v>
      </c>
      <c r="G2599" s="38">
        <v>3.61744520136E11</v>
      </c>
      <c r="H2599" s="38" t="s">
        <v>3156</v>
      </c>
      <c r="I2599" s="38" t="s">
        <v>3157</v>
      </c>
      <c r="J2599" s="38" t="s">
        <v>132</v>
      </c>
      <c r="K2599" s="38" t="s">
        <v>126</v>
      </c>
      <c r="L2599" s="41">
        <v>46008.520833333336</v>
      </c>
      <c r="M2599" s="38" t="s">
        <v>123</v>
      </c>
      <c r="N2599" s="41">
        <v>46008.5625</v>
      </c>
      <c r="O2599" s="38" t="s">
        <v>123</v>
      </c>
      <c r="P2599" s="38">
        <v>3600.0</v>
      </c>
      <c r="Q2599" s="39"/>
      <c r="R2599" s="39"/>
      <c r="S2599" s="39"/>
      <c r="T2599" s="39"/>
      <c r="U2599" s="39"/>
    </row>
    <row r="2600">
      <c r="A2600" s="40">
        <f t="shared" si="1"/>
        <v>46006</v>
      </c>
      <c r="B2600" s="37" t="str">
        <f t="array" ref="B2600">iferror(xlookup($I2600, 'IMPORT VHC Report'!$E:$E, 'IMPORT VHC Report'!$A:$C), )</f>
        <v/>
      </c>
      <c r="C2600" s="37"/>
      <c r="D2600" s="37"/>
      <c r="E2600" s="38" t="s">
        <v>3171</v>
      </c>
      <c r="F2600" s="38" t="s">
        <v>3155</v>
      </c>
      <c r="G2600" s="38">
        <v>3.61744520136E11</v>
      </c>
      <c r="H2600" s="38" t="s">
        <v>3156</v>
      </c>
      <c r="I2600" s="38" t="s">
        <v>3157</v>
      </c>
      <c r="J2600" s="38" t="s">
        <v>134</v>
      </c>
      <c r="K2600" s="38" t="s">
        <v>126</v>
      </c>
      <c r="L2600" s="41">
        <v>46008.625</v>
      </c>
      <c r="M2600" s="38" t="s">
        <v>123</v>
      </c>
      <c r="N2600" s="41">
        <v>46008.635416666664</v>
      </c>
      <c r="O2600" s="38" t="s">
        <v>123</v>
      </c>
      <c r="P2600" s="38">
        <v>900.0</v>
      </c>
      <c r="Q2600" s="39"/>
      <c r="R2600" s="39"/>
      <c r="S2600" s="39"/>
      <c r="T2600" s="39"/>
      <c r="U2600" s="39"/>
    </row>
    <row r="2601">
      <c r="A2601" s="40">
        <f t="shared" si="1"/>
        <v>46006</v>
      </c>
      <c r="B2601" s="37" t="str">
        <f t="array" ref="B2601">iferror(xlookup($I2601, 'IMPORT VHC Report'!$E:$E, 'IMPORT VHC Report'!$A:$C), )</f>
        <v/>
      </c>
      <c r="C2601" s="37"/>
      <c r="D2601" s="37"/>
      <c r="E2601" s="38" t="s">
        <v>3172</v>
      </c>
      <c r="F2601" s="38" t="s">
        <v>3155</v>
      </c>
      <c r="G2601" s="38">
        <v>3.61744520136E11</v>
      </c>
      <c r="H2601" s="38" t="s">
        <v>3156</v>
      </c>
      <c r="I2601" s="38" t="s">
        <v>3157</v>
      </c>
      <c r="J2601" s="38" t="s">
        <v>3159</v>
      </c>
      <c r="K2601" s="38" t="s">
        <v>63</v>
      </c>
      <c r="L2601" s="41">
        <v>46009.333333333336</v>
      </c>
      <c r="M2601" s="38" t="s">
        <v>123</v>
      </c>
      <c r="N2601" s="41">
        <v>46009.708333333336</v>
      </c>
      <c r="O2601" s="38" t="s">
        <v>123</v>
      </c>
      <c r="P2601" s="38">
        <v>32400.0</v>
      </c>
      <c r="Q2601" s="39"/>
      <c r="R2601" s="39"/>
      <c r="S2601" s="39"/>
      <c r="T2601" s="39"/>
      <c r="U2601" s="39"/>
    </row>
    <row r="2602">
      <c r="A2602" s="40">
        <f t="shared" si="1"/>
        <v>46006</v>
      </c>
      <c r="B2602" s="37" t="str">
        <f t="array" ref="B2602">iferror(xlookup($I2602, 'IMPORT VHC Report'!$E:$E, 'IMPORT VHC Report'!$A:$C), )</f>
        <v/>
      </c>
      <c r="C2602" s="37"/>
      <c r="D2602" s="37"/>
      <c r="E2602" s="38" t="s">
        <v>3173</v>
      </c>
      <c r="F2602" s="38" t="s">
        <v>3155</v>
      </c>
      <c r="G2602" s="38">
        <v>3.61744520136E11</v>
      </c>
      <c r="H2602" s="38" t="s">
        <v>3156</v>
      </c>
      <c r="I2602" s="38" t="s">
        <v>3157</v>
      </c>
      <c r="J2602" s="38" t="s">
        <v>134</v>
      </c>
      <c r="K2602" s="38" t="s">
        <v>126</v>
      </c>
      <c r="L2602" s="41">
        <v>46009.427083333336</v>
      </c>
      <c r="M2602" s="38" t="s">
        <v>123</v>
      </c>
      <c r="N2602" s="41">
        <v>46009.4375</v>
      </c>
      <c r="O2602" s="38" t="s">
        <v>123</v>
      </c>
      <c r="P2602" s="38">
        <v>900.0</v>
      </c>
      <c r="Q2602" s="39"/>
      <c r="R2602" s="39"/>
      <c r="S2602" s="39"/>
      <c r="T2602" s="39"/>
      <c r="U2602" s="39"/>
    </row>
    <row r="2603">
      <c r="A2603" s="40">
        <f t="shared" si="1"/>
        <v>46006</v>
      </c>
      <c r="B2603" s="37" t="str">
        <f t="array" ref="B2603">iferror(xlookup($I2603, 'IMPORT VHC Report'!$E:$E, 'IMPORT VHC Report'!$A:$C), )</f>
        <v/>
      </c>
      <c r="C2603" s="37"/>
      <c r="D2603" s="37"/>
      <c r="E2603" s="38" t="s">
        <v>3174</v>
      </c>
      <c r="F2603" s="38" t="s">
        <v>3155</v>
      </c>
      <c r="G2603" s="38">
        <v>3.61744520136E11</v>
      </c>
      <c r="H2603" s="38" t="s">
        <v>3156</v>
      </c>
      <c r="I2603" s="38" t="s">
        <v>3157</v>
      </c>
      <c r="J2603" s="38" t="s">
        <v>132</v>
      </c>
      <c r="K2603" s="38" t="s">
        <v>126</v>
      </c>
      <c r="L2603" s="41">
        <v>46009.53125</v>
      </c>
      <c r="M2603" s="38" t="s">
        <v>123</v>
      </c>
      <c r="N2603" s="41">
        <v>46009.572916666664</v>
      </c>
      <c r="O2603" s="38" t="s">
        <v>123</v>
      </c>
      <c r="P2603" s="38">
        <v>3600.0</v>
      </c>
      <c r="Q2603" s="39"/>
      <c r="R2603" s="39"/>
      <c r="S2603" s="39"/>
      <c r="T2603" s="39"/>
      <c r="U2603" s="39"/>
    </row>
    <row r="2604">
      <c r="A2604" s="40">
        <f t="shared" si="1"/>
        <v>46006</v>
      </c>
      <c r="B2604" s="37" t="str">
        <f t="array" ref="B2604">iferror(xlookup($I2604, 'IMPORT VHC Report'!$E:$E, 'IMPORT VHC Report'!$A:$C), )</f>
        <v/>
      </c>
      <c r="C2604" s="37"/>
      <c r="D2604" s="37"/>
      <c r="E2604" s="38" t="s">
        <v>3175</v>
      </c>
      <c r="F2604" s="38" t="s">
        <v>3155</v>
      </c>
      <c r="G2604" s="38">
        <v>3.61744520136E11</v>
      </c>
      <c r="H2604" s="38" t="s">
        <v>3156</v>
      </c>
      <c r="I2604" s="38" t="s">
        <v>3157</v>
      </c>
      <c r="J2604" s="38" t="s">
        <v>134</v>
      </c>
      <c r="K2604" s="38" t="s">
        <v>126</v>
      </c>
      <c r="L2604" s="41">
        <v>46009.635416666664</v>
      </c>
      <c r="M2604" s="38" t="s">
        <v>123</v>
      </c>
      <c r="N2604" s="41">
        <v>46009.645833333336</v>
      </c>
      <c r="O2604" s="38" t="s">
        <v>123</v>
      </c>
      <c r="P2604" s="38">
        <v>900.0</v>
      </c>
      <c r="Q2604" s="39"/>
      <c r="R2604" s="39"/>
      <c r="S2604" s="39"/>
      <c r="T2604" s="39"/>
      <c r="U2604" s="39"/>
    </row>
    <row r="2605">
      <c r="A2605" s="40">
        <f t="shared" si="1"/>
        <v>46006</v>
      </c>
      <c r="B2605" s="37" t="str">
        <f t="array" ref="B2605">iferror(xlookup($I2605, 'IMPORT VHC Report'!$E:$E, 'IMPORT VHC Report'!$A:$C), )</f>
        <v/>
      </c>
      <c r="C2605" s="37"/>
      <c r="D2605" s="37"/>
      <c r="E2605" s="38" t="s">
        <v>3176</v>
      </c>
      <c r="F2605" s="38" t="s">
        <v>3155</v>
      </c>
      <c r="G2605" s="38">
        <v>3.61744520136E11</v>
      </c>
      <c r="H2605" s="38" t="s">
        <v>3156</v>
      </c>
      <c r="I2605" s="38" t="s">
        <v>3157</v>
      </c>
      <c r="J2605" s="38" t="s">
        <v>3159</v>
      </c>
      <c r="K2605" s="38" t="s">
        <v>63</v>
      </c>
      <c r="L2605" s="41">
        <v>46010.333333333336</v>
      </c>
      <c r="M2605" s="38" t="s">
        <v>123</v>
      </c>
      <c r="N2605" s="41">
        <v>46010.708333333336</v>
      </c>
      <c r="O2605" s="38" t="s">
        <v>123</v>
      </c>
      <c r="P2605" s="38">
        <v>32400.0</v>
      </c>
      <c r="Q2605" s="39"/>
      <c r="R2605" s="39"/>
      <c r="S2605" s="39"/>
      <c r="T2605" s="39"/>
      <c r="U2605" s="39"/>
    </row>
    <row r="2606">
      <c r="A2606" s="40">
        <f t="shared" si="1"/>
        <v>46006</v>
      </c>
      <c r="B2606" s="37" t="str">
        <f t="array" ref="B2606">iferror(xlookup($I2606, 'IMPORT VHC Report'!$E:$E, 'IMPORT VHC Report'!$A:$C), )</f>
        <v/>
      </c>
      <c r="C2606" s="37"/>
      <c r="D2606" s="37"/>
      <c r="E2606" s="38" t="s">
        <v>3177</v>
      </c>
      <c r="F2606" s="38" t="s">
        <v>3155</v>
      </c>
      <c r="G2606" s="38">
        <v>3.61744520136E11</v>
      </c>
      <c r="H2606" s="38" t="s">
        <v>3156</v>
      </c>
      <c r="I2606" s="38" t="s">
        <v>3157</v>
      </c>
      <c r="J2606" s="38" t="s">
        <v>134</v>
      </c>
      <c r="K2606" s="38" t="s">
        <v>126</v>
      </c>
      <c r="L2606" s="41">
        <v>46010.40625</v>
      </c>
      <c r="M2606" s="38" t="s">
        <v>123</v>
      </c>
      <c r="N2606" s="41">
        <v>46010.416666666664</v>
      </c>
      <c r="O2606" s="38" t="s">
        <v>123</v>
      </c>
      <c r="P2606" s="38">
        <v>900.0</v>
      </c>
      <c r="Q2606" s="39"/>
      <c r="R2606" s="39"/>
      <c r="S2606" s="39"/>
      <c r="T2606" s="39"/>
      <c r="U2606" s="39"/>
    </row>
    <row r="2607">
      <c r="A2607" s="40">
        <f t="shared" si="1"/>
        <v>46006</v>
      </c>
      <c r="B2607" s="37" t="str">
        <f t="array" ref="B2607">iferror(xlookup($I2607, 'IMPORT VHC Report'!$E:$E, 'IMPORT VHC Report'!$A:$C), )</f>
        <v/>
      </c>
      <c r="C2607" s="37"/>
      <c r="D2607" s="37"/>
      <c r="E2607" s="38" t="s">
        <v>3178</v>
      </c>
      <c r="F2607" s="38" t="s">
        <v>3155</v>
      </c>
      <c r="G2607" s="38">
        <v>3.61744520136E11</v>
      </c>
      <c r="H2607" s="38" t="s">
        <v>3156</v>
      </c>
      <c r="I2607" s="38" t="s">
        <v>3157</v>
      </c>
      <c r="J2607" s="38" t="s">
        <v>132</v>
      </c>
      <c r="K2607" s="38" t="s">
        <v>126</v>
      </c>
      <c r="L2607" s="41">
        <v>46010.53125</v>
      </c>
      <c r="M2607" s="38" t="s">
        <v>123</v>
      </c>
      <c r="N2607" s="41">
        <v>46010.572916666664</v>
      </c>
      <c r="O2607" s="38" t="s">
        <v>123</v>
      </c>
      <c r="P2607" s="38">
        <v>3600.0</v>
      </c>
      <c r="Q2607" s="39"/>
      <c r="R2607" s="39"/>
      <c r="S2607" s="39"/>
      <c r="T2607" s="39"/>
      <c r="U2607" s="39"/>
    </row>
    <row r="2608">
      <c r="A2608" s="40">
        <f t="shared" si="1"/>
        <v>46006</v>
      </c>
      <c r="B2608" s="37" t="str">
        <f t="array" ref="B2608">iferror(xlookup($I2608, 'IMPORT VHC Report'!$E:$E, 'IMPORT VHC Report'!$A:$C), )</f>
        <v/>
      </c>
      <c r="C2608" s="37"/>
      <c r="D2608" s="37"/>
      <c r="E2608" s="38" t="s">
        <v>3179</v>
      </c>
      <c r="F2608" s="38" t="s">
        <v>3155</v>
      </c>
      <c r="G2608" s="38">
        <v>3.61744520136E11</v>
      </c>
      <c r="H2608" s="38" t="s">
        <v>3156</v>
      </c>
      <c r="I2608" s="38" t="s">
        <v>3157</v>
      </c>
      <c r="J2608" s="38" t="s">
        <v>134</v>
      </c>
      <c r="K2608" s="38" t="s">
        <v>126</v>
      </c>
      <c r="L2608" s="41">
        <v>46010.635416666664</v>
      </c>
      <c r="M2608" s="38" t="s">
        <v>123</v>
      </c>
      <c r="N2608" s="41">
        <v>46010.645833333336</v>
      </c>
      <c r="O2608" s="38" t="s">
        <v>123</v>
      </c>
      <c r="P2608" s="38">
        <v>900.0</v>
      </c>
      <c r="Q2608" s="39"/>
      <c r="R2608" s="39"/>
      <c r="S2608" s="39"/>
      <c r="T2608" s="39"/>
      <c r="U2608" s="39"/>
    </row>
    <row r="2609">
      <c r="A2609" s="40">
        <f t="shared" si="1"/>
        <v>46006</v>
      </c>
      <c r="B2609" s="37" t="str">
        <f t="array" ref="B2609">iferror(xlookup($I2609, 'IMPORT VHC Report'!$E:$E, 'IMPORT VHC Report'!$A:$C), )</f>
        <v/>
      </c>
      <c r="C2609" s="37"/>
      <c r="D2609" s="37"/>
      <c r="E2609" s="38" t="s">
        <v>3180</v>
      </c>
      <c r="F2609" s="38" t="s">
        <v>3181</v>
      </c>
      <c r="G2609" s="38">
        <v>1.1819962468111E13</v>
      </c>
      <c r="H2609" s="38" t="s">
        <v>3182</v>
      </c>
      <c r="I2609" s="38" t="s">
        <v>3183</v>
      </c>
      <c r="J2609" s="38" t="s">
        <v>3159</v>
      </c>
      <c r="K2609" s="38" t="s">
        <v>63</v>
      </c>
      <c r="L2609" s="41">
        <v>46006.333333333336</v>
      </c>
      <c r="M2609" s="38" t="s">
        <v>123</v>
      </c>
      <c r="N2609" s="41">
        <v>46006.708333333336</v>
      </c>
      <c r="O2609" s="38" t="s">
        <v>123</v>
      </c>
      <c r="P2609" s="38">
        <v>32400.0</v>
      </c>
      <c r="Q2609" s="39"/>
      <c r="R2609" s="39"/>
      <c r="S2609" s="39"/>
      <c r="T2609" s="39"/>
      <c r="U2609" s="39"/>
    </row>
    <row r="2610">
      <c r="A2610" s="40">
        <f t="shared" si="1"/>
        <v>46006</v>
      </c>
      <c r="B2610" s="37" t="str">
        <f t="array" ref="B2610">iferror(xlookup($I2610, 'IMPORT VHC Report'!$E:$E, 'IMPORT VHC Report'!$A:$C), )</f>
        <v/>
      </c>
      <c r="C2610" s="37"/>
      <c r="D2610" s="37"/>
      <c r="E2610" s="38" t="s">
        <v>3184</v>
      </c>
      <c r="F2610" s="38" t="s">
        <v>3181</v>
      </c>
      <c r="G2610" s="38">
        <v>1.1819962468111E13</v>
      </c>
      <c r="H2610" s="38" t="s">
        <v>3182</v>
      </c>
      <c r="I2610" s="38" t="s">
        <v>3183</v>
      </c>
      <c r="J2610" s="38" t="s">
        <v>134</v>
      </c>
      <c r="K2610" s="38" t="s">
        <v>126</v>
      </c>
      <c r="L2610" s="41">
        <v>46006.40625</v>
      </c>
      <c r="M2610" s="38" t="s">
        <v>123</v>
      </c>
      <c r="N2610" s="41">
        <v>46006.416666666664</v>
      </c>
      <c r="O2610" s="38" t="s">
        <v>123</v>
      </c>
      <c r="P2610" s="38">
        <v>900.0</v>
      </c>
      <c r="Q2610" s="39"/>
      <c r="R2610" s="39"/>
      <c r="S2610" s="39"/>
      <c r="T2610" s="39"/>
      <c r="U2610" s="39"/>
    </row>
    <row r="2611">
      <c r="A2611" s="40">
        <f t="shared" si="1"/>
        <v>46006</v>
      </c>
      <c r="B2611" s="37" t="str">
        <f t="array" ref="B2611">iferror(xlookup($I2611, 'IMPORT VHC Report'!$E:$E, 'IMPORT VHC Report'!$A:$C), )</f>
        <v/>
      </c>
      <c r="C2611" s="37"/>
      <c r="D2611" s="37"/>
      <c r="E2611" s="38" t="s">
        <v>3185</v>
      </c>
      <c r="F2611" s="38" t="s">
        <v>3181</v>
      </c>
      <c r="G2611" s="38">
        <v>1.1819962468111E13</v>
      </c>
      <c r="H2611" s="38" t="s">
        <v>3182</v>
      </c>
      <c r="I2611" s="38" t="s">
        <v>3183</v>
      </c>
      <c r="J2611" s="38" t="s">
        <v>132</v>
      </c>
      <c r="K2611" s="38" t="s">
        <v>126</v>
      </c>
      <c r="L2611" s="41">
        <v>46006.520833333336</v>
      </c>
      <c r="M2611" s="38" t="s">
        <v>123</v>
      </c>
      <c r="N2611" s="41">
        <v>46006.5625</v>
      </c>
      <c r="O2611" s="38" t="s">
        <v>123</v>
      </c>
      <c r="P2611" s="38">
        <v>3600.0</v>
      </c>
      <c r="Q2611" s="39"/>
      <c r="R2611" s="39"/>
      <c r="S2611" s="39"/>
      <c r="T2611" s="39"/>
      <c r="U2611" s="39"/>
    </row>
    <row r="2612">
      <c r="A2612" s="40">
        <f t="shared" si="1"/>
        <v>46006</v>
      </c>
      <c r="B2612" s="37" t="str">
        <f t="array" ref="B2612">iferror(xlookup($I2612, 'IMPORT VHC Report'!$E:$E, 'IMPORT VHC Report'!$A:$C), )</f>
        <v/>
      </c>
      <c r="C2612" s="37"/>
      <c r="D2612" s="37"/>
      <c r="E2612" s="38" t="s">
        <v>3186</v>
      </c>
      <c r="F2612" s="38" t="s">
        <v>3181</v>
      </c>
      <c r="G2612" s="38">
        <v>1.1819962468111E13</v>
      </c>
      <c r="H2612" s="38" t="s">
        <v>3182</v>
      </c>
      <c r="I2612" s="38" t="s">
        <v>3183</v>
      </c>
      <c r="J2612" s="38" t="s">
        <v>134</v>
      </c>
      <c r="K2612" s="38" t="s">
        <v>126</v>
      </c>
      <c r="L2612" s="41">
        <v>46006.625</v>
      </c>
      <c r="M2612" s="38" t="s">
        <v>123</v>
      </c>
      <c r="N2612" s="41">
        <v>46006.635416666664</v>
      </c>
      <c r="O2612" s="38" t="s">
        <v>123</v>
      </c>
      <c r="P2612" s="38">
        <v>900.0</v>
      </c>
      <c r="Q2612" s="39"/>
      <c r="R2612" s="39"/>
      <c r="S2612" s="39"/>
      <c r="T2612" s="39"/>
      <c r="U2612" s="39"/>
    </row>
    <row r="2613">
      <c r="A2613" s="40">
        <f t="shared" si="1"/>
        <v>46006</v>
      </c>
      <c r="B2613" s="37" t="str">
        <f t="array" ref="B2613">iferror(xlookup($I2613, 'IMPORT VHC Report'!$E:$E, 'IMPORT VHC Report'!$A:$C), )</f>
        <v/>
      </c>
      <c r="C2613" s="37"/>
      <c r="D2613" s="37"/>
      <c r="E2613" s="38" t="s">
        <v>3187</v>
      </c>
      <c r="F2613" s="38" t="s">
        <v>3181</v>
      </c>
      <c r="G2613" s="38">
        <v>1.1819962468111E13</v>
      </c>
      <c r="H2613" s="38" t="s">
        <v>3182</v>
      </c>
      <c r="I2613" s="38" t="s">
        <v>3183</v>
      </c>
      <c r="J2613" s="38" t="s">
        <v>3159</v>
      </c>
      <c r="K2613" s="38" t="s">
        <v>63</v>
      </c>
      <c r="L2613" s="41">
        <v>46007.333333333336</v>
      </c>
      <c r="M2613" s="38" t="s">
        <v>123</v>
      </c>
      <c r="N2613" s="41">
        <v>46007.708333333336</v>
      </c>
      <c r="O2613" s="38" t="s">
        <v>123</v>
      </c>
      <c r="P2613" s="38">
        <v>32400.0</v>
      </c>
      <c r="Q2613" s="39"/>
      <c r="R2613" s="39"/>
      <c r="S2613" s="39"/>
      <c r="T2613" s="39"/>
      <c r="U2613" s="39"/>
    </row>
    <row r="2614">
      <c r="A2614" s="40">
        <f t="shared" si="1"/>
        <v>46006</v>
      </c>
      <c r="B2614" s="37" t="str">
        <f t="array" ref="B2614">iferror(xlookup($I2614, 'IMPORT VHC Report'!$E:$E, 'IMPORT VHC Report'!$A:$C), )</f>
        <v/>
      </c>
      <c r="C2614" s="37"/>
      <c r="D2614" s="37"/>
      <c r="E2614" s="38" t="s">
        <v>3188</v>
      </c>
      <c r="F2614" s="38" t="s">
        <v>3181</v>
      </c>
      <c r="G2614" s="38">
        <v>1.1819962468111E13</v>
      </c>
      <c r="H2614" s="38" t="s">
        <v>3182</v>
      </c>
      <c r="I2614" s="38" t="s">
        <v>3183</v>
      </c>
      <c r="J2614" s="38" t="s">
        <v>134</v>
      </c>
      <c r="K2614" s="38" t="s">
        <v>126</v>
      </c>
      <c r="L2614" s="41">
        <v>46007.427083333336</v>
      </c>
      <c r="M2614" s="38" t="s">
        <v>123</v>
      </c>
      <c r="N2614" s="41">
        <v>46007.4375</v>
      </c>
      <c r="O2614" s="38" t="s">
        <v>123</v>
      </c>
      <c r="P2614" s="38">
        <v>900.0</v>
      </c>
      <c r="Q2614" s="39"/>
      <c r="R2614" s="39"/>
      <c r="S2614" s="39"/>
      <c r="T2614" s="39"/>
      <c r="U2614" s="39"/>
    </row>
    <row r="2615">
      <c r="A2615" s="40">
        <f t="shared" si="1"/>
        <v>46006</v>
      </c>
      <c r="B2615" s="37" t="str">
        <f t="array" ref="B2615">iferror(xlookup($I2615, 'IMPORT VHC Report'!$E:$E, 'IMPORT VHC Report'!$A:$C), )</f>
        <v/>
      </c>
      <c r="C2615" s="37"/>
      <c r="D2615" s="37"/>
      <c r="E2615" s="38" t="s">
        <v>3189</v>
      </c>
      <c r="F2615" s="38" t="s">
        <v>3181</v>
      </c>
      <c r="G2615" s="38">
        <v>1.1819962468111E13</v>
      </c>
      <c r="H2615" s="38" t="s">
        <v>3182</v>
      </c>
      <c r="I2615" s="38" t="s">
        <v>3183</v>
      </c>
      <c r="J2615" s="38" t="s">
        <v>132</v>
      </c>
      <c r="K2615" s="38" t="s">
        <v>126</v>
      </c>
      <c r="L2615" s="41">
        <v>46007.53125</v>
      </c>
      <c r="M2615" s="38" t="s">
        <v>123</v>
      </c>
      <c r="N2615" s="41">
        <v>46007.572916666664</v>
      </c>
      <c r="O2615" s="38" t="s">
        <v>123</v>
      </c>
      <c r="P2615" s="38">
        <v>3600.0</v>
      </c>
      <c r="Q2615" s="39"/>
      <c r="R2615" s="39"/>
      <c r="S2615" s="39"/>
      <c r="T2615" s="39"/>
      <c r="U2615" s="39"/>
    </row>
    <row r="2616">
      <c r="A2616" s="40">
        <f t="shared" si="1"/>
        <v>46006</v>
      </c>
      <c r="B2616" s="37" t="str">
        <f t="array" ref="B2616">iferror(xlookup($I2616, 'IMPORT VHC Report'!$E:$E, 'IMPORT VHC Report'!$A:$C), )</f>
        <v/>
      </c>
      <c r="C2616" s="37"/>
      <c r="D2616" s="37"/>
      <c r="E2616" s="38" t="s">
        <v>3190</v>
      </c>
      <c r="F2616" s="38" t="s">
        <v>3181</v>
      </c>
      <c r="G2616" s="38">
        <v>1.1819962468111E13</v>
      </c>
      <c r="H2616" s="38" t="s">
        <v>3182</v>
      </c>
      <c r="I2616" s="38" t="s">
        <v>3183</v>
      </c>
      <c r="J2616" s="38" t="s">
        <v>134</v>
      </c>
      <c r="K2616" s="38" t="s">
        <v>126</v>
      </c>
      <c r="L2616" s="41">
        <v>46007.635416666664</v>
      </c>
      <c r="M2616" s="38" t="s">
        <v>123</v>
      </c>
      <c r="N2616" s="41">
        <v>46007.645833333336</v>
      </c>
      <c r="O2616" s="38" t="s">
        <v>123</v>
      </c>
      <c r="P2616" s="38">
        <v>900.0</v>
      </c>
      <c r="Q2616" s="39"/>
      <c r="R2616" s="39"/>
      <c r="S2616" s="39"/>
      <c r="T2616" s="39"/>
      <c r="U2616" s="39"/>
    </row>
    <row r="2617">
      <c r="A2617" s="40">
        <f t="shared" si="1"/>
        <v>46006</v>
      </c>
      <c r="B2617" s="37" t="str">
        <f t="array" ref="B2617">iferror(xlookup($I2617, 'IMPORT VHC Report'!$E:$E, 'IMPORT VHC Report'!$A:$C), )</f>
        <v/>
      </c>
      <c r="C2617" s="37"/>
      <c r="D2617" s="37"/>
      <c r="E2617" s="38" t="s">
        <v>3191</v>
      </c>
      <c r="F2617" s="38" t="s">
        <v>3181</v>
      </c>
      <c r="G2617" s="38">
        <v>1.1819962468111E13</v>
      </c>
      <c r="H2617" s="38" t="s">
        <v>3182</v>
      </c>
      <c r="I2617" s="38" t="s">
        <v>3183</v>
      </c>
      <c r="J2617" s="38" t="s">
        <v>3159</v>
      </c>
      <c r="K2617" s="38" t="s">
        <v>63</v>
      </c>
      <c r="L2617" s="41">
        <v>46008.333333333336</v>
      </c>
      <c r="M2617" s="38" t="s">
        <v>123</v>
      </c>
      <c r="N2617" s="41">
        <v>46008.708333333336</v>
      </c>
      <c r="O2617" s="38" t="s">
        <v>123</v>
      </c>
      <c r="P2617" s="38">
        <v>32400.0</v>
      </c>
      <c r="Q2617" s="39"/>
      <c r="R2617" s="39"/>
      <c r="S2617" s="39"/>
      <c r="T2617" s="39"/>
      <c r="U2617" s="39"/>
    </row>
    <row r="2618">
      <c r="A2618" s="40">
        <f t="shared" si="1"/>
        <v>46006</v>
      </c>
      <c r="B2618" s="37" t="str">
        <f t="array" ref="B2618">iferror(xlookup($I2618, 'IMPORT VHC Report'!$E:$E, 'IMPORT VHC Report'!$A:$C), )</f>
        <v/>
      </c>
      <c r="C2618" s="37"/>
      <c r="D2618" s="37"/>
      <c r="E2618" s="38" t="s">
        <v>3192</v>
      </c>
      <c r="F2618" s="38" t="s">
        <v>3181</v>
      </c>
      <c r="G2618" s="38">
        <v>1.1819962468111E13</v>
      </c>
      <c r="H2618" s="38" t="s">
        <v>3182</v>
      </c>
      <c r="I2618" s="38" t="s">
        <v>3183</v>
      </c>
      <c r="J2618" s="38" t="s">
        <v>134</v>
      </c>
      <c r="K2618" s="38" t="s">
        <v>126</v>
      </c>
      <c r="L2618" s="41">
        <v>46008.447916666664</v>
      </c>
      <c r="M2618" s="38" t="s">
        <v>123</v>
      </c>
      <c r="N2618" s="41">
        <v>46008.458333333336</v>
      </c>
      <c r="O2618" s="38" t="s">
        <v>123</v>
      </c>
      <c r="P2618" s="38">
        <v>900.0</v>
      </c>
      <c r="Q2618" s="39"/>
      <c r="R2618" s="39"/>
      <c r="S2618" s="39"/>
      <c r="T2618" s="39"/>
      <c r="U2618" s="39"/>
    </row>
    <row r="2619">
      <c r="A2619" s="40">
        <f t="shared" si="1"/>
        <v>46006</v>
      </c>
      <c r="B2619" s="37" t="str">
        <f t="array" ref="B2619">iferror(xlookup($I2619, 'IMPORT VHC Report'!$E:$E, 'IMPORT VHC Report'!$A:$C), )</f>
        <v/>
      </c>
      <c r="C2619" s="37"/>
      <c r="D2619" s="37"/>
      <c r="E2619" s="38" t="s">
        <v>3193</v>
      </c>
      <c r="F2619" s="38" t="s">
        <v>3181</v>
      </c>
      <c r="G2619" s="38">
        <v>1.1819962468111E13</v>
      </c>
      <c r="H2619" s="38" t="s">
        <v>3182</v>
      </c>
      <c r="I2619" s="38" t="s">
        <v>3183</v>
      </c>
      <c r="J2619" s="38" t="s">
        <v>132</v>
      </c>
      <c r="K2619" s="38" t="s">
        <v>126</v>
      </c>
      <c r="L2619" s="41">
        <v>46008.53125</v>
      </c>
      <c r="M2619" s="38" t="s">
        <v>123</v>
      </c>
      <c r="N2619" s="41">
        <v>46008.572916666664</v>
      </c>
      <c r="O2619" s="38" t="s">
        <v>123</v>
      </c>
      <c r="P2619" s="38">
        <v>3600.0</v>
      </c>
      <c r="Q2619" s="39"/>
      <c r="R2619" s="39"/>
      <c r="S2619" s="39"/>
      <c r="T2619" s="39"/>
      <c r="U2619" s="39"/>
    </row>
    <row r="2620">
      <c r="A2620" s="40">
        <f t="shared" si="1"/>
        <v>46006</v>
      </c>
      <c r="B2620" s="37" t="str">
        <f t="array" ref="B2620">iferror(xlookup($I2620, 'IMPORT VHC Report'!$E:$E, 'IMPORT VHC Report'!$A:$C), )</f>
        <v/>
      </c>
      <c r="C2620" s="37"/>
      <c r="D2620" s="37"/>
      <c r="E2620" s="38" t="s">
        <v>3194</v>
      </c>
      <c r="F2620" s="38" t="s">
        <v>3181</v>
      </c>
      <c r="G2620" s="38">
        <v>1.1819962468111E13</v>
      </c>
      <c r="H2620" s="38" t="s">
        <v>3182</v>
      </c>
      <c r="I2620" s="38" t="s">
        <v>3183</v>
      </c>
      <c r="J2620" s="38" t="s">
        <v>134</v>
      </c>
      <c r="K2620" s="38" t="s">
        <v>126</v>
      </c>
      <c r="L2620" s="41">
        <v>46008.635416666664</v>
      </c>
      <c r="M2620" s="38" t="s">
        <v>123</v>
      </c>
      <c r="N2620" s="41">
        <v>46008.645833333336</v>
      </c>
      <c r="O2620" s="38" t="s">
        <v>123</v>
      </c>
      <c r="P2620" s="38">
        <v>900.0</v>
      </c>
      <c r="Q2620" s="39"/>
      <c r="R2620" s="39"/>
      <c r="S2620" s="39"/>
      <c r="T2620" s="39"/>
      <c r="U2620" s="39"/>
    </row>
    <row r="2621">
      <c r="A2621" s="40">
        <f t="shared" si="1"/>
        <v>46006</v>
      </c>
      <c r="B2621" s="37" t="str">
        <f t="array" ref="B2621">iferror(xlookup($I2621, 'IMPORT VHC Report'!$E:$E, 'IMPORT VHC Report'!$A:$C), )</f>
        <v/>
      </c>
      <c r="C2621" s="37"/>
      <c r="D2621" s="37"/>
      <c r="E2621" s="38" t="s">
        <v>3195</v>
      </c>
      <c r="F2621" s="38" t="s">
        <v>3181</v>
      </c>
      <c r="G2621" s="38">
        <v>1.1819962468111E13</v>
      </c>
      <c r="H2621" s="38" t="s">
        <v>3182</v>
      </c>
      <c r="I2621" s="38" t="s">
        <v>3183</v>
      </c>
      <c r="J2621" s="38" t="s">
        <v>3159</v>
      </c>
      <c r="K2621" s="38" t="s">
        <v>63</v>
      </c>
      <c r="L2621" s="41">
        <v>46009.333333333336</v>
      </c>
      <c r="M2621" s="38" t="s">
        <v>123</v>
      </c>
      <c r="N2621" s="41">
        <v>46009.708333333336</v>
      </c>
      <c r="O2621" s="38" t="s">
        <v>123</v>
      </c>
      <c r="P2621" s="38">
        <v>32400.0</v>
      </c>
      <c r="Q2621" s="39"/>
      <c r="R2621" s="39"/>
      <c r="S2621" s="39"/>
      <c r="T2621" s="39"/>
      <c r="U2621" s="39"/>
    </row>
    <row r="2622">
      <c r="A2622" s="40">
        <f t="shared" si="1"/>
        <v>46006</v>
      </c>
      <c r="B2622" s="37" t="str">
        <f t="array" ref="B2622">iferror(xlookup($I2622, 'IMPORT VHC Report'!$E:$E, 'IMPORT VHC Report'!$A:$C), )</f>
        <v/>
      </c>
      <c r="C2622" s="37"/>
      <c r="D2622" s="37"/>
      <c r="E2622" s="38" t="s">
        <v>3196</v>
      </c>
      <c r="F2622" s="38" t="s">
        <v>3181</v>
      </c>
      <c r="G2622" s="38">
        <v>1.1819962468111E13</v>
      </c>
      <c r="H2622" s="38" t="s">
        <v>3182</v>
      </c>
      <c r="I2622" s="38" t="s">
        <v>3183</v>
      </c>
      <c r="J2622" s="38" t="s">
        <v>134</v>
      </c>
      <c r="K2622" s="38" t="s">
        <v>126</v>
      </c>
      <c r="L2622" s="41">
        <v>46009.427083333336</v>
      </c>
      <c r="M2622" s="38" t="s">
        <v>123</v>
      </c>
      <c r="N2622" s="41">
        <v>46009.4375</v>
      </c>
      <c r="O2622" s="38" t="s">
        <v>123</v>
      </c>
      <c r="P2622" s="38">
        <v>900.0</v>
      </c>
      <c r="Q2622" s="39"/>
      <c r="R2622" s="39"/>
      <c r="S2622" s="39"/>
      <c r="T2622" s="39"/>
      <c r="U2622" s="39"/>
    </row>
    <row r="2623">
      <c r="A2623" s="40">
        <f t="shared" si="1"/>
        <v>46006</v>
      </c>
      <c r="B2623" s="37" t="str">
        <f t="array" ref="B2623">iferror(xlookup($I2623, 'IMPORT VHC Report'!$E:$E, 'IMPORT VHC Report'!$A:$C), )</f>
        <v/>
      </c>
      <c r="C2623" s="37"/>
      <c r="D2623" s="37"/>
      <c r="E2623" s="38" t="s">
        <v>3197</v>
      </c>
      <c r="F2623" s="38" t="s">
        <v>3181</v>
      </c>
      <c r="G2623" s="38">
        <v>1.1819962468111E13</v>
      </c>
      <c r="H2623" s="38" t="s">
        <v>3182</v>
      </c>
      <c r="I2623" s="38" t="s">
        <v>3183</v>
      </c>
      <c r="J2623" s="38" t="s">
        <v>132</v>
      </c>
      <c r="K2623" s="38" t="s">
        <v>126</v>
      </c>
      <c r="L2623" s="41">
        <v>46009.510416666664</v>
      </c>
      <c r="M2623" s="38" t="s">
        <v>123</v>
      </c>
      <c r="N2623" s="41">
        <v>46009.552083333336</v>
      </c>
      <c r="O2623" s="38" t="s">
        <v>123</v>
      </c>
      <c r="P2623" s="38">
        <v>3600.0</v>
      </c>
      <c r="Q2623" s="39"/>
      <c r="R2623" s="39"/>
      <c r="S2623" s="39"/>
      <c r="T2623" s="39"/>
      <c r="U2623" s="39"/>
    </row>
    <row r="2624">
      <c r="A2624" s="40">
        <f t="shared" si="1"/>
        <v>46006</v>
      </c>
      <c r="B2624" s="37" t="str">
        <f t="array" ref="B2624">iferror(xlookup($I2624, 'IMPORT VHC Report'!$E:$E, 'IMPORT VHC Report'!$A:$C), )</f>
        <v/>
      </c>
      <c r="C2624" s="37"/>
      <c r="D2624" s="37"/>
      <c r="E2624" s="38" t="s">
        <v>3198</v>
      </c>
      <c r="F2624" s="38" t="s">
        <v>3181</v>
      </c>
      <c r="G2624" s="38">
        <v>1.1819962468111E13</v>
      </c>
      <c r="H2624" s="38" t="s">
        <v>3182</v>
      </c>
      <c r="I2624" s="38" t="s">
        <v>3183</v>
      </c>
      <c r="J2624" s="38" t="s">
        <v>134</v>
      </c>
      <c r="K2624" s="38" t="s">
        <v>126</v>
      </c>
      <c r="L2624" s="41">
        <v>46009.635416666664</v>
      </c>
      <c r="M2624" s="38" t="s">
        <v>123</v>
      </c>
      <c r="N2624" s="41">
        <v>46009.645833333336</v>
      </c>
      <c r="O2624" s="38" t="s">
        <v>123</v>
      </c>
      <c r="P2624" s="38">
        <v>900.0</v>
      </c>
      <c r="Q2624" s="39"/>
      <c r="R2624" s="39"/>
      <c r="S2624" s="39"/>
      <c r="T2624" s="39"/>
      <c r="U2624" s="39"/>
    </row>
    <row r="2625">
      <c r="A2625" s="40">
        <f t="shared" si="1"/>
        <v>46006</v>
      </c>
      <c r="B2625" s="37" t="str">
        <f t="array" ref="B2625">iferror(xlookup($I2625, 'IMPORT VHC Report'!$E:$E, 'IMPORT VHC Report'!$A:$C), )</f>
        <v/>
      </c>
      <c r="C2625" s="37"/>
      <c r="D2625" s="37"/>
      <c r="E2625" s="38" t="s">
        <v>3199</v>
      </c>
      <c r="F2625" s="38" t="s">
        <v>3181</v>
      </c>
      <c r="G2625" s="38">
        <v>1.1819962468111E13</v>
      </c>
      <c r="H2625" s="38" t="s">
        <v>3182</v>
      </c>
      <c r="I2625" s="38" t="s">
        <v>3183</v>
      </c>
      <c r="J2625" s="38" t="s">
        <v>3159</v>
      </c>
      <c r="K2625" s="38" t="s">
        <v>63</v>
      </c>
      <c r="L2625" s="41">
        <v>46010.333333333336</v>
      </c>
      <c r="M2625" s="38" t="s">
        <v>123</v>
      </c>
      <c r="N2625" s="41">
        <v>46010.708333333336</v>
      </c>
      <c r="O2625" s="38" t="s">
        <v>123</v>
      </c>
      <c r="P2625" s="38">
        <v>32400.0</v>
      </c>
      <c r="Q2625" s="39"/>
      <c r="R2625" s="39"/>
      <c r="S2625" s="39"/>
      <c r="T2625" s="39"/>
      <c r="U2625" s="39"/>
    </row>
    <row r="2626">
      <c r="A2626" s="40">
        <f t="shared" si="1"/>
        <v>46006</v>
      </c>
      <c r="B2626" s="37" t="str">
        <f t="array" ref="B2626">iferror(xlookup($I2626, 'IMPORT VHC Report'!$E:$E, 'IMPORT VHC Report'!$A:$C), )</f>
        <v/>
      </c>
      <c r="C2626" s="37"/>
      <c r="D2626" s="37"/>
      <c r="E2626" s="38" t="s">
        <v>3200</v>
      </c>
      <c r="F2626" s="38" t="s">
        <v>3181</v>
      </c>
      <c r="G2626" s="38">
        <v>1.1819962468111E13</v>
      </c>
      <c r="H2626" s="38" t="s">
        <v>3182</v>
      </c>
      <c r="I2626" s="38" t="s">
        <v>3183</v>
      </c>
      <c r="J2626" s="38" t="s">
        <v>134</v>
      </c>
      <c r="K2626" s="38" t="s">
        <v>126</v>
      </c>
      <c r="L2626" s="41">
        <v>46010.447916666664</v>
      </c>
      <c r="M2626" s="38" t="s">
        <v>123</v>
      </c>
      <c r="N2626" s="41">
        <v>46010.458333333336</v>
      </c>
      <c r="O2626" s="38" t="s">
        <v>123</v>
      </c>
      <c r="P2626" s="38">
        <v>900.0</v>
      </c>
      <c r="Q2626" s="39"/>
      <c r="R2626" s="39"/>
      <c r="S2626" s="39"/>
      <c r="T2626" s="39"/>
      <c r="U2626" s="39"/>
    </row>
    <row r="2627">
      <c r="A2627" s="40">
        <f t="shared" si="1"/>
        <v>46006</v>
      </c>
      <c r="B2627" s="37" t="str">
        <f t="array" ref="B2627">iferror(xlookup($I2627, 'IMPORT VHC Report'!$E:$E, 'IMPORT VHC Report'!$A:$C), )</f>
        <v/>
      </c>
      <c r="C2627" s="37"/>
      <c r="D2627" s="37"/>
      <c r="E2627" s="38" t="s">
        <v>3201</v>
      </c>
      <c r="F2627" s="38" t="s">
        <v>3181</v>
      </c>
      <c r="G2627" s="38">
        <v>1.1819962468111E13</v>
      </c>
      <c r="H2627" s="38" t="s">
        <v>3182</v>
      </c>
      <c r="I2627" s="38" t="s">
        <v>3183</v>
      </c>
      <c r="J2627" s="38" t="s">
        <v>132</v>
      </c>
      <c r="K2627" s="38" t="s">
        <v>126</v>
      </c>
      <c r="L2627" s="41">
        <v>46010.520833333336</v>
      </c>
      <c r="M2627" s="38" t="s">
        <v>123</v>
      </c>
      <c r="N2627" s="41">
        <v>46010.5625</v>
      </c>
      <c r="O2627" s="38" t="s">
        <v>123</v>
      </c>
      <c r="P2627" s="38">
        <v>3600.0</v>
      </c>
      <c r="Q2627" s="39"/>
      <c r="R2627" s="39"/>
      <c r="S2627" s="39"/>
      <c r="T2627" s="39"/>
      <c r="U2627" s="39"/>
    </row>
    <row r="2628">
      <c r="A2628" s="40">
        <f t="shared" si="1"/>
        <v>46006</v>
      </c>
      <c r="B2628" s="37" t="str">
        <f t="array" ref="B2628">iferror(xlookup($I2628, 'IMPORT VHC Report'!$E:$E, 'IMPORT VHC Report'!$A:$C), )</f>
        <v/>
      </c>
      <c r="C2628" s="37"/>
      <c r="D2628" s="37"/>
      <c r="E2628" s="38" t="s">
        <v>3202</v>
      </c>
      <c r="F2628" s="38" t="s">
        <v>3181</v>
      </c>
      <c r="G2628" s="38">
        <v>1.1819962468111E13</v>
      </c>
      <c r="H2628" s="38" t="s">
        <v>3182</v>
      </c>
      <c r="I2628" s="38" t="s">
        <v>3183</v>
      </c>
      <c r="J2628" s="38" t="s">
        <v>134</v>
      </c>
      <c r="K2628" s="38" t="s">
        <v>126</v>
      </c>
      <c r="L2628" s="41">
        <v>46010.635416666664</v>
      </c>
      <c r="M2628" s="38" t="s">
        <v>123</v>
      </c>
      <c r="N2628" s="41">
        <v>46010.645833333336</v>
      </c>
      <c r="O2628" s="38" t="s">
        <v>123</v>
      </c>
      <c r="P2628" s="38">
        <v>900.0</v>
      </c>
      <c r="Q2628" s="39"/>
      <c r="R2628" s="39"/>
      <c r="S2628" s="39"/>
      <c r="T2628" s="39"/>
      <c r="U2628" s="39"/>
    </row>
    <row r="2629">
      <c r="A2629" s="40">
        <f t="shared" si="1"/>
        <v>46006</v>
      </c>
      <c r="B2629" s="37" t="str">
        <f t="array" ref="B2629">iferror(xlookup($I2629, 'IMPORT VHC Report'!$E:$E, 'IMPORT VHC Report'!$A:$C), )</f>
        <v/>
      </c>
      <c r="C2629" s="37"/>
      <c r="D2629" s="37"/>
      <c r="E2629" s="38" t="s">
        <v>3203</v>
      </c>
      <c r="F2629" s="38" t="s">
        <v>3204</v>
      </c>
      <c r="G2629" s="38">
        <v>3.61731647035E11</v>
      </c>
      <c r="H2629" s="38" t="s">
        <v>3205</v>
      </c>
      <c r="I2629" s="38" t="s">
        <v>3206</v>
      </c>
      <c r="J2629" s="38" t="s">
        <v>368</v>
      </c>
      <c r="K2629" s="38" t="s">
        <v>63</v>
      </c>
      <c r="L2629" s="41">
        <v>46006.333333333336</v>
      </c>
      <c r="M2629" s="38" t="s">
        <v>123</v>
      </c>
      <c r="N2629" s="41">
        <v>46006.708333333336</v>
      </c>
      <c r="O2629" s="38" t="s">
        <v>123</v>
      </c>
      <c r="P2629" s="38">
        <v>32400.0</v>
      </c>
      <c r="Q2629" s="39"/>
      <c r="R2629" s="39"/>
      <c r="S2629" s="39"/>
      <c r="T2629" s="39"/>
      <c r="U2629" s="39"/>
    </row>
    <row r="2630">
      <c r="A2630" s="40">
        <f t="shared" si="1"/>
        <v>46006</v>
      </c>
      <c r="B2630" s="37" t="str">
        <f t="array" ref="B2630">iferror(xlookup($I2630, 'IMPORT VHC Report'!$E:$E, 'IMPORT VHC Report'!$A:$C), )</f>
        <v/>
      </c>
      <c r="C2630" s="37"/>
      <c r="D2630" s="37"/>
      <c r="E2630" s="38" t="s">
        <v>3207</v>
      </c>
      <c r="F2630" s="38" t="s">
        <v>3204</v>
      </c>
      <c r="G2630" s="38">
        <v>3.61731647035E11</v>
      </c>
      <c r="H2630" s="38" t="s">
        <v>3205</v>
      </c>
      <c r="I2630" s="38" t="s">
        <v>3206</v>
      </c>
      <c r="J2630" s="38" t="s">
        <v>136</v>
      </c>
      <c r="K2630" s="38" t="s">
        <v>126</v>
      </c>
      <c r="L2630" s="41">
        <v>46006.416666666664</v>
      </c>
      <c r="M2630" s="38" t="s">
        <v>123</v>
      </c>
      <c r="N2630" s="41">
        <v>46006.43472222222</v>
      </c>
      <c r="O2630" s="38" t="s">
        <v>123</v>
      </c>
      <c r="P2630" s="38">
        <v>1560.0</v>
      </c>
      <c r="Q2630" s="39"/>
      <c r="R2630" s="39"/>
      <c r="S2630" s="38" t="s">
        <v>2659</v>
      </c>
      <c r="T2630" s="39"/>
      <c r="U2630" s="39"/>
    </row>
    <row r="2631">
      <c r="A2631" s="40">
        <f t="shared" si="1"/>
        <v>46006</v>
      </c>
      <c r="B2631" s="37" t="str">
        <f t="array" ref="B2631">iferror(xlookup($I2631, 'IMPORT VHC Report'!$E:$E, 'IMPORT VHC Report'!$A:$C), )</f>
        <v/>
      </c>
      <c r="C2631" s="37"/>
      <c r="D2631" s="37"/>
      <c r="E2631" s="38" t="s">
        <v>3208</v>
      </c>
      <c r="F2631" s="38" t="s">
        <v>3204</v>
      </c>
      <c r="G2631" s="38">
        <v>3.61731647035E11</v>
      </c>
      <c r="H2631" s="38" t="s">
        <v>3205</v>
      </c>
      <c r="I2631" s="38" t="s">
        <v>3206</v>
      </c>
      <c r="J2631" s="38" t="s">
        <v>134</v>
      </c>
      <c r="K2631" s="38" t="s">
        <v>126</v>
      </c>
      <c r="L2631" s="41">
        <v>46006.43472222222</v>
      </c>
      <c r="M2631" s="38" t="s">
        <v>123</v>
      </c>
      <c r="N2631" s="41">
        <v>46006.455555555556</v>
      </c>
      <c r="O2631" s="38" t="s">
        <v>123</v>
      </c>
      <c r="P2631" s="38">
        <v>1800.0</v>
      </c>
      <c r="Q2631" s="39"/>
      <c r="R2631" s="39"/>
      <c r="S2631" s="39"/>
      <c r="T2631" s="39"/>
      <c r="U2631" s="39"/>
    </row>
    <row r="2632">
      <c r="A2632" s="40">
        <f t="shared" si="1"/>
        <v>46006</v>
      </c>
      <c r="B2632" s="37" t="str">
        <f t="array" ref="B2632">iferror(xlookup($I2632, 'IMPORT VHC Report'!$E:$E, 'IMPORT VHC Report'!$A:$C), )</f>
        <v/>
      </c>
      <c r="C2632" s="37"/>
      <c r="D2632" s="37"/>
      <c r="E2632" s="38" t="s">
        <v>3209</v>
      </c>
      <c r="F2632" s="38" t="s">
        <v>3204</v>
      </c>
      <c r="G2632" s="38">
        <v>3.61731647035E11</v>
      </c>
      <c r="H2632" s="38" t="s">
        <v>3205</v>
      </c>
      <c r="I2632" s="38" t="s">
        <v>3206</v>
      </c>
      <c r="J2632" s="38" t="s">
        <v>132</v>
      </c>
      <c r="K2632" s="38" t="s">
        <v>126</v>
      </c>
      <c r="L2632" s="41">
        <v>46006.572916666664</v>
      </c>
      <c r="M2632" s="38" t="s">
        <v>123</v>
      </c>
      <c r="N2632" s="41">
        <v>46006.614583333336</v>
      </c>
      <c r="O2632" s="38" t="s">
        <v>123</v>
      </c>
      <c r="P2632" s="38">
        <v>3600.0</v>
      </c>
      <c r="Q2632" s="39"/>
      <c r="R2632" s="39"/>
      <c r="S2632" s="39"/>
      <c r="T2632" s="39"/>
      <c r="U2632" s="39"/>
    </row>
    <row r="2633">
      <c r="A2633" s="40">
        <f t="shared" si="1"/>
        <v>46006</v>
      </c>
      <c r="B2633" s="37" t="str">
        <f t="array" ref="B2633">iferror(xlookup($I2633, 'IMPORT VHC Report'!$E:$E, 'IMPORT VHC Report'!$A:$C), )</f>
        <v/>
      </c>
      <c r="C2633" s="37"/>
      <c r="D2633" s="37"/>
      <c r="E2633" s="38" t="s">
        <v>3210</v>
      </c>
      <c r="F2633" s="38" t="s">
        <v>3204</v>
      </c>
      <c r="G2633" s="38">
        <v>3.61731647035E11</v>
      </c>
      <c r="H2633" s="38" t="s">
        <v>3205</v>
      </c>
      <c r="I2633" s="38" t="s">
        <v>3206</v>
      </c>
      <c r="J2633" s="38" t="s">
        <v>368</v>
      </c>
      <c r="K2633" s="38" t="s">
        <v>63</v>
      </c>
      <c r="L2633" s="41">
        <v>46007.333333333336</v>
      </c>
      <c r="M2633" s="38" t="s">
        <v>123</v>
      </c>
      <c r="N2633" s="41">
        <v>46007.708333333336</v>
      </c>
      <c r="O2633" s="38" t="s">
        <v>123</v>
      </c>
      <c r="P2633" s="38">
        <v>32400.0</v>
      </c>
      <c r="Q2633" s="39"/>
      <c r="R2633" s="39"/>
      <c r="S2633" s="39"/>
      <c r="T2633" s="39"/>
      <c r="U2633" s="39"/>
    </row>
    <row r="2634">
      <c r="A2634" s="40">
        <f t="shared" si="1"/>
        <v>46006</v>
      </c>
      <c r="B2634" s="37" t="str">
        <f t="array" ref="B2634">iferror(xlookup($I2634, 'IMPORT VHC Report'!$E:$E, 'IMPORT VHC Report'!$A:$C), )</f>
        <v/>
      </c>
      <c r="C2634" s="37"/>
      <c r="D2634" s="37"/>
      <c r="E2634" s="38" t="s">
        <v>3211</v>
      </c>
      <c r="F2634" s="38" t="s">
        <v>3204</v>
      </c>
      <c r="G2634" s="38">
        <v>3.61731647035E11</v>
      </c>
      <c r="H2634" s="38" t="s">
        <v>3205</v>
      </c>
      <c r="I2634" s="38" t="s">
        <v>3206</v>
      </c>
      <c r="J2634" s="38" t="s">
        <v>134</v>
      </c>
      <c r="K2634" s="38" t="s">
        <v>126</v>
      </c>
      <c r="L2634" s="41">
        <v>46007.46875</v>
      </c>
      <c r="M2634" s="38" t="s">
        <v>123</v>
      </c>
      <c r="N2634" s="41">
        <v>46007.489583333336</v>
      </c>
      <c r="O2634" s="38" t="s">
        <v>123</v>
      </c>
      <c r="P2634" s="38">
        <v>1800.0</v>
      </c>
      <c r="Q2634" s="39"/>
      <c r="R2634" s="39"/>
      <c r="S2634" s="39"/>
      <c r="T2634" s="39"/>
      <c r="U2634" s="39"/>
    </row>
    <row r="2635">
      <c r="A2635" s="40">
        <f t="shared" si="1"/>
        <v>46006</v>
      </c>
      <c r="B2635" s="37" t="str">
        <f t="array" ref="B2635">iferror(xlookup($I2635, 'IMPORT VHC Report'!$E:$E, 'IMPORT VHC Report'!$A:$C), )</f>
        <v/>
      </c>
      <c r="C2635" s="37"/>
      <c r="D2635" s="37"/>
      <c r="E2635" s="38" t="s">
        <v>3212</v>
      </c>
      <c r="F2635" s="38" t="s">
        <v>3204</v>
      </c>
      <c r="G2635" s="38">
        <v>3.61731647035E11</v>
      </c>
      <c r="H2635" s="38" t="s">
        <v>3205</v>
      </c>
      <c r="I2635" s="38" t="s">
        <v>3206</v>
      </c>
      <c r="J2635" s="38" t="s">
        <v>132</v>
      </c>
      <c r="K2635" s="38" t="s">
        <v>126</v>
      </c>
      <c r="L2635" s="41">
        <v>46007.583333333336</v>
      </c>
      <c r="M2635" s="38" t="s">
        <v>123</v>
      </c>
      <c r="N2635" s="41">
        <v>46007.625</v>
      </c>
      <c r="O2635" s="38" t="s">
        <v>123</v>
      </c>
      <c r="P2635" s="38">
        <v>3600.0</v>
      </c>
      <c r="Q2635" s="39"/>
      <c r="R2635" s="39"/>
      <c r="S2635" s="39"/>
      <c r="T2635" s="39"/>
      <c r="U2635" s="39"/>
    </row>
    <row r="2636">
      <c r="A2636" s="40">
        <f t="shared" si="1"/>
        <v>46006</v>
      </c>
      <c r="B2636" s="37" t="str">
        <f t="array" ref="B2636">iferror(xlookup($I2636, 'IMPORT VHC Report'!$E:$E, 'IMPORT VHC Report'!$A:$C), )</f>
        <v/>
      </c>
      <c r="C2636" s="37"/>
      <c r="D2636" s="37"/>
      <c r="E2636" s="38" t="s">
        <v>3213</v>
      </c>
      <c r="F2636" s="38" t="s">
        <v>3204</v>
      </c>
      <c r="G2636" s="38">
        <v>3.61731647035E11</v>
      </c>
      <c r="H2636" s="38" t="s">
        <v>3205</v>
      </c>
      <c r="I2636" s="38" t="s">
        <v>3206</v>
      </c>
      <c r="J2636" s="38" t="s">
        <v>368</v>
      </c>
      <c r="K2636" s="38" t="s">
        <v>63</v>
      </c>
      <c r="L2636" s="41">
        <v>46008.333333333336</v>
      </c>
      <c r="M2636" s="38" t="s">
        <v>123</v>
      </c>
      <c r="N2636" s="41">
        <v>46008.708333333336</v>
      </c>
      <c r="O2636" s="38" t="s">
        <v>123</v>
      </c>
      <c r="P2636" s="38">
        <v>32400.0</v>
      </c>
      <c r="Q2636" s="39"/>
      <c r="R2636" s="39"/>
      <c r="S2636" s="39"/>
      <c r="T2636" s="39"/>
      <c r="U2636" s="39"/>
    </row>
    <row r="2637">
      <c r="A2637" s="40">
        <f t="shared" si="1"/>
        <v>46006</v>
      </c>
      <c r="B2637" s="37" t="str">
        <f t="array" ref="B2637">iferror(xlookup($I2637, 'IMPORT VHC Report'!$E:$E, 'IMPORT VHC Report'!$A:$C), )</f>
        <v/>
      </c>
      <c r="C2637" s="37"/>
      <c r="D2637" s="37"/>
      <c r="E2637" s="38" t="s">
        <v>3214</v>
      </c>
      <c r="F2637" s="38" t="s">
        <v>3204</v>
      </c>
      <c r="G2637" s="38">
        <v>3.61731647035E11</v>
      </c>
      <c r="H2637" s="38" t="s">
        <v>3205</v>
      </c>
      <c r="I2637" s="38" t="s">
        <v>3206</v>
      </c>
      <c r="J2637" s="38" t="s">
        <v>134</v>
      </c>
      <c r="K2637" s="38" t="s">
        <v>126</v>
      </c>
      <c r="L2637" s="41">
        <v>46008.520833333336</v>
      </c>
      <c r="M2637" s="38" t="s">
        <v>123</v>
      </c>
      <c r="N2637" s="41">
        <v>46008.541666666664</v>
      </c>
      <c r="O2637" s="38" t="s">
        <v>123</v>
      </c>
      <c r="P2637" s="38">
        <v>1800.0</v>
      </c>
      <c r="Q2637" s="39"/>
      <c r="R2637" s="39"/>
      <c r="S2637" s="39"/>
      <c r="T2637" s="39"/>
      <c r="U2637" s="39"/>
    </row>
    <row r="2638">
      <c r="A2638" s="40">
        <f t="shared" si="1"/>
        <v>46006</v>
      </c>
      <c r="B2638" s="37" t="str">
        <f t="array" ref="B2638">iferror(xlookup($I2638, 'IMPORT VHC Report'!$E:$E, 'IMPORT VHC Report'!$A:$C), )</f>
        <v/>
      </c>
      <c r="C2638" s="37"/>
      <c r="D2638" s="37"/>
      <c r="E2638" s="38" t="s">
        <v>3215</v>
      </c>
      <c r="F2638" s="38" t="s">
        <v>3204</v>
      </c>
      <c r="G2638" s="38">
        <v>3.61731647035E11</v>
      </c>
      <c r="H2638" s="38" t="s">
        <v>3205</v>
      </c>
      <c r="I2638" s="38" t="s">
        <v>3206</v>
      </c>
      <c r="J2638" s="38" t="s">
        <v>132</v>
      </c>
      <c r="K2638" s="38" t="s">
        <v>126</v>
      </c>
      <c r="L2638" s="41">
        <v>46008.625</v>
      </c>
      <c r="M2638" s="38" t="s">
        <v>123</v>
      </c>
      <c r="N2638" s="41">
        <v>46008.666666666664</v>
      </c>
      <c r="O2638" s="38" t="s">
        <v>123</v>
      </c>
      <c r="P2638" s="38">
        <v>3600.0</v>
      </c>
      <c r="Q2638" s="39"/>
      <c r="R2638" s="39"/>
      <c r="S2638" s="39"/>
      <c r="T2638" s="39"/>
      <c r="U2638" s="39"/>
    </row>
    <row r="2639">
      <c r="A2639" s="40">
        <f t="shared" si="1"/>
        <v>46006</v>
      </c>
      <c r="B2639" s="37" t="str">
        <f t="array" ref="B2639">iferror(xlookup($I2639, 'IMPORT VHC Report'!$E:$E, 'IMPORT VHC Report'!$A:$C), )</f>
        <v/>
      </c>
      <c r="C2639" s="37"/>
      <c r="D2639" s="37"/>
      <c r="E2639" s="38" t="s">
        <v>3216</v>
      </c>
      <c r="F2639" s="38" t="s">
        <v>3204</v>
      </c>
      <c r="G2639" s="38">
        <v>3.61731647035E11</v>
      </c>
      <c r="H2639" s="38" t="s">
        <v>3205</v>
      </c>
      <c r="I2639" s="38" t="s">
        <v>3206</v>
      </c>
      <c r="J2639" s="38" t="s">
        <v>368</v>
      </c>
      <c r="K2639" s="38" t="s">
        <v>63</v>
      </c>
      <c r="L2639" s="41">
        <v>46009.333333333336</v>
      </c>
      <c r="M2639" s="38" t="s">
        <v>123</v>
      </c>
      <c r="N2639" s="41">
        <v>46009.708333333336</v>
      </c>
      <c r="O2639" s="38" t="s">
        <v>123</v>
      </c>
      <c r="P2639" s="38">
        <v>32400.0</v>
      </c>
      <c r="Q2639" s="39"/>
      <c r="R2639" s="39"/>
      <c r="S2639" s="39"/>
      <c r="T2639" s="39"/>
      <c r="U2639" s="39"/>
    </row>
    <row r="2640">
      <c r="A2640" s="40">
        <f t="shared" si="1"/>
        <v>46006</v>
      </c>
      <c r="B2640" s="37" t="str">
        <f t="array" ref="B2640">iferror(xlookup($I2640, 'IMPORT VHC Report'!$E:$E, 'IMPORT VHC Report'!$A:$C), )</f>
        <v/>
      </c>
      <c r="C2640" s="37"/>
      <c r="D2640" s="37"/>
      <c r="E2640" s="38" t="s">
        <v>3217</v>
      </c>
      <c r="F2640" s="38" t="s">
        <v>3204</v>
      </c>
      <c r="G2640" s="38">
        <v>3.61731647035E11</v>
      </c>
      <c r="H2640" s="38" t="s">
        <v>3205</v>
      </c>
      <c r="I2640" s="38" t="s">
        <v>3206</v>
      </c>
      <c r="J2640" s="38" t="s">
        <v>134</v>
      </c>
      <c r="K2640" s="38" t="s">
        <v>126</v>
      </c>
      <c r="L2640" s="41">
        <v>46009.458333333336</v>
      </c>
      <c r="M2640" s="38" t="s">
        <v>123</v>
      </c>
      <c r="N2640" s="41">
        <v>46009.479166666664</v>
      </c>
      <c r="O2640" s="38" t="s">
        <v>123</v>
      </c>
      <c r="P2640" s="38">
        <v>1800.0</v>
      </c>
      <c r="Q2640" s="39"/>
      <c r="R2640" s="39"/>
      <c r="S2640" s="39"/>
      <c r="T2640" s="39"/>
      <c r="U2640" s="39"/>
    </row>
    <row r="2641">
      <c r="A2641" s="40">
        <f t="shared" si="1"/>
        <v>46006</v>
      </c>
      <c r="B2641" s="37" t="str">
        <f t="array" ref="B2641">iferror(xlookup($I2641, 'IMPORT VHC Report'!$E:$E, 'IMPORT VHC Report'!$A:$C), )</f>
        <v/>
      </c>
      <c r="C2641" s="37"/>
      <c r="D2641" s="37"/>
      <c r="E2641" s="38" t="s">
        <v>3218</v>
      </c>
      <c r="F2641" s="38" t="s">
        <v>3204</v>
      </c>
      <c r="G2641" s="38">
        <v>3.61731647035E11</v>
      </c>
      <c r="H2641" s="38" t="s">
        <v>3205</v>
      </c>
      <c r="I2641" s="38" t="s">
        <v>3206</v>
      </c>
      <c r="J2641" s="38" t="s">
        <v>4</v>
      </c>
      <c r="K2641" s="38" t="s">
        <v>126</v>
      </c>
      <c r="L2641" s="41">
        <v>46009.5</v>
      </c>
      <c r="M2641" s="38" t="s">
        <v>123</v>
      </c>
      <c r="N2641" s="41">
        <v>46009.645833333336</v>
      </c>
      <c r="O2641" s="38" t="s">
        <v>123</v>
      </c>
      <c r="P2641" s="38">
        <v>12600.0</v>
      </c>
      <c r="Q2641" s="39"/>
      <c r="R2641" s="39"/>
      <c r="S2641" s="38" t="s">
        <v>3219</v>
      </c>
      <c r="T2641" s="39"/>
      <c r="U2641" s="39"/>
    </row>
    <row r="2642">
      <c r="A2642" s="40">
        <f t="shared" si="1"/>
        <v>46006</v>
      </c>
      <c r="B2642" s="37" t="str">
        <f t="array" ref="B2642">iferror(xlookup($I2642, 'IMPORT VHC Report'!$E:$E, 'IMPORT VHC Report'!$A:$C), )</f>
        <v/>
      </c>
      <c r="C2642" s="37"/>
      <c r="D2642" s="37"/>
      <c r="E2642" s="38" t="s">
        <v>3220</v>
      </c>
      <c r="F2642" s="38" t="s">
        <v>3204</v>
      </c>
      <c r="G2642" s="38">
        <v>3.61731647035E11</v>
      </c>
      <c r="H2642" s="38" t="s">
        <v>3205</v>
      </c>
      <c r="I2642" s="38" t="s">
        <v>3206</v>
      </c>
      <c r="J2642" s="38" t="s">
        <v>132</v>
      </c>
      <c r="K2642" s="38" t="s">
        <v>126</v>
      </c>
      <c r="L2642" s="41">
        <v>46009.666666666664</v>
      </c>
      <c r="M2642" s="38" t="s">
        <v>123</v>
      </c>
      <c r="N2642" s="41">
        <v>46009.708333333336</v>
      </c>
      <c r="O2642" s="38" t="s">
        <v>123</v>
      </c>
      <c r="P2642" s="38">
        <v>3600.0</v>
      </c>
      <c r="Q2642" s="39"/>
      <c r="R2642" s="39"/>
      <c r="S2642" s="39"/>
      <c r="T2642" s="39"/>
      <c r="U2642" s="39"/>
    </row>
    <row r="2643">
      <c r="A2643" s="40">
        <f t="shared" si="1"/>
        <v>46006</v>
      </c>
      <c r="B2643" s="37" t="str">
        <f t="array" ref="B2643">iferror(xlookup($I2643, 'IMPORT VHC Report'!$E:$E, 'IMPORT VHC Report'!$A:$C), )</f>
        <v/>
      </c>
      <c r="C2643" s="37"/>
      <c r="D2643" s="37"/>
      <c r="E2643" s="38" t="s">
        <v>3221</v>
      </c>
      <c r="F2643" s="38" t="s">
        <v>3204</v>
      </c>
      <c r="G2643" s="38">
        <v>3.61731647035E11</v>
      </c>
      <c r="H2643" s="38" t="s">
        <v>3205</v>
      </c>
      <c r="I2643" s="38" t="s">
        <v>3206</v>
      </c>
      <c r="J2643" s="38" t="s">
        <v>368</v>
      </c>
      <c r="K2643" s="38" t="s">
        <v>63</v>
      </c>
      <c r="L2643" s="41">
        <v>46010.333333333336</v>
      </c>
      <c r="M2643" s="38" t="s">
        <v>123</v>
      </c>
      <c r="N2643" s="41">
        <v>46010.708333333336</v>
      </c>
      <c r="O2643" s="38" t="s">
        <v>123</v>
      </c>
      <c r="P2643" s="38">
        <v>32400.0</v>
      </c>
      <c r="Q2643" s="39"/>
      <c r="R2643" s="39"/>
      <c r="S2643" s="39"/>
      <c r="T2643" s="39"/>
      <c r="U2643" s="39"/>
    </row>
    <row r="2644">
      <c r="A2644" s="40">
        <f t="shared" si="1"/>
        <v>46006</v>
      </c>
      <c r="B2644" s="37" t="str">
        <f t="array" ref="B2644">iferror(xlookup($I2644, 'IMPORT VHC Report'!$E:$E, 'IMPORT VHC Report'!$A:$C), )</f>
        <v/>
      </c>
      <c r="C2644" s="37"/>
      <c r="D2644" s="37"/>
      <c r="E2644" s="38" t="s">
        <v>3222</v>
      </c>
      <c r="F2644" s="38" t="s">
        <v>3204</v>
      </c>
      <c r="G2644" s="38">
        <v>3.61731647035E11</v>
      </c>
      <c r="H2644" s="38" t="s">
        <v>3205</v>
      </c>
      <c r="I2644" s="38" t="s">
        <v>3206</v>
      </c>
      <c r="J2644" s="38" t="s">
        <v>4</v>
      </c>
      <c r="K2644" s="38" t="s">
        <v>126</v>
      </c>
      <c r="L2644" s="41">
        <v>46010.520833333336</v>
      </c>
      <c r="M2644" s="38" t="s">
        <v>123</v>
      </c>
      <c r="N2644" s="41">
        <v>46010.6875</v>
      </c>
      <c r="O2644" s="38" t="s">
        <v>123</v>
      </c>
      <c r="P2644" s="38">
        <v>14400.0</v>
      </c>
      <c r="Q2644" s="39"/>
      <c r="R2644" s="39"/>
      <c r="S2644" s="38" t="s">
        <v>3223</v>
      </c>
      <c r="T2644" s="39"/>
      <c r="U2644" s="39"/>
    </row>
    <row r="2645">
      <c r="A2645" s="40">
        <f t="shared" si="1"/>
        <v>46006</v>
      </c>
      <c r="B2645" s="37" t="str">
        <f t="array" ref="B2645">iferror(xlookup($I2645, 'IMPORT VHC Report'!$E:$E, 'IMPORT VHC Report'!$A:$C), )</f>
        <v/>
      </c>
      <c r="C2645" s="37"/>
      <c r="D2645" s="37"/>
      <c r="E2645" s="38" t="s">
        <v>3224</v>
      </c>
      <c r="F2645" s="38" t="s">
        <v>3204</v>
      </c>
      <c r="G2645" s="38">
        <v>3.61731647035E11</v>
      </c>
      <c r="H2645" s="38" t="s">
        <v>3205</v>
      </c>
      <c r="I2645" s="38" t="s">
        <v>3206</v>
      </c>
      <c r="J2645" s="38" t="s">
        <v>134</v>
      </c>
      <c r="K2645" s="38" t="s">
        <v>126</v>
      </c>
      <c r="L2645" s="41">
        <v>46010.6875</v>
      </c>
      <c r="M2645" s="38" t="s">
        <v>123</v>
      </c>
      <c r="N2645" s="41">
        <v>46010.708333333336</v>
      </c>
      <c r="O2645" s="38" t="s">
        <v>123</v>
      </c>
      <c r="P2645" s="38">
        <v>1800.0</v>
      </c>
      <c r="Q2645" s="39"/>
      <c r="R2645" s="39"/>
      <c r="S2645" s="39"/>
      <c r="T2645" s="39"/>
      <c r="U2645" s="39"/>
    </row>
    <row r="2646">
      <c r="A2646" s="40">
        <f t="shared" si="1"/>
        <v>46006</v>
      </c>
      <c r="B2646" s="37" t="str">
        <f t="array" ref="B2646">iferror(xlookup($I2646, 'IMPORT VHC Report'!$E:$E, 'IMPORT VHC Report'!$A:$C), )</f>
        <v/>
      </c>
      <c r="C2646" s="37"/>
      <c r="D2646" s="37"/>
      <c r="E2646" s="38" t="s">
        <v>3225</v>
      </c>
      <c r="F2646" s="38" t="s">
        <v>3204</v>
      </c>
      <c r="G2646" s="38">
        <v>3.61731647035E11</v>
      </c>
      <c r="H2646" s="38" t="s">
        <v>3205</v>
      </c>
      <c r="I2646" s="38" t="s">
        <v>3206</v>
      </c>
      <c r="J2646" s="38" t="s">
        <v>985</v>
      </c>
      <c r="K2646" s="38" t="s">
        <v>63</v>
      </c>
      <c r="L2646" s="41">
        <v>46010.708333333336</v>
      </c>
      <c r="M2646" s="38" t="s">
        <v>123</v>
      </c>
      <c r="N2646" s="41">
        <v>46010.75</v>
      </c>
      <c r="O2646" s="38" t="s">
        <v>123</v>
      </c>
      <c r="P2646" s="38">
        <v>3600.0</v>
      </c>
      <c r="Q2646" s="39"/>
      <c r="R2646" s="39"/>
      <c r="S2646" s="38" t="s">
        <v>3226</v>
      </c>
      <c r="T2646" s="39"/>
      <c r="U2646" s="39"/>
    </row>
    <row r="2647">
      <c r="A2647" s="40">
        <f t="shared" si="1"/>
        <v>46006</v>
      </c>
      <c r="B2647" s="37" t="str">
        <f t="array" ref="B2647">iferror(xlookup($I2647, 'IMPORT VHC Report'!$E:$E, 'IMPORT VHC Report'!$A:$C), )</f>
        <v/>
      </c>
      <c r="C2647" s="37"/>
      <c r="D2647" s="37"/>
      <c r="E2647" s="38" t="s">
        <v>3227</v>
      </c>
      <c r="F2647" s="38" t="s">
        <v>3228</v>
      </c>
      <c r="G2647" s="38">
        <v>9.107735174799E12</v>
      </c>
      <c r="H2647" s="38" t="s">
        <v>3229</v>
      </c>
      <c r="I2647" s="38" t="s">
        <v>3230</v>
      </c>
      <c r="J2647" s="38" t="s">
        <v>136</v>
      </c>
      <c r="K2647" s="38" t="s">
        <v>126</v>
      </c>
      <c r="L2647" s="41">
        <v>46006.375</v>
      </c>
      <c r="M2647" s="38" t="s">
        <v>123</v>
      </c>
      <c r="N2647" s="41">
        <v>46006.385416666664</v>
      </c>
      <c r="O2647" s="38" t="s">
        <v>123</v>
      </c>
      <c r="P2647" s="38">
        <v>900.0</v>
      </c>
      <c r="Q2647" s="39"/>
      <c r="R2647" s="39"/>
      <c r="S2647" s="38" t="s">
        <v>2659</v>
      </c>
      <c r="T2647" s="39"/>
      <c r="U2647" s="39"/>
    </row>
    <row r="2648">
      <c r="A2648" s="40">
        <f t="shared" si="1"/>
        <v>46006</v>
      </c>
      <c r="B2648" s="37" t="str">
        <f t="array" ref="B2648">iferror(xlookup($I2648, 'IMPORT VHC Report'!$E:$E, 'IMPORT VHC Report'!$A:$C), )</f>
        <v/>
      </c>
      <c r="C2648" s="37"/>
      <c r="D2648" s="37"/>
      <c r="E2648" s="38" t="s">
        <v>3231</v>
      </c>
      <c r="F2648" s="38" t="s">
        <v>3228</v>
      </c>
      <c r="G2648" s="38">
        <v>9.107735174799E12</v>
      </c>
      <c r="H2648" s="38" t="s">
        <v>3229</v>
      </c>
      <c r="I2648" s="38" t="s">
        <v>3230</v>
      </c>
      <c r="J2648" s="38" t="s">
        <v>2268</v>
      </c>
      <c r="K2648" s="38" t="s">
        <v>63</v>
      </c>
      <c r="L2648" s="41">
        <v>46006.375</v>
      </c>
      <c r="M2648" s="38" t="s">
        <v>123</v>
      </c>
      <c r="N2648" s="41">
        <v>46006.541666666664</v>
      </c>
      <c r="O2648" s="38" t="s">
        <v>123</v>
      </c>
      <c r="P2648" s="38">
        <v>14400.0</v>
      </c>
      <c r="Q2648" s="39"/>
      <c r="R2648" s="39"/>
      <c r="S2648" s="39"/>
      <c r="T2648" s="39"/>
      <c r="U2648" s="39"/>
    </row>
    <row r="2649">
      <c r="A2649" s="40">
        <f t="shared" si="1"/>
        <v>46006</v>
      </c>
      <c r="B2649" s="37" t="str">
        <f t="array" ref="B2649">iferror(xlookup($I2649, 'IMPORT VHC Report'!$E:$E, 'IMPORT VHC Report'!$A:$C), )</f>
        <v/>
      </c>
      <c r="C2649" s="37"/>
      <c r="D2649" s="37"/>
      <c r="E2649" s="38" t="s">
        <v>3232</v>
      </c>
      <c r="F2649" s="38" t="s">
        <v>3228</v>
      </c>
      <c r="G2649" s="38">
        <v>9.107735174799E12</v>
      </c>
      <c r="H2649" s="38" t="s">
        <v>3229</v>
      </c>
      <c r="I2649" s="38" t="s">
        <v>3230</v>
      </c>
      <c r="J2649" s="38" t="s">
        <v>134</v>
      </c>
      <c r="K2649" s="38" t="s">
        <v>126</v>
      </c>
      <c r="L2649" s="41">
        <v>46006.427083333336</v>
      </c>
      <c r="M2649" s="38" t="s">
        <v>123</v>
      </c>
      <c r="N2649" s="41">
        <v>46006.458333333336</v>
      </c>
      <c r="O2649" s="38" t="s">
        <v>123</v>
      </c>
      <c r="P2649" s="38">
        <v>2700.0</v>
      </c>
      <c r="Q2649" s="39"/>
      <c r="R2649" s="39"/>
      <c r="S2649" s="39"/>
      <c r="T2649" s="39"/>
      <c r="U2649" s="39"/>
    </row>
    <row r="2650">
      <c r="A2650" s="40">
        <f t="shared" si="1"/>
        <v>46006</v>
      </c>
      <c r="B2650" s="37" t="str">
        <f t="array" ref="B2650">iferror(xlookup($I2650, 'IMPORT VHC Report'!$E:$E, 'IMPORT VHC Report'!$A:$C), )</f>
        <v/>
      </c>
      <c r="C2650" s="37"/>
      <c r="D2650" s="37"/>
      <c r="E2650" s="38" t="s">
        <v>3233</v>
      </c>
      <c r="F2650" s="38" t="s">
        <v>3228</v>
      </c>
      <c r="G2650" s="38">
        <v>9.107735174799E12</v>
      </c>
      <c r="H2650" s="38" t="s">
        <v>3229</v>
      </c>
      <c r="I2650" s="38" t="s">
        <v>3230</v>
      </c>
      <c r="J2650" s="38" t="s">
        <v>368</v>
      </c>
      <c r="K2650" s="38" t="s">
        <v>63</v>
      </c>
      <c r="L2650" s="41">
        <v>46006.541666666664</v>
      </c>
      <c r="M2650" s="38" t="s">
        <v>123</v>
      </c>
      <c r="N2650" s="41">
        <v>46006.625</v>
      </c>
      <c r="O2650" s="38" t="s">
        <v>123</v>
      </c>
      <c r="P2650" s="38">
        <v>7200.0</v>
      </c>
      <c r="Q2650" s="39"/>
      <c r="R2650" s="39"/>
      <c r="S2650" s="38" t="s">
        <v>3234</v>
      </c>
      <c r="T2650" s="39"/>
      <c r="U2650" s="39"/>
    </row>
    <row r="2651">
      <c r="A2651" s="40">
        <f t="shared" si="1"/>
        <v>46006</v>
      </c>
      <c r="B2651" s="37" t="str">
        <f t="array" ref="B2651">iferror(xlookup($I2651, 'IMPORT VHC Report'!$E:$E, 'IMPORT VHC Report'!$A:$C), )</f>
        <v/>
      </c>
      <c r="C2651" s="37"/>
      <c r="D2651" s="37"/>
      <c r="E2651" s="38" t="s">
        <v>3235</v>
      </c>
      <c r="F2651" s="38" t="s">
        <v>3228</v>
      </c>
      <c r="G2651" s="38">
        <v>9.107735174799E12</v>
      </c>
      <c r="H2651" s="38" t="s">
        <v>3229</v>
      </c>
      <c r="I2651" s="38" t="s">
        <v>3230</v>
      </c>
      <c r="J2651" s="38" t="s">
        <v>2268</v>
      </c>
      <c r="K2651" s="38" t="s">
        <v>63</v>
      </c>
      <c r="L2651" s="41">
        <v>46006.625</v>
      </c>
      <c r="M2651" s="38" t="s">
        <v>123</v>
      </c>
      <c r="N2651" s="41">
        <v>46006.75</v>
      </c>
      <c r="O2651" s="38" t="s">
        <v>123</v>
      </c>
      <c r="P2651" s="38">
        <v>10800.0</v>
      </c>
      <c r="Q2651" s="39"/>
      <c r="R2651" s="39"/>
      <c r="S2651" s="39"/>
      <c r="T2651" s="39"/>
      <c r="U2651" s="39"/>
    </row>
    <row r="2652">
      <c r="A2652" s="40">
        <f t="shared" si="1"/>
        <v>46006</v>
      </c>
      <c r="B2652" s="37" t="str">
        <f t="array" ref="B2652">iferror(xlookup($I2652, 'IMPORT VHC Report'!$E:$E, 'IMPORT VHC Report'!$A:$C), )</f>
        <v/>
      </c>
      <c r="C2652" s="37"/>
      <c r="D2652" s="37"/>
      <c r="E2652" s="38" t="s">
        <v>3236</v>
      </c>
      <c r="F2652" s="38" t="s">
        <v>3228</v>
      </c>
      <c r="G2652" s="38">
        <v>9.107735174799E12</v>
      </c>
      <c r="H2652" s="38" t="s">
        <v>3229</v>
      </c>
      <c r="I2652" s="38" t="s">
        <v>3230</v>
      </c>
      <c r="J2652" s="38" t="s">
        <v>132</v>
      </c>
      <c r="K2652" s="38" t="s">
        <v>126</v>
      </c>
      <c r="L2652" s="41">
        <v>46006.635416666664</v>
      </c>
      <c r="M2652" s="38" t="s">
        <v>123</v>
      </c>
      <c r="N2652" s="41">
        <v>46006.677083333336</v>
      </c>
      <c r="O2652" s="38" t="s">
        <v>123</v>
      </c>
      <c r="P2652" s="38">
        <v>3600.0</v>
      </c>
      <c r="Q2652" s="39"/>
      <c r="R2652" s="39"/>
      <c r="S2652" s="39"/>
      <c r="T2652" s="39"/>
      <c r="U2652" s="39"/>
    </row>
    <row r="2653">
      <c r="A2653" s="40">
        <f t="shared" si="1"/>
        <v>46006</v>
      </c>
      <c r="B2653" s="37" t="str">
        <f t="array" ref="B2653">iferror(xlookup($I2653, 'IMPORT VHC Report'!$E:$E, 'IMPORT VHC Report'!$A:$C), )</f>
        <v/>
      </c>
      <c r="C2653" s="37"/>
      <c r="D2653" s="37"/>
      <c r="E2653" s="38" t="s">
        <v>3237</v>
      </c>
      <c r="F2653" s="38" t="s">
        <v>3228</v>
      </c>
      <c r="G2653" s="38">
        <v>9.107735174799E12</v>
      </c>
      <c r="H2653" s="38" t="s">
        <v>3229</v>
      </c>
      <c r="I2653" s="38" t="s">
        <v>3230</v>
      </c>
      <c r="J2653" s="38" t="s">
        <v>368</v>
      </c>
      <c r="K2653" s="38" t="s">
        <v>63</v>
      </c>
      <c r="L2653" s="41">
        <v>46007.375</v>
      </c>
      <c r="M2653" s="38" t="s">
        <v>123</v>
      </c>
      <c r="N2653" s="41">
        <v>46007.458333333336</v>
      </c>
      <c r="O2653" s="38" t="s">
        <v>123</v>
      </c>
      <c r="P2653" s="38">
        <v>7200.0</v>
      </c>
      <c r="Q2653" s="39"/>
      <c r="R2653" s="39"/>
      <c r="S2653" s="39"/>
      <c r="T2653" s="39"/>
      <c r="U2653" s="39"/>
    </row>
    <row r="2654">
      <c r="A2654" s="40">
        <f t="shared" si="1"/>
        <v>46006</v>
      </c>
      <c r="B2654" s="37" t="str">
        <f t="array" ref="B2654">iferror(xlookup($I2654, 'IMPORT VHC Report'!$E:$E, 'IMPORT VHC Report'!$A:$C), )</f>
        <v/>
      </c>
      <c r="C2654" s="37"/>
      <c r="D2654" s="37"/>
      <c r="E2654" s="38" t="s">
        <v>3238</v>
      </c>
      <c r="F2654" s="38" t="s">
        <v>3228</v>
      </c>
      <c r="G2654" s="38">
        <v>9.107735174799E12</v>
      </c>
      <c r="H2654" s="38" t="s">
        <v>3229</v>
      </c>
      <c r="I2654" s="38" t="s">
        <v>3230</v>
      </c>
      <c r="J2654" s="38" t="s">
        <v>2268</v>
      </c>
      <c r="K2654" s="38" t="s">
        <v>63</v>
      </c>
      <c r="L2654" s="41">
        <v>46007.458333333336</v>
      </c>
      <c r="M2654" s="38" t="s">
        <v>123</v>
      </c>
      <c r="N2654" s="41">
        <v>46007.75</v>
      </c>
      <c r="O2654" s="38" t="s">
        <v>123</v>
      </c>
      <c r="P2654" s="38">
        <v>25200.0</v>
      </c>
      <c r="Q2654" s="39"/>
      <c r="R2654" s="39"/>
      <c r="S2654" s="39"/>
      <c r="T2654" s="39"/>
      <c r="U2654" s="39"/>
    </row>
    <row r="2655">
      <c r="A2655" s="40">
        <f t="shared" si="1"/>
        <v>46006</v>
      </c>
      <c r="B2655" s="37" t="str">
        <f t="array" ref="B2655">iferror(xlookup($I2655, 'IMPORT VHC Report'!$E:$E, 'IMPORT VHC Report'!$A:$C), )</f>
        <v/>
      </c>
      <c r="C2655" s="37"/>
      <c r="D2655" s="37"/>
      <c r="E2655" s="38" t="s">
        <v>3239</v>
      </c>
      <c r="F2655" s="38" t="s">
        <v>3228</v>
      </c>
      <c r="G2655" s="38">
        <v>9.107735174799E12</v>
      </c>
      <c r="H2655" s="38" t="s">
        <v>3229</v>
      </c>
      <c r="I2655" s="38" t="s">
        <v>3230</v>
      </c>
      <c r="J2655" s="38" t="s">
        <v>136</v>
      </c>
      <c r="K2655" s="38" t="s">
        <v>126</v>
      </c>
      <c r="L2655" s="41">
        <v>46007.5</v>
      </c>
      <c r="M2655" s="38" t="s">
        <v>123</v>
      </c>
      <c r="N2655" s="41">
        <v>46007.510416666664</v>
      </c>
      <c r="O2655" s="38" t="s">
        <v>123</v>
      </c>
      <c r="P2655" s="38">
        <v>900.0</v>
      </c>
      <c r="Q2655" s="39"/>
      <c r="R2655" s="39"/>
      <c r="S2655" s="38" t="s">
        <v>3240</v>
      </c>
      <c r="T2655" s="39"/>
      <c r="U2655" s="39"/>
    </row>
    <row r="2656">
      <c r="A2656" s="40">
        <f t="shared" si="1"/>
        <v>46006</v>
      </c>
      <c r="B2656" s="37" t="str">
        <f t="array" ref="B2656">iferror(xlookup($I2656, 'IMPORT VHC Report'!$E:$E, 'IMPORT VHC Report'!$A:$C), )</f>
        <v/>
      </c>
      <c r="C2656" s="37"/>
      <c r="D2656" s="37"/>
      <c r="E2656" s="38" t="s">
        <v>3241</v>
      </c>
      <c r="F2656" s="38" t="s">
        <v>3228</v>
      </c>
      <c r="G2656" s="38">
        <v>9.107735174799E12</v>
      </c>
      <c r="H2656" s="38" t="s">
        <v>3229</v>
      </c>
      <c r="I2656" s="38" t="s">
        <v>3230</v>
      </c>
      <c r="J2656" s="38" t="s">
        <v>134</v>
      </c>
      <c r="K2656" s="38" t="s">
        <v>126</v>
      </c>
      <c r="L2656" s="41">
        <v>46007.541666666664</v>
      </c>
      <c r="M2656" s="38" t="s">
        <v>123</v>
      </c>
      <c r="N2656" s="41">
        <v>46007.5625</v>
      </c>
      <c r="O2656" s="38" t="s">
        <v>123</v>
      </c>
      <c r="P2656" s="38">
        <v>1800.0</v>
      </c>
      <c r="Q2656" s="39"/>
      <c r="R2656" s="39"/>
      <c r="S2656" s="39"/>
      <c r="T2656" s="39"/>
      <c r="U2656" s="39"/>
    </row>
    <row r="2657">
      <c r="A2657" s="40">
        <f t="shared" si="1"/>
        <v>46006</v>
      </c>
      <c r="B2657" s="37" t="str">
        <f t="array" ref="B2657">iferror(xlookup($I2657, 'IMPORT VHC Report'!$E:$E, 'IMPORT VHC Report'!$A:$C), )</f>
        <v/>
      </c>
      <c r="C2657" s="37"/>
      <c r="D2657" s="37"/>
      <c r="E2657" s="38" t="s">
        <v>3242</v>
      </c>
      <c r="F2657" s="38" t="s">
        <v>3228</v>
      </c>
      <c r="G2657" s="38">
        <v>9.107735174799E12</v>
      </c>
      <c r="H2657" s="38" t="s">
        <v>3229</v>
      </c>
      <c r="I2657" s="38" t="s">
        <v>3230</v>
      </c>
      <c r="J2657" s="38" t="s">
        <v>132</v>
      </c>
      <c r="K2657" s="38" t="s">
        <v>126</v>
      </c>
      <c r="L2657" s="41">
        <v>46007.666666666664</v>
      </c>
      <c r="M2657" s="38" t="s">
        <v>123</v>
      </c>
      <c r="N2657" s="41">
        <v>46007.708333333336</v>
      </c>
      <c r="O2657" s="38" t="s">
        <v>123</v>
      </c>
      <c r="P2657" s="38">
        <v>3600.0</v>
      </c>
      <c r="Q2657" s="39"/>
      <c r="R2657" s="39"/>
      <c r="S2657" s="39"/>
      <c r="T2657" s="39"/>
      <c r="U2657" s="39"/>
    </row>
    <row r="2658">
      <c r="A2658" s="40">
        <f t="shared" si="1"/>
        <v>46006</v>
      </c>
      <c r="B2658" s="37" t="str">
        <f t="array" ref="B2658">iferror(xlookup($I2658, 'IMPORT VHC Report'!$E:$E, 'IMPORT VHC Report'!$A:$C), )</f>
        <v/>
      </c>
      <c r="C2658" s="37"/>
      <c r="D2658" s="37"/>
      <c r="E2658" s="38" t="s">
        <v>3243</v>
      </c>
      <c r="F2658" s="38" t="s">
        <v>3228</v>
      </c>
      <c r="G2658" s="38">
        <v>9.107735174799E12</v>
      </c>
      <c r="H2658" s="38" t="s">
        <v>3229</v>
      </c>
      <c r="I2658" s="38" t="s">
        <v>3230</v>
      </c>
      <c r="J2658" s="38" t="s">
        <v>2268</v>
      </c>
      <c r="K2658" s="38" t="s">
        <v>63</v>
      </c>
      <c r="L2658" s="41">
        <v>46008.375</v>
      </c>
      <c r="M2658" s="38" t="s">
        <v>123</v>
      </c>
      <c r="N2658" s="41">
        <v>46008.541666666664</v>
      </c>
      <c r="O2658" s="38" t="s">
        <v>123</v>
      </c>
      <c r="P2658" s="38">
        <v>14400.0</v>
      </c>
      <c r="Q2658" s="39"/>
      <c r="R2658" s="39"/>
      <c r="S2658" s="39"/>
      <c r="T2658" s="39"/>
      <c r="U2658" s="39"/>
    </row>
    <row r="2659">
      <c r="A2659" s="40">
        <f t="shared" si="1"/>
        <v>46006</v>
      </c>
      <c r="B2659" s="37" t="str">
        <f t="array" ref="B2659">iferror(xlookup($I2659, 'IMPORT VHC Report'!$E:$E, 'IMPORT VHC Report'!$A:$C), )</f>
        <v/>
      </c>
      <c r="C2659" s="37"/>
      <c r="D2659" s="37"/>
      <c r="E2659" s="38" t="s">
        <v>3244</v>
      </c>
      <c r="F2659" s="38" t="s">
        <v>3228</v>
      </c>
      <c r="G2659" s="38">
        <v>9.107735174799E12</v>
      </c>
      <c r="H2659" s="38" t="s">
        <v>3229</v>
      </c>
      <c r="I2659" s="38" t="s">
        <v>3230</v>
      </c>
      <c r="J2659" s="38" t="s">
        <v>134</v>
      </c>
      <c r="K2659" s="38" t="s">
        <v>126</v>
      </c>
      <c r="L2659" s="41">
        <v>46008.4375</v>
      </c>
      <c r="M2659" s="38" t="s">
        <v>123</v>
      </c>
      <c r="N2659" s="41">
        <v>46008.458333333336</v>
      </c>
      <c r="O2659" s="38" t="s">
        <v>123</v>
      </c>
      <c r="P2659" s="38">
        <v>1800.0</v>
      </c>
      <c r="Q2659" s="39"/>
      <c r="R2659" s="39"/>
      <c r="S2659" s="39"/>
      <c r="T2659" s="39"/>
      <c r="U2659" s="39"/>
    </row>
    <row r="2660">
      <c r="A2660" s="40">
        <f t="shared" si="1"/>
        <v>46006</v>
      </c>
      <c r="B2660" s="37" t="str">
        <f t="array" ref="B2660">iferror(xlookup($I2660, 'IMPORT VHC Report'!$E:$E, 'IMPORT VHC Report'!$A:$C), )</f>
        <v/>
      </c>
      <c r="C2660" s="37"/>
      <c r="D2660" s="37"/>
      <c r="E2660" s="38" t="s">
        <v>3245</v>
      </c>
      <c r="F2660" s="38" t="s">
        <v>3228</v>
      </c>
      <c r="G2660" s="38">
        <v>9.107735174799E12</v>
      </c>
      <c r="H2660" s="38" t="s">
        <v>3229</v>
      </c>
      <c r="I2660" s="38" t="s">
        <v>3230</v>
      </c>
      <c r="J2660" s="38" t="s">
        <v>4</v>
      </c>
      <c r="K2660" s="38" t="s">
        <v>126</v>
      </c>
      <c r="L2660" s="41">
        <v>46008.458333333336</v>
      </c>
      <c r="M2660" s="38" t="s">
        <v>123</v>
      </c>
      <c r="N2660" s="41">
        <v>46008.489583333336</v>
      </c>
      <c r="O2660" s="38" t="s">
        <v>123</v>
      </c>
      <c r="P2660" s="38">
        <v>2700.0</v>
      </c>
      <c r="Q2660" s="39"/>
      <c r="R2660" s="39"/>
      <c r="S2660" s="38" t="s">
        <v>2478</v>
      </c>
      <c r="T2660" s="39"/>
      <c r="U2660" s="39"/>
    </row>
    <row r="2661">
      <c r="A2661" s="40">
        <f t="shared" si="1"/>
        <v>46006</v>
      </c>
      <c r="B2661" s="37" t="str">
        <f t="array" ref="B2661">iferror(xlookup($I2661, 'IMPORT VHC Report'!$E:$E, 'IMPORT VHC Report'!$A:$C), )</f>
        <v/>
      </c>
      <c r="C2661" s="37"/>
      <c r="D2661" s="37"/>
      <c r="E2661" s="38" t="s">
        <v>3246</v>
      </c>
      <c r="F2661" s="38" t="s">
        <v>3228</v>
      </c>
      <c r="G2661" s="38">
        <v>9.107735174799E12</v>
      </c>
      <c r="H2661" s="38" t="s">
        <v>3229</v>
      </c>
      <c r="I2661" s="38" t="s">
        <v>3230</v>
      </c>
      <c r="J2661" s="38" t="s">
        <v>368</v>
      </c>
      <c r="K2661" s="38" t="s">
        <v>63</v>
      </c>
      <c r="L2661" s="41">
        <v>46008.541666666664</v>
      </c>
      <c r="M2661" s="38" t="s">
        <v>123</v>
      </c>
      <c r="N2661" s="41">
        <v>46008.625</v>
      </c>
      <c r="O2661" s="38" t="s">
        <v>123</v>
      </c>
      <c r="P2661" s="38">
        <v>7200.0</v>
      </c>
      <c r="Q2661" s="39"/>
      <c r="R2661" s="39"/>
      <c r="S2661" s="39"/>
      <c r="T2661" s="39"/>
      <c r="U2661" s="39"/>
    </row>
    <row r="2662">
      <c r="A2662" s="40">
        <f t="shared" si="1"/>
        <v>46006</v>
      </c>
      <c r="B2662" s="37" t="str">
        <f t="array" ref="B2662">iferror(xlookup($I2662, 'IMPORT VHC Report'!$E:$E, 'IMPORT VHC Report'!$A:$C), )</f>
        <v/>
      </c>
      <c r="C2662" s="37"/>
      <c r="D2662" s="37"/>
      <c r="E2662" s="38" t="s">
        <v>3247</v>
      </c>
      <c r="F2662" s="38" t="s">
        <v>3228</v>
      </c>
      <c r="G2662" s="38">
        <v>9.107735174799E12</v>
      </c>
      <c r="H2662" s="38" t="s">
        <v>3229</v>
      </c>
      <c r="I2662" s="38" t="s">
        <v>3230</v>
      </c>
      <c r="J2662" s="38" t="s">
        <v>132</v>
      </c>
      <c r="K2662" s="38" t="s">
        <v>126</v>
      </c>
      <c r="L2662" s="41">
        <v>46008.625</v>
      </c>
      <c r="M2662" s="38" t="s">
        <v>123</v>
      </c>
      <c r="N2662" s="41">
        <v>46008.666666666664</v>
      </c>
      <c r="O2662" s="38" t="s">
        <v>123</v>
      </c>
      <c r="P2662" s="38">
        <v>3600.0</v>
      </c>
      <c r="Q2662" s="39"/>
      <c r="R2662" s="39"/>
      <c r="S2662" s="39"/>
      <c r="T2662" s="39"/>
      <c r="U2662" s="39"/>
    </row>
    <row r="2663">
      <c r="A2663" s="40">
        <f t="shared" si="1"/>
        <v>46006</v>
      </c>
      <c r="B2663" s="37" t="str">
        <f t="array" ref="B2663">iferror(xlookup($I2663, 'IMPORT VHC Report'!$E:$E, 'IMPORT VHC Report'!$A:$C), )</f>
        <v/>
      </c>
      <c r="C2663" s="37"/>
      <c r="D2663" s="37"/>
      <c r="E2663" s="38" t="s">
        <v>3248</v>
      </c>
      <c r="F2663" s="38" t="s">
        <v>3228</v>
      </c>
      <c r="G2663" s="38">
        <v>9.107735174799E12</v>
      </c>
      <c r="H2663" s="38" t="s">
        <v>3229</v>
      </c>
      <c r="I2663" s="38" t="s">
        <v>3230</v>
      </c>
      <c r="J2663" s="38" t="s">
        <v>2268</v>
      </c>
      <c r="K2663" s="38" t="s">
        <v>63</v>
      </c>
      <c r="L2663" s="41">
        <v>46008.625</v>
      </c>
      <c r="M2663" s="38" t="s">
        <v>123</v>
      </c>
      <c r="N2663" s="41">
        <v>46008.75</v>
      </c>
      <c r="O2663" s="38" t="s">
        <v>123</v>
      </c>
      <c r="P2663" s="38">
        <v>10800.0</v>
      </c>
      <c r="Q2663" s="39"/>
      <c r="R2663" s="39"/>
      <c r="S2663" s="39"/>
      <c r="T2663" s="39"/>
      <c r="U2663" s="39"/>
    </row>
    <row r="2664">
      <c r="A2664" s="40">
        <f t="shared" si="1"/>
        <v>46006</v>
      </c>
      <c r="B2664" s="37" t="str">
        <f t="array" ref="B2664">iferror(xlookup($I2664, 'IMPORT VHC Report'!$E:$E, 'IMPORT VHC Report'!$A:$C), )</f>
        <v/>
      </c>
      <c r="C2664" s="37"/>
      <c r="D2664" s="37"/>
      <c r="E2664" s="38" t="s">
        <v>3249</v>
      </c>
      <c r="F2664" s="38" t="s">
        <v>3228</v>
      </c>
      <c r="G2664" s="38">
        <v>9.107735174799E12</v>
      </c>
      <c r="H2664" s="38" t="s">
        <v>3229</v>
      </c>
      <c r="I2664" s="38" t="s">
        <v>3230</v>
      </c>
      <c r="J2664" s="38" t="s">
        <v>136</v>
      </c>
      <c r="K2664" s="38" t="s">
        <v>126</v>
      </c>
      <c r="L2664" s="41">
        <v>46009.375</v>
      </c>
      <c r="M2664" s="38" t="s">
        <v>123</v>
      </c>
      <c r="N2664" s="41">
        <v>46009.395833333336</v>
      </c>
      <c r="O2664" s="38" t="s">
        <v>123</v>
      </c>
      <c r="P2664" s="38">
        <v>1800.0</v>
      </c>
      <c r="Q2664" s="39"/>
      <c r="R2664" s="39"/>
      <c r="S2664" s="38" t="s">
        <v>1680</v>
      </c>
      <c r="T2664" s="39"/>
      <c r="U2664" s="39"/>
    </row>
    <row r="2665">
      <c r="A2665" s="40">
        <f t="shared" si="1"/>
        <v>46006</v>
      </c>
      <c r="B2665" s="37" t="str">
        <f t="array" ref="B2665">iferror(xlookup($I2665, 'IMPORT VHC Report'!$E:$E, 'IMPORT VHC Report'!$A:$C), )</f>
        <v/>
      </c>
      <c r="C2665" s="37"/>
      <c r="D2665" s="37"/>
      <c r="E2665" s="38" t="s">
        <v>3250</v>
      </c>
      <c r="F2665" s="38" t="s">
        <v>3228</v>
      </c>
      <c r="G2665" s="38">
        <v>9.107735174799E12</v>
      </c>
      <c r="H2665" s="38" t="s">
        <v>3229</v>
      </c>
      <c r="I2665" s="38" t="s">
        <v>3230</v>
      </c>
      <c r="J2665" s="38" t="s">
        <v>368</v>
      </c>
      <c r="K2665" s="38" t="s">
        <v>63</v>
      </c>
      <c r="L2665" s="41">
        <v>46009.375</v>
      </c>
      <c r="M2665" s="38" t="s">
        <v>123</v>
      </c>
      <c r="N2665" s="41">
        <v>46009.520833333336</v>
      </c>
      <c r="O2665" s="38" t="s">
        <v>123</v>
      </c>
      <c r="P2665" s="38">
        <v>12600.0</v>
      </c>
      <c r="Q2665" s="39"/>
      <c r="R2665" s="39"/>
      <c r="S2665" s="39"/>
      <c r="T2665" s="39"/>
      <c r="U2665" s="39"/>
    </row>
    <row r="2666">
      <c r="A2666" s="40">
        <f t="shared" si="1"/>
        <v>46006</v>
      </c>
      <c r="B2666" s="37" t="str">
        <f t="array" ref="B2666">iferror(xlookup($I2666, 'IMPORT VHC Report'!$E:$E, 'IMPORT VHC Report'!$A:$C), )</f>
        <v/>
      </c>
      <c r="C2666" s="37"/>
      <c r="D2666" s="37"/>
      <c r="E2666" s="38" t="s">
        <v>3251</v>
      </c>
      <c r="F2666" s="38" t="s">
        <v>3228</v>
      </c>
      <c r="G2666" s="38">
        <v>9.107735174799E12</v>
      </c>
      <c r="H2666" s="38" t="s">
        <v>3229</v>
      </c>
      <c r="I2666" s="38" t="s">
        <v>3230</v>
      </c>
      <c r="J2666" s="38" t="s">
        <v>134</v>
      </c>
      <c r="K2666" s="38" t="s">
        <v>126</v>
      </c>
      <c r="L2666" s="41">
        <v>46009.520833333336</v>
      </c>
      <c r="M2666" s="38" t="s">
        <v>123</v>
      </c>
      <c r="N2666" s="41">
        <v>46009.541666666664</v>
      </c>
      <c r="O2666" s="38" t="s">
        <v>123</v>
      </c>
      <c r="P2666" s="38">
        <v>1800.0</v>
      </c>
      <c r="Q2666" s="39"/>
      <c r="R2666" s="39"/>
      <c r="S2666" s="39"/>
      <c r="T2666" s="39"/>
      <c r="U2666" s="39"/>
    </row>
    <row r="2667">
      <c r="A2667" s="40">
        <f t="shared" si="1"/>
        <v>46006</v>
      </c>
      <c r="B2667" s="37" t="str">
        <f t="array" ref="B2667">iferror(xlookup($I2667, 'IMPORT VHC Report'!$E:$E, 'IMPORT VHC Report'!$A:$C), )</f>
        <v/>
      </c>
      <c r="C2667" s="37"/>
      <c r="D2667" s="37"/>
      <c r="E2667" s="38" t="s">
        <v>3252</v>
      </c>
      <c r="F2667" s="38" t="s">
        <v>3228</v>
      </c>
      <c r="G2667" s="38">
        <v>9.107735174799E12</v>
      </c>
      <c r="H2667" s="38" t="s">
        <v>3229</v>
      </c>
      <c r="I2667" s="38" t="s">
        <v>3230</v>
      </c>
      <c r="J2667" s="38" t="s">
        <v>2268</v>
      </c>
      <c r="K2667" s="38" t="s">
        <v>63</v>
      </c>
      <c r="L2667" s="41">
        <v>46009.541666666664</v>
      </c>
      <c r="M2667" s="38" t="s">
        <v>123</v>
      </c>
      <c r="N2667" s="41">
        <v>46009.666666666664</v>
      </c>
      <c r="O2667" s="38" t="s">
        <v>123</v>
      </c>
      <c r="P2667" s="38">
        <v>10800.0</v>
      </c>
      <c r="Q2667" s="39"/>
      <c r="R2667" s="39"/>
      <c r="S2667" s="39"/>
      <c r="T2667" s="39"/>
      <c r="U2667" s="39"/>
    </row>
    <row r="2668">
      <c r="A2668" s="40">
        <f t="shared" si="1"/>
        <v>46006</v>
      </c>
      <c r="B2668" s="37" t="str">
        <f t="array" ref="B2668">iferror(xlookup($I2668, 'IMPORT VHC Report'!$E:$E, 'IMPORT VHC Report'!$A:$C), )</f>
        <v/>
      </c>
      <c r="C2668" s="37"/>
      <c r="D2668" s="37"/>
      <c r="E2668" s="38" t="s">
        <v>3253</v>
      </c>
      <c r="F2668" s="38" t="s">
        <v>3228</v>
      </c>
      <c r="G2668" s="38">
        <v>9.107735174799E12</v>
      </c>
      <c r="H2668" s="38" t="s">
        <v>3229</v>
      </c>
      <c r="I2668" s="38" t="s">
        <v>3230</v>
      </c>
      <c r="J2668" s="38" t="s">
        <v>132</v>
      </c>
      <c r="K2668" s="38" t="s">
        <v>126</v>
      </c>
      <c r="L2668" s="41">
        <v>46009.666666666664</v>
      </c>
      <c r="M2668" s="38" t="s">
        <v>123</v>
      </c>
      <c r="N2668" s="41">
        <v>46009.708333333336</v>
      </c>
      <c r="O2668" s="38" t="s">
        <v>123</v>
      </c>
      <c r="P2668" s="38">
        <v>3600.0</v>
      </c>
      <c r="Q2668" s="39"/>
      <c r="R2668" s="39"/>
      <c r="S2668" s="39"/>
      <c r="T2668" s="39"/>
      <c r="U2668" s="39"/>
    </row>
    <row r="2669">
      <c r="A2669" s="40">
        <f t="shared" si="1"/>
        <v>46006</v>
      </c>
      <c r="B2669" s="37" t="str">
        <f t="array" ref="B2669">iferror(xlookup($I2669, 'IMPORT VHC Report'!$E:$E, 'IMPORT VHC Report'!$A:$C), )</f>
        <v/>
      </c>
      <c r="C2669" s="37"/>
      <c r="D2669" s="37"/>
      <c r="E2669" s="38" t="s">
        <v>3254</v>
      </c>
      <c r="F2669" s="38" t="s">
        <v>3228</v>
      </c>
      <c r="G2669" s="38">
        <v>9.107735174799E12</v>
      </c>
      <c r="H2669" s="38" t="s">
        <v>3229</v>
      </c>
      <c r="I2669" s="38" t="s">
        <v>3230</v>
      </c>
      <c r="J2669" s="38" t="s">
        <v>2268</v>
      </c>
      <c r="K2669" s="38" t="s">
        <v>63</v>
      </c>
      <c r="L2669" s="41">
        <v>46009.666666666664</v>
      </c>
      <c r="M2669" s="38" t="s">
        <v>123</v>
      </c>
      <c r="N2669" s="41">
        <v>46009.75</v>
      </c>
      <c r="O2669" s="38" t="s">
        <v>123</v>
      </c>
      <c r="P2669" s="38">
        <v>7200.0</v>
      </c>
      <c r="Q2669" s="39"/>
      <c r="R2669" s="39"/>
      <c r="S2669" s="39"/>
      <c r="T2669" s="39"/>
      <c r="U2669" s="39"/>
    </row>
    <row r="2670">
      <c r="A2670" s="40">
        <f t="shared" si="1"/>
        <v>46006</v>
      </c>
      <c r="B2670" s="37" t="str">
        <f t="array" ref="B2670">iferror(xlookup($I2670, 'IMPORT VHC Report'!$E:$E, 'IMPORT VHC Report'!$A:$C), )</f>
        <v/>
      </c>
      <c r="C2670" s="37"/>
      <c r="D2670" s="37"/>
      <c r="E2670" s="38" t="s">
        <v>3255</v>
      </c>
      <c r="F2670" s="38" t="s">
        <v>3228</v>
      </c>
      <c r="G2670" s="38">
        <v>9.107735174799E12</v>
      </c>
      <c r="H2670" s="38" t="s">
        <v>3229</v>
      </c>
      <c r="I2670" s="38" t="s">
        <v>3230</v>
      </c>
      <c r="J2670" s="38" t="s">
        <v>2268</v>
      </c>
      <c r="K2670" s="38" t="s">
        <v>63</v>
      </c>
      <c r="L2670" s="41">
        <v>46012.375</v>
      </c>
      <c r="M2670" s="38" t="s">
        <v>123</v>
      </c>
      <c r="N2670" s="41">
        <v>46012.75</v>
      </c>
      <c r="O2670" s="38" t="s">
        <v>123</v>
      </c>
      <c r="P2670" s="38">
        <v>32400.0</v>
      </c>
      <c r="Q2670" s="39"/>
      <c r="R2670" s="39"/>
      <c r="S2670" s="39"/>
      <c r="T2670" s="39"/>
      <c r="U2670" s="39"/>
    </row>
    <row r="2671">
      <c r="A2671" s="40">
        <f t="shared" si="1"/>
        <v>46006</v>
      </c>
      <c r="B2671" s="37" t="str">
        <f t="array" ref="B2671">iferror(xlookup($I2671, 'IMPORT VHC Report'!$E:$E, 'IMPORT VHC Report'!$A:$C), )</f>
        <v/>
      </c>
      <c r="C2671" s="37"/>
      <c r="D2671" s="37"/>
      <c r="E2671" s="38" t="s">
        <v>3256</v>
      </c>
      <c r="F2671" s="38" t="s">
        <v>3228</v>
      </c>
      <c r="G2671" s="38">
        <v>9.107735174799E12</v>
      </c>
      <c r="H2671" s="38" t="s">
        <v>3229</v>
      </c>
      <c r="I2671" s="38" t="s">
        <v>3230</v>
      </c>
      <c r="J2671" s="38" t="s">
        <v>134</v>
      </c>
      <c r="K2671" s="38" t="s">
        <v>126</v>
      </c>
      <c r="L2671" s="41">
        <v>46012.46875</v>
      </c>
      <c r="M2671" s="38" t="s">
        <v>123</v>
      </c>
      <c r="N2671" s="41">
        <v>46012.489583333336</v>
      </c>
      <c r="O2671" s="38" t="s">
        <v>123</v>
      </c>
      <c r="P2671" s="38">
        <v>1800.0</v>
      </c>
      <c r="Q2671" s="39"/>
      <c r="R2671" s="39"/>
      <c r="S2671" s="39"/>
      <c r="T2671" s="39"/>
      <c r="U2671" s="39"/>
    </row>
    <row r="2672">
      <c r="A2672" s="40">
        <f t="shared" si="1"/>
        <v>46006</v>
      </c>
      <c r="B2672" s="37" t="str">
        <f t="array" ref="B2672">iferror(xlookup($I2672, 'IMPORT VHC Report'!$E:$E, 'IMPORT VHC Report'!$A:$C), )</f>
        <v/>
      </c>
      <c r="C2672" s="37"/>
      <c r="D2672" s="37"/>
      <c r="E2672" s="38" t="s">
        <v>3257</v>
      </c>
      <c r="F2672" s="38" t="s">
        <v>3228</v>
      </c>
      <c r="G2672" s="38">
        <v>9.107735174799E12</v>
      </c>
      <c r="H2672" s="38" t="s">
        <v>3229</v>
      </c>
      <c r="I2672" s="38" t="s">
        <v>3230</v>
      </c>
      <c r="J2672" s="38" t="s">
        <v>132</v>
      </c>
      <c r="K2672" s="38" t="s">
        <v>126</v>
      </c>
      <c r="L2672" s="41">
        <v>46012.604166666664</v>
      </c>
      <c r="M2672" s="38" t="s">
        <v>123</v>
      </c>
      <c r="N2672" s="41">
        <v>46012.645833333336</v>
      </c>
      <c r="O2672" s="38" t="s">
        <v>123</v>
      </c>
      <c r="P2672" s="38">
        <v>3600.0</v>
      </c>
      <c r="Q2672" s="39"/>
      <c r="R2672" s="39"/>
      <c r="S2672" s="39"/>
      <c r="T2672" s="39"/>
      <c r="U2672" s="39"/>
    </row>
    <row r="2673">
      <c r="A2673" s="40">
        <f t="shared" si="1"/>
        <v>46006</v>
      </c>
      <c r="B2673" s="37" t="str">
        <f t="array" ref="B2673">iferror(xlookup($I2673, 'IMPORT VHC Report'!$E:$E, 'IMPORT VHC Report'!$A:$C), )</f>
        <v/>
      </c>
      <c r="C2673" s="37"/>
      <c r="D2673" s="37"/>
      <c r="E2673" s="38" t="s">
        <v>3258</v>
      </c>
      <c r="F2673" s="38" t="s">
        <v>3259</v>
      </c>
      <c r="G2673" s="38">
        <v>6.936778850319E12</v>
      </c>
      <c r="H2673" s="38" t="s">
        <v>3260</v>
      </c>
      <c r="I2673" s="38" t="s">
        <v>3261</v>
      </c>
      <c r="J2673" s="38" t="s">
        <v>3262</v>
      </c>
      <c r="K2673" s="38" t="s">
        <v>63</v>
      </c>
      <c r="L2673" s="41">
        <v>46006.375</v>
      </c>
      <c r="M2673" s="38" t="s">
        <v>123</v>
      </c>
      <c r="N2673" s="41">
        <v>46006.75</v>
      </c>
      <c r="O2673" s="38" t="s">
        <v>123</v>
      </c>
      <c r="P2673" s="38">
        <v>32400.0</v>
      </c>
      <c r="Q2673" s="39"/>
      <c r="R2673" s="39"/>
      <c r="S2673" s="39"/>
      <c r="T2673" s="39"/>
      <c r="U2673" s="39"/>
    </row>
    <row r="2674">
      <c r="A2674" s="40">
        <f t="shared" si="1"/>
        <v>46006</v>
      </c>
      <c r="B2674" s="37" t="str">
        <f t="array" ref="B2674">iferror(xlookup($I2674, 'IMPORT VHC Report'!$E:$E, 'IMPORT VHC Report'!$A:$C), )</f>
        <v/>
      </c>
      <c r="C2674" s="37"/>
      <c r="D2674" s="37"/>
      <c r="E2674" s="38" t="s">
        <v>3263</v>
      </c>
      <c r="F2674" s="38" t="s">
        <v>3259</v>
      </c>
      <c r="G2674" s="38">
        <v>6.936778850319E12</v>
      </c>
      <c r="H2674" s="38" t="s">
        <v>3260</v>
      </c>
      <c r="I2674" s="38" t="s">
        <v>3261</v>
      </c>
      <c r="J2674" s="38" t="s">
        <v>134</v>
      </c>
      <c r="K2674" s="38" t="s">
        <v>126</v>
      </c>
      <c r="L2674" s="41">
        <v>46006.447916666664</v>
      </c>
      <c r="M2674" s="38" t="s">
        <v>123</v>
      </c>
      <c r="N2674" s="41">
        <v>46006.458333333336</v>
      </c>
      <c r="O2674" s="38" t="s">
        <v>123</v>
      </c>
      <c r="P2674" s="38">
        <v>900.0</v>
      </c>
      <c r="Q2674" s="39"/>
      <c r="R2674" s="39"/>
      <c r="S2674" s="39"/>
      <c r="T2674" s="39"/>
      <c r="U2674" s="39"/>
    </row>
    <row r="2675">
      <c r="A2675" s="40">
        <f t="shared" si="1"/>
        <v>46006</v>
      </c>
      <c r="B2675" s="37" t="str">
        <f t="array" ref="B2675">iferror(xlookup($I2675, 'IMPORT VHC Report'!$E:$E, 'IMPORT VHC Report'!$A:$C), )</f>
        <v/>
      </c>
      <c r="C2675" s="37"/>
      <c r="D2675" s="37"/>
      <c r="E2675" s="38" t="s">
        <v>3264</v>
      </c>
      <c r="F2675" s="38" t="s">
        <v>3259</v>
      </c>
      <c r="G2675" s="38">
        <v>6.936778850319E12</v>
      </c>
      <c r="H2675" s="38" t="s">
        <v>3260</v>
      </c>
      <c r="I2675" s="38" t="s">
        <v>3261</v>
      </c>
      <c r="J2675" s="38" t="s">
        <v>132</v>
      </c>
      <c r="K2675" s="38" t="s">
        <v>126</v>
      </c>
      <c r="L2675" s="41">
        <v>46006.541666666664</v>
      </c>
      <c r="M2675" s="38" t="s">
        <v>123</v>
      </c>
      <c r="N2675" s="41">
        <v>46006.583333333336</v>
      </c>
      <c r="O2675" s="38" t="s">
        <v>123</v>
      </c>
      <c r="P2675" s="38">
        <v>3600.0</v>
      </c>
      <c r="Q2675" s="39"/>
      <c r="R2675" s="39"/>
      <c r="S2675" s="39"/>
      <c r="T2675" s="39"/>
      <c r="U2675" s="39"/>
    </row>
    <row r="2676">
      <c r="A2676" s="40">
        <f t="shared" si="1"/>
        <v>46006</v>
      </c>
      <c r="B2676" s="37" t="str">
        <f t="array" ref="B2676">iferror(xlookup($I2676, 'IMPORT VHC Report'!$E:$E, 'IMPORT VHC Report'!$A:$C), )</f>
        <v/>
      </c>
      <c r="C2676" s="37"/>
      <c r="D2676" s="37"/>
      <c r="E2676" s="38" t="s">
        <v>3265</v>
      </c>
      <c r="F2676" s="38" t="s">
        <v>3259</v>
      </c>
      <c r="G2676" s="38">
        <v>6.936778850319E12</v>
      </c>
      <c r="H2676" s="38" t="s">
        <v>3260</v>
      </c>
      <c r="I2676" s="38" t="s">
        <v>3261</v>
      </c>
      <c r="J2676" s="38" t="s">
        <v>134</v>
      </c>
      <c r="K2676" s="38" t="s">
        <v>126</v>
      </c>
      <c r="L2676" s="41">
        <v>46006.645833333336</v>
      </c>
      <c r="M2676" s="38" t="s">
        <v>123</v>
      </c>
      <c r="N2676" s="41">
        <v>46006.65625</v>
      </c>
      <c r="O2676" s="38" t="s">
        <v>123</v>
      </c>
      <c r="P2676" s="38">
        <v>900.0</v>
      </c>
      <c r="Q2676" s="39"/>
      <c r="R2676" s="39"/>
      <c r="S2676" s="39"/>
      <c r="T2676" s="39"/>
      <c r="U2676" s="39"/>
    </row>
    <row r="2677">
      <c r="A2677" s="40">
        <f t="shared" si="1"/>
        <v>46006</v>
      </c>
      <c r="B2677" s="37" t="str">
        <f t="array" ref="B2677">iferror(xlookup($I2677, 'IMPORT VHC Report'!$E:$E, 'IMPORT VHC Report'!$A:$C), )</f>
        <v/>
      </c>
      <c r="C2677" s="37"/>
      <c r="D2677" s="37"/>
      <c r="E2677" s="38" t="s">
        <v>3266</v>
      </c>
      <c r="F2677" s="38" t="s">
        <v>3259</v>
      </c>
      <c r="G2677" s="38">
        <v>6.936778850319E12</v>
      </c>
      <c r="H2677" s="38" t="s">
        <v>3260</v>
      </c>
      <c r="I2677" s="38" t="s">
        <v>3261</v>
      </c>
      <c r="J2677" s="38" t="s">
        <v>3262</v>
      </c>
      <c r="K2677" s="38" t="s">
        <v>63</v>
      </c>
      <c r="L2677" s="41">
        <v>46007.375</v>
      </c>
      <c r="M2677" s="38" t="s">
        <v>123</v>
      </c>
      <c r="N2677" s="41">
        <v>46007.75</v>
      </c>
      <c r="O2677" s="38" t="s">
        <v>123</v>
      </c>
      <c r="P2677" s="38">
        <v>32400.0</v>
      </c>
      <c r="Q2677" s="39"/>
      <c r="R2677" s="39"/>
      <c r="S2677" s="39"/>
      <c r="T2677" s="39"/>
      <c r="U2677" s="39"/>
    </row>
    <row r="2678">
      <c r="A2678" s="40">
        <f t="shared" si="1"/>
        <v>46006</v>
      </c>
      <c r="B2678" s="37" t="str">
        <f t="array" ref="B2678">iferror(xlookup($I2678, 'IMPORT VHC Report'!$E:$E, 'IMPORT VHC Report'!$A:$C), )</f>
        <v/>
      </c>
      <c r="C2678" s="37"/>
      <c r="D2678" s="37"/>
      <c r="E2678" s="38" t="s">
        <v>3267</v>
      </c>
      <c r="F2678" s="38" t="s">
        <v>3259</v>
      </c>
      <c r="G2678" s="38">
        <v>6.936778850319E12</v>
      </c>
      <c r="H2678" s="38" t="s">
        <v>3260</v>
      </c>
      <c r="I2678" s="38" t="s">
        <v>3261</v>
      </c>
      <c r="J2678" s="38" t="s">
        <v>134</v>
      </c>
      <c r="K2678" s="38" t="s">
        <v>126</v>
      </c>
      <c r="L2678" s="41">
        <v>46007.4375</v>
      </c>
      <c r="M2678" s="38" t="s">
        <v>123</v>
      </c>
      <c r="N2678" s="41">
        <v>46007.447916666664</v>
      </c>
      <c r="O2678" s="38" t="s">
        <v>123</v>
      </c>
      <c r="P2678" s="38">
        <v>900.0</v>
      </c>
      <c r="Q2678" s="39"/>
      <c r="R2678" s="39"/>
      <c r="S2678" s="39"/>
      <c r="T2678" s="39"/>
      <c r="U2678" s="39"/>
    </row>
    <row r="2679">
      <c r="A2679" s="40">
        <f t="shared" si="1"/>
        <v>46006</v>
      </c>
      <c r="B2679" s="37" t="str">
        <f t="array" ref="B2679">iferror(xlookup($I2679, 'IMPORT VHC Report'!$E:$E, 'IMPORT VHC Report'!$A:$C), )</f>
        <v/>
      </c>
      <c r="C2679" s="37"/>
      <c r="D2679" s="37"/>
      <c r="E2679" s="38" t="s">
        <v>3268</v>
      </c>
      <c r="F2679" s="38" t="s">
        <v>3259</v>
      </c>
      <c r="G2679" s="38">
        <v>6.936778850319E12</v>
      </c>
      <c r="H2679" s="38" t="s">
        <v>3260</v>
      </c>
      <c r="I2679" s="38" t="s">
        <v>3261</v>
      </c>
      <c r="J2679" s="38" t="s">
        <v>132</v>
      </c>
      <c r="K2679" s="38" t="s">
        <v>126</v>
      </c>
      <c r="L2679" s="41">
        <v>46007.520833333336</v>
      </c>
      <c r="M2679" s="38" t="s">
        <v>123</v>
      </c>
      <c r="N2679" s="41">
        <v>46007.5625</v>
      </c>
      <c r="O2679" s="38" t="s">
        <v>123</v>
      </c>
      <c r="P2679" s="38">
        <v>3600.0</v>
      </c>
      <c r="Q2679" s="39"/>
      <c r="R2679" s="39"/>
      <c r="S2679" s="39"/>
      <c r="T2679" s="39"/>
      <c r="U2679" s="39"/>
    </row>
    <row r="2680">
      <c r="A2680" s="40">
        <f t="shared" si="1"/>
        <v>46006</v>
      </c>
      <c r="B2680" s="37" t="str">
        <f t="array" ref="B2680">iferror(xlookup($I2680, 'IMPORT VHC Report'!$E:$E, 'IMPORT VHC Report'!$A:$C), )</f>
        <v/>
      </c>
      <c r="C2680" s="37"/>
      <c r="D2680" s="37"/>
      <c r="E2680" s="38" t="s">
        <v>3269</v>
      </c>
      <c r="F2680" s="38" t="s">
        <v>3259</v>
      </c>
      <c r="G2680" s="38">
        <v>6.936778850319E12</v>
      </c>
      <c r="H2680" s="38" t="s">
        <v>3260</v>
      </c>
      <c r="I2680" s="38" t="s">
        <v>3261</v>
      </c>
      <c r="J2680" s="38" t="s">
        <v>134</v>
      </c>
      <c r="K2680" s="38" t="s">
        <v>126</v>
      </c>
      <c r="L2680" s="41">
        <v>46007.677083333336</v>
      </c>
      <c r="M2680" s="38" t="s">
        <v>123</v>
      </c>
      <c r="N2680" s="41">
        <v>46007.6875</v>
      </c>
      <c r="O2680" s="38" t="s">
        <v>123</v>
      </c>
      <c r="P2680" s="38">
        <v>900.0</v>
      </c>
      <c r="Q2680" s="39"/>
      <c r="R2680" s="39"/>
      <c r="S2680" s="39"/>
      <c r="T2680" s="39"/>
      <c r="U2680" s="39"/>
    </row>
    <row r="2681">
      <c r="A2681" s="40">
        <f t="shared" si="1"/>
        <v>46006</v>
      </c>
      <c r="B2681" s="37" t="str">
        <f t="array" ref="B2681">iferror(xlookup($I2681, 'IMPORT VHC Report'!$E:$E, 'IMPORT VHC Report'!$A:$C), )</f>
        <v/>
      </c>
      <c r="C2681" s="37"/>
      <c r="D2681" s="37"/>
      <c r="E2681" s="38" t="s">
        <v>3270</v>
      </c>
      <c r="F2681" s="38" t="s">
        <v>3259</v>
      </c>
      <c r="G2681" s="38">
        <v>6.936778850319E12</v>
      </c>
      <c r="H2681" s="38" t="s">
        <v>3260</v>
      </c>
      <c r="I2681" s="38" t="s">
        <v>3261</v>
      </c>
      <c r="J2681" s="38" t="s">
        <v>3262</v>
      </c>
      <c r="K2681" s="38" t="s">
        <v>63</v>
      </c>
      <c r="L2681" s="41">
        <v>46008.375</v>
      </c>
      <c r="M2681" s="38" t="s">
        <v>123</v>
      </c>
      <c r="N2681" s="41">
        <v>46008.75</v>
      </c>
      <c r="O2681" s="38" t="s">
        <v>123</v>
      </c>
      <c r="P2681" s="38">
        <v>32400.0</v>
      </c>
      <c r="Q2681" s="39"/>
      <c r="R2681" s="39"/>
      <c r="S2681" s="39"/>
      <c r="T2681" s="39"/>
      <c r="U2681" s="39"/>
    </row>
    <row r="2682">
      <c r="A2682" s="40">
        <f t="shared" si="1"/>
        <v>46006</v>
      </c>
      <c r="B2682" s="37" t="str">
        <f t="array" ref="B2682">iferror(xlookup($I2682, 'IMPORT VHC Report'!$E:$E, 'IMPORT VHC Report'!$A:$C), )</f>
        <v/>
      </c>
      <c r="C2682" s="37"/>
      <c r="D2682" s="37"/>
      <c r="E2682" s="38" t="s">
        <v>3271</v>
      </c>
      <c r="F2682" s="38" t="s">
        <v>3259</v>
      </c>
      <c r="G2682" s="38">
        <v>6.936778850319E12</v>
      </c>
      <c r="H2682" s="38" t="s">
        <v>3260</v>
      </c>
      <c r="I2682" s="38" t="s">
        <v>3261</v>
      </c>
      <c r="J2682" s="38" t="s">
        <v>134</v>
      </c>
      <c r="K2682" s="38" t="s">
        <v>126</v>
      </c>
      <c r="L2682" s="41">
        <v>46008.4375</v>
      </c>
      <c r="M2682" s="38" t="s">
        <v>123</v>
      </c>
      <c r="N2682" s="41">
        <v>46008.447916666664</v>
      </c>
      <c r="O2682" s="38" t="s">
        <v>123</v>
      </c>
      <c r="P2682" s="38">
        <v>900.0</v>
      </c>
      <c r="Q2682" s="39"/>
      <c r="R2682" s="39"/>
      <c r="S2682" s="39"/>
      <c r="T2682" s="39"/>
      <c r="U2682" s="39"/>
    </row>
    <row r="2683">
      <c r="A2683" s="40">
        <f t="shared" si="1"/>
        <v>46006</v>
      </c>
      <c r="B2683" s="37" t="str">
        <f t="array" ref="B2683">iferror(xlookup($I2683, 'IMPORT VHC Report'!$E:$E, 'IMPORT VHC Report'!$A:$C), )</f>
        <v/>
      </c>
      <c r="C2683" s="37"/>
      <c r="D2683" s="37"/>
      <c r="E2683" s="38" t="s">
        <v>3272</v>
      </c>
      <c r="F2683" s="38" t="s">
        <v>3259</v>
      </c>
      <c r="G2683" s="38">
        <v>6.936778850319E12</v>
      </c>
      <c r="H2683" s="38" t="s">
        <v>3260</v>
      </c>
      <c r="I2683" s="38" t="s">
        <v>3261</v>
      </c>
      <c r="J2683" s="38" t="s">
        <v>132</v>
      </c>
      <c r="K2683" s="38" t="s">
        <v>126</v>
      </c>
      <c r="L2683" s="41">
        <v>46008.53125</v>
      </c>
      <c r="M2683" s="38" t="s">
        <v>123</v>
      </c>
      <c r="N2683" s="41">
        <v>46008.572916666664</v>
      </c>
      <c r="O2683" s="38" t="s">
        <v>123</v>
      </c>
      <c r="P2683" s="38">
        <v>3600.0</v>
      </c>
      <c r="Q2683" s="39"/>
      <c r="R2683" s="39"/>
      <c r="S2683" s="39"/>
      <c r="T2683" s="39"/>
      <c r="U2683" s="39"/>
    </row>
    <row r="2684">
      <c r="A2684" s="40">
        <f t="shared" si="1"/>
        <v>46006</v>
      </c>
      <c r="B2684" s="37" t="str">
        <f t="array" ref="B2684">iferror(xlookup($I2684, 'IMPORT VHC Report'!$E:$E, 'IMPORT VHC Report'!$A:$C), )</f>
        <v/>
      </c>
      <c r="C2684" s="37"/>
      <c r="D2684" s="37"/>
      <c r="E2684" s="38" t="s">
        <v>3273</v>
      </c>
      <c r="F2684" s="38" t="s">
        <v>3259</v>
      </c>
      <c r="G2684" s="38">
        <v>6.936778850319E12</v>
      </c>
      <c r="H2684" s="38" t="s">
        <v>3260</v>
      </c>
      <c r="I2684" s="38" t="s">
        <v>3261</v>
      </c>
      <c r="J2684" s="38" t="s">
        <v>134</v>
      </c>
      <c r="K2684" s="38" t="s">
        <v>126</v>
      </c>
      <c r="L2684" s="41">
        <v>46008.666666666664</v>
      </c>
      <c r="M2684" s="38" t="s">
        <v>123</v>
      </c>
      <c r="N2684" s="41">
        <v>46008.677083333336</v>
      </c>
      <c r="O2684" s="38" t="s">
        <v>123</v>
      </c>
      <c r="P2684" s="38">
        <v>900.0</v>
      </c>
      <c r="Q2684" s="39"/>
      <c r="R2684" s="39"/>
      <c r="S2684" s="39"/>
      <c r="T2684" s="39"/>
      <c r="U2684" s="39"/>
    </row>
    <row r="2685">
      <c r="A2685" s="40">
        <f t="shared" si="1"/>
        <v>46006</v>
      </c>
      <c r="B2685" s="37" t="str">
        <f t="array" ref="B2685">iferror(xlookup($I2685, 'IMPORT VHC Report'!$E:$E, 'IMPORT VHC Report'!$A:$C), )</f>
        <v/>
      </c>
      <c r="C2685" s="37"/>
      <c r="D2685" s="37"/>
      <c r="E2685" s="38" t="s">
        <v>3274</v>
      </c>
      <c r="F2685" s="38" t="s">
        <v>3259</v>
      </c>
      <c r="G2685" s="38">
        <v>6.936778850319E12</v>
      </c>
      <c r="H2685" s="38" t="s">
        <v>3260</v>
      </c>
      <c r="I2685" s="38" t="s">
        <v>3261</v>
      </c>
      <c r="J2685" s="38" t="s">
        <v>3262</v>
      </c>
      <c r="K2685" s="38" t="s">
        <v>63</v>
      </c>
      <c r="L2685" s="41">
        <v>46009.375</v>
      </c>
      <c r="M2685" s="38" t="s">
        <v>123</v>
      </c>
      <c r="N2685" s="41">
        <v>46009.75</v>
      </c>
      <c r="O2685" s="38" t="s">
        <v>123</v>
      </c>
      <c r="P2685" s="38">
        <v>32400.0</v>
      </c>
      <c r="Q2685" s="39"/>
      <c r="R2685" s="39"/>
      <c r="S2685" s="39"/>
      <c r="T2685" s="39"/>
      <c r="U2685" s="39"/>
    </row>
    <row r="2686">
      <c r="A2686" s="40">
        <f t="shared" si="1"/>
        <v>46006</v>
      </c>
      <c r="B2686" s="37" t="str">
        <f t="array" ref="B2686">iferror(xlookup($I2686, 'IMPORT VHC Report'!$E:$E, 'IMPORT VHC Report'!$A:$C), )</f>
        <v/>
      </c>
      <c r="C2686" s="37"/>
      <c r="D2686" s="37"/>
      <c r="E2686" s="38" t="s">
        <v>3275</v>
      </c>
      <c r="F2686" s="38" t="s">
        <v>3259</v>
      </c>
      <c r="G2686" s="38">
        <v>6.936778850319E12</v>
      </c>
      <c r="H2686" s="38" t="s">
        <v>3260</v>
      </c>
      <c r="I2686" s="38" t="s">
        <v>3261</v>
      </c>
      <c r="J2686" s="38" t="s">
        <v>134</v>
      </c>
      <c r="K2686" s="38" t="s">
        <v>126</v>
      </c>
      <c r="L2686" s="41">
        <v>46009.479166666664</v>
      </c>
      <c r="M2686" s="38" t="s">
        <v>123</v>
      </c>
      <c r="N2686" s="41">
        <v>46009.489583333336</v>
      </c>
      <c r="O2686" s="38" t="s">
        <v>123</v>
      </c>
      <c r="P2686" s="38">
        <v>900.0</v>
      </c>
      <c r="Q2686" s="39"/>
      <c r="R2686" s="39"/>
      <c r="S2686" s="39"/>
      <c r="T2686" s="39"/>
      <c r="U2686" s="39"/>
    </row>
    <row r="2687">
      <c r="A2687" s="40">
        <f t="shared" si="1"/>
        <v>46006</v>
      </c>
      <c r="B2687" s="37" t="str">
        <f t="array" ref="B2687">iferror(xlookup($I2687, 'IMPORT VHC Report'!$E:$E, 'IMPORT VHC Report'!$A:$C), )</f>
        <v/>
      </c>
      <c r="C2687" s="37"/>
      <c r="D2687" s="37"/>
      <c r="E2687" s="38" t="s">
        <v>3276</v>
      </c>
      <c r="F2687" s="38" t="s">
        <v>3259</v>
      </c>
      <c r="G2687" s="38">
        <v>6.936778850319E12</v>
      </c>
      <c r="H2687" s="38" t="s">
        <v>3260</v>
      </c>
      <c r="I2687" s="38" t="s">
        <v>3261</v>
      </c>
      <c r="J2687" s="38" t="s">
        <v>132</v>
      </c>
      <c r="K2687" s="38" t="s">
        <v>126</v>
      </c>
      <c r="L2687" s="41">
        <v>46009.572916666664</v>
      </c>
      <c r="M2687" s="38" t="s">
        <v>123</v>
      </c>
      <c r="N2687" s="41">
        <v>46009.614583333336</v>
      </c>
      <c r="O2687" s="38" t="s">
        <v>123</v>
      </c>
      <c r="P2687" s="38">
        <v>3600.0</v>
      </c>
      <c r="Q2687" s="39"/>
      <c r="R2687" s="39"/>
      <c r="S2687" s="39"/>
      <c r="T2687" s="39"/>
      <c r="U2687" s="39"/>
    </row>
    <row r="2688">
      <c r="A2688" s="40">
        <f t="shared" si="1"/>
        <v>46006</v>
      </c>
      <c r="B2688" s="37" t="str">
        <f t="array" ref="B2688">iferror(xlookup($I2688, 'IMPORT VHC Report'!$E:$E, 'IMPORT VHC Report'!$A:$C), )</f>
        <v/>
      </c>
      <c r="C2688" s="37"/>
      <c r="D2688" s="37"/>
      <c r="E2688" s="38" t="s">
        <v>3277</v>
      </c>
      <c r="F2688" s="38" t="s">
        <v>3259</v>
      </c>
      <c r="G2688" s="38">
        <v>6.936778850319E12</v>
      </c>
      <c r="H2688" s="38" t="s">
        <v>3260</v>
      </c>
      <c r="I2688" s="38" t="s">
        <v>3261</v>
      </c>
      <c r="J2688" s="38" t="s">
        <v>134</v>
      </c>
      <c r="K2688" s="38" t="s">
        <v>126</v>
      </c>
      <c r="L2688" s="41">
        <v>46009.677083333336</v>
      </c>
      <c r="M2688" s="38" t="s">
        <v>123</v>
      </c>
      <c r="N2688" s="41">
        <v>46009.6875</v>
      </c>
      <c r="O2688" s="38" t="s">
        <v>123</v>
      </c>
      <c r="P2688" s="38">
        <v>900.0</v>
      </c>
      <c r="Q2688" s="39"/>
      <c r="R2688" s="39"/>
      <c r="S2688" s="39"/>
      <c r="T2688" s="39"/>
      <c r="U2688" s="39"/>
    </row>
    <row r="2689">
      <c r="A2689" s="40">
        <f t="shared" si="1"/>
        <v>46006</v>
      </c>
      <c r="B2689" s="37" t="str">
        <f t="array" ref="B2689">iferror(xlookup($I2689, 'IMPORT VHC Report'!$E:$E, 'IMPORT VHC Report'!$A:$C), )</f>
        <v/>
      </c>
      <c r="C2689" s="37"/>
      <c r="D2689" s="37"/>
      <c r="E2689" s="38" t="s">
        <v>3278</v>
      </c>
      <c r="F2689" s="38" t="s">
        <v>3259</v>
      </c>
      <c r="G2689" s="38">
        <v>6.936778850319E12</v>
      </c>
      <c r="H2689" s="38" t="s">
        <v>3260</v>
      </c>
      <c r="I2689" s="38" t="s">
        <v>3261</v>
      </c>
      <c r="J2689" s="38" t="s">
        <v>3262</v>
      </c>
      <c r="K2689" s="38" t="s">
        <v>63</v>
      </c>
      <c r="L2689" s="41">
        <v>46010.375</v>
      </c>
      <c r="M2689" s="38" t="s">
        <v>123</v>
      </c>
      <c r="N2689" s="41">
        <v>46010.75</v>
      </c>
      <c r="O2689" s="38" t="s">
        <v>123</v>
      </c>
      <c r="P2689" s="38">
        <v>32400.0</v>
      </c>
      <c r="Q2689" s="39"/>
      <c r="R2689" s="39"/>
      <c r="S2689" s="39"/>
      <c r="T2689" s="39"/>
      <c r="U2689" s="39"/>
    </row>
    <row r="2690">
      <c r="A2690" s="40">
        <f t="shared" si="1"/>
        <v>46006</v>
      </c>
      <c r="B2690" s="37" t="str">
        <f t="array" ref="B2690">iferror(xlookup($I2690, 'IMPORT VHC Report'!$E:$E, 'IMPORT VHC Report'!$A:$C), )</f>
        <v/>
      </c>
      <c r="C2690" s="37"/>
      <c r="D2690" s="37"/>
      <c r="E2690" s="38" t="s">
        <v>3279</v>
      </c>
      <c r="F2690" s="38" t="s">
        <v>3259</v>
      </c>
      <c r="G2690" s="38">
        <v>6.936778850319E12</v>
      </c>
      <c r="H2690" s="38" t="s">
        <v>3260</v>
      </c>
      <c r="I2690" s="38" t="s">
        <v>3261</v>
      </c>
      <c r="J2690" s="38" t="s">
        <v>134</v>
      </c>
      <c r="K2690" s="38" t="s">
        <v>126</v>
      </c>
      <c r="L2690" s="41">
        <v>46010.458333333336</v>
      </c>
      <c r="M2690" s="38" t="s">
        <v>123</v>
      </c>
      <c r="N2690" s="41">
        <v>46010.46875</v>
      </c>
      <c r="O2690" s="38" t="s">
        <v>123</v>
      </c>
      <c r="P2690" s="38">
        <v>900.0</v>
      </c>
      <c r="Q2690" s="39"/>
      <c r="R2690" s="39"/>
      <c r="S2690" s="39"/>
      <c r="T2690" s="39"/>
      <c r="U2690" s="39"/>
    </row>
    <row r="2691">
      <c r="A2691" s="40">
        <f t="shared" si="1"/>
        <v>46006</v>
      </c>
      <c r="B2691" s="37" t="str">
        <f t="array" ref="B2691">iferror(xlookup($I2691, 'IMPORT VHC Report'!$E:$E, 'IMPORT VHC Report'!$A:$C), )</f>
        <v/>
      </c>
      <c r="C2691" s="37"/>
      <c r="D2691" s="37"/>
      <c r="E2691" s="38" t="s">
        <v>3280</v>
      </c>
      <c r="F2691" s="38" t="s">
        <v>3259</v>
      </c>
      <c r="G2691" s="38">
        <v>6.936778850319E12</v>
      </c>
      <c r="H2691" s="38" t="s">
        <v>3260</v>
      </c>
      <c r="I2691" s="38" t="s">
        <v>3261</v>
      </c>
      <c r="J2691" s="38" t="s">
        <v>132</v>
      </c>
      <c r="K2691" s="38" t="s">
        <v>126</v>
      </c>
      <c r="L2691" s="41">
        <v>46010.541666666664</v>
      </c>
      <c r="M2691" s="38" t="s">
        <v>123</v>
      </c>
      <c r="N2691" s="41">
        <v>46010.583333333336</v>
      </c>
      <c r="O2691" s="38" t="s">
        <v>123</v>
      </c>
      <c r="P2691" s="38">
        <v>3600.0</v>
      </c>
      <c r="Q2691" s="39"/>
      <c r="R2691" s="39"/>
      <c r="S2691" s="39"/>
      <c r="T2691" s="39"/>
      <c r="U2691" s="39"/>
    </row>
    <row r="2692">
      <c r="A2692" s="40">
        <f t="shared" si="1"/>
        <v>46006</v>
      </c>
      <c r="B2692" s="37" t="str">
        <f t="array" ref="B2692">iferror(xlookup($I2692, 'IMPORT VHC Report'!$E:$E, 'IMPORT VHC Report'!$A:$C), )</f>
        <v/>
      </c>
      <c r="C2692" s="37"/>
      <c r="D2692" s="37"/>
      <c r="E2692" s="38" t="s">
        <v>3281</v>
      </c>
      <c r="F2692" s="38" t="s">
        <v>3259</v>
      </c>
      <c r="G2692" s="38">
        <v>6.936778850319E12</v>
      </c>
      <c r="H2692" s="38" t="s">
        <v>3260</v>
      </c>
      <c r="I2692" s="38" t="s">
        <v>3261</v>
      </c>
      <c r="J2692" s="38" t="s">
        <v>134</v>
      </c>
      <c r="K2692" s="38" t="s">
        <v>126</v>
      </c>
      <c r="L2692" s="41">
        <v>46010.645833333336</v>
      </c>
      <c r="M2692" s="38" t="s">
        <v>123</v>
      </c>
      <c r="N2692" s="41">
        <v>46010.65625</v>
      </c>
      <c r="O2692" s="38" t="s">
        <v>123</v>
      </c>
      <c r="P2692" s="38">
        <v>900.0</v>
      </c>
      <c r="Q2692" s="39"/>
      <c r="R2692" s="39"/>
      <c r="S2692" s="39"/>
      <c r="T2692" s="39"/>
      <c r="U2692" s="39"/>
    </row>
    <row r="2693">
      <c r="A2693" s="40">
        <f t="shared" si="1"/>
        <v>46006</v>
      </c>
      <c r="B2693" s="37" t="str">
        <f t="array" ref="B2693">iferror(xlookup($I2693, 'IMPORT VHC Report'!$E:$E, 'IMPORT VHC Report'!$A:$C), )</f>
        <v/>
      </c>
      <c r="C2693" s="37"/>
      <c r="D2693" s="37"/>
      <c r="E2693" s="38" t="s">
        <v>3282</v>
      </c>
      <c r="F2693" s="38" t="s">
        <v>3283</v>
      </c>
      <c r="G2693" s="38">
        <v>9.107749076367E12</v>
      </c>
      <c r="H2693" s="38" t="s">
        <v>3284</v>
      </c>
      <c r="I2693" s="38" t="s">
        <v>3285</v>
      </c>
      <c r="J2693" s="38" t="s">
        <v>136</v>
      </c>
      <c r="K2693" s="38" t="s">
        <v>126</v>
      </c>
      <c r="L2693" s="41">
        <v>46006.375</v>
      </c>
      <c r="M2693" s="38" t="s">
        <v>123</v>
      </c>
      <c r="N2693" s="41">
        <v>46006.385416666664</v>
      </c>
      <c r="O2693" s="38" t="s">
        <v>123</v>
      </c>
      <c r="P2693" s="38">
        <v>900.0</v>
      </c>
      <c r="Q2693" s="39"/>
      <c r="R2693" s="39"/>
      <c r="S2693" s="38" t="s">
        <v>2659</v>
      </c>
      <c r="T2693" s="39"/>
      <c r="U2693" s="39"/>
    </row>
    <row r="2694">
      <c r="A2694" s="40">
        <f t="shared" si="1"/>
        <v>46006</v>
      </c>
      <c r="B2694" s="37" t="str">
        <f t="array" ref="B2694">iferror(xlookup($I2694, 'IMPORT VHC Report'!$E:$E, 'IMPORT VHC Report'!$A:$C), )</f>
        <v/>
      </c>
      <c r="C2694" s="37"/>
      <c r="D2694" s="37"/>
      <c r="E2694" s="38" t="s">
        <v>3286</v>
      </c>
      <c r="F2694" s="38" t="s">
        <v>3283</v>
      </c>
      <c r="G2694" s="38">
        <v>9.107749076367E12</v>
      </c>
      <c r="H2694" s="38" t="s">
        <v>3284</v>
      </c>
      <c r="I2694" s="38" t="s">
        <v>3285</v>
      </c>
      <c r="J2694" s="38" t="s">
        <v>2268</v>
      </c>
      <c r="K2694" s="38" t="s">
        <v>63</v>
      </c>
      <c r="L2694" s="41">
        <v>46006.375</v>
      </c>
      <c r="M2694" s="38" t="s">
        <v>123</v>
      </c>
      <c r="N2694" s="41">
        <v>46006.458333333336</v>
      </c>
      <c r="O2694" s="38" t="s">
        <v>123</v>
      </c>
      <c r="P2694" s="38">
        <v>7200.0</v>
      </c>
      <c r="Q2694" s="39"/>
      <c r="R2694" s="39"/>
      <c r="S2694" s="39"/>
      <c r="T2694" s="39"/>
      <c r="U2694" s="39"/>
    </row>
    <row r="2695">
      <c r="A2695" s="40">
        <f t="shared" si="1"/>
        <v>46006</v>
      </c>
      <c r="B2695" s="37" t="str">
        <f t="array" ref="B2695">iferror(xlookup($I2695, 'IMPORT VHC Report'!$E:$E, 'IMPORT VHC Report'!$A:$C), )</f>
        <v/>
      </c>
      <c r="C2695" s="37"/>
      <c r="D2695" s="37"/>
      <c r="E2695" s="38" t="s">
        <v>3287</v>
      </c>
      <c r="F2695" s="38" t="s">
        <v>3283</v>
      </c>
      <c r="G2695" s="38">
        <v>9.107749076367E12</v>
      </c>
      <c r="H2695" s="38" t="s">
        <v>3284</v>
      </c>
      <c r="I2695" s="38" t="s">
        <v>3285</v>
      </c>
      <c r="J2695" s="38" t="s">
        <v>368</v>
      </c>
      <c r="K2695" s="38" t="s">
        <v>63</v>
      </c>
      <c r="L2695" s="41">
        <v>46006.458333333336</v>
      </c>
      <c r="M2695" s="38" t="s">
        <v>123</v>
      </c>
      <c r="N2695" s="41">
        <v>46006.541666666664</v>
      </c>
      <c r="O2695" s="38" t="s">
        <v>123</v>
      </c>
      <c r="P2695" s="38">
        <v>7200.0</v>
      </c>
      <c r="Q2695" s="39"/>
      <c r="R2695" s="39"/>
      <c r="S2695" s="38" t="s">
        <v>3234</v>
      </c>
      <c r="T2695" s="39"/>
      <c r="U2695" s="39"/>
    </row>
    <row r="2696">
      <c r="A2696" s="40">
        <f t="shared" si="1"/>
        <v>46006</v>
      </c>
      <c r="B2696" s="37" t="str">
        <f t="array" ref="B2696">iferror(xlookup($I2696, 'IMPORT VHC Report'!$E:$E, 'IMPORT VHC Report'!$A:$C), )</f>
        <v/>
      </c>
      <c r="C2696" s="37"/>
      <c r="D2696" s="37"/>
      <c r="E2696" s="38" t="s">
        <v>3288</v>
      </c>
      <c r="F2696" s="38" t="s">
        <v>3283</v>
      </c>
      <c r="G2696" s="38">
        <v>9.107749076367E12</v>
      </c>
      <c r="H2696" s="38" t="s">
        <v>3284</v>
      </c>
      <c r="I2696" s="38" t="s">
        <v>3285</v>
      </c>
      <c r="J2696" s="38" t="s">
        <v>134</v>
      </c>
      <c r="K2696" s="38" t="s">
        <v>126</v>
      </c>
      <c r="L2696" s="41">
        <v>46006.520833333336</v>
      </c>
      <c r="M2696" s="38" t="s">
        <v>123</v>
      </c>
      <c r="N2696" s="41">
        <v>46006.541666666664</v>
      </c>
      <c r="O2696" s="38" t="s">
        <v>123</v>
      </c>
      <c r="P2696" s="38">
        <v>1800.0</v>
      </c>
      <c r="Q2696" s="39"/>
      <c r="R2696" s="39"/>
      <c r="S2696" s="39"/>
      <c r="T2696" s="39"/>
      <c r="U2696" s="39"/>
    </row>
    <row r="2697">
      <c r="A2697" s="40">
        <f t="shared" si="1"/>
        <v>46006</v>
      </c>
      <c r="B2697" s="37" t="str">
        <f t="array" ref="B2697">iferror(xlookup($I2697, 'IMPORT VHC Report'!$E:$E, 'IMPORT VHC Report'!$A:$C), )</f>
        <v/>
      </c>
      <c r="C2697" s="37"/>
      <c r="D2697" s="37"/>
      <c r="E2697" s="38" t="s">
        <v>3289</v>
      </c>
      <c r="F2697" s="38" t="s">
        <v>3283</v>
      </c>
      <c r="G2697" s="38">
        <v>9.107749076367E12</v>
      </c>
      <c r="H2697" s="38" t="s">
        <v>3284</v>
      </c>
      <c r="I2697" s="38" t="s">
        <v>3285</v>
      </c>
      <c r="J2697" s="38" t="s">
        <v>2268</v>
      </c>
      <c r="K2697" s="38" t="s">
        <v>63</v>
      </c>
      <c r="L2697" s="41">
        <v>46006.541666666664</v>
      </c>
      <c r="M2697" s="38" t="s">
        <v>123</v>
      </c>
      <c r="N2697" s="41">
        <v>46006.625</v>
      </c>
      <c r="O2697" s="38" t="s">
        <v>123</v>
      </c>
      <c r="P2697" s="38">
        <v>7200.0</v>
      </c>
      <c r="Q2697" s="39"/>
      <c r="R2697" s="39"/>
      <c r="S2697" s="39"/>
      <c r="T2697" s="39"/>
      <c r="U2697" s="39"/>
    </row>
    <row r="2698">
      <c r="A2698" s="40">
        <f t="shared" si="1"/>
        <v>46006</v>
      </c>
      <c r="B2698" s="37" t="str">
        <f t="array" ref="B2698">iferror(xlookup($I2698, 'IMPORT VHC Report'!$E:$E, 'IMPORT VHC Report'!$A:$C), )</f>
        <v/>
      </c>
      <c r="C2698" s="37"/>
      <c r="D2698" s="37"/>
      <c r="E2698" s="38" t="s">
        <v>3290</v>
      </c>
      <c r="F2698" s="38" t="s">
        <v>3283</v>
      </c>
      <c r="G2698" s="38">
        <v>9.107749076367E12</v>
      </c>
      <c r="H2698" s="38" t="s">
        <v>3284</v>
      </c>
      <c r="I2698" s="38" t="s">
        <v>3285</v>
      </c>
      <c r="J2698" s="38" t="s">
        <v>2268</v>
      </c>
      <c r="K2698" s="38" t="s">
        <v>63</v>
      </c>
      <c r="L2698" s="41">
        <v>46006.625</v>
      </c>
      <c r="M2698" s="38" t="s">
        <v>123</v>
      </c>
      <c r="N2698" s="41">
        <v>46006.75</v>
      </c>
      <c r="O2698" s="38" t="s">
        <v>123</v>
      </c>
      <c r="P2698" s="38">
        <v>10800.0</v>
      </c>
      <c r="Q2698" s="39"/>
      <c r="R2698" s="39"/>
      <c r="S2698" s="39"/>
      <c r="T2698" s="39"/>
      <c r="U2698" s="39"/>
    </row>
    <row r="2699">
      <c r="A2699" s="40">
        <f t="shared" si="1"/>
        <v>46006</v>
      </c>
      <c r="B2699" s="37" t="str">
        <f t="array" ref="B2699">iferror(xlookup($I2699, 'IMPORT VHC Report'!$E:$E, 'IMPORT VHC Report'!$A:$C), )</f>
        <v/>
      </c>
      <c r="C2699" s="37"/>
      <c r="D2699" s="37"/>
      <c r="E2699" s="38" t="s">
        <v>3291</v>
      </c>
      <c r="F2699" s="38" t="s">
        <v>3283</v>
      </c>
      <c r="G2699" s="38">
        <v>9.107749076367E12</v>
      </c>
      <c r="H2699" s="38" t="s">
        <v>3284</v>
      </c>
      <c r="I2699" s="38" t="s">
        <v>3285</v>
      </c>
      <c r="J2699" s="38" t="s">
        <v>132</v>
      </c>
      <c r="K2699" s="38" t="s">
        <v>126</v>
      </c>
      <c r="L2699" s="41">
        <v>46006.635416666664</v>
      </c>
      <c r="M2699" s="38" t="s">
        <v>123</v>
      </c>
      <c r="N2699" s="41">
        <v>46006.677083333336</v>
      </c>
      <c r="O2699" s="38" t="s">
        <v>123</v>
      </c>
      <c r="P2699" s="38">
        <v>3600.0</v>
      </c>
      <c r="Q2699" s="39"/>
      <c r="R2699" s="39"/>
      <c r="S2699" s="39"/>
      <c r="T2699" s="39"/>
      <c r="U2699" s="39"/>
    </row>
    <row r="2700">
      <c r="A2700" s="40">
        <f t="shared" si="1"/>
        <v>46006</v>
      </c>
      <c r="B2700" s="37" t="str">
        <f t="array" ref="B2700">iferror(xlookup($I2700, 'IMPORT VHC Report'!$E:$E, 'IMPORT VHC Report'!$A:$C), )</f>
        <v/>
      </c>
      <c r="C2700" s="37"/>
      <c r="D2700" s="37"/>
      <c r="E2700" s="38" t="s">
        <v>3292</v>
      </c>
      <c r="F2700" s="38" t="s">
        <v>3283</v>
      </c>
      <c r="G2700" s="38">
        <v>9.107749076367E12</v>
      </c>
      <c r="H2700" s="38" t="s">
        <v>3284</v>
      </c>
      <c r="I2700" s="38" t="s">
        <v>3285</v>
      </c>
      <c r="J2700" s="38" t="s">
        <v>368</v>
      </c>
      <c r="K2700" s="38" t="s">
        <v>63</v>
      </c>
      <c r="L2700" s="41">
        <v>46007.375</v>
      </c>
      <c r="M2700" s="38" t="s">
        <v>123</v>
      </c>
      <c r="N2700" s="41">
        <v>46007.458333333336</v>
      </c>
      <c r="O2700" s="38" t="s">
        <v>123</v>
      </c>
      <c r="P2700" s="38">
        <v>7200.0</v>
      </c>
      <c r="Q2700" s="39"/>
      <c r="R2700" s="39"/>
      <c r="S2700" s="39"/>
      <c r="T2700" s="39"/>
      <c r="U2700" s="39"/>
    </row>
    <row r="2701">
      <c r="A2701" s="40">
        <f t="shared" si="1"/>
        <v>46006</v>
      </c>
      <c r="B2701" s="37" t="str">
        <f t="array" ref="B2701">iferror(xlookup($I2701, 'IMPORT VHC Report'!$E:$E, 'IMPORT VHC Report'!$A:$C), )</f>
        <v/>
      </c>
      <c r="C2701" s="37"/>
      <c r="D2701" s="37"/>
      <c r="E2701" s="38" t="s">
        <v>3293</v>
      </c>
      <c r="F2701" s="38" t="s">
        <v>3283</v>
      </c>
      <c r="G2701" s="38">
        <v>9.107749076367E12</v>
      </c>
      <c r="H2701" s="38" t="s">
        <v>3284</v>
      </c>
      <c r="I2701" s="38" t="s">
        <v>3285</v>
      </c>
      <c r="J2701" s="38" t="s">
        <v>2268</v>
      </c>
      <c r="K2701" s="38" t="s">
        <v>63</v>
      </c>
      <c r="L2701" s="41">
        <v>46007.458333333336</v>
      </c>
      <c r="M2701" s="38" t="s">
        <v>123</v>
      </c>
      <c r="N2701" s="41">
        <v>46007.75</v>
      </c>
      <c r="O2701" s="38" t="s">
        <v>123</v>
      </c>
      <c r="P2701" s="38">
        <v>25200.0</v>
      </c>
      <c r="Q2701" s="39"/>
      <c r="R2701" s="39"/>
      <c r="S2701" s="39"/>
      <c r="T2701" s="39"/>
      <c r="U2701" s="39"/>
    </row>
    <row r="2702">
      <c r="A2702" s="40">
        <f t="shared" si="1"/>
        <v>46006</v>
      </c>
      <c r="B2702" s="37" t="str">
        <f t="array" ref="B2702">iferror(xlookup($I2702, 'IMPORT VHC Report'!$E:$E, 'IMPORT VHC Report'!$A:$C), )</f>
        <v/>
      </c>
      <c r="C2702" s="37"/>
      <c r="D2702" s="37"/>
      <c r="E2702" s="38" t="s">
        <v>3294</v>
      </c>
      <c r="F2702" s="38" t="s">
        <v>3283</v>
      </c>
      <c r="G2702" s="38">
        <v>9.107749076367E12</v>
      </c>
      <c r="H2702" s="38" t="s">
        <v>3284</v>
      </c>
      <c r="I2702" s="38" t="s">
        <v>3285</v>
      </c>
      <c r="J2702" s="38" t="s">
        <v>136</v>
      </c>
      <c r="K2702" s="38" t="s">
        <v>126</v>
      </c>
      <c r="L2702" s="41">
        <v>46007.5</v>
      </c>
      <c r="M2702" s="38" t="s">
        <v>123</v>
      </c>
      <c r="N2702" s="41">
        <v>46007.510416666664</v>
      </c>
      <c r="O2702" s="38" t="s">
        <v>123</v>
      </c>
      <c r="P2702" s="38">
        <v>900.0</v>
      </c>
      <c r="Q2702" s="39"/>
      <c r="R2702" s="39"/>
      <c r="S2702" s="38" t="s">
        <v>3240</v>
      </c>
      <c r="T2702" s="39"/>
      <c r="U2702" s="39"/>
    </row>
    <row r="2703">
      <c r="A2703" s="40">
        <f t="shared" si="1"/>
        <v>46006</v>
      </c>
      <c r="B2703" s="37" t="str">
        <f t="array" ref="B2703">iferror(xlookup($I2703, 'IMPORT VHC Report'!$E:$E, 'IMPORT VHC Report'!$A:$C), )</f>
        <v/>
      </c>
      <c r="C2703" s="37"/>
      <c r="D2703" s="37"/>
      <c r="E2703" s="38" t="s">
        <v>3295</v>
      </c>
      <c r="F2703" s="38" t="s">
        <v>3283</v>
      </c>
      <c r="G2703" s="38">
        <v>9.107749076367E12</v>
      </c>
      <c r="H2703" s="38" t="s">
        <v>3284</v>
      </c>
      <c r="I2703" s="38" t="s">
        <v>3285</v>
      </c>
      <c r="J2703" s="38" t="s">
        <v>134</v>
      </c>
      <c r="K2703" s="38" t="s">
        <v>126</v>
      </c>
      <c r="L2703" s="41">
        <v>46007.510416666664</v>
      </c>
      <c r="M2703" s="38" t="s">
        <v>123</v>
      </c>
      <c r="N2703" s="41">
        <v>46007.520833333336</v>
      </c>
      <c r="O2703" s="38" t="s">
        <v>123</v>
      </c>
      <c r="P2703" s="38">
        <v>900.0</v>
      </c>
      <c r="Q2703" s="39"/>
      <c r="R2703" s="39"/>
      <c r="S2703" s="39"/>
      <c r="T2703" s="39"/>
      <c r="U2703" s="39"/>
    </row>
    <row r="2704">
      <c r="A2704" s="40">
        <f t="shared" si="1"/>
        <v>46006</v>
      </c>
      <c r="B2704" s="37" t="str">
        <f t="array" ref="B2704">iferror(xlookup($I2704, 'IMPORT VHC Report'!$E:$E, 'IMPORT VHC Report'!$A:$C), )</f>
        <v/>
      </c>
      <c r="C2704" s="37"/>
      <c r="D2704" s="37"/>
      <c r="E2704" s="38" t="s">
        <v>3296</v>
      </c>
      <c r="F2704" s="38" t="s">
        <v>3283</v>
      </c>
      <c r="G2704" s="38">
        <v>9.107749076367E12</v>
      </c>
      <c r="H2704" s="38" t="s">
        <v>3284</v>
      </c>
      <c r="I2704" s="38" t="s">
        <v>3285</v>
      </c>
      <c r="J2704" s="38" t="s">
        <v>132</v>
      </c>
      <c r="K2704" s="38" t="s">
        <v>126</v>
      </c>
      <c r="L2704" s="41">
        <v>46007.614583333336</v>
      </c>
      <c r="M2704" s="38" t="s">
        <v>123</v>
      </c>
      <c r="N2704" s="41">
        <v>46007.65625</v>
      </c>
      <c r="O2704" s="38" t="s">
        <v>123</v>
      </c>
      <c r="P2704" s="38">
        <v>3600.0</v>
      </c>
      <c r="Q2704" s="39"/>
      <c r="R2704" s="39"/>
      <c r="S2704" s="39"/>
      <c r="T2704" s="39"/>
      <c r="U2704" s="39"/>
    </row>
    <row r="2705">
      <c r="A2705" s="40">
        <f t="shared" si="1"/>
        <v>46006</v>
      </c>
      <c r="B2705" s="37" t="str">
        <f t="array" ref="B2705">iferror(xlookup($I2705, 'IMPORT VHC Report'!$E:$E, 'IMPORT VHC Report'!$A:$C), )</f>
        <v/>
      </c>
      <c r="C2705" s="37"/>
      <c r="D2705" s="37"/>
      <c r="E2705" s="38" t="s">
        <v>3297</v>
      </c>
      <c r="F2705" s="38" t="s">
        <v>3283</v>
      </c>
      <c r="G2705" s="38">
        <v>9.107749076367E12</v>
      </c>
      <c r="H2705" s="38" t="s">
        <v>3284</v>
      </c>
      <c r="I2705" s="38" t="s">
        <v>3285</v>
      </c>
      <c r="J2705" s="38" t="s">
        <v>2268</v>
      </c>
      <c r="K2705" s="38" t="s">
        <v>63</v>
      </c>
      <c r="L2705" s="41">
        <v>46008.375</v>
      </c>
      <c r="M2705" s="38" t="s">
        <v>123</v>
      </c>
      <c r="N2705" s="41">
        <v>46008.541666666664</v>
      </c>
      <c r="O2705" s="38" t="s">
        <v>123</v>
      </c>
      <c r="P2705" s="38">
        <v>14400.0</v>
      </c>
      <c r="Q2705" s="39"/>
      <c r="R2705" s="39"/>
      <c r="S2705" s="39"/>
      <c r="T2705" s="39"/>
      <c r="U2705" s="39"/>
    </row>
    <row r="2706">
      <c r="A2706" s="40">
        <f t="shared" si="1"/>
        <v>46006</v>
      </c>
      <c r="B2706" s="37" t="str">
        <f t="array" ref="B2706">iferror(xlookup($I2706, 'IMPORT VHC Report'!$E:$E, 'IMPORT VHC Report'!$A:$C), )</f>
        <v/>
      </c>
      <c r="C2706" s="37"/>
      <c r="D2706" s="37"/>
      <c r="E2706" s="38" t="s">
        <v>3298</v>
      </c>
      <c r="F2706" s="38" t="s">
        <v>3283</v>
      </c>
      <c r="G2706" s="38">
        <v>9.107749076367E12</v>
      </c>
      <c r="H2706" s="38" t="s">
        <v>3284</v>
      </c>
      <c r="I2706" s="38" t="s">
        <v>3285</v>
      </c>
      <c r="J2706" s="38" t="s">
        <v>134</v>
      </c>
      <c r="K2706" s="38" t="s">
        <v>126</v>
      </c>
      <c r="L2706" s="41">
        <v>46008.4375</v>
      </c>
      <c r="M2706" s="38" t="s">
        <v>123</v>
      </c>
      <c r="N2706" s="41">
        <v>46008.458333333336</v>
      </c>
      <c r="O2706" s="38" t="s">
        <v>123</v>
      </c>
      <c r="P2706" s="38">
        <v>1800.0</v>
      </c>
      <c r="Q2706" s="39"/>
      <c r="R2706" s="39"/>
      <c r="S2706" s="39"/>
      <c r="T2706" s="39"/>
      <c r="U2706" s="39"/>
    </row>
    <row r="2707">
      <c r="A2707" s="40">
        <f t="shared" si="1"/>
        <v>46006</v>
      </c>
      <c r="B2707" s="37" t="str">
        <f t="array" ref="B2707">iferror(xlookup($I2707, 'IMPORT VHC Report'!$E:$E, 'IMPORT VHC Report'!$A:$C), )</f>
        <v/>
      </c>
      <c r="C2707" s="37"/>
      <c r="D2707" s="37"/>
      <c r="E2707" s="38" t="s">
        <v>3299</v>
      </c>
      <c r="F2707" s="38" t="s">
        <v>3283</v>
      </c>
      <c r="G2707" s="38">
        <v>9.107749076367E12</v>
      </c>
      <c r="H2707" s="38" t="s">
        <v>3284</v>
      </c>
      <c r="I2707" s="38" t="s">
        <v>3285</v>
      </c>
      <c r="J2707" s="38" t="s">
        <v>4</v>
      </c>
      <c r="K2707" s="38" t="s">
        <v>126</v>
      </c>
      <c r="L2707" s="41">
        <v>46008.458333333336</v>
      </c>
      <c r="M2707" s="38" t="s">
        <v>123</v>
      </c>
      <c r="N2707" s="41">
        <v>46008.489583333336</v>
      </c>
      <c r="O2707" s="38" t="s">
        <v>123</v>
      </c>
      <c r="P2707" s="38">
        <v>2700.0</v>
      </c>
      <c r="Q2707" s="39"/>
      <c r="R2707" s="39"/>
      <c r="S2707" s="38" t="s">
        <v>2478</v>
      </c>
      <c r="T2707" s="39"/>
      <c r="U2707" s="39"/>
    </row>
    <row r="2708">
      <c r="A2708" s="40">
        <f t="shared" si="1"/>
        <v>46006</v>
      </c>
      <c r="B2708" s="37" t="str">
        <f t="array" ref="B2708">iferror(xlookup($I2708, 'IMPORT VHC Report'!$E:$E, 'IMPORT VHC Report'!$A:$C), )</f>
        <v/>
      </c>
      <c r="C2708" s="37"/>
      <c r="D2708" s="37"/>
      <c r="E2708" s="38" t="s">
        <v>3300</v>
      </c>
      <c r="F2708" s="38" t="s">
        <v>3283</v>
      </c>
      <c r="G2708" s="38">
        <v>9.107749076367E12</v>
      </c>
      <c r="H2708" s="38" t="s">
        <v>3284</v>
      </c>
      <c r="I2708" s="38" t="s">
        <v>3285</v>
      </c>
      <c r="J2708" s="38" t="s">
        <v>368</v>
      </c>
      <c r="K2708" s="38" t="s">
        <v>63</v>
      </c>
      <c r="L2708" s="41">
        <v>46008.541666666664</v>
      </c>
      <c r="M2708" s="38" t="s">
        <v>123</v>
      </c>
      <c r="N2708" s="41">
        <v>46008.625</v>
      </c>
      <c r="O2708" s="38" t="s">
        <v>123</v>
      </c>
      <c r="P2708" s="38">
        <v>7200.0</v>
      </c>
      <c r="Q2708" s="39"/>
      <c r="R2708" s="39"/>
      <c r="S2708" s="39"/>
      <c r="T2708" s="39"/>
      <c r="U2708" s="39"/>
    </row>
    <row r="2709">
      <c r="A2709" s="40">
        <f t="shared" si="1"/>
        <v>46006</v>
      </c>
      <c r="B2709" s="37" t="str">
        <f t="array" ref="B2709">iferror(xlookup($I2709, 'IMPORT VHC Report'!$E:$E, 'IMPORT VHC Report'!$A:$C), )</f>
        <v/>
      </c>
      <c r="C2709" s="37"/>
      <c r="D2709" s="37"/>
      <c r="E2709" s="38" t="s">
        <v>3301</v>
      </c>
      <c r="F2709" s="38" t="s">
        <v>3283</v>
      </c>
      <c r="G2709" s="38">
        <v>9.107749076367E12</v>
      </c>
      <c r="H2709" s="38" t="s">
        <v>3284</v>
      </c>
      <c r="I2709" s="38" t="s">
        <v>3285</v>
      </c>
      <c r="J2709" s="38" t="s">
        <v>132</v>
      </c>
      <c r="K2709" s="38" t="s">
        <v>126</v>
      </c>
      <c r="L2709" s="41">
        <v>46008.625</v>
      </c>
      <c r="M2709" s="38" t="s">
        <v>123</v>
      </c>
      <c r="N2709" s="41">
        <v>46008.666666666664</v>
      </c>
      <c r="O2709" s="38" t="s">
        <v>123</v>
      </c>
      <c r="P2709" s="38">
        <v>3600.0</v>
      </c>
      <c r="Q2709" s="39"/>
      <c r="R2709" s="39"/>
      <c r="S2709" s="39"/>
      <c r="T2709" s="39"/>
      <c r="U2709" s="39"/>
    </row>
    <row r="2710">
      <c r="A2710" s="40">
        <f t="shared" si="1"/>
        <v>46006</v>
      </c>
      <c r="B2710" s="37" t="str">
        <f t="array" ref="B2710">iferror(xlookup($I2710, 'IMPORT VHC Report'!$E:$E, 'IMPORT VHC Report'!$A:$C), )</f>
        <v/>
      </c>
      <c r="C2710" s="37"/>
      <c r="D2710" s="37"/>
      <c r="E2710" s="38" t="s">
        <v>3302</v>
      </c>
      <c r="F2710" s="38" t="s">
        <v>3283</v>
      </c>
      <c r="G2710" s="38">
        <v>9.107749076367E12</v>
      </c>
      <c r="H2710" s="38" t="s">
        <v>3284</v>
      </c>
      <c r="I2710" s="38" t="s">
        <v>3285</v>
      </c>
      <c r="J2710" s="38" t="s">
        <v>2268</v>
      </c>
      <c r="K2710" s="38" t="s">
        <v>63</v>
      </c>
      <c r="L2710" s="41">
        <v>46008.625</v>
      </c>
      <c r="M2710" s="38" t="s">
        <v>123</v>
      </c>
      <c r="N2710" s="41">
        <v>46008.75</v>
      </c>
      <c r="O2710" s="38" t="s">
        <v>123</v>
      </c>
      <c r="P2710" s="38">
        <v>10800.0</v>
      </c>
      <c r="Q2710" s="39"/>
      <c r="R2710" s="39"/>
      <c r="S2710" s="39"/>
      <c r="T2710" s="39"/>
      <c r="U2710" s="39"/>
    </row>
    <row r="2711">
      <c r="A2711" s="40">
        <f t="shared" si="1"/>
        <v>46006</v>
      </c>
      <c r="B2711" s="37" t="str">
        <f t="array" ref="B2711">iferror(xlookup($I2711, 'IMPORT VHC Report'!$E:$E, 'IMPORT VHC Report'!$A:$C), )</f>
        <v/>
      </c>
      <c r="C2711" s="37"/>
      <c r="D2711" s="37"/>
      <c r="E2711" s="38" t="s">
        <v>3303</v>
      </c>
      <c r="F2711" s="38" t="s">
        <v>3283</v>
      </c>
      <c r="G2711" s="38">
        <v>9.107749076367E12</v>
      </c>
      <c r="H2711" s="38" t="s">
        <v>3284</v>
      </c>
      <c r="I2711" s="38" t="s">
        <v>3285</v>
      </c>
      <c r="J2711" s="38" t="s">
        <v>136</v>
      </c>
      <c r="K2711" s="38" t="s">
        <v>126</v>
      </c>
      <c r="L2711" s="41">
        <v>46009.375</v>
      </c>
      <c r="M2711" s="38" t="s">
        <v>123</v>
      </c>
      <c r="N2711" s="41">
        <v>46009.395833333336</v>
      </c>
      <c r="O2711" s="38" t="s">
        <v>123</v>
      </c>
      <c r="P2711" s="38">
        <v>1800.0</v>
      </c>
      <c r="Q2711" s="39"/>
      <c r="R2711" s="39"/>
      <c r="S2711" s="38" t="s">
        <v>1680</v>
      </c>
      <c r="T2711" s="39"/>
      <c r="U2711" s="39"/>
    </row>
    <row r="2712">
      <c r="A2712" s="40">
        <f t="shared" si="1"/>
        <v>46006</v>
      </c>
      <c r="B2712" s="37" t="str">
        <f t="array" ref="B2712">iferror(xlookup($I2712, 'IMPORT VHC Report'!$E:$E, 'IMPORT VHC Report'!$A:$C), )</f>
        <v/>
      </c>
      <c r="C2712" s="37"/>
      <c r="D2712" s="37"/>
      <c r="E2712" s="38" t="s">
        <v>3304</v>
      </c>
      <c r="F2712" s="38" t="s">
        <v>3283</v>
      </c>
      <c r="G2712" s="38">
        <v>9.107749076367E12</v>
      </c>
      <c r="H2712" s="38" t="s">
        <v>3284</v>
      </c>
      <c r="I2712" s="38" t="s">
        <v>3285</v>
      </c>
      <c r="J2712" s="38" t="s">
        <v>368</v>
      </c>
      <c r="K2712" s="38" t="s">
        <v>63</v>
      </c>
      <c r="L2712" s="41">
        <v>46009.375</v>
      </c>
      <c r="M2712" s="38" t="s">
        <v>123</v>
      </c>
      <c r="N2712" s="41">
        <v>46009.395833333336</v>
      </c>
      <c r="O2712" s="38" t="s">
        <v>123</v>
      </c>
      <c r="P2712" s="38">
        <v>1800.0</v>
      </c>
      <c r="Q2712" s="39"/>
      <c r="R2712" s="39"/>
      <c r="S2712" s="39"/>
      <c r="T2712" s="39"/>
      <c r="U2712" s="39"/>
    </row>
    <row r="2713">
      <c r="A2713" s="40">
        <f t="shared" si="1"/>
        <v>46006</v>
      </c>
      <c r="B2713" s="37" t="str">
        <f t="array" ref="B2713">iferror(xlookup($I2713, 'IMPORT VHC Report'!$E:$E, 'IMPORT VHC Report'!$A:$C), )</f>
        <v/>
      </c>
      <c r="C2713" s="37"/>
      <c r="D2713" s="37"/>
      <c r="E2713" s="38" t="s">
        <v>3305</v>
      </c>
      <c r="F2713" s="38" t="s">
        <v>3283</v>
      </c>
      <c r="G2713" s="38">
        <v>9.107749076367E12</v>
      </c>
      <c r="H2713" s="38" t="s">
        <v>3284</v>
      </c>
      <c r="I2713" s="38" t="s">
        <v>3285</v>
      </c>
      <c r="J2713" s="38" t="s">
        <v>368</v>
      </c>
      <c r="K2713" s="38" t="s">
        <v>63</v>
      </c>
      <c r="L2713" s="41">
        <v>46009.395833333336</v>
      </c>
      <c r="M2713" s="38" t="s">
        <v>123</v>
      </c>
      <c r="N2713" s="41">
        <v>46009.520833333336</v>
      </c>
      <c r="O2713" s="38" t="s">
        <v>123</v>
      </c>
      <c r="P2713" s="38">
        <v>10800.0</v>
      </c>
      <c r="Q2713" s="39"/>
      <c r="R2713" s="39"/>
      <c r="S2713" s="39"/>
      <c r="T2713" s="39"/>
      <c r="U2713" s="39"/>
    </row>
    <row r="2714">
      <c r="A2714" s="40">
        <f t="shared" si="1"/>
        <v>46006</v>
      </c>
      <c r="B2714" s="37" t="str">
        <f t="array" ref="B2714">iferror(xlookup($I2714, 'IMPORT VHC Report'!$E:$E, 'IMPORT VHC Report'!$A:$C), )</f>
        <v/>
      </c>
      <c r="C2714" s="37"/>
      <c r="D2714" s="37"/>
      <c r="E2714" s="38" t="s">
        <v>3306</v>
      </c>
      <c r="F2714" s="38" t="s">
        <v>3283</v>
      </c>
      <c r="G2714" s="38">
        <v>9.107749076367E12</v>
      </c>
      <c r="H2714" s="38" t="s">
        <v>3284</v>
      </c>
      <c r="I2714" s="38" t="s">
        <v>3285</v>
      </c>
      <c r="J2714" s="38" t="s">
        <v>368</v>
      </c>
      <c r="K2714" s="38" t="s">
        <v>63</v>
      </c>
      <c r="L2714" s="41">
        <v>46009.520833333336</v>
      </c>
      <c r="M2714" s="38" t="s">
        <v>123</v>
      </c>
      <c r="N2714" s="41">
        <v>46009.541666666664</v>
      </c>
      <c r="O2714" s="38" t="s">
        <v>123</v>
      </c>
      <c r="P2714" s="38">
        <v>1800.0</v>
      </c>
      <c r="Q2714" s="39"/>
      <c r="R2714" s="39"/>
      <c r="S2714" s="39"/>
      <c r="T2714" s="39"/>
      <c r="U2714" s="39"/>
    </row>
    <row r="2715">
      <c r="A2715" s="40">
        <f t="shared" si="1"/>
        <v>46006</v>
      </c>
      <c r="B2715" s="37" t="str">
        <f t="array" ref="B2715">iferror(xlookup($I2715, 'IMPORT VHC Report'!$E:$E, 'IMPORT VHC Report'!$A:$C), )</f>
        <v/>
      </c>
      <c r="C2715" s="37"/>
      <c r="D2715" s="37"/>
      <c r="E2715" s="38" t="s">
        <v>3307</v>
      </c>
      <c r="F2715" s="38" t="s">
        <v>3283</v>
      </c>
      <c r="G2715" s="38">
        <v>9.107749076367E12</v>
      </c>
      <c r="H2715" s="38" t="s">
        <v>3284</v>
      </c>
      <c r="I2715" s="38" t="s">
        <v>3285</v>
      </c>
      <c r="J2715" s="38" t="s">
        <v>134</v>
      </c>
      <c r="K2715" s="38" t="s">
        <v>126</v>
      </c>
      <c r="L2715" s="41">
        <v>46009.520833333336</v>
      </c>
      <c r="M2715" s="38" t="s">
        <v>123</v>
      </c>
      <c r="N2715" s="41">
        <v>46009.541666666664</v>
      </c>
      <c r="O2715" s="38" t="s">
        <v>123</v>
      </c>
      <c r="P2715" s="38">
        <v>1800.0</v>
      </c>
      <c r="Q2715" s="39"/>
      <c r="R2715" s="39"/>
      <c r="S2715" s="39"/>
      <c r="T2715" s="39"/>
      <c r="U2715" s="39"/>
    </row>
    <row r="2716">
      <c r="A2716" s="40">
        <f t="shared" si="1"/>
        <v>46006</v>
      </c>
      <c r="B2716" s="37" t="str">
        <f t="array" ref="B2716">iferror(xlookup($I2716, 'IMPORT VHC Report'!$E:$E, 'IMPORT VHC Report'!$A:$C), )</f>
        <v/>
      </c>
      <c r="C2716" s="37"/>
      <c r="D2716" s="37"/>
      <c r="E2716" s="38" t="s">
        <v>3308</v>
      </c>
      <c r="F2716" s="38" t="s">
        <v>3283</v>
      </c>
      <c r="G2716" s="38">
        <v>9.107749076367E12</v>
      </c>
      <c r="H2716" s="38" t="s">
        <v>3284</v>
      </c>
      <c r="I2716" s="38" t="s">
        <v>3285</v>
      </c>
      <c r="J2716" s="38" t="s">
        <v>2268</v>
      </c>
      <c r="K2716" s="38" t="s">
        <v>63</v>
      </c>
      <c r="L2716" s="41">
        <v>46009.541666666664</v>
      </c>
      <c r="M2716" s="38" t="s">
        <v>123</v>
      </c>
      <c r="N2716" s="41">
        <v>46009.666666666664</v>
      </c>
      <c r="O2716" s="38" t="s">
        <v>123</v>
      </c>
      <c r="P2716" s="38">
        <v>10800.0</v>
      </c>
      <c r="Q2716" s="39"/>
      <c r="R2716" s="39"/>
      <c r="S2716" s="39"/>
      <c r="T2716" s="39"/>
      <c r="U2716" s="39"/>
    </row>
    <row r="2717">
      <c r="A2717" s="40">
        <f t="shared" si="1"/>
        <v>46006</v>
      </c>
      <c r="B2717" s="37" t="str">
        <f t="array" ref="B2717">iferror(xlookup($I2717, 'IMPORT VHC Report'!$E:$E, 'IMPORT VHC Report'!$A:$C), )</f>
        <v/>
      </c>
      <c r="C2717" s="37"/>
      <c r="D2717" s="37"/>
      <c r="E2717" s="38" t="s">
        <v>3309</v>
      </c>
      <c r="F2717" s="38" t="s">
        <v>3283</v>
      </c>
      <c r="G2717" s="38">
        <v>9.107749076367E12</v>
      </c>
      <c r="H2717" s="38" t="s">
        <v>3284</v>
      </c>
      <c r="I2717" s="38" t="s">
        <v>3285</v>
      </c>
      <c r="J2717" s="38" t="s">
        <v>132</v>
      </c>
      <c r="K2717" s="38" t="s">
        <v>126</v>
      </c>
      <c r="L2717" s="41">
        <v>46009.666666666664</v>
      </c>
      <c r="M2717" s="38" t="s">
        <v>123</v>
      </c>
      <c r="N2717" s="41">
        <v>46009.708333333336</v>
      </c>
      <c r="O2717" s="38" t="s">
        <v>123</v>
      </c>
      <c r="P2717" s="38">
        <v>3600.0</v>
      </c>
      <c r="Q2717" s="39"/>
      <c r="R2717" s="39"/>
      <c r="S2717" s="39"/>
      <c r="T2717" s="39"/>
      <c r="U2717" s="39"/>
    </row>
    <row r="2718">
      <c r="A2718" s="40">
        <f t="shared" si="1"/>
        <v>46006</v>
      </c>
      <c r="B2718" s="37" t="str">
        <f t="array" ref="B2718">iferror(xlookup($I2718, 'IMPORT VHC Report'!$E:$E, 'IMPORT VHC Report'!$A:$C), )</f>
        <v/>
      </c>
      <c r="C2718" s="37"/>
      <c r="D2718" s="37"/>
      <c r="E2718" s="38" t="s">
        <v>3310</v>
      </c>
      <c r="F2718" s="38" t="s">
        <v>3283</v>
      </c>
      <c r="G2718" s="38">
        <v>9.107749076367E12</v>
      </c>
      <c r="H2718" s="38" t="s">
        <v>3284</v>
      </c>
      <c r="I2718" s="38" t="s">
        <v>3285</v>
      </c>
      <c r="J2718" s="38" t="s">
        <v>2268</v>
      </c>
      <c r="K2718" s="38" t="s">
        <v>63</v>
      </c>
      <c r="L2718" s="41">
        <v>46009.666666666664</v>
      </c>
      <c r="M2718" s="38" t="s">
        <v>123</v>
      </c>
      <c r="N2718" s="41">
        <v>46009.75</v>
      </c>
      <c r="O2718" s="38" t="s">
        <v>123</v>
      </c>
      <c r="P2718" s="38">
        <v>7200.0</v>
      </c>
      <c r="Q2718" s="39"/>
      <c r="R2718" s="39"/>
      <c r="S2718" s="39"/>
      <c r="T2718" s="39"/>
      <c r="U2718" s="39"/>
    </row>
    <row r="2719">
      <c r="A2719" s="40">
        <f t="shared" si="1"/>
        <v>46006</v>
      </c>
      <c r="B2719" s="37" t="str">
        <f t="array" ref="B2719">iferror(xlookup($I2719, 'IMPORT VHC Report'!$E:$E, 'IMPORT VHC Report'!$A:$C), )</f>
        <v/>
      </c>
      <c r="C2719" s="37"/>
      <c r="D2719" s="37"/>
      <c r="E2719" s="38" t="s">
        <v>3311</v>
      </c>
      <c r="F2719" s="38" t="s">
        <v>3283</v>
      </c>
      <c r="G2719" s="38">
        <v>9.107749076367E12</v>
      </c>
      <c r="H2719" s="38" t="s">
        <v>3284</v>
      </c>
      <c r="I2719" s="38" t="s">
        <v>3285</v>
      </c>
      <c r="J2719" s="38" t="s">
        <v>2268</v>
      </c>
      <c r="K2719" s="38" t="s">
        <v>63</v>
      </c>
      <c r="L2719" s="41">
        <v>46012.375</v>
      </c>
      <c r="M2719" s="38" t="s">
        <v>123</v>
      </c>
      <c r="N2719" s="41">
        <v>46012.75</v>
      </c>
      <c r="O2719" s="38" t="s">
        <v>123</v>
      </c>
      <c r="P2719" s="38">
        <v>32400.0</v>
      </c>
      <c r="Q2719" s="39"/>
      <c r="R2719" s="39"/>
      <c r="S2719" s="39"/>
      <c r="T2719" s="39"/>
      <c r="U2719" s="39"/>
    </row>
    <row r="2720">
      <c r="A2720" s="40">
        <f t="shared" si="1"/>
        <v>46006</v>
      </c>
      <c r="B2720" s="37" t="str">
        <f t="array" ref="B2720">iferror(xlookup($I2720, 'IMPORT VHC Report'!$E:$E, 'IMPORT VHC Report'!$A:$C), )</f>
        <v/>
      </c>
      <c r="C2720" s="37"/>
      <c r="D2720" s="37"/>
      <c r="E2720" s="38" t="s">
        <v>3312</v>
      </c>
      <c r="F2720" s="38" t="s">
        <v>3283</v>
      </c>
      <c r="G2720" s="38">
        <v>9.107749076367E12</v>
      </c>
      <c r="H2720" s="38" t="s">
        <v>3284</v>
      </c>
      <c r="I2720" s="38" t="s">
        <v>3285</v>
      </c>
      <c r="J2720" s="38" t="s">
        <v>134</v>
      </c>
      <c r="K2720" s="38" t="s">
        <v>126</v>
      </c>
      <c r="L2720" s="41">
        <v>46012.489583333336</v>
      </c>
      <c r="M2720" s="38" t="s">
        <v>123</v>
      </c>
      <c r="N2720" s="41">
        <v>46012.510416666664</v>
      </c>
      <c r="O2720" s="38" t="s">
        <v>123</v>
      </c>
      <c r="P2720" s="38">
        <v>1800.0</v>
      </c>
      <c r="Q2720" s="39"/>
      <c r="R2720" s="39"/>
      <c r="S2720" s="39"/>
      <c r="T2720" s="39"/>
      <c r="U2720" s="39"/>
    </row>
    <row r="2721">
      <c r="A2721" s="40">
        <f t="shared" si="1"/>
        <v>46006</v>
      </c>
      <c r="B2721" s="37" t="str">
        <f t="array" ref="B2721">iferror(xlookup($I2721, 'IMPORT VHC Report'!$E:$E, 'IMPORT VHC Report'!$A:$C), )</f>
        <v/>
      </c>
      <c r="C2721" s="37"/>
      <c r="D2721" s="37"/>
      <c r="E2721" s="38" t="s">
        <v>3313</v>
      </c>
      <c r="F2721" s="38" t="s">
        <v>3283</v>
      </c>
      <c r="G2721" s="38">
        <v>9.107749076367E12</v>
      </c>
      <c r="H2721" s="38" t="s">
        <v>3284</v>
      </c>
      <c r="I2721" s="38" t="s">
        <v>3285</v>
      </c>
      <c r="J2721" s="38" t="s">
        <v>132</v>
      </c>
      <c r="K2721" s="38" t="s">
        <v>126</v>
      </c>
      <c r="L2721" s="41">
        <v>46012.666666666664</v>
      </c>
      <c r="M2721" s="38" t="s">
        <v>123</v>
      </c>
      <c r="N2721" s="41">
        <v>46012.708333333336</v>
      </c>
      <c r="O2721" s="38" t="s">
        <v>123</v>
      </c>
      <c r="P2721" s="38">
        <v>3600.0</v>
      </c>
      <c r="Q2721" s="39"/>
      <c r="R2721" s="39"/>
      <c r="S2721" s="39"/>
      <c r="T2721" s="39"/>
      <c r="U2721" s="39"/>
    </row>
    <row r="2722">
      <c r="A2722" s="40">
        <f t="shared" si="1"/>
        <v>46006</v>
      </c>
      <c r="B2722" s="37" t="str">
        <f t="array" ref="B2722">iferror(xlookup($I2722, 'IMPORT VHC Report'!$E:$E, 'IMPORT VHC Report'!$A:$C), )</f>
        <v/>
      </c>
      <c r="C2722" s="37"/>
      <c r="D2722" s="37"/>
      <c r="E2722" s="38" t="s">
        <v>3314</v>
      </c>
      <c r="F2722" s="38" t="s">
        <v>3315</v>
      </c>
      <c r="G2722" s="38">
        <v>5.566811301007E12</v>
      </c>
      <c r="H2722" s="38" t="s">
        <v>52</v>
      </c>
      <c r="I2722" s="38" t="s">
        <v>53</v>
      </c>
      <c r="J2722" s="38" t="s">
        <v>152</v>
      </c>
      <c r="K2722" s="38" t="s">
        <v>153</v>
      </c>
      <c r="L2722" s="41">
        <v>46006.375</v>
      </c>
      <c r="M2722" s="38" t="s">
        <v>123</v>
      </c>
      <c r="N2722" s="41">
        <v>46006.75</v>
      </c>
      <c r="O2722" s="38" t="s">
        <v>123</v>
      </c>
      <c r="P2722" s="38">
        <v>32400.0</v>
      </c>
      <c r="Q2722" s="38">
        <v>32400.0</v>
      </c>
      <c r="R2722" s="39"/>
      <c r="S2722" s="39"/>
      <c r="T2722" s="39"/>
      <c r="U2722" s="39"/>
    </row>
    <row r="2723">
      <c r="A2723" s="40">
        <f t="shared" si="1"/>
        <v>46006</v>
      </c>
      <c r="B2723" s="37" t="str">
        <f t="array" ref="B2723">iferror(xlookup($I2723, 'IMPORT VHC Report'!$E:$E, 'IMPORT VHC Report'!$A:$C), )</f>
        <v/>
      </c>
      <c r="C2723" s="37"/>
      <c r="D2723" s="37"/>
      <c r="E2723" s="38" t="s">
        <v>3316</v>
      </c>
      <c r="F2723" s="38" t="s">
        <v>3315</v>
      </c>
      <c r="G2723" s="38">
        <v>5.566811301007E12</v>
      </c>
      <c r="H2723" s="38" t="s">
        <v>52</v>
      </c>
      <c r="I2723" s="38" t="s">
        <v>53</v>
      </c>
      <c r="J2723" s="38" t="s">
        <v>132</v>
      </c>
      <c r="K2723" s="38" t="s">
        <v>126</v>
      </c>
      <c r="L2723" s="41">
        <v>46006.5625</v>
      </c>
      <c r="M2723" s="38" t="s">
        <v>123</v>
      </c>
      <c r="N2723" s="41">
        <v>46006.604166666664</v>
      </c>
      <c r="O2723" s="38" t="s">
        <v>123</v>
      </c>
      <c r="P2723" s="38">
        <v>3600.0</v>
      </c>
      <c r="Q2723" s="39"/>
      <c r="R2723" s="39"/>
      <c r="S2723" s="39"/>
      <c r="T2723" s="39"/>
      <c r="U2723" s="39"/>
    </row>
    <row r="2724">
      <c r="A2724" s="40">
        <f t="shared" si="1"/>
        <v>46006</v>
      </c>
      <c r="B2724" s="37" t="str">
        <f t="array" ref="B2724">iferror(xlookup($I2724, 'IMPORT VHC Report'!$E:$E, 'IMPORT VHC Report'!$A:$C), )</f>
        <v/>
      </c>
      <c r="C2724" s="37"/>
      <c r="D2724" s="37"/>
      <c r="E2724" s="38" t="s">
        <v>3317</v>
      </c>
      <c r="F2724" s="38" t="s">
        <v>3315</v>
      </c>
      <c r="G2724" s="38">
        <v>5.566811301007E12</v>
      </c>
      <c r="H2724" s="38" t="s">
        <v>52</v>
      </c>
      <c r="I2724" s="38" t="s">
        <v>53</v>
      </c>
      <c r="J2724" s="38" t="s">
        <v>134</v>
      </c>
      <c r="K2724" s="38" t="s">
        <v>126</v>
      </c>
      <c r="L2724" s="41">
        <v>46006.604166666664</v>
      </c>
      <c r="M2724" s="38" t="s">
        <v>123</v>
      </c>
      <c r="N2724" s="41">
        <v>46006.625</v>
      </c>
      <c r="O2724" s="38" t="s">
        <v>123</v>
      </c>
      <c r="P2724" s="38">
        <v>1800.0</v>
      </c>
      <c r="Q2724" s="39"/>
      <c r="R2724" s="39"/>
      <c r="S2724" s="39"/>
      <c r="T2724" s="39"/>
      <c r="U2724" s="39"/>
    </row>
    <row r="2725">
      <c r="A2725" s="40">
        <f t="shared" si="1"/>
        <v>46006</v>
      </c>
      <c r="B2725" s="37" t="str">
        <f t="array" ref="B2725">iferror(xlookup($I2725, 'IMPORT VHC Report'!$E:$E, 'IMPORT VHC Report'!$A:$C), )</f>
        <v/>
      </c>
      <c r="C2725" s="37"/>
      <c r="D2725" s="37"/>
      <c r="E2725" s="38" t="s">
        <v>3318</v>
      </c>
      <c r="F2725" s="38" t="s">
        <v>3315</v>
      </c>
      <c r="G2725" s="38">
        <v>5.566811301007E12</v>
      </c>
      <c r="H2725" s="38" t="s">
        <v>52</v>
      </c>
      <c r="I2725" s="38" t="s">
        <v>53</v>
      </c>
      <c r="J2725" s="38" t="s">
        <v>1670</v>
      </c>
      <c r="K2725" s="38" t="s">
        <v>63</v>
      </c>
      <c r="L2725" s="41">
        <v>46007.375</v>
      </c>
      <c r="M2725" s="38" t="s">
        <v>123</v>
      </c>
      <c r="N2725" s="41">
        <v>46007.75</v>
      </c>
      <c r="O2725" s="38" t="s">
        <v>123</v>
      </c>
      <c r="P2725" s="38">
        <v>32400.0</v>
      </c>
      <c r="Q2725" s="39"/>
      <c r="R2725" s="39"/>
      <c r="S2725" s="39"/>
      <c r="T2725" s="39"/>
      <c r="U2725" s="39"/>
    </row>
    <row r="2726">
      <c r="A2726" s="40">
        <f t="shared" si="1"/>
        <v>46006</v>
      </c>
      <c r="B2726" s="37" t="str">
        <f t="array" ref="B2726">iferror(xlookup($I2726, 'IMPORT VHC Report'!$E:$E, 'IMPORT VHC Report'!$A:$C), )</f>
        <v/>
      </c>
      <c r="C2726" s="37"/>
      <c r="D2726" s="37"/>
      <c r="E2726" s="38" t="s">
        <v>3319</v>
      </c>
      <c r="F2726" s="38" t="s">
        <v>3315</v>
      </c>
      <c r="G2726" s="38">
        <v>5.566811301007E12</v>
      </c>
      <c r="H2726" s="38" t="s">
        <v>52</v>
      </c>
      <c r="I2726" s="38" t="s">
        <v>53</v>
      </c>
      <c r="J2726" s="38" t="s">
        <v>132</v>
      </c>
      <c r="K2726" s="38" t="s">
        <v>126</v>
      </c>
      <c r="L2726" s="41">
        <v>46007.6875</v>
      </c>
      <c r="M2726" s="38" t="s">
        <v>123</v>
      </c>
      <c r="N2726" s="41">
        <v>46007.729166666664</v>
      </c>
      <c r="O2726" s="38" t="s">
        <v>123</v>
      </c>
      <c r="P2726" s="38">
        <v>3600.0</v>
      </c>
      <c r="Q2726" s="39"/>
      <c r="R2726" s="39"/>
      <c r="S2726" s="39"/>
      <c r="T2726" s="39"/>
      <c r="U2726" s="39"/>
    </row>
    <row r="2727">
      <c r="A2727" s="40">
        <f t="shared" si="1"/>
        <v>46006</v>
      </c>
      <c r="B2727" s="37" t="str">
        <f t="array" ref="B2727">iferror(xlookup($I2727, 'IMPORT VHC Report'!$E:$E, 'IMPORT VHC Report'!$A:$C), )</f>
        <v/>
      </c>
      <c r="C2727" s="37"/>
      <c r="D2727" s="37"/>
      <c r="E2727" s="38" t="s">
        <v>3320</v>
      </c>
      <c r="F2727" s="38" t="s">
        <v>3315</v>
      </c>
      <c r="G2727" s="38">
        <v>5.566811301007E12</v>
      </c>
      <c r="H2727" s="38" t="s">
        <v>52</v>
      </c>
      <c r="I2727" s="38" t="s">
        <v>53</v>
      </c>
      <c r="J2727" s="38" t="s">
        <v>134</v>
      </c>
      <c r="K2727" s="38" t="s">
        <v>126</v>
      </c>
      <c r="L2727" s="41">
        <v>46007.729166666664</v>
      </c>
      <c r="M2727" s="38" t="s">
        <v>123</v>
      </c>
      <c r="N2727" s="41">
        <v>46007.75</v>
      </c>
      <c r="O2727" s="38" t="s">
        <v>123</v>
      </c>
      <c r="P2727" s="38">
        <v>1800.0</v>
      </c>
      <c r="Q2727" s="39"/>
      <c r="R2727" s="39"/>
      <c r="S2727" s="39"/>
      <c r="T2727" s="39"/>
      <c r="U2727" s="39"/>
    </row>
    <row r="2728">
      <c r="A2728" s="40">
        <f t="shared" si="1"/>
        <v>46006</v>
      </c>
      <c r="B2728" s="37" t="str">
        <f t="array" ref="B2728">iferror(xlookup($I2728, 'IMPORT VHC Report'!$E:$E, 'IMPORT VHC Report'!$A:$C), )</f>
        <v/>
      </c>
      <c r="C2728" s="37"/>
      <c r="D2728" s="37"/>
      <c r="E2728" s="38" t="s">
        <v>3321</v>
      </c>
      <c r="F2728" s="38" t="s">
        <v>3315</v>
      </c>
      <c r="G2728" s="38">
        <v>5.566811301007E12</v>
      </c>
      <c r="H2728" s="38" t="s">
        <v>52</v>
      </c>
      <c r="I2728" s="38" t="s">
        <v>53</v>
      </c>
      <c r="J2728" s="38" t="s">
        <v>1670</v>
      </c>
      <c r="K2728" s="38" t="s">
        <v>63</v>
      </c>
      <c r="L2728" s="41">
        <v>46008.375</v>
      </c>
      <c r="M2728" s="38" t="s">
        <v>123</v>
      </c>
      <c r="N2728" s="41">
        <v>46008.75</v>
      </c>
      <c r="O2728" s="38" t="s">
        <v>123</v>
      </c>
      <c r="P2728" s="38">
        <v>32400.0</v>
      </c>
      <c r="Q2728" s="39"/>
      <c r="R2728" s="39"/>
      <c r="S2728" s="39"/>
      <c r="T2728" s="39"/>
      <c r="U2728" s="39"/>
    </row>
    <row r="2729">
      <c r="A2729" s="40">
        <f t="shared" si="1"/>
        <v>46006</v>
      </c>
      <c r="B2729" s="37" t="str">
        <f t="array" ref="B2729">iferror(xlookup($I2729, 'IMPORT VHC Report'!$E:$E, 'IMPORT VHC Report'!$A:$C), )</f>
        <v/>
      </c>
      <c r="C2729" s="37"/>
      <c r="D2729" s="37"/>
      <c r="E2729" s="38" t="s">
        <v>3322</v>
      </c>
      <c r="F2729" s="38" t="s">
        <v>3315</v>
      </c>
      <c r="G2729" s="38">
        <v>5.566811301007E12</v>
      </c>
      <c r="H2729" s="38" t="s">
        <v>52</v>
      </c>
      <c r="I2729" s="38" t="s">
        <v>53</v>
      </c>
      <c r="J2729" s="38" t="s">
        <v>136</v>
      </c>
      <c r="K2729" s="38" t="s">
        <v>126</v>
      </c>
      <c r="L2729" s="41">
        <v>46008.583333333336</v>
      </c>
      <c r="M2729" s="38" t="s">
        <v>123</v>
      </c>
      <c r="N2729" s="41">
        <v>46008.625</v>
      </c>
      <c r="O2729" s="38" t="s">
        <v>123</v>
      </c>
      <c r="P2729" s="38">
        <v>3600.0</v>
      </c>
      <c r="Q2729" s="39"/>
      <c r="R2729" s="39"/>
      <c r="S2729" s="38" t="s">
        <v>1680</v>
      </c>
      <c r="T2729" s="39"/>
      <c r="U2729" s="39"/>
    </row>
    <row r="2730">
      <c r="A2730" s="40">
        <f t="shared" si="1"/>
        <v>46006</v>
      </c>
      <c r="B2730" s="37" t="str">
        <f t="array" ref="B2730">iferror(xlookup($I2730, 'IMPORT VHC Report'!$E:$E, 'IMPORT VHC Report'!$A:$C), )</f>
        <v/>
      </c>
      <c r="C2730" s="37"/>
      <c r="D2730" s="37"/>
      <c r="E2730" s="38" t="s">
        <v>3323</v>
      </c>
      <c r="F2730" s="38" t="s">
        <v>3315</v>
      </c>
      <c r="G2730" s="38">
        <v>5.566811301007E12</v>
      </c>
      <c r="H2730" s="38" t="s">
        <v>52</v>
      </c>
      <c r="I2730" s="38" t="s">
        <v>53</v>
      </c>
      <c r="J2730" s="38" t="s">
        <v>132</v>
      </c>
      <c r="K2730" s="38" t="s">
        <v>126</v>
      </c>
      <c r="L2730" s="41">
        <v>46008.6875</v>
      </c>
      <c r="M2730" s="38" t="s">
        <v>123</v>
      </c>
      <c r="N2730" s="41">
        <v>46008.729166666664</v>
      </c>
      <c r="O2730" s="38" t="s">
        <v>123</v>
      </c>
      <c r="P2730" s="38">
        <v>3600.0</v>
      </c>
      <c r="Q2730" s="39"/>
      <c r="R2730" s="39"/>
      <c r="S2730" s="39"/>
      <c r="T2730" s="39"/>
      <c r="U2730" s="39"/>
    </row>
    <row r="2731">
      <c r="A2731" s="40">
        <f t="shared" si="1"/>
        <v>46006</v>
      </c>
      <c r="B2731" s="37" t="str">
        <f t="array" ref="B2731">iferror(xlookup($I2731, 'IMPORT VHC Report'!$E:$E, 'IMPORT VHC Report'!$A:$C), )</f>
        <v/>
      </c>
      <c r="C2731" s="37"/>
      <c r="D2731" s="37"/>
      <c r="E2731" s="38" t="s">
        <v>3324</v>
      </c>
      <c r="F2731" s="38" t="s">
        <v>3315</v>
      </c>
      <c r="G2731" s="38">
        <v>5.566811301007E12</v>
      </c>
      <c r="H2731" s="38" t="s">
        <v>52</v>
      </c>
      <c r="I2731" s="38" t="s">
        <v>53</v>
      </c>
      <c r="J2731" s="38" t="s">
        <v>134</v>
      </c>
      <c r="K2731" s="38" t="s">
        <v>126</v>
      </c>
      <c r="L2731" s="41">
        <v>46008.729166666664</v>
      </c>
      <c r="M2731" s="38" t="s">
        <v>123</v>
      </c>
      <c r="N2731" s="41">
        <v>46008.75</v>
      </c>
      <c r="O2731" s="38" t="s">
        <v>123</v>
      </c>
      <c r="P2731" s="38">
        <v>1800.0</v>
      </c>
      <c r="Q2731" s="39"/>
      <c r="R2731" s="39"/>
      <c r="S2731" s="39"/>
      <c r="T2731" s="39"/>
      <c r="U2731" s="39"/>
    </row>
    <row r="2732">
      <c r="A2732" s="40">
        <f t="shared" si="1"/>
        <v>46006</v>
      </c>
      <c r="B2732" s="37" t="str">
        <f t="array" ref="B2732">iferror(xlookup($I2732, 'IMPORT VHC Report'!$E:$E, 'IMPORT VHC Report'!$A:$C), )</f>
        <v/>
      </c>
      <c r="C2732" s="37"/>
      <c r="D2732" s="37"/>
      <c r="E2732" s="38" t="s">
        <v>3325</v>
      </c>
      <c r="F2732" s="38" t="s">
        <v>3315</v>
      </c>
      <c r="G2732" s="38">
        <v>5.566811301007E12</v>
      </c>
      <c r="H2732" s="38" t="s">
        <v>52</v>
      </c>
      <c r="I2732" s="38" t="s">
        <v>53</v>
      </c>
      <c r="J2732" s="38" t="s">
        <v>1670</v>
      </c>
      <c r="K2732" s="38" t="s">
        <v>63</v>
      </c>
      <c r="L2732" s="41">
        <v>46009.375</v>
      </c>
      <c r="M2732" s="38" t="s">
        <v>123</v>
      </c>
      <c r="N2732" s="41">
        <v>46009.75</v>
      </c>
      <c r="O2732" s="38" t="s">
        <v>123</v>
      </c>
      <c r="P2732" s="38">
        <v>32400.0</v>
      </c>
      <c r="Q2732" s="39"/>
      <c r="R2732" s="39"/>
      <c r="S2732" s="39"/>
      <c r="T2732" s="39"/>
      <c r="U2732" s="39"/>
    </row>
    <row r="2733">
      <c r="A2733" s="40">
        <f t="shared" si="1"/>
        <v>46006</v>
      </c>
      <c r="B2733" s="37" t="str">
        <f t="array" ref="B2733">iferror(xlookup($I2733, 'IMPORT VHC Report'!$E:$E, 'IMPORT VHC Report'!$A:$C), )</f>
        <v/>
      </c>
      <c r="C2733" s="37"/>
      <c r="D2733" s="37"/>
      <c r="E2733" s="38" t="s">
        <v>3326</v>
      </c>
      <c r="F2733" s="38" t="s">
        <v>3315</v>
      </c>
      <c r="G2733" s="38">
        <v>5.566811301007E12</v>
      </c>
      <c r="H2733" s="38" t="s">
        <v>52</v>
      </c>
      <c r="I2733" s="38" t="s">
        <v>53</v>
      </c>
      <c r="J2733" s="38" t="s">
        <v>136</v>
      </c>
      <c r="K2733" s="38" t="s">
        <v>126</v>
      </c>
      <c r="L2733" s="41">
        <v>46009.458333333336</v>
      </c>
      <c r="M2733" s="38" t="s">
        <v>123</v>
      </c>
      <c r="N2733" s="41">
        <v>46009.50833333333</v>
      </c>
      <c r="O2733" s="38" t="s">
        <v>123</v>
      </c>
      <c r="P2733" s="38">
        <v>4320.0</v>
      </c>
      <c r="Q2733" s="39"/>
      <c r="R2733" s="39"/>
      <c r="S2733" s="38" t="s">
        <v>1683</v>
      </c>
      <c r="T2733" s="39"/>
      <c r="U2733" s="39"/>
    </row>
    <row r="2734">
      <c r="A2734" s="40">
        <f t="shared" si="1"/>
        <v>46006</v>
      </c>
      <c r="B2734" s="37" t="str">
        <f t="array" ref="B2734">iferror(xlookup($I2734, 'IMPORT VHC Report'!$E:$E, 'IMPORT VHC Report'!$A:$C), )</f>
        <v/>
      </c>
      <c r="C2734" s="37"/>
      <c r="D2734" s="37"/>
      <c r="E2734" s="38" t="s">
        <v>3327</v>
      </c>
      <c r="F2734" s="38" t="s">
        <v>3315</v>
      </c>
      <c r="G2734" s="38">
        <v>5.566811301007E12</v>
      </c>
      <c r="H2734" s="38" t="s">
        <v>52</v>
      </c>
      <c r="I2734" s="38" t="s">
        <v>53</v>
      </c>
      <c r="J2734" s="38" t="s">
        <v>132</v>
      </c>
      <c r="K2734" s="38" t="s">
        <v>126</v>
      </c>
      <c r="L2734" s="41">
        <v>46009.5625</v>
      </c>
      <c r="M2734" s="38" t="s">
        <v>123</v>
      </c>
      <c r="N2734" s="41">
        <v>46009.604166666664</v>
      </c>
      <c r="O2734" s="38" t="s">
        <v>123</v>
      </c>
      <c r="P2734" s="38">
        <v>3600.0</v>
      </c>
      <c r="Q2734" s="39"/>
      <c r="R2734" s="39"/>
      <c r="S2734" s="39"/>
      <c r="T2734" s="39"/>
      <c r="U2734" s="39"/>
    </row>
    <row r="2735">
      <c r="A2735" s="40">
        <f t="shared" si="1"/>
        <v>46006</v>
      </c>
      <c r="B2735" s="37" t="str">
        <f t="array" ref="B2735">iferror(xlookup($I2735, 'IMPORT VHC Report'!$E:$E, 'IMPORT VHC Report'!$A:$C), )</f>
        <v/>
      </c>
      <c r="C2735" s="37"/>
      <c r="D2735" s="37"/>
      <c r="E2735" s="38" t="s">
        <v>3328</v>
      </c>
      <c r="F2735" s="38" t="s">
        <v>3315</v>
      </c>
      <c r="G2735" s="38">
        <v>5.566811301007E12</v>
      </c>
      <c r="H2735" s="38" t="s">
        <v>52</v>
      </c>
      <c r="I2735" s="38" t="s">
        <v>53</v>
      </c>
      <c r="J2735" s="38" t="s">
        <v>134</v>
      </c>
      <c r="K2735" s="38" t="s">
        <v>126</v>
      </c>
      <c r="L2735" s="41">
        <v>46009.604166666664</v>
      </c>
      <c r="M2735" s="38" t="s">
        <v>123</v>
      </c>
      <c r="N2735" s="41">
        <v>46009.625</v>
      </c>
      <c r="O2735" s="38" t="s">
        <v>123</v>
      </c>
      <c r="P2735" s="38">
        <v>1800.0</v>
      </c>
      <c r="Q2735" s="39"/>
      <c r="R2735" s="39"/>
      <c r="S2735" s="39"/>
      <c r="T2735" s="39"/>
      <c r="U2735" s="39"/>
    </row>
    <row r="2736">
      <c r="A2736" s="40">
        <f t="shared" si="1"/>
        <v>46006</v>
      </c>
      <c r="B2736" s="37" t="str">
        <f t="array" ref="B2736">iferror(xlookup($I2736, 'IMPORT VHC Report'!$E:$E, 'IMPORT VHC Report'!$A:$C), )</f>
        <v/>
      </c>
      <c r="C2736" s="37"/>
      <c r="D2736" s="37"/>
      <c r="E2736" s="38" t="s">
        <v>3329</v>
      </c>
      <c r="F2736" s="38" t="s">
        <v>3315</v>
      </c>
      <c r="G2736" s="38">
        <v>5.566811301007E12</v>
      </c>
      <c r="H2736" s="38" t="s">
        <v>52</v>
      </c>
      <c r="I2736" s="38" t="s">
        <v>53</v>
      </c>
      <c r="J2736" s="38" t="s">
        <v>4</v>
      </c>
      <c r="K2736" s="38" t="s">
        <v>126</v>
      </c>
      <c r="L2736" s="41">
        <v>46009.711805555555</v>
      </c>
      <c r="M2736" s="38" t="s">
        <v>123</v>
      </c>
      <c r="N2736" s="41">
        <v>46009.725694444445</v>
      </c>
      <c r="O2736" s="38" t="s">
        <v>123</v>
      </c>
      <c r="P2736" s="38">
        <v>1200.0</v>
      </c>
      <c r="Q2736" s="39"/>
      <c r="R2736" s="39"/>
      <c r="S2736" s="38" t="s">
        <v>50</v>
      </c>
      <c r="T2736" s="39"/>
      <c r="U2736" s="39"/>
    </row>
    <row r="2737">
      <c r="A2737" s="40">
        <f t="shared" si="1"/>
        <v>46006</v>
      </c>
      <c r="B2737" s="37" t="str">
        <f t="array" ref="B2737">iferror(xlookup($I2737, 'IMPORT VHC Report'!$E:$E, 'IMPORT VHC Report'!$A:$C), )</f>
        <v/>
      </c>
      <c r="C2737" s="37"/>
      <c r="D2737" s="37"/>
      <c r="E2737" s="38" t="s">
        <v>3330</v>
      </c>
      <c r="F2737" s="38" t="s">
        <v>3315</v>
      </c>
      <c r="G2737" s="38">
        <v>5.566811301007E12</v>
      </c>
      <c r="H2737" s="38" t="s">
        <v>52</v>
      </c>
      <c r="I2737" s="38" t="s">
        <v>53</v>
      </c>
      <c r="J2737" s="38" t="s">
        <v>1670</v>
      </c>
      <c r="K2737" s="38" t="s">
        <v>63</v>
      </c>
      <c r="L2737" s="41">
        <v>46012.375</v>
      </c>
      <c r="M2737" s="38" t="s">
        <v>123</v>
      </c>
      <c r="N2737" s="41">
        <v>46012.75</v>
      </c>
      <c r="O2737" s="38" t="s">
        <v>123</v>
      </c>
      <c r="P2737" s="38">
        <v>32400.0</v>
      </c>
      <c r="Q2737" s="39"/>
      <c r="R2737" s="39"/>
      <c r="S2737" s="39"/>
      <c r="T2737" s="39"/>
      <c r="U2737" s="39"/>
    </row>
    <row r="2738">
      <c r="A2738" s="40">
        <f t="shared" si="1"/>
        <v>46006</v>
      </c>
      <c r="B2738" s="37" t="str">
        <f t="array" ref="B2738">iferror(xlookup($I2738, 'IMPORT VHC Report'!$E:$E, 'IMPORT VHC Report'!$A:$C), )</f>
        <v/>
      </c>
      <c r="C2738" s="37"/>
      <c r="D2738" s="37"/>
      <c r="E2738" s="38" t="s">
        <v>3331</v>
      </c>
      <c r="F2738" s="38" t="s">
        <v>3315</v>
      </c>
      <c r="G2738" s="38">
        <v>5.566811301007E12</v>
      </c>
      <c r="H2738" s="38" t="s">
        <v>52</v>
      </c>
      <c r="I2738" s="38" t="s">
        <v>53</v>
      </c>
      <c r="J2738" s="38" t="s">
        <v>4</v>
      </c>
      <c r="K2738" s="38" t="s">
        <v>126</v>
      </c>
      <c r="L2738" s="41">
        <v>46012.59027777778</v>
      </c>
      <c r="M2738" s="38" t="s">
        <v>123</v>
      </c>
      <c r="N2738" s="41">
        <v>46012.604166666664</v>
      </c>
      <c r="O2738" s="38" t="s">
        <v>123</v>
      </c>
      <c r="P2738" s="38">
        <v>1200.0</v>
      </c>
      <c r="Q2738" s="39"/>
      <c r="R2738" s="39"/>
      <c r="S2738" s="38" t="s">
        <v>3332</v>
      </c>
      <c r="T2738" s="39"/>
      <c r="U2738" s="39"/>
    </row>
    <row r="2739">
      <c r="A2739" s="40">
        <f t="shared" si="1"/>
        <v>46006</v>
      </c>
      <c r="B2739" s="37" t="str">
        <f t="array" ref="B2739">iferror(xlookup($I2739, 'IMPORT VHC Report'!$E:$E, 'IMPORT VHC Report'!$A:$C), )</f>
        <v/>
      </c>
      <c r="C2739" s="37"/>
      <c r="D2739" s="37"/>
      <c r="E2739" s="38" t="s">
        <v>3333</v>
      </c>
      <c r="F2739" s="38" t="s">
        <v>3315</v>
      </c>
      <c r="G2739" s="38">
        <v>5.566811301007E12</v>
      </c>
      <c r="H2739" s="38" t="s">
        <v>52</v>
      </c>
      <c r="I2739" s="38" t="s">
        <v>53</v>
      </c>
      <c r="J2739" s="38" t="s">
        <v>132</v>
      </c>
      <c r="K2739" s="38" t="s">
        <v>126</v>
      </c>
      <c r="L2739" s="41">
        <v>46012.6875</v>
      </c>
      <c r="M2739" s="38" t="s">
        <v>123</v>
      </c>
      <c r="N2739" s="41">
        <v>46012.729166666664</v>
      </c>
      <c r="O2739" s="38" t="s">
        <v>123</v>
      </c>
      <c r="P2739" s="38">
        <v>3600.0</v>
      </c>
      <c r="Q2739" s="39"/>
      <c r="R2739" s="39"/>
      <c r="S2739" s="39"/>
      <c r="T2739" s="39"/>
      <c r="U2739" s="39"/>
    </row>
    <row r="2740">
      <c r="A2740" s="40">
        <f t="shared" si="1"/>
        <v>46006</v>
      </c>
      <c r="B2740" s="37" t="str">
        <f t="array" ref="B2740">iferror(xlookup($I2740, 'IMPORT VHC Report'!$E:$E, 'IMPORT VHC Report'!$A:$C), )</f>
        <v/>
      </c>
      <c r="C2740" s="37"/>
      <c r="D2740" s="37"/>
      <c r="E2740" s="38" t="s">
        <v>3334</v>
      </c>
      <c r="F2740" s="38" t="s">
        <v>3315</v>
      </c>
      <c r="G2740" s="38">
        <v>5.566811301007E12</v>
      </c>
      <c r="H2740" s="38" t="s">
        <v>52</v>
      </c>
      <c r="I2740" s="38" t="s">
        <v>53</v>
      </c>
      <c r="J2740" s="38" t="s">
        <v>134</v>
      </c>
      <c r="K2740" s="38" t="s">
        <v>126</v>
      </c>
      <c r="L2740" s="41">
        <v>46012.729166666664</v>
      </c>
      <c r="M2740" s="38" t="s">
        <v>123</v>
      </c>
      <c r="N2740" s="41">
        <v>46012.75</v>
      </c>
      <c r="O2740" s="38" t="s">
        <v>123</v>
      </c>
      <c r="P2740" s="38">
        <v>1800.0</v>
      </c>
      <c r="Q2740" s="39"/>
      <c r="R2740" s="39"/>
      <c r="S2740" s="39"/>
      <c r="T2740" s="39"/>
      <c r="U2740" s="39"/>
    </row>
    <row r="2741">
      <c r="A2741" s="40">
        <f t="shared" si="1"/>
        <v>46006</v>
      </c>
      <c r="B2741" s="37" t="str">
        <f t="array" ref="B2741">iferror(xlookup($I2741, 'IMPORT VHC Report'!$E:$E, 'IMPORT VHC Report'!$A:$C), )</f>
        <v/>
      </c>
      <c r="C2741" s="37"/>
      <c r="D2741" s="37"/>
      <c r="E2741" s="38" t="s">
        <v>3335</v>
      </c>
      <c r="F2741" s="38" t="s">
        <v>3336</v>
      </c>
      <c r="G2741" s="38">
        <v>1.1401981770511E13</v>
      </c>
      <c r="H2741" s="38" t="s">
        <v>3337</v>
      </c>
      <c r="I2741" s="38" t="s">
        <v>3338</v>
      </c>
      <c r="J2741" s="38" t="s">
        <v>125</v>
      </c>
      <c r="K2741" s="38" t="s">
        <v>126</v>
      </c>
      <c r="L2741" s="41">
        <v>46006.375</v>
      </c>
      <c r="M2741" s="38" t="s">
        <v>123</v>
      </c>
      <c r="N2741" s="41">
        <v>46006.385416666664</v>
      </c>
      <c r="O2741" s="38" t="s">
        <v>123</v>
      </c>
      <c r="P2741" s="38">
        <v>900.0</v>
      </c>
      <c r="Q2741" s="39"/>
      <c r="R2741" s="39"/>
      <c r="S2741" s="38" t="s">
        <v>199</v>
      </c>
      <c r="T2741" s="39"/>
      <c r="U2741" s="39"/>
    </row>
    <row r="2742">
      <c r="A2742" s="40">
        <f t="shared" si="1"/>
        <v>46006</v>
      </c>
      <c r="B2742" s="37" t="str">
        <f t="array" ref="B2742">iferror(xlookup($I2742, 'IMPORT VHC Report'!$E:$E, 'IMPORT VHC Report'!$A:$C), )</f>
        <v/>
      </c>
      <c r="C2742" s="37"/>
      <c r="D2742" s="37"/>
      <c r="E2742" s="38" t="s">
        <v>3339</v>
      </c>
      <c r="F2742" s="38" t="s">
        <v>3336</v>
      </c>
      <c r="G2742" s="38">
        <v>1.1401981770511E13</v>
      </c>
      <c r="H2742" s="38" t="s">
        <v>3337</v>
      </c>
      <c r="I2742" s="38" t="s">
        <v>3338</v>
      </c>
      <c r="J2742" s="38" t="s">
        <v>196</v>
      </c>
      <c r="K2742" s="38" t="s">
        <v>63</v>
      </c>
      <c r="L2742" s="41">
        <v>46006.375</v>
      </c>
      <c r="M2742" s="38" t="s">
        <v>123</v>
      </c>
      <c r="N2742" s="41">
        <v>46006.75</v>
      </c>
      <c r="O2742" s="38" t="s">
        <v>123</v>
      </c>
      <c r="P2742" s="38">
        <v>32400.0</v>
      </c>
      <c r="Q2742" s="39"/>
      <c r="R2742" s="39"/>
      <c r="S2742" s="39"/>
      <c r="T2742" s="39"/>
      <c r="U2742" s="39"/>
    </row>
    <row r="2743">
      <c r="A2743" s="40">
        <f t="shared" si="1"/>
        <v>46006</v>
      </c>
      <c r="B2743" s="37" t="str">
        <f t="array" ref="B2743">iferror(xlookup($I2743, 'IMPORT VHC Report'!$E:$E, 'IMPORT VHC Report'!$A:$C), )</f>
        <v/>
      </c>
      <c r="C2743" s="37"/>
      <c r="D2743" s="37"/>
      <c r="E2743" s="38" t="s">
        <v>3340</v>
      </c>
      <c r="F2743" s="38" t="s">
        <v>3336</v>
      </c>
      <c r="G2743" s="38">
        <v>1.1401981770511E13</v>
      </c>
      <c r="H2743" s="38" t="s">
        <v>3337</v>
      </c>
      <c r="I2743" s="38" t="s">
        <v>3338</v>
      </c>
      <c r="J2743" s="38" t="s">
        <v>136</v>
      </c>
      <c r="K2743" s="38" t="s">
        <v>126</v>
      </c>
      <c r="L2743" s="41">
        <v>46006.395833333336</v>
      </c>
      <c r="M2743" s="38" t="s">
        <v>123</v>
      </c>
      <c r="N2743" s="41">
        <v>46006.40277777778</v>
      </c>
      <c r="O2743" s="38" t="s">
        <v>123</v>
      </c>
      <c r="P2743" s="38">
        <v>600.0</v>
      </c>
      <c r="Q2743" s="39"/>
      <c r="R2743" s="39"/>
      <c r="S2743" s="38" t="s">
        <v>3341</v>
      </c>
      <c r="T2743" s="39"/>
      <c r="U2743" s="39"/>
    </row>
    <row r="2744">
      <c r="A2744" s="40">
        <f t="shared" si="1"/>
        <v>46006</v>
      </c>
      <c r="B2744" s="37" t="str">
        <f t="array" ref="B2744">iferror(xlookup($I2744, 'IMPORT VHC Report'!$E:$E, 'IMPORT VHC Report'!$A:$C), )</f>
        <v/>
      </c>
      <c r="C2744" s="37"/>
      <c r="D2744" s="37"/>
      <c r="E2744" s="38" t="s">
        <v>3342</v>
      </c>
      <c r="F2744" s="38" t="s">
        <v>3336</v>
      </c>
      <c r="G2744" s="38">
        <v>1.1401981770511E13</v>
      </c>
      <c r="H2744" s="38" t="s">
        <v>3337</v>
      </c>
      <c r="I2744" s="38" t="s">
        <v>3338</v>
      </c>
      <c r="J2744" s="38" t="s">
        <v>134</v>
      </c>
      <c r="K2744" s="38" t="s">
        <v>126</v>
      </c>
      <c r="L2744" s="41">
        <v>46006.489583333336</v>
      </c>
      <c r="M2744" s="38" t="s">
        <v>123</v>
      </c>
      <c r="N2744" s="41">
        <v>46006.510416666664</v>
      </c>
      <c r="O2744" s="38" t="s">
        <v>123</v>
      </c>
      <c r="P2744" s="38">
        <v>1800.0</v>
      </c>
      <c r="Q2744" s="39"/>
      <c r="R2744" s="39"/>
      <c r="S2744" s="39"/>
      <c r="T2744" s="39"/>
      <c r="U2744" s="39"/>
    </row>
    <row r="2745">
      <c r="A2745" s="40">
        <f t="shared" si="1"/>
        <v>46006</v>
      </c>
      <c r="B2745" s="37" t="str">
        <f t="array" ref="B2745">iferror(xlookup($I2745, 'IMPORT VHC Report'!$E:$E, 'IMPORT VHC Report'!$A:$C), )</f>
        <v/>
      </c>
      <c r="C2745" s="37"/>
      <c r="D2745" s="37"/>
      <c r="E2745" s="38" t="s">
        <v>3343</v>
      </c>
      <c r="F2745" s="38" t="s">
        <v>3336</v>
      </c>
      <c r="G2745" s="38">
        <v>1.1401981770511E13</v>
      </c>
      <c r="H2745" s="38" t="s">
        <v>3337</v>
      </c>
      <c r="I2745" s="38" t="s">
        <v>3338</v>
      </c>
      <c r="J2745" s="38" t="s">
        <v>125</v>
      </c>
      <c r="K2745" s="38" t="s">
        <v>126</v>
      </c>
      <c r="L2745" s="41">
        <v>46006.583333333336</v>
      </c>
      <c r="M2745" s="38" t="s">
        <v>123</v>
      </c>
      <c r="N2745" s="41">
        <v>46006.649305555555</v>
      </c>
      <c r="O2745" s="38" t="s">
        <v>123</v>
      </c>
      <c r="P2745" s="38">
        <v>5700.0</v>
      </c>
      <c r="Q2745" s="39"/>
      <c r="R2745" s="39"/>
      <c r="S2745" s="38" t="s">
        <v>3344</v>
      </c>
      <c r="T2745" s="39"/>
      <c r="U2745" s="39"/>
    </row>
    <row r="2746">
      <c r="A2746" s="40">
        <f t="shared" si="1"/>
        <v>46006</v>
      </c>
      <c r="B2746" s="37" t="str">
        <f t="array" ref="B2746">iferror(xlookup($I2746, 'IMPORT VHC Report'!$E:$E, 'IMPORT VHC Report'!$A:$C), )</f>
        <v/>
      </c>
      <c r="C2746" s="37"/>
      <c r="D2746" s="37"/>
      <c r="E2746" s="38" t="s">
        <v>3345</v>
      </c>
      <c r="F2746" s="38" t="s">
        <v>3336</v>
      </c>
      <c r="G2746" s="38">
        <v>1.1401981770511E13</v>
      </c>
      <c r="H2746" s="38" t="s">
        <v>3337</v>
      </c>
      <c r="I2746" s="38" t="s">
        <v>3338</v>
      </c>
      <c r="J2746" s="38" t="s">
        <v>132</v>
      </c>
      <c r="K2746" s="38" t="s">
        <v>126</v>
      </c>
      <c r="L2746" s="41">
        <v>46006.666666666664</v>
      </c>
      <c r="M2746" s="38" t="s">
        <v>123</v>
      </c>
      <c r="N2746" s="41">
        <v>46006.708333333336</v>
      </c>
      <c r="O2746" s="38" t="s">
        <v>123</v>
      </c>
      <c r="P2746" s="38">
        <v>3600.0</v>
      </c>
      <c r="Q2746" s="39"/>
      <c r="R2746" s="39"/>
      <c r="S2746" s="39"/>
      <c r="T2746" s="39"/>
      <c r="U2746" s="39"/>
    </row>
    <row r="2747">
      <c r="A2747" s="40">
        <f t="shared" si="1"/>
        <v>46006</v>
      </c>
      <c r="B2747" s="37" t="str">
        <f t="array" ref="B2747">iferror(xlookup($I2747, 'IMPORT VHC Report'!$E:$E, 'IMPORT VHC Report'!$A:$C), )</f>
        <v/>
      </c>
      <c r="C2747" s="37"/>
      <c r="D2747" s="37"/>
      <c r="E2747" s="38" t="s">
        <v>3346</v>
      </c>
      <c r="F2747" s="38" t="s">
        <v>3336</v>
      </c>
      <c r="G2747" s="38">
        <v>1.1401981770511E13</v>
      </c>
      <c r="H2747" s="38" t="s">
        <v>3337</v>
      </c>
      <c r="I2747" s="38" t="s">
        <v>3338</v>
      </c>
      <c r="J2747" s="38" t="s">
        <v>125</v>
      </c>
      <c r="K2747" s="38" t="s">
        <v>126</v>
      </c>
      <c r="L2747" s="41">
        <v>46007.375</v>
      </c>
      <c r="M2747" s="38" t="s">
        <v>123</v>
      </c>
      <c r="N2747" s="41">
        <v>46007.385416666664</v>
      </c>
      <c r="O2747" s="38" t="s">
        <v>123</v>
      </c>
      <c r="P2747" s="38">
        <v>900.0</v>
      </c>
      <c r="Q2747" s="39"/>
      <c r="R2747" s="39"/>
      <c r="S2747" s="38" t="s">
        <v>199</v>
      </c>
      <c r="T2747" s="39"/>
      <c r="U2747" s="39"/>
    </row>
    <row r="2748">
      <c r="A2748" s="40">
        <f t="shared" si="1"/>
        <v>46006</v>
      </c>
      <c r="B2748" s="37" t="str">
        <f t="array" ref="B2748">iferror(xlookup($I2748, 'IMPORT VHC Report'!$E:$E, 'IMPORT VHC Report'!$A:$C), )</f>
        <v/>
      </c>
      <c r="C2748" s="37"/>
      <c r="D2748" s="37"/>
      <c r="E2748" s="38" t="s">
        <v>3347</v>
      </c>
      <c r="F2748" s="38" t="s">
        <v>3336</v>
      </c>
      <c r="G2748" s="38">
        <v>1.1401981770511E13</v>
      </c>
      <c r="H2748" s="38" t="s">
        <v>3337</v>
      </c>
      <c r="I2748" s="38" t="s">
        <v>3338</v>
      </c>
      <c r="J2748" s="38" t="s">
        <v>196</v>
      </c>
      <c r="K2748" s="38" t="s">
        <v>63</v>
      </c>
      <c r="L2748" s="41">
        <v>46007.375</v>
      </c>
      <c r="M2748" s="38" t="s">
        <v>123</v>
      </c>
      <c r="N2748" s="41">
        <v>46007.75</v>
      </c>
      <c r="O2748" s="38" t="s">
        <v>123</v>
      </c>
      <c r="P2748" s="38">
        <v>32400.0</v>
      </c>
      <c r="Q2748" s="39"/>
      <c r="R2748" s="39"/>
      <c r="S2748" s="39"/>
      <c r="T2748" s="39"/>
      <c r="U2748" s="39"/>
    </row>
    <row r="2749">
      <c r="A2749" s="40">
        <f t="shared" si="1"/>
        <v>46006</v>
      </c>
      <c r="B2749" s="37" t="str">
        <f t="array" ref="B2749">iferror(xlookup($I2749, 'IMPORT VHC Report'!$E:$E, 'IMPORT VHC Report'!$A:$C), )</f>
        <v/>
      </c>
      <c r="C2749" s="37"/>
      <c r="D2749" s="37"/>
      <c r="E2749" s="38" t="s">
        <v>3348</v>
      </c>
      <c r="F2749" s="38" t="s">
        <v>3336</v>
      </c>
      <c r="G2749" s="38">
        <v>1.1401981770511E13</v>
      </c>
      <c r="H2749" s="38" t="s">
        <v>3337</v>
      </c>
      <c r="I2749" s="38" t="s">
        <v>3338</v>
      </c>
      <c r="J2749" s="38" t="s">
        <v>132</v>
      </c>
      <c r="K2749" s="38" t="s">
        <v>126</v>
      </c>
      <c r="L2749" s="41">
        <v>46007.5</v>
      </c>
      <c r="M2749" s="38" t="s">
        <v>123</v>
      </c>
      <c r="N2749" s="41">
        <v>46007.541666666664</v>
      </c>
      <c r="O2749" s="38" t="s">
        <v>123</v>
      </c>
      <c r="P2749" s="38">
        <v>3600.0</v>
      </c>
      <c r="Q2749" s="39"/>
      <c r="R2749" s="39"/>
      <c r="S2749" s="39"/>
      <c r="T2749" s="39"/>
      <c r="U2749" s="39"/>
    </row>
    <row r="2750">
      <c r="A2750" s="40">
        <f t="shared" si="1"/>
        <v>46006</v>
      </c>
      <c r="B2750" s="37" t="str">
        <f t="array" ref="B2750">iferror(xlookup($I2750, 'IMPORT VHC Report'!$E:$E, 'IMPORT VHC Report'!$A:$C), )</f>
        <v/>
      </c>
      <c r="C2750" s="37"/>
      <c r="D2750" s="37"/>
      <c r="E2750" s="38" t="s">
        <v>3349</v>
      </c>
      <c r="F2750" s="38" t="s">
        <v>3336</v>
      </c>
      <c r="G2750" s="38">
        <v>1.1401981770511E13</v>
      </c>
      <c r="H2750" s="38" t="s">
        <v>3337</v>
      </c>
      <c r="I2750" s="38" t="s">
        <v>3338</v>
      </c>
      <c r="J2750" s="38" t="s">
        <v>4</v>
      </c>
      <c r="K2750" s="38" t="s">
        <v>126</v>
      </c>
      <c r="L2750" s="41">
        <v>46007.583333333336</v>
      </c>
      <c r="M2750" s="38" t="s">
        <v>123</v>
      </c>
      <c r="N2750" s="41">
        <v>46007.625</v>
      </c>
      <c r="O2750" s="38" t="s">
        <v>123</v>
      </c>
      <c r="P2750" s="38">
        <v>3600.0</v>
      </c>
      <c r="Q2750" s="39"/>
      <c r="R2750" s="39"/>
      <c r="S2750" s="38" t="s">
        <v>858</v>
      </c>
      <c r="T2750" s="39"/>
      <c r="U2750" s="39"/>
    </row>
    <row r="2751">
      <c r="A2751" s="40">
        <f t="shared" si="1"/>
        <v>46006</v>
      </c>
      <c r="B2751" s="37" t="str">
        <f t="array" ref="B2751">iferror(xlookup($I2751, 'IMPORT VHC Report'!$E:$E, 'IMPORT VHC Report'!$A:$C), )</f>
        <v/>
      </c>
      <c r="C2751" s="37"/>
      <c r="D2751" s="37"/>
      <c r="E2751" s="38" t="s">
        <v>3350</v>
      </c>
      <c r="F2751" s="38" t="s">
        <v>3336</v>
      </c>
      <c r="G2751" s="38">
        <v>1.1401981770511E13</v>
      </c>
      <c r="H2751" s="38" t="s">
        <v>3337</v>
      </c>
      <c r="I2751" s="38" t="s">
        <v>3338</v>
      </c>
      <c r="J2751" s="38" t="s">
        <v>134</v>
      </c>
      <c r="K2751" s="38" t="s">
        <v>126</v>
      </c>
      <c r="L2751" s="41">
        <v>46007.645833333336</v>
      </c>
      <c r="M2751" s="38" t="s">
        <v>123</v>
      </c>
      <c r="N2751" s="41">
        <v>46007.666666666664</v>
      </c>
      <c r="O2751" s="38" t="s">
        <v>123</v>
      </c>
      <c r="P2751" s="38">
        <v>1800.0</v>
      </c>
      <c r="Q2751" s="39"/>
      <c r="R2751" s="39"/>
      <c r="S2751" s="39"/>
      <c r="T2751" s="39"/>
      <c r="U2751" s="39"/>
    </row>
    <row r="2752">
      <c r="A2752" s="40">
        <f t="shared" si="1"/>
        <v>46006</v>
      </c>
      <c r="B2752" s="37" t="str">
        <f t="array" ref="B2752">iferror(xlookup($I2752, 'IMPORT VHC Report'!$E:$E, 'IMPORT VHC Report'!$A:$C), )</f>
        <v/>
      </c>
      <c r="C2752" s="37"/>
      <c r="D2752" s="37"/>
      <c r="E2752" s="38" t="s">
        <v>3351</v>
      </c>
      <c r="F2752" s="38" t="s">
        <v>3336</v>
      </c>
      <c r="G2752" s="38">
        <v>1.1401981770511E13</v>
      </c>
      <c r="H2752" s="38" t="s">
        <v>3337</v>
      </c>
      <c r="I2752" s="38" t="s">
        <v>3338</v>
      </c>
      <c r="J2752" s="38" t="s">
        <v>4</v>
      </c>
      <c r="K2752" s="38" t="s">
        <v>126</v>
      </c>
      <c r="L2752" s="41">
        <v>46007.666666666664</v>
      </c>
      <c r="M2752" s="38" t="s">
        <v>123</v>
      </c>
      <c r="N2752" s="41">
        <v>46007.694444444445</v>
      </c>
      <c r="O2752" s="38" t="s">
        <v>123</v>
      </c>
      <c r="P2752" s="38">
        <v>2400.0</v>
      </c>
      <c r="Q2752" s="39"/>
      <c r="R2752" s="39"/>
      <c r="S2752" s="38" t="s">
        <v>3352</v>
      </c>
      <c r="T2752" s="39"/>
      <c r="U2752" s="39"/>
    </row>
    <row r="2753">
      <c r="A2753" s="40">
        <f t="shared" si="1"/>
        <v>46006</v>
      </c>
      <c r="B2753" s="37" t="str">
        <f t="array" ref="B2753">iferror(xlookup($I2753, 'IMPORT VHC Report'!$E:$E, 'IMPORT VHC Report'!$A:$C), )</f>
        <v/>
      </c>
      <c r="C2753" s="37"/>
      <c r="D2753" s="37"/>
      <c r="E2753" s="38" t="s">
        <v>3353</v>
      </c>
      <c r="F2753" s="38" t="s">
        <v>3336</v>
      </c>
      <c r="G2753" s="38">
        <v>1.1401981770511E13</v>
      </c>
      <c r="H2753" s="38" t="s">
        <v>3337</v>
      </c>
      <c r="I2753" s="38" t="s">
        <v>3338</v>
      </c>
      <c r="J2753" s="38" t="s">
        <v>125</v>
      </c>
      <c r="K2753" s="38" t="s">
        <v>126</v>
      </c>
      <c r="L2753" s="41">
        <v>46008.375</v>
      </c>
      <c r="M2753" s="38" t="s">
        <v>123</v>
      </c>
      <c r="N2753" s="41">
        <v>46008.385416666664</v>
      </c>
      <c r="O2753" s="38" t="s">
        <v>123</v>
      </c>
      <c r="P2753" s="38">
        <v>900.0</v>
      </c>
      <c r="Q2753" s="39"/>
      <c r="R2753" s="39"/>
      <c r="S2753" s="38" t="s">
        <v>199</v>
      </c>
      <c r="T2753" s="39"/>
      <c r="U2753" s="39"/>
    </row>
    <row r="2754">
      <c r="A2754" s="40">
        <f t="shared" si="1"/>
        <v>46006</v>
      </c>
      <c r="B2754" s="37" t="str">
        <f t="array" ref="B2754">iferror(xlookup($I2754, 'IMPORT VHC Report'!$E:$E, 'IMPORT VHC Report'!$A:$C), )</f>
        <v/>
      </c>
      <c r="C2754" s="37"/>
      <c r="D2754" s="37"/>
      <c r="E2754" s="38" t="s">
        <v>3354</v>
      </c>
      <c r="F2754" s="38" t="s">
        <v>3336</v>
      </c>
      <c r="G2754" s="38">
        <v>1.1401981770511E13</v>
      </c>
      <c r="H2754" s="38" t="s">
        <v>3337</v>
      </c>
      <c r="I2754" s="38" t="s">
        <v>3338</v>
      </c>
      <c r="J2754" s="38" t="s">
        <v>196</v>
      </c>
      <c r="K2754" s="38" t="s">
        <v>63</v>
      </c>
      <c r="L2754" s="41">
        <v>46008.375</v>
      </c>
      <c r="M2754" s="38" t="s">
        <v>123</v>
      </c>
      <c r="N2754" s="41">
        <v>46008.75</v>
      </c>
      <c r="O2754" s="38" t="s">
        <v>123</v>
      </c>
      <c r="P2754" s="38">
        <v>32400.0</v>
      </c>
      <c r="Q2754" s="39"/>
      <c r="R2754" s="39"/>
      <c r="S2754" s="39"/>
      <c r="T2754" s="39"/>
      <c r="U2754" s="39"/>
    </row>
    <row r="2755">
      <c r="A2755" s="40">
        <f t="shared" si="1"/>
        <v>46006</v>
      </c>
      <c r="B2755" s="37" t="str">
        <f t="array" ref="B2755">iferror(xlookup($I2755, 'IMPORT VHC Report'!$E:$E, 'IMPORT VHC Report'!$A:$C), )</f>
        <v/>
      </c>
      <c r="C2755" s="37"/>
      <c r="D2755" s="37"/>
      <c r="E2755" s="38" t="s">
        <v>3355</v>
      </c>
      <c r="F2755" s="38" t="s">
        <v>3336</v>
      </c>
      <c r="G2755" s="38">
        <v>1.1401981770511E13</v>
      </c>
      <c r="H2755" s="38" t="s">
        <v>3337</v>
      </c>
      <c r="I2755" s="38" t="s">
        <v>3338</v>
      </c>
      <c r="J2755" s="38" t="s">
        <v>152</v>
      </c>
      <c r="K2755" s="38" t="s">
        <v>153</v>
      </c>
      <c r="L2755" s="41">
        <v>46008.375</v>
      </c>
      <c r="M2755" s="38" t="s">
        <v>123</v>
      </c>
      <c r="N2755" s="41">
        <v>46008.75</v>
      </c>
      <c r="O2755" s="38" t="s">
        <v>123</v>
      </c>
      <c r="P2755" s="38">
        <v>32400.0</v>
      </c>
      <c r="Q2755" s="38">
        <v>28800.0</v>
      </c>
      <c r="R2755" s="38" t="s">
        <v>3356</v>
      </c>
      <c r="S2755" s="39"/>
      <c r="T2755" s="39"/>
      <c r="U2755" s="39"/>
    </row>
    <row r="2756">
      <c r="A2756" s="40">
        <f t="shared" si="1"/>
        <v>46006</v>
      </c>
      <c r="B2756" s="37" t="str">
        <f t="array" ref="B2756">iferror(xlookup($I2756, 'IMPORT VHC Report'!$E:$E, 'IMPORT VHC Report'!$A:$C), )</f>
        <v/>
      </c>
      <c r="C2756" s="37"/>
      <c r="D2756" s="37"/>
      <c r="E2756" s="38" t="s">
        <v>3357</v>
      </c>
      <c r="F2756" s="38" t="s">
        <v>3336</v>
      </c>
      <c r="G2756" s="38">
        <v>1.1401981770511E13</v>
      </c>
      <c r="H2756" s="38" t="s">
        <v>3337</v>
      </c>
      <c r="I2756" s="38" t="s">
        <v>3338</v>
      </c>
      <c r="J2756" s="38" t="s">
        <v>132</v>
      </c>
      <c r="K2756" s="38" t="s">
        <v>126</v>
      </c>
      <c r="L2756" s="41">
        <v>46008.510416666664</v>
      </c>
      <c r="M2756" s="38" t="s">
        <v>123</v>
      </c>
      <c r="N2756" s="41">
        <v>46008.552083333336</v>
      </c>
      <c r="O2756" s="38" t="s">
        <v>123</v>
      </c>
      <c r="P2756" s="38">
        <v>3600.0</v>
      </c>
      <c r="Q2756" s="39"/>
      <c r="R2756" s="39"/>
      <c r="S2756" s="39"/>
      <c r="T2756" s="39"/>
      <c r="U2756" s="39"/>
    </row>
    <row r="2757">
      <c r="A2757" s="40">
        <f t="shared" si="1"/>
        <v>46006</v>
      </c>
      <c r="B2757" s="37" t="str">
        <f t="array" ref="B2757">iferror(xlookup($I2757, 'IMPORT VHC Report'!$E:$E, 'IMPORT VHC Report'!$A:$C), )</f>
        <v/>
      </c>
      <c r="C2757" s="37"/>
      <c r="D2757" s="37"/>
      <c r="E2757" s="38" t="s">
        <v>3358</v>
      </c>
      <c r="F2757" s="38" t="s">
        <v>3336</v>
      </c>
      <c r="G2757" s="38">
        <v>1.1401981770511E13</v>
      </c>
      <c r="H2757" s="38" t="s">
        <v>3337</v>
      </c>
      <c r="I2757" s="38" t="s">
        <v>3338</v>
      </c>
      <c r="J2757" s="38" t="s">
        <v>134</v>
      </c>
      <c r="K2757" s="38" t="s">
        <v>126</v>
      </c>
      <c r="L2757" s="41">
        <v>46008.666666666664</v>
      </c>
      <c r="M2757" s="38" t="s">
        <v>123</v>
      </c>
      <c r="N2757" s="41">
        <v>46008.6875</v>
      </c>
      <c r="O2757" s="38" t="s">
        <v>123</v>
      </c>
      <c r="P2757" s="38">
        <v>1800.0</v>
      </c>
      <c r="Q2757" s="39"/>
      <c r="R2757" s="39"/>
      <c r="S2757" s="39"/>
      <c r="T2757" s="39"/>
      <c r="U2757" s="39"/>
    </row>
    <row r="2758">
      <c r="A2758" s="40">
        <f t="shared" si="1"/>
        <v>46006</v>
      </c>
      <c r="B2758" s="37" t="str">
        <f t="array" ref="B2758">iferror(xlookup($I2758, 'IMPORT VHC Report'!$E:$E, 'IMPORT VHC Report'!$A:$C), )</f>
        <v/>
      </c>
      <c r="C2758" s="37"/>
      <c r="D2758" s="37"/>
      <c r="E2758" s="38" t="s">
        <v>3359</v>
      </c>
      <c r="F2758" s="38" t="s">
        <v>3336</v>
      </c>
      <c r="G2758" s="38">
        <v>1.1401981770511E13</v>
      </c>
      <c r="H2758" s="38" t="s">
        <v>3337</v>
      </c>
      <c r="I2758" s="38" t="s">
        <v>3338</v>
      </c>
      <c r="J2758" s="38" t="s">
        <v>125</v>
      </c>
      <c r="K2758" s="38" t="s">
        <v>126</v>
      </c>
      <c r="L2758" s="41">
        <v>46011.375</v>
      </c>
      <c r="M2758" s="38" t="s">
        <v>123</v>
      </c>
      <c r="N2758" s="41">
        <v>46011.385416666664</v>
      </c>
      <c r="O2758" s="38" t="s">
        <v>123</v>
      </c>
      <c r="P2758" s="38">
        <v>900.0</v>
      </c>
      <c r="Q2758" s="39"/>
      <c r="R2758" s="39"/>
      <c r="S2758" s="38" t="s">
        <v>199</v>
      </c>
      <c r="T2758" s="39"/>
      <c r="U2758" s="39"/>
    </row>
    <row r="2759">
      <c r="A2759" s="40">
        <f t="shared" si="1"/>
        <v>46006</v>
      </c>
      <c r="B2759" s="37" t="str">
        <f t="array" ref="B2759">iferror(xlookup($I2759, 'IMPORT VHC Report'!$E:$E, 'IMPORT VHC Report'!$A:$C), )</f>
        <v/>
      </c>
      <c r="C2759" s="37"/>
      <c r="D2759" s="37"/>
      <c r="E2759" s="38" t="s">
        <v>3360</v>
      </c>
      <c r="F2759" s="38" t="s">
        <v>3336</v>
      </c>
      <c r="G2759" s="38">
        <v>1.1401981770511E13</v>
      </c>
      <c r="H2759" s="38" t="s">
        <v>3337</v>
      </c>
      <c r="I2759" s="38" t="s">
        <v>3338</v>
      </c>
      <c r="J2759" s="38" t="s">
        <v>196</v>
      </c>
      <c r="K2759" s="38" t="s">
        <v>63</v>
      </c>
      <c r="L2759" s="41">
        <v>46011.375</v>
      </c>
      <c r="M2759" s="38" t="s">
        <v>123</v>
      </c>
      <c r="N2759" s="41">
        <v>46011.75</v>
      </c>
      <c r="O2759" s="38" t="s">
        <v>123</v>
      </c>
      <c r="P2759" s="38">
        <v>32400.0</v>
      </c>
      <c r="Q2759" s="39"/>
      <c r="R2759" s="39"/>
      <c r="S2759" s="39"/>
      <c r="T2759" s="39"/>
      <c r="U2759" s="39"/>
    </row>
    <row r="2760">
      <c r="A2760" s="40">
        <f t="shared" si="1"/>
        <v>46006</v>
      </c>
      <c r="B2760" s="37" t="str">
        <f t="array" ref="B2760">iferror(xlookup($I2760, 'IMPORT VHC Report'!$E:$E, 'IMPORT VHC Report'!$A:$C), )</f>
        <v/>
      </c>
      <c r="C2760" s="37"/>
      <c r="D2760" s="37"/>
      <c r="E2760" s="38" t="s">
        <v>3361</v>
      </c>
      <c r="F2760" s="38" t="s">
        <v>3336</v>
      </c>
      <c r="G2760" s="38">
        <v>1.1401981770511E13</v>
      </c>
      <c r="H2760" s="38" t="s">
        <v>3337</v>
      </c>
      <c r="I2760" s="38" t="s">
        <v>3338</v>
      </c>
      <c r="J2760" s="38" t="s">
        <v>178</v>
      </c>
      <c r="K2760" s="38" t="s">
        <v>153</v>
      </c>
      <c r="L2760" s="41">
        <v>46011.375</v>
      </c>
      <c r="M2760" s="38" t="s">
        <v>123</v>
      </c>
      <c r="N2760" s="41">
        <v>46011.75</v>
      </c>
      <c r="O2760" s="38" t="s">
        <v>123</v>
      </c>
      <c r="P2760" s="38">
        <v>32400.0</v>
      </c>
      <c r="Q2760" s="38">
        <v>72000.0</v>
      </c>
      <c r="R2760" s="38" t="s">
        <v>3362</v>
      </c>
      <c r="S2760" s="39"/>
      <c r="T2760" s="39"/>
      <c r="U2760" s="39"/>
    </row>
    <row r="2761">
      <c r="A2761" s="40">
        <f t="shared" si="1"/>
        <v>46006</v>
      </c>
      <c r="B2761" s="37" t="str">
        <f t="array" ref="B2761">iferror(xlookup($I2761, 'IMPORT VHC Report'!$E:$E, 'IMPORT VHC Report'!$A:$C), )</f>
        <v/>
      </c>
      <c r="C2761" s="37"/>
      <c r="D2761" s="37"/>
      <c r="E2761" s="38" t="s">
        <v>3363</v>
      </c>
      <c r="F2761" s="38" t="s">
        <v>3336</v>
      </c>
      <c r="G2761" s="38">
        <v>1.1401981770511E13</v>
      </c>
      <c r="H2761" s="38" t="s">
        <v>3337</v>
      </c>
      <c r="I2761" s="38" t="s">
        <v>3338</v>
      </c>
      <c r="J2761" s="38" t="s">
        <v>132</v>
      </c>
      <c r="K2761" s="38" t="s">
        <v>126</v>
      </c>
      <c r="L2761" s="41">
        <v>46011.510416666664</v>
      </c>
      <c r="M2761" s="38" t="s">
        <v>123</v>
      </c>
      <c r="N2761" s="41">
        <v>46011.552083333336</v>
      </c>
      <c r="O2761" s="38" t="s">
        <v>123</v>
      </c>
      <c r="P2761" s="38">
        <v>3600.0</v>
      </c>
      <c r="Q2761" s="39"/>
      <c r="R2761" s="39"/>
      <c r="S2761" s="39"/>
      <c r="T2761" s="39"/>
      <c r="U2761" s="39"/>
    </row>
    <row r="2762">
      <c r="A2762" s="40">
        <f t="shared" si="1"/>
        <v>46006</v>
      </c>
      <c r="B2762" s="37" t="str">
        <f t="array" ref="B2762">iferror(xlookup($I2762, 'IMPORT VHC Report'!$E:$E, 'IMPORT VHC Report'!$A:$C), )</f>
        <v/>
      </c>
      <c r="C2762" s="37"/>
      <c r="D2762" s="37"/>
      <c r="E2762" s="38" t="s">
        <v>3364</v>
      </c>
      <c r="F2762" s="38" t="s">
        <v>3336</v>
      </c>
      <c r="G2762" s="38">
        <v>1.1401981770511E13</v>
      </c>
      <c r="H2762" s="38" t="s">
        <v>3337</v>
      </c>
      <c r="I2762" s="38" t="s">
        <v>3338</v>
      </c>
      <c r="J2762" s="38" t="s">
        <v>134</v>
      </c>
      <c r="K2762" s="38" t="s">
        <v>126</v>
      </c>
      <c r="L2762" s="41">
        <v>46011.65625</v>
      </c>
      <c r="M2762" s="38" t="s">
        <v>123</v>
      </c>
      <c r="N2762" s="41">
        <v>46011.677083333336</v>
      </c>
      <c r="O2762" s="38" t="s">
        <v>123</v>
      </c>
      <c r="P2762" s="38">
        <v>1800.0</v>
      </c>
      <c r="Q2762" s="39"/>
      <c r="R2762" s="39"/>
      <c r="S2762" s="39"/>
      <c r="T2762" s="39"/>
      <c r="U2762" s="39"/>
    </row>
    <row r="2763">
      <c r="A2763" s="40">
        <f t="shared" si="1"/>
        <v>46006</v>
      </c>
      <c r="B2763" s="37" t="str">
        <f t="array" ref="B2763">iferror(xlookup($I2763, 'IMPORT VHC Report'!$E:$E, 'IMPORT VHC Report'!$A:$C), )</f>
        <v/>
      </c>
      <c r="C2763" s="37"/>
      <c r="D2763" s="37"/>
      <c r="E2763" s="38" t="s">
        <v>3365</v>
      </c>
      <c r="F2763" s="38" t="s">
        <v>3336</v>
      </c>
      <c r="G2763" s="38">
        <v>1.1401981770511E13</v>
      </c>
      <c r="H2763" s="38" t="s">
        <v>3337</v>
      </c>
      <c r="I2763" s="38" t="s">
        <v>3338</v>
      </c>
      <c r="J2763" s="38" t="s">
        <v>125</v>
      </c>
      <c r="K2763" s="38" t="s">
        <v>126</v>
      </c>
      <c r="L2763" s="41">
        <v>46012.375</v>
      </c>
      <c r="M2763" s="38" t="s">
        <v>123</v>
      </c>
      <c r="N2763" s="41">
        <v>46012.385416666664</v>
      </c>
      <c r="O2763" s="38" t="s">
        <v>123</v>
      </c>
      <c r="P2763" s="38">
        <v>900.0</v>
      </c>
      <c r="Q2763" s="39"/>
      <c r="R2763" s="39"/>
      <c r="S2763" s="38" t="s">
        <v>199</v>
      </c>
      <c r="T2763" s="39"/>
      <c r="U2763" s="39"/>
    </row>
    <row r="2764">
      <c r="A2764" s="40">
        <f t="shared" si="1"/>
        <v>46006</v>
      </c>
      <c r="B2764" s="37" t="str">
        <f t="array" ref="B2764">iferror(xlookup($I2764, 'IMPORT VHC Report'!$E:$E, 'IMPORT VHC Report'!$A:$C), )</f>
        <v/>
      </c>
      <c r="C2764" s="37"/>
      <c r="D2764" s="37"/>
      <c r="E2764" s="38" t="s">
        <v>3366</v>
      </c>
      <c r="F2764" s="38" t="s">
        <v>3336</v>
      </c>
      <c r="G2764" s="38">
        <v>1.1401981770511E13</v>
      </c>
      <c r="H2764" s="38" t="s">
        <v>3337</v>
      </c>
      <c r="I2764" s="38" t="s">
        <v>3338</v>
      </c>
      <c r="J2764" s="38" t="s">
        <v>178</v>
      </c>
      <c r="K2764" s="38" t="s">
        <v>153</v>
      </c>
      <c r="L2764" s="41">
        <v>46012.375</v>
      </c>
      <c r="M2764" s="38" t="s">
        <v>123</v>
      </c>
      <c r="N2764" s="41">
        <v>46012.75</v>
      </c>
      <c r="O2764" s="38" t="s">
        <v>123</v>
      </c>
      <c r="P2764" s="38">
        <v>32400.0</v>
      </c>
      <c r="Q2764" s="38">
        <v>32400.0</v>
      </c>
      <c r="R2764" s="39"/>
      <c r="S2764" s="39"/>
      <c r="T2764" s="39"/>
      <c r="U2764" s="39"/>
    </row>
    <row r="2765">
      <c r="A2765" s="40">
        <f t="shared" si="1"/>
        <v>46006</v>
      </c>
      <c r="B2765" s="37" t="str">
        <f t="array" ref="B2765">iferror(xlookup($I2765, 'IMPORT VHC Report'!$E:$E, 'IMPORT VHC Report'!$A:$C), )</f>
        <v/>
      </c>
      <c r="C2765" s="37"/>
      <c r="D2765" s="37"/>
      <c r="E2765" s="38" t="s">
        <v>3367</v>
      </c>
      <c r="F2765" s="38" t="s">
        <v>3336</v>
      </c>
      <c r="G2765" s="38">
        <v>1.1401981770511E13</v>
      </c>
      <c r="H2765" s="38" t="s">
        <v>3337</v>
      </c>
      <c r="I2765" s="38" t="s">
        <v>3338</v>
      </c>
      <c r="J2765" s="38" t="s">
        <v>196</v>
      </c>
      <c r="K2765" s="38" t="s">
        <v>63</v>
      </c>
      <c r="L2765" s="41">
        <v>46012.375</v>
      </c>
      <c r="M2765" s="38" t="s">
        <v>123</v>
      </c>
      <c r="N2765" s="41">
        <v>46012.75</v>
      </c>
      <c r="O2765" s="38" t="s">
        <v>123</v>
      </c>
      <c r="P2765" s="38">
        <v>32400.0</v>
      </c>
      <c r="Q2765" s="39"/>
      <c r="R2765" s="39"/>
      <c r="S2765" s="39"/>
      <c r="T2765" s="39"/>
      <c r="U2765" s="39"/>
    </row>
    <row r="2766">
      <c r="A2766" s="40">
        <f t="shared" si="1"/>
        <v>46006</v>
      </c>
      <c r="B2766" s="37" t="str">
        <f t="array" ref="B2766">iferror(xlookup($I2766, 'IMPORT VHC Report'!$E:$E, 'IMPORT VHC Report'!$A:$C), )</f>
        <v/>
      </c>
      <c r="C2766" s="37"/>
      <c r="D2766" s="37"/>
      <c r="E2766" s="38" t="s">
        <v>3368</v>
      </c>
      <c r="F2766" s="38" t="s">
        <v>3336</v>
      </c>
      <c r="G2766" s="38">
        <v>1.1401981770511E13</v>
      </c>
      <c r="H2766" s="38" t="s">
        <v>3337</v>
      </c>
      <c r="I2766" s="38" t="s">
        <v>3338</v>
      </c>
      <c r="J2766" s="38" t="s">
        <v>132</v>
      </c>
      <c r="K2766" s="38" t="s">
        <v>126</v>
      </c>
      <c r="L2766" s="41">
        <v>46012.5</v>
      </c>
      <c r="M2766" s="38" t="s">
        <v>123</v>
      </c>
      <c r="N2766" s="41">
        <v>46012.541666666664</v>
      </c>
      <c r="O2766" s="38" t="s">
        <v>123</v>
      </c>
      <c r="P2766" s="38">
        <v>3600.0</v>
      </c>
      <c r="Q2766" s="39"/>
      <c r="R2766" s="39"/>
      <c r="S2766" s="39"/>
      <c r="T2766" s="39"/>
      <c r="U2766" s="39"/>
    </row>
    <row r="2767">
      <c r="A2767" s="40">
        <f t="shared" si="1"/>
        <v>46006</v>
      </c>
      <c r="B2767" s="37" t="str">
        <f t="array" ref="B2767">iferror(xlookup($I2767, 'IMPORT VHC Report'!$E:$E, 'IMPORT VHC Report'!$A:$C), )</f>
        <v/>
      </c>
      <c r="C2767" s="37"/>
      <c r="D2767" s="37"/>
      <c r="E2767" s="38" t="s">
        <v>3369</v>
      </c>
      <c r="F2767" s="38" t="s">
        <v>3336</v>
      </c>
      <c r="G2767" s="38">
        <v>1.1401981770511E13</v>
      </c>
      <c r="H2767" s="38" t="s">
        <v>3337</v>
      </c>
      <c r="I2767" s="38" t="s">
        <v>3338</v>
      </c>
      <c r="J2767" s="38" t="s">
        <v>134</v>
      </c>
      <c r="K2767" s="38" t="s">
        <v>126</v>
      </c>
      <c r="L2767" s="41">
        <v>46012.645833333336</v>
      </c>
      <c r="M2767" s="38" t="s">
        <v>123</v>
      </c>
      <c r="N2767" s="41">
        <v>46012.666666666664</v>
      </c>
      <c r="O2767" s="38" t="s">
        <v>123</v>
      </c>
      <c r="P2767" s="38">
        <v>1800.0</v>
      </c>
      <c r="Q2767" s="39"/>
      <c r="R2767" s="39"/>
      <c r="S2767" s="39"/>
      <c r="T2767" s="39"/>
      <c r="U2767" s="39"/>
    </row>
    <row r="2768">
      <c r="A2768" s="40">
        <f t="shared" si="1"/>
        <v>46006</v>
      </c>
      <c r="B2768" s="37" t="str">
        <f t="array" ref="B2768">iferror(xlookup($I2768, 'IMPORT VHC Report'!$E:$E, 'IMPORT VHC Report'!$A:$C), )</f>
        <v/>
      </c>
      <c r="C2768" s="37"/>
      <c r="D2768" s="37"/>
      <c r="E2768" s="38" t="s">
        <v>3370</v>
      </c>
      <c r="F2768" s="38" t="s">
        <v>3371</v>
      </c>
      <c r="G2768" s="38">
        <v>3.61861298335E11</v>
      </c>
      <c r="H2768" s="38" t="s">
        <v>3372</v>
      </c>
      <c r="I2768" s="38" t="s">
        <v>3373</v>
      </c>
      <c r="J2768" s="38" t="s">
        <v>224</v>
      </c>
      <c r="K2768" s="38" t="s">
        <v>63</v>
      </c>
      <c r="L2768" s="41">
        <v>46006.416666666664</v>
      </c>
      <c r="M2768" s="38" t="s">
        <v>123</v>
      </c>
      <c r="N2768" s="41">
        <v>46006.791666666664</v>
      </c>
      <c r="O2768" s="38" t="s">
        <v>123</v>
      </c>
      <c r="P2768" s="38">
        <v>32400.0</v>
      </c>
      <c r="Q2768" s="39"/>
      <c r="R2768" s="39"/>
      <c r="S2768" s="39"/>
      <c r="T2768" s="39"/>
      <c r="U2768" s="39"/>
    </row>
    <row r="2769">
      <c r="A2769" s="40">
        <f t="shared" si="1"/>
        <v>46006</v>
      </c>
      <c r="B2769" s="37" t="str">
        <f t="array" ref="B2769">iferror(xlookup($I2769, 'IMPORT VHC Report'!$E:$E, 'IMPORT VHC Report'!$A:$C), )</f>
        <v/>
      </c>
      <c r="C2769" s="37"/>
      <c r="D2769" s="37"/>
      <c r="E2769" s="38" t="s">
        <v>3374</v>
      </c>
      <c r="F2769" s="38" t="s">
        <v>3371</v>
      </c>
      <c r="G2769" s="38">
        <v>3.61861298335E11</v>
      </c>
      <c r="H2769" s="38" t="s">
        <v>3372</v>
      </c>
      <c r="I2769" s="38" t="s">
        <v>3373</v>
      </c>
      <c r="J2769" s="38" t="s">
        <v>178</v>
      </c>
      <c r="K2769" s="38" t="s">
        <v>153</v>
      </c>
      <c r="L2769" s="41">
        <v>46006.416666666664</v>
      </c>
      <c r="M2769" s="38" t="s">
        <v>123</v>
      </c>
      <c r="N2769" s="41">
        <v>46006.791666666664</v>
      </c>
      <c r="O2769" s="38" t="s">
        <v>123</v>
      </c>
      <c r="P2769" s="38">
        <v>32400.0</v>
      </c>
      <c r="Q2769" s="38">
        <v>28800.0</v>
      </c>
      <c r="R2769" s="39"/>
      <c r="S2769" s="39"/>
      <c r="T2769" s="39"/>
      <c r="U2769" s="39"/>
    </row>
    <row r="2770">
      <c r="A2770" s="40">
        <f t="shared" si="1"/>
        <v>46006</v>
      </c>
      <c r="B2770" s="37" t="str">
        <f t="array" ref="B2770">iferror(xlookup($I2770, 'IMPORT VHC Report'!$E:$E, 'IMPORT VHC Report'!$A:$C), )</f>
        <v/>
      </c>
      <c r="C2770" s="37"/>
      <c r="D2770" s="37"/>
      <c r="E2770" s="38" t="s">
        <v>3375</v>
      </c>
      <c r="F2770" s="38" t="s">
        <v>3371</v>
      </c>
      <c r="G2770" s="38">
        <v>3.61861298335E11</v>
      </c>
      <c r="H2770" s="38" t="s">
        <v>3372</v>
      </c>
      <c r="I2770" s="38" t="s">
        <v>3373</v>
      </c>
      <c r="J2770" s="38" t="s">
        <v>178</v>
      </c>
      <c r="K2770" s="38" t="s">
        <v>153</v>
      </c>
      <c r="L2770" s="41">
        <v>46007.416666666664</v>
      </c>
      <c r="M2770" s="38" t="s">
        <v>123</v>
      </c>
      <c r="N2770" s="41">
        <v>46007.791666666664</v>
      </c>
      <c r="O2770" s="38" t="s">
        <v>123</v>
      </c>
      <c r="P2770" s="38">
        <v>32400.0</v>
      </c>
      <c r="Q2770" s="38">
        <v>28800.0</v>
      </c>
      <c r="R2770" s="39"/>
      <c r="S2770" s="39"/>
      <c r="T2770" s="39"/>
      <c r="U2770" s="39"/>
    </row>
    <row r="2771">
      <c r="A2771" s="40">
        <f t="shared" si="1"/>
        <v>46006</v>
      </c>
      <c r="B2771" s="37" t="str">
        <f t="array" ref="B2771">iferror(xlookup($I2771, 'IMPORT VHC Report'!$E:$E, 'IMPORT VHC Report'!$A:$C), )</f>
        <v/>
      </c>
      <c r="C2771" s="37"/>
      <c r="D2771" s="37"/>
      <c r="E2771" s="38" t="s">
        <v>3376</v>
      </c>
      <c r="F2771" s="38" t="s">
        <v>3371</v>
      </c>
      <c r="G2771" s="38">
        <v>3.61861298335E11</v>
      </c>
      <c r="H2771" s="38" t="s">
        <v>3372</v>
      </c>
      <c r="I2771" s="38" t="s">
        <v>3373</v>
      </c>
      <c r="J2771" s="38" t="s">
        <v>224</v>
      </c>
      <c r="K2771" s="38" t="s">
        <v>63</v>
      </c>
      <c r="L2771" s="41">
        <v>46007.416666666664</v>
      </c>
      <c r="M2771" s="38" t="s">
        <v>123</v>
      </c>
      <c r="N2771" s="41">
        <v>46007.791666666664</v>
      </c>
      <c r="O2771" s="38" t="s">
        <v>123</v>
      </c>
      <c r="P2771" s="38">
        <v>32400.0</v>
      </c>
      <c r="Q2771" s="39"/>
      <c r="R2771" s="39"/>
      <c r="S2771" s="39"/>
      <c r="T2771" s="39"/>
      <c r="U2771" s="39"/>
    </row>
    <row r="2772">
      <c r="A2772" s="40">
        <f t="shared" si="1"/>
        <v>46006</v>
      </c>
      <c r="B2772" s="37" t="str">
        <f t="array" ref="B2772">iferror(xlookup($I2772, 'IMPORT VHC Report'!$E:$E, 'IMPORT VHC Report'!$A:$C), )</f>
        <v/>
      </c>
      <c r="C2772" s="37"/>
      <c r="D2772" s="37"/>
      <c r="E2772" s="38" t="s">
        <v>3377</v>
      </c>
      <c r="F2772" s="38" t="s">
        <v>3371</v>
      </c>
      <c r="G2772" s="38">
        <v>3.61861298335E11</v>
      </c>
      <c r="H2772" s="38" t="s">
        <v>3372</v>
      </c>
      <c r="I2772" s="38" t="s">
        <v>3373</v>
      </c>
      <c r="J2772" s="38" t="s">
        <v>134</v>
      </c>
      <c r="K2772" s="38" t="s">
        <v>126</v>
      </c>
      <c r="L2772" s="41">
        <v>46007.489583333336</v>
      </c>
      <c r="M2772" s="38" t="s">
        <v>123</v>
      </c>
      <c r="N2772" s="41">
        <v>46007.5</v>
      </c>
      <c r="O2772" s="38" t="s">
        <v>123</v>
      </c>
      <c r="P2772" s="38">
        <v>900.0</v>
      </c>
      <c r="Q2772" s="39"/>
      <c r="R2772" s="39"/>
      <c r="S2772" s="39"/>
      <c r="T2772" s="39"/>
      <c r="U2772" s="39"/>
    </row>
    <row r="2773">
      <c r="A2773" s="40">
        <f t="shared" si="1"/>
        <v>46006</v>
      </c>
      <c r="B2773" s="37" t="str">
        <f t="array" ref="B2773">iferror(xlookup($I2773, 'IMPORT VHC Report'!$E:$E, 'IMPORT VHC Report'!$A:$C), )</f>
        <v/>
      </c>
      <c r="C2773" s="37"/>
      <c r="D2773" s="37"/>
      <c r="E2773" s="38" t="s">
        <v>3378</v>
      </c>
      <c r="F2773" s="38" t="s">
        <v>3371</v>
      </c>
      <c r="G2773" s="38">
        <v>3.61861298335E11</v>
      </c>
      <c r="H2773" s="38" t="s">
        <v>3372</v>
      </c>
      <c r="I2773" s="38" t="s">
        <v>3373</v>
      </c>
      <c r="J2773" s="38" t="s">
        <v>136</v>
      </c>
      <c r="K2773" s="38" t="s">
        <v>126</v>
      </c>
      <c r="L2773" s="41">
        <v>46007.5</v>
      </c>
      <c r="M2773" s="38" t="s">
        <v>123</v>
      </c>
      <c r="N2773" s="41">
        <v>46007.541666666664</v>
      </c>
      <c r="O2773" s="38" t="s">
        <v>123</v>
      </c>
      <c r="P2773" s="38">
        <v>3600.0</v>
      </c>
      <c r="Q2773" s="39"/>
      <c r="R2773" s="39"/>
      <c r="S2773" s="38" t="s">
        <v>137</v>
      </c>
      <c r="T2773" s="39"/>
      <c r="U2773" s="39"/>
    </row>
    <row r="2774">
      <c r="A2774" s="40">
        <f t="shared" si="1"/>
        <v>46006</v>
      </c>
      <c r="B2774" s="37" t="str">
        <f t="array" ref="B2774">iferror(xlookup($I2774, 'IMPORT VHC Report'!$E:$E, 'IMPORT VHC Report'!$A:$C), )</f>
        <v/>
      </c>
      <c r="C2774" s="37"/>
      <c r="D2774" s="37"/>
      <c r="E2774" s="38" t="s">
        <v>3379</v>
      </c>
      <c r="F2774" s="38" t="s">
        <v>3371</v>
      </c>
      <c r="G2774" s="38">
        <v>3.61861298335E11</v>
      </c>
      <c r="H2774" s="38" t="s">
        <v>3372</v>
      </c>
      <c r="I2774" s="38" t="s">
        <v>3373</v>
      </c>
      <c r="J2774" s="38" t="s">
        <v>132</v>
      </c>
      <c r="K2774" s="38" t="s">
        <v>126</v>
      </c>
      <c r="L2774" s="41">
        <v>46007.604166666664</v>
      </c>
      <c r="M2774" s="38" t="s">
        <v>123</v>
      </c>
      <c r="N2774" s="41">
        <v>46007.645833333336</v>
      </c>
      <c r="O2774" s="38" t="s">
        <v>123</v>
      </c>
      <c r="P2774" s="38">
        <v>3600.0</v>
      </c>
      <c r="Q2774" s="39"/>
      <c r="R2774" s="39"/>
      <c r="S2774" s="39"/>
      <c r="T2774" s="39"/>
      <c r="U2774" s="39"/>
    </row>
    <row r="2775">
      <c r="A2775" s="40">
        <f t="shared" si="1"/>
        <v>46006</v>
      </c>
      <c r="B2775" s="37" t="str">
        <f t="array" ref="B2775">iferror(xlookup($I2775, 'IMPORT VHC Report'!$E:$E, 'IMPORT VHC Report'!$A:$C), )</f>
        <v/>
      </c>
      <c r="C2775" s="37"/>
      <c r="D2775" s="37"/>
      <c r="E2775" s="38" t="s">
        <v>3380</v>
      </c>
      <c r="F2775" s="38" t="s">
        <v>3371</v>
      </c>
      <c r="G2775" s="38">
        <v>3.61861298335E11</v>
      </c>
      <c r="H2775" s="38" t="s">
        <v>3372</v>
      </c>
      <c r="I2775" s="38" t="s">
        <v>3373</v>
      </c>
      <c r="J2775" s="38" t="s">
        <v>134</v>
      </c>
      <c r="K2775" s="38" t="s">
        <v>126</v>
      </c>
      <c r="L2775" s="41">
        <v>46007.739583333336</v>
      </c>
      <c r="M2775" s="38" t="s">
        <v>123</v>
      </c>
      <c r="N2775" s="41">
        <v>46007.75</v>
      </c>
      <c r="O2775" s="38" t="s">
        <v>123</v>
      </c>
      <c r="P2775" s="38">
        <v>900.0</v>
      </c>
      <c r="Q2775" s="39"/>
      <c r="R2775" s="39"/>
      <c r="S2775" s="39"/>
      <c r="T2775" s="39"/>
      <c r="U2775" s="39"/>
    </row>
    <row r="2776">
      <c r="A2776" s="40">
        <f t="shared" si="1"/>
        <v>46006</v>
      </c>
      <c r="B2776" s="37" t="str">
        <f t="array" ref="B2776">iferror(xlookup($I2776, 'IMPORT VHC Report'!$E:$E, 'IMPORT VHC Report'!$A:$C), )</f>
        <v/>
      </c>
      <c r="C2776" s="37"/>
      <c r="D2776" s="37"/>
      <c r="E2776" s="38" t="s">
        <v>3381</v>
      </c>
      <c r="F2776" s="38" t="s">
        <v>3371</v>
      </c>
      <c r="G2776" s="38">
        <v>3.61861298335E11</v>
      </c>
      <c r="H2776" s="38" t="s">
        <v>3372</v>
      </c>
      <c r="I2776" s="38" t="s">
        <v>3373</v>
      </c>
      <c r="J2776" s="38" t="s">
        <v>224</v>
      </c>
      <c r="K2776" s="38" t="s">
        <v>63</v>
      </c>
      <c r="L2776" s="41">
        <v>46008.416666666664</v>
      </c>
      <c r="M2776" s="38" t="s">
        <v>123</v>
      </c>
      <c r="N2776" s="41">
        <v>46008.458333333336</v>
      </c>
      <c r="O2776" s="38" t="s">
        <v>123</v>
      </c>
      <c r="P2776" s="38">
        <v>3600.0</v>
      </c>
      <c r="Q2776" s="39"/>
      <c r="R2776" s="39"/>
      <c r="S2776" s="39"/>
      <c r="T2776" s="39"/>
      <c r="U2776" s="39"/>
    </row>
    <row r="2777">
      <c r="A2777" s="40">
        <f t="shared" si="1"/>
        <v>46006</v>
      </c>
      <c r="B2777" s="37" t="str">
        <f t="array" ref="B2777">iferror(xlookup($I2777, 'IMPORT VHC Report'!$E:$E, 'IMPORT VHC Report'!$A:$C), )</f>
        <v/>
      </c>
      <c r="C2777" s="37"/>
      <c r="D2777" s="37"/>
      <c r="E2777" s="38" t="s">
        <v>3382</v>
      </c>
      <c r="F2777" s="38" t="s">
        <v>3371</v>
      </c>
      <c r="G2777" s="38">
        <v>3.61861298335E11</v>
      </c>
      <c r="H2777" s="38" t="s">
        <v>3372</v>
      </c>
      <c r="I2777" s="38" t="s">
        <v>3373</v>
      </c>
      <c r="J2777" s="38" t="s">
        <v>4</v>
      </c>
      <c r="K2777" s="38" t="s">
        <v>126</v>
      </c>
      <c r="L2777" s="41">
        <v>46008.458333333336</v>
      </c>
      <c r="M2777" s="38" t="s">
        <v>123</v>
      </c>
      <c r="N2777" s="41">
        <v>46008.479166666664</v>
      </c>
      <c r="O2777" s="38" t="s">
        <v>123</v>
      </c>
      <c r="P2777" s="38">
        <v>1800.0</v>
      </c>
      <c r="Q2777" s="39"/>
      <c r="R2777" s="39"/>
      <c r="S2777" s="38" t="s">
        <v>3383</v>
      </c>
      <c r="T2777" s="39"/>
      <c r="U2777" s="39"/>
    </row>
    <row r="2778">
      <c r="A2778" s="40">
        <f t="shared" si="1"/>
        <v>46006</v>
      </c>
      <c r="B2778" s="37" t="str">
        <f t="array" ref="B2778">iferror(xlookup($I2778, 'IMPORT VHC Report'!$E:$E, 'IMPORT VHC Report'!$A:$C), )</f>
        <v/>
      </c>
      <c r="C2778" s="37"/>
      <c r="D2778" s="37"/>
      <c r="E2778" s="38" t="s">
        <v>3384</v>
      </c>
      <c r="F2778" s="38" t="s">
        <v>3371</v>
      </c>
      <c r="G2778" s="38">
        <v>3.61861298335E11</v>
      </c>
      <c r="H2778" s="38" t="s">
        <v>3372</v>
      </c>
      <c r="I2778" s="38" t="s">
        <v>3373</v>
      </c>
      <c r="J2778" s="38" t="s">
        <v>224</v>
      </c>
      <c r="K2778" s="38" t="s">
        <v>63</v>
      </c>
      <c r="L2778" s="41">
        <v>46008.479166666664</v>
      </c>
      <c r="M2778" s="38" t="s">
        <v>123</v>
      </c>
      <c r="N2778" s="41">
        <v>46008.791666666664</v>
      </c>
      <c r="O2778" s="38" t="s">
        <v>123</v>
      </c>
      <c r="P2778" s="38">
        <v>27000.0</v>
      </c>
      <c r="Q2778" s="39"/>
      <c r="R2778" s="39"/>
      <c r="S2778" s="39"/>
      <c r="T2778" s="39"/>
      <c r="U2778" s="39"/>
    </row>
    <row r="2779">
      <c r="A2779" s="40">
        <f t="shared" si="1"/>
        <v>46006</v>
      </c>
      <c r="B2779" s="37" t="str">
        <f t="array" ref="B2779">iferror(xlookup($I2779, 'IMPORT VHC Report'!$E:$E, 'IMPORT VHC Report'!$A:$C), )</f>
        <v/>
      </c>
      <c r="C2779" s="37"/>
      <c r="D2779" s="37"/>
      <c r="E2779" s="38" t="s">
        <v>3385</v>
      </c>
      <c r="F2779" s="38" t="s">
        <v>3371</v>
      </c>
      <c r="G2779" s="38">
        <v>3.61861298335E11</v>
      </c>
      <c r="H2779" s="38" t="s">
        <v>3372</v>
      </c>
      <c r="I2779" s="38" t="s">
        <v>3373</v>
      </c>
      <c r="J2779" s="38" t="s">
        <v>132</v>
      </c>
      <c r="K2779" s="38" t="s">
        <v>126</v>
      </c>
      <c r="L2779" s="41">
        <v>46008.520833333336</v>
      </c>
      <c r="M2779" s="38" t="s">
        <v>123</v>
      </c>
      <c r="N2779" s="41">
        <v>46008.5625</v>
      </c>
      <c r="O2779" s="38" t="s">
        <v>123</v>
      </c>
      <c r="P2779" s="38">
        <v>3600.0</v>
      </c>
      <c r="Q2779" s="39"/>
      <c r="R2779" s="39"/>
      <c r="S2779" s="39"/>
      <c r="T2779" s="39"/>
      <c r="U2779" s="39"/>
    </row>
    <row r="2780">
      <c r="A2780" s="40">
        <f t="shared" si="1"/>
        <v>46006</v>
      </c>
      <c r="B2780" s="37" t="str">
        <f t="array" ref="B2780">iferror(xlookup($I2780, 'IMPORT VHC Report'!$E:$E, 'IMPORT VHC Report'!$A:$C), )</f>
        <v/>
      </c>
      <c r="C2780" s="37"/>
      <c r="D2780" s="37"/>
      <c r="E2780" s="38" t="s">
        <v>3386</v>
      </c>
      <c r="F2780" s="38" t="s">
        <v>3371</v>
      </c>
      <c r="G2780" s="38">
        <v>3.61861298335E11</v>
      </c>
      <c r="H2780" s="38" t="s">
        <v>3372</v>
      </c>
      <c r="I2780" s="38" t="s">
        <v>3373</v>
      </c>
      <c r="J2780" s="38" t="s">
        <v>134</v>
      </c>
      <c r="K2780" s="38" t="s">
        <v>126</v>
      </c>
      <c r="L2780" s="41">
        <v>46008.635416666664</v>
      </c>
      <c r="M2780" s="38" t="s">
        <v>123</v>
      </c>
      <c r="N2780" s="41">
        <v>46008.645833333336</v>
      </c>
      <c r="O2780" s="38" t="s">
        <v>123</v>
      </c>
      <c r="P2780" s="38">
        <v>900.0</v>
      </c>
      <c r="Q2780" s="39"/>
      <c r="R2780" s="39"/>
      <c r="S2780" s="39"/>
      <c r="T2780" s="39"/>
      <c r="U2780" s="39"/>
    </row>
    <row r="2781">
      <c r="A2781" s="40">
        <f t="shared" si="1"/>
        <v>46006</v>
      </c>
      <c r="B2781" s="37" t="str">
        <f t="array" ref="B2781">iferror(xlookup($I2781, 'IMPORT VHC Report'!$E:$E, 'IMPORT VHC Report'!$A:$C), )</f>
        <v/>
      </c>
      <c r="C2781" s="37"/>
      <c r="D2781" s="37"/>
      <c r="E2781" s="38" t="s">
        <v>3387</v>
      </c>
      <c r="F2781" s="38" t="s">
        <v>3371</v>
      </c>
      <c r="G2781" s="38">
        <v>3.61861298335E11</v>
      </c>
      <c r="H2781" s="38" t="s">
        <v>3372</v>
      </c>
      <c r="I2781" s="38" t="s">
        <v>3373</v>
      </c>
      <c r="J2781" s="38" t="s">
        <v>134</v>
      </c>
      <c r="K2781" s="38" t="s">
        <v>126</v>
      </c>
      <c r="L2781" s="41">
        <v>46008.71875</v>
      </c>
      <c r="M2781" s="38" t="s">
        <v>123</v>
      </c>
      <c r="N2781" s="41">
        <v>46008.729166666664</v>
      </c>
      <c r="O2781" s="38" t="s">
        <v>123</v>
      </c>
      <c r="P2781" s="38">
        <v>900.0</v>
      </c>
      <c r="Q2781" s="39"/>
      <c r="R2781" s="39"/>
      <c r="S2781" s="39"/>
      <c r="T2781" s="39"/>
      <c r="U2781" s="39"/>
    </row>
    <row r="2782">
      <c r="A2782" s="40">
        <f t="shared" si="1"/>
        <v>46006</v>
      </c>
      <c r="B2782" s="37" t="str">
        <f t="array" ref="B2782">iferror(xlookup($I2782, 'IMPORT VHC Report'!$E:$E, 'IMPORT VHC Report'!$A:$C), )</f>
        <v/>
      </c>
      <c r="C2782" s="37"/>
      <c r="D2782" s="37"/>
      <c r="E2782" s="38" t="s">
        <v>3388</v>
      </c>
      <c r="F2782" s="38" t="s">
        <v>3371</v>
      </c>
      <c r="G2782" s="38">
        <v>3.61861298335E11</v>
      </c>
      <c r="H2782" s="38" t="s">
        <v>3372</v>
      </c>
      <c r="I2782" s="38" t="s">
        <v>3373</v>
      </c>
      <c r="J2782" s="38" t="s">
        <v>224</v>
      </c>
      <c r="K2782" s="38" t="s">
        <v>63</v>
      </c>
      <c r="L2782" s="41">
        <v>46009.416666666664</v>
      </c>
      <c r="M2782" s="38" t="s">
        <v>123</v>
      </c>
      <c r="N2782" s="41">
        <v>46009.520833333336</v>
      </c>
      <c r="O2782" s="38" t="s">
        <v>123</v>
      </c>
      <c r="P2782" s="38">
        <v>9000.0</v>
      </c>
      <c r="Q2782" s="39"/>
      <c r="R2782" s="39"/>
      <c r="S2782" s="39"/>
      <c r="T2782" s="39"/>
      <c r="U2782" s="39"/>
    </row>
    <row r="2783">
      <c r="A2783" s="40">
        <f t="shared" si="1"/>
        <v>46006</v>
      </c>
      <c r="B2783" s="37" t="str">
        <f t="array" ref="B2783">iferror(xlookup($I2783, 'IMPORT VHC Report'!$E:$E, 'IMPORT VHC Report'!$A:$C), )</f>
        <v/>
      </c>
      <c r="C2783" s="37"/>
      <c r="D2783" s="37"/>
      <c r="E2783" s="38" t="s">
        <v>3389</v>
      </c>
      <c r="F2783" s="38" t="s">
        <v>3371</v>
      </c>
      <c r="G2783" s="38">
        <v>3.61861298335E11</v>
      </c>
      <c r="H2783" s="38" t="s">
        <v>3372</v>
      </c>
      <c r="I2783" s="38" t="s">
        <v>3373</v>
      </c>
      <c r="J2783" s="38" t="s">
        <v>132</v>
      </c>
      <c r="K2783" s="38" t="s">
        <v>126</v>
      </c>
      <c r="L2783" s="41">
        <v>46009.520833333336</v>
      </c>
      <c r="M2783" s="38" t="s">
        <v>123</v>
      </c>
      <c r="N2783" s="41">
        <v>46009.5625</v>
      </c>
      <c r="O2783" s="38" t="s">
        <v>123</v>
      </c>
      <c r="P2783" s="38">
        <v>3600.0</v>
      </c>
      <c r="Q2783" s="39"/>
      <c r="R2783" s="39"/>
      <c r="S2783" s="39"/>
      <c r="T2783" s="39"/>
      <c r="U2783" s="39"/>
    </row>
    <row r="2784">
      <c r="A2784" s="40">
        <f t="shared" si="1"/>
        <v>46006</v>
      </c>
      <c r="B2784" s="37" t="str">
        <f t="array" ref="B2784">iferror(xlookup($I2784, 'IMPORT VHC Report'!$E:$E, 'IMPORT VHC Report'!$A:$C), )</f>
        <v/>
      </c>
      <c r="C2784" s="37"/>
      <c r="D2784" s="37"/>
      <c r="E2784" s="38" t="s">
        <v>3390</v>
      </c>
      <c r="F2784" s="38" t="s">
        <v>3371</v>
      </c>
      <c r="G2784" s="38">
        <v>3.61861298335E11</v>
      </c>
      <c r="H2784" s="38" t="s">
        <v>3372</v>
      </c>
      <c r="I2784" s="38" t="s">
        <v>3373</v>
      </c>
      <c r="J2784" s="38" t="s">
        <v>224</v>
      </c>
      <c r="K2784" s="38" t="s">
        <v>63</v>
      </c>
      <c r="L2784" s="41">
        <v>46009.5625</v>
      </c>
      <c r="M2784" s="38" t="s">
        <v>123</v>
      </c>
      <c r="N2784" s="41">
        <v>46009.625</v>
      </c>
      <c r="O2784" s="38" t="s">
        <v>123</v>
      </c>
      <c r="P2784" s="38">
        <v>5400.0</v>
      </c>
      <c r="Q2784" s="39"/>
      <c r="R2784" s="39"/>
      <c r="S2784" s="39"/>
      <c r="T2784" s="39"/>
      <c r="U2784" s="39"/>
    </row>
    <row r="2785">
      <c r="A2785" s="40">
        <f t="shared" si="1"/>
        <v>46006</v>
      </c>
      <c r="B2785" s="37" t="str">
        <f t="array" ref="B2785">iferror(xlookup($I2785, 'IMPORT VHC Report'!$E:$E, 'IMPORT VHC Report'!$A:$C), )</f>
        <v/>
      </c>
      <c r="C2785" s="37"/>
      <c r="D2785" s="37"/>
      <c r="E2785" s="38" t="s">
        <v>3391</v>
      </c>
      <c r="F2785" s="38" t="s">
        <v>3371</v>
      </c>
      <c r="G2785" s="38">
        <v>3.61861298335E11</v>
      </c>
      <c r="H2785" s="38" t="s">
        <v>3372</v>
      </c>
      <c r="I2785" s="38" t="s">
        <v>3373</v>
      </c>
      <c r="J2785" s="38" t="s">
        <v>134</v>
      </c>
      <c r="K2785" s="38" t="s">
        <v>126</v>
      </c>
      <c r="L2785" s="41">
        <v>46009.625</v>
      </c>
      <c r="M2785" s="38" t="s">
        <v>123</v>
      </c>
      <c r="N2785" s="41">
        <v>46009.635416666664</v>
      </c>
      <c r="O2785" s="38" t="s">
        <v>123</v>
      </c>
      <c r="P2785" s="38">
        <v>900.0</v>
      </c>
      <c r="Q2785" s="39"/>
      <c r="R2785" s="39"/>
      <c r="S2785" s="39"/>
      <c r="T2785" s="39"/>
      <c r="U2785" s="39"/>
    </row>
    <row r="2786">
      <c r="A2786" s="40">
        <f t="shared" si="1"/>
        <v>46006</v>
      </c>
      <c r="B2786" s="37" t="str">
        <f t="array" ref="B2786">iferror(xlookup($I2786, 'IMPORT VHC Report'!$E:$E, 'IMPORT VHC Report'!$A:$C), )</f>
        <v/>
      </c>
      <c r="C2786" s="37"/>
      <c r="D2786" s="37"/>
      <c r="E2786" s="38" t="s">
        <v>3392</v>
      </c>
      <c r="F2786" s="38" t="s">
        <v>3371</v>
      </c>
      <c r="G2786" s="38">
        <v>3.61861298335E11</v>
      </c>
      <c r="H2786" s="38" t="s">
        <v>3372</v>
      </c>
      <c r="I2786" s="38" t="s">
        <v>3373</v>
      </c>
      <c r="J2786" s="38" t="s">
        <v>224</v>
      </c>
      <c r="K2786" s="38" t="s">
        <v>63</v>
      </c>
      <c r="L2786" s="41">
        <v>46009.635416666664</v>
      </c>
      <c r="M2786" s="38" t="s">
        <v>123</v>
      </c>
      <c r="N2786" s="41">
        <v>46009.697916666664</v>
      </c>
      <c r="O2786" s="38" t="s">
        <v>123</v>
      </c>
      <c r="P2786" s="38">
        <v>5400.0</v>
      </c>
      <c r="Q2786" s="39"/>
      <c r="R2786" s="39"/>
      <c r="S2786" s="39"/>
      <c r="T2786" s="39"/>
      <c r="U2786" s="39"/>
    </row>
    <row r="2787">
      <c r="A2787" s="40">
        <f t="shared" si="1"/>
        <v>46006</v>
      </c>
      <c r="B2787" s="37" t="str">
        <f t="array" ref="B2787">iferror(xlookup($I2787, 'IMPORT VHC Report'!$E:$E, 'IMPORT VHC Report'!$A:$C), )</f>
        <v/>
      </c>
      <c r="C2787" s="37"/>
      <c r="D2787" s="37"/>
      <c r="E2787" s="38" t="s">
        <v>3393</v>
      </c>
      <c r="F2787" s="38" t="s">
        <v>3371</v>
      </c>
      <c r="G2787" s="38">
        <v>3.61861298335E11</v>
      </c>
      <c r="H2787" s="38" t="s">
        <v>3372</v>
      </c>
      <c r="I2787" s="38" t="s">
        <v>3373</v>
      </c>
      <c r="J2787" s="38" t="s">
        <v>134</v>
      </c>
      <c r="K2787" s="38" t="s">
        <v>126</v>
      </c>
      <c r="L2787" s="41">
        <v>46009.697916666664</v>
      </c>
      <c r="M2787" s="38" t="s">
        <v>123</v>
      </c>
      <c r="N2787" s="41">
        <v>46009.708333333336</v>
      </c>
      <c r="O2787" s="38" t="s">
        <v>123</v>
      </c>
      <c r="P2787" s="38">
        <v>900.0</v>
      </c>
      <c r="Q2787" s="39"/>
      <c r="R2787" s="39"/>
      <c r="S2787" s="39"/>
      <c r="T2787" s="39"/>
      <c r="U2787" s="39"/>
    </row>
    <row r="2788">
      <c r="A2788" s="40">
        <f t="shared" si="1"/>
        <v>46006</v>
      </c>
      <c r="B2788" s="37" t="str">
        <f t="array" ref="B2788">iferror(xlookup($I2788, 'IMPORT VHC Report'!$E:$E, 'IMPORT VHC Report'!$A:$C), )</f>
        <v/>
      </c>
      <c r="C2788" s="37"/>
      <c r="D2788" s="37"/>
      <c r="E2788" s="38" t="s">
        <v>3394</v>
      </c>
      <c r="F2788" s="38" t="s">
        <v>3371</v>
      </c>
      <c r="G2788" s="38">
        <v>3.61861298335E11</v>
      </c>
      <c r="H2788" s="38" t="s">
        <v>3372</v>
      </c>
      <c r="I2788" s="38" t="s">
        <v>3373</v>
      </c>
      <c r="J2788" s="38" t="s">
        <v>224</v>
      </c>
      <c r="K2788" s="38" t="s">
        <v>63</v>
      </c>
      <c r="L2788" s="41">
        <v>46009.708333333336</v>
      </c>
      <c r="M2788" s="38" t="s">
        <v>123</v>
      </c>
      <c r="N2788" s="41">
        <v>46009.791666666664</v>
      </c>
      <c r="O2788" s="38" t="s">
        <v>123</v>
      </c>
      <c r="P2788" s="38">
        <v>7200.0</v>
      </c>
      <c r="Q2788" s="39"/>
      <c r="R2788" s="39"/>
      <c r="S2788" s="39"/>
      <c r="T2788" s="39"/>
      <c r="U2788" s="39"/>
    </row>
    <row r="2789">
      <c r="A2789" s="40">
        <f t="shared" si="1"/>
        <v>46006</v>
      </c>
      <c r="B2789" s="37" t="str">
        <f t="array" ref="B2789">iferror(xlookup($I2789, 'IMPORT VHC Report'!$E:$E, 'IMPORT VHC Report'!$A:$C), )</f>
        <v/>
      </c>
      <c r="C2789" s="37"/>
      <c r="D2789" s="37"/>
      <c r="E2789" s="38" t="s">
        <v>3395</v>
      </c>
      <c r="F2789" s="38" t="s">
        <v>3371</v>
      </c>
      <c r="G2789" s="38">
        <v>3.61861298335E11</v>
      </c>
      <c r="H2789" s="38" t="s">
        <v>3372</v>
      </c>
      <c r="I2789" s="38" t="s">
        <v>3373</v>
      </c>
      <c r="J2789" s="38" t="s">
        <v>224</v>
      </c>
      <c r="K2789" s="38" t="s">
        <v>63</v>
      </c>
      <c r="L2789" s="41">
        <v>46012.416666666664</v>
      </c>
      <c r="M2789" s="38" t="s">
        <v>123</v>
      </c>
      <c r="N2789" s="41">
        <v>46012.53125</v>
      </c>
      <c r="O2789" s="38" t="s">
        <v>123</v>
      </c>
      <c r="P2789" s="38">
        <v>9900.0</v>
      </c>
      <c r="Q2789" s="39"/>
      <c r="R2789" s="39"/>
      <c r="S2789" s="39"/>
      <c r="T2789" s="39"/>
      <c r="U2789" s="39"/>
    </row>
    <row r="2790">
      <c r="A2790" s="40">
        <f t="shared" si="1"/>
        <v>46006</v>
      </c>
      <c r="B2790" s="37" t="str">
        <f t="array" ref="B2790">iferror(xlookup($I2790, 'IMPORT VHC Report'!$E:$E, 'IMPORT VHC Report'!$A:$C), )</f>
        <v/>
      </c>
      <c r="C2790" s="37"/>
      <c r="D2790" s="37"/>
      <c r="E2790" s="38" t="s">
        <v>3396</v>
      </c>
      <c r="F2790" s="38" t="s">
        <v>3371</v>
      </c>
      <c r="G2790" s="38">
        <v>3.61861298335E11</v>
      </c>
      <c r="H2790" s="38" t="s">
        <v>3372</v>
      </c>
      <c r="I2790" s="38" t="s">
        <v>3373</v>
      </c>
      <c r="J2790" s="38" t="s">
        <v>134</v>
      </c>
      <c r="K2790" s="38" t="s">
        <v>126</v>
      </c>
      <c r="L2790" s="41">
        <v>46012.53125</v>
      </c>
      <c r="M2790" s="38" t="s">
        <v>123</v>
      </c>
      <c r="N2790" s="41">
        <v>46012.541666666664</v>
      </c>
      <c r="O2790" s="38" t="s">
        <v>123</v>
      </c>
      <c r="P2790" s="38">
        <v>900.0</v>
      </c>
      <c r="Q2790" s="39"/>
      <c r="R2790" s="39"/>
      <c r="S2790" s="39"/>
      <c r="T2790" s="39"/>
      <c r="U2790" s="39"/>
    </row>
    <row r="2791">
      <c r="A2791" s="40">
        <f t="shared" si="1"/>
        <v>46006</v>
      </c>
      <c r="B2791" s="37" t="str">
        <f t="array" ref="B2791">iferror(xlookup($I2791, 'IMPORT VHC Report'!$E:$E, 'IMPORT VHC Report'!$A:$C), )</f>
        <v/>
      </c>
      <c r="C2791" s="37"/>
      <c r="D2791" s="37"/>
      <c r="E2791" s="38" t="s">
        <v>3397</v>
      </c>
      <c r="F2791" s="38" t="s">
        <v>3371</v>
      </c>
      <c r="G2791" s="38">
        <v>3.61861298335E11</v>
      </c>
      <c r="H2791" s="38" t="s">
        <v>3372</v>
      </c>
      <c r="I2791" s="38" t="s">
        <v>3373</v>
      </c>
      <c r="J2791" s="38" t="s">
        <v>224</v>
      </c>
      <c r="K2791" s="38" t="s">
        <v>63</v>
      </c>
      <c r="L2791" s="41">
        <v>46012.541666666664</v>
      </c>
      <c r="M2791" s="38" t="s">
        <v>123</v>
      </c>
      <c r="N2791" s="41">
        <v>46012.614583333336</v>
      </c>
      <c r="O2791" s="38" t="s">
        <v>123</v>
      </c>
      <c r="P2791" s="38">
        <v>6300.0</v>
      </c>
      <c r="Q2791" s="39"/>
      <c r="R2791" s="39"/>
      <c r="S2791" s="39"/>
      <c r="T2791" s="39"/>
      <c r="U2791" s="39"/>
    </row>
    <row r="2792">
      <c r="A2792" s="40">
        <f t="shared" si="1"/>
        <v>46006</v>
      </c>
      <c r="B2792" s="37" t="str">
        <f t="array" ref="B2792">iferror(xlookup($I2792, 'IMPORT VHC Report'!$E:$E, 'IMPORT VHC Report'!$A:$C), )</f>
        <v/>
      </c>
      <c r="C2792" s="37"/>
      <c r="D2792" s="37"/>
      <c r="E2792" s="38" t="s">
        <v>3398</v>
      </c>
      <c r="F2792" s="38" t="s">
        <v>3371</v>
      </c>
      <c r="G2792" s="38">
        <v>3.61861298335E11</v>
      </c>
      <c r="H2792" s="38" t="s">
        <v>3372</v>
      </c>
      <c r="I2792" s="38" t="s">
        <v>3373</v>
      </c>
      <c r="J2792" s="38" t="s">
        <v>134</v>
      </c>
      <c r="K2792" s="38" t="s">
        <v>126</v>
      </c>
      <c r="L2792" s="41">
        <v>46012.614583333336</v>
      </c>
      <c r="M2792" s="38" t="s">
        <v>123</v>
      </c>
      <c r="N2792" s="41">
        <v>46012.625</v>
      </c>
      <c r="O2792" s="38" t="s">
        <v>123</v>
      </c>
      <c r="P2792" s="38">
        <v>900.0</v>
      </c>
      <c r="Q2792" s="39"/>
      <c r="R2792" s="39"/>
      <c r="S2792" s="39"/>
      <c r="T2792" s="39"/>
      <c r="U2792" s="39"/>
    </row>
    <row r="2793">
      <c r="A2793" s="40">
        <f t="shared" si="1"/>
        <v>46006</v>
      </c>
      <c r="B2793" s="37" t="str">
        <f t="array" ref="B2793">iferror(xlookup($I2793, 'IMPORT VHC Report'!$E:$E, 'IMPORT VHC Report'!$A:$C), )</f>
        <v/>
      </c>
      <c r="C2793" s="37"/>
      <c r="D2793" s="37"/>
      <c r="E2793" s="38" t="s">
        <v>3399</v>
      </c>
      <c r="F2793" s="38" t="s">
        <v>3371</v>
      </c>
      <c r="G2793" s="38">
        <v>3.61861298335E11</v>
      </c>
      <c r="H2793" s="38" t="s">
        <v>3372</v>
      </c>
      <c r="I2793" s="38" t="s">
        <v>3373</v>
      </c>
      <c r="J2793" s="38" t="s">
        <v>224</v>
      </c>
      <c r="K2793" s="38" t="s">
        <v>63</v>
      </c>
      <c r="L2793" s="41">
        <v>46012.625</v>
      </c>
      <c r="M2793" s="38" t="s">
        <v>123</v>
      </c>
      <c r="N2793" s="41">
        <v>46012.6875</v>
      </c>
      <c r="O2793" s="38" t="s">
        <v>123</v>
      </c>
      <c r="P2793" s="38">
        <v>5400.0</v>
      </c>
      <c r="Q2793" s="39"/>
      <c r="R2793" s="39"/>
      <c r="S2793" s="39"/>
      <c r="T2793" s="39"/>
      <c r="U2793" s="39"/>
    </row>
    <row r="2794">
      <c r="A2794" s="40">
        <f t="shared" si="1"/>
        <v>46006</v>
      </c>
      <c r="B2794" s="37" t="str">
        <f t="array" ref="B2794">iferror(xlookup($I2794, 'IMPORT VHC Report'!$E:$E, 'IMPORT VHC Report'!$A:$C), )</f>
        <v/>
      </c>
      <c r="C2794" s="37"/>
      <c r="D2794" s="37"/>
      <c r="E2794" s="38" t="s">
        <v>3400</v>
      </c>
      <c r="F2794" s="38" t="s">
        <v>3371</v>
      </c>
      <c r="G2794" s="38">
        <v>3.61861298335E11</v>
      </c>
      <c r="H2794" s="38" t="s">
        <v>3372</v>
      </c>
      <c r="I2794" s="38" t="s">
        <v>3373</v>
      </c>
      <c r="J2794" s="38" t="s">
        <v>132</v>
      </c>
      <c r="K2794" s="38" t="s">
        <v>126</v>
      </c>
      <c r="L2794" s="41">
        <v>46012.6875</v>
      </c>
      <c r="M2794" s="38" t="s">
        <v>123</v>
      </c>
      <c r="N2794" s="41">
        <v>46012.729166666664</v>
      </c>
      <c r="O2794" s="38" t="s">
        <v>123</v>
      </c>
      <c r="P2794" s="38">
        <v>3600.0</v>
      </c>
      <c r="Q2794" s="39"/>
      <c r="R2794" s="39"/>
      <c r="S2794" s="39"/>
      <c r="T2794" s="39"/>
      <c r="U2794" s="39"/>
    </row>
    <row r="2795">
      <c r="A2795" s="40">
        <f t="shared" si="1"/>
        <v>46006</v>
      </c>
      <c r="B2795" s="37" t="str">
        <f t="array" ref="B2795">iferror(xlookup($I2795, 'IMPORT VHC Report'!$E:$E, 'IMPORT VHC Report'!$A:$C), )</f>
        <v/>
      </c>
      <c r="C2795" s="37"/>
      <c r="D2795" s="37"/>
      <c r="E2795" s="38" t="s">
        <v>3401</v>
      </c>
      <c r="F2795" s="38" t="s">
        <v>3371</v>
      </c>
      <c r="G2795" s="38">
        <v>3.61861298335E11</v>
      </c>
      <c r="H2795" s="38" t="s">
        <v>3372</v>
      </c>
      <c r="I2795" s="38" t="s">
        <v>3373</v>
      </c>
      <c r="J2795" s="38" t="s">
        <v>224</v>
      </c>
      <c r="K2795" s="38" t="s">
        <v>63</v>
      </c>
      <c r="L2795" s="41">
        <v>46012.729166666664</v>
      </c>
      <c r="M2795" s="38" t="s">
        <v>123</v>
      </c>
      <c r="N2795" s="41">
        <v>46012.791666666664</v>
      </c>
      <c r="O2795" s="38" t="s">
        <v>123</v>
      </c>
      <c r="P2795" s="38">
        <v>5400.0</v>
      </c>
      <c r="Q2795" s="39"/>
      <c r="R2795" s="39"/>
      <c r="S2795" s="39"/>
      <c r="T2795" s="39"/>
      <c r="U2795" s="39"/>
    </row>
    <row r="2796">
      <c r="A2796" s="40">
        <f t="shared" si="1"/>
        <v>46006</v>
      </c>
      <c r="B2796" s="37" t="str">
        <f t="array" ref="B2796">iferror(xlookup($I2796, 'IMPORT VHC Report'!$E:$E, 'IMPORT VHC Report'!$A:$C), )</f>
        <v/>
      </c>
      <c r="C2796" s="37"/>
      <c r="D2796" s="37"/>
      <c r="E2796" s="38" t="s">
        <v>3402</v>
      </c>
      <c r="F2796" s="38" t="s">
        <v>3403</v>
      </c>
      <c r="G2796" s="38">
        <v>1.3477715168271E13</v>
      </c>
      <c r="H2796" s="38" t="s">
        <v>3404</v>
      </c>
      <c r="I2796" s="38" t="s">
        <v>3405</v>
      </c>
      <c r="J2796" s="38" t="s">
        <v>125</v>
      </c>
      <c r="K2796" s="38" t="s">
        <v>126</v>
      </c>
      <c r="L2796" s="41">
        <v>46006.416666666664</v>
      </c>
      <c r="M2796" s="38" t="s">
        <v>123</v>
      </c>
      <c r="N2796" s="41">
        <v>46006.42361111111</v>
      </c>
      <c r="O2796" s="38" t="s">
        <v>123</v>
      </c>
      <c r="P2796" s="38">
        <v>600.0</v>
      </c>
      <c r="Q2796" s="39"/>
      <c r="R2796" s="39"/>
      <c r="S2796" s="38" t="s">
        <v>127</v>
      </c>
      <c r="T2796" s="39"/>
      <c r="U2796" s="39"/>
    </row>
    <row r="2797">
      <c r="A2797" s="40">
        <f t="shared" si="1"/>
        <v>46006</v>
      </c>
      <c r="B2797" s="37" t="str">
        <f t="array" ref="B2797">iferror(xlookup($I2797, 'IMPORT VHC Report'!$E:$E, 'IMPORT VHC Report'!$A:$C), )</f>
        <v/>
      </c>
      <c r="C2797" s="37"/>
      <c r="D2797" s="37"/>
      <c r="E2797" s="38" t="s">
        <v>3406</v>
      </c>
      <c r="F2797" s="38" t="s">
        <v>3403</v>
      </c>
      <c r="G2797" s="38">
        <v>1.3477715168271E13</v>
      </c>
      <c r="H2797" s="38" t="s">
        <v>3404</v>
      </c>
      <c r="I2797" s="38" t="s">
        <v>3405</v>
      </c>
      <c r="J2797" s="38" t="s">
        <v>122</v>
      </c>
      <c r="K2797" s="38" t="s">
        <v>63</v>
      </c>
      <c r="L2797" s="41">
        <v>46006.416666666664</v>
      </c>
      <c r="M2797" s="38" t="s">
        <v>123</v>
      </c>
      <c r="N2797" s="41">
        <v>46006.791666666664</v>
      </c>
      <c r="O2797" s="38" t="s">
        <v>123</v>
      </c>
      <c r="P2797" s="38">
        <v>32400.0</v>
      </c>
      <c r="Q2797" s="39"/>
      <c r="R2797" s="39"/>
      <c r="S2797" s="39"/>
      <c r="T2797" s="39"/>
      <c r="U2797" s="39"/>
    </row>
    <row r="2798">
      <c r="A2798" s="40">
        <f t="shared" si="1"/>
        <v>46006</v>
      </c>
      <c r="B2798" s="37" t="str">
        <f t="array" ref="B2798">iferror(xlookup($I2798, 'IMPORT VHC Report'!$E:$E, 'IMPORT VHC Report'!$A:$C), )</f>
        <v/>
      </c>
      <c r="C2798" s="37"/>
      <c r="D2798" s="37"/>
      <c r="E2798" s="38" t="s">
        <v>3407</v>
      </c>
      <c r="F2798" s="38" t="s">
        <v>3403</v>
      </c>
      <c r="G2798" s="38">
        <v>1.3477715168271E13</v>
      </c>
      <c r="H2798" s="38" t="s">
        <v>3404</v>
      </c>
      <c r="I2798" s="38" t="s">
        <v>3405</v>
      </c>
      <c r="J2798" s="38" t="s">
        <v>134</v>
      </c>
      <c r="K2798" s="38" t="s">
        <v>126</v>
      </c>
      <c r="L2798" s="41">
        <v>46006.5</v>
      </c>
      <c r="M2798" s="38" t="s">
        <v>123</v>
      </c>
      <c r="N2798" s="41">
        <v>46006.520833333336</v>
      </c>
      <c r="O2798" s="38" t="s">
        <v>123</v>
      </c>
      <c r="P2798" s="38">
        <v>1800.0</v>
      </c>
      <c r="Q2798" s="39"/>
      <c r="R2798" s="39"/>
      <c r="S2798" s="39"/>
      <c r="T2798" s="39"/>
      <c r="U2798" s="39"/>
    </row>
    <row r="2799">
      <c r="A2799" s="40">
        <f t="shared" si="1"/>
        <v>46006</v>
      </c>
      <c r="B2799" s="37" t="str">
        <f t="array" ref="B2799">iferror(xlookup($I2799, 'IMPORT VHC Report'!$E:$E, 'IMPORT VHC Report'!$A:$C), )</f>
        <v/>
      </c>
      <c r="C2799" s="37"/>
      <c r="D2799" s="37"/>
      <c r="E2799" s="38" t="s">
        <v>3408</v>
      </c>
      <c r="F2799" s="38" t="s">
        <v>3403</v>
      </c>
      <c r="G2799" s="38">
        <v>1.3477715168271E13</v>
      </c>
      <c r="H2799" s="38" t="s">
        <v>3404</v>
      </c>
      <c r="I2799" s="38" t="s">
        <v>3405</v>
      </c>
      <c r="J2799" s="38" t="s">
        <v>132</v>
      </c>
      <c r="K2799" s="38" t="s">
        <v>126</v>
      </c>
      <c r="L2799" s="41">
        <v>46006.614583333336</v>
      </c>
      <c r="M2799" s="38" t="s">
        <v>123</v>
      </c>
      <c r="N2799" s="41">
        <v>46006.65625</v>
      </c>
      <c r="O2799" s="38" t="s">
        <v>123</v>
      </c>
      <c r="P2799" s="38">
        <v>3600.0</v>
      </c>
      <c r="Q2799" s="39"/>
      <c r="R2799" s="39"/>
      <c r="S2799" s="39"/>
      <c r="T2799" s="39"/>
      <c r="U2799" s="39"/>
    </row>
    <row r="2800">
      <c r="A2800" s="40">
        <f t="shared" si="1"/>
        <v>46006</v>
      </c>
      <c r="B2800" s="37" t="str">
        <f t="array" ref="B2800">iferror(xlookup($I2800, 'IMPORT VHC Report'!$E:$E, 'IMPORT VHC Report'!$A:$C), )</f>
        <v/>
      </c>
      <c r="C2800" s="37"/>
      <c r="D2800" s="37"/>
      <c r="E2800" s="38" t="s">
        <v>3409</v>
      </c>
      <c r="F2800" s="38" t="s">
        <v>3403</v>
      </c>
      <c r="G2800" s="38">
        <v>1.3477715168271E13</v>
      </c>
      <c r="H2800" s="38" t="s">
        <v>3404</v>
      </c>
      <c r="I2800" s="38" t="s">
        <v>3405</v>
      </c>
      <c r="J2800" s="38" t="s">
        <v>125</v>
      </c>
      <c r="K2800" s="38" t="s">
        <v>126</v>
      </c>
      <c r="L2800" s="41">
        <v>46009.416666666664</v>
      </c>
      <c r="M2800" s="38" t="s">
        <v>123</v>
      </c>
      <c r="N2800" s="41">
        <v>46009.42361111111</v>
      </c>
      <c r="O2800" s="38" t="s">
        <v>123</v>
      </c>
      <c r="P2800" s="38">
        <v>600.0</v>
      </c>
      <c r="Q2800" s="39"/>
      <c r="R2800" s="39"/>
      <c r="S2800" s="38" t="s">
        <v>127</v>
      </c>
      <c r="T2800" s="39"/>
      <c r="U2800" s="39"/>
    </row>
    <row r="2801">
      <c r="A2801" s="40">
        <f t="shared" si="1"/>
        <v>46006</v>
      </c>
      <c r="B2801" s="37" t="str">
        <f t="array" ref="B2801">iferror(xlookup($I2801, 'IMPORT VHC Report'!$E:$E, 'IMPORT VHC Report'!$A:$C), )</f>
        <v/>
      </c>
      <c r="C2801" s="37"/>
      <c r="D2801" s="37"/>
      <c r="E2801" s="38" t="s">
        <v>3410</v>
      </c>
      <c r="F2801" s="38" t="s">
        <v>3403</v>
      </c>
      <c r="G2801" s="38">
        <v>1.3477715168271E13</v>
      </c>
      <c r="H2801" s="38" t="s">
        <v>3404</v>
      </c>
      <c r="I2801" s="38" t="s">
        <v>3405</v>
      </c>
      <c r="J2801" s="38" t="s">
        <v>122</v>
      </c>
      <c r="K2801" s="38" t="s">
        <v>63</v>
      </c>
      <c r="L2801" s="41">
        <v>46009.416666666664</v>
      </c>
      <c r="M2801" s="38" t="s">
        <v>123</v>
      </c>
      <c r="N2801" s="41">
        <v>46009.791666666664</v>
      </c>
      <c r="O2801" s="38" t="s">
        <v>123</v>
      </c>
      <c r="P2801" s="38">
        <v>32400.0</v>
      </c>
      <c r="Q2801" s="39"/>
      <c r="R2801" s="39"/>
      <c r="S2801" s="39"/>
      <c r="T2801" s="39"/>
      <c r="U2801" s="39"/>
    </row>
    <row r="2802">
      <c r="A2802" s="40">
        <f t="shared" si="1"/>
        <v>46006</v>
      </c>
      <c r="B2802" s="37" t="str">
        <f t="array" ref="B2802">iferror(xlookup($I2802, 'IMPORT VHC Report'!$E:$E, 'IMPORT VHC Report'!$A:$C), )</f>
        <v/>
      </c>
      <c r="C2802" s="37"/>
      <c r="D2802" s="37"/>
      <c r="E2802" s="38" t="s">
        <v>3411</v>
      </c>
      <c r="F2802" s="38" t="s">
        <v>3403</v>
      </c>
      <c r="G2802" s="38">
        <v>1.3477715168271E13</v>
      </c>
      <c r="H2802" s="38" t="s">
        <v>3404</v>
      </c>
      <c r="I2802" s="38" t="s">
        <v>3405</v>
      </c>
      <c r="J2802" s="38" t="s">
        <v>134</v>
      </c>
      <c r="K2802" s="38" t="s">
        <v>126</v>
      </c>
      <c r="L2802" s="41">
        <v>46009.5</v>
      </c>
      <c r="M2802" s="38" t="s">
        <v>123</v>
      </c>
      <c r="N2802" s="41">
        <v>46009.520833333336</v>
      </c>
      <c r="O2802" s="38" t="s">
        <v>123</v>
      </c>
      <c r="P2802" s="38">
        <v>1800.0</v>
      </c>
      <c r="Q2802" s="39"/>
      <c r="R2802" s="39"/>
      <c r="S2802" s="39"/>
      <c r="T2802" s="39"/>
      <c r="U2802" s="39"/>
    </row>
    <row r="2803">
      <c r="A2803" s="40">
        <f t="shared" si="1"/>
        <v>46006</v>
      </c>
      <c r="B2803" s="37" t="str">
        <f t="array" ref="B2803">iferror(xlookup($I2803, 'IMPORT VHC Report'!$E:$E, 'IMPORT VHC Report'!$A:$C), )</f>
        <v/>
      </c>
      <c r="C2803" s="37"/>
      <c r="D2803" s="37"/>
      <c r="E2803" s="38" t="s">
        <v>3412</v>
      </c>
      <c r="F2803" s="38" t="s">
        <v>3403</v>
      </c>
      <c r="G2803" s="38">
        <v>1.3477715168271E13</v>
      </c>
      <c r="H2803" s="38" t="s">
        <v>3404</v>
      </c>
      <c r="I2803" s="38" t="s">
        <v>3405</v>
      </c>
      <c r="J2803" s="38" t="s">
        <v>136</v>
      </c>
      <c r="K2803" s="38" t="s">
        <v>126</v>
      </c>
      <c r="L2803" s="41">
        <v>46009.583333333336</v>
      </c>
      <c r="M2803" s="38" t="s">
        <v>123</v>
      </c>
      <c r="N2803" s="41">
        <v>46009.62777777778</v>
      </c>
      <c r="O2803" s="38" t="s">
        <v>123</v>
      </c>
      <c r="P2803" s="38">
        <v>3840.0</v>
      </c>
      <c r="Q2803" s="39"/>
      <c r="R2803" s="39"/>
      <c r="S2803" s="38" t="s">
        <v>275</v>
      </c>
      <c r="T2803" s="39"/>
      <c r="U2803" s="39"/>
    </row>
    <row r="2804">
      <c r="A2804" s="40">
        <f t="shared" si="1"/>
        <v>46006</v>
      </c>
      <c r="B2804" s="37" t="str">
        <f t="array" ref="B2804">iferror(xlookup($I2804, 'IMPORT VHC Report'!$E:$E, 'IMPORT VHC Report'!$A:$C), )</f>
        <v/>
      </c>
      <c r="C2804" s="37"/>
      <c r="D2804" s="37"/>
      <c r="E2804" s="38" t="s">
        <v>3413</v>
      </c>
      <c r="F2804" s="38" t="s">
        <v>3403</v>
      </c>
      <c r="G2804" s="38">
        <v>1.3477715168271E13</v>
      </c>
      <c r="H2804" s="38" t="s">
        <v>3404</v>
      </c>
      <c r="I2804" s="38" t="s">
        <v>3405</v>
      </c>
      <c r="J2804" s="38" t="s">
        <v>132</v>
      </c>
      <c r="K2804" s="38" t="s">
        <v>126</v>
      </c>
      <c r="L2804" s="41">
        <v>46009.62777777778</v>
      </c>
      <c r="M2804" s="38" t="s">
        <v>123</v>
      </c>
      <c r="N2804" s="41">
        <v>46009.669444444444</v>
      </c>
      <c r="O2804" s="38" t="s">
        <v>123</v>
      </c>
      <c r="P2804" s="38">
        <v>3600.0</v>
      </c>
      <c r="Q2804" s="39"/>
      <c r="R2804" s="39"/>
      <c r="S2804" s="39"/>
      <c r="T2804" s="39"/>
      <c r="U2804" s="39"/>
    </row>
    <row r="2805">
      <c r="A2805" s="40">
        <f t="shared" si="1"/>
        <v>46006</v>
      </c>
      <c r="B2805" s="37" t="str">
        <f t="array" ref="B2805">iferror(xlookup($I2805, 'IMPORT VHC Report'!$E:$E, 'IMPORT VHC Report'!$A:$C), )</f>
        <v/>
      </c>
      <c r="C2805" s="37"/>
      <c r="D2805" s="37"/>
      <c r="E2805" s="38" t="s">
        <v>3414</v>
      </c>
      <c r="F2805" s="38" t="s">
        <v>3403</v>
      </c>
      <c r="G2805" s="38">
        <v>1.3477715168271E13</v>
      </c>
      <c r="H2805" s="38" t="s">
        <v>3404</v>
      </c>
      <c r="I2805" s="38" t="s">
        <v>3405</v>
      </c>
      <c r="J2805" s="38" t="s">
        <v>4</v>
      </c>
      <c r="K2805" s="38" t="s">
        <v>126</v>
      </c>
      <c r="L2805" s="41">
        <v>46009.67083333333</v>
      </c>
      <c r="M2805" s="38" t="s">
        <v>123</v>
      </c>
      <c r="N2805" s="41">
        <v>46009.7125</v>
      </c>
      <c r="O2805" s="38" t="s">
        <v>123</v>
      </c>
      <c r="P2805" s="38">
        <v>3600.0</v>
      </c>
      <c r="Q2805" s="39"/>
      <c r="R2805" s="39"/>
      <c r="S2805" s="38" t="s">
        <v>130</v>
      </c>
      <c r="T2805" s="39"/>
      <c r="U2805" s="39"/>
    </row>
    <row r="2806">
      <c r="A2806" s="40">
        <f t="shared" si="1"/>
        <v>46006</v>
      </c>
      <c r="B2806" s="37" t="str">
        <f t="array" ref="B2806">iferror(xlookup($I2806, 'IMPORT VHC Report'!$E:$E, 'IMPORT VHC Report'!$A:$C), )</f>
        <v/>
      </c>
      <c r="C2806" s="37"/>
      <c r="D2806" s="37"/>
      <c r="E2806" s="38" t="s">
        <v>3415</v>
      </c>
      <c r="F2806" s="38" t="s">
        <v>3403</v>
      </c>
      <c r="G2806" s="38">
        <v>1.3477715168271E13</v>
      </c>
      <c r="H2806" s="38" t="s">
        <v>3404</v>
      </c>
      <c r="I2806" s="38" t="s">
        <v>3405</v>
      </c>
      <c r="J2806" s="38" t="s">
        <v>125</v>
      </c>
      <c r="K2806" s="38" t="s">
        <v>126</v>
      </c>
      <c r="L2806" s="41">
        <v>46010.416666666664</v>
      </c>
      <c r="M2806" s="38" t="s">
        <v>123</v>
      </c>
      <c r="N2806" s="41">
        <v>46010.42361111111</v>
      </c>
      <c r="O2806" s="38" t="s">
        <v>123</v>
      </c>
      <c r="P2806" s="38">
        <v>600.0</v>
      </c>
      <c r="Q2806" s="39"/>
      <c r="R2806" s="39"/>
      <c r="S2806" s="38" t="s">
        <v>127</v>
      </c>
      <c r="T2806" s="39"/>
      <c r="U2806" s="39"/>
    </row>
    <row r="2807">
      <c r="A2807" s="40">
        <f t="shared" si="1"/>
        <v>46006</v>
      </c>
      <c r="B2807" s="37" t="str">
        <f t="array" ref="B2807">iferror(xlookup($I2807, 'IMPORT VHC Report'!$E:$E, 'IMPORT VHC Report'!$A:$C), )</f>
        <v/>
      </c>
      <c r="C2807" s="37"/>
      <c r="D2807" s="37"/>
      <c r="E2807" s="38" t="s">
        <v>3416</v>
      </c>
      <c r="F2807" s="38" t="s">
        <v>3403</v>
      </c>
      <c r="G2807" s="38">
        <v>1.3477715168271E13</v>
      </c>
      <c r="H2807" s="38" t="s">
        <v>3404</v>
      </c>
      <c r="I2807" s="38" t="s">
        <v>3405</v>
      </c>
      <c r="J2807" s="38" t="s">
        <v>122</v>
      </c>
      <c r="K2807" s="38" t="s">
        <v>63</v>
      </c>
      <c r="L2807" s="41">
        <v>46010.416666666664</v>
      </c>
      <c r="M2807" s="38" t="s">
        <v>123</v>
      </c>
      <c r="N2807" s="41">
        <v>46010.791666666664</v>
      </c>
      <c r="O2807" s="38" t="s">
        <v>123</v>
      </c>
      <c r="P2807" s="38">
        <v>32400.0</v>
      </c>
      <c r="Q2807" s="39"/>
      <c r="R2807" s="39"/>
      <c r="S2807" s="39"/>
      <c r="T2807" s="39"/>
      <c r="U2807" s="39"/>
    </row>
    <row r="2808">
      <c r="A2808" s="40">
        <f t="shared" si="1"/>
        <v>46006</v>
      </c>
      <c r="B2808" s="37" t="str">
        <f t="array" ref="B2808">iferror(xlookup($I2808, 'IMPORT VHC Report'!$E:$E, 'IMPORT VHC Report'!$A:$C), )</f>
        <v/>
      </c>
      <c r="C2808" s="37"/>
      <c r="D2808" s="37"/>
      <c r="E2808" s="38" t="s">
        <v>3417</v>
      </c>
      <c r="F2808" s="38" t="s">
        <v>3403</v>
      </c>
      <c r="G2808" s="38">
        <v>1.3477715168271E13</v>
      </c>
      <c r="H2808" s="38" t="s">
        <v>3404</v>
      </c>
      <c r="I2808" s="38" t="s">
        <v>3405</v>
      </c>
      <c r="J2808" s="38" t="s">
        <v>132</v>
      </c>
      <c r="K2808" s="38" t="s">
        <v>126</v>
      </c>
      <c r="L2808" s="41">
        <v>46010.583333333336</v>
      </c>
      <c r="M2808" s="38" t="s">
        <v>123</v>
      </c>
      <c r="N2808" s="41">
        <v>46010.625</v>
      </c>
      <c r="O2808" s="38" t="s">
        <v>123</v>
      </c>
      <c r="P2808" s="38">
        <v>3600.0</v>
      </c>
      <c r="Q2808" s="39"/>
      <c r="R2808" s="39"/>
      <c r="S2808" s="39"/>
      <c r="T2808" s="39"/>
      <c r="U2808" s="39"/>
    </row>
    <row r="2809">
      <c r="A2809" s="40">
        <f t="shared" si="1"/>
        <v>46006</v>
      </c>
      <c r="B2809" s="37" t="str">
        <f t="array" ref="B2809">iferror(xlookup($I2809, 'IMPORT VHC Report'!$E:$E, 'IMPORT VHC Report'!$A:$C), )</f>
        <v/>
      </c>
      <c r="C2809" s="37"/>
      <c r="D2809" s="37"/>
      <c r="E2809" s="38" t="s">
        <v>3418</v>
      </c>
      <c r="F2809" s="38" t="s">
        <v>3403</v>
      </c>
      <c r="G2809" s="38">
        <v>1.3477715168271E13</v>
      </c>
      <c r="H2809" s="38" t="s">
        <v>3404</v>
      </c>
      <c r="I2809" s="38" t="s">
        <v>3405</v>
      </c>
      <c r="J2809" s="38" t="s">
        <v>134</v>
      </c>
      <c r="K2809" s="38" t="s">
        <v>126</v>
      </c>
      <c r="L2809" s="41">
        <v>46010.708333333336</v>
      </c>
      <c r="M2809" s="38" t="s">
        <v>123</v>
      </c>
      <c r="N2809" s="41">
        <v>46010.729166666664</v>
      </c>
      <c r="O2809" s="38" t="s">
        <v>123</v>
      </c>
      <c r="P2809" s="38">
        <v>1800.0</v>
      </c>
      <c r="Q2809" s="39"/>
      <c r="R2809" s="39"/>
      <c r="S2809" s="39"/>
      <c r="T2809" s="39"/>
      <c r="U2809" s="39"/>
    </row>
    <row r="2810">
      <c r="A2810" s="40">
        <f t="shared" si="1"/>
        <v>46006</v>
      </c>
      <c r="B2810" s="37" t="str">
        <f t="array" ref="B2810">iferror(xlookup($I2810, 'IMPORT VHC Report'!$E:$E, 'IMPORT VHC Report'!$A:$C), )</f>
        <v/>
      </c>
      <c r="C2810" s="37"/>
      <c r="D2810" s="37"/>
      <c r="E2810" s="38" t="s">
        <v>3419</v>
      </c>
      <c r="F2810" s="38" t="s">
        <v>3403</v>
      </c>
      <c r="G2810" s="38">
        <v>1.3477715168271E13</v>
      </c>
      <c r="H2810" s="38" t="s">
        <v>3404</v>
      </c>
      <c r="I2810" s="38" t="s">
        <v>3405</v>
      </c>
      <c r="J2810" s="38" t="s">
        <v>125</v>
      </c>
      <c r="K2810" s="38" t="s">
        <v>126</v>
      </c>
      <c r="L2810" s="41">
        <v>46011.416666666664</v>
      </c>
      <c r="M2810" s="38" t="s">
        <v>123</v>
      </c>
      <c r="N2810" s="41">
        <v>46011.42361111111</v>
      </c>
      <c r="O2810" s="38" t="s">
        <v>123</v>
      </c>
      <c r="P2810" s="38">
        <v>600.0</v>
      </c>
      <c r="Q2810" s="39"/>
      <c r="R2810" s="39"/>
      <c r="S2810" s="38" t="s">
        <v>127</v>
      </c>
      <c r="T2810" s="39"/>
      <c r="U2810" s="39"/>
    </row>
    <row r="2811">
      <c r="A2811" s="40">
        <f t="shared" si="1"/>
        <v>46006</v>
      </c>
      <c r="B2811" s="37" t="str">
        <f t="array" ref="B2811">iferror(xlookup($I2811, 'IMPORT VHC Report'!$E:$E, 'IMPORT VHC Report'!$A:$C), )</f>
        <v/>
      </c>
      <c r="C2811" s="37"/>
      <c r="D2811" s="37"/>
      <c r="E2811" s="38" t="s">
        <v>3420</v>
      </c>
      <c r="F2811" s="38" t="s">
        <v>3403</v>
      </c>
      <c r="G2811" s="38">
        <v>1.3477715168271E13</v>
      </c>
      <c r="H2811" s="38" t="s">
        <v>3404</v>
      </c>
      <c r="I2811" s="38" t="s">
        <v>3405</v>
      </c>
      <c r="J2811" s="38" t="s">
        <v>122</v>
      </c>
      <c r="K2811" s="38" t="s">
        <v>63</v>
      </c>
      <c r="L2811" s="41">
        <v>46011.416666666664</v>
      </c>
      <c r="M2811" s="38" t="s">
        <v>123</v>
      </c>
      <c r="N2811" s="41">
        <v>46011.791666666664</v>
      </c>
      <c r="O2811" s="38" t="s">
        <v>123</v>
      </c>
      <c r="P2811" s="38">
        <v>32400.0</v>
      </c>
      <c r="Q2811" s="39"/>
      <c r="R2811" s="39"/>
      <c r="S2811" s="39"/>
      <c r="T2811" s="39"/>
      <c r="U2811" s="39"/>
    </row>
    <row r="2812">
      <c r="A2812" s="40">
        <f t="shared" si="1"/>
        <v>46006</v>
      </c>
      <c r="B2812" s="37" t="str">
        <f t="array" ref="B2812">iferror(xlookup($I2812, 'IMPORT VHC Report'!$E:$E, 'IMPORT VHC Report'!$A:$C), )</f>
        <v/>
      </c>
      <c r="C2812" s="37"/>
      <c r="D2812" s="37"/>
      <c r="E2812" s="38" t="s">
        <v>3421</v>
      </c>
      <c r="F2812" s="38" t="s">
        <v>3403</v>
      </c>
      <c r="G2812" s="38">
        <v>1.3477715168271E13</v>
      </c>
      <c r="H2812" s="38" t="s">
        <v>3404</v>
      </c>
      <c r="I2812" s="38" t="s">
        <v>3405</v>
      </c>
      <c r="J2812" s="38" t="s">
        <v>132</v>
      </c>
      <c r="K2812" s="38" t="s">
        <v>126</v>
      </c>
      <c r="L2812" s="41">
        <v>46011.5</v>
      </c>
      <c r="M2812" s="38" t="s">
        <v>123</v>
      </c>
      <c r="N2812" s="41">
        <v>46011.541666666664</v>
      </c>
      <c r="O2812" s="38" t="s">
        <v>123</v>
      </c>
      <c r="P2812" s="38">
        <v>3600.0</v>
      </c>
      <c r="Q2812" s="39"/>
      <c r="R2812" s="39"/>
      <c r="S2812" s="39"/>
      <c r="T2812" s="39"/>
      <c r="U2812" s="39"/>
    </row>
    <row r="2813">
      <c r="A2813" s="40">
        <f t="shared" si="1"/>
        <v>46006</v>
      </c>
      <c r="B2813" s="37" t="str">
        <f t="array" ref="B2813">iferror(xlookup($I2813, 'IMPORT VHC Report'!$E:$E, 'IMPORT VHC Report'!$A:$C), )</f>
        <v/>
      </c>
      <c r="C2813" s="37"/>
      <c r="D2813" s="37"/>
      <c r="E2813" s="38" t="s">
        <v>3422</v>
      </c>
      <c r="F2813" s="38" t="s">
        <v>3403</v>
      </c>
      <c r="G2813" s="38">
        <v>1.3477715168271E13</v>
      </c>
      <c r="H2813" s="38" t="s">
        <v>3404</v>
      </c>
      <c r="I2813" s="38" t="s">
        <v>3405</v>
      </c>
      <c r="J2813" s="38" t="s">
        <v>134</v>
      </c>
      <c r="K2813" s="38" t="s">
        <v>126</v>
      </c>
      <c r="L2813" s="41">
        <v>46011.635416666664</v>
      </c>
      <c r="M2813" s="38" t="s">
        <v>123</v>
      </c>
      <c r="N2813" s="41">
        <v>46011.65625</v>
      </c>
      <c r="O2813" s="38" t="s">
        <v>123</v>
      </c>
      <c r="P2813" s="38">
        <v>1800.0</v>
      </c>
      <c r="Q2813" s="39"/>
      <c r="R2813" s="39"/>
      <c r="S2813" s="39"/>
      <c r="T2813" s="39"/>
      <c r="U2813" s="39"/>
    </row>
    <row r="2814">
      <c r="A2814" s="40">
        <f t="shared" si="1"/>
        <v>46006</v>
      </c>
      <c r="B2814" s="37" t="str">
        <f t="array" ref="B2814">iferror(xlookup($I2814, 'IMPORT VHC Report'!$E:$E, 'IMPORT VHC Report'!$A:$C), )</f>
        <v/>
      </c>
      <c r="C2814" s="37"/>
      <c r="D2814" s="37"/>
      <c r="E2814" s="38" t="s">
        <v>3423</v>
      </c>
      <c r="F2814" s="38" t="s">
        <v>3403</v>
      </c>
      <c r="G2814" s="38">
        <v>1.3477715168271E13</v>
      </c>
      <c r="H2814" s="38" t="s">
        <v>3404</v>
      </c>
      <c r="I2814" s="38" t="s">
        <v>3405</v>
      </c>
      <c r="J2814" s="38" t="s">
        <v>125</v>
      </c>
      <c r="K2814" s="38" t="s">
        <v>126</v>
      </c>
      <c r="L2814" s="41">
        <v>46012.416666666664</v>
      </c>
      <c r="M2814" s="38" t="s">
        <v>123</v>
      </c>
      <c r="N2814" s="41">
        <v>46012.42361111111</v>
      </c>
      <c r="O2814" s="38" t="s">
        <v>123</v>
      </c>
      <c r="P2814" s="38">
        <v>600.0</v>
      </c>
      <c r="Q2814" s="39"/>
      <c r="R2814" s="39"/>
      <c r="S2814" s="38" t="s">
        <v>127</v>
      </c>
      <c r="T2814" s="39"/>
      <c r="U2814" s="39"/>
    </row>
    <row r="2815">
      <c r="A2815" s="40">
        <f t="shared" si="1"/>
        <v>46006</v>
      </c>
      <c r="B2815" s="37" t="str">
        <f t="array" ref="B2815">iferror(xlookup($I2815, 'IMPORT VHC Report'!$E:$E, 'IMPORT VHC Report'!$A:$C), )</f>
        <v/>
      </c>
      <c r="C2815" s="37"/>
      <c r="D2815" s="37"/>
      <c r="E2815" s="38" t="s">
        <v>3424</v>
      </c>
      <c r="F2815" s="38" t="s">
        <v>3403</v>
      </c>
      <c r="G2815" s="38">
        <v>1.3477715168271E13</v>
      </c>
      <c r="H2815" s="38" t="s">
        <v>3404</v>
      </c>
      <c r="I2815" s="38" t="s">
        <v>3405</v>
      </c>
      <c r="J2815" s="38" t="s">
        <v>122</v>
      </c>
      <c r="K2815" s="38" t="s">
        <v>63</v>
      </c>
      <c r="L2815" s="41">
        <v>46012.416666666664</v>
      </c>
      <c r="M2815" s="38" t="s">
        <v>123</v>
      </c>
      <c r="N2815" s="41">
        <v>46012.80902777778</v>
      </c>
      <c r="O2815" s="38" t="s">
        <v>123</v>
      </c>
      <c r="P2815" s="38">
        <v>33900.0</v>
      </c>
      <c r="Q2815" s="39"/>
      <c r="R2815" s="39"/>
      <c r="S2815" s="38" t="s">
        <v>3425</v>
      </c>
      <c r="T2815" s="39"/>
      <c r="U2815" s="39"/>
    </row>
    <row r="2816">
      <c r="A2816" s="40">
        <f t="shared" si="1"/>
        <v>46006</v>
      </c>
      <c r="B2816" s="37" t="str">
        <f t="array" ref="B2816">iferror(xlookup($I2816, 'IMPORT VHC Report'!$E:$E, 'IMPORT VHC Report'!$A:$C), )</f>
        <v/>
      </c>
      <c r="C2816" s="37"/>
      <c r="D2816" s="37"/>
      <c r="E2816" s="38" t="s">
        <v>3426</v>
      </c>
      <c r="F2816" s="38" t="s">
        <v>3403</v>
      </c>
      <c r="G2816" s="38">
        <v>1.3477715168271E13</v>
      </c>
      <c r="H2816" s="38" t="s">
        <v>3404</v>
      </c>
      <c r="I2816" s="38" t="s">
        <v>3405</v>
      </c>
      <c r="J2816" s="38" t="s">
        <v>125</v>
      </c>
      <c r="K2816" s="38" t="s">
        <v>126</v>
      </c>
      <c r="L2816" s="41">
        <v>46012.42361111111</v>
      </c>
      <c r="M2816" s="38" t="s">
        <v>123</v>
      </c>
      <c r="N2816" s="41">
        <v>46012.42569444444</v>
      </c>
      <c r="O2816" s="38" t="s">
        <v>123</v>
      </c>
      <c r="P2816" s="38">
        <v>180.0</v>
      </c>
      <c r="Q2816" s="39"/>
      <c r="R2816" s="39"/>
      <c r="S2816" s="38" t="s">
        <v>3427</v>
      </c>
      <c r="T2816" s="39"/>
      <c r="U2816" s="39"/>
    </row>
    <row r="2817">
      <c r="A2817" s="40">
        <f t="shared" si="1"/>
        <v>46006</v>
      </c>
      <c r="B2817" s="37" t="str">
        <f t="array" ref="B2817">iferror(xlookup($I2817, 'IMPORT VHC Report'!$E:$E, 'IMPORT VHC Report'!$A:$C), )</f>
        <v/>
      </c>
      <c r="C2817" s="37"/>
      <c r="D2817" s="37"/>
      <c r="E2817" s="38" t="s">
        <v>3428</v>
      </c>
      <c r="F2817" s="38" t="s">
        <v>3403</v>
      </c>
      <c r="G2817" s="38">
        <v>1.3477715168271E13</v>
      </c>
      <c r="H2817" s="38" t="s">
        <v>3404</v>
      </c>
      <c r="I2817" s="38" t="s">
        <v>3405</v>
      </c>
      <c r="J2817" s="38" t="s">
        <v>132</v>
      </c>
      <c r="K2817" s="38" t="s">
        <v>126</v>
      </c>
      <c r="L2817" s="41">
        <v>46012.513194444444</v>
      </c>
      <c r="M2817" s="38" t="s">
        <v>123</v>
      </c>
      <c r="N2817" s="41">
        <v>46012.527083333334</v>
      </c>
      <c r="O2817" s="38" t="s">
        <v>123</v>
      </c>
      <c r="P2817" s="38">
        <v>1200.0</v>
      </c>
      <c r="Q2817" s="39"/>
      <c r="R2817" s="39"/>
      <c r="S2817" s="38" t="s">
        <v>3429</v>
      </c>
      <c r="T2817" s="39"/>
      <c r="U2817" s="39"/>
    </row>
    <row r="2818">
      <c r="A2818" s="40">
        <f t="shared" si="1"/>
        <v>46006</v>
      </c>
      <c r="B2818" s="37" t="str">
        <f t="array" ref="B2818">iferror(xlookup($I2818, 'IMPORT VHC Report'!$E:$E, 'IMPORT VHC Report'!$A:$C), )</f>
        <v/>
      </c>
      <c r="C2818" s="37"/>
      <c r="D2818" s="37"/>
      <c r="E2818" s="38" t="s">
        <v>3430</v>
      </c>
      <c r="F2818" s="38" t="s">
        <v>3403</v>
      </c>
      <c r="G2818" s="38">
        <v>1.3477715168271E13</v>
      </c>
      <c r="H2818" s="38" t="s">
        <v>3404</v>
      </c>
      <c r="I2818" s="38" t="s">
        <v>3405</v>
      </c>
      <c r="J2818" s="38" t="s">
        <v>132</v>
      </c>
      <c r="K2818" s="38" t="s">
        <v>126</v>
      </c>
      <c r="L2818" s="41">
        <v>46012.555555555555</v>
      </c>
      <c r="M2818" s="38" t="s">
        <v>123</v>
      </c>
      <c r="N2818" s="41">
        <v>46012.583333333336</v>
      </c>
      <c r="O2818" s="38" t="s">
        <v>123</v>
      </c>
      <c r="P2818" s="38">
        <v>2400.0</v>
      </c>
      <c r="Q2818" s="39"/>
      <c r="R2818" s="39"/>
      <c r="S2818" s="39"/>
      <c r="T2818" s="39"/>
      <c r="U2818" s="39"/>
    </row>
    <row r="2819">
      <c r="A2819" s="40">
        <f t="shared" si="1"/>
        <v>46006</v>
      </c>
      <c r="B2819" s="37" t="str">
        <f t="array" ref="B2819">iferror(xlookup($I2819, 'IMPORT VHC Report'!$E:$E, 'IMPORT VHC Report'!$A:$C), )</f>
        <v/>
      </c>
      <c r="C2819" s="37"/>
      <c r="D2819" s="37"/>
      <c r="E2819" s="38" t="s">
        <v>3431</v>
      </c>
      <c r="F2819" s="38" t="s">
        <v>3403</v>
      </c>
      <c r="G2819" s="38">
        <v>1.3477715168271E13</v>
      </c>
      <c r="H2819" s="38" t="s">
        <v>3404</v>
      </c>
      <c r="I2819" s="38" t="s">
        <v>3405</v>
      </c>
      <c r="J2819" s="38" t="s">
        <v>134</v>
      </c>
      <c r="K2819" s="38" t="s">
        <v>126</v>
      </c>
      <c r="L2819" s="41">
        <v>46012.677083333336</v>
      </c>
      <c r="M2819" s="38" t="s">
        <v>123</v>
      </c>
      <c r="N2819" s="41">
        <v>46012.697916666664</v>
      </c>
      <c r="O2819" s="38" t="s">
        <v>123</v>
      </c>
      <c r="P2819" s="38">
        <v>1800.0</v>
      </c>
      <c r="Q2819" s="39"/>
      <c r="R2819" s="39"/>
      <c r="S2819" s="39"/>
      <c r="T2819" s="39"/>
      <c r="U2819" s="39"/>
    </row>
    <row r="2820">
      <c r="A2820" s="40">
        <f t="shared" si="1"/>
        <v>46006</v>
      </c>
      <c r="B2820" s="37" t="str">
        <f t="array" ref="B2820">iferror(xlookup($I2820, 'IMPORT VHC Report'!$E:$E, 'IMPORT VHC Report'!$A:$C), )</f>
        <v/>
      </c>
      <c r="C2820" s="37"/>
      <c r="D2820" s="37"/>
      <c r="E2820" s="38" t="s">
        <v>3432</v>
      </c>
      <c r="F2820" s="38" t="s">
        <v>3403</v>
      </c>
      <c r="G2820" s="38">
        <v>1.3477715168271E13</v>
      </c>
      <c r="H2820" s="38" t="s">
        <v>3404</v>
      </c>
      <c r="I2820" s="38" t="s">
        <v>3405</v>
      </c>
      <c r="J2820" s="38" t="s">
        <v>125</v>
      </c>
      <c r="K2820" s="38" t="s">
        <v>126</v>
      </c>
      <c r="L2820" s="41">
        <v>46012.697916666664</v>
      </c>
      <c r="M2820" s="38" t="s">
        <v>123</v>
      </c>
      <c r="N2820" s="41">
        <v>46012.71319444444</v>
      </c>
      <c r="O2820" s="38" t="s">
        <v>123</v>
      </c>
      <c r="P2820" s="38">
        <v>1320.0</v>
      </c>
      <c r="Q2820" s="39"/>
      <c r="R2820" s="39"/>
      <c r="S2820" s="38" t="s">
        <v>3427</v>
      </c>
      <c r="T2820" s="39"/>
      <c r="U2820" s="39"/>
    </row>
    <row r="2821">
      <c r="A2821" s="40">
        <f t="shared" si="1"/>
        <v>46006</v>
      </c>
      <c r="B2821" s="37" t="str">
        <f t="array" ref="B2821">iferror(xlookup($I2821, 'IMPORT VHC Report'!$E:$E, 'IMPORT VHC Report'!$A:$C), )</f>
        <v/>
      </c>
      <c r="C2821" s="37"/>
      <c r="D2821" s="37"/>
      <c r="E2821" s="38" t="s">
        <v>3433</v>
      </c>
      <c r="F2821" s="38" t="s">
        <v>3434</v>
      </c>
      <c r="G2821" s="38">
        <v>1.0333050571535E13</v>
      </c>
      <c r="H2821" s="38" t="s">
        <v>3435</v>
      </c>
      <c r="I2821" s="38" t="s">
        <v>3436</v>
      </c>
      <c r="J2821" s="38" t="s">
        <v>125</v>
      </c>
      <c r="K2821" s="38" t="s">
        <v>126</v>
      </c>
      <c r="L2821" s="41">
        <v>46006.416666666664</v>
      </c>
      <c r="M2821" s="38" t="s">
        <v>123</v>
      </c>
      <c r="N2821" s="41">
        <v>46006.427083333336</v>
      </c>
      <c r="O2821" s="38" t="s">
        <v>123</v>
      </c>
      <c r="P2821" s="38">
        <v>900.0</v>
      </c>
      <c r="Q2821" s="39"/>
      <c r="R2821" s="39"/>
      <c r="S2821" s="38" t="s">
        <v>199</v>
      </c>
      <c r="T2821" s="39"/>
      <c r="U2821" s="39"/>
    </row>
    <row r="2822">
      <c r="A2822" s="40">
        <f t="shared" si="1"/>
        <v>46006</v>
      </c>
      <c r="B2822" s="37" t="str">
        <f t="array" ref="B2822">iferror(xlookup($I2822, 'IMPORT VHC Report'!$E:$E, 'IMPORT VHC Report'!$A:$C), )</f>
        <v/>
      </c>
      <c r="C2822" s="37"/>
      <c r="D2822" s="37"/>
      <c r="E2822" s="38" t="s">
        <v>3437</v>
      </c>
      <c r="F2822" s="38" t="s">
        <v>3434</v>
      </c>
      <c r="G2822" s="38">
        <v>1.0333050571535E13</v>
      </c>
      <c r="H2822" s="38" t="s">
        <v>3435</v>
      </c>
      <c r="I2822" s="38" t="s">
        <v>3436</v>
      </c>
      <c r="J2822" s="38" t="s">
        <v>196</v>
      </c>
      <c r="K2822" s="38" t="s">
        <v>63</v>
      </c>
      <c r="L2822" s="41">
        <v>46006.416666666664</v>
      </c>
      <c r="M2822" s="38" t="s">
        <v>123</v>
      </c>
      <c r="N2822" s="41">
        <v>46006.791666666664</v>
      </c>
      <c r="O2822" s="38" t="s">
        <v>123</v>
      </c>
      <c r="P2822" s="38">
        <v>32400.0</v>
      </c>
      <c r="Q2822" s="39"/>
      <c r="R2822" s="39"/>
      <c r="S2822" s="39"/>
      <c r="T2822" s="39"/>
      <c r="U2822" s="39"/>
    </row>
    <row r="2823">
      <c r="A2823" s="40">
        <f t="shared" si="1"/>
        <v>46006</v>
      </c>
      <c r="B2823" s="37" t="str">
        <f t="array" ref="B2823">iferror(xlookup($I2823, 'IMPORT VHC Report'!$E:$E, 'IMPORT VHC Report'!$A:$C), )</f>
        <v/>
      </c>
      <c r="C2823" s="37"/>
      <c r="D2823" s="37"/>
      <c r="E2823" s="38" t="s">
        <v>3438</v>
      </c>
      <c r="F2823" s="38" t="s">
        <v>3434</v>
      </c>
      <c r="G2823" s="38">
        <v>1.0333050571535E13</v>
      </c>
      <c r="H2823" s="38" t="s">
        <v>3435</v>
      </c>
      <c r="I2823" s="38" t="s">
        <v>3436</v>
      </c>
      <c r="J2823" s="38" t="s">
        <v>132</v>
      </c>
      <c r="K2823" s="38" t="s">
        <v>126</v>
      </c>
      <c r="L2823" s="41">
        <v>46006.541666666664</v>
      </c>
      <c r="M2823" s="38" t="s">
        <v>123</v>
      </c>
      <c r="N2823" s="41">
        <v>46006.583333333336</v>
      </c>
      <c r="O2823" s="38" t="s">
        <v>123</v>
      </c>
      <c r="P2823" s="38">
        <v>3600.0</v>
      </c>
      <c r="Q2823" s="39"/>
      <c r="R2823" s="39"/>
      <c r="S2823" s="39"/>
      <c r="T2823" s="39"/>
      <c r="U2823" s="39"/>
    </row>
    <row r="2824">
      <c r="A2824" s="40">
        <f t="shared" si="1"/>
        <v>46006</v>
      </c>
      <c r="B2824" s="37" t="str">
        <f t="array" ref="B2824">iferror(xlookup($I2824, 'IMPORT VHC Report'!$E:$E, 'IMPORT VHC Report'!$A:$C), )</f>
        <v/>
      </c>
      <c r="C2824" s="37"/>
      <c r="D2824" s="37"/>
      <c r="E2824" s="38" t="s">
        <v>3439</v>
      </c>
      <c r="F2824" s="38" t="s">
        <v>3434</v>
      </c>
      <c r="G2824" s="38">
        <v>1.0333050571535E13</v>
      </c>
      <c r="H2824" s="38" t="s">
        <v>3435</v>
      </c>
      <c r="I2824" s="38" t="s">
        <v>3436</v>
      </c>
      <c r="J2824" s="38" t="s">
        <v>134</v>
      </c>
      <c r="K2824" s="38" t="s">
        <v>126</v>
      </c>
      <c r="L2824" s="41">
        <v>46006.6875</v>
      </c>
      <c r="M2824" s="38" t="s">
        <v>123</v>
      </c>
      <c r="N2824" s="41">
        <v>46006.708333333336</v>
      </c>
      <c r="O2824" s="38" t="s">
        <v>123</v>
      </c>
      <c r="P2824" s="38">
        <v>1800.0</v>
      </c>
      <c r="Q2824" s="39"/>
      <c r="R2824" s="39"/>
      <c r="S2824" s="39"/>
      <c r="T2824" s="39"/>
      <c r="U2824" s="39"/>
    </row>
    <row r="2825">
      <c r="A2825" s="40">
        <f t="shared" si="1"/>
        <v>46006</v>
      </c>
      <c r="B2825" s="37" t="str">
        <f t="array" ref="B2825">iferror(xlookup($I2825, 'IMPORT VHC Report'!$E:$E, 'IMPORT VHC Report'!$A:$C), )</f>
        <v/>
      </c>
      <c r="C2825" s="37"/>
      <c r="D2825" s="37"/>
      <c r="E2825" s="38" t="s">
        <v>3440</v>
      </c>
      <c r="F2825" s="38" t="s">
        <v>3434</v>
      </c>
      <c r="G2825" s="38">
        <v>1.0333050571535E13</v>
      </c>
      <c r="H2825" s="38" t="s">
        <v>3435</v>
      </c>
      <c r="I2825" s="38" t="s">
        <v>3436</v>
      </c>
      <c r="J2825" s="38" t="s">
        <v>125</v>
      </c>
      <c r="K2825" s="38" t="s">
        <v>126</v>
      </c>
      <c r="L2825" s="41">
        <v>46007.416666666664</v>
      </c>
      <c r="M2825" s="38" t="s">
        <v>123</v>
      </c>
      <c r="N2825" s="41">
        <v>46007.427083333336</v>
      </c>
      <c r="O2825" s="38" t="s">
        <v>123</v>
      </c>
      <c r="P2825" s="38">
        <v>900.0</v>
      </c>
      <c r="Q2825" s="39"/>
      <c r="R2825" s="39"/>
      <c r="S2825" s="38" t="s">
        <v>199</v>
      </c>
      <c r="T2825" s="39"/>
      <c r="U2825" s="39"/>
    </row>
    <row r="2826">
      <c r="A2826" s="40">
        <f t="shared" si="1"/>
        <v>46006</v>
      </c>
      <c r="B2826" s="37" t="str">
        <f t="array" ref="B2826">iferror(xlookup($I2826, 'IMPORT VHC Report'!$E:$E, 'IMPORT VHC Report'!$A:$C), )</f>
        <v/>
      </c>
      <c r="C2826" s="37"/>
      <c r="D2826" s="37"/>
      <c r="E2826" s="38" t="s">
        <v>3441</v>
      </c>
      <c r="F2826" s="38" t="s">
        <v>3434</v>
      </c>
      <c r="G2826" s="38">
        <v>1.0333050571535E13</v>
      </c>
      <c r="H2826" s="38" t="s">
        <v>3435</v>
      </c>
      <c r="I2826" s="38" t="s">
        <v>3436</v>
      </c>
      <c r="J2826" s="38" t="s">
        <v>196</v>
      </c>
      <c r="K2826" s="38" t="s">
        <v>63</v>
      </c>
      <c r="L2826" s="41">
        <v>46007.416666666664</v>
      </c>
      <c r="M2826" s="38" t="s">
        <v>123</v>
      </c>
      <c r="N2826" s="41">
        <v>46007.791666666664</v>
      </c>
      <c r="O2826" s="38" t="s">
        <v>123</v>
      </c>
      <c r="P2826" s="38">
        <v>32400.0</v>
      </c>
      <c r="Q2826" s="39"/>
      <c r="R2826" s="39"/>
      <c r="S2826" s="39"/>
      <c r="T2826" s="39"/>
      <c r="U2826" s="39"/>
    </row>
    <row r="2827">
      <c r="A2827" s="40">
        <f t="shared" si="1"/>
        <v>46006</v>
      </c>
      <c r="B2827" s="37" t="str">
        <f t="array" ref="B2827">iferror(xlookup($I2827, 'IMPORT VHC Report'!$E:$E, 'IMPORT VHC Report'!$A:$C), )</f>
        <v/>
      </c>
      <c r="C2827" s="37"/>
      <c r="D2827" s="37"/>
      <c r="E2827" s="38" t="s">
        <v>3442</v>
      </c>
      <c r="F2827" s="38" t="s">
        <v>3434</v>
      </c>
      <c r="G2827" s="38">
        <v>1.0333050571535E13</v>
      </c>
      <c r="H2827" s="38" t="s">
        <v>3435</v>
      </c>
      <c r="I2827" s="38" t="s">
        <v>3436</v>
      </c>
      <c r="J2827" s="38" t="s">
        <v>132</v>
      </c>
      <c r="K2827" s="38" t="s">
        <v>126</v>
      </c>
      <c r="L2827" s="41">
        <v>46007.541666666664</v>
      </c>
      <c r="M2827" s="38" t="s">
        <v>123</v>
      </c>
      <c r="N2827" s="41">
        <v>46007.583333333336</v>
      </c>
      <c r="O2827" s="38" t="s">
        <v>123</v>
      </c>
      <c r="P2827" s="38">
        <v>3600.0</v>
      </c>
      <c r="Q2827" s="39"/>
      <c r="R2827" s="39"/>
      <c r="S2827" s="39"/>
      <c r="T2827" s="39"/>
      <c r="U2827" s="39"/>
    </row>
    <row r="2828">
      <c r="A2828" s="40">
        <f t="shared" si="1"/>
        <v>46006</v>
      </c>
      <c r="B2828" s="37" t="str">
        <f t="array" ref="B2828">iferror(xlookup($I2828, 'IMPORT VHC Report'!$E:$E, 'IMPORT VHC Report'!$A:$C), )</f>
        <v/>
      </c>
      <c r="C2828" s="37"/>
      <c r="D2828" s="37"/>
      <c r="E2828" s="38" t="s">
        <v>3443</v>
      </c>
      <c r="F2828" s="38" t="s">
        <v>3434</v>
      </c>
      <c r="G2828" s="38">
        <v>1.0333050571535E13</v>
      </c>
      <c r="H2828" s="38" t="s">
        <v>3435</v>
      </c>
      <c r="I2828" s="38" t="s">
        <v>3436</v>
      </c>
      <c r="J2828" s="38" t="s">
        <v>134</v>
      </c>
      <c r="K2828" s="38" t="s">
        <v>126</v>
      </c>
      <c r="L2828" s="41">
        <v>46007.708333333336</v>
      </c>
      <c r="M2828" s="38" t="s">
        <v>123</v>
      </c>
      <c r="N2828" s="41">
        <v>46007.729166666664</v>
      </c>
      <c r="O2828" s="38" t="s">
        <v>123</v>
      </c>
      <c r="P2828" s="38">
        <v>1800.0</v>
      </c>
      <c r="Q2828" s="39"/>
      <c r="R2828" s="39"/>
      <c r="S2828" s="39"/>
      <c r="T2828" s="39"/>
      <c r="U2828" s="39"/>
    </row>
    <row r="2829">
      <c r="A2829" s="40">
        <f t="shared" si="1"/>
        <v>46006</v>
      </c>
      <c r="B2829" s="37" t="str">
        <f t="array" ref="B2829">iferror(xlookup($I2829, 'IMPORT VHC Report'!$E:$E, 'IMPORT VHC Report'!$A:$C), )</f>
        <v/>
      </c>
      <c r="C2829" s="37"/>
      <c r="D2829" s="37"/>
      <c r="E2829" s="38" t="s">
        <v>3444</v>
      </c>
      <c r="F2829" s="38" t="s">
        <v>3434</v>
      </c>
      <c r="G2829" s="38">
        <v>1.0333050571535E13</v>
      </c>
      <c r="H2829" s="38" t="s">
        <v>3435</v>
      </c>
      <c r="I2829" s="38" t="s">
        <v>3436</v>
      </c>
      <c r="J2829" s="38" t="s">
        <v>125</v>
      </c>
      <c r="K2829" s="38" t="s">
        <v>126</v>
      </c>
      <c r="L2829" s="41">
        <v>46008.416666666664</v>
      </c>
      <c r="M2829" s="38" t="s">
        <v>123</v>
      </c>
      <c r="N2829" s="41">
        <v>46008.430555555555</v>
      </c>
      <c r="O2829" s="38" t="s">
        <v>123</v>
      </c>
      <c r="P2829" s="38">
        <v>1200.0</v>
      </c>
      <c r="Q2829" s="39"/>
      <c r="R2829" s="39"/>
      <c r="S2829" s="38" t="s">
        <v>199</v>
      </c>
      <c r="T2829" s="39"/>
      <c r="U2829" s="39"/>
    </row>
    <row r="2830">
      <c r="A2830" s="40">
        <f t="shared" si="1"/>
        <v>46006</v>
      </c>
      <c r="B2830" s="37" t="str">
        <f t="array" ref="B2830">iferror(xlookup($I2830, 'IMPORT VHC Report'!$E:$E, 'IMPORT VHC Report'!$A:$C), )</f>
        <v/>
      </c>
      <c r="C2830" s="37"/>
      <c r="D2830" s="37"/>
      <c r="E2830" s="38" t="s">
        <v>3445</v>
      </c>
      <c r="F2830" s="38" t="s">
        <v>3434</v>
      </c>
      <c r="G2830" s="38">
        <v>1.0333050571535E13</v>
      </c>
      <c r="H2830" s="38" t="s">
        <v>3435</v>
      </c>
      <c r="I2830" s="38" t="s">
        <v>3436</v>
      </c>
      <c r="J2830" s="38" t="s">
        <v>196</v>
      </c>
      <c r="K2830" s="38" t="s">
        <v>63</v>
      </c>
      <c r="L2830" s="41">
        <v>46008.416666666664</v>
      </c>
      <c r="M2830" s="38" t="s">
        <v>123</v>
      </c>
      <c r="N2830" s="41">
        <v>46008.791666666664</v>
      </c>
      <c r="O2830" s="38" t="s">
        <v>123</v>
      </c>
      <c r="P2830" s="38">
        <v>32400.0</v>
      </c>
      <c r="Q2830" s="39"/>
      <c r="R2830" s="39"/>
      <c r="S2830" s="39"/>
      <c r="T2830" s="39"/>
      <c r="U2830" s="39"/>
    </row>
    <row r="2831">
      <c r="A2831" s="40">
        <f t="shared" si="1"/>
        <v>46006</v>
      </c>
      <c r="B2831" s="37" t="str">
        <f t="array" ref="B2831">iferror(xlookup($I2831, 'IMPORT VHC Report'!$E:$E, 'IMPORT VHC Report'!$A:$C), )</f>
        <v/>
      </c>
      <c r="C2831" s="37"/>
      <c r="D2831" s="37"/>
      <c r="E2831" s="38" t="s">
        <v>3446</v>
      </c>
      <c r="F2831" s="38" t="s">
        <v>3434</v>
      </c>
      <c r="G2831" s="38">
        <v>1.0333050571535E13</v>
      </c>
      <c r="H2831" s="38" t="s">
        <v>3435</v>
      </c>
      <c r="I2831" s="38" t="s">
        <v>3436</v>
      </c>
      <c r="J2831" s="38" t="s">
        <v>4</v>
      </c>
      <c r="K2831" s="38" t="s">
        <v>126</v>
      </c>
      <c r="L2831" s="41">
        <v>46008.479166666664</v>
      </c>
      <c r="M2831" s="38" t="s">
        <v>123</v>
      </c>
      <c r="N2831" s="41">
        <v>46008.520833333336</v>
      </c>
      <c r="O2831" s="38" t="s">
        <v>123</v>
      </c>
      <c r="P2831" s="38">
        <v>3600.0</v>
      </c>
      <c r="Q2831" s="39"/>
      <c r="R2831" s="39"/>
      <c r="S2831" s="38" t="s">
        <v>858</v>
      </c>
      <c r="T2831" s="39"/>
      <c r="U2831" s="39"/>
    </row>
    <row r="2832">
      <c r="A2832" s="40">
        <f t="shared" si="1"/>
        <v>46006</v>
      </c>
      <c r="B2832" s="37" t="str">
        <f t="array" ref="B2832">iferror(xlookup($I2832, 'IMPORT VHC Report'!$E:$E, 'IMPORT VHC Report'!$A:$C), )</f>
        <v/>
      </c>
      <c r="C2832" s="37"/>
      <c r="D2832" s="37"/>
      <c r="E2832" s="38" t="s">
        <v>3447</v>
      </c>
      <c r="F2832" s="38" t="s">
        <v>3434</v>
      </c>
      <c r="G2832" s="38">
        <v>1.0333050571535E13</v>
      </c>
      <c r="H2832" s="38" t="s">
        <v>3435</v>
      </c>
      <c r="I2832" s="38" t="s">
        <v>3436</v>
      </c>
      <c r="J2832" s="38" t="s">
        <v>134</v>
      </c>
      <c r="K2832" s="38" t="s">
        <v>126</v>
      </c>
      <c r="L2832" s="41">
        <v>46008.520833333336</v>
      </c>
      <c r="M2832" s="38" t="s">
        <v>123</v>
      </c>
      <c r="N2832" s="41">
        <v>46008.541666666664</v>
      </c>
      <c r="O2832" s="38" t="s">
        <v>123</v>
      </c>
      <c r="P2832" s="38">
        <v>1800.0</v>
      </c>
      <c r="Q2832" s="39"/>
      <c r="R2832" s="39"/>
      <c r="S2832" s="39"/>
      <c r="T2832" s="39"/>
      <c r="U2832" s="39"/>
    </row>
    <row r="2833">
      <c r="A2833" s="40">
        <f t="shared" si="1"/>
        <v>46006</v>
      </c>
      <c r="B2833" s="37" t="str">
        <f t="array" ref="B2833">iferror(xlookup($I2833, 'IMPORT VHC Report'!$E:$E, 'IMPORT VHC Report'!$A:$C), )</f>
        <v/>
      </c>
      <c r="C2833" s="37"/>
      <c r="D2833" s="37"/>
      <c r="E2833" s="38" t="s">
        <v>3448</v>
      </c>
      <c r="F2833" s="38" t="s">
        <v>3434</v>
      </c>
      <c r="G2833" s="38">
        <v>1.0333050571535E13</v>
      </c>
      <c r="H2833" s="38" t="s">
        <v>3435</v>
      </c>
      <c r="I2833" s="38" t="s">
        <v>3436</v>
      </c>
      <c r="J2833" s="38" t="s">
        <v>132</v>
      </c>
      <c r="K2833" s="38" t="s">
        <v>126</v>
      </c>
      <c r="L2833" s="41">
        <v>46008.677083333336</v>
      </c>
      <c r="M2833" s="38" t="s">
        <v>123</v>
      </c>
      <c r="N2833" s="41">
        <v>46008.71875</v>
      </c>
      <c r="O2833" s="38" t="s">
        <v>123</v>
      </c>
      <c r="P2833" s="38">
        <v>3600.0</v>
      </c>
      <c r="Q2833" s="39"/>
      <c r="R2833" s="39"/>
      <c r="S2833" s="39"/>
      <c r="T2833" s="39"/>
      <c r="U2833" s="39"/>
    </row>
    <row r="2834">
      <c r="A2834" s="40">
        <f t="shared" si="1"/>
        <v>46006</v>
      </c>
      <c r="B2834" s="37" t="str">
        <f t="array" ref="B2834">iferror(xlookup($I2834, 'IMPORT VHC Report'!$E:$E, 'IMPORT VHC Report'!$A:$C), )</f>
        <v/>
      </c>
      <c r="C2834" s="37"/>
      <c r="D2834" s="37"/>
      <c r="E2834" s="38" t="s">
        <v>3449</v>
      </c>
      <c r="F2834" s="38" t="s">
        <v>3434</v>
      </c>
      <c r="G2834" s="38">
        <v>1.0333050571535E13</v>
      </c>
      <c r="H2834" s="38" t="s">
        <v>3435</v>
      </c>
      <c r="I2834" s="38" t="s">
        <v>3436</v>
      </c>
      <c r="J2834" s="38" t="s">
        <v>125</v>
      </c>
      <c r="K2834" s="38" t="s">
        <v>126</v>
      </c>
      <c r="L2834" s="41">
        <v>46009.416666666664</v>
      </c>
      <c r="M2834" s="38" t="s">
        <v>123</v>
      </c>
      <c r="N2834" s="41">
        <v>46009.427083333336</v>
      </c>
      <c r="O2834" s="38" t="s">
        <v>123</v>
      </c>
      <c r="P2834" s="38">
        <v>900.0</v>
      </c>
      <c r="Q2834" s="39"/>
      <c r="R2834" s="39"/>
      <c r="S2834" s="38" t="s">
        <v>199</v>
      </c>
      <c r="T2834" s="39"/>
      <c r="U2834" s="39"/>
    </row>
    <row r="2835">
      <c r="A2835" s="40">
        <f t="shared" si="1"/>
        <v>46006</v>
      </c>
      <c r="B2835" s="37" t="str">
        <f t="array" ref="B2835">iferror(xlookup($I2835, 'IMPORT VHC Report'!$E:$E, 'IMPORT VHC Report'!$A:$C), )</f>
        <v/>
      </c>
      <c r="C2835" s="37"/>
      <c r="D2835" s="37"/>
      <c r="E2835" s="38" t="s">
        <v>3450</v>
      </c>
      <c r="F2835" s="38" t="s">
        <v>3434</v>
      </c>
      <c r="G2835" s="38">
        <v>1.0333050571535E13</v>
      </c>
      <c r="H2835" s="38" t="s">
        <v>3435</v>
      </c>
      <c r="I2835" s="38" t="s">
        <v>3436</v>
      </c>
      <c r="J2835" s="38" t="s">
        <v>196</v>
      </c>
      <c r="K2835" s="38" t="s">
        <v>63</v>
      </c>
      <c r="L2835" s="41">
        <v>46009.416666666664</v>
      </c>
      <c r="M2835" s="38" t="s">
        <v>123</v>
      </c>
      <c r="N2835" s="41">
        <v>46009.791666666664</v>
      </c>
      <c r="O2835" s="38" t="s">
        <v>123</v>
      </c>
      <c r="P2835" s="38">
        <v>32400.0</v>
      </c>
      <c r="Q2835" s="39"/>
      <c r="R2835" s="39"/>
      <c r="S2835" s="39"/>
      <c r="T2835" s="39"/>
      <c r="U2835" s="39"/>
    </row>
    <row r="2836">
      <c r="A2836" s="40">
        <f t="shared" si="1"/>
        <v>46006</v>
      </c>
      <c r="B2836" s="37" t="str">
        <f t="array" ref="B2836">iferror(xlookup($I2836, 'IMPORT VHC Report'!$E:$E, 'IMPORT VHC Report'!$A:$C), )</f>
        <v/>
      </c>
      <c r="C2836" s="37"/>
      <c r="D2836" s="37"/>
      <c r="E2836" s="38" t="s">
        <v>3451</v>
      </c>
      <c r="F2836" s="38" t="s">
        <v>3434</v>
      </c>
      <c r="G2836" s="38">
        <v>1.0333050571535E13</v>
      </c>
      <c r="H2836" s="38" t="s">
        <v>3435</v>
      </c>
      <c r="I2836" s="38" t="s">
        <v>3436</v>
      </c>
      <c r="J2836" s="38" t="s">
        <v>134</v>
      </c>
      <c r="K2836" s="38" t="s">
        <v>126</v>
      </c>
      <c r="L2836" s="41">
        <v>46009.53125</v>
      </c>
      <c r="M2836" s="38" t="s">
        <v>123</v>
      </c>
      <c r="N2836" s="41">
        <v>46009.552083333336</v>
      </c>
      <c r="O2836" s="38" t="s">
        <v>123</v>
      </c>
      <c r="P2836" s="38">
        <v>1800.0</v>
      </c>
      <c r="Q2836" s="39"/>
      <c r="R2836" s="39"/>
      <c r="S2836" s="39"/>
      <c r="T2836" s="39"/>
      <c r="U2836" s="39"/>
    </row>
    <row r="2837">
      <c r="A2837" s="40">
        <f t="shared" si="1"/>
        <v>46006</v>
      </c>
      <c r="B2837" s="37" t="str">
        <f t="array" ref="B2837">iferror(xlookup($I2837, 'IMPORT VHC Report'!$E:$E, 'IMPORT VHC Report'!$A:$C), )</f>
        <v/>
      </c>
      <c r="C2837" s="37"/>
      <c r="D2837" s="37"/>
      <c r="E2837" s="38" t="s">
        <v>3452</v>
      </c>
      <c r="F2837" s="38" t="s">
        <v>3434</v>
      </c>
      <c r="G2837" s="38">
        <v>1.0333050571535E13</v>
      </c>
      <c r="H2837" s="38" t="s">
        <v>3435</v>
      </c>
      <c r="I2837" s="38" t="s">
        <v>3436</v>
      </c>
      <c r="J2837" s="38" t="s">
        <v>132</v>
      </c>
      <c r="K2837" s="38" t="s">
        <v>126</v>
      </c>
      <c r="L2837" s="41">
        <v>46009.666666666664</v>
      </c>
      <c r="M2837" s="38" t="s">
        <v>123</v>
      </c>
      <c r="N2837" s="41">
        <v>46009.708333333336</v>
      </c>
      <c r="O2837" s="38" t="s">
        <v>123</v>
      </c>
      <c r="P2837" s="38">
        <v>3600.0</v>
      </c>
      <c r="Q2837" s="39"/>
      <c r="R2837" s="39"/>
      <c r="S2837" s="39"/>
      <c r="T2837" s="39"/>
      <c r="U2837" s="39"/>
    </row>
    <row r="2838">
      <c r="A2838" s="40">
        <f t="shared" si="1"/>
        <v>46006</v>
      </c>
      <c r="B2838" s="37" t="str">
        <f t="array" ref="B2838">iferror(xlookup($I2838, 'IMPORT VHC Report'!$E:$E, 'IMPORT VHC Report'!$A:$C), )</f>
        <v/>
      </c>
      <c r="C2838" s="37"/>
      <c r="D2838" s="37"/>
      <c r="E2838" s="38" t="s">
        <v>3453</v>
      </c>
      <c r="F2838" s="38" t="s">
        <v>3434</v>
      </c>
      <c r="G2838" s="38">
        <v>1.0333050571535E13</v>
      </c>
      <c r="H2838" s="38" t="s">
        <v>3435</v>
      </c>
      <c r="I2838" s="38" t="s">
        <v>3436</v>
      </c>
      <c r="J2838" s="38" t="s">
        <v>125</v>
      </c>
      <c r="K2838" s="38" t="s">
        <v>126</v>
      </c>
      <c r="L2838" s="41">
        <v>46010.416666666664</v>
      </c>
      <c r="M2838" s="38" t="s">
        <v>123</v>
      </c>
      <c r="N2838" s="41">
        <v>46010.427083333336</v>
      </c>
      <c r="O2838" s="38" t="s">
        <v>123</v>
      </c>
      <c r="P2838" s="38">
        <v>900.0</v>
      </c>
      <c r="Q2838" s="39"/>
      <c r="R2838" s="39"/>
      <c r="S2838" s="38" t="s">
        <v>199</v>
      </c>
      <c r="T2838" s="39"/>
      <c r="U2838" s="39"/>
    </row>
    <row r="2839">
      <c r="A2839" s="40">
        <f t="shared" si="1"/>
        <v>46006</v>
      </c>
      <c r="B2839" s="37" t="str">
        <f t="array" ref="B2839">iferror(xlookup($I2839, 'IMPORT VHC Report'!$E:$E, 'IMPORT VHC Report'!$A:$C), )</f>
        <v/>
      </c>
      <c r="C2839" s="37"/>
      <c r="D2839" s="37"/>
      <c r="E2839" s="38" t="s">
        <v>3454</v>
      </c>
      <c r="F2839" s="38" t="s">
        <v>3434</v>
      </c>
      <c r="G2839" s="38">
        <v>1.0333050571535E13</v>
      </c>
      <c r="H2839" s="38" t="s">
        <v>3435</v>
      </c>
      <c r="I2839" s="38" t="s">
        <v>3436</v>
      </c>
      <c r="J2839" s="38" t="s">
        <v>178</v>
      </c>
      <c r="K2839" s="38" t="s">
        <v>153</v>
      </c>
      <c r="L2839" s="41">
        <v>46010.416666666664</v>
      </c>
      <c r="M2839" s="38" t="s">
        <v>123</v>
      </c>
      <c r="N2839" s="41">
        <v>46010.791666666664</v>
      </c>
      <c r="O2839" s="38" t="s">
        <v>123</v>
      </c>
      <c r="P2839" s="38">
        <v>32400.0</v>
      </c>
      <c r="Q2839" s="38">
        <v>32400.0</v>
      </c>
      <c r="R2839" s="39"/>
      <c r="S2839" s="39"/>
      <c r="T2839" s="39"/>
      <c r="U2839" s="39"/>
    </row>
    <row r="2840">
      <c r="A2840" s="40">
        <f t="shared" si="1"/>
        <v>46006</v>
      </c>
      <c r="B2840" s="37" t="str">
        <f t="array" ref="B2840">iferror(xlookup($I2840, 'IMPORT VHC Report'!$E:$E, 'IMPORT VHC Report'!$A:$C), )</f>
        <v/>
      </c>
      <c r="C2840" s="37"/>
      <c r="D2840" s="37"/>
      <c r="E2840" s="38" t="s">
        <v>3455</v>
      </c>
      <c r="F2840" s="38" t="s">
        <v>3434</v>
      </c>
      <c r="G2840" s="38">
        <v>1.0333050571535E13</v>
      </c>
      <c r="H2840" s="38" t="s">
        <v>3435</v>
      </c>
      <c r="I2840" s="38" t="s">
        <v>3436</v>
      </c>
      <c r="J2840" s="38" t="s">
        <v>196</v>
      </c>
      <c r="K2840" s="38" t="s">
        <v>63</v>
      </c>
      <c r="L2840" s="41">
        <v>46010.416666666664</v>
      </c>
      <c r="M2840" s="38" t="s">
        <v>123</v>
      </c>
      <c r="N2840" s="41">
        <v>46010.791666666664</v>
      </c>
      <c r="O2840" s="38" t="s">
        <v>123</v>
      </c>
      <c r="P2840" s="38">
        <v>32400.0</v>
      </c>
      <c r="Q2840" s="39"/>
      <c r="R2840" s="39"/>
      <c r="S2840" s="39"/>
      <c r="T2840" s="39"/>
      <c r="U2840" s="39"/>
    </row>
    <row r="2841">
      <c r="A2841" s="40">
        <f t="shared" si="1"/>
        <v>46006</v>
      </c>
      <c r="B2841" s="37" t="str">
        <f t="array" ref="B2841">iferror(xlookup($I2841, 'IMPORT VHC Report'!$E:$E, 'IMPORT VHC Report'!$A:$C), )</f>
        <v/>
      </c>
      <c r="C2841" s="37"/>
      <c r="D2841" s="37"/>
      <c r="E2841" s="38" t="s">
        <v>3456</v>
      </c>
      <c r="F2841" s="38" t="s">
        <v>3434</v>
      </c>
      <c r="G2841" s="38">
        <v>1.0333050571535E13</v>
      </c>
      <c r="H2841" s="38" t="s">
        <v>3435</v>
      </c>
      <c r="I2841" s="38" t="s">
        <v>3436</v>
      </c>
      <c r="J2841" s="38" t="s">
        <v>132</v>
      </c>
      <c r="K2841" s="38" t="s">
        <v>126</v>
      </c>
      <c r="L2841" s="41">
        <v>46010.552083333336</v>
      </c>
      <c r="M2841" s="38" t="s">
        <v>123</v>
      </c>
      <c r="N2841" s="41">
        <v>46010.59375</v>
      </c>
      <c r="O2841" s="38" t="s">
        <v>123</v>
      </c>
      <c r="P2841" s="38">
        <v>3600.0</v>
      </c>
      <c r="Q2841" s="39"/>
      <c r="R2841" s="39"/>
      <c r="S2841" s="39"/>
      <c r="T2841" s="39"/>
      <c r="U2841" s="39"/>
    </row>
    <row r="2842">
      <c r="A2842" s="40">
        <f t="shared" si="1"/>
        <v>46006</v>
      </c>
      <c r="B2842" s="37" t="str">
        <f t="array" ref="B2842">iferror(xlookup($I2842, 'IMPORT VHC Report'!$E:$E, 'IMPORT VHC Report'!$A:$C), )</f>
        <v/>
      </c>
      <c r="C2842" s="37"/>
      <c r="D2842" s="37"/>
      <c r="E2842" s="38" t="s">
        <v>3457</v>
      </c>
      <c r="F2842" s="38" t="s">
        <v>3434</v>
      </c>
      <c r="G2842" s="38">
        <v>1.0333050571535E13</v>
      </c>
      <c r="H2842" s="38" t="s">
        <v>3435</v>
      </c>
      <c r="I2842" s="38" t="s">
        <v>3436</v>
      </c>
      <c r="J2842" s="38" t="s">
        <v>134</v>
      </c>
      <c r="K2842" s="38" t="s">
        <v>126</v>
      </c>
      <c r="L2842" s="41">
        <v>46010.708333333336</v>
      </c>
      <c r="M2842" s="38" t="s">
        <v>123</v>
      </c>
      <c r="N2842" s="41">
        <v>46010.729166666664</v>
      </c>
      <c r="O2842" s="38" t="s">
        <v>123</v>
      </c>
      <c r="P2842" s="38">
        <v>1800.0</v>
      </c>
      <c r="Q2842" s="39"/>
      <c r="R2842" s="39"/>
      <c r="S2842" s="39"/>
      <c r="T2842" s="39"/>
      <c r="U2842" s="39"/>
    </row>
    <row r="2843">
      <c r="A2843" s="40">
        <f t="shared" si="1"/>
        <v>46006</v>
      </c>
      <c r="B2843" s="37" t="str">
        <f t="array" ref="B2843">iferror(xlookup($I2843, 'IMPORT VHC Report'!$E:$E, 'IMPORT VHC Report'!$A:$C), )</f>
        <v/>
      </c>
      <c r="C2843" s="37"/>
      <c r="D2843" s="37"/>
      <c r="E2843" s="38" t="s">
        <v>3458</v>
      </c>
      <c r="F2843" s="38" t="s">
        <v>3459</v>
      </c>
      <c r="G2843" s="38">
        <v>5.202392782223E12</v>
      </c>
      <c r="H2843" s="38" t="s">
        <v>3460</v>
      </c>
      <c r="I2843" s="38" t="s">
        <v>3461</v>
      </c>
      <c r="J2843" s="38" t="s">
        <v>224</v>
      </c>
      <c r="K2843" s="38" t="s">
        <v>63</v>
      </c>
      <c r="L2843" s="41">
        <v>46006.416666666664</v>
      </c>
      <c r="M2843" s="38" t="s">
        <v>123</v>
      </c>
      <c r="N2843" s="41">
        <v>46006.479166666664</v>
      </c>
      <c r="O2843" s="38" t="s">
        <v>123</v>
      </c>
      <c r="P2843" s="38">
        <v>5400.0</v>
      </c>
      <c r="Q2843" s="39"/>
      <c r="R2843" s="39"/>
      <c r="S2843" s="39"/>
      <c r="T2843" s="39"/>
      <c r="U2843" s="39"/>
    </row>
    <row r="2844">
      <c r="A2844" s="40">
        <f t="shared" si="1"/>
        <v>46006</v>
      </c>
      <c r="B2844" s="37" t="str">
        <f t="array" ref="B2844">iferror(xlookup($I2844, 'IMPORT VHC Report'!$E:$E, 'IMPORT VHC Report'!$A:$C), )</f>
        <v/>
      </c>
      <c r="C2844" s="37"/>
      <c r="D2844" s="37"/>
      <c r="E2844" s="38" t="s">
        <v>3462</v>
      </c>
      <c r="F2844" s="38" t="s">
        <v>3459</v>
      </c>
      <c r="G2844" s="38">
        <v>5.202392782223E12</v>
      </c>
      <c r="H2844" s="38" t="s">
        <v>3460</v>
      </c>
      <c r="I2844" s="38" t="s">
        <v>3461</v>
      </c>
      <c r="J2844" s="38" t="s">
        <v>4</v>
      </c>
      <c r="K2844" s="38" t="s">
        <v>126</v>
      </c>
      <c r="L2844" s="41">
        <v>46006.458333333336</v>
      </c>
      <c r="M2844" s="38" t="s">
        <v>123</v>
      </c>
      <c r="N2844" s="41">
        <v>46006.5</v>
      </c>
      <c r="O2844" s="38" t="s">
        <v>123</v>
      </c>
      <c r="P2844" s="38">
        <v>3600.0</v>
      </c>
      <c r="Q2844" s="39"/>
      <c r="R2844" s="39"/>
      <c r="S2844" s="38" t="s">
        <v>858</v>
      </c>
      <c r="T2844" s="39"/>
      <c r="U2844" s="39"/>
    </row>
    <row r="2845">
      <c r="A2845" s="40">
        <f t="shared" si="1"/>
        <v>46006</v>
      </c>
      <c r="B2845" s="37" t="str">
        <f t="array" ref="B2845">iferror(xlookup($I2845, 'IMPORT VHC Report'!$E:$E, 'IMPORT VHC Report'!$A:$C), )</f>
        <v/>
      </c>
      <c r="C2845" s="37"/>
      <c r="D2845" s="37"/>
      <c r="E2845" s="38" t="s">
        <v>3463</v>
      </c>
      <c r="F2845" s="38" t="s">
        <v>3459</v>
      </c>
      <c r="G2845" s="38">
        <v>5.202392782223E12</v>
      </c>
      <c r="H2845" s="38" t="s">
        <v>3460</v>
      </c>
      <c r="I2845" s="38" t="s">
        <v>3461</v>
      </c>
      <c r="J2845" s="38" t="s">
        <v>62</v>
      </c>
      <c r="K2845" s="38" t="s">
        <v>63</v>
      </c>
      <c r="L2845" s="41">
        <v>46006.479166666664</v>
      </c>
      <c r="M2845" s="38" t="s">
        <v>123</v>
      </c>
      <c r="N2845" s="41">
        <v>46006.5</v>
      </c>
      <c r="O2845" s="38" t="s">
        <v>123</v>
      </c>
      <c r="P2845" s="38">
        <v>1800.0</v>
      </c>
      <c r="Q2845" s="39"/>
      <c r="R2845" s="39"/>
      <c r="S2845" s="39"/>
      <c r="T2845" s="39"/>
      <c r="U2845" s="39"/>
    </row>
    <row r="2846">
      <c r="A2846" s="40">
        <f t="shared" si="1"/>
        <v>46006</v>
      </c>
      <c r="B2846" s="37" t="str">
        <f t="array" ref="B2846">iferror(xlookup($I2846, 'IMPORT VHC Report'!$E:$E, 'IMPORT VHC Report'!$A:$C), )</f>
        <v/>
      </c>
      <c r="C2846" s="37"/>
      <c r="D2846" s="37"/>
      <c r="E2846" s="38" t="s">
        <v>3464</v>
      </c>
      <c r="F2846" s="38" t="s">
        <v>3459</v>
      </c>
      <c r="G2846" s="38">
        <v>5.202392782223E12</v>
      </c>
      <c r="H2846" s="38" t="s">
        <v>3460</v>
      </c>
      <c r="I2846" s="38" t="s">
        <v>3461</v>
      </c>
      <c r="J2846" s="38" t="s">
        <v>134</v>
      </c>
      <c r="K2846" s="38" t="s">
        <v>126</v>
      </c>
      <c r="L2846" s="41">
        <v>46006.5</v>
      </c>
      <c r="M2846" s="38" t="s">
        <v>123</v>
      </c>
      <c r="N2846" s="41">
        <v>46006.510416666664</v>
      </c>
      <c r="O2846" s="38" t="s">
        <v>123</v>
      </c>
      <c r="P2846" s="38">
        <v>900.0</v>
      </c>
      <c r="Q2846" s="39"/>
      <c r="R2846" s="39"/>
      <c r="S2846" s="39"/>
      <c r="T2846" s="39"/>
      <c r="U2846" s="39"/>
    </row>
    <row r="2847">
      <c r="A2847" s="40">
        <f t="shared" si="1"/>
        <v>46006</v>
      </c>
      <c r="B2847" s="37" t="str">
        <f t="array" ref="B2847">iferror(xlookup($I2847, 'IMPORT VHC Report'!$E:$E, 'IMPORT VHC Report'!$A:$C), )</f>
        <v/>
      </c>
      <c r="C2847" s="37"/>
      <c r="D2847" s="37"/>
      <c r="E2847" s="38" t="s">
        <v>3465</v>
      </c>
      <c r="F2847" s="38" t="s">
        <v>3459</v>
      </c>
      <c r="G2847" s="38">
        <v>5.202392782223E12</v>
      </c>
      <c r="H2847" s="38" t="s">
        <v>3460</v>
      </c>
      <c r="I2847" s="38" t="s">
        <v>3461</v>
      </c>
      <c r="J2847" s="38" t="s">
        <v>224</v>
      </c>
      <c r="K2847" s="38" t="s">
        <v>63</v>
      </c>
      <c r="L2847" s="41">
        <v>46006.510416666664</v>
      </c>
      <c r="M2847" s="38" t="s">
        <v>123</v>
      </c>
      <c r="N2847" s="41">
        <v>46006.791666666664</v>
      </c>
      <c r="O2847" s="38" t="s">
        <v>123</v>
      </c>
      <c r="P2847" s="38">
        <v>24300.0</v>
      </c>
      <c r="Q2847" s="39"/>
      <c r="R2847" s="39"/>
      <c r="S2847" s="39"/>
      <c r="T2847" s="39"/>
      <c r="U2847" s="39"/>
    </row>
    <row r="2848">
      <c r="A2848" s="40">
        <f t="shared" si="1"/>
        <v>46006</v>
      </c>
      <c r="B2848" s="37" t="str">
        <f t="array" ref="B2848">iferror(xlookup($I2848, 'IMPORT VHC Report'!$E:$E, 'IMPORT VHC Report'!$A:$C), )</f>
        <v/>
      </c>
      <c r="C2848" s="37"/>
      <c r="D2848" s="37"/>
      <c r="E2848" s="38" t="s">
        <v>3466</v>
      </c>
      <c r="F2848" s="38" t="s">
        <v>3459</v>
      </c>
      <c r="G2848" s="38">
        <v>5.202392782223E12</v>
      </c>
      <c r="H2848" s="38" t="s">
        <v>3460</v>
      </c>
      <c r="I2848" s="38" t="s">
        <v>3461</v>
      </c>
      <c r="J2848" s="38" t="s">
        <v>134</v>
      </c>
      <c r="K2848" s="38" t="s">
        <v>126</v>
      </c>
      <c r="L2848" s="41">
        <v>46006.583333333336</v>
      </c>
      <c r="M2848" s="38" t="s">
        <v>123</v>
      </c>
      <c r="N2848" s="41">
        <v>46006.59375</v>
      </c>
      <c r="O2848" s="38" t="s">
        <v>123</v>
      </c>
      <c r="P2848" s="38">
        <v>900.0</v>
      </c>
      <c r="Q2848" s="39"/>
      <c r="R2848" s="39"/>
      <c r="S2848" s="39"/>
      <c r="T2848" s="39"/>
      <c r="U2848" s="39"/>
    </row>
    <row r="2849">
      <c r="A2849" s="40">
        <f t="shared" si="1"/>
        <v>46006</v>
      </c>
      <c r="B2849" s="37" t="str">
        <f t="array" ref="B2849">iferror(xlookup($I2849, 'IMPORT VHC Report'!$E:$E, 'IMPORT VHC Report'!$A:$C), )</f>
        <v/>
      </c>
      <c r="C2849" s="37"/>
      <c r="D2849" s="37"/>
      <c r="E2849" s="38" t="s">
        <v>3467</v>
      </c>
      <c r="F2849" s="38" t="s">
        <v>3459</v>
      </c>
      <c r="G2849" s="38">
        <v>5.202392782223E12</v>
      </c>
      <c r="H2849" s="38" t="s">
        <v>3460</v>
      </c>
      <c r="I2849" s="38" t="s">
        <v>3461</v>
      </c>
      <c r="J2849" s="38" t="s">
        <v>132</v>
      </c>
      <c r="K2849" s="38" t="s">
        <v>126</v>
      </c>
      <c r="L2849" s="41">
        <v>46006.677083333336</v>
      </c>
      <c r="M2849" s="38" t="s">
        <v>123</v>
      </c>
      <c r="N2849" s="41">
        <v>46006.71875</v>
      </c>
      <c r="O2849" s="38" t="s">
        <v>123</v>
      </c>
      <c r="P2849" s="38">
        <v>3600.0</v>
      </c>
      <c r="Q2849" s="39"/>
      <c r="R2849" s="39"/>
      <c r="S2849" s="39"/>
      <c r="T2849" s="39"/>
      <c r="U2849" s="39"/>
    </row>
    <row r="2850">
      <c r="A2850" s="40">
        <f t="shared" si="1"/>
        <v>46006</v>
      </c>
      <c r="B2850" s="37" t="str">
        <f t="array" ref="B2850">iferror(xlookup($I2850, 'IMPORT VHC Report'!$E:$E, 'IMPORT VHC Report'!$A:$C), )</f>
        <v/>
      </c>
      <c r="C2850" s="37"/>
      <c r="D2850" s="37"/>
      <c r="E2850" s="38" t="s">
        <v>3468</v>
      </c>
      <c r="F2850" s="38" t="s">
        <v>3459</v>
      </c>
      <c r="G2850" s="38">
        <v>5.202392782223E12</v>
      </c>
      <c r="H2850" s="38" t="s">
        <v>3460</v>
      </c>
      <c r="I2850" s="38" t="s">
        <v>3461</v>
      </c>
      <c r="J2850" s="38" t="s">
        <v>224</v>
      </c>
      <c r="K2850" s="38" t="s">
        <v>63</v>
      </c>
      <c r="L2850" s="41">
        <v>46007.416666666664</v>
      </c>
      <c r="M2850" s="38" t="s">
        <v>123</v>
      </c>
      <c r="N2850" s="41">
        <v>46007.791666666664</v>
      </c>
      <c r="O2850" s="38" t="s">
        <v>123</v>
      </c>
      <c r="P2850" s="38">
        <v>32400.0</v>
      </c>
      <c r="Q2850" s="39"/>
      <c r="R2850" s="39"/>
      <c r="S2850" s="39"/>
      <c r="T2850" s="39"/>
      <c r="U2850" s="39"/>
    </row>
    <row r="2851">
      <c r="A2851" s="40">
        <f t="shared" si="1"/>
        <v>46006</v>
      </c>
      <c r="B2851" s="37" t="str">
        <f t="array" ref="B2851">iferror(xlookup($I2851, 'IMPORT VHC Report'!$E:$E, 'IMPORT VHC Report'!$A:$C), )</f>
        <v/>
      </c>
      <c r="C2851" s="37"/>
      <c r="D2851" s="37"/>
      <c r="E2851" s="38" t="s">
        <v>3469</v>
      </c>
      <c r="F2851" s="38" t="s">
        <v>3459</v>
      </c>
      <c r="G2851" s="38">
        <v>5.202392782223E12</v>
      </c>
      <c r="H2851" s="38" t="s">
        <v>3460</v>
      </c>
      <c r="I2851" s="38" t="s">
        <v>3461</v>
      </c>
      <c r="J2851" s="38" t="s">
        <v>132</v>
      </c>
      <c r="K2851" s="38" t="s">
        <v>126</v>
      </c>
      <c r="L2851" s="41">
        <v>46007.541666666664</v>
      </c>
      <c r="M2851" s="38" t="s">
        <v>123</v>
      </c>
      <c r="N2851" s="41">
        <v>46007.583333333336</v>
      </c>
      <c r="O2851" s="38" t="s">
        <v>123</v>
      </c>
      <c r="P2851" s="38">
        <v>3600.0</v>
      </c>
      <c r="Q2851" s="39"/>
      <c r="R2851" s="39"/>
      <c r="S2851" s="39"/>
      <c r="T2851" s="39"/>
      <c r="U2851" s="39"/>
    </row>
    <row r="2852">
      <c r="A2852" s="40">
        <f t="shared" si="1"/>
        <v>46006</v>
      </c>
      <c r="B2852" s="37" t="str">
        <f t="array" ref="B2852">iferror(xlookup($I2852, 'IMPORT VHC Report'!$E:$E, 'IMPORT VHC Report'!$A:$C), )</f>
        <v/>
      </c>
      <c r="C2852" s="37"/>
      <c r="D2852" s="37"/>
      <c r="E2852" s="38" t="s">
        <v>3470</v>
      </c>
      <c r="F2852" s="38" t="s">
        <v>3459</v>
      </c>
      <c r="G2852" s="38">
        <v>5.202392782223E12</v>
      </c>
      <c r="H2852" s="38" t="s">
        <v>3460</v>
      </c>
      <c r="I2852" s="38" t="s">
        <v>3461</v>
      </c>
      <c r="J2852" s="38" t="s">
        <v>134</v>
      </c>
      <c r="K2852" s="38" t="s">
        <v>126</v>
      </c>
      <c r="L2852" s="41">
        <v>46007.625</v>
      </c>
      <c r="M2852" s="38" t="s">
        <v>123</v>
      </c>
      <c r="N2852" s="41">
        <v>46007.635416666664</v>
      </c>
      <c r="O2852" s="38" t="s">
        <v>123</v>
      </c>
      <c r="P2852" s="38">
        <v>900.0</v>
      </c>
      <c r="Q2852" s="39"/>
      <c r="R2852" s="39"/>
      <c r="S2852" s="39"/>
      <c r="T2852" s="39"/>
      <c r="U2852" s="39"/>
    </row>
    <row r="2853">
      <c r="A2853" s="40">
        <f t="shared" si="1"/>
        <v>46006</v>
      </c>
      <c r="B2853" s="37" t="str">
        <f t="array" ref="B2853">iferror(xlookup($I2853, 'IMPORT VHC Report'!$E:$E, 'IMPORT VHC Report'!$A:$C), )</f>
        <v/>
      </c>
      <c r="C2853" s="37"/>
      <c r="D2853" s="37"/>
      <c r="E2853" s="38" t="s">
        <v>3471</v>
      </c>
      <c r="F2853" s="38" t="s">
        <v>3459</v>
      </c>
      <c r="G2853" s="38">
        <v>5.202392782223E12</v>
      </c>
      <c r="H2853" s="38" t="s">
        <v>3460</v>
      </c>
      <c r="I2853" s="38" t="s">
        <v>3461</v>
      </c>
      <c r="J2853" s="38" t="s">
        <v>136</v>
      </c>
      <c r="K2853" s="38" t="s">
        <v>126</v>
      </c>
      <c r="L2853" s="41">
        <v>46007.697916666664</v>
      </c>
      <c r="M2853" s="38" t="s">
        <v>123</v>
      </c>
      <c r="N2853" s="41">
        <v>46007.729166666664</v>
      </c>
      <c r="O2853" s="38" t="s">
        <v>123</v>
      </c>
      <c r="P2853" s="38">
        <v>2700.0</v>
      </c>
      <c r="Q2853" s="39"/>
      <c r="R2853" s="39"/>
      <c r="S2853" s="39"/>
      <c r="T2853" s="39"/>
      <c r="U2853" s="39"/>
    </row>
    <row r="2854">
      <c r="A2854" s="40">
        <f t="shared" si="1"/>
        <v>46006</v>
      </c>
      <c r="B2854" s="37" t="str">
        <f t="array" ref="B2854">iferror(xlookup($I2854, 'IMPORT VHC Report'!$E:$E, 'IMPORT VHC Report'!$A:$C), )</f>
        <v/>
      </c>
      <c r="C2854" s="37"/>
      <c r="D2854" s="37"/>
      <c r="E2854" s="38" t="s">
        <v>3472</v>
      </c>
      <c r="F2854" s="38" t="s">
        <v>3459</v>
      </c>
      <c r="G2854" s="38">
        <v>5.202392782223E12</v>
      </c>
      <c r="H2854" s="38" t="s">
        <v>3460</v>
      </c>
      <c r="I2854" s="38" t="s">
        <v>3461</v>
      </c>
      <c r="J2854" s="38" t="s">
        <v>134</v>
      </c>
      <c r="K2854" s="38" t="s">
        <v>126</v>
      </c>
      <c r="L2854" s="41">
        <v>46007.75</v>
      </c>
      <c r="M2854" s="38" t="s">
        <v>123</v>
      </c>
      <c r="N2854" s="41">
        <v>46007.760416666664</v>
      </c>
      <c r="O2854" s="38" t="s">
        <v>123</v>
      </c>
      <c r="P2854" s="38">
        <v>900.0</v>
      </c>
      <c r="Q2854" s="39"/>
      <c r="R2854" s="39"/>
      <c r="S2854" s="39"/>
      <c r="T2854" s="39"/>
      <c r="U2854" s="39"/>
    </row>
    <row r="2855">
      <c r="A2855" s="40">
        <f t="shared" si="1"/>
        <v>46006</v>
      </c>
      <c r="B2855" s="37" t="str">
        <f t="array" ref="B2855">iferror(xlookup($I2855, 'IMPORT VHC Report'!$E:$E, 'IMPORT VHC Report'!$A:$C), )</f>
        <v/>
      </c>
      <c r="C2855" s="37"/>
      <c r="D2855" s="37"/>
      <c r="E2855" s="38" t="s">
        <v>3473</v>
      </c>
      <c r="F2855" s="38" t="s">
        <v>3459</v>
      </c>
      <c r="G2855" s="38">
        <v>5.202392782223E12</v>
      </c>
      <c r="H2855" s="38" t="s">
        <v>3460</v>
      </c>
      <c r="I2855" s="38" t="s">
        <v>3461</v>
      </c>
      <c r="J2855" s="38" t="s">
        <v>224</v>
      </c>
      <c r="K2855" s="38" t="s">
        <v>63</v>
      </c>
      <c r="L2855" s="41">
        <v>46010.416666666664</v>
      </c>
      <c r="M2855" s="38" t="s">
        <v>123</v>
      </c>
      <c r="N2855" s="41">
        <v>46010.510416666664</v>
      </c>
      <c r="O2855" s="38" t="s">
        <v>123</v>
      </c>
      <c r="P2855" s="38">
        <v>8100.0</v>
      </c>
      <c r="Q2855" s="39"/>
      <c r="R2855" s="39"/>
      <c r="S2855" s="39"/>
      <c r="T2855" s="39"/>
      <c r="U2855" s="39"/>
    </row>
    <row r="2856">
      <c r="A2856" s="40">
        <f t="shared" si="1"/>
        <v>46006</v>
      </c>
      <c r="B2856" s="37" t="str">
        <f t="array" ref="B2856">iferror(xlookup($I2856, 'IMPORT VHC Report'!$E:$E, 'IMPORT VHC Report'!$A:$C), )</f>
        <v/>
      </c>
      <c r="C2856" s="37"/>
      <c r="D2856" s="37"/>
      <c r="E2856" s="38" t="s">
        <v>3474</v>
      </c>
      <c r="F2856" s="38" t="s">
        <v>3459</v>
      </c>
      <c r="G2856" s="38">
        <v>5.202392782223E12</v>
      </c>
      <c r="H2856" s="38" t="s">
        <v>3460</v>
      </c>
      <c r="I2856" s="38" t="s">
        <v>3461</v>
      </c>
      <c r="J2856" s="38" t="s">
        <v>134</v>
      </c>
      <c r="K2856" s="38" t="s">
        <v>126</v>
      </c>
      <c r="L2856" s="41">
        <v>46010.510416666664</v>
      </c>
      <c r="M2856" s="38" t="s">
        <v>123</v>
      </c>
      <c r="N2856" s="41">
        <v>46010.520833333336</v>
      </c>
      <c r="O2856" s="38" t="s">
        <v>123</v>
      </c>
      <c r="P2856" s="38">
        <v>900.0</v>
      </c>
      <c r="Q2856" s="39"/>
      <c r="R2856" s="39"/>
      <c r="S2856" s="39"/>
      <c r="T2856" s="39"/>
      <c r="U2856" s="39"/>
    </row>
    <row r="2857">
      <c r="A2857" s="40">
        <f t="shared" si="1"/>
        <v>46006</v>
      </c>
      <c r="B2857" s="37" t="str">
        <f t="array" ref="B2857">iferror(xlookup($I2857, 'IMPORT VHC Report'!$E:$E, 'IMPORT VHC Report'!$A:$C), )</f>
        <v/>
      </c>
      <c r="C2857" s="37"/>
      <c r="D2857" s="37"/>
      <c r="E2857" s="38" t="s">
        <v>3475</v>
      </c>
      <c r="F2857" s="38" t="s">
        <v>3459</v>
      </c>
      <c r="G2857" s="38">
        <v>5.202392782223E12</v>
      </c>
      <c r="H2857" s="38" t="s">
        <v>3460</v>
      </c>
      <c r="I2857" s="38" t="s">
        <v>3461</v>
      </c>
      <c r="J2857" s="38" t="s">
        <v>224</v>
      </c>
      <c r="K2857" s="38" t="s">
        <v>63</v>
      </c>
      <c r="L2857" s="41">
        <v>46010.520833333336</v>
      </c>
      <c r="M2857" s="38" t="s">
        <v>123</v>
      </c>
      <c r="N2857" s="41">
        <v>46010.614583333336</v>
      </c>
      <c r="O2857" s="38" t="s">
        <v>123</v>
      </c>
      <c r="P2857" s="38">
        <v>8100.0</v>
      </c>
      <c r="Q2857" s="39"/>
      <c r="R2857" s="39"/>
      <c r="S2857" s="39"/>
      <c r="T2857" s="39"/>
      <c r="U2857" s="39"/>
    </row>
    <row r="2858">
      <c r="A2858" s="40">
        <f t="shared" si="1"/>
        <v>46006</v>
      </c>
      <c r="B2858" s="37" t="str">
        <f t="array" ref="B2858">iferror(xlookup($I2858, 'IMPORT VHC Report'!$E:$E, 'IMPORT VHC Report'!$A:$C), )</f>
        <v/>
      </c>
      <c r="C2858" s="37"/>
      <c r="D2858" s="37"/>
      <c r="E2858" s="38" t="s">
        <v>3476</v>
      </c>
      <c r="F2858" s="38" t="s">
        <v>3459</v>
      </c>
      <c r="G2858" s="38">
        <v>5.202392782223E12</v>
      </c>
      <c r="H2858" s="38" t="s">
        <v>3460</v>
      </c>
      <c r="I2858" s="38" t="s">
        <v>3461</v>
      </c>
      <c r="J2858" s="38" t="s">
        <v>125</v>
      </c>
      <c r="K2858" s="38" t="s">
        <v>126</v>
      </c>
      <c r="L2858" s="41">
        <v>46010.604166666664</v>
      </c>
      <c r="M2858" s="38" t="s">
        <v>123</v>
      </c>
      <c r="N2858" s="41">
        <v>46010.614583333336</v>
      </c>
      <c r="O2858" s="38" t="s">
        <v>123</v>
      </c>
      <c r="P2858" s="38">
        <v>900.0</v>
      </c>
      <c r="Q2858" s="39"/>
      <c r="R2858" s="39"/>
      <c r="S2858" s="38" t="s">
        <v>3477</v>
      </c>
      <c r="T2858" s="39"/>
      <c r="U2858" s="39"/>
    </row>
    <row r="2859">
      <c r="A2859" s="40">
        <f t="shared" si="1"/>
        <v>46006</v>
      </c>
      <c r="B2859" s="37" t="str">
        <f t="array" ref="B2859">iferror(xlookup($I2859, 'IMPORT VHC Report'!$E:$E, 'IMPORT VHC Report'!$A:$C), )</f>
        <v/>
      </c>
      <c r="C2859" s="37"/>
      <c r="D2859" s="37"/>
      <c r="E2859" s="38" t="s">
        <v>3478</v>
      </c>
      <c r="F2859" s="38" t="s">
        <v>3459</v>
      </c>
      <c r="G2859" s="38">
        <v>5.202392782223E12</v>
      </c>
      <c r="H2859" s="38" t="s">
        <v>3460</v>
      </c>
      <c r="I2859" s="38" t="s">
        <v>3461</v>
      </c>
      <c r="J2859" s="38" t="s">
        <v>132</v>
      </c>
      <c r="K2859" s="38" t="s">
        <v>126</v>
      </c>
      <c r="L2859" s="41">
        <v>46010.614583333336</v>
      </c>
      <c r="M2859" s="38" t="s">
        <v>123</v>
      </c>
      <c r="N2859" s="41">
        <v>46010.65625</v>
      </c>
      <c r="O2859" s="38" t="s">
        <v>123</v>
      </c>
      <c r="P2859" s="38">
        <v>3600.0</v>
      </c>
      <c r="Q2859" s="39"/>
      <c r="R2859" s="39"/>
      <c r="S2859" s="39"/>
      <c r="T2859" s="39"/>
      <c r="U2859" s="39"/>
    </row>
    <row r="2860">
      <c r="A2860" s="40">
        <f t="shared" si="1"/>
        <v>46006</v>
      </c>
      <c r="B2860" s="37" t="str">
        <f t="array" ref="B2860">iferror(xlookup($I2860, 'IMPORT VHC Report'!$E:$E, 'IMPORT VHC Report'!$A:$C), )</f>
        <v/>
      </c>
      <c r="C2860" s="37"/>
      <c r="D2860" s="37"/>
      <c r="E2860" s="38" t="s">
        <v>3479</v>
      </c>
      <c r="F2860" s="38" t="s">
        <v>3459</v>
      </c>
      <c r="G2860" s="38">
        <v>5.202392782223E12</v>
      </c>
      <c r="H2860" s="38" t="s">
        <v>3460</v>
      </c>
      <c r="I2860" s="38" t="s">
        <v>3461</v>
      </c>
      <c r="J2860" s="38" t="s">
        <v>224</v>
      </c>
      <c r="K2860" s="38" t="s">
        <v>63</v>
      </c>
      <c r="L2860" s="41">
        <v>46010.65625</v>
      </c>
      <c r="M2860" s="38" t="s">
        <v>123</v>
      </c>
      <c r="N2860" s="41">
        <v>46010.71875</v>
      </c>
      <c r="O2860" s="38" t="s">
        <v>123</v>
      </c>
      <c r="P2860" s="38">
        <v>5400.0</v>
      </c>
      <c r="Q2860" s="39"/>
      <c r="R2860" s="39"/>
      <c r="S2860" s="39"/>
      <c r="T2860" s="39"/>
      <c r="U2860" s="39"/>
    </row>
    <row r="2861">
      <c r="A2861" s="40">
        <f t="shared" si="1"/>
        <v>46006</v>
      </c>
      <c r="B2861" s="37" t="str">
        <f t="array" ref="B2861">iferror(xlookup($I2861, 'IMPORT VHC Report'!$E:$E, 'IMPORT VHC Report'!$A:$C), )</f>
        <v/>
      </c>
      <c r="C2861" s="37"/>
      <c r="D2861" s="37"/>
      <c r="E2861" s="38" t="s">
        <v>3480</v>
      </c>
      <c r="F2861" s="38" t="s">
        <v>3459</v>
      </c>
      <c r="G2861" s="38">
        <v>5.202392782223E12</v>
      </c>
      <c r="H2861" s="38" t="s">
        <v>3460</v>
      </c>
      <c r="I2861" s="38" t="s">
        <v>3461</v>
      </c>
      <c r="J2861" s="38" t="s">
        <v>125</v>
      </c>
      <c r="K2861" s="38" t="s">
        <v>126</v>
      </c>
      <c r="L2861" s="41">
        <v>46010.65625</v>
      </c>
      <c r="M2861" s="38" t="s">
        <v>123</v>
      </c>
      <c r="N2861" s="41">
        <v>46010.71875</v>
      </c>
      <c r="O2861" s="38" t="s">
        <v>123</v>
      </c>
      <c r="P2861" s="38">
        <v>5400.0</v>
      </c>
      <c r="Q2861" s="39"/>
      <c r="R2861" s="39"/>
      <c r="S2861" s="38" t="s">
        <v>3477</v>
      </c>
      <c r="T2861" s="39"/>
      <c r="U2861" s="39"/>
    </row>
    <row r="2862">
      <c r="A2862" s="40">
        <f t="shared" si="1"/>
        <v>46006</v>
      </c>
      <c r="B2862" s="37" t="str">
        <f t="array" ref="B2862">iferror(xlookup($I2862, 'IMPORT VHC Report'!$E:$E, 'IMPORT VHC Report'!$A:$C), )</f>
        <v/>
      </c>
      <c r="C2862" s="37"/>
      <c r="D2862" s="37"/>
      <c r="E2862" s="38" t="s">
        <v>3481</v>
      </c>
      <c r="F2862" s="38" t="s">
        <v>3459</v>
      </c>
      <c r="G2862" s="38">
        <v>5.202392782223E12</v>
      </c>
      <c r="H2862" s="38" t="s">
        <v>3460</v>
      </c>
      <c r="I2862" s="38" t="s">
        <v>3461</v>
      </c>
      <c r="J2862" s="38" t="s">
        <v>134</v>
      </c>
      <c r="K2862" s="38" t="s">
        <v>126</v>
      </c>
      <c r="L2862" s="41">
        <v>46010.71875</v>
      </c>
      <c r="M2862" s="38" t="s">
        <v>123</v>
      </c>
      <c r="N2862" s="41">
        <v>46010.729166666664</v>
      </c>
      <c r="O2862" s="38" t="s">
        <v>123</v>
      </c>
      <c r="P2862" s="38">
        <v>900.0</v>
      </c>
      <c r="Q2862" s="39"/>
      <c r="R2862" s="39"/>
      <c r="S2862" s="39"/>
      <c r="T2862" s="39"/>
      <c r="U2862" s="39"/>
    </row>
    <row r="2863">
      <c r="A2863" s="40">
        <f t="shared" si="1"/>
        <v>46006</v>
      </c>
      <c r="B2863" s="37" t="str">
        <f t="array" ref="B2863">iferror(xlookup($I2863, 'IMPORT VHC Report'!$E:$E, 'IMPORT VHC Report'!$A:$C), )</f>
        <v/>
      </c>
      <c r="C2863" s="37"/>
      <c r="D2863" s="37"/>
      <c r="E2863" s="38" t="s">
        <v>3482</v>
      </c>
      <c r="F2863" s="38" t="s">
        <v>3459</v>
      </c>
      <c r="G2863" s="38">
        <v>5.202392782223E12</v>
      </c>
      <c r="H2863" s="38" t="s">
        <v>3460</v>
      </c>
      <c r="I2863" s="38" t="s">
        <v>3461</v>
      </c>
      <c r="J2863" s="38" t="s">
        <v>224</v>
      </c>
      <c r="K2863" s="38" t="s">
        <v>63</v>
      </c>
      <c r="L2863" s="41">
        <v>46010.729166666664</v>
      </c>
      <c r="M2863" s="38" t="s">
        <v>123</v>
      </c>
      <c r="N2863" s="41">
        <v>46010.791666666664</v>
      </c>
      <c r="O2863" s="38" t="s">
        <v>123</v>
      </c>
      <c r="P2863" s="38">
        <v>5400.0</v>
      </c>
      <c r="Q2863" s="39"/>
      <c r="R2863" s="39"/>
      <c r="S2863" s="39"/>
      <c r="T2863" s="39"/>
      <c r="U2863" s="39"/>
    </row>
    <row r="2864">
      <c r="A2864" s="40">
        <f t="shared" si="1"/>
        <v>46006</v>
      </c>
      <c r="B2864" s="37" t="str">
        <f t="array" ref="B2864">iferror(xlookup($I2864, 'IMPORT VHC Report'!$E:$E, 'IMPORT VHC Report'!$A:$C), )</f>
        <v/>
      </c>
      <c r="C2864" s="37"/>
      <c r="D2864" s="37"/>
      <c r="E2864" s="38" t="s">
        <v>3483</v>
      </c>
      <c r="F2864" s="38" t="s">
        <v>3459</v>
      </c>
      <c r="G2864" s="38">
        <v>5.202392782223E12</v>
      </c>
      <c r="H2864" s="38" t="s">
        <v>3460</v>
      </c>
      <c r="I2864" s="38" t="s">
        <v>3461</v>
      </c>
      <c r="J2864" s="38" t="s">
        <v>985</v>
      </c>
      <c r="K2864" s="38" t="s">
        <v>63</v>
      </c>
      <c r="L2864" s="41">
        <v>46010.791666666664</v>
      </c>
      <c r="M2864" s="38" t="s">
        <v>123</v>
      </c>
      <c r="N2864" s="41">
        <v>46010.864583333336</v>
      </c>
      <c r="O2864" s="38" t="s">
        <v>123</v>
      </c>
      <c r="P2864" s="38">
        <v>6300.0</v>
      </c>
      <c r="Q2864" s="39"/>
      <c r="R2864" s="39"/>
      <c r="S2864" s="38" t="s">
        <v>3484</v>
      </c>
      <c r="T2864" s="39"/>
      <c r="U2864" s="39"/>
    </row>
    <row r="2865">
      <c r="A2865" s="40">
        <f t="shared" si="1"/>
        <v>46006</v>
      </c>
      <c r="B2865" s="37" t="str">
        <f t="array" ref="B2865">iferror(xlookup($I2865, 'IMPORT VHC Report'!$E:$E, 'IMPORT VHC Report'!$A:$C), )</f>
        <v/>
      </c>
      <c r="C2865" s="37"/>
      <c r="D2865" s="37"/>
      <c r="E2865" s="38" t="s">
        <v>3485</v>
      </c>
      <c r="F2865" s="38" t="s">
        <v>3459</v>
      </c>
      <c r="G2865" s="38">
        <v>5.202392782223E12</v>
      </c>
      <c r="H2865" s="38" t="s">
        <v>3460</v>
      </c>
      <c r="I2865" s="38" t="s">
        <v>3461</v>
      </c>
      <c r="J2865" s="38" t="s">
        <v>125</v>
      </c>
      <c r="K2865" s="38" t="s">
        <v>126</v>
      </c>
      <c r="L2865" s="41">
        <v>46010.816666666666</v>
      </c>
      <c r="M2865" s="38" t="s">
        <v>123</v>
      </c>
      <c r="N2865" s="41">
        <v>46010.82083333333</v>
      </c>
      <c r="O2865" s="38" t="s">
        <v>123</v>
      </c>
      <c r="P2865" s="38">
        <v>360.0</v>
      </c>
      <c r="Q2865" s="39"/>
      <c r="R2865" s="39"/>
      <c r="S2865" s="39"/>
      <c r="T2865" s="39"/>
      <c r="U2865" s="39"/>
    </row>
    <row r="2866">
      <c r="A2866" s="40">
        <f t="shared" si="1"/>
        <v>46006</v>
      </c>
      <c r="B2866" s="37" t="str">
        <f t="array" ref="B2866">iferror(xlookup($I2866, 'IMPORT VHC Report'!$E:$E, 'IMPORT VHC Report'!$A:$C), )</f>
        <v/>
      </c>
      <c r="C2866" s="37"/>
      <c r="D2866" s="37"/>
      <c r="E2866" s="38" t="s">
        <v>3486</v>
      </c>
      <c r="F2866" s="38" t="s">
        <v>3459</v>
      </c>
      <c r="G2866" s="38">
        <v>5.202392782223E12</v>
      </c>
      <c r="H2866" s="38" t="s">
        <v>3460</v>
      </c>
      <c r="I2866" s="38" t="s">
        <v>3461</v>
      </c>
      <c r="J2866" s="38" t="s">
        <v>125</v>
      </c>
      <c r="K2866" s="38" t="s">
        <v>126</v>
      </c>
      <c r="L2866" s="41">
        <v>46010.83611111111</v>
      </c>
      <c r="M2866" s="38" t="s">
        <v>123</v>
      </c>
      <c r="N2866" s="41">
        <v>46010.84097222222</v>
      </c>
      <c r="O2866" s="38" t="s">
        <v>123</v>
      </c>
      <c r="P2866" s="38">
        <v>420.0</v>
      </c>
      <c r="Q2866" s="39"/>
      <c r="R2866" s="39"/>
      <c r="S2866" s="39"/>
      <c r="T2866" s="39"/>
      <c r="U2866" s="39"/>
    </row>
    <row r="2867">
      <c r="A2867" s="40">
        <f t="shared" si="1"/>
        <v>46006</v>
      </c>
      <c r="B2867" s="37" t="str">
        <f t="array" ref="B2867">iferror(xlookup($I2867, 'IMPORT VHC Report'!$E:$E, 'IMPORT VHC Report'!$A:$C), )</f>
        <v/>
      </c>
      <c r="C2867" s="37"/>
      <c r="D2867" s="37"/>
      <c r="E2867" s="38" t="s">
        <v>3487</v>
      </c>
      <c r="F2867" s="38" t="s">
        <v>3459</v>
      </c>
      <c r="G2867" s="38">
        <v>5.202392782223E12</v>
      </c>
      <c r="H2867" s="38" t="s">
        <v>3460</v>
      </c>
      <c r="I2867" s="38" t="s">
        <v>3461</v>
      </c>
      <c r="J2867" s="38" t="s">
        <v>125</v>
      </c>
      <c r="K2867" s="38" t="s">
        <v>126</v>
      </c>
      <c r="L2867" s="41">
        <v>46010.85486111111</v>
      </c>
      <c r="M2867" s="38" t="s">
        <v>123</v>
      </c>
      <c r="N2867" s="41">
        <v>46010.86111111111</v>
      </c>
      <c r="O2867" s="38" t="s">
        <v>123</v>
      </c>
      <c r="P2867" s="38">
        <v>540.0</v>
      </c>
      <c r="Q2867" s="39"/>
      <c r="R2867" s="39"/>
      <c r="S2867" s="39"/>
      <c r="T2867" s="39"/>
      <c r="U2867" s="39"/>
    </row>
    <row r="2868">
      <c r="A2868" s="40">
        <f t="shared" si="1"/>
        <v>46006</v>
      </c>
      <c r="B2868" s="37" t="str">
        <f t="array" ref="B2868">iferror(xlookup($I2868, 'IMPORT VHC Report'!$E:$E, 'IMPORT VHC Report'!$A:$C), )</f>
        <v/>
      </c>
      <c r="C2868" s="37"/>
      <c r="D2868" s="37"/>
      <c r="E2868" s="38" t="s">
        <v>3488</v>
      </c>
      <c r="F2868" s="38" t="s">
        <v>3459</v>
      </c>
      <c r="G2868" s="38">
        <v>5.202392782223E12</v>
      </c>
      <c r="H2868" s="38" t="s">
        <v>3460</v>
      </c>
      <c r="I2868" s="38" t="s">
        <v>3461</v>
      </c>
      <c r="J2868" s="38" t="s">
        <v>224</v>
      </c>
      <c r="K2868" s="38" t="s">
        <v>63</v>
      </c>
      <c r="L2868" s="41">
        <v>46011.416666666664</v>
      </c>
      <c r="M2868" s="38" t="s">
        <v>123</v>
      </c>
      <c r="N2868" s="41">
        <v>46011.791666666664</v>
      </c>
      <c r="O2868" s="38" t="s">
        <v>123</v>
      </c>
      <c r="P2868" s="38">
        <v>32400.0</v>
      </c>
      <c r="Q2868" s="39"/>
      <c r="R2868" s="39"/>
      <c r="S2868" s="39"/>
      <c r="T2868" s="39"/>
      <c r="U2868" s="39"/>
    </row>
    <row r="2869">
      <c r="A2869" s="40">
        <f t="shared" si="1"/>
        <v>46006</v>
      </c>
      <c r="B2869" s="37" t="str">
        <f t="array" ref="B2869">iferror(xlookup($I2869, 'IMPORT VHC Report'!$E:$E, 'IMPORT VHC Report'!$A:$C), )</f>
        <v/>
      </c>
      <c r="C2869" s="37"/>
      <c r="D2869" s="37"/>
      <c r="E2869" s="38" t="s">
        <v>3489</v>
      </c>
      <c r="F2869" s="38" t="s">
        <v>3459</v>
      </c>
      <c r="G2869" s="38">
        <v>5.202392782223E12</v>
      </c>
      <c r="H2869" s="38" t="s">
        <v>3460</v>
      </c>
      <c r="I2869" s="38" t="s">
        <v>3461</v>
      </c>
      <c r="J2869" s="38" t="s">
        <v>224</v>
      </c>
      <c r="K2869" s="38" t="s">
        <v>63</v>
      </c>
      <c r="L2869" s="41">
        <v>46011.5</v>
      </c>
      <c r="M2869" s="38" t="s">
        <v>123</v>
      </c>
      <c r="N2869" s="41">
        <v>46011.541666666664</v>
      </c>
      <c r="O2869" s="38" t="s">
        <v>123</v>
      </c>
      <c r="P2869" s="38">
        <v>3600.0</v>
      </c>
      <c r="Q2869" s="39"/>
      <c r="R2869" s="39"/>
      <c r="S2869" s="39"/>
      <c r="T2869" s="39"/>
      <c r="U2869" s="39"/>
    </row>
    <row r="2870">
      <c r="A2870" s="40">
        <f t="shared" si="1"/>
        <v>46006</v>
      </c>
      <c r="B2870" s="37" t="str">
        <f t="array" ref="B2870">iferror(xlookup($I2870, 'IMPORT VHC Report'!$E:$E, 'IMPORT VHC Report'!$A:$C), )</f>
        <v/>
      </c>
      <c r="C2870" s="37"/>
      <c r="D2870" s="37"/>
      <c r="E2870" s="38" t="s">
        <v>3490</v>
      </c>
      <c r="F2870" s="38" t="s">
        <v>3459</v>
      </c>
      <c r="G2870" s="38">
        <v>5.202392782223E12</v>
      </c>
      <c r="H2870" s="38" t="s">
        <v>3460</v>
      </c>
      <c r="I2870" s="38" t="s">
        <v>3461</v>
      </c>
      <c r="J2870" s="38" t="s">
        <v>224</v>
      </c>
      <c r="K2870" s="38" t="s">
        <v>63</v>
      </c>
      <c r="L2870" s="41">
        <v>46011.635416666664</v>
      </c>
      <c r="M2870" s="38" t="s">
        <v>123</v>
      </c>
      <c r="N2870" s="41">
        <v>46011.645833333336</v>
      </c>
      <c r="O2870" s="38" t="s">
        <v>123</v>
      </c>
      <c r="P2870" s="38">
        <v>900.0</v>
      </c>
      <c r="Q2870" s="39"/>
      <c r="R2870" s="39"/>
      <c r="S2870" s="39"/>
      <c r="T2870" s="39"/>
      <c r="U2870" s="39"/>
    </row>
    <row r="2871">
      <c r="A2871" s="40">
        <f t="shared" si="1"/>
        <v>46006</v>
      </c>
      <c r="B2871" s="37" t="str">
        <f t="array" ref="B2871">iferror(xlookup($I2871, 'IMPORT VHC Report'!$E:$E, 'IMPORT VHC Report'!$A:$C), )</f>
        <v/>
      </c>
      <c r="C2871" s="37"/>
      <c r="D2871" s="37"/>
      <c r="E2871" s="38" t="s">
        <v>3491</v>
      </c>
      <c r="F2871" s="38" t="s">
        <v>3459</v>
      </c>
      <c r="G2871" s="38">
        <v>5.202392782223E12</v>
      </c>
      <c r="H2871" s="38" t="s">
        <v>3460</v>
      </c>
      <c r="I2871" s="38" t="s">
        <v>3461</v>
      </c>
      <c r="J2871" s="38" t="s">
        <v>224</v>
      </c>
      <c r="K2871" s="38" t="s">
        <v>63</v>
      </c>
      <c r="L2871" s="41">
        <v>46011.71875</v>
      </c>
      <c r="M2871" s="38" t="s">
        <v>123</v>
      </c>
      <c r="N2871" s="41">
        <v>46011.729166666664</v>
      </c>
      <c r="O2871" s="38" t="s">
        <v>123</v>
      </c>
      <c r="P2871" s="38">
        <v>900.0</v>
      </c>
      <c r="Q2871" s="39"/>
      <c r="R2871" s="39"/>
      <c r="S2871" s="39"/>
      <c r="T2871" s="39"/>
      <c r="U2871" s="39"/>
    </row>
    <row r="2872">
      <c r="A2872" s="40">
        <f t="shared" si="1"/>
        <v>46006</v>
      </c>
      <c r="B2872" s="37" t="str">
        <f t="array" ref="B2872">iferror(xlookup($I2872, 'IMPORT VHC Report'!$E:$E, 'IMPORT VHC Report'!$A:$C), )</f>
        <v/>
      </c>
      <c r="C2872" s="37"/>
      <c r="D2872" s="37"/>
      <c r="E2872" s="38" t="s">
        <v>3492</v>
      </c>
      <c r="F2872" s="38" t="s">
        <v>3459</v>
      </c>
      <c r="G2872" s="38">
        <v>5.202392782223E12</v>
      </c>
      <c r="H2872" s="38" t="s">
        <v>3460</v>
      </c>
      <c r="I2872" s="38" t="s">
        <v>3461</v>
      </c>
      <c r="J2872" s="38" t="s">
        <v>132</v>
      </c>
      <c r="K2872" s="38" t="s">
        <v>126</v>
      </c>
      <c r="L2872" s="41">
        <v>46011.729166666664</v>
      </c>
      <c r="M2872" s="38" t="s">
        <v>123</v>
      </c>
      <c r="N2872" s="41">
        <v>46011.770833333336</v>
      </c>
      <c r="O2872" s="38" t="s">
        <v>123</v>
      </c>
      <c r="P2872" s="38">
        <v>3600.0</v>
      </c>
      <c r="Q2872" s="39"/>
      <c r="R2872" s="39"/>
      <c r="S2872" s="39"/>
      <c r="T2872" s="39"/>
      <c r="U2872" s="39"/>
    </row>
    <row r="2873">
      <c r="A2873" s="40">
        <f t="shared" si="1"/>
        <v>46006</v>
      </c>
      <c r="B2873" s="37" t="str">
        <f t="array" ref="B2873">iferror(xlookup($I2873, 'IMPORT VHC Report'!$E:$E, 'IMPORT VHC Report'!$A:$C), )</f>
        <v/>
      </c>
      <c r="C2873" s="37"/>
      <c r="D2873" s="37"/>
      <c r="E2873" s="38" t="s">
        <v>3493</v>
      </c>
      <c r="F2873" s="38" t="s">
        <v>3459</v>
      </c>
      <c r="G2873" s="38">
        <v>5.202392782223E12</v>
      </c>
      <c r="H2873" s="38" t="s">
        <v>3460</v>
      </c>
      <c r="I2873" s="38" t="s">
        <v>3461</v>
      </c>
      <c r="J2873" s="38" t="s">
        <v>134</v>
      </c>
      <c r="K2873" s="38" t="s">
        <v>126</v>
      </c>
      <c r="L2873" s="41">
        <v>46011.770833333336</v>
      </c>
      <c r="M2873" s="38" t="s">
        <v>123</v>
      </c>
      <c r="N2873" s="41">
        <v>46011.791666666664</v>
      </c>
      <c r="O2873" s="38" t="s">
        <v>123</v>
      </c>
      <c r="P2873" s="38">
        <v>1800.0</v>
      </c>
      <c r="Q2873" s="39"/>
      <c r="R2873" s="39"/>
      <c r="S2873" s="39"/>
      <c r="T2873" s="39"/>
      <c r="U2873" s="39"/>
    </row>
    <row r="2874">
      <c r="A2874" s="40">
        <f t="shared" si="1"/>
        <v>46006</v>
      </c>
      <c r="B2874" s="37" t="str">
        <f t="array" ref="B2874">iferror(xlookup($I2874, 'IMPORT VHC Report'!$E:$E, 'IMPORT VHC Report'!$A:$C), )</f>
        <v/>
      </c>
      <c r="C2874" s="37"/>
      <c r="D2874" s="37"/>
      <c r="E2874" s="38" t="s">
        <v>3494</v>
      </c>
      <c r="F2874" s="38" t="s">
        <v>3459</v>
      </c>
      <c r="G2874" s="38">
        <v>5.202392782223E12</v>
      </c>
      <c r="H2874" s="38" t="s">
        <v>3460</v>
      </c>
      <c r="I2874" s="38" t="s">
        <v>3461</v>
      </c>
      <c r="J2874" s="38" t="s">
        <v>224</v>
      </c>
      <c r="K2874" s="38" t="s">
        <v>63</v>
      </c>
      <c r="L2874" s="41">
        <v>46012.416666666664</v>
      </c>
      <c r="M2874" s="38" t="s">
        <v>123</v>
      </c>
      <c r="N2874" s="41">
        <v>46012.53125</v>
      </c>
      <c r="O2874" s="38" t="s">
        <v>123</v>
      </c>
      <c r="P2874" s="38">
        <v>9900.0</v>
      </c>
      <c r="Q2874" s="39"/>
      <c r="R2874" s="39"/>
      <c r="S2874" s="39"/>
      <c r="T2874" s="39"/>
      <c r="U2874" s="39"/>
    </row>
    <row r="2875">
      <c r="A2875" s="40">
        <f t="shared" si="1"/>
        <v>46006</v>
      </c>
      <c r="B2875" s="37" t="str">
        <f t="array" ref="B2875">iferror(xlookup($I2875, 'IMPORT VHC Report'!$E:$E, 'IMPORT VHC Report'!$A:$C), )</f>
        <v/>
      </c>
      <c r="C2875" s="37"/>
      <c r="D2875" s="37"/>
      <c r="E2875" s="38" t="s">
        <v>3495</v>
      </c>
      <c r="F2875" s="38" t="s">
        <v>3459</v>
      </c>
      <c r="G2875" s="38">
        <v>5.202392782223E12</v>
      </c>
      <c r="H2875" s="38" t="s">
        <v>3460</v>
      </c>
      <c r="I2875" s="38" t="s">
        <v>3461</v>
      </c>
      <c r="J2875" s="38" t="s">
        <v>152</v>
      </c>
      <c r="K2875" s="38" t="s">
        <v>153</v>
      </c>
      <c r="L2875" s="41">
        <v>46012.416666666664</v>
      </c>
      <c r="M2875" s="38" t="s">
        <v>123</v>
      </c>
      <c r="N2875" s="41">
        <v>46012.791666666664</v>
      </c>
      <c r="O2875" s="38" t="s">
        <v>123</v>
      </c>
      <c r="P2875" s="38">
        <v>32400.0</v>
      </c>
      <c r="Q2875" s="38">
        <v>32400.0</v>
      </c>
      <c r="R2875" s="43" t="s">
        <v>3496</v>
      </c>
      <c r="S2875" s="43" t="s">
        <v>3496</v>
      </c>
      <c r="T2875" s="39"/>
      <c r="U2875" s="39"/>
    </row>
    <row r="2876">
      <c r="A2876" s="40">
        <f t="shared" si="1"/>
        <v>46006</v>
      </c>
      <c r="B2876" s="37" t="str">
        <f t="array" ref="B2876">iferror(xlookup($I2876, 'IMPORT VHC Report'!$E:$E, 'IMPORT VHC Report'!$A:$C), )</f>
        <v/>
      </c>
      <c r="C2876" s="37"/>
      <c r="D2876" s="37"/>
      <c r="E2876" s="38" t="s">
        <v>3497</v>
      </c>
      <c r="F2876" s="38" t="s">
        <v>3459</v>
      </c>
      <c r="G2876" s="38">
        <v>5.202392782223E12</v>
      </c>
      <c r="H2876" s="38" t="s">
        <v>3460</v>
      </c>
      <c r="I2876" s="38" t="s">
        <v>3461</v>
      </c>
      <c r="J2876" s="38" t="s">
        <v>134</v>
      </c>
      <c r="K2876" s="38" t="s">
        <v>126</v>
      </c>
      <c r="L2876" s="41">
        <v>46012.53125</v>
      </c>
      <c r="M2876" s="38" t="s">
        <v>123</v>
      </c>
      <c r="N2876" s="41">
        <v>46012.541666666664</v>
      </c>
      <c r="O2876" s="38" t="s">
        <v>123</v>
      </c>
      <c r="P2876" s="38">
        <v>900.0</v>
      </c>
      <c r="Q2876" s="39"/>
      <c r="R2876" s="39"/>
      <c r="S2876" s="39"/>
      <c r="T2876" s="39"/>
      <c r="U2876" s="39"/>
    </row>
    <row r="2877">
      <c r="A2877" s="40">
        <f t="shared" si="1"/>
        <v>46006</v>
      </c>
      <c r="B2877" s="37" t="str">
        <f t="array" ref="B2877">iferror(xlookup($I2877, 'IMPORT VHC Report'!$E:$E, 'IMPORT VHC Report'!$A:$C), )</f>
        <v/>
      </c>
      <c r="C2877" s="37"/>
      <c r="D2877" s="37"/>
      <c r="E2877" s="38" t="s">
        <v>3498</v>
      </c>
      <c r="F2877" s="38" t="s">
        <v>3459</v>
      </c>
      <c r="G2877" s="38">
        <v>5.202392782223E12</v>
      </c>
      <c r="H2877" s="38" t="s">
        <v>3460</v>
      </c>
      <c r="I2877" s="38" t="s">
        <v>3461</v>
      </c>
      <c r="J2877" s="38" t="s">
        <v>224</v>
      </c>
      <c r="K2877" s="38" t="s">
        <v>63</v>
      </c>
      <c r="L2877" s="41">
        <v>46012.541666666664</v>
      </c>
      <c r="M2877" s="38" t="s">
        <v>123</v>
      </c>
      <c r="N2877" s="41">
        <v>46012.604166666664</v>
      </c>
      <c r="O2877" s="38" t="s">
        <v>123</v>
      </c>
      <c r="P2877" s="38">
        <v>5400.0</v>
      </c>
      <c r="Q2877" s="39"/>
      <c r="R2877" s="39"/>
      <c r="S2877" s="39"/>
      <c r="T2877" s="39"/>
      <c r="U2877" s="39"/>
    </row>
    <row r="2878">
      <c r="A2878" s="40">
        <f t="shared" si="1"/>
        <v>46006</v>
      </c>
      <c r="B2878" s="37" t="str">
        <f t="array" ref="B2878">iferror(xlookup($I2878, 'IMPORT VHC Report'!$E:$E, 'IMPORT VHC Report'!$A:$C), )</f>
        <v/>
      </c>
      <c r="C2878" s="37"/>
      <c r="D2878" s="37"/>
      <c r="E2878" s="38" t="s">
        <v>3499</v>
      </c>
      <c r="F2878" s="38" t="s">
        <v>3459</v>
      </c>
      <c r="G2878" s="38">
        <v>5.202392782223E12</v>
      </c>
      <c r="H2878" s="38" t="s">
        <v>3460</v>
      </c>
      <c r="I2878" s="38" t="s">
        <v>3461</v>
      </c>
      <c r="J2878" s="38" t="s">
        <v>132</v>
      </c>
      <c r="K2878" s="38" t="s">
        <v>126</v>
      </c>
      <c r="L2878" s="41">
        <v>46012.604166666664</v>
      </c>
      <c r="M2878" s="38" t="s">
        <v>123</v>
      </c>
      <c r="N2878" s="41">
        <v>46012.645833333336</v>
      </c>
      <c r="O2878" s="38" t="s">
        <v>123</v>
      </c>
      <c r="P2878" s="38">
        <v>3600.0</v>
      </c>
      <c r="Q2878" s="39"/>
      <c r="R2878" s="39"/>
      <c r="S2878" s="39"/>
      <c r="T2878" s="39"/>
      <c r="U2878" s="39"/>
    </row>
    <row r="2879">
      <c r="A2879" s="40">
        <f t="shared" si="1"/>
        <v>46006</v>
      </c>
      <c r="B2879" s="37" t="str">
        <f t="array" ref="B2879">iferror(xlookup($I2879, 'IMPORT VHC Report'!$E:$E, 'IMPORT VHC Report'!$A:$C), )</f>
        <v/>
      </c>
      <c r="C2879" s="37"/>
      <c r="D2879" s="37"/>
      <c r="E2879" s="38" t="s">
        <v>3500</v>
      </c>
      <c r="F2879" s="38" t="s">
        <v>3459</v>
      </c>
      <c r="G2879" s="38">
        <v>5.202392782223E12</v>
      </c>
      <c r="H2879" s="38" t="s">
        <v>3460</v>
      </c>
      <c r="I2879" s="38" t="s">
        <v>3461</v>
      </c>
      <c r="J2879" s="38" t="s">
        <v>224</v>
      </c>
      <c r="K2879" s="38" t="s">
        <v>63</v>
      </c>
      <c r="L2879" s="41">
        <v>46012.645833333336</v>
      </c>
      <c r="M2879" s="38" t="s">
        <v>123</v>
      </c>
      <c r="N2879" s="41">
        <v>46012.708333333336</v>
      </c>
      <c r="O2879" s="38" t="s">
        <v>123</v>
      </c>
      <c r="P2879" s="38">
        <v>5400.0</v>
      </c>
      <c r="Q2879" s="39"/>
      <c r="R2879" s="39"/>
      <c r="S2879" s="39"/>
      <c r="T2879" s="39"/>
      <c r="U2879" s="39"/>
    </row>
    <row r="2880">
      <c r="A2880" s="40">
        <f t="shared" si="1"/>
        <v>46006</v>
      </c>
      <c r="B2880" s="37" t="str">
        <f t="array" ref="B2880">iferror(xlookup($I2880, 'IMPORT VHC Report'!$E:$E, 'IMPORT VHC Report'!$A:$C), )</f>
        <v/>
      </c>
      <c r="C2880" s="37"/>
      <c r="D2880" s="37"/>
      <c r="E2880" s="38" t="s">
        <v>3501</v>
      </c>
      <c r="F2880" s="38" t="s">
        <v>3459</v>
      </c>
      <c r="G2880" s="38">
        <v>5.202392782223E12</v>
      </c>
      <c r="H2880" s="38" t="s">
        <v>3460</v>
      </c>
      <c r="I2880" s="38" t="s">
        <v>3461</v>
      </c>
      <c r="J2880" s="38" t="s">
        <v>134</v>
      </c>
      <c r="K2880" s="38" t="s">
        <v>126</v>
      </c>
      <c r="L2880" s="41">
        <v>46012.708333333336</v>
      </c>
      <c r="M2880" s="38" t="s">
        <v>123</v>
      </c>
      <c r="N2880" s="41">
        <v>46012.71875</v>
      </c>
      <c r="O2880" s="38" t="s">
        <v>123</v>
      </c>
      <c r="P2880" s="38">
        <v>900.0</v>
      </c>
      <c r="Q2880" s="39"/>
      <c r="R2880" s="39"/>
      <c r="S2880" s="39"/>
      <c r="T2880" s="39"/>
      <c r="U2880" s="39"/>
    </row>
    <row r="2881">
      <c r="A2881" s="40">
        <f t="shared" si="1"/>
        <v>46006</v>
      </c>
      <c r="B2881" s="37" t="str">
        <f t="array" ref="B2881">iferror(xlookup($I2881, 'IMPORT VHC Report'!$E:$E, 'IMPORT VHC Report'!$A:$C), )</f>
        <v/>
      </c>
      <c r="C2881" s="37"/>
      <c r="D2881" s="37"/>
      <c r="E2881" s="38" t="s">
        <v>3502</v>
      </c>
      <c r="F2881" s="38" t="s">
        <v>3459</v>
      </c>
      <c r="G2881" s="38">
        <v>5.202392782223E12</v>
      </c>
      <c r="H2881" s="38" t="s">
        <v>3460</v>
      </c>
      <c r="I2881" s="38" t="s">
        <v>3461</v>
      </c>
      <c r="J2881" s="38" t="s">
        <v>224</v>
      </c>
      <c r="K2881" s="38" t="s">
        <v>63</v>
      </c>
      <c r="L2881" s="41">
        <v>46012.71875</v>
      </c>
      <c r="M2881" s="38" t="s">
        <v>123</v>
      </c>
      <c r="N2881" s="41">
        <v>46012.791666666664</v>
      </c>
      <c r="O2881" s="38" t="s">
        <v>123</v>
      </c>
      <c r="P2881" s="38">
        <v>6300.0</v>
      </c>
      <c r="Q2881" s="39"/>
      <c r="R2881" s="39"/>
      <c r="S2881" s="39"/>
      <c r="T2881" s="39"/>
      <c r="U2881" s="39"/>
    </row>
    <row r="2882">
      <c r="A2882" s="40">
        <f t="shared" si="1"/>
        <v>46006</v>
      </c>
      <c r="B2882" s="37" t="str">
        <f t="array" ref="B2882">iferror(xlookup($I2882, 'IMPORT VHC Report'!$E:$E, 'IMPORT VHC Report'!$A:$C), )</f>
        <v/>
      </c>
      <c r="C2882" s="37"/>
      <c r="D2882" s="37"/>
      <c r="E2882" s="38" t="s">
        <v>3503</v>
      </c>
      <c r="F2882" s="38" t="s">
        <v>3504</v>
      </c>
      <c r="G2882" s="38">
        <v>3.61725260596E11</v>
      </c>
      <c r="H2882" s="38" t="s">
        <v>3505</v>
      </c>
      <c r="I2882" s="38" t="s">
        <v>3506</v>
      </c>
      <c r="J2882" s="38" t="s">
        <v>4</v>
      </c>
      <c r="K2882" s="38" t="s">
        <v>126</v>
      </c>
      <c r="L2882" s="41">
        <v>46006.416666666664</v>
      </c>
      <c r="M2882" s="38" t="s">
        <v>123</v>
      </c>
      <c r="N2882" s="41">
        <v>46006.427083333336</v>
      </c>
      <c r="O2882" s="38" t="s">
        <v>123</v>
      </c>
      <c r="P2882" s="38">
        <v>900.0</v>
      </c>
      <c r="Q2882" s="39"/>
      <c r="R2882" s="39"/>
      <c r="S2882" s="38" t="s">
        <v>632</v>
      </c>
      <c r="T2882" s="39"/>
      <c r="U2882" s="39"/>
    </row>
    <row r="2883">
      <c r="A2883" s="40">
        <f t="shared" si="1"/>
        <v>46006</v>
      </c>
      <c r="B2883" s="37" t="str">
        <f t="array" ref="B2883">iferror(xlookup($I2883, 'IMPORT VHC Report'!$E:$E, 'IMPORT VHC Report'!$A:$C), )</f>
        <v/>
      </c>
      <c r="C2883" s="37"/>
      <c r="D2883" s="37"/>
      <c r="E2883" s="38" t="s">
        <v>3507</v>
      </c>
      <c r="F2883" s="38" t="s">
        <v>3504</v>
      </c>
      <c r="G2883" s="38">
        <v>3.61725260596E11</v>
      </c>
      <c r="H2883" s="38" t="s">
        <v>3505</v>
      </c>
      <c r="I2883" s="38" t="s">
        <v>3506</v>
      </c>
      <c r="J2883" s="38" t="s">
        <v>2268</v>
      </c>
      <c r="K2883" s="38" t="s">
        <v>63</v>
      </c>
      <c r="L2883" s="41">
        <v>46006.416666666664</v>
      </c>
      <c r="M2883" s="38" t="s">
        <v>123</v>
      </c>
      <c r="N2883" s="41">
        <v>46006.791666666664</v>
      </c>
      <c r="O2883" s="38" t="s">
        <v>123</v>
      </c>
      <c r="P2883" s="38">
        <v>32400.0</v>
      </c>
      <c r="Q2883" s="39"/>
      <c r="R2883" s="39"/>
      <c r="S2883" s="39"/>
      <c r="T2883" s="39"/>
      <c r="U2883" s="39"/>
    </row>
    <row r="2884">
      <c r="A2884" s="40">
        <f t="shared" si="1"/>
        <v>46006</v>
      </c>
      <c r="B2884" s="37" t="str">
        <f t="array" ref="B2884">iferror(xlookup($I2884, 'IMPORT VHC Report'!$E:$E, 'IMPORT VHC Report'!$A:$C), )</f>
        <v/>
      </c>
      <c r="C2884" s="37"/>
      <c r="D2884" s="37"/>
      <c r="E2884" s="38" t="s">
        <v>3508</v>
      </c>
      <c r="F2884" s="38" t="s">
        <v>3504</v>
      </c>
      <c r="G2884" s="38">
        <v>3.61725260596E11</v>
      </c>
      <c r="H2884" s="38" t="s">
        <v>3505</v>
      </c>
      <c r="I2884" s="38" t="s">
        <v>3506</v>
      </c>
      <c r="J2884" s="38" t="s">
        <v>134</v>
      </c>
      <c r="K2884" s="38" t="s">
        <v>126</v>
      </c>
      <c r="L2884" s="41">
        <v>46006.53125</v>
      </c>
      <c r="M2884" s="38" t="s">
        <v>123</v>
      </c>
      <c r="N2884" s="41">
        <v>46006.552083333336</v>
      </c>
      <c r="O2884" s="38" t="s">
        <v>123</v>
      </c>
      <c r="P2884" s="38">
        <v>1800.0</v>
      </c>
      <c r="Q2884" s="39"/>
      <c r="R2884" s="39"/>
      <c r="S2884" s="39"/>
      <c r="T2884" s="39"/>
      <c r="U2884" s="39"/>
    </row>
    <row r="2885">
      <c r="A2885" s="40">
        <f t="shared" si="1"/>
        <v>46006</v>
      </c>
      <c r="B2885" s="37" t="str">
        <f t="array" ref="B2885">iferror(xlookup($I2885, 'IMPORT VHC Report'!$E:$E, 'IMPORT VHC Report'!$A:$C), )</f>
        <v/>
      </c>
      <c r="C2885" s="37"/>
      <c r="D2885" s="37"/>
      <c r="E2885" s="38" t="s">
        <v>3509</v>
      </c>
      <c r="F2885" s="38" t="s">
        <v>3504</v>
      </c>
      <c r="G2885" s="38">
        <v>3.61725260596E11</v>
      </c>
      <c r="H2885" s="38" t="s">
        <v>3505</v>
      </c>
      <c r="I2885" s="38" t="s">
        <v>3506</v>
      </c>
      <c r="J2885" s="38" t="s">
        <v>132</v>
      </c>
      <c r="K2885" s="38" t="s">
        <v>126</v>
      </c>
      <c r="L2885" s="41">
        <v>46006.645833333336</v>
      </c>
      <c r="M2885" s="38" t="s">
        <v>123</v>
      </c>
      <c r="N2885" s="41">
        <v>46006.6875</v>
      </c>
      <c r="O2885" s="38" t="s">
        <v>123</v>
      </c>
      <c r="P2885" s="38">
        <v>3600.0</v>
      </c>
      <c r="Q2885" s="39"/>
      <c r="R2885" s="39"/>
      <c r="S2885" s="39"/>
      <c r="T2885" s="39"/>
      <c r="U2885" s="39"/>
    </row>
    <row r="2886">
      <c r="A2886" s="40">
        <f t="shared" si="1"/>
        <v>46006</v>
      </c>
      <c r="B2886" s="37" t="str">
        <f t="array" ref="B2886">iferror(xlookup($I2886, 'IMPORT VHC Report'!$E:$E, 'IMPORT VHC Report'!$A:$C), )</f>
        <v/>
      </c>
      <c r="C2886" s="37"/>
      <c r="D2886" s="37"/>
      <c r="E2886" s="38" t="s">
        <v>3510</v>
      </c>
      <c r="F2886" s="38" t="s">
        <v>3504</v>
      </c>
      <c r="G2886" s="38">
        <v>3.61725260596E11</v>
      </c>
      <c r="H2886" s="38" t="s">
        <v>3505</v>
      </c>
      <c r="I2886" s="38" t="s">
        <v>3506</v>
      </c>
      <c r="J2886" s="38" t="s">
        <v>136</v>
      </c>
      <c r="K2886" s="38" t="s">
        <v>126</v>
      </c>
      <c r="L2886" s="41">
        <v>46007.291666666664</v>
      </c>
      <c r="M2886" s="38" t="s">
        <v>123</v>
      </c>
      <c r="N2886" s="41">
        <v>46007.3125</v>
      </c>
      <c r="O2886" s="38" t="s">
        <v>123</v>
      </c>
      <c r="P2886" s="38">
        <v>1800.0</v>
      </c>
      <c r="Q2886" s="39"/>
      <c r="R2886" s="39"/>
      <c r="S2886" s="38" t="s">
        <v>2270</v>
      </c>
      <c r="T2886" s="39"/>
      <c r="U2886" s="39"/>
    </row>
    <row r="2887">
      <c r="A2887" s="40">
        <f t="shared" si="1"/>
        <v>46006</v>
      </c>
      <c r="B2887" s="37" t="str">
        <f t="array" ref="B2887">iferror(xlookup($I2887, 'IMPORT VHC Report'!$E:$E, 'IMPORT VHC Report'!$A:$C), )</f>
        <v/>
      </c>
      <c r="C2887" s="37"/>
      <c r="D2887" s="37"/>
      <c r="E2887" s="38" t="s">
        <v>3511</v>
      </c>
      <c r="F2887" s="38" t="s">
        <v>3504</v>
      </c>
      <c r="G2887" s="38">
        <v>3.61725260596E11</v>
      </c>
      <c r="H2887" s="38" t="s">
        <v>3505</v>
      </c>
      <c r="I2887" s="38" t="s">
        <v>3506</v>
      </c>
      <c r="J2887" s="38" t="s">
        <v>2268</v>
      </c>
      <c r="K2887" s="38" t="s">
        <v>63</v>
      </c>
      <c r="L2887" s="41">
        <v>46007.291666666664</v>
      </c>
      <c r="M2887" s="38" t="s">
        <v>123</v>
      </c>
      <c r="N2887" s="41">
        <v>46007.666666666664</v>
      </c>
      <c r="O2887" s="38" t="s">
        <v>123</v>
      </c>
      <c r="P2887" s="38">
        <v>32400.0</v>
      </c>
      <c r="Q2887" s="39"/>
      <c r="R2887" s="39"/>
      <c r="S2887" s="39"/>
      <c r="T2887" s="39"/>
      <c r="U2887" s="39"/>
    </row>
    <row r="2888">
      <c r="A2888" s="40">
        <f t="shared" si="1"/>
        <v>46006</v>
      </c>
      <c r="B2888" s="37" t="str">
        <f t="array" ref="B2888">iferror(xlookup($I2888, 'IMPORT VHC Report'!$E:$E, 'IMPORT VHC Report'!$A:$C), )</f>
        <v/>
      </c>
      <c r="C2888" s="37"/>
      <c r="D2888" s="37"/>
      <c r="E2888" s="38" t="s">
        <v>3512</v>
      </c>
      <c r="F2888" s="38" t="s">
        <v>3504</v>
      </c>
      <c r="G2888" s="38">
        <v>3.61725260596E11</v>
      </c>
      <c r="H2888" s="38" t="s">
        <v>3505</v>
      </c>
      <c r="I2888" s="38" t="s">
        <v>3506</v>
      </c>
      <c r="J2888" s="38" t="s">
        <v>134</v>
      </c>
      <c r="K2888" s="38" t="s">
        <v>126</v>
      </c>
      <c r="L2888" s="41">
        <v>46007.427083333336</v>
      </c>
      <c r="M2888" s="38" t="s">
        <v>123</v>
      </c>
      <c r="N2888" s="41">
        <v>46007.447916666664</v>
      </c>
      <c r="O2888" s="38" t="s">
        <v>123</v>
      </c>
      <c r="P2888" s="38">
        <v>1800.0</v>
      </c>
      <c r="Q2888" s="39"/>
      <c r="R2888" s="39"/>
      <c r="S2888" s="39"/>
      <c r="T2888" s="39"/>
      <c r="U2888" s="39"/>
    </row>
    <row r="2889">
      <c r="A2889" s="40">
        <f t="shared" si="1"/>
        <v>46006</v>
      </c>
      <c r="B2889" s="37" t="str">
        <f t="array" ref="B2889">iferror(xlookup($I2889, 'IMPORT VHC Report'!$E:$E, 'IMPORT VHC Report'!$A:$C), )</f>
        <v/>
      </c>
      <c r="C2889" s="37"/>
      <c r="D2889" s="37"/>
      <c r="E2889" s="38" t="s">
        <v>3513</v>
      </c>
      <c r="F2889" s="38" t="s">
        <v>3504</v>
      </c>
      <c r="G2889" s="38">
        <v>3.61725260596E11</v>
      </c>
      <c r="H2889" s="38" t="s">
        <v>3505</v>
      </c>
      <c r="I2889" s="38" t="s">
        <v>3506</v>
      </c>
      <c r="J2889" s="38" t="s">
        <v>132</v>
      </c>
      <c r="K2889" s="38" t="s">
        <v>126</v>
      </c>
      <c r="L2889" s="41">
        <v>46007.5625</v>
      </c>
      <c r="M2889" s="38" t="s">
        <v>123</v>
      </c>
      <c r="N2889" s="41">
        <v>46007.604166666664</v>
      </c>
      <c r="O2889" s="38" t="s">
        <v>123</v>
      </c>
      <c r="P2889" s="38">
        <v>3600.0</v>
      </c>
      <c r="Q2889" s="39"/>
      <c r="R2889" s="39"/>
      <c r="S2889" s="39"/>
      <c r="T2889" s="39"/>
      <c r="U2889" s="39"/>
    </row>
    <row r="2890">
      <c r="A2890" s="40">
        <f t="shared" si="1"/>
        <v>46006</v>
      </c>
      <c r="B2890" s="37" t="str">
        <f t="array" ref="B2890">iferror(xlookup($I2890, 'IMPORT VHC Report'!$E:$E, 'IMPORT VHC Report'!$A:$C), )</f>
        <v/>
      </c>
      <c r="C2890" s="37"/>
      <c r="D2890" s="37"/>
      <c r="E2890" s="38" t="s">
        <v>3514</v>
      </c>
      <c r="F2890" s="38" t="s">
        <v>3504</v>
      </c>
      <c r="G2890" s="38">
        <v>3.61725260596E11</v>
      </c>
      <c r="H2890" s="38" t="s">
        <v>3505</v>
      </c>
      <c r="I2890" s="38" t="s">
        <v>3506</v>
      </c>
      <c r="J2890" s="38" t="s">
        <v>2268</v>
      </c>
      <c r="K2890" s="38" t="s">
        <v>63</v>
      </c>
      <c r="L2890" s="41">
        <v>46008.291666666664</v>
      </c>
      <c r="M2890" s="38" t="s">
        <v>123</v>
      </c>
      <c r="N2890" s="41">
        <v>46008.666666666664</v>
      </c>
      <c r="O2890" s="38" t="s">
        <v>123</v>
      </c>
      <c r="P2890" s="38">
        <v>32400.0</v>
      </c>
      <c r="Q2890" s="39"/>
      <c r="R2890" s="39"/>
      <c r="S2890" s="39"/>
      <c r="T2890" s="39"/>
      <c r="U2890" s="39"/>
    </row>
    <row r="2891">
      <c r="A2891" s="40">
        <f t="shared" si="1"/>
        <v>46006</v>
      </c>
      <c r="B2891" s="37" t="str">
        <f t="array" ref="B2891">iferror(xlookup($I2891, 'IMPORT VHC Report'!$E:$E, 'IMPORT VHC Report'!$A:$C), )</f>
        <v/>
      </c>
      <c r="C2891" s="37"/>
      <c r="D2891" s="37"/>
      <c r="E2891" s="38" t="s">
        <v>3515</v>
      </c>
      <c r="F2891" s="38" t="s">
        <v>3504</v>
      </c>
      <c r="G2891" s="38">
        <v>3.61725260596E11</v>
      </c>
      <c r="H2891" s="38" t="s">
        <v>3505</v>
      </c>
      <c r="I2891" s="38" t="s">
        <v>3506</v>
      </c>
      <c r="J2891" s="38" t="s">
        <v>4</v>
      </c>
      <c r="K2891" s="38" t="s">
        <v>126</v>
      </c>
      <c r="L2891" s="41">
        <v>46008.333333333336</v>
      </c>
      <c r="M2891" s="38" t="s">
        <v>123</v>
      </c>
      <c r="N2891" s="41">
        <v>46008.458333333336</v>
      </c>
      <c r="O2891" s="38" t="s">
        <v>123</v>
      </c>
      <c r="P2891" s="38">
        <v>10800.0</v>
      </c>
      <c r="Q2891" s="39"/>
      <c r="R2891" s="39"/>
      <c r="S2891" s="38" t="s">
        <v>2283</v>
      </c>
      <c r="T2891" s="39"/>
      <c r="U2891" s="39"/>
    </row>
    <row r="2892">
      <c r="A2892" s="40">
        <f t="shared" si="1"/>
        <v>46006</v>
      </c>
      <c r="B2892" s="37" t="str">
        <f t="array" ref="B2892">iferror(xlookup($I2892, 'IMPORT VHC Report'!$E:$E, 'IMPORT VHC Report'!$A:$C), )</f>
        <v/>
      </c>
      <c r="C2892" s="37"/>
      <c r="D2892" s="37"/>
      <c r="E2892" s="38" t="s">
        <v>3516</v>
      </c>
      <c r="F2892" s="38" t="s">
        <v>3504</v>
      </c>
      <c r="G2892" s="38">
        <v>3.61725260596E11</v>
      </c>
      <c r="H2892" s="38" t="s">
        <v>3505</v>
      </c>
      <c r="I2892" s="38" t="s">
        <v>3506</v>
      </c>
      <c r="J2892" s="38" t="s">
        <v>134</v>
      </c>
      <c r="K2892" s="38" t="s">
        <v>126</v>
      </c>
      <c r="L2892" s="41">
        <v>46008.458333333336</v>
      </c>
      <c r="M2892" s="38" t="s">
        <v>123</v>
      </c>
      <c r="N2892" s="41">
        <v>46008.479166666664</v>
      </c>
      <c r="O2892" s="38" t="s">
        <v>123</v>
      </c>
      <c r="P2892" s="38">
        <v>1800.0</v>
      </c>
      <c r="Q2892" s="39"/>
      <c r="R2892" s="39"/>
      <c r="S2892" s="39"/>
      <c r="T2892" s="39"/>
      <c r="U2892" s="39"/>
    </row>
    <row r="2893">
      <c r="A2893" s="40">
        <f t="shared" si="1"/>
        <v>46006</v>
      </c>
      <c r="B2893" s="37" t="str">
        <f t="array" ref="B2893">iferror(xlookup($I2893, 'IMPORT VHC Report'!$E:$E, 'IMPORT VHC Report'!$A:$C), )</f>
        <v/>
      </c>
      <c r="C2893" s="37"/>
      <c r="D2893" s="37"/>
      <c r="E2893" s="38" t="s">
        <v>3517</v>
      </c>
      <c r="F2893" s="38" t="s">
        <v>3504</v>
      </c>
      <c r="G2893" s="38">
        <v>3.61725260596E11</v>
      </c>
      <c r="H2893" s="38" t="s">
        <v>3505</v>
      </c>
      <c r="I2893" s="38" t="s">
        <v>3506</v>
      </c>
      <c r="J2893" s="38" t="s">
        <v>132</v>
      </c>
      <c r="K2893" s="38" t="s">
        <v>126</v>
      </c>
      <c r="L2893" s="41">
        <v>46008.604166666664</v>
      </c>
      <c r="M2893" s="38" t="s">
        <v>123</v>
      </c>
      <c r="N2893" s="41">
        <v>46008.645833333336</v>
      </c>
      <c r="O2893" s="38" t="s">
        <v>123</v>
      </c>
      <c r="P2893" s="38">
        <v>3600.0</v>
      </c>
      <c r="Q2893" s="39"/>
      <c r="R2893" s="39"/>
      <c r="S2893" s="39"/>
      <c r="T2893" s="39"/>
      <c r="U2893" s="39"/>
    </row>
    <row r="2894">
      <c r="A2894" s="40">
        <f t="shared" si="1"/>
        <v>46006</v>
      </c>
      <c r="B2894" s="37" t="str">
        <f t="array" ref="B2894">iferror(xlookup($I2894, 'IMPORT VHC Report'!$E:$E, 'IMPORT VHC Report'!$A:$C), )</f>
        <v/>
      </c>
      <c r="C2894" s="37"/>
      <c r="D2894" s="37"/>
      <c r="E2894" s="38" t="s">
        <v>3518</v>
      </c>
      <c r="F2894" s="38" t="s">
        <v>3504</v>
      </c>
      <c r="G2894" s="38">
        <v>3.61725260596E11</v>
      </c>
      <c r="H2894" s="38" t="s">
        <v>3505</v>
      </c>
      <c r="I2894" s="38" t="s">
        <v>3506</v>
      </c>
      <c r="J2894" s="38" t="s">
        <v>2268</v>
      </c>
      <c r="K2894" s="38" t="s">
        <v>63</v>
      </c>
      <c r="L2894" s="41">
        <v>46009.291666666664</v>
      </c>
      <c r="M2894" s="38" t="s">
        <v>123</v>
      </c>
      <c r="N2894" s="41">
        <v>46009.666666666664</v>
      </c>
      <c r="O2894" s="38" t="s">
        <v>123</v>
      </c>
      <c r="P2894" s="38">
        <v>32400.0</v>
      </c>
      <c r="Q2894" s="39"/>
      <c r="R2894" s="39"/>
      <c r="S2894" s="39"/>
      <c r="T2894" s="39"/>
      <c r="U2894" s="39"/>
    </row>
    <row r="2895">
      <c r="A2895" s="40">
        <f t="shared" si="1"/>
        <v>46006</v>
      </c>
      <c r="B2895" s="37" t="str">
        <f t="array" ref="B2895">iferror(xlookup($I2895, 'IMPORT VHC Report'!$E:$E, 'IMPORT VHC Report'!$A:$C), )</f>
        <v/>
      </c>
      <c r="C2895" s="37"/>
      <c r="D2895" s="37"/>
      <c r="E2895" s="38" t="s">
        <v>3519</v>
      </c>
      <c r="F2895" s="38" t="s">
        <v>3504</v>
      </c>
      <c r="G2895" s="38">
        <v>3.61725260596E11</v>
      </c>
      <c r="H2895" s="38" t="s">
        <v>3505</v>
      </c>
      <c r="I2895" s="38" t="s">
        <v>3506</v>
      </c>
      <c r="J2895" s="38" t="s">
        <v>134</v>
      </c>
      <c r="K2895" s="38" t="s">
        <v>126</v>
      </c>
      <c r="L2895" s="41">
        <v>46009.354166666664</v>
      </c>
      <c r="M2895" s="38" t="s">
        <v>123</v>
      </c>
      <c r="N2895" s="41">
        <v>46009.375</v>
      </c>
      <c r="O2895" s="38" t="s">
        <v>123</v>
      </c>
      <c r="P2895" s="38">
        <v>1800.0</v>
      </c>
      <c r="Q2895" s="39"/>
      <c r="R2895" s="39"/>
      <c r="S2895" s="39"/>
      <c r="T2895" s="39"/>
      <c r="U2895" s="39"/>
    </row>
    <row r="2896">
      <c r="A2896" s="40">
        <f t="shared" si="1"/>
        <v>46006</v>
      </c>
      <c r="B2896" s="37" t="str">
        <f t="array" ref="B2896">iferror(xlookup($I2896, 'IMPORT VHC Report'!$E:$E, 'IMPORT VHC Report'!$A:$C), )</f>
        <v/>
      </c>
      <c r="C2896" s="37"/>
      <c r="D2896" s="37"/>
      <c r="E2896" s="38" t="s">
        <v>3520</v>
      </c>
      <c r="F2896" s="38" t="s">
        <v>3504</v>
      </c>
      <c r="G2896" s="38">
        <v>3.61725260596E11</v>
      </c>
      <c r="H2896" s="38" t="s">
        <v>3505</v>
      </c>
      <c r="I2896" s="38" t="s">
        <v>3506</v>
      </c>
      <c r="J2896" s="38" t="s">
        <v>132</v>
      </c>
      <c r="K2896" s="38" t="s">
        <v>126</v>
      </c>
      <c r="L2896" s="41">
        <v>46009.5625</v>
      </c>
      <c r="M2896" s="38" t="s">
        <v>123</v>
      </c>
      <c r="N2896" s="41">
        <v>46009.604166666664</v>
      </c>
      <c r="O2896" s="38" t="s">
        <v>123</v>
      </c>
      <c r="P2896" s="38">
        <v>3600.0</v>
      </c>
      <c r="Q2896" s="39"/>
      <c r="R2896" s="39"/>
      <c r="S2896" s="39"/>
      <c r="T2896" s="39"/>
      <c r="U2896" s="39"/>
    </row>
    <row r="2897">
      <c r="A2897" s="40">
        <f t="shared" si="1"/>
        <v>46006</v>
      </c>
      <c r="B2897" s="37" t="str">
        <f t="array" ref="B2897">iferror(xlookup($I2897, 'IMPORT VHC Report'!$E:$E, 'IMPORT VHC Report'!$A:$C), )</f>
        <v/>
      </c>
      <c r="C2897" s="37"/>
      <c r="D2897" s="37"/>
      <c r="E2897" s="38" t="s">
        <v>3521</v>
      </c>
      <c r="F2897" s="38" t="s">
        <v>3504</v>
      </c>
      <c r="G2897" s="38">
        <v>3.61725260596E11</v>
      </c>
      <c r="H2897" s="38" t="s">
        <v>3505</v>
      </c>
      <c r="I2897" s="38" t="s">
        <v>3506</v>
      </c>
      <c r="J2897" s="38" t="s">
        <v>2268</v>
      </c>
      <c r="K2897" s="38" t="s">
        <v>63</v>
      </c>
      <c r="L2897" s="41">
        <v>46012.625</v>
      </c>
      <c r="M2897" s="38" t="s">
        <v>123</v>
      </c>
      <c r="N2897" s="41">
        <v>46013.0</v>
      </c>
      <c r="O2897" s="38" t="s">
        <v>123</v>
      </c>
      <c r="P2897" s="38">
        <v>32400.0</v>
      </c>
      <c r="Q2897" s="39"/>
      <c r="R2897" s="39"/>
      <c r="S2897" s="39"/>
      <c r="T2897" s="39"/>
      <c r="U2897" s="39"/>
    </row>
    <row r="2898">
      <c r="A2898" s="40">
        <f t="shared" si="1"/>
        <v>46006</v>
      </c>
      <c r="B2898" s="37" t="str">
        <f t="array" ref="B2898">iferror(xlookup($I2898, 'IMPORT VHC Report'!$E:$E, 'IMPORT VHC Report'!$A:$C), )</f>
        <v/>
      </c>
      <c r="C2898" s="37"/>
      <c r="D2898" s="37"/>
      <c r="E2898" s="38" t="s">
        <v>3522</v>
      </c>
      <c r="F2898" s="38" t="s">
        <v>3504</v>
      </c>
      <c r="G2898" s="38">
        <v>3.61725260596E11</v>
      </c>
      <c r="H2898" s="38" t="s">
        <v>3505</v>
      </c>
      <c r="I2898" s="38" t="s">
        <v>3506</v>
      </c>
      <c r="J2898" s="38" t="s">
        <v>134</v>
      </c>
      <c r="K2898" s="38" t="s">
        <v>126</v>
      </c>
      <c r="L2898" s="41">
        <v>46012.708333333336</v>
      </c>
      <c r="M2898" s="38" t="s">
        <v>123</v>
      </c>
      <c r="N2898" s="41">
        <v>46012.729166666664</v>
      </c>
      <c r="O2898" s="38" t="s">
        <v>123</v>
      </c>
      <c r="P2898" s="38">
        <v>1800.0</v>
      </c>
      <c r="Q2898" s="39"/>
      <c r="R2898" s="39"/>
      <c r="S2898" s="39"/>
      <c r="T2898" s="39"/>
      <c r="U2898" s="39"/>
    </row>
    <row r="2899">
      <c r="A2899" s="40">
        <f t="shared" si="1"/>
        <v>46006</v>
      </c>
      <c r="B2899" s="37" t="str">
        <f t="array" ref="B2899">iferror(xlookup($I2899, 'IMPORT VHC Report'!$E:$E, 'IMPORT VHC Report'!$A:$C), )</f>
        <v/>
      </c>
      <c r="C2899" s="37"/>
      <c r="D2899" s="37"/>
      <c r="E2899" s="38" t="s">
        <v>3523</v>
      </c>
      <c r="F2899" s="38" t="s">
        <v>3504</v>
      </c>
      <c r="G2899" s="38">
        <v>3.61725260596E11</v>
      </c>
      <c r="H2899" s="38" t="s">
        <v>3505</v>
      </c>
      <c r="I2899" s="38" t="s">
        <v>3506</v>
      </c>
      <c r="J2899" s="38" t="s">
        <v>132</v>
      </c>
      <c r="K2899" s="38" t="s">
        <v>126</v>
      </c>
      <c r="L2899" s="41">
        <v>46012.895833333336</v>
      </c>
      <c r="M2899" s="38" t="s">
        <v>123</v>
      </c>
      <c r="N2899" s="41">
        <v>46012.9375</v>
      </c>
      <c r="O2899" s="38" t="s">
        <v>123</v>
      </c>
      <c r="P2899" s="38">
        <v>3600.0</v>
      </c>
      <c r="Q2899" s="39"/>
      <c r="R2899" s="39"/>
      <c r="S2899" s="39"/>
      <c r="T2899" s="39"/>
      <c r="U2899" s="39"/>
    </row>
    <row r="2900">
      <c r="A2900" s="40">
        <f t="shared" si="1"/>
        <v>46006</v>
      </c>
      <c r="B2900" s="37" t="str">
        <f t="array" ref="B2900">iferror(xlookup($I2900, 'IMPORT VHC Report'!$E:$E, 'IMPORT VHC Report'!$A:$C), )</f>
        <v/>
      </c>
      <c r="C2900" s="37"/>
      <c r="D2900" s="37"/>
      <c r="E2900" s="38" t="s">
        <v>3524</v>
      </c>
      <c r="F2900" s="38" t="s">
        <v>3525</v>
      </c>
      <c r="G2900" s="39"/>
      <c r="H2900" s="38" t="s">
        <v>3526</v>
      </c>
      <c r="I2900" s="38" t="s">
        <v>3527</v>
      </c>
      <c r="J2900" s="38" t="s">
        <v>125</v>
      </c>
      <c r="K2900" s="38" t="s">
        <v>126</v>
      </c>
      <c r="L2900" s="41">
        <v>46006.416666666664</v>
      </c>
      <c r="M2900" s="38" t="s">
        <v>123</v>
      </c>
      <c r="N2900" s="41">
        <v>46006.4375</v>
      </c>
      <c r="O2900" s="38" t="s">
        <v>123</v>
      </c>
      <c r="P2900" s="38">
        <v>1800.0</v>
      </c>
      <c r="Q2900" s="39"/>
      <c r="R2900" s="39"/>
      <c r="S2900" s="38" t="s">
        <v>199</v>
      </c>
      <c r="T2900" s="39"/>
      <c r="U2900" s="39"/>
    </row>
    <row r="2901">
      <c r="A2901" s="40">
        <f t="shared" si="1"/>
        <v>46006</v>
      </c>
      <c r="B2901" s="37" t="str">
        <f t="array" ref="B2901">iferror(xlookup($I2901, 'IMPORT VHC Report'!$E:$E, 'IMPORT VHC Report'!$A:$C), )</f>
        <v/>
      </c>
      <c r="C2901" s="37"/>
      <c r="D2901" s="37"/>
      <c r="E2901" s="38" t="s">
        <v>3528</v>
      </c>
      <c r="F2901" s="38" t="s">
        <v>3525</v>
      </c>
      <c r="G2901" s="39"/>
      <c r="H2901" s="38" t="s">
        <v>3526</v>
      </c>
      <c r="I2901" s="38" t="s">
        <v>3527</v>
      </c>
      <c r="J2901" s="38" t="s">
        <v>196</v>
      </c>
      <c r="K2901" s="38" t="s">
        <v>63</v>
      </c>
      <c r="L2901" s="41">
        <v>46006.416666666664</v>
      </c>
      <c r="M2901" s="38" t="s">
        <v>123</v>
      </c>
      <c r="N2901" s="41">
        <v>46006.791666666664</v>
      </c>
      <c r="O2901" s="38" t="s">
        <v>123</v>
      </c>
      <c r="P2901" s="38">
        <v>32400.0</v>
      </c>
      <c r="Q2901" s="39"/>
      <c r="R2901" s="39"/>
      <c r="S2901" s="39"/>
      <c r="T2901" s="39"/>
      <c r="U2901" s="39"/>
    </row>
    <row r="2902">
      <c r="A2902" s="40">
        <f t="shared" si="1"/>
        <v>46006</v>
      </c>
      <c r="B2902" s="37" t="str">
        <f t="array" ref="B2902">iferror(xlookup($I2902, 'IMPORT VHC Report'!$E:$E, 'IMPORT VHC Report'!$A:$C), )</f>
        <v/>
      </c>
      <c r="C2902" s="37"/>
      <c r="D2902" s="37"/>
      <c r="E2902" s="38" t="s">
        <v>3529</v>
      </c>
      <c r="F2902" s="38" t="s">
        <v>3525</v>
      </c>
      <c r="G2902" s="39"/>
      <c r="H2902" s="38" t="s">
        <v>3526</v>
      </c>
      <c r="I2902" s="38" t="s">
        <v>3527</v>
      </c>
      <c r="J2902" s="38" t="s">
        <v>134</v>
      </c>
      <c r="K2902" s="38" t="s">
        <v>126</v>
      </c>
      <c r="L2902" s="41">
        <v>46006.520833333336</v>
      </c>
      <c r="M2902" s="38" t="s">
        <v>123</v>
      </c>
      <c r="N2902" s="41">
        <v>46006.541666666664</v>
      </c>
      <c r="O2902" s="38" t="s">
        <v>123</v>
      </c>
      <c r="P2902" s="38">
        <v>1800.0</v>
      </c>
      <c r="Q2902" s="39"/>
      <c r="R2902" s="39"/>
      <c r="S2902" s="39"/>
      <c r="T2902" s="39"/>
      <c r="U2902" s="39"/>
    </row>
    <row r="2903">
      <c r="A2903" s="40">
        <f t="shared" si="1"/>
        <v>46006</v>
      </c>
      <c r="B2903" s="37" t="str">
        <f t="array" ref="B2903">iferror(xlookup($I2903, 'IMPORT VHC Report'!$E:$E, 'IMPORT VHC Report'!$A:$C), )</f>
        <v/>
      </c>
      <c r="C2903" s="37"/>
      <c r="D2903" s="37"/>
      <c r="E2903" s="38" t="s">
        <v>3530</v>
      </c>
      <c r="F2903" s="38" t="s">
        <v>3525</v>
      </c>
      <c r="G2903" s="39"/>
      <c r="H2903" s="38" t="s">
        <v>3526</v>
      </c>
      <c r="I2903" s="38" t="s">
        <v>3527</v>
      </c>
      <c r="J2903" s="38" t="s">
        <v>132</v>
      </c>
      <c r="K2903" s="38" t="s">
        <v>126</v>
      </c>
      <c r="L2903" s="41">
        <v>46006.65625</v>
      </c>
      <c r="M2903" s="38" t="s">
        <v>123</v>
      </c>
      <c r="N2903" s="41">
        <v>46006.697916666664</v>
      </c>
      <c r="O2903" s="38" t="s">
        <v>123</v>
      </c>
      <c r="P2903" s="38">
        <v>3600.0</v>
      </c>
      <c r="Q2903" s="39"/>
      <c r="R2903" s="39"/>
      <c r="S2903" s="39"/>
      <c r="T2903" s="39"/>
      <c r="U2903" s="39"/>
    </row>
    <row r="2904">
      <c r="A2904" s="40">
        <f t="shared" si="1"/>
        <v>46006</v>
      </c>
      <c r="B2904" s="37" t="str">
        <f t="array" ref="B2904">iferror(xlookup($I2904, 'IMPORT VHC Report'!$E:$E, 'IMPORT VHC Report'!$A:$C), )</f>
        <v/>
      </c>
      <c r="C2904" s="37"/>
      <c r="D2904" s="37"/>
      <c r="E2904" s="38" t="s">
        <v>3531</v>
      </c>
      <c r="F2904" s="38" t="s">
        <v>3525</v>
      </c>
      <c r="G2904" s="39"/>
      <c r="H2904" s="38" t="s">
        <v>3526</v>
      </c>
      <c r="I2904" s="38" t="s">
        <v>3527</v>
      </c>
      <c r="J2904" s="38" t="s">
        <v>125</v>
      </c>
      <c r="K2904" s="38" t="s">
        <v>126</v>
      </c>
      <c r="L2904" s="41">
        <v>46007.416666666664</v>
      </c>
      <c r="M2904" s="38" t="s">
        <v>123</v>
      </c>
      <c r="N2904" s="41">
        <v>46007.427083333336</v>
      </c>
      <c r="O2904" s="38" t="s">
        <v>123</v>
      </c>
      <c r="P2904" s="38">
        <v>900.0</v>
      </c>
      <c r="Q2904" s="39"/>
      <c r="R2904" s="39"/>
      <c r="S2904" s="38" t="s">
        <v>199</v>
      </c>
      <c r="T2904" s="39"/>
      <c r="U2904" s="39"/>
    </row>
    <row r="2905">
      <c r="A2905" s="40">
        <f t="shared" si="1"/>
        <v>46006</v>
      </c>
      <c r="B2905" s="37" t="str">
        <f t="array" ref="B2905">iferror(xlookup($I2905, 'IMPORT VHC Report'!$E:$E, 'IMPORT VHC Report'!$A:$C), )</f>
        <v/>
      </c>
      <c r="C2905" s="37"/>
      <c r="D2905" s="37"/>
      <c r="E2905" s="38" t="s">
        <v>3532</v>
      </c>
      <c r="F2905" s="38" t="s">
        <v>3525</v>
      </c>
      <c r="G2905" s="39"/>
      <c r="H2905" s="38" t="s">
        <v>3526</v>
      </c>
      <c r="I2905" s="38" t="s">
        <v>3527</v>
      </c>
      <c r="J2905" s="38" t="s">
        <v>196</v>
      </c>
      <c r="K2905" s="38" t="s">
        <v>63</v>
      </c>
      <c r="L2905" s="41">
        <v>46007.427083333336</v>
      </c>
      <c r="M2905" s="38" t="s">
        <v>123</v>
      </c>
      <c r="N2905" s="41">
        <v>46007.53125</v>
      </c>
      <c r="O2905" s="38" t="s">
        <v>123</v>
      </c>
      <c r="P2905" s="38">
        <v>9000.0</v>
      </c>
      <c r="Q2905" s="39"/>
      <c r="R2905" s="39"/>
      <c r="S2905" s="39"/>
      <c r="T2905" s="39"/>
      <c r="U2905" s="39"/>
    </row>
    <row r="2906">
      <c r="A2906" s="40">
        <f t="shared" si="1"/>
        <v>46006</v>
      </c>
      <c r="B2906" s="37" t="str">
        <f t="array" ref="B2906">iferror(xlookup($I2906, 'IMPORT VHC Report'!$E:$E, 'IMPORT VHC Report'!$A:$C), )</f>
        <v/>
      </c>
      <c r="C2906" s="37"/>
      <c r="D2906" s="37"/>
      <c r="E2906" s="38" t="s">
        <v>3533</v>
      </c>
      <c r="F2906" s="38" t="s">
        <v>3525</v>
      </c>
      <c r="G2906" s="39"/>
      <c r="H2906" s="38" t="s">
        <v>3526</v>
      </c>
      <c r="I2906" s="38" t="s">
        <v>3527</v>
      </c>
      <c r="J2906" s="38" t="s">
        <v>134</v>
      </c>
      <c r="K2906" s="38" t="s">
        <v>126</v>
      </c>
      <c r="L2906" s="41">
        <v>46007.53125</v>
      </c>
      <c r="M2906" s="38" t="s">
        <v>123</v>
      </c>
      <c r="N2906" s="41">
        <v>46007.552083333336</v>
      </c>
      <c r="O2906" s="38" t="s">
        <v>123</v>
      </c>
      <c r="P2906" s="38">
        <v>1800.0</v>
      </c>
      <c r="Q2906" s="39"/>
      <c r="R2906" s="39"/>
      <c r="S2906" s="39"/>
      <c r="T2906" s="39"/>
      <c r="U2906" s="39"/>
    </row>
    <row r="2907">
      <c r="A2907" s="40">
        <f t="shared" si="1"/>
        <v>46006</v>
      </c>
      <c r="B2907" s="37" t="str">
        <f t="array" ref="B2907">iferror(xlookup($I2907, 'IMPORT VHC Report'!$E:$E, 'IMPORT VHC Report'!$A:$C), )</f>
        <v/>
      </c>
      <c r="C2907" s="37"/>
      <c r="D2907" s="37"/>
      <c r="E2907" s="38" t="s">
        <v>3534</v>
      </c>
      <c r="F2907" s="38" t="s">
        <v>3525</v>
      </c>
      <c r="G2907" s="39"/>
      <c r="H2907" s="38" t="s">
        <v>3526</v>
      </c>
      <c r="I2907" s="38" t="s">
        <v>3527</v>
      </c>
      <c r="J2907" s="38" t="s">
        <v>196</v>
      </c>
      <c r="K2907" s="38" t="s">
        <v>63</v>
      </c>
      <c r="L2907" s="41">
        <v>46007.552083333336</v>
      </c>
      <c r="M2907" s="38" t="s">
        <v>123</v>
      </c>
      <c r="N2907" s="41">
        <v>46007.666666666664</v>
      </c>
      <c r="O2907" s="38" t="s">
        <v>123</v>
      </c>
      <c r="P2907" s="38">
        <v>9900.0</v>
      </c>
      <c r="Q2907" s="39"/>
      <c r="R2907" s="39"/>
      <c r="S2907" s="39"/>
      <c r="T2907" s="39"/>
      <c r="U2907" s="39"/>
    </row>
    <row r="2908">
      <c r="A2908" s="40">
        <f t="shared" si="1"/>
        <v>46006</v>
      </c>
      <c r="B2908" s="37" t="str">
        <f t="array" ref="B2908">iferror(xlookup($I2908, 'IMPORT VHC Report'!$E:$E, 'IMPORT VHC Report'!$A:$C), )</f>
        <v/>
      </c>
      <c r="C2908" s="37"/>
      <c r="D2908" s="37"/>
      <c r="E2908" s="38" t="s">
        <v>3535</v>
      </c>
      <c r="F2908" s="38" t="s">
        <v>3525</v>
      </c>
      <c r="G2908" s="39"/>
      <c r="H2908" s="38" t="s">
        <v>3526</v>
      </c>
      <c r="I2908" s="38" t="s">
        <v>3527</v>
      </c>
      <c r="J2908" s="38" t="s">
        <v>132</v>
      </c>
      <c r="K2908" s="38" t="s">
        <v>126</v>
      </c>
      <c r="L2908" s="41">
        <v>46007.666666666664</v>
      </c>
      <c r="M2908" s="38" t="s">
        <v>123</v>
      </c>
      <c r="N2908" s="41">
        <v>46007.708333333336</v>
      </c>
      <c r="O2908" s="38" t="s">
        <v>123</v>
      </c>
      <c r="P2908" s="38">
        <v>3600.0</v>
      </c>
      <c r="Q2908" s="39"/>
      <c r="R2908" s="39"/>
      <c r="S2908" s="39"/>
      <c r="T2908" s="39"/>
      <c r="U2908" s="39"/>
    </row>
    <row r="2909">
      <c r="A2909" s="40">
        <f t="shared" si="1"/>
        <v>46006</v>
      </c>
      <c r="B2909" s="37" t="str">
        <f t="array" ref="B2909">iferror(xlookup($I2909, 'IMPORT VHC Report'!$E:$E, 'IMPORT VHC Report'!$A:$C), )</f>
        <v/>
      </c>
      <c r="C2909" s="37"/>
      <c r="D2909" s="37"/>
      <c r="E2909" s="38" t="s">
        <v>3536</v>
      </c>
      <c r="F2909" s="38" t="s">
        <v>3525</v>
      </c>
      <c r="G2909" s="39"/>
      <c r="H2909" s="38" t="s">
        <v>3526</v>
      </c>
      <c r="I2909" s="38" t="s">
        <v>3527</v>
      </c>
      <c r="J2909" s="38" t="s">
        <v>196</v>
      </c>
      <c r="K2909" s="38" t="s">
        <v>63</v>
      </c>
      <c r="L2909" s="41">
        <v>46007.708333333336</v>
      </c>
      <c r="M2909" s="38" t="s">
        <v>123</v>
      </c>
      <c r="N2909" s="41">
        <v>46007.76388888889</v>
      </c>
      <c r="O2909" s="38" t="s">
        <v>123</v>
      </c>
      <c r="P2909" s="38">
        <v>4800.0</v>
      </c>
      <c r="Q2909" s="39"/>
      <c r="R2909" s="39"/>
      <c r="S2909" s="39"/>
      <c r="T2909" s="39"/>
      <c r="U2909" s="39"/>
    </row>
    <row r="2910">
      <c r="A2910" s="40">
        <f t="shared" si="1"/>
        <v>46006</v>
      </c>
      <c r="B2910" s="37" t="str">
        <f t="array" ref="B2910">iferror(xlookup($I2910, 'IMPORT VHC Report'!$E:$E, 'IMPORT VHC Report'!$A:$C), )</f>
        <v/>
      </c>
      <c r="C2910" s="37"/>
      <c r="D2910" s="37"/>
      <c r="E2910" s="38" t="s">
        <v>3537</v>
      </c>
      <c r="F2910" s="38" t="s">
        <v>3525</v>
      </c>
      <c r="G2910" s="39"/>
      <c r="H2910" s="38" t="s">
        <v>3526</v>
      </c>
      <c r="I2910" s="38" t="s">
        <v>3527</v>
      </c>
      <c r="J2910" s="38" t="s">
        <v>4</v>
      </c>
      <c r="K2910" s="38" t="s">
        <v>126</v>
      </c>
      <c r="L2910" s="41">
        <v>46007.76388888889</v>
      </c>
      <c r="M2910" s="38" t="s">
        <v>123</v>
      </c>
      <c r="N2910" s="41">
        <v>46007.791666666664</v>
      </c>
      <c r="O2910" s="38" t="s">
        <v>123</v>
      </c>
      <c r="P2910" s="38">
        <v>2400.0</v>
      </c>
      <c r="Q2910" s="39"/>
      <c r="R2910" s="39"/>
      <c r="S2910" s="39"/>
      <c r="T2910" s="39"/>
      <c r="U2910" s="39"/>
    </row>
    <row r="2911">
      <c r="A2911" s="40">
        <f t="shared" si="1"/>
        <v>46006</v>
      </c>
      <c r="B2911" s="37" t="str">
        <f t="array" ref="B2911">iferror(xlookup($I2911, 'IMPORT VHC Report'!$E:$E, 'IMPORT VHC Report'!$A:$C), )</f>
        <v/>
      </c>
      <c r="C2911" s="37"/>
      <c r="D2911" s="37"/>
      <c r="E2911" s="38" t="s">
        <v>3538</v>
      </c>
      <c r="F2911" s="38" t="s">
        <v>3525</v>
      </c>
      <c r="G2911" s="39"/>
      <c r="H2911" s="38" t="s">
        <v>3526</v>
      </c>
      <c r="I2911" s="38" t="s">
        <v>3527</v>
      </c>
      <c r="J2911" s="38" t="s">
        <v>125</v>
      </c>
      <c r="K2911" s="38" t="s">
        <v>126</v>
      </c>
      <c r="L2911" s="41">
        <v>46008.416666666664</v>
      </c>
      <c r="M2911" s="38" t="s">
        <v>123</v>
      </c>
      <c r="N2911" s="41">
        <v>46008.427083333336</v>
      </c>
      <c r="O2911" s="38" t="s">
        <v>123</v>
      </c>
      <c r="P2911" s="38">
        <v>900.0</v>
      </c>
      <c r="Q2911" s="39"/>
      <c r="R2911" s="39"/>
      <c r="S2911" s="38" t="s">
        <v>199</v>
      </c>
      <c r="T2911" s="39"/>
      <c r="U2911" s="39"/>
    </row>
    <row r="2912">
      <c r="A2912" s="40">
        <f t="shared" si="1"/>
        <v>46006</v>
      </c>
      <c r="B2912" s="37" t="str">
        <f t="array" ref="B2912">iferror(xlookup($I2912, 'IMPORT VHC Report'!$E:$E, 'IMPORT VHC Report'!$A:$C), )</f>
        <v/>
      </c>
      <c r="C2912" s="37"/>
      <c r="D2912" s="37"/>
      <c r="E2912" s="38" t="s">
        <v>3539</v>
      </c>
      <c r="F2912" s="38" t="s">
        <v>3525</v>
      </c>
      <c r="G2912" s="39"/>
      <c r="H2912" s="38" t="s">
        <v>3526</v>
      </c>
      <c r="I2912" s="38" t="s">
        <v>3527</v>
      </c>
      <c r="J2912" s="38" t="s">
        <v>196</v>
      </c>
      <c r="K2912" s="38" t="s">
        <v>63</v>
      </c>
      <c r="L2912" s="41">
        <v>46008.416666666664</v>
      </c>
      <c r="M2912" s="38" t="s">
        <v>123</v>
      </c>
      <c r="N2912" s="41">
        <v>46008.791666666664</v>
      </c>
      <c r="O2912" s="38" t="s">
        <v>123</v>
      </c>
      <c r="P2912" s="38">
        <v>32400.0</v>
      </c>
      <c r="Q2912" s="39"/>
      <c r="R2912" s="39"/>
      <c r="S2912" s="39"/>
      <c r="T2912" s="39"/>
      <c r="U2912" s="39"/>
    </row>
    <row r="2913">
      <c r="A2913" s="40">
        <f t="shared" si="1"/>
        <v>46006</v>
      </c>
      <c r="B2913" s="37" t="str">
        <f t="array" ref="B2913">iferror(xlookup($I2913, 'IMPORT VHC Report'!$E:$E, 'IMPORT VHC Report'!$A:$C), )</f>
        <v/>
      </c>
      <c r="C2913" s="37"/>
      <c r="D2913" s="37"/>
      <c r="E2913" s="38" t="s">
        <v>3540</v>
      </c>
      <c r="F2913" s="38" t="s">
        <v>3525</v>
      </c>
      <c r="G2913" s="39"/>
      <c r="H2913" s="38" t="s">
        <v>3526</v>
      </c>
      <c r="I2913" s="38" t="s">
        <v>3527</v>
      </c>
      <c r="J2913" s="38" t="s">
        <v>4</v>
      </c>
      <c r="K2913" s="38" t="s">
        <v>126</v>
      </c>
      <c r="L2913" s="41">
        <v>46008.427083333336</v>
      </c>
      <c r="M2913" s="38" t="s">
        <v>123</v>
      </c>
      <c r="N2913" s="41">
        <v>46008.46875</v>
      </c>
      <c r="O2913" s="38" t="s">
        <v>123</v>
      </c>
      <c r="P2913" s="38">
        <v>3600.0</v>
      </c>
      <c r="Q2913" s="39"/>
      <c r="R2913" s="39"/>
      <c r="S2913" s="38" t="s">
        <v>858</v>
      </c>
      <c r="T2913" s="39"/>
      <c r="U2913" s="39"/>
    </row>
    <row r="2914">
      <c r="A2914" s="40">
        <f t="shared" si="1"/>
        <v>46006</v>
      </c>
      <c r="B2914" s="37" t="str">
        <f t="array" ref="B2914">iferror(xlookup($I2914, 'IMPORT VHC Report'!$E:$E, 'IMPORT VHC Report'!$A:$C), )</f>
        <v/>
      </c>
      <c r="C2914" s="37"/>
      <c r="D2914" s="37"/>
      <c r="E2914" s="38" t="s">
        <v>3541</v>
      </c>
      <c r="F2914" s="38" t="s">
        <v>3525</v>
      </c>
      <c r="G2914" s="39"/>
      <c r="H2914" s="38" t="s">
        <v>3526</v>
      </c>
      <c r="I2914" s="38" t="s">
        <v>3527</v>
      </c>
      <c r="J2914" s="38" t="s">
        <v>132</v>
      </c>
      <c r="K2914" s="38" t="s">
        <v>126</v>
      </c>
      <c r="L2914" s="41">
        <v>46008.541666666664</v>
      </c>
      <c r="M2914" s="38" t="s">
        <v>123</v>
      </c>
      <c r="N2914" s="41">
        <v>46008.583333333336</v>
      </c>
      <c r="O2914" s="38" t="s">
        <v>123</v>
      </c>
      <c r="P2914" s="38">
        <v>3600.0</v>
      </c>
      <c r="Q2914" s="39"/>
      <c r="R2914" s="39"/>
      <c r="S2914" s="39"/>
      <c r="T2914" s="39"/>
      <c r="U2914" s="39"/>
    </row>
    <row r="2915">
      <c r="A2915" s="40">
        <f t="shared" si="1"/>
        <v>46006</v>
      </c>
      <c r="B2915" s="37" t="str">
        <f t="array" ref="B2915">iferror(xlookup($I2915, 'IMPORT VHC Report'!$E:$E, 'IMPORT VHC Report'!$A:$C), )</f>
        <v/>
      </c>
      <c r="C2915" s="37"/>
      <c r="D2915" s="37"/>
      <c r="E2915" s="38" t="s">
        <v>3542</v>
      </c>
      <c r="F2915" s="38" t="s">
        <v>3525</v>
      </c>
      <c r="G2915" s="39"/>
      <c r="H2915" s="38" t="s">
        <v>3526</v>
      </c>
      <c r="I2915" s="38" t="s">
        <v>3527</v>
      </c>
      <c r="J2915" s="38" t="s">
        <v>134</v>
      </c>
      <c r="K2915" s="38" t="s">
        <v>126</v>
      </c>
      <c r="L2915" s="41">
        <v>46008.6875</v>
      </c>
      <c r="M2915" s="38" t="s">
        <v>123</v>
      </c>
      <c r="N2915" s="41">
        <v>46008.708333333336</v>
      </c>
      <c r="O2915" s="38" t="s">
        <v>123</v>
      </c>
      <c r="P2915" s="38">
        <v>1800.0</v>
      </c>
      <c r="Q2915" s="39"/>
      <c r="R2915" s="39"/>
      <c r="S2915" s="39"/>
      <c r="T2915" s="39"/>
      <c r="U2915" s="39"/>
    </row>
    <row r="2916">
      <c r="A2916" s="40">
        <f t="shared" si="1"/>
        <v>46006</v>
      </c>
      <c r="B2916" s="37" t="str">
        <f t="array" ref="B2916">iferror(xlookup($I2916, 'IMPORT VHC Report'!$E:$E, 'IMPORT VHC Report'!$A:$C), )</f>
        <v/>
      </c>
      <c r="C2916" s="37"/>
      <c r="D2916" s="37"/>
      <c r="E2916" s="38" t="s">
        <v>3543</v>
      </c>
      <c r="F2916" s="38" t="s">
        <v>3525</v>
      </c>
      <c r="G2916" s="39"/>
      <c r="H2916" s="38" t="s">
        <v>3526</v>
      </c>
      <c r="I2916" s="38" t="s">
        <v>3527</v>
      </c>
      <c r="J2916" s="38" t="s">
        <v>125</v>
      </c>
      <c r="K2916" s="38" t="s">
        <v>126</v>
      </c>
      <c r="L2916" s="41">
        <v>46009.416666666664</v>
      </c>
      <c r="M2916" s="38" t="s">
        <v>123</v>
      </c>
      <c r="N2916" s="41">
        <v>46009.427083333336</v>
      </c>
      <c r="O2916" s="38" t="s">
        <v>123</v>
      </c>
      <c r="P2916" s="38">
        <v>900.0</v>
      </c>
      <c r="Q2916" s="39"/>
      <c r="R2916" s="39"/>
      <c r="S2916" s="38" t="s">
        <v>199</v>
      </c>
      <c r="T2916" s="39"/>
      <c r="U2916" s="39"/>
    </row>
    <row r="2917">
      <c r="A2917" s="40">
        <f t="shared" si="1"/>
        <v>46006</v>
      </c>
      <c r="B2917" s="37" t="str">
        <f t="array" ref="B2917">iferror(xlookup($I2917, 'IMPORT VHC Report'!$E:$E, 'IMPORT VHC Report'!$A:$C), )</f>
        <v/>
      </c>
      <c r="C2917" s="37"/>
      <c r="D2917" s="37"/>
      <c r="E2917" s="38" t="s">
        <v>3544</v>
      </c>
      <c r="F2917" s="38" t="s">
        <v>3525</v>
      </c>
      <c r="G2917" s="39"/>
      <c r="H2917" s="38" t="s">
        <v>3526</v>
      </c>
      <c r="I2917" s="38" t="s">
        <v>3527</v>
      </c>
      <c r="J2917" s="38" t="s">
        <v>196</v>
      </c>
      <c r="K2917" s="38" t="s">
        <v>63</v>
      </c>
      <c r="L2917" s="41">
        <v>46009.416666666664</v>
      </c>
      <c r="M2917" s="38" t="s">
        <v>123</v>
      </c>
      <c r="N2917" s="41">
        <v>46009.791666666664</v>
      </c>
      <c r="O2917" s="38" t="s">
        <v>123</v>
      </c>
      <c r="P2917" s="38">
        <v>32400.0</v>
      </c>
      <c r="Q2917" s="39"/>
      <c r="R2917" s="39"/>
      <c r="S2917" s="39"/>
      <c r="T2917" s="39"/>
      <c r="U2917" s="39"/>
    </row>
    <row r="2918">
      <c r="A2918" s="40">
        <f t="shared" si="1"/>
        <v>46006</v>
      </c>
      <c r="B2918" s="37" t="str">
        <f t="array" ref="B2918">iferror(xlookup($I2918, 'IMPORT VHC Report'!$E:$E, 'IMPORT VHC Report'!$A:$C), )</f>
        <v/>
      </c>
      <c r="C2918" s="37"/>
      <c r="D2918" s="37"/>
      <c r="E2918" s="38" t="s">
        <v>3545</v>
      </c>
      <c r="F2918" s="38" t="s">
        <v>3525</v>
      </c>
      <c r="G2918" s="39"/>
      <c r="H2918" s="38" t="s">
        <v>3526</v>
      </c>
      <c r="I2918" s="38" t="s">
        <v>3527</v>
      </c>
      <c r="J2918" s="38" t="s">
        <v>132</v>
      </c>
      <c r="K2918" s="38" t="s">
        <v>126</v>
      </c>
      <c r="L2918" s="41">
        <v>46009.541666666664</v>
      </c>
      <c r="M2918" s="38" t="s">
        <v>123</v>
      </c>
      <c r="N2918" s="41">
        <v>46009.583333333336</v>
      </c>
      <c r="O2918" s="38" t="s">
        <v>123</v>
      </c>
      <c r="P2918" s="38">
        <v>3600.0</v>
      </c>
      <c r="Q2918" s="39"/>
      <c r="R2918" s="39"/>
      <c r="S2918" s="39"/>
      <c r="T2918" s="39"/>
      <c r="U2918" s="39"/>
    </row>
    <row r="2919">
      <c r="A2919" s="40">
        <f t="shared" si="1"/>
        <v>46006</v>
      </c>
      <c r="B2919" s="37" t="str">
        <f t="array" ref="B2919">iferror(xlookup($I2919, 'IMPORT VHC Report'!$E:$E, 'IMPORT VHC Report'!$A:$C), )</f>
        <v/>
      </c>
      <c r="C2919" s="37"/>
      <c r="D2919" s="37"/>
      <c r="E2919" s="38" t="s">
        <v>3546</v>
      </c>
      <c r="F2919" s="38" t="s">
        <v>3525</v>
      </c>
      <c r="G2919" s="39"/>
      <c r="H2919" s="38" t="s">
        <v>3526</v>
      </c>
      <c r="I2919" s="38" t="s">
        <v>3527</v>
      </c>
      <c r="J2919" s="38" t="s">
        <v>134</v>
      </c>
      <c r="K2919" s="38" t="s">
        <v>126</v>
      </c>
      <c r="L2919" s="41">
        <v>46009.6875</v>
      </c>
      <c r="M2919" s="38" t="s">
        <v>123</v>
      </c>
      <c r="N2919" s="41">
        <v>46009.708333333336</v>
      </c>
      <c r="O2919" s="38" t="s">
        <v>123</v>
      </c>
      <c r="P2919" s="38">
        <v>1800.0</v>
      </c>
      <c r="Q2919" s="39"/>
      <c r="R2919" s="39"/>
      <c r="S2919" s="39"/>
      <c r="T2919" s="39"/>
      <c r="U2919" s="39"/>
    </row>
    <row r="2920">
      <c r="A2920" s="40">
        <f t="shared" si="1"/>
        <v>46006</v>
      </c>
      <c r="B2920" s="37" t="str">
        <f t="array" ref="B2920">iferror(xlookup($I2920, 'IMPORT VHC Report'!$E:$E, 'IMPORT VHC Report'!$A:$C), )</f>
        <v/>
      </c>
      <c r="C2920" s="37"/>
      <c r="D2920" s="37"/>
      <c r="E2920" s="38" t="s">
        <v>3547</v>
      </c>
      <c r="F2920" s="38" t="s">
        <v>3525</v>
      </c>
      <c r="G2920" s="39"/>
      <c r="H2920" s="38" t="s">
        <v>3526</v>
      </c>
      <c r="I2920" s="38" t="s">
        <v>3527</v>
      </c>
      <c r="J2920" s="38" t="s">
        <v>125</v>
      </c>
      <c r="K2920" s="38" t="s">
        <v>126</v>
      </c>
      <c r="L2920" s="41">
        <v>46012.416666666664</v>
      </c>
      <c r="M2920" s="38" t="s">
        <v>123</v>
      </c>
      <c r="N2920" s="41">
        <v>46012.427083333336</v>
      </c>
      <c r="O2920" s="38" t="s">
        <v>123</v>
      </c>
      <c r="P2920" s="38">
        <v>900.0</v>
      </c>
      <c r="Q2920" s="39"/>
      <c r="R2920" s="39"/>
      <c r="S2920" s="38" t="s">
        <v>199</v>
      </c>
      <c r="T2920" s="39"/>
      <c r="U2920" s="39"/>
    </row>
    <row r="2921">
      <c r="A2921" s="40">
        <f t="shared" si="1"/>
        <v>46006</v>
      </c>
      <c r="B2921" s="37" t="str">
        <f t="array" ref="B2921">iferror(xlookup($I2921, 'IMPORT VHC Report'!$E:$E, 'IMPORT VHC Report'!$A:$C), )</f>
        <v/>
      </c>
      <c r="C2921" s="37"/>
      <c r="D2921" s="37"/>
      <c r="E2921" s="38" t="s">
        <v>3548</v>
      </c>
      <c r="F2921" s="38" t="s">
        <v>3525</v>
      </c>
      <c r="G2921" s="39"/>
      <c r="H2921" s="38" t="s">
        <v>3526</v>
      </c>
      <c r="I2921" s="38" t="s">
        <v>3527</v>
      </c>
      <c r="J2921" s="38" t="s">
        <v>152</v>
      </c>
      <c r="K2921" s="38" t="s">
        <v>153</v>
      </c>
      <c r="L2921" s="41">
        <v>46012.416666666664</v>
      </c>
      <c r="M2921" s="38" t="s">
        <v>123</v>
      </c>
      <c r="N2921" s="41">
        <v>46012.791666666664</v>
      </c>
      <c r="O2921" s="38" t="s">
        <v>123</v>
      </c>
      <c r="P2921" s="38">
        <v>32400.0</v>
      </c>
      <c r="Q2921" s="38">
        <v>28800.0</v>
      </c>
      <c r="R2921" s="38" t="s">
        <v>3549</v>
      </c>
      <c r="S2921" s="39"/>
      <c r="T2921" s="39"/>
      <c r="U2921" s="39"/>
    </row>
    <row r="2922">
      <c r="A2922" s="40">
        <f t="shared" si="1"/>
        <v>46006</v>
      </c>
      <c r="B2922" s="37" t="str">
        <f t="array" ref="B2922">iferror(xlookup($I2922, 'IMPORT VHC Report'!$E:$E, 'IMPORT VHC Report'!$A:$C), )</f>
        <v/>
      </c>
      <c r="C2922" s="37"/>
      <c r="D2922" s="37"/>
      <c r="E2922" s="38" t="s">
        <v>3550</v>
      </c>
      <c r="F2922" s="38" t="s">
        <v>3525</v>
      </c>
      <c r="G2922" s="39"/>
      <c r="H2922" s="38" t="s">
        <v>3526</v>
      </c>
      <c r="I2922" s="38" t="s">
        <v>3527</v>
      </c>
      <c r="J2922" s="38" t="s">
        <v>196</v>
      </c>
      <c r="K2922" s="38" t="s">
        <v>63</v>
      </c>
      <c r="L2922" s="41">
        <v>46012.416666666664</v>
      </c>
      <c r="M2922" s="38" t="s">
        <v>123</v>
      </c>
      <c r="N2922" s="41">
        <v>46012.791666666664</v>
      </c>
      <c r="O2922" s="38" t="s">
        <v>123</v>
      </c>
      <c r="P2922" s="38">
        <v>32400.0</v>
      </c>
      <c r="Q2922" s="39"/>
      <c r="R2922" s="39"/>
      <c r="S2922" s="39"/>
      <c r="T2922" s="39"/>
      <c r="U2922" s="39"/>
    </row>
    <row r="2923">
      <c r="A2923" s="40">
        <f t="shared" si="1"/>
        <v>46006</v>
      </c>
      <c r="B2923" s="37" t="str">
        <f t="array" ref="B2923">iferror(xlookup($I2923, 'IMPORT VHC Report'!$E:$E, 'IMPORT VHC Report'!$A:$C), )</f>
        <v/>
      </c>
      <c r="C2923" s="37"/>
      <c r="D2923" s="37"/>
      <c r="E2923" s="38" t="s">
        <v>3551</v>
      </c>
      <c r="F2923" s="38" t="s">
        <v>3525</v>
      </c>
      <c r="G2923" s="39"/>
      <c r="H2923" s="38" t="s">
        <v>3526</v>
      </c>
      <c r="I2923" s="38" t="s">
        <v>3527</v>
      </c>
      <c r="J2923" s="38" t="s">
        <v>134</v>
      </c>
      <c r="K2923" s="38" t="s">
        <v>126</v>
      </c>
      <c r="L2923" s="41">
        <v>46012.53125</v>
      </c>
      <c r="M2923" s="38" t="s">
        <v>123</v>
      </c>
      <c r="N2923" s="41">
        <v>46012.552083333336</v>
      </c>
      <c r="O2923" s="38" t="s">
        <v>123</v>
      </c>
      <c r="P2923" s="38">
        <v>1800.0</v>
      </c>
      <c r="Q2923" s="39"/>
      <c r="R2923" s="39"/>
      <c r="S2923" s="39"/>
      <c r="T2923" s="39"/>
      <c r="U2923" s="39"/>
    </row>
    <row r="2924">
      <c r="A2924" s="40">
        <f t="shared" si="1"/>
        <v>46006</v>
      </c>
      <c r="B2924" s="37" t="str">
        <f t="array" ref="B2924">iferror(xlookup($I2924, 'IMPORT VHC Report'!$E:$E, 'IMPORT VHC Report'!$A:$C), )</f>
        <v/>
      </c>
      <c r="C2924" s="37"/>
      <c r="D2924" s="37"/>
      <c r="E2924" s="38" t="s">
        <v>3552</v>
      </c>
      <c r="F2924" s="38" t="s">
        <v>3525</v>
      </c>
      <c r="G2924" s="39"/>
      <c r="H2924" s="38" t="s">
        <v>3526</v>
      </c>
      <c r="I2924" s="38" t="s">
        <v>3527</v>
      </c>
      <c r="J2924" s="38" t="s">
        <v>132</v>
      </c>
      <c r="K2924" s="38" t="s">
        <v>126</v>
      </c>
      <c r="L2924" s="41">
        <v>46012.677083333336</v>
      </c>
      <c r="M2924" s="38" t="s">
        <v>123</v>
      </c>
      <c r="N2924" s="41">
        <v>46012.71875</v>
      </c>
      <c r="O2924" s="38" t="s">
        <v>123</v>
      </c>
      <c r="P2924" s="38">
        <v>3600.0</v>
      </c>
      <c r="Q2924" s="39"/>
      <c r="R2924" s="39"/>
      <c r="S2924" s="39"/>
      <c r="T2924" s="39"/>
      <c r="U2924" s="39"/>
    </row>
    <row r="2925">
      <c r="A2925" s="40">
        <f t="shared" si="1"/>
        <v>46006</v>
      </c>
      <c r="B2925" s="37" t="str">
        <f t="array" ref="B2925">iferror(xlookup($I2925, 'IMPORT VHC Report'!$E:$E, 'IMPORT VHC Report'!$A:$C), )</f>
        <v/>
      </c>
      <c r="C2925" s="37"/>
      <c r="D2925" s="37"/>
      <c r="E2925" s="38" t="s">
        <v>3553</v>
      </c>
      <c r="F2925" s="38" t="s">
        <v>3554</v>
      </c>
      <c r="G2925" s="38">
        <v>3.61825397936E11</v>
      </c>
      <c r="H2925" s="38" t="s">
        <v>3555</v>
      </c>
      <c r="I2925" s="38" t="s">
        <v>3556</v>
      </c>
      <c r="J2925" s="38" t="s">
        <v>125</v>
      </c>
      <c r="K2925" s="38" t="s">
        <v>126</v>
      </c>
      <c r="L2925" s="41">
        <v>46006.416666666664</v>
      </c>
      <c r="M2925" s="38" t="s">
        <v>123</v>
      </c>
      <c r="N2925" s="41">
        <v>46006.42361111111</v>
      </c>
      <c r="O2925" s="38" t="s">
        <v>123</v>
      </c>
      <c r="P2925" s="38">
        <v>600.0</v>
      </c>
      <c r="Q2925" s="39"/>
      <c r="R2925" s="39"/>
      <c r="S2925" s="38" t="s">
        <v>127</v>
      </c>
      <c r="T2925" s="39"/>
      <c r="U2925" s="39"/>
    </row>
    <row r="2926">
      <c r="A2926" s="40">
        <f t="shared" si="1"/>
        <v>46006</v>
      </c>
      <c r="B2926" s="37" t="str">
        <f t="array" ref="B2926">iferror(xlookup($I2926, 'IMPORT VHC Report'!$E:$E, 'IMPORT VHC Report'!$A:$C), )</f>
        <v/>
      </c>
      <c r="C2926" s="37"/>
      <c r="D2926" s="37"/>
      <c r="E2926" s="38" t="s">
        <v>3557</v>
      </c>
      <c r="F2926" s="38" t="s">
        <v>3554</v>
      </c>
      <c r="G2926" s="38">
        <v>3.61825397936E11</v>
      </c>
      <c r="H2926" s="38" t="s">
        <v>3555</v>
      </c>
      <c r="I2926" s="38" t="s">
        <v>3556</v>
      </c>
      <c r="J2926" s="38" t="s">
        <v>122</v>
      </c>
      <c r="K2926" s="38" t="s">
        <v>63</v>
      </c>
      <c r="L2926" s="41">
        <v>46006.416666666664</v>
      </c>
      <c r="M2926" s="38" t="s">
        <v>123</v>
      </c>
      <c r="N2926" s="41">
        <v>46006.791666666664</v>
      </c>
      <c r="O2926" s="38" t="s">
        <v>123</v>
      </c>
      <c r="P2926" s="38">
        <v>32400.0</v>
      </c>
      <c r="Q2926" s="39"/>
      <c r="R2926" s="39"/>
      <c r="S2926" s="39"/>
      <c r="T2926" s="39"/>
      <c r="U2926" s="39"/>
    </row>
    <row r="2927">
      <c r="A2927" s="40">
        <f t="shared" si="1"/>
        <v>46006</v>
      </c>
      <c r="B2927" s="37" t="str">
        <f t="array" ref="B2927">iferror(xlookup($I2927, 'IMPORT VHC Report'!$E:$E, 'IMPORT VHC Report'!$A:$C), )</f>
        <v/>
      </c>
      <c r="C2927" s="37"/>
      <c r="D2927" s="37"/>
      <c r="E2927" s="38" t="s">
        <v>3558</v>
      </c>
      <c r="F2927" s="38" t="s">
        <v>3554</v>
      </c>
      <c r="G2927" s="38">
        <v>3.61825397936E11</v>
      </c>
      <c r="H2927" s="38" t="s">
        <v>3555</v>
      </c>
      <c r="I2927" s="38" t="s">
        <v>3556</v>
      </c>
      <c r="J2927" s="38" t="s">
        <v>134</v>
      </c>
      <c r="K2927" s="38" t="s">
        <v>126</v>
      </c>
      <c r="L2927" s="41">
        <v>46006.5</v>
      </c>
      <c r="M2927" s="38" t="s">
        <v>123</v>
      </c>
      <c r="N2927" s="41">
        <v>46006.520833333336</v>
      </c>
      <c r="O2927" s="38" t="s">
        <v>123</v>
      </c>
      <c r="P2927" s="38">
        <v>1800.0</v>
      </c>
      <c r="Q2927" s="39"/>
      <c r="R2927" s="39"/>
      <c r="S2927" s="39"/>
      <c r="T2927" s="39"/>
      <c r="U2927" s="39"/>
    </row>
    <row r="2928">
      <c r="A2928" s="40">
        <f t="shared" si="1"/>
        <v>46006</v>
      </c>
      <c r="B2928" s="37" t="str">
        <f t="array" ref="B2928">iferror(xlookup($I2928, 'IMPORT VHC Report'!$E:$E, 'IMPORT VHC Report'!$A:$C), )</f>
        <v/>
      </c>
      <c r="C2928" s="37"/>
      <c r="D2928" s="37"/>
      <c r="E2928" s="38" t="s">
        <v>3559</v>
      </c>
      <c r="F2928" s="38" t="s">
        <v>3554</v>
      </c>
      <c r="G2928" s="38">
        <v>3.61825397936E11</v>
      </c>
      <c r="H2928" s="38" t="s">
        <v>3555</v>
      </c>
      <c r="I2928" s="38" t="s">
        <v>3556</v>
      </c>
      <c r="J2928" s="38" t="s">
        <v>132</v>
      </c>
      <c r="K2928" s="38" t="s">
        <v>126</v>
      </c>
      <c r="L2928" s="41">
        <v>46006.614583333336</v>
      </c>
      <c r="M2928" s="38" t="s">
        <v>123</v>
      </c>
      <c r="N2928" s="41">
        <v>46006.65625</v>
      </c>
      <c r="O2928" s="38" t="s">
        <v>123</v>
      </c>
      <c r="P2928" s="38">
        <v>3600.0</v>
      </c>
      <c r="Q2928" s="39"/>
      <c r="R2928" s="39"/>
      <c r="S2928" s="39"/>
      <c r="T2928" s="39"/>
      <c r="U2928" s="39"/>
    </row>
    <row r="2929">
      <c r="A2929" s="40">
        <f t="shared" si="1"/>
        <v>46006</v>
      </c>
      <c r="B2929" s="37" t="str">
        <f t="array" ref="B2929">iferror(xlookup($I2929, 'IMPORT VHC Report'!$E:$E, 'IMPORT VHC Report'!$A:$C), )</f>
        <v/>
      </c>
      <c r="C2929" s="37"/>
      <c r="D2929" s="37"/>
      <c r="E2929" s="38" t="s">
        <v>3560</v>
      </c>
      <c r="F2929" s="38" t="s">
        <v>3554</v>
      </c>
      <c r="G2929" s="38">
        <v>3.61825397936E11</v>
      </c>
      <c r="H2929" s="38" t="s">
        <v>3555</v>
      </c>
      <c r="I2929" s="38" t="s">
        <v>3556</v>
      </c>
      <c r="J2929" s="38" t="s">
        <v>125</v>
      </c>
      <c r="K2929" s="38" t="s">
        <v>126</v>
      </c>
      <c r="L2929" s="41">
        <v>46007.416666666664</v>
      </c>
      <c r="M2929" s="38" t="s">
        <v>123</v>
      </c>
      <c r="N2929" s="41">
        <v>46007.42361111111</v>
      </c>
      <c r="O2929" s="38" t="s">
        <v>123</v>
      </c>
      <c r="P2929" s="38">
        <v>600.0</v>
      </c>
      <c r="Q2929" s="39"/>
      <c r="R2929" s="39"/>
      <c r="S2929" s="38" t="s">
        <v>127</v>
      </c>
      <c r="T2929" s="39"/>
      <c r="U2929" s="39"/>
    </row>
    <row r="2930">
      <c r="A2930" s="40">
        <f t="shared" si="1"/>
        <v>46006</v>
      </c>
      <c r="B2930" s="37" t="str">
        <f t="array" ref="B2930">iferror(xlookup($I2930, 'IMPORT VHC Report'!$E:$E, 'IMPORT VHC Report'!$A:$C), )</f>
        <v/>
      </c>
      <c r="C2930" s="37"/>
      <c r="D2930" s="37"/>
      <c r="E2930" s="38" t="s">
        <v>3561</v>
      </c>
      <c r="F2930" s="38" t="s">
        <v>3554</v>
      </c>
      <c r="G2930" s="38">
        <v>3.61825397936E11</v>
      </c>
      <c r="H2930" s="38" t="s">
        <v>3555</v>
      </c>
      <c r="I2930" s="38" t="s">
        <v>3556</v>
      </c>
      <c r="J2930" s="38" t="s">
        <v>122</v>
      </c>
      <c r="K2930" s="38" t="s">
        <v>63</v>
      </c>
      <c r="L2930" s="41">
        <v>46007.416666666664</v>
      </c>
      <c r="M2930" s="38" t="s">
        <v>123</v>
      </c>
      <c r="N2930" s="41">
        <v>46007.791666666664</v>
      </c>
      <c r="O2930" s="38" t="s">
        <v>123</v>
      </c>
      <c r="P2930" s="38">
        <v>32400.0</v>
      </c>
      <c r="Q2930" s="39"/>
      <c r="R2930" s="39"/>
      <c r="S2930" s="39"/>
      <c r="T2930" s="39"/>
      <c r="U2930" s="39"/>
    </row>
    <row r="2931">
      <c r="A2931" s="40">
        <f t="shared" si="1"/>
        <v>46006</v>
      </c>
      <c r="B2931" s="37" t="str">
        <f t="array" ref="B2931">iferror(xlookup($I2931, 'IMPORT VHC Report'!$E:$E, 'IMPORT VHC Report'!$A:$C), )</f>
        <v/>
      </c>
      <c r="C2931" s="37"/>
      <c r="D2931" s="37"/>
      <c r="E2931" s="38" t="s">
        <v>3562</v>
      </c>
      <c r="F2931" s="38" t="s">
        <v>3554</v>
      </c>
      <c r="G2931" s="38">
        <v>3.61825397936E11</v>
      </c>
      <c r="H2931" s="38" t="s">
        <v>3555</v>
      </c>
      <c r="I2931" s="38" t="s">
        <v>3556</v>
      </c>
      <c r="J2931" s="38" t="s">
        <v>134</v>
      </c>
      <c r="K2931" s="38" t="s">
        <v>126</v>
      </c>
      <c r="L2931" s="41">
        <v>46007.5</v>
      </c>
      <c r="M2931" s="38" t="s">
        <v>123</v>
      </c>
      <c r="N2931" s="41">
        <v>46007.520833333336</v>
      </c>
      <c r="O2931" s="38" t="s">
        <v>123</v>
      </c>
      <c r="P2931" s="38">
        <v>1800.0</v>
      </c>
      <c r="Q2931" s="39"/>
      <c r="R2931" s="39"/>
      <c r="S2931" s="39"/>
      <c r="T2931" s="39"/>
      <c r="U2931" s="39"/>
    </row>
    <row r="2932">
      <c r="A2932" s="40">
        <f t="shared" si="1"/>
        <v>46006</v>
      </c>
      <c r="B2932" s="37" t="str">
        <f t="array" ref="B2932">iferror(xlookup($I2932, 'IMPORT VHC Report'!$E:$E, 'IMPORT VHC Report'!$A:$C), )</f>
        <v/>
      </c>
      <c r="C2932" s="37"/>
      <c r="D2932" s="37"/>
      <c r="E2932" s="38" t="s">
        <v>3563</v>
      </c>
      <c r="F2932" s="38" t="s">
        <v>3554</v>
      </c>
      <c r="G2932" s="38">
        <v>3.61825397936E11</v>
      </c>
      <c r="H2932" s="38" t="s">
        <v>3555</v>
      </c>
      <c r="I2932" s="38" t="s">
        <v>3556</v>
      </c>
      <c r="J2932" s="38" t="s">
        <v>132</v>
      </c>
      <c r="K2932" s="38" t="s">
        <v>126</v>
      </c>
      <c r="L2932" s="41">
        <v>46007.59375</v>
      </c>
      <c r="M2932" s="38" t="s">
        <v>123</v>
      </c>
      <c r="N2932" s="41">
        <v>46007.635416666664</v>
      </c>
      <c r="O2932" s="38" t="s">
        <v>123</v>
      </c>
      <c r="P2932" s="38">
        <v>3600.0</v>
      </c>
      <c r="Q2932" s="39"/>
      <c r="R2932" s="39"/>
      <c r="S2932" s="39"/>
      <c r="T2932" s="39"/>
      <c r="U2932" s="39"/>
    </row>
    <row r="2933">
      <c r="A2933" s="40">
        <f t="shared" si="1"/>
        <v>46006</v>
      </c>
      <c r="B2933" s="37" t="str">
        <f t="array" ref="B2933">iferror(xlookup($I2933, 'IMPORT VHC Report'!$E:$E, 'IMPORT VHC Report'!$A:$C), )</f>
        <v/>
      </c>
      <c r="C2933" s="37"/>
      <c r="D2933" s="37"/>
      <c r="E2933" s="38" t="s">
        <v>3564</v>
      </c>
      <c r="F2933" s="38" t="s">
        <v>3554</v>
      </c>
      <c r="G2933" s="38">
        <v>3.61825397936E11</v>
      </c>
      <c r="H2933" s="38" t="s">
        <v>3555</v>
      </c>
      <c r="I2933" s="38" t="s">
        <v>3556</v>
      </c>
      <c r="J2933" s="38" t="s">
        <v>125</v>
      </c>
      <c r="K2933" s="38" t="s">
        <v>126</v>
      </c>
      <c r="L2933" s="41">
        <v>46008.416666666664</v>
      </c>
      <c r="M2933" s="38" t="s">
        <v>123</v>
      </c>
      <c r="N2933" s="41">
        <v>46008.42361111111</v>
      </c>
      <c r="O2933" s="38" t="s">
        <v>123</v>
      </c>
      <c r="P2933" s="38">
        <v>600.0</v>
      </c>
      <c r="Q2933" s="39"/>
      <c r="R2933" s="39"/>
      <c r="S2933" s="38" t="s">
        <v>3565</v>
      </c>
      <c r="T2933" s="39"/>
      <c r="U2933" s="39"/>
    </row>
    <row r="2934">
      <c r="A2934" s="40">
        <f t="shared" si="1"/>
        <v>46006</v>
      </c>
      <c r="B2934" s="37" t="str">
        <f t="array" ref="B2934">iferror(xlookup($I2934, 'IMPORT VHC Report'!$E:$E, 'IMPORT VHC Report'!$A:$C), )</f>
        <v/>
      </c>
      <c r="C2934" s="37"/>
      <c r="D2934" s="37"/>
      <c r="E2934" s="38" t="s">
        <v>3566</v>
      </c>
      <c r="F2934" s="38" t="s">
        <v>3554</v>
      </c>
      <c r="G2934" s="38">
        <v>3.61825397936E11</v>
      </c>
      <c r="H2934" s="38" t="s">
        <v>3555</v>
      </c>
      <c r="I2934" s="38" t="s">
        <v>3556</v>
      </c>
      <c r="J2934" s="38" t="s">
        <v>122</v>
      </c>
      <c r="K2934" s="38" t="s">
        <v>63</v>
      </c>
      <c r="L2934" s="41">
        <v>46008.416666666664</v>
      </c>
      <c r="M2934" s="38" t="s">
        <v>123</v>
      </c>
      <c r="N2934" s="41">
        <v>46008.791666666664</v>
      </c>
      <c r="O2934" s="38" t="s">
        <v>123</v>
      </c>
      <c r="P2934" s="38">
        <v>32400.0</v>
      </c>
      <c r="Q2934" s="39"/>
      <c r="R2934" s="39"/>
      <c r="S2934" s="39"/>
      <c r="T2934" s="39"/>
      <c r="U2934" s="39"/>
    </row>
    <row r="2935">
      <c r="A2935" s="40">
        <f t="shared" si="1"/>
        <v>46006</v>
      </c>
      <c r="B2935" s="37" t="str">
        <f t="array" ref="B2935">iferror(xlookup($I2935, 'IMPORT VHC Report'!$E:$E, 'IMPORT VHC Report'!$A:$C), )</f>
        <v/>
      </c>
      <c r="C2935" s="37"/>
      <c r="D2935" s="37"/>
      <c r="E2935" s="38" t="s">
        <v>3567</v>
      </c>
      <c r="F2935" s="38" t="s">
        <v>3554</v>
      </c>
      <c r="G2935" s="38">
        <v>3.61825397936E11</v>
      </c>
      <c r="H2935" s="38" t="s">
        <v>3555</v>
      </c>
      <c r="I2935" s="38" t="s">
        <v>3556</v>
      </c>
      <c r="J2935" s="38" t="s">
        <v>125</v>
      </c>
      <c r="K2935" s="38" t="s">
        <v>126</v>
      </c>
      <c r="L2935" s="41">
        <v>46008.447916666664</v>
      </c>
      <c r="M2935" s="38" t="s">
        <v>123</v>
      </c>
      <c r="N2935" s="41">
        <v>46008.44861111111</v>
      </c>
      <c r="O2935" s="38" t="s">
        <v>123</v>
      </c>
      <c r="P2935" s="38">
        <v>60.0</v>
      </c>
      <c r="Q2935" s="39"/>
      <c r="R2935" s="39"/>
      <c r="S2935" s="38" t="s">
        <v>127</v>
      </c>
      <c r="T2935" s="39"/>
      <c r="U2935" s="39"/>
    </row>
    <row r="2936">
      <c r="A2936" s="40">
        <f t="shared" si="1"/>
        <v>46006</v>
      </c>
      <c r="B2936" s="37" t="str">
        <f t="array" ref="B2936">iferror(xlookup($I2936, 'IMPORT VHC Report'!$E:$E, 'IMPORT VHC Report'!$A:$C), )</f>
        <v/>
      </c>
      <c r="C2936" s="37"/>
      <c r="D2936" s="37"/>
      <c r="E2936" s="38" t="s">
        <v>3568</v>
      </c>
      <c r="F2936" s="38" t="s">
        <v>3554</v>
      </c>
      <c r="G2936" s="38">
        <v>3.61825397936E11</v>
      </c>
      <c r="H2936" s="38" t="s">
        <v>3555</v>
      </c>
      <c r="I2936" s="38" t="s">
        <v>3556</v>
      </c>
      <c r="J2936" s="38" t="s">
        <v>136</v>
      </c>
      <c r="K2936" s="38" t="s">
        <v>126</v>
      </c>
      <c r="L2936" s="41">
        <v>46008.44861111111</v>
      </c>
      <c r="M2936" s="38" t="s">
        <v>123</v>
      </c>
      <c r="N2936" s="41">
        <v>46008.51388888889</v>
      </c>
      <c r="O2936" s="38" t="s">
        <v>123</v>
      </c>
      <c r="P2936" s="38">
        <v>5640.0</v>
      </c>
      <c r="Q2936" s="39"/>
      <c r="R2936" s="39"/>
      <c r="S2936" s="38" t="s">
        <v>3569</v>
      </c>
      <c r="T2936" s="39"/>
      <c r="U2936" s="39"/>
    </row>
    <row r="2937">
      <c r="A2937" s="40">
        <f t="shared" si="1"/>
        <v>46006</v>
      </c>
      <c r="B2937" s="37" t="str">
        <f t="array" ref="B2937">iferror(xlookup($I2937, 'IMPORT VHC Report'!$E:$E, 'IMPORT VHC Report'!$A:$C), )</f>
        <v/>
      </c>
      <c r="C2937" s="37"/>
      <c r="D2937" s="37"/>
      <c r="E2937" s="38" t="s">
        <v>3570</v>
      </c>
      <c r="F2937" s="38" t="s">
        <v>3554</v>
      </c>
      <c r="G2937" s="38">
        <v>3.61825397936E11</v>
      </c>
      <c r="H2937" s="38" t="s">
        <v>3555</v>
      </c>
      <c r="I2937" s="38" t="s">
        <v>3556</v>
      </c>
      <c r="J2937" s="38" t="s">
        <v>134</v>
      </c>
      <c r="K2937" s="38" t="s">
        <v>126</v>
      </c>
      <c r="L2937" s="41">
        <v>46008.51388888889</v>
      </c>
      <c r="M2937" s="38" t="s">
        <v>123</v>
      </c>
      <c r="N2937" s="41">
        <v>46008.53472222222</v>
      </c>
      <c r="O2937" s="38" t="s">
        <v>123</v>
      </c>
      <c r="P2937" s="38">
        <v>1800.0</v>
      </c>
      <c r="Q2937" s="39"/>
      <c r="R2937" s="39"/>
      <c r="S2937" s="39"/>
      <c r="T2937" s="39"/>
      <c r="U2937" s="39"/>
    </row>
    <row r="2938">
      <c r="A2938" s="40">
        <f t="shared" si="1"/>
        <v>46006</v>
      </c>
      <c r="B2938" s="37" t="str">
        <f t="array" ref="B2938">iferror(xlookup($I2938, 'IMPORT VHC Report'!$E:$E, 'IMPORT VHC Report'!$A:$C), )</f>
        <v/>
      </c>
      <c r="C2938" s="37"/>
      <c r="D2938" s="37"/>
      <c r="E2938" s="38" t="s">
        <v>3571</v>
      </c>
      <c r="F2938" s="38" t="s">
        <v>3554</v>
      </c>
      <c r="G2938" s="38">
        <v>3.61825397936E11</v>
      </c>
      <c r="H2938" s="38" t="s">
        <v>3555</v>
      </c>
      <c r="I2938" s="38" t="s">
        <v>3556</v>
      </c>
      <c r="J2938" s="38" t="s">
        <v>125</v>
      </c>
      <c r="K2938" s="38" t="s">
        <v>126</v>
      </c>
      <c r="L2938" s="41">
        <v>46008.59305555555</v>
      </c>
      <c r="M2938" s="38" t="s">
        <v>123</v>
      </c>
      <c r="N2938" s="41">
        <v>46008.611805555556</v>
      </c>
      <c r="O2938" s="38" t="s">
        <v>123</v>
      </c>
      <c r="P2938" s="38">
        <v>1620.0</v>
      </c>
      <c r="Q2938" s="39"/>
      <c r="R2938" s="39"/>
      <c r="S2938" s="38" t="s">
        <v>3569</v>
      </c>
      <c r="T2938" s="39"/>
      <c r="U2938" s="39"/>
    </row>
    <row r="2939">
      <c r="A2939" s="40">
        <f t="shared" si="1"/>
        <v>46006</v>
      </c>
      <c r="B2939" s="37" t="str">
        <f t="array" ref="B2939">iferror(xlookup($I2939, 'IMPORT VHC Report'!$E:$E, 'IMPORT VHC Report'!$A:$C), )</f>
        <v/>
      </c>
      <c r="C2939" s="37"/>
      <c r="D2939" s="37"/>
      <c r="E2939" s="38" t="s">
        <v>3572</v>
      </c>
      <c r="F2939" s="38" t="s">
        <v>3554</v>
      </c>
      <c r="G2939" s="38">
        <v>3.61825397936E11</v>
      </c>
      <c r="H2939" s="38" t="s">
        <v>3555</v>
      </c>
      <c r="I2939" s="38" t="s">
        <v>3556</v>
      </c>
      <c r="J2939" s="38" t="s">
        <v>132</v>
      </c>
      <c r="K2939" s="38" t="s">
        <v>126</v>
      </c>
      <c r="L2939" s="41">
        <v>46008.625</v>
      </c>
      <c r="M2939" s="38" t="s">
        <v>123</v>
      </c>
      <c r="N2939" s="41">
        <v>46008.666666666664</v>
      </c>
      <c r="O2939" s="38" t="s">
        <v>123</v>
      </c>
      <c r="P2939" s="38">
        <v>3600.0</v>
      </c>
      <c r="Q2939" s="39"/>
      <c r="R2939" s="39"/>
      <c r="S2939" s="39"/>
      <c r="T2939" s="39"/>
      <c r="U2939" s="39"/>
    </row>
    <row r="2940">
      <c r="A2940" s="40">
        <f t="shared" si="1"/>
        <v>46006</v>
      </c>
      <c r="B2940" s="37" t="str">
        <f t="array" ref="B2940">iferror(xlookup($I2940, 'IMPORT VHC Report'!$E:$E, 'IMPORT VHC Report'!$A:$C), )</f>
        <v/>
      </c>
      <c r="C2940" s="37"/>
      <c r="D2940" s="37"/>
      <c r="E2940" s="38" t="s">
        <v>3573</v>
      </c>
      <c r="F2940" s="38" t="s">
        <v>3554</v>
      </c>
      <c r="G2940" s="38">
        <v>3.61825397936E11</v>
      </c>
      <c r="H2940" s="38" t="s">
        <v>3555</v>
      </c>
      <c r="I2940" s="38" t="s">
        <v>3556</v>
      </c>
      <c r="J2940" s="38" t="s">
        <v>125</v>
      </c>
      <c r="K2940" s="38" t="s">
        <v>126</v>
      </c>
      <c r="L2940" s="41">
        <v>46008.666666666664</v>
      </c>
      <c r="M2940" s="38" t="s">
        <v>123</v>
      </c>
      <c r="N2940" s="41">
        <v>46008.791666666664</v>
      </c>
      <c r="O2940" s="38" t="s">
        <v>123</v>
      </c>
      <c r="P2940" s="38">
        <v>10800.0</v>
      </c>
      <c r="Q2940" s="39"/>
      <c r="R2940" s="39"/>
      <c r="S2940" s="38" t="s">
        <v>3574</v>
      </c>
      <c r="T2940" s="39"/>
      <c r="U2940" s="39"/>
    </row>
    <row r="2941">
      <c r="A2941" s="40">
        <f t="shared" si="1"/>
        <v>46006</v>
      </c>
      <c r="B2941" s="37" t="str">
        <f t="array" ref="B2941">iferror(xlookup($I2941, 'IMPORT VHC Report'!$E:$E, 'IMPORT VHC Report'!$A:$C), )</f>
        <v/>
      </c>
      <c r="C2941" s="37"/>
      <c r="D2941" s="37"/>
      <c r="E2941" s="38" t="s">
        <v>3575</v>
      </c>
      <c r="F2941" s="38" t="s">
        <v>3554</v>
      </c>
      <c r="G2941" s="38">
        <v>3.61825397936E11</v>
      </c>
      <c r="H2941" s="38" t="s">
        <v>3555</v>
      </c>
      <c r="I2941" s="38" t="s">
        <v>3556</v>
      </c>
      <c r="J2941" s="38" t="s">
        <v>125</v>
      </c>
      <c r="K2941" s="38" t="s">
        <v>126</v>
      </c>
      <c r="L2941" s="41">
        <v>46009.416666666664</v>
      </c>
      <c r="M2941" s="38" t="s">
        <v>123</v>
      </c>
      <c r="N2941" s="41">
        <v>46009.42361111111</v>
      </c>
      <c r="O2941" s="38" t="s">
        <v>123</v>
      </c>
      <c r="P2941" s="38">
        <v>600.0</v>
      </c>
      <c r="Q2941" s="39"/>
      <c r="R2941" s="39"/>
      <c r="S2941" s="38" t="s">
        <v>127</v>
      </c>
      <c r="T2941" s="39"/>
      <c r="U2941" s="39"/>
    </row>
    <row r="2942">
      <c r="A2942" s="40">
        <f t="shared" si="1"/>
        <v>46006</v>
      </c>
      <c r="B2942" s="37" t="str">
        <f t="array" ref="B2942">iferror(xlookup($I2942, 'IMPORT VHC Report'!$E:$E, 'IMPORT VHC Report'!$A:$C), )</f>
        <v/>
      </c>
      <c r="C2942" s="37"/>
      <c r="D2942" s="37"/>
      <c r="E2942" s="38" t="s">
        <v>3576</v>
      </c>
      <c r="F2942" s="38" t="s">
        <v>3554</v>
      </c>
      <c r="G2942" s="38">
        <v>3.61825397936E11</v>
      </c>
      <c r="H2942" s="38" t="s">
        <v>3555</v>
      </c>
      <c r="I2942" s="38" t="s">
        <v>3556</v>
      </c>
      <c r="J2942" s="38" t="s">
        <v>122</v>
      </c>
      <c r="K2942" s="38" t="s">
        <v>63</v>
      </c>
      <c r="L2942" s="41">
        <v>46009.416666666664</v>
      </c>
      <c r="M2942" s="38" t="s">
        <v>123</v>
      </c>
      <c r="N2942" s="41">
        <v>46009.791666666664</v>
      </c>
      <c r="O2942" s="38" t="s">
        <v>123</v>
      </c>
      <c r="P2942" s="38">
        <v>32400.0</v>
      </c>
      <c r="Q2942" s="39"/>
      <c r="R2942" s="39"/>
      <c r="S2942" s="39"/>
      <c r="T2942" s="39"/>
      <c r="U2942" s="39"/>
    </row>
    <row r="2943">
      <c r="A2943" s="40">
        <f t="shared" si="1"/>
        <v>46006</v>
      </c>
      <c r="B2943" s="37" t="str">
        <f t="array" ref="B2943">iferror(xlookup($I2943, 'IMPORT VHC Report'!$E:$E, 'IMPORT VHC Report'!$A:$C), )</f>
        <v/>
      </c>
      <c r="C2943" s="37"/>
      <c r="D2943" s="37"/>
      <c r="E2943" s="38" t="s">
        <v>3577</v>
      </c>
      <c r="F2943" s="38" t="s">
        <v>3554</v>
      </c>
      <c r="G2943" s="38">
        <v>3.61825397936E11</v>
      </c>
      <c r="H2943" s="38" t="s">
        <v>3555</v>
      </c>
      <c r="I2943" s="38" t="s">
        <v>3556</v>
      </c>
      <c r="J2943" s="38" t="s">
        <v>4</v>
      </c>
      <c r="K2943" s="38" t="s">
        <v>126</v>
      </c>
      <c r="L2943" s="41">
        <v>46009.46875</v>
      </c>
      <c r="M2943" s="38" t="s">
        <v>123</v>
      </c>
      <c r="N2943" s="41">
        <v>46009.510416666664</v>
      </c>
      <c r="O2943" s="38" t="s">
        <v>123</v>
      </c>
      <c r="P2943" s="38">
        <v>3600.0</v>
      </c>
      <c r="Q2943" s="39"/>
      <c r="R2943" s="39"/>
      <c r="S2943" s="38" t="s">
        <v>130</v>
      </c>
      <c r="T2943" s="39"/>
      <c r="U2943" s="39"/>
    </row>
    <row r="2944">
      <c r="A2944" s="40">
        <f t="shared" si="1"/>
        <v>46006</v>
      </c>
      <c r="B2944" s="37" t="str">
        <f t="array" ref="B2944">iferror(xlookup($I2944, 'IMPORT VHC Report'!$E:$E, 'IMPORT VHC Report'!$A:$C), )</f>
        <v/>
      </c>
      <c r="C2944" s="37"/>
      <c r="D2944" s="37"/>
      <c r="E2944" s="38" t="s">
        <v>3578</v>
      </c>
      <c r="F2944" s="38" t="s">
        <v>3554</v>
      </c>
      <c r="G2944" s="38">
        <v>3.61825397936E11</v>
      </c>
      <c r="H2944" s="38" t="s">
        <v>3555</v>
      </c>
      <c r="I2944" s="38" t="s">
        <v>3556</v>
      </c>
      <c r="J2944" s="38" t="s">
        <v>132</v>
      </c>
      <c r="K2944" s="38" t="s">
        <v>126</v>
      </c>
      <c r="L2944" s="41">
        <v>46009.510416666664</v>
      </c>
      <c r="M2944" s="38" t="s">
        <v>123</v>
      </c>
      <c r="N2944" s="41">
        <v>46009.552083333336</v>
      </c>
      <c r="O2944" s="38" t="s">
        <v>123</v>
      </c>
      <c r="P2944" s="38">
        <v>3600.0</v>
      </c>
      <c r="Q2944" s="39"/>
      <c r="R2944" s="39"/>
      <c r="S2944" s="39"/>
      <c r="T2944" s="39"/>
      <c r="U2944" s="39"/>
    </row>
    <row r="2945">
      <c r="A2945" s="40">
        <f t="shared" si="1"/>
        <v>46006</v>
      </c>
      <c r="B2945" s="37" t="str">
        <f t="array" ref="B2945">iferror(xlookup($I2945, 'IMPORT VHC Report'!$E:$E, 'IMPORT VHC Report'!$A:$C), )</f>
        <v/>
      </c>
      <c r="C2945" s="37"/>
      <c r="D2945" s="37"/>
      <c r="E2945" s="38" t="s">
        <v>3579</v>
      </c>
      <c r="F2945" s="38" t="s">
        <v>3554</v>
      </c>
      <c r="G2945" s="38">
        <v>3.61825397936E11</v>
      </c>
      <c r="H2945" s="38" t="s">
        <v>3555</v>
      </c>
      <c r="I2945" s="38" t="s">
        <v>3556</v>
      </c>
      <c r="J2945" s="38" t="s">
        <v>152</v>
      </c>
      <c r="K2945" s="38" t="s">
        <v>153</v>
      </c>
      <c r="L2945" s="41">
        <v>46009.54513888889</v>
      </c>
      <c r="M2945" s="38" t="s">
        <v>123</v>
      </c>
      <c r="N2945" s="41">
        <v>46009.791666666664</v>
      </c>
      <c r="O2945" s="38" t="s">
        <v>123</v>
      </c>
      <c r="P2945" s="38">
        <v>21300.0</v>
      </c>
      <c r="Q2945" s="38">
        <v>21300.0</v>
      </c>
      <c r="R2945" s="39"/>
      <c r="S2945" s="39"/>
      <c r="T2945" s="39"/>
      <c r="U2945" s="39"/>
    </row>
    <row r="2946">
      <c r="A2946" s="40">
        <f t="shared" si="1"/>
        <v>46006</v>
      </c>
      <c r="B2946" s="37" t="str">
        <f t="array" ref="B2946">iferror(xlookup($I2946, 'IMPORT VHC Report'!$E:$E, 'IMPORT VHC Report'!$A:$C), )</f>
        <v/>
      </c>
      <c r="C2946" s="37"/>
      <c r="D2946" s="37"/>
      <c r="E2946" s="38" t="s">
        <v>3580</v>
      </c>
      <c r="F2946" s="38" t="s">
        <v>3554</v>
      </c>
      <c r="G2946" s="38">
        <v>3.61825397936E11</v>
      </c>
      <c r="H2946" s="38" t="s">
        <v>3555</v>
      </c>
      <c r="I2946" s="38" t="s">
        <v>3556</v>
      </c>
      <c r="J2946" s="38" t="s">
        <v>134</v>
      </c>
      <c r="K2946" s="38" t="s">
        <v>126</v>
      </c>
      <c r="L2946" s="41">
        <v>46009.6875</v>
      </c>
      <c r="M2946" s="38" t="s">
        <v>123</v>
      </c>
      <c r="N2946" s="41">
        <v>46009.708333333336</v>
      </c>
      <c r="O2946" s="38" t="s">
        <v>123</v>
      </c>
      <c r="P2946" s="38">
        <v>1800.0</v>
      </c>
      <c r="Q2946" s="39"/>
      <c r="R2946" s="39"/>
      <c r="S2946" s="39"/>
      <c r="T2946" s="39"/>
      <c r="U2946" s="39"/>
    </row>
    <row r="2947">
      <c r="A2947" s="40">
        <f t="shared" si="1"/>
        <v>46006</v>
      </c>
      <c r="B2947" s="37" t="str">
        <f t="array" ref="B2947">iferror(xlookup($I2947, 'IMPORT VHC Report'!$E:$E, 'IMPORT VHC Report'!$A:$C), )</f>
        <v/>
      </c>
      <c r="C2947" s="37"/>
      <c r="D2947" s="37"/>
      <c r="E2947" s="38" t="s">
        <v>3581</v>
      </c>
      <c r="F2947" s="38" t="s">
        <v>3554</v>
      </c>
      <c r="G2947" s="38">
        <v>3.61825397936E11</v>
      </c>
      <c r="H2947" s="38" t="s">
        <v>3555</v>
      </c>
      <c r="I2947" s="38" t="s">
        <v>3556</v>
      </c>
      <c r="J2947" s="38" t="s">
        <v>125</v>
      </c>
      <c r="K2947" s="38" t="s">
        <v>126</v>
      </c>
      <c r="L2947" s="41">
        <v>46010.416666666664</v>
      </c>
      <c r="M2947" s="38" t="s">
        <v>123</v>
      </c>
      <c r="N2947" s="41">
        <v>46010.42361111111</v>
      </c>
      <c r="O2947" s="38" t="s">
        <v>123</v>
      </c>
      <c r="P2947" s="38">
        <v>600.0</v>
      </c>
      <c r="Q2947" s="39"/>
      <c r="R2947" s="39"/>
      <c r="S2947" s="38" t="s">
        <v>127</v>
      </c>
      <c r="T2947" s="39"/>
      <c r="U2947" s="39"/>
    </row>
    <row r="2948">
      <c r="A2948" s="40">
        <f t="shared" si="1"/>
        <v>46006</v>
      </c>
      <c r="B2948" s="37" t="str">
        <f t="array" ref="B2948">iferror(xlookup($I2948, 'IMPORT VHC Report'!$E:$E, 'IMPORT VHC Report'!$A:$C), )</f>
        <v/>
      </c>
      <c r="C2948" s="37"/>
      <c r="D2948" s="37"/>
      <c r="E2948" s="38" t="s">
        <v>3582</v>
      </c>
      <c r="F2948" s="38" t="s">
        <v>3554</v>
      </c>
      <c r="G2948" s="38">
        <v>3.61825397936E11</v>
      </c>
      <c r="H2948" s="38" t="s">
        <v>3555</v>
      </c>
      <c r="I2948" s="38" t="s">
        <v>3556</v>
      </c>
      <c r="J2948" s="38" t="s">
        <v>122</v>
      </c>
      <c r="K2948" s="38" t="s">
        <v>63</v>
      </c>
      <c r="L2948" s="41">
        <v>46010.416666666664</v>
      </c>
      <c r="M2948" s="38" t="s">
        <v>123</v>
      </c>
      <c r="N2948" s="41">
        <v>46010.791666666664</v>
      </c>
      <c r="O2948" s="38" t="s">
        <v>123</v>
      </c>
      <c r="P2948" s="38">
        <v>32400.0</v>
      </c>
      <c r="Q2948" s="39"/>
      <c r="R2948" s="39"/>
      <c r="S2948" s="39"/>
      <c r="T2948" s="39"/>
      <c r="U2948" s="39"/>
    </row>
    <row r="2949">
      <c r="A2949" s="40">
        <f t="shared" si="1"/>
        <v>46006</v>
      </c>
      <c r="B2949" s="37" t="str">
        <f t="array" ref="B2949">iferror(xlookup($I2949, 'IMPORT VHC Report'!$E:$E, 'IMPORT VHC Report'!$A:$C), )</f>
        <v/>
      </c>
      <c r="C2949" s="37"/>
      <c r="D2949" s="37"/>
      <c r="E2949" s="38" t="s">
        <v>3583</v>
      </c>
      <c r="F2949" s="38" t="s">
        <v>3554</v>
      </c>
      <c r="G2949" s="38">
        <v>3.61825397936E11</v>
      </c>
      <c r="H2949" s="38" t="s">
        <v>3555</v>
      </c>
      <c r="I2949" s="38" t="s">
        <v>3556</v>
      </c>
      <c r="J2949" s="38" t="s">
        <v>132</v>
      </c>
      <c r="K2949" s="38" t="s">
        <v>126</v>
      </c>
      <c r="L2949" s="41">
        <v>46010.541666666664</v>
      </c>
      <c r="M2949" s="38" t="s">
        <v>123</v>
      </c>
      <c r="N2949" s="41">
        <v>46010.583333333336</v>
      </c>
      <c r="O2949" s="38" t="s">
        <v>123</v>
      </c>
      <c r="P2949" s="38">
        <v>3600.0</v>
      </c>
      <c r="Q2949" s="39"/>
      <c r="R2949" s="39"/>
      <c r="S2949" s="39"/>
      <c r="T2949" s="39"/>
      <c r="U2949" s="39"/>
    </row>
    <row r="2950">
      <c r="A2950" s="40">
        <f t="shared" si="1"/>
        <v>46006</v>
      </c>
      <c r="B2950" s="37" t="str">
        <f t="array" ref="B2950">iferror(xlookup($I2950, 'IMPORT VHC Report'!$E:$E, 'IMPORT VHC Report'!$A:$C), )</f>
        <v/>
      </c>
      <c r="C2950" s="37"/>
      <c r="D2950" s="37"/>
      <c r="E2950" s="38" t="s">
        <v>3584</v>
      </c>
      <c r="F2950" s="38" t="s">
        <v>3554</v>
      </c>
      <c r="G2950" s="38">
        <v>3.61825397936E11</v>
      </c>
      <c r="H2950" s="38" t="s">
        <v>3555</v>
      </c>
      <c r="I2950" s="38" t="s">
        <v>3556</v>
      </c>
      <c r="J2950" s="38" t="s">
        <v>134</v>
      </c>
      <c r="K2950" s="38" t="s">
        <v>126</v>
      </c>
      <c r="L2950" s="41">
        <v>46010.677083333336</v>
      </c>
      <c r="M2950" s="38" t="s">
        <v>123</v>
      </c>
      <c r="N2950" s="41">
        <v>46010.697916666664</v>
      </c>
      <c r="O2950" s="38" t="s">
        <v>123</v>
      </c>
      <c r="P2950" s="38">
        <v>1800.0</v>
      </c>
      <c r="Q2950" s="39"/>
      <c r="R2950" s="39"/>
      <c r="S2950" s="39"/>
      <c r="T2950" s="39"/>
      <c r="U2950" s="39"/>
    </row>
    <row r="2951">
      <c r="A2951" s="40">
        <f t="shared" si="1"/>
        <v>46006</v>
      </c>
      <c r="B2951" s="37" t="str">
        <f t="array" ref="B2951">iferror(xlookup($I2951, 'IMPORT VHC Report'!$E:$E, 'IMPORT VHC Report'!$A:$C), )</f>
        <v/>
      </c>
      <c r="C2951" s="37"/>
      <c r="D2951" s="37"/>
      <c r="E2951" s="38" t="s">
        <v>3585</v>
      </c>
      <c r="F2951" s="38" t="s">
        <v>3586</v>
      </c>
      <c r="G2951" s="38">
        <v>7.437392979983E12</v>
      </c>
      <c r="H2951" s="38" t="s">
        <v>3587</v>
      </c>
      <c r="I2951" s="38" t="s">
        <v>3588</v>
      </c>
      <c r="J2951" s="38" t="s">
        <v>136</v>
      </c>
      <c r="K2951" s="38" t="s">
        <v>126</v>
      </c>
      <c r="L2951" s="41">
        <v>46006.416666666664</v>
      </c>
      <c r="M2951" s="38" t="s">
        <v>123</v>
      </c>
      <c r="N2951" s="41">
        <v>46006.43472222222</v>
      </c>
      <c r="O2951" s="38" t="s">
        <v>123</v>
      </c>
      <c r="P2951" s="38">
        <v>1560.0</v>
      </c>
      <c r="Q2951" s="39"/>
      <c r="R2951" s="39"/>
      <c r="S2951" s="38" t="s">
        <v>2659</v>
      </c>
      <c r="T2951" s="39"/>
      <c r="U2951" s="39"/>
    </row>
    <row r="2952">
      <c r="A2952" s="40">
        <f t="shared" si="1"/>
        <v>46006</v>
      </c>
      <c r="B2952" s="37" t="str">
        <f t="array" ref="B2952">iferror(xlookup($I2952, 'IMPORT VHC Report'!$E:$E, 'IMPORT VHC Report'!$A:$C), )</f>
        <v/>
      </c>
      <c r="C2952" s="37"/>
      <c r="D2952" s="37"/>
      <c r="E2952" s="38" t="s">
        <v>3589</v>
      </c>
      <c r="F2952" s="38" t="s">
        <v>3586</v>
      </c>
      <c r="G2952" s="38">
        <v>7.437392979983E12</v>
      </c>
      <c r="H2952" s="38" t="s">
        <v>3587</v>
      </c>
      <c r="I2952" s="38" t="s">
        <v>3588</v>
      </c>
      <c r="J2952" s="38" t="s">
        <v>985</v>
      </c>
      <c r="K2952" s="38" t="s">
        <v>63</v>
      </c>
      <c r="L2952" s="41">
        <v>46006.416666666664</v>
      </c>
      <c r="M2952" s="38" t="s">
        <v>123</v>
      </c>
      <c r="N2952" s="41">
        <v>46006.458333333336</v>
      </c>
      <c r="O2952" s="38" t="s">
        <v>123</v>
      </c>
      <c r="P2952" s="38">
        <v>3600.0</v>
      </c>
      <c r="Q2952" s="39"/>
      <c r="R2952" s="39"/>
      <c r="S2952" s="39"/>
      <c r="T2952" s="39"/>
      <c r="U2952" s="39"/>
    </row>
    <row r="2953">
      <c r="A2953" s="40">
        <f t="shared" si="1"/>
        <v>46006</v>
      </c>
      <c r="B2953" s="37" t="str">
        <f t="array" ref="B2953">iferror(xlookup($I2953, 'IMPORT VHC Report'!$E:$E, 'IMPORT VHC Report'!$A:$C), )</f>
        <v/>
      </c>
      <c r="C2953" s="37"/>
      <c r="D2953" s="37"/>
      <c r="E2953" s="38" t="s">
        <v>3590</v>
      </c>
      <c r="F2953" s="38" t="s">
        <v>3586</v>
      </c>
      <c r="G2953" s="38">
        <v>7.437392979983E12</v>
      </c>
      <c r="H2953" s="38" t="s">
        <v>3587</v>
      </c>
      <c r="I2953" s="38" t="s">
        <v>3588</v>
      </c>
      <c r="J2953" s="38" t="s">
        <v>368</v>
      </c>
      <c r="K2953" s="38" t="s">
        <v>63</v>
      </c>
      <c r="L2953" s="41">
        <v>46006.458333333336</v>
      </c>
      <c r="M2953" s="38" t="s">
        <v>123</v>
      </c>
      <c r="N2953" s="41">
        <v>46006.833333333336</v>
      </c>
      <c r="O2953" s="38" t="s">
        <v>123</v>
      </c>
      <c r="P2953" s="38">
        <v>32400.0</v>
      </c>
      <c r="Q2953" s="39"/>
      <c r="R2953" s="39"/>
      <c r="S2953" s="39"/>
      <c r="T2953" s="39"/>
      <c r="U2953" s="39"/>
    </row>
    <row r="2954">
      <c r="A2954" s="40">
        <f t="shared" si="1"/>
        <v>46006</v>
      </c>
      <c r="B2954" s="37" t="str">
        <f t="array" ref="B2954">iferror(xlookup($I2954, 'IMPORT VHC Report'!$E:$E, 'IMPORT VHC Report'!$A:$C), )</f>
        <v/>
      </c>
      <c r="C2954" s="37"/>
      <c r="D2954" s="37"/>
      <c r="E2954" s="38" t="s">
        <v>3591</v>
      </c>
      <c r="F2954" s="38" t="s">
        <v>3586</v>
      </c>
      <c r="G2954" s="38">
        <v>7.437392979983E12</v>
      </c>
      <c r="H2954" s="38" t="s">
        <v>3587</v>
      </c>
      <c r="I2954" s="38" t="s">
        <v>3588</v>
      </c>
      <c r="J2954" s="38" t="s">
        <v>134</v>
      </c>
      <c r="K2954" s="38" t="s">
        <v>126</v>
      </c>
      <c r="L2954" s="41">
        <v>46006.583333333336</v>
      </c>
      <c r="M2954" s="38" t="s">
        <v>123</v>
      </c>
      <c r="N2954" s="41">
        <v>46006.604166666664</v>
      </c>
      <c r="O2954" s="38" t="s">
        <v>123</v>
      </c>
      <c r="P2954" s="38">
        <v>1800.0</v>
      </c>
      <c r="Q2954" s="39"/>
      <c r="R2954" s="39"/>
      <c r="S2954" s="39"/>
      <c r="T2954" s="39"/>
      <c r="U2954" s="39"/>
    </row>
    <row r="2955">
      <c r="A2955" s="40">
        <f t="shared" si="1"/>
        <v>46006</v>
      </c>
      <c r="B2955" s="37" t="str">
        <f t="array" ref="B2955">iferror(xlookup($I2955, 'IMPORT VHC Report'!$E:$E, 'IMPORT VHC Report'!$A:$C), )</f>
        <v/>
      </c>
      <c r="C2955" s="37"/>
      <c r="D2955" s="37"/>
      <c r="E2955" s="38" t="s">
        <v>3592</v>
      </c>
      <c r="F2955" s="38" t="s">
        <v>3586</v>
      </c>
      <c r="G2955" s="38">
        <v>7.437392979983E12</v>
      </c>
      <c r="H2955" s="38" t="s">
        <v>3587</v>
      </c>
      <c r="I2955" s="38" t="s">
        <v>3588</v>
      </c>
      <c r="J2955" s="38" t="s">
        <v>132</v>
      </c>
      <c r="K2955" s="38" t="s">
        <v>126</v>
      </c>
      <c r="L2955" s="41">
        <v>46006.75</v>
      </c>
      <c r="M2955" s="38" t="s">
        <v>123</v>
      </c>
      <c r="N2955" s="41">
        <v>46006.791666666664</v>
      </c>
      <c r="O2955" s="38" t="s">
        <v>123</v>
      </c>
      <c r="P2955" s="38">
        <v>3600.0</v>
      </c>
      <c r="Q2955" s="39"/>
      <c r="R2955" s="39"/>
      <c r="S2955" s="39"/>
      <c r="T2955" s="39"/>
      <c r="U2955" s="39"/>
    </row>
    <row r="2956">
      <c r="A2956" s="40">
        <f t="shared" si="1"/>
        <v>46006</v>
      </c>
      <c r="B2956" s="37" t="str">
        <f t="array" ref="B2956">iferror(xlookup($I2956, 'IMPORT VHC Report'!$E:$E, 'IMPORT VHC Report'!$A:$C), )</f>
        <v/>
      </c>
      <c r="C2956" s="37"/>
      <c r="D2956" s="37"/>
      <c r="E2956" s="38" t="s">
        <v>3593</v>
      </c>
      <c r="F2956" s="38" t="s">
        <v>3586</v>
      </c>
      <c r="G2956" s="38">
        <v>7.437392979983E12</v>
      </c>
      <c r="H2956" s="38" t="s">
        <v>3587</v>
      </c>
      <c r="I2956" s="38" t="s">
        <v>3588</v>
      </c>
      <c r="J2956" s="38" t="s">
        <v>368</v>
      </c>
      <c r="K2956" s="38" t="s">
        <v>63</v>
      </c>
      <c r="L2956" s="41">
        <v>46007.458333333336</v>
      </c>
      <c r="M2956" s="38" t="s">
        <v>123</v>
      </c>
      <c r="N2956" s="41">
        <v>46007.833333333336</v>
      </c>
      <c r="O2956" s="38" t="s">
        <v>123</v>
      </c>
      <c r="P2956" s="38">
        <v>32400.0</v>
      </c>
      <c r="Q2956" s="39"/>
      <c r="R2956" s="39"/>
      <c r="S2956" s="39"/>
      <c r="T2956" s="39"/>
      <c r="U2956" s="39"/>
    </row>
    <row r="2957">
      <c r="A2957" s="40">
        <f t="shared" si="1"/>
        <v>46006</v>
      </c>
      <c r="B2957" s="37" t="str">
        <f t="array" ref="B2957">iferror(xlookup($I2957, 'IMPORT VHC Report'!$E:$E, 'IMPORT VHC Report'!$A:$C), )</f>
        <v/>
      </c>
      <c r="C2957" s="37"/>
      <c r="D2957" s="37"/>
      <c r="E2957" s="38" t="s">
        <v>3594</v>
      </c>
      <c r="F2957" s="38" t="s">
        <v>3586</v>
      </c>
      <c r="G2957" s="38">
        <v>7.437392979983E12</v>
      </c>
      <c r="H2957" s="38" t="s">
        <v>3587</v>
      </c>
      <c r="I2957" s="38" t="s">
        <v>3588</v>
      </c>
      <c r="J2957" s="38" t="s">
        <v>134</v>
      </c>
      <c r="K2957" s="38" t="s">
        <v>126</v>
      </c>
      <c r="L2957" s="41">
        <v>46007.572916666664</v>
      </c>
      <c r="M2957" s="38" t="s">
        <v>123</v>
      </c>
      <c r="N2957" s="41">
        <v>46007.59375</v>
      </c>
      <c r="O2957" s="38" t="s">
        <v>123</v>
      </c>
      <c r="P2957" s="38">
        <v>1800.0</v>
      </c>
      <c r="Q2957" s="39"/>
      <c r="R2957" s="39"/>
      <c r="S2957" s="39"/>
      <c r="T2957" s="39"/>
      <c r="U2957" s="39"/>
    </row>
    <row r="2958">
      <c r="A2958" s="40">
        <f t="shared" si="1"/>
        <v>46006</v>
      </c>
      <c r="B2958" s="37" t="str">
        <f t="array" ref="B2958">iferror(xlookup($I2958, 'IMPORT VHC Report'!$E:$E, 'IMPORT VHC Report'!$A:$C), )</f>
        <v/>
      </c>
      <c r="C2958" s="37"/>
      <c r="D2958" s="37"/>
      <c r="E2958" s="38" t="s">
        <v>3595</v>
      </c>
      <c r="F2958" s="38" t="s">
        <v>3586</v>
      </c>
      <c r="G2958" s="38">
        <v>7.437392979983E12</v>
      </c>
      <c r="H2958" s="38" t="s">
        <v>3587</v>
      </c>
      <c r="I2958" s="38" t="s">
        <v>3588</v>
      </c>
      <c r="J2958" s="38" t="s">
        <v>132</v>
      </c>
      <c r="K2958" s="38" t="s">
        <v>126</v>
      </c>
      <c r="L2958" s="41">
        <v>46007.6875</v>
      </c>
      <c r="M2958" s="38" t="s">
        <v>123</v>
      </c>
      <c r="N2958" s="41">
        <v>46007.729166666664</v>
      </c>
      <c r="O2958" s="38" t="s">
        <v>123</v>
      </c>
      <c r="P2958" s="38">
        <v>3600.0</v>
      </c>
      <c r="Q2958" s="39"/>
      <c r="R2958" s="39"/>
      <c r="S2958" s="39"/>
      <c r="T2958" s="39"/>
      <c r="U2958" s="39"/>
    </row>
    <row r="2959">
      <c r="A2959" s="40">
        <f t="shared" si="1"/>
        <v>46006</v>
      </c>
      <c r="B2959" s="37" t="str">
        <f t="array" ref="B2959">iferror(xlookup($I2959, 'IMPORT VHC Report'!$E:$E, 'IMPORT VHC Report'!$A:$C), )</f>
        <v/>
      </c>
      <c r="C2959" s="37"/>
      <c r="D2959" s="37"/>
      <c r="E2959" s="38" t="s">
        <v>3596</v>
      </c>
      <c r="F2959" s="38" t="s">
        <v>3586</v>
      </c>
      <c r="G2959" s="38">
        <v>7.437392979983E12</v>
      </c>
      <c r="H2959" s="38" t="s">
        <v>3587</v>
      </c>
      <c r="I2959" s="38" t="s">
        <v>3588</v>
      </c>
      <c r="J2959" s="38" t="s">
        <v>368</v>
      </c>
      <c r="K2959" s="38" t="s">
        <v>63</v>
      </c>
      <c r="L2959" s="41">
        <v>46008.458333333336</v>
      </c>
      <c r="M2959" s="38" t="s">
        <v>123</v>
      </c>
      <c r="N2959" s="41">
        <v>46008.833333333336</v>
      </c>
      <c r="O2959" s="38" t="s">
        <v>123</v>
      </c>
      <c r="P2959" s="38">
        <v>32400.0</v>
      </c>
      <c r="Q2959" s="39"/>
      <c r="R2959" s="39"/>
      <c r="S2959" s="39"/>
      <c r="T2959" s="39"/>
      <c r="U2959" s="39"/>
    </row>
    <row r="2960">
      <c r="A2960" s="40">
        <f t="shared" si="1"/>
        <v>46006</v>
      </c>
      <c r="B2960" s="37" t="str">
        <f t="array" ref="B2960">iferror(xlookup($I2960, 'IMPORT VHC Report'!$E:$E, 'IMPORT VHC Report'!$A:$C), )</f>
        <v/>
      </c>
      <c r="C2960" s="37"/>
      <c r="D2960" s="37"/>
      <c r="E2960" s="38" t="s">
        <v>3597</v>
      </c>
      <c r="F2960" s="38" t="s">
        <v>3586</v>
      </c>
      <c r="G2960" s="38">
        <v>7.437392979983E12</v>
      </c>
      <c r="H2960" s="38" t="s">
        <v>3587</v>
      </c>
      <c r="I2960" s="38" t="s">
        <v>3588</v>
      </c>
      <c r="J2960" s="38" t="s">
        <v>134</v>
      </c>
      <c r="K2960" s="38" t="s">
        <v>126</v>
      </c>
      <c r="L2960" s="41">
        <v>46008.604166666664</v>
      </c>
      <c r="M2960" s="38" t="s">
        <v>123</v>
      </c>
      <c r="N2960" s="41">
        <v>46008.625</v>
      </c>
      <c r="O2960" s="38" t="s">
        <v>123</v>
      </c>
      <c r="P2960" s="38">
        <v>1800.0</v>
      </c>
      <c r="Q2960" s="39"/>
      <c r="R2960" s="39"/>
      <c r="S2960" s="39"/>
      <c r="T2960" s="39"/>
      <c r="U2960" s="39"/>
    </row>
    <row r="2961">
      <c r="A2961" s="40">
        <f t="shared" si="1"/>
        <v>46006</v>
      </c>
      <c r="B2961" s="37" t="str">
        <f t="array" ref="B2961">iferror(xlookup($I2961, 'IMPORT VHC Report'!$E:$E, 'IMPORT VHC Report'!$A:$C), )</f>
        <v/>
      </c>
      <c r="C2961" s="37"/>
      <c r="D2961" s="37"/>
      <c r="E2961" s="38" t="s">
        <v>3598</v>
      </c>
      <c r="F2961" s="38" t="s">
        <v>3586</v>
      </c>
      <c r="G2961" s="38">
        <v>7.437392979983E12</v>
      </c>
      <c r="H2961" s="38" t="s">
        <v>3587</v>
      </c>
      <c r="I2961" s="38" t="s">
        <v>3588</v>
      </c>
      <c r="J2961" s="38" t="s">
        <v>132</v>
      </c>
      <c r="K2961" s="38" t="s">
        <v>126</v>
      </c>
      <c r="L2961" s="41">
        <v>46008.708333333336</v>
      </c>
      <c r="M2961" s="38" t="s">
        <v>123</v>
      </c>
      <c r="N2961" s="41">
        <v>46008.75</v>
      </c>
      <c r="O2961" s="38" t="s">
        <v>123</v>
      </c>
      <c r="P2961" s="38">
        <v>3600.0</v>
      </c>
      <c r="Q2961" s="39"/>
      <c r="R2961" s="39"/>
      <c r="S2961" s="39"/>
      <c r="T2961" s="39"/>
      <c r="U2961" s="39"/>
    </row>
    <row r="2962">
      <c r="A2962" s="40">
        <f t="shared" si="1"/>
        <v>46006</v>
      </c>
      <c r="B2962" s="37" t="str">
        <f t="array" ref="B2962">iferror(xlookup($I2962, 'IMPORT VHC Report'!$E:$E, 'IMPORT VHC Report'!$A:$C), )</f>
        <v/>
      </c>
      <c r="C2962" s="37"/>
      <c r="D2962" s="37"/>
      <c r="E2962" s="38" t="s">
        <v>3599</v>
      </c>
      <c r="F2962" s="38" t="s">
        <v>3586</v>
      </c>
      <c r="G2962" s="38">
        <v>7.437392979983E12</v>
      </c>
      <c r="H2962" s="38" t="s">
        <v>3587</v>
      </c>
      <c r="I2962" s="38" t="s">
        <v>3588</v>
      </c>
      <c r="J2962" s="38" t="s">
        <v>178</v>
      </c>
      <c r="K2962" s="38" t="s">
        <v>153</v>
      </c>
      <c r="L2962" s="41">
        <v>46011.458333333336</v>
      </c>
      <c r="M2962" s="38" t="s">
        <v>123</v>
      </c>
      <c r="N2962" s="41">
        <v>46011.833333333336</v>
      </c>
      <c r="O2962" s="38" t="s">
        <v>123</v>
      </c>
      <c r="P2962" s="38">
        <v>32400.0</v>
      </c>
      <c r="Q2962" s="38">
        <v>32400.0</v>
      </c>
      <c r="R2962" s="39"/>
      <c r="S2962" s="39"/>
      <c r="T2962" s="39"/>
      <c r="U2962" s="39"/>
    </row>
    <row r="2963">
      <c r="A2963" s="40">
        <f t="shared" si="1"/>
        <v>46006</v>
      </c>
      <c r="B2963" s="37" t="str">
        <f t="array" ref="B2963">iferror(xlookup($I2963, 'IMPORT VHC Report'!$E:$E, 'IMPORT VHC Report'!$A:$C), )</f>
        <v/>
      </c>
      <c r="C2963" s="37"/>
      <c r="D2963" s="37"/>
      <c r="E2963" s="38" t="s">
        <v>3600</v>
      </c>
      <c r="F2963" s="38" t="s">
        <v>3586</v>
      </c>
      <c r="G2963" s="38">
        <v>7.437392979983E12</v>
      </c>
      <c r="H2963" s="38" t="s">
        <v>3587</v>
      </c>
      <c r="I2963" s="38" t="s">
        <v>3588</v>
      </c>
      <c r="J2963" s="38" t="s">
        <v>368</v>
      </c>
      <c r="K2963" s="38" t="s">
        <v>63</v>
      </c>
      <c r="L2963" s="41">
        <v>46011.458333333336</v>
      </c>
      <c r="M2963" s="38" t="s">
        <v>123</v>
      </c>
      <c r="N2963" s="41">
        <v>46011.833333333336</v>
      </c>
      <c r="O2963" s="38" t="s">
        <v>123</v>
      </c>
      <c r="P2963" s="38">
        <v>32400.0</v>
      </c>
      <c r="Q2963" s="39"/>
      <c r="R2963" s="39"/>
      <c r="S2963" s="39"/>
      <c r="T2963" s="39"/>
      <c r="U2963" s="39"/>
    </row>
    <row r="2964">
      <c r="A2964" s="40">
        <f t="shared" si="1"/>
        <v>46006</v>
      </c>
      <c r="B2964" s="37" t="str">
        <f t="array" ref="B2964">iferror(xlookup($I2964, 'IMPORT VHC Report'!$E:$E, 'IMPORT VHC Report'!$A:$C), )</f>
        <v/>
      </c>
      <c r="C2964" s="37"/>
      <c r="D2964" s="37"/>
      <c r="E2964" s="38" t="s">
        <v>3601</v>
      </c>
      <c r="F2964" s="38" t="s">
        <v>3586</v>
      </c>
      <c r="G2964" s="38">
        <v>7.437392979983E12</v>
      </c>
      <c r="H2964" s="38" t="s">
        <v>3587</v>
      </c>
      <c r="I2964" s="38" t="s">
        <v>3588</v>
      </c>
      <c r="J2964" s="38" t="s">
        <v>134</v>
      </c>
      <c r="K2964" s="38" t="s">
        <v>126</v>
      </c>
      <c r="L2964" s="41">
        <v>46011.572916666664</v>
      </c>
      <c r="M2964" s="38" t="s">
        <v>123</v>
      </c>
      <c r="N2964" s="41">
        <v>46011.59375</v>
      </c>
      <c r="O2964" s="38" t="s">
        <v>123</v>
      </c>
      <c r="P2964" s="38">
        <v>1800.0</v>
      </c>
      <c r="Q2964" s="39"/>
      <c r="R2964" s="39"/>
      <c r="S2964" s="39"/>
      <c r="T2964" s="39"/>
      <c r="U2964" s="39"/>
    </row>
    <row r="2965">
      <c r="A2965" s="40">
        <f t="shared" si="1"/>
        <v>46006</v>
      </c>
      <c r="B2965" s="37" t="str">
        <f t="array" ref="B2965">iferror(xlookup($I2965, 'IMPORT VHC Report'!$E:$E, 'IMPORT VHC Report'!$A:$C), )</f>
        <v/>
      </c>
      <c r="C2965" s="37"/>
      <c r="D2965" s="37"/>
      <c r="E2965" s="38" t="s">
        <v>3602</v>
      </c>
      <c r="F2965" s="38" t="s">
        <v>3586</v>
      </c>
      <c r="G2965" s="38">
        <v>7.437392979983E12</v>
      </c>
      <c r="H2965" s="38" t="s">
        <v>3587</v>
      </c>
      <c r="I2965" s="38" t="s">
        <v>3588</v>
      </c>
      <c r="J2965" s="38" t="s">
        <v>132</v>
      </c>
      <c r="K2965" s="38" t="s">
        <v>126</v>
      </c>
      <c r="L2965" s="41">
        <v>46011.697916666664</v>
      </c>
      <c r="M2965" s="38" t="s">
        <v>123</v>
      </c>
      <c r="N2965" s="41">
        <v>46011.739583333336</v>
      </c>
      <c r="O2965" s="38" t="s">
        <v>123</v>
      </c>
      <c r="P2965" s="38">
        <v>3600.0</v>
      </c>
      <c r="Q2965" s="39"/>
      <c r="R2965" s="39"/>
      <c r="S2965" s="39"/>
      <c r="T2965" s="39"/>
      <c r="U2965" s="39"/>
    </row>
    <row r="2966">
      <c r="A2966" s="40">
        <f t="shared" si="1"/>
        <v>46006</v>
      </c>
      <c r="B2966" s="37" t="str">
        <f t="array" ref="B2966">iferror(xlookup($I2966, 'IMPORT VHC Report'!$E:$E, 'IMPORT VHC Report'!$A:$C), )</f>
        <v/>
      </c>
      <c r="C2966" s="37"/>
      <c r="D2966" s="37"/>
      <c r="E2966" s="38" t="s">
        <v>3603</v>
      </c>
      <c r="F2966" s="38" t="s">
        <v>3586</v>
      </c>
      <c r="G2966" s="38">
        <v>7.437392979983E12</v>
      </c>
      <c r="H2966" s="38" t="s">
        <v>3587</v>
      </c>
      <c r="I2966" s="38" t="s">
        <v>3588</v>
      </c>
      <c r="J2966" s="38" t="s">
        <v>368</v>
      </c>
      <c r="K2966" s="38" t="s">
        <v>63</v>
      </c>
      <c r="L2966" s="41">
        <v>46012.458333333336</v>
      </c>
      <c r="M2966" s="38" t="s">
        <v>123</v>
      </c>
      <c r="N2966" s="41">
        <v>46012.833333333336</v>
      </c>
      <c r="O2966" s="38" t="s">
        <v>123</v>
      </c>
      <c r="P2966" s="38">
        <v>32400.0</v>
      </c>
      <c r="Q2966" s="39"/>
      <c r="R2966" s="39"/>
      <c r="S2966" s="39"/>
      <c r="T2966" s="39"/>
      <c r="U2966" s="39"/>
    </row>
    <row r="2967">
      <c r="A2967" s="40">
        <f t="shared" si="1"/>
        <v>46006</v>
      </c>
      <c r="B2967" s="37" t="str">
        <f t="array" ref="B2967">iferror(xlookup($I2967, 'IMPORT VHC Report'!$E:$E, 'IMPORT VHC Report'!$A:$C), )</f>
        <v/>
      </c>
      <c r="C2967" s="37"/>
      <c r="D2967" s="37"/>
      <c r="E2967" s="38" t="s">
        <v>3604</v>
      </c>
      <c r="F2967" s="38" t="s">
        <v>3586</v>
      </c>
      <c r="G2967" s="38">
        <v>7.437392979983E12</v>
      </c>
      <c r="H2967" s="38" t="s">
        <v>3587</v>
      </c>
      <c r="I2967" s="38" t="s">
        <v>3588</v>
      </c>
      <c r="J2967" s="38" t="s">
        <v>134</v>
      </c>
      <c r="K2967" s="38" t="s">
        <v>126</v>
      </c>
      <c r="L2967" s="41">
        <v>46012.5625</v>
      </c>
      <c r="M2967" s="38" t="s">
        <v>123</v>
      </c>
      <c r="N2967" s="41">
        <v>46012.583333333336</v>
      </c>
      <c r="O2967" s="38" t="s">
        <v>123</v>
      </c>
      <c r="P2967" s="38">
        <v>1800.0</v>
      </c>
      <c r="Q2967" s="39"/>
      <c r="R2967" s="39"/>
      <c r="S2967" s="39"/>
      <c r="T2967" s="39"/>
      <c r="U2967" s="39"/>
    </row>
    <row r="2968">
      <c r="A2968" s="40">
        <f t="shared" si="1"/>
        <v>46006</v>
      </c>
      <c r="B2968" s="37" t="str">
        <f t="array" ref="B2968">iferror(xlookup($I2968, 'IMPORT VHC Report'!$E:$E, 'IMPORT VHC Report'!$A:$C), )</f>
        <v/>
      </c>
      <c r="C2968" s="37"/>
      <c r="D2968" s="37"/>
      <c r="E2968" s="38" t="s">
        <v>3605</v>
      </c>
      <c r="F2968" s="38" t="s">
        <v>3586</v>
      </c>
      <c r="G2968" s="38">
        <v>7.437392979983E12</v>
      </c>
      <c r="H2968" s="38" t="s">
        <v>3587</v>
      </c>
      <c r="I2968" s="38" t="s">
        <v>3588</v>
      </c>
      <c r="J2968" s="38" t="s">
        <v>132</v>
      </c>
      <c r="K2968" s="38" t="s">
        <v>126</v>
      </c>
      <c r="L2968" s="41">
        <v>46012.739583333336</v>
      </c>
      <c r="M2968" s="38" t="s">
        <v>123</v>
      </c>
      <c r="N2968" s="41">
        <v>46012.78125</v>
      </c>
      <c r="O2968" s="38" t="s">
        <v>123</v>
      </c>
      <c r="P2968" s="38">
        <v>3600.0</v>
      </c>
      <c r="Q2968" s="39"/>
      <c r="R2968" s="39"/>
      <c r="S2968" s="39"/>
      <c r="T2968" s="39"/>
      <c r="U2968" s="39"/>
    </row>
    <row r="2969">
      <c r="A2969" s="40">
        <f t="shared" si="1"/>
        <v>46006</v>
      </c>
      <c r="B2969" s="37" t="str">
        <f t="array" ref="B2969">iferror(xlookup($I2969, 'IMPORT VHC Report'!$E:$E, 'IMPORT VHC Report'!$A:$C), )</f>
        <v/>
      </c>
      <c r="C2969" s="37"/>
      <c r="D2969" s="37"/>
      <c r="E2969" s="38" t="s">
        <v>3606</v>
      </c>
      <c r="F2969" s="38" t="s">
        <v>3607</v>
      </c>
      <c r="G2969" s="38">
        <v>5.202392804111E12</v>
      </c>
      <c r="H2969" s="38" t="s">
        <v>3608</v>
      </c>
      <c r="I2969" s="38" t="s">
        <v>3609</v>
      </c>
      <c r="J2969" s="38" t="s">
        <v>224</v>
      </c>
      <c r="K2969" s="38" t="s">
        <v>63</v>
      </c>
      <c r="L2969" s="41">
        <v>46006.416666666664</v>
      </c>
      <c r="M2969" s="38" t="s">
        <v>123</v>
      </c>
      <c r="N2969" s="41">
        <v>46006.5</v>
      </c>
      <c r="O2969" s="38" t="s">
        <v>123</v>
      </c>
      <c r="P2969" s="38">
        <v>7200.0</v>
      </c>
      <c r="Q2969" s="39"/>
      <c r="R2969" s="39"/>
      <c r="S2969" s="39"/>
      <c r="T2969" s="39"/>
      <c r="U2969" s="39"/>
    </row>
    <row r="2970">
      <c r="A2970" s="40">
        <f t="shared" si="1"/>
        <v>46006</v>
      </c>
      <c r="B2970" s="37" t="str">
        <f t="array" ref="B2970">iferror(xlookup($I2970, 'IMPORT VHC Report'!$E:$E, 'IMPORT VHC Report'!$A:$C), )</f>
        <v/>
      </c>
      <c r="C2970" s="37"/>
      <c r="D2970" s="37"/>
      <c r="E2970" s="38" t="s">
        <v>3610</v>
      </c>
      <c r="F2970" s="38" t="s">
        <v>3607</v>
      </c>
      <c r="G2970" s="38">
        <v>5.202392804111E12</v>
      </c>
      <c r="H2970" s="38" t="s">
        <v>3608</v>
      </c>
      <c r="I2970" s="38" t="s">
        <v>3609</v>
      </c>
      <c r="J2970" s="38" t="s">
        <v>134</v>
      </c>
      <c r="K2970" s="38" t="s">
        <v>126</v>
      </c>
      <c r="L2970" s="41">
        <v>46006.5</v>
      </c>
      <c r="M2970" s="38" t="s">
        <v>123</v>
      </c>
      <c r="N2970" s="41">
        <v>46006.510416666664</v>
      </c>
      <c r="O2970" s="38" t="s">
        <v>123</v>
      </c>
      <c r="P2970" s="38">
        <v>900.0</v>
      </c>
      <c r="Q2970" s="39"/>
      <c r="R2970" s="39"/>
      <c r="S2970" s="39"/>
      <c r="T2970" s="39"/>
      <c r="U2970" s="39"/>
    </row>
    <row r="2971">
      <c r="A2971" s="40">
        <f t="shared" si="1"/>
        <v>46006</v>
      </c>
      <c r="B2971" s="37" t="str">
        <f t="array" ref="B2971">iferror(xlookup($I2971, 'IMPORT VHC Report'!$E:$E, 'IMPORT VHC Report'!$A:$C), )</f>
        <v/>
      </c>
      <c r="C2971" s="37"/>
      <c r="D2971" s="37"/>
      <c r="E2971" s="38" t="s">
        <v>3611</v>
      </c>
      <c r="F2971" s="38" t="s">
        <v>3607</v>
      </c>
      <c r="G2971" s="38">
        <v>5.202392804111E12</v>
      </c>
      <c r="H2971" s="38" t="s">
        <v>3608</v>
      </c>
      <c r="I2971" s="38" t="s">
        <v>3609</v>
      </c>
      <c r="J2971" s="38" t="s">
        <v>224</v>
      </c>
      <c r="K2971" s="38" t="s">
        <v>63</v>
      </c>
      <c r="L2971" s="41">
        <v>46006.510416666664</v>
      </c>
      <c r="M2971" s="38" t="s">
        <v>123</v>
      </c>
      <c r="N2971" s="41">
        <v>46006.583333333336</v>
      </c>
      <c r="O2971" s="38" t="s">
        <v>123</v>
      </c>
      <c r="P2971" s="38">
        <v>6300.0</v>
      </c>
      <c r="Q2971" s="39"/>
      <c r="R2971" s="39"/>
      <c r="S2971" s="39"/>
      <c r="T2971" s="39"/>
      <c r="U2971" s="39"/>
    </row>
    <row r="2972">
      <c r="A2972" s="40">
        <f t="shared" si="1"/>
        <v>46006</v>
      </c>
      <c r="B2972" s="37" t="str">
        <f t="array" ref="B2972">iferror(xlookup($I2972, 'IMPORT VHC Report'!$E:$E, 'IMPORT VHC Report'!$A:$C), )</f>
        <v/>
      </c>
      <c r="C2972" s="37"/>
      <c r="D2972" s="37"/>
      <c r="E2972" s="38" t="s">
        <v>3612</v>
      </c>
      <c r="F2972" s="38" t="s">
        <v>3607</v>
      </c>
      <c r="G2972" s="38">
        <v>5.202392804111E12</v>
      </c>
      <c r="H2972" s="38" t="s">
        <v>3608</v>
      </c>
      <c r="I2972" s="38" t="s">
        <v>3609</v>
      </c>
      <c r="J2972" s="38" t="s">
        <v>132</v>
      </c>
      <c r="K2972" s="38" t="s">
        <v>126</v>
      </c>
      <c r="L2972" s="41">
        <v>46006.583333333336</v>
      </c>
      <c r="M2972" s="38" t="s">
        <v>123</v>
      </c>
      <c r="N2972" s="41">
        <v>46006.625</v>
      </c>
      <c r="O2972" s="38" t="s">
        <v>123</v>
      </c>
      <c r="P2972" s="38">
        <v>3600.0</v>
      </c>
      <c r="Q2972" s="39"/>
      <c r="R2972" s="39"/>
      <c r="S2972" s="39"/>
      <c r="T2972" s="39"/>
      <c r="U2972" s="39"/>
    </row>
    <row r="2973">
      <c r="A2973" s="40">
        <f t="shared" si="1"/>
        <v>46006</v>
      </c>
      <c r="B2973" s="37" t="str">
        <f t="array" ref="B2973">iferror(xlookup($I2973, 'IMPORT VHC Report'!$E:$E, 'IMPORT VHC Report'!$A:$C), )</f>
        <v/>
      </c>
      <c r="C2973" s="37"/>
      <c r="D2973" s="37"/>
      <c r="E2973" s="38" t="s">
        <v>3613</v>
      </c>
      <c r="F2973" s="38" t="s">
        <v>3607</v>
      </c>
      <c r="G2973" s="38">
        <v>5.202392804111E12</v>
      </c>
      <c r="H2973" s="38" t="s">
        <v>3608</v>
      </c>
      <c r="I2973" s="38" t="s">
        <v>3609</v>
      </c>
      <c r="J2973" s="38" t="s">
        <v>224</v>
      </c>
      <c r="K2973" s="38" t="s">
        <v>63</v>
      </c>
      <c r="L2973" s="41">
        <v>46006.625</v>
      </c>
      <c r="M2973" s="38" t="s">
        <v>123</v>
      </c>
      <c r="N2973" s="41">
        <v>46006.71875</v>
      </c>
      <c r="O2973" s="38" t="s">
        <v>123</v>
      </c>
      <c r="P2973" s="38">
        <v>8100.0</v>
      </c>
      <c r="Q2973" s="39"/>
      <c r="R2973" s="39"/>
      <c r="S2973" s="39"/>
      <c r="T2973" s="39"/>
      <c r="U2973" s="39"/>
    </row>
    <row r="2974">
      <c r="A2974" s="40">
        <f t="shared" si="1"/>
        <v>46006</v>
      </c>
      <c r="B2974" s="37" t="str">
        <f t="array" ref="B2974">iferror(xlookup($I2974, 'IMPORT VHC Report'!$E:$E, 'IMPORT VHC Report'!$A:$C), )</f>
        <v/>
      </c>
      <c r="C2974" s="37"/>
      <c r="D2974" s="37"/>
      <c r="E2974" s="38" t="s">
        <v>3614</v>
      </c>
      <c r="F2974" s="38" t="s">
        <v>3607</v>
      </c>
      <c r="G2974" s="38">
        <v>5.202392804111E12</v>
      </c>
      <c r="H2974" s="38" t="s">
        <v>3608</v>
      </c>
      <c r="I2974" s="38" t="s">
        <v>3609</v>
      </c>
      <c r="J2974" s="38" t="s">
        <v>134</v>
      </c>
      <c r="K2974" s="38" t="s">
        <v>126</v>
      </c>
      <c r="L2974" s="41">
        <v>46006.71875</v>
      </c>
      <c r="M2974" s="38" t="s">
        <v>123</v>
      </c>
      <c r="N2974" s="41">
        <v>46006.729166666664</v>
      </c>
      <c r="O2974" s="38" t="s">
        <v>123</v>
      </c>
      <c r="P2974" s="38">
        <v>900.0</v>
      </c>
      <c r="Q2974" s="39"/>
      <c r="R2974" s="39"/>
      <c r="S2974" s="39"/>
      <c r="T2974" s="39"/>
      <c r="U2974" s="39"/>
    </row>
    <row r="2975">
      <c r="A2975" s="40">
        <f t="shared" si="1"/>
        <v>46006</v>
      </c>
      <c r="B2975" s="37" t="str">
        <f t="array" ref="B2975">iferror(xlookup($I2975, 'IMPORT VHC Report'!$E:$E, 'IMPORT VHC Report'!$A:$C), )</f>
        <v/>
      </c>
      <c r="C2975" s="37"/>
      <c r="D2975" s="37"/>
      <c r="E2975" s="38" t="s">
        <v>3615</v>
      </c>
      <c r="F2975" s="38" t="s">
        <v>3607</v>
      </c>
      <c r="G2975" s="38">
        <v>5.202392804111E12</v>
      </c>
      <c r="H2975" s="38" t="s">
        <v>3608</v>
      </c>
      <c r="I2975" s="38" t="s">
        <v>3609</v>
      </c>
      <c r="J2975" s="38" t="s">
        <v>224</v>
      </c>
      <c r="K2975" s="38" t="s">
        <v>63</v>
      </c>
      <c r="L2975" s="41">
        <v>46006.729166666664</v>
      </c>
      <c r="M2975" s="38" t="s">
        <v>123</v>
      </c>
      <c r="N2975" s="41">
        <v>46006.791666666664</v>
      </c>
      <c r="O2975" s="38" t="s">
        <v>123</v>
      </c>
      <c r="P2975" s="38">
        <v>5400.0</v>
      </c>
      <c r="Q2975" s="39"/>
      <c r="R2975" s="39"/>
      <c r="S2975" s="39"/>
      <c r="T2975" s="39"/>
      <c r="U2975" s="39"/>
    </row>
    <row r="2976">
      <c r="A2976" s="40">
        <f t="shared" si="1"/>
        <v>46006</v>
      </c>
      <c r="B2976" s="37" t="str">
        <f t="array" ref="B2976">iferror(xlookup($I2976, 'IMPORT VHC Report'!$E:$E, 'IMPORT VHC Report'!$A:$C), )</f>
        <v/>
      </c>
      <c r="C2976" s="37"/>
      <c r="D2976" s="37"/>
      <c r="E2976" s="38" t="s">
        <v>3616</v>
      </c>
      <c r="F2976" s="38" t="s">
        <v>3607</v>
      </c>
      <c r="G2976" s="38">
        <v>5.202392804111E12</v>
      </c>
      <c r="H2976" s="38" t="s">
        <v>3608</v>
      </c>
      <c r="I2976" s="38" t="s">
        <v>3609</v>
      </c>
      <c r="J2976" s="38" t="s">
        <v>224</v>
      </c>
      <c r="K2976" s="38" t="s">
        <v>63</v>
      </c>
      <c r="L2976" s="41">
        <v>46007.416666666664</v>
      </c>
      <c r="M2976" s="38" t="s">
        <v>123</v>
      </c>
      <c r="N2976" s="41">
        <v>46007.791666666664</v>
      </c>
      <c r="O2976" s="38" t="s">
        <v>123</v>
      </c>
      <c r="P2976" s="38">
        <v>32400.0</v>
      </c>
      <c r="Q2976" s="39"/>
      <c r="R2976" s="39"/>
      <c r="S2976" s="39"/>
      <c r="T2976" s="39"/>
      <c r="U2976" s="39"/>
    </row>
    <row r="2977">
      <c r="A2977" s="40">
        <f t="shared" si="1"/>
        <v>46006</v>
      </c>
      <c r="B2977" s="37" t="str">
        <f t="array" ref="B2977">iferror(xlookup($I2977, 'IMPORT VHC Report'!$E:$E, 'IMPORT VHC Report'!$A:$C), )</f>
        <v/>
      </c>
      <c r="C2977" s="37"/>
      <c r="D2977" s="37"/>
      <c r="E2977" s="38" t="s">
        <v>3617</v>
      </c>
      <c r="F2977" s="38" t="s">
        <v>3607</v>
      </c>
      <c r="G2977" s="38">
        <v>5.202392804111E12</v>
      </c>
      <c r="H2977" s="38" t="s">
        <v>3608</v>
      </c>
      <c r="I2977" s="38" t="s">
        <v>3609</v>
      </c>
      <c r="J2977" s="38" t="s">
        <v>134</v>
      </c>
      <c r="K2977" s="38" t="s">
        <v>126</v>
      </c>
      <c r="L2977" s="41">
        <v>46007.541666666664</v>
      </c>
      <c r="M2977" s="38" t="s">
        <v>123</v>
      </c>
      <c r="N2977" s="41">
        <v>46007.552083333336</v>
      </c>
      <c r="O2977" s="38" t="s">
        <v>123</v>
      </c>
      <c r="P2977" s="38">
        <v>900.0</v>
      </c>
      <c r="Q2977" s="39"/>
      <c r="R2977" s="39"/>
      <c r="S2977" s="39"/>
      <c r="T2977" s="39"/>
      <c r="U2977" s="39"/>
    </row>
    <row r="2978">
      <c r="A2978" s="40">
        <f t="shared" si="1"/>
        <v>46006</v>
      </c>
      <c r="B2978" s="37" t="str">
        <f t="array" ref="B2978">iferror(xlookup($I2978, 'IMPORT VHC Report'!$E:$E, 'IMPORT VHC Report'!$A:$C), )</f>
        <v/>
      </c>
      <c r="C2978" s="37"/>
      <c r="D2978" s="37"/>
      <c r="E2978" s="38" t="s">
        <v>3618</v>
      </c>
      <c r="F2978" s="38" t="s">
        <v>3607</v>
      </c>
      <c r="G2978" s="38">
        <v>5.202392804111E12</v>
      </c>
      <c r="H2978" s="38" t="s">
        <v>3608</v>
      </c>
      <c r="I2978" s="38" t="s">
        <v>3609</v>
      </c>
      <c r="J2978" s="38" t="s">
        <v>224</v>
      </c>
      <c r="K2978" s="38" t="s">
        <v>63</v>
      </c>
      <c r="L2978" s="41">
        <v>46007.604166666664</v>
      </c>
      <c r="M2978" s="38" t="s">
        <v>123</v>
      </c>
      <c r="N2978" s="41">
        <v>46007.645833333336</v>
      </c>
      <c r="O2978" s="38" t="s">
        <v>123</v>
      </c>
      <c r="P2978" s="38">
        <v>3600.0</v>
      </c>
      <c r="Q2978" s="39"/>
      <c r="R2978" s="39"/>
      <c r="S2978" s="39"/>
      <c r="T2978" s="39"/>
      <c r="U2978" s="39"/>
    </row>
    <row r="2979">
      <c r="A2979" s="40">
        <f t="shared" si="1"/>
        <v>46006</v>
      </c>
      <c r="B2979" s="37" t="str">
        <f t="array" ref="B2979">iferror(xlookup($I2979, 'IMPORT VHC Report'!$E:$E, 'IMPORT VHC Report'!$A:$C), )</f>
        <v/>
      </c>
      <c r="C2979" s="37"/>
      <c r="D2979" s="37"/>
      <c r="E2979" s="38" t="s">
        <v>3619</v>
      </c>
      <c r="F2979" s="38" t="s">
        <v>3607</v>
      </c>
      <c r="G2979" s="38">
        <v>5.202392804111E12</v>
      </c>
      <c r="H2979" s="38" t="s">
        <v>3608</v>
      </c>
      <c r="I2979" s="38" t="s">
        <v>3609</v>
      </c>
      <c r="J2979" s="38" t="s">
        <v>136</v>
      </c>
      <c r="K2979" s="38" t="s">
        <v>126</v>
      </c>
      <c r="L2979" s="41">
        <v>46007.697916666664</v>
      </c>
      <c r="M2979" s="38" t="s">
        <v>123</v>
      </c>
      <c r="N2979" s="41">
        <v>46007.729166666664</v>
      </c>
      <c r="O2979" s="38" t="s">
        <v>123</v>
      </c>
      <c r="P2979" s="38">
        <v>2700.0</v>
      </c>
      <c r="Q2979" s="39"/>
      <c r="R2979" s="39"/>
      <c r="S2979" s="39"/>
      <c r="T2979" s="39"/>
      <c r="U2979" s="39"/>
    </row>
    <row r="2980">
      <c r="A2980" s="40">
        <f t="shared" si="1"/>
        <v>46006</v>
      </c>
      <c r="B2980" s="37" t="str">
        <f t="array" ref="B2980">iferror(xlookup($I2980, 'IMPORT VHC Report'!$E:$E, 'IMPORT VHC Report'!$A:$C), )</f>
        <v/>
      </c>
      <c r="C2980" s="37"/>
      <c r="D2980" s="37"/>
      <c r="E2980" s="38" t="s">
        <v>3620</v>
      </c>
      <c r="F2980" s="38" t="s">
        <v>3607</v>
      </c>
      <c r="G2980" s="38">
        <v>5.202392804111E12</v>
      </c>
      <c r="H2980" s="38" t="s">
        <v>3608</v>
      </c>
      <c r="I2980" s="38" t="s">
        <v>3609</v>
      </c>
      <c r="J2980" s="38" t="s">
        <v>134</v>
      </c>
      <c r="K2980" s="38" t="s">
        <v>126</v>
      </c>
      <c r="L2980" s="41">
        <v>46007.739583333336</v>
      </c>
      <c r="M2980" s="38" t="s">
        <v>123</v>
      </c>
      <c r="N2980" s="41">
        <v>46007.75</v>
      </c>
      <c r="O2980" s="38" t="s">
        <v>123</v>
      </c>
      <c r="P2980" s="38">
        <v>900.0</v>
      </c>
      <c r="Q2980" s="39"/>
      <c r="R2980" s="39"/>
      <c r="S2980" s="39"/>
      <c r="T2980" s="39"/>
      <c r="U2980" s="39"/>
    </row>
    <row r="2981">
      <c r="A2981" s="40">
        <f t="shared" si="1"/>
        <v>46006</v>
      </c>
      <c r="B2981" s="37" t="str">
        <f t="array" ref="B2981">iferror(xlookup($I2981, 'IMPORT VHC Report'!$E:$E, 'IMPORT VHC Report'!$A:$C), )</f>
        <v/>
      </c>
      <c r="C2981" s="37"/>
      <c r="D2981" s="37"/>
      <c r="E2981" s="38" t="s">
        <v>3621</v>
      </c>
      <c r="F2981" s="38" t="s">
        <v>3607</v>
      </c>
      <c r="G2981" s="38">
        <v>5.202392804111E12</v>
      </c>
      <c r="H2981" s="38" t="s">
        <v>3608</v>
      </c>
      <c r="I2981" s="38" t="s">
        <v>3609</v>
      </c>
      <c r="J2981" s="38" t="s">
        <v>132</v>
      </c>
      <c r="K2981" s="38" t="s">
        <v>126</v>
      </c>
      <c r="L2981" s="41">
        <v>46007.75</v>
      </c>
      <c r="M2981" s="38" t="s">
        <v>123</v>
      </c>
      <c r="N2981" s="41">
        <v>46007.791666666664</v>
      </c>
      <c r="O2981" s="38" t="s">
        <v>123</v>
      </c>
      <c r="P2981" s="38">
        <v>3600.0</v>
      </c>
      <c r="Q2981" s="39"/>
      <c r="R2981" s="39"/>
      <c r="S2981" s="39"/>
      <c r="T2981" s="39"/>
      <c r="U2981" s="39"/>
    </row>
    <row r="2982">
      <c r="A2982" s="40">
        <f t="shared" si="1"/>
        <v>46006</v>
      </c>
      <c r="B2982" s="37" t="str">
        <f t="array" ref="B2982">iferror(xlookup($I2982, 'IMPORT VHC Report'!$E:$E, 'IMPORT VHC Report'!$A:$C), )</f>
        <v/>
      </c>
      <c r="C2982" s="37"/>
      <c r="D2982" s="37"/>
      <c r="E2982" s="38" t="s">
        <v>3622</v>
      </c>
      <c r="F2982" s="38" t="s">
        <v>3607</v>
      </c>
      <c r="G2982" s="38">
        <v>5.202392804111E12</v>
      </c>
      <c r="H2982" s="38" t="s">
        <v>3608</v>
      </c>
      <c r="I2982" s="38" t="s">
        <v>3609</v>
      </c>
      <c r="J2982" s="38" t="s">
        <v>224</v>
      </c>
      <c r="K2982" s="38" t="s">
        <v>63</v>
      </c>
      <c r="L2982" s="41">
        <v>46008.416666666664</v>
      </c>
      <c r="M2982" s="38" t="s">
        <v>123</v>
      </c>
      <c r="N2982" s="41">
        <v>46008.791666666664</v>
      </c>
      <c r="O2982" s="38" t="s">
        <v>123</v>
      </c>
      <c r="P2982" s="38">
        <v>32400.0</v>
      </c>
      <c r="Q2982" s="39"/>
      <c r="R2982" s="39"/>
      <c r="S2982" s="39"/>
      <c r="T2982" s="39"/>
      <c r="U2982" s="39"/>
    </row>
    <row r="2983">
      <c r="A2983" s="40">
        <f t="shared" si="1"/>
        <v>46006</v>
      </c>
      <c r="B2983" s="37" t="str">
        <f t="array" ref="B2983">iferror(xlookup($I2983, 'IMPORT VHC Report'!$E:$E, 'IMPORT VHC Report'!$A:$C), )</f>
        <v/>
      </c>
      <c r="C2983" s="37"/>
      <c r="D2983" s="37"/>
      <c r="E2983" s="38" t="s">
        <v>3623</v>
      </c>
      <c r="F2983" s="38" t="s">
        <v>3607</v>
      </c>
      <c r="G2983" s="38">
        <v>5.202392804111E12</v>
      </c>
      <c r="H2983" s="38" t="s">
        <v>3608</v>
      </c>
      <c r="I2983" s="38" t="s">
        <v>3609</v>
      </c>
      <c r="J2983" s="38" t="s">
        <v>132</v>
      </c>
      <c r="K2983" s="38" t="s">
        <v>126</v>
      </c>
      <c r="L2983" s="41">
        <v>46008.489583333336</v>
      </c>
      <c r="M2983" s="38" t="s">
        <v>123</v>
      </c>
      <c r="N2983" s="41">
        <v>46008.53125</v>
      </c>
      <c r="O2983" s="38" t="s">
        <v>123</v>
      </c>
      <c r="P2983" s="38">
        <v>3600.0</v>
      </c>
      <c r="Q2983" s="39"/>
      <c r="R2983" s="39"/>
      <c r="S2983" s="39"/>
      <c r="T2983" s="39"/>
      <c r="U2983" s="39"/>
    </row>
    <row r="2984">
      <c r="A2984" s="40">
        <f t="shared" si="1"/>
        <v>46006</v>
      </c>
      <c r="B2984" s="37" t="str">
        <f t="array" ref="B2984">iferror(xlookup($I2984, 'IMPORT VHC Report'!$E:$E, 'IMPORT VHC Report'!$A:$C), )</f>
        <v/>
      </c>
      <c r="C2984" s="37"/>
      <c r="D2984" s="37"/>
      <c r="E2984" s="38" t="s">
        <v>3624</v>
      </c>
      <c r="F2984" s="38" t="s">
        <v>3607</v>
      </c>
      <c r="G2984" s="38">
        <v>5.202392804111E12</v>
      </c>
      <c r="H2984" s="38" t="s">
        <v>3608</v>
      </c>
      <c r="I2984" s="38" t="s">
        <v>3609</v>
      </c>
      <c r="J2984" s="38" t="s">
        <v>134</v>
      </c>
      <c r="K2984" s="38" t="s">
        <v>126</v>
      </c>
      <c r="L2984" s="41">
        <v>46008.604166666664</v>
      </c>
      <c r="M2984" s="38" t="s">
        <v>123</v>
      </c>
      <c r="N2984" s="41">
        <v>46008.614583333336</v>
      </c>
      <c r="O2984" s="38" t="s">
        <v>123</v>
      </c>
      <c r="P2984" s="38">
        <v>900.0</v>
      </c>
      <c r="Q2984" s="39"/>
      <c r="R2984" s="39"/>
      <c r="S2984" s="39"/>
      <c r="T2984" s="39"/>
      <c r="U2984" s="39"/>
    </row>
    <row r="2985">
      <c r="A2985" s="40">
        <f t="shared" si="1"/>
        <v>46006</v>
      </c>
      <c r="B2985" s="37" t="str">
        <f t="array" ref="B2985">iferror(xlookup($I2985, 'IMPORT VHC Report'!$E:$E, 'IMPORT VHC Report'!$A:$C), )</f>
        <v/>
      </c>
      <c r="C2985" s="37"/>
      <c r="D2985" s="37"/>
      <c r="E2985" s="38" t="s">
        <v>3625</v>
      </c>
      <c r="F2985" s="38" t="s">
        <v>3607</v>
      </c>
      <c r="G2985" s="38">
        <v>5.202392804111E12</v>
      </c>
      <c r="H2985" s="38" t="s">
        <v>3608</v>
      </c>
      <c r="I2985" s="38" t="s">
        <v>3609</v>
      </c>
      <c r="J2985" s="38" t="s">
        <v>134</v>
      </c>
      <c r="K2985" s="38" t="s">
        <v>126</v>
      </c>
      <c r="L2985" s="41">
        <v>46008.708333333336</v>
      </c>
      <c r="M2985" s="38" t="s">
        <v>123</v>
      </c>
      <c r="N2985" s="41">
        <v>46008.71875</v>
      </c>
      <c r="O2985" s="38" t="s">
        <v>123</v>
      </c>
      <c r="P2985" s="38">
        <v>900.0</v>
      </c>
      <c r="Q2985" s="39"/>
      <c r="R2985" s="39"/>
      <c r="S2985" s="39"/>
      <c r="T2985" s="39"/>
      <c r="U2985" s="39"/>
    </row>
    <row r="2986">
      <c r="A2986" s="40">
        <f t="shared" si="1"/>
        <v>46006</v>
      </c>
      <c r="B2986" s="37" t="str">
        <f t="array" ref="B2986">iferror(xlookup($I2986, 'IMPORT VHC Report'!$E:$E, 'IMPORT VHC Report'!$A:$C), )</f>
        <v/>
      </c>
      <c r="C2986" s="37"/>
      <c r="D2986" s="37"/>
      <c r="E2986" s="38" t="s">
        <v>3626</v>
      </c>
      <c r="F2986" s="38" t="s">
        <v>3607</v>
      </c>
      <c r="G2986" s="38">
        <v>5.202392804111E12</v>
      </c>
      <c r="H2986" s="38" t="s">
        <v>3608</v>
      </c>
      <c r="I2986" s="38" t="s">
        <v>3609</v>
      </c>
      <c r="J2986" s="38" t="s">
        <v>224</v>
      </c>
      <c r="K2986" s="38" t="s">
        <v>63</v>
      </c>
      <c r="L2986" s="41">
        <v>46009.416666666664</v>
      </c>
      <c r="M2986" s="38" t="s">
        <v>123</v>
      </c>
      <c r="N2986" s="41">
        <v>46009.5</v>
      </c>
      <c r="O2986" s="38" t="s">
        <v>123</v>
      </c>
      <c r="P2986" s="38">
        <v>7200.0</v>
      </c>
      <c r="Q2986" s="39"/>
      <c r="R2986" s="39"/>
      <c r="S2986" s="39"/>
      <c r="T2986" s="39"/>
      <c r="U2986" s="39"/>
    </row>
    <row r="2987">
      <c r="A2987" s="40">
        <f t="shared" si="1"/>
        <v>46006</v>
      </c>
      <c r="B2987" s="37" t="str">
        <f t="array" ref="B2987">iferror(xlookup($I2987, 'IMPORT VHC Report'!$E:$E, 'IMPORT VHC Report'!$A:$C), )</f>
        <v/>
      </c>
      <c r="C2987" s="37"/>
      <c r="D2987" s="37"/>
      <c r="E2987" s="38" t="s">
        <v>3627</v>
      </c>
      <c r="F2987" s="38" t="s">
        <v>3607</v>
      </c>
      <c r="G2987" s="38">
        <v>5.202392804111E12</v>
      </c>
      <c r="H2987" s="38" t="s">
        <v>3608</v>
      </c>
      <c r="I2987" s="38" t="s">
        <v>3609</v>
      </c>
      <c r="J2987" s="38" t="s">
        <v>134</v>
      </c>
      <c r="K2987" s="38" t="s">
        <v>126</v>
      </c>
      <c r="L2987" s="41">
        <v>46009.5</v>
      </c>
      <c r="M2987" s="38" t="s">
        <v>123</v>
      </c>
      <c r="N2987" s="41">
        <v>46009.510416666664</v>
      </c>
      <c r="O2987" s="38" t="s">
        <v>123</v>
      </c>
      <c r="P2987" s="38">
        <v>900.0</v>
      </c>
      <c r="Q2987" s="39"/>
      <c r="R2987" s="39"/>
      <c r="S2987" s="39"/>
      <c r="T2987" s="39"/>
      <c r="U2987" s="39"/>
    </row>
    <row r="2988">
      <c r="A2988" s="40">
        <f t="shared" si="1"/>
        <v>46006</v>
      </c>
      <c r="B2988" s="37" t="str">
        <f t="array" ref="B2988">iferror(xlookup($I2988, 'IMPORT VHC Report'!$E:$E, 'IMPORT VHC Report'!$A:$C), )</f>
        <v/>
      </c>
      <c r="C2988" s="37"/>
      <c r="D2988" s="37"/>
      <c r="E2988" s="38" t="s">
        <v>3628</v>
      </c>
      <c r="F2988" s="38" t="s">
        <v>3607</v>
      </c>
      <c r="G2988" s="38">
        <v>5.202392804111E12</v>
      </c>
      <c r="H2988" s="38" t="s">
        <v>3608</v>
      </c>
      <c r="I2988" s="38" t="s">
        <v>3609</v>
      </c>
      <c r="J2988" s="38" t="s">
        <v>224</v>
      </c>
      <c r="K2988" s="38" t="s">
        <v>63</v>
      </c>
      <c r="L2988" s="41">
        <v>46009.510416666664</v>
      </c>
      <c r="M2988" s="38" t="s">
        <v>123</v>
      </c>
      <c r="N2988" s="41">
        <v>46009.614583333336</v>
      </c>
      <c r="O2988" s="38" t="s">
        <v>123</v>
      </c>
      <c r="P2988" s="38">
        <v>9000.0</v>
      </c>
      <c r="Q2988" s="39"/>
      <c r="R2988" s="39"/>
      <c r="S2988" s="39"/>
      <c r="T2988" s="39"/>
      <c r="U2988" s="39"/>
    </row>
    <row r="2989">
      <c r="A2989" s="40">
        <f t="shared" si="1"/>
        <v>46006</v>
      </c>
      <c r="B2989" s="37" t="str">
        <f t="array" ref="B2989">iferror(xlookup($I2989, 'IMPORT VHC Report'!$E:$E, 'IMPORT VHC Report'!$A:$C), )</f>
        <v/>
      </c>
      <c r="C2989" s="37"/>
      <c r="D2989" s="37"/>
      <c r="E2989" s="38" t="s">
        <v>3629</v>
      </c>
      <c r="F2989" s="38" t="s">
        <v>3607</v>
      </c>
      <c r="G2989" s="38">
        <v>5.202392804111E12</v>
      </c>
      <c r="H2989" s="38" t="s">
        <v>3608</v>
      </c>
      <c r="I2989" s="38" t="s">
        <v>3609</v>
      </c>
      <c r="J2989" s="38" t="s">
        <v>132</v>
      </c>
      <c r="K2989" s="38" t="s">
        <v>126</v>
      </c>
      <c r="L2989" s="41">
        <v>46009.614583333336</v>
      </c>
      <c r="M2989" s="38" t="s">
        <v>123</v>
      </c>
      <c r="N2989" s="41">
        <v>46009.65625</v>
      </c>
      <c r="O2989" s="38" t="s">
        <v>123</v>
      </c>
      <c r="P2989" s="38">
        <v>3600.0</v>
      </c>
      <c r="Q2989" s="39"/>
      <c r="R2989" s="39"/>
      <c r="S2989" s="39"/>
      <c r="T2989" s="39"/>
      <c r="U2989" s="39"/>
    </row>
    <row r="2990">
      <c r="A2990" s="40">
        <f t="shared" si="1"/>
        <v>46006</v>
      </c>
      <c r="B2990" s="37" t="str">
        <f t="array" ref="B2990">iferror(xlookup($I2990, 'IMPORT VHC Report'!$E:$E, 'IMPORT VHC Report'!$A:$C), )</f>
        <v/>
      </c>
      <c r="C2990" s="37"/>
      <c r="D2990" s="37"/>
      <c r="E2990" s="38" t="s">
        <v>3630</v>
      </c>
      <c r="F2990" s="38" t="s">
        <v>3607</v>
      </c>
      <c r="G2990" s="38">
        <v>5.202392804111E12</v>
      </c>
      <c r="H2990" s="38" t="s">
        <v>3608</v>
      </c>
      <c r="I2990" s="38" t="s">
        <v>3609</v>
      </c>
      <c r="J2990" s="38" t="s">
        <v>224</v>
      </c>
      <c r="K2990" s="38" t="s">
        <v>63</v>
      </c>
      <c r="L2990" s="41">
        <v>46009.65625</v>
      </c>
      <c r="M2990" s="38" t="s">
        <v>123</v>
      </c>
      <c r="N2990" s="41">
        <v>46009.71875</v>
      </c>
      <c r="O2990" s="38" t="s">
        <v>123</v>
      </c>
      <c r="P2990" s="38">
        <v>5400.0</v>
      </c>
      <c r="Q2990" s="39"/>
      <c r="R2990" s="39"/>
      <c r="S2990" s="39"/>
      <c r="T2990" s="39"/>
      <c r="U2990" s="39"/>
    </row>
    <row r="2991">
      <c r="A2991" s="40">
        <f t="shared" si="1"/>
        <v>46006</v>
      </c>
      <c r="B2991" s="37" t="str">
        <f t="array" ref="B2991">iferror(xlookup($I2991, 'IMPORT VHC Report'!$E:$E, 'IMPORT VHC Report'!$A:$C), )</f>
        <v/>
      </c>
      <c r="C2991" s="37"/>
      <c r="D2991" s="37"/>
      <c r="E2991" s="38" t="s">
        <v>3631</v>
      </c>
      <c r="F2991" s="38" t="s">
        <v>3607</v>
      </c>
      <c r="G2991" s="38">
        <v>5.202392804111E12</v>
      </c>
      <c r="H2991" s="38" t="s">
        <v>3608</v>
      </c>
      <c r="I2991" s="38" t="s">
        <v>3609</v>
      </c>
      <c r="J2991" s="38" t="s">
        <v>134</v>
      </c>
      <c r="K2991" s="38" t="s">
        <v>126</v>
      </c>
      <c r="L2991" s="41">
        <v>46009.71875</v>
      </c>
      <c r="M2991" s="38" t="s">
        <v>123</v>
      </c>
      <c r="N2991" s="41">
        <v>46009.729166666664</v>
      </c>
      <c r="O2991" s="38" t="s">
        <v>123</v>
      </c>
      <c r="P2991" s="38">
        <v>900.0</v>
      </c>
      <c r="Q2991" s="39"/>
      <c r="R2991" s="39"/>
      <c r="S2991" s="39"/>
      <c r="T2991" s="39"/>
      <c r="U2991" s="39"/>
    </row>
    <row r="2992">
      <c r="A2992" s="40">
        <f t="shared" si="1"/>
        <v>46006</v>
      </c>
      <c r="B2992" s="37" t="str">
        <f t="array" ref="B2992">iferror(xlookup($I2992, 'IMPORT VHC Report'!$E:$E, 'IMPORT VHC Report'!$A:$C), )</f>
        <v/>
      </c>
      <c r="C2992" s="37"/>
      <c r="D2992" s="37"/>
      <c r="E2992" s="38" t="s">
        <v>3632</v>
      </c>
      <c r="F2992" s="38" t="s">
        <v>3607</v>
      </c>
      <c r="G2992" s="38">
        <v>5.202392804111E12</v>
      </c>
      <c r="H2992" s="38" t="s">
        <v>3608</v>
      </c>
      <c r="I2992" s="38" t="s">
        <v>3609</v>
      </c>
      <c r="J2992" s="38" t="s">
        <v>224</v>
      </c>
      <c r="K2992" s="38" t="s">
        <v>63</v>
      </c>
      <c r="L2992" s="41">
        <v>46009.729166666664</v>
      </c>
      <c r="M2992" s="38" t="s">
        <v>123</v>
      </c>
      <c r="N2992" s="41">
        <v>46009.791666666664</v>
      </c>
      <c r="O2992" s="38" t="s">
        <v>123</v>
      </c>
      <c r="P2992" s="38">
        <v>5400.0</v>
      </c>
      <c r="Q2992" s="39"/>
      <c r="R2992" s="39"/>
      <c r="S2992" s="39"/>
      <c r="T2992" s="39"/>
      <c r="U2992" s="39"/>
    </row>
    <row r="2993">
      <c r="A2993" s="40">
        <f t="shared" si="1"/>
        <v>46006</v>
      </c>
      <c r="B2993" s="37" t="str">
        <f t="array" ref="B2993">iferror(xlookup($I2993, 'IMPORT VHC Report'!$E:$E, 'IMPORT VHC Report'!$A:$C), )</f>
        <v/>
      </c>
      <c r="C2993" s="37"/>
      <c r="D2993" s="37"/>
      <c r="E2993" s="38" t="s">
        <v>3633</v>
      </c>
      <c r="F2993" s="38" t="s">
        <v>3607</v>
      </c>
      <c r="G2993" s="38">
        <v>5.202392804111E12</v>
      </c>
      <c r="H2993" s="38" t="s">
        <v>3608</v>
      </c>
      <c r="I2993" s="38" t="s">
        <v>3609</v>
      </c>
      <c r="J2993" s="38" t="s">
        <v>152</v>
      </c>
      <c r="K2993" s="38" t="s">
        <v>153</v>
      </c>
      <c r="L2993" s="41">
        <v>46010.416666666664</v>
      </c>
      <c r="M2993" s="38" t="s">
        <v>123</v>
      </c>
      <c r="N2993" s="41">
        <v>46010.791666666664</v>
      </c>
      <c r="O2993" s="38" t="s">
        <v>123</v>
      </c>
      <c r="P2993" s="38">
        <v>32400.0</v>
      </c>
      <c r="Q2993" s="38">
        <v>32400.0</v>
      </c>
      <c r="R2993" s="39"/>
      <c r="S2993" s="39"/>
      <c r="T2993" s="39"/>
      <c r="U2993" s="39"/>
    </row>
    <row r="2994">
      <c r="A2994" s="40">
        <f t="shared" si="1"/>
        <v>46006</v>
      </c>
      <c r="B2994" s="37" t="str">
        <f t="array" ref="B2994">iferror(xlookup($I2994, 'IMPORT VHC Report'!$E:$E, 'IMPORT VHC Report'!$A:$C), )</f>
        <v/>
      </c>
      <c r="C2994" s="37"/>
      <c r="D2994" s="37"/>
      <c r="E2994" s="38" t="s">
        <v>3634</v>
      </c>
      <c r="F2994" s="38" t="s">
        <v>3607</v>
      </c>
      <c r="G2994" s="38">
        <v>5.202392804111E12</v>
      </c>
      <c r="H2994" s="38" t="s">
        <v>3608</v>
      </c>
      <c r="I2994" s="38" t="s">
        <v>3609</v>
      </c>
      <c r="J2994" s="38" t="s">
        <v>62</v>
      </c>
      <c r="K2994" s="38" t="s">
        <v>63</v>
      </c>
      <c r="L2994" s="41">
        <v>46010.46875</v>
      </c>
      <c r="M2994" s="38" t="s">
        <v>123</v>
      </c>
      <c r="N2994" s="41">
        <v>46010.489583333336</v>
      </c>
      <c r="O2994" s="38" t="s">
        <v>123</v>
      </c>
      <c r="P2994" s="38">
        <v>1800.0</v>
      </c>
      <c r="Q2994" s="39"/>
      <c r="R2994" s="39"/>
      <c r="S2994" s="39"/>
      <c r="T2994" s="39"/>
      <c r="U2994" s="39"/>
    </row>
    <row r="2995">
      <c r="A2995" s="40">
        <f t="shared" si="1"/>
        <v>46006</v>
      </c>
      <c r="B2995" s="37" t="str">
        <f t="array" ref="B2995">iferror(xlookup($I2995, 'IMPORT VHC Report'!$E:$E, 'IMPORT VHC Report'!$A:$C), )</f>
        <v/>
      </c>
      <c r="C2995" s="37"/>
      <c r="D2995" s="37"/>
      <c r="E2995" s="38" t="s">
        <v>3635</v>
      </c>
      <c r="F2995" s="38" t="s">
        <v>3607</v>
      </c>
      <c r="G2995" s="38">
        <v>5.202392804111E12</v>
      </c>
      <c r="H2995" s="38" t="s">
        <v>3608</v>
      </c>
      <c r="I2995" s="38" t="s">
        <v>3609</v>
      </c>
      <c r="J2995" s="38" t="s">
        <v>224</v>
      </c>
      <c r="K2995" s="38" t="s">
        <v>63</v>
      </c>
      <c r="L2995" s="41">
        <v>46010.489583333336</v>
      </c>
      <c r="M2995" s="38" t="s">
        <v>123</v>
      </c>
      <c r="N2995" s="41">
        <v>46010.541666666664</v>
      </c>
      <c r="O2995" s="38" t="s">
        <v>123</v>
      </c>
      <c r="P2995" s="38">
        <v>4500.0</v>
      </c>
      <c r="Q2995" s="39"/>
      <c r="R2995" s="39"/>
      <c r="S2995" s="39"/>
      <c r="T2995" s="39"/>
      <c r="U2995" s="39"/>
    </row>
    <row r="2996">
      <c r="A2996" s="40">
        <f t="shared" si="1"/>
        <v>46006</v>
      </c>
      <c r="B2996" s="37" t="str">
        <f t="array" ref="B2996">iferror(xlookup($I2996, 'IMPORT VHC Report'!$E:$E, 'IMPORT VHC Report'!$A:$C), )</f>
        <v/>
      </c>
      <c r="C2996" s="37"/>
      <c r="D2996" s="37"/>
      <c r="E2996" s="38" t="s">
        <v>3636</v>
      </c>
      <c r="F2996" s="38" t="s">
        <v>3607</v>
      </c>
      <c r="G2996" s="38">
        <v>5.202392804111E12</v>
      </c>
      <c r="H2996" s="38" t="s">
        <v>3608</v>
      </c>
      <c r="I2996" s="38" t="s">
        <v>3609</v>
      </c>
      <c r="J2996" s="38" t="s">
        <v>134</v>
      </c>
      <c r="K2996" s="38" t="s">
        <v>126</v>
      </c>
      <c r="L2996" s="41">
        <v>46010.541666666664</v>
      </c>
      <c r="M2996" s="38" t="s">
        <v>123</v>
      </c>
      <c r="N2996" s="41">
        <v>46010.552083333336</v>
      </c>
      <c r="O2996" s="38" t="s">
        <v>123</v>
      </c>
      <c r="P2996" s="38">
        <v>900.0</v>
      </c>
      <c r="Q2996" s="39"/>
      <c r="R2996" s="39"/>
      <c r="S2996" s="39"/>
      <c r="T2996" s="39"/>
      <c r="U2996" s="39"/>
    </row>
    <row r="2997">
      <c r="A2997" s="40">
        <f t="shared" si="1"/>
        <v>46006</v>
      </c>
      <c r="B2997" s="37" t="str">
        <f t="array" ref="B2997">iferror(xlookup($I2997, 'IMPORT VHC Report'!$E:$E, 'IMPORT VHC Report'!$A:$C), )</f>
        <v/>
      </c>
      <c r="C2997" s="37"/>
      <c r="D2997" s="37"/>
      <c r="E2997" s="38" t="s">
        <v>3637</v>
      </c>
      <c r="F2997" s="38" t="s">
        <v>3607</v>
      </c>
      <c r="G2997" s="38">
        <v>5.202392804111E12</v>
      </c>
      <c r="H2997" s="38" t="s">
        <v>3608</v>
      </c>
      <c r="I2997" s="38" t="s">
        <v>3609</v>
      </c>
      <c r="J2997" s="38" t="s">
        <v>224</v>
      </c>
      <c r="K2997" s="38" t="s">
        <v>63</v>
      </c>
      <c r="L2997" s="41">
        <v>46010.552083333336</v>
      </c>
      <c r="M2997" s="38" t="s">
        <v>123</v>
      </c>
      <c r="N2997" s="41">
        <v>46010.614583333336</v>
      </c>
      <c r="O2997" s="38" t="s">
        <v>123</v>
      </c>
      <c r="P2997" s="38">
        <v>5400.0</v>
      </c>
      <c r="Q2997" s="39"/>
      <c r="R2997" s="39"/>
      <c r="S2997" s="39"/>
      <c r="T2997" s="39"/>
      <c r="U2997" s="39"/>
    </row>
    <row r="2998">
      <c r="A2998" s="40">
        <f t="shared" si="1"/>
        <v>46006</v>
      </c>
      <c r="B2998" s="37" t="str">
        <f t="array" ref="B2998">iferror(xlookup($I2998, 'IMPORT VHC Report'!$E:$E, 'IMPORT VHC Report'!$A:$C), )</f>
        <v/>
      </c>
      <c r="C2998" s="37"/>
      <c r="D2998" s="37"/>
      <c r="E2998" s="38" t="s">
        <v>3638</v>
      </c>
      <c r="F2998" s="38" t="s">
        <v>3607</v>
      </c>
      <c r="G2998" s="38">
        <v>5.202392804111E12</v>
      </c>
      <c r="H2998" s="38" t="s">
        <v>3608</v>
      </c>
      <c r="I2998" s="38" t="s">
        <v>3609</v>
      </c>
      <c r="J2998" s="38" t="s">
        <v>132</v>
      </c>
      <c r="K2998" s="38" t="s">
        <v>126</v>
      </c>
      <c r="L2998" s="41">
        <v>46010.614583333336</v>
      </c>
      <c r="M2998" s="38" t="s">
        <v>123</v>
      </c>
      <c r="N2998" s="41">
        <v>46010.65625</v>
      </c>
      <c r="O2998" s="38" t="s">
        <v>123</v>
      </c>
      <c r="P2998" s="38">
        <v>3600.0</v>
      </c>
      <c r="Q2998" s="39"/>
      <c r="R2998" s="39"/>
      <c r="S2998" s="39"/>
      <c r="T2998" s="39"/>
      <c r="U2998" s="39"/>
    </row>
    <row r="2999">
      <c r="A2999" s="40">
        <f t="shared" si="1"/>
        <v>46006</v>
      </c>
      <c r="B2999" s="37" t="str">
        <f t="array" ref="B2999">iferror(xlookup($I2999, 'IMPORT VHC Report'!$E:$E, 'IMPORT VHC Report'!$A:$C), )</f>
        <v/>
      </c>
      <c r="C2999" s="37"/>
      <c r="D2999" s="37"/>
      <c r="E2999" s="38" t="s">
        <v>3639</v>
      </c>
      <c r="F2999" s="38" t="s">
        <v>3607</v>
      </c>
      <c r="G2999" s="38">
        <v>5.202392804111E12</v>
      </c>
      <c r="H2999" s="38" t="s">
        <v>3608</v>
      </c>
      <c r="I2999" s="38" t="s">
        <v>3609</v>
      </c>
      <c r="J2999" s="38" t="s">
        <v>224</v>
      </c>
      <c r="K2999" s="38" t="s">
        <v>63</v>
      </c>
      <c r="L2999" s="41">
        <v>46010.65625</v>
      </c>
      <c r="M2999" s="38" t="s">
        <v>123</v>
      </c>
      <c r="N2999" s="41">
        <v>46010.71875</v>
      </c>
      <c r="O2999" s="38" t="s">
        <v>123</v>
      </c>
      <c r="P2999" s="38">
        <v>5400.0</v>
      </c>
      <c r="Q2999" s="39"/>
      <c r="R2999" s="39"/>
      <c r="S2999" s="39"/>
      <c r="T2999" s="39"/>
      <c r="U2999" s="39"/>
    </row>
    <row r="3000">
      <c r="A3000" s="40">
        <f t="shared" si="1"/>
        <v>46006</v>
      </c>
      <c r="B3000" s="37" t="str">
        <f t="array" ref="B3000">iferror(xlookup($I3000, 'IMPORT VHC Report'!$E:$E, 'IMPORT VHC Report'!$A:$C), )</f>
        <v/>
      </c>
      <c r="C3000" s="37"/>
      <c r="D3000" s="37"/>
      <c r="E3000" s="38" t="s">
        <v>3640</v>
      </c>
      <c r="F3000" s="38" t="s">
        <v>3607</v>
      </c>
      <c r="G3000" s="38">
        <v>5.202392804111E12</v>
      </c>
      <c r="H3000" s="38" t="s">
        <v>3608</v>
      </c>
      <c r="I3000" s="38" t="s">
        <v>3609</v>
      </c>
      <c r="J3000" s="38" t="s">
        <v>134</v>
      </c>
      <c r="K3000" s="38" t="s">
        <v>126</v>
      </c>
      <c r="L3000" s="41">
        <v>46010.71875</v>
      </c>
      <c r="M3000" s="38" t="s">
        <v>123</v>
      </c>
      <c r="N3000" s="41">
        <v>46010.729166666664</v>
      </c>
      <c r="O3000" s="38" t="s">
        <v>123</v>
      </c>
      <c r="P3000" s="38">
        <v>900.0</v>
      </c>
      <c r="Q3000" s="39"/>
      <c r="R3000" s="39"/>
      <c r="S3000" s="39"/>
      <c r="T3000" s="39"/>
      <c r="U3000" s="39"/>
    </row>
    <row r="3001">
      <c r="A3001" s="40">
        <f t="shared" si="1"/>
        <v>46006</v>
      </c>
      <c r="B3001" s="37" t="str">
        <f t="array" ref="B3001">iferror(xlookup($I3001, 'IMPORT VHC Report'!$E:$E, 'IMPORT VHC Report'!$A:$C), )</f>
        <v/>
      </c>
      <c r="C3001" s="37"/>
      <c r="D3001" s="37"/>
      <c r="E3001" s="38" t="s">
        <v>3641</v>
      </c>
      <c r="F3001" s="38" t="s">
        <v>3607</v>
      </c>
      <c r="G3001" s="38">
        <v>5.202392804111E12</v>
      </c>
      <c r="H3001" s="38" t="s">
        <v>3608</v>
      </c>
      <c r="I3001" s="38" t="s">
        <v>3609</v>
      </c>
      <c r="J3001" s="38" t="s">
        <v>224</v>
      </c>
      <c r="K3001" s="38" t="s">
        <v>63</v>
      </c>
      <c r="L3001" s="41">
        <v>46010.729166666664</v>
      </c>
      <c r="M3001" s="38" t="s">
        <v>123</v>
      </c>
      <c r="N3001" s="41">
        <v>46010.791666666664</v>
      </c>
      <c r="O3001" s="38" t="s">
        <v>123</v>
      </c>
      <c r="P3001" s="38">
        <v>5400.0</v>
      </c>
      <c r="Q3001" s="39"/>
      <c r="R3001" s="39"/>
      <c r="S3001" s="39"/>
      <c r="T3001" s="39"/>
      <c r="U3001" s="39"/>
    </row>
    <row r="3002">
      <c r="A3002" s="40">
        <f t="shared" si="1"/>
        <v>46006</v>
      </c>
      <c r="B3002" s="37" t="str">
        <f t="array" ref="B3002">iferror(xlookup($I3002, 'IMPORT VHC Report'!$E:$E, 'IMPORT VHC Report'!$A:$C), )</f>
        <v/>
      </c>
      <c r="C3002" s="37"/>
      <c r="D3002" s="37"/>
      <c r="E3002" s="38" t="s">
        <v>3642</v>
      </c>
      <c r="F3002" s="38" t="s">
        <v>3643</v>
      </c>
      <c r="G3002" s="38">
        <v>3.61724668516E11</v>
      </c>
      <c r="H3002" s="38" t="s">
        <v>3644</v>
      </c>
      <c r="I3002" s="38" t="s">
        <v>3645</v>
      </c>
      <c r="J3002" s="38" t="s">
        <v>136</v>
      </c>
      <c r="K3002" s="38" t="s">
        <v>126</v>
      </c>
      <c r="L3002" s="41">
        <v>46006.416666666664</v>
      </c>
      <c r="M3002" s="38" t="s">
        <v>123</v>
      </c>
      <c r="N3002" s="41">
        <v>46006.44027777778</v>
      </c>
      <c r="O3002" s="38" t="s">
        <v>123</v>
      </c>
      <c r="P3002" s="38">
        <v>2040.0</v>
      </c>
      <c r="Q3002" s="39"/>
      <c r="R3002" s="39"/>
      <c r="S3002" s="38" t="s">
        <v>2659</v>
      </c>
      <c r="T3002" s="39"/>
      <c r="U3002" s="39"/>
    </row>
    <row r="3003">
      <c r="A3003" s="40">
        <f t="shared" si="1"/>
        <v>46006</v>
      </c>
      <c r="B3003" s="37" t="str">
        <f t="array" ref="B3003">iferror(xlookup($I3003, 'IMPORT VHC Report'!$E:$E, 'IMPORT VHC Report'!$A:$C), )</f>
        <v/>
      </c>
      <c r="C3003" s="37"/>
      <c r="D3003" s="37"/>
      <c r="E3003" s="38" t="s">
        <v>3646</v>
      </c>
      <c r="F3003" s="38" t="s">
        <v>3643</v>
      </c>
      <c r="G3003" s="38">
        <v>3.61724668516E11</v>
      </c>
      <c r="H3003" s="38" t="s">
        <v>3644</v>
      </c>
      <c r="I3003" s="38" t="s">
        <v>3645</v>
      </c>
      <c r="J3003" s="38" t="s">
        <v>368</v>
      </c>
      <c r="K3003" s="38" t="s">
        <v>63</v>
      </c>
      <c r="L3003" s="41">
        <v>46006.416666666664</v>
      </c>
      <c r="M3003" s="38" t="s">
        <v>123</v>
      </c>
      <c r="N3003" s="41">
        <v>46006.791666666664</v>
      </c>
      <c r="O3003" s="38" t="s">
        <v>123</v>
      </c>
      <c r="P3003" s="38">
        <v>32400.0</v>
      </c>
      <c r="Q3003" s="39"/>
      <c r="R3003" s="39"/>
      <c r="S3003" s="39"/>
      <c r="T3003" s="39"/>
      <c r="U3003" s="39"/>
    </row>
    <row r="3004">
      <c r="A3004" s="40">
        <f t="shared" si="1"/>
        <v>46006</v>
      </c>
      <c r="B3004" s="37" t="str">
        <f t="array" ref="B3004">iferror(xlookup($I3004, 'IMPORT VHC Report'!$E:$E, 'IMPORT VHC Report'!$A:$C), )</f>
        <v/>
      </c>
      <c r="C3004" s="37"/>
      <c r="D3004" s="37"/>
      <c r="E3004" s="38" t="s">
        <v>3647</v>
      </c>
      <c r="F3004" s="38" t="s">
        <v>3643</v>
      </c>
      <c r="G3004" s="38">
        <v>3.61724668516E11</v>
      </c>
      <c r="H3004" s="38" t="s">
        <v>3644</v>
      </c>
      <c r="I3004" s="38" t="s">
        <v>3645</v>
      </c>
      <c r="J3004" s="38" t="s">
        <v>134</v>
      </c>
      <c r="K3004" s="38" t="s">
        <v>126</v>
      </c>
      <c r="L3004" s="41">
        <v>46006.604166666664</v>
      </c>
      <c r="M3004" s="38" t="s">
        <v>123</v>
      </c>
      <c r="N3004" s="41">
        <v>46006.625</v>
      </c>
      <c r="O3004" s="38" t="s">
        <v>123</v>
      </c>
      <c r="P3004" s="38">
        <v>1800.0</v>
      </c>
      <c r="Q3004" s="39"/>
      <c r="R3004" s="39"/>
      <c r="S3004" s="39"/>
      <c r="T3004" s="39"/>
      <c r="U3004" s="39"/>
    </row>
    <row r="3005">
      <c r="A3005" s="40">
        <f t="shared" si="1"/>
        <v>46006</v>
      </c>
      <c r="B3005" s="37" t="str">
        <f t="array" ref="B3005">iferror(xlookup($I3005, 'IMPORT VHC Report'!$E:$E, 'IMPORT VHC Report'!$A:$C), )</f>
        <v/>
      </c>
      <c r="C3005" s="37"/>
      <c r="D3005" s="37"/>
      <c r="E3005" s="38" t="s">
        <v>3648</v>
      </c>
      <c r="F3005" s="38" t="s">
        <v>3643</v>
      </c>
      <c r="G3005" s="38">
        <v>3.61724668516E11</v>
      </c>
      <c r="H3005" s="38" t="s">
        <v>3644</v>
      </c>
      <c r="I3005" s="38" t="s">
        <v>3645</v>
      </c>
      <c r="J3005" s="38" t="s">
        <v>132</v>
      </c>
      <c r="K3005" s="38" t="s">
        <v>126</v>
      </c>
      <c r="L3005" s="41">
        <v>46006.708333333336</v>
      </c>
      <c r="M3005" s="38" t="s">
        <v>123</v>
      </c>
      <c r="N3005" s="41">
        <v>46006.75</v>
      </c>
      <c r="O3005" s="38" t="s">
        <v>123</v>
      </c>
      <c r="P3005" s="38">
        <v>3600.0</v>
      </c>
      <c r="Q3005" s="39"/>
      <c r="R3005" s="39"/>
      <c r="S3005" s="39"/>
      <c r="T3005" s="39"/>
      <c r="U3005" s="39"/>
    </row>
    <row r="3006">
      <c r="A3006" s="40">
        <f t="shared" si="1"/>
        <v>46006</v>
      </c>
      <c r="B3006" s="37" t="str">
        <f t="array" ref="B3006">iferror(xlookup($I3006, 'IMPORT VHC Report'!$E:$E, 'IMPORT VHC Report'!$A:$C), )</f>
        <v/>
      </c>
      <c r="C3006" s="37"/>
      <c r="D3006" s="37"/>
      <c r="E3006" s="38" t="s">
        <v>3649</v>
      </c>
      <c r="F3006" s="38" t="s">
        <v>3643</v>
      </c>
      <c r="G3006" s="38">
        <v>3.61724668516E11</v>
      </c>
      <c r="H3006" s="38" t="s">
        <v>3644</v>
      </c>
      <c r="I3006" s="38" t="s">
        <v>3645</v>
      </c>
      <c r="J3006" s="38" t="s">
        <v>368</v>
      </c>
      <c r="K3006" s="38" t="s">
        <v>63</v>
      </c>
      <c r="L3006" s="41">
        <v>46007.416666666664</v>
      </c>
      <c r="M3006" s="38" t="s">
        <v>123</v>
      </c>
      <c r="N3006" s="41">
        <v>46007.791666666664</v>
      </c>
      <c r="O3006" s="38" t="s">
        <v>123</v>
      </c>
      <c r="P3006" s="38">
        <v>32400.0</v>
      </c>
      <c r="Q3006" s="39"/>
      <c r="R3006" s="39"/>
      <c r="S3006" s="39"/>
      <c r="T3006" s="39"/>
      <c r="U3006" s="39"/>
    </row>
    <row r="3007">
      <c r="A3007" s="40">
        <f t="shared" si="1"/>
        <v>46006</v>
      </c>
      <c r="B3007" s="37" t="str">
        <f t="array" ref="B3007">iferror(xlookup($I3007, 'IMPORT VHC Report'!$E:$E, 'IMPORT VHC Report'!$A:$C), )</f>
        <v/>
      </c>
      <c r="C3007" s="37"/>
      <c r="D3007" s="37"/>
      <c r="E3007" s="38" t="s">
        <v>3650</v>
      </c>
      <c r="F3007" s="38" t="s">
        <v>3643</v>
      </c>
      <c r="G3007" s="38">
        <v>3.61724668516E11</v>
      </c>
      <c r="H3007" s="38" t="s">
        <v>3644</v>
      </c>
      <c r="I3007" s="38" t="s">
        <v>3645</v>
      </c>
      <c r="J3007" s="38" t="s">
        <v>134</v>
      </c>
      <c r="K3007" s="38" t="s">
        <v>126</v>
      </c>
      <c r="L3007" s="41">
        <v>46007.510416666664</v>
      </c>
      <c r="M3007" s="38" t="s">
        <v>123</v>
      </c>
      <c r="N3007" s="41">
        <v>46007.53125</v>
      </c>
      <c r="O3007" s="38" t="s">
        <v>123</v>
      </c>
      <c r="P3007" s="38">
        <v>1800.0</v>
      </c>
      <c r="Q3007" s="39"/>
      <c r="R3007" s="39"/>
      <c r="S3007" s="39"/>
      <c r="T3007" s="39"/>
      <c r="U3007" s="39"/>
    </row>
    <row r="3008">
      <c r="A3008" s="40">
        <f t="shared" si="1"/>
        <v>46006</v>
      </c>
      <c r="B3008" s="37" t="str">
        <f t="array" ref="B3008">iferror(xlookup($I3008, 'IMPORT VHC Report'!$E:$E, 'IMPORT VHC Report'!$A:$C), )</f>
        <v/>
      </c>
      <c r="C3008" s="37"/>
      <c r="D3008" s="37"/>
      <c r="E3008" s="38" t="s">
        <v>3651</v>
      </c>
      <c r="F3008" s="38" t="s">
        <v>3643</v>
      </c>
      <c r="G3008" s="38">
        <v>3.61724668516E11</v>
      </c>
      <c r="H3008" s="38" t="s">
        <v>3644</v>
      </c>
      <c r="I3008" s="38" t="s">
        <v>3645</v>
      </c>
      <c r="J3008" s="38" t="s">
        <v>132</v>
      </c>
      <c r="K3008" s="38" t="s">
        <v>126</v>
      </c>
      <c r="L3008" s="41">
        <v>46007.708333333336</v>
      </c>
      <c r="M3008" s="38" t="s">
        <v>123</v>
      </c>
      <c r="N3008" s="41">
        <v>46007.75</v>
      </c>
      <c r="O3008" s="38" t="s">
        <v>123</v>
      </c>
      <c r="P3008" s="38">
        <v>3600.0</v>
      </c>
      <c r="Q3008" s="39"/>
      <c r="R3008" s="39"/>
      <c r="S3008" s="39"/>
      <c r="T3008" s="39"/>
      <c r="U3008" s="39"/>
    </row>
    <row r="3009">
      <c r="A3009" s="40">
        <f t="shared" si="1"/>
        <v>46006</v>
      </c>
      <c r="B3009" s="37" t="str">
        <f t="array" ref="B3009">iferror(xlookup($I3009, 'IMPORT VHC Report'!$E:$E, 'IMPORT VHC Report'!$A:$C), )</f>
        <v/>
      </c>
      <c r="C3009" s="37"/>
      <c r="D3009" s="37"/>
      <c r="E3009" s="38" t="s">
        <v>3652</v>
      </c>
      <c r="F3009" s="38" t="s">
        <v>3643</v>
      </c>
      <c r="G3009" s="38">
        <v>3.61724668516E11</v>
      </c>
      <c r="H3009" s="38" t="s">
        <v>3644</v>
      </c>
      <c r="I3009" s="38" t="s">
        <v>3645</v>
      </c>
      <c r="J3009" s="38" t="s">
        <v>368</v>
      </c>
      <c r="K3009" s="38" t="s">
        <v>63</v>
      </c>
      <c r="L3009" s="41">
        <v>46008.416666666664</v>
      </c>
      <c r="M3009" s="38" t="s">
        <v>123</v>
      </c>
      <c r="N3009" s="41">
        <v>46008.791666666664</v>
      </c>
      <c r="O3009" s="38" t="s">
        <v>123</v>
      </c>
      <c r="P3009" s="38">
        <v>32400.0</v>
      </c>
      <c r="Q3009" s="39"/>
      <c r="R3009" s="39"/>
      <c r="S3009" s="39"/>
      <c r="T3009" s="39"/>
      <c r="U3009" s="39"/>
    </row>
    <row r="3010">
      <c r="A3010" s="40">
        <f t="shared" si="1"/>
        <v>46006</v>
      </c>
      <c r="B3010" s="37" t="str">
        <f t="array" ref="B3010">iferror(xlookup($I3010, 'IMPORT VHC Report'!$E:$E, 'IMPORT VHC Report'!$A:$C), )</f>
        <v/>
      </c>
      <c r="C3010" s="37"/>
      <c r="D3010" s="37"/>
      <c r="E3010" s="38" t="s">
        <v>3653</v>
      </c>
      <c r="F3010" s="38" t="s">
        <v>3643</v>
      </c>
      <c r="G3010" s="38">
        <v>3.61724668516E11</v>
      </c>
      <c r="H3010" s="38" t="s">
        <v>3644</v>
      </c>
      <c r="I3010" s="38" t="s">
        <v>3645</v>
      </c>
      <c r="J3010" s="38" t="s">
        <v>134</v>
      </c>
      <c r="K3010" s="38" t="s">
        <v>126</v>
      </c>
      <c r="L3010" s="41">
        <v>46008.520833333336</v>
      </c>
      <c r="M3010" s="38" t="s">
        <v>123</v>
      </c>
      <c r="N3010" s="41">
        <v>46008.541666666664</v>
      </c>
      <c r="O3010" s="38" t="s">
        <v>123</v>
      </c>
      <c r="P3010" s="38">
        <v>1800.0</v>
      </c>
      <c r="Q3010" s="39"/>
      <c r="R3010" s="39"/>
      <c r="S3010" s="39"/>
      <c r="T3010" s="39"/>
      <c r="U3010" s="39"/>
    </row>
    <row r="3011">
      <c r="A3011" s="40">
        <f t="shared" si="1"/>
        <v>46006</v>
      </c>
      <c r="B3011" s="37" t="str">
        <f t="array" ref="B3011">iferror(xlookup($I3011, 'IMPORT VHC Report'!$E:$E, 'IMPORT VHC Report'!$A:$C), )</f>
        <v/>
      </c>
      <c r="C3011" s="37"/>
      <c r="D3011" s="37"/>
      <c r="E3011" s="38" t="s">
        <v>3654</v>
      </c>
      <c r="F3011" s="38" t="s">
        <v>3643</v>
      </c>
      <c r="G3011" s="38">
        <v>3.61724668516E11</v>
      </c>
      <c r="H3011" s="38" t="s">
        <v>3644</v>
      </c>
      <c r="I3011" s="38" t="s">
        <v>3645</v>
      </c>
      <c r="J3011" s="38" t="s">
        <v>132</v>
      </c>
      <c r="K3011" s="38" t="s">
        <v>126</v>
      </c>
      <c r="L3011" s="41">
        <v>46008.6875</v>
      </c>
      <c r="M3011" s="38" t="s">
        <v>123</v>
      </c>
      <c r="N3011" s="41">
        <v>46008.729166666664</v>
      </c>
      <c r="O3011" s="38" t="s">
        <v>123</v>
      </c>
      <c r="P3011" s="38">
        <v>3600.0</v>
      </c>
      <c r="Q3011" s="39"/>
      <c r="R3011" s="39"/>
      <c r="S3011" s="39"/>
      <c r="T3011" s="39"/>
      <c r="U3011" s="39"/>
    </row>
    <row r="3012">
      <c r="A3012" s="40">
        <f t="shared" si="1"/>
        <v>46006</v>
      </c>
      <c r="B3012" s="37" t="str">
        <f t="array" ref="B3012">iferror(xlookup($I3012, 'IMPORT VHC Report'!$E:$E, 'IMPORT VHC Report'!$A:$C), )</f>
        <v/>
      </c>
      <c r="C3012" s="37"/>
      <c r="D3012" s="37"/>
      <c r="E3012" s="38" t="s">
        <v>3655</v>
      </c>
      <c r="F3012" s="38" t="s">
        <v>3643</v>
      </c>
      <c r="G3012" s="38">
        <v>3.61724668516E11</v>
      </c>
      <c r="H3012" s="38" t="s">
        <v>3644</v>
      </c>
      <c r="I3012" s="38" t="s">
        <v>3645</v>
      </c>
      <c r="J3012" s="38" t="s">
        <v>152</v>
      </c>
      <c r="K3012" s="38" t="s">
        <v>153</v>
      </c>
      <c r="L3012" s="41">
        <v>46009.416666666664</v>
      </c>
      <c r="M3012" s="38" t="s">
        <v>123</v>
      </c>
      <c r="N3012" s="41">
        <v>46009.791666666664</v>
      </c>
      <c r="O3012" s="38" t="s">
        <v>123</v>
      </c>
      <c r="P3012" s="38">
        <v>32400.0</v>
      </c>
      <c r="Q3012" s="38">
        <v>32400.0</v>
      </c>
      <c r="R3012" s="39"/>
      <c r="S3012" s="39"/>
      <c r="T3012" s="39"/>
      <c r="U3012" s="39"/>
    </row>
    <row r="3013">
      <c r="A3013" s="40">
        <f t="shared" si="1"/>
        <v>46006</v>
      </c>
      <c r="B3013" s="37" t="str">
        <f t="array" ref="B3013">iferror(xlookup($I3013, 'IMPORT VHC Report'!$E:$E, 'IMPORT VHC Report'!$A:$C), )</f>
        <v/>
      </c>
      <c r="C3013" s="37"/>
      <c r="D3013" s="37"/>
      <c r="E3013" s="38" t="s">
        <v>3656</v>
      </c>
      <c r="F3013" s="38" t="s">
        <v>3643</v>
      </c>
      <c r="G3013" s="38">
        <v>3.61724668516E11</v>
      </c>
      <c r="H3013" s="38" t="s">
        <v>3644</v>
      </c>
      <c r="I3013" s="38" t="s">
        <v>3645</v>
      </c>
      <c r="J3013" s="38" t="s">
        <v>134</v>
      </c>
      <c r="K3013" s="38" t="s">
        <v>126</v>
      </c>
      <c r="L3013" s="41">
        <v>46009.53125</v>
      </c>
      <c r="M3013" s="38" t="s">
        <v>123</v>
      </c>
      <c r="N3013" s="41">
        <v>46009.552083333336</v>
      </c>
      <c r="O3013" s="38" t="s">
        <v>123</v>
      </c>
      <c r="P3013" s="38">
        <v>1800.0</v>
      </c>
      <c r="Q3013" s="39"/>
      <c r="R3013" s="39"/>
      <c r="S3013" s="39"/>
      <c r="T3013" s="39"/>
      <c r="U3013" s="39"/>
    </row>
    <row r="3014">
      <c r="A3014" s="40">
        <f t="shared" si="1"/>
        <v>46006</v>
      </c>
      <c r="B3014" s="37" t="str">
        <f t="array" ref="B3014">iferror(xlookup($I3014, 'IMPORT VHC Report'!$E:$E, 'IMPORT VHC Report'!$A:$C), )</f>
        <v/>
      </c>
      <c r="C3014" s="37"/>
      <c r="D3014" s="37"/>
      <c r="E3014" s="38" t="s">
        <v>3657</v>
      </c>
      <c r="F3014" s="38" t="s">
        <v>3643</v>
      </c>
      <c r="G3014" s="38">
        <v>3.61724668516E11</v>
      </c>
      <c r="H3014" s="38" t="s">
        <v>3644</v>
      </c>
      <c r="I3014" s="38" t="s">
        <v>3645</v>
      </c>
      <c r="J3014" s="38" t="s">
        <v>132</v>
      </c>
      <c r="K3014" s="38" t="s">
        <v>126</v>
      </c>
      <c r="L3014" s="41">
        <v>46009.635416666664</v>
      </c>
      <c r="M3014" s="38" t="s">
        <v>123</v>
      </c>
      <c r="N3014" s="41">
        <v>46009.677083333336</v>
      </c>
      <c r="O3014" s="38" t="s">
        <v>123</v>
      </c>
      <c r="P3014" s="38">
        <v>3600.0</v>
      </c>
      <c r="Q3014" s="39"/>
      <c r="R3014" s="39"/>
      <c r="S3014" s="39"/>
      <c r="T3014" s="39"/>
      <c r="U3014" s="39"/>
    </row>
    <row r="3015">
      <c r="A3015" s="40">
        <f t="shared" si="1"/>
        <v>46006</v>
      </c>
      <c r="B3015" s="37" t="str">
        <f t="array" ref="B3015">iferror(xlookup($I3015, 'IMPORT VHC Report'!$E:$E, 'IMPORT VHC Report'!$A:$C), )</f>
        <v/>
      </c>
      <c r="C3015" s="37"/>
      <c r="D3015" s="37"/>
      <c r="E3015" s="38" t="s">
        <v>3658</v>
      </c>
      <c r="F3015" s="38" t="s">
        <v>3643</v>
      </c>
      <c r="G3015" s="38">
        <v>3.61724668516E11</v>
      </c>
      <c r="H3015" s="38" t="s">
        <v>3644</v>
      </c>
      <c r="I3015" s="38" t="s">
        <v>3645</v>
      </c>
      <c r="J3015" s="38" t="s">
        <v>152</v>
      </c>
      <c r="K3015" s="38" t="s">
        <v>153</v>
      </c>
      <c r="L3015" s="41">
        <v>46010.416666666664</v>
      </c>
      <c r="M3015" s="38" t="s">
        <v>123</v>
      </c>
      <c r="N3015" s="41">
        <v>46010.791666666664</v>
      </c>
      <c r="O3015" s="38" t="s">
        <v>123</v>
      </c>
      <c r="P3015" s="38">
        <v>32400.0</v>
      </c>
      <c r="Q3015" s="38">
        <v>32400.0</v>
      </c>
      <c r="R3015" s="39"/>
      <c r="S3015" s="39"/>
      <c r="T3015" s="39"/>
      <c r="U3015" s="39"/>
    </row>
    <row r="3016">
      <c r="A3016" s="40">
        <f t="shared" si="1"/>
        <v>46006</v>
      </c>
      <c r="B3016" s="37" t="str">
        <f t="array" ref="B3016">iferror(xlookup($I3016, 'IMPORT VHC Report'!$E:$E, 'IMPORT VHC Report'!$A:$C), )</f>
        <v/>
      </c>
      <c r="C3016" s="37"/>
      <c r="D3016" s="37"/>
      <c r="E3016" s="38" t="s">
        <v>3659</v>
      </c>
      <c r="F3016" s="38" t="s">
        <v>3643</v>
      </c>
      <c r="G3016" s="38">
        <v>3.61724668516E11</v>
      </c>
      <c r="H3016" s="38" t="s">
        <v>3644</v>
      </c>
      <c r="I3016" s="38" t="s">
        <v>3645</v>
      </c>
      <c r="J3016" s="38" t="s">
        <v>134</v>
      </c>
      <c r="K3016" s="38" t="s">
        <v>126</v>
      </c>
      <c r="L3016" s="41">
        <v>46010.541666666664</v>
      </c>
      <c r="M3016" s="38" t="s">
        <v>123</v>
      </c>
      <c r="N3016" s="41">
        <v>46010.5625</v>
      </c>
      <c r="O3016" s="38" t="s">
        <v>123</v>
      </c>
      <c r="P3016" s="38">
        <v>1800.0</v>
      </c>
      <c r="Q3016" s="39"/>
      <c r="R3016" s="39"/>
      <c r="S3016" s="39"/>
      <c r="T3016" s="39"/>
      <c r="U3016" s="39"/>
    </row>
    <row r="3017">
      <c r="A3017" s="40">
        <f t="shared" si="1"/>
        <v>46006</v>
      </c>
      <c r="B3017" s="37" t="str">
        <f t="array" ref="B3017">iferror(xlookup($I3017, 'IMPORT VHC Report'!$E:$E, 'IMPORT VHC Report'!$A:$C), )</f>
        <v/>
      </c>
      <c r="C3017" s="37"/>
      <c r="D3017" s="37"/>
      <c r="E3017" s="38" t="s">
        <v>3660</v>
      </c>
      <c r="F3017" s="38" t="s">
        <v>3643</v>
      </c>
      <c r="G3017" s="38">
        <v>3.61724668516E11</v>
      </c>
      <c r="H3017" s="38" t="s">
        <v>3644</v>
      </c>
      <c r="I3017" s="38" t="s">
        <v>3645</v>
      </c>
      <c r="J3017" s="38" t="s">
        <v>132</v>
      </c>
      <c r="K3017" s="38" t="s">
        <v>126</v>
      </c>
      <c r="L3017" s="41">
        <v>46010.6875</v>
      </c>
      <c r="M3017" s="38" t="s">
        <v>123</v>
      </c>
      <c r="N3017" s="41">
        <v>46010.729166666664</v>
      </c>
      <c r="O3017" s="38" t="s">
        <v>123</v>
      </c>
      <c r="P3017" s="38">
        <v>3600.0</v>
      </c>
      <c r="Q3017" s="39"/>
      <c r="R3017" s="39"/>
      <c r="S3017" s="39"/>
      <c r="T3017" s="39"/>
      <c r="U3017" s="39"/>
    </row>
    <row r="3018">
      <c r="A3018" s="40">
        <f t="shared" si="1"/>
        <v>46006</v>
      </c>
      <c r="B3018" s="37" t="str">
        <f t="array" ref="B3018">iferror(xlookup($I3018, 'IMPORT VHC Report'!$E:$E, 'IMPORT VHC Report'!$A:$C), )</f>
        <v/>
      </c>
      <c r="C3018" s="37"/>
      <c r="D3018" s="37"/>
      <c r="E3018" s="38" t="s">
        <v>3661</v>
      </c>
      <c r="F3018" s="38" t="s">
        <v>3662</v>
      </c>
      <c r="G3018" s="38">
        <v>5.359144671119E12</v>
      </c>
      <c r="H3018" s="38" t="s">
        <v>3663</v>
      </c>
      <c r="I3018" s="38" t="s">
        <v>3664</v>
      </c>
      <c r="J3018" s="38" t="s">
        <v>330</v>
      </c>
      <c r="K3018" s="38" t="s">
        <v>126</v>
      </c>
      <c r="L3018" s="41">
        <v>46006.416666666664</v>
      </c>
      <c r="M3018" s="38" t="s">
        <v>123</v>
      </c>
      <c r="N3018" s="41">
        <v>46006.42361111111</v>
      </c>
      <c r="O3018" s="38" t="s">
        <v>123</v>
      </c>
      <c r="P3018" s="38">
        <v>600.0</v>
      </c>
      <c r="Q3018" s="39"/>
      <c r="R3018" s="39"/>
      <c r="S3018" s="39"/>
      <c r="T3018" s="39"/>
      <c r="U3018" s="39"/>
    </row>
    <row r="3019">
      <c r="A3019" s="40">
        <f t="shared" si="1"/>
        <v>46006</v>
      </c>
      <c r="B3019" s="37" t="str">
        <f t="array" ref="B3019">iferror(xlookup($I3019, 'IMPORT VHC Report'!$E:$E, 'IMPORT VHC Report'!$A:$C), )</f>
        <v/>
      </c>
      <c r="C3019" s="37"/>
      <c r="D3019" s="37"/>
      <c r="E3019" s="38" t="s">
        <v>3665</v>
      </c>
      <c r="F3019" s="38" t="s">
        <v>3662</v>
      </c>
      <c r="G3019" s="38">
        <v>5.359144671119E12</v>
      </c>
      <c r="H3019" s="38" t="s">
        <v>3663</v>
      </c>
      <c r="I3019" s="38" t="s">
        <v>3664</v>
      </c>
      <c r="J3019" s="38" t="s">
        <v>332</v>
      </c>
      <c r="K3019" s="38" t="s">
        <v>63</v>
      </c>
      <c r="L3019" s="41">
        <v>46006.416666666664</v>
      </c>
      <c r="M3019" s="38" t="s">
        <v>123</v>
      </c>
      <c r="N3019" s="41">
        <v>46006.791666666664</v>
      </c>
      <c r="O3019" s="38" t="s">
        <v>123</v>
      </c>
      <c r="P3019" s="38">
        <v>32400.0</v>
      </c>
      <c r="Q3019" s="39"/>
      <c r="R3019" s="39"/>
      <c r="S3019" s="39"/>
      <c r="T3019" s="39"/>
      <c r="U3019" s="39"/>
    </row>
    <row r="3020">
      <c r="A3020" s="40">
        <f t="shared" si="1"/>
        <v>46006</v>
      </c>
      <c r="B3020" s="37" t="str">
        <f t="array" ref="B3020">iferror(xlookup($I3020, 'IMPORT VHC Report'!$E:$E, 'IMPORT VHC Report'!$A:$C), )</f>
        <v/>
      </c>
      <c r="C3020" s="37"/>
      <c r="D3020" s="37"/>
      <c r="E3020" s="38" t="s">
        <v>3666</v>
      </c>
      <c r="F3020" s="38" t="s">
        <v>3662</v>
      </c>
      <c r="G3020" s="38">
        <v>5.359144671119E12</v>
      </c>
      <c r="H3020" s="38" t="s">
        <v>3663</v>
      </c>
      <c r="I3020" s="38" t="s">
        <v>3664</v>
      </c>
      <c r="J3020" s="38" t="s">
        <v>125</v>
      </c>
      <c r="K3020" s="38" t="s">
        <v>126</v>
      </c>
      <c r="L3020" s="41">
        <v>46006.47777777778</v>
      </c>
      <c r="M3020" s="38" t="s">
        <v>123</v>
      </c>
      <c r="N3020" s="41">
        <v>46006.53125</v>
      </c>
      <c r="O3020" s="38" t="s">
        <v>123</v>
      </c>
      <c r="P3020" s="38">
        <v>4620.0</v>
      </c>
      <c r="Q3020" s="39"/>
      <c r="R3020" s="39"/>
      <c r="S3020" s="38" t="s">
        <v>3667</v>
      </c>
      <c r="T3020" s="39"/>
      <c r="U3020" s="39"/>
    </row>
    <row r="3021">
      <c r="A3021" s="40">
        <f t="shared" si="1"/>
        <v>46006</v>
      </c>
      <c r="B3021" s="37" t="str">
        <f t="array" ref="B3021">iferror(xlookup($I3021, 'IMPORT VHC Report'!$E:$E, 'IMPORT VHC Report'!$A:$C), )</f>
        <v/>
      </c>
      <c r="C3021" s="37"/>
      <c r="D3021" s="37"/>
      <c r="E3021" s="38" t="s">
        <v>3668</v>
      </c>
      <c r="F3021" s="38" t="s">
        <v>3662</v>
      </c>
      <c r="G3021" s="38">
        <v>5.359144671119E12</v>
      </c>
      <c r="H3021" s="38" t="s">
        <v>3663</v>
      </c>
      <c r="I3021" s="38" t="s">
        <v>3664</v>
      </c>
      <c r="J3021" s="38" t="s">
        <v>132</v>
      </c>
      <c r="K3021" s="38" t="s">
        <v>126</v>
      </c>
      <c r="L3021" s="41">
        <v>46006.53125</v>
      </c>
      <c r="M3021" s="38" t="s">
        <v>123</v>
      </c>
      <c r="N3021" s="41">
        <v>46006.572916666664</v>
      </c>
      <c r="O3021" s="38" t="s">
        <v>123</v>
      </c>
      <c r="P3021" s="38">
        <v>3600.0</v>
      </c>
      <c r="Q3021" s="39"/>
      <c r="R3021" s="39"/>
      <c r="S3021" s="39"/>
      <c r="T3021" s="39"/>
      <c r="U3021" s="39"/>
    </row>
    <row r="3022">
      <c r="A3022" s="40">
        <f t="shared" si="1"/>
        <v>46006</v>
      </c>
      <c r="B3022" s="37" t="str">
        <f t="array" ref="B3022">iferror(xlookup($I3022, 'IMPORT VHC Report'!$E:$E, 'IMPORT VHC Report'!$A:$C), )</f>
        <v/>
      </c>
      <c r="C3022" s="37"/>
      <c r="D3022" s="37"/>
      <c r="E3022" s="38" t="s">
        <v>3669</v>
      </c>
      <c r="F3022" s="38" t="s">
        <v>3662</v>
      </c>
      <c r="G3022" s="38">
        <v>5.359144671119E12</v>
      </c>
      <c r="H3022" s="38" t="s">
        <v>3663</v>
      </c>
      <c r="I3022" s="38" t="s">
        <v>3664</v>
      </c>
      <c r="J3022" s="38" t="s">
        <v>125</v>
      </c>
      <c r="K3022" s="38" t="s">
        <v>126</v>
      </c>
      <c r="L3022" s="41">
        <v>46006.59444444445</v>
      </c>
      <c r="M3022" s="38" t="s">
        <v>123</v>
      </c>
      <c r="N3022" s="41">
        <v>46006.64027777778</v>
      </c>
      <c r="O3022" s="38" t="s">
        <v>123</v>
      </c>
      <c r="P3022" s="38">
        <v>3960.0</v>
      </c>
      <c r="Q3022" s="39"/>
      <c r="R3022" s="39"/>
      <c r="S3022" s="38" t="s">
        <v>3667</v>
      </c>
      <c r="T3022" s="39"/>
      <c r="U3022" s="39"/>
    </row>
    <row r="3023">
      <c r="A3023" s="40">
        <f t="shared" si="1"/>
        <v>46006</v>
      </c>
      <c r="B3023" s="37" t="str">
        <f t="array" ref="B3023">iferror(xlookup($I3023, 'IMPORT VHC Report'!$E:$E, 'IMPORT VHC Report'!$A:$C), )</f>
        <v/>
      </c>
      <c r="C3023" s="37"/>
      <c r="D3023" s="37"/>
      <c r="E3023" s="38" t="s">
        <v>3670</v>
      </c>
      <c r="F3023" s="38" t="s">
        <v>3662</v>
      </c>
      <c r="G3023" s="38">
        <v>5.359144671119E12</v>
      </c>
      <c r="H3023" s="38" t="s">
        <v>3663</v>
      </c>
      <c r="I3023" s="38" t="s">
        <v>3664</v>
      </c>
      <c r="J3023" s="38" t="s">
        <v>134</v>
      </c>
      <c r="K3023" s="38" t="s">
        <v>126</v>
      </c>
      <c r="L3023" s="41">
        <v>46006.677083333336</v>
      </c>
      <c r="M3023" s="38" t="s">
        <v>123</v>
      </c>
      <c r="N3023" s="41">
        <v>46006.697916666664</v>
      </c>
      <c r="O3023" s="38" t="s">
        <v>123</v>
      </c>
      <c r="P3023" s="38">
        <v>1800.0</v>
      </c>
      <c r="Q3023" s="39"/>
      <c r="R3023" s="39"/>
      <c r="S3023" s="39"/>
      <c r="T3023" s="39"/>
      <c r="U3023" s="39"/>
    </row>
    <row r="3024">
      <c r="A3024" s="40">
        <f t="shared" si="1"/>
        <v>46006</v>
      </c>
      <c r="B3024" s="37" t="str">
        <f t="array" ref="B3024">iferror(xlookup($I3024, 'IMPORT VHC Report'!$E:$E, 'IMPORT VHC Report'!$A:$C), )</f>
        <v/>
      </c>
      <c r="C3024" s="37"/>
      <c r="D3024" s="37"/>
      <c r="E3024" s="38" t="s">
        <v>3671</v>
      </c>
      <c r="F3024" s="38" t="s">
        <v>3662</v>
      </c>
      <c r="G3024" s="38">
        <v>5.359144671119E12</v>
      </c>
      <c r="H3024" s="38" t="s">
        <v>3663</v>
      </c>
      <c r="I3024" s="38" t="s">
        <v>3664</v>
      </c>
      <c r="J3024" s="38" t="s">
        <v>330</v>
      </c>
      <c r="K3024" s="38" t="s">
        <v>126</v>
      </c>
      <c r="L3024" s="41">
        <v>46007.416666666664</v>
      </c>
      <c r="M3024" s="38" t="s">
        <v>123</v>
      </c>
      <c r="N3024" s="41">
        <v>46007.42361111111</v>
      </c>
      <c r="O3024" s="38" t="s">
        <v>123</v>
      </c>
      <c r="P3024" s="38">
        <v>600.0</v>
      </c>
      <c r="Q3024" s="39"/>
      <c r="R3024" s="39"/>
      <c r="S3024" s="39"/>
      <c r="T3024" s="39"/>
      <c r="U3024" s="39"/>
    </row>
    <row r="3025">
      <c r="A3025" s="40">
        <f t="shared" si="1"/>
        <v>46006</v>
      </c>
      <c r="B3025" s="37" t="str">
        <f t="array" ref="B3025">iferror(xlookup($I3025, 'IMPORT VHC Report'!$E:$E, 'IMPORT VHC Report'!$A:$C), )</f>
        <v/>
      </c>
      <c r="C3025" s="37"/>
      <c r="D3025" s="37"/>
      <c r="E3025" s="38" t="s">
        <v>3672</v>
      </c>
      <c r="F3025" s="38" t="s">
        <v>3662</v>
      </c>
      <c r="G3025" s="38">
        <v>5.359144671119E12</v>
      </c>
      <c r="H3025" s="38" t="s">
        <v>3663</v>
      </c>
      <c r="I3025" s="38" t="s">
        <v>3664</v>
      </c>
      <c r="J3025" s="38" t="s">
        <v>152</v>
      </c>
      <c r="K3025" s="38" t="s">
        <v>153</v>
      </c>
      <c r="L3025" s="41">
        <v>46007.416666666664</v>
      </c>
      <c r="M3025" s="38" t="s">
        <v>123</v>
      </c>
      <c r="N3025" s="41">
        <v>46007.791666666664</v>
      </c>
      <c r="O3025" s="38" t="s">
        <v>123</v>
      </c>
      <c r="P3025" s="38">
        <v>32400.0</v>
      </c>
      <c r="Q3025" s="38">
        <v>32400.0</v>
      </c>
      <c r="R3025" s="39"/>
      <c r="S3025" s="39"/>
      <c r="T3025" s="39"/>
      <c r="U3025" s="39"/>
    </row>
    <row r="3026">
      <c r="A3026" s="40">
        <f t="shared" si="1"/>
        <v>46006</v>
      </c>
      <c r="B3026" s="37" t="str">
        <f t="array" ref="B3026">iferror(xlookup($I3026, 'IMPORT VHC Report'!$E:$E, 'IMPORT VHC Report'!$A:$C), )</f>
        <v/>
      </c>
      <c r="C3026" s="37"/>
      <c r="D3026" s="37"/>
      <c r="E3026" s="38" t="s">
        <v>3673</v>
      </c>
      <c r="F3026" s="38" t="s">
        <v>3662</v>
      </c>
      <c r="G3026" s="38">
        <v>5.359144671119E12</v>
      </c>
      <c r="H3026" s="38" t="s">
        <v>3663</v>
      </c>
      <c r="I3026" s="38" t="s">
        <v>3664</v>
      </c>
      <c r="J3026" s="38" t="s">
        <v>132</v>
      </c>
      <c r="K3026" s="38" t="s">
        <v>126</v>
      </c>
      <c r="L3026" s="41">
        <v>46007.572916666664</v>
      </c>
      <c r="M3026" s="38" t="s">
        <v>123</v>
      </c>
      <c r="N3026" s="41">
        <v>46007.614583333336</v>
      </c>
      <c r="O3026" s="38" t="s">
        <v>123</v>
      </c>
      <c r="P3026" s="38">
        <v>3600.0</v>
      </c>
      <c r="Q3026" s="39"/>
      <c r="R3026" s="39"/>
      <c r="S3026" s="39"/>
      <c r="T3026" s="39"/>
      <c r="U3026" s="39"/>
    </row>
    <row r="3027">
      <c r="A3027" s="40">
        <f t="shared" si="1"/>
        <v>46006</v>
      </c>
      <c r="B3027" s="37" t="str">
        <f t="array" ref="B3027">iferror(xlookup($I3027, 'IMPORT VHC Report'!$E:$E, 'IMPORT VHC Report'!$A:$C), )</f>
        <v/>
      </c>
      <c r="C3027" s="37"/>
      <c r="D3027" s="37"/>
      <c r="E3027" s="38" t="s">
        <v>3674</v>
      </c>
      <c r="F3027" s="38" t="s">
        <v>3662</v>
      </c>
      <c r="G3027" s="38">
        <v>5.359144671119E12</v>
      </c>
      <c r="H3027" s="38" t="s">
        <v>3663</v>
      </c>
      <c r="I3027" s="38" t="s">
        <v>3664</v>
      </c>
      <c r="J3027" s="38" t="s">
        <v>134</v>
      </c>
      <c r="K3027" s="38" t="s">
        <v>126</v>
      </c>
      <c r="L3027" s="41">
        <v>46007.697916666664</v>
      </c>
      <c r="M3027" s="38" t="s">
        <v>123</v>
      </c>
      <c r="N3027" s="41">
        <v>46007.71875</v>
      </c>
      <c r="O3027" s="38" t="s">
        <v>123</v>
      </c>
      <c r="P3027" s="38">
        <v>1800.0</v>
      </c>
      <c r="Q3027" s="39"/>
      <c r="R3027" s="39"/>
      <c r="S3027" s="39"/>
      <c r="T3027" s="39"/>
      <c r="U3027" s="39"/>
    </row>
    <row r="3028">
      <c r="A3028" s="40">
        <f t="shared" si="1"/>
        <v>46006</v>
      </c>
      <c r="B3028" s="37" t="str">
        <f t="array" ref="B3028">iferror(xlookup($I3028, 'IMPORT VHC Report'!$E:$E, 'IMPORT VHC Report'!$A:$C), )</f>
        <v/>
      </c>
      <c r="C3028" s="37"/>
      <c r="D3028" s="37"/>
      <c r="E3028" s="38" t="s">
        <v>3675</v>
      </c>
      <c r="F3028" s="38" t="s">
        <v>3662</v>
      </c>
      <c r="G3028" s="38">
        <v>5.359144671119E12</v>
      </c>
      <c r="H3028" s="38" t="s">
        <v>3663</v>
      </c>
      <c r="I3028" s="38" t="s">
        <v>3664</v>
      </c>
      <c r="J3028" s="38" t="s">
        <v>4</v>
      </c>
      <c r="K3028" s="38" t="s">
        <v>126</v>
      </c>
      <c r="L3028" s="41">
        <v>46007.71875</v>
      </c>
      <c r="M3028" s="38" t="s">
        <v>123</v>
      </c>
      <c r="N3028" s="41">
        <v>46007.760416666664</v>
      </c>
      <c r="O3028" s="38" t="s">
        <v>123</v>
      </c>
      <c r="P3028" s="38">
        <v>3600.0</v>
      </c>
      <c r="Q3028" s="39"/>
      <c r="R3028" s="39"/>
      <c r="S3028" s="38" t="s">
        <v>130</v>
      </c>
      <c r="T3028" s="39"/>
      <c r="U3028" s="39"/>
    </row>
    <row r="3029">
      <c r="A3029" s="40">
        <f t="shared" si="1"/>
        <v>46006</v>
      </c>
      <c r="B3029" s="37" t="str">
        <f t="array" ref="B3029">iferror(xlookup($I3029, 'IMPORT VHC Report'!$E:$E, 'IMPORT VHC Report'!$A:$C), )</f>
        <v/>
      </c>
      <c r="C3029" s="37"/>
      <c r="D3029" s="37"/>
      <c r="E3029" s="38" t="s">
        <v>3676</v>
      </c>
      <c r="F3029" s="38" t="s">
        <v>3662</v>
      </c>
      <c r="G3029" s="38">
        <v>5.359144671119E12</v>
      </c>
      <c r="H3029" s="38" t="s">
        <v>3663</v>
      </c>
      <c r="I3029" s="38" t="s">
        <v>3664</v>
      </c>
      <c r="J3029" s="38" t="s">
        <v>330</v>
      </c>
      <c r="K3029" s="38" t="s">
        <v>126</v>
      </c>
      <c r="L3029" s="41">
        <v>46010.416666666664</v>
      </c>
      <c r="M3029" s="38" t="s">
        <v>123</v>
      </c>
      <c r="N3029" s="41">
        <v>46010.42361111111</v>
      </c>
      <c r="O3029" s="38" t="s">
        <v>123</v>
      </c>
      <c r="P3029" s="38">
        <v>600.0</v>
      </c>
      <c r="Q3029" s="39"/>
      <c r="R3029" s="39"/>
      <c r="S3029" s="39"/>
      <c r="T3029" s="39"/>
      <c r="U3029" s="39"/>
    </row>
    <row r="3030">
      <c r="A3030" s="40">
        <f t="shared" si="1"/>
        <v>46006</v>
      </c>
      <c r="B3030" s="37" t="str">
        <f t="array" ref="B3030">iferror(xlookup($I3030, 'IMPORT VHC Report'!$E:$E, 'IMPORT VHC Report'!$A:$C), )</f>
        <v/>
      </c>
      <c r="C3030" s="37"/>
      <c r="D3030" s="37"/>
      <c r="E3030" s="38" t="s">
        <v>3677</v>
      </c>
      <c r="F3030" s="38" t="s">
        <v>3662</v>
      </c>
      <c r="G3030" s="38">
        <v>5.359144671119E12</v>
      </c>
      <c r="H3030" s="38" t="s">
        <v>3663</v>
      </c>
      <c r="I3030" s="38" t="s">
        <v>3664</v>
      </c>
      <c r="J3030" s="38" t="s">
        <v>332</v>
      </c>
      <c r="K3030" s="38" t="s">
        <v>63</v>
      </c>
      <c r="L3030" s="41">
        <v>46010.416666666664</v>
      </c>
      <c r="M3030" s="38" t="s">
        <v>123</v>
      </c>
      <c r="N3030" s="41">
        <v>46010.791666666664</v>
      </c>
      <c r="O3030" s="38" t="s">
        <v>123</v>
      </c>
      <c r="P3030" s="38">
        <v>32400.0</v>
      </c>
      <c r="Q3030" s="39"/>
      <c r="R3030" s="39"/>
      <c r="S3030" s="39"/>
      <c r="T3030" s="39"/>
      <c r="U3030" s="39"/>
    </row>
    <row r="3031">
      <c r="A3031" s="40">
        <f t="shared" si="1"/>
        <v>46006</v>
      </c>
      <c r="B3031" s="37" t="str">
        <f t="array" ref="B3031">iferror(xlookup($I3031, 'IMPORT VHC Report'!$E:$E, 'IMPORT VHC Report'!$A:$C), )</f>
        <v/>
      </c>
      <c r="C3031" s="37"/>
      <c r="D3031" s="37"/>
      <c r="E3031" s="38" t="s">
        <v>3678</v>
      </c>
      <c r="F3031" s="38" t="s">
        <v>3662</v>
      </c>
      <c r="G3031" s="38">
        <v>5.359144671119E12</v>
      </c>
      <c r="H3031" s="38" t="s">
        <v>3663</v>
      </c>
      <c r="I3031" s="38" t="s">
        <v>3664</v>
      </c>
      <c r="J3031" s="38" t="s">
        <v>134</v>
      </c>
      <c r="K3031" s="38" t="s">
        <v>126</v>
      </c>
      <c r="L3031" s="41">
        <v>46010.5625</v>
      </c>
      <c r="M3031" s="38" t="s">
        <v>123</v>
      </c>
      <c r="N3031" s="41">
        <v>46010.583333333336</v>
      </c>
      <c r="O3031" s="38" t="s">
        <v>123</v>
      </c>
      <c r="P3031" s="38">
        <v>1800.0</v>
      </c>
      <c r="Q3031" s="39"/>
      <c r="R3031" s="39"/>
      <c r="S3031" s="39"/>
      <c r="T3031" s="39"/>
      <c r="U3031" s="39"/>
    </row>
    <row r="3032">
      <c r="A3032" s="40">
        <f t="shared" si="1"/>
        <v>46006</v>
      </c>
      <c r="B3032" s="37" t="str">
        <f t="array" ref="B3032">iferror(xlookup($I3032, 'IMPORT VHC Report'!$E:$E, 'IMPORT VHC Report'!$A:$C), )</f>
        <v/>
      </c>
      <c r="C3032" s="37"/>
      <c r="D3032" s="37"/>
      <c r="E3032" s="38" t="s">
        <v>3679</v>
      </c>
      <c r="F3032" s="38" t="s">
        <v>3662</v>
      </c>
      <c r="G3032" s="38">
        <v>5.359144671119E12</v>
      </c>
      <c r="H3032" s="38" t="s">
        <v>3663</v>
      </c>
      <c r="I3032" s="38" t="s">
        <v>3664</v>
      </c>
      <c r="J3032" s="38" t="s">
        <v>136</v>
      </c>
      <c r="K3032" s="38" t="s">
        <v>126</v>
      </c>
      <c r="L3032" s="41">
        <v>46010.666666666664</v>
      </c>
      <c r="M3032" s="38" t="s">
        <v>123</v>
      </c>
      <c r="N3032" s="41">
        <v>46010.708333333336</v>
      </c>
      <c r="O3032" s="38" t="s">
        <v>123</v>
      </c>
      <c r="P3032" s="38">
        <v>3600.0</v>
      </c>
      <c r="Q3032" s="39"/>
      <c r="R3032" s="39"/>
      <c r="S3032" s="38" t="s">
        <v>137</v>
      </c>
      <c r="T3032" s="39"/>
      <c r="U3032" s="39"/>
    </row>
    <row r="3033">
      <c r="A3033" s="40">
        <f t="shared" si="1"/>
        <v>46006</v>
      </c>
      <c r="B3033" s="37" t="str">
        <f t="array" ref="B3033">iferror(xlookup($I3033, 'IMPORT VHC Report'!$E:$E, 'IMPORT VHC Report'!$A:$C), )</f>
        <v/>
      </c>
      <c r="C3033" s="37"/>
      <c r="D3033" s="37"/>
      <c r="E3033" s="38" t="s">
        <v>3680</v>
      </c>
      <c r="F3033" s="38" t="s">
        <v>3662</v>
      </c>
      <c r="G3033" s="38">
        <v>5.359144671119E12</v>
      </c>
      <c r="H3033" s="38" t="s">
        <v>3663</v>
      </c>
      <c r="I3033" s="38" t="s">
        <v>3664</v>
      </c>
      <c r="J3033" s="38" t="s">
        <v>132</v>
      </c>
      <c r="K3033" s="38" t="s">
        <v>126</v>
      </c>
      <c r="L3033" s="41">
        <v>46010.729166666664</v>
      </c>
      <c r="M3033" s="38" t="s">
        <v>123</v>
      </c>
      <c r="N3033" s="41">
        <v>46010.770833333336</v>
      </c>
      <c r="O3033" s="38" t="s">
        <v>123</v>
      </c>
      <c r="P3033" s="38">
        <v>3600.0</v>
      </c>
      <c r="Q3033" s="39"/>
      <c r="R3033" s="39"/>
      <c r="S3033" s="39"/>
      <c r="T3033" s="39"/>
      <c r="U3033" s="39"/>
    </row>
    <row r="3034">
      <c r="A3034" s="40">
        <f t="shared" si="1"/>
        <v>46006</v>
      </c>
      <c r="B3034" s="37" t="str">
        <f t="array" ref="B3034">iferror(xlookup($I3034, 'IMPORT VHC Report'!$E:$E, 'IMPORT VHC Report'!$A:$C), )</f>
        <v/>
      </c>
      <c r="C3034" s="37"/>
      <c r="D3034" s="37"/>
      <c r="E3034" s="38" t="s">
        <v>3681</v>
      </c>
      <c r="F3034" s="38" t="s">
        <v>3662</v>
      </c>
      <c r="G3034" s="38">
        <v>5.359144671119E12</v>
      </c>
      <c r="H3034" s="38" t="s">
        <v>3663</v>
      </c>
      <c r="I3034" s="38" t="s">
        <v>3664</v>
      </c>
      <c r="J3034" s="38" t="s">
        <v>125</v>
      </c>
      <c r="K3034" s="38" t="s">
        <v>126</v>
      </c>
      <c r="L3034" s="41">
        <v>46010.78472222222</v>
      </c>
      <c r="M3034" s="38" t="s">
        <v>123</v>
      </c>
      <c r="N3034" s="41">
        <v>46010.791666666664</v>
      </c>
      <c r="O3034" s="38" t="s">
        <v>123</v>
      </c>
      <c r="P3034" s="38">
        <v>600.0</v>
      </c>
      <c r="Q3034" s="39"/>
      <c r="R3034" s="39"/>
      <c r="S3034" s="38" t="s">
        <v>3682</v>
      </c>
      <c r="T3034" s="39"/>
      <c r="U3034" s="39"/>
    </row>
    <row r="3035">
      <c r="A3035" s="40">
        <f t="shared" si="1"/>
        <v>46006</v>
      </c>
      <c r="B3035" s="37" t="str">
        <f t="array" ref="B3035">iferror(xlookup($I3035, 'IMPORT VHC Report'!$E:$E, 'IMPORT VHC Report'!$A:$C), )</f>
        <v/>
      </c>
      <c r="C3035" s="37"/>
      <c r="D3035" s="37"/>
      <c r="E3035" s="38" t="s">
        <v>3683</v>
      </c>
      <c r="F3035" s="38" t="s">
        <v>3662</v>
      </c>
      <c r="G3035" s="38">
        <v>5.359144671119E12</v>
      </c>
      <c r="H3035" s="38" t="s">
        <v>3663</v>
      </c>
      <c r="I3035" s="38" t="s">
        <v>3664</v>
      </c>
      <c r="J3035" s="38" t="s">
        <v>330</v>
      </c>
      <c r="K3035" s="38" t="s">
        <v>126</v>
      </c>
      <c r="L3035" s="41">
        <v>46011.416666666664</v>
      </c>
      <c r="M3035" s="38" t="s">
        <v>123</v>
      </c>
      <c r="N3035" s="41">
        <v>46011.42361111111</v>
      </c>
      <c r="O3035" s="38" t="s">
        <v>123</v>
      </c>
      <c r="P3035" s="38">
        <v>600.0</v>
      </c>
      <c r="Q3035" s="39"/>
      <c r="R3035" s="39"/>
      <c r="S3035" s="39"/>
      <c r="T3035" s="39"/>
      <c r="U3035" s="39"/>
    </row>
    <row r="3036">
      <c r="A3036" s="40">
        <f t="shared" si="1"/>
        <v>46006</v>
      </c>
      <c r="B3036" s="37" t="str">
        <f t="array" ref="B3036">iferror(xlookup($I3036, 'IMPORT VHC Report'!$E:$E, 'IMPORT VHC Report'!$A:$C), )</f>
        <v/>
      </c>
      <c r="C3036" s="37"/>
      <c r="D3036" s="37"/>
      <c r="E3036" s="38" t="s">
        <v>3684</v>
      </c>
      <c r="F3036" s="38" t="s">
        <v>3662</v>
      </c>
      <c r="G3036" s="38">
        <v>5.359144671119E12</v>
      </c>
      <c r="H3036" s="38" t="s">
        <v>3663</v>
      </c>
      <c r="I3036" s="38" t="s">
        <v>3664</v>
      </c>
      <c r="J3036" s="38" t="s">
        <v>332</v>
      </c>
      <c r="K3036" s="38" t="s">
        <v>63</v>
      </c>
      <c r="L3036" s="41">
        <v>46011.416666666664</v>
      </c>
      <c r="M3036" s="38" t="s">
        <v>123</v>
      </c>
      <c r="N3036" s="41">
        <v>46011.791666666664</v>
      </c>
      <c r="O3036" s="38" t="s">
        <v>123</v>
      </c>
      <c r="P3036" s="38">
        <v>32400.0</v>
      </c>
      <c r="Q3036" s="39"/>
      <c r="R3036" s="39"/>
      <c r="S3036" s="39"/>
      <c r="T3036" s="39"/>
      <c r="U3036" s="39"/>
    </row>
    <row r="3037">
      <c r="A3037" s="40">
        <f t="shared" si="1"/>
        <v>46006</v>
      </c>
      <c r="B3037" s="37" t="str">
        <f t="array" ref="B3037">iferror(xlookup($I3037, 'IMPORT VHC Report'!$E:$E, 'IMPORT VHC Report'!$A:$C), )</f>
        <v/>
      </c>
      <c r="C3037" s="37"/>
      <c r="D3037" s="37"/>
      <c r="E3037" s="38" t="s">
        <v>3685</v>
      </c>
      <c r="F3037" s="38" t="s">
        <v>3662</v>
      </c>
      <c r="G3037" s="38">
        <v>5.359144671119E12</v>
      </c>
      <c r="H3037" s="38" t="s">
        <v>3663</v>
      </c>
      <c r="I3037" s="38" t="s">
        <v>3664</v>
      </c>
      <c r="J3037" s="38" t="s">
        <v>134</v>
      </c>
      <c r="K3037" s="38" t="s">
        <v>126</v>
      </c>
      <c r="L3037" s="41">
        <v>46011.53125</v>
      </c>
      <c r="M3037" s="38" t="s">
        <v>123</v>
      </c>
      <c r="N3037" s="41">
        <v>46011.552083333336</v>
      </c>
      <c r="O3037" s="38" t="s">
        <v>123</v>
      </c>
      <c r="P3037" s="38">
        <v>1800.0</v>
      </c>
      <c r="Q3037" s="39"/>
      <c r="R3037" s="39"/>
      <c r="S3037" s="39"/>
      <c r="T3037" s="39"/>
      <c r="U3037" s="39"/>
    </row>
    <row r="3038">
      <c r="A3038" s="40">
        <f t="shared" si="1"/>
        <v>46006</v>
      </c>
      <c r="B3038" s="37" t="str">
        <f t="array" ref="B3038">iferror(xlookup($I3038, 'IMPORT VHC Report'!$E:$E, 'IMPORT VHC Report'!$A:$C), )</f>
        <v/>
      </c>
      <c r="C3038" s="37"/>
      <c r="D3038" s="37"/>
      <c r="E3038" s="38" t="s">
        <v>3686</v>
      </c>
      <c r="F3038" s="38" t="s">
        <v>3662</v>
      </c>
      <c r="G3038" s="38">
        <v>5.359144671119E12</v>
      </c>
      <c r="H3038" s="38" t="s">
        <v>3663</v>
      </c>
      <c r="I3038" s="38" t="s">
        <v>3664</v>
      </c>
      <c r="J3038" s="38" t="s">
        <v>330</v>
      </c>
      <c r="K3038" s="38" t="s">
        <v>126</v>
      </c>
      <c r="L3038" s="41">
        <v>46011.552083333336</v>
      </c>
      <c r="M3038" s="38" t="s">
        <v>123</v>
      </c>
      <c r="N3038" s="41">
        <v>46011.60208333333</v>
      </c>
      <c r="O3038" s="38" t="s">
        <v>123</v>
      </c>
      <c r="P3038" s="38">
        <v>4320.0</v>
      </c>
      <c r="Q3038" s="39"/>
      <c r="R3038" s="39"/>
      <c r="S3038" s="39"/>
      <c r="T3038" s="39"/>
      <c r="U3038" s="39"/>
    </row>
    <row r="3039">
      <c r="A3039" s="40">
        <f t="shared" si="1"/>
        <v>46006</v>
      </c>
      <c r="B3039" s="37" t="str">
        <f t="array" ref="B3039">iferror(xlookup($I3039, 'IMPORT VHC Report'!$E:$E, 'IMPORT VHC Report'!$A:$C), )</f>
        <v/>
      </c>
      <c r="C3039" s="37"/>
      <c r="D3039" s="37"/>
      <c r="E3039" s="38" t="s">
        <v>3687</v>
      </c>
      <c r="F3039" s="38" t="s">
        <v>3662</v>
      </c>
      <c r="G3039" s="38">
        <v>5.359144671119E12</v>
      </c>
      <c r="H3039" s="38" t="s">
        <v>3663</v>
      </c>
      <c r="I3039" s="38" t="s">
        <v>3664</v>
      </c>
      <c r="J3039" s="38" t="s">
        <v>132</v>
      </c>
      <c r="K3039" s="38" t="s">
        <v>126</v>
      </c>
      <c r="L3039" s="41">
        <v>46011.635416666664</v>
      </c>
      <c r="M3039" s="38" t="s">
        <v>123</v>
      </c>
      <c r="N3039" s="41">
        <v>46011.677083333336</v>
      </c>
      <c r="O3039" s="38" t="s">
        <v>123</v>
      </c>
      <c r="P3039" s="38">
        <v>3600.0</v>
      </c>
      <c r="Q3039" s="39"/>
      <c r="R3039" s="39"/>
      <c r="S3039" s="39"/>
      <c r="T3039" s="39"/>
      <c r="U3039" s="39"/>
    </row>
    <row r="3040">
      <c r="A3040" s="40">
        <f t="shared" si="1"/>
        <v>46006</v>
      </c>
      <c r="B3040" s="37" t="str">
        <f t="array" ref="B3040">iferror(xlookup($I3040, 'IMPORT VHC Report'!$E:$E, 'IMPORT VHC Report'!$A:$C), )</f>
        <v/>
      </c>
      <c r="C3040" s="37"/>
      <c r="D3040" s="37"/>
      <c r="E3040" s="38" t="s">
        <v>3688</v>
      </c>
      <c r="F3040" s="38" t="s">
        <v>3662</v>
      </c>
      <c r="G3040" s="38">
        <v>5.359144671119E12</v>
      </c>
      <c r="H3040" s="38" t="s">
        <v>3663</v>
      </c>
      <c r="I3040" s="38" t="s">
        <v>3664</v>
      </c>
      <c r="J3040" s="38" t="s">
        <v>4</v>
      </c>
      <c r="K3040" s="38" t="s">
        <v>126</v>
      </c>
      <c r="L3040" s="41">
        <v>46011.739583333336</v>
      </c>
      <c r="M3040" s="38" t="s">
        <v>123</v>
      </c>
      <c r="N3040" s="41">
        <v>46011.78125</v>
      </c>
      <c r="O3040" s="38" t="s">
        <v>123</v>
      </c>
      <c r="P3040" s="38">
        <v>3600.0</v>
      </c>
      <c r="Q3040" s="39"/>
      <c r="R3040" s="39"/>
      <c r="S3040" s="38" t="s">
        <v>1038</v>
      </c>
      <c r="T3040" s="39"/>
      <c r="U3040" s="39"/>
    </row>
    <row r="3041">
      <c r="A3041" s="40">
        <f t="shared" si="1"/>
        <v>46006</v>
      </c>
      <c r="B3041" s="37" t="str">
        <f t="array" ref="B3041">iferror(xlookup($I3041, 'IMPORT VHC Report'!$E:$E, 'IMPORT VHC Report'!$A:$C), )</f>
        <v/>
      </c>
      <c r="C3041" s="37"/>
      <c r="D3041" s="37"/>
      <c r="E3041" s="38" t="s">
        <v>3689</v>
      </c>
      <c r="F3041" s="38" t="s">
        <v>3662</v>
      </c>
      <c r="G3041" s="38">
        <v>5.359144671119E12</v>
      </c>
      <c r="H3041" s="38" t="s">
        <v>3663</v>
      </c>
      <c r="I3041" s="38" t="s">
        <v>3664</v>
      </c>
      <c r="J3041" s="38" t="s">
        <v>330</v>
      </c>
      <c r="K3041" s="38" t="s">
        <v>126</v>
      </c>
      <c r="L3041" s="41">
        <v>46012.416666666664</v>
      </c>
      <c r="M3041" s="38" t="s">
        <v>123</v>
      </c>
      <c r="N3041" s="41">
        <v>46012.42361111111</v>
      </c>
      <c r="O3041" s="38" t="s">
        <v>123</v>
      </c>
      <c r="P3041" s="38">
        <v>600.0</v>
      </c>
      <c r="Q3041" s="39"/>
      <c r="R3041" s="39"/>
      <c r="S3041" s="39"/>
      <c r="T3041" s="39"/>
      <c r="U3041" s="39"/>
    </row>
    <row r="3042">
      <c r="A3042" s="40">
        <f t="shared" si="1"/>
        <v>46006</v>
      </c>
      <c r="B3042" s="37" t="str">
        <f t="array" ref="B3042">iferror(xlookup($I3042, 'IMPORT VHC Report'!$E:$E, 'IMPORT VHC Report'!$A:$C), )</f>
        <v/>
      </c>
      <c r="C3042" s="37"/>
      <c r="D3042" s="37"/>
      <c r="E3042" s="38" t="s">
        <v>3690</v>
      </c>
      <c r="F3042" s="38" t="s">
        <v>3662</v>
      </c>
      <c r="G3042" s="38">
        <v>5.359144671119E12</v>
      </c>
      <c r="H3042" s="38" t="s">
        <v>3663</v>
      </c>
      <c r="I3042" s="38" t="s">
        <v>3664</v>
      </c>
      <c r="J3042" s="38" t="s">
        <v>332</v>
      </c>
      <c r="K3042" s="38" t="s">
        <v>63</v>
      </c>
      <c r="L3042" s="41">
        <v>46012.416666666664</v>
      </c>
      <c r="M3042" s="38" t="s">
        <v>123</v>
      </c>
      <c r="N3042" s="41">
        <v>46012.791666666664</v>
      </c>
      <c r="O3042" s="38" t="s">
        <v>123</v>
      </c>
      <c r="P3042" s="38">
        <v>32400.0</v>
      </c>
      <c r="Q3042" s="39"/>
      <c r="R3042" s="39"/>
      <c r="S3042" s="39"/>
      <c r="T3042" s="39"/>
      <c r="U3042" s="39"/>
    </row>
    <row r="3043">
      <c r="A3043" s="40">
        <f t="shared" si="1"/>
        <v>46006</v>
      </c>
      <c r="B3043" s="37" t="str">
        <f t="array" ref="B3043">iferror(xlookup($I3043, 'IMPORT VHC Report'!$E:$E, 'IMPORT VHC Report'!$A:$C), )</f>
        <v/>
      </c>
      <c r="C3043" s="37"/>
      <c r="D3043" s="37"/>
      <c r="E3043" s="38" t="s">
        <v>3691</v>
      </c>
      <c r="F3043" s="38" t="s">
        <v>3662</v>
      </c>
      <c r="G3043" s="38">
        <v>5.359144671119E12</v>
      </c>
      <c r="H3043" s="38" t="s">
        <v>3663</v>
      </c>
      <c r="I3043" s="38" t="s">
        <v>3664</v>
      </c>
      <c r="J3043" s="38" t="s">
        <v>134</v>
      </c>
      <c r="K3043" s="38" t="s">
        <v>126</v>
      </c>
      <c r="L3043" s="41">
        <v>46012.53125</v>
      </c>
      <c r="M3043" s="38" t="s">
        <v>123</v>
      </c>
      <c r="N3043" s="41">
        <v>46012.552083333336</v>
      </c>
      <c r="O3043" s="38" t="s">
        <v>123</v>
      </c>
      <c r="P3043" s="38">
        <v>1800.0</v>
      </c>
      <c r="Q3043" s="39"/>
      <c r="R3043" s="39"/>
      <c r="S3043" s="39"/>
      <c r="T3043" s="39"/>
      <c r="U3043" s="39"/>
    </row>
    <row r="3044">
      <c r="A3044" s="40">
        <f t="shared" si="1"/>
        <v>46006</v>
      </c>
      <c r="B3044" s="37" t="str">
        <f t="array" ref="B3044">iferror(xlookup($I3044, 'IMPORT VHC Report'!$E:$E, 'IMPORT VHC Report'!$A:$C), )</f>
        <v/>
      </c>
      <c r="C3044" s="37"/>
      <c r="D3044" s="37"/>
      <c r="E3044" s="38" t="s">
        <v>3692</v>
      </c>
      <c r="F3044" s="38" t="s">
        <v>3662</v>
      </c>
      <c r="G3044" s="38">
        <v>5.359144671119E12</v>
      </c>
      <c r="H3044" s="38" t="s">
        <v>3663</v>
      </c>
      <c r="I3044" s="38" t="s">
        <v>3664</v>
      </c>
      <c r="J3044" s="38" t="s">
        <v>4</v>
      </c>
      <c r="K3044" s="38" t="s">
        <v>126</v>
      </c>
      <c r="L3044" s="41">
        <v>46012.552083333336</v>
      </c>
      <c r="M3044" s="38" t="s">
        <v>123</v>
      </c>
      <c r="N3044" s="41">
        <v>46012.5625</v>
      </c>
      <c r="O3044" s="38" t="s">
        <v>123</v>
      </c>
      <c r="P3044" s="38">
        <v>900.0</v>
      </c>
      <c r="Q3044" s="39"/>
      <c r="R3044" s="39"/>
      <c r="S3044" s="38" t="s">
        <v>3693</v>
      </c>
      <c r="T3044" s="39"/>
      <c r="U3044" s="39"/>
    </row>
    <row r="3045">
      <c r="A3045" s="40">
        <f t="shared" si="1"/>
        <v>46006</v>
      </c>
      <c r="B3045" s="37" t="str">
        <f t="array" ref="B3045">iferror(xlookup($I3045, 'IMPORT VHC Report'!$E:$E, 'IMPORT VHC Report'!$A:$C), )</f>
        <v/>
      </c>
      <c r="C3045" s="37"/>
      <c r="D3045" s="37"/>
      <c r="E3045" s="38" t="s">
        <v>3694</v>
      </c>
      <c r="F3045" s="38" t="s">
        <v>3662</v>
      </c>
      <c r="G3045" s="38">
        <v>5.359144671119E12</v>
      </c>
      <c r="H3045" s="38" t="s">
        <v>3663</v>
      </c>
      <c r="I3045" s="38" t="s">
        <v>3664</v>
      </c>
      <c r="J3045" s="38" t="s">
        <v>132</v>
      </c>
      <c r="K3045" s="38" t="s">
        <v>126</v>
      </c>
      <c r="L3045" s="41">
        <v>46012.635416666664</v>
      </c>
      <c r="M3045" s="38" t="s">
        <v>123</v>
      </c>
      <c r="N3045" s="41">
        <v>46012.677083333336</v>
      </c>
      <c r="O3045" s="38" t="s">
        <v>123</v>
      </c>
      <c r="P3045" s="38">
        <v>3600.0</v>
      </c>
      <c r="Q3045" s="39"/>
      <c r="R3045" s="39"/>
      <c r="S3045" s="39"/>
      <c r="T3045" s="39"/>
      <c r="U3045" s="39"/>
    </row>
    <row r="3046">
      <c r="A3046" s="40">
        <f t="shared" si="1"/>
        <v>46006</v>
      </c>
      <c r="B3046" s="37" t="str">
        <f t="array" ref="B3046">iferror(xlookup($I3046, 'IMPORT VHC Report'!$E:$E, 'IMPORT VHC Report'!$A:$C), )</f>
        <v/>
      </c>
      <c r="C3046" s="37"/>
      <c r="D3046" s="37"/>
      <c r="E3046" s="38" t="s">
        <v>3695</v>
      </c>
      <c r="F3046" s="38" t="s">
        <v>3662</v>
      </c>
      <c r="G3046" s="38">
        <v>5.359144671119E12</v>
      </c>
      <c r="H3046" s="38" t="s">
        <v>3663</v>
      </c>
      <c r="I3046" s="38" t="s">
        <v>3664</v>
      </c>
      <c r="J3046" s="38" t="s">
        <v>4</v>
      </c>
      <c r="K3046" s="38" t="s">
        <v>126</v>
      </c>
      <c r="L3046" s="41">
        <v>46012.708333333336</v>
      </c>
      <c r="M3046" s="38" t="s">
        <v>123</v>
      </c>
      <c r="N3046" s="41">
        <v>46012.75</v>
      </c>
      <c r="O3046" s="38" t="s">
        <v>123</v>
      </c>
      <c r="P3046" s="38">
        <v>3600.0</v>
      </c>
      <c r="Q3046" s="39"/>
      <c r="R3046" s="39"/>
      <c r="S3046" s="38" t="s">
        <v>3696</v>
      </c>
      <c r="T3046" s="39"/>
      <c r="U3046" s="39"/>
    </row>
    <row r="3047">
      <c r="A3047" s="40">
        <f t="shared" si="1"/>
        <v>46006</v>
      </c>
      <c r="B3047" s="37" t="str">
        <f t="array" ref="B3047">iferror(xlookup($I3047, 'IMPORT VHC Report'!$E:$E, 'IMPORT VHC Report'!$A:$C), )</f>
        <v/>
      </c>
      <c r="C3047" s="37"/>
      <c r="D3047" s="37"/>
      <c r="E3047" s="38" t="s">
        <v>3697</v>
      </c>
      <c r="F3047" s="38" t="s">
        <v>3698</v>
      </c>
      <c r="G3047" s="38">
        <v>5.566828557583E12</v>
      </c>
      <c r="H3047" s="38" t="s">
        <v>3699</v>
      </c>
      <c r="I3047" s="38" t="s">
        <v>3700</v>
      </c>
      <c r="J3047" s="38" t="s">
        <v>224</v>
      </c>
      <c r="K3047" s="38" t="s">
        <v>63</v>
      </c>
      <c r="L3047" s="41">
        <v>46006.416666666664</v>
      </c>
      <c r="M3047" s="38" t="s">
        <v>123</v>
      </c>
      <c r="N3047" s="41">
        <v>46006.520833333336</v>
      </c>
      <c r="O3047" s="38" t="s">
        <v>123</v>
      </c>
      <c r="P3047" s="38">
        <v>9000.0</v>
      </c>
      <c r="Q3047" s="39"/>
      <c r="R3047" s="39"/>
      <c r="S3047" s="39"/>
      <c r="T3047" s="39"/>
      <c r="U3047" s="39"/>
    </row>
    <row r="3048">
      <c r="A3048" s="40">
        <f t="shared" si="1"/>
        <v>46006</v>
      </c>
      <c r="B3048" s="37" t="str">
        <f t="array" ref="B3048">iferror(xlookup($I3048, 'IMPORT VHC Report'!$E:$E, 'IMPORT VHC Report'!$A:$C), )</f>
        <v/>
      </c>
      <c r="C3048" s="37"/>
      <c r="D3048" s="37"/>
      <c r="E3048" s="38" t="s">
        <v>3701</v>
      </c>
      <c r="F3048" s="38" t="s">
        <v>3698</v>
      </c>
      <c r="G3048" s="38">
        <v>5.566828557583E12</v>
      </c>
      <c r="H3048" s="38" t="s">
        <v>3699</v>
      </c>
      <c r="I3048" s="38" t="s">
        <v>3700</v>
      </c>
      <c r="J3048" s="38" t="s">
        <v>134</v>
      </c>
      <c r="K3048" s="38" t="s">
        <v>126</v>
      </c>
      <c r="L3048" s="41">
        <v>46006.520833333336</v>
      </c>
      <c r="M3048" s="38" t="s">
        <v>123</v>
      </c>
      <c r="N3048" s="41">
        <v>46006.53125</v>
      </c>
      <c r="O3048" s="38" t="s">
        <v>123</v>
      </c>
      <c r="P3048" s="38">
        <v>900.0</v>
      </c>
      <c r="Q3048" s="39"/>
      <c r="R3048" s="39"/>
      <c r="S3048" s="39"/>
      <c r="T3048" s="39"/>
      <c r="U3048" s="39"/>
    </row>
    <row r="3049">
      <c r="A3049" s="40">
        <f t="shared" si="1"/>
        <v>46006</v>
      </c>
      <c r="B3049" s="37" t="str">
        <f t="array" ref="B3049">iferror(xlookup($I3049, 'IMPORT VHC Report'!$E:$E, 'IMPORT VHC Report'!$A:$C), )</f>
        <v/>
      </c>
      <c r="C3049" s="37"/>
      <c r="D3049" s="37"/>
      <c r="E3049" s="38" t="s">
        <v>3702</v>
      </c>
      <c r="F3049" s="38" t="s">
        <v>3698</v>
      </c>
      <c r="G3049" s="38">
        <v>5.566828557583E12</v>
      </c>
      <c r="H3049" s="38" t="s">
        <v>3699</v>
      </c>
      <c r="I3049" s="38" t="s">
        <v>3700</v>
      </c>
      <c r="J3049" s="38" t="s">
        <v>224</v>
      </c>
      <c r="K3049" s="38" t="s">
        <v>63</v>
      </c>
      <c r="L3049" s="41">
        <v>46006.53125</v>
      </c>
      <c r="M3049" s="38" t="s">
        <v>123</v>
      </c>
      <c r="N3049" s="41">
        <v>46006.59375</v>
      </c>
      <c r="O3049" s="38" t="s">
        <v>123</v>
      </c>
      <c r="P3049" s="38">
        <v>5400.0</v>
      </c>
      <c r="Q3049" s="39"/>
      <c r="R3049" s="39"/>
      <c r="S3049" s="39"/>
      <c r="T3049" s="39"/>
      <c r="U3049" s="39"/>
    </row>
    <row r="3050">
      <c r="A3050" s="40">
        <f t="shared" si="1"/>
        <v>46006</v>
      </c>
      <c r="B3050" s="37" t="str">
        <f t="array" ref="B3050">iferror(xlookup($I3050, 'IMPORT VHC Report'!$E:$E, 'IMPORT VHC Report'!$A:$C), )</f>
        <v/>
      </c>
      <c r="C3050" s="37"/>
      <c r="D3050" s="37"/>
      <c r="E3050" s="38" t="s">
        <v>3703</v>
      </c>
      <c r="F3050" s="38" t="s">
        <v>3698</v>
      </c>
      <c r="G3050" s="38">
        <v>5.566828557583E12</v>
      </c>
      <c r="H3050" s="38" t="s">
        <v>3699</v>
      </c>
      <c r="I3050" s="38" t="s">
        <v>3700</v>
      </c>
      <c r="J3050" s="38" t="s">
        <v>134</v>
      </c>
      <c r="K3050" s="38" t="s">
        <v>126</v>
      </c>
      <c r="L3050" s="41">
        <v>46006.59375</v>
      </c>
      <c r="M3050" s="38" t="s">
        <v>123</v>
      </c>
      <c r="N3050" s="41">
        <v>46006.604166666664</v>
      </c>
      <c r="O3050" s="38" t="s">
        <v>123</v>
      </c>
      <c r="P3050" s="38">
        <v>900.0</v>
      </c>
      <c r="Q3050" s="39"/>
      <c r="R3050" s="39"/>
      <c r="S3050" s="39"/>
      <c r="T3050" s="39"/>
      <c r="U3050" s="39"/>
    </row>
    <row r="3051">
      <c r="A3051" s="40">
        <f t="shared" si="1"/>
        <v>46006</v>
      </c>
      <c r="B3051" s="37" t="str">
        <f t="array" ref="B3051">iferror(xlookup($I3051, 'IMPORT VHC Report'!$E:$E, 'IMPORT VHC Report'!$A:$C), )</f>
        <v/>
      </c>
      <c r="C3051" s="37"/>
      <c r="D3051" s="37"/>
      <c r="E3051" s="38" t="s">
        <v>3704</v>
      </c>
      <c r="F3051" s="38" t="s">
        <v>3698</v>
      </c>
      <c r="G3051" s="38">
        <v>5.566828557583E12</v>
      </c>
      <c r="H3051" s="38" t="s">
        <v>3699</v>
      </c>
      <c r="I3051" s="38" t="s">
        <v>3700</v>
      </c>
      <c r="J3051" s="38" t="s">
        <v>224</v>
      </c>
      <c r="K3051" s="38" t="s">
        <v>63</v>
      </c>
      <c r="L3051" s="41">
        <v>46006.604166666664</v>
      </c>
      <c r="M3051" s="38" t="s">
        <v>123</v>
      </c>
      <c r="N3051" s="41">
        <v>46006.666666666664</v>
      </c>
      <c r="O3051" s="38" t="s">
        <v>123</v>
      </c>
      <c r="P3051" s="38">
        <v>5400.0</v>
      </c>
      <c r="Q3051" s="39"/>
      <c r="R3051" s="39"/>
      <c r="S3051" s="39"/>
      <c r="T3051" s="39"/>
      <c r="U3051" s="39"/>
    </row>
    <row r="3052">
      <c r="A3052" s="40">
        <f t="shared" si="1"/>
        <v>46006</v>
      </c>
      <c r="B3052" s="37" t="str">
        <f t="array" ref="B3052">iferror(xlookup($I3052, 'IMPORT VHC Report'!$E:$E, 'IMPORT VHC Report'!$A:$C), )</f>
        <v/>
      </c>
      <c r="C3052" s="37"/>
      <c r="D3052" s="37"/>
      <c r="E3052" s="38" t="s">
        <v>3705</v>
      </c>
      <c r="F3052" s="38" t="s">
        <v>3698</v>
      </c>
      <c r="G3052" s="38">
        <v>5.566828557583E12</v>
      </c>
      <c r="H3052" s="38" t="s">
        <v>3699</v>
      </c>
      <c r="I3052" s="38" t="s">
        <v>3700</v>
      </c>
      <c r="J3052" s="38" t="s">
        <v>125</v>
      </c>
      <c r="K3052" s="38" t="s">
        <v>126</v>
      </c>
      <c r="L3052" s="41">
        <v>46006.625</v>
      </c>
      <c r="M3052" s="38" t="s">
        <v>123</v>
      </c>
      <c r="N3052" s="41">
        <v>46006.631944444445</v>
      </c>
      <c r="O3052" s="38" t="s">
        <v>123</v>
      </c>
      <c r="P3052" s="38">
        <v>600.0</v>
      </c>
      <c r="Q3052" s="39"/>
      <c r="R3052" s="39"/>
      <c r="S3052" s="38" t="s">
        <v>3706</v>
      </c>
      <c r="T3052" s="39"/>
      <c r="U3052" s="39"/>
    </row>
    <row r="3053">
      <c r="A3053" s="40">
        <f t="shared" si="1"/>
        <v>46006</v>
      </c>
      <c r="B3053" s="37" t="str">
        <f t="array" ref="B3053">iferror(xlookup($I3053, 'IMPORT VHC Report'!$E:$E, 'IMPORT VHC Report'!$A:$C), )</f>
        <v/>
      </c>
      <c r="C3053" s="37"/>
      <c r="D3053" s="37"/>
      <c r="E3053" s="38" t="s">
        <v>3707</v>
      </c>
      <c r="F3053" s="38" t="s">
        <v>3698</v>
      </c>
      <c r="G3053" s="38">
        <v>5.566828557583E12</v>
      </c>
      <c r="H3053" s="38" t="s">
        <v>3699</v>
      </c>
      <c r="I3053" s="38" t="s">
        <v>3700</v>
      </c>
      <c r="J3053" s="38" t="s">
        <v>132</v>
      </c>
      <c r="K3053" s="38" t="s">
        <v>126</v>
      </c>
      <c r="L3053" s="41">
        <v>46006.666666666664</v>
      </c>
      <c r="M3053" s="38" t="s">
        <v>123</v>
      </c>
      <c r="N3053" s="41">
        <v>46006.708333333336</v>
      </c>
      <c r="O3053" s="38" t="s">
        <v>123</v>
      </c>
      <c r="P3053" s="38">
        <v>3600.0</v>
      </c>
      <c r="Q3053" s="39"/>
      <c r="R3053" s="39"/>
      <c r="S3053" s="39"/>
      <c r="T3053" s="39"/>
      <c r="U3053" s="39"/>
    </row>
    <row r="3054">
      <c r="A3054" s="40">
        <f t="shared" si="1"/>
        <v>46006</v>
      </c>
      <c r="B3054" s="37" t="str">
        <f t="array" ref="B3054">iferror(xlookup($I3054, 'IMPORT VHC Report'!$E:$E, 'IMPORT VHC Report'!$A:$C), )</f>
        <v/>
      </c>
      <c r="C3054" s="37"/>
      <c r="D3054" s="37"/>
      <c r="E3054" s="38" t="s">
        <v>3708</v>
      </c>
      <c r="F3054" s="38" t="s">
        <v>3698</v>
      </c>
      <c r="G3054" s="38">
        <v>5.566828557583E12</v>
      </c>
      <c r="H3054" s="38" t="s">
        <v>3699</v>
      </c>
      <c r="I3054" s="38" t="s">
        <v>3700</v>
      </c>
      <c r="J3054" s="38" t="s">
        <v>224</v>
      </c>
      <c r="K3054" s="38" t="s">
        <v>63</v>
      </c>
      <c r="L3054" s="41">
        <v>46006.708333333336</v>
      </c>
      <c r="M3054" s="38" t="s">
        <v>123</v>
      </c>
      <c r="N3054" s="41">
        <v>46006.791666666664</v>
      </c>
      <c r="O3054" s="38" t="s">
        <v>123</v>
      </c>
      <c r="P3054" s="38">
        <v>7200.0</v>
      </c>
      <c r="Q3054" s="39"/>
      <c r="R3054" s="39"/>
      <c r="S3054" s="39"/>
      <c r="T3054" s="39"/>
      <c r="U3054" s="39"/>
    </row>
    <row r="3055">
      <c r="A3055" s="40">
        <f t="shared" si="1"/>
        <v>46006</v>
      </c>
      <c r="B3055" s="37" t="str">
        <f t="array" ref="B3055">iferror(xlookup($I3055, 'IMPORT VHC Report'!$E:$E, 'IMPORT VHC Report'!$A:$C), )</f>
        <v/>
      </c>
      <c r="C3055" s="37"/>
      <c r="D3055" s="37"/>
      <c r="E3055" s="38" t="s">
        <v>3709</v>
      </c>
      <c r="F3055" s="38" t="s">
        <v>3698</v>
      </c>
      <c r="G3055" s="38">
        <v>5.566828557583E12</v>
      </c>
      <c r="H3055" s="38" t="s">
        <v>3699</v>
      </c>
      <c r="I3055" s="38" t="s">
        <v>3700</v>
      </c>
      <c r="J3055" s="38" t="s">
        <v>152</v>
      </c>
      <c r="K3055" s="38" t="s">
        <v>153</v>
      </c>
      <c r="L3055" s="41">
        <v>46007.416666666664</v>
      </c>
      <c r="M3055" s="38" t="s">
        <v>123</v>
      </c>
      <c r="N3055" s="41">
        <v>46007.583333333336</v>
      </c>
      <c r="O3055" s="38" t="s">
        <v>123</v>
      </c>
      <c r="P3055" s="38">
        <v>14400.0</v>
      </c>
      <c r="Q3055" s="38">
        <v>14400.0</v>
      </c>
      <c r="R3055" s="39"/>
      <c r="S3055" s="39"/>
      <c r="T3055" s="39"/>
      <c r="U3055" s="39"/>
    </row>
    <row r="3056">
      <c r="A3056" s="40">
        <f t="shared" si="1"/>
        <v>46006</v>
      </c>
      <c r="B3056" s="37" t="str">
        <f t="array" ref="B3056">iferror(xlookup($I3056, 'IMPORT VHC Report'!$E:$E, 'IMPORT VHC Report'!$A:$C), )</f>
        <v/>
      </c>
      <c r="C3056" s="37"/>
      <c r="D3056" s="37"/>
      <c r="E3056" s="38" t="s">
        <v>3710</v>
      </c>
      <c r="F3056" s="38" t="s">
        <v>3698</v>
      </c>
      <c r="G3056" s="38">
        <v>5.566828557583E12</v>
      </c>
      <c r="H3056" s="38" t="s">
        <v>3699</v>
      </c>
      <c r="I3056" s="38" t="s">
        <v>3700</v>
      </c>
      <c r="J3056" s="38" t="s">
        <v>224</v>
      </c>
      <c r="K3056" s="38" t="s">
        <v>63</v>
      </c>
      <c r="L3056" s="41">
        <v>46007.416666666664</v>
      </c>
      <c r="M3056" s="38" t="s">
        <v>123</v>
      </c>
      <c r="N3056" s="41">
        <v>46007.791666666664</v>
      </c>
      <c r="O3056" s="38" t="s">
        <v>123</v>
      </c>
      <c r="P3056" s="38">
        <v>32400.0</v>
      </c>
      <c r="Q3056" s="39"/>
      <c r="R3056" s="39"/>
      <c r="S3056" s="39"/>
      <c r="T3056" s="39"/>
      <c r="U3056" s="39"/>
    </row>
    <row r="3057">
      <c r="A3057" s="40">
        <f t="shared" si="1"/>
        <v>46006</v>
      </c>
      <c r="B3057" s="37" t="str">
        <f t="array" ref="B3057">iferror(xlookup($I3057, 'IMPORT VHC Report'!$E:$E, 'IMPORT VHC Report'!$A:$C), )</f>
        <v/>
      </c>
      <c r="C3057" s="37"/>
      <c r="D3057" s="37"/>
      <c r="E3057" s="38" t="s">
        <v>3711</v>
      </c>
      <c r="F3057" s="38" t="s">
        <v>3698</v>
      </c>
      <c r="G3057" s="38">
        <v>5.566828557583E12</v>
      </c>
      <c r="H3057" s="38" t="s">
        <v>3699</v>
      </c>
      <c r="I3057" s="38" t="s">
        <v>3700</v>
      </c>
      <c r="J3057" s="38" t="s">
        <v>134</v>
      </c>
      <c r="K3057" s="38" t="s">
        <v>126</v>
      </c>
      <c r="L3057" s="41">
        <v>46007.520833333336</v>
      </c>
      <c r="M3057" s="38" t="s">
        <v>123</v>
      </c>
      <c r="N3057" s="41">
        <v>46007.53125</v>
      </c>
      <c r="O3057" s="38" t="s">
        <v>123</v>
      </c>
      <c r="P3057" s="38">
        <v>900.0</v>
      </c>
      <c r="Q3057" s="39"/>
      <c r="R3057" s="39"/>
      <c r="S3057" s="39"/>
      <c r="T3057" s="39"/>
      <c r="U3057" s="39"/>
    </row>
    <row r="3058">
      <c r="A3058" s="40">
        <f t="shared" si="1"/>
        <v>46006</v>
      </c>
      <c r="B3058" s="37" t="str">
        <f t="array" ref="B3058">iferror(xlookup($I3058, 'IMPORT VHC Report'!$E:$E, 'IMPORT VHC Report'!$A:$C), )</f>
        <v/>
      </c>
      <c r="C3058" s="37"/>
      <c r="D3058" s="37"/>
      <c r="E3058" s="38" t="s">
        <v>3712</v>
      </c>
      <c r="F3058" s="38" t="s">
        <v>3698</v>
      </c>
      <c r="G3058" s="38">
        <v>5.566828557583E12</v>
      </c>
      <c r="H3058" s="38" t="s">
        <v>3699</v>
      </c>
      <c r="I3058" s="38" t="s">
        <v>3700</v>
      </c>
      <c r="J3058" s="38" t="s">
        <v>132</v>
      </c>
      <c r="K3058" s="38" t="s">
        <v>126</v>
      </c>
      <c r="L3058" s="41">
        <v>46007.583333333336</v>
      </c>
      <c r="M3058" s="38" t="s">
        <v>123</v>
      </c>
      <c r="N3058" s="41">
        <v>46007.625</v>
      </c>
      <c r="O3058" s="38" t="s">
        <v>123</v>
      </c>
      <c r="P3058" s="38">
        <v>3600.0</v>
      </c>
      <c r="Q3058" s="39"/>
      <c r="R3058" s="39"/>
      <c r="S3058" s="39"/>
      <c r="T3058" s="39"/>
      <c r="U3058" s="39"/>
    </row>
    <row r="3059">
      <c r="A3059" s="40">
        <f t="shared" si="1"/>
        <v>46006</v>
      </c>
      <c r="B3059" s="37" t="str">
        <f t="array" ref="B3059">iferror(xlookup($I3059, 'IMPORT VHC Report'!$E:$E, 'IMPORT VHC Report'!$A:$C), )</f>
        <v/>
      </c>
      <c r="C3059" s="37"/>
      <c r="D3059" s="37"/>
      <c r="E3059" s="38" t="s">
        <v>3713</v>
      </c>
      <c r="F3059" s="38" t="s">
        <v>3698</v>
      </c>
      <c r="G3059" s="38">
        <v>5.566828557583E12</v>
      </c>
      <c r="H3059" s="38" t="s">
        <v>3699</v>
      </c>
      <c r="I3059" s="38" t="s">
        <v>3700</v>
      </c>
      <c r="J3059" s="38" t="s">
        <v>136</v>
      </c>
      <c r="K3059" s="38" t="s">
        <v>126</v>
      </c>
      <c r="L3059" s="41">
        <v>46007.697916666664</v>
      </c>
      <c r="M3059" s="38" t="s">
        <v>123</v>
      </c>
      <c r="N3059" s="41">
        <v>46007.729166666664</v>
      </c>
      <c r="O3059" s="38" t="s">
        <v>123</v>
      </c>
      <c r="P3059" s="38">
        <v>2700.0</v>
      </c>
      <c r="Q3059" s="39"/>
      <c r="R3059" s="39"/>
      <c r="S3059" s="38" t="s">
        <v>137</v>
      </c>
      <c r="T3059" s="39"/>
      <c r="U3059" s="39"/>
    </row>
    <row r="3060">
      <c r="A3060" s="40">
        <f t="shared" si="1"/>
        <v>46006</v>
      </c>
      <c r="B3060" s="37" t="str">
        <f t="array" ref="B3060">iferror(xlookup($I3060, 'IMPORT VHC Report'!$E:$E, 'IMPORT VHC Report'!$A:$C), )</f>
        <v/>
      </c>
      <c r="C3060" s="37"/>
      <c r="D3060" s="37"/>
      <c r="E3060" s="38" t="s">
        <v>3714</v>
      </c>
      <c r="F3060" s="38" t="s">
        <v>3698</v>
      </c>
      <c r="G3060" s="38">
        <v>5.566828557583E12</v>
      </c>
      <c r="H3060" s="38" t="s">
        <v>3699</v>
      </c>
      <c r="I3060" s="38" t="s">
        <v>3700</v>
      </c>
      <c r="J3060" s="38" t="s">
        <v>134</v>
      </c>
      <c r="K3060" s="38" t="s">
        <v>126</v>
      </c>
      <c r="L3060" s="41">
        <v>46007.739583333336</v>
      </c>
      <c r="M3060" s="38" t="s">
        <v>123</v>
      </c>
      <c r="N3060" s="41">
        <v>46007.75</v>
      </c>
      <c r="O3060" s="38" t="s">
        <v>123</v>
      </c>
      <c r="P3060" s="38">
        <v>900.0</v>
      </c>
      <c r="Q3060" s="39"/>
      <c r="R3060" s="39"/>
      <c r="S3060" s="39"/>
      <c r="T3060" s="39"/>
      <c r="U3060" s="39"/>
    </row>
    <row r="3061">
      <c r="A3061" s="40">
        <f t="shared" si="1"/>
        <v>46006</v>
      </c>
      <c r="B3061" s="37" t="str">
        <f t="array" ref="B3061">iferror(xlookup($I3061, 'IMPORT VHC Report'!$E:$E, 'IMPORT VHC Report'!$A:$C), )</f>
        <v/>
      </c>
      <c r="C3061" s="37"/>
      <c r="D3061" s="37"/>
      <c r="E3061" s="38" t="s">
        <v>3715</v>
      </c>
      <c r="F3061" s="38" t="s">
        <v>3698</v>
      </c>
      <c r="G3061" s="38">
        <v>5.566828557583E12</v>
      </c>
      <c r="H3061" s="38" t="s">
        <v>3699</v>
      </c>
      <c r="I3061" s="38" t="s">
        <v>3700</v>
      </c>
      <c r="J3061" s="38" t="s">
        <v>224</v>
      </c>
      <c r="K3061" s="38" t="s">
        <v>63</v>
      </c>
      <c r="L3061" s="41">
        <v>46008.416666666664</v>
      </c>
      <c r="M3061" s="38" t="s">
        <v>123</v>
      </c>
      <c r="N3061" s="41">
        <v>46008.791666666664</v>
      </c>
      <c r="O3061" s="38" t="s">
        <v>123</v>
      </c>
      <c r="P3061" s="38">
        <v>32400.0</v>
      </c>
      <c r="Q3061" s="39"/>
      <c r="R3061" s="39"/>
      <c r="S3061" s="39"/>
      <c r="T3061" s="39"/>
      <c r="U3061" s="39"/>
    </row>
    <row r="3062">
      <c r="A3062" s="40">
        <f t="shared" si="1"/>
        <v>46006</v>
      </c>
      <c r="B3062" s="37" t="str">
        <f t="array" ref="B3062">iferror(xlookup($I3062, 'IMPORT VHC Report'!$E:$E, 'IMPORT VHC Report'!$A:$C), )</f>
        <v/>
      </c>
      <c r="C3062" s="37"/>
      <c r="D3062" s="37"/>
      <c r="E3062" s="38" t="s">
        <v>3716</v>
      </c>
      <c r="F3062" s="38" t="s">
        <v>3698</v>
      </c>
      <c r="G3062" s="38">
        <v>5.566828557583E12</v>
      </c>
      <c r="H3062" s="38" t="s">
        <v>3699</v>
      </c>
      <c r="I3062" s="38" t="s">
        <v>3700</v>
      </c>
      <c r="J3062" s="38" t="s">
        <v>132</v>
      </c>
      <c r="K3062" s="38" t="s">
        <v>126</v>
      </c>
      <c r="L3062" s="41">
        <v>46008.5</v>
      </c>
      <c r="M3062" s="38" t="s">
        <v>123</v>
      </c>
      <c r="N3062" s="41">
        <v>46008.541666666664</v>
      </c>
      <c r="O3062" s="38" t="s">
        <v>123</v>
      </c>
      <c r="P3062" s="38">
        <v>3600.0</v>
      </c>
      <c r="Q3062" s="39"/>
      <c r="R3062" s="39"/>
      <c r="S3062" s="39"/>
      <c r="T3062" s="39"/>
      <c r="U3062" s="39"/>
    </row>
    <row r="3063">
      <c r="A3063" s="40">
        <f t="shared" si="1"/>
        <v>46006</v>
      </c>
      <c r="B3063" s="37" t="str">
        <f t="array" ref="B3063">iferror(xlookup($I3063, 'IMPORT VHC Report'!$E:$E, 'IMPORT VHC Report'!$A:$C), )</f>
        <v/>
      </c>
      <c r="C3063" s="37"/>
      <c r="D3063" s="37"/>
      <c r="E3063" s="38" t="s">
        <v>3717</v>
      </c>
      <c r="F3063" s="38" t="s">
        <v>3698</v>
      </c>
      <c r="G3063" s="38">
        <v>5.566828557583E12</v>
      </c>
      <c r="H3063" s="38" t="s">
        <v>3699</v>
      </c>
      <c r="I3063" s="38" t="s">
        <v>3700</v>
      </c>
      <c r="J3063" s="38" t="s">
        <v>134</v>
      </c>
      <c r="K3063" s="38" t="s">
        <v>126</v>
      </c>
      <c r="L3063" s="41">
        <v>46008.541666666664</v>
      </c>
      <c r="M3063" s="38" t="s">
        <v>123</v>
      </c>
      <c r="N3063" s="41">
        <v>46008.552083333336</v>
      </c>
      <c r="O3063" s="38" t="s">
        <v>123</v>
      </c>
      <c r="P3063" s="38">
        <v>900.0</v>
      </c>
      <c r="Q3063" s="39"/>
      <c r="R3063" s="39"/>
      <c r="S3063" s="39"/>
      <c r="T3063" s="39"/>
      <c r="U3063" s="39"/>
    </row>
    <row r="3064">
      <c r="A3064" s="40">
        <f t="shared" si="1"/>
        <v>46006</v>
      </c>
      <c r="B3064" s="37" t="str">
        <f t="array" ref="B3064">iferror(xlookup($I3064, 'IMPORT VHC Report'!$E:$E, 'IMPORT VHC Report'!$A:$C), )</f>
        <v/>
      </c>
      <c r="C3064" s="37"/>
      <c r="D3064" s="37"/>
      <c r="E3064" s="38" t="s">
        <v>3718</v>
      </c>
      <c r="F3064" s="38" t="s">
        <v>3698</v>
      </c>
      <c r="G3064" s="38">
        <v>5.566828557583E12</v>
      </c>
      <c r="H3064" s="38" t="s">
        <v>3699</v>
      </c>
      <c r="I3064" s="38" t="s">
        <v>3700</v>
      </c>
      <c r="J3064" s="38" t="s">
        <v>134</v>
      </c>
      <c r="K3064" s="38" t="s">
        <v>126</v>
      </c>
      <c r="L3064" s="41">
        <v>46008.552083333336</v>
      </c>
      <c r="M3064" s="38" t="s">
        <v>123</v>
      </c>
      <c r="N3064" s="41">
        <v>46008.5625</v>
      </c>
      <c r="O3064" s="38" t="s">
        <v>123</v>
      </c>
      <c r="P3064" s="38">
        <v>900.0</v>
      </c>
      <c r="Q3064" s="39"/>
      <c r="R3064" s="39"/>
      <c r="S3064" s="39"/>
      <c r="T3064" s="39"/>
      <c r="U3064" s="39"/>
    </row>
    <row r="3065">
      <c r="A3065" s="40">
        <f t="shared" si="1"/>
        <v>46006</v>
      </c>
      <c r="B3065" s="37" t="str">
        <f t="array" ref="B3065">iferror(xlookup($I3065, 'IMPORT VHC Report'!$E:$E, 'IMPORT VHC Report'!$A:$C), )</f>
        <v/>
      </c>
      <c r="C3065" s="37"/>
      <c r="D3065" s="37"/>
      <c r="E3065" s="38" t="s">
        <v>3719</v>
      </c>
      <c r="F3065" s="38" t="s">
        <v>3698</v>
      </c>
      <c r="G3065" s="38">
        <v>5.566828557583E12</v>
      </c>
      <c r="H3065" s="38" t="s">
        <v>3699</v>
      </c>
      <c r="I3065" s="38" t="s">
        <v>3700</v>
      </c>
      <c r="J3065" s="38" t="s">
        <v>125</v>
      </c>
      <c r="K3065" s="38" t="s">
        <v>126</v>
      </c>
      <c r="L3065" s="41">
        <v>46008.666666666664</v>
      </c>
      <c r="M3065" s="38" t="s">
        <v>123</v>
      </c>
      <c r="N3065" s="41">
        <v>46008.67361111111</v>
      </c>
      <c r="O3065" s="38" t="s">
        <v>123</v>
      </c>
      <c r="P3065" s="38">
        <v>600.0</v>
      </c>
      <c r="Q3065" s="39"/>
      <c r="R3065" s="39"/>
      <c r="S3065" s="38" t="s">
        <v>3720</v>
      </c>
      <c r="T3065" s="39"/>
      <c r="U3065" s="39"/>
    </row>
    <row r="3066">
      <c r="A3066" s="40">
        <f t="shared" si="1"/>
        <v>46006</v>
      </c>
      <c r="B3066" s="37" t="str">
        <f t="array" ref="B3066">iferror(xlookup($I3066, 'IMPORT VHC Report'!$E:$E, 'IMPORT VHC Report'!$A:$C), )</f>
        <v/>
      </c>
      <c r="C3066" s="37"/>
      <c r="D3066" s="37"/>
      <c r="E3066" s="38" t="s">
        <v>3721</v>
      </c>
      <c r="F3066" s="38" t="s">
        <v>3698</v>
      </c>
      <c r="G3066" s="38">
        <v>5.566828557583E12</v>
      </c>
      <c r="H3066" s="38" t="s">
        <v>3699</v>
      </c>
      <c r="I3066" s="38" t="s">
        <v>3700</v>
      </c>
      <c r="J3066" s="38" t="s">
        <v>125</v>
      </c>
      <c r="K3066" s="38" t="s">
        <v>126</v>
      </c>
      <c r="L3066" s="41">
        <v>46008.75</v>
      </c>
      <c r="M3066" s="38" t="s">
        <v>123</v>
      </c>
      <c r="N3066" s="41">
        <v>46008.75347222222</v>
      </c>
      <c r="O3066" s="38" t="s">
        <v>123</v>
      </c>
      <c r="P3066" s="38">
        <v>300.0</v>
      </c>
      <c r="Q3066" s="39"/>
      <c r="R3066" s="39"/>
      <c r="S3066" s="38" t="s">
        <v>3720</v>
      </c>
      <c r="T3066" s="39"/>
      <c r="U3066" s="39"/>
    </row>
    <row r="3067">
      <c r="A3067" s="40">
        <f t="shared" si="1"/>
        <v>46006</v>
      </c>
      <c r="B3067" s="37" t="str">
        <f t="array" ref="B3067">iferror(xlookup($I3067, 'IMPORT VHC Report'!$E:$E, 'IMPORT VHC Report'!$A:$C), )</f>
        <v/>
      </c>
      <c r="C3067" s="37"/>
      <c r="D3067" s="37"/>
      <c r="E3067" s="38" t="s">
        <v>3722</v>
      </c>
      <c r="F3067" s="38" t="s">
        <v>3698</v>
      </c>
      <c r="G3067" s="38">
        <v>5.566828557583E12</v>
      </c>
      <c r="H3067" s="38" t="s">
        <v>3699</v>
      </c>
      <c r="I3067" s="38" t="s">
        <v>3700</v>
      </c>
      <c r="J3067" s="38" t="s">
        <v>224</v>
      </c>
      <c r="K3067" s="38" t="s">
        <v>63</v>
      </c>
      <c r="L3067" s="41">
        <v>46009.416666666664</v>
      </c>
      <c r="M3067" s="38" t="s">
        <v>123</v>
      </c>
      <c r="N3067" s="41">
        <v>46009.520833333336</v>
      </c>
      <c r="O3067" s="38" t="s">
        <v>123</v>
      </c>
      <c r="P3067" s="38">
        <v>9000.0</v>
      </c>
      <c r="Q3067" s="39"/>
      <c r="R3067" s="39"/>
      <c r="S3067" s="39"/>
      <c r="T3067" s="39"/>
      <c r="U3067" s="39"/>
    </row>
    <row r="3068">
      <c r="A3068" s="40">
        <f t="shared" si="1"/>
        <v>46006</v>
      </c>
      <c r="B3068" s="37" t="str">
        <f t="array" ref="B3068">iferror(xlookup($I3068, 'IMPORT VHC Report'!$E:$E, 'IMPORT VHC Report'!$A:$C), )</f>
        <v/>
      </c>
      <c r="C3068" s="37"/>
      <c r="D3068" s="37"/>
      <c r="E3068" s="38" t="s">
        <v>3723</v>
      </c>
      <c r="F3068" s="38" t="s">
        <v>3698</v>
      </c>
      <c r="G3068" s="38">
        <v>5.566828557583E12</v>
      </c>
      <c r="H3068" s="38" t="s">
        <v>3699</v>
      </c>
      <c r="I3068" s="38" t="s">
        <v>3700</v>
      </c>
      <c r="J3068" s="38" t="s">
        <v>132</v>
      </c>
      <c r="K3068" s="38" t="s">
        <v>126</v>
      </c>
      <c r="L3068" s="41">
        <v>46009.520833333336</v>
      </c>
      <c r="M3068" s="38" t="s">
        <v>123</v>
      </c>
      <c r="N3068" s="41">
        <v>46009.5625</v>
      </c>
      <c r="O3068" s="38" t="s">
        <v>123</v>
      </c>
      <c r="P3068" s="38">
        <v>3600.0</v>
      </c>
      <c r="Q3068" s="39"/>
      <c r="R3068" s="39"/>
      <c r="S3068" s="39"/>
      <c r="T3068" s="39"/>
      <c r="U3068" s="39"/>
    </row>
    <row r="3069">
      <c r="A3069" s="40">
        <f t="shared" si="1"/>
        <v>46006</v>
      </c>
      <c r="B3069" s="37" t="str">
        <f t="array" ref="B3069">iferror(xlookup($I3069, 'IMPORT VHC Report'!$E:$E, 'IMPORT VHC Report'!$A:$C), )</f>
        <v/>
      </c>
      <c r="C3069" s="37"/>
      <c r="D3069" s="37"/>
      <c r="E3069" s="38" t="s">
        <v>3724</v>
      </c>
      <c r="F3069" s="38" t="s">
        <v>3698</v>
      </c>
      <c r="G3069" s="38">
        <v>5.566828557583E12</v>
      </c>
      <c r="H3069" s="38" t="s">
        <v>3699</v>
      </c>
      <c r="I3069" s="38" t="s">
        <v>3700</v>
      </c>
      <c r="J3069" s="38" t="s">
        <v>224</v>
      </c>
      <c r="K3069" s="38" t="s">
        <v>63</v>
      </c>
      <c r="L3069" s="41">
        <v>46009.5625</v>
      </c>
      <c r="M3069" s="38" t="s">
        <v>123</v>
      </c>
      <c r="N3069" s="41">
        <v>46009.625</v>
      </c>
      <c r="O3069" s="38" t="s">
        <v>123</v>
      </c>
      <c r="P3069" s="38">
        <v>5400.0</v>
      </c>
      <c r="Q3069" s="39"/>
      <c r="R3069" s="39"/>
      <c r="S3069" s="39"/>
      <c r="T3069" s="39"/>
      <c r="U3069" s="39"/>
    </row>
    <row r="3070">
      <c r="A3070" s="40">
        <f t="shared" si="1"/>
        <v>46006</v>
      </c>
      <c r="B3070" s="37" t="str">
        <f t="array" ref="B3070">iferror(xlookup($I3070, 'IMPORT VHC Report'!$E:$E, 'IMPORT VHC Report'!$A:$C), )</f>
        <v/>
      </c>
      <c r="C3070" s="37"/>
      <c r="D3070" s="37"/>
      <c r="E3070" s="38" t="s">
        <v>3725</v>
      </c>
      <c r="F3070" s="38" t="s">
        <v>3698</v>
      </c>
      <c r="G3070" s="38">
        <v>5.566828557583E12</v>
      </c>
      <c r="H3070" s="38" t="s">
        <v>3699</v>
      </c>
      <c r="I3070" s="38" t="s">
        <v>3700</v>
      </c>
      <c r="J3070" s="38" t="s">
        <v>134</v>
      </c>
      <c r="K3070" s="38" t="s">
        <v>126</v>
      </c>
      <c r="L3070" s="41">
        <v>46009.625</v>
      </c>
      <c r="M3070" s="38" t="s">
        <v>123</v>
      </c>
      <c r="N3070" s="41">
        <v>46009.635416666664</v>
      </c>
      <c r="O3070" s="38" t="s">
        <v>123</v>
      </c>
      <c r="P3070" s="38">
        <v>900.0</v>
      </c>
      <c r="Q3070" s="39"/>
      <c r="R3070" s="39"/>
      <c r="S3070" s="39"/>
      <c r="T3070" s="39"/>
      <c r="U3070" s="39"/>
    </row>
    <row r="3071">
      <c r="A3071" s="40">
        <f t="shared" si="1"/>
        <v>46006</v>
      </c>
      <c r="B3071" s="37" t="str">
        <f t="array" ref="B3071">iferror(xlookup($I3071, 'IMPORT VHC Report'!$E:$E, 'IMPORT VHC Report'!$A:$C), )</f>
        <v/>
      </c>
      <c r="C3071" s="37"/>
      <c r="D3071" s="37"/>
      <c r="E3071" s="38" t="s">
        <v>3726</v>
      </c>
      <c r="F3071" s="38" t="s">
        <v>3698</v>
      </c>
      <c r="G3071" s="38">
        <v>5.566828557583E12</v>
      </c>
      <c r="H3071" s="38" t="s">
        <v>3699</v>
      </c>
      <c r="I3071" s="38" t="s">
        <v>3700</v>
      </c>
      <c r="J3071" s="38" t="s">
        <v>224</v>
      </c>
      <c r="K3071" s="38" t="s">
        <v>63</v>
      </c>
      <c r="L3071" s="41">
        <v>46009.635416666664</v>
      </c>
      <c r="M3071" s="38" t="s">
        <v>123</v>
      </c>
      <c r="N3071" s="41">
        <v>46009.697916666664</v>
      </c>
      <c r="O3071" s="38" t="s">
        <v>123</v>
      </c>
      <c r="P3071" s="38">
        <v>5400.0</v>
      </c>
      <c r="Q3071" s="39"/>
      <c r="R3071" s="39"/>
      <c r="S3071" s="39"/>
      <c r="T3071" s="39"/>
      <c r="U3071" s="39"/>
    </row>
    <row r="3072">
      <c r="A3072" s="40">
        <f t="shared" si="1"/>
        <v>46006</v>
      </c>
      <c r="B3072" s="37" t="str">
        <f t="array" ref="B3072">iferror(xlookup($I3072, 'IMPORT VHC Report'!$E:$E, 'IMPORT VHC Report'!$A:$C), )</f>
        <v/>
      </c>
      <c r="C3072" s="37"/>
      <c r="D3072" s="37"/>
      <c r="E3072" s="38" t="s">
        <v>3727</v>
      </c>
      <c r="F3072" s="38" t="s">
        <v>3698</v>
      </c>
      <c r="G3072" s="38">
        <v>5.566828557583E12</v>
      </c>
      <c r="H3072" s="38" t="s">
        <v>3699</v>
      </c>
      <c r="I3072" s="38" t="s">
        <v>3700</v>
      </c>
      <c r="J3072" s="38" t="s">
        <v>134</v>
      </c>
      <c r="K3072" s="38" t="s">
        <v>126</v>
      </c>
      <c r="L3072" s="41">
        <v>46009.697916666664</v>
      </c>
      <c r="M3072" s="38" t="s">
        <v>123</v>
      </c>
      <c r="N3072" s="41">
        <v>46009.708333333336</v>
      </c>
      <c r="O3072" s="38" t="s">
        <v>123</v>
      </c>
      <c r="P3072" s="38">
        <v>900.0</v>
      </c>
      <c r="Q3072" s="39"/>
      <c r="R3072" s="39"/>
      <c r="S3072" s="39"/>
      <c r="T3072" s="39"/>
      <c r="U3072" s="39"/>
    </row>
    <row r="3073">
      <c r="A3073" s="40">
        <f t="shared" si="1"/>
        <v>46006</v>
      </c>
      <c r="B3073" s="37" t="str">
        <f t="array" ref="B3073">iferror(xlookup($I3073, 'IMPORT VHC Report'!$E:$E, 'IMPORT VHC Report'!$A:$C), )</f>
        <v/>
      </c>
      <c r="C3073" s="37"/>
      <c r="D3073" s="37"/>
      <c r="E3073" s="38" t="s">
        <v>3728</v>
      </c>
      <c r="F3073" s="38" t="s">
        <v>3698</v>
      </c>
      <c r="G3073" s="38">
        <v>5.566828557583E12</v>
      </c>
      <c r="H3073" s="38" t="s">
        <v>3699</v>
      </c>
      <c r="I3073" s="38" t="s">
        <v>3700</v>
      </c>
      <c r="J3073" s="38" t="s">
        <v>224</v>
      </c>
      <c r="K3073" s="38" t="s">
        <v>63</v>
      </c>
      <c r="L3073" s="41">
        <v>46009.708333333336</v>
      </c>
      <c r="M3073" s="38" t="s">
        <v>123</v>
      </c>
      <c r="N3073" s="41">
        <v>46009.791666666664</v>
      </c>
      <c r="O3073" s="38" t="s">
        <v>123</v>
      </c>
      <c r="P3073" s="38">
        <v>7200.0</v>
      </c>
      <c r="Q3073" s="39"/>
      <c r="R3073" s="39"/>
      <c r="S3073" s="39"/>
      <c r="T3073" s="39"/>
      <c r="U3073" s="39"/>
    </row>
    <row r="3074">
      <c r="A3074" s="40">
        <f t="shared" si="1"/>
        <v>46006</v>
      </c>
      <c r="B3074" s="37" t="str">
        <f t="array" ref="B3074">iferror(xlookup($I3074, 'IMPORT VHC Report'!$E:$E, 'IMPORT VHC Report'!$A:$C), )</f>
        <v/>
      </c>
      <c r="C3074" s="37"/>
      <c r="D3074" s="37"/>
      <c r="E3074" s="38" t="s">
        <v>3729</v>
      </c>
      <c r="F3074" s="38" t="s">
        <v>3698</v>
      </c>
      <c r="G3074" s="38">
        <v>5.566828557583E12</v>
      </c>
      <c r="H3074" s="38" t="s">
        <v>3699</v>
      </c>
      <c r="I3074" s="38" t="s">
        <v>3700</v>
      </c>
      <c r="J3074" s="38" t="s">
        <v>224</v>
      </c>
      <c r="K3074" s="38" t="s">
        <v>63</v>
      </c>
      <c r="L3074" s="41">
        <v>46012.416666666664</v>
      </c>
      <c r="M3074" s="38" t="s">
        <v>123</v>
      </c>
      <c r="N3074" s="41">
        <v>46012.510416666664</v>
      </c>
      <c r="O3074" s="38" t="s">
        <v>123</v>
      </c>
      <c r="P3074" s="38">
        <v>8100.0</v>
      </c>
      <c r="Q3074" s="39"/>
      <c r="R3074" s="39"/>
      <c r="S3074" s="39"/>
      <c r="T3074" s="39"/>
      <c r="U3074" s="39"/>
    </row>
    <row r="3075">
      <c r="A3075" s="40">
        <f t="shared" si="1"/>
        <v>46006</v>
      </c>
      <c r="B3075" s="37" t="str">
        <f t="array" ref="B3075">iferror(xlookup($I3075, 'IMPORT VHC Report'!$E:$E, 'IMPORT VHC Report'!$A:$C), )</f>
        <v/>
      </c>
      <c r="C3075" s="37"/>
      <c r="D3075" s="37"/>
      <c r="E3075" s="38" t="s">
        <v>3730</v>
      </c>
      <c r="F3075" s="38" t="s">
        <v>3698</v>
      </c>
      <c r="G3075" s="38">
        <v>5.566828557583E12</v>
      </c>
      <c r="H3075" s="38" t="s">
        <v>3699</v>
      </c>
      <c r="I3075" s="38" t="s">
        <v>3700</v>
      </c>
      <c r="J3075" s="38" t="s">
        <v>125</v>
      </c>
      <c r="K3075" s="38" t="s">
        <v>126</v>
      </c>
      <c r="L3075" s="41">
        <v>46012.458333333336</v>
      </c>
      <c r="M3075" s="38" t="s">
        <v>123</v>
      </c>
      <c r="N3075" s="41">
        <v>46012.461805555555</v>
      </c>
      <c r="O3075" s="38" t="s">
        <v>123</v>
      </c>
      <c r="P3075" s="38">
        <v>300.0</v>
      </c>
      <c r="Q3075" s="39"/>
      <c r="R3075" s="39"/>
      <c r="S3075" s="38" t="s">
        <v>3720</v>
      </c>
      <c r="T3075" s="39"/>
      <c r="U3075" s="39"/>
    </row>
    <row r="3076">
      <c r="A3076" s="40">
        <f t="shared" si="1"/>
        <v>46006</v>
      </c>
      <c r="B3076" s="37" t="str">
        <f t="array" ref="B3076">iferror(xlookup($I3076, 'IMPORT VHC Report'!$E:$E, 'IMPORT VHC Report'!$A:$C), )</f>
        <v/>
      </c>
      <c r="C3076" s="37"/>
      <c r="D3076" s="37"/>
      <c r="E3076" s="38" t="s">
        <v>3731</v>
      </c>
      <c r="F3076" s="38" t="s">
        <v>3698</v>
      </c>
      <c r="G3076" s="38">
        <v>5.566828557583E12</v>
      </c>
      <c r="H3076" s="38" t="s">
        <v>3699</v>
      </c>
      <c r="I3076" s="38" t="s">
        <v>3700</v>
      </c>
      <c r="J3076" s="38" t="s">
        <v>134</v>
      </c>
      <c r="K3076" s="38" t="s">
        <v>126</v>
      </c>
      <c r="L3076" s="41">
        <v>46012.510416666664</v>
      </c>
      <c r="M3076" s="38" t="s">
        <v>123</v>
      </c>
      <c r="N3076" s="41">
        <v>46012.520833333336</v>
      </c>
      <c r="O3076" s="38" t="s">
        <v>123</v>
      </c>
      <c r="P3076" s="38">
        <v>900.0</v>
      </c>
      <c r="Q3076" s="39"/>
      <c r="R3076" s="39"/>
      <c r="S3076" s="39"/>
      <c r="T3076" s="39"/>
      <c r="U3076" s="39"/>
    </row>
    <row r="3077">
      <c r="A3077" s="40">
        <f t="shared" si="1"/>
        <v>46006</v>
      </c>
      <c r="B3077" s="37" t="str">
        <f t="array" ref="B3077">iferror(xlookup($I3077, 'IMPORT VHC Report'!$E:$E, 'IMPORT VHC Report'!$A:$C), )</f>
        <v/>
      </c>
      <c r="C3077" s="37"/>
      <c r="D3077" s="37"/>
      <c r="E3077" s="38" t="s">
        <v>3732</v>
      </c>
      <c r="F3077" s="38" t="s">
        <v>3698</v>
      </c>
      <c r="G3077" s="38">
        <v>5.566828557583E12</v>
      </c>
      <c r="H3077" s="38" t="s">
        <v>3699</v>
      </c>
      <c r="I3077" s="38" t="s">
        <v>3700</v>
      </c>
      <c r="J3077" s="38" t="s">
        <v>224</v>
      </c>
      <c r="K3077" s="38" t="s">
        <v>63</v>
      </c>
      <c r="L3077" s="41">
        <v>46012.520833333336</v>
      </c>
      <c r="M3077" s="38" t="s">
        <v>123</v>
      </c>
      <c r="N3077" s="41">
        <v>46012.604166666664</v>
      </c>
      <c r="O3077" s="38" t="s">
        <v>123</v>
      </c>
      <c r="P3077" s="38">
        <v>7200.0</v>
      </c>
      <c r="Q3077" s="39"/>
      <c r="R3077" s="39"/>
      <c r="S3077" s="39"/>
      <c r="T3077" s="39"/>
      <c r="U3077" s="39"/>
    </row>
    <row r="3078">
      <c r="A3078" s="40">
        <f t="shared" si="1"/>
        <v>46006</v>
      </c>
      <c r="B3078" s="37" t="str">
        <f t="array" ref="B3078">iferror(xlookup($I3078, 'IMPORT VHC Report'!$E:$E, 'IMPORT VHC Report'!$A:$C), )</f>
        <v/>
      </c>
      <c r="C3078" s="37"/>
      <c r="D3078" s="37"/>
      <c r="E3078" s="38" t="s">
        <v>3733</v>
      </c>
      <c r="F3078" s="38" t="s">
        <v>3698</v>
      </c>
      <c r="G3078" s="38">
        <v>5.566828557583E12</v>
      </c>
      <c r="H3078" s="38" t="s">
        <v>3699</v>
      </c>
      <c r="I3078" s="38" t="s">
        <v>3700</v>
      </c>
      <c r="J3078" s="38" t="s">
        <v>125</v>
      </c>
      <c r="K3078" s="38" t="s">
        <v>126</v>
      </c>
      <c r="L3078" s="41">
        <v>46012.524305555555</v>
      </c>
      <c r="M3078" s="38" t="s">
        <v>123</v>
      </c>
      <c r="N3078" s="41">
        <v>46012.53125</v>
      </c>
      <c r="O3078" s="38" t="s">
        <v>123</v>
      </c>
      <c r="P3078" s="38">
        <v>600.0</v>
      </c>
      <c r="Q3078" s="39"/>
      <c r="R3078" s="39"/>
      <c r="S3078" s="38" t="s">
        <v>3720</v>
      </c>
      <c r="T3078" s="39"/>
      <c r="U3078" s="39"/>
    </row>
    <row r="3079">
      <c r="A3079" s="40">
        <f t="shared" si="1"/>
        <v>46006</v>
      </c>
      <c r="B3079" s="37" t="str">
        <f t="array" ref="B3079">iferror(xlookup($I3079, 'IMPORT VHC Report'!$E:$E, 'IMPORT VHC Report'!$A:$C), )</f>
        <v/>
      </c>
      <c r="C3079" s="37"/>
      <c r="D3079" s="37"/>
      <c r="E3079" s="38" t="s">
        <v>3734</v>
      </c>
      <c r="F3079" s="38" t="s">
        <v>3698</v>
      </c>
      <c r="G3079" s="38">
        <v>5.566828557583E12</v>
      </c>
      <c r="H3079" s="38" t="s">
        <v>3699</v>
      </c>
      <c r="I3079" s="38" t="s">
        <v>3700</v>
      </c>
      <c r="J3079" s="38" t="s">
        <v>125</v>
      </c>
      <c r="K3079" s="38" t="s">
        <v>126</v>
      </c>
      <c r="L3079" s="41">
        <v>46012.55416666667</v>
      </c>
      <c r="M3079" s="38" t="s">
        <v>123</v>
      </c>
      <c r="N3079" s="41">
        <v>46012.55625</v>
      </c>
      <c r="O3079" s="38" t="s">
        <v>123</v>
      </c>
      <c r="P3079" s="38">
        <v>180.0</v>
      </c>
      <c r="Q3079" s="39"/>
      <c r="R3079" s="39"/>
      <c r="S3079" s="38" t="s">
        <v>3720</v>
      </c>
      <c r="T3079" s="39"/>
      <c r="U3079" s="39"/>
    </row>
    <row r="3080">
      <c r="A3080" s="40">
        <f t="shared" si="1"/>
        <v>46006</v>
      </c>
      <c r="B3080" s="37" t="str">
        <f t="array" ref="B3080">iferror(xlookup($I3080, 'IMPORT VHC Report'!$E:$E, 'IMPORT VHC Report'!$A:$C), )</f>
        <v/>
      </c>
      <c r="C3080" s="37"/>
      <c r="D3080" s="37"/>
      <c r="E3080" s="38" t="s">
        <v>3735</v>
      </c>
      <c r="F3080" s="38" t="s">
        <v>3698</v>
      </c>
      <c r="G3080" s="38">
        <v>5.566828557583E12</v>
      </c>
      <c r="H3080" s="38" t="s">
        <v>3699</v>
      </c>
      <c r="I3080" s="38" t="s">
        <v>3700</v>
      </c>
      <c r="J3080" s="38" t="s">
        <v>134</v>
      </c>
      <c r="K3080" s="38" t="s">
        <v>126</v>
      </c>
      <c r="L3080" s="41">
        <v>46012.604166666664</v>
      </c>
      <c r="M3080" s="38" t="s">
        <v>123</v>
      </c>
      <c r="N3080" s="41">
        <v>46012.614583333336</v>
      </c>
      <c r="O3080" s="38" t="s">
        <v>123</v>
      </c>
      <c r="P3080" s="38">
        <v>900.0</v>
      </c>
      <c r="Q3080" s="39"/>
      <c r="R3080" s="39"/>
      <c r="S3080" s="39"/>
      <c r="T3080" s="39"/>
      <c r="U3080" s="39"/>
    </row>
    <row r="3081">
      <c r="A3081" s="40">
        <f t="shared" si="1"/>
        <v>46006</v>
      </c>
      <c r="B3081" s="37" t="str">
        <f t="array" ref="B3081">iferror(xlookup($I3081, 'IMPORT VHC Report'!$E:$E, 'IMPORT VHC Report'!$A:$C), )</f>
        <v/>
      </c>
      <c r="C3081" s="37"/>
      <c r="D3081" s="37"/>
      <c r="E3081" s="38" t="s">
        <v>3736</v>
      </c>
      <c r="F3081" s="38" t="s">
        <v>3698</v>
      </c>
      <c r="G3081" s="38">
        <v>5.566828557583E12</v>
      </c>
      <c r="H3081" s="38" t="s">
        <v>3699</v>
      </c>
      <c r="I3081" s="38" t="s">
        <v>3700</v>
      </c>
      <c r="J3081" s="38" t="s">
        <v>224</v>
      </c>
      <c r="K3081" s="38" t="s">
        <v>63</v>
      </c>
      <c r="L3081" s="41">
        <v>46012.614583333336</v>
      </c>
      <c r="M3081" s="38" t="s">
        <v>123</v>
      </c>
      <c r="N3081" s="41">
        <v>46012.677083333336</v>
      </c>
      <c r="O3081" s="38" t="s">
        <v>123</v>
      </c>
      <c r="P3081" s="38">
        <v>5400.0</v>
      </c>
      <c r="Q3081" s="39"/>
      <c r="R3081" s="39"/>
      <c r="S3081" s="39"/>
      <c r="T3081" s="39"/>
      <c r="U3081" s="39"/>
    </row>
    <row r="3082">
      <c r="A3082" s="40">
        <f t="shared" si="1"/>
        <v>46006</v>
      </c>
      <c r="B3082" s="37" t="str">
        <f t="array" ref="B3082">iferror(xlookup($I3082, 'IMPORT VHC Report'!$E:$E, 'IMPORT VHC Report'!$A:$C), )</f>
        <v/>
      </c>
      <c r="C3082" s="37"/>
      <c r="D3082" s="37"/>
      <c r="E3082" s="38" t="s">
        <v>3737</v>
      </c>
      <c r="F3082" s="38" t="s">
        <v>3698</v>
      </c>
      <c r="G3082" s="38">
        <v>5.566828557583E12</v>
      </c>
      <c r="H3082" s="38" t="s">
        <v>3699</v>
      </c>
      <c r="I3082" s="38" t="s">
        <v>3700</v>
      </c>
      <c r="J3082" s="38" t="s">
        <v>132</v>
      </c>
      <c r="K3082" s="38" t="s">
        <v>126</v>
      </c>
      <c r="L3082" s="41">
        <v>46012.677083333336</v>
      </c>
      <c r="M3082" s="38" t="s">
        <v>123</v>
      </c>
      <c r="N3082" s="41">
        <v>46012.71875</v>
      </c>
      <c r="O3082" s="38" t="s">
        <v>123</v>
      </c>
      <c r="P3082" s="38">
        <v>3600.0</v>
      </c>
      <c r="Q3082" s="39"/>
      <c r="R3082" s="39"/>
      <c r="S3082" s="39"/>
      <c r="T3082" s="39"/>
      <c r="U3082" s="39"/>
    </row>
    <row r="3083">
      <c r="A3083" s="40">
        <f t="shared" si="1"/>
        <v>46006</v>
      </c>
      <c r="B3083" s="37" t="str">
        <f t="array" ref="B3083">iferror(xlookup($I3083, 'IMPORT VHC Report'!$E:$E, 'IMPORT VHC Report'!$A:$C), )</f>
        <v/>
      </c>
      <c r="C3083" s="37"/>
      <c r="D3083" s="37"/>
      <c r="E3083" s="38" t="s">
        <v>3738</v>
      </c>
      <c r="F3083" s="38" t="s">
        <v>3698</v>
      </c>
      <c r="G3083" s="38">
        <v>5.566828557583E12</v>
      </c>
      <c r="H3083" s="38" t="s">
        <v>3699</v>
      </c>
      <c r="I3083" s="38" t="s">
        <v>3700</v>
      </c>
      <c r="J3083" s="38" t="s">
        <v>125</v>
      </c>
      <c r="K3083" s="38" t="s">
        <v>126</v>
      </c>
      <c r="L3083" s="41">
        <v>46012.71875</v>
      </c>
      <c r="M3083" s="38" t="s">
        <v>123</v>
      </c>
      <c r="N3083" s="41">
        <v>46012.72708333333</v>
      </c>
      <c r="O3083" s="38" t="s">
        <v>123</v>
      </c>
      <c r="P3083" s="38">
        <v>720.0</v>
      </c>
      <c r="Q3083" s="39"/>
      <c r="R3083" s="39"/>
      <c r="S3083" s="38" t="s">
        <v>3720</v>
      </c>
      <c r="T3083" s="39"/>
      <c r="U3083" s="39"/>
    </row>
    <row r="3084">
      <c r="A3084" s="40">
        <f t="shared" si="1"/>
        <v>46006</v>
      </c>
      <c r="B3084" s="37" t="str">
        <f t="array" ref="B3084">iferror(xlookup($I3084, 'IMPORT VHC Report'!$E:$E, 'IMPORT VHC Report'!$A:$C), )</f>
        <v/>
      </c>
      <c r="C3084" s="37"/>
      <c r="D3084" s="37"/>
      <c r="E3084" s="38" t="s">
        <v>3739</v>
      </c>
      <c r="F3084" s="38" t="s">
        <v>3698</v>
      </c>
      <c r="G3084" s="38">
        <v>5.566828557583E12</v>
      </c>
      <c r="H3084" s="38" t="s">
        <v>3699</v>
      </c>
      <c r="I3084" s="38" t="s">
        <v>3700</v>
      </c>
      <c r="J3084" s="38" t="s">
        <v>224</v>
      </c>
      <c r="K3084" s="38" t="s">
        <v>63</v>
      </c>
      <c r="L3084" s="41">
        <v>46012.71875</v>
      </c>
      <c r="M3084" s="38" t="s">
        <v>123</v>
      </c>
      <c r="N3084" s="41">
        <v>46012.791666666664</v>
      </c>
      <c r="O3084" s="38" t="s">
        <v>123</v>
      </c>
      <c r="P3084" s="38">
        <v>6300.0</v>
      </c>
      <c r="Q3084" s="39"/>
      <c r="R3084" s="39"/>
      <c r="S3084" s="39"/>
      <c r="T3084" s="39"/>
      <c r="U3084" s="39"/>
    </row>
    <row r="3085">
      <c r="A3085" s="40">
        <f t="shared" si="1"/>
        <v>46006</v>
      </c>
      <c r="B3085" s="37" t="str">
        <f t="array" ref="B3085">iferror(xlookup($I3085, 'IMPORT VHC Report'!$E:$E, 'IMPORT VHC Report'!$A:$C), )</f>
        <v/>
      </c>
      <c r="C3085" s="37"/>
      <c r="D3085" s="37"/>
      <c r="E3085" s="38" t="s">
        <v>3740</v>
      </c>
      <c r="F3085" s="38" t="s">
        <v>3741</v>
      </c>
      <c r="G3085" s="38">
        <v>3.61726424776E11</v>
      </c>
      <c r="H3085" s="38" t="s">
        <v>3742</v>
      </c>
      <c r="I3085" s="38" t="s">
        <v>3743</v>
      </c>
      <c r="J3085" s="38" t="s">
        <v>178</v>
      </c>
      <c r="K3085" s="38" t="s">
        <v>153</v>
      </c>
      <c r="L3085" s="41">
        <v>46006.458333333336</v>
      </c>
      <c r="M3085" s="38" t="s">
        <v>123</v>
      </c>
      <c r="N3085" s="41">
        <v>46006.833333333336</v>
      </c>
      <c r="O3085" s="38" t="s">
        <v>123</v>
      </c>
      <c r="P3085" s="38">
        <v>32400.0</v>
      </c>
      <c r="Q3085" s="38">
        <v>32400.0</v>
      </c>
      <c r="R3085" s="39"/>
      <c r="S3085" s="39"/>
      <c r="T3085" s="39"/>
      <c r="U3085" s="39"/>
    </row>
    <row r="3086">
      <c r="A3086" s="40">
        <f t="shared" si="1"/>
        <v>46006</v>
      </c>
      <c r="B3086" s="37" t="str">
        <f t="array" ref="B3086">iferror(xlookup($I3086, 'IMPORT VHC Report'!$E:$E, 'IMPORT VHC Report'!$A:$C), )</f>
        <v/>
      </c>
      <c r="C3086" s="37"/>
      <c r="D3086" s="37"/>
      <c r="E3086" s="38" t="s">
        <v>3744</v>
      </c>
      <c r="F3086" s="38" t="s">
        <v>3741</v>
      </c>
      <c r="G3086" s="38">
        <v>3.61726424776E11</v>
      </c>
      <c r="H3086" s="38" t="s">
        <v>3742</v>
      </c>
      <c r="I3086" s="38" t="s">
        <v>3743</v>
      </c>
      <c r="J3086" s="38" t="s">
        <v>3745</v>
      </c>
      <c r="K3086" s="38" t="s">
        <v>63</v>
      </c>
      <c r="L3086" s="41">
        <v>46006.458333333336</v>
      </c>
      <c r="M3086" s="38" t="s">
        <v>123</v>
      </c>
      <c r="N3086" s="41">
        <v>46006.833333333336</v>
      </c>
      <c r="O3086" s="38" t="s">
        <v>123</v>
      </c>
      <c r="P3086" s="38">
        <v>32400.0</v>
      </c>
      <c r="Q3086" s="39"/>
      <c r="R3086" s="39"/>
      <c r="S3086" s="39"/>
      <c r="T3086" s="39"/>
      <c r="U3086" s="39"/>
    </row>
    <row r="3087">
      <c r="A3087" s="40">
        <f t="shared" si="1"/>
        <v>46006</v>
      </c>
      <c r="B3087" s="37" t="str">
        <f t="array" ref="B3087">iferror(xlookup($I3087, 'IMPORT VHC Report'!$E:$E, 'IMPORT VHC Report'!$A:$C), )</f>
        <v/>
      </c>
      <c r="C3087" s="37"/>
      <c r="D3087" s="37"/>
      <c r="E3087" s="38" t="s">
        <v>3746</v>
      </c>
      <c r="F3087" s="38" t="s">
        <v>3741</v>
      </c>
      <c r="G3087" s="38">
        <v>3.61726424776E11</v>
      </c>
      <c r="H3087" s="38" t="s">
        <v>3742</v>
      </c>
      <c r="I3087" s="38" t="s">
        <v>3743</v>
      </c>
      <c r="J3087" s="38" t="s">
        <v>134</v>
      </c>
      <c r="K3087" s="38" t="s">
        <v>126</v>
      </c>
      <c r="L3087" s="41">
        <v>46006.59375</v>
      </c>
      <c r="M3087" s="38" t="s">
        <v>123</v>
      </c>
      <c r="N3087" s="41">
        <v>46006.604166666664</v>
      </c>
      <c r="O3087" s="38" t="s">
        <v>123</v>
      </c>
      <c r="P3087" s="38">
        <v>900.0</v>
      </c>
      <c r="Q3087" s="39"/>
      <c r="R3087" s="39"/>
      <c r="S3087" s="39"/>
      <c r="T3087" s="39"/>
      <c r="U3087" s="39"/>
    </row>
    <row r="3088">
      <c r="A3088" s="40">
        <f t="shared" si="1"/>
        <v>46006</v>
      </c>
      <c r="B3088" s="37" t="str">
        <f t="array" ref="B3088">iferror(xlookup($I3088, 'IMPORT VHC Report'!$E:$E, 'IMPORT VHC Report'!$A:$C), )</f>
        <v/>
      </c>
      <c r="C3088" s="37"/>
      <c r="D3088" s="37"/>
      <c r="E3088" s="38" t="s">
        <v>3747</v>
      </c>
      <c r="F3088" s="38" t="s">
        <v>3741</v>
      </c>
      <c r="G3088" s="38">
        <v>3.61726424776E11</v>
      </c>
      <c r="H3088" s="38" t="s">
        <v>3742</v>
      </c>
      <c r="I3088" s="38" t="s">
        <v>3743</v>
      </c>
      <c r="J3088" s="38" t="s">
        <v>134</v>
      </c>
      <c r="K3088" s="38" t="s">
        <v>126</v>
      </c>
      <c r="L3088" s="41">
        <v>46006.708333333336</v>
      </c>
      <c r="M3088" s="38" t="s">
        <v>123</v>
      </c>
      <c r="N3088" s="41">
        <v>46006.71875</v>
      </c>
      <c r="O3088" s="38" t="s">
        <v>123</v>
      </c>
      <c r="P3088" s="38">
        <v>900.0</v>
      </c>
      <c r="Q3088" s="39"/>
      <c r="R3088" s="39"/>
      <c r="S3088" s="39"/>
      <c r="T3088" s="39"/>
      <c r="U3088" s="39"/>
    </row>
    <row r="3089">
      <c r="A3089" s="40">
        <f t="shared" si="1"/>
        <v>46006</v>
      </c>
      <c r="B3089" s="37" t="str">
        <f t="array" ref="B3089">iferror(xlookup($I3089, 'IMPORT VHC Report'!$E:$E, 'IMPORT VHC Report'!$A:$C), )</f>
        <v/>
      </c>
      <c r="C3089" s="37"/>
      <c r="D3089" s="37"/>
      <c r="E3089" s="38" t="s">
        <v>3748</v>
      </c>
      <c r="F3089" s="38" t="s">
        <v>3741</v>
      </c>
      <c r="G3089" s="38">
        <v>3.61726424776E11</v>
      </c>
      <c r="H3089" s="38" t="s">
        <v>3742</v>
      </c>
      <c r="I3089" s="38" t="s">
        <v>3743</v>
      </c>
      <c r="J3089" s="38" t="s">
        <v>132</v>
      </c>
      <c r="K3089" s="38" t="s">
        <v>126</v>
      </c>
      <c r="L3089" s="41">
        <v>46006.770833333336</v>
      </c>
      <c r="M3089" s="38" t="s">
        <v>123</v>
      </c>
      <c r="N3089" s="41">
        <v>46006.8125</v>
      </c>
      <c r="O3089" s="38" t="s">
        <v>123</v>
      </c>
      <c r="P3089" s="38">
        <v>3600.0</v>
      </c>
      <c r="Q3089" s="39"/>
      <c r="R3089" s="39"/>
      <c r="S3089" s="39"/>
      <c r="T3089" s="39"/>
      <c r="U3089" s="39"/>
    </row>
    <row r="3090">
      <c r="A3090" s="40">
        <f t="shared" si="1"/>
        <v>46006</v>
      </c>
      <c r="B3090" s="37" t="str">
        <f t="array" ref="B3090">iferror(xlookup($I3090, 'IMPORT VHC Report'!$E:$E, 'IMPORT VHC Report'!$A:$C), )</f>
        <v/>
      </c>
      <c r="C3090" s="37"/>
      <c r="D3090" s="37"/>
      <c r="E3090" s="38" t="s">
        <v>3749</v>
      </c>
      <c r="F3090" s="38" t="s">
        <v>3741</v>
      </c>
      <c r="G3090" s="38">
        <v>3.61726424776E11</v>
      </c>
      <c r="H3090" s="38" t="s">
        <v>3742</v>
      </c>
      <c r="I3090" s="38" t="s">
        <v>3743</v>
      </c>
      <c r="J3090" s="38" t="s">
        <v>178</v>
      </c>
      <c r="K3090" s="38" t="s">
        <v>153</v>
      </c>
      <c r="L3090" s="41">
        <v>46007.458333333336</v>
      </c>
      <c r="M3090" s="38" t="s">
        <v>123</v>
      </c>
      <c r="N3090" s="41">
        <v>46007.833333333336</v>
      </c>
      <c r="O3090" s="38" t="s">
        <v>123</v>
      </c>
      <c r="P3090" s="38">
        <v>32400.0</v>
      </c>
      <c r="Q3090" s="38">
        <v>32400.0</v>
      </c>
      <c r="R3090" s="39"/>
      <c r="S3090" s="39"/>
      <c r="T3090" s="39"/>
      <c r="U3090" s="39"/>
    </row>
    <row r="3091">
      <c r="A3091" s="40">
        <f t="shared" si="1"/>
        <v>46006</v>
      </c>
      <c r="B3091" s="37" t="str">
        <f t="array" ref="B3091">iferror(xlookup($I3091, 'IMPORT VHC Report'!$E:$E, 'IMPORT VHC Report'!$A:$C), )</f>
        <v/>
      </c>
      <c r="C3091" s="37"/>
      <c r="D3091" s="37"/>
      <c r="E3091" s="38" t="s">
        <v>3750</v>
      </c>
      <c r="F3091" s="38" t="s">
        <v>3741</v>
      </c>
      <c r="G3091" s="38">
        <v>3.61726424776E11</v>
      </c>
      <c r="H3091" s="38" t="s">
        <v>3742</v>
      </c>
      <c r="I3091" s="38" t="s">
        <v>3743</v>
      </c>
      <c r="J3091" s="38" t="s">
        <v>3745</v>
      </c>
      <c r="K3091" s="38" t="s">
        <v>63</v>
      </c>
      <c r="L3091" s="41">
        <v>46007.458333333336</v>
      </c>
      <c r="M3091" s="38" t="s">
        <v>123</v>
      </c>
      <c r="N3091" s="41">
        <v>46007.833333333336</v>
      </c>
      <c r="O3091" s="38" t="s">
        <v>123</v>
      </c>
      <c r="P3091" s="38">
        <v>32400.0</v>
      </c>
      <c r="Q3091" s="39"/>
      <c r="R3091" s="39"/>
      <c r="S3091" s="39"/>
      <c r="T3091" s="39"/>
      <c r="U3091" s="39"/>
    </row>
    <row r="3092">
      <c r="A3092" s="40">
        <f t="shared" si="1"/>
        <v>46006</v>
      </c>
      <c r="B3092" s="37" t="str">
        <f t="array" ref="B3092">iferror(xlookup($I3092, 'IMPORT VHC Report'!$E:$E, 'IMPORT VHC Report'!$A:$C), )</f>
        <v/>
      </c>
      <c r="C3092" s="37"/>
      <c r="D3092" s="37"/>
      <c r="E3092" s="38" t="s">
        <v>3751</v>
      </c>
      <c r="F3092" s="38" t="s">
        <v>3741</v>
      </c>
      <c r="G3092" s="38">
        <v>3.61726424776E11</v>
      </c>
      <c r="H3092" s="38" t="s">
        <v>3742</v>
      </c>
      <c r="I3092" s="38" t="s">
        <v>3743</v>
      </c>
      <c r="J3092" s="38" t="s">
        <v>134</v>
      </c>
      <c r="K3092" s="38" t="s">
        <v>126</v>
      </c>
      <c r="L3092" s="41">
        <v>46007.520833333336</v>
      </c>
      <c r="M3092" s="38" t="s">
        <v>123</v>
      </c>
      <c r="N3092" s="41">
        <v>46007.53125</v>
      </c>
      <c r="O3092" s="38" t="s">
        <v>123</v>
      </c>
      <c r="P3092" s="38">
        <v>900.0</v>
      </c>
      <c r="Q3092" s="39"/>
      <c r="R3092" s="39"/>
      <c r="S3092" s="39"/>
      <c r="T3092" s="39"/>
      <c r="U3092" s="39"/>
    </row>
    <row r="3093">
      <c r="A3093" s="40">
        <f t="shared" si="1"/>
        <v>46006</v>
      </c>
      <c r="B3093" s="37" t="str">
        <f t="array" ref="B3093">iferror(xlookup($I3093, 'IMPORT VHC Report'!$E:$E, 'IMPORT VHC Report'!$A:$C), )</f>
        <v/>
      </c>
      <c r="C3093" s="37"/>
      <c r="D3093" s="37"/>
      <c r="E3093" s="38" t="s">
        <v>3752</v>
      </c>
      <c r="F3093" s="38" t="s">
        <v>3741</v>
      </c>
      <c r="G3093" s="38">
        <v>3.61726424776E11</v>
      </c>
      <c r="H3093" s="38" t="s">
        <v>3742</v>
      </c>
      <c r="I3093" s="38" t="s">
        <v>3743</v>
      </c>
      <c r="J3093" s="38" t="s">
        <v>134</v>
      </c>
      <c r="K3093" s="38" t="s">
        <v>126</v>
      </c>
      <c r="L3093" s="41">
        <v>46007.583333333336</v>
      </c>
      <c r="M3093" s="38" t="s">
        <v>123</v>
      </c>
      <c r="N3093" s="41">
        <v>46007.59375</v>
      </c>
      <c r="O3093" s="38" t="s">
        <v>123</v>
      </c>
      <c r="P3093" s="38">
        <v>900.0</v>
      </c>
      <c r="Q3093" s="39"/>
      <c r="R3093" s="39"/>
      <c r="S3093" s="39"/>
      <c r="T3093" s="39"/>
      <c r="U3093" s="39"/>
    </row>
    <row r="3094">
      <c r="A3094" s="40">
        <f t="shared" si="1"/>
        <v>46006</v>
      </c>
      <c r="B3094" s="37" t="str">
        <f t="array" ref="B3094">iferror(xlookup($I3094, 'IMPORT VHC Report'!$E:$E, 'IMPORT VHC Report'!$A:$C), )</f>
        <v/>
      </c>
      <c r="C3094" s="37"/>
      <c r="D3094" s="37"/>
      <c r="E3094" s="38" t="s">
        <v>3753</v>
      </c>
      <c r="F3094" s="38" t="s">
        <v>3741</v>
      </c>
      <c r="G3094" s="38">
        <v>3.61726424776E11</v>
      </c>
      <c r="H3094" s="38" t="s">
        <v>3742</v>
      </c>
      <c r="I3094" s="38" t="s">
        <v>3743</v>
      </c>
      <c r="J3094" s="38" t="s">
        <v>132</v>
      </c>
      <c r="K3094" s="38" t="s">
        <v>126</v>
      </c>
      <c r="L3094" s="41">
        <v>46007.645833333336</v>
      </c>
      <c r="M3094" s="38" t="s">
        <v>123</v>
      </c>
      <c r="N3094" s="41">
        <v>46007.6875</v>
      </c>
      <c r="O3094" s="38" t="s">
        <v>123</v>
      </c>
      <c r="P3094" s="38">
        <v>3600.0</v>
      </c>
      <c r="Q3094" s="39"/>
      <c r="R3094" s="39"/>
      <c r="S3094" s="39"/>
      <c r="T3094" s="39"/>
      <c r="U3094" s="39"/>
    </row>
    <row r="3095">
      <c r="A3095" s="40">
        <f t="shared" si="1"/>
        <v>46006</v>
      </c>
      <c r="B3095" s="37" t="str">
        <f t="array" ref="B3095">iferror(xlookup($I3095, 'IMPORT VHC Report'!$E:$E, 'IMPORT VHC Report'!$A:$C), )</f>
        <v/>
      </c>
      <c r="C3095" s="37"/>
      <c r="D3095" s="37"/>
      <c r="E3095" s="38" t="s">
        <v>3754</v>
      </c>
      <c r="F3095" s="38" t="s">
        <v>3741</v>
      </c>
      <c r="G3095" s="38">
        <v>3.61726424776E11</v>
      </c>
      <c r="H3095" s="38" t="s">
        <v>3742</v>
      </c>
      <c r="I3095" s="38" t="s">
        <v>3743</v>
      </c>
      <c r="J3095" s="38" t="s">
        <v>3745</v>
      </c>
      <c r="K3095" s="38" t="s">
        <v>63</v>
      </c>
      <c r="L3095" s="41">
        <v>46008.458333333336</v>
      </c>
      <c r="M3095" s="38" t="s">
        <v>123</v>
      </c>
      <c r="N3095" s="41">
        <v>46008.833333333336</v>
      </c>
      <c r="O3095" s="38" t="s">
        <v>123</v>
      </c>
      <c r="P3095" s="38">
        <v>32400.0</v>
      </c>
      <c r="Q3095" s="39"/>
      <c r="R3095" s="39"/>
      <c r="S3095" s="39"/>
      <c r="T3095" s="39"/>
      <c r="U3095" s="39"/>
    </row>
    <row r="3096">
      <c r="A3096" s="40">
        <f t="shared" si="1"/>
        <v>46006</v>
      </c>
      <c r="B3096" s="37" t="str">
        <f t="array" ref="B3096">iferror(xlookup($I3096, 'IMPORT VHC Report'!$E:$E, 'IMPORT VHC Report'!$A:$C), )</f>
        <v/>
      </c>
      <c r="C3096" s="37"/>
      <c r="D3096" s="37"/>
      <c r="E3096" s="38" t="s">
        <v>3755</v>
      </c>
      <c r="F3096" s="38" t="s">
        <v>3741</v>
      </c>
      <c r="G3096" s="38">
        <v>3.61726424776E11</v>
      </c>
      <c r="H3096" s="38" t="s">
        <v>3742</v>
      </c>
      <c r="I3096" s="38" t="s">
        <v>3743</v>
      </c>
      <c r="J3096" s="38" t="s">
        <v>134</v>
      </c>
      <c r="K3096" s="38" t="s">
        <v>126</v>
      </c>
      <c r="L3096" s="41">
        <v>46008.541666666664</v>
      </c>
      <c r="M3096" s="38" t="s">
        <v>123</v>
      </c>
      <c r="N3096" s="41">
        <v>46008.552083333336</v>
      </c>
      <c r="O3096" s="38" t="s">
        <v>123</v>
      </c>
      <c r="P3096" s="38">
        <v>900.0</v>
      </c>
      <c r="Q3096" s="39"/>
      <c r="R3096" s="39"/>
      <c r="S3096" s="39"/>
      <c r="T3096" s="39"/>
      <c r="U3096" s="39"/>
    </row>
    <row r="3097">
      <c r="A3097" s="40">
        <f t="shared" si="1"/>
        <v>46006</v>
      </c>
      <c r="B3097" s="37" t="str">
        <f t="array" ref="B3097">iferror(xlookup($I3097, 'IMPORT VHC Report'!$E:$E, 'IMPORT VHC Report'!$A:$C), )</f>
        <v/>
      </c>
      <c r="C3097" s="37"/>
      <c r="D3097" s="37"/>
      <c r="E3097" s="38" t="s">
        <v>3756</v>
      </c>
      <c r="F3097" s="38" t="s">
        <v>3741</v>
      </c>
      <c r="G3097" s="38">
        <v>3.61726424776E11</v>
      </c>
      <c r="H3097" s="38" t="s">
        <v>3742</v>
      </c>
      <c r="I3097" s="38" t="s">
        <v>3743</v>
      </c>
      <c r="J3097" s="38" t="s">
        <v>134</v>
      </c>
      <c r="K3097" s="38" t="s">
        <v>126</v>
      </c>
      <c r="L3097" s="41">
        <v>46008.666666666664</v>
      </c>
      <c r="M3097" s="38" t="s">
        <v>123</v>
      </c>
      <c r="N3097" s="41">
        <v>46008.677083333336</v>
      </c>
      <c r="O3097" s="38" t="s">
        <v>123</v>
      </c>
      <c r="P3097" s="38">
        <v>900.0</v>
      </c>
      <c r="Q3097" s="39"/>
      <c r="R3097" s="39"/>
      <c r="S3097" s="39"/>
      <c r="T3097" s="39"/>
      <c r="U3097" s="39"/>
    </row>
    <row r="3098">
      <c r="A3098" s="40">
        <f t="shared" si="1"/>
        <v>46006</v>
      </c>
      <c r="B3098" s="37" t="str">
        <f t="array" ref="B3098">iferror(xlookup($I3098, 'IMPORT VHC Report'!$E:$E, 'IMPORT VHC Report'!$A:$C), )</f>
        <v/>
      </c>
      <c r="C3098" s="37"/>
      <c r="D3098" s="37"/>
      <c r="E3098" s="38" t="s">
        <v>3757</v>
      </c>
      <c r="F3098" s="38" t="s">
        <v>3741</v>
      </c>
      <c r="G3098" s="38">
        <v>3.61726424776E11</v>
      </c>
      <c r="H3098" s="38" t="s">
        <v>3742</v>
      </c>
      <c r="I3098" s="38" t="s">
        <v>3743</v>
      </c>
      <c r="J3098" s="38" t="s">
        <v>132</v>
      </c>
      <c r="K3098" s="38" t="s">
        <v>126</v>
      </c>
      <c r="L3098" s="41">
        <v>46008.739583333336</v>
      </c>
      <c r="M3098" s="38" t="s">
        <v>123</v>
      </c>
      <c r="N3098" s="41">
        <v>46008.78125</v>
      </c>
      <c r="O3098" s="38" t="s">
        <v>123</v>
      </c>
      <c r="P3098" s="38">
        <v>3600.0</v>
      </c>
      <c r="Q3098" s="39"/>
      <c r="R3098" s="39"/>
      <c r="S3098" s="39"/>
      <c r="T3098" s="39"/>
      <c r="U3098" s="39"/>
    </row>
    <row r="3099">
      <c r="A3099" s="40">
        <f t="shared" si="1"/>
        <v>46006</v>
      </c>
      <c r="B3099" s="37" t="str">
        <f t="array" ref="B3099">iferror(xlookup($I3099, 'IMPORT VHC Report'!$E:$E, 'IMPORT VHC Report'!$A:$C), )</f>
        <v/>
      </c>
      <c r="C3099" s="37"/>
      <c r="D3099" s="37"/>
      <c r="E3099" s="38" t="s">
        <v>3758</v>
      </c>
      <c r="F3099" s="38" t="s">
        <v>3741</v>
      </c>
      <c r="G3099" s="38">
        <v>3.61726424776E11</v>
      </c>
      <c r="H3099" s="38" t="s">
        <v>3742</v>
      </c>
      <c r="I3099" s="38" t="s">
        <v>3743</v>
      </c>
      <c r="J3099" s="38" t="s">
        <v>3745</v>
      </c>
      <c r="K3099" s="38" t="s">
        <v>63</v>
      </c>
      <c r="L3099" s="41">
        <v>46009.458333333336</v>
      </c>
      <c r="M3099" s="38" t="s">
        <v>123</v>
      </c>
      <c r="N3099" s="41">
        <v>46009.479166666664</v>
      </c>
      <c r="O3099" s="38" t="s">
        <v>123</v>
      </c>
      <c r="P3099" s="38">
        <v>1800.0</v>
      </c>
      <c r="Q3099" s="39"/>
      <c r="R3099" s="39"/>
      <c r="S3099" s="39"/>
      <c r="T3099" s="39"/>
      <c r="U3099" s="39"/>
    </row>
    <row r="3100">
      <c r="A3100" s="40">
        <f t="shared" si="1"/>
        <v>46006</v>
      </c>
      <c r="B3100" s="37" t="str">
        <f t="array" ref="B3100">iferror(xlookup($I3100, 'IMPORT VHC Report'!$E:$E, 'IMPORT VHC Report'!$A:$C), )</f>
        <v/>
      </c>
      <c r="C3100" s="37"/>
      <c r="D3100" s="37"/>
      <c r="E3100" s="38" t="s">
        <v>3759</v>
      </c>
      <c r="F3100" s="38" t="s">
        <v>3741</v>
      </c>
      <c r="G3100" s="38">
        <v>3.61726424776E11</v>
      </c>
      <c r="H3100" s="38" t="s">
        <v>3742</v>
      </c>
      <c r="I3100" s="38" t="s">
        <v>3743</v>
      </c>
      <c r="J3100" s="38" t="s">
        <v>62</v>
      </c>
      <c r="K3100" s="38" t="s">
        <v>63</v>
      </c>
      <c r="L3100" s="41">
        <v>46009.479166666664</v>
      </c>
      <c r="M3100" s="38" t="s">
        <v>123</v>
      </c>
      <c r="N3100" s="41">
        <v>46009.5</v>
      </c>
      <c r="O3100" s="38" t="s">
        <v>123</v>
      </c>
      <c r="P3100" s="38">
        <v>1800.0</v>
      </c>
      <c r="Q3100" s="39"/>
      <c r="R3100" s="39"/>
      <c r="S3100" s="39"/>
      <c r="T3100" s="39"/>
      <c r="U3100" s="39"/>
    </row>
    <row r="3101">
      <c r="A3101" s="40">
        <f t="shared" si="1"/>
        <v>46006</v>
      </c>
      <c r="B3101" s="37" t="str">
        <f t="array" ref="B3101">iferror(xlookup($I3101, 'IMPORT VHC Report'!$E:$E, 'IMPORT VHC Report'!$A:$C), )</f>
        <v/>
      </c>
      <c r="C3101" s="37"/>
      <c r="D3101" s="37"/>
      <c r="E3101" s="38" t="s">
        <v>3760</v>
      </c>
      <c r="F3101" s="38" t="s">
        <v>3741</v>
      </c>
      <c r="G3101" s="38">
        <v>3.61726424776E11</v>
      </c>
      <c r="H3101" s="38" t="s">
        <v>3742</v>
      </c>
      <c r="I3101" s="38" t="s">
        <v>3743</v>
      </c>
      <c r="J3101" s="38" t="s">
        <v>4</v>
      </c>
      <c r="K3101" s="38" t="s">
        <v>126</v>
      </c>
      <c r="L3101" s="41">
        <v>46009.479166666664</v>
      </c>
      <c r="M3101" s="38" t="s">
        <v>123</v>
      </c>
      <c r="N3101" s="41">
        <v>46009.520833333336</v>
      </c>
      <c r="O3101" s="38" t="s">
        <v>123</v>
      </c>
      <c r="P3101" s="38">
        <v>3600.0</v>
      </c>
      <c r="Q3101" s="39"/>
      <c r="R3101" s="39"/>
      <c r="S3101" s="38" t="s">
        <v>170</v>
      </c>
      <c r="T3101" s="39"/>
      <c r="U3101" s="39"/>
    </row>
    <row r="3102">
      <c r="A3102" s="40">
        <f t="shared" si="1"/>
        <v>46006</v>
      </c>
      <c r="B3102" s="37" t="str">
        <f t="array" ref="B3102">iferror(xlookup($I3102, 'IMPORT VHC Report'!$E:$E, 'IMPORT VHC Report'!$A:$C), )</f>
        <v/>
      </c>
      <c r="C3102" s="37"/>
      <c r="D3102" s="37"/>
      <c r="E3102" s="38" t="s">
        <v>3761</v>
      </c>
      <c r="F3102" s="38" t="s">
        <v>3741</v>
      </c>
      <c r="G3102" s="38">
        <v>3.61726424776E11</v>
      </c>
      <c r="H3102" s="38" t="s">
        <v>3742</v>
      </c>
      <c r="I3102" s="38" t="s">
        <v>3743</v>
      </c>
      <c r="J3102" s="38" t="s">
        <v>3745</v>
      </c>
      <c r="K3102" s="38" t="s">
        <v>63</v>
      </c>
      <c r="L3102" s="41">
        <v>46009.5</v>
      </c>
      <c r="M3102" s="38" t="s">
        <v>123</v>
      </c>
      <c r="N3102" s="41">
        <v>46009.833333333336</v>
      </c>
      <c r="O3102" s="38" t="s">
        <v>123</v>
      </c>
      <c r="P3102" s="38">
        <v>28800.0</v>
      </c>
      <c r="Q3102" s="39"/>
      <c r="R3102" s="39"/>
      <c r="S3102" s="39"/>
      <c r="T3102" s="39"/>
      <c r="U3102" s="39"/>
    </row>
    <row r="3103">
      <c r="A3103" s="40">
        <f t="shared" si="1"/>
        <v>46006</v>
      </c>
      <c r="B3103" s="37" t="str">
        <f t="array" ref="B3103">iferror(xlookup($I3103, 'IMPORT VHC Report'!$E:$E, 'IMPORT VHC Report'!$A:$C), )</f>
        <v/>
      </c>
      <c r="C3103" s="37"/>
      <c r="D3103" s="37"/>
      <c r="E3103" s="38" t="s">
        <v>3762</v>
      </c>
      <c r="F3103" s="38" t="s">
        <v>3741</v>
      </c>
      <c r="G3103" s="38">
        <v>3.61726424776E11</v>
      </c>
      <c r="H3103" s="38" t="s">
        <v>3742</v>
      </c>
      <c r="I3103" s="38" t="s">
        <v>3743</v>
      </c>
      <c r="J3103" s="38" t="s">
        <v>134</v>
      </c>
      <c r="K3103" s="38" t="s">
        <v>126</v>
      </c>
      <c r="L3103" s="41">
        <v>46009.59375</v>
      </c>
      <c r="M3103" s="38" t="s">
        <v>123</v>
      </c>
      <c r="N3103" s="41">
        <v>46009.604166666664</v>
      </c>
      <c r="O3103" s="38" t="s">
        <v>123</v>
      </c>
      <c r="P3103" s="38">
        <v>900.0</v>
      </c>
      <c r="Q3103" s="39"/>
      <c r="R3103" s="39"/>
      <c r="S3103" s="39"/>
      <c r="T3103" s="39"/>
      <c r="U3103" s="39"/>
    </row>
    <row r="3104">
      <c r="A3104" s="40">
        <f t="shared" si="1"/>
        <v>46006</v>
      </c>
      <c r="B3104" s="37" t="str">
        <f t="array" ref="B3104">iferror(xlookup($I3104, 'IMPORT VHC Report'!$E:$E, 'IMPORT VHC Report'!$A:$C), )</f>
        <v/>
      </c>
      <c r="C3104" s="37"/>
      <c r="D3104" s="37"/>
      <c r="E3104" s="38" t="s">
        <v>3763</v>
      </c>
      <c r="F3104" s="38" t="s">
        <v>3741</v>
      </c>
      <c r="G3104" s="38">
        <v>3.61726424776E11</v>
      </c>
      <c r="H3104" s="38" t="s">
        <v>3742</v>
      </c>
      <c r="I3104" s="38" t="s">
        <v>3743</v>
      </c>
      <c r="J3104" s="38" t="s">
        <v>134</v>
      </c>
      <c r="K3104" s="38" t="s">
        <v>126</v>
      </c>
      <c r="L3104" s="41">
        <v>46009.708333333336</v>
      </c>
      <c r="M3104" s="38" t="s">
        <v>123</v>
      </c>
      <c r="N3104" s="41">
        <v>46009.71875</v>
      </c>
      <c r="O3104" s="38" t="s">
        <v>123</v>
      </c>
      <c r="P3104" s="38">
        <v>900.0</v>
      </c>
      <c r="Q3104" s="39"/>
      <c r="R3104" s="39"/>
      <c r="S3104" s="39"/>
      <c r="T3104" s="39"/>
      <c r="U3104" s="39"/>
    </row>
    <row r="3105">
      <c r="A3105" s="40">
        <f t="shared" si="1"/>
        <v>46006</v>
      </c>
      <c r="B3105" s="37" t="str">
        <f t="array" ref="B3105">iferror(xlookup($I3105, 'IMPORT VHC Report'!$E:$E, 'IMPORT VHC Report'!$A:$C), )</f>
        <v/>
      </c>
      <c r="C3105" s="37"/>
      <c r="D3105" s="37"/>
      <c r="E3105" s="38" t="s">
        <v>3764</v>
      </c>
      <c r="F3105" s="38" t="s">
        <v>3741</v>
      </c>
      <c r="G3105" s="38">
        <v>3.61726424776E11</v>
      </c>
      <c r="H3105" s="38" t="s">
        <v>3742</v>
      </c>
      <c r="I3105" s="38" t="s">
        <v>3743</v>
      </c>
      <c r="J3105" s="38" t="s">
        <v>132</v>
      </c>
      <c r="K3105" s="38" t="s">
        <v>126</v>
      </c>
      <c r="L3105" s="41">
        <v>46009.791666666664</v>
      </c>
      <c r="M3105" s="38" t="s">
        <v>123</v>
      </c>
      <c r="N3105" s="41">
        <v>46009.833333333336</v>
      </c>
      <c r="O3105" s="38" t="s">
        <v>123</v>
      </c>
      <c r="P3105" s="38">
        <v>3600.0</v>
      </c>
      <c r="Q3105" s="39"/>
      <c r="R3105" s="39"/>
      <c r="S3105" s="39"/>
      <c r="T3105" s="39"/>
      <c r="U3105" s="39"/>
    </row>
    <row r="3106">
      <c r="A3106" s="40">
        <f t="shared" si="1"/>
        <v>46006</v>
      </c>
      <c r="B3106" s="37" t="str">
        <f t="array" ref="B3106">iferror(xlookup($I3106, 'IMPORT VHC Report'!$E:$E, 'IMPORT VHC Report'!$A:$C), )</f>
        <v/>
      </c>
      <c r="C3106" s="37"/>
      <c r="D3106" s="37"/>
      <c r="E3106" s="38" t="s">
        <v>3765</v>
      </c>
      <c r="F3106" s="38" t="s">
        <v>3741</v>
      </c>
      <c r="G3106" s="38">
        <v>3.61726424776E11</v>
      </c>
      <c r="H3106" s="38" t="s">
        <v>3742</v>
      </c>
      <c r="I3106" s="38" t="s">
        <v>3743</v>
      </c>
      <c r="J3106" s="38" t="s">
        <v>3745</v>
      </c>
      <c r="K3106" s="38" t="s">
        <v>63</v>
      </c>
      <c r="L3106" s="41">
        <v>46010.458333333336</v>
      </c>
      <c r="M3106" s="38" t="s">
        <v>123</v>
      </c>
      <c r="N3106" s="41">
        <v>46010.833333333336</v>
      </c>
      <c r="O3106" s="38" t="s">
        <v>123</v>
      </c>
      <c r="P3106" s="38">
        <v>32400.0</v>
      </c>
      <c r="Q3106" s="39"/>
      <c r="R3106" s="39"/>
      <c r="S3106" s="39"/>
      <c r="T3106" s="39"/>
      <c r="U3106" s="39"/>
    </row>
    <row r="3107">
      <c r="A3107" s="40">
        <f t="shared" si="1"/>
        <v>46006</v>
      </c>
      <c r="B3107" s="37" t="str">
        <f t="array" ref="B3107">iferror(xlookup($I3107, 'IMPORT VHC Report'!$E:$E, 'IMPORT VHC Report'!$A:$C), )</f>
        <v/>
      </c>
      <c r="C3107" s="37"/>
      <c r="D3107" s="37"/>
      <c r="E3107" s="38" t="s">
        <v>3766</v>
      </c>
      <c r="F3107" s="38" t="s">
        <v>3741</v>
      </c>
      <c r="G3107" s="38">
        <v>3.61726424776E11</v>
      </c>
      <c r="H3107" s="38" t="s">
        <v>3742</v>
      </c>
      <c r="I3107" s="38" t="s">
        <v>3743</v>
      </c>
      <c r="J3107" s="38" t="s">
        <v>134</v>
      </c>
      <c r="K3107" s="38" t="s">
        <v>126</v>
      </c>
      <c r="L3107" s="41">
        <v>46010.520833333336</v>
      </c>
      <c r="M3107" s="38" t="s">
        <v>123</v>
      </c>
      <c r="N3107" s="41">
        <v>46010.53125</v>
      </c>
      <c r="O3107" s="38" t="s">
        <v>123</v>
      </c>
      <c r="P3107" s="38">
        <v>900.0</v>
      </c>
      <c r="Q3107" s="39"/>
      <c r="R3107" s="39"/>
      <c r="S3107" s="39"/>
      <c r="T3107" s="39"/>
      <c r="U3107" s="39"/>
    </row>
    <row r="3108">
      <c r="A3108" s="40">
        <f t="shared" si="1"/>
        <v>46006</v>
      </c>
      <c r="B3108" s="37" t="str">
        <f t="array" ref="B3108">iferror(xlookup($I3108, 'IMPORT VHC Report'!$E:$E, 'IMPORT VHC Report'!$A:$C), )</f>
        <v/>
      </c>
      <c r="C3108" s="37"/>
      <c r="D3108" s="37"/>
      <c r="E3108" s="38" t="s">
        <v>3767</v>
      </c>
      <c r="F3108" s="38" t="s">
        <v>3741</v>
      </c>
      <c r="G3108" s="38">
        <v>3.61726424776E11</v>
      </c>
      <c r="H3108" s="38" t="s">
        <v>3742</v>
      </c>
      <c r="I3108" s="38" t="s">
        <v>3743</v>
      </c>
      <c r="J3108" s="38" t="s">
        <v>134</v>
      </c>
      <c r="K3108" s="38" t="s">
        <v>126</v>
      </c>
      <c r="L3108" s="41">
        <v>46010.729166666664</v>
      </c>
      <c r="M3108" s="38" t="s">
        <v>123</v>
      </c>
      <c r="N3108" s="41">
        <v>46010.739583333336</v>
      </c>
      <c r="O3108" s="38" t="s">
        <v>123</v>
      </c>
      <c r="P3108" s="38">
        <v>900.0</v>
      </c>
      <c r="Q3108" s="39"/>
      <c r="R3108" s="39"/>
      <c r="S3108" s="39"/>
      <c r="T3108" s="39"/>
      <c r="U3108" s="39"/>
    </row>
    <row r="3109">
      <c r="A3109" s="40">
        <f t="shared" si="1"/>
        <v>46006</v>
      </c>
      <c r="B3109" s="37" t="str">
        <f t="array" ref="B3109">iferror(xlookup($I3109, 'IMPORT VHC Report'!$E:$E, 'IMPORT VHC Report'!$A:$C), )</f>
        <v/>
      </c>
      <c r="C3109" s="37"/>
      <c r="D3109" s="37"/>
      <c r="E3109" s="38" t="s">
        <v>3768</v>
      </c>
      <c r="F3109" s="38" t="s">
        <v>3741</v>
      </c>
      <c r="G3109" s="38">
        <v>3.61726424776E11</v>
      </c>
      <c r="H3109" s="38" t="s">
        <v>3742</v>
      </c>
      <c r="I3109" s="38" t="s">
        <v>3743</v>
      </c>
      <c r="J3109" s="38" t="s">
        <v>132</v>
      </c>
      <c r="K3109" s="38" t="s">
        <v>126</v>
      </c>
      <c r="L3109" s="41">
        <v>46010.791666666664</v>
      </c>
      <c r="M3109" s="38" t="s">
        <v>123</v>
      </c>
      <c r="N3109" s="41">
        <v>46010.833333333336</v>
      </c>
      <c r="O3109" s="38" t="s">
        <v>123</v>
      </c>
      <c r="P3109" s="38">
        <v>3600.0</v>
      </c>
      <c r="Q3109" s="39"/>
      <c r="R3109" s="39"/>
      <c r="S3109" s="39"/>
      <c r="T3109" s="39"/>
      <c r="U3109" s="39"/>
    </row>
    <row r="3110">
      <c r="A3110" s="40">
        <f t="shared" si="1"/>
        <v>46006</v>
      </c>
      <c r="B3110" s="37" t="str">
        <f t="array" ref="B3110">iferror(xlookup($I3110, 'IMPORT VHC Report'!$E:$E, 'IMPORT VHC Report'!$A:$C), )</f>
        <v/>
      </c>
      <c r="C3110" s="37"/>
      <c r="D3110" s="37"/>
      <c r="E3110" s="38" t="s">
        <v>3769</v>
      </c>
      <c r="F3110" s="38" t="s">
        <v>3770</v>
      </c>
      <c r="G3110" s="38">
        <v>1.0548580059023E13</v>
      </c>
      <c r="H3110" s="38" t="s">
        <v>3771</v>
      </c>
      <c r="I3110" s="38" t="s">
        <v>3772</v>
      </c>
      <c r="J3110" s="38" t="s">
        <v>3745</v>
      </c>
      <c r="K3110" s="38" t="s">
        <v>63</v>
      </c>
      <c r="L3110" s="41">
        <v>46006.458333333336</v>
      </c>
      <c r="M3110" s="38" t="s">
        <v>123</v>
      </c>
      <c r="N3110" s="41">
        <v>46006.833333333336</v>
      </c>
      <c r="O3110" s="38" t="s">
        <v>123</v>
      </c>
      <c r="P3110" s="38">
        <v>32400.0</v>
      </c>
      <c r="Q3110" s="39"/>
      <c r="R3110" s="39"/>
      <c r="S3110" s="39"/>
      <c r="T3110" s="39"/>
      <c r="U3110" s="39"/>
    </row>
    <row r="3111">
      <c r="A3111" s="40">
        <f t="shared" si="1"/>
        <v>46006</v>
      </c>
      <c r="B3111" s="37" t="str">
        <f t="array" ref="B3111">iferror(xlookup($I3111, 'IMPORT VHC Report'!$E:$E, 'IMPORT VHC Report'!$A:$C), )</f>
        <v/>
      </c>
      <c r="C3111" s="37"/>
      <c r="D3111" s="37"/>
      <c r="E3111" s="38" t="s">
        <v>3773</v>
      </c>
      <c r="F3111" s="38" t="s">
        <v>3770</v>
      </c>
      <c r="G3111" s="38">
        <v>1.0548580059023E13</v>
      </c>
      <c r="H3111" s="38" t="s">
        <v>3771</v>
      </c>
      <c r="I3111" s="38" t="s">
        <v>3772</v>
      </c>
      <c r="J3111" s="38" t="s">
        <v>134</v>
      </c>
      <c r="K3111" s="38" t="s">
        <v>126</v>
      </c>
      <c r="L3111" s="41">
        <v>46006.59375</v>
      </c>
      <c r="M3111" s="38" t="s">
        <v>123</v>
      </c>
      <c r="N3111" s="41">
        <v>46006.604166666664</v>
      </c>
      <c r="O3111" s="38" t="s">
        <v>123</v>
      </c>
      <c r="P3111" s="38">
        <v>900.0</v>
      </c>
      <c r="Q3111" s="39"/>
      <c r="R3111" s="39"/>
      <c r="S3111" s="39"/>
      <c r="T3111" s="39"/>
      <c r="U3111" s="39"/>
    </row>
    <row r="3112">
      <c r="A3112" s="40">
        <f t="shared" si="1"/>
        <v>46006</v>
      </c>
      <c r="B3112" s="37" t="str">
        <f t="array" ref="B3112">iferror(xlookup($I3112, 'IMPORT VHC Report'!$E:$E, 'IMPORT VHC Report'!$A:$C), )</f>
        <v/>
      </c>
      <c r="C3112" s="37"/>
      <c r="D3112" s="37"/>
      <c r="E3112" s="38" t="s">
        <v>3774</v>
      </c>
      <c r="F3112" s="38" t="s">
        <v>3770</v>
      </c>
      <c r="G3112" s="38">
        <v>1.0548580059023E13</v>
      </c>
      <c r="H3112" s="38" t="s">
        <v>3771</v>
      </c>
      <c r="I3112" s="38" t="s">
        <v>3772</v>
      </c>
      <c r="J3112" s="38" t="s">
        <v>134</v>
      </c>
      <c r="K3112" s="38" t="s">
        <v>126</v>
      </c>
      <c r="L3112" s="41">
        <v>46006.697916666664</v>
      </c>
      <c r="M3112" s="38" t="s">
        <v>123</v>
      </c>
      <c r="N3112" s="41">
        <v>46006.708333333336</v>
      </c>
      <c r="O3112" s="38" t="s">
        <v>123</v>
      </c>
      <c r="P3112" s="38">
        <v>900.0</v>
      </c>
      <c r="Q3112" s="39"/>
      <c r="R3112" s="39"/>
      <c r="S3112" s="39"/>
      <c r="T3112" s="39"/>
      <c r="U3112" s="39"/>
    </row>
    <row r="3113">
      <c r="A3113" s="40">
        <f t="shared" si="1"/>
        <v>46006</v>
      </c>
      <c r="B3113" s="37" t="str">
        <f t="array" ref="B3113">iferror(xlookup($I3113, 'IMPORT VHC Report'!$E:$E, 'IMPORT VHC Report'!$A:$C), )</f>
        <v/>
      </c>
      <c r="C3113" s="37"/>
      <c r="D3113" s="37"/>
      <c r="E3113" s="38" t="s">
        <v>3775</v>
      </c>
      <c r="F3113" s="38" t="s">
        <v>3770</v>
      </c>
      <c r="G3113" s="38">
        <v>1.0548580059023E13</v>
      </c>
      <c r="H3113" s="38" t="s">
        <v>3771</v>
      </c>
      <c r="I3113" s="38" t="s">
        <v>3772</v>
      </c>
      <c r="J3113" s="38" t="s">
        <v>132</v>
      </c>
      <c r="K3113" s="38" t="s">
        <v>126</v>
      </c>
      <c r="L3113" s="41">
        <v>46006.791666666664</v>
      </c>
      <c r="M3113" s="38" t="s">
        <v>123</v>
      </c>
      <c r="N3113" s="41">
        <v>46006.833333333336</v>
      </c>
      <c r="O3113" s="38" t="s">
        <v>123</v>
      </c>
      <c r="P3113" s="38">
        <v>3600.0</v>
      </c>
      <c r="Q3113" s="39"/>
      <c r="R3113" s="39"/>
      <c r="S3113" s="39"/>
      <c r="T3113" s="39"/>
      <c r="U3113" s="39"/>
    </row>
    <row r="3114">
      <c r="A3114" s="40">
        <f t="shared" si="1"/>
        <v>46006</v>
      </c>
      <c r="B3114" s="37" t="str">
        <f t="array" ref="B3114">iferror(xlookup($I3114, 'IMPORT VHC Report'!$E:$E, 'IMPORT VHC Report'!$A:$C), )</f>
        <v/>
      </c>
      <c r="C3114" s="37"/>
      <c r="D3114" s="37"/>
      <c r="E3114" s="38" t="s">
        <v>3776</v>
      </c>
      <c r="F3114" s="38" t="s">
        <v>3770</v>
      </c>
      <c r="G3114" s="38">
        <v>1.0548580059023E13</v>
      </c>
      <c r="H3114" s="38" t="s">
        <v>3771</v>
      </c>
      <c r="I3114" s="38" t="s">
        <v>3772</v>
      </c>
      <c r="J3114" s="38" t="s">
        <v>3745</v>
      </c>
      <c r="K3114" s="38" t="s">
        <v>63</v>
      </c>
      <c r="L3114" s="41">
        <v>46007.458333333336</v>
      </c>
      <c r="M3114" s="38" t="s">
        <v>123</v>
      </c>
      <c r="N3114" s="41">
        <v>46007.833333333336</v>
      </c>
      <c r="O3114" s="38" t="s">
        <v>123</v>
      </c>
      <c r="P3114" s="38">
        <v>32400.0</v>
      </c>
      <c r="Q3114" s="39"/>
      <c r="R3114" s="39"/>
      <c r="S3114" s="39"/>
      <c r="T3114" s="39"/>
      <c r="U3114" s="39"/>
    </row>
    <row r="3115">
      <c r="A3115" s="40">
        <f t="shared" si="1"/>
        <v>46006</v>
      </c>
      <c r="B3115" s="37" t="str">
        <f t="array" ref="B3115">iferror(xlookup($I3115, 'IMPORT VHC Report'!$E:$E, 'IMPORT VHC Report'!$A:$C), )</f>
        <v/>
      </c>
      <c r="C3115" s="37"/>
      <c r="D3115" s="37"/>
      <c r="E3115" s="38" t="s">
        <v>3777</v>
      </c>
      <c r="F3115" s="38" t="s">
        <v>3770</v>
      </c>
      <c r="G3115" s="38">
        <v>1.0548580059023E13</v>
      </c>
      <c r="H3115" s="38" t="s">
        <v>3771</v>
      </c>
      <c r="I3115" s="38" t="s">
        <v>3772</v>
      </c>
      <c r="J3115" s="38" t="s">
        <v>134</v>
      </c>
      <c r="K3115" s="38" t="s">
        <v>126</v>
      </c>
      <c r="L3115" s="41">
        <v>46007.541666666664</v>
      </c>
      <c r="M3115" s="38" t="s">
        <v>123</v>
      </c>
      <c r="N3115" s="41">
        <v>46007.552083333336</v>
      </c>
      <c r="O3115" s="38" t="s">
        <v>123</v>
      </c>
      <c r="P3115" s="38">
        <v>900.0</v>
      </c>
      <c r="Q3115" s="39"/>
      <c r="R3115" s="39"/>
      <c r="S3115" s="39"/>
      <c r="T3115" s="39"/>
      <c r="U3115" s="39"/>
    </row>
    <row r="3116">
      <c r="A3116" s="40">
        <f t="shared" si="1"/>
        <v>46006</v>
      </c>
      <c r="B3116" s="37" t="str">
        <f t="array" ref="B3116">iferror(xlookup($I3116, 'IMPORT VHC Report'!$E:$E, 'IMPORT VHC Report'!$A:$C), )</f>
        <v/>
      </c>
      <c r="C3116" s="37"/>
      <c r="D3116" s="37"/>
      <c r="E3116" s="38" t="s">
        <v>3778</v>
      </c>
      <c r="F3116" s="38" t="s">
        <v>3770</v>
      </c>
      <c r="G3116" s="38">
        <v>1.0548580059023E13</v>
      </c>
      <c r="H3116" s="38" t="s">
        <v>3771</v>
      </c>
      <c r="I3116" s="38" t="s">
        <v>3772</v>
      </c>
      <c r="J3116" s="38" t="s">
        <v>134</v>
      </c>
      <c r="K3116" s="38" t="s">
        <v>126</v>
      </c>
      <c r="L3116" s="41">
        <v>46007.604166666664</v>
      </c>
      <c r="M3116" s="38" t="s">
        <v>123</v>
      </c>
      <c r="N3116" s="41">
        <v>46007.614583333336</v>
      </c>
      <c r="O3116" s="38" t="s">
        <v>123</v>
      </c>
      <c r="P3116" s="38">
        <v>900.0</v>
      </c>
      <c r="Q3116" s="39"/>
      <c r="R3116" s="39"/>
      <c r="S3116" s="39"/>
      <c r="T3116" s="39"/>
      <c r="U3116" s="39"/>
    </row>
    <row r="3117">
      <c r="A3117" s="40">
        <f t="shared" si="1"/>
        <v>46006</v>
      </c>
      <c r="B3117" s="37" t="str">
        <f t="array" ref="B3117">iferror(xlookup($I3117, 'IMPORT VHC Report'!$E:$E, 'IMPORT VHC Report'!$A:$C), )</f>
        <v/>
      </c>
      <c r="C3117" s="37"/>
      <c r="D3117" s="37"/>
      <c r="E3117" s="38" t="s">
        <v>3779</v>
      </c>
      <c r="F3117" s="38" t="s">
        <v>3770</v>
      </c>
      <c r="G3117" s="38">
        <v>1.0548580059023E13</v>
      </c>
      <c r="H3117" s="38" t="s">
        <v>3771</v>
      </c>
      <c r="I3117" s="38" t="s">
        <v>3772</v>
      </c>
      <c r="J3117" s="38" t="s">
        <v>132</v>
      </c>
      <c r="K3117" s="38" t="s">
        <v>126</v>
      </c>
      <c r="L3117" s="41">
        <v>46007.78125</v>
      </c>
      <c r="M3117" s="38" t="s">
        <v>123</v>
      </c>
      <c r="N3117" s="41">
        <v>46007.822916666664</v>
      </c>
      <c r="O3117" s="38" t="s">
        <v>123</v>
      </c>
      <c r="P3117" s="38">
        <v>3600.0</v>
      </c>
      <c r="Q3117" s="39"/>
      <c r="R3117" s="39"/>
      <c r="S3117" s="39"/>
      <c r="T3117" s="39"/>
      <c r="U3117" s="39"/>
    </row>
    <row r="3118">
      <c r="A3118" s="40">
        <f t="shared" si="1"/>
        <v>46006</v>
      </c>
      <c r="B3118" s="37" t="str">
        <f t="array" ref="B3118">iferror(xlookup($I3118, 'IMPORT VHC Report'!$E:$E, 'IMPORT VHC Report'!$A:$C), )</f>
        <v/>
      </c>
      <c r="C3118" s="37"/>
      <c r="D3118" s="37"/>
      <c r="E3118" s="38" t="s">
        <v>3780</v>
      </c>
      <c r="F3118" s="38" t="s">
        <v>3770</v>
      </c>
      <c r="G3118" s="38">
        <v>1.0548580059023E13</v>
      </c>
      <c r="H3118" s="38" t="s">
        <v>3771</v>
      </c>
      <c r="I3118" s="38" t="s">
        <v>3772</v>
      </c>
      <c r="J3118" s="38" t="s">
        <v>3745</v>
      </c>
      <c r="K3118" s="38" t="s">
        <v>63</v>
      </c>
      <c r="L3118" s="41">
        <v>46008.458333333336</v>
      </c>
      <c r="M3118" s="38" t="s">
        <v>123</v>
      </c>
      <c r="N3118" s="41">
        <v>46008.479166666664</v>
      </c>
      <c r="O3118" s="38" t="s">
        <v>123</v>
      </c>
      <c r="P3118" s="38">
        <v>1800.0</v>
      </c>
      <c r="Q3118" s="39"/>
      <c r="R3118" s="39"/>
      <c r="S3118" s="39"/>
      <c r="T3118" s="39"/>
      <c r="U3118" s="39"/>
    </row>
    <row r="3119">
      <c r="A3119" s="40">
        <f t="shared" si="1"/>
        <v>46006</v>
      </c>
      <c r="B3119" s="37" t="str">
        <f t="array" ref="B3119">iferror(xlookup($I3119, 'IMPORT VHC Report'!$E:$E, 'IMPORT VHC Report'!$A:$C), )</f>
        <v/>
      </c>
      <c r="C3119" s="37"/>
      <c r="D3119" s="37"/>
      <c r="E3119" s="38" t="s">
        <v>3781</v>
      </c>
      <c r="F3119" s="38" t="s">
        <v>3770</v>
      </c>
      <c r="G3119" s="38">
        <v>1.0548580059023E13</v>
      </c>
      <c r="H3119" s="38" t="s">
        <v>3771</v>
      </c>
      <c r="I3119" s="38" t="s">
        <v>3772</v>
      </c>
      <c r="J3119" s="38" t="s">
        <v>62</v>
      </c>
      <c r="K3119" s="38" t="s">
        <v>63</v>
      </c>
      <c r="L3119" s="41">
        <v>46008.479166666664</v>
      </c>
      <c r="M3119" s="38" t="s">
        <v>123</v>
      </c>
      <c r="N3119" s="41">
        <v>46008.5</v>
      </c>
      <c r="O3119" s="38" t="s">
        <v>123</v>
      </c>
      <c r="P3119" s="38">
        <v>1800.0</v>
      </c>
      <c r="Q3119" s="39"/>
      <c r="R3119" s="39"/>
      <c r="S3119" s="39"/>
      <c r="T3119" s="39"/>
      <c r="U3119" s="39"/>
    </row>
    <row r="3120">
      <c r="A3120" s="40">
        <f t="shared" si="1"/>
        <v>46006</v>
      </c>
      <c r="B3120" s="37" t="str">
        <f t="array" ref="B3120">iferror(xlookup($I3120, 'IMPORT VHC Report'!$E:$E, 'IMPORT VHC Report'!$A:$C), )</f>
        <v/>
      </c>
      <c r="C3120" s="37"/>
      <c r="D3120" s="37"/>
      <c r="E3120" s="38" t="s">
        <v>3782</v>
      </c>
      <c r="F3120" s="38" t="s">
        <v>3770</v>
      </c>
      <c r="G3120" s="38">
        <v>1.0548580059023E13</v>
      </c>
      <c r="H3120" s="38" t="s">
        <v>3771</v>
      </c>
      <c r="I3120" s="38" t="s">
        <v>3772</v>
      </c>
      <c r="J3120" s="38" t="s">
        <v>4</v>
      </c>
      <c r="K3120" s="38" t="s">
        <v>126</v>
      </c>
      <c r="L3120" s="41">
        <v>46008.479166666664</v>
      </c>
      <c r="M3120" s="38" t="s">
        <v>123</v>
      </c>
      <c r="N3120" s="41">
        <v>46008.520833333336</v>
      </c>
      <c r="O3120" s="38" t="s">
        <v>123</v>
      </c>
      <c r="P3120" s="38">
        <v>3600.0</v>
      </c>
      <c r="Q3120" s="39"/>
      <c r="R3120" s="39"/>
      <c r="S3120" s="38" t="s">
        <v>170</v>
      </c>
      <c r="T3120" s="39"/>
      <c r="U3120" s="39"/>
    </row>
    <row r="3121">
      <c r="A3121" s="40">
        <f t="shared" si="1"/>
        <v>46006</v>
      </c>
      <c r="B3121" s="37" t="str">
        <f t="array" ref="B3121">iferror(xlookup($I3121, 'IMPORT VHC Report'!$E:$E, 'IMPORT VHC Report'!$A:$C), )</f>
        <v/>
      </c>
      <c r="C3121" s="37"/>
      <c r="D3121" s="37"/>
      <c r="E3121" s="38" t="s">
        <v>3783</v>
      </c>
      <c r="F3121" s="38" t="s">
        <v>3770</v>
      </c>
      <c r="G3121" s="38">
        <v>1.0548580059023E13</v>
      </c>
      <c r="H3121" s="38" t="s">
        <v>3771</v>
      </c>
      <c r="I3121" s="38" t="s">
        <v>3772</v>
      </c>
      <c r="J3121" s="38" t="s">
        <v>3745</v>
      </c>
      <c r="K3121" s="38" t="s">
        <v>63</v>
      </c>
      <c r="L3121" s="41">
        <v>46008.5</v>
      </c>
      <c r="M3121" s="38" t="s">
        <v>123</v>
      </c>
      <c r="N3121" s="41">
        <v>46008.833333333336</v>
      </c>
      <c r="O3121" s="38" t="s">
        <v>123</v>
      </c>
      <c r="P3121" s="38">
        <v>28800.0</v>
      </c>
      <c r="Q3121" s="39"/>
      <c r="R3121" s="39"/>
      <c r="S3121" s="39"/>
      <c r="T3121" s="39"/>
      <c r="U3121" s="39"/>
    </row>
    <row r="3122">
      <c r="A3122" s="40">
        <f t="shared" si="1"/>
        <v>46006</v>
      </c>
      <c r="B3122" s="37" t="str">
        <f t="array" ref="B3122">iferror(xlookup($I3122, 'IMPORT VHC Report'!$E:$E, 'IMPORT VHC Report'!$A:$C), )</f>
        <v/>
      </c>
      <c r="C3122" s="37"/>
      <c r="D3122" s="37"/>
      <c r="E3122" s="38" t="s">
        <v>3784</v>
      </c>
      <c r="F3122" s="38" t="s">
        <v>3770</v>
      </c>
      <c r="G3122" s="38">
        <v>1.0548580059023E13</v>
      </c>
      <c r="H3122" s="38" t="s">
        <v>3771</v>
      </c>
      <c r="I3122" s="38" t="s">
        <v>3772</v>
      </c>
      <c r="J3122" s="38" t="s">
        <v>134</v>
      </c>
      <c r="K3122" s="38" t="s">
        <v>126</v>
      </c>
      <c r="L3122" s="41">
        <v>46008.59375</v>
      </c>
      <c r="M3122" s="38" t="s">
        <v>123</v>
      </c>
      <c r="N3122" s="41">
        <v>46008.604166666664</v>
      </c>
      <c r="O3122" s="38" t="s">
        <v>123</v>
      </c>
      <c r="P3122" s="38">
        <v>900.0</v>
      </c>
      <c r="Q3122" s="39"/>
      <c r="R3122" s="39"/>
      <c r="S3122" s="39"/>
      <c r="T3122" s="39"/>
      <c r="U3122" s="39"/>
    </row>
    <row r="3123">
      <c r="A3123" s="40">
        <f t="shared" si="1"/>
        <v>46006</v>
      </c>
      <c r="B3123" s="37" t="str">
        <f t="array" ref="B3123">iferror(xlookup($I3123, 'IMPORT VHC Report'!$E:$E, 'IMPORT VHC Report'!$A:$C), )</f>
        <v/>
      </c>
      <c r="C3123" s="37"/>
      <c r="D3123" s="37"/>
      <c r="E3123" s="38" t="s">
        <v>3785</v>
      </c>
      <c r="F3123" s="38" t="s">
        <v>3770</v>
      </c>
      <c r="G3123" s="38">
        <v>1.0548580059023E13</v>
      </c>
      <c r="H3123" s="38" t="s">
        <v>3771</v>
      </c>
      <c r="I3123" s="38" t="s">
        <v>3772</v>
      </c>
      <c r="J3123" s="38" t="s">
        <v>134</v>
      </c>
      <c r="K3123" s="38" t="s">
        <v>126</v>
      </c>
      <c r="L3123" s="41">
        <v>46008.65625</v>
      </c>
      <c r="M3123" s="38" t="s">
        <v>123</v>
      </c>
      <c r="N3123" s="41">
        <v>46008.666666666664</v>
      </c>
      <c r="O3123" s="38" t="s">
        <v>123</v>
      </c>
      <c r="P3123" s="38">
        <v>900.0</v>
      </c>
      <c r="Q3123" s="39"/>
      <c r="R3123" s="39"/>
      <c r="S3123" s="39"/>
      <c r="T3123" s="39"/>
      <c r="U3123" s="39"/>
    </row>
    <row r="3124">
      <c r="A3124" s="40">
        <f t="shared" si="1"/>
        <v>46006</v>
      </c>
      <c r="B3124" s="37" t="str">
        <f t="array" ref="B3124">iferror(xlookup($I3124, 'IMPORT VHC Report'!$E:$E, 'IMPORT VHC Report'!$A:$C), )</f>
        <v/>
      </c>
      <c r="C3124" s="37"/>
      <c r="D3124" s="37"/>
      <c r="E3124" s="38" t="s">
        <v>3786</v>
      </c>
      <c r="F3124" s="38" t="s">
        <v>3770</v>
      </c>
      <c r="G3124" s="38">
        <v>1.0548580059023E13</v>
      </c>
      <c r="H3124" s="38" t="s">
        <v>3771</v>
      </c>
      <c r="I3124" s="38" t="s">
        <v>3772</v>
      </c>
      <c r="J3124" s="38" t="s">
        <v>132</v>
      </c>
      <c r="K3124" s="38" t="s">
        <v>126</v>
      </c>
      <c r="L3124" s="41">
        <v>46008.739583333336</v>
      </c>
      <c r="M3124" s="38" t="s">
        <v>123</v>
      </c>
      <c r="N3124" s="41">
        <v>46008.78125</v>
      </c>
      <c r="O3124" s="38" t="s">
        <v>123</v>
      </c>
      <c r="P3124" s="38">
        <v>3600.0</v>
      </c>
      <c r="Q3124" s="39"/>
      <c r="R3124" s="39"/>
      <c r="S3124" s="39"/>
      <c r="T3124" s="39"/>
      <c r="U3124" s="39"/>
    </row>
    <row r="3125">
      <c r="A3125" s="40">
        <f t="shared" si="1"/>
        <v>46006</v>
      </c>
      <c r="B3125" s="37" t="str">
        <f t="array" ref="B3125">iferror(xlookup($I3125, 'IMPORT VHC Report'!$E:$E, 'IMPORT VHC Report'!$A:$C), )</f>
        <v/>
      </c>
      <c r="C3125" s="37"/>
      <c r="D3125" s="37"/>
      <c r="E3125" s="38" t="s">
        <v>3787</v>
      </c>
      <c r="F3125" s="38" t="s">
        <v>3770</v>
      </c>
      <c r="G3125" s="38">
        <v>1.0548580059023E13</v>
      </c>
      <c r="H3125" s="38" t="s">
        <v>3771</v>
      </c>
      <c r="I3125" s="38" t="s">
        <v>3772</v>
      </c>
      <c r="J3125" s="38" t="s">
        <v>3745</v>
      </c>
      <c r="K3125" s="38" t="s">
        <v>63</v>
      </c>
      <c r="L3125" s="41">
        <v>46009.458333333336</v>
      </c>
      <c r="M3125" s="38" t="s">
        <v>123</v>
      </c>
      <c r="N3125" s="41">
        <v>46009.833333333336</v>
      </c>
      <c r="O3125" s="38" t="s">
        <v>123</v>
      </c>
      <c r="P3125" s="38">
        <v>32400.0</v>
      </c>
      <c r="Q3125" s="39"/>
      <c r="R3125" s="39"/>
      <c r="S3125" s="39"/>
      <c r="T3125" s="39"/>
      <c r="U3125" s="39"/>
    </row>
    <row r="3126">
      <c r="A3126" s="40">
        <f t="shared" si="1"/>
        <v>46006</v>
      </c>
      <c r="B3126" s="37" t="str">
        <f t="array" ref="B3126">iferror(xlookup($I3126, 'IMPORT VHC Report'!$E:$E, 'IMPORT VHC Report'!$A:$C), )</f>
        <v/>
      </c>
      <c r="C3126" s="37"/>
      <c r="D3126" s="37"/>
      <c r="E3126" s="38" t="s">
        <v>3788</v>
      </c>
      <c r="F3126" s="38" t="s">
        <v>3770</v>
      </c>
      <c r="G3126" s="38">
        <v>1.0548580059023E13</v>
      </c>
      <c r="H3126" s="38" t="s">
        <v>3771</v>
      </c>
      <c r="I3126" s="38" t="s">
        <v>3772</v>
      </c>
      <c r="J3126" s="38" t="s">
        <v>134</v>
      </c>
      <c r="K3126" s="38" t="s">
        <v>126</v>
      </c>
      <c r="L3126" s="41">
        <v>46009.5625</v>
      </c>
      <c r="M3126" s="38" t="s">
        <v>123</v>
      </c>
      <c r="N3126" s="41">
        <v>46009.572916666664</v>
      </c>
      <c r="O3126" s="38" t="s">
        <v>123</v>
      </c>
      <c r="P3126" s="38">
        <v>900.0</v>
      </c>
      <c r="Q3126" s="39"/>
      <c r="R3126" s="39"/>
      <c r="S3126" s="39"/>
      <c r="T3126" s="39"/>
      <c r="U3126" s="39"/>
    </row>
    <row r="3127">
      <c r="A3127" s="40">
        <f t="shared" si="1"/>
        <v>46006</v>
      </c>
      <c r="B3127" s="37" t="str">
        <f t="array" ref="B3127">iferror(xlookup($I3127, 'IMPORT VHC Report'!$E:$E, 'IMPORT VHC Report'!$A:$C), )</f>
        <v/>
      </c>
      <c r="C3127" s="37"/>
      <c r="D3127" s="37"/>
      <c r="E3127" s="38" t="s">
        <v>3789</v>
      </c>
      <c r="F3127" s="38" t="s">
        <v>3770</v>
      </c>
      <c r="G3127" s="38">
        <v>1.0548580059023E13</v>
      </c>
      <c r="H3127" s="38" t="s">
        <v>3771</v>
      </c>
      <c r="I3127" s="38" t="s">
        <v>3772</v>
      </c>
      <c r="J3127" s="38" t="s">
        <v>134</v>
      </c>
      <c r="K3127" s="38" t="s">
        <v>126</v>
      </c>
      <c r="L3127" s="41">
        <v>46009.635416666664</v>
      </c>
      <c r="M3127" s="38" t="s">
        <v>123</v>
      </c>
      <c r="N3127" s="41">
        <v>46009.645833333336</v>
      </c>
      <c r="O3127" s="38" t="s">
        <v>123</v>
      </c>
      <c r="P3127" s="38">
        <v>900.0</v>
      </c>
      <c r="Q3127" s="39"/>
      <c r="R3127" s="39"/>
      <c r="S3127" s="39"/>
      <c r="T3127" s="39"/>
      <c r="U3127" s="39"/>
    </row>
    <row r="3128">
      <c r="A3128" s="40">
        <f t="shared" si="1"/>
        <v>46006</v>
      </c>
      <c r="B3128" s="37" t="str">
        <f t="array" ref="B3128">iferror(xlookup($I3128, 'IMPORT VHC Report'!$E:$E, 'IMPORT VHC Report'!$A:$C), )</f>
        <v/>
      </c>
      <c r="C3128" s="37"/>
      <c r="D3128" s="37"/>
      <c r="E3128" s="38" t="s">
        <v>3790</v>
      </c>
      <c r="F3128" s="38" t="s">
        <v>3770</v>
      </c>
      <c r="G3128" s="38">
        <v>1.0548580059023E13</v>
      </c>
      <c r="H3128" s="38" t="s">
        <v>3771</v>
      </c>
      <c r="I3128" s="38" t="s">
        <v>3772</v>
      </c>
      <c r="J3128" s="38" t="s">
        <v>132</v>
      </c>
      <c r="K3128" s="38" t="s">
        <v>126</v>
      </c>
      <c r="L3128" s="41">
        <v>46009.6875</v>
      </c>
      <c r="M3128" s="38" t="s">
        <v>123</v>
      </c>
      <c r="N3128" s="41">
        <v>46009.729166666664</v>
      </c>
      <c r="O3128" s="38" t="s">
        <v>123</v>
      </c>
      <c r="P3128" s="38">
        <v>3600.0</v>
      </c>
      <c r="Q3128" s="39"/>
      <c r="R3128" s="39"/>
      <c r="S3128" s="39"/>
      <c r="T3128" s="39"/>
      <c r="U3128" s="39"/>
    </row>
    <row r="3129">
      <c r="A3129" s="40">
        <f t="shared" si="1"/>
        <v>46006</v>
      </c>
      <c r="B3129" s="37" t="str">
        <f t="array" ref="B3129">iferror(xlookup($I3129, 'IMPORT VHC Report'!$E:$E, 'IMPORT VHC Report'!$A:$C), )</f>
        <v/>
      </c>
      <c r="C3129" s="37"/>
      <c r="D3129" s="37"/>
      <c r="E3129" s="38" t="s">
        <v>3791</v>
      </c>
      <c r="F3129" s="38" t="s">
        <v>3770</v>
      </c>
      <c r="G3129" s="38">
        <v>1.0548580059023E13</v>
      </c>
      <c r="H3129" s="38" t="s">
        <v>3771</v>
      </c>
      <c r="I3129" s="38" t="s">
        <v>3772</v>
      </c>
      <c r="J3129" s="38" t="s">
        <v>3745</v>
      </c>
      <c r="K3129" s="38" t="s">
        <v>63</v>
      </c>
      <c r="L3129" s="41">
        <v>46010.458333333336</v>
      </c>
      <c r="M3129" s="38" t="s">
        <v>123</v>
      </c>
      <c r="N3129" s="41">
        <v>46010.833333333336</v>
      </c>
      <c r="O3129" s="38" t="s">
        <v>123</v>
      </c>
      <c r="P3129" s="38">
        <v>32400.0</v>
      </c>
      <c r="Q3129" s="39"/>
      <c r="R3129" s="39"/>
      <c r="S3129" s="39"/>
      <c r="T3129" s="39"/>
      <c r="U3129" s="39"/>
    </row>
    <row r="3130">
      <c r="A3130" s="40">
        <f t="shared" si="1"/>
        <v>46006</v>
      </c>
      <c r="B3130" s="37" t="str">
        <f t="array" ref="B3130">iferror(xlookup($I3130, 'IMPORT VHC Report'!$E:$E, 'IMPORT VHC Report'!$A:$C), )</f>
        <v/>
      </c>
      <c r="C3130" s="37"/>
      <c r="D3130" s="37"/>
      <c r="E3130" s="38" t="s">
        <v>3792</v>
      </c>
      <c r="F3130" s="38" t="s">
        <v>3770</v>
      </c>
      <c r="G3130" s="38">
        <v>1.0548580059023E13</v>
      </c>
      <c r="H3130" s="38" t="s">
        <v>3771</v>
      </c>
      <c r="I3130" s="38" t="s">
        <v>3772</v>
      </c>
      <c r="J3130" s="38" t="s">
        <v>134</v>
      </c>
      <c r="K3130" s="38" t="s">
        <v>126</v>
      </c>
      <c r="L3130" s="41">
        <v>46010.572916666664</v>
      </c>
      <c r="M3130" s="38" t="s">
        <v>123</v>
      </c>
      <c r="N3130" s="41">
        <v>46010.583333333336</v>
      </c>
      <c r="O3130" s="38" t="s">
        <v>123</v>
      </c>
      <c r="P3130" s="38">
        <v>900.0</v>
      </c>
      <c r="Q3130" s="39"/>
      <c r="R3130" s="39"/>
      <c r="S3130" s="39"/>
      <c r="T3130" s="39"/>
      <c r="U3130" s="39"/>
    </row>
    <row r="3131">
      <c r="A3131" s="40">
        <f t="shared" si="1"/>
        <v>46006</v>
      </c>
      <c r="B3131" s="37" t="str">
        <f t="array" ref="B3131">iferror(xlookup($I3131, 'IMPORT VHC Report'!$E:$E, 'IMPORT VHC Report'!$A:$C), )</f>
        <v/>
      </c>
      <c r="C3131" s="37"/>
      <c r="D3131" s="37"/>
      <c r="E3131" s="38" t="s">
        <v>3793</v>
      </c>
      <c r="F3131" s="38" t="s">
        <v>3770</v>
      </c>
      <c r="G3131" s="38">
        <v>1.0548580059023E13</v>
      </c>
      <c r="H3131" s="38" t="s">
        <v>3771</v>
      </c>
      <c r="I3131" s="38" t="s">
        <v>3772</v>
      </c>
      <c r="J3131" s="38" t="s">
        <v>132</v>
      </c>
      <c r="K3131" s="38" t="s">
        <v>126</v>
      </c>
      <c r="L3131" s="41">
        <v>46010.645833333336</v>
      </c>
      <c r="M3131" s="38" t="s">
        <v>123</v>
      </c>
      <c r="N3131" s="41">
        <v>46010.6875</v>
      </c>
      <c r="O3131" s="38" t="s">
        <v>123</v>
      </c>
      <c r="P3131" s="38">
        <v>3600.0</v>
      </c>
      <c r="Q3131" s="39"/>
      <c r="R3131" s="39"/>
      <c r="S3131" s="39"/>
      <c r="T3131" s="39"/>
      <c r="U3131" s="39"/>
    </row>
    <row r="3132">
      <c r="A3132" s="40">
        <f t="shared" si="1"/>
        <v>46006</v>
      </c>
      <c r="B3132" s="37" t="str">
        <f t="array" ref="B3132">iferror(xlookup($I3132, 'IMPORT VHC Report'!$E:$E, 'IMPORT VHC Report'!$A:$C), )</f>
        <v/>
      </c>
      <c r="C3132" s="37"/>
      <c r="D3132" s="37"/>
      <c r="E3132" s="38" t="s">
        <v>3794</v>
      </c>
      <c r="F3132" s="38" t="s">
        <v>3770</v>
      </c>
      <c r="G3132" s="38">
        <v>1.0548580059023E13</v>
      </c>
      <c r="H3132" s="38" t="s">
        <v>3771</v>
      </c>
      <c r="I3132" s="38" t="s">
        <v>3772</v>
      </c>
      <c r="J3132" s="38" t="s">
        <v>134</v>
      </c>
      <c r="K3132" s="38" t="s">
        <v>126</v>
      </c>
      <c r="L3132" s="41">
        <v>46010.739583333336</v>
      </c>
      <c r="M3132" s="38" t="s">
        <v>123</v>
      </c>
      <c r="N3132" s="41">
        <v>46010.75</v>
      </c>
      <c r="O3132" s="38" t="s">
        <v>123</v>
      </c>
      <c r="P3132" s="38">
        <v>900.0</v>
      </c>
      <c r="Q3132" s="39"/>
      <c r="R3132" s="39"/>
      <c r="S3132" s="39"/>
      <c r="T3132" s="39"/>
      <c r="U3132" s="39"/>
    </row>
    <row r="3133">
      <c r="A3133" s="40">
        <f t="shared" si="1"/>
        <v>46006</v>
      </c>
      <c r="B3133" s="37" t="str">
        <f t="array" ref="B3133">iferror(xlookup($I3133, 'IMPORT VHC Report'!$E:$E, 'IMPORT VHC Report'!$A:$C), )</f>
        <v/>
      </c>
      <c r="C3133" s="37"/>
      <c r="D3133" s="37"/>
      <c r="E3133" s="38" t="s">
        <v>3795</v>
      </c>
      <c r="F3133" s="38" t="s">
        <v>3796</v>
      </c>
      <c r="G3133" s="38">
        <v>9.903289405711E12</v>
      </c>
      <c r="H3133" s="38" t="s">
        <v>3797</v>
      </c>
      <c r="I3133" s="38" t="s">
        <v>3798</v>
      </c>
      <c r="J3133" s="38" t="s">
        <v>3745</v>
      </c>
      <c r="K3133" s="38" t="s">
        <v>63</v>
      </c>
      <c r="L3133" s="41">
        <v>46006.458333333336</v>
      </c>
      <c r="M3133" s="38" t="s">
        <v>123</v>
      </c>
      <c r="N3133" s="41">
        <v>46006.833333333336</v>
      </c>
      <c r="O3133" s="38" t="s">
        <v>123</v>
      </c>
      <c r="P3133" s="38">
        <v>32400.0</v>
      </c>
      <c r="Q3133" s="39"/>
      <c r="R3133" s="39"/>
      <c r="S3133" s="39"/>
      <c r="T3133" s="39"/>
      <c r="U3133" s="39"/>
    </row>
    <row r="3134">
      <c r="A3134" s="40">
        <f t="shared" si="1"/>
        <v>46006</v>
      </c>
      <c r="B3134" s="37" t="str">
        <f t="array" ref="B3134">iferror(xlookup($I3134, 'IMPORT VHC Report'!$E:$E, 'IMPORT VHC Report'!$A:$C), )</f>
        <v/>
      </c>
      <c r="C3134" s="37"/>
      <c r="D3134" s="37"/>
      <c r="E3134" s="38" t="s">
        <v>3799</v>
      </c>
      <c r="F3134" s="38" t="s">
        <v>3796</v>
      </c>
      <c r="G3134" s="38">
        <v>9.903289405711E12</v>
      </c>
      <c r="H3134" s="38" t="s">
        <v>3797</v>
      </c>
      <c r="I3134" s="38" t="s">
        <v>3798</v>
      </c>
      <c r="J3134" s="38" t="s">
        <v>134</v>
      </c>
      <c r="K3134" s="38" t="s">
        <v>126</v>
      </c>
      <c r="L3134" s="41">
        <v>46006.5625</v>
      </c>
      <c r="M3134" s="38" t="s">
        <v>123</v>
      </c>
      <c r="N3134" s="41">
        <v>46006.572916666664</v>
      </c>
      <c r="O3134" s="38" t="s">
        <v>123</v>
      </c>
      <c r="P3134" s="38">
        <v>900.0</v>
      </c>
      <c r="Q3134" s="39"/>
      <c r="R3134" s="39"/>
      <c r="S3134" s="39"/>
      <c r="T3134" s="39"/>
      <c r="U3134" s="39"/>
    </row>
    <row r="3135">
      <c r="A3135" s="40">
        <f t="shared" si="1"/>
        <v>46006</v>
      </c>
      <c r="B3135" s="37" t="str">
        <f t="array" ref="B3135">iferror(xlookup($I3135, 'IMPORT VHC Report'!$E:$E, 'IMPORT VHC Report'!$A:$C), )</f>
        <v/>
      </c>
      <c r="C3135" s="37"/>
      <c r="D3135" s="37"/>
      <c r="E3135" s="38" t="s">
        <v>3800</v>
      </c>
      <c r="F3135" s="38" t="s">
        <v>3796</v>
      </c>
      <c r="G3135" s="38">
        <v>9.903289405711E12</v>
      </c>
      <c r="H3135" s="38" t="s">
        <v>3797</v>
      </c>
      <c r="I3135" s="38" t="s">
        <v>3798</v>
      </c>
      <c r="J3135" s="38" t="s">
        <v>132</v>
      </c>
      <c r="K3135" s="38" t="s">
        <v>126</v>
      </c>
      <c r="L3135" s="41">
        <v>46006.635416666664</v>
      </c>
      <c r="M3135" s="38" t="s">
        <v>123</v>
      </c>
      <c r="N3135" s="41">
        <v>46006.677083333336</v>
      </c>
      <c r="O3135" s="38" t="s">
        <v>123</v>
      </c>
      <c r="P3135" s="38">
        <v>3600.0</v>
      </c>
      <c r="Q3135" s="39"/>
      <c r="R3135" s="39"/>
      <c r="S3135" s="39"/>
      <c r="T3135" s="39"/>
      <c r="U3135" s="39"/>
    </row>
    <row r="3136">
      <c r="A3136" s="40">
        <f t="shared" si="1"/>
        <v>46006</v>
      </c>
      <c r="B3136" s="37" t="str">
        <f t="array" ref="B3136">iferror(xlookup($I3136, 'IMPORT VHC Report'!$E:$E, 'IMPORT VHC Report'!$A:$C), )</f>
        <v/>
      </c>
      <c r="C3136" s="37"/>
      <c r="D3136" s="37"/>
      <c r="E3136" s="38" t="s">
        <v>3801</v>
      </c>
      <c r="F3136" s="38" t="s">
        <v>3796</v>
      </c>
      <c r="G3136" s="38">
        <v>9.903289405711E12</v>
      </c>
      <c r="H3136" s="38" t="s">
        <v>3797</v>
      </c>
      <c r="I3136" s="38" t="s">
        <v>3798</v>
      </c>
      <c r="J3136" s="38" t="s">
        <v>134</v>
      </c>
      <c r="K3136" s="38" t="s">
        <v>126</v>
      </c>
      <c r="L3136" s="41">
        <v>46006.739583333336</v>
      </c>
      <c r="M3136" s="38" t="s">
        <v>123</v>
      </c>
      <c r="N3136" s="41">
        <v>46006.75</v>
      </c>
      <c r="O3136" s="38" t="s">
        <v>123</v>
      </c>
      <c r="P3136" s="38">
        <v>900.0</v>
      </c>
      <c r="Q3136" s="39"/>
      <c r="R3136" s="39"/>
      <c r="S3136" s="39"/>
      <c r="T3136" s="39"/>
      <c r="U3136" s="39"/>
    </row>
    <row r="3137">
      <c r="A3137" s="40">
        <f t="shared" si="1"/>
        <v>46006</v>
      </c>
      <c r="B3137" s="37" t="str">
        <f t="array" ref="B3137">iferror(xlookup($I3137, 'IMPORT VHC Report'!$E:$E, 'IMPORT VHC Report'!$A:$C), )</f>
        <v/>
      </c>
      <c r="C3137" s="37"/>
      <c r="D3137" s="37"/>
      <c r="E3137" s="38" t="s">
        <v>3802</v>
      </c>
      <c r="F3137" s="38" t="s">
        <v>3796</v>
      </c>
      <c r="G3137" s="38">
        <v>9.903289405711E12</v>
      </c>
      <c r="H3137" s="38" t="s">
        <v>3797</v>
      </c>
      <c r="I3137" s="38" t="s">
        <v>3798</v>
      </c>
      <c r="J3137" s="38" t="s">
        <v>3745</v>
      </c>
      <c r="K3137" s="38" t="s">
        <v>63</v>
      </c>
      <c r="L3137" s="41">
        <v>46007.458333333336</v>
      </c>
      <c r="M3137" s="38" t="s">
        <v>123</v>
      </c>
      <c r="N3137" s="41">
        <v>46007.833333333336</v>
      </c>
      <c r="O3137" s="38" t="s">
        <v>123</v>
      </c>
      <c r="P3137" s="38">
        <v>32400.0</v>
      </c>
      <c r="Q3137" s="39"/>
      <c r="R3137" s="39"/>
      <c r="S3137" s="39"/>
      <c r="T3137" s="39"/>
      <c r="U3137" s="39"/>
    </row>
    <row r="3138">
      <c r="A3138" s="40">
        <f t="shared" si="1"/>
        <v>46006</v>
      </c>
      <c r="B3138" s="37" t="str">
        <f t="array" ref="B3138">iferror(xlookup($I3138, 'IMPORT VHC Report'!$E:$E, 'IMPORT VHC Report'!$A:$C), )</f>
        <v/>
      </c>
      <c r="C3138" s="37"/>
      <c r="D3138" s="37"/>
      <c r="E3138" s="38" t="s">
        <v>3803</v>
      </c>
      <c r="F3138" s="38" t="s">
        <v>3796</v>
      </c>
      <c r="G3138" s="38">
        <v>9.903289405711E12</v>
      </c>
      <c r="H3138" s="38" t="s">
        <v>3797</v>
      </c>
      <c r="I3138" s="38" t="s">
        <v>3798</v>
      </c>
      <c r="J3138" s="38" t="s">
        <v>134</v>
      </c>
      <c r="K3138" s="38" t="s">
        <v>126</v>
      </c>
      <c r="L3138" s="41">
        <v>46007.552083333336</v>
      </c>
      <c r="M3138" s="38" t="s">
        <v>123</v>
      </c>
      <c r="N3138" s="41">
        <v>46007.5625</v>
      </c>
      <c r="O3138" s="38" t="s">
        <v>123</v>
      </c>
      <c r="P3138" s="38">
        <v>900.0</v>
      </c>
      <c r="Q3138" s="39"/>
      <c r="R3138" s="39"/>
      <c r="S3138" s="39"/>
      <c r="T3138" s="39"/>
      <c r="U3138" s="39"/>
    </row>
    <row r="3139">
      <c r="A3139" s="40">
        <f t="shared" si="1"/>
        <v>46006</v>
      </c>
      <c r="B3139" s="37" t="str">
        <f t="array" ref="B3139">iferror(xlookup($I3139, 'IMPORT VHC Report'!$E:$E, 'IMPORT VHC Report'!$A:$C), )</f>
        <v/>
      </c>
      <c r="C3139" s="37"/>
      <c r="D3139" s="37"/>
      <c r="E3139" s="38" t="s">
        <v>3804</v>
      </c>
      <c r="F3139" s="38" t="s">
        <v>3796</v>
      </c>
      <c r="G3139" s="38">
        <v>9.903289405711E12</v>
      </c>
      <c r="H3139" s="38" t="s">
        <v>3797</v>
      </c>
      <c r="I3139" s="38" t="s">
        <v>3798</v>
      </c>
      <c r="J3139" s="38" t="s">
        <v>134</v>
      </c>
      <c r="K3139" s="38" t="s">
        <v>126</v>
      </c>
      <c r="L3139" s="41">
        <v>46007.614583333336</v>
      </c>
      <c r="M3139" s="38" t="s">
        <v>123</v>
      </c>
      <c r="N3139" s="41">
        <v>46007.625</v>
      </c>
      <c r="O3139" s="38" t="s">
        <v>123</v>
      </c>
      <c r="P3139" s="38">
        <v>900.0</v>
      </c>
      <c r="Q3139" s="39"/>
      <c r="R3139" s="39"/>
      <c r="S3139" s="39"/>
      <c r="T3139" s="39"/>
      <c r="U3139" s="39"/>
    </row>
    <row r="3140">
      <c r="A3140" s="40">
        <f t="shared" si="1"/>
        <v>46006</v>
      </c>
      <c r="B3140" s="37" t="str">
        <f t="array" ref="B3140">iferror(xlookup($I3140, 'IMPORT VHC Report'!$E:$E, 'IMPORT VHC Report'!$A:$C), )</f>
        <v/>
      </c>
      <c r="C3140" s="37"/>
      <c r="D3140" s="37"/>
      <c r="E3140" s="38" t="s">
        <v>3805</v>
      </c>
      <c r="F3140" s="38" t="s">
        <v>3796</v>
      </c>
      <c r="G3140" s="38">
        <v>9.903289405711E12</v>
      </c>
      <c r="H3140" s="38" t="s">
        <v>3797</v>
      </c>
      <c r="I3140" s="38" t="s">
        <v>3798</v>
      </c>
      <c r="J3140" s="38" t="s">
        <v>132</v>
      </c>
      <c r="K3140" s="38" t="s">
        <v>126</v>
      </c>
      <c r="L3140" s="41">
        <v>46007.739583333336</v>
      </c>
      <c r="M3140" s="38" t="s">
        <v>123</v>
      </c>
      <c r="N3140" s="41">
        <v>46007.78125</v>
      </c>
      <c r="O3140" s="38" t="s">
        <v>123</v>
      </c>
      <c r="P3140" s="38">
        <v>3600.0</v>
      </c>
      <c r="Q3140" s="39"/>
      <c r="R3140" s="39"/>
      <c r="S3140" s="39"/>
      <c r="T3140" s="39"/>
      <c r="U3140" s="39"/>
    </row>
    <row r="3141">
      <c r="A3141" s="40">
        <f t="shared" si="1"/>
        <v>46006</v>
      </c>
      <c r="B3141" s="37" t="str">
        <f t="array" ref="B3141">iferror(xlookup($I3141, 'IMPORT VHC Report'!$E:$E, 'IMPORT VHC Report'!$A:$C), )</f>
        <v/>
      </c>
      <c r="C3141" s="37"/>
      <c r="D3141" s="37"/>
      <c r="E3141" s="38" t="s">
        <v>3806</v>
      </c>
      <c r="F3141" s="38" t="s">
        <v>3796</v>
      </c>
      <c r="G3141" s="38">
        <v>9.903289405711E12</v>
      </c>
      <c r="H3141" s="38" t="s">
        <v>3797</v>
      </c>
      <c r="I3141" s="38" t="s">
        <v>3798</v>
      </c>
      <c r="J3141" s="38" t="s">
        <v>3745</v>
      </c>
      <c r="K3141" s="38" t="s">
        <v>63</v>
      </c>
      <c r="L3141" s="41">
        <v>46008.458333333336</v>
      </c>
      <c r="M3141" s="38" t="s">
        <v>123</v>
      </c>
      <c r="N3141" s="41">
        <v>46008.833333333336</v>
      </c>
      <c r="O3141" s="38" t="s">
        <v>123</v>
      </c>
      <c r="P3141" s="38">
        <v>32400.0</v>
      </c>
      <c r="Q3141" s="39"/>
      <c r="R3141" s="39"/>
      <c r="S3141" s="39"/>
      <c r="T3141" s="39"/>
      <c r="U3141" s="39"/>
    </row>
    <row r="3142">
      <c r="A3142" s="40">
        <f t="shared" si="1"/>
        <v>46006</v>
      </c>
      <c r="B3142" s="37" t="str">
        <f t="array" ref="B3142">iferror(xlookup($I3142, 'IMPORT VHC Report'!$E:$E, 'IMPORT VHC Report'!$A:$C), )</f>
        <v/>
      </c>
      <c r="C3142" s="37"/>
      <c r="D3142" s="37"/>
      <c r="E3142" s="38" t="s">
        <v>3807</v>
      </c>
      <c r="F3142" s="38" t="s">
        <v>3796</v>
      </c>
      <c r="G3142" s="38">
        <v>9.903289405711E12</v>
      </c>
      <c r="H3142" s="38" t="s">
        <v>3797</v>
      </c>
      <c r="I3142" s="38" t="s">
        <v>3798</v>
      </c>
      <c r="J3142" s="38" t="s">
        <v>134</v>
      </c>
      <c r="K3142" s="38" t="s">
        <v>126</v>
      </c>
      <c r="L3142" s="41">
        <v>46008.572916666664</v>
      </c>
      <c r="M3142" s="38" t="s">
        <v>123</v>
      </c>
      <c r="N3142" s="41">
        <v>46008.583333333336</v>
      </c>
      <c r="O3142" s="38" t="s">
        <v>123</v>
      </c>
      <c r="P3142" s="38">
        <v>900.0</v>
      </c>
      <c r="Q3142" s="39"/>
      <c r="R3142" s="39"/>
      <c r="S3142" s="39"/>
      <c r="T3142" s="39"/>
      <c r="U3142" s="39"/>
    </row>
    <row r="3143">
      <c r="A3143" s="40">
        <f t="shared" si="1"/>
        <v>46006</v>
      </c>
      <c r="B3143" s="37" t="str">
        <f t="array" ref="B3143">iferror(xlookup($I3143, 'IMPORT VHC Report'!$E:$E, 'IMPORT VHC Report'!$A:$C), )</f>
        <v/>
      </c>
      <c r="C3143" s="37"/>
      <c r="D3143" s="37"/>
      <c r="E3143" s="38" t="s">
        <v>3808</v>
      </c>
      <c r="F3143" s="38" t="s">
        <v>3796</v>
      </c>
      <c r="G3143" s="38">
        <v>9.903289405711E12</v>
      </c>
      <c r="H3143" s="38" t="s">
        <v>3797</v>
      </c>
      <c r="I3143" s="38" t="s">
        <v>3798</v>
      </c>
      <c r="J3143" s="38" t="s">
        <v>132</v>
      </c>
      <c r="K3143" s="38" t="s">
        <v>126</v>
      </c>
      <c r="L3143" s="41">
        <v>46008.645833333336</v>
      </c>
      <c r="M3143" s="38" t="s">
        <v>123</v>
      </c>
      <c r="N3143" s="41">
        <v>46008.6875</v>
      </c>
      <c r="O3143" s="38" t="s">
        <v>123</v>
      </c>
      <c r="P3143" s="38">
        <v>3600.0</v>
      </c>
      <c r="Q3143" s="39"/>
      <c r="R3143" s="39"/>
      <c r="S3143" s="39"/>
      <c r="T3143" s="39"/>
      <c r="U3143" s="39"/>
    </row>
    <row r="3144">
      <c r="A3144" s="40">
        <f t="shared" si="1"/>
        <v>46006</v>
      </c>
      <c r="B3144" s="37" t="str">
        <f t="array" ref="B3144">iferror(xlookup($I3144, 'IMPORT VHC Report'!$E:$E, 'IMPORT VHC Report'!$A:$C), )</f>
        <v/>
      </c>
      <c r="C3144" s="37"/>
      <c r="D3144" s="37"/>
      <c r="E3144" s="38" t="s">
        <v>3809</v>
      </c>
      <c r="F3144" s="38" t="s">
        <v>3796</v>
      </c>
      <c r="G3144" s="38">
        <v>9.903289405711E12</v>
      </c>
      <c r="H3144" s="38" t="s">
        <v>3797</v>
      </c>
      <c r="I3144" s="38" t="s">
        <v>3798</v>
      </c>
      <c r="J3144" s="38" t="s">
        <v>134</v>
      </c>
      <c r="K3144" s="38" t="s">
        <v>126</v>
      </c>
      <c r="L3144" s="41">
        <v>46008.71875</v>
      </c>
      <c r="M3144" s="38" t="s">
        <v>123</v>
      </c>
      <c r="N3144" s="41">
        <v>46008.729166666664</v>
      </c>
      <c r="O3144" s="38" t="s">
        <v>123</v>
      </c>
      <c r="P3144" s="38">
        <v>900.0</v>
      </c>
      <c r="Q3144" s="39"/>
      <c r="R3144" s="39"/>
      <c r="S3144" s="39"/>
      <c r="T3144" s="39"/>
      <c r="U3144" s="39"/>
    </row>
    <row r="3145">
      <c r="A3145" s="40">
        <f t="shared" si="1"/>
        <v>46006</v>
      </c>
      <c r="B3145" s="37" t="str">
        <f t="array" ref="B3145">iferror(xlookup($I3145, 'IMPORT VHC Report'!$E:$E, 'IMPORT VHC Report'!$A:$C), )</f>
        <v/>
      </c>
      <c r="C3145" s="37"/>
      <c r="D3145" s="37"/>
      <c r="E3145" s="38" t="s">
        <v>3810</v>
      </c>
      <c r="F3145" s="38" t="s">
        <v>3796</v>
      </c>
      <c r="G3145" s="38">
        <v>9.903289405711E12</v>
      </c>
      <c r="H3145" s="38" t="s">
        <v>3797</v>
      </c>
      <c r="I3145" s="38" t="s">
        <v>3798</v>
      </c>
      <c r="J3145" s="38" t="s">
        <v>3745</v>
      </c>
      <c r="K3145" s="38" t="s">
        <v>63</v>
      </c>
      <c r="L3145" s="41">
        <v>46009.458333333336</v>
      </c>
      <c r="M3145" s="38" t="s">
        <v>123</v>
      </c>
      <c r="N3145" s="41">
        <v>46009.78125</v>
      </c>
      <c r="O3145" s="38" t="s">
        <v>123</v>
      </c>
      <c r="P3145" s="38">
        <v>27900.0</v>
      </c>
      <c r="Q3145" s="39"/>
      <c r="R3145" s="39"/>
      <c r="S3145" s="39"/>
      <c r="T3145" s="39"/>
      <c r="U3145" s="39"/>
    </row>
    <row r="3146">
      <c r="A3146" s="40">
        <f t="shared" si="1"/>
        <v>46006</v>
      </c>
      <c r="B3146" s="37" t="str">
        <f t="array" ref="B3146">iferror(xlookup($I3146, 'IMPORT VHC Report'!$E:$E, 'IMPORT VHC Report'!$A:$C), )</f>
        <v/>
      </c>
      <c r="C3146" s="37"/>
      <c r="D3146" s="37"/>
      <c r="E3146" s="38" t="s">
        <v>3811</v>
      </c>
      <c r="F3146" s="38" t="s">
        <v>3796</v>
      </c>
      <c r="G3146" s="38">
        <v>9.903289405711E12</v>
      </c>
      <c r="H3146" s="38" t="s">
        <v>3797</v>
      </c>
      <c r="I3146" s="38" t="s">
        <v>3798</v>
      </c>
      <c r="J3146" s="38" t="s">
        <v>134</v>
      </c>
      <c r="K3146" s="38" t="s">
        <v>126</v>
      </c>
      <c r="L3146" s="41">
        <v>46009.541666666664</v>
      </c>
      <c r="M3146" s="38" t="s">
        <v>123</v>
      </c>
      <c r="N3146" s="41">
        <v>46009.552083333336</v>
      </c>
      <c r="O3146" s="38" t="s">
        <v>123</v>
      </c>
      <c r="P3146" s="38">
        <v>900.0</v>
      </c>
      <c r="Q3146" s="39"/>
      <c r="R3146" s="39"/>
      <c r="S3146" s="39"/>
      <c r="T3146" s="39"/>
      <c r="U3146" s="39"/>
    </row>
    <row r="3147">
      <c r="A3147" s="40">
        <f t="shared" si="1"/>
        <v>46006</v>
      </c>
      <c r="B3147" s="37" t="str">
        <f t="array" ref="B3147">iferror(xlookup($I3147, 'IMPORT VHC Report'!$E:$E, 'IMPORT VHC Report'!$A:$C), )</f>
        <v/>
      </c>
      <c r="C3147" s="37"/>
      <c r="D3147" s="37"/>
      <c r="E3147" s="38" t="s">
        <v>3812</v>
      </c>
      <c r="F3147" s="38" t="s">
        <v>3796</v>
      </c>
      <c r="G3147" s="38">
        <v>9.903289405711E12</v>
      </c>
      <c r="H3147" s="38" t="s">
        <v>3797</v>
      </c>
      <c r="I3147" s="38" t="s">
        <v>3798</v>
      </c>
      <c r="J3147" s="38" t="s">
        <v>134</v>
      </c>
      <c r="K3147" s="38" t="s">
        <v>126</v>
      </c>
      <c r="L3147" s="41">
        <v>46009.614583333336</v>
      </c>
      <c r="M3147" s="38" t="s">
        <v>123</v>
      </c>
      <c r="N3147" s="41">
        <v>46009.625</v>
      </c>
      <c r="O3147" s="38" t="s">
        <v>123</v>
      </c>
      <c r="P3147" s="38">
        <v>900.0</v>
      </c>
      <c r="Q3147" s="39"/>
      <c r="R3147" s="39"/>
      <c r="S3147" s="39"/>
      <c r="T3147" s="39"/>
      <c r="U3147" s="39"/>
    </row>
    <row r="3148">
      <c r="A3148" s="40">
        <f t="shared" si="1"/>
        <v>46006</v>
      </c>
      <c r="B3148" s="37" t="str">
        <f t="array" ref="B3148">iferror(xlookup($I3148, 'IMPORT VHC Report'!$E:$E, 'IMPORT VHC Report'!$A:$C), )</f>
        <v/>
      </c>
      <c r="C3148" s="37"/>
      <c r="D3148" s="37"/>
      <c r="E3148" s="38" t="s">
        <v>3813</v>
      </c>
      <c r="F3148" s="38" t="s">
        <v>3796</v>
      </c>
      <c r="G3148" s="38">
        <v>9.903289405711E12</v>
      </c>
      <c r="H3148" s="38" t="s">
        <v>3797</v>
      </c>
      <c r="I3148" s="38" t="s">
        <v>3798</v>
      </c>
      <c r="J3148" s="38" t="s">
        <v>132</v>
      </c>
      <c r="K3148" s="38" t="s">
        <v>126</v>
      </c>
      <c r="L3148" s="41">
        <v>46009.739583333336</v>
      </c>
      <c r="M3148" s="38" t="s">
        <v>123</v>
      </c>
      <c r="N3148" s="41">
        <v>46009.78125</v>
      </c>
      <c r="O3148" s="38" t="s">
        <v>123</v>
      </c>
      <c r="P3148" s="38">
        <v>3600.0</v>
      </c>
      <c r="Q3148" s="39"/>
      <c r="R3148" s="39"/>
      <c r="S3148" s="39"/>
      <c r="T3148" s="39"/>
      <c r="U3148" s="39"/>
    </row>
    <row r="3149">
      <c r="A3149" s="40">
        <f t="shared" si="1"/>
        <v>46006</v>
      </c>
      <c r="B3149" s="37" t="str">
        <f t="array" ref="B3149">iferror(xlookup($I3149, 'IMPORT VHC Report'!$E:$E, 'IMPORT VHC Report'!$A:$C), )</f>
        <v/>
      </c>
      <c r="C3149" s="37"/>
      <c r="D3149" s="37"/>
      <c r="E3149" s="38" t="s">
        <v>3814</v>
      </c>
      <c r="F3149" s="38" t="s">
        <v>3796</v>
      </c>
      <c r="G3149" s="38">
        <v>9.903289405711E12</v>
      </c>
      <c r="H3149" s="38" t="s">
        <v>3797</v>
      </c>
      <c r="I3149" s="38" t="s">
        <v>3798</v>
      </c>
      <c r="J3149" s="38" t="s">
        <v>62</v>
      </c>
      <c r="K3149" s="38" t="s">
        <v>63</v>
      </c>
      <c r="L3149" s="41">
        <v>46009.739583333336</v>
      </c>
      <c r="M3149" s="38" t="s">
        <v>123</v>
      </c>
      <c r="N3149" s="41">
        <v>46009.802083333336</v>
      </c>
      <c r="O3149" s="38" t="s">
        <v>123</v>
      </c>
      <c r="P3149" s="38">
        <v>5400.0</v>
      </c>
      <c r="Q3149" s="39"/>
      <c r="R3149" s="39"/>
      <c r="S3149" s="39"/>
      <c r="T3149" s="39"/>
      <c r="U3149" s="39"/>
    </row>
    <row r="3150">
      <c r="A3150" s="40">
        <f t="shared" si="1"/>
        <v>46006</v>
      </c>
      <c r="B3150" s="37" t="str">
        <f t="array" ref="B3150">iferror(xlookup($I3150, 'IMPORT VHC Report'!$E:$E, 'IMPORT VHC Report'!$A:$C), )</f>
        <v/>
      </c>
      <c r="C3150" s="37"/>
      <c r="D3150" s="37"/>
      <c r="E3150" s="38" t="s">
        <v>3815</v>
      </c>
      <c r="F3150" s="38" t="s">
        <v>3796</v>
      </c>
      <c r="G3150" s="38">
        <v>9.903289405711E12</v>
      </c>
      <c r="H3150" s="38" t="s">
        <v>3797</v>
      </c>
      <c r="I3150" s="38" t="s">
        <v>3798</v>
      </c>
      <c r="J3150" s="38" t="s">
        <v>3745</v>
      </c>
      <c r="K3150" s="38" t="s">
        <v>63</v>
      </c>
      <c r="L3150" s="41">
        <v>46009.802083333336</v>
      </c>
      <c r="M3150" s="38" t="s">
        <v>123</v>
      </c>
      <c r="N3150" s="41">
        <v>46009.833333333336</v>
      </c>
      <c r="O3150" s="38" t="s">
        <v>123</v>
      </c>
      <c r="P3150" s="38">
        <v>2700.0</v>
      </c>
      <c r="Q3150" s="39"/>
      <c r="R3150" s="39"/>
      <c r="S3150" s="39"/>
      <c r="T3150" s="39"/>
      <c r="U3150" s="39"/>
    </row>
    <row r="3151">
      <c r="A3151" s="40">
        <f t="shared" si="1"/>
        <v>46006</v>
      </c>
      <c r="B3151" s="37" t="str">
        <f t="array" ref="B3151">iferror(xlookup($I3151, 'IMPORT VHC Report'!$E:$E, 'IMPORT VHC Report'!$A:$C), )</f>
        <v/>
      </c>
      <c r="C3151" s="37"/>
      <c r="D3151" s="37"/>
      <c r="E3151" s="38" t="s">
        <v>3816</v>
      </c>
      <c r="F3151" s="38" t="s">
        <v>3796</v>
      </c>
      <c r="G3151" s="38">
        <v>9.903289405711E12</v>
      </c>
      <c r="H3151" s="38" t="s">
        <v>3797</v>
      </c>
      <c r="I3151" s="38" t="s">
        <v>3798</v>
      </c>
      <c r="J3151" s="38" t="s">
        <v>3745</v>
      </c>
      <c r="K3151" s="38" t="s">
        <v>63</v>
      </c>
      <c r="L3151" s="41">
        <v>46010.458333333336</v>
      </c>
      <c r="M3151" s="38" t="s">
        <v>123</v>
      </c>
      <c r="N3151" s="41">
        <v>46010.833333333336</v>
      </c>
      <c r="O3151" s="38" t="s">
        <v>123</v>
      </c>
      <c r="P3151" s="38">
        <v>32400.0</v>
      </c>
      <c r="Q3151" s="39"/>
      <c r="R3151" s="39"/>
      <c r="S3151" s="39"/>
      <c r="T3151" s="39"/>
      <c r="U3151" s="39"/>
    </row>
    <row r="3152">
      <c r="A3152" s="40">
        <f t="shared" si="1"/>
        <v>46006</v>
      </c>
      <c r="B3152" s="37" t="str">
        <f t="array" ref="B3152">iferror(xlookup($I3152, 'IMPORT VHC Report'!$E:$E, 'IMPORT VHC Report'!$A:$C), )</f>
        <v/>
      </c>
      <c r="C3152" s="37"/>
      <c r="D3152" s="37"/>
      <c r="E3152" s="38" t="s">
        <v>3817</v>
      </c>
      <c r="F3152" s="38" t="s">
        <v>3796</v>
      </c>
      <c r="G3152" s="38">
        <v>9.903289405711E12</v>
      </c>
      <c r="H3152" s="38" t="s">
        <v>3797</v>
      </c>
      <c r="I3152" s="38" t="s">
        <v>3798</v>
      </c>
      <c r="J3152" s="38" t="s">
        <v>134</v>
      </c>
      <c r="K3152" s="38" t="s">
        <v>126</v>
      </c>
      <c r="L3152" s="41">
        <v>46010.5625</v>
      </c>
      <c r="M3152" s="38" t="s">
        <v>123</v>
      </c>
      <c r="N3152" s="41">
        <v>46010.572916666664</v>
      </c>
      <c r="O3152" s="38" t="s">
        <v>123</v>
      </c>
      <c r="P3152" s="38">
        <v>900.0</v>
      </c>
      <c r="Q3152" s="39"/>
      <c r="R3152" s="39"/>
      <c r="S3152" s="39"/>
      <c r="T3152" s="39"/>
      <c r="U3152" s="39"/>
    </row>
    <row r="3153">
      <c r="A3153" s="40">
        <f t="shared" si="1"/>
        <v>46006</v>
      </c>
      <c r="B3153" s="37" t="str">
        <f t="array" ref="B3153">iferror(xlookup($I3153, 'IMPORT VHC Report'!$E:$E, 'IMPORT VHC Report'!$A:$C), )</f>
        <v/>
      </c>
      <c r="C3153" s="37"/>
      <c r="D3153" s="37"/>
      <c r="E3153" s="38" t="s">
        <v>3818</v>
      </c>
      <c r="F3153" s="38" t="s">
        <v>3796</v>
      </c>
      <c r="G3153" s="38">
        <v>9.903289405711E12</v>
      </c>
      <c r="H3153" s="38" t="s">
        <v>3797</v>
      </c>
      <c r="I3153" s="38" t="s">
        <v>3798</v>
      </c>
      <c r="J3153" s="38" t="s">
        <v>134</v>
      </c>
      <c r="K3153" s="38" t="s">
        <v>126</v>
      </c>
      <c r="L3153" s="41">
        <v>46010.666666666664</v>
      </c>
      <c r="M3153" s="38" t="s">
        <v>123</v>
      </c>
      <c r="N3153" s="41">
        <v>46010.677083333336</v>
      </c>
      <c r="O3153" s="38" t="s">
        <v>123</v>
      </c>
      <c r="P3153" s="38">
        <v>900.0</v>
      </c>
      <c r="Q3153" s="39"/>
      <c r="R3153" s="39"/>
      <c r="S3153" s="39"/>
      <c r="T3153" s="39"/>
      <c r="U3153" s="39"/>
    </row>
    <row r="3154">
      <c r="A3154" s="40">
        <f t="shared" si="1"/>
        <v>46006</v>
      </c>
      <c r="B3154" s="37" t="str">
        <f t="array" ref="B3154">iferror(xlookup($I3154, 'IMPORT VHC Report'!$E:$E, 'IMPORT VHC Report'!$A:$C), )</f>
        <v/>
      </c>
      <c r="C3154" s="37"/>
      <c r="D3154" s="37"/>
      <c r="E3154" s="38" t="s">
        <v>3819</v>
      </c>
      <c r="F3154" s="38" t="s">
        <v>3796</v>
      </c>
      <c r="G3154" s="38">
        <v>9.903289405711E12</v>
      </c>
      <c r="H3154" s="38" t="s">
        <v>3797</v>
      </c>
      <c r="I3154" s="38" t="s">
        <v>3798</v>
      </c>
      <c r="J3154" s="38" t="s">
        <v>132</v>
      </c>
      <c r="K3154" s="38" t="s">
        <v>126</v>
      </c>
      <c r="L3154" s="41">
        <v>46010.71875</v>
      </c>
      <c r="M3154" s="38" t="s">
        <v>123</v>
      </c>
      <c r="N3154" s="41">
        <v>46010.760416666664</v>
      </c>
      <c r="O3154" s="38" t="s">
        <v>123</v>
      </c>
      <c r="P3154" s="38">
        <v>3600.0</v>
      </c>
      <c r="Q3154" s="39"/>
      <c r="R3154" s="39"/>
      <c r="S3154" s="39"/>
      <c r="T3154" s="39"/>
      <c r="U3154" s="39"/>
    </row>
    <row r="3155">
      <c r="A3155" s="40">
        <f t="shared" si="1"/>
        <v>46006</v>
      </c>
      <c r="B3155" s="37" t="str">
        <f t="array" ref="B3155">iferror(xlookup($I3155, 'IMPORT VHC Report'!$E:$E, 'IMPORT VHC Report'!$A:$C), )</f>
        <v/>
      </c>
      <c r="C3155" s="37"/>
      <c r="D3155" s="37"/>
      <c r="E3155" s="38" t="s">
        <v>3820</v>
      </c>
      <c r="F3155" s="38" t="s">
        <v>3821</v>
      </c>
      <c r="G3155" s="38">
        <v>9.903274706831E12</v>
      </c>
      <c r="H3155" s="38" t="s">
        <v>3822</v>
      </c>
      <c r="I3155" s="38" t="s">
        <v>3823</v>
      </c>
      <c r="J3155" s="38" t="s">
        <v>3745</v>
      </c>
      <c r="K3155" s="38" t="s">
        <v>63</v>
      </c>
      <c r="L3155" s="41">
        <v>46006.458333333336</v>
      </c>
      <c r="M3155" s="38" t="s">
        <v>123</v>
      </c>
      <c r="N3155" s="41">
        <v>46006.833333333336</v>
      </c>
      <c r="O3155" s="38" t="s">
        <v>123</v>
      </c>
      <c r="P3155" s="38">
        <v>32400.0</v>
      </c>
      <c r="Q3155" s="39"/>
      <c r="R3155" s="39"/>
      <c r="S3155" s="39"/>
      <c r="T3155" s="39"/>
      <c r="U3155" s="39"/>
    </row>
    <row r="3156">
      <c r="A3156" s="40">
        <f t="shared" si="1"/>
        <v>46006</v>
      </c>
      <c r="B3156" s="37" t="str">
        <f t="array" ref="B3156">iferror(xlookup($I3156, 'IMPORT VHC Report'!$E:$E, 'IMPORT VHC Report'!$A:$C), )</f>
        <v/>
      </c>
      <c r="C3156" s="37"/>
      <c r="D3156" s="37"/>
      <c r="E3156" s="38" t="s">
        <v>3824</v>
      </c>
      <c r="F3156" s="38" t="s">
        <v>3821</v>
      </c>
      <c r="G3156" s="38">
        <v>9.903274706831E12</v>
      </c>
      <c r="H3156" s="38" t="s">
        <v>3822</v>
      </c>
      <c r="I3156" s="38" t="s">
        <v>3823</v>
      </c>
      <c r="J3156" s="38" t="s">
        <v>134</v>
      </c>
      <c r="K3156" s="38" t="s">
        <v>126</v>
      </c>
      <c r="L3156" s="41">
        <v>46006.583333333336</v>
      </c>
      <c r="M3156" s="38" t="s">
        <v>123</v>
      </c>
      <c r="N3156" s="41">
        <v>46006.59375</v>
      </c>
      <c r="O3156" s="38" t="s">
        <v>123</v>
      </c>
      <c r="P3156" s="38">
        <v>900.0</v>
      </c>
      <c r="Q3156" s="39"/>
      <c r="R3156" s="39"/>
      <c r="S3156" s="39"/>
      <c r="T3156" s="39"/>
      <c r="U3156" s="39"/>
    </row>
    <row r="3157">
      <c r="A3157" s="40">
        <f t="shared" si="1"/>
        <v>46006</v>
      </c>
      <c r="B3157" s="37" t="str">
        <f t="array" ref="B3157">iferror(xlookup($I3157, 'IMPORT VHC Report'!$E:$E, 'IMPORT VHC Report'!$A:$C), )</f>
        <v/>
      </c>
      <c r="C3157" s="37"/>
      <c r="D3157" s="37"/>
      <c r="E3157" s="38" t="s">
        <v>3825</v>
      </c>
      <c r="F3157" s="38" t="s">
        <v>3821</v>
      </c>
      <c r="G3157" s="38">
        <v>9.903274706831E12</v>
      </c>
      <c r="H3157" s="38" t="s">
        <v>3822</v>
      </c>
      <c r="I3157" s="38" t="s">
        <v>3823</v>
      </c>
      <c r="J3157" s="38" t="s">
        <v>134</v>
      </c>
      <c r="K3157" s="38" t="s">
        <v>126</v>
      </c>
      <c r="L3157" s="41">
        <v>46006.677083333336</v>
      </c>
      <c r="M3157" s="38" t="s">
        <v>123</v>
      </c>
      <c r="N3157" s="41">
        <v>46006.6875</v>
      </c>
      <c r="O3157" s="38" t="s">
        <v>123</v>
      </c>
      <c r="P3157" s="38">
        <v>900.0</v>
      </c>
      <c r="Q3157" s="39"/>
      <c r="R3157" s="39"/>
      <c r="S3157" s="39"/>
      <c r="T3157" s="39"/>
      <c r="U3157" s="39"/>
    </row>
    <row r="3158">
      <c r="A3158" s="40">
        <f t="shared" si="1"/>
        <v>46006</v>
      </c>
      <c r="B3158" s="37" t="str">
        <f t="array" ref="B3158">iferror(xlookup($I3158, 'IMPORT VHC Report'!$E:$E, 'IMPORT VHC Report'!$A:$C), )</f>
        <v/>
      </c>
      <c r="C3158" s="37"/>
      <c r="D3158" s="37"/>
      <c r="E3158" s="38" t="s">
        <v>3826</v>
      </c>
      <c r="F3158" s="38" t="s">
        <v>3821</v>
      </c>
      <c r="G3158" s="38">
        <v>9.903274706831E12</v>
      </c>
      <c r="H3158" s="38" t="s">
        <v>3822</v>
      </c>
      <c r="I3158" s="38" t="s">
        <v>3823</v>
      </c>
      <c r="J3158" s="38" t="s">
        <v>132</v>
      </c>
      <c r="K3158" s="38" t="s">
        <v>126</v>
      </c>
      <c r="L3158" s="41">
        <v>46006.708333333336</v>
      </c>
      <c r="M3158" s="38" t="s">
        <v>123</v>
      </c>
      <c r="N3158" s="41">
        <v>46006.75</v>
      </c>
      <c r="O3158" s="38" t="s">
        <v>123</v>
      </c>
      <c r="P3158" s="38">
        <v>3600.0</v>
      </c>
      <c r="Q3158" s="39"/>
      <c r="R3158" s="39"/>
      <c r="S3158" s="39"/>
      <c r="T3158" s="39"/>
      <c r="U3158" s="39"/>
    </row>
    <row r="3159">
      <c r="A3159" s="40">
        <f t="shared" si="1"/>
        <v>46006</v>
      </c>
      <c r="B3159" s="37" t="str">
        <f t="array" ref="B3159">iferror(xlookup($I3159, 'IMPORT VHC Report'!$E:$E, 'IMPORT VHC Report'!$A:$C), )</f>
        <v/>
      </c>
      <c r="C3159" s="37"/>
      <c r="D3159" s="37"/>
      <c r="E3159" s="38" t="s">
        <v>3827</v>
      </c>
      <c r="F3159" s="38" t="s">
        <v>3821</v>
      </c>
      <c r="G3159" s="38">
        <v>9.903274706831E12</v>
      </c>
      <c r="H3159" s="38" t="s">
        <v>3822</v>
      </c>
      <c r="I3159" s="38" t="s">
        <v>3823</v>
      </c>
      <c r="J3159" s="38" t="s">
        <v>3745</v>
      </c>
      <c r="K3159" s="38" t="s">
        <v>63</v>
      </c>
      <c r="L3159" s="41">
        <v>46007.458333333336</v>
      </c>
      <c r="M3159" s="38" t="s">
        <v>123</v>
      </c>
      <c r="N3159" s="41">
        <v>46007.59375</v>
      </c>
      <c r="O3159" s="38" t="s">
        <v>123</v>
      </c>
      <c r="P3159" s="38">
        <v>11700.0</v>
      </c>
      <c r="Q3159" s="39"/>
      <c r="R3159" s="39"/>
      <c r="S3159" s="39"/>
      <c r="T3159" s="39"/>
      <c r="U3159" s="39"/>
    </row>
    <row r="3160">
      <c r="A3160" s="40">
        <f t="shared" si="1"/>
        <v>46006</v>
      </c>
      <c r="B3160" s="37" t="str">
        <f t="array" ref="B3160">iferror(xlookup($I3160, 'IMPORT VHC Report'!$E:$E, 'IMPORT VHC Report'!$A:$C), )</f>
        <v/>
      </c>
      <c r="C3160" s="37"/>
      <c r="D3160" s="37"/>
      <c r="E3160" s="38" t="s">
        <v>3828</v>
      </c>
      <c r="F3160" s="38" t="s">
        <v>3821</v>
      </c>
      <c r="G3160" s="38">
        <v>9.903274706831E12</v>
      </c>
      <c r="H3160" s="38" t="s">
        <v>3822</v>
      </c>
      <c r="I3160" s="38" t="s">
        <v>3823</v>
      </c>
      <c r="J3160" s="38" t="s">
        <v>134</v>
      </c>
      <c r="K3160" s="38" t="s">
        <v>126</v>
      </c>
      <c r="L3160" s="41">
        <v>46007.583333333336</v>
      </c>
      <c r="M3160" s="38" t="s">
        <v>123</v>
      </c>
      <c r="N3160" s="41">
        <v>46007.59375</v>
      </c>
      <c r="O3160" s="38" t="s">
        <v>123</v>
      </c>
      <c r="P3160" s="38">
        <v>900.0</v>
      </c>
      <c r="Q3160" s="39"/>
      <c r="R3160" s="39"/>
      <c r="S3160" s="39"/>
      <c r="T3160" s="39"/>
      <c r="U3160" s="39"/>
    </row>
    <row r="3161">
      <c r="A3161" s="40">
        <f t="shared" si="1"/>
        <v>46006</v>
      </c>
      <c r="B3161" s="37" t="str">
        <f t="array" ref="B3161">iferror(xlookup($I3161, 'IMPORT VHC Report'!$E:$E, 'IMPORT VHC Report'!$A:$C), )</f>
        <v/>
      </c>
      <c r="C3161" s="37"/>
      <c r="D3161" s="37"/>
      <c r="E3161" s="38" t="s">
        <v>3829</v>
      </c>
      <c r="F3161" s="38" t="s">
        <v>3821</v>
      </c>
      <c r="G3161" s="38">
        <v>9.903274706831E12</v>
      </c>
      <c r="H3161" s="38" t="s">
        <v>3822</v>
      </c>
      <c r="I3161" s="38" t="s">
        <v>3823</v>
      </c>
      <c r="J3161" s="38" t="s">
        <v>62</v>
      </c>
      <c r="K3161" s="38" t="s">
        <v>63</v>
      </c>
      <c r="L3161" s="41">
        <v>46007.583333333336</v>
      </c>
      <c r="M3161" s="38" t="s">
        <v>123</v>
      </c>
      <c r="N3161" s="41">
        <v>46007.614583333336</v>
      </c>
      <c r="O3161" s="38" t="s">
        <v>123</v>
      </c>
      <c r="P3161" s="38">
        <v>2700.0</v>
      </c>
      <c r="Q3161" s="39"/>
      <c r="R3161" s="39"/>
      <c r="S3161" s="39"/>
      <c r="T3161" s="39"/>
      <c r="U3161" s="39"/>
    </row>
    <row r="3162">
      <c r="A3162" s="40">
        <f t="shared" si="1"/>
        <v>46006</v>
      </c>
      <c r="B3162" s="37" t="str">
        <f t="array" ref="B3162">iferror(xlookup($I3162, 'IMPORT VHC Report'!$E:$E, 'IMPORT VHC Report'!$A:$C), )</f>
        <v/>
      </c>
      <c r="C3162" s="37"/>
      <c r="D3162" s="37"/>
      <c r="E3162" s="38" t="s">
        <v>3830</v>
      </c>
      <c r="F3162" s="38" t="s">
        <v>3821</v>
      </c>
      <c r="G3162" s="38">
        <v>9.903274706831E12</v>
      </c>
      <c r="H3162" s="38" t="s">
        <v>3822</v>
      </c>
      <c r="I3162" s="38" t="s">
        <v>3823</v>
      </c>
      <c r="J3162" s="38" t="s">
        <v>3745</v>
      </c>
      <c r="K3162" s="38" t="s">
        <v>63</v>
      </c>
      <c r="L3162" s="41">
        <v>46007.614583333336</v>
      </c>
      <c r="M3162" s="38" t="s">
        <v>123</v>
      </c>
      <c r="N3162" s="41">
        <v>46007.833333333336</v>
      </c>
      <c r="O3162" s="38" t="s">
        <v>123</v>
      </c>
      <c r="P3162" s="38">
        <v>18900.0</v>
      </c>
      <c r="Q3162" s="39"/>
      <c r="R3162" s="39"/>
      <c r="S3162" s="39"/>
      <c r="T3162" s="39"/>
      <c r="U3162" s="39"/>
    </row>
    <row r="3163">
      <c r="A3163" s="40">
        <f t="shared" si="1"/>
        <v>46006</v>
      </c>
      <c r="B3163" s="37" t="str">
        <f t="array" ref="B3163">iferror(xlookup($I3163, 'IMPORT VHC Report'!$E:$E, 'IMPORT VHC Report'!$A:$C), )</f>
        <v/>
      </c>
      <c r="C3163" s="37"/>
      <c r="D3163" s="37"/>
      <c r="E3163" s="38" t="s">
        <v>3831</v>
      </c>
      <c r="F3163" s="38" t="s">
        <v>3821</v>
      </c>
      <c r="G3163" s="38">
        <v>9.903274706831E12</v>
      </c>
      <c r="H3163" s="38" t="s">
        <v>3822</v>
      </c>
      <c r="I3163" s="38" t="s">
        <v>3823</v>
      </c>
      <c r="J3163" s="38" t="s">
        <v>132</v>
      </c>
      <c r="K3163" s="38" t="s">
        <v>126</v>
      </c>
      <c r="L3163" s="41">
        <v>46007.65625</v>
      </c>
      <c r="M3163" s="38" t="s">
        <v>123</v>
      </c>
      <c r="N3163" s="41">
        <v>46007.697916666664</v>
      </c>
      <c r="O3163" s="38" t="s">
        <v>123</v>
      </c>
      <c r="P3163" s="38">
        <v>3600.0</v>
      </c>
      <c r="Q3163" s="39"/>
      <c r="R3163" s="39"/>
      <c r="S3163" s="39"/>
      <c r="T3163" s="39"/>
      <c r="U3163" s="39"/>
    </row>
    <row r="3164">
      <c r="A3164" s="40">
        <f t="shared" si="1"/>
        <v>46006</v>
      </c>
      <c r="B3164" s="37" t="str">
        <f t="array" ref="B3164">iferror(xlookup($I3164, 'IMPORT VHC Report'!$E:$E, 'IMPORT VHC Report'!$A:$C), )</f>
        <v/>
      </c>
      <c r="C3164" s="37"/>
      <c r="D3164" s="37"/>
      <c r="E3164" s="38" t="s">
        <v>3832</v>
      </c>
      <c r="F3164" s="38" t="s">
        <v>3821</v>
      </c>
      <c r="G3164" s="38">
        <v>9.903274706831E12</v>
      </c>
      <c r="H3164" s="38" t="s">
        <v>3822</v>
      </c>
      <c r="I3164" s="38" t="s">
        <v>3823</v>
      </c>
      <c r="J3164" s="38" t="s">
        <v>134</v>
      </c>
      <c r="K3164" s="38" t="s">
        <v>126</v>
      </c>
      <c r="L3164" s="41">
        <v>46007.729166666664</v>
      </c>
      <c r="M3164" s="38" t="s">
        <v>123</v>
      </c>
      <c r="N3164" s="41">
        <v>46007.739583333336</v>
      </c>
      <c r="O3164" s="38" t="s">
        <v>123</v>
      </c>
      <c r="P3164" s="38">
        <v>900.0</v>
      </c>
      <c r="Q3164" s="39"/>
      <c r="R3164" s="39"/>
      <c r="S3164" s="39"/>
      <c r="T3164" s="39"/>
      <c r="U3164" s="39"/>
    </row>
    <row r="3165">
      <c r="A3165" s="40">
        <f t="shared" si="1"/>
        <v>46006</v>
      </c>
      <c r="B3165" s="37" t="str">
        <f t="array" ref="B3165">iferror(xlookup($I3165, 'IMPORT VHC Report'!$E:$E, 'IMPORT VHC Report'!$A:$C), )</f>
        <v/>
      </c>
      <c r="C3165" s="37"/>
      <c r="D3165" s="37"/>
      <c r="E3165" s="38" t="s">
        <v>3833</v>
      </c>
      <c r="F3165" s="38" t="s">
        <v>3821</v>
      </c>
      <c r="G3165" s="38">
        <v>9.903274706831E12</v>
      </c>
      <c r="H3165" s="38" t="s">
        <v>3822</v>
      </c>
      <c r="I3165" s="38" t="s">
        <v>3823</v>
      </c>
      <c r="J3165" s="38" t="s">
        <v>3745</v>
      </c>
      <c r="K3165" s="38" t="s">
        <v>63</v>
      </c>
      <c r="L3165" s="41">
        <v>46008.458333333336</v>
      </c>
      <c r="M3165" s="38" t="s">
        <v>123</v>
      </c>
      <c r="N3165" s="41">
        <v>46008.833333333336</v>
      </c>
      <c r="O3165" s="38" t="s">
        <v>123</v>
      </c>
      <c r="P3165" s="38">
        <v>32400.0</v>
      </c>
      <c r="Q3165" s="39"/>
      <c r="R3165" s="39"/>
      <c r="S3165" s="39"/>
      <c r="T3165" s="39"/>
      <c r="U3165" s="39"/>
    </row>
    <row r="3166">
      <c r="A3166" s="40">
        <f t="shared" si="1"/>
        <v>46006</v>
      </c>
      <c r="B3166" s="37" t="str">
        <f t="array" ref="B3166">iferror(xlookup($I3166, 'IMPORT VHC Report'!$E:$E, 'IMPORT VHC Report'!$A:$C), )</f>
        <v/>
      </c>
      <c r="C3166" s="37"/>
      <c r="D3166" s="37"/>
      <c r="E3166" s="38" t="s">
        <v>3834</v>
      </c>
      <c r="F3166" s="38" t="s">
        <v>3821</v>
      </c>
      <c r="G3166" s="38">
        <v>9.903274706831E12</v>
      </c>
      <c r="H3166" s="38" t="s">
        <v>3822</v>
      </c>
      <c r="I3166" s="38" t="s">
        <v>3823</v>
      </c>
      <c r="J3166" s="38" t="s">
        <v>134</v>
      </c>
      <c r="K3166" s="38" t="s">
        <v>126</v>
      </c>
      <c r="L3166" s="41">
        <v>46008.583333333336</v>
      </c>
      <c r="M3166" s="38" t="s">
        <v>123</v>
      </c>
      <c r="N3166" s="41">
        <v>46008.59375</v>
      </c>
      <c r="O3166" s="38" t="s">
        <v>123</v>
      </c>
      <c r="P3166" s="38">
        <v>900.0</v>
      </c>
      <c r="Q3166" s="39"/>
      <c r="R3166" s="39"/>
      <c r="S3166" s="39"/>
      <c r="T3166" s="39"/>
      <c r="U3166" s="39"/>
    </row>
    <row r="3167">
      <c r="A3167" s="40">
        <f t="shared" si="1"/>
        <v>46006</v>
      </c>
      <c r="B3167" s="37" t="str">
        <f t="array" ref="B3167">iferror(xlookup($I3167, 'IMPORT VHC Report'!$E:$E, 'IMPORT VHC Report'!$A:$C), )</f>
        <v/>
      </c>
      <c r="C3167" s="37"/>
      <c r="D3167" s="37"/>
      <c r="E3167" s="38" t="s">
        <v>3835</v>
      </c>
      <c r="F3167" s="38" t="s">
        <v>3821</v>
      </c>
      <c r="G3167" s="38">
        <v>9.903274706831E12</v>
      </c>
      <c r="H3167" s="38" t="s">
        <v>3822</v>
      </c>
      <c r="I3167" s="38" t="s">
        <v>3823</v>
      </c>
      <c r="J3167" s="38" t="s">
        <v>134</v>
      </c>
      <c r="K3167" s="38" t="s">
        <v>126</v>
      </c>
      <c r="L3167" s="41">
        <v>46008.65625</v>
      </c>
      <c r="M3167" s="38" t="s">
        <v>123</v>
      </c>
      <c r="N3167" s="41">
        <v>46008.666666666664</v>
      </c>
      <c r="O3167" s="38" t="s">
        <v>123</v>
      </c>
      <c r="P3167" s="38">
        <v>900.0</v>
      </c>
      <c r="Q3167" s="39"/>
      <c r="R3167" s="39"/>
      <c r="S3167" s="39"/>
      <c r="T3167" s="39"/>
      <c r="U3167" s="39"/>
    </row>
    <row r="3168">
      <c r="A3168" s="40">
        <f t="shared" si="1"/>
        <v>46006</v>
      </c>
      <c r="B3168" s="37" t="str">
        <f t="array" ref="B3168">iferror(xlookup($I3168, 'IMPORT VHC Report'!$E:$E, 'IMPORT VHC Report'!$A:$C), )</f>
        <v/>
      </c>
      <c r="C3168" s="37"/>
      <c r="D3168" s="37"/>
      <c r="E3168" s="38" t="s">
        <v>3836</v>
      </c>
      <c r="F3168" s="38" t="s">
        <v>3821</v>
      </c>
      <c r="G3168" s="38">
        <v>9.903274706831E12</v>
      </c>
      <c r="H3168" s="38" t="s">
        <v>3822</v>
      </c>
      <c r="I3168" s="38" t="s">
        <v>3823</v>
      </c>
      <c r="J3168" s="38" t="s">
        <v>132</v>
      </c>
      <c r="K3168" s="38" t="s">
        <v>126</v>
      </c>
      <c r="L3168" s="41">
        <v>46008.697916666664</v>
      </c>
      <c r="M3168" s="38" t="s">
        <v>123</v>
      </c>
      <c r="N3168" s="41">
        <v>46008.739583333336</v>
      </c>
      <c r="O3168" s="38" t="s">
        <v>123</v>
      </c>
      <c r="P3168" s="38">
        <v>3600.0</v>
      </c>
      <c r="Q3168" s="39"/>
      <c r="R3168" s="39"/>
      <c r="S3168" s="39"/>
      <c r="T3168" s="39"/>
      <c r="U3168" s="39"/>
    </row>
    <row r="3169">
      <c r="A3169" s="40">
        <f t="shared" si="1"/>
        <v>46006</v>
      </c>
      <c r="B3169" s="37" t="str">
        <f t="array" ref="B3169">iferror(xlookup($I3169, 'IMPORT VHC Report'!$E:$E, 'IMPORT VHC Report'!$A:$C), )</f>
        <v/>
      </c>
      <c r="C3169" s="37"/>
      <c r="D3169" s="37"/>
      <c r="E3169" s="38" t="s">
        <v>3837</v>
      </c>
      <c r="F3169" s="38" t="s">
        <v>3821</v>
      </c>
      <c r="G3169" s="38">
        <v>9.903274706831E12</v>
      </c>
      <c r="H3169" s="38" t="s">
        <v>3822</v>
      </c>
      <c r="I3169" s="38" t="s">
        <v>3823</v>
      </c>
      <c r="J3169" s="38" t="s">
        <v>3745</v>
      </c>
      <c r="K3169" s="38" t="s">
        <v>63</v>
      </c>
      <c r="L3169" s="41">
        <v>46009.458333333336</v>
      </c>
      <c r="M3169" s="38" t="s">
        <v>123</v>
      </c>
      <c r="N3169" s="41">
        <v>46009.833333333336</v>
      </c>
      <c r="O3169" s="38" t="s">
        <v>123</v>
      </c>
      <c r="P3169" s="38">
        <v>32400.0</v>
      </c>
      <c r="Q3169" s="39"/>
      <c r="R3169" s="39"/>
      <c r="S3169" s="39"/>
      <c r="T3169" s="39"/>
      <c r="U3169" s="39"/>
    </row>
    <row r="3170">
      <c r="A3170" s="40">
        <f t="shared" si="1"/>
        <v>46006</v>
      </c>
      <c r="B3170" s="37" t="str">
        <f t="array" ref="B3170">iferror(xlookup($I3170, 'IMPORT VHC Report'!$E:$E, 'IMPORT VHC Report'!$A:$C), )</f>
        <v/>
      </c>
      <c r="C3170" s="37"/>
      <c r="D3170" s="37"/>
      <c r="E3170" s="38" t="s">
        <v>3838</v>
      </c>
      <c r="F3170" s="38" t="s">
        <v>3821</v>
      </c>
      <c r="G3170" s="38">
        <v>9.903274706831E12</v>
      </c>
      <c r="H3170" s="38" t="s">
        <v>3822</v>
      </c>
      <c r="I3170" s="38" t="s">
        <v>3823</v>
      </c>
      <c r="J3170" s="38" t="s">
        <v>134</v>
      </c>
      <c r="K3170" s="38" t="s">
        <v>126</v>
      </c>
      <c r="L3170" s="41">
        <v>46009.552083333336</v>
      </c>
      <c r="M3170" s="38" t="s">
        <v>123</v>
      </c>
      <c r="N3170" s="41">
        <v>46009.5625</v>
      </c>
      <c r="O3170" s="38" t="s">
        <v>123</v>
      </c>
      <c r="P3170" s="38">
        <v>900.0</v>
      </c>
      <c r="Q3170" s="39"/>
      <c r="R3170" s="39"/>
      <c r="S3170" s="39"/>
      <c r="T3170" s="39"/>
      <c r="U3170" s="39"/>
    </row>
    <row r="3171">
      <c r="A3171" s="40">
        <f t="shared" si="1"/>
        <v>46006</v>
      </c>
      <c r="B3171" s="37" t="str">
        <f t="array" ref="B3171">iferror(xlookup($I3171, 'IMPORT VHC Report'!$E:$E, 'IMPORT VHC Report'!$A:$C), )</f>
        <v/>
      </c>
      <c r="C3171" s="37"/>
      <c r="D3171" s="37"/>
      <c r="E3171" s="38" t="s">
        <v>3839</v>
      </c>
      <c r="F3171" s="38" t="s">
        <v>3821</v>
      </c>
      <c r="G3171" s="38">
        <v>9.903274706831E12</v>
      </c>
      <c r="H3171" s="38" t="s">
        <v>3822</v>
      </c>
      <c r="I3171" s="38" t="s">
        <v>3823</v>
      </c>
      <c r="J3171" s="38" t="s">
        <v>134</v>
      </c>
      <c r="K3171" s="38" t="s">
        <v>126</v>
      </c>
      <c r="L3171" s="41">
        <v>46009.614583333336</v>
      </c>
      <c r="M3171" s="38" t="s">
        <v>123</v>
      </c>
      <c r="N3171" s="41">
        <v>46009.625</v>
      </c>
      <c r="O3171" s="38" t="s">
        <v>123</v>
      </c>
      <c r="P3171" s="38">
        <v>900.0</v>
      </c>
      <c r="Q3171" s="39"/>
      <c r="R3171" s="39"/>
      <c r="S3171" s="39"/>
      <c r="T3171" s="39"/>
      <c r="U3171" s="39"/>
    </row>
    <row r="3172">
      <c r="A3172" s="40">
        <f t="shared" si="1"/>
        <v>46006</v>
      </c>
      <c r="B3172" s="37" t="str">
        <f t="array" ref="B3172">iferror(xlookup($I3172, 'IMPORT VHC Report'!$E:$E, 'IMPORT VHC Report'!$A:$C), )</f>
        <v/>
      </c>
      <c r="C3172" s="37"/>
      <c r="D3172" s="37"/>
      <c r="E3172" s="38" t="s">
        <v>3840</v>
      </c>
      <c r="F3172" s="38" t="s">
        <v>3821</v>
      </c>
      <c r="G3172" s="38">
        <v>9.903274706831E12</v>
      </c>
      <c r="H3172" s="38" t="s">
        <v>3822</v>
      </c>
      <c r="I3172" s="38" t="s">
        <v>3823</v>
      </c>
      <c r="J3172" s="38" t="s">
        <v>132</v>
      </c>
      <c r="K3172" s="38" t="s">
        <v>126</v>
      </c>
      <c r="L3172" s="41">
        <v>46009.75</v>
      </c>
      <c r="M3172" s="38" t="s">
        <v>123</v>
      </c>
      <c r="N3172" s="41">
        <v>46009.791666666664</v>
      </c>
      <c r="O3172" s="38" t="s">
        <v>123</v>
      </c>
      <c r="P3172" s="38">
        <v>3600.0</v>
      </c>
      <c r="Q3172" s="39"/>
      <c r="R3172" s="39"/>
      <c r="S3172" s="39"/>
      <c r="T3172" s="39"/>
      <c r="U3172" s="39"/>
    </row>
    <row r="3173">
      <c r="A3173" s="40">
        <f t="shared" si="1"/>
        <v>46006</v>
      </c>
      <c r="B3173" s="37" t="str">
        <f t="array" ref="B3173">iferror(xlookup($I3173, 'IMPORT VHC Report'!$E:$E, 'IMPORT VHC Report'!$A:$C), )</f>
        <v/>
      </c>
      <c r="C3173" s="37"/>
      <c r="D3173" s="37"/>
      <c r="E3173" s="38" t="s">
        <v>3841</v>
      </c>
      <c r="F3173" s="38" t="s">
        <v>3821</v>
      </c>
      <c r="G3173" s="38">
        <v>9.903274706831E12</v>
      </c>
      <c r="H3173" s="38" t="s">
        <v>3822</v>
      </c>
      <c r="I3173" s="38" t="s">
        <v>3823</v>
      </c>
      <c r="J3173" s="38" t="s">
        <v>3745</v>
      </c>
      <c r="K3173" s="38" t="s">
        <v>63</v>
      </c>
      <c r="L3173" s="41">
        <v>46010.458333333336</v>
      </c>
      <c r="M3173" s="38" t="s">
        <v>123</v>
      </c>
      <c r="N3173" s="41">
        <v>46010.833333333336</v>
      </c>
      <c r="O3173" s="38" t="s">
        <v>123</v>
      </c>
      <c r="P3173" s="38">
        <v>32400.0</v>
      </c>
      <c r="Q3173" s="39"/>
      <c r="R3173" s="39"/>
      <c r="S3173" s="39"/>
      <c r="T3173" s="39"/>
      <c r="U3173" s="39"/>
    </row>
    <row r="3174">
      <c r="A3174" s="40">
        <f t="shared" si="1"/>
        <v>46006</v>
      </c>
      <c r="B3174" s="37" t="str">
        <f t="array" ref="B3174">iferror(xlookup($I3174, 'IMPORT VHC Report'!$E:$E, 'IMPORT VHC Report'!$A:$C), )</f>
        <v/>
      </c>
      <c r="C3174" s="37"/>
      <c r="D3174" s="37"/>
      <c r="E3174" s="38" t="s">
        <v>3842</v>
      </c>
      <c r="F3174" s="38" t="s">
        <v>3821</v>
      </c>
      <c r="G3174" s="38">
        <v>9.903274706831E12</v>
      </c>
      <c r="H3174" s="38" t="s">
        <v>3822</v>
      </c>
      <c r="I3174" s="38" t="s">
        <v>3823</v>
      </c>
      <c r="J3174" s="38" t="s">
        <v>134</v>
      </c>
      <c r="K3174" s="38" t="s">
        <v>126</v>
      </c>
      <c r="L3174" s="41">
        <v>46010.572916666664</v>
      </c>
      <c r="M3174" s="38" t="s">
        <v>123</v>
      </c>
      <c r="N3174" s="41">
        <v>46010.583333333336</v>
      </c>
      <c r="O3174" s="38" t="s">
        <v>123</v>
      </c>
      <c r="P3174" s="38">
        <v>900.0</v>
      </c>
      <c r="Q3174" s="39"/>
      <c r="R3174" s="39"/>
      <c r="S3174" s="39"/>
      <c r="T3174" s="39"/>
      <c r="U3174" s="39"/>
    </row>
    <row r="3175">
      <c r="A3175" s="40">
        <f t="shared" si="1"/>
        <v>46006</v>
      </c>
      <c r="B3175" s="37" t="str">
        <f t="array" ref="B3175">iferror(xlookup($I3175, 'IMPORT VHC Report'!$E:$E, 'IMPORT VHC Report'!$A:$C), )</f>
        <v/>
      </c>
      <c r="C3175" s="37"/>
      <c r="D3175" s="37"/>
      <c r="E3175" s="38" t="s">
        <v>3843</v>
      </c>
      <c r="F3175" s="38" t="s">
        <v>3821</v>
      </c>
      <c r="G3175" s="38">
        <v>9.903274706831E12</v>
      </c>
      <c r="H3175" s="38" t="s">
        <v>3822</v>
      </c>
      <c r="I3175" s="38" t="s">
        <v>3823</v>
      </c>
      <c r="J3175" s="38" t="s">
        <v>4</v>
      </c>
      <c r="K3175" s="38" t="s">
        <v>126</v>
      </c>
      <c r="L3175" s="41">
        <v>46010.583333333336</v>
      </c>
      <c r="M3175" s="38" t="s">
        <v>123</v>
      </c>
      <c r="N3175" s="41">
        <v>46010.625</v>
      </c>
      <c r="O3175" s="38" t="s">
        <v>123</v>
      </c>
      <c r="P3175" s="38">
        <v>3600.0</v>
      </c>
      <c r="Q3175" s="39"/>
      <c r="R3175" s="39"/>
      <c r="S3175" s="38" t="s">
        <v>170</v>
      </c>
      <c r="T3175" s="39"/>
      <c r="U3175" s="39"/>
    </row>
    <row r="3176">
      <c r="A3176" s="40">
        <f t="shared" si="1"/>
        <v>46006</v>
      </c>
      <c r="B3176" s="37" t="str">
        <f t="array" ref="B3176">iferror(xlookup($I3176, 'IMPORT VHC Report'!$E:$E, 'IMPORT VHC Report'!$A:$C), )</f>
        <v/>
      </c>
      <c r="C3176" s="37"/>
      <c r="D3176" s="37"/>
      <c r="E3176" s="38" t="s">
        <v>3844</v>
      </c>
      <c r="F3176" s="38" t="s">
        <v>3821</v>
      </c>
      <c r="G3176" s="38">
        <v>9.903274706831E12</v>
      </c>
      <c r="H3176" s="38" t="s">
        <v>3822</v>
      </c>
      <c r="I3176" s="38" t="s">
        <v>3823</v>
      </c>
      <c r="J3176" s="38" t="s">
        <v>134</v>
      </c>
      <c r="K3176" s="38" t="s">
        <v>126</v>
      </c>
      <c r="L3176" s="41">
        <v>46010.635416666664</v>
      </c>
      <c r="M3176" s="38" t="s">
        <v>123</v>
      </c>
      <c r="N3176" s="41">
        <v>46010.645833333336</v>
      </c>
      <c r="O3176" s="38" t="s">
        <v>123</v>
      </c>
      <c r="P3176" s="38">
        <v>900.0</v>
      </c>
      <c r="Q3176" s="39"/>
      <c r="R3176" s="39"/>
      <c r="S3176" s="39"/>
      <c r="T3176" s="39"/>
      <c r="U3176" s="39"/>
    </row>
    <row r="3177">
      <c r="A3177" s="40">
        <f t="shared" si="1"/>
        <v>46006</v>
      </c>
      <c r="B3177" s="37" t="str">
        <f t="array" ref="B3177">iferror(xlookup($I3177, 'IMPORT VHC Report'!$E:$E, 'IMPORT VHC Report'!$A:$C), )</f>
        <v/>
      </c>
      <c r="C3177" s="37"/>
      <c r="D3177" s="37"/>
      <c r="E3177" s="38" t="s">
        <v>3845</v>
      </c>
      <c r="F3177" s="38" t="s">
        <v>3821</v>
      </c>
      <c r="G3177" s="38">
        <v>9.903274706831E12</v>
      </c>
      <c r="H3177" s="38" t="s">
        <v>3822</v>
      </c>
      <c r="I3177" s="38" t="s">
        <v>3823</v>
      </c>
      <c r="J3177" s="38" t="s">
        <v>132</v>
      </c>
      <c r="K3177" s="38" t="s">
        <v>126</v>
      </c>
      <c r="L3177" s="41">
        <v>46010.666666666664</v>
      </c>
      <c r="M3177" s="38" t="s">
        <v>123</v>
      </c>
      <c r="N3177" s="41">
        <v>46010.708333333336</v>
      </c>
      <c r="O3177" s="38" t="s">
        <v>123</v>
      </c>
      <c r="P3177" s="38">
        <v>3600.0</v>
      </c>
      <c r="Q3177" s="39"/>
      <c r="R3177" s="39"/>
      <c r="S3177" s="39"/>
      <c r="T3177" s="39"/>
      <c r="U3177" s="39"/>
    </row>
    <row r="3178">
      <c r="A3178" s="40">
        <f t="shared" si="1"/>
        <v>46006</v>
      </c>
      <c r="B3178" s="37" t="str">
        <f t="array" ref="B3178">iferror(xlookup($I3178, 'IMPORT VHC Report'!$E:$E, 'IMPORT VHC Report'!$A:$C), )</f>
        <v/>
      </c>
      <c r="C3178" s="37"/>
      <c r="D3178" s="37"/>
      <c r="E3178" s="38" t="s">
        <v>3846</v>
      </c>
      <c r="F3178" s="38" t="s">
        <v>3847</v>
      </c>
      <c r="G3178" s="38">
        <v>5.202378916623E12</v>
      </c>
      <c r="H3178" s="38" t="s">
        <v>3848</v>
      </c>
      <c r="I3178" s="38" t="s">
        <v>3849</v>
      </c>
      <c r="J3178" s="38" t="s">
        <v>224</v>
      </c>
      <c r="K3178" s="38" t="s">
        <v>63</v>
      </c>
      <c r="L3178" s="41">
        <v>46006.458333333336</v>
      </c>
      <c r="M3178" s="38" t="s">
        <v>123</v>
      </c>
      <c r="N3178" s="41">
        <v>46006.520833333336</v>
      </c>
      <c r="O3178" s="38" t="s">
        <v>123</v>
      </c>
      <c r="P3178" s="38">
        <v>5400.0</v>
      </c>
      <c r="Q3178" s="39"/>
      <c r="R3178" s="39"/>
      <c r="S3178" s="39"/>
      <c r="T3178" s="39"/>
      <c r="U3178" s="39"/>
    </row>
    <row r="3179">
      <c r="A3179" s="40">
        <f t="shared" si="1"/>
        <v>46006</v>
      </c>
      <c r="B3179" s="37" t="str">
        <f t="array" ref="B3179">iferror(xlookup($I3179, 'IMPORT VHC Report'!$E:$E, 'IMPORT VHC Report'!$A:$C), )</f>
        <v/>
      </c>
      <c r="C3179" s="37"/>
      <c r="D3179" s="37"/>
      <c r="E3179" s="38" t="s">
        <v>3850</v>
      </c>
      <c r="F3179" s="38" t="s">
        <v>3847</v>
      </c>
      <c r="G3179" s="38">
        <v>5.202378916623E12</v>
      </c>
      <c r="H3179" s="38" t="s">
        <v>3848</v>
      </c>
      <c r="I3179" s="38" t="s">
        <v>3849</v>
      </c>
      <c r="J3179" s="38" t="s">
        <v>4</v>
      </c>
      <c r="K3179" s="38" t="s">
        <v>126</v>
      </c>
      <c r="L3179" s="41">
        <v>46006.5</v>
      </c>
      <c r="M3179" s="38" t="s">
        <v>123</v>
      </c>
      <c r="N3179" s="41">
        <v>46006.541666666664</v>
      </c>
      <c r="O3179" s="38" t="s">
        <v>123</v>
      </c>
      <c r="P3179" s="38">
        <v>3600.0</v>
      </c>
      <c r="Q3179" s="39"/>
      <c r="R3179" s="39"/>
      <c r="S3179" s="38" t="s">
        <v>858</v>
      </c>
      <c r="T3179" s="39"/>
      <c r="U3179" s="39"/>
    </row>
    <row r="3180">
      <c r="A3180" s="40">
        <f t="shared" si="1"/>
        <v>46006</v>
      </c>
      <c r="B3180" s="37" t="str">
        <f t="array" ref="B3180">iferror(xlookup($I3180, 'IMPORT VHC Report'!$E:$E, 'IMPORT VHC Report'!$A:$C), )</f>
        <v/>
      </c>
      <c r="C3180" s="37"/>
      <c r="D3180" s="37"/>
      <c r="E3180" s="38" t="s">
        <v>3851</v>
      </c>
      <c r="F3180" s="38" t="s">
        <v>3847</v>
      </c>
      <c r="G3180" s="38">
        <v>5.202378916623E12</v>
      </c>
      <c r="H3180" s="38" t="s">
        <v>3848</v>
      </c>
      <c r="I3180" s="38" t="s">
        <v>3849</v>
      </c>
      <c r="J3180" s="38" t="s">
        <v>62</v>
      </c>
      <c r="K3180" s="38" t="s">
        <v>63</v>
      </c>
      <c r="L3180" s="41">
        <v>46006.520833333336</v>
      </c>
      <c r="M3180" s="38" t="s">
        <v>123</v>
      </c>
      <c r="N3180" s="41">
        <v>46006.541666666664</v>
      </c>
      <c r="O3180" s="38" t="s">
        <v>123</v>
      </c>
      <c r="P3180" s="38">
        <v>1800.0</v>
      </c>
      <c r="Q3180" s="39"/>
      <c r="R3180" s="39"/>
      <c r="S3180" s="39"/>
      <c r="T3180" s="39"/>
      <c r="U3180" s="39"/>
    </row>
    <row r="3181">
      <c r="A3181" s="40">
        <f t="shared" si="1"/>
        <v>46006</v>
      </c>
      <c r="B3181" s="37" t="str">
        <f t="array" ref="B3181">iferror(xlookup($I3181, 'IMPORT VHC Report'!$E:$E, 'IMPORT VHC Report'!$A:$C), )</f>
        <v/>
      </c>
      <c r="C3181" s="37"/>
      <c r="D3181" s="37"/>
      <c r="E3181" s="38" t="s">
        <v>3852</v>
      </c>
      <c r="F3181" s="38" t="s">
        <v>3847</v>
      </c>
      <c r="G3181" s="38">
        <v>5.202378916623E12</v>
      </c>
      <c r="H3181" s="38" t="s">
        <v>3848</v>
      </c>
      <c r="I3181" s="38" t="s">
        <v>3849</v>
      </c>
      <c r="J3181" s="38" t="s">
        <v>224</v>
      </c>
      <c r="K3181" s="38" t="s">
        <v>63</v>
      </c>
      <c r="L3181" s="41">
        <v>46006.541666666664</v>
      </c>
      <c r="M3181" s="38" t="s">
        <v>123</v>
      </c>
      <c r="N3181" s="41">
        <v>46006.833333333336</v>
      </c>
      <c r="O3181" s="38" t="s">
        <v>123</v>
      </c>
      <c r="P3181" s="38">
        <v>25200.0</v>
      </c>
      <c r="Q3181" s="39"/>
      <c r="R3181" s="39"/>
      <c r="S3181" s="39"/>
      <c r="T3181" s="39"/>
      <c r="U3181" s="39"/>
    </row>
    <row r="3182">
      <c r="A3182" s="40">
        <f t="shared" si="1"/>
        <v>46006</v>
      </c>
      <c r="B3182" s="37" t="str">
        <f t="array" ref="B3182">iferror(xlookup($I3182, 'IMPORT VHC Report'!$E:$E, 'IMPORT VHC Report'!$A:$C), )</f>
        <v/>
      </c>
      <c r="C3182" s="37"/>
      <c r="D3182" s="37"/>
      <c r="E3182" s="38" t="s">
        <v>3853</v>
      </c>
      <c r="F3182" s="38" t="s">
        <v>3847</v>
      </c>
      <c r="G3182" s="38">
        <v>5.202378916623E12</v>
      </c>
      <c r="H3182" s="38" t="s">
        <v>3848</v>
      </c>
      <c r="I3182" s="38" t="s">
        <v>3849</v>
      </c>
      <c r="J3182" s="38" t="s">
        <v>134</v>
      </c>
      <c r="K3182" s="38" t="s">
        <v>126</v>
      </c>
      <c r="L3182" s="41">
        <v>46006.5625</v>
      </c>
      <c r="M3182" s="38" t="s">
        <v>123</v>
      </c>
      <c r="N3182" s="41">
        <v>46006.572916666664</v>
      </c>
      <c r="O3182" s="38" t="s">
        <v>123</v>
      </c>
      <c r="P3182" s="38">
        <v>900.0</v>
      </c>
      <c r="Q3182" s="39"/>
      <c r="R3182" s="39"/>
      <c r="S3182" s="39"/>
      <c r="T3182" s="39"/>
      <c r="U3182" s="39"/>
    </row>
    <row r="3183">
      <c r="A3183" s="40">
        <f t="shared" si="1"/>
        <v>46006</v>
      </c>
      <c r="B3183" s="37" t="str">
        <f t="array" ref="B3183">iferror(xlookup($I3183, 'IMPORT VHC Report'!$E:$E, 'IMPORT VHC Report'!$A:$C), )</f>
        <v/>
      </c>
      <c r="C3183" s="37"/>
      <c r="D3183" s="37"/>
      <c r="E3183" s="38" t="s">
        <v>3854</v>
      </c>
      <c r="F3183" s="38" t="s">
        <v>3847</v>
      </c>
      <c r="G3183" s="38">
        <v>5.202378916623E12</v>
      </c>
      <c r="H3183" s="38" t="s">
        <v>3848</v>
      </c>
      <c r="I3183" s="38" t="s">
        <v>3849</v>
      </c>
      <c r="J3183" s="38" t="s">
        <v>132</v>
      </c>
      <c r="K3183" s="38" t="s">
        <v>126</v>
      </c>
      <c r="L3183" s="41">
        <v>46006.635416666664</v>
      </c>
      <c r="M3183" s="38" t="s">
        <v>123</v>
      </c>
      <c r="N3183" s="41">
        <v>46006.677083333336</v>
      </c>
      <c r="O3183" s="38" t="s">
        <v>123</v>
      </c>
      <c r="P3183" s="38">
        <v>3600.0</v>
      </c>
      <c r="Q3183" s="39"/>
      <c r="R3183" s="39"/>
      <c r="S3183" s="39"/>
      <c r="T3183" s="39"/>
      <c r="U3183" s="39"/>
    </row>
    <row r="3184">
      <c r="A3184" s="40">
        <f t="shared" si="1"/>
        <v>46006</v>
      </c>
      <c r="B3184" s="37" t="str">
        <f t="array" ref="B3184">iferror(xlookup($I3184, 'IMPORT VHC Report'!$E:$E, 'IMPORT VHC Report'!$A:$C), )</f>
        <v/>
      </c>
      <c r="C3184" s="37"/>
      <c r="D3184" s="37"/>
      <c r="E3184" s="38" t="s">
        <v>3855</v>
      </c>
      <c r="F3184" s="38" t="s">
        <v>3847</v>
      </c>
      <c r="G3184" s="38">
        <v>5.202378916623E12</v>
      </c>
      <c r="H3184" s="38" t="s">
        <v>3848</v>
      </c>
      <c r="I3184" s="38" t="s">
        <v>3849</v>
      </c>
      <c r="J3184" s="38" t="s">
        <v>134</v>
      </c>
      <c r="K3184" s="38" t="s">
        <v>126</v>
      </c>
      <c r="L3184" s="41">
        <v>46006.75</v>
      </c>
      <c r="M3184" s="38" t="s">
        <v>123</v>
      </c>
      <c r="N3184" s="41">
        <v>46006.760416666664</v>
      </c>
      <c r="O3184" s="38" t="s">
        <v>123</v>
      </c>
      <c r="P3184" s="38">
        <v>900.0</v>
      </c>
      <c r="Q3184" s="39"/>
      <c r="R3184" s="39"/>
      <c r="S3184" s="39"/>
      <c r="T3184" s="39"/>
      <c r="U3184" s="39"/>
    </row>
    <row r="3185">
      <c r="A3185" s="40">
        <f t="shared" si="1"/>
        <v>46006</v>
      </c>
      <c r="B3185" s="37" t="str">
        <f t="array" ref="B3185">iferror(xlookup($I3185, 'IMPORT VHC Report'!$E:$E, 'IMPORT VHC Report'!$A:$C), )</f>
        <v/>
      </c>
      <c r="C3185" s="37"/>
      <c r="D3185" s="37"/>
      <c r="E3185" s="38" t="s">
        <v>3856</v>
      </c>
      <c r="F3185" s="38" t="s">
        <v>3847</v>
      </c>
      <c r="G3185" s="38">
        <v>5.202378916623E12</v>
      </c>
      <c r="H3185" s="38" t="s">
        <v>3848</v>
      </c>
      <c r="I3185" s="38" t="s">
        <v>3849</v>
      </c>
      <c r="J3185" s="38" t="s">
        <v>224</v>
      </c>
      <c r="K3185" s="38" t="s">
        <v>63</v>
      </c>
      <c r="L3185" s="41">
        <v>46007.458333333336</v>
      </c>
      <c r="M3185" s="38" t="s">
        <v>123</v>
      </c>
      <c r="N3185" s="41">
        <v>46007.833333333336</v>
      </c>
      <c r="O3185" s="38" t="s">
        <v>123</v>
      </c>
      <c r="P3185" s="38">
        <v>32400.0</v>
      </c>
      <c r="Q3185" s="39"/>
      <c r="R3185" s="39"/>
      <c r="S3185" s="39"/>
      <c r="T3185" s="39"/>
      <c r="U3185" s="39"/>
    </row>
    <row r="3186">
      <c r="A3186" s="40">
        <f t="shared" si="1"/>
        <v>46006</v>
      </c>
      <c r="B3186" s="37" t="str">
        <f t="array" ref="B3186">iferror(xlookup($I3186, 'IMPORT VHC Report'!$E:$E, 'IMPORT VHC Report'!$A:$C), )</f>
        <v/>
      </c>
      <c r="C3186" s="37"/>
      <c r="D3186" s="37"/>
      <c r="E3186" s="38" t="s">
        <v>3857</v>
      </c>
      <c r="F3186" s="38" t="s">
        <v>3847</v>
      </c>
      <c r="G3186" s="38">
        <v>5.202378916623E12</v>
      </c>
      <c r="H3186" s="38" t="s">
        <v>3848</v>
      </c>
      <c r="I3186" s="38" t="s">
        <v>3849</v>
      </c>
      <c r="J3186" s="38" t="s">
        <v>132</v>
      </c>
      <c r="K3186" s="38" t="s">
        <v>126</v>
      </c>
      <c r="L3186" s="41">
        <v>46007.541666666664</v>
      </c>
      <c r="M3186" s="38" t="s">
        <v>123</v>
      </c>
      <c r="N3186" s="41">
        <v>46007.583333333336</v>
      </c>
      <c r="O3186" s="38" t="s">
        <v>123</v>
      </c>
      <c r="P3186" s="38">
        <v>3600.0</v>
      </c>
      <c r="Q3186" s="39"/>
      <c r="R3186" s="39"/>
      <c r="S3186" s="39"/>
      <c r="T3186" s="39"/>
      <c r="U3186" s="39"/>
    </row>
    <row r="3187">
      <c r="A3187" s="40">
        <f t="shared" si="1"/>
        <v>46006</v>
      </c>
      <c r="B3187" s="37" t="str">
        <f t="array" ref="B3187">iferror(xlookup($I3187, 'IMPORT VHC Report'!$E:$E, 'IMPORT VHC Report'!$A:$C), )</f>
        <v/>
      </c>
      <c r="C3187" s="37"/>
      <c r="D3187" s="37"/>
      <c r="E3187" s="38" t="s">
        <v>3858</v>
      </c>
      <c r="F3187" s="38" t="s">
        <v>3847</v>
      </c>
      <c r="G3187" s="38">
        <v>5.202378916623E12</v>
      </c>
      <c r="H3187" s="38" t="s">
        <v>3848</v>
      </c>
      <c r="I3187" s="38" t="s">
        <v>3849</v>
      </c>
      <c r="J3187" s="38" t="s">
        <v>134</v>
      </c>
      <c r="K3187" s="38" t="s">
        <v>126</v>
      </c>
      <c r="L3187" s="41">
        <v>46007.65625</v>
      </c>
      <c r="M3187" s="38" t="s">
        <v>123</v>
      </c>
      <c r="N3187" s="41">
        <v>46007.666666666664</v>
      </c>
      <c r="O3187" s="38" t="s">
        <v>123</v>
      </c>
      <c r="P3187" s="38">
        <v>900.0</v>
      </c>
      <c r="Q3187" s="39"/>
      <c r="R3187" s="39"/>
      <c r="S3187" s="39"/>
      <c r="T3187" s="39"/>
      <c r="U3187" s="39"/>
    </row>
    <row r="3188">
      <c r="A3188" s="40">
        <f t="shared" si="1"/>
        <v>46006</v>
      </c>
      <c r="B3188" s="37" t="str">
        <f t="array" ref="B3188">iferror(xlookup($I3188, 'IMPORT VHC Report'!$E:$E, 'IMPORT VHC Report'!$A:$C), )</f>
        <v/>
      </c>
      <c r="C3188" s="37"/>
      <c r="D3188" s="37"/>
      <c r="E3188" s="38" t="s">
        <v>3859</v>
      </c>
      <c r="F3188" s="38" t="s">
        <v>3847</v>
      </c>
      <c r="G3188" s="38">
        <v>5.202378916623E12</v>
      </c>
      <c r="H3188" s="38" t="s">
        <v>3848</v>
      </c>
      <c r="I3188" s="38" t="s">
        <v>3849</v>
      </c>
      <c r="J3188" s="38" t="s">
        <v>136</v>
      </c>
      <c r="K3188" s="38" t="s">
        <v>126</v>
      </c>
      <c r="L3188" s="41">
        <v>46007.697916666664</v>
      </c>
      <c r="M3188" s="38" t="s">
        <v>123</v>
      </c>
      <c r="N3188" s="41">
        <v>46007.729166666664</v>
      </c>
      <c r="O3188" s="38" t="s">
        <v>123</v>
      </c>
      <c r="P3188" s="38">
        <v>2700.0</v>
      </c>
      <c r="Q3188" s="39"/>
      <c r="R3188" s="39"/>
      <c r="S3188" s="38" t="s">
        <v>137</v>
      </c>
      <c r="T3188" s="39"/>
      <c r="U3188" s="39"/>
    </row>
    <row r="3189">
      <c r="A3189" s="40">
        <f t="shared" si="1"/>
        <v>46006</v>
      </c>
      <c r="B3189" s="37" t="str">
        <f t="array" ref="B3189">iferror(xlookup($I3189, 'IMPORT VHC Report'!$E:$E, 'IMPORT VHC Report'!$A:$C), )</f>
        <v/>
      </c>
      <c r="C3189" s="37"/>
      <c r="D3189" s="37"/>
      <c r="E3189" s="38" t="s">
        <v>3860</v>
      </c>
      <c r="F3189" s="38" t="s">
        <v>3847</v>
      </c>
      <c r="G3189" s="38">
        <v>5.202378916623E12</v>
      </c>
      <c r="H3189" s="38" t="s">
        <v>3848</v>
      </c>
      <c r="I3189" s="38" t="s">
        <v>3849</v>
      </c>
      <c r="J3189" s="38" t="s">
        <v>134</v>
      </c>
      <c r="K3189" s="38" t="s">
        <v>126</v>
      </c>
      <c r="L3189" s="41">
        <v>46007.75</v>
      </c>
      <c r="M3189" s="38" t="s">
        <v>123</v>
      </c>
      <c r="N3189" s="41">
        <v>46007.760416666664</v>
      </c>
      <c r="O3189" s="38" t="s">
        <v>123</v>
      </c>
      <c r="P3189" s="38">
        <v>900.0</v>
      </c>
      <c r="Q3189" s="39"/>
      <c r="R3189" s="39"/>
      <c r="S3189" s="39"/>
      <c r="T3189" s="39"/>
      <c r="U3189" s="39"/>
    </row>
    <row r="3190">
      <c r="A3190" s="40">
        <f t="shared" si="1"/>
        <v>46006</v>
      </c>
      <c r="B3190" s="37" t="str">
        <f t="array" ref="B3190">iferror(xlookup($I3190, 'IMPORT VHC Report'!$E:$E, 'IMPORT VHC Report'!$A:$C), )</f>
        <v/>
      </c>
      <c r="C3190" s="37"/>
      <c r="D3190" s="37"/>
      <c r="E3190" s="38" t="s">
        <v>3861</v>
      </c>
      <c r="F3190" s="38" t="s">
        <v>3847</v>
      </c>
      <c r="G3190" s="38">
        <v>5.202378916623E12</v>
      </c>
      <c r="H3190" s="38" t="s">
        <v>3848</v>
      </c>
      <c r="I3190" s="38" t="s">
        <v>3849</v>
      </c>
      <c r="J3190" s="38" t="s">
        <v>224</v>
      </c>
      <c r="K3190" s="38" t="s">
        <v>63</v>
      </c>
      <c r="L3190" s="41">
        <v>46008.458333333336</v>
      </c>
      <c r="M3190" s="38" t="s">
        <v>123</v>
      </c>
      <c r="N3190" s="41">
        <v>46008.833333333336</v>
      </c>
      <c r="O3190" s="38" t="s">
        <v>123</v>
      </c>
      <c r="P3190" s="38">
        <v>32400.0</v>
      </c>
      <c r="Q3190" s="39"/>
      <c r="R3190" s="39"/>
      <c r="S3190" s="39"/>
      <c r="T3190" s="39"/>
      <c r="U3190" s="39"/>
    </row>
    <row r="3191">
      <c r="A3191" s="40">
        <f t="shared" si="1"/>
        <v>46006</v>
      </c>
      <c r="B3191" s="37" t="str">
        <f t="array" ref="B3191">iferror(xlookup($I3191, 'IMPORT VHC Report'!$E:$E, 'IMPORT VHC Report'!$A:$C), )</f>
        <v/>
      </c>
      <c r="C3191" s="37"/>
      <c r="D3191" s="37"/>
      <c r="E3191" s="38" t="s">
        <v>3862</v>
      </c>
      <c r="F3191" s="38" t="s">
        <v>3847</v>
      </c>
      <c r="G3191" s="38">
        <v>5.202378916623E12</v>
      </c>
      <c r="H3191" s="38" t="s">
        <v>3848</v>
      </c>
      <c r="I3191" s="38" t="s">
        <v>3849</v>
      </c>
      <c r="J3191" s="38" t="s">
        <v>132</v>
      </c>
      <c r="K3191" s="38" t="s">
        <v>126</v>
      </c>
      <c r="L3191" s="41">
        <v>46008.520833333336</v>
      </c>
      <c r="M3191" s="38" t="s">
        <v>123</v>
      </c>
      <c r="N3191" s="41">
        <v>46008.5625</v>
      </c>
      <c r="O3191" s="38" t="s">
        <v>123</v>
      </c>
      <c r="P3191" s="38">
        <v>3600.0</v>
      </c>
      <c r="Q3191" s="39"/>
      <c r="R3191" s="39"/>
      <c r="S3191" s="39"/>
      <c r="T3191" s="39"/>
      <c r="U3191" s="39"/>
    </row>
    <row r="3192">
      <c r="A3192" s="40">
        <f t="shared" si="1"/>
        <v>46006</v>
      </c>
      <c r="B3192" s="37" t="str">
        <f t="array" ref="B3192">iferror(xlookup($I3192, 'IMPORT VHC Report'!$E:$E, 'IMPORT VHC Report'!$A:$C), )</f>
        <v/>
      </c>
      <c r="C3192" s="37"/>
      <c r="D3192" s="37"/>
      <c r="E3192" s="38" t="s">
        <v>3863</v>
      </c>
      <c r="F3192" s="38" t="s">
        <v>3847</v>
      </c>
      <c r="G3192" s="38">
        <v>5.202378916623E12</v>
      </c>
      <c r="H3192" s="38" t="s">
        <v>3848</v>
      </c>
      <c r="I3192" s="38" t="s">
        <v>3849</v>
      </c>
      <c r="J3192" s="38" t="s">
        <v>134</v>
      </c>
      <c r="K3192" s="38" t="s">
        <v>126</v>
      </c>
      <c r="L3192" s="41">
        <v>46008.65625</v>
      </c>
      <c r="M3192" s="38" t="s">
        <v>123</v>
      </c>
      <c r="N3192" s="41">
        <v>46008.666666666664</v>
      </c>
      <c r="O3192" s="38" t="s">
        <v>123</v>
      </c>
      <c r="P3192" s="38">
        <v>900.0</v>
      </c>
      <c r="Q3192" s="39"/>
      <c r="R3192" s="39"/>
      <c r="S3192" s="39"/>
      <c r="T3192" s="39"/>
      <c r="U3192" s="39"/>
    </row>
    <row r="3193">
      <c r="A3193" s="40">
        <f t="shared" si="1"/>
        <v>46006</v>
      </c>
      <c r="B3193" s="37" t="str">
        <f t="array" ref="B3193">iferror(xlookup($I3193, 'IMPORT VHC Report'!$E:$E, 'IMPORT VHC Report'!$A:$C), )</f>
        <v/>
      </c>
      <c r="C3193" s="37"/>
      <c r="D3193" s="37"/>
      <c r="E3193" s="38" t="s">
        <v>3864</v>
      </c>
      <c r="F3193" s="38" t="s">
        <v>3847</v>
      </c>
      <c r="G3193" s="38">
        <v>5.202378916623E12</v>
      </c>
      <c r="H3193" s="38" t="s">
        <v>3848</v>
      </c>
      <c r="I3193" s="38" t="s">
        <v>3849</v>
      </c>
      <c r="J3193" s="38" t="s">
        <v>134</v>
      </c>
      <c r="K3193" s="38" t="s">
        <v>126</v>
      </c>
      <c r="L3193" s="41">
        <v>46008.75</v>
      </c>
      <c r="M3193" s="38" t="s">
        <v>123</v>
      </c>
      <c r="N3193" s="41">
        <v>46008.760416666664</v>
      </c>
      <c r="O3193" s="38" t="s">
        <v>123</v>
      </c>
      <c r="P3193" s="38">
        <v>900.0</v>
      </c>
      <c r="Q3193" s="39"/>
      <c r="R3193" s="39"/>
      <c r="S3193" s="39"/>
      <c r="T3193" s="39"/>
      <c r="U3193" s="39"/>
    </row>
    <row r="3194">
      <c r="A3194" s="40">
        <f t="shared" si="1"/>
        <v>46006</v>
      </c>
      <c r="B3194" s="37" t="str">
        <f t="array" ref="B3194">iferror(xlookup($I3194, 'IMPORT VHC Report'!$E:$E, 'IMPORT VHC Report'!$A:$C), )</f>
        <v/>
      </c>
      <c r="C3194" s="37"/>
      <c r="D3194" s="37"/>
      <c r="E3194" s="38" t="s">
        <v>3865</v>
      </c>
      <c r="F3194" s="38" t="s">
        <v>3847</v>
      </c>
      <c r="G3194" s="38">
        <v>5.202378916623E12</v>
      </c>
      <c r="H3194" s="38" t="s">
        <v>3848</v>
      </c>
      <c r="I3194" s="38" t="s">
        <v>3849</v>
      </c>
      <c r="J3194" s="38" t="s">
        <v>224</v>
      </c>
      <c r="K3194" s="38" t="s">
        <v>63</v>
      </c>
      <c r="L3194" s="41">
        <v>46009.458333333336</v>
      </c>
      <c r="M3194" s="38" t="s">
        <v>123</v>
      </c>
      <c r="N3194" s="41">
        <v>46009.552083333336</v>
      </c>
      <c r="O3194" s="38" t="s">
        <v>123</v>
      </c>
      <c r="P3194" s="38">
        <v>8100.0</v>
      </c>
      <c r="Q3194" s="39"/>
      <c r="R3194" s="39"/>
      <c r="S3194" s="39"/>
      <c r="T3194" s="39"/>
      <c r="U3194" s="39"/>
    </row>
    <row r="3195">
      <c r="A3195" s="40">
        <f t="shared" si="1"/>
        <v>46006</v>
      </c>
      <c r="B3195" s="37" t="str">
        <f t="array" ref="B3195">iferror(xlookup($I3195, 'IMPORT VHC Report'!$E:$E, 'IMPORT VHC Report'!$A:$C), )</f>
        <v/>
      </c>
      <c r="C3195" s="37"/>
      <c r="D3195" s="37"/>
      <c r="E3195" s="38" t="s">
        <v>3866</v>
      </c>
      <c r="F3195" s="38" t="s">
        <v>3847</v>
      </c>
      <c r="G3195" s="38">
        <v>5.202378916623E12</v>
      </c>
      <c r="H3195" s="38" t="s">
        <v>3848</v>
      </c>
      <c r="I3195" s="38" t="s">
        <v>3849</v>
      </c>
      <c r="J3195" s="38" t="s">
        <v>134</v>
      </c>
      <c r="K3195" s="38" t="s">
        <v>126</v>
      </c>
      <c r="L3195" s="41">
        <v>46009.552083333336</v>
      </c>
      <c r="M3195" s="38" t="s">
        <v>123</v>
      </c>
      <c r="N3195" s="41">
        <v>46009.5625</v>
      </c>
      <c r="O3195" s="38" t="s">
        <v>123</v>
      </c>
      <c r="P3195" s="38">
        <v>900.0</v>
      </c>
      <c r="Q3195" s="39"/>
      <c r="R3195" s="39"/>
      <c r="S3195" s="39"/>
      <c r="T3195" s="39"/>
      <c r="U3195" s="39"/>
    </row>
    <row r="3196">
      <c r="A3196" s="40">
        <f t="shared" si="1"/>
        <v>46006</v>
      </c>
      <c r="B3196" s="37" t="str">
        <f t="array" ref="B3196">iferror(xlookup($I3196, 'IMPORT VHC Report'!$E:$E, 'IMPORT VHC Report'!$A:$C), )</f>
        <v/>
      </c>
      <c r="C3196" s="37"/>
      <c r="D3196" s="37"/>
      <c r="E3196" s="38" t="s">
        <v>3867</v>
      </c>
      <c r="F3196" s="38" t="s">
        <v>3847</v>
      </c>
      <c r="G3196" s="38">
        <v>5.202378916623E12</v>
      </c>
      <c r="H3196" s="38" t="s">
        <v>3848</v>
      </c>
      <c r="I3196" s="38" t="s">
        <v>3849</v>
      </c>
      <c r="J3196" s="38" t="s">
        <v>224</v>
      </c>
      <c r="K3196" s="38" t="s">
        <v>63</v>
      </c>
      <c r="L3196" s="41">
        <v>46009.5625</v>
      </c>
      <c r="M3196" s="38" t="s">
        <v>123</v>
      </c>
      <c r="N3196" s="41">
        <v>46009.635416666664</v>
      </c>
      <c r="O3196" s="38" t="s">
        <v>123</v>
      </c>
      <c r="P3196" s="38">
        <v>6300.0</v>
      </c>
      <c r="Q3196" s="39"/>
      <c r="R3196" s="39"/>
      <c r="S3196" s="39"/>
      <c r="T3196" s="39"/>
      <c r="U3196" s="39"/>
    </row>
    <row r="3197">
      <c r="A3197" s="40">
        <f t="shared" si="1"/>
        <v>46006</v>
      </c>
      <c r="B3197" s="37" t="str">
        <f t="array" ref="B3197">iferror(xlookup($I3197, 'IMPORT VHC Report'!$E:$E, 'IMPORT VHC Report'!$A:$C), )</f>
        <v/>
      </c>
      <c r="C3197" s="37"/>
      <c r="D3197" s="37"/>
      <c r="E3197" s="38" t="s">
        <v>3868</v>
      </c>
      <c r="F3197" s="38" t="s">
        <v>3847</v>
      </c>
      <c r="G3197" s="38">
        <v>5.202378916623E12</v>
      </c>
      <c r="H3197" s="38" t="s">
        <v>3848</v>
      </c>
      <c r="I3197" s="38" t="s">
        <v>3849</v>
      </c>
      <c r="J3197" s="38" t="s">
        <v>132</v>
      </c>
      <c r="K3197" s="38" t="s">
        <v>126</v>
      </c>
      <c r="L3197" s="41">
        <v>46009.625</v>
      </c>
      <c r="M3197" s="38" t="s">
        <v>123</v>
      </c>
      <c r="N3197" s="41">
        <v>46009.666666666664</v>
      </c>
      <c r="O3197" s="38" t="s">
        <v>123</v>
      </c>
      <c r="P3197" s="38">
        <v>3600.0</v>
      </c>
      <c r="Q3197" s="39"/>
      <c r="R3197" s="39"/>
      <c r="S3197" s="39"/>
      <c r="T3197" s="39"/>
      <c r="U3197" s="39"/>
    </row>
    <row r="3198">
      <c r="A3198" s="40">
        <f t="shared" si="1"/>
        <v>46006</v>
      </c>
      <c r="B3198" s="37" t="str">
        <f t="array" ref="B3198">iferror(xlookup($I3198, 'IMPORT VHC Report'!$E:$E, 'IMPORT VHC Report'!$A:$C), )</f>
        <v/>
      </c>
      <c r="C3198" s="37"/>
      <c r="D3198" s="37"/>
      <c r="E3198" s="38" t="s">
        <v>3869</v>
      </c>
      <c r="F3198" s="38" t="s">
        <v>3847</v>
      </c>
      <c r="G3198" s="38">
        <v>5.202378916623E12</v>
      </c>
      <c r="H3198" s="38" t="s">
        <v>3848</v>
      </c>
      <c r="I3198" s="38" t="s">
        <v>3849</v>
      </c>
      <c r="J3198" s="38" t="s">
        <v>224</v>
      </c>
      <c r="K3198" s="38" t="s">
        <v>63</v>
      </c>
      <c r="L3198" s="41">
        <v>46009.666666666664</v>
      </c>
      <c r="M3198" s="38" t="s">
        <v>123</v>
      </c>
      <c r="N3198" s="41">
        <v>46009.677083333336</v>
      </c>
      <c r="O3198" s="38" t="s">
        <v>123</v>
      </c>
      <c r="P3198" s="38">
        <v>900.0</v>
      </c>
      <c r="Q3198" s="39"/>
      <c r="R3198" s="39"/>
      <c r="S3198" s="39"/>
      <c r="T3198" s="39"/>
      <c r="U3198" s="39"/>
    </row>
    <row r="3199">
      <c r="A3199" s="40">
        <f t="shared" si="1"/>
        <v>46006</v>
      </c>
      <c r="B3199" s="37" t="str">
        <f t="array" ref="B3199">iferror(xlookup($I3199, 'IMPORT VHC Report'!$E:$E, 'IMPORT VHC Report'!$A:$C), )</f>
        <v/>
      </c>
      <c r="C3199" s="37"/>
      <c r="D3199" s="37"/>
      <c r="E3199" s="38" t="s">
        <v>3870</v>
      </c>
      <c r="F3199" s="38" t="s">
        <v>3847</v>
      </c>
      <c r="G3199" s="38">
        <v>5.202378916623E12</v>
      </c>
      <c r="H3199" s="38" t="s">
        <v>3848</v>
      </c>
      <c r="I3199" s="38" t="s">
        <v>3849</v>
      </c>
      <c r="J3199" s="38" t="s">
        <v>152</v>
      </c>
      <c r="K3199" s="38" t="s">
        <v>153</v>
      </c>
      <c r="L3199" s="41">
        <v>46009.666666666664</v>
      </c>
      <c r="M3199" s="38" t="s">
        <v>123</v>
      </c>
      <c r="N3199" s="41">
        <v>46009.833333333336</v>
      </c>
      <c r="O3199" s="38" t="s">
        <v>123</v>
      </c>
      <c r="P3199" s="38">
        <v>14400.0</v>
      </c>
      <c r="Q3199" s="38">
        <v>14400.0</v>
      </c>
      <c r="R3199" s="39"/>
      <c r="S3199" s="39"/>
      <c r="T3199" s="39"/>
      <c r="U3199" s="39"/>
    </row>
    <row r="3200">
      <c r="A3200" s="40">
        <f t="shared" si="1"/>
        <v>46006</v>
      </c>
      <c r="B3200" s="37" t="str">
        <f t="array" ref="B3200">iferror(xlookup($I3200, 'IMPORT VHC Report'!$E:$E, 'IMPORT VHC Report'!$A:$C), )</f>
        <v/>
      </c>
      <c r="C3200" s="37"/>
      <c r="D3200" s="37"/>
      <c r="E3200" s="38" t="s">
        <v>3871</v>
      </c>
      <c r="F3200" s="38" t="s">
        <v>3847</v>
      </c>
      <c r="G3200" s="38">
        <v>5.202378916623E12</v>
      </c>
      <c r="H3200" s="38" t="s">
        <v>3848</v>
      </c>
      <c r="I3200" s="38" t="s">
        <v>3849</v>
      </c>
      <c r="J3200" s="38" t="s">
        <v>224</v>
      </c>
      <c r="K3200" s="38" t="s">
        <v>63</v>
      </c>
      <c r="L3200" s="41">
        <v>46009.677083333336</v>
      </c>
      <c r="M3200" s="38" t="s">
        <v>123</v>
      </c>
      <c r="N3200" s="41">
        <v>46009.760416666664</v>
      </c>
      <c r="O3200" s="38" t="s">
        <v>123</v>
      </c>
      <c r="P3200" s="38">
        <v>7200.0</v>
      </c>
      <c r="Q3200" s="39"/>
      <c r="R3200" s="39"/>
      <c r="S3200" s="39"/>
      <c r="T3200" s="39"/>
      <c r="U3200" s="39"/>
    </row>
    <row r="3201">
      <c r="A3201" s="40">
        <f t="shared" si="1"/>
        <v>46006</v>
      </c>
      <c r="B3201" s="37" t="str">
        <f t="array" ref="B3201">iferror(xlookup($I3201, 'IMPORT VHC Report'!$E:$E, 'IMPORT VHC Report'!$A:$C), )</f>
        <v/>
      </c>
      <c r="C3201" s="37"/>
      <c r="D3201" s="37"/>
      <c r="E3201" s="38" t="s">
        <v>3872</v>
      </c>
      <c r="F3201" s="38" t="s">
        <v>3847</v>
      </c>
      <c r="G3201" s="38">
        <v>5.202378916623E12</v>
      </c>
      <c r="H3201" s="38" t="s">
        <v>3848</v>
      </c>
      <c r="I3201" s="38" t="s">
        <v>3849</v>
      </c>
      <c r="J3201" s="38" t="s">
        <v>134</v>
      </c>
      <c r="K3201" s="38" t="s">
        <v>126</v>
      </c>
      <c r="L3201" s="41">
        <v>46009.760416666664</v>
      </c>
      <c r="M3201" s="38" t="s">
        <v>123</v>
      </c>
      <c r="N3201" s="41">
        <v>46009.770833333336</v>
      </c>
      <c r="O3201" s="38" t="s">
        <v>123</v>
      </c>
      <c r="P3201" s="38">
        <v>900.0</v>
      </c>
      <c r="Q3201" s="39"/>
      <c r="R3201" s="39"/>
      <c r="S3201" s="39"/>
      <c r="T3201" s="39"/>
      <c r="U3201" s="39"/>
    </row>
    <row r="3202">
      <c r="A3202" s="40">
        <f t="shared" si="1"/>
        <v>46006</v>
      </c>
      <c r="B3202" s="37" t="str">
        <f t="array" ref="B3202">iferror(xlookup($I3202, 'IMPORT VHC Report'!$E:$E, 'IMPORT VHC Report'!$A:$C), )</f>
        <v/>
      </c>
      <c r="C3202" s="37"/>
      <c r="D3202" s="37"/>
      <c r="E3202" s="38" t="s">
        <v>3873</v>
      </c>
      <c r="F3202" s="38" t="s">
        <v>3847</v>
      </c>
      <c r="G3202" s="38">
        <v>5.202378916623E12</v>
      </c>
      <c r="H3202" s="38" t="s">
        <v>3848</v>
      </c>
      <c r="I3202" s="38" t="s">
        <v>3849</v>
      </c>
      <c r="J3202" s="38" t="s">
        <v>224</v>
      </c>
      <c r="K3202" s="38" t="s">
        <v>63</v>
      </c>
      <c r="L3202" s="41">
        <v>46009.770833333336</v>
      </c>
      <c r="M3202" s="38" t="s">
        <v>123</v>
      </c>
      <c r="N3202" s="41">
        <v>46009.833333333336</v>
      </c>
      <c r="O3202" s="38" t="s">
        <v>123</v>
      </c>
      <c r="P3202" s="38">
        <v>5400.0</v>
      </c>
      <c r="Q3202" s="39"/>
      <c r="R3202" s="39"/>
      <c r="S3202" s="39"/>
      <c r="T3202" s="39"/>
      <c r="U3202" s="39"/>
    </row>
    <row r="3203">
      <c r="A3203" s="40">
        <f t="shared" si="1"/>
        <v>46006</v>
      </c>
      <c r="B3203" s="37" t="str">
        <f t="array" ref="B3203">iferror(xlookup($I3203, 'IMPORT VHC Report'!$E:$E, 'IMPORT VHC Report'!$A:$C), )</f>
        <v/>
      </c>
      <c r="C3203" s="37"/>
      <c r="D3203" s="37"/>
      <c r="E3203" s="38" t="s">
        <v>3874</v>
      </c>
      <c r="F3203" s="38" t="s">
        <v>3847</v>
      </c>
      <c r="G3203" s="38">
        <v>5.202378916623E12</v>
      </c>
      <c r="H3203" s="38" t="s">
        <v>3848</v>
      </c>
      <c r="I3203" s="38" t="s">
        <v>3849</v>
      </c>
      <c r="J3203" s="38" t="s">
        <v>224</v>
      </c>
      <c r="K3203" s="38" t="s">
        <v>63</v>
      </c>
      <c r="L3203" s="41">
        <v>46012.458333333336</v>
      </c>
      <c r="M3203" s="38" t="s">
        <v>123</v>
      </c>
      <c r="N3203" s="41">
        <v>46012.572916666664</v>
      </c>
      <c r="O3203" s="38" t="s">
        <v>123</v>
      </c>
      <c r="P3203" s="38">
        <v>9900.0</v>
      </c>
      <c r="Q3203" s="39"/>
      <c r="R3203" s="39"/>
      <c r="S3203" s="39"/>
      <c r="T3203" s="39"/>
      <c r="U3203" s="39"/>
    </row>
    <row r="3204">
      <c r="A3204" s="40">
        <f t="shared" si="1"/>
        <v>46006</v>
      </c>
      <c r="B3204" s="37" t="str">
        <f t="array" ref="B3204">iferror(xlookup($I3204, 'IMPORT VHC Report'!$E:$E, 'IMPORT VHC Report'!$A:$C), )</f>
        <v/>
      </c>
      <c r="C3204" s="37"/>
      <c r="D3204" s="37"/>
      <c r="E3204" s="38" t="s">
        <v>3875</v>
      </c>
      <c r="F3204" s="38" t="s">
        <v>3847</v>
      </c>
      <c r="G3204" s="38">
        <v>5.202378916623E12</v>
      </c>
      <c r="H3204" s="38" t="s">
        <v>3848</v>
      </c>
      <c r="I3204" s="38" t="s">
        <v>3849</v>
      </c>
      <c r="J3204" s="38" t="s">
        <v>132</v>
      </c>
      <c r="K3204" s="38" t="s">
        <v>126</v>
      </c>
      <c r="L3204" s="41">
        <v>46012.572916666664</v>
      </c>
      <c r="M3204" s="38" t="s">
        <v>123</v>
      </c>
      <c r="N3204" s="41">
        <v>46012.614583333336</v>
      </c>
      <c r="O3204" s="38" t="s">
        <v>123</v>
      </c>
      <c r="P3204" s="38">
        <v>3600.0</v>
      </c>
      <c r="Q3204" s="39"/>
      <c r="R3204" s="39"/>
      <c r="S3204" s="39"/>
      <c r="T3204" s="39"/>
      <c r="U3204" s="39"/>
    </row>
    <row r="3205">
      <c r="A3205" s="40">
        <f t="shared" si="1"/>
        <v>46006</v>
      </c>
      <c r="B3205" s="37" t="str">
        <f t="array" ref="B3205">iferror(xlookup($I3205, 'IMPORT VHC Report'!$E:$E, 'IMPORT VHC Report'!$A:$C), )</f>
        <v/>
      </c>
      <c r="C3205" s="37"/>
      <c r="D3205" s="37"/>
      <c r="E3205" s="38" t="s">
        <v>3876</v>
      </c>
      <c r="F3205" s="38" t="s">
        <v>3847</v>
      </c>
      <c r="G3205" s="38">
        <v>5.202378916623E12</v>
      </c>
      <c r="H3205" s="38" t="s">
        <v>3848</v>
      </c>
      <c r="I3205" s="38" t="s">
        <v>3849</v>
      </c>
      <c r="J3205" s="38" t="s">
        <v>224</v>
      </c>
      <c r="K3205" s="38" t="s">
        <v>63</v>
      </c>
      <c r="L3205" s="41">
        <v>46012.614583333336</v>
      </c>
      <c r="M3205" s="38" t="s">
        <v>123</v>
      </c>
      <c r="N3205" s="41">
        <v>46012.677083333336</v>
      </c>
      <c r="O3205" s="38" t="s">
        <v>123</v>
      </c>
      <c r="P3205" s="38">
        <v>5400.0</v>
      </c>
      <c r="Q3205" s="39"/>
      <c r="R3205" s="39"/>
      <c r="S3205" s="39"/>
      <c r="T3205" s="39"/>
      <c r="U3205" s="39"/>
    </row>
    <row r="3206">
      <c r="A3206" s="40">
        <f t="shared" si="1"/>
        <v>46006</v>
      </c>
      <c r="B3206" s="37" t="str">
        <f t="array" ref="B3206">iferror(xlookup($I3206, 'IMPORT VHC Report'!$E:$E, 'IMPORT VHC Report'!$A:$C), )</f>
        <v/>
      </c>
      <c r="C3206" s="37"/>
      <c r="D3206" s="37"/>
      <c r="E3206" s="38" t="s">
        <v>3877</v>
      </c>
      <c r="F3206" s="38" t="s">
        <v>3847</v>
      </c>
      <c r="G3206" s="38">
        <v>5.202378916623E12</v>
      </c>
      <c r="H3206" s="38" t="s">
        <v>3848</v>
      </c>
      <c r="I3206" s="38" t="s">
        <v>3849</v>
      </c>
      <c r="J3206" s="38" t="s">
        <v>134</v>
      </c>
      <c r="K3206" s="38" t="s">
        <v>126</v>
      </c>
      <c r="L3206" s="41">
        <v>46012.677083333336</v>
      </c>
      <c r="M3206" s="38" t="s">
        <v>123</v>
      </c>
      <c r="N3206" s="41">
        <v>46012.6875</v>
      </c>
      <c r="O3206" s="38" t="s">
        <v>123</v>
      </c>
      <c r="P3206" s="38">
        <v>900.0</v>
      </c>
      <c r="Q3206" s="39"/>
      <c r="R3206" s="39"/>
      <c r="S3206" s="39"/>
      <c r="T3206" s="39"/>
      <c r="U3206" s="39"/>
    </row>
    <row r="3207">
      <c r="A3207" s="40">
        <f t="shared" si="1"/>
        <v>46006</v>
      </c>
      <c r="B3207" s="37" t="str">
        <f t="array" ref="B3207">iferror(xlookup($I3207, 'IMPORT VHC Report'!$E:$E, 'IMPORT VHC Report'!$A:$C), )</f>
        <v/>
      </c>
      <c r="C3207" s="37"/>
      <c r="D3207" s="37"/>
      <c r="E3207" s="38" t="s">
        <v>3878</v>
      </c>
      <c r="F3207" s="38" t="s">
        <v>3847</v>
      </c>
      <c r="G3207" s="38">
        <v>5.202378916623E12</v>
      </c>
      <c r="H3207" s="38" t="s">
        <v>3848</v>
      </c>
      <c r="I3207" s="38" t="s">
        <v>3849</v>
      </c>
      <c r="J3207" s="38" t="s">
        <v>224</v>
      </c>
      <c r="K3207" s="38" t="s">
        <v>63</v>
      </c>
      <c r="L3207" s="41">
        <v>46012.6875</v>
      </c>
      <c r="M3207" s="38" t="s">
        <v>123</v>
      </c>
      <c r="N3207" s="41">
        <v>46012.75</v>
      </c>
      <c r="O3207" s="38" t="s">
        <v>123</v>
      </c>
      <c r="P3207" s="38">
        <v>5400.0</v>
      </c>
      <c r="Q3207" s="39"/>
      <c r="R3207" s="39"/>
      <c r="S3207" s="39"/>
      <c r="T3207" s="39"/>
      <c r="U3207" s="39"/>
    </row>
    <row r="3208">
      <c r="A3208" s="40">
        <f t="shared" si="1"/>
        <v>46006</v>
      </c>
      <c r="B3208" s="37" t="str">
        <f t="array" ref="B3208">iferror(xlookup($I3208, 'IMPORT VHC Report'!$E:$E, 'IMPORT VHC Report'!$A:$C), )</f>
        <v/>
      </c>
      <c r="C3208" s="37"/>
      <c r="D3208" s="37"/>
      <c r="E3208" s="38" t="s">
        <v>3879</v>
      </c>
      <c r="F3208" s="38" t="s">
        <v>3847</v>
      </c>
      <c r="G3208" s="38">
        <v>5.202378916623E12</v>
      </c>
      <c r="H3208" s="38" t="s">
        <v>3848</v>
      </c>
      <c r="I3208" s="38" t="s">
        <v>3849</v>
      </c>
      <c r="J3208" s="38" t="s">
        <v>134</v>
      </c>
      <c r="K3208" s="38" t="s">
        <v>126</v>
      </c>
      <c r="L3208" s="41">
        <v>46012.75</v>
      </c>
      <c r="M3208" s="38" t="s">
        <v>123</v>
      </c>
      <c r="N3208" s="41">
        <v>46012.760416666664</v>
      </c>
      <c r="O3208" s="38" t="s">
        <v>123</v>
      </c>
      <c r="P3208" s="38">
        <v>900.0</v>
      </c>
      <c r="Q3208" s="39"/>
      <c r="R3208" s="39"/>
      <c r="S3208" s="39"/>
      <c r="T3208" s="39"/>
      <c r="U3208" s="39"/>
    </row>
    <row r="3209">
      <c r="A3209" s="40">
        <f t="shared" si="1"/>
        <v>46006</v>
      </c>
      <c r="B3209" s="37" t="str">
        <f t="array" ref="B3209">iferror(xlookup($I3209, 'IMPORT VHC Report'!$E:$E, 'IMPORT VHC Report'!$A:$C), )</f>
        <v/>
      </c>
      <c r="C3209" s="37"/>
      <c r="D3209" s="37"/>
      <c r="E3209" s="38" t="s">
        <v>3880</v>
      </c>
      <c r="F3209" s="38" t="s">
        <v>3847</v>
      </c>
      <c r="G3209" s="38">
        <v>5.202378916623E12</v>
      </c>
      <c r="H3209" s="38" t="s">
        <v>3848</v>
      </c>
      <c r="I3209" s="38" t="s">
        <v>3849</v>
      </c>
      <c r="J3209" s="38" t="s">
        <v>224</v>
      </c>
      <c r="K3209" s="38" t="s">
        <v>63</v>
      </c>
      <c r="L3209" s="41">
        <v>46012.760416666664</v>
      </c>
      <c r="M3209" s="38" t="s">
        <v>123</v>
      </c>
      <c r="N3209" s="41">
        <v>46012.833333333336</v>
      </c>
      <c r="O3209" s="38" t="s">
        <v>123</v>
      </c>
      <c r="P3209" s="38">
        <v>6300.0</v>
      </c>
      <c r="Q3209" s="39"/>
      <c r="R3209" s="39"/>
      <c r="S3209" s="39"/>
      <c r="T3209" s="39"/>
      <c r="U3209" s="39"/>
    </row>
    <row r="3210">
      <c r="A3210" s="40">
        <f t="shared" si="1"/>
        <v>46006</v>
      </c>
      <c r="B3210" s="37" t="str">
        <f t="array" ref="B3210">iferror(xlookup($I3210, 'IMPORT VHC Report'!$E:$E, 'IMPORT VHC Report'!$A:$C), )</f>
        <v/>
      </c>
      <c r="C3210" s="37"/>
      <c r="D3210" s="37"/>
      <c r="E3210" s="38" t="s">
        <v>3881</v>
      </c>
      <c r="F3210" s="38" t="s">
        <v>3882</v>
      </c>
      <c r="G3210" s="38">
        <v>6.182237177103E12</v>
      </c>
      <c r="H3210" s="38" t="s">
        <v>3883</v>
      </c>
      <c r="I3210" s="38" t="s">
        <v>3884</v>
      </c>
      <c r="J3210" s="38" t="s">
        <v>4</v>
      </c>
      <c r="K3210" s="38" t="s">
        <v>126</v>
      </c>
      <c r="L3210" s="41">
        <v>46006.458333333336</v>
      </c>
      <c r="M3210" s="38" t="s">
        <v>123</v>
      </c>
      <c r="N3210" s="41">
        <v>46006.46875</v>
      </c>
      <c r="O3210" s="38" t="s">
        <v>123</v>
      </c>
      <c r="P3210" s="38">
        <v>900.0</v>
      </c>
      <c r="Q3210" s="39"/>
      <c r="R3210" s="39"/>
      <c r="S3210" s="38" t="s">
        <v>632</v>
      </c>
      <c r="T3210" s="39"/>
      <c r="U3210" s="39"/>
    </row>
    <row r="3211">
      <c r="A3211" s="40">
        <f t="shared" si="1"/>
        <v>46006</v>
      </c>
      <c r="B3211" s="37" t="str">
        <f t="array" ref="B3211">iferror(xlookup($I3211, 'IMPORT VHC Report'!$E:$E, 'IMPORT VHC Report'!$A:$C), )</f>
        <v/>
      </c>
      <c r="C3211" s="37"/>
      <c r="D3211" s="37"/>
      <c r="E3211" s="38" t="s">
        <v>3885</v>
      </c>
      <c r="F3211" s="38" t="s">
        <v>3882</v>
      </c>
      <c r="G3211" s="38">
        <v>6.182237177103E12</v>
      </c>
      <c r="H3211" s="38" t="s">
        <v>3883</v>
      </c>
      <c r="I3211" s="38" t="s">
        <v>3884</v>
      </c>
      <c r="J3211" s="38" t="s">
        <v>368</v>
      </c>
      <c r="K3211" s="38" t="s">
        <v>63</v>
      </c>
      <c r="L3211" s="41">
        <v>46006.458333333336</v>
      </c>
      <c r="M3211" s="38" t="s">
        <v>123</v>
      </c>
      <c r="N3211" s="41">
        <v>46006.833333333336</v>
      </c>
      <c r="O3211" s="38" t="s">
        <v>123</v>
      </c>
      <c r="P3211" s="38">
        <v>32400.0</v>
      </c>
      <c r="Q3211" s="39"/>
      <c r="R3211" s="39"/>
      <c r="S3211" s="39"/>
      <c r="T3211" s="39"/>
      <c r="U3211" s="39"/>
    </row>
    <row r="3212">
      <c r="A3212" s="40">
        <f t="shared" si="1"/>
        <v>46006</v>
      </c>
      <c r="B3212" s="37" t="str">
        <f t="array" ref="B3212">iferror(xlookup($I3212, 'IMPORT VHC Report'!$E:$E, 'IMPORT VHC Report'!$A:$C), )</f>
        <v/>
      </c>
      <c r="C3212" s="37"/>
      <c r="D3212" s="37"/>
      <c r="E3212" s="38" t="s">
        <v>3886</v>
      </c>
      <c r="F3212" s="38" t="s">
        <v>3882</v>
      </c>
      <c r="G3212" s="38">
        <v>6.182237177103E12</v>
      </c>
      <c r="H3212" s="38" t="s">
        <v>3883</v>
      </c>
      <c r="I3212" s="38" t="s">
        <v>3884</v>
      </c>
      <c r="J3212" s="38" t="s">
        <v>134</v>
      </c>
      <c r="K3212" s="38" t="s">
        <v>126</v>
      </c>
      <c r="L3212" s="41">
        <v>46006.604166666664</v>
      </c>
      <c r="M3212" s="38" t="s">
        <v>123</v>
      </c>
      <c r="N3212" s="41">
        <v>46006.625</v>
      </c>
      <c r="O3212" s="38" t="s">
        <v>123</v>
      </c>
      <c r="P3212" s="38">
        <v>1800.0</v>
      </c>
      <c r="Q3212" s="39"/>
      <c r="R3212" s="39"/>
      <c r="S3212" s="39"/>
      <c r="T3212" s="39"/>
      <c r="U3212" s="39"/>
    </row>
    <row r="3213">
      <c r="A3213" s="40">
        <f t="shared" si="1"/>
        <v>46006</v>
      </c>
      <c r="B3213" s="37" t="str">
        <f t="array" ref="B3213">iferror(xlookup($I3213, 'IMPORT VHC Report'!$E:$E, 'IMPORT VHC Report'!$A:$C), )</f>
        <v/>
      </c>
      <c r="C3213" s="37"/>
      <c r="D3213" s="37"/>
      <c r="E3213" s="38" t="s">
        <v>3887</v>
      </c>
      <c r="F3213" s="38" t="s">
        <v>3882</v>
      </c>
      <c r="G3213" s="38">
        <v>6.182237177103E12</v>
      </c>
      <c r="H3213" s="38" t="s">
        <v>3883</v>
      </c>
      <c r="I3213" s="38" t="s">
        <v>3884</v>
      </c>
      <c r="J3213" s="38" t="s">
        <v>132</v>
      </c>
      <c r="K3213" s="38" t="s">
        <v>126</v>
      </c>
      <c r="L3213" s="41">
        <v>46006.708333333336</v>
      </c>
      <c r="M3213" s="38" t="s">
        <v>123</v>
      </c>
      <c r="N3213" s="41">
        <v>46006.75</v>
      </c>
      <c r="O3213" s="38" t="s">
        <v>123</v>
      </c>
      <c r="P3213" s="38">
        <v>3600.0</v>
      </c>
      <c r="Q3213" s="39"/>
      <c r="R3213" s="39"/>
      <c r="S3213" s="39"/>
      <c r="T3213" s="39"/>
      <c r="U3213" s="39"/>
    </row>
    <row r="3214">
      <c r="A3214" s="40">
        <f t="shared" si="1"/>
        <v>46006</v>
      </c>
      <c r="B3214" s="37" t="str">
        <f t="array" ref="B3214">iferror(xlookup($I3214, 'IMPORT VHC Report'!$E:$E, 'IMPORT VHC Report'!$A:$C), )</f>
        <v/>
      </c>
      <c r="C3214" s="37"/>
      <c r="D3214" s="37"/>
      <c r="E3214" s="38" t="s">
        <v>3888</v>
      </c>
      <c r="F3214" s="38" t="s">
        <v>3882</v>
      </c>
      <c r="G3214" s="38">
        <v>6.182237177103E12</v>
      </c>
      <c r="H3214" s="38" t="s">
        <v>3883</v>
      </c>
      <c r="I3214" s="38" t="s">
        <v>3884</v>
      </c>
      <c r="J3214" s="38" t="s">
        <v>134</v>
      </c>
      <c r="K3214" s="38" t="s">
        <v>126</v>
      </c>
      <c r="L3214" s="41">
        <v>46006.805555555555</v>
      </c>
      <c r="M3214" s="38" t="s">
        <v>123</v>
      </c>
      <c r="N3214" s="41">
        <v>46006.833333333336</v>
      </c>
      <c r="O3214" s="38" t="s">
        <v>123</v>
      </c>
      <c r="P3214" s="38">
        <v>2400.0</v>
      </c>
      <c r="Q3214" s="39"/>
      <c r="R3214" s="39"/>
      <c r="S3214" s="38" t="s">
        <v>2274</v>
      </c>
      <c r="T3214" s="39"/>
      <c r="U3214" s="39"/>
    </row>
    <row r="3215">
      <c r="A3215" s="40">
        <f t="shared" si="1"/>
        <v>46006</v>
      </c>
      <c r="B3215" s="37" t="str">
        <f t="array" ref="B3215">iferror(xlookup($I3215, 'IMPORT VHC Report'!$E:$E, 'IMPORT VHC Report'!$A:$C), )</f>
        <v/>
      </c>
      <c r="C3215" s="37"/>
      <c r="D3215" s="37"/>
      <c r="E3215" s="38" t="s">
        <v>3889</v>
      </c>
      <c r="F3215" s="38" t="s">
        <v>3882</v>
      </c>
      <c r="G3215" s="38">
        <v>6.182237177103E12</v>
      </c>
      <c r="H3215" s="38" t="s">
        <v>3883</v>
      </c>
      <c r="I3215" s="38" t="s">
        <v>3884</v>
      </c>
      <c r="J3215" s="38" t="s">
        <v>368</v>
      </c>
      <c r="K3215" s="38" t="s">
        <v>63</v>
      </c>
      <c r="L3215" s="41">
        <v>46007.458333333336</v>
      </c>
      <c r="M3215" s="38" t="s">
        <v>123</v>
      </c>
      <c r="N3215" s="41">
        <v>46007.833333333336</v>
      </c>
      <c r="O3215" s="38" t="s">
        <v>123</v>
      </c>
      <c r="P3215" s="38">
        <v>32400.0</v>
      </c>
      <c r="Q3215" s="39"/>
      <c r="R3215" s="39"/>
      <c r="S3215" s="39"/>
      <c r="T3215" s="39"/>
      <c r="U3215" s="39"/>
    </row>
    <row r="3216">
      <c r="A3216" s="40">
        <f t="shared" si="1"/>
        <v>46006</v>
      </c>
      <c r="B3216" s="37" t="str">
        <f t="array" ref="B3216">iferror(xlookup($I3216, 'IMPORT VHC Report'!$E:$E, 'IMPORT VHC Report'!$A:$C), )</f>
        <v/>
      </c>
      <c r="C3216" s="37"/>
      <c r="D3216" s="37"/>
      <c r="E3216" s="38" t="s">
        <v>3890</v>
      </c>
      <c r="F3216" s="38" t="s">
        <v>3882</v>
      </c>
      <c r="G3216" s="38">
        <v>6.182237177103E12</v>
      </c>
      <c r="H3216" s="38" t="s">
        <v>3883</v>
      </c>
      <c r="I3216" s="38" t="s">
        <v>3884</v>
      </c>
      <c r="J3216" s="38" t="s">
        <v>134</v>
      </c>
      <c r="K3216" s="38" t="s">
        <v>126</v>
      </c>
      <c r="L3216" s="41">
        <v>46007.604166666664</v>
      </c>
      <c r="M3216" s="38" t="s">
        <v>123</v>
      </c>
      <c r="N3216" s="41">
        <v>46007.625</v>
      </c>
      <c r="O3216" s="38" t="s">
        <v>123</v>
      </c>
      <c r="P3216" s="38">
        <v>1800.0</v>
      </c>
      <c r="Q3216" s="39"/>
      <c r="R3216" s="39"/>
      <c r="S3216" s="39"/>
      <c r="T3216" s="39"/>
      <c r="U3216" s="39"/>
    </row>
    <row r="3217">
      <c r="A3217" s="40">
        <f t="shared" si="1"/>
        <v>46006</v>
      </c>
      <c r="B3217" s="37" t="str">
        <f t="array" ref="B3217">iferror(xlookup($I3217, 'IMPORT VHC Report'!$E:$E, 'IMPORT VHC Report'!$A:$C), )</f>
        <v/>
      </c>
      <c r="C3217" s="37"/>
      <c r="D3217" s="37"/>
      <c r="E3217" s="38" t="s">
        <v>3891</v>
      </c>
      <c r="F3217" s="38" t="s">
        <v>3882</v>
      </c>
      <c r="G3217" s="38">
        <v>6.182237177103E12</v>
      </c>
      <c r="H3217" s="38" t="s">
        <v>3883</v>
      </c>
      <c r="I3217" s="38" t="s">
        <v>3884</v>
      </c>
      <c r="J3217" s="38" t="s">
        <v>132</v>
      </c>
      <c r="K3217" s="38" t="s">
        <v>126</v>
      </c>
      <c r="L3217" s="41">
        <v>46007.708333333336</v>
      </c>
      <c r="M3217" s="38" t="s">
        <v>123</v>
      </c>
      <c r="N3217" s="41">
        <v>46007.75</v>
      </c>
      <c r="O3217" s="38" t="s">
        <v>123</v>
      </c>
      <c r="P3217" s="38">
        <v>3600.0</v>
      </c>
      <c r="Q3217" s="39"/>
      <c r="R3217" s="39"/>
      <c r="S3217" s="39"/>
      <c r="T3217" s="39"/>
      <c r="U3217" s="39"/>
    </row>
    <row r="3218">
      <c r="A3218" s="40">
        <f t="shared" si="1"/>
        <v>46006</v>
      </c>
      <c r="B3218" s="37" t="str">
        <f t="array" ref="B3218">iferror(xlookup($I3218, 'IMPORT VHC Report'!$E:$E, 'IMPORT VHC Report'!$A:$C), )</f>
        <v/>
      </c>
      <c r="C3218" s="37"/>
      <c r="D3218" s="37"/>
      <c r="E3218" s="38" t="s">
        <v>3892</v>
      </c>
      <c r="F3218" s="38" t="s">
        <v>3882</v>
      </c>
      <c r="G3218" s="38">
        <v>6.182237177103E12</v>
      </c>
      <c r="H3218" s="38" t="s">
        <v>3883</v>
      </c>
      <c r="I3218" s="38" t="s">
        <v>3884</v>
      </c>
      <c r="J3218" s="38" t="s">
        <v>134</v>
      </c>
      <c r="K3218" s="38" t="s">
        <v>126</v>
      </c>
      <c r="L3218" s="41">
        <v>46007.805555555555</v>
      </c>
      <c r="M3218" s="38" t="s">
        <v>123</v>
      </c>
      <c r="N3218" s="41">
        <v>46007.833333333336</v>
      </c>
      <c r="O3218" s="38" t="s">
        <v>123</v>
      </c>
      <c r="P3218" s="38">
        <v>2400.0</v>
      </c>
      <c r="Q3218" s="39"/>
      <c r="R3218" s="39"/>
      <c r="S3218" s="38" t="s">
        <v>2274</v>
      </c>
      <c r="T3218" s="39"/>
      <c r="U3218" s="39"/>
    </row>
    <row r="3219">
      <c r="A3219" s="40">
        <f t="shared" si="1"/>
        <v>46006</v>
      </c>
      <c r="B3219" s="37" t="str">
        <f t="array" ref="B3219">iferror(xlookup($I3219, 'IMPORT VHC Report'!$E:$E, 'IMPORT VHC Report'!$A:$C), )</f>
        <v/>
      </c>
      <c r="C3219" s="37"/>
      <c r="D3219" s="37"/>
      <c r="E3219" s="38" t="s">
        <v>3893</v>
      </c>
      <c r="F3219" s="38" t="s">
        <v>3882</v>
      </c>
      <c r="G3219" s="38">
        <v>6.182237177103E12</v>
      </c>
      <c r="H3219" s="38" t="s">
        <v>3883</v>
      </c>
      <c r="I3219" s="38" t="s">
        <v>3884</v>
      </c>
      <c r="J3219" s="38" t="s">
        <v>368</v>
      </c>
      <c r="K3219" s="38" t="s">
        <v>63</v>
      </c>
      <c r="L3219" s="41">
        <v>46008.458333333336</v>
      </c>
      <c r="M3219" s="38" t="s">
        <v>123</v>
      </c>
      <c r="N3219" s="41">
        <v>46008.833333333336</v>
      </c>
      <c r="O3219" s="38" t="s">
        <v>123</v>
      </c>
      <c r="P3219" s="38">
        <v>32400.0</v>
      </c>
      <c r="Q3219" s="39"/>
      <c r="R3219" s="39"/>
      <c r="S3219" s="39"/>
      <c r="T3219" s="39"/>
      <c r="U3219" s="39"/>
    </row>
    <row r="3220">
      <c r="A3220" s="40">
        <f t="shared" si="1"/>
        <v>46006</v>
      </c>
      <c r="B3220" s="37" t="str">
        <f t="array" ref="B3220">iferror(xlookup($I3220, 'IMPORT VHC Report'!$E:$E, 'IMPORT VHC Report'!$A:$C), )</f>
        <v/>
      </c>
      <c r="C3220" s="37"/>
      <c r="D3220" s="37"/>
      <c r="E3220" s="38" t="s">
        <v>3894</v>
      </c>
      <c r="F3220" s="38" t="s">
        <v>3882</v>
      </c>
      <c r="G3220" s="38">
        <v>6.182237177103E12</v>
      </c>
      <c r="H3220" s="38" t="s">
        <v>3883</v>
      </c>
      <c r="I3220" s="38" t="s">
        <v>3884</v>
      </c>
      <c r="J3220" s="38" t="s">
        <v>178</v>
      </c>
      <c r="K3220" s="38" t="s">
        <v>153</v>
      </c>
      <c r="L3220" s="41">
        <v>46008.458333333336</v>
      </c>
      <c r="M3220" s="38" t="s">
        <v>123</v>
      </c>
      <c r="N3220" s="41">
        <v>46008.833333333336</v>
      </c>
      <c r="O3220" s="38" t="s">
        <v>123</v>
      </c>
      <c r="P3220" s="38">
        <v>32400.0</v>
      </c>
      <c r="Q3220" s="38">
        <v>32400.0</v>
      </c>
      <c r="R3220" s="39"/>
      <c r="S3220" s="39"/>
      <c r="T3220" s="39"/>
      <c r="U3220" s="39"/>
    </row>
    <row r="3221">
      <c r="A3221" s="40">
        <f t="shared" si="1"/>
        <v>46006</v>
      </c>
      <c r="B3221" s="37" t="str">
        <f t="array" ref="B3221">iferror(xlookup($I3221, 'IMPORT VHC Report'!$E:$E, 'IMPORT VHC Report'!$A:$C), )</f>
        <v/>
      </c>
      <c r="C3221" s="37"/>
      <c r="D3221" s="37"/>
      <c r="E3221" s="38" t="s">
        <v>3895</v>
      </c>
      <c r="F3221" s="38" t="s">
        <v>3882</v>
      </c>
      <c r="G3221" s="38">
        <v>6.182237177103E12</v>
      </c>
      <c r="H3221" s="38" t="s">
        <v>3883</v>
      </c>
      <c r="I3221" s="38" t="s">
        <v>3884</v>
      </c>
      <c r="J3221" s="38" t="s">
        <v>134</v>
      </c>
      <c r="K3221" s="38" t="s">
        <v>126</v>
      </c>
      <c r="L3221" s="41">
        <v>46008.604166666664</v>
      </c>
      <c r="M3221" s="38" t="s">
        <v>123</v>
      </c>
      <c r="N3221" s="41">
        <v>46008.625</v>
      </c>
      <c r="O3221" s="38" t="s">
        <v>123</v>
      </c>
      <c r="P3221" s="38">
        <v>1800.0</v>
      </c>
      <c r="Q3221" s="39"/>
      <c r="R3221" s="39"/>
      <c r="S3221" s="39"/>
      <c r="T3221" s="39"/>
      <c r="U3221" s="39"/>
    </row>
    <row r="3222">
      <c r="A3222" s="40">
        <f t="shared" si="1"/>
        <v>46006</v>
      </c>
      <c r="B3222" s="37" t="str">
        <f t="array" ref="B3222">iferror(xlookup($I3222, 'IMPORT VHC Report'!$E:$E, 'IMPORT VHC Report'!$A:$C), )</f>
        <v/>
      </c>
      <c r="C3222" s="37"/>
      <c r="D3222" s="37"/>
      <c r="E3222" s="38" t="s">
        <v>3896</v>
      </c>
      <c r="F3222" s="38" t="s">
        <v>3882</v>
      </c>
      <c r="G3222" s="38">
        <v>6.182237177103E12</v>
      </c>
      <c r="H3222" s="38" t="s">
        <v>3883</v>
      </c>
      <c r="I3222" s="38" t="s">
        <v>3884</v>
      </c>
      <c r="J3222" s="38" t="s">
        <v>132</v>
      </c>
      <c r="K3222" s="38" t="s">
        <v>126</v>
      </c>
      <c r="L3222" s="41">
        <v>46008.708333333336</v>
      </c>
      <c r="M3222" s="38" t="s">
        <v>123</v>
      </c>
      <c r="N3222" s="41">
        <v>46008.75</v>
      </c>
      <c r="O3222" s="38" t="s">
        <v>123</v>
      </c>
      <c r="P3222" s="38">
        <v>3600.0</v>
      </c>
      <c r="Q3222" s="39"/>
      <c r="R3222" s="39"/>
      <c r="S3222" s="39"/>
      <c r="T3222" s="39"/>
      <c r="U3222" s="39"/>
    </row>
    <row r="3223">
      <c r="A3223" s="40">
        <f t="shared" si="1"/>
        <v>46006</v>
      </c>
      <c r="B3223" s="37" t="str">
        <f t="array" ref="B3223">iferror(xlookup($I3223, 'IMPORT VHC Report'!$E:$E, 'IMPORT VHC Report'!$A:$C), )</f>
        <v/>
      </c>
      <c r="C3223" s="37"/>
      <c r="D3223" s="37"/>
      <c r="E3223" s="38" t="s">
        <v>3897</v>
      </c>
      <c r="F3223" s="38" t="s">
        <v>3882</v>
      </c>
      <c r="G3223" s="38">
        <v>6.182237177103E12</v>
      </c>
      <c r="H3223" s="38" t="s">
        <v>3883</v>
      </c>
      <c r="I3223" s="38" t="s">
        <v>3884</v>
      </c>
      <c r="J3223" s="38" t="s">
        <v>134</v>
      </c>
      <c r="K3223" s="38" t="s">
        <v>126</v>
      </c>
      <c r="L3223" s="41">
        <v>46008.805555555555</v>
      </c>
      <c r="M3223" s="38" t="s">
        <v>123</v>
      </c>
      <c r="N3223" s="41">
        <v>46008.833333333336</v>
      </c>
      <c r="O3223" s="38" t="s">
        <v>123</v>
      </c>
      <c r="P3223" s="38">
        <v>2400.0</v>
      </c>
      <c r="Q3223" s="39"/>
      <c r="R3223" s="39"/>
      <c r="S3223" s="38" t="s">
        <v>2274</v>
      </c>
      <c r="T3223" s="39"/>
      <c r="U3223" s="39"/>
    </row>
    <row r="3224">
      <c r="A3224" s="40">
        <f t="shared" si="1"/>
        <v>46006</v>
      </c>
      <c r="B3224" s="37" t="str">
        <f t="array" ref="B3224">iferror(xlookup($I3224, 'IMPORT VHC Report'!$E:$E, 'IMPORT VHC Report'!$A:$C), )</f>
        <v/>
      </c>
      <c r="C3224" s="37"/>
      <c r="D3224" s="37"/>
      <c r="E3224" s="38" t="s">
        <v>3898</v>
      </c>
      <c r="F3224" s="38" t="s">
        <v>3882</v>
      </c>
      <c r="G3224" s="38">
        <v>6.182237177103E12</v>
      </c>
      <c r="H3224" s="38" t="s">
        <v>3883</v>
      </c>
      <c r="I3224" s="38" t="s">
        <v>3884</v>
      </c>
      <c r="J3224" s="38" t="s">
        <v>178</v>
      </c>
      <c r="K3224" s="38" t="s">
        <v>153</v>
      </c>
      <c r="L3224" s="41">
        <v>46009.458333333336</v>
      </c>
      <c r="M3224" s="38" t="s">
        <v>123</v>
      </c>
      <c r="N3224" s="41">
        <v>46009.833333333336</v>
      </c>
      <c r="O3224" s="38" t="s">
        <v>123</v>
      </c>
      <c r="P3224" s="38">
        <v>32400.0</v>
      </c>
      <c r="Q3224" s="38">
        <v>32400.0</v>
      </c>
      <c r="R3224" s="39"/>
      <c r="S3224" s="39"/>
      <c r="T3224" s="39"/>
      <c r="U3224" s="39"/>
    </row>
    <row r="3225">
      <c r="A3225" s="40">
        <f t="shared" si="1"/>
        <v>46006</v>
      </c>
      <c r="B3225" s="37" t="str">
        <f t="array" ref="B3225">iferror(xlookup($I3225, 'IMPORT VHC Report'!$E:$E, 'IMPORT VHC Report'!$A:$C), )</f>
        <v/>
      </c>
      <c r="C3225" s="37"/>
      <c r="D3225" s="37"/>
      <c r="E3225" s="38" t="s">
        <v>3899</v>
      </c>
      <c r="F3225" s="38" t="s">
        <v>3882</v>
      </c>
      <c r="G3225" s="38">
        <v>6.182237177103E12</v>
      </c>
      <c r="H3225" s="38" t="s">
        <v>3883</v>
      </c>
      <c r="I3225" s="38" t="s">
        <v>3884</v>
      </c>
      <c r="J3225" s="38" t="s">
        <v>368</v>
      </c>
      <c r="K3225" s="38" t="s">
        <v>63</v>
      </c>
      <c r="L3225" s="41">
        <v>46009.458333333336</v>
      </c>
      <c r="M3225" s="38" t="s">
        <v>123</v>
      </c>
      <c r="N3225" s="41">
        <v>46009.833333333336</v>
      </c>
      <c r="O3225" s="38" t="s">
        <v>123</v>
      </c>
      <c r="P3225" s="38">
        <v>32400.0</v>
      </c>
      <c r="Q3225" s="39"/>
      <c r="R3225" s="39"/>
      <c r="S3225" s="39"/>
      <c r="T3225" s="39"/>
      <c r="U3225" s="39"/>
    </row>
    <row r="3226">
      <c r="A3226" s="40">
        <f t="shared" si="1"/>
        <v>46006</v>
      </c>
      <c r="B3226" s="37" t="str">
        <f t="array" ref="B3226">iferror(xlookup($I3226, 'IMPORT VHC Report'!$E:$E, 'IMPORT VHC Report'!$A:$C), )</f>
        <v/>
      </c>
      <c r="C3226" s="37"/>
      <c r="D3226" s="37"/>
      <c r="E3226" s="38" t="s">
        <v>3900</v>
      </c>
      <c r="F3226" s="38" t="s">
        <v>3882</v>
      </c>
      <c r="G3226" s="38">
        <v>6.182237177103E12</v>
      </c>
      <c r="H3226" s="38" t="s">
        <v>3883</v>
      </c>
      <c r="I3226" s="38" t="s">
        <v>3884</v>
      </c>
      <c r="J3226" s="38" t="s">
        <v>134</v>
      </c>
      <c r="K3226" s="38" t="s">
        <v>126</v>
      </c>
      <c r="L3226" s="41">
        <v>46009.604166666664</v>
      </c>
      <c r="M3226" s="38" t="s">
        <v>123</v>
      </c>
      <c r="N3226" s="41">
        <v>46009.625</v>
      </c>
      <c r="O3226" s="38" t="s">
        <v>123</v>
      </c>
      <c r="P3226" s="38">
        <v>1800.0</v>
      </c>
      <c r="Q3226" s="39"/>
      <c r="R3226" s="39"/>
      <c r="S3226" s="39"/>
      <c r="T3226" s="39"/>
      <c r="U3226" s="39"/>
    </row>
    <row r="3227">
      <c r="A3227" s="40">
        <f t="shared" si="1"/>
        <v>46006</v>
      </c>
      <c r="B3227" s="37" t="str">
        <f t="array" ref="B3227">iferror(xlookup($I3227, 'IMPORT VHC Report'!$E:$E, 'IMPORT VHC Report'!$A:$C), )</f>
        <v/>
      </c>
      <c r="C3227" s="37"/>
      <c r="D3227" s="37"/>
      <c r="E3227" s="38" t="s">
        <v>3901</v>
      </c>
      <c r="F3227" s="38" t="s">
        <v>3882</v>
      </c>
      <c r="G3227" s="38">
        <v>6.182237177103E12</v>
      </c>
      <c r="H3227" s="38" t="s">
        <v>3883</v>
      </c>
      <c r="I3227" s="38" t="s">
        <v>3884</v>
      </c>
      <c r="J3227" s="38" t="s">
        <v>132</v>
      </c>
      <c r="K3227" s="38" t="s">
        <v>126</v>
      </c>
      <c r="L3227" s="41">
        <v>46009.708333333336</v>
      </c>
      <c r="M3227" s="38" t="s">
        <v>123</v>
      </c>
      <c r="N3227" s="41">
        <v>46009.75</v>
      </c>
      <c r="O3227" s="38" t="s">
        <v>123</v>
      </c>
      <c r="P3227" s="38">
        <v>3600.0</v>
      </c>
      <c r="Q3227" s="39"/>
      <c r="R3227" s="39"/>
      <c r="S3227" s="39"/>
      <c r="T3227" s="39"/>
      <c r="U3227" s="39"/>
    </row>
    <row r="3228">
      <c r="A3228" s="40">
        <f t="shared" si="1"/>
        <v>46006</v>
      </c>
      <c r="B3228" s="37" t="str">
        <f t="array" ref="B3228">iferror(xlookup($I3228, 'IMPORT VHC Report'!$E:$E, 'IMPORT VHC Report'!$A:$C), )</f>
        <v/>
      </c>
      <c r="C3228" s="37"/>
      <c r="D3228" s="37"/>
      <c r="E3228" s="38" t="s">
        <v>3902</v>
      </c>
      <c r="F3228" s="38" t="s">
        <v>3882</v>
      </c>
      <c r="G3228" s="38">
        <v>6.182237177103E12</v>
      </c>
      <c r="H3228" s="38" t="s">
        <v>3883</v>
      </c>
      <c r="I3228" s="38" t="s">
        <v>3884</v>
      </c>
      <c r="J3228" s="38" t="s">
        <v>134</v>
      </c>
      <c r="K3228" s="38" t="s">
        <v>126</v>
      </c>
      <c r="L3228" s="41">
        <v>46009.805555555555</v>
      </c>
      <c r="M3228" s="38" t="s">
        <v>123</v>
      </c>
      <c r="N3228" s="41">
        <v>46009.833333333336</v>
      </c>
      <c r="O3228" s="38" t="s">
        <v>123</v>
      </c>
      <c r="P3228" s="38">
        <v>2400.0</v>
      </c>
      <c r="Q3228" s="39"/>
      <c r="R3228" s="39"/>
      <c r="S3228" s="38" t="s">
        <v>2274</v>
      </c>
      <c r="T3228" s="39"/>
      <c r="U3228" s="39"/>
    </row>
    <row r="3229">
      <c r="A3229" s="40">
        <f t="shared" si="1"/>
        <v>46006</v>
      </c>
      <c r="B3229" s="37" t="str">
        <f t="array" ref="B3229">iferror(xlookup($I3229, 'IMPORT VHC Report'!$E:$E, 'IMPORT VHC Report'!$A:$C), )</f>
        <v/>
      </c>
      <c r="C3229" s="37"/>
      <c r="D3229" s="37"/>
      <c r="E3229" s="38" t="s">
        <v>3903</v>
      </c>
      <c r="F3229" s="38" t="s">
        <v>3882</v>
      </c>
      <c r="G3229" s="38">
        <v>6.182237177103E12</v>
      </c>
      <c r="H3229" s="38" t="s">
        <v>3883</v>
      </c>
      <c r="I3229" s="38" t="s">
        <v>3884</v>
      </c>
      <c r="J3229" s="38" t="s">
        <v>368</v>
      </c>
      <c r="K3229" s="38" t="s">
        <v>63</v>
      </c>
      <c r="L3229" s="41">
        <v>46010.458333333336</v>
      </c>
      <c r="M3229" s="38" t="s">
        <v>123</v>
      </c>
      <c r="N3229" s="41">
        <v>46010.833333333336</v>
      </c>
      <c r="O3229" s="38" t="s">
        <v>123</v>
      </c>
      <c r="P3229" s="38">
        <v>32400.0</v>
      </c>
      <c r="Q3229" s="39"/>
      <c r="R3229" s="39"/>
      <c r="S3229" s="39"/>
      <c r="T3229" s="39"/>
      <c r="U3229" s="39"/>
    </row>
    <row r="3230">
      <c r="A3230" s="40">
        <f t="shared" si="1"/>
        <v>46006</v>
      </c>
      <c r="B3230" s="37" t="str">
        <f t="array" ref="B3230">iferror(xlookup($I3230, 'IMPORT VHC Report'!$E:$E, 'IMPORT VHC Report'!$A:$C), )</f>
        <v/>
      </c>
      <c r="C3230" s="37"/>
      <c r="D3230" s="37"/>
      <c r="E3230" s="38" t="s">
        <v>3904</v>
      </c>
      <c r="F3230" s="38" t="s">
        <v>3882</v>
      </c>
      <c r="G3230" s="38">
        <v>6.182237177103E12</v>
      </c>
      <c r="H3230" s="38" t="s">
        <v>3883</v>
      </c>
      <c r="I3230" s="38" t="s">
        <v>3884</v>
      </c>
      <c r="J3230" s="38" t="s">
        <v>134</v>
      </c>
      <c r="K3230" s="38" t="s">
        <v>126</v>
      </c>
      <c r="L3230" s="41">
        <v>46010.604166666664</v>
      </c>
      <c r="M3230" s="38" t="s">
        <v>123</v>
      </c>
      <c r="N3230" s="41">
        <v>46010.625</v>
      </c>
      <c r="O3230" s="38" t="s">
        <v>123</v>
      </c>
      <c r="P3230" s="38">
        <v>1800.0</v>
      </c>
      <c r="Q3230" s="39"/>
      <c r="R3230" s="39"/>
      <c r="S3230" s="39"/>
      <c r="T3230" s="39"/>
      <c r="U3230" s="39"/>
    </row>
    <row r="3231">
      <c r="A3231" s="40">
        <f t="shared" si="1"/>
        <v>46006</v>
      </c>
      <c r="B3231" s="37" t="str">
        <f t="array" ref="B3231">iferror(xlookup($I3231, 'IMPORT VHC Report'!$E:$E, 'IMPORT VHC Report'!$A:$C), )</f>
        <v/>
      </c>
      <c r="C3231" s="37"/>
      <c r="D3231" s="37"/>
      <c r="E3231" s="38" t="s">
        <v>3905</v>
      </c>
      <c r="F3231" s="38" t="s">
        <v>3882</v>
      </c>
      <c r="G3231" s="38">
        <v>6.182237177103E12</v>
      </c>
      <c r="H3231" s="38" t="s">
        <v>3883</v>
      </c>
      <c r="I3231" s="38" t="s">
        <v>3884</v>
      </c>
      <c r="J3231" s="38" t="s">
        <v>132</v>
      </c>
      <c r="K3231" s="38" t="s">
        <v>126</v>
      </c>
      <c r="L3231" s="41">
        <v>46010.708333333336</v>
      </c>
      <c r="M3231" s="38" t="s">
        <v>123</v>
      </c>
      <c r="N3231" s="41">
        <v>46010.75</v>
      </c>
      <c r="O3231" s="38" t="s">
        <v>123</v>
      </c>
      <c r="P3231" s="38">
        <v>3600.0</v>
      </c>
      <c r="Q3231" s="39"/>
      <c r="R3231" s="39"/>
      <c r="S3231" s="39"/>
      <c r="T3231" s="39"/>
      <c r="U3231" s="39"/>
    </row>
    <row r="3232">
      <c r="A3232" s="40">
        <f t="shared" si="1"/>
        <v>46006</v>
      </c>
      <c r="B3232" s="37" t="str">
        <f t="array" ref="B3232">iferror(xlookup($I3232, 'IMPORT VHC Report'!$E:$E, 'IMPORT VHC Report'!$A:$C), )</f>
        <v/>
      </c>
      <c r="C3232" s="37"/>
      <c r="D3232" s="37"/>
      <c r="E3232" s="38" t="s">
        <v>3906</v>
      </c>
      <c r="F3232" s="38" t="s">
        <v>3882</v>
      </c>
      <c r="G3232" s="38">
        <v>6.182237177103E12</v>
      </c>
      <c r="H3232" s="38" t="s">
        <v>3883</v>
      </c>
      <c r="I3232" s="38" t="s">
        <v>3884</v>
      </c>
      <c r="J3232" s="38" t="s">
        <v>134</v>
      </c>
      <c r="K3232" s="38" t="s">
        <v>126</v>
      </c>
      <c r="L3232" s="41">
        <v>46010.805555555555</v>
      </c>
      <c r="M3232" s="38" t="s">
        <v>123</v>
      </c>
      <c r="N3232" s="41">
        <v>46010.833333333336</v>
      </c>
      <c r="O3232" s="38" t="s">
        <v>123</v>
      </c>
      <c r="P3232" s="38">
        <v>2400.0</v>
      </c>
      <c r="Q3232" s="39"/>
      <c r="R3232" s="39"/>
      <c r="S3232" s="38" t="s">
        <v>2274</v>
      </c>
      <c r="T3232" s="39"/>
      <c r="U3232" s="39"/>
    </row>
    <row r="3233">
      <c r="A3233" s="40">
        <f t="shared" si="1"/>
        <v>46006</v>
      </c>
      <c r="B3233" s="37" t="str">
        <f t="array" ref="B3233">iferror(xlookup($I3233, 'IMPORT VHC Report'!$E:$E, 'IMPORT VHC Report'!$A:$C), )</f>
        <v/>
      </c>
      <c r="C3233" s="37"/>
      <c r="D3233" s="37"/>
      <c r="E3233" s="38" t="s">
        <v>3907</v>
      </c>
      <c r="F3233" s="38" t="s">
        <v>3908</v>
      </c>
      <c r="G3233" s="38">
        <v>7.437371735567E12</v>
      </c>
      <c r="H3233" s="38" t="s">
        <v>3909</v>
      </c>
      <c r="I3233" s="38" t="s">
        <v>3910</v>
      </c>
      <c r="J3233" s="38" t="s">
        <v>224</v>
      </c>
      <c r="K3233" s="38" t="s">
        <v>63</v>
      </c>
      <c r="L3233" s="41">
        <v>46006.458333333336</v>
      </c>
      <c r="M3233" s="38" t="s">
        <v>123</v>
      </c>
      <c r="N3233" s="41">
        <v>46006.5625</v>
      </c>
      <c r="O3233" s="38" t="s">
        <v>123</v>
      </c>
      <c r="P3233" s="38">
        <v>9000.0</v>
      </c>
      <c r="Q3233" s="39"/>
      <c r="R3233" s="39"/>
      <c r="S3233" s="39"/>
      <c r="T3233" s="39"/>
      <c r="U3233" s="39"/>
    </row>
    <row r="3234">
      <c r="A3234" s="40">
        <f t="shared" si="1"/>
        <v>46006</v>
      </c>
      <c r="B3234" s="37" t="str">
        <f t="array" ref="B3234">iferror(xlookup($I3234, 'IMPORT VHC Report'!$E:$E, 'IMPORT VHC Report'!$A:$C), )</f>
        <v/>
      </c>
      <c r="C3234" s="37"/>
      <c r="D3234" s="37"/>
      <c r="E3234" s="38" t="s">
        <v>3911</v>
      </c>
      <c r="F3234" s="38" t="s">
        <v>3908</v>
      </c>
      <c r="G3234" s="38">
        <v>7.437371735567E12</v>
      </c>
      <c r="H3234" s="38" t="s">
        <v>3909</v>
      </c>
      <c r="I3234" s="38" t="s">
        <v>3910</v>
      </c>
      <c r="J3234" s="38" t="s">
        <v>4</v>
      </c>
      <c r="K3234" s="38" t="s">
        <v>126</v>
      </c>
      <c r="L3234" s="41">
        <v>46006.5</v>
      </c>
      <c r="M3234" s="38" t="s">
        <v>123</v>
      </c>
      <c r="N3234" s="41">
        <v>46006.541666666664</v>
      </c>
      <c r="O3234" s="38" t="s">
        <v>123</v>
      </c>
      <c r="P3234" s="38">
        <v>3600.0</v>
      </c>
      <c r="Q3234" s="39"/>
      <c r="R3234" s="39"/>
      <c r="S3234" s="38" t="s">
        <v>858</v>
      </c>
      <c r="T3234" s="39"/>
      <c r="U3234" s="39"/>
    </row>
    <row r="3235">
      <c r="A3235" s="40">
        <f t="shared" si="1"/>
        <v>46006</v>
      </c>
      <c r="B3235" s="37" t="str">
        <f t="array" ref="B3235">iferror(xlookup($I3235, 'IMPORT VHC Report'!$E:$E, 'IMPORT VHC Report'!$A:$C), )</f>
        <v/>
      </c>
      <c r="C3235" s="37"/>
      <c r="D3235" s="37"/>
      <c r="E3235" s="38" t="s">
        <v>3912</v>
      </c>
      <c r="F3235" s="38" t="s">
        <v>3908</v>
      </c>
      <c r="G3235" s="38">
        <v>7.437371735567E12</v>
      </c>
      <c r="H3235" s="38" t="s">
        <v>3909</v>
      </c>
      <c r="I3235" s="38" t="s">
        <v>3910</v>
      </c>
      <c r="J3235" s="38" t="s">
        <v>132</v>
      </c>
      <c r="K3235" s="38" t="s">
        <v>126</v>
      </c>
      <c r="L3235" s="41">
        <v>46006.5625</v>
      </c>
      <c r="M3235" s="38" t="s">
        <v>123</v>
      </c>
      <c r="N3235" s="41">
        <v>46006.604166666664</v>
      </c>
      <c r="O3235" s="38" t="s">
        <v>123</v>
      </c>
      <c r="P3235" s="38">
        <v>3600.0</v>
      </c>
      <c r="Q3235" s="39"/>
      <c r="R3235" s="39"/>
      <c r="S3235" s="39"/>
      <c r="T3235" s="39"/>
      <c r="U3235" s="39"/>
    </row>
    <row r="3236">
      <c r="A3236" s="40">
        <f t="shared" si="1"/>
        <v>46006</v>
      </c>
      <c r="B3236" s="37" t="str">
        <f t="array" ref="B3236">iferror(xlookup($I3236, 'IMPORT VHC Report'!$E:$E, 'IMPORT VHC Report'!$A:$C), )</f>
        <v/>
      </c>
      <c r="C3236" s="37"/>
      <c r="D3236" s="37"/>
      <c r="E3236" s="38" t="s">
        <v>3913</v>
      </c>
      <c r="F3236" s="38" t="s">
        <v>3908</v>
      </c>
      <c r="G3236" s="38">
        <v>7.437371735567E12</v>
      </c>
      <c r="H3236" s="38" t="s">
        <v>3909</v>
      </c>
      <c r="I3236" s="38" t="s">
        <v>3910</v>
      </c>
      <c r="J3236" s="38" t="s">
        <v>224</v>
      </c>
      <c r="K3236" s="38" t="s">
        <v>63</v>
      </c>
      <c r="L3236" s="41">
        <v>46006.604166666664</v>
      </c>
      <c r="M3236" s="38" t="s">
        <v>123</v>
      </c>
      <c r="N3236" s="41">
        <v>46006.666666666664</v>
      </c>
      <c r="O3236" s="38" t="s">
        <v>123</v>
      </c>
      <c r="P3236" s="38">
        <v>5400.0</v>
      </c>
      <c r="Q3236" s="39"/>
      <c r="R3236" s="39"/>
      <c r="S3236" s="39"/>
      <c r="T3236" s="39"/>
      <c r="U3236" s="39"/>
    </row>
    <row r="3237">
      <c r="A3237" s="40">
        <f t="shared" si="1"/>
        <v>46006</v>
      </c>
      <c r="B3237" s="37" t="str">
        <f t="array" ref="B3237">iferror(xlookup($I3237, 'IMPORT VHC Report'!$E:$E, 'IMPORT VHC Report'!$A:$C), )</f>
        <v/>
      </c>
      <c r="C3237" s="37"/>
      <c r="D3237" s="37"/>
      <c r="E3237" s="38" t="s">
        <v>3914</v>
      </c>
      <c r="F3237" s="38" t="s">
        <v>3908</v>
      </c>
      <c r="G3237" s="38">
        <v>7.437371735567E12</v>
      </c>
      <c r="H3237" s="38" t="s">
        <v>3909</v>
      </c>
      <c r="I3237" s="38" t="s">
        <v>3910</v>
      </c>
      <c r="J3237" s="38" t="s">
        <v>134</v>
      </c>
      <c r="K3237" s="38" t="s">
        <v>126</v>
      </c>
      <c r="L3237" s="41">
        <v>46006.666666666664</v>
      </c>
      <c r="M3237" s="38" t="s">
        <v>123</v>
      </c>
      <c r="N3237" s="41">
        <v>46006.677083333336</v>
      </c>
      <c r="O3237" s="38" t="s">
        <v>123</v>
      </c>
      <c r="P3237" s="38">
        <v>900.0</v>
      </c>
      <c r="Q3237" s="39"/>
      <c r="R3237" s="39"/>
      <c r="S3237" s="39"/>
      <c r="T3237" s="39"/>
      <c r="U3237" s="39"/>
    </row>
    <row r="3238">
      <c r="A3238" s="40">
        <f t="shared" si="1"/>
        <v>46006</v>
      </c>
      <c r="B3238" s="37" t="str">
        <f t="array" ref="B3238">iferror(xlookup($I3238, 'IMPORT VHC Report'!$E:$E, 'IMPORT VHC Report'!$A:$C), )</f>
        <v/>
      </c>
      <c r="C3238" s="37"/>
      <c r="D3238" s="37"/>
      <c r="E3238" s="38" t="s">
        <v>3915</v>
      </c>
      <c r="F3238" s="38" t="s">
        <v>3908</v>
      </c>
      <c r="G3238" s="38">
        <v>7.437371735567E12</v>
      </c>
      <c r="H3238" s="38" t="s">
        <v>3909</v>
      </c>
      <c r="I3238" s="38" t="s">
        <v>3910</v>
      </c>
      <c r="J3238" s="38" t="s">
        <v>224</v>
      </c>
      <c r="K3238" s="38" t="s">
        <v>63</v>
      </c>
      <c r="L3238" s="41">
        <v>46006.677083333336</v>
      </c>
      <c r="M3238" s="38" t="s">
        <v>123</v>
      </c>
      <c r="N3238" s="41">
        <v>46006.760416666664</v>
      </c>
      <c r="O3238" s="38" t="s">
        <v>123</v>
      </c>
      <c r="P3238" s="38">
        <v>7200.0</v>
      </c>
      <c r="Q3238" s="39"/>
      <c r="R3238" s="39"/>
      <c r="S3238" s="39"/>
      <c r="T3238" s="39"/>
      <c r="U3238" s="39"/>
    </row>
    <row r="3239">
      <c r="A3239" s="40">
        <f t="shared" si="1"/>
        <v>46006</v>
      </c>
      <c r="B3239" s="37" t="str">
        <f t="array" ref="B3239">iferror(xlookup($I3239, 'IMPORT VHC Report'!$E:$E, 'IMPORT VHC Report'!$A:$C), )</f>
        <v/>
      </c>
      <c r="C3239" s="37"/>
      <c r="D3239" s="37"/>
      <c r="E3239" s="38" t="s">
        <v>3916</v>
      </c>
      <c r="F3239" s="38" t="s">
        <v>3908</v>
      </c>
      <c r="G3239" s="38">
        <v>7.437371735567E12</v>
      </c>
      <c r="H3239" s="38" t="s">
        <v>3909</v>
      </c>
      <c r="I3239" s="38" t="s">
        <v>3910</v>
      </c>
      <c r="J3239" s="38" t="s">
        <v>134</v>
      </c>
      <c r="K3239" s="38" t="s">
        <v>126</v>
      </c>
      <c r="L3239" s="41">
        <v>46006.760416666664</v>
      </c>
      <c r="M3239" s="38" t="s">
        <v>123</v>
      </c>
      <c r="N3239" s="41">
        <v>46006.770833333336</v>
      </c>
      <c r="O3239" s="38" t="s">
        <v>123</v>
      </c>
      <c r="P3239" s="38">
        <v>900.0</v>
      </c>
      <c r="Q3239" s="39"/>
      <c r="R3239" s="39"/>
      <c r="S3239" s="39"/>
      <c r="T3239" s="39"/>
      <c r="U3239" s="39"/>
    </row>
    <row r="3240">
      <c r="A3240" s="40">
        <f t="shared" si="1"/>
        <v>46006</v>
      </c>
      <c r="B3240" s="37" t="str">
        <f t="array" ref="B3240">iferror(xlookup($I3240, 'IMPORT VHC Report'!$E:$E, 'IMPORT VHC Report'!$A:$C), )</f>
        <v/>
      </c>
      <c r="C3240" s="37"/>
      <c r="D3240" s="37"/>
      <c r="E3240" s="38" t="s">
        <v>3917</v>
      </c>
      <c r="F3240" s="38" t="s">
        <v>3908</v>
      </c>
      <c r="G3240" s="38">
        <v>7.437371735567E12</v>
      </c>
      <c r="H3240" s="38" t="s">
        <v>3909</v>
      </c>
      <c r="I3240" s="38" t="s">
        <v>3910</v>
      </c>
      <c r="J3240" s="38" t="s">
        <v>224</v>
      </c>
      <c r="K3240" s="38" t="s">
        <v>63</v>
      </c>
      <c r="L3240" s="41">
        <v>46006.770833333336</v>
      </c>
      <c r="M3240" s="38" t="s">
        <v>123</v>
      </c>
      <c r="N3240" s="41">
        <v>46006.833333333336</v>
      </c>
      <c r="O3240" s="38" t="s">
        <v>123</v>
      </c>
      <c r="P3240" s="38">
        <v>5400.0</v>
      </c>
      <c r="Q3240" s="39"/>
      <c r="R3240" s="39"/>
      <c r="S3240" s="39"/>
      <c r="T3240" s="39"/>
      <c r="U3240" s="39"/>
    </row>
    <row r="3241">
      <c r="A3241" s="40">
        <f t="shared" si="1"/>
        <v>46006</v>
      </c>
      <c r="B3241" s="37" t="str">
        <f t="array" ref="B3241">iferror(xlookup($I3241, 'IMPORT VHC Report'!$E:$E, 'IMPORT VHC Report'!$A:$C), )</f>
        <v/>
      </c>
      <c r="C3241" s="37"/>
      <c r="D3241" s="37"/>
      <c r="E3241" s="38" t="s">
        <v>3918</v>
      </c>
      <c r="F3241" s="38" t="s">
        <v>3908</v>
      </c>
      <c r="G3241" s="38">
        <v>7.437371735567E12</v>
      </c>
      <c r="H3241" s="38" t="s">
        <v>3909</v>
      </c>
      <c r="I3241" s="38" t="s">
        <v>3910</v>
      </c>
      <c r="J3241" s="38" t="s">
        <v>224</v>
      </c>
      <c r="K3241" s="38" t="s">
        <v>63</v>
      </c>
      <c r="L3241" s="41">
        <v>46007.458333333336</v>
      </c>
      <c r="M3241" s="38" t="s">
        <v>123</v>
      </c>
      <c r="N3241" s="41">
        <v>46007.833333333336</v>
      </c>
      <c r="O3241" s="38" t="s">
        <v>123</v>
      </c>
      <c r="P3241" s="38">
        <v>32400.0</v>
      </c>
      <c r="Q3241" s="39"/>
      <c r="R3241" s="39"/>
      <c r="S3241" s="39"/>
      <c r="T3241" s="39"/>
      <c r="U3241" s="39"/>
    </row>
    <row r="3242">
      <c r="A3242" s="40">
        <f t="shared" si="1"/>
        <v>46006</v>
      </c>
      <c r="B3242" s="37" t="str">
        <f t="array" ref="B3242">iferror(xlookup($I3242, 'IMPORT VHC Report'!$E:$E, 'IMPORT VHC Report'!$A:$C), )</f>
        <v/>
      </c>
      <c r="C3242" s="37"/>
      <c r="D3242" s="37"/>
      <c r="E3242" s="38" t="s">
        <v>3919</v>
      </c>
      <c r="F3242" s="38" t="s">
        <v>3908</v>
      </c>
      <c r="G3242" s="38">
        <v>7.437371735567E12</v>
      </c>
      <c r="H3242" s="38" t="s">
        <v>3909</v>
      </c>
      <c r="I3242" s="38" t="s">
        <v>3910</v>
      </c>
      <c r="J3242" s="38" t="s">
        <v>134</v>
      </c>
      <c r="K3242" s="38" t="s">
        <v>126</v>
      </c>
      <c r="L3242" s="41">
        <v>46007.541666666664</v>
      </c>
      <c r="M3242" s="38" t="s">
        <v>123</v>
      </c>
      <c r="N3242" s="41">
        <v>46007.552083333336</v>
      </c>
      <c r="O3242" s="38" t="s">
        <v>123</v>
      </c>
      <c r="P3242" s="38">
        <v>900.0</v>
      </c>
      <c r="Q3242" s="39"/>
      <c r="R3242" s="39"/>
      <c r="S3242" s="39"/>
      <c r="T3242" s="39"/>
      <c r="U3242" s="39"/>
    </row>
    <row r="3243">
      <c r="A3243" s="40">
        <f t="shared" si="1"/>
        <v>46006</v>
      </c>
      <c r="B3243" s="37" t="str">
        <f t="array" ref="B3243">iferror(xlookup($I3243, 'IMPORT VHC Report'!$E:$E, 'IMPORT VHC Report'!$A:$C), )</f>
        <v/>
      </c>
      <c r="C3243" s="37"/>
      <c r="D3243" s="37"/>
      <c r="E3243" s="38" t="s">
        <v>3920</v>
      </c>
      <c r="F3243" s="38" t="s">
        <v>3908</v>
      </c>
      <c r="G3243" s="38">
        <v>7.437371735567E12</v>
      </c>
      <c r="H3243" s="38" t="s">
        <v>3909</v>
      </c>
      <c r="I3243" s="38" t="s">
        <v>3910</v>
      </c>
      <c r="J3243" s="38" t="s">
        <v>132</v>
      </c>
      <c r="K3243" s="38" t="s">
        <v>126</v>
      </c>
      <c r="L3243" s="41">
        <v>46007.625</v>
      </c>
      <c r="M3243" s="38" t="s">
        <v>123</v>
      </c>
      <c r="N3243" s="41">
        <v>46007.666666666664</v>
      </c>
      <c r="O3243" s="38" t="s">
        <v>123</v>
      </c>
      <c r="P3243" s="38">
        <v>3600.0</v>
      </c>
      <c r="Q3243" s="39"/>
      <c r="R3243" s="39"/>
      <c r="S3243" s="39"/>
      <c r="T3243" s="39"/>
      <c r="U3243" s="39"/>
    </row>
    <row r="3244">
      <c r="A3244" s="40">
        <f t="shared" si="1"/>
        <v>46006</v>
      </c>
      <c r="B3244" s="37" t="str">
        <f t="array" ref="B3244">iferror(xlookup($I3244, 'IMPORT VHC Report'!$E:$E, 'IMPORT VHC Report'!$A:$C), )</f>
        <v/>
      </c>
      <c r="C3244" s="37"/>
      <c r="D3244" s="37"/>
      <c r="E3244" s="38" t="s">
        <v>3921</v>
      </c>
      <c r="F3244" s="38" t="s">
        <v>3908</v>
      </c>
      <c r="G3244" s="38">
        <v>7.437371735567E12</v>
      </c>
      <c r="H3244" s="38" t="s">
        <v>3909</v>
      </c>
      <c r="I3244" s="38" t="s">
        <v>3910</v>
      </c>
      <c r="J3244" s="38" t="s">
        <v>136</v>
      </c>
      <c r="K3244" s="38" t="s">
        <v>126</v>
      </c>
      <c r="L3244" s="41">
        <v>46007.697916666664</v>
      </c>
      <c r="M3244" s="38" t="s">
        <v>123</v>
      </c>
      <c r="N3244" s="41">
        <v>46007.729166666664</v>
      </c>
      <c r="O3244" s="38" t="s">
        <v>123</v>
      </c>
      <c r="P3244" s="38">
        <v>2700.0</v>
      </c>
      <c r="Q3244" s="39"/>
      <c r="R3244" s="39"/>
      <c r="S3244" s="38" t="s">
        <v>137</v>
      </c>
      <c r="T3244" s="39"/>
      <c r="U3244" s="39"/>
    </row>
    <row r="3245">
      <c r="A3245" s="40">
        <f t="shared" si="1"/>
        <v>46006</v>
      </c>
      <c r="B3245" s="37" t="str">
        <f t="array" ref="B3245">iferror(xlookup($I3245, 'IMPORT VHC Report'!$E:$E, 'IMPORT VHC Report'!$A:$C), )</f>
        <v/>
      </c>
      <c r="C3245" s="37"/>
      <c r="D3245" s="37"/>
      <c r="E3245" s="38" t="s">
        <v>3922</v>
      </c>
      <c r="F3245" s="38" t="s">
        <v>3908</v>
      </c>
      <c r="G3245" s="38">
        <v>7.437371735567E12</v>
      </c>
      <c r="H3245" s="38" t="s">
        <v>3909</v>
      </c>
      <c r="I3245" s="38" t="s">
        <v>3910</v>
      </c>
      <c r="J3245" s="38" t="s">
        <v>134</v>
      </c>
      <c r="K3245" s="38" t="s">
        <v>126</v>
      </c>
      <c r="L3245" s="41">
        <v>46007.760416666664</v>
      </c>
      <c r="M3245" s="38" t="s">
        <v>123</v>
      </c>
      <c r="N3245" s="41">
        <v>46007.770833333336</v>
      </c>
      <c r="O3245" s="38" t="s">
        <v>123</v>
      </c>
      <c r="P3245" s="38">
        <v>900.0</v>
      </c>
      <c r="Q3245" s="39"/>
      <c r="R3245" s="39"/>
      <c r="S3245" s="39"/>
      <c r="T3245" s="39"/>
      <c r="U3245" s="39"/>
    </row>
    <row r="3246">
      <c r="A3246" s="40">
        <f t="shared" si="1"/>
        <v>46006</v>
      </c>
      <c r="B3246" s="37" t="str">
        <f t="array" ref="B3246">iferror(xlookup($I3246, 'IMPORT VHC Report'!$E:$E, 'IMPORT VHC Report'!$A:$C), )</f>
        <v/>
      </c>
      <c r="C3246" s="37"/>
      <c r="D3246" s="37"/>
      <c r="E3246" s="38" t="s">
        <v>3923</v>
      </c>
      <c r="F3246" s="38" t="s">
        <v>3908</v>
      </c>
      <c r="G3246" s="38">
        <v>7.437371735567E12</v>
      </c>
      <c r="H3246" s="38" t="s">
        <v>3909</v>
      </c>
      <c r="I3246" s="38" t="s">
        <v>3910</v>
      </c>
      <c r="J3246" s="38" t="s">
        <v>224</v>
      </c>
      <c r="K3246" s="38" t="s">
        <v>63</v>
      </c>
      <c r="L3246" s="41">
        <v>46008.458333333336</v>
      </c>
      <c r="M3246" s="38" t="s">
        <v>123</v>
      </c>
      <c r="N3246" s="41">
        <v>46008.833333333336</v>
      </c>
      <c r="O3246" s="38" t="s">
        <v>123</v>
      </c>
      <c r="P3246" s="38">
        <v>32400.0</v>
      </c>
      <c r="Q3246" s="39"/>
      <c r="R3246" s="39"/>
      <c r="S3246" s="39"/>
      <c r="T3246" s="39"/>
      <c r="U3246" s="39"/>
    </row>
    <row r="3247">
      <c r="A3247" s="40">
        <f t="shared" si="1"/>
        <v>46006</v>
      </c>
      <c r="B3247" s="37" t="str">
        <f t="array" ref="B3247">iferror(xlookup($I3247, 'IMPORT VHC Report'!$E:$E, 'IMPORT VHC Report'!$A:$C), )</f>
        <v/>
      </c>
      <c r="C3247" s="37"/>
      <c r="D3247" s="37"/>
      <c r="E3247" s="38" t="s">
        <v>3924</v>
      </c>
      <c r="F3247" s="38" t="s">
        <v>3908</v>
      </c>
      <c r="G3247" s="38">
        <v>7.437371735567E12</v>
      </c>
      <c r="H3247" s="38" t="s">
        <v>3909</v>
      </c>
      <c r="I3247" s="38" t="s">
        <v>3910</v>
      </c>
      <c r="J3247" s="38" t="s">
        <v>132</v>
      </c>
      <c r="K3247" s="38" t="s">
        <v>126</v>
      </c>
      <c r="L3247" s="41">
        <v>46008.520833333336</v>
      </c>
      <c r="M3247" s="38" t="s">
        <v>123</v>
      </c>
      <c r="N3247" s="41">
        <v>46008.5625</v>
      </c>
      <c r="O3247" s="38" t="s">
        <v>123</v>
      </c>
      <c r="P3247" s="38">
        <v>3600.0</v>
      </c>
      <c r="Q3247" s="39"/>
      <c r="R3247" s="39"/>
      <c r="S3247" s="39"/>
      <c r="T3247" s="39"/>
      <c r="U3247" s="39"/>
    </row>
    <row r="3248">
      <c r="A3248" s="40">
        <f t="shared" si="1"/>
        <v>46006</v>
      </c>
      <c r="B3248" s="37" t="str">
        <f t="array" ref="B3248">iferror(xlookup($I3248, 'IMPORT VHC Report'!$E:$E, 'IMPORT VHC Report'!$A:$C), )</f>
        <v/>
      </c>
      <c r="C3248" s="37"/>
      <c r="D3248" s="37"/>
      <c r="E3248" s="38" t="s">
        <v>3925</v>
      </c>
      <c r="F3248" s="38" t="s">
        <v>3908</v>
      </c>
      <c r="G3248" s="38">
        <v>7.437371735567E12</v>
      </c>
      <c r="H3248" s="38" t="s">
        <v>3909</v>
      </c>
      <c r="I3248" s="38" t="s">
        <v>3910</v>
      </c>
      <c r="J3248" s="38" t="s">
        <v>134</v>
      </c>
      <c r="K3248" s="38" t="s">
        <v>126</v>
      </c>
      <c r="L3248" s="41">
        <v>46008.65625</v>
      </c>
      <c r="M3248" s="38" t="s">
        <v>123</v>
      </c>
      <c r="N3248" s="41">
        <v>46008.666666666664</v>
      </c>
      <c r="O3248" s="38" t="s">
        <v>123</v>
      </c>
      <c r="P3248" s="38">
        <v>900.0</v>
      </c>
      <c r="Q3248" s="39"/>
      <c r="R3248" s="39"/>
      <c r="S3248" s="39"/>
      <c r="T3248" s="39"/>
      <c r="U3248" s="39"/>
    </row>
    <row r="3249">
      <c r="A3249" s="40">
        <f t="shared" si="1"/>
        <v>46006</v>
      </c>
      <c r="B3249" s="37" t="str">
        <f t="array" ref="B3249">iferror(xlookup($I3249, 'IMPORT VHC Report'!$E:$E, 'IMPORT VHC Report'!$A:$C), )</f>
        <v/>
      </c>
      <c r="C3249" s="37"/>
      <c r="D3249" s="37"/>
      <c r="E3249" s="38" t="s">
        <v>3926</v>
      </c>
      <c r="F3249" s="38" t="s">
        <v>3908</v>
      </c>
      <c r="G3249" s="38">
        <v>7.437371735567E12</v>
      </c>
      <c r="H3249" s="38" t="s">
        <v>3909</v>
      </c>
      <c r="I3249" s="38" t="s">
        <v>3910</v>
      </c>
      <c r="J3249" s="38" t="s">
        <v>134</v>
      </c>
      <c r="K3249" s="38" t="s">
        <v>126</v>
      </c>
      <c r="L3249" s="41">
        <v>46008.75</v>
      </c>
      <c r="M3249" s="38" t="s">
        <v>123</v>
      </c>
      <c r="N3249" s="41">
        <v>46008.760416666664</v>
      </c>
      <c r="O3249" s="38" t="s">
        <v>123</v>
      </c>
      <c r="P3249" s="38">
        <v>900.0</v>
      </c>
      <c r="Q3249" s="39"/>
      <c r="R3249" s="39"/>
      <c r="S3249" s="39"/>
      <c r="T3249" s="39"/>
      <c r="U3249" s="39"/>
    </row>
    <row r="3250">
      <c r="A3250" s="40">
        <f t="shared" si="1"/>
        <v>46006</v>
      </c>
      <c r="B3250" s="37" t="str">
        <f t="array" ref="B3250">iferror(xlookup($I3250, 'IMPORT VHC Report'!$E:$E, 'IMPORT VHC Report'!$A:$C), )</f>
        <v/>
      </c>
      <c r="C3250" s="37"/>
      <c r="D3250" s="37"/>
      <c r="E3250" s="38" t="s">
        <v>3927</v>
      </c>
      <c r="F3250" s="38" t="s">
        <v>3908</v>
      </c>
      <c r="G3250" s="38">
        <v>7.437371735567E12</v>
      </c>
      <c r="H3250" s="38" t="s">
        <v>3909</v>
      </c>
      <c r="I3250" s="38" t="s">
        <v>3910</v>
      </c>
      <c r="J3250" s="38" t="s">
        <v>224</v>
      </c>
      <c r="K3250" s="38" t="s">
        <v>63</v>
      </c>
      <c r="L3250" s="41">
        <v>46009.458333333336</v>
      </c>
      <c r="M3250" s="38" t="s">
        <v>123</v>
      </c>
      <c r="N3250" s="41">
        <v>46009.833333333336</v>
      </c>
      <c r="O3250" s="38" t="s">
        <v>123</v>
      </c>
      <c r="P3250" s="38">
        <v>32400.0</v>
      </c>
      <c r="Q3250" s="39"/>
      <c r="R3250" s="39"/>
      <c r="S3250" s="39"/>
      <c r="T3250" s="39"/>
      <c r="U3250" s="39"/>
    </row>
    <row r="3251">
      <c r="A3251" s="40">
        <f t="shared" si="1"/>
        <v>46006</v>
      </c>
      <c r="B3251" s="37" t="str">
        <f t="array" ref="B3251">iferror(xlookup($I3251, 'IMPORT VHC Report'!$E:$E, 'IMPORT VHC Report'!$A:$C), )</f>
        <v/>
      </c>
      <c r="C3251" s="37"/>
      <c r="D3251" s="37"/>
      <c r="E3251" s="38" t="s">
        <v>3928</v>
      </c>
      <c r="F3251" s="38" t="s">
        <v>3908</v>
      </c>
      <c r="G3251" s="38">
        <v>7.437371735567E12</v>
      </c>
      <c r="H3251" s="38" t="s">
        <v>3909</v>
      </c>
      <c r="I3251" s="38" t="s">
        <v>3910</v>
      </c>
      <c r="J3251" s="38" t="s">
        <v>134</v>
      </c>
      <c r="K3251" s="38" t="s">
        <v>126</v>
      </c>
      <c r="L3251" s="41">
        <v>46009.5625</v>
      </c>
      <c r="M3251" s="38" t="s">
        <v>123</v>
      </c>
      <c r="N3251" s="41">
        <v>46009.572916666664</v>
      </c>
      <c r="O3251" s="38" t="s">
        <v>123</v>
      </c>
      <c r="P3251" s="38">
        <v>900.0</v>
      </c>
      <c r="Q3251" s="39"/>
      <c r="R3251" s="39"/>
      <c r="S3251" s="39"/>
      <c r="T3251" s="39"/>
      <c r="U3251" s="39"/>
    </row>
    <row r="3252">
      <c r="A3252" s="40">
        <f t="shared" si="1"/>
        <v>46006</v>
      </c>
      <c r="B3252" s="37" t="str">
        <f t="array" ref="B3252">iferror(xlookup($I3252, 'IMPORT VHC Report'!$E:$E, 'IMPORT VHC Report'!$A:$C), )</f>
        <v/>
      </c>
      <c r="C3252" s="37"/>
      <c r="D3252" s="37"/>
      <c r="E3252" s="38" t="s">
        <v>3929</v>
      </c>
      <c r="F3252" s="38" t="s">
        <v>3908</v>
      </c>
      <c r="G3252" s="38">
        <v>7.437371735567E12</v>
      </c>
      <c r="H3252" s="38" t="s">
        <v>3909</v>
      </c>
      <c r="I3252" s="38" t="s">
        <v>3910</v>
      </c>
      <c r="J3252" s="38" t="s">
        <v>134</v>
      </c>
      <c r="K3252" s="38" t="s">
        <v>126</v>
      </c>
      <c r="L3252" s="41">
        <v>46009.635416666664</v>
      </c>
      <c r="M3252" s="38" t="s">
        <v>123</v>
      </c>
      <c r="N3252" s="41">
        <v>46009.645833333336</v>
      </c>
      <c r="O3252" s="38" t="s">
        <v>123</v>
      </c>
      <c r="P3252" s="38">
        <v>900.0</v>
      </c>
      <c r="Q3252" s="39"/>
      <c r="R3252" s="39"/>
      <c r="S3252" s="39"/>
      <c r="T3252" s="39"/>
      <c r="U3252" s="39"/>
    </row>
    <row r="3253">
      <c r="A3253" s="40">
        <f t="shared" si="1"/>
        <v>46006</v>
      </c>
      <c r="B3253" s="37" t="str">
        <f t="array" ref="B3253">iferror(xlookup($I3253, 'IMPORT VHC Report'!$E:$E, 'IMPORT VHC Report'!$A:$C), )</f>
        <v/>
      </c>
      <c r="C3253" s="37"/>
      <c r="D3253" s="37"/>
      <c r="E3253" s="38" t="s">
        <v>3930</v>
      </c>
      <c r="F3253" s="38" t="s">
        <v>3908</v>
      </c>
      <c r="G3253" s="38">
        <v>7.437371735567E12</v>
      </c>
      <c r="H3253" s="38" t="s">
        <v>3909</v>
      </c>
      <c r="I3253" s="38" t="s">
        <v>3910</v>
      </c>
      <c r="J3253" s="38" t="s">
        <v>132</v>
      </c>
      <c r="K3253" s="38" t="s">
        <v>126</v>
      </c>
      <c r="L3253" s="41">
        <v>46009.71875</v>
      </c>
      <c r="M3253" s="38" t="s">
        <v>123</v>
      </c>
      <c r="N3253" s="41">
        <v>46009.760416666664</v>
      </c>
      <c r="O3253" s="38" t="s">
        <v>123</v>
      </c>
      <c r="P3253" s="38">
        <v>3600.0</v>
      </c>
      <c r="Q3253" s="39"/>
      <c r="R3253" s="39"/>
      <c r="S3253" s="39"/>
      <c r="T3253" s="39"/>
      <c r="U3253" s="39"/>
    </row>
    <row r="3254">
      <c r="A3254" s="40">
        <f t="shared" si="1"/>
        <v>46006</v>
      </c>
      <c r="B3254" s="37" t="str">
        <f t="array" ref="B3254">iferror(xlookup($I3254, 'IMPORT VHC Report'!$E:$E, 'IMPORT VHC Report'!$A:$C), )</f>
        <v/>
      </c>
      <c r="C3254" s="37"/>
      <c r="D3254" s="37"/>
      <c r="E3254" s="38" t="s">
        <v>3931</v>
      </c>
      <c r="F3254" s="38" t="s">
        <v>3908</v>
      </c>
      <c r="G3254" s="38">
        <v>7.437371735567E12</v>
      </c>
      <c r="H3254" s="38" t="s">
        <v>3909</v>
      </c>
      <c r="I3254" s="38" t="s">
        <v>3910</v>
      </c>
      <c r="J3254" s="38" t="s">
        <v>224</v>
      </c>
      <c r="K3254" s="38" t="s">
        <v>63</v>
      </c>
      <c r="L3254" s="41">
        <v>46010.458333333336</v>
      </c>
      <c r="M3254" s="38" t="s">
        <v>123</v>
      </c>
      <c r="N3254" s="41">
        <v>46010.5625</v>
      </c>
      <c r="O3254" s="38" t="s">
        <v>123</v>
      </c>
      <c r="P3254" s="38">
        <v>9000.0</v>
      </c>
      <c r="Q3254" s="39"/>
      <c r="R3254" s="39"/>
      <c r="S3254" s="39"/>
      <c r="T3254" s="39"/>
      <c r="U3254" s="39"/>
    </row>
    <row r="3255">
      <c r="A3255" s="40">
        <f t="shared" si="1"/>
        <v>46006</v>
      </c>
      <c r="B3255" s="37" t="str">
        <f t="array" ref="B3255">iferror(xlookup($I3255, 'IMPORT VHC Report'!$E:$E, 'IMPORT VHC Report'!$A:$C), )</f>
        <v/>
      </c>
      <c r="C3255" s="37"/>
      <c r="D3255" s="37"/>
      <c r="E3255" s="38" t="s">
        <v>3932</v>
      </c>
      <c r="F3255" s="38" t="s">
        <v>3908</v>
      </c>
      <c r="G3255" s="38">
        <v>7.437371735567E12</v>
      </c>
      <c r="H3255" s="38" t="s">
        <v>3909</v>
      </c>
      <c r="I3255" s="38" t="s">
        <v>3910</v>
      </c>
      <c r="J3255" s="38" t="s">
        <v>132</v>
      </c>
      <c r="K3255" s="38" t="s">
        <v>126</v>
      </c>
      <c r="L3255" s="41">
        <v>46010.5625</v>
      </c>
      <c r="M3255" s="38" t="s">
        <v>123</v>
      </c>
      <c r="N3255" s="41">
        <v>46010.604166666664</v>
      </c>
      <c r="O3255" s="38" t="s">
        <v>123</v>
      </c>
      <c r="P3255" s="38">
        <v>3600.0</v>
      </c>
      <c r="Q3255" s="39"/>
      <c r="R3255" s="39"/>
      <c r="S3255" s="39"/>
      <c r="T3255" s="39"/>
      <c r="U3255" s="39"/>
    </row>
    <row r="3256">
      <c r="A3256" s="40">
        <f t="shared" si="1"/>
        <v>46006</v>
      </c>
      <c r="B3256" s="37" t="str">
        <f t="array" ref="B3256">iferror(xlookup($I3256, 'IMPORT VHC Report'!$E:$E, 'IMPORT VHC Report'!$A:$C), )</f>
        <v/>
      </c>
      <c r="C3256" s="37"/>
      <c r="D3256" s="37"/>
      <c r="E3256" s="38" t="s">
        <v>3933</v>
      </c>
      <c r="F3256" s="38" t="s">
        <v>3908</v>
      </c>
      <c r="G3256" s="38">
        <v>7.437371735567E12</v>
      </c>
      <c r="H3256" s="38" t="s">
        <v>3909</v>
      </c>
      <c r="I3256" s="38" t="s">
        <v>3910</v>
      </c>
      <c r="J3256" s="38" t="s">
        <v>224</v>
      </c>
      <c r="K3256" s="38" t="s">
        <v>63</v>
      </c>
      <c r="L3256" s="41">
        <v>46010.604166666664</v>
      </c>
      <c r="M3256" s="38" t="s">
        <v>123</v>
      </c>
      <c r="N3256" s="41">
        <v>46010.677083333336</v>
      </c>
      <c r="O3256" s="38" t="s">
        <v>123</v>
      </c>
      <c r="P3256" s="38">
        <v>6300.0</v>
      </c>
      <c r="Q3256" s="39"/>
      <c r="R3256" s="39"/>
      <c r="S3256" s="39"/>
      <c r="T3256" s="39"/>
      <c r="U3256" s="39"/>
    </row>
    <row r="3257">
      <c r="A3257" s="40">
        <f t="shared" si="1"/>
        <v>46006</v>
      </c>
      <c r="B3257" s="37" t="str">
        <f t="array" ref="B3257">iferror(xlookup($I3257, 'IMPORT VHC Report'!$E:$E, 'IMPORT VHC Report'!$A:$C), )</f>
        <v/>
      </c>
      <c r="C3257" s="37"/>
      <c r="D3257" s="37"/>
      <c r="E3257" s="38" t="s">
        <v>3934</v>
      </c>
      <c r="F3257" s="38" t="s">
        <v>3908</v>
      </c>
      <c r="G3257" s="38">
        <v>7.437371735567E12</v>
      </c>
      <c r="H3257" s="38" t="s">
        <v>3909</v>
      </c>
      <c r="I3257" s="38" t="s">
        <v>3910</v>
      </c>
      <c r="J3257" s="38" t="s">
        <v>134</v>
      </c>
      <c r="K3257" s="38" t="s">
        <v>126</v>
      </c>
      <c r="L3257" s="41">
        <v>46010.677083333336</v>
      </c>
      <c r="M3257" s="38" t="s">
        <v>123</v>
      </c>
      <c r="N3257" s="41">
        <v>46010.6875</v>
      </c>
      <c r="O3257" s="38" t="s">
        <v>123</v>
      </c>
      <c r="P3257" s="38">
        <v>900.0</v>
      </c>
      <c r="Q3257" s="39"/>
      <c r="R3257" s="39"/>
      <c r="S3257" s="39"/>
      <c r="T3257" s="39"/>
      <c r="U3257" s="39"/>
    </row>
    <row r="3258">
      <c r="A3258" s="40">
        <f t="shared" si="1"/>
        <v>46006</v>
      </c>
      <c r="B3258" s="37" t="str">
        <f t="array" ref="B3258">iferror(xlookup($I3258, 'IMPORT VHC Report'!$E:$E, 'IMPORT VHC Report'!$A:$C), )</f>
        <v/>
      </c>
      <c r="C3258" s="37"/>
      <c r="D3258" s="37"/>
      <c r="E3258" s="38" t="s">
        <v>3935</v>
      </c>
      <c r="F3258" s="38" t="s">
        <v>3908</v>
      </c>
      <c r="G3258" s="38">
        <v>7.437371735567E12</v>
      </c>
      <c r="H3258" s="38" t="s">
        <v>3909</v>
      </c>
      <c r="I3258" s="38" t="s">
        <v>3910</v>
      </c>
      <c r="J3258" s="38" t="s">
        <v>224</v>
      </c>
      <c r="K3258" s="38" t="s">
        <v>63</v>
      </c>
      <c r="L3258" s="41">
        <v>46010.6875</v>
      </c>
      <c r="M3258" s="38" t="s">
        <v>123</v>
      </c>
      <c r="N3258" s="41">
        <v>46010.760416666664</v>
      </c>
      <c r="O3258" s="38" t="s">
        <v>123</v>
      </c>
      <c r="P3258" s="38">
        <v>6300.0</v>
      </c>
      <c r="Q3258" s="39"/>
      <c r="R3258" s="39"/>
      <c r="S3258" s="39"/>
      <c r="T3258" s="39"/>
      <c r="U3258" s="39"/>
    </row>
    <row r="3259">
      <c r="A3259" s="40">
        <f t="shared" si="1"/>
        <v>46006</v>
      </c>
      <c r="B3259" s="37" t="str">
        <f t="array" ref="B3259">iferror(xlookup($I3259, 'IMPORT VHC Report'!$E:$E, 'IMPORT VHC Report'!$A:$C), )</f>
        <v/>
      </c>
      <c r="C3259" s="37"/>
      <c r="D3259" s="37"/>
      <c r="E3259" s="38" t="s">
        <v>3936</v>
      </c>
      <c r="F3259" s="38" t="s">
        <v>3908</v>
      </c>
      <c r="G3259" s="38">
        <v>7.437371735567E12</v>
      </c>
      <c r="H3259" s="38" t="s">
        <v>3909</v>
      </c>
      <c r="I3259" s="38" t="s">
        <v>3910</v>
      </c>
      <c r="J3259" s="38" t="s">
        <v>330</v>
      </c>
      <c r="K3259" s="38" t="s">
        <v>126</v>
      </c>
      <c r="L3259" s="41">
        <v>46010.708333333336</v>
      </c>
      <c r="M3259" s="38" t="s">
        <v>123</v>
      </c>
      <c r="N3259" s="41">
        <v>46010.729166666664</v>
      </c>
      <c r="O3259" s="38" t="s">
        <v>123</v>
      </c>
      <c r="P3259" s="38">
        <v>1800.0</v>
      </c>
      <c r="Q3259" s="39"/>
      <c r="R3259" s="39"/>
      <c r="S3259" s="39"/>
      <c r="T3259" s="39"/>
      <c r="U3259" s="39"/>
    </row>
    <row r="3260">
      <c r="A3260" s="40">
        <f t="shared" si="1"/>
        <v>46006</v>
      </c>
      <c r="B3260" s="37" t="str">
        <f t="array" ref="B3260">iferror(xlookup($I3260, 'IMPORT VHC Report'!$E:$E, 'IMPORT VHC Report'!$A:$C), )</f>
        <v/>
      </c>
      <c r="C3260" s="37"/>
      <c r="D3260" s="37"/>
      <c r="E3260" s="38" t="s">
        <v>3937</v>
      </c>
      <c r="F3260" s="38" t="s">
        <v>3908</v>
      </c>
      <c r="G3260" s="38">
        <v>7.437371735567E12</v>
      </c>
      <c r="H3260" s="38" t="s">
        <v>3909</v>
      </c>
      <c r="I3260" s="38" t="s">
        <v>3910</v>
      </c>
      <c r="J3260" s="38" t="s">
        <v>134</v>
      </c>
      <c r="K3260" s="38" t="s">
        <v>126</v>
      </c>
      <c r="L3260" s="41">
        <v>46010.760416666664</v>
      </c>
      <c r="M3260" s="38" t="s">
        <v>123</v>
      </c>
      <c r="N3260" s="41">
        <v>46010.770833333336</v>
      </c>
      <c r="O3260" s="38" t="s">
        <v>123</v>
      </c>
      <c r="P3260" s="38">
        <v>900.0</v>
      </c>
      <c r="Q3260" s="39"/>
      <c r="R3260" s="39"/>
      <c r="S3260" s="39"/>
      <c r="T3260" s="39"/>
      <c r="U3260" s="39"/>
    </row>
    <row r="3261">
      <c r="A3261" s="40">
        <f t="shared" si="1"/>
        <v>46006</v>
      </c>
      <c r="B3261" s="37" t="str">
        <f t="array" ref="B3261">iferror(xlookup($I3261, 'IMPORT VHC Report'!$E:$E, 'IMPORT VHC Report'!$A:$C), )</f>
        <v/>
      </c>
      <c r="C3261" s="37"/>
      <c r="D3261" s="37"/>
      <c r="E3261" s="38" t="s">
        <v>3938</v>
      </c>
      <c r="F3261" s="38" t="s">
        <v>3908</v>
      </c>
      <c r="G3261" s="38">
        <v>7.437371735567E12</v>
      </c>
      <c r="H3261" s="38" t="s">
        <v>3909</v>
      </c>
      <c r="I3261" s="38" t="s">
        <v>3910</v>
      </c>
      <c r="J3261" s="38" t="s">
        <v>224</v>
      </c>
      <c r="K3261" s="38" t="s">
        <v>63</v>
      </c>
      <c r="L3261" s="41">
        <v>46010.770833333336</v>
      </c>
      <c r="M3261" s="38" t="s">
        <v>123</v>
      </c>
      <c r="N3261" s="41">
        <v>46010.833333333336</v>
      </c>
      <c r="O3261" s="38" t="s">
        <v>123</v>
      </c>
      <c r="P3261" s="38">
        <v>5400.0</v>
      </c>
      <c r="Q3261" s="39"/>
      <c r="R3261" s="39"/>
      <c r="S3261" s="39"/>
      <c r="T3261" s="39"/>
      <c r="U3261" s="39"/>
    </row>
    <row r="3262">
      <c r="A3262" s="40">
        <f t="shared" si="1"/>
        <v>46006</v>
      </c>
      <c r="B3262" s="37" t="str">
        <f t="array" ref="B3262">iferror(xlookup($I3262, 'IMPORT VHC Report'!$E:$E, 'IMPORT VHC Report'!$A:$C), )</f>
        <v/>
      </c>
      <c r="C3262" s="37"/>
      <c r="D3262" s="37"/>
      <c r="E3262" s="38" t="s">
        <v>3939</v>
      </c>
      <c r="F3262" s="38" t="s">
        <v>3940</v>
      </c>
      <c r="G3262" s="38">
        <v>3.61731791675E11</v>
      </c>
      <c r="H3262" s="38" t="s">
        <v>3941</v>
      </c>
      <c r="I3262" s="38" t="s">
        <v>3942</v>
      </c>
      <c r="J3262" s="38" t="s">
        <v>178</v>
      </c>
      <c r="K3262" s="38" t="s">
        <v>153</v>
      </c>
      <c r="L3262" s="41">
        <v>46006.5</v>
      </c>
      <c r="M3262" s="38" t="s">
        <v>123</v>
      </c>
      <c r="N3262" s="41">
        <v>46006.875</v>
      </c>
      <c r="O3262" s="38" t="s">
        <v>123</v>
      </c>
      <c r="P3262" s="38">
        <v>32400.0</v>
      </c>
      <c r="Q3262" s="38">
        <v>32400.0</v>
      </c>
      <c r="R3262" s="39"/>
      <c r="S3262" s="39"/>
      <c r="T3262" s="39"/>
      <c r="U3262" s="39"/>
    </row>
    <row r="3263">
      <c r="A3263" s="40">
        <f t="shared" si="1"/>
        <v>46006</v>
      </c>
      <c r="B3263" s="37" t="str">
        <f t="array" ref="B3263">iferror(xlookup($I3263, 'IMPORT VHC Report'!$E:$E, 'IMPORT VHC Report'!$A:$C), )</f>
        <v/>
      </c>
      <c r="C3263" s="37"/>
      <c r="D3263" s="37"/>
      <c r="E3263" s="38" t="s">
        <v>3943</v>
      </c>
      <c r="F3263" s="38" t="s">
        <v>3940</v>
      </c>
      <c r="G3263" s="38">
        <v>3.61731791675E11</v>
      </c>
      <c r="H3263" s="38" t="s">
        <v>3941</v>
      </c>
      <c r="I3263" s="38" t="s">
        <v>3942</v>
      </c>
      <c r="J3263" s="38" t="s">
        <v>368</v>
      </c>
      <c r="K3263" s="38" t="s">
        <v>63</v>
      </c>
      <c r="L3263" s="41">
        <v>46006.5</v>
      </c>
      <c r="M3263" s="38" t="s">
        <v>123</v>
      </c>
      <c r="N3263" s="41">
        <v>46006.875</v>
      </c>
      <c r="O3263" s="38" t="s">
        <v>123</v>
      </c>
      <c r="P3263" s="38">
        <v>32400.0</v>
      </c>
      <c r="Q3263" s="39"/>
      <c r="R3263" s="39"/>
      <c r="S3263" s="39"/>
      <c r="T3263" s="39"/>
      <c r="U3263" s="39"/>
    </row>
    <row r="3264">
      <c r="A3264" s="40">
        <f t="shared" si="1"/>
        <v>46006</v>
      </c>
      <c r="B3264" s="37" t="str">
        <f t="array" ref="B3264">iferror(xlookup($I3264, 'IMPORT VHC Report'!$E:$E, 'IMPORT VHC Report'!$A:$C), )</f>
        <v/>
      </c>
      <c r="C3264" s="37"/>
      <c r="D3264" s="37"/>
      <c r="E3264" s="38" t="s">
        <v>3944</v>
      </c>
      <c r="F3264" s="38" t="s">
        <v>3940</v>
      </c>
      <c r="G3264" s="38">
        <v>3.61731791675E11</v>
      </c>
      <c r="H3264" s="38" t="s">
        <v>3941</v>
      </c>
      <c r="I3264" s="38" t="s">
        <v>3942</v>
      </c>
      <c r="J3264" s="38" t="s">
        <v>134</v>
      </c>
      <c r="K3264" s="38" t="s">
        <v>126</v>
      </c>
      <c r="L3264" s="41">
        <v>46006.583333333336</v>
      </c>
      <c r="M3264" s="38" t="s">
        <v>123</v>
      </c>
      <c r="N3264" s="41">
        <v>46006.604166666664</v>
      </c>
      <c r="O3264" s="38" t="s">
        <v>123</v>
      </c>
      <c r="P3264" s="38">
        <v>1800.0</v>
      </c>
      <c r="Q3264" s="39"/>
      <c r="R3264" s="39"/>
      <c r="S3264" s="39"/>
      <c r="T3264" s="39"/>
      <c r="U3264" s="39"/>
    </row>
    <row r="3265">
      <c r="A3265" s="40">
        <f t="shared" si="1"/>
        <v>46006</v>
      </c>
      <c r="B3265" s="37" t="str">
        <f t="array" ref="B3265">iferror(xlookup($I3265, 'IMPORT VHC Report'!$E:$E, 'IMPORT VHC Report'!$A:$C), )</f>
        <v/>
      </c>
      <c r="C3265" s="37"/>
      <c r="D3265" s="37"/>
      <c r="E3265" s="38" t="s">
        <v>3945</v>
      </c>
      <c r="F3265" s="38" t="s">
        <v>3940</v>
      </c>
      <c r="G3265" s="38">
        <v>3.61731791675E11</v>
      </c>
      <c r="H3265" s="38" t="s">
        <v>3941</v>
      </c>
      <c r="I3265" s="38" t="s">
        <v>3942</v>
      </c>
      <c r="J3265" s="38" t="s">
        <v>132</v>
      </c>
      <c r="K3265" s="38" t="s">
        <v>126</v>
      </c>
      <c r="L3265" s="41">
        <v>46006.760416666664</v>
      </c>
      <c r="M3265" s="38" t="s">
        <v>123</v>
      </c>
      <c r="N3265" s="41">
        <v>46006.802083333336</v>
      </c>
      <c r="O3265" s="38" t="s">
        <v>123</v>
      </c>
      <c r="P3265" s="38">
        <v>3600.0</v>
      </c>
      <c r="Q3265" s="39"/>
      <c r="R3265" s="39"/>
      <c r="S3265" s="39"/>
      <c r="T3265" s="39"/>
      <c r="U3265" s="39"/>
    </row>
    <row r="3266">
      <c r="A3266" s="40">
        <f t="shared" si="1"/>
        <v>46006</v>
      </c>
      <c r="B3266" s="37" t="str">
        <f t="array" ref="B3266">iferror(xlookup($I3266, 'IMPORT VHC Report'!$E:$E, 'IMPORT VHC Report'!$A:$C), )</f>
        <v/>
      </c>
      <c r="C3266" s="37"/>
      <c r="D3266" s="37"/>
      <c r="E3266" s="38" t="s">
        <v>3946</v>
      </c>
      <c r="F3266" s="38" t="s">
        <v>3940</v>
      </c>
      <c r="G3266" s="38">
        <v>3.61731791675E11</v>
      </c>
      <c r="H3266" s="38" t="s">
        <v>3941</v>
      </c>
      <c r="I3266" s="38" t="s">
        <v>3942</v>
      </c>
      <c r="J3266" s="38" t="s">
        <v>178</v>
      </c>
      <c r="K3266" s="38" t="s">
        <v>153</v>
      </c>
      <c r="L3266" s="41">
        <v>46007.5</v>
      </c>
      <c r="M3266" s="38" t="s">
        <v>123</v>
      </c>
      <c r="N3266" s="41">
        <v>46007.875</v>
      </c>
      <c r="O3266" s="38" t="s">
        <v>123</v>
      </c>
      <c r="P3266" s="38">
        <v>32400.0</v>
      </c>
      <c r="Q3266" s="38">
        <v>32400.0</v>
      </c>
      <c r="R3266" s="39"/>
      <c r="S3266" s="39"/>
      <c r="T3266" s="39"/>
      <c r="U3266" s="39"/>
    </row>
    <row r="3267">
      <c r="A3267" s="40">
        <f t="shared" si="1"/>
        <v>46006</v>
      </c>
      <c r="B3267" s="37" t="str">
        <f t="array" ref="B3267">iferror(xlookup($I3267, 'IMPORT VHC Report'!$E:$E, 'IMPORT VHC Report'!$A:$C), )</f>
        <v/>
      </c>
      <c r="C3267" s="37"/>
      <c r="D3267" s="37"/>
      <c r="E3267" s="38" t="s">
        <v>3947</v>
      </c>
      <c r="F3267" s="38" t="s">
        <v>3940</v>
      </c>
      <c r="G3267" s="38">
        <v>3.61731791675E11</v>
      </c>
      <c r="H3267" s="38" t="s">
        <v>3941</v>
      </c>
      <c r="I3267" s="38" t="s">
        <v>3942</v>
      </c>
      <c r="J3267" s="38" t="s">
        <v>368</v>
      </c>
      <c r="K3267" s="38" t="s">
        <v>63</v>
      </c>
      <c r="L3267" s="41">
        <v>46007.5</v>
      </c>
      <c r="M3267" s="38" t="s">
        <v>123</v>
      </c>
      <c r="N3267" s="41">
        <v>46007.875</v>
      </c>
      <c r="O3267" s="38" t="s">
        <v>123</v>
      </c>
      <c r="P3267" s="38">
        <v>32400.0</v>
      </c>
      <c r="Q3267" s="39"/>
      <c r="R3267" s="39"/>
      <c r="S3267" s="39"/>
      <c r="T3267" s="39"/>
      <c r="U3267" s="39"/>
    </row>
    <row r="3268">
      <c r="A3268" s="40">
        <f t="shared" si="1"/>
        <v>46006</v>
      </c>
      <c r="B3268" s="37" t="str">
        <f t="array" ref="B3268">iferror(xlookup($I3268, 'IMPORT VHC Report'!$E:$E, 'IMPORT VHC Report'!$A:$C), )</f>
        <v/>
      </c>
      <c r="C3268" s="37"/>
      <c r="D3268" s="37"/>
      <c r="E3268" s="38" t="s">
        <v>3948</v>
      </c>
      <c r="F3268" s="38" t="s">
        <v>3940</v>
      </c>
      <c r="G3268" s="38">
        <v>3.61731791675E11</v>
      </c>
      <c r="H3268" s="38" t="s">
        <v>3941</v>
      </c>
      <c r="I3268" s="38" t="s">
        <v>3942</v>
      </c>
      <c r="J3268" s="38" t="s">
        <v>134</v>
      </c>
      <c r="K3268" s="38" t="s">
        <v>126</v>
      </c>
      <c r="L3268" s="41">
        <v>46007.583333333336</v>
      </c>
      <c r="M3268" s="38" t="s">
        <v>123</v>
      </c>
      <c r="N3268" s="41">
        <v>46007.604166666664</v>
      </c>
      <c r="O3268" s="38" t="s">
        <v>123</v>
      </c>
      <c r="P3268" s="38">
        <v>1800.0</v>
      </c>
      <c r="Q3268" s="39"/>
      <c r="R3268" s="39"/>
      <c r="S3268" s="39"/>
      <c r="T3268" s="39"/>
      <c r="U3268" s="39"/>
    </row>
    <row r="3269">
      <c r="A3269" s="40">
        <f t="shared" si="1"/>
        <v>46006</v>
      </c>
      <c r="B3269" s="37" t="str">
        <f t="array" ref="B3269">iferror(xlookup($I3269, 'IMPORT VHC Report'!$E:$E, 'IMPORT VHC Report'!$A:$C), )</f>
        <v/>
      </c>
      <c r="C3269" s="37"/>
      <c r="D3269" s="37"/>
      <c r="E3269" s="38" t="s">
        <v>3949</v>
      </c>
      <c r="F3269" s="38" t="s">
        <v>3940</v>
      </c>
      <c r="G3269" s="38">
        <v>3.61731791675E11</v>
      </c>
      <c r="H3269" s="38" t="s">
        <v>3941</v>
      </c>
      <c r="I3269" s="38" t="s">
        <v>3942</v>
      </c>
      <c r="J3269" s="38" t="s">
        <v>132</v>
      </c>
      <c r="K3269" s="38" t="s">
        <v>126</v>
      </c>
      <c r="L3269" s="41">
        <v>46007.75</v>
      </c>
      <c r="M3269" s="38" t="s">
        <v>123</v>
      </c>
      <c r="N3269" s="41">
        <v>46007.791666666664</v>
      </c>
      <c r="O3269" s="38" t="s">
        <v>123</v>
      </c>
      <c r="P3269" s="38">
        <v>3600.0</v>
      </c>
      <c r="Q3269" s="39"/>
      <c r="R3269" s="39"/>
      <c r="S3269" s="39"/>
      <c r="T3269" s="39"/>
      <c r="U3269" s="39"/>
    </row>
    <row r="3270">
      <c r="A3270" s="40">
        <f t="shared" si="1"/>
        <v>46006</v>
      </c>
      <c r="B3270" s="37" t="str">
        <f t="array" ref="B3270">iferror(xlookup($I3270, 'IMPORT VHC Report'!$E:$E, 'IMPORT VHC Report'!$A:$C), )</f>
        <v/>
      </c>
      <c r="C3270" s="37"/>
      <c r="D3270" s="37"/>
      <c r="E3270" s="38" t="s">
        <v>3950</v>
      </c>
      <c r="F3270" s="38" t="s">
        <v>3940</v>
      </c>
      <c r="G3270" s="38">
        <v>3.61731791675E11</v>
      </c>
      <c r="H3270" s="38" t="s">
        <v>3941</v>
      </c>
      <c r="I3270" s="38" t="s">
        <v>3942</v>
      </c>
      <c r="J3270" s="38" t="s">
        <v>178</v>
      </c>
      <c r="K3270" s="38" t="s">
        <v>153</v>
      </c>
      <c r="L3270" s="41">
        <v>46008.5</v>
      </c>
      <c r="M3270" s="38" t="s">
        <v>123</v>
      </c>
      <c r="N3270" s="41">
        <v>46008.875</v>
      </c>
      <c r="O3270" s="38" t="s">
        <v>123</v>
      </c>
      <c r="P3270" s="38">
        <v>32400.0</v>
      </c>
      <c r="Q3270" s="38">
        <v>32400.0</v>
      </c>
      <c r="R3270" s="39"/>
      <c r="S3270" s="39"/>
      <c r="T3270" s="39"/>
      <c r="U3270" s="39"/>
    </row>
    <row r="3271">
      <c r="A3271" s="40">
        <f t="shared" si="1"/>
        <v>46006</v>
      </c>
      <c r="B3271" s="37" t="str">
        <f t="array" ref="B3271">iferror(xlookup($I3271, 'IMPORT VHC Report'!$E:$E, 'IMPORT VHC Report'!$A:$C), )</f>
        <v/>
      </c>
      <c r="C3271" s="37"/>
      <c r="D3271" s="37"/>
      <c r="E3271" s="38" t="s">
        <v>3951</v>
      </c>
      <c r="F3271" s="38" t="s">
        <v>3940</v>
      </c>
      <c r="G3271" s="38">
        <v>3.61731791675E11</v>
      </c>
      <c r="H3271" s="38" t="s">
        <v>3941</v>
      </c>
      <c r="I3271" s="38" t="s">
        <v>3942</v>
      </c>
      <c r="J3271" s="38" t="s">
        <v>363</v>
      </c>
      <c r="K3271" s="38" t="s">
        <v>63</v>
      </c>
      <c r="L3271" s="41">
        <v>46008.5</v>
      </c>
      <c r="M3271" s="38" t="s">
        <v>123</v>
      </c>
      <c r="N3271" s="41">
        <v>46008.875</v>
      </c>
      <c r="O3271" s="38" t="s">
        <v>123</v>
      </c>
      <c r="P3271" s="38">
        <v>32400.0</v>
      </c>
      <c r="Q3271" s="39"/>
      <c r="R3271" s="39"/>
      <c r="S3271" s="39"/>
      <c r="T3271" s="39"/>
      <c r="U3271" s="39"/>
    </row>
    <row r="3272">
      <c r="A3272" s="40">
        <f t="shared" si="1"/>
        <v>46006</v>
      </c>
      <c r="B3272" s="37" t="str">
        <f t="array" ref="B3272">iferror(xlookup($I3272, 'IMPORT VHC Report'!$E:$E, 'IMPORT VHC Report'!$A:$C), )</f>
        <v/>
      </c>
      <c r="C3272" s="37"/>
      <c r="D3272" s="37"/>
      <c r="E3272" s="38" t="s">
        <v>3952</v>
      </c>
      <c r="F3272" s="38" t="s">
        <v>3940</v>
      </c>
      <c r="G3272" s="38">
        <v>3.61731791675E11</v>
      </c>
      <c r="H3272" s="38" t="s">
        <v>3941</v>
      </c>
      <c r="I3272" s="38" t="s">
        <v>3942</v>
      </c>
      <c r="J3272" s="38" t="s">
        <v>134</v>
      </c>
      <c r="K3272" s="38" t="s">
        <v>126</v>
      </c>
      <c r="L3272" s="41">
        <v>46008.666666666664</v>
      </c>
      <c r="M3272" s="38" t="s">
        <v>123</v>
      </c>
      <c r="N3272" s="41">
        <v>46008.6875</v>
      </c>
      <c r="O3272" s="38" t="s">
        <v>123</v>
      </c>
      <c r="P3272" s="38">
        <v>1800.0</v>
      </c>
      <c r="Q3272" s="39"/>
      <c r="R3272" s="39"/>
      <c r="S3272" s="39"/>
      <c r="T3272" s="39"/>
      <c r="U3272" s="39"/>
    </row>
    <row r="3273">
      <c r="A3273" s="40">
        <f t="shared" si="1"/>
        <v>46006</v>
      </c>
      <c r="B3273" s="37" t="str">
        <f t="array" ref="B3273">iferror(xlookup($I3273, 'IMPORT VHC Report'!$E:$E, 'IMPORT VHC Report'!$A:$C), )</f>
        <v/>
      </c>
      <c r="C3273" s="37"/>
      <c r="D3273" s="37"/>
      <c r="E3273" s="38" t="s">
        <v>3953</v>
      </c>
      <c r="F3273" s="38" t="s">
        <v>3940</v>
      </c>
      <c r="G3273" s="38">
        <v>3.61731791675E11</v>
      </c>
      <c r="H3273" s="38" t="s">
        <v>3941</v>
      </c>
      <c r="I3273" s="38" t="s">
        <v>3942</v>
      </c>
      <c r="J3273" s="38" t="s">
        <v>132</v>
      </c>
      <c r="K3273" s="38" t="s">
        <v>126</v>
      </c>
      <c r="L3273" s="41">
        <v>46008.791666666664</v>
      </c>
      <c r="M3273" s="38" t="s">
        <v>123</v>
      </c>
      <c r="N3273" s="41">
        <v>46008.833333333336</v>
      </c>
      <c r="O3273" s="38" t="s">
        <v>123</v>
      </c>
      <c r="P3273" s="38">
        <v>3600.0</v>
      </c>
      <c r="Q3273" s="39"/>
      <c r="R3273" s="39"/>
      <c r="S3273" s="39"/>
      <c r="T3273" s="39"/>
      <c r="U3273" s="39"/>
    </row>
    <row r="3274">
      <c r="A3274" s="40">
        <f t="shared" si="1"/>
        <v>46006</v>
      </c>
      <c r="B3274" s="37" t="str">
        <f t="array" ref="B3274">iferror(xlookup($I3274, 'IMPORT VHC Report'!$E:$E, 'IMPORT VHC Report'!$A:$C), )</f>
        <v/>
      </c>
      <c r="C3274" s="37"/>
      <c r="D3274" s="37"/>
      <c r="E3274" s="38" t="s">
        <v>3954</v>
      </c>
      <c r="F3274" s="38" t="s">
        <v>3940</v>
      </c>
      <c r="G3274" s="38">
        <v>3.61731791675E11</v>
      </c>
      <c r="H3274" s="38" t="s">
        <v>3941</v>
      </c>
      <c r="I3274" s="38" t="s">
        <v>3942</v>
      </c>
      <c r="J3274" s="38" t="s">
        <v>368</v>
      </c>
      <c r="K3274" s="38" t="s">
        <v>63</v>
      </c>
      <c r="L3274" s="41">
        <v>46011.5</v>
      </c>
      <c r="M3274" s="38" t="s">
        <v>123</v>
      </c>
      <c r="N3274" s="41">
        <v>46011.875</v>
      </c>
      <c r="O3274" s="38" t="s">
        <v>123</v>
      </c>
      <c r="P3274" s="38">
        <v>32400.0</v>
      </c>
      <c r="Q3274" s="39"/>
      <c r="R3274" s="39"/>
      <c r="S3274" s="39"/>
      <c r="T3274" s="39"/>
      <c r="U3274" s="39"/>
    </row>
    <row r="3275">
      <c r="A3275" s="40">
        <f t="shared" si="1"/>
        <v>46006</v>
      </c>
      <c r="B3275" s="37" t="str">
        <f t="array" ref="B3275">iferror(xlookup($I3275, 'IMPORT VHC Report'!$E:$E, 'IMPORT VHC Report'!$A:$C), )</f>
        <v/>
      </c>
      <c r="C3275" s="37"/>
      <c r="D3275" s="37"/>
      <c r="E3275" s="38" t="s">
        <v>3955</v>
      </c>
      <c r="F3275" s="38" t="s">
        <v>3940</v>
      </c>
      <c r="G3275" s="38">
        <v>3.61731791675E11</v>
      </c>
      <c r="H3275" s="38" t="s">
        <v>3941</v>
      </c>
      <c r="I3275" s="38" t="s">
        <v>3942</v>
      </c>
      <c r="J3275" s="38" t="s">
        <v>134</v>
      </c>
      <c r="K3275" s="38" t="s">
        <v>126</v>
      </c>
      <c r="L3275" s="41">
        <v>46011.6875</v>
      </c>
      <c r="M3275" s="38" t="s">
        <v>123</v>
      </c>
      <c r="N3275" s="41">
        <v>46011.708333333336</v>
      </c>
      <c r="O3275" s="38" t="s">
        <v>123</v>
      </c>
      <c r="P3275" s="38">
        <v>1800.0</v>
      </c>
      <c r="Q3275" s="39"/>
      <c r="R3275" s="39"/>
      <c r="S3275" s="39"/>
      <c r="T3275" s="39"/>
      <c r="U3275" s="39"/>
    </row>
    <row r="3276">
      <c r="A3276" s="40">
        <f t="shared" si="1"/>
        <v>46006</v>
      </c>
      <c r="B3276" s="37" t="str">
        <f t="array" ref="B3276">iferror(xlookup($I3276, 'IMPORT VHC Report'!$E:$E, 'IMPORT VHC Report'!$A:$C), )</f>
        <v/>
      </c>
      <c r="C3276" s="37"/>
      <c r="D3276" s="37"/>
      <c r="E3276" s="38" t="s">
        <v>3956</v>
      </c>
      <c r="F3276" s="38" t="s">
        <v>3940</v>
      </c>
      <c r="G3276" s="38">
        <v>3.61731791675E11</v>
      </c>
      <c r="H3276" s="38" t="s">
        <v>3941</v>
      </c>
      <c r="I3276" s="38" t="s">
        <v>3942</v>
      </c>
      <c r="J3276" s="38" t="s">
        <v>132</v>
      </c>
      <c r="K3276" s="38" t="s">
        <v>126</v>
      </c>
      <c r="L3276" s="41">
        <v>46011.791666666664</v>
      </c>
      <c r="M3276" s="38" t="s">
        <v>123</v>
      </c>
      <c r="N3276" s="41">
        <v>46011.833333333336</v>
      </c>
      <c r="O3276" s="38" t="s">
        <v>123</v>
      </c>
      <c r="P3276" s="38">
        <v>3600.0</v>
      </c>
      <c r="Q3276" s="39"/>
      <c r="R3276" s="39"/>
      <c r="S3276" s="39"/>
      <c r="T3276" s="39"/>
      <c r="U3276" s="39"/>
    </row>
    <row r="3277">
      <c r="A3277" s="40">
        <f t="shared" si="1"/>
        <v>46006</v>
      </c>
      <c r="B3277" s="37" t="str">
        <f t="array" ref="B3277">iferror(xlookup($I3277, 'IMPORT VHC Report'!$E:$E, 'IMPORT VHC Report'!$A:$C), )</f>
        <v/>
      </c>
      <c r="C3277" s="37"/>
      <c r="D3277" s="37"/>
      <c r="E3277" s="38" t="s">
        <v>3957</v>
      </c>
      <c r="F3277" s="38" t="s">
        <v>3940</v>
      </c>
      <c r="G3277" s="38">
        <v>3.61731791675E11</v>
      </c>
      <c r="H3277" s="38" t="s">
        <v>3941</v>
      </c>
      <c r="I3277" s="38" t="s">
        <v>3942</v>
      </c>
      <c r="J3277" s="38" t="s">
        <v>178</v>
      </c>
      <c r="K3277" s="38" t="s">
        <v>153</v>
      </c>
      <c r="L3277" s="41">
        <v>46012.5</v>
      </c>
      <c r="M3277" s="38" t="s">
        <v>123</v>
      </c>
      <c r="N3277" s="41">
        <v>46012.875</v>
      </c>
      <c r="O3277" s="38" t="s">
        <v>123</v>
      </c>
      <c r="P3277" s="38">
        <v>32400.0</v>
      </c>
      <c r="Q3277" s="38">
        <v>32400.0</v>
      </c>
      <c r="R3277" s="39"/>
      <c r="S3277" s="39"/>
      <c r="T3277" s="39"/>
      <c r="U3277" s="39"/>
    </row>
    <row r="3278">
      <c r="A3278" s="40">
        <f t="shared" si="1"/>
        <v>46006</v>
      </c>
      <c r="B3278" s="37" t="str">
        <f t="array" ref="B3278">iferror(xlookup($I3278, 'IMPORT VHC Report'!$E:$E, 'IMPORT VHC Report'!$A:$C), )</f>
        <v/>
      </c>
      <c r="C3278" s="37"/>
      <c r="D3278" s="37"/>
      <c r="E3278" s="38" t="s">
        <v>3958</v>
      </c>
      <c r="F3278" s="38" t="s">
        <v>3940</v>
      </c>
      <c r="G3278" s="38">
        <v>3.61731791675E11</v>
      </c>
      <c r="H3278" s="38" t="s">
        <v>3941</v>
      </c>
      <c r="I3278" s="38" t="s">
        <v>3942</v>
      </c>
      <c r="J3278" s="38" t="s">
        <v>368</v>
      </c>
      <c r="K3278" s="38" t="s">
        <v>63</v>
      </c>
      <c r="L3278" s="41">
        <v>46012.5</v>
      </c>
      <c r="M3278" s="38" t="s">
        <v>123</v>
      </c>
      <c r="N3278" s="41">
        <v>46012.875</v>
      </c>
      <c r="O3278" s="38" t="s">
        <v>123</v>
      </c>
      <c r="P3278" s="38">
        <v>32400.0</v>
      </c>
      <c r="Q3278" s="39"/>
      <c r="R3278" s="39"/>
      <c r="S3278" s="39"/>
      <c r="T3278" s="39"/>
      <c r="U3278" s="39"/>
    </row>
    <row r="3279">
      <c r="A3279" s="40">
        <f t="shared" si="1"/>
        <v>46006</v>
      </c>
      <c r="B3279" s="37" t="str">
        <f t="array" ref="B3279">iferror(xlookup($I3279, 'IMPORT VHC Report'!$E:$E, 'IMPORT VHC Report'!$A:$C), )</f>
        <v/>
      </c>
      <c r="C3279" s="37"/>
      <c r="D3279" s="37"/>
      <c r="E3279" s="38" t="s">
        <v>3959</v>
      </c>
      <c r="F3279" s="38" t="s">
        <v>3940</v>
      </c>
      <c r="G3279" s="38">
        <v>3.61731791675E11</v>
      </c>
      <c r="H3279" s="38" t="s">
        <v>3941</v>
      </c>
      <c r="I3279" s="38" t="s">
        <v>3942</v>
      </c>
      <c r="J3279" s="38" t="s">
        <v>134</v>
      </c>
      <c r="K3279" s="38" t="s">
        <v>126</v>
      </c>
      <c r="L3279" s="41">
        <v>46012.614583333336</v>
      </c>
      <c r="M3279" s="38" t="s">
        <v>123</v>
      </c>
      <c r="N3279" s="41">
        <v>46012.635416666664</v>
      </c>
      <c r="O3279" s="38" t="s">
        <v>123</v>
      </c>
      <c r="P3279" s="38">
        <v>1800.0</v>
      </c>
      <c r="Q3279" s="39"/>
      <c r="R3279" s="39"/>
      <c r="S3279" s="39"/>
      <c r="T3279" s="39"/>
      <c r="U3279" s="39"/>
    </row>
    <row r="3280">
      <c r="A3280" s="40">
        <f t="shared" si="1"/>
        <v>46006</v>
      </c>
      <c r="B3280" s="37" t="str">
        <f t="array" ref="B3280">iferror(xlookup($I3280, 'IMPORT VHC Report'!$E:$E, 'IMPORT VHC Report'!$A:$C), )</f>
        <v/>
      </c>
      <c r="C3280" s="37"/>
      <c r="D3280" s="37"/>
      <c r="E3280" s="38" t="s">
        <v>3960</v>
      </c>
      <c r="F3280" s="38" t="s">
        <v>3940</v>
      </c>
      <c r="G3280" s="38">
        <v>3.61731791675E11</v>
      </c>
      <c r="H3280" s="38" t="s">
        <v>3941</v>
      </c>
      <c r="I3280" s="38" t="s">
        <v>3942</v>
      </c>
      <c r="J3280" s="38" t="s">
        <v>132</v>
      </c>
      <c r="K3280" s="38" t="s">
        <v>126</v>
      </c>
      <c r="L3280" s="41">
        <v>46012.760416666664</v>
      </c>
      <c r="M3280" s="38" t="s">
        <v>123</v>
      </c>
      <c r="N3280" s="41">
        <v>46012.802083333336</v>
      </c>
      <c r="O3280" s="38" t="s">
        <v>123</v>
      </c>
      <c r="P3280" s="38">
        <v>3600.0</v>
      </c>
      <c r="Q3280" s="39"/>
      <c r="R3280" s="39"/>
      <c r="S3280" s="39"/>
      <c r="T3280" s="39"/>
      <c r="U3280" s="39"/>
    </row>
    <row r="3281">
      <c r="A3281" s="40">
        <f t="shared" si="1"/>
        <v>46006</v>
      </c>
      <c r="B3281" s="37" t="str">
        <f t="array" ref="B3281">iferror(xlookup($I3281, 'IMPORT VHC Report'!$E:$E, 'IMPORT VHC Report'!$A:$C), )</f>
        <v/>
      </c>
      <c r="C3281" s="37"/>
      <c r="D3281" s="37"/>
      <c r="E3281" s="38" t="s">
        <v>3961</v>
      </c>
      <c r="F3281" s="38" t="s">
        <v>3962</v>
      </c>
      <c r="G3281" s="38">
        <v>3.61726424736E11</v>
      </c>
      <c r="H3281" s="38" t="s">
        <v>3963</v>
      </c>
      <c r="I3281" s="38" t="s">
        <v>3964</v>
      </c>
      <c r="J3281" s="38" t="s">
        <v>332</v>
      </c>
      <c r="K3281" s="38" t="s">
        <v>63</v>
      </c>
      <c r="L3281" s="41">
        <v>46006.5</v>
      </c>
      <c r="M3281" s="38" t="s">
        <v>123</v>
      </c>
      <c r="N3281" s="41">
        <v>46006.875</v>
      </c>
      <c r="O3281" s="38" t="s">
        <v>123</v>
      </c>
      <c r="P3281" s="38">
        <v>32400.0</v>
      </c>
      <c r="Q3281" s="39"/>
      <c r="R3281" s="39"/>
      <c r="S3281" s="39"/>
      <c r="T3281" s="39"/>
      <c r="U3281" s="39"/>
    </row>
    <row r="3282">
      <c r="A3282" s="40">
        <f t="shared" si="1"/>
        <v>46006</v>
      </c>
      <c r="B3282" s="37" t="str">
        <f t="array" ref="B3282">iferror(xlookup($I3282, 'IMPORT VHC Report'!$E:$E, 'IMPORT VHC Report'!$A:$C), )</f>
        <v/>
      </c>
      <c r="C3282" s="37"/>
      <c r="D3282" s="37"/>
      <c r="E3282" s="38" t="s">
        <v>3965</v>
      </c>
      <c r="F3282" s="38" t="s">
        <v>3962</v>
      </c>
      <c r="G3282" s="38">
        <v>3.61726424736E11</v>
      </c>
      <c r="H3282" s="38" t="s">
        <v>3963</v>
      </c>
      <c r="I3282" s="38" t="s">
        <v>3964</v>
      </c>
      <c r="J3282" s="38" t="s">
        <v>134</v>
      </c>
      <c r="K3282" s="38" t="s">
        <v>126</v>
      </c>
      <c r="L3282" s="41">
        <v>46006.8125</v>
      </c>
      <c r="M3282" s="38" t="s">
        <v>123</v>
      </c>
      <c r="N3282" s="41">
        <v>46006.833333333336</v>
      </c>
      <c r="O3282" s="38" t="s">
        <v>123</v>
      </c>
      <c r="P3282" s="38">
        <v>1800.0</v>
      </c>
      <c r="Q3282" s="39"/>
      <c r="R3282" s="39"/>
      <c r="S3282" s="39"/>
      <c r="T3282" s="39"/>
      <c r="U3282" s="39"/>
    </row>
    <row r="3283">
      <c r="A3283" s="40">
        <f t="shared" si="1"/>
        <v>46006</v>
      </c>
      <c r="B3283" s="37" t="str">
        <f t="array" ref="B3283">iferror(xlookup($I3283, 'IMPORT VHC Report'!$E:$E, 'IMPORT VHC Report'!$A:$C), )</f>
        <v/>
      </c>
      <c r="C3283" s="37"/>
      <c r="D3283" s="37"/>
      <c r="E3283" s="38" t="s">
        <v>3966</v>
      </c>
      <c r="F3283" s="38" t="s">
        <v>3962</v>
      </c>
      <c r="G3283" s="38">
        <v>3.61726424736E11</v>
      </c>
      <c r="H3283" s="38" t="s">
        <v>3963</v>
      </c>
      <c r="I3283" s="38" t="s">
        <v>3964</v>
      </c>
      <c r="J3283" s="38" t="s">
        <v>132</v>
      </c>
      <c r="K3283" s="38" t="s">
        <v>126</v>
      </c>
      <c r="L3283" s="41">
        <v>46006.833333333336</v>
      </c>
      <c r="M3283" s="38" t="s">
        <v>123</v>
      </c>
      <c r="N3283" s="41">
        <v>46006.875</v>
      </c>
      <c r="O3283" s="38" t="s">
        <v>123</v>
      </c>
      <c r="P3283" s="38">
        <v>3600.0</v>
      </c>
      <c r="Q3283" s="39"/>
      <c r="R3283" s="39"/>
      <c r="S3283" s="39"/>
      <c r="T3283" s="39"/>
      <c r="U3283" s="39"/>
    </row>
    <row r="3284">
      <c r="A3284" s="40">
        <f t="shared" si="1"/>
        <v>46006</v>
      </c>
      <c r="B3284" s="37" t="str">
        <f t="array" ref="B3284">iferror(xlookup($I3284, 'IMPORT VHC Report'!$E:$E, 'IMPORT VHC Report'!$A:$C), )</f>
        <v/>
      </c>
      <c r="C3284" s="37"/>
      <c r="D3284" s="37"/>
      <c r="E3284" s="38" t="s">
        <v>3967</v>
      </c>
      <c r="F3284" s="38" t="s">
        <v>3962</v>
      </c>
      <c r="G3284" s="38">
        <v>3.61726424736E11</v>
      </c>
      <c r="H3284" s="38" t="s">
        <v>3963</v>
      </c>
      <c r="I3284" s="38" t="s">
        <v>3964</v>
      </c>
      <c r="J3284" s="38" t="s">
        <v>152</v>
      </c>
      <c r="K3284" s="38" t="s">
        <v>153</v>
      </c>
      <c r="L3284" s="41">
        <v>46007.5</v>
      </c>
      <c r="M3284" s="38" t="s">
        <v>123</v>
      </c>
      <c r="N3284" s="41">
        <v>46007.875</v>
      </c>
      <c r="O3284" s="38" t="s">
        <v>123</v>
      </c>
      <c r="P3284" s="38">
        <v>32400.0</v>
      </c>
      <c r="Q3284" s="38">
        <v>28800.0</v>
      </c>
      <c r="R3284" s="39"/>
      <c r="S3284" s="39"/>
      <c r="T3284" s="39"/>
      <c r="U3284" s="39"/>
    </row>
    <row r="3285">
      <c r="A3285" s="40">
        <f t="shared" si="1"/>
        <v>46006</v>
      </c>
      <c r="B3285" s="37" t="str">
        <f t="array" ref="B3285">iferror(xlookup($I3285, 'IMPORT VHC Report'!$E:$E, 'IMPORT VHC Report'!$A:$C), )</f>
        <v/>
      </c>
      <c r="C3285" s="37"/>
      <c r="D3285" s="37"/>
      <c r="E3285" s="38" t="s">
        <v>3968</v>
      </c>
      <c r="F3285" s="38" t="s">
        <v>3962</v>
      </c>
      <c r="G3285" s="38">
        <v>3.61726424736E11</v>
      </c>
      <c r="H3285" s="38" t="s">
        <v>3963</v>
      </c>
      <c r="I3285" s="38" t="s">
        <v>3964</v>
      </c>
      <c r="J3285" s="38" t="s">
        <v>332</v>
      </c>
      <c r="K3285" s="38" t="s">
        <v>63</v>
      </c>
      <c r="L3285" s="41">
        <v>46007.5</v>
      </c>
      <c r="M3285" s="38" t="s">
        <v>123</v>
      </c>
      <c r="N3285" s="41">
        <v>46007.875</v>
      </c>
      <c r="O3285" s="38" t="s">
        <v>123</v>
      </c>
      <c r="P3285" s="38">
        <v>32400.0</v>
      </c>
      <c r="Q3285" s="39"/>
      <c r="R3285" s="39"/>
      <c r="S3285" s="39"/>
      <c r="T3285" s="39"/>
      <c r="U3285" s="39"/>
    </row>
    <row r="3286">
      <c r="A3286" s="40">
        <f t="shared" si="1"/>
        <v>46006</v>
      </c>
      <c r="B3286" s="37" t="str">
        <f t="array" ref="B3286">iferror(xlookup($I3286, 'IMPORT VHC Report'!$E:$E, 'IMPORT VHC Report'!$A:$C), )</f>
        <v/>
      </c>
      <c r="C3286" s="37"/>
      <c r="D3286" s="37"/>
      <c r="E3286" s="38" t="s">
        <v>3969</v>
      </c>
      <c r="F3286" s="38" t="s">
        <v>3962</v>
      </c>
      <c r="G3286" s="38">
        <v>3.61726424736E11</v>
      </c>
      <c r="H3286" s="38" t="s">
        <v>3963</v>
      </c>
      <c r="I3286" s="38" t="s">
        <v>3964</v>
      </c>
      <c r="J3286" s="38" t="s">
        <v>134</v>
      </c>
      <c r="K3286" s="38" t="s">
        <v>126</v>
      </c>
      <c r="L3286" s="41">
        <v>46007.8125</v>
      </c>
      <c r="M3286" s="38" t="s">
        <v>123</v>
      </c>
      <c r="N3286" s="41">
        <v>46007.833333333336</v>
      </c>
      <c r="O3286" s="38" t="s">
        <v>123</v>
      </c>
      <c r="P3286" s="38">
        <v>1800.0</v>
      </c>
      <c r="Q3286" s="39"/>
      <c r="R3286" s="39"/>
      <c r="S3286" s="39"/>
      <c r="T3286" s="39"/>
      <c r="U3286" s="39"/>
    </row>
    <row r="3287">
      <c r="A3287" s="40">
        <f t="shared" si="1"/>
        <v>46006</v>
      </c>
      <c r="B3287" s="37" t="str">
        <f t="array" ref="B3287">iferror(xlookup($I3287, 'IMPORT VHC Report'!$E:$E, 'IMPORT VHC Report'!$A:$C), )</f>
        <v/>
      </c>
      <c r="C3287" s="37"/>
      <c r="D3287" s="37"/>
      <c r="E3287" s="38" t="s">
        <v>3970</v>
      </c>
      <c r="F3287" s="38" t="s">
        <v>3962</v>
      </c>
      <c r="G3287" s="38">
        <v>3.61726424736E11</v>
      </c>
      <c r="H3287" s="38" t="s">
        <v>3963</v>
      </c>
      <c r="I3287" s="38" t="s">
        <v>3964</v>
      </c>
      <c r="J3287" s="38" t="s">
        <v>132</v>
      </c>
      <c r="K3287" s="38" t="s">
        <v>126</v>
      </c>
      <c r="L3287" s="41">
        <v>46007.833333333336</v>
      </c>
      <c r="M3287" s="38" t="s">
        <v>123</v>
      </c>
      <c r="N3287" s="41">
        <v>46007.875</v>
      </c>
      <c r="O3287" s="38" t="s">
        <v>123</v>
      </c>
      <c r="P3287" s="38">
        <v>3600.0</v>
      </c>
      <c r="Q3287" s="39"/>
      <c r="R3287" s="39"/>
      <c r="S3287" s="39"/>
      <c r="T3287" s="39"/>
      <c r="U3287" s="39"/>
    </row>
    <row r="3288">
      <c r="A3288" s="40">
        <f t="shared" si="1"/>
        <v>46006</v>
      </c>
      <c r="B3288" s="37" t="str">
        <f t="array" ref="B3288">iferror(xlookup($I3288, 'IMPORT VHC Report'!$E:$E, 'IMPORT VHC Report'!$A:$C), )</f>
        <v/>
      </c>
      <c r="C3288" s="37"/>
      <c r="D3288" s="37"/>
      <c r="E3288" s="38" t="s">
        <v>3971</v>
      </c>
      <c r="F3288" s="38" t="s">
        <v>3962</v>
      </c>
      <c r="G3288" s="38">
        <v>3.61726424736E11</v>
      </c>
      <c r="H3288" s="38" t="s">
        <v>3963</v>
      </c>
      <c r="I3288" s="38" t="s">
        <v>3964</v>
      </c>
      <c r="J3288" s="38" t="s">
        <v>332</v>
      </c>
      <c r="K3288" s="38" t="s">
        <v>63</v>
      </c>
      <c r="L3288" s="41">
        <v>46008.458333333336</v>
      </c>
      <c r="M3288" s="38" t="s">
        <v>123</v>
      </c>
      <c r="N3288" s="41">
        <v>46008.520833333336</v>
      </c>
      <c r="O3288" s="38" t="s">
        <v>123</v>
      </c>
      <c r="P3288" s="38">
        <v>5400.0</v>
      </c>
      <c r="Q3288" s="39"/>
      <c r="R3288" s="39"/>
      <c r="S3288" s="39"/>
      <c r="T3288" s="39"/>
      <c r="U3288" s="39"/>
    </row>
    <row r="3289">
      <c r="A3289" s="40">
        <f t="shared" si="1"/>
        <v>46006</v>
      </c>
      <c r="B3289" s="37" t="str">
        <f t="array" ref="B3289">iferror(xlookup($I3289, 'IMPORT VHC Report'!$E:$E, 'IMPORT VHC Report'!$A:$C), )</f>
        <v/>
      </c>
      <c r="C3289" s="37"/>
      <c r="D3289" s="37"/>
      <c r="E3289" s="38" t="s">
        <v>3972</v>
      </c>
      <c r="F3289" s="38" t="s">
        <v>3962</v>
      </c>
      <c r="G3289" s="38">
        <v>3.61726424736E11</v>
      </c>
      <c r="H3289" s="38" t="s">
        <v>3963</v>
      </c>
      <c r="I3289" s="38" t="s">
        <v>3964</v>
      </c>
      <c r="J3289" s="38" t="s">
        <v>62</v>
      </c>
      <c r="K3289" s="38" t="s">
        <v>63</v>
      </c>
      <c r="L3289" s="41">
        <v>46008.520833333336</v>
      </c>
      <c r="M3289" s="38" t="s">
        <v>123</v>
      </c>
      <c r="N3289" s="41">
        <v>46008.604166666664</v>
      </c>
      <c r="O3289" s="38" t="s">
        <v>123</v>
      </c>
      <c r="P3289" s="38">
        <v>7200.0</v>
      </c>
      <c r="Q3289" s="39"/>
      <c r="R3289" s="39"/>
      <c r="S3289" s="39"/>
      <c r="T3289" s="39"/>
      <c r="U3289" s="39"/>
    </row>
    <row r="3290">
      <c r="A3290" s="40">
        <f t="shared" si="1"/>
        <v>46006</v>
      </c>
      <c r="B3290" s="37" t="str">
        <f t="array" ref="B3290">iferror(xlookup($I3290, 'IMPORT VHC Report'!$E:$E, 'IMPORT VHC Report'!$A:$C), )</f>
        <v/>
      </c>
      <c r="C3290" s="37"/>
      <c r="D3290" s="37"/>
      <c r="E3290" s="38" t="s">
        <v>3973</v>
      </c>
      <c r="F3290" s="38" t="s">
        <v>3962</v>
      </c>
      <c r="G3290" s="38">
        <v>3.61726424736E11</v>
      </c>
      <c r="H3290" s="38" t="s">
        <v>3963</v>
      </c>
      <c r="I3290" s="38" t="s">
        <v>3964</v>
      </c>
      <c r="J3290" s="38" t="s">
        <v>4</v>
      </c>
      <c r="K3290" s="38" t="s">
        <v>126</v>
      </c>
      <c r="L3290" s="41">
        <v>46008.5625</v>
      </c>
      <c r="M3290" s="38" t="s">
        <v>123</v>
      </c>
      <c r="N3290" s="41">
        <v>46008.604166666664</v>
      </c>
      <c r="O3290" s="38" t="s">
        <v>123</v>
      </c>
      <c r="P3290" s="38">
        <v>3600.0</v>
      </c>
      <c r="Q3290" s="39"/>
      <c r="R3290" s="39"/>
      <c r="S3290" s="38" t="s">
        <v>130</v>
      </c>
      <c r="T3290" s="39"/>
      <c r="U3290" s="39"/>
    </row>
    <row r="3291">
      <c r="A3291" s="40">
        <f t="shared" si="1"/>
        <v>46006</v>
      </c>
      <c r="B3291" s="37" t="str">
        <f t="array" ref="B3291">iferror(xlookup($I3291, 'IMPORT VHC Report'!$E:$E, 'IMPORT VHC Report'!$A:$C), )</f>
        <v/>
      </c>
      <c r="C3291" s="37"/>
      <c r="D3291" s="37"/>
      <c r="E3291" s="38" t="s">
        <v>3974</v>
      </c>
      <c r="F3291" s="38" t="s">
        <v>3962</v>
      </c>
      <c r="G3291" s="38">
        <v>3.61726424736E11</v>
      </c>
      <c r="H3291" s="38" t="s">
        <v>3963</v>
      </c>
      <c r="I3291" s="38" t="s">
        <v>3964</v>
      </c>
      <c r="J3291" s="38" t="s">
        <v>134</v>
      </c>
      <c r="K3291" s="38" t="s">
        <v>126</v>
      </c>
      <c r="L3291" s="41">
        <v>46008.604166666664</v>
      </c>
      <c r="M3291" s="38" t="s">
        <v>123</v>
      </c>
      <c r="N3291" s="41">
        <v>46008.625</v>
      </c>
      <c r="O3291" s="38" t="s">
        <v>123</v>
      </c>
      <c r="P3291" s="38">
        <v>1800.0</v>
      </c>
      <c r="Q3291" s="39"/>
      <c r="R3291" s="39"/>
      <c r="S3291" s="39"/>
      <c r="T3291" s="39"/>
      <c r="U3291" s="39"/>
    </row>
    <row r="3292">
      <c r="A3292" s="40">
        <f t="shared" si="1"/>
        <v>46006</v>
      </c>
      <c r="B3292" s="37" t="str">
        <f t="array" ref="B3292">iferror(xlookup($I3292, 'IMPORT VHC Report'!$E:$E, 'IMPORT VHC Report'!$A:$C), )</f>
        <v/>
      </c>
      <c r="C3292" s="37"/>
      <c r="D3292" s="37"/>
      <c r="E3292" s="38" t="s">
        <v>3975</v>
      </c>
      <c r="F3292" s="38" t="s">
        <v>3962</v>
      </c>
      <c r="G3292" s="38">
        <v>3.61726424736E11</v>
      </c>
      <c r="H3292" s="38" t="s">
        <v>3963</v>
      </c>
      <c r="I3292" s="38" t="s">
        <v>3964</v>
      </c>
      <c r="J3292" s="38" t="s">
        <v>332</v>
      </c>
      <c r="K3292" s="38" t="s">
        <v>63</v>
      </c>
      <c r="L3292" s="41">
        <v>46008.604166666664</v>
      </c>
      <c r="M3292" s="38" t="s">
        <v>123</v>
      </c>
      <c r="N3292" s="41">
        <v>46008.833333333336</v>
      </c>
      <c r="O3292" s="38" t="s">
        <v>123</v>
      </c>
      <c r="P3292" s="38">
        <v>19800.0</v>
      </c>
      <c r="Q3292" s="39"/>
      <c r="R3292" s="39"/>
      <c r="S3292" s="39"/>
      <c r="T3292" s="39"/>
      <c r="U3292" s="39"/>
    </row>
    <row r="3293">
      <c r="A3293" s="40">
        <f t="shared" si="1"/>
        <v>46006</v>
      </c>
      <c r="B3293" s="37" t="str">
        <f t="array" ref="B3293">iferror(xlookup($I3293, 'IMPORT VHC Report'!$E:$E, 'IMPORT VHC Report'!$A:$C), )</f>
        <v/>
      </c>
      <c r="C3293" s="37"/>
      <c r="D3293" s="37"/>
      <c r="E3293" s="38" t="s">
        <v>3976</v>
      </c>
      <c r="F3293" s="38" t="s">
        <v>3962</v>
      </c>
      <c r="G3293" s="38">
        <v>3.61726424736E11</v>
      </c>
      <c r="H3293" s="38" t="s">
        <v>3963</v>
      </c>
      <c r="I3293" s="38" t="s">
        <v>3964</v>
      </c>
      <c r="J3293" s="38" t="s">
        <v>132</v>
      </c>
      <c r="K3293" s="38" t="s">
        <v>126</v>
      </c>
      <c r="L3293" s="41">
        <v>46008.625</v>
      </c>
      <c r="M3293" s="38" t="s">
        <v>123</v>
      </c>
      <c r="N3293" s="41">
        <v>46008.666666666664</v>
      </c>
      <c r="O3293" s="38" t="s">
        <v>123</v>
      </c>
      <c r="P3293" s="38">
        <v>3600.0</v>
      </c>
      <c r="Q3293" s="39"/>
      <c r="R3293" s="39"/>
      <c r="S3293" s="39"/>
      <c r="T3293" s="39"/>
      <c r="U3293" s="39"/>
    </row>
    <row r="3294">
      <c r="A3294" s="40">
        <f t="shared" si="1"/>
        <v>46006</v>
      </c>
      <c r="B3294" s="37" t="str">
        <f t="array" ref="B3294">iferror(xlookup($I3294, 'IMPORT VHC Report'!$E:$E, 'IMPORT VHC Report'!$A:$C), )</f>
        <v/>
      </c>
      <c r="C3294" s="37"/>
      <c r="D3294" s="37"/>
      <c r="E3294" s="38" t="s">
        <v>3977</v>
      </c>
      <c r="F3294" s="38" t="s">
        <v>3962</v>
      </c>
      <c r="G3294" s="38">
        <v>3.61726424736E11</v>
      </c>
      <c r="H3294" s="38" t="s">
        <v>3963</v>
      </c>
      <c r="I3294" s="38" t="s">
        <v>3964</v>
      </c>
      <c r="J3294" s="38" t="s">
        <v>136</v>
      </c>
      <c r="K3294" s="38" t="s">
        <v>126</v>
      </c>
      <c r="L3294" s="41">
        <v>46008.666666666664</v>
      </c>
      <c r="M3294" s="38" t="s">
        <v>123</v>
      </c>
      <c r="N3294" s="41">
        <v>46008.833333333336</v>
      </c>
      <c r="O3294" s="38" t="s">
        <v>123</v>
      </c>
      <c r="P3294" s="38">
        <v>14400.0</v>
      </c>
      <c r="Q3294" s="39"/>
      <c r="R3294" s="39"/>
      <c r="S3294" s="38" t="s">
        <v>1098</v>
      </c>
      <c r="T3294" s="39"/>
      <c r="U3294" s="39"/>
    </row>
    <row r="3295">
      <c r="A3295" s="40">
        <f t="shared" si="1"/>
        <v>46006</v>
      </c>
      <c r="B3295" s="37" t="str">
        <f t="array" ref="B3295">iferror(xlookup($I3295, 'IMPORT VHC Report'!$E:$E, 'IMPORT VHC Report'!$A:$C), )</f>
        <v/>
      </c>
      <c r="C3295" s="37"/>
      <c r="D3295" s="37"/>
      <c r="E3295" s="38" t="s">
        <v>3978</v>
      </c>
      <c r="F3295" s="38" t="s">
        <v>3962</v>
      </c>
      <c r="G3295" s="38">
        <v>3.61726424736E11</v>
      </c>
      <c r="H3295" s="38" t="s">
        <v>3963</v>
      </c>
      <c r="I3295" s="38" t="s">
        <v>3964</v>
      </c>
      <c r="J3295" s="38" t="s">
        <v>332</v>
      </c>
      <c r="K3295" s="38" t="s">
        <v>63</v>
      </c>
      <c r="L3295" s="41">
        <v>46009.5</v>
      </c>
      <c r="M3295" s="38" t="s">
        <v>123</v>
      </c>
      <c r="N3295" s="41">
        <v>46009.875</v>
      </c>
      <c r="O3295" s="38" t="s">
        <v>123</v>
      </c>
      <c r="P3295" s="38">
        <v>32400.0</v>
      </c>
      <c r="Q3295" s="39"/>
      <c r="R3295" s="39"/>
      <c r="S3295" s="39"/>
      <c r="T3295" s="39"/>
      <c r="U3295" s="39"/>
    </row>
    <row r="3296">
      <c r="A3296" s="40">
        <f t="shared" si="1"/>
        <v>46006</v>
      </c>
      <c r="B3296" s="37" t="str">
        <f t="array" ref="B3296">iferror(xlookup($I3296, 'IMPORT VHC Report'!$E:$E, 'IMPORT VHC Report'!$A:$C), )</f>
        <v/>
      </c>
      <c r="C3296" s="37"/>
      <c r="D3296" s="37"/>
      <c r="E3296" s="38" t="s">
        <v>3979</v>
      </c>
      <c r="F3296" s="38" t="s">
        <v>3962</v>
      </c>
      <c r="G3296" s="38">
        <v>3.61726424736E11</v>
      </c>
      <c r="H3296" s="38" t="s">
        <v>3963</v>
      </c>
      <c r="I3296" s="38" t="s">
        <v>3964</v>
      </c>
      <c r="J3296" s="38" t="s">
        <v>134</v>
      </c>
      <c r="K3296" s="38" t="s">
        <v>126</v>
      </c>
      <c r="L3296" s="41">
        <v>46009.8125</v>
      </c>
      <c r="M3296" s="38" t="s">
        <v>123</v>
      </c>
      <c r="N3296" s="41">
        <v>46009.833333333336</v>
      </c>
      <c r="O3296" s="38" t="s">
        <v>123</v>
      </c>
      <c r="P3296" s="38">
        <v>1800.0</v>
      </c>
      <c r="Q3296" s="39"/>
      <c r="R3296" s="39"/>
      <c r="S3296" s="39"/>
      <c r="T3296" s="39"/>
      <c r="U3296" s="39"/>
    </row>
    <row r="3297">
      <c r="A3297" s="40">
        <f t="shared" si="1"/>
        <v>46006</v>
      </c>
      <c r="B3297" s="37" t="str">
        <f t="array" ref="B3297">iferror(xlookup($I3297, 'IMPORT VHC Report'!$E:$E, 'IMPORT VHC Report'!$A:$C), )</f>
        <v/>
      </c>
      <c r="C3297" s="37"/>
      <c r="D3297" s="37"/>
      <c r="E3297" s="38" t="s">
        <v>3980</v>
      </c>
      <c r="F3297" s="38" t="s">
        <v>3962</v>
      </c>
      <c r="G3297" s="38">
        <v>3.61726424736E11</v>
      </c>
      <c r="H3297" s="38" t="s">
        <v>3963</v>
      </c>
      <c r="I3297" s="38" t="s">
        <v>3964</v>
      </c>
      <c r="J3297" s="38" t="s">
        <v>132</v>
      </c>
      <c r="K3297" s="38" t="s">
        <v>126</v>
      </c>
      <c r="L3297" s="41">
        <v>46009.833333333336</v>
      </c>
      <c r="M3297" s="38" t="s">
        <v>123</v>
      </c>
      <c r="N3297" s="41">
        <v>46009.875</v>
      </c>
      <c r="O3297" s="38" t="s">
        <v>123</v>
      </c>
      <c r="P3297" s="38">
        <v>3600.0</v>
      </c>
      <c r="Q3297" s="39"/>
      <c r="R3297" s="39"/>
      <c r="S3297" s="39"/>
      <c r="T3297" s="39"/>
      <c r="U3297" s="39"/>
    </row>
    <row r="3298">
      <c r="A3298" s="40">
        <f t="shared" si="1"/>
        <v>46006</v>
      </c>
      <c r="B3298" s="37" t="str">
        <f t="array" ref="B3298">iferror(xlookup($I3298, 'IMPORT VHC Report'!$E:$E, 'IMPORT VHC Report'!$A:$C), )</f>
        <v/>
      </c>
      <c r="C3298" s="37"/>
      <c r="D3298" s="37"/>
      <c r="E3298" s="38" t="s">
        <v>3981</v>
      </c>
      <c r="F3298" s="38" t="s">
        <v>3962</v>
      </c>
      <c r="G3298" s="38">
        <v>3.61726424736E11</v>
      </c>
      <c r="H3298" s="38" t="s">
        <v>3963</v>
      </c>
      <c r="I3298" s="38" t="s">
        <v>3964</v>
      </c>
      <c r="J3298" s="38" t="s">
        <v>332</v>
      </c>
      <c r="K3298" s="38" t="s">
        <v>63</v>
      </c>
      <c r="L3298" s="41">
        <v>46012.5</v>
      </c>
      <c r="M3298" s="38" t="s">
        <v>123</v>
      </c>
      <c r="N3298" s="41">
        <v>46012.875</v>
      </c>
      <c r="O3298" s="38" t="s">
        <v>123</v>
      </c>
      <c r="P3298" s="38">
        <v>32400.0</v>
      </c>
      <c r="Q3298" s="39"/>
      <c r="R3298" s="39"/>
      <c r="S3298" s="39"/>
      <c r="T3298" s="39"/>
      <c r="U3298" s="39"/>
    </row>
    <row r="3299">
      <c r="A3299" s="40">
        <f t="shared" si="1"/>
        <v>46006</v>
      </c>
      <c r="B3299" s="37" t="str">
        <f t="array" ref="B3299">iferror(xlookup($I3299, 'IMPORT VHC Report'!$E:$E, 'IMPORT VHC Report'!$A:$C), )</f>
        <v/>
      </c>
      <c r="C3299" s="37"/>
      <c r="D3299" s="37"/>
      <c r="E3299" s="38" t="s">
        <v>3982</v>
      </c>
      <c r="F3299" s="38" t="s">
        <v>3962</v>
      </c>
      <c r="G3299" s="38">
        <v>3.61726424736E11</v>
      </c>
      <c r="H3299" s="38" t="s">
        <v>3963</v>
      </c>
      <c r="I3299" s="38" t="s">
        <v>3964</v>
      </c>
      <c r="J3299" s="38" t="s">
        <v>134</v>
      </c>
      <c r="K3299" s="38" t="s">
        <v>126</v>
      </c>
      <c r="L3299" s="41">
        <v>46012.8125</v>
      </c>
      <c r="M3299" s="38" t="s">
        <v>123</v>
      </c>
      <c r="N3299" s="41">
        <v>46012.833333333336</v>
      </c>
      <c r="O3299" s="38" t="s">
        <v>123</v>
      </c>
      <c r="P3299" s="38">
        <v>1800.0</v>
      </c>
      <c r="Q3299" s="39"/>
      <c r="R3299" s="39"/>
      <c r="S3299" s="39"/>
      <c r="T3299" s="39"/>
      <c r="U3299" s="39"/>
    </row>
    <row r="3300">
      <c r="A3300" s="40">
        <f t="shared" si="1"/>
        <v>46006</v>
      </c>
      <c r="B3300" s="37" t="str">
        <f t="array" ref="B3300">iferror(xlookup($I3300, 'IMPORT VHC Report'!$E:$E, 'IMPORT VHC Report'!$A:$C), )</f>
        <v/>
      </c>
      <c r="C3300" s="37"/>
      <c r="D3300" s="37"/>
      <c r="E3300" s="38" t="s">
        <v>3983</v>
      </c>
      <c r="F3300" s="38" t="s">
        <v>3962</v>
      </c>
      <c r="G3300" s="38">
        <v>3.61726424736E11</v>
      </c>
      <c r="H3300" s="38" t="s">
        <v>3963</v>
      </c>
      <c r="I3300" s="38" t="s">
        <v>3964</v>
      </c>
      <c r="J3300" s="38" t="s">
        <v>132</v>
      </c>
      <c r="K3300" s="38" t="s">
        <v>126</v>
      </c>
      <c r="L3300" s="41">
        <v>46012.833333333336</v>
      </c>
      <c r="M3300" s="38" t="s">
        <v>123</v>
      </c>
      <c r="N3300" s="41">
        <v>46012.875</v>
      </c>
      <c r="O3300" s="38" t="s">
        <v>123</v>
      </c>
      <c r="P3300" s="38">
        <v>3600.0</v>
      </c>
      <c r="Q3300" s="39"/>
      <c r="R3300" s="39"/>
      <c r="S3300" s="39"/>
      <c r="T3300" s="39"/>
      <c r="U3300" s="39"/>
    </row>
    <row r="3301">
      <c r="A3301" s="40">
        <f t="shared" si="1"/>
        <v>46006</v>
      </c>
      <c r="B3301" s="37" t="str">
        <f t="array" ref="B3301">iferror(xlookup($I3301, 'IMPORT VHC Report'!$E:$E, 'IMPORT VHC Report'!$A:$C), )</f>
        <v/>
      </c>
      <c r="C3301" s="37"/>
      <c r="D3301" s="37"/>
      <c r="E3301" s="38" t="s">
        <v>3984</v>
      </c>
      <c r="F3301" s="38" t="s">
        <v>3985</v>
      </c>
      <c r="G3301" s="38">
        <v>7.437401161487E12</v>
      </c>
      <c r="H3301" s="38" t="s">
        <v>3986</v>
      </c>
      <c r="I3301" s="38" t="s">
        <v>3987</v>
      </c>
      <c r="J3301" s="38" t="s">
        <v>224</v>
      </c>
      <c r="K3301" s="38" t="s">
        <v>63</v>
      </c>
      <c r="L3301" s="41">
        <v>46006.5</v>
      </c>
      <c r="M3301" s="38" t="s">
        <v>123</v>
      </c>
      <c r="N3301" s="41">
        <v>46006.614583333336</v>
      </c>
      <c r="O3301" s="38" t="s">
        <v>123</v>
      </c>
      <c r="P3301" s="38">
        <v>9900.0</v>
      </c>
      <c r="Q3301" s="39"/>
      <c r="R3301" s="39"/>
      <c r="S3301" s="39"/>
      <c r="T3301" s="39"/>
      <c r="U3301" s="39"/>
    </row>
    <row r="3302">
      <c r="A3302" s="40">
        <f t="shared" si="1"/>
        <v>46006</v>
      </c>
      <c r="B3302" s="37" t="str">
        <f t="array" ref="B3302">iferror(xlookup($I3302, 'IMPORT VHC Report'!$E:$E, 'IMPORT VHC Report'!$A:$C), )</f>
        <v/>
      </c>
      <c r="C3302" s="37"/>
      <c r="D3302" s="37"/>
      <c r="E3302" s="38" t="s">
        <v>3988</v>
      </c>
      <c r="F3302" s="38" t="s">
        <v>3985</v>
      </c>
      <c r="G3302" s="38">
        <v>7.437401161487E12</v>
      </c>
      <c r="H3302" s="38" t="s">
        <v>3986</v>
      </c>
      <c r="I3302" s="38" t="s">
        <v>3987</v>
      </c>
      <c r="J3302" s="38" t="s">
        <v>132</v>
      </c>
      <c r="K3302" s="38" t="s">
        <v>126</v>
      </c>
      <c r="L3302" s="41">
        <v>46006.614583333336</v>
      </c>
      <c r="M3302" s="38" t="s">
        <v>123</v>
      </c>
      <c r="N3302" s="41">
        <v>46006.65625</v>
      </c>
      <c r="O3302" s="38" t="s">
        <v>123</v>
      </c>
      <c r="P3302" s="38">
        <v>3600.0</v>
      </c>
      <c r="Q3302" s="39"/>
      <c r="R3302" s="39"/>
      <c r="S3302" s="39"/>
      <c r="T3302" s="39"/>
      <c r="U3302" s="39"/>
    </row>
    <row r="3303">
      <c r="A3303" s="40">
        <f t="shared" si="1"/>
        <v>46006</v>
      </c>
      <c r="B3303" s="37" t="str">
        <f t="array" ref="B3303">iferror(xlookup($I3303, 'IMPORT VHC Report'!$E:$E, 'IMPORT VHC Report'!$A:$C), )</f>
        <v/>
      </c>
      <c r="C3303" s="37"/>
      <c r="D3303" s="37"/>
      <c r="E3303" s="38" t="s">
        <v>3989</v>
      </c>
      <c r="F3303" s="38" t="s">
        <v>3985</v>
      </c>
      <c r="G3303" s="38">
        <v>7.437401161487E12</v>
      </c>
      <c r="H3303" s="38" t="s">
        <v>3986</v>
      </c>
      <c r="I3303" s="38" t="s">
        <v>3987</v>
      </c>
      <c r="J3303" s="38" t="s">
        <v>224</v>
      </c>
      <c r="K3303" s="38" t="s">
        <v>63</v>
      </c>
      <c r="L3303" s="41">
        <v>46006.65625</v>
      </c>
      <c r="M3303" s="38" t="s">
        <v>123</v>
      </c>
      <c r="N3303" s="41">
        <v>46006.71875</v>
      </c>
      <c r="O3303" s="38" t="s">
        <v>123</v>
      </c>
      <c r="P3303" s="38">
        <v>5400.0</v>
      </c>
      <c r="Q3303" s="39"/>
      <c r="R3303" s="39"/>
      <c r="S3303" s="39"/>
      <c r="T3303" s="39"/>
      <c r="U3303" s="39"/>
    </row>
    <row r="3304">
      <c r="A3304" s="40">
        <f t="shared" si="1"/>
        <v>46006</v>
      </c>
      <c r="B3304" s="37" t="str">
        <f t="array" ref="B3304">iferror(xlookup($I3304, 'IMPORT VHC Report'!$E:$E, 'IMPORT VHC Report'!$A:$C), )</f>
        <v/>
      </c>
      <c r="C3304" s="37"/>
      <c r="D3304" s="37"/>
      <c r="E3304" s="38" t="s">
        <v>3990</v>
      </c>
      <c r="F3304" s="38" t="s">
        <v>3985</v>
      </c>
      <c r="G3304" s="38">
        <v>7.437401161487E12</v>
      </c>
      <c r="H3304" s="38" t="s">
        <v>3986</v>
      </c>
      <c r="I3304" s="38" t="s">
        <v>3987</v>
      </c>
      <c r="J3304" s="38" t="s">
        <v>134</v>
      </c>
      <c r="K3304" s="38" t="s">
        <v>126</v>
      </c>
      <c r="L3304" s="41">
        <v>46006.71875</v>
      </c>
      <c r="M3304" s="38" t="s">
        <v>123</v>
      </c>
      <c r="N3304" s="41">
        <v>46006.729166666664</v>
      </c>
      <c r="O3304" s="38" t="s">
        <v>123</v>
      </c>
      <c r="P3304" s="38">
        <v>900.0</v>
      </c>
      <c r="Q3304" s="39"/>
      <c r="R3304" s="39"/>
      <c r="S3304" s="39"/>
      <c r="T3304" s="39"/>
      <c r="U3304" s="39"/>
    </row>
    <row r="3305">
      <c r="A3305" s="40">
        <f t="shared" si="1"/>
        <v>46006</v>
      </c>
      <c r="B3305" s="37" t="str">
        <f t="array" ref="B3305">iferror(xlookup($I3305, 'IMPORT VHC Report'!$E:$E, 'IMPORT VHC Report'!$A:$C), )</f>
        <v/>
      </c>
      <c r="C3305" s="37"/>
      <c r="D3305" s="37"/>
      <c r="E3305" s="38" t="s">
        <v>3991</v>
      </c>
      <c r="F3305" s="38" t="s">
        <v>3985</v>
      </c>
      <c r="G3305" s="38">
        <v>7.437401161487E12</v>
      </c>
      <c r="H3305" s="38" t="s">
        <v>3986</v>
      </c>
      <c r="I3305" s="38" t="s">
        <v>3987</v>
      </c>
      <c r="J3305" s="38" t="s">
        <v>224</v>
      </c>
      <c r="K3305" s="38" t="s">
        <v>63</v>
      </c>
      <c r="L3305" s="41">
        <v>46006.729166666664</v>
      </c>
      <c r="M3305" s="38" t="s">
        <v>123</v>
      </c>
      <c r="N3305" s="41">
        <v>46006.802083333336</v>
      </c>
      <c r="O3305" s="38" t="s">
        <v>123</v>
      </c>
      <c r="P3305" s="38">
        <v>6300.0</v>
      </c>
      <c r="Q3305" s="39"/>
      <c r="R3305" s="39"/>
      <c r="S3305" s="39"/>
      <c r="T3305" s="39"/>
      <c r="U3305" s="39"/>
    </row>
    <row r="3306">
      <c r="A3306" s="40">
        <f t="shared" si="1"/>
        <v>46006</v>
      </c>
      <c r="B3306" s="37" t="str">
        <f t="array" ref="B3306">iferror(xlookup($I3306, 'IMPORT VHC Report'!$E:$E, 'IMPORT VHC Report'!$A:$C), )</f>
        <v/>
      </c>
      <c r="C3306" s="37"/>
      <c r="D3306" s="37"/>
      <c r="E3306" s="38" t="s">
        <v>3992</v>
      </c>
      <c r="F3306" s="38" t="s">
        <v>3985</v>
      </c>
      <c r="G3306" s="38">
        <v>7.437401161487E12</v>
      </c>
      <c r="H3306" s="38" t="s">
        <v>3986</v>
      </c>
      <c r="I3306" s="38" t="s">
        <v>3987</v>
      </c>
      <c r="J3306" s="38" t="s">
        <v>134</v>
      </c>
      <c r="K3306" s="38" t="s">
        <v>126</v>
      </c>
      <c r="L3306" s="41">
        <v>46006.802083333336</v>
      </c>
      <c r="M3306" s="38" t="s">
        <v>123</v>
      </c>
      <c r="N3306" s="41">
        <v>46006.8125</v>
      </c>
      <c r="O3306" s="38" t="s">
        <v>123</v>
      </c>
      <c r="P3306" s="38">
        <v>900.0</v>
      </c>
      <c r="Q3306" s="39"/>
      <c r="R3306" s="39"/>
      <c r="S3306" s="39"/>
      <c r="T3306" s="39"/>
      <c r="U3306" s="39"/>
    </row>
    <row r="3307">
      <c r="A3307" s="40">
        <f t="shared" si="1"/>
        <v>46006</v>
      </c>
      <c r="B3307" s="37" t="str">
        <f t="array" ref="B3307">iferror(xlookup($I3307, 'IMPORT VHC Report'!$E:$E, 'IMPORT VHC Report'!$A:$C), )</f>
        <v/>
      </c>
      <c r="C3307" s="37"/>
      <c r="D3307" s="37"/>
      <c r="E3307" s="38" t="s">
        <v>3993</v>
      </c>
      <c r="F3307" s="38" t="s">
        <v>3985</v>
      </c>
      <c r="G3307" s="38">
        <v>7.437401161487E12</v>
      </c>
      <c r="H3307" s="38" t="s">
        <v>3986</v>
      </c>
      <c r="I3307" s="38" t="s">
        <v>3987</v>
      </c>
      <c r="J3307" s="38" t="s">
        <v>224</v>
      </c>
      <c r="K3307" s="38" t="s">
        <v>63</v>
      </c>
      <c r="L3307" s="41">
        <v>46006.8125</v>
      </c>
      <c r="M3307" s="38" t="s">
        <v>123</v>
      </c>
      <c r="N3307" s="41">
        <v>46006.875</v>
      </c>
      <c r="O3307" s="38" t="s">
        <v>123</v>
      </c>
      <c r="P3307" s="38">
        <v>5400.0</v>
      </c>
      <c r="Q3307" s="39"/>
      <c r="R3307" s="39"/>
      <c r="S3307" s="39"/>
      <c r="T3307" s="39"/>
      <c r="U3307" s="39"/>
    </row>
    <row r="3308">
      <c r="A3308" s="40">
        <f t="shared" si="1"/>
        <v>46006</v>
      </c>
      <c r="B3308" s="37" t="str">
        <f t="array" ref="B3308">iferror(xlookup($I3308, 'IMPORT VHC Report'!$E:$E, 'IMPORT VHC Report'!$A:$C), )</f>
        <v/>
      </c>
      <c r="C3308" s="37"/>
      <c r="D3308" s="37"/>
      <c r="E3308" s="38" t="s">
        <v>3994</v>
      </c>
      <c r="F3308" s="38" t="s">
        <v>3985</v>
      </c>
      <c r="G3308" s="38">
        <v>7.437401161487E12</v>
      </c>
      <c r="H3308" s="38" t="s">
        <v>3986</v>
      </c>
      <c r="I3308" s="38" t="s">
        <v>3987</v>
      </c>
      <c r="J3308" s="38" t="s">
        <v>224</v>
      </c>
      <c r="K3308" s="38" t="s">
        <v>63</v>
      </c>
      <c r="L3308" s="41">
        <v>46007.5</v>
      </c>
      <c r="M3308" s="38" t="s">
        <v>123</v>
      </c>
      <c r="N3308" s="41">
        <v>46007.875</v>
      </c>
      <c r="O3308" s="38" t="s">
        <v>123</v>
      </c>
      <c r="P3308" s="38">
        <v>32400.0</v>
      </c>
      <c r="Q3308" s="39"/>
      <c r="R3308" s="39"/>
      <c r="S3308" s="39"/>
      <c r="T3308" s="39"/>
      <c r="U3308" s="39"/>
    </row>
    <row r="3309">
      <c r="A3309" s="40">
        <f t="shared" si="1"/>
        <v>46006</v>
      </c>
      <c r="B3309" s="37" t="str">
        <f t="array" ref="B3309">iferror(xlookup($I3309, 'IMPORT VHC Report'!$E:$E, 'IMPORT VHC Report'!$A:$C), )</f>
        <v/>
      </c>
      <c r="C3309" s="37"/>
      <c r="D3309" s="37"/>
      <c r="E3309" s="38" t="s">
        <v>3995</v>
      </c>
      <c r="F3309" s="38" t="s">
        <v>3985</v>
      </c>
      <c r="G3309" s="38">
        <v>7.437401161487E12</v>
      </c>
      <c r="H3309" s="38" t="s">
        <v>3986</v>
      </c>
      <c r="I3309" s="38" t="s">
        <v>3987</v>
      </c>
      <c r="J3309" s="38" t="s">
        <v>132</v>
      </c>
      <c r="K3309" s="38" t="s">
        <v>126</v>
      </c>
      <c r="L3309" s="41">
        <v>46007.604166666664</v>
      </c>
      <c r="M3309" s="38" t="s">
        <v>123</v>
      </c>
      <c r="N3309" s="41">
        <v>46007.645833333336</v>
      </c>
      <c r="O3309" s="38" t="s">
        <v>123</v>
      </c>
      <c r="P3309" s="38">
        <v>3600.0</v>
      </c>
      <c r="Q3309" s="39"/>
      <c r="R3309" s="39"/>
      <c r="S3309" s="39"/>
      <c r="T3309" s="39"/>
      <c r="U3309" s="39"/>
    </row>
    <row r="3310">
      <c r="A3310" s="40">
        <f t="shared" si="1"/>
        <v>46006</v>
      </c>
      <c r="B3310" s="37" t="str">
        <f t="array" ref="B3310">iferror(xlookup($I3310, 'IMPORT VHC Report'!$E:$E, 'IMPORT VHC Report'!$A:$C), )</f>
        <v/>
      </c>
      <c r="C3310" s="37"/>
      <c r="D3310" s="37"/>
      <c r="E3310" s="38" t="s">
        <v>3996</v>
      </c>
      <c r="F3310" s="38" t="s">
        <v>3985</v>
      </c>
      <c r="G3310" s="38">
        <v>7.437401161487E12</v>
      </c>
      <c r="H3310" s="38" t="s">
        <v>3986</v>
      </c>
      <c r="I3310" s="38" t="s">
        <v>3987</v>
      </c>
      <c r="J3310" s="38" t="s">
        <v>136</v>
      </c>
      <c r="K3310" s="38" t="s">
        <v>126</v>
      </c>
      <c r="L3310" s="41">
        <v>46007.697916666664</v>
      </c>
      <c r="M3310" s="38" t="s">
        <v>123</v>
      </c>
      <c r="N3310" s="41">
        <v>46007.729166666664</v>
      </c>
      <c r="O3310" s="38" t="s">
        <v>123</v>
      </c>
      <c r="P3310" s="38">
        <v>2700.0</v>
      </c>
      <c r="Q3310" s="39"/>
      <c r="R3310" s="39"/>
      <c r="S3310" s="38" t="s">
        <v>137</v>
      </c>
      <c r="T3310" s="39"/>
      <c r="U3310" s="39"/>
    </row>
    <row r="3311">
      <c r="A3311" s="40">
        <f t="shared" si="1"/>
        <v>46006</v>
      </c>
      <c r="B3311" s="37" t="str">
        <f t="array" ref="B3311">iferror(xlookup($I3311, 'IMPORT VHC Report'!$E:$E, 'IMPORT VHC Report'!$A:$C), )</f>
        <v/>
      </c>
      <c r="C3311" s="37"/>
      <c r="D3311" s="37"/>
      <c r="E3311" s="38" t="s">
        <v>3997</v>
      </c>
      <c r="F3311" s="38" t="s">
        <v>3985</v>
      </c>
      <c r="G3311" s="38">
        <v>7.437401161487E12</v>
      </c>
      <c r="H3311" s="38" t="s">
        <v>3986</v>
      </c>
      <c r="I3311" s="38" t="s">
        <v>3987</v>
      </c>
      <c r="J3311" s="38" t="s">
        <v>134</v>
      </c>
      <c r="K3311" s="38" t="s">
        <v>126</v>
      </c>
      <c r="L3311" s="41">
        <v>46007.729166666664</v>
      </c>
      <c r="M3311" s="38" t="s">
        <v>123</v>
      </c>
      <c r="N3311" s="41">
        <v>46007.739583333336</v>
      </c>
      <c r="O3311" s="38" t="s">
        <v>123</v>
      </c>
      <c r="P3311" s="38">
        <v>900.0</v>
      </c>
      <c r="Q3311" s="39"/>
      <c r="R3311" s="39"/>
      <c r="S3311" s="39"/>
      <c r="T3311" s="39"/>
      <c r="U3311" s="39"/>
    </row>
    <row r="3312">
      <c r="A3312" s="40">
        <f t="shared" si="1"/>
        <v>46006</v>
      </c>
      <c r="B3312" s="37" t="str">
        <f t="array" ref="B3312">iferror(xlookup($I3312, 'IMPORT VHC Report'!$E:$E, 'IMPORT VHC Report'!$A:$C), )</f>
        <v/>
      </c>
      <c r="C3312" s="37"/>
      <c r="D3312" s="37"/>
      <c r="E3312" s="38" t="s">
        <v>3998</v>
      </c>
      <c r="F3312" s="38" t="s">
        <v>3985</v>
      </c>
      <c r="G3312" s="38">
        <v>7.437401161487E12</v>
      </c>
      <c r="H3312" s="38" t="s">
        <v>3986</v>
      </c>
      <c r="I3312" s="38" t="s">
        <v>3987</v>
      </c>
      <c r="J3312" s="38" t="s">
        <v>134</v>
      </c>
      <c r="K3312" s="38" t="s">
        <v>126</v>
      </c>
      <c r="L3312" s="41">
        <v>46007.770833333336</v>
      </c>
      <c r="M3312" s="38" t="s">
        <v>123</v>
      </c>
      <c r="N3312" s="41">
        <v>46007.78125</v>
      </c>
      <c r="O3312" s="38" t="s">
        <v>123</v>
      </c>
      <c r="P3312" s="38">
        <v>900.0</v>
      </c>
      <c r="Q3312" s="39"/>
      <c r="R3312" s="39"/>
      <c r="S3312" s="39"/>
      <c r="T3312" s="39"/>
      <c r="U3312" s="39"/>
    </row>
    <row r="3313">
      <c r="A3313" s="40">
        <f t="shared" si="1"/>
        <v>46006</v>
      </c>
      <c r="B3313" s="37" t="str">
        <f t="array" ref="B3313">iferror(xlookup($I3313, 'IMPORT VHC Report'!$E:$E, 'IMPORT VHC Report'!$A:$C), )</f>
        <v/>
      </c>
      <c r="C3313" s="37"/>
      <c r="D3313" s="37"/>
      <c r="E3313" s="38" t="s">
        <v>3999</v>
      </c>
      <c r="F3313" s="38" t="s">
        <v>3985</v>
      </c>
      <c r="G3313" s="38">
        <v>7.437401161487E12</v>
      </c>
      <c r="H3313" s="38" t="s">
        <v>3986</v>
      </c>
      <c r="I3313" s="38" t="s">
        <v>3987</v>
      </c>
      <c r="J3313" s="38" t="s">
        <v>224</v>
      </c>
      <c r="K3313" s="38" t="s">
        <v>63</v>
      </c>
      <c r="L3313" s="41">
        <v>46010.5</v>
      </c>
      <c r="M3313" s="38" t="s">
        <v>123</v>
      </c>
      <c r="N3313" s="41">
        <v>46010.875</v>
      </c>
      <c r="O3313" s="38" t="s">
        <v>123</v>
      </c>
      <c r="P3313" s="38">
        <v>32400.0</v>
      </c>
      <c r="Q3313" s="39"/>
      <c r="R3313" s="39"/>
      <c r="S3313" s="39"/>
      <c r="T3313" s="39"/>
      <c r="U3313" s="39"/>
    </row>
    <row r="3314">
      <c r="A3314" s="40">
        <f t="shared" si="1"/>
        <v>46006</v>
      </c>
      <c r="B3314" s="37" t="str">
        <f t="array" ref="B3314">iferror(xlookup($I3314, 'IMPORT VHC Report'!$E:$E, 'IMPORT VHC Report'!$A:$C), )</f>
        <v/>
      </c>
      <c r="C3314" s="37"/>
      <c r="D3314" s="37"/>
      <c r="E3314" s="38" t="s">
        <v>4000</v>
      </c>
      <c r="F3314" s="38" t="s">
        <v>3985</v>
      </c>
      <c r="G3314" s="38">
        <v>7.437401161487E12</v>
      </c>
      <c r="H3314" s="38" t="s">
        <v>3986</v>
      </c>
      <c r="I3314" s="38" t="s">
        <v>3987</v>
      </c>
      <c r="J3314" s="38" t="s">
        <v>134</v>
      </c>
      <c r="K3314" s="38" t="s">
        <v>126</v>
      </c>
      <c r="L3314" s="41">
        <v>46010.614583333336</v>
      </c>
      <c r="M3314" s="38" t="s">
        <v>123</v>
      </c>
      <c r="N3314" s="41">
        <v>46010.625</v>
      </c>
      <c r="O3314" s="38" t="s">
        <v>123</v>
      </c>
      <c r="P3314" s="38">
        <v>900.0</v>
      </c>
      <c r="Q3314" s="39"/>
      <c r="R3314" s="39"/>
      <c r="S3314" s="39"/>
      <c r="T3314" s="39"/>
      <c r="U3314" s="39"/>
    </row>
    <row r="3315">
      <c r="A3315" s="40">
        <f t="shared" si="1"/>
        <v>46006</v>
      </c>
      <c r="B3315" s="37" t="str">
        <f t="array" ref="B3315">iferror(xlookup($I3315, 'IMPORT VHC Report'!$E:$E, 'IMPORT VHC Report'!$A:$C), )</f>
        <v/>
      </c>
      <c r="C3315" s="37"/>
      <c r="D3315" s="37"/>
      <c r="E3315" s="38" t="s">
        <v>4001</v>
      </c>
      <c r="F3315" s="38" t="s">
        <v>3985</v>
      </c>
      <c r="G3315" s="38">
        <v>7.437401161487E12</v>
      </c>
      <c r="H3315" s="38" t="s">
        <v>3986</v>
      </c>
      <c r="I3315" s="38" t="s">
        <v>3987</v>
      </c>
      <c r="J3315" s="38" t="s">
        <v>330</v>
      </c>
      <c r="K3315" s="38" t="s">
        <v>126</v>
      </c>
      <c r="L3315" s="41">
        <v>46010.625</v>
      </c>
      <c r="M3315" s="38" t="s">
        <v>123</v>
      </c>
      <c r="N3315" s="41">
        <v>46010.666666666664</v>
      </c>
      <c r="O3315" s="38" t="s">
        <v>123</v>
      </c>
      <c r="P3315" s="38">
        <v>3600.0</v>
      </c>
      <c r="Q3315" s="39"/>
      <c r="R3315" s="39"/>
      <c r="S3315" s="39"/>
      <c r="T3315" s="39"/>
      <c r="U3315" s="39"/>
    </row>
    <row r="3316">
      <c r="A3316" s="40">
        <f t="shared" si="1"/>
        <v>46006</v>
      </c>
      <c r="B3316" s="37" t="str">
        <f t="array" ref="B3316">iferror(xlookup($I3316, 'IMPORT VHC Report'!$E:$E, 'IMPORT VHC Report'!$A:$C), )</f>
        <v/>
      </c>
      <c r="C3316" s="37"/>
      <c r="D3316" s="37"/>
      <c r="E3316" s="38" t="s">
        <v>4002</v>
      </c>
      <c r="F3316" s="38" t="s">
        <v>3985</v>
      </c>
      <c r="G3316" s="38">
        <v>7.437401161487E12</v>
      </c>
      <c r="H3316" s="38" t="s">
        <v>3986</v>
      </c>
      <c r="I3316" s="38" t="s">
        <v>3987</v>
      </c>
      <c r="J3316" s="38" t="s">
        <v>132</v>
      </c>
      <c r="K3316" s="38" t="s">
        <v>126</v>
      </c>
      <c r="L3316" s="41">
        <v>46010.666666666664</v>
      </c>
      <c r="M3316" s="38" t="s">
        <v>123</v>
      </c>
      <c r="N3316" s="41">
        <v>46010.708333333336</v>
      </c>
      <c r="O3316" s="38" t="s">
        <v>123</v>
      </c>
      <c r="P3316" s="38">
        <v>3600.0</v>
      </c>
      <c r="Q3316" s="39"/>
      <c r="R3316" s="39"/>
      <c r="S3316" s="39"/>
      <c r="T3316" s="39"/>
      <c r="U3316" s="39"/>
    </row>
    <row r="3317">
      <c r="A3317" s="40">
        <f t="shared" si="1"/>
        <v>46006</v>
      </c>
      <c r="B3317" s="37" t="str">
        <f t="array" ref="B3317">iferror(xlookup($I3317, 'IMPORT VHC Report'!$E:$E, 'IMPORT VHC Report'!$A:$C), )</f>
        <v/>
      </c>
      <c r="C3317" s="37"/>
      <c r="D3317" s="37"/>
      <c r="E3317" s="38" t="s">
        <v>4003</v>
      </c>
      <c r="F3317" s="38" t="s">
        <v>3985</v>
      </c>
      <c r="G3317" s="38">
        <v>7.437401161487E12</v>
      </c>
      <c r="H3317" s="38" t="s">
        <v>3986</v>
      </c>
      <c r="I3317" s="38" t="s">
        <v>3987</v>
      </c>
      <c r="J3317" s="38" t="s">
        <v>152</v>
      </c>
      <c r="K3317" s="38" t="s">
        <v>153</v>
      </c>
      <c r="L3317" s="41">
        <v>46010.708333333336</v>
      </c>
      <c r="M3317" s="38" t="s">
        <v>123</v>
      </c>
      <c r="N3317" s="41">
        <v>46010.875</v>
      </c>
      <c r="O3317" s="38" t="s">
        <v>123</v>
      </c>
      <c r="P3317" s="38">
        <v>14400.0</v>
      </c>
      <c r="Q3317" s="38">
        <v>14400.0</v>
      </c>
      <c r="R3317" s="38" t="s">
        <v>421</v>
      </c>
      <c r="S3317" s="38" t="s">
        <v>421</v>
      </c>
      <c r="T3317" s="39"/>
      <c r="U3317" s="39"/>
    </row>
    <row r="3318">
      <c r="A3318" s="40">
        <f t="shared" si="1"/>
        <v>46006</v>
      </c>
      <c r="B3318" s="37" t="str">
        <f t="array" ref="B3318">iferror(xlookup($I3318, 'IMPORT VHC Report'!$E:$E, 'IMPORT VHC Report'!$A:$C), )</f>
        <v/>
      </c>
      <c r="C3318" s="37"/>
      <c r="D3318" s="37"/>
      <c r="E3318" s="38" t="s">
        <v>4004</v>
      </c>
      <c r="F3318" s="38" t="s">
        <v>3985</v>
      </c>
      <c r="G3318" s="38">
        <v>7.437401161487E12</v>
      </c>
      <c r="H3318" s="38" t="s">
        <v>3986</v>
      </c>
      <c r="I3318" s="38" t="s">
        <v>3987</v>
      </c>
      <c r="J3318" s="38" t="s">
        <v>134</v>
      </c>
      <c r="K3318" s="38" t="s">
        <v>126</v>
      </c>
      <c r="L3318" s="41">
        <v>46010.78125</v>
      </c>
      <c r="M3318" s="38" t="s">
        <v>123</v>
      </c>
      <c r="N3318" s="41">
        <v>46010.791666666664</v>
      </c>
      <c r="O3318" s="38" t="s">
        <v>123</v>
      </c>
      <c r="P3318" s="38">
        <v>900.0</v>
      </c>
      <c r="Q3318" s="39"/>
      <c r="R3318" s="39"/>
      <c r="S3318" s="39"/>
      <c r="T3318" s="39"/>
      <c r="U3318" s="39"/>
    </row>
    <row r="3319">
      <c r="A3319" s="40">
        <f t="shared" si="1"/>
        <v>46006</v>
      </c>
      <c r="B3319" s="37" t="str">
        <f t="array" ref="B3319">iferror(xlookup($I3319, 'IMPORT VHC Report'!$E:$E, 'IMPORT VHC Report'!$A:$C), )</f>
        <v/>
      </c>
      <c r="C3319" s="37"/>
      <c r="D3319" s="37"/>
      <c r="E3319" s="38" t="s">
        <v>4005</v>
      </c>
      <c r="F3319" s="38" t="s">
        <v>3985</v>
      </c>
      <c r="G3319" s="38">
        <v>7.437401161487E12</v>
      </c>
      <c r="H3319" s="38" t="s">
        <v>3986</v>
      </c>
      <c r="I3319" s="38" t="s">
        <v>3987</v>
      </c>
      <c r="J3319" s="38" t="s">
        <v>224</v>
      </c>
      <c r="K3319" s="38" t="s">
        <v>63</v>
      </c>
      <c r="L3319" s="41">
        <v>46011.5</v>
      </c>
      <c r="M3319" s="38" t="s">
        <v>123</v>
      </c>
      <c r="N3319" s="41">
        <v>46011.875</v>
      </c>
      <c r="O3319" s="38" t="s">
        <v>123</v>
      </c>
      <c r="P3319" s="38">
        <v>32400.0</v>
      </c>
      <c r="Q3319" s="39"/>
      <c r="R3319" s="39"/>
      <c r="S3319" s="39"/>
      <c r="T3319" s="39"/>
      <c r="U3319" s="39"/>
    </row>
    <row r="3320">
      <c r="A3320" s="40">
        <f t="shared" si="1"/>
        <v>46006</v>
      </c>
      <c r="B3320" s="37" t="str">
        <f t="array" ref="B3320">iferror(xlookup($I3320, 'IMPORT VHC Report'!$E:$E, 'IMPORT VHC Report'!$A:$C), )</f>
        <v/>
      </c>
      <c r="C3320" s="37"/>
      <c r="D3320" s="37"/>
      <c r="E3320" s="38" t="s">
        <v>4006</v>
      </c>
      <c r="F3320" s="38" t="s">
        <v>3985</v>
      </c>
      <c r="G3320" s="38">
        <v>7.437401161487E12</v>
      </c>
      <c r="H3320" s="38" t="s">
        <v>3986</v>
      </c>
      <c r="I3320" s="38" t="s">
        <v>3987</v>
      </c>
      <c r="J3320" s="38" t="s">
        <v>132</v>
      </c>
      <c r="K3320" s="38" t="s">
        <v>126</v>
      </c>
      <c r="L3320" s="41">
        <v>46011.572916666664</v>
      </c>
      <c r="M3320" s="38" t="s">
        <v>123</v>
      </c>
      <c r="N3320" s="41">
        <v>46011.614583333336</v>
      </c>
      <c r="O3320" s="38" t="s">
        <v>123</v>
      </c>
      <c r="P3320" s="38">
        <v>3600.0</v>
      </c>
      <c r="Q3320" s="39"/>
      <c r="R3320" s="39"/>
      <c r="S3320" s="39"/>
      <c r="T3320" s="39"/>
      <c r="U3320" s="39"/>
    </row>
    <row r="3321">
      <c r="A3321" s="40">
        <f t="shared" si="1"/>
        <v>46006</v>
      </c>
      <c r="B3321" s="37" t="str">
        <f t="array" ref="B3321">iferror(xlookup($I3321, 'IMPORT VHC Report'!$E:$E, 'IMPORT VHC Report'!$A:$C), )</f>
        <v/>
      </c>
      <c r="C3321" s="37"/>
      <c r="D3321" s="37"/>
      <c r="E3321" s="38" t="s">
        <v>4007</v>
      </c>
      <c r="F3321" s="38" t="s">
        <v>3985</v>
      </c>
      <c r="G3321" s="38">
        <v>7.437401161487E12</v>
      </c>
      <c r="H3321" s="38" t="s">
        <v>3986</v>
      </c>
      <c r="I3321" s="38" t="s">
        <v>3987</v>
      </c>
      <c r="J3321" s="38" t="s">
        <v>134</v>
      </c>
      <c r="K3321" s="38" t="s">
        <v>126</v>
      </c>
      <c r="L3321" s="41">
        <v>46011.697916666664</v>
      </c>
      <c r="M3321" s="38" t="s">
        <v>123</v>
      </c>
      <c r="N3321" s="41">
        <v>46011.708333333336</v>
      </c>
      <c r="O3321" s="38" t="s">
        <v>123</v>
      </c>
      <c r="P3321" s="38">
        <v>900.0</v>
      </c>
      <c r="Q3321" s="39"/>
      <c r="R3321" s="39"/>
      <c r="S3321" s="39"/>
      <c r="T3321" s="39"/>
      <c r="U3321" s="39"/>
    </row>
    <row r="3322">
      <c r="A3322" s="40">
        <f t="shared" si="1"/>
        <v>46006</v>
      </c>
      <c r="B3322" s="37" t="str">
        <f t="array" ref="B3322">iferror(xlookup($I3322, 'IMPORT VHC Report'!$E:$E, 'IMPORT VHC Report'!$A:$C), )</f>
        <v/>
      </c>
      <c r="C3322" s="37"/>
      <c r="D3322" s="37"/>
      <c r="E3322" s="38" t="s">
        <v>4008</v>
      </c>
      <c r="F3322" s="38" t="s">
        <v>3985</v>
      </c>
      <c r="G3322" s="38">
        <v>7.437401161487E12</v>
      </c>
      <c r="H3322" s="38" t="s">
        <v>3986</v>
      </c>
      <c r="I3322" s="38" t="s">
        <v>3987</v>
      </c>
      <c r="J3322" s="38" t="s">
        <v>134</v>
      </c>
      <c r="K3322" s="38" t="s">
        <v>126</v>
      </c>
      <c r="L3322" s="41">
        <v>46011.770833333336</v>
      </c>
      <c r="M3322" s="38" t="s">
        <v>123</v>
      </c>
      <c r="N3322" s="41">
        <v>46011.78125</v>
      </c>
      <c r="O3322" s="38" t="s">
        <v>123</v>
      </c>
      <c r="P3322" s="38">
        <v>900.0</v>
      </c>
      <c r="Q3322" s="39"/>
      <c r="R3322" s="39"/>
      <c r="S3322" s="39"/>
      <c r="T3322" s="39"/>
      <c r="U3322" s="39"/>
    </row>
    <row r="3323">
      <c r="A3323" s="40">
        <f t="shared" si="1"/>
        <v>46006</v>
      </c>
      <c r="B3323" s="37" t="str">
        <f t="array" ref="B3323">iferror(xlookup($I3323, 'IMPORT VHC Report'!$E:$E, 'IMPORT VHC Report'!$A:$C), )</f>
        <v/>
      </c>
      <c r="C3323" s="37"/>
      <c r="D3323" s="37"/>
      <c r="E3323" s="38" t="s">
        <v>4009</v>
      </c>
      <c r="F3323" s="38" t="s">
        <v>3985</v>
      </c>
      <c r="G3323" s="38">
        <v>7.437401161487E12</v>
      </c>
      <c r="H3323" s="38" t="s">
        <v>3986</v>
      </c>
      <c r="I3323" s="38" t="s">
        <v>3987</v>
      </c>
      <c r="J3323" s="38" t="s">
        <v>224</v>
      </c>
      <c r="K3323" s="38" t="s">
        <v>63</v>
      </c>
      <c r="L3323" s="41">
        <v>46012.5</v>
      </c>
      <c r="M3323" s="38" t="s">
        <v>123</v>
      </c>
      <c r="N3323" s="41">
        <v>46012.583333333336</v>
      </c>
      <c r="O3323" s="38" t="s">
        <v>123</v>
      </c>
      <c r="P3323" s="38">
        <v>7200.0</v>
      </c>
      <c r="Q3323" s="39"/>
      <c r="R3323" s="39"/>
      <c r="S3323" s="39"/>
      <c r="T3323" s="39"/>
      <c r="U3323" s="39"/>
    </row>
    <row r="3324">
      <c r="A3324" s="40">
        <f t="shared" si="1"/>
        <v>46006</v>
      </c>
      <c r="B3324" s="37" t="str">
        <f t="array" ref="B3324">iferror(xlookup($I3324, 'IMPORT VHC Report'!$E:$E, 'IMPORT VHC Report'!$A:$C), )</f>
        <v/>
      </c>
      <c r="C3324" s="37"/>
      <c r="D3324" s="37"/>
      <c r="E3324" s="38" t="s">
        <v>4010</v>
      </c>
      <c r="F3324" s="38" t="s">
        <v>3985</v>
      </c>
      <c r="G3324" s="38">
        <v>7.437401161487E12</v>
      </c>
      <c r="H3324" s="38" t="s">
        <v>3986</v>
      </c>
      <c r="I3324" s="38" t="s">
        <v>3987</v>
      </c>
      <c r="J3324" s="38" t="s">
        <v>134</v>
      </c>
      <c r="K3324" s="38" t="s">
        <v>126</v>
      </c>
      <c r="L3324" s="41">
        <v>46012.583333333336</v>
      </c>
      <c r="M3324" s="38" t="s">
        <v>123</v>
      </c>
      <c r="N3324" s="41">
        <v>46012.59375</v>
      </c>
      <c r="O3324" s="38" t="s">
        <v>123</v>
      </c>
      <c r="P3324" s="38">
        <v>900.0</v>
      </c>
      <c r="Q3324" s="39"/>
      <c r="R3324" s="39"/>
      <c r="S3324" s="39"/>
      <c r="T3324" s="39"/>
      <c r="U3324" s="39"/>
    </row>
    <row r="3325">
      <c r="A3325" s="40">
        <f t="shared" si="1"/>
        <v>46006</v>
      </c>
      <c r="B3325" s="37" t="str">
        <f t="array" ref="B3325">iferror(xlookup($I3325, 'IMPORT VHC Report'!$E:$E, 'IMPORT VHC Report'!$A:$C), )</f>
        <v/>
      </c>
      <c r="C3325" s="37"/>
      <c r="D3325" s="37"/>
      <c r="E3325" s="38" t="s">
        <v>4011</v>
      </c>
      <c r="F3325" s="38" t="s">
        <v>3985</v>
      </c>
      <c r="G3325" s="38">
        <v>7.437401161487E12</v>
      </c>
      <c r="H3325" s="38" t="s">
        <v>3986</v>
      </c>
      <c r="I3325" s="38" t="s">
        <v>3987</v>
      </c>
      <c r="J3325" s="38" t="s">
        <v>224</v>
      </c>
      <c r="K3325" s="38" t="s">
        <v>63</v>
      </c>
      <c r="L3325" s="41">
        <v>46012.59375</v>
      </c>
      <c r="M3325" s="38" t="s">
        <v>123</v>
      </c>
      <c r="N3325" s="41">
        <v>46012.6875</v>
      </c>
      <c r="O3325" s="38" t="s">
        <v>123</v>
      </c>
      <c r="P3325" s="38">
        <v>8100.0</v>
      </c>
      <c r="Q3325" s="39"/>
      <c r="R3325" s="39"/>
      <c r="S3325" s="39"/>
      <c r="T3325" s="39"/>
      <c r="U3325" s="39"/>
    </row>
    <row r="3326">
      <c r="A3326" s="40">
        <f t="shared" si="1"/>
        <v>46006</v>
      </c>
      <c r="B3326" s="37" t="str">
        <f t="array" ref="B3326">iferror(xlookup($I3326, 'IMPORT VHC Report'!$E:$E, 'IMPORT VHC Report'!$A:$C), )</f>
        <v/>
      </c>
      <c r="C3326" s="37"/>
      <c r="D3326" s="37"/>
      <c r="E3326" s="38" t="s">
        <v>4012</v>
      </c>
      <c r="F3326" s="38" t="s">
        <v>3985</v>
      </c>
      <c r="G3326" s="38">
        <v>7.437401161487E12</v>
      </c>
      <c r="H3326" s="38" t="s">
        <v>3986</v>
      </c>
      <c r="I3326" s="38" t="s">
        <v>3987</v>
      </c>
      <c r="J3326" s="38" t="s">
        <v>132</v>
      </c>
      <c r="K3326" s="38" t="s">
        <v>126</v>
      </c>
      <c r="L3326" s="41">
        <v>46012.6875</v>
      </c>
      <c r="M3326" s="38" t="s">
        <v>123</v>
      </c>
      <c r="N3326" s="41">
        <v>46012.729166666664</v>
      </c>
      <c r="O3326" s="38" t="s">
        <v>123</v>
      </c>
      <c r="P3326" s="38">
        <v>3600.0</v>
      </c>
      <c r="Q3326" s="39"/>
      <c r="R3326" s="39"/>
      <c r="S3326" s="39"/>
      <c r="T3326" s="39"/>
      <c r="U3326" s="39"/>
    </row>
    <row r="3327">
      <c r="A3327" s="40">
        <f t="shared" si="1"/>
        <v>46006</v>
      </c>
      <c r="B3327" s="37" t="str">
        <f t="array" ref="B3327">iferror(xlookup($I3327, 'IMPORT VHC Report'!$E:$E, 'IMPORT VHC Report'!$A:$C), )</f>
        <v/>
      </c>
      <c r="C3327" s="37"/>
      <c r="D3327" s="37"/>
      <c r="E3327" s="38" t="s">
        <v>4013</v>
      </c>
      <c r="F3327" s="38" t="s">
        <v>3985</v>
      </c>
      <c r="G3327" s="38">
        <v>7.437401161487E12</v>
      </c>
      <c r="H3327" s="38" t="s">
        <v>3986</v>
      </c>
      <c r="I3327" s="38" t="s">
        <v>3987</v>
      </c>
      <c r="J3327" s="38" t="s">
        <v>224</v>
      </c>
      <c r="K3327" s="38" t="s">
        <v>63</v>
      </c>
      <c r="L3327" s="41">
        <v>46012.729166666664</v>
      </c>
      <c r="M3327" s="38" t="s">
        <v>123</v>
      </c>
      <c r="N3327" s="41">
        <v>46012.791666666664</v>
      </c>
      <c r="O3327" s="38" t="s">
        <v>123</v>
      </c>
      <c r="P3327" s="38">
        <v>5400.0</v>
      </c>
      <c r="Q3327" s="39"/>
      <c r="R3327" s="39"/>
      <c r="S3327" s="39"/>
      <c r="T3327" s="39"/>
      <c r="U3327" s="39"/>
    </row>
    <row r="3328">
      <c r="A3328" s="40">
        <f t="shared" si="1"/>
        <v>46006</v>
      </c>
      <c r="B3328" s="37" t="str">
        <f t="array" ref="B3328">iferror(xlookup($I3328, 'IMPORT VHC Report'!$E:$E, 'IMPORT VHC Report'!$A:$C), )</f>
        <v/>
      </c>
      <c r="C3328" s="37"/>
      <c r="D3328" s="37"/>
      <c r="E3328" s="38" t="s">
        <v>4014</v>
      </c>
      <c r="F3328" s="38" t="s">
        <v>3985</v>
      </c>
      <c r="G3328" s="38">
        <v>7.437401161487E12</v>
      </c>
      <c r="H3328" s="38" t="s">
        <v>3986</v>
      </c>
      <c r="I3328" s="38" t="s">
        <v>3987</v>
      </c>
      <c r="J3328" s="38" t="s">
        <v>134</v>
      </c>
      <c r="K3328" s="38" t="s">
        <v>126</v>
      </c>
      <c r="L3328" s="41">
        <v>46012.791666666664</v>
      </c>
      <c r="M3328" s="38" t="s">
        <v>123</v>
      </c>
      <c r="N3328" s="41">
        <v>46012.802083333336</v>
      </c>
      <c r="O3328" s="38" t="s">
        <v>123</v>
      </c>
      <c r="P3328" s="38">
        <v>900.0</v>
      </c>
      <c r="Q3328" s="39"/>
      <c r="R3328" s="39"/>
      <c r="S3328" s="39"/>
      <c r="T3328" s="39"/>
      <c r="U3328" s="39"/>
    </row>
    <row r="3329">
      <c r="A3329" s="40">
        <f t="shared" si="1"/>
        <v>46006</v>
      </c>
      <c r="B3329" s="37" t="str">
        <f t="array" ref="B3329">iferror(xlookup($I3329, 'IMPORT VHC Report'!$E:$E, 'IMPORT VHC Report'!$A:$C), )</f>
        <v/>
      </c>
      <c r="C3329" s="37"/>
      <c r="D3329" s="37"/>
      <c r="E3329" s="38" t="s">
        <v>4015</v>
      </c>
      <c r="F3329" s="38" t="s">
        <v>3985</v>
      </c>
      <c r="G3329" s="38">
        <v>7.437401161487E12</v>
      </c>
      <c r="H3329" s="38" t="s">
        <v>3986</v>
      </c>
      <c r="I3329" s="38" t="s">
        <v>3987</v>
      </c>
      <c r="J3329" s="38" t="s">
        <v>224</v>
      </c>
      <c r="K3329" s="38" t="s">
        <v>63</v>
      </c>
      <c r="L3329" s="41">
        <v>46012.802083333336</v>
      </c>
      <c r="M3329" s="38" t="s">
        <v>123</v>
      </c>
      <c r="N3329" s="41">
        <v>46012.875</v>
      </c>
      <c r="O3329" s="38" t="s">
        <v>123</v>
      </c>
      <c r="P3329" s="38">
        <v>6300.0</v>
      </c>
      <c r="Q3329" s="39"/>
      <c r="R3329" s="39"/>
      <c r="S3329" s="39"/>
      <c r="T3329" s="39"/>
      <c r="U3329" s="39"/>
    </row>
    <row r="3330">
      <c r="A3330" s="40">
        <f t="shared" si="1"/>
        <v>46006</v>
      </c>
      <c r="B3330" s="37" t="str">
        <f t="array" ref="B3330">iferror(xlookup($I3330, 'IMPORT VHC Report'!$E:$E, 'IMPORT VHC Report'!$A:$C), )</f>
        <v/>
      </c>
      <c r="C3330" s="37"/>
      <c r="D3330" s="37"/>
      <c r="E3330" s="38" t="s">
        <v>4016</v>
      </c>
      <c r="F3330" s="38" t="s">
        <v>4017</v>
      </c>
      <c r="G3330" s="38">
        <v>8.904435850895E12</v>
      </c>
      <c r="H3330" s="38" t="s">
        <v>4018</v>
      </c>
      <c r="I3330" s="38" t="s">
        <v>4019</v>
      </c>
      <c r="J3330" s="38" t="s">
        <v>125</v>
      </c>
      <c r="K3330" s="38" t="s">
        <v>126</v>
      </c>
      <c r="L3330" s="41">
        <v>46006.5</v>
      </c>
      <c r="M3330" s="38" t="s">
        <v>123</v>
      </c>
      <c r="N3330" s="41">
        <v>46006.510416666664</v>
      </c>
      <c r="O3330" s="38" t="s">
        <v>123</v>
      </c>
      <c r="P3330" s="38">
        <v>900.0</v>
      </c>
      <c r="Q3330" s="39"/>
      <c r="R3330" s="39"/>
      <c r="S3330" s="38" t="s">
        <v>199</v>
      </c>
      <c r="T3330" s="39"/>
      <c r="U3330" s="39"/>
    </row>
    <row r="3331">
      <c r="A3331" s="40">
        <f t="shared" si="1"/>
        <v>46006</v>
      </c>
      <c r="B3331" s="37" t="str">
        <f t="array" ref="B3331">iferror(xlookup($I3331, 'IMPORT VHC Report'!$E:$E, 'IMPORT VHC Report'!$A:$C), )</f>
        <v/>
      </c>
      <c r="C3331" s="37"/>
      <c r="D3331" s="37"/>
      <c r="E3331" s="38" t="s">
        <v>4020</v>
      </c>
      <c r="F3331" s="38" t="s">
        <v>4017</v>
      </c>
      <c r="G3331" s="38">
        <v>8.904435850895E12</v>
      </c>
      <c r="H3331" s="38" t="s">
        <v>4018</v>
      </c>
      <c r="I3331" s="38" t="s">
        <v>4019</v>
      </c>
      <c r="J3331" s="38" t="s">
        <v>196</v>
      </c>
      <c r="K3331" s="38" t="s">
        <v>63</v>
      </c>
      <c r="L3331" s="41">
        <v>46006.5</v>
      </c>
      <c r="M3331" s="38" t="s">
        <v>123</v>
      </c>
      <c r="N3331" s="41">
        <v>46006.875</v>
      </c>
      <c r="O3331" s="38" t="s">
        <v>123</v>
      </c>
      <c r="P3331" s="38">
        <v>32400.0</v>
      </c>
      <c r="Q3331" s="39"/>
      <c r="R3331" s="39"/>
      <c r="S3331" s="39"/>
      <c r="T3331" s="39"/>
      <c r="U3331" s="39"/>
    </row>
    <row r="3332">
      <c r="A3332" s="40">
        <f t="shared" si="1"/>
        <v>46006</v>
      </c>
      <c r="B3332" s="37" t="str">
        <f t="array" ref="B3332">iferror(xlookup($I3332, 'IMPORT VHC Report'!$E:$E, 'IMPORT VHC Report'!$A:$C), )</f>
        <v/>
      </c>
      <c r="C3332" s="37"/>
      <c r="D3332" s="37"/>
      <c r="E3332" s="38" t="s">
        <v>4021</v>
      </c>
      <c r="F3332" s="38" t="s">
        <v>4017</v>
      </c>
      <c r="G3332" s="38">
        <v>8.904435850895E12</v>
      </c>
      <c r="H3332" s="38" t="s">
        <v>4018</v>
      </c>
      <c r="I3332" s="38" t="s">
        <v>4019</v>
      </c>
      <c r="J3332" s="38" t="s">
        <v>134</v>
      </c>
      <c r="K3332" s="38" t="s">
        <v>126</v>
      </c>
      <c r="L3332" s="41">
        <v>46006.625</v>
      </c>
      <c r="M3332" s="38" t="s">
        <v>123</v>
      </c>
      <c r="N3332" s="41">
        <v>46006.645833333336</v>
      </c>
      <c r="O3332" s="38" t="s">
        <v>123</v>
      </c>
      <c r="P3332" s="38">
        <v>1800.0</v>
      </c>
      <c r="Q3332" s="39"/>
      <c r="R3332" s="39"/>
      <c r="S3332" s="39"/>
      <c r="T3332" s="39"/>
      <c r="U3332" s="39"/>
    </row>
    <row r="3333">
      <c r="A3333" s="40">
        <f t="shared" si="1"/>
        <v>46006</v>
      </c>
      <c r="B3333" s="37" t="str">
        <f t="array" ref="B3333">iferror(xlookup($I3333, 'IMPORT VHC Report'!$E:$E, 'IMPORT VHC Report'!$A:$C), )</f>
        <v/>
      </c>
      <c r="C3333" s="37"/>
      <c r="D3333" s="37"/>
      <c r="E3333" s="38" t="s">
        <v>4022</v>
      </c>
      <c r="F3333" s="38" t="s">
        <v>4017</v>
      </c>
      <c r="G3333" s="38">
        <v>8.904435850895E12</v>
      </c>
      <c r="H3333" s="38" t="s">
        <v>4018</v>
      </c>
      <c r="I3333" s="38" t="s">
        <v>4019</v>
      </c>
      <c r="J3333" s="38" t="s">
        <v>132</v>
      </c>
      <c r="K3333" s="38" t="s">
        <v>126</v>
      </c>
      <c r="L3333" s="41">
        <v>46006.75</v>
      </c>
      <c r="M3333" s="38" t="s">
        <v>123</v>
      </c>
      <c r="N3333" s="41">
        <v>46006.791666666664</v>
      </c>
      <c r="O3333" s="38" t="s">
        <v>123</v>
      </c>
      <c r="P3333" s="38">
        <v>3600.0</v>
      </c>
      <c r="Q3333" s="39"/>
      <c r="R3333" s="39"/>
      <c r="S3333" s="39"/>
      <c r="T3333" s="39"/>
      <c r="U3333" s="39"/>
    </row>
    <row r="3334">
      <c r="A3334" s="40">
        <f t="shared" si="1"/>
        <v>46006</v>
      </c>
      <c r="B3334" s="37" t="str">
        <f t="array" ref="B3334">iferror(xlookup($I3334, 'IMPORT VHC Report'!$E:$E, 'IMPORT VHC Report'!$A:$C), )</f>
        <v/>
      </c>
      <c r="C3334" s="37"/>
      <c r="D3334" s="37"/>
      <c r="E3334" s="38" t="s">
        <v>4023</v>
      </c>
      <c r="F3334" s="38" t="s">
        <v>4017</v>
      </c>
      <c r="G3334" s="38">
        <v>8.904435850895E12</v>
      </c>
      <c r="H3334" s="38" t="s">
        <v>4018</v>
      </c>
      <c r="I3334" s="38" t="s">
        <v>4019</v>
      </c>
      <c r="J3334" s="38" t="s">
        <v>125</v>
      </c>
      <c r="K3334" s="38" t="s">
        <v>126</v>
      </c>
      <c r="L3334" s="41">
        <v>46007.5</v>
      </c>
      <c r="M3334" s="38" t="s">
        <v>123</v>
      </c>
      <c r="N3334" s="41">
        <v>46007.510416666664</v>
      </c>
      <c r="O3334" s="38" t="s">
        <v>123</v>
      </c>
      <c r="P3334" s="38">
        <v>900.0</v>
      </c>
      <c r="Q3334" s="39"/>
      <c r="R3334" s="39"/>
      <c r="S3334" s="38" t="s">
        <v>199</v>
      </c>
      <c r="T3334" s="39"/>
      <c r="U3334" s="39"/>
    </row>
    <row r="3335">
      <c r="A3335" s="40">
        <f t="shared" si="1"/>
        <v>46006</v>
      </c>
      <c r="B3335" s="37" t="str">
        <f t="array" ref="B3335">iferror(xlookup($I3335, 'IMPORT VHC Report'!$E:$E, 'IMPORT VHC Report'!$A:$C), )</f>
        <v/>
      </c>
      <c r="C3335" s="37"/>
      <c r="D3335" s="37"/>
      <c r="E3335" s="38" t="s">
        <v>4024</v>
      </c>
      <c r="F3335" s="38" t="s">
        <v>4017</v>
      </c>
      <c r="G3335" s="38">
        <v>8.904435850895E12</v>
      </c>
      <c r="H3335" s="38" t="s">
        <v>4018</v>
      </c>
      <c r="I3335" s="38" t="s">
        <v>4019</v>
      </c>
      <c r="J3335" s="38" t="s">
        <v>196</v>
      </c>
      <c r="K3335" s="38" t="s">
        <v>63</v>
      </c>
      <c r="L3335" s="41">
        <v>46007.5</v>
      </c>
      <c r="M3335" s="38" t="s">
        <v>123</v>
      </c>
      <c r="N3335" s="41">
        <v>46007.875</v>
      </c>
      <c r="O3335" s="38" t="s">
        <v>123</v>
      </c>
      <c r="P3335" s="38">
        <v>32400.0</v>
      </c>
      <c r="Q3335" s="39"/>
      <c r="R3335" s="39"/>
      <c r="S3335" s="39"/>
      <c r="T3335" s="39"/>
      <c r="U3335" s="39"/>
    </row>
    <row r="3336">
      <c r="A3336" s="40">
        <f t="shared" si="1"/>
        <v>46006</v>
      </c>
      <c r="B3336" s="37" t="str">
        <f t="array" ref="B3336">iferror(xlookup($I3336, 'IMPORT VHC Report'!$E:$E, 'IMPORT VHC Report'!$A:$C), )</f>
        <v/>
      </c>
      <c r="C3336" s="37"/>
      <c r="D3336" s="37"/>
      <c r="E3336" s="38" t="s">
        <v>4025</v>
      </c>
      <c r="F3336" s="38" t="s">
        <v>4017</v>
      </c>
      <c r="G3336" s="38">
        <v>8.904435850895E12</v>
      </c>
      <c r="H3336" s="38" t="s">
        <v>4018</v>
      </c>
      <c r="I3336" s="38" t="s">
        <v>4019</v>
      </c>
      <c r="J3336" s="38" t="s">
        <v>134</v>
      </c>
      <c r="K3336" s="38" t="s">
        <v>126</v>
      </c>
      <c r="L3336" s="41">
        <v>46007.60763888889</v>
      </c>
      <c r="M3336" s="38" t="s">
        <v>123</v>
      </c>
      <c r="N3336" s="41">
        <v>46007.62847222222</v>
      </c>
      <c r="O3336" s="38" t="s">
        <v>123</v>
      </c>
      <c r="P3336" s="38">
        <v>1800.0</v>
      </c>
      <c r="Q3336" s="39"/>
      <c r="R3336" s="39"/>
      <c r="S3336" s="38" t="s">
        <v>4026</v>
      </c>
      <c r="T3336" s="39"/>
      <c r="U3336" s="39"/>
    </row>
    <row r="3337">
      <c r="A3337" s="40">
        <f t="shared" si="1"/>
        <v>46006</v>
      </c>
      <c r="B3337" s="37" t="str">
        <f t="array" ref="B3337">iferror(xlookup($I3337, 'IMPORT VHC Report'!$E:$E, 'IMPORT VHC Report'!$A:$C), )</f>
        <v/>
      </c>
      <c r="C3337" s="37"/>
      <c r="D3337" s="37"/>
      <c r="E3337" s="38" t="s">
        <v>4027</v>
      </c>
      <c r="F3337" s="38" t="s">
        <v>4017</v>
      </c>
      <c r="G3337" s="38">
        <v>8.904435850895E12</v>
      </c>
      <c r="H3337" s="38" t="s">
        <v>4018</v>
      </c>
      <c r="I3337" s="38" t="s">
        <v>4019</v>
      </c>
      <c r="J3337" s="38" t="s">
        <v>132</v>
      </c>
      <c r="K3337" s="38" t="s">
        <v>126</v>
      </c>
      <c r="L3337" s="41">
        <v>46007.802083333336</v>
      </c>
      <c r="M3337" s="38" t="s">
        <v>123</v>
      </c>
      <c r="N3337" s="41">
        <v>46007.84375</v>
      </c>
      <c r="O3337" s="38" t="s">
        <v>123</v>
      </c>
      <c r="P3337" s="38">
        <v>3600.0</v>
      </c>
      <c r="Q3337" s="39"/>
      <c r="R3337" s="39"/>
      <c r="S3337" s="38" t="s">
        <v>4028</v>
      </c>
      <c r="T3337" s="39"/>
      <c r="U3337" s="39"/>
    </row>
    <row r="3338">
      <c r="A3338" s="40">
        <f t="shared" si="1"/>
        <v>46006</v>
      </c>
      <c r="B3338" s="37" t="str">
        <f t="array" ref="B3338">iferror(xlookup($I3338, 'IMPORT VHC Report'!$E:$E, 'IMPORT VHC Report'!$A:$C), )</f>
        <v/>
      </c>
      <c r="C3338" s="37"/>
      <c r="D3338" s="37"/>
      <c r="E3338" s="38" t="s">
        <v>4029</v>
      </c>
      <c r="F3338" s="38" t="s">
        <v>4017</v>
      </c>
      <c r="G3338" s="38">
        <v>8.904435850895E12</v>
      </c>
      <c r="H3338" s="38" t="s">
        <v>4018</v>
      </c>
      <c r="I3338" s="38" t="s">
        <v>4019</v>
      </c>
      <c r="J3338" s="38" t="s">
        <v>125</v>
      </c>
      <c r="K3338" s="38" t="s">
        <v>126</v>
      </c>
      <c r="L3338" s="41">
        <v>46008.5</v>
      </c>
      <c r="M3338" s="38" t="s">
        <v>123</v>
      </c>
      <c r="N3338" s="41">
        <v>46008.510416666664</v>
      </c>
      <c r="O3338" s="38" t="s">
        <v>123</v>
      </c>
      <c r="P3338" s="38">
        <v>900.0</v>
      </c>
      <c r="Q3338" s="39"/>
      <c r="R3338" s="39"/>
      <c r="S3338" s="38" t="s">
        <v>199</v>
      </c>
      <c r="T3338" s="39"/>
      <c r="U3338" s="39"/>
    </row>
    <row r="3339">
      <c r="A3339" s="40">
        <f t="shared" si="1"/>
        <v>46006</v>
      </c>
      <c r="B3339" s="37" t="str">
        <f t="array" ref="B3339">iferror(xlookup($I3339, 'IMPORT VHC Report'!$E:$E, 'IMPORT VHC Report'!$A:$C), )</f>
        <v/>
      </c>
      <c r="C3339" s="37"/>
      <c r="D3339" s="37"/>
      <c r="E3339" s="38" t="s">
        <v>4030</v>
      </c>
      <c r="F3339" s="38" t="s">
        <v>4017</v>
      </c>
      <c r="G3339" s="38">
        <v>8.904435850895E12</v>
      </c>
      <c r="H3339" s="38" t="s">
        <v>4018</v>
      </c>
      <c r="I3339" s="38" t="s">
        <v>4019</v>
      </c>
      <c r="J3339" s="38" t="s">
        <v>196</v>
      </c>
      <c r="K3339" s="38" t="s">
        <v>63</v>
      </c>
      <c r="L3339" s="41">
        <v>46008.5</v>
      </c>
      <c r="M3339" s="38" t="s">
        <v>123</v>
      </c>
      <c r="N3339" s="41">
        <v>46008.875</v>
      </c>
      <c r="O3339" s="38" t="s">
        <v>123</v>
      </c>
      <c r="P3339" s="38">
        <v>32400.0</v>
      </c>
      <c r="Q3339" s="39"/>
      <c r="R3339" s="39"/>
      <c r="S3339" s="39"/>
      <c r="T3339" s="39"/>
      <c r="U3339" s="39"/>
    </row>
    <row r="3340">
      <c r="A3340" s="40">
        <f t="shared" si="1"/>
        <v>46006</v>
      </c>
      <c r="B3340" s="37" t="str">
        <f t="array" ref="B3340">iferror(xlookup($I3340, 'IMPORT VHC Report'!$E:$E, 'IMPORT VHC Report'!$A:$C), )</f>
        <v/>
      </c>
      <c r="C3340" s="37"/>
      <c r="D3340" s="37"/>
      <c r="E3340" s="38" t="s">
        <v>4031</v>
      </c>
      <c r="F3340" s="38" t="s">
        <v>4017</v>
      </c>
      <c r="G3340" s="38">
        <v>8.904435850895E12</v>
      </c>
      <c r="H3340" s="38" t="s">
        <v>4018</v>
      </c>
      <c r="I3340" s="38" t="s">
        <v>4019</v>
      </c>
      <c r="J3340" s="38" t="s">
        <v>4</v>
      </c>
      <c r="K3340" s="38" t="s">
        <v>126</v>
      </c>
      <c r="L3340" s="41">
        <v>46008.5625</v>
      </c>
      <c r="M3340" s="38" t="s">
        <v>123</v>
      </c>
      <c r="N3340" s="41">
        <v>46008.604166666664</v>
      </c>
      <c r="O3340" s="38" t="s">
        <v>123</v>
      </c>
      <c r="P3340" s="38">
        <v>3600.0</v>
      </c>
      <c r="Q3340" s="39"/>
      <c r="R3340" s="39"/>
      <c r="S3340" s="38" t="s">
        <v>858</v>
      </c>
      <c r="T3340" s="39"/>
      <c r="U3340" s="39"/>
    </row>
    <row r="3341">
      <c r="A3341" s="40">
        <f t="shared" si="1"/>
        <v>46006</v>
      </c>
      <c r="B3341" s="37" t="str">
        <f t="array" ref="B3341">iferror(xlookup($I3341, 'IMPORT VHC Report'!$E:$E, 'IMPORT VHC Report'!$A:$C), )</f>
        <v/>
      </c>
      <c r="C3341" s="37"/>
      <c r="D3341" s="37"/>
      <c r="E3341" s="38" t="s">
        <v>4032</v>
      </c>
      <c r="F3341" s="38" t="s">
        <v>4017</v>
      </c>
      <c r="G3341" s="38">
        <v>8.904435850895E12</v>
      </c>
      <c r="H3341" s="38" t="s">
        <v>4018</v>
      </c>
      <c r="I3341" s="38" t="s">
        <v>4019</v>
      </c>
      <c r="J3341" s="38" t="s">
        <v>134</v>
      </c>
      <c r="K3341" s="38" t="s">
        <v>126</v>
      </c>
      <c r="L3341" s="41">
        <v>46008.604166666664</v>
      </c>
      <c r="M3341" s="38" t="s">
        <v>123</v>
      </c>
      <c r="N3341" s="41">
        <v>46008.625</v>
      </c>
      <c r="O3341" s="38" t="s">
        <v>123</v>
      </c>
      <c r="P3341" s="38">
        <v>1800.0</v>
      </c>
      <c r="Q3341" s="39"/>
      <c r="R3341" s="39"/>
      <c r="S3341" s="39"/>
      <c r="T3341" s="39"/>
      <c r="U3341" s="39"/>
    </row>
    <row r="3342">
      <c r="A3342" s="40">
        <f t="shared" si="1"/>
        <v>46006</v>
      </c>
      <c r="B3342" s="37" t="str">
        <f t="array" ref="B3342">iferror(xlookup($I3342, 'IMPORT VHC Report'!$E:$E, 'IMPORT VHC Report'!$A:$C), )</f>
        <v/>
      </c>
      <c r="C3342" s="37"/>
      <c r="D3342" s="37"/>
      <c r="E3342" s="38" t="s">
        <v>4033</v>
      </c>
      <c r="F3342" s="38" t="s">
        <v>4017</v>
      </c>
      <c r="G3342" s="38">
        <v>8.904435850895E12</v>
      </c>
      <c r="H3342" s="38" t="s">
        <v>4018</v>
      </c>
      <c r="I3342" s="38" t="s">
        <v>4019</v>
      </c>
      <c r="J3342" s="38" t="s">
        <v>132</v>
      </c>
      <c r="K3342" s="38" t="s">
        <v>126</v>
      </c>
      <c r="L3342" s="41">
        <v>46008.729166666664</v>
      </c>
      <c r="M3342" s="38" t="s">
        <v>123</v>
      </c>
      <c r="N3342" s="41">
        <v>46008.770833333336</v>
      </c>
      <c r="O3342" s="38" t="s">
        <v>123</v>
      </c>
      <c r="P3342" s="38">
        <v>3600.0</v>
      </c>
      <c r="Q3342" s="39"/>
      <c r="R3342" s="39"/>
      <c r="S3342" s="39"/>
      <c r="T3342" s="39"/>
      <c r="U3342" s="39"/>
    </row>
    <row r="3343">
      <c r="A3343" s="40">
        <f t="shared" si="1"/>
        <v>46006</v>
      </c>
      <c r="B3343" s="37" t="str">
        <f t="array" ref="B3343">iferror(xlookup($I3343, 'IMPORT VHC Report'!$E:$E, 'IMPORT VHC Report'!$A:$C), )</f>
        <v/>
      </c>
      <c r="C3343" s="37"/>
      <c r="D3343" s="37"/>
      <c r="E3343" s="38" t="s">
        <v>4034</v>
      </c>
      <c r="F3343" s="38" t="s">
        <v>4017</v>
      </c>
      <c r="G3343" s="38">
        <v>8.904435850895E12</v>
      </c>
      <c r="H3343" s="38" t="s">
        <v>4018</v>
      </c>
      <c r="I3343" s="38" t="s">
        <v>4019</v>
      </c>
      <c r="J3343" s="38" t="s">
        <v>125</v>
      </c>
      <c r="K3343" s="38" t="s">
        <v>126</v>
      </c>
      <c r="L3343" s="41">
        <v>46011.5</v>
      </c>
      <c r="M3343" s="38" t="s">
        <v>123</v>
      </c>
      <c r="N3343" s="41">
        <v>46011.510416666664</v>
      </c>
      <c r="O3343" s="38" t="s">
        <v>123</v>
      </c>
      <c r="P3343" s="38">
        <v>900.0</v>
      </c>
      <c r="Q3343" s="39"/>
      <c r="R3343" s="39"/>
      <c r="S3343" s="38" t="s">
        <v>199</v>
      </c>
      <c r="T3343" s="39"/>
      <c r="U3343" s="39"/>
    </row>
    <row r="3344">
      <c r="A3344" s="40">
        <f t="shared" si="1"/>
        <v>46006</v>
      </c>
      <c r="B3344" s="37" t="str">
        <f t="array" ref="B3344">iferror(xlookup($I3344, 'IMPORT VHC Report'!$E:$E, 'IMPORT VHC Report'!$A:$C), )</f>
        <v/>
      </c>
      <c r="C3344" s="37"/>
      <c r="D3344" s="37"/>
      <c r="E3344" s="38" t="s">
        <v>4035</v>
      </c>
      <c r="F3344" s="38" t="s">
        <v>4017</v>
      </c>
      <c r="G3344" s="38">
        <v>8.904435850895E12</v>
      </c>
      <c r="H3344" s="38" t="s">
        <v>4018</v>
      </c>
      <c r="I3344" s="38" t="s">
        <v>4019</v>
      </c>
      <c r="J3344" s="38" t="s">
        <v>196</v>
      </c>
      <c r="K3344" s="38" t="s">
        <v>63</v>
      </c>
      <c r="L3344" s="41">
        <v>46011.5</v>
      </c>
      <c r="M3344" s="38" t="s">
        <v>123</v>
      </c>
      <c r="N3344" s="41">
        <v>46011.875</v>
      </c>
      <c r="O3344" s="38" t="s">
        <v>123</v>
      </c>
      <c r="P3344" s="38">
        <v>32400.0</v>
      </c>
      <c r="Q3344" s="39"/>
      <c r="R3344" s="39"/>
      <c r="S3344" s="39"/>
      <c r="T3344" s="39"/>
      <c r="U3344" s="39"/>
    </row>
    <row r="3345">
      <c r="A3345" s="40">
        <f t="shared" si="1"/>
        <v>46006</v>
      </c>
      <c r="B3345" s="37" t="str">
        <f t="array" ref="B3345">iferror(xlookup($I3345, 'IMPORT VHC Report'!$E:$E, 'IMPORT VHC Report'!$A:$C), )</f>
        <v/>
      </c>
      <c r="C3345" s="37"/>
      <c r="D3345" s="37"/>
      <c r="E3345" s="38" t="s">
        <v>4036</v>
      </c>
      <c r="F3345" s="38" t="s">
        <v>4017</v>
      </c>
      <c r="G3345" s="38">
        <v>8.904435850895E12</v>
      </c>
      <c r="H3345" s="38" t="s">
        <v>4018</v>
      </c>
      <c r="I3345" s="38" t="s">
        <v>4019</v>
      </c>
      <c r="J3345" s="38" t="s">
        <v>134</v>
      </c>
      <c r="K3345" s="38" t="s">
        <v>126</v>
      </c>
      <c r="L3345" s="41">
        <v>46011.604166666664</v>
      </c>
      <c r="M3345" s="38" t="s">
        <v>123</v>
      </c>
      <c r="N3345" s="41">
        <v>46011.625</v>
      </c>
      <c r="O3345" s="38" t="s">
        <v>123</v>
      </c>
      <c r="P3345" s="38">
        <v>1800.0</v>
      </c>
      <c r="Q3345" s="39"/>
      <c r="R3345" s="39"/>
      <c r="S3345" s="39"/>
      <c r="T3345" s="39"/>
      <c r="U3345" s="39"/>
    </row>
    <row r="3346">
      <c r="A3346" s="40">
        <f t="shared" si="1"/>
        <v>46006</v>
      </c>
      <c r="B3346" s="37" t="str">
        <f t="array" ref="B3346">iferror(xlookup($I3346, 'IMPORT VHC Report'!$E:$E, 'IMPORT VHC Report'!$A:$C), )</f>
        <v/>
      </c>
      <c r="C3346" s="37"/>
      <c r="D3346" s="37"/>
      <c r="E3346" s="38" t="s">
        <v>4037</v>
      </c>
      <c r="F3346" s="38" t="s">
        <v>4017</v>
      </c>
      <c r="G3346" s="38">
        <v>8.904435850895E12</v>
      </c>
      <c r="H3346" s="38" t="s">
        <v>4018</v>
      </c>
      <c r="I3346" s="38" t="s">
        <v>4019</v>
      </c>
      <c r="J3346" s="38" t="s">
        <v>125</v>
      </c>
      <c r="K3346" s="38" t="s">
        <v>126</v>
      </c>
      <c r="L3346" s="41">
        <v>46011.65625</v>
      </c>
      <c r="M3346" s="38" t="s">
        <v>123</v>
      </c>
      <c r="N3346" s="41">
        <v>46011.697916666664</v>
      </c>
      <c r="O3346" s="38" t="s">
        <v>123</v>
      </c>
      <c r="P3346" s="38">
        <v>3600.0</v>
      </c>
      <c r="Q3346" s="39"/>
      <c r="R3346" s="39"/>
      <c r="S3346" s="38" t="s">
        <v>4038</v>
      </c>
      <c r="T3346" s="39"/>
      <c r="U3346" s="39"/>
    </row>
    <row r="3347">
      <c r="A3347" s="40">
        <f t="shared" si="1"/>
        <v>46006</v>
      </c>
      <c r="B3347" s="37" t="str">
        <f t="array" ref="B3347">iferror(xlookup($I3347, 'IMPORT VHC Report'!$E:$E, 'IMPORT VHC Report'!$A:$C), )</f>
        <v/>
      </c>
      <c r="C3347" s="37"/>
      <c r="D3347" s="37"/>
      <c r="E3347" s="38" t="s">
        <v>4039</v>
      </c>
      <c r="F3347" s="38" t="s">
        <v>4017</v>
      </c>
      <c r="G3347" s="38">
        <v>8.904435850895E12</v>
      </c>
      <c r="H3347" s="38" t="s">
        <v>4018</v>
      </c>
      <c r="I3347" s="38" t="s">
        <v>4019</v>
      </c>
      <c r="J3347" s="38" t="s">
        <v>132</v>
      </c>
      <c r="K3347" s="38" t="s">
        <v>126</v>
      </c>
      <c r="L3347" s="41">
        <v>46011.770833333336</v>
      </c>
      <c r="M3347" s="38" t="s">
        <v>123</v>
      </c>
      <c r="N3347" s="41">
        <v>46011.8125</v>
      </c>
      <c r="O3347" s="38" t="s">
        <v>123</v>
      </c>
      <c r="P3347" s="38">
        <v>3600.0</v>
      </c>
      <c r="Q3347" s="39"/>
      <c r="R3347" s="39"/>
      <c r="S3347" s="39"/>
      <c r="T3347" s="39"/>
      <c r="U3347" s="39"/>
    </row>
    <row r="3348">
      <c r="A3348" s="40">
        <f t="shared" si="1"/>
        <v>46006</v>
      </c>
      <c r="B3348" s="37" t="str">
        <f t="array" ref="B3348">iferror(xlookup($I3348, 'IMPORT VHC Report'!$E:$E, 'IMPORT VHC Report'!$A:$C), )</f>
        <v/>
      </c>
      <c r="C3348" s="37"/>
      <c r="D3348" s="37"/>
      <c r="E3348" s="38" t="s">
        <v>4040</v>
      </c>
      <c r="F3348" s="38" t="s">
        <v>4017</v>
      </c>
      <c r="G3348" s="38">
        <v>8.904435850895E12</v>
      </c>
      <c r="H3348" s="38" t="s">
        <v>4018</v>
      </c>
      <c r="I3348" s="38" t="s">
        <v>4019</v>
      </c>
      <c r="J3348" s="38" t="s">
        <v>125</v>
      </c>
      <c r="K3348" s="38" t="s">
        <v>126</v>
      </c>
      <c r="L3348" s="41">
        <v>46011.8125</v>
      </c>
      <c r="M3348" s="38" t="s">
        <v>123</v>
      </c>
      <c r="N3348" s="41">
        <v>46011.833333333336</v>
      </c>
      <c r="O3348" s="38" t="s">
        <v>123</v>
      </c>
      <c r="P3348" s="38">
        <v>1800.0</v>
      </c>
      <c r="Q3348" s="39"/>
      <c r="R3348" s="39"/>
      <c r="S3348" s="38" t="s">
        <v>4041</v>
      </c>
      <c r="T3348" s="39"/>
      <c r="U3348" s="39"/>
    </row>
    <row r="3349">
      <c r="A3349" s="40">
        <f t="shared" si="1"/>
        <v>46006</v>
      </c>
      <c r="B3349" s="37" t="str">
        <f t="array" ref="B3349">iferror(xlookup($I3349, 'IMPORT VHC Report'!$E:$E, 'IMPORT VHC Report'!$A:$C), )</f>
        <v/>
      </c>
      <c r="C3349" s="37"/>
      <c r="D3349" s="37"/>
      <c r="E3349" s="38" t="s">
        <v>4042</v>
      </c>
      <c r="F3349" s="38" t="s">
        <v>4017</v>
      </c>
      <c r="G3349" s="38">
        <v>8.904435850895E12</v>
      </c>
      <c r="H3349" s="38" t="s">
        <v>4018</v>
      </c>
      <c r="I3349" s="38" t="s">
        <v>4019</v>
      </c>
      <c r="J3349" s="38" t="s">
        <v>125</v>
      </c>
      <c r="K3349" s="38" t="s">
        <v>126</v>
      </c>
      <c r="L3349" s="41">
        <v>46012.5</v>
      </c>
      <c r="M3349" s="38" t="s">
        <v>123</v>
      </c>
      <c r="N3349" s="41">
        <v>46012.510416666664</v>
      </c>
      <c r="O3349" s="38" t="s">
        <v>123</v>
      </c>
      <c r="P3349" s="38">
        <v>900.0</v>
      </c>
      <c r="Q3349" s="39"/>
      <c r="R3349" s="39"/>
      <c r="S3349" s="38" t="s">
        <v>199</v>
      </c>
      <c r="T3349" s="39"/>
      <c r="U3349" s="39"/>
    </row>
    <row r="3350">
      <c r="A3350" s="40">
        <f t="shared" si="1"/>
        <v>46006</v>
      </c>
      <c r="B3350" s="37" t="str">
        <f t="array" ref="B3350">iferror(xlookup($I3350, 'IMPORT VHC Report'!$E:$E, 'IMPORT VHC Report'!$A:$C), )</f>
        <v/>
      </c>
      <c r="C3350" s="37"/>
      <c r="D3350" s="37"/>
      <c r="E3350" s="38" t="s">
        <v>4043</v>
      </c>
      <c r="F3350" s="38" t="s">
        <v>4017</v>
      </c>
      <c r="G3350" s="38">
        <v>8.904435850895E12</v>
      </c>
      <c r="H3350" s="38" t="s">
        <v>4018</v>
      </c>
      <c r="I3350" s="38" t="s">
        <v>4019</v>
      </c>
      <c r="J3350" s="38" t="s">
        <v>196</v>
      </c>
      <c r="K3350" s="38" t="s">
        <v>63</v>
      </c>
      <c r="L3350" s="41">
        <v>46012.5</v>
      </c>
      <c r="M3350" s="38" t="s">
        <v>123</v>
      </c>
      <c r="N3350" s="41">
        <v>46012.875</v>
      </c>
      <c r="O3350" s="38" t="s">
        <v>123</v>
      </c>
      <c r="P3350" s="38">
        <v>32400.0</v>
      </c>
      <c r="Q3350" s="39"/>
      <c r="R3350" s="39"/>
      <c r="S3350" s="39"/>
      <c r="T3350" s="39"/>
      <c r="U3350" s="39"/>
    </row>
    <row r="3351">
      <c r="A3351" s="40">
        <f t="shared" si="1"/>
        <v>46006</v>
      </c>
      <c r="B3351" s="37" t="str">
        <f t="array" ref="B3351">iferror(xlookup($I3351, 'IMPORT VHC Report'!$E:$E, 'IMPORT VHC Report'!$A:$C), )</f>
        <v/>
      </c>
      <c r="C3351" s="37"/>
      <c r="D3351" s="37"/>
      <c r="E3351" s="38" t="s">
        <v>4044</v>
      </c>
      <c r="F3351" s="38" t="s">
        <v>4017</v>
      </c>
      <c r="G3351" s="38">
        <v>8.904435850895E12</v>
      </c>
      <c r="H3351" s="38" t="s">
        <v>4018</v>
      </c>
      <c r="I3351" s="38" t="s">
        <v>4019</v>
      </c>
      <c r="J3351" s="38" t="s">
        <v>134</v>
      </c>
      <c r="K3351" s="38" t="s">
        <v>126</v>
      </c>
      <c r="L3351" s="41">
        <v>46012.604166666664</v>
      </c>
      <c r="M3351" s="38" t="s">
        <v>123</v>
      </c>
      <c r="N3351" s="41">
        <v>46012.625</v>
      </c>
      <c r="O3351" s="38" t="s">
        <v>123</v>
      </c>
      <c r="P3351" s="38">
        <v>1800.0</v>
      </c>
      <c r="Q3351" s="39"/>
      <c r="R3351" s="39"/>
      <c r="S3351" s="39"/>
      <c r="T3351" s="39"/>
      <c r="U3351" s="39"/>
    </row>
    <row r="3352">
      <c r="A3352" s="40">
        <f t="shared" si="1"/>
        <v>46006</v>
      </c>
      <c r="B3352" s="37" t="str">
        <f t="array" ref="B3352">iferror(xlookup($I3352, 'IMPORT VHC Report'!$E:$E, 'IMPORT VHC Report'!$A:$C), )</f>
        <v/>
      </c>
      <c r="C3352" s="37"/>
      <c r="D3352" s="37"/>
      <c r="E3352" s="38" t="s">
        <v>4045</v>
      </c>
      <c r="F3352" s="38" t="s">
        <v>4017</v>
      </c>
      <c r="G3352" s="38">
        <v>8.904435850895E12</v>
      </c>
      <c r="H3352" s="38" t="s">
        <v>4018</v>
      </c>
      <c r="I3352" s="38" t="s">
        <v>4019</v>
      </c>
      <c r="J3352" s="38" t="s">
        <v>132</v>
      </c>
      <c r="K3352" s="38" t="s">
        <v>126</v>
      </c>
      <c r="L3352" s="41">
        <v>46012.760416666664</v>
      </c>
      <c r="M3352" s="38" t="s">
        <v>123</v>
      </c>
      <c r="N3352" s="41">
        <v>46012.802083333336</v>
      </c>
      <c r="O3352" s="38" t="s">
        <v>123</v>
      </c>
      <c r="P3352" s="38">
        <v>3600.0</v>
      </c>
      <c r="Q3352" s="39"/>
      <c r="R3352" s="39"/>
      <c r="S3352" s="39"/>
      <c r="T3352" s="39"/>
      <c r="U3352" s="39"/>
    </row>
    <row r="3353">
      <c r="A3353" s="40">
        <f t="shared" si="1"/>
        <v>46006</v>
      </c>
      <c r="B3353" s="37" t="str">
        <f t="array" ref="B3353">iferror(xlookup($I3353, 'IMPORT VHC Report'!$E:$E, 'IMPORT VHC Report'!$A:$C), )</f>
        <v/>
      </c>
      <c r="C3353" s="37"/>
      <c r="D3353" s="37"/>
      <c r="E3353" s="38" t="s">
        <v>4046</v>
      </c>
      <c r="F3353" s="38" t="s">
        <v>4047</v>
      </c>
      <c r="G3353" s="38">
        <v>5.901988081807E12</v>
      </c>
      <c r="H3353" s="38" t="s">
        <v>4048</v>
      </c>
      <c r="I3353" s="38" t="s">
        <v>4049</v>
      </c>
      <c r="J3353" s="38" t="s">
        <v>330</v>
      </c>
      <c r="K3353" s="38" t="s">
        <v>126</v>
      </c>
      <c r="L3353" s="41">
        <v>46006.5</v>
      </c>
      <c r="M3353" s="38" t="s">
        <v>123</v>
      </c>
      <c r="N3353" s="41">
        <v>46006.506944444445</v>
      </c>
      <c r="O3353" s="38" t="s">
        <v>123</v>
      </c>
      <c r="P3353" s="38">
        <v>600.0</v>
      </c>
      <c r="Q3353" s="39"/>
      <c r="R3353" s="39"/>
      <c r="S3353" s="39"/>
      <c r="T3353" s="39"/>
      <c r="U3353" s="39"/>
    </row>
    <row r="3354">
      <c r="A3354" s="40">
        <f t="shared" si="1"/>
        <v>46006</v>
      </c>
      <c r="B3354" s="37" t="str">
        <f t="array" ref="B3354">iferror(xlookup($I3354, 'IMPORT VHC Report'!$E:$E, 'IMPORT VHC Report'!$A:$C), )</f>
        <v/>
      </c>
      <c r="C3354" s="37"/>
      <c r="D3354" s="37"/>
      <c r="E3354" s="38" t="s">
        <v>4050</v>
      </c>
      <c r="F3354" s="38" t="s">
        <v>4047</v>
      </c>
      <c r="G3354" s="38">
        <v>5.901988081807E12</v>
      </c>
      <c r="H3354" s="38" t="s">
        <v>4048</v>
      </c>
      <c r="I3354" s="38" t="s">
        <v>4049</v>
      </c>
      <c r="J3354" s="38" t="s">
        <v>332</v>
      </c>
      <c r="K3354" s="38" t="s">
        <v>63</v>
      </c>
      <c r="L3354" s="41">
        <v>46006.5</v>
      </c>
      <c r="M3354" s="38" t="s">
        <v>123</v>
      </c>
      <c r="N3354" s="41">
        <v>46006.875</v>
      </c>
      <c r="O3354" s="38" t="s">
        <v>123</v>
      </c>
      <c r="P3354" s="38">
        <v>32400.0</v>
      </c>
      <c r="Q3354" s="39"/>
      <c r="R3354" s="39"/>
      <c r="S3354" s="39"/>
      <c r="T3354" s="39"/>
      <c r="U3354" s="39"/>
    </row>
    <row r="3355">
      <c r="A3355" s="40">
        <f t="shared" si="1"/>
        <v>46006</v>
      </c>
      <c r="B3355" s="37" t="str">
        <f t="array" ref="B3355">iferror(xlookup($I3355, 'IMPORT VHC Report'!$E:$E, 'IMPORT VHC Report'!$A:$C), )</f>
        <v/>
      </c>
      <c r="C3355" s="37"/>
      <c r="D3355" s="37"/>
      <c r="E3355" s="38" t="s">
        <v>4051</v>
      </c>
      <c r="F3355" s="38" t="s">
        <v>4047</v>
      </c>
      <c r="G3355" s="38">
        <v>5.901988081807E12</v>
      </c>
      <c r="H3355" s="38" t="s">
        <v>4048</v>
      </c>
      <c r="I3355" s="38" t="s">
        <v>4049</v>
      </c>
      <c r="J3355" s="38" t="s">
        <v>178</v>
      </c>
      <c r="K3355" s="38" t="s">
        <v>153</v>
      </c>
      <c r="L3355" s="41">
        <v>46006.5</v>
      </c>
      <c r="M3355" s="38" t="s">
        <v>123</v>
      </c>
      <c r="N3355" s="41">
        <v>46006.875</v>
      </c>
      <c r="O3355" s="38" t="s">
        <v>123</v>
      </c>
      <c r="P3355" s="38">
        <v>32400.0</v>
      </c>
      <c r="Q3355" s="38">
        <v>32400.0</v>
      </c>
      <c r="R3355" s="39"/>
      <c r="S3355" s="39"/>
      <c r="T3355" s="39"/>
      <c r="U3355" s="39"/>
    </row>
    <row r="3356">
      <c r="A3356" s="40">
        <f t="shared" si="1"/>
        <v>46006</v>
      </c>
      <c r="B3356" s="37" t="str">
        <f t="array" ref="B3356">iferror(xlookup($I3356, 'IMPORT VHC Report'!$E:$E, 'IMPORT VHC Report'!$A:$C), )</f>
        <v/>
      </c>
      <c r="C3356" s="37"/>
      <c r="D3356" s="37"/>
      <c r="E3356" s="38" t="s">
        <v>4052</v>
      </c>
      <c r="F3356" s="38" t="s">
        <v>4047</v>
      </c>
      <c r="G3356" s="38">
        <v>5.901988081807E12</v>
      </c>
      <c r="H3356" s="38" t="s">
        <v>4048</v>
      </c>
      <c r="I3356" s="38" t="s">
        <v>4049</v>
      </c>
      <c r="J3356" s="38" t="s">
        <v>132</v>
      </c>
      <c r="K3356" s="38" t="s">
        <v>126</v>
      </c>
      <c r="L3356" s="41">
        <v>46006.635416666664</v>
      </c>
      <c r="M3356" s="38" t="s">
        <v>123</v>
      </c>
      <c r="N3356" s="41">
        <v>46006.677083333336</v>
      </c>
      <c r="O3356" s="38" t="s">
        <v>123</v>
      </c>
      <c r="P3356" s="38">
        <v>3600.0</v>
      </c>
      <c r="Q3356" s="39"/>
      <c r="R3356" s="39"/>
      <c r="S3356" s="39"/>
      <c r="T3356" s="39"/>
      <c r="U3356" s="39"/>
    </row>
    <row r="3357">
      <c r="A3357" s="40">
        <f t="shared" si="1"/>
        <v>46006</v>
      </c>
      <c r="B3357" s="37" t="str">
        <f t="array" ref="B3357">iferror(xlookup($I3357, 'IMPORT VHC Report'!$E:$E, 'IMPORT VHC Report'!$A:$C), )</f>
        <v/>
      </c>
      <c r="C3357" s="37"/>
      <c r="D3357" s="37"/>
      <c r="E3357" s="38" t="s">
        <v>4053</v>
      </c>
      <c r="F3357" s="38" t="s">
        <v>4047</v>
      </c>
      <c r="G3357" s="38">
        <v>5.901988081807E12</v>
      </c>
      <c r="H3357" s="38" t="s">
        <v>4048</v>
      </c>
      <c r="I3357" s="38" t="s">
        <v>4049</v>
      </c>
      <c r="J3357" s="38" t="s">
        <v>134</v>
      </c>
      <c r="K3357" s="38" t="s">
        <v>126</v>
      </c>
      <c r="L3357" s="41">
        <v>46006.760416666664</v>
      </c>
      <c r="M3357" s="38" t="s">
        <v>123</v>
      </c>
      <c r="N3357" s="41">
        <v>46006.78125</v>
      </c>
      <c r="O3357" s="38" t="s">
        <v>123</v>
      </c>
      <c r="P3357" s="38">
        <v>1800.0</v>
      </c>
      <c r="Q3357" s="39"/>
      <c r="R3357" s="39"/>
      <c r="S3357" s="39"/>
      <c r="T3357" s="39"/>
      <c r="U3357" s="39"/>
    </row>
    <row r="3358">
      <c r="A3358" s="40">
        <f t="shared" si="1"/>
        <v>46006</v>
      </c>
      <c r="B3358" s="37" t="str">
        <f t="array" ref="B3358">iferror(xlookup($I3358, 'IMPORT VHC Report'!$E:$E, 'IMPORT VHC Report'!$A:$C), )</f>
        <v/>
      </c>
      <c r="C3358" s="37"/>
      <c r="D3358" s="37"/>
      <c r="E3358" s="38" t="s">
        <v>4054</v>
      </c>
      <c r="F3358" s="38" t="s">
        <v>4047</v>
      </c>
      <c r="G3358" s="38">
        <v>5.901988081807E12</v>
      </c>
      <c r="H3358" s="38" t="s">
        <v>4048</v>
      </c>
      <c r="I3358" s="38" t="s">
        <v>4049</v>
      </c>
      <c r="J3358" s="38" t="s">
        <v>330</v>
      </c>
      <c r="K3358" s="38" t="s">
        <v>126</v>
      </c>
      <c r="L3358" s="41">
        <v>46007.5</v>
      </c>
      <c r="M3358" s="38" t="s">
        <v>123</v>
      </c>
      <c r="N3358" s="41">
        <v>46007.506944444445</v>
      </c>
      <c r="O3358" s="38" t="s">
        <v>123</v>
      </c>
      <c r="P3358" s="38">
        <v>600.0</v>
      </c>
      <c r="Q3358" s="39"/>
      <c r="R3358" s="39"/>
      <c r="S3358" s="39"/>
      <c r="T3358" s="39"/>
      <c r="U3358" s="39"/>
    </row>
    <row r="3359">
      <c r="A3359" s="40">
        <f t="shared" si="1"/>
        <v>46006</v>
      </c>
      <c r="B3359" s="37" t="str">
        <f t="array" ref="B3359">iferror(xlookup($I3359, 'IMPORT VHC Report'!$E:$E, 'IMPORT VHC Report'!$A:$C), )</f>
        <v/>
      </c>
      <c r="C3359" s="37"/>
      <c r="D3359" s="37"/>
      <c r="E3359" s="38" t="s">
        <v>4055</v>
      </c>
      <c r="F3359" s="38" t="s">
        <v>4047</v>
      </c>
      <c r="G3359" s="38">
        <v>5.901988081807E12</v>
      </c>
      <c r="H3359" s="38" t="s">
        <v>4048</v>
      </c>
      <c r="I3359" s="38" t="s">
        <v>4049</v>
      </c>
      <c r="J3359" s="38" t="s">
        <v>332</v>
      </c>
      <c r="K3359" s="38" t="s">
        <v>63</v>
      </c>
      <c r="L3359" s="41">
        <v>46007.5</v>
      </c>
      <c r="M3359" s="38" t="s">
        <v>123</v>
      </c>
      <c r="N3359" s="41">
        <v>46007.875</v>
      </c>
      <c r="O3359" s="38" t="s">
        <v>123</v>
      </c>
      <c r="P3359" s="38">
        <v>32400.0</v>
      </c>
      <c r="Q3359" s="39"/>
      <c r="R3359" s="39"/>
      <c r="S3359" s="39"/>
      <c r="T3359" s="39"/>
      <c r="U3359" s="39"/>
    </row>
    <row r="3360">
      <c r="A3360" s="40">
        <f t="shared" si="1"/>
        <v>46006</v>
      </c>
      <c r="B3360" s="37" t="str">
        <f t="array" ref="B3360">iferror(xlookup($I3360, 'IMPORT VHC Report'!$E:$E, 'IMPORT VHC Report'!$A:$C), )</f>
        <v/>
      </c>
      <c r="C3360" s="37"/>
      <c r="D3360" s="37"/>
      <c r="E3360" s="38" t="s">
        <v>4056</v>
      </c>
      <c r="F3360" s="38" t="s">
        <v>4047</v>
      </c>
      <c r="G3360" s="38">
        <v>5.901988081807E12</v>
      </c>
      <c r="H3360" s="38" t="s">
        <v>4048</v>
      </c>
      <c r="I3360" s="38" t="s">
        <v>4049</v>
      </c>
      <c r="J3360" s="38" t="s">
        <v>178</v>
      </c>
      <c r="K3360" s="38" t="s">
        <v>153</v>
      </c>
      <c r="L3360" s="41">
        <v>46007.5</v>
      </c>
      <c r="M3360" s="38" t="s">
        <v>123</v>
      </c>
      <c r="N3360" s="41">
        <v>46007.875</v>
      </c>
      <c r="O3360" s="38" t="s">
        <v>123</v>
      </c>
      <c r="P3360" s="38">
        <v>32400.0</v>
      </c>
      <c r="Q3360" s="38">
        <v>32400.0</v>
      </c>
      <c r="R3360" s="39"/>
      <c r="S3360" s="39"/>
      <c r="T3360" s="39"/>
      <c r="U3360" s="39"/>
    </row>
    <row r="3361">
      <c r="A3361" s="40">
        <f t="shared" si="1"/>
        <v>46006</v>
      </c>
      <c r="B3361" s="37" t="str">
        <f t="array" ref="B3361">iferror(xlookup($I3361, 'IMPORT VHC Report'!$E:$E, 'IMPORT VHC Report'!$A:$C), )</f>
        <v/>
      </c>
      <c r="C3361" s="37"/>
      <c r="D3361" s="37"/>
      <c r="E3361" s="38" t="s">
        <v>4057</v>
      </c>
      <c r="F3361" s="38" t="s">
        <v>4047</v>
      </c>
      <c r="G3361" s="38">
        <v>5.901988081807E12</v>
      </c>
      <c r="H3361" s="38" t="s">
        <v>4048</v>
      </c>
      <c r="I3361" s="38" t="s">
        <v>4049</v>
      </c>
      <c r="J3361" s="38" t="s">
        <v>132</v>
      </c>
      <c r="K3361" s="38" t="s">
        <v>126</v>
      </c>
      <c r="L3361" s="41">
        <v>46007.604166666664</v>
      </c>
      <c r="M3361" s="38" t="s">
        <v>123</v>
      </c>
      <c r="N3361" s="41">
        <v>46007.645833333336</v>
      </c>
      <c r="O3361" s="38" t="s">
        <v>123</v>
      </c>
      <c r="P3361" s="38">
        <v>3600.0</v>
      </c>
      <c r="Q3361" s="39"/>
      <c r="R3361" s="39"/>
      <c r="S3361" s="39"/>
      <c r="T3361" s="39"/>
      <c r="U3361" s="39"/>
    </row>
    <row r="3362">
      <c r="A3362" s="40">
        <f t="shared" si="1"/>
        <v>46006</v>
      </c>
      <c r="B3362" s="37" t="str">
        <f t="array" ref="B3362">iferror(xlookup($I3362, 'IMPORT VHC Report'!$E:$E, 'IMPORT VHC Report'!$A:$C), )</f>
        <v/>
      </c>
      <c r="C3362" s="37"/>
      <c r="D3362" s="37"/>
      <c r="E3362" s="38" t="s">
        <v>4058</v>
      </c>
      <c r="F3362" s="38" t="s">
        <v>4047</v>
      </c>
      <c r="G3362" s="38">
        <v>5.901988081807E12</v>
      </c>
      <c r="H3362" s="38" t="s">
        <v>4048</v>
      </c>
      <c r="I3362" s="38" t="s">
        <v>4049</v>
      </c>
      <c r="J3362" s="38" t="s">
        <v>134</v>
      </c>
      <c r="K3362" s="38" t="s">
        <v>126</v>
      </c>
      <c r="L3362" s="41">
        <v>46007.770833333336</v>
      </c>
      <c r="M3362" s="38" t="s">
        <v>123</v>
      </c>
      <c r="N3362" s="41">
        <v>46007.791666666664</v>
      </c>
      <c r="O3362" s="38" t="s">
        <v>123</v>
      </c>
      <c r="P3362" s="38">
        <v>1800.0</v>
      </c>
      <c r="Q3362" s="39"/>
      <c r="R3362" s="39"/>
      <c r="S3362" s="39"/>
      <c r="T3362" s="39"/>
      <c r="U3362" s="39"/>
    </row>
    <row r="3363">
      <c r="A3363" s="40">
        <f t="shared" si="1"/>
        <v>46006</v>
      </c>
      <c r="B3363" s="37" t="str">
        <f t="array" ref="B3363">iferror(xlookup($I3363, 'IMPORT VHC Report'!$E:$E, 'IMPORT VHC Report'!$A:$C), )</f>
        <v/>
      </c>
      <c r="C3363" s="37"/>
      <c r="D3363" s="37"/>
      <c r="E3363" s="38" t="s">
        <v>4059</v>
      </c>
      <c r="F3363" s="38" t="s">
        <v>4047</v>
      </c>
      <c r="G3363" s="38">
        <v>5.901988081807E12</v>
      </c>
      <c r="H3363" s="38" t="s">
        <v>4048</v>
      </c>
      <c r="I3363" s="38" t="s">
        <v>4049</v>
      </c>
      <c r="J3363" s="38" t="s">
        <v>330</v>
      </c>
      <c r="K3363" s="38" t="s">
        <v>126</v>
      </c>
      <c r="L3363" s="41">
        <v>46010.5</v>
      </c>
      <c r="M3363" s="38" t="s">
        <v>123</v>
      </c>
      <c r="N3363" s="41">
        <v>46010.506944444445</v>
      </c>
      <c r="O3363" s="38" t="s">
        <v>123</v>
      </c>
      <c r="P3363" s="38">
        <v>600.0</v>
      </c>
      <c r="Q3363" s="39"/>
      <c r="R3363" s="39"/>
      <c r="S3363" s="39"/>
      <c r="T3363" s="39"/>
      <c r="U3363" s="39"/>
    </row>
    <row r="3364">
      <c r="A3364" s="40">
        <f t="shared" si="1"/>
        <v>46006</v>
      </c>
      <c r="B3364" s="37" t="str">
        <f t="array" ref="B3364">iferror(xlookup($I3364, 'IMPORT VHC Report'!$E:$E, 'IMPORT VHC Report'!$A:$C), )</f>
        <v/>
      </c>
      <c r="C3364" s="37"/>
      <c r="D3364" s="37"/>
      <c r="E3364" s="38" t="s">
        <v>4060</v>
      </c>
      <c r="F3364" s="38" t="s">
        <v>4047</v>
      </c>
      <c r="G3364" s="38">
        <v>5.901988081807E12</v>
      </c>
      <c r="H3364" s="38" t="s">
        <v>4048</v>
      </c>
      <c r="I3364" s="38" t="s">
        <v>4049</v>
      </c>
      <c r="J3364" s="38" t="s">
        <v>332</v>
      </c>
      <c r="K3364" s="38" t="s">
        <v>63</v>
      </c>
      <c r="L3364" s="41">
        <v>46010.5</v>
      </c>
      <c r="M3364" s="38" t="s">
        <v>123</v>
      </c>
      <c r="N3364" s="41">
        <v>46010.875</v>
      </c>
      <c r="O3364" s="38" t="s">
        <v>123</v>
      </c>
      <c r="P3364" s="38">
        <v>32400.0</v>
      </c>
      <c r="Q3364" s="39"/>
      <c r="R3364" s="39"/>
      <c r="S3364" s="39"/>
      <c r="T3364" s="39"/>
      <c r="U3364" s="39"/>
    </row>
    <row r="3365">
      <c r="A3365" s="40">
        <f t="shared" si="1"/>
        <v>46006</v>
      </c>
      <c r="B3365" s="37" t="str">
        <f t="array" ref="B3365">iferror(xlookup($I3365, 'IMPORT VHC Report'!$E:$E, 'IMPORT VHC Report'!$A:$C), )</f>
        <v/>
      </c>
      <c r="C3365" s="37"/>
      <c r="D3365" s="37"/>
      <c r="E3365" s="38" t="s">
        <v>4061</v>
      </c>
      <c r="F3365" s="38" t="s">
        <v>4047</v>
      </c>
      <c r="G3365" s="38">
        <v>5.901988081807E12</v>
      </c>
      <c r="H3365" s="38" t="s">
        <v>4048</v>
      </c>
      <c r="I3365" s="38" t="s">
        <v>4049</v>
      </c>
      <c r="J3365" s="38" t="s">
        <v>125</v>
      </c>
      <c r="K3365" s="38" t="s">
        <v>126</v>
      </c>
      <c r="L3365" s="41">
        <v>46010.595138888886</v>
      </c>
      <c r="M3365" s="38" t="s">
        <v>123</v>
      </c>
      <c r="N3365" s="41">
        <v>46010.604166666664</v>
      </c>
      <c r="O3365" s="38" t="s">
        <v>123</v>
      </c>
      <c r="P3365" s="38">
        <v>780.0</v>
      </c>
      <c r="Q3365" s="39"/>
      <c r="R3365" s="39"/>
      <c r="S3365" s="38" t="s">
        <v>4062</v>
      </c>
      <c r="T3365" s="39"/>
      <c r="U3365" s="39"/>
    </row>
    <row r="3366">
      <c r="A3366" s="40">
        <f t="shared" si="1"/>
        <v>46006</v>
      </c>
      <c r="B3366" s="37" t="str">
        <f t="array" ref="B3366">iferror(xlookup($I3366, 'IMPORT VHC Report'!$E:$E, 'IMPORT VHC Report'!$A:$C), )</f>
        <v/>
      </c>
      <c r="C3366" s="37"/>
      <c r="D3366" s="37"/>
      <c r="E3366" s="38" t="s">
        <v>4063</v>
      </c>
      <c r="F3366" s="38" t="s">
        <v>4047</v>
      </c>
      <c r="G3366" s="38">
        <v>5.901988081807E12</v>
      </c>
      <c r="H3366" s="38" t="s">
        <v>4048</v>
      </c>
      <c r="I3366" s="38" t="s">
        <v>4049</v>
      </c>
      <c r="J3366" s="38" t="s">
        <v>134</v>
      </c>
      <c r="K3366" s="38" t="s">
        <v>126</v>
      </c>
      <c r="L3366" s="41">
        <v>46010.604166666664</v>
      </c>
      <c r="M3366" s="38" t="s">
        <v>123</v>
      </c>
      <c r="N3366" s="41">
        <v>46010.625</v>
      </c>
      <c r="O3366" s="38" t="s">
        <v>123</v>
      </c>
      <c r="P3366" s="38">
        <v>1800.0</v>
      </c>
      <c r="Q3366" s="39"/>
      <c r="R3366" s="39"/>
      <c r="S3366" s="39"/>
      <c r="T3366" s="39"/>
      <c r="U3366" s="39"/>
    </row>
    <row r="3367">
      <c r="A3367" s="40">
        <f t="shared" si="1"/>
        <v>46006</v>
      </c>
      <c r="B3367" s="37" t="str">
        <f t="array" ref="B3367">iferror(xlookup($I3367, 'IMPORT VHC Report'!$E:$E, 'IMPORT VHC Report'!$A:$C), )</f>
        <v/>
      </c>
      <c r="C3367" s="37"/>
      <c r="D3367" s="37"/>
      <c r="E3367" s="38" t="s">
        <v>4064</v>
      </c>
      <c r="F3367" s="38" t="s">
        <v>4047</v>
      </c>
      <c r="G3367" s="38">
        <v>5.901988081807E12</v>
      </c>
      <c r="H3367" s="38" t="s">
        <v>4048</v>
      </c>
      <c r="I3367" s="38" t="s">
        <v>4049</v>
      </c>
      <c r="J3367" s="38" t="s">
        <v>136</v>
      </c>
      <c r="K3367" s="38" t="s">
        <v>126</v>
      </c>
      <c r="L3367" s="41">
        <v>46010.666666666664</v>
      </c>
      <c r="M3367" s="38" t="s">
        <v>123</v>
      </c>
      <c r="N3367" s="41">
        <v>46010.729166666664</v>
      </c>
      <c r="O3367" s="38" t="s">
        <v>123</v>
      </c>
      <c r="P3367" s="38">
        <v>5400.0</v>
      </c>
      <c r="Q3367" s="39"/>
      <c r="R3367" s="39"/>
      <c r="S3367" s="38" t="s">
        <v>137</v>
      </c>
      <c r="T3367" s="39"/>
      <c r="U3367" s="39"/>
    </row>
    <row r="3368">
      <c r="A3368" s="40">
        <f t="shared" si="1"/>
        <v>46006</v>
      </c>
      <c r="B3368" s="37" t="str">
        <f t="array" ref="B3368">iferror(xlookup($I3368, 'IMPORT VHC Report'!$E:$E, 'IMPORT VHC Report'!$A:$C), )</f>
        <v/>
      </c>
      <c r="C3368" s="37"/>
      <c r="D3368" s="37"/>
      <c r="E3368" s="38" t="s">
        <v>4065</v>
      </c>
      <c r="F3368" s="38" t="s">
        <v>4047</v>
      </c>
      <c r="G3368" s="38">
        <v>5.901988081807E12</v>
      </c>
      <c r="H3368" s="38" t="s">
        <v>4048</v>
      </c>
      <c r="I3368" s="38" t="s">
        <v>4049</v>
      </c>
      <c r="J3368" s="38" t="s">
        <v>132</v>
      </c>
      <c r="K3368" s="38" t="s">
        <v>126</v>
      </c>
      <c r="L3368" s="41">
        <v>46010.75</v>
      </c>
      <c r="M3368" s="38" t="s">
        <v>123</v>
      </c>
      <c r="N3368" s="41">
        <v>46010.791666666664</v>
      </c>
      <c r="O3368" s="38" t="s">
        <v>123</v>
      </c>
      <c r="P3368" s="38">
        <v>3600.0</v>
      </c>
      <c r="Q3368" s="39"/>
      <c r="R3368" s="39"/>
      <c r="S3368" s="39"/>
      <c r="T3368" s="39"/>
      <c r="U3368" s="39"/>
    </row>
    <row r="3369">
      <c r="A3369" s="40">
        <f t="shared" si="1"/>
        <v>46006</v>
      </c>
      <c r="B3369" s="37" t="str">
        <f t="array" ref="B3369">iferror(xlookup($I3369, 'IMPORT VHC Report'!$E:$E, 'IMPORT VHC Report'!$A:$C), )</f>
        <v/>
      </c>
      <c r="C3369" s="37"/>
      <c r="D3369" s="37"/>
      <c r="E3369" s="38" t="s">
        <v>4066</v>
      </c>
      <c r="F3369" s="38" t="s">
        <v>4047</v>
      </c>
      <c r="G3369" s="38">
        <v>5.901988081807E12</v>
      </c>
      <c r="H3369" s="38" t="s">
        <v>4048</v>
      </c>
      <c r="I3369" s="38" t="s">
        <v>4049</v>
      </c>
      <c r="J3369" s="38" t="s">
        <v>125</v>
      </c>
      <c r="K3369" s="38" t="s">
        <v>126</v>
      </c>
      <c r="L3369" s="41">
        <v>46010.868055555555</v>
      </c>
      <c r="M3369" s="38" t="s">
        <v>123</v>
      </c>
      <c r="N3369" s="41">
        <v>46010.875</v>
      </c>
      <c r="O3369" s="38" t="s">
        <v>123</v>
      </c>
      <c r="P3369" s="38">
        <v>600.0</v>
      </c>
      <c r="Q3369" s="39"/>
      <c r="R3369" s="39"/>
      <c r="S3369" s="38" t="s">
        <v>3682</v>
      </c>
      <c r="T3369" s="39"/>
      <c r="U3369" s="39"/>
    </row>
    <row r="3370">
      <c r="A3370" s="40">
        <f t="shared" si="1"/>
        <v>46006</v>
      </c>
      <c r="B3370" s="37" t="str">
        <f t="array" ref="B3370">iferror(xlookup($I3370, 'IMPORT VHC Report'!$E:$E, 'IMPORT VHC Report'!$A:$C), )</f>
        <v/>
      </c>
      <c r="C3370" s="37"/>
      <c r="D3370" s="37"/>
      <c r="E3370" s="38" t="s">
        <v>4067</v>
      </c>
      <c r="F3370" s="38" t="s">
        <v>4047</v>
      </c>
      <c r="G3370" s="38">
        <v>5.901988081807E12</v>
      </c>
      <c r="H3370" s="38" t="s">
        <v>4048</v>
      </c>
      <c r="I3370" s="38" t="s">
        <v>4049</v>
      </c>
      <c r="J3370" s="38" t="s">
        <v>332</v>
      </c>
      <c r="K3370" s="38" t="s">
        <v>63</v>
      </c>
      <c r="L3370" s="41">
        <v>46010.875</v>
      </c>
      <c r="M3370" s="38" t="s">
        <v>123</v>
      </c>
      <c r="N3370" s="41">
        <v>46010.884722222225</v>
      </c>
      <c r="O3370" s="38" t="s">
        <v>123</v>
      </c>
      <c r="P3370" s="38">
        <v>840.0</v>
      </c>
      <c r="Q3370" s="39"/>
      <c r="R3370" s="39"/>
      <c r="S3370" s="39"/>
      <c r="T3370" s="39"/>
      <c r="U3370" s="39"/>
    </row>
    <row r="3371">
      <c r="A3371" s="40">
        <f t="shared" si="1"/>
        <v>46006</v>
      </c>
      <c r="B3371" s="37" t="str">
        <f t="array" ref="B3371">iferror(xlookup($I3371, 'IMPORT VHC Report'!$E:$E, 'IMPORT VHC Report'!$A:$C), )</f>
        <v/>
      </c>
      <c r="C3371" s="37"/>
      <c r="D3371" s="37"/>
      <c r="E3371" s="38" t="s">
        <v>4068</v>
      </c>
      <c r="F3371" s="38" t="s">
        <v>4047</v>
      </c>
      <c r="G3371" s="38">
        <v>5.901988081807E12</v>
      </c>
      <c r="H3371" s="38" t="s">
        <v>4048</v>
      </c>
      <c r="I3371" s="38" t="s">
        <v>4049</v>
      </c>
      <c r="J3371" s="38" t="s">
        <v>330</v>
      </c>
      <c r="K3371" s="38" t="s">
        <v>126</v>
      </c>
      <c r="L3371" s="41">
        <v>46011.5</v>
      </c>
      <c r="M3371" s="38" t="s">
        <v>123</v>
      </c>
      <c r="N3371" s="41">
        <v>46011.506944444445</v>
      </c>
      <c r="O3371" s="38" t="s">
        <v>123</v>
      </c>
      <c r="P3371" s="38">
        <v>600.0</v>
      </c>
      <c r="Q3371" s="39"/>
      <c r="R3371" s="39"/>
      <c r="S3371" s="39"/>
      <c r="T3371" s="39"/>
      <c r="U3371" s="39"/>
    </row>
    <row r="3372">
      <c r="A3372" s="40">
        <f t="shared" si="1"/>
        <v>46006</v>
      </c>
      <c r="B3372" s="37" t="str">
        <f t="array" ref="B3372">iferror(xlookup($I3372, 'IMPORT VHC Report'!$E:$E, 'IMPORT VHC Report'!$A:$C), )</f>
        <v/>
      </c>
      <c r="C3372" s="37"/>
      <c r="D3372" s="37"/>
      <c r="E3372" s="38" t="s">
        <v>4069</v>
      </c>
      <c r="F3372" s="38" t="s">
        <v>4047</v>
      </c>
      <c r="G3372" s="38">
        <v>5.901988081807E12</v>
      </c>
      <c r="H3372" s="38" t="s">
        <v>4048</v>
      </c>
      <c r="I3372" s="38" t="s">
        <v>4049</v>
      </c>
      <c r="J3372" s="38" t="s">
        <v>332</v>
      </c>
      <c r="K3372" s="38" t="s">
        <v>63</v>
      </c>
      <c r="L3372" s="41">
        <v>46011.5</v>
      </c>
      <c r="M3372" s="38" t="s">
        <v>123</v>
      </c>
      <c r="N3372" s="41">
        <v>46011.875</v>
      </c>
      <c r="O3372" s="38" t="s">
        <v>123</v>
      </c>
      <c r="P3372" s="38">
        <v>32400.0</v>
      </c>
      <c r="Q3372" s="39"/>
      <c r="R3372" s="39"/>
      <c r="S3372" s="39"/>
      <c r="T3372" s="39"/>
      <c r="U3372" s="39"/>
    </row>
    <row r="3373">
      <c r="A3373" s="40">
        <f t="shared" si="1"/>
        <v>46006</v>
      </c>
      <c r="B3373" s="37" t="str">
        <f t="array" ref="B3373">iferror(xlookup($I3373, 'IMPORT VHC Report'!$E:$E, 'IMPORT VHC Report'!$A:$C), )</f>
        <v/>
      </c>
      <c r="C3373" s="37"/>
      <c r="D3373" s="37"/>
      <c r="E3373" s="38" t="s">
        <v>4070</v>
      </c>
      <c r="F3373" s="38" t="s">
        <v>4047</v>
      </c>
      <c r="G3373" s="38">
        <v>5.901988081807E12</v>
      </c>
      <c r="H3373" s="38" t="s">
        <v>4048</v>
      </c>
      <c r="I3373" s="38" t="s">
        <v>4049</v>
      </c>
      <c r="J3373" s="38" t="s">
        <v>4</v>
      </c>
      <c r="K3373" s="38" t="s">
        <v>126</v>
      </c>
      <c r="L3373" s="41">
        <v>46011.541666666664</v>
      </c>
      <c r="M3373" s="38" t="s">
        <v>123</v>
      </c>
      <c r="N3373" s="41">
        <v>46011.583333333336</v>
      </c>
      <c r="O3373" s="38" t="s">
        <v>123</v>
      </c>
      <c r="P3373" s="38">
        <v>3600.0</v>
      </c>
      <c r="Q3373" s="39"/>
      <c r="R3373" s="39"/>
      <c r="S3373" s="38" t="s">
        <v>1038</v>
      </c>
      <c r="T3373" s="39"/>
      <c r="U3373" s="39"/>
    </row>
    <row r="3374">
      <c r="A3374" s="40">
        <f t="shared" si="1"/>
        <v>46006</v>
      </c>
      <c r="B3374" s="37" t="str">
        <f t="array" ref="B3374">iferror(xlookup($I3374, 'IMPORT VHC Report'!$E:$E, 'IMPORT VHC Report'!$A:$C), )</f>
        <v/>
      </c>
      <c r="C3374" s="37"/>
      <c r="D3374" s="37"/>
      <c r="E3374" s="38" t="s">
        <v>4071</v>
      </c>
      <c r="F3374" s="38" t="s">
        <v>4047</v>
      </c>
      <c r="G3374" s="38">
        <v>5.901988081807E12</v>
      </c>
      <c r="H3374" s="38" t="s">
        <v>4048</v>
      </c>
      <c r="I3374" s="38" t="s">
        <v>4049</v>
      </c>
      <c r="J3374" s="38" t="s">
        <v>132</v>
      </c>
      <c r="K3374" s="38" t="s">
        <v>126</v>
      </c>
      <c r="L3374" s="41">
        <v>46011.604166666664</v>
      </c>
      <c r="M3374" s="38" t="s">
        <v>123</v>
      </c>
      <c r="N3374" s="41">
        <v>46011.645833333336</v>
      </c>
      <c r="O3374" s="38" t="s">
        <v>123</v>
      </c>
      <c r="P3374" s="38">
        <v>3600.0</v>
      </c>
      <c r="Q3374" s="39"/>
      <c r="R3374" s="39"/>
      <c r="S3374" s="39"/>
      <c r="T3374" s="39"/>
      <c r="U3374" s="39"/>
    </row>
    <row r="3375">
      <c r="A3375" s="40">
        <f t="shared" si="1"/>
        <v>46006</v>
      </c>
      <c r="B3375" s="37" t="str">
        <f t="array" ref="B3375">iferror(xlookup($I3375, 'IMPORT VHC Report'!$E:$E, 'IMPORT VHC Report'!$A:$C), )</f>
        <v/>
      </c>
      <c r="C3375" s="37"/>
      <c r="D3375" s="37"/>
      <c r="E3375" s="38" t="s">
        <v>4072</v>
      </c>
      <c r="F3375" s="38" t="s">
        <v>4047</v>
      </c>
      <c r="G3375" s="38">
        <v>5.901988081807E12</v>
      </c>
      <c r="H3375" s="38" t="s">
        <v>4048</v>
      </c>
      <c r="I3375" s="38" t="s">
        <v>4049</v>
      </c>
      <c r="J3375" s="38" t="s">
        <v>134</v>
      </c>
      <c r="K3375" s="38" t="s">
        <v>126</v>
      </c>
      <c r="L3375" s="41">
        <v>46011.729166666664</v>
      </c>
      <c r="M3375" s="38" t="s">
        <v>123</v>
      </c>
      <c r="N3375" s="41">
        <v>46011.75</v>
      </c>
      <c r="O3375" s="38" t="s">
        <v>123</v>
      </c>
      <c r="P3375" s="38">
        <v>1800.0</v>
      </c>
      <c r="Q3375" s="39"/>
      <c r="R3375" s="39"/>
      <c r="S3375" s="39"/>
      <c r="T3375" s="39"/>
      <c r="U3375" s="39"/>
    </row>
    <row r="3376">
      <c r="A3376" s="40">
        <f t="shared" si="1"/>
        <v>46006</v>
      </c>
      <c r="B3376" s="37" t="str">
        <f t="array" ref="B3376">iferror(xlookup($I3376, 'IMPORT VHC Report'!$E:$E, 'IMPORT VHC Report'!$A:$C), )</f>
        <v/>
      </c>
      <c r="C3376" s="37"/>
      <c r="D3376" s="37"/>
      <c r="E3376" s="38" t="s">
        <v>4073</v>
      </c>
      <c r="F3376" s="38" t="s">
        <v>4047</v>
      </c>
      <c r="G3376" s="38">
        <v>5.901988081807E12</v>
      </c>
      <c r="H3376" s="38" t="s">
        <v>4048</v>
      </c>
      <c r="I3376" s="38" t="s">
        <v>4049</v>
      </c>
      <c r="J3376" s="38" t="s">
        <v>4</v>
      </c>
      <c r="K3376" s="38" t="s">
        <v>126</v>
      </c>
      <c r="L3376" s="41">
        <v>46011.75</v>
      </c>
      <c r="M3376" s="38" t="s">
        <v>123</v>
      </c>
      <c r="N3376" s="41">
        <v>46011.760416666664</v>
      </c>
      <c r="O3376" s="38" t="s">
        <v>123</v>
      </c>
      <c r="P3376" s="38">
        <v>900.0</v>
      </c>
      <c r="Q3376" s="39"/>
      <c r="R3376" s="39"/>
      <c r="S3376" s="38" t="s">
        <v>3693</v>
      </c>
      <c r="T3376" s="39"/>
      <c r="U3376" s="39"/>
    </row>
    <row r="3377">
      <c r="A3377" s="40">
        <f t="shared" si="1"/>
        <v>46006</v>
      </c>
      <c r="B3377" s="37" t="str">
        <f t="array" ref="B3377">iferror(xlookup($I3377, 'IMPORT VHC Report'!$E:$E, 'IMPORT VHC Report'!$A:$C), )</f>
        <v/>
      </c>
      <c r="C3377" s="37"/>
      <c r="D3377" s="37"/>
      <c r="E3377" s="38" t="s">
        <v>4074</v>
      </c>
      <c r="F3377" s="38" t="s">
        <v>4047</v>
      </c>
      <c r="G3377" s="38">
        <v>5.901988081807E12</v>
      </c>
      <c r="H3377" s="38" t="s">
        <v>4048</v>
      </c>
      <c r="I3377" s="38" t="s">
        <v>4049</v>
      </c>
      <c r="J3377" s="38" t="s">
        <v>330</v>
      </c>
      <c r="K3377" s="38" t="s">
        <v>126</v>
      </c>
      <c r="L3377" s="41">
        <v>46012.5</v>
      </c>
      <c r="M3377" s="38" t="s">
        <v>123</v>
      </c>
      <c r="N3377" s="41">
        <v>46012.506944444445</v>
      </c>
      <c r="O3377" s="38" t="s">
        <v>123</v>
      </c>
      <c r="P3377" s="38">
        <v>600.0</v>
      </c>
      <c r="Q3377" s="39"/>
      <c r="R3377" s="39"/>
      <c r="S3377" s="39"/>
      <c r="T3377" s="39"/>
      <c r="U3377" s="39"/>
    </row>
    <row r="3378">
      <c r="A3378" s="40">
        <f t="shared" si="1"/>
        <v>46006</v>
      </c>
      <c r="B3378" s="37" t="str">
        <f t="array" ref="B3378">iferror(xlookup($I3378, 'IMPORT VHC Report'!$E:$E, 'IMPORT VHC Report'!$A:$C), )</f>
        <v/>
      </c>
      <c r="C3378" s="37"/>
      <c r="D3378" s="37"/>
      <c r="E3378" s="38" t="s">
        <v>4075</v>
      </c>
      <c r="F3378" s="38" t="s">
        <v>4047</v>
      </c>
      <c r="G3378" s="38">
        <v>5.901988081807E12</v>
      </c>
      <c r="H3378" s="38" t="s">
        <v>4048</v>
      </c>
      <c r="I3378" s="38" t="s">
        <v>4049</v>
      </c>
      <c r="J3378" s="38" t="s">
        <v>332</v>
      </c>
      <c r="K3378" s="38" t="s">
        <v>63</v>
      </c>
      <c r="L3378" s="41">
        <v>46012.5</v>
      </c>
      <c r="M3378" s="38" t="s">
        <v>123</v>
      </c>
      <c r="N3378" s="41">
        <v>46012.875</v>
      </c>
      <c r="O3378" s="38" t="s">
        <v>123</v>
      </c>
      <c r="P3378" s="38">
        <v>32400.0</v>
      </c>
      <c r="Q3378" s="39"/>
      <c r="R3378" s="39"/>
      <c r="S3378" s="39"/>
      <c r="T3378" s="39"/>
      <c r="U3378" s="39"/>
    </row>
    <row r="3379">
      <c r="A3379" s="40">
        <f t="shared" si="1"/>
        <v>46006</v>
      </c>
      <c r="B3379" s="37" t="str">
        <f t="array" ref="B3379">iferror(xlookup($I3379, 'IMPORT VHC Report'!$E:$E, 'IMPORT VHC Report'!$A:$C), )</f>
        <v/>
      </c>
      <c r="C3379" s="37"/>
      <c r="D3379" s="37"/>
      <c r="E3379" s="38" t="s">
        <v>4076</v>
      </c>
      <c r="F3379" s="38" t="s">
        <v>4047</v>
      </c>
      <c r="G3379" s="38">
        <v>5.901988081807E12</v>
      </c>
      <c r="H3379" s="38" t="s">
        <v>4048</v>
      </c>
      <c r="I3379" s="38" t="s">
        <v>4049</v>
      </c>
      <c r="J3379" s="38" t="s">
        <v>132</v>
      </c>
      <c r="K3379" s="38" t="s">
        <v>126</v>
      </c>
      <c r="L3379" s="41">
        <v>46012.625</v>
      </c>
      <c r="M3379" s="38" t="s">
        <v>123</v>
      </c>
      <c r="N3379" s="41">
        <v>46012.666666666664</v>
      </c>
      <c r="O3379" s="38" t="s">
        <v>123</v>
      </c>
      <c r="P3379" s="38">
        <v>3600.0</v>
      </c>
      <c r="Q3379" s="39"/>
      <c r="R3379" s="39"/>
      <c r="S3379" s="39"/>
      <c r="T3379" s="39"/>
      <c r="U3379" s="39"/>
    </row>
    <row r="3380">
      <c r="A3380" s="40">
        <f t="shared" si="1"/>
        <v>46006</v>
      </c>
      <c r="B3380" s="37" t="str">
        <f t="array" ref="B3380">iferror(xlookup($I3380, 'IMPORT VHC Report'!$E:$E, 'IMPORT VHC Report'!$A:$C), )</f>
        <v/>
      </c>
      <c r="C3380" s="37"/>
      <c r="D3380" s="37"/>
      <c r="E3380" s="38" t="s">
        <v>4077</v>
      </c>
      <c r="F3380" s="38" t="s">
        <v>4047</v>
      </c>
      <c r="G3380" s="38">
        <v>5.901988081807E12</v>
      </c>
      <c r="H3380" s="38" t="s">
        <v>4048</v>
      </c>
      <c r="I3380" s="38" t="s">
        <v>4049</v>
      </c>
      <c r="J3380" s="38" t="s">
        <v>4</v>
      </c>
      <c r="K3380" s="38" t="s">
        <v>126</v>
      </c>
      <c r="L3380" s="41">
        <v>46012.666666666664</v>
      </c>
      <c r="M3380" s="38" t="s">
        <v>123</v>
      </c>
      <c r="N3380" s="41">
        <v>46012.708333333336</v>
      </c>
      <c r="O3380" s="38" t="s">
        <v>123</v>
      </c>
      <c r="P3380" s="38">
        <v>3600.0</v>
      </c>
      <c r="Q3380" s="39"/>
      <c r="R3380" s="39"/>
      <c r="S3380" s="38" t="s">
        <v>3696</v>
      </c>
      <c r="T3380" s="39"/>
      <c r="U3380" s="39"/>
    </row>
    <row r="3381">
      <c r="A3381" s="40">
        <f t="shared" si="1"/>
        <v>46006</v>
      </c>
      <c r="B3381" s="37" t="str">
        <f t="array" ref="B3381">iferror(xlookup($I3381, 'IMPORT VHC Report'!$E:$E, 'IMPORT VHC Report'!$A:$C), )</f>
        <v/>
      </c>
      <c r="C3381" s="37"/>
      <c r="D3381" s="37"/>
      <c r="E3381" s="38" t="s">
        <v>4078</v>
      </c>
      <c r="F3381" s="38" t="s">
        <v>4047</v>
      </c>
      <c r="G3381" s="38">
        <v>5.901988081807E12</v>
      </c>
      <c r="H3381" s="38" t="s">
        <v>4048</v>
      </c>
      <c r="I3381" s="38" t="s">
        <v>4049</v>
      </c>
      <c r="J3381" s="38" t="s">
        <v>134</v>
      </c>
      <c r="K3381" s="38" t="s">
        <v>126</v>
      </c>
      <c r="L3381" s="41">
        <v>46012.75</v>
      </c>
      <c r="M3381" s="38" t="s">
        <v>123</v>
      </c>
      <c r="N3381" s="41">
        <v>46012.770833333336</v>
      </c>
      <c r="O3381" s="38" t="s">
        <v>123</v>
      </c>
      <c r="P3381" s="38">
        <v>1800.0</v>
      </c>
      <c r="Q3381" s="39"/>
      <c r="R3381" s="39"/>
      <c r="S3381" s="39"/>
      <c r="T3381" s="39"/>
      <c r="U3381" s="39"/>
    </row>
    <row r="3382">
      <c r="A3382" s="40">
        <f t="shared" si="1"/>
        <v>46006</v>
      </c>
      <c r="B3382" s="37" t="str">
        <f t="array" ref="B3382">iferror(xlookup($I3382, 'IMPORT VHC Report'!$E:$E, 'IMPORT VHC Report'!$A:$C), )</f>
        <v/>
      </c>
      <c r="C3382" s="37"/>
      <c r="D3382" s="37"/>
      <c r="E3382" s="38" t="s">
        <v>4079</v>
      </c>
      <c r="F3382" s="38" t="s">
        <v>4080</v>
      </c>
      <c r="G3382" s="38">
        <v>5.202441056015E12</v>
      </c>
      <c r="H3382" s="38" t="s">
        <v>4081</v>
      </c>
      <c r="I3382" s="38" t="s">
        <v>4082</v>
      </c>
      <c r="J3382" s="38" t="s">
        <v>224</v>
      </c>
      <c r="K3382" s="38" t="s">
        <v>63</v>
      </c>
      <c r="L3382" s="41">
        <v>46006.5</v>
      </c>
      <c r="M3382" s="38" t="s">
        <v>123</v>
      </c>
      <c r="N3382" s="41">
        <v>46006.604166666664</v>
      </c>
      <c r="O3382" s="38" t="s">
        <v>123</v>
      </c>
      <c r="P3382" s="38">
        <v>9000.0</v>
      </c>
      <c r="Q3382" s="39"/>
      <c r="R3382" s="39"/>
      <c r="S3382" s="39"/>
      <c r="T3382" s="39"/>
      <c r="U3382" s="39"/>
    </row>
    <row r="3383">
      <c r="A3383" s="40">
        <f t="shared" si="1"/>
        <v>46006</v>
      </c>
      <c r="B3383" s="37" t="str">
        <f t="array" ref="B3383">iferror(xlookup($I3383, 'IMPORT VHC Report'!$E:$E, 'IMPORT VHC Report'!$A:$C), )</f>
        <v/>
      </c>
      <c r="C3383" s="37"/>
      <c r="D3383" s="37"/>
      <c r="E3383" s="38" t="s">
        <v>4083</v>
      </c>
      <c r="F3383" s="38" t="s">
        <v>4080</v>
      </c>
      <c r="G3383" s="38">
        <v>5.202441056015E12</v>
      </c>
      <c r="H3383" s="38" t="s">
        <v>4081</v>
      </c>
      <c r="I3383" s="38" t="s">
        <v>4082</v>
      </c>
      <c r="J3383" s="38" t="s">
        <v>125</v>
      </c>
      <c r="K3383" s="38" t="s">
        <v>126</v>
      </c>
      <c r="L3383" s="41">
        <v>46006.541666666664</v>
      </c>
      <c r="M3383" s="38" t="s">
        <v>123</v>
      </c>
      <c r="N3383" s="41">
        <v>46006.54861111111</v>
      </c>
      <c r="O3383" s="38" t="s">
        <v>123</v>
      </c>
      <c r="P3383" s="38">
        <v>600.0</v>
      </c>
      <c r="Q3383" s="39"/>
      <c r="R3383" s="39"/>
      <c r="S3383" s="38" t="s">
        <v>4084</v>
      </c>
      <c r="T3383" s="39"/>
      <c r="U3383" s="39"/>
    </row>
    <row r="3384">
      <c r="A3384" s="40">
        <f t="shared" si="1"/>
        <v>46006</v>
      </c>
      <c r="B3384" s="37" t="str">
        <f t="array" ref="B3384">iferror(xlookup($I3384, 'IMPORT VHC Report'!$E:$E, 'IMPORT VHC Report'!$A:$C), )</f>
        <v/>
      </c>
      <c r="C3384" s="37"/>
      <c r="D3384" s="37"/>
      <c r="E3384" s="38" t="s">
        <v>4085</v>
      </c>
      <c r="F3384" s="38" t="s">
        <v>4080</v>
      </c>
      <c r="G3384" s="38">
        <v>5.202441056015E12</v>
      </c>
      <c r="H3384" s="38" t="s">
        <v>4081</v>
      </c>
      <c r="I3384" s="38" t="s">
        <v>4082</v>
      </c>
      <c r="J3384" s="38" t="s">
        <v>125</v>
      </c>
      <c r="K3384" s="38" t="s">
        <v>126</v>
      </c>
      <c r="L3384" s="41">
        <v>46006.57430555556</v>
      </c>
      <c r="M3384" s="38" t="s">
        <v>123</v>
      </c>
      <c r="N3384" s="41">
        <v>46006.57777777778</v>
      </c>
      <c r="O3384" s="38" t="s">
        <v>123</v>
      </c>
      <c r="P3384" s="38">
        <v>300.0</v>
      </c>
      <c r="Q3384" s="39"/>
      <c r="R3384" s="39"/>
      <c r="S3384" s="38" t="s">
        <v>4084</v>
      </c>
      <c r="T3384" s="39"/>
      <c r="U3384" s="39"/>
    </row>
    <row r="3385">
      <c r="A3385" s="40">
        <f t="shared" si="1"/>
        <v>46006</v>
      </c>
      <c r="B3385" s="37" t="str">
        <f t="array" ref="B3385">iferror(xlookup($I3385, 'IMPORT VHC Report'!$E:$E, 'IMPORT VHC Report'!$A:$C), )</f>
        <v/>
      </c>
      <c r="C3385" s="37"/>
      <c r="D3385" s="37"/>
      <c r="E3385" s="38" t="s">
        <v>4086</v>
      </c>
      <c r="F3385" s="38" t="s">
        <v>4080</v>
      </c>
      <c r="G3385" s="38">
        <v>5.202441056015E12</v>
      </c>
      <c r="H3385" s="38" t="s">
        <v>4081</v>
      </c>
      <c r="I3385" s="38" t="s">
        <v>4082</v>
      </c>
      <c r="J3385" s="38" t="s">
        <v>132</v>
      </c>
      <c r="K3385" s="38" t="s">
        <v>126</v>
      </c>
      <c r="L3385" s="41">
        <v>46006.604166666664</v>
      </c>
      <c r="M3385" s="38" t="s">
        <v>123</v>
      </c>
      <c r="N3385" s="41">
        <v>46006.645833333336</v>
      </c>
      <c r="O3385" s="38" t="s">
        <v>123</v>
      </c>
      <c r="P3385" s="38">
        <v>3600.0</v>
      </c>
      <c r="Q3385" s="39"/>
      <c r="R3385" s="39"/>
      <c r="S3385" s="39"/>
      <c r="T3385" s="39"/>
      <c r="U3385" s="39"/>
    </row>
    <row r="3386">
      <c r="A3386" s="40">
        <f t="shared" si="1"/>
        <v>46006</v>
      </c>
      <c r="B3386" s="37" t="str">
        <f t="array" ref="B3386">iferror(xlookup($I3386, 'IMPORT VHC Report'!$E:$E, 'IMPORT VHC Report'!$A:$C), )</f>
        <v/>
      </c>
      <c r="C3386" s="37"/>
      <c r="D3386" s="37"/>
      <c r="E3386" s="38" t="s">
        <v>4087</v>
      </c>
      <c r="F3386" s="38" t="s">
        <v>4080</v>
      </c>
      <c r="G3386" s="38">
        <v>5.202441056015E12</v>
      </c>
      <c r="H3386" s="38" t="s">
        <v>4081</v>
      </c>
      <c r="I3386" s="38" t="s">
        <v>4082</v>
      </c>
      <c r="J3386" s="38" t="s">
        <v>224</v>
      </c>
      <c r="K3386" s="38" t="s">
        <v>63</v>
      </c>
      <c r="L3386" s="41">
        <v>46006.645833333336</v>
      </c>
      <c r="M3386" s="38" t="s">
        <v>123</v>
      </c>
      <c r="N3386" s="41">
        <v>46006.708333333336</v>
      </c>
      <c r="O3386" s="38" t="s">
        <v>123</v>
      </c>
      <c r="P3386" s="38">
        <v>5400.0</v>
      </c>
      <c r="Q3386" s="39"/>
      <c r="R3386" s="39"/>
      <c r="S3386" s="39"/>
      <c r="T3386" s="39"/>
      <c r="U3386" s="39"/>
    </row>
    <row r="3387">
      <c r="A3387" s="40">
        <f t="shared" si="1"/>
        <v>46006</v>
      </c>
      <c r="B3387" s="37" t="str">
        <f t="array" ref="B3387">iferror(xlookup($I3387, 'IMPORT VHC Report'!$E:$E, 'IMPORT VHC Report'!$A:$C), )</f>
        <v/>
      </c>
      <c r="C3387" s="37"/>
      <c r="D3387" s="37"/>
      <c r="E3387" s="38" t="s">
        <v>4088</v>
      </c>
      <c r="F3387" s="38" t="s">
        <v>4080</v>
      </c>
      <c r="G3387" s="38">
        <v>5.202441056015E12</v>
      </c>
      <c r="H3387" s="38" t="s">
        <v>4081</v>
      </c>
      <c r="I3387" s="38" t="s">
        <v>4082</v>
      </c>
      <c r="J3387" s="38" t="s">
        <v>125</v>
      </c>
      <c r="K3387" s="38" t="s">
        <v>126</v>
      </c>
      <c r="L3387" s="41">
        <v>46006.686111111114</v>
      </c>
      <c r="M3387" s="38" t="s">
        <v>123</v>
      </c>
      <c r="N3387" s="41">
        <v>46006.68958333333</v>
      </c>
      <c r="O3387" s="38" t="s">
        <v>123</v>
      </c>
      <c r="P3387" s="38">
        <v>300.0</v>
      </c>
      <c r="Q3387" s="39"/>
      <c r="R3387" s="39"/>
      <c r="S3387" s="38" t="s">
        <v>4084</v>
      </c>
      <c r="T3387" s="39"/>
      <c r="U3387" s="39"/>
    </row>
    <row r="3388">
      <c r="A3388" s="40">
        <f t="shared" si="1"/>
        <v>46006</v>
      </c>
      <c r="B3388" s="37" t="str">
        <f t="array" ref="B3388">iferror(xlookup($I3388, 'IMPORT VHC Report'!$E:$E, 'IMPORT VHC Report'!$A:$C), )</f>
        <v/>
      </c>
      <c r="C3388" s="37"/>
      <c r="D3388" s="37"/>
      <c r="E3388" s="38" t="s">
        <v>4089</v>
      </c>
      <c r="F3388" s="38" t="s">
        <v>4080</v>
      </c>
      <c r="G3388" s="38">
        <v>5.202441056015E12</v>
      </c>
      <c r="H3388" s="38" t="s">
        <v>4081</v>
      </c>
      <c r="I3388" s="38" t="s">
        <v>4082</v>
      </c>
      <c r="J3388" s="38" t="s">
        <v>134</v>
      </c>
      <c r="K3388" s="38" t="s">
        <v>126</v>
      </c>
      <c r="L3388" s="41">
        <v>46006.708333333336</v>
      </c>
      <c r="M3388" s="38" t="s">
        <v>123</v>
      </c>
      <c r="N3388" s="41">
        <v>46006.71875</v>
      </c>
      <c r="O3388" s="38" t="s">
        <v>123</v>
      </c>
      <c r="P3388" s="38">
        <v>900.0</v>
      </c>
      <c r="Q3388" s="39"/>
      <c r="R3388" s="39"/>
      <c r="S3388" s="39"/>
      <c r="T3388" s="39"/>
      <c r="U3388" s="39"/>
    </row>
    <row r="3389">
      <c r="A3389" s="40">
        <f t="shared" si="1"/>
        <v>46006</v>
      </c>
      <c r="B3389" s="37" t="str">
        <f t="array" ref="B3389">iferror(xlookup($I3389, 'IMPORT VHC Report'!$E:$E, 'IMPORT VHC Report'!$A:$C), )</f>
        <v/>
      </c>
      <c r="C3389" s="37"/>
      <c r="D3389" s="37"/>
      <c r="E3389" s="38" t="s">
        <v>4090</v>
      </c>
      <c r="F3389" s="38" t="s">
        <v>4080</v>
      </c>
      <c r="G3389" s="38">
        <v>5.202441056015E12</v>
      </c>
      <c r="H3389" s="38" t="s">
        <v>4081</v>
      </c>
      <c r="I3389" s="38" t="s">
        <v>4082</v>
      </c>
      <c r="J3389" s="38" t="s">
        <v>224</v>
      </c>
      <c r="K3389" s="38" t="s">
        <v>63</v>
      </c>
      <c r="L3389" s="41">
        <v>46006.71875</v>
      </c>
      <c r="M3389" s="38" t="s">
        <v>123</v>
      </c>
      <c r="N3389" s="41">
        <v>46006.78125</v>
      </c>
      <c r="O3389" s="38" t="s">
        <v>123</v>
      </c>
      <c r="P3389" s="38">
        <v>5400.0</v>
      </c>
      <c r="Q3389" s="39"/>
      <c r="R3389" s="39"/>
      <c r="S3389" s="39"/>
      <c r="T3389" s="39"/>
      <c r="U3389" s="39"/>
    </row>
    <row r="3390">
      <c r="A3390" s="40">
        <f t="shared" si="1"/>
        <v>46006</v>
      </c>
      <c r="B3390" s="37" t="str">
        <f t="array" ref="B3390">iferror(xlookup($I3390, 'IMPORT VHC Report'!$E:$E, 'IMPORT VHC Report'!$A:$C), )</f>
        <v/>
      </c>
      <c r="C3390" s="37"/>
      <c r="D3390" s="37"/>
      <c r="E3390" s="38" t="s">
        <v>4091</v>
      </c>
      <c r="F3390" s="38" t="s">
        <v>4080</v>
      </c>
      <c r="G3390" s="38">
        <v>5.202441056015E12</v>
      </c>
      <c r="H3390" s="38" t="s">
        <v>4081</v>
      </c>
      <c r="I3390" s="38" t="s">
        <v>4082</v>
      </c>
      <c r="J3390" s="38" t="s">
        <v>125</v>
      </c>
      <c r="K3390" s="38" t="s">
        <v>126</v>
      </c>
      <c r="L3390" s="41">
        <v>46006.770833333336</v>
      </c>
      <c r="M3390" s="38" t="s">
        <v>123</v>
      </c>
      <c r="N3390" s="41">
        <v>46006.78125</v>
      </c>
      <c r="O3390" s="38" t="s">
        <v>123</v>
      </c>
      <c r="P3390" s="38">
        <v>900.0</v>
      </c>
      <c r="Q3390" s="39"/>
      <c r="R3390" s="39"/>
      <c r="S3390" s="38" t="s">
        <v>4084</v>
      </c>
      <c r="T3390" s="39"/>
      <c r="U3390" s="39"/>
    </row>
    <row r="3391">
      <c r="A3391" s="40">
        <f t="shared" si="1"/>
        <v>46006</v>
      </c>
      <c r="B3391" s="37" t="str">
        <f t="array" ref="B3391">iferror(xlookup($I3391, 'IMPORT VHC Report'!$E:$E, 'IMPORT VHC Report'!$A:$C), )</f>
        <v/>
      </c>
      <c r="C3391" s="37"/>
      <c r="D3391" s="37"/>
      <c r="E3391" s="38" t="s">
        <v>4092</v>
      </c>
      <c r="F3391" s="38" t="s">
        <v>4080</v>
      </c>
      <c r="G3391" s="38">
        <v>5.202441056015E12</v>
      </c>
      <c r="H3391" s="38" t="s">
        <v>4081</v>
      </c>
      <c r="I3391" s="38" t="s">
        <v>4082</v>
      </c>
      <c r="J3391" s="38" t="s">
        <v>134</v>
      </c>
      <c r="K3391" s="38" t="s">
        <v>126</v>
      </c>
      <c r="L3391" s="41">
        <v>46006.78125</v>
      </c>
      <c r="M3391" s="38" t="s">
        <v>123</v>
      </c>
      <c r="N3391" s="41">
        <v>46006.791666666664</v>
      </c>
      <c r="O3391" s="38" t="s">
        <v>123</v>
      </c>
      <c r="P3391" s="38">
        <v>900.0</v>
      </c>
      <c r="Q3391" s="39"/>
      <c r="R3391" s="39"/>
      <c r="S3391" s="39"/>
      <c r="T3391" s="39"/>
      <c r="U3391" s="39"/>
    </row>
    <row r="3392">
      <c r="A3392" s="40">
        <f t="shared" si="1"/>
        <v>46006</v>
      </c>
      <c r="B3392" s="37" t="str">
        <f t="array" ref="B3392">iferror(xlookup($I3392, 'IMPORT VHC Report'!$E:$E, 'IMPORT VHC Report'!$A:$C), )</f>
        <v/>
      </c>
      <c r="C3392" s="37"/>
      <c r="D3392" s="37"/>
      <c r="E3392" s="38" t="s">
        <v>4093</v>
      </c>
      <c r="F3392" s="38" t="s">
        <v>4080</v>
      </c>
      <c r="G3392" s="38">
        <v>5.202441056015E12</v>
      </c>
      <c r="H3392" s="38" t="s">
        <v>4081</v>
      </c>
      <c r="I3392" s="38" t="s">
        <v>4082</v>
      </c>
      <c r="J3392" s="38" t="s">
        <v>224</v>
      </c>
      <c r="K3392" s="38" t="s">
        <v>63</v>
      </c>
      <c r="L3392" s="41">
        <v>46006.791666666664</v>
      </c>
      <c r="M3392" s="38" t="s">
        <v>123</v>
      </c>
      <c r="N3392" s="41">
        <v>46006.875</v>
      </c>
      <c r="O3392" s="38" t="s">
        <v>123</v>
      </c>
      <c r="P3392" s="38">
        <v>7200.0</v>
      </c>
      <c r="Q3392" s="39"/>
      <c r="R3392" s="39"/>
      <c r="S3392" s="39"/>
      <c r="T3392" s="39"/>
      <c r="U3392" s="39"/>
    </row>
    <row r="3393">
      <c r="A3393" s="40">
        <f t="shared" si="1"/>
        <v>46006</v>
      </c>
      <c r="B3393" s="37" t="str">
        <f t="array" ref="B3393">iferror(xlookup($I3393, 'IMPORT VHC Report'!$E:$E, 'IMPORT VHC Report'!$A:$C), )</f>
        <v/>
      </c>
      <c r="C3393" s="37"/>
      <c r="D3393" s="37"/>
      <c r="E3393" s="38" t="s">
        <v>4094</v>
      </c>
      <c r="F3393" s="38" t="s">
        <v>4080</v>
      </c>
      <c r="G3393" s="38">
        <v>5.202441056015E12</v>
      </c>
      <c r="H3393" s="38" t="s">
        <v>4081</v>
      </c>
      <c r="I3393" s="38" t="s">
        <v>4082</v>
      </c>
      <c r="J3393" s="38" t="s">
        <v>125</v>
      </c>
      <c r="K3393" s="38" t="s">
        <v>126</v>
      </c>
      <c r="L3393" s="41">
        <v>46006.79375</v>
      </c>
      <c r="M3393" s="38" t="s">
        <v>123</v>
      </c>
      <c r="N3393" s="41">
        <v>46006.80416666667</v>
      </c>
      <c r="O3393" s="38" t="s">
        <v>123</v>
      </c>
      <c r="P3393" s="38">
        <v>900.0</v>
      </c>
      <c r="Q3393" s="39"/>
      <c r="R3393" s="39"/>
      <c r="S3393" s="38" t="s">
        <v>4084</v>
      </c>
      <c r="T3393" s="39"/>
      <c r="U3393" s="39"/>
    </row>
    <row r="3394">
      <c r="A3394" s="40">
        <f t="shared" si="1"/>
        <v>46006</v>
      </c>
      <c r="B3394" s="37" t="str">
        <f t="array" ref="B3394">iferror(xlookup($I3394, 'IMPORT VHC Report'!$E:$E, 'IMPORT VHC Report'!$A:$C), )</f>
        <v/>
      </c>
      <c r="C3394" s="37"/>
      <c r="D3394" s="37"/>
      <c r="E3394" s="38" t="s">
        <v>4095</v>
      </c>
      <c r="F3394" s="38" t="s">
        <v>4080</v>
      </c>
      <c r="G3394" s="38">
        <v>5.202441056015E12</v>
      </c>
      <c r="H3394" s="38" t="s">
        <v>4081</v>
      </c>
      <c r="I3394" s="38" t="s">
        <v>4082</v>
      </c>
      <c r="J3394" s="38" t="s">
        <v>224</v>
      </c>
      <c r="K3394" s="38" t="s">
        <v>63</v>
      </c>
      <c r="L3394" s="41">
        <v>46007.5</v>
      </c>
      <c r="M3394" s="38" t="s">
        <v>123</v>
      </c>
      <c r="N3394" s="41">
        <v>46007.875</v>
      </c>
      <c r="O3394" s="38" t="s">
        <v>123</v>
      </c>
      <c r="P3394" s="38">
        <v>32400.0</v>
      </c>
      <c r="Q3394" s="39"/>
      <c r="R3394" s="39"/>
      <c r="S3394" s="39"/>
      <c r="T3394" s="39"/>
      <c r="U3394" s="39"/>
    </row>
    <row r="3395">
      <c r="A3395" s="40">
        <f t="shared" si="1"/>
        <v>46006</v>
      </c>
      <c r="B3395" s="37" t="str">
        <f t="array" ref="B3395">iferror(xlookup($I3395, 'IMPORT VHC Report'!$E:$E, 'IMPORT VHC Report'!$A:$C), )</f>
        <v/>
      </c>
      <c r="C3395" s="37"/>
      <c r="D3395" s="37"/>
      <c r="E3395" s="38" t="s">
        <v>4096</v>
      </c>
      <c r="F3395" s="38" t="s">
        <v>4080</v>
      </c>
      <c r="G3395" s="38">
        <v>5.202441056015E12</v>
      </c>
      <c r="H3395" s="38" t="s">
        <v>4081</v>
      </c>
      <c r="I3395" s="38" t="s">
        <v>4082</v>
      </c>
      <c r="J3395" s="38" t="s">
        <v>132</v>
      </c>
      <c r="K3395" s="38" t="s">
        <v>126</v>
      </c>
      <c r="L3395" s="41">
        <v>46007.5625</v>
      </c>
      <c r="M3395" s="38" t="s">
        <v>123</v>
      </c>
      <c r="N3395" s="41">
        <v>46007.604166666664</v>
      </c>
      <c r="O3395" s="38" t="s">
        <v>123</v>
      </c>
      <c r="P3395" s="38">
        <v>3600.0</v>
      </c>
      <c r="Q3395" s="39"/>
      <c r="R3395" s="39"/>
      <c r="S3395" s="39"/>
      <c r="T3395" s="39"/>
      <c r="U3395" s="39"/>
    </row>
    <row r="3396">
      <c r="A3396" s="40">
        <f t="shared" si="1"/>
        <v>46006</v>
      </c>
      <c r="B3396" s="37" t="str">
        <f t="array" ref="B3396">iferror(xlookup($I3396, 'IMPORT VHC Report'!$E:$E, 'IMPORT VHC Report'!$A:$C), )</f>
        <v/>
      </c>
      <c r="C3396" s="37"/>
      <c r="D3396" s="37"/>
      <c r="E3396" s="38" t="s">
        <v>4097</v>
      </c>
      <c r="F3396" s="38" t="s">
        <v>4080</v>
      </c>
      <c r="G3396" s="38">
        <v>5.202441056015E12</v>
      </c>
      <c r="H3396" s="38" t="s">
        <v>4081</v>
      </c>
      <c r="I3396" s="38" t="s">
        <v>4082</v>
      </c>
      <c r="J3396" s="38" t="s">
        <v>134</v>
      </c>
      <c r="K3396" s="38" t="s">
        <v>126</v>
      </c>
      <c r="L3396" s="41">
        <v>46007.6875</v>
      </c>
      <c r="M3396" s="38" t="s">
        <v>123</v>
      </c>
      <c r="N3396" s="41">
        <v>46007.697916666664</v>
      </c>
      <c r="O3396" s="38" t="s">
        <v>123</v>
      </c>
      <c r="P3396" s="38">
        <v>900.0</v>
      </c>
      <c r="Q3396" s="39"/>
      <c r="R3396" s="39"/>
      <c r="S3396" s="39"/>
      <c r="T3396" s="39"/>
      <c r="U3396" s="39"/>
    </row>
    <row r="3397">
      <c r="A3397" s="40">
        <f t="shared" si="1"/>
        <v>46006</v>
      </c>
      <c r="B3397" s="37" t="str">
        <f t="array" ref="B3397">iferror(xlookup($I3397, 'IMPORT VHC Report'!$E:$E, 'IMPORT VHC Report'!$A:$C), )</f>
        <v/>
      </c>
      <c r="C3397" s="37"/>
      <c r="D3397" s="37"/>
      <c r="E3397" s="38" t="s">
        <v>4098</v>
      </c>
      <c r="F3397" s="38" t="s">
        <v>4080</v>
      </c>
      <c r="G3397" s="38">
        <v>5.202441056015E12</v>
      </c>
      <c r="H3397" s="38" t="s">
        <v>4081</v>
      </c>
      <c r="I3397" s="38" t="s">
        <v>4082</v>
      </c>
      <c r="J3397" s="38" t="s">
        <v>136</v>
      </c>
      <c r="K3397" s="38" t="s">
        <v>126</v>
      </c>
      <c r="L3397" s="41">
        <v>46007.697916666664</v>
      </c>
      <c r="M3397" s="38" t="s">
        <v>123</v>
      </c>
      <c r="N3397" s="41">
        <v>46007.729166666664</v>
      </c>
      <c r="O3397" s="38" t="s">
        <v>123</v>
      </c>
      <c r="P3397" s="38">
        <v>2700.0</v>
      </c>
      <c r="Q3397" s="39"/>
      <c r="R3397" s="39"/>
      <c r="S3397" s="39"/>
      <c r="T3397" s="39"/>
      <c r="U3397" s="39"/>
    </row>
    <row r="3398">
      <c r="A3398" s="40">
        <f t="shared" si="1"/>
        <v>46006</v>
      </c>
      <c r="B3398" s="37" t="str">
        <f t="array" ref="B3398">iferror(xlookup($I3398, 'IMPORT VHC Report'!$E:$E, 'IMPORT VHC Report'!$A:$C), )</f>
        <v/>
      </c>
      <c r="C3398" s="37"/>
      <c r="D3398" s="37"/>
      <c r="E3398" s="38" t="s">
        <v>4099</v>
      </c>
      <c r="F3398" s="38" t="s">
        <v>4080</v>
      </c>
      <c r="G3398" s="38">
        <v>5.202441056015E12</v>
      </c>
      <c r="H3398" s="38" t="s">
        <v>4081</v>
      </c>
      <c r="I3398" s="38" t="s">
        <v>4082</v>
      </c>
      <c r="J3398" s="38" t="s">
        <v>134</v>
      </c>
      <c r="K3398" s="38" t="s">
        <v>126</v>
      </c>
      <c r="L3398" s="41">
        <v>46007.770833333336</v>
      </c>
      <c r="M3398" s="38" t="s">
        <v>123</v>
      </c>
      <c r="N3398" s="41">
        <v>46007.78125</v>
      </c>
      <c r="O3398" s="38" t="s">
        <v>123</v>
      </c>
      <c r="P3398" s="38">
        <v>900.0</v>
      </c>
      <c r="Q3398" s="39"/>
      <c r="R3398" s="39"/>
      <c r="S3398" s="39"/>
      <c r="T3398" s="39"/>
      <c r="U3398" s="39"/>
    </row>
    <row r="3399">
      <c r="A3399" s="40">
        <f t="shared" si="1"/>
        <v>46006</v>
      </c>
      <c r="B3399" s="37" t="str">
        <f t="array" ref="B3399">iferror(xlookup($I3399, 'IMPORT VHC Report'!$E:$E, 'IMPORT VHC Report'!$A:$C), )</f>
        <v/>
      </c>
      <c r="C3399" s="37"/>
      <c r="D3399" s="37"/>
      <c r="E3399" s="38" t="s">
        <v>4100</v>
      </c>
      <c r="F3399" s="38" t="s">
        <v>4080</v>
      </c>
      <c r="G3399" s="38">
        <v>5.202441056015E12</v>
      </c>
      <c r="H3399" s="38" t="s">
        <v>4081</v>
      </c>
      <c r="I3399" s="38" t="s">
        <v>4082</v>
      </c>
      <c r="J3399" s="38" t="s">
        <v>224</v>
      </c>
      <c r="K3399" s="38" t="s">
        <v>63</v>
      </c>
      <c r="L3399" s="41">
        <v>46008.5</v>
      </c>
      <c r="M3399" s="38" t="s">
        <v>123</v>
      </c>
      <c r="N3399" s="41">
        <v>46008.875</v>
      </c>
      <c r="O3399" s="38" t="s">
        <v>123</v>
      </c>
      <c r="P3399" s="38">
        <v>32400.0</v>
      </c>
      <c r="Q3399" s="39"/>
      <c r="R3399" s="39"/>
      <c r="S3399" s="39"/>
      <c r="T3399" s="39"/>
      <c r="U3399" s="39"/>
    </row>
    <row r="3400">
      <c r="A3400" s="40">
        <f t="shared" si="1"/>
        <v>46006</v>
      </c>
      <c r="B3400" s="37" t="str">
        <f t="array" ref="B3400">iferror(xlookup($I3400, 'IMPORT VHC Report'!$E:$E, 'IMPORT VHC Report'!$A:$C), )</f>
        <v/>
      </c>
      <c r="C3400" s="37"/>
      <c r="D3400" s="37"/>
      <c r="E3400" s="38" t="s">
        <v>4101</v>
      </c>
      <c r="F3400" s="38" t="s">
        <v>4080</v>
      </c>
      <c r="G3400" s="38">
        <v>5.202441056015E12</v>
      </c>
      <c r="H3400" s="38" t="s">
        <v>4081</v>
      </c>
      <c r="I3400" s="38" t="s">
        <v>4082</v>
      </c>
      <c r="J3400" s="38" t="s">
        <v>134</v>
      </c>
      <c r="K3400" s="38" t="s">
        <v>126</v>
      </c>
      <c r="L3400" s="41">
        <v>46008.583333333336</v>
      </c>
      <c r="M3400" s="38" t="s">
        <v>123</v>
      </c>
      <c r="N3400" s="41">
        <v>46008.59375</v>
      </c>
      <c r="O3400" s="38" t="s">
        <v>123</v>
      </c>
      <c r="P3400" s="38">
        <v>900.0</v>
      </c>
      <c r="Q3400" s="39"/>
      <c r="R3400" s="39"/>
      <c r="S3400" s="39"/>
      <c r="T3400" s="39"/>
      <c r="U3400" s="39"/>
    </row>
    <row r="3401">
      <c r="A3401" s="40">
        <f t="shared" si="1"/>
        <v>46006</v>
      </c>
      <c r="B3401" s="37" t="str">
        <f t="array" ref="B3401">iferror(xlookup($I3401, 'IMPORT VHC Report'!$E:$E, 'IMPORT VHC Report'!$A:$C), )</f>
        <v/>
      </c>
      <c r="C3401" s="37"/>
      <c r="D3401" s="37"/>
      <c r="E3401" s="38" t="s">
        <v>4102</v>
      </c>
      <c r="F3401" s="38" t="s">
        <v>4080</v>
      </c>
      <c r="G3401" s="38">
        <v>5.202441056015E12</v>
      </c>
      <c r="H3401" s="38" t="s">
        <v>4081</v>
      </c>
      <c r="I3401" s="38" t="s">
        <v>4082</v>
      </c>
      <c r="J3401" s="38" t="s">
        <v>125</v>
      </c>
      <c r="K3401" s="38" t="s">
        <v>126</v>
      </c>
      <c r="L3401" s="41">
        <v>46008.62986111111</v>
      </c>
      <c r="M3401" s="38" t="s">
        <v>123</v>
      </c>
      <c r="N3401" s="41">
        <v>46008.64027777778</v>
      </c>
      <c r="O3401" s="38" t="s">
        <v>123</v>
      </c>
      <c r="P3401" s="38">
        <v>900.0</v>
      </c>
      <c r="Q3401" s="39"/>
      <c r="R3401" s="39"/>
      <c r="S3401" s="38" t="s">
        <v>4084</v>
      </c>
      <c r="T3401" s="39"/>
      <c r="U3401" s="39"/>
    </row>
    <row r="3402">
      <c r="A3402" s="40">
        <f t="shared" si="1"/>
        <v>46006</v>
      </c>
      <c r="B3402" s="37" t="str">
        <f t="array" ref="B3402">iferror(xlookup($I3402, 'IMPORT VHC Report'!$E:$E, 'IMPORT VHC Report'!$A:$C), )</f>
        <v/>
      </c>
      <c r="C3402" s="37"/>
      <c r="D3402" s="37"/>
      <c r="E3402" s="38" t="s">
        <v>4103</v>
      </c>
      <c r="F3402" s="38" t="s">
        <v>4080</v>
      </c>
      <c r="G3402" s="38">
        <v>5.202441056015E12</v>
      </c>
      <c r="H3402" s="38" t="s">
        <v>4081</v>
      </c>
      <c r="I3402" s="38" t="s">
        <v>4082</v>
      </c>
      <c r="J3402" s="38" t="s">
        <v>132</v>
      </c>
      <c r="K3402" s="38" t="s">
        <v>126</v>
      </c>
      <c r="L3402" s="41">
        <v>46008.666666666664</v>
      </c>
      <c r="M3402" s="38" t="s">
        <v>123</v>
      </c>
      <c r="N3402" s="41">
        <v>46008.708333333336</v>
      </c>
      <c r="O3402" s="38" t="s">
        <v>123</v>
      </c>
      <c r="P3402" s="38">
        <v>3600.0</v>
      </c>
      <c r="Q3402" s="39"/>
      <c r="R3402" s="39"/>
      <c r="S3402" s="39"/>
      <c r="T3402" s="39"/>
      <c r="U3402" s="39"/>
    </row>
    <row r="3403">
      <c r="A3403" s="40">
        <f t="shared" si="1"/>
        <v>46006</v>
      </c>
      <c r="B3403" s="37" t="str">
        <f t="array" ref="B3403">iferror(xlookup($I3403, 'IMPORT VHC Report'!$E:$E, 'IMPORT VHC Report'!$A:$C), )</f>
        <v/>
      </c>
      <c r="C3403" s="37"/>
      <c r="D3403" s="37"/>
      <c r="E3403" s="38" t="s">
        <v>4104</v>
      </c>
      <c r="F3403" s="38" t="s">
        <v>4080</v>
      </c>
      <c r="G3403" s="38">
        <v>5.202441056015E12</v>
      </c>
      <c r="H3403" s="38" t="s">
        <v>4081</v>
      </c>
      <c r="I3403" s="38" t="s">
        <v>4082</v>
      </c>
      <c r="J3403" s="38" t="s">
        <v>125</v>
      </c>
      <c r="K3403" s="38" t="s">
        <v>126</v>
      </c>
      <c r="L3403" s="41">
        <v>46008.76388888889</v>
      </c>
      <c r="M3403" s="38" t="s">
        <v>123</v>
      </c>
      <c r="N3403" s="41">
        <v>46008.774305555555</v>
      </c>
      <c r="O3403" s="38" t="s">
        <v>123</v>
      </c>
      <c r="P3403" s="38">
        <v>900.0</v>
      </c>
      <c r="Q3403" s="39"/>
      <c r="R3403" s="39"/>
      <c r="S3403" s="38" t="s">
        <v>4084</v>
      </c>
      <c r="T3403" s="39"/>
      <c r="U3403" s="39"/>
    </row>
    <row r="3404">
      <c r="A3404" s="40">
        <f t="shared" si="1"/>
        <v>46006</v>
      </c>
      <c r="B3404" s="37" t="str">
        <f t="array" ref="B3404">iferror(xlookup($I3404, 'IMPORT VHC Report'!$E:$E, 'IMPORT VHC Report'!$A:$C), )</f>
        <v/>
      </c>
      <c r="C3404" s="37"/>
      <c r="D3404" s="37"/>
      <c r="E3404" s="38" t="s">
        <v>4105</v>
      </c>
      <c r="F3404" s="38" t="s">
        <v>4080</v>
      </c>
      <c r="G3404" s="38">
        <v>5.202441056015E12</v>
      </c>
      <c r="H3404" s="38" t="s">
        <v>4081</v>
      </c>
      <c r="I3404" s="38" t="s">
        <v>4082</v>
      </c>
      <c r="J3404" s="38" t="s">
        <v>125</v>
      </c>
      <c r="K3404" s="38" t="s">
        <v>126</v>
      </c>
      <c r="L3404" s="41">
        <v>46008.78472222222</v>
      </c>
      <c r="M3404" s="38" t="s">
        <v>123</v>
      </c>
      <c r="N3404" s="41">
        <v>46008.791666666664</v>
      </c>
      <c r="O3404" s="38" t="s">
        <v>123</v>
      </c>
      <c r="P3404" s="38">
        <v>600.0</v>
      </c>
      <c r="Q3404" s="39"/>
      <c r="R3404" s="39"/>
      <c r="S3404" s="38" t="s">
        <v>4084</v>
      </c>
      <c r="T3404" s="39"/>
      <c r="U3404" s="39"/>
    </row>
    <row r="3405">
      <c r="A3405" s="40">
        <f t="shared" si="1"/>
        <v>46006</v>
      </c>
      <c r="B3405" s="37" t="str">
        <f t="array" ref="B3405">iferror(xlookup($I3405, 'IMPORT VHC Report'!$E:$E, 'IMPORT VHC Report'!$A:$C), )</f>
        <v/>
      </c>
      <c r="C3405" s="37"/>
      <c r="D3405" s="37"/>
      <c r="E3405" s="38" t="s">
        <v>4106</v>
      </c>
      <c r="F3405" s="38" t="s">
        <v>4080</v>
      </c>
      <c r="G3405" s="38">
        <v>5.202441056015E12</v>
      </c>
      <c r="H3405" s="38" t="s">
        <v>4081</v>
      </c>
      <c r="I3405" s="38" t="s">
        <v>4082</v>
      </c>
      <c r="J3405" s="38" t="s">
        <v>134</v>
      </c>
      <c r="K3405" s="38" t="s">
        <v>126</v>
      </c>
      <c r="L3405" s="41">
        <v>46008.791666666664</v>
      </c>
      <c r="M3405" s="38" t="s">
        <v>123</v>
      </c>
      <c r="N3405" s="41">
        <v>46008.802083333336</v>
      </c>
      <c r="O3405" s="38" t="s">
        <v>123</v>
      </c>
      <c r="P3405" s="38">
        <v>900.0</v>
      </c>
      <c r="Q3405" s="39"/>
      <c r="R3405" s="39"/>
      <c r="S3405" s="39"/>
      <c r="T3405" s="39"/>
      <c r="U3405" s="39"/>
    </row>
    <row r="3406">
      <c r="A3406" s="40">
        <f t="shared" si="1"/>
        <v>46006</v>
      </c>
      <c r="B3406" s="37" t="str">
        <f t="array" ref="B3406">iferror(xlookup($I3406, 'IMPORT VHC Report'!$E:$E, 'IMPORT VHC Report'!$A:$C), )</f>
        <v/>
      </c>
      <c r="C3406" s="37"/>
      <c r="D3406" s="37"/>
      <c r="E3406" s="38" t="s">
        <v>4107</v>
      </c>
      <c r="F3406" s="38" t="s">
        <v>4080</v>
      </c>
      <c r="G3406" s="38">
        <v>5.202441056015E12</v>
      </c>
      <c r="H3406" s="38" t="s">
        <v>4081</v>
      </c>
      <c r="I3406" s="38" t="s">
        <v>4082</v>
      </c>
      <c r="J3406" s="38" t="s">
        <v>125</v>
      </c>
      <c r="K3406" s="38" t="s">
        <v>126</v>
      </c>
      <c r="L3406" s="41">
        <v>46008.83888888889</v>
      </c>
      <c r="M3406" s="38" t="s">
        <v>123</v>
      </c>
      <c r="N3406" s="41">
        <v>46008.842361111114</v>
      </c>
      <c r="O3406" s="38" t="s">
        <v>123</v>
      </c>
      <c r="P3406" s="38">
        <v>300.0</v>
      </c>
      <c r="Q3406" s="39"/>
      <c r="R3406" s="39"/>
      <c r="S3406" s="38" t="s">
        <v>4084</v>
      </c>
      <c r="T3406" s="39"/>
      <c r="U3406" s="39"/>
    </row>
    <row r="3407">
      <c r="A3407" s="40">
        <f t="shared" si="1"/>
        <v>46006</v>
      </c>
      <c r="B3407" s="37" t="str">
        <f t="array" ref="B3407">iferror(xlookup($I3407, 'IMPORT VHC Report'!$E:$E, 'IMPORT VHC Report'!$A:$C), )</f>
        <v/>
      </c>
      <c r="C3407" s="37"/>
      <c r="D3407" s="37"/>
      <c r="E3407" s="38" t="s">
        <v>4108</v>
      </c>
      <c r="F3407" s="38" t="s">
        <v>4080</v>
      </c>
      <c r="G3407" s="38">
        <v>5.202441056015E12</v>
      </c>
      <c r="H3407" s="38" t="s">
        <v>4081</v>
      </c>
      <c r="I3407" s="38" t="s">
        <v>4082</v>
      </c>
      <c r="J3407" s="38" t="s">
        <v>224</v>
      </c>
      <c r="K3407" s="38" t="s">
        <v>63</v>
      </c>
      <c r="L3407" s="41">
        <v>46009.5</v>
      </c>
      <c r="M3407" s="38" t="s">
        <v>123</v>
      </c>
      <c r="N3407" s="41">
        <v>46009.583333333336</v>
      </c>
      <c r="O3407" s="38" t="s">
        <v>123</v>
      </c>
      <c r="P3407" s="38">
        <v>7200.0</v>
      </c>
      <c r="Q3407" s="39"/>
      <c r="R3407" s="39"/>
      <c r="S3407" s="39"/>
      <c r="T3407" s="39"/>
      <c r="U3407" s="39"/>
    </row>
    <row r="3408">
      <c r="A3408" s="40">
        <f t="shared" si="1"/>
        <v>46006</v>
      </c>
      <c r="B3408" s="37" t="str">
        <f t="array" ref="B3408">iferror(xlookup($I3408, 'IMPORT VHC Report'!$E:$E, 'IMPORT VHC Report'!$A:$C), )</f>
        <v/>
      </c>
      <c r="C3408" s="37"/>
      <c r="D3408" s="37"/>
      <c r="E3408" s="38" t="s">
        <v>4109</v>
      </c>
      <c r="F3408" s="38" t="s">
        <v>4080</v>
      </c>
      <c r="G3408" s="38">
        <v>5.202441056015E12</v>
      </c>
      <c r="H3408" s="38" t="s">
        <v>4081</v>
      </c>
      <c r="I3408" s="38" t="s">
        <v>4082</v>
      </c>
      <c r="J3408" s="38" t="s">
        <v>134</v>
      </c>
      <c r="K3408" s="38" t="s">
        <v>126</v>
      </c>
      <c r="L3408" s="41">
        <v>46009.583333333336</v>
      </c>
      <c r="M3408" s="38" t="s">
        <v>123</v>
      </c>
      <c r="N3408" s="41">
        <v>46009.59375</v>
      </c>
      <c r="O3408" s="38" t="s">
        <v>123</v>
      </c>
      <c r="P3408" s="38">
        <v>900.0</v>
      </c>
      <c r="Q3408" s="39"/>
      <c r="R3408" s="39"/>
      <c r="S3408" s="39"/>
      <c r="T3408" s="39"/>
      <c r="U3408" s="39"/>
    </row>
    <row r="3409">
      <c r="A3409" s="40">
        <f t="shared" si="1"/>
        <v>46006</v>
      </c>
      <c r="B3409" s="37" t="str">
        <f t="array" ref="B3409">iferror(xlookup($I3409, 'IMPORT VHC Report'!$E:$E, 'IMPORT VHC Report'!$A:$C), )</f>
        <v/>
      </c>
      <c r="C3409" s="37"/>
      <c r="D3409" s="37"/>
      <c r="E3409" s="38" t="s">
        <v>4110</v>
      </c>
      <c r="F3409" s="38" t="s">
        <v>4080</v>
      </c>
      <c r="G3409" s="38">
        <v>5.202441056015E12</v>
      </c>
      <c r="H3409" s="38" t="s">
        <v>4081</v>
      </c>
      <c r="I3409" s="38" t="s">
        <v>4082</v>
      </c>
      <c r="J3409" s="38" t="s">
        <v>224</v>
      </c>
      <c r="K3409" s="38" t="s">
        <v>63</v>
      </c>
      <c r="L3409" s="41">
        <v>46009.59375</v>
      </c>
      <c r="M3409" s="38" t="s">
        <v>123</v>
      </c>
      <c r="N3409" s="41">
        <v>46009.65625</v>
      </c>
      <c r="O3409" s="38" t="s">
        <v>123</v>
      </c>
      <c r="P3409" s="38">
        <v>5400.0</v>
      </c>
      <c r="Q3409" s="39"/>
      <c r="R3409" s="39"/>
      <c r="S3409" s="39"/>
      <c r="T3409" s="39"/>
      <c r="U3409" s="39"/>
    </row>
    <row r="3410">
      <c r="A3410" s="40">
        <f t="shared" si="1"/>
        <v>46006</v>
      </c>
      <c r="B3410" s="37" t="str">
        <f t="array" ref="B3410">iferror(xlookup($I3410, 'IMPORT VHC Report'!$E:$E, 'IMPORT VHC Report'!$A:$C), )</f>
        <v/>
      </c>
      <c r="C3410" s="37"/>
      <c r="D3410" s="37"/>
      <c r="E3410" s="38" t="s">
        <v>4111</v>
      </c>
      <c r="F3410" s="38" t="s">
        <v>4080</v>
      </c>
      <c r="G3410" s="38">
        <v>5.202441056015E12</v>
      </c>
      <c r="H3410" s="38" t="s">
        <v>4081</v>
      </c>
      <c r="I3410" s="38" t="s">
        <v>4082</v>
      </c>
      <c r="J3410" s="38" t="s">
        <v>132</v>
      </c>
      <c r="K3410" s="38" t="s">
        <v>126</v>
      </c>
      <c r="L3410" s="41">
        <v>46009.65625</v>
      </c>
      <c r="M3410" s="38" t="s">
        <v>123</v>
      </c>
      <c r="N3410" s="41">
        <v>46009.697916666664</v>
      </c>
      <c r="O3410" s="38" t="s">
        <v>123</v>
      </c>
      <c r="P3410" s="38">
        <v>3600.0</v>
      </c>
      <c r="Q3410" s="39"/>
      <c r="R3410" s="39"/>
      <c r="S3410" s="39"/>
      <c r="T3410" s="39"/>
      <c r="U3410" s="39"/>
    </row>
    <row r="3411">
      <c r="A3411" s="40">
        <f t="shared" si="1"/>
        <v>46006</v>
      </c>
      <c r="B3411" s="37" t="str">
        <f t="array" ref="B3411">iferror(xlookup($I3411, 'IMPORT VHC Report'!$E:$E, 'IMPORT VHC Report'!$A:$C), )</f>
        <v/>
      </c>
      <c r="C3411" s="37"/>
      <c r="D3411" s="37"/>
      <c r="E3411" s="38" t="s">
        <v>4112</v>
      </c>
      <c r="F3411" s="38" t="s">
        <v>4080</v>
      </c>
      <c r="G3411" s="38">
        <v>5.202441056015E12</v>
      </c>
      <c r="H3411" s="38" t="s">
        <v>4081</v>
      </c>
      <c r="I3411" s="38" t="s">
        <v>4082</v>
      </c>
      <c r="J3411" s="38" t="s">
        <v>224</v>
      </c>
      <c r="K3411" s="38" t="s">
        <v>63</v>
      </c>
      <c r="L3411" s="41">
        <v>46009.697916666664</v>
      </c>
      <c r="M3411" s="38" t="s">
        <v>123</v>
      </c>
      <c r="N3411" s="41">
        <v>46009.78125</v>
      </c>
      <c r="O3411" s="38" t="s">
        <v>123</v>
      </c>
      <c r="P3411" s="38">
        <v>7200.0</v>
      </c>
      <c r="Q3411" s="39"/>
      <c r="R3411" s="39"/>
      <c r="S3411" s="39"/>
      <c r="T3411" s="39"/>
      <c r="U3411" s="39"/>
    </row>
    <row r="3412">
      <c r="A3412" s="40">
        <f t="shared" si="1"/>
        <v>46006</v>
      </c>
      <c r="B3412" s="37" t="str">
        <f t="array" ref="B3412">iferror(xlookup($I3412, 'IMPORT VHC Report'!$E:$E, 'IMPORT VHC Report'!$A:$C), )</f>
        <v/>
      </c>
      <c r="C3412" s="37"/>
      <c r="D3412" s="37"/>
      <c r="E3412" s="38" t="s">
        <v>4113</v>
      </c>
      <c r="F3412" s="38" t="s">
        <v>4080</v>
      </c>
      <c r="G3412" s="38">
        <v>5.202441056015E12</v>
      </c>
      <c r="H3412" s="38" t="s">
        <v>4081</v>
      </c>
      <c r="I3412" s="38" t="s">
        <v>4082</v>
      </c>
      <c r="J3412" s="38" t="s">
        <v>134</v>
      </c>
      <c r="K3412" s="38" t="s">
        <v>126</v>
      </c>
      <c r="L3412" s="41">
        <v>46009.78125</v>
      </c>
      <c r="M3412" s="38" t="s">
        <v>123</v>
      </c>
      <c r="N3412" s="41">
        <v>46009.791666666664</v>
      </c>
      <c r="O3412" s="38" t="s">
        <v>123</v>
      </c>
      <c r="P3412" s="38">
        <v>900.0</v>
      </c>
      <c r="Q3412" s="39"/>
      <c r="R3412" s="39"/>
      <c r="S3412" s="39"/>
      <c r="T3412" s="39"/>
      <c r="U3412" s="39"/>
    </row>
    <row r="3413">
      <c r="A3413" s="40">
        <f t="shared" si="1"/>
        <v>46006</v>
      </c>
      <c r="B3413" s="37" t="str">
        <f t="array" ref="B3413">iferror(xlookup($I3413, 'IMPORT VHC Report'!$E:$E, 'IMPORT VHC Report'!$A:$C), )</f>
        <v/>
      </c>
      <c r="C3413" s="37"/>
      <c r="D3413" s="37"/>
      <c r="E3413" s="38" t="s">
        <v>4114</v>
      </c>
      <c r="F3413" s="38" t="s">
        <v>4080</v>
      </c>
      <c r="G3413" s="38">
        <v>5.202441056015E12</v>
      </c>
      <c r="H3413" s="38" t="s">
        <v>4081</v>
      </c>
      <c r="I3413" s="38" t="s">
        <v>4082</v>
      </c>
      <c r="J3413" s="38" t="s">
        <v>224</v>
      </c>
      <c r="K3413" s="38" t="s">
        <v>63</v>
      </c>
      <c r="L3413" s="41">
        <v>46009.791666666664</v>
      </c>
      <c r="M3413" s="38" t="s">
        <v>123</v>
      </c>
      <c r="N3413" s="41">
        <v>46009.875</v>
      </c>
      <c r="O3413" s="38" t="s">
        <v>123</v>
      </c>
      <c r="P3413" s="38">
        <v>7200.0</v>
      </c>
      <c r="Q3413" s="39"/>
      <c r="R3413" s="39"/>
      <c r="S3413" s="39"/>
      <c r="T3413" s="39"/>
      <c r="U3413" s="39"/>
    </row>
    <row r="3414">
      <c r="A3414" s="40">
        <f t="shared" si="1"/>
        <v>46006</v>
      </c>
      <c r="B3414" s="37" t="str">
        <f t="array" ref="B3414">iferror(xlookup($I3414, 'IMPORT VHC Report'!$E:$E, 'IMPORT VHC Report'!$A:$C), )</f>
        <v/>
      </c>
      <c r="C3414" s="37"/>
      <c r="D3414" s="37"/>
      <c r="E3414" s="38" t="s">
        <v>4115</v>
      </c>
      <c r="F3414" s="38" t="s">
        <v>4080</v>
      </c>
      <c r="G3414" s="38">
        <v>5.202441056015E12</v>
      </c>
      <c r="H3414" s="38" t="s">
        <v>4081</v>
      </c>
      <c r="I3414" s="38" t="s">
        <v>4082</v>
      </c>
      <c r="J3414" s="38" t="s">
        <v>224</v>
      </c>
      <c r="K3414" s="38" t="s">
        <v>63</v>
      </c>
      <c r="L3414" s="41">
        <v>46010.5</v>
      </c>
      <c r="M3414" s="38" t="s">
        <v>123</v>
      </c>
      <c r="N3414" s="41">
        <v>46010.802083333336</v>
      </c>
      <c r="O3414" s="38" t="s">
        <v>123</v>
      </c>
      <c r="P3414" s="38">
        <v>26100.0</v>
      </c>
      <c r="Q3414" s="39"/>
      <c r="R3414" s="39"/>
      <c r="S3414" s="39"/>
      <c r="T3414" s="39"/>
      <c r="U3414" s="39"/>
    </row>
    <row r="3415">
      <c r="A3415" s="40">
        <f t="shared" si="1"/>
        <v>46006</v>
      </c>
      <c r="B3415" s="37" t="str">
        <f t="array" ref="B3415">iferror(xlookup($I3415, 'IMPORT VHC Report'!$E:$E, 'IMPORT VHC Report'!$A:$C), )</f>
        <v/>
      </c>
      <c r="C3415" s="37"/>
      <c r="D3415" s="37"/>
      <c r="E3415" s="38" t="s">
        <v>4116</v>
      </c>
      <c r="F3415" s="38" t="s">
        <v>4080</v>
      </c>
      <c r="G3415" s="38">
        <v>5.202441056015E12</v>
      </c>
      <c r="H3415" s="38" t="s">
        <v>4081</v>
      </c>
      <c r="I3415" s="38" t="s">
        <v>4082</v>
      </c>
      <c r="J3415" s="38" t="s">
        <v>224</v>
      </c>
      <c r="K3415" s="38" t="s">
        <v>63</v>
      </c>
      <c r="L3415" s="41">
        <v>46010.802083333336</v>
      </c>
      <c r="M3415" s="38" t="s">
        <v>123</v>
      </c>
      <c r="N3415" s="41">
        <v>46010.875</v>
      </c>
      <c r="O3415" s="38" t="s">
        <v>123</v>
      </c>
      <c r="P3415" s="38">
        <v>6300.0</v>
      </c>
      <c r="Q3415" s="39"/>
      <c r="R3415" s="39"/>
      <c r="S3415" s="39"/>
      <c r="T3415" s="39"/>
      <c r="U3415" s="39"/>
    </row>
    <row r="3416">
      <c r="A3416" s="40">
        <f t="shared" si="1"/>
        <v>46006</v>
      </c>
      <c r="B3416" s="37" t="str">
        <f t="array" ref="B3416">iferror(xlookup($I3416, 'IMPORT VHC Report'!$E:$E, 'IMPORT VHC Report'!$A:$C), )</f>
        <v/>
      </c>
      <c r="C3416" s="37"/>
      <c r="D3416" s="37"/>
      <c r="E3416" s="38" t="s">
        <v>4117</v>
      </c>
      <c r="F3416" s="38" t="s">
        <v>4080</v>
      </c>
      <c r="G3416" s="38">
        <v>5.202441056015E12</v>
      </c>
      <c r="H3416" s="38" t="s">
        <v>4081</v>
      </c>
      <c r="I3416" s="38" t="s">
        <v>4082</v>
      </c>
      <c r="J3416" s="38" t="s">
        <v>125</v>
      </c>
      <c r="K3416" s="38" t="s">
        <v>126</v>
      </c>
      <c r="L3416" s="41">
        <v>46010.80347222222</v>
      </c>
      <c r="M3416" s="38" t="s">
        <v>123</v>
      </c>
      <c r="N3416" s="41">
        <v>46010.8125</v>
      </c>
      <c r="O3416" s="38" t="s">
        <v>123</v>
      </c>
      <c r="P3416" s="38">
        <v>780.0</v>
      </c>
      <c r="Q3416" s="39"/>
      <c r="R3416" s="39"/>
      <c r="S3416" s="38" t="s">
        <v>4084</v>
      </c>
      <c r="T3416" s="39"/>
      <c r="U3416" s="39"/>
    </row>
    <row r="3417">
      <c r="A3417" s="40">
        <f t="shared" si="1"/>
        <v>46006</v>
      </c>
      <c r="B3417" s="37" t="str">
        <f t="array" ref="B3417">iferror(xlookup($I3417, 'IMPORT VHC Report'!$E:$E, 'IMPORT VHC Report'!$A:$C), )</f>
        <v/>
      </c>
      <c r="C3417" s="37"/>
      <c r="D3417" s="37"/>
      <c r="E3417" s="38" t="s">
        <v>4118</v>
      </c>
      <c r="F3417" s="38" t="s">
        <v>4080</v>
      </c>
      <c r="G3417" s="38">
        <v>5.202441056015E12</v>
      </c>
      <c r="H3417" s="38" t="s">
        <v>4081</v>
      </c>
      <c r="I3417" s="38" t="s">
        <v>4082</v>
      </c>
      <c r="J3417" s="38" t="s">
        <v>134</v>
      </c>
      <c r="K3417" s="38" t="s">
        <v>126</v>
      </c>
      <c r="L3417" s="41">
        <v>46010.8125</v>
      </c>
      <c r="M3417" s="38" t="s">
        <v>123</v>
      </c>
      <c r="N3417" s="41">
        <v>46010.833333333336</v>
      </c>
      <c r="O3417" s="38" t="s">
        <v>123</v>
      </c>
      <c r="P3417" s="38">
        <v>1800.0</v>
      </c>
      <c r="Q3417" s="39"/>
      <c r="R3417" s="39"/>
      <c r="S3417" s="39"/>
      <c r="T3417" s="39"/>
      <c r="U3417" s="39"/>
    </row>
    <row r="3418">
      <c r="A3418" s="40">
        <f t="shared" si="1"/>
        <v>46006</v>
      </c>
      <c r="B3418" s="37" t="str">
        <f t="array" ref="B3418">iferror(xlookup($I3418, 'IMPORT VHC Report'!$E:$E, 'IMPORT VHC Report'!$A:$C), )</f>
        <v/>
      </c>
      <c r="C3418" s="37"/>
      <c r="D3418" s="37"/>
      <c r="E3418" s="38" t="s">
        <v>4119</v>
      </c>
      <c r="F3418" s="38" t="s">
        <v>4080</v>
      </c>
      <c r="G3418" s="38">
        <v>5.202441056015E12</v>
      </c>
      <c r="H3418" s="38" t="s">
        <v>4081</v>
      </c>
      <c r="I3418" s="38" t="s">
        <v>4082</v>
      </c>
      <c r="J3418" s="38" t="s">
        <v>132</v>
      </c>
      <c r="K3418" s="38" t="s">
        <v>126</v>
      </c>
      <c r="L3418" s="41">
        <v>46010.833333333336</v>
      </c>
      <c r="M3418" s="38" t="s">
        <v>123</v>
      </c>
      <c r="N3418" s="41">
        <v>46010.875</v>
      </c>
      <c r="O3418" s="38" t="s">
        <v>123</v>
      </c>
      <c r="P3418" s="38">
        <v>3600.0</v>
      </c>
      <c r="Q3418" s="39"/>
      <c r="R3418" s="39"/>
      <c r="S3418" s="39"/>
      <c r="T3418" s="39"/>
      <c r="U3418" s="39"/>
    </row>
    <row r="3419">
      <c r="A3419" s="40">
        <f t="shared" si="1"/>
        <v>46006</v>
      </c>
      <c r="B3419" s="37" t="str">
        <f t="array" ref="B3419">iferror(xlookup($I3419, 'IMPORT VHC Report'!$E:$E, 'IMPORT VHC Report'!$A:$C), )</f>
        <v/>
      </c>
      <c r="C3419" s="37"/>
      <c r="D3419" s="37"/>
      <c r="E3419" s="38" t="s">
        <v>4120</v>
      </c>
      <c r="F3419" s="38" t="s">
        <v>4121</v>
      </c>
      <c r="G3419" s="38">
        <v>3.61724828456E11</v>
      </c>
      <c r="H3419" s="38" t="s">
        <v>4122</v>
      </c>
      <c r="I3419" s="38" t="s">
        <v>4123</v>
      </c>
      <c r="J3419" s="38" t="s">
        <v>178</v>
      </c>
      <c r="K3419" s="38" t="s">
        <v>153</v>
      </c>
      <c r="L3419" s="41">
        <v>46006.5</v>
      </c>
      <c r="M3419" s="38" t="s">
        <v>123</v>
      </c>
      <c r="N3419" s="41">
        <v>46006.875</v>
      </c>
      <c r="O3419" s="38" t="s">
        <v>123</v>
      </c>
      <c r="P3419" s="38">
        <v>32400.0</v>
      </c>
      <c r="Q3419" s="38">
        <v>32400.0</v>
      </c>
      <c r="R3419" s="39"/>
      <c r="S3419" s="39"/>
      <c r="T3419" s="39"/>
      <c r="U3419" s="39"/>
    </row>
    <row r="3420">
      <c r="A3420" s="40">
        <f t="shared" si="1"/>
        <v>46006</v>
      </c>
      <c r="B3420" s="37" t="str">
        <f t="array" ref="B3420">iferror(xlookup($I3420, 'IMPORT VHC Report'!$E:$E, 'IMPORT VHC Report'!$A:$C), )</f>
        <v/>
      </c>
      <c r="C3420" s="37"/>
      <c r="D3420" s="37"/>
      <c r="E3420" s="38" t="s">
        <v>4124</v>
      </c>
      <c r="F3420" s="38" t="s">
        <v>4121</v>
      </c>
      <c r="G3420" s="38">
        <v>3.61724828456E11</v>
      </c>
      <c r="H3420" s="38" t="s">
        <v>4122</v>
      </c>
      <c r="I3420" s="38" t="s">
        <v>4123</v>
      </c>
      <c r="J3420" s="38" t="s">
        <v>4125</v>
      </c>
      <c r="K3420" s="38" t="s">
        <v>63</v>
      </c>
      <c r="L3420" s="41">
        <v>46006.5</v>
      </c>
      <c r="M3420" s="38" t="s">
        <v>123</v>
      </c>
      <c r="N3420" s="41">
        <v>46006.875</v>
      </c>
      <c r="O3420" s="38" t="s">
        <v>123</v>
      </c>
      <c r="P3420" s="38">
        <v>32400.0</v>
      </c>
      <c r="Q3420" s="39"/>
      <c r="R3420" s="39"/>
      <c r="S3420" s="39"/>
      <c r="T3420" s="39"/>
      <c r="U3420" s="39"/>
    </row>
    <row r="3421">
      <c r="A3421" s="40">
        <f t="shared" si="1"/>
        <v>46006</v>
      </c>
      <c r="B3421" s="37" t="str">
        <f t="array" ref="B3421">iferror(xlookup($I3421, 'IMPORT VHC Report'!$E:$E, 'IMPORT VHC Report'!$A:$C), )</f>
        <v/>
      </c>
      <c r="C3421" s="37"/>
      <c r="D3421" s="37"/>
      <c r="E3421" s="38" t="s">
        <v>4126</v>
      </c>
      <c r="F3421" s="38" t="s">
        <v>4121</v>
      </c>
      <c r="G3421" s="38">
        <v>3.61724828456E11</v>
      </c>
      <c r="H3421" s="38" t="s">
        <v>4122</v>
      </c>
      <c r="I3421" s="38" t="s">
        <v>4123</v>
      </c>
      <c r="J3421" s="38" t="s">
        <v>134</v>
      </c>
      <c r="K3421" s="38" t="s">
        <v>126</v>
      </c>
      <c r="L3421" s="41">
        <v>46006.614583333336</v>
      </c>
      <c r="M3421" s="38" t="s">
        <v>123</v>
      </c>
      <c r="N3421" s="41">
        <v>46006.625</v>
      </c>
      <c r="O3421" s="38" t="s">
        <v>123</v>
      </c>
      <c r="P3421" s="38">
        <v>900.0</v>
      </c>
      <c r="Q3421" s="39"/>
      <c r="R3421" s="39"/>
      <c r="S3421" s="39"/>
      <c r="T3421" s="39"/>
      <c r="U3421" s="39"/>
    </row>
    <row r="3422">
      <c r="A3422" s="40">
        <f t="shared" si="1"/>
        <v>46006</v>
      </c>
      <c r="B3422" s="37" t="str">
        <f t="array" ref="B3422">iferror(xlookup($I3422, 'IMPORT VHC Report'!$E:$E, 'IMPORT VHC Report'!$A:$C), )</f>
        <v/>
      </c>
      <c r="C3422" s="37"/>
      <c r="D3422" s="37"/>
      <c r="E3422" s="38" t="s">
        <v>4127</v>
      </c>
      <c r="F3422" s="38" t="s">
        <v>4121</v>
      </c>
      <c r="G3422" s="38">
        <v>3.61724828456E11</v>
      </c>
      <c r="H3422" s="38" t="s">
        <v>4122</v>
      </c>
      <c r="I3422" s="38" t="s">
        <v>4123</v>
      </c>
      <c r="J3422" s="38" t="s">
        <v>132</v>
      </c>
      <c r="K3422" s="38" t="s">
        <v>126</v>
      </c>
      <c r="L3422" s="41">
        <v>46006.6875</v>
      </c>
      <c r="M3422" s="38" t="s">
        <v>123</v>
      </c>
      <c r="N3422" s="41">
        <v>46006.729166666664</v>
      </c>
      <c r="O3422" s="38" t="s">
        <v>123</v>
      </c>
      <c r="P3422" s="38">
        <v>3600.0</v>
      </c>
      <c r="Q3422" s="39"/>
      <c r="R3422" s="39"/>
      <c r="S3422" s="39"/>
      <c r="T3422" s="39"/>
      <c r="U3422" s="39"/>
    </row>
    <row r="3423">
      <c r="A3423" s="40">
        <f t="shared" si="1"/>
        <v>46006</v>
      </c>
      <c r="B3423" s="37" t="str">
        <f t="array" ref="B3423">iferror(xlookup($I3423, 'IMPORT VHC Report'!$E:$E, 'IMPORT VHC Report'!$A:$C), )</f>
        <v/>
      </c>
      <c r="C3423" s="37"/>
      <c r="D3423" s="37"/>
      <c r="E3423" s="38" t="s">
        <v>4128</v>
      </c>
      <c r="F3423" s="38" t="s">
        <v>4121</v>
      </c>
      <c r="G3423" s="38">
        <v>3.61724828456E11</v>
      </c>
      <c r="H3423" s="38" t="s">
        <v>4122</v>
      </c>
      <c r="I3423" s="38" t="s">
        <v>4123</v>
      </c>
      <c r="J3423" s="38" t="s">
        <v>134</v>
      </c>
      <c r="K3423" s="38" t="s">
        <v>126</v>
      </c>
      <c r="L3423" s="41">
        <v>46006.802083333336</v>
      </c>
      <c r="M3423" s="38" t="s">
        <v>123</v>
      </c>
      <c r="N3423" s="41">
        <v>46006.8125</v>
      </c>
      <c r="O3423" s="38" t="s">
        <v>123</v>
      </c>
      <c r="P3423" s="38">
        <v>900.0</v>
      </c>
      <c r="Q3423" s="39"/>
      <c r="R3423" s="39"/>
      <c r="S3423" s="39"/>
      <c r="T3423" s="39"/>
      <c r="U3423" s="39"/>
    </row>
    <row r="3424">
      <c r="A3424" s="40">
        <f t="shared" si="1"/>
        <v>46006</v>
      </c>
      <c r="B3424" s="37" t="str">
        <f t="array" ref="B3424">iferror(xlookup($I3424, 'IMPORT VHC Report'!$E:$E, 'IMPORT VHC Report'!$A:$C), )</f>
        <v/>
      </c>
      <c r="C3424" s="37"/>
      <c r="D3424" s="37"/>
      <c r="E3424" s="38" t="s">
        <v>4129</v>
      </c>
      <c r="F3424" s="38" t="s">
        <v>4121</v>
      </c>
      <c r="G3424" s="38">
        <v>3.61724828456E11</v>
      </c>
      <c r="H3424" s="38" t="s">
        <v>4122</v>
      </c>
      <c r="I3424" s="38" t="s">
        <v>4123</v>
      </c>
      <c r="J3424" s="38" t="s">
        <v>178</v>
      </c>
      <c r="K3424" s="38" t="s">
        <v>153</v>
      </c>
      <c r="L3424" s="41">
        <v>46007.5</v>
      </c>
      <c r="M3424" s="38" t="s">
        <v>123</v>
      </c>
      <c r="N3424" s="41">
        <v>46007.875</v>
      </c>
      <c r="O3424" s="38" t="s">
        <v>123</v>
      </c>
      <c r="P3424" s="38">
        <v>32400.0</v>
      </c>
      <c r="Q3424" s="38">
        <v>32400.0</v>
      </c>
      <c r="R3424" s="39"/>
      <c r="S3424" s="39"/>
      <c r="T3424" s="39"/>
      <c r="U3424" s="39"/>
    </row>
    <row r="3425">
      <c r="A3425" s="40">
        <f t="shared" si="1"/>
        <v>46006</v>
      </c>
      <c r="B3425" s="37" t="str">
        <f t="array" ref="B3425">iferror(xlookup($I3425, 'IMPORT VHC Report'!$E:$E, 'IMPORT VHC Report'!$A:$C), )</f>
        <v/>
      </c>
      <c r="C3425" s="37"/>
      <c r="D3425" s="37"/>
      <c r="E3425" s="38" t="s">
        <v>4130</v>
      </c>
      <c r="F3425" s="38" t="s">
        <v>4121</v>
      </c>
      <c r="G3425" s="38">
        <v>3.61724828456E11</v>
      </c>
      <c r="H3425" s="38" t="s">
        <v>4122</v>
      </c>
      <c r="I3425" s="38" t="s">
        <v>4123</v>
      </c>
      <c r="J3425" s="38" t="s">
        <v>4125</v>
      </c>
      <c r="K3425" s="38" t="s">
        <v>63</v>
      </c>
      <c r="L3425" s="41">
        <v>46007.5</v>
      </c>
      <c r="M3425" s="38" t="s">
        <v>123</v>
      </c>
      <c r="N3425" s="41">
        <v>46007.875</v>
      </c>
      <c r="O3425" s="38" t="s">
        <v>123</v>
      </c>
      <c r="P3425" s="38">
        <v>32400.0</v>
      </c>
      <c r="Q3425" s="39"/>
      <c r="R3425" s="39"/>
      <c r="S3425" s="39"/>
      <c r="T3425" s="39"/>
      <c r="U3425" s="39"/>
    </row>
    <row r="3426">
      <c r="A3426" s="40">
        <f t="shared" si="1"/>
        <v>46006</v>
      </c>
      <c r="B3426" s="37" t="str">
        <f t="array" ref="B3426">iferror(xlookup($I3426, 'IMPORT VHC Report'!$E:$E, 'IMPORT VHC Report'!$A:$C), )</f>
        <v/>
      </c>
      <c r="C3426" s="37"/>
      <c r="D3426" s="37"/>
      <c r="E3426" s="38" t="s">
        <v>4131</v>
      </c>
      <c r="F3426" s="38" t="s">
        <v>4121</v>
      </c>
      <c r="G3426" s="38">
        <v>3.61724828456E11</v>
      </c>
      <c r="H3426" s="38" t="s">
        <v>4122</v>
      </c>
      <c r="I3426" s="38" t="s">
        <v>4123</v>
      </c>
      <c r="J3426" s="38" t="s">
        <v>134</v>
      </c>
      <c r="K3426" s="38" t="s">
        <v>126</v>
      </c>
      <c r="L3426" s="41">
        <v>46007.614583333336</v>
      </c>
      <c r="M3426" s="38" t="s">
        <v>123</v>
      </c>
      <c r="N3426" s="41">
        <v>46007.625</v>
      </c>
      <c r="O3426" s="38" t="s">
        <v>123</v>
      </c>
      <c r="P3426" s="38">
        <v>900.0</v>
      </c>
      <c r="Q3426" s="39"/>
      <c r="R3426" s="39"/>
      <c r="S3426" s="39"/>
      <c r="T3426" s="39"/>
      <c r="U3426" s="39"/>
    </row>
    <row r="3427">
      <c r="A3427" s="40">
        <f t="shared" si="1"/>
        <v>46006</v>
      </c>
      <c r="B3427" s="37" t="str">
        <f t="array" ref="B3427">iferror(xlookup($I3427, 'IMPORT VHC Report'!$E:$E, 'IMPORT VHC Report'!$A:$C), )</f>
        <v/>
      </c>
      <c r="C3427" s="37"/>
      <c r="D3427" s="37"/>
      <c r="E3427" s="38" t="s">
        <v>4132</v>
      </c>
      <c r="F3427" s="38" t="s">
        <v>4121</v>
      </c>
      <c r="G3427" s="38">
        <v>3.61724828456E11</v>
      </c>
      <c r="H3427" s="38" t="s">
        <v>4122</v>
      </c>
      <c r="I3427" s="38" t="s">
        <v>4123</v>
      </c>
      <c r="J3427" s="38" t="s">
        <v>132</v>
      </c>
      <c r="K3427" s="38" t="s">
        <v>126</v>
      </c>
      <c r="L3427" s="41">
        <v>46007.6875</v>
      </c>
      <c r="M3427" s="38" t="s">
        <v>123</v>
      </c>
      <c r="N3427" s="41">
        <v>46007.729166666664</v>
      </c>
      <c r="O3427" s="38" t="s">
        <v>123</v>
      </c>
      <c r="P3427" s="38">
        <v>3600.0</v>
      </c>
      <c r="Q3427" s="39"/>
      <c r="R3427" s="39"/>
      <c r="S3427" s="39"/>
      <c r="T3427" s="39"/>
      <c r="U3427" s="39"/>
    </row>
    <row r="3428">
      <c r="A3428" s="40">
        <f t="shared" si="1"/>
        <v>46006</v>
      </c>
      <c r="B3428" s="37" t="str">
        <f t="array" ref="B3428">iferror(xlookup($I3428, 'IMPORT VHC Report'!$E:$E, 'IMPORT VHC Report'!$A:$C), )</f>
        <v/>
      </c>
      <c r="C3428" s="37"/>
      <c r="D3428" s="37"/>
      <c r="E3428" s="38" t="s">
        <v>4133</v>
      </c>
      <c r="F3428" s="38" t="s">
        <v>4121</v>
      </c>
      <c r="G3428" s="38">
        <v>3.61724828456E11</v>
      </c>
      <c r="H3428" s="38" t="s">
        <v>4122</v>
      </c>
      <c r="I3428" s="38" t="s">
        <v>4123</v>
      </c>
      <c r="J3428" s="38" t="s">
        <v>134</v>
      </c>
      <c r="K3428" s="38" t="s">
        <v>126</v>
      </c>
      <c r="L3428" s="41">
        <v>46007.791666666664</v>
      </c>
      <c r="M3428" s="38" t="s">
        <v>123</v>
      </c>
      <c r="N3428" s="41">
        <v>46007.802083333336</v>
      </c>
      <c r="O3428" s="38" t="s">
        <v>123</v>
      </c>
      <c r="P3428" s="38">
        <v>900.0</v>
      </c>
      <c r="Q3428" s="39"/>
      <c r="R3428" s="39"/>
      <c r="S3428" s="39"/>
      <c r="T3428" s="39"/>
      <c r="U3428" s="39"/>
    </row>
    <row r="3429">
      <c r="A3429" s="40">
        <f t="shared" si="1"/>
        <v>46006</v>
      </c>
      <c r="B3429" s="37" t="str">
        <f t="array" ref="B3429">iferror(xlookup($I3429, 'IMPORT VHC Report'!$E:$E, 'IMPORT VHC Report'!$A:$C), )</f>
        <v/>
      </c>
      <c r="C3429" s="37"/>
      <c r="D3429" s="37"/>
      <c r="E3429" s="38" t="s">
        <v>4134</v>
      </c>
      <c r="F3429" s="38" t="s">
        <v>4121</v>
      </c>
      <c r="G3429" s="38">
        <v>3.61724828456E11</v>
      </c>
      <c r="H3429" s="38" t="s">
        <v>4122</v>
      </c>
      <c r="I3429" s="38" t="s">
        <v>4123</v>
      </c>
      <c r="J3429" s="38" t="s">
        <v>4125</v>
      </c>
      <c r="K3429" s="38" t="s">
        <v>63</v>
      </c>
      <c r="L3429" s="41">
        <v>46008.5</v>
      </c>
      <c r="M3429" s="38" t="s">
        <v>123</v>
      </c>
      <c r="N3429" s="41">
        <v>46008.875</v>
      </c>
      <c r="O3429" s="38" t="s">
        <v>123</v>
      </c>
      <c r="P3429" s="38">
        <v>32400.0</v>
      </c>
      <c r="Q3429" s="39"/>
      <c r="R3429" s="39"/>
      <c r="S3429" s="39"/>
      <c r="T3429" s="39"/>
      <c r="U3429" s="39"/>
    </row>
    <row r="3430">
      <c r="A3430" s="40">
        <f t="shared" si="1"/>
        <v>46006</v>
      </c>
      <c r="B3430" s="37" t="str">
        <f t="array" ref="B3430">iferror(xlookup($I3430, 'IMPORT VHC Report'!$E:$E, 'IMPORT VHC Report'!$A:$C), )</f>
        <v/>
      </c>
      <c r="C3430" s="37"/>
      <c r="D3430" s="37"/>
      <c r="E3430" s="38" t="s">
        <v>4135</v>
      </c>
      <c r="F3430" s="38" t="s">
        <v>4121</v>
      </c>
      <c r="G3430" s="38">
        <v>3.61724828456E11</v>
      </c>
      <c r="H3430" s="38" t="s">
        <v>4122</v>
      </c>
      <c r="I3430" s="38" t="s">
        <v>4123</v>
      </c>
      <c r="J3430" s="38" t="s">
        <v>134</v>
      </c>
      <c r="K3430" s="38" t="s">
        <v>126</v>
      </c>
      <c r="L3430" s="41">
        <v>46008.59375</v>
      </c>
      <c r="M3430" s="38" t="s">
        <v>123</v>
      </c>
      <c r="N3430" s="41">
        <v>46008.604166666664</v>
      </c>
      <c r="O3430" s="38" t="s">
        <v>123</v>
      </c>
      <c r="P3430" s="38">
        <v>900.0</v>
      </c>
      <c r="Q3430" s="39"/>
      <c r="R3430" s="39"/>
      <c r="S3430" s="39"/>
      <c r="T3430" s="39"/>
      <c r="U3430" s="39"/>
    </row>
    <row r="3431">
      <c r="A3431" s="40">
        <f t="shared" si="1"/>
        <v>46006</v>
      </c>
      <c r="B3431" s="37" t="str">
        <f t="array" ref="B3431">iferror(xlookup($I3431, 'IMPORT VHC Report'!$E:$E, 'IMPORT VHC Report'!$A:$C), )</f>
        <v/>
      </c>
      <c r="C3431" s="37"/>
      <c r="D3431" s="37"/>
      <c r="E3431" s="38" t="s">
        <v>4136</v>
      </c>
      <c r="F3431" s="38" t="s">
        <v>4121</v>
      </c>
      <c r="G3431" s="38">
        <v>3.61724828456E11</v>
      </c>
      <c r="H3431" s="38" t="s">
        <v>4122</v>
      </c>
      <c r="I3431" s="38" t="s">
        <v>4123</v>
      </c>
      <c r="J3431" s="38" t="s">
        <v>132</v>
      </c>
      <c r="K3431" s="38" t="s">
        <v>126</v>
      </c>
      <c r="L3431" s="41">
        <v>46008.6875</v>
      </c>
      <c r="M3431" s="38" t="s">
        <v>123</v>
      </c>
      <c r="N3431" s="41">
        <v>46008.729166666664</v>
      </c>
      <c r="O3431" s="38" t="s">
        <v>123</v>
      </c>
      <c r="P3431" s="38">
        <v>3600.0</v>
      </c>
      <c r="Q3431" s="39"/>
      <c r="R3431" s="39"/>
      <c r="S3431" s="39"/>
      <c r="T3431" s="39"/>
      <c r="U3431" s="39"/>
    </row>
    <row r="3432">
      <c r="A3432" s="40">
        <f t="shared" si="1"/>
        <v>46006</v>
      </c>
      <c r="B3432" s="37" t="str">
        <f t="array" ref="B3432">iferror(xlookup($I3432, 'IMPORT VHC Report'!$E:$E, 'IMPORT VHC Report'!$A:$C), )</f>
        <v/>
      </c>
      <c r="C3432" s="37"/>
      <c r="D3432" s="37"/>
      <c r="E3432" s="38" t="s">
        <v>4137</v>
      </c>
      <c r="F3432" s="38" t="s">
        <v>4121</v>
      </c>
      <c r="G3432" s="38">
        <v>3.61724828456E11</v>
      </c>
      <c r="H3432" s="38" t="s">
        <v>4122</v>
      </c>
      <c r="I3432" s="38" t="s">
        <v>4123</v>
      </c>
      <c r="J3432" s="38" t="s">
        <v>134</v>
      </c>
      <c r="K3432" s="38" t="s">
        <v>126</v>
      </c>
      <c r="L3432" s="41">
        <v>46008.791666666664</v>
      </c>
      <c r="M3432" s="38" t="s">
        <v>123</v>
      </c>
      <c r="N3432" s="41">
        <v>46008.802083333336</v>
      </c>
      <c r="O3432" s="38" t="s">
        <v>123</v>
      </c>
      <c r="P3432" s="38">
        <v>900.0</v>
      </c>
      <c r="Q3432" s="39"/>
      <c r="R3432" s="39"/>
      <c r="S3432" s="39"/>
      <c r="T3432" s="39"/>
      <c r="U3432" s="39"/>
    </row>
    <row r="3433">
      <c r="A3433" s="40">
        <f t="shared" si="1"/>
        <v>46006</v>
      </c>
      <c r="B3433" s="37" t="str">
        <f t="array" ref="B3433">iferror(xlookup($I3433, 'IMPORT VHC Report'!$E:$E, 'IMPORT VHC Report'!$A:$C), )</f>
        <v/>
      </c>
      <c r="C3433" s="37"/>
      <c r="D3433" s="37"/>
      <c r="E3433" s="38" t="s">
        <v>4138</v>
      </c>
      <c r="F3433" s="38" t="s">
        <v>4121</v>
      </c>
      <c r="G3433" s="38">
        <v>3.61724828456E11</v>
      </c>
      <c r="H3433" s="38" t="s">
        <v>4122</v>
      </c>
      <c r="I3433" s="38" t="s">
        <v>4123</v>
      </c>
      <c r="J3433" s="38" t="s">
        <v>4125</v>
      </c>
      <c r="K3433" s="38" t="s">
        <v>63</v>
      </c>
      <c r="L3433" s="41">
        <v>46009.5</v>
      </c>
      <c r="M3433" s="38" t="s">
        <v>123</v>
      </c>
      <c r="N3433" s="41">
        <v>46009.875</v>
      </c>
      <c r="O3433" s="38" t="s">
        <v>123</v>
      </c>
      <c r="P3433" s="38">
        <v>32400.0</v>
      </c>
      <c r="Q3433" s="39"/>
      <c r="R3433" s="39"/>
      <c r="S3433" s="39"/>
      <c r="T3433" s="39"/>
      <c r="U3433" s="39"/>
    </row>
    <row r="3434">
      <c r="A3434" s="40">
        <f t="shared" si="1"/>
        <v>46006</v>
      </c>
      <c r="B3434" s="37" t="str">
        <f t="array" ref="B3434">iferror(xlookup($I3434, 'IMPORT VHC Report'!$E:$E, 'IMPORT VHC Report'!$A:$C), )</f>
        <v/>
      </c>
      <c r="C3434" s="37"/>
      <c r="D3434" s="37"/>
      <c r="E3434" s="38" t="s">
        <v>4139</v>
      </c>
      <c r="F3434" s="38" t="s">
        <v>4121</v>
      </c>
      <c r="G3434" s="38">
        <v>3.61724828456E11</v>
      </c>
      <c r="H3434" s="38" t="s">
        <v>4122</v>
      </c>
      <c r="I3434" s="38" t="s">
        <v>4123</v>
      </c>
      <c r="J3434" s="38" t="s">
        <v>134</v>
      </c>
      <c r="K3434" s="38" t="s">
        <v>126</v>
      </c>
      <c r="L3434" s="41">
        <v>46009.572916666664</v>
      </c>
      <c r="M3434" s="38" t="s">
        <v>123</v>
      </c>
      <c r="N3434" s="41">
        <v>46009.583333333336</v>
      </c>
      <c r="O3434" s="38" t="s">
        <v>123</v>
      </c>
      <c r="P3434" s="38">
        <v>900.0</v>
      </c>
      <c r="Q3434" s="39"/>
      <c r="R3434" s="39"/>
      <c r="S3434" s="39"/>
      <c r="T3434" s="39"/>
      <c r="U3434" s="39"/>
    </row>
    <row r="3435">
      <c r="A3435" s="40">
        <f t="shared" si="1"/>
        <v>46006</v>
      </c>
      <c r="B3435" s="37" t="str">
        <f t="array" ref="B3435">iferror(xlookup($I3435, 'IMPORT VHC Report'!$E:$E, 'IMPORT VHC Report'!$A:$C), )</f>
        <v/>
      </c>
      <c r="C3435" s="37"/>
      <c r="D3435" s="37"/>
      <c r="E3435" s="38" t="s">
        <v>4140</v>
      </c>
      <c r="F3435" s="38" t="s">
        <v>4121</v>
      </c>
      <c r="G3435" s="38">
        <v>3.61724828456E11</v>
      </c>
      <c r="H3435" s="38" t="s">
        <v>4122</v>
      </c>
      <c r="I3435" s="38" t="s">
        <v>4123</v>
      </c>
      <c r="J3435" s="38" t="s">
        <v>132</v>
      </c>
      <c r="K3435" s="38" t="s">
        <v>126</v>
      </c>
      <c r="L3435" s="41">
        <v>46009.645833333336</v>
      </c>
      <c r="M3435" s="38" t="s">
        <v>123</v>
      </c>
      <c r="N3435" s="41">
        <v>46009.6875</v>
      </c>
      <c r="O3435" s="38" t="s">
        <v>123</v>
      </c>
      <c r="P3435" s="38">
        <v>3600.0</v>
      </c>
      <c r="Q3435" s="39"/>
      <c r="R3435" s="39"/>
      <c r="S3435" s="39"/>
      <c r="T3435" s="39"/>
      <c r="U3435" s="39"/>
    </row>
    <row r="3436">
      <c r="A3436" s="40">
        <f t="shared" si="1"/>
        <v>46006</v>
      </c>
      <c r="B3436" s="37" t="str">
        <f t="array" ref="B3436">iferror(xlookup($I3436, 'IMPORT VHC Report'!$E:$E, 'IMPORT VHC Report'!$A:$C), )</f>
        <v/>
      </c>
      <c r="C3436" s="37"/>
      <c r="D3436" s="37"/>
      <c r="E3436" s="38" t="s">
        <v>4141</v>
      </c>
      <c r="F3436" s="38" t="s">
        <v>4121</v>
      </c>
      <c r="G3436" s="38">
        <v>3.61724828456E11</v>
      </c>
      <c r="H3436" s="38" t="s">
        <v>4122</v>
      </c>
      <c r="I3436" s="38" t="s">
        <v>4123</v>
      </c>
      <c r="J3436" s="38" t="s">
        <v>134</v>
      </c>
      <c r="K3436" s="38" t="s">
        <v>126</v>
      </c>
      <c r="L3436" s="41">
        <v>46009.802083333336</v>
      </c>
      <c r="M3436" s="38" t="s">
        <v>123</v>
      </c>
      <c r="N3436" s="41">
        <v>46009.8125</v>
      </c>
      <c r="O3436" s="38" t="s">
        <v>123</v>
      </c>
      <c r="P3436" s="38">
        <v>900.0</v>
      </c>
      <c r="Q3436" s="39"/>
      <c r="R3436" s="39"/>
      <c r="S3436" s="39"/>
      <c r="T3436" s="39"/>
      <c r="U3436" s="39"/>
    </row>
    <row r="3437">
      <c r="A3437" s="40">
        <f t="shared" si="1"/>
        <v>46006</v>
      </c>
      <c r="B3437" s="37" t="str">
        <f t="array" ref="B3437">iferror(xlookup($I3437, 'IMPORT VHC Report'!$E:$E, 'IMPORT VHC Report'!$A:$C), )</f>
        <v/>
      </c>
      <c r="C3437" s="37"/>
      <c r="D3437" s="37"/>
      <c r="E3437" s="38" t="s">
        <v>4142</v>
      </c>
      <c r="F3437" s="38" t="s">
        <v>4121</v>
      </c>
      <c r="G3437" s="38">
        <v>3.61724828456E11</v>
      </c>
      <c r="H3437" s="38" t="s">
        <v>4122</v>
      </c>
      <c r="I3437" s="38" t="s">
        <v>4123</v>
      </c>
      <c r="J3437" s="38" t="s">
        <v>4125</v>
      </c>
      <c r="K3437" s="38" t="s">
        <v>63</v>
      </c>
      <c r="L3437" s="41">
        <v>46010.5</v>
      </c>
      <c r="M3437" s="38" t="s">
        <v>123</v>
      </c>
      <c r="N3437" s="41">
        <v>46010.875</v>
      </c>
      <c r="O3437" s="38" t="s">
        <v>123</v>
      </c>
      <c r="P3437" s="38">
        <v>32400.0</v>
      </c>
      <c r="Q3437" s="39"/>
      <c r="R3437" s="39"/>
      <c r="S3437" s="39"/>
      <c r="T3437" s="39"/>
      <c r="U3437" s="39"/>
    </row>
    <row r="3438">
      <c r="A3438" s="40">
        <f t="shared" si="1"/>
        <v>46006</v>
      </c>
      <c r="B3438" s="37" t="str">
        <f t="array" ref="B3438">iferror(xlookup($I3438, 'IMPORT VHC Report'!$E:$E, 'IMPORT VHC Report'!$A:$C), )</f>
        <v/>
      </c>
      <c r="C3438" s="37"/>
      <c r="D3438" s="37"/>
      <c r="E3438" s="38" t="s">
        <v>4143</v>
      </c>
      <c r="F3438" s="38" t="s">
        <v>4121</v>
      </c>
      <c r="G3438" s="38">
        <v>3.61724828456E11</v>
      </c>
      <c r="H3438" s="38" t="s">
        <v>4122</v>
      </c>
      <c r="I3438" s="38" t="s">
        <v>4123</v>
      </c>
      <c r="J3438" s="38" t="s">
        <v>134</v>
      </c>
      <c r="K3438" s="38" t="s">
        <v>126</v>
      </c>
      <c r="L3438" s="41">
        <v>46010.5625</v>
      </c>
      <c r="M3438" s="38" t="s">
        <v>123</v>
      </c>
      <c r="N3438" s="41">
        <v>46010.572916666664</v>
      </c>
      <c r="O3438" s="38" t="s">
        <v>123</v>
      </c>
      <c r="P3438" s="38">
        <v>900.0</v>
      </c>
      <c r="Q3438" s="39"/>
      <c r="R3438" s="39"/>
      <c r="S3438" s="39"/>
      <c r="T3438" s="39"/>
      <c r="U3438" s="39"/>
    </row>
    <row r="3439">
      <c r="A3439" s="40">
        <f t="shared" si="1"/>
        <v>46006</v>
      </c>
      <c r="B3439" s="37" t="str">
        <f t="array" ref="B3439">iferror(xlookup($I3439, 'IMPORT VHC Report'!$E:$E, 'IMPORT VHC Report'!$A:$C), )</f>
        <v/>
      </c>
      <c r="C3439" s="37"/>
      <c r="D3439" s="37"/>
      <c r="E3439" s="38" t="s">
        <v>4144</v>
      </c>
      <c r="F3439" s="38" t="s">
        <v>4121</v>
      </c>
      <c r="G3439" s="38">
        <v>3.61724828456E11</v>
      </c>
      <c r="H3439" s="38" t="s">
        <v>4122</v>
      </c>
      <c r="I3439" s="38" t="s">
        <v>4123</v>
      </c>
      <c r="J3439" s="38" t="s">
        <v>132</v>
      </c>
      <c r="K3439" s="38" t="s">
        <v>126</v>
      </c>
      <c r="L3439" s="41">
        <v>46010.666666666664</v>
      </c>
      <c r="M3439" s="38" t="s">
        <v>123</v>
      </c>
      <c r="N3439" s="41">
        <v>46010.708333333336</v>
      </c>
      <c r="O3439" s="38" t="s">
        <v>123</v>
      </c>
      <c r="P3439" s="38">
        <v>3600.0</v>
      </c>
      <c r="Q3439" s="39"/>
      <c r="R3439" s="39"/>
      <c r="S3439" s="39"/>
      <c r="T3439" s="39"/>
      <c r="U3439" s="39"/>
    </row>
    <row r="3440">
      <c r="A3440" s="40">
        <f t="shared" si="1"/>
        <v>46006</v>
      </c>
      <c r="B3440" s="37" t="str">
        <f t="array" ref="B3440">iferror(xlookup($I3440, 'IMPORT VHC Report'!$E:$E, 'IMPORT VHC Report'!$A:$C), )</f>
        <v/>
      </c>
      <c r="C3440" s="37"/>
      <c r="D3440" s="37"/>
      <c r="E3440" s="38" t="s">
        <v>4145</v>
      </c>
      <c r="F3440" s="38" t="s">
        <v>4121</v>
      </c>
      <c r="G3440" s="38">
        <v>3.61724828456E11</v>
      </c>
      <c r="H3440" s="38" t="s">
        <v>4122</v>
      </c>
      <c r="I3440" s="38" t="s">
        <v>4123</v>
      </c>
      <c r="J3440" s="38" t="s">
        <v>134</v>
      </c>
      <c r="K3440" s="38" t="s">
        <v>126</v>
      </c>
      <c r="L3440" s="41">
        <v>46010.770833333336</v>
      </c>
      <c r="M3440" s="38" t="s">
        <v>123</v>
      </c>
      <c r="N3440" s="41">
        <v>46010.78125</v>
      </c>
      <c r="O3440" s="38" t="s">
        <v>123</v>
      </c>
      <c r="P3440" s="38">
        <v>900.0</v>
      </c>
      <c r="Q3440" s="39"/>
      <c r="R3440" s="39"/>
      <c r="S3440" s="39"/>
      <c r="T3440" s="39"/>
      <c r="U3440" s="39"/>
    </row>
    <row r="3441">
      <c r="A3441" s="40">
        <f t="shared" si="1"/>
        <v>46006</v>
      </c>
      <c r="B3441" s="37" t="str">
        <f t="array" ref="B3441">iferror(xlookup($I3441, 'IMPORT VHC Report'!$E:$E, 'IMPORT VHC Report'!$A:$C), )</f>
        <v/>
      </c>
      <c r="C3441" s="37"/>
      <c r="D3441" s="37"/>
      <c r="E3441" s="38" t="s">
        <v>4146</v>
      </c>
      <c r="F3441" s="38" t="s">
        <v>4147</v>
      </c>
      <c r="G3441" s="38">
        <v>3.61750008275E11</v>
      </c>
      <c r="H3441" s="38" t="s">
        <v>4148</v>
      </c>
      <c r="I3441" s="38" t="s">
        <v>4149</v>
      </c>
      <c r="J3441" s="38" t="s">
        <v>4</v>
      </c>
      <c r="K3441" s="38" t="s">
        <v>126</v>
      </c>
      <c r="L3441" s="41">
        <v>46006.541666666664</v>
      </c>
      <c r="M3441" s="38" t="s">
        <v>123</v>
      </c>
      <c r="N3441" s="41">
        <v>46006.5625</v>
      </c>
      <c r="O3441" s="38" t="s">
        <v>123</v>
      </c>
      <c r="P3441" s="38">
        <v>1800.0</v>
      </c>
      <c r="Q3441" s="39"/>
      <c r="R3441" s="39"/>
      <c r="S3441" s="39"/>
      <c r="T3441" s="39"/>
      <c r="U3441" s="39"/>
    </row>
    <row r="3442">
      <c r="A3442" s="40">
        <f t="shared" si="1"/>
        <v>46006</v>
      </c>
      <c r="B3442" s="37" t="str">
        <f t="array" ref="B3442">iferror(xlookup($I3442, 'IMPORT VHC Report'!$E:$E, 'IMPORT VHC Report'!$A:$C), )</f>
        <v/>
      </c>
      <c r="C3442" s="37"/>
      <c r="D3442" s="37"/>
      <c r="E3442" s="38" t="s">
        <v>4150</v>
      </c>
      <c r="F3442" s="38" t="s">
        <v>4147</v>
      </c>
      <c r="G3442" s="38">
        <v>3.61750008275E11</v>
      </c>
      <c r="H3442" s="38" t="s">
        <v>4148</v>
      </c>
      <c r="I3442" s="38" t="s">
        <v>4149</v>
      </c>
      <c r="J3442" s="38" t="s">
        <v>530</v>
      </c>
      <c r="K3442" s="38" t="s">
        <v>63</v>
      </c>
      <c r="L3442" s="41">
        <v>46006.541666666664</v>
      </c>
      <c r="M3442" s="38" t="s">
        <v>123</v>
      </c>
      <c r="N3442" s="41">
        <v>46006.916666666664</v>
      </c>
      <c r="O3442" s="38" t="s">
        <v>123</v>
      </c>
      <c r="P3442" s="38">
        <v>32400.0</v>
      </c>
      <c r="Q3442" s="39"/>
      <c r="R3442" s="39"/>
      <c r="S3442" s="39"/>
      <c r="T3442" s="39"/>
      <c r="U3442" s="39"/>
    </row>
    <row r="3443">
      <c r="A3443" s="40">
        <f t="shared" si="1"/>
        <v>46006</v>
      </c>
      <c r="B3443" s="37" t="str">
        <f t="array" ref="B3443">iferror(xlookup($I3443, 'IMPORT VHC Report'!$E:$E, 'IMPORT VHC Report'!$A:$C), )</f>
        <v/>
      </c>
      <c r="C3443" s="37"/>
      <c r="D3443" s="37"/>
      <c r="E3443" s="38" t="s">
        <v>4151</v>
      </c>
      <c r="F3443" s="38" t="s">
        <v>4147</v>
      </c>
      <c r="G3443" s="38">
        <v>3.61750008275E11</v>
      </c>
      <c r="H3443" s="38" t="s">
        <v>4148</v>
      </c>
      <c r="I3443" s="38" t="s">
        <v>4149</v>
      </c>
      <c r="J3443" s="38" t="s">
        <v>132</v>
      </c>
      <c r="K3443" s="38" t="s">
        <v>126</v>
      </c>
      <c r="L3443" s="41">
        <v>46006.65625</v>
      </c>
      <c r="M3443" s="38" t="s">
        <v>123</v>
      </c>
      <c r="N3443" s="41">
        <v>46006.697916666664</v>
      </c>
      <c r="O3443" s="38" t="s">
        <v>123</v>
      </c>
      <c r="P3443" s="38">
        <v>3600.0</v>
      </c>
      <c r="Q3443" s="39"/>
      <c r="R3443" s="39"/>
      <c r="S3443" s="39"/>
      <c r="T3443" s="39"/>
      <c r="U3443" s="39"/>
    </row>
    <row r="3444">
      <c r="A3444" s="40">
        <f t="shared" si="1"/>
        <v>46006</v>
      </c>
      <c r="B3444" s="37" t="str">
        <f t="array" ref="B3444">iferror(xlookup($I3444, 'IMPORT VHC Report'!$E:$E, 'IMPORT VHC Report'!$A:$C), )</f>
        <v/>
      </c>
      <c r="C3444" s="37"/>
      <c r="D3444" s="37"/>
      <c r="E3444" s="38" t="s">
        <v>4152</v>
      </c>
      <c r="F3444" s="38" t="s">
        <v>4147</v>
      </c>
      <c r="G3444" s="38">
        <v>3.61750008275E11</v>
      </c>
      <c r="H3444" s="38" t="s">
        <v>4148</v>
      </c>
      <c r="I3444" s="38" t="s">
        <v>4149</v>
      </c>
      <c r="J3444" s="38" t="s">
        <v>134</v>
      </c>
      <c r="K3444" s="38" t="s">
        <v>126</v>
      </c>
      <c r="L3444" s="41">
        <v>46006.8125</v>
      </c>
      <c r="M3444" s="38" t="s">
        <v>123</v>
      </c>
      <c r="N3444" s="41">
        <v>46006.833333333336</v>
      </c>
      <c r="O3444" s="38" t="s">
        <v>123</v>
      </c>
      <c r="P3444" s="38">
        <v>1800.0</v>
      </c>
      <c r="Q3444" s="39"/>
      <c r="R3444" s="39"/>
      <c r="S3444" s="39"/>
      <c r="T3444" s="39"/>
      <c r="U3444" s="39"/>
    </row>
    <row r="3445">
      <c r="A3445" s="40">
        <f t="shared" si="1"/>
        <v>46006</v>
      </c>
      <c r="B3445" s="37" t="str">
        <f t="array" ref="B3445">iferror(xlookup($I3445, 'IMPORT VHC Report'!$E:$E, 'IMPORT VHC Report'!$A:$C), )</f>
        <v/>
      </c>
      <c r="C3445" s="37"/>
      <c r="D3445" s="37"/>
      <c r="E3445" s="38" t="s">
        <v>4153</v>
      </c>
      <c r="F3445" s="38" t="s">
        <v>4147</v>
      </c>
      <c r="G3445" s="38">
        <v>3.61750008275E11</v>
      </c>
      <c r="H3445" s="38" t="s">
        <v>4148</v>
      </c>
      <c r="I3445" s="38" t="s">
        <v>4149</v>
      </c>
      <c r="J3445" s="38" t="s">
        <v>4</v>
      </c>
      <c r="K3445" s="38" t="s">
        <v>126</v>
      </c>
      <c r="L3445" s="41">
        <v>46007.541666666664</v>
      </c>
      <c r="M3445" s="38" t="s">
        <v>123</v>
      </c>
      <c r="N3445" s="41">
        <v>46007.5625</v>
      </c>
      <c r="O3445" s="38" t="s">
        <v>123</v>
      </c>
      <c r="P3445" s="38">
        <v>1800.0</v>
      </c>
      <c r="Q3445" s="39"/>
      <c r="R3445" s="39"/>
      <c r="S3445" s="39"/>
      <c r="T3445" s="39"/>
      <c r="U3445" s="39"/>
    </row>
    <row r="3446">
      <c r="A3446" s="40">
        <f t="shared" si="1"/>
        <v>46006</v>
      </c>
      <c r="B3446" s="37" t="str">
        <f t="array" ref="B3446">iferror(xlookup($I3446, 'IMPORT VHC Report'!$E:$E, 'IMPORT VHC Report'!$A:$C), )</f>
        <v/>
      </c>
      <c r="C3446" s="37"/>
      <c r="D3446" s="37"/>
      <c r="E3446" s="38" t="s">
        <v>4154</v>
      </c>
      <c r="F3446" s="38" t="s">
        <v>4147</v>
      </c>
      <c r="G3446" s="38">
        <v>3.61750008275E11</v>
      </c>
      <c r="H3446" s="38" t="s">
        <v>4148</v>
      </c>
      <c r="I3446" s="38" t="s">
        <v>4149</v>
      </c>
      <c r="J3446" s="38" t="s">
        <v>530</v>
      </c>
      <c r="K3446" s="38" t="s">
        <v>63</v>
      </c>
      <c r="L3446" s="41">
        <v>46007.541666666664</v>
      </c>
      <c r="M3446" s="38" t="s">
        <v>123</v>
      </c>
      <c r="N3446" s="41">
        <v>46007.916666666664</v>
      </c>
      <c r="O3446" s="38" t="s">
        <v>123</v>
      </c>
      <c r="P3446" s="38">
        <v>32400.0</v>
      </c>
      <c r="Q3446" s="39"/>
      <c r="R3446" s="39"/>
      <c r="S3446" s="39"/>
      <c r="T3446" s="39"/>
      <c r="U3446" s="39"/>
    </row>
    <row r="3447">
      <c r="A3447" s="40">
        <f t="shared" si="1"/>
        <v>46006</v>
      </c>
      <c r="B3447" s="37" t="str">
        <f t="array" ref="B3447">iferror(xlookup($I3447, 'IMPORT VHC Report'!$E:$E, 'IMPORT VHC Report'!$A:$C), )</f>
        <v/>
      </c>
      <c r="C3447" s="37"/>
      <c r="D3447" s="37"/>
      <c r="E3447" s="38" t="s">
        <v>4155</v>
      </c>
      <c r="F3447" s="38" t="s">
        <v>4147</v>
      </c>
      <c r="G3447" s="38">
        <v>3.61750008275E11</v>
      </c>
      <c r="H3447" s="38" t="s">
        <v>4148</v>
      </c>
      <c r="I3447" s="38" t="s">
        <v>4149</v>
      </c>
      <c r="J3447" s="38" t="s">
        <v>4</v>
      </c>
      <c r="K3447" s="38" t="s">
        <v>126</v>
      </c>
      <c r="L3447" s="41">
        <v>46007.583333333336</v>
      </c>
      <c r="M3447" s="38" t="s">
        <v>123</v>
      </c>
      <c r="N3447" s="41">
        <v>46007.625</v>
      </c>
      <c r="O3447" s="38" t="s">
        <v>123</v>
      </c>
      <c r="P3447" s="38">
        <v>3600.0</v>
      </c>
      <c r="Q3447" s="39"/>
      <c r="R3447" s="39"/>
      <c r="S3447" s="38" t="s">
        <v>4156</v>
      </c>
      <c r="T3447" s="39"/>
      <c r="U3447" s="39"/>
    </row>
    <row r="3448">
      <c r="A3448" s="40">
        <f t="shared" si="1"/>
        <v>46006</v>
      </c>
      <c r="B3448" s="37" t="str">
        <f t="array" ref="B3448">iferror(xlookup($I3448, 'IMPORT VHC Report'!$E:$E, 'IMPORT VHC Report'!$A:$C), )</f>
        <v/>
      </c>
      <c r="C3448" s="37"/>
      <c r="D3448" s="37"/>
      <c r="E3448" s="38" t="s">
        <v>4157</v>
      </c>
      <c r="F3448" s="38" t="s">
        <v>4147</v>
      </c>
      <c r="G3448" s="38">
        <v>3.61750008275E11</v>
      </c>
      <c r="H3448" s="38" t="s">
        <v>4148</v>
      </c>
      <c r="I3448" s="38" t="s">
        <v>4149</v>
      </c>
      <c r="J3448" s="38" t="s">
        <v>132</v>
      </c>
      <c r="K3448" s="38" t="s">
        <v>126</v>
      </c>
      <c r="L3448" s="41">
        <v>46007.635416666664</v>
      </c>
      <c r="M3448" s="38" t="s">
        <v>123</v>
      </c>
      <c r="N3448" s="41">
        <v>46007.677083333336</v>
      </c>
      <c r="O3448" s="38" t="s">
        <v>123</v>
      </c>
      <c r="P3448" s="38">
        <v>3600.0</v>
      </c>
      <c r="Q3448" s="39"/>
      <c r="R3448" s="39"/>
      <c r="S3448" s="39"/>
      <c r="T3448" s="39"/>
      <c r="U3448" s="39"/>
    </row>
    <row r="3449">
      <c r="A3449" s="40">
        <f t="shared" si="1"/>
        <v>46006</v>
      </c>
      <c r="B3449" s="37" t="str">
        <f t="array" ref="B3449">iferror(xlookup($I3449, 'IMPORT VHC Report'!$E:$E, 'IMPORT VHC Report'!$A:$C), )</f>
        <v/>
      </c>
      <c r="C3449" s="37"/>
      <c r="D3449" s="37"/>
      <c r="E3449" s="38" t="s">
        <v>4158</v>
      </c>
      <c r="F3449" s="38" t="s">
        <v>4147</v>
      </c>
      <c r="G3449" s="38">
        <v>3.61750008275E11</v>
      </c>
      <c r="H3449" s="38" t="s">
        <v>4148</v>
      </c>
      <c r="I3449" s="38" t="s">
        <v>4149</v>
      </c>
      <c r="J3449" s="38" t="s">
        <v>134</v>
      </c>
      <c r="K3449" s="38" t="s">
        <v>126</v>
      </c>
      <c r="L3449" s="41">
        <v>46007.770833333336</v>
      </c>
      <c r="M3449" s="38" t="s">
        <v>123</v>
      </c>
      <c r="N3449" s="41">
        <v>46007.791666666664</v>
      </c>
      <c r="O3449" s="38" t="s">
        <v>123</v>
      </c>
      <c r="P3449" s="38">
        <v>1800.0</v>
      </c>
      <c r="Q3449" s="39"/>
      <c r="R3449" s="39"/>
      <c r="S3449" s="39"/>
      <c r="T3449" s="39"/>
      <c r="U3449" s="39"/>
    </row>
    <row r="3450">
      <c r="A3450" s="40">
        <f t="shared" si="1"/>
        <v>46006</v>
      </c>
      <c r="B3450" s="37" t="str">
        <f t="array" ref="B3450">iferror(xlookup($I3450, 'IMPORT VHC Report'!$E:$E, 'IMPORT VHC Report'!$A:$C), )</f>
        <v/>
      </c>
      <c r="C3450" s="37"/>
      <c r="D3450" s="37"/>
      <c r="E3450" s="38" t="s">
        <v>4159</v>
      </c>
      <c r="F3450" s="38" t="s">
        <v>4147</v>
      </c>
      <c r="G3450" s="38">
        <v>3.61750008275E11</v>
      </c>
      <c r="H3450" s="38" t="s">
        <v>4148</v>
      </c>
      <c r="I3450" s="38" t="s">
        <v>4149</v>
      </c>
      <c r="J3450" s="38" t="s">
        <v>4</v>
      </c>
      <c r="K3450" s="38" t="s">
        <v>126</v>
      </c>
      <c r="L3450" s="41">
        <v>46008.541666666664</v>
      </c>
      <c r="M3450" s="38" t="s">
        <v>123</v>
      </c>
      <c r="N3450" s="41">
        <v>46008.5625</v>
      </c>
      <c r="O3450" s="38" t="s">
        <v>123</v>
      </c>
      <c r="P3450" s="38">
        <v>1800.0</v>
      </c>
      <c r="Q3450" s="39"/>
      <c r="R3450" s="39"/>
      <c r="S3450" s="39"/>
      <c r="T3450" s="39"/>
      <c r="U3450" s="39"/>
    </row>
    <row r="3451">
      <c r="A3451" s="40">
        <f t="shared" si="1"/>
        <v>46006</v>
      </c>
      <c r="B3451" s="37" t="str">
        <f t="array" ref="B3451">iferror(xlookup($I3451, 'IMPORT VHC Report'!$E:$E, 'IMPORT VHC Report'!$A:$C), )</f>
        <v/>
      </c>
      <c r="C3451" s="37"/>
      <c r="D3451" s="37"/>
      <c r="E3451" s="38" t="s">
        <v>4160</v>
      </c>
      <c r="F3451" s="38" t="s">
        <v>4147</v>
      </c>
      <c r="G3451" s="38">
        <v>3.61750008275E11</v>
      </c>
      <c r="H3451" s="38" t="s">
        <v>4148</v>
      </c>
      <c r="I3451" s="38" t="s">
        <v>4149</v>
      </c>
      <c r="J3451" s="38" t="s">
        <v>530</v>
      </c>
      <c r="K3451" s="38" t="s">
        <v>63</v>
      </c>
      <c r="L3451" s="41">
        <v>46008.541666666664</v>
      </c>
      <c r="M3451" s="38" t="s">
        <v>123</v>
      </c>
      <c r="N3451" s="41">
        <v>46008.916666666664</v>
      </c>
      <c r="O3451" s="38" t="s">
        <v>123</v>
      </c>
      <c r="P3451" s="38">
        <v>32400.0</v>
      </c>
      <c r="Q3451" s="39"/>
      <c r="R3451" s="39"/>
      <c r="S3451" s="39"/>
      <c r="T3451" s="39"/>
      <c r="U3451" s="39"/>
    </row>
    <row r="3452">
      <c r="A3452" s="40">
        <f t="shared" si="1"/>
        <v>46006</v>
      </c>
      <c r="B3452" s="37" t="str">
        <f t="array" ref="B3452">iferror(xlookup($I3452, 'IMPORT VHC Report'!$E:$E, 'IMPORT VHC Report'!$A:$C), )</f>
        <v/>
      </c>
      <c r="C3452" s="37"/>
      <c r="D3452" s="37"/>
      <c r="E3452" s="38" t="s">
        <v>4161</v>
      </c>
      <c r="F3452" s="38" t="s">
        <v>4147</v>
      </c>
      <c r="G3452" s="38">
        <v>3.61750008275E11</v>
      </c>
      <c r="H3452" s="38" t="s">
        <v>4148</v>
      </c>
      <c r="I3452" s="38" t="s">
        <v>4149</v>
      </c>
      <c r="J3452" s="38" t="s">
        <v>4</v>
      </c>
      <c r="K3452" s="38" t="s">
        <v>126</v>
      </c>
      <c r="L3452" s="41">
        <v>46008.5625</v>
      </c>
      <c r="M3452" s="38" t="s">
        <v>123</v>
      </c>
      <c r="N3452" s="41">
        <v>46008.604166666664</v>
      </c>
      <c r="O3452" s="38" t="s">
        <v>123</v>
      </c>
      <c r="P3452" s="38">
        <v>3600.0</v>
      </c>
      <c r="Q3452" s="39"/>
      <c r="R3452" s="39"/>
      <c r="S3452" s="38" t="s">
        <v>1209</v>
      </c>
      <c r="T3452" s="39"/>
      <c r="U3452" s="39"/>
    </row>
    <row r="3453">
      <c r="A3453" s="40">
        <f t="shared" si="1"/>
        <v>46006</v>
      </c>
      <c r="B3453" s="37" t="str">
        <f t="array" ref="B3453">iferror(xlookup($I3453, 'IMPORT VHC Report'!$E:$E, 'IMPORT VHC Report'!$A:$C), )</f>
        <v/>
      </c>
      <c r="C3453" s="37"/>
      <c r="D3453" s="37"/>
      <c r="E3453" s="38" t="s">
        <v>4162</v>
      </c>
      <c r="F3453" s="38" t="s">
        <v>4147</v>
      </c>
      <c r="G3453" s="38">
        <v>3.61750008275E11</v>
      </c>
      <c r="H3453" s="38" t="s">
        <v>4148</v>
      </c>
      <c r="I3453" s="38" t="s">
        <v>4149</v>
      </c>
      <c r="J3453" s="38" t="s">
        <v>132</v>
      </c>
      <c r="K3453" s="38" t="s">
        <v>126</v>
      </c>
      <c r="L3453" s="41">
        <v>46008.625</v>
      </c>
      <c r="M3453" s="38" t="s">
        <v>123</v>
      </c>
      <c r="N3453" s="41">
        <v>46008.666666666664</v>
      </c>
      <c r="O3453" s="38" t="s">
        <v>123</v>
      </c>
      <c r="P3453" s="38">
        <v>3600.0</v>
      </c>
      <c r="Q3453" s="39"/>
      <c r="R3453" s="39"/>
      <c r="S3453" s="39"/>
      <c r="T3453" s="39"/>
      <c r="U3453" s="39"/>
    </row>
    <row r="3454">
      <c r="A3454" s="40">
        <f t="shared" si="1"/>
        <v>46006</v>
      </c>
      <c r="B3454" s="37" t="str">
        <f t="array" ref="B3454">iferror(xlookup($I3454, 'IMPORT VHC Report'!$E:$E, 'IMPORT VHC Report'!$A:$C), )</f>
        <v/>
      </c>
      <c r="C3454" s="37"/>
      <c r="D3454" s="37"/>
      <c r="E3454" s="38" t="s">
        <v>4163</v>
      </c>
      <c r="F3454" s="38" t="s">
        <v>4147</v>
      </c>
      <c r="G3454" s="38">
        <v>3.61750008275E11</v>
      </c>
      <c r="H3454" s="38" t="s">
        <v>4148</v>
      </c>
      <c r="I3454" s="38" t="s">
        <v>4149</v>
      </c>
      <c r="J3454" s="38" t="s">
        <v>4</v>
      </c>
      <c r="K3454" s="38" t="s">
        <v>126</v>
      </c>
      <c r="L3454" s="41">
        <v>46008.729166666664</v>
      </c>
      <c r="M3454" s="38" t="s">
        <v>123</v>
      </c>
      <c r="N3454" s="41">
        <v>46008.770833333336</v>
      </c>
      <c r="O3454" s="38" t="s">
        <v>123</v>
      </c>
      <c r="P3454" s="38">
        <v>3600.0</v>
      </c>
      <c r="Q3454" s="39"/>
      <c r="R3454" s="39"/>
      <c r="S3454" s="38" t="s">
        <v>858</v>
      </c>
      <c r="T3454" s="39"/>
      <c r="U3454" s="39"/>
    </row>
    <row r="3455">
      <c r="A3455" s="40">
        <f t="shared" si="1"/>
        <v>46006</v>
      </c>
      <c r="B3455" s="37" t="str">
        <f t="array" ref="B3455">iferror(xlookup($I3455, 'IMPORT VHC Report'!$E:$E, 'IMPORT VHC Report'!$A:$C), )</f>
        <v/>
      </c>
      <c r="C3455" s="37"/>
      <c r="D3455" s="37"/>
      <c r="E3455" s="38" t="s">
        <v>4164</v>
      </c>
      <c r="F3455" s="38" t="s">
        <v>4147</v>
      </c>
      <c r="G3455" s="38">
        <v>3.61750008275E11</v>
      </c>
      <c r="H3455" s="38" t="s">
        <v>4148</v>
      </c>
      <c r="I3455" s="38" t="s">
        <v>4149</v>
      </c>
      <c r="J3455" s="38" t="s">
        <v>134</v>
      </c>
      <c r="K3455" s="38" t="s">
        <v>126</v>
      </c>
      <c r="L3455" s="41">
        <v>46008.770833333336</v>
      </c>
      <c r="M3455" s="38" t="s">
        <v>123</v>
      </c>
      <c r="N3455" s="41">
        <v>46008.791666666664</v>
      </c>
      <c r="O3455" s="38" t="s">
        <v>123</v>
      </c>
      <c r="P3455" s="38">
        <v>1800.0</v>
      </c>
      <c r="Q3455" s="39"/>
      <c r="R3455" s="39"/>
      <c r="S3455" s="39"/>
      <c r="T3455" s="39"/>
      <c r="U3455" s="39"/>
    </row>
    <row r="3456">
      <c r="A3456" s="40">
        <f t="shared" si="1"/>
        <v>46006</v>
      </c>
      <c r="B3456" s="37" t="str">
        <f t="array" ref="B3456">iferror(xlookup($I3456, 'IMPORT VHC Report'!$E:$E, 'IMPORT VHC Report'!$A:$C), )</f>
        <v/>
      </c>
      <c r="C3456" s="37"/>
      <c r="D3456" s="37"/>
      <c r="E3456" s="38" t="s">
        <v>4165</v>
      </c>
      <c r="F3456" s="38" t="s">
        <v>4147</v>
      </c>
      <c r="G3456" s="38">
        <v>3.61750008275E11</v>
      </c>
      <c r="H3456" s="38" t="s">
        <v>4148</v>
      </c>
      <c r="I3456" s="38" t="s">
        <v>4149</v>
      </c>
      <c r="J3456" s="38" t="s">
        <v>4</v>
      </c>
      <c r="K3456" s="38" t="s">
        <v>126</v>
      </c>
      <c r="L3456" s="41">
        <v>46009.541666666664</v>
      </c>
      <c r="M3456" s="38" t="s">
        <v>123</v>
      </c>
      <c r="N3456" s="41">
        <v>46009.583333333336</v>
      </c>
      <c r="O3456" s="38" t="s">
        <v>123</v>
      </c>
      <c r="P3456" s="38">
        <v>3600.0</v>
      </c>
      <c r="Q3456" s="39"/>
      <c r="R3456" s="39"/>
      <c r="S3456" s="38" t="s">
        <v>4166</v>
      </c>
      <c r="T3456" s="39"/>
      <c r="U3456" s="39"/>
    </row>
    <row r="3457">
      <c r="A3457" s="40">
        <f t="shared" si="1"/>
        <v>46006</v>
      </c>
      <c r="B3457" s="37" t="str">
        <f t="array" ref="B3457">iferror(xlookup($I3457, 'IMPORT VHC Report'!$E:$E, 'IMPORT VHC Report'!$A:$C), )</f>
        <v/>
      </c>
      <c r="C3457" s="37"/>
      <c r="D3457" s="37"/>
      <c r="E3457" s="38" t="s">
        <v>4167</v>
      </c>
      <c r="F3457" s="38" t="s">
        <v>4147</v>
      </c>
      <c r="G3457" s="38">
        <v>3.61750008275E11</v>
      </c>
      <c r="H3457" s="38" t="s">
        <v>4148</v>
      </c>
      <c r="I3457" s="38" t="s">
        <v>4149</v>
      </c>
      <c r="J3457" s="38" t="s">
        <v>530</v>
      </c>
      <c r="K3457" s="38" t="s">
        <v>63</v>
      </c>
      <c r="L3457" s="41">
        <v>46009.541666666664</v>
      </c>
      <c r="M3457" s="38" t="s">
        <v>123</v>
      </c>
      <c r="N3457" s="41">
        <v>46009.916666666664</v>
      </c>
      <c r="O3457" s="38" t="s">
        <v>123</v>
      </c>
      <c r="P3457" s="38">
        <v>32400.0</v>
      </c>
      <c r="Q3457" s="39"/>
      <c r="R3457" s="39"/>
      <c r="S3457" s="39"/>
      <c r="T3457" s="39"/>
      <c r="U3457" s="39"/>
    </row>
    <row r="3458">
      <c r="A3458" s="40">
        <f t="shared" si="1"/>
        <v>46006</v>
      </c>
      <c r="B3458" s="37" t="str">
        <f t="array" ref="B3458">iferror(xlookup($I3458, 'IMPORT VHC Report'!$E:$E, 'IMPORT VHC Report'!$A:$C), )</f>
        <v/>
      </c>
      <c r="C3458" s="37"/>
      <c r="D3458" s="37"/>
      <c r="E3458" s="38" t="s">
        <v>4168</v>
      </c>
      <c r="F3458" s="38" t="s">
        <v>4147</v>
      </c>
      <c r="G3458" s="38">
        <v>3.61750008275E11</v>
      </c>
      <c r="H3458" s="38" t="s">
        <v>4148</v>
      </c>
      <c r="I3458" s="38" t="s">
        <v>4149</v>
      </c>
      <c r="J3458" s="38" t="s">
        <v>4</v>
      </c>
      <c r="K3458" s="38" t="s">
        <v>126</v>
      </c>
      <c r="L3458" s="41">
        <v>46009.583333333336</v>
      </c>
      <c r="M3458" s="38" t="s">
        <v>123</v>
      </c>
      <c r="N3458" s="41">
        <v>46009.604166666664</v>
      </c>
      <c r="O3458" s="38" t="s">
        <v>123</v>
      </c>
      <c r="P3458" s="38">
        <v>1800.0</v>
      </c>
      <c r="Q3458" s="39"/>
      <c r="R3458" s="39"/>
      <c r="S3458" s="38" t="s">
        <v>4169</v>
      </c>
      <c r="T3458" s="39"/>
      <c r="U3458" s="39"/>
    </row>
    <row r="3459">
      <c r="A3459" s="40">
        <f t="shared" si="1"/>
        <v>46006</v>
      </c>
      <c r="B3459" s="37" t="str">
        <f t="array" ref="B3459">iferror(xlookup($I3459, 'IMPORT VHC Report'!$E:$E, 'IMPORT VHC Report'!$A:$C), )</f>
        <v/>
      </c>
      <c r="C3459" s="37"/>
      <c r="D3459" s="37"/>
      <c r="E3459" s="38" t="s">
        <v>4170</v>
      </c>
      <c r="F3459" s="38" t="s">
        <v>4147</v>
      </c>
      <c r="G3459" s="38">
        <v>3.61750008275E11</v>
      </c>
      <c r="H3459" s="38" t="s">
        <v>4148</v>
      </c>
      <c r="I3459" s="38" t="s">
        <v>4149</v>
      </c>
      <c r="J3459" s="38" t="s">
        <v>136</v>
      </c>
      <c r="K3459" s="38" t="s">
        <v>126</v>
      </c>
      <c r="L3459" s="41">
        <v>46009.666666666664</v>
      </c>
      <c r="M3459" s="38" t="s">
        <v>123</v>
      </c>
      <c r="N3459" s="41">
        <v>46009.708333333336</v>
      </c>
      <c r="O3459" s="38" t="s">
        <v>123</v>
      </c>
      <c r="P3459" s="38">
        <v>3600.0</v>
      </c>
      <c r="Q3459" s="39"/>
      <c r="R3459" s="39"/>
      <c r="S3459" s="38" t="s">
        <v>4171</v>
      </c>
      <c r="T3459" s="39"/>
      <c r="U3459" s="39"/>
    </row>
    <row r="3460">
      <c r="A3460" s="40">
        <f t="shared" si="1"/>
        <v>46006</v>
      </c>
      <c r="B3460" s="37" t="str">
        <f t="array" ref="B3460">iferror(xlookup($I3460, 'IMPORT VHC Report'!$E:$E, 'IMPORT VHC Report'!$A:$C), )</f>
        <v/>
      </c>
      <c r="C3460" s="37"/>
      <c r="D3460" s="37"/>
      <c r="E3460" s="38" t="s">
        <v>4172</v>
      </c>
      <c r="F3460" s="38" t="s">
        <v>4147</v>
      </c>
      <c r="G3460" s="38">
        <v>3.61750008275E11</v>
      </c>
      <c r="H3460" s="38" t="s">
        <v>4148</v>
      </c>
      <c r="I3460" s="38" t="s">
        <v>4149</v>
      </c>
      <c r="J3460" s="38" t="s">
        <v>132</v>
      </c>
      <c r="K3460" s="38" t="s">
        <v>126</v>
      </c>
      <c r="L3460" s="41">
        <v>46009.708333333336</v>
      </c>
      <c r="M3460" s="38" t="s">
        <v>123</v>
      </c>
      <c r="N3460" s="41">
        <v>46009.75</v>
      </c>
      <c r="O3460" s="38" t="s">
        <v>123</v>
      </c>
      <c r="P3460" s="38">
        <v>3600.0</v>
      </c>
      <c r="Q3460" s="39"/>
      <c r="R3460" s="39"/>
      <c r="S3460" s="38" t="s">
        <v>4173</v>
      </c>
      <c r="T3460" s="39"/>
      <c r="U3460" s="39"/>
    </row>
    <row r="3461">
      <c r="A3461" s="40">
        <f t="shared" si="1"/>
        <v>46006</v>
      </c>
      <c r="B3461" s="37" t="str">
        <f t="array" ref="B3461">iferror(xlookup($I3461, 'IMPORT VHC Report'!$E:$E, 'IMPORT VHC Report'!$A:$C), )</f>
        <v/>
      </c>
      <c r="C3461" s="37"/>
      <c r="D3461" s="37"/>
      <c r="E3461" s="38" t="s">
        <v>4174</v>
      </c>
      <c r="F3461" s="38" t="s">
        <v>4147</v>
      </c>
      <c r="G3461" s="38">
        <v>3.61750008275E11</v>
      </c>
      <c r="H3461" s="38" t="s">
        <v>4148</v>
      </c>
      <c r="I3461" s="38" t="s">
        <v>4149</v>
      </c>
      <c r="J3461" s="38" t="s">
        <v>134</v>
      </c>
      <c r="K3461" s="38" t="s">
        <v>126</v>
      </c>
      <c r="L3461" s="41">
        <v>46009.833333333336</v>
      </c>
      <c r="M3461" s="38" t="s">
        <v>123</v>
      </c>
      <c r="N3461" s="41">
        <v>46009.854166666664</v>
      </c>
      <c r="O3461" s="38" t="s">
        <v>123</v>
      </c>
      <c r="P3461" s="38">
        <v>1800.0</v>
      </c>
      <c r="Q3461" s="39"/>
      <c r="R3461" s="39"/>
      <c r="S3461" s="38" t="s">
        <v>4175</v>
      </c>
      <c r="T3461" s="39"/>
      <c r="U3461" s="39"/>
    </row>
    <row r="3462">
      <c r="A3462" s="40">
        <f t="shared" si="1"/>
        <v>46006</v>
      </c>
      <c r="B3462" s="37" t="str">
        <f t="array" ref="B3462">iferror(xlookup($I3462, 'IMPORT VHC Report'!$E:$E, 'IMPORT VHC Report'!$A:$C), )</f>
        <v/>
      </c>
      <c r="C3462" s="37"/>
      <c r="D3462" s="37"/>
      <c r="E3462" s="38" t="s">
        <v>4176</v>
      </c>
      <c r="F3462" s="38" t="s">
        <v>4147</v>
      </c>
      <c r="G3462" s="38">
        <v>3.61750008275E11</v>
      </c>
      <c r="H3462" s="38" t="s">
        <v>4148</v>
      </c>
      <c r="I3462" s="38" t="s">
        <v>4149</v>
      </c>
      <c r="J3462" s="38" t="s">
        <v>4</v>
      </c>
      <c r="K3462" s="38" t="s">
        <v>126</v>
      </c>
      <c r="L3462" s="41">
        <v>46012.541666666664</v>
      </c>
      <c r="M3462" s="38" t="s">
        <v>123</v>
      </c>
      <c r="N3462" s="41">
        <v>46012.5625</v>
      </c>
      <c r="O3462" s="38" t="s">
        <v>123</v>
      </c>
      <c r="P3462" s="38">
        <v>1800.0</v>
      </c>
      <c r="Q3462" s="39"/>
      <c r="R3462" s="39"/>
      <c r="S3462" s="39"/>
      <c r="T3462" s="39"/>
      <c r="U3462" s="39"/>
    </row>
    <row r="3463">
      <c r="A3463" s="40">
        <f t="shared" si="1"/>
        <v>46006</v>
      </c>
      <c r="B3463" s="37" t="str">
        <f t="array" ref="B3463">iferror(xlookup($I3463, 'IMPORT VHC Report'!$E:$E, 'IMPORT VHC Report'!$A:$C), )</f>
        <v/>
      </c>
      <c r="C3463" s="37"/>
      <c r="D3463" s="37"/>
      <c r="E3463" s="38" t="s">
        <v>4177</v>
      </c>
      <c r="F3463" s="38" t="s">
        <v>4147</v>
      </c>
      <c r="G3463" s="38">
        <v>3.61750008275E11</v>
      </c>
      <c r="H3463" s="38" t="s">
        <v>4148</v>
      </c>
      <c r="I3463" s="38" t="s">
        <v>4149</v>
      </c>
      <c r="J3463" s="38" t="s">
        <v>530</v>
      </c>
      <c r="K3463" s="38" t="s">
        <v>63</v>
      </c>
      <c r="L3463" s="41">
        <v>46012.541666666664</v>
      </c>
      <c r="M3463" s="38" t="s">
        <v>123</v>
      </c>
      <c r="N3463" s="41">
        <v>46012.916666666664</v>
      </c>
      <c r="O3463" s="38" t="s">
        <v>123</v>
      </c>
      <c r="P3463" s="38">
        <v>32400.0</v>
      </c>
      <c r="Q3463" s="39"/>
      <c r="R3463" s="39"/>
      <c r="S3463" s="39"/>
      <c r="T3463" s="39"/>
      <c r="U3463" s="39"/>
    </row>
    <row r="3464">
      <c r="A3464" s="40">
        <f t="shared" si="1"/>
        <v>46006</v>
      </c>
      <c r="B3464" s="37" t="str">
        <f t="array" ref="B3464">iferror(xlookup($I3464, 'IMPORT VHC Report'!$E:$E, 'IMPORT VHC Report'!$A:$C), )</f>
        <v/>
      </c>
      <c r="C3464" s="37"/>
      <c r="D3464" s="37"/>
      <c r="E3464" s="38" t="s">
        <v>4178</v>
      </c>
      <c r="F3464" s="38" t="s">
        <v>4147</v>
      </c>
      <c r="G3464" s="38">
        <v>3.61750008275E11</v>
      </c>
      <c r="H3464" s="38" t="s">
        <v>4148</v>
      </c>
      <c r="I3464" s="38" t="s">
        <v>4149</v>
      </c>
      <c r="J3464" s="38" t="s">
        <v>134</v>
      </c>
      <c r="K3464" s="38" t="s">
        <v>126</v>
      </c>
      <c r="L3464" s="41">
        <v>46012.729166666664</v>
      </c>
      <c r="M3464" s="38" t="s">
        <v>123</v>
      </c>
      <c r="N3464" s="41">
        <v>46012.75</v>
      </c>
      <c r="O3464" s="38" t="s">
        <v>123</v>
      </c>
      <c r="P3464" s="38">
        <v>1800.0</v>
      </c>
      <c r="Q3464" s="39"/>
      <c r="R3464" s="39"/>
      <c r="S3464" s="39"/>
      <c r="T3464" s="39"/>
      <c r="U3464" s="39"/>
    </row>
    <row r="3465">
      <c r="A3465" s="40">
        <f t="shared" si="1"/>
        <v>46006</v>
      </c>
      <c r="B3465" s="37" t="str">
        <f t="array" ref="B3465">iferror(xlookup($I3465, 'IMPORT VHC Report'!$E:$E, 'IMPORT VHC Report'!$A:$C), )</f>
        <v/>
      </c>
      <c r="C3465" s="37"/>
      <c r="D3465" s="37"/>
      <c r="E3465" s="38" t="s">
        <v>4179</v>
      </c>
      <c r="F3465" s="38" t="s">
        <v>4147</v>
      </c>
      <c r="G3465" s="38">
        <v>3.61750008275E11</v>
      </c>
      <c r="H3465" s="38" t="s">
        <v>4148</v>
      </c>
      <c r="I3465" s="38" t="s">
        <v>4149</v>
      </c>
      <c r="J3465" s="38" t="s">
        <v>132</v>
      </c>
      <c r="K3465" s="38" t="s">
        <v>126</v>
      </c>
      <c r="L3465" s="41">
        <v>46012.802083333336</v>
      </c>
      <c r="M3465" s="38" t="s">
        <v>123</v>
      </c>
      <c r="N3465" s="41">
        <v>46012.84375</v>
      </c>
      <c r="O3465" s="38" t="s">
        <v>123</v>
      </c>
      <c r="P3465" s="38">
        <v>3600.0</v>
      </c>
      <c r="Q3465" s="39"/>
      <c r="R3465" s="39"/>
      <c r="S3465" s="39"/>
      <c r="T3465" s="39"/>
      <c r="U3465" s="39"/>
    </row>
    <row r="3466">
      <c r="A3466" s="40">
        <f t="shared" si="1"/>
        <v>46006</v>
      </c>
      <c r="B3466" s="37" t="str">
        <f t="array" ref="B3466">iferror(xlookup($I3466, 'IMPORT VHC Report'!$E:$E, 'IMPORT VHC Report'!$A:$C), )</f>
        <v/>
      </c>
      <c r="C3466" s="37"/>
      <c r="D3466" s="37"/>
      <c r="E3466" s="38" t="s">
        <v>4180</v>
      </c>
      <c r="F3466" s="38" t="s">
        <v>4181</v>
      </c>
      <c r="G3466" s="38">
        <v>3.61731943295E11</v>
      </c>
      <c r="H3466" s="38" t="s">
        <v>4182</v>
      </c>
      <c r="I3466" s="38" t="s">
        <v>4183</v>
      </c>
      <c r="J3466" s="38" t="s">
        <v>4</v>
      </c>
      <c r="K3466" s="38" t="s">
        <v>126</v>
      </c>
      <c r="L3466" s="41">
        <v>46006.541666666664</v>
      </c>
      <c r="M3466" s="38" t="s">
        <v>123</v>
      </c>
      <c r="N3466" s="41">
        <v>46006.5625</v>
      </c>
      <c r="O3466" s="38" t="s">
        <v>123</v>
      </c>
      <c r="P3466" s="38">
        <v>1800.0</v>
      </c>
      <c r="Q3466" s="39"/>
      <c r="R3466" s="39"/>
      <c r="S3466" s="39"/>
      <c r="T3466" s="39"/>
      <c r="U3466" s="39"/>
    </row>
    <row r="3467">
      <c r="A3467" s="40">
        <f t="shared" si="1"/>
        <v>46006</v>
      </c>
      <c r="B3467" s="37" t="str">
        <f t="array" ref="B3467">iferror(xlookup($I3467, 'IMPORT VHC Report'!$E:$E, 'IMPORT VHC Report'!$A:$C), )</f>
        <v/>
      </c>
      <c r="C3467" s="37"/>
      <c r="D3467" s="37"/>
      <c r="E3467" s="38" t="s">
        <v>4184</v>
      </c>
      <c r="F3467" s="38" t="s">
        <v>4181</v>
      </c>
      <c r="G3467" s="38">
        <v>3.61731943295E11</v>
      </c>
      <c r="H3467" s="38" t="s">
        <v>4182</v>
      </c>
      <c r="I3467" s="38" t="s">
        <v>4183</v>
      </c>
      <c r="J3467" s="38" t="s">
        <v>530</v>
      </c>
      <c r="K3467" s="38" t="s">
        <v>63</v>
      </c>
      <c r="L3467" s="41">
        <v>46006.541666666664</v>
      </c>
      <c r="M3467" s="38" t="s">
        <v>123</v>
      </c>
      <c r="N3467" s="41">
        <v>46006.916666666664</v>
      </c>
      <c r="O3467" s="38" t="s">
        <v>123</v>
      </c>
      <c r="P3467" s="38">
        <v>32400.0</v>
      </c>
      <c r="Q3467" s="39"/>
      <c r="R3467" s="39"/>
      <c r="S3467" s="39"/>
      <c r="T3467" s="39"/>
      <c r="U3467" s="39"/>
    </row>
    <row r="3468">
      <c r="A3468" s="40">
        <f t="shared" si="1"/>
        <v>46006</v>
      </c>
      <c r="B3468" s="37" t="str">
        <f t="array" ref="B3468">iferror(xlookup($I3468, 'IMPORT VHC Report'!$E:$E, 'IMPORT VHC Report'!$A:$C), )</f>
        <v/>
      </c>
      <c r="C3468" s="37"/>
      <c r="D3468" s="37"/>
      <c r="E3468" s="38" t="s">
        <v>4185</v>
      </c>
      <c r="F3468" s="38" t="s">
        <v>4181</v>
      </c>
      <c r="G3468" s="38">
        <v>3.61731943295E11</v>
      </c>
      <c r="H3468" s="38" t="s">
        <v>4182</v>
      </c>
      <c r="I3468" s="38" t="s">
        <v>4183</v>
      </c>
      <c r="J3468" s="38" t="s">
        <v>132</v>
      </c>
      <c r="K3468" s="38" t="s">
        <v>126</v>
      </c>
      <c r="L3468" s="41">
        <v>46006.666666666664</v>
      </c>
      <c r="M3468" s="38" t="s">
        <v>123</v>
      </c>
      <c r="N3468" s="41">
        <v>46006.708333333336</v>
      </c>
      <c r="O3468" s="38" t="s">
        <v>123</v>
      </c>
      <c r="P3468" s="38">
        <v>3600.0</v>
      </c>
      <c r="Q3468" s="39"/>
      <c r="R3468" s="39"/>
      <c r="S3468" s="39"/>
      <c r="T3468" s="39"/>
      <c r="U3468" s="39"/>
    </row>
    <row r="3469">
      <c r="A3469" s="40">
        <f t="shared" si="1"/>
        <v>46006</v>
      </c>
      <c r="B3469" s="37" t="str">
        <f t="array" ref="B3469">iferror(xlookup($I3469, 'IMPORT VHC Report'!$E:$E, 'IMPORT VHC Report'!$A:$C), )</f>
        <v/>
      </c>
      <c r="C3469" s="37"/>
      <c r="D3469" s="37"/>
      <c r="E3469" s="38" t="s">
        <v>4186</v>
      </c>
      <c r="F3469" s="38" t="s">
        <v>4181</v>
      </c>
      <c r="G3469" s="38">
        <v>3.61731943295E11</v>
      </c>
      <c r="H3469" s="38" t="s">
        <v>4182</v>
      </c>
      <c r="I3469" s="38" t="s">
        <v>4183</v>
      </c>
      <c r="J3469" s="38" t="s">
        <v>134</v>
      </c>
      <c r="K3469" s="38" t="s">
        <v>126</v>
      </c>
      <c r="L3469" s="41">
        <v>46006.8125</v>
      </c>
      <c r="M3469" s="38" t="s">
        <v>123</v>
      </c>
      <c r="N3469" s="41">
        <v>46006.833333333336</v>
      </c>
      <c r="O3469" s="38" t="s">
        <v>123</v>
      </c>
      <c r="P3469" s="38">
        <v>1800.0</v>
      </c>
      <c r="Q3469" s="39"/>
      <c r="R3469" s="39"/>
      <c r="S3469" s="39"/>
      <c r="T3469" s="39"/>
      <c r="U3469" s="39"/>
    </row>
    <row r="3470">
      <c r="A3470" s="40">
        <f t="shared" si="1"/>
        <v>46006</v>
      </c>
      <c r="B3470" s="37" t="str">
        <f t="array" ref="B3470">iferror(xlookup($I3470, 'IMPORT VHC Report'!$E:$E, 'IMPORT VHC Report'!$A:$C), )</f>
        <v/>
      </c>
      <c r="C3470" s="37"/>
      <c r="D3470" s="37"/>
      <c r="E3470" s="38" t="s">
        <v>4187</v>
      </c>
      <c r="F3470" s="38" t="s">
        <v>4181</v>
      </c>
      <c r="G3470" s="38">
        <v>3.61731943295E11</v>
      </c>
      <c r="H3470" s="38" t="s">
        <v>4182</v>
      </c>
      <c r="I3470" s="38" t="s">
        <v>4183</v>
      </c>
      <c r="J3470" s="38" t="s">
        <v>4</v>
      </c>
      <c r="K3470" s="38" t="s">
        <v>126</v>
      </c>
      <c r="L3470" s="41">
        <v>46007.541666666664</v>
      </c>
      <c r="M3470" s="38" t="s">
        <v>123</v>
      </c>
      <c r="N3470" s="41">
        <v>46007.5625</v>
      </c>
      <c r="O3470" s="38" t="s">
        <v>123</v>
      </c>
      <c r="P3470" s="38">
        <v>1800.0</v>
      </c>
      <c r="Q3470" s="39"/>
      <c r="R3470" s="39"/>
      <c r="S3470" s="39"/>
      <c r="T3470" s="39"/>
      <c r="U3470" s="39"/>
    </row>
    <row r="3471">
      <c r="A3471" s="40">
        <f t="shared" si="1"/>
        <v>46006</v>
      </c>
      <c r="B3471" s="37" t="str">
        <f t="array" ref="B3471">iferror(xlookup($I3471, 'IMPORT VHC Report'!$E:$E, 'IMPORT VHC Report'!$A:$C), )</f>
        <v/>
      </c>
      <c r="C3471" s="37"/>
      <c r="D3471" s="37"/>
      <c r="E3471" s="38" t="s">
        <v>4188</v>
      </c>
      <c r="F3471" s="38" t="s">
        <v>4181</v>
      </c>
      <c r="G3471" s="38">
        <v>3.61731943295E11</v>
      </c>
      <c r="H3471" s="38" t="s">
        <v>4182</v>
      </c>
      <c r="I3471" s="38" t="s">
        <v>4183</v>
      </c>
      <c r="J3471" s="38" t="s">
        <v>530</v>
      </c>
      <c r="K3471" s="38" t="s">
        <v>63</v>
      </c>
      <c r="L3471" s="41">
        <v>46007.541666666664</v>
      </c>
      <c r="M3471" s="38" t="s">
        <v>123</v>
      </c>
      <c r="N3471" s="41">
        <v>46007.916666666664</v>
      </c>
      <c r="O3471" s="38" t="s">
        <v>123</v>
      </c>
      <c r="P3471" s="38">
        <v>32400.0</v>
      </c>
      <c r="Q3471" s="39"/>
      <c r="R3471" s="39"/>
      <c r="S3471" s="39"/>
      <c r="T3471" s="39"/>
      <c r="U3471" s="39"/>
    </row>
    <row r="3472">
      <c r="A3472" s="40">
        <f t="shared" si="1"/>
        <v>46006</v>
      </c>
      <c r="B3472" s="37" t="str">
        <f t="array" ref="B3472">iferror(xlookup($I3472, 'IMPORT VHC Report'!$E:$E, 'IMPORT VHC Report'!$A:$C), )</f>
        <v/>
      </c>
      <c r="C3472" s="37"/>
      <c r="D3472" s="37"/>
      <c r="E3472" s="38" t="s">
        <v>4189</v>
      </c>
      <c r="F3472" s="38" t="s">
        <v>4181</v>
      </c>
      <c r="G3472" s="38">
        <v>3.61731943295E11</v>
      </c>
      <c r="H3472" s="38" t="s">
        <v>4182</v>
      </c>
      <c r="I3472" s="38" t="s">
        <v>4183</v>
      </c>
      <c r="J3472" s="38" t="s">
        <v>4</v>
      </c>
      <c r="K3472" s="38" t="s">
        <v>126</v>
      </c>
      <c r="L3472" s="41">
        <v>46007.583333333336</v>
      </c>
      <c r="M3472" s="38" t="s">
        <v>123</v>
      </c>
      <c r="N3472" s="41">
        <v>46007.625</v>
      </c>
      <c r="O3472" s="38" t="s">
        <v>123</v>
      </c>
      <c r="P3472" s="38">
        <v>3600.0</v>
      </c>
      <c r="Q3472" s="39"/>
      <c r="R3472" s="39"/>
      <c r="S3472" s="38" t="s">
        <v>4190</v>
      </c>
      <c r="T3472" s="39"/>
      <c r="U3472" s="39"/>
    </row>
    <row r="3473">
      <c r="A3473" s="40">
        <f t="shared" si="1"/>
        <v>46006</v>
      </c>
      <c r="B3473" s="37" t="str">
        <f t="array" ref="B3473">iferror(xlookup($I3473, 'IMPORT VHC Report'!$E:$E, 'IMPORT VHC Report'!$A:$C), )</f>
        <v/>
      </c>
      <c r="C3473" s="37"/>
      <c r="D3473" s="37"/>
      <c r="E3473" s="38" t="s">
        <v>4191</v>
      </c>
      <c r="F3473" s="38" t="s">
        <v>4181</v>
      </c>
      <c r="G3473" s="38">
        <v>3.61731943295E11</v>
      </c>
      <c r="H3473" s="38" t="s">
        <v>4182</v>
      </c>
      <c r="I3473" s="38" t="s">
        <v>4183</v>
      </c>
      <c r="J3473" s="38" t="s">
        <v>132</v>
      </c>
      <c r="K3473" s="38" t="s">
        <v>126</v>
      </c>
      <c r="L3473" s="41">
        <v>46007.645833333336</v>
      </c>
      <c r="M3473" s="38" t="s">
        <v>123</v>
      </c>
      <c r="N3473" s="41">
        <v>46007.6875</v>
      </c>
      <c r="O3473" s="38" t="s">
        <v>123</v>
      </c>
      <c r="P3473" s="38">
        <v>3600.0</v>
      </c>
      <c r="Q3473" s="39"/>
      <c r="R3473" s="39"/>
      <c r="S3473" s="39"/>
      <c r="T3473" s="39"/>
      <c r="U3473" s="39"/>
    </row>
    <row r="3474">
      <c r="A3474" s="40">
        <f t="shared" si="1"/>
        <v>46006</v>
      </c>
      <c r="B3474" s="37" t="str">
        <f t="array" ref="B3474">iferror(xlookup($I3474, 'IMPORT VHC Report'!$E:$E, 'IMPORT VHC Report'!$A:$C), )</f>
        <v/>
      </c>
      <c r="C3474" s="37"/>
      <c r="D3474" s="37"/>
      <c r="E3474" s="38" t="s">
        <v>4192</v>
      </c>
      <c r="F3474" s="38" t="s">
        <v>4181</v>
      </c>
      <c r="G3474" s="38">
        <v>3.61731943295E11</v>
      </c>
      <c r="H3474" s="38" t="s">
        <v>4182</v>
      </c>
      <c r="I3474" s="38" t="s">
        <v>4183</v>
      </c>
      <c r="J3474" s="38" t="s">
        <v>134</v>
      </c>
      <c r="K3474" s="38" t="s">
        <v>126</v>
      </c>
      <c r="L3474" s="41">
        <v>46007.791666666664</v>
      </c>
      <c r="M3474" s="38" t="s">
        <v>123</v>
      </c>
      <c r="N3474" s="41">
        <v>46007.8125</v>
      </c>
      <c r="O3474" s="38" t="s">
        <v>123</v>
      </c>
      <c r="P3474" s="38">
        <v>1800.0</v>
      </c>
      <c r="Q3474" s="39"/>
      <c r="R3474" s="39"/>
      <c r="S3474" s="39"/>
      <c r="T3474" s="39"/>
      <c r="U3474" s="39"/>
    </row>
    <row r="3475">
      <c r="A3475" s="40">
        <f t="shared" si="1"/>
        <v>46006</v>
      </c>
      <c r="B3475" s="37" t="str">
        <f t="array" ref="B3475">iferror(xlookup($I3475, 'IMPORT VHC Report'!$E:$E, 'IMPORT VHC Report'!$A:$C), )</f>
        <v/>
      </c>
      <c r="C3475" s="37"/>
      <c r="D3475" s="37"/>
      <c r="E3475" s="38" t="s">
        <v>4193</v>
      </c>
      <c r="F3475" s="38" t="s">
        <v>4181</v>
      </c>
      <c r="G3475" s="38">
        <v>3.61731943295E11</v>
      </c>
      <c r="H3475" s="38" t="s">
        <v>4182</v>
      </c>
      <c r="I3475" s="38" t="s">
        <v>4183</v>
      </c>
      <c r="J3475" s="38" t="s">
        <v>530</v>
      </c>
      <c r="K3475" s="38" t="s">
        <v>63</v>
      </c>
      <c r="L3475" s="41">
        <v>46008.541666666664</v>
      </c>
      <c r="M3475" s="38" t="s">
        <v>123</v>
      </c>
      <c r="N3475" s="41">
        <v>46008.5625</v>
      </c>
      <c r="O3475" s="38" t="s">
        <v>123</v>
      </c>
      <c r="P3475" s="38">
        <v>1800.0</v>
      </c>
      <c r="Q3475" s="39"/>
      <c r="R3475" s="39"/>
      <c r="S3475" s="39"/>
      <c r="T3475" s="39"/>
      <c r="U3475" s="39"/>
    </row>
    <row r="3476">
      <c r="A3476" s="40">
        <f t="shared" si="1"/>
        <v>46006</v>
      </c>
      <c r="B3476" s="37" t="str">
        <f t="array" ref="B3476">iferror(xlookup($I3476, 'IMPORT VHC Report'!$E:$E, 'IMPORT VHC Report'!$A:$C), )</f>
        <v/>
      </c>
      <c r="C3476" s="37"/>
      <c r="D3476" s="37"/>
      <c r="E3476" s="38" t="s">
        <v>4194</v>
      </c>
      <c r="F3476" s="38" t="s">
        <v>4181</v>
      </c>
      <c r="G3476" s="38">
        <v>3.61731943295E11</v>
      </c>
      <c r="H3476" s="38" t="s">
        <v>4182</v>
      </c>
      <c r="I3476" s="38" t="s">
        <v>4183</v>
      </c>
      <c r="J3476" s="38" t="s">
        <v>4</v>
      </c>
      <c r="K3476" s="38" t="s">
        <v>126</v>
      </c>
      <c r="L3476" s="41">
        <v>46008.541666666664</v>
      </c>
      <c r="M3476" s="38" t="s">
        <v>123</v>
      </c>
      <c r="N3476" s="41">
        <v>46008.5625</v>
      </c>
      <c r="O3476" s="38" t="s">
        <v>123</v>
      </c>
      <c r="P3476" s="38">
        <v>1800.0</v>
      </c>
      <c r="Q3476" s="39"/>
      <c r="R3476" s="39"/>
      <c r="S3476" s="39"/>
      <c r="T3476" s="39"/>
      <c r="U3476" s="39"/>
    </row>
    <row r="3477">
      <c r="A3477" s="40">
        <f t="shared" si="1"/>
        <v>46006</v>
      </c>
      <c r="B3477" s="37" t="str">
        <f t="array" ref="B3477">iferror(xlookup($I3477, 'IMPORT VHC Report'!$E:$E, 'IMPORT VHC Report'!$A:$C), )</f>
        <v/>
      </c>
      <c r="C3477" s="37"/>
      <c r="D3477" s="37"/>
      <c r="E3477" s="38" t="s">
        <v>4195</v>
      </c>
      <c r="F3477" s="38" t="s">
        <v>4181</v>
      </c>
      <c r="G3477" s="38">
        <v>3.61731943295E11</v>
      </c>
      <c r="H3477" s="38" t="s">
        <v>4182</v>
      </c>
      <c r="I3477" s="38" t="s">
        <v>4183</v>
      </c>
      <c r="J3477" s="38" t="s">
        <v>62</v>
      </c>
      <c r="K3477" s="38" t="s">
        <v>63</v>
      </c>
      <c r="L3477" s="41">
        <v>46008.5625</v>
      </c>
      <c r="M3477" s="38" t="s">
        <v>123</v>
      </c>
      <c r="N3477" s="41">
        <v>46008.583333333336</v>
      </c>
      <c r="O3477" s="38" t="s">
        <v>123</v>
      </c>
      <c r="P3477" s="38">
        <v>1800.0</v>
      </c>
      <c r="Q3477" s="39"/>
      <c r="R3477" s="39"/>
      <c r="S3477" s="39"/>
      <c r="T3477" s="39"/>
      <c r="U3477" s="39"/>
    </row>
    <row r="3478">
      <c r="A3478" s="40">
        <f t="shared" si="1"/>
        <v>46006</v>
      </c>
      <c r="B3478" s="37" t="str">
        <f t="array" ref="B3478">iferror(xlookup($I3478, 'IMPORT VHC Report'!$E:$E, 'IMPORT VHC Report'!$A:$C), )</f>
        <v/>
      </c>
      <c r="C3478" s="37"/>
      <c r="D3478" s="37"/>
      <c r="E3478" s="38" t="s">
        <v>4196</v>
      </c>
      <c r="F3478" s="38" t="s">
        <v>4181</v>
      </c>
      <c r="G3478" s="38">
        <v>3.61731943295E11</v>
      </c>
      <c r="H3478" s="38" t="s">
        <v>4182</v>
      </c>
      <c r="I3478" s="38" t="s">
        <v>4183</v>
      </c>
      <c r="J3478" s="38" t="s">
        <v>4</v>
      </c>
      <c r="K3478" s="38" t="s">
        <v>126</v>
      </c>
      <c r="L3478" s="41">
        <v>46008.5625</v>
      </c>
      <c r="M3478" s="38" t="s">
        <v>123</v>
      </c>
      <c r="N3478" s="41">
        <v>46008.604166666664</v>
      </c>
      <c r="O3478" s="38" t="s">
        <v>123</v>
      </c>
      <c r="P3478" s="38">
        <v>3600.0</v>
      </c>
      <c r="Q3478" s="39"/>
      <c r="R3478" s="39"/>
      <c r="S3478" s="38" t="s">
        <v>1209</v>
      </c>
      <c r="T3478" s="39"/>
      <c r="U3478" s="39"/>
    </row>
    <row r="3479">
      <c r="A3479" s="40">
        <f t="shared" si="1"/>
        <v>46006</v>
      </c>
      <c r="B3479" s="37" t="str">
        <f t="array" ref="B3479">iferror(xlookup($I3479, 'IMPORT VHC Report'!$E:$E, 'IMPORT VHC Report'!$A:$C), )</f>
        <v/>
      </c>
      <c r="C3479" s="37"/>
      <c r="D3479" s="37"/>
      <c r="E3479" s="38" t="s">
        <v>4197</v>
      </c>
      <c r="F3479" s="38" t="s">
        <v>4181</v>
      </c>
      <c r="G3479" s="38">
        <v>3.61731943295E11</v>
      </c>
      <c r="H3479" s="38" t="s">
        <v>4182</v>
      </c>
      <c r="I3479" s="38" t="s">
        <v>4183</v>
      </c>
      <c r="J3479" s="38" t="s">
        <v>530</v>
      </c>
      <c r="K3479" s="38" t="s">
        <v>63</v>
      </c>
      <c r="L3479" s="41">
        <v>46008.583333333336</v>
      </c>
      <c r="M3479" s="38" t="s">
        <v>123</v>
      </c>
      <c r="N3479" s="41">
        <v>46008.916666666664</v>
      </c>
      <c r="O3479" s="38" t="s">
        <v>123</v>
      </c>
      <c r="P3479" s="38">
        <v>28800.0</v>
      </c>
      <c r="Q3479" s="39"/>
      <c r="R3479" s="39"/>
      <c r="S3479" s="39"/>
      <c r="T3479" s="39"/>
      <c r="U3479" s="39"/>
    </row>
    <row r="3480">
      <c r="A3480" s="40">
        <f t="shared" si="1"/>
        <v>46006</v>
      </c>
      <c r="B3480" s="37" t="str">
        <f t="array" ref="B3480">iferror(xlookup($I3480, 'IMPORT VHC Report'!$E:$E, 'IMPORT VHC Report'!$A:$C), )</f>
        <v/>
      </c>
      <c r="C3480" s="37"/>
      <c r="D3480" s="37"/>
      <c r="E3480" s="38" t="s">
        <v>4198</v>
      </c>
      <c r="F3480" s="38" t="s">
        <v>4181</v>
      </c>
      <c r="G3480" s="38">
        <v>3.61731943295E11</v>
      </c>
      <c r="H3480" s="38" t="s">
        <v>4182</v>
      </c>
      <c r="I3480" s="38" t="s">
        <v>4183</v>
      </c>
      <c r="J3480" s="38" t="s">
        <v>132</v>
      </c>
      <c r="K3480" s="38" t="s">
        <v>126</v>
      </c>
      <c r="L3480" s="41">
        <v>46008.645833333336</v>
      </c>
      <c r="M3480" s="38" t="s">
        <v>123</v>
      </c>
      <c r="N3480" s="41">
        <v>46008.6875</v>
      </c>
      <c r="O3480" s="38" t="s">
        <v>123</v>
      </c>
      <c r="P3480" s="38">
        <v>3600.0</v>
      </c>
      <c r="Q3480" s="39"/>
      <c r="R3480" s="39"/>
      <c r="S3480" s="39"/>
      <c r="T3480" s="39"/>
      <c r="U3480" s="39"/>
    </row>
    <row r="3481">
      <c r="A3481" s="40">
        <f t="shared" si="1"/>
        <v>46006</v>
      </c>
      <c r="B3481" s="37" t="str">
        <f t="array" ref="B3481">iferror(xlookup($I3481, 'IMPORT VHC Report'!$E:$E, 'IMPORT VHC Report'!$A:$C), )</f>
        <v/>
      </c>
      <c r="C3481" s="37"/>
      <c r="D3481" s="37"/>
      <c r="E3481" s="38" t="s">
        <v>4199</v>
      </c>
      <c r="F3481" s="38" t="s">
        <v>4181</v>
      </c>
      <c r="G3481" s="38">
        <v>3.61731943295E11</v>
      </c>
      <c r="H3481" s="38" t="s">
        <v>4182</v>
      </c>
      <c r="I3481" s="38" t="s">
        <v>4183</v>
      </c>
      <c r="J3481" s="38" t="s">
        <v>134</v>
      </c>
      <c r="K3481" s="38" t="s">
        <v>126</v>
      </c>
      <c r="L3481" s="41">
        <v>46008.8125</v>
      </c>
      <c r="M3481" s="38" t="s">
        <v>123</v>
      </c>
      <c r="N3481" s="41">
        <v>46008.833333333336</v>
      </c>
      <c r="O3481" s="38" t="s">
        <v>123</v>
      </c>
      <c r="P3481" s="38">
        <v>1800.0</v>
      </c>
      <c r="Q3481" s="39"/>
      <c r="R3481" s="39"/>
      <c r="S3481" s="39"/>
      <c r="T3481" s="39"/>
      <c r="U3481" s="39"/>
    </row>
    <row r="3482">
      <c r="A3482" s="40">
        <f t="shared" si="1"/>
        <v>46006</v>
      </c>
      <c r="B3482" s="37" t="str">
        <f t="array" ref="B3482">iferror(xlookup($I3482, 'IMPORT VHC Report'!$E:$E, 'IMPORT VHC Report'!$A:$C), )</f>
        <v/>
      </c>
      <c r="C3482" s="37"/>
      <c r="D3482" s="37"/>
      <c r="E3482" s="38" t="s">
        <v>4200</v>
      </c>
      <c r="F3482" s="38" t="s">
        <v>4181</v>
      </c>
      <c r="G3482" s="38">
        <v>3.61731943295E11</v>
      </c>
      <c r="H3482" s="38" t="s">
        <v>4182</v>
      </c>
      <c r="I3482" s="38" t="s">
        <v>4183</v>
      </c>
      <c r="J3482" s="38" t="s">
        <v>4</v>
      </c>
      <c r="K3482" s="38" t="s">
        <v>126</v>
      </c>
      <c r="L3482" s="41">
        <v>46008.833333333336</v>
      </c>
      <c r="M3482" s="38" t="s">
        <v>123</v>
      </c>
      <c r="N3482" s="41">
        <v>46008.875</v>
      </c>
      <c r="O3482" s="38" t="s">
        <v>123</v>
      </c>
      <c r="P3482" s="38">
        <v>3600.0</v>
      </c>
      <c r="Q3482" s="39"/>
      <c r="R3482" s="39"/>
      <c r="S3482" s="38" t="s">
        <v>858</v>
      </c>
      <c r="T3482" s="39"/>
      <c r="U3482" s="39"/>
    </row>
    <row r="3483">
      <c r="A3483" s="40">
        <f t="shared" si="1"/>
        <v>46006</v>
      </c>
      <c r="B3483" s="37" t="str">
        <f t="array" ref="B3483">iferror(xlookup($I3483, 'IMPORT VHC Report'!$E:$E, 'IMPORT VHC Report'!$A:$C), )</f>
        <v/>
      </c>
      <c r="C3483" s="37"/>
      <c r="D3483" s="37"/>
      <c r="E3483" s="38" t="s">
        <v>4201</v>
      </c>
      <c r="F3483" s="38" t="s">
        <v>4181</v>
      </c>
      <c r="G3483" s="38">
        <v>3.61731943295E11</v>
      </c>
      <c r="H3483" s="38" t="s">
        <v>4182</v>
      </c>
      <c r="I3483" s="38" t="s">
        <v>4183</v>
      </c>
      <c r="J3483" s="38" t="s">
        <v>4</v>
      </c>
      <c r="K3483" s="38" t="s">
        <v>126</v>
      </c>
      <c r="L3483" s="41">
        <v>46009.541666666664</v>
      </c>
      <c r="M3483" s="38" t="s">
        <v>123</v>
      </c>
      <c r="N3483" s="41">
        <v>46009.5625</v>
      </c>
      <c r="O3483" s="38" t="s">
        <v>123</v>
      </c>
      <c r="P3483" s="38">
        <v>1800.0</v>
      </c>
      <c r="Q3483" s="39"/>
      <c r="R3483" s="39"/>
      <c r="S3483" s="39"/>
      <c r="T3483" s="39"/>
      <c r="U3483" s="39"/>
    </row>
    <row r="3484">
      <c r="A3484" s="40">
        <f t="shared" si="1"/>
        <v>46006</v>
      </c>
      <c r="B3484" s="37" t="str">
        <f t="array" ref="B3484">iferror(xlookup($I3484, 'IMPORT VHC Report'!$E:$E, 'IMPORT VHC Report'!$A:$C), )</f>
        <v/>
      </c>
      <c r="C3484" s="37"/>
      <c r="D3484" s="37"/>
      <c r="E3484" s="38" t="s">
        <v>4202</v>
      </c>
      <c r="F3484" s="38" t="s">
        <v>4181</v>
      </c>
      <c r="G3484" s="38">
        <v>3.61731943295E11</v>
      </c>
      <c r="H3484" s="38" t="s">
        <v>4182</v>
      </c>
      <c r="I3484" s="38" t="s">
        <v>4183</v>
      </c>
      <c r="J3484" s="38" t="s">
        <v>530</v>
      </c>
      <c r="K3484" s="38" t="s">
        <v>63</v>
      </c>
      <c r="L3484" s="41">
        <v>46009.541666666664</v>
      </c>
      <c r="M3484" s="38" t="s">
        <v>123</v>
      </c>
      <c r="N3484" s="41">
        <v>46009.916666666664</v>
      </c>
      <c r="O3484" s="38" t="s">
        <v>123</v>
      </c>
      <c r="P3484" s="38">
        <v>32400.0</v>
      </c>
      <c r="Q3484" s="39"/>
      <c r="R3484" s="39"/>
      <c r="S3484" s="39"/>
      <c r="T3484" s="39"/>
      <c r="U3484" s="39"/>
    </row>
    <row r="3485">
      <c r="A3485" s="40">
        <f t="shared" si="1"/>
        <v>46006</v>
      </c>
      <c r="B3485" s="37" t="str">
        <f t="array" ref="B3485">iferror(xlookup($I3485, 'IMPORT VHC Report'!$E:$E, 'IMPORT VHC Report'!$A:$C), )</f>
        <v/>
      </c>
      <c r="C3485" s="37"/>
      <c r="D3485" s="37"/>
      <c r="E3485" s="38" t="s">
        <v>4203</v>
      </c>
      <c r="F3485" s="38" t="s">
        <v>4181</v>
      </c>
      <c r="G3485" s="38">
        <v>3.61731943295E11</v>
      </c>
      <c r="H3485" s="38" t="s">
        <v>4182</v>
      </c>
      <c r="I3485" s="38" t="s">
        <v>4183</v>
      </c>
      <c r="J3485" s="38" t="s">
        <v>132</v>
      </c>
      <c r="K3485" s="38" t="s">
        <v>126</v>
      </c>
      <c r="L3485" s="41">
        <v>46009.645833333336</v>
      </c>
      <c r="M3485" s="38" t="s">
        <v>123</v>
      </c>
      <c r="N3485" s="41">
        <v>46009.6875</v>
      </c>
      <c r="O3485" s="38" t="s">
        <v>123</v>
      </c>
      <c r="P3485" s="38">
        <v>3600.0</v>
      </c>
      <c r="Q3485" s="39"/>
      <c r="R3485" s="39"/>
      <c r="S3485" s="39"/>
      <c r="T3485" s="39"/>
      <c r="U3485" s="39"/>
    </row>
    <row r="3486">
      <c r="A3486" s="40">
        <f t="shared" si="1"/>
        <v>46006</v>
      </c>
      <c r="B3486" s="37" t="str">
        <f t="array" ref="B3486">iferror(xlookup($I3486, 'IMPORT VHC Report'!$E:$E, 'IMPORT VHC Report'!$A:$C), )</f>
        <v/>
      </c>
      <c r="C3486" s="37"/>
      <c r="D3486" s="37"/>
      <c r="E3486" s="38" t="s">
        <v>4204</v>
      </c>
      <c r="F3486" s="38" t="s">
        <v>4181</v>
      </c>
      <c r="G3486" s="38">
        <v>3.61731943295E11</v>
      </c>
      <c r="H3486" s="38" t="s">
        <v>4182</v>
      </c>
      <c r="I3486" s="38" t="s">
        <v>4183</v>
      </c>
      <c r="J3486" s="38" t="s">
        <v>134</v>
      </c>
      <c r="K3486" s="38" t="s">
        <v>126</v>
      </c>
      <c r="L3486" s="41">
        <v>46009.8125</v>
      </c>
      <c r="M3486" s="38" t="s">
        <v>123</v>
      </c>
      <c r="N3486" s="41">
        <v>46009.833333333336</v>
      </c>
      <c r="O3486" s="38" t="s">
        <v>123</v>
      </c>
      <c r="P3486" s="38">
        <v>1800.0</v>
      </c>
      <c r="Q3486" s="39"/>
      <c r="R3486" s="39"/>
      <c r="S3486" s="39"/>
      <c r="T3486" s="39"/>
      <c r="U3486" s="39"/>
    </row>
    <row r="3487">
      <c r="A3487" s="40">
        <f t="shared" si="1"/>
        <v>46006</v>
      </c>
      <c r="B3487" s="37" t="str">
        <f t="array" ref="B3487">iferror(xlookup($I3487, 'IMPORT VHC Report'!$E:$E, 'IMPORT VHC Report'!$A:$C), )</f>
        <v/>
      </c>
      <c r="C3487" s="37"/>
      <c r="D3487" s="37"/>
      <c r="E3487" s="38" t="s">
        <v>4205</v>
      </c>
      <c r="F3487" s="38" t="s">
        <v>4181</v>
      </c>
      <c r="G3487" s="38">
        <v>3.61731943295E11</v>
      </c>
      <c r="H3487" s="38" t="s">
        <v>4182</v>
      </c>
      <c r="I3487" s="38" t="s">
        <v>4183</v>
      </c>
      <c r="J3487" s="38" t="s">
        <v>4</v>
      </c>
      <c r="K3487" s="38" t="s">
        <v>126</v>
      </c>
      <c r="L3487" s="41">
        <v>46012.541666666664</v>
      </c>
      <c r="M3487" s="38" t="s">
        <v>123</v>
      </c>
      <c r="N3487" s="41">
        <v>46012.5625</v>
      </c>
      <c r="O3487" s="38" t="s">
        <v>123</v>
      </c>
      <c r="P3487" s="38">
        <v>1800.0</v>
      </c>
      <c r="Q3487" s="39"/>
      <c r="R3487" s="39"/>
      <c r="S3487" s="39"/>
      <c r="T3487" s="39"/>
      <c r="U3487" s="39"/>
    </row>
    <row r="3488">
      <c r="A3488" s="40">
        <f t="shared" si="1"/>
        <v>46006</v>
      </c>
      <c r="B3488" s="37" t="str">
        <f t="array" ref="B3488">iferror(xlookup($I3488, 'IMPORT VHC Report'!$E:$E, 'IMPORT VHC Report'!$A:$C), )</f>
        <v/>
      </c>
      <c r="C3488" s="37"/>
      <c r="D3488" s="37"/>
      <c r="E3488" s="38" t="s">
        <v>4206</v>
      </c>
      <c r="F3488" s="38" t="s">
        <v>4181</v>
      </c>
      <c r="G3488" s="38">
        <v>3.61731943295E11</v>
      </c>
      <c r="H3488" s="38" t="s">
        <v>4182</v>
      </c>
      <c r="I3488" s="38" t="s">
        <v>4183</v>
      </c>
      <c r="J3488" s="38" t="s">
        <v>178</v>
      </c>
      <c r="K3488" s="38" t="s">
        <v>153</v>
      </c>
      <c r="L3488" s="41">
        <v>46012.541666666664</v>
      </c>
      <c r="M3488" s="38" t="s">
        <v>123</v>
      </c>
      <c r="N3488" s="41">
        <v>46012.916666666664</v>
      </c>
      <c r="O3488" s="38" t="s">
        <v>123</v>
      </c>
      <c r="P3488" s="38">
        <v>32400.0</v>
      </c>
      <c r="Q3488" s="38">
        <v>28800.0</v>
      </c>
      <c r="R3488" s="38" t="s">
        <v>4207</v>
      </c>
      <c r="S3488" s="39"/>
      <c r="T3488" s="39"/>
      <c r="U3488" s="39"/>
    </row>
    <row r="3489">
      <c r="A3489" s="40">
        <f t="shared" si="1"/>
        <v>46006</v>
      </c>
      <c r="B3489" s="37" t="str">
        <f t="array" ref="B3489">iferror(xlookup($I3489, 'IMPORT VHC Report'!$E:$E, 'IMPORT VHC Report'!$A:$C), )</f>
        <v/>
      </c>
      <c r="C3489" s="37"/>
      <c r="D3489" s="37"/>
      <c r="E3489" s="38" t="s">
        <v>4208</v>
      </c>
      <c r="F3489" s="38" t="s">
        <v>4181</v>
      </c>
      <c r="G3489" s="38">
        <v>3.61731943295E11</v>
      </c>
      <c r="H3489" s="38" t="s">
        <v>4182</v>
      </c>
      <c r="I3489" s="38" t="s">
        <v>4183</v>
      </c>
      <c r="J3489" s="38" t="s">
        <v>530</v>
      </c>
      <c r="K3489" s="38" t="s">
        <v>63</v>
      </c>
      <c r="L3489" s="41">
        <v>46012.541666666664</v>
      </c>
      <c r="M3489" s="38" t="s">
        <v>123</v>
      </c>
      <c r="N3489" s="41">
        <v>46012.916666666664</v>
      </c>
      <c r="O3489" s="38" t="s">
        <v>123</v>
      </c>
      <c r="P3489" s="38">
        <v>32400.0</v>
      </c>
      <c r="Q3489" s="39"/>
      <c r="R3489" s="39"/>
      <c r="S3489" s="39"/>
      <c r="T3489" s="39"/>
      <c r="U3489" s="39"/>
    </row>
    <row r="3490">
      <c r="A3490" s="40">
        <f t="shared" si="1"/>
        <v>46006</v>
      </c>
      <c r="B3490" s="37" t="str">
        <f t="array" ref="B3490">iferror(xlookup($I3490, 'IMPORT VHC Report'!$E:$E, 'IMPORT VHC Report'!$A:$C), )</f>
        <v/>
      </c>
      <c r="C3490" s="37"/>
      <c r="D3490" s="37"/>
      <c r="E3490" s="38" t="s">
        <v>4209</v>
      </c>
      <c r="F3490" s="38" t="s">
        <v>4181</v>
      </c>
      <c r="G3490" s="38">
        <v>3.61731943295E11</v>
      </c>
      <c r="H3490" s="38" t="s">
        <v>4182</v>
      </c>
      <c r="I3490" s="38" t="s">
        <v>4183</v>
      </c>
      <c r="J3490" s="38" t="s">
        <v>134</v>
      </c>
      <c r="K3490" s="38" t="s">
        <v>126</v>
      </c>
      <c r="L3490" s="41">
        <v>46012.677083333336</v>
      </c>
      <c r="M3490" s="38" t="s">
        <v>123</v>
      </c>
      <c r="N3490" s="41">
        <v>46012.697916666664</v>
      </c>
      <c r="O3490" s="38" t="s">
        <v>123</v>
      </c>
      <c r="P3490" s="38">
        <v>1800.0</v>
      </c>
      <c r="Q3490" s="39"/>
      <c r="R3490" s="39"/>
      <c r="S3490" s="39"/>
      <c r="T3490" s="39"/>
      <c r="U3490" s="39"/>
    </row>
    <row r="3491">
      <c r="A3491" s="40">
        <f t="shared" si="1"/>
        <v>46006</v>
      </c>
      <c r="B3491" s="37" t="str">
        <f t="array" ref="B3491">iferror(xlookup($I3491, 'IMPORT VHC Report'!$E:$E, 'IMPORT VHC Report'!$A:$C), )</f>
        <v/>
      </c>
      <c r="C3491" s="37"/>
      <c r="D3491" s="37"/>
      <c r="E3491" s="38" t="s">
        <v>4210</v>
      </c>
      <c r="F3491" s="38" t="s">
        <v>4181</v>
      </c>
      <c r="G3491" s="38">
        <v>3.61731943295E11</v>
      </c>
      <c r="H3491" s="38" t="s">
        <v>4182</v>
      </c>
      <c r="I3491" s="38" t="s">
        <v>4183</v>
      </c>
      <c r="J3491" s="38" t="s">
        <v>132</v>
      </c>
      <c r="K3491" s="38" t="s">
        <v>126</v>
      </c>
      <c r="L3491" s="41">
        <v>46012.822916666664</v>
      </c>
      <c r="M3491" s="38" t="s">
        <v>123</v>
      </c>
      <c r="N3491" s="41">
        <v>46012.864583333336</v>
      </c>
      <c r="O3491" s="38" t="s">
        <v>123</v>
      </c>
      <c r="P3491" s="38">
        <v>3600.0</v>
      </c>
      <c r="Q3491" s="39"/>
      <c r="R3491" s="39"/>
      <c r="S3491" s="39"/>
      <c r="T3491" s="39"/>
      <c r="U3491" s="39"/>
    </row>
    <row r="3492">
      <c r="A3492" s="40">
        <f t="shared" si="1"/>
        <v>46006</v>
      </c>
      <c r="B3492" s="37" t="str">
        <f t="array" ref="B3492">iferror(xlookup($I3492, 'IMPORT VHC Report'!$E:$E, 'IMPORT VHC Report'!$A:$C), )</f>
        <v/>
      </c>
      <c r="C3492" s="37"/>
      <c r="D3492" s="37"/>
      <c r="E3492" s="38" t="s">
        <v>4211</v>
      </c>
      <c r="F3492" s="38" t="s">
        <v>4212</v>
      </c>
      <c r="G3492" s="38">
        <v>5.047314651919E12</v>
      </c>
      <c r="H3492" s="38" t="s">
        <v>4213</v>
      </c>
      <c r="I3492" s="38" t="s">
        <v>4214</v>
      </c>
      <c r="J3492" s="38" t="s">
        <v>4</v>
      </c>
      <c r="K3492" s="38" t="s">
        <v>126</v>
      </c>
      <c r="L3492" s="41">
        <v>46006.541666666664</v>
      </c>
      <c r="M3492" s="38" t="s">
        <v>123</v>
      </c>
      <c r="N3492" s="41">
        <v>46006.5625</v>
      </c>
      <c r="O3492" s="38" t="s">
        <v>123</v>
      </c>
      <c r="P3492" s="38">
        <v>1800.0</v>
      </c>
      <c r="Q3492" s="39"/>
      <c r="R3492" s="39"/>
      <c r="S3492" s="39"/>
      <c r="T3492" s="39"/>
      <c r="U3492" s="39"/>
    </row>
    <row r="3493">
      <c r="A3493" s="40">
        <f t="shared" si="1"/>
        <v>46006</v>
      </c>
      <c r="B3493" s="37" t="str">
        <f t="array" ref="B3493">iferror(xlookup($I3493, 'IMPORT VHC Report'!$E:$E, 'IMPORT VHC Report'!$A:$C), )</f>
        <v/>
      </c>
      <c r="C3493" s="37"/>
      <c r="D3493" s="37"/>
      <c r="E3493" s="38" t="s">
        <v>4215</v>
      </c>
      <c r="F3493" s="38" t="s">
        <v>4212</v>
      </c>
      <c r="G3493" s="38">
        <v>5.047314651919E12</v>
      </c>
      <c r="H3493" s="38" t="s">
        <v>4213</v>
      </c>
      <c r="I3493" s="38" t="s">
        <v>4214</v>
      </c>
      <c r="J3493" s="38" t="s">
        <v>530</v>
      </c>
      <c r="K3493" s="38" t="s">
        <v>63</v>
      </c>
      <c r="L3493" s="41">
        <v>46006.541666666664</v>
      </c>
      <c r="M3493" s="38" t="s">
        <v>123</v>
      </c>
      <c r="N3493" s="41">
        <v>46006.916666666664</v>
      </c>
      <c r="O3493" s="38" t="s">
        <v>123</v>
      </c>
      <c r="P3493" s="38">
        <v>32400.0</v>
      </c>
      <c r="Q3493" s="39"/>
      <c r="R3493" s="39"/>
      <c r="S3493" s="39"/>
      <c r="T3493" s="39"/>
      <c r="U3493" s="39"/>
    </row>
    <row r="3494">
      <c r="A3494" s="40">
        <f t="shared" si="1"/>
        <v>46006</v>
      </c>
      <c r="B3494" s="37" t="str">
        <f t="array" ref="B3494">iferror(xlookup($I3494, 'IMPORT VHC Report'!$E:$E, 'IMPORT VHC Report'!$A:$C), )</f>
        <v/>
      </c>
      <c r="C3494" s="37"/>
      <c r="D3494" s="37"/>
      <c r="E3494" s="38" t="s">
        <v>4216</v>
      </c>
      <c r="F3494" s="38" t="s">
        <v>4212</v>
      </c>
      <c r="G3494" s="38">
        <v>5.047314651919E12</v>
      </c>
      <c r="H3494" s="38" t="s">
        <v>4213</v>
      </c>
      <c r="I3494" s="38" t="s">
        <v>4214</v>
      </c>
      <c r="J3494" s="38" t="s">
        <v>134</v>
      </c>
      <c r="K3494" s="38" t="s">
        <v>126</v>
      </c>
      <c r="L3494" s="41">
        <v>46006.645833333336</v>
      </c>
      <c r="M3494" s="38" t="s">
        <v>123</v>
      </c>
      <c r="N3494" s="41">
        <v>46006.666666666664</v>
      </c>
      <c r="O3494" s="38" t="s">
        <v>123</v>
      </c>
      <c r="P3494" s="38">
        <v>1800.0</v>
      </c>
      <c r="Q3494" s="39"/>
      <c r="R3494" s="39"/>
      <c r="S3494" s="39"/>
      <c r="T3494" s="39"/>
      <c r="U3494" s="39"/>
    </row>
    <row r="3495">
      <c r="A3495" s="40">
        <f t="shared" si="1"/>
        <v>46006</v>
      </c>
      <c r="B3495" s="37" t="str">
        <f t="array" ref="B3495">iferror(xlookup($I3495, 'IMPORT VHC Report'!$E:$E, 'IMPORT VHC Report'!$A:$C), )</f>
        <v/>
      </c>
      <c r="C3495" s="37"/>
      <c r="D3495" s="37"/>
      <c r="E3495" s="38" t="s">
        <v>4217</v>
      </c>
      <c r="F3495" s="38" t="s">
        <v>4212</v>
      </c>
      <c r="G3495" s="38">
        <v>5.047314651919E12</v>
      </c>
      <c r="H3495" s="38" t="s">
        <v>4213</v>
      </c>
      <c r="I3495" s="38" t="s">
        <v>4214</v>
      </c>
      <c r="J3495" s="38" t="s">
        <v>132</v>
      </c>
      <c r="K3495" s="38" t="s">
        <v>126</v>
      </c>
      <c r="L3495" s="41">
        <v>46006.770833333336</v>
      </c>
      <c r="M3495" s="38" t="s">
        <v>123</v>
      </c>
      <c r="N3495" s="41">
        <v>46006.8125</v>
      </c>
      <c r="O3495" s="38" t="s">
        <v>123</v>
      </c>
      <c r="P3495" s="38">
        <v>3600.0</v>
      </c>
      <c r="Q3495" s="39"/>
      <c r="R3495" s="39"/>
      <c r="S3495" s="39"/>
      <c r="T3495" s="39"/>
      <c r="U3495" s="39"/>
    </row>
    <row r="3496">
      <c r="A3496" s="40">
        <f t="shared" si="1"/>
        <v>46006</v>
      </c>
      <c r="B3496" s="37" t="str">
        <f t="array" ref="B3496">iferror(xlookup($I3496, 'IMPORT VHC Report'!$E:$E, 'IMPORT VHC Report'!$A:$C), )</f>
        <v/>
      </c>
      <c r="C3496" s="37"/>
      <c r="D3496" s="37"/>
      <c r="E3496" s="38" t="s">
        <v>4218</v>
      </c>
      <c r="F3496" s="38" t="s">
        <v>4212</v>
      </c>
      <c r="G3496" s="38">
        <v>5.047314651919E12</v>
      </c>
      <c r="H3496" s="38" t="s">
        <v>4213</v>
      </c>
      <c r="I3496" s="38" t="s">
        <v>4214</v>
      </c>
      <c r="J3496" s="38" t="s">
        <v>4</v>
      </c>
      <c r="K3496" s="38" t="s">
        <v>126</v>
      </c>
      <c r="L3496" s="41">
        <v>46007.541666666664</v>
      </c>
      <c r="M3496" s="38" t="s">
        <v>123</v>
      </c>
      <c r="N3496" s="41">
        <v>46007.5625</v>
      </c>
      <c r="O3496" s="38" t="s">
        <v>123</v>
      </c>
      <c r="P3496" s="38">
        <v>1800.0</v>
      </c>
      <c r="Q3496" s="39"/>
      <c r="R3496" s="39"/>
      <c r="S3496" s="39"/>
      <c r="T3496" s="39"/>
      <c r="U3496" s="39"/>
    </row>
    <row r="3497">
      <c r="A3497" s="40">
        <f t="shared" si="1"/>
        <v>46006</v>
      </c>
      <c r="B3497" s="37" t="str">
        <f t="array" ref="B3497">iferror(xlookup($I3497, 'IMPORT VHC Report'!$E:$E, 'IMPORT VHC Report'!$A:$C), )</f>
        <v/>
      </c>
      <c r="C3497" s="37"/>
      <c r="D3497" s="37"/>
      <c r="E3497" s="38" t="s">
        <v>4219</v>
      </c>
      <c r="F3497" s="38" t="s">
        <v>4212</v>
      </c>
      <c r="G3497" s="38">
        <v>5.047314651919E12</v>
      </c>
      <c r="H3497" s="38" t="s">
        <v>4213</v>
      </c>
      <c r="I3497" s="38" t="s">
        <v>4214</v>
      </c>
      <c r="J3497" s="38" t="s">
        <v>530</v>
      </c>
      <c r="K3497" s="38" t="s">
        <v>63</v>
      </c>
      <c r="L3497" s="41">
        <v>46007.541666666664</v>
      </c>
      <c r="M3497" s="38" t="s">
        <v>123</v>
      </c>
      <c r="N3497" s="41">
        <v>46007.916666666664</v>
      </c>
      <c r="O3497" s="38" t="s">
        <v>123</v>
      </c>
      <c r="P3497" s="38">
        <v>32400.0</v>
      </c>
      <c r="Q3497" s="39"/>
      <c r="R3497" s="39"/>
      <c r="S3497" s="39"/>
      <c r="T3497" s="39"/>
      <c r="U3497" s="39"/>
    </row>
    <row r="3498">
      <c r="A3498" s="40">
        <f t="shared" si="1"/>
        <v>46006</v>
      </c>
      <c r="B3498" s="37" t="str">
        <f t="array" ref="B3498">iferror(xlookup($I3498, 'IMPORT VHC Report'!$E:$E, 'IMPORT VHC Report'!$A:$C), )</f>
        <v/>
      </c>
      <c r="C3498" s="37"/>
      <c r="D3498" s="37"/>
      <c r="E3498" s="38" t="s">
        <v>4220</v>
      </c>
      <c r="F3498" s="38" t="s">
        <v>4212</v>
      </c>
      <c r="G3498" s="38">
        <v>5.047314651919E12</v>
      </c>
      <c r="H3498" s="38" t="s">
        <v>4213</v>
      </c>
      <c r="I3498" s="38" t="s">
        <v>4214</v>
      </c>
      <c r="J3498" s="38" t="s">
        <v>4</v>
      </c>
      <c r="K3498" s="38" t="s">
        <v>126</v>
      </c>
      <c r="L3498" s="41">
        <v>46007.583333333336</v>
      </c>
      <c r="M3498" s="38" t="s">
        <v>123</v>
      </c>
      <c r="N3498" s="41">
        <v>46007.625</v>
      </c>
      <c r="O3498" s="38" t="s">
        <v>123</v>
      </c>
      <c r="P3498" s="38">
        <v>3600.0</v>
      </c>
      <c r="Q3498" s="39"/>
      <c r="R3498" s="39"/>
      <c r="S3498" s="38" t="s">
        <v>1209</v>
      </c>
      <c r="T3498" s="39"/>
      <c r="U3498" s="39"/>
    </row>
    <row r="3499">
      <c r="A3499" s="40">
        <f t="shared" si="1"/>
        <v>46006</v>
      </c>
      <c r="B3499" s="37" t="str">
        <f t="array" ref="B3499">iferror(xlookup($I3499, 'IMPORT VHC Report'!$E:$E, 'IMPORT VHC Report'!$A:$C), )</f>
        <v/>
      </c>
      <c r="C3499" s="37"/>
      <c r="D3499" s="37"/>
      <c r="E3499" s="38" t="s">
        <v>4221</v>
      </c>
      <c r="F3499" s="38" t="s">
        <v>4212</v>
      </c>
      <c r="G3499" s="38">
        <v>5.047314651919E12</v>
      </c>
      <c r="H3499" s="38" t="s">
        <v>4213</v>
      </c>
      <c r="I3499" s="38" t="s">
        <v>4214</v>
      </c>
      <c r="J3499" s="38" t="s">
        <v>134</v>
      </c>
      <c r="K3499" s="38" t="s">
        <v>126</v>
      </c>
      <c r="L3499" s="41">
        <v>46007.677083333336</v>
      </c>
      <c r="M3499" s="38" t="s">
        <v>123</v>
      </c>
      <c r="N3499" s="41">
        <v>46007.697916666664</v>
      </c>
      <c r="O3499" s="38" t="s">
        <v>123</v>
      </c>
      <c r="P3499" s="38">
        <v>1800.0</v>
      </c>
      <c r="Q3499" s="39"/>
      <c r="R3499" s="39"/>
      <c r="S3499" s="39"/>
      <c r="T3499" s="39"/>
      <c r="U3499" s="39"/>
    </row>
    <row r="3500">
      <c r="A3500" s="40">
        <f t="shared" si="1"/>
        <v>46006</v>
      </c>
      <c r="B3500" s="37" t="str">
        <f t="array" ref="B3500">iferror(xlookup($I3500, 'IMPORT VHC Report'!$E:$E, 'IMPORT VHC Report'!$A:$C), )</f>
        <v/>
      </c>
      <c r="C3500" s="37"/>
      <c r="D3500" s="37"/>
      <c r="E3500" s="38" t="s">
        <v>4222</v>
      </c>
      <c r="F3500" s="38" t="s">
        <v>4212</v>
      </c>
      <c r="G3500" s="38">
        <v>5.047314651919E12</v>
      </c>
      <c r="H3500" s="38" t="s">
        <v>4213</v>
      </c>
      <c r="I3500" s="38" t="s">
        <v>4214</v>
      </c>
      <c r="J3500" s="38" t="s">
        <v>132</v>
      </c>
      <c r="K3500" s="38" t="s">
        <v>126</v>
      </c>
      <c r="L3500" s="41">
        <v>46007.791666666664</v>
      </c>
      <c r="M3500" s="38" t="s">
        <v>123</v>
      </c>
      <c r="N3500" s="41">
        <v>46007.833333333336</v>
      </c>
      <c r="O3500" s="38" t="s">
        <v>123</v>
      </c>
      <c r="P3500" s="38">
        <v>3600.0</v>
      </c>
      <c r="Q3500" s="39"/>
      <c r="R3500" s="39"/>
      <c r="S3500" s="39"/>
      <c r="T3500" s="39"/>
      <c r="U3500" s="39"/>
    </row>
    <row r="3501">
      <c r="A3501" s="40">
        <f t="shared" si="1"/>
        <v>46006</v>
      </c>
      <c r="B3501" s="37" t="str">
        <f t="array" ref="B3501">iferror(xlookup($I3501, 'IMPORT VHC Report'!$E:$E, 'IMPORT VHC Report'!$A:$C), )</f>
        <v/>
      </c>
      <c r="C3501" s="37"/>
      <c r="D3501" s="37"/>
      <c r="E3501" s="38" t="s">
        <v>4223</v>
      </c>
      <c r="F3501" s="38" t="s">
        <v>4212</v>
      </c>
      <c r="G3501" s="38">
        <v>5.047314651919E12</v>
      </c>
      <c r="H3501" s="38" t="s">
        <v>4213</v>
      </c>
      <c r="I3501" s="38" t="s">
        <v>4214</v>
      </c>
      <c r="J3501" s="38" t="s">
        <v>4</v>
      </c>
      <c r="K3501" s="38" t="s">
        <v>126</v>
      </c>
      <c r="L3501" s="41">
        <v>46008.541666666664</v>
      </c>
      <c r="M3501" s="38" t="s">
        <v>123</v>
      </c>
      <c r="N3501" s="41">
        <v>46008.5625</v>
      </c>
      <c r="O3501" s="38" t="s">
        <v>123</v>
      </c>
      <c r="P3501" s="38">
        <v>1800.0</v>
      </c>
      <c r="Q3501" s="39"/>
      <c r="R3501" s="39"/>
      <c r="S3501" s="39"/>
      <c r="T3501" s="39"/>
      <c r="U3501" s="39"/>
    </row>
    <row r="3502">
      <c r="A3502" s="40">
        <f t="shared" si="1"/>
        <v>46006</v>
      </c>
      <c r="B3502" s="37" t="str">
        <f t="array" ref="B3502">iferror(xlookup($I3502, 'IMPORT VHC Report'!$E:$E, 'IMPORT VHC Report'!$A:$C), )</f>
        <v/>
      </c>
      <c r="C3502" s="37"/>
      <c r="D3502" s="37"/>
      <c r="E3502" s="38" t="s">
        <v>4224</v>
      </c>
      <c r="F3502" s="38" t="s">
        <v>4212</v>
      </c>
      <c r="G3502" s="38">
        <v>5.047314651919E12</v>
      </c>
      <c r="H3502" s="38" t="s">
        <v>4213</v>
      </c>
      <c r="I3502" s="38" t="s">
        <v>4214</v>
      </c>
      <c r="J3502" s="38" t="s">
        <v>530</v>
      </c>
      <c r="K3502" s="38" t="s">
        <v>63</v>
      </c>
      <c r="L3502" s="41">
        <v>46008.541666666664</v>
      </c>
      <c r="M3502" s="38" t="s">
        <v>123</v>
      </c>
      <c r="N3502" s="41">
        <v>46008.916666666664</v>
      </c>
      <c r="O3502" s="38" t="s">
        <v>123</v>
      </c>
      <c r="P3502" s="38">
        <v>32400.0</v>
      </c>
      <c r="Q3502" s="39"/>
      <c r="R3502" s="39"/>
      <c r="S3502" s="39"/>
      <c r="T3502" s="39"/>
      <c r="U3502" s="39"/>
    </row>
    <row r="3503">
      <c r="A3503" s="40">
        <f t="shared" si="1"/>
        <v>46006</v>
      </c>
      <c r="B3503" s="37" t="str">
        <f t="array" ref="B3503">iferror(xlookup($I3503, 'IMPORT VHC Report'!$E:$E, 'IMPORT VHC Report'!$A:$C), )</f>
        <v/>
      </c>
      <c r="C3503" s="37"/>
      <c r="D3503" s="37"/>
      <c r="E3503" s="38" t="s">
        <v>4225</v>
      </c>
      <c r="F3503" s="38" t="s">
        <v>4212</v>
      </c>
      <c r="G3503" s="38">
        <v>5.047314651919E12</v>
      </c>
      <c r="H3503" s="38" t="s">
        <v>4213</v>
      </c>
      <c r="I3503" s="38" t="s">
        <v>4214</v>
      </c>
      <c r="J3503" s="38" t="s">
        <v>134</v>
      </c>
      <c r="K3503" s="38" t="s">
        <v>126</v>
      </c>
      <c r="L3503" s="41">
        <v>46008.677083333336</v>
      </c>
      <c r="M3503" s="38" t="s">
        <v>123</v>
      </c>
      <c r="N3503" s="41">
        <v>46008.697916666664</v>
      </c>
      <c r="O3503" s="38" t="s">
        <v>123</v>
      </c>
      <c r="P3503" s="38">
        <v>1800.0</v>
      </c>
      <c r="Q3503" s="39"/>
      <c r="R3503" s="39"/>
      <c r="S3503" s="39"/>
      <c r="T3503" s="39"/>
      <c r="U3503" s="39"/>
    </row>
    <row r="3504">
      <c r="A3504" s="40">
        <f t="shared" si="1"/>
        <v>46006</v>
      </c>
      <c r="B3504" s="37" t="str">
        <f t="array" ref="B3504">iferror(xlookup($I3504, 'IMPORT VHC Report'!$E:$E, 'IMPORT VHC Report'!$A:$C), )</f>
        <v/>
      </c>
      <c r="C3504" s="37"/>
      <c r="D3504" s="37"/>
      <c r="E3504" s="38" t="s">
        <v>4226</v>
      </c>
      <c r="F3504" s="38" t="s">
        <v>4212</v>
      </c>
      <c r="G3504" s="38">
        <v>5.047314651919E12</v>
      </c>
      <c r="H3504" s="38" t="s">
        <v>4213</v>
      </c>
      <c r="I3504" s="38" t="s">
        <v>4214</v>
      </c>
      <c r="J3504" s="38" t="s">
        <v>132</v>
      </c>
      <c r="K3504" s="38" t="s">
        <v>126</v>
      </c>
      <c r="L3504" s="41">
        <v>46008.791666666664</v>
      </c>
      <c r="M3504" s="38" t="s">
        <v>123</v>
      </c>
      <c r="N3504" s="41">
        <v>46008.833333333336</v>
      </c>
      <c r="O3504" s="38" t="s">
        <v>123</v>
      </c>
      <c r="P3504" s="38">
        <v>3600.0</v>
      </c>
      <c r="Q3504" s="39"/>
      <c r="R3504" s="39"/>
      <c r="S3504" s="39"/>
      <c r="T3504" s="39"/>
      <c r="U3504" s="39"/>
    </row>
    <row r="3505">
      <c r="A3505" s="40">
        <f t="shared" si="1"/>
        <v>46006</v>
      </c>
      <c r="B3505" s="37" t="str">
        <f t="array" ref="B3505">iferror(xlookup($I3505, 'IMPORT VHC Report'!$E:$E, 'IMPORT VHC Report'!$A:$C), )</f>
        <v/>
      </c>
      <c r="C3505" s="37"/>
      <c r="D3505" s="37"/>
      <c r="E3505" s="38" t="s">
        <v>4227</v>
      </c>
      <c r="F3505" s="38" t="s">
        <v>4212</v>
      </c>
      <c r="G3505" s="38">
        <v>5.047314651919E12</v>
      </c>
      <c r="H3505" s="38" t="s">
        <v>4213</v>
      </c>
      <c r="I3505" s="38" t="s">
        <v>4214</v>
      </c>
      <c r="J3505" s="38" t="s">
        <v>132</v>
      </c>
      <c r="K3505" s="38" t="s">
        <v>126</v>
      </c>
      <c r="L3505" s="41">
        <v>46009.541666666664</v>
      </c>
      <c r="M3505" s="38" t="s">
        <v>123</v>
      </c>
      <c r="N3505" s="41">
        <v>46009.583333333336</v>
      </c>
      <c r="O3505" s="38" t="s">
        <v>123</v>
      </c>
      <c r="P3505" s="38">
        <v>3600.0</v>
      </c>
      <c r="Q3505" s="39"/>
      <c r="R3505" s="39"/>
      <c r="S3505" s="39"/>
      <c r="T3505" s="39"/>
      <c r="U3505" s="39"/>
    </row>
    <row r="3506">
      <c r="A3506" s="40">
        <f t="shared" si="1"/>
        <v>46006</v>
      </c>
      <c r="B3506" s="37" t="str">
        <f t="array" ref="B3506">iferror(xlookup($I3506, 'IMPORT VHC Report'!$E:$E, 'IMPORT VHC Report'!$A:$C), )</f>
        <v/>
      </c>
      <c r="C3506" s="37"/>
      <c r="D3506" s="37"/>
      <c r="E3506" s="38" t="s">
        <v>4228</v>
      </c>
      <c r="F3506" s="38" t="s">
        <v>4212</v>
      </c>
      <c r="G3506" s="38">
        <v>5.047314651919E12</v>
      </c>
      <c r="H3506" s="38" t="s">
        <v>4213</v>
      </c>
      <c r="I3506" s="38" t="s">
        <v>4214</v>
      </c>
      <c r="J3506" s="38" t="s">
        <v>530</v>
      </c>
      <c r="K3506" s="38" t="s">
        <v>63</v>
      </c>
      <c r="L3506" s="41">
        <v>46009.541666666664</v>
      </c>
      <c r="M3506" s="38" t="s">
        <v>123</v>
      </c>
      <c r="N3506" s="41">
        <v>46009.916666666664</v>
      </c>
      <c r="O3506" s="38" t="s">
        <v>123</v>
      </c>
      <c r="P3506" s="38">
        <v>32400.0</v>
      </c>
      <c r="Q3506" s="39"/>
      <c r="R3506" s="39"/>
      <c r="S3506" s="39"/>
      <c r="T3506" s="39"/>
      <c r="U3506" s="39"/>
    </row>
    <row r="3507">
      <c r="A3507" s="40">
        <f t="shared" si="1"/>
        <v>46006</v>
      </c>
      <c r="B3507" s="37" t="str">
        <f t="array" ref="B3507">iferror(xlookup($I3507, 'IMPORT VHC Report'!$E:$E, 'IMPORT VHC Report'!$A:$C), )</f>
        <v/>
      </c>
      <c r="C3507" s="37"/>
      <c r="D3507" s="37"/>
      <c r="E3507" s="38" t="s">
        <v>4229</v>
      </c>
      <c r="F3507" s="38" t="s">
        <v>4212</v>
      </c>
      <c r="G3507" s="38">
        <v>5.047314651919E12</v>
      </c>
      <c r="H3507" s="38" t="s">
        <v>4213</v>
      </c>
      <c r="I3507" s="38" t="s">
        <v>4214</v>
      </c>
      <c r="J3507" s="38" t="s">
        <v>134</v>
      </c>
      <c r="K3507" s="38" t="s">
        <v>126</v>
      </c>
      <c r="L3507" s="41">
        <v>46009.583333333336</v>
      </c>
      <c r="M3507" s="38" t="s">
        <v>123</v>
      </c>
      <c r="N3507" s="41">
        <v>46009.604166666664</v>
      </c>
      <c r="O3507" s="38" t="s">
        <v>123</v>
      </c>
      <c r="P3507" s="38">
        <v>1800.0</v>
      </c>
      <c r="Q3507" s="39"/>
      <c r="R3507" s="39"/>
      <c r="S3507" s="39"/>
      <c r="T3507" s="39"/>
      <c r="U3507" s="39"/>
    </row>
    <row r="3508">
      <c r="A3508" s="40">
        <f t="shared" si="1"/>
        <v>46006</v>
      </c>
      <c r="B3508" s="37" t="str">
        <f t="array" ref="B3508">iferror(xlookup($I3508, 'IMPORT VHC Report'!$E:$E, 'IMPORT VHC Report'!$A:$C), )</f>
        <v/>
      </c>
      <c r="C3508" s="37"/>
      <c r="D3508" s="37"/>
      <c r="E3508" s="38" t="s">
        <v>4230</v>
      </c>
      <c r="F3508" s="38" t="s">
        <v>4212</v>
      </c>
      <c r="G3508" s="38">
        <v>5.047314651919E12</v>
      </c>
      <c r="H3508" s="38" t="s">
        <v>4213</v>
      </c>
      <c r="I3508" s="38" t="s">
        <v>4214</v>
      </c>
      <c r="J3508" s="38" t="s">
        <v>4</v>
      </c>
      <c r="K3508" s="38" t="s">
        <v>126</v>
      </c>
      <c r="L3508" s="41">
        <v>46009.604166666664</v>
      </c>
      <c r="M3508" s="38" t="s">
        <v>123</v>
      </c>
      <c r="N3508" s="41">
        <v>46009.625</v>
      </c>
      <c r="O3508" s="38" t="s">
        <v>123</v>
      </c>
      <c r="P3508" s="38">
        <v>1800.0</v>
      </c>
      <c r="Q3508" s="39"/>
      <c r="R3508" s="39"/>
      <c r="S3508" s="38" t="s">
        <v>4231</v>
      </c>
      <c r="T3508" s="39"/>
      <c r="U3508" s="39"/>
    </row>
    <row r="3509">
      <c r="A3509" s="40">
        <f t="shared" si="1"/>
        <v>46006</v>
      </c>
      <c r="B3509" s="37" t="str">
        <f t="array" ref="B3509">iferror(xlookup($I3509, 'IMPORT VHC Report'!$E:$E, 'IMPORT VHC Report'!$A:$C), )</f>
        <v/>
      </c>
      <c r="C3509" s="37"/>
      <c r="D3509" s="37"/>
      <c r="E3509" s="38" t="s">
        <v>4232</v>
      </c>
      <c r="F3509" s="38" t="s">
        <v>4212</v>
      </c>
      <c r="G3509" s="38">
        <v>5.047314651919E12</v>
      </c>
      <c r="H3509" s="38" t="s">
        <v>4213</v>
      </c>
      <c r="I3509" s="38" t="s">
        <v>4214</v>
      </c>
      <c r="J3509" s="38" t="s">
        <v>136</v>
      </c>
      <c r="K3509" s="38" t="s">
        <v>126</v>
      </c>
      <c r="L3509" s="41">
        <v>46009.67013888889</v>
      </c>
      <c r="M3509" s="38" t="s">
        <v>123</v>
      </c>
      <c r="N3509" s="41">
        <v>46009.71041666667</v>
      </c>
      <c r="O3509" s="38" t="s">
        <v>123</v>
      </c>
      <c r="P3509" s="38">
        <v>3480.0</v>
      </c>
      <c r="Q3509" s="39"/>
      <c r="R3509" s="39"/>
      <c r="S3509" s="38" t="s">
        <v>137</v>
      </c>
      <c r="T3509" s="39"/>
      <c r="U3509" s="39"/>
    </row>
    <row r="3510">
      <c r="A3510" s="40">
        <f t="shared" si="1"/>
        <v>46006</v>
      </c>
      <c r="B3510" s="37" t="str">
        <f t="array" ref="B3510">iferror(xlookup($I3510, 'IMPORT VHC Report'!$E:$E, 'IMPORT VHC Report'!$A:$C), )</f>
        <v/>
      </c>
      <c r="C3510" s="37"/>
      <c r="D3510" s="37"/>
      <c r="E3510" s="38" t="s">
        <v>4233</v>
      </c>
      <c r="F3510" s="38" t="s">
        <v>4212</v>
      </c>
      <c r="G3510" s="38">
        <v>5.047314651919E12</v>
      </c>
      <c r="H3510" s="38" t="s">
        <v>4213</v>
      </c>
      <c r="I3510" s="38" t="s">
        <v>4214</v>
      </c>
      <c r="J3510" s="38" t="s">
        <v>4</v>
      </c>
      <c r="K3510" s="38" t="s">
        <v>126</v>
      </c>
      <c r="L3510" s="41">
        <v>46009.75</v>
      </c>
      <c r="M3510" s="38" t="s">
        <v>123</v>
      </c>
      <c r="N3510" s="41">
        <v>46009.791666666664</v>
      </c>
      <c r="O3510" s="38" t="s">
        <v>123</v>
      </c>
      <c r="P3510" s="38">
        <v>3600.0</v>
      </c>
      <c r="Q3510" s="39"/>
      <c r="R3510" s="39"/>
      <c r="S3510" s="38" t="s">
        <v>858</v>
      </c>
      <c r="T3510" s="39"/>
      <c r="U3510" s="39"/>
    </row>
    <row r="3511">
      <c r="A3511" s="40">
        <f t="shared" si="1"/>
        <v>46006</v>
      </c>
      <c r="B3511" s="37" t="str">
        <f t="array" ref="B3511">iferror(xlookup($I3511, 'IMPORT VHC Report'!$E:$E, 'IMPORT VHC Report'!$A:$C), )</f>
        <v/>
      </c>
      <c r="C3511" s="37"/>
      <c r="D3511" s="37"/>
      <c r="E3511" s="38" t="s">
        <v>4234</v>
      </c>
      <c r="F3511" s="38" t="s">
        <v>4212</v>
      </c>
      <c r="G3511" s="38">
        <v>5.047314651919E12</v>
      </c>
      <c r="H3511" s="38" t="s">
        <v>4213</v>
      </c>
      <c r="I3511" s="38" t="s">
        <v>4214</v>
      </c>
      <c r="J3511" s="38" t="s">
        <v>178</v>
      </c>
      <c r="K3511" s="38" t="s">
        <v>153</v>
      </c>
      <c r="L3511" s="41">
        <v>46010.541666666664</v>
      </c>
      <c r="M3511" s="38" t="s">
        <v>123</v>
      </c>
      <c r="N3511" s="41">
        <v>46010.916666666664</v>
      </c>
      <c r="O3511" s="38" t="s">
        <v>123</v>
      </c>
      <c r="P3511" s="38">
        <v>32400.0</v>
      </c>
      <c r="Q3511" s="38">
        <v>32400.0</v>
      </c>
      <c r="R3511" s="39"/>
      <c r="S3511" s="39"/>
      <c r="T3511" s="39"/>
      <c r="U3511" s="39"/>
    </row>
    <row r="3512">
      <c r="A3512" s="40">
        <f t="shared" si="1"/>
        <v>46006</v>
      </c>
      <c r="B3512" s="37" t="str">
        <f t="array" ref="B3512">iferror(xlookup($I3512, 'IMPORT VHC Report'!$E:$E, 'IMPORT VHC Report'!$A:$C), )</f>
        <v/>
      </c>
      <c r="C3512" s="37"/>
      <c r="D3512" s="37"/>
      <c r="E3512" s="38" t="s">
        <v>4235</v>
      </c>
      <c r="F3512" s="38" t="s">
        <v>4212</v>
      </c>
      <c r="G3512" s="38">
        <v>5.047314651919E12</v>
      </c>
      <c r="H3512" s="38" t="s">
        <v>4213</v>
      </c>
      <c r="I3512" s="38" t="s">
        <v>4214</v>
      </c>
      <c r="J3512" s="38" t="s">
        <v>4</v>
      </c>
      <c r="K3512" s="38" t="s">
        <v>126</v>
      </c>
      <c r="L3512" s="41">
        <v>46012.541666666664</v>
      </c>
      <c r="M3512" s="38" t="s">
        <v>123</v>
      </c>
      <c r="N3512" s="41">
        <v>46012.5625</v>
      </c>
      <c r="O3512" s="38" t="s">
        <v>123</v>
      </c>
      <c r="P3512" s="38">
        <v>1800.0</v>
      </c>
      <c r="Q3512" s="39"/>
      <c r="R3512" s="39"/>
      <c r="S3512" s="39"/>
      <c r="T3512" s="39"/>
      <c r="U3512" s="39"/>
    </row>
    <row r="3513">
      <c r="A3513" s="40">
        <f t="shared" si="1"/>
        <v>46006</v>
      </c>
      <c r="B3513" s="37" t="str">
        <f t="array" ref="B3513">iferror(xlookup($I3513, 'IMPORT VHC Report'!$E:$E, 'IMPORT VHC Report'!$A:$C), )</f>
        <v/>
      </c>
      <c r="C3513" s="37"/>
      <c r="D3513" s="37"/>
      <c r="E3513" s="38" t="s">
        <v>4236</v>
      </c>
      <c r="F3513" s="38" t="s">
        <v>4212</v>
      </c>
      <c r="G3513" s="38">
        <v>5.047314651919E12</v>
      </c>
      <c r="H3513" s="38" t="s">
        <v>4213</v>
      </c>
      <c r="I3513" s="38" t="s">
        <v>4214</v>
      </c>
      <c r="J3513" s="38" t="s">
        <v>530</v>
      </c>
      <c r="K3513" s="38" t="s">
        <v>63</v>
      </c>
      <c r="L3513" s="41">
        <v>46012.541666666664</v>
      </c>
      <c r="M3513" s="38" t="s">
        <v>123</v>
      </c>
      <c r="N3513" s="41">
        <v>46012.916666666664</v>
      </c>
      <c r="O3513" s="38" t="s">
        <v>123</v>
      </c>
      <c r="P3513" s="38">
        <v>32400.0</v>
      </c>
      <c r="Q3513" s="39"/>
      <c r="R3513" s="39"/>
      <c r="S3513" s="39"/>
      <c r="T3513" s="39"/>
      <c r="U3513" s="39"/>
    </row>
    <row r="3514">
      <c r="A3514" s="40">
        <f t="shared" si="1"/>
        <v>46006</v>
      </c>
      <c r="B3514" s="37" t="str">
        <f t="array" ref="B3514">iferror(xlookup($I3514, 'IMPORT VHC Report'!$E:$E, 'IMPORT VHC Report'!$A:$C), )</f>
        <v/>
      </c>
      <c r="C3514" s="37"/>
      <c r="D3514" s="37"/>
      <c r="E3514" s="38" t="s">
        <v>4237</v>
      </c>
      <c r="F3514" s="38" t="s">
        <v>4212</v>
      </c>
      <c r="G3514" s="38">
        <v>5.047314651919E12</v>
      </c>
      <c r="H3514" s="38" t="s">
        <v>4213</v>
      </c>
      <c r="I3514" s="38" t="s">
        <v>4214</v>
      </c>
      <c r="J3514" s="38" t="s">
        <v>134</v>
      </c>
      <c r="K3514" s="38" t="s">
        <v>126</v>
      </c>
      <c r="L3514" s="41">
        <v>46012.6875</v>
      </c>
      <c r="M3514" s="38" t="s">
        <v>123</v>
      </c>
      <c r="N3514" s="41">
        <v>46012.708333333336</v>
      </c>
      <c r="O3514" s="38" t="s">
        <v>123</v>
      </c>
      <c r="P3514" s="38">
        <v>1800.0</v>
      </c>
      <c r="Q3514" s="39"/>
      <c r="R3514" s="39"/>
      <c r="S3514" s="39"/>
      <c r="T3514" s="39"/>
      <c r="U3514" s="39"/>
    </row>
    <row r="3515">
      <c r="A3515" s="40">
        <f t="shared" si="1"/>
        <v>46006</v>
      </c>
      <c r="B3515" s="37" t="str">
        <f t="array" ref="B3515">iferror(xlookup($I3515, 'IMPORT VHC Report'!$E:$E, 'IMPORT VHC Report'!$A:$C), )</f>
        <v/>
      </c>
      <c r="C3515" s="37"/>
      <c r="D3515" s="37"/>
      <c r="E3515" s="38" t="s">
        <v>4238</v>
      </c>
      <c r="F3515" s="38" t="s">
        <v>4212</v>
      </c>
      <c r="G3515" s="38">
        <v>5.047314651919E12</v>
      </c>
      <c r="H3515" s="38" t="s">
        <v>4213</v>
      </c>
      <c r="I3515" s="38" t="s">
        <v>4214</v>
      </c>
      <c r="J3515" s="38" t="s">
        <v>132</v>
      </c>
      <c r="K3515" s="38" t="s">
        <v>126</v>
      </c>
      <c r="L3515" s="41">
        <v>46012.84375</v>
      </c>
      <c r="M3515" s="38" t="s">
        <v>123</v>
      </c>
      <c r="N3515" s="41">
        <v>46012.885416666664</v>
      </c>
      <c r="O3515" s="38" t="s">
        <v>123</v>
      </c>
      <c r="P3515" s="38">
        <v>3600.0</v>
      </c>
      <c r="Q3515" s="39"/>
      <c r="R3515" s="39"/>
      <c r="S3515" s="39"/>
      <c r="T3515" s="39"/>
      <c r="U3515" s="39"/>
    </row>
    <row r="3516">
      <c r="A3516" s="40">
        <f t="shared" si="1"/>
        <v>46006</v>
      </c>
      <c r="B3516" s="37" t="str">
        <f t="array" ref="B3516">iferror(xlookup($I3516, 'IMPORT VHC Report'!$E:$E, 'IMPORT VHC Report'!$A:$C), )</f>
        <v/>
      </c>
      <c r="C3516" s="37"/>
      <c r="D3516" s="37"/>
      <c r="E3516" s="38" t="s">
        <v>4239</v>
      </c>
      <c r="F3516" s="38" t="s">
        <v>4240</v>
      </c>
      <c r="G3516" s="38">
        <v>3.61861298275E11</v>
      </c>
      <c r="H3516" s="38" t="s">
        <v>4241</v>
      </c>
      <c r="I3516" s="38" t="s">
        <v>4242</v>
      </c>
      <c r="J3516" s="38" t="s">
        <v>4</v>
      </c>
      <c r="K3516" s="38" t="s">
        <v>126</v>
      </c>
      <c r="L3516" s="41">
        <v>46006.541666666664</v>
      </c>
      <c r="M3516" s="38" t="s">
        <v>123</v>
      </c>
      <c r="N3516" s="41">
        <v>46006.5625</v>
      </c>
      <c r="O3516" s="38" t="s">
        <v>123</v>
      </c>
      <c r="P3516" s="38">
        <v>1800.0</v>
      </c>
      <c r="Q3516" s="39"/>
      <c r="R3516" s="39"/>
      <c r="S3516" s="39"/>
      <c r="T3516" s="39"/>
      <c r="U3516" s="39"/>
    </row>
    <row r="3517">
      <c r="A3517" s="40">
        <f t="shared" si="1"/>
        <v>46006</v>
      </c>
      <c r="B3517" s="37" t="str">
        <f t="array" ref="B3517">iferror(xlookup($I3517, 'IMPORT VHC Report'!$E:$E, 'IMPORT VHC Report'!$A:$C), )</f>
        <v/>
      </c>
      <c r="C3517" s="37"/>
      <c r="D3517" s="37"/>
      <c r="E3517" s="38" t="s">
        <v>4243</v>
      </c>
      <c r="F3517" s="38" t="s">
        <v>4240</v>
      </c>
      <c r="G3517" s="38">
        <v>3.61861298275E11</v>
      </c>
      <c r="H3517" s="38" t="s">
        <v>4241</v>
      </c>
      <c r="I3517" s="38" t="s">
        <v>4242</v>
      </c>
      <c r="J3517" s="38" t="s">
        <v>530</v>
      </c>
      <c r="K3517" s="38" t="s">
        <v>63</v>
      </c>
      <c r="L3517" s="41">
        <v>46006.541666666664</v>
      </c>
      <c r="M3517" s="38" t="s">
        <v>123</v>
      </c>
      <c r="N3517" s="41">
        <v>46006.916666666664</v>
      </c>
      <c r="O3517" s="38" t="s">
        <v>123</v>
      </c>
      <c r="P3517" s="38">
        <v>32400.0</v>
      </c>
      <c r="Q3517" s="39"/>
      <c r="R3517" s="39"/>
      <c r="S3517" s="39"/>
      <c r="T3517" s="39"/>
      <c r="U3517" s="39"/>
    </row>
    <row r="3518">
      <c r="A3518" s="40">
        <f t="shared" si="1"/>
        <v>46006</v>
      </c>
      <c r="B3518" s="37" t="str">
        <f t="array" ref="B3518">iferror(xlookup($I3518, 'IMPORT VHC Report'!$E:$E, 'IMPORT VHC Report'!$A:$C), )</f>
        <v/>
      </c>
      <c r="C3518" s="37"/>
      <c r="D3518" s="37"/>
      <c r="E3518" s="38" t="s">
        <v>4244</v>
      </c>
      <c r="F3518" s="38" t="s">
        <v>4240</v>
      </c>
      <c r="G3518" s="38">
        <v>3.61861298275E11</v>
      </c>
      <c r="H3518" s="38" t="s">
        <v>4241</v>
      </c>
      <c r="I3518" s="38" t="s">
        <v>4242</v>
      </c>
      <c r="J3518" s="38" t="s">
        <v>132</v>
      </c>
      <c r="K3518" s="38" t="s">
        <v>126</v>
      </c>
      <c r="L3518" s="41">
        <v>46006.6875</v>
      </c>
      <c r="M3518" s="38" t="s">
        <v>123</v>
      </c>
      <c r="N3518" s="41">
        <v>46006.729166666664</v>
      </c>
      <c r="O3518" s="38" t="s">
        <v>123</v>
      </c>
      <c r="P3518" s="38">
        <v>3600.0</v>
      </c>
      <c r="Q3518" s="39"/>
      <c r="R3518" s="39"/>
      <c r="S3518" s="39"/>
      <c r="T3518" s="39"/>
      <c r="U3518" s="39"/>
    </row>
    <row r="3519">
      <c r="A3519" s="40">
        <f t="shared" si="1"/>
        <v>46006</v>
      </c>
      <c r="B3519" s="37" t="str">
        <f t="array" ref="B3519">iferror(xlookup($I3519, 'IMPORT VHC Report'!$E:$E, 'IMPORT VHC Report'!$A:$C), )</f>
        <v/>
      </c>
      <c r="C3519" s="37"/>
      <c r="D3519" s="37"/>
      <c r="E3519" s="38" t="s">
        <v>4245</v>
      </c>
      <c r="F3519" s="38" t="s">
        <v>4240</v>
      </c>
      <c r="G3519" s="38">
        <v>3.61861298275E11</v>
      </c>
      <c r="H3519" s="38" t="s">
        <v>4241</v>
      </c>
      <c r="I3519" s="38" t="s">
        <v>4242</v>
      </c>
      <c r="J3519" s="38" t="s">
        <v>134</v>
      </c>
      <c r="K3519" s="38" t="s">
        <v>126</v>
      </c>
      <c r="L3519" s="41">
        <v>46006.84375</v>
      </c>
      <c r="M3519" s="38" t="s">
        <v>123</v>
      </c>
      <c r="N3519" s="41">
        <v>46006.864583333336</v>
      </c>
      <c r="O3519" s="38" t="s">
        <v>123</v>
      </c>
      <c r="P3519" s="38">
        <v>1800.0</v>
      </c>
      <c r="Q3519" s="39"/>
      <c r="R3519" s="39"/>
      <c r="S3519" s="39"/>
      <c r="T3519" s="39"/>
      <c r="U3519" s="39"/>
    </row>
    <row r="3520">
      <c r="A3520" s="40">
        <f t="shared" si="1"/>
        <v>46006</v>
      </c>
      <c r="B3520" s="37" t="str">
        <f t="array" ref="B3520">iferror(xlookup($I3520, 'IMPORT VHC Report'!$E:$E, 'IMPORT VHC Report'!$A:$C), )</f>
        <v/>
      </c>
      <c r="C3520" s="37"/>
      <c r="D3520" s="37"/>
      <c r="E3520" s="38" t="s">
        <v>4246</v>
      </c>
      <c r="F3520" s="38" t="s">
        <v>4240</v>
      </c>
      <c r="G3520" s="38">
        <v>3.61861298275E11</v>
      </c>
      <c r="H3520" s="38" t="s">
        <v>4241</v>
      </c>
      <c r="I3520" s="38" t="s">
        <v>4242</v>
      </c>
      <c r="J3520" s="38" t="s">
        <v>4</v>
      </c>
      <c r="K3520" s="38" t="s">
        <v>126</v>
      </c>
      <c r="L3520" s="41">
        <v>46007.541666666664</v>
      </c>
      <c r="M3520" s="38" t="s">
        <v>123</v>
      </c>
      <c r="N3520" s="41">
        <v>46007.5625</v>
      </c>
      <c r="O3520" s="38" t="s">
        <v>123</v>
      </c>
      <c r="P3520" s="38">
        <v>1800.0</v>
      </c>
      <c r="Q3520" s="39"/>
      <c r="R3520" s="39"/>
      <c r="S3520" s="39"/>
      <c r="T3520" s="39"/>
      <c r="U3520" s="39"/>
    </row>
    <row r="3521">
      <c r="A3521" s="40">
        <f t="shared" si="1"/>
        <v>46006</v>
      </c>
      <c r="B3521" s="37" t="str">
        <f t="array" ref="B3521">iferror(xlookup($I3521, 'IMPORT VHC Report'!$E:$E, 'IMPORT VHC Report'!$A:$C), )</f>
        <v/>
      </c>
      <c r="C3521" s="37"/>
      <c r="D3521" s="37"/>
      <c r="E3521" s="38" t="s">
        <v>4247</v>
      </c>
      <c r="F3521" s="38" t="s">
        <v>4240</v>
      </c>
      <c r="G3521" s="38">
        <v>3.61861298275E11</v>
      </c>
      <c r="H3521" s="38" t="s">
        <v>4241</v>
      </c>
      <c r="I3521" s="38" t="s">
        <v>4242</v>
      </c>
      <c r="J3521" s="38" t="s">
        <v>530</v>
      </c>
      <c r="K3521" s="38" t="s">
        <v>63</v>
      </c>
      <c r="L3521" s="41">
        <v>46007.541666666664</v>
      </c>
      <c r="M3521" s="38" t="s">
        <v>123</v>
      </c>
      <c r="N3521" s="41">
        <v>46007.916666666664</v>
      </c>
      <c r="O3521" s="38" t="s">
        <v>123</v>
      </c>
      <c r="P3521" s="38">
        <v>32400.0</v>
      </c>
      <c r="Q3521" s="39"/>
      <c r="R3521" s="39"/>
      <c r="S3521" s="39"/>
      <c r="T3521" s="39"/>
      <c r="U3521" s="39"/>
    </row>
    <row r="3522">
      <c r="A3522" s="40">
        <f t="shared" si="1"/>
        <v>46006</v>
      </c>
      <c r="B3522" s="37" t="str">
        <f t="array" ref="B3522">iferror(xlookup($I3522, 'IMPORT VHC Report'!$E:$E, 'IMPORT VHC Report'!$A:$C), )</f>
        <v/>
      </c>
      <c r="C3522" s="37"/>
      <c r="D3522" s="37"/>
      <c r="E3522" s="38" t="s">
        <v>4248</v>
      </c>
      <c r="F3522" s="38" t="s">
        <v>4240</v>
      </c>
      <c r="G3522" s="38">
        <v>3.61861298275E11</v>
      </c>
      <c r="H3522" s="38" t="s">
        <v>4241</v>
      </c>
      <c r="I3522" s="38" t="s">
        <v>4242</v>
      </c>
      <c r="J3522" s="38" t="s">
        <v>4</v>
      </c>
      <c r="K3522" s="38" t="s">
        <v>126</v>
      </c>
      <c r="L3522" s="41">
        <v>46007.583333333336</v>
      </c>
      <c r="M3522" s="38" t="s">
        <v>123</v>
      </c>
      <c r="N3522" s="41">
        <v>46007.625</v>
      </c>
      <c r="O3522" s="38" t="s">
        <v>123</v>
      </c>
      <c r="P3522" s="38">
        <v>3600.0</v>
      </c>
      <c r="Q3522" s="39"/>
      <c r="R3522" s="39"/>
      <c r="S3522" s="38" t="s">
        <v>1209</v>
      </c>
      <c r="T3522" s="39"/>
      <c r="U3522" s="39"/>
    </row>
    <row r="3523">
      <c r="A3523" s="40">
        <f t="shared" si="1"/>
        <v>46006</v>
      </c>
      <c r="B3523" s="37" t="str">
        <f t="array" ref="B3523">iferror(xlookup($I3523, 'IMPORT VHC Report'!$E:$E, 'IMPORT VHC Report'!$A:$C), )</f>
        <v/>
      </c>
      <c r="C3523" s="37"/>
      <c r="D3523" s="37"/>
      <c r="E3523" s="38" t="s">
        <v>4249</v>
      </c>
      <c r="F3523" s="38" t="s">
        <v>4240</v>
      </c>
      <c r="G3523" s="38">
        <v>3.61861298275E11</v>
      </c>
      <c r="H3523" s="38" t="s">
        <v>4241</v>
      </c>
      <c r="I3523" s="38" t="s">
        <v>4242</v>
      </c>
      <c r="J3523" s="38" t="s">
        <v>134</v>
      </c>
      <c r="K3523" s="38" t="s">
        <v>126</v>
      </c>
      <c r="L3523" s="41">
        <v>46007.65625</v>
      </c>
      <c r="M3523" s="38" t="s">
        <v>123</v>
      </c>
      <c r="N3523" s="41">
        <v>46007.677083333336</v>
      </c>
      <c r="O3523" s="38" t="s">
        <v>123</v>
      </c>
      <c r="P3523" s="38">
        <v>1800.0</v>
      </c>
      <c r="Q3523" s="39"/>
      <c r="R3523" s="39"/>
      <c r="S3523" s="39"/>
      <c r="T3523" s="39"/>
      <c r="U3523" s="39"/>
    </row>
    <row r="3524">
      <c r="A3524" s="40">
        <f t="shared" si="1"/>
        <v>46006</v>
      </c>
      <c r="B3524" s="37" t="str">
        <f t="array" ref="B3524">iferror(xlookup($I3524, 'IMPORT VHC Report'!$E:$E, 'IMPORT VHC Report'!$A:$C), )</f>
        <v/>
      </c>
      <c r="C3524" s="37"/>
      <c r="D3524" s="37"/>
      <c r="E3524" s="38" t="s">
        <v>4250</v>
      </c>
      <c r="F3524" s="38" t="s">
        <v>4240</v>
      </c>
      <c r="G3524" s="38">
        <v>3.61861298275E11</v>
      </c>
      <c r="H3524" s="38" t="s">
        <v>4241</v>
      </c>
      <c r="I3524" s="38" t="s">
        <v>4242</v>
      </c>
      <c r="J3524" s="38" t="s">
        <v>132</v>
      </c>
      <c r="K3524" s="38" t="s">
        <v>126</v>
      </c>
      <c r="L3524" s="41">
        <v>46007.78125</v>
      </c>
      <c r="M3524" s="38" t="s">
        <v>123</v>
      </c>
      <c r="N3524" s="41">
        <v>46007.822916666664</v>
      </c>
      <c r="O3524" s="38" t="s">
        <v>123</v>
      </c>
      <c r="P3524" s="38">
        <v>3600.0</v>
      </c>
      <c r="Q3524" s="39"/>
      <c r="R3524" s="39"/>
      <c r="S3524" s="39"/>
      <c r="T3524" s="39"/>
      <c r="U3524" s="39"/>
    </row>
    <row r="3525">
      <c r="A3525" s="40">
        <f t="shared" si="1"/>
        <v>46006</v>
      </c>
      <c r="B3525" s="37" t="str">
        <f t="array" ref="B3525">iferror(xlookup($I3525, 'IMPORT VHC Report'!$E:$E, 'IMPORT VHC Report'!$A:$C), )</f>
        <v/>
      </c>
      <c r="C3525" s="37"/>
      <c r="D3525" s="37"/>
      <c r="E3525" s="38" t="s">
        <v>4251</v>
      </c>
      <c r="F3525" s="38" t="s">
        <v>4240</v>
      </c>
      <c r="G3525" s="38">
        <v>3.61861298275E11</v>
      </c>
      <c r="H3525" s="38" t="s">
        <v>4241</v>
      </c>
      <c r="I3525" s="38" t="s">
        <v>4242</v>
      </c>
      <c r="J3525" s="38" t="s">
        <v>4</v>
      </c>
      <c r="K3525" s="38" t="s">
        <v>126</v>
      </c>
      <c r="L3525" s="41">
        <v>46008.541666666664</v>
      </c>
      <c r="M3525" s="38" t="s">
        <v>123</v>
      </c>
      <c r="N3525" s="41">
        <v>46008.5625</v>
      </c>
      <c r="O3525" s="38" t="s">
        <v>123</v>
      </c>
      <c r="P3525" s="38">
        <v>1800.0</v>
      </c>
      <c r="Q3525" s="39"/>
      <c r="R3525" s="39"/>
      <c r="S3525" s="39"/>
      <c r="T3525" s="39"/>
      <c r="U3525" s="39"/>
    </row>
    <row r="3526">
      <c r="A3526" s="40">
        <f t="shared" si="1"/>
        <v>46006</v>
      </c>
      <c r="B3526" s="37" t="str">
        <f t="array" ref="B3526">iferror(xlookup($I3526, 'IMPORT VHC Report'!$E:$E, 'IMPORT VHC Report'!$A:$C), )</f>
        <v/>
      </c>
      <c r="C3526" s="37"/>
      <c r="D3526" s="37"/>
      <c r="E3526" s="38" t="s">
        <v>4252</v>
      </c>
      <c r="F3526" s="38" t="s">
        <v>4240</v>
      </c>
      <c r="G3526" s="38">
        <v>3.61861298275E11</v>
      </c>
      <c r="H3526" s="38" t="s">
        <v>4241</v>
      </c>
      <c r="I3526" s="38" t="s">
        <v>4242</v>
      </c>
      <c r="J3526" s="38" t="s">
        <v>530</v>
      </c>
      <c r="K3526" s="38" t="s">
        <v>63</v>
      </c>
      <c r="L3526" s="41">
        <v>46008.541666666664</v>
      </c>
      <c r="M3526" s="38" t="s">
        <v>123</v>
      </c>
      <c r="N3526" s="41">
        <v>46008.916666666664</v>
      </c>
      <c r="O3526" s="38" t="s">
        <v>123</v>
      </c>
      <c r="P3526" s="38">
        <v>32400.0</v>
      </c>
      <c r="Q3526" s="39"/>
      <c r="R3526" s="39"/>
      <c r="S3526" s="39"/>
      <c r="T3526" s="39"/>
      <c r="U3526" s="39"/>
    </row>
    <row r="3527">
      <c r="A3527" s="40">
        <f t="shared" si="1"/>
        <v>46006</v>
      </c>
      <c r="B3527" s="37" t="str">
        <f t="array" ref="B3527">iferror(xlookup($I3527, 'IMPORT VHC Report'!$E:$E, 'IMPORT VHC Report'!$A:$C), )</f>
        <v/>
      </c>
      <c r="C3527" s="37"/>
      <c r="D3527" s="37"/>
      <c r="E3527" s="38" t="s">
        <v>4253</v>
      </c>
      <c r="F3527" s="38" t="s">
        <v>4240</v>
      </c>
      <c r="G3527" s="38">
        <v>3.61861298275E11</v>
      </c>
      <c r="H3527" s="38" t="s">
        <v>4241</v>
      </c>
      <c r="I3527" s="38" t="s">
        <v>4242</v>
      </c>
      <c r="J3527" s="38" t="s">
        <v>134</v>
      </c>
      <c r="K3527" s="38" t="s">
        <v>126</v>
      </c>
      <c r="L3527" s="41">
        <v>46008.65625</v>
      </c>
      <c r="M3527" s="38" t="s">
        <v>123</v>
      </c>
      <c r="N3527" s="41">
        <v>46008.677083333336</v>
      </c>
      <c r="O3527" s="38" t="s">
        <v>123</v>
      </c>
      <c r="P3527" s="38">
        <v>1800.0</v>
      </c>
      <c r="Q3527" s="39"/>
      <c r="R3527" s="39"/>
      <c r="S3527" s="39"/>
      <c r="T3527" s="39"/>
      <c r="U3527" s="39"/>
    </row>
    <row r="3528">
      <c r="A3528" s="40">
        <f t="shared" si="1"/>
        <v>46006</v>
      </c>
      <c r="B3528" s="37" t="str">
        <f t="array" ref="B3528">iferror(xlookup($I3528, 'IMPORT VHC Report'!$E:$E, 'IMPORT VHC Report'!$A:$C), )</f>
        <v/>
      </c>
      <c r="C3528" s="37"/>
      <c r="D3528" s="37"/>
      <c r="E3528" s="38" t="s">
        <v>4254</v>
      </c>
      <c r="F3528" s="38" t="s">
        <v>4240</v>
      </c>
      <c r="G3528" s="38">
        <v>3.61861298275E11</v>
      </c>
      <c r="H3528" s="38" t="s">
        <v>4241</v>
      </c>
      <c r="I3528" s="38" t="s">
        <v>4242</v>
      </c>
      <c r="J3528" s="38" t="s">
        <v>132</v>
      </c>
      <c r="K3528" s="38" t="s">
        <v>126</v>
      </c>
      <c r="L3528" s="41">
        <v>46008.78125</v>
      </c>
      <c r="M3528" s="38" t="s">
        <v>123</v>
      </c>
      <c r="N3528" s="41">
        <v>46008.822916666664</v>
      </c>
      <c r="O3528" s="38" t="s">
        <v>123</v>
      </c>
      <c r="P3528" s="38">
        <v>3600.0</v>
      </c>
      <c r="Q3528" s="39"/>
      <c r="R3528" s="39"/>
      <c r="S3528" s="39"/>
      <c r="T3528" s="39"/>
      <c r="U3528" s="39"/>
    </row>
    <row r="3529">
      <c r="A3529" s="40">
        <f t="shared" si="1"/>
        <v>46006</v>
      </c>
      <c r="B3529" s="37" t="str">
        <f t="array" ref="B3529">iferror(xlookup($I3529, 'IMPORT VHC Report'!$E:$E, 'IMPORT VHC Report'!$A:$C), )</f>
        <v/>
      </c>
      <c r="C3529" s="37"/>
      <c r="D3529" s="37"/>
      <c r="E3529" s="38" t="s">
        <v>4255</v>
      </c>
      <c r="F3529" s="38" t="s">
        <v>4240</v>
      </c>
      <c r="G3529" s="38">
        <v>3.61861298275E11</v>
      </c>
      <c r="H3529" s="38" t="s">
        <v>4241</v>
      </c>
      <c r="I3529" s="38" t="s">
        <v>4242</v>
      </c>
      <c r="J3529" s="38" t="s">
        <v>4</v>
      </c>
      <c r="K3529" s="38" t="s">
        <v>126</v>
      </c>
      <c r="L3529" s="41">
        <v>46009.541666666664</v>
      </c>
      <c r="M3529" s="38" t="s">
        <v>123</v>
      </c>
      <c r="N3529" s="41">
        <v>46009.586805555555</v>
      </c>
      <c r="O3529" s="38" t="s">
        <v>123</v>
      </c>
      <c r="P3529" s="38">
        <v>3900.0</v>
      </c>
      <c r="Q3529" s="39"/>
      <c r="R3529" s="39"/>
      <c r="S3529" s="38" t="s">
        <v>4256</v>
      </c>
      <c r="T3529" s="39"/>
      <c r="U3529" s="39"/>
    </row>
    <row r="3530">
      <c r="A3530" s="40">
        <f t="shared" si="1"/>
        <v>46006</v>
      </c>
      <c r="B3530" s="37" t="str">
        <f t="array" ref="B3530">iferror(xlookup($I3530, 'IMPORT VHC Report'!$E:$E, 'IMPORT VHC Report'!$A:$C), )</f>
        <v/>
      </c>
      <c r="C3530" s="37"/>
      <c r="D3530" s="37"/>
      <c r="E3530" s="38" t="s">
        <v>4257</v>
      </c>
      <c r="F3530" s="38" t="s">
        <v>4240</v>
      </c>
      <c r="G3530" s="38">
        <v>3.61861298275E11</v>
      </c>
      <c r="H3530" s="38" t="s">
        <v>4241</v>
      </c>
      <c r="I3530" s="38" t="s">
        <v>4242</v>
      </c>
      <c r="J3530" s="38" t="s">
        <v>530</v>
      </c>
      <c r="K3530" s="38" t="s">
        <v>63</v>
      </c>
      <c r="L3530" s="41">
        <v>46009.541666666664</v>
      </c>
      <c r="M3530" s="38" t="s">
        <v>123</v>
      </c>
      <c r="N3530" s="41">
        <v>46009.916666666664</v>
      </c>
      <c r="O3530" s="38" t="s">
        <v>123</v>
      </c>
      <c r="P3530" s="38">
        <v>32400.0</v>
      </c>
      <c r="Q3530" s="39"/>
      <c r="R3530" s="39"/>
      <c r="S3530" s="39"/>
      <c r="T3530" s="39"/>
      <c r="U3530" s="39"/>
    </row>
    <row r="3531">
      <c r="A3531" s="40">
        <f t="shared" si="1"/>
        <v>46006</v>
      </c>
      <c r="B3531" s="37" t="str">
        <f t="array" ref="B3531">iferror(xlookup($I3531, 'IMPORT VHC Report'!$E:$E, 'IMPORT VHC Report'!$A:$C), )</f>
        <v/>
      </c>
      <c r="C3531" s="37"/>
      <c r="D3531" s="37"/>
      <c r="E3531" s="38" t="s">
        <v>4258</v>
      </c>
      <c r="F3531" s="38" t="s">
        <v>4240</v>
      </c>
      <c r="G3531" s="38">
        <v>3.61861298275E11</v>
      </c>
      <c r="H3531" s="38" t="s">
        <v>4241</v>
      </c>
      <c r="I3531" s="38" t="s">
        <v>4242</v>
      </c>
      <c r="J3531" s="38" t="s">
        <v>4</v>
      </c>
      <c r="K3531" s="38" t="s">
        <v>126</v>
      </c>
      <c r="L3531" s="41">
        <v>46009.586805555555</v>
      </c>
      <c r="M3531" s="38" t="s">
        <v>123</v>
      </c>
      <c r="N3531" s="41">
        <v>46009.60763888889</v>
      </c>
      <c r="O3531" s="38" t="s">
        <v>123</v>
      </c>
      <c r="P3531" s="38">
        <v>1800.0</v>
      </c>
      <c r="Q3531" s="39"/>
      <c r="R3531" s="39"/>
      <c r="S3531" s="38" t="s">
        <v>4231</v>
      </c>
      <c r="T3531" s="39"/>
      <c r="U3531" s="39"/>
    </row>
    <row r="3532">
      <c r="A3532" s="40">
        <f t="shared" si="1"/>
        <v>46006</v>
      </c>
      <c r="B3532" s="37" t="str">
        <f t="array" ref="B3532">iferror(xlookup($I3532, 'IMPORT VHC Report'!$E:$E, 'IMPORT VHC Report'!$A:$C), )</f>
        <v/>
      </c>
      <c r="C3532" s="37"/>
      <c r="D3532" s="37"/>
      <c r="E3532" s="38" t="s">
        <v>4259</v>
      </c>
      <c r="F3532" s="38" t="s">
        <v>4240</v>
      </c>
      <c r="G3532" s="38">
        <v>3.61861298275E11</v>
      </c>
      <c r="H3532" s="38" t="s">
        <v>4241</v>
      </c>
      <c r="I3532" s="38" t="s">
        <v>4242</v>
      </c>
      <c r="J3532" s="38" t="s">
        <v>4</v>
      </c>
      <c r="K3532" s="38" t="s">
        <v>126</v>
      </c>
      <c r="L3532" s="41">
        <v>46009.60763888889</v>
      </c>
      <c r="M3532" s="38" t="s">
        <v>123</v>
      </c>
      <c r="N3532" s="41">
        <v>46009.649305555555</v>
      </c>
      <c r="O3532" s="38" t="s">
        <v>123</v>
      </c>
      <c r="P3532" s="38">
        <v>3600.0</v>
      </c>
      <c r="Q3532" s="39"/>
      <c r="R3532" s="39"/>
      <c r="S3532" s="38" t="s">
        <v>4260</v>
      </c>
      <c r="T3532" s="39"/>
      <c r="U3532" s="39"/>
    </row>
    <row r="3533">
      <c r="A3533" s="40">
        <f t="shared" si="1"/>
        <v>46006</v>
      </c>
      <c r="B3533" s="37" t="str">
        <f t="array" ref="B3533">iferror(xlookup($I3533, 'IMPORT VHC Report'!$E:$E, 'IMPORT VHC Report'!$A:$C), )</f>
        <v/>
      </c>
      <c r="C3533" s="37"/>
      <c r="D3533" s="37"/>
      <c r="E3533" s="38" t="s">
        <v>4261</v>
      </c>
      <c r="F3533" s="38" t="s">
        <v>4240</v>
      </c>
      <c r="G3533" s="38">
        <v>3.61861298275E11</v>
      </c>
      <c r="H3533" s="38" t="s">
        <v>4241</v>
      </c>
      <c r="I3533" s="38" t="s">
        <v>4242</v>
      </c>
      <c r="J3533" s="38" t="s">
        <v>530</v>
      </c>
      <c r="K3533" s="38" t="s">
        <v>63</v>
      </c>
      <c r="L3533" s="41">
        <v>46009.65625</v>
      </c>
      <c r="M3533" s="38" t="s">
        <v>123</v>
      </c>
      <c r="N3533" s="41">
        <v>46009.666666666664</v>
      </c>
      <c r="O3533" s="38" t="s">
        <v>123</v>
      </c>
      <c r="P3533" s="38">
        <v>900.0</v>
      </c>
      <c r="Q3533" s="39"/>
      <c r="R3533" s="39"/>
      <c r="S3533" s="39"/>
      <c r="T3533" s="39"/>
      <c r="U3533" s="39"/>
    </row>
    <row r="3534">
      <c r="A3534" s="40">
        <f t="shared" si="1"/>
        <v>46006</v>
      </c>
      <c r="B3534" s="37" t="str">
        <f t="array" ref="B3534">iferror(xlookup($I3534, 'IMPORT VHC Report'!$E:$E, 'IMPORT VHC Report'!$A:$C), )</f>
        <v/>
      </c>
      <c r="C3534" s="37"/>
      <c r="D3534" s="37"/>
      <c r="E3534" s="38" t="s">
        <v>4262</v>
      </c>
      <c r="F3534" s="38" t="s">
        <v>4240</v>
      </c>
      <c r="G3534" s="38">
        <v>3.61861298275E11</v>
      </c>
      <c r="H3534" s="38" t="s">
        <v>4241</v>
      </c>
      <c r="I3534" s="38" t="s">
        <v>4242</v>
      </c>
      <c r="J3534" s="38" t="s">
        <v>136</v>
      </c>
      <c r="K3534" s="38" t="s">
        <v>126</v>
      </c>
      <c r="L3534" s="41">
        <v>46009.666666666664</v>
      </c>
      <c r="M3534" s="38" t="s">
        <v>123</v>
      </c>
      <c r="N3534" s="41">
        <v>46009.708333333336</v>
      </c>
      <c r="O3534" s="38" t="s">
        <v>123</v>
      </c>
      <c r="P3534" s="38">
        <v>3600.0</v>
      </c>
      <c r="Q3534" s="39"/>
      <c r="R3534" s="39"/>
      <c r="S3534" s="38" t="s">
        <v>137</v>
      </c>
      <c r="T3534" s="39"/>
      <c r="U3534" s="39"/>
    </row>
    <row r="3535">
      <c r="A3535" s="40">
        <f t="shared" si="1"/>
        <v>46006</v>
      </c>
      <c r="B3535" s="37" t="str">
        <f t="array" ref="B3535">iferror(xlookup($I3535, 'IMPORT VHC Report'!$E:$E, 'IMPORT VHC Report'!$A:$C), )</f>
        <v/>
      </c>
      <c r="C3535" s="37"/>
      <c r="D3535" s="37"/>
      <c r="E3535" s="38" t="s">
        <v>4263</v>
      </c>
      <c r="F3535" s="38" t="s">
        <v>4240</v>
      </c>
      <c r="G3535" s="38">
        <v>3.61861298275E11</v>
      </c>
      <c r="H3535" s="38" t="s">
        <v>4241</v>
      </c>
      <c r="I3535" s="38" t="s">
        <v>4242</v>
      </c>
      <c r="J3535" s="38" t="s">
        <v>132</v>
      </c>
      <c r="K3535" s="38" t="s">
        <v>126</v>
      </c>
      <c r="L3535" s="41">
        <v>46009.78125</v>
      </c>
      <c r="M3535" s="38" t="s">
        <v>123</v>
      </c>
      <c r="N3535" s="41">
        <v>46009.822916666664</v>
      </c>
      <c r="O3535" s="38" t="s">
        <v>123</v>
      </c>
      <c r="P3535" s="38">
        <v>3600.0</v>
      </c>
      <c r="Q3535" s="39"/>
      <c r="R3535" s="39"/>
      <c r="S3535" s="39"/>
      <c r="T3535" s="39"/>
      <c r="U3535" s="39"/>
    </row>
    <row r="3536">
      <c r="A3536" s="40">
        <f t="shared" si="1"/>
        <v>46006</v>
      </c>
      <c r="B3536" s="37" t="str">
        <f t="array" ref="B3536">iferror(xlookup($I3536, 'IMPORT VHC Report'!$E:$E, 'IMPORT VHC Report'!$A:$C), )</f>
        <v/>
      </c>
      <c r="C3536" s="37"/>
      <c r="D3536" s="37"/>
      <c r="E3536" s="38" t="s">
        <v>4264</v>
      </c>
      <c r="F3536" s="38" t="s">
        <v>4240</v>
      </c>
      <c r="G3536" s="38">
        <v>3.61861298275E11</v>
      </c>
      <c r="H3536" s="38" t="s">
        <v>4241</v>
      </c>
      <c r="I3536" s="38" t="s">
        <v>4242</v>
      </c>
      <c r="J3536" s="38" t="s">
        <v>134</v>
      </c>
      <c r="K3536" s="38" t="s">
        <v>126</v>
      </c>
      <c r="L3536" s="41">
        <v>46009.822916666664</v>
      </c>
      <c r="M3536" s="38" t="s">
        <v>123</v>
      </c>
      <c r="N3536" s="41">
        <v>46009.84375</v>
      </c>
      <c r="O3536" s="38" t="s">
        <v>123</v>
      </c>
      <c r="P3536" s="38">
        <v>1800.0</v>
      </c>
      <c r="Q3536" s="39"/>
      <c r="R3536" s="39"/>
      <c r="S3536" s="39"/>
      <c r="T3536" s="39"/>
      <c r="U3536" s="39"/>
    </row>
    <row r="3537">
      <c r="A3537" s="40">
        <f t="shared" si="1"/>
        <v>46006</v>
      </c>
      <c r="B3537" s="37" t="str">
        <f t="array" ref="B3537">iferror(xlookup($I3537, 'IMPORT VHC Report'!$E:$E, 'IMPORT VHC Report'!$A:$C), )</f>
        <v/>
      </c>
      <c r="C3537" s="37"/>
      <c r="D3537" s="37"/>
      <c r="E3537" s="38" t="s">
        <v>4265</v>
      </c>
      <c r="F3537" s="38" t="s">
        <v>4240</v>
      </c>
      <c r="G3537" s="38">
        <v>3.61861298275E11</v>
      </c>
      <c r="H3537" s="38" t="s">
        <v>4241</v>
      </c>
      <c r="I3537" s="38" t="s">
        <v>4242</v>
      </c>
      <c r="J3537" s="38" t="s">
        <v>4</v>
      </c>
      <c r="K3537" s="38" t="s">
        <v>126</v>
      </c>
      <c r="L3537" s="41">
        <v>46012.541666666664</v>
      </c>
      <c r="M3537" s="38" t="s">
        <v>123</v>
      </c>
      <c r="N3537" s="41">
        <v>46012.5625</v>
      </c>
      <c r="O3537" s="38" t="s">
        <v>123</v>
      </c>
      <c r="P3537" s="38">
        <v>1800.0</v>
      </c>
      <c r="Q3537" s="39"/>
      <c r="R3537" s="39"/>
      <c r="S3537" s="39"/>
      <c r="T3537" s="39"/>
      <c r="U3537" s="39"/>
    </row>
    <row r="3538">
      <c r="A3538" s="40">
        <f t="shared" si="1"/>
        <v>46006</v>
      </c>
      <c r="B3538" s="37" t="str">
        <f t="array" ref="B3538">iferror(xlookup($I3538, 'IMPORT VHC Report'!$E:$E, 'IMPORT VHC Report'!$A:$C), )</f>
        <v/>
      </c>
      <c r="C3538" s="37"/>
      <c r="D3538" s="37"/>
      <c r="E3538" s="38" t="s">
        <v>4266</v>
      </c>
      <c r="F3538" s="38" t="s">
        <v>4240</v>
      </c>
      <c r="G3538" s="38">
        <v>3.61861298275E11</v>
      </c>
      <c r="H3538" s="38" t="s">
        <v>4241</v>
      </c>
      <c r="I3538" s="38" t="s">
        <v>4242</v>
      </c>
      <c r="J3538" s="38" t="s">
        <v>530</v>
      </c>
      <c r="K3538" s="38" t="s">
        <v>63</v>
      </c>
      <c r="L3538" s="41">
        <v>46012.541666666664</v>
      </c>
      <c r="M3538" s="38" t="s">
        <v>123</v>
      </c>
      <c r="N3538" s="41">
        <v>46012.916666666664</v>
      </c>
      <c r="O3538" s="38" t="s">
        <v>123</v>
      </c>
      <c r="P3538" s="38">
        <v>32400.0</v>
      </c>
      <c r="Q3538" s="39"/>
      <c r="R3538" s="39"/>
      <c r="S3538" s="39"/>
      <c r="T3538" s="39"/>
      <c r="U3538" s="39"/>
    </row>
    <row r="3539">
      <c r="A3539" s="40">
        <f t="shared" si="1"/>
        <v>46006</v>
      </c>
      <c r="B3539" s="37" t="str">
        <f t="array" ref="B3539">iferror(xlookup($I3539, 'IMPORT VHC Report'!$E:$E, 'IMPORT VHC Report'!$A:$C), )</f>
        <v/>
      </c>
      <c r="C3539" s="37"/>
      <c r="D3539" s="37"/>
      <c r="E3539" s="38" t="s">
        <v>4267</v>
      </c>
      <c r="F3539" s="38" t="s">
        <v>4240</v>
      </c>
      <c r="G3539" s="38">
        <v>3.61861298275E11</v>
      </c>
      <c r="H3539" s="38" t="s">
        <v>4241</v>
      </c>
      <c r="I3539" s="38" t="s">
        <v>4242</v>
      </c>
      <c r="J3539" s="38" t="s">
        <v>134</v>
      </c>
      <c r="K3539" s="38" t="s">
        <v>126</v>
      </c>
      <c r="L3539" s="41">
        <v>46012.666666666664</v>
      </c>
      <c r="M3539" s="38" t="s">
        <v>123</v>
      </c>
      <c r="N3539" s="41">
        <v>46012.6875</v>
      </c>
      <c r="O3539" s="38" t="s">
        <v>123</v>
      </c>
      <c r="P3539" s="38">
        <v>1800.0</v>
      </c>
      <c r="Q3539" s="39"/>
      <c r="R3539" s="39"/>
      <c r="S3539" s="39"/>
      <c r="T3539" s="39"/>
      <c r="U3539" s="39"/>
    </row>
    <row r="3540">
      <c r="A3540" s="40">
        <f t="shared" si="1"/>
        <v>46006</v>
      </c>
      <c r="B3540" s="37" t="str">
        <f t="array" ref="B3540">iferror(xlookup($I3540, 'IMPORT VHC Report'!$E:$E, 'IMPORT VHC Report'!$A:$C), )</f>
        <v/>
      </c>
      <c r="C3540" s="37"/>
      <c r="D3540" s="37"/>
      <c r="E3540" s="38" t="s">
        <v>4268</v>
      </c>
      <c r="F3540" s="38" t="s">
        <v>4240</v>
      </c>
      <c r="G3540" s="38">
        <v>3.61861298275E11</v>
      </c>
      <c r="H3540" s="38" t="s">
        <v>4241</v>
      </c>
      <c r="I3540" s="38" t="s">
        <v>4242</v>
      </c>
      <c r="J3540" s="38" t="s">
        <v>132</v>
      </c>
      <c r="K3540" s="38" t="s">
        <v>126</v>
      </c>
      <c r="L3540" s="41">
        <v>46012.78125</v>
      </c>
      <c r="M3540" s="38" t="s">
        <v>123</v>
      </c>
      <c r="N3540" s="41">
        <v>46012.822916666664</v>
      </c>
      <c r="O3540" s="38" t="s">
        <v>123</v>
      </c>
      <c r="P3540" s="38">
        <v>3600.0</v>
      </c>
      <c r="Q3540" s="39"/>
      <c r="R3540" s="39"/>
      <c r="S3540" s="39"/>
      <c r="T3540" s="39"/>
      <c r="U3540" s="39"/>
    </row>
    <row r="3541">
      <c r="A3541" s="40">
        <f t="shared" si="1"/>
        <v>46006</v>
      </c>
      <c r="B3541" s="37" t="str">
        <f t="array" ref="B3541">iferror(xlookup($I3541, 'IMPORT VHC Report'!$E:$E, 'IMPORT VHC Report'!$A:$C), )</f>
        <v/>
      </c>
      <c r="C3541" s="37"/>
      <c r="D3541" s="37"/>
      <c r="E3541" s="38" t="s">
        <v>4269</v>
      </c>
      <c r="F3541" s="38" t="s">
        <v>4270</v>
      </c>
      <c r="G3541" s="39"/>
      <c r="H3541" s="38" t="s">
        <v>4271</v>
      </c>
      <c r="I3541" s="38" t="s">
        <v>4272</v>
      </c>
      <c r="J3541" s="38" t="s">
        <v>125</v>
      </c>
      <c r="K3541" s="38" t="s">
        <v>126</v>
      </c>
      <c r="L3541" s="41">
        <v>46006.583333333336</v>
      </c>
      <c r="M3541" s="38" t="s">
        <v>123</v>
      </c>
      <c r="N3541" s="41">
        <v>46006.59027777778</v>
      </c>
      <c r="O3541" s="38" t="s">
        <v>123</v>
      </c>
      <c r="P3541" s="38">
        <v>600.0</v>
      </c>
      <c r="Q3541" s="39"/>
      <c r="R3541" s="39"/>
      <c r="S3541" s="38" t="s">
        <v>127</v>
      </c>
      <c r="T3541" s="39"/>
      <c r="U3541" s="39"/>
    </row>
    <row r="3542">
      <c r="A3542" s="40">
        <f t="shared" si="1"/>
        <v>46006</v>
      </c>
      <c r="B3542" s="37" t="str">
        <f t="array" ref="B3542">iferror(xlookup($I3542, 'IMPORT VHC Report'!$E:$E, 'IMPORT VHC Report'!$A:$C), )</f>
        <v/>
      </c>
      <c r="C3542" s="37"/>
      <c r="D3542" s="37"/>
      <c r="E3542" s="38" t="s">
        <v>4273</v>
      </c>
      <c r="F3542" s="38" t="s">
        <v>4270</v>
      </c>
      <c r="G3542" s="39"/>
      <c r="H3542" s="38" t="s">
        <v>4271</v>
      </c>
      <c r="I3542" s="38" t="s">
        <v>4272</v>
      </c>
      <c r="J3542" s="38" t="s">
        <v>122</v>
      </c>
      <c r="K3542" s="38" t="s">
        <v>63</v>
      </c>
      <c r="L3542" s="41">
        <v>46006.583333333336</v>
      </c>
      <c r="M3542" s="38" t="s">
        <v>123</v>
      </c>
      <c r="N3542" s="41">
        <v>46006.958333333336</v>
      </c>
      <c r="O3542" s="38" t="s">
        <v>123</v>
      </c>
      <c r="P3542" s="38">
        <v>32400.0</v>
      </c>
      <c r="Q3542" s="39"/>
      <c r="R3542" s="39"/>
      <c r="S3542" s="39"/>
      <c r="T3542" s="39"/>
      <c r="U3542" s="39"/>
    </row>
    <row r="3543">
      <c r="A3543" s="40">
        <f t="shared" si="1"/>
        <v>46006</v>
      </c>
      <c r="B3543" s="37" t="str">
        <f t="array" ref="B3543">iferror(xlookup($I3543, 'IMPORT VHC Report'!$E:$E, 'IMPORT VHC Report'!$A:$C), )</f>
        <v/>
      </c>
      <c r="C3543" s="37"/>
      <c r="D3543" s="37"/>
      <c r="E3543" s="38" t="s">
        <v>4274</v>
      </c>
      <c r="F3543" s="38" t="s">
        <v>4270</v>
      </c>
      <c r="G3543" s="39"/>
      <c r="H3543" s="38" t="s">
        <v>4271</v>
      </c>
      <c r="I3543" s="38" t="s">
        <v>4272</v>
      </c>
      <c r="J3543" s="38" t="s">
        <v>134</v>
      </c>
      <c r="K3543" s="38" t="s">
        <v>126</v>
      </c>
      <c r="L3543" s="41">
        <v>46006.677083333336</v>
      </c>
      <c r="M3543" s="38" t="s">
        <v>123</v>
      </c>
      <c r="N3543" s="41">
        <v>46006.697916666664</v>
      </c>
      <c r="O3543" s="38" t="s">
        <v>123</v>
      </c>
      <c r="P3543" s="38">
        <v>1800.0</v>
      </c>
      <c r="Q3543" s="39"/>
      <c r="R3543" s="39"/>
      <c r="S3543" s="39"/>
      <c r="T3543" s="39"/>
      <c r="U3543" s="39"/>
    </row>
    <row r="3544">
      <c r="A3544" s="40">
        <f t="shared" si="1"/>
        <v>46006</v>
      </c>
      <c r="B3544" s="37" t="str">
        <f t="array" ref="B3544">iferror(xlookup($I3544, 'IMPORT VHC Report'!$E:$E, 'IMPORT VHC Report'!$A:$C), )</f>
        <v/>
      </c>
      <c r="C3544" s="37"/>
      <c r="D3544" s="37"/>
      <c r="E3544" s="38" t="s">
        <v>4275</v>
      </c>
      <c r="F3544" s="38" t="s">
        <v>4270</v>
      </c>
      <c r="G3544" s="39"/>
      <c r="H3544" s="38" t="s">
        <v>4271</v>
      </c>
      <c r="I3544" s="38" t="s">
        <v>4272</v>
      </c>
      <c r="J3544" s="38" t="s">
        <v>132</v>
      </c>
      <c r="K3544" s="38" t="s">
        <v>126</v>
      </c>
      <c r="L3544" s="41">
        <v>46006.78125</v>
      </c>
      <c r="M3544" s="38" t="s">
        <v>123</v>
      </c>
      <c r="N3544" s="41">
        <v>46006.822916666664</v>
      </c>
      <c r="O3544" s="38" t="s">
        <v>123</v>
      </c>
      <c r="P3544" s="38">
        <v>3600.0</v>
      </c>
      <c r="Q3544" s="39"/>
      <c r="R3544" s="39"/>
      <c r="S3544" s="39"/>
      <c r="T3544" s="39"/>
      <c r="U3544" s="39"/>
    </row>
    <row r="3545">
      <c r="A3545" s="40">
        <f t="shared" si="1"/>
        <v>46006</v>
      </c>
      <c r="B3545" s="37" t="str">
        <f t="array" ref="B3545">iferror(xlookup($I3545, 'IMPORT VHC Report'!$E:$E, 'IMPORT VHC Report'!$A:$C), )</f>
        <v/>
      </c>
      <c r="C3545" s="37"/>
      <c r="D3545" s="37"/>
      <c r="E3545" s="38" t="s">
        <v>4276</v>
      </c>
      <c r="F3545" s="38" t="s">
        <v>4270</v>
      </c>
      <c r="G3545" s="39"/>
      <c r="H3545" s="38" t="s">
        <v>4271</v>
      </c>
      <c r="I3545" s="38" t="s">
        <v>4272</v>
      </c>
      <c r="J3545" s="38" t="s">
        <v>125</v>
      </c>
      <c r="K3545" s="38" t="s">
        <v>126</v>
      </c>
      <c r="L3545" s="41">
        <v>46007.583333333336</v>
      </c>
      <c r="M3545" s="38" t="s">
        <v>123</v>
      </c>
      <c r="N3545" s="41">
        <v>46007.59027777778</v>
      </c>
      <c r="O3545" s="38" t="s">
        <v>123</v>
      </c>
      <c r="P3545" s="38">
        <v>600.0</v>
      </c>
      <c r="Q3545" s="39"/>
      <c r="R3545" s="39"/>
      <c r="S3545" s="38" t="s">
        <v>127</v>
      </c>
      <c r="T3545" s="39"/>
      <c r="U3545" s="39"/>
    </row>
    <row r="3546">
      <c r="A3546" s="40">
        <f t="shared" si="1"/>
        <v>46006</v>
      </c>
      <c r="B3546" s="37" t="str">
        <f t="array" ref="B3546">iferror(xlookup($I3546, 'IMPORT VHC Report'!$E:$E, 'IMPORT VHC Report'!$A:$C), )</f>
        <v/>
      </c>
      <c r="C3546" s="37"/>
      <c r="D3546" s="37"/>
      <c r="E3546" s="38" t="s">
        <v>4277</v>
      </c>
      <c r="F3546" s="38" t="s">
        <v>4270</v>
      </c>
      <c r="G3546" s="39"/>
      <c r="H3546" s="38" t="s">
        <v>4271</v>
      </c>
      <c r="I3546" s="38" t="s">
        <v>4272</v>
      </c>
      <c r="J3546" s="38" t="s">
        <v>122</v>
      </c>
      <c r="K3546" s="38" t="s">
        <v>63</v>
      </c>
      <c r="L3546" s="41">
        <v>46007.583333333336</v>
      </c>
      <c r="M3546" s="38" t="s">
        <v>123</v>
      </c>
      <c r="N3546" s="41">
        <v>46007.958333333336</v>
      </c>
      <c r="O3546" s="38" t="s">
        <v>123</v>
      </c>
      <c r="P3546" s="38">
        <v>32400.0</v>
      </c>
      <c r="Q3546" s="39"/>
      <c r="R3546" s="39"/>
      <c r="S3546" s="39"/>
      <c r="T3546" s="39"/>
      <c r="U3546" s="39"/>
    </row>
    <row r="3547">
      <c r="A3547" s="40">
        <f t="shared" si="1"/>
        <v>46006</v>
      </c>
      <c r="B3547" s="37" t="str">
        <f t="array" ref="B3547">iferror(xlookup($I3547, 'IMPORT VHC Report'!$E:$E, 'IMPORT VHC Report'!$A:$C), )</f>
        <v/>
      </c>
      <c r="C3547" s="37"/>
      <c r="D3547" s="37"/>
      <c r="E3547" s="38" t="s">
        <v>4278</v>
      </c>
      <c r="F3547" s="38" t="s">
        <v>4270</v>
      </c>
      <c r="G3547" s="39"/>
      <c r="H3547" s="38" t="s">
        <v>4271</v>
      </c>
      <c r="I3547" s="38" t="s">
        <v>4272</v>
      </c>
      <c r="J3547" s="38" t="s">
        <v>4</v>
      </c>
      <c r="K3547" s="38" t="s">
        <v>126</v>
      </c>
      <c r="L3547" s="41">
        <v>46007.625</v>
      </c>
      <c r="M3547" s="38" t="s">
        <v>123</v>
      </c>
      <c r="N3547" s="41">
        <v>46007.666666666664</v>
      </c>
      <c r="O3547" s="38" t="s">
        <v>123</v>
      </c>
      <c r="P3547" s="38">
        <v>3600.0</v>
      </c>
      <c r="Q3547" s="39"/>
      <c r="R3547" s="39"/>
      <c r="S3547" s="38" t="s">
        <v>130</v>
      </c>
      <c r="T3547" s="39"/>
      <c r="U3547" s="39"/>
    </row>
    <row r="3548">
      <c r="A3548" s="40">
        <f t="shared" si="1"/>
        <v>46006</v>
      </c>
      <c r="B3548" s="37" t="str">
        <f t="array" ref="B3548">iferror(xlookup($I3548, 'IMPORT VHC Report'!$E:$E, 'IMPORT VHC Report'!$A:$C), )</f>
        <v/>
      </c>
      <c r="C3548" s="37"/>
      <c r="D3548" s="37"/>
      <c r="E3548" s="38" t="s">
        <v>4279</v>
      </c>
      <c r="F3548" s="38" t="s">
        <v>4270</v>
      </c>
      <c r="G3548" s="39"/>
      <c r="H3548" s="38" t="s">
        <v>4271</v>
      </c>
      <c r="I3548" s="38" t="s">
        <v>4272</v>
      </c>
      <c r="J3548" s="38" t="s">
        <v>134</v>
      </c>
      <c r="K3548" s="38" t="s">
        <v>126</v>
      </c>
      <c r="L3548" s="41">
        <v>46007.666666666664</v>
      </c>
      <c r="M3548" s="38" t="s">
        <v>123</v>
      </c>
      <c r="N3548" s="41">
        <v>46007.6875</v>
      </c>
      <c r="O3548" s="38" t="s">
        <v>123</v>
      </c>
      <c r="P3548" s="38">
        <v>1800.0</v>
      </c>
      <c r="Q3548" s="39"/>
      <c r="R3548" s="39"/>
      <c r="S3548" s="39"/>
      <c r="T3548" s="39"/>
      <c r="U3548" s="39"/>
    </row>
    <row r="3549">
      <c r="A3549" s="40">
        <f t="shared" si="1"/>
        <v>46006</v>
      </c>
      <c r="B3549" s="37" t="str">
        <f t="array" ref="B3549">iferror(xlookup($I3549, 'IMPORT VHC Report'!$E:$E, 'IMPORT VHC Report'!$A:$C), )</f>
        <v/>
      </c>
      <c r="C3549" s="37"/>
      <c r="D3549" s="37"/>
      <c r="E3549" s="38" t="s">
        <v>4280</v>
      </c>
      <c r="F3549" s="38" t="s">
        <v>4270</v>
      </c>
      <c r="G3549" s="39"/>
      <c r="H3549" s="38" t="s">
        <v>4271</v>
      </c>
      <c r="I3549" s="38" t="s">
        <v>4272</v>
      </c>
      <c r="J3549" s="38" t="s">
        <v>132</v>
      </c>
      <c r="K3549" s="38" t="s">
        <v>126</v>
      </c>
      <c r="L3549" s="41">
        <v>46007.791666666664</v>
      </c>
      <c r="M3549" s="38" t="s">
        <v>123</v>
      </c>
      <c r="N3549" s="41">
        <v>46007.833333333336</v>
      </c>
      <c r="O3549" s="38" t="s">
        <v>123</v>
      </c>
      <c r="P3549" s="38">
        <v>3600.0</v>
      </c>
      <c r="Q3549" s="39"/>
      <c r="R3549" s="39"/>
      <c r="S3549" s="39"/>
      <c r="T3549" s="39"/>
      <c r="U3549" s="39"/>
    </row>
    <row r="3550">
      <c r="A3550" s="40">
        <f t="shared" si="1"/>
        <v>46006</v>
      </c>
      <c r="B3550" s="37" t="str">
        <f t="array" ref="B3550">iferror(xlookup($I3550, 'IMPORT VHC Report'!$E:$E, 'IMPORT VHC Report'!$A:$C), )</f>
        <v/>
      </c>
      <c r="C3550" s="37"/>
      <c r="D3550" s="37"/>
      <c r="E3550" s="38" t="s">
        <v>4281</v>
      </c>
      <c r="F3550" s="38" t="s">
        <v>4270</v>
      </c>
      <c r="G3550" s="39"/>
      <c r="H3550" s="38" t="s">
        <v>4271</v>
      </c>
      <c r="I3550" s="38" t="s">
        <v>4272</v>
      </c>
      <c r="J3550" s="38" t="s">
        <v>125</v>
      </c>
      <c r="K3550" s="38" t="s">
        <v>126</v>
      </c>
      <c r="L3550" s="41">
        <v>46008.583333333336</v>
      </c>
      <c r="M3550" s="38" t="s">
        <v>123</v>
      </c>
      <c r="N3550" s="41">
        <v>46008.59027777778</v>
      </c>
      <c r="O3550" s="38" t="s">
        <v>123</v>
      </c>
      <c r="P3550" s="38">
        <v>600.0</v>
      </c>
      <c r="Q3550" s="39"/>
      <c r="R3550" s="39"/>
      <c r="S3550" s="38" t="s">
        <v>127</v>
      </c>
      <c r="T3550" s="39"/>
      <c r="U3550" s="39"/>
    </row>
    <row r="3551">
      <c r="A3551" s="40">
        <f t="shared" si="1"/>
        <v>46006</v>
      </c>
      <c r="B3551" s="37" t="str">
        <f t="array" ref="B3551">iferror(xlookup($I3551, 'IMPORT VHC Report'!$E:$E, 'IMPORT VHC Report'!$A:$C), )</f>
        <v/>
      </c>
      <c r="C3551" s="37"/>
      <c r="D3551" s="37"/>
      <c r="E3551" s="38" t="s">
        <v>4282</v>
      </c>
      <c r="F3551" s="38" t="s">
        <v>4270</v>
      </c>
      <c r="G3551" s="39"/>
      <c r="H3551" s="38" t="s">
        <v>4271</v>
      </c>
      <c r="I3551" s="38" t="s">
        <v>4272</v>
      </c>
      <c r="J3551" s="38" t="s">
        <v>122</v>
      </c>
      <c r="K3551" s="38" t="s">
        <v>63</v>
      </c>
      <c r="L3551" s="41">
        <v>46008.583333333336</v>
      </c>
      <c r="M3551" s="38" t="s">
        <v>123</v>
      </c>
      <c r="N3551" s="41">
        <v>46008.958333333336</v>
      </c>
      <c r="O3551" s="38" t="s">
        <v>123</v>
      </c>
      <c r="P3551" s="38">
        <v>32400.0</v>
      </c>
      <c r="Q3551" s="39"/>
      <c r="R3551" s="39"/>
      <c r="S3551" s="39"/>
      <c r="T3551" s="39"/>
      <c r="U3551" s="39"/>
    </row>
    <row r="3552">
      <c r="A3552" s="40">
        <f t="shared" si="1"/>
        <v>46006</v>
      </c>
      <c r="B3552" s="37" t="str">
        <f t="array" ref="B3552">iferror(xlookup($I3552, 'IMPORT VHC Report'!$E:$E, 'IMPORT VHC Report'!$A:$C), )</f>
        <v/>
      </c>
      <c r="C3552" s="37"/>
      <c r="D3552" s="37"/>
      <c r="E3552" s="38" t="s">
        <v>4283</v>
      </c>
      <c r="F3552" s="38" t="s">
        <v>4270</v>
      </c>
      <c r="G3552" s="39"/>
      <c r="H3552" s="38" t="s">
        <v>4271</v>
      </c>
      <c r="I3552" s="38" t="s">
        <v>4272</v>
      </c>
      <c r="J3552" s="38" t="s">
        <v>134</v>
      </c>
      <c r="K3552" s="38" t="s">
        <v>126</v>
      </c>
      <c r="L3552" s="41">
        <v>46008.666666666664</v>
      </c>
      <c r="M3552" s="38" t="s">
        <v>123</v>
      </c>
      <c r="N3552" s="41">
        <v>46008.6875</v>
      </c>
      <c r="O3552" s="38" t="s">
        <v>123</v>
      </c>
      <c r="P3552" s="38">
        <v>1800.0</v>
      </c>
      <c r="Q3552" s="39"/>
      <c r="R3552" s="39"/>
      <c r="S3552" s="39"/>
      <c r="T3552" s="39"/>
      <c r="U3552" s="39"/>
    </row>
    <row r="3553">
      <c r="A3553" s="40">
        <f t="shared" si="1"/>
        <v>46006</v>
      </c>
      <c r="B3553" s="37" t="str">
        <f t="array" ref="B3553">iferror(xlookup($I3553, 'IMPORT VHC Report'!$E:$E, 'IMPORT VHC Report'!$A:$C), )</f>
        <v/>
      </c>
      <c r="C3553" s="37"/>
      <c r="D3553" s="37"/>
      <c r="E3553" s="38" t="s">
        <v>4284</v>
      </c>
      <c r="F3553" s="38" t="s">
        <v>4270</v>
      </c>
      <c r="G3553" s="39"/>
      <c r="H3553" s="38" t="s">
        <v>4271</v>
      </c>
      <c r="I3553" s="38" t="s">
        <v>4272</v>
      </c>
      <c r="J3553" s="38" t="s">
        <v>132</v>
      </c>
      <c r="K3553" s="38" t="s">
        <v>126</v>
      </c>
      <c r="L3553" s="41">
        <v>46008.75</v>
      </c>
      <c r="M3553" s="38" t="s">
        <v>123</v>
      </c>
      <c r="N3553" s="41">
        <v>46008.791666666664</v>
      </c>
      <c r="O3553" s="38" t="s">
        <v>123</v>
      </c>
      <c r="P3553" s="38">
        <v>3600.0</v>
      </c>
      <c r="Q3553" s="39"/>
      <c r="R3553" s="39"/>
      <c r="S3553" s="39"/>
      <c r="T3553" s="39"/>
      <c r="U3553" s="39"/>
    </row>
    <row r="3554">
      <c r="A3554" s="40">
        <f t="shared" si="1"/>
        <v>46006</v>
      </c>
      <c r="B3554" s="37" t="str">
        <f t="array" ref="B3554">iferror(xlookup($I3554, 'IMPORT VHC Report'!$E:$E, 'IMPORT VHC Report'!$A:$C), )</f>
        <v/>
      </c>
      <c r="C3554" s="37"/>
      <c r="D3554" s="37"/>
      <c r="E3554" s="38" t="s">
        <v>4285</v>
      </c>
      <c r="F3554" s="38" t="s">
        <v>4270</v>
      </c>
      <c r="G3554" s="39"/>
      <c r="H3554" s="38" t="s">
        <v>4271</v>
      </c>
      <c r="I3554" s="38" t="s">
        <v>4272</v>
      </c>
      <c r="J3554" s="38" t="s">
        <v>136</v>
      </c>
      <c r="K3554" s="38" t="s">
        <v>126</v>
      </c>
      <c r="L3554" s="41">
        <v>46008.916666666664</v>
      </c>
      <c r="M3554" s="38" t="s">
        <v>123</v>
      </c>
      <c r="N3554" s="41">
        <v>46008.947916666664</v>
      </c>
      <c r="O3554" s="38" t="s">
        <v>123</v>
      </c>
      <c r="P3554" s="38">
        <v>2700.0</v>
      </c>
      <c r="Q3554" s="39"/>
      <c r="R3554" s="39"/>
      <c r="S3554" s="38" t="s">
        <v>137</v>
      </c>
      <c r="T3554" s="39"/>
      <c r="U3554" s="39"/>
    </row>
    <row r="3555">
      <c r="A3555" s="40">
        <f t="shared" si="1"/>
        <v>46006</v>
      </c>
      <c r="B3555" s="37" t="str">
        <f t="array" ref="B3555">iferror(xlookup($I3555, 'IMPORT VHC Report'!$E:$E, 'IMPORT VHC Report'!$A:$C), )</f>
        <v/>
      </c>
      <c r="C3555" s="37"/>
      <c r="D3555" s="37"/>
      <c r="E3555" s="38" t="s">
        <v>4286</v>
      </c>
      <c r="F3555" s="38" t="s">
        <v>4270</v>
      </c>
      <c r="G3555" s="39"/>
      <c r="H3555" s="38" t="s">
        <v>4271</v>
      </c>
      <c r="I3555" s="38" t="s">
        <v>4272</v>
      </c>
      <c r="J3555" s="38" t="s">
        <v>125</v>
      </c>
      <c r="K3555" s="38" t="s">
        <v>126</v>
      </c>
      <c r="L3555" s="41">
        <v>46009.583333333336</v>
      </c>
      <c r="M3555" s="38" t="s">
        <v>123</v>
      </c>
      <c r="N3555" s="41">
        <v>46009.59027777778</v>
      </c>
      <c r="O3555" s="38" t="s">
        <v>123</v>
      </c>
      <c r="P3555" s="38">
        <v>600.0</v>
      </c>
      <c r="Q3555" s="39"/>
      <c r="R3555" s="39"/>
      <c r="S3555" s="38" t="s">
        <v>127</v>
      </c>
      <c r="T3555" s="39"/>
      <c r="U3555" s="39"/>
    </row>
    <row r="3556">
      <c r="A3556" s="40">
        <f t="shared" si="1"/>
        <v>46006</v>
      </c>
      <c r="B3556" s="37" t="str">
        <f t="array" ref="B3556">iferror(xlookup($I3556, 'IMPORT VHC Report'!$E:$E, 'IMPORT VHC Report'!$A:$C), )</f>
        <v/>
      </c>
      <c r="C3556" s="37"/>
      <c r="D3556" s="37"/>
      <c r="E3556" s="38" t="s">
        <v>4287</v>
      </c>
      <c r="F3556" s="38" t="s">
        <v>4270</v>
      </c>
      <c r="G3556" s="39"/>
      <c r="H3556" s="38" t="s">
        <v>4271</v>
      </c>
      <c r="I3556" s="38" t="s">
        <v>4272</v>
      </c>
      <c r="J3556" s="38" t="s">
        <v>122</v>
      </c>
      <c r="K3556" s="38" t="s">
        <v>63</v>
      </c>
      <c r="L3556" s="41">
        <v>46009.583333333336</v>
      </c>
      <c r="M3556" s="38" t="s">
        <v>123</v>
      </c>
      <c r="N3556" s="41">
        <v>46009.958333333336</v>
      </c>
      <c r="O3556" s="38" t="s">
        <v>123</v>
      </c>
      <c r="P3556" s="38">
        <v>32400.0</v>
      </c>
      <c r="Q3556" s="39"/>
      <c r="R3556" s="39"/>
      <c r="S3556" s="39"/>
      <c r="T3556" s="39"/>
      <c r="U3556" s="39"/>
    </row>
    <row r="3557">
      <c r="A3557" s="40">
        <f t="shared" si="1"/>
        <v>46006</v>
      </c>
      <c r="B3557" s="37" t="str">
        <f t="array" ref="B3557">iferror(xlookup($I3557, 'IMPORT VHC Report'!$E:$E, 'IMPORT VHC Report'!$A:$C), )</f>
        <v/>
      </c>
      <c r="C3557" s="37"/>
      <c r="D3557" s="37"/>
      <c r="E3557" s="38" t="s">
        <v>4288</v>
      </c>
      <c r="F3557" s="38" t="s">
        <v>4270</v>
      </c>
      <c r="G3557" s="39"/>
      <c r="H3557" s="38" t="s">
        <v>4271</v>
      </c>
      <c r="I3557" s="38" t="s">
        <v>4272</v>
      </c>
      <c r="J3557" s="38" t="s">
        <v>132</v>
      </c>
      <c r="K3557" s="38" t="s">
        <v>126</v>
      </c>
      <c r="L3557" s="41">
        <v>46009.708333333336</v>
      </c>
      <c r="M3557" s="38" t="s">
        <v>123</v>
      </c>
      <c r="N3557" s="41">
        <v>46009.75</v>
      </c>
      <c r="O3557" s="38" t="s">
        <v>123</v>
      </c>
      <c r="P3557" s="38">
        <v>3600.0</v>
      </c>
      <c r="Q3557" s="39"/>
      <c r="R3557" s="39"/>
      <c r="S3557" s="39"/>
      <c r="T3557" s="39"/>
      <c r="U3557" s="39"/>
    </row>
    <row r="3558">
      <c r="A3558" s="40">
        <f t="shared" si="1"/>
        <v>46006</v>
      </c>
      <c r="B3558" s="37" t="str">
        <f t="array" ref="B3558">iferror(xlookup($I3558, 'IMPORT VHC Report'!$E:$E, 'IMPORT VHC Report'!$A:$C), )</f>
        <v/>
      </c>
      <c r="C3558" s="37"/>
      <c r="D3558" s="37"/>
      <c r="E3558" s="38" t="s">
        <v>4289</v>
      </c>
      <c r="F3558" s="38" t="s">
        <v>4270</v>
      </c>
      <c r="G3558" s="39"/>
      <c r="H3558" s="38" t="s">
        <v>4271</v>
      </c>
      <c r="I3558" s="38" t="s">
        <v>4272</v>
      </c>
      <c r="J3558" s="38" t="s">
        <v>134</v>
      </c>
      <c r="K3558" s="38" t="s">
        <v>126</v>
      </c>
      <c r="L3558" s="41">
        <v>46009.854166666664</v>
      </c>
      <c r="M3558" s="38" t="s">
        <v>123</v>
      </c>
      <c r="N3558" s="41">
        <v>46009.875</v>
      </c>
      <c r="O3558" s="38" t="s">
        <v>123</v>
      </c>
      <c r="P3558" s="38">
        <v>1800.0</v>
      </c>
      <c r="Q3558" s="39"/>
      <c r="R3558" s="39"/>
      <c r="S3558" s="39"/>
      <c r="T3558" s="39"/>
      <c r="U3558" s="39"/>
    </row>
    <row r="3559">
      <c r="A3559" s="40">
        <f t="shared" si="1"/>
        <v>46006</v>
      </c>
      <c r="B3559" s="37" t="str">
        <f t="array" ref="B3559">iferror(xlookup($I3559, 'IMPORT VHC Report'!$E:$E, 'IMPORT VHC Report'!$A:$C), )</f>
        <v/>
      </c>
      <c r="C3559" s="37"/>
      <c r="D3559" s="37"/>
      <c r="E3559" s="38" t="s">
        <v>4290</v>
      </c>
      <c r="F3559" s="38" t="s">
        <v>4270</v>
      </c>
      <c r="G3559" s="39"/>
      <c r="H3559" s="38" t="s">
        <v>4271</v>
      </c>
      <c r="I3559" s="38" t="s">
        <v>4272</v>
      </c>
      <c r="J3559" s="38" t="s">
        <v>125</v>
      </c>
      <c r="K3559" s="38" t="s">
        <v>126</v>
      </c>
      <c r="L3559" s="41">
        <v>46012.583333333336</v>
      </c>
      <c r="M3559" s="38" t="s">
        <v>123</v>
      </c>
      <c r="N3559" s="41">
        <v>46012.59027777778</v>
      </c>
      <c r="O3559" s="38" t="s">
        <v>123</v>
      </c>
      <c r="P3559" s="38">
        <v>600.0</v>
      </c>
      <c r="Q3559" s="39"/>
      <c r="R3559" s="39"/>
      <c r="S3559" s="38" t="s">
        <v>127</v>
      </c>
      <c r="T3559" s="39"/>
      <c r="U3559" s="39"/>
    </row>
    <row r="3560">
      <c r="A3560" s="40">
        <f t="shared" si="1"/>
        <v>46006</v>
      </c>
      <c r="B3560" s="37" t="str">
        <f t="array" ref="B3560">iferror(xlookup($I3560, 'IMPORT VHC Report'!$E:$E, 'IMPORT VHC Report'!$A:$C), )</f>
        <v/>
      </c>
      <c r="C3560" s="37"/>
      <c r="D3560" s="37"/>
      <c r="E3560" s="38" t="s">
        <v>4291</v>
      </c>
      <c r="F3560" s="38" t="s">
        <v>4270</v>
      </c>
      <c r="G3560" s="39"/>
      <c r="H3560" s="38" t="s">
        <v>4271</v>
      </c>
      <c r="I3560" s="38" t="s">
        <v>4272</v>
      </c>
      <c r="J3560" s="38" t="s">
        <v>122</v>
      </c>
      <c r="K3560" s="38" t="s">
        <v>63</v>
      </c>
      <c r="L3560" s="41">
        <v>46012.583333333336</v>
      </c>
      <c r="M3560" s="38" t="s">
        <v>123</v>
      </c>
      <c r="N3560" s="41">
        <v>46012.958333333336</v>
      </c>
      <c r="O3560" s="38" t="s">
        <v>123</v>
      </c>
      <c r="P3560" s="38">
        <v>32400.0</v>
      </c>
      <c r="Q3560" s="39"/>
      <c r="R3560" s="39"/>
      <c r="S3560" s="39"/>
      <c r="T3560" s="39"/>
      <c r="U3560" s="39"/>
    </row>
    <row r="3561">
      <c r="A3561" s="40">
        <f t="shared" si="1"/>
        <v>46006</v>
      </c>
      <c r="B3561" s="37" t="str">
        <f t="array" ref="B3561">iferror(xlookup($I3561, 'IMPORT VHC Report'!$E:$E, 'IMPORT VHC Report'!$A:$C), )</f>
        <v/>
      </c>
      <c r="C3561" s="37"/>
      <c r="D3561" s="37"/>
      <c r="E3561" s="38" t="s">
        <v>4292</v>
      </c>
      <c r="F3561" s="38" t="s">
        <v>4270</v>
      </c>
      <c r="G3561" s="39"/>
      <c r="H3561" s="38" t="s">
        <v>4271</v>
      </c>
      <c r="I3561" s="38" t="s">
        <v>4272</v>
      </c>
      <c r="J3561" s="38" t="s">
        <v>132</v>
      </c>
      <c r="K3561" s="38" t="s">
        <v>126</v>
      </c>
      <c r="L3561" s="41">
        <v>46012.708333333336</v>
      </c>
      <c r="M3561" s="38" t="s">
        <v>123</v>
      </c>
      <c r="N3561" s="41">
        <v>46012.75</v>
      </c>
      <c r="O3561" s="38" t="s">
        <v>123</v>
      </c>
      <c r="P3561" s="38">
        <v>3600.0</v>
      </c>
      <c r="Q3561" s="39"/>
      <c r="R3561" s="39"/>
      <c r="S3561" s="39"/>
      <c r="T3561" s="39"/>
      <c r="U3561" s="39"/>
    </row>
    <row r="3562">
      <c r="A3562" s="40">
        <f t="shared" si="1"/>
        <v>46006</v>
      </c>
      <c r="B3562" s="37" t="str">
        <f t="array" ref="B3562">iferror(xlookup($I3562, 'IMPORT VHC Report'!$E:$E, 'IMPORT VHC Report'!$A:$C), )</f>
        <v/>
      </c>
      <c r="C3562" s="37"/>
      <c r="D3562" s="37"/>
      <c r="E3562" s="38" t="s">
        <v>4293</v>
      </c>
      <c r="F3562" s="38" t="s">
        <v>4270</v>
      </c>
      <c r="G3562" s="39"/>
      <c r="H3562" s="38" t="s">
        <v>4271</v>
      </c>
      <c r="I3562" s="38" t="s">
        <v>4272</v>
      </c>
      <c r="J3562" s="38" t="s">
        <v>134</v>
      </c>
      <c r="K3562" s="38" t="s">
        <v>126</v>
      </c>
      <c r="L3562" s="41">
        <v>46012.84375</v>
      </c>
      <c r="M3562" s="38" t="s">
        <v>123</v>
      </c>
      <c r="N3562" s="41">
        <v>46012.864583333336</v>
      </c>
      <c r="O3562" s="38" t="s">
        <v>123</v>
      </c>
      <c r="P3562" s="38">
        <v>1800.0</v>
      </c>
      <c r="Q3562" s="39"/>
      <c r="R3562" s="39"/>
      <c r="S3562" s="39"/>
      <c r="T3562" s="39"/>
      <c r="U3562" s="39"/>
    </row>
    <row r="3563">
      <c r="A3563" s="40">
        <f t="shared" si="1"/>
        <v>46006</v>
      </c>
      <c r="B3563" s="37" t="str">
        <f t="array" ref="B3563">iferror(xlookup($I3563, 'IMPORT VHC Report'!$E:$E, 'IMPORT VHC Report'!$A:$C), )</f>
        <v/>
      </c>
      <c r="C3563" s="37"/>
      <c r="D3563" s="37"/>
      <c r="E3563" s="38" t="s">
        <v>4294</v>
      </c>
      <c r="F3563" s="38" t="s">
        <v>4295</v>
      </c>
      <c r="G3563" s="38">
        <v>1.0548609842831E13</v>
      </c>
      <c r="H3563" s="38" t="s">
        <v>4296</v>
      </c>
      <c r="I3563" s="38" t="s">
        <v>4297</v>
      </c>
      <c r="J3563" s="38" t="s">
        <v>330</v>
      </c>
      <c r="K3563" s="38" t="s">
        <v>126</v>
      </c>
      <c r="L3563" s="41">
        <v>46006.583333333336</v>
      </c>
      <c r="M3563" s="38" t="s">
        <v>123</v>
      </c>
      <c r="N3563" s="41">
        <v>46006.59027777778</v>
      </c>
      <c r="O3563" s="38" t="s">
        <v>123</v>
      </c>
      <c r="P3563" s="38">
        <v>600.0</v>
      </c>
      <c r="Q3563" s="39"/>
      <c r="R3563" s="39"/>
      <c r="S3563" s="39"/>
      <c r="T3563" s="39"/>
      <c r="U3563" s="39"/>
    </row>
    <row r="3564">
      <c r="A3564" s="40">
        <f t="shared" si="1"/>
        <v>46006</v>
      </c>
      <c r="B3564" s="37" t="str">
        <f t="array" ref="B3564">iferror(xlookup($I3564, 'IMPORT VHC Report'!$E:$E, 'IMPORT VHC Report'!$A:$C), )</f>
        <v/>
      </c>
      <c r="C3564" s="37"/>
      <c r="D3564" s="37"/>
      <c r="E3564" s="38" t="s">
        <v>4298</v>
      </c>
      <c r="F3564" s="38" t="s">
        <v>4295</v>
      </c>
      <c r="G3564" s="38">
        <v>1.0548609842831E13</v>
      </c>
      <c r="H3564" s="38" t="s">
        <v>4296</v>
      </c>
      <c r="I3564" s="38" t="s">
        <v>4297</v>
      </c>
      <c r="J3564" s="38" t="s">
        <v>332</v>
      </c>
      <c r="K3564" s="38" t="s">
        <v>63</v>
      </c>
      <c r="L3564" s="41">
        <v>46006.583333333336</v>
      </c>
      <c r="M3564" s="38" t="s">
        <v>123</v>
      </c>
      <c r="N3564" s="41">
        <v>46006.958333333336</v>
      </c>
      <c r="O3564" s="38" t="s">
        <v>123</v>
      </c>
      <c r="P3564" s="38">
        <v>32400.0</v>
      </c>
      <c r="Q3564" s="39"/>
      <c r="R3564" s="39"/>
      <c r="S3564" s="39"/>
      <c r="T3564" s="39"/>
      <c r="U3564" s="39"/>
    </row>
    <row r="3565">
      <c r="A3565" s="40">
        <f t="shared" si="1"/>
        <v>46006</v>
      </c>
      <c r="B3565" s="37" t="str">
        <f t="array" ref="B3565">iferror(xlookup($I3565, 'IMPORT VHC Report'!$E:$E, 'IMPORT VHC Report'!$A:$C), )</f>
        <v/>
      </c>
      <c r="C3565" s="37"/>
      <c r="D3565" s="37"/>
      <c r="E3565" s="38" t="s">
        <v>4299</v>
      </c>
      <c r="F3565" s="38" t="s">
        <v>4295</v>
      </c>
      <c r="G3565" s="38">
        <v>1.0548609842831E13</v>
      </c>
      <c r="H3565" s="38" t="s">
        <v>4296</v>
      </c>
      <c r="I3565" s="38" t="s">
        <v>4297</v>
      </c>
      <c r="J3565" s="38" t="s">
        <v>125</v>
      </c>
      <c r="K3565" s="38" t="s">
        <v>126</v>
      </c>
      <c r="L3565" s="41">
        <v>46006.68263888889</v>
      </c>
      <c r="M3565" s="38" t="s">
        <v>123</v>
      </c>
      <c r="N3565" s="41">
        <v>46006.6875</v>
      </c>
      <c r="O3565" s="38" t="s">
        <v>123</v>
      </c>
      <c r="P3565" s="38">
        <v>420.0</v>
      </c>
      <c r="Q3565" s="39"/>
      <c r="R3565" s="39"/>
      <c r="S3565" s="38" t="s">
        <v>4300</v>
      </c>
      <c r="T3565" s="39"/>
      <c r="U3565" s="39"/>
    </row>
    <row r="3566">
      <c r="A3566" s="40">
        <f t="shared" si="1"/>
        <v>46006</v>
      </c>
      <c r="B3566" s="37" t="str">
        <f t="array" ref="B3566">iferror(xlookup($I3566, 'IMPORT VHC Report'!$E:$E, 'IMPORT VHC Report'!$A:$C), )</f>
        <v/>
      </c>
      <c r="C3566" s="37"/>
      <c r="D3566" s="37"/>
      <c r="E3566" s="38" t="s">
        <v>4301</v>
      </c>
      <c r="F3566" s="38" t="s">
        <v>4295</v>
      </c>
      <c r="G3566" s="38">
        <v>1.0548609842831E13</v>
      </c>
      <c r="H3566" s="38" t="s">
        <v>4296</v>
      </c>
      <c r="I3566" s="38" t="s">
        <v>4297</v>
      </c>
      <c r="J3566" s="38" t="s">
        <v>132</v>
      </c>
      <c r="K3566" s="38" t="s">
        <v>126</v>
      </c>
      <c r="L3566" s="41">
        <v>46006.6875</v>
      </c>
      <c r="M3566" s="38" t="s">
        <v>123</v>
      </c>
      <c r="N3566" s="41">
        <v>46006.729166666664</v>
      </c>
      <c r="O3566" s="38" t="s">
        <v>123</v>
      </c>
      <c r="P3566" s="38">
        <v>3600.0</v>
      </c>
      <c r="Q3566" s="39"/>
      <c r="R3566" s="39"/>
      <c r="S3566" s="39"/>
      <c r="T3566" s="39"/>
      <c r="U3566" s="39"/>
    </row>
    <row r="3567">
      <c r="A3567" s="40">
        <f t="shared" si="1"/>
        <v>46006</v>
      </c>
      <c r="B3567" s="37" t="str">
        <f t="array" ref="B3567">iferror(xlookup($I3567, 'IMPORT VHC Report'!$E:$E, 'IMPORT VHC Report'!$A:$C), )</f>
        <v/>
      </c>
      <c r="C3567" s="37"/>
      <c r="D3567" s="37"/>
      <c r="E3567" s="38" t="s">
        <v>4302</v>
      </c>
      <c r="F3567" s="38" t="s">
        <v>4295</v>
      </c>
      <c r="G3567" s="38">
        <v>1.0548609842831E13</v>
      </c>
      <c r="H3567" s="38" t="s">
        <v>4296</v>
      </c>
      <c r="I3567" s="38" t="s">
        <v>4297</v>
      </c>
      <c r="J3567" s="38" t="s">
        <v>125</v>
      </c>
      <c r="K3567" s="38" t="s">
        <v>126</v>
      </c>
      <c r="L3567" s="41">
        <v>46006.729166666664</v>
      </c>
      <c r="M3567" s="38" t="s">
        <v>123</v>
      </c>
      <c r="N3567" s="41">
        <v>46006.73888888889</v>
      </c>
      <c r="O3567" s="38" t="s">
        <v>123</v>
      </c>
      <c r="P3567" s="38">
        <v>840.0</v>
      </c>
      <c r="Q3567" s="39"/>
      <c r="R3567" s="39"/>
      <c r="S3567" s="38" t="s">
        <v>4303</v>
      </c>
      <c r="T3567" s="39"/>
      <c r="U3567" s="39"/>
    </row>
    <row r="3568">
      <c r="A3568" s="40">
        <f t="shared" si="1"/>
        <v>46006</v>
      </c>
      <c r="B3568" s="37" t="str">
        <f t="array" ref="B3568">iferror(xlookup($I3568, 'IMPORT VHC Report'!$E:$E, 'IMPORT VHC Report'!$A:$C), )</f>
        <v/>
      </c>
      <c r="C3568" s="37"/>
      <c r="D3568" s="37"/>
      <c r="E3568" s="38" t="s">
        <v>4304</v>
      </c>
      <c r="F3568" s="38" t="s">
        <v>4295</v>
      </c>
      <c r="G3568" s="38">
        <v>1.0548609842831E13</v>
      </c>
      <c r="H3568" s="38" t="s">
        <v>4296</v>
      </c>
      <c r="I3568" s="38" t="s">
        <v>4297</v>
      </c>
      <c r="J3568" s="38" t="s">
        <v>134</v>
      </c>
      <c r="K3568" s="38" t="s">
        <v>126</v>
      </c>
      <c r="L3568" s="41">
        <v>46006.854166666664</v>
      </c>
      <c r="M3568" s="38" t="s">
        <v>123</v>
      </c>
      <c r="N3568" s="41">
        <v>46006.875</v>
      </c>
      <c r="O3568" s="38" t="s">
        <v>123</v>
      </c>
      <c r="P3568" s="38">
        <v>1800.0</v>
      </c>
      <c r="Q3568" s="39"/>
      <c r="R3568" s="39"/>
      <c r="S3568" s="39"/>
      <c r="T3568" s="39"/>
      <c r="U3568" s="39"/>
    </row>
    <row r="3569">
      <c r="A3569" s="40">
        <f t="shared" si="1"/>
        <v>46006</v>
      </c>
      <c r="B3569" s="37" t="str">
        <f t="array" ref="B3569">iferror(xlookup($I3569, 'IMPORT VHC Report'!$E:$E, 'IMPORT VHC Report'!$A:$C), )</f>
        <v/>
      </c>
      <c r="C3569" s="37"/>
      <c r="D3569" s="37"/>
      <c r="E3569" s="38" t="s">
        <v>4305</v>
      </c>
      <c r="F3569" s="38" t="s">
        <v>4295</v>
      </c>
      <c r="G3569" s="38">
        <v>1.0548609842831E13</v>
      </c>
      <c r="H3569" s="38" t="s">
        <v>4296</v>
      </c>
      <c r="I3569" s="38" t="s">
        <v>4297</v>
      </c>
      <c r="J3569" s="38" t="s">
        <v>4</v>
      </c>
      <c r="K3569" s="38" t="s">
        <v>126</v>
      </c>
      <c r="L3569" s="41">
        <v>46006.88611111111</v>
      </c>
      <c r="M3569" s="38" t="s">
        <v>123</v>
      </c>
      <c r="N3569" s="41">
        <v>46006.927777777775</v>
      </c>
      <c r="O3569" s="38" t="s">
        <v>123</v>
      </c>
      <c r="P3569" s="38">
        <v>3600.0</v>
      </c>
      <c r="Q3569" s="39"/>
      <c r="R3569" s="39"/>
      <c r="S3569" s="38" t="s">
        <v>130</v>
      </c>
      <c r="T3569" s="39"/>
      <c r="U3569" s="39"/>
    </row>
    <row r="3570">
      <c r="A3570" s="40">
        <f t="shared" si="1"/>
        <v>46006</v>
      </c>
      <c r="B3570" s="37" t="str">
        <f t="array" ref="B3570">iferror(xlookup($I3570, 'IMPORT VHC Report'!$E:$E, 'IMPORT VHC Report'!$A:$C), )</f>
        <v/>
      </c>
      <c r="C3570" s="37"/>
      <c r="D3570" s="37"/>
      <c r="E3570" s="38" t="s">
        <v>4306</v>
      </c>
      <c r="F3570" s="38" t="s">
        <v>4295</v>
      </c>
      <c r="G3570" s="38">
        <v>1.0548609842831E13</v>
      </c>
      <c r="H3570" s="38" t="s">
        <v>4296</v>
      </c>
      <c r="I3570" s="38" t="s">
        <v>4297</v>
      </c>
      <c r="J3570" s="38" t="s">
        <v>330</v>
      </c>
      <c r="K3570" s="38" t="s">
        <v>126</v>
      </c>
      <c r="L3570" s="41">
        <v>46009.583333333336</v>
      </c>
      <c r="M3570" s="38" t="s">
        <v>123</v>
      </c>
      <c r="N3570" s="41">
        <v>46009.59027777778</v>
      </c>
      <c r="O3570" s="38" t="s">
        <v>123</v>
      </c>
      <c r="P3570" s="38">
        <v>600.0</v>
      </c>
      <c r="Q3570" s="39"/>
      <c r="R3570" s="39"/>
      <c r="S3570" s="39"/>
      <c r="T3570" s="39"/>
      <c r="U3570" s="39"/>
    </row>
    <row r="3571">
      <c r="A3571" s="40">
        <f t="shared" si="1"/>
        <v>46006</v>
      </c>
      <c r="B3571" s="37" t="str">
        <f t="array" ref="B3571">iferror(xlookup($I3571, 'IMPORT VHC Report'!$E:$E, 'IMPORT VHC Report'!$A:$C), )</f>
        <v/>
      </c>
      <c r="C3571" s="37"/>
      <c r="D3571" s="37"/>
      <c r="E3571" s="38" t="s">
        <v>4307</v>
      </c>
      <c r="F3571" s="38" t="s">
        <v>4295</v>
      </c>
      <c r="G3571" s="38">
        <v>1.0548609842831E13</v>
      </c>
      <c r="H3571" s="38" t="s">
        <v>4296</v>
      </c>
      <c r="I3571" s="38" t="s">
        <v>4297</v>
      </c>
      <c r="J3571" s="38" t="s">
        <v>152</v>
      </c>
      <c r="K3571" s="38" t="s">
        <v>153</v>
      </c>
      <c r="L3571" s="41">
        <v>46009.583333333336</v>
      </c>
      <c r="M3571" s="38" t="s">
        <v>123</v>
      </c>
      <c r="N3571" s="41">
        <v>46009.958333333336</v>
      </c>
      <c r="O3571" s="38" t="s">
        <v>123</v>
      </c>
      <c r="P3571" s="38">
        <v>32400.0</v>
      </c>
      <c r="Q3571" s="38">
        <v>32400.0</v>
      </c>
      <c r="R3571" s="39"/>
      <c r="S3571" s="39"/>
      <c r="T3571" s="39"/>
      <c r="U3571" s="39"/>
    </row>
    <row r="3572">
      <c r="A3572" s="40">
        <f t="shared" si="1"/>
        <v>46006</v>
      </c>
      <c r="B3572" s="37" t="str">
        <f t="array" ref="B3572">iferror(xlookup($I3572, 'IMPORT VHC Report'!$E:$E, 'IMPORT VHC Report'!$A:$C), )</f>
        <v/>
      </c>
      <c r="C3572" s="37"/>
      <c r="D3572" s="37"/>
      <c r="E3572" s="38" t="s">
        <v>4308</v>
      </c>
      <c r="F3572" s="38" t="s">
        <v>4295</v>
      </c>
      <c r="G3572" s="38">
        <v>1.0548609842831E13</v>
      </c>
      <c r="H3572" s="38" t="s">
        <v>4296</v>
      </c>
      <c r="I3572" s="38" t="s">
        <v>4297</v>
      </c>
      <c r="J3572" s="38" t="s">
        <v>132</v>
      </c>
      <c r="K3572" s="38" t="s">
        <v>126</v>
      </c>
      <c r="L3572" s="41">
        <v>46009.729166666664</v>
      </c>
      <c r="M3572" s="38" t="s">
        <v>123</v>
      </c>
      <c r="N3572" s="41">
        <v>46009.770833333336</v>
      </c>
      <c r="O3572" s="38" t="s">
        <v>123</v>
      </c>
      <c r="P3572" s="38">
        <v>3600.0</v>
      </c>
      <c r="Q3572" s="39"/>
      <c r="R3572" s="39"/>
      <c r="S3572" s="39"/>
      <c r="T3572" s="39"/>
      <c r="U3572" s="39"/>
    </row>
    <row r="3573">
      <c r="A3573" s="40">
        <f t="shared" si="1"/>
        <v>46006</v>
      </c>
      <c r="B3573" s="37" t="str">
        <f t="array" ref="B3573">iferror(xlookup($I3573, 'IMPORT VHC Report'!$E:$E, 'IMPORT VHC Report'!$A:$C), )</f>
        <v/>
      </c>
      <c r="C3573" s="37"/>
      <c r="D3573" s="37"/>
      <c r="E3573" s="38" t="s">
        <v>4309</v>
      </c>
      <c r="F3573" s="38" t="s">
        <v>4295</v>
      </c>
      <c r="G3573" s="38">
        <v>1.0548609842831E13</v>
      </c>
      <c r="H3573" s="38" t="s">
        <v>4296</v>
      </c>
      <c r="I3573" s="38" t="s">
        <v>4297</v>
      </c>
      <c r="J3573" s="38" t="s">
        <v>134</v>
      </c>
      <c r="K3573" s="38" t="s">
        <v>126</v>
      </c>
      <c r="L3573" s="41">
        <v>46009.84375</v>
      </c>
      <c r="M3573" s="38" t="s">
        <v>123</v>
      </c>
      <c r="N3573" s="41">
        <v>46009.864583333336</v>
      </c>
      <c r="O3573" s="38" t="s">
        <v>123</v>
      </c>
      <c r="P3573" s="38">
        <v>1800.0</v>
      </c>
      <c r="Q3573" s="39"/>
      <c r="R3573" s="39"/>
      <c r="S3573" s="39"/>
      <c r="T3573" s="39"/>
      <c r="U3573" s="39"/>
    </row>
    <row r="3574">
      <c r="A3574" s="40">
        <f t="shared" si="1"/>
        <v>46006</v>
      </c>
      <c r="B3574" s="37" t="str">
        <f t="array" ref="B3574">iferror(xlookup($I3574, 'IMPORT VHC Report'!$E:$E, 'IMPORT VHC Report'!$A:$C), )</f>
        <v/>
      </c>
      <c r="C3574" s="37"/>
      <c r="D3574" s="37"/>
      <c r="E3574" s="38" t="s">
        <v>4310</v>
      </c>
      <c r="F3574" s="38" t="s">
        <v>4295</v>
      </c>
      <c r="G3574" s="38">
        <v>1.0548609842831E13</v>
      </c>
      <c r="H3574" s="38" t="s">
        <v>4296</v>
      </c>
      <c r="I3574" s="38" t="s">
        <v>4297</v>
      </c>
      <c r="J3574" s="38" t="s">
        <v>330</v>
      </c>
      <c r="K3574" s="38" t="s">
        <v>126</v>
      </c>
      <c r="L3574" s="41">
        <v>46010.583333333336</v>
      </c>
      <c r="M3574" s="38" t="s">
        <v>123</v>
      </c>
      <c r="N3574" s="41">
        <v>46010.59027777778</v>
      </c>
      <c r="O3574" s="38" t="s">
        <v>123</v>
      </c>
      <c r="P3574" s="38">
        <v>600.0</v>
      </c>
      <c r="Q3574" s="39"/>
      <c r="R3574" s="39"/>
      <c r="S3574" s="39"/>
      <c r="T3574" s="39"/>
      <c r="U3574" s="39"/>
    </row>
    <row r="3575">
      <c r="A3575" s="40">
        <f t="shared" si="1"/>
        <v>46006</v>
      </c>
      <c r="B3575" s="37" t="str">
        <f t="array" ref="B3575">iferror(xlookup($I3575, 'IMPORT VHC Report'!$E:$E, 'IMPORT VHC Report'!$A:$C), )</f>
        <v/>
      </c>
      <c r="C3575" s="37"/>
      <c r="D3575" s="37"/>
      <c r="E3575" s="38" t="s">
        <v>4311</v>
      </c>
      <c r="F3575" s="38" t="s">
        <v>4295</v>
      </c>
      <c r="G3575" s="38">
        <v>1.0548609842831E13</v>
      </c>
      <c r="H3575" s="38" t="s">
        <v>4296</v>
      </c>
      <c r="I3575" s="38" t="s">
        <v>4297</v>
      </c>
      <c r="J3575" s="38" t="s">
        <v>332</v>
      </c>
      <c r="K3575" s="38" t="s">
        <v>63</v>
      </c>
      <c r="L3575" s="41">
        <v>46010.583333333336</v>
      </c>
      <c r="M3575" s="38" t="s">
        <v>123</v>
      </c>
      <c r="N3575" s="41">
        <v>46010.958333333336</v>
      </c>
      <c r="O3575" s="38" t="s">
        <v>123</v>
      </c>
      <c r="P3575" s="38">
        <v>32400.0</v>
      </c>
      <c r="Q3575" s="39"/>
      <c r="R3575" s="39"/>
      <c r="S3575" s="39"/>
      <c r="T3575" s="39"/>
      <c r="U3575" s="39"/>
    </row>
    <row r="3576">
      <c r="A3576" s="40">
        <f t="shared" si="1"/>
        <v>46006</v>
      </c>
      <c r="B3576" s="37" t="str">
        <f t="array" ref="B3576">iferror(xlookup($I3576, 'IMPORT VHC Report'!$E:$E, 'IMPORT VHC Report'!$A:$C), )</f>
        <v/>
      </c>
      <c r="C3576" s="37"/>
      <c r="D3576" s="37"/>
      <c r="E3576" s="38" t="s">
        <v>4312</v>
      </c>
      <c r="F3576" s="38" t="s">
        <v>4295</v>
      </c>
      <c r="G3576" s="38">
        <v>1.0548609842831E13</v>
      </c>
      <c r="H3576" s="38" t="s">
        <v>4296</v>
      </c>
      <c r="I3576" s="38" t="s">
        <v>4297</v>
      </c>
      <c r="J3576" s="38" t="s">
        <v>134</v>
      </c>
      <c r="K3576" s="38" t="s">
        <v>126</v>
      </c>
      <c r="L3576" s="41">
        <v>46010.645833333336</v>
      </c>
      <c r="M3576" s="38" t="s">
        <v>123</v>
      </c>
      <c r="N3576" s="41">
        <v>46010.666666666664</v>
      </c>
      <c r="O3576" s="38" t="s">
        <v>123</v>
      </c>
      <c r="P3576" s="38">
        <v>1800.0</v>
      </c>
      <c r="Q3576" s="39"/>
      <c r="R3576" s="39"/>
      <c r="S3576" s="39"/>
      <c r="T3576" s="39"/>
      <c r="U3576" s="39"/>
    </row>
    <row r="3577">
      <c r="A3577" s="40">
        <f t="shared" si="1"/>
        <v>46006</v>
      </c>
      <c r="B3577" s="37" t="str">
        <f t="array" ref="B3577">iferror(xlookup($I3577, 'IMPORT VHC Report'!$E:$E, 'IMPORT VHC Report'!$A:$C), )</f>
        <v/>
      </c>
      <c r="C3577" s="37"/>
      <c r="D3577" s="37"/>
      <c r="E3577" s="38" t="s">
        <v>4313</v>
      </c>
      <c r="F3577" s="38" t="s">
        <v>4295</v>
      </c>
      <c r="G3577" s="38">
        <v>1.0548609842831E13</v>
      </c>
      <c r="H3577" s="38" t="s">
        <v>4296</v>
      </c>
      <c r="I3577" s="38" t="s">
        <v>4297</v>
      </c>
      <c r="J3577" s="38" t="s">
        <v>136</v>
      </c>
      <c r="K3577" s="38" t="s">
        <v>126</v>
      </c>
      <c r="L3577" s="41">
        <v>46010.666666666664</v>
      </c>
      <c r="M3577" s="38" t="s">
        <v>123</v>
      </c>
      <c r="N3577" s="41">
        <v>46010.729166666664</v>
      </c>
      <c r="O3577" s="38" t="s">
        <v>123</v>
      </c>
      <c r="P3577" s="38">
        <v>5400.0</v>
      </c>
      <c r="Q3577" s="39"/>
      <c r="R3577" s="39"/>
      <c r="S3577" s="38" t="s">
        <v>137</v>
      </c>
      <c r="T3577" s="39"/>
      <c r="U3577" s="39"/>
    </row>
    <row r="3578">
      <c r="A3578" s="40">
        <f t="shared" si="1"/>
        <v>46006</v>
      </c>
      <c r="B3578" s="37" t="str">
        <f t="array" ref="B3578">iferror(xlookup($I3578, 'IMPORT VHC Report'!$E:$E, 'IMPORT VHC Report'!$A:$C), )</f>
        <v/>
      </c>
      <c r="C3578" s="37"/>
      <c r="D3578" s="37"/>
      <c r="E3578" s="38" t="s">
        <v>4314</v>
      </c>
      <c r="F3578" s="38" t="s">
        <v>4295</v>
      </c>
      <c r="G3578" s="38">
        <v>1.0548609842831E13</v>
      </c>
      <c r="H3578" s="38" t="s">
        <v>4296</v>
      </c>
      <c r="I3578" s="38" t="s">
        <v>4297</v>
      </c>
      <c r="J3578" s="38" t="s">
        <v>132</v>
      </c>
      <c r="K3578" s="38" t="s">
        <v>126</v>
      </c>
      <c r="L3578" s="41">
        <v>46010.813888888886</v>
      </c>
      <c r="M3578" s="38" t="s">
        <v>123</v>
      </c>
      <c r="N3578" s="41">
        <v>46010.85555555556</v>
      </c>
      <c r="O3578" s="38" t="s">
        <v>123</v>
      </c>
      <c r="P3578" s="38">
        <v>3600.0</v>
      </c>
      <c r="Q3578" s="39"/>
      <c r="R3578" s="39"/>
      <c r="S3578" s="38" t="s">
        <v>4315</v>
      </c>
      <c r="T3578" s="39"/>
      <c r="U3578" s="39"/>
    </row>
    <row r="3579">
      <c r="A3579" s="40">
        <f t="shared" si="1"/>
        <v>46006</v>
      </c>
      <c r="B3579" s="37" t="str">
        <f t="array" ref="B3579">iferror(xlookup($I3579, 'IMPORT VHC Report'!$E:$E, 'IMPORT VHC Report'!$A:$C), )</f>
        <v/>
      </c>
      <c r="C3579" s="37"/>
      <c r="D3579" s="37"/>
      <c r="E3579" s="38" t="s">
        <v>4316</v>
      </c>
      <c r="F3579" s="38" t="s">
        <v>4295</v>
      </c>
      <c r="G3579" s="38">
        <v>1.0548609842831E13</v>
      </c>
      <c r="H3579" s="38" t="s">
        <v>4296</v>
      </c>
      <c r="I3579" s="38" t="s">
        <v>4297</v>
      </c>
      <c r="J3579" s="38" t="s">
        <v>4</v>
      </c>
      <c r="K3579" s="38" t="s">
        <v>126</v>
      </c>
      <c r="L3579" s="41">
        <v>46010.85555555556</v>
      </c>
      <c r="M3579" s="38" t="s">
        <v>123</v>
      </c>
      <c r="N3579" s="41">
        <v>46010.896527777775</v>
      </c>
      <c r="O3579" s="38" t="s">
        <v>123</v>
      </c>
      <c r="P3579" s="38">
        <v>3540.0</v>
      </c>
      <c r="Q3579" s="39"/>
      <c r="R3579" s="39"/>
      <c r="S3579" s="38" t="s">
        <v>3696</v>
      </c>
      <c r="T3579" s="39"/>
      <c r="U3579" s="39"/>
    </row>
    <row r="3580">
      <c r="A3580" s="40">
        <f t="shared" si="1"/>
        <v>46006</v>
      </c>
      <c r="B3580" s="37" t="str">
        <f t="array" ref="B3580">iferror(xlookup($I3580, 'IMPORT VHC Report'!$E:$E, 'IMPORT VHC Report'!$A:$C), )</f>
        <v/>
      </c>
      <c r="C3580" s="37"/>
      <c r="D3580" s="37"/>
      <c r="E3580" s="38" t="s">
        <v>4317</v>
      </c>
      <c r="F3580" s="38" t="s">
        <v>4295</v>
      </c>
      <c r="G3580" s="38">
        <v>1.0548609842831E13</v>
      </c>
      <c r="H3580" s="38" t="s">
        <v>4296</v>
      </c>
      <c r="I3580" s="38" t="s">
        <v>4297</v>
      </c>
      <c r="J3580" s="38" t="s">
        <v>125</v>
      </c>
      <c r="K3580" s="38" t="s">
        <v>126</v>
      </c>
      <c r="L3580" s="41">
        <v>46010.896527777775</v>
      </c>
      <c r="M3580" s="38" t="s">
        <v>123</v>
      </c>
      <c r="N3580" s="41">
        <v>46010.90347222222</v>
      </c>
      <c r="O3580" s="38" t="s">
        <v>123</v>
      </c>
      <c r="P3580" s="38">
        <v>600.0</v>
      </c>
      <c r="Q3580" s="39"/>
      <c r="R3580" s="39"/>
      <c r="S3580" s="38" t="s">
        <v>3682</v>
      </c>
      <c r="T3580" s="39"/>
      <c r="U3580" s="39"/>
    </row>
    <row r="3581">
      <c r="A3581" s="40">
        <f t="shared" si="1"/>
        <v>46006</v>
      </c>
      <c r="B3581" s="37" t="str">
        <f t="array" ref="B3581">iferror(xlookup($I3581, 'IMPORT VHC Report'!$E:$E, 'IMPORT VHC Report'!$A:$C), )</f>
        <v/>
      </c>
      <c r="C3581" s="37"/>
      <c r="D3581" s="37"/>
      <c r="E3581" s="38" t="s">
        <v>4318</v>
      </c>
      <c r="F3581" s="38" t="s">
        <v>4295</v>
      </c>
      <c r="G3581" s="38">
        <v>1.0548609842831E13</v>
      </c>
      <c r="H3581" s="38" t="s">
        <v>4296</v>
      </c>
      <c r="I3581" s="38" t="s">
        <v>4297</v>
      </c>
      <c r="J3581" s="38" t="s">
        <v>330</v>
      </c>
      <c r="K3581" s="38" t="s">
        <v>126</v>
      </c>
      <c r="L3581" s="41">
        <v>46011.583333333336</v>
      </c>
      <c r="M3581" s="38" t="s">
        <v>123</v>
      </c>
      <c r="N3581" s="41">
        <v>46011.59027777778</v>
      </c>
      <c r="O3581" s="38" t="s">
        <v>123</v>
      </c>
      <c r="P3581" s="38">
        <v>600.0</v>
      </c>
      <c r="Q3581" s="39"/>
      <c r="R3581" s="39"/>
      <c r="S3581" s="39"/>
      <c r="T3581" s="39"/>
      <c r="U3581" s="39"/>
    </row>
    <row r="3582">
      <c r="A3582" s="40">
        <f t="shared" si="1"/>
        <v>46006</v>
      </c>
      <c r="B3582" s="37" t="str">
        <f t="array" ref="B3582">iferror(xlookup($I3582, 'IMPORT VHC Report'!$E:$E, 'IMPORT VHC Report'!$A:$C), )</f>
        <v/>
      </c>
      <c r="C3582" s="37"/>
      <c r="D3582" s="37"/>
      <c r="E3582" s="38" t="s">
        <v>4319</v>
      </c>
      <c r="F3582" s="38" t="s">
        <v>4295</v>
      </c>
      <c r="G3582" s="38">
        <v>1.0548609842831E13</v>
      </c>
      <c r="H3582" s="38" t="s">
        <v>4296</v>
      </c>
      <c r="I3582" s="38" t="s">
        <v>4297</v>
      </c>
      <c r="J3582" s="38" t="s">
        <v>332</v>
      </c>
      <c r="K3582" s="38" t="s">
        <v>63</v>
      </c>
      <c r="L3582" s="41">
        <v>46011.583333333336</v>
      </c>
      <c r="M3582" s="38" t="s">
        <v>123</v>
      </c>
      <c r="N3582" s="41">
        <v>46011.958333333336</v>
      </c>
      <c r="O3582" s="38" t="s">
        <v>123</v>
      </c>
      <c r="P3582" s="38">
        <v>32400.0</v>
      </c>
      <c r="Q3582" s="39"/>
      <c r="R3582" s="39"/>
      <c r="S3582" s="39"/>
      <c r="T3582" s="39"/>
      <c r="U3582" s="39"/>
    </row>
    <row r="3583">
      <c r="A3583" s="40">
        <f t="shared" si="1"/>
        <v>46006</v>
      </c>
      <c r="B3583" s="37" t="str">
        <f t="array" ref="B3583">iferror(xlookup($I3583, 'IMPORT VHC Report'!$E:$E, 'IMPORT VHC Report'!$A:$C), )</f>
        <v/>
      </c>
      <c r="C3583" s="37"/>
      <c r="D3583" s="37"/>
      <c r="E3583" s="38" t="s">
        <v>4320</v>
      </c>
      <c r="F3583" s="38" t="s">
        <v>4295</v>
      </c>
      <c r="G3583" s="38">
        <v>1.0548609842831E13</v>
      </c>
      <c r="H3583" s="38" t="s">
        <v>4296</v>
      </c>
      <c r="I3583" s="38" t="s">
        <v>4297</v>
      </c>
      <c r="J3583" s="38" t="s">
        <v>134</v>
      </c>
      <c r="K3583" s="38" t="s">
        <v>126</v>
      </c>
      <c r="L3583" s="41">
        <v>46011.67986111111</v>
      </c>
      <c r="M3583" s="38" t="s">
        <v>123</v>
      </c>
      <c r="N3583" s="41">
        <v>46011.700694444444</v>
      </c>
      <c r="O3583" s="38" t="s">
        <v>123</v>
      </c>
      <c r="P3583" s="38">
        <v>1800.0</v>
      </c>
      <c r="Q3583" s="39"/>
      <c r="R3583" s="39"/>
      <c r="S3583" s="39"/>
      <c r="T3583" s="39"/>
      <c r="U3583" s="39"/>
    </row>
    <row r="3584">
      <c r="A3584" s="40">
        <f t="shared" si="1"/>
        <v>46006</v>
      </c>
      <c r="B3584" s="37" t="str">
        <f t="array" ref="B3584">iferror(xlookup($I3584, 'IMPORT VHC Report'!$E:$E, 'IMPORT VHC Report'!$A:$C), )</f>
        <v/>
      </c>
      <c r="C3584" s="37"/>
      <c r="D3584" s="37"/>
      <c r="E3584" s="38" t="s">
        <v>4321</v>
      </c>
      <c r="F3584" s="38" t="s">
        <v>4295</v>
      </c>
      <c r="G3584" s="38">
        <v>1.0548609842831E13</v>
      </c>
      <c r="H3584" s="38" t="s">
        <v>4296</v>
      </c>
      <c r="I3584" s="38" t="s">
        <v>4297</v>
      </c>
      <c r="J3584" s="38" t="s">
        <v>4</v>
      </c>
      <c r="K3584" s="38" t="s">
        <v>126</v>
      </c>
      <c r="L3584" s="41">
        <v>46011.700694444444</v>
      </c>
      <c r="M3584" s="38" t="s">
        <v>123</v>
      </c>
      <c r="N3584" s="41">
        <v>46011.71111111111</v>
      </c>
      <c r="O3584" s="38" t="s">
        <v>123</v>
      </c>
      <c r="P3584" s="38">
        <v>900.0</v>
      </c>
      <c r="Q3584" s="39"/>
      <c r="R3584" s="39"/>
      <c r="S3584" s="38" t="s">
        <v>3693</v>
      </c>
      <c r="T3584" s="39"/>
      <c r="U3584" s="39"/>
    </row>
    <row r="3585">
      <c r="A3585" s="40">
        <f t="shared" si="1"/>
        <v>46006</v>
      </c>
      <c r="B3585" s="37" t="str">
        <f t="array" ref="B3585">iferror(xlookup($I3585, 'IMPORT VHC Report'!$E:$E, 'IMPORT VHC Report'!$A:$C), )</f>
        <v/>
      </c>
      <c r="C3585" s="37"/>
      <c r="D3585" s="37"/>
      <c r="E3585" s="38" t="s">
        <v>4322</v>
      </c>
      <c r="F3585" s="38" t="s">
        <v>4295</v>
      </c>
      <c r="G3585" s="38">
        <v>1.0548609842831E13</v>
      </c>
      <c r="H3585" s="38" t="s">
        <v>4296</v>
      </c>
      <c r="I3585" s="38" t="s">
        <v>4297</v>
      </c>
      <c r="J3585" s="38" t="s">
        <v>330</v>
      </c>
      <c r="K3585" s="38" t="s">
        <v>126</v>
      </c>
      <c r="L3585" s="41">
        <v>46011.791666666664</v>
      </c>
      <c r="M3585" s="38" t="s">
        <v>123</v>
      </c>
      <c r="N3585" s="41">
        <v>46011.84375</v>
      </c>
      <c r="O3585" s="38" t="s">
        <v>123</v>
      </c>
      <c r="P3585" s="38">
        <v>4500.0</v>
      </c>
      <c r="Q3585" s="39"/>
      <c r="R3585" s="39"/>
      <c r="S3585" s="39"/>
      <c r="T3585" s="39"/>
      <c r="U3585" s="39"/>
    </row>
    <row r="3586">
      <c r="A3586" s="40">
        <f t="shared" si="1"/>
        <v>46006</v>
      </c>
      <c r="B3586" s="37" t="str">
        <f t="array" ref="B3586">iferror(xlookup($I3586, 'IMPORT VHC Report'!$E:$E, 'IMPORT VHC Report'!$A:$C), )</f>
        <v/>
      </c>
      <c r="C3586" s="37"/>
      <c r="D3586" s="37"/>
      <c r="E3586" s="38" t="s">
        <v>4323</v>
      </c>
      <c r="F3586" s="38" t="s">
        <v>4295</v>
      </c>
      <c r="G3586" s="38">
        <v>1.0548609842831E13</v>
      </c>
      <c r="H3586" s="38" t="s">
        <v>4296</v>
      </c>
      <c r="I3586" s="38" t="s">
        <v>4297</v>
      </c>
      <c r="J3586" s="38" t="s">
        <v>132</v>
      </c>
      <c r="K3586" s="38" t="s">
        <v>126</v>
      </c>
      <c r="L3586" s="41">
        <v>46011.875</v>
      </c>
      <c r="M3586" s="38" t="s">
        <v>123</v>
      </c>
      <c r="N3586" s="41">
        <v>46011.916666666664</v>
      </c>
      <c r="O3586" s="38" t="s">
        <v>123</v>
      </c>
      <c r="P3586" s="38">
        <v>3600.0</v>
      </c>
      <c r="Q3586" s="39"/>
      <c r="R3586" s="39"/>
      <c r="S3586" s="39"/>
      <c r="T3586" s="39"/>
      <c r="U3586" s="39"/>
    </row>
    <row r="3587">
      <c r="A3587" s="40">
        <f t="shared" si="1"/>
        <v>46006</v>
      </c>
      <c r="B3587" s="37" t="str">
        <f t="array" ref="B3587">iferror(xlookup($I3587, 'IMPORT VHC Report'!$E:$E, 'IMPORT VHC Report'!$A:$C), )</f>
        <v/>
      </c>
      <c r="C3587" s="37"/>
      <c r="D3587" s="37"/>
      <c r="E3587" s="38" t="s">
        <v>4324</v>
      </c>
      <c r="F3587" s="38" t="s">
        <v>4295</v>
      </c>
      <c r="G3587" s="38">
        <v>1.0548609842831E13</v>
      </c>
      <c r="H3587" s="38" t="s">
        <v>4296</v>
      </c>
      <c r="I3587" s="38" t="s">
        <v>4297</v>
      </c>
      <c r="J3587" s="38" t="s">
        <v>330</v>
      </c>
      <c r="K3587" s="38" t="s">
        <v>126</v>
      </c>
      <c r="L3587" s="41">
        <v>46012.583333333336</v>
      </c>
      <c r="M3587" s="38" t="s">
        <v>123</v>
      </c>
      <c r="N3587" s="41">
        <v>46012.59027777778</v>
      </c>
      <c r="O3587" s="38" t="s">
        <v>123</v>
      </c>
      <c r="P3587" s="38">
        <v>600.0</v>
      </c>
      <c r="Q3587" s="39"/>
      <c r="R3587" s="39"/>
      <c r="S3587" s="39"/>
      <c r="T3587" s="39"/>
      <c r="U3587" s="39"/>
    </row>
    <row r="3588">
      <c r="A3588" s="40">
        <f t="shared" si="1"/>
        <v>46006</v>
      </c>
      <c r="B3588" s="37" t="str">
        <f t="array" ref="B3588">iferror(xlookup($I3588, 'IMPORT VHC Report'!$E:$E, 'IMPORT VHC Report'!$A:$C), )</f>
        <v/>
      </c>
      <c r="C3588" s="37"/>
      <c r="D3588" s="37"/>
      <c r="E3588" s="38" t="s">
        <v>4325</v>
      </c>
      <c r="F3588" s="38" t="s">
        <v>4295</v>
      </c>
      <c r="G3588" s="38">
        <v>1.0548609842831E13</v>
      </c>
      <c r="H3588" s="38" t="s">
        <v>4296</v>
      </c>
      <c r="I3588" s="38" t="s">
        <v>4297</v>
      </c>
      <c r="J3588" s="38" t="s">
        <v>332</v>
      </c>
      <c r="K3588" s="38" t="s">
        <v>63</v>
      </c>
      <c r="L3588" s="41">
        <v>46012.583333333336</v>
      </c>
      <c r="M3588" s="38" t="s">
        <v>123</v>
      </c>
      <c r="N3588" s="41">
        <v>46012.958333333336</v>
      </c>
      <c r="O3588" s="38" t="s">
        <v>123</v>
      </c>
      <c r="P3588" s="38">
        <v>32400.0</v>
      </c>
      <c r="Q3588" s="39"/>
      <c r="R3588" s="39"/>
      <c r="S3588" s="39"/>
      <c r="T3588" s="39"/>
      <c r="U3588" s="39"/>
    </row>
    <row r="3589">
      <c r="A3589" s="40">
        <f t="shared" si="1"/>
        <v>46006</v>
      </c>
      <c r="B3589" s="37" t="str">
        <f t="array" ref="B3589">iferror(xlookup($I3589, 'IMPORT VHC Report'!$E:$E, 'IMPORT VHC Report'!$A:$C), )</f>
        <v/>
      </c>
      <c r="C3589" s="37"/>
      <c r="D3589" s="37"/>
      <c r="E3589" s="38" t="s">
        <v>4326</v>
      </c>
      <c r="F3589" s="38" t="s">
        <v>4295</v>
      </c>
      <c r="G3589" s="38">
        <v>1.0548609842831E13</v>
      </c>
      <c r="H3589" s="38" t="s">
        <v>4296</v>
      </c>
      <c r="I3589" s="38" t="s">
        <v>4297</v>
      </c>
      <c r="J3589" s="38" t="s">
        <v>136</v>
      </c>
      <c r="K3589" s="38" t="s">
        <v>126</v>
      </c>
      <c r="L3589" s="41">
        <v>46012.666666666664</v>
      </c>
      <c r="M3589" s="38" t="s">
        <v>123</v>
      </c>
      <c r="N3589" s="41">
        <v>46012.67361111111</v>
      </c>
      <c r="O3589" s="38" t="s">
        <v>123</v>
      </c>
      <c r="P3589" s="38">
        <v>600.0</v>
      </c>
      <c r="Q3589" s="39"/>
      <c r="R3589" s="39"/>
      <c r="S3589" s="38" t="s">
        <v>4327</v>
      </c>
      <c r="T3589" s="39"/>
      <c r="U3589" s="39"/>
    </row>
    <row r="3590">
      <c r="A3590" s="40">
        <f t="shared" si="1"/>
        <v>46006</v>
      </c>
      <c r="B3590" s="37" t="str">
        <f t="array" ref="B3590">iferror(xlookup($I3590, 'IMPORT VHC Report'!$E:$E, 'IMPORT VHC Report'!$A:$C), )</f>
        <v/>
      </c>
      <c r="C3590" s="37"/>
      <c r="D3590" s="37"/>
      <c r="E3590" s="38" t="s">
        <v>4328</v>
      </c>
      <c r="F3590" s="38" t="s">
        <v>4295</v>
      </c>
      <c r="G3590" s="38">
        <v>1.0548609842831E13</v>
      </c>
      <c r="H3590" s="38" t="s">
        <v>4296</v>
      </c>
      <c r="I3590" s="38" t="s">
        <v>4297</v>
      </c>
      <c r="J3590" s="38" t="s">
        <v>134</v>
      </c>
      <c r="K3590" s="38" t="s">
        <v>126</v>
      </c>
      <c r="L3590" s="41">
        <v>46012.677083333336</v>
      </c>
      <c r="M3590" s="38" t="s">
        <v>123</v>
      </c>
      <c r="N3590" s="41">
        <v>46012.697916666664</v>
      </c>
      <c r="O3590" s="38" t="s">
        <v>123</v>
      </c>
      <c r="P3590" s="38">
        <v>1800.0</v>
      </c>
      <c r="Q3590" s="39"/>
      <c r="R3590" s="39"/>
      <c r="S3590" s="39"/>
      <c r="T3590" s="39"/>
      <c r="U3590" s="39"/>
    </row>
    <row r="3591">
      <c r="A3591" s="40">
        <f t="shared" si="1"/>
        <v>46006</v>
      </c>
      <c r="B3591" s="37" t="str">
        <f t="array" ref="B3591">iferror(xlookup($I3591, 'IMPORT VHC Report'!$E:$E, 'IMPORT VHC Report'!$A:$C), )</f>
        <v/>
      </c>
      <c r="C3591" s="37"/>
      <c r="D3591" s="37"/>
      <c r="E3591" s="38" t="s">
        <v>4329</v>
      </c>
      <c r="F3591" s="38" t="s">
        <v>4295</v>
      </c>
      <c r="G3591" s="38">
        <v>1.0548609842831E13</v>
      </c>
      <c r="H3591" s="38" t="s">
        <v>4296</v>
      </c>
      <c r="I3591" s="38" t="s">
        <v>4297</v>
      </c>
      <c r="J3591" s="38" t="s">
        <v>132</v>
      </c>
      <c r="K3591" s="38" t="s">
        <v>126</v>
      </c>
      <c r="L3591" s="41">
        <v>46012.802083333336</v>
      </c>
      <c r="M3591" s="38" t="s">
        <v>123</v>
      </c>
      <c r="N3591" s="41">
        <v>46012.84375</v>
      </c>
      <c r="O3591" s="38" t="s">
        <v>123</v>
      </c>
      <c r="P3591" s="38">
        <v>3600.0</v>
      </c>
      <c r="Q3591" s="39"/>
      <c r="R3591" s="39"/>
      <c r="S3591" s="39"/>
      <c r="T3591" s="39"/>
      <c r="U3591" s="39"/>
    </row>
    <row r="3592">
      <c r="A3592" s="40">
        <f t="shared" si="1"/>
        <v>46006</v>
      </c>
      <c r="B3592" s="37" t="str">
        <f t="array" ref="B3592">iferror(xlookup($I3592, 'IMPORT VHC Report'!$E:$E, 'IMPORT VHC Report'!$A:$C), )</f>
        <v/>
      </c>
      <c r="C3592" s="37"/>
      <c r="D3592" s="37"/>
      <c r="E3592" s="38" t="s">
        <v>4330</v>
      </c>
      <c r="F3592" s="38" t="s">
        <v>4331</v>
      </c>
      <c r="G3592" s="38">
        <v>8.904494969999E12</v>
      </c>
      <c r="H3592" s="38" t="s">
        <v>4332</v>
      </c>
      <c r="I3592" s="38" t="s">
        <v>4333</v>
      </c>
      <c r="J3592" s="38" t="s">
        <v>1670</v>
      </c>
      <c r="K3592" s="38" t="s">
        <v>63</v>
      </c>
      <c r="L3592" s="41">
        <v>46006.583333333336</v>
      </c>
      <c r="M3592" s="38" t="s">
        <v>123</v>
      </c>
      <c r="N3592" s="41">
        <v>46006.958333333336</v>
      </c>
      <c r="O3592" s="38" t="s">
        <v>123</v>
      </c>
      <c r="P3592" s="38">
        <v>32400.0</v>
      </c>
      <c r="Q3592" s="39"/>
      <c r="R3592" s="39"/>
      <c r="S3592" s="39"/>
      <c r="T3592" s="39"/>
      <c r="U3592" s="39"/>
    </row>
    <row r="3593">
      <c r="A3593" s="40">
        <f t="shared" si="1"/>
        <v>46006</v>
      </c>
      <c r="B3593" s="37" t="str">
        <f t="array" ref="B3593">iferror(xlookup($I3593, 'IMPORT VHC Report'!$E:$E, 'IMPORT VHC Report'!$A:$C), )</f>
        <v/>
      </c>
      <c r="C3593" s="37"/>
      <c r="D3593" s="37"/>
      <c r="E3593" s="38" t="s">
        <v>4334</v>
      </c>
      <c r="F3593" s="38" t="s">
        <v>4331</v>
      </c>
      <c r="G3593" s="38">
        <v>8.904494969999E12</v>
      </c>
      <c r="H3593" s="38" t="s">
        <v>4332</v>
      </c>
      <c r="I3593" s="38" t="s">
        <v>4333</v>
      </c>
      <c r="J3593" s="38" t="s">
        <v>134</v>
      </c>
      <c r="K3593" s="38" t="s">
        <v>126</v>
      </c>
      <c r="L3593" s="41">
        <v>46006.645833333336</v>
      </c>
      <c r="M3593" s="38" t="s">
        <v>123</v>
      </c>
      <c r="N3593" s="41">
        <v>46006.666666666664</v>
      </c>
      <c r="O3593" s="38" t="s">
        <v>123</v>
      </c>
      <c r="P3593" s="38">
        <v>1800.0</v>
      </c>
      <c r="Q3593" s="39"/>
      <c r="R3593" s="39"/>
      <c r="S3593" s="39"/>
      <c r="T3593" s="39"/>
      <c r="U3593" s="39"/>
    </row>
    <row r="3594">
      <c r="A3594" s="40">
        <f t="shared" si="1"/>
        <v>46006</v>
      </c>
      <c r="B3594" s="37" t="str">
        <f t="array" ref="B3594">iferror(xlookup($I3594, 'IMPORT VHC Report'!$E:$E, 'IMPORT VHC Report'!$A:$C), )</f>
        <v/>
      </c>
      <c r="C3594" s="37"/>
      <c r="D3594" s="37"/>
      <c r="E3594" s="38" t="s">
        <v>4335</v>
      </c>
      <c r="F3594" s="38" t="s">
        <v>4331</v>
      </c>
      <c r="G3594" s="38">
        <v>8.904494969999E12</v>
      </c>
      <c r="H3594" s="38" t="s">
        <v>4332</v>
      </c>
      <c r="I3594" s="38" t="s">
        <v>4333</v>
      </c>
      <c r="J3594" s="38" t="s">
        <v>132</v>
      </c>
      <c r="K3594" s="38" t="s">
        <v>126</v>
      </c>
      <c r="L3594" s="41">
        <v>46006.666666666664</v>
      </c>
      <c r="M3594" s="38" t="s">
        <v>123</v>
      </c>
      <c r="N3594" s="41">
        <v>46006.708333333336</v>
      </c>
      <c r="O3594" s="38" t="s">
        <v>123</v>
      </c>
      <c r="P3594" s="38">
        <v>3600.0</v>
      </c>
      <c r="Q3594" s="39"/>
      <c r="R3594" s="39"/>
      <c r="S3594" s="39"/>
      <c r="T3594" s="39"/>
      <c r="U3594" s="39"/>
    </row>
    <row r="3595">
      <c r="A3595" s="40">
        <f t="shared" si="1"/>
        <v>46006</v>
      </c>
      <c r="B3595" s="37" t="str">
        <f t="array" ref="B3595">iferror(xlookup($I3595, 'IMPORT VHC Report'!$E:$E, 'IMPORT VHC Report'!$A:$C), )</f>
        <v/>
      </c>
      <c r="C3595" s="37"/>
      <c r="D3595" s="37"/>
      <c r="E3595" s="38" t="s">
        <v>4336</v>
      </c>
      <c r="F3595" s="38" t="s">
        <v>4331</v>
      </c>
      <c r="G3595" s="38">
        <v>8.904494969999E12</v>
      </c>
      <c r="H3595" s="38" t="s">
        <v>4332</v>
      </c>
      <c r="I3595" s="38" t="s">
        <v>4333</v>
      </c>
      <c r="J3595" s="38" t="s">
        <v>152</v>
      </c>
      <c r="K3595" s="38" t="s">
        <v>153</v>
      </c>
      <c r="L3595" s="41">
        <v>46007.583333333336</v>
      </c>
      <c r="M3595" s="38" t="s">
        <v>123</v>
      </c>
      <c r="N3595" s="41">
        <v>46007.958333333336</v>
      </c>
      <c r="O3595" s="38" t="s">
        <v>123</v>
      </c>
      <c r="P3595" s="38">
        <v>32400.0</v>
      </c>
      <c r="Q3595" s="38">
        <v>32400.0</v>
      </c>
      <c r="R3595" s="39"/>
      <c r="S3595" s="39"/>
      <c r="T3595" s="39"/>
      <c r="U3595" s="39"/>
    </row>
    <row r="3596">
      <c r="A3596" s="40">
        <f t="shared" si="1"/>
        <v>46006</v>
      </c>
      <c r="B3596" s="37" t="str">
        <f t="array" ref="B3596">iferror(xlookup($I3596, 'IMPORT VHC Report'!$E:$E, 'IMPORT VHC Report'!$A:$C), )</f>
        <v/>
      </c>
      <c r="C3596" s="37"/>
      <c r="D3596" s="37"/>
      <c r="E3596" s="38" t="s">
        <v>4337</v>
      </c>
      <c r="F3596" s="38" t="s">
        <v>4331</v>
      </c>
      <c r="G3596" s="38">
        <v>8.904494969999E12</v>
      </c>
      <c r="H3596" s="38" t="s">
        <v>4332</v>
      </c>
      <c r="I3596" s="38" t="s">
        <v>4333</v>
      </c>
      <c r="J3596" s="38" t="s">
        <v>1670</v>
      </c>
      <c r="K3596" s="38" t="s">
        <v>63</v>
      </c>
      <c r="L3596" s="41">
        <v>46007.583333333336</v>
      </c>
      <c r="M3596" s="38" t="s">
        <v>123</v>
      </c>
      <c r="N3596" s="41">
        <v>46007.958333333336</v>
      </c>
      <c r="O3596" s="38" t="s">
        <v>123</v>
      </c>
      <c r="P3596" s="38">
        <v>32400.0</v>
      </c>
      <c r="Q3596" s="39"/>
      <c r="R3596" s="39"/>
      <c r="S3596" s="39"/>
      <c r="T3596" s="39"/>
      <c r="U3596" s="39"/>
    </row>
    <row r="3597">
      <c r="A3597" s="40">
        <f t="shared" si="1"/>
        <v>46006</v>
      </c>
      <c r="B3597" s="37" t="str">
        <f t="array" ref="B3597">iferror(xlookup($I3597, 'IMPORT VHC Report'!$E:$E, 'IMPORT VHC Report'!$A:$C), )</f>
        <v/>
      </c>
      <c r="C3597" s="37"/>
      <c r="D3597" s="37"/>
      <c r="E3597" s="38" t="s">
        <v>4338</v>
      </c>
      <c r="F3597" s="38" t="s">
        <v>4331</v>
      </c>
      <c r="G3597" s="38">
        <v>8.904494969999E12</v>
      </c>
      <c r="H3597" s="38" t="s">
        <v>4332</v>
      </c>
      <c r="I3597" s="38" t="s">
        <v>4333</v>
      </c>
      <c r="J3597" s="38" t="s">
        <v>134</v>
      </c>
      <c r="K3597" s="38" t="s">
        <v>126</v>
      </c>
      <c r="L3597" s="41">
        <v>46007.895833333336</v>
      </c>
      <c r="M3597" s="38" t="s">
        <v>123</v>
      </c>
      <c r="N3597" s="41">
        <v>46007.916666666664</v>
      </c>
      <c r="O3597" s="38" t="s">
        <v>123</v>
      </c>
      <c r="P3597" s="38">
        <v>1800.0</v>
      </c>
      <c r="Q3597" s="39"/>
      <c r="R3597" s="39"/>
      <c r="S3597" s="39"/>
      <c r="T3597" s="39"/>
      <c r="U3597" s="39"/>
    </row>
    <row r="3598">
      <c r="A3598" s="40">
        <f t="shared" si="1"/>
        <v>46006</v>
      </c>
      <c r="B3598" s="37" t="str">
        <f t="array" ref="B3598">iferror(xlookup($I3598, 'IMPORT VHC Report'!$E:$E, 'IMPORT VHC Report'!$A:$C), )</f>
        <v/>
      </c>
      <c r="C3598" s="37"/>
      <c r="D3598" s="37"/>
      <c r="E3598" s="38" t="s">
        <v>4339</v>
      </c>
      <c r="F3598" s="38" t="s">
        <v>4331</v>
      </c>
      <c r="G3598" s="38">
        <v>8.904494969999E12</v>
      </c>
      <c r="H3598" s="38" t="s">
        <v>4332</v>
      </c>
      <c r="I3598" s="38" t="s">
        <v>4333</v>
      </c>
      <c r="J3598" s="38" t="s">
        <v>132</v>
      </c>
      <c r="K3598" s="38" t="s">
        <v>126</v>
      </c>
      <c r="L3598" s="41">
        <v>46007.916666666664</v>
      </c>
      <c r="M3598" s="38" t="s">
        <v>123</v>
      </c>
      <c r="N3598" s="41">
        <v>46007.958333333336</v>
      </c>
      <c r="O3598" s="38" t="s">
        <v>123</v>
      </c>
      <c r="P3598" s="38">
        <v>3600.0</v>
      </c>
      <c r="Q3598" s="39"/>
      <c r="R3598" s="39"/>
      <c r="S3598" s="39"/>
      <c r="T3598" s="39"/>
      <c r="U3598" s="39"/>
    </row>
    <row r="3599">
      <c r="A3599" s="40">
        <f t="shared" si="1"/>
        <v>46006</v>
      </c>
      <c r="B3599" s="37" t="str">
        <f t="array" ref="B3599">iferror(xlookup($I3599, 'IMPORT VHC Report'!$E:$E, 'IMPORT VHC Report'!$A:$C), )</f>
        <v/>
      </c>
      <c r="C3599" s="37"/>
      <c r="D3599" s="37"/>
      <c r="E3599" s="38" t="s">
        <v>4340</v>
      </c>
      <c r="F3599" s="38" t="s">
        <v>4331</v>
      </c>
      <c r="G3599" s="38">
        <v>8.904494969999E12</v>
      </c>
      <c r="H3599" s="38" t="s">
        <v>4332</v>
      </c>
      <c r="I3599" s="38" t="s">
        <v>4333</v>
      </c>
      <c r="J3599" s="38" t="s">
        <v>136</v>
      </c>
      <c r="K3599" s="38" t="s">
        <v>126</v>
      </c>
      <c r="L3599" s="41">
        <v>46008.583333333336</v>
      </c>
      <c r="M3599" s="38" t="s">
        <v>123</v>
      </c>
      <c r="N3599" s="41">
        <v>46008.625</v>
      </c>
      <c r="O3599" s="38" t="s">
        <v>123</v>
      </c>
      <c r="P3599" s="38">
        <v>3600.0</v>
      </c>
      <c r="Q3599" s="39"/>
      <c r="R3599" s="39"/>
      <c r="S3599" s="38" t="s">
        <v>1680</v>
      </c>
      <c r="T3599" s="39"/>
      <c r="U3599" s="39"/>
    </row>
    <row r="3600">
      <c r="A3600" s="40">
        <f t="shared" si="1"/>
        <v>46006</v>
      </c>
      <c r="B3600" s="37" t="str">
        <f t="array" ref="B3600">iferror(xlookup($I3600, 'IMPORT VHC Report'!$E:$E, 'IMPORT VHC Report'!$A:$C), )</f>
        <v/>
      </c>
      <c r="C3600" s="37"/>
      <c r="D3600" s="37"/>
      <c r="E3600" s="38" t="s">
        <v>4341</v>
      </c>
      <c r="F3600" s="38" t="s">
        <v>4331</v>
      </c>
      <c r="G3600" s="38">
        <v>8.904494969999E12</v>
      </c>
      <c r="H3600" s="38" t="s">
        <v>4332</v>
      </c>
      <c r="I3600" s="38" t="s">
        <v>4333</v>
      </c>
      <c r="J3600" s="38" t="s">
        <v>1670</v>
      </c>
      <c r="K3600" s="38" t="s">
        <v>63</v>
      </c>
      <c r="L3600" s="41">
        <v>46008.583333333336</v>
      </c>
      <c r="M3600" s="38" t="s">
        <v>123</v>
      </c>
      <c r="N3600" s="41">
        <v>46008.958333333336</v>
      </c>
      <c r="O3600" s="38" t="s">
        <v>123</v>
      </c>
      <c r="P3600" s="38">
        <v>32400.0</v>
      </c>
      <c r="Q3600" s="39"/>
      <c r="R3600" s="39"/>
      <c r="S3600" s="39"/>
      <c r="T3600" s="39"/>
      <c r="U3600" s="39"/>
    </row>
    <row r="3601">
      <c r="A3601" s="40">
        <f t="shared" si="1"/>
        <v>46006</v>
      </c>
      <c r="B3601" s="37" t="str">
        <f t="array" ref="B3601">iferror(xlookup($I3601, 'IMPORT VHC Report'!$E:$E, 'IMPORT VHC Report'!$A:$C), )</f>
        <v/>
      </c>
      <c r="C3601" s="37"/>
      <c r="D3601" s="37"/>
      <c r="E3601" s="38" t="s">
        <v>4342</v>
      </c>
      <c r="F3601" s="38" t="s">
        <v>4331</v>
      </c>
      <c r="G3601" s="38">
        <v>8.904494969999E12</v>
      </c>
      <c r="H3601" s="38" t="s">
        <v>4332</v>
      </c>
      <c r="I3601" s="38" t="s">
        <v>4333</v>
      </c>
      <c r="J3601" s="38" t="s">
        <v>152</v>
      </c>
      <c r="K3601" s="38" t="s">
        <v>153</v>
      </c>
      <c r="L3601" s="41">
        <v>46008.583333333336</v>
      </c>
      <c r="M3601" s="38" t="s">
        <v>123</v>
      </c>
      <c r="N3601" s="41">
        <v>46008.958333333336</v>
      </c>
      <c r="O3601" s="38" t="s">
        <v>123</v>
      </c>
      <c r="P3601" s="38">
        <v>32400.0</v>
      </c>
      <c r="Q3601" s="38">
        <v>32400.0</v>
      </c>
      <c r="R3601" s="39"/>
      <c r="S3601" s="39"/>
      <c r="T3601" s="39"/>
      <c r="U3601" s="39"/>
    </row>
    <row r="3602">
      <c r="A3602" s="40">
        <f t="shared" si="1"/>
        <v>46006</v>
      </c>
      <c r="B3602" s="37" t="str">
        <f t="array" ref="B3602">iferror(xlookup($I3602, 'IMPORT VHC Report'!$E:$E, 'IMPORT VHC Report'!$A:$C), )</f>
        <v/>
      </c>
      <c r="C3602" s="37"/>
      <c r="D3602" s="37"/>
      <c r="E3602" s="38" t="s">
        <v>4343</v>
      </c>
      <c r="F3602" s="38" t="s">
        <v>4331</v>
      </c>
      <c r="G3602" s="38">
        <v>8.904494969999E12</v>
      </c>
      <c r="H3602" s="38" t="s">
        <v>4332</v>
      </c>
      <c r="I3602" s="38" t="s">
        <v>4333</v>
      </c>
      <c r="J3602" s="38" t="s">
        <v>134</v>
      </c>
      <c r="K3602" s="38" t="s">
        <v>126</v>
      </c>
      <c r="L3602" s="41">
        <v>46008.895833333336</v>
      </c>
      <c r="M3602" s="38" t="s">
        <v>123</v>
      </c>
      <c r="N3602" s="41">
        <v>46008.916666666664</v>
      </c>
      <c r="O3602" s="38" t="s">
        <v>123</v>
      </c>
      <c r="P3602" s="38">
        <v>1800.0</v>
      </c>
      <c r="Q3602" s="39"/>
      <c r="R3602" s="39"/>
      <c r="S3602" s="39"/>
      <c r="T3602" s="39"/>
      <c r="U3602" s="39"/>
    </row>
    <row r="3603">
      <c r="A3603" s="40">
        <f t="shared" si="1"/>
        <v>46006</v>
      </c>
      <c r="B3603" s="37" t="str">
        <f t="array" ref="B3603">iferror(xlookup($I3603, 'IMPORT VHC Report'!$E:$E, 'IMPORT VHC Report'!$A:$C), )</f>
        <v/>
      </c>
      <c r="C3603" s="37"/>
      <c r="D3603" s="37"/>
      <c r="E3603" s="38" t="s">
        <v>4344</v>
      </c>
      <c r="F3603" s="38" t="s">
        <v>4331</v>
      </c>
      <c r="G3603" s="38">
        <v>8.904494969999E12</v>
      </c>
      <c r="H3603" s="38" t="s">
        <v>4332</v>
      </c>
      <c r="I3603" s="38" t="s">
        <v>4333</v>
      </c>
      <c r="J3603" s="38" t="s">
        <v>132</v>
      </c>
      <c r="K3603" s="38" t="s">
        <v>126</v>
      </c>
      <c r="L3603" s="41">
        <v>46008.916666666664</v>
      </c>
      <c r="M3603" s="38" t="s">
        <v>123</v>
      </c>
      <c r="N3603" s="41">
        <v>46008.958333333336</v>
      </c>
      <c r="O3603" s="38" t="s">
        <v>123</v>
      </c>
      <c r="P3603" s="38">
        <v>3600.0</v>
      </c>
      <c r="Q3603" s="39"/>
      <c r="R3603" s="39"/>
      <c r="S3603" s="39"/>
      <c r="T3603" s="39"/>
      <c r="U3603" s="39"/>
    </row>
    <row r="3604">
      <c r="A3604" s="40">
        <f t="shared" si="1"/>
        <v>46006</v>
      </c>
      <c r="B3604" s="37" t="str">
        <f t="array" ref="B3604">iferror(xlookup($I3604, 'IMPORT VHC Report'!$E:$E, 'IMPORT VHC Report'!$A:$C), )</f>
        <v/>
      </c>
      <c r="C3604" s="37"/>
      <c r="D3604" s="37"/>
      <c r="E3604" s="38" t="s">
        <v>4345</v>
      </c>
      <c r="F3604" s="38" t="s">
        <v>4331</v>
      </c>
      <c r="G3604" s="38">
        <v>8.904494969999E12</v>
      </c>
      <c r="H3604" s="38" t="s">
        <v>4332</v>
      </c>
      <c r="I3604" s="38" t="s">
        <v>4333</v>
      </c>
      <c r="J3604" s="38" t="s">
        <v>152</v>
      </c>
      <c r="K3604" s="38" t="s">
        <v>153</v>
      </c>
      <c r="L3604" s="41">
        <v>46009.583333333336</v>
      </c>
      <c r="M3604" s="38" t="s">
        <v>123</v>
      </c>
      <c r="N3604" s="41">
        <v>46009.958333333336</v>
      </c>
      <c r="O3604" s="38" t="s">
        <v>123</v>
      </c>
      <c r="P3604" s="38">
        <v>32400.0</v>
      </c>
      <c r="Q3604" s="38">
        <v>32400.0</v>
      </c>
      <c r="R3604" s="39"/>
      <c r="S3604" s="39"/>
      <c r="T3604" s="39"/>
      <c r="U3604" s="39"/>
    </row>
    <row r="3605">
      <c r="A3605" s="40">
        <f t="shared" si="1"/>
        <v>46006</v>
      </c>
      <c r="B3605" s="37" t="str">
        <f t="array" ref="B3605">iferror(xlookup($I3605, 'IMPORT VHC Report'!$E:$E, 'IMPORT VHC Report'!$A:$C), )</f>
        <v/>
      </c>
      <c r="C3605" s="37"/>
      <c r="D3605" s="37"/>
      <c r="E3605" s="38" t="s">
        <v>4346</v>
      </c>
      <c r="F3605" s="38" t="s">
        <v>4331</v>
      </c>
      <c r="G3605" s="38">
        <v>8.904494969999E12</v>
      </c>
      <c r="H3605" s="38" t="s">
        <v>4332</v>
      </c>
      <c r="I3605" s="38" t="s">
        <v>4333</v>
      </c>
      <c r="J3605" s="38" t="s">
        <v>330</v>
      </c>
      <c r="K3605" s="38" t="s">
        <v>126</v>
      </c>
      <c r="L3605" s="41">
        <v>46009.604166666664</v>
      </c>
      <c r="M3605" s="38" t="s">
        <v>123</v>
      </c>
      <c r="N3605" s="41">
        <v>46009.649305555555</v>
      </c>
      <c r="O3605" s="38" t="s">
        <v>123</v>
      </c>
      <c r="P3605" s="38">
        <v>3900.0</v>
      </c>
      <c r="Q3605" s="39"/>
      <c r="R3605" s="39"/>
      <c r="S3605" s="38" t="s">
        <v>640</v>
      </c>
      <c r="T3605" s="39"/>
      <c r="U3605" s="39"/>
    </row>
    <row r="3606">
      <c r="A3606" s="40">
        <f t="shared" si="1"/>
        <v>46006</v>
      </c>
      <c r="B3606" s="37" t="str">
        <f t="array" ref="B3606">iferror(xlookup($I3606, 'IMPORT VHC Report'!$E:$E, 'IMPORT VHC Report'!$A:$C), )</f>
        <v/>
      </c>
      <c r="C3606" s="37"/>
      <c r="D3606" s="37"/>
      <c r="E3606" s="38" t="s">
        <v>4347</v>
      </c>
      <c r="F3606" s="38" t="s">
        <v>4331</v>
      </c>
      <c r="G3606" s="38">
        <v>8.904494969999E12</v>
      </c>
      <c r="H3606" s="38" t="s">
        <v>4332</v>
      </c>
      <c r="I3606" s="38" t="s">
        <v>4333</v>
      </c>
      <c r="J3606" s="38" t="s">
        <v>136</v>
      </c>
      <c r="K3606" s="38" t="s">
        <v>126</v>
      </c>
      <c r="L3606" s="41">
        <v>46009.791666666664</v>
      </c>
      <c r="M3606" s="38" t="s">
        <v>123</v>
      </c>
      <c r="N3606" s="41">
        <v>46009.833333333336</v>
      </c>
      <c r="O3606" s="38" t="s">
        <v>123</v>
      </c>
      <c r="P3606" s="38">
        <v>3600.0</v>
      </c>
      <c r="Q3606" s="39"/>
      <c r="R3606" s="39"/>
      <c r="S3606" s="38" t="s">
        <v>1683</v>
      </c>
      <c r="T3606" s="39"/>
      <c r="U3606" s="39"/>
    </row>
    <row r="3607">
      <c r="A3607" s="40">
        <f t="shared" si="1"/>
        <v>46006</v>
      </c>
      <c r="B3607" s="37" t="str">
        <f t="array" ref="B3607">iferror(xlookup($I3607, 'IMPORT VHC Report'!$E:$E, 'IMPORT VHC Report'!$A:$C), )</f>
        <v/>
      </c>
      <c r="C3607" s="37"/>
      <c r="D3607" s="37"/>
      <c r="E3607" s="38" t="s">
        <v>4348</v>
      </c>
      <c r="F3607" s="38" t="s">
        <v>4331</v>
      </c>
      <c r="G3607" s="38">
        <v>8.904494969999E12</v>
      </c>
      <c r="H3607" s="38" t="s">
        <v>4332</v>
      </c>
      <c r="I3607" s="38" t="s">
        <v>4333</v>
      </c>
      <c r="J3607" s="38" t="s">
        <v>134</v>
      </c>
      <c r="K3607" s="38" t="s">
        <v>126</v>
      </c>
      <c r="L3607" s="41">
        <v>46009.895833333336</v>
      </c>
      <c r="M3607" s="38" t="s">
        <v>123</v>
      </c>
      <c r="N3607" s="41">
        <v>46009.916666666664</v>
      </c>
      <c r="O3607" s="38" t="s">
        <v>123</v>
      </c>
      <c r="P3607" s="38">
        <v>1800.0</v>
      </c>
      <c r="Q3607" s="39"/>
      <c r="R3607" s="39"/>
      <c r="S3607" s="39"/>
      <c r="T3607" s="39"/>
      <c r="U3607" s="39"/>
    </row>
    <row r="3608">
      <c r="A3608" s="40">
        <f t="shared" si="1"/>
        <v>46006</v>
      </c>
      <c r="B3608" s="37" t="str">
        <f t="array" ref="B3608">iferror(xlookup($I3608, 'IMPORT VHC Report'!$E:$E, 'IMPORT VHC Report'!$A:$C), )</f>
        <v/>
      </c>
      <c r="C3608" s="37"/>
      <c r="D3608" s="37"/>
      <c r="E3608" s="38" t="s">
        <v>4349</v>
      </c>
      <c r="F3608" s="38" t="s">
        <v>4331</v>
      </c>
      <c r="G3608" s="38">
        <v>8.904494969999E12</v>
      </c>
      <c r="H3608" s="38" t="s">
        <v>4332</v>
      </c>
      <c r="I3608" s="38" t="s">
        <v>4333</v>
      </c>
      <c r="J3608" s="38" t="s">
        <v>132</v>
      </c>
      <c r="K3608" s="38" t="s">
        <v>126</v>
      </c>
      <c r="L3608" s="41">
        <v>46009.916666666664</v>
      </c>
      <c r="M3608" s="38" t="s">
        <v>123</v>
      </c>
      <c r="N3608" s="41">
        <v>46009.958333333336</v>
      </c>
      <c r="O3608" s="38" t="s">
        <v>123</v>
      </c>
      <c r="P3608" s="38">
        <v>3600.0</v>
      </c>
      <c r="Q3608" s="39"/>
      <c r="R3608" s="39"/>
      <c r="S3608" s="39"/>
      <c r="T3608" s="39"/>
      <c r="U3608" s="39"/>
    </row>
    <row r="3609">
      <c r="A3609" s="40">
        <f t="shared" si="1"/>
        <v>46006</v>
      </c>
      <c r="B3609" s="37" t="str">
        <f t="array" ref="B3609">iferror(xlookup($I3609, 'IMPORT VHC Report'!$E:$E, 'IMPORT VHC Report'!$A:$C), )</f>
        <v/>
      </c>
      <c r="C3609" s="37"/>
      <c r="D3609" s="37"/>
      <c r="E3609" s="38" t="s">
        <v>4350</v>
      </c>
      <c r="F3609" s="38" t="s">
        <v>4331</v>
      </c>
      <c r="G3609" s="38">
        <v>8.904494969999E12</v>
      </c>
      <c r="H3609" s="38" t="s">
        <v>4332</v>
      </c>
      <c r="I3609" s="38" t="s">
        <v>4333</v>
      </c>
      <c r="J3609" s="38" t="s">
        <v>1670</v>
      </c>
      <c r="K3609" s="38" t="s">
        <v>63</v>
      </c>
      <c r="L3609" s="41">
        <v>46012.583333333336</v>
      </c>
      <c r="M3609" s="38" t="s">
        <v>123</v>
      </c>
      <c r="N3609" s="41">
        <v>46012.958333333336</v>
      </c>
      <c r="O3609" s="38" t="s">
        <v>123</v>
      </c>
      <c r="P3609" s="38">
        <v>32400.0</v>
      </c>
      <c r="Q3609" s="39"/>
      <c r="R3609" s="39"/>
      <c r="S3609" s="39"/>
      <c r="T3609" s="39"/>
      <c r="U3609" s="39"/>
    </row>
    <row r="3610">
      <c r="A3610" s="40">
        <f t="shared" si="1"/>
        <v>46006</v>
      </c>
      <c r="B3610" s="37" t="str">
        <f t="array" ref="B3610">iferror(xlookup($I3610, 'IMPORT VHC Report'!$E:$E, 'IMPORT VHC Report'!$A:$C), )</f>
        <v/>
      </c>
      <c r="C3610" s="37"/>
      <c r="D3610" s="37"/>
      <c r="E3610" s="38" t="s">
        <v>4351</v>
      </c>
      <c r="F3610" s="38" t="s">
        <v>4331</v>
      </c>
      <c r="G3610" s="38">
        <v>8.904494969999E12</v>
      </c>
      <c r="H3610" s="38" t="s">
        <v>4332</v>
      </c>
      <c r="I3610" s="38" t="s">
        <v>4333</v>
      </c>
      <c r="J3610" s="38" t="s">
        <v>134</v>
      </c>
      <c r="K3610" s="38" t="s">
        <v>126</v>
      </c>
      <c r="L3610" s="41">
        <v>46012.708333333336</v>
      </c>
      <c r="M3610" s="38" t="s">
        <v>123</v>
      </c>
      <c r="N3610" s="41">
        <v>46012.729166666664</v>
      </c>
      <c r="O3610" s="38" t="s">
        <v>123</v>
      </c>
      <c r="P3610" s="38">
        <v>1800.0</v>
      </c>
      <c r="Q3610" s="39"/>
      <c r="R3610" s="39"/>
      <c r="S3610" s="39"/>
      <c r="T3610" s="39"/>
      <c r="U3610" s="39"/>
    </row>
    <row r="3611">
      <c r="A3611" s="40">
        <f t="shared" si="1"/>
        <v>46006</v>
      </c>
      <c r="B3611" s="37" t="str">
        <f t="array" ref="B3611">iferror(xlookup($I3611, 'IMPORT VHC Report'!$E:$E, 'IMPORT VHC Report'!$A:$C), )</f>
        <v/>
      </c>
      <c r="C3611" s="37"/>
      <c r="D3611" s="37"/>
      <c r="E3611" s="38" t="s">
        <v>4352</v>
      </c>
      <c r="F3611" s="38" t="s">
        <v>4331</v>
      </c>
      <c r="G3611" s="38">
        <v>8.904494969999E12</v>
      </c>
      <c r="H3611" s="38" t="s">
        <v>4332</v>
      </c>
      <c r="I3611" s="38" t="s">
        <v>4333</v>
      </c>
      <c r="J3611" s="38" t="s">
        <v>132</v>
      </c>
      <c r="K3611" s="38" t="s">
        <v>126</v>
      </c>
      <c r="L3611" s="41">
        <v>46012.729166666664</v>
      </c>
      <c r="M3611" s="38" t="s">
        <v>123</v>
      </c>
      <c r="N3611" s="41">
        <v>46012.770833333336</v>
      </c>
      <c r="O3611" s="38" t="s">
        <v>123</v>
      </c>
      <c r="P3611" s="38">
        <v>3600.0</v>
      </c>
      <c r="Q3611" s="39"/>
      <c r="R3611" s="39"/>
      <c r="S3611" s="39"/>
      <c r="T3611" s="39"/>
      <c r="U3611" s="39"/>
    </row>
    <row r="3612">
      <c r="A3612" s="40">
        <f t="shared" si="1"/>
        <v>46006</v>
      </c>
      <c r="B3612" s="37" t="str">
        <f t="array" ref="B3612">iferror(xlookup($I3612, 'IMPORT VHC Report'!$E:$E, 'IMPORT VHC Report'!$A:$C), )</f>
        <v/>
      </c>
      <c r="C3612" s="37"/>
      <c r="D3612" s="37"/>
      <c r="E3612" s="38" t="s">
        <v>4353</v>
      </c>
      <c r="F3612" s="38" t="s">
        <v>4354</v>
      </c>
      <c r="G3612" s="38">
        <v>5.202423769487E12</v>
      </c>
      <c r="H3612" s="38" t="s">
        <v>4355</v>
      </c>
      <c r="I3612" s="38" t="s">
        <v>4356</v>
      </c>
      <c r="J3612" s="38" t="s">
        <v>791</v>
      </c>
      <c r="K3612" s="38" t="s">
        <v>63</v>
      </c>
      <c r="L3612" s="41">
        <v>46006.583333333336</v>
      </c>
      <c r="M3612" s="38" t="s">
        <v>123</v>
      </c>
      <c r="N3612" s="41">
        <v>46006.958333333336</v>
      </c>
      <c r="O3612" s="38" t="s">
        <v>123</v>
      </c>
      <c r="P3612" s="38">
        <v>32400.0</v>
      </c>
      <c r="Q3612" s="39"/>
      <c r="R3612" s="39"/>
      <c r="S3612" s="39"/>
      <c r="T3612" s="39"/>
      <c r="U3612" s="39"/>
    </row>
    <row r="3613">
      <c r="A3613" s="40">
        <f t="shared" si="1"/>
        <v>46006</v>
      </c>
      <c r="B3613" s="37" t="str">
        <f t="array" ref="B3613">iferror(xlookup($I3613, 'IMPORT VHC Report'!$E:$E, 'IMPORT VHC Report'!$A:$C), )</f>
        <v/>
      </c>
      <c r="C3613" s="37"/>
      <c r="D3613" s="37"/>
      <c r="E3613" s="38" t="s">
        <v>4357</v>
      </c>
      <c r="F3613" s="38" t="s">
        <v>4354</v>
      </c>
      <c r="G3613" s="38">
        <v>5.202423769487E12</v>
      </c>
      <c r="H3613" s="38" t="s">
        <v>4355</v>
      </c>
      <c r="I3613" s="38" t="s">
        <v>4356</v>
      </c>
      <c r="J3613" s="38" t="s">
        <v>134</v>
      </c>
      <c r="K3613" s="38" t="s">
        <v>126</v>
      </c>
      <c r="L3613" s="41">
        <v>46006.895833333336</v>
      </c>
      <c r="M3613" s="38" t="s">
        <v>123</v>
      </c>
      <c r="N3613" s="41">
        <v>46006.916666666664</v>
      </c>
      <c r="O3613" s="38" t="s">
        <v>123</v>
      </c>
      <c r="P3613" s="38">
        <v>1800.0</v>
      </c>
      <c r="Q3613" s="39"/>
      <c r="R3613" s="39"/>
      <c r="S3613" s="39"/>
      <c r="T3613" s="39"/>
      <c r="U3613" s="39"/>
    </row>
    <row r="3614">
      <c r="A3614" s="40">
        <f t="shared" si="1"/>
        <v>46006</v>
      </c>
      <c r="B3614" s="37" t="str">
        <f t="array" ref="B3614">iferror(xlookup($I3614, 'IMPORT VHC Report'!$E:$E, 'IMPORT VHC Report'!$A:$C), )</f>
        <v/>
      </c>
      <c r="C3614" s="37"/>
      <c r="D3614" s="37"/>
      <c r="E3614" s="38" t="s">
        <v>4358</v>
      </c>
      <c r="F3614" s="38" t="s">
        <v>4354</v>
      </c>
      <c r="G3614" s="38">
        <v>5.202423769487E12</v>
      </c>
      <c r="H3614" s="38" t="s">
        <v>4355</v>
      </c>
      <c r="I3614" s="38" t="s">
        <v>4356</v>
      </c>
      <c r="J3614" s="38" t="s">
        <v>132</v>
      </c>
      <c r="K3614" s="38" t="s">
        <v>126</v>
      </c>
      <c r="L3614" s="41">
        <v>46006.916666666664</v>
      </c>
      <c r="M3614" s="38" t="s">
        <v>123</v>
      </c>
      <c r="N3614" s="41">
        <v>46006.958333333336</v>
      </c>
      <c r="O3614" s="38" t="s">
        <v>123</v>
      </c>
      <c r="P3614" s="38">
        <v>3600.0</v>
      </c>
      <c r="Q3614" s="39"/>
      <c r="R3614" s="39"/>
      <c r="S3614" s="39"/>
      <c r="T3614" s="39"/>
      <c r="U3614" s="39"/>
    </row>
    <row r="3615">
      <c r="A3615" s="40">
        <f t="shared" si="1"/>
        <v>46006</v>
      </c>
      <c r="B3615" s="37" t="str">
        <f t="array" ref="B3615">iferror(xlookup($I3615, 'IMPORT VHC Report'!$E:$E, 'IMPORT VHC Report'!$A:$C), )</f>
        <v/>
      </c>
      <c r="C3615" s="37"/>
      <c r="D3615" s="37"/>
      <c r="E3615" s="38" t="s">
        <v>4359</v>
      </c>
      <c r="F3615" s="38" t="s">
        <v>4354</v>
      </c>
      <c r="G3615" s="38">
        <v>5.202423769487E12</v>
      </c>
      <c r="H3615" s="38" t="s">
        <v>4355</v>
      </c>
      <c r="I3615" s="38" t="s">
        <v>4356</v>
      </c>
      <c r="J3615" s="38" t="s">
        <v>791</v>
      </c>
      <c r="K3615" s="38" t="s">
        <v>63</v>
      </c>
      <c r="L3615" s="41">
        <v>46007.583333333336</v>
      </c>
      <c r="M3615" s="38" t="s">
        <v>123</v>
      </c>
      <c r="N3615" s="41">
        <v>46007.73611111111</v>
      </c>
      <c r="O3615" s="38" t="s">
        <v>123</v>
      </c>
      <c r="P3615" s="38">
        <v>13200.0</v>
      </c>
      <c r="Q3615" s="39"/>
      <c r="R3615" s="39"/>
      <c r="S3615" s="39"/>
      <c r="T3615" s="39"/>
      <c r="U3615" s="39"/>
    </row>
    <row r="3616">
      <c r="A3616" s="40">
        <f t="shared" si="1"/>
        <v>46006</v>
      </c>
      <c r="B3616" s="37" t="str">
        <f t="array" ref="B3616">iferror(xlookup($I3616, 'IMPORT VHC Report'!$E:$E, 'IMPORT VHC Report'!$A:$C), )</f>
        <v/>
      </c>
      <c r="C3616" s="37"/>
      <c r="D3616" s="37"/>
      <c r="E3616" s="38" t="s">
        <v>4360</v>
      </c>
      <c r="F3616" s="38" t="s">
        <v>4354</v>
      </c>
      <c r="G3616" s="38">
        <v>5.202423769487E12</v>
      </c>
      <c r="H3616" s="38" t="s">
        <v>4355</v>
      </c>
      <c r="I3616" s="38" t="s">
        <v>4356</v>
      </c>
      <c r="J3616" s="38" t="s">
        <v>134</v>
      </c>
      <c r="K3616" s="38" t="s">
        <v>126</v>
      </c>
      <c r="L3616" s="41">
        <v>46007.73611111111</v>
      </c>
      <c r="M3616" s="38" t="s">
        <v>123</v>
      </c>
      <c r="N3616" s="41">
        <v>46007.756944444445</v>
      </c>
      <c r="O3616" s="38" t="s">
        <v>123</v>
      </c>
      <c r="P3616" s="38">
        <v>1800.0</v>
      </c>
      <c r="Q3616" s="39"/>
      <c r="R3616" s="39"/>
      <c r="S3616" s="39"/>
      <c r="T3616" s="39"/>
      <c r="U3616" s="39"/>
    </row>
    <row r="3617">
      <c r="A3617" s="40">
        <f t="shared" si="1"/>
        <v>46006</v>
      </c>
      <c r="B3617" s="37" t="str">
        <f t="array" ref="B3617">iferror(xlookup($I3617, 'IMPORT VHC Report'!$E:$E, 'IMPORT VHC Report'!$A:$C), )</f>
        <v/>
      </c>
      <c r="C3617" s="37"/>
      <c r="D3617" s="37"/>
      <c r="E3617" s="38" t="s">
        <v>4361</v>
      </c>
      <c r="F3617" s="38" t="s">
        <v>4354</v>
      </c>
      <c r="G3617" s="38">
        <v>5.202423769487E12</v>
      </c>
      <c r="H3617" s="38" t="s">
        <v>4355</v>
      </c>
      <c r="I3617" s="38" t="s">
        <v>4356</v>
      </c>
      <c r="J3617" s="38" t="s">
        <v>132</v>
      </c>
      <c r="K3617" s="38" t="s">
        <v>126</v>
      </c>
      <c r="L3617" s="41">
        <v>46007.756944444445</v>
      </c>
      <c r="M3617" s="38" t="s">
        <v>123</v>
      </c>
      <c r="N3617" s="41">
        <v>46007.79861111111</v>
      </c>
      <c r="O3617" s="38" t="s">
        <v>123</v>
      </c>
      <c r="P3617" s="38">
        <v>3600.0</v>
      </c>
      <c r="Q3617" s="39"/>
      <c r="R3617" s="39"/>
      <c r="S3617" s="39"/>
      <c r="T3617" s="39"/>
      <c r="U3617" s="39"/>
    </row>
    <row r="3618">
      <c r="A3618" s="40">
        <f t="shared" si="1"/>
        <v>46006</v>
      </c>
      <c r="B3618" s="37" t="str">
        <f t="array" ref="B3618">iferror(xlookup($I3618, 'IMPORT VHC Report'!$E:$E, 'IMPORT VHC Report'!$A:$C), )</f>
        <v/>
      </c>
      <c r="C3618" s="37"/>
      <c r="D3618" s="37"/>
      <c r="E3618" s="38" t="s">
        <v>4362</v>
      </c>
      <c r="F3618" s="38" t="s">
        <v>4354</v>
      </c>
      <c r="G3618" s="38">
        <v>5.202423769487E12</v>
      </c>
      <c r="H3618" s="38" t="s">
        <v>4355</v>
      </c>
      <c r="I3618" s="38" t="s">
        <v>4356</v>
      </c>
      <c r="J3618" s="38" t="s">
        <v>791</v>
      </c>
      <c r="K3618" s="38" t="s">
        <v>63</v>
      </c>
      <c r="L3618" s="41">
        <v>46007.79861111111</v>
      </c>
      <c r="M3618" s="38" t="s">
        <v>123</v>
      </c>
      <c r="N3618" s="41">
        <v>46007.958333333336</v>
      </c>
      <c r="O3618" s="38" t="s">
        <v>123</v>
      </c>
      <c r="P3618" s="38">
        <v>13800.0</v>
      </c>
      <c r="Q3618" s="39"/>
      <c r="R3618" s="39"/>
      <c r="S3618" s="39"/>
      <c r="T3618" s="39"/>
      <c r="U3618" s="39"/>
    </row>
    <row r="3619">
      <c r="A3619" s="40">
        <f t="shared" si="1"/>
        <v>46006</v>
      </c>
      <c r="B3619" s="37" t="str">
        <f t="array" ref="B3619">iferror(xlookup($I3619, 'IMPORT VHC Report'!$E:$E, 'IMPORT VHC Report'!$A:$C), )</f>
        <v/>
      </c>
      <c r="C3619" s="37"/>
      <c r="D3619" s="37"/>
      <c r="E3619" s="38" t="s">
        <v>4363</v>
      </c>
      <c r="F3619" s="38" t="s">
        <v>4354</v>
      </c>
      <c r="G3619" s="38">
        <v>5.202423769487E12</v>
      </c>
      <c r="H3619" s="38" t="s">
        <v>4355</v>
      </c>
      <c r="I3619" s="38" t="s">
        <v>4356</v>
      </c>
      <c r="J3619" s="38" t="s">
        <v>791</v>
      </c>
      <c r="K3619" s="38" t="s">
        <v>63</v>
      </c>
      <c r="L3619" s="41">
        <v>46008.583333333336</v>
      </c>
      <c r="M3619" s="38" t="s">
        <v>123</v>
      </c>
      <c r="N3619" s="41">
        <v>46008.73611111111</v>
      </c>
      <c r="O3619" s="38" t="s">
        <v>123</v>
      </c>
      <c r="P3619" s="38">
        <v>13200.0</v>
      </c>
      <c r="Q3619" s="39"/>
      <c r="R3619" s="39"/>
      <c r="S3619" s="39"/>
      <c r="T3619" s="39"/>
      <c r="U3619" s="39"/>
    </row>
    <row r="3620">
      <c r="A3620" s="40">
        <f t="shared" si="1"/>
        <v>46006</v>
      </c>
      <c r="B3620" s="37" t="str">
        <f t="array" ref="B3620">iferror(xlookup($I3620, 'IMPORT VHC Report'!$E:$E, 'IMPORT VHC Report'!$A:$C), )</f>
        <v/>
      </c>
      <c r="C3620" s="37"/>
      <c r="D3620" s="37"/>
      <c r="E3620" s="38" t="s">
        <v>4364</v>
      </c>
      <c r="F3620" s="38" t="s">
        <v>4354</v>
      </c>
      <c r="G3620" s="38">
        <v>5.202423769487E12</v>
      </c>
      <c r="H3620" s="38" t="s">
        <v>4355</v>
      </c>
      <c r="I3620" s="38" t="s">
        <v>4356</v>
      </c>
      <c r="J3620" s="38" t="s">
        <v>134</v>
      </c>
      <c r="K3620" s="38" t="s">
        <v>126</v>
      </c>
      <c r="L3620" s="41">
        <v>46008.73611111111</v>
      </c>
      <c r="M3620" s="38" t="s">
        <v>123</v>
      </c>
      <c r="N3620" s="41">
        <v>46008.756944444445</v>
      </c>
      <c r="O3620" s="38" t="s">
        <v>123</v>
      </c>
      <c r="P3620" s="38">
        <v>1800.0</v>
      </c>
      <c r="Q3620" s="39"/>
      <c r="R3620" s="39"/>
      <c r="S3620" s="39"/>
      <c r="T3620" s="39"/>
      <c r="U3620" s="39"/>
    </row>
    <row r="3621">
      <c r="A3621" s="40">
        <f t="shared" si="1"/>
        <v>46006</v>
      </c>
      <c r="B3621" s="37" t="str">
        <f t="array" ref="B3621">iferror(xlookup($I3621, 'IMPORT VHC Report'!$E:$E, 'IMPORT VHC Report'!$A:$C), )</f>
        <v/>
      </c>
      <c r="C3621" s="37"/>
      <c r="D3621" s="37"/>
      <c r="E3621" s="38" t="s">
        <v>4365</v>
      </c>
      <c r="F3621" s="38" t="s">
        <v>4354</v>
      </c>
      <c r="G3621" s="38">
        <v>5.202423769487E12</v>
      </c>
      <c r="H3621" s="38" t="s">
        <v>4355</v>
      </c>
      <c r="I3621" s="38" t="s">
        <v>4356</v>
      </c>
      <c r="J3621" s="38" t="s">
        <v>132</v>
      </c>
      <c r="K3621" s="38" t="s">
        <v>126</v>
      </c>
      <c r="L3621" s="41">
        <v>46008.756944444445</v>
      </c>
      <c r="M3621" s="38" t="s">
        <v>123</v>
      </c>
      <c r="N3621" s="41">
        <v>46008.79861111111</v>
      </c>
      <c r="O3621" s="38" t="s">
        <v>123</v>
      </c>
      <c r="P3621" s="38">
        <v>3600.0</v>
      </c>
      <c r="Q3621" s="39"/>
      <c r="R3621" s="39"/>
      <c r="S3621" s="39"/>
      <c r="T3621" s="39"/>
      <c r="U3621" s="39"/>
    </row>
    <row r="3622">
      <c r="A3622" s="40">
        <f t="shared" si="1"/>
        <v>46006</v>
      </c>
      <c r="B3622" s="37" t="str">
        <f t="array" ref="B3622">iferror(xlookup($I3622, 'IMPORT VHC Report'!$E:$E, 'IMPORT VHC Report'!$A:$C), )</f>
        <v/>
      </c>
      <c r="C3622" s="37"/>
      <c r="D3622" s="37"/>
      <c r="E3622" s="38" t="s">
        <v>4366</v>
      </c>
      <c r="F3622" s="38" t="s">
        <v>4354</v>
      </c>
      <c r="G3622" s="38">
        <v>5.202423769487E12</v>
      </c>
      <c r="H3622" s="38" t="s">
        <v>4355</v>
      </c>
      <c r="I3622" s="38" t="s">
        <v>4356</v>
      </c>
      <c r="J3622" s="38" t="s">
        <v>791</v>
      </c>
      <c r="K3622" s="38" t="s">
        <v>63</v>
      </c>
      <c r="L3622" s="41">
        <v>46008.79861111111</v>
      </c>
      <c r="M3622" s="38" t="s">
        <v>123</v>
      </c>
      <c r="N3622" s="41">
        <v>46008.958333333336</v>
      </c>
      <c r="O3622" s="38" t="s">
        <v>123</v>
      </c>
      <c r="P3622" s="38">
        <v>13800.0</v>
      </c>
      <c r="Q3622" s="39"/>
      <c r="R3622" s="39"/>
      <c r="S3622" s="39"/>
      <c r="T3622" s="39"/>
      <c r="U3622" s="39"/>
    </row>
    <row r="3623">
      <c r="A3623" s="40">
        <f t="shared" si="1"/>
        <v>46006</v>
      </c>
      <c r="B3623" s="37" t="str">
        <f t="array" ref="B3623">iferror(xlookup($I3623, 'IMPORT VHC Report'!$E:$E, 'IMPORT VHC Report'!$A:$C), )</f>
        <v/>
      </c>
      <c r="C3623" s="37"/>
      <c r="D3623" s="37"/>
      <c r="E3623" s="38" t="s">
        <v>4367</v>
      </c>
      <c r="F3623" s="38" t="s">
        <v>4354</v>
      </c>
      <c r="G3623" s="38">
        <v>5.202423769487E12</v>
      </c>
      <c r="H3623" s="38" t="s">
        <v>4355</v>
      </c>
      <c r="I3623" s="38" t="s">
        <v>4356</v>
      </c>
      <c r="J3623" s="38" t="s">
        <v>136</v>
      </c>
      <c r="K3623" s="38" t="s">
        <v>126</v>
      </c>
      <c r="L3623" s="41">
        <v>46009.583333333336</v>
      </c>
      <c r="M3623" s="38" t="s">
        <v>123</v>
      </c>
      <c r="N3623" s="41">
        <v>46009.600694444445</v>
      </c>
      <c r="O3623" s="38" t="s">
        <v>123</v>
      </c>
      <c r="P3623" s="38">
        <v>1500.0</v>
      </c>
      <c r="Q3623" s="39"/>
      <c r="R3623" s="39"/>
      <c r="S3623" s="39"/>
      <c r="T3623" s="39"/>
      <c r="U3623" s="39"/>
    </row>
    <row r="3624">
      <c r="A3624" s="40">
        <f t="shared" si="1"/>
        <v>46006</v>
      </c>
      <c r="B3624" s="37" t="str">
        <f t="array" ref="B3624">iferror(xlookup($I3624, 'IMPORT VHC Report'!$E:$E, 'IMPORT VHC Report'!$A:$C), )</f>
        <v/>
      </c>
      <c r="C3624" s="37"/>
      <c r="D3624" s="37"/>
      <c r="E3624" s="38" t="s">
        <v>4368</v>
      </c>
      <c r="F3624" s="38" t="s">
        <v>4354</v>
      </c>
      <c r="G3624" s="38">
        <v>5.202423769487E12</v>
      </c>
      <c r="H3624" s="38" t="s">
        <v>4355</v>
      </c>
      <c r="I3624" s="38" t="s">
        <v>4356</v>
      </c>
      <c r="J3624" s="38" t="s">
        <v>791</v>
      </c>
      <c r="K3624" s="38" t="s">
        <v>63</v>
      </c>
      <c r="L3624" s="41">
        <v>46009.600694444445</v>
      </c>
      <c r="M3624" s="38" t="s">
        <v>123</v>
      </c>
      <c r="N3624" s="41">
        <v>46009.61666666667</v>
      </c>
      <c r="O3624" s="38" t="s">
        <v>123</v>
      </c>
      <c r="P3624" s="38">
        <v>1380.0</v>
      </c>
      <c r="Q3624" s="39"/>
      <c r="R3624" s="39"/>
      <c r="S3624" s="39"/>
      <c r="T3624" s="39"/>
      <c r="U3624" s="39"/>
    </row>
    <row r="3625">
      <c r="A3625" s="40">
        <f t="shared" si="1"/>
        <v>46006</v>
      </c>
      <c r="B3625" s="37" t="str">
        <f t="array" ref="B3625">iferror(xlookup($I3625, 'IMPORT VHC Report'!$E:$E, 'IMPORT VHC Report'!$A:$C), )</f>
        <v/>
      </c>
      <c r="C3625" s="37"/>
      <c r="D3625" s="37"/>
      <c r="E3625" s="38" t="s">
        <v>4369</v>
      </c>
      <c r="F3625" s="38" t="s">
        <v>4354</v>
      </c>
      <c r="G3625" s="38">
        <v>5.202423769487E12</v>
      </c>
      <c r="H3625" s="38" t="s">
        <v>4355</v>
      </c>
      <c r="I3625" s="38" t="s">
        <v>4356</v>
      </c>
      <c r="J3625" s="38" t="s">
        <v>136</v>
      </c>
      <c r="K3625" s="38" t="s">
        <v>126</v>
      </c>
      <c r="L3625" s="41">
        <v>46009.61666666667</v>
      </c>
      <c r="M3625" s="38" t="s">
        <v>123</v>
      </c>
      <c r="N3625" s="41">
        <v>46009.623611111114</v>
      </c>
      <c r="O3625" s="38" t="s">
        <v>123</v>
      </c>
      <c r="P3625" s="38">
        <v>600.0</v>
      </c>
      <c r="Q3625" s="39"/>
      <c r="R3625" s="39"/>
      <c r="S3625" s="39"/>
      <c r="T3625" s="39"/>
      <c r="U3625" s="39"/>
    </row>
    <row r="3626">
      <c r="A3626" s="40">
        <f t="shared" si="1"/>
        <v>46006</v>
      </c>
      <c r="B3626" s="37" t="str">
        <f t="array" ref="B3626">iferror(xlookup($I3626, 'IMPORT VHC Report'!$E:$E, 'IMPORT VHC Report'!$A:$C), )</f>
        <v/>
      </c>
      <c r="C3626" s="37"/>
      <c r="D3626" s="37"/>
      <c r="E3626" s="38" t="s">
        <v>4370</v>
      </c>
      <c r="F3626" s="38" t="s">
        <v>4354</v>
      </c>
      <c r="G3626" s="38">
        <v>5.202423769487E12</v>
      </c>
      <c r="H3626" s="38" t="s">
        <v>4355</v>
      </c>
      <c r="I3626" s="38" t="s">
        <v>4356</v>
      </c>
      <c r="J3626" s="38" t="s">
        <v>791</v>
      </c>
      <c r="K3626" s="38" t="s">
        <v>63</v>
      </c>
      <c r="L3626" s="41">
        <v>46009.623611111114</v>
      </c>
      <c r="M3626" s="38" t="s">
        <v>123</v>
      </c>
      <c r="N3626" s="41">
        <v>46009.666666666664</v>
      </c>
      <c r="O3626" s="38" t="s">
        <v>123</v>
      </c>
      <c r="P3626" s="38">
        <v>3720.0</v>
      </c>
      <c r="Q3626" s="39"/>
      <c r="R3626" s="39"/>
      <c r="S3626" s="39"/>
      <c r="T3626" s="39"/>
      <c r="U3626" s="39"/>
    </row>
    <row r="3627">
      <c r="A3627" s="40">
        <f t="shared" si="1"/>
        <v>46006</v>
      </c>
      <c r="B3627" s="37" t="str">
        <f t="array" ref="B3627">iferror(xlookup($I3627, 'IMPORT VHC Report'!$E:$E, 'IMPORT VHC Report'!$A:$C), )</f>
        <v/>
      </c>
      <c r="C3627" s="37"/>
      <c r="D3627" s="37"/>
      <c r="E3627" s="38" t="s">
        <v>4371</v>
      </c>
      <c r="F3627" s="38" t="s">
        <v>4354</v>
      </c>
      <c r="G3627" s="38">
        <v>5.202423769487E12</v>
      </c>
      <c r="H3627" s="38" t="s">
        <v>4355</v>
      </c>
      <c r="I3627" s="38" t="s">
        <v>4356</v>
      </c>
      <c r="J3627" s="38" t="s">
        <v>136</v>
      </c>
      <c r="K3627" s="38" t="s">
        <v>126</v>
      </c>
      <c r="L3627" s="41">
        <v>46009.666666666664</v>
      </c>
      <c r="M3627" s="38" t="s">
        <v>123</v>
      </c>
      <c r="N3627" s="41">
        <v>46009.71041666667</v>
      </c>
      <c r="O3627" s="38" t="s">
        <v>123</v>
      </c>
      <c r="P3627" s="38">
        <v>3780.0</v>
      </c>
      <c r="Q3627" s="39"/>
      <c r="R3627" s="39"/>
      <c r="S3627" s="39"/>
      <c r="T3627" s="39"/>
      <c r="U3627" s="39"/>
    </row>
    <row r="3628">
      <c r="A3628" s="40">
        <f t="shared" si="1"/>
        <v>46006</v>
      </c>
      <c r="B3628" s="37" t="str">
        <f t="array" ref="B3628">iferror(xlookup($I3628, 'IMPORT VHC Report'!$E:$E, 'IMPORT VHC Report'!$A:$C), )</f>
        <v/>
      </c>
      <c r="C3628" s="37"/>
      <c r="D3628" s="37"/>
      <c r="E3628" s="38" t="s">
        <v>4372</v>
      </c>
      <c r="F3628" s="38" t="s">
        <v>4354</v>
      </c>
      <c r="G3628" s="38">
        <v>5.202423769487E12</v>
      </c>
      <c r="H3628" s="38" t="s">
        <v>4355</v>
      </c>
      <c r="I3628" s="38" t="s">
        <v>4356</v>
      </c>
      <c r="J3628" s="38" t="s">
        <v>791</v>
      </c>
      <c r="K3628" s="38" t="s">
        <v>63</v>
      </c>
      <c r="L3628" s="41">
        <v>46009.71041666667</v>
      </c>
      <c r="M3628" s="38" t="s">
        <v>123</v>
      </c>
      <c r="N3628" s="41">
        <v>46009.779861111114</v>
      </c>
      <c r="O3628" s="38" t="s">
        <v>123</v>
      </c>
      <c r="P3628" s="38">
        <v>6000.0</v>
      </c>
      <c r="Q3628" s="39"/>
      <c r="R3628" s="39"/>
      <c r="S3628" s="39"/>
      <c r="T3628" s="39"/>
      <c r="U3628" s="39"/>
    </row>
    <row r="3629">
      <c r="A3629" s="40">
        <f t="shared" si="1"/>
        <v>46006</v>
      </c>
      <c r="B3629" s="37" t="str">
        <f t="array" ref="B3629">iferror(xlookup($I3629, 'IMPORT VHC Report'!$E:$E, 'IMPORT VHC Report'!$A:$C), )</f>
        <v/>
      </c>
      <c r="C3629" s="37"/>
      <c r="D3629" s="37"/>
      <c r="E3629" s="38" t="s">
        <v>4373</v>
      </c>
      <c r="F3629" s="38" t="s">
        <v>4354</v>
      </c>
      <c r="G3629" s="38">
        <v>5.202423769487E12</v>
      </c>
      <c r="H3629" s="38" t="s">
        <v>4355</v>
      </c>
      <c r="I3629" s="38" t="s">
        <v>4356</v>
      </c>
      <c r="J3629" s="38" t="s">
        <v>134</v>
      </c>
      <c r="K3629" s="38" t="s">
        <v>126</v>
      </c>
      <c r="L3629" s="41">
        <v>46009.779861111114</v>
      </c>
      <c r="M3629" s="38" t="s">
        <v>123</v>
      </c>
      <c r="N3629" s="41">
        <v>46009.80069444444</v>
      </c>
      <c r="O3629" s="38" t="s">
        <v>123</v>
      </c>
      <c r="P3629" s="38">
        <v>1800.0</v>
      </c>
      <c r="Q3629" s="39"/>
      <c r="R3629" s="39"/>
      <c r="S3629" s="39"/>
      <c r="T3629" s="39"/>
      <c r="U3629" s="39"/>
    </row>
    <row r="3630">
      <c r="A3630" s="40">
        <f t="shared" si="1"/>
        <v>46006</v>
      </c>
      <c r="B3630" s="37" t="str">
        <f t="array" ref="B3630">iferror(xlookup($I3630, 'IMPORT VHC Report'!$E:$E, 'IMPORT VHC Report'!$A:$C), )</f>
        <v/>
      </c>
      <c r="C3630" s="37"/>
      <c r="D3630" s="37"/>
      <c r="E3630" s="38" t="s">
        <v>4374</v>
      </c>
      <c r="F3630" s="38" t="s">
        <v>4354</v>
      </c>
      <c r="G3630" s="38">
        <v>5.202423769487E12</v>
      </c>
      <c r="H3630" s="38" t="s">
        <v>4355</v>
      </c>
      <c r="I3630" s="38" t="s">
        <v>4356</v>
      </c>
      <c r="J3630" s="38" t="s">
        <v>132</v>
      </c>
      <c r="K3630" s="38" t="s">
        <v>126</v>
      </c>
      <c r="L3630" s="41">
        <v>46009.80069444444</v>
      </c>
      <c r="M3630" s="38" t="s">
        <v>123</v>
      </c>
      <c r="N3630" s="41">
        <v>46009.842361111114</v>
      </c>
      <c r="O3630" s="38" t="s">
        <v>123</v>
      </c>
      <c r="P3630" s="38">
        <v>3600.0</v>
      </c>
      <c r="Q3630" s="39"/>
      <c r="R3630" s="39"/>
      <c r="S3630" s="39"/>
      <c r="T3630" s="39"/>
      <c r="U3630" s="39"/>
    </row>
    <row r="3631">
      <c r="A3631" s="40">
        <f t="shared" si="1"/>
        <v>46006</v>
      </c>
      <c r="B3631" s="37" t="str">
        <f t="array" ref="B3631">iferror(xlookup($I3631, 'IMPORT VHC Report'!$E:$E, 'IMPORT VHC Report'!$A:$C), )</f>
        <v/>
      </c>
      <c r="C3631" s="37"/>
      <c r="D3631" s="37"/>
      <c r="E3631" s="38" t="s">
        <v>4375</v>
      </c>
      <c r="F3631" s="38" t="s">
        <v>4354</v>
      </c>
      <c r="G3631" s="38">
        <v>5.202423769487E12</v>
      </c>
      <c r="H3631" s="38" t="s">
        <v>4355</v>
      </c>
      <c r="I3631" s="38" t="s">
        <v>4356</v>
      </c>
      <c r="J3631" s="38" t="s">
        <v>791</v>
      </c>
      <c r="K3631" s="38" t="s">
        <v>63</v>
      </c>
      <c r="L3631" s="41">
        <v>46009.842361111114</v>
      </c>
      <c r="M3631" s="38" t="s">
        <v>123</v>
      </c>
      <c r="N3631" s="41">
        <v>46009.958333333336</v>
      </c>
      <c r="O3631" s="38" t="s">
        <v>123</v>
      </c>
      <c r="P3631" s="38">
        <v>10020.0</v>
      </c>
      <c r="Q3631" s="39"/>
      <c r="R3631" s="39"/>
      <c r="S3631" s="39"/>
      <c r="T3631" s="39"/>
      <c r="U3631" s="39"/>
    </row>
    <row r="3632">
      <c r="A3632" s="40">
        <f t="shared" si="1"/>
        <v>46006</v>
      </c>
      <c r="B3632" s="37" t="str">
        <f t="array" ref="B3632">iferror(xlookup($I3632, 'IMPORT VHC Report'!$E:$E, 'IMPORT VHC Report'!$A:$C), )</f>
        <v/>
      </c>
      <c r="C3632" s="37"/>
      <c r="D3632" s="37"/>
      <c r="E3632" s="38" t="s">
        <v>4376</v>
      </c>
      <c r="F3632" s="38" t="s">
        <v>4354</v>
      </c>
      <c r="G3632" s="38">
        <v>5.202423769487E12</v>
      </c>
      <c r="H3632" s="38" t="s">
        <v>4355</v>
      </c>
      <c r="I3632" s="38" t="s">
        <v>4356</v>
      </c>
      <c r="J3632" s="38" t="s">
        <v>791</v>
      </c>
      <c r="K3632" s="38" t="s">
        <v>63</v>
      </c>
      <c r="L3632" s="41">
        <v>46012.583333333336</v>
      </c>
      <c r="M3632" s="38" t="s">
        <v>123</v>
      </c>
      <c r="N3632" s="41">
        <v>46012.958333333336</v>
      </c>
      <c r="O3632" s="38" t="s">
        <v>123</v>
      </c>
      <c r="P3632" s="38">
        <v>32400.0</v>
      </c>
      <c r="Q3632" s="39"/>
      <c r="R3632" s="39"/>
      <c r="S3632" s="39"/>
      <c r="T3632" s="39"/>
      <c r="U3632" s="39"/>
    </row>
    <row r="3633">
      <c r="A3633" s="40">
        <f t="shared" si="1"/>
        <v>46006</v>
      </c>
      <c r="B3633" s="37" t="str">
        <f t="array" ref="B3633">iferror(xlookup($I3633, 'IMPORT VHC Report'!$E:$E, 'IMPORT VHC Report'!$A:$C), )</f>
        <v/>
      </c>
      <c r="C3633" s="37"/>
      <c r="D3633" s="37"/>
      <c r="E3633" s="38" t="s">
        <v>4377</v>
      </c>
      <c r="F3633" s="38" t="s">
        <v>4354</v>
      </c>
      <c r="G3633" s="38">
        <v>5.202423769487E12</v>
      </c>
      <c r="H3633" s="38" t="s">
        <v>4355</v>
      </c>
      <c r="I3633" s="38" t="s">
        <v>4356</v>
      </c>
      <c r="J3633" s="38" t="s">
        <v>132</v>
      </c>
      <c r="K3633" s="38" t="s">
        <v>126</v>
      </c>
      <c r="L3633" s="41">
        <v>46012.75</v>
      </c>
      <c r="M3633" s="38" t="s">
        <v>123</v>
      </c>
      <c r="N3633" s="41">
        <v>46012.791666666664</v>
      </c>
      <c r="O3633" s="38" t="s">
        <v>123</v>
      </c>
      <c r="P3633" s="38">
        <v>3600.0</v>
      </c>
      <c r="Q3633" s="39"/>
      <c r="R3633" s="39"/>
      <c r="S3633" s="39"/>
      <c r="T3633" s="39"/>
      <c r="U3633" s="39"/>
    </row>
    <row r="3634">
      <c r="A3634" s="40">
        <f t="shared" si="1"/>
        <v>46006</v>
      </c>
      <c r="B3634" s="37" t="str">
        <f t="array" ref="B3634">iferror(xlookup($I3634, 'IMPORT VHC Report'!$E:$E, 'IMPORT VHC Report'!$A:$C), )</f>
        <v/>
      </c>
      <c r="C3634" s="37"/>
      <c r="D3634" s="37"/>
      <c r="E3634" s="38" t="s">
        <v>4378</v>
      </c>
      <c r="F3634" s="38" t="s">
        <v>4354</v>
      </c>
      <c r="G3634" s="38">
        <v>5.202423769487E12</v>
      </c>
      <c r="H3634" s="38" t="s">
        <v>4355</v>
      </c>
      <c r="I3634" s="38" t="s">
        <v>4356</v>
      </c>
      <c r="J3634" s="38" t="s">
        <v>152</v>
      </c>
      <c r="K3634" s="38" t="s">
        <v>153</v>
      </c>
      <c r="L3634" s="41">
        <v>46012.791666666664</v>
      </c>
      <c r="M3634" s="38" t="s">
        <v>123</v>
      </c>
      <c r="N3634" s="41">
        <v>46012.958333333336</v>
      </c>
      <c r="O3634" s="38" t="s">
        <v>123</v>
      </c>
      <c r="P3634" s="38">
        <v>14400.0</v>
      </c>
      <c r="Q3634" s="38">
        <v>14400.0</v>
      </c>
      <c r="R3634" s="39"/>
      <c r="S3634" s="39"/>
      <c r="T3634" s="39"/>
      <c r="U3634" s="39"/>
    </row>
    <row r="3635">
      <c r="A3635" s="40">
        <f t="shared" si="1"/>
        <v>46006</v>
      </c>
      <c r="B3635" s="37" t="str">
        <f t="array" ref="B3635">iferror(xlookup($I3635, 'IMPORT VHC Report'!$E:$E, 'IMPORT VHC Report'!$A:$C), )</f>
        <v/>
      </c>
      <c r="C3635" s="37"/>
      <c r="D3635" s="37"/>
      <c r="E3635" s="38" t="s">
        <v>4379</v>
      </c>
      <c r="F3635" s="38" t="s">
        <v>4354</v>
      </c>
      <c r="G3635" s="38">
        <v>5.202423769487E12</v>
      </c>
      <c r="H3635" s="38" t="s">
        <v>4355</v>
      </c>
      <c r="I3635" s="38" t="s">
        <v>4356</v>
      </c>
      <c r="J3635" s="38" t="s">
        <v>134</v>
      </c>
      <c r="K3635" s="38" t="s">
        <v>126</v>
      </c>
      <c r="L3635" s="41">
        <v>46012.875</v>
      </c>
      <c r="M3635" s="38" t="s">
        <v>123</v>
      </c>
      <c r="N3635" s="41">
        <v>46012.895833333336</v>
      </c>
      <c r="O3635" s="38" t="s">
        <v>123</v>
      </c>
      <c r="P3635" s="38">
        <v>1800.0</v>
      </c>
      <c r="Q3635" s="39"/>
      <c r="R3635" s="39"/>
      <c r="S3635" s="39"/>
      <c r="T3635" s="39"/>
      <c r="U3635" s="39"/>
    </row>
    <row r="3636">
      <c r="A3636" s="40">
        <f t="shared" si="1"/>
        <v>46006</v>
      </c>
      <c r="B3636" s="37" t="str">
        <f t="array" ref="B3636">iferror(xlookup($I3636, 'IMPORT VHC Report'!$E:$E, 'IMPORT VHC Report'!$A:$C), )</f>
        <v/>
      </c>
      <c r="C3636" s="37"/>
      <c r="D3636" s="37"/>
      <c r="E3636" s="38" t="s">
        <v>4380</v>
      </c>
      <c r="F3636" s="38" t="s">
        <v>4381</v>
      </c>
      <c r="G3636" s="38">
        <v>5.359149526287E12</v>
      </c>
      <c r="H3636" s="38" t="s">
        <v>4382</v>
      </c>
      <c r="I3636" s="38" t="s">
        <v>4383</v>
      </c>
      <c r="J3636" s="38" t="s">
        <v>330</v>
      </c>
      <c r="K3636" s="38" t="s">
        <v>126</v>
      </c>
      <c r="L3636" s="41">
        <v>46006.583333333336</v>
      </c>
      <c r="M3636" s="38" t="s">
        <v>123</v>
      </c>
      <c r="N3636" s="41">
        <v>46006.59027777778</v>
      </c>
      <c r="O3636" s="38" t="s">
        <v>123</v>
      </c>
      <c r="P3636" s="38">
        <v>600.0</v>
      </c>
      <c r="Q3636" s="39"/>
      <c r="R3636" s="39"/>
      <c r="S3636" s="39"/>
      <c r="T3636" s="39"/>
      <c r="U3636" s="39"/>
    </row>
    <row r="3637">
      <c r="A3637" s="40">
        <f t="shared" si="1"/>
        <v>46006</v>
      </c>
      <c r="B3637" s="37" t="str">
        <f t="array" ref="B3637">iferror(xlookup($I3637, 'IMPORT VHC Report'!$E:$E, 'IMPORT VHC Report'!$A:$C), )</f>
        <v/>
      </c>
      <c r="C3637" s="37"/>
      <c r="D3637" s="37"/>
      <c r="E3637" s="38" t="s">
        <v>4384</v>
      </c>
      <c r="F3637" s="38" t="s">
        <v>4381</v>
      </c>
      <c r="G3637" s="38">
        <v>5.359149526287E12</v>
      </c>
      <c r="H3637" s="38" t="s">
        <v>4382</v>
      </c>
      <c r="I3637" s="38" t="s">
        <v>4383</v>
      </c>
      <c r="J3637" s="38" t="s">
        <v>332</v>
      </c>
      <c r="K3637" s="38" t="s">
        <v>63</v>
      </c>
      <c r="L3637" s="41">
        <v>46006.583333333336</v>
      </c>
      <c r="M3637" s="38" t="s">
        <v>123</v>
      </c>
      <c r="N3637" s="41">
        <v>46006.958333333336</v>
      </c>
      <c r="O3637" s="38" t="s">
        <v>123</v>
      </c>
      <c r="P3637" s="38">
        <v>32400.0</v>
      </c>
      <c r="Q3637" s="39"/>
      <c r="R3637" s="39"/>
      <c r="S3637" s="39"/>
      <c r="T3637" s="39"/>
      <c r="U3637" s="39"/>
    </row>
    <row r="3638">
      <c r="A3638" s="40">
        <f t="shared" si="1"/>
        <v>46006</v>
      </c>
      <c r="B3638" s="37" t="str">
        <f t="array" ref="B3638">iferror(xlookup($I3638, 'IMPORT VHC Report'!$E:$E, 'IMPORT VHC Report'!$A:$C), )</f>
        <v/>
      </c>
      <c r="C3638" s="37"/>
      <c r="D3638" s="37"/>
      <c r="E3638" s="38" t="s">
        <v>4385</v>
      </c>
      <c r="F3638" s="38" t="s">
        <v>4381</v>
      </c>
      <c r="G3638" s="38">
        <v>5.359149526287E12</v>
      </c>
      <c r="H3638" s="38" t="s">
        <v>4382</v>
      </c>
      <c r="I3638" s="38" t="s">
        <v>4383</v>
      </c>
      <c r="J3638" s="38" t="s">
        <v>134</v>
      </c>
      <c r="K3638" s="38" t="s">
        <v>126</v>
      </c>
      <c r="L3638" s="41">
        <v>46006.708333333336</v>
      </c>
      <c r="M3638" s="38" t="s">
        <v>123</v>
      </c>
      <c r="N3638" s="41">
        <v>46006.729166666664</v>
      </c>
      <c r="O3638" s="38" t="s">
        <v>123</v>
      </c>
      <c r="P3638" s="38">
        <v>1800.0</v>
      </c>
      <c r="Q3638" s="39"/>
      <c r="R3638" s="39"/>
      <c r="S3638" s="39"/>
      <c r="T3638" s="39"/>
      <c r="U3638" s="39"/>
    </row>
    <row r="3639">
      <c r="A3639" s="40">
        <f t="shared" si="1"/>
        <v>46006</v>
      </c>
      <c r="B3639" s="37" t="str">
        <f t="array" ref="B3639">iferror(xlookup($I3639, 'IMPORT VHC Report'!$E:$E, 'IMPORT VHC Report'!$A:$C), )</f>
        <v/>
      </c>
      <c r="C3639" s="37"/>
      <c r="D3639" s="37"/>
      <c r="E3639" s="38" t="s">
        <v>4386</v>
      </c>
      <c r="F3639" s="38" t="s">
        <v>4381</v>
      </c>
      <c r="G3639" s="38">
        <v>5.359149526287E12</v>
      </c>
      <c r="H3639" s="38" t="s">
        <v>4382</v>
      </c>
      <c r="I3639" s="38" t="s">
        <v>4383</v>
      </c>
      <c r="J3639" s="38" t="s">
        <v>132</v>
      </c>
      <c r="K3639" s="38" t="s">
        <v>126</v>
      </c>
      <c r="L3639" s="41">
        <v>46006.8125</v>
      </c>
      <c r="M3639" s="38" t="s">
        <v>123</v>
      </c>
      <c r="N3639" s="41">
        <v>46006.854166666664</v>
      </c>
      <c r="O3639" s="38" t="s">
        <v>123</v>
      </c>
      <c r="P3639" s="38">
        <v>3600.0</v>
      </c>
      <c r="Q3639" s="39"/>
      <c r="R3639" s="39"/>
      <c r="S3639" s="39"/>
      <c r="T3639" s="39"/>
      <c r="U3639" s="39"/>
    </row>
    <row r="3640">
      <c r="A3640" s="40">
        <f t="shared" si="1"/>
        <v>46006</v>
      </c>
      <c r="B3640" s="37" t="str">
        <f t="array" ref="B3640">iferror(xlookup($I3640, 'IMPORT VHC Report'!$E:$E, 'IMPORT VHC Report'!$A:$C), )</f>
        <v/>
      </c>
      <c r="C3640" s="37"/>
      <c r="D3640" s="37"/>
      <c r="E3640" s="38" t="s">
        <v>4387</v>
      </c>
      <c r="F3640" s="38" t="s">
        <v>4381</v>
      </c>
      <c r="G3640" s="38">
        <v>5.359149526287E12</v>
      </c>
      <c r="H3640" s="38" t="s">
        <v>4382</v>
      </c>
      <c r="I3640" s="38" t="s">
        <v>4383</v>
      </c>
      <c r="J3640" s="38" t="s">
        <v>330</v>
      </c>
      <c r="K3640" s="38" t="s">
        <v>126</v>
      </c>
      <c r="L3640" s="41">
        <v>46007.583333333336</v>
      </c>
      <c r="M3640" s="38" t="s">
        <v>123</v>
      </c>
      <c r="N3640" s="41">
        <v>46007.59027777778</v>
      </c>
      <c r="O3640" s="38" t="s">
        <v>123</v>
      </c>
      <c r="P3640" s="38">
        <v>600.0</v>
      </c>
      <c r="Q3640" s="39"/>
      <c r="R3640" s="39"/>
      <c r="S3640" s="39"/>
      <c r="T3640" s="39"/>
      <c r="U3640" s="39"/>
    </row>
    <row r="3641">
      <c r="A3641" s="40">
        <f t="shared" si="1"/>
        <v>46006</v>
      </c>
      <c r="B3641" s="37" t="str">
        <f t="array" ref="B3641">iferror(xlookup($I3641, 'IMPORT VHC Report'!$E:$E, 'IMPORT VHC Report'!$A:$C), )</f>
        <v/>
      </c>
      <c r="C3641" s="37"/>
      <c r="D3641" s="37"/>
      <c r="E3641" s="38" t="s">
        <v>4388</v>
      </c>
      <c r="F3641" s="38" t="s">
        <v>4381</v>
      </c>
      <c r="G3641" s="38">
        <v>5.359149526287E12</v>
      </c>
      <c r="H3641" s="38" t="s">
        <v>4382</v>
      </c>
      <c r="I3641" s="38" t="s">
        <v>4383</v>
      </c>
      <c r="J3641" s="38" t="s">
        <v>332</v>
      </c>
      <c r="K3641" s="38" t="s">
        <v>63</v>
      </c>
      <c r="L3641" s="41">
        <v>46007.583333333336</v>
      </c>
      <c r="M3641" s="38" t="s">
        <v>123</v>
      </c>
      <c r="N3641" s="41">
        <v>46007.958333333336</v>
      </c>
      <c r="O3641" s="38" t="s">
        <v>123</v>
      </c>
      <c r="P3641" s="38">
        <v>32400.0</v>
      </c>
      <c r="Q3641" s="39"/>
      <c r="R3641" s="39"/>
      <c r="S3641" s="39"/>
      <c r="T3641" s="39"/>
      <c r="U3641" s="39"/>
    </row>
    <row r="3642">
      <c r="A3642" s="40">
        <f t="shared" si="1"/>
        <v>46006</v>
      </c>
      <c r="B3642" s="37" t="str">
        <f t="array" ref="B3642">iferror(xlookup($I3642, 'IMPORT VHC Report'!$E:$E, 'IMPORT VHC Report'!$A:$C), )</f>
        <v/>
      </c>
      <c r="C3642" s="37"/>
      <c r="D3642" s="37"/>
      <c r="E3642" s="38" t="s">
        <v>4389</v>
      </c>
      <c r="F3642" s="38" t="s">
        <v>4381</v>
      </c>
      <c r="G3642" s="38">
        <v>5.359149526287E12</v>
      </c>
      <c r="H3642" s="38" t="s">
        <v>4382</v>
      </c>
      <c r="I3642" s="38" t="s">
        <v>4383</v>
      </c>
      <c r="J3642" s="38" t="s">
        <v>132</v>
      </c>
      <c r="K3642" s="38" t="s">
        <v>126</v>
      </c>
      <c r="L3642" s="41">
        <v>46007.74791666667</v>
      </c>
      <c r="M3642" s="38" t="s">
        <v>123</v>
      </c>
      <c r="N3642" s="41">
        <v>46007.78958333333</v>
      </c>
      <c r="O3642" s="38" t="s">
        <v>123</v>
      </c>
      <c r="P3642" s="38">
        <v>3600.0</v>
      </c>
      <c r="Q3642" s="39"/>
      <c r="R3642" s="39"/>
      <c r="S3642" s="38" t="s">
        <v>4390</v>
      </c>
      <c r="T3642" s="39"/>
      <c r="U3642" s="39"/>
    </row>
    <row r="3643">
      <c r="A3643" s="40">
        <f t="shared" si="1"/>
        <v>46006</v>
      </c>
      <c r="B3643" s="37" t="str">
        <f t="array" ref="B3643">iferror(xlookup($I3643, 'IMPORT VHC Report'!$E:$E, 'IMPORT VHC Report'!$A:$C), )</f>
        <v/>
      </c>
      <c r="C3643" s="37"/>
      <c r="D3643" s="37"/>
      <c r="E3643" s="38" t="s">
        <v>4391</v>
      </c>
      <c r="F3643" s="38" t="s">
        <v>4381</v>
      </c>
      <c r="G3643" s="38">
        <v>5.359149526287E12</v>
      </c>
      <c r="H3643" s="38" t="s">
        <v>4382</v>
      </c>
      <c r="I3643" s="38" t="s">
        <v>4383</v>
      </c>
      <c r="J3643" s="38" t="s">
        <v>4</v>
      </c>
      <c r="K3643" s="38" t="s">
        <v>126</v>
      </c>
      <c r="L3643" s="41">
        <v>46007.802083333336</v>
      </c>
      <c r="M3643" s="38" t="s">
        <v>123</v>
      </c>
      <c r="N3643" s="41">
        <v>46007.84375</v>
      </c>
      <c r="O3643" s="38" t="s">
        <v>123</v>
      </c>
      <c r="P3643" s="38">
        <v>3600.0</v>
      </c>
      <c r="Q3643" s="39"/>
      <c r="R3643" s="39"/>
      <c r="S3643" s="38" t="s">
        <v>130</v>
      </c>
      <c r="T3643" s="39"/>
      <c r="U3643" s="39"/>
    </row>
    <row r="3644">
      <c r="A3644" s="40">
        <f t="shared" si="1"/>
        <v>46006</v>
      </c>
      <c r="B3644" s="37" t="str">
        <f t="array" ref="B3644">iferror(xlookup($I3644, 'IMPORT VHC Report'!$E:$E, 'IMPORT VHC Report'!$A:$C), )</f>
        <v/>
      </c>
      <c r="C3644" s="37"/>
      <c r="D3644" s="37"/>
      <c r="E3644" s="38" t="s">
        <v>4392</v>
      </c>
      <c r="F3644" s="38" t="s">
        <v>4381</v>
      </c>
      <c r="G3644" s="38">
        <v>5.359149526287E12</v>
      </c>
      <c r="H3644" s="38" t="s">
        <v>4382</v>
      </c>
      <c r="I3644" s="38" t="s">
        <v>4383</v>
      </c>
      <c r="J3644" s="38" t="s">
        <v>134</v>
      </c>
      <c r="K3644" s="38" t="s">
        <v>126</v>
      </c>
      <c r="L3644" s="41">
        <v>46007.90625</v>
      </c>
      <c r="M3644" s="38" t="s">
        <v>123</v>
      </c>
      <c r="N3644" s="41">
        <v>46007.927083333336</v>
      </c>
      <c r="O3644" s="38" t="s">
        <v>123</v>
      </c>
      <c r="P3644" s="38">
        <v>1800.0</v>
      </c>
      <c r="Q3644" s="39"/>
      <c r="R3644" s="39"/>
      <c r="S3644" s="39"/>
      <c r="T3644" s="39"/>
      <c r="U3644" s="39"/>
    </row>
    <row r="3645">
      <c r="A3645" s="40">
        <f t="shared" si="1"/>
        <v>46006</v>
      </c>
      <c r="B3645" s="37" t="str">
        <f t="array" ref="B3645">iferror(xlookup($I3645, 'IMPORT VHC Report'!$E:$E, 'IMPORT VHC Report'!$A:$C), )</f>
        <v/>
      </c>
      <c r="C3645" s="37"/>
      <c r="D3645" s="37"/>
      <c r="E3645" s="38" t="s">
        <v>4393</v>
      </c>
      <c r="F3645" s="38" t="s">
        <v>4381</v>
      </c>
      <c r="G3645" s="38">
        <v>5.359149526287E12</v>
      </c>
      <c r="H3645" s="38" t="s">
        <v>4382</v>
      </c>
      <c r="I3645" s="38" t="s">
        <v>4383</v>
      </c>
      <c r="J3645" s="38" t="s">
        <v>330</v>
      </c>
      <c r="K3645" s="38" t="s">
        <v>126</v>
      </c>
      <c r="L3645" s="41">
        <v>46008.583333333336</v>
      </c>
      <c r="M3645" s="38" t="s">
        <v>123</v>
      </c>
      <c r="N3645" s="41">
        <v>46008.59027777778</v>
      </c>
      <c r="O3645" s="38" t="s">
        <v>123</v>
      </c>
      <c r="P3645" s="38">
        <v>600.0</v>
      </c>
      <c r="Q3645" s="39"/>
      <c r="R3645" s="39"/>
      <c r="S3645" s="39"/>
      <c r="T3645" s="39"/>
      <c r="U3645" s="39"/>
    </row>
    <row r="3646">
      <c r="A3646" s="40">
        <f t="shared" si="1"/>
        <v>46006</v>
      </c>
      <c r="B3646" s="37" t="str">
        <f t="array" ref="B3646">iferror(xlookup($I3646, 'IMPORT VHC Report'!$E:$E, 'IMPORT VHC Report'!$A:$C), )</f>
        <v/>
      </c>
      <c r="C3646" s="37"/>
      <c r="D3646" s="37"/>
      <c r="E3646" s="38" t="s">
        <v>4394</v>
      </c>
      <c r="F3646" s="38" t="s">
        <v>4381</v>
      </c>
      <c r="G3646" s="38">
        <v>5.359149526287E12</v>
      </c>
      <c r="H3646" s="38" t="s">
        <v>4382</v>
      </c>
      <c r="I3646" s="38" t="s">
        <v>4383</v>
      </c>
      <c r="J3646" s="38" t="s">
        <v>332</v>
      </c>
      <c r="K3646" s="38" t="s">
        <v>63</v>
      </c>
      <c r="L3646" s="41">
        <v>46008.583333333336</v>
      </c>
      <c r="M3646" s="38" t="s">
        <v>123</v>
      </c>
      <c r="N3646" s="41">
        <v>46008.958333333336</v>
      </c>
      <c r="O3646" s="38" t="s">
        <v>123</v>
      </c>
      <c r="P3646" s="38">
        <v>32400.0</v>
      </c>
      <c r="Q3646" s="39"/>
      <c r="R3646" s="39"/>
      <c r="S3646" s="39"/>
      <c r="T3646" s="39"/>
      <c r="U3646" s="39"/>
    </row>
    <row r="3647">
      <c r="A3647" s="40">
        <f t="shared" si="1"/>
        <v>46006</v>
      </c>
      <c r="B3647" s="37" t="str">
        <f t="array" ref="B3647">iferror(xlookup($I3647, 'IMPORT VHC Report'!$E:$E, 'IMPORT VHC Report'!$A:$C), )</f>
        <v/>
      </c>
      <c r="C3647" s="37"/>
      <c r="D3647" s="37"/>
      <c r="E3647" s="38" t="s">
        <v>4395</v>
      </c>
      <c r="F3647" s="38" t="s">
        <v>4381</v>
      </c>
      <c r="G3647" s="38">
        <v>5.359149526287E12</v>
      </c>
      <c r="H3647" s="38" t="s">
        <v>4382</v>
      </c>
      <c r="I3647" s="38" t="s">
        <v>4383</v>
      </c>
      <c r="J3647" s="38" t="s">
        <v>132</v>
      </c>
      <c r="K3647" s="38" t="s">
        <v>126</v>
      </c>
      <c r="L3647" s="41">
        <v>46008.729166666664</v>
      </c>
      <c r="M3647" s="38" t="s">
        <v>123</v>
      </c>
      <c r="N3647" s="41">
        <v>46008.770833333336</v>
      </c>
      <c r="O3647" s="38" t="s">
        <v>123</v>
      </c>
      <c r="P3647" s="38">
        <v>3600.0</v>
      </c>
      <c r="Q3647" s="39"/>
      <c r="R3647" s="39"/>
      <c r="S3647" s="39"/>
      <c r="T3647" s="39"/>
      <c r="U3647" s="39"/>
    </row>
    <row r="3648">
      <c r="A3648" s="40">
        <f t="shared" si="1"/>
        <v>46006</v>
      </c>
      <c r="B3648" s="37" t="str">
        <f t="array" ref="B3648">iferror(xlookup($I3648, 'IMPORT VHC Report'!$E:$E, 'IMPORT VHC Report'!$A:$C), )</f>
        <v/>
      </c>
      <c r="C3648" s="37"/>
      <c r="D3648" s="37"/>
      <c r="E3648" s="38" t="s">
        <v>4396</v>
      </c>
      <c r="F3648" s="38" t="s">
        <v>4381</v>
      </c>
      <c r="G3648" s="38">
        <v>5.359149526287E12</v>
      </c>
      <c r="H3648" s="38" t="s">
        <v>4382</v>
      </c>
      <c r="I3648" s="38" t="s">
        <v>4383</v>
      </c>
      <c r="J3648" s="38" t="s">
        <v>134</v>
      </c>
      <c r="K3648" s="38" t="s">
        <v>126</v>
      </c>
      <c r="L3648" s="41">
        <v>46008.90833333333</v>
      </c>
      <c r="M3648" s="38" t="s">
        <v>123</v>
      </c>
      <c r="N3648" s="41">
        <v>46008.92916666667</v>
      </c>
      <c r="O3648" s="38" t="s">
        <v>123</v>
      </c>
      <c r="P3648" s="38">
        <v>1800.0</v>
      </c>
      <c r="Q3648" s="39"/>
      <c r="R3648" s="39"/>
      <c r="S3648" s="38" t="s">
        <v>4397</v>
      </c>
      <c r="T3648" s="39"/>
      <c r="U3648" s="39"/>
    </row>
    <row r="3649">
      <c r="A3649" s="40">
        <f t="shared" si="1"/>
        <v>46006</v>
      </c>
      <c r="B3649" s="37" t="str">
        <f t="array" ref="B3649">iferror(xlookup($I3649, 'IMPORT VHC Report'!$E:$E, 'IMPORT VHC Report'!$A:$C), )</f>
        <v/>
      </c>
      <c r="C3649" s="37"/>
      <c r="D3649" s="37"/>
      <c r="E3649" s="38" t="s">
        <v>4398</v>
      </c>
      <c r="F3649" s="38" t="s">
        <v>4381</v>
      </c>
      <c r="G3649" s="38">
        <v>5.359149526287E12</v>
      </c>
      <c r="H3649" s="38" t="s">
        <v>4382</v>
      </c>
      <c r="I3649" s="38" t="s">
        <v>4383</v>
      </c>
      <c r="J3649" s="38" t="s">
        <v>330</v>
      </c>
      <c r="K3649" s="38" t="s">
        <v>126</v>
      </c>
      <c r="L3649" s="41">
        <v>46009.583333333336</v>
      </c>
      <c r="M3649" s="38" t="s">
        <v>123</v>
      </c>
      <c r="N3649" s="41">
        <v>46009.59027777778</v>
      </c>
      <c r="O3649" s="38" t="s">
        <v>123</v>
      </c>
      <c r="P3649" s="38">
        <v>600.0</v>
      </c>
      <c r="Q3649" s="39"/>
      <c r="R3649" s="39"/>
      <c r="S3649" s="39"/>
      <c r="T3649" s="39"/>
      <c r="U3649" s="39"/>
    </row>
    <row r="3650">
      <c r="A3650" s="40">
        <f t="shared" si="1"/>
        <v>46006</v>
      </c>
      <c r="B3650" s="37" t="str">
        <f t="array" ref="B3650">iferror(xlookup($I3650, 'IMPORT VHC Report'!$E:$E, 'IMPORT VHC Report'!$A:$C), )</f>
        <v/>
      </c>
      <c r="C3650" s="37"/>
      <c r="D3650" s="37"/>
      <c r="E3650" s="38" t="s">
        <v>4399</v>
      </c>
      <c r="F3650" s="38" t="s">
        <v>4381</v>
      </c>
      <c r="G3650" s="38">
        <v>5.359149526287E12</v>
      </c>
      <c r="H3650" s="38" t="s">
        <v>4382</v>
      </c>
      <c r="I3650" s="38" t="s">
        <v>4383</v>
      </c>
      <c r="J3650" s="38" t="s">
        <v>332</v>
      </c>
      <c r="K3650" s="38" t="s">
        <v>63</v>
      </c>
      <c r="L3650" s="41">
        <v>46009.583333333336</v>
      </c>
      <c r="M3650" s="38" t="s">
        <v>123</v>
      </c>
      <c r="N3650" s="41">
        <v>46009.958333333336</v>
      </c>
      <c r="O3650" s="38" t="s">
        <v>123</v>
      </c>
      <c r="P3650" s="38">
        <v>32400.0</v>
      </c>
      <c r="Q3650" s="39"/>
      <c r="R3650" s="39"/>
      <c r="S3650" s="39"/>
      <c r="T3650" s="39"/>
      <c r="U3650" s="39"/>
    </row>
    <row r="3651">
      <c r="A3651" s="40">
        <f t="shared" si="1"/>
        <v>46006</v>
      </c>
      <c r="B3651" s="37" t="str">
        <f t="array" ref="B3651">iferror(xlookup($I3651, 'IMPORT VHC Report'!$E:$E, 'IMPORT VHC Report'!$A:$C), )</f>
        <v/>
      </c>
      <c r="C3651" s="37"/>
      <c r="D3651" s="37"/>
      <c r="E3651" s="38" t="s">
        <v>4400</v>
      </c>
      <c r="F3651" s="38" t="s">
        <v>4381</v>
      </c>
      <c r="G3651" s="38">
        <v>5.359149526287E12</v>
      </c>
      <c r="H3651" s="38" t="s">
        <v>4382</v>
      </c>
      <c r="I3651" s="38" t="s">
        <v>4383</v>
      </c>
      <c r="J3651" s="38" t="s">
        <v>125</v>
      </c>
      <c r="K3651" s="38" t="s">
        <v>126</v>
      </c>
      <c r="L3651" s="41">
        <v>46009.59583333333</v>
      </c>
      <c r="M3651" s="38" t="s">
        <v>123</v>
      </c>
      <c r="N3651" s="41">
        <v>46009.63611111111</v>
      </c>
      <c r="O3651" s="38" t="s">
        <v>123</v>
      </c>
      <c r="P3651" s="38">
        <v>3480.0</v>
      </c>
      <c r="Q3651" s="39"/>
      <c r="R3651" s="39"/>
      <c r="S3651" s="38" t="s">
        <v>4401</v>
      </c>
      <c r="T3651" s="39"/>
      <c r="U3651" s="39"/>
    </row>
    <row r="3652">
      <c r="A3652" s="40">
        <f t="shared" si="1"/>
        <v>46006</v>
      </c>
      <c r="B3652" s="37" t="str">
        <f t="array" ref="B3652">iferror(xlookup($I3652, 'IMPORT VHC Report'!$E:$E, 'IMPORT VHC Report'!$A:$C), )</f>
        <v/>
      </c>
      <c r="C3652" s="37"/>
      <c r="D3652" s="37"/>
      <c r="E3652" s="38" t="s">
        <v>4402</v>
      </c>
      <c r="F3652" s="38" t="s">
        <v>4381</v>
      </c>
      <c r="G3652" s="38">
        <v>5.359149526287E12</v>
      </c>
      <c r="H3652" s="38" t="s">
        <v>4382</v>
      </c>
      <c r="I3652" s="38" t="s">
        <v>4383</v>
      </c>
      <c r="J3652" s="38" t="s">
        <v>134</v>
      </c>
      <c r="K3652" s="38" t="s">
        <v>126</v>
      </c>
      <c r="L3652" s="41">
        <v>46009.666666666664</v>
      </c>
      <c r="M3652" s="38" t="s">
        <v>123</v>
      </c>
      <c r="N3652" s="41">
        <v>46009.6875</v>
      </c>
      <c r="O3652" s="38" t="s">
        <v>123</v>
      </c>
      <c r="P3652" s="38">
        <v>1800.0</v>
      </c>
      <c r="Q3652" s="39"/>
      <c r="R3652" s="39"/>
      <c r="S3652" s="39"/>
      <c r="T3652" s="39"/>
      <c r="U3652" s="39"/>
    </row>
    <row r="3653">
      <c r="A3653" s="40">
        <f t="shared" si="1"/>
        <v>46006</v>
      </c>
      <c r="B3653" s="37" t="str">
        <f t="array" ref="B3653">iferror(xlookup($I3653, 'IMPORT VHC Report'!$E:$E, 'IMPORT VHC Report'!$A:$C), )</f>
        <v/>
      </c>
      <c r="C3653" s="37"/>
      <c r="D3653" s="37"/>
      <c r="E3653" s="38" t="s">
        <v>4403</v>
      </c>
      <c r="F3653" s="38" t="s">
        <v>4381</v>
      </c>
      <c r="G3653" s="38">
        <v>5.359149526287E12</v>
      </c>
      <c r="H3653" s="38" t="s">
        <v>4382</v>
      </c>
      <c r="I3653" s="38" t="s">
        <v>4383</v>
      </c>
      <c r="J3653" s="38" t="s">
        <v>132</v>
      </c>
      <c r="K3653" s="38" t="s">
        <v>126</v>
      </c>
      <c r="L3653" s="41">
        <v>46009.8125</v>
      </c>
      <c r="M3653" s="38" t="s">
        <v>123</v>
      </c>
      <c r="N3653" s="41">
        <v>46009.854166666664</v>
      </c>
      <c r="O3653" s="38" t="s">
        <v>123</v>
      </c>
      <c r="P3653" s="38">
        <v>3600.0</v>
      </c>
      <c r="Q3653" s="39"/>
      <c r="R3653" s="39"/>
      <c r="S3653" s="39"/>
      <c r="T3653" s="39"/>
      <c r="U3653" s="39"/>
    </row>
    <row r="3654">
      <c r="A3654" s="40">
        <f t="shared" si="1"/>
        <v>46006</v>
      </c>
      <c r="B3654" s="37" t="str">
        <f t="array" ref="B3654">iferror(xlookup($I3654, 'IMPORT VHC Report'!$E:$E, 'IMPORT VHC Report'!$A:$C), )</f>
        <v/>
      </c>
      <c r="C3654" s="37"/>
      <c r="D3654" s="37"/>
      <c r="E3654" s="38" t="s">
        <v>4404</v>
      </c>
      <c r="F3654" s="38" t="s">
        <v>4381</v>
      </c>
      <c r="G3654" s="38">
        <v>5.359149526287E12</v>
      </c>
      <c r="H3654" s="38" t="s">
        <v>4382</v>
      </c>
      <c r="I3654" s="38" t="s">
        <v>4383</v>
      </c>
      <c r="J3654" s="38" t="s">
        <v>330</v>
      </c>
      <c r="K3654" s="38" t="s">
        <v>126</v>
      </c>
      <c r="L3654" s="41">
        <v>46010.583333333336</v>
      </c>
      <c r="M3654" s="38" t="s">
        <v>123</v>
      </c>
      <c r="N3654" s="41">
        <v>46010.59027777778</v>
      </c>
      <c r="O3654" s="38" t="s">
        <v>123</v>
      </c>
      <c r="P3654" s="38">
        <v>600.0</v>
      </c>
      <c r="Q3654" s="39"/>
      <c r="R3654" s="39"/>
      <c r="S3654" s="39"/>
      <c r="T3654" s="39"/>
      <c r="U3654" s="39"/>
    </row>
    <row r="3655">
      <c r="A3655" s="40">
        <f t="shared" si="1"/>
        <v>46006</v>
      </c>
      <c r="B3655" s="37" t="str">
        <f t="array" ref="B3655">iferror(xlookup($I3655, 'IMPORT VHC Report'!$E:$E, 'IMPORT VHC Report'!$A:$C), )</f>
        <v/>
      </c>
      <c r="C3655" s="37"/>
      <c r="D3655" s="37"/>
      <c r="E3655" s="38" t="s">
        <v>4405</v>
      </c>
      <c r="F3655" s="38" t="s">
        <v>4381</v>
      </c>
      <c r="G3655" s="38">
        <v>5.359149526287E12</v>
      </c>
      <c r="H3655" s="38" t="s">
        <v>4382</v>
      </c>
      <c r="I3655" s="38" t="s">
        <v>4383</v>
      </c>
      <c r="J3655" s="38" t="s">
        <v>332</v>
      </c>
      <c r="K3655" s="38" t="s">
        <v>63</v>
      </c>
      <c r="L3655" s="41">
        <v>46010.583333333336</v>
      </c>
      <c r="M3655" s="38" t="s">
        <v>123</v>
      </c>
      <c r="N3655" s="41">
        <v>46010.958333333336</v>
      </c>
      <c r="O3655" s="38" t="s">
        <v>123</v>
      </c>
      <c r="P3655" s="38">
        <v>32400.0</v>
      </c>
      <c r="Q3655" s="39"/>
      <c r="R3655" s="39"/>
      <c r="S3655" s="39"/>
      <c r="T3655" s="39"/>
      <c r="U3655" s="39"/>
    </row>
    <row r="3656">
      <c r="A3656" s="40">
        <f t="shared" si="1"/>
        <v>46006</v>
      </c>
      <c r="B3656" s="37" t="str">
        <f t="array" ref="B3656">iferror(xlookup($I3656, 'IMPORT VHC Report'!$E:$E, 'IMPORT VHC Report'!$A:$C), )</f>
        <v/>
      </c>
      <c r="C3656" s="37"/>
      <c r="D3656" s="37"/>
      <c r="E3656" s="38" t="s">
        <v>4406</v>
      </c>
      <c r="F3656" s="38" t="s">
        <v>4381</v>
      </c>
      <c r="G3656" s="38">
        <v>5.359149526287E12</v>
      </c>
      <c r="H3656" s="38" t="s">
        <v>4382</v>
      </c>
      <c r="I3656" s="38" t="s">
        <v>4383</v>
      </c>
      <c r="J3656" s="38" t="s">
        <v>4</v>
      </c>
      <c r="K3656" s="38" t="s">
        <v>126</v>
      </c>
      <c r="L3656" s="41">
        <v>46010.625</v>
      </c>
      <c r="M3656" s="38" t="s">
        <v>123</v>
      </c>
      <c r="N3656" s="41">
        <v>46010.666666666664</v>
      </c>
      <c r="O3656" s="38" t="s">
        <v>123</v>
      </c>
      <c r="P3656" s="38">
        <v>3600.0</v>
      </c>
      <c r="Q3656" s="39"/>
      <c r="R3656" s="39"/>
      <c r="S3656" s="38" t="s">
        <v>3696</v>
      </c>
      <c r="T3656" s="39"/>
      <c r="U3656" s="39"/>
    </row>
    <row r="3657">
      <c r="A3657" s="40">
        <f t="shared" si="1"/>
        <v>46006</v>
      </c>
      <c r="B3657" s="37" t="str">
        <f t="array" ref="B3657">iferror(xlookup($I3657, 'IMPORT VHC Report'!$E:$E, 'IMPORT VHC Report'!$A:$C), )</f>
        <v/>
      </c>
      <c r="C3657" s="37"/>
      <c r="D3657" s="37"/>
      <c r="E3657" s="38" t="s">
        <v>4407</v>
      </c>
      <c r="F3657" s="38" t="s">
        <v>4381</v>
      </c>
      <c r="G3657" s="38">
        <v>5.359149526287E12</v>
      </c>
      <c r="H3657" s="38" t="s">
        <v>4382</v>
      </c>
      <c r="I3657" s="38" t="s">
        <v>4383</v>
      </c>
      <c r="J3657" s="38" t="s">
        <v>136</v>
      </c>
      <c r="K3657" s="38" t="s">
        <v>126</v>
      </c>
      <c r="L3657" s="41">
        <v>46010.666666666664</v>
      </c>
      <c r="M3657" s="38" t="s">
        <v>123</v>
      </c>
      <c r="N3657" s="41">
        <v>46010.729166666664</v>
      </c>
      <c r="O3657" s="38" t="s">
        <v>123</v>
      </c>
      <c r="P3657" s="38">
        <v>5400.0</v>
      </c>
      <c r="Q3657" s="39"/>
      <c r="R3657" s="39"/>
      <c r="S3657" s="38" t="s">
        <v>137</v>
      </c>
      <c r="T3657" s="39"/>
      <c r="U3657" s="39"/>
    </row>
    <row r="3658">
      <c r="A3658" s="40">
        <f t="shared" si="1"/>
        <v>46006</v>
      </c>
      <c r="B3658" s="37" t="str">
        <f t="array" ref="B3658">iferror(xlookup($I3658, 'IMPORT VHC Report'!$E:$E, 'IMPORT VHC Report'!$A:$C), )</f>
        <v/>
      </c>
      <c r="C3658" s="37"/>
      <c r="D3658" s="37"/>
      <c r="E3658" s="38" t="s">
        <v>4408</v>
      </c>
      <c r="F3658" s="38" t="s">
        <v>4381</v>
      </c>
      <c r="G3658" s="38">
        <v>5.359149526287E12</v>
      </c>
      <c r="H3658" s="38" t="s">
        <v>4382</v>
      </c>
      <c r="I3658" s="38" t="s">
        <v>4383</v>
      </c>
      <c r="J3658" s="38" t="s">
        <v>134</v>
      </c>
      <c r="K3658" s="38" t="s">
        <v>126</v>
      </c>
      <c r="L3658" s="41">
        <v>46010.729166666664</v>
      </c>
      <c r="M3658" s="38" t="s">
        <v>123</v>
      </c>
      <c r="N3658" s="41">
        <v>46010.75</v>
      </c>
      <c r="O3658" s="38" t="s">
        <v>123</v>
      </c>
      <c r="P3658" s="38">
        <v>1800.0</v>
      </c>
      <c r="Q3658" s="39"/>
      <c r="R3658" s="39"/>
      <c r="S3658" s="39"/>
      <c r="T3658" s="39"/>
      <c r="U3658" s="39"/>
    </row>
    <row r="3659">
      <c r="A3659" s="40">
        <f t="shared" si="1"/>
        <v>46006</v>
      </c>
      <c r="B3659" s="37" t="str">
        <f t="array" ref="B3659">iferror(xlookup($I3659, 'IMPORT VHC Report'!$E:$E, 'IMPORT VHC Report'!$A:$C), )</f>
        <v/>
      </c>
      <c r="C3659" s="37"/>
      <c r="D3659" s="37"/>
      <c r="E3659" s="38" t="s">
        <v>4409</v>
      </c>
      <c r="F3659" s="38" t="s">
        <v>4381</v>
      </c>
      <c r="G3659" s="38">
        <v>5.359149526287E12</v>
      </c>
      <c r="H3659" s="38" t="s">
        <v>4382</v>
      </c>
      <c r="I3659" s="38" t="s">
        <v>4383</v>
      </c>
      <c r="J3659" s="38" t="s">
        <v>132</v>
      </c>
      <c r="K3659" s="38" t="s">
        <v>126</v>
      </c>
      <c r="L3659" s="41">
        <v>46010.833333333336</v>
      </c>
      <c r="M3659" s="38" t="s">
        <v>123</v>
      </c>
      <c r="N3659" s="41">
        <v>46010.875</v>
      </c>
      <c r="O3659" s="38" t="s">
        <v>123</v>
      </c>
      <c r="P3659" s="38">
        <v>3600.0</v>
      </c>
      <c r="Q3659" s="39"/>
      <c r="R3659" s="39"/>
      <c r="S3659" s="39"/>
      <c r="T3659" s="39"/>
      <c r="U3659" s="39"/>
    </row>
    <row r="3660">
      <c r="A3660" s="40">
        <f t="shared" si="1"/>
        <v>46006</v>
      </c>
      <c r="B3660" s="37" t="str">
        <f t="array" ref="B3660">iferror(xlookup($I3660, 'IMPORT VHC Report'!$E:$E, 'IMPORT VHC Report'!$A:$C), )</f>
        <v/>
      </c>
      <c r="C3660" s="37"/>
      <c r="D3660" s="37"/>
      <c r="E3660" s="38" t="s">
        <v>4410</v>
      </c>
      <c r="F3660" s="38" t="s">
        <v>4381</v>
      </c>
      <c r="G3660" s="38">
        <v>5.359149526287E12</v>
      </c>
      <c r="H3660" s="38" t="s">
        <v>4382</v>
      </c>
      <c r="I3660" s="38" t="s">
        <v>4383</v>
      </c>
      <c r="J3660" s="38" t="s">
        <v>125</v>
      </c>
      <c r="K3660" s="38" t="s">
        <v>126</v>
      </c>
      <c r="L3660" s="41">
        <v>46010.875</v>
      </c>
      <c r="M3660" s="38" t="s">
        <v>123</v>
      </c>
      <c r="N3660" s="41">
        <v>46010.881944444445</v>
      </c>
      <c r="O3660" s="38" t="s">
        <v>123</v>
      </c>
      <c r="P3660" s="38">
        <v>600.0</v>
      </c>
      <c r="Q3660" s="39"/>
      <c r="R3660" s="39"/>
      <c r="S3660" s="38" t="s">
        <v>3682</v>
      </c>
      <c r="T3660" s="39"/>
      <c r="U3660" s="39"/>
    </row>
    <row r="3661">
      <c r="A3661" s="40">
        <f t="shared" si="1"/>
        <v>46006</v>
      </c>
      <c r="B3661" s="37" t="str">
        <f t="array" ref="B3661">iferror(xlookup($I3661, 'IMPORT VHC Report'!$E:$E, 'IMPORT VHC Report'!$A:$C), )</f>
        <v/>
      </c>
      <c r="C3661" s="37"/>
      <c r="D3661" s="37"/>
      <c r="E3661" s="38" t="s">
        <v>4411</v>
      </c>
      <c r="F3661" s="38" t="s">
        <v>4412</v>
      </c>
      <c r="G3661" s="38">
        <v>3.61725261136E11</v>
      </c>
      <c r="H3661" s="38" t="s">
        <v>92</v>
      </c>
      <c r="I3661" s="38" t="s">
        <v>93</v>
      </c>
      <c r="J3661" s="38" t="s">
        <v>791</v>
      </c>
      <c r="K3661" s="38" t="s">
        <v>63</v>
      </c>
      <c r="L3661" s="41">
        <v>46006.583333333336</v>
      </c>
      <c r="M3661" s="38" t="s">
        <v>123</v>
      </c>
      <c r="N3661" s="41">
        <v>46006.958333333336</v>
      </c>
      <c r="O3661" s="38" t="s">
        <v>123</v>
      </c>
      <c r="P3661" s="38">
        <v>32400.0</v>
      </c>
      <c r="Q3661" s="39"/>
      <c r="R3661" s="39"/>
      <c r="S3661" s="39"/>
      <c r="T3661" s="39"/>
      <c r="U3661" s="39"/>
    </row>
    <row r="3662">
      <c r="A3662" s="40">
        <f t="shared" si="1"/>
        <v>46006</v>
      </c>
      <c r="B3662" s="37" t="str">
        <f t="array" ref="B3662">iferror(xlookup($I3662, 'IMPORT VHC Report'!$E:$E, 'IMPORT VHC Report'!$A:$C), )</f>
        <v/>
      </c>
      <c r="C3662" s="37"/>
      <c r="D3662" s="37"/>
      <c r="E3662" s="38" t="s">
        <v>4413</v>
      </c>
      <c r="F3662" s="38" t="s">
        <v>4412</v>
      </c>
      <c r="G3662" s="38">
        <v>3.61725261136E11</v>
      </c>
      <c r="H3662" s="38" t="s">
        <v>92</v>
      </c>
      <c r="I3662" s="38" t="s">
        <v>93</v>
      </c>
      <c r="J3662" s="38" t="s">
        <v>178</v>
      </c>
      <c r="K3662" s="38" t="s">
        <v>153</v>
      </c>
      <c r="L3662" s="41">
        <v>46006.583333333336</v>
      </c>
      <c r="M3662" s="38" t="s">
        <v>123</v>
      </c>
      <c r="N3662" s="41">
        <v>46006.958333333336</v>
      </c>
      <c r="O3662" s="38" t="s">
        <v>123</v>
      </c>
      <c r="P3662" s="38">
        <v>32400.0</v>
      </c>
      <c r="Q3662" s="38">
        <v>32400.0</v>
      </c>
      <c r="R3662" s="39"/>
      <c r="S3662" s="39"/>
      <c r="T3662" s="39"/>
      <c r="U3662" s="39"/>
    </row>
    <row r="3663">
      <c r="A3663" s="40">
        <f t="shared" si="1"/>
        <v>46006</v>
      </c>
      <c r="B3663" s="37" t="str">
        <f t="array" ref="B3663">iferror(xlookup($I3663, 'IMPORT VHC Report'!$E:$E, 'IMPORT VHC Report'!$A:$C), )</f>
        <v/>
      </c>
      <c r="C3663" s="37"/>
      <c r="D3663" s="37"/>
      <c r="E3663" s="38" t="s">
        <v>4414</v>
      </c>
      <c r="F3663" s="38" t="s">
        <v>4412</v>
      </c>
      <c r="G3663" s="38">
        <v>3.61725261136E11</v>
      </c>
      <c r="H3663" s="38" t="s">
        <v>92</v>
      </c>
      <c r="I3663" s="38" t="s">
        <v>93</v>
      </c>
      <c r="J3663" s="38" t="s">
        <v>136</v>
      </c>
      <c r="K3663" s="38" t="s">
        <v>126</v>
      </c>
      <c r="L3663" s="41">
        <v>46006.64375</v>
      </c>
      <c r="M3663" s="38" t="s">
        <v>123</v>
      </c>
      <c r="N3663" s="41">
        <v>46006.67222222222</v>
      </c>
      <c r="O3663" s="38" t="s">
        <v>123</v>
      </c>
      <c r="P3663" s="38">
        <v>2460.0</v>
      </c>
      <c r="Q3663" s="39"/>
      <c r="R3663" s="39"/>
      <c r="S3663" s="38" t="s">
        <v>4415</v>
      </c>
      <c r="T3663" s="39"/>
      <c r="U3663" s="39"/>
    </row>
    <row r="3664">
      <c r="A3664" s="40">
        <f t="shared" si="1"/>
        <v>46006</v>
      </c>
      <c r="B3664" s="37" t="str">
        <f t="array" ref="B3664">iferror(xlookup($I3664, 'IMPORT VHC Report'!$E:$E, 'IMPORT VHC Report'!$A:$C), )</f>
        <v/>
      </c>
      <c r="C3664" s="37"/>
      <c r="D3664" s="37"/>
      <c r="E3664" s="38" t="s">
        <v>4416</v>
      </c>
      <c r="F3664" s="38" t="s">
        <v>4412</v>
      </c>
      <c r="G3664" s="38">
        <v>3.61725261136E11</v>
      </c>
      <c r="H3664" s="38" t="s">
        <v>92</v>
      </c>
      <c r="I3664" s="38" t="s">
        <v>93</v>
      </c>
      <c r="J3664" s="38" t="s">
        <v>134</v>
      </c>
      <c r="K3664" s="38" t="s">
        <v>126</v>
      </c>
      <c r="L3664" s="41">
        <v>46006.875</v>
      </c>
      <c r="M3664" s="38" t="s">
        <v>123</v>
      </c>
      <c r="N3664" s="41">
        <v>46006.895833333336</v>
      </c>
      <c r="O3664" s="38" t="s">
        <v>123</v>
      </c>
      <c r="P3664" s="38">
        <v>1800.0</v>
      </c>
      <c r="Q3664" s="39"/>
      <c r="R3664" s="39"/>
      <c r="S3664" s="39"/>
      <c r="T3664" s="39"/>
      <c r="U3664" s="39"/>
    </row>
    <row r="3665">
      <c r="A3665" s="40">
        <f t="shared" si="1"/>
        <v>46006</v>
      </c>
      <c r="B3665" s="37" t="str">
        <f t="array" ref="B3665">iferror(xlookup($I3665, 'IMPORT VHC Report'!$E:$E, 'IMPORT VHC Report'!$A:$C), )</f>
        <v/>
      </c>
      <c r="C3665" s="37"/>
      <c r="D3665" s="37"/>
      <c r="E3665" s="38" t="s">
        <v>4417</v>
      </c>
      <c r="F3665" s="38" t="s">
        <v>4412</v>
      </c>
      <c r="G3665" s="38">
        <v>3.61725261136E11</v>
      </c>
      <c r="H3665" s="38" t="s">
        <v>92</v>
      </c>
      <c r="I3665" s="38" t="s">
        <v>93</v>
      </c>
      <c r="J3665" s="38" t="s">
        <v>132</v>
      </c>
      <c r="K3665" s="38" t="s">
        <v>126</v>
      </c>
      <c r="L3665" s="41">
        <v>46006.916666666664</v>
      </c>
      <c r="M3665" s="38" t="s">
        <v>123</v>
      </c>
      <c r="N3665" s="41">
        <v>46006.958333333336</v>
      </c>
      <c r="O3665" s="38" t="s">
        <v>123</v>
      </c>
      <c r="P3665" s="38">
        <v>3600.0</v>
      </c>
      <c r="Q3665" s="39"/>
      <c r="R3665" s="39"/>
      <c r="S3665" s="39"/>
      <c r="T3665" s="39"/>
      <c r="U3665" s="39"/>
    </row>
    <row r="3666">
      <c r="A3666" s="40">
        <f t="shared" si="1"/>
        <v>46006</v>
      </c>
      <c r="B3666" s="37" t="str">
        <f t="array" ref="B3666">iferror(xlookup($I3666, 'IMPORT VHC Report'!$E:$E, 'IMPORT VHC Report'!$A:$C), )</f>
        <v/>
      </c>
      <c r="C3666" s="37"/>
      <c r="D3666" s="37"/>
      <c r="E3666" s="38" t="s">
        <v>4418</v>
      </c>
      <c r="F3666" s="38" t="s">
        <v>4412</v>
      </c>
      <c r="G3666" s="38">
        <v>3.61725261136E11</v>
      </c>
      <c r="H3666" s="38" t="s">
        <v>92</v>
      </c>
      <c r="I3666" s="38" t="s">
        <v>93</v>
      </c>
      <c r="J3666" s="38" t="s">
        <v>62</v>
      </c>
      <c r="K3666" s="38" t="s">
        <v>63</v>
      </c>
      <c r="L3666" s="41">
        <v>46007.583333333336</v>
      </c>
      <c r="M3666" s="38" t="s">
        <v>123</v>
      </c>
      <c r="N3666" s="41">
        <v>46007.75</v>
      </c>
      <c r="O3666" s="38" t="s">
        <v>123</v>
      </c>
      <c r="P3666" s="38">
        <v>14400.0</v>
      </c>
      <c r="Q3666" s="39"/>
      <c r="R3666" s="39"/>
      <c r="S3666" s="39"/>
      <c r="T3666" s="39"/>
      <c r="U3666" s="39"/>
    </row>
    <row r="3667">
      <c r="A3667" s="40">
        <f t="shared" si="1"/>
        <v>46006</v>
      </c>
      <c r="B3667" s="37" t="str">
        <f t="array" ref="B3667">iferror(xlookup($I3667, 'IMPORT VHC Report'!$E:$E, 'IMPORT VHC Report'!$A:$C), )</f>
        <v/>
      </c>
      <c r="C3667" s="37"/>
      <c r="D3667" s="37"/>
      <c r="E3667" s="38" t="s">
        <v>4419</v>
      </c>
      <c r="F3667" s="38" t="s">
        <v>4412</v>
      </c>
      <c r="G3667" s="38">
        <v>3.61725261136E11</v>
      </c>
      <c r="H3667" s="38" t="s">
        <v>92</v>
      </c>
      <c r="I3667" s="38" t="s">
        <v>93</v>
      </c>
      <c r="J3667" s="38" t="s">
        <v>791</v>
      </c>
      <c r="K3667" s="38" t="s">
        <v>63</v>
      </c>
      <c r="L3667" s="41">
        <v>46007.75</v>
      </c>
      <c r="M3667" s="38" t="s">
        <v>123</v>
      </c>
      <c r="N3667" s="41">
        <v>46007.875</v>
      </c>
      <c r="O3667" s="38" t="s">
        <v>123</v>
      </c>
      <c r="P3667" s="38">
        <v>10800.0</v>
      </c>
      <c r="Q3667" s="39"/>
      <c r="R3667" s="39"/>
      <c r="S3667" s="39"/>
      <c r="T3667" s="39"/>
      <c r="U3667" s="39"/>
    </row>
    <row r="3668">
      <c r="A3668" s="40">
        <f t="shared" si="1"/>
        <v>46006</v>
      </c>
      <c r="B3668" s="37" t="str">
        <f t="array" ref="B3668">iferror(xlookup($I3668, 'IMPORT VHC Report'!$E:$E, 'IMPORT VHC Report'!$A:$C), )</f>
        <v/>
      </c>
      <c r="C3668" s="37"/>
      <c r="D3668" s="37"/>
      <c r="E3668" s="38" t="s">
        <v>4420</v>
      </c>
      <c r="F3668" s="38" t="s">
        <v>4412</v>
      </c>
      <c r="G3668" s="38">
        <v>3.61725261136E11</v>
      </c>
      <c r="H3668" s="38" t="s">
        <v>92</v>
      </c>
      <c r="I3668" s="38" t="s">
        <v>93</v>
      </c>
      <c r="J3668" s="38" t="s">
        <v>134</v>
      </c>
      <c r="K3668" s="38" t="s">
        <v>126</v>
      </c>
      <c r="L3668" s="41">
        <v>46007.875</v>
      </c>
      <c r="M3668" s="38" t="s">
        <v>123</v>
      </c>
      <c r="N3668" s="41">
        <v>46007.895833333336</v>
      </c>
      <c r="O3668" s="38" t="s">
        <v>123</v>
      </c>
      <c r="P3668" s="38">
        <v>1800.0</v>
      </c>
      <c r="Q3668" s="39"/>
      <c r="R3668" s="39"/>
      <c r="S3668" s="39"/>
      <c r="T3668" s="39"/>
      <c r="U3668" s="39"/>
    </row>
    <row r="3669">
      <c r="A3669" s="40">
        <f t="shared" si="1"/>
        <v>46006</v>
      </c>
      <c r="B3669" s="37" t="str">
        <f t="array" ref="B3669">iferror(xlookup($I3669, 'IMPORT VHC Report'!$E:$E, 'IMPORT VHC Report'!$A:$C), )</f>
        <v/>
      </c>
      <c r="C3669" s="37"/>
      <c r="D3669" s="37"/>
      <c r="E3669" s="38" t="s">
        <v>4421</v>
      </c>
      <c r="F3669" s="38" t="s">
        <v>4412</v>
      </c>
      <c r="G3669" s="38">
        <v>3.61725261136E11</v>
      </c>
      <c r="H3669" s="38" t="s">
        <v>92</v>
      </c>
      <c r="I3669" s="38" t="s">
        <v>93</v>
      </c>
      <c r="J3669" s="38" t="s">
        <v>791</v>
      </c>
      <c r="K3669" s="38" t="s">
        <v>63</v>
      </c>
      <c r="L3669" s="41">
        <v>46007.895833333336</v>
      </c>
      <c r="M3669" s="38" t="s">
        <v>123</v>
      </c>
      <c r="N3669" s="41">
        <v>46007.916666666664</v>
      </c>
      <c r="O3669" s="38" t="s">
        <v>123</v>
      </c>
      <c r="P3669" s="38">
        <v>1800.0</v>
      </c>
      <c r="Q3669" s="39"/>
      <c r="R3669" s="39"/>
      <c r="S3669" s="39"/>
      <c r="T3669" s="39"/>
      <c r="U3669" s="39"/>
    </row>
    <row r="3670">
      <c r="A3670" s="40">
        <f t="shared" si="1"/>
        <v>46006</v>
      </c>
      <c r="B3670" s="37" t="str">
        <f t="array" ref="B3670">iferror(xlookup($I3670, 'IMPORT VHC Report'!$E:$E, 'IMPORT VHC Report'!$A:$C), )</f>
        <v/>
      </c>
      <c r="C3670" s="37"/>
      <c r="D3670" s="37"/>
      <c r="E3670" s="38" t="s">
        <v>4422</v>
      </c>
      <c r="F3670" s="38" t="s">
        <v>4412</v>
      </c>
      <c r="G3670" s="38">
        <v>3.61725261136E11</v>
      </c>
      <c r="H3670" s="38" t="s">
        <v>92</v>
      </c>
      <c r="I3670" s="38" t="s">
        <v>93</v>
      </c>
      <c r="J3670" s="38" t="s">
        <v>132</v>
      </c>
      <c r="K3670" s="38" t="s">
        <v>126</v>
      </c>
      <c r="L3670" s="41">
        <v>46007.916666666664</v>
      </c>
      <c r="M3670" s="38" t="s">
        <v>123</v>
      </c>
      <c r="N3670" s="41">
        <v>46007.958333333336</v>
      </c>
      <c r="O3670" s="38" t="s">
        <v>123</v>
      </c>
      <c r="P3670" s="38">
        <v>3600.0</v>
      </c>
      <c r="Q3670" s="39"/>
      <c r="R3670" s="39"/>
      <c r="S3670" s="39"/>
      <c r="T3670" s="39"/>
      <c r="U3670" s="39"/>
    </row>
    <row r="3671">
      <c r="A3671" s="40">
        <f t="shared" si="1"/>
        <v>46006</v>
      </c>
      <c r="B3671" s="37" t="str">
        <f t="array" ref="B3671">iferror(xlookup($I3671, 'IMPORT VHC Report'!$E:$E, 'IMPORT VHC Report'!$A:$C), )</f>
        <v/>
      </c>
      <c r="C3671" s="37"/>
      <c r="D3671" s="37"/>
      <c r="E3671" s="38" t="s">
        <v>4423</v>
      </c>
      <c r="F3671" s="38" t="s">
        <v>4412</v>
      </c>
      <c r="G3671" s="38">
        <v>3.61725261136E11</v>
      </c>
      <c r="H3671" s="38" t="s">
        <v>92</v>
      </c>
      <c r="I3671" s="38" t="s">
        <v>93</v>
      </c>
      <c r="J3671" s="38" t="s">
        <v>791</v>
      </c>
      <c r="K3671" s="38" t="s">
        <v>63</v>
      </c>
      <c r="L3671" s="41">
        <v>46008.583333333336</v>
      </c>
      <c r="M3671" s="38" t="s">
        <v>123</v>
      </c>
      <c r="N3671" s="41">
        <v>46008.958333333336</v>
      </c>
      <c r="O3671" s="38" t="s">
        <v>123</v>
      </c>
      <c r="P3671" s="38">
        <v>32400.0</v>
      </c>
      <c r="Q3671" s="39"/>
      <c r="R3671" s="39"/>
      <c r="S3671" s="39"/>
      <c r="T3671" s="39"/>
      <c r="U3671" s="39"/>
    </row>
    <row r="3672">
      <c r="A3672" s="40">
        <f t="shared" si="1"/>
        <v>46006</v>
      </c>
      <c r="B3672" s="37" t="str">
        <f t="array" ref="B3672">iferror(xlookup($I3672, 'IMPORT VHC Report'!$E:$E, 'IMPORT VHC Report'!$A:$C), )</f>
        <v/>
      </c>
      <c r="C3672" s="37"/>
      <c r="D3672" s="37"/>
      <c r="E3672" s="38" t="s">
        <v>4424</v>
      </c>
      <c r="F3672" s="38" t="s">
        <v>4412</v>
      </c>
      <c r="G3672" s="38">
        <v>3.61725261136E11</v>
      </c>
      <c r="H3672" s="38" t="s">
        <v>92</v>
      </c>
      <c r="I3672" s="38" t="s">
        <v>93</v>
      </c>
      <c r="J3672" s="38" t="s">
        <v>134</v>
      </c>
      <c r="K3672" s="38" t="s">
        <v>126</v>
      </c>
      <c r="L3672" s="41">
        <v>46008.895833333336</v>
      </c>
      <c r="M3672" s="38" t="s">
        <v>123</v>
      </c>
      <c r="N3672" s="41">
        <v>46008.916666666664</v>
      </c>
      <c r="O3672" s="38" t="s">
        <v>123</v>
      </c>
      <c r="P3672" s="38">
        <v>1800.0</v>
      </c>
      <c r="Q3672" s="39"/>
      <c r="R3672" s="39"/>
      <c r="S3672" s="39"/>
      <c r="T3672" s="39"/>
      <c r="U3672" s="39"/>
    </row>
    <row r="3673">
      <c r="A3673" s="40">
        <f t="shared" si="1"/>
        <v>46006</v>
      </c>
      <c r="B3673" s="37" t="str">
        <f t="array" ref="B3673">iferror(xlookup($I3673, 'IMPORT VHC Report'!$E:$E, 'IMPORT VHC Report'!$A:$C), )</f>
        <v/>
      </c>
      <c r="C3673" s="37"/>
      <c r="D3673" s="37"/>
      <c r="E3673" s="38" t="s">
        <v>4425</v>
      </c>
      <c r="F3673" s="38" t="s">
        <v>4412</v>
      </c>
      <c r="G3673" s="38">
        <v>3.61725261136E11</v>
      </c>
      <c r="H3673" s="38" t="s">
        <v>92</v>
      </c>
      <c r="I3673" s="38" t="s">
        <v>93</v>
      </c>
      <c r="J3673" s="38" t="s">
        <v>132</v>
      </c>
      <c r="K3673" s="38" t="s">
        <v>126</v>
      </c>
      <c r="L3673" s="41">
        <v>46008.916666666664</v>
      </c>
      <c r="M3673" s="38" t="s">
        <v>123</v>
      </c>
      <c r="N3673" s="41">
        <v>46008.958333333336</v>
      </c>
      <c r="O3673" s="38" t="s">
        <v>123</v>
      </c>
      <c r="P3673" s="38">
        <v>3600.0</v>
      </c>
      <c r="Q3673" s="39"/>
      <c r="R3673" s="39"/>
      <c r="S3673" s="39"/>
      <c r="T3673" s="39"/>
      <c r="U3673" s="39"/>
    </row>
    <row r="3674">
      <c r="A3674" s="40">
        <f t="shared" si="1"/>
        <v>46006</v>
      </c>
      <c r="B3674" s="37" t="str">
        <f t="array" ref="B3674">iferror(xlookup($I3674, 'IMPORT VHC Report'!$E:$E, 'IMPORT VHC Report'!$A:$C), )</f>
        <v/>
      </c>
      <c r="C3674" s="37"/>
      <c r="D3674" s="37"/>
      <c r="E3674" s="38" t="s">
        <v>4426</v>
      </c>
      <c r="F3674" s="38" t="s">
        <v>4412</v>
      </c>
      <c r="G3674" s="38">
        <v>3.61725261136E11</v>
      </c>
      <c r="H3674" s="38" t="s">
        <v>92</v>
      </c>
      <c r="I3674" s="38" t="s">
        <v>93</v>
      </c>
      <c r="J3674" s="38" t="s">
        <v>178</v>
      </c>
      <c r="K3674" s="38" t="s">
        <v>153</v>
      </c>
      <c r="L3674" s="41">
        <v>46009.583333333336</v>
      </c>
      <c r="M3674" s="38" t="s">
        <v>123</v>
      </c>
      <c r="N3674" s="41">
        <v>46009.958333333336</v>
      </c>
      <c r="O3674" s="38" t="s">
        <v>123</v>
      </c>
      <c r="P3674" s="38">
        <v>32400.0</v>
      </c>
      <c r="Q3674" s="38">
        <v>28800.0</v>
      </c>
      <c r="R3674" s="38" t="s">
        <v>4427</v>
      </c>
      <c r="S3674" s="39"/>
      <c r="T3674" s="39"/>
      <c r="U3674" s="39"/>
    </row>
    <row r="3675">
      <c r="A3675" s="40">
        <f t="shared" si="1"/>
        <v>46006</v>
      </c>
      <c r="B3675" s="37" t="str">
        <f t="array" ref="B3675">iferror(xlookup($I3675, 'IMPORT VHC Report'!$E:$E, 'IMPORT VHC Report'!$A:$C), )</f>
        <v/>
      </c>
      <c r="C3675" s="37"/>
      <c r="D3675" s="37"/>
      <c r="E3675" s="38" t="s">
        <v>4428</v>
      </c>
      <c r="F3675" s="38" t="s">
        <v>4412</v>
      </c>
      <c r="G3675" s="38">
        <v>3.61725261136E11</v>
      </c>
      <c r="H3675" s="38" t="s">
        <v>92</v>
      </c>
      <c r="I3675" s="38" t="s">
        <v>93</v>
      </c>
      <c r="J3675" s="38" t="s">
        <v>791</v>
      </c>
      <c r="K3675" s="38" t="s">
        <v>63</v>
      </c>
      <c r="L3675" s="41">
        <v>46009.583333333336</v>
      </c>
      <c r="M3675" s="38" t="s">
        <v>123</v>
      </c>
      <c r="N3675" s="41">
        <v>46009.958333333336</v>
      </c>
      <c r="O3675" s="38" t="s">
        <v>123</v>
      </c>
      <c r="P3675" s="38">
        <v>32400.0</v>
      </c>
      <c r="Q3675" s="39"/>
      <c r="R3675" s="39"/>
      <c r="S3675" s="39"/>
      <c r="T3675" s="39"/>
      <c r="U3675" s="39"/>
    </row>
    <row r="3676">
      <c r="A3676" s="40">
        <f t="shared" si="1"/>
        <v>46006</v>
      </c>
      <c r="B3676" s="37" t="str">
        <f t="array" ref="B3676">iferror(xlookup($I3676, 'IMPORT VHC Report'!$E:$E, 'IMPORT VHC Report'!$A:$C), )</f>
        <v/>
      </c>
      <c r="C3676" s="37"/>
      <c r="D3676" s="37"/>
      <c r="E3676" s="38" t="s">
        <v>4429</v>
      </c>
      <c r="F3676" s="38" t="s">
        <v>4412</v>
      </c>
      <c r="G3676" s="38">
        <v>3.61725261136E11</v>
      </c>
      <c r="H3676" s="38" t="s">
        <v>92</v>
      </c>
      <c r="I3676" s="38" t="s">
        <v>93</v>
      </c>
      <c r="J3676" s="38" t="s">
        <v>134</v>
      </c>
      <c r="K3676" s="38" t="s">
        <v>126</v>
      </c>
      <c r="L3676" s="41">
        <v>46009.895833333336</v>
      </c>
      <c r="M3676" s="38" t="s">
        <v>123</v>
      </c>
      <c r="N3676" s="41">
        <v>46009.916666666664</v>
      </c>
      <c r="O3676" s="38" t="s">
        <v>123</v>
      </c>
      <c r="P3676" s="38">
        <v>1800.0</v>
      </c>
      <c r="Q3676" s="39"/>
      <c r="R3676" s="39"/>
      <c r="S3676" s="39"/>
      <c r="T3676" s="39"/>
      <c r="U3676" s="39"/>
    </row>
    <row r="3677">
      <c r="A3677" s="40">
        <f t="shared" si="1"/>
        <v>46006</v>
      </c>
      <c r="B3677" s="37" t="str">
        <f t="array" ref="B3677">iferror(xlookup($I3677, 'IMPORT VHC Report'!$E:$E, 'IMPORT VHC Report'!$A:$C), )</f>
        <v/>
      </c>
      <c r="C3677" s="37"/>
      <c r="D3677" s="37"/>
      <c r="E3677" s="38" t="s">
        <v>4430</v>
      </c>
      <c r="F3677" s="38" t="s">
        <v>4412</v>
      </c>
      <c r="G3677" s="38">
        <v>3.61725261136E11</v>
      </c>
      <c r="H3677" s="38" t="s">
        <v>92</v>
      </c>
      <c r="I3677" s="38" t="s">
        <v>93</v>
      </c>
      <c r="J3677" s="38" t="s">
        <v>132</v>
      </c>
      <c r="K3677" s="38" t="s">
        <v>126</v>
      </c>
      <c r="L3677" s="41">
        <v>46009.916666666664</v>
      </c>
      <c r="M3677" s="38" t="s">
        <v>123</v>
      </c>
      <c r="N3677" s="41">
        <v>46009.958333333336</v>
      </c>
      <c r="O3677" s="38" t="s">
        <v>123</v>
      </c>
      <c r="P3677" s="38">
        <v>3600.0</v>
      </c>
      <c r="Q3677" s="39"/>
      <c r="R3677" s="39"/>
      <c r="S3677" s="39"/>
      <c r="T3677" s="39"/>
      <c r="U3677" s="39"/>
    </row>
    <row r="3678">
      <c r="A3678" s="40">
        <f t="shared" si="1"/>
        <v>46006</v>
      </c>
      <c r="B3678" s="37" t="str">
        <f t="array" ref="B3678">iferror(xlookup($I3678, 'IMPORT VHC Report'!$E:$E, 'IMPORT VHC Report'!$A:$C), )</f>
        <v/>
      </c>
      <c r="C3678" s="37"/>
      <c r="D3678" s="37"/>
      <c r="E3678" s="38" t="s">
        <v>4431</v>
      </c>
      <c r="F3678" s="38" t="s">
        <v>4412</v>
      </c>
      <c r="G3678" s="38">
        <v>3.61725261136E11</v>
      </c>
      <c r="H3678" s="38" t="s">
        <v>92</v>
      </c>
      <c r="I3678" s="38" t="s">
        <v>93</v>
      </c>
      <c r="J3678" s="38" t="s">
        <v>791</v>
      </c>
      <c r="K3678" s="38" t="s">
        <v>63</v>
      </c>
      <c r="L3678" s="41">
        <v>46012.583333333336</v>
      </c>
      <c r="M3678" s="38" t="s">
        <v>123</v>
      </c>
      <c r="N3678" s="41">
        <v>46012.958333333336</v>
      </c>
      <c r="O3678" s="38" t="s">
        <v>123</v>
      </c>
      <c r="P3678" s="38">
        <v>32400.0</v>
      </c>
      <c r="Q3678" s="39"/>
      <c r="R3678" s="39"/>
      <c r="S3678" s="39"/>
      <c r="T3678" s="39"/>
      <c r="U3678" s="39"/>
    </row>
    <row r="3679">
      <c r="A3679" s="40">
        <f t="shared" si="1"/>
        <v>46006</v>
      </c>
      <c r="B3679" s="37" t="str">
        <f t="array" ref="B3679">iferror(xlookup($I3679, 'IMPORT VHC Report'!$E:$E, 'IMPORT VHC Report'!$A:$C), )</f>
        <v/>
      </c>
      <c r="C3679" s="37"/>
      <c r="D3679" s="37"/>
      <c r="E3679" s="38" t="s">
        <v>4432</v>
      </c>
      <c r="F3679" s="38" t="s">
        <v>4412</v>
      </c>
      <c r="G3679" s="38">
        <v>3.61725261136E11</v>
      </c>
      <c r="H3679" s="38" t="s">
        <v>92</v>
      </c>
      <c r="I3679" s="38" t="s">
        <v>93</v>
      </c>
      <c r="J3679" s="38" t="s">
        <v>134</v>
      </c>
      <c r="K3679" s="38" t="s">
        <v>126</v>
      </c>
      <c r="L3679" s="41">
        <v>46012.895833333336</v>
      </c>
      <c r="M3679" s="38" t="s">
        <v>123</v>
      </c>
      <c r="N3679" s="41">
        <v>46012.916666666664</v>
      </c>
      <c r="O3679" s="38" t="s">
        <v>123</v>
      </c>
      <c r="P3679" s="38">
        <v>1800.0</v>
      </c>
      <c r="Q3679" s="39"/>
      <c r="R3679" s="39"/>
      <c r="S3679" s="39"/>
      <c r="T3679" s="39"/>
      <c r="U3679" s="39"/>
    </row>
    <row r="3680">
      <c r="A3680" s="40">
        <f t="shared" si="1"/>
        <v>46006</v>
      </c>
      <c r="B3680" s="37" t="str">
        <f t="array" ref="B3680">iferror(xlookup($I3680, 'IMPORT VHC Report'!$E:$E, 'IMPORT VHC Report'!$A:$C), )</f>
        <v/>
      </c>
      <c r="C3680" s="37"/>
      <c r="D3680" s="37"/>
      <c r="E3680" s="38" t="s">
        <v>4433</v>
      </c>
      <c r="F3680" s="38" t="s">
        <v>4412</v>
      </c>
      <c r="G3680" s="38">
        <v>3.61725261136E11</v>
      </c>
      <c r="H3680" s="38" t="s">
        <v>92</v>
      </c>
      <c r="I3680" s="38" t="s">
        <v>93</v>
      </c>
      <c r="J3680" s="38" t="s">
        <v>132</v>
      </c>
      <c r="K3680" s="38" t="s">
        <v>126</v>
      </c>
      <c r="L3680" s="41">
        <v>46012.916666666664</v>
      </c>
      <c r="M3680" s="38" t="s">
        <v>123</v>
      </c>
      <c r="N3680" s="41">
        <v>46012.958333333336</v>
      </c>
      <c r="O3680" s="38" t="s">
        <v>123</v>
      </c>
      <c r="P3680" s="38">
        <v>3600.0</v>
      </c>
      <c r="Q3680" s="39"/>
      <c r="R3680" s="39"/>
      <c r="S3680" s="39"/>
      <c r="T3680" s="39"/>
      <c r="U3680" s="39"/>
    </row>
    <row r="3681">
      <c r="A3681" s="40">
        <f t="shared" si="1"/>
        <v>46006</v>
      </c>
      <c r="B3681" s="37" t="str">
        <f t="array" ref="B3681">iferror(xlookup($I3681, 'IMPORT VHC Report'!$E:$E, 'IMPORT VHC Report'!$A:$C), )</f>
        <v/>
      </c>
      <c r="C3681" s="37"/>
      <c r="D3681" s="37"/>
      <c r="E3681" s="38" t="s">
        <v>4434</v>
      </c>
      <c r="F3681" s="38" t="s">
        <v>4435</v>
      </c>
      <c r="G3681" s="38">
        <v>3.61750058635E11</v>
      </c>
      <c r="H3681" s="38" t="s">
        <v>4436</v>
      </c>
      <c r="I3681" s="38" t="s">
        <v>4437</v>
      </c>
      <c r="J3681" s="38" t="s">
        <v>330</v>
      </c>
      <c r="K3681" s="38" t="s">
        <v>126</v>
      </c>
      <c r="L3681" s="41">
        <v>46006.583333333336</v>
      </c>
      <c r="M3681" s="38" t="s">
        <v>123</v>
      </c>
      <c r="N3681" s="41">
        <v>46006.59027777778</v>
      </c>
      <c r="O3681" s="38" t="s">
        <v>123</v>
      </c>
      <c r="P3681" s="38">
        <v>600.0</v>
      </c>
      <c r="Q3681" s="39"/>
      <c r="R3681" s="39"/>
      <c r="S3681" s="39"/>
      <c r="T3681" s="39"/>
      <c r="U3681" s="39"/>
    </row>
    <row r="3682">
      <c r="A3682" s="40">
        <f t="shared" si="1"/>
        <v>46006</v>
      </c>
      <c r="B3682" s="37" t="str">
        <f t="array" ref="B3682">iferror(xlookup($I3682, 'IMPORT VHC Report'!$E:$E, 'IMPORT VHC Report'!$A:$C), )</f>
        <v/>
      </c>
      <c r="C3682" s="37"/>
      <c r="D3682" s="37"/>
      <c r="E3682" s="38" t="s">
        <v>4438</v>
      </c>
      <c r="F3682" s="38" t="s">
        <v>4435</v>
      </c>
      <c r="G3682" s="38">
        <v>3.61750058635E11</v>
      </c>
      <c r="H3682" s="38" t="s">
        <v>4436</v>
      </c>
      <c r="I3682" s="38" t="s">
        <v>4437</v>
      </c>
      <c r="J3682" s="38" t="s">
        <v>178</v>
      </c>
      <c r="K3682" s="38" t="s">
        <v>153</v>
      </c>
      <c r="L3682" s="41">
        <v>46006.583333333336</v>
      </c>
      <c r="M3682" s="38" t="s">
        <v>123</v>
      </c>
      <c r="N3682" s="41">
        <v>46006.958333333336</v>
      </c>
      <c r="O3682" s="38" t="s">
        <v>123</v>
      </c>
      <c r="P3682" s="38">
        <v>32400.0</v>
      </c>
      <c r="Q3682" s="38">
        <v>32400.0</v>
      </c>
      <c r="R3682" s="39"/>
      <c r="S3682" s="39"/>
      <c r="T3682" s="39"/>
      <c r="U3682" s="39"/>
    </row>
    <row r="3683">
      <c r="A3683" s="40">
        <f t="shared" si="1"/>
        <v>46006</v>
      </c>
      <c r="B3683" s="37" t="str">
        <f t="array" ref="B3683">iferror(xlookup($I3683, 'IMPORT VHC Report'!$E:$E, 'IMPORT VHC Report'!$A:$C), )</f>
        <v/>
      </c>
      <c r="C3683" s="37"/>
      <c r="D3683" s="37"/>
      <c r="E3683" s="38" t="s">
        <v>4439</v>
      </c>
      <c r="F3683" s="38" t="s">
        <v>4435</v>
      </c>
      <c r="G3683" s="38">
        <v>3.61750058635E11</v>
      </c>
      <c r="H3683" s="38" t="s">
        <v>4436</v>
      </c>
      <c r="I3683" s="38" t="s">
        <v>4437</v>
      </c>
      <c r="J3683" s="38" t="s">
        <v>332</v>
      </c>
      <c r="K3683" s="38" t="s">
        <v>63</v>
      </c>
      <c r="L3683" s="41">
        <v>46006.583333333336</v>
      </c>
      <c r="M3683" s="38" t="s">
        <v>123</v>
      </c>
      <c r="N3683" s="41">
        <v>46006.958333333336</v>
      </c>
      <c r="O3683" s="38" t="s">
        <v>123</v>
      </c>
      <c r="P3683" s="38">
        <v>32400.0</v>
      </c>
      <c r="Q3683" s="39"/>
      <c r="R3683" s="39"/>
      <c r="S3683" s="39"/>
      <c r="T3683" s="39"/>
      <c r="U3683" s="39"/>
    </row>
    <row r="3684">
      <c r="A3684" s="40">
        <f t="shared" si="1"/>
        <v>46006</v>
      </c>
      <c r="B3684" s="37" t="str">
        <f t="array" ref="B3684">iferror(xlookup($I3684, 'IMPORT VHC Report'!$E:$E, 'IMPORT VHC Report'!$A:$C), )</f>
        <v/>
      </c>
      <c r="C3684" s="37"/>
      <c r="D3684" s="37"/>
      <c r="E3684" s="38" t="s">
        <v>4440</v>
      </c>
      <c r="F3684" s="38" t="s">
        <v>4435</v>
      </c>
      <c r="G3684" s="38">
        <v>3.61750058635E11</v>
      </c>
      <c r="H3684" s="38" t="s">
        <v>4436</v>
      </c>
      <c r="I3684" s="38" t="s">
        <v>4437</v>
      </c>
      <c r="J3684" s="38" t="s">
        <v>132</v>
      </c>
      <c r="K3684" s="38" t="s">
        <v>126</v>
      </c>
      <c r="L3684" s="41">
        <v>46006.729166666664</v>
      </c>
      <c r="M3684" s="38" t="s">
        <v>123</v>
      </c>
      <c r="N3684" s="41">
        <v>46006.770833333336</v>
      </c>
      <c r="O3684" s="38" t="s">
        <v>123</v>
      </c>
      <c r="P3684" s="38">
        <v>3600.0</v>
      </c>
      <c r="Q3684" s="39"/>
      <c r="R3684" s="39"/>
      <c r="S3684" s="39"/>
      <c r="T3684" s="39"/>
      <c r="U3684" s="39"/>
    </row>
    <row r="3685">
      <c r="A3685" s="40">
        <f t="shared" si="1"/>
        <v>46006</v>
      </c>
      <c r="B3685" s="37" t="str">
        <f t="array" ref="B3685">iferror(xlookup($I3685, 'IMPORT VHC Report'!$E:$E, 'IMPORT VHC Report'!$A:$C), )</f>
        <v/>
      </c>
      <c r="C3685" s="37"/>
      <c r="D3685" s="37"/>
      <c r="E3685" s="38" t="s">
        <v>4441</v>
      </c>
      <c r="F3685" s="38" t="s">
        <v>4435</v>
      </c>
      <c r="G3685" s="38">
        <v>3.61750058635E11</v>
      </c>
      <c r="H3685" s="38" t="s">
        <v>4436</v>
      </c>
      <c r="I3685" s="38" t="s">
        <v>4437</v>
      </c>
      <c r="J3685" s="38" t="s">
        <v>134</v>
      </c>
      <c r="K3685" s="38" t="s">
        <v>126</v>
      </c>
      <c r="L3685" s="41">
        <v>46006.854166666664</v>
      </c>
      <c r="M3685" s="38" t="s">
        <v>123</v>
      </c>
      <c r="N3685" s="41">
        <v>46006.875</v>
      </c>
      <c r="O3685" s="38" t="s">
        <v>123</v>
      </c>
      <c r="P3685" s="38">
        <v>1800.0</v>
      </c>
      <c r="Q3685" s="39"/>
      <c r="R3685" s="39"/>
      <c r="S3685" s="39"/>
      <c r="T3685" s="39"/>
      <c r="U3685" s="39"/>
    </row>
    <row r="3686">
      <c r="A3686" s="40">
        <f t="shared" si="1"/>
        <v>46006</v>
      </c>
      <c r="B3686" s="37" t="str">
        <f t="array" ref="B3686">iferror(xlookup($I3686, 'IMPORT VHC Report'!$E:$E, 'IMPORT VHC Report'!$A:$C), )</f>
        <v/>
      </c>
      <c r="C3686" s="37"/>
      <c r="D3686" s="37"/>
      <c r="E3686" s="38" t="s">
        <v>4442</v>
      </c>
      <c r="F3686" s="38" t="s">
        <v>4435</v>
      </c>
      <c r="G3686" s="38">
        <v>3.61750058635E11</v>
      </c>
      <c r="H3686" s="38" t="s">
        <v>4436</v>
      </c>
      <c r="I3686" s="38" t="s">
        <v>4437</v>
      </c>
      <c r="J3686" s="38" t="s">
        <v>330</v>
      </c>
      <c r="K3686" s="38" t="s">
        <v>126</v>
      </c>
      <c r="L3686" s="41">
        <v>46007.583333333336</v>
      </c>
      <c r="M3686" s="38" t="s">
        <v>123</v>
      </c>
      <c r="N3686" s="41">
        <v>46007.59027777778</v>
      </c>
      <c r="O3686" s="38" t="s">
        <v>123</v>
      </c>
      <c r="P3686" s="38">
        <v>600.0</v>
      </c>
      <c r="Q3686" s="39"/>
      <c r="R3686" s="39"/>
      <c r="S3686" s="39"/>
      <c r="T3686" s="39"/>
      <c r="U3686" s="39"/>
    </row>
    <row r="3687">
      <c r="A3687" s="40">
        <f t="shared" si="1"/>
        <v>46006</v>
      </c>
      <c r="B3687" s="37" t="str">
        <f t="array" ref="B3687">iferror(xlookup($I3687, 'IMPORT VHC Report'!$E:$E, 'IMPORT VHC Report'!$A:$C), )</f>
        <v/>
      </c>
      <c r="C3687" s="37"/>
      <c r="D3687" s="37"/>
      <c r="E3687" s="38" t="s">
        <v>4443</v>
      </c>
      <c r="F3687" s="38" t="s">
        <v>4435</v>
      </c>
      <c r="G3687" s="38">
        <v>3.61750058635E11</v>
      </c>
      <c r="H3687" s="38" t="s">
        <v>4436</v>
      </c>
      <c r="I3687" s="38" t="s">
        <v>4437</v>
      </c>
      <c r="J3687" s="38" t="s">
        <v>332</v>
      </c>
      <c r="K3687" s="38" t="s">
        <v>63</v>
      </c>
      <c r="L3687" s="41">
        <v>46007.583333333336</v>
      </c>
      <c r="M3687" s="38" t="s">
        <v>123</v>
      </c>
      <c r="N3687" s="41">
        <v>46007.958333333336</v>
      </c>
      <c r="O3687" s="38" t="s">
        <v>123</v>
      </c>
      <c r="P3687" s="38">
        <v>32400.0</v>
      </c>
      <c r="Q3687" s="39"/>
      <c r="R3687" s="39"/>
      <c r="S3687" s="39"/>
      <c r="T3687" s="39"/>
      <c r="U3687" s="39"/>
    </row>
    <row r="3688">
      <c r="A3688" s="40">
        <f t="shared" si="1"/>
        <v>46006</v>
      </c>
      <c r="B3688" s="37" t="str">
        <f t="array" ref="B3688">iferror(xlookup($I3688, 'IMPORT VHC Report'!$E:$E, 'IMPORT VHC Report'!$A:$C), )</f>
        <v/>
      </c>
      <c r="C3688" s="37"/>
      <c r="D3688" s="37"/>
      <c r="E3688" s="38" t="s">
        <v>4444</v>
      </c>
      <c r="F3688" s="38" t="s">
        <v>4435</v>
      </c>
      <c r="G3688" s="38">
        <v>3.61750058635E11</v>
      </c>
      <c r="H3688" s="38" t="s">
        <v>4436</v>
      </c>
      <c r="I3688" s="38" t="s">
        <v>4437</v>
      </c>
      <c r="J3688" s="38" t="s">
        <v>132</v>
      </c>
      <c r="K3688" s="38" t="s">
        <v>126</v>
      </c>
      <c r="L3688" s="41">
        <v>46007.65625</v>
      </c>
      <c r="M3688" s="38" t="s">
        <v>123</v>
      </c>
      <c r="N3688" s="41">
        <v>46007.697916666664</v>
      </c>
      <c r="O3688" s="38" t="s">
        <v>123</v>
      </c>
      <c r="P3688" s="38">
        <v>3600.0</v>
      </c>
      <c r="Q3688" s="39"/>
      <c r="R3688" s="39"/>
      <c r="S3688" s="39"/>
      <c r="T3688" s="39"/>
      <c r="U3688" s="39"/>
    </row>
    <row r="3689">
      <c r="A3689" s="40">
        <f t="shared" si="1"/>
        <v>46006</v>
      </c>
      <c r="B3689" s="37" t="str">
        <f t="array" ref="B3689">iferror(xlookup($I3689, 'IMPORT VHC Report'!$E:$E, 'IMPORT VHC Report'!$A:$C), )</f>
        <v/>
      </c>
      <c r="C3689" s="37"/>
      <c r="D3689" s="37"/>
      <c r="E3689" s="38" t="s">
        <v>4445</v>
      </c>
      <c r="F3689" s="38" t="s">
        <v>4435</v>
      </c>
      <c r="G3689" s="38">
        <v>3.61750058635E11</v>
      </c>
      <c r="H3689" s="38" t="s">
        <v>4436</v>
      </c>
      <c r="I3689" s="38" t="s">
        <v>4437</v>
      </c>
      <c r="J3689" s="38" t="s">
        <v>134</v>
      </c>
      <c r="K3689" s="38" t="s">
        <v>126</v>
      </c>
      <c r="L3689" s="41">
        <v>46007.885416666664</v>
      </c>
      <c r="M3689" s="38" t="s">
        <v>123</v>
      </c>
      <c r="N3689" s="41">
        <v>46007.90625</v>
      </c>
      <c r="O3689" s="38" t="s">
        <v>123</v>
      </c>
      <c r="P3689" s="38">
        <v>1800.0</v>
      </c>
      <c r="Q3689" s="39"/>
      <c r="R3689" s="39"/>
      <c r="S3689" s="39"/>
      <c r="T3689" s="39"/>
      <c r="U3689" s="39"/>
    </row>
    <row r="3690">
      <c r="A3690" s="40">
        <f t="shared" si="1"/>
        <v>46006</v>
      </c>
      <c r="B3690" s="37" t="str">
        <f t="array" ref="B3690">iferror(xlookup($I3690, 'IMPORT VHC Report'!$E:$E, 'IMPORT VHC Report'!$A:$C), )</f>
        <v/>
      </c>
      <c r="C3690" s="37"/>
      <c r="D3690" s="37"/>
      <c r="E3690" s="38" t="s">
        <v>4446</v>
      </c>
      <c r="F3690" s="38" t="s">
        <v>4435</v>
      </c>
      <c r="G3690" s="38">
        <v>3.61750058635E11</v>
      </c>
      <c r="H3690" s="38" t="s">
        <v>4436</v>
      </c>
      <c r="I3690" s="38" t="s">
        <v>4437</v>
      </c>
      <c r="J3690" s="38" t="s">
        <v>330</v>
      </c>
      <c r="K3690" s="38" t="s">
        <v>126</v>
      </c>
      <c r="L3690" s="41">
        <v>46008.583333333336</v>
      </c>
      <c r="M3690" s="38" t="s">
        <v>123</v>
      </c>
      <c r="N3690" s="41">
        <v>46008.59027777778</v>
      </c>
      <c r="O3690" s="38" t="s">
        <v>123</v>
      </c>
      <c r="P3690" s="38">
        <v>600.0</v>
      </c>
      <c r="Q3690" s="39"/>
      <c r="R3690" s="39"/>
      <c r="S3690" s="39"/>
      <c r="T3690" s="39"/>
      <c r="U3690" s="39"/>
    </row>
    <row r="3691">
      <c r="A3691" s="40">
        <f t="shared" si="1"/>
        <v>46006</v>
      </c>
      <c r="B3691" s="37" t="str">
        <f t="array" ref="B3691">iferror(xlookup($I3691, 'IMPORT VHC Report'!$E:$E, 'IMPORT VHC Report'!$A:$C), )</f>
        <v/>
      </c>
      <c r="C3691" s="37"/>
      <c r="D3691" s="37"/>
      <c r="E3691" s="38" t="s">
        <v>4447</v>
      </c>
      <c r="F3691" s="38" t="s">
        <v>4435</v>
      </c>
      <c r="G3691" s="38">
        <v>3.61750058635E11</v>
      </c>
      <c r="H3691" s="38" t="s">
        <v>4436</v>
      </c>
      <c r="I3691" s="38" t="s">
        <v>4437</v>
      </c>
      <c r="J3691" s="38" t="s">
        <v>332</v>
      </c>
      <c r="K3691" s="38" t="s">
        <v>63</v>
      </c>
      <c r="L3691" s="41">
        <v>46008.583333333336</v>
      </c>
      <c r="M3691" s="38" t="s">
        <v>123</v>
      </c>
      <c r="N3691" s="41">
        <v>46008.958333333336</v>
      </c>
      <c r="O3691" s="38" t="s">
        <v>123</v>
      </c>
      <c r="P3691" s="38">
        <v>32400.0</v>
      </c>
      <c r="Q3691" s="39"/>
      <c r="R3691" s="39"/>
      <c r="S3691" s="39"/>
      <c r="T3691" s="39"/>
      <c r="U3691" s="39"/>
    </row>
    <row r="3692">
      <c r="A3692" s="40">
        <f t="shared" si="1"/>
        <v>46006</v>
      </c>
      <c r="B3692" s="37" t="str">
        <f t="array" ref="B3692">iferror(xlookup($I3692, 'IMPORT VHC Report'!$E:$E, 'IMPORT VHC Report'!$A:$C), )</f>
        <v/>
      </c>
      <c r="C3692" s="37"/>
      <c r="D3692" s="37"/>
      <c r="E3692" s="38" t="s">
        <v>4448</v>
      </c>
      <c r="F3692" s="38" t="s">
        <v>4435</v>
      </c>
      <c r="G3692" s="38">
        <v>3.61750058635E11</v>
      </c>
      <c r="H3692" s="38" t="s">
        <v>4436</v>
      </c>
      <c r="I3692" s="38" t="s">
        <v>4437</v>
      </c>
      <c r="J3692" s="38" t="s">
        <v>125</v>
      </c>
      <c r="K3692" s="38" t="s">
        <v>126</v>
      </c>
      <c r="L3692" s="41">
        <v>46008.6</v>
      </c>
      <c r="M3692" s="38" t="s">
        <v>123</v>
      </c>
      <c r="N3692" s="41">
        <v>46008.60486111111</v>
      </c>
      <c r="O3692" s="38" t="s">
        <v>123</v>
      </c>
      <c r="P3692" s="38">
        <v>420.0</v>
      </c>
      <c r="Q3692" s="39"/>
      <c r="R3692" s="39"/>
      <c r="S3692" s="38" t="s">
        <v>4449</v>
      </c>
      <c r="T3692" s="39"/>
      <c r="U3692" s="39"/>
    </row>
    <row r="3693">
      <c r="A3693" s="40">
        <f t="shared" si="1"/>
        <v>46006</v>
      </c>
      <c r="B3693" s="37" t="str">
        <f t="array" ref="B3693">iferror(xlookup($I3693, 'IMPORT VHC Report'!$E:$E, 'IMPORT VHC Report'!$A:$C), )</f>
        <v/>
      </c>
      <c r="C3693" s="37"/>
      <c r="D3693" s="37"/>
      <c r="E3693" s="38" t="s">
        <v>4450</v>
      </c>
      <c r="F3693" s="38" t="s">
        <v>4435</v>
      </c>
      <c r="G3693" s="38">
        <v>3.61750058635E11</v>
      </c>
      <c r="H3693" s="38" t="s">
        <v>4436</v>
      </c>
      <c r="I3693" s="38" t="s">
        <v>4437</v>
      </c>
      <c r="J3693" s="38" t="s">
        <v>134</v>
      </c>
      <c r="K3693" s="38" t="s">
        <v>126</v>
      </c>
      <c r="L3693" s="41">
        <v>46008.691666666666</v>
      </c>
      <c r="M3693" s="38" t="s">
        <v>123</v>
      </c>
      <c r="N3693" s="41">
        <v>46008.70208333333</v>
      </c>
      <c r="O3693" s="38" t="s">
        <v>123</v>
      </c>
      <c r="P3693" s="38">
        <v>900.0</v>
      </c>
      <c r="Q3693" s="39"/>
      <c r="R3693" s="39"/>
      <c r="S3693" s="38" t="s">
        <v>4451</v>
      </c>
      <c r="T3693" s="39"/>
      <c r="U3693" s="39"/>
    </row>
    <row r="3694">
      <c r="A3694" s="40">
        <f t="shared" si="1"/>
        <v>46006</v>
      </c>
      <c r="B3694" s="37" t="str">
        <f t="array" ref="B3694">iferror(xlookup($I3694, 'IMPORT VHC Report'!$E:$E, 'IMPORT VHC Report'!$A:$C), )</f>
        <v/>
      </c>
      <c r="C3694" s="37"/>
      <c r="D3694" s="37"/>
      <c r="E3694" s="38" t="s">
        <v>4452</v>
      </c>
      <c r="F3694" s="38" t="s">
        <v>4435</v>
      </c>
      <c r="G3694" s="38">
        <v>3.61750058635E11</v>
      </c>
      <c r="H3694" s="38" t="s">
        <v>4436</v>
      </c>
      <c r="I3694" s="38" t="s">
        <v>4437</v>
      </c>
      <c r="J3694" s="38" t="s">
        <v>4</v>
      </c>
      <c r="K3694" s="38" t="s">
        <v>126</v>
      </c>
      <c r="L3694" s="41">
        <v>46008.70208333333</v>
      </c>
      <c r="M3694" s="38" t="s">
        <v>123</v>
      </c>
      <c r="N3694" s="41">
        <v>46008.74375</v>
      </c>
      <c r="O3694" s="38" t="s">
        <v>123</v>
      </c>
      <c r="P3694" s="38">
        <v>3600.0</v>
      </c>
      <c r="Q3694" s="39"/>
      <c r="R3694" s="39"/>
      <c r="S3694" s="38" t="s">
        <v>130</v>
      </c>
      <c r="T3694" s="39"/>
      <c r="U3694" s="39"/>
    </row>
    <row r="3695">
      <c r="A3695" s="40">
        <f t="shared" si="1"/>
        <v>46006</v>
      </c>
      <c r="B3695" s="37" t="str">
        <f t="array" ref="B3695">iferror(xlookup($I3695, 'IMPORT VHC Report'!$E:$E, 'IMPORT VHC Report'!$A:$C), )</f>
        <v/>
      </c>
      <c r="C3695" s="37"/>
      <c r="D3695" s="37"/>
      <c r="E3695" s="38" t="s">
        <v>4453</v>
      </c>
      <c r="F3695" s="38" t="s">
        <v>4435</v>
      </c>
      <c r="G3695" s="38">
        <v>3.61750058635E11</v>
      </c>
      <c r="H3695" s="38" t="s">
        <v>4436</v>
      </c>
      <c r="I3695" s="38" t="s">
        <v>4437</v>
      </c>
      <c r="J3695" s="38" t="s">
        <v>132</v>
      </c>
      <c r="K3695" s="38" t="s">
        <v>126</v>
      </c>
      <c r="L3695" s="41">
        <v>46008.75</v>
      </c>
      <c r="M3695" s="38" t="s">
        <v>123</v>
      </c>
      <c r="N3695" s="41">
        <v>46008.791666666664</v>
      </c>
      <c r="O3695" s="38" t="s">
        <v>123</v>
      </c>
      <c r="P3695" s="38">
        <v>3600.0</v>
      </c>
      <c r="Q3695" s="39"/>
      <c r="R3695" s="39"/>
      <c r="S3695" s="39"/>
      <c r="T3695" s="39"/>
      <c r="U3695" s="39"/>
    </row>
    <row r="3696">
      <c r="A3696" s="40">
        <f t="shared" si="1"/>
        <v>46006</v>
      </c>
      <c r="B3696" s="37" t="str">
        <f t="array" ref="B3696">iferror(xlookup($I3696, 'IMPORT VHC Report'!$E:$E, 'IMPORT VHC Report'!$A:$C), )</f>
        <v/>
      </c>
      <c r="C3696" s="37"/>
      <c r="D3696" s="37"/>
      <c r="E3696" s="38" t="s">
        <v>4454</v>
      </c>
      <c r="F3696" s="38" t="s">
        <v>4435</v>
      </c>
      <c r="G3696" s="38">
        <v>3.61750058635E11</v>
      </c>
      <c r="H3696" s="38" t="s">
        <v>4436</v>
      </c>
      <c r="I3696" s="38" t="s">
        <v>4437</v>
      </c>
      <c r="J3696" s="38" t="s">
        <v>178</v>
      </c>
      <c r="K3696" s="38" t="s">
        <v>153</v>
      </c>
      <c r="L3696" s="41">
        <v>46008.791666666664</v>
      </c>
      <c r="M3696" s="38" t="s">
        <v>123</v>
      </c>
      <c r="N3696" s="41">
        <v>46008.958333333336</v>
      </c>
      <c r="O3696" s="38" t="s">
        <v>123</v>
      </c>
      <c r="P3696" s="38">
        <v>14400.0</v>
      </c>
      <c r="Q3696" s="38">
        <v>28800.0</v>
      </c>
      <c r="R3696" s="38" t="s">
        <v>4455</v>
      </c>
      <c r="S3696" s="39"/>
      <c r="T3696" s="39"/>
      <c r="U3696" s="39"/>
    </row>
    <row r="3697">
      <c r="A3697" s="40">
        <f t="shared" si="1"/>
        <v>46006</v>
      </c>
      <c r="B3697" s="37" t="str">
        <f t="array" ref="B3697">iferror(xlookup($I3697, 'IMPORT VHC Report'!$E:$E, 'IMPORT VHC Report'!$A:$C), )</f>
        <v/>
      </c>
      <c r="C3697" s="37"/>
      <c r="D3697" s="37"/>
      <c r="E3697" s="38" t="s">
        <v>4456</v>
      </c>
      <c r="F3697" s="38" t="s">
        <v>4435</v>
      </c>
      <c r="G3697" s="38">
        <v>3.61750058635E11</v>
      </c>
      <c r="H3697" s="38" t="s">
        <v>4436</v>
      </c>
      <c r="I3697" s="38" t="s">
        <v>4437</v>
      </c>
      <c r="J3697" s="38" t="s">
        <v>330</v>
      </c>
      <c r="K3697" s="38" t="s">
        <v>126</v>
      </c>
      <c r="L3697" s="41">
        <v>46009.583333333336</v>
      </c>
      <c r="M3697" s="38" t="s">
        <v>123</v>
      </c>
      <c r="N3697" s="41">
        <v>46009.59027777778</v>
      </c>
      <c r="O3697" s="38" t="s">
        <v>123</v>
      </c>
      <c r="P3697" s="38">
        <v>600.0</v>
      </c>
      <c r="Q3697" s="39"/>
      <c r="R3697" s="39"/>
      <c r="S3697" s="39"/>
      <c r="T3697" s="39"/>
      <c r="U3697" s="39"/>
    </row>
    <row r="3698">
      <c r="A3698" s="40">
        <f t="shared" si="1"/>
        <v>46006</v>
      </c>
      <c r="B3698" s="37" t="str">
        <f t="array" ref="B3698">iferror(xlookup($I3698, 'IMPORT VHC Report'!$E:$E, 'IMPORT VHC Report'!$A:$C), )</f>
        <v/>
      </c>
      <c r="C3698" s="37"/>
      <c r="D3698" s="37"/>
      <c r="E3698" s="38" t="s">
        <v>4457</v>
      </c>
      <c r="F3698" s="38" t="s">
        <v>4435</v>
      </c>
      <c r="G3698" s="38">
        <v>3.61750058635E11</v>
      </c>
      <c r="H3698" s="38" t="s">
        <v>4436</v>
      </c>
      <c r="I3698" s="38" t="s">
        <v>4437</v>
      </c>
      <c r="J3698" s="38" t="s">
        <v>332</v>
      </c>
      <c r="K3698" s="38" t="s">
        <v>63</v>
      </c>
      <c r="L3698" s="41">
        <v>46009.583333333336</v>
      </c>
      <c r="M3698" s="38" t="s">
        <v>123</v>
      </c>
      <c r="N3698" s="41">
        <v>46009.958333333336</v>
      </c>
      <c r="O3698" s="38" t="s">
        <v>123</v>
      </c>
      <c r="P3698" s="38">
        <v>32400.0</v>
      </c>
      <c r="Q3698" s="39"/>
      <c r="R3698" s="39"/>
      <c r="S3698" s="39"/>
      <c r="T3698" s="39"/>
      <c r="U3698" s="39"/>
    </row>
    <row r="3699">
      <c r="A3699" s="40">
        <f t="shared" si="1"/>
        <v>46006</v>
      </c>
      <c r="B3699" s="37" t="str">
        <f t="array" ref="B3699">iferror(xlookup($I3699, 'IMPORT VHC Report'!$E:$E, 'IMPORT VHC Report'!$A:$C), )</f>
        <v/>
      </c>
      <c r="C3699" s="37"/>
      <c r="D3699" s="37"/>
      <c r="E3699" s="38" t="s">
        <v>4458</v>
      </c>
      <c r="F3699" s="38" t="s">
        <v>4435</v>
      </c>
      <c r="G3699" s="38">
        <v>3.61750058635E11</v>
      </c>
      <c r="H3699" s="38" t="s">
        <v>4436</v>
      </c>
      <c r="I3699" s="38" t="s">
        <v>4437</v>
      </c>
      <c r="J3699" s="38" t="s">
        <v>132</v>
      </c>
      <c r="K3699" s="38" t="s">
        <v>126</v>
      </c>
      <c r="L3699" s="41">
        <v>46009.6875</v>
      </c>
      <c r="M3699" s="38" t="s">
        <v>123</v>
      </c>
      <c r="N3699" s="41">
        <v>46009.729166666664</v>
      </c>
      <c r="O3699" s="38" t="s">
        <v>123</v>
      </c>
      <c r="P3699" s="38">
        <v>3600.0</v>
      </c>
      <c r="Q3699" s="39"/>
      <c r="R3699" s="39"/>
      <c r="S3699" s="39"/>
      <c r="T3699" s="39"/>
      <c r="U3699" s="39"/>
    </row>
    <row r="3700">
      <c r="A3700" s="40">
        <f t="shared" si="1"/>
        <v>46006</v>
      </c>
      <c r="B3700" s="37" t="str">
        <f t="array" ref="B3700">iferror(xlookup($I3700, 'IMPORT VHC Report'!$E:$E, 'IMPORT VHC Report'!$A:$C), )</f>
        <v/>
      </c>
      <c r="C3700" s="37"/>
      <c r="D3700" s="37"/>
      <c r="E3700" s="38" t="s">
        <v>4459</v>
      </c>
      <c r="F3700" s="38" t="s">
        <v>4435</v>
      </c>
      <c r="G3700" s="38">
        <v>3.61750058635E11</v>
      </c>
      <c r="H3700" s="38" t="s">
        <v>4436</v>
      </c>
      <c r="I3700" s="38" t="s">
        <v>4437</v>
      </c>
      <c r="J3700" s="38" t="s">
        <v>134</v>
      </c>
      <c r="K3700" s="38" t="s">
        <v>126</v>
      </c>
      <c r="L3700" s="41">
        <v>46009.864583333336</v>
      </c>
      <c r="M3700" s="38" t="s">
        <v>123</v>
      </c>
      <c r="N3700" s="41">
        <v>46009.885416666664</v>
      </c>
      <c r="O3700" s="38" t="s">
        <v>123</v>
      </c>
      <c r="P3700" s="38">
        <v>1800.0</v>
      </c>
      <c r="Q3700" s="39"/>
      <c r="R3700" s="39"/>
      <c r="S3700" s="39"/>
      <c r="T3700" s="39"/>
      <c r="U3700" s="39"/>
    </row>
    <row r="3701">
      <c r="A3701" s="40">
        <f t="shared" si="1"/>
        <v>46006</v>
      </c>
      <c r="B3701" s="37" t="str">
        <f t="array" ref="B3701">iferror(xlookup($I3701, 'IMPORT VHC Report'!$E:$E, 'IMPORT VHC Report'!$A:$C), )</f>
        <v/>
      </c>
      <c r="C3701" s="37"/>
      <c r="D3701" s="37"/>
      <c r="E3701" s="38" t="s">
        <v>4460</v>
      </c>
      <c r="F3701" s="38" t="s">
        <v>4435</v>
      </c>
      <c r="G3701" s="38">
        <v>3.61750058635E11</v>
      </c>
      <c r="H3701" s="38" t="s">
        <v>4436</v>
      </c>
      <c r="I3701" s="38" t="s">
        <v>4437</v>
      </c>
      <c r="J3701" s="38" t="s">
        <v>330</v>
      </c>
      <c r="K3701" s="38" t="s">
        <v>126</v>
      </c>
      <c r="L3701" s="41">
        <v>46010.583333333336</v>
      </c>
      <c r="M3701" s="38" t="s">
        <v>123</v>
      </c>
      <c r="N3701" s="41">
        <v>46010.59027777778</v>
      </c>
      <c r="O3701" s="38" t="s">
        <v>123</v>
      </c>
      <c r="P3701" s="38">
        <v>600.0</v>
      </c>
      <c r="Q3701" s="39"/>
      <c r="R3701" s="39"/>
      <c r="S3701" s="39"/>
      <c r="T3701" s="39"/>
      <c r="U3701" s="39"/>
    </row>
    <row r="3702">
      <c r="A3702" s="40">
        <f t="shared" si="1"/>
        <v>46006</v>
      </c>
      <c r="B3702" s="37" t="str">
        <f t="array" ref="B3702">iferror(xlookup($I3702, 'IMPORT VHC Report'!$E:$E, 'IMPORT VHC Report'!$A:$C), )</f>
        <v/>
      </c>
      <c r="C3702" s="37"/>
      <c r="D3702" s="37"/>
      <c r="E3702" s="38" t="s">
        <v>4461</v>
      </c>
      <c r="F3702" s="38" t="s">
        <v>4435</v>
      </c>
      <c r="G3702" s="38">
        <v>3.61750058635E11</v>
      </c>
      <c r="H3702" s="38" t="s">
        <v>4436</v>
      </c>
      <c r="I3702" s="38" t="s">
        <v>4437</v>
      </c>
      <c r="J3702" s="38" t="s">
        <v>332</v>
      </c>
      <c r="K3702" s="38" t="s">
        <v>63</v>
      </c>
      <c r="L3702" s="41">
        <v>46010.583333333336</v>
      </c>
      <c r="M3702" s="38" t="s">
        <v>123</v>
      </c>
      <c r="N3702" s="41">
        <v>46010.958333333336</v>
      </c>
      <c r="O3702" s="38" t="s">
        <v>123</v>
      </c>
      <c r="P3702" s="38">
        <v>32400.0</v>
      </c>
      <c r="Q3702" s="39"/>
      <c r="R3702" s="39"/>
      <c r="S3702" s="39"/>
      <c r="T3702" s="39"/>
      <c r="U3702" s="39"/>
    </row>
    <row r="3703">
      <c r="A3703" s="40">
        <f t="shared" si="1"/>
        <v>46006</v>
      </c>
      <c r="B3703" s="37" t="str">
        <f t="array" ref="B3703">iferror(xlookup($I3703, 'IMPORT VHC Report'!$E:$E, 'IMPORT VHC Report'!$A:$C), )</f>
        <v/>
      </c>
      <c r="C3703" s="37"/>
      <c r="D3703" s="37"/>
      <c r="E3703" s="38" t="s">
        <v>4462</v>
      </c>
      <c r="F3703" s="38" t="s">
        <v>4435</v>
      </c>
      <c r="G3703" s="38">
        <v>3.61750058635E11</v>
      </c>
      <c r="H3703" s="38" t="s">
        <v>4436</v>
      </c>
      <c r="I3703" s="38" t="s">
        <v>4437</v>
      </c>
      <c r="J3703" s="38" t="s">
        <v>136</v>
      </c>
      <c r="K3703" s="38" t="s">
        <v>126</v>
      </c>
      <c r="L3703" s="41">
        <v>46010.666666666664</v>
      </c>
      <c r="M3703" s="38" t="s">
        <v>123</v>
      </c>
      <c r="N3703" s="41">
        <v>46010.729166666664</v>
      </c>
      <c r="O3703" s="38" t="s">
        <v>123</v>
      </c>
      <c r="P3703" s="38">
        <v>5400.0</v>
      </c>
      <c r="Q3703" s="39"/>
      <c r="R3703" s="39"/>
      <c r="S3703" s="38" t="s">
        <v>137</v>
      </c>
      <c r="T3703" s="39"/>
      <c r="U3703" s="39"/>
    </row>
    <row r="3704">
      <c r="A3704" s="40">
        <f t="shared" si="1"/>
        <v>46006</v>
      </c>
      <c r="B3704" s="37" t="str">
        <f t="array" ref="B3704">iferror(xlookup($I3704, 'IMPORT VHC Report'!$E:$E, 'IMPORT VHC Report'!$A:$C), )</f>
        <v/>
      </c>
      <c r="C3704" s="37"/>
      <c r="D3704" s="37"/>
      <c r="E3704" s="38" t="s">
        <v>4463</v>
      </c>
      <c r="F3704" s="38" t="s">
        <v>4435</v>
      </c>
      <c r="G3704" s="38">
        <v>3.61750058635E11</v>
      </c>
      <c r="H3704" s="38" t="s">
        <v>4436</v>
      </c>
      <c r="I3704" s="38" t="s">
        <v>4437</v>
      </c>
      <c r="J3704" s="38" t="s">
        <v>132</v>
      </c>
      <c r="K3704" s="38" t="s">
        <v>126</v>
      </c>
      <c r="L3704" s="41">
        <v>46010.770833333336</v>
      </c>
      <c r="M3704" s="38" t="s">
        <v>123</v>
      </c>
      <c r="N3704" s="41">
        <v>46010.8125</v>
      </c>
      <c r="O3704" s="38" t="s">
        <v>123</v>
      </c>
      <c r="P3704" s="38">
        <v>3600.0</v>
      </c>
      <c r="Q3704" s="39"/>
      <c r="R3704" s="39"/>
      <c r="S3704" s="39"/>
      <c r="T3704" s="39"/>
      <c r="U3704" s="39"/>
    </row>
    <row r="3705">
      <c r="A3705" s="40">
        <f t="shared" si="1"/>
        <v>46006</v>
      </c>
      <c r="B3705" s="37" t="str">
        <f t="array" ref="B3705">iferror(xlookup($I3705, 'IMPORT VHC Report'!$E:$E, 'IMPORT VHC Report'!$A:$C), )</f>
        <v/>
      </c>
      <c r="C3705" s="37"/>
      <c r="D3705" s="37"/>
      <c r="E3705" s="38" t="s">
        <v>4464</v>
      </c>
      <c r="F3705" s="38" t="s">
        <v>4435</v>
      </c>
      <c r="G3705" s="38">
        <v>3.61750058635E11</v>
      </c>
      <c r="H3705" s="38" t="s">
        <v>4436</v>
      </c>
      <c r="I3705" s="38" t="s">
        <v>4437</v>
      </c>
      <c r="J3705" s="38" t="s">
        <v>134</v>
      </c>
      <c r="K3705" s="38" t="s">
        <v>126</v>
      </c>
      <c r="L3705" s="41">
        <v>46010.885416666664</v>
      </c>
      <c r="M3705" s="38" t="s">
        <v>123</v>
      </c>
      <c r="N3705" s="41">
        <v>46010.90625</v>
      </c>
      <c r="O3705" s="38" t="s">
        <v>123</v>
      </c>
      <c r="P3705" s="38">
        <v>1800.0</v>
      </c>
      <c r="Q3705" s="39"/>
      <c r="R3705" s="39"/>
      <c r="S3705" s="39"/>
      <c r="T3705" s="39"/>
      <c r="U3705" s="39"/>
    </row>
    <row r="3706">
      <c r="A3706" s="40">
        <f t="shared" si="1"/>
        <v>46006</v>
      </c>
      <c r="B3706" s="37" t="str">
        <f t="array" ref="B3706">iferror(xlookup($I3706, 'IMPORT VHC Report'!$E:$E, 'IMPORT VHC Report'!$A:$C), )</f>
        <v/>
      </c>
      <c r="C3706" s="37"/>
      <c r="D3706" s="37"/>
      <c r="E3706" s="38" t="s">
        <v>4465</v>
      </c>
      <c r="F3706" s="38" t="s">
        <v>4435</v>
      </c>
      <c r="G3706" s="38">
        <v>3.61750058635E11</v>
      </c>
      <c r="H3706" s="38" t="s">
        <v>4436</v>
      </c>
      <c r="I3706" s="38" t="s">
        <v>4437</v>
      </c>
      <c r="J3706" s="38" t="s">
        <v>125</v>
      </c>
      <c r="K3706" s="38" t="s">
        <v>126</v>
      </c>
      <c r="L3706" s="41">
        <v>46010.90625</v>
      </c>
      <c r="M3706" s="38" t="s">
        <v>123</v>
      </c>
      <c r="N3706" s="41">
        <v>46010.913194444445</v>
      </c>
      <c r="O3706" s="38" t="s">
        <v>123</v>
      </c>
      <c r="P3706" s="38">
        <v>600.0</v>
      </c>
      <c r="Q3706" s="39"/>
      <c r="R3706" s="39"/>
      <c r="S3706" s="38" t="s">
        <v>3682</v>
      </c>
      <c r="T3706" s="39"/>
      <c r="U3706" s="39"/>
    </row>
    <row r="3707">
      <c r="A3707" s="40">
        <f t="shared" si="1"/>
        <v>46006</v>
      </c>
      <c r="B3707" s="37" t="str">
        <f t="array" ref="B3707">iferror(xlookup($I3707, 'IMPORT VHC Report'!$E:$E, 'IMPORT VHC Report'!$A:$C), )</f>
        <v/>
      </c>
      <c r="C3707" s="37"/>
      <c r="D3707" s="37"/>
      <c r="E3707" s="38" t="s">
        <v>4466</v>
      </c>
      <c r="F3707" s="38" t="s">
        <v>4467</v>
      </c>
      <c r="G3707" s="38">
        <v>9.107749325455E12</v>
      </c>
      <c r="H3707" s="38" t="s">
        <v>90</v>
      </c>
      <c r="I3707" s="38" t="s">
        <v>91</v>
      </c>
      <c r="J3707" s="38" t="s">
        <v>791</v>
      </c>
      <c r="K3707" s="38" t="s">
        <v>63</v>
      </c>
      <c r="L3707" s="41">
        <v>46006.583333333336</v>
      </c>
      <c r="M3707" s="38" t="s">
        <v>123</v>
      </c>
      <c r="N3707" s="41">
        <v>46006.958333333336</v>
      </c>
      <c r="O3707" s="38" t="s">
        <v>123</v>
      </c>
      <c r="P3707" s="38">
        <v>32400.0</v>
      </c>
      <c r="Q3707" s="39"/>
      <c r="R3707" s="39"/>
      <c r="S3707" s="39"/>
      <c r="T3707" s="39"/>
      <c r="U3707" s="39"/>
    </row>
    <row r="3708">
      <c r="A3708" s="40">
        <f t="shared" si="1"/>
        <v>46006</v>
      </c>
      <c r="B3708" s="37" t="str">
        <f t="array" ref="B3708">iferror(xlookup($I3708, 'IMPORT VHC Report'!$E:$E, 'IMPORT VHC Report'!$A:$C), )</f>
        <v/>
      </c>
      <c r="C3708" s="37"/>
      <c r="D3708" s="37"/>
      <c r="E3708" s="38" t="s">
        <v>4468</v>
      </c>
      <c r="F3708" s="38" t="s">
        <v>4467</v>
      </c>
      <c r="G3708" s="38">
        <v>9.107749325455E12</v>
      </c>
      <c r="H3708" s="38" t="s">
        <v>90</v>
      </c>
      <c r="I3708" s="38" t="s">
        <v>91</v>
      </c>
      <c r="J3708" s="38" t="s">
        <v>132</v>
      </c>
      <c r="K3708" s="38" t="s">
        <v>126</v>
      </c>
      <c r="L3708" s="41">
        <v>46006.854166666664</v>
      </c>
      <c r="M3708" s="38" t="s">
        <v>123</v>
      </c>
      <c r="N3708" s="41">
        <v>46006.895833333336</v>
      </c>
      <c r="O3708" s="38" t="s">
        <v>123</v>
      </c>
      <c r="P3708" s="38">
        <v>3600.0</v>
      </c>
      <c r="Q3708" s="39"/>
      <c r="R3708" s="39"/>
      <c r="S3708" s="39"/>
      <c r="T3708" s="39"/>
      <c r="U3708" s="39"/>
    </row>
    <row r="3709">
      <c r="A3709" s="40">
        <f t="shared" si="1"/>
        <v>46006</v>
      </c>
      <c r="B3709" s="37" t="str">
        <f t="array" ref="B3709">iferror(xlookup($I3709, 'IMPORT VHC Report'!$E:$E, 'IMPORT VHC Report'!$A:$C), )</f>
        <v/>
      </c>
      <c r="C3709" s="37"/>
      <c r="D3709" s="37"/>
      <c r="E3709" s="38" t="s">
        <v>4469</v>
      </c>
      <c r="F3709" s="38" t="s">
        <v>4467</v>
      </c>
      <c r="G3709" s="38">
        <v>9.107749325455E12</v>
      </c>
      <c r="H3709" s="38" t="s">
        <v>90</v>
      </c>
      <c r="I3709" s="38" t="s">
        <v>91</v>
      </c>
      <c r="J3709" s="38" t="s">
        <v>134</v>
      </c>
      <c r="K3709" s="38" t="s">
        <v>126</v>
      </c>
      <c r="L3709" s="41">
        <v>46006.895833333336</v>
      </c>
      <c r="M3709" s="38" t="s">
        <v>123</v>
      </c>
      <c r="N3709" s="41">
        <v>46006.916666666664</v>
      </c>
      <c r="O3709" s="38" t="s">
        <v>123</v>
      </c>
      <c r="P3709" s="38">
        <v>1800.0</v>
      </c>
      <c r="Q3709" s="39"/>
      <c r="R3709" s="39"/>
      <c r="S3709" s="39"/>
      <c r="T3709" s="39"/>
      <c r="U3709" s="39"/>
    </row>
    <row r="3710">
      <c r="A3710" s="40">
        <f t="shared" si="1"/>
        <v>46006</v>
      </c>
      <c r="B3710" s="37" t="str">
        <f t="array" ref="B3710">iferror(xlookup($I3710, 'IMPORT VHC Report'!$E:$E, 'IMPORT VHC Report'!$A:$C), )</f>
        <v/>
      </c>
      <c r="C3710" s="37"/>
      <c r="D3710" s="37"/>
      <c r="E3710" s="38" t="s">
        <v>4470</v>
      </c>
      <c r="F3710" s="38" t="s">
        <v>4467</v>
      </c>
      <c r="G3710" s="38">
        <v>9.107749325455E12</v>
      </c>
      <c r="H3710" s="38" t="s">
        <v>90</v>
      </c>
      <c r="I3710" s="38" t="s">
        <v>91</v>
      </c>
      <c r="J3710" s="38" t="s">
        <v>62</v>
      </c>
      <c r="K3710" s="38" t="s">
        <v>63</v>
      </c>
      <c r="L3710" s="41">
        <v>46007.583333333336</v>
      </c>
      <c r="M3710" s="38" t="s">
        <v>123</v>
      </c>
      <c r="N3710" s="41">
        <v>46007.75</v>
      </c>
      <c r="O3710" s="38" t="s">
        <v>123</v>
      </c>
      <c r="P3710" s="38">
        <v>14400.0</v>
      </c>
      <c r="Q3710" s="39"/>
      <c r="R3710" s="39"/>
      <c r="S3710" s="39"/>
      <c r="T3710" s="39"/>
      <c r="U3710" s="39"/>
    </row>
    <row r="3711">
      <c r="A3711" s="40">
        <f t="shared" si="1"/>
        <v>46006</v>
      </c>
      <c r="B3711" s="37" t="str">
        <f t="array" ref="B3711">iferror(xlookup($I3711, 'IMPORT VHC Report'!$E:$E, 'IMPORT VHC Report'!$A:$C), )</f>
        <v/>
      </c>
      <c r="C3711" s="37"/>
      <c r="D3711" s="37"/>
      <c r="E3711" s="38" t="s">
        <v>4471</v>
      </c>
      <c r="F3711" s="38" t="s">
        <v>4467</v>
      </c>
      <c r="G3711" s="38">
        <v>9.107749325455E12</v>
      </c>
      <c r="H3711" s="38" t="s">
        <v>90</v>
      </c>
      <c r="I3711" s="38" t="s">
        <v>91</v>
      </c>
      <c r="J3711" s="38" t="s">
        <v>791</v>
      </c>
      <c r="K3711" s="38" t="s">
        <v>63</v>
      </c>
      <c r="L3711" s="41">
        <v>46007.75</v>
      </c>
      <c r="M3711" s="38" t="s">
        <v>123</v>
      </c>
      <c r="N3711" s="41">
        <v>46007.958333333336</v>
      </c>
      <c r="O3711" s="38" t="s">
        <v>123</v>
      </c>
      <c r="P3711" s="38">
        <v>18000.0</v>
      </c>
      <c r="Q3711" s="39"/>
      <c r="R3711" s="39"/>
      <c r="S3711" s="39"/>
      <c r="T3711" s="39"/>
      <c r="U3711" s="39"/>
    </row>
    <row r="3712">
      <c r="A3712" s="40">
        <f t="shared" si="1"/>
        <v>46006</v>
      </c>
      <c r="B3712" s="37" t="str">
        <f t="array" ref="B3712">iferror(xlookup($I3712, 'IMPORT VHC Report'!$E:$E, 'IMPORT VHC Report'!$A:$C), )</f>
        <v/>
      </c>
      <c r="C3712" s="37"/>
      <c r="D3712" s="37"/>
      <c r="E3712" s="38" t="s">
        <v>4472</v>
      </c>
      <c r="F3712" s="38" t="s">
        <v>4467</v>
      </c>
      <c r="G3712" s="38">
        <v>9.107749325455E12</v>
      </c>
      <c r="H3712" s="38" t="s">
        <v>90</v>
      </c>
      <c r="I3712" s="38" t="s">
        <v>91</v>
      </c>
      <c r="J3712" s="38" t="s">
        <v>134</v>
      </c>
      <c r="K3712" s="38" t="s">
        <v>126</v>
      </c>
      <c r="L3712" s="41">
        <v>46007.895833333336</v>
      </c>
      <c r="M3712" s="38" t="s">
        <v>123</v>
      </c>
      <c r="N3712" s="41">
        <v>46007.916666666664</v>
      </c>
      <c r="O3712" s="38" t="s">
        <v>123</v>
      </c>
      <c r="P3712" s="38">
        <v>1800.0</v>
      </c>
      <c r="Q3712" s="39"/>
      <c r="R3712" s="39"/>
      <c r="S3712" s="39"/>
      <c r="T3712" s="39"/>
      <c r="U3712" s="39"/>
    </row>
    <row r="3713">
      <c r="A3713" s="40">
        <f t="shared" si="1"/>
        <v>46006</v>
      </c>
      <c r="B3713" s="37" t="str">
        <f t="array" ref="B3713">iferror(xlookup($I3713, 'IMPORT VHC Report'!$E:$E, 'IMPORT VHC Report'!$A:$C), )</f>
        <v/>
      </c>
      <c r="C3713" s="37"/>
      <c r="D3713" s="37"/>
      <c r="E3713" s="38" t="s">
        <v>4473</v>
      </c>
      <c r="F3713" s="38" t="s">
        <v>4467</v>
      </c>
      <c r="G3713" s="38">
        <v>9.107749325455E12</v>
      </c>
      <c r="H3713" s="38" t="s">
        <v>90</v>
      </c>
      <c r="I3713" s="38" t="s">
        <v>91</v>
      </c>
      <c r="J3713" s="38" t="s">
        <v>132</v>
      </c>
      <c r="K3713" s="38" t="s">
        <v>126</v>
      </c>
      <c r="L3713" s="41">
        <v>46007.916666666664</v>
      </c>
      <c r="M3713" s="38" t="s">
        <v>123</v>
      </c>
      <c r="N3713" s="41">
        <v>46007.958333333336</v>
      </c>
      <c r="O3713" s="38" t="s">
        <v>123</v>
      </c>
      <c r="P3713" s="38">
        <v>3600.0</v>
      </c>
      <c r="Q3713" s="39"/>
      <c r="R3713" s="39"/>
      <c r="S3713" s="39"/>
      <c r="T3713" s="39"/>
      <c r="U3713" s="39"/>
    </row>
    <row r="3714">
      <c r="A3714" s="40">
        <f t="shared" si="1"/>
        <v>46006</v>
      </c>
      <c r="B3714" s="37" t="str">
        <f t="array" ref="B3714">iferror(xlookup($I3714, 'IMPORT VHC Report'!$E:$E, 'IMPORT VHC Report'!$A:$C), )</f>
        <v/>
      </c>
      <c r="C3714" s="37"/>
      <c r="D3714" s="37"/>
      <c r="E3714" s="38" t="s">
        <v>4474</v>
      </c>
      <c r="F3714" s="38" t="s">
        <v>4467</v>
      </c>
      <c r="G3714" s="38">
        <v>9.107749325455E12</v>
      </c>
      <c r="H3714" s="38" t="s">
        <v>90</v>
      </c>
      <c r="I3714" s="38" t="s">
        <v>91</v>
      </c>
      <c r="J3714" s="38" t="s">
        <v>178</v>
      </c>
      <c r="K3714" s="38" t="s">
        <v>153</v>
      </c>
      <c r="L3714" s="41">
        <v>46008.583333333336</v>
      </c>
      <c r="M3714" s="38" t="s">
        <v>123</v>
      </c>
      <c r="N3714" s="41">
        <v>46008.958333333336</v>
      </c>
      <c r="O3714" s="38" t="s">
        <v>123</v>
      </c>
      <c r="P3714" s="38">
        <v>32400.0</v>
      </c>
      <c r="Q3714" s="38">
        <v>28800.0</v>
      </c>
      <c r="R3714" s="39"/>
      <c r="S3714" s="39"/>
      <c r="T3714" s="39"/>
      <c r="U3714" s="39"/>
    </row>
    <row r="3715">
      <c r="A3715" s="40">
        <f t="shared" si="1"/>
        <v>46006</v>
      </c>
      <c r="B3715" s="37" t="str">
        <f t="array" ref="B3715">iferror(xlookup($I3715, 'IMPORT VHC Report'!$E:$E, 'IMPORT VHC Report'!$A:$C), )</f>
        <v/>
      </c>
      <c r="C3715" s="37"/>
      <c r="D3715" s="37"/>
      <c r="E3715" s="38" t="s">
        <v>4475</v>
      </c>
      <c r="F3715" s="38" t="s">
        <v>4467</v>
      </c>
      <c r="G3715" s="38">
        <v>9.107749325455E12</v>
      </c>
      <c r="H3715" s="38" t="s">
        <v>90</v>
      </c>
      <c r="I3715" s="38" t="s">
        <v>91</v>
      </c>
      <c r="J3715" s="38" t="s">
        <v>791</v>
      </c>
      <c r="K3715" s="38" t="s">
        <v>63</v>
      </c>
      <c r="L3715" s="41">
        <v>46008.583333333336</v>
      </c>
      <c r="M3715" s="38" t="s">
        <v>123</v>
      </c>
      <c r="N3715" s="41">
        <v>46008.958333333336</v>
      </c>
      <c r="O3715" s="38" t="s">
        <v>123</v>
      </c>
      <c r="P3715" s="38">
        <v>32400.0</v>
      </c>
      <c r="Q3715" s="39"/>
      <c r="R3715" s="39"/>
      <c r="S3715" s="39"/>
      <c r="T3715" s="39"/>
      <c r="U3715" s="39"/>
    </row>
    <row r="3716">
      <c r="A3716" s="40">
        <f t="shared" si="1"/>
        <v>46006</v>
      </c>
      <c r="B3716" s="37" t="str">
        <f t="array" ref="B3716">iferror(xlookup($I3716, 'IMPORT VHC Report'!$E:$E, 'IMPORT VHC Report'!$A:$C), )</f>
        <v/>
      </c>
      <c r="C3716" s="37"/>
      <c r="D3716" s="37"/>
      <c r="E3716" s="38" t="s">
        <v>4476</v>
      </c>
      <c r="F3716" s="38" t="s">
        <v>4467</v>
      </c>
      <c r="G3716" s="38">
        <v>9.107749325455E12</v>
      </c>
      <c r="H3716" s="38" t="s">
        <v>90</v>
      </c>
      <c r="I3716" s="38" t="s">
        <v>91</v>
      </c>
      <c r="J3716" s="38" t="s">
        <v>134</v>
      </c>
      <c r="K3716" s="38" t="s">
        <v>126</v>
      </c>
      <c r="L3716" s="41">
        <v>46008.833333333336</v>
      </c>
      <c r="M3716" s="38" t="s">
        <v>123</v>
      </c>
      <c r="N3716" s="41">
        <v>46008.854166666664</v>
      </c>
      <c r="O3716" s="38" t="s">
        <v>123</v>
      </c>
      <c r="P3716" s="38">
        <v>1800.0</v>
      </c>
      <c r="Q3716" s="39"/>
      <c r="R3716" s="39"/>
      <c r="S3716" s="39"/>
      <c r="T3716" s="39"/>
      <c r="U3716" s="39"/>
    </row>
    <row r="3717">
      <c r="A3717" s="40">
        <f t="shared" si="1"/>
        <v>46006</v>
      </c>
      <c r="B3717" s="37" t="str">
        <f t="array" ref="B3717">iferror(xlookup($I3717, 'IMPORT VHC Report'!$E:$E, 'IMPORT VHC Report'!$A:$C), )</f>
        <v/>
      </c>
      <c r="C3717" s="37"/>
      <c r="D3717" s="37"/>
      <c r="E3717" s="38" t="s">
        <v>4477</v>
      </c>
      <c r="F3717" s="38" t="s">
        <v>4467</v>
      </c>
      <c r="G3717" s="38">
        <v>9.107749325455E12</v>
      </c>
      <c r="H3717" s="38" t="s">
        <v>90</v>
      </c>
      <c r="I3717" s="38" t="s">
        <v>91</v>
      </c>
      <c r="J3717" s="38" t="s">
        <v>132</v>
      </c>
      <c r="K3717" s="38" t="s">
        <v>126</v>
      </c>
      <c r="L3717" s="41">
        <v>46008.854166666664</v>
      </c>
      <c r="M3717" s="38" t="s">
        <v>123</v>
      </c>
      <c r="N3717" s="41">
        <v>46008.895833333336</v>
      </c>
      <c r="O3717" s="38" t="s">
        <v>123</v>
      </c>
      <c r="P3717" s="38">
        <v>3600.0</v>
      </c>
      <c r="Q3717" s="39"/>
      <c r="R3717" s="39"/>
      <c r="S3717" s="39"/>
      <c r="T3717" s="39"/>
      <c r="U3717" s="39"/>
    </row>
    <row r="3718">
      <c r="A3718" s="40">
        <f t="shared" si="1"/>
        <v>46006</v>
      </c>
      <c r="B3718" s="37" t="str">
        <f t="array" ref="B3718">iferror(xlookup($I3718, 'IMPORT VHC Report'!$E:$E, 'IMPORT VHC Report'!$A:$C), )</f>
        <v/>
      </c>
      <c r="C3718" s="37"/>
      <c r="D3718" s="37"/>
      <c r="E3718" s="38" t="s">
        <v>4478</v>
      </c>
      <c r="F3718" s="38" t="s">
        <v>4467</v>
      </c>
      <c r="G3718" s="38">
        <v>9.107749325455E12</v>
      </c>
      <c r="H3718" s="38" t="s">
        <v>90</v>
      </c>
      <c r="I3718" s="38" t="s">
        <v>91</v>
      </c>
      <c r="J3718" s="38" t="s">
        <v>791</v>
      </c>
      <c r="K3718" s="38" t="s">
        <v>63</v>
      </c>
      <c r="L3718" s="41">
        <v>46009.583333333336</v>
      </c>
      <c r="M3718" s="38" t="s">
        <v>123</v>
      </c>
      <c r="N3718" s="41">
        <v>46009.958333333336</v>
      </c>
      <c r="O3718" s="38" t="s">
        <v>123</v>
      </c>
      <c r="P3718" s="38">
        <v>32400.0</v>
      </c>
      <c r="Q3718" s="39"/>
      <c r="R3718" s="39"/>
      <c r="S3718" s="39"/>
      <c r="T3718" s="39"/>
      <c r="U3718" s="39"/>
    </row>
    <row r="3719">
      <c r="A3719" s="40">
        <f t="shared" si="1"/>
        <v>46006</v>
      </c>
      <c r="B3719" s="37" t="str">
        <f t="array" ref="B3719">iferror(xlookup($I3719, 'IMPORT VHC Report'!$E:$E, 'IMPORT VHC Report'!$A:$C), )</f>
        <v/>
      </c>
      <c r="C3719" s="37"/>
      <c r="D3719" s="37"/>
      <c r="E3719" s="38" t="s">
        <v>4479</v>
      </c>
      <c r="F3719" s="38" t="s">
        <v>4467</v>
      </c>
      <c r="G3719" s="38">
        <v>9.107749325455E12</v>
      </c>
      <c r="H3719" s="38" t="s">
        <v>90</v>
      </c>
      <c r="I3719" s="38" t="s">
        <v>91</v>
      </c>
      <c r="J3719" s="38" t="s">
        <v>134</v>
      </c>
      <c r="K3719" s="38" t="s">
        <v>126</v>
      </c>
      <c r="L3719" s="41">
        <v>46009.895833333336</v>
      </c>
      <c r="M3719" s="38" t="s">
        <v>123</v>
      </c>
      <c r="N3719" s="41">
        <v>46009.916666666664</v>
      </c>
      <c r="O3719" s="38" t="s">
        <v>123</v>
      </c>
      <c r="P3719" s="38">
        <v>1800.0</v>
      </c>
      <c r="Q3719" s="39"/>
      <c r="R3719" s="39"/>
      <c r="S3719" s="39"/>
      <c r="T3719" s="39"/>
      <c r="U3719" s="39"/>
    </row>
    <row r="3720">
      <c r="A3720" s="40">
        <f t="shared" si="1"/>
        <v>46006</v>
      </c>
      <c r="B3720" s="37" t="str">
        <f t="array" ref="B3720">iferror(xlookup($I3720, 'IMPORT VHC Report'!$E:$E, 'IMPORT VHC Report'!$A:$C), )</f>
        <v/>
      </c>
      <c r="C3720" s="37"/>
      <c r="D3720" s="37"/>
      <c r="E3720" s="38" t="s">
        <v>4480</v>
      </c>
      <c r="F3720" s="38" t="s">
        <v>4467</v>
      </c>
      <c r="G3720" s="38">
        <v>9.107749325455E12</v>
      </c>
      <c r="H3720" s="38" t="s">
        <v>90</v>
      </c>
      <c r="I3720" s="38" t="s">
        <v>91</v>
      </c>
      <c r="J3720" s="38" t="s">
        <v>132</v>
      </c>
      <c r="K3720" s="38" t="s">
        <v>126</v>
      </c>
      <c r="L3720" s="41">
        <v>46009.916666666664</v>
      </c>
      <c r="M3720" s="38" t="s">
        <v>123</v>
      </c>
      <c r="N3720" s="41">
        <v>46009.958333333336</v>
      </c>
      <c r="O3720" s="38" t="s">
        <v>123</v>
      </c>
      <c r="P3720" s="38">
        <v>3600.0</v>
      </c>
      <c r="Q3720" s="39"/>
      <c r="R3720" s="39"/>
      <c r="S3720" s="39"/>
      <c r="T3720" s="39"/>
      <c r="U3720" s="39"/>
    </row>
    <row r="3721">
      <c r="A3721" s="40">
        <f t="shared" si="1"/>
        <v>46006</v>
      </c>
      <c r="B3721" s="37" t="str">
        <f t="array" ref="B3721">iferror(xlookup($I3721, 'IMPORT VHC Report'!$E:$E, 'IMPORT VHC Report'!$A:$C), )</f>
        <v/>
      </c>
      <c r="C3721" s="37"/>
      <c r="D3721" s="37"/>
      <c r="E3721" s="38" t="s">
        <v>4481</v>
      </c>
      <c r="F3721" s="38" t="s">
        <v>4467</v>
      </c>
      <c r="G3721" s="38">
        <v>9.107749325455E12</v>
      </c>
      <c r="H3721" s="38" t="s">
        <v>90</v>
      </c>
      <c r="I3721" s="38" t="s">
        <v>91</v>
      </c>
      <c r="J3721" s="38" t="s">
        <v>791</v>
      </c>
      <c r="K3721" s="38" t="s">
        <v>63</v>
      </c>
      <c r="L3721" s="41">
        <v>46012.583333333336</v>
      </c>
      <c r="M3721" s="38" t="s">
        <v>123</v>
      </c>
      <c r="N3721" s="41">
        <v>46012.958333333336</v>
      </c>
      <c r="O3721" s="38" t="s">
        <v>123</v>
      </c>
      <c r="P3721" s="38">
        <v>32400.0</v>
      </c>
      <c r="Q3721" s="39"/>
      <c r="R3721" s="39"/>
      <c r="S3721" s="39"/>
      <c r="T3721" s="39"/>
      <c r="U3721" s="39"/>
    </row>
    <row r="3722">
      <c r="A3722" s="40">
        <f t="shared" si="1"/>
        <v>46006</v>
      </c>
      <c r="B3722" s="37" t="str">
        <f t="array" ref="B3722">iferror(xlookup($I3722, 'IMPORT VHC Report'!$E:$E, 'IMPORT VHC Report'!$A:$C), )</f>
        <v/>
      </c>
      <c r="C3722" s="37"/>
      <c r="D3722" s="37"/>
      <c r="E3722" s="38" t="s">
        <v>4482</v>
      </c>
      <c r="F3722" s="38" t="s">
        <v>4467</v>
      </c>
      <c r="G3722" s="38">
        <v>9.107749325455E12</v>
      </c>
      <c r="H3722" s="38" t="s">
        <v>90</v>
      </c>
      <c r="I3722" s="38" t="s">
        <v>91</v>
      </c>
      <c r="J3722" s="38" t="s">
        <v>134</v>
      </c>
      <c r="K3722" s="38" t="s">
        <v>126</v>
      </c>
      <c r="L3722" s="41">
        <v>46012.833333333336</v>
      </c>
      <c r="M3722" s="38" t="s">
        <v>123</v>
      </c>
      <c r="N3722" s="41">
        <v>46012.854166666664</v>
      </c>
      <c r="O3722" s="38" t="s">
        <v>123</v>
      </c>
      <c r="P3722" s="38">
        <v>1800.0</v>
      </c>
      <c r="Q3722" s="39"/>
      <c r="R3722" s="39"/>
      <c r="S3722" s="39"/>
      <c r="T3722" s="39"/>
      <c r="U3722" s="39"/>
    </row>
    <row r="3723">
      <c r="A3723" s="40">
        <f t="shared" si="1"/>
        <v>46006</v>
      </c>
      <c r="B3723" s="37" t="str">
        <f t="array" ref="B3723">iferror(xlookup($I3723, 'IMPORT VHC Report'!$E:$E, 'IMPORT VHC Report'!$A:$C), )</f>
        <v/>
      </c>
      <c r="C3723" s="37"/>
      <c r="D3723" s="37"/>
      <c r="E3723" s="38" t="s">
        <v>4483</v>
      </c>
      <c r="F3723" s="38" t="s">
        <v>4467</v>
      </c>
      <c r="G3723" s="38">
        <v>9.107749325455E12</v>
      </c>
      <c r="H3723" s="38" t="s">
        <v>90</v>
      </c>
      <c r="I3723" s="38" t="s">
        <v>91</v>
      </c>
      <c r="J3723" s="38" t="s">
        <v>132</v>
      </c>
      <c r="K3723" s="38" t="s">
        <v>126</v>
      </c>
      <c r="L3723" s="41">
        <v>46012.854166666664</v>
      </c>
      <c r="M3723" s="38" t="s">
        <v>123</v>
      </c>
      <c r="N3723" s="41">
        <v>46012.895833333336</v>
      </c>
      <c r="O3723" s="38" t="s">
        <v>123</v>
      </c>
      <c r="P3723" s="38">
        <v>3600.0</v>
      </c>
      <c r="Q3723" s="39"/>
      <c r="R3723" s="39"/>
      <c r="S3723" s="39"/>
      <c r="T3723" s="39"/>
      <c r="U3723" s="39"/>
    </row>
    <row r="3724">
      <c r="A3724" s="40">
        <f t="shared" si="1"/>
        <v>46006</v>
      </c>
      <c r="B3724" s="37" t="str">
        <f t="array" ref="B3724">iferror(xlookup($I3724, 'IMPORT VHC Report'!$E:$E, 'IMPORT VHC Report'!$A:$C), )</f>
        <v/>
      </c>
      <c r="C3724" s="37"/>
      <c r="D3724" s="37"/>
      <c r="E3724" s="38" t="s">
        <v>4484</v>
      </c>
      <c r="F3724" s="38" t="s">
        <v>4485</v>
      </c>
      <c r="G3724" s="38">
        <v>1.0333019153039E13</v>
      </c>
      <c r="H3724" s="38" t="s">
        <v>4486</v>
      </c>
      <c r="I3724" s="38" t="s">
        <v>4487</v>
      </c>
      <c r="J3724" s="38" t="s">
        <v>125</v>
      </c>
      <c r="K3724" s="38" t="s">
        <v>126</v>
      </c>
      <c r="L3724" s="41">
        <v>46006.625</v>
      </c>
      <c r="M3724" s="38" t="s">
        <v>123</v>
      </c>
      <c r="N3724" s="41">
        <v>46006.635416666664</v>
      </c>
      <c r="O3724" s="38" t="s">
        <v>123</v>
      </c>
      <c r="P3724" s="38">
        <v>900.0</v>
      </c>
      <c r="Q3724" s="39"/>
      <c r="R3724" s="39"/>
      <c r="S3724" s="38" t="s">
        <v>199</v>
      </c>
      <c r="T3724" s="39"/>
      <c r="U3724" s="39"/>
    </row>
    <row r="3725">
      <c r="A3725" s="40">
        <f t="shared" si="1"/>
        <v>46006</v>
      </c>
      <c r="B3725" s="37" t="str">
        <f t="array" ref="B3725">iferror(xlookup($I3725, 'IMPORT VHC Report'!$E:$E, 'IMPORT VHC Report'!$A:$C), )</f>
        <v/>
      </c>
      <c r="C3725" s="37"/>
      <c r="D3725" s="37"/>
      <c r="E3725" s="38" t="s">
        <v>4488</v>
      </c>
      <c r="F3725" s="38" t="s">
        <v>4485</v>
      </c>
      <c r="G3725" s="38">
        <v>1.0333019153039E13</v>
      </c>
      <c r="H3725" s="38" t="s">
        <v>4486</v>
      </c>
      <c r="I3725" s="38" t="s">
        <v>4487</v>
      </c>
      <c r="J3725" s="38" t="s">
        <v>196</v>
      </c>
      <c r="K3725" s="38" t="s">
        <v>63</v>
      </c>
      <c r="L3725" s="41">
        <v>46006.625</v>
      </c>
      <c r="M3725" s="38" t="s">
        <v>123</v>
      </c>
      <c r="N3725" s="41">
        <v>46007.0</v>
      </c>
      <c r="O3725" s="38" t="s">
        <v>123</v>
      </c>
      <c r="P3725" s="38">
        <v>32400.0</v>
      </c>
      <c r="Q3725" s="39"/>
      <c r="R3725" s="39"/>
      <c r="S3725" s="39"/>
      <c r="T3725" s="39"/>
      <c r="U3725" s="39"/>
    </row>
    <row r="3726">
      <c r="A3726" s="40">
        <f t="shared" si="1"/>
        <v>46006</v>
      </c>
      <c r="B3726" s="37" t="str">
        <f t="array" ref="B3726">iferror(xlookup($I3726, 'IMPORT VHC Report'!$E:$E, 'IMPORT VHC Report'!$A:$C), )</f>
        <v/>
      </c>
      <c r="C3726" s="37"/>
      <c r="D3726" s="37"/>
      <c r="E3726" s="38" t="s">
        <v>4489</v>
      </c>
      <c r="F3726" s="38" t="s">
        <v>4485</v>
      </c>
      <c r="G3726" s="38">
        <v>1.0333019153039E13</v>
      </c>
      <c r="H3726" s="38" t="s">
        <v>4486</v>
      </c>
      <c r="I3726" s="38" t="s">
        <v>4487</v>
      </c>
      <c r="J3726" s="38" t="s">
        <v>134</v>
      </c>
      <c r="K3726" s="38" t="s">
        <v>126</v>
      </c>
      <c r="L3726" s="41">
        <v>46006.739583333336</v>
      </c>
      <c r="M3726" s="38" t="s">
        <v>123</v>
      </c>
      <c r="N3726" s="41">
        <v>46006.760416666664</v>
      </c>
      <c r="O3726" s="38" t="s">
        <v>123</v>
      </c>
      <c r="P3726" s="38">
        <v>1800.0</v>
      </c>
      <c r="Q3726" s="39"/>
      <c r="R3726" s="39"/>
      <c r="S3726" s="39"/>
      <c r="T3726" s="39"/>
      <c r="U3726" s="39"/>
    </row>
    <row r="3727">
      <c r="A3727" s="40">
        <f t="shared" si="1"/>
        <v>46006</v>
      </c>
      <c r="B3727" s="37" t="str">
        <f t="array" ref="B3727">iferror(xlookup($I3727, 'IMPORT VHC Report'!$E:$E, 'IMPORT VHC Report'!$A:$C), )</f>
        <v/>
      </c>
      <c r="C3727" s="37"/>
      <c r="D3727" s="37"/>
      <c r="E3727" s="38" t="s">
        <v>4490</v>
      </c>
      <c r="F3727" s="38" t="s">
        <v>4485</v>
      </c>
      <c r="G3727" s="38">
        <v>1.0333019153039E13</v>
      </c>
      <c r="H3727" s="38" t="s">
        <v>4486</v>
      </c>
      <c r="I3727" s="38" t="s">
        <v>4487</v>
      </c>
      <c r="J3727" s="38" t="s">
        <v>132</v>
      </c>
      <c r="K3727" s="38" t="s">
        <v>126</v>
      </c>
      <c r="L3727" s="41">
        <v>46006.875</v>
      </c>
      <c r="M3727" s="38" t="s">
        <v>123</v>
      </c>
      <c r="N3727" s="41">
        <v>46006.916666666664</v>
      </c>
      <c r="O3727" s="38" t="s">
        <v>123</v>
      </c>
      <c r="P3727" s="38">
        <v>3600.0</v>
      </c>
      <c r="Q3727" s="39"/>
      <c r="R3727" s="39"/>
      <c r="S3727" s="39"/>
      <c r="T3727" s="39"/>
      <c r="U3727" s="39"/>
    </row>
    <row r="3728">
      <c r="A3728" s="40">
        <f t="shared" si="1"/>
        <v>46006</v>
      </c>
      <c r="B3728" s="37" t="str">
        <f t="array" ref="B3728">iferror(xlookup($I3728, 'IMPORT VHC Report'!$E:$E, 'IMPORT VHC Report'!$A:$C), )</f>
        <v/>
      </c>
      <c r="C3728" s="37"/>
      <c r="D3728" s="37"/>
      <c r="E3728" s="38" t="s">
        <v>4491</v>
      </c>
      <c r="F3728" s="38" t="s">
        <v>4485</v>
      </c>
      <c r="G3728" s="38">
        <v>1.0333019153039E13</v>
      </c>
      <c r="H3728" s="38" t="s">
        <v>4486</v>
      </c>
      <c r="I3728" s="38" t="s">
        <v>4487</v>
      </c>
      <c r="J3728" s="38" t="s">
        <v>125</v>
      </c>
      <c r="K3728" s="38" t="s">
        <v>126</v>
      </c>
      <c r="L3728" s="41">
        <v>46007.625</v>
      </c>
      <c r="M3728" s="38" t="s">
        <v>123</v>
      </c>
      <c r="N3728" s="41">
        <v>46007.635416666664</v>
      </c>
      <c r="O3728" s="38" t="s">
        <v>123</v>
      </c>
      <c r="P3728" s="38">
        <v>900.0</v>
      </c>
      <c r="Q3728" s="39"/>
      <c r="R3728" s="39"/>
      <c r="S3728" s="38" t="s">
        <v>199</v>
      </c>
      <c r="T3728" s="39"/>
      <c r="U3728" s="39"/>
    </row>
    <row r="3729">
      <c r="A3729" s="40">
        <f t="shared" si="1"/>
        <v>46006</v>
      </c>
      <c r="B3729" s="37" t="str">
        <f t="array" ref="B3729">iferror(xlookup($I3729, 'IMPORT VHC Report'!$E:$E, 'IMPORT VHC Report'!$A:$C), )</f>
        <v/>
      </c>
      <c r="C3729" s="37"/>
      <c r="D3729" s="37"/>
      <c r="E3729" s="38" t="s">
        <v>4492</v>
      </c>
      <c r="F3729" s="38" t="s">
        <v>4485</v>
      </c>
      <c r="G3729" s="38">
        <v>1.0333019153039E13</v>
      </c>
      <c r="H3729" s="38" t="s">
        <v>4486</v>
      </c>
      <c r="I3729" s="38" t="s">
        <v>4487</v>
      </c>
      <c r="J3729" s="38" t="s">
        <v>196</v>
      </c>
      <c r="K3729" s="38" t="s">
        <v>63</v>
      </c>
      <c r="L3729" s="41">
        <v>46007.625</v>
      </c>
      <c r="M3729" s="38" t="s">
        <v>123</v>
      </c>
      <c r="N3729" s="41">
        <v>46008.0</v>
      </c>
      <c r="O3729" s="38" t="s">
        <v>123</v>
      </c>
      <c r="P3729" s="38">
        <v>32400.0</v>
      </c>
      <c r="Q3729" s="39"/>
      <c r="R3729" s="39"/>
      <c r="S3729" s="39"/>
      <c r="T3729" s="39"/>
      <c r="U3729" s="39"/>
    </row>
    <row r="3730">
      <c r="A3730" s="40">
        <f t="shared" si="1"/>
        <v>46006</v>
      </c>
      <c r="B3730" s="37" t="str">
        <f t="array" ref="B3730">iferror(xlookup($I3730, 'IMPORT VHC Report'!$E:$E, 'IMPORT VHC Report'!$A:$C), )</f>
        <v/>
      </c>
      <c r="C3730" s="37"/>
      <c r="D3730" s="37"/>
      <c r="E3730" s="38" t="s">
        <v>4493</v>
      </c>
      <c r="F3730" s="38" t="s">
        <v>4485</v>
      </c>
      <c r="G3730" s="38">
        <v>1.0333019153039E13</v>
      </c>
      <c r="H3730" s="38" t="s">
        <v>4486</v>
      </c>
      <c r="I3730" s="38" t="s">
        <v>4487</v>
      </c>
      <c r="J3730" s="38" t="s">
        <v>134</v>
      </c>
      <c r="K3730" s="38" t="s">
        <v>126</v>
      </c>
      <c r="L3730" s="41">
        <v>46007.739583333336</v>
      </c>
      <c r="M3730" s="38" t="s">
        <v>123</v>
      </c>
      <c r="N3730" s="41">
        <v>46007.760416666664</v>
      </c>
      <c r="O3730" s="38" t="s">
        <v>123</v>
      </c>
      <c r="P3730" s="38">
        <v>1800.0</v>
      </c>
      <c r="Q3730" s="39"/>
      <c r="R3730" s="39"/>
      <c r="S3730" s="39"/>
      <c r="T3730" s="39"/>
      <c r="U3730" s="39"/>
    </row>
    <row r="3731">
      <c r="A3731" s="40">
        <f t="shared" si="1"/>
        <v>46006</v>
      </c>
      <c r="B3731" s="37" t="str">
        <f t="array" ref="B3731">iferror(xlookup($I3731, 'IMPORT VHC Report'!$E:$E, 'IMPORT VHC Report'!$A:$C), )</f>
        <v/>
      </c>
      <c r="C3731" s="37"/>
      <c r="D3731" s="37"/>
      <c r="E3731" s="38" t="s">
        <v>4494</v>
      </c>
      <c r="F3731" s="38" t="s">
        <v>4485</v>
      </c>
      <c r="G3731" s="38">
        <v>1.0333019153039E13</v>
      </c>
      <c r="H3731" s="38" t="s">
        <v>4486</v>
      </c>
      <c r="I3731" s="38" t="s">
        <v>4487</v>
      </c>
      <c r="J3731" s="38" t="s">
        <v>132</v>
      </c>
      <c r="K3731" s="38" t="s">
        <v>126</v>
      </c>
      <c r="L3731" s="41">
        <v>46007.864583333336</v>
      </c>
      <c r="M3731" s="38" t="s">
        <v>123</v>
      </c>
      <c r="N3731" s="41">
        <v>46007.90625</v>
      </c>
      <c r="O3731" s="38" t="s">
        <v>123</v>
      </c>
      <c r="P3731" s="38">
        <v>3600.0</v>
      </c>
      <c r="Q3731" s="39"/>
      <c r="R3731" s="39"/>
      <c r="S3731" s="39"/>
      <c r="T3731" s="39"/>
      <c r="U3731" s="39"/>
    </row>
    <row r="3732">
      <c r="A3732" s="40">
        <f t="shared" si="1"/>
        <v>46006</v>
      </c>
      <c r="B3732" s="37" t="str">
        <f t="array" ref="B3732">iferror(xlookup($I3732, 'IMPORT VHC Report'!$E:$E, 'IMPORT VHC Report'!$A:$C), )</f>
        <v/>
      </c>
      <c r="C3732" s="37"/>
      <c r="D3732" s="37"/>
      <c r="E3732" s="38" t="s">
        <v>4495</v>
      </c>
      <c r="F3732" s="38" t="s">
        <v>4485</v>
      </c>
      <c r="G3732" s="38">
        <v>1.0333019153039E13</v>
      </c>
      <c r="H3732" s="38" t="s">
        <v>4486</v>
      </c>
      <c r="I3732" s="38" t="s">
        <v>4487</v>
      </c>
      <c r="J3732" s="38" t="s">
        <v>125</v>
      </c>
      <c r="K3732" s="38" t="s">
        <v>126</v>
      </c>
      <c r="L3732" s="41">
        <v>46008.625</v>
      </c>
      <c r="M3732" s="38" t="s">
        <v>123</v>
      </c>
      <c r="N3732" s="41">
        <v>46008.635416666664</v>
      </c>
      <c r="O3732" s="38" t="s">
        <v>123</v>
      </c>
      <c r="P3732" s="38">
        <v>900.0</v>
      </c>
      <c r="Q3732" s="39"/>
      <c r="R3732" s="39"/>
      <c r="S3732" s="38" t="s">
        <v>199</v>
      </c>
      <c r="T3732" s="39"/>
      <c r="U3732" s="39"/>
    </row>
    <row r="3733">
      <c r="A3733" s="40">
        <f t="shared" si="1"/>
        <v>46006</v>
      </c>
      <c r="B3733" s="37" t="str">
        <f t="array" ref="B3733">iferror(xlookup($I3733, 'IMPORT VHC Report'!$E:$E, 'IMPORT VHC Report'!$A:$C), )</f>
        <v/>
      </c>
      <c r="C3733" s="37"/>
      <c r="D3733" s="37"/>
      <c r="E3733" s="38" t="s">
        <v>4496</v>
      </c>
      <c r="F3733" s="38" t="s">
        <v>4485</v>
      </c>
      <c r="G3733" s="38">
        <v>1.0333019153039E13</v>
      </c>
      <c r="H3733" s="38" t="s">
        <v>4486</v>
      </c>
      <c r="I3733" s="38" t="s">
        <v>4487</v>
      </c>
      <c r="J3733" s="38" t="s">
        <v>196</v>
      </c>
      <c r="K3733" s="38" t="s">
        <v>63</v>
      </c>
      <c r="L3733" s="41">
        <v>46008.625</v>
      </c>
      <c r="M3733" s="38" t="s">
        <v>123</v>
      </c>
      <c r="N3733" s="41">
        <v>46009.0</v>
      </c>
      <c r="O3733" s="38" t="s">
        <v>123</v>
      </c>
      <c r="P3733" s="38">
        <v>32400.0</v>
      </c>
      <c r="Q3733" s="39"/>
      <c r="R3733" s="39"/>
      <c r="S3733" s="39"/>
      <c r="T3733" s="39"/>
      <c r="U3733" s="39"/>
    </row>
    <row r="3734">
      <c r="A3734" s="40">
        <f t="shared" si="1"/>
        <v>46006</v>
      </c>
      <c r="B3734" s="37" t="str">
        <f t="array" ref="B3734">iferror(xlookup($I3734, 'IMPORT VHC Report'!$E:$E, 'IMPORT VHC Report'!$A:$C), )</f>
        <v/>
      </c>
      <c r="C3734" s="37"/>
      <c r="D3734" s="37"/>
      <c r="E3734" s="38" t="s">
        <v>4497</v>
      </c>
      <c r="F3734" s="38" t="s">
        <v>4485</v>
      </c>
      <c r="G3734" s="38">
        <v>1.0333019153039E13</v>
      </c>
      <c r="H3734" s="38" t="s">
        <v>4486</v>
      </c>
      <c r="I3734" s="38" t="s">
        <v>4487</v>
      </c>
      <c r="J3734" s="38" t="s">
        <v>134</v>
      </c>
      <c r="K3734" s="38" t="s">
        <v>126</v>
      </c>
      <c r="L3734" s="41">
        <v>46008.729166666664</v>
      </c>
      <c r="M3734" s="38" t="s">
        <v>123</v>
      </c>
      <c r="N3734" s="41">
        <v>46008.75</v>
      </c>
      <c r="O3734" s="38" t="s">
        <v>123</v>
      </c>
      <c r="P3734" s="38">
        <v>1800.0</v>
      </c>
      <c r="Q3734" s="39"/>
      <c r="R3734" s="39"/>
      <c r="S3734" s="39"/>
      <c r="T3734" s="39"/>
      <c r="U3734" s="39"/>
    </row>
    <row r="3735">
      <c r="A3735" s="40">
        <f t="shared" si="1"/>
        <v>46006</v>
      </c>
      <c r="B3735" s="37" t="str">
        <f t="array" ref="B3735">iferror(xlookup($I3735, 'IMPORT VHC Report'!$E:$E, 'IMPORT VHC Report'!$A:$C), )</f>
        <v/>
      </c>
      <c r="C3735" s="37"/>
      <c r="D3735" s="37"/>
      <c r="E3735" s="38" t="s">
        <v>4498</v>
      </c>
      <c r="F3735" s="38" t="s">
        <v>4485</v>
      </c>
      <c r="G3735" s="38">
        <v>1.0333019153039E13</v>
      </c>
      <c r="H3735" s="38" t="s">
        <v>4486</v>
      </c>
      <c r="I3735" s="38" t="s">
        <v>4487</v>
      </c>
      <c r="J3735" s="38" t="s">
        <v>132</v>
      </c>
      <c r="K3735" s="38" t="s">
        <v>126</v>
      </c>
      <c r="L3735" s="41">
        <v>46008.875</v>
      </c>
      <c r="M3735" s="38" t="s">
        <v>123</v>
      </c>
      <c r="N3735" s="41">
        <v>46008.916666666664</v>
      </c>
      <c r="O3735" s="38" t="s">
        <v>123</v>
      </c>
      <c r="P3735" s="38">
        <v>3600.0</v>
      </c>
      <c r="Q3735" s="39"/>
      <c r="R3735" s="39"/>
      <c r="S3735" s="39"/>
      <c r="T3735" s="39"/>
      <c r="U3735" s="39"/>
    </row>
    <row r="3736">
      <c r="A3736" s="40">
        <f t="shared" si="1"/>
        <v>46006</v>
      </c>
      <c r="B3736" s="37" t="str">
        <f t="array" ref="B3736">iferror(xlookup($I3736, 'IMPORT VHC Report'!$E:$E, 'IMPORT VHC Report'!$A:$C), )</f>
        <v/>
      </c>
      <c r="C3736" s="37"/>
      <c r="D3736" s="37"/>
      <c r="E3736" s="38" t="s">
        <v>4499</v>
      </c>
      <c r="F3736" s="38" t="s">
        <v>4485</v>
      </c>
      <c r="G3736" s="38">
        <v>1.0333019153039E13</v>
      </c>
      <c r="H3736" s="38" t="s">
        <v>4486</v>
      </c>
      <c r="I3736" s="38" t="s">
        <v>4487</v>
      </c>
      <c r="J3736" s="38" t="s">
        <v>125</v>
      </c>
      <c r="K3736" s="38" t="s">
        <v>126</v>
      </c>
      <c r="L3736" s="41">
        <v>46009.625</v>
      </c>
      <c r="M3736" s="38" t="s">
        <v>123</v>
      </c>
      <c r="N3736" s="41">
        <v>46009.635416666664</v>
      </c>
      <c r="O3736" s="38" t="s">
        <v>123</v>
      </c>
      <c r="P3736" s="38">
        <v>900.0</v>
      </c>
      <c r="Q3736" s="39"/>
      <c r="R3736" s="39"/>
      <c r="S3736" s="38" t="s">
        <v>199</v>
      </c>
      <c r="T3736" s="39"/>
      <c r="U3736" s="39"/>
    </row>
    <row r="3737">
      <c r="A3737" s="40">
        <f t="shared" si="1"/>
        <v>46006</v>
      </c>
      <c r="B3737" s="37" t="str">
        <f t="array" ref="B3737">iferror(xlookup($I3737, 'IMPORT VHC Report'!$E:$E, 'IMPORT VHC Report'!$A:$C), )</f>
        <v/>
      </c>
      <c r="C3737" s="37"/>
      <c r="D3737" s="37"/>
      <c r="E3737" s="38" t="s">
        <v>4500</v>
      </c>
      <c r="F3737" s="38" t="s">
        <v>4485</v>
      </c>
      <c r="G3737" s="38">
        <v>1.0333019153039E13</v>
      </c>
      <c r="H3737" s="38" t="s">
        <v>4486</v>
      </c>
      <c r="I3737" s="38" t="s">
        <v>4487</v>
      </c>
      <c r="J3737" s="38" t="s">
        <v>196</v>
      </c>
      <c r="K3737" s="38" t="s">
        <v>63</v>
      </c>
      <c r="L3737" s="41">
        <v>46009.625</v>
      </c>
      <c r="M3737" s="38" t="s">
        <v>123</v>
      </c>
      <c r="N3737" s="41">
        <v>46009.854166666664</v>
      </c>
      <c r="O3737" s="38" t="s">
        <v>123</v>
      </c>
      <c r="P3737" s="38">
        <v>19800.0</v>
      </c>
      <c r="Q3737" s="39"/>
      <c r="R3737" s="39"/>
      <c r="S3737" s="39"/>
      <c r="T3737" s="39"/>
      <c r="U3737" s="39"/>
    </row>
    <row r="3738">
      <c r="A3738" s="40">
        <f t="shared" si="1"/>
        <v>46006</v>
      </c>
      <c r="B3738" s="37" t="str">
        <f t="array" ref="B3738">iferror(xlookup($I3738, 'IMPORT VHC Report'!$E:$E, 'IMPORT VHC Report'!$A:$C), )</f>
        <v/>
      </c>
      <c r="C3738" s="37"/>
      <c r="D3738" s="37"/>
      <c r="E3738" s="38" t="s">
        <v>4501</v>
      </c>
      <c r="F3738" s="38" t="s">
        <v>4485</v>
      </c>
      <c r="G3738" s="38">
        <v>1.0333019153039E13</v>
      </c>
      <c r="H3738" s="38" t="s">
        <v>4486</v>
      </c>
      <c r="I3738" s="38" t="s">
        <v>4487</v>
      </c>
      <c r="J3738" s="38" t="s">
        <v>178</v>
      </c>
      <c r="K3738" s="38" t="s">
        <v>153</v>
      </c>
      <c r="L3738" s="41">
        <v>46009.625</v>
      </c>
      <c r="M3738" s="38" t="s">
        <v>123</v>
      </c>
      <c r="N3738" s="41">
        <v>46010.0</v>
      </c>
      <c r="O3738" s="38" t="s">
        <v>123</v>
      </c>
      <c r="P3738" s="38">
        <v>32400.0</v>
      </c>
      <c r="Q3738" s="38">
        <v>28800.0</v>
      </c>
      <c r="R3738" s="38" t="s">
        <v>4502</v>
      </c>
      <c r="S3738" s="39"/>
      <c r="T3738" s="39"/>
      <c r="U3738" s="39"/>
    </row>
    <row r="3739">
      <c r="A3739" s="40">
        <f t="shared" si="1"/>
        <v>46006</v>
      </c>
      <c r="B3739" s="37" t="str">
        <f t="array" ref="B3739">iferror(xlookup($I3739, 'IMPORT VHC Report'!$E:$E, 'IMPORT VHC Report'!$A:$C), )</f>
        <v/>
      </c>
      <c r="C3739" s="37"/>
      <c r="D3739" s="37"/>
      <c r="E3739" s="38" t="s">
        <v>4503</v>
      </c>
      <c r="F3739" s="38" t="s">
        <v>4485</v>
      </c>
      <c r="G3739" s="38">
        <v>1.0333019153039E13</v>
      </c>
      <c r="H3739" s="38" t="s">
        <v>4486</v>
      </c>
      <c r="I3739" s="38" t="s">
        <v>4487</v>
      </c>
      <c r="J3739" s="38" t="s">
        <v>134</v>
      </c>
      <c r="K3739" s="38" t="s">
        <v>126</v>
      </c>
      <c r="L3739" s="41">
        <v>46009.75</v>
      </c>
      <c r="M3739" s="38" t="s">
        <v>123</v>
      </c>
      <c r="N3739" s="41">
        <v>46009.770833333336</v>
      </c>
      <c r="O3739" s="38" t="s">
        <v>123</v>
      </c>
      <c r="P3739" s="38">
        <v>1800.0</v>
      </c>
      <c r="Q3739" s="39"/>
      <c r="R3739" s="39"/>
      <c r="S3739" s="39"/>
      <c r="T3739" s="39"/>
      <c r="U3739" s="39"/>
    </row>
    <row r="3740">
      <c r="A3740" s="40">
        <f t="shared" si="1"/>
        <v>46006</v>
      </c>
      <c r="B3740" s="37" t="str">
        <f t="array" ref="B3740">iferror(xlookup($I3740, 'IMPORT VHC Report'!$E:$E, 'IMPORT VHC Report'!$A:$C), )</f>
        <v/>
      </c>
      <c r="C3740" s="37"/>
      <c r="D3740" s="37"/>
      <c r="E3740" s="38" t="s">
        <v>4504</v>
      </c>
      <c r="F3740" s="38" t="s">
        <v>4485</v>
      </c>
      <c r="G3740" s="38">
        <v>1.0333019153039E13</v>
      </c>
      <c r="H3740" s="38" t="s">
        <v>4486</v>
      </c>
      <c r="I3740" s="38" t="s">
        <v>4487</v>
      </c>
      <c r="J3740" s="38" t="s">
        <v>62</v>
      </c>
      <c r="K3740" s="38" t="s">
        <v>63</v>
      </c>
      <c r="L3740" s="41">
        <v>46009.854166666664</v>
      </c>
      <c r="M3740" s="38" t="s">
        <v>123</v>
      </c>
      <c r="N3740" s="41">
        <v>46009.875</v>
      </c>
      <c r="O3740" s="38" t="s">
        <v>123</v>
      </c>
      <c r="P3740" s="38">
        <v>1800.0</v>
      </c>
      <c r="Q3740" s="39"/>
      <c r="R3740" s="39"/>
      <c r="S3740" s="39"/>
      <c r="T3740" s="39"/>
      <c r="U3740" s="39"/>
    </row>
    <row r="3741">
      <c r="A3741" s="40">
        <f t="shared" si="1"/>
        <v>46006</v>
      </c>
      <c r="B3741" s="37" t="str">
        <f t="array" ref="B3741">iferror(xlookup($I3741, 'IMPORT VHC Report'!$E:$E, 'IMPORT VHC Report'!$A:$C), )</f>
        <v/>
      </c>
      <c r="C3741" s="37"/>
      <c r="D3741" s="37"/>
      <c r="E3741" s="38" t="s">
        <v>4505</v>
      </c>
      <c r="F3741" s="38" t="s">
        <v>4485</v>
      </c>
      <c r="G3741" s="38">
        <v>1.0333019153039E13</v>
      </c>
      <c r="H3741" s="38" t="s">
        <v>4486</v>
      </c>
      <c r="I3741" s="38" t="s">
        <v>4487</v>
      </c>
      <c r="J3741" s="38" t="s">
        <v>196</v>
      </c>
      <c r="K3741" s="38" t="s">
        <v>63</v>
      </c>
      <c r="L3741" s="41">
        <v>46009.875</v>
      </c>
      <c r="M3741" s="38" t="s">
        <v>123</v>
      </c>
      <c r="N3741" s="41">
        <v>46010.0</v>
      </c>
      <c r="O3741" s="38" t="s">
        <v>123</v>
      </c>
      <c r="P3741" s="38">
        <v>10800.0</v>
      </c>
      <c r="Q3741" s="39"/>
      <c r="R3741" s="39"/>
      <c r="S3741" s="39"/>
      <c r="T3741" s="39"/>
      <c r="U3741" s="39"/>
    </row>
    <row r="3742">
      <c r="A3742" s="40">
        <f t="shared" si="1"/>
        <v>46006</v>
      </c>
      <c r="B3742" s="37" t="str">
        <f t="array" ref="B3742">iferror(xlookup($I3742, 'IMPORT VHC Report'!$E:$E, 'IMPORT VHC Report'!$A:$C), )</f>
        <v/>
      </c>
      <c r="C3742" s="37"/>
      <c r="D3742" s="37"/>
      <c r="E3742" s="38" t="s">
        <v>4506</v>
      </c>
      <c r="F3742" s="38" t="s">
        <v>4485</v>
      </c>
      <c r="G3742" s="38">
        <v>1.0333019153039E13</v>
      </c>
      <c r="H3742" s="38" t="s">
        <v>4486</v>
      </c>
      <c r="I3742" s="38" t="s">
        <v>4487</v>
      </c>
      <c r="J3742" s="38" t="s">
        <v>132</v>
      </c>
      <c r="K3742" s="38" t="s">
        <v>126</v>
      </c>
      <c r="L3742" s="41">
        <v>46009.895833333336</v>
      </c>
      <c r="M3742" s="38" t="s">
        <v>123</v>
      </c>
      <c r="N3742" s="41">
        <v>46009.9375</v>
      </c>
      <c r="O3742" s="38" t="s">
        <v>123</v>
      </c>
      <c r="P3742" s="38">
        <v>3600.0</v>
      </c>
      <c r="Q3742" s="39"/>
      <c r="R3742" s="39"/>
      <c r="S3742" s="39"/>
      <c r="T3742" s="39"/>
      <c r="U3742" s="39"/>
    </row>
    <row r="3743">
      <c r="A3743" s="40">
        <f t="shared" si="1"/>
        <v>46006</v>
      </c>
      <c r="B3743" s="37" t="str">
        <f t="array" ref="B3743">iferror(xlookup($I3743, 'IMPORT VHC Report'!$E:$E, 'IMPORT VHC Report'!$A:$C), )</f>
        <v/>
      </c>
      <c r="C3743" s="37"/>
      <c r="D3743" s="37"/>
      <c r="E3743" s="38" t="s">
        <v>4507</v>
      </c>
      <c r="F3743" s="38" t="s">
        <v>4485</v>
      </c>
      <c r="G3743" s="38">
        <v>1.0333019153039E13</v>
      </c>
      <c r="H3743" s="38" t="s">
        <v>4486</v>
      </c>
      <c r="I3743" s="38" t="s">
        <v>4487</v>
      </c>
      <c r="J3743" s="38" t="s">
        <v>125</v>
      </c>
      <c r="K3743" s="38" t="s">
        <v>126</v>
      </c>
      <c r="L3743" s="41">
        <v>46012.625</v>
      </c>
      <c r="M3743" s="38" t="s">
        <v>123</v>
      </c>
      <c r="N3743" s="41">
        <v>46012.635416666664</v>
      </c>
      <c r="O3743" s="38" t="s">
        <v>123</v>
      </c>
      <c r="P3743" s="38">
        <v>900.0</v>
      </c>
      <c r="Q3743" s="39"/>
      <c r="R3743" s="39"/>
      <c r="S3743" s="38" t="s">
        <v>199</v>
      </c>
      <c r="T3743" s="39"/>
      <c r="U3743" s="39"/>
    </row>
    <row r="3744">
      <c r="A3744" s="40">
        <f t="shared" si="1"/>
        <v>46006</v>
      </c>
      <c r="B3744" s="37" t="str">
        <f t="array" ref="B3744">iferror(xlookup($I3744, 'IMPORT VHC Report'!$E:$E, 'IMPORT VHC Report'!$A:$C), )</f>
        <v/>
      </c>
      <c r="C3744" s="37"/>
      <c r="D3744" s="37"/>
      <c r="E3744" s="38" t="s">
        <v>4508</v>
      </c>
      <c r="F3744" s="38" t="s">
        <v>4485</v>
      </c>
      <c r="G3744" s="38">
        <v>1.0333019153039E13</v>
      </c>
      <c r="H3744" s="38" t="s">
        <v>4486</v>
      </c>
      <c r="I3744" s="38" t="s">
        <v>4487</v>
      </c>
      <c r="J3744" s="38" t="s">
        <v>196</v>
      </c>
      <c r="K3744" s="38" t="s">
        <v>63</v>
      </c>
      <c r="L3744" s="41">
        <v>46012.625</v>
      </c>
      <c r="M3744" s="38" t="s">
        <v>123</v>
      </c>
      <c r="N3744" s="41">
        <v>46013.0</v>
      </c>
      <c r="O3744" s="38" t="s">
        <v>123</v>
      </c>
      <c r="P3744" s="38">
        <v>32400.0</v>
      </c>
      <c r="Q3744" s="39"/>
      <c r="R3744" s="39"/>
      <c r="S3744" s="39"/>
      <c r="T3744" s="39"/>
      <c r="U3744" s="39"/>
    </row>
    <row r="3745">
      <c r="A3745" s="40">
        <f t="shared" si="1"/>
        <v>46006</v>
      </c>
      <c r="B3745" s="37" t="str">
        <f t="array" ref="B3745">iferror(xlookup($I3745, 'IMPORT VHC Report'!$E:$E, 'IMPORT VHC Report'!$A:$C), )</f>
        <v/>
      </c>
      <c r="C3745" s="37"/>
      <c r="D3745" s="37"/>
      <c r="E3745" s="38" t="s">
        <v>4509</v>
      </c>
      <c r="F3745" s="38" t="s">
        <v>4485</v>
      </c>
      <c r="G3745" s="38">
        <v>1.0333019153039E13</v>
      </c>
      <c r="H3745" s="38" t="s">
        <v>4486</v>
      </c>
      <c r="I3745" s="38" t="s">
        <v>4487</v>
      </c>
      <c r="J3745" s="38" t="s">
        <v>134</v>
      </c>
      <c r="K3745" s="38" t="s">
        <v>126</v>
      </c>
      <c r="L3745" s="41">
        <v>46012.739583333336</v>
      </c>
      <c r="M3745" s="38" t="s">
        <v>123</v>
      </c>
      <c r="N3745" s="41">
        <v>46012.760416666664</v>
      </c>
      <c r="O3745" s="38" t="s">
        <v>123</v>
      </c>
      <c r="P3745" s="38">
        <v>1800.0</v>
      </c>
      <c r="Q3745" s="39"/>
      <c r="R3745" s="39"/>
      <c r="S3745" s="39"/>
      <c r="T3745" s="39"/>
      <c r="U3745" s="39"/>
    </row>
    <row r="3746">
      <c r="A3746" s="40">
        <f t="shared" si="1"/>
        <v>46006</v>
      </c>
      <c r="B3746" s="37" t="str">
        <f t="array" ref="B3746">iferror(xlookup($I3746, 'IMPORT VHC Report'!$E:$E, 'IMPORT VHC Report'!$A:$C), )</f>
        <v/>
      </c>
      <c r="C3746" s="37"/>
      <c r="D3746" s="37"/>
      <c r="E3746" s="38" t="s">
        <v>4510</v>
      </c>
      <c r="F3746" s="38" t="s">
        <v>4485</v>
      </c>
      <c r="G3746" s="38">
        <v>1.0333019153039E13</v>
      </c>
      <c r="H3746" s="38" t="s">
        <v>4486</v>
      </c>
      <c r="I3746" s="38" t="s">
        <v>4487</v>
      </c>
      <c r="J3746" s="38" t="s">
        <v>132</v>
      </c>
      <c r="K3746" s="38" t="s">
        <v>126</v>
      </c>
      <c r="L3746" s="41">
        <v>46012.875</v>
      </c>
      <c r="M3746" s="38" t="s">
        <v>123</v>
      </c>
      <c r="N3746" s="41">
        <v>46012.916666666664</v>
      </c>
      <c r="O3746" s="38" t="s">
        <v>123</v>
      </c>
      <c r="P3746" s="38">
        <v>3600.0</v>
      </c>
      <c r="Q3746" s="39"/>
      <c r="R3746" s="39"/>
      <c r="S3746" s="39"/>
      <c r="T3746" s="39"/>
      <c r="U3746" s="39"/>
    </row>
    <row r="3747">
      <c r="A3747" s="40">
        <f t="shared" si="1"/>
        <v>46006</v>
      </c>
      <c r="B3747" s="37" t="str">
        <f t="array" ref="B3747">iferror(xlookup($I3747, 'IMPORT VHC Report'!$E:$E, 'IMPORT VHC Report'!$A:$C), )</f>
        <v/>
      </c>
      <c r="C3747" s="37"/>
      <c r="D3747" s="37"/>
      <c r="E3747" s="38" t="s">
        <v>4511</v>
      </c>
      <c r="F3747" s="38" t="s">
        <v>4485</v>
      </c>
      <c r="G3747" s="38">
        <v>1.0333019153039E13</v>
      </c>
      <c r="H3747" s="38" t="s">
        <v>4486</v>
      </c>
      <c r="I3747" s="38" t="s">
        <v>4487</v>
      </c>
      <c r="J3747" s="38" t="s">
        <v>4</v>
      </c>
      <c r="K3747" s="38" t="s">
        <v>126</v>
      </c>
      <c r="L3747" s="41">
        <v>46012.916666666664</v>
      </c>
      <c r="M3747" s="38" t="s">
        <v>123</v>
      </c>
      <c r="N3747" s="41">
        <v>46012.927083333336</v>
      </c>
      <c r="O3747" s="38" t="s">
        <v>123</v>
      </c>
      <c r="P3747" s="38">
        <v>900.0</v>
      </c>
      <c r="Q3747" s="39"/>
      <c r="R3747" s="39"/>
      <c r="S3747" s="38" t="s">
        <v>4512</v>
      </c>
      <c r="T3747" s="39"/>
      <c r="U3747" s="39"/>
    </row>
    <row r="3748">
      <c r="A3748" s="40">
        <f t="shared" si="1"/>
        <v>46006</v>
      </c>
      <c r="B3748" s="37" t="str">
        <f t="array" ref="B3748">iferror(xlookup($I3748, 'IMPORT VHC Report'!$E:$E, 'IMPORT VHC Report'!$A:$C), )</f>
        <v/>
      </c>
      <c r="C3748" s="37"/>
      <c r="D3748" s="37"/>
      <c r="E3748" s="38" t="s">
        <v>4513</v>
      </c>
      <c r="F3748" s="38" t="s">
        <v>4514</v>
      </c>
      <c r="G3748" s="38">
        <v>1.0333033832463E13</v>
      </c>
      <c r="H3748" s="38" t="s">
        <v>4515</v>
      </c>
      <c r="I3748" s="38" t="s">
        <v>4516</v>
      </c>
      <c r="J3748" s="38" t="s">
        <v>224</v>
      </c>
      <c r="K3748" s="38" t="s">
        <v>63</v>
      </c>
      <c r="L3748" s="41">
        <v>46006.625</v>
      </c>
      <c r="M3748" s="38" t="s">
        <v>123</v>
      </c>
      <c r="N3748" s="41">
        <v>46006.708333333336</v>
      </c>
      <c r="O3748" s="38" t="s">
        <v>123</v>
      </c>
      <c r="P3748" s="38">
        <v>7200.0</v>
      </c>
      <c r="Q3748" s="39"/>
      <c r="R3748" s="39"/>
      <c r="S3748" s="39"/>
      <c r="T3748" s="39"/>
      <c r="U3748" s="39"/>
    </row>
    <row r="3749">
      <c r="A3749" s="40">
        <f t="shared" si="1"/>
        <v>46006</v>
      </c>
      <c r="B3749" s="37" t="str">
        <f t="array" ref="B3749">iferror(xlookup($I3749, 'IMPORT VHC Report'!$E:$E, 'IMPORT VHC Report'!$A:$C), )</f>
        <v/>
      </c>
      <c r="C3749" s="37"/>
      <c r="D3749" s="37"/>
      <c r="E3749" s="38" t="s">
        <v>4517</v>
      </c>
      <c r="F3749" s="38" t="s">
        <v>4514</v>
      </c>
      <c r="G3749" s="38">
        <v>1.0333033832463E13</v>
      </c>
      <c r="H3749" s="38" t="s">
        <v>4515</v>
      </c>
      <c r="I3749" s="38" t="s">
        <v>4516</v>
      </c>
      <c r="J3749" s="38" t="s">
        <v>134</v>
      </c>
      <c r="K3749" s="38" t="s">
        <v>126</v>
      </c>
      <c r="L3749" s="41">
        <v>46006.708333333336</v>
      </c>
      <c r="M3749" s="38" t="s">
        <v>123</v>
      </c>
      <c r="N3749" s="41">
        <v>46006.71875</v>
      </c>
      <c r="O3749" s="38" t="s">
        <v>123</v>
      </c>
      <c r="P3749" s="38">
        <v>900.0</v>
      </c>
      <c r="Q3749" s="39"/>
      <c r="R3749" s="39"/>
      <c r="S3749" s="39"/>
      <c r="T3749" s="39"/>
      <c r="U3749" s="39"/>
    </row>
    <row r="3750">
      <c r="A3750" s="40">
        <f t="shared" si="1"/>
        <v>46006</v>
      </c>
      <c r="B3750" s="37" t="str">
        <f t="array" ref="B3750">iferror(xlookup($I3750, 'IMPORT VHC Report'!$E:$E, 'IMPORT VHC Report'!$A:$C), )</f>
        <v/>
      </c>
      <c r="C3750" s="37"/>
      <c r="D3750" s="37"/>
      <c r="E3750" s="38" t="s">
        <v>4518</v>
      </c>
      <c r="F3750" s="38" t="s">
        <v>4514</v>
      </c>
      <c r="G3750" s="38">
        <v>1.0333033832463E13</v>
      </c>
      <c r="H3750" s="38" t="s">
        <v>4515</v>
      </c>
      <c r="I3750" s="38" t="s">
        <v>4516</v>
      </c>
      <c r="J3750" s="38" t="s">
        <v>224</v>
      </c>
      <c r="K3750" s="38" t="s">
        <v>63</v>
      </c>
      <c r="L3750" s="41">
        <v>46006.71875</v>
      </c>
      <c r="M3750" s="38" t="s">
        <v>123</v>
      </c>
      <c r="N3750" s="41">
        <v>46006.802083333336</v>
      </c>
      <c r="O3750" s="38" t="s">
        <v>123</v>
      </c>
      <c r="P3750" s="38">
        <v>7200.0</v>
      </c>
      <c r="Q3750" s="39"/>
      <c r="R3750" s="39"/>
      <c r="S3750" s="39"/>
      <c r="T3750" s="39"/>
      <c r="U3750" s="39"/>
    </row>
    <row r="3751">
      <c r="A3751" s="40">
        <f t="shared" si="1"/>
        <v>46006</v>
      </c>
      <c r="B3751" s="37" t="str">
        <f t="array" ref="B3751">iferror(xlookup($I3751, 'IMPORT VHC Report'!$E:$E, 'IMPORT VHC Report'!$A:$C), )</f>
        <v/>
      </c>
      <c r="C3751" s="37"/>
      <c r="D3751" s="37"/>
      <c r="E3751" s="38" t="s">
        <v>4519</v>
      </c>
      <c r="F3751" s="38" t="s">
        <v>4514</v>
      </c>
      <c r="G3751" s="38">
        <v>1.0333033832463E13</v>
      </c>
      <c r="H3751" s="38" t="s">
        <v>4515</v>
      </c>
      <c r="I3751" s="38" t="s">
        <v>4516</v>
      </c>
      <c r="J3751" s="38" t="s">
        <v>132</v>
      </c>
      <c r="K3751" s="38" t="s">
        <v>126</v>
      </c>
      <c r="L3751" s="41">
        <v>46006.802083333336</v>
      </c>
      <c r="M3751" s="38" t="s">
        <v>123</v>
      </c>
      <c r="N3751" s="41">
        <v>46006.84375</v>
      </c>
      <c r="O3751" s="38" t="s">
        <v>123</v>
      </c>
      <c r="P3751" s="38">
        <v>3600.0</v>
      </c>
      <c r="Q3751" s="39"/>
      <c r="R3751" s="39"/>
      <c r="S3751" s="39"/>
      <c r="T3751" s="39"/>
      <c r="U3751" s="39"/>
    </row>
    <row r="3752">
      <c r="A3752" s="40">
        <f t="shared" si="1"/>
        <v>46006</v>
      </c>
      <c r="B3752" s="37" t="str">
        <f t="array" ref="B3752">iferror(xlookup($I3752, 'IMPORT VHC Report'!$E:$E, 'IMPORT VHC Report'!$A:$C), )</f>
        <v/>
      </c>
      <c r="C3752" s="37"/>
      <c r="D3752" s="37"/>
      <c r="E3752" s="38" t="s">
        <v>4520</v>
      </c>
      <c r="F3752" s="38" t="s">
        <v>4514</v>
      </c>
      <c r="G3752" s="38">
        <v>1.0333033832463E13</v>
      </c>
      <c r="H3752" s="38" t="s">
        <v>4515</v>
      </c>
      <c r="I3752" s="38" t="s">
        <v>4516</v>
      </c>
      <c r="J3752" s="38" t="s">
        <v>224</v>
      </c>
      <c r="K3752" s="38" t="s">
        <v>63</v>
      </c>
      <c r="L3752" s="41">
        <v>46006.84375</v>
      </c>
      <c r="M3752" s="38" t="s">
        <v>123</v>
      </c>
      <c r="N3752" s="41">
        <v>46006.927083333336</v>
      </c>
      <c r="O3752" s="38" t="s">
        <v>123</v>
      </c>
      <c r="P3752" s="38">
        <v>7200.0</v>
      </c>
      <c r="Q3752" s="39"/>
      <c r="R3752" s="39"/>
      <c r="S3752" s="39"/>
      <c r="T3752" s="39"/>
      <c r="U3752" s="39"/>
    </row>
    <row r="3753">
      <c r="A3753" s="40">
        <f t="shared" si="1"/>
        <v>46006</v>
      </c>
      <c r="B3753" s="37" t="str">
        <f t="array" ref="B3753">iferror(xlookup($I3753, 'IMPORT VHC Report'!$E:$E, 'IMPORT VHC Report'!$A:$C), )</f>
        <v/>
      </c>
      <c r="C3753" s="37"/>
      <c r="D3753" s="37"/>
      <c r="E3753" s="38" t="s">
        <v>4521</v>
      </c>
      <c r="F3753" s="38" t="s">
        <v>4514</v>
      </c>
      <c r="G3753" s="38">
        <v>1.0333033832463E13</v>
      </c>
      <c r="H3753" s="38" t="s">
        <v>4515</v>
      </c>
      <c r="I3753" s="38" t="s">
        <v>4516</v>
      </c>
      <c r="J3753" s="38" t="s">
        <v>134</v>
      </c>
      <c r="K3753" s="38" t="s">
        <v>126</v>
      </c>
      <c r="L3753" s="41">
        <v>46006.927083333336</v>
      </c>
      <c r="M3753" s="38" t="s">
        <v>123</v>
      </c>
      <c r="N3753" s="41">
        <v>46006.9375</v>
      </c>
      <c r="O3753" s="38" t="s">
        <v>123</v>
      </c>
      <c r="P3753" s="38">
        <v>900.0</v>
      </c>
      <c r="Q3753" s="39"/>
      <c r="R3753" s="39"/>
      <c r="S3753" s="39"/>
      <c r="T3753" s="39"/>
      <c r="U3753" s="39"/>
    </row>
    <row r="3754">
      <c r="A3754" s="40">
        <f t="shared" si="1"/>
        <v>46006</v>
      </c>
      <c r="B3754" s="37" t="str">
        <f t="array" ref="B3754">iferror(xlookup($I3754, 'IMPORT VHC Report'!$E:$E, 'IMPORT VHC Report'!$A:$C), )</f>
        <v/>
      </c>
      <c r="C3754" s="37"/>
      <c r="D3754" s="37"/>
      <c r="E3754" s="38" t="s">
        <v>4522</v>
      </c>
      <c r="F3754" s="38" t="s">
        <v>4514</v>
      </c>
      <c r="G3754" s="38">
        <v>1.0333033832463E13</v>
      </c>
      <c r="H3754" s="38" t="s">
        <v>4515</v>
      </c>
      <c r="I3754" s="38" t="s">
        <v>4516</v>
      </c>
      <c r="J3754" s="38" t="s">
        <v>224</v>
      </c>
      <c r="K3754" s="38" t="s">
        <v>63</v>
      </c>
      <c r="L3754" s="41">
        <v>46006.9375</v>
      </c>
      <c r="M3754" s="38" t="s">
        <v>123</v>
      </c>
      <c r="N3754" s="41">
        <v>46007.0</v>
      </c>
      <c r="O3754" s="38" t="s">
        <v>123</v>
      </c>
      <c r="P3754" s="38">
        <v>5400.0</v>
      </c>
      <c r="Q3754" s="39"/>
      <c r="R3754" s="39"/>
      <c r="S3754" s="39"/>
      <c r="T3754" s="39"/>
      <c r="U3754" s="39"/>
    </row>
    <row r="3755">
      <c r="A3755" s="40">
        <f t="shared" si="1"/>
        <v>46006</v>
      </c>
      <c r="B3755" s="37" t="str">
        <f t="array" ref="B3755">iferror(xlookup($I3755, 'IMPORT VHC Report'!$E:$E, 'IMPORT VHC Report'!$A:$C), )</f>
        <v/>
      </c>
      <c r="C3755" s="37"/>
      <c r="D3755" s="37"/>
      <c r="E3755" s="38" t="s">
        <v>4523</v>
      </c>
      <c r="F3755" s="38" t="s">
        <v>4514</v>
      </c>
      <c r="G3755" s="38">
        <v>1.0333033832463E13</v>
      </c>
      <c r="H3755" s="38" t="s">
        <v>4515</v>
      </c>
      <c r="I3755" s="38" t="s">
        <v>4516</v>
      </c>
      <c r="J3755" s="38" t="s">
        <v>224</v>
      </c>
      <c r="K3755" s="38" t="s">
        <v>63</v>
      </c>
      <c r="L3755" s="41">
        <v>46007.625</v>
      </c>
      <c r="M3755" s="38" t="s">
        <v>123</v>
      </c>
      <c r="N3755" s="41">
        <v>46008.0</v>
      </c>
      <c r="O3755" s="38" t="s">
        <v>123</v>
      </c>
      <c r="P3755" s="38">
        <v>32400.0</v>
      </c>
      <c r="Q3755" s="39"/>
      <c r="R3755" s="39"/>
      <c r="S3755" s="39"/>
      <c r="T3755" s="39"/>
      <c r="U3755" s="39"/>
    </row>
    <row r="3756">
      <c r="A3756" s="40">
        <f t="shared" si="1"/>
        <v>46006</v>
      </c>
      <c r="B3756" s="37" t="str">
        <f t="array" ref="B3756">iferror(xlookup($I3756, 'IMPORT VHC Report'!$E:$E, 'IMPORT VHC Report'!$A:$C), )</f>
        <v/>
      </c>
      <c r="C3756" s="37"/>
      <c r="D3756" s="37"/>
      <c r="E3756" s="38" t="s">
        <v>4524</v>
      </c>
      <c r="F3756" s="38" t="s">
        <v>4514</v>
      </c>
      <c r="G3756" s="38">
        <v>1.0333033832463E13</v>
      </c>
      <c r="H3756" s="38" t="s">
        <v>4515</v>
      </c>
      <c r="I3756" s="38" t="s">
        <v>4516</v>
      </c>
      <c r="J3756" s="38" t="s">
        <v>134</v>
      </c>
      <c r="K3756" s="38" t="s">
        <v>126</v>
      </c>
      <c r="L3756" s="41">
        <v>46007.697916666664</v>
      </c>
      <c r="M3756" s="38" t="s">
        <v>123</v>
      </c>
      <c r="N3756" s="41">
        <v>46007.708333333336</v>
      </c>
      <c r="O3756" s="38" t="s">
        <v>123</v>
      </c>
      <c r="P3756" s="38">
        <v>900.0</v>
      </c>
      <c r="Q3756" s="39"/>
      <c r="R3756" s="39"/>
      <c r="S3756" s="39"/>
      <c r="T3756" s="39"/>
      <c r="U3756" s="39"/>
    </row>
    <row r="3757">
      <c r="A3757" s="40">
        <f t="shared" si="1"/>
        <v>46006</v>
      </c>
      <c r="B3757" s="37" t="str">
        <f t="array" ref="B3757">iferror(xlookup($I3757, 'IMPORT VHC Report'!$E:$E, 'IMPORT VHC Report'!$A:$C), )</f>
        <v/>
      </c>
      <c r="C3757" s="37"/>
      <c r="D3757" s="37"/>
      <c r="E3757" s="38" t="s">
        <v>4525</v>
      </c>
      <c r="F3757" s="38" t="s">
        <v>4514</v>
      </c>
      <c r="G3757" s="38">
        <v>1.0333033832463E13</v>
      </c>
      <c r="H3757" s="38" t="s">
        <v>4515</v>
      </c>
      <c r="I3757" s="38" t="s">
        <v>4516</v>
      </c>
      <c r="J3757" s="38" t="s">
        <v>134</v>
      </c>
      <c r="K3757" s="38" t="s">
        <v>126</v>
      </c>
      <c r="L3757" s="41">
        <v>46007.78125</v>
      </c>
      <c r="M3757" s="38" t="s">
        <v>123</v>
      </c>
      <c r="N3757" s="41">
        <v>46007.791666666664</v>
      </c>
      <c r="O3757" s="38" t="s">
        <v>123</v>
      </c>
      <c r="P3757" s="38">
        <v>900.0</v>
      </c>
      <c r="Q3757" s="39"/>
      <c r="R3757" s="39"/>
      <c r="S3757" s="39"/>
      <c r="T3757" s="39"/>
      <c r="U3757" s="39"/>
    </row>
    <row r="3758">
      <c r="A3758" s="40">
        <f t="shared" si="1"/>
        <v>46006</v>
      </c>
      <c r="B3758" s="37" t="str">
        <f t="array" ref="B3758">iferror(xlookup($I3758, 'IMPORT VHC Report'!$E:$E, 'IMPORT VHC Report'!$A:$C), )</f>
        <v/>
      </c>
      <c r="C3758" s="37"/>
      <c r="D3758" s="37"/>
      <c r="E3758" s="38" t="s">
        <v>4526</v>
      </c>
      <c r="F3758" s="38" t="s">
        <v>4514</v>
      </c>
      <c r="G3758" s="38">
        <v>1.0333033832463E13</v>
      </c>
      <c r="H3758" s="38" t="s">
        <v>4515</v>
      </c>
      <c r="I3758" s="38" t="s">
        <v>4516</v>
      </c>
      <c r="J3758" s="38" t="s">
        <v>132</v>
      </c>
      <c r="K3758" s="38" t="s">
        <v>126</v>
      </c>
      <c r="L3758" s="41">
        <v>46007.885416666664</v>
      </c>
      <c r="M3758" s="38" t="s">
        <v>123</v>
      </c>
      <c r="N3758" s="41">
        <v>46007.927083333336</v>
      </c>
      <c r="O3758" s="38" t="s">
        <v>123</v>
      </c>
      <c r="P3758" s="38">
        <v>3600.0</v>
      </c>
      <c r="Q3758" s="39"/>
      <c r="R3758" s="39"/>
      <c r="S3758" s="39"/>
      <c r="T3758" s="39"/>
      <c r="U3758" s="39"/>
    </row>
    <row r="3759">
      <c r="A3759" s="40">
        <f t="shared" si="1"/>
        <v>46006</v>
      </c>
      <c r="B3759" s="37" t="str">
        <f t="array" ref="B3759">iferror(xlookup($I3759, 'IMPORT VHC Report'!$E:$E, 'IMPORT VHC Report'!$A:$C), )</f>
        <v/>
      </c>
      <c r="C3759" s="37"/>
      <c r="D3759" s="37"/>
      <c r="E3759" s="38" t="s">
        <v>4527</v>
      </c>
      <c r="F3759" s="38" t="s">
        <v>4514</v>
      </c>
      <c r="G3759" s="38">
        <v>1.0333033832463E13</v>
      </c>
      <c r="H3759" s="38" t="s">
        <v>4515</v>
      </c>
      <c r="I3759" s="38" t="s">
        <v>4516</v>
      </c>
      <c r="J3759" s="38" t="s">
        <v>224</v>
      </c>
      <c r="K3759" s="38" t="s">
        <v>63</v>
      </c>
      <c r="L3759" s="41">
        <v>46008.625</v>
      </c>
      <c r="M3759" s="38" t="s">
        <v>123</v>
      </c>
      <c r="N3759" s="41">
        <v>46009.0</v>
      </c>
      <c r="O3759" s="38" t="s">
        <v>123</v>
      </c>
      <c r="P3759" s="38">
        <v>32400.0</v>
      </c>
      <c r="Q3759" s="39"/>
      <c r="R3759" s="39"/>
      <c r="S3759" s="39"/>
      <c r="T3759" s="39"/>
      <c r="U3759" s="39"/>
    </row>
    <row r="3760">
      <c r="A3760" s="40">
        <f t="shared" si="1"/>
        <v>46006</v>
      </c>
      <c r="B3760" s="37" t="str">
        <f t="array" ref="B3760">iferror(xlookup($I3760, 'IMPORT VHC Report'!$E:$E, 'IMPORT VHC Report'!$A:$C), )</f>
        <v/>
      </c>
      <c r="C3760" s="37"/>
      <c r="D3760" s="37"/>
      <c r="E3760" s="38" t="s">
        <v>4528</v>
      </c>
      <c r="F3760" s="38" t="s">
        <v>4514</v>
      </c>
      <c r="G3760" s="38">
        <v>1.0333033832463E13</v>
      </c>
      <c r="H3760" s="38" t="s">
        <v>4515</v>
      </c>
      <c r="I3760" s="38" t="s">
        <v>4516</v>
      </c>
      <c r="J3760" s="38" t="s">
        <v>134</v>
      </c>
      <c r="K3760" s="38" t="s">
        <v>126</v>
      </c>
      <c r="L3760" s="41">
        <v>46008.729166666664</v>
      </c>
      <c r="M3760" s="38" t="s">
        <v>123</v>
      </c>
      <c r="N3760" s="41">
        <v>46008.739583333336</v>
      </c>
      <c r="O3760" s="38" t="s">
        <v>123</v>
      </c>
      <c r="P3760" s="38">
        <v>900.0</v>
      </c>
      <c r="Q3760" s="39"/>
      <c r="R3760" s="39"/>
      <c r="S3760" s="39"/>
      <c r="T3760" s="39"/>
      <c r="U3760" s="39"/>
    </row>
    <row r="3761">
      <c r="A3761" s="40">
        <f t="shared" si="1"/>
        <v>46006</v>
      </c>
      <c r="B3761" s="37" t="str">
        <f t="array" ref="B3761">iferror(xlookup($I3761, 'IMPORT VHC Report'!$E:$E, 'IMPORT VHC Report'!$A:$C), )</f>
        <v/>
      </c>
      <c r="C3761" s="37"/>
      <c r="D3761" s="37"/>
      <c r="E3761" s="38" t="s">
        <v>4529</v>
      </c>
      <c r="F3761" s="38" t="s">
        <v>4514</v>
      </c>
      <c r="G3761" s="38">
        <v>1.0333033832463E13</v>
      </c>
      <c r="H3761" s="38" t="s">
        <v>4515</v>
      </c>
      <c r="I3761" s="38" t="s">
        <v>4516</v>
      </c>
      <c r="J3761" s="38" t="s">
        <v>224</v>
      </c>
      <c r="K3761" s="38" t="s">
        <v>63</v>
      </c>
      <c r="L3761" s="41">
        <v>46008.8125</v>
      </c>
      <c r="M3761" s="38" t="s">
        <v>123</v>
      </c>
      <c r="N3761" s="41">
        <v>46008.822916666664</v>
      </c>
      <c r="O3761" s="38" t="s">
        <v>123</v>
      </c>
      <c r="P3761" s="38">
        <v>900.0</v>
      </c>
      <c r="Q3761" s="39"/>
      <c r="R3761" s="39"/>
      <c r="S3761" s="39"/>
      <c r="T3761" s="39"/>
      <c r="U3761" s="39"/>
    </row>
    <row r="3762">
      <c r="A3762" s="40">
        <f t="shared" si="1"/>
        <v>46006</v>
      </c>
      <c r="B3762" s="37" t="str">
        <f t="array" ref="B3762">iferror(xlookup($I3762, 'IMPORT VHC Report'!$E:$E, 'IMPORT VHC Report'!$A:$C), )</f>
        <v/>
      </c>
      <c r="C3762" s="37"/>
      <c r="D3762" s="37"/>
      <c r="E3762" s="38" t="s">
        <v>4530</v>
      </c>
      <c r="F3762" s="38" t="s">
        <v>4514</v>
      </c>
      <c r="G3762" s="38">
        <v>1.0333033832463E13</v>
      </c>
      <c r="H3762" s="38" t="s">
        <v>4515</v>
      </c>
      <c r="I3762" s="38" t="s">
        <v>4516</v>
      </c>
      <c r="J3762" s="38" t="s">
        <v>134</v>
      </c>
      <c r="K3762" s="38" t="s">
        <v>126</v>
      </c>
      <c r="L3762" s="41">
        <v>46008.822916666664</v>
      </c>
      <c r="M3762" s="38" t="s">
        <v>123</v>
      </c>
      <c r="N3762" s="41">
        <v>46008.833333333336</v>
      </c>
      <c r="O3762" s="38" t="s">
        <v>123</v>
      </c>
      <c r="P3762" s="38">
        <v>900.0</v>
      </c>
      <c r="Q3762" s="39"/>
      <c r="R3762" s="39"/>
      <c r="S3762" s="38" t="s">
        <v>4531</v>
      </c>
      <c r="T3762" s="39"/>
      <c r="U3762" s="39"/>
    </row>
    <row r="3763">
      <c r="A3763" s="40">
        <f t="shared" si="1"/>
        <v>46006</v>
      </c>
      <c r="B3763" s="37" t="str">
        <f t="array" ref="B3763">iferror(xlookup($I3763, 'IMPORT VHC Report'!$E:$E, 'IMPORT VHC Report'!$A:$C), )</f>
        <v/>
      </c>
      <c r="C3763" s="37"/>
      <c r="D3763" s="37"/>
      <c r="E3763" s="38" t="s">
        <v>4532</v>
      </c>
      <c r="F3763" s="38" t="s">
        <v>4514</v>
      </c>
      <c r="G3763" s="38">
        <v>1.0333033832463E13</v>
      </c>
      <c r="H3763" s="38" t="s">
        <v>4515</v>
      </c>
      <c r="I3763" s="38" t="s">
        <v>4516</v>
      </c>
      <c r="J3763" s="38" t="s">
        <v>132</v>
      </c>
      <c r="K3763" s="38" t="s">
        <v>126</v>
      </c>
      <c r="L3763" s="41">
        <v>46008.895833333336</v>
      </c>
      <c r="M3763" s="38" t="s">
        <v>123</v>
      </c>
      <c r="N3763" s="41">
        <v>46008.9375</v>
      </c>
      <c r="O3763" s="38" t="s">
        <v>123</v>
      </c>
      <c r="P3763" s="38">
        <v>3600.0</v>
      </c>
      <c r="Q3763" s="39"/>
      <c r="R3763" s="39"/>
      <c r="S3763" s="39"/>
      <c r="T3763" s="39"/>
      <c r="U3763" s="39"/>
    </row>
    <row r="3764">
      <c r="A3764" s="40">
        <f t="shared" si="1"/>
        <v>46006</v>
      </c>
      <c r="B3764" s="37" t="str">
        <f t="array" ref="B3764">iferror(xlookup($I3764, 'IMPORT VHC Report'!$E:$E, 'IMPORT VHC Report'!$A:$C), )</f>
        <v/>
      </c>
      <c r="C3764" s="37"/>
      <c r="D3764" s="37"/>
      <c r="E3764" s="38" t="s">
        <v>4533</v>
      </c>
      <c r="F3764" s="38" t="s">
        <v>4514</v>
      </c>
      <c r="G3764" s="38">
        <v>1.0333033832463E13</v>
      </c>
      <c r="H3764" s="38" t="s">
        <v>4515</v>
      </c>
      <c r="I3764" s="38" t="s">
        <v>4516</v>
      </c>
      <c r="J3764" s="38" t="s">
        <v>224</v>
      </c>
      <c r="K3764" s="38" t="s">
        <v>63</v>
      </c>
      <c r="L3764" s="41">
        <v>46009.625</v>
      </c>
      <c r="M3764" s="38" t="s">
        <v>123</v>
      </c>
      <c r="N3764" s="41">
        <v>46009.71875</v>
      </c>
      <c r="O3764" s="38" t="s">
        <v>123</v>
      </c>
      <c r="P3764" s="38">
        <v>8100.0</v>
      </c>
      <c r="Q3764" s="39"/>
      <c r="R3764" s="39"/>
      <c r="S3764" s="39"/>
      <c r="T3764" s="39"/>
      <c r="U3764" s="39"/>
    </row>
    <row r="3765">
      <c r="A3765" s="40">
        <f t="shared" si="1"/>
        <v>46006</v>
      </c>
      <c r="B3765" s="37" t="str">
        <f t="array" ref="B3765">iferror(xlookup($I3765, 'IMPORT VHC Report'!$E:$E, 'IMPORT VHC Report'!$A:$C), )</f>
        <v/>
      </c>
      <c r="C3765" s="37"/>
      <c r="D3765" s="37"/>
      <c r="E3765" s="38" t="s">
        <v>4534</v>
      </c>
      <c r="F3765" s="38" t="s">
        <v>4514</v>
      </c>
      <c r="G3765" s="38">
        <v>1.0333033832463E13</v>
      </c>
      <c r="H3765" s="38" t="s">
        <v>4515</v>
      </c>
      <c r="I3765" s="38" t="s">
        <v>4516</v>
      </c>
      <c r="J3765" s="38" t="s">
        <v>152</v>
      </c>
      <c r="K3765" s="38" t="s">
        <v>153</v>
      </c>
      <c r="L3765" s="41">
        <v>46009.625</v>
      </c>
      <c r="M3765" s="38" t="s">
        <v>123</v>
      </c>
      <c r="N3765" s="41">
        <v>46010.0</v>
      </c>
      <c r="O3765" s="38" t="s">
        <v>123</v>
      </c>
      <c r="P3765" s="38">
        <v>32400.0</v>
      </c>
      <c r="Q3765" s="38">
        <v>32400.0</v>
      </c>
      <c r="R3765" s="39"/>
      <c r="S3765" s="39"/>
      <c r="T3765" s="39"/>
      <c r="U3765" s="39"/>
    </row>
    <row r="3766">
      <c r="A3766" s="40">
        <f t="shared" si="1"/>
        <v>46006</v>
      </c>
      <c r="B3766" s="37" t="str">
        <f t="array" ref="B3766">iferror(xlookup($I3766, 'IMPORT VHC Report'!$E:$E, 'IMPORT VHC Report'!$A:$C), )</f>
        <v/>
      </c>
      <c r="C3766" s="37"/>
      <c r="D3766" s="37"/>
      <c r="E3766" s="38" t="s">
        <v>4535</v>
      </c>
      <c r="F3766" s="38" t="s">
        <v>4514</v>
      </c>
      <c r="G3766" s="38">
        <v>1.0333033832463E13</v>
      </c>
      <c r="H3766" s="38" t="s">
        <v>4515</v>
      </c>
      <c r="I3766" s="38" t="s">
        <v>4516</v>
      </c>
      <c r="J3766" s="38" t="s">
        <v>134</v>
      </c>
      <c r="K3766" s="38" t="s">
        <v>126</v>
      </c>
      <c r="L3766" s="41">
        <v>46009.71875</v>
      </c>
      <c r="M3766" s="38" t="s">
        <v>123</v>
      </c>
      <c r="N3766" s="41">
        <v>46009.729166666664</v>
      </c>
      <c r="O3766" s="38" t="s">
        <v>123</v>
      </c>
      <c r="P3766" s="38">
        <v>900.0</v>
      </c>
      <c r="Q3766" s="39"/>
      <c r="R3766" s="39"/>
      <c r="S3766" s="39"/>
      <c r="T3766" s="39"/>
      <c r="U3766" s="39"/>
    </row>
    <row r="3767">
      <c r="A3767" s="40">
        <f t="shared" si="1"/>
        <v>46006</v>
      </c>
      <c r="B3767" s="37" t="str">
        <f t="array" ref="B3767">iferror(xlookup($I3767, 'IMPORT VHC Report'!$E:$E, 'IMPORT VHC Report'!$A:$C), )</f>
        <v/>
      </c>
      <c r="C3767" s="37"/>
      <c r="D3767" s="37"/>
      <c r="E3767" s="38" t="s">
        <v>4536</v>
      </c>
      <c r="F3767" s="38" t="s">
        <v>4514</v>
      </c>
      <c r="G3767" s="38">
        <v>1.0333033832463E13</v>
      </c>
      <c r="H3767" s="38" t="s">
        <v>4515</v>
      </c>
      <c r="I3767" s="38" t="s">
        <v>4516</v>
      </c>
      <c r="J3767" s="38" t="s">
        <v>224</v>
      </c>
      <c r="K3767" s="38" t="s">
        <v>63</v>
      </c>
      <c r="L3767" s="41">
        <v>46009.729166666664</v>
      </c>
      <c r="M3767" s="38" t="s">
        <v>123</v>
      </c>
      <c r="N3767" s="41">
        <v>46009.802083333336</v>
      </c>
      <c r="O3767" s="38" t="s">
        <v>123</v>
      </c>
      <c r="P3767" s="38">
        <v>6300.0</v>
      </c>
      <c r="Q3767" s="39"/>
      <c r="R3767" s="39"/>
      <c r="S3767" s="39"/>
      <c r="T3767" s="39"/>
      <c r="U3767" s="39"/>
    </row>
    <row r="3768">
      <c r="A3768" s="40">
        <f t="shared" si="1"/>
        <v>46006</v>
      </c>
      <c r="B3768" s="37" t="str">
        <f t="array" ref="B3768">iferror(xlookup($I3768, 'IMPORT VHC Report'!$E:$E, 'IMPORT VHC Report'!$A:$C), )</f>
        <v/>
      </c>
      <c r="C3768" s="37"/>
      <c r="D3768" s="37"/>
      <c r="E3768" s="38" t="s">
        <v>4537</v>
      </c>
      <c r="F3768" s="38" t="s">
        <v>4514</v>
      </c>
      <c r="G3768" s="38">
        <v>1.0333033832463E13</v>
      </c>
      <c r="H3768" s="38" t="s">
        <v>4515</v>
      </c>
      <c r="I3768" s="38" t="s">
        <v>4516</v>
      </c>
      <c r="J3768" s="38" t="s">
        <v>134</v>
      </c>
      <c r="K3768" s="38" t="s">
        <v>126</v>
      </c>
      <c r="L3768" s="41">
        <v>46009.802083333336</v>
      </c>
      <c r="M3768" s="38" t="s">
        <v>123</v>
      </c>
      <c r="N3768" s="41">
        <v>46009.8125</v>
      </c>
      <c r="O3768" s="38" t="s">
        <v>123</v>
      </c>
      <c r="P3768" s="38">
        <v>900.0</v>
      </c>
      <c r="Q3768" s="39"/>
      <c r="R3768" s="39"/>
      <c r="S3768" s="39"/>
      <c r="T3768" s="39"/>
      <c r="U3768" s="39"/>
    </row>
    <row r="3769">
      <c r="A3769" s="40">
        <f t="shared" si="1"/>
        <v>46006</v>
      </c>
      <c r="B3769" s="37" t="str">
        <f t="array" ref="B3769">iferror(xlookup($I3769, 'IMPORT VHC Report'!$E:$E, 'IMPORT VHC Report'!$A:$C), )</f>
        <v/>
      </c>
      <c r="C3769" s="37"/>
      <c r="D3769" s="37"/>
      <c r="E3769" s="38" t="s">
        <v>4538</v>
      </c>
      <c r="F3769" s="38" t="s">
        <v>4514</v>
      </c>
      <c r="G3769" s="38">
        <v>1.0333033832463E13</v>
      </c>
      <c r="H3769" s="38" t="s">
        <v>4515</v>
      </c>
      <c r="I3769" s="38" t="s">
        <v>4516</v>
      </c>
      <c r="J3769" s="38" t="s">
        <v>224</v>
      </c>
      <c r="K3769" s="38" t="s">
        <v>63</v>
      </c>
      <c r="L3769" s="41">
        <v>46009.8125</v>
      </c>
      <c r="M3769" s="38" t="s">
        <v>123</v>
      </c>
      <c r="N3769" s="41">
        <v>46009.885416666664</v>
      </c>
      <c r="O3769" s="38" t="s">
        <v>123</v>
      </c>
      <c r="P3769" s="38">
        <v>6300.0</v>
      </c>
      <c r="Q3769" s="39"/>
      <c r="R3769" s="39"/>
      <c r="S3769" s="39"/>
      <c r="T3769" s="39"/>
      <c r="U3769" s="39"/>
    </row>
    <row r="3770">
      <c r="A3770" s="40">
        <f t="shared" si="1"/>
        <v>46006</v>
      </c>
      <c r="B3770" s="37" t="str">
        <f t="array" ref="B3770">iferror(xlookup($I3770, 'IMPORT VHC Report'!$E:$E, 'IMPORT VHC Report'!$A:$C), )</f>
        <v/>
      </c>
      <c r="C3770" s="37"/>
      <c r="D3770" s="37"/>
      <c r="E3770" s="38" t="s">
        <v>4539</v>
      </c>
      <c r="F3770" s="38" t="s">
        <v>4514</v>
      </c>
      <c r="G3770" s="38">
        <v>1.0333033832463E13</v>
      </c>
      <c r="H3770" s="38" t="s">
        <v>4515</v>
      </c>
      <c r="I3770" s="38" t="s">
        <v>4516</v>
      </c>
      <c r="J3770" s="38" t="s">
        <v>132</v>
      </c>
      <c r="K3770" s="38" t="s">
        <v>126</v>
      </c>
      <c r="L3770" s="41">
        <v>46009.885416666664</v>
      </c>
      <c r="M3770" s="38" t="s">
        <v>123</v>
      </c>
      <c r="N3770" s="41">
        <v>46009.927083333336</v>
      </c>
      <c r="O3770" s="38" t="s">
        <v>123</v>
      </c>
      <c r="P3770" s="38">
        <v>3600.0</v>
      </c>
      <c r="Q3770" s="39"/>
      <c r="R3770" s="39"/>
      <c r="S3770" s="39"/>
      <c r="T3770" s="39"/>
      <c r="U3770" s="39"/>
    </row>
    <row r="3771">
      <c r="A3771" s="40">
        <f t="shared" si="1"/>
        <v>46006</v>
      </c>
      <c r="B3771" s="37" t="str">
        <f t="array" ref="B3771">iferror(xlookup($I3771, 'IMPORT VHC Report'!$E:$E, 'IMPORT VHC Report'!$A:$C), )</f>
        <v/>
      </c>
      <c r="C3771" s="37"/>
      <c r="D3771" s="37"/>
      <c r="E3771" s="38" t="s">
        <v>4540</v>
      </c>
      <c r="F3771" s="38" t="s">
        <v>4514</v>
      </c>
      <c r="G3771" s="38">
        <v>1.0333033832463E13</v>
      </c>
      <c r="H3771" s="38" t="s">
        <v>4515</v>
      </c>
      <c r="I3771" s="38" t="s">
        <v>4516</v>
      </c>
      <c r="J3771" s="38" t="s">
        <v>224</v>
      </c>
      <c r="K3771" s="38" t="s">
        <v>63</v>
      </c>
      <c r="L3771" s="41">
        <v>46009.927083333336</v>
      </c>
      <c r="M3771" s="38" t="s">
        <v>123</v>
      </c>
      <c r="N3771" s="41">
        <v>46010.0</v>
      </c>
      <c r="O3771" s="38" t="s">
        <v>123</v>
      </c>
      <c r="P3771" s="38">
        <v>6300.0</v>
      </c>
      <c r="Q3771" s="39"/>
      <c r="R3771" s="39"/>
      <c r="S3771" s="39"/>
      <c r="T3771" s="39"/>
      <c r="U3771" s="39"/>
    </row>
    <row r="3772">
      <c r="A3772" s="40">
        <f t="shared" si="1"/>
        <v>46006</v>
      </c>
      <c r="B3772" s="37" t="str">
        <f t="array" ref="B3772">iferror(xlookup($I3772, 'IMPORT VHC Report'!$E:$E, 'IMPORT VHC Report'!$A:$C), )</f>
        <v/>
      </c>
      <c r="C3772" s="37"/>
      <c r="D3772" s="37"/>
      <c r="E3772" s="38" t="s">
        <v>4541</v>
      </c>
      <c r="F3772" s="38" t="s">
        <v>4514</v>
      </c>
      <c r="G3772" s="38">
        <v>1.0333033832463E13</v>
      </c>
      <c r="H3772" s="38" t="s">
        <v>4515</v>
      </c>
      <c r="I3772" s="38" t="s">
        <v>4516</v>
      </c>
      <c r="J3772" s="38" t="s">
        <v>224</v>
      </c>
      <c r="K3772" s="38" t="s">
        <v>63</v>
      </c>
      <c r="L3772" s="41">
        <v>46010.625</v>
      </c>
      <c r="M3772" s="38" t="s">
        <v>123</v>
      </c>
      <c r="N3772" s="41">
        <v>46010.71875</v>
      </c>
      <c r="O3772" s="38" t="s">
        <v>123</v>
      </c>
      <c r="P3772" s="38">
        <v>8100.0</v>
      </c>
      <c r="Q3772" s="39"/>
      <c r="R3772" s="39"/>
      <c r="S3772" s="39"/>
      <c r="T3772" s="39"/>
      <c r="U3772" s="39"/>
    </row>
    <row r="3773">
      <c r="A3773" s="40">
        <f t="shared" si="1"/>
        <v>46006</v>
      </c>
      <c r="B3773" s="37" t="str">
        <f t="array" ref="B3773">iferror(xlookup($I3773, 'IMPORT VHC Report'!$E:$E, 'IMPORT VHC Report'!$A:$C), )</f>
        <v/>
      </c>
      <c r="C3773" s="37"/>
      <c r="D3773" s="37"/>
      <c r="E3773" s="38" t="s">
        <v>4542</v>
      </c>
      <c r="F3773" s="38" t="s">
        <v>4514</v>
      </c>
      <c r="G3773" s="38">
        <v>1.0333033832463E13</v>
      </c>
      <c r="H3773" s="38" t="s">
        <v>4515</v>
      </c>
      <c r="I3773" s="38" t="s">
        <v>4516</v>
      </c>
      <c r="J3773" s="38" t="s">
        <v>134</v>
      </c>
      <c r="K3773" s="38" t="s">
        <v>126</v>
      </c>
      <c r="L3773" s="41">
        <v>46010.71875</v>
      </c>
      <c r="M3773" s="38" t="s">
        <v>123</v>
      </c>
      <c r="N3773" s="41">
        <v>46010.729166666664</v>
      </c>
      <c r="O3773" s="38" t="s">
        <v>123</v>
      </c>
      <c r="P3773" s="38">
        <v>900.0</v>
      </c>
      <c r="Q3773" s="39"/>
      <c r="R3773" s="39"/>
      <c r="S3773" s="39"/>
      <c r="T3773" s="39"/>
      <c r="U3773" s="39"/>
    </row>
    <row r="3774">
      <c r="A3774" s="40">
        <f t="shared" si="1"/>
        <v>46006</v>
      </c>
      <c r="B3774" s="37" t="str">
        <f t="array" ref="B3774">iferror(xlookup($I3774, 'IMPORT VHC Report'!$E:$E, 'IMPORT VHC Report'!$A:$C), )</f>
        <v/>
      </c>
      <c r="C3774" s="37"/>
      <c r="D3774" s="37"/>
      <c r="E3774" s="38" t="s">
        <v>4543</v>
      </c>
      <c r="F3774" s="38" t="s">
        <v>4514</v>
      </c>
      <c r="G3774" s="38">
        <v>1.0333033832463E13</v>
      </c>
      <c r="H3774" s="38" t="s">
        <v>4515</v>
      </c>
      <c r="I3774" s="38" t="s">
        <v>4516</v>
      </c>
      <c r="J3774" s="38" t="s">
        <v>224</v>
      </c>
      <c r="K3774" s="38" t="s">
        <v>63</v>
      </c>
      <c r="L3774" s="41">
        <v>46010.729166666664</v>
      </c>
      <c r="M3774" s="38" t="s">
        <v>123</v>
      </c>
      <c r="N3774" s="41">
        <v>46010.822916666664</v>
      </c>
      <c r="O3774" s="38" t="s">
        <v>123</v>
      </c>
      <c r="P3774" s="38">
        <v>8100.0</v>
      </c>
      <c r="Q3774" s="39"/>
      <c r="R3774" s="39"/>
      <c r="S3774" s="39"/>
      <c r="T3774" s="39"/>
      <c r="U3774" s="39"/>
    </row>
    <row r="3775">
      <c r="A3775" s="40">
        <f t="shared" si="1"/>
        <v>46006</v>
      </c>
      <c r="B3775" s="37" t="str">
        <f t="array" ref="B3775">iferror(xlookup($I3775, 'IMPORT VHC Report'!$E:$E, 'IMPORT VHC Report'!$A:$C), )</f>
        <v/>
      </c>
      <c r="C3775" s="37"/>
      <c r="D3775" s="37"/>
      <c r="E3775" s="38" t="s">
        <v>4544</v>
      </c>
      <c r="F3775" s="38" t="s">
        <v>4514</v>
      </c>
      <c r="G3775" s="38">
        <v>1.0333033832463E13</v>
      </c>
      <c r="H3775" s="38" t="s">
        <v>4515</v>
      </c>
      <c r="I3775" s="38" t="s">
        <v>4516</v>
      </c>
      <c r="J3775" s="38" t="s">
        <v>132</v>
      </c>
      <c r="K3775" s="38" t="s">
        <v>126</v>
      </c>
      <c r="L3775" s="41">
        <v>46010.822916666664</v>
      </c>
      <c r="M3775" s="38" t="s">
        <v>123</v>
      </c>
      <c r="N3775" s="41">
        <v>46010.864583333336</v>
      </c>
      <c r="O3775" s="38" t="s">
        <v>123</v>
      </c>
      <c r="P3775" s="38">
        <v>3600.0</v>
      </c>
      <c r="Q3775" s="39"/>
      <c r="R3775" s="39"/>
      <c r="S3775" s="39"/>
      <c r="T3775" s="39"/>
      <c r="U3775" s="39"/>
    </row>
    <row r="3776">
      <c r="A3776" s="40">
        <f t="shared" si="1"/>
        <v>46006</v>
      </c>
      <c r="B3776" s="37" t="str">
        <f t="array" ref="B3776">iferror(xlookup($I3776, 'IMPORT VHC Report'!$E:$E, 'IMPORT VHC Report'!$A:$C), )</f>
        <v/>
      </c>
      <c r="C3776" s="37"/>
      <c r="D3776" s="37"/>
      <c r="E3776" s="38" t="s">
        <v>4545</v>
      </c>
      <c r="F3776" s="38" t="s">
        <v>4514</v>
      </c>
      <c r="G3776" s="38">
        <v>1.0333033832463E13</v>
      </c>
      <c r="H3776" s="38" t="s">
        <v>4515</v>
      </c>
      <c r="I3776" s="38" t="s">
        <v>4516</v>
      </c>
      <c r="J3776" s="38" t="s">
        <v>224</v>
      </c>
      <c r="K3776" s="38" t="s">
        <v>63</v>
      </c>
      <c r="L3776" s="41">
        <v>46010.864583333336</v>
      </c>
      <c r="M3776" s="38" t="s">
        <v>123</v>
      </c>
      <c r="N3776" s="41">
        <v>46010.927083333336</v>
      </c>
      <c r="O3776" s="38" t="s">
        <v>123</v>
      </c>
      <c r="P3776" s="38">
        <v>5400.0</v>
      </c>
      <c r="Q3776" s="39"/>
      <c r="R3776" s="39"/>
      <c r="S3776" s="39"/>
      <c r="T3776" s="39"/>
      <c r="U3776" s="39"/>
    </row>
    <row r="3777">
      <c r="A3777" s="40">
        <f t="shared" si="1"/>
        <v>46006</v>
      </c>
      <c r="B3777" s="37" t="str">
        <f t="array" ref="B3777">iferror(xlookup($I3777, 'IMPORT VHC Report'!$E:$E, 'IMPORT VHC Report'!$A:$C), )</f>
        <v/>
      </c>
      <c r="C3777" s="37"/>
      <c r="D3777" s="37"/>
      <c r="E3777" s="38" t="s">
        <v>4546</v>
      </c>
      <c r="F3777" s="38" t="s">
        <v>4514</v>
      </c>
      <c r="G3777" s="38">
        <v>1.0333033832463E13</v>
      </c>
      <c r="H3777" s="38" t="s">
        <v>4515</v>
      </c>
      <c r="I3777" s="38" t="s">
        <v>4516</v>
      </c>
      <c r="J3777" s="38" t="s">
        <v>134</v>
      </c>
      <c r="K3777" s="38" t="s">
        <v>126</v>
      </c>
      <c r="L3777" s="41">
        <v>46010.927083333336</v>
      </c>
      <c r="M3777" s="38" t="s">
        <v>123</v>
      </c>
      <c r="N3777" s="41">
        <v>46010.9375</v>
      </c>
      <c r="O3777" s="38" t="s">
        <v>123</v>
      </c>
      <c r="P3777" s="38">
        <v>900.0</v>
      </c>
      <c r="Q3777" s="39"/>
      <c r="R3777" s="39"/>
      <c r="S3777" s="39"/>
      <c r="T3777" s="39"/>
      <c r="U3777" s="39"/>
    </row>
    <row r="3778">
      <c r="A3778" s="40">
        <f t="shared" si="1"/>
        <v>46006</v>
      </c>
      <c r="B3778" s="37" t="str">
        <f t="array" ref="B3778">iferror(xlookup($I3778, 'IMPORT VHC Report'!$E:$E, 'IMPORT VHC Report'!$A:$C), )</f>
        <v/>
      </c>
      <c r="C3778" s="37"/>
      <c r="D3778" s="37"/>
      <c r="E3778" s="38" t="s">
        <v>4547</v>
      </c>
      <c r="F3778" s="38" t="s">
        <v>4514</v>
      </c>
      <c r="G3778" s="38">
        <v>1.0333033832463E13</v>
      </c>
      <c r="H3778" s="38" t="s">
        <v>4515</v>
      </c>
      <c r="I3778" s="38" t="s">
        <v>4516</v>
      </c>
      <c r="J3778" s="38" t="s">
        <v>224</v>
      </c>
      <c r="K3778" s="38" t="s">
        <v>63</v>
      </c>
      <c r="L3778" s="41">
        <v>46010.9375</v>
      </c>
      <c r="M3778" s="38" t="s">
        <v>123</v>
      </c>
      <c r="N3778" s="41">
        <v>46011.0</v>
      </c>
      <c r="O3778" s="38" t="s">
        <v>123</v>
      </c>
      <c r="P3778" s="38">
        <v>5400.0</v>
      </c>
      <c r="Q3778" s="39"/>
      <c r="R3778" s="39"/>
      <c r="S3778" s="39"/>
      <c r="T3778" s="39"/>
      <c r="U3778" s="39"/>
    </row>
    <row r="3779">
      <c r="A3779" s="40">
        <f t="shared" si="1"/>
        <v>46006</v>
      </c>
      <c r="B3779" s="37" t="str">
        <f t="array" ref="B3779">iferror(xlookup($I3779, 'IMPORT VHC Report'!$E:$E, 'IMPORT VHC Report'!$A:$C), )</f>
        <v/>
      </c>
      <c r="C3779" s="37"/>
      <c r="D3779" s="37"/>
      <c r="E3779" s="38" t="s">
        <v>4548</v>
      </c>
      <c r="F3779" s="38" t="s">
        <v>4549</v>
      </c>
      <c r="G3779" s="38">
        <v>1.0548626062351E13</v>
      </c>
      <c r="H3779" s="38" t="s">
        <v>4550</v>
      </c>
      <c r="I3779" s="38" t="s">
        <v>4551</v>
      </c>
      <c r="J3779" s="38" t="s">
        <v>125</v>
      </c>
      <c r="K3779" s="38" t="s">
        <v>126</v>
      </c>
      <c r="L3779" s="41">
        <v>46006.625</v>
      </c>
      <c r="M3779" s="38" t="s">
        <v>123</v>
      </c>
      <c r="N3779" s="41">
        <v>46006.635416666664</v>
      </c>
      <c r="O3779" s="38" t="s">
        <v>123</v>
      </c>
      <c r="P3779" s="38">
        <v>900.0</v>
      </c>
      <c r="Q3779" s="39"/>
      <c r="R3779" s="39"/>
      <c r="S3779" s="38" t="s">
        <v>199</v>
      </c>
      <c r="T3779" s="39"/>
      <c r="U3779" s="39"/>
    </row>
    <row r="3780">
      <c r="A3780" s="40">
        <f t="shared" si="1"/>
        <v>46006</v>
      </c>
      <c r="B3780" s="37" t="str">
        <f t="array" ref="B3780">iferror(xlookup($I3780, 'IMPORT VHC Report'!$E:$E, 'IMPORT VHC Report'!$A:$C), )</f>
        <v/>
      </c>
      <c r="C3780" s="37"/>
      <c r="D3780" s="37"/>
      <c r="E3780" s="38" t="s">
        <v>4552</v>
      </c>
      <c r="F3780" s="38" t="s">
        <v>4549</v>
      </c>
      <c r="G3780" s="38">
        <v>1.0548626062351E13</v>
      </c>
      <c r="H3780" s="38" t="s">
        <v>4550</v>
      </c>
      <c r="I3780" s="38" t="s">
        <v>4551</v>
      </c>
      <c r="J3780" s="38" t="s">
        <v>196</v>
      </c>
      <c r="K3780" s="38" t="s">
        <v>63</v>
      </c>
      <c r="L3780" s="41">
        <v>46006.625</v>
      </c>
      <c r="M3780" s="38" t="s">
        <v>123</v>
      </c>
      <c r="N3780" s="41">
        <v>46007.0</v>
      </c>
      <c r="O3780" s="38" t="s">
        <v>123</v>
      </c>
      <c r="P3780" s="38">
        <v>32400.0</v>
      </c>
      <c r="Q3780" s="39"/>
      <c r="R3780" s="39"/>
      <c r="S3780" s="39"/>
      <c r="T3780" s="39"/>
      <c r="U3780" s="39"/>
    </row>
    <row r="3781">
      <c r="A3781" s="40">
        <f t="shared" si="1"/>
        <v>46006</v>
      </c>
      <c r="B3781" s="37" t="str">
        <f t="array" ref="B3781">iferror(xlookup($I3781, 'IMPORT VHC Report'!$E:$E, 'IMPORT VHC Report'!$A:$C), )</f>
        <v/>
      </c>
      <c r="C3781" s="37"/>
      <c r="D3781" s="37"/>
      <c r="E3781" s="38" t="s">
        <v>4553</v>
      </c>
      <c r="F3781" s="38" t="s">
        <v>4549</v>
      </c>
      <c r="G3781" s="38">
        <v>1.0548626062351E13</v>
      </c>
      <c r="H3781" s="38" t="s">
        <v>4550</v>
      </c>
      <c r="I3781" s="38" t="s">
        <v>4551</v>
      </c>
      <c r="J3781" s="38" t="s">
        <v>132</v>
      </c>
      <c r="K3781" s="38" t="s">
        <v>126</v>
      </c>
      <c r="L3781" s="41">
        <v>46006.760416666664</v>
      </c>
      <c r="M3781" s="38" t="s">
        <v>123</v>
      </c>
      <c r="N3781" s="41">
        <v>46006.802083333336</v>
      </c>
      <c r="O3781" s="38" t="s">
        <v>123</v>
      </c>
      <c r="P3781" s="38">
        <v>3600.0</v>
      </c>
      <c r="Q3781" s="39"/>
      <c r="R3781" s="39"/>
      <c r="S3781" s="39"/>
      <c r="T3781" s="39"/>
      <c r="U3781" s="39"/>
    </row>
    <row r="3782">
      <c r="A3782" s="40">
        <f t="shared" si="1"/>
        <v>46006</v>
      </c>
      <c r="B3782" s="37" t="str">
        <f t="array" ref="B3782">iferror(xlookup($I3782, 'IMPORT VHC Report'!$E:$E, 'IMPORT VHC Report'!$A:$C), )</f>
        <v/>
      </c>
      <c r="C3782" s="37"/>
      <c r="D3782" s="37"/>
      <c r="E3782" s="38" t="s">
        <v>4554</v>
      </c>
      <c r="F3782" s="38" t="s">
        <v>4549</v>
      </c>
      <c r="G3782" s="38">
        <v>1.0548626062351E13</v>
      </c>
      <c r="H3782" s="38" t="s">
        <v>4550</v>
      </c>
      <c r="I3782" s="38" t="s">
        <v>4551</v>
      </c>
      <c r="J3782" s="38" t="s">
        <v>134</v>
      </c>
      <c r="K3782" s="38" t="s">
        <v>126</v>
      </c>
      <c r="L3782" s="41">
        <v>46006.916666666664</v>
      </c>
      <c r="M3782" s="38" t="s">
        <v>123</v>
      </c>
      <c r="N3782" s="41">
        <v>46006.9375</v>
      </c>
      <c r="O3782" s="38" t="s">
        <v>123</v>
      </c>
      <c r="P3782" s="38">
        <v>1800.0</v>
      </c>
      <c r="Q3782" s="39"/>
      <c r="R3782" s="39"/>
      <c r="S3782" s="39"/>
      <c r="T3782" s="39"/>
      <c r="U3782" s="39"/>
    </row>
    <row r="3783">
      <c r="A3783" s="40">
        <f t="shared" si="1"/>
        <v>46006</v>
      </c>
      <c r="B3783" s="37" t="str">
        <f t="array" ref="B3783">iferror(xlookup($I3783, 'IMPORT VHC Report'!$E:$E, 'IMPORT VHC Report'!$A:$C), )</f>
        <v/>
      </c>
      <c r="C3783" s="37"/>
      <c r="D3783" s="37"/>
      <c r="E3783" s="38" t="s">
        <v>4555</v>
      </c>
      <c r="F3783" s="38" t="s">
        <v>4549</v>
      </c>
      <c r="G3783" s="38">
        <v>1.0548626062351E13</v>
      </c>
      <c r="H3783" s="38" t="s">
        <v>4550</v>
      </c>
      <c r="I3783" s="38" t="s">
        <v>4551</v>
      </c>
      <c r="J3783" s="38" t="s">
        <v>125</v>
      </c>
      <c r="K3783" s="38" t="s">
        <v>126</v>
      </c>
      <c r="L3783" s="41">
        <v>46007.625</v>
      </c>
      <c r="M3783" s="38" t="s">
        <v>123</v>
      </c>
      <c r="N3783" s="41">
        <v>46007.635416666664</v>
      </c>
      <c r="O3783" s="38" t="s">
        <v>123</v>
      </c>
      <c r="P3783" s="38">
        <v>900.0</v>
      </c>
      <c r="Q3783" s="39"/>
      <c r="R3783" s="39"/>
      <c r="S3783" s="38" t="s">
        <v>199</v>
      </c>
      <c r="T3783" s="39"/>
      <c r="U3783" s="39"/>
    </row>
    <row r="3784">
      <c r="A3784" s="40">
        <f t="shared" si="1"/>
        <v>46006</v>
      </c>
      <c r="B3784" s="37" t="str">
        <f t="array" ref="B3784">iferror(xlookup($I3784, 'IMPORT VHC Report'!$E:$E, 'IMPORT VHC Report'!$A:$C), )</f>
        <v/>
      </c>
      <c r="C3784" s="37"/>
      <c r="D3784" s="37"/>
      <c r="E3784" s="38" t="s">
        <v>4556</v>
      </c>
      <c r="F3784" s="38" t="s">
        <v>4549</v>
      </c>
      <c r="G3784" s="38">
        <v>1.0548626062351E13</v>
      </c>
      <c r="H3784" s="38" t="s">
        <v>4550</v>
      </c>
      <c r="I3784" s="38" t="s">
        <v>4551</v>
      </c>
      <c r="J3784" s="38" t="s">
        <v>196</v>
      </c>
      <c r="K3784" s="38" t="s">
        <v>63</v>
      </c>
      <c r="L3784" s="41">
        <v>46007.625</v>
      </c>
      <c r="M3784" s="38" t="s">
        <v>123</v>
      </c>
      <c r="N3784" s="41">
        <v>46008.0</v>
      </c>
      <c r="O3784" s="38" t="s">
        <v>123</v>
      </c>
      <c r="P3784" s="38">
        <v>32400.0</v>
      </c>
      <c r="Q3784" s="39"/>
      <c r="R3784" s="39"/>
      <c r="S3784" s="39"/>
      <c r="T3784" s="39"/>
      <c r="U3784" s="39"/>
    </row>
    <row r="3785">
      <c r="A3785" s="40">
        <f t="shared" si="1"/>
        <v>46006</v>
      </c>
      <c r="B3785" s="37" t="str">
        <f t="array" ref="B3785">iferror(xlookup($I3785, 'IMPORT VHC Report'!$E:$E, 'IMPORT VHC Report'!$A:$C), )</f>
        <v/>
      </c>
      <c r="C3785" s="37"/>
      <c r="D3785" s="37"/>
      <c r="E3785" s="38" t="s">
        <v>4557</v>
      </c>
      <c r="F3785" s="38" t="s">
        <v>4549</v>
      </c>
      <c r="G3785" s="38">
        <v>1.0548626062351E13</v>
      </c>
      <c r="H3785" s="38" t="s">
        <v>4550</v>
      </c>
      <c r="I3785" s="38" t="s">
        <v>4551</v>
      </c>
      <c r="J3785" s="38" t="s">
        <v>178</v>
      </c>
      <c r="K3785" s="38" t="s">
        <v>153</v>
      </c>
      <c r="L3785" s="41">
        <v>46007.625</v>
      </c>
      <c r="M3785" s="38" t="s">
        <v>123</v>
      </c>
      <c r="N3785" s="41">
        <v>46008.0</v>
      </c>
      <c r="O3785" s="38" t="s">
        <v>123</v>
      </c>
      <c r="P3785" s="38">
        <v>32400.0</v>
      </c>
      <c r="Q3785" s="38">
        <v>86400.0</v>
      </c>
      <c r="R3785" s="38" t="s">
        <v>4558</v>
      </c>
      <c r="S3785" s="39"/>
      <c r="T3785" s="39"/>
      <c r="U3785" s="39"/>
    </row>
    <row r="3786">
      <c r="A3786" s="40">
        <f t="shared" si="1"/>
        <v>46006</v>
      </c>
      <c r="B3786" s="37" t="str">
        <f t="array" ref="B3786">iferror(xlookup($I3786, 'IMPORT VHC Report'!$E:$E, 'IMPORT VHC Report'!$A:$C), )</f>
        <v/>
      </c>
      <c r="C3786" s="37"/>
      <c r="D3786" s="37"/>
      <c r="E3786" s="38" t="s">
        <v>4559</v>
      </c>
      <c r="F3786" s="38" t="s">
        <v>4549</v>
      </c>
      <c r="G3786" s="38">
        <v>1.0548626062351E13</v>
      </c>
      <c r="H3786" s="38" t="s">
        <v>4550</v>
      </c>
      <c r="I3786" s="38" t="s">
        <v>4551</v>
      </c>
      <c r="J3786" s="38" t="s">
        <v>134</v>
      </c>
      <c r="K3786" s="38" t="s">
        <v>126</v>
      </c>
      <c r="L3786" s="41">
        <v>46007.729166666664</v>
      </c>
      <c r="M3786" s="38" t="s">
        <v>123</v>
      </c>
      <c r="N3786" s="41">
        <v>46007.75</v>
      </c>
      <c r="O3786" s="38" t="s">
        <v>123</v>
      </c>
      <c r="P3786" s="38">
        <v>1800.0</v>
      </c>
      <c r="Q3786" s="39"/>
      <c r="R3786" s="39"/>
      <c r="S3786" s="39"/>
      <c r="T3786" s="39"/>
      <c r="U3786" s="39"/>
    </row>
    <row r="3787">
      <c r="A3787" s="40">
        <f t="shared" si="1"/>
        <v>46006</v>
      </c>
      <c r="B3787" s="37" t="str">
        <f t="array" ref="B3787">iferror(xlookup($I3787, 'IMPORT VHC Report'!$E:$E, 'IMPORT VHC Report'!$A:$C), )</f>
        <v/>
      </c>
      <c r="C3787" s="37"/>
      <c r="D3787" s="37"/>
      <c r="E3787" s="38" t="s">
        <v>4560</v>
      </c>
      <c r="F3787" s="38" t="s">
        <v>4549</v>
      </c>
      <c r="G3787" s="38">
        <v>1.0548626062351E13</v>
      </c>
      <c r="H3787" s="38" t="s">
        <v>4550</v>
      </c>
      <c r="I3787" s="38" t="s">
        <v>4551</v>
      </c>
      <c r="J3787" s="38" t="s">
        <v>132</v>
      </c>
      <c r="K3787" s="38" t="s">
        <v>126</v>
      </c>
      <c r="L3787" s="41">
        <v>46007.864583333336</v>
      </c>
      <c r="M3787" s="38" t="s">
        <v>123</v>
      </c>
      <c r="N3787" s="41">
        <v>46007.90625</v>
      </c>
      <c r="O3787" s="38" t="s">
        <v>123</v>
      </c>
      <c r="P3787" s="38">
        <v>3600.0</v>
      </c>
      <c r="Q3787" s="39"/>
      <c r="R3787" s="39"/>
      <c r="S3787" s="39"/>
      <c r="T3787" s="39"/>
      <c r="U3787" s="39"/>
    </row>
    <row r="3788">
      <c r="A3788" s="40">
        <f t="shared" si="1"/>
        <v>46006</v>
      </c>
      <c r="B3788" s="37" t="str">
        <f t="array" ref="B3788">iferror(xlookup($I3788, 'IMPORT VHC Report'!$E:$E, 'IMPORT VHC Report'!$A:$C), )</f>
        <v/>
      </c>
      <c r="C3788" s="37"/>
      <c r="D3788" s="37"/>
      <c r="E3788" s="38" t="s">
        <v>4561</v>
      </c>
      <c r="F3788" s="38" t="s">
        <v>4549</v>
      </c>
      <c r="G3788" s="38">
        <v>1.0548626062351E13</v>
      </c>
      <c r="H3788" s="38" t="s">
        <v>4550</v>
      </c>
      <c r="I3788" s="38" t="s">
        <v>4551</v>
      </c>
      <c r="J3788" s="38" t="s">
        <v>125</v>
      </c>
      <c r="K3788" s="38" t="s">
        <v>126</v>
      </c>
      <c r="L3788" s="41">
        <v>46008.625</v>
      </c>
      <c r="M3788" s="38" t="s">
        <v>123</v>
      </c>
      <c r="N3788" s="41">
        <v>46008.635416666664</v>
      </c>
      <c r="O3788" s="38" t="s">
        <v>123</v>
      </c>
      <c r="P3788" s="38">
        <v>900.0</v>
      </c>
      <c r="Q3788" s="39"/>
      <c r="R3788" s="39"/>
      <c r="S3788" s="38" t="s">
        <v>199</v>
      </c>
      <c r="T3788" s="39"/>
      <c r="U3788" s="39"/>
    </row>
    <row r="3789">
      <c r="A3789" s="40">
        <f t="shared" si="1"/>
        <v>46006</v>
      </c>
      <c r="B3789" s="37" t="str">
        <f t="array" ref="B3789">iferror(xlookup($I3789, 'IMPORT VHC Report'!$E:$E, 'IMPORT VHC Report'!$A:$C), )</f>
        <v/>
      </c>
      <c r="C3789" s="37"/>
      <c r="D3789" s="37"/>
      <c r="E3789" s="38" t="s">
        <v>4562</v>
      </c>
      <c r="F3789" s="38" t="s">
        <v>4549</v>
      </c>
      <c r="G3789" s="38">
        <v>1.0548626062351E13</v>
      </c>
      <c r="H3789" s="38" t="s">
        <v>4550</v>
      </c>
      <c r="I3789" s="38" t="s">
        <v>4551</v>
      </c>
      <c r="J3789" s="38" t="s">
        <v>196</v>
      </c>
      <c r="K3789" s="38" t="s">
        <v>63</v>
      </c>
      <c r="L3789" s="41">
        <v>46008.625</v>
      </c>
      <c r="M3789" s="38" t="s">
        <v>123</v>
      </c>
      <c r="N3789" s="41">
        <v>46009.0</v>
      </c>
      <c r="O3789" s="38" t="s">
        <v>123</v>
      </c>
      <c r="P3789" s="38">
        <v>32400.0</v>
      </c>
      <c r="Q3789" s="39"/>
      <c r="R3789" s="39"/>
      <c r="S3789" s="39"/>
      <c r="T3789" s="39"/>
      <c r="U3789" s="39"/>
    </row>
    <row r="3790">
      <c r="A3790" s="40">
        <f t="shared" si="1"/>
        <v>46006</v>
      </c>
      <c r="B3790" s="37" t="str">
        <f t="array" ref="B3790">iferror(xlookup($I3790, 'IMPORT VHC Report'!$E:$E, 'IMPORT VHC Report'!$A:$C), )</f>
        <v/>
      </c>
      <c r="C3790" s="37"/>
      <c r="D3790" s="37"/>
      <c r="E3790" s="38" t="s">
        <v>4563</v>
      </c>
      <c r="F3790" s="38" t="s">
        <v>4549</v>
      </c>
      <c r="G3790" s="38">
        <v>1.0548626062351E13</v>
      </c>
      <c r="H3790" s="38" t="s">
        <v>4550</v>
      </c>
      <c r="I3790" s="38" t="s">
        <v>4551</v>
      </c>
      <c r="J3790" s="38" t="s">
        <v>178</v>
      </c>
      <c r="K3790" s="38" t="s">
        <v>153</v>
      </c>
      <c r="L3790" s="41">
        <v>46008.625</v>
      </c>
      <c r="M3790" s="38" t="s">
        <v>123</v>
      </c>
      <c r="N3790" s="41">
        <v>46009.0</v>
      </c>
      <c r="O3790" s="38" t="s">
        <v>123</v>
      </c>
      <c r="P3790" s="38">
        <v>32400.0</v>
      </c>
      <c r="Q3790" s="38">
        <v>32400.0</v>
      </c>
      <c r="R3790" s="39"/>
      <c r="S3790" s="39"/>
      <c r="T3790" s="39"/>
      <c r="U3790" s="39"/>
    </row>
    <row r="3791">
      <c r="A3791" s="40">
        <f t="shared" si="1"/>
        <v>46006</v>
      </c>
      <c r="B3791" s="37" t="str">
        <f t="array" ref="B3791">iferror(xlookup($I3791, 'IMPORT VHC Report'!$E:$E, 'IMPORT VHC Report'!$A:$C), )</f>
        <v/>
      </c>
      <c r="C3791" s="37"/>
      <c r="D3791" s="37"/>
      <c r="E3791" s="38" t="s">
        <v>4564</v>
      </c>
      <c r="F3791" s="38" t="s">
        <v>4549</v>
      </c>
      <c r="G3791" s="38">
        <v>1.0548626062351E13</v>
      </c>
      <c r="H3791" s="38" t="s">
        <v>4550</v>
      </c>
      <c r="I3791" s="38" t="s">
        <v>4551</v>
      </c>
      <c r="J3791" s="38" t="s">
        <v>132</v>
      </c>
      <c r="K3791" s="38" t="s">
        <v>126</v>
      </c>
      <c r="L3791" s="41">
        <v>46008.75</v>
      </c>
      <c r="M3791" s="38" t="s">
        <v>123</v>
      </c>
      <c r="N3791" s="41">
        <v>46008.791666666664</v>
      </c>
      <c r="O3791" s="38" t="s">
        <v>123</v>
      </c>
      <c r="P3791" s="38">
        <v>3600.0</v>
      </c>
      <c r="Q3791" s="39"/>
      <c r="R3791" s="39"/>
      <c r="S3791" s="39"/>
      <c r="T3791" s="39"/>
      <c r="U3791" s="39"/>
    </row>
    <row r="3792">
      <c r="A3792" s="40">
        <f t="shared" si="1"/>
        <v>46006</v>
      </c>
      <c r="B3792" s="37" t="str">
        <f t="array" ref="B3792">iferror(xlookup($I3792, 'IMPORT VHC Report'!$E:$E, 'IMPORT VHC Report'!$A:$C), )</f>
        <v/>
      </c>
      <c r="C3792" s="37"/>
      <c r="D3792" s="37"/>
      <c r="E3792" s="38" t="s">
        <v>4565</v>
      </c>
      <c r="F3792" s="38" t="s">
        <v>4549</v>
      </c>
      <c r="G3792" s="38">
        <v>1.0548626062351E13</v>
      </c>
      <c r="H3792" s="38" t="s">
        <v>4550</v>
      </c>
      <c r="I3792" s="38" t="s">
        <v>4551</v>
      </c>
      <c r="J3792" s="38" t="s">
        <v>134</v>
      </c>
      <c r="K3792" s="38" t="s">
        <v>126</v>
      </c>
      <c r="L3792" s="41">
        <v>46008.895833333336</v>
      </c>
      <c r="M3792" s="38" t="s">
        <v>123</v>
      </c>
      <c r="N3792" s="41">
        <v>46008.916666666664</v>
      </c>
      <c r="O3792" s="38" t="s">
        <v>123</v>
      </c>
      <c r="P3792" s="38">
        <v>1800.0</v>
      </c>
      <c r="Q3792" s="39"/>
      <c r="R3792" s="39"/>
      <c r="S3792" s="39"/>
      <c r="T3792" s="39"/>
      <c r="U3792" s="39"/>
    </row>
    <row r="3793">
      <c r="A3793" s="40">
        <f t="shared" si="1"/>
        <v>46006</v>
      </c>
      <c r="B3793" s="37" t="str">
        <f t="array" ref="B3793">iferror(xlookup($I3793, 'IMPORT VHC Report'!$E:$E, 'IMPORT VHC Report'!$A:$C), )</f>
        <v/>
      </c>
      <c r="C3793" s="37"/>
      <c r="D3793" s="37"/>
      <c r="E3793" s="38" t="s">
        <v>4566</v>
      </c>
      <c r="F3793" s="38" t="s">
        <v>4549</v>
      </c>
      <c r="G3793" s="38">
        <v>1.0548626062351E13</v>
      </c>
      <c r="H3793" s="38" t="s">
        <v>4550</v>
      </c>
      <c r="I3793" s="38" t="s">
        <v>4551</v>
      </c>
      <c r="J3793" s="38" t="s">
        <v>125</v>
      </c>
      <c r="K3793" s="38" t="s">
        <v>126</v>
      </c>
      <c r="L3793" s="41">
        <v>46009.625</v>
      </c>
      <c r="M3793" s="38" t="s">
        <v>123</v>
      </c>
      <c r="N3793" s="41">
        <v>46009.635416666664</v>
      </c>
      <c r="O3793" s="38" t="s">
        <v>123</v>
      </c>
      <c r="P3793" s="38">
        <v>900.0</v>
      </c>
      <c r="Q3793" s="39"/>
      <c r="R3793" s="39"/>
      <c r="S3793" s="38" t="s">
        <v>199</v>
      </c>
      <c r="T3793" s="39"/>
      <c r="U3793" s="39"/>
    </row>
    <row r="3794">
      <c r="A3794" s="40">
        <f t="shared" si="1"/>
        <v>46006</v>
      </c>
      <c r="B3794" s="37" t="str">
        <f t="array" ref="B3794">iferror(xlookup($I3794, 'IMPORT VHC Report'!$E:$E, 'IMPORT VHC Report'!$A:$C), )</f>
        <v/>
      </c>
      <c r="C3794" s="37"/>
      <c r="D3794" s="37"/>
      <c r="E3794" s="38" t="s">
        <v>4567</v>
      </c>
      <c r="F3794" s="38" t="s">
        <v>4549</v>
      </c>
      <c r="G3794" s="38">
        <v>1.0548626062351E13</v>
      </c>
      <c r="H3794" s="38" t="s">
        <v>4550</v>
      </c>
      <c r="I3794" s="38" t="s">
        <v>4551</v>
      </c>
      <c r="J3794" s="38" t="s">
        <v>196</v>
      </c>
      <c r="K3794" s="38" t="s">
        <v>63</v>
      </c>
      <c r="L3794" s="41">
        <v>46009.625</v>
      </c>
      <c r="M3794" s="38" t="s">
        <v>123</v>
      </c>
      <c r="N3794" s="41">
        <v>46009.854166666664</v>
      </c>
      <c r="O3794" s="38" t="s">
        <v>123</v>
      </c>
      <c r="P3794" s="38">
        <v>19800.0</v>
      </c>
      <c r="Q3794" s="39"/>
      <c r="R3794" s="39"/>
      <c r="S3794" s="39"/>
      <c r="T3794" s="39"/>
      <c r="U3794" s="39"/>
    </row>
    <row r="3795">
      <c r="A3795" s="40">
        <f t="shared" si="1"/>
        <v>46006</v>
      </c>
      <c r="B3795" s="37" t="str">
        <f t="array" ref="B3795">iferror(xlookup($I3795, 'IMPORT VHC Report'!$E:$E, 'IMPORT VHC Report'!$A:$C), )</f>
        <v/>
      </c>
      <c r="C3795" s="37"/>
      <c r="D3795" s="37"/>
      <c r="E3795" s="38" t="s">
        <v>4568</v>
      </c>
      <c r="F3795" s="38" t="s">
        <v>4549</v>
      </c>
      <c r="G3795" s="38">
        <v>1.0548626062351E13</v>
      </c>
      <c r="H3795" s="38" t="s">
        <v>4550</v>
      </c>
      <c r="I3795" s="38" t="s">
        <v>4551</v>
      </c>
      <c r="J3795" s="38" t="s">
        <v>178</v>
      </c>
      <c r="K3795" s="38" t="s">
        <v>153</v>
      </c>
      <c r="L3795" s="41">
        <v>46009.625</v>
      </c>
      <c r="M3795" s="38" t="s">
        <v>123</v>
      </c>
      <c r="N3795" s="41">
        <v>46010.0</v>
      </c>
      <c r="O3795" s="38" t="s">
        <v>123</v>
      </c>
      <c r="P3795" s="38">
        <v>32400.0</v>
      </c>
      <c r="Q3795" s="38">
        <v>32400.0</v>
      </c>
      <c r="R3795" s="39"/>
      <c r="S3795" s="39"/>
      <c r="T3795" s="39"/>
      <c r="U3795" s="39"/>
    </row>
    <row r="3796">
      <c r="A3796" s="40">
        <f t="shared" si="1"/>
        <v>46006</v>
      </c>
      <c r="B3796" s="37" t="str">
        <f t="array" ref="B3796">iferror(xlookup($I3796, 'IMPORT VHC Report'!$E:$E, 'IMPORT VHC Report'!$A:$C), )</f>
        <v/>
      </c>
      <c r="C3796" s="37"/>
      <c r="D3796" s="37"/>
      <c r="E3796" s="38" t="s">
        <v>4569</v>
      </c>
      <c r="F3796" s="38" t="s">
        <v>4549</v>
      </c>
      <c r="G3796" s="38">
        <v>1.0548626062351E13</v>
      </c>
      <c r="H3796" s="38" t="s">
        <v>4550</v>
      </c>
      <c r="I3796" s="38" t="s">
        <v>4551</v>
      </c>
      <c r="J3796" s="38" t="s">
        <v>134</v>
      </c>
      <c r="K3796" s="38" t="s">
        <v>126</v>
      </c>
      <c r="L3796" s="41">
        <v>46009.739583333336</v>
      </c>
      <c r="M3796" s="38" t="s">
        <v>123</v>
      </c>
      <c r="N3796" s="41">
        <v>46009.760416666664</v>
      </c>
      <c r="O3796" s="38" t="s">
        <v>123</v>
      </c>
      <c r="P3796" s="38">
        <v>1800.0</v>
      </c>
      <c r="Q3796" s="39"/>
      <c r="R3796" s="39"/>
      <c r="S3796" s="39"/>
      <c r="T3796" s="39"/>
      <c r="U3796" s="39"/>
    </row>
    <row r="3797">
      <c r="A3797" s="40">
        <f t="shared" si="1"/>
        <v>46006</v>
      </c>
      <c r="B3797" s="37" t="str">
        <f t="array" ref="B3797">iferror(xlookup($I3797, 'IMPORT VHC Report'!$E:$E, 'IMPORT VHC Report'!$A:$C), )</f>
        <v/>
      </c>
      <c r="C3797" s="37"/>
      <c r="D3797" s="37"/>
      <c r="E3797" s="38" t="s">
        <v>4570</v>
      </c>
      <c r="F3797" s="38" t="s">
        <v>4549</v>
      </c>
      <c r="G3797" s="38">
        <v>1.0548626062351E13</v>
      </c>
      <c r="H3797" s="38" t="s">
        <v>4550</v>
      </c>
      <c r="I3797" s="38" t="s">
        <v>4551</v>
      </c>
      <c r="J3797" s="38" t="s">
        <v>62</v>
      </c>
      <c r="K3797" s="38" t="s">
        <v>63</v>
      </c>
      <c r="L3797" s="41">
        <v>46009.854166666664</v>
      </c>
      <c r="M3797" s="38" t="s">
        <v>123</v>
      </c>
      <c r="N3797" s="41">
        <v>46009.916666666664</v>
      </c>
      <c r="O3797" s="38" t="s">
        <v>123</v>
      </c>
      <c r="P3797" s="38">
        <v>5400.0</v>
      </c>
      <c r="Q3797" s="39"/>
      <c r="R3797" s="39"/>
      <c r="S3797" s="39"/>
      <c r="T3797" s="39"/>
      <c r="U3797" s="39"/>
    </row>
    <row r="3798">
      <c r="A3798" s="40">
        <f t="shared" si="1"/>
        <v>46006</v>
      </c>
      <c r="B3798" s="37" t="str">
        <f t="array" ref="B3798">iferror(xlookup($I3798, 'IMPORT VHC Report'!$E:$E, 'IMPORT VHC Report'!$A:$C), )</f>
        <v/>
      </c>
      <c r="C3798" s="37"/>
      <c r="D3798" s="37"/>
      <c r="E3798" s="38" t="s">
        <v>4571</v>
      </c>
      <c r="F3798" s="38" t="s">
        <v>4549</v>
      </c>
      <c r="G3798" s="38">
        <v>1.0548626062351E13</v>
      </c>
      <c r="H3798" s="38" t="s">
        <v>4550</v>
      </c>
      <c r="I3798" s="38" t="s">
        <v>4551</v>
      </c>
      <c r="J3798" s="38" t="s">
        <v>132</v>
      </c>
      <c r="K3798" s="38" t="s">
        <v>126</v>
      </c>
      <c r="L3798" s="41">
        <v>46009.875</v>
      </c>
      <c r="M3798" s="38" t="s">
        <v>123</v>
      </c>
      <c r="N3798" s="41">
        <v>46009.916666666664</v>
      </c>
      <c r="O3798" s="38" t="s">
        <v>123</v>
      </c>
      <c r="P3798" s="38">
        <v>3600.0</v>
      </c>
      <c r="Q3798" s="39"/>
      <c r="R3798" s="39"/>
      <c r="S3798" s="39"/>
      <c r="T3798" s="39"/>
      <c r="U3798" s="39"/>
    </row>
    <row r="3799">
      <c r="A3799" s="40">
        <f t="shared" si="1"/>
        <v>46006</v>
      </c>
      <c r="B3799" s="37" t="str">
        <f t="array" ref="B3799">iferror(xlookup($I3799, 'IMPORT VHC Report'!$E:$E, 'IMPORT VHC Report'!$A:$C), )</f>
        <v/>
      </c>
      <c r="C3799" s="37"/>
      <c r="D3799" s="37"/>
      <c r="E3799" s="38" t="s">
        <v>4572</v>
      </c>
      <c r="F3799" s="38" t="s">
        <v>4549</v>
      </c>
      <c r="G3799" s="38">
        <v>1.0548626062351E13</v>
      </c>
      <c r="H3799" s="38" t="s">
        <v>4550</v>
      </c>
      <c r="I3799" s="38" t="s">
        <v>4551</v>
      </c>
      <c r="J3799" s="38" t="s">
        <v>196</v>
      </c>
      <c r="K3799" s="38" t="s">
        <v>63</v>
      </c>
      <c r="L3799" s="41">
        <v>46009.875</v>
      </c>
      <c r="M3799" s="38" t="s">
        <v>123</v>
      </c>
      <c r="N3799" s="41">
        <v>46010.0</v>
      </c>
      <c r="O3799" s="38" t="s">
        <v>123</v>
      </c>
      <c r="P3799" s="38">
        <v>10800.0</v>
      </c>
      <c r="Q3799" s="39"/>
      <c r="R3799" s="39"/>
      <c r="S3799" s="39"/>
      <c r="T3799" s="39"/>
      <c r="U3799" s="39"/>
    </row>
    <row r="3800">
      <c r="A3800" s="40">
        <f t="shared" si="1"/>
        <v>46006</v>
      </c>
      <c r="B3800" s="37" t="str">
        <f t="array" ref="B3800">iferror(xlookup($I3800, 'IMPORT VHC Report'!$E:$E, 'IMPORT VHC Report'!$A:$C), )</f>
        <v/>
      </c>
      <c r="C3800" s="37"/>
      <c r="D3800" s="37"/>
      <c r="E3800" s="38" t="s">
        <v>4573</v>
      </c>
      <c r="F3800" s="38" t="s">
        <v>4549</v>
      </c>
      <c r="G3800" s="38">
        <v>1.0548626062351E13</v>
      </c>
      <c r="H3800" s="38" t="s">
        <v>4550</v>
      </c>
      <c r="I3800" s="38" t="s">
        <v>4551</v>
      </c>
      <c r="J3800" s="38" t="s">
        <v>125</v>
      </c>
      <c r="K3800" s="38" t="s">
        <v>126</v>
      </c>
      <c r="L3800" s="41">
        <v>46012.625</v>
      </c>
      <c r="M3800" s="38" t="s">
        <v>123</v>
      </c>
      <c r="N3800" s="41">
        <v>46012.635416666664</v>
      </c>
      <c r="O3800" s="38" t="s">
        <v>123</v>
      </c>
      <c r="P3800" s="38">
        <v>900.0</v>
      </c>
      <c r="Q3800" s="39"/>
      <c r="R3800" s="39"/>
      <c r="S3800" s="38" t="s">
        <v>199</v>
      </c>
      <c r="T3800" s="39"/>
      <c r="U3800" s="39"/>
    </row>
    <row r="3801">
      <c r="A3801" s="40">
        <f t="shared" si="1"/>
        <v>46006</v>
      </c>
      <c r="B3801" s="37" t="str">
        <f t="array" ref="B3801">iferror(xlookup($I3801, 'IMPORT VHC Report'!$E:$E, 'IMPORT VHC Report'!$A:$C), )</f>
        <v/>
      </c>
      <c r="C3801" s="37"/>
      <c r="D3801" s="37"/>
      <c r="E3801" s="38" t="s">
        <v>4574</v>
      </c>
      <c r="F3801" s="38" t="s">
        <v>4549</v>
      </c>
      <c r="G3801" s="38">
        <v>1.0548626062351E13</v>
      </c>
      <c r="H3801" s="38" t="s">
        <v>4550</v>
      </c>
      <c r="I3801" s="38" t="s">
        <v>4551</v>
      </c>
      <c r="J3801" s="38" t="s">
        <v>196</v>
      </c>
      <c r="K3801" s="38" t="s">
        <v>63</v>
      </c>
      <c r="L3801" s="41">
        <v>46012.625</v>
      </c>
      <c r="M3801" s="38" t="s">
        <v>123</v>
      </c>
      <c r="N3801" s="41">
        <v>46013.0</v>
      </c>
      <c r="O3801" s="38" t="s">
        <v>123</v>
      </c>
      <c r="P3801" s="38">
        <v>32400.0</v>
      </c>
      <c r="Q3801" s="39"/>
      <c r="R3801" s="39"/>
      <c r="S3801" s="39"/>
      <c r="T3801" s="39"/>
      <c r="U3801" s="39"/>
    </row>
    <row r="3802">
      <c r="A3802" s="40">
        <f t="shared" si="1"/>
        <v>46006</v>
      </c>
      <c r="B3802" s="37" t="str">
        <f t="array" ref="B3802">iferror(xlookup($I3802, 'IMPORT VHC Report'!$E:$E, 'IMPORT VHC Report'!$A:$C), )</f>
        <v/>
      </c>
      <c r="C3802" s="37"/>
      <c r="D3802" s="37"/>
      <c r="E3802" s="38" t="s">
        <v>4575</v>
      </c>
      <c r="F3802" s="38" t="s">
        <v>4549</v>
      </c>
      <c r="G3802" s="38">
        <v>1.0548626062351E13</v>
      </c>
      <c r="H3802" s="38" t="s">
        <v>4550</v>
      </c>
      <c r="I3802" s="38" t="s">
        <v>4551</v>
      </c>
      <c r="J3802" s="38" t="s">
        <v>178</v>
      </c>
      <c r="K3802" s="38" t="s">
        <v>153</v>
      </c>
      <c r="L3802" s="41">
        <v>46012.625</v>
      </c>
      <c r="M3802" s="38" t="s">
        <v>123</v>
      </c>
      <c r="N3802" s="41">
        <v>46013.0</v>
      </c>
      <c r="O3802" s="38" t="s">
        <v>123</v>
      </c>
      <c r="P3802" s="38">
        <v>32400.0</v>
      </c>
      <c r="Q3802" s="38">
        <v>32400.0</v>
      </c>
      <c r="R3802" s="39"/>
      <c r="S3802" s="39"/>
      <c r="T3802" s="39"/>
      <c r="U3802" s="39"/>
    </row>
    <row r="3803">
      <c r="A3803" s="40">
        <f t="shared" si="1"/>
        <v>46006</v>
      </c>
      <c r="B3803" s="37" t="str">
        <f t="array" ref="B3803">iferror(xlookup($I3803, 'IMPORT VHC Report'!$E:$E, 'IMPORT VHC Report'!$A:$C), )</f>
        <v/>
      </c>
      <c r="C3803" s="37"/>
      <c r="D3803" s="37"/>
      <c r="E3803" s="38" t="s">
        <v>4576</v>
      </c>
      <c r="F3803" s="38" t="s">
        <v>4549</v>
      </c>
      <c r="G3803" s="38">
        <v>1.0548626062351E13</v>
      </c>
      <c r="H3803" s="38" t="s">
        <v>4550</v>
      </c>
      <c r="I3803" s="38" t="s">
        <v>4551</v>
      </c>
      <c r="J3803" s="38" t="s">
        <v>134</v>
      </c>
      <c r="K3803" s="38" t="s">
        <v>126</v>
      </c>
      <c r="L3803" s="41">
        <v>46012.75</v>
      </c>
      <c r="M3803" s="38" t="s">
        <v>123</v>
      </c>
      <c r="N3803" s="41">
        <v>46012.770833333336</v>
      </c>
      <c r="O3803" s="38" t="s">
        <v>123</v>
      </c>
      <c r="P3803" s="38">
        <v>1800.0</v>
      </c>
      <c r="Q3803" s="39"/>
      <c r="R3803" s="39"/>
      <c r="S3803" s="39"/>
      <c r="T3803" s="39"/>
      <c r="U3803" s="39"/>
    </row>
    <row r="3804">
      <c r="A3804" s="40">
        <f t="shared" si="1"/>
        <v>46006</v>
      </c>
      <c r="B3804" s="37" t="str">
        <f t="array" ref="B3804">iferror(xlookup($I3804, 'IMPORT VHC Report'!$E:$E, 'IMPORT VHC Report'!$A:$C), )</f>
        <v/>
      </c>
      <c r="C3804" s="37"/>
      <c r="D3804" s="37"/>
      <c r="E3804" s="38" t="s">
        <v>4577</v>
      </c>
      <c r="F3804" s="38" t="s">
        <v>4549</v>
      </c>
      <c r="G3804" s="38">
        <v>1.0548626062351E13</v>
      </c>
      <c r="H3804" s="38" t="s">
        <v>4550</v>
      </c>
      <c r="I3804" s="38" t="s">
        <v>4551</v>
      </c>
      <c r="J3804" s="38" t="s">
        <v>132</v>
      </c>
      <c r="K3804" s="38" t="s">
        <v>126</v>
      </c>
      <c r="L3804" s="41">
        <v>46012.875</v>
      </c>
      <c r="M3804" s="38" t="s">
        <v>123</v>
      </c>
      <c r="N3804" s="41">
        <v>46012.916666666664</v>
      </c>
      <c r="O3804" s="38" t="s">
        <v>123</v>
      </c>
      <c r="P3804" s="38">
        <v>3600.0</v>
      </c>
      <c r="Q3804" s="39"/>
      <c r="R3804" s="39"/>
      <c r="S3804" s="39"/>
      <c r="T3804" s="39"/>
      <c r="U3804" s="39"/>
    </row>
    <row r="3805">
      <c r="A3805" s="40">
        <f t="shared" si="1"/>
        <v>46006</v>
      </c>
      <c r="B3805" s="37" t="str">
        <f t="array" ref="B3805">iferror(xlookup($I3805, 'IMPORT VHC Report'!$E:$E, 'IMPORT VHC Report'!$A:$C), )</f>
        <v/>
      </c>
      <c r="C3805" s="37"/>
      <c r="D3805" s="37"/>
      <c r="E3805" s="38" t="s">
        <v>4578</v>
      </c>
      <c r="F3805" s="38" t="s">
        <v>4579</v>
      </c>
      <c r="G3805" s="38">
        <v>3.61731516675E11</v>
      </c>
      <c r="H3805" s="38" t="s">
        <v>4580</v>
      </c>
      <c r="I3805" s="38" t="s">
        <v>4581</v>
      </c>
      <c r="J3805" s="38" t="s">
        <v>224</v>
      </c>
      <c r="K3805" s="38" t="s">
        <v>63</v>
      </c>
      <c r="L3805" s="41">
        <v>46006.625</v>
      </c>
      <c r="M3805" s="38" t="s">
        <v>123</v>
      </c>
      <c r="N3805" s="41">
        <v>46007.0</v>
      </c>
      <c r="O3805" s="38" t="s">
        <v>123</v>
      </c>
      <c r="P3805" s="38">
        <v>32400.0</v>
      </c>
      <c r="Q3805" s="39"/>
      <c r="R3805" s="39"/>
      <c r="S3805" s="39"/>
      <c r="T3805" s="39"/>
      <c r="U3805" s="39"/>
    </row>
    <row r="3806">
      <c r="A3806" s="40">
        <f t="shared" si="1"/>
        <v>46006</v>
      </c>
      <c r="B3806" s="37" t="str">
        <f t="array" ref="B3806">iferror(xlookup($I3806, 'IMPORT VHC Report'!$E:$E, 'IMPORT VHC Report'!$A:$C), )</f>
        <v/>
      </c>
      <c r="C3806" s="37"/>
      <c r="D3806" s="37"/>
      <c r="E3806" s="38" t="s">
        <v>4582</v>
      </c>
      <c r="F3806" s="38" t="s">
        <v>4579</v>
      </c>
      <c r="G3806" s="38">
        <v>3.61731516675E11</v>
      </c>
      <c r="H3806" s="38" t="s">
        <v>4580</v>
      </c>
      <c r="I3806" s="38" t="s">
        <v>4581</v>
      </c>
      <c r="J3806" s="38" t="s">
        <v>132</v>
      </c>
      <c r="K3806" s="38" t="s">
        <v>126</v>
      </c>
      <c r="L3806" s="41">
        <v>46006.729166666664</v>
      </c>
      <c r="M3806" s="38" t="s">
        <v>123</v>
      </c>
      <c r="N3806" s="41">
        <v>46006.770833333336</v>
      </c>
      <c r="O3806" s="38" t="s">
        <v>123</v>
      </c>
      <c r="P3806" s="38">
        <v>3600.0</v>
      </c>
      <c r="Q3806" s="39"/>
      <c r="R3806" s="39"/>
      <c r="S3806" s="39"/>
      <c r="T3806" s="39"/>
      <c r="U3806" s="39"/>
    </row>
    <row r="3807">
      <c r="A3807" s="40">
        <f t="shared" si="1"/>
        <v>46006</v>
      </c>
      <c r="B3807" s="37" t="str">
        <f t="array" ref="B3807">iferror(xlookup($I3807, 'IMPORT VHC Report'!$E:$E, 'IMPORT VHC Report'!$A:$C), )</f>
        <v/>
      </c>
      <c r="C3807" s="37"/>
      <c r="D3807" s="37"/>
      <c r="E3807" s="38" t="s">
        <v>4583</v>
      </c>
      <c r="F3807" s="38" t="s">
        <v>4579</v>
      </c>
      <c r="G3807" s="38">
        <v>3.61731516675E11</v>
      </c>
      <c r="H3807" s="38" t="s">
        <v>4580</v>
      </c>
      <c r="I3807" s="38" t="s">
        <v>4581</v>
      </c>
      <c r="J3807" s="38" t="s">
        <v>134</v>
      </c>
      <c r="K3807" s="38" t="s">
        <v>126</v>
      </c>
      <c r="L3807" s="41">
        <v>46006.77777777778</v>
      </c>
      <c r="M3807" s="38" t="s">
        <v>123</v>
      </c>
      <c r="N3807" s="41">
        <v>46006.79861111111</v>
      </c>
      <c r="O3807" s="38" t="s">
        <v>123</v>
      </c>
      <c r="P3807" s="38">
        <v>1800.0</v>
      </c>
      <c r="Q3807" s="39"/>
      <c r="R3807" s="39"/>
      <c r="S3807" s="38" t="s">
        <v>1382</v>
      </c>
      <c r="T3807" s="39"/>
      <c r="U3807" s="39"/>
    </row>
    <row r="3808">
      <c r="A3808" s="40">
        <f t="shared" si="1"/>
        <v>46006</v>
      </c>
      <c r="B3808" s="37" t="str">
        <f t="array" ref="B3808">iferror(xlookup($I3808, 'IMPORT VHC Report'!$E:$E, 'IMPORT VHC Report'!$A:$C), )</f>
        <v/>
      </c>
      <c r="C3808" s="37"/>
      <c r="D3808" s="37"/>
      <c r="E3808" s="38" t="s">
        <v>4584</v>
      </c>
      <c r="F3808" s="38" t="s">
        <v>4579</v>
      </c>
      <c r="G3808" s="38">
        <v>3.61731516675E11</v>
      </c>
      <c r="H3808" s="38" t="s">
        <v>4580</v>
      </c>
      <c r="I3808" s="38" t="s">
        <v>4581</v>
      </c>
      <c r="J3808" s="38" t="s">
        <v>134</v>
      </c>
      <c r="K3808" s="38" t="s">
        <v>126</v>
      </c>
      <c r="L3808" s="41">
        <v>46006.864583333336</v>
      </c>
      <c r="M3808" s="38" t="s">
        <v>123</v>
      </c>
      <c r="N3808" s="41">
        <v>46006.875</v>
      </c>
      <c r="O3808" s="38" t="s">
        <v>123</v>
      </c>
      <c r="P3808" s="38">
        <v>900.0</v>
      </c>
      <c r="Q3808" s="39"/>
      <c r="R3808" s="39"/>
      <c r="S3808" s="39"/>
      <c r="T3808" s="39"/>
      <c r="U3808" s="39"/>
    </row>
    <row r="3809">
      <c r="A3809" s="40">
        <f t="shared" si="1"/>
        <v>46006</v>
      </c>
      <c r="B3809" s="37" t="str">
        <f t="array" ref="B3809">iferror(xlookup($I3809, 'IMPORT VHC Report'!$E:$E, 'IMPORT VHC Report'!$A:$C), )</f>
        <v/>
      </c>
      <c r="C3809" s="37"/>
      <c r="D3809" s="37"/>
      <c r="E3809" s="38" t="s">
        <v>4585</v>
      </c>
      <c r="F3809" s="38" t="s">
        <v>4579</v>
      </c>
      <c r="G3809" s="38">
        <v>3.61731516675E11</v>
      </c>
      <c r="H3809" s="38" t="s">
        <v>4580</v>
      </c>
      <c r="I3809" s="38" t="s">
        <v>4581</v>
      </c>
      <c r="J3809" s="38" t="s">
        <v>134</v>
      </c>
      <c r="K3809" s="38" t="s">
        <v>126</v>
      </c>
      <c r="L3809" s="41">
        <v>46006.927083333336</v>
      </c>
      <c r="M3809" s="38" t="s">
        <v>123</v>
      </c>
      <c r="N3809" s="41">
        <v>46006.9375</v>
      </c>
      <c r="O3809" s="38" t="s">
        <v>123</v>
      </c>
      <c r="P3809" s="38">
        <v>900.0</v>
      </c>
      <c r="Q3809" s="39"/>
      <c r="R3809" s="39"/>
      <c r="S3809" s="39"/>
      <c r="T3809" s="39"/>
      <c r="U3809" s="39"/>
    </row>
    <row r="3810">
      <c r="A3810" s="40">
        <f t="shared" si="1"/>
        <v>46006</v>
      </c>
      <c r="B3810" s="37" t="str">
        <f t="array" ref="B3810">iferror(xlookup($I3810, 'IMPORT VHC Report'!$E:$E, 'IMPORT VHC Report'!$A:$C), )</f>
        <v/>
      </c>
      <c r="C3810" s="37"/>
      <c r="D3810" s="37"/>
      <c r="E3810" s="38" t="s">
        <v>4586</v>
      </c>
      <c r="F3810" s="38" t="s">
        <v>4579</v>
      </c>
      <c r="G3810" s="38">
        <v>3.61731516675E11</v>
      </c>
      <c r="H3810" s="38" t="s">
        <v>4580</v>
      </c>
      <c r="I3810" s="38" t="s">
        <v>4581</v>
      </c>
      <c r="J3810" s="38" t="s">
        <v>134</v>
      </c>
      <c r="K3810" s="38" t="s">
        <v>126</v>
      </c>
      <c r="L3810" s="41">
        <v>46006.9375</v>
      </c>
      <c r="M3810" s="38" t="s">
        <v>123</v>
      </c>
      <c r="N3810" s="41">
        <v>46006.944444444445</v>
      </c>
      <c r="O3810" s="38" t="s">
        <v>123</v>
      </c>
      <c r="P3810" s="38">
        <v>600.0</v>
      </c>
      <c r="Q3810" s="39"/>
      <c r="R3810" s="39"/>
      <c r="S3810" s="38" t="s">
        <v>4587</v>
      </c>
      <c r="T3810" s="39"/>
      <c r="U3810" s="39"/>
    </row>
    <row r="3811">
      <c r="A3811" s="40">
        <f t="shared" si="1"/>
        <v>46006</v>
      </c>
      <c r="B3811" s="37" t="str">
        <f t="array" ref="B3811">iferror(xlookup($I3811, 'IMPORT VHC Report'!$E:$E, 'IMPORT VHC Report'!$A:$C), )</f>
        <v/>
      </c>
      <c r="C3811" s="37"/>
      <c r="D3811" s="37"/>
      <c r="E3811" s="38" t="s">
        <v>4588</v>
      </c>
      <c r="F3811" s="38" t="s">
        <v>4579</v>
      </c>
      <c r="G3811" s="38">
        <v>3.61731516675E11</v>
      </c>
      <c r="H3811" s="38" t="s">
        <v>4580</v>
      </c>
      <c r="I3811" s="38" t="s">
        <v>4581</v>
      </c>
      <c r="J3811" s="38" t="s">
        <v>224</v>
      </c>
      <c r="K3811" s="38" t="s">
        <v>63</v>
      </c>
      <c r="L3811" s="41">
        <v>46007.625</v>
      </c>
      <c r="M3811" s="38" t="s">
        <v>123</v>
      </c>
      <c r="N3811" s="41">
        <v>46007.958333333336</v>
      </c>
      <c r="O3811" s="38" t="s">
        <v>123</v>
      </c>
      <c r="P3811" s="38">
        <v>28800.0</v>
      </c>
      <c r="Q3811" s="39"/>
      <c r="R3811" s="39"/>
      <c r="S3811" s="39"/>
      <c r="T3811" s="39"/>
      <c r="U3811" s="39"/>
    </row>
    <row r="3812">
      <c r="A3812" s="40">
        <f t="shared" si="1"/>
        <v>46006</v>
      </c>
      <c r="B3812" s="37" t="str">
        <f t="array" ref="B3812">iferror(xlookup($I3812, 'IMPORT VHC Report'!$E:$E, 'IMPORT VHC Report'!$A:$C), )</f>
        <v/>
      </c>
      <c r="C3812" s="37"/>
      <c r="D3812" s="37"/>
      <c r="E3812" s="38" t="s">
        <v>4589</v>
      </c>
      <c r="F3812" s="38" t="s">
        <v>4579</v>
      </c>
      <c r="G3812" s="38">
        <v>3.61731516675E11</v>
      </c>
      <c r="H3812" s="38" t="s">
        <v>4580</v>
      </c>
      <c r="I3812" s="38" t="s">
        <v>4581</v>
      </c>
      <c r="J3812" s="38" t="s">
        <v>134</v>
      </c>
      <c r="K3812" s="38" t="s">
        <v>126</v>
      </c>
      <c r="L3812" s="41">
        <v>46007.708333333336</v>
      </c>
      <c r="M3812" s="38" t="s">
        <v>123</v>
      </c>
      <c r="N3812" s="41">
        <v>46007.71875</v>
      </c>
      <c r="O3812" s="38" t="s">
        <v>123</v>
      </c>
      <c r="P3812" s="38">
        <v>900.0</v>
      </c>
      <c r="Q3812" s="39"/>
      <c r="R3812" s="39"/>
      <c r="S3812" s="39"/>
      <c r="T3812" s="39"/>
      <c r="U3812" s="39"/>
    </row>
    <row r="3813">
      <c r="A3813" s="40">
        <f t="shared" si="1"/>
        <v>46006</v>
      </c>
      <c r="B3813" s="37" t="str">
        <f t="array" ref="B3813">iferror(xlookup($I3813, 'IMPORT VHC Report'!$E:$E, 'IMPORT VHC Report'!$A:$C), )</f>
        <v/>
      </c>
      <c r="C3813" s="37"/>
      <c r="D3813" s="37"/>
      <c r="E3813" s="38" t="s">
        <v>4590</v>
      </c>
      <c r="F3813" s="38" t="s">
        <v>4579</v>
      </c>
      <c r="G3813" s="38">
        <v>3.61731516675E11</v>
      </c>
      <c r="H3813" s="38" t="s">
        <v>4580</v>
      </c>
      <c r="I3813" s="38" t="s">
        <v>4581</v>
      </c>
      <c r="J3813" s="38" t="s">
        <v>134</v>
      </c>
      <c r="K3813" s="38" t="s">
        <v>126</v>
      </c>
      <c r="L3813" s="41">
        <v>46007.822916666664</v>
      </c>
      <c r="M3813" s="38" t="s">
        <v>123</v>
      </c>
      <c r="N3813" s="41">
        <v>46007.833333333336</v>
      </c>
      <c r="O3813" s="38" t="s">
        <v>123</v>
      </c>
      <c r="P3813" s="38">
        <v>900.0</v>
      </c>
      <c r="Q3813" s="39"/>
      <c r="R3813" s="39"/>
      <c r="S3813" s="39"/>
      <c r="T3813" s="39"/>
      <c r="U3813" s="39"/>
    </row>
    <row r="3814">
      <c r="A3814" s="40">
        <f t="shared" si="1"/>
        <v>46006</v>
      </c>
      <c r="B3814" s="37" t="str">
        <f t="array" ref="B3814">iferror(xlookup($I3814, 'IMPORT VHC Report'!$E:$E, 'IMPORT VHC Report'!$A:$C), )</f>
        <v/>
      </c>
      <c r="C3814" s="37"/>
      <c r="D3814" s="37"/>
      <c r="E3814" s="38" t="s">
        <v>4591</v>
      </c>
      <c r="F3814" s="38" t="s">
        <v>4579</v>
      </c>
      <c r="G3814" s="38">
        <v>3.61731516675E11</v>
      </c>
      <c r="H3814" s="38" t="s">
        <v>4580</v>
      </c>
      <c r="I3814" s="38" t="s">
        <v>4581</v>
      </c>
      <c r="J3814" s="38" t="s">
        <v>132</v>
      </c>
      <c r="K3814" s="38" t="s">
        <v>126</v>
      </c>
      <c r="L3814" s="41">
        <v>46007.916666666664</v>
      </c>
      <c r="M3814" s="38" t="s">
        <v>123</v>
      </c>
      <c r="N3814" s="41">
        <v>46007.958333333336</v>
      </c>
      <c r="O3814" s="38" t="s">
        <v>123</v>
      </c>
      <c r="P3814" s="38">
        <v>3600.0</v>
      </c>
      <c r="Q3814" s="39"/>
      <c r="R3814" s="39"/>
      <c r="S3814" s="39"/>
      <c r="T3814" s="39"/>
      <c r="U3814" s="39"/>
    </row>
    <row r="3815">
      <c r="A3815" s="40">
        <f t="shared" si="1"/>
        <v>46006</v>
      </c>
      <c r="B3815" s="37" t="str">
        <f t="array" ref="B3815">iferror(xlookup($I3815, 'IMPORT VHC Report'!$E:$E, 'IMPORT VHC Report'!$A:$C), )</f>
        <v/>
      </c>
      <c r="C3815" s="37"/>
      <c r="D3815" s="37"/>
      <c r="E3815" s="38" t="s">
        <v>4592</v>
      </c>
      <c r="F3815" s="38" t="s">
        <v>4579</v>
      </c>
      <c r="G3815" s="38">
        <v>3.61731516675E11</v>
      </c>
      <c r="H3815" s="38" t="s">
        <v>4580</v>
      </c>
      <c r="I3815" s="38" t="s">
        <v>4581</v>
      </c>
      <c r="J3815" s="38" t="s">
        <v>62</v>
      </c>
      <c r="K3815" s="38" t="s">
        <v>63</v>
      </c>
      <c r="L3815" s="41">
        <v>46007.958333333336</v>
      </c>
      <c r="M3815" s="38" t="s">
        <v>123</v>
      </c>
      <c r="N3815" s="41">
        <v>46007.979166666664</v>
      </c>
      <c r="O3815" s="38" t="s">
        <v>123</v>
      </c>
      <c r="P3815" s="38">
        <v>1800.0</v>
      </c>
      <c r="Q3815" s="39"/>
      <c r="R3815" s="39"/>
      <c r="S3815" s="39"/>
      <c r="T3815" s="39"/>
      <c r="U3815" s="39"/>
    </row>
    <row r="3816">
      <c r="A3816" s="40">
        <f t="shared" si="1"/>
        <v>46006</v>
      </c>
      <c r="B3816" s="37" t="str">
        <f t="array" ref="B3816">iferror(xlookup($I3816, 'IMPORT VHC Report'!$E:$E, 'IMPORT VHC Report'!$A:$C), )</f>
        <v/>
      </c>
      <c r="C3816" s="37"/>
      <c r="D3816" s="37"/>
      <c r="E3816" s="38" t="s">
        <v>4593</v>
      </c>
      <c r="F3816" s="38" t="s">
        <v>4579</v>
      </c>
      <c r="G3816" s="38">
        <v>3.61731516675E11</v>
      </c>
      <c r="H3816" s="38" t="s">
        <v>4580</v>
      </c>
      <c r="I3816" s="38" t="s">
        <v>4581</v>
      </c>
      <c r="J3816" s="38" t="s">
        <v>4</v>
      </c>
      <c r="K3816" s="38" t="s">
        <v>126</v>
      </c>
      <c r="L3816" s="41">
        <v>46007.958333333336</v>
      </c>
      <c r="M3816" s="38" t="s">
        <v>123</v>
      </c>
      <c r="N3816" s="41">
        <v>46008.0</v>
      </c>
      <c r="O3816" s="38" t="s">
        <v>123</v>
      </c>
      <c r="P3816" s="38">
        <v>3600.0</v>
      </c>
      <c r="Q3816" s="39"/>
      <c r="R3816" s="39"/>
      <c r="S3816" s="38" t="s">
        <v>858</v>
      </c>
      <c r="T3816" s="39"/>
      <c r="U3816" s="39"/>
    </row>
    <row r="3817">
      <c r="A3817" s="40">
        <f t="shared" si="1"/>
        <v>46006</v>
      </c>
      <c r="B3817" s="37" t="str">
        <f t="array" ref="B3817">iferror(xlookup($I3817, 'IMPORT VHC Report'!$E:$E, 'IMPORT VHC Report'!$A:$C), )</f>
        <v/>
      </c>
      <c r="C3817" s="37"/>
      <c r="D3817" s="37"/>
      <c r="E3817" s="38" t="s">
        <v>4594</v>
      </c>
      <c r="F3817" s="38" t="s">
        <v>4579</v>
      </c>
      <c r="G3817" s="38">
        <v>3.61731516675E11</v>
      </c>
      <c r="H3817" s="38" t="s">
        <v>4580</v>
      </c>
      <c r="I3817" s="38" t="s">
        <v>4581</v>
      </c>
      <c r="J3817" s="38" t="s">
        <v>224</v>
      </c>
      <c r="K3817" s="38" t="s">
        <v>63</v>
      </c>
      <c r="L3817" s="41">
        <v>46007.979166666664</v>
      </c>
      <c r="M3817" s="38" t="s">
        <v>123</v>
      </c>
      <c r="N3817" s="41">
        <v>46008.0</v>
      </c>
      <c r="O3817" s="38" t="s">
        <v>123</v>
      </c>
      <c r="P3817" s="38">
        <v>1800.0</v>
      </c>
      <c r="Q3817" s="39"/>
      <c r="R3817" s="39"/>
      <c r="S3817" s="39"/>
      <c r="T3817" s="39"/>
      <c r="U3817" s="39"/>
    </row>
    <row r="3818">
      <c r="A3818" s="40">
        <f t="shared" si="1"/>
        <v>46006</v>
      </c>
      <c r="B3818" s="37" t="str">
        <f t="array" ref="B3818">iferror(xlookup($I3818, 'IMPORT VHC Report'!$E:$E, 'IMPORT VHC Report'!$A:$C), )</f>
        <v/>
      </c>
      <c r="C3818" s="37"/>
      <c r="D3818" s="37"/>
      <c r="E3818" s="38" t="s">
        <v>4595</v>
      </c>
      <c r="F3818" s="38" t="s">
        <v>4579</v>
      </c>
      <c r="G3818" s="38">
        <v>3.61731516675E11</v>
      </c>
      <c r="H3818" s="38" t="s">
        <v>4580</v>
      </c>
      <c r="I3818" s="38" t="s">
        <v>4581</v>
      </c>
      <c r="J3818" s="38" t="s">
        <v>152</v>
      </c>
      <c r="K3818" s="38" t="s">
        <v>153</v>
      </c>
      <c r="L3818" s="41">
        <v>46008.625</v>
      </c>
      <c r="M3818" s="38" t="s">
        <v>123</v>
      </c>
      <c r="N3818" s="41">
        <v>46008.791666666664</v>
      </c>
      <c r="O3818" s="38" t="s">
        <v>123</v>
      </c>
      <c r="P3818" s="38">
        <v>14400.0</v>
      </c>
      <c r="Q3818" s="38">
        <v>14400.0</v>
      </c>
      <c r="R3818" s="38" t="s">
        <v>4596</v>
      </c>
      <c r="S3818" s="38" t="s">
        <v>4596</v>
      </c>
      <c r="T3818" s="39"/>
      <c r="U3818" s="39"/>
    </row>
    <row r="3819">
      <c r="A3819" s="40">
        <f t="shared" si="1"/>
        <v>46006</v>
      </c>
      <c r="B3819" s="37" t="str">
        <f t="array" ref="B3819">iferror(xlookup($I3819, 'IMPORT VHC Report'!$E:$E, 'IMPORT VHC Report'!$A:$C), )</f>
        <v/>
      </c>
      <c r="C3819" s="37"/>
      <c r="D3819" s="37"/>
      <c r="E3819" s="38" t="s">
        <v>4597</v>
      </c>
      <c r="F3819" s="38" t="s">
        <v>4579</v>
      </c>
      <c r="G3819" s="38">
        <v>3.61731516675E11</v>
      </c>
      <c r="H3819" s="38" t="s">
        <v>4580</v>
      </c>
      <c r="I3819" s="38" t="s">
        <v>4581</v>
      </c>
      <c r="J3819" s="38" t="s">
        <v>224</v>
      </c>
      <c r="K3819" s="38" t="s">
        <v>63</v>
      </c>
      <c r="L3819" s="41">
        <v>46008.625</v>
      </c>
      <c r="M3819" s="38" t="s">
        <v>123</v>
      </c>
      <c r="N3819" s="41">
        <v>46009.0</v>
      </c>
      <c r="O3819" s="38" t="s">
        <v>123</v>
      </c>
      <c r="P3819" s="38">
        <v>32400.0</v>
      </c>
      <c r="Q3819" s="39"/>
      <c r="R3819" s="39"/>
      <c r="S3819" s="39"/>
      <c r="T3819" s="39"/>
      <c r="U3819" s="39"/>
    </row>
    <row r="3820">
      <c r="A3820" s="40">
        <f t="shared" si="1"/>
        <v>46006</v>
      </c>
      <c r="B3820" s="37" t="str">
        <f t="array" ref="B3820">iferror(xlookup($I3820, 'IMPORT VHC Report'!$E:$E, 'IMPORT VHC Report'!$A:$C), )</f>
        <v/>
      </c>
      <c r="C3820" s="37"/>
      <c r="D3820" s="37"/>
      <c r="E3820" s="38" t="s">
        <v>4598</v>
      </c>
      <c r="F3820" s="38" t="s">
        <v>4579</v>
      </c>
      <c r="G3820" s="38">
        <v>3.61731516675E11</v>
      </c>
      <c r="H3820" s="38" t="s">
        <v>4580</v>
      </c>
      <c r="I3820" s="38" t="s">
        <v>4581</v>
      </c>
      <c r="J3820" s="38" t="s">
        <v>134</v>
      </c>
      <c r="K3820" s="38" t="s">
        <v>126</v>
      </c>
      <c r="L3820" s="41">
        <v>46008.708333333336</v>
      </c>
      <c r="M3820" s="38" t="s">
        <v>123</v>
      </c>
      <c r="N3820" s="41">
        <v>46008.71875</v>
      </c>
      <c r="O3820" s="38" t="s">
        <v>123</v>
      </c>
      <c r="P3820" s="38">
        <v>900.0</v>
      </c>
      <c r="Q3820" s="39"/>
      <c r="R3820" s="39"/>
      <c r="S3820" s="39"/>
      <c r="T3820" s="39"/>
      <c r="U3820" s="39"/>
    </row>
    <row r="3821">
      <c r="A3821" s="40">
        <f t="shared" si="1"/>
        <v>46006</v>
      </c>
      <c r="B3821" s="37" t="str">
        <f t="array" ref="B3821">iferror(xlookup($I3821, 'IMPORT VHC Report'!$E:$E, 'IMPORT VHC Report'!$A:$C), )</f>
        <v/>
      </c>
      <c r="C3821" s="37"/>
      <c r="D3821" s="37"/>
      <c r="E3821" s="38" t="s">
        <v>4599</v>
      </c>
      <c r="F3821" s="38" t="s">
        <v>4579</v>
      </c>
      <c r="G3821" s="38">
        <v>3.61731516675E11</v>
      </c>
      <c r="H3821" s="38" t="s">
        <v>4580</v>
      </c>
      <c r="I3821" s="38" t="s">
        <v>4581</v>
      </c>
      <c r="J3821" s="38" t="s">
        <v>134</v>
      </c>
      <c r="K3821" s="38" t="s">
        <v>126</v>
      </c>
      <c r="L3821" s="41">
        <v>46008.8125</v>
      </c>
      <c r="M3821" s="38" t="s">
        <v>123</v>
      </c>
      <c r="N3821" s="41">
        <v>46008.822916666664</v>
      </c>
      <c r="O3821" s="38" t="s">
        <v>123</v>
      </c>
      <c r="P3821" s="38">
        <v>900.0</v>
      </c>
      <c r="Q3821" s="39"/>
      <c r="R3821" s="39"/>
      <c r="S3821" s="39"/>
      <c r="T3821" s="39"/>
      <c r="U3821" s="39"/>
    </row>
    <row r="3822">
      <c r="A3822" s="40">
        <f t="shared" si="1"/>
        <v>46006</v>
      </c>
      <c r="B3822" s="37" t="str">
        <f t="array" ref="B3822">iferror(xlookup($I3822, 'IMPORT VHC Report'!$E:$E, 'IMPORT VHC Report'!$A:$C), )</f>
        <v/>
      </c>
      <c r="C3822" s="37"/>
      <c r="D3822" s="37"/>
      <c r="E3822" s="38" t="s">
        <v>4600</v>
      </c>
      <c r="F3822" s="38" t="s">
        <v>4579</v>
      </c>
      <c r="G3822" s="38">
        <v>3.61731516675E11</v>
      </c>
      <c r="H3822" s="38" t="s">
        <v>4580</v>
      </c>
      <c r="I3822" s="38" t="s">
        <v>4581</v>
      </c>
      <c r="J3822" s="38" t="s">
        <v>134</v>
      </c>
      <c r="K3822" s="38" t="s">
        <v>126</v>
      </c>
      <c r="L3822" s="41">
        <v>46008.87847222222</v>
      </c>
      <c r="M3822" s="38" t="s">
        <v>123</v>
      </c>
      <c r="N3822" s="41">
        <v>46008.89236111111</v>
      </c>
      <c r="O3822" s="38" t="s">
        <v>123</v>
      </c>
      <c r="P3822" s="38">
        <v>1200.0</v>
      </c>
      <c r="Q3822" s="39"/>
      <c r="R3822" s="39"/>
      <c r="S3822" s="38" t="s">
        <v>1382</v>
      </c>
      <c r="T3822" s="39"/>
      <c r="U3822" s="39"/>
    </row>
    <row r="3823">
      <c r="A3823" s="40">
        <f t="shared" si="1"/>
        <v>46006</v>
      </c>
      <c r="B3823" s="37" t="str">
        <f t="array" ref="B3823">iferror(xlookup($I3823, 'IMPORT VHC Report'!$E:$E, 'IMPORT VHC Report'!$A:$C), )</f>
        <v/>
      </c>
      <c r="C3823" s="37"/>
      <c r="D3823" s="37"/>
      <c r="E3823" s="38" t="s">
        <v>4601</v>
      </c>
      <c r="F3823" s="38" t="s">
        <v>4579</v>
      </c>
      <c r="G3823" s="38">
        <v>3.61731516675E11</v>
      </c>
      <c r="H3823" s="38" t="s">
        <v>4580</v>
      </c>
      <c r="I3823" s="38" t="s">
        <v>4581</v>
      </c>
      <c r="J3823" s="38" t="s">
        <v>132</v>
      </c>
      <c r="K3823" s="38" t="s">
        <v>126</v>
      </c>
      <c r="L3823" s="41">
        <v>46008.895833333336</v>
      </c>
      <c r="M3823" s="38" t="s">
        <v>123</v>
      </c>
      <c r="N3823" s="41">
        <v>46008.9375</v>
      </c>
      <c r="O3823" s="38" t="s">
        <v>123</v>
      </c>
      <c r="P3823" s="38">
        <v>3600.0</v>
      </c>
      <c r="Q3823" s="39"/>
      <c r="R3823" s="39"/>
      <c r="S3823" s="39"/>
      <c r="T3823" s="39"/>
      <c r="U3823" s="39"/>
    </row>
    <row r="3824">
      <c r="A3824" s="40">
        <f t="shared" si="1"/>
        <v>46006</v>
      </c>
      <c r="B3824" s="37" t="str">
        <f t="array" ref="B3824">iferror(xlookup($I3824, 'IMPORT VHC Report'!$E:$E, 'IMPORT VHC Report'!$A:$C), )</f>
        <v/>
      </c>
      <c r="C3824" s="37"/>
      <c r="D3824" s="37"/>
      <c r="E3824" s="38" t="s">
        <v>4602</v>
      </c>
      <c r="F3824" s="38" t="s">
        <v>4579</v>
      </c>
      <c r="G3824" s="38">
        <v>3.61731516675E11</v>
      </c>
      <c r="H3824" s="38" t="s">
        <v>4580</v>
      </c>
      <c r="I3824" s="38" t="s">
        <v>4581</v>
      </c>
      <c r="J3824" s="38" t="s">
        <v>134</v>
      </c>
      <c r="K3824" s="38" t="s">
        <v>126</v>
      </c>
      <c r="L3824" s="41">
        <v>46009.625</v>
      </c>
      <c r="M3824" s="38" t="s">
        <v>123</v>
      </c>
      <c r="N3824" s="41">
        <v>46009.65277777778</v>
      </c>
      <c r="O3824" s="38" t="s">
        <v>123</v>
      </c>
      <c r="P3824" s="38">
        <v>2400.0</v>
      </c>
      <c r="Q3824" s="39"/>
      <c r="R3824" s="39"/>
      <c r="S3824" s="38" t="s">
        <v>1382</v>
      </c>
      <c r="T3824" s="39"/>
      <c r="U3824" s="39"/>
    </row>
    <row r="3825">
      <c r="A3825" s="40">
        <f t="shared" si="1"/>
        <v>46006</v>
      </c>
      <c r="B3825" s="37" t="str">
        <f t="array" ref="B3825">iferror(xlookup($I3825, 'IMPORT VHC Report'!$E:$E, 'IMPORT VHC Report'!$A:$C), )</f>
        <v/>
      </c>
      <c r="C3825" s="37"/>
      <c r="D3825" s="37"/>
      <c r="E3825" s="38" t="s">
        <v>4603</v>
      </c>
      <c r="F3825" s="38" t="s">
        <v>4579</v>
      </c>
      <c r="G3825" s="38">
        <v>3.61731516675E11</v>
      </c>
      <c r="H3825" s="38" t="s">
        <v>4580</v>
      </c>
      <c r="I3825" s="38" t="s">
        <v>4581</v>
      </c>
      <c r="J3825" s="38" t="s">
        <v>224</v>
      </c>
      <c r="K3825" s="38" t="s">
        <v>63</v>
      </c>
      <c r="L3825" s="41">
        <v>46009.625</v>
      </c>
      <c r="M3825" s="38" t="s">
        <v>123</v>
      </c>
      <c r="N3825" s="41">
        <v>46009.729166666664</v>
      </c>
      <c r="O3825" s="38" t="s">
        <v>123</v>
      </c>
      <c r="P3825" s="38">
        <v>9000.0</v>
      </c>
      <c r="Q3825" s="39"/>
      <c r="R3825" s="39"/>
      <c r="S3825" s="39"/>
      <c r="T3825" s="39"/>
      <c r="U3825" s="39"/>
    </row>
    <row r="3826">
      <c r="A3826" s="40">
        <f t="shared" si="1"/>
        <v>46006</v>
      </c>
      <c r="B3826" s="37" t="str">
        <f t="array" ref="B3826">iferror(xlookup($I3826, 'IMPORT VHC Report'!$E:$E, 'IMPORT VHC Report'!$A:$C), )</f>
        <v/>
      </c>
      <c r="C3826" s="37"/>
      <c r="D3826" s="37"/>
      <c r="E3826" s="38" t="s">
        <v>4604</v>
      </c>
      <c r="F3826" s="38" t="s">
        <v>4579</v>
      </c>
      <c r="G3826" s="38">
        <v>3.61731516675E11</v>
      </c>
      <c r="H3826" s="38" t="s">
        <v>4580</v>
      </c>
      <c r="I3826" s="38" t="s">
        <v>4581</v>
      </c>
      <c r="J3826" s="38" t="s">
        <v>132</v>
      </c>
      <c r="K3826" s="38" t="s">
        <v>126</v>
      </c>
      <c r="L3826" s="41">
        <v>46009.729166666664</v>
      </c>
      <c r="M3826" s="38" t="s">
        <v>123</v>
      </c>
      <c r="N3826" s="41">
        <v>46009.770833333336</v>
      </c>
      <c r="O3826" s="38" t="s">
        <v>123</v>
      </c>
      <c r="P3826" s="38">
        <v>3600.0</v>
      </c>
      <c r="Q3826" s="39"/>
      <c r="R3826" s="39"/>
      <c r="S3826" s="39"/>
      <c r="T3826" s="39"/>
      <c r="U3826" s="39"/>
    </row>
    <row r="3827">
      <c r="A3827" s="40">
        <f t="shared" si="1"/>
        <v>46006</v>
      </c>
      <c r="B3827" s="37" t="str">
        <f t="array" ref="B3827">iferror(xlookup($I3827, 'IMPORT VHC Report'!$E:$E, 'IMPORT VHC Report'!$A:$C), )</f>
        <v/>
      </c>
      <c r="C3827" s="37"/>
      <c r="D3827" s="37"/>
      <c r="E3827" s="38" t="s">
        <v>4605</v>
      </c>
      <c r="F3827" s="38" t="s">
        <v>4579</v>
      </c>
      <c r="G3827" s="38">
        <v>3.61731516675E11</v>
      </c>
      <c r="H3827" s="38" t="s">
        <v>4580</v>
      </c>
      <c r="I3827" s="38" t="s">
        <v>4581</v>
      </c>
      <c r="J3827" s="38" t="s">
        <v>224</v>
      </c>
      <c r="K3827" s="38" t="s">
        <v>63</v>
      </c>
      <c r="L3827" s="41">
        <v>46009.770833333336</v>
      </c>
      <c r="M3827" s="38" t="s">
        <v>123</v>
      </c>
      <c r="N3827" s="41">
        <v>46009.833333333336</v>
      </c>
      <c r="O3827" s="38" t="s">
        <v>123</v>
      </c>
      <c r="P3827" s="38">
        <v>5400.0</v>
      </c>
      <c r="Q3827" s="39"/>
      <c r="R3827" s="39"/>
      <c r="S3827" s="39"/>
      <c r="T3827" s="39"/>
      <c r="U3827" s="39"/>
    </row>
    <row r="3828">
      <c r="A3828" s="40">
        <f t="shared" si="1"/>
        <v>46006</v>
      </c>
      <c r="B3828" s="37" t="str">
        <f t="array" ref="B3828">iferror(xlookup($I3828, 'IMPORT VHC Report'!$E:$E, 'IMPORT VHC Report'!$A:$C), )</f>
        <v/>
      </c>
      <c r="C3828" s="37"/>
      <c r="D3828" s="37"/>
      <c r="E3828" s="38" t="s">
        <v>4606</v>
      </c>
      <c r="F3828" s="38" t="s">
        <v>4579</v>
      </c>
      <c r="G3828" s="38">
        <v>3.61731516675E11</v>
      </c>
      <c r="H3828" s="38" t="s">
        <v>4580</v>
      </c>
      <c r="I3828" s="38" t="s">
        <v>4581</v>
      </c>
      <c r="J3828" s="38" t="s">
        <v>224</v>
      </c>
      <c r="K3828" s="38" t="s">
        <v>63</v>
      </c>
      <c r="L3828" s="41">
        <v>46009.833333333336</v>
      </c>
      <c r="M3828" s="38" t="s">
        <v>123</v>
      </c>
      <c r="N3828" s="41">
        <v>46009.842361111114</v>
      </c>
      <c r="O3828" s="38" t="s">
        <v>123</v>
      </c>
      <c r="P3828" s="38">
        <v>780.0</v>
      </c>
      <c r="Q3828" s="39"/>
      <c r="R3828" s="39"/>
      <c r="S3828" s="39"/>
      <c r="T3828" s="39"/>
      <c r="U3828" s="39"/>
    </row>
    <row r="3829">
      <c r="A3829" s="40">
        <f t="shared" si="1"/>
        <v>46006</v>
      </c>
      <c r="B3829" s="37" t="str">
        <f t="array" ref="B3829">iferror(xlookup($I3829, 'IMPORT VHC Report'!$E:$E, 'IMPORT VHC Report'!$A:$C), )</f>
        <v/>
      </c>
      <c r="C3829" s="37"/>
      <c r="D3829" s="37"/>
      <c r="E3829" s="38" t="s">
        <v>4607</v>
      </c>
      <c r="F3829" s="38" t="s">
        <v>4579</v>
      </c>
      <c r="G3829" s="38">
        <v>3.61731516675E11</v>
      </c>
      <c r="H3829" s="38" t="s">
        <v>4580</v>
      </c>
      <c r="I3829" s="38" t="s">
        <v>4581</v>
      </c>
      <c r="J3829" s="38" t="s">
        <v>134</v>
      </c>
      <c r="K3829" s="38" t="s">
        <v>126</v>
      </c>
      <c r="L3829" s="41">
        <v>46009.842361111114</v>
      </c>
      <c r="M3829" s="38" t="s">
        <v>123</v>
      </c>
      <c r="N3829" s="41">
        <v>46009.85277777778</v>
      </c>
      <c r="O3829" s="38" t="s">
        <v>123</v>
      </c>
      <c r="P3829" s="38">
        <v>900.0</v>
      </c>
      <c r="Q3829" s="39"/>
      <c r="R3829" s="39"/>
      <c r="S3829" s="38" t="s">
        <v>4608</v>
      </c>
      <c r="T3829" s="39"/>
      <c r="U3829" s="39"/>
    </row>
    <row r="3830">
      <c r="A3830" s="40">
        <f t="shared" si="1"/>
        <v>46006</v>
      </c>
      <c r="B3830" s="37" t="str">
        <f t="array" ref="B3830">iferror(xlookup($I3830, 'IMPORT VHC Report'!$E:$E, 'IMPORT VHC Report'!$A:$C), )</f>
        <v/>
      </c>
      <c r="C3830" s="37"/>
      <c r="D3830" s="37"/>
      <c r="E3830" s="38" t="s">
        <v>4609</v>
      </c>
      <c r="F3830" s="38" t="s">
        <v>4579</v>
      </c>
      <c r="G3830" s="38">
        <v>3.61731516675E11</v>
      </c>
      <c r="H3830" s="38" t="s">
        <v>4580</v>
      </c>
      <c r="I3830" s="38" t="s">
        <v>4581</v>
      </c>
      <c r="J3830" s="38" t="s">
        <v>224</v>
      </c>
      <c r="K3830" s="38" t="s">
        <v>63</v>
      </c>
      <c r="L3830" s="41">
        <v>46009.85277777778</v>
      </c>
      <c r="M3830" s="38" t="s">
        <v>123</v>
      </c>
      <c r="N3830" s="41">
        <v>46009.90625</v>
      </c>
      <c r="O3830" s="38" t="s">
        <v>123</v>
      </c>
      <c r="P3830" s="38">
        <v>4620.0</v>
      </c>
      <c r="Q3830" s="39"/>
      <c r="R3830" s="39"/>
      <c r="S3830" s="39"/>
      <c r="T3830" s="39"/>
      <c r="U3830" s="39"/>
    </row>
    <row r="3831">
      <c r="A3831" s="40">
        <f t="shared" si="1"/>
        <v>46006</v>
      </c>
      <c r="B3831" s="37" t="str">
        <f t="array" ref="B3831">iferror(xlookup($I3831, 'IMPORT VHC Report'!$E:$E, 'IMPORT VHC Report'!$A:$C), )</f>
        <v/>
      </c>
      <c r="C3831" s="37"/>
      <c r="D3831" s="37"/>
      <c r="E3831" s="38" t="s">
        <v>4610</v>
      </c>
      <c r="F3831" s="38" t="s">
        <v>4579</v>
      </c>
      <c r="G3831" s="38">
        <v>3.61731516675E11</v>
      </c>
      <c r="H3831" s="38" t="s">
        <v>4580</v>
      </c>
      <c r="I3831" s="38" t="s">
        <v>4581</v>
      </c>
      <c r="J3831" s="38" t="s">
        <v>224</v>
      </c>
      <c r="K3831" s="38" t="s">
        <v>63</v>
      </c>
      <c r="L3831" s="41">
        <v>46009.90625</v>
      </c>
      <c r="M3831" s="38" t="s">
        <v>123</v>
      </c>
      <c r="N3831" s="41">
        <v>46009.916666666664</v>
      </c>
      <c r="O3831" s="38" t="s">
        <v>123</v>
      </c>
      <c r="P3831" s="38">
        <v>900.0</v>
      </c>
      <c r="Q3831" s="39"/>
      <c r="R3831" s="39"/>
      <c r="S3831" s="39"/>
      <c r="T3831" s="39"/>
      <c r="U3831" s="39"/>
    </row>
    <row r="3832">
      <c r="A3832" s="40">
        <f t="shared" si="1"/>
        <v>46006</v>
      </c>
      <c r="B3832" s="37" t="str">
        <f t="array" ref="B3832">iferror(xlookup($I3832, 'IMPORT VHC Report'!$E:$E, 'IMPORT VHC Report'!$A:$C), )</f>
        <v/>
      </c>
      <c r="C3832" s="37"/>
      <c r="D3832" s="37"/>
      <c r="E3832" s="38" t="s">
        <v>4611</v>
      </c>
      <c r="F3832" s="38" t="s">
        <v>4579</v>
      </c>
      <c r="G3832" s="38">
        <v>3.61731516675E11</v>
      </c>
      <c r="H3832" s="38" t="s">
        <v>4580</v>
      </c>
      <c r="I3832" s="38" t="s">
        <v>4581</v>
      </c>
      <c r="J3832" s="38" t="s">
        <v>134</v>
      </c>
      <c r="K3832" s="38" t="s">
        <v>126</v>
      </c>
      <c r="L3832" s="41">
        <v>46009.913194444445</v>
      </c>
      <c r="M3832" s="38" t="s">
        <v>123</v>
      </c>
      <c r="N3832" s="41">
        <v>46009.92361111111</v>
      </c>
      <c r="O3832" s="38" t="s">
        <v>123</v>
      </c>
      <c r="P3832" s="38">
        <v>900.0</v>
      </c>
      <c r="Q3832" s="39"/>
      <c r="R3832" s="39"/>
      <c r="S3832" s="38" t="s">
        <v>4608</v>
      </c>
      <c r="T3832" s="39"/>
      <c r="U3832" s="39"/>
    </row>
    <row r="3833">
      <c r="A3833" s="40">
        <f t="shared" si="1"/>
        <v>46006</v>
      </c>
      <c r="B3833" s="37" t="str">
        <f t="array" ref="B3833">iferror(xlookup($I3833, 'IMPORT VHC Report'!$E:$E, 'IMPORT VHC Report'!$A:$C), )</f>
        <v/>
      </c>
      <c r="C3833" s="37"/>
      <c r="D3833" s="37"/>
      <c r="E3833" s="38" t="s">
        <v>4612</v>
      </c>
      <c r="F3833" s="38" t="s">
        <v>4579</v>
      </c>
      <c r="G3833" s="38">
        <v>3.61731516675E11</v>
      </c>
      <c r="H3833" s="38" t="s">
        <v>4580</v>
      </c>
      <c r="I3833" s="38" t="s">
        <v>4581</v>
      </c>
      <c r="J3833" s="38" t="s">
        <v>224</v>
      </c>
      <c r="K3833" s="38" t="s">
        <v>63</v>
      </c>
      <c r="L3833" s="41">
        <v>46009.916666666664</v>
      </c>
      <c r="M3833" s="38" t="s">
        <v>123</v>
      </c>
      <c r="N3833" s="41">
        <v>46010.0</v>
      </c>
      <c r="O3833" s="38" t="s">
        <v>123</v>
      </c>
      <c r="P3833" s="38">
        <v>7200.0</v>
      </c>
      <c r="Q3833" s="39"/>
      <c r="R3833" s="39"/>
      <c r="S3833" s="39"/>
      <c r="T3833" s="39"/>
      <c r="U3833" s="39"/>
    </row>
    <row r="3834">
      <c r="A3834" s="40">
        <f t="shared" si="1"/>
        <v>46006</v>
      </c>
      <c r="B3834" s="37" t="str">
        <f t="array" ref="B3834">iferror(xlookup($I3834, 'IMPORT VHC Report'!$E:$E, 'IMPORT VHC Report'!$A:$C), )</f>
        <v/>
      </c>
      <c r="C3834" s="37"/>
      <c r="D3834" s="37"/>
      <c r="E3834" s="38" t="s">
        <v>4613</v>
      </c>
      <c r="F3834" s="38" t="s">
        <v>4579</v>
      </c>
      <c r="G3834" s="38">
        <v>3.61731516675E11</v>
      </c>
      <c r="H3834" s="38" t="s">
        <v>4580</v>
      </c>
      <c r="I3834" s="38" t="s">
        <v>4581</v>
      </c>
      <c r="J3834" s="38" t="s">
        <v>224</v>
      </c>
      <c r="K3834" s="38" t="s">
        <v>63</v>
      </c>
      <c r="L3834" s="41">
        <v>46010.625</v>
      </c>
      <c r="M3834" s="38" t="s">
        <v>123</v>
      </c>
      <c r="N3834" s="41">
        <v>46010.729166666664</v>
      </c>
      <c r="O3834" s="38" t="s">
        <v>123</v>
      </c>
      <c r="P3834" s="38">
        <v>9000.0</v>
      </c>
      <c r="Q3834" s="39"/>
      <c r="R3834" s="39"/>
      <c r="S3834" s="39"/>
      <c r="T3834" s="39"/>
      <c r="U3834" s="39"/>
    </row>
    <row r="3835">
      <c r="A3835" s="40">
        <f t="shared" si="1"/>
        <v>46006</v>
      </c>
      <c r="B3835" s="37" t="str">
        <f t="array" ref="B3835">iferror(xlookup($I3835, 'IMPORT VHC Report'!$E:$E, 'IMPORT VHC Report'!$A:$C), )</f>
        <v/>
      </c>
      <c r="C3835" s="37"/>
      <c r="D3835" s="37"/>
      <c r="E3835" s="38" t="s">
        <v>4614</v>
      </c>
      <c r="F3835" s="38" t="s">
        <v>4579</v>
      </c>
      <c r="G3835" s="38">
        <v>3.61731516675E11</v>
      </c>
      <c r="H3835" s="38" t="s">
        <v>4580</v>
      </c>
      <c r="I3835" s="38" t="s">
        <v>4581</v>
      </c>
      <c r="J3835" s="38" t="s">
        <v>125</v>
      </c>
      <c r="K3835" s="38" t="s">
        <v>126</v>
      </c>
      <c r="L3835" s="41">
        <v>46010.666666666664</v>
      </c>
      <c r="M3835" s="38" t="s">
        <v>123</v>
      </c>
      <c r="N3835" s="41">
        <v>46010.68125</v>
      </c>
      <c r="O3835" s="38" t="s">
        <v>123</v>
      </c>
      <c r="P3835" s="38">
        <v>1260.0</v>
      </c>
      <c r="Q3835" s="39"/>
      <c r="R3835" s="39"/>
      <c r="S3835" s="38" t="s">
        <v>4615</v>
      </c>
      <c r="T3835" s="39"/>
      <c r="U3835" s="39"/>
    </row>
    <row r="3836">
      <c r="A3836" s="40">
        <f t="shared" si="1"/>
        <v>46006</v>
      </c>
      <c r="B3836" s="37" t="str">
        <f t="array" ref="B3836">iferror(xlookup($I3836, 'IMPORT VHC Report'!$E:$E, 'IMPORT VHC Report'!$A:$C), )</f>
        <v/>
      </c>
      <c r="C3836" s="37"/>
      <c r="D3836" s="37"/>
      <c r="E3836" s="38" t="s">
        <v>4616</v>
      </c>
      <c r="F3836" s="38" t="s">
        <v>4579</v>
      </c>
      <c r="G3836" s="38">
        <v>3.61731516675E11</v>
      </c>
      <c r="H3836" s="38" t="s">
        <v>4580</v>
      </c>
      <c r="I3836" s="38" t="s">
        <v>4581</v>
      </c>
      <c r="J3836" s="38" t="s">
        <v>134</v>
      </c>
      <c r="K3836" s="38" t="s">
        <v>126</v>
      </c>
      <c r="L3836" s="41">
        <v>46010.729166666664</v>
      </c>
      <c r="M3836" s="38" t="s">
        <v>123</v>
      </c>
      <c r="N3836" s="41">
        <v>46010.739583333336</v>
      </c>
      <c r="O3836" s="38" t="s">
        <v>123</v>
      </c>
      <c r="P3836" s="38">
        <v>900.0</v>
      </c>
      <c r="Q3836" s="39"/>
      <c r="R3836" s="39"/>
      <c r="S3836" s="39"/>
      <c r="T3836" s="39"/>
      <c r="U3836" s="39"/>
    </row>
    <row r="3837">
      <c r="A3837" s="40">
        <f t="shared" si="1"/>
        <v>46006</v>
      </c>
      <c r="B3837" s="37" t="str">
        <f t="array" ref="B3837">iferror(xlookup($I3837, 'IMPORT VHC Report'!$E:$E, 'IMPORT VHC Report'!$A:$C), )</f>
        <v/>
      </c>
      <c r="C3837" s="37"/>
      <c r="D3837" s="37"/>
      <c r="E3837" s="38" t="s">
        <v>4617</v>
      </c>
      <c r="F3837" s="38" t="s">
        <v>4579</v>
      </c>
      <c r="G3837" s="38">
        <v>3.61731516675E11</v>
      </c>
      <c r="H3837" s="38" t="s">
        <v>4580</v>
      </c>
      <c r="I3837" s="38" t="s">
        <v>4581</v>
      </c>
      <c r="J3837" s="38" t="s">
        <v>224</v>
      </c>
      <c r="K3837" s="38" t="s">
        <v>63</v>
      </c>
      <c r="L3837" s="41">
        <v>46010.739583333336</v>
      </c>
      <c r="M3837" s="38" t="s">
        <v>123</v>
      </c>
      <c r="N3837" s="41">
        <v>46010.8125</v>
      </c>
      <c r="O3837" s="38" t="s">
        <v>123</v>
      </c>
      <c r="P3837" s="38">
        <v>6300.0</v>
      </c>
      <c r="Q3837" s="39"/>
      <c r="R3837" s="39"/>
      <c r="S3837" s="39"/>
      <c r="T3837" s="39"/>
      <c r="U3837" s="39"/>
    </row>
    <row r="3838">
      <c r="A3838" s="40">
        <f t="shared" si="1"/>
        <v>46006</v>
      </c>
      <c r="B3838" s="37" t="str">
        <f t="array" ref="B3838">iferror(xlookup($I3838, 'IMPORT VHC Report'!$E:$E, 'IMPORT VHC Report'!$A:$C), )</f>
        <v/>
      </c>
      <c r="C3838" s="37"/>
      <c r="D3838" s="37"/>
      <c r="E3838" s="38" t="s">
        <v>4618</v>
      </c>
      <c r="F3838" s="38" t="s">
        <v>4579</v>
      </c>
      <c r="G3838" s="38">
        <v>3.61731516675E11</v>
      </c>
      <c r="H3838" s="38" t="s">
        <v>4580</v>
      </c>
      <c r="I3838" s="38" t="s">
        <v>4581</v>
      </c>
      <c r="J3838" s="38" t="s">
        <v>134</v>
      </c>
      <c r="K3838" s="38" t="s">
        <v>126</v>
      </c>
      <c r="L3838" s="41">
        <v>46010.74097222222</v>
      </c>
      <c r="M3838" s="38" t="s">
        <v>123</v>
      </c>
      <c r="N3838" s="41">
        <v>46010.76875</v>
      </c>
      <c r="O3838" s="38" t="s">
        <v>123</v>
      </c>
      <c r="P3838" s="38">
        <v>2400.0</v>
      </c>
      <c r="Q3838" s="39"/>
      <c r="R3838" s="39"/>
      <c r="S3838" s="38" t="s">
        <v>1382</v>
      </c>
      <c r="T3838" s="39"/>
      <c r="U3838" s="39"/>
    </row>
    <row r="3839">
      <c r="A3839" s="40">
        <f t="shared" si="1"/>
        <v>46006</v>
      </c>
      <c r="B3839" s="37" t="str">
        <f t="array" ref="B3839">iferror(xlookup($I3839, 'IMPORT VHC Report'!$E:$E, 'IMPORT VHC Report'!$A:$C), )</f>
        <v/>
      </c>
      <c r="C3839" s="37"/>
      <c r="D3839" s="37"/>
      <c r="E3839" s="38" t="s">
        <v>4619</v>
      </c>
      <c r="F3839" s="38" t="s">
        <v>4579</v>
      </c>
      <c r="G3839" s="38">
        <v>3.61731516675E11</v>
      </c>
      <c r="H3839" s="38" t="s">
        <v>4580</v>
      </c>
      <c r="I3839" s="38" t="s">
        <v>4581</v>
      </c>
      <c r="J3839" s="38" t="s">
        <v>134</v>
      </c>
      <c r="K3839" s="38" t="s">
        <v>126</v>
      </c>
      <c r="L3839" s="41">
        <v>46010.8125</v>
      </c>
      <c r="M3839" s="38" t="s">
        <v>123</v>
      </c>
      <c r="N3839" s="41">
        <v>46010.822916666664</v>
      </c>
      <c r="O3839" s="38" t="s">
        <v>123</v>
      </c>
      <c r="P3839" s="38">
        <v>900.0</v>
      </c>
      <c r="Q3839" s="39"/>
      <c r="R3839" s="39"/>
      <c r="S3839" s="39"/>
      <c r="T3839" s="39"/>
      <c r="U3839" s="39"/>
    </row>
    <row r="3840">
      <c r="A3840" s="40">
        <f t="shared" si="1"/>
        <v>46006</v>
      </c>
      <c r="B3840" s="37" t="str">
        <f t="array" ref="B3840">iferror(xlookup($I3840, 'IMPORT VHC Report'!$E:$E, 'IMPORT VHC Report'!$A:$C), )</f>
        <v/>
      </c>
      <c r="C3840" s="37"/>
      <c r="D3840" s="37"/>
      <c r="E3840" s="38" t="s">
        <v>4620</v>
      </c>
      <c r="F3840" s="38" t="s">
        <v>4579</v>
      </c>
      <c r="G3840" s="38">
        <v>3.61731516675E11</v>
      </c>
      <c r="H3840" s="38" t="s">
        <v>4580</v>
      </c>
      <c r="I3840" s="38" t="s">
        <v>4581</v>
      </c>
      <c r="J3840" s="38" t="s">
        <v>224</v>
      </c>
      <c r="K3840" s="38" t="s">
        <v>63</v>
      </c>
      <c r="L3840" s="41">
        <v>46010.822916666664</v>
      </c>
      <c r="M3840" s="38" t="s">
        <v>123</v>
      </c>
      <c r="N3840" s="41">
        <v>46010.885416666664</v>
      </c>
      <c r="O3840" s="38" t="s">
        <v>123</v>
      </c>
      <c r="P3840" s="38">
        <v>5400.0</v>
      </c>
      <c r="Q3840" s="39"/>
      <c r="R3840" s="39"/>
      <c r="S3840" s="39"/>
      <c r="T3840" s="39"/>
      <c r="U3840" s="39"/>
    </row>
    <row r="3841">
      <c r="A3841" s="40">
        <f t="shared" si="1"/>
        <v>46006</v>
      </c>
      <c r="B3841" s="37" t="str">
        <f t="array" ref="B3841">iferror(xlookup($I3841, 'IMPORT VHC Report'!$E:$E, 'IMPORT VHC Report'!$A:$C), )</f>
        <v/>
      </c>
      <c r="C3841" s="37"/>
      <c r="D3841" s="37"/>
      <c r="E3841" s="38" t="s">
        <v>4621</v>
      </c>
      <c r="F3841" s="38" t="s">
        <v>4579</v>
      </c>
      <c r="G3841" s="38">
        <v>3.61731516675E11</v>
      </c>
      <c r="H3841" s="38" t="s">
        <v>4580</v>
      </c>
      <c r="I3841" s="38" t="s">
        <v>4581</v>
      </c>
      <c r="J3841" s="38" t="s">
        <v>132</v>
      </c>
      <c r="K3841" s="38" t="s">
        <v>126</v>
      </c>
      <c r="L3841" s="41">
        <v>46010.885416666664</v>
      </c>
      <c r="M3841" s="38" t="s">
        <v>123</v>
      </c>
      <c r="N3841" s="41">
        <v>46010.927083333336</v>
      </c>
      <c r="O3841" s="38" t="s">
        <v>123</v>
      </c>
      <c r="P3841" s="38">
        <v>3600.0</v>
      </c>
      <c r="Q3841" s="39"/>
      <c r="R3841" s="39"/>
      <c r="S3841" s="39"/>
      <c r="T3841" s="39"/>
      <c r="U3841" s="39"/>
    </row>
    <row r="3842">
      <c r="A3842" s="40">
        <f t="shared" si="1"/>
        <v>46006</v>
      </c>
      <c r="B3842" s="37" t="str">
        <f t="array" ref="B3842">iferror(xlookup($I3842, 'IMPORT VHC Report'!$E:$E, 'IMPORT VHC Report'!$A:$C), )</f>
        <v/>
      </c>
      <c r="C3842" s="37"/>
      <c r="D3842" s="37"/>
      <c r="E3842" s="38" t="s">
        <v>4622</v>
      </c>
      <c r="F3842" s="38" t="s">
        <v>4579</v>
      </c>
      <c r="G3842" s="38">
        <v>3.61731516675E11</v>
      </c>
      <c r="H3842" s="38" t="s">
        <v>4580</v>
      </c>
      <c r="I3842" s="38" t="s">
        <v>4581</v>
      </c>
      <c r="J3842" s="38" t="s">
        <v>224</v>
      </c>
      <c r="K3842" s="38" t="s">
        <v>63</v>
      </c>
      <c r="L3842" s="41">
        <v>46010.927083333336</v>
      </c>
      <c r="M3842" s="38" t="s">
        <v>123</v>
      </c>
      <c r="N3842" s="41">
        <v>46011.0</v>
      </c>
      <c r="O3842" s="38" t="s">
        <v>123</v>
      </c>
      <c r="P3842" s="38">
        <v>6300.0</v>
      </c>
      <c r="Q3842" s="39"/>
      <c r="R3842" s="39"/>
      <c r="S3842" s="39"/>
      <c r="T3842" s="39"/>
      <c r="U3842" s="39"/>
    </row>
    <row r="3843">
      <c r="A3843" s="40">
        <f t="shared" si="1"/>
        <v>46006</v>
      </c>
      <c r="B3843" s="37" t="str">
        <f t="array" ref="B3843">iferror(xlookup($I3843, 'IMPORT VHC Report'!$E:$E, 'IMPORT VHC Report'!$A:$C), )</f>
        <v/>
      </c>
      <c r="C3843" s="37"/>
      <c r="D3843" s="37"/>
      <c r="E3843" s="38" t="s">
        <v>4623</v>
      </c>
      <c r="F3843" s="38" t="s">
        <v>4624</v>
      </c>
      <c r="G3843" s="39"/>
      <c r="H3843" s="38" t="s">
        <v>4625</v>
      </c>
      <c r="I3843" s="38" t="s">
        <v>4626</v>
      </c>
      <c r="J3843" s="38" t="s">
        <v>224</v>
      </c>
      <c r="K3843" s="38" t="s">
        <v>63</v>
      </c>
      <c r="L3843" s="41">
        <v>46006.625</v>
      </c>
      <c r="M3843" s="38" t="s">
        <v>123</v>
      </c>
      <c r="N3843" s="41">
        <v>46007.0</v>
      </c>
      <c r="O3843" s="38" t="s">
        <v>123</v>
      </c>
      <c r="P3843" s="38">
        <v>32400.0</v>
      </c>
      <c r="Q3843" s="39"/>
      <c r="R3843" s="39"/>
      <c r="S3843" s="39"/>
      <c r="T3843" s="39"/>
      <c r="U3843" s="39"/>
    </row>
    <row r="3844">
      <c r="A3844" s="40">
        <f t="shared" si="1"/>
        <v>46006</v>
      </c>
      <c r="B3844" s="37" t="str">
        <f t="array" ref="B3844">iferror(xlookup($I3844, 'IMPORT VHC Report'!$E:$E, 'IMPORT VHC Report'!$A:$C), )</f>
        <v/>
      </c>
      <c r="C3844" s="37"/>
      <c r="D3844" s="37"/>
      <c r="E3844" s="38" t="s">
        <v>4627</v>
      </c>
      <c r="F3844" s="38" t="s">
        <v>4624</v>
      </c>
      <c r="G3844" s="39"/>
      <c r="H3844" s="38" t="s">
        <v>4625</v>
      </c>
      <c r="I3844" s="38" t="s">
        <v>4626</v>
      </c>
      <c r="J3844" s="38" t="s">
        <v>134</v>
      </c>
      <c r="K3844" s="38" t="s">
        <v>126</v>
      </c>
      <c r="L3844" s="41">
        <v>46006.72222222222</v>
      </c>
      <c r="M3844" s="38" t="s">
        <v>123</v>
      </c>
      <c r="N3844" s="41">
        <v>46006.73263888889</v>
      </c>
      <c r="O3844" s="38" t="s">
        <v>123</v>
      </c>
      <c r="P3844" s="38">
        <v>900.0</v>
      </c>
      <c r="Q3844" s="39"/>
      <c r="R3844" s="39"/>
      <c r="S3844" s="39"/>
      <c r="T3844" s="39"/>
      <c r="U3844" s="39"/>
    </row>
    <row r="3845">
      <c r="A3845" s="40">
        <f t="shared" si="1"/>
        <v>46006</v>
      </c>
      <c r="B3845" s="37" t="str">
        <f t="array" ref="B3845">iferror(xlookup($I3845, 'IMPORT VHC Report'!$E:$E, 'IMPORT VHC Report'!$A:$C), )</f>
        <v/>
      </c>
      <c r="C3845" s="37"/>
      <c r="D3845" s="37"/>
      <c r="E3845" s="38" t="s">
        <v>4628</v>
      </c>
      <c r="F3845" s="38" t="s">
        <v>4624</v>
      </c>
      <c r="G3845" s="39"/>
      <c r="H3845" s="38" t="s">
        <v>4625</v>
      </c>
      <c r="I3845" s="38" t="s">
        <v>4626</v>
      </c>
      <c r="J3845" s="38" t="s">
        <v>134</v>
      </c>
      <c r="K3845" s="38" t="s">
        <v>126</v>
      </c>
      <c r="L3845" s="41">
        <v>46006.84375</v>
      </c>
      <c r="M3845" s="38" t="s">
        <v>123</v>
      </c>
      <c r="N3845" s="41">
        <v>46006.854166666664</v>
      </c>
      <c r="O3845" s="38" t="s">
        <v>123</v>
      </c>
      <c r="P3845" s="38">
        <v>900.0</v>
      </c>
      <c r="Q3845" s="39"/>
      <c r="R3845" s="39"/>
      <c r="S3845" s="39"/>
      <c r="T3845" s="39"/>
      <c r="U3845" s="39"/>
    </row>
    <row r="3846">
      <c r="A3846" s="40">
        <f t="shared" si="1"/>
        <v>46006</v>
      </c>
      <c r="B3846" s="37" t="str">
        <f t="array" ref="B3846">iferror(xlookup($I3846, 'IMPORT VHC Report'!$E:$E, 'IMPORT VHC Report'!$A:$C), )</f>
        <v/>
      </c>
      <c r="C3846" s="37"/>
      <c r="D3846" s="37"/>
      <c r="E3846" s="38" t="s">
        <v>4629</v>
      </c>
      <c r="F3846" s="38" t="s">
        <v>4624</v>
      </c>
      <c r="G3846" s="39"/>
      <c r="H3846" s="38" t="s">
        <v>4625</v>
      </c>
      <c r="I3846" s="38" t="s">
        <v>4626</v>
      </c>
      <c r="J3846" s="38" t="s">
        <v>132</v>
      </c>
      <c r="K3846" s="38" t="s">
        <v>126</v>
      </c>
      <c r="L3846" s="41">
        <v>46006.916666666664</v>
      </c>
      <c r="M3846" s="38" t="s">
        <v>123</v>
      </c>
      <c r="N3846" s="41">
        <v>46006.958333333336</v>
      </c>
      <c r="O3846" s="38" t="s">
        <v>123</v>
      </c>
      <c r="P3846" s="38">
        <v>3600.0</v>
      </c>
      <c r="Q3846" s="39"/>
      <c r="R3846" s="39"/>
      <c r="S3846" s="39"/>
      <c r="T3846" s="39"/>
      <c r="U3846" s="39"/>
    </row>
    <row r="3847">
      <c r="A3847" s="40">
        <f t="shared" si="1"/>
        <v>46006</v>
      </c>
      <c r="B3847" s="37" t="str">
        <f t="array" ref="B3847">iferror(xlookup($I3847, 'IMPORT VHC Report'!$E:$E, 'IMPORT VHC Report'!$A:$C), )</f>
        <v/>
      </c>
      <c r="C3847" s="37"/>
      <c r="D3847" s="37"/>
      <c r="E3847" s="38" t="s">
        <v>4630</v>
      </c>
      <c r="F3847" s="38" t="s">
        <v>4624</v>
      </c>
      <c r="G3847" s="39"/>
      <c r="H3847" s="38" t="s">
        <v>4625</v>
      </c>
      <c r="I3847" s="38" t="s">
        <v>4626</v>
      </c>
      <c r="J3847" s="38" t="s">
        <v>224</v>
      </c>
      <c r="K3847" s="38" t="s">
        <v>63</v>
      </c>
      <c r="L3847" s="41">
        <v>46007.625</v>
      </c>
      <c r="M3847" s="38" t="s">
        <v>123</v>
      </c>
      <c r="N3847" s="41">
        <v>46008.0</v>
      </c>
      <c r="O3847" s="38" t="s">
        <v>123</v>
      </c>
      <c r="P3847" s="38">
        <v>32400.0</v>
      </c>
      <c r="Q3847" s="39"/>
      <c r="R3847" s="39"/>
      <c r="S3847" s="39"/>
      <c r="T3847" s="39"/>
      <c r="U3847" s="39"/>
    </row>
    <row r="3848">
      <c r="A3848" s="40">
        <f t="shared" si="1"/>
        <v>46006</v>
      </c>
      <c r="B3848" s="37" t="str">
        <f t="array" ref="B3848">iferror(xlookup($I3848, 'IMPORT VHC Report'!$E:$E, 'IMPORT VHC Report'!$A:$C), )</f>
        <v/>
      </c>
      <c r="C3848" s="37"/>
      <c r="D3848" s="37"/>
      <c r="E3848" s="38" t="s">
        <v>4631</v>
      </c>
      <c r="F3848" s="38" t="s">
        <v>4624</v>
      </c>
      <c r="G3848" s="39"/>
      <c r="H3848" s="38" t="s">
        <v>4625</v>
      </c>
      <c r="I3848" s="38" t="s">
        <v>4626</v>
      </c>
      <c r="J3848" s="38" t="s">
        <v>134</v>
      </c>
      <c r="K3848" s="38" t="s">
        <v>126</v>
      </c>
      <c r="L3848" s="41">
        <v>46007.708333333336</v>
      </c>
      <c r="M3848" s="38" t="s">
        <v>123</v>
      </c>
      <c r="N3848" s="41">
        <v>46007.71875</v>
      </c>
      <c r="O3848" s="38" t="s">
        <v>123</v>
      </c>
      <c r="P3848" s="38">
        <v>900.0</v>
      </c>
      <c r="Q3848" s="39"/>
      <c r="R3848" s="39"/>
      <c r="S3848" s="39"/>
      <c r="T3848" s="39"/>
      <c r="U3848" s="39"/>
    </row>
    <row r="3849">
      <c r="A3849" s="40">
        <f t="shared" si="1"/>
        <v>46006</v>
      </c>
      <c r="B3849" s="37" t="str">
        <f t="array" ref="B3849">iferror(xlookup($I3849, 'IMPORT VHC Report'!$E:$E, 'IMPORT VHC Report'!$A:$C), )</f>
        <v/>
      </c>
      <c r="C3849" s="37"/>
      <c r="D3849" s="37"/>
      <c r="E3849" s="38" t="s">
        <v>4632</v>
      </c>
      <c r="F3849" s="38" t="s">
        <v>4624</v>
      </c>
      <c r="G3849" s="39"/>
      <c r="H3849" s="38" t="s">
        <v>4625</v>
      </c>
      <c r="I3849" s="38" t="s">
        <v>4626</v>
      </c>
      <c r="J3849" s="38" t="s">
        <v>134</v>
      </c>
      <c r="K3849" s="38" t="s">
        <v>126</v>
      </c>
      <c r="L3849" s="41">
        <v>46007.8125</v>
      </c>
      <c r="M3849" s="38" t="s">
        <v>123</v>
      </c>
      <c r="N3849" s="41">
        <v>46007.822916666664</v>
      </c>
      <c r="O3849" s="38" t="s">
        <v>123</v>
      </c>
      <c r="P3849" s="38">
        <v>900.0</v>
      </c>
      <c r="Q3849" s="39"/>
      <c r="R3849" s="39"/>
      <c r="S3849" s="39"/>
      <c r="T3849" s="39"/>
      <c r="U3849" s="39"/>
    </row>
    <row r="3850">
      <c r="A3850" s="40">
        <f t="shared" si="1"/>
        <v>46006</v>
      </c>
      <c r="B3850" s="37" t="str">
        <f t="array" ref="B3850">iferror(xlookup($I3850, 'IMPORT VHC Report'!$E:$E, 'IMPORT VHC Report'!$A:$C), )</f>
        <v/>
      </c>
      <c r="C3850" s="37"/>
      <c r="D3850" s="37"/>
      <c r="E3850" s="38" t="s">
        <v>4633</v>
      </c>
      <c r="F3850" s="38" t="s">
        <v>4624</v>
      </c>
      <c r="G3850" s="39"/>
      <c r="H3850" s="38" t="s">
        <v>4625</v>
      </c>
      <c r="I3850" s="38" t="s">
        <v>4626</v>
      </c>
      <c r="J3850" s="38" t="s">
        <v>132</v>
      </c>
      <c r="K3850" s="38" t="s">
        <v>126</v>
      </c>
      <c r="L3850" s="41">
        <v>46007.895833333336</v>
      </c>
      <c r="M3850" s="38" t="s">
        <v>123</v>
      </c>
      <c r="N3850" s="41">
        <v>46007.9375</v>
      </c>
      <c r="O3850" s="38" t="s">
        <v>123</v>
      </c>
      <c r="P3850" s="38">
        <v>3600.0</v>
      </c>
      <c r="Q3850" s="39"/>
      <c r="R3850" s="39"/>
      <c r="S3850" s="39"/>
      <c r="T3850" s="39"/>
      <c r="U3850" s="39"/>
    </row>
    <row r="3851">
      <c r="A3851" s="40">
        <f t="shared" si="1"/>
        <v>46006</v>
      </c>
      <c r="B3851" s="37" t="str">
        <f t="array" ref="B3851">iferror(xlookup($I3851, 'IMPORT VHC Report'!$E:$E, 'IMPORT VHC Report'!$A:$C), )</f>
        <v/>
      </c>
      <c r="C3851" s="37"/>
      <c r="D3851" s="37"/>
      <c r="E3851" s="38" t="s">
        <v>4634</v>
      </c>
      <c r="F3851" s="38" t="s">
        <v>4624</v>
      </c>
      <c r="G3851" s="39"/>
      <c r="H3851" s="38" t="s">
        <v>4625</v>
      </c>
      <c r="I3851" s="38" t="s">
        <v>4626</v>
      </c>
      <c r="J3851" s="38" t="s">
        <v>4</v>
      </c>
      <c r="K3851" s="38" t="s">
        <v>126</v>
      </c>
      <c r="L3851" s="41">
        <v>46007.958333333336</v>
      </c>
      <c r="M3851" s="38" t="s">
        <v>123</v>
      </c>
      <c r="N3851" s="41">
        <v>46007.98611111111</v>
      </c>
      <c r="O3851" s="38" t="s">
        <v>123</v>
      </c>
      <c r="P3851" s="38">
        <v>2400.0</v>
      </c>
      <c r="Q3851" s="39"/>
      <c r="R3851" s="39"/>
      <c r="S3851" s="38" t="s">
        <v>4635</v>
      </c>
      <c r="T3851" s="39"/>
      <c r="U3851" s="39"/>
    </row>
    <row r="3852">
      <c r="A3852" s="40">
        <f t="shared" si="1"/>
        <v>46006</v>
      </c>
      <c r="B3852" s="37" t="str">
        <f t="array" ref="B3852">iferror(xlookup($I3852, 'IMPORT VHC Report'!$E:$E, 'IMPORT VHC Report'!$A:$C), )</f>
        <v/>
      </c>
      <c r="C3852" s="37"/>
      <c r="D3852" s="37"/>
      <c r="E3852" s="38" t="s">
        <v>4636</v>
      </c>
      <c r="F3852" s="38" t="s">
        <v>4624</v>
      </c>
      <c r="G3852" s="39"/>
      <c r="H3852" s="38" t="s">
        <v>4625</v>
      </c>
      <c r="I3852" s="38" t="s">
        <v>4626</v>
      </c>
      <c r="J3852" s="38" t="s">
        <v>132</v>
      </c>
      <c r="K3852" s="38" t="s">
        <v>126</v>
      </c>
      <c r="L3852" s="41">
        <v>46008.625</v>
      </c>
      <c r="M3852" s="38" t="s">
        <v>123</v>
      </c>
      <c r="N3852" s="41">
        <v>46008.666666666664</v>
      </c>
      <c r="O3852" s="38" t="s">
        <v>123</v>
      </c>
      <c r="P3852" s="38">
        <v>3600.0</v>
      </c>
      <c r="Q3852" s="39"/>
      <c r="R3852" s="39"/>
      <c r="S3852" s="39"/>
      <c r="T3852" s="39"/>
      <c r="U3852" s="39"/>
    </row>
    <row r="3853">
      <c r="A3853" s="40">
        <f t="shared" si="1"/>
        <v>46006</v>
      </c>
      <c r="B3853" s="37" t="str">
        <f t="array" ref="B3853">iferror(xlookup($I3853, 'IMPORT VHC Report'!$E:$E, 'IMPORT VHC Report'!$A:$C), )</f>
        <v/>
      </c>
      <c r="C3853" s="37"/>
      <c r="D3853" s="37"/>
      <c r="E3853" s="38" t="s">
        <v>4637</v>
      </c>
      <c r="F3853" s="38" t="s">
        <v>4624</v>
      </c>
      <c r="G3853" s="39"/>
      <c r="H3853" s="38" t="s">
        <v>4625</v>
      </c>
      <c r="I3853" s="38" t="s">
        <v>4626</v>
      </c>
      <c r="J3853" s="38" t="s">
        <v>224</v>
      </c>
      <c r="K3853" s="38" t="s">
        <v>63</v>
      </c>
      <c r="L3853" s="41">
        <v>46008.625</v>
      </c>
      <c r="M3853" s="38" t="s">
        <v>123</v>
      </c>
      <c r="N3853" s="41">
        <v>46008.958333333336</v>
      </c>
      <c r="O3853" s="38" t="s">
        <v>123</v>
      </c>
      <c r="P3853" s="38">
        <v>28800.0</v>
      </c>
      <c r="Q3853" s="39"/>
      <c r="R3853" s="39"/>
      <c r="S3853" s="39"/>
      <c r="T3853" s="39"/>
      <c r="U3853" s="39"/>
    </row>
    <row r="3854">
      <c r="A3854" s="40">
        <f t="shared" si="1"/>
        <v>46006</v>
      </c>
      <c r="B3854" s="37" t="str">
        <f t="array" ref="B3854">iferror(xlookup($I3854, 'IMPORT VHC Report'!$E:$E, 'IMPORT VHC Report'!$A:$C), )</f>
        <v/>
      </c>
      <c r="C3854" s="37"/>
      <c r="D3854" s="37"/>
      <c r="E3854" s="38" t="s">
        <v>4638</v>
      </c>
      <c r="F3854" s="38" t="s">
        <v>4624</v>
      </c>
      <c r="G3854" s="39"/>
      <c r="H3854" s="38" t="s">
        <v>4625</v>
      </c>
      <c r="I3854" s="38" t="s">
        <v>4626</v>
      </c>
      <c r="J3854" s="38" t="s">
        <v>134</v>
      </c>
      <c r="K3854" s="38" t="s">
        <v>126</v>
      </c>
      <c r="L3854" s="41">
        <v>46008.71875</v>
      </c>
      <c r="M3854" s="38" t="s">
        <v>123</v>
      </c>
      <c r="N3854" s="41">
        <v>46008.729166666664</v>
      </c>
      <c r="O3854" s="38" t="s">
        <v>123</v>
      </c>
      <c r="P3854" s="38">
        <v>900.0</v>
      </c>
      <c r="Q3854" s="39"/>
      <c r="R3854" s="39"/>
      <c r="S3854" s="39"/>
      <c r="T3854" s="39"/>
      <c r="U3854" s="39"/>
    </row>
    <row r="3855">
      <c r="A3855" s="40">
        <f t="shared" si="1"/>
        <v>46006</v>
      </c>
      <c r="B3855" s="37" t="str">
        <f t="array" ref="B3855">iferror(xlookup($I3855, 'IMPORT VHC Report'!$E:$E, 'IMPORT VHC Report'!$A:$C), )</f>
        <v/>
      </c>
      <c r="C3855" s="37"/>
      <c r="D3855" s="37"/>
      <c r="E3855" s="38" t="s">
        <v>4639</v>
      </c>
      <c r="F3855" s="38" t="s">
        <v>4624</v>
      </c>
      <c r="G3855" s="39"/>
      <c r="H3855" s="38" t="s">
        <v>4625</v>
      </c>
      <c r="I3855" s="38" t="s">
        <v>4626</v>
      </c>
      <c r="J3855" s="38" t="s">
        <v>134</v>
      </c>
      <c r="K3855" s="38" t="s">
        <v>126</v>
      </c>
      <c r="L3855" s="41">
        <v>46008.92013888889</v>
      </c>
      <c r="M3855" s="38" t="s">
        <v>123</v>
      </c>
      <c r="N3855" s="41">
        <v>46008.930555555555</v>
      </c>
      <c r="O3855" s="38" t="s">
        <v>123</v>
      </c>
      <c r="P3855" s="38">
        <v>900.0</v>
      </c>
      <c r="Q3855" s="39"/>
      <c r="R3855" s="39"/>
      <c r="S3855" s="38" t="s">
        <v>4640</v>
      </c>
      <c r="T3855" s="39"/>
      <c r="U3855" s="39"/>
    </row>
    <row r="3856">
      <c r="A3856" s="40">
        <f t="shared" si="1"/>
        <v>46006</v>
      </c>
      <c r="B3856" s="37" t="str">
        <f t="array" ref="B3856">iferror(xlookup($I3856, 'IMPORT VHC Report'!$E:$E, 'IMPORT VHC Report'!$A:$C), )</f>
        <v/>
      </c>
      <c r="C3856" s="37"/>
      <c r="D3856" s="37"/>
      <c r="E3856" s="38" t="s">
        <v>4641</v>
      </c>
      <c r="F3856" s="38" t="s">
        <v>4624</v>
      </c>
      <c r="G3856" s="39"/>
      <c r="H3856" s="38" t="s">
        <v>4625</v>
      </c>
      <c r="I3856" s="38" t="s">
        <v>4626</v>
      </c>
      <c r="J3856" s="38" t="s">
        <v>62</v>
      </c>
      <c r="K3856" s="38" t="s">
        <v>63</v>
      </c>
      <c r="L3856" s="41">
        <v>46008.958333333336</v>
      </c>
      <c r="M3856" s="38" t="s">
        <v>123</v>
      </c>
      <c r="N3856" s="41">
        <v>46008.979166666664</v>
      </c>
      <c r="O3856" s="38" t="s">
        <v>123</v>
      </c>
      <c r="P3856" s="38">
        <v>1800.0</v>
      </c>
      <c r="Q3856" s="39"/>
      <c r="R3856" s="39"/>
      <c r="S3856" s="39"/>
      <c r="T3856" s="39"/>
      <c r="U3856" s="39"/>
    </row>
    <row r="3857">
      <c r="A3857" s="40">
        <f t="shared" si="1"/>
        <v>46006</v>
      </c>
      <c r="B3857" s="37" t="str">
        <f t="array" ref="B3857">iferror(xlookup($I3857, 'IMPORT VHC Report'!$E:$E, 'IMPORT VHC Report'!$A:$C), )</f>
        <v/>
      </c>
      <c r="C3857" s="37"/>
      <c r="D3857" s="37"/>
      <c r="E3857" s="38" t="s">
        <v>4642</v>
      </c>
      <c r="F3857" s="38" t="s">
        <v>4624</v>
      </c>
      <c r="G3857" s="39"/>
      <c r="H3857" s="38" t="s">
        <v>4625</v>
      </c>
      <c r="I3857" s="38" t="s">
        <v>4626</v>
      </c>
      <c r="J3857" s="38" t="s">
        <v>4</v>
      </c>
      <c r="K3857" s="38" t="s">
        <v>126</v>
      </c>
      <c r="L3857" s="41">
        <v>46008.958333333336</v>
      </c>
      <c r="M3857" s="38" t="s">
        <v>123</v>
      </c>
      <c r="N3857" s="41">
        <v>46008.989583333336</v>
      </c>
      <c r="O3857" s="38" t="s">
        <v>123</v>
      </c>
      <c r="P3857" s="38">
        <v>2700.0</v>
      </c>
      <c r="Q3857" s="39"/>
      <c r="R3857" s="39"/>
      <c r="S3857" s="38" t="s">
        <v>4643</v>
      </c>
      <c r="T3857" s="39"/>
      <c r="U3857" s="39"/>
    </row>
    <row r="3858">
      <c r="A3858" s="40">
        <f t="shared" si="1"/>
        <v>46006</v>
      </c>
      <c r="B3858" s="37" t="str">
        <f t="array" ref="B3858">iferror(xlookup($I3858, 'IMPORT VHC Report'!$E:$E, 'IMPORT VHC Report'!$A:$C), )</f>
        <v/>
      </c>
      <c r="C3858" s="37"/>
      <c r="D3858" s="37"/>
      <c r="E3858" s="38" t="s">
        <v>4644</v>
      </c>
      <c r="F3858" s="38" t="s">
        <v>4624</v>
      </c>
      <c r="G3858" s="39"/>
      <c r="H3858" s="38" t="s">
        <v>4625</v>
      </c>
      <c r="I3858" s="38" t="s">
        <v>4626</v>
      </c>
      <c r="J3858" s="38" t="s">
        <v>224</v>
      </c>
      <c r="K3858" s="38" t="s">
        <v>63</v>
      </c>
      <c r="L3858" s="41">
        <v>46008.979166666664</v>
      </c>
      <c r="M3858" s="38" t="s">
        <v>123</v>
      </c>
      <c r="N3858" s="41">
        <v>46009.0</v>
      </c>
      <c r="O3858" s="38" t="s">
        <v>123</v>
      </c>
      <c r="P3858" s="38">
        <v>1800.0</v>
      </c>
      <c r="Q3858" s="39"/>
      <c r="R3858" s="39"/>
      <c r="S3858" s="39"/>
      <c r="T3858" s="39"/>
      <c r="U3858" s="39"/>
    </row>
    <row r="3859">
      <c r="A3859" s="40">
        <f t="shared" si="1"/>
        <v>46006</v>
      </c>
      <c r="B3859" s="37" t="str">
        <f t="array" ref="B3859">iferror(xlookup($I3859, 'IMPORT VHC Report'!$E:$E, 'IMPORT VHC Report'!$A:$C), )</f>
        <v/>
      </c>
      <c r="C3859" s="37"/>
      <c r="D3859" s="37"/>
      <c r="E3859" s="38" t="s">
        <v>4645</v>
      </c>
      <c r="F3859" s="38" t="s">
        <v>4624</v>
      </c>
      <c r="G3859" s="39"/>
      <c r="H3859" s="38" t="s">
        <v>4625</v>
      </c>
      <c r="I3859" s="38" t="s">
        <v>4626</v>
      </c>
      <c r="J3859" s="38" t="s">
        <v>224</v>
      </c>
      <c r="K3859" s="38" t="s">
        <v>63</v>
      </c>
      <c r="L3859" s="41">
        <v>46009.625</v>
      </c>
      <c r="M3859" s="38" t="s">
        <v>123</v>
      </c>
      <c r="N3859" s="41">
        <v>46009.75</v>
      </c>
      <c r="O3859" s="38" t="s">
        <v>123</v>
      </c>
      <c r="P3859" s="38">
        <v>10800.0</v>
      </c>
      <c r="Q3859" s="39"/>
      <c r="R3859" s="39"/>
      <c r="S3859" s="39"/>
      <c r="T3859" s="39"/>
      <c r="U3859" s="39"/>
    </row>
    <row r="3860">
      <c r="A3860" s="40">
        <f t="shared" si="1"/>
        <v>46006</v>
      </c>
      <c r="B3860" s="37" t="str">
        <f t="array" ref="B3860">iferror(xlookup($I3860, 'IMPORT VHC Report'!$E:$E, 'IMPORT VHC Report'!$A:$C), )</f>
        <v/>
      </c>
      <c r="C3860" s="37"/>
      <c r="D3860" s="37"/>
      <c r="E3860" s="38" t="s">
        <v>4646</v>
      </c>
      <c r="F3860" s="38" t="s">
        <v>4624</v>
      </c>
      <c r="G3860" s="39"/>
      <c r="H3860" s="38" t="s">
        <v>4625</v>
      </c>
      <c r="I3860" s="38" t="s">
        <v>4626</v>
      </c>
      <c r="J3860" s="38" t="s">
        <v>134</v>
      </c>
      <c r="K3860" s="38" t="s">
        <v>126</v>
      </c>
      <c r="L3860" s="41">
        <v>46009.75</v>
      </c>
      <c r="M3860" s="38" t="s">
        <v>123</v>
      </c>
      <c r="N3860" s="41">
        <v>46009.760416666664</v>
      </c>
      <c r="O3860" s="38" t="s">
        <v>123</v>
      </c>
      <c r="P3860" s="38">
        <v>900.0</v>
      </c>
      <c r="Q3860" s="39"/>
      <c r="R3860" s="39"/>
      <c r="S3860" s="39"/>
      <c r="T3860" s="39"/>
      <c r="U3860" s="39"/>
    </row>
    <row r="3861">
      <c r="A3861" s="40">
        <f t="shared" si="1"/>
        <v>46006</v>
      </c>
      <c r="B3861" s="37" t="str">
        <f t="array" ref="B3861">iferror(xlookup($I3861, 'IMPORT VHC Report'!$E:$E, 'IMPORT VHC Report'!$A:$C), )</f>
        <v/>
      </c>
      <c r="C3861" s="37"/>
      <c r="D3861" s="37"/>
      <c r="E3861" s="38" t="s">
        <v>4647</v>
      </c>
      <c r="F3861" s="38" t="s">
        <v>4624</v>
      </c>
      <c r="G3861" s="39"/>
      <c r="H3861" s="38" t="s">
        <v>4625</v>
      </c>
      <c r="I3861" s="38" t="s">
        <v>4626</v>
      </c>
      <c r="J3861" s="38" t="s">
        <v>224</v>
      </c>
      <c r="K3861" s="38" t="s">
        <v>63</v>
      </c>
      <c r="L3861" s="41">
        <v>46009.760416666664</v>
      </c>
      <c r="M3861" s="38" t="s">
        <v>123</v>
      </c>
      <c r="N3861" s="41">
        <v>46009.822916666664</v>
      </c>
      <c r="O3861" s="38" t="s">
        <v>123</v>
      </c>
      <c r="P3861" s="38">
        <v>5400.0</v>
      </c>
      <c r="Q3861" s="39"/>
      <c r="R3861" s="39"/>
      <c r="S3861" s="39"/>
      <c r="T3861" s="39"/>
      <c r="U3861" s="39"/>
    </row>
    <row r="3862">
      <c r="A3862" s="40">
        <f t="shared" si="1"/>
        <v>46006</v>
      </c>
      <c r="B3862" s="37" t="str">
        <f t="array" ref="B3862">iferror(xlookup($I3862, 'IMPORT VHC Report'!$E:$E, 'IMPORT VHC Report'!$A:$C), )</f>
        <v/>
      </c>
      <c r="C3862" s="37"/>
      <c r="D3862" s="37"/>
      <c r="E3862" s="38" t="s">
        <v>4648</v>
      </c>
      <c r="F3862" s="38" t="s">
        <v>4624</v>
      </c>
      <c r="G3862" s="39"/>
      <c r="H3862" s="38" t="s">
        <v>4625</v>
      </c>
      <c r="I3862" s="38" t="s">
        <v>4626</v>
      </c>
      <c r="J3862" s="38" t="s">
        <v>134</v>
      </c>
      <c r="K3862" s="38" t="s">
        <v>126</v>
      </c>
      <c r="L3862" s="41">
        <v>46009.822916666664</v>
      </c>
      <c r="M3862" s="38" t="s">
        <v>123</v>
      </c>
      <c r="N3862" s="41">
        <v>46009.833333333336</v>
      </c>
      <c r="O3862" s="38" t="s">
        <v>123</v>
      </c>
      <c r="P3862" s="38">
        <v>900.0</v>
      </c>
      <c r="Q3862" s="39"/>
      <c r="R3862" s="39"/>
      <c r="S3862" s="39"/>
      <c r="T3862" s="39"/>
      <c r="U3862" s="39"/>
    </row>
    <row r="3863">
      <c r="A3863" s="40">
        <f t="shared" si="1"/>
        <v>46006</v>
      </c>
      <c r="B3863" s="37" t="str">
        <f t="array" ref="B3863">iferror(xlookup($I3863, 'IMPORT VHC Report'!$E:$E, 'IMPORT VHC Report'!$A:$C), )</f>
        <v/>
      </c>
      <c r="C3863" s="37"/>
      <c r="D3863" s="37"/>
      <c r="E3863" s="38" t="s">
        <v>4649</v>
      </c>
      <c r="F3863" s="38" t="s">
        <v>4624</v>
      </c>
      <c r="G3863" s="39"/>
      <c r="H3863" s="38" t="s">
        <v>4625</v>
      </c>
      <c r="I3863" s="38" t="s">
        <v>4626</v>
      </c>
      <c r="J3863" s="38" t="s">
        <v>224</v>
      </c>
      <c r="K3863" s="38" t="s">
        <v>63</v>
      </c>
      <c r="L3863" s="41">
        <v>46009.833333333336</v>
      </c>
      <c r="M3863" s="38" t="s">
        <v>123</v>
      </c>
      <c r="N3863" s="41">
        <v>46009.895833333336</v>
      </c>
      <c r="O3863" s="38" t="s">
        <v>123</v>
      </c>
      <c r="P3863" s="38">
        <v>5400.0</v>
      </c>
      <c r="Q3863" s="39"/>
      <c r="R3863" s="39"/>
      <c r="S3863" s="39"/>
      <c r="T3863" s="39"/>
      <c r="U3863" s="39"/>
    </row>
    <row r="3864">
      <c r="A3864" s="40">
        <f t="shared" si="1"/>
        <v>46006</v>
      </c>
      <c r="B3864" s="37" t="str">
        <f t="array" ref="B3864">iferror(xlookup($I3864, 'IMPORT VHC Report'!$E:$E, 'IMPORT VHC Report'!$A:$C), )</f>
        <v/>
      </c>
      <c r="C3864" s="37"/>
      <c r="D3864" s="37"/>
      <c r="E3864" s="38" t="s">
        <v>4650</v>
      </c>
      <c r="F3864" s="38" t="s">
        <v>4624</v>
      </c>
      <c r="G3864" s="39"/>
      <c r="H3864" s="38" t="s">
        <v>4625</v>
      </c>
      <c r="I3864" s="38" t="s">
        <v>4626</v>
      </c>
      <c r="J3864" s="38" t="s">
        <v>132</v>
      </c>
      <c r="K3864" s="38" t="s">
        <v>126</v>
      </c>
      <c r="L3864" s="41">
        <v>46009.895833333336</v>
      </c>
      <c r="M3864" s="38" t="s">
        <v>123</v>
      </c>
      <c r="N3864" s="41">
        <v>46009.9375</v>
      </c>
      <c r="O3864" s="38" t="s">
        <v>123</v>
      </c>
      <c r="P3864" s="38">
        <v>3600.0</v>
      </c>
      <c r="Q3864" s="39"/>
      <c r="R3864" s="39"/>
      <c r="S3864" s="39"/>
      <c r="T3864" s="39"/>
      <c r="U3864" s="39"/>
    </row>
    <row r="3865">
      <c r="A3865" s="40">
        <f t="shared" si="1"/>
        <v>46006</v>
      </c>
      <c r="B3865" s="37" t="str">
        <f t="array" ref="B3865">iferror(xlookup($I3865, 'IMPORT VHC Report'!$E:$E, 'IMPORT VHC Report'!$A:$C), )</f>
        <v/>
      </c>
      <c r="C3865" s="37"/>
      <c r="D3865" s="37"/>
      <c r="E3865" s="38" t="s">
        <v>4651</v>
      </c>
      <c r="F3865" s="38" t="s">
        <v>4624</v>
      </c>
      <c r="G3865" s="39"/>
      <c r="H3865" s="38" t="s">
        <v>4625</v>
      </c>
      <c r="I3865" s="38" t="s">
        <v>4626</v>
      </c>
      <c r="J3865" s="38" t="s">
        <v>224</v>
      </c>
      <c r="K3865" s="38" t="s">
        <v>63</v>
      </c>
      <c r="L3865" s="41">
        <v>46009.9375</v>
      </c>
      <c r="M3865" s="38" t="s">
        <v>123</v>
      </c>
      <c r="N3865" s="41">
        <v>46010.0</v>
      </c>
      <c r="O3865" s="38" t="s">
        <v>123</v>
      </c>
      <c r="P3865" s="38">
        <v>5400.0</v>
      </c>
      <c r="Q3865" s="39"/>
      <c r="R3865" s="39"/>
      <c r="S3865" s="39"/>
      <c r="T3865" s="39"/>
      <c r="U3865" s="39"/>
    </row>
    <row r="3866">
      <c r="A3866" s="40">
        <f t="shared" si="1"/>
        <v>46006</v>
      </c>
      <c r="B3866" s="37" t="str">
        <f t="array" ref="B3866">iferror(xlookup($I3866, 'IMPORT VHC Report'!$E:$E, 'IMPORT VHC Report'!$A:$C), )</f>
        <v/>
      </c>
      <c r="C3866" s="37"/>
      <c r="D3866" s="37"/>
      <c r="E3866" s="38" t="s">
        <v>4652</v>
      </c>
      <c r="F3866" s="38" t="s">
        <v>4624</v>
      </c>
      <c r="G3866" s="39"/>
      <c r="H3866" s="38" t="s">
        <v>4625</v>
      </c>
      <c r="I3866" s="38" t="s">
        <v>4626</v>
      </c>
      <c r="J3866" s="38" t="s">
        <v>224</v>
      </c>
      <c r="K3866" s="38" t="s">
        <v>63</v>
      </c>
      <c r="L3866" s="41">
        <v>46012.625</v>
      </c>
      <c r="M3866" s="38" t="s">
        <v>123</v>
      </c>
      <c r="N3866" s="41">
        <v>46012.729166666664</v>
      </c>
      <c r="O3866" s="38" t="s">
        <v>123</v>
      </c>
      <c r="P3866" s="38">
        <v>9000.0</v>
      </c>
      <c r="Q3866" s="39"/>
      <c r="R3866" s="39"/>
      <c r="S3866" s="39"/>
      <c r="T3866" s="39"/>
      <c r="U3866" s="39"/>
    </row>
    <row r="3867">
      <c r="A3867" s="40">
        <f t="shared" si="1"/>
        <v>46006</v>
      </c>
      <c r="B3867" s="37" t="str">
        <f t="array" ref="B3867">iferror(xlookup($I3867, 'IMPORT VHC Report'!$E:$E, 'IMPORT VHC Report'!$A:$C), )</f>
        <v/>
      </c>
      <c r="C3867" s="37"/>
      <c r="D3867" s="37"/>
      <c r="E3867" s="38" t="s">
        <v>4653</v>
      </c>
      <c r="F3867" s="38" t="s">
        <v>4624</v>
      </c>
      <c r="G3867" s="39"/>
      <c r="H3867" s="38" t="s">
        <v>4625</v>
      </c>
      <c r="I3867" s="38" t="s">
        <v>4626</v>
      </c>
      <c r="J3867" s="38" t="s">
        <v>134</v>
      </c>
      <c r="K3867" s="38" t="s">
        <v>126</v>
      </c>
      <c r="L3867" s="41">
        <v>46012.729166666664</v>
      </c>
      <c r="M3867" s="38" t="s">
        <v>123</v>
      </c>
      <c r="N3867" s="41">
        <v>46012.739583333336</v>
      </c>
      <c r="O3867" s="38" t="s">
        <v>123</v>
      </c>
      <c r="P3867" s="38">
        <v>900.0</v>
      </c>
      <c r="Q3867" s="39"/>
      <c r="R3867" s="39"/>
      <c r="S3867" s="39"/>
      <c r="T3867" s="39"/>
      <c r="U3867" s="39"/>
    </row>
    <row r="3868">
      <c r="A3868" s="40">
        <f t="shared" si="1"/>
        <v>46006</v>
      </c>
      <c r="B3868" s="37" t="str">
        <f t="array" ref="B3868">iferror(xlookup($I3868, 'IMPORT VHC Report'!$E:$E, 'IMPORT VHC Report'!$A:$C), )</f>
        <v/>
      </c>
      <c r="C3868" s="37"/>
      <c r="D3868" s="37"/>
      <c r="E3868" s="38" t="s">
        <v>4654</v>
      </c>
      <c r="F3868" s="38" t="s">
        <v>4624</v>
      </c>
      <c r="G3868" s="39"/>
      <c r="H3868" s="38" t="s">
        <v>4625</v>
      </c>
      <c r="I3868" s="38" t="s">
        <v>4626</v>
      </c>
      <c r="J3868" s="38" t="s">
        <v>224</v>
      </c>
      <c r="K3868" s="38" t="s">
        <v>63</v>
      </c>
      <c r="L3868" s="41">
        <v>46012.739583333336</v>
      </c>
      <c r="M3868" s="38" t="s">
        <v>123</v>
      </c>
      <c r="N3868" s="41">
        <v>46012.8125</v>
      </c>
      <c r="O3868" s="38" t="s">
        <v>123</v>
      </c>
      <c r="P3868" s="38">
        <v>6300.0</v>
      </c>
      <c r="Q3868" s="39"/>
      <c r="R3868" s="39"/>
      <c r="S3868" s="39"/>
      <c r="T3868" s="39"/>
      <c r="U3868" s="39"/>
    </row>
    <row r="3869">
      <c r="A3869" s="40">
        <f t="shared" si="1"/>
        <v>46006</v>
      </c>
      <c r="B3869" s="37" t="str">
        <f t="array" ref="B3869">iferror(xlookup($I3869, 'IMPORT VHC Report'!$E:$E, 'IMPORT VHC Report'!$A:$C), )</f>
        <v/>
      </c>
      <c r="C3869" s="37"/>
      <c r="D3869" s="37"/>
      <c r="E3869" s="38" t="s">
        <v>4655</v>
      </c>
      <c r="F3869" s="38" t="s">
        <v>4624</v>
      </c>
      <c r="G3869" s="39"/>
      <c r="H3869" s="38" t="s">
        <v>4625</v>
      </c>
      <c r="I3869" s="38" t="s">
        <v>4626</v>
      </c>
      <c r="J3869" s="38" t="s">
        <v>134</v>
      </c>
      <c r="K3869" s="38" t="s">
        <v>126</v>
      </c>
      <c r="L3869" s="41">
        <v>46012.8125</v>
      </c>
      <c r="M3869" s="38" t="s">
        <v>123</v>
      </c>
      <c r="N3869" s="41">
        <v>46012.822916666664</v>
      </c>
      <c r="O3869" s="38" t="s">
        <v>123</v>
      </c>
      <c r="P3869" s="38">
        <v>900.0</v>
      </c>
      <c r="Q3869" s="39"/>
      <c r="R3869" s="39"/>
      <c r="S3869" s="39"/>
      <c r="T3869" s="39"/>
      <c r="U3869" s="39"/>
    </row>
    <row r="3870">
      <c r="A3870" s="40">
        <f t="shared" si="1"/>
        <v>46006</v>
      </c>
      <c r="B3870" s="37" t="str">
        <f t="array" ref="B3870">iferror(xlookup($I3870, 'IMPORT VHC Report'!$E:$E, 'IMPORT VHC Report'!$A:$C), )</f>
        <v/>
      </c>
      <c r="C3870" s="37"/>
      <c r="D3870" s="37"/>
      <c r="E3870" s="38" t="s">
        <v>4656</v>
      </c>
      <c r="F3870" s="38" t="s">
        <v>4624</v>
      </c>
      <c r="G3870" s="39"/>
      <c r="H3870" s="38" t="s">
        <v>4625</v>
      </c>
      <c r="I3870" s="38" t="s">
        <v>4626</v>
      </c>
      <c r="J3870" s="38" t="s">
        <v>224</v>
      </c>
      <c r="K3870" s="38" t="s">
        <v>63</v>
      </c>
      <c r="L3870" s="41">
        <v>46012.822916666664</v>
      </c>
      <c r="M3870" s="38" t="s">
        <v>123</v>
      </c>
      <c r="N3870" s="41">
        <v>46012.885416666664</v>
      </c>
      <c r="O3870" s="38" t="s">
        <v>123</v>
      </c>
      <c r="P3870" s="38">
        <v>5400.0</v>
      </c>
      <c r="Q3870" s="39"/>
      <c r="R3870" s="39"/>
      <c r="S3870" s="39"/>
      <c r="T3870" s="39"/>
      <c r="U3870" s="39"/>
    </row>
    <row r="3871">
      <c r="A3871" s="40">
        <f t="shared" si="1"/>
        <v>46006</v>
      </c>
      <c r="B3871" s="37" t="str">
        <f t="array" ref="B3871">iferror(xlookup($I3871, 'IMPORT VHC Report'!$E:$E, 'IMPORT VHC Report'!$A:$C), )</f>
        <v/>
      </c>
      <c r="C3871" s="37"/>
      <c r="D3871" s="37"/>
      <c r="E3871" s="38" t="s">
        <v>4657</v>
      </c>
      <c r="F3871" s="38" t="s">
        <v>4624</v>
      </c>
      <c r="G3871" s="39"/>
      <c r="H3871" s="38" t="s">
        <v>4625</v>
      </c>
      <c r="I3871" s="38" t="s">
        <v>4626</v>
      </c>
      <c r="J3871" s="38" t="s">
        <v>132</v>
      </c>
      <c r="K3871" s="38" t="s">
        <v>126</v>
      </c>
      <c r="L3871" s="41">
        <v>46012.885416666664</v>
      </c>
      <c r="M3871" s="38" t="s">
        <v>123</v>
      </c>
      <c r="N3871" s="41">
        <v>46012.927083333336</v>
      </c>
      <c r="O3871" s="38" t="s">
        <v>123</v>
      </c>
      <c r="P3871" s="38">
        <v>3600.0</v>
      </c>
      <c r="Q3871" s="39"/>
      <c r="R3871" s="39"/>
      <c r="S3871" s="39"/>
      <c r="T3871" s="39"/>
      <c r="U3871" s="39"/>
    </row>
    <row r="3872">
      <c r="A3872" s="40">
        <f t="shared" si="1"/>
        <v>46006</v>
      </c>
      <c r="B3872" s="37" t="str">
        <f t="array" ref="B3872">iferror(xlookup($I3872, 'IMPORT VHC Report'!$E:$E, 'IMPORT VHC Report'!$A:$C), )</f>
        <v/>
      </c>
      <c r="C3872" s="37"/>
      <c r="D3872" s="37"/>
      <c r="E3872" s="38" t="s">
        <v>4658</v>
      </c>
      <c r="F3872" s="38" t="s">
        <v>4624</v>
      </c>
      <c r="G3872" s="39"/>
      <c r="H3872" s="38" t="s">
        <v>4625</v>
      </c>
      <c r="I3872" s="38" t="s">
        <v>4626</v>
      </c>
      <c r="J3872" s="38" t="s">
        <v>224</v>
      </c>
      <c r="K3872" s="38" t="s">
        <v>63</v>
      </c>
      <c r="L3872" s="41">
        <v>46012.927083333336</v>
      </c>
      <c r="M3872" s="38" t="s">
        <v>123</v>
      </c>
      <c r="N3872" s="41">
        <v>46013.0</v>
      </c>
      <c r="O3872" s="38" t="s">
        <v>123</v>
      </c>
      <c r="P3872" s="38">
        <v>6300.0</v>
      </c>
      <c r="Q3872" s="39"/>
      <c r="R3872" s="39"/>
      <c r="S3872" s="39"/>
      <c r="T3872" s="39"/>
      <c r="U3872" s="39"/>
    </row>
    <row r="3873">
      <c r="A3873" s="40">
        <f t="shared" si="1"/>
        <v>46006</v>
      </c>
      <c r="B3873" s="37" t="str">
        <f t="array" ref="B3873">iferror(xlookup($I3873, 'IMPORT VHC Report'!$E:$E, 'IMPORT VHC Report'!$A:$C), )</f>
        <v/>
      </c>
      <c r="C3873" s="37"/>
      <c r="D3873" s="37"/>
      <c r="E3873" s="38" t="s">
        <v>4659</v>
      </c>
      <c r="F3873" s="38" t="s">
        <v>4660</v>
      </c>
      <c r="G3873" s="38">
        <v>5.566867981071E12</v>
      </c>
      <c r="H3873" s="38" t="s">
        <v>4661</v>
      </c>
      <c r="I3873" s="38" t="s">
        <v>4662</v>
      </c>
      <c r="J3873" s="38" t="s">
        <v>161</v>
      </c>
      <c r="K3873" s="38" t="s">
        <v>63</v>
      </c>
      <c r="L3873" s="41">
        <v>46006.625</v>
      </c>
      <c r="M3873" s="38" t="s">
        <v>123</v>
      </c>
      <c r="N3873" s="41">
        <v>46007.0</v>
      </c>
      <c r="O3873" s="38" t="s">
        <v>123</v>
      </c>
      <c r="P3873" s="38">
        <v>32400.0</v>
      </c>
      <c r="Q3873" s="39"/>
      <c r="R3873" s="39"/>
      <c r="S3873" s="39"/>
      <c r="T3873" s="39"/>
      <c r="U3873" s="39"/>
    </row>
    <row r="3874">
      <c r="A3874" s="40">
        <f t="shared" si="1"/>
        <v>46006</v>
      </c>
      <c r="B3874" s="37" t="str">
        <f t="array" ref="B3874">iferror(xlookup($I3874, 'IMPORT VHC Report'!$E:$E, 'IMPORT VHC Report'!$A:$C), )</f>
        <v/>
      </c>
      <c r="C3874" s="37"/>
      <c r="D3874" s="37"/>
      <c r="E3874" s="38" t="s">
        <v>4663</v>
      </c>
      <c r="F3874" s="38" t="s">
        <v>4660</v>
      </c>
      <c r="G3874" s="38">
        <v>5.566867981071E12</v>
      </c>
      <c r="H3874" s="38" t="s">
        <v>4661</v>
      </c>
      <c r="I3874" s="38" t="s">
        <v>4662</v>
      </c>
      <c r="J3874" s="38" t="s">
        <v>134</v>
      </c>
      <c r="K3874" s="38" t="s">
        <v>126</v>
      </c>
      <c r="L3874" s="41">
        <v>46006.75</v>
      </c>
      <c r="M3874" s="38" t="s">
        <v>123</v>
      </c>
      <c r="N3874" s="41">
        <v>46006.760416666664</v>
      </c>
      <c r="O3874" s="38" t="s">
        <v>123</v>
      </c>
      <c r="P3874" s="38">
        <v>900.0</v>
      </c>
      <c r="Q3874" s="39"/>
      <c r="R3874" s="39"/>
      <c r="S3874" s="39"/>
      <c r="T3874" s="39"/>
      <c r="U3874" s="39"/>
    </row>
    <row r="3875">
      <c r="A3875" s="40">
        <f t="shared" si="1"/>
        <v>46006</v>
      </c>
      <c r="B3875" s="37" t="str">
        <f t="array" ref="B3875">iferror(xlookup($I3875, 'IMPORT VHC Report'!$E:$E, 'IMPORT VHC Report'!$A:$C), )</f>
        <v/>
      </c>
      <c r="C3875" s="37"/>
      <c r="D3875" s="37"/>
      <c r="E3875" s="38" t="s">
        <v>4664</v>
      </c>
      <c r="F3875" s="38" t="s">
        <v>4660</v>
      </c>
      <c r="G3875" s="38">
        <v>5.566867981071E12</v>
      </c>
      <c r="H3875" s="38" t="s">
        <v>4661</v>
      </c>
      <c r="I3875" s="38" t="s">
        <v>4662</v>
      </c>
      <c r="J3875" s="38" t="s">
        <v>132</v>
      </c>
      <c r="K3875" s="38" t="s">
        <v>126</v>
      </c>
      <c r="L3875" s="41">
        <v>46006.833333333336</v>
      </c>
      <c r="M3875" s="38" t="s">
        <v>123</v>
      </c>
      <c r="N3875" s="41">
        <v>46006.875</v>
      </c>
      <c r="O3875" s="38" t="s">
        <v>123</v>
      </c>
      <c r="P3875" s="38">
        <v>3600.0</v>
      </c>
      <c r="Q3875" s="39"/>
      <c r="R3875" s="39"/>
      <c r="S3875" s="39"/>
      <c r="T3875" s="39"/>
      <c r="U3875" s="39"/>
    </row>
    <row r="3876">
      <c r="A3876" s="40">
        <f t="shared" si="1"/>
        <v>46006</v>
      </c>
      <c r="B3876" s="37" t="str">
        <f t="array" ref="B3876">iferror(xlookup($I3876, 'IMPORT VHC Report'!$E:$E, 'IMPORT VHC Report'!$A:$C), )</f>
        <v/>
      </c>
      <c r="C3876" s="37"/>
      <c r="D3876" s="37"/>
      <c r="E3876" s="38" t="s">
        <v>4665</v>
      </c>
      <c r="F3876" s="38" t="s">
        <v>4660</v>
      </c>
      <c r="G3876" s="38">
        <v>5.566867981071E12</v>
      </c>
      <c r="H3876" s="38" t="s">
        <v>4661</v>
      </c>
      <c r="I3876" s="38" t="s">
        <v>4662</v>
      </c>
      <c r="J3876" s="38" t="s">
        <v>134</v>
      </c>
      <c r="K3876" s="38" t="s">
        <v>126</v>
      </c>
      <c r="L3876" s="41">
        <v>46006.947916666664</v>
      </c>
      <c r="M3876" s="38" t="s">
        <v>123</v>
      </c>
      <c r="N3876" s="41">
        <v>46006.958333333336</v>
      </c>
      <c r="O3876" s="38" t="s">
        <v>123</v>
      </c>
      <c r="P3876" s="38">
        <v>900.0</v>
      </c>
      <c r="Q3876" s="39"/>
      <c r="R3876" s="39"/>
      <c r="S3876" s="39"/>
      <c r="T3876" s="39"/>
      <c r="U3876" s="39"/>
    </row>
    <row r="3877">
      <c r="A3877" s="40">
        <f t="shared" si="1"/>
        <v>46006</v>
      </c>
      <c r="B3877" s="37" t="str">
        <f t="array" ref="B3877">iferror(xlookup($I3877, 'IMPORT VHC Report'!$E:$E, 'IMPORT VHC Report'!$A:$C), )</f>
        <v/>
      </c>
      <c r="C3877" s="37"/>
      <c r="D3877" s="37"/>
      <c r="E3877" s="38" t="s">
        <v>4666</v>
      </c>
      <c r="F3877" s="38" t="s">
        <v>4660</v>
      </c>
      <c r="G3877" s="38">
        <v>5.566867981071E12</v>
      </c>
      <c r="H3877" s="38" t="s">
        <v>4661</v>
      </c>
      <c r="I3877" s="38" t="s">
        <v>4662</v>
      </c>
      <c r="J3877" s="38" t="s">
        <v>161</v>
      </c>
      <c r="K3877" s="38" t="s">
        <v>63</v>
      </c>
      <c r="L3877" s="41">
        <v>46007.625</v>
      </c>
      <c r="M3877" s="38" t="s">
        <v>123</v>
      </c>
      <c r="N3877" s="41">
        <v>46008.0</v>
      </c>
      <c r="O3877" s="38" t="s">
        <v>123</v>
      </c>
      <c r="P3877" s="38">
        <v>32400.0</v>
      </c>
      <c r="Q3877" s="39"/>
      <c r="R3877" s="39"/>
      <c r="S3877" s="39"/>
      <c r="T3877" s="39"/>
      <c r="U3877" s="39"/>
    </row>
    <row r="3878">
      <c r="A3878" s="40">
        <f t="shared" si="1"/>
        <v>46006</v>
      </c>
      <c r="B3878" s="37" t="str">
        <f t="array" ref="B3878">iferror(xlookup($I3878, 'IMPORT VHC Report'!$E:$E, 'IMPORT VHC Report'!$A:$C), )</f>
        <v/>
      </c>
      <c r="C3878" s="37"/>
      <c r="D3878" s="37"/>
      <c r="E3878" s="38" t="s">
        <v>4667</v>
      </c>
      <c r="F3878" s="38" t="s">
        <v>4660</v>
      </c>
      <c r="G3878" s="38">
        <v>5.566867981071E12</v>
      </c>
      <c r="H3878" s="38" t="s">
        <v>4661</v>
      </c>
      <c r="I3878" s="38" t="s">
        <v>4662</v>
      </c>
      <c r="J3878" s="38" t="s">
        <v>134</v>
      </c>
      <c r="K3878" s="38" t="s">
        <v>126</v>
      </c>
      <c r="L3878" s="41">
        <v>46007.78125</v>
      </c>
      <c r="M3878" s="38" t="s">
        <v>123</v>
      </c>
      <c r="N3878" s="41">
        <v>46007.791666666664</v>
      </c>
      <c r="O3878" s="38" t="s">
        <v>123</v>
      </c>
      <c r="P3878" s="38">
        <v>900.0</v>
      </c>
      <c r="Q3878" s="39"/>
      <c r="R3878" s="39"/>
      <c r="S3878" s="39"/>
      <c r="T3878" s="39"/>
      <c r="U3878" s="39"/>
    </row>
    <row r="3879">
      <c r="A3879" s="40">
        <f t="shared" si="1"/>
        <v>46006</v>
      </c>
      <c r="B3879" s="37" t="str">
        <f t="array" ref="B3879">iferror(xlookup($I3879, 'IMPORT VHC Report'!$E:$E, 'IMPORT VHC Report'!$A:$C), )</f>
        <v/>
      </c>
      <c r="C3879" s="37"/>
      <c r="D3879" s="37"/>
      <c r="E3879" s="38" t="s">
        <v>4668</v>
      </c>
      <c r="F3879" s="38" t="s">
        <v>4660</v>
      </c>
      <c r="G3879" s="38">
        <v>5.566867981071E12</v>
      </c>
      <c r="H3879" s="38" t="s">
        <v>4661</v>
      </c>
      <c r="I3879" s="38" t="s">
        <v>4662</v>
      </c>
      <c r="J3879" s="38" t="s">
        <v>134</v>
      </c>
      <c r="K3879" s="38" t="s">
        <v>126</v>
      </c>
      <c r="L3879" s="41">
        <v>46007.854166666664</v>
      </c>
      <c r="M3879" s="38" t="s">
        <v>123</v>
      </c>
      <c r="N3879" s="41">
        <v>46007.864583333336</v>
      </c>
      <c r="O3879" s="38" t="s">
        <v>123</v>
      </c>
      <c r="P3879" s="38">
        <v>900.0</v>
      </c>
      <c r="Q3879" s="39"/>
      <c r="R3879" s="39"/>
      <c r="S3879" s="39"/>
      <c r="T3879" s="39"/>
      <c r="U3879" s="39"/>
    </row>
    <row r="3880">
      <c r="A3880" s="40">
        <f t="shared" si="1"/>
        <v>46006</v>
      </c>
      <c r="B3880" s="37" t="str">
        <f t="array" ref="B3880">iferror(xlookup($I3880, 'IMPORT VHC Report'!$E:$E, 'IMPORT VHC Report'!$A:$C), )</f>
        <v/>
      </c>
      <c r="C3880" s="37"/>
      <c r="D3880" s="37"/>
      <c r="E3880" s="38" t="s">
        <v>4669</v>
      </c>
      <c r="F3880" s="38" t="s">
        <v>4660</v>
      </c>
      <c r="G3880" s="38">
        <v>5.566867981071E12</v>
      </c>
      <c r="H3880" s="38" t="s">
        <v>4661</v>
      </c>
      <c r="I3880" s="38" t="s">
        <v>4662</v>
      </c>
      <c r="J3880" s="38" t="s">
        <v>132</v>
      </c>
      <c r="K3880" s="38" t="s">
        <v>126</v>
      </c>
      <c r="L3880" s="41">
        <v>46007.895833333336</v>
      </c>
      <c r="M3880" s="38" t="s">
        <v>123</v>
      </c>
      <c r="N3880" s="41">
        <v>46007.9375</v>
      </c>
      <c r="O3880" s="38" t="s">
        <v>123</v>
      </c>
      <c r="P3880" s="38">
        <v>3600.0</v>
      </c>
      <c r="Q3880" s="39"/>
      <c r="R3880" s="39"/>
      <c r="S3880" s="39"/>
      <c r="T3880" s="39"/>
      <c r="U3880" s="39"/>
    </row>
    <row r="3881">
      <c r="A3881" s="40">
        <f t="shared" si="1"/>
        <v>46006</v>
      </c>
      <c r="B3881" s="37" t="str">
        <f t="array" ref="B3881">iferror(xlookup($I3881, 'IMPORT VHC Report'!$E:$E, 'IMPORT VHC Report'!$A:$C), )</f>
        <v/>
      </c>
      <c r="C3881" s="37"/>
      <c r="D3881" s="37"/>
      <c r="E3881" s="38" t="s">
        <v>4670</v>
      </c>
      <c r="F3881" s="38" t="s">
        <v>4660</v>
      </c>
      <c r="G3881" s="38">
        <v>5.566867981071E12</v>
      </c>
      <c r="H3881" s="38" t="s">
        <v>4661</v>
      </c>
      <c r="I3881" s="38" t="s">
        <v>4662</v>
      </c>
      <c r="J3881" s="38" t="s">
        <v>161</v>
      </c>
      <c r="K3881" s="38" t="s">
        <v>63</v>
      </c>
      <c r="L3881" s="41">
        <v>46008.625</v>
      </c>
      <c r="M3881" s="38" t="s">
        <v>123</v>
      </c>
      <c r="N3881" s="41">
        <v>46009.0</v>
      </c>
      <c r="O3881" s="38" t="s">
        <v>123</v>
      </c>
      <c r="P3881" s="38">
        <v>32400.0</v>
      </c>
      <c r="Q3881" s="39"/>
      <c r="R3881" s="39"/>
      <c r="S3881" s="39"/>
      <c r="T3881" s="39"/>
      <c r="U3881" s="39"/>
    </row>
    <row r="3882">
      <c r="A3882" s="40">
        <f t="shared" si="1"/>
        <v>46006</v>
      </c>
      <c r="B3882" s="37" t="str">
        <f t="array" ref="B3882">iferror(xlookup($I3882, 'IMPORT VHC Report'!$E:$E, 'IMPORT VHC Report'!$A:$C), )</f>
        <v/>
      </c>
      <c r="C3882" s="37"/>
      <c r="D3882" s="37"/>
      <c r="E3882" s="38" t="s">
        <v>4671</v>
      </c>
      <c r="F3882" s="38" t="s">
        <v>4660</v>
      </c>
      <c r="G3882" s="38">
        <v>5.566867981071E12</v>
      </c>
      <c r="H3882" s="38" t="s">
        <v>4661</v>
      </c>
      <c r="I3882" s="38" t="s">
        <v>4662</v>
      </c>
      <c r="J3882" s="38" t="s">
        <v>134</v>
      </c>
      <c r="K3882" s="38" t="s">
        <v>126</v>
      </c>
      <c r="L3882" s="41">
        <v>46008.697916666664</v>
      </c>
      <c r="M3882" s="38" t="s">
        <v>123</v>
      </c>
      <c r="N3882" s="41">
        <v>46008.708333333336</v>
      </c>
      <c r="O3882" s="38" t="s">
        <v>123</v>
      </c>
      <c r="P3882" s="38">
        <v>900.0</v>
      </c>
      <c r="Q3882" s="39"/>
      <c r="R3882" s="39"/>
      <c r="S3882" s="39"/>
      <c r="T3882" s="39"/>
      <c r="U3882" s="39"/>
    </row>
    <row r="3883">
      <c r="A3883" s="40">
        <f t="shared" si="1"/>
        <v>46006</v>
      </c>
      <c r="B3883" s="37" t="str">
        <f t="array" ref="B3883">iferror(xlookup($I3883, 'IMPORT VHC Report'!$E:$E, 'IMPORT VHC Report'!$A:$C), )</f>
        <v/>
      </c>
      <c r="C3883" s="37"/>
      <c r="D3883" s="37"/>
      <c r="E3883" s="38" t="s">
        <v>4672</v>
      </c>
      <c r="F3883" s="38" t="s">
        <v>4660</v>
      </c>
      <c r="G3883" s="38">
        <v>5.566867981071E12</v>
      </c>
      <c r="H3883" s="38" t="s">
        <v>4661</v>
      </c>
      <c r="I3883" s="38" t="s">
        <v>4662</v>
      </c>
      <c r="J3883" s="38" t="s">
        <v>132</v>
      </c>
      <c r="K3883" s="38" t="s">
        <v>126</v>
      </c>
      <c r="L3883" s="41">
        <v>46008.78125</v>
      </c>
      <c r="M3883" s="38" t="s">
        <v>123</v>
      </c>
      <c r="N3883" s="41">
        <v>46008.822916666664</v>
      </c>
      <c r="O3883" s="38" t="s">
        <v>123</v>
      </c>
      <c r="P3883" s="38">
        <v>3600.0</v>
      </c>
      <c r="Q3883" s="39"/>
      <c r="R3883" s="39"/>
      <c r="S3883" s="39"/>
      <c r="T3883" s="39"/>
      <c r="U3883" s="39"/>
    </row>
    <row r="3884">
      <c r="A3884" s="40">
        <f t="shared" si="1"/>
        <v>46006</v>
      </c>
      <c r="B3884" s="37" t="str">
        <f t="array" ref="B3884">iferror(xlookup($I3884, 'IMPORT VHC Report'!$E:$E, 'IMPORT VHC Report'!$A:$C), )</f>
        <v/>
      </c>
      <c r="C3884" s="37"/>
      <c r="D3884" s="37"/>
      <c r="E3884" s="38" t="s">
        <v>4673</v>
      </c>
      <c r="F3884" s="38" t="s">
        <v>4660</v>
      </c>
      <c r="G3884" s="38">
        <v>5.566867981071E12</v>
      </c>
      <c r="H3884" s="38" t="s">
        <v>4661</v>
      </c>
      <c r="I3884" s="38" t="s">
        <v>4662</v>
      </c>
      <c r="J3884" s="38" t="s">
        <v>134</v>
      </c>
      <c r="K3884" s="38" t="s">
        <v>126</v>
      </c>
      <c r="L3884" s="41">
        <v>46008.84375</v>
      </c>
      <c r="M3884" s="38" t="s">
        <v>123</v>
      </c>
      <c r="N3884" s="41">
        <v>46008.854166666664</v>
      </c>
      <c r="O3884" s="38" t="s">
        <v>123</v>
      </c>
      <c r="P3884" s="38">
        <v>900.0</v>
      </c>
      <c r="Q3884" s="39"/>
      <c r="R3884" s="39"/>
      <c r="S3884" s="39"/>
      <c r="T3884" s="39"/>
      <c r="U3884" s="39"/>
    </row>
    <row r="3885">
      <c r="A3885" s="40">
        <f t="shared" si="1"/>
        <v>46006</v>
      </c>
      <c r="B3885" s="37" t="str">
        <f t="array" ref="B3885">iferror(xlookup($I3885, 'IMPORT VHC Report'!$E:$E, 'IMPORT VHC Report'!$A:$C), )</f>
        <v/>
      </c>
      <c r="C3885" s="37"/>
      <c r="D3885" s="37"/>
      <c r="E3885" s="38" t="s">
        <v>4674</v>
      </c>
      <c r="F3885" s="38" t="s">
        <v>4660</v>
      </c>
      <c r="G3885" s="38">
        <v>5.566867981071E12</v>
      </c>
      <c r="H3885" s="38" t="s">
        <v>4661</v>
      </c>
      <c r="I3885" s="38" t="s">
        <v>4662</v>
      </c>
      <c r="J3885" s="38" t="s">
        <v>152</v>
      </c>
      <c r="K3885" s="38" t="s">
        <v>153</v>
      </c>
      <c r="L3885" s="41">
        <v>46011.625</v>
      </c>
      <c r="M3885" s="38" t="s">
        <v>123</v>
      </c>
      <c r="N3885" s="41">
        <v>46012.0</v>
      </c>
      <c r="O3885" s="38" t="s">
        <v>123</v>
      </c>
      <c r="P3885" s="38">
        <v>32400.0</v>
      </c>
      <c r="Q3885" s="38">
        <v>32400.0</v>
      </c>
      <c r="R3885" s="38" t="s">
        <v>421</v>
      </c>
      <c r="S3885" s="38" t="s">
        <v>421</v>
      </c>
      <c r="T3885" s="39"/>
      <c r="U3885" s="39"/>
    </row>
    <row r="3886">
      <c r="A3886" s="40">
        <f t="shared" si="1"/>
        <v>46006</v>
      </c>
      <c r="B3886" s="37" t="str">
        <f t="array" ref="B3886">iferror(xlookup($I3886, 'IMPORT VHC Report'!$E:$E, 'IMPORT VHC Report'!$A:$C), )</f>
        <v/>
      </c>
      <c r="C3886" s="37"/>
      <c r="D3886" s="37"/>
      <c r="E3886" s="38" t="s">
        <v>4675</v>
      </c>
      <c r="F3886" s="38" t="s">
        <v>4660</v>
      </c>
      <c r="G3886" s="38">
        <v>5.566867981071E12</v>
      </c>
      <c r="H3886" s="38" t="s">
        <v>4661</v>
      </c>
      <c r="I3886" s="38" t="s">
        <v>4662</v>
      </c>
      <c r="J3886" s="38" t="s">
        <v>161</v>
      </c>
      <c r="K3886" s="38" t="s">
        <v>63</v>
      </c>
      <c r="L3886" s="41">
        <v>46011.625</v>
      </c>
      <c r="M3886" s="38" t="s">
        <v>123</v>
      </c>
      <c r="N3886" s="41">
        <v>46012.0</v>
      </c>
      <c r="O3886" s="38" t="s">
        <v>123</v>
      </c>
      <c r="P3886" s="38">
        <v>32400.0</v>
      </c>
      <c r="Q3886" s="39"/>
      <c r="R3886" s="39"/>
      <c r="S3886" s="39"/>
      <c r="T3886" s="39"/>
      <c r="U3886" s="39"/>
    </row>
    <row r="3887">
      <c r="A3887" s="40">
        <f t="shared" si="1"/>
        <v>46006</v>
      </c>
      <c r="B3887" s="37" t="str">
        <f t="array" ref="B3887">iferror(xlookup($I3887, 'IMPORT VHC Report'!$E:$E, 'IMPORT VHC Report'!$A:$C), )</f>
        <v/>
      </c>
      <c r="C3887" s="37"/>
      <c r="D3887" s="37"/>
      <c r="E3887" s="38" t="s">
        <v>4676</v>
      </c>
      <c r="F3887" s="38" t="s">
        <v>4660</v>
      </c>
      <c r="G3887" s="38">
        <v>5.566867981071E12</v>
      </c>
      <c r="H3887" s="38" t="s">
        <v>4661</v>
      </c>
      <c r="I3887" s="38" t="s">
        <v>4662</v>
      </c>
      <c r="J3887" s="38" t="s">
        <v>134</v>
      </c>
      <c r="K3887" s="38" t="s">
        <v>126</v>
      </c>
      <c r="L3887" s="41">
        <v>46011.729166666664</v>
      </c>
      <c r="M3887" s="38" t="s">
        <v>123</v>
      </c>
      <c r="N3887" s="41">
        <v>46011.739583333336</v>
      </c>
      <c r="O3887" s="38" t="s">
        <v>123</v>
      </c>
      <c r="P3887" s="38">
        <v>900.0</v>
      </c>
      <c r="Q3887" s="39"/>
      <c r="R3887" s="39"/>
      <c r="S3887" s="39"/>
      <c r="T3887" s="39"/>
      <c r="U3887" s="39"/>
    </row>
    <row r="3888">
      <c r="A3888" s="40">
        <f t="shared" si="1"/>
        <v>46006</v>
      </c>
      <c r="B3888" s="37" t="str">
        <f t="array" ref="B3888">iferror(xlookup($I3888, 'IMPORT VHC Report'!$E:$E, 'IMPORT VHC Report'!$A:$C), )</f>
        <v/>
      </c>
      <c r="C3888" s="37"/>
      <c r="D3888" s="37"/>
      <c r="E3888" s="38" t="s">
        <v>4677</v>
      </c>
      <c r="F3888" s="38" t="s">
        <v>4660</v>
      </c>
      <c r="G3888" s="38">
        <v>5.566867981071E12</v>
      </c>
      <c r="H3888" s="38" t="s">
        <v>4661</v>
      </c>
      <c r="I3888" s="38" t="s">
        <v>4662</v>
      </c>
      <c r="J3888" s="38" t="s">
        <v>132</v>
      </c>
      <c r="K3888" s="38" t="s">
        <v>126</v>
      </c>
      <c r="L3888" s="41">
        <v>46011.791666666664</v>
      </c>
      <c r="M3888" s="38" t="s">
        <v>123</v>
      </c>
      <c r="N3888" s="41">
        <v>46011.833333333336</v>
      </c>
      <c r="O3888" s="38" t="s">
        <v>123</v>
      </c>
      <c r="P3888" s="38">
        <v>3600.0</v>
      </c>
      <c r="Q3888" s="39"/>
      <c r="R3888" s="39"/>
      <c r="S3888" s="39"/>
      <c r="T3888" s="39"/>
      <c r="U3888" s="39"/>
    </row>
    <row r="3889">
      <c r="A3889" s="40">
        <f t="shared" si="1"/>
        <v>46006</v>
      </c>
      <c r="B3889" s="37" t="str">
        <f t="array" ref="B3889">iferror(xlookup($I3889, 'IMPORT VHC Report'!$E:$E, 'IMPORT VHC Report'!$A:$C), )</f>
        <v/>
      </c>
      <c r="C3889" s="37"/>
      <c r="D3889" s="37"/>
      <c r="E3889" s="38" t="s">
        <v>4678</v>
      </c>
      <c r="F3889" s="38" t="s">
        <v>4660</v>
      </c>
      <c r="G3889" s="38">
        <v>5.566867981071E12</v>
      </c>
      <c r="H3889" s="38" t="s">
        <v>4661</v>
      </c>
      <c r="I3889" s="38" t="s">
        <v>4662</v>
      </c>
      <c r="J3889" s="38" t="s">
        <v>4</v>
      </c>
      <c r="K3889" s="38" t="s">
        <v>126</v>
      </c>
      <c r="L3889" s="41">
        <v>46011.875</v>
      </c>
      <c r="M3889" s="38" t="s">
        <v>123</v>
      </c>
      <c r="N3889" s="41">
        <v>46011.916666666664</v>
      </c>
      <c r="O3889" s="38" t="s">
        <v>123</v>
      </c>
      <c r="P3889" s="38">
        <v>3600.0</v>
      </c>
      <c r="Q3889" s="39"/>
      <c r="R3889" s="39"/>
      <c r="S3889" s="38" t="s">
        <v>170</v>
      </c>
      <c r="T3889" s="39"/>
      <c r="U3889" s="39"/>
    </row>
    <row r="3890">
      <c r="A3890" s="40">
        <f t="shared" si="1"/>
        <v>46006</v>
      </c>
      <c r="B3890" s="37" t="str">
        <f t="array" ref="B3890">iferror(xlookup($I3890, 'IMPORT VHC Report'!$E:$E, 'IMPORT VHC Report'!$A:$C), )</f>
        <v/>
      </c>
      <c r="C3890" s="37"/>
      <c r="D3890" s="37"/>
      <c r="E3890" s="38" t="s">
        <v>4679</v>
      </c>
      <c r="F3890" s="38" t="s">
        <v>4660</v>
      </c>
      <c r="G3890" s="38">
        <v>5.566867981071E12</v>
      </c>
      <c r="H3890" s="38" t="s">
        <v>4661</v>
      </c>
      <c r="I3890" s="38" t="s">
        <v>4662</v>
      </c>
      <c r="J3890" s="38" t="s">
        <v>134</v>
      </c>
      <c r="K3890" s="38" t="s">
        <v>126</v>
      </c>
      <c r="L3890" s="41">
        <v>46011.916666666664</v>
      </c>
      <c r="M3890" s="38" t="s">
        <v>123</v>
      </c>
      <c r="N3890" s="41">
        <v>46011.927083333336</v>
      </c>
      <c r="O3890" s="38" t="s">
        <v>123</v>
      </c>
      <c r="P3890" s="38">
        <v>900.0</v>
      </c>
      <c r="Q3890" s="39"/>
      <c r="R3890" s="39"/>
      <c r="S3890" s="39"/>
      <c r="T3890" s="39"/>
      <c r="U3890" s="39"/>
    </row>
    <row r="3891">
      <c r="A3891" s="40">
        <f t="shared" si="1"/>
        <v>46006</v>
      </c>
      <c r="B3891" s="37" t="str">
        <f t="array" ref="B3891">iferror(xlookup($I3891, 'IMPORT VHC Report'!$E:$E, 'IMPORT VHC Report'!$A:$C), )</f>
        <v/>
      </c>
      <c r="C3891" s="37"/>
      <c r="D3891" s="37"/>
      <c r="E3891" s="38" t="s">
        <v>4680</v>
      </c>
      <c r="F3891" s="38" t="s">
        <v>4660</v>
      </c>
      <c r="G3891" s="38">
        <v>5.566867981071E12</v>
      </c>
      <c r="H3891" s="38" t="s">
        <v>4661</v>
      </c>
      <c r="I3891" s="38" t="s">
        <v>4662</v>
      </c>
      <c r="J3891" s="38" t="s">
        <v>161</v>
      </c>
      <c r="K3891" s="38" t="s">
        <v>63</v>
      </c>
      <c r="L3891" s="41">
        <v>46012.625</v>
      </c>
      <c r="M3891" s="38" t="s">
        <v>123</v>
      </c>
      <c r="N3891" s="41">
        <v>46013.0</v>
      </c>
      <c r="O3891" s="38" t="s">
        <v>123</v>
      </c>
      <c r="P3891" s="38">
        <v>32400.0</v>
      </c>
      <c r="Q3891" s="39"/>
      <c r="R3891" s="39"/>
      <c r="S3891" s="39"/>
      <c r="T3891" s="39"/>
      <c r="U3891" s="39"/>
    </row>
    <row r="3892">
      <c r="A3892" s="40">
        <f t="shared" si="1"/>
        <v>46006</v>
      </c>
      <c r="B3892" s="37" t="str">
        <f t="array" ref="B3892">iferror(xlookup($I3892, 'IMPORT VHC Report'!$E:$E, 'IMPORT VHC Report'!$A:$C), )</f>
        <v/>
      </c>
      <c r="C3892" s="37"/>
      <c r="D3892" s="37"/>
      <c r="E3892" s="38" t="s">
        <v>4681</v>
      </c>
      <c r="F3892" s="38" t="s">
        <v>4660</v>
      </c>
      <c r="G3892" s="38">
        <v>5.566867981071E12</v>
      </c>
      <c r="H3892" s="38" t="s">
        <v>4661</v>
      </c>
      <c r="I3892" s="38" t="s">
        <v>4662</v>
      </c>
      <c r="J3892" s="38" t="s">
        <v>134</v>
      </c>
      <c r="K3892" s="38" t="s">
        <v>126</v>
      </c>
      <c r="L3892" s="41">
        <v>46012.708333333336</v>
      </c>
      <c r="M3892" s="38" t="s">
        <v>123</v>
      </c>
      <c r="N3892" s="41">
        <v>46012.71875</v>
      </c>
      <c r="O3892" s="38" t="s">
        <v>123</v>
      </c>
      <c r="P3892" s="38">
        <v>900.0</v>
      </c>
      <c r="Q3892" s="39"/>
      <c r="R3892" s="39"/>
      <c r="S3892" s="39"/>
      <c r="T3892" s="39"/>
      <c r="U3892" s="39"/>
    </row>
    <row r="3893">
      <c r="A3893" s="40">
        <f t="shared" si="1"/>
        <v>46006</v>
      </c>
      <c r="B3893" s="37" t="str">
        <f t="array" ref="B3893">iferror(xlookup($I3893, 'IMPORT VHC Report'!$E:$E, 'IMPORT VHC Report'!$A:$C), )</f>
        <v/>
      </c>
      <c r="C3893" s="37"/>
      <c r="D3893" s="37"/>
      <c r="E3893" s="38" t="s">
        <v>4682</v>
      </c>
      <c r="F3893" s="38" t="s">
        <v>4660</v>
      </c>
      <c r="G3893" s="38">
        <v>5.566867981071E12</v>
      </c>
      <c r="H3893" s="38" t="s">
        <v>4661</v>
      </c>
      <c r="I3893" s="38" t="s">
        <v>4662</v>
      </c>
      <c r="J3893" s="38" t="s">
        <v>134</v>
      </c>
      <c r="K3893" s="38" t="s">
        <v>126</v>
      </c>
      <c r="L3893" s="41">
        <v>46012.78125</v>
      </c>
      <c r="M3893" s="38" t="s">
        <v>123</v>
      </c>
      <c r="N3893" s="41">
        <v>46012.791666666664</v>
      </c>
      <c r="O3893" s="38" t="s">
        <v>123</v>
      </c>
      <c r="P3893" s="38">
        <v>900.0</v>
      </c>
      <c r="Q3893" s="39"/>
      <c r="R3893" s="39"/>
      <c r="S3893" s="39"/>
      <c r="T3893" s="39"/>
      <c r="U3893" s="39"/>
    </row>
    <row r="3894">
      <c r="A3894" s="40">
        <f t="shared" si="1"/>
        <v>46006</v>
      </c>
      <c r="B3894" s="37" t="str">
        <f t="array" ref="B3894">iferror(xlookup($I3894, 'IMPORT VHC Report'!$E:$E, 'IMPORT VHC Report'!$A:$C), )</f>
        <v/>
      </c>
      <c r="C3894" s="37"/>
      <c r="D3894" s="37"/>
      <c r="E3894" s="38" t="s">
        <v>4683</v>
      </c>
      <c r="F3894" s="38" t="s">
        <v>4660</v>
      </c>
      <c r="G3894" s="38">
        <v>5.566867981071E12</v>
      </c>
      <c r="H3894" s="38" t="s">
        <v>4661</v>
      </c>
      <c r="I3894" s="38" t="s">
        <v>4662</v>
      </c>
      <c r="J3894" s="38" t="s">
        <v>132</v>
      </c>
      <c r="K3894" s="38" t="s">
        <v>126</v>
      </c>
      <c r="L3894" s="41">
        <v>46012.885416666664</v>
      </c>
      <c r="M3894" s="38" t="s">
        <v>123</v>
      </c>
      <c r="N3894" s="41">
        <v>46012.927083333336</v>
      </c>
      <c r="O3894" s="38" t="s">
        <v>123</v>
      </c>
      <c r="P3894" s="38">
        <v>3600.0</v>
      </c>
      <c r="Q3894" s="39"/>
      <c r="R3894" s="39"/>
      <c r="S3894" s="39"/>
      <c r="T3894" s="39"/>
      <c r="U3894" s="39"/>
    </row>
    <row r="3895">
      <c r="A3895" s="40">
        <f t="shared" si="1"/>
        <v>46006</v>
      </c>
      <c r="B3895" s="37" t="str">
        <f t="array" ref="B3895">iferror(xlookup($I3895, 'IMPORT VHC Report'!$E:$E, 'IMPORT VHC Report'!$A:$C), )</f>
        <v/>
      </c>
      <c r="C3895" s="37"/>
      <c r="D3895" s="37"/>
      <c r="E3895" s="38" t="s">
        <v>4684</v>
      </c>
      <c r="F3895" s="38" t="s">
        <v>4685</v>
      </c>
      <c r="G3895" s="38">
        <v>9.107717956879E12</v>
      </c>
      <c r="H3895" s="38" t="s">
        <v>4686</v>
      </c>
      <c r="I3895" s="38" t="s">
        <v>4687</v>
      </c>
      <c r="J3895" s="38" t="s">
        <v>224</v>
      </c>
      <c r="K3895" s="38" t="s">
        <v>63</v>
      </c>
      <c r="L3895" s="41">
        <v>46006.625</v>
      </c>
      <c r="M3895" s="38" t="s">
        <v>123</v>
      </c>
      <c r="N3895" s="41">
        <v>46006.958333333336</v>
      </c>
      <c r="O3895" s="38" t="s">
        <v>123</v>
      </c>
      <c r="P3895" s="38">
        <v>28800.0</v>
      </c>
      <c r="Q3895" s="39"/>
      <c r="R3895" s="39"/>
      <c r="S3895" s="39"/>
      <c r="T3895" s="39"/>
      <c r="U3895" s="39"/>
    </row>
    <row r="3896">
      <c r="A3896" s="40">
        <f t="shared" si="1"/>
        <v>46006</v>
      </c>
      <c r="B3896" s="37" t="str">
        <f t="array" ref="B3896">iferror(xlookup($I3896, 'IMPORT VHC Report'!$E:$E, 'IMPORT VHC Report'!$A:$C), )</f>
        <v/>
      </c>
      <c r="C3896" s="37"/>
      <c r="D3896" s="37"/>
      <c r="E3896" s="38" t="s">
        <v>4688</v>
      </c>
      <c r="F3896" s="38" t="s">
        <v>4685</v>
      </c>
      <c r="G3896" s="38">
        <v>9.107717956879E12</v>
      </c>
      <c r="H3896" s="38" t="s">
        <v>4686</v>
      </c>
      <c r="I3896" s="38" t="s">
        <v>4687</v>
      </c>
      <c r="J3896" s="38" t="s">
        <v>134</v>
      </c>
      <c r="K3896" s="38" t="s">
        <v>126</v>
      </c>
      <c r="L3896" s="41">
        <v>46006.71875</v>
      </c>
      <c r="M3896" s="38" t="s">
        <v>123</v>
      </c>
      <c r="N3896" s="41">
        <v>46006.729166666664</v>
      </c>
      <c r="O3896" s="38" t="s">
        <v>123</v>
      </c>
      <c r="P3896" s="38">
        <v>900.0</v>
      </c>
      <c r="Q3896" s="39"/>
      <c r="R3896" s="39"/>
      <c r="S3896" s="39"/>
      <c r="T3896" s="39"/>
      <c r="U3896" s="39"/>
    </row>
    <row r="3897">
      <c r="A3897" s="40">
        <f t="shared" si="1"/>
        <v>46006</v>
      </c>
      <c r="B3897" s="37" t="str">
        <f t="array" ref="B3897">iferror(xlookup($I3897, 'IMPORT VHC Report'!$E:$E, 'IMPORT VHC Report'!$A:$C), )</f>
        <v/>
      </c>
      <c r="C3897" s="37"/>
      <c r="D3897" s="37"/>
      <c r="E3897" s="38" t="s">
        <v>4689</v>
      </c>
      <c r="F3897" s="38" t="s">
        <v>4685</v>
      </c>
      <c r="G3897" s="38">
        <v>9.107717956879E12</v>
      </c>
      <c r="H3897" s="38" t="s">
        <v>4686</v>
      </c>
      <c r="I3897" s="38" t="s">
        <v>4687</v>
      </c>
      <c r="J3897" s="38" t="s">
        <v>134</v>
      </c>
      <c r="K3897" s="38" t="s">
        <v>126</v>
      </c>
      <c r="L3897" s="41">
        <v>46006.78125</v>
      </c>
      <c r="M3897" s="38" t="s">
        <v>123</v>
      </c>
      <c r="N3897" s="41">
        <v>46006.791666666664</v>
      </c>
      <c r="O3897" s="38" t="s">
        <v>123</v>
      </c>
      <c r="P3897" s="38">
        <v>900.0</v>
      </c>
      <c r="Q3897" s="39"/>
      <c r="R3897" s="39"/>
      <c r="S3897" s="39"/>
      <c r="T3897" s="39"/>
      <c r="U3897" s="39"/>
    </row>
    <row r="3898">
      <c r="A3898" s="40">
        <f t="shared" si="1"/>
        <v>46006</v>
      </c>
      <c r="B3898" s="37" t="str">
        <f t="array" ref="B3898">iferror(xlookup($I3898, 'IMPORT VHC Report'!$E:$E, 'IMPORT VHC Report'!$A:$C), )</f>
        <v/>
      </c>
      <c r="C3898" s="37"/>
      <c r="D3898" s="37"/>
      <c r="E3898" s="38" t="s">
        <v>4690</v>
      </c>
      <c r="F3898" s="38" t="s">
        <v>4685</v>
      </c>
      <c r="G3898" s="38">
        <v>9.107717956879E12</v>
      </c>
      <c r="H3898" s="38" t="s">
        <v>4686</v>
      </c>
      <c r="I3898" s="38" t="s">
        <v>4687</v>
      </c>
      <c r="J3898" s="38" t="s">
        <v>132</v>
      </c>
      <c r="K3898" s="38" t="s">
        <v>126</v>
      </c>
      <c r="L3898" s="41">
        <v>46006.864583333336</v>
      </c>
      <c r="M3898" s="38" t="s">
        <v>123</v>
      </c>
      <c r="N3898" s="41">
        <v>46006.90625</v>
      </c>
      <c r="O3898" s="38" t="s">
        <v>123</v>
      </c>
      <c r="P3898" s="38">
        <v>3600.0</v>
      </c>
      <c r="Q3898" s="39"/>
      <c r="R3898" s="39"/>
      <c r="S3898" s="39"/>
      <c r="T3898" s="39"/>
      <c r="U3898" s="39"/>
    </row>
    <row r="3899">
      <c r="A3899" s="40">
        <f t="shared" si="1"/>
        <v>46006</v>
      </c>
      <c r="B3899" s="37" t="str">
        <f t="array" ref="B3899">iferror(xlookup($I3899, 'IMPORT VHC Report'!$E:$E, 'IMPORT VHC Report'!$A:$C), )</f>
        <v/>
      </c>
      <c r="C3899" s="37"/>
      <c r="D3899" s="37"/>
      <c r="E3899" s="38" t="s">
        <v>4691</v>
      </c>
      <c r="F3899" s="38" t="s">
        <v>4685</v>
      </c>
      <c r="G3899" s="38">
        <v>9.107717956879E12</v>
      </c>
      <c r="H3899" s="38" t="s">
        <v>4686</v>
      </c>
      <c r="I3899" s="38" t="s">
        <v>4687</v>
      </c>
      <c r="J3899" s="38" t="s">
        <v>62</v>
      </c>
      <c r="K3899" s="38" t="s">
        <v>63</v>
      </c>
      <c r="L3899" s="41">
        <v>46006.958333333336</v>
      </c>
      <c r="M3899" s="38" t="s">
        <v>123</v>
      </c>
      <c r="N3899" s="41">
        <v>46006.979166666664</v>
      </c>
      <c r="O3899" s="38" t="s">
        <v>123</v>
      </c>
      <c r="P3899" s="38">
        <v>1800.0</v>
      </c>
      <c r="Q3899" s="39"/>
      <c r="R3899" s="39"/>
      <c r="S3899" s="39"/>
      <c r="T3899" s="39"/>
      <c r="U3899" s="39"/>
    </row>
    <row r="3900">
      <c r="A3900" s="40">
        <f t="shared" si="1"/>
        <v>46006</v>
      </c>
      <c r="B3900" s="37" t="str">
        <f t="array" ref="B3900">iferror(xlookup($I3900, 'IMPORT VHC Report'!$E:$E, 'IMPORT VHC Report'!$A:$C), )</f>
        <v/>
      </c>
      <c r="C3900" s="37"/>
      <c r="D3900" s="37"/>
      <c r="E3900" s="38" t="s">
        <v>4692</v>
      </c>
      <c r="F3900" s="38" t="s">
        <v>4685</v>
      </c>
      <c r="G3900" s="38">
        <v>9.107717956879E12</v>
      </c>
      <c r="H3900" s="38" t="s">
        <v>4686</v>
      </c>
      <c r="I3900" s="38" t="s">
        <v>4687</v>
      </c>
      <c r="J3900" s="38" t="s">
        <v>224</v>
      </c>
      <c r="K3900" s="38" t="s">
        <v>63</v>
      </c>
      <c r="L3900" s="41">
        <v>46006.979166666664</v>
      </c>
      <c r="M3900" s="38" t="s">
        <v>123</v>
      </c>
      <c r="N3900" s="41">
        <v>46007.0</v>
      </c>
      <c r="O3900" s="38" t="s">
        <v>123</v>
      </c>
      <c r="P3900" s="38">
        <v>1800.0</v>
      </c>
      <c r="Q3900" s="39"/>
      <c r="R3900" s="39"/>
      <c r="S3900" s="39"/>
      <c r="T3900" s="39"/>
      <c r="U3900" s="39"/>
    </row>
    <row r="3901">
      <c r="A3901" s="40">
        <f t="shared" si="1"/>
        <v>46006</v>
      </c>
      <c r="B3901" s="37" t="str">
        <f t="array" ref="B3901">iferror(xlookup($I3901, 'IMPORT VHC Report'!$E:$E, 'IMPORT VHC Report'!$A:$C), )</f>
        <v/>
      </c>
      <c r="C3901" s="37"/>
      <c r="D3901" s="37"/>
      <c r="E3901" s="38" t="s">
        <v>4693</v>
      </c>
      <c r="F3901" s="38" t="s">
        <v>4685</v>
      </c>
      <c r="G3901" s="38">
        <v>9.107717956879E12</v>
      </c>
      <c r="H3901" s="38" t="s">
        <v>4686</v>
      </c>
      <c r="I3901" s="38" t="s">
        <v>4687</v>
      </c>
      <c r="J3901" s="38" t="s">
        <v>224</v>
      </c>
      <c r="K3901" s="38" t="s">
        <v>63</v>
      </c>
      <c r="L3901" s="41">
        <v>46007.625</v>
      </c>
      <c r="M3901" s="38" t="s">
        <v>123</v>
      </c>
      <c r="N3901" s="41">
        <v>46008.0</v>
      </c>
      <c r="O3901" s="38" t="s">
        <v>123</v>
      </c>
      <c r="P3901" s="38">
        <v>32400.0</v>
      </c>
      <c r="Q3901" s="39"/>
      <c r="R3901" s="39"/>
      <c r="S3901" s="39"/>
      <c r="T3901" s="39"/>
      <c r="U3901" s="39"/>
    </row>
    <row r="3902">
      <c r="A3902" s="40">
        <f t="shared" si="1"/>
        <v>46006</v>
      </c>
      <c r="B3902" s="37" t="str">
        <f t="array" ref="B3902">iferror(xlookup($I3902, 'IMPORT VHC Report'!$E:$E, 'IMPORT VHC Report'!$A:$C), )</f>
        <v/>
      </c>
      <c r="C3902" s="37"/>
      <c r="D3902" s="37"/>
      <c r="E3902" s="38" t="s">
        <v>4694</v>
      </c>
      <c r="F3902" s="38" t="s">
        <v>4685</v>
      </c>
      <c r="G3902" s="38">
        <v>9.107717956879E12</v>
      </c>
      <c r="H3902" s="38" t="s">
        <v>4686</v>
      </c>
      <c r="I3902" s="38" t="s">
        <v>4687</v>
      </c>
      <c r="J3902" s="38" t="s">
        <v>134</v>
      </c>
      <c r="K3902" s="38" t="s">
        <v>126</v>
      </c>
      <c r="L3902" s="41">
        <v>46007.708333333336</v>
      </c>
      <c r="M3902" s="38" t="s">
        <v>123</v>
      </c>
      <c r="N3902" s="41">
        <v>46007.71875</v>
      </c>
      <c r="O3902" s="38" t="s">
        <v>123</v>
      </c>
      <c r="P3902" s="38">
        <v>900.0</v>
      </c>
      <c r="Q3902" s="39"/>
      <c r="R3902" s="39"/>
      <c r="S3902" s="39"/>
      <c r="T3902" s="39"/>
      <c r="U3902" s="39"/>
    </row>
    <row r="3903">
      <c r="A3903" s="40">
        <f t="shared" si="1"/>
        <v>46006</v>
      </c>
      <c r="B3903" s="37" t="str">
        <f t="array" ref="B3903">iferror(xlookup($I3903, 'IMPORT VHC Report'!$E:$E, 'IMPORT VHC Report'!$A:$C), )</f>
        <v/>
      </c>
      <c r="C3903" s="37"/>
      <c r="D3903" s="37"/>
      <c r="E3903" s="38" t="s">
        <v>4695</v>
      </c>
      <c r="F3903" s="38" t="s">
        <v>4685</v>
      </c>
      <c r="G3903" s="38">
        <v>9.107717956879E12</v>
      </c>
      <c r="H3903" s="38" t="s">
        <v>4686</v>
      </c>
      <c r="I3903" s="38" t="s">
        <v>4687</v>
      </c>
      <c r="J3903" s="38" t="s">
        <v>134</v>
      </c>
      <c r="K3903" s="38" t="s">
        <v>126</v>
      </c>
      <c r="L3903" s="41">
        <v>46007.822916666664</v>
      </c>
      <c r="M3903" s="38" t="s">
        <v>123</v>
      </c>
      <c r="N3903" s="41">
        <v>46007.833333333336</v>
      </c>
      <c r="O3903" s="38" t="s">
        <v>123</v>
      </c>
      <c r="P3903" s="38">
        <v>900.0</v>
      </c>
      <c r="Q3903" s="39"/>
      <c r="R3903" s="39"/>
      <c r="S3903" s="39"/>
      <c r="T3903" s="39"/>
      <c r="U3903" s="39"/>
    </row>
    <row r="3904">
      <c r="A3904" s="40">
        <f t="shared" si="1"/>
        <v>46006</v>
      </c>
      <c r="B3904" s="37" t="str">
        <f t="array" ref="B3904">iferror(xlookup($I3904, 'IMPORT VHC Report'!$E:$E, 'IMPORT VHC Report'!$A:$C), )</f>
        <v/>
      </c>
      <c r="C3904" s="37"/>
      <c r="D3904" s="37"/>
      <c r="E3904" s="38" t="s">
        <v>4696</v>
      </c>
      <c r="F3904" s="38" t="s">
        <v>4685</v>
      </c>
      <c r="G3904" s="38">
        <v>9.107717956879E12</v>
      </c>
      <c r="H3904" s="38" t="s">
        <v>4686</v>
      </c>
      <c r="I3904" s="38" t="s">
        <v>4687</v>
      </c>
      <c r="J3904" s="38" t="s">
        <v>132</v>
      </c>
      <c r="K3904" s="38" t="s">
        <v>126</v>
      </c>
      <c r="L3904" s="41">
        <v>46007.916666666664</v>
      </c>
      <c r="M3904" s="38" t="s">
        <v>123</v>
      </c>
      <c r="N3904" s="41">
        <v>46007.958333333336</v>
      </c>
      <c r="O3904" s="38" t="s">
        <v>123</v>
      </c>
      <c r="P3904" s="38">
        <v>3600.0</v>
      </c>
      <c r="Q3904" s="39"/>
      <c r="R3904" s="39"/>
      <c r="S3904" s="39"/>
      <c r="T3904" s="39"/>
      <c r="U3904" s="39"/>
    </row>
    <row r="3905">
      <c r="A3905" s="40">
        <f t="shared" si="1"/>
        <v>46006</v>
      </c>
      <c r="B3905" s="37" t="str">
        <f t="array" ref="B3905">iferror(xlookup($I3905, 'IMPORT VHC Report'!$E:$E, 'IMPORT VHC Report'!$A:$C), )</f>
        <v/>
      </c>
      <c r="C3905" s="37"/>
      <c r="D3905" s="37"/>
      <c r="E3905" s="38" t="s">
        <v>4697</v>
      </c>
      <c r="F3905" s="38" t="s">
        <v>4685</v>
      </c>
      <c r="G3905" s="38">
        <v>9.107717956879E12</v>
      </c>
      <c r="H3905" s="38" t="s">
        <v>4686</v>
      </c>
      <c r="I3905" s="38" t="s">
        <v>4687</v>
      </c>
      <c r="J3905" s="38" t="s">
        <v>224</v>
      </c>
      <c r="K3905" s="38" t="s">
        <v>63</v>
      </c>
      <c r="L3905" s="41">
        <v>46008.625</v>
      </c>
      <c r="M3905" s="38" t="s">
        <v>123</v>
      </c>
      <c r="N3905" s="41">
        <v>46009.0</v>
      </c>
      <c r="O3905" s="38" t="s">
        <v>123</v>
      </c>
      <c r="P3905" s="38">
        <v>32400.0</v>
      </c>
      <c r="Q3905" s="39"/>
      <c r="R3905" s="39"/>
      <c r="S3905" s="39"/>
      <c r="T3905" s="39"/>
      <c r="U3905" s="39"/>
    </row>
    <row r="3906">
      <c r="A3906" s="40">
        <f t="shared" si="1"/>
        <v>46006</v>
      </c>
      <c r="B3906" s="37" t="str">
        <f t="array" ref="B3906">iferror(xlookup($I3906, 'IMPORT VHC Report'!$E:$E, 'IMPORT VHC Report'!$A:$C), )</f>
        <v/>
      </c>
      <c r="C3906" s="37"/>
      <c r="D3906" s="37"/>
      <c r="E3906" s="38" t="s">
        <v>4698</v>
      </c>
      <c r="F3906" s="38" t="s">
        <v>4685</v>
      </c>
      <c r="G3906" s="38">
        <v>9.107717956879E12</v>
      </c>
      <c r="H3906" s="38" t="s">
        <v>4686</v>
      </c>
      <c r="I3906" s="38" t="s">
        <v>4687</v>
      </c>
      <c r="J3906" s="38" t="s">
        <v>134</v>
      </c>
      <c r="K3906" s="38" t="s">
        <v>126</v>
      </c>
      <c r="L3906" s="41">
        <v>46008.708333333336</v>
      </c>
      <c r="M3906" s="38" t="s">
        <v>123</v>
      </c>
      <c r="N3906" s="41">
        <v>46008.71875</v>
      </c>
      <c r="O3906" s="38" t="s">
        <v>123</v>
      </c>
      <c r="P3906" s="38">
        <v>900.0</v>
      </c>
      <c r="Q3906" s="39"/>
      <c r="R3906" s="39"/>
      <c r="S3906" s="39"/>
      <c r="T3906" s="39"/>
      <c r="U3906" s="39"/>
    </row>
    <row r="3907">
      <c r="A3907" s="40">
        <f t="shared" si="1"/>
        <v>46006</v>
      </c>
      <c r="B3907" s="37" t="str">
        <f t="array" ref="B3907">iferror(xlookup($I3907, 'IMPORT VHC Report'!$E:$E, 'IMPORT VHC Report'!$A:$C), )</f>
        <v/>
      </c>
      <c r="C3907" s="37"/>
      <c r="D3907" s="37"/>
      <c r="E3907" s="38" t="s">
        <v>4699</v>
      </c>
      <c r="F3907" s="38" t="s">
        <v>4685</v>
      </c>
      <c r="G3907" s="38">
        <v>9.107717956879E12</v>
      </c>
      <c r="H3907" s="38" t="s">
        <v>4686</v>
      </c>
      <c r="I3907" s="38" t="s">
        <v>4687</v>
      </c>
      <c r="J3907" s="38" t="s">
        <v>134</v>
      </c>
      <c r="K3907" s="38" t="s">
        <v>126</v>
      </c>
      <c r="L3907" s="41">
        <v>46008.791666666664</v>
      </c>
      <c r="M3907" s="38" t="s">
        <v>123</v>
      </c>
      <c r="N3907" s="41">
        <v>46008.802083333336</v>
      </c>
      <c r="O3907" s="38" t="s">
        <v>123</v>
      </c>
      <c r="P3907" s="38">
        <v>900.0</v>
      </c>
      <c r="Q3907" s="39"/>
      <c r="R3907" s="39"/>
      <c r="S3907" s="39"/>
      <c r="T3907" s="39"/>
      <c r="U3907" s="39"/>
    </row>
    <row r="3908">
      <c r="A3908" s="40">
        <f t="shared" si="1"/>
        <v>46006</v>
      </c>
      <c r="B3908" s="37" t="str">
        <f t="array" ref="B3908">iferror(xlookup($I3908, 'IMPORT VHC Report'!$E:$E, 'IMPORT VHC Report'!$A:$C), )</f>
        <v/>
      </c>
      <c r="C3908" s="37"/>
      <c r="D3908" s="37"/>
      <c r="E3908" s="38" t="s">
        <v>4700</v>
      </c>
      <c r="F3908" s="38" t="s">
        <v>4685</v>
      </c>
      <c r="G3908" s="38">
        <v>9.107717956879E12</v>
      </c>
      <c r="H3908" s="38" t="s">
        <v>4686</v>
      </c>
      <c r="I3908" s="38" t="s">
        <v>4687</v>
      </c>
      <c r="J3908" s="38" t="s">
        <v>132</v>
      </c>
      <c r="K3908" s="38" t="s">
        <v>126</v>
      </c>
      <c r="L3908" s="41">
        <v>46008.895833333336</v>
      </c>
      <c r="M3908" s="38" t="s">
        <v>123</v>
      </c>
      <c r="N3908" s="41">
        <v>46008.9375</v>
      </c>
      <c r="O3908" s="38" t="s">
        <v>123</v>
      </c>
      <c r="P3908" s="38">
        <v>3600.0</v>
      </c>
      <c r="Q3908" s="39"/>
      <c r="R3908" s="39"/>
      <c r="S3908" s="39"/>
      <c r="T3908" s="39"/>
      <c r="U3908" s="39"/>
    </row>
    <row r="3909">
      <c r="A3909" s="40">
        <f t="shared" si="1"/>
        <v>46006</v>
      </c>
      <c r="B3909" s="37" t="str">
        <f t="array" ref="B3909">iferror(xlookup($I3909, 'IMPORT VHC Report'!$E:$E, 'IMPORT VHC Report'!$A:$C), )</f>
        <v/>
      </c>
      <c r="C3909" s="37"/>
      <c r="D3909" s="37"/>
      <c r="E3909" s="38" t="s">
        <v>4701</v>
      </c>
      <c r="F3909" s="38" t="s">
        <v>4685</v>
      </c>
      <c r="G3909" s="38">
        <v>9.107717956879E12</v>
      </c>
      <c r="H3909" s="38" t="s">
        <v>4686</v>
      </c>
      <c r="I3909" s="38" t="s">
        <v>4687</v>
      </c>
      <c r="J3909" s="38" t="s">
        <v>224</v>
      </c>
      <c r="K3909" s="38" t="s">
        <v>63</v>
      </c>
      <c r="L3909" s="41">
        <v>46009.625</v>
      </c>
      <c r="M3909" s="38" t="s">
        <v>123</v>
      </c>
      <c r="N3909" s="41">
        <v>46009.71875</v>
      </c>
      <c r="O3909" s="38" t="s">
        <v>123</v>
      </c>
      <c r="P3909" s="38">
        <v>8100.0</v>
      </c>
      <c r="Q3909" s="39"/>
      <c r="R3909" s="39"/>
      <c r="S3909" s="39"/>
      <c r="T3909" s="39"/>
      <c r="U3909" s="39"/>
    </row>
    <row r="3910">
      <c r="A3910" s="40">
        <f t="shared" si="1"/>
        <v>46006</v>
      </c>
      <c r="B3910" s="37" t="str">
        <f t="array" ref="B3910">iferror(xlookup($I3910, 'IMPORT VHC Report'!$E:$E, 'IMPORT VHC Report'!$A:$C), )</f>
        <v/>
      </c>
      <c r="C3910" s="37"/>
      <c r="D3910" s="37"/>
      <c r="E3910" s="38" t="s">
        <v>4702</v>
      </c>
      <c r="F3910" s="38" t="s">
        <v>4685</v>
      </c>
      <c r="G3910" s="38">
        <v>9.107717956879E12</v>
      </c>
      <c r="H3910" s="38" t="s">
        <v>4686</v>
      </c>
      <c r="I3910" s="38" t="s">
        <v>4687</v>
      </c>
      <c r="J3910" s="38" t="s">
        <v>134</v>
      </c>
      <c r="K3910" s="38" t="s">
        <v>126</v>
      </c>
      <c r="L3910" s="41">
        <v>46009.71875</v>
      </c>
      <c r="M3910" s="38" t="s">
        <v>123</v>
      </c>
      <c r="N3910" s="41">
        <v>46009.729166666664</v>
      </c>
      <c r="O3910" s="38" t="s">
        <v>123</v>
      </c>
      <c r="P3910" s="38">
        <v>900.0</v>
      </c>
      <c r="Q3910" s="39"/>
      <c r="R3910" s="39"/>
      <c r="S3910" s="39"/>
      <c r="T3910" s="39"/>
      <c r="U3910" s="39"/>
    </row>
    <row r="3911">
      <c r="A3911" s="40">
        <f t="shared" si="1"/>
        <v>46006</v>
      </c>
      <c r="B3911" s="37" t="str">
        <f t="array" ref="B3911">iferror(xlookup($I3911, 'IMPORT VHC Report'!$E:$E, 'IMPORT VHC Report'!$A:$C), )</f>
        <v/>
      </c>
      <c r="C3911" s="37"/>
      <c r="D3911" s="37"/>
      <c r="E3911" s="38" t="s">
        <v>4703</v>
      </c>
      <c r="F3911" s="38" t="s">
        <v>4685</v>
      </c>
      <c r="G3911" s="38">
        <v>9.107717956879E12</v>
      </c>
      <c r="H3911" s="38" t="s">
        <v>4686</v>
      </c>
      <c r="I3911" s="38" t="s">
        <v>4687</v>
      </c>
      <c r="J3911" s="38" t="s">
        <v>224</v>
      </c>
      <c r="K3911" s="38" t="s">
        <v>63</v>
      </c>
      <c r="L3911" s="41">
        <v>46009.729166666664</v>
      </c>
      <c r="M3911" s="38" t="s">
        <v>123</v>
      </c>
      <c r="N3911" s="41">
        <v>46009.802083333336</v>
      </c>
      <c r="O3911" s="38" t="s">
        <v>123</v>
      </c>
      <c r="P3911" s="38">
        <v>6300.0</v>
      </c>
      <c r="Q3911" s="39"/>
      <c r="R3911" s="39"/>
      <c r="S3911" s="39"/>
      <c r="T3911" s="39"/>
      <c r="U3911" s="39"/>
    </row>
    <row r="3912">
      <c r="A3912" s="40">
        <f t="shared" si="1"/>
        <v>46006</v>
      </c>
      <c r="B3912" s="37" t="str">
        <f t="array" ref="B3912">iferror(xlookup($I3912, 'IMPORT VHC Report'!$E:$E, 'IMPORT VHC Report'!$A:$C), )</f>
        <v/>
      </c>
      <c r="C3912" s="37"/>
      <c r="D3912" s="37"/>
      <c r="E3912" s="38" t="s">
        <v>4704</v>
      </c>
      <c r="F3912" s="38" t="s">
        <v>4685</v>
      </c>
      <c r="G3912" s="38">
        <v>9.107717956879E12</v>
      </c>
      <c r="H3912" s="38" t="s">
        <v>4686</v>
      </c>
      <c r="I3912" s="38" t="s">
        <v>4687</v>
      </c>
      <c r="J3912" s="38" t="s">
        <v>134</v>
      </c>
      <c r="K3912" s="38" t="s">
        <v>126</v>
      </c>
      <c r="L3912" s="41">
        <v>46009.802083333336</v>
      </c>
      <c r="M3912" s="38" t="s">
        <v>123</v>
      </c>
      <c r="N3912" s="41">
        <v>46009.8125</v>
      </c>
      <c r="O3912" s="38" t="s">
        <v>123</v>
      </c>
      <c r="P3912" s="38">
        <v>900.0</v>
      </c>
      <c r="Q3912" s="39"/>
      <c r="R3912" s="39"/>
      <c r="S3912" s="39"/>
      <c r="T3912" s="39"/>
      <c r="U3912" s="39"/>
    </row>
    <row r="3913">
      <c r="A3913" s="40">
        <f t="shared" si="1"/>
        <v>46006</v>
      </c>
      <c r="B3913" s="37" t="str">
        <f t="array" ref="B3913">iferror(xlookup($I3913, 'IMPORT VHC Report'!$E:$E, 'IMPORT VHC Report'!$A:$C), )</f>
        <v/>
      </c>
      <c r="C3913" s="37"/>
      <c r="D3913" s="37"/>
      <c r="E3913" s="38" t="s">
        <v>4705</v>
      </c>
      <c r="F3913" s="38" t="s">
        <v>4685</v>
      </c>
      <c r="G3913" s="38">
        <v>9.107717956879E12</v>
      </c>
      <c r="H3913" s="38" t="s">
        <v>4686</v>
      </c>
      <c r="I3913" s="38" t="s">
        <v>4687</v>
      </c>
      <c r="J3913" s="38" t="s">
        <v>224</v>
      </c>
      <c r="K3913" s="38" t="s">
        <v>63</v>
      </c>
      <c r="L3913" s="41">
        <v>46009.8125</v>
      </c>
      <c r="M3913" s="38" t="s">
        <v>123</v>
      </c>
      <c r="N3913" s="41">
        <v>46009.875</v>
      </c>
      <c r="O3913" s="38" t="s">
        <v>123</v>
      </c>
      <c r="P3913" s="38">
        <v>5400.0</v>
      </c>
      <c r="Q3913" s="39"/>
      <c r="R3913" s="39"/>
      <c r="S3913" s="39"/>
      <c r="T3913" s="39"/>
      <c r="U3913" s="39"/>
    </row>
    <row r="3914">
      <c r="A3914" s="40">
        <f t="shared" si="1"/>
        <v>46006</v>
      </c>
      <c r="B3914" s="37" t="str">
        <f t="array" ref="B3914">iferror(xlookup($I3914, 'IMPORT VHC Report'!$E:$E, 'IMPORT VHC Report'!$A:$C), )</f>
        <v/>
      </c>
      <c r="C3914" s="37"/>
      <c r="D3914" s="37"/>
      <c r="E3914" s="38" t="s">
        <v>4706</v>
      </c>
      <c r="F3914" s="38" t="s">
        <v>4685</v>
      </c>
      <c r="G3914" s="38">
        <v>9.107717956879E12</v>
      </c>
      <c r="H3914" s="38" t="s">
        <v>4686</v>
      </c>
      <c r="I3914" s="38" t="s">
        <v>4687</v>
      </c>
      <c r="J3914" s="38" t="s">
        <v>132</v>
      </c>
      <c r="K3914" s="38" t="s">
        <v>126</v>
      </c>
      <c r="L3914" s="41">
        <v>46009.875</v>
      </c>
      <c r="M3914" s="38" t="s">
        <v>123</v>
      </c>
      <c r="N3914" s="41">
        <v>46009.916666666664</v>
      </c>
      <c r="O3914" s="38" t="s">
        <v>123</v>
      </c>
      <c r="P3914" s="38">
        <v>3600.0</v>
      </c>
      <c r="Q3914" s="39"/>
      <c r="R3914" s="39"/>
      <c r="S3914" s="39"/>
      <c r="T3914" s="39"/>
      <c r="U3914" s="39"/>
    </row>
    <row r="3915">
      <c r="A3915" s="40">
        <f t="shared" si="1"/>
        <v>46006</v>
      </c>
      <c r="B3915" s="37" t="str">
        <f t="array" ref="B3915">iferror(xlookup($I3915, 'IMPORT VHC Report'!$E:$E, 'IMPORT VHC Report'!$A:$C), )</f>
        <v/>
      </c>
      <c r="C3915" s="37"/>
      <c r="D3915" s="37"/>
      <c r="E3915" s="38" t="s">
        <v>4707</v>
      </c>
      <c r="F3915" s="38" t="s">
        <v>4685</v>
      </c>
      <c r="G3915" s="38">
        <v>9.107717956879E12</v>
      </c>
      <c r="H3915" s="38" t="s">
        <v>4686</v>
      </c>
      <c r="I3915" s="38" t="s">
        <v>4687</v>
      </c>
      <c r="J3915" s="38" t="s">
        <v>224</v>
      </c>
      <c r="K3915" s="38" t="s">
        <v>63</v>
      </c>
      <c r="L3915" s="41">
        <v>46009.916666666664</v>
      </c>
      <c r="M3915" s="38" t="s">
        <v>123</v>
      </c>
      <c r="N3915" s="41">
        <v>46010.0</v>
      </c>
      <c r="O3915" s="38" t="s">
        <v>123</v>
      </c>
      <c r="P3915" s="38">
        <v>7200.0</v>
      </c>
      <c r="Q3915" s="39"/>
      <c r="R3915" s="39"/>
      <c r="S3915" s="39"/>
      <c r="T3915" s="39"/>
      <c r="U3915" s="39"/>
    </row>
    <row r="3916">
      <c r="A3916" s="40">
        <f t="shared" si="1"/>
        <v>46006</v>
      </c>
      <c r="B3916" s="37" t="str">
        <f t="array" ref="B3916">iferror(xlookup($I3916, 'IMPORT VHC Report'!$E:$E, 'IMPORT VHC Report'!$A:$C), )</f>
        <v/>
      </c>
      <c r="C3916" s="37"/>
      <c r="D3916" s="37"/>
      <c r="E3916" s="38" t="s">
        <v>4708</v>
      </c>
      <c r="F3916" s="38" t="s">
        <v>4685</v>
      </c>
      <c r="G3916" s="38">
        <v>9.107717956879E12</v>
      </c>
      <c r="H3916" s="38" t="s">
        <v>4686</v>
      </c>
      <c r="I3916" s="38" t="s">
        <v>4687</v>
      </c>
      <c r="J3916" s="38" t="s">
        <v>985</v>
      </c>
      <c r="K3916" s="38" t="s">
        <v>63</v>
      </c>
      <c r="L3916" s="41">
        <v>46010.0</v>
      </c>
      <c r="M3916" s="38" t="s">
        <v>123</v>
      </c>
      <c r="N3916" s="41">
        <v>46010.083333333336</v>
      </c>
      <c r="O3916" s="38" t="s">
        <v>123</v>
      </c>
      <c r="P3916" s="38">
        <v>7200.0</v>
      </c>
      <c r="Q3916" s="39"/>
      <c r="R3916" s="39"/>
      <c r="S3916" s="39"/>
      <c r="T3916" s="39"/>
      <c r="U3916" s="39"/>
    </row>
    <row r="3917">
      <c r="A3917" s="40">
        <f t="shared" si="1"/>
        <v>46006</v>
      </c>
      <c r="B3917" s="37" t="str">
        <f t="array" ref="B3917">iferror(xlookup($I3917, 'IMPORT VHC Report'!$E:$E, 'IMPORT VHC Report'!$A:$C), )</f>
        <v/>
      </c>
      <c r="C3917" s="37"/>
      <c r="D3917" s="37"/>
      <c r="E3917" s="38" t="s">
        <v>4709</v>
      </c>
      <c r="F3917" s="38" t="s">
        <v>4685</v>
      </c>
      <c r="G3917" s="38">
        <v>9.107717956879E12</v>
      </c>
      <c r="H3917" s="38" t="s">
        <v>4686</v>
      </c>
      <c r="I3917" s="38" t="s">
        <v>4687</v>
      </c>
      <c r="J3917" s="38" t="s">
        <v>224</v>
      </c>
      <c r="K3917" s="38" t="s">
        <v>63</v>
      </c>
      <c r="L3917" s="41">
        <v>46010.625</v>
      </c>
      <c r="M3917" s="38" t="s">
        <v>123</v>
      </c>
      <c r="N3917" s="41">
        <v>46010.739583333336</v>
      </c>
      <c r="O3917" s="38" t="s">
        <v>123</v>
      </c>
      <c r="P3917" s="38">
        <v>9900.0</v>
      </c>
      <c r="Q3917" s="39"/>
      <c r="R3917" s="39"/>
      <c r="S3917" s="39"/>
      <c r="T3917" s="39"/>
      <c r="U3917" s="39"/>
    </row>
    <row r="3918">
      <c r="A3918" s="40">
        <f t="shared" si="1"/>
        <v>46006</v>
      </c>
      <c r="B3918" s="37" t="str">
        <f t="array" ref="B3918">iferror(xlookup($I3918, 'IMPORT VHC Report'!$E:$E, 'IMPORT VHC Report'!$A:$C), )</f>
        <v/>
      </c>
      <c r="C3918" s="37"/>
      <c r="D3918" s="37"/>
      <c r="E3918" s="38" t="s">
        <v>4710</v>
      </c>
      <c r="F3918" s="38" t="s">
        <v>4685</v>
      </c>
      <c r="G3918" s="38">
        <v>9.107717956879E12</v>
      </c>
      <c r="H3918" s="38" t="s">
        <v>4686</v>
      </c>
      <c r="I3918" s="38" t="s">
        <v>4687</v>
      </c>
      <c r="J3918" s="38" t="s">
        <v>132</v>
      </c>
      <c r="K3918" s="38" t="s">
        <v>126</v>
      </c>
      <c r="L3918" s="41">
        <v>46010.739583333336</v>
      </c>
      <c r="M3918" s="38" t="s">
        <v>123</v>
      </c>
      <c r="N3918" s="41">
        <v>46010.78125</v>
      </c>
      <c r="O3918" s="38" t="s">
        <v>123</v>
      </c>
      <c r="P3918" s="38">
        <v>3600.0</v>
      </c>
      <c r="Q3918" s="39"/>
      <c r="R3918" s="39"/>
      <c r="S3918" s="39"/>
      <c r="T3918" s="39"/>
      <c r="U3918" s="39"/>
    </row>
    <row r="3919">
      <c r="A3919" s="40">
        <f t="shared" si="1"/>
        <v>46006</v>
      </c>
      <c r="B3919" s="37" t="str">
        <f t="array" ref="B3919">iferror(xlookup($I3919, 'IMPORT VHC Report'!$E:$E, 'IMPORT VHC Report'!$A:$C), )</f>
        <v/>
      </c>
      <c r="C3919" s="37"/>
      <c r="D3919" s="37"/>
      <c r="E3919" s="38" t="s">
        <v>4711</v>
      </c>
      <c r="F3919" s="38" t="s">
        <v>4685</v>
      </c>
      <c r="G3919" s="38">
        <v>9.107717956879E12</v>
      </c>
      <c r="H3919" s="38" t="s">
        <v>4686</v>
      </c>
      <c r="I3919" s="38" t="s">
        <v>4687</v>
      </c>
      <c r="J3919" s="38" t="s">
        <v>224</v>
      </c>
      <c r="K3919" s="38" t="s">
        <v>63</v>
      </c>
      <c r="L3919" s="41">
        <v>46010.78125</v>
      </c>
      <c r="M3919" s="38" t="s">
        <v>123</v>
      </c>
      <c r="N3919" s="41">
        <v>46010.84375</v>
      </c>
      <c r="O3919" s="38" t="s">
        <v>123</v>
      </c>
      <c r="P3919" s="38">
        <v>5400.0</v>
      </c>
      <c r="Q3919" s="39"/>
      <c r="R3919" s="39"/>
      <c r="S3919" s="39"/>
      <c r="T3919" s="39"/>
      <c r="U3919" s="39"/>
    </row>
    <row r="3920">
      <c r="A3920" s="40">
        <f t="shared" si="1"/>
        <v>46006</v>
      </c>
      <c r="B3920" s="37" t="str">
        <f t="array" ref="B3920">iferror(xlookup($I3920, 'IMPORT VHC Report'!$E:$E, 'IMPORT VHC Report'!$A:$C), )</f>
        <v/>
      </c>
      <c r="C3920" s="37"/>
      <c r="D3920" s="37"/>
      <c r="E3920" s="38" t="s">
        <v>4712</v>
      </c>
      <c r="F3920" s="38" t="s">
        <v>4685</v>
      </c>
      <c r="G3920" s="38">
        <v>9.107717956879E12</v>
      </c>
      <c r="H3920" s="38" t="s">
        <v>4686</v>
      </c>
      <c r="I3920" s="38" t="s">
        <v>4687</v>
      </c>
      <c r="J3920" s="38" t="s">
        <v>134</v>
      </c>
      <c r="K3920" s="38" t="s">
        <v>126</v>
      </c>
      <c r="L3920" s="41">
        <v>46010.84375</v>
      </c>
      <c r="M3920" s="38" t="s">
        <v>123</v>
      </c>
      <c r="N3920" s="41">
        <v>46010.854166666664</v>
      </c>
      <c r="O3920" s="38" t="s">
        <v>123</v>
      </c>
      <c r="P3920" s="38">
        <v>900.0</v>
      </c>
      <c r="Q3920" s="39"/>
      <c r="R3920" s="39"/>
      <c r="S3920" s="39"/>
      <c r="T3920" s="39"/>
      <c r="U3920" s="39"/>
    </row>
    <row r="3921">
      <c r="A3921" s="40">
        <f t="shared" si="1"/>
        <v>46006</v>
      </c>
      <c r="B3921" s="37" t="str">
        <f t="array" ref="B3921">iferror(xlookup($I3921, 'IMPORT VHC Report'!$E:$E, 'IMPORT VHC Report'!$A:$C), )</f>
        <v/>
      </c>
      <c r="C3921" s="37"/>
      <c r="D3921" s="37"/>
      <c r="E3921" s="38" t="s">
        <v>4713</v>
      </c>
      <c r="F3921" s="38" t="s">
        <v>4685</v>
      </c>
      <c r="G3921" s="38">
        <v>9.107717956879E12</v>
      </c>
      <c r="H3921" s="38" t="s">
        <v>4686</v>
      </c>
      <c r="I3921" s="38" t="s">
        <v>4687</v>
      </c>
      <c r="J3921" s="38" t="s">
        <v>224</v>
      </c>
      <c r="K3921" s="38" t="s">
        <v>63</v>
      </c>
      <c r="L3921" s="41">
        <v>46010.854166666664</v>
      </c>
      <c r="M3921" s="38" t="s">
        <v>123</v>
      </c>
      <c r="N3921" s="41">
        <v>46010.927083333336</v>
      </c>
      <c r="O3921" s="38" t="s">
        <v>123</v>
      </c>
      <c r="P3921" s="38">
        <v>6300.0</v>
      </c>
      <c r="Q3921" s="39"/>
      <c r="R3921" s="39"/>
      <c r="S3921" s="39"/>
      <c r="T3921" s="39"/>
      <c r="U3921" s="39"/>
    </row>
    <row r="3922">
      <c r="A3922" s="40">
        <f t="shared" si="1"/>
        <v>46006</v>
      </c>
      <c r="B3922" s="37" t="str">
        <f t="array" ref="B3922">iferror(xlookup($I3922, 'IMPORT VHC Report'!$E:$E, 'IMPORT VHC Report'!$A:$C), )</f>
        <v/>
      </c>
      <c r="C3922" s="37"/>
      <c r="D3922" s="37"/>
      <c r="E3922" s="38" t="s">
        <v>4714</v>
      </c>
      <c r="F3922" s="38" t="s">
        <v>4685</v>
      </c>
      <c r="G3922" s="38">
        <v>9.107717956879E12</v>
      </c>
      <c r="H3922" s="38" t="s">
        <v>4686</v>
      </c>
      <c r="I3922" s="38" t="s">
        <v>4687</v>
      </c>
      <c r="J3922" s="38" t="s">
        <v>134</v>
      </c>
      <c r="K3922" s="38" t="s">
        <v>126</v>
      </c>
      <c r="L3922" s="41">
        <v>46010.927083333336</v>
      </c>
      <c r="M3922" s="38" t="s">
        <v>123</v>
      </c>
      <c r="N3922" s="41">
        <v>46010.9375</v>
      </c>
      <c r="O3922" s="38" t="s">
        <v>123</v>
      </c>
      <c r="P3922" s="38">
        <v>900.0</v>
      </c>
      <c r="Q3922" s="39"/>
      <c r="R3922" s="39"/>
      <c r="S3922" s="39"/>
      <c r="T3922" s="39"/>
      <c r="U3922" s="39"/>
    </row>
    <row r="3923">
      <c r="A3923" s="40">
        <f t="shared" si="1"/>
        <v>46006</v>
      </c>
      <c r="B3923" s="37" t="str">
        <f t="array" ref="B3923">iferror(xlookup($I3923, 'IMPORT VHC Report'!$E:$E, 'IMPORT VHC Report'!$A:$C), )</f>
        <v/>
      </c>
      <c r="C3923" s="37"/>
      <c r="D3923" s="37"/>
      <c r="E3923" s="38" t="s">
        <v>4715</v>
      </c>
      <c r="F3923" s="38" t="s">
        <v>4685</v>
      </c>
      <c r="G3923" s="38">
        <v>9.107717956879E12</v>
      </c>
      <c r="H3923" s="38" t="s">
        <v>4686</v>
      </c>
      <c r="I3923" s="38" t="s">
        <v>4687</v>
      </c>
      <c r="J3923" s="38" t="s">
        <v>224</v>
      </c>
      <c r="K3923" s="38" t="s">
        <v>63</v>
      </c>
      <c r="L3923" s="41">
        <v>46010.9375</v>
      </c>
      <c r="M3923" s="38" t="s">
        <v>123</v>
      </c>
      <c r="N3923" s="41">
        <v>46011.0</v>
      </c>
      <c r="O3923" s="38" t="s">
        <v>123</v>
      </c>
      <c r="P3923" s="38">
        <v>5400.0</v>
      </c>
      <c r="Q3923" s="39"/>
      <c r="R3923" s="39"/>
      <c r="S3923" s="39"/>
      <c r="T3923" s="39"/>
      <c r="U3923" s="39"/>
    </row>
    <row r="3924">
      <c r="A3924" s="40">
        <f t="shared" si="1"/>
        <v>46006</v>
      </c>
      <c r="B3924" s="37" t="str">
        <f t="array" ref="B3924">iferror(xlookup($I3924, 'IMPORT VHC Report'!$E:$E, 'IMPORT VHC Report'!$A:$C), )</f>
        <v/>
      </c>
      <c r="C3924" s="37"/>
      <c r="D3924" s="37"/>
      <c r="E3924" s="38" t="s">
        <v>4716</v>
      </c>
      <c r="F3924" s="38" t="s">
        <v>4717</v>
      </c>
      <c r="G3924" s="38">
        <v>1.1401961186319E13</v>
      </c>
      <c r="H3924" s="38" t="s">
        <v>4718</v>
      </c>
      <c r="I3924" s="38" t="s">
        <v>4719</v>
      </c>
      <c r="J3924" s="38" t="s">
        <v>300</v>
      </c>
      <c r="K3924" s="38" t="s">
        <v>63</v>
      </c>
      <c r="L3924" s="41">
        <v>46006.625</v>
      </c>
      <c r="M3924" s="38" t="s">
        <v>123</v>
      </c>
      <c r="N3924" s="41">
        <v>46007.0</v>
      </c>
      <c r="O3924" s="38" t="s">
        <v>123</v>
      </c>
      <c r="P3924" s="38">
        <v>32400.0</v>
      </c>
      <c r="Q3924" s="39"/>
      <c r="R3924" s="39"/>
      <c r="S3924" s="39"/>
      <c r="T3924" s="39"/>
      <c r="U3924" s="39"/>
    </row>
    <row r="3925">
      <c r="A3925" s="40">
        <f t="shared" si="1"/>
        <v>46006</v>
      </c>
      <c r="B3925" s="37" t="str">
        <f t="array" ref="B3925">iferror(xlookup($I3925, 'IMPORT VHC Report'!$E:$E, 'IMPORT VHC Report'!$A:$C), )</f>
        <v/>
      </c>
      <c r="C3925" s="37"/>
      <c r="D3925" s="37"/>
      <c r="E3925" s="38" t="s">
        <v>4720</v>
      </c>
      <c r="F3925" s="38" t="s">
        <v>4717</v>
      </c>
      <c r="G3925" s="38">
        <v>1.1401961186319E13</v>
      </c>
      <c r="H3925" s="38" t="s">
        <v>4718</v>
      </c>
      <c r="I3925" s="38" t="s">
        <v>4719</v>
      </c>
      <c r="J3925" s="38" t="s">
        <v>134</v>
      </c>
      <c r="K3925" s="38" t="s">
        <v>126</v>
      </c>
      <c r="L3925" s="41">
        <v>46006.739583333336</v>
      </c>
      <c r="M3925" s="38" t="s">
        <v>123</v>
      </c>
      <c r="N3925" s="41">
        <v>46006.75</v>
      </c>
      <c r="O3925" s="38" t="s">
        <v>123</v>
      </c>
      <c r="P3925" s="38">
        <v>900.0</v>
      </c>
      <c r="Q3925" s="39"/>
      <c r="R3925" s="39"/>
      <c r="S3925" s="39"/>
      <c r="T3925" s="39"/>
      <c r="U3925" s="39"/>
    </row>
    <row r="3926">
      <c r="A3926" s="40">
        <f t="shared" si="1"/>
        <v>46006</v>
      </c>
      <c r="B3926" s="37" t="str">
        <f t="array" ref="B3926">iferror(xlookup($I3926, 'IMPORT VHC Report'!$E:$E, 'IMPORT VHC Report'!$A:$C), )</f>
        <v/>
      </c>
      <c r="C3926" s="37"/>
      <c r="D3926" s="37"/>
      <c r="E3926" s="38" t="s">
        <v>4721</v>
      </c>
      <c r="F3926" s="38" t="s">
        <v>4717</v>
      </c>
      <c r="G3926" s="38">
        <v>1.1401961186319E13</v>
      </c>
      <c r="H3926" s="38" t="s">
        <v>4718</v>
      </c>
      <c r="I3926" s="38" t="s">
        <v>4719</v>
      </c>
      <c r="J3926" s="38" t="s">
        <v>134</v>
      </c>
      <c r="K3926" s="38" t="s">
        <v>126</v>
      </c>
      <c r="L3926" s="41">
        <v>46006.84375</v>
      </c>
      <c r="M3926" s="38" t="s">
        <v>123</v>
      </c>
      <c r="N3926" s="41">
        <v>46006.854166666664</v>
      </c>
      <c r="O3926" s="38" t="s">
        <v>123</v>
      </c>
      <c r="P3926" s="38">
        <v>900.0</v>
      </c>
      <c r="Q3926" s="39"/>
      <c r="R3926" s="39"/>
      <c r="S3926" s="39"/>
      <c r="T3926" s="39"/>
      <c r="U3926" s="39"/>
    </row>
    <row r="3927">
      <c r="A3927" s="40">
        <f t="shared" si="1"/>
        <v>46006</v>
      </c>
      <c r="B3927" s="37" t="str">
        <f t="array" ref="B3927">iferror(xlookup($I3927, 'IMPORT VHC Report'!$E:$E, 'IMPORT VHC Report'!$A:$C), )</f>
        <v/>
      </c>
      <c r="C3927" s="37"/>
      <c r="D3927" s="37"/>
      <c r="E3927" s="38" t="s">
        <v>4722</v>
      </c>
      <c r="F3927" s="38" t="s">
        <v>4717</v>
      </c>
      <c r="G3927" s="38">
        <v>1.1401961186319E13</v>
      </c>
      <c r="H3927" s="38" t="s">
        <v>4718</v>
      </c>
      <c r="I3927" s="38" t="s">
        <v>4719</v>
      </c>
      <c r="J3927" s="38" t="s">
        <v>132</v>
      </c>
      <c r="K3927" s="38" t="s">
        <v>126</v>
      </c>
      <c r="L3927" s="41">
        <v>46006.885416666664</v>
      </c>
      <c r="M3927" s="38" t="s">
        <v>123</v>
      </c>
      <c r="N3927" s="41">
        <v>46006.927083333336</v>
      </c>
      <c r="O3927" s="38" t="s">
        <v>123</v>
      </c>
      <c r="P3927" s="38">
        <v>3600.0</v>
      </c>
      <c r="Q3927" s="39"/>
      <c r="R3927" s="39"/>
      <c r="S3927" s="39"/>
      <c r="T3927" s="39"/>
      <c r="U3927" s="39"/>
    </row>
    <row r="3928">
      <c r="A3928" s="40">
        <f t="shared" si="1"/>
        <v>46006</v>
      </c>
      <c r="B3928" s="37" t="str">
        <f t="array" ref="B3928">iferror(xlookup($I3928, 'IMPORT VHC Report'!$E:$E, 'IMPORT VHC Report'!$A:$C), )</f>
        <v/>
      </c>
      <c r="C3928" s="37"/>
      <c r="D3928" s="37"/>
      <c r="E3928" s="38" t="s">
        <v>4723</v>
      </c>
      <c r="F3928" s="38" t="s">
        <v>4717</v>
      </c>
      <c r="G3928" s="38">
        <v>1.1401961186319E13</v>
      </c>
      <c r="H3928" s="38" t="s">
        <v>4718</v>
      </c>
      <c r="I3928" s="38" t="s">
        <v>4719</v>
      </c>
      <c r="J3928" s="38" t="s">
        <v>300</v>
      </c>
      <c r="K3928" s="38" t="s">
        <v>63</v>
      </c>
      <c r="L3928" s="41">
        <v>46007.625</v>
      </c>
      <c r="M3928" s="38" t="s">
        <v>123</v>
      </c>
      <c r="N3928" s="41">
        <v>46008.0</v>
      </c>
      <c r="O3928" s="38" t="s">
        <v>123</v>
      </c>
      <c r="P3928" s="38">
        <v>32400.0</v>
      </c>
      <c r="Q3928" s="39"/>
      <c r="R3928" s="39"/>
      <c r="S3928" s="39"/>
      <c r="T3928" s="39"/>
      <c r="U3928" s="39"/>
    </row>
    <row r="3929">
      <c r="A3929" s="40">
        <f t="shared" si="1"/>
        <v>46006</v>
      </c>
      <c r="B3929" s="37" t="str">
        <f t="array" ref="B3929">iferror(xlookup($I3929, 'IMPORT VHC Report'!$E:$E, 'IMPORT VHC Report'!$A:$C), )</f>
        <v/>
      </c>
      <c r="C3929" s="37"/>
      <c r="D3929" s="37"/>
      <c r="E3929" s="38" t="s">
        <v>4724</v>
      </c>
      <c r="F3929" s="38" t="s">
        <v>4717</v>
      </c>
      <c r="G3929" s="38">
        <v>1.1401961186319E13</v>
      </c>
      <c r="H3929" s="38" t="s">
        <v>4718</v>
      </c>
      <c r="I3929" s="38" t="s">
        <v>4719</v>
      </c>
      <c r="J3929" s="38" t="s">
        <v>134</v>
      </c>
      <c r="K3929" s="38" t="s">
        <v>126</v>
      </c>
      <c r="L3929" s="41">
        <v>46007.770833333336</v>
      </c>
      <c r="M3929" s="38" t="s">
        <v>123</v>
      </c>
      <c r="N3929" s="41">
        <v>46007.78125</v>
      </c>
      <c r="O3929" s="38" t="s">
        <v>123</v>
      </c>
      <c r="P3929" s="38">
        <v>900.0</v>
      </c>
      <c r="Q3929" s="39"/>
      <c r="R3929" s="39"/>
      <c r="S3929" s="39"/>
      <c r="T3929" s="39"/>
      <c r="U3929" s="39"/>
    </row>
    <row r="3930">
      <c r="A3930" s="40">
        <f t="shared" si="1"/>
        <v>46006</v>
      </c>
      <c r="B3930" s="37" t="str">
        <f t="array" ref="B3930">iferror(xlookup($I3930, 'IMPORT VHC Report'!$E:$E, 'IMPORT VHC Report'!$A:$C), )</f>
        <v/>
      </c>
      <c r="C3930" s="37"/>
      <c r="D3930" s="37"/>
      <c r="E3930" s="38" t="s">
        <v>4725</v>
      </c>
      <c r="F3930" s="38" t="s">
        <v>4717</v>
      </c>
      <c r="G3930" s="38">
        <v>1.1401961186319E13</v>
      </c>
      <c r="H3930" s="38" t="s">
        <v>4718</v>
      </c>
      <c r="I3930" s="38" t="s">
        <v>4719</v>
      </c>
      <c r="J3930" s="38" t="s">
        <v>134</v>
      </c>
      <c r="K3930" s="38" t="s">
        <v>126</v>
      </c>
      <c r="L3930" s="41">
        <v>46007.854166666664</v>
      </c>
      <c r="M3930" s="38" t="s">
        <v>123</v>
      </c>
      <c r="N3930" s="41">
        <v>46007.864583333336</v>
      </c>
      <c r="O3930" s="38" t="s">
        <v>123</v>
      </c>
      <c r="P3930" s="38">
        <v>900.0</v>
      </c>
      <c r="Q3930" s="39"/>
      <c r="R3930" s="39"/>
      <c r="S3930" s="39"/>
      <c r="T3930" s="39"/>
      <c r="U3930" s="39"/>
    </row>
    <row r="3931">
      <c r="A3931" s="40">
        <f t="shared" si="1"/>
        <v>46006</v>
      </c>
      <c r="B3931" s="37" t="str">
        <f t="array" ref="B3931">iferror(xlookup($I3931, 'IMPORT VHC Report'!$E:$E, 'IMPORT VHC Report'!$A:$C), )</f>
        <v/>
      </c>
      <c r="C3931" s="37"/>
      <c r="D3931" s="37"/>
      <c r="E3931" s="38" t="s">
        <v>4726</v>
      </c>
      <c r="F3931" s="38" t="s">
        <v>4717</v>
      </c>
      <c r="G3931" s="38">
        <v>1.1401961186319E13</v>
      </c>
      <c r="H3931" s="38" t="s">
        <v>4718</v>
      </c>
      <c r="I3931" s="38" t="s">
        <v>4719</v>
      </c>
      <c r="J3931" s="38" t="s">
        <v>132</v>
      </c>
      <c r="K3931" s="38" t="s">
        <v>126</v>
      </c>
      <c r="L3931" s="41">
        <v>46007.895833333336</v>
      </c>
      <c r="M3931" s="38" t="s">
        <v>123</v>
      </c>
      <c r="N3931" s="41">
        <v>46007.9375</v>
      </c>
      <c r="O3931" s="38" t="s">
        <v>123</v>
      </c>
      <c r="P3931" s="38">
        <v>3600.0</v>
      </c>
      <c r="Q3931" s="39"/>
      <c r="R3931" s="39"/>
      <c r="S3931" s="39"/>
      <c r="T3931" s="39"/>
      <c r="U3931" s="39"/>
    </row>
    <row r="3932">
      <c r="A3932" s="40">
        <f t="shared" si="1"/>
        <v>46006</v>
      </c>
      <c r="B3932" s="37" t="str">
        <f t="array" ref="B3932">iferror(xlookup($I3932, 'IMPORT VHC Report'!$E:$E, 'IMPORT VHC Report'!$A:$C), )</f>
        <v/>
      </c>
      <c r="C3932" s="37"/>
      <c r="D3932" s="37"/>
      <c r="E3932" s="38" t="s">
        <v>4727</v>
      </c>
      <c r="F3932" s="38" t="s">
        <v>4717</v>
      </c>
      <c r="G3932" s="38">
        <v>1.1401961186319E13</v>
      </c>
      <c r="H3932" s="38" t="s">
        <v>4718</v>
      </c>
      <c r="I3932" s="38" t="s">
        <v>4719</v>
      </c>
      <c r="J3932" s="38" t="s">
        <v>300</v>
      </c>
      <c r="K3932" s="38" t="s">
        <v>63</v>
      </c>
      <c r="L3932" s="41">
        <v>46008.625</v>
      </c>
      <c r="M3932" s="38" t="s">
        <v>123</v>
      </c>
      <c r="N3932" s="41">
        <v>46009.0</v>
      </c>
      <c r="O3932" s="38" t="s">
        <v>123</v>
      </c>
      <c r="P3932" s="38">
        <v>32400.0</v>
      </c>
      <c r="Q3932" s="39"/>
      <c r="R3932" s="39"/>
      <c r="S3932" s="39"/>
      <c r="T3932" s="39"/>
      <c r="U3932" s="39"/>
    </row>
    <row r="3933">
      <c r="A3933" s="40">
        <f t="shared" si="1"/>
        <v>46006</v>
      </c>
      <c r="B3933" s="37" t="str">
        <f t="array" ref="B3933">iferror(xlookup($I3933, 'IMPORT VHC Report'!$E:$E, 'IMPORT VHC Report'!$A:$C), )</f>
        <v/>
      </c>
      <c r="C3933" s="37"/>
      <c r="D3933" s="37"/>
      <c r="E3933" s="38" t="s">
        <v>4728</v>
      </c>
      <c r="F3933" s="38" t="s">
        <v>4717</v>
      </c>
      <c r="G3933" s="38">
        <v>1.1401961186319E13</v>
      </c>
      <c r="H3933" s="38" t="s">
        <v>4718</v>
      </c>
      <c r="I3933" s="38" t="s">
        <v>4719</v>
      </c>
      <c r="J3933" s="38" t="s">
        <v>134</v>
      </c>
      <c r="K3933" s="38" t="s">
        <v>126</v>
      </c>
      <c r="L3933" s="41">
        <v>46008.65625</v>
      </c>
      <c r="M3933" s="38" t="s">
        <v>123</v>
      </c>
      <c r="N3933" s="41">
        <v>46008.666666666664</v>
      </c>
      <c r="O3933" s="38" t="s">
        <v>123</v>
      </c>
      <c r="P3933" s="38">
        <v>900.0</v>
      </c>
      <c r="Q3933" s="39"/>
      <c r="R3933" s="39"/>
      <c r="S3933" s="39"/>
      <c r="T3933" s="39"/>
      <c r="U3933" s="39"/>
    </row>
    <row r="3934">
      <c r="A3934" s="40">
        <f t="shared" si="1"/>
        <v>46006</v>
      </c>
      <c r="B3934" s="37" t="str">
        <f t="array" ref="B3934">iferror(xlookup($I3934, 'IMPORT VHC Report'!$E:$E, 'IMPORT VHC Report'!$A:$C), )</f>
        <v/>
      </c>
      <c r="C3934" s="37"/>
      <c r="D3934" s="37"/>
      <c r="E3934" s="38" t="s">
        <v>4729</v>
      </c>
      <c r="F3934" s="38" t="s">
        <v>4717</v>
      </c>
      <c r="G3934" s="38">
        <v>1.1401961186319E13</v>
      </c>
      <c r="H3934" s="38" t="s">
        <v>4718</v>
      </c>
      <c r="I3934" s="38" t="s">
        <v>4719</v>
      </c>
      <c r="J3934" s="38" t="s">
        <v>136</v>
      </c>
      <c r="K3934" s="38" t="s">
        <v>126</v>
      </c>
      <c r="L3934" s="41">
        <v>46008.666666666664</v>
      </c>
      <c r="M3934" s="38" t="s">
        <v>123</v>
      </c>
      <c r="N3934" s="41">
        <v>46008.75</v>
      </c>
      <c r="O3934" s="38" t="s">
        <v>123</v>
      </c>
      <c r="P3934" s="38">
        <v>7200.0</v>
      </c>
      <c r="Q3934" s="39"/>
      <c r="R3934" s="39"/>
      <c r="S3934" s="38" t="s">
        <v>4730</v>
      </c>
      <c r="T3934" s="39"/>
      <c r="U3934" s="39"/>
    </row>
    <row r="3935">
      <c r="A3935" s="40">
        <f t="shared" si="1"/>
        <v>46006</v>
      </c>
      <c r="B3935" s="37" t="str">
        <f t="array" ref="B3935">iferror(xlookup($I3935, 'IMPORT VHC Report'!$E:$E, 'IMPORT VHC Report'!$A:$C), )</f>
        <v/>
      </c>
      <c r="C3935" s="37"/>
      <c r="D3935" s="37"/>
      <c r="E3935" s="38" t="s">
        <v>4731</v>
      </c>
      <c r="F3935" s="38" t="s">
        <v>4717</v>
      </c>
      <c r="G3935" s="38">
        <v>1.1401961186319E13</v>
      </c>
      <c r="H3935" s="38" t="s">
        <v>4718</v>
      </c>
      <c r="I3935" s="38" t="s">
        <v>4719</v>
      </c>
      <c r="J3935" s="38" t="s">
        <v>134</v>
      </c>
      <c r="K3935" s="38" t="s">
        <v>126</v>
      </c>
      <c r="L3935" s="41">
        <v>46008.90625</v>
      </c>
      <c r="M3935" s="38" t="s">
        <v>123</v>
      </c>
      <c r="N3935" s="41">
        <v>46008.916666666664</v>
      </c>
      <c r="O3935" s="38" t="s">
        <v>123</v>
      </c>
      <c r="P3935" s="38">
        <v>900.0</v>
      </c>
      <c r="Q3935" s="39"/>
      <c r="R3935" s="39"/>
      <c r="S3935" s="39"/>
      <c r="T3935" s="39"/>
      <c r="U3935" s="39"/>
    </row>
    <row r="3936">
      <c r="A3936" s="40">
        <f t="shared" si="1"/>
        <v>46006</v>
      </c>
      <c r="B3936" s="37" t="str">
        <f t="array" ref="B3936">iferror(xlookup($I3936, 'IMPORT VHC Report'!$E:$E, 'IMPORT VHC Report'!$A:$C), )</f>
        <v/>
      </c>
      <c r="C3936" s="37"/>
      <c r="D3936" s="37"/>
      <c r="E3936" s="38" t="s">
        <v>4732</v>
      </c>
      <c r="F3936" s="38" t="s">
        <v>4717</v>
      </c>
      <c r="G3936" s="38">
        <v>1.1401961186319E13</v>
      </c>
      <c r="H3936" s="38" t="s">
        <v>4718</v>
      </c>
      <c r="I3936" s="38" t="s">
        <v>4719</v>
      </c>
      <c r="J3936" s="38" t="s">
        <v>132</v>
      </c>
      <c r="K3936" s="38" t="s">
        <v>126</v>
      </c>
      <c r="L3936" s="41">
        <v>46008.958333333336</v>
      </c>
      <c r="M3936" s="38" t="s">
        <v>123</v>
      </c>
      <c r="N3936" s="41">
        <v>46009.0</v>
      </c>
      <c r="O3936" s="38" t="s">
        <v>123</v>
      </c>
      <c r="P3936" s="38">
        <v>3600.0</v>
      </c>
      <c r="Q3936" s="39"/>
      <c r="R3936" s="39"/>
      <c r="S3936" s="39"/>
      <c r="T3936" s="39"/>
      <c r="U3936" s="39"/>
    </row>
    <row r="3937">
      <c r="A3937" s="40">
        <f t="shared" si="1"/>
        <v>46006</v>
      </c>
      <c r="B3937" s="37" t="str">
        <f t="array" ref="B3937">iferror(xlookup($I3937, 'IMPORT VHC Report'!$E:$E, 'IMPORT VHC Report'!$A:$C), )</f>
        <v/>
      </c>
      <c r="C3937" s="37"/>
      <c r="D3937" s="37"/>
      <c r="E3937" s="38" t="s">
        <v>4733</v>
      </c>
      <c r="F3937" s="38" t="s">
        <v>4717</v>
      </c>
      <c r="G3937" s="38">
        <v>1.1401961186319E13</v>
      </c>
      <c r="H3937" s="38" t="s">
        <v>4718</v>
      </c>
      <c r="I3937" s="38" t="s">
        <v>4719</v>
      </c>
      <c r="J3937" s="38" t="s">
        <v>300</v>
      </c>
      <c r="K3937" s="38" t="s">
        <v>63</v>
      </c>
      <c r="L3937" s="41">
        <v>46009.625</v>
      </c>
      <c r="M3937" s="38" t="s">
        <v>123</v>
      </c>
      <c r="N3937" s="41">
        <v>46010.0</v>
      </c>
      <c r="O3937" s="38" t="s">
        <v>123</v>
      </c>
      <c r="P3937" s="38">
        <v>32400.0</v>
      </c>
      <c r="Q3937" s="39"/>
      <c r="R3937" s="39"/>
      <c r="S3937" s="39"/>
      <c r="T3937" s="39"/>
      <c r="U3937" s="39"/>
    </row>
    <row r="3938">
      <c r="A3938" s="40">
        <f t="shared" si="1"/>
        <v>46006</v>
      </c>
      <c r="B3938" s="37" t="str">
        <f t="array" ref="B3938">iferror(xlookup($I3938, 'IMPORT VHC Report'!$E:$E, 'IMPORT VHC Report'!$A:$C), )</f>
        <v/>
      </c>
      <c r="C3938" s="37"/>
      <c r="D3938" s="37"/>
      <c r="E3938" s="38" t="s">
        <v>4734</v>
      </c>
      <c r="F3938" s="38" t="s">
        <v>4717</v>
      </c>
      <c r="G3938" s="38">
        <v>1.1401961186319E13</v>
      </c>
      <c r="H3938" s="38" t="s">
        <v>4718</v>
      </c>
      <c r="I3938" s="38" t="s">
        <v>4719</v>
      </c>
      <c r="J3938" s="38" t="s">
        <v>134</v>
      </c>
      <c r="K3938" s="38" t="s">
        <v>126</v>
      </c>
      <c r="L3938" s="41">
        <v>46009.760416666664</v>
      </c>
      <c r="M3938" s="38" t="s">
        <v>123</v>
      </c>
      <c r="N3938" s="41">
        <v>46009.770833333336</v>
      </c>
      <c r="O3938" s="38" t="s">
        <v>123</v>
      </c>
      <c r="P3938" s="38">
        <v>900.0</v>
      </c>
      <c r="Q3938" s="39"/>
      <c r="R3938" s="39"/>
      <c r="S3938" s="39"/>
      <c r="T3938" s="39"/>
      <c r="U3938" s="39"/>
    </row>
    <row r="3939">
      <c r="A3939" s="40">
        <f t="shared" si="1"/>
        <v>46006</v>
      </c>
      <c r="B3939" s="37" t="str">
        <f t="array" ref="B3939">iferror(xlookup($I3939, 'IMPORT VHC Report'!$E:$E, 'IMPORT VHC Report'!$A:$C), )</f>
        <v/>
      </c>
      <c r="C3939" s="37"/>
      <c r="D3939" s="37"/>
      <c r="E3939" s="38" t="s">
        <v>4735</v>
      </c>
      <c r="F3939" s="38" t="s">
        <v>4717</v>
      </c>
      <c r="G3939" s="38">
        <v>1.1401961186319E13</v>
      </c>
      <c r="H3939" s="38" t="s">
        <v>4718</v>
      </c>
      <c r="I3939" s="38" t="s">
        <v>4719</v>
      </c>
      <c r="J3939" s="38" t="s">
        <v>134</v>
      </c>
      <c r="K3939" s="38" t="s">
        <v>126</v>
      </c>
      <c r="L3939" s="41">
        <v>46009.864583333336</v>
      </c>
      <c r="M3939" s="38" t="s">
        <v>123</v>
      </c>
      <c r="N3939" s="41">
        <v>46009.875</v>
      </c>
      <c r="O3939" s="38" t="s">
        <v>123</v>
      </c>
      <c r="P3939" s="38">
        <v>900.0</v>
      </c>
      <c r="Q3939" s="39"/>
      <c r="R3939" s="39"/>
      <c r="S3939" s="39"/>
      <c r="T3939" s="39"/>
      <c r="U3939" s="39"/>
    </row>
    <row r="3940">
      <c r="A3940" s="40">
        <f t="shared" si="1"/>
        <v>46006</v>
      </c>
      <c r="B3940" s="37" t="str">
        <f t="array" ref="B3940">iferror(xlookup($I3940, 'IMPORT VHC Report'!$E:$E, 'IMPORT VHC Report'!$A:$C), )</f>
        <v/>
      </c>
      <c r="C3940" s="37"/>
      <c r="D3940" s="37"/>
      <c r="E3940" s="38" t="s">
        <v>4736</v>
      </c>
      <c r="F3940" s="38" t="s">
        <v>4717</v>
      </c>
      <c r="G3940" s="38">
        <v>1.1401961186319E13</v>
      </c>
      <c r="H3940" s="38" t="s">
        <v>4718</v>
      </c>
      <c r="I3940" s="38" t="s">
        <v>4719</v>
      </c>
      <c r="J3940" s="38" t="s">
        <v>132</v>
      </c>
      <c r="K3940" s="38" t="s">
        <v>126</v>
      </c>
      <c r="L3940" s="41">
        <v>46009.927083333336</v>
      </c>
      <c r="M3940" s="38" t="s">
        <v>123</v>
      </c>
      <c r="N3940" s="41">
        <v>46009.96875</v>
      </c>
      <c r="O3940" s="38" t="s">
        <v>123</v>
      </c>
      <c r="P3940" s="38">
        <v>3600.0</v>
      </c>
      <c r="Q3940" s="39"/>
      <c r="R3940" s="39"/>
      <c r="S3940" s="39"/>
      <c r="T3940" s="39"/>
      <c r="U3940" s="39"/>
    </row>
    <row r="3941">
      <c r="A3941" s="40">
        <f t="shared" si="1"/>
        <v>46006</v>
      </c>
      <c r="B3941" s="37" t="str">
        <f t="array" ref="B3941">iferror(xlookup($I3941, 'IMPORT VHC Report'!$E:$E, 'IMPORT VHC Report'!$A:$C), )</f>
        <v/>
      </c>
      <c r="C3941" s="37"/>
      <c r="D3941" s="37"/>
      <c r="E3941" s="38" t="s">
        <v>4737</v>
      </c>
      <c r="F3941" s="38" t="s">
        <v>4717</v>
      </c>
      <c r="G3941" s="38">
        <v>1.1401961186319E13</v>
      </c>
      <c r="H3941" s="38" t="s">
        <v>4718</v>
      </c>
      <c r="I3941" s="38" t="s">
        <v>4719</v>
      </c>
      <c r="J3941" s="38" t="s">
        <v>152</v>
      </c>
      <c r="K3941" s="38" t="s">
        <v>153</v>
      </c>
      <c r="L3941" s="41">
        <v>46012.625</v>
      </c>
      <c r="M3941" s="38" t="s">
        <v>123</v>
      </c>
      <c r="N3941" s="41">
        <v>46013.0</v>
      </c>
      <c r="O3941" s="38" t="s">
        <v>123</v>
      </c>
      <c r="P3941" s="38">
        <v>32400.0</v>
      </c>
      <c r="Q3941" s="38">
        <v>28800.0</v>
      </c>
      <c r="R3941" s="38" t="s">
        <v>4738</v>
      </c>
      <c r="S3941" s="39"/>
      <c r="T3941" s="39"/>
      <c r="U3941" s="39"/>
    </row>
    <row r="3942">
      <c r="A3942" s="40">
        <f t="shared" si="1"/>
        <v>46006</v>
      </c>
      <c r="B3942" s="37" t="str">
        <f t="array" ref="B3942">iferror(xlookup($I3942, 'IMPORT VHC Report'!$E:$E, 'IMPORT VHC Report'!$A:$C), )</f>
        <v/>
      </c>
      <c r="C3942" s="37"/>
      <c r="D3942" s="37"/>
      <c r="E3942" s="38" t="s">
        <v>4739</v>
      </c>
      <c r="F3942" s="38" t="s">
        <v>4717</v>
      </c>
      <c r="G3942" s="38">
        <v>1.1401961186319E13</v>
      </c>
      <c r="H3942" s="38" t="s">
        <v>4718</v>
      </c>
      <c r="I3942" s="38" t="s">
        <v>4719</v>
      </c>
      <c r="J3942" s="38" t="s">
        <v>300</v>
      </c>
      <c r="K3942" s="38" t="s">
        <v>63</v>
      </c>
      <c r="L3942" s="41">
        <v>46012.625</v>
      </c>
      <c r="M3942" s="38" t="s">
        <v>123</v>
      </c>
      <c r="N3942" s="41">
        <v>46013.0</v>
      </c>
      <c r="O3942" s="38" t="s">
        <v>123</v>
      </c>
      <c r="P3942" s="38">
        <v>32400.0</v>
      </c>
      <c r="Q3942" s="39"/>
      <c r="R3942" s="39"/>
      <c r="S3942" s="39"/>
      <c r="T3942" s="39"/>
      <c r="U3942" s="39"/>
    </row>
    <row r="3943">
      <c r="A3943" s="40">
        <f t="shared" si="1"/>
        <v>46006</v>
      </c>
      <c r="B3943" s="37" t="str">
        <f t="array" ref="B3943">iferror(xlookup($I3943, 'IMPORT VHC Report'!$E:$E, 'IMPORT VHC Report'!$A:$C), )</f>
        <v/>
      </c>
      <c r="C3943" s="37"/>
      <c r="D3943" s="37"/>
      <c r="E3943" s="38" t="s">
        <v>4740</v>
      </c>
      <c r="F3943" s="38" t="s">
        <v>4717</v>
      </c>
      <c r="G3943" s="38">
        <v>1.1401961186319E13</v>
      </c>
      <c r="H3943" s="38" t="s">
        <v>4718</v>
      </c>
      <c r="I3943" s="38" t="s">
        <v>4719</v>
      </c>
      <c r="J3943" s="38" t="s">
        <v>134</v>
      </c>
      <c r="K3943" s="38" t="s">
        <v>126</v>
      </c>
      <c r="L3943" s="41">
        <v>46012.71875</v>
      </c>
      <c r="M3943" s="38" t="s">
        <v>123</v>
      </c>
      <c r="N3943" s="41">
        <v>46012.729166666664</v>
      </c>
      <c r="O3943" s="38" t="s">
        <v>123</v>
      </c>
      <c r="P3943" s="38">
        <v>900.0</v>
      </c>
      <c r="Q3943" s="39"/>
      <c r="R3943" s="39"/>
      <c r="S3943" s="39"/>
      <c r="T3943" s="39"/>
      <c r="U3943" s="39"/>
    </row>
    <row r="3944">
      <c r="A3944" s="40">
        <f t="shared" si="1"/>
        <v>46006</v>
      </c>
      <c r="B3944" s="37" t="str">
        <f t="array" ref="B3944">iferror(xlookup($I3944, 'IMPORT VHC Report'!$E:$E, 'IMPORT VHC Report'!$A:$C), )</f>
        <v/>
      </c>
      <c r="C3944" s="37"/>
      <c r="D3944" s="37"/>
      <c r="E3944" s="38" t="s">
        <v>4741</v>
      </c>
      <c r="F3944" s="38" t="s">
        <v>4717</v>
      </c>
      <c r="G3944" s="38">
        <v>1.1401961186319E13</v>
      </c>
      <c r="H3944" s="38" t="s">
        <v>4718</v>
      </c>
      <c r="I3944" s="38" t="s">
        <v>4719</v>
      </c>
      <c r="J3944" s="38" t="s">
        <v>134</v>
      </c>
      <c r="K3944" s="38" t="s">
        <v>126</v>
      </c>
      <c r="L3944" s="41">
        <v>46012.802083333336</v>
      </c>
      <c r="M3944" s="38" t="s">
        <v>123</v>
      </c>
      <c r="N3944" s="41">
        <v>46012.8125</v>
      </c>
      <c r="O3944" s="38" t="s">
        <v>123</v>
      </c>
      <c r="P3944" s="38">
        <v>900.0</v>
      </c>
      <c r="Q3944" s="39"/>
      <c r="R3944" s="39"/>
      <c r="S3944" s="39"/>
      <c r="T3944" s="39"/>
      <c r="U3944" s="39"/>
    </row>
    <row r="3945">
      <c r="A3945" s="40">
        <f t="shared" si="1"/>
        <v>46006</v>
      </c>
      <c r="B3945" s="37" t="str">
        <f t="array" ref="B3945">iferror(xlookup($I3945, 'IMPORT VHC Report'!$E:$E, 'IMPORT VHC Report'!$A:$C), )</f>
        <v/>
      </c>
      <c r="C3945" s="37"/>
      <c r="D3945" s="37"/>
      <c r="E3945" s="38" t="s">
        <v>4742</v>
      </c>
      <c r="F3945" s="38" t="s">
        <v>4717</v>
      </c>
      <c r="G3945" s="38">
        <v>1.1401961186319E13</v>
      </c>
      <c r="H3945" s="38" t="s">
        <v>4718</v>
      </c>
      <c r="I3945" s="38" t="s">
        <v>4719</v>
      </c>
      <c r="J3945" s="38" t="s">
        <v>132</v>
      </c>
      <c r="K3945" s="38" t="s">
        <v>126</v>
      </c>
      <c r="L3945" s="41">
        <v>46012.916666666664</v>
      </c>
      <c r="M3945" s="38" t="s">
        <v>123</v>
      </c>
      <c r="N3945" s="41">
        <v>46012.958333333336</v>
      </c>
      <c r="O3945" s="38" t="s">
        <v>123</v>
      </c>
      <c r="P3945" s="38">
        <v>3600.0</v>
      </c>
      <c r="Q3945" s="39"/>
      <c r="R3945" s="39"/>
      <c r="S3945" s="39"/>
      <c r="T3945" s="39"/>
      <c r="U3945" s="39"/>
    </row>
    <row r="3946">
      <c r="A3946" s="40">
        <f t="shared" si="1"/>
        <v>46006</v>
      </c>
      <c r="B3946" s="37" t="str">
        <f t="array" ref="B3946">iferror(xlookup($I3946, 'IMPORT VHC Report'!$E:$E, 'IMPORT VHC Report'!$A:$C), )</f>
        <v/>
      </c>
      <c r="C3946" s="37"/>
      <c r="D3946" s="37"/>
      <c r="E3946" s="38" t="s">
        <v>4743</v>
      </c>
      <c r="F3946" s="38" t="s">
        <v>4744</v>
      </c>
      <c r="G3946" s="39"/>
      <c r="H3946" s="38" t="s">
        <v>4745</v>
      </c>
      <c r="I3946" s="38" t="s">
        <v>4746</v>
      </c>
      <c r="J3946" s="38" t="s">
        <v>125</v>
      </c>
      <c r="K3946" s="38" t="s">
        <v>126</v>
      </c>
      <c r="L3946" s="41">
        <v>46006.666666666664</v>
      </c>
      <c r="M3946" s="38" t="s">
        <v>123</v>
      </c>
      <c r="N3946" s="41">
        <v>46006.67361111111</v>
      </c>
      <c r="O3946" s="38" t="s">
        <v>123</v>
      </c>
      <c r="P3946" s="38">
        <v>600.0</v>
      </c>
      <c r="Q3946" s="39"/>
      <c r="R3946" s="39"/>
      <c r="S3946" s="38" t="s">
        <v>127</v>
      </c>
      <c r="T3946" s="39"/>
      <c r="U3946" s="39"/>
    </row>
    <row r="3947">
      <c r="A3947" s="40">
        <f t="shared" si="1"/>
        <v>46006</v>
      </c>
      <c r="B3947" s="37" t="str">
        <f t="array" ref="B3947">iferror(xlookup($I3947, 'IMPORT VHC Report'!$E:$E, 'IMPORT VHC Report'!$A:$C), )</f>
        <v/>
      </c>
      <c r="C3947" s="37"/>
      <c r="D3947" s="37"/>
      <c r="E3947" s="38" t="s">
        <v>4747</v>
      </c>
      <c r="F3947" s="38" t="s">
        <v>4744</v>
      </c>
      <c r="G3947" s="39"/>
      <c r="H3947" s="38" t="s">
        <v>4745</v>
      </c>
      <c r="I3947" s="38" t="s">
        <v>4746</v>
      </c>
      <c r="J3947" s="38" t="s">
        <v>122</v>
      </c>
      <c r="K3947" s="38" t="s">
        <v>63</v>
      </c>
      <c r="L3947" s="41">
        <v>46006.666666666664</v>
      </c>
      <c r="M3947" s="38" t="s">
        <v>123</v>
      </c>
      <c r="N3947" s="41">
        <v>46007.041666666664</v>
      </c>
      <c r="O3947" s="38" t="s">
        <v>123</v>
      </c>
      <c r="P3947" s="38">
        <v>32400.0</v>
      </c>
      <c r="Q3947" s="39"/>
      <c r="R3947" s="39"/>
      <c r="S3947" s="39"/>
      <c r="T3947" s="39"/>
      <c r="U3947" s="39"/>
    </row>
    <row r="3948">
      <c r="A3948" s="40">
        <f t="shared" si="1"/>
        <v>46006</v>
      </c>
      <c r="B3948" s="37" t="str">
        <f t="array" ref="B3948">iferror(xlookup($I3948, 'IMPORT VHC Report'!$E:$E, 'IMPORT VHC Report'!$A:$C), )</f>
        <v/>
      </c>
      <c r="C3948" s="37"/>
      <c r="D3948" s="37"/>
      <c r="E3948" s="38" t="s">
        <v>4748</v>
      </c>
      <c r="F3948" s="38" t="s">
        <v>4744</v>
      </c>
      <c r="G3948" s="39"/>
      <c r="H3948" s="38" t="s">
        <v>4745</v>
      </c>
      <c r="I3948" s="38" t="s">
        <v>4746</v>
      </c>
      <c r="J3948" s="38" t="s">
        <v>4</v>
      </c>
      <c r="K3948" s="38" t="s">
        <v>126</v>
      </c>
      <c r="L3948" s="41">
        <v>46006.708333333336</v>
      </c>
      <c r="M3948" s="38" t="s">
        <v>123</v>
      </c>
      <c r="N3948" s="41">
        <v>46006.75</v>
      </c>
      <c r="O3948" s="38" t="s">
        <v>123</v>
      </c>
      <c r="P3948" s="38">
        <v>3600.0</v>
      </c>
      <c r="Q3948" s="39"/>
      <c r="R3948" s="39"/>
      <c r="S3948" s="38" t="s">
        <v>130</v>
      </c>
      <c r="T3948" s="39"/>
      <c r="U3948" s="39"/>
    </row>
    <row r="3949">
      <c r="A3949" s="40">
        <f t="shared" si="1"/>
        <v>46006</v>
      </c>
      <c r="B3949" s="37" t="str">
        <f t="array" ref="B3949">iferror(xlookup($I3949, 'IMPORT VHC Report'!$E:$E, 'IMPORT VHC Report'!$A:$C), )</f>
        <v/>
      </c>
      <c r="C3949" s="37"/>
      <c r="D3949" s="37"/>
      <c r="E3949" s="38" t="s">
        <v>4749</v>
      </c>
      <c r="F3949" s="38" t="s">
        <v>4744</v>
      </c>
      <c r="G3949" s="39"/>
      <c r="H3949" s="38" t="s">
        <v>4745</v>
      </c>
      <c r="I3949" s="38" t="s">
        <v>4746</v>
      </c>
      <c r="J3949" s="38" t="s">
        <v>134</v>
      </c>
      <c r="K3949" s="38" t="s">
        <v>126</v>
      </c>
      <c r="L3949" s="41">
        <v>46006.75</v>
      </c>
      <c r="M3949" s="38" t="s">
        <v>123</v>
      </c>
      <c r="N3949" s="41">
        <v>46006.770833333336</v>
      </c>
      <c r="O3949" s="38" t="s">
        <v>123</v>
      </c>
      <c r="P3949" s="38">
        <v>1800.0</v>
      </c>
      <c r="Q3949" s="39"/>
      <c r="R3949" s="39"/>
      <c r="S3949" s="39"/>
      <c r="T3949" s="39"/>
      <c r="U3949" s="39"/>
    </row>
    <row r="3950">
      <c r="A3950" s="40">
        <f t="shared" si="1"/>
        <v>46006</v>
      </c>
      <c r="B3950" s="37" t="str">
        <f t="array" ref="B3950">iferror(xlookup($I3950, 'IMPORT VHC Report'!$E:$E, 'IMPORT VHC Report'!$A:$C), )</f>
        <v/>
      </c>
      <c r="C3950" s="37"/>
      <c r="D3950" s="37"/>
      <c r="E3950" s="38" t="s">
        <v>4750</v>
      </c>
      <c r="F3950" s="38" t="s">
        <v>4744</v>
      </c>
      <c r="G3950" s="39"/>
      <c r="H3950" s="38" t="s">
        <v>4745</v>
      </c>
      <c r="I3950" s="38" t="s">
        <v>4746</v>
      </c>
      <c r="J3950" s="38" t="s">
        <v>132</v>
      </c>
      <c r="K3950" s="38" t="s">
        <v>126</v>
      </c>
      <c r="L3950" s="41">
        <v>46006.864583333336</v>
      </c>
      <c r="M3950" s="38" t="s">
        <v>123</v>
      </c>
      <c r="N3950" s="41">
        <v>46006.90625</v>
      </c>
      <c r="O3950" s="38" t="s">
        <v>123</v>
      </c>
      <c r="P3950" s="38">
        <v>3600.0</v>
      </c>
      <c r="Q3950" s="39"/>
      <c r="R3950" s="39"/>
      <c r="S3950" s="39"/>
      <c r="T3950" s="39"/>
      <c r="U3950" s="39"/>
    </row>
    <row r="3951">
      <c r="A3951" s="40">
        <f t="shared" si="1"/>
        <v>46006</v>
      </c>
      <c r="B3951" s="37" t="str">
        <f t="array" ref="B3951">iferror(xlookup($I3951, 'IMPORT VHC Report'!$E:$E, 'IMPORT VHC Report'!$A:$C), )</f>
        <v/>
      </c>
      <c r="C3951" s="37"/>
      <c r="D3951" s="37"/>
      <c r="E3951" s="38" t="s">
        <v>4751</v>
      </c>
      <c r="F3951" s="38" t="s">
        <v>4744</v>
      </c>
      <c r="G3951" s="39"/>
      <c r="H3951" s="38" t="s">
        <v>4745</v>
      </c>
      <c r="I3951" s="38" t="s">
        <v>4746</v>
      </c>
      <c r="J3951" s="38" t="s">
        <v>125</v>
      </c>
      <c r="K3951" s="38" t="s">
        <v>126</v>
      </c>
      <c r="L3951" s="41">
        <v>46007.666666666664</v>
      </c>
      <c r="M3951" s="38" t="s">
        <v>123</v>
      </c>
      <c r="N3951" s="41">
        <v>46007.67361111111</v>
      </c>
      <c r="O3951" s="38" t="s">
        <v>123</v>
      </c>
      <c r="P3951" s="38">
        <v>600.0</v>
      </c>
      <c r="Q3951" s="39"/>
      <c r="R3951" s="39"/>
      <c r="S3951" s="38" t="s">
        <v>127</v>
      </c>
      <c r="T3951" s="39"/>
      <c r="U3951" s="39"/>
    </row>
    <row r="3952">
      <c r="A3952" s="40">
        <f t="shared" si="1"/>
        <v>46006</v>
      </c>
      <c r="B3952" s="37" t="str">
        <f t="array" ref="B3952">iferror(xlookup($I3952, 'IMPORT VHC Report'!$E:$E, 'IMPORT VHC Report'!$A:$C), )</f>
        <v/>
      </c>
      <c r="C3952" s="37"/>
      <c r="D3952" s="37"/>
      <c r="E3952" s="38" t="s">
        <v>4752</v>
      </c>
      <c r="F3952" s="38" t="s">
        <v>4744</v>
      </c>
      <c r="G3952" s="39"/>
      <c r="H3952" s="38" t="s">
        <v>4745</v>
      </c>
      <c r="I3952" s="38" t="s">
        <v>4746</v>
      </c>
      <c r="J3952" s="38" t="s">
        <v>122</v>
      </c>
      <c r="K3952" s="38" t="s">
        <v>63</v>
      </c>
      <c r="L3952" s="41">
        <v>46007.666666666664</v>
      </c>
      <c r="M3952" s="38" t="s">
        <v>123</v>
      </c>
      <c r="N3952" s="41">
        <v>46008.041666666664</v>
      </c>
      <c r="O3952" s="38" t="s">
        <v>123</v>
      </c>
      <c r="P3952" s="38">
        <v>32400.0</v>
      </c>
      <c r="Q3952" s="39"/>
      <c r="R3952" s="39"/>
      <c r="S3952" s="39"/>
      <c r="T3952" s="39"/>
      <c r="U3952" s="39"/>
    </row>
    <row r="3953">
      <c r="A3953" s="40">
        <f t="shared" si="1"/>
        <v>46006</v>
      </c>
      <c r="B3953" s="37" t="str">
        <f t="array" ref="B3953">iferror(xlookup($I3953, 'IMPORT VHC Report'!$E:$E, 'IMPORT VHC Report'!$A:$C), )</f>
        <v/>
      </c>
      <c r="C3953" s="37"/>
      <c r="D3953" s="37"/>
      <c r="E3953" s="38" t="s">
        <v>4753</v>
      </c>
      <c r="F3953" s="38" t="s">
        <v>4744</v>
      </c>
      <c r="G3953" s="39"/>
      <c r="H3953" s="38" t="s">
        <v>4745</v>
      </c>
      <c r="I3953" s="38" t="s">
        <v>4746</v>
      </c>
      <c r="J3953" s="38" t="s">
        <v>134</v>
      </c>
      <c r="K3953" s="38" t="s">
        <v>126</v>
      </c>
      <c r="L3953" s="41">
        <v>46007.770833333336</v>
      </c>
      <c r="M3953" s="38" t="s">
        <v>123</v>
      </c>
      <c r="N3953" s="41">
        <v>46007.791666666664</v>
      </c>
      <c r="O3953" s="38" t="s">
        <v>123</v>
      </c>
      <c r="P3953" s="38">
        <v>1800.0</v>
      </c>
      <c r="Q3953" s="39"/>
      <c r="R3953" s="39"/>
      <c r="S3953" s="39"/>
      <c r="T3953" s="39"/>
      <c r="U3953" s="39"/>
    </row>
    <row r="3954">
      <c r="A3954" s="40">
        <f t="shared" si="1"/>
        <v>46006</v>
      </c>
      <c r="B3954" s="37" t="str">
        <f t="array" ref="B3954">iferror(xlookup($I3954, 'IMPORT VHC Report'!$E:$E, 'IMPORT VHC Report'!$A:$C), )</f>
        <v/>
      </c>
      <c r="C3954" s="37"/>
      <c r="D3954" s="37"/>
      <c r="E3954" s="38" t="s">
        <v>4754</v>
      </c>
      <c r="F3954" s="38" t="s">
        <v>4744</v>
      </c>
      <c r="G3954" s="39"/>
      <c r="H3954" s="38" t="s">
        <v>4745</v>
      </c>
      <c r="I3954" s="38" t="s">
        <v>4746</v>
      </c>
      <c r="J3954" s="38" t="s">
        <v>132</v>
      </c>
      <c r="K3954" s="38" t="s">
        <v>126</v>
      </c>
      <c r="L3954" s="41">
        <v>46007.927083333336</v>
      </c>
      <c r="M3954" s="38" t="s">
        <v>123</v>
      </c>
      <c r="N3954" s="41">
        <v>46007.96875</v>
      </c>
      <c r="O3954" s="38" t="s">
        <v>123</v>
      </c>
      <c r="P3954" s="38">
        <v>3600.0</v>
      </c>
      <c r="Q3954" s="39"/>
      <c r="R3954" s="39"/>
      <c r="S3954" s="39"/>
      <c r="T3954" s="39"/>
      <c r="U3954" s="39"/>
    </row>
    <row r="3955">
      <c r="A3955" s="40">
        <f t="shared" si="1"/>
        <v>46006</v>
      </c>
      <c r="B3955" s="37" t="str">
        <f t="array" ref="B3955">iferror(xlookup($I3955, 'IMPORT VHC Report'!$E:$E, 'IMPORT VHC Report'!$A:$C), )</f>
        <v/>
      </c>
      <c r="C3955" s="37"/>
      <c r="D3955" s="37"/>
      <c r="E3955" s="38" t="s">
        <v>4755</v>
      </c>
      <c r="F3955" s="38" t="s">
        <v>4744</v>
      </c>
      <c r="G3955" s="39"/>
      <c r="H3955" s="38" t="s">
        <v>4745</v>
      </c>
      <c r="I3955" s="38" t="s">
        <v>4746</v>
      </c>
      <c r="J3955" s="38" t="s">
        <v>125</v>
      </c>
      <c r="K3955" s="38" t="s">
        <v>126</v>
      </c>
      <c r="L3955" s="41">
        <v>46008.666666666664</v>
      </c>
      <c r="M3955" s="38" t="s">
        <v>123</v>
      </c>
      <c r="N3955" s="41">
        <v>46008.67361111111</v>
      </c>
      <c r="O3955" s="38" t="s">
        <v>123</v>
      </c>
      <c r="P3955" s="38">
        <v>600.0</v>
      </c>
      <c r="Q3955" s="39"/>
      <c r="R3955" s="39"/>
      <c r="S3955" s="38" t="s">
        <v>127</v>
      </c>
      <c r="T3955" s="39"/>
      <c r="U3955" s="39"/>
    </row>
    <row r="3956">
      <c r="A3956" s="40">
        <f t="shared" si="1"/>
        <v>46006</v>
      </c>
      <c r="B3956" s="37" t="str">
        <f t="array" ref="B3956">iferror(xlookup($I3956, 'IMPORT VHC Report'!$E:$E, 'IMPORT VHC Report'!$A:$C), )</f>
        <v/>
      </c>
      <c r="C3956" s="37"/>
      <c r="D3956" s="37"/>
      <c r="E3956" s="38" t="s">
        <v>4756</v>
      </c>
      <c r="F3956" s="38" t="s">
        <v>4744</v>
      </c>
      <c r="G3956" s="39"/>
      <c r="H3956" s="38" t="s">
        <v>4745</v>
      </c>
      <c r="I3956" s="38" t="s">
        <v>4746</v>
      </c>
      <c r="J3956" s="38" t="s">
        <v>122</v>
      </c>
      <c r="K3956" s="38" t="s">
        <v>63</v>
      </c>
      <c r="L3956" s="41">
        <v>46008.666666666664</v>
      </c>
      <c r="M3956" s="38" t="s">
        <v>123</v>
      </c>
      <c r="N3956" s="41">
        <v>46009.041666666664</v>
      </c>
      <c r="O3956" s="38" t="s">
        <v>123</v>
      </c>
      <c r="P3956" s="38">
        <v>32400.0</v>
      </c>
      <c r="Q3956" s="39"/>
      <c r="R3956" s="39"/>
      <c r="S3956" s="39"/>
      <c r="T3956" s="39"/>
      <c r="U3956" s="39"/>
    </row>
    <row r="3957">
      <c r="A3957" s="40">
        <f t="shared" si="1"/>
        <v>46006</v>
      </c>
      <c r="B3957" s="37" t="str">
        <f t="array" ref="B3957">iferror(xlookup($I3957, 'IMPORT VHC Report'!$E:$E, 'IMPORT VHC Report'!$A:$C), )</f>
        <v/>
      </c>
      <c r="C3957" s="37"/>
      <c r="D3957" s="37"/>
      <c r="E3957" s="38" t="s">
        <v>4757</v>
      </c>
      <c r="F3957" s="38" t="s">
        <v>4744</v>
      </c>
      <c r="G3957" s="39"/>
      <c r="H3957" s="38" t="s">
        <v>4745</v>
      </c>
      <c r="I3957" s="38" t="s">
        <v>4746</v>
      </c>
      <c r="J3957" s="38" t="s">
        <v>134</v>
      </c>
      <c r="K3957" s="38" t="s">
        <v>126</v>
      </c>
      <c r="L3957" s="41">
        <v>46008.770833333336</v>
      </c>
      <c r="M3957" s="38" t="s">
        <v>123</v>
      </c>
      <c r="N3957" s="41">
        <v>46008.791666666664</v>
      </c>
      <c r="O3957" s="38" t="s">
        <v>123</v>
      </c>
      <c r="P3957" s="38">
        <v>1800.0</v>
      </c>
      <c r="Q3957" s="39"/>
      <c r="R3957" s="39"/>
      <c r="S3957" s="39"/>
      <c r="T3957" s="39"/>
      <c r="U3957" s="39"/>
    </row>
    <row r="3958">
      <c r="A3958" s="40">
        <f t="shared" si="1"/>
        <v>46006</v>
      </c>
      <c r="B3958" s="37" t="str">
        <f t="array" ref="B3958">iferror(xlookup($I3958, 'IMPORT VHC Report'!$E:$E, 'IMPORT VHC Report'!$A:$C), )</f>
        <v/>
      </c>
      <c r="C3958" s="37"/>
      <c r="D3958" s="37"/>
      <c r="E3958" s="38" t="s">
        <v>4758</v>
      </c>
      <c r="F3958" s="38" t="s">
        <v>4744</v>
      </c>
      <c r="G3958" s="39"/>
      <c r="H3958" s="38" t="s">
        <v>4745</v>
      </c>
      <c r="I3958" s="38" t="s">
        <v>4746</v>
      </c>
      <c r="J3958" s="38" t="s">
        <v>132</v>
      </c>
      <c r="K3958" s="38" t="s">
        <v>126</v>
      </c>
      <c r="L3958" s="41">
        <v>46008.875</v>
      </c>
      <c r="M3958" s="38" t="s">
        <v>123</v>
      </c>
      <c r="N3958" s="41">
        <v>46008.916666666664</v>
      </c>
      <c r="O3958" s="38" t="s">
        <v>123</v>
      </c>
      <c r="P3958" s="38">
        <v>3600.0</v>
      </c>
      <c r="Q3958" s="39"/>
      <c r="R3958" s="39"/>
      <c r="S3958" s="39"/>
      <c r="T3958" s="39"/>
      <c r="U3958" s="39"/>
    </row>
    <row r="3959">
      <c r="A3959" s="40">
        <f t="shared" si="1"/>
        <v>46006</v>
      </c>
      <c r="B3959" s="37" t="str">
        <f t="array" ref="B3959">iferror(xlookup($I3959, 'IMPORT VHC Report'!$E:$E, 'IMPORT VHC Report'!$A:$C), )</f>
        <v/>
      </c>
      <c r="C3959" s="37"/>
      <c r="D3959" s="37"/>
      <c r="E3959" s="38" t="s">
        <v>4759</v>
      </c>
      <c r="F3959" s="38" t="s">
        <v>4744</v>
      </c>
      <c r="G3959" s="39"/>
      <c r="H3959" s="38" t="s">
        <v>4745</v>
      </c>
      <c r="I3959" s="38" t="s">
        <v>4746</v>
      </c>
      <c r="J3959" s="38" t="s">
        <v>136</v>
      </c>
      <c r="K3959" s="38" t="s">
        <v>126</v>
      </c>
      <c r="L3959" s="41">
        <v>46008.916666666664</v>
      </c>
      <c r="M3959" s="38" t="s">
        <v>123</v>
      </c>
      <c r="N3959" s="41">
        <v>46008.947916666664</v>
      </c>
      <c r="O3959" s="38" t="s">
        <v>123</v>
      </c>
      <c r="P3959" s="38">
        <v>2700.0</v>
      </c>
      <c r="Q3959" s="39"/>
      <c r="R3959" s="39"/>
      <c r="S3959" s="38" t="s">
        <v>137</v>
      </c>
      <c r="T3959" s="39"/>
      <c r="U3959" s="39"/>
    </row>
    <row r="3960">
      <c r="A3960" s="40">
        <f t="shared" si="1"/>
        <v>46006</v>
      </c>
      <c r="B3960" s="37" t="str">
        <f t="array" ref="B3960">iferror(xlookup($I3960, 'IMPORT VHC Report'!$E:$E, 'IMPORT VHC Report'!$A:$C), )</f>
        <v/>
      </c>
      <c r="C3960" s="37"/>
      <c r="D3960" s="37"/>
      <c r="E3960" s="38" t="s">
        <v>4760</v>
      </c>
      <c r="F3960" s="38" t="s">
        <v>4744</v>
      </c>
      <c r="G3960" s="39"/>
      <c r="H3960" s="38" t="s">
        <v>4745</v>
      </c>
      <c r="I3960" s="38" t="s">
        <v>4746</v>
      </c>
      <c r="J3960" s="38" t="s">
        <v>125</v>
      </c>
      <c r="K3960" s="38" t="s">
        <v>126</v>
      </c>
      <c r="L3960" s="41">
        <v>46009.666666666664</v>
      </c>
      <c r="M3960" s="38" t="s">
        <v>123</v>
      </c>
      <c r="N3960" s="41">
        <v>46009.67361111111</v>
      </c>
      <c r="O3960" s="38" t="s">
        <v>123</v>
      </c>
      <c r="P3960" s="38">
        <v>600.0</v>
      </c>
      <c r="Q3960" s="39"/>
      <c r="R3960" s="39"/>
      <c r="S3960" s="38" t="s">
        <v>127</v>
      </c>
      <c r="T3960" s="39"/>
      <c r="U3960" s="39"/>
    </row>
    <row r="3961">
      <c r="A3961" s="40">
        <f t="shared" si="1"/>
        <v>46006</v>
      </c>
      <c r="B3961" s="37" t="str">
        <f t="array" ref="B3961">iferror(xlookup($I3961, 'IMPORT VHC Report'!$E:$E, 'IMPORT VHC Report'!$A:$C), )</f>
        <v/>
      </c>
      <c r="C3961" s="37"/>
      <c r="D3961" s="37"/>
      <c r="E3961" s="38" t="s">
        <v>4761</v>
      </c>
      <c r="F3961" s="38" t="s">
        <v>4744</v>
      </c>
      <c r="G3961" s="39"/>
      <c r="H3961" s="38" t="s">
        <v>4745</v>
      </c>
      <c r="I3961" s="38" t="s">
        <v>4746</v>
      </c>
      <c r="J3961" s="38" t="s">
        <v>122</v>
      </c>
      <c r="K3961" s="38" t="s">
        <v>63</v>
      </c>
      <c r="L3961" s="41">
        <v>46009.666666666664</v>
      </c>
      <c r="M3961" s="38" t="s">
        <v>123</v>
      </c>
      <c r="N3961" s="41">
        <v>46010.041666666664</v>
      </c>
      <c r="O3961" s="38" t="s">
        <v>123</v>
      </c>
      <c r="P3961" s="38">
        <v>32400.0</v>
      </c>
      <c r="Q3961" s="39"/>
      <c r="R3961" s="39"/>
      <c r="S3961" s="39"/>
      <c r="T3961" s="39"/>
      <c r="U3961" s="39"/>
    </row>
    <row r="3962">
      <c r="A3962" s="40">
        <f t="shared" si="1"/>
        <v>46006</v>
      </c>
      <c r="B3962" s="37" t="str">
        <f t="array" ref="B3962">iferror(xlookup($I3962, 'IMPORT VHC Report'!$E:$E, 'IMPORT VHC Report'!$A:$C), )</f>
        <v/>
      </c>
      <c r="C3962" s="37"/>
      <c r="D3962" s="37"/>
      <c r="E3962" s="38" t="s">
        <v>4762</v>
      </c>
      <c r="F3962" s="38" t="s">
        <v>4744</v>
      </c>
      <c r="G3962" s="39"/>
      <c r="H3962" s="38" t="s">
        <v>4745</v>
      </c>
      <c r="I3962" s="38" t="s">
        <v>4746</v>
      </c>
      <c r="J3962" s="38" t="s">
        <v>132</v>
      </c>
      <c r="K3962" s="38" t="s">
        <v>126</v>
      </c>
      <c r="L3962" s="41">
        <v>46009.729166666664</v>
      </c>
      <c r="M3962" s="38" t="s">
        <v>123</v>
      </c>
      <c r="N3962" s="41">
        <v>46009.770833333336</v>
      </c>
      <c r="O3962" s="38" t="s">
        <v>123</v>
      </c>
      <c r="P3962" s="38">
        <v>3600.0</v>
      </c>
      <c r="Q3962" s="39"/>
      <c r="R3962" s="39"/>
      <c r="S3962" s="39"/>
      <c r="T3962" s="39"/>
      <c r="U3962" s="39"/>
    </row>
    <row r="3963">
      <c r="A3963" s="40">
        <f t="shared" si="1"/>
        <v>46006</v>
      </c>
      <c r="B3963" s="37" t="str">
        <f t="array" ref="B3963">iferror(xlookup($I3963, 'IMPORT VHC Report'!$E:$E, 'IMPORT VHC Report'!$A:$C), )</f>
        <v/>
      </c>
      <c r="C3963" s="37"/>
      <c r="D3963" s="37"/>
      <c r="E3963" s="38" t="s">
        <v>4763</v>
      </c>
      <c r="F3963" s="38" t="s">
        <v>4744</v>
      </c>
      <c r="G3963" s="39"/>
      <c r="H3963" s="38" t="s">
        <v>4745</v>
      </c>
      <c r="I3963" s="38" t="s">
        <v>4746</v>
      </c>
      <c r="J3963" s="38" t="s">
        <v>134</v>
      </c>
      <c r="K3963" s="38" t="s">
        <v>126</v>
      </c>
      <c r="L3963" s="41">
        <v>46009.9375</v>
      </c>
      <c r="M3963" s="38" t="s">
        <v>123</v>
      </c>
      <c r="N3963" s="41">
        <v>46009.958333333336</v>
      </c>
      <c r="O3963" s="38" t="s">
        <v>123</v>
      </c>
      <c r="P3963" s="38">
        <v>1800.0</v>
      </c>
      <c r="Q3963" s="39"/>
      <c r="R3963" s="39"/>
      <c r="S3963" s="39"/>
      <c r="T3963" s="39"/>
      <c r="U3963" s="39"/>
    </row>
    <row r="3964">
      <c r="A3964" s="40">
        <f t="shared" si="1"/>
        <v>46006</v>
      </c>
      <c r="B3964" s="37" t="str">
        <f t="array" ref="B3964">iferror(xlookup($I3964, 'IMPORT VHC Report'!$E:$E, 'IMPORT VHC Report'!$A:$C), )</f>
        <v/>
      </c>
      <c r="C3964" s="37"/>
      <c r="D3964" s="37"/>
      <c r="E3964" s="38" t="s">
        <v>4764</v>
      </c>
      <c r="F3964" s="38" t="s">
        <v>4744</v>
      </c>
      <c r="G3964" s="39"/>
      <c r="H3964" s="38" t="s">
        <v>4745</v>
      </c>
      <c r="I3964" s="38" t="s">
        <v>4746</v>
      </c>
      <c r="J3964" s="38" t="s">
        <v>125</v>
      </c>
      <c r="K3964" s="38" t="s">
        <v>126</v>
      </c>
      <c r="L3964" s="41">
        <v>46010.666666666664</v>
      </c>
      <c r="M3964" s="38" t="s">
        <v>123</v>
      </c>
      <c r="N3964" s="41">
        <v>46010.67361111111</v>
      </c>
      <c r="O3964" s="38" t="s">
        <v>123</v>
      </c>
      <c r="P3964" s="38">
        <v>600.0</v>
      </c>
      <c r="Q3964" s="39"/>
      <c r="R3964" s="39"/>
      <c r="S3964" s="38" t="s">
        <v>127</v>
      </c>
      <c r="T3964" s="39"/>
      <c r="U3964" s="39"/>
    </row>
    <row r="3965">
      <c r="A3965" s="40">
        <f t="shared" si="1"/>
        <v>46006</v>
      </c>
      <c r="B3965" s="37" t="str">
        <f t="array" ref="B3965">iferror(xlookup($I3965, 'IMPORT VHC Report'!$E:$E, 'IMPORT VHC Report'!$A:$C), )</f>
        <v/>
      </c>
      <c r="C3965" s="37"/>
      <c r="D3965" s="37"/>
      <c r="E3965" s="38" t="s">
        <v>4765</v>
      </c>
      <c r="F3965" s="38" t="s">
        <v>4744</v>
      </c>
      <c r="G3965" s="39"/>
      <c r="H3965" s="38" t="s">
        <v>4745</v>
      </c>
      <c r="I3965" s="38" t="s">
        <v>4746</v>
      </c>
      <c r="J3965" s="38" t="s">
        <v>122</v>
      </c>
      <c r="K3965" s="38" t="s">
        <v>63</v>
      </c>
      <c r="L3965" s="41">
        <v>46010.666666666664</v>
      </c>
      <c r="M3965" s="38" t="s">
        <v>123</v>
      </c>
      <c r="N3965" s="41">
        <v>46011.041666666664</v>
      </c>
      <c r="O3965" s="38" t="s">
        <v>123</v>
      </c>
      <c r="P3965" s="38">
        <v>32400.0</v>
      </c>
      <c r="Q3965" s="39"/>
      <c r="R3965" s="39"/>
      <c r="S3965" s="39"/>
      <c r="T3965" s="39"/>
      <c r="U3965" s="39"/>
    </row>
    <row r="3966">
      <c r="A3966" s="40">
        <f t="shared" si="1"/>
        <v>46006</v>
      </c>
      <c r="B3966" s="37" t="str">
        <f t="array" ref="B3966">iferror(xlookup($I3966, 'IMPORT VHC Report'!$E:$E, 'IMPORT VHC Report'!$A:$C), )</f>
        <v/>
      </c>
      <c r="C3966" s="37"/>
      <c r="D3966" s="37"/>
      <c r="E3966" s="38" t="s">
        <v>4766</v>
      </c>
      <c r="F3966" s="38" t="s">
        <v>4744</v>
      </c>
      <c r="G3966" s="39"/>
      <c r="H3966" s="38" t="s">
        <v>4745</v>
      </c>
      <c r="I3966" s="38" t="s">
        <v>4746</v>
      </c>
      <c r="J3966" s="38" t="s">
        <v>132</v>
      </c>
      <c r="K3966" s="38" t="s">
        <v>126</v>
      </c>
      <c r="L3966" s="41">
        <v>46010.770833333336</v>
      </c>
      <c r="M3966" s="38" t="s">
        <v>123</v>
      </c>
      <c r="N3966" s="41">
        <v>46010.8125</v>
      </c>
      <c r="O3966" s="38" t="s">
        <v>123</v>
      </c>
      <c r="P3966" s="38">
        <v>3600.0</v>
      </c>
      <c r="Q3966" s="39"/>
      <c r="R3966" s="39"/>
      <c r="S3966" s="39"/>
      <c r="T3966" s="39"/>
      <c r="U3966" s="39"/>
    </row>
    <row r="3967">
      <c r="A3967" s="40">
        <f t="shared" si="1"/>
        <v>46006</v>
      </c>
      <c r="B3967" s="37" t="str">
        <f t="array" ref="B3967">iferror(xlookup($I3967, 'IMPORT VHC Report'!$E:$E, 'IMPORT VHC Report'!$A:$C), )</f>
        <v/>
      </c>
      <c r="C3967" s="37"/>
      <c r="D3967" s="37"/>
      <c r="E3967" s="38" t="s">
        <v>4767</v>
      </c>
      <c r="F3967" s="38" t="s">
        <v>4744</v>
      </c>
      <c r="G3967" s="39"/>
      <c r="H3967" s="38" t="s">
        <v>4745</v>
      </c>
      <c r="I3967" s="38" t="s">
        <v>4746</v>
      </c>
      <c r="J3967" s="38" t="s">
        <v>134</v>
      </c>
      <c r="K3967" s="38" t="s">
        <v>126</v>
      </c>
      <c r="L3967" s="41">
        <v>46010.916666666664</v>
      </c>
      <c r="M3967" s="38" t="s">
        <v>123</v>
      </c>
      <c r="N3967" s="41">
        <v>46010.9375</v>
      </c>
      <c r="O3967" s="38" t="s">
        <v>123</v>
      </c>
      <c r="P3967" s="38">
        <v>1800.0</v>
      </c>
      <c r="Q3967" s="39"/>
      <c r="R3967" s="39"/>
      <c r="S3967" s="39"/>
      <c r="T3967" s="39"/>
      <c r="U3967" s="39"/>
    </row>
    <row r="3968">
      <c r="A3968" s="40">
        <f t="shared" si="1"/>
        <v>46006</v>
      </c>
      <c r="B3968" s="37" t="str">
        <f t="array" ref="B3968">iferror(xlookup($I3968, 'IMPORT VHC Report'!$E:$E, 'IMPORT VHC Report'!$A:$C), )</f>
        <v/>
      </c>
      <c r="C3968" s="37"/>
      <c r="D3968" s="37"/>
      <c r="E3968" s="38" t="s">
        <v>4768</v>
      </c>
      <c r="F3968" s="38" t="s">
        <v>4769</v>
      </c>
      <c r="G3968" s="38">
        <v>3.61731792475E11</v>
      </c>
      <c r="H3968" s="38" t="s">
        <v>4770</v>
      </c>
      <c r="I3968" s="38" t="s">
        <v>4771</v>
      </c>
      <c r="J3968" s="38" t="s">
        <v>2135</v>
      </c>
      <c r="K3968" s="38" t="s">
        <v>63</v>
      </c>
      <c r="L3968" s="41">
        <v>46006.666666666664</v>
      </c>
      <c r="M3968" s="38" t="s">
        <v>123</v>
      </c>
      <c r="N3968" s="41">
        <v>46007.041666666664</v>
      </c>
      <c r="O3968" s="38" t="s">
        <v>123</v>
      </c>
      <c r="P3968" s="38">
        <v>32400.0</v>
      </c>
      <c r="Q3968" s="39"/>
      <c r="R3968" s="39"/>
      <c r="S3968" s="39"/>
      <c r="T3968" s="39"/>
      <c r="U3968" s="39"/>
    </row>
    <row r="3969">
      <c r="A3969" s="40">
        <f t="shared" si="1"/>
        <v>46006</v>
      </c>
      <c r="B3969" s="37" t="str">
        <f t="array" ref="B3969">iferror(xlookup($I3969, 'IMPORT VHC Report'!$E:$E, 'IMPORT VHC Report'!$A:$C), )</f>
        <v/>
      </c>
      <c r="C3969" s="37"/>
      <c r="D3969" s="37"/>
      <c r="E3969" s="38" t="s">
        <v>4772</v>
      </c>
      <c r="F3969" s="38" t="s">
        <v>4769</v>
      </c>
      <c r="G3969" s="38">
        <v>3.61731792475E11</v>
      </c>
      <c r="H3969" s="38" t="s">
        <v>4770</v>
      </c>
      <c r="I3969" s="38" t="s">
        <v>4771</v>
      </c>
      <c r="J3969" s="38" t="s">
        <v>134</v>
      </c>
      <c r="K3969" s="38" t="s">
        <v>126</v>
      </c>
      <c r="L3969" s="41">
        <v>46006.791666666664</v>
      </c>
      <c r="M3969" s="38" t="s">
        <v>123</v>
      </c>
      <c r="N3969" s="41">
        <v>46006.802083333336</v>
      </c>
      <c r="O3969" s="38" t="s">
        <v>123</v>
      </c>
      <c r="P3969" s="38">
        <v>900.0</v>
      </c>
      <c r="Q3969" s="39"/>
      <c r="R3969" s="39"/>
      <c r="S3969" s="39"/>
      <c r="T3969" s="39"/>
      <c r="U3969" s="39"/>
    </row>
    <row r="3970">
      <c r="A3970" s="40">
        <f t="shared" si="1"/>
        <v>46006</v>
      </c>
      <c r="B3970" s="37" t="str">
        <f t="array" ref="B3970">iferror(xlookup($I3970, 'IMPORT VHC Report'!$E:$E, 'IMPORT VHC Report'!$A:$C), )</f>
        <v/>
      </c>
      <c r="C3970" s="37"/>
      <c r="D3970" s="37"/>
      <c r="E3970" s="38" t="s">
        <v>4773</v>
      </c>
      <c r="F3970" s="38" t="s">
        <v>4769</v>
      </c>
      <c r="G3970" s="38">
        <v>3.61731792475E11</v>
      </c>
      <c r="H3970" s="38" t="s">
        <v>4770</v>
      </c>
      <c r="I3970" s="38" t="s">
        <v>4771</v>
      </c>
      <c r="J3970" s="38" t="s">
        <v>132</v>
      </c>
      <c r="K3970" s="38" t="s">
        <v>126</v>
      </c>
      <c r="L3970" s="41">
        <v>46006.864583333336</v>
      </c>
      <c r="M3970" s="38" t="s">
        <v>123</v>
      </c>
      <c r="N3970" s="41">
        <v>46006.90625</v>
      </c>
      <c r="O3970" s="38" t="s">
        <v>123</v>
      </c>
      <c r="P3970" s="38">
        <v>3600.0</v>
      </c>
      <c r="Q3970" s="39"/>
      <c r="R3970" s="39"/>
      <c r="S3970" s="39"/>
      <c r="T3970" s="39"/>
      <c r="U3970" s="39"/>
    </row>
    <row r="3971">
      <c r="A3971" s="40">
        <f t="shared" si="1"/>
        <v>46006</v>
      </c>
      <c r="B3971" s="37" t="str">
        <f t="array" ref="B3971">iferror(xlookup($I3971, 'IMPORT VHC Report'!$E:$E, 'IMPORT VHC Report'!$A:$C), )</f>
        <v/>
      </c>
      <c r="C3971" s="37"/>
      <c r="D3971" s="37"/>
      <c r="E3971" s="38" t="s">
        <v>4774</v>
      </c>
      <c r="F3971" s="38" t="s">
        <v>4769</v>
      </c>
      <c r="G3971" s="38">
        <v>3.61731792475E11</v>
      </c>
      <c r="H3971" s="38" t="s">
        <v>4770</v>
      </c>
      <c r="I3971" s="38" t="s">
        <v>4771</v>
      </c>
      <c r="J3971" s="38" t="s">
        <v>134</v>
      </c>
      <c r="K3971" s="38" t="s">
        <v>126</v>
      </c>
      <c r="L3971" s="41">
        <v>46006.989583333336</v>
      </c>
      <c r="M3971" s="38" t="s">
        <v>123</v>
      </c>
      <c r="N3971" s="41">
        <v>46007.0</v>
      </c>
      <c r="O3971" s="38" t="s">
        <v>123</v>
      </c>
      <c r="P3971" s="38">
        <v>900.0</v>
      </c>
      <c r="Q3971" s="39"/>
      <c r="R3971" s="39"/>
      <c r="S3971" s="39"/>
      <c r="T3971" s="39"/>
      <c r="U3971" s="39"/>
    </row>
    <row r="3972">
      <c r="A3972" s="40">
        <f t="shared" si="1"/>
        <v>46006</v>
      </c>
      <c r="B3972" s="37" t="str">
        <f t="array" ref="B3972">iferror(xlookup($I3972, 'IMPORT VHC Report'!$E:$E, 'IMPORT VHC Report'!$A:$C), )</f>
        <v/>
      </c>
      <c r="C3972" s="37"/>
      <c r="D3972" s="37"/>
      <c r="E3972" s="38" t="s">
        <v>4775</v>
      </c>
      <c r="F3972" s="38" t="s">
        <v>4769</v>
      </c>
      <c r="G3972" s="38">
        <v>3.61731792475E11</v>
      </c>
      <c r="H3972" s="38" t="s">
        <v>4770</v>
      </c>
      <c r="I3972" s="38" t="s">
        <v>4771</v>
      </c>
      <c r="J3972" s="38" t="s">
        <v>2135</v>
      </c>
      <c r="K3972" s="38" t="s">
        <v>63</v>
      </c>
      <c r="L3972" s="41">
        <v>46007.666666666664</v>
      </c>
      <c r="M3972" s="38" t="s">
        <v>123</v>
      </c>
      <c r="N3972" s="41">
        <v>46008.041666666664</v>
      </c>
      <c r="O3972" s="38" t="s">
        <v>123</v>
      </c>
      <c r="P3972" s="38">
        <v>32400.0</v>
      </c>
      <c r="Q3972" s="39"/>
      <c r="R3972" s="39"/>
      <c r="S3972" s="39"/>
      <c r="T3972" s="39"/>
      <c r="U3972" s="39"/>
    </row>
    <row r="3973">
      <c r="A3973" s="40">
        <f t="shared" si="1"/>
        <v>46006</v>
      </c>
      <c r="B3973" s="37" t="str">
        <f t="array" ref="B3973">iferror(xlookup($I3973, 'IMPORT VHC Report'!$E:$E, 'IMPORT VHC Report'!$A:$C), )</f>
        <v/>
      </c>
      <c r="C3973" s="37"/>
      <c r="D3973" s="37"/>
      <c r="E3973" s="38" t="s">
        <v>4776</v>
      </c>
      <c r="F3973" s="38" t="s">
        <v>4769</v>
      </c>
      <c r="G3973" s="38">
        <v>3.61731792475E11</v>
      </c>
      <c r="H3973" s="38" t="s">
        <v>4770</v>
      </c>
      <c r="I3973" s="38" t="s">
        <v>4771</v>
      </c>
      <c r="J3973" s="38" t="s">
        <v>132</v>
      </c>
      <c r="K3973" s="38" t="s">
        <v>126</v>
      </c>
      <c r="L3973" s="41">
        <v>46007.770833333336</v>
      </c>
      <c r="M3973" s="38" t="s">
        <v>123</v>
      </c>
      <c r="N3973" s="41">
        <v>46007.8125</v>
      </c>
      <c r="O3973" s="38" t="s">
        <v>123</v>
      </c>
      <c r="P3973" s="38">
        <v>3600.0</v>
      </c>
      <c r="Q3973" s="39"/>
      <c r="R3973" s="39"/>
      <c r="S3973" s="39"/>
      <c r="T3973" s="39"/>
      <c r="U3973" s="39"/>
    </row>
    <row r="3974">
      <c r="A3974" s="40">
        <f t="shared" si="1"/>
        <v>46006</v>
      </c>
      <c r="B3974" s="37" t="str">
        <f t="array" ref="B3974">iferror(xlookup($I3974, 'IMPORT VHC Report'!$E:$E, 'IMPORT VHC Report'!$A:$C), )</f>
        <v/>
      </c>
      <c r="C3974" s="37"/>
      <c r="D3974" s="37"/>
      <c r="E3974" s="38" t="s">
        <v>4777</v>
      </c>
      <c r="F3974" s="38" t="s">
        <v>4769</v>
      </c>
      <c r="G3974" s="38">
        <v>3.61731792475E11</v>
      </c>
      <c r="H3974" s="38" t="s">
        <v>4770</v>
      </c>
      <c r="I3974" s="38" t="s">
        <v>4771</v>
      </c>
      <c r="J3974" s="38" t="s">
        <v>4</v>
      </c>
      <c r="K3974" s="38" t="s">
        <v>126</v>
      </c>
      <c r="L3974" s="41">
        <v>46007.875</v>
      </c>
      <c r="M3974" s="38" t="s">
        <v>123</v>
      </c>
      <c r="N3974" s="41">
        <v>46008.020833333336</v>
      </c>
      <c r="O3974" s="38" t="s">
        <v>123</v>
      </c>
      <c r="P3974" s="38">
        <v>12600.0</v>
      </c>
      <c r="Q3974" s="39"/>
      <c r="R3974" s="39"/>
      <c r="S3974" s="38" t="s">
        <v>458</v>
      </c>
      <c r="T3974" s="39"/>
      <c r="U3974" s="39"/>
    </row>
    <row r="3975">
      <c r="A3975" s="40">
        <f t="shared" si="1"/>
        <v>46006</v>
      </c>
      <c r="B3975" s="37" t="str">
        <f t="array" ref="B3975">iferror(xlookup($I3975, 'IMPORT VHC Report'!$E:$E, 'IMPORT VHC Report'!$A:$C), )</f>
        <v/>
      </c>
      <c r="C3975" s="37"/>
      <c r="D3975" s="37"/>
      <c r="E3975" s="38" t="s">
        <v>4778</v>
      </c>
      <c r="F3975" s="38" t="s">
        <v>4769</v>
      </c>
      <c r="G3975" s="38">
        <v>3.61731792475E11</v>
      </c>
      <c r="H3975" s="38" t="s">
        <v>4770</v>
      </c>
      <c r="I3975" s="38" t="s">
        <v>4771</v>
      </c>
      <c r="J3975" s="38" t="s">
        <v>134</v>
      </c>
      <c r="K3975" s="38" t="s">
        <v>126</v>
      </c>
      <c r="L3975" s="41">
        <v>46008.020833333336</v>
      </c>
      <c r="M3975" s="38" t="s">
        <v>123</v>
      </c>
      <c r="N3975" s="41">
        <v>46008.041666666664</v>
      </c>
      <c r="O3975" s="38" t="s">
        <v>123</v>
      </c>
      <c r="P3975" s="38">
        <v>1800.0</v>
      </c>
      <c r="Q3975" s="39"/>
      <c r="R3975" s="39"/>
      <c r="S3975" s="39"/>
      <c r="T3975" s="39"/>
      <c r="U3975" s="39"/>
    </row>
    <row r="3976">
      <c r="A3976" s="40">
        <f t="shared" si="1"/>
        <v>46006</v>
      </c>
      <c r="B3976" s="37" t="str">
        <f t="array" ref="B3976">iferror(xlookup($I3976, 'IMPORT VHC Report'!$E:$E, 'IMPORT VHC Report'!$A:$C), )</f>
        <v/>
      </c>
      <c r="C3976" s="37"/>
      <c r="D3976" s="37"/>
      <c r="E3976" s="38" t="s">
        <v>4779</v>
      </c>
      <c r="F3976" s="38" t="s">
        <v>4769</v>
      </c>
      <c r="G3976" s="38">
        <v>3.61731792475E11</v>
      </c>
      <c r="H3976" s="38" t="s">
        <v>4770</v>
      </c>
      <c r="I3976" s="38" t="s">
        <v>4771</v>
      </c>
      <c r="J3976" s="38" t="s">
        <v>4</v>
      </c>
      <c r="K3976" s="38" t="s">
        <v>126</v>
      </c>
      <c r="L3976" s="41">
        <v>46008.375</v>
      </c>
      <c r="M3976" s="38" t="s">
        <v>123</v>
      </c>
      <c r="N3976" s="41">
        <v>46008.458333333336</v>
      </c>
      <c r="O3976" s="38" t="s">
        <v>123</v>
      </c>
      <c r="P3976" s="38">
        <v>7200.0</v>
      </c>
      <c r="Q3976" s="39"/>
      <c r="R3976" s="39"/>
      <c r="S3976" s="38" t="s">
        <v>2283</v>
      </c>
      <c r="T3976" s="39"/>
      <c r="U3976" s="39"/>
    </row>
    <row r="3977">
      <c r="A3977" s="40">
        <f t="shared" si="1"/>
        <v>46006</v>
      </c>
      <c r="B3977" s="37" t="str">
        <f t="array" ref="B3977">iferror(xlookup($I3977, 'IMPORT VHC Report'!$E:$E, 'IMPORT VHC Report'!$A:$C), )</f>
        <v/>
      </c>
      <c r="C3977" s="37"/>
      <c r="D3977" s="37"/>
      <c r="E3977" s="38" t="s">
        <v>4780</v>
      </c>
      <c r="F3977" s="38" t="s">
        <v>4769</v>
      </c>
      <c r="G3977" s="38">
        <v>3.61731792475E11</v>
      </c>
      <c r="H3977" s="38" t="s">
        <v>4770</v>
      </c>
      <c r="I3977" s="38" t="s">
        <v>4771</v>
      </c>
      <c r="J3977" s="38" t="s">
        <v>2135</v>
      </c>
      <c r="K3977" s="38" t="s">
        <v>63</v>
      </c>
      <c r="L3977" s="41">
        <v>46008.375</v>
      </c>
      <c r="M3977" s="38" t="s">
        <v>123</v>
      </c>
      <c r="N3977" s="41">
        <v>46008.75</v>
      </c>
      <c r="O3977" s="38" t="s">
        <v>123</v>
      </c>
      <c r="P3977" s="38">
        <v>32400.0</v>
      </c>
      <c r="Q3977" s="39"/>
      <c r="R3977" s="39"/>
      <c r="S3977" s="39"/>
      <c r="T3977" s="39"/>
      <c r="U3977" s="39"/>
    </row>
    <row r="3978">
      <c r="A3978" s="40">
        <f t="shared" si="1"/>
        <v>46006</v>
      </c>
      <c r="B3978" s="37" t="str">
        <f t="array" ref="B3978">iferror(xlookup($I3978, 'IMPORT VHC Report'!$E:$E, 'IMPORT VHC Report'!$A:$C), )</f>
        <v/>
      </c>
      <c r="C3978" s="37"/>
      <c r="D3978" s="37"/>
      <c r="E3978" s="38" t="s">
        <v>4781</v>
      </c>
      <c r="F3978" s="38" t="s">
        <v>4769</v>
      </c>
      <c r="G3978" s="38">
        <v>3.61731792475E11</v>
      </c>
      <c r="H3978" s="38" t="s">
        <v>4770</v>
      </c>
      <c r="I3978" s="38" t="s">
        <v>4771</v>
      </c>
      <c r="J3978" s="38" t="s">
        <v>134</v>
      </c>
      <c r="K3978" s="38" t="s">
        <v>126</v>
      </c>
      <c r="L3978" s="41">
        <v>46008.458333333336</v>
      </c>
      <c r="M3978" s="38" t="s">
        <v>123</v>
      </c>
      <c r="N3978" s="41">
        <v>46008.479166666664</v>
      </c>
      <c r="O3978" s="38" t="s">
        <v>123</v>
      </c>
      <c r="P3978" s="38">
        <v>1800.0</v>
      </c>
      <c r="Q3978" s="39"/>
      <c r="R3978" s="39"/>
      <c r="S3978" s="39"/>
      <c r="T3978" s="39"/>
      <c r="U3978" s="39"/>
    </row>
    <row r="3979">
      <c r="A3979" s="40">
        <f t="shared" si="1"/>
        <v>46006</v>
      </c>
      <c r="B3979" s="37" t="str">
        <f t="array" ref="B3979">iferror(xlookup($I3979, 'IMPORT VHC Report'!$E:$E, 'IMPORT VHC Report'!$A:$C), )</f>
        <v/>
      </c>
      <c r="C3979" s="37"/>
      <c r="D3979" s="37"/>
      <c r="E3979" s="38" t="s">
        <v>4782</v>
      </c>
      <c r="F3979" s="38" t="s">
        <v>4769</v>
      </c>
      <c r="G3979" s="38">
        <v>3.61731792475E11</v>
      </c>
      <c r="H3979" s="38" t="s">
        <v>4770</v>
      </c>
      <c r="I3979" s="38" t="s">
        <v>4771</v>
      </c>
      <c r="J3979" s="38" t="s">
        <v>4</v>
      </c>
      <c r="K3979" s="38" t="s">
        <v>126</v>
      </c>
      <c r="L3979" s="41">
        <v>46008.479166666664</v>
      </c>
      <c r="M3979" s="38" t="s">
        <v>123</v>
      </c>
      <c r="N3979" s="41">
        <v>46008.604166666664</v>
      </c>
      <c r="O3979" s="38" t="s">
        <v>123</v>
      </c>
      <c r="P3979" s="38">
        <v>10800.0</v>
      </c>
      <c r="Q3979" s="39"/>
      <c r="R3979" s="39"/>
      <c r="S3979" s="38" t="s">
        <v>4783</v>
      </c>
      <c r="T3979" s="39"/>
      <c r="U3979" s="39"/>
    </row>
    <row r="3980">
      <c r="A3980" s="40">
        <f t="shared" si="1"/>
        <v>46006</v>
      </c>
      <c r="B3980" s="37" t="str">
        <f t="array" ref="B3980">iferror(xlookup($I3980, 'IMPORT VHC Report'!$E:$E, 'IMPORT VHC Report'!$A:$C), )</f>
        <v/>
      </c>
      <c r="C3980" s="37"/>
      <c r="D3980" s="37"/>
      <c r="E3980" s="38" t="s">
        <v>4784</v>
      </c>
      <c r="F3980" s="38" t="s">
        <v>4769</v>
      </c>
      <c r="G3980" s="38">
        <v>3.61731792475E11</v>
      </c>
      <c r="H3980" s="38" t="s">
        <v>4770</v>
      </c>
      <c r="I3980" s="38" t="s">
        <v>4771</v>
      </c>
      <c r="J3980" s="38" t="s">
        <v>132</v>
      </c>
      <c r="K3980" s="38" t="s">
        <v>126</v>
      </c>
      <c r="L3980" s="41">
        <v>46008.604166666664</v>
      </c>
      <c r="M3980" s="38" t="s">
        <v>123</v>
      </c>
      <c r="N3980" s="41">
        <v>46008.645833333336</v>
      </c>
      <c r="O3980" s="38" t="s">
        <v>123</v>
      </c>
      <c r="P3980" s="38">
        <v>3600.0</v>
      </c>
      <c r="Q3980" s="39"/>
      <c r="R3980" s="39"/>
      <c r="S3980" s="39"/>
      <c r="T3980" s="39"/>
      <c r="U3980" s="39"/>
    </row>
    <row r="3981">
      <c r="A3981" s="40">
        <f t="shared" si="1"/>
        <v>46006</v>
      </c>
      <c r="B3981" s="37" t="str">
        <f t="array" ref="B3981">iferror(xlookup($I3981, 'IMPORT VHC Report'!$E:$E, 'IMPORT VHC Report'!$A:$C), )</f>
        <v/>
      </c>
      <c r="C3981" s="37"/>
      <c r="D3981" s="37"/>
      <c r="E3981" s="38" t="s">
        <v>4785</v>
      </c>
      <c r="F3981" s="38" t="s">
        <v>4769</v>
      </c>
      <c r="G3981" s="38">
        <v>3.61731792475E11</v>
      </c>
      <c r="H3981" s="38" t="s">
        <v>4770</v>
      </c>
      <c r="I3981" s="38" t="s">
        <v>4771</v>
      </c>
      <c r="J3981" s="38" t="s">
        <v>2135</v>
      </c>
      <c r="K3981" s="38" t="s">
        <v>63</v>
      </c>
      <c r="L3981" s="41">
        <v>46009.666666666664</v>
      </c>
      <c r="M3981" s="38" t="s">
        <v>123</v>
      </c>
      <c r="N3981" s="41">
        <v>46010.041666666664</v>
      </c>
      <c r="O3981" s="38" t="s">
        <v>123</v>
      </c>
      <c r="P3981" s="38">
        <v>32400.0</v>
      </c>
      <c r="Q3981" s="39"/>
      <c r="R3981" s="39"/>
      <c r="S3981" s="39"/>
      <c r="T3981" s="39"/>
      <c r="U3981" s="39"/>
    </row>
    <row r="3982">
      <c r="A3982" s="40">
        <f t="shared" si="1"/>
        <v>46006</v>
      </c>
      <c r="B3982" s="37" t="str">
        <f t="array" ref="B3982">iferror(xlookup($I3982, 'IMPORT VHC Report'!$E:$E, 'IMPORT VHC Report'!$A:$C), )</f>
        <v/>
      </c>
      <c r="C3982" s="37"/>
      <c r="D3982" s="37"/>
      <c r="E3982" s="38" t="s">
        <v>4786</v>
      </c>
      <c r="F3982" s="38" t="s">
        <v>4769</v>
      </c>
      <c r="G3982" s="38">
        <v>3.61731792475E11</v>
      </c>
      <c r="H3982" s="38" t="s">
        <v>4770</v>
      </c>
      <c r="I3982" s="38" t="s">
        <v>4771</v>
      </c>
      <c r="J3982" s="38" t="s">
        <v>132</v>
      </c>
      <c r="K3982" s="38" t="s">
        <v>126</v>
      </c>
      <c r="L3982" s="41">
        <v>46009.833333333336</v>
      </c>
      <c r="M3982" s="38" t="s">
        <v>123</v>
      </c>
      <c r="N3982" s="41">
        <v>46009.875</v>
      </c>
      <c r="O3982" s="38" t="s">
        <v>123</v>
      </c>
      <c r="P3982" s="38">
        <v>3600.0</v>
      </c>
      <c r="Q3982" s="39"/>
      <c r="R3982" s="39"/>
      <c r="S3982" s="39"/>
      <c r="T3982" s="39"/>
      <c r="U3982" s="39"/>
    </row>
    <row r="3983">
      <c r="A3983" s="40">
        <f t="shared" si="1"/>
        <v>46006</v>
      </c>
      <c r="B3983" s="37" t="str">
        <f t="array" ref="B3983">iferror(xlookup($I3983, 'IMPORT VHC Report'!$E:$E, 'IMPORT VHC Report'!$A:$C), )</f>
        <v/>
      </c>
      <c r="C3983" s="37"/>
      <c r="D3983" s="37"/>
      <c r="E3983" s="38" t="s">
        <v>4787</v>
      </c>
      <c r="F3983" s="38" t="s">
        <v>4769</v>
      </c>
      <c r="G3983" s="38">
        <v>3.61731792475E11</v>
      </c>
      <c r="H3983" s="38" t="s">
        <v>4770</v>
      </c>
      <c r="I3983" s="38" t="s">
        <v>4771</v>
      </c>
      <c r="J3983" s="38" t="s">
        <v>4</v>
      </c>
      <c r="K3983" s="38" t="s">
        <v>126</v>
      </c>
      <c r="L3983" s="41">
        <v>46009.875</v>
      </c>
      <c r="M3983" s="38" t="s">
        <v>123</v>
      </c>
      <c r="N3983" s="41">
        <v>46010.020833333336</v>
      </c>
      <c r="O3983" s="38" t="s">
        <v>123</v>
      </c>
      <c r="P3983" s="38">
        <v>12600.0</v>
      </c>
      <c r="Q3983" s="39"/>
      <c r="R3983" s="39"/>
      <c r="S3983" s="38" t="s">
        <v>458</v>
      </c>
      <c r="T3983" s="39"/>
      <c r="U3983" s="39"/>
    </row>
    <row r="3984">
      <c r="A3984" s="40">
        <f t="shared" si="1"/>
        <v>46006</v>
      </c>
      <c r="B3984" s="37" t="str">
        <f t="array" ref="B3984">iferror(xlookup($I3984, 'IMPORT VHC Report'!$E:$E, 'IMPORT VHC Report'!$A:$C), )</f>
        <v/>
      </c>
      <c r="C3984" s="37"/>
      <c r="D3984" s="37"/>
      <c r="E3984" s="38" t="s">
        <v>4788</v>
      </c>
      <c r="F3984" s="38" t="s">
        <v>4769</v>
      </c>
      <c r="G3984" s="38">
        <v>3.61731792475E11</v>
      </c>
      <c r="H3984" s="38" t="s">
        <v>4770</v>
      </c>
      <c r="I3984" s="38" t="s">
        <v>4771</v>
      </c>
      <c r="J3984" s="38" t="s">
        <v>134</v>
      </c>
      <c r="K3984" s="38" t="s">
        <v>126</v>
      </c>
      <c r="L3984" s="41">
        <v>46010.020833333336</v>
      </c>
      <c r="M3984" s="38" t="s">
        <v>123</v>
      </c>
      <c r="N3984" s="41">
        <v>46010.041666666664</v>
      </c>
      <c r="O3984" s="38" t="s">
        <v>123</v>
      </c>
      <c r="P3984" s="38">
        <v>1800.0</v>
      </c>
      <c r="Q3984" s="39"/>
      <c r="R3984" s="39"/>
      <c r="S3984" s="39"/>
      <c r="T3984" s="39"/>
      <c r="U3984" s="39"/>
    </row>
    <row r="3985">
      <c r="A3985" s="40">
        <f t="shared" si="1"/>
        <v>46006</v>
      </c>
      <c r="B3985" s="37" t="str">
        <f t="array" ref="B3985">iferror(xlookup($I3985, 'IMPORT VHC Report'!$E:$E, 'IMPORT VHC Report'!$A:$C), )</f>
        <v/>
      </c>
      <c r="C3985" s="37"/>
      <c r="D3985" s="37"/>
      <c r="E3985" s="38" t="s">
        <v>4789</v>
      </c>
      <c r="F3985" s="38" t="s">
        <v>4769</v>
      </c>
      <c r="G3985" s="38">
        <v>3.61731792475E11</v>
      </c>
      <c r="H3985" s="38" t="s">
        <v>4770</v>
      </c>
      <c r="I3985" s="38" t="s">
        <v>4771</v>
      </c>
      <c r="J3985" s="38" t="s">
        <v>2135</v>
      </c>
      <c r="K3985" s="38" t="s">
        <v>63</v>
      </c>
      <c r="L3985" s="41">
        <v>46010.666666666664</v>
      </c>
      <c r="M3985" s="38" t="s">
        <v>123</v>
      </c>
      <c r="N3985" s="41">
        <v>46011.041666666664</v>
      </c>
      <c r="O3985" s="38" t="s">
        <v>123</v>
      </c>
      <c r="P3985" s="38">
        <v>32400.0</v>
      </c>
      <c r="Q3985" s="39"/>
      <c r="R3985" s="39"/>
      <c r="S3985" s="39"/>
      <c r="T3985" s="39"/>
      <c r="U3985" s="39"/>
    </row>
    <row r="3986">
      <c r="A3986" s="40">
        <f t="shared" si="1"/>
        <v>46006</v>
      </c>
      <c r="B3986" s="37" t="str">
        <f t="array" ref="B3986">iferror(xlookup($I3986, 'IMPORT VHC Report'!$E:$E, 'IMPORT VHC Report'!$A:$C), )</f>
        <v/>
      </c>
      <c r="C3986" s="37"/>
      <c r="D3986" s="37"/>
      <c r="E3986" s="38" t="s">
        <v>4790</v>
      </c>
      <c r="F3986" s="38" t="s">
        <v>4769</v>
      </c>
      <c r="G3986" s="38">
        <v>3.61731792475E11</v>
      </c>
      <c r="H3986" s="38" t="s">
        <v>4770</v>
      </c>
      <c r="I3986" s="38" t="s">
        <v>4771</v>
      </c>
      <c r="J3986" s="38" t="s">
        <v>134</v>
      </c>
      <c r="K3986" s="38" t="s">
        <v>126</v>
      </c>
      <c r="L3986" s="41">
        <v>46010.75</v>
      </c>
      <c r="M3986" s="38" t="s">
        <v>123</v>
      </c>
      <c r="N3986" s="41">
        <v>46010.760416666664</v>
      </c>
      <c r="O3986" s="38" t="s">
        <v>123</v>
      </c>
      <c r="P3986" s="38">
        <v>900.0</v>
      </c>
      <c r="Q3986" s="39"/>
      <c r="R3986" s="39"/>
      <c r="S3986" s="39"/>
      <c r="T3986" s="39"/>
      <c r="U3986" s="39"/>
    </row>
    <row r="3987">
      <c r="A3987" s="40">
        <f t="shared" si="1"/>
        <v>46006</v>
      </c>
      <c r="B3987" s="37" t="str">
        <f t="array" ref="B3987">iferror(xlookup($I3987, 'IMPORT VHC Report'!$E:$E, 'IMPORT VHC Report'!$A:$C), )</f>
        <v/>
      </c>
      <c r="C3987" s="37"/>
      <c r="D3987" s="37"/>
      <c r="E3987" s="38" t="s">
        <v>4791</v>
      </c>
      <c r="F3987" s="38" t="s">
        <v>4769</v>
      </c>
      <c r="G3987" s="38">
        <v>3.61731792475E11</v>
      </c>
      <c r="H3987" s="38" t="s">
        <v>4770</v>
      </c>
      <c r="I3987" s="38" t="s">
        <v>4771</v>
      </c>
      <c r="J3987" s="38" t="s">
        <v>132</v>
      </c>
      <c r="K3987" s="38" t="s">
        <v>126</v>
      </c>
      <c r="L3987" s="41">
        <v>46010.854166666664</v>
      </c>
      <c r="M3987" s="38" t="s">
        <v>123</v>
      </c>
      <c r="N3987" s="41">
        <v>46010.895833333336</v>
      </c>
      <c r="O3987" s="38" t="s">
        <v>123</v>
      </c>
      <c r="P3987" s="38">
        <v>3600.0</v>
      </c>
      <c r="Q3987" s="39"/>
      <c r="R3987" s="39"/>
      <c r="S3987" s="39"/>
      <c r="T3987" s="39"/>
      <c r="U3987" s="39"/>
    </row>
    <row r="3988">
      <c r="A3988" s="40">
        <f t="shared" si="1"/>
        <v>46006</v>
      </c>
      <c r="B3988" s="37" t="str">
        <f t="array" ref="B3988">iferror(xlookup($I3988, 'IMPORT VHC Report'!$E:$E, 'IMPORT VHC Report'!$A:$C), )</f>
        <v/>
      </c>
      <c r="C3988" s="37"/>
      <c r="D3988" s="37"/>
      <c r="E3988" s="38" t="s">
        <v>4792</v>
      </c>
      <c r="F3988" s="38" t="s">
        <v>4769</v>
      </c>
      <c r="G3988" s="38">
        <v>3.61731792475E11</v>
      </c>
      <c r="H3988" s="38" t="s">
        <v>4770</v>
      </c>
      <c r="I3988" s="38" t="s">
        <v>4771</v>
      </c>
      <c r="J3988" s="38" t="s">
        <v>134</v>
      </c>
      <c r="K3988" s="38" t="s">
        <v>126</v>
      </c>
      <c r="L3988" s="41">
        <v>46010.96875</v>
      </c>
      <c r="M3988" s="38" t="s">
        <v>123</v>
      </c>
      <c r="N3988" s="41">
        <v>46010.979166666664</v>
      </c>
      <c r="O3988" s="38" t="s">
        <v>123</v>
      </c>
      <c r="P3988" s="38">
        <v>900.0</v>
      </c>
      <c r="Q3988" s="39"/>
      <c r="R3988" s="39"/>
      <c r="S3988" s="39"/>
      <c r="T3988" s="39"/>
      <c r="U3988" s="39"/>
    </row>
    <row r="3989">
      <c r="A3989" s="40">
        <f t="shared" si="1"/>
        <v>46006</v>
      </c>
      <c r="B3989" s="37" t="str">
        <f t="array" ref="B3989">iferror(xlookup($I3989, 'IMPORT VHC Report'!$E:$E, 'IMPORT VHC Report'!$A:$C), )</f>
        <v/>
      </c>
      <c r="C3989" s="37"/>
      <c r="D3989" s="37"/>
      <c r="E3989" s="38" t="s">
        <v>4793</v>
      </c>
      <c r="F3989" s="38" t="s">
        <v>4794</v>
      </c>
      <c r="G3989" s="38">
        <v>1.0548588312463E13</v>
      </c>
      <c r="H3989" s="38" t="s">
        <v>4795</v>
      </c>
      <c r="I3989" s="38" t="s">
        <v>4796</v>
      </c>
      <c r="J3989" s="38" t="s">
        <v>125</v>
      </c>
      <c r="K3989" s="38" t="s">
        <v>126</v>
      </c>
      <c r="L3989" s="41">
        <v>46006.666666666664</v>
      </c>
      <c r="M3989" s="38" t="s">
        <v>123</v>
      </c>
      <c r="N3989" s="41">
        <v>46006.677083333336</v>
      </c>
      <c r="O3989" s="38" t="s">
        <v>123</v>
      </c>
      <c r="P3989" s="38">
        <v>900.0</v>
      </c>
      <c r="Q3989" s="39"/>
      <c r="R3989" s="39"/>
      <c r="S3989" s="38" t="s">
        <v>199</v>
      </c>
      <c r="T3989" s="39"/>
      <c r="U3989" s="39"/>
    </row>
    <row r="3990">
      <c r="A3990" s="40">
        <f t="shared" si="1"/>
        <v>46006</v>
      </c>
      <c r="B3990" s="37" t="str">
        <f t="array" ref="B3990">iferror(xlookup($I3990, 'IMPORT VHC Report'!$E:$E, 'IMPORT VHC Report'!$A:$C), )</f>
        <v/>
      </c>
      <c r="C3990" s="37"/>
      <c r="D3990" s="37"/>
      <c r="E3990" s="38" t="s">
        <v>4797</v>
      </c>
      <c r="F3990" s="38" t="s">
        <v>4794</v>
      </c>
      <c r="G3990" s="38">
        <v>1.0548588312463E13</v>
      </c>
      <c r="H3990" s="38" t="s">
        <v>4795</v>
      </c>
      <c r="I3990" s="38" t="s">
        <v>4796</v>
      </c>
      <c r="J3990" s="38" t="s">
        <v>196</v>
      </c>
      <c r="K3990" s="38" t="s">
        <v>63</v>
      </c>
      <c r="L3990" s="41">
        <v>46006.666666666664</v>
      </c>
      <c r="M3990" s="38" t="s">
        <v>123</v>
      </c>
      <c r="N3990" s="41">
        <v>46007.041666666664</v>
      </c>
      <c r="O3990" s="38" t="s">
        <v>123</v>
      </c>
      <c r="P3990" s="38">
        <v>32400.0</v>
      </c>
      <c r="Q3990" s="39"/>
      <c r="R3990" s="39"/>
      <c r="S3990" s="39"/>
      <c r="T3990" s="39"/>
      <c r="U3990" s="39"/>
    </row>
    <row r="3991">
      <c r="A3991" s="40">
        <f t="shared" si="1"/>
        <v>46006</v>
      </c>
      <c r="B3991" s="37" t="str">
        <f t="array" ref="B3991">iferror(xlookup($I3991, 'IMPORT VHC Report'!$E:$E, 'IMPORT VHC Report'!$A:$C), )</f>
        <v/>
      </c>
      <c r="C3991" s="37"/>
      <c r="D3991" s="37"/>
      <c r="E3991" s="38" t="s">
        <v>4798</v>
      </c>
      <c r="F3991" s="38" t="s">
        <v>4794</v>
      </c>
      <c r="G3991" s="38">
        <v>1.0548588312463E13</v>
      </c>
      <c r="H3991" s="38" t="s">
        <v>4795</v>
      </c>
      <c r="I3991" s="38" t="s">
        <v>4796</v>
      </c>
      <c r="J3991" s="38" t="s">
        <v>132</v>
      </c>
      <c r="K3991" s="38" t="s">
        <v>126</v>
      </c>
      <c r="L3991" s="41">
        <v>46006.90625</v>
      </c>
      <c r="M3991" s="38" t="s">
        <v>123</v>
      </c>
      <c r="N3991" s="41">
        <v>46006.947916666664</v>
      </c>
      <c r="O3991" s="38" t="s">
        <v>123</v>
      </c>
      <c r="P3991" s="38">
        <v>3600.0</v>
      </c>
      <c r="Q3991" s="39"/>
      <c r="R3991" s="39"/>
      <c r="S3991" s="39"/>
      <c r="T3991" s="39"/>
      <c r="U3991" s="39"/>
    </row>
    <row r="3992">
      <c r="A3992" s="40">
        <f t="shared" si="1"/>
        <v>46006</v>
      </c>
      <c r="B3992" s="37" t="str">
        <f t="array" ref="B3992">iferror(xlookup($I3992, 'IMPORT VHC Report'!$E:$E, 'IMPORT VHC Report'!$A:$C), )</f>
        <v/>
      </c>
      <c r="C3992" s="37"/>
      <c r="D3992" s="37"/>
      <c r="E3992" s="38" t="s">
        <v>4799</v>
      </c>
      <c r="F3992" s="38" t="s">
        <v>4794</v>
      </c>
      <c r="G3992" s="38">
        <v>1.0548588312463E13</v>
      </c>
      <c r="H3992" s="38" t="s">
        <v>4795</v>
      </c>
      <c r="I3992" s="38" t="s">
        <v>4796</v>
      </c>
      <c r="J3992" s="38" t="s">
        <v>134</v>
      </c>
      <c r="K3992" s="38" t="s">
        <v>126</v>
      </c>
      <c r="L3992" s="41">
        <v>46006.947916666664</v>
      </c>
      <c r="M3992" s="38" t="s">
        <v>123</v>
      </c>
      <c r="N3992" s="41">
        <v>46006.96875</v>
      </c>
      <c r="O3992" s="38" t="s">
        <v>123</v>
      </c>
      <c r="P3992" s="38">
        <v>1800.0</v>
      </c>
      <c r="Q3992" s="39"/>
      <c r="R3992" s="39"/>
      <c r="S3992" s="38" t="s">
        <v>4800</v>
      </c>
      <c r="T3992" s="39"/>
      <c r="U3992" s="39"/>
    </row>
    <row r="3993">
      <c r="A3993" s="40">
        <f t="shared" si="1"/>
        <v>46006</v>
      </c>
      <c r="B3993" s="37" t="str">
        <f t="array" ref="B3993">iferror(xlookup($I3993, 'IMPORT VHC Report'!$E:$E, 'IMPORT VHC Report'!$A:$C), )</f>
        <v/>
      </c>
      <c r="C3993" s="37"/>
      <c r="D3993" s="37"/>
      <c r="E3993" s="38" t="s">
        <v>4801</v>
      </c>
      <c r="F3993" s="38" t="s">
        <v>4794</v>
      </c>
      <c r="G3993" s="38">
        <v>1.0548588312463E13</v>
      </c>
      <c r="H3993" s="38" t="s">
        <v>4795</v>
      </c>
      <c r="I3993" s="38" t="s">
        <v>4796</v>
      </c>
      <c r="J3993" s="38" t="s">
        <v>125</v>
      </c>
      <c r="K3993" s="38" t="s">
        <v>126</v>
      </c>
      <c r="L3993" s="41">
        <v>46007.666666666664</v>
      </c>
      <c r="M3993" s="38" t="s">
        <v>123</v>
      </c>
      <c r="N3993" s="41">
        <v>46007.677083333336</v>
      </c>
      <c r="O3993" s="38" t="s">
        <v>123</v>
      </c>
      <c r="P3993" s="38">
        <v>900.0</v>
      </c>
      <c r="Q3993" s="39"/>
      <c r="R3993" s="39"/>
      <c r="S3993" s="38" t="s">
        <v>199</v>
      </c>
      <c r="T3993" s="39"/>
      <c r="U3993" s="39"/>
    </row>
    <row r="3994">
      <c r="A3994" s="40">
        <f t="shared" si="1"/>
        <v>46006</v>
      </c>
      <c r="B3994" s="37" t="str">
        <f t="array" ref="B3994">iferror(xlookup($I3994, 'IMPORT VHC Report'!$E:$E, 'IMPORT VHC Report'!$A:$C), )</f>
        <v/>
      </c>
      <c r="C3994" s="37"/>
      <c r="D3994" s="37"/>
      <c r="E3994" s="38" t="s">
        <v>4802</v>
      </c>
      <c r="F3994" s="38" t="s">
        <v>4794</v>
      </c>
      <c r="G3994" s="38">
        <v>1.0548588312463E13</v>
      </c>
      <c r="H3994" s="38" t="s">
        <v>4795</v>
      </c>
      <c r="I3994" s="38" t="s">
        <v>4796</v>
      </c>
      <c r="J3994" s="38" t="s">
        <v>196</v>
      </c>
      <c r="K3994" s="38" t="s">
        <v>63</v>
      </c>
      <c r="L3994" s="41">
        <v>46007.666666666664</v>
      </c>
      <c r="M3994" s="38" t="s">
        <v>123</v>
      </c>
      <c r="N3994" s="41">
        <v>46008.041666666664</v>
      </c>
      <c r="O3994" s="38" t="s">
        <v>123</v>
      </c>
      <c r="P3994" s="38">
        <v>32400.0</v>
      </c>
      <c r="Q3994" s="39"/>
      <c r="R3994" s="39"/>
      <c r="S3994" s="39"/>
      <c r="T3994" s="39"/>
      <c r="U3994" s="39"/>
    </row>
    <row r="3995">
      <c r="A3995" s="40">
        <f t="shared" si="1"/>
        <v>46006</v>
      </c>
      <c r="B3995" s="37" t="str">
        <f t="array" ref="B3995">iferror(xlookup($I3995, 'IMPORT VHC Report'!$E:$E, 'IMPORT VHC Report'!$A:$C), )</f>
        <v/>
      </c>
      <c r="C3995" s="37"/>
      <c r="D3995" s="37"/>
      <c r="E3995" s="38" t="s">
        <v>4803</v>
      </c>
      <c r="F3995" s="38" t="s">
        <v>4794</v>
      </c>
      <c r="G3995" s="38">
        <v>1.0548588312463E13</v>
      </c>
      <c r="H3995" s="38" t="s">
        <v>4795</v>
      </c>
      <c r="I3995" s="38" t="s">
        <v>4796</v>
      </c>
      <c r="J3995" s="38" t="s">
        <v>134</v>
      </c>
      <c r="K3995" s="38" t="s">
        <v>126</v>
      </c>
      <c r="L3995" s="41">
        <v>46007.9375</v>
      </c>
      <c r="M3995" s="38" t="s">
        <v>123</v>
      </c>
      <c r="N3995" s="41">
        <v>46007.958333333336</v>
      </c>
      <c r="O3995" s="38" t="s">
        <v>123</v>
      </c>
      <c r="P3995" s="38">
        <v>1800.0</v>
      </c>
      <c r="Q3995" s="39"/>
      <c r="R3995" s="39"/>
      <c r="S3995" s="39"/>
      <c r="T3995" s="39"/>
      <c r="U3995" s="39"/>
    </row>
    <row r="3996">
      <c r="A3996" s="40">
        <f t="shared" si="1"/>
        <v>46006</v>
      </c>
      <c r="B3996" s="37" t="str">
        <f t="array" ref="B3996">iferror(xlookup($I3996, 'IMPORT VHC Report'!$E:$E, 'IMPORT VHC Report'!$A:$C), )</f>
        <v/>
      </c>
      <c r="C3996" s="37"/>
      <c r="D3996" s="37"/>
      <c r="E3996" s="38" t="s">
        <v>4804</v>
      </c>
      <c r="F3996" s="38" t="s">
        <v>4794</v>
      </c>
      <c r="G3996" s="38">
        <v>1.0548588312463E13</v>
      </c>
      <c r="H3996" s="38" t="s">
        <v>4795</v>
      </c>
      <c r="I3996" s="38" t="s">
        <v>4796</v>
      </c>
      <c r="J3996" s="38" t="s">
        <v>132</v>
      </c>
      <c r="K3996" s="38" t="s">
        <v>126</v>
      </c>
      <c r="L3996" s="41">
        <v>46007.958333333336</v>
      </c>
      <c r="M3996" s="38" t="s">
        <v>123</v>
      </c>
      <c r="N3996" s="41">
        <v>46008.0</v>
      </c>
      <c r="O3996" s="38" t="s">
        <v>123</v>
      </c>
      <c r="P3996" s="38">
        <v>3600.0</v>
      </c>
      <c r="Q3996" s="39"/>
      <c r="R3996" s="39"/>
      <c r="S3996" s="38" t="s">
        <v>4805</v>
      </c>
      <c r="T3996" s="39"/>
      <c r="U3996" s="39"/>
    </row>
    <row r="3997">
      <c r="A3997" s="40">
        <f t="shared" si="1"/>
        <v>46006</v>
      </c>
      <c r="B3997" s="37" t="str">
        <f t="array" ref="B3997">iferror(xlookup($I3997, 'IMPORT VHC Report'!$E:$E, 'IMPORT VHC Report'!$A:$C), )</f>
        <v/>
      </c>
      <c r="C3997" s="37"/>
      <c r="D3997" s="37"/>
      <c r="E3997" s="38" t="s">
        <v>4806</v>
      </c>
      <c r="F3997" s="38" t="s">
        <v>4794</v>
      </c>
      <c r="G3997" s="38">
        <v>1.0548588312463E13</v>
      </c>
      <c r="H3997" s="38" t="s">
        <v>4795</v>
      </c>
      <c r="I3997" s="38" t="s">
        <v>4796</v>
      </c>
      <c r="J3997" s="38" t="s">
        <v>125</v>
      </c>
      <c r="K3997" s="38" t="s">
        <v>126</v>
      </c>
      <c r="L3997" s="41">
        <v>46008.666666666664</v>
      </c>
      <c r="M3997" s="38" t="s">
        <v>123</v>
      </c>
      <c r="N3997" s="41">
        <v>46008.677083333336</v>
      </c>
      <c r="O3997" s="38" t="s">
        <v>123</v>
      </c>
      <c r="P3997" s="38">
        <v>900.0</v>
      </c>
      <c r="Q3997" s="39"/>
      <c r="R3997" s="39"/>
      <c r="S3997" s="38" t="s">
        <v>199</v>
      </c>
      <c r="T3997" s="39"/>
      <c r="U3997" s="39"/>
    </row>
    <row r="3998">
      <c r="A3998" s="40">
        <f t="shared" si="1"/>
        <v>46006</v>
      </c>
      <c r="B3998" s="37" t="str">
        <f t="array" ref="B3998">iferror(xlookup($I3998, 'IMPORT VHC Report'!$E:$E, 'IMPORT VHC Report'!$A:$C), )</f>
        <v/>
      </c>
      <c r="C3998" s="37"/>
      <c r="D3998" s="37"/>
      <c r="E3998" s="38" t="s">
        <v>4807</v>
      </c>
      <c r="F3998" s="38" t="s">
        <v>4794</v>
      </c>
      <c r="G3998" s="38">
        <v>1.0548588312463E13</v>
      </c>
      <c r="H3998" s="38" t="s">
        <v>4795</v>
      </c>
      <c r="I3998" s="38" t="s">
        <v>4796</v>
      </c>
      <c r="J3998" s="38" t="s">
        <v>196</v>
      </c>
      <c r="K3998" s="38" t="s">
        <v>63</v>
      </c>
      <c r="L3998" s="41">
        <v>46008.666666666664</v>
      </c>
      <c r="M3998" s="38" t="s">
        <v>123</v>
      </c>
      <c r="N3998" s="41">
        <v>46009.041666666664</v>
      </c>
      <c r="O3998" s="38" t="s">
        <v>123</v>
      </c>
      <c r="P3998" s="38">
        <v>32400.0</v>
      </c>
      <c r="Q3998" s="39"/>
      <c r="R3998" s="39"/>
      <c r="S3998" s="39"/>
      <c r="T3998" s="39"/>
      <c r="U3998" s="39"/>
    </row>
    <row r="3999">
      <c r="A3999" s="40">
        <f t="shared" si="1"/>
        <v>46006</v>
      </c>
      <c r="B3999" s="37" t="str">
        <f t="array" ref="B3999">iferror(xlookup($I3999, 'IMPORT VHC Report'!$E:$E, 'IMPORT VHC Report'!$A:$C), )</f>
        <v/>
      </c>
      <c r="C3999" s="37"/>
      <c r="D3999" s="37"/>
      <c r="E3999" s="38" t="s">
        <v>4808</v>
      </c>
      <c r="F3999" s="38" t="s">
        <v>4794</v>
      </c>
      <c r="G3999" s="38">
        <v>1.0548588312463E13</v>
      </c>
      <c r="H3999" s="38" t="s">
        <v>4795</v>
      </c>
      <c r="I3999" s="38" t="s">
        <v>4796</v>
      </c>
      <c r="J3999" s="38" t="s">
        <v>136</v>
      </c>
      <c r="K3999" s="38" t="s">
        <v>126</v>
      </c>
      <c r="L3999" s="41">
        <v>46008.87291666667</v>
      </c>
      <c r="M3999" s="38" t="s">
        <v>123</v>
      </c>
      <c r="N3999" s="41">
        <v>46008.895833333336</v>
      </c>
      <c r="O3999" s="38" t="s">
        <v>123</v>
      </c>
      <c r="P3999" s="38">
        <v>1980.0</v>
      </c>
      <c r="Q3999" s="39"/>
      <c r="R3999" s="39"/>
      <c r="S3999" s="38" t="s">
        <v>4809</v>
      </c>
      <c r="T3999" s="39"/>
      <c r="U3999" s="39"/>
    </row>
    <row r="4000">
      <c r="A4000" s="40">
        <f t="shared" si="1"/>
        <v>46006</v>
      </c>
      <c r="B4000" s="37" t="str">
        <f t="array" ref="B4000">iferror(xlookup($I4000, 'IMPORT VHC Report'!$E:$E, 'IMPORT VHC Report'!$A:$C), )</f>
        <v/>
      </c>
      <c r="C4000" s="37"/>
      <c r="D4000" s="37"/>
      <c r="E4000" s="38" t="s">
        <v>4810</v>
      </c>
      <c r="F4000" s="38" t="s">
        <v>4794</v>
      </c>
      <c r="G4000" s="38">
        <v>1.0548588312463E13</v>
      </c>
      <c r="H4000" s="38" t="s">
        <v>4795</v>
      </c>
      <c r="I4000" s="38" t="s">
        <v>4796</v>
      </c>
      <c r="J4000" s="38" t="s">
        <v>132</v>
      </c>
      <c r="K4000" s="38" t="s">
        <v>126</v>
      </c>
      <c r="L4000" s="41">
        <v>46008.94097222222</v>
      </c>
      <c r="M4000" s="38" t="s">
        <v>123</v>
      </c>
      <c r="N4000" s="41">
        <v>46008.98263888889</v>
      </c>
      <c r="O4000" s="38" t="s">
        <v>123</v>
      </c>
      <c r="P4000" s="38">
        <v>3600.0</v>
      </c>
      <c r="Q4000" s="39"/>
      <c r="R4000" s="39"/>
      <c r="S4000" s="38" t="s">
        <v>4811</v>
      </c>
      <c r="T4000" s="39"/>
      <c r="U4000" s="39"/>
    </row>
    <row r="4001">
      <c r="A4001" s="40">
        <f t="shared" si="1"/>
        <v>46006</v>
      </c>
      <c r="B4001" s="37" t="str">
        <f t="array" ref="B4001">iferror(xlookup($I4001, 'IMPORT VHC Report'!$E:$E, 'IMPORT VHC Report'!$A:$C), )</f>
        <v/>
      </c>
      <c r="C4001" s="37"/>
      <c r="D4001" s="37"/>
      <c r="E4001" s="38" t="s">
        <v>4812</v>
      </c>
      <c r="F4001" s="38" t="s">
        <v>4794</v>
      </c>
      <c r="G4001" s="38">
        <v>1.0548588312463E13</v>
      </c>
      <c r="H4001" s="38" t="s">
        <v>4795</v>
      </c>
      <c r="I4001" s="38" t="s">
        <v>4796</v>
      </c>
      <c r="J4001" s="38" t="s">
        <v>134</v>
      </c>
      <c r="K4001" s="38" t="s">
        <v>126</v>
      </c>
      <c r="L4001" s="41">
        <v>46008.98263888889</v>
      </c>
      <c r="M4001" s="38" t="s">
        <v>123</v>
      </c>
      <c r="N4001" s="41">
        <v>46009.00347222222</v>
      </c>
      <c r="O4001" s="38" t="s">
        <v>123</v>
      </c>
      <c r="P4001" s="38">
        <v>1800.0</v>
      </c>
      <c r="Q4001" s="39"/>
      <c r="R4001" s="39"/>
      <c r="S4001" s="38" t="s">
        <v>4813</v>
      </c>
      <c r="T4001" s="39"/>
      <c r="U4001" s="39"/>
    </row>
    <row r="4002">
      <c r="A4002" s="40">
        <f t="shared" si="1"/>
        <v>46006</v>
      </c>
      <c r="B4002" s="37" t="str">
        <f t="array" ref="B4002">iferror(xlookup($I4002, 'IMPORT VHC Report'!$E:$E, 'IMPORT VHC Report'!$A:$C), )</f>
        <v/>
      </c>
      <c r="C4002" s="37"/>
      <c r="D4002" s="37"/>
      <c r="E4002" s="38" t="s">
        <v>4814</v>
      </c>
      <c r="F4002" s="38" t="s">
        <v>4794</v>
      </c>
      <c r="G4002" s="38">
        <v>1.0548588312463E13</v>
      </c>
      <c r="H4002" s="38" t="s">
        <v>4795</v>
      </c>
      <c r="I4002" s="38" t="s">
        <v>4796</v>
      </c>
      <c r="J4002" s="38" t="s">
        <v>125</v>
      </c>
      <c r="K4002" s="38" t="s">
        <v>126</v>
      </c>
      <c r="L4002" s="41">
        <v>46009.666666666664</v>
      </c>
      <c r="M4002" s="38" t="s">
        <v>123</v>
      </c>
      <c r="N4002" s="41">
        <v>46009.677083333336</v>
      </c>
      <c r="O4002" s="38" t="s">
        <v>123</v>
      </c>
      <c r="P4002" s="38">
        <v>900.0</v>
      </c>
      <c r="Q4002" s="39"/>
      <c r="R4002" s="39"/>
      <c r="S4002" s="38" t="s">
        <v>199</v>
      </c>
      <c r="T4002" s="39"/>
      <c r="U4002" s="39"/>
    </row>
    <row r="4003">
      <c r="A4003" s="40">
        <f t="shared" si="1"/>
        <v>46006</v>
      </c>
      <c r="B4003" s="37" t="str">
        <f t="array" ref="B4003">iferror(xlookup($I4003, 'IMPORT VHC Report'!$E:$E, 'IMPORT VHC Report'!$A:$C), )</f>
        <v/>
      </c>
      <c r="C4003" s="37"/>
      <c r="D4003" s="37"/>
      <c r="E4003" s="38" t="s">
        <v>4815</v>
      </c>
      <c r="F4003" s="38" t="s">
        <v>4794</v>
      </c>
      <c r="G4003" s="38">
        <v>1.0548588312463E13</v>
      </c>
      <c r="H4003" s="38" t="s">
        <v>4795</v>
      </c>
      <c r="I4003" s="38" t="s">
        <v>4796</v>
      </c>
      <c r="J4003" s="38" t="s">
        <v>196</v>
      </c>
      <c r="K4003" s="38" t="s">
        <v>63</v>
      </c>
      <c r="L4003" s="41">
        <v>46009.666666666664</v>
      </c>
      <c r="M4003" s="38" t="s">
        <v>123</v>
      </c>
      <c r="N4003" s="41">
        <v>46010.041666666664</v>
      </c>
      <c r="O4003" s="38" t="s">
        <v>123</v>
      </c>
      <c r="P4003" s="38">
        <v>32400.0</v>
      </c>
      <c r="Q4003" s="39"/>
      <c r="R4003" s="39"/>
      <c r="S4003" s="39"/>
      <c r="T4003" s="39"/>
      <c r="U4003" s="39"/>
    </row>
    <row r="4004">
      <c r="A4004" s="40">
        <f t="shared" si="1"/>
        <v>46006</v>
      </c>
      <c r="B4004" s="37" t="str">
        <f t="array" ref="B4004">iferror(xlookup($I4004, 'IMPORT VHC Report'!$E:$E, 'IMPORT VHC Report'!$A:$C), )</f>
        <v/>
      </c>
      <c r="C4004" s="37"/>
      <c r="D4004" s="37"/>
      <c r="E4004" s="38" t="s">
        <v>4816</v>
      </c>
      <c r="F4004" s="38" t="s">
        <v>4794</v>
      </c>
      <c r="G4004" s="38">
        <v>1.0548588312463E13</v>
      </c>
      <c r="H4004" s="38" t="s">
        <v>4795</v>
      </c>
      <c r="I4004" s="38" t="s">
        <v>4796</v>
      </c>
      <c r="J4004" s="38" t="s">
        <v>134</v>
      </c>
      <c r="K4004" s="38" t="s">
        <v>126</v>
      </c>
      <c r="L4004" s="41">
        <v>46009.770833333336</v>
      </c>
      <c r="M4004" s="38" t="s">
        <v>123</v>
      </c>
      <c r="N4004" s="41">
        <v>46009.791666666664</v>
      </c>
      <c r="O4004" s="38" t="s">
        <v>123</v>
      </c>
      <c r="P4004" s="38">
        <v>1800.0</v>
      </c>
      <c r="Q4004" s="39"/>
      <c r="R4004" s="39"/>
      <c r="S4004" s="39"/>
      <c r="T4004" s="39"/>
      <c r="U4004" s="39"/>
    </row>
    <row r="4005">
      <c r="A4005" s="40">
        <f t="shared" si="1"/>
        <v>46006</v>
      </c>
      <c r="B4005" s="37" t="str">
        <f t="array" ref="B4005">iferror(xlookup($I4005, 'IMPORT VHC Report'!$E:$E, 'IMPORT VHC Report'!$A:$C), )</f>
        <v/>
      </c>
      <c r="C4005" s="37"/>
      <c r="D4005" s="37"/>
      <c r="E4005" s="38" t="s">
        <v>4817</v>
      </c>
      <c r="F4005" s="38" t="s">
        <v>4794</v>
      </c>
      <c r="G4005" s="38">
        <v>1.0548588312463E13</v>
      </c>
      <c r="H4005" s="38" t="s">
        <v>4795</v>
      </c>
      <c r="I4005" s="38" t="s">
        <v>4796</v>
      </c>
      <c r="J4005" s="38" t="s">
        <v>132</v>
      </c>
      <c r="K4005" s="38" t="s">
        <v>126</v>
      </c>
      <c r="L4005" s="41">
        <v>46009.916666666664</v>
      </c>
      <c r="M4005" s="38" t="s">
        <v>123</v>
      </c>
      <c r="N4005" s="41">
        <v>46009.958333333336</v>
      </c>
      <c r="O4005" s="38" t="s">
        <v>123</v>
      </c>
      <c r="P4005" s="38">
        <v>3600.0</v>
      </c>
      <c r="Q4005" s="39"/>
      <c r="R4005" s="39"/>
      <c r="S4005" s="39"/>
      <c r="T4005" s="39"/>
      <c r="U4005" s="39"/>
    </row>
    <row r="4006">
      <c r="A4006" s="40">
        <f t="shared" si="1"/>
        <v>46006</v>
      </c>
      <c r="B4006" s="37" t="str">
        <f t="array" ref="B4006">iferror(xlookup($I4006, 'IMPORT VHC Report'!$E:$E, 'IMPORT VHC Report'!$A:$C), )</f>
        <v/>
      </c>
      <c r="C4006" s="37"/>
      <c r="D4006" s="37"/>
      <c r="E4006" s="38" t="s">
        <v>4818</v>
      </c>
      <c r="F4006" s="38" t="s">
        <v>4794</v>
      </c>
      <c r="G4006" s="38">
        <v>1.0548588312463E13</v>
      </c>
      <c r="H4006" s="38" t="s">
        <v>4795</v>
      </c>
      <c r="I4006" s="38" t="s">
        <v>4796</v>
      </c>
      <c r="J4006" s="38" t="s">
        <v>125</v>
      </c>
      <c r="K4006" s="38" t="s">
        <v>126</v>
      </c>
      <c r="L4006" s="41">
        <v>46010.666666666664</v>
      </c>
      <c r="M4006" s="38" t="s">
        <v>123</v>
      </c>
      <c r="N4006" s="41">
        <v>46010.677083333336</v>
      </c>
      <c r="O4006" s="38" t="s">
        <v>123</v>
      </c>
      <c r="P4006" s="38">
        <v>900.0</v>
      </c>
      <c r="Q4006" s="39"/>
      <c r="R4006" s="39"/>
      <c r="S4006" s="38" t="s">
        <v>199</v>
      </c>
      <c r="T4006" s="39"/>
      <c r="U4006" s="39"/>
    </row>
    <row r="4007">
      <c r="A4007" s="40">
        <f t="shared" si="1"/>
        <v>46006</v>
      </c>
      <c r="B4007" s="37" t="str">
        <f t="array" ref="B4007">iferror(xlookup($I4007, 'IMPORT VHC Report'!$E:$E, 'IMPORT VHC Report'!$A:$C), )</f>
        <v/>
      </c>
      <c r="C4007" s="37"/>
      <c r="D4007" s="37"/>
      <c r="E4007" s="38" t="s">
        <v>4819</v>
      </c>
      <c r="F4007" s="38" t="s">
        <v>4794</v>
      </c>
      <c r="G4007" s="38">
        <v>1.0548588312463E13</v>
      </c>
      <c r="H4007" s="38" t="s">
        <v>4795</v>
      </c>
      <c r="I4007" s="38" t="s">
        <v>4796</v>
      </c>
      <c r="J4007" s="38" t="s">
        <v>196</v>
      </c>
      <c r="K4007" s="38" t="s">
        <v>63</v>
      </c>
      <c r="L4007" s="41">
        <v>46010.666666666664</v>
      </c>
      <c r="M4007" s="38" t="s">
        <v>123</v>
      </c>
      <c r="N4007" s="41">
        <v>46011.041666666664</v>
      </c>
      <c r="O4007" s="38" t="s">
        <v>123</v>
      </c>
      <c r="P4007" s="38">
        <v>32400.0</v>
      </c>
      <c r="Q4007" s="39"/>
      <c r="R4007" s="39"/>
      <c r="S4007" s="39"/>
      <c r="T4007" s="39"/>
      <c r="U4007" s="39"/>
    </row>
    <row r="4008">
      <c r="A4008" s="40">
        <f t="shared" si="1"/>
        <v>46006</v>
      </c>
      <c r="B4008" s="37" t="str">
        <f t="array" ref="B4008">iferror(xlookup($I4008, 'IMPORT VHC Report'!$E:$E, 'IMPORT VHC Report'!$A:$C), )</f>
        <v/>
      </c>
      <c r="C4008" s="37"/>
      <c r="D4008" s="37"/>
      <c r="E4008" s="38" t="s">
        <v>4820</v>
      </c>
      <c r="F4008" s="38" t="s">
        <v>4794</v>
      </c>
      <c r="G4008" s="38">
        <v>1.0548588312463E13</v>
      </c>
      <c r="H4008" s="38" t="s">
        <v>4795</v>
      </c>
      <c r="I4008" s="38" t="s">
        <v>4796</v>
      </c>
      <c r="J4008" s="38" t="s">
        <v>132</v>
      </c>
      <c r="K4008" s="38" t="s">
        <v>126</v>
      </c>
      <c r="L4008" s="41">
        <v>46010.916666666664</v>
      </c>
      <c r="M4008" s="38" t="s">
        <v>123</v>
      </c>
      <c r="N4008" s="41">
        <v>46010.958333333336</v>
      </c>
      <c r="O4008" s="38" t="s">
        <v>123</v>
      </c>
      <c r="P4008" s="38">
        <v>3600.0</v>
      </c>
      <c r="Q4008" s="39"/>
      <c r="R4008" s="39"/>
      <c r="S4008" s="39"/>
      <c r="T4008" s="39"/>
      <c r="U4008" s="39"/>
    </row>
    <row r="4009">
      <c r="A4009" s="40">
        <f t="shared" si="1"/>
        <v>46006</v>
      </c>
      <c r="B4009" s="37" t="str">
        <f t="array" ref="B4009">iferror(xlookup($I4009, 'IMPORT VHC Report'!$E:$E, 'IMPORT VHC Report'!$A:$C), )</f>
        <v/>
      </c>
      <c r="C4009" s="37"/>
      <c r="D4009" s="37"/>
      <c r="E4009" s="38" t="s">
        <v>4821</v>
      </c>
      <c r="F4009" s="38" t="s">
        <v>4794</v>
      </c>
      <c r="G4009" s="38">
        <v>1.0548588312463E13</v>
      </c>
      <c r="H4009" s="38" t="s">
        <v>4795</v>
      </c>
      <c r="I4009" s="38" t="s">
        <v>4796</v>
      </c>
      <c r="J4009" s="38" t="s">
        <v>134</v>
      </c>
      <c r="K4009" s="38" t="s">
        <v>126</v>
      </c>
      <c r="L4009" s="41">
        <v>46010.958333333336</v>
      </c>
      <c r="M4009" s="38" t="s">
        <v>123</v>
      </c>
      <c r="N4009" s="41">
        <v>46010.979166666664</v>
      </c>
      <c r="O4009" s="38" t="s">
        <v>123</v>
      </c>
      <c r="P4009" s="38">
        <v>1800.0</v>
      </c>
      <c r="Q4009" s="39"/>
      <c r="R4009" s="39"/>
      <c r="S4009" s="38" t="s">
        <v>4822</v>
      </c>
      <c r="T4009" s="39"/>
      <c r="U4009" s="39"/>
    </row>
    <row r="4010">
      <c r="A4010" s="40">
        <f t="shared" si="1"/>
        <v>46006</v>
      </c>
      <c r="B4010" s="37" t="str">
        <f t="array" ref="B4010">iferror(xlookup($I4010, 'IMPORT VHC Report'!$E:$E, 'IMPORT VHC Report'!$A:$C), )</f>
        <v/>
      </c>
      <c r="C4010" s="37"/>
      <c r="D4010" s="37"/>
      <c r="E4010" s="38" t="s">
        <v>4823</v>
      </c>
      <c r="F4010" s="38" t="s">
        <v>4824</v>
      </c>
      <c r="G4010" s="38">
        <v>3.61731348815E11</v>
      </c>
      <c r="H4010" s="38" t="s">
        <v>4825</v>
      </c>
      <c r="I4010" s="38" t="s">
        <v>4826</v>
      </c>
      <c r="J4010" s="38" t="s">
        <v>125</v>
      </c>
      <c r="K4010" s="38" t="s">
        <v>126</v>
      </c>
      <c r="L4010" s="41">
        <v>46006.666666666664</v>
      </c>
      <c r="M4010" s="38" t="s">
        <v>123</v>
      </c>
      <c r="N4010" s="41">
        <v>46006.75</v>
      </c>
      <c r="O4010" s="38" t="s">
        <v>123</v>
      </c>
      <c r="P4010" s="38">
        <v>7200.0</v>
      </c>
      <c r="Q4010" s="39"/>
      <c r="R4010" s="39"/>
      <c r="S4010" s="39"/>
      <c r="T4010" s="39"/>
      <c r="U4010" s="39"/>
    </row>
    <row r="4011">
      <c r="A4011" s="40">
        <f t="shared" si="1"/>
        <v>46006</v>
      </c>
      <c r="B4011" s="37" t="str">
        <f t="array" ref="B4011">iferror(xlookup($I4011, 'IMPORT VHC Report'!$E:$E, 'IMPORT VHC Report'!$A:$C), )</f>
        <v/>
      </c>
      <c r="C4011" s="37"/>
      <c r="D4011" s="37"/>
      <c r="E4011" s="38" t="s">
        <v>4827</v>
      </c>
      <c r="F4011" s="38" t="s">
        <v>4824</v>
      </c>
      <c r="G4011" s="38">
        <v>3.61731348815E11</v>
      </c>
      <c r="H4011" s="38" t="s">
        <v>4825</v>
      </c>
      <c r="I4011" s="38" t="s">
        <v>4826</v>
      </c>
      <c r="J4011" s="38" t="s">
        <v>300</v>
      </c>
      <c r="K4011" s="38" t="s">
        <v>63</v>
      </c>
      <c r="L4011" s="41">
        <v>46006.666666666664</v>
      </c>
      <c r="M4011" s="38" t="s">
        <v>123</v>
      </c>
      <c r="N4011" s="41">
        <v>46007.041666666664</v>
      </c>
      <c r="O4011" s="38" t="s">
        <v>123</v>
      </c>
      <c r="P4011" s="38">
        <v>32400.0</v>
      </c>
      <c r="Q4011" s="39"/>
      <c r="R4011" s="39"/>
      <c r="S4011" s="39"/>
      <c r="T4011" s="39"/>
      <c r="U4011" s="39"/>
    </row>
    <row r="4012">
      <c r="A4012" s="40">
        <f t="shared" si="1"/>
        <v>46006</v>
      </c>
      <c r="B4012" s="37" t="str">
        <f t="array" ref="B4012">iferror(xlookup($I4012, 'IMPORT VHC Report'!$E:$E, 'IMPORT VHC Report'!$A:$C), )</f>
        <v/>
      </c>
      <c r="C4012" s="37"/>
      <c r="D4012" s="37"/>
      <c r="E4012" s="38" t="s">
        <v>4828</v>
      </c>
      <c r="F4012" s="38" t="s">
        <v>4824</v>
      </c>
      <c r="G4012" s="38">
        <v>3.61731348815E11</v>
      </c>
      <c r="H4012" s="38" t="s">
        <v>4825</v>
      </c>
      <c r="I4012" s="38" t="s">
        <v>4826</v>
      </c>
      <c r="J4012" s="38" t="s">
        <v>134</v>
      </c>
      <c r="K4012" s="38" t="s">
        <v>126</v>
      </c>
      <c r="L4012" s="41">
        <v>46006.75</v>
      </c>
      <c r="M4012" s="38" t="s">
        <v>123</v>
      </c>
      <c r="N4012" s="41">
        <v>46006.760416666664</v>
      </c>
      <c r="O4012" s="38" t="s">
        <v>123</v>
      </c>
      <c r="P4012" s="38">
        <v>900.0</v>
      </c>
      <c r="Q4012" s="39"/>
      <c r="R4012" s="39"/>
      <c r="S4012" s="39"/>
      <c r="T4012" s="39"/>
      <c r="U4012" s="39"/>
    </row>
    <row r="4013">
      <c r="A4013" s="40">
        <f t="shared" si="1"/>
        <v>46006</v>
      </c>
      <c r="B4013" s="37" t="str">
        <f t="array" ref="B4013">iferror(xlookup($I4013, 'IMPORT VHC Report'!$E:$E, 'IMPORT VHC Report'!$A:$C), )</f>
        <v/>
      </c>
      <c r="C4013" s="37"/>
      <c r="D4013" s="37"/>
      <c r="E4013" s="38" t="s">
        <v>4829</v>
      </c>
      <c r="F4013" s="38" t="s">
        <v>4824</v>
      </c>
      <c r="G4013" s="38">
        <v>3.61731348815E11</v>
      </c>
      <c r="H4013" s="38" t="s">
        <v>4825</v>
      </c>
      <c r="I4013" s="38" t="s">
        <v>4826</v>
      </c>
      <c r="J4013" s="38" t="s">
        <v>125</v>
      </c>
      <c r="K4013" s="38" t="s">
        <v>126</v>
      </c>
      <c r="L4013" s="41">
        <v>46006.760416666664</v>
      </c>
      <c r="M4013" s="38" t="s">
        <v>123</v>
      </c>
      <c r="N4013" s="41">
        <v>46006.8125</v>
      </c>
      <c r="O4013" s="38" t="s">
        <v>123</v>
      </c>
      <c r="P4013" s="38">
        <v>4500.0</v>
      </c>
      <c r="Q4013" s="39"/>
      <c r="R4013" s="39"/>
      <c r="S4013" s="39"/>
      <c r="T4013" s="39"/>
      <c r="U4013" s="39"/>
    </row>
    <row r="4014">
      <c r="A4014" s="40">
        <f t="shared" si="1"/>
        <v>46006</v>
      </c>
      <c r="B4014" s="37" t="str">
        <f t="array" ref="B4014">iferror(xlookup($I4014, 'IMPORT VHC Report'!$E:$E, 'IMPORT VHC Report'!$A:$C), )</f>
        <v/>
      </c>
      <c r="C4014" s="37"/>
      <c r="D4014" s="37"/>
      <c r="E4014" s="38" t="s">
        <v>4830</v>
      </c>
      <c r="F4014" s="38" t="s">
        <v>4824</v>
      </c>
      <c r="G4014" s="38">
        <v>3.61731348815E11</v>
      </c>
      <c r="H4014" s="38" t="s">
        <v>4825</v>
      </c>
      <c r="I4014" s="38" t="s">
        <v>4826</v>
      </c>
      <c r="J4014" s="38" t="s">
        <v>134</v>
      </c>
      <c r="K4014" s="38" t="s">
        <v>126</v>
      </c>
      <c r="L4014" s="41">
        <v>46006.8125</v>
      </c>
      <c r="M4014" s="38" t="s">
        <v>123</v>
      </c>
      <c r="N4014" s="41">
        <v>46006.822916666664</v>
      </c>
      <c r="O4014" s="38" t="s">
        <v>123</v>
      </c>
      <c r="P4014" s="38">
        <v>900.0</v>
      </c>
      <c r="Q4014" s="39"/>
      <c r="R4014" s="39"/>
      <c r="S4014" s="39"/>
      <c r="T4014" s="39"/>
      <c r="U4014" s="39"/>
    </row>
    <row r="4015">
      <c r="A4015" s="40">
        <f t="shared" si="1"/>
        <v>46006</v>
      </c>
      <c r="B4015" s="37" t="str">
        <f t="array" ref="B4015">iferror(xlookup($I4015, 'IMPORT VHC Report'!$E:$E, 'IMPORT VHC Report'!$A:$C), )</f>
        <v/>
      </c>
      <c r="C4015" s="37"/>
      <c r="D4015" s="37"/>
      <c r="E4015" s="38" t="s">
        <v>4831</v>
      </c>
      <c r="F4015" s="38" t="s">
        <v>4824</v>
      </c>
      <c r="G4015" s="38">
        <v>3.61731348815E11</v>
      </c>
      <c r="H4015" s="38" t="s">
        <v>4825</v>
      </c>
      <c r="I4015" s="38" t="s">
        <v>4826</v>
      </c>
      <c r="J4015" s="38" t="s">
        <v>125</v>
      </c>
      <c r="K4015" s="38" t="s">
        <v>126</v>
      </c>
      <c r="L4015" s="41">
        <v>46006.822916666664</v>
      </c>
      <c r="M4015" s="38" t="s">
        <v>123</v>
      </c>
      <c r="N4015" s="41">
        <v>46006.895833333336</v>
      </c>
      <c r="O4015" s="38" t="s">
        <v>123</v>
      </c>
      <c r="P4015" s="38">
        <v>6300.0</v>
      </c>
      <c r="Q4015" s="39"/>
      <c r="R4015" s="39"/>
      <c r="S4015" s="39"/>
      <c r="T4015" s="39"/>
      <c r="U4015" s="39"/>
    </row>
    <row r="4016">
      <c r="A4016" s="40">
        <f t="shared" si="1"/>
        <v>46006</v>
      </c>
      <c r="B4016" s="37" t="str">
        <f t="array" ref="B4016">iferror(xlookup($I4016, 'IMPORT VHC Report'!$E:$E, 'IMPORT VHC Report'!$A:$C), )</f>
        <v/>
      </c>
      <c r="C4016" s="37"/>
      <c r="D4016" s="37"/>
      <c r="E4016" s="38" t="s">
        <v>4832</v>
      </c>
      <c r="F4016" s="38" t="s">
        <v>4824</v>
      </c>
      <c r="G4016" s="38">
        <v>3.61731348815E11</v>
      </c>
      <c r="H4016" s="38" t="s">
        <v>4825</v>
      </c>
      <c r="I4016" s="38" t="s">
        <v>4826</v>
      </c>
      <c r="J4016" s="38" t="s">
        <v>132</v>
      </c>
      <c r="K4016" s="38" t="s">
        <v>126</v>
      </c>
      <c r="L4016" s="41">
        <v>46006.895833333336</v>
      </c>
      <c r="M4016" s="38" t="s">
        <v>123</v>
      </c>
      <c r="N4016" s="41">
        <v>46006.9375</v>
      </c>
      <c r="O4016" s="38" t="s">
        <v>123</v>
      </c>
      <c r="P4016" s="38">
        <v>3600.0</v>
      </c>
      <c r="Q4016" s="39"/>
      <c r="R4016" s="39"/>
      <c r="S4016" s="39"/>
      <c r="T4016" s="39"/>
      <c r="U4016" s="39"/>
    </row>
    <row r="4017">
      <c r="A4017" s="40">
        <f t="shared" si="1"/>
        <v>46006</v>
      </c>
      <c r="B4017" s="37" t="str">
        <f t="array" ref="B4017">iferror(xlookup($I4017, 'IMPORT VHC Report'!$E:$E, 'IMPORT VHC Report'!$A:$C), )</f>
        <v/>
      </c>
      <c r="C4017" s="37"/>
      <c r="D4017" s="37"/>
      <c r="E4017" s="38" t="s">
        <v>4833</v>
      </c>
      <c r="F4017" s="38" t="s">
        <v>4824</v>
      </c>
      <c r="G4017" s="38">
        <v>3.61731348815E11</v>
      </c>
      <c r="H4017" s="38" t="s">
        <v>4825</v>
      </c>
      <c r="I4017" s="38" t="s">
        <v>4826</v>
      </c>
      <c r="J4017" s="38" t="s">
        <v>300</v>
      </c>
      <c r="K4017" s="38" t="s">
        <v>63</v>
      </c>
      <c r="L4017" s="41">
        <v>46007.666666666664</v>
      </c>
      <c r="M4017" s="38" t="s">
        <v>123</v>
      </c>
      <c r="N4017" s="41">
        <v>46008.041666666664</v>
      </c>
      <c r="O4017" s="38" t="s">
        <v>123</v>
      </c>
      <c r="P4017" s="38">
        <v>32400.0</v>
      </c>
      <c r="Q4017" s="39"/>
      <c r="R4017" s="39"/>
      <c r="S4017" s="39"/>
      <c r="T4017" s="39"/>
      <c r="U4017" s="39"/>
    </row>
    <row r="4018">
      <c r="A4018" s="40">
        <f t="shared" si="1"/>
        <v>46006</v>
      </c>
      <c r="B4018" s="37" t="str">
        <f t="array" ref="B4018">iferror(xlookup($I4018, 'IMPORT VHC Report'!$E:$E, 'IMPORT VHC Report'!$A:$C), )</f>
        <v/>
      </c>
      <c r="C4018" s="37"/>
      <c r="D4018" s="37"/>
      <c r="E4018" s="38" t="s">
        <v>4834</v>
      </c>
      <c r="F4018" s="38" t="s">
        <v>4824</v>
      </c>
      <c r="G4018" s="38">
        <v>3.61731348815E11</v>
      </c>
      <c r="H4018" s="38" t="s">
        <v>4825</v>
      </c>
      <c r="I4018" s="38" t="s">
        <v>4826</v>
      </c>
      <c r="J4018" s="38" t="s">
        <v>134</v>
      </c>
      <c r="K4018" s="38" t="s">
        <v>126</v>
      </c>
      <c r="L4018" s="41">
        <v>46007.729166666664</v>
      </c>
      <c r="M4018" s="38" t="s">
        <v>123</v>
      </c>
      <c r="N4018" s="41">
        <v>46007.739583333336</v>
      </c>
      <c r="O4018" s="38" t="s">
        <v>123</v>
      </c>
      <c r="P4018" s="38">
        <v>900.0</v>
      </c>
      <c r="Q4018" s="39"/>
      <c r="R4018" s="39"/>
      <c r="S4018" s="39"/>
      <c r="T4018" s="39"/>
      <c r="U4018" s="39"/>
    </row>
    <row r="4019">
      <c r="A4019" s="40">
        <f t="shared" si="1"/>
        <v>46006</v>
      </c>
      <c r="B4019" s="37" t="str">
        <f t="array" ref="B4019">iferror(xlookup($I4019, 'IMPORT VHC Report'!$E:$E, 'IMPORT VHC Report'!$A:$C), )</f>
        <v/>
      </c>
      <c r="C4019" s="37"/>
      <c r="D4019" s="37"/>
      <c r="E4019" s="38" t="s">
        <v>4835</v>
      </c>
      <c r="F4019" s="38" t="s">
        <v>4824</v>
      </c>
      <c r="G4019" s="38">
        <v>3.61731348815E11</v>
      </c>
      <c r="H4019" s="38" t="s">
        <v>4825</v>
      </c>
      <c r="I4019" s="38" t="s">
        <v>4826</v>
      </c>
      <c r="J4019" s="38" t="s">
        <v>134</v>
      </c>
      <c r="K4019" s="38" t="s">
        <v>126</v>
      </c>
      <c r="L4019" s="41">
        <v>46007.822916666664</v>
      </c>
      <c r="M4019" s="38" t="s">
        <v>123</v>
      </c>
      <c r="N4019" s="41">
        <v>46007.833333333336</v>
      </c>
      <c r="O4019" s="38" t="s">
        <v>123</v>
      </c>
      <c r="P4019" s="38">
        <v>900.0</v>
      </c>
      <c r="Q4019" s="39"/>
      <c r="R4019" s="39"/>
      <c r="S4019" s="39"/>
      <c r="T4019" s="39"/>
      <c r="U4019" s="39"/>
    </row>
    <row r="4020">
      <c r="A4020" s="40">
        <f t="shared" si="1"/>
        <v>46006</v>
      </c>
      <c r="B4020" s="37" t="str">
        <f t="array" ref="B4020">iferror(xlookup($I4020, 'IMPORT VHC Report'!$E:$E, 'IMPORT VHC Report'!$A:$C), )</f>
        <v/>
      </c>
      <c r="C4020" s="37"/>
      <c r="D4020" s="37"/>
      <c r="E4020" s="38" t="s">
        <v>4836</v>
      </c>
      <c r="F4020" s="38" t="s">
        <v>4824</v>
      </c>
      <c r="G4020" s="38">
        <v>3.61731348815E11</v>
      </c>
      <c r="H4020" s="38" t="s">
        <v>4825</v>
      </c>
      <c r="I4020" s="38" t="s">
        <v>4826</v>
      </c>
      <c r="J4020" s="38" t="s">
        <v>132</v>
      </c>
      <c r="K4020" s="38" t="s">
        <v>126</v>
      </c>
      <c r="L4020" s="41">
        <v>46007.895833333336</v>
      </c>
      <c r="M4020" s="38" t="s">
        <v>123</v>
      </c>
      <c r="N4020" s="41">
        <v>46007.9375</v>
      </c>
      <c r="O4020" s="38" t="s">
        <v>123</v>
      </c>
      <c r="P4020" s="38">
        <v>3600.0</v>
      </c>
      <c r="Q4020" s="39"/>
      <c r="R4020" s="39"/>
      <c r="S4020" s="39"/>
      <c r="T4020" s="39"/>
      <c r="U4020" s="39"/>
    </row>
    <row r="4021">
      <c r="A4021" s="40">
        <f t="shared" si="1"/>
        <v>46006</v>
      </c>
      <c r="B4021" s="37" t="str">
        <f t="array" ref="B4021">iferror(xlookup($I4021, 'IMPORT VHC Report'!$E:$E, 'IMPORT VHC Report'!$A:$C), )</f>
        <v/>
      </c>
      <c r="C4021" s="37"/>
      <c r="D4021" s="37"/>
      <c r="E4021" s="38" t="s">
        <v>4837</v>
      </c>
      <c r="F4021" s="38" t="s">
        <v>4824</v>
      </c>
      <c r="G4021" s="38">
        <v>3.61731348815E11</v>
      </c>
      <c r="H4021" s="38" t="s">
        <v>4825</v>
      </c>
      <c r="I4021" s="38" t="s">
        <v>4826</v>
      </c>
      <c r="J4021" s="38" t="s">
        <v>4</v>
      </c>
      <c r="K4021" s="38" t="s">
        <v>126</v>
      </c>
      <c r="L4021" s="41">
        <v>46007.9375</v>
      </c>
      <c r="M4021" s="38" t="s">
        <v>123</v>
      </c>
      <c r="N4021" s="41">
        <v>46007.979166666664</v>
      </c>
      <c r="O4021" s="38" t="s">
        <v>123</v>
      </c>
      <c r="P4021" s="38">
        <v>3600.0</v>
      </c>
      <c r="Q4021" s="39"/>
      <c r="R4021" s="39"/>
      <c r="S4021" s="38" t="s">
        <v>305</v>
      </c>
      <c r="T4021" s="39"/>
      <c r="U4021" s="39"/>
    </row>
    <row r="4022">
      <c r="A4022" s="40">
        <f t="shared" si="1"/>
        <v>46006</v>
      </c>
      <c r="B4022" s="37" t="str">
        <f t="array" ref="B4022">iferror(xlookup($I4022, 'IMPORT VHC Report'!$E:$E, 'IMPORT VHC Report'!$A:$C), )</f>
        <v/>
      </c>
      <c r="C4022" s="37"/>
      <c r="D4022" s="37"/>
      <c r="E4022" s="38" t="s">
        <v>4838</v>
      </c>
      <c r="F4022" s="38" t="s">
        <v>4824</v>
      </c>
      <c r="G4022" s="38">
        <v>3.61731348815E11</v>
      </c>
      <c r="H4022" s="38" t="s">
        <v>4825</v>
      </c>
      <c r="I4022" s="38" t="s">
        <v>4826</v>
      </c>
      <c r="J4022" s="38" t="s">
        <v>136</v>
      </c>
      <c r="K4022" s="38" t="s">
        <v>126</v>
      </c>
      <c r="L4022" s="41">
        <v>46008.666666666664</v>
      </c>
      <c r="M4022" s="38" t="s">
        <v>123</v>
      </c>
      <c r="N4022" s="41">
        <v>46008.75</v>
      </c>
      <c r="O4022" s="38" t="s">
        <v>123</v>
      </c>
      <c r="P4022" s="38">
        <v>7200.0</v>
      </c>
      <c r="Q4022" s="39"/>
      <c r="R4022" s="39"/>
      <c r="S4022" s="38" t="s">
        <v>4730</v>
      </c>
      <c r="T4022" s="39"/>
      <c r="U4022" s="39"/>
    </row>
    <row r="4023">
      <c r="A4023" s="40">
        <f t="shared" si="1"/>
        <v>46006</v>
      </c>
      <c r="B4023" s="37" t="str">
        <f t="array" ref="B4023">iferror(xlookup($I4023, 'IMPORT VHC Report'!$E:$E, 'IMPORT VHC Report'!$A:$C), )</f>
        <v/>
      </c>
      <c r="C4023" s="37"/>
      <c r="D4023" s="37"/>
      <c r="E4023" s="38" t="s">
        <v>4839</v>
      </c>
      <c r="F4023" s="38" t="s">
        <v>4824</v>
      </c>
      <c r="G4023" s="38">
        <v>3.61731348815E11</v>
      </c>
      <c r="H4023" s="38" t="s">
        <v>4825</v>
      </c>
      <c r="I4023" s="38" t="s">
        <v>4826</v>
      </c>
      <c r="J4023" s="38" t="s">
        <v>300</v>
      </c>
      <c r="K4023" s="38" t="s">
        <v>63</v>
      </c>
      <c r="L4023" s="41">
        <v>46008.666666666664</v>
      </c>
      <c r="M4023" s="38" t="s">
        <v>123</v>
      </c>
      <c r="N4023" s="41">
        <v>46009.041666666664</v>
      </c>
      <c r="O4023" s="38" t="s">
        <v>123</v>
      </c>
      <c r="P4023" s="38">
        <v>32400.0</v>
      </c>
      <c r="Q4023" s="39"/>
      <c r="R4023" s="39"/>
      <c r="S4023" s="39"/>
      <c r="T4023" s="39"/>
      <c r="U4023" s="39"/>
    </row>
    <row r="4024">
      <c r="A4024" s="40">
        <f t="shared" si="1"/>
        <v>46006</v>
      </c>
      <c r="B4024" s="37" t="str">
        <f t="array" ref="B4024">iferror(xlookup($I4024, 'IMPORT VHC Report'!$E:$E, 'IMPORT VHC Report'!$A:$C), )</f>
        <v/>
      </c>
      <c r="C4024" s="37"/>
      <c r="D4024" s="37"/>
      <c r="E4024" s="38" t="s">
        <v>4840</v>
      </c>
      <c r="F4024" s="38" t="s">
        <v>4824</v>
      </c>
      <c r="G4024" s="38">
        <v>3.61731348815E11</v>
      </c>
      <c r="H4024" s="38" t="s">
        <v>4825</v>
      </c>
      <c r="I4024" s="38" t="s">
        <v>4826</v>
      </c>
      <c r="J4024" s="38" t="s">
        <v>134</v>
      </c>
      <c r="K4024" s="38" t="s">
        <v>126</v>
      </c>
      <c r="L4024" s="41">
        <v>46008.75</v>
      </c>
      <c r="M4024" s="38" t="s">
        <v>123</v>
      </c>
      <c r="N4024" s="41">
        <v>46008.760416666664</v>
      </c>
      <c r="O4024" s="38" t="s">
        <v>123</v>
      </c>
      <c r="P4024" s="38">
        <v>900.0</v>
      </c>
      <c r="Q4024" s="39"/>
      <c r="R4024" s="39"/>
      <c r="S4024" s="39"/>
      <c r="T4024" s="39"/>
      <c r="U4024" s="39"/>
    </row>
    <row r="4025">
      <c r="A4025" s="40">
        <f t="shared" si="1"/>
        <v>46006</v>
      </c>
      <c r="B4025" s="37" t="str">
        <f t="array" ref="B4025">iferror(xlookup($I4025, 'IMPORT VHC Report'!$E:$E, 'IMPORT VHC Report'!$A:$C), )</f>
        <v/>
      </c>
      <c r="C4025" s="37"/>
      <c r="D4025" s="37"/>
      <c r="E4025" s="38" t="s">
        <v>4841</v>
      </c>
      <c r="F4025" s="38" t="s">
        <v>4824</v>
      </c>
      <c r="G4025" s="38">
        <v>3.61731348815E11</v>
      </c>
      <c r="H4025" s="38" t="s">
        <v>4825</v>
      </c>
      <c r="I4025" s="38" t="s">
        <v>4826</v>
      </c>
      <c r="J4025" s="38" t="s">
        <v>132</v>
      </c>
      <c r="K4025" s="38" t="s">
        <v>126</v>
      </c>
      <c r="L4025" s="41">
        <v>46008.84375</v>
      </c>
      <c r="M4025" s="38" t="s">
        <v>123</v>
      </c>
      <c r="N4025" s="41">
        <v>46008.885416666664</v>
      </c>
      <c r="O4025" s="38" t="s">
        <v>123</v>
      </c>
      <c r="P4025" s="38">
        <v>3600.0</v>
      </c>
      <c r="Q4025" s="39"/>
      <c r="R4025" s="39"/>
      <c r="S4025" s="39"/>
      <c r="T4025" s="39"/>
      <c r="U4025" s="39"/>
    </row>
    <row r="4026">
      <c r="A4026" s="40">
        <f t="shared" si="1"/>
        <v>46006</v>
      </c>
      <c r="B4026" s="37" t="str">
        <f t="array" ref="B4026">iferror(xlookup($I4026, 'IMPORT VHC Report'!$E:$E, 'IMPORT VHC Report'!$A:$C), )</f>
        <v/>
      </c>
      <c r="C4026" s="37"/>
      <c r="D4026" s="37"/>
      <c r="E4026" s="38" t="s">
        <v>4842</v>
      </c>
      <c r="F4026" s="38" t="s">
        <v>4824</v>
      </c>
      <c r="G4026" s="38">
        <v>3.61731348815E11</v>
      </c>
      <c r="H4026" s="38" t="s">
        <v>4825</v>
      </c>
      <c r="I4026" s="38" t="s">
        <v>4826</v>
      </c>
      <c r="J4026" s="38" t="s">
        <v>125</v>
      </c>
      <c r="K4026" s="38" t="s">
        <v>126</v>
      </c>
      <c r="L4026" s="41">
        <v>46008.90833333333</v>
      </c>
      <c r="M4026" s="38" t="s">
        <v>123</v>
      </c>
      <c r="N4026" s="41">
        <v>46008.947916666664</v>
      </c>
      <c r="O4026" s="38" t="s">
        <v>123</v>
      </c>
      <c r="P4026" s="38">
        <v>3420.0</v>
      </c>
      <c r="Q4026" s="39"/>
      <c r="R4026" s="39"/>
      <c r="S4026" s="39"/>
      <c r="T4026" s="39"/>
      <c r="U4026" s="39"/>
    </row>
    <row r="4027">
      <c r="A4027" s="40">
        <f t="shared" si="1"/>
        <v>46006</v>
      </c>
      <c r="B4027" s="37" t="str">
        <f t="array" ref="B4027">iferror(xlookup($I4027, 'IMPORT VHC Report'!$E:$E, 'IMPORT VHC Report'!$A:$C), )</f>
        <v/>
      </c>
      <c r="C4027" s="37"/>
      <c r="D4027" s="37"/>
      <c r="E4027" s="38" t="s">
        <v>4843</v>
      </c>
      <c r="F4027" s="38" t="s">
        <v>4824</v>
      </c>
      <c r="G4027" s="38">
        <v>3.61731348815E11</v>
      </c>
      <c r="H4027" s="38" t="s">
        <v>4825</v>
      </c>
      <c r="I4027" s="38" t="s">
        <v>4826</v>
      </c>
      <c r="J4027" s="38" t="s">
        <v>134</v>
      </c>
      <c r="K4027" s="38" t="s">
        <v>126</v>
      </c>
      <c r="L4027" s="41">
        <v>46008.947916666664</v>
      </c>
      <c r="M4027" s="38" t="s">
        <v>123</v>
      </c>
      <c r="N4027" s="41">
        <v>46008.958333333336</v>
      </c>
      <c r="O4027" s="38" t="s">
        <v>123</v>
      </c>
      <c r="P4027" s="38">
        <v>900.0</v>
      </c>
      <c r="Q4027" s="39"/>
      <c r="R4027" s="39"/>
      <c r="S4027" s="39"/>
      <c r="T4027" s="39"/>
      <c r="U4027" s="39"/>
    </row>
    <row r="4028">
      <c r="A4028" s="40">
        <f t="shared" si="1"/>
        <v>46006</v>
      </c>
      <c r="B4028" s="37" t="str">
        <f t="array" ref="B4028">iferror(xlookup($I4028, 'IMPORT VHC Report'!$E:$E, 'IMPORT VHC Report'!$A:$C), )</f>
        <v/>
      </c>
      <c r="C4028" s="37"/>
      <c r="D4028" s="37"/>
      <c r="E4028" s="38" t="s">
        <v>4844</v>
      </c>
      <c r="F4028" s="38" t="s">
        <v>4824</v>
      </c>
      <c r="G4028" s="38">
        <v>3.61731348815E11</v>
      </c>
      <c r="H4028" s="38" t="s">
        <v>4825</v>
      </c>
      <c r="I4028" s="38" t="s">
        <v>4826</v>
      </c>
      <c r="J4028" s="38" t="s">
        <v>125</v>
      </c>
      <c r="K4028" s="38" t="s">
        <v>126</v>
      </c>
      <c r="L4028" s="41">
        <v>46008.958333333336</v>
      </c>
      <c r="M4028" s="38" t="s">
        <v>123</v>
      </c>
      <c r="N4028" s="41">
        <v>46009.001388888886</v>
      </c>
      <c r="O4028" s="38" t="s">
        <v>123</v>
      </c>
      <c r="P4028" s="38">
        <v>3720.0</v>
      </c>
      <c r="Q4028" s="39"/>
      <c r="R4028" s="39"/>
      <c r="S4028" s="39"/>
      <c r="T4028" s="39"/>
      <c r="U4028" s="39"/>
    </row>
    <row r="4029">
      <c r="A4029" s="40">
        <f t="shared" si="1"/>
        <v>46006</v>
      </c>
      <c r="B4029" s="37" t="str">
        <f t="array" ref="B4029">iferror(xlookup($I4029, 'IMPORT VHC Report'!$E:$E, 'IMPORT VHC Report'!$A:$C), )</f>
        <v/>
      </c>
      <c r="C4029" s="37"/>
      <c r="D4029" s="37"/>
      <c r="E4029" s="38" t="s">
        <v>4845</v>
      </c>
      <c r="F4029" s="38" t="s">
        <v>4824</v>
      </c>
      <c r="G4029" s="38">
        <v>3.61731348815E11</v>
      </c>
      <c r="H4029" s="38" t="s">
        <v>4825</v>
      </c>
      <c r="I4029" s="38" t="s">
        <v>4826</v>
      </c>
      <c r="J4029" s="38" t="s">
        <v>300</v>
      </c>
      <c r="K4029" s="38" t="s">
        <v>63</v>
      </c>
      <c r="L4029" s="41">
        <v>46009.666666666664</v>
      </c>
      <c r="M4029" s="38" t="s">
        <v>123</v>
      </c>
      <c r="N4029" s="41">
        <v>46010.041666666664</v>
      </c>
      <c r="O4029" s="38" t="s">
        <v>123</v>
      </c>
      <c r="P4029" s="38">
        <v>32400.0</v>
      </c>
      <c r="Q4029" s="39"/>
      <c r="R4029" s="39"/>
      <c r="S4029" s="39"/>
      <c r="T4029" s="39"/>
      <c r="U4029" s="39"/>
    </row>
    <row r="4030">
      <c r="A4030" s="40">
        <f t="shared" si="1"/>
        <v>46006</v>
      </c>
      <c r="B4030" s="37" t="str">
        <f t="array" ref="B4030">iferror(xlookup($I4030, 'IMPORT VHC Report'!$E:$E, 'IMPORT VHC Report'!$A:$C), )</f>
        <v/>
      </c>
      <c r="C4030" s="37"/>
      <c r="D4030" s="37"/>
      <c r="E4030" s="38" t="s">
        <v>4846</v>
      </c>
      <c r="F4030" s="38" t="s">
        <v>4824</v>
      </c>
      <c r="G4030" s="38">
        <v>3.61731348815E11</v>
      </c>
      <c r="H4030" s="38" t="s">
        <v>4825</v>
      </c>
      <c r="I4030" s="38" t="s">
        <v>4826</v>
      </c>
      <c r="J4030" s="38" t="s">
        <v>178</v>
      </c>
      <c r="K4030" s="38" t="s">
        <v>153</v>
      </c>
      <c r="L4030" s="41">
        <v>46009.666666666664</v>
      </c>
      <c r="M4030" s="38" t="s">
        <v>123</v>
      </c>
      <c r="N4030" s="41">
        <v>46010.041666666664</v>
      </c>
      <c r="O4030" s="38" t="s">
        <v>123</v>
      </c>
      <c r="P4030" s="38">
        <v>32400.0</v>
      </c>
      <c r="Q4030" s="38">
        <v>57600.0</v>
      </c>
      <c r="R4030" s="39"/>
      <c r="S4030" s="39"/>
      <c r="T4030" s="39"/>
      <c r="U4030" s="39"/>
    </row>
    <row r="4031">
      <c r="A4031" s="40">
        <f t="shared" si="1"/>
        <v>46006</v>
      </c>
      <c r="B4031" s="37" t="str">
        <f t="array" ref="B4031">iferror(xlookup($I4031, 'IMPORT VHC Report'!$E:$E, 'IMPORT VHC Report'!$A:$C), )</f>
        <v/>
      </c>
      <c r="C4031" s="37"/>
      <c r="D4031" s="37"/>
      <c r="E4031" s="38" t="s">
        <v>4847</v>
      </c>
      <c r="F4031" s="38" t="s">
        <v>4824</v>
      </c>
      <c r="G4031" s="38">
        <v>3.61731348815E11</v>
      </c>
      <c r="H4031" s="38" t="s">
        <v>4825</v>
      </c>
      <c r="I4031" s="38" t="s">
        <v>4826</v>
      </c>
      <c r="J4031" s="38" t="s">
        <v>134</v>
      </c>
      <c r="K4031" s="38" t="s">
        <v>126</v>
      </c>
      <c r="L4031" s="41">
        <v>46009.760416666664</v>
      </c>
      <c r="M4031" s="38" t="s">
        <v>123</v>
      </c>
      <c r="N4031" s="41">
        <v>46009.770833333336</v>
      </c>
      <c r="O4031" s="38" t="s">
        <v>123</v>
      </c>
      <c r="P4031" s="38">
        <v>900.0</v>
      </c>
      <c r="Q4031" s="39"/>
      <c r="R4031" s="39"/>
      <c r="S4031" s="39"/>
      <c r="T4031" s="39"/>
      <c r="U4031" s="39"/>
    </row>
    <row r="4032">
      <c r="A4032" s="40">
        <f t="shared" si="1"/>
        <v>46006</v>
      </c>
      <c r="B4032" s="37" t="str">
        <f t="array" ref="B4032">iferror(xlookup($I4032, 'IMPORT VHC Report'!$E:$E, 'IMPORT VHC Report'!$A:$C), )</f>
        <v/>
      </c>
      <c r="C4032" s="37"/>
      <c r="D4032" s="37"/>
      <c r="E4032" s="38" t="s">
        <v>4848</v>
      </c>
      <c r="F4032" s="38" t="s">
        <v>4824</v>
      </c>
      <c r="G4032" s="38">
        <v>3.61731348815E11</v>
      </c>
      <c r="H4032" s="38" t="s">
        <v>4825</v>
      </c>
      <c r="I4032" s="38" t="s">
        <v>4826</v>
      </c>
      <c r="J4032" s="38" t="s">
        <v>134</v>
      </c>
      <c r="K4032" s="38" t="s">
        <v>126</v>
      </c>
      <c r="L4032" s="41">
        <v>46009.822916666664</v>
      </c>
      <c r="M4032" s="38" t="s">
        <v>123</v>
      </c>
      <c r="N4032" s="41">
        <v>46009.833333333336</v>
      </c>
      <c r="O4032" s="38" t="s">
        <v>123</v>
      </c>
      <c r="P4032" s="38">
        <v>900.0</v>
      </c>
      <c r="Q4032" s="39"/>
      <c r="R4032" s="39"/>
      <c r="S4032" s="39"/>
      <c r="T4032" s="39"/>
      <c r="U4032" s="39"/>
    </row>
    <row r="4033">
      <c r="A4033" s="40">
        <f t="shared" si="1"/>
        <v>46006</v>
      </c>
      <c r="B4033" s="37" t="str">
        <f t="array" ref="B4033">iferror(xlookup($I4033, 'IMPORT VHC Report'!$E:$E, 'IMPORT VHC Report'!$A:$C), )</f>
        <v/>
      </c>
      <c r="C4033" s="37"/>
      <c r="D4033" s="37"/>
      <c r="E4033" s="38" t="s">
        <v>4849</v>
      </c>
      <c r="F4033" s="38" t="s">
        <v>4824</v>
      </c>
      <c r="G4033" s="38">
        <v>3.61731348815E11</v>
      </c>
      <c r="H4033" s="38" t="s">
        <v>4825</v>
      </c>
      <c r="I4033" s="38" t="s">
        <v>4826</v>
      </c>
      <c r="J4033" s="38" t="s">
        <v>132</v>
      </c>
      <c r="K4033" s="38" t="s">
        <v>126</v>
      </c>
      <c r="L4033" s="41">
        <v>46009.927083333336</v>
      </c>
      <c r="M4033" s="38" t="s">
        <v>123</v>
      </c>
      <c r="N4033" s="41">
        <v>46009.96875</v>
      </c>
      <c r="O4033" s="38" t="s">
        <v>123</v>
      </c>
      <c r="P4033" s="38">
        <v>3600.0</v>
      </c>
      <c r="Q4033" s="39"/>
      <c r="R4033" s="39"/>
      <c r="S4033" s="39"/>
      <c r="T4033" s="39"/>
      <c r="U4033" s="39"/>
    </row>
    <row r="4034">
      <c r="A4034" s="40">
        <f t="shared" si="1"/>
        <v>46006</v>
      </c>
      <c r="B4034" s="37" t="str">
        <f t="array" ref="B4034">iferror(xlookup($I4034, 'IMPORT VHC Report'!$E:$E, 'IMPORT VHC Report'!$A:$C), )</f>
        <v/>
      </c>
      <c r="C4034" s="37"/>
      <c r="D4034" s="37"/>
      <c r="E4034" s="38" t="s">
        <v>4850</v>
      </c>
      <c r="F4034" s="38" t="s">
        <v>4824</v>
      </c>
      <c r="G4034" s="38">
        <v>3.61731348815E11</v>
      </c>
      <c r="H4034" s="38" t="s">
        <v>4825</v>
      </c>
      <c r="I4034" s="38" t="s">
        <v>4826</v>
      </c>
      <c r="J4034" s="38" t="s">
        <v>178</v>
      </c>
      <c r="K4034" s="38" t="s">
        <v>153</v>
      </c>
      <c r="L4034" s="41">
        <v>46010.666666666664</v>
      </c>
      <c r="M4034" s="38" t="s">
        <v>123</v>
      </c>
      <c r="N4034" s="41">
        <v>46011.041666666664</v>
      </c>
      <c r="O4034" s="38" t="s">
        <v>123</v>
      </c>
      <c r="P4034" s="38">
        <v>32400.0</v>
      </c>
      <c r="Q4034" s="38">
        <v>32400.0</v>
      </c>
      <c r="R4034" s="39"/>
      <c r="S4034" s="39"/>
      <c r="T4034" s="39"/>
      <c r="U4034" s="39"/>
    </row>
    <row r="4035">
      <c r="A4035" s="40">
        <f t="shared" si="1"/>
        <v>46006</v>
      </c>
      <c r="B4035" s="37" t="str">
        <f t="array" ref="B4035">iferror(xlookup($I4035, 'IMPORT VHC Report'!$E:$E, 'IMPORT VHC Report'!$A:$C), )</f>
        <v/>
      </c>
      <c r="C4035" s="37"/>
      <c r="D4035" s="37"/>
      <c r="E4035" s="38" t="s">
        <v>4851</v>
      </c>
      <c r="F4035" s="38" t="s">
        <v>4824</v>
      </c>
      <c r="G4035" s="38">
        <v>3.61731348815E11</v>
      </c>
      <c r="H4035" s="38" t="s">
        <v>4825</v>
      </c>
      <c r="I4035" s="38" t="s">
        <v>4826</v>
      </c>
      <c r="J4035" s="38" t="s">
        <v>300</v>
      </c>
      <c r="K4035" s="38" t="s">
        <v>63</v>
      </c>
      <c r="L4035" s="41">
        <v>46010.666666666664</v>
      </c>
      <c r="M4035" s="38" t="s">
        <v>123</v>
      </c>
      <c r="N4035" s="41">
        <v>46011.041666666664</v>
      </c>
      <c r="O4035" s="38" t="s">
        <v>123</v>
      </c>
      <c r="P4035" s="38">
        <v>32400.0</v>
      </c>
      <c r="Q4035" s="39"/>
      <c r="R4035" s="39"/>
      <c r="S4035" s="39"/>
      <c r="T4035" s="39"/>
      <c r="U4035" s="39"/>
    </row>
    <row r="4036">
      <c r="A4036" s="40">
        <f t="shared" si="1"/>
        <v>46006</v>
      </c>
      <c r="B4036" s="37" t="str">
        <f t="array" ref="B4036">iferror(xlookup($I4036, 'IMPORT VHC Report'!$E:$E, 'IMPORT VHC Report'!$A:$C), )</f>
        <v/>
      </c>
      <c r="C4036" s="37"/>
      <c r="D4036" s="37"/>
      <c r="E4036" s="38" t="s">
        <v>4852</v>
      </c>
      <c r="F4036" s="38" t="s">
        <v>4824</v>
      </c>
      <c r="G4036" s="38">
        <v>3.61731348815E11</v>
      </c>
      <c r="H4036" s="38" t="s">
        <v>4825</v>
      </c>
      <c r="I4036" s="38" t="s">
        <v>4826</v>
      </c>
      <c r="J4036" s="38" t="s">
        <v>134</v>
      </c>
      <c r="K4036" s="38" t="s">
        <v>126</v>
      </c>
      <c r="L4036" s="41">
        <v>46010.791666666664</v>
      </c>
      <c r="M4036" s="38" t="s">
        <v>123</v>
      </c>
      <c r="N4036" s="41">
        <v>46010.802083333336</v>
      </c>
      <c r="O4036" s="38" t="s">
        <v>123</v>
      </c>
      <c r="P4036" s="38">
        <v>900.0</v>
      </c>
      <c r="Q4036" s="39"/>
      <c r="R4036" s="39"/>
      <c r="S4036" s="39"/>
      <c r="T4036" s="39"/>
      <c r="U4036" s="39"/>
    </row>
    <row r="4037">
      <c r="A4037" s="40">
        <f t="shared" si="1"/>
        <v>46006</v>
      </c>
      <c r="B4037" s="37" t="str">
        <f t="array" ref="B4037">iferror(xlookup($I4037, 'IMPORT VHC Report'!$E:$E, 'IMPORT VHC Report'!$A:$C), )</f>
        <v/>
      </c>
      <c r="C4037" s="37"/>
      <c r="D4037" s="37"/>
      <c r="E4037" s="38" t="s">
        <v>4853</v>
      </c>
      <c r="F4037" s="38" t="s">
        <v>4824</v>
      </c>
      <c r="G4037" s="38">
        <v>3.61731348815E11</v>
      </c>
      <c r="H4037" s="38" t="s">
        <v>4825</v>
      </c>
      <c r="I4037" s="38" t="s">
        <v>4826</v>
      </c>
      <c r="J4037" s="38" t="s">
        <v>134</v>
      </c>
      <c r="K4037" s="38" t="s">
        <v>126</v>
      </c>
      <c r="L4037" s="41">
        <v>46010.854166666664</v>
      </c>
      <c r="M4037" s="38" t="s">
        <v>123</v>
      </c>
      <c r="N4037" s="41">
        <v>46010.864583333336</v>
      </c>
      <c r="O4037" s="38" t="s">
        <v>123</v>
      </c>
      <c r="P4037" s="38">
        <v>900.0</v>
      </c>
      <c r="Q4037" s="39"/>
      <c r="R4037" s="39"/>
      <c r="S4037" s="39"/>
      <c r="T4037" s="39"/>
      <c r="U4037" s="39"/>
    </row>
    <row r="4038">
      <c r="A4038" s="40">
        <f t="shared" si="1"/>
        <v>46006</v>
      </c>
      <c r="B4038" s="37" t="str">
        <f t="array" ref="B4038">iferror(xlookup($I4038, 'IMPORT VHC Report'!$E:$E, 'IMPORT VHC Report'!$A:$C), )</f>
        <v/>
      </c>
      <c r="C4038" s="37"/>
      <c r="D4038" s="37"/>
      <c r="E4038" s="38" t="s">
        <v>4854</v>
      </c>
      <c r="F4038" s="38" t="s">
        <v>4824</v>
      </c>
      <c r="G4038" s="38">
        <v>3.61731348815E11</v>
      </c>
      <c r="H4038" s="38" t="s">
        <v>4825</v>
      </c>
      <c r="I4038" s="38" t="s">
        <v>4826</v>
      </c>
      <c r="J4038" s="38" t="s">
        <v>132</v>
      </c>
      <c r="K4038" s="38" t="s">
        <v>126</v>
      </c>
      <c r="L4038" s="41">
        <v>46010.895833333336</v>
      </c>
      <c r="M4038" s="38" t="s">
        <v>123</v>
      </c>
      <c r="N4038" s="41">
        <v>46010.9375</v>
      </c>
      <c r="O4038" s="38" t="s">
        <v>123</v>
      </c>
      <c r="P4038" s="38">
        <v>3600.0</v>
      </c>
      <c r="Q4038" s="39"/>
      <c r="R4038" s="39"/>
      <c r="S4038" s="39"/>
      <c r="T4038" s="39"/>
      <c r="U4038" s="39"/>
    </row>
    <row r="4039">
      <c r="A4039" s="40">
        <f t="shared" si="1"/>
        <v>46006</v>
      </c>
      <c r="B4039" s="37" t="str">
        <f t="array" ref="B4039">iferror(xlookup($I4039, 'IMPORT VHC Report'!$E:$E, 'IMPORT VHC Report'!$A:$C), )</f>
        <v/>
      </c>
      <c r="C4039" s="37"/>
      <c r="D4039" s="37"/>
      <c r="E4039" s="38" t="s">
        <v>4855</v>
      </c>
      <c r="F4039" s="38" t="s">
        <v>4856</v>
      </c>
      <c r="G4039" s="38">
        <v>9.153765932815E12</v>
      </c>
      <c r="H4039" s="38" t="s">
        <v>4857</v>
      </c>
      <c r="I4039" s="38" t="s">
        <v>4858</v>
      </c>
      <c r="J4039" s="38" t="s">
        <v>4859</v>
      </c>
      <c r="K4039" s="38" t="s">
        <v>63</v>
      </c>
      <c r="L4039" s="41">
        <v>46006.708333333336</v>
      </c>
      <c r="M4039" s="38" t="s">
        <v>123</v>
      </c>
      <c r="N4039" s="41">
        <v>46007.0625</v>
      </c>
      <c r="O4039" s="38" t="s">
        <v>123</v>
      </c>
      <c r="P4039" s="38">
        <v>30600.0</v>
      </c>
      <c r="Q4039" s="39"/>
      <c r="R4039" s="39"/>
      <c r="S4039" s="39"/>
      <c r="T4039" s="39"/>
      <c r="U4039" s="39"/>
    </row>
    <row r="4040">
      <c r="A4040" s="40">
        <f t="shared" si="1"/>
        <v>46006</v>
      </c>
      <c r="B4040" s="37" t="str">
        <f t="array" ref="B4040">iferror(xlookup($I4040, 'IMPORT VHC Report'!$E:$E, 'IMPORT VHC Report'!$A:$C), )</f>
        <v/>
      </c>
      <c r="C4040" s="37"/>
      <c r="D4040" s="37"/>
      <c r="E4040" s="38" t="s">
        <v>4860</v>
      </c>
      <c r="F4040" s="38" t="s">
        <v>4856</v>
      </c>
      <c r="G4040" s="38">
        <v>9.153765932815E12</v>
      </c>
      <c r="H4040" s="38" t="s">
        <v>4857</v>
      </c>
      <c r="I4040" s="38" t="s">
        <v>4858</v>
      </c>
      <c r="J4040" s="38" t="s">
        <v>134</v>
      </c>
      <c r="K4040" s="38" t="s">
        <v>126</v>
      </c>
      <c r="L4040" s="41">
        <v>46006.770833333336</v>
      </c>
      <c r="M4040" s="38" t="s">
        <v>123</v>
      </c>
      <c r="N4040" s="41">
        <v>46006.78125</v>
      </c>
      <c r="O4040" s="38" t="s">
        <v>123</v>
      </c>
      <c r="P4040" s="38">
        <v>900.0</v>
      </c>
      <c r="Q4040" s="39"/>
      <c r="R4040" s="39"/>
      <c r="S4040" s="39"/>
      <c r="T4040" s="39"/>
      <c r="U4040" s="39"/>
    </row>
    <row r="4041">
      <c r="A4041" s="40">
        <f t="shared" si="1"/>
        <v>46006</v>
      </c>
      <c r="B4041" s="37" t="str">
        <f t="array" ref="B4041">iferror(xlookup($I4041, 'IMPORT VHC Report'!$E:$E, 'IMPORT VHC Report'!$A:$C), )</f>
        <v/>
      </c>
      <c r="C4041" s="37"/>
      <c r="D4041" s="37"/>
      <c r="E4041" s="38" t="s">
        <v>4861</v>
      </c>
      <c r="F4041" s="38" t="s">
        <v>4856</v>
      </c>
      <c r="G4041" s="38">
        <v>9.153765932815E12</v>
      </c>
      <c r="H4041" s="38" t="s">
        <v>4857</v>
      </c>
      <c r="I4041" s="38" t="s">
        <v>4858</v>
      </c>
      <c r="J4041" s="38" t="s">
        <v>132</v>
      </c>
      <c r="K4041" s="38" t="s">
        <v>126</v>
      </c>
      <c r="L4041" s="41">
        <v>46006.854166666664</v>
      </c>
      <c r="M4041" s="38" t="s">
        <v>123</v>
      </c>
      <c r="N4041" s="41">
        <v>46006.895833333336</v>
      </c>
      <c r="O4041" s="38" t="s">
        <v>123</v>
      </c>
      <c r="P4041" s="38">
        <v>3600.0</v>
      </c>
      <c r="Q4041" s="39"/>
      <c r="R4041" s="39"/>
      <c r="S4041" s="39"/>
      <c r="T4041" s="39"/>
      <c r="U4041" s="39"/>
    </row>
    <row r="4042">
      <c r="A4042" s="40">
        <f t="shared" si="1"/>
        <v>46006</v>
      </c>
      <c r="B4042" s="37" t="str">
        <f t="array" ref="B4042">iferror(xlookup($I4042, 'IMPORT VHC Report'!$E:$E, 'IMPORT VHC Report'!$A:$C), )</f>
        <v/>
      </c>
      <c r="C4042" s="37"/>
      <c r="D4042" s="37"/>
      <c r="E4042" s="38" t="s">
        <v>4862</v>
      </c>
      <c r="F4042" s="38" t="s">
        <v>4856</v>
      </c>
      <c r="G4042" s="38">
        <v>9.153765932815E12</v>
      </c>
      <c r="H4042" s="38" t="s">
        <v>4857</v>
      </c>
      <c r="I4042" s="38" t="s">
        <v>4858</v>
      </c>
      <c r="J4042" s="38" t="s">
        <v>134</v>
      </c>
      <c r="K4042" s="38" t="s">
        <v>126</v>
      </c>
      <c r="L4042" s="41">
        <v>46006.96875</v>
      </c>
      <c r="M4042" s="38" t="s">
        <v>123</v>
      </c>
      <c r="N4042" s="41">
        <v>46006.979166666664</v>
      </c>
      <c r="O4042" s="38" t="s">
        <v>123</v>
      </c>
      <c r="P4042" s="38">
        <v>900.0</v>
      </c>
      <c r="Q4042" s="39"/>
      <c r="R4042" s="39"/>
      <c r="S4042" s="39"/>
      <c r="T4042" s="39"/>
      <c r="U4042" s="39"/>
    </row>
    <row r="4043">
      <c r="A4043" s="40">
        <f t="shared" si="1"/>
        <v>46006</v>
      </c>
      <c r="B4043" s="37" t="str">
        <f t="array" ref="B4043">iferror(xlookup($I4043, 'IMPORT VHC Report'!$E:$E, 'IMPORT VHC Report'!$A:$C), )</f>
        <v/>
      </c>
      <c r="C4043" s="37"/>
      <c r="D4043" s="37"/>
      <c r="E4043" s="38" t="s">
        <v>4863</v>
      </c>
      <c r="F4043" s="38" t="s">
        <v>4856</v>
      </c>
      <c r="G4043" s="38">
        <v>9.153765932815E12</v>
      </c>
      <c r="H4043" s="38" t="s">
        <v>4857</v>
      </c>
      <c r="I4043" s="38" t="s">
        <v>4858</v>
      </c>
      <c r="J4043" s="38" t="s">
        <v>4859</v>
      </c>
      <c r="K4043" s="38" t="s">
        <v>63</v>
      </c>
      <c r="L4043" s="41">
        <v>46007.708333333336</v>
      </c>
      <c r="M4043" s="38" t="s">
        <v>123</v>
      </c>
      <c r="N4043" s="41">
        <v>46008.0625</v>
      </c>
      <c r="O4043" s="38" t="s">
        <v>123</v>
      </c>
      <c r="P4043" s="38">
        <v>30600.0</v>
      </c>
      <c r="Q4043" s="39"/>
      <c r="R4043" s="39"/>
      <c r="S4043" s="39"/>
      <c r="T4043" s="39"/>
      <c r="U4043" s="39"/>
    </row>
    <row r="4044">
      <c r="A4044" s="40">
        <f t="shared" si="1"/>
        <v>46006</v>
      </c>
      <c r="B4044" s="37" t="str">
        <f t="array" ref="B4044">iferror(xlookup($I4044, 'IMPORT VHC Report'!$E:$E, 'IMPORT VHC Report'!$A:$C), )</f>
        <v/>
      </c>
      <c r="C4044" s="37"/>
      <c r="D4044" s="37"/>
      <c r="E4044" s="38" t="s">
        <v>4864</v>
      </c>
      <c r="F4044" s="38" t="s">
        <v>4856</v>
      </c>
      <c r="G4044" s="38">
        <v>9.153765932815E12</v>
      </c>
      <c r="H4044" s="38" t="s">
        <v>4857</v>
      </c>
      <c r="I4044" s="38" t="s">
        <v>4858</v>
      </c>
      <c r="J4044" s="38" t="s">
        <v>134</v>
      </c>
      <c r="K4044" s="38" t="s">
        <v>126</v>
      </c>
      <c r="L4044" s="41">
        <v>46007.770833333336</v>
      </c>
      <c r="M4044" s="38" t="s">
        <v>123</v>
      </c>
      <c r="N4044" s="41">
        <v>46007.78125</v>
      </c>
      <c r="O4044" s="38" t="s">
        <v>123</v>
      </c>
      <c r="P4044" s="38">
        <v>900.0</v>
      </c>
      <c r="Q4044" s="39"/>
      <c r="R4044" s="39"/>
      <c r="S4044" s="39"/>
      <c r="T4044" s="39"/>
      <c r="U4044" s="39"/>
    </row>
    <row r="4045">
      <c r="A4045" s="40">
        <f t="shared" si="1"/>
        <v>46006</v>
      </c>
      <c r="B4045" s="37" t="str">
        <f t="array" ref="B4045">iferror(xlookup($I4045, 'IMPORT VHC Report'!$E:$E, 'IMPORT VHC Report'!$A:$C), )</f>
        <v/>
      </c>
      <c r="C4045" s="37"/>
      <c r="D4045" s="37"/>
      <c r="E4045" s="38" t="s">
        <v>4865</v>
      </c>
      <c r="F4045" s="38" t="s">
        <v>4856</v>
      </c>
      <c r="G4045" s="38">
        <v>9.153765932815E12</v>
      </c>
      <c r="H4045" s="38" t="s">
        <v>4857</v>
      </c>
      <c r="I4045" s="38" t="s">
        <v>4858</v>
      </c>
      <c r="J4045" s="38" t="s">
        <v>132</v>
      </c>
      <c r="K4045" s="38" t="s">
        <v>126</v>
      </c>
      <c r="L4045" s="41">
        <v>46007.854166666664</v>
      </c>
      <c r="M4045" s="38" t="s">
        <v>123</v>
      </c>
      <c r="N4045" s="41">
        <v>46007.895833333336</v>
      </c>
      <c r="O4045" s="38" t="s">
        <v>123</v>
      </c>
      <c r="P4045" s="38">
        <v>3600.0</v>
      </c>
      <c r="Q4045" s="39"/>
      <c r="R4045" s="39"/>
      <c r="S4045" s="39"/>
      <c r="T4045" s="39"/>
      <c r="U4045" s="39"/>
    </row>
    <row r="4046">
      <c r="A4046" s="40">
        <f t="shared" si="1"/>
        <v>46006</v>
      </c>
      <c r="B4046" s="37" t="str">
        <f t="array" ref="B4046">iferror(xlookup($I4046, 'IMPORT VHC Report'!$E:$E, 'IMPORT VHC Report'!$A:$C), )</f>
        <v/>
      </c>
      <c r="C4046" s="37"/>
      <c r="D4046" s="37"/>
      <c r="E4046" s="38" t="s">
        <v>4866</v>
      </c>
      <c r="F4046" s="38" t="s">
        <v>4856</v>
      </c>
      <c r="G4046" s="38">
        <v>9.153765932815E12</v>
      </c>
      <c r="H4046" s="38" t="s">
        <v>4857</v>
      </c>
      <c r="I4046" s="38" t="s">
        <v>4858</v>
      </c>
      <c r="J4046" s="38" t="s">
        <v>134</v>
      </c>
      <c r="K4046" s="38" t="s">
        <v>126</v>
      </c>
      <c r="L4046" s="41">
        <v>46007.96875</v>
      </c>
      <c r="M4046" s="38" t="s">
        <v>123</v>
      </c>
      <c r="N4046" s="41">
        <v>46007.979166666664</v>
      </c>
      <c r="O4046" s="38" t="s">
        <v>123</v>
      </c>
      <c r="P4046" s="38">
        <v>900.0</v>
      </c>
      <c r="Q4046" s="39"/>
      <c r="R4046" s="39"/>
      <c r="S4046" s="39"/>
      <c r="T4046" s="39"/>
      <c r="U4046" s="39"/>
    </row>
    <row r="4047">
      <c r="A4047" s="40">
        <f t="shared" si="1"/>
        <v>46006</v>
      </c>
      <c r="B4047" s="37" t="str">
        <f t="array" ref="B4047">iferror(xlookup($I4047, 'IMPORT VHC Report'!$E:$E, 'IMPORT VHC Report'!$A:$C), )</f>
        <v/>
      </c>
      <c r="C4047" s="37"/>
      <c r="D4047" s="37"/>
      <c r="E4047" s="38" t="s">
        <v>4867</v>
      </c>
      <c r="F4047" s="38" t="s">
        <v>4856</v>
      </c>
      <c r="G4047" s="38">
        <v>9.153765932815E12</v>
      </c>
      <c r="H4047" s="38" t="s">
        <v>4857</v>
      </c>
      <c r="I4047" s="38" t="s">
        <v>4858</v>
      </c>
      <c r="J4047" s="38" t="s">
        <v>4</v>
      </c>
      <c r="K4047" s="38" t="s">
        <v>126</v>
      </c>
      <c r="L4047" s="41">
        <v>46008.708333333336</v>
      </c>
      <c r="M4047" s="38" t="s">
        <v>123</v>
      </c>
      <c r="N4047" s="41">
        <v>46008.75</v>
      </c>
      <c r="O4047" s="38" t="s">
        <v>123</v>
      </c>
      <c r="P4047" s="38">
        <v>3600.0</v>
      </c>
      <c r="Q4047" s="39"/>
      <c r="R4047" s="39"/>
      <c r="S4047" s="38" t="s">
        <v>3090</v>
      </c>
      <c r="T4047" s="39"/>
      <c r="U4047" s="39"/>
    </row>
    <row r="4048">
      <c r="A4048" s="40">
        <f t="shared" si="1"/>
        <v>46006</v>
      </c>
      <c r="B4048" s="37" t="str">
        <f t="array" ref="B4048">iferror(xlookup($I4048, 'IMPORT VHC Report'!$E:$E, 'IMPORT VHC Report'!$A:$C), )</f>
        <v/>
      </c>
      <c r="C4048" s="37"/>
      <c r="D4048" s="37"/>
      <c r="E4048" s="38" t="s">
        <v>4868</v>
      </c>
      <c r="F4048" s="38" t="s">
        <v>4856</v>
      </c>
      <c r="G4048" s="38">
        <v>9.153765932815E12</v>
      </c>
      <c r="H4048" s="38" t="s">
        <v>4857</v>
      </c>
      <c r="I4048" s="38" t="s">
        <v>4858</v>
      </c>
      <c r="J4048" s="38" t="s">
        <v>4859</v>
      </c>
      <c r="K4048" s="38" t="s">
        <v>63</v>
      </c>
      <c r="L4048" s="41">
        <v>46008.708333333336</v>
      </c>
      <c r="M4048" s="38" t="s">
        <v>123</v>
      </c>
      <c r="N4048" s="41">
        <v>46009.0625</v>
      </c>
      <c r="O4048" s="38" t="s">
        <v>123</v>
      </c>
      <c r="P4048" s="38">
        <v>30600.0</v>
      </c>
      <c r="Q4048" s="39"/>
      <c r="R4048" s="39"/>
      <c r="S4048" s="39"/>
      <c r="T4048" s="39"/>
      <c r="U4048" s="39"/>
    </row>
    <row r="4049">
      <c r="A4049" s="40">
        <f t="shared" si="1"/>
        <v>46006</v>
      </c>
      <c r="B4049" s="37" t="str">
        <f t="array" ref="B4049">iferror(xlookup($I4049, 'IMPORT VHC Report'!$E:$E, 'IMPORT VHC Report'!$A:$C), )</f>
        <v/>
      </c>
      <c r="C4049" s="37"/>
      <c r="D4049" s="37"/>
      <c r="E4049" s="38" t="s">
        <v>4869</v>
      </c>
      <c r="F4049" s="38" t="s">
        <v>4856</v>
      </c>
      <c r="G4049" s="38">
        <v>9.153765932815E12</v>
      </c>
      <c r="H4049" s="38" t="s">
        <v>4857</v>
      </c>
      <c r="I4049" s="38" t="s">
        <v>4858</v>
      </c>
      <c r="J4049" s="38" t="s">
        <v>134</v>
      </c>
      <c r="K4049" s="38" t="s">
        <v>126</v>
      </c>
      <c r="L4049" s="41">
        <v>46008.770833333336</v>
      </c>
      <c r="M4049" s="38" t="s">
        <v>123</v>
      </c>
      <c r="N4049" s="41">
        <v>46008.78125</v>
      </c>
      <c r="O4049" s="38" t="s">
        <v>123</v>
      </c>
      <c r="P4049" s="38">
        <v>900.0</v>
      </c>
      <c r="Q4049" s="39"/>
      <c r="R4049" s="39"/>
      <c r="S4049" s="39"/>
      <c r="T4049" s="39"/>
      <c r="U4049" s="39"/>
    </row>
    <row r="4050">
      <c r="A4050" s="40">
        <f t="shared" si="1"/>
        <v>46006</v>
      </c>
      <c r="B4050" s="37" t="str">
        <f t="array" ref="B4050">iferror(xlookup($I4050, 'IMPORT VHC Report'!$E:$E, 'IMPORT VHC Report'!$A:$C), )</f>
        <v/>
      </c>
      <c r="C4050" s="37"/>
      <c r="D4050" s="37"/>
      <c r="E4050" s="38" t="s">
        <v>4870</v>
      </c>
      <c r="F4050" s="38" t="s">
        <v>4856</v>
      </c>
      <c r="G4050" s="38">
        <v>9.153765932815E12</v>
      </c>
      <c r="H4050" s="38" t="s">
        <v>4857</v>
      </c>
      <c r="I4050" s="38" t="s">
        <v>4858</v>
      </c>
      <c r="J4050" s="38" t="s">
        <v>132</v>
      </c>
      <c r="K4050" s="38" t="s">
        <v>126</v>
      </c>
      <c r="L4050" s="41">
        <v>46008.854166666664</v>
      </c>
      <c r="M4050" s="38" t="s">
        <v>123</v>
      </c>
      <c r="N4050" s="41">
        <v>46008.895833333336</v>
      </c>
      <c r="O4050" s="38" t="s">
        <v>123</v>
      </c>
      <c r="P4050" s="38">
        <v>3600.0</v>
      </c>
      <c r="Q4050" s="39"/>
      <c r="R4050" s="39"/>
      <c r="S4050" s="39"/>
      <c r="T4050" s="39"/>
      <c r="U4050" s="39"/>
    </row>
    <row r="4051">
      <c r="A4051" s="40">
        <f t="shared" si="1"/>
        <v>46006</v>
      </c>
      <c r="B4051" s="37" t="str">
        <f t="array" ref="B4051">iferror(xlookup($I4051, 'IMPORT VHC Report'!$E:$E, 'IMPORT VHC Report'!$A:$C), )</f>
        <v/>
      </c>
      <c r="C4051" s="37"/>
      <c r="D4051" s="37"/>
      <c r="E4051" s="38" t="s">
        <v>4871</v>
      </c>
      <c r="F4051" s="38" t="s">
        <v>4856</v>
      </c>
      <c r="G4051" s="38">
        <v>9.153765932815E12</v>
      </c>
      <c r="H4051" s="38" t="s">
        <v>4857</v>
      </c>
      <c r="I4051" s="38" t="s">
        <v>4858</v>
      </c>
      <c r="J4051" s="38" t="s">
        <v>134</v>
      </c>
      <c r="K4051" s="38" t="s">
        <v>126</v>
      </c>
      <c r="L4051" s="41">
        <v>46008.96875</v>
      </c>
      <c r="M4051" s="38" t="s">
        <v>123</v>
      </c>
      <c r="N4051" s="41">
        <v>46008.979166666664</v>
      </c>
      <c r="O4051" s="38" t="s">
        <v>123</v>
      </c>
      <c r="P4051" s="38">
        <v>900.0</v>
      </c>
      <c r="Q4051" s="39"/>
      <c r="R4051" s="39"/>
      <c r="S4051" s="39"/>
      <c r="T4051" s="39"/>
      <c r="U4051" s="39"/>
    </row>
    <row r="4052">
      <c r="A4052" s="40">
        <f t="shared" si="1"/>
        <v>46006</v>
      </c>
      <c r="B4052" s="37" t="str">
        <f t="array" ref="B4052">iferror(xlookup($I4052, 'IMPORT VHC Report'!$E:$E, 'IMPORT VHC Report'!$A:$C), )</f>
        <v/>
      </c>
      <c r="C4052" s="37"/>
      <c r="D4052" s="37"/>
      <c r="E4052" s="38" t="s">
        <v>4872</v>
      </c>
      <c r="F4052" s="38" t="s">
        <v>4856</v>
      </c>
      <c r="G4052" s="38">
        <v>9.153765932815E12</v>
      </c>
      <c r="H4052" s="38" t="s">
        <v>4857</v>
      </c>
      <c r="I4052" s="38" t="s">
        <v>4858</v>
      </c>
      <c r="J4052" s="38" t="s">
        <v>136</v>
      </c>
      <c r="K4052" s="38" t="s">
        <v>126</v>
      </c>
      <c r="L4052" s="41">
        <v>46009.0</v>
      </c>
      <c r="M4052" s="38" t="s">
        <v>123</v>
      </c>
      <c r="N4052" s="41">
        <v>46009.041666666664</v>
      </c>
      <c r="O4052" s="38" t="s">
        <v>123</v>
      </c>
      <c r="P4052" s="38">
        <v>3600.0</v>
      </c>
      <c r="Q4052" s="39"/>
      <c r="R4052" s="39"/>
      <c r="S4052" s="39"/>
      <c r="T4052" s="39"/>
      <c r="U4052" s="39"/>
    </row>
    <row r="4053">
      <c r="A4053" s="40">
        <f t="shared" si="1"/>
        <v>46006</v>
      </c>
      <c r="B4053" s="37" t="str">
        <f t="array" ref="B4053">iferror(xlookup($I4053, 'IMPORT VHC Report'!$E:$E, 'IMPORT VHC Report'!$A:$C), )</f>
        <v/>
      </c>
      <c r="C4053" s="37"/>
      <c r="D4053" s="37"/>
      <c r="E4053" s="38" t="s">
        <v>4873</v>
      </c>
      <c r="F4053" s="38" t="s">
        <v>4856</v>
      </c>
      <c r="G4053" s="38">
        <v>9.153765932815E12</v>
      </c>
      <c r="H4053" s="38" t="s">
        <v>4857</v>
      </c>
      <c r="I4053" s="38" t="s">
        <v>4858</v>
      </c>
      <c r="J4053" s="38" t="s">
        <v>136</v>
      </c>
      <c r="K4053" s="38" t="s">
        <v>126</v>
      </c>
      <c r="L4053" s="41">
        <v>46009.0</v>
      </c>
      <c r="M4053" s="38" t="s">
        <v>123</v>
      </c>
      <c r="N4053" s="41">
        <v>46009.041666666664</v>
      </c>
      <c r="O4053" s="38" t="s">
        <v>123</v>
      </c>
      <c r="P4053" s="38">
        <v>3600.0</v>
      </c>
      <c r="Q4053" s="39"/>
      <c r="R4053" s="39"/>
      <c r="S4053" s="38" t="s">
        <v>4874</v>
      </c>
      <c r="T4053" s="39"/>
      <c r="U4053" s="39"/>
    </row>
    <row r="4054">
      <c r="A4054" s="40">
        <f t="shared" si="1"/>
        <v>46006</v>
      </c>
      <c r="B4054" s="37" t="str">
        <f t="array" ref="B4054">iferror(xlookup($I4054, 'IMPORT VHC Report'!$E:$E, 'IMPORT VHC Report'!$A:$C), )</f>
        <v/>
      </c>
      <c r="C4054" s="37"/>
      <c r="D4054" s="37"/>
      <c r="E4054" s="38" t="s">
        <v>4875</v>
      </c>
      <c r="F4054" s="38" t="s">
        <v>4856</v>
      </c>
      <c r="G4054" s="38">
        <v>9.153765932815E12</v>
      </c>
      <c r="H4054" s="38" t="s">
        <v>4857</v>
      </c>
      <c r="I4054" s="38" t="s">
        <v>4858</v>
      </c>
      <c r="J4054" s="38" t="s">
        <v>4859</v>
      </c>
      <c r="K4054" s="38" t="s">
        <v>63</v>
      </c>
      <c r="L4054" s="41">
        <v>46009.708333333336</v>
      </c>
      <c r="M4054" s="38" t="s">
        <v>123</v>
      </c>
      <c r="N4054" s="41">
        <v>46010.0625</v>
      </c>
      <c r="O4054" s="38" t="s">
        <v>123</v>
      </c>
      <c r="P4054" s="38">
        <v>30600.0</v>
      </c>
      <c r="Q4054" s="39"/>
      <c r="R4054" s="39"/>
      <c r="S4054" s="39"/>
      <c r="T4054" s="39"/>
      <c r="U4054" s="39"/>
    </row>
    <row r="4055">
      <c r="A4055" s="40">
        <f t="shared" si="1"/>
        <v>46006</v>
      </c>
      <c r="B4055" s="37" t="str">
        <f t="array" ref="B4055">iferror(xlookup($I4055, 'IMPORT VHC Report'!$E:$E, 'IMPORT VHC Report'!$A:$C), )</f>
        <v/>
      </c>
      <c r="C4055" s="37"/>
      <c r="D4055" s="37"/>
      <c r="E4055" s="38" t="s">
        <v>4876</v>
      </c>
      <c r="F4055" s="38" t="s">
        <v>4856</v>
      </c>
      <c r="G4055" s="38">
        <v>9.153765932815E12</v>
      </c>
      <c r="H4055" s="38" t="s">
        <v>4857</v>
      </c>
      <c r="I4055" s="38" t="s">
        <v>4858</v>
      </c>
      <c r="J4055" s="38" t="s">
        <v>136</v>
      </c>
      <c r="K4055" s="38" t="s">
        <v>126</v>
      </c>
      <c r="L4055" s="41">
        <v>46009.854166666664</v>
      </c>
      <c r="M4055" s="38" t="s">
        <v>123</v>
      </c>
      <c r="N4055" s="41">
        <v>46009.916666666664</v>
      </c>
      <c r="O4055" s="38" t="s">
        <v>123</v>
      </c>
      <c r="P4055" s="38">
        <v>5400.0</v>
      </c>
      <c r="Q4055" s="39"/>
      <c r="R4055" s="39"/>
      <c r="S4055" s="38" t="s">
        <v>4877</v>
      </c>
      <c r="T4055" s="39"/>
      <c r="U4055" s="39"/>
    </row>
    <row r="4056">
      <c r="A4056" s="40">
        <f t="shared" si="1"/>
        <v>46006</v>
      </c>
      <c r="B4056" s="37" t="str">
        <f t="array" ref="B4056">iferror(xlookup($I4056, 'IMPORT VHC Report'!$E:$E, 'IMPORT VHC Report'!$A:$C), )</f>
        <v/>
      </c>
      <c r="C4056" s="37"/>
      <c r="D4056" s="37"/>
      <c r="E4056" s="38" t="s">
        <v>4878</v>
      </c>
      <c r="F4056" s="38" t="s">
        <v>4856</v>
      </c>
      <c r="G4056" s="38">
        <v>9.153765932815E12</v>
      </c>
      <c r="H4056" s="38" t="s">
        <v>4857</v>
      </c>
      <c r="I4056" s="38" t="s">
        <v>4858</v>
      </c>
      <c r="J4056" s="38" t="s">
        <v>134</v>
      </c>
      <c r="K4056" s="38" t="s">
        <v>126</v>
      </c>
      <c r="L4056" s="41">
        <v>46009.989583333336</v>
      </c>
      <c r="M4056" s="38" t="s">
        <v>123</v>
      </c>
      <c r="N4056" s="41">
        <v>46010.0</v>
      </c>
      <c r="O4056" s="38" t="s">
        <v>123</v>
      </c>
      <c r="P4056" s="38">
        <v>900.0</v>
      </c>
      <c r="Q4056" s="39"/>
      <c r="R4056" s="39"/>
      <c r="S4056" s="39"/>
      <c r="T4056" s="39"/>
      <c r="U4056" s="39"/>
    </row>
    <row r="4057">
      <c r="A4057" s="40">
        <f t="shared" si="1"/>
        <v>46006</v>
      </c>
      <c r="B4057" s="37" t="str">
        <f t="array" ref="B4057">iferror(xlookup($I4057, 'IMPORT VHC Report'!$E:$E, 'IMPORT VHC Report'!$A:$C), )</f>
        <v/>
      </c>
      <c r="C4057" s="37"/>
      <c r="D4057" s="37"/>
      <c r="E4057" s="38" t="s">
        <v>4879</v>
      </c>
      <c r="F4057" s="38" t="s">
        <v>4856</v>
      </c>
      <c r="G4057" s="38">
        <v>9.153765932815E12</v>
      </c>
      <c r="H4057" s="38" t="s">
        <v>4857</v>
      </c>
      <c r="I4057" s="38" t="s">
        <v>4858</v>
      </c>
      <c r="J4057" s="38" t="s">
        <v>136</v>
      </c>
      <c r="K4057" s="38" t="s">
        <v>126</v>
      </c>
      <c r="L4057" s="41">
        <v>46010.0</v>
      </c>
      <c r="M4057" s="38" t="s">
        <v>123</v>
      </c>
      <c r="N4057" s="41">
        <v>46010.041666666664</v>
      </c>
      <c r="O4057" s="38" t="s">
        <v>123</v>
      </c>
      <c r="P4057" s="38">
        <v>3600.0</v>
      </c>
      <c r="Q4057" s="39"/>
      <c r="R4057" s="39"/>
      <c r="S4057" s="38" t="s">
        <v>4880</v>
      </c>
      <c r="T4057" s="39"/>
      <c r="U4057" s="39"/>
    </row>
    <row r="4058">
      <c r="A4058" s="40">
        <f t="shared" si="1"/>
        <v>46006</v>
      </c>
      <c r="B4058" s="37" t="str">
        <f t="array" ref="B4058">iferror(xlookup($I4058, 'IMPORT VHC Report'!$E:$E, 'IMPORT VHC Report'!$A:$C), )</f>
        <v/>
      </c>
      <c r="C4058" s="37"/>
      <c r="D4058" s="37"/>
      <c r="E4058" s="38" t="s">
        <v>4881</v>
      </c>
      <c r="F4058" s="38" t="s">
        <v>4856</v>
      </c>
      <c r="G4058" s="38">
        <v>9.153765932815E12</v>
      </c>
      <c r="H4058" s="38" t="s">
        <v>4857</v>
      </c>
      <c r="I4058" s="38" t="s">
        <v>4858</v>
      </c>
      <c r="J4058" s="38" t="s">
        <v>4859</v>
      </c>
      <c r="K4058" s="38" t="s">
        <v>63</v>
      </c>
      <c r="L4058" s="41">
        <v>46010.708333333336</v>
      </c>
      <c r="M4058" s="38" t="s">
        <v>123</v>
      </c>
      <c r="N4058" s="41">
        <v>46011.0625</v>
      </c>
      <c r="O4058" s="38" t="s">
        <v>123</v>
      </c>
      <c r="P4058" s="38">
        <v>30600.0</v>
      </c>
      <c r="Q4058" s="39"/>
      <c r="R4058" s="39"/>
      <c r="S4058" s="39"/>
      <c r="T4058" s="39"/>
      <c r="U4058" s="39"/>
    </row>
    <row r="4059">
      <c r="A4059" s="40">
        <f t="shared" si="1"/>
        <v>46006</v>
      </c>
      <c r="B4059" s="37" t="str">
        <f t="array" ref="B4059">iferror(xlookup($I4059, 'IMPORT VHC Report'!$E:$E, 'IMPORT VHC Report'!$A:$C), )</f>
        <v/>
      </c>
      <c r="C4059" s="37"/>
      <c r="D4059" s="37"/>
      <c r="E4059" s="38" t="s">
        <v>4882</v>
      </c>
      <c r="F4059" s="38" t="s">
        <v>4856</v>
      </c>
      <c r="G4059" s="38">
        <v>9.153765932815E12</v>
      </c>
      <c r="H4059" s="38" t="s">
        <v>4857</v>
      </c>
      <c r="I4059" s="38" t="s">
        <v>4858</v>
      </c>
      <c r="J4059" s="38" t="s">
        <v>132</v>
      </c>
      <c r="K4059" s="38" t="s">
        <v>126</v>
      </c>
      <c r="L4059" s="41">
        <v>46010.875</v>
      </c>
      <c r="M4059" s="38" t="s">
        <v>123</v>
      </c>
      <c r="N4059" s="41">
        <v>46010.916666666664</v>
      </c>
      <c r="O4059" s="38" t="s">
        <v>123</v>
      </c>
      <c r="P4059" s="38">
        <v>3600.0</v>
      </c>
      <c r="Q4059" s="39"/>
      <c r="R4059" s="39"/>
      <c r="S4059" s="39"/>
      <c r="T4059" s="39"/>
      <c r="U4059" s="39"/>
    </row>
    <row r="4060">
      <c r="A4060" s="40">
        <f t="shared" si="1"/>
        <v>46006</v>
      </c>
      <c r="B4060" s="37" t="str">
        <f t="array" ref="B4060">iferror(xlookup($I4060, 'IMPORT VHC Report'!$E:$E, 'IMPORT VHC Report'!$A:$C), )</f>
        <v/>
      </c>
      <c r="C4060" s="37"/>
      <c r="D4060" s="37"/>
      <c r="E4060" s="38" t="s">
        <v>4883</v>
      </c>
      <c r="F4060" s="38" t="s">
        <v>4856</v>
      </c>
      <c r="G4060" s="38">
        <v>9.153765932815E12</v>
      </c>
      <c r="H4060" s="38" t="s">
        <v>4857</v>
      </c>
      <c r="I4060" s="38" t="s">
        <v>4858</v>
      </c>
      <c r="J4060" s="38" t="s">
        <v>4</v>
      </c>
      <c r="K4060" s="38" t="s">
        <v>126</v>
      </c>
      <c r="L4060" s="41">
        <v>46010.958333333336</v>
      </c>
      <c r="M4060" s="38" t="s">
        <v>123</v>
      </c>
      <c r="N4060" s="41">
        <v>46010.96875</v>
      </c>
      <c r="O4060" s="38" t="s">
        <v>123</v>
      </c>
      <c r="P4060" s="38">
        <v>900.0</v>
      </c>
      <c r="Q4060" s="39"/>
      <c r="R4060" s="39"/>
      <c r="S4060" s="38" t="s">
        <v>4884</v>
      </c>
      <c r="T4060" s="39"/>
      <c r="U4060" s="39"/>
    </row>
    <row r="4061">
      <c r="A4061" s="40">
        <f t="shared" si="1"/>
        <v>46006</v>
      </c>
      <c r="B4061" s="37" t="str">
        <f t="array" ref="B4061">iferror(xlookup($I4061, 'IMPORT VHC Report'!$E:$E, 'IMPORT VHC Report'!$A:$C), )</f>
        <v/>
      </c>
      <c r="C4061" s="37"/>
      <c r="D4061" s="37"/>
      <c r="E4061" s="38" t="s">
        <v>4885</v>
      </c>
      <c r="F4061" s="38" t="s">
        <v>4856</v>
      </c>
      <c r="G4061" s="38">
        <v>9.153765932815E12</v>
      </c>
      <c r="H4061" s="38" t="s">
        <v>4857</v>
      </c>
      <c r="I4061" s="38" t="s">
        <v>4858</v>
      </c>
      <c r="J4061" s="38" t="s">
        <v>134</v>
      </c>
      <c r="K4061" s="38" t="s">
        <v>126</v>
      </c>
      <c r="L4061" s="41">
        <v>46010.96875</v>
      </c>
      <c r="M4061" s="38" t="s">
        <v>123</v>
      </c>
      <c r="N4061" s="41">
        <v>46010.979166666664</v>
      </c>
      <c r="O4061" s="38" t="s">
        <v>123</v>
      </c>
      <c r="P4061" s="38">
        <v>900.0</v>
      </c>
      <c r="Q4061" s="39"/>
      <c r="R4061" s="39"/>
      <c r="S4061" s="39"/>
      <c r="T4061" s="39"/>
      <c r="U4061" s="39"/>
    </row>
    <row r="4062">
      <c r="A4062" s="40">
        <f t="shared" si="1"/>
        <v>46006</v>
      </c>
      <c r="B4062" s="37" t="str">
        <f t="array" ref="B4062">iferror(xlookup($I4062, 'IMPORT VHC Report'!$E:$E, 'IMPORT VHC Report'!$A:$C), )</f>
        <v/>
      </c>
      <c r="C4062" s="37"/>
      <c r="D4062" s="37"/>
      <c r="E4062" s="38" t="s">
        <v>4886</v>
      </c>
      <c r="F4062" s="38" t="s">
        <v>4856</v>
      </c>
      <c r="G4062" s="38">
        <v>9.153765932815E12</v>
      </c>
      <c r="H4062" s="38" t="s">
        <v>4857</v>
      </c>
      <c r="I4062" s="38" t="s">
        <v>4858</v>
      </c>
      <c r="J4062" s="38" t="s">
        <v>4</v>
      </c>
      <c r="K4062" s="38" t="s">
        <v>126</v>
      </c>
      <c r="L4062" s="41">
        <v>46010.979166666664</v>
      </c>
      <c r="M4062" s="38" t="s">
        <v>123</v>
      </c>
      <c r="N4062" s="41">
        <v>46011.083333333336</v>
      </c>
      <c r="O4062" s="38" t="s">
        <v>123</v>
      </c>
      <c r="P4062" s="38">
        <v>9000.0</v>
      </c>
      <c r="Q4062" s="39"/>
      <c r="R4062" s="39"/>
      <c r="S4062" s="38" t="s">
        <v>4884</v>
      </c>
      <c r="T4062" s="39"/>
      <c r="U4062" s="39"/>
    </row>
    <row r="4063">
      <c r="A4063" s="40">
        <f t="shared" si="1"/>
        <v>46006</v>
      </c>
      <c r="B4063" s="37" t="str">
        <f t="array" ref="B4063">iferror(xlookup($I4063, 'IMPORT VHC Report'!$E:$E, 'IMPORT VHC Report'!$A:$C), )</f>
        <v/>
      </c>
      <c r="C4063" s="37"/>
      <c r="D4063" s="37"/>
      <c r="E4063" s="38" t="s">
        <v>4887</v>
      </c>
      <c r="F4063" s="38" t="s">
        <v>4888</v>
      </c>
      <c r="G4063" s="38">
        <v>6.392444639375E12</v>
      </c>
      <c r="H4063" s="38" t="s">
        <v>4889</v>
      </c>
      <c r="I4063" s="38" t="s">
        <v>4890</v>
      </c>
      <c r="J4063" s="38" t="s">
        <v>4891</v>
      </c>
      <c r="K4063" s="38" t="s">
        <v>63</v>
      </c>
      <c r="L4063" s="41">
        <v>46006.708333333336</v>
      </c>
      <c r="M4063" s="38" t="s">
        <v>123</v>
      </c>
      <c r="N4063" s="41">
        <v>46007.083333333336</v>
      </c>
      <c r="O4063" s="38" t="s">
        <v>123</v>
      </c>
      <c r="P4063" s="38">
        <v>32400.0</v>
      </c>
      <c r="Q4063" s="39"/>
      <c r="R4063" s="39"/>
      <c r="S4063" s="39"/>
      <c r="T4063" s="39"/>
      <c r="U4063" s="39"/>
    </row>
    <row r="4064">
      <c r="A4064" s="40">
        <f t="shared" si="1"/>
        <v>46006</v>
      </c>
      <c r="B4064" s="37" t="str">
        <f t="array" ref="B4064">iferror(xlookup($I4064, 'IMPORT VHC Report'!$E:$E, 'IMPORT VHC Report'!$A:$C), )</f>
        <v/>
      </c>
      <c r="C4064" s="37"/>
      <c r="D4064" s="37"/>
      <c r="E4064" s="38" t="s">
        <v>4892</v>
      </c>
      <c r="F4064" s="38" t="s">
        <v>4888</v>
      </c>
      <c r="G4064" s="38">
        <v>6.392444639375E12</v>
      </c>
      <c r="H4064" s="38" t="s">
        <v>4889</v>
      </c>
      <c r="I4064" s="38" t="s">
        <v>4890</v>
      </c>
      <c r="J4064" s="38" t="s">
        <v>134</v>
      </c>
      <c r="K4064" s="38" t="s">
        <v>126</v>
      </c>
      <c r="L4064" s="41">
        <v>46006.78125</v>
      </c>
      <c r="M4064" s="38" t="s">
        <v>123</v>
      </c>
      <c r="N4064" s="41">
        <v>46006.791666666664</v>
      </c>
      <c r="O4064" s="38" t="s">
        <v>123</v>
      </c>
      <c r="P4064" s="38">
        <v>900.0</v>
      </c>
      <c r="Q4064" s="39"/>
      <c r="R4064" s="39"/>
      <c r="S4064" s="39"/>
      <c r="T4064" s="39"/>
      <c r="U4064" s="39"/>
    </row>
    <row r="4065">
      <c r="A4065" s="40">
        <f t="shared" si="1"/>
        <v>46006</v>
      </c>
      <c r="B4065" s="37" t="str">
        <f t="array" ref="B4065">iferror(xlookup($I4065, 'IMPORT VHC Report'!$E:$E, 'IMPORT VHC Report'!$A:$C), )</f>
        <v/>
      </c>
      <c r="C4065" s="37"/>
      <c r="D4065" s="37"/>
      <c r="E4065" s="38" t="s">
        <v>4893</v>
      </c>
      <c r="F4065" s="38" t="s">
        <v>4888</v>
      </c>
      <c r="G4065" s="38">
        <v>6.392444639375E12</v>
      </c>
      <c r="H4065" s="38" t="s">
        <v>4889</v>
      </c>
      <c r="I4065" s="38" t="s">
        <v>4890</v>
      </c>
      <c r="J4065" s="38" t="s">
        <v>132</v>
      </c>
      <c r="K4065" s="38" t="s">
        <v>126</v>
      </c>
      <c r="L4065" s="41">
        <v>46006.885416666664</v>
      </c>
      <c r="M4065" s="38" t="s">
        <v>123</v>
      </c>
      <c r="N4065" s="41">
        <v>46006.927083333336</v>
      </c>
      <c r="O4065" s="38" t="s">
        <v>123</v>
      </c>
      <c r="P4065" s="38">
        <v>3600.0</v>
      </c>
      <c r="Q4065" s="39"/>
      <c r="R4065" s="39"/>
      <c r="S4065" s="39"/>
      <c r="T4065" s="39"/>
      <c r="U4065" s="39"/>
    </row>
    <row r="4066">
      <c r="A4066" s="40">
        <f t="shared" si="1"/>
        <v>46006</v>
      </c>
      <c r="B4066" s="37" t="str">
        <f t="array" ref="B4066">iferror(xlookup($I4066, 'IMPORT VHC Report'!$E:$E, 'IMPORT VHC Report'!$A:$C), )</f>
        <v/>
      </c>
      <c r="C4066" s="37"/>
      <c r="D4066" s="37"/>
      <c r="E4066" s="38" t="s">
        <v>4894</v>
      </c>
      <c r="F4066" s="38" t="s">
        <v>4888</v>
      </c>
      <c r="G4066" s="38">
        <v>6.392444639375E12</v>
      </c>
      <c r="H4066" s="38" t="s">
        <v>4889</v>
      </c>
      <c r="I4066" s="38" t="s">
        <v>4890</v>
      </c>
      <c r="J4066" s="38" t="s">
        <v>134</v>
      </c>
      <c r="K4066" s="38" t="s">
        <v>126</v>
      </c>
      <c r="L4066" s="41">
        <v>46007.010416666664</v>
      </c>
      <c r="M4066" s="38" t="s">
        <v>123</v>
      </c>
      <c r="N4066" s="41">
        <v>46007.020833333336</v>
      </c>
      <c r="O4066" s="38" t="s">
        <v>123</v>
      </c>
      <c r="P4066" s="38">
        <v>900.0</v>
      </c>
      <c r="Q4066" s="39"/>
      <c r="R4066" s="39"/>
      <c r="S4066" s="39"/>
      <c r="T4066" s="39"/>
      <c r="U4066" s="39"/>
    </row>
    <row r="4067">
      <c r="A4067" s="40">
        <f t="shared" si="1"/>
        <v>46006</v>
      </c>
      <c r="B4067" s="37" t="str">
        <f t="array" ref="B4067">iferror(xlookup($I4067, 'IMPORT VHC Report'!$E:$E, 'IMPORT VHC Report'!$A:$C), )</f>
        <v/>
      </c>
      <c r="C4067" s="37"/>
      <c r="D4067" s="37"/>
      <c r="E4067" s="38" t="s">
        <v>4895</v>
      </c>
      <c r="F4067" s="38" t="s">
        <v>4888</v>
      </c>
      <c r="G4067" s="38">
        <v>6.392444639375E12</v>
      </c>
      <c r="H4067" s="38" t="s">
        <v>4889</v>
      </c>
      <c r="I4067" s="38" t="s">
        <v>4890</v>
      </c>
      <c r="J4067" s="38" t="s">
        <v>4891</v>
      </c>
      <c r="K4067" s="38" t="s">
        <v>63</v>
      </c>
      <c r="L4067" s="41">
        <v>46007.708333333336</v>
      </c>
      <c r="M4067" s="38" t="s">
        <v>123</v>
      </c>
      <c r="N4067" s="41">
        <v>46008.083333333336</v>
      </c>
      <c r="O4067" s="38" t="s">
        <v>123</v>
      </c>
      <c r="P4067" s="38">
        <v>32400.0</v>
      </c>
      <c r="Q4067" s="39"/>
      <c r="R4067" s="39"/>
      <c r="S4067" s="39"/>
      <c r="T4067" s="39"/>
      <c r="U4067" s="39"/>
    </row>
    <row r="4068">
      <c r="A4068" s="40">
        <f t="shared" si="1"/>
        <v>46006</v>
      </c>
      <c r="B4068" s="37" t="str">
        <f t="array" ref="B4068">iferror(xlookup($I4068, 'IMPORT VHC Report'!$E:$E, 'IMPORT VHC Report'!$A:$C), )</f>
        <v/>
      </c>
      <c r="C4068" s="37"/>
      <c r="D4068" s="37"/>
      <c r="E4068" s="38" t="s">
        <v>4896</v>
      </c>
      <c r="F4068" s="38" t="s">
        <v>4888</v>
      </c>
      <c r="G4068" s="38">
        <v>6.392444639375E12</v>
      </c>
      <c r="H4068" s="38" t="s">
        <v>4889</v>
      </c>
      <c r="I4068" s="38" t="s">
        <v>4890</v>
      </c>
      <c r="J4068" s="38" t="s">
        <v>134</v>
      </c>
      <c r="K4068" s="38" t="s">
        <v>126</v>
      </c>
      <c r="L4068" s="41">
        <v>46007.8125</v>
      </c>
      <c r="M4068" s="38" t="s">
        <v>123</v>
      </c>
      <c r="N4068" s="41">
        <v>46007.822916666664</v>
      </c>
      <c r="O4068" s="38" t="s">
        <v>123</v>
      </c>
      <c r="P4068" s="38">
        <v>900.0</v>
      </c>
      <c r="Q4068" s="39"/>
      <c r="R4068" s="39"/>
      <c r="S4068" s="39"/>
      <c r="T4068" s="39"/>
      <c r="U4068" s="39"/>
    </row>
    <row r="4069">
      <c r="A4069" s="40">
        <f t="shared" si="1"/>
        <v>46006</v>
      </c>
      <c r="B4069" s="37" t="str">
        <f t="array" ref="B4069">iferror(xlookup($I4069, 'IMPORT VHC Report'!$E:$E, 'IMPORT VHC Report'!$A:$C), )</f>
        <v/>
      </c>
      <c r="C4069" s="37"/>
      <c r="D4069" s="37"/>
      <c r="E4069" s="38" t="s">
        <v>4897</v>
      </c>
      <c r="F4069" s="38" t="s">
        <v>4888</v>
      </c>
      <c r="G4069" s="38">
        <v>6.392444639375E12</v>
      </c>
      <c r="H4069" s="38" t="s">
        <v>4889</v>
      </c>
      <c r="I4069" s="38" t="s">
        <v>4890</v>
      </c>
      <c r="J4069" s="38" t="s">
        <v>132</v>
      </c>
      <c r="K4069" s="38" t="s">
        <v>126</v>
      </c>
      <c r="L4069" s="41">
        <v>46007.90625</v>
      </c>
      <c r="M4069" s="38" t="s">
        <v>123</v>
      </c>
      <c r="N4069" s="41">
        <v>46007.947916666664</v>
      </c>
      <c r="O4069" s="38" t="s">
        <v>123</v>
      </c>
      <c r="P4069" s="38">
        <v>3600.0</v>
      </c>
      <c r="Q4069" s="39"/>
      <c r="R4069" s="39"/>
      <c r="S4069" s="39"/>
      <c r="T4069" s="39"/>
      <c r="U4069" s="39"/>
    </row>
    <row r="4070">
      <c r="A4070" s="40">
        <f t="shared" si="1"/>
        <v>46006</v>
      </c>
      <c r="B4070" s="37" t="str">
        <f t="array" ref="B4070">iferror(xlookup($I4070, 'IMPORT VHC Report'!$E:$E, 'IMPORT VHC Report'!$A:$C), )</f>
        <v/>
      </c>
      <c r="C4070" s="37"/>
      <c r="D4070" s="37"/>
      <c r="E4070" s="38" t="s">
        <v>4898</v>
      </c>
      <c r="F4070" s="38" t="s">
        <v>4888</v>
      </c>
      <c r="G4070" s="38">
        <v>6.392444639375E12</v>
      </c>
      <c r="H4070" s="38" t="s">
        <v>4889</v>
      </c>
      <c r="I4070" s="38" t="s">
        <v>4890</v>
      </c>
      <c r="J4070" s="38" t="s">
        <v>134</v>
      </c>
      <c r="K4070" s="38" t="s">
        <v>126</v>
      </c>
      <c r="L4070" s="41">
        <v>46008.010416666664</v>
      </c>
      <c r="M4070" s="38" t="s">
        <v>123</v>
      </c>
      <c r="N4070" s="41">
        <v>46008.020833333336</v>
      </c>
      <c r="O4070" s="38" t="s">
        <v>123</v>
      </c>
      <c r="P4070" s="38">
        <v>900.0</v>
      </c>
      <c r="Q4070" s="39"/>
      <c r="R4070" s="39"/>
      <c r="S4070" s="39"/>
      <c r="T4070" s="39"/>
      <c r="U4070" s="39"/>
    </row>
    <row r="4071">
      <c r="A4071" s="40">
        <f t="shared" si="1"/>
        <v>46006</v>
      </c>
      <c r="B4071" s="37" t="str">
        <f t="array" ref="B4071">iferror(xlookup($I4071, 'IMPORT VHC Report'!$E:$E, 'IMPORT VHC Report'!$A:$C), )</f>
        <v/>
      </c>
      <c r="C4071" s="37"/>
      <c r="D4071" s="37"/>
      <c r="E4071" s="38" t="s">
        <v>4899</v>
      </c>
      <c r="F4071" s="38" t="s">
        <v>4888</v>
      </c>
      <c r="G4071" s="38">
        <v>6.392444639375E12</v>
      </c>
      <c r="H4071" s="38" t="s">
        <v>4889</v>
      </c>
      <c r="I4071" s="38" t="s">
        <v>4890</v>
      </c>
      <c r="J4071" s="38" t="s">
        <v>4891</v>
      </c>
      <c r="K4071" s="38" t="s">
        <v>63</v>
      </c>
      <c r="L4071" s="41">
        <v>46008.708333333336</v>
      </c>
      <c r="M4071" s="38" t="s">
        <v>123</v>
      </c>
      <c r="N4071" s="41">
        <v>46009.083333333336</v>
      </c>
      <c r="O4071" s="38" t="s">
        <v>123</v>
      </c>
      <c r="P4071" s="38">
        <v>32400.0</v>
      </c>
      <c r="Q4071" s="39"/>
      <c r="R4071" s="39"/>
      <c r="S4071" s="39"/>
      <c r="T4071" s="39"/>
      <c r="U4071" s="39"/>
    </row>
    <row r="4072">
      <c r="A4072" s="40">
        <f t="shared" si="1"/>
        <v>46006</v>
      </c>
      <c r="B4072" s="37" t="str">
        <f t="array" ref="B4072">iferror(xlookup($I4072, 'IMPORT VHC Report'!$E:$E, 'IMPORT VHC Report'!$A:$C), )</f>
        <v/>
      </c>
      <c r="C4072" s="37"/>
      <c r="D4072" s="37"/>
      <c r="E4072" s="38" t="s">
        <v>4900</v>
      </c>
      <c r="F4072" s="38" t="s">
        <v>4888</v>
      </c>
      <c r="G4072" s="38">
        <v>6.392444639375E12</v>
      </c>
      <c r="H4072" s="38" t="s">
        <v>4889</v>
      </c>
      <c r="I4072" s="38" t="s">
        <v>4890</v>
      </c>
      <c r="J4072" s="38" t="s">
        <v>134</v>
      </c>
      <c r="K4072" s="38" t="s">
        <v>126</v>
      </c>
      <c r="L4072" s="41">
        <v>46008.78125</v>
      </c>
      <c r="M4072" s="38" t="s">
        <v>123</v>
      </c>
      <c r="N4072" s="41">
        <v>46008.791666666664</v>
      </c>
      <c r="O4072" s="38" t="s">
        <v>123</v>
      </c>
      <c r="P4072" s="38">
        <v>900.0</v>
      </c>
      <c r="Q4072" s="39"/>
      <c r="R4072" s="39"/>
      <c r="S4072" s="39"/>
      <c r="T4072" s="39"/>
      <c r="U4072" s="39"/>
    </row>
    <row r="4073">
      <c r="A4073" s="40">
        <f t="shared" si="1"/>
        <v>46006</v>
      </c>
      <c r="B4073" s="37" t="str">
        <f t="array" ref="B4073">iferror(xlookup($I4073, 'IMPORT VHC Report'!$E:$E, 'IMPORT VHC Report'!$A:$C), )</f>
        <v/>
      </c>
      <c r="C4073" s="37"/>
      <c r="D4073" s="37"/>
      <c r="E4073" s="38" t="s">
        <v>4901</v>
      </c>
      <c r="F4073" s="38" t="s">
        <v>4888</v>
      </c>
      <c r="G4073" s="38">
        <v>6.392444639375E12</v>
      </c>
      <c r="H4073" s="38" t="s">
        <v>4889</v>
      </c>
      <c r="I4073" s="38" t="s">
        <v>4890</v>
      </c>
      <c r="J4073" s="38" t="s">
        <v>132</v>
      </c>
      <c r="K4073" s="38" t="s">
        <v>126</v>
      </c>
      <c r="L4073" s="41">
        <v>46008.875</v>
      </c>
      <c r="M4073" s="38" t="s">
        <v>123</v>
      </c>
      <c r="N4073" s="41">
        <v>46008.916666666664</v>
      </c>
      <c r="O4073" s="38" t="s">
        <v>123</v>
      </c>
      <c r="P4073" s="38">
        <v>3600.0</v>
      </c>
      <c r="Q4073" s="39"/>
      <c r="R4073" s="39"/>
      <c r="S4073" s="39"/>
      <c r="T4073" s="39"/>
      <c r="U4073" s="39"/>
    </row>
    <row r="4074">
      <c r="A4074" s="40">
        <f t="shared" si="1"/>
        <v>46006</v>
      </c>
      <c r="B4074" s="37" t="str">
        <f t="array" ref="B4074">iferror(xlookup($I4074, 'IMPORT VHC Report'!$E:$E, 'IMPORT VHC Report'!$A:$C), )</f>
        <v/>
      </c>
      <c r="C4074" s="37"/>
      <c r="D4074" s="37"/>
      <c r="E4074" s="38" t="s">
        <v>4902</v>
      </c>
      <c r="F4074" s="38" t="s">
        <v>4888</v>
      </c>
      <c r="G4074" s="38">
        <v>6.392444639375E12</v>
      </c>
      <c r="H4074" s="38" t="s">
        <v>4889</v>
      </c>
      <c r="I4074" s="38" t="s">
        <v>4890</v>
      </c>
      <c r="J4074" s="38" t="s">
        <v>134</v>
      </c>
      <c r="K4074" s="38" t="s">
        <v>126</v>
      </c>
      <c r="L4074" s="41">
        <v>46009.0</v>
      </c>
      <c r="M4074" s="38" t="s">
        <v>123</v>
      </c>
      <c r="N4074" s="41">
        <v>46009.010416666664</v>
      </c>
      <c r="O4074" s="38" t="s">
        <v>123</v>
      </c>
      <c r="P4074" s="38">
        <v>900.0</v>
      </c>
      <c r="Q4074" s="39"/>
      <c r="R4074" s="39"/>
      <c r="S4074" s="39"/>
      <c r="T4074" s="39"/>
      <c r="U4074" s="39"/>
    </row>
    <row r="4075">
      <c r="A4075" s="40">
        <f t="shared" si="1"/>
        <v>46006</v>
      </c>
      <c r="B4075" s="37" t="str">
        <f t="array" ref="B4075">iferror(xlookup($I4075, 'IMPORT VHC Report'!$E:$E, 'IMPORT VHC Report'!$A:$C), )</f>
        <v/>
      </c>
      <c r="C4075" s="37"/>
      <c r="D4075" s="37"/>
      <c r="E4075" s="38" t="s">
        <v>4903</v>
      </c>
      <c r="F4075" s="38" t="s">
        <v>4888</v>
      </c>
      <c r="G4075" s="38">
        <v>6.392444639375E12</v>
      </c>
      <c r="H4075" s="38" t="s">
        <v>4889</v>
      </c>
      <c r="I4075" s="38" t="s">
        <v>4890</v>
      </c>
      <c r="J4075" s="38" t="s">
        <v>4891</v>
      </c>
      <c r="K4075" s="38" t="s">
        <v>63</v>
      </c>
      <c r="L4075" s="41">
        <v>46009.25</v>
      </c>
      <c r="M4075" s="38" t="s">
        <v>123</v>
      </c>
      <c r="N4075" s="41">
        <v>46009.520833333336</v>
      </c>
      <c r="O4075" s="38" t="s">
        <v>123</v>
      </c>
      <c r="P4075" s="38">
        <v>23400.0</v>
      </c>
      <c r="Q4075" s="39"/>
      <c r="R4075" s="39"/>
      <c r="S4075" s="39"/>
      <c r="T4075" s="39"/>
      <c r="U4075" s="39"/>
    </row>
    <row r="4076">
      <c r="A4076" s="40">
        <f t="shared" si="1"/>
        <v>46006</v>
      </c>
      <c r="B4076" s="37" t="str">
        <f t="array" ref="B4076">iferror(xlookup($I4076, 'IMPORT VHC Report'!$E:$E, 'IMPORT VHC Report'!$A:$C), )</f>
        <v/>
      </c>
      <c r="C4076" s="37"/>
      <c r="D4076" s="37"/>
      <c r="E4076" s="38" t="s">
        <v>4904</v>
      </c>
      <c r="F4076" s="38" t="s">
        <v>4888</v>
      </c>
      <c r="G4076" s="38">
        <v>6.392444639375E12</v>
      </c>
      <c r="H4076" s="38" t="s">
        <v>4889</v>
      </c>
      <c r="I4076" s="38" t="s">
        <v>4890</v>
      </c>
      <c r="J4076" s="38" t="s">
        <v>134</v>
      </c>
      <c r="K4076" s="38" t="s">
        <v>126</v>
      </c>
      <c r="L4076" s="41">
        <v>46009.34375</v>
      </c>
      <c r="M4076" s="38" t="s">
        <v>123</v>
      </c>
      <c r="N4076" s="41">
        <v>46009.354166666664</v>
      </c>
      <c r="O4076" s="38" t="s">
        <v>123</v>
      </c>
      <c r="P4076" s="38">
        <v>900.0</v>
      </c>
      <c r="Q4076" s="39"/>
      <c r="R4076" s="39"/>
      <c r="S4076" s="39"/>
      <c r="T4076" s="39"/>
      <c r="U4076" s="39"/>
    </row>
    <row r="4077">
      <c r="A4077" s="40">
        <f t="shared" si="1"/>
        <v>46006</v>
      </c>
      <c r="B4077" s="37" t="str">
        <f t="array" ref="B4077">iferror(xlookup($I4077, 'IMPORT VHC Report'!$E:$E, 'IMPORT VHC Report'!$A:$C), )</f>
        <v/>
      </c>
      <c r="C4077" s="37"/>
      <c r="D4077" s="37"/>
      <c r="E4077" s="38" t="s">
        <v>4905</v>
      </c>
      <c r="F4077" s="38" t="s">
        <v>4888</v>
      </c>
      <c r="G4077" s="38">
        <v>6.392444639375E12</v>
      </c>
      <c r="H4077" s="38" t="s">
        <v>4889</v>
      </c>
      <c r="I4077" s="38" t="s">
        <v>4890</v>
      </c>
      <c r="J4077" s="38" t="s">
        <v>132</v>
      </c>
      <c r="K4077" s="38" t="s">
        <v>126</v>
      </c>
      <c r="L4077" s="41">
        <v>46009.520833333336</v>
      </c>
      <c r="M4077" s="38" t="s">
        <v>123</v>
      </c>
      <c r="N4077" s="41">
        <v>46009.5625</v>
      </c>
      <c r="O4077" s="38" t="s">
        <v>123</v>
      </c>
      <c r="P4077" s="38">
        <v>3600.0</v>
      </c>
      <c r="Q4077" s="39"/>
      <c r="R4077" s="39"/>
      <c r="S4077" s="39"/>
      <c r="T4077" s="39"/>
      <c r="U4077" s="39"/>
    </row>
    <row r="4078">
      <c r="A4078" s="40">
        <f t="shared" si="1"/>
        <v>46006</v>
      </c>
      <c r="B4078" s="37" t="str">
        <f t="array" ref="B4078">iferror(xlookup($I4078, 'IMPORT VHC Report'!$E:$E, 'IMPORT VHC Report'!$A:$C), )</f>
        <v/>
      </c>
      <c r="C4078" s="37"/>
      <c r="D4078" s="37"/>
      <c r="E4078" s="38" t="s">
        <v>4906</v>
      </c>
      <c r="F4078" s="38" t="s">
        <v>4888</v>
      </c>
      <c r="G4078" s="38">
        <v>6.392444639375E12</v>
      </c>
      <c r="H4078" s="38" t="s">
        <v>4889</v>
      </c>
      <c r="I4078" s="38" t="s">
        <v>4890</v>
      </c>
      <c r="J4078" s="38" t="s">
        <v>136</v>
      </c>
      <c r="K4078" s="38" t="s">
        <v>126</v>
      </c>
      <c r="L4078" s="41">
        <v>46009.5625</v>
      </c>
      <c r="M4078" s="38" t="s">
        <v>123</v>
      </c>
      <c r="N4078" s="41">
        <v>46009.625</v>
      </c>
      <c r="O4078" s="38" t="s">
        <v>123</v>
      </c>
      <c r="P4078" s="38">
        <v>5400.0</v>
      </c>
      <c r="Q4078" s="39"/>
      <c r="R4078" s="39"/>
      <c r="S4078" s="38" t="s">
        <v>4907</v>
      </c>
      <c r="T4078" s="39"/>
      <c r="U4078" s="39"/>
    </row>
    <row r="4079">
      <c r="A4079" s="40">
        <f t="shared" si="1"/>
        <v>46006</v>
      </c>
      <c r="B4079" s="37" t="str">
        <f t="array" ref="B4079">iferror(xlookup($I4079, 'IMPORT VHC Report'!$E:$E, 'IMPORT VHC Report'!$A:$C), )</f>
        <v/>
      </c>
      <c r="C4079" s="37"/>
      <c r="D4079" s="37"/>
      <c r="E4079" s="38" t="s">
        <v>4908</v>
      </c>
      <c r="F4079" s="38" t="s">
        <v>4888</v>
      </c>
      <c r="G4079" s="38">
        <v>6.392444639375E12</v>
      </c>
      <c r="H4079" s="38" t="s">
        <v>4889</v>
      </c>
      <c r="I4079" s="38" t="s">
        <v>4890</v>
      </c>
      <c r="J4079" s="38" t="s">
        <v>4891</v>
      </c>
      <c r="K4079" s="38" t="s">
        <v>63</v>
      </c>
      <c r="L4079" s="41">
        <v>46010.708333333336</v>
      </c>
      <c r="M4079" s="38" t="s">
        <v>123</v>
      </c>
      <c r="N4079" s="41">
        <v>46011.083333333336</v>
      </c>
      <c r="O4079" s="38" t="s">
        <v>123</v>
      </c>
      <c r="P4079" s="38">
        <v>32400.0</v>
      </c>
      <c r="Q4079" s="39"/>
      <c r="R4079" s="39"/>
      <c r="S4079" s="39"/>
      <c r="T4079" s="39"/>
      <c r="U4079" s="39"/>
    </row>
    <row r="4080">
      <c r="A4080" s="40">
        <f t="shared" si="1"/>
        <v>46006</v>
      </c>
      <c r="B4080" s="37" t="str">
        <f t="array" ref="B4080">iferror(xlookup($I4080, 'IMPORT VHC Report'!$E:$E, 'IMPORT VHC Report'!$A:$C), )</f>
        <v/>
      </c>
      <c r="C4080" s="37"/>
      <c r="D4080" s="37"/>
      <c r="E4080" s="38" t="s">
        <v>4909</v>
      </c>
      <c r="F4080" s="38" t="s">
        <v>4888</v>
      </c>
      <c r="G4080" s="38">
        <v>6.392444639375E12</v>
      </c>
      <c r="H4080" s="38" t="s">
        <v>4889</v>
      </c>
      <c r="I4080" s="38" t="s">
        <v>4890</v>
      </c>
      <c r="J4080" s="38" t="s">
        <v>134</v>
      </c>
      <c r="K4080" s="38" t="s">
        <v>126</v>
      </c>
      <c r="L4080" s="41">
        <v>46010.770833333336</v>
      </c>
      <c r="M4080" s="38" t="s">
        <v>123</v>
      </c>
      <c r="N4080" s="41">
        <v>46010.78125</v>
      </c>
      <c r="O4080" s="38" t="s">
        <v>123</v>
      </c>
      <c r="P4080" s="38">
        <v>900.0</v>
      </c>
      <c r="Q4080" s="39"/>
      <c r="R4080" s="39"/>
      <c r="S4080" s="39"/>
      <c r="T4080" s="39"/>
      <c r="U4080" s="39"/>
    </row>
    <row r="4081">
      <c r="A4081" s="40">
        <f t="shared" si="1"/>
        <v>46006</v>
      </c>
      <c r="B4081" s="37" t="str">
        <f t="array" ref="B4081">iferror(xlookup($I4081, 'IMPORT VHC Report'!$E:$E, 'IMPORT VHC Report'!$A:$C), )</f>
        <v/>
      </c>
      <c r="C4081" s="37"/>
      <c r="D4081" s="37"/>
      <c r="E4081" s="38" t="s">
        <v>4910</v>
      </c>
      <c r="F4081" s="38" t="s">
        <v>4888</v>
      </c>
      <c r="G4081" s="38">
        <v>6.392444639375E12</v>
      </c>
      <c r="H4081" s="38" t="s">
        <v>4889</v>
      </c>
      <c r="I4081" s="38" t="s">
        <v>4890</v>
      </c>
      <c r="J4081" s="38" t="s">
        <v>132</v>
      </c>
      <c r="K4081" s="38" t="s">
        <v>126</v>
      </c>
      <c r="L4081" s="41">
        <v>46010.895833333336</v>
      </c>
      <c r="M4081" s="38" t="s">
        <v>123</v>
      </c>
      <c r="N4081" s="41">
        <v>46010.9375</v>
      </c>
      <c r="O4081" s="38" t="s">
        <v>123</v>
      </c>
      <c r="P4081" s="38">
        <v>3600.0</v>
      </c>
      <c r="Q4081" s="39"/>
      <c r="R4081" s="39"/>
      <c r="S4081" s="39"/>
      <c r="T4081" s="39"/>
      <c r="U4081" s="39"/>
    </row>
    <row r="4082">
      <c r="A4082" s="40">
        <f t="shared" si="1"/>
        <v>46006</v>
      </c>
      <c r="B4082" s="37" t="str">
        <f t="array" ref="B4082">iferror(xlookup($I4082, 'IMPORT VHC Report'!$E:$E, 'IMPORT VHC Report'!$A:$C), )</f>
        <v/>
      </c>
      <c r="C4082" s="37"/>
      <c r="D4082" s="37"/>
      <c r="E4082" s="38" t="s">
        <v>4911</v>
      </c>
      <c r="F4082" s="38" t="s">
        <v>4888</v>
      </c>
      <c r="G4082" s="38">
        <v>6.392444639375E12</v>
      </c>
      <c r="H4082" s="38" t="s">
        <v>4889</v>
      </c>
      <c r="I4082" s="38" t="s">
        <v>4890</v>
      </c>
      <c r="J4082" s="38" t="s">
        <v>134</v>
      </c>
      <c r="K4082" s="38" t="s">
        <v>126</v>
      </c>
      <c r="L4082" s="41">
        <v>46011.010416666664</v>
      </c>
      <c r="M4082" s="38" t="s">
        <v>123</v>
      </c>
      <c r="N4082" s="41">
        <v>46011.020833333336</v>
      </c>
      <c r="O4082" s="38" t="s">
        <v>123</v>
      </c>
      <c r="P4082" s="38">
        <v>900.0</v>
      </c>
      <c r="Q4082" s="39"/>
      <c r="R4082" s="39"/>
      <c r="S4082" s="39"/>
      <c r="T4082" s="39"/>
      <c r="U4082" s="39"/>
    </row>
    <row r="4083">
      <c r="A4083" s="40">
        <f t="shared" si="1"/>
        <v>46006</v>
      </c>
      <c r="B4083" s="37" t="str">
        <f t="array" ref="B4083">iferror(xlookup($I4083, 'IMPORT VHC Report'!$E:$E, 'IMPORT VHC Report'!$A:$C), )</f>
        <v/>
      </c>
      <c r="C4083" s="37"/>
      <c r="D4083" s="37"/>
      <c r="E4083" s="38" t="s">
        <v>4912</v>
      </c>
      <c r="F4083" s="38" t="s">
        <v>4913</v>
      </c>
      <c r="G4083" s="38">
        <v>1.0548581777679E13</v>
      </c>
      <c r="H4083" s="38" t="s">
        <v>4914</v>
      </c>
      <c r="I4083" s="38" t="s">
        <v>4915</v>
      </c>
      <c r="J4083" s="38" t="s">
        <v>224</v>
      </c>
      <c r="K4083" s="38" t="s">
        <v>63</v>
      </c>
      <c r="L4083" s="41">
        <v>46006.708333333336</v>
      </c>
      <c r="M4083" s="38" t="s">
        <v>123</v>
      </c>
      <c r="N4083" s="41">
        <v>46007.083333333336</v>
      </c>
      <c r="O4083" s="38" t="s">
        <v>123</v>
      </c>
      <c r="P4083" s="38">
        <v>32400.0</v>
      </c>
      <c r="Q4083" s="39"/>
      <c r="R4083" s="39"/>
      <c r="S4083" s="39"/>
      <c r="T4083" s="39"/>
      <c r="U4083" s="39"/>
    </row>
    <row r="4084">
      <c r="A4084" s="40">
        <f t="shared" si="1"/>
        <v>46006</v>
      </c>
      <c r="B4084" s="37" t="str">
        <f t="array" ref="B4084">iferror(xlookup($I4084, 'IMPORT VHC Report'!$E:$E, 'IMPORT VHC Report'!$A:$C), )</f>
        <v/>
      </c>
      <c r="C4084" s="37"/>
      <c r="D4084" s="37"/>
      <c r="E4084" s="38" t="s">
        <v>4916</v>
      </c>
      <c r="F4084" s="38" t="s">
        <v>4913</v>
      </c>
      <c r="G4084" s="38">
        <v>1.0548581777679E13</v>
      </c>
      <c r="H4084" s="38" t="s">
        <v>4914</v>
      </c>
      <c r="I4084" s="38" t="s">
        <v>4915</v>
      </c>
      <c r="J4084" s="38" t="s">
        <v>134</v>
      </c>
      <c r="K4084" s="38" t="s">
        <v>126</v>
      </c>
      <c r="L4084" s="41">
        <v>46006.770833333336</v>
      </c>
      <c r="M4084" s="38" t="s">
        <v>123</v>
      </c>
      <c r="N4084" s="41">
        <v>46006.78125</v>
      </c>
      <c r="O4084" s="38" t="s">
        <v>123</v>
      </c>
      <c r="P4084" s="38">
        <v>900.0</v>
      </c>
      <c r="Q4084" s="39"/>
      <c r="R4084" s="39"/>
      <c r="S4084" s="39"/>
      <c r="T4084" s="39"/>
      <c r="U4084" s="39"/>
    </row>
    <row r="4085">
      <c r="A4085" s="40">
        <f t="shared" si="1"/>
        <v>46006</v>
      </c>
      <c r="B4085" s="37" t="str">
        <f t="array" ref="B4085">iferror(xlookup($I4085, 'IMPORT VHC Report'!$E:$E, 'IMPORT VHC Report'!$A:$C), )</f>
        <v/>
      </c>
      <c r="C4085" s="37"/>
      <c r="D4085" s="37"/>
      <c r="E4085" s="38" t="s">
        <v>4917</v>
      </c>
      <c r="F4085" s="38" t="s">
        <v>4913</v>
      </c>
      <c r="G4085" s="38">
        <v>1.0548581777679E13</v>
      </c>
      <c r="H4085" s="38" t="s">
        <v>4914</v>
      </c>
      <c r="I4085" s="38" t="s">
        <v>4915</v>
      </c>
      <c r="J4085" s="38" t="s">
        <v>132</v>
      </c>
      <c r="K4085" s="38" t="s">
        <v>126</v>
      </c>
      <c r="L4085" s="41">
        <v>46006.895833333336</v>
      </c>
      <c r="M4085" s="38" t="s">
        <v>123</v>
      </c>
      <c r="N4085" s="41">
        <v>46006.9375</v>
      </c>
      <c r="O4085" s="38" t="s">
        <v>123</v>
      </c>
      <c r="P4085" s="38">
        <v>3600.0</v>
      </c>
      <c r="Q4085" s="39"/>
      <c r="R4085" s="39"/>
      <c r="S4085" s="39"/>
      <c r="T4085" s="39"/>
      <c r="U4085" s="39"/>
    </row>
    <row r="4086">
      <c r="A4086" s="40">
        <f t="shared" si="1"/>
        <v>46006</v>
      </c>
      <c r="B4086" s="37" t="str">
        <f t="array" ref="B4086">iferror(xlookup($I4086, 'IMPORT VHC Report'!$E:$E, 'IMPORT VHC Report'!$A:$C), )</f>
        <v/>
      </c>
      <c r="C4086" s="37"/>
      <c r="D4086" s="37"/>
      <c r="E4086" s="38" t="s">
        <v>4918</v>
      </c>
      <c r="F4086" s="38" t="s">
        <v>4913</v>
      </c>
      <c r="G4086" s="38">
        <v>1.0548581777679E13</v>
      </c>
      <c r="H4086" s="38" t="s">
        <v>4914</v>
      </c>
      <c r="I4086" s="38" t="s">
        <v>4915</v>
      </c>
      <c r="J4086" s="38" t="s">
        <v>134</v>
      </c>
      <c r="K4086" s="38" t="s">
        <v>126</v>
      </c>
      <c r="L4086" s="41">
        <v>46007.0</v>
      </c>
      <c r="M4086" s="38" t="s">
        <v>123</v>
      </c>
      <c r="N4086" s="41">
        <v>46007.010416666664</v>
      </c>
      <c r="O4086" s="38" t="s">
        <v>123</v>
      </c>
      <c r="P4086" s="38">
        <v>900.0</v>
      </c>
      <c r="Q4086" s="39"/>
      <c r="R4086" s="39"/>
      <c r="S4086" s="39"/>
      <c r="T4086" s="39"/>
      <c r="U4086" s="39"/>
    </row>
    <row r="4087">
      <c r="A4087" s="40">
        <f t="shared" si="1"/>
        <v>46006</v>
      </c>
      <c r="B4087" s="37" t="str">
        <f t="array" ref="B4087">iferror(xlookup($I4087, 'IMPORT VHC Report'!$E:$E, 'IMPORT VHC Report'!$A:$C), )</f>
        <v/>
      </c>
      <c r="C4087" s="37"/>
      <c r="D4087" s="37"/>
      <c r="E4087" s="38" t="s">
        <v>4919</v>
      </c>
      <c r="F4087" s="38" t="s">
        <v>4913</v>
      </c>
      <c r="G4087" s="38">
        <v>1.0548581777679E13</v>
      </c>
      <c r="H4087" s="38" t="s">
        <v>4914</v>
      </c>
      <c r="I4087" s="38" t="s">
        <v>4915</v>
      </c>
      <c r="J4087" s="38" t="s">
        <v>224</v>
      </c>
      <c r="K4087" s="38" t="s">
        <v>63</v>
      </c>
      <c r="L4087" s="41">
        <v>46007.010416666664</v>
      </c>
      <c r="M4087" s="38" t="s">
        <v>123</v>
      </c>
      <c r="N4087" s="41">
        <v>46007.083333333336</v>
      </c>
      <c r="O4087" s="38" t="s">
        <v>123</v>
      </c>
      <c r="P4087" s="38">
        <v>6300.0</v>
      </c>
      <c r="Q4087" s="39"/>
      <c r="R4087" s="39"/>
      <c r="S4087" s="39"/>
      <c r="T4087" s="39"/>
      <c r="U4087" s="39"/>
    </row>
    <row r="4088">
      <c r="A4088" s="40">
        <f t="shared" si="1"/>
        <v>46006</v>
      </c>
      <c r="B4088" s="37" t="str">
        <f t="array" ref="B4088">iferror(xlookup($I4088, 'IMPORT VHC Report'!$E:$E, 'IMPORT VHC Report'!$A:$C), )</f>
        <v/>
      </c>
      <c r="C4088" s="37"/>
      <c r="D4088" s="37"/>
      <c r="E4088" s="38" t="s">
        <v>4920</v>
      </c>
      <c r="F4088" s="38" t="s">
        <v>4913</v>
      </c>
      <c r="G4088" s="38">
        <v>1.0548581777679E13</v>
      </c>
      <c r="H4088" s="38" t="s">
        <v>4914</v>
      </c>
      <c r="I4088" s="38" t="s">
        <v>4915</v>
      </c>
      <c r="J4088" s="38" t="s">
        <v>224</v>
      </c>
      <c r="K4088" s="38" t="s">
        <v>63</v>
      </c>
      <c r="L4088" s="41">
        <v>46007.708333333336</v>
      </c>
      <c r="M4088" s="38" t="s">
        <v>123</v>
      </c>
      <c r="N4088" s="41">
        <v>46007.791666666664</v>
      </c>
      <c r="O4088" s="38" t="s">
        <v>123</v>
      </c>
      <c r="P4088" s="38">
        <v>7200.0</v>
      </c>
      <c r="Q4088" s="39"/>
      <c r="R4088" s="39"/>
      <c r="S4088" s="39"/>
      <c r="T4088" s="39"/>
      <c r="U4088" s="39"/>
    </row>
    <row r="4089">
      <c r="A4089" s="40">
        <f t="shared" si="1"/>
        <v>46006</v>
      </c>
      <c r="B4089" s="37" t="str">
        <f t="array" ref="B4089">iferror(xlookup($I4089, 'IMPORT VHC Report'!$E:$E, 'IMPORT VHC Report'!$A:$C), )</f>
        <v/>
      </c>
      <c r="C4089" s="37"/>
      <c r="D4089" s="37"/>
      <c r="E4089" s="38" t="s">
        <v>4921</v>
      </c>
      <c r="F4089" s="38" t="s">
        <v>4913</v>
      </c>
      <c r="G4089" s="38">
        <v>1.0548581777679E13</v>
      </c>
      <c r="H4089" s="38" t="s">
        <v>4914</v>
      </c>
      <c r="I4089" s="38" t="s">
        <v>4915</v>
      </c>
      <c r="J4089" s="38" t="s">
        <v>134</v>
      </c>
      <c r="K4089" s="38" t="s">
        <v>126</v>
      </c>
      <c r="L4089" s="41">
        <v>46007.791666666664</v>
      </c>
      <c r="M4089" s="38" t="s">
        <v>123</v>
      </c>
      <c r="N4089" s="41">
        <v>46007.802083333336</v>
      </c>
      <c r="O4089" s="38" t="s">
        <v>123</v>
      </c>
      <c r="P4089" s="38">
        <v>900.0</v>
      </c>
      <c r="Q4089" s="39"/>
      <c r="R4089" s="39"/>
      <c r="S4089" s="39"/>
      <c r="T4089" s="39"/>
      <c r="U4089" s="39"/>
    </row>
    <row r="4090">
      <c r="A4090" s="40">
        <f t="shared" si="1"/>
        <v>46006</v>
      </c>
      <c r="B4090" s="37" t="str">
        <f t="array" ref="B4090">iferror(xlookup($I4090, 'IMPORT VHC Report'!$E:$E, 'IMPORT VHC Report'!$A:$C), )</f>
        <v/>
      </c>
      <c r="C4090" s="37"/>
      <c r="D4090" s="37"/>
      <c r="E4090" s="38" t="s">
        <v>4922</v>
      </c>
      <c r="F4090" s="38" t="s">
        <v>4913</v>
      </c>
      <c r="G4090" s="38">
        <v>1.0548581777679E13</v>
      </c>
      <c r="H4090" s="38" t="s">
        <v>4914</v>
      </c>
      <c r="I4090" s="38" t="s">
        <v>4915</v>
      </c>
      <c r="J4090" s="38" t="s">
        <v>224</v>
      </c>
      <c r="K4090" s="38" t="s">
        <v>63</v>
      </c>
      <c r="L4090" s="41">
        <v>46007.802083333336</v>
      </c>
      <c r="M4090" s="38" t="s">
        <v>123</v>
      </c>
      <c r="N4090" s="41">
        <v>46007.864583333336</v>
      </c>
      <c r="O4090" s="38" t="s">
        <v>123</v>
      </c>
      <c r="P4090" s="38">
        <v>5400.0</v>
      </c>
      <c r="Q4090" s="39"/>
      <c r="R4090" s="39"/>
      <c r="S4090" s="39"/>
      <c r="T4090" s="39"/>
      <c r="U4090" s="39"/>
    </row>
    <row r="4091">
      <c r="A4091" s="40">
        <f t="shared" si="1"/>
        <v>46006</v>
      </c>
      <c r="B4091" s="37" t="str">
        <f t="array" ref="B4091">iferror(xlookup($I4091, 'IMPORT VHC Report'!$E:$E, 'IMPORT VHC Report'!$A:$C), )</f>
        <v/>
      </c>
      <c r="C4091" s="37"/>
      <c r="D4091" s="37"/>
      <c r="E4091" s="38" t="s">
        <v>4923</v>
      </c>
      <c r="F4091" s="38" t="s">
        <v>4913</v>
      </c>
      <c r="G4091" s="38">
        <v>1.0548581777679E13</v>
      </c>
      <c r="H4091" s="38" t="s">
        <v>4914</v>
      </c>
      <c r="I4091" s="38" t="s">
        <v>4915</v>
      </c>
      <c r="J4091" s="38" t="s">
        <v>134</v>
      </c>
      <c r="K4091" s="38" t="s">
        <v>126</v>
      </c>
      <c r="L4091" s="41">
        <v>46007.864583333336</v>
      </c>
      <c r="M4091" s="38" t="s">
        <v>123</v>
      </c>
      <c r="N4091" s="41">
        <v>46007.875</v>
      </c>
      <c r="O4091" s="38" t="s">
        <v>123</v>
      </c>
      <c r="P4091" s="38">
        <v>900.0</v>
      </c>
      <c r="Q4091" s="39"/>
      <c r="R4091" s="39"/>
      <c r="S4091" s="39"/>
      <c r="T4091" s="39"/>
      <c r="U4091" s="39"/>
    </row>
    <row r="4092">
      <c r="A4092" s="40">
        <f t="shared" si="1"/>
        <v>46006</v>
      </c>
      <c r="B4092" s="37" t="str">
        <f t="array" ref="B4092">iferror(xlookup($I4092, 'IMPORT VHC Report'!$E:$E, 'IMPORT VHC Report'!$A:$C), )</f>
        <v/>
      </c>
      <c r="C4092" s="37"/>
      <c r="D4092" s="37"/>
      <c r="E4092" s="38" t="s">
        <v>4924</v>
      </c>
      <c r="F4092" s="38" t="s">
        <v>4913</v>
      </c>
      <c r="G4092" s="38">
        <v>1.0548581777679E13</v>
      </c>
      <c r="H4092" s="38" t="s">
        <v>4914</v>
      </c>
      <c r="I4092" s="38" t="s">
        <v>4915</v>
      </c>
      <c r="J4092" s="38" t="s">
        <v>136</v>
      </c>
      <c r="K4092" s="38" t="s">
        <v>126</v>
      </c>
      <c r="L4092" s="41">
        <v>46007.875</v>
      </c>
      <c r="M4092" s="38" t="s">
        <v>123</v>
      </c>
      <c r="N4092" s="41">
        <v>46007.895833333336</v>
      </c>
      <c r="O4092" s="38" t="s">
        <v>123</v>
      </c>
      <c r="P4092" s="38">
        <v>1800.0</v>
      </c>
      <c r="Q4092" s="39"/>
      <c r="R4092" s="39"/>
      <c r="S4092" s="38" t="s">
        <v>4925</v>
      </c>
      <c r="T4092" s="39"/>
      <c r="U4092" s="39"/>
    </row>
    <row r="4093">
      <c r="A4093" s="40">
        <f t="shared" si="1"/>
        <v>46006</v>
      </c>
      <c r="B4093" s="37" t="str">
        <f t="array" ref="B4093">iferror(xlookup($I4093, 'IMPORT VHC Report'!$E:$E, 'IMPORT VHC Report'!$A:$C), )</f>
        <v/>
      </c>
      <c r="C4093" s="37"/>
      <c r="D4093" s="37"/>
      <c r="E4093" s="38" t="s">
        <v>4926</v>
      </c>
      <c r="F4093" s="38" t="s">
        <v>4913</v>
      </c>
      <c r="G4093" s="38">
        <v>1.0548581777679E13</v>
      </c>
      <c r="H4093" s="38" t="s">
        <v>4914</v>
      </c>
      <c r="I4093" s="38" t="s">
        <v>4915</v>
      </c>
      <c r="J4093" s="38" t="s">
        <v>224</v>
      </c>
      <c r="K4093" s="38" t="s">
        <v>63</v>
      </c>
      <c r="L4093" s="41">
        <v>46007.875</v>
      </c>
      <c r="M4093" s="38" t="s">
        <v>123</v>
      </c>
      <c r="N4093" s="41">
        <v>46007.96875</v>
      </c>
      <c r="O4093" s="38" t="s">
        <v>123</v>
      </c>
      <c r="P4093" s="38">
        <v>8100.0</v>
      </c>
      <c r="Q4093" s="39"/>
      <c r="R4093" s="39"/>
      <c r="S4093" s="39"/>
      <c r="T4093" s="39"/>
      <c r="U4093" s="39"/>
    </row>
    <row r="4094">
      <c r="A4094" s="40">
        <f t="shared" si="1"/>
        <v>46006</v>
      </c>
      <c r="B4094" s="37" t="str">
        <f t="array" ref="B4094">iferror(xlookup($I4094, 'IMPORT VHC Report'!$E:$E, 'IMPORT VHC Report'!$A:$C), )</f>
        <v/>
      </c>
      <c r="C4094" s="37"/>
      <c r="D4094" s="37"/>
      <c r="E4094" s="38" t="s">
        <v>4927</v>
      </c>
      <c r="F4094" s="38" t="s">
        <v>4913</v>
      </c>
      <c r="G4094" s="38">
        <v>1.0548581777679E13</v>
      </c>
      <c r="H4094" s="38" t="s">
        <v>4914</v>
      </c>
      <c r="I4094" s="38" t="s">
        <v>4915</v>
      </c>
      <c r="J4094" s="38" t="s">
        <v>132</v>
      </c>
      <c r="K4094" s="38" t="s">
        <v>126</v>
      </c>
      <c r="L4094" s="41">
        <v>46007.96875</v>
      </c>
      <c r="M4094" s="38" t="s">
        <v>123</v>
      </c>
      <c r="N4094" s="41">
        <v>46008.010416666664</v>
      </c>
      <c r="O4094" s="38" t="s">
        <v>123</v>
      </c>
      <c r="P4094" s="38">
        <v>3600.0</v>
      </c>
      <c r="Q4094" s="39"/>
      <c r="R4094" s="39"/>
      <c r="S4094" s="39"/>
      <c r="T4094" s="39"/>
      <c r="U4094" s="39"/>
    </row>
    <row r="4095">
      <c r="A4095" s="40">
        <f t="shared" si="1"/>
        <v>46006</v>
      </c>
      <c r="B4095" s="37" t="str">
        <f t="array" ref="B4095">iferror(xlookup($I4095, 'IMPORT VHC Report'!$E:$E, 'IMPORT VHC Report'!$A:$C), )</f>
        <v/>
      </c>
      <c r="C4095" s="37"/>
      <c r="D4095" s="37"/>
      <c r="E4095" s="38" t="s">
        <v>4928</v>
      </c>
      <c r="F4095" s="38" t="s">
        <v>4913</v>
      </c>
      <c r="G4095" s="38">
        <v>1.0548581777679E13</v>
      </c>
      <c r="H4095" s="38" t="s">
        <v>4914</v>
      </c>
      <c r="I4095" s="38" t="s">
        <v>4915</v>
      </c>
      <c r="J4095" s="38" t="s">
        <v>224</v>
      </c>
      <c r="K4095" s="38" t="s">
        <v>63</v>
      </c>
      <c r="L4095" s="41">
        <v>46008.010416666664</v>
      </c>
      <c r="M4095" s="38" t="s">
        <v>123</v>
      </c>
      <c r="N4095" s="41">
        <v>46008.041666666664</v>
      </c>
      <c r="O4095" s="38" t="s">
        <v>123</v>
      </c>
      <c r="P4095" s="38">
        <v>2700.0</v>
      </c>
      <c r="Q4095" s="39"/>
      <c r="R4095" s="39"/>
      <c r="S4095" s="39"/>
      <c r="T4095" s="39"/>
      <c r="U4095" s="39"/>
    </row>
    <row r="4096">
      <c r="A4096" s="40">
        <f t="shared" si="1"/>
        <v>46006</v>
      </c>
      <c r="B4096" s="37" t="str">
        <f t="array" ref="B4096">iferror(xlookup($I4096, 'IMPORT VHC Report'!$E:$E, 'IMPORT VHC Report'!$A:$C), )</f>
        <v/>
      </c>
      <c r="C4096" s="37"/>
      <c r="D4096" s="37"/>
      <c r="E4096" s="38" t="s">
        <v>4929</v>
      </c>
      <c r="F4096" s="38" t="s">
        <v>4913</v>
      </c>
      <c r="G4096" s="38">
        <v>1.0548581777679E13</v>
      </c>
      <c r="H4096" s="38" t="s">
        <v>4914</v>
      </c>
      <c r="I4096" s="38" t="s">
        <v>4915</v>
      </c>
      <c r="J4096" s="38" t="s">
        <v>224</v>
      </c>
      <c r="K4096" s="38" t="s">
        <v>63</v>
      </c>
      <c r="L4096" s="41">
        <v>46008.041666666664</v>
      </c>
      <c r="M4096" s="38" t="s">
        <v>123</v>
      </c>
      <c r="N4096" s="41">
        <v>46008.052083333336</v>
      </c>
      <c r="O4096" s="38" t="s">
        <v>123</v>
      </c>
      <c r="P4096" s="38">
        <v>900.0</v>
      </c>
      <c r="Q4096" s="39"/>
      <c r="R4096" s="39"/>
      <c r="S4096" s="39"/>
      <c r="T4096" s="39"/>
      <c r="U4096" s="39"/>
    </row>
    <row r="4097">
      <c r="A4097" s="40">
        <f t="shared" si="1"/>
        <v>46006</v>
      </c>
      <c r="B4097" s="37" t="str">
        <f t="array" ref="B4097">iferror(xlookup($I4097, 'IMPORT VHC Report'!$E:$E, 'IMPORT VHC Report'!$A:$C), )</f>
        <v/>
      </c>
      <c r="C4097" s="37"/>
      <c r="D4097" s="37"/>
      <c r="E4097" s="38" t="s">
        <v>4930</v>
      </c>
      <c r="F4097" s="38" t="s">
        <v>4913</v>
      </c>
      <c r="G4097" s="38">
        <v>1.0548581777679E13</v>
      </c>
      <c r="H4097" s="38" t="s">
        <v>4914</v>
      </c>
      <c r="I4097" s="38" t="s">
        <v>4915</v>
      </c>
      <c r="J4097" s="38" t="s">
        <v>224</v>
      </c>
      <c r="K4097" s="38" t="s">
        <v>63</v>
      </c>
      <c r="L4097" s="41">
        <v>46008.052083333336</v>
      </c>
      <c r="M4097" s="38" t="s">
        <v>123</v>
      </c>
      <c r="N4097" s="41">
        <v>46008.083333333336</v>
      </c>
      <c r="O4097" s="38" t="s">
        <v>123</v>
      </c>
      <c r="P4097" s="38">
        <v>2700.0</v>
      </c>
      <c r="Q4097" s="39"/>
      <c r="R4097" s="39"/>
      <c r="S4097" s="39"/>
      <c r="T4097" s="39"/>
      <c r="U4097" s="39"/>
    </row>
    <row r="4098">
      <c r="A4098" s="40">
        <f t="shared" si="1"/>
        <v>46006</v>
      </c>
      <c r="B4098" s="37" t="str">
        <f t="array" ref="B4098">iferror(xlookup($I4098, 'IMPORT VHC Report'!$E:$E, 'IMPORT VHC Report'!$A:$C), )</f>
        <v/>
      </c>
      <c r="C4098" s="37"/>
      <c r="D4098" s="37"/>
      <c r="E4098" s="38" t="s">
        <v>4931</v>
      </c>
      <c r="F4098" s="38" t="s">
        <v>4913</v>
      </c>
      <c r="G4098" s="38">
        <v>1.0548581777679E13</v>
      </c>
      <c r="H4098" s="38" t="s">
        <v>4914</v>
      </c>
      <c r="I4098" s="38" t="s">
        <v>4915</v>
      </c>
      <c r="J4098" s="38" t="s">
        <v>224</v>
      </c>
      <c r="K4098" s="38" t="s">
        <v>63</v>
      </c>
      <c r="L4098" s="41">
        <v>46008.708333333336</v>
      </c>
      <c r="M4098" s="38" t="s">
        <v>123</v>
      </c>
      <c r="N4098" s="41">
        <v>46008.802083333336</v>
      </c>
      <c r="O4098" s="38" t="s">
        <v>123</v>
      </c>
      <c r="P4098" s="38">
        <v>8100.0</v>
      </c>
      <c r="Q4098" s="39"/>
      <c r="R4098" s="39"/>
      <c r="S4098" s="39"/>
      <c r="T4098" s="39"/>
      <c r="U4098" s="39"/>
    </row>
    <row r="4099">
      <c r="A4099" s="40">
        <f t="shared" si="1"/>
        <v>46006</v>
      </c>
      <c r="B4099" s="37" t="str">
        <f t="array" ref="B4099">iferror(xlookup($I4099, 'IMPORT VHC Report'!$E:$E, 'IMPORT VHC Report'!$A:$C), )</f>
        <v/>
      </c>
      <c r="C4099" s="37"/>
      <c r="D4099" s="37"/>
      <c r="E4099" s="38" t="s">
        <v>4932</v>
      </c>
      <c r="F4099" s="38" t="s">
        <v>4913</v>
      </c>
      <c r="G4099" s="38">
        <v>1.0548581777679E13</v>
      </c>
      <c r="H4099" s="38" t="s">
        <v>4914</v>
      </c>
      <c r="I4099" s="38" t="s">
        <v>4915</v>
      </c>
      <c r="J4099" s="38" t="s">
        <v>134</v>
      </c>
      <c r="K4099" s="38" t="s">
        <v>126</v>
      </c>
      <c r="L4099" s="41">
        <v>46008.802083333336</v>
      </c>
      <c r="M4099" s="38" t="s">
        <v>123</v>
      </c>
      <c r="N4099" s="41">
        <v>46008.8125</v>
      </c>
      <c r="O4099" s="38" t="s">
        <v>123</v>
      </c>
      <c r="P4099" s="38">
        <v>900.0</v>
      </c>
      <c r="Q4099" s="39"/>
      <c r="R4099" s="39"/>
      <c r="S4099" s="39"/>
      <c r="T4099" s="39"/>
      <c r="U4099" s="39"/>
    </row>
    <row r="4100">
      <c r="A4100" s="40">
        <f t="shared" si="1"/>
        <v>46006</v>
      </c>
      <c r="B4100" s="37" t="str">
        <f t="array" ref="B4100">iferror(xlookup($I4100, 'IMPORT VHC Report'!$E:$E, 'IMPORT VHC Report'!$A:$C), )</f>
        <v/>
      </c>
      <c r="C4100" s="37"/>
      <c r="D4100" s="37"/>
      <c r="E4100" s="38" t="s">
        <v>4933</v>
      </c>
      <c r="F4100" s="38" t="s">
        <v>4913</v>
      </c>
      <c r="G4100" s="38">
        <v>1.0548581777679E13</v>
      </c>
      <c r="H4100" s="38" t="s">
        <v>4914</v>
      </c>
      <c r="I4100" s="38" t="s">
        <v>4915</v>
      </c>
      <c r="J4100" s="38" t="s">
        <v>224</v>
      </c>
      <c r="K4100" s="38" t="s">
        <v>63</v>
      </c>
      <c r="L4100" s="41">
        <v>46008.8125</v>
      </c>
      <c r="M4100" s="38" t="s">
        <v>123</v>
      </c>
      <c r="N4100" s="41">
        <v>46008.895833333336</v>
      </c>
      <c r="O4100" s="38" t="s">
        <v>123</v>
      </c>
      <c r="P4100" s="38">
        <v>7200.0</v>
      </c>
      <c r="Q4100" s="39"/>
      <c r="R4100" s="39"/>
      <c r="S4100" s="39"/>
      <c r="T4100" s="39"/>
      <c r="U4100" s="39"/>
    </row>
    <row r="4101">
      <c r="A4101" s="40">
        <f t="shared" si="1"/>
        <v>46006</v>
      </c>
      <c r="B4101" s="37" t="str">
        <f t="array" ref="B4101">iferror(xlookup($I4101, 'IMPORT VHC Report'!$E:$E, 'IMPORT VHC Report'!$A:$C), )</f>
        <v/>
      </c>
      <c r="C4101" s="37"/>
      <c r="D4101" s="37"/>
      <c r="E4101" s="38" t="s">
        <v>4934</v>
      </c>
      <c r="F4101" s="38" t="s">
        <v>4913</v>
      </c>
      <c r="G4101" s="38">
        <v>1.0548581777679E13</v>
      </c>
      <c r="H4101" s="38" t="s">
        <v>4914</v>
      </c>
      <c r="I4101" s="38" t="s">
        <v>4915</v>
      </c>
      <c r="J4101" s="38" t="s">
        <v>134</v>
      </c>
      <c r="K4101" s="38" t="s">
        <v>126</v>
      </c>
      <c r="L4101" s="41">
        <v>46008.895833333336</v>
      </c>
      <c r="M4101" s="38" t="s">
        <v>123</v>
      </c>
      <c r="N4101" s="41">
        <v>46008.90625</v>
      </c>
      <c r="O4101" s="38" t="s">
        <v>123</v>
      </c>
      <c r="P4101" s="38">
        <v>900.0</v>
      </c>
      <c r="Q4101" s="39"/>
      <c r="R4101" s="39"/>
      <c r="S4101" s="39"/>
      <c r="T4101" s="39"/>
      <c r="U4101" s="39"/>
    </row>
    <row r="4102">
      <c r="A4102" s="40">
        <f t="shared" si="1"/>
        <v>46006</v>
      </c>
      <c r="B4102" s="37" t="str">
        <f t="array" ref="B4102">iferror(xlookup($I4102, 'IMPORT VHC Report'!$E:$E, 'IMPORT VHC Report'!$A:$C), )</f>
        <v/>
      </c>
      <c r="C4102" s="37"/>
      <c r="D4102" s="37"/>
      <c r="E4102" s="38" t="s">
        <v>4935</v>
      </c>
      <c r="F4102" s="38" t="s">
        <v>4913</v>
      </c>
      <c r="G4102" s="38">
        <v>1.0548581777679E13</v>
      </c>
      <c r="H4102" s="38" t="s">
        <v>4914</v>
      </c>
      <c r="I4102" s="38" t="s">
        <v>4915</v>
      </c>
      <c r="J4102" s="38" t="s">
        <v>224</v>
      </c>
      <c r="K4102" s="38" t="s">
        <v>63</v>
      </c>
      <c r="L4102" s="41">
        <v>46008.90625</v>
      </c>
      <c r="M4102" s="38" t="s">
        <v>123</v>
      </c>
      <c r="N4102" s="41">
        <v>46008.979166666664</v>
      </c>
      <c r="O4102" s="38" t="s">
        <v>123</v>
      </c>
      <c r="P4102" s="38">
        <v>6300.0</v>
      </c>
      <c r="Q4102" s="39"/>
      <c r="R4102" s="39"/>
      <c r="S4102" s="39"/>
      <c r="T4102" s="39"/>
      <c r="U4102" s="39"/>
    </row>
    <row r="4103">
      <c r="A4103" s="40">
        <f t="shared" si="1"/>
        <v>46006</v>
      </c>
      <c r="B4103" s="37" t="str">
        <f t="array" ref="B4103">iferror(xlookup($I4103, 'IMPORT VHC Report'!$E:$E, 'IMPORT VHC Report'!$A:$C), )</f>
        <v/>
      </c>
      <c r="C4103" s="37"/>
      <c r="D4103" s="37"/>
      <c r="E4103" s="38" t="s">
        <v>4936</v>
      </c>
      <c r="F4103" s="38" t="s">
        <v>4913</v>
      </c>
      <c r="G4103" s="38">
        <v>1.0548581777679E13</v>
      </c>
      <c r="H4103" s="38" t="s">
        <v>4914</v>
      </c>
      <c r="I4103" s="38" t="s">
        <v>4915</v>
      </c>
      <c r="J4103" s="38" t="s">
        <v>132</v>
      </c>
      <c r="K4103" s="38" t="s">
        <v>126</v>
      </c>
      <c r="L4103" s="41">
        <v>46008.979166666664</v>
      </c>
      <c r="M4103" s="38" t="s">
        <v>123</v>
      </c>
      <c r="N4103" s="41">
        <v>46009.020833333336</v>
      </c>
      <c r="O4103" s="38" t="s">
        <v>123</v>
      </c>
      <c r="P4103" s="38">
        <v>3600.0</v>
      </c>
      <c r="Q4103" s="39"/>
      <c r="R4103" s="39"/>
      <c r="S4103" s="39"/>
      <c r="T4103" s="39"/>
      <c r="U4103" s="39"/>
    </row>
    <row r="4104">
      <c r="A4104" s="40">
        <f t="shared" si="1"/>
        <v>46006</v>
      </c>
      <c r="B4104" s="37" t="str">
        <f t="array" ref="B4104">iferror(xlookup($I4104, 'IMPORT VHC Report'!$E:$E, 'IMPORT VHC Report'!$A:$C), )</f>
        <v/>
      </c>
      <c r="C4104" s="37"/>
      <c r="D4104" s="37"/>
      <c r="E4104" s="38" t="s">
        <v>4937</v>
      </c>
      <c r="F4104" s="38" t="s">
        <v>4913</v>
      </c>
      <c r="G4104" s="38">
        <v>1.0548581777679E13</v>
      </c>
      <c r="H4104" s="38" t="s">
        <v>4914</v>
      </c>
      <c r="I4104" s="38" t="s">
        <v>4915</v>
      </c>
      <c r="J4104" s="38" t="s">
        <v>4</v>
      </c>
      <c r="K4104" s="38" t="s">
        <v>126</v>
      </c>
      <c r="L4104" s="41">
        <v>46009.020833333336</v>
      </c>
      <c r="M4104" s="38" t="s">
        <v>123</v>
      </c>
      <c r="N4104" s="41">
        <v>46009.0625</v>
      </c>
      <c r="O4104" s="38" t="s">
        <v>123</v>
      </c>
      <c r="P4104" s="38">
        <v>3600.0</v>
      </c>
      <c r="Q4104" s="39"/>
      <c r="R4104" s="39"/>
      <c r="S4104" s="38" t="s">
        <v>858</v>
      </c>
      <c r="T4104" s="39"/>
      <c r="U4104" s="39"/>
    </row>
    <row r="4105">
      <c r="A4105" s="40">
        <f t="shared" si="1"/>
        <v>46006</v>
      </c>
      <c r="B4105" s="37" t="str">
        <f t="array" ref="B4105">iferror(xlookup($I4105, 'IMPORT VHC Report'!$E:$E, 'IMPORT VHC Report'!$A:$C), )</f>
        <v/>
      </c>
      <c r="C4105" s="37"/>
      <c r="D4105" s="37"/>
      <c r="E4105" s="38" t="s">
        <v>4938</v>
      </c>
      <c r="F4105" s="38" t="s">
        <v>4913</v>
      </c>
      <c r="G4105" s="38">
        <v>1.0548581777679E13</v>
      </c>
      <c r="H4105" s="38" t="s">
        <v>4914</v>
      </c>
      <c r="I4105" s="38" t="s">
        <v>4915</v>
      </c>
      <c r="J4105" s="38" t="s">
        <v>224</v>
      </c>
      <c r="K4105" s="38" t="s">
        <v>63</v>
      </c>
      <c r="L4105" s="41">
        <v>46009.020833333336</v>
      </c>
      <c r="M4105" s="38" t="s">
        <v>123</v>
      </c>
      <c r="N4105" s="41">
        <v>46009.083333333336</v>
      </c>
      <c r="O4105" s="38" t="s">
        <v>123</v>
      </c>
      <c r="P4105" s="38">
        <v>5400.0</v>
      </c>
      <c r="Q4105" s="39"/>
      <c r="R4105" s="39"/>
      <c r="S4105" s="39"/>
      <c r="T4105" s="39"/>
      <c r="U4105" s="39"/>
    </row>
    <row r="4106">
      <c r="A4106" s="40">
        <f t="shared" si="1"/>
        <v>46006</v>
      </c>
      <c r="B4106" s="37" t="str">
        <f t="array" ref="B4106">iferror(xlookup($I4106, 'IMPORT VHC Report'!$E:$E, 'IMPORT VHC Report'!$A:$C), )</f>
        <v/>
      </c>
      <c r="C4106" s="37"/>
      <c r="D4106" s="37"/>
      <c r="E4106" s="38" t="s">
        <v>4939</v>
      </c>
      <c r="F4106" s="38" t="s">
        <v>4913</v>
      </c>
      <c r="G4106" s="38">
        <v>1.0548581777679E13</v>
      </c>
      <c r="H4106" s="38" t="s">
        <v>4914</v>
      </c>
      <c r="I4106" s="38" t="s">
        <v>4915</v>
      </c>
      <c r="J4106" s="38" t="s">
        <v>224</v>
      </c>
      <c r="K4106" s="38" t="s">
        <v>63</v>
      </c>
      <c r="L4106" s="41">
        <v>46009.708333333336</v>
      </c>
      <c r="M4106" s="38" t="s">
        <v>123</v>
      </c>
      <c r="N4106" s="41">
        <v>46009.791666666664</v>
      </c>
      <c r="O4106" s="38" t="s">
        <v>123</v>
      </c>
      <c r="P4106" s="38">
        <v>7200.0</v>
      </c>
      <c r="Q4106" s="39"/>
      <c r="R4106" s="39"/>
      <c r="S4106" s="39"/>
      <c r="T4106" s="39"/>
      <c r="U4106" s="39"/>
    </row>
    <row r="4107">
      <c r="A4107" s="40">
        <f t="shared" si="1"/>
        <v>46006</v>
      </c>
      <c r="B4107" s="37" t="str">
        <f t="array" ref="B4107">iferror(xlookup($I4107, 'IMPORT VHC Report'!$E:$E, 'IMPORT VHC Report'!$A:$C), )</f>
        <v/>
      </c>
      <c r="C4107" s="37"/>
      <c r="D4107" s="37"/>
      <c r="E4107" s="38" t="s">
        <v>4940</v>
      </c>
      <c r="F4107" s="38" t="s">
        <v>4913</v>
      </c>
      <c r="G4107" s="38">
        <v>1.0548581777679E13</v>
      </c>
      <c r="H4107" s="38" t="s">
        <v>4914</v>
      </c>
      <c r="I4107" s="38" t="s">
        <v>4915</v>
      </c>
      <c r="J4107" s="38" t="s">
        <v>134</v>
      </c>
      <c r="K4107" s="38" t="s">
        <v>126</v>
      </c>
      <c r="L4107" s="41">
        <v>46009.791666666664</v>
      </c>
      <c r="M4107" s="38" t="s">
        <v>123</v>
      </c>
      <c r="N4107" s="41">
        <v>46009.802083333336</v>
      </c>
      <c r="O4107" s="38" t="s">
        <v>123</v>
      </c>
      <c r="P4107" s="38">
        <v>900.0</v>
      </c>
      <c r="Q4107" s="39"/>
      <c r="R4107" s="39"/>
      <c r="S4107" s="39"/>
      <c r="T4107" s="39"/>
      <c r="U4107" s="39"/>
    </row>
    <row r="4108">
      <c r="A4108" s="40">
        <f t="shared" si="1"/>
        <v>46006</v>
      </c>
      <c r="B4108" s="37" t="str">
        <f t="array" ref="B4108">iferror(xlookup($I4108, 'IMPORT VHC Report'!$E:$E, 'IMPORT VHC Report'!$A:$C), )</f>
        <v/>
      </c>
      <c r="C4108" s="37"/>
      <c r="D4108" s="37"/>
      <c r="E4108" s="38" t="s">
        <v>4941</v>
      </c>
      <c r="F4108" s="38" t="s">
        <v>4913</v>
      </c>
      <c r="G4108" s="38">
        <v>1.0548581777679E13</v>
      </c>
      <c r="H4108" s="38" t="s">
        <v>4914</v>
      </c>
      <c r="I4108" s="38" t="s">
        <v>4915</v>
      </c>
      <c r="J4108" s="38" t="s">
        <v>224</v>
      </c>
      <c r="K4108" s="38" t="s">
        <v>63</v>
      </c>
      <c r="L4108" s="41">
        <v>46009.802083333336</v>
      </c>
      <c r="M4108" s="38" t="s">
        <v>123</v>
      </c>
      <c r="N4108" s="41">
        <v>46009.864583333336</v>
      </c>
      <c r="O4108" s="38" t="s">
        <v>123</v>
      </c>
      <c r="P4108" s="38">
        <v>5400.0</v>
      </c>
      <c r="Q4108" s="39"/>
      <c r="R4108" s="39"/>
      <c r="S4108" s="39"/>
      <c r="T4108" s="39"/>
      <c r="U4108" s="39"/>
    </row>
    <row r="4109">
      <c r="A4109" s="40">
        <f t="shared" si="1"/>
        <v>46006</v>
      </c>
      <c r="B4109" s="37" t="str">
        <f t="array" ref="B4109">iferror(xlookup($I4109, 'IMPORT VHC Report'!$E:$E, 'IMPORT VHC Report'!$A:$C), )</f>
        <v/>
      </c>
      <c r="C4109" s="37"/>
      <c r="D4109" s="37"/>
      <c r="E4109" s="38" t="s">
        <v>4942</v>
      </c>
      <c r="F4109" s="38" t="s">
        <v>4913</v>
      </c>
      <c r="G4109" s="38">
        <v>1.0548581777679E13</v>
      </c>
      <c r="H4109" s="38" t="s">
        <v>4914</v>
      </c>
      <c r="I4109" s="38" t="s">
        <v>4915</v>
      </c>
      <c r="J4109" s="38" t="s">
        <v>132</v>
      </c>
      <c r="K4109" s="38" t="s">
        <v>126</v>
      </c>
      <c r="L4109" s="41">
        <v>46009.864583333336</v>
      </c>
      <c r="M4109" s="38" t="s">
        <v>123</v>
      </c>
      <c r="N4109" s="41">
        <v>46009.90625</v>
      </c>
      <c r="O4109" s="38" t="s">
        <v>123</v>
      </c>
      <c r="P4109" s="38">
        <v>3600.0</v>
      </c>
      <c r="Q4109" s="39"/>
      <c r="R4109" s="39"/>
      <c r="S4109" s="39"/>
      <c r="T4109" s="39"/>
      <c r="U4109" s="39"/>
    </row>
    <row r="4110">
      <c r="A4110" s="40">
        <f t="shared" si="1"/>
        <v>46006</v>
      </c>
      <c r="B4110" s="37" t="str">
        <f t="array" ref="B4110">iferror(xlookup($I4110, 'IMPORT VHC Report'!$E:$E, 'IMPORT VHC Report'!$A:$C), )</f>
        <v/>
      </c>
      <c r="C4110" s="37"/>
      <c r="D4110" s="37"/>
      <c r="E4110" s="38" t="s">
        <v>4943</v>
      </c>
      <c r="F4110" s="38" t="s">
        <v>4913</v>
      </c>
      <c r="G4110" s="38">
        <v>1.0548581777679E13</v>
      </c>
      <c r="H4110" s="38" t="s">
        <v>4914</v>
      </c>
      <c r="I4110" s="38" t="s">
        <v>4915</v>
      </c>
      <c r="J4110" s="38" t="s">
        <v>224</v>
      </c>
      <c r="K4110" s="38" t="s">
        <v>63</v>
      </c>
      <c r="L4110" s="41">
        <v>46009.90625</v>
      </c>
      <c r="M4110" s="38" t="s">
        <v>123</v>
      </c>
      <c r="N4110" s="41">
        <v>46009.989583333336</v>
      </c>
      <c r="O4110" s="38" t="s">
        <v>123</v>
      </c>
      <c r="P4110" s="38">
        <v>7200.0</v>
      </c>
      <c r="Q4110" s="39"/>
      <c r="R4110" s="39"/>
      <c r="S4110" s="39"/>
      <c r="T4110" s="39"/>
      <c r="U4110" s="39"/>
    </row>
    <row r="4111">
      <c r="A4111" s="40">
        <f t="shared" si="1"/>
        <v>46006</v>
      </c>
      <c r="B4111" s="37" t="str">
        <f t="array" ref="B4111">iferror(xlookup($I4111, 'IMPORT VHC Report'!$E:$E, 'IMPORT VHC Report'!$A:$C), )</f>
        <v/>
      </c>
      <c r="C4111" s="37"/>
      <c r="D4111" s="37"/>
      <c r="E4111" s="38" t="s">
        <v>4944</v>
      </c>
      <c r="F4111" s="38" t="s">
        <v>4913</v>
      </c>
      <c r="G4111" s="38">
        <v>1.0548581777679E13</v>
      </c>
      <c r="H4111" s="38" t="s">
        <v>4914</v>
      </c>
      <c r="I4111" s="38" t="s">
        <v>4915</v>
      </c>
      <c r="J4111" s="38" t="s">
        <v>134</v>
      </c>
      <c r="K4111" s="38" t="s">
        <v>126</v>
      </c>
      <c r="L4111" s="41">
        <v>46009.989583333336</v>
      </c>
      <c r="M4111" s="38" t="s">
        <v>123</v>
      </c>
      <c r="N4111" s="41">
        <v>46010.0</v>
      </c>
      <c r="O4111" s="38" t="s">
        <v>123</v>
      </c>
      <c r="P4111" s="38">
        <v>900.0</v>
      </c>
      <c r="Q4111" s="39"/>
      <c r="R4111" s="39"/>
      <c r="S4111" s="39"/>
      <c r="T4111" s="39"/>
      <c r="U4111" s="39"/>
    </row>
    <row r="4112">
      <c r="A4112" s="40">
        <f t="shared" si="1"/>
        <v>46006</v>
      </c>
      <c r="B4112" s="37" t="str">
        <f t="array" ref="B4112">iferror(xlookup($I4112, 'IMPORT VHC Report'!$E:$E, 'IMPORT VHC Report'!$A:$C), )</f>
        <v/>
      </c>
      <c r="C4112" s="37"/>
      <c r="D4112" s="37"/>
      <c r="E4112" s="38" t="s">
        <v>4945</v>
      </c>
      <c r="F4112" s="38" t="s">
        <v>4913</v>
      </c>
      <c r="G4112" s="38">
        <v>1.0548581777679E13</v>
      </c>
      <c r="H4112" s="38" t="s">
        <v>4914</v>
      </c>
      <c r="I4112" s="38" t="s">
        <v>4915</v>
      </c>
      <c r="J4112" s="38" t="s">
        <v>224</v>
      </c>
      <c r="K4112" s="38" t="s">
        <v>63</v>
      </c>
      <c r="L4112" s="41">
        <v>46010.0</v>
      </c>
      <c r="M4112" s="38" t="s">
        <v>123</v>
      </c>
      <c r="N4112" s="41">
        <v>46010.083333333336</v>
      </c>
      <c r="O4112" s="38" t="s">
        <v>123</v>
      </c>
      <c r="P4112" s="38">
        <v>7200.0</v>
      </c>
      <c r="Q4112" s="39"/>
      <c r="R4112" s="39"/>
      <c r="S4112" s="39"/>
      <c r="T4112" s="39"/>
      <c r="U4112" s="39"/>
    </row>
    <row r="4113">
      <c r="A4113" s="40">
        <f t="shared" si="1"/>
        <v>46006</v>
      </c>
      <c r="B4113" s="37" t="str">
        <f t="array" ref="B4113">iferror(xlookup($I4113, 'IMPORT VHC Report'!$E:$E, 'IMPORT VHC Report'!$A:$C), )</f>
        <v/>
      </c>
      <c r="C4113" s="37"/>
      <c r="D4113" s="37"/>
      <c r="E4113" s="38" t="s">
        <v>4946</v>
      </c>
      <c r="F4113" s="38" t="s">
        <v>4913</v>
      </c>
      <c r="G4113" s="38">
        <v>1.0548581777679E13</v>
      </c>
      <c r="H4113" s="38" t="s">
        <v>4914</v>
      </c>
      <c r="I4113" s="38" t="s">
        <v>4915</v>
      </c>
      <c r="J4113" s="38" t="s">
        <v>224</v>
      </c>
      <c r="K4113" s="38" t="s">
        <v>63</v>
      </c>
      <c r="L4113" s="41">
        <v>46010.708333333336</v>
      </c>
      <c r="M4113" s="38" t="s">
        <v>123</v>
      </c>
      <c r="N4113" s="41">
        <v>46010.791666666664</v>
      </c>
      <c r="O4113" s="38" t="s">
        <v>123</v>
      </c>
      <c r="P4113" s="38">
        <v>7200.0</v>
      </c>
      <c r="Q4113" s="39"/>
      <c r="R4113" s="39"/>
      <c r="S4113" s="39"/>
      <c r="T4113" s="39"/>
      <c r="U4113" s="39"/>
    </row>
    <row r="4114">
      <c r="A4114" s="40">
        <f t="shared" si="1"/>
        <v>46006</v>
      </c>
      <c r="B4114" s="37" t="str">
        <f t="array" ref="B4114">iferror(xlookup($I4114, 'IMPORT VHC Report'!$E:$E, 'IMPORT VHC Report'!$A:$C), )</f>
        <v/>
      </c>
      <c r="C4114" s="37"/>
      <c r="D4114" s="37"/>
      <c r="E4114" s="38" t="s">
        <v>4947</v>
      </c>
      <c r="F4114" s="38" t="s">
        <v>4913</v>
      </c>
      <c r="G4114" s="38">
        <v>1.0548581777679E13</v>
      </c>
      <c r="H4114" s="38" t="s">
        <v>4914</v>
      </c>
      <c r="I4114" s="38" t="s">
        <v>4915</v>
      </c>
      <c r="J4114" s="38" t="s">
        <v>134</v>
      </c>
      <c r="K4114" s="38" t="s">
        <v>126</v>
      </c>
      <c r="L4114" s="41">
        <v>46010.791666666664</v>
      </c>
      <c r="M4114" s="38" t="s">
        <v>123</v>
      </c>
      <c r="N4114" s="41">
        <v>46010.802083333336</v>
      </c>
      <c r="O4114" s="38" t="s">
        <v>123</v>
      </c>
      <c r="P4114" s="38">
        <v>900.0</v>
      </c>
      <c r="Q4114" s="39"/>
      <c r="R4114" s="39"/>
      <c r="S4114" s="39"/>
      <c r="T4114" s="39"/>
      <c r="U4114" s="39"/>
    </row>
    <row r="4115">
      <c r="A4115" s="40">
        <f t="shared" si="1"/>
        <v>46006</v>
      </c>
      <c r="B4115" s="37" t="str">
        <f t="array" ref="B4115">iferror(xlookup($I4115, 'IMPORT VHC Report'!$E:$E, 'IMPORT VHC Report'!$A:$C), )</f>
        <v/>
      </c>
      <c r="C4115" s="37"/>
      <c r="D4115" s="37"/>
      <c r="E4115" s="38" t="s">
        <v>4948</v>
      </c>
      <c r="F4115" s="38" t="s">
        <v>4913</v>
      </c>
      <c r="G4115" s="38">
        <v>1.0548581777679E13</v>
      </c>
      <c r="H4115" s="38" t="s">
        <v>4914</v>
      </c>
      <c r="I4115" s="38" t="s">
        <v>4915</v>
      </c>
      <c r="J4115" s="38" t="s">
        <v>224</v>
      </c>
      <c r="K4115" s="38" t="s">
        <v>63</v>
      </c>
      <c r="L4115" s="41">
        <v>46010.802083333336</v>
      </c>
      <c r="M4115" s="38" t="s">
        <v>123</v>
      </c>
      <c r="N4115" s="41">
        <v>46010.864583333336</v>
      </c>
      <c r="O4115" s="38" t="s">
        <v>123</v>
      </c>
      <c r="P4115" s="38">
        <v>5400.0</v>
      </c>
      <c r="Q4115" s="39"/>
      <c r="R4115" s="39"/>
      <c r="S4115" s="39"/>
      <c r="T4115" s="39"/>
      <c r="U4115" s="39"/>
    </row>
    <row r="4116">
      <c r="A4116" s="40">
        <f t="shared" si="1"/>
        <v>46006</v>
      </c>
      <c r="B4116" s="37" t="str">
        <f t="array" ref="B4116">iferror(xlookup($I4116, 'IMPORT VHC Report'!$E:$E, 'IMPORT VHC Report'!$A:$C), )</f>
        <v/>
      </c>
      <c r="C4116" s="37"/>
      <c r="D4116" s="37"/>
      <c r="E4116" s="38" t="s">
        <v>4949</v>
      </c>
      <c r="F4116" s="38" t="s">
        <v>4913</v>
      </c>
      <c r="G4116" s="38">
        <v>1.0548581777679E13</v>
      </c>
      <c r="H4116" s="38" t="s">
        <v>4914</v>
      </c>
      <c r="I4116" s="38" t="s">
        <v>4915</v>
      </c>
      <c r="J4116" s="38" t="s">
        <v>134</v>
      </c>
      <c r="K4116" s="38" t="s">
        <v>126</v>
      </c>
      <c r="L4116" s="41">
        <v>46010.864583333336</v>
      </c>
      <c r="M4116" s="38" t="s">
        <v>123</v>
      </c>
      <c r="N4116" s="41">
        <v>46010.875</v>
      </c>
      <c r="O4116" s="38" t="s">
        <v>123</v>
      </c>
      <c r="P4116" s="38">
        <v>900.0</v>
      </c>
      <c r="Q4116" s="39"/>
      <c r="R4116" s="39"/>
      <c r="S4116" s="39"/>
      <c r="T4116" s="39"/>
      <c r="U4116" s="39"/>
    </row>
    <row r="4117">
      <c r="A4117" s="40">
        <f t="shared" si="1"/>
        <v>46006</v>
      </c>
      <c r="B4117" s="37" t="str">
        <f t="array" ref="B4117">iferror(xlookup($I4117, 'IMPORT VHC Report'!$E:$E, 'IMPORT VHC Report'!$A:$C), )</f>
        <v/>
      </c>
      <c r="C4117" s="37"/>
      <c r="D4117" s="37"/>
      <c r="E4117" s="38" t="s">
        <v>4950</v>
      </c>
      <c r="F4117" s="38" t="s">
        <v>4913</v>
      </c>
      <c r="G4117" s="38">
        <v>1.0548581777679E13</v>
      </c>
      <c r="H4117" s="38" t="s">
        <v>4914</v>
      </c>
      <c r="I4117" s="38" t="s">
        <v>4915</v>
      </c>
      <c r="J4117" s="38" t="s">
        <v>224</v>
      </c>
      <c r="K4117" s="38" t="s">
        <v>63</v>
      </c>
      <c r="L4117" s="41">
        <v>46010.875</v>
      </c>
      <c r="M4117" s="38" t="s">
        <v>123</v>
      </c>
      <c r="N4117" s="41">
        <v>46010.96875</v>
      </c>
      <c r="O4117" s="38" t="s">
        <v>123</v>
      </c>
      <c r="P4117" s="38">
        <v>8100.0</v>
      </c>
      <c r="Q4117" s="39"/>
      <c r="R4117" s="39"/>
      <c r="S4117" s="39"/>
      <c r="T4117" s="39"/>
      <c r="U4117" s="39"/>
    </row>
    <row r="4118">
      <c r="A4118" s="40">
        <f t="shared" si="1"/>
        <v>46006</v>
      </c>
      <c r="B4118" s="37" t="str">
        <f t="array" ref="B4118">iferror(xlookup($I4118, 'IMPORT VHC Report'!$E:$E, 'IMPORT VHC Report'!$A:$C), )</f>
        <v/>
      </c>
      <c r="C4118" s="37"/>
      <c r="D4118" s="37"/>
      <c r="E4118" s="38" t="s">
        <v>4951</v>
      </c>
      <c r="F4118" s="38" t="s">
        <v>4913</v>
      </c>
      <c r="G4118" s="38">
        <v>1.0548581777679E13</v>
      </c>
      <c r="H4118" s="38" t="s">
        <v>4914</v>
      </c>
      <c r="I4118" s="38" t="s">
        <v>4915</v>
      </c>
      <c r="J4118" s="38" t="s">
        <v>132</v>
      </c>
      <c r="K4118" s="38" t="s">
        <v>126</v>
      </c>
      <c r="L4118" s="41">
        <v>46010.96875</v>
      </c>
      <c r="M4118" s="38" t="s">
        <v>123</v>
      </c>
      <c r="N4118" s="41">
        <v>46011.010416666664</v>
      </c>
      <c r="O4118" s="38" t="s">
        <v>123</v>
      </c>
      <c r="P4118" s="38">
        <v>3600.0</v>
      </c>
      <c r="Q4118" s="39"/>
      <c r="R4118" s="39"/>
      <c r="S4118" s="39"/>
      <c r="T4118" s="39"/>
      <c r="U4118" s="39"/>
    </row>
    <row r="4119">
      <c r="A4119" s="40">
        <f t="shared" si="1"/>
        <v>46006</v>
      </c>
      <c r="B4119" s="37" t="str">
        <f t="array" ref="B4119">iferror(xlookup($I4119, 'IMPORT VHC Report'!$E:$E, 'IMPORT VHC Report'!$A:$C), )</f>
        <v/>
      </c>
      <c r="C4119" s="37"/>
      <c r="D4119" s="37"/>
      <c r="E4119" s="38" t="s">
        <v>4952</v>
      </c>
      <c r="F4119" s="38" t="s">
        <v>4913</v>
      </c>
      <c r="G4119" s="38">
        <v>1.0548581777679E13</v>
      </c>
      <c r="H4119" s="38" t="s">
        <v>4914</v>
      </c>
      <c r="I4119" s="38" t="s">
        <v>4915</v>
      </c>
      <c r="J4119" s="38" t="s">
        <v>224</v>
      </c>
      <c r="K4119" s="38" t="s">
        <v>63</v>
      </c>
      <c r="L4119" s="41">
        <v>46011.010416666664</v>
      </c>
      <c r="M4119" s="38" t="s">
        <v>123</v>
      </c>
      <c r="N4119" s="41">
        <v>46011.083333333336</v>
      </c>
      <c r="O4119" s="38" t="s">
        <v>123</v>
      </c>
      <c r="P4119" s="38">
        <v>6300.0</v>
      </c>
      <c r="Q4119" s="39"/>
      <c r="R4119" s="39"/>
      <c r="S4119" s="39"/>
      <c r="T4119" s="39"/>
      <c r="U4119" s="39"/>
    </row>
    <row r="4120">
      <c r="A4120" s="40">
        <f t="shared" si="1"/>
        <v>46006</v>
      </c>
      <c r="B4120" s="37" t="str">
        <f t="array" ref="B4120">iferror(xlookup($I4120, 'IMPORT VHC Report'!$E:$E, 'IMPORT VHC Report'!$A:$C), )</f>
        <v/>
      </c>
      <c r="C4120" s="37"/>
      <c r="D4120" s="37"/>
      <c r="E4120" s="38" t="s">
        <v>4953</v>
      </c>
      <c r="F4120" s="38" t="s">
        <v>4913</v>
      </c>
      <c r="G4120" s="38">
        <v>1.0548581777679E13</v>
      </c>
      <c r="H4120" s="38" t="s">
        <v>4914</v>
      </c>
      <c r="I4120" s="38" t="s">
        <v>4915</v>
      </c>
      <c r="J4120" s="38" t="s">
        <v>985</v>
      </c>
      <c r="K4120" s="38" t="s">
        <v>63</v>
      </c>
      <c r="L4120" s="41">
        <v>46011.833333333336</v>
      </c>
      <c r="M4120" s="38" t="s">
        <v>123</v>
      </c>
      <c r="N4120" s="41">
        <v>46012.0</v>
      </c>
      <c r="O4120" s="38" t="s">
        <v>123</v>
      </c>
      <c r="P4120" s="38">
        <v>14400.0</v>
      </c>
      <c r="Q4120" s="39"/>
      <c r="R4120" s="39"/>
      <c r="S4120" s="39"/>
      <c r="T4120" s="39"/>
      <c r="U4120" s="39"/>
    </row>
    <row r="4121">
      <c r="A4121" s="40">
        <f t="shared" si="1"/>
        <v>46006</v>
      </c>
      <c r="B4121" s="37" t="str">
        <f t="array" ref="B4121">iferror(xlookup($I4121, 'IMPORT VHC Report'!$E:$E, 'IMPORT VHC Report'!$A:$C), )</f>
        <v/>
      </c>
      <c r="C4121" s="37"/>
      <c r="D4121" s="37"/>
      <c r="E4121" s="38" t="s">
        <v>4954</v>
      </c>
      <c r="F4121" s="38" t="s">
        <v>4913</v>
      </c>
      <c r="G4121" s="38">
        <v>1.0548581777679E13</v>
      </c>
      <c r="H4121" s="38" t="s">
        <v>4914</v>
      </c>
      <c r="I4121" s="38" t="s">
        <v>4915</v>
      </c>
      <c r="J4121" s="38" t="s">
        <v>985</v>
      </c>
      <c r="K4121" s="38" t="s">
        <v>63</v>
      </c>
      <c r="L4121" s="41">
        <v>46011.833333333336</v>
      </c>
      <c r="M4121" s="38" t="s">
        <v>123</v>
      </c>
      <c r="N4121" s="41">
        <v>46012.0</v>
      </c>
      <c r="O4121" s="38" t="s">
        <v>123</v>
      </c>
      <c r="P4121" s="38">
        <v>14400.0</v>
      </c>
      <c r="Q4121" s="39"/>
      <c r="R4121" s="39"/>
      <c r="S4121" s="38" t="s">
        <v>2486</v>
      </c>
      <c r="T4121" s="39"/>
      <c r="U4121" s="39"/>
    </row>
    <row r="4122">
      <c r="A4122" s="40">
        <f t="shared" si="1"/>
        <v>46006</v>
      </c>
      <c r="B4122" s="37" t="str">
        <f t="array" ref="B4122">iferror(xlookup($I4122, 'IMPORT VHC Report'!$E:$E, 'IMPORT VHC Report'!$A:$C), )</f>
        <v/>
      </c>
      <c r="C4122" s="37"/>
      <c r="D4122" s="37"/>
      <c r="E4122" s="38" t="s">
        <v>4955</v>
      </c>
      <c r="F4122" s="38" t="s">
        <v>4956</v>
      </c>
      <c r="G4122" s="38">
        <v>1.0333034131599E13</v>
      </c>
      <c r="H4122" s="38" t="s">
        <v>4957</v>
      </c>
      <c r="I4122" s="38" t="s">
        <v>4958</v>
      </c>
      <c r="J4122" s="38" t="s">
        <v>224</v>
      </c>
      <c r="K4122" s="38" t="s">
        <v>63</v>
      </c>
      <c r="L4122" s="41">
        <v>46006.708333333336</v>
      </c>
      <c r="M4122" s="38" t="s">
        <v>123</v>
      </c>
      <c r="N4122" s="41">
        <v>46006.8125</v>
      </c>
      <c r="O4122" s="38" t="s">
        <v>123</v>
      </c>
      <c r="P4122" s="38">
        <v>9000.0</v>
      </c>
      <c r="Q4122" s="39"/>
      <c r="R4122" s="39"/>
      <c r="S4122" s="39"/>
      <c r="T4122" s="39"/>
      <c r="U4122" s="39"/>
    </row>
    <row r="4123">
      <c r="A4123" s="40">
        <f t="shared" si="1"/>
        <v>46006</v>
      </c>
      <c r="B4123" s="37" t="str">
        <f t="array" ref="B4123">iferror(xlookup($I4123, 'IMPORT VHC Report'!$E:$E, 'IMPORT VHC Report'!$A:$C), )</f>
        <v/>
      </c>
      <c r="C4123" s="37"/>
      <c r="D4123" s="37"/>
      <c r="E4123" s="38" t="s">
        <v>4959</v>
      </c>
      <c r="F4123" s="38" t="s">
        <v>4956</v>
      </c>
      <c r="G4123" s="38">
        <v>1.0333034131599E13</v>
      </c>
      <c r="H4123" s="38" t="s">
        <v>4957</v>
      </c>
      <c r="I4123" s="38" t="s">
        <v>4958</v>
      </c>
      <c r="J4123" s="38" t="s">
        <v>132</v>
      </c>
      <c r="K4123" s="38" t="s">
        <v>126</v>
      </c>
      <c r="L4123" s="41">
        <v>46006.8125</v>
      </c>
      <c r="M4123" s="38" t="s">
        <v>123</v>
      </c>
      <c r="N4123" s="41">
        <v>46006.854166666664</v>
      </c>
      <c r="O4123" s="38" t="s">
        <v>123</v>
      </c>
      <c r="P4123" s="38">
        <v>3600.0</v>
      </c>
      <c r="Q4123" s="39"/>
      <c r="R4123" s="39"/>
      <c r="S4123" s="39"/>
      <c r="T4123" s="39"/>
      <c r="U4123" s="39"/>
    </row>
    <row r="4124">
      <c r="A4124" s="40">
        <f t="shared" si="1"/>
        <v>46006</v>
      </c>
      <c r="B4124" s="37" t="str">
        <f t="array" ref="B4124">iferror(xlookup($I4124, 'IMPORT VHC Report'!$E:$E, 'IMPORT VHC Report'!$A:$C), )</f>
        <v/>
      </c>
      <c r="C4124" s="37"/>
      <c r="D4124" s="37"/>
      <c r="E4124" s="38" t="s">
        <v>4960</v>
      </c>
      <c r="F4124" s="38" t="s">
        <v>4956</v>
      </c>
      <c r="G4124" s="38">
        <v>1.0333034131599E13</v>
      </c>
      <c r="H4124" s="38" t="s">
        <v>4957</v>
      </c>
      <c r="I4124" s="38" t="s">
        <v>4958</v>
      </c>
      <c r="J4124" s="38" t="s">
        <v>224</v>
      </c>
      <c r="K4124" s="38" t="s">
        <v>63</v>
      </c>
      <c r="L4124" s="41">
        <v>46006.854166666664</v>
      </c>
      <c r="M4124" s="38" t="s">
        <v>123</v>
      </c>
      <c r="N4124" s="41">
        <v>46006.916666666664</v>
      </c>
      <c r="O4124" s="38" t="s">
        <v>123</v>
      </c>
      <c r="P4124" s="38">
        <v>5400.0</v>
      </c>
      <c r="Q4124" s="39"/>
      <c r="R4124" s="39"/>
      <c r="S4124" s="39"/>
      <c r="T4124" s="39"/>
      <c r="U4124" s="39"/>
    </row>
    <row r="4125">
      <c r="A4125" s="40">
        <f t="shared" si="1"/>
        <v>46006</v>
      </c>
      <c r="B4125" s="37" t="str">
        <f t="array" ref="B4125">iferror(xlookup($I4125, 'IMPORT VHC Report'!$E:$E, 'IMPORT VHC Report'!$A:$C), )</f>
        <v/>
      </c>
      <c r="C4125" s="37"/>
      <c r="D4125" s="37"/>
      <c r="E4125" s="38" t="s">
        <v>4961</v>
      </c>
      <c r="F4125" s="38" t="s">
        <v>4956</v>
      </c>
      <c r="G4125" s="38">
        <v>1.0333034131599E13</v>
      </c>
      <c r="H4125" s="38" t="s">
        <v>4957</v>
      </c>
      <c r="I4125" s="38" t="s">
        <v>4958</v>
      </c>
      <c r="J4125" s="38" t="s">
        <v>134</v>
      </c>
      <c r="K4125" s="38" t="s">
        <v>126</v>
      </c>
      <c r="L4125" s="41">
        <v>46006.916666666664</v>
      </c>
      <c r="M4125" s="38" t="s">
        <v>123</v>
      </c>
      <c r="N4125" s="41">
        <v>46006.927083333336</v>
      </c>
      <c r="O4125" s="38" t="s">
        <v>123</v>
      </c>
      <c r="P4125" s="38">
        <v>900.0</v>
      </c>
      <c r="Q4125" s="39"/>
      <c r="R4125" s="39"/>
      <c r="S4125" s="39"/>
      <c r="T4125" s="39"/>
      <c r="U4125" s="39"/>
    </row>
    <row r="4126">
      <c r="A4126" s="40">
        <f t="shared" si="1"/>
        <v>46006</v>
      </c>
      <c r="B4126" s="37" t="str">
        <f t="array" ref="B4126">iferror(xlookup($I4126, 'IMPORT VHC Report'!$E:$E, 'IMPORT VHC Report'!$A:$C), )</f>
        <v/>
      </c>
      <c r="C4126" s="37"/>
      <c r="D4126" s="37"/>
      <c r="E4126" s="38" t="s">
        <v>4962</v>
      </c>
      <c r="F4126" s="38" t="s">
        <v>4956</v>
      </c>
      <c r="G4126" s="38">
        <v>1.0333034131599E13</v>
      </c>
      <c r="H4126" s="38" t="s">
        <v>4957</v>
      </c>
      <c r="I4126" s="38" t="s">
        <v>4958</v>
      </c>
      <c r="J4126" s="38" t="s">
        <v>224</v>
      </c>
      <c r="K4126" s="38" t="s">
        <v>63</v>
      </c>
      <c r="L4126" s="41">
        <v>46006.927083333336</v>
      </c>
      <c r="M4126" s="38" t="s">
        <v>123</v>
      </c>
      <c r="N4126" s="41">
        <v>46007.0</v>
      </c>
      <c r="O4126" s="38" t="s">
        <v>123</v>
      </c>
      <c r="P4126" s="38">
        <v>6300.0</v>
      </c>
      <c r="Q4126" s="39"/>
      <c r="R4126" s="39"/>
      <c r="S4126" s="39"/>
      <c r="T4126" s="39"/>
      <c r="U4126" s="39"/>
    </row>
    <row r="4127">
      <c r="A4127" s="40">
        <f t="shared" si="1"/>
        <v>46006</v>
      </c>
      <c r="B4127" s="37" t="str">
        <f t="array" ref="B4127">iferror(xlookup($I4127, 'IMPORT VHC Report'!$E:$E, 'IMPORT VHC Report'!$A:$C), )</f>
        <v/>
      </c>
      <c r="C4127" s="37"/>
      <c r="D4127" s="37"/>
      <c r="E4127" s="38" t="s">
        <v>4963</v>
      </c>
      <c r="F4127" s="38" t="s">
        <v>4956</v>
      </c>
      <c r="G4127" s="38">
        <v>1.0333034131599E13</v>
      </c>
      <c r="H4127" s="38" t="s">
        <v>4957</v>
      </c>
      <c r="I4127" s="38" t="s">
        <v>4958</v>
      </c>
      <c r="J4127" s="38" t="s">
        <v>134</v>
      </c>
      <c r="K4127" s="38" t="s">
        <v>126</v>
      </c>
      <c r="L4127" s="41">
        <v>46007.0</v>
      </c>
      <c r="M4127" s="38" t="s">
        <v>123</v>
      </c>
      <c r="N4127" s="41">
        <v>46007.010416666664</v>
      </c>
      <c r="O4127" s="38" t="s">
        <v>123</v>
      </c>
      <c r="P4127" s="38">
        <v>900.0</v>
      </c>
      <c r="Q4127" s="39"/>
      <c r="R4127" s="39"/>
      <c r="S4127" s="39"/>
      <c r="T4127" s="39"/>
      <c r="U4127" s="39"/>
    </row>
    <row r="4128">
      <c r="A4128" s="40">
        <f t="shared" si="1"/>
        <v>46006</v>
      </c>
      <c r="B4128" s="37" t="str">
        <f t="array" ref="B4128">iferror(xlookup($I4128, 'IMPORT VHC Report'!$E:$E, 'IMPORT VHC Report'!$A:$C), )</f>
        <v/>
      </c>
      <c r="C4128" s="37"/>
      <c r="D4128" s="37"/>
      <c r="E4128" s="38" t="s">
        <v>4964</v>
      </c>
      <c r="F4128" s="38" t="s">
        <v>4956</v>
      </c>
      <c r="G4128" s="38">
        <v>1.0333034131599E13</v>
      </c>
      <c r="H4128" s="38" t="s">
        <v>4957</v>
      </c>
      <c r="I4128" s="38" t="s">
        <v>4958</v>
      </c>
      <c r="J4128" s="38" t="s">
        <v>224</v>
      </c>
      <c r="K4128" s="38" t="s">
        <v>63</v>
      </c>
      <c r="L4128" s="41">
        <v>46007.010416666664</v>
      </c>
      <c r="M4128" s="38" t="s">
        <v>123</v>
      </c>
      <c r="N4128" s="41">
        <v>46007.083333333336</v>
      </c>
      <c r="O4128" s="38" t="s">
        <v>123</v>
      </c>
      <c r="P4128" s="38">
        <v>6300.0</v>
      </c>
      <c r="Q4128" s="39"/>
      <c r="R4128" s="39"/>
      <c r="S4128" s="39"/>
      <c r="T4128" s="39"/>
      <c r="U4128" s="39"/>
    </row>
    <row r="4129">
      <c r="A4129" s="40">
        <f t="shared" si="1"/>
        <v>46006</v>
      </c>
      <c r="B4129" s="37" t="str">
        <f t="array" ref="B4129">iferror(xlookup($I4129, 'IMPORT VHC Report'!$E:$E, 'IMPORT VHC Report'!$A:$C), )</f>
        <v/>
      </c>
      <c r="C4129" s="37"/>
      <c r="D4129" s="37"/>
      <c r="E4129" s="38" t="s">
        <v>4965</v>
      </c>
      <c r="F4129" s="38" t="s">
        <v>4956</v>
      </c>
      <c r="G4129" s="38">
        <v>1.0333034131599E13</v>
      </c>
      <c r="H4129" s="38" t="s">
        <v>4957</v>
      </c>
      <c r="I4129" s="38" t="s">
        <v>4958</v>
      </c>
      <c r="J4129" s="38" t="s">
        <v>224</v>
      </c>
      <c r="K4129" s="38" t="s">
        <v>63</v>
      </c>
      <c r="L4129" s="41">
        <v>46007.708333333336</v>
      </c>
      <c r="M4129" s="38" t="s">
        <v>123</v>
      </c>
      <c r="N4129" s="41">
        <v>46008.083333333336</v>
      </c>
      <c r="O4129" s="38" t="s">
        <v>123</v>
      </c>
      <c r="P4129" s="38">
        <v>32400.0</v>
      </c>
      <c r="Q4129" s="39"/>
      <c r="R4129" s="39"/>
      <c r="S4129" s="39"/>
      <c r="T4129" s="39"/>
      <c r="U4129" s="39"/>
    </row>
    <row r="4130">
      <c r="A4130" s="40">
        <f t="shared" si="1"/>
        <v>46006</v>
      </c>
      <c r="B4130" s="37" t="str">
        <f t="array" ref="B4130">iferror(xlookup($I4130, 'IMPORT VHC Report'!$E:$E, 'IMPORT VHC Report'!$A:$C), )</f>
        <v/>
      </c>
      <c r="C4130" s="37"/>
      <c r="D4130" s="37"/>
      <c r="E4130" s="38" t="s">
        <v>4966</v>
      </c>
      <c r="F4130" s="38" t="s">
        <v>4956</v>
      </c>
      <c r="G4130" s="38">
        <v>1.0333034131599E13</v>
      </c>
      <c r="H4130" s="38" t="s">
        <v>4957</v>
      </c>
      <c r="I4130" s="38" t="s">
        <v>4958</v>
      </c>
      <c r="J4130" s="38" t="s">
        <v>132</v>
      </c>
      <c r="K4130" s="38" t="s">
        <v>126</v>
      </c>
      <c r="L4130" s="41">
        <v>46007.8125</v>
      </c>
      <c r="M4130" s="38" t="s">
        <v>123</v>
      </c>
      <c r="N4130" s="41">
        <v>46007.854166666664</v>
      </c>
      <c r="O4130" s="38" t="s">
        <v>123</v>
      </c>
      <c r="P4130" s="38">
        <v>3600.0</v>
      </c>
      <c r="Q4130" s="39"/>
      <c r="R4130" s="39"/>
      <c r="S4130" s="39"/>
      <c r="T4130" s="39"/>
      <c r="U4130" s="39"/>
    </row>
    <row r="4131">
      <c r="A4131" s="40">
        <f t="shared" si="1"/>
        <v>46006</v>
      </c>
      <c r="B4131" s="37" t="str">
        <f t="array" ref="B4131">iferror(xlookup($I4131, 'IMPORT VHC Report'!$E:$E, 'IMPORT VHC Report'!$A:$C), )</f>
        <v/>
      </c>
      <c r="C4131" s="37"/>
      <c r="D4131" s="37"/>
      <c r="E4131" s="38" t="s">
        <v>4967</v>
      </c>
      <c r="F4131" s="38" t="s">
        <v>4956</v>
      </c>
      <c r="G4131" s="38">
        <v>1.0333034131599E13</v>
      </c>
      <c r="H4131" s="38" t="s">
        <v>4957</v>
      </c>
      <c r="I4131" s="38" t="s">
        <v>4958</v>
      </c>
      <c r="J4131" s="38" t="s">
        <v>134</v>
      </c>
      <c r="K4131" s="38" t="s">
        <v>126</v>
      </c>
      <c r="L4131" s="41">
        <v>46007.916666666664</v>
      </c>
      <c r="M4131" s="38" t="s">
        <v>123</v>
      </c>
      <c r="N4131" s="41">
        <v>46007.927083333336</v>
      </c>
      <c r="O4131" s="38" t="s">
        <v>123</v>
      </c>
      <c r="P4131" s="38">
        <v>900.0</v>
      </c>
      <c r="Q4131" s="39"/>
      <c r="R4131" s="39"/>
      <c r="S4131" s="39"/>
      <c r="T4131" s="39"/>
      <c r="U4131" s="39"/>
    </row>
    <row r="4132">
      <c r="A4132" s="40">
        <f t="shared" si="1"/>
        <v>46006</v>
      </c>
      <c r="B4132" s="37" t="str">
        <f t="array" ref="B4132">iferror(xlookup($I4132, 'IMPORT VHC Report'!$E:$E, 'IMPORT VHC Report'!$A:$C), )</f>
        <v/>
      </c>
      <c r="C4132" s="37"/>
      <c r="D4132" s="37"/>
      <c r="E4132" s="38" t="s">
        <v>4968</v>
      </c>
      <c r="F4132" s="38" t="s">
        <v>4956</v>
      </c>
      <c r="G4132" s="38">
        <v>1.0333034131599E13</v>
      </c>
      <c r="H4132" s="38" t="s">
        <v>4957</v>
      </c>
      <c r="I4132" s="38" t="s">
        <v>4958</v>
      </c>
      <c r="J4132" s="38" t="s">
        <v>134</v>
      </c>
      <c r="K4132" s="38" t="s">
        <v>126</v>
      </c>
      <c r="L4132" s="41">
        <v>46008.010416666664</v>
      </c>
      <c r="M4132" s="38" t="s">
        <v>123</v>
      </c>
      <c r="N4132" s="41">
        <v>46008.020833333336</v>
      </c>
      <c r="O4132" s="38" t="s">
        <v>123</v>
      </c>
      <c r="P4132" s="38">
        <v>900.0</v>
      </c>
      <c r="Q4132" s="39"/>
      <c r="R4132" s="39"/>
      <c r="S4132" s="39"/>
      <c r="T4132" s="39"/>
      <c r="U4132" s="39"/>
    </row>
    <row r="4133">
      <c r="A4133" s="40">
        <f t="shared" si="1"/>
        <v>46006</v>
      </c>
      <c r="B4133" s="37" t="str">
        <f t="array" ref="B4133">iferror(xlookup($I4133, 'IMPORT VHC Report'!$E:$E, 'IMPORT VHC Report'!$A:$C), )</f>
        <v/>
      </c>
      <c r="C4133" s="37"/>
      <c r="D4133" s="37"/>
      <c r="E4133" s="38" t="s">
        <v>4969</v>
      </c>
      <c r="F4133" s="38" t="s">
        <v>4956</v>
      </c>
      <c r="G4133" s="38">
        <v>1.0333034131599E13</v>
      </c>
      <c r="H4133" s="38" t="s">
        <v>4957</v>
      </c>
      <c r="I4133" s="38" t="s">
        <v>4958</v>
      </c>
      <c r="J4133" s="38" t="s">
        <v>224</v>
      </c>
      <c r="K4133" s="38" t="s">
        <v>63</v>
      </c>
      <c r="L4133" s="41">
        <v>46008.020833333336</v>
      </c>
      <c r="M4133" s="38" t="s">
        <v>123</v>
      </c>
      <c r="N4133" s="41">
        <v>46008.083333333336</v>
      </c>
      <c r="O4133" s="38" t="s">
        <v>123</v>
      </c>
      <c r="P4133" s="38">
        <v>5400.0</v>
      </c>
      <c r="Q4133" s="39"/>
      <c r="R4133" s="39"/>
      <c r="S4133" s="39"/>
      <c r="T4133" s="39"/>
      <c r="U4133" s="39"/>
    </row>
    <row r="4134">
      <c r="A4134" s="40">
        <f t="shared" si="1"/>
        <v>46006</v>
      </c>
      <c r="B4134" s="37" t="str">
        <f t="array" ref="B4134">iferror(xlookup($I4134, 'IMPORT VHC Report'!$E:$E, 'IMPORT VHC Report'!$A:$C), )</f>
        <v/>
      </c>
      <c r="C4134" s="37"/>
      <c r="D4134" s="37"/>
      <c r="E4134" s="38" t="s">
        <v>4970</v>
      </c>
      <c r="F4134" s="38" t="s">
        <v>4956</v>
      </c>
      <c r="G4134" s="38">
        <v>1.0333034131599E13</v>
      </c>
      <c r="H4134" s="38" t="s">
        <v>4957</v>
      </c>
      <c r="I4134" s="38" t="s">
        <v>4958</v>
      </c>
      <c r="J4134" s="38" t="s">
        <v>224</v>
      </c>
      <c r="K4134" s="38" t="s">
        <v>63</v>
      </c>
      <c r="L4134" s="41">
        <v>46008.708333333336</v>
      </c>
      <c r="M4134" s="38" t="s">
        <v>123</v>
      </c>
      <c r="N4134" s="41">
        <v>46008.791666666664</v>
      </c>
      <c r="O4134" s="38" t="s">
        <v>123</v>
      </c>
      <c r="P4134" s="38">
        <v>7200.0</v>
      </c>
      <c r="Q4134" s="39"/>
      <c r="R4134" s="39"/>
      <c r="S4134" s="39"/>
      <c r="T4134" s="39"/>
      <c r="U4134" s="39"/>
    </row>
    <row r="4135">
      <c r="A4135" s="40">
        <f t="shared" si="1"/>
        <v>46006</v>
      </c>
      <c r="B4135" s="37" t="str">
        <f t="array" ref="B4135">iferror(xlookup($I4135, 'IMPORT VHC Report'!$E:$E, 'IMPORT VHC Report'!$A:$C), )</f>
        <v/>
      </c>
      <c r="C4135" s="37"/>
      <c r="D4135" s="37"/>
      <c r="E4135" s="38" t="s">
        <v>4971</v>
      </c>
      <c r="F4135" s="38" t="s">
        <v>4956</v>
      </c>
      <c r="G4135" s="38">
        <v>1.0333034131599E13</v>
      </c>
      <c r="H4135" s="38" t="s">
        <v>4957</v>
      </c>
      <c r="I4135" s="38" t="s">
        <v>4958</v>
      </c>
      <c r="J4135" s="38" t="s">
        <v>134</v>
      </c>
      <c r="K4135" s="38" t="s">
        <v>126</v>
      </c>
      <c r="L4135" s="41">
        <v>46008.791666666664</v>
      </c>
      <c r="M4135" s="38" t="s">
        <v>123</v>
      </c>
      <c r="N4135" s="41">
        <v>46008.802083333336</v>
      </c>
      <c r="O4135" s="38" t="s">
        <v>123</v>
      </c>
      <c r="P4135" s="38">
        <v>900.0</v>
      </c>
      <c r="Q4135" s="39"/>
      <c r="R4135" s="39"/>
      <c r="S4135" s="39"/>
      <c r="T4135" s="39"/>
      <c r="U4135" s="39"/>
    </row>
    <row r="4136">
      <c r="A4136" s="40">
        <f t="shared" si="1"/>
        <v>46006</v>
      </c>
      <c r="B4136" s="37" t="str">
        <f t="array" ref="B4136">iferror(xlookup($I4136, 'IMPORT VHC Report'!$E:$E, 'IMPORT VHC Report'!$A:$C), )</f>
        <v/>
      </c>
      <c r="C4136" s="37"/>
      <c r="D4136" s="37"/>
      <c r="E4136" s="38" t="s">
        <v>4972</v>
      </c>
      <c r="F4136" s="38" t="s">
        <v>4956</v>
      </c>
      <c r="G4136" s="38">
        <v>1.0333034131599E13</v>
      </c>
      <c r="H4136" s="38" t="s">
        <v>4957</v>
      </c>
      <c r="I4136" s="38" t="s">
        <v>4958</v>
      </c>
      <c r="J4136" s="38" t="s">
        <v>224</v>
      </c>
      <c r="K4136" s="38" t="s">
        <v>63</v>
      </c>
      <c r="L4136" s="41">
        <v>46008.802083333336</v>
      </c>
      <c r="M4136" s="38" t="s">
        <v>123</v>
      </c>
      <c r="N4136" s="41">
        <v>46008.875</v>
      </c>
      <c r="O4136" s="38" t="s">
        <v>123</v>
      </c>
      <c r="P4136" s="38">
        <v>6300.0</v>
      </c>
      <c r="Q4136" s="39"/>
      <c r="R4136" s="39"/>
      <c r="S4136" s="39"/>
      <c r="T4136" s="39"/>
      <c r="U4136" s="39"/>
    </row>
    <row r="4137">
      <c r="A4137" s="40">
        <f t="shared" si="1"/>
        <v>46006</v>
      </c>
      <c r="B4137" s="37" t="str">
        <f t="array" ref="B4137">iferror(xlookup($I4137, 'IMPORT VHC Report'!$E:$E, 'IMPORT VHC Report'!$A:$C), )</f>
        <v/>
      </c>
      <c r="C4137" s="37"/>
      <c r="D4137" s="37"/>
      <c r="E4137" s="38" t="s">
        <v>4973</v>
      </c>
      <c r="F4137" s="38" t="s">
        <v>4956</v>
      </c>
      <c r="G4137" s="38">
        <v>1.0333034131599E13</v>
      </c>
      <c r="H4137" s="38" t="s">
        <v>4957</v>
      </c>
      <c r="I4137" s="38" t="s">
        <v>4958</v>
      </c>
      <c r="J4137" s="38" t="s">
        <v>134</v>
      </c>
      <c r="K4137" s="38" t="s">
        <v>126</v>
      </c>
      <c r="L4137" s="41">
        <v>46008.875</v>
      </c>
      <c r="M4137" s="38" t="s">
        <v>123</v>
      </c>
      <c r="N4137" s="41">
        <v>46008.885416666664</v>
      </c>
      <c r="O4137" s="38" t="s">
        <v>123</v>
      </c>
      <c r="P4137" s="38">
        <v>900.0</v>
      </c>
      <c r="Q4137" s="39"/>
      <c r="R4137" s="39"/>
      <c r="S4137" s="39"/>
      <c r="T4137" s="39"/>
      <c r="U4137" s="39"/>
    </row>
    <row r="4138">
      <c r="A4138" s="40">
        <f t="shared" si="1"/>
        <v>46006</v>
      </c>
      <c r="B4138" s="37" t="str">
        <f t="array" ref="B4138">iferror(xlookup($I4138, 'IMPORT VHC Report'!$E:$E, 'IMPORT VHC Report'!$A:$C), )</f>
        <v/>
      </c>
      <c r="C4138" s="37"/>
      <c r="D4138" s="37"/>
      <c r="E4138" s="38" t="s">
        <v>4974</v>
      </c>
      <c r="F4138" s="38" t="s">
        <v>4956</v>
      </c>
      <c r="G4138" s="38">
        <v>1.0333034131599E13</v>
      </c>
      <c r="H4138" s="38" t="s">
        <v>4957</v>
      </c>
      <c r="I4138" s="38" t="s">
        <v>4958</v>
      </c>
      <c r="J4138" s="38" t="s">
        <v>224</v>
      </c>
      <c r="K4138" s="38" t="s">
        <v>63</v>
      </c>
      <c r="L4138" s="41">
        <v>46008.885416666664</v>
      </c>
      <c r="M4138" s="38" t="s">
        <v>123</v>
      </c>
      <c r="N4138" s="41">
        <v>46008.96875</v>
      </c>
      <c r="O4138" s="38" t="s">
        <v>123</v>
      </c>
      <c r="P4138" s="38">
        <v>7200.0</v>
      </c>
      <c r="Q4138" s="39"/>
      <c r="R4138" s="39"/>
      <c r="S4138" s="39"/>
      <c r="T4138" s="39"/>
      <c r="U4138" s="39"/>
    </row>
    <row r="4139">
      <c r="A4139" s="40">
        <f t="shared" si="1"/>
        <v>46006</v>
      </c>
      <c r="B4139" s="37" t="str">
        <f t="array" ref="B4139">iferror(xlookup($I4139, 'IMPORT VHC Report'!$E:$E, 'IMPORT VHC Report'!$A:$C), )</f>
        <v/>
      </c>
      <c r="C4139" s="37"/>
      <c r="D4139" s="37"/>
      <c r="E4139" s="38" t="s">
        <v>4975</v>
      </c>
      <c r="F4139" s="38" t="s">
        <v>4956</v>
      </c>
      <c r="G4139" s="38">
        <v>1.0333034131599E13</v>
      </c>
      <c r="H4139" s="38" t="s">
        <v>4957</v>
      </c>
      <c r="I4139" s="38" t="s">
        <v>4958</v>
      </c>
      <c r="J4139" s="38" t="s">
        <v>4</v>
      </c>
      <c r="K4139" s="38" t="s">
        <v>126</v>
      </c>
      <c r="L4139" s="41">
        <v>46008.927083333336</v>
      </c>
      <c r="M4139" s="38" t="s">
        <v>123</v>
      </c>
      <c r="N4139" s="41">
        <v>46008.96875</v>
      </c>
      <c r="O4139" s="38" t="s">
        <v>123</v>
      </c>
      <c r="P4139" s="38">
        <v>3600.0</v>
      </c>
      <c r="Q4139" s="39"/>
      <c r="R4139" s="39"/>
      <c r="S4139" s="38" t="s">
        <v>858</v>
      </c>
      <c r="T4139" s="39"/>
      <c r="U4139" s="39"/>
    </row>
    <row r="4140">
      <c r="A4140" s="40">
        <f t="shared" si="1"/>
        <v>46006</v>
      </c>
      <c r="B4140" s="37" t="str">
        <f t="array" ref="B4140">iferror(xlookup($I4140, 'IMPORT VHC Report'!$E:$E, 'IMPORT VHC Report'!$A:$C), )</f>
        <v/>
      </c>
      <c r="C4140" s="37"/>
      <c r="D4140" s="37"/>
      <c r="E4140" s="38" t="s">
        <v>4976</v>
      </c>
      <c r="F4140" s="38" t="s">
        <v>4956</v>
      </c>
      <c r="G4140" s="38">
        <v>1.0333034131599E13</v>
      </c>
      <c r="H4140" s="38" t="s">
        <v>4957</v>
      </c>
      <c r="I4140" s="38" t="s">
        <v>4958</v>
      </c>
      <c r="J4140" s="38" t="s">
        <v>132</v>
      </c>
      <c r="K4140" s="38" t="s">
        <v>126</v>
      </c>
      <c r="L4140" s="41">
        <v>46008.96875</v>
      </c>
      <c r="M4140" s="38" t="s">
        <v>123</v>
      </c>
      <c r="N4140" s="41">
        <v>46009.010416666664</v>
      </c>
      <c r="O4140" s="38" t="s">
        <v>123</v>
      </c>
      <c r="P4140" s="38">
        <v>3600.0</v>
      </c>
      <c r="Q4140" s="39"/>
      <c r="R4140" s="39"/>
      <c r="S4140" s="39"/>
      <c r="T4140" s="39"/>
      <c r="U4140" s="39"/>
    </row>
    <row r="4141">
      <c r="A4141" s="40">
        <f t="shared" si="1"/>
        <v>46006</v>
      </c>
      <c r="B4141" s="37" t="str">
        <f t="array" ref="B4141">iferror(xlookup($I4141, 'IMPORT VHC Report'!$E:$E, 'IMPORT VHC Report'!$A:$C), )</f>
        <v/>
      </c>
      <c r="C4141" s="37"/>
      <c r="D4141" s="37"/>
      <c r="E4141" s="38" t="s">
        <v>4977</v>
      </c>
      <c r="F4141" s="38" t="s">
        <v>4956</v>
      </c>
      <c r="G4141" s="38">
        <v>1.0333034131599E13</v>
      </c>
      <c r="H4141" s="38" t="s">
        <v>4957</v>
      </c>
      <c r="I4141" s="38" t="s">
        <v>4958</v>
      </c>
      <c r="J4141" s="38" t="s">
        <v>224</v>
      </c>
      <c r="K4141" s="38" t="s">
        <v>63</v>
      </c>
      <c r="L4141" s="41">
        <v>46009.010416666664</v>
      </c>
      <c r="M4141" s="38" t="s">
        <v>123</v>
      </c>
      <c r="N4141" s="41">
        <v>46009.083333333336</v>
      </c>
      <c r="O4141" s="38" t="s">
        <v>123</v>
      </c>
      <c r="P4141" s="38">
        <v>6300.0</v>
      </c>
      <c r="Q4141" s="39"/>
      <c r="R4141" s="39"/>
      <c r="S4141" s="39"/>
      <c r="T4141" s="39"/>
      <c r="U4141" s="39"/>
    </row>
    <row r="4142">
      <c r="A4142" s="40">
        <f t="shared" si="1"/>
        <v>46006</v>
      </c>
      <c r="B4142" s="37" t="str">
        <f t="array" ref="B4142">iferror(xlookup($I4142, 'IMPORT VHC Report'!$E:$E, 'IMPORT VHC Report'!$A:$C), )</f>
        <v/>
      </c>
      <c r="C4142" s="37"/>
      <c r="D4142" s="37"/>
      <c r="E4142" s="38" t="s">
        <v>4978</v>
      </c>
      <c r="F4142" s="38" t="s">
        <v>4956</v>
      </c>
      <c r="G4142" s="38">
        <v>1.0333034131599E13</v>
      </c>
      <c r="H4142" s="38" t="s">
        <v>4957</v>
      </c>
      <c r="I4142" s="38" t="s">
        <v>4958</v>
      </c>
      <c r="J4142" s="38" t="s">
        <v>224</v>
      </c>
      <c r="K4142" s="38" t="s">
        <v>63</v>
      </c>
      <c r="L4142" s="41">
        <v>46009.708333333336</v>
      </c>
      <c r="M4142" s="38" t="s">
        <v>123</v>
      </c>
      <c r="N4142" s="41">
        <v>46009.8125</v>
      </c>
      <c r="O4142" s="38" t="s">
        <v>123</v>
      </c>
      <c r="P4142" s="38">
        <v>9000.0</v>
      </c>
      <c r="Q4142" s="39"/>
      <c r="R4142" s="39"/>
      <c r="S4142" s="39"/>
      <c r="T4142" s="39"/>
      <c r="U4142" s="39"/>
    </row>
    <row r="4143">
      <c r="A4143" s="40">
        <f t="shared" si="1"/>
        <v>46006</v>
      </c>
      <c r="B4143" s="37" t="str">
        <f t="array" ref="B4143">iferror(xlookup($I4143, 'IMPORT VHC Report'!$E:$E, 'IMPORT VHC Report'!$A:$C), )</f>
        <v/>
      </c>
      <c r="C4143" s="37"/>
      <c r="D4143" s="37"/>
      <c r="E4143" s="38" t="s">
        <v>4979</v>
      </c>
      <c r="F4143" s="38" t="s">
        <v>4956</v>
      </c>
      <c r="G4143" s="38">
        <v>1.0333034131599E13</v>
      </c>
      <c r="H4143" s="38" t="s">
        <v>4957</v>
      </c>
      <c r="I4143" s="38" t="s">
        <v>4958</v>
      </c>
      <c r="J4143" s="38" t="s">
        <v>132</v>
      </c>
      <c r="K4143" s="38" t="s">
        <v>126</v>
      </c>
      <c r="L4143" s="41">
        <v>46009.8125</v>
      </c>
      <c r="M4143" s="38" t="s">
        <v>123</v>
      </c>
      <c r="N4143" s="41">
        <v>46009.854166666664</v>
      </c>
      <c r="O4143" s="38" t="s">
        <v>123</v>
      </c>
      <c r="P4143" s="38">
        <v>3600.0</v>
      </c>
      <c r="Q4143" s="39"/>
      <c r="R4143" s="39"/>
      <c r="S4143" s="39"/>
      <c r="T4143" s="39"/>
      <c r="U4143" s="39"/>
    </row>
    <row r="4144">
      <c r="A4144" s="40">
        <f t="shared" si="1"/>
        <v>46006</v>
      </c>
      <c r="B4144" s="37" t="str">
        <f t="array" ref="B4144">iferror(xlookup($I4144, 'IMPORT VHC Report'!$E:$E, 'IMPORT VHC Report'!$A:$C), )</f>
        <v/>
      </c>
      <c r="C4144" s="37"/>
      <c r="D4144" s="37"/>
      <c r="E4144" s="38" t="s">
        <v>4980</v>
      </c>
      <c r="F4144" s="38" t="s">
        <v>4956</v>
      </c>
      <c r="G4144" s="38">
        <v>1.0333034131599E13</v>
      </c>
      <c r="H4144" s="38" t="s">
        <v>4957</v>
      </c>
      <c r="I4144" s="38" t="s">
        <v>4958</v>
      </c>
      <c r="J4144" s="38" t="s">
        <v>224</v>
      </c>
      <c r="K4144" s="38" t="s">
        <v>63</v>
      </c>
      <c r="L4144" s="41">
        <v>46009.854166666664</v>
      </c>
      <c r="M4144" s="38" t="s">
        <v>123</v>
      </c>
      <c r="N4144" s="41">
        <v>46009.916666666664</v>
      </c>
      <c r="O4144" s="38" t="s">
        <v>123</v>
      </c>
      <c r="P4144" s="38">
        <v>5400.0</v>
      </c>
      <c r="Q4144" s="39"/>
      <c r="R4144" s="39"/>
      <c r="S4144" s="39"/>
      <c r="T4144" s="39"/>
      <c r="U4144" s="39"/>
    </row>
    <row r="4145">
      <c r="A4145" s="40">
        <f t="shared" si="1"/>
        <v>46006</v>
      </c>
      <c r="B4145" s="37" t="str">
        <f t="array" ref="B4145">iferror(xlookup($I4145, 'IMPORT VHC Report'!$E:$E, 'IMPORT VHC Report'!$A:$C), )</f>
        <v/>
      </c>
      <c r="C4145" s="37"/>
      <c r="D4145" s="37"/>
      <c r="E4145" s="38" t="s">
        <v>4981</v>
      </c>
      <c r="F4145" s="38" t="s">
        <v>4956</v>
      </c>
      <c r="G4145" s="38">
        <v>1.0333034131599E13</v>
      </c>
      <c r="H4145" s="38" t="s">
        <v>4957</v>
      </c>
      <c r="I4145" s="38" t="s">
        <v>4958</v>
      </c>
      <c r="J4145" s="38" t="s">
        <v>134</v>
      </c>
      <c r="K4145" s="38" t="s">
        <v>126</v>
      </c>
      <c r="L4145" s="41">
        <v>46009.916666666664</v>
      </c>
      <c r="M4145" s="38" t="s">
        <v>123</v>
      </c>
      <c r="N4145" s="41">
        <v>46009.927083333336</v>
      </c>
      <c r="O4145" s="38" t="s">
        <v>123</v>
      </c>
      <c r="P4145" s="38">
        <v>900.0</v>
      </c>
      <c r="Q4145" s="39"/>
      <c r="R4145" s="39"/>
      <c r="S4145" s="39"/>
      <c r="T4145" s="39"/>
      <c r="U4145" s="39"/>
    </row>
    <row r="4146">
      <c r="A4146" s="40">
        <f t="shared" si="1"/>
        <v>46006</v>
      </c>
      <c r="B4146" s="37" t="str">
        <f t="array" ref="B4146">iferror(xlookup($I4146, 'IMPORT VHC Report'!$E:$E, 'IMPORT VHC Report'!$A:$C), )</f>
        <v/>
      </c>
      <c r="C4146" s="37"/>
      <c r="D4146" s="37"/>
      <c r="E4146" s="38" t="s">
        <v>4982</v>
      </c>
      <c r="F4146" s="38" t="s">
        <v>4956</v>
      </c>
      <c r="G4146" s="38">
        <v>1.0333034131599E13</v>
      </c>
      <c r="H4146" s="38" t="s">
        <v>4957</v>
      </c>
      <c r="I4146" s="38" t="s">
        <v>4958</v>
      </c>
      <c r="J4146" s="38" t="s">
        <v>224</v>
      </c>
      <c r="K4146" s="38" t="s">
        <v>63</v>
      </c>
      <c r="L4146" s="41">
        <v>46009.927083333336</v>
      </c>
      <c r="M4146" s="38" t="s">
        <v>123</v>
      </c>
      <c r="N4146" s="41">
        <v>46009.989583333336</v>
      </c>
      <c r="O4146" s="38" t="s">
        <v>123</v>
      </c>
      <c r="P4146" s="38">
        <v>5400.0</v>
      </c>
      <c r="Q4146" s="39"/>
      <c r="R4146" s="39"/>
      <c r="S4146" s="39"/>
      <c r="T4146" s="39"/>
      <c r="U4146" s="39"/>
    </row>
    <row r="4147">
      <c r="A4147" s="40">
        <f t="shared" si="1"/>
        <v>46006</v>
      </c>
      <c r="B4147" s="37" t="str">
        <f t="array" ref="B4147">iferror(xlookup($I4147, 'IMPORT VHC Report'!$E:$E, 'IMPORT VHC Report'!$A:$C), )</f>
        <v/>
      </c>
      <c r="C4147" s="37"/>
      <c r="D4147" s="37"/>
      <c r="E4147" s="38" t="s">
        <v>4983</v>
      </c>
      <c r="F4147" s="38" t="s">
        <v>4956</v>
      </c>
      <c r="G4147" s="38">
        <v>1.0333034131599E13</v>
      </c>
      <c r="H4147" s="38" t="s">
        <v>4957</v>
      </c>
      <c r="I4147" s="38" t="s">
        <v>4958</v>
      </c>
      <c r="J4147" s="38" t="s">
        <v>134</v>
      </c>
      <c r="K4147" s="38" t="s">
        <v>126</v>
      </c>
      <c r="L4147" s="41">
        <v>46009.989583333336</v>
      </c>
      <c r="M4147" s="38" t="s">
        <v>123</v>
      </c>
      <c r="N4147" s="41">
        <v>46010.0</v>
      </c>
      <c r="O4147" s="38" t="s">
        <v>123</v>
      </c>
      <c r="P4147" s="38">
        <v>900.0</v>
      </c>
      <c r="Q4147" s="39"/>
      <c r="R4147" s="39"/>
      <c r="S4147" s="39"/>
      <c r="T4147" s="39"/>
      <c r="U4147" s="39"/>
    </row>
    <row r="4148">
      <c r="A4148" s="40">
        <f t="shared" si="1"/>
        <v>46006</v>
      </c>
      <c r="B4148" s="37" t="str">
        <f t="array" ref="B4148">iferror(xlookup($I4148, 'IMPORT VHC Report'!$E:$E, 'IMPORT VHC Report'!$A:$C), )</f>
        <v/>
      </c>
      <c r="C4148" s="37"/>
      <c r="D4148" s="37"/>
      <c r="E4148" s="38" t="s">
        <v>4984</v>
      </c>
      <c r="F4148" s="38" t="s">
        <v>4956</v>
      </c>
      <c r="G4148" s="38">
        <v>1.0333034131599E13</v>
      </c>
      <c r="H4148" s="38" t="s">
        <v>4957</v>
      </c>
      <c r="I4148" s="38" t="s">
        <v>4958</v>
      </c>
      <c r="J4148" s="38" t="s">
        <v>224</v>
      </c>
      <c r="K4148" s="38" t="s">
        <v>63</v>
      </c>
      <c r="L4148" s="41">
        <v>46010.0</v>
      </c>
      <c r="M4148" s="38" t="s">
        <v>123</v>
      </c>
      <c r="N4148" s="41">
        <v>46010.083333333336</v>
      </c>
      <c r="O4148" s="38" t="s">
        <v>123</v>
      </c>
      <c r="P4148" s="38">
        <v>7200.0</v>
      </c>
      <c r="Q4148" s="39"/>
      <c r="R4148" s="39"/>
      <c r="S4148" s="39"/>
      <c r="T4148" s="39"/>
      <c r="U4148" s="39"/>
    </row>
    <row r="4149">
      <c r="A4149" s="40">
        <f t="shared" si="1"/>
        <v>46006</v>
      </c>
      <c r="B4149" s="37" t="str">
        <f t="array" ref="B4149">iferror(xlookup($I4149, 'IMPORT VHC Report'!$E:$E, 'IMPORT VHC Report'!$A:$C), )</f>
        <v/>
      </c>
      <c r="C4149" s="37"/>
      <c r="D4149" s="37"/>
      <c r="E4149" s="38" t="s">
        <v>4985</v>
      </c>
      <c r="F4149" s="38" t="s">
        <v>4956</v>
      </c>
      <c r="G4149" s="38">
        <v>1.0333034131599E13</v>
      </c>
      <c r="H4149" s="38" t="s">
        <v>4957</v>
      </c>
      <c r="I4149" s="38" t="s">
        <v>4958</v>
      </c>
      <c r="J4149" s="38" t="s">
        <v>224</v>
      </c>
      <c r="K4149" s="38" t="s">
        <v>63</v>
      </c>
      <c r="L4149" s="41">
        <v>46010.708333333336</v>
      </c>
      <c r="M4149" s="38" t="s">
        <v>123</v>
      </c>
      <c r="N4149" s="41">
        <v>46010.791666666664</v>
      </c>
      <c r="O4149" s="38" t="s">
        <v>123</v>
      </c>
      <c r="P4149" s="38">
        <v>7200.0</v>
      </c>
      <c r="Q4149" s="39"/>
      <c r="R4149" s="39"/>
      <c r="S4149" s="39"/>
      <c r="T4149" s="39"/>
      <c r="U4149" s="39"/>
    </row>
    <row r="4150">
      <c r="A4150" s="40">
        <f t="shared" si="1"/>
        <v>46006</v>
      </c>
      <c r="B4150" s="37" t="str">
        <f t="array" ref="B4150">iferror(xlookup($I4150, 'IMPORT VHC Report'!$E:$E, 'IMPORT VHC Report'!$A:$C), )</f>
        <v/>
      </c>
      <c r="C4150" s="37"/>
      <c r="D4150" s="37"/>
      <c r="E4150" s="38" t="s">
        <v>4986</v>
      </c>
      <c r="F4150" s="38" t="s">
        <v>4956</v>
      </c>
      <c r="G4150" s="38">
        <v>1.0333034131599E13</v>
      </c>
      <c r="H4150" s="38" t="s">
        <v>4957</v>
      </c>
      <c r="I4150" s="38" t="s">
        <v>4958</v>
      </c>
      <c r="J4150" s="38" t="s">
        <v>152</v>
      </c>
      <c r="K4150" s="38" t="s">
        <v>153</v>
      </c>
      <c r="L4150" s="41">
        <v>46010.708333333336</v>
      </c>
      <c r="M4150" s="38" t="s">
        <v>123</v>
      </c>
      <c r="N4150" s="41">
        <v>46011.083333333336</v>
      </c>
      <c r="O4150" s="38" t="s">
        <v>123</v>
      </c>
      <c r="P4150" s="38">
        <v>32400.0</v>
      </c>
      <c r="Q4150" s="38">
        <v>32400.0</v>
      </c>
      <c r="R4150" s="39"/>
      <c r="S4150" s="39"/>
      <c r="T4150" s="39"/>
      <c r="U4150" s="39"/>
    </row>
    <row r="4151">
      <c r="A4151" s="40">
        <f t="shared" si="1"/>
        <v>46006</v>
      </c>
      <c r="B4151" s="37" t="str">
        <f t="array" ref="B4151">iferror(xlookup($I4151, 'IMPORT VHC Report'!$E:$E, 'IMPORT VHC Report'!$A:$C), )</f>
        <v/>
      </c>
      <c r="C4151" s="37"/>
      <c r="D4151" s="37"/>
      <c r="E4151" s="38" t="s">
        <v>4987</v>
      </c>
      <c r="F4151" s="38" t="s">
        <v>4956</v>
      </c>
      <c r="G4151" s="38">
        <v>1.0333034131599E13</v>
      </c>
      <c r="H4151" s="38" t="s">
        <v>4957</v>
      </c>
      <c r="I4151" s="38" t="s">
        <v>4958</v>
      </c>
      <c r="J4151" s="38" t="s">
        <v>134</v>
      </c>
      <c r="K4151" s="38" t="s">
        <v>126</v>
      </c>
      <c r="L4151" s="41">
        <v>46010.791666666664</v>
      </c>
      <c r="M4151" s="38" t="s">
        <v>123</v>
      </c>
      <c r="N4151" s="41">
        <v>46010.802083333336</v>
      </c>
      <c r="O4151" s="38" t="s">
        <v>123</v>
      </c>
      <c r="P4151" s="38">
        <v>900.0</v>
      </c>
      <c r="Q4151" s="39"/>
      <c r="R4151" s="39"/>
      <c r="S4151" s="39"/>
      <c r="T4151" s="39"/>
      <c r="U4151" s="39"/>
    </row>
    <row r="4152">
      <c r="A4152" s="40">
        <f t="shared" si="1"/>
        <v>46006</v>
      </c>
      <c r="B4152" s="37" t="str">
        <f t="array" ref="B4152">iferror(xlookup($I4152, 'IMPORT VHC Report'!$E:$E, 'IMPORT VHC Report'!$A:$C), )</f>
        <v/>
      </c>
      <c r="C4152" s="37"/>
      <c r="D4152" s="37"/>
      <c r="E4152" s="38" t="s">
        <v>4988</v>
      </c>
      <c r="F4152" s="38" t="s">
        <v>4956</v>
      </c>
      <c r="G4152" s="38">
        <v>1.0333034131599E13</v>
      </c>
      <c r="H4152" s="38" t="s">
        <v>4957</v>
      </c>
      <c r="I4152" s="38" t="s">
        <v>4958</v>
      </c>
      <c r="J4152" s="38" t="s">
        <v>224</v>
      </c>
      <c r="K4152" s="38" t="s">
        <v>63</v>
      </c>
      <c r="L4152" s="41">
        <v>46010.802083333336</v>
      </c>
      <c r="M4152" s="38" t="s">
        <v>123</v>
      </c>
      <c r="N4152" s="41">
        <v>46010.875</v>
      </c>
      <c r="O4152" s="38" t="s">
        <v>123</v>
      </c>
      <c r="P4152" s="38">
        <v>6300.0</v>
      </c>
      <c r="Q4152" s="39"/>
      <c r="R4152" s="39"/>
      <c r="S4152" s="39"/>
      <c r="T4152" s="39"/>
      <c r="U4152" s="39"/>
    </row>
    <row r="4153">
      <c r="A4153" s="40">
        <f t="shared" si="1"/>
        <v>46006</v>
      </c>
      <c r="B4153" s="37" t="str">
        <f t="array" ref="B4153">iferror(xlookup($I4153, 'IMPORT VHC Report'!$E:$E, 'IMPORT VHC Report'!$A:$C), )</f>
        <v/>
      </c>
      <c r="C4153" s="37"/>
      <c r="D4153" s="37"/>
      <c r="E4153" s="38" t="s">
        <v>4989</v>
      </c>
      <c r="F4153" s="38" t="s">
        <v>4956</v>
      </c>
      <c r="G4153" s="38">
        <v>1.0333034131599E13</v>
      </c>
      <c r="H4153" s="38" t="s">
        <v>4957</v>
      </c>
      <c r="I4153" s="38" t="s">
        <v>4958</v>
      </c>
      <c r="J4153" s="38" t="s">
        <v>132</v>
      </c>
      <c r="K4153" s="38" t="s">
        <v>126</v>
      </c>
      <c r="L4153" s="41">
        <v>46010.875</v>
      </c>
      <c r="M4153" s="38" t="s">
        <v>123</v>
      </c>
      <c r="N4153" s="41">
        <v>46010.916666666664</v>
      </c>
      <c r="O4153" s="38" t="s">
        <v>123</v>
      </c>
      <c r="P4153" s="38">
        <v>3600.0</v>
      </c>
      <c r="Q4153" s="39"/>
      <c r="R4153" s="39"/>
      <c r="S4153" s="39"/>
      <c r="T4153" s="39"/>
      <c r="U4153" s="39"/>
    </row>
    <row r="4154">
      <c r="A4154" s="40">
        <f t="shared" si="1"/>
        <v>46006</v>
      </c>
      <c r="B4154" s="37" t="str">
        <f t="array" ref="B4154">iferror(xlookup($I4154, 'IMPORT VHC Report'!$E:$E, 'IMPORT VHC Report'!$A:$C), )</f>
        <v/>
      </c>
      <c r="C4154" s="37"/>
      <c r="D4154" s="37"/>
      <c r="E4154" s="38" t="s">
        <v>4990</v>
      </c>
      <c r="F4154" s="38" t="s">
        <v>4956</v>
      </c>
      <c r="G4154" s="38">
        <v>1.0333034131599E13</v>
      </c>
      <c r="H4154" s="38" t="s">
        <v>4957</v>
      </c>
      <c r="I4154" s="38" t="s">
        <v>4958</v>
      </c>
      <c r="J4154" s="38" t="s">
        <v>224</v>
      </c>
      <c r="K4154" s="38" t="s">
        <v>63</v>
      </c>
      <c r="L4154" s="41">
        <v>46010.916666666664</v>
      </c>
      <c r="M4154" s="38" t="s">
        <v>123</v>
      </c>
      <c r="N4154" s="41">
        <v>46010.989583333336</v>
      </c>
      <c r="O4154" s="38" t="s">
        <v>123</v>
      </c>
      <c r="P4154" s="38">
        <v>6300.0</v>
      </c>
      <c r="Q4154" s="39"/>
      <c r="R4154" s="39"/>
      <c r="S4154" s="39"/>
      <c r="T4154" s="39"/>
      <c r="U4154" s="39"/>
    </row>
    <row r="4155">
      <c r="A4155" s="40">
        <f t="shared" si="1"/>
        <v>46006</v>
      </c>
      <c r="B4155" s="37" t="str">
        <f t="array" ref="B4155">iferror(xlookup($I4155, 'IMPORT VHC Report'!$E:$E, 'IMPORT VHC Report'!$A:$C), )</f>
        <v/>
      </c>
      <c r="C4155" s="37"/>
      <c r="D4155" s="37"/>
      <c r="E4155" s="38" t="s">
        <v>4991</v>
      </c>
      <c r="F4155" s="38" t="s">
        <v>4956</v>
      </c>
      <c r="G4155" s="38">
        <v>1.0333034131599E13</v>
      </c>
      <c r="H4155" s="38" t="s">
        <v>4957</v>
      </c>
      <c r="I4155" s="38" t="s">
        <v>4958</v>
      </c>
      <c r="J4155" s="38" t="s">
        <v>134</v>
      </c>
      <c r="K4155" s="38" t="s">
        <v>126</v>
      </c>
      <c r="L4155" s="41">
        <v>46010.989583333336</v>
      </c>
      <c r="M4155" s="38" t="s">
        <v>123</v>
      </c>
      <c r="N4155" s="41">
        <v>46011.0</v>
      </c>
      <c r="O4155" s="38" t="s">
        <v>123</v>
      </c>
      <c r="P4155" s="38">
        <v>900.0</v>
      </c>
      <c r="Q4155" s="39"/>
      <c r="R4155" s="39"/>
      <c r="S4155" s="39"/>
      <c r="T4155" s="39"/>
      <c r="U4155" s="39"/>
    </row>
    <row r="4156">
      <c r="A4156" s="40">
        <f t="shared" si="1"/>
        <v>46006</v>
      </c>
      <c r="B4156" s="37" t="str">
        <f t="array" ref="B4156">iferror(xlookup($I4156, 'IMPORT VHC Report'!$E:$E, 'IMPORT VHC Report'!$A:$C), )</f>
        <v/>
      </c>
      <c r="C4156" s="37"/>
      <c r="D4156" s="37"/>
      <c r="E4156" s="38" t="s">
        <v>4992</v>
      </c>
      <c r="F4156" s="38" t="s">
        <v>4956</v>
      </c>
      <c r="G4156" s="38">
        <v>1.0333034131599E13</v>
      </c>
      <c r="H4156" s="38" t="s">
        <v>4957</v>
      </c>
      <c r="I4156" s="38" t="s">
        <v>4958</v>
      </c>
      <c r="J4156" s="38" t="s">
        <v>224</v>
      </c>
      <c r="K4156" s="38" t="s">
        <v>63</v>
      </c>
      <c r="L4156" s="41">
        <v>46011.0</v>
      </c>
      <c r="M4156" s="38" t="s">
        <v>123</v>
      </c>
      <c r="N4156" s="41">
        <v>46011.083333333336</v>
      </c>
      <c r="O4156" s="38" t="s">
        <v>123</v>
      </c>
      <c r="P4156" s="38">
        <v>7200.0</v>
      </c>
      <c r="Q4156" s="39"/>
      <c r="R4156" s="39"/>
      <c r="S4156" s="39"/>
      <c r="T4156" s="39"/>
      <c r="U4156" s="39"/>
    </row>
    <row r="4157">
      <c r="A4157" s="40">
        <f t="shared" si="1"/>
        <v>46006</v>
      </c>
      <c r="B4157" s="37" t="str">
        <f t="array" ref="B4157">iferror(xlookup($I4157, 'IMPORT VHC Report'!$E:$E, 'IMPORT VHC Report'!$A:$C), )</f>
        <v/>
      </c>
      <c r="C4157" s="37"/>
      <c r="D4157" s="37"/>
      <c r="E4157" s="38" t="s">
        <v>4993</v>
      </c>
      <c r="F4157" s="38" t="s">
        <v>4994</v>
      </c>
      <c r="G4157" s="38">
        <v>7.235815845903E12</v>
      </c>
      <c r="H4157" s="38" t="s">
        <v>4995</v>
      </c>
      <c r="I4157" s="38" t="s">
        <v>4996</v>
      </c>
      <c r="J4157" s="38" t="s">
        <v>224</v>
      </c>
      <c r="K4157" s="38" t="s">
        <v>63</v>
      </c>
      <c r="L4157" s="41">
        <v>46006.708333333336</v>
      </c>
      <c r="M4157" s="38" t="s">
        <v>123</v>
      </c>
      <c r="N4157" s="41">
        <v>46006.791666666664</v>
      </c>
      <c r="O4157" s="38" t="s">
        <v>123</v>
      </c>
      <c r="P4157" s="38">
        <v>7200.0</v>
      </c>
      <c r="Q4157" s="39"/>
      <c r="R4157" s="39"/>
      <c r="S4157" s="39"/>
      <c r="T4157" s="39"/>
      <c r="U4157" s="39"/>
    </row>
    <row r="4158">
      <c r="A4158" s="40">
        <f t="shared" si="1"/>
        <v>46006</v>
      </c>
      <c r="B4158" s="37" t="str">
        <f t="array" ref="B4158">iferror(xlookup($I4158, 'IMPORT VHC Report'!$E:$E, 'IMPORT VHC Report'!$A:$C), )</f>
        <v/>
      </c>
      <c r="C4158" s="37"/>
      <c r="D4158" s="37"/>
      <c r="E4158" s="38" t="s">
        <v>4997</v>
      </c>
      <c r="F4158" s="38" t="s">
        <v>4994</v>
      </c>
      <c r="G4158" s="38">
        <v>7.235815845903E12</v>
      </c>
      <c r="H4158" s="38" t="s">
        <v>4995</v>
      </c>
      <c r="I4158" s="38" t="s">
        <v>4996</v>
      </c>
      <c r="J4158" s="38" t="s">
        <v>134</v>
      </c>
      <c r="K4158" s="38" t="s">
        <v>126</v>
      </c>
      <c r="L4158" s="41">
        <v>46006.791666666664</v>
      </c>
      <c r="M4158" s="38" t="s">
        <v>123</v>
      </c>
      <c r="N4158" s="41">
        <v>46006.802083333336</v>
      </c>
      <c r="O4158" s="38" t="s">
        <v>123</v>
      </c>
      <c r="P4158" s="38">
        <v>900.0</v>
      </c>
      <c r="Q4158" s="39"/>
      <c r="R4158" s="39"/>
      <c r="S4158" s="39"/>
      <c r="T4158" s="39"/>
      <c r="U4158" s="39"/>
    </row>
    <row r="4159">
      <c r="A4159" s="40">
        <f t="shared" si="1"/>
        <v>46006</v>
      </c>
      <c r="B4159" s="37" t="str">
        <f t="array" ref="B4159">iferror(xlookup($I4159, 'IMPORT VHC Report'!$E:$E, 'IMPORT VHC Report'!$A:$C), )</f>
        <v/>
      </c>
      <c r="C4159" s="37"/>
      <c r="D4159" s="37"/>
      <c r="E4159" s="38" t="s">
        <v>4998</v>
      </c>
      <c r="F4159" s="38" t="s">
        <v>4994</v>
      </c>
      <c r="G4159" s="38">
        <v>7.235815845903E12</v>
      </c>
      <c r="H4159" s="38" t="s">
        <v>4995</v>
      </c>
      <c r="I4159" s="38" t="s">
        <v>4996</v>
      </c>
      <c r="J4159" s="38" t="s">
        <v>125</v>
      </c>
      <c r="K4159" s="38" t="s">
        <v>126</v>
      </c>
      <c r="L4159" s="41">
        <v>46006.850694444445</v>
      </c>
      <c r="M4159" s="38" t="s">
        <v>123</v>
      </c>
      <c r="N4159" s="41">
        <v>46006.861805555556</v>
      </c>
      <c r="O4159" s="38" t="s">
        <v>123</v>
      </c>
      <c r="P4159" s="38">
        <v>960.0</v>
      </c>
      <c r="Q4159" s="39"/>
      <c r="R4159" s="39"/>
      <c r="S4159" s="38" t="s">
        <v>4999</v>
      </c>
      <c r="T4159" s="39"/>
      <c r="U4159" s="39"/>
    </row>
    <row r="4160">
      <c r="A4160" s="40">
        <f t="shared" si="1"/>
        <v>46006</v>
      </c>
      <c r="B4160" s="37" t="str">
        <f t="array" ref="B4160">iferror(xlookup($I4160, 'IMPORT VHC Report'!$E:$E, 'IMPORT VHC Report'!$A:$C), )</f>
        <v/>
      </c>
      <c r="C4160" s="37"/>
      <c r="D4160" s="37"/>
      <c r="E4160" s="38" t="s">
        <v>5000</v>
      </c>
      <c r="F4160" s="38" t="s">
        <v>4994</v>
      </c>
      <c r="G4160" s="38">
        <v>7.235815845903E12</v>
      </c>
      <c r="H4160" s="38" t="s">
        <v>4995</v>
      </c>
      <c r="I4160" s="38" t="s">
        <v>4996</v>
      </c>
      <c r="J4160" s="38" t="s">
        <v>132</v>
      </c>
      <c r="K4160" s="38" t="s">
        <v>126</v>
      </c>
      <c r="L4160" s="41">
        <v>46006.875</v>
      </c>
      <c r="M4160" s="38" t="s">
        <v>123</v>
      </c>
      <c r="N4160" s="41">
        <v>46006.916666666664</v>
      </c>
      <c r="O4160" s="38" t="s">
        <v>123</v>
      </c>
      <c r="P4160" s="38">
        <v>3600.0</v>
      </c>
      <c r="Q4160" s="39"/>
      <c r="R4160" s="39"/>
      <c r="S4160" s="39"/>
      <c r="T4160" s="39"/>
      <c r="U4160" s="39"/>
    </row>
    <row r="4161">
      <c r="A4161" s="40">
        <f t="shared" si="1"/>
        <v>46006</v>
      </c>
      <c r="B4161" s="37" t="str">
        <f t="array" ref="B4161">iferror(xlookup($I4161, 'IMPORT VHC Report'!$E:$E, 'IMPORT VHC Report'!$A:$C), )</f>
        <v/>
      </c>
      <c r="C4161" s="37"/>
      <c r="D4161" s="37"/>
      <c r="E4161" s="38" t="s">
        <v>5001</v>
      </c>
      <c r="F4161" s="38" t="s">
        <v>4994</v>
      </c>
      <c r="G4161" s="38">
        <v>7.235815845903E12</v>
      </c>
      <c r="H4161" s="38" t="s">
        <v>4995</v>
      </c>
      <c r="I4161" s="38" t="s">
        <v>4996</v>
      </c>
      <c r="J4161" s="38" t="s">
        <v>125</v>
      </c>
      <c r="K4161" s="38" t="s">
        <v>126</v>
      </c>
      <c r="L4161" s="41">
        <v>46006.916666666664</v>
      </c>
      <c r="M4161" s="38" t="s">
        <v>123</v>
      </c>
      <c r="N4161" s="41">
        <v>46006.927083333336</v>
      </c>
      <c r="O4161" s="38" t="s">
        <v>123</v>
      </c>
      <c r="P4161" s="38">
        <v>900.0</v>
      </c>
      <c r="Q4161" s="39"/>
      <c r="R4161" s="39"/>
      <c r="S4161" s="38" t="s">
        <v>4999</v>
      </c>
      <c r="T4161" s="39"/>
      <c r="U4161" s="39"/>
    </row>
    <row r="4162">
      <c r="A4162" s="40">
        <f t="shared" si="1"/>
        <v>46006</v>
      </c>
      <c r="B4162" s="37" t="str">
        <f t="array" ref="B4162">iferror(xlookup($I4162, 'IMPORT VHC Report'!$E:$E, 'IMPORT VHC Report'!$A:$C), )</f>
        <v/>
      </c>
      <c r="C4162" s="37"/>
      <c r="D4162" s="37"/>
      <c r="E4162" s="38" t="s">
        <v>5002</v>
      </c>
      <c r="F4162" s="38" t="s">
        <v>4994</v>
      </c>
      <c r="G4162" s="38">
        <v>7.235815845903E12</v>
      </c>
      <c r="H4162" s="38" t="s">
        <v>4995</v>
      </c>
      <c r="I4162" s="38" t="s">
        <v>4996</v>
      </c>
      <c r="J4162" s="38" t="s">
        <v>134</v>
      </c>
      <c r="K4162" s="38" t="s">
        <v>126</v>
      </c>
      <c r="L4162" s="41">
        <v>46006.979166666664</v>
      </c>
      <c r="M4162" s="38" t="s">
        <v>123</v>
      </c>
      <c r="N4162" s="41">
        <v>46006.989583333336</v>
      </c>
      <c r="O4162" s="38" t="s">
        <v>123</v>
      </c>
      <c r="P4162" s="38">
        <v>900.0</v>
      </c>
      <c r="Q4162" s="39"/>
      <c r="R4162" s="39"/>
      <c r="S4162" s="39"/>
      <c r="T4162" s="39"/>
      <c r="U4162" s="39"/>
    </row>
    <row r="4163">
      <c r="A4163" s="40">
        <f t="shared" si="1"/>
        <v>46006</v>
      </c>
      <c r="B4163" s="37" t="str">
        <f t="array" ref="B4163">iferror(xlookup($I4163, 'IMPORT VHC Report'!$E:$E, 'IMPORT VHC Report'!$A:$C), )</f>
        <v/>
      </c>
      <c r="C4163" s="37"/>
      <c r="D4163" s="37"/>
      <c r="E4163" s="38" t="s">
        <v>5003</v>
      </c>
      <c r="F4163" s="38" t="s">
        <v>4994</v>
      </c>
      <c r="G4163" s="38">
        <v>7.235815845903E12</v>
      </c>
      <c r="H4163" s="38" t="s">
        <v>4995</v>
      </c>
      <c r="I4163" s="38" t="s">
        <v>4996</v>
      </c>
      <c r="J4163" s="38" t="s">
        <v>224</v>
      </c>
      <c r="K4163" s="38" t="s">
        <v>63</v>
      </c>
      <c r="L4163" s="41">
        <v>46006.989583333336</v>
      </c>
      <c r="M4163" s="38" t="s">
        <v>123</v>
      </c>
      <c r="N4163" s="41">
        <v>46007.083333333336</v>
      </c>
      <c r="O4163" s="38" t="s">
        <v>123</v>
      </c>
      <c r="P4163" s="38">
        <v>8100.0</v>
      </c>
      <c r="Q4163" s="39"/>
      <c r="R4163" s="39"/>
      <c r="S4163" s="39"/>
      <c r="T4163" s="39"/>
      <c r="U4163" s="39"/>
    </row>
    <row r="4164">
      <c r="A4164" s="40">
        <f t="shared" si="1"/>
        <v>46006</v>
      </c>
      <c r="B4164" s="37" t="str">
        <f t="array" ref="B4164">iferror(xlookup($I4164, 'IMPORT VHC Report'!$E:$E, 'IMPORT VHC Report'!$A:$C), )</f>
        <v/>
      </c>
      <c r="C4164" s="37"/>
      <c r="D4164" s="37"/>
      <c r="E4164" s="38" t="s">
        <v>5004</v>
      </c>
      <c r="F4164" s="38" t="s">
        <v>4994</v>
      </c>
      <c r="G4164" s="38">
        <v>7.235815845903E12</v>
      </c>
      <c r="H4164" s="38" t="s">
        <v>4995</v>
      </c>
      <c r="I4164" s="38" t="s">
        <v>4996</v>
      </c>
      <c r="J4164" s="38" t="s">
        <v>224</v>
      </c>
      <c r="K4164" s="38" t="s">
        <v>63</v>
      </c>
      <c r="L4164" s="41">
        <v>46007.708333333336</v>
      </c>
      <c r="M4164" s="38" t="s">
        <v>123</v>
      </c>
      <c r="N4164" s="41">
        <v>46007.802083333336</v>
      </c>
      <c r="O4164" s="38" t="s">
        <v>123</v>
      </c>
      <c r="P4164" s="38">
        <v>8100.0</v>
      </c>
      <c r="Q4164" s="39"/>
      <c r="R4164" s="39"/>
      <c r="S4164" s="39"/>
      <c r="T4164" s="39"/>
      <c r="U4164" s="39"/>
    </row>
    <row r="4165">
      <c r="A4165" s="40">
        <f t="shared" si="1"/>
        <v>46006</v>
      </c>
      <c r="B4165" s="37" t="str">
        <f t="array" ref="B4165">iferror(xlookup($I4165, 'IMPORT VHC Report'!$E:$E, 'IMPORT VHC Report'!$A:$C), )</f>
        <v/>
      </c>
      <c r="C4165" s="37"/>
      <c r="D4165" s="37"/>
      <c r="E4165" s="38" t="s">
        <v>5005</v>
      </c>
      <c r="F4165" s="38" t="s">
        <v>4994</v>
      </c>
      <c r="G4165" s="38">
        <v>7.235815845903E12</v>
      </c>
      <c r="H4165" s="38" t="s">
        <v>4995</v>
      </c>
      <c r="I4165" s="38" t="s">
        <v>4996</v>
      </c>
      <c r="J4165" s="38" t="s">
        <v>134</v>
      </c>
      <c r="K4165" s="38" t="s">
        <v>126</v>
      </c>
      <c r="L4165" s="41">
        <v>46007.802083333336</v>
      </c>
      <c r="M4165" s="38" t="s">
        <v>123</v>
      </c>
      <c r="N4165" s="41">
        <v>46007.8125</v>
      </c>
      <c r="O4165" s="38" t="s">
        <v>123</v>
      </c>
      <c r="P4165" s="38">
        <v>900.0</v>
      </c>
      <c r="Q4165" s="39"/>
      <c r="R4165" s="39"/>
      <c r="S4165" s="39"/>
      <c r="T4165" s="39"/>
      <c r="U4165" s="39"/>
    </row>
    <row r="4166">
      <c r="A4166" s="40">
        <f t="shared" si="1"/>
        <v>46006</v>
      </c>
      <c r="B4166" s="37" t="str">
        <f t="array" ref="B4166">iferror(xlookup($I4166, 'IMPORT VHC Report'!$E:$E, 'IMPORT VHC Report'!$A:$C), )</f>
        <v/>
      </c>
      <c r="C4166" s="37"/>
      <c r="D4166" s="37"/>
      <c r="E4166" s="38" t="s">
        <v>5006</v>
      </c>
      <c r="F4166" s="38" t="s">
        <v>4994</v>
      </c>
      <c r="G4166" s="38">
        <v>7.235815845903E12</v>
      </c>
      <c r="H4166" s="38" t="s">
        <v>4995</v>
      </c>
      <c r="I4166" s="38" t="s">
        <v>4996</v>
      </c>
      <c r="J4166" s="38" t="s">
        <v>224</v>
      </c>
      <c r="K4166" s="38" t="s">
        <v>63</v>
      </c>
      <c r="L4166" s="41">
        <v>46007.8125</v>
      </c>
      <c r="M4166" s="38" t="s">
        <v>123</v>
      </c>
      <c r="N4166" s="41">
        <v>46007.895833333336</v>
      </c>
      <c r="O4166" s="38" t="s">
        <v>123</v>
      </c>
      <c r="P4166" s="38">
        <v>7200.0</v>
      </c>
      <c r="Q4166" s="39"/>
      <c r="R4166" s="39"/>
      <c r="S4166" s="39"/>
      <c r="T4166" s="39"/>
      <c r="U4166" s="39"/>
    </row>
    <row r="4167">
      <c r="A4167" s="40">
        <f t="shared" si="1"/>
        <v>46006</v>
      </c>
      <c r="B4167" s="37" t="str">
        <f t="array" ref="B4167">iferror(xlookup($I4167, 'IMPORT VHC Report'!$E:$E, 'IMPORT VHC Report'!$A:$C), )</f>
        <v/>
      </c>
      <c r="C4167" s="37"/>
      <c r="D4167" s="37"/>
      <c r="E4167" s="38" t="s">
        <v>5007</v>
      </c>
      <c r="F4167" s="38" t="s">
        <v>4994</v>
      </c>
      <c r="G4167" s="38">
        <v>7.235815845903E12</v>
      </c>
      <c r="H4167" s="38" t="s">
        <v>4995</v>
      </c>
      <c r="I4167" s="38" t="s">
        <v>4996</v>
      </c>
      <c r="J4167" s="38" t="s">
        <v>134</v>
      </c>
      <c r="K4167" s="38" t="s">
        <v>126</v>
      </c>
      <c r="L4167" s="41">
        <v>46007.895833333336</v>
      </c>
      <c r="M4167" s="38" t="s">
        <v>123</v>
      </c>
      <c r="N4167" s="41">
        <v>46007.90625</v>
      </c>
      <c r="O4167" s="38" t="s">
        <v>123</v>
      </c>
      <c r="P4167" s="38">
        <v>900.0</v>
      </c>
      <c r="Q4167" s="39"/>
      <c r="R4167" s="39"/>
      <c r="S4167" s="39"/>
      <c r="T4167" s="39"/>
      <c r="U4167" s="39"/>
    </row>
    <row r="4168">
      <c r="A4168" s="40">
        <f t="shared" si="1"/>
        <v>46006</v>
      </c>
      <c r="B4168" s="37" t="str">
        <f t="array" ref="B4168">iferror(xlookup($I4168, 'IMPORT VHC Report'!$E:$E, 'IMPORT VHC Report'!$A:$C), )</f>
        <v/>
      </c>
      <c r="C4168" s="37"/>
      <c r="D4168" s="37"/>
      <c r="E4168" s="38" t="s">
        <v>5008</v>
      </c>
      <c r="F4168" s="38" t="s">
        <v>4994</v>
      </c>
      <c r="G4168" s="38">
        <v>7.235815845903E12</v>
      </c>
      <c r="H4168" s="38" t="s">
        <v>4995</v>
      </c>
      <c r="I4168" s="38" t="s">
        <v>4996</v>
      </c>
      <c r="J4168" s="38" t="s">
        <v>125</v>
      </c>
      <c r="K4168" s="38" t="s">
        <v>126</v>
      </c>
      <c r="L4168" s="41">
        <v>46007.93819444445</v>
      </c>
      <c r="M4168" s="38" t="s">
        <v>123</v>
      </c>
      <c r="N4168" s="41">
        <v>46007.95277777778</v>
      </c>
      <c r="O4168" s="38" t="s">
        <v>123</v>
      </c>
      <c r="P4168" s="38">
        <v>1260.0</v>
      </c>
      <c r="Q4168" s="39"/>
      <c r="R4168" s="39"/>
      <c r="S4168" s="38" t="s">
        <v>4999</v>
      </c>
      <c r="T4168" s="39"/>
      <c r="U4168" s="39"/>
    </row>
    <row r="4169">
      <c r="A4169" s="40">
        <f t="shared" si="1"/>
        <v>46006</v>
      </c>
      <c r="B4169" s="37" t="str">
        <f t="array" ref="B4169">iferror(xlookup($I4169, 'IMPORT VHC Report'!$E:$E, 'IMPORT VHC Report'!$A:$C), )</f>
        <v/>
      </c>
      <c r="C4169" s="37"/>
      <c r="D4169" s="37"/>
      <c r="E4169" s="38" t="s">
        <v>5009</v>
      </c>
      <c r="F4169" s="38" t="s">
        <v>4994</v>
      </c>
      <c r="G4169" s="38">
        <v>7.235815845903E12</v>
      </c>
      <c r="H4169" s="38" t="s">
        <v>4995</v>
      </c>
      <c r="I4169" s="38" t="s">
        <v>4996</v>
      </c>
      <c r="J4169" s="38" t="s">
        <v>132</v>
      </c>
      <c r="K4169" s="38" t="s">
        <v>126</v>
      </c>
      <c r="L4169" s="41">
        <v>46007.979166666664</v>
      </c>
      <c r="M4169" s="38" t="s">
        <v>123</v>
      </c>
      <c r="N4169" s="41">
        <v>46008.020833333336</v>
      </c>
      <c r="O4169" s="38" t="s">
        <v>123</v>
      </c>
      <c r="P4169" s="38">
        <v>3600.0</v>
      </c>
      <c r="Q4169" s="39"/>
      <c r="R4169" s="39"/>
      <c r="S4169" s="39"/>
      <c r="T4169" s="39"/>
      <c r="U4169" s="39"/>
    </row>
    <row r="4170">
      <c r="A4170" s="40">
        <f t="shared" si="1"/>
        <v>46006</v>
      </c>
      <c r="B4170" s="37" t="str">
        <f t="array" ref="B4170">iferror(xlookup($I4170, 'IMPORT VHC Report'!$E:$E, 'IMPORT VHC Report'!$A:$C), )</f>
        <v/>
      </c>
      <c r="C4170" s="37"/>
      <c r="D4170" s="37"/>
      <c r="E4170" s="38" t="s">
        <v>5010</v>
      </c>
      <c r="F4170" s="38" t="s">
        <v>4994</v>
      </c>
      <c r="G4170" s="38">
        <v>7.235815845903E12</v>
      </c>
      <c r="H4170" s="38" t="s">
        <v>4995</v>
      </c>
      <c r="I4170" s="38" t="s">
        <v>4996</v>
      </c>
      <c r="J4170" s="38" t="s">
        <v>224</v>
      </c>
      <c r="K4170" s="38" t="s">
        <v>63</v>
      </c>
      <c r="L4170" s="41">
        <v>46008.020833333336</v>
      </c>
      <c r="M4170" s="38" t="s">
        <v>123</v>
      </c>
      <c r="N4170" s="41">
        <v>46008.083333333336</v>
      </c>
      <c r="O4170" s="38" t="s">
        <v>123</v>
      </c>
      <c r="P4170" s="38">
        <v>5400.0</v>
      </c>
      <c r="Q4170" s="39"/>
      <c r="R4170" s="39"/>
      <c r="S4170" s="39"/>
      <c r="T4170" s="39"/>
      <c r="U4170" s="39"/>
    </row>
    <row r="4171">
      <c r="A4171" s="40">
        <f t="shared" si="1"/>
        <v>46006</v>
      </c>
      <c r="B4171" s="37" t="str">
        <f t="array" ref="B4171">iferror(xlookup($I4171, 'IMPORT VHC Report'!$E:$E, 'IMPORT VHC Report'!$A:$C), )</f>
        <v/>
      </c>
      <c r="C4171" s="37"/>
      <c r="D4171" s="37"/>
      <c r="E4171" s="38" t="s">
        <v>5011</v>
      </c>
      <c r="F4171" s="38" t="s">
        <v>4994</v>
      </c>
      <c r="G4171" s="38">
        <v>7.235815845903E12</v>
      </c>
      <c r="H4171" s="38" t="s">
        <v>4995</v>
      </c>
      <c r="I4171" s="38" t="s">
        <v>4996</v>
      </c>
      <c r="J4171" s="38" t="s">
        <v>152</v>
      </c>
      <c r="K4171" s="38" t="s">
        <v>153</v>
      </c>
      <c r="L4171" s="41">
        <v>46008.708333333336</v>
      </c>
      <c r="M4171" s="38" t="s">
        <v>123</v>
      </c>
      <c r="N4171" s="41">
        <v>46009.083333333336</v>
      </c>
      <c r="O4171" s="38" t="s">
        <v>123</v>
      </c>
      <c r="P4171" s="38">
        <v>32400.0</v>
      </c>
      <c r="Q4171" s="38">
        <v>32400.0</v>
      </c>
      <c r="R4171" s="38" t="s">
        <v>421</v>
      </c>
      <c r="S4171" s="38" t="s">
        <v>421</v>
      </c>
      <c r="T4171" s="39"/>
      <c r="U4171" s="39"/>
    </row>
    <row r="4172">
      <c r="A4172" s="40">
        <f t="shared" si="1"/>
        <v>46006</v>
      </c>
      <c r="B4172" s="37" t="str">
        <f t="array" ref="B4172">iferror(xlookup($I4172, 'IMPORT VHC Report'!$E:$E, 'IMPORT VHC Report'!$A:$C), )</f>
        <v/>
      </c>
      <c r="C4172" s="37"/>
      <c r="D4172" s="37"/>
      <c r="E4172" s="38" t="s">
        <v>5012</v>
      </c>
      <c r="F4172" s="38" t="s">
        <v>4994</v>
      </c>
      <c r="G4172" s="38">
        <v>7.235815845903E12</v>
      </c>
      <c r="H4172" s="38" t="s">
        <v>4995</v>
      </c>
      <c r="I4172" s="38" t="s">
        <v>4996</v>
      </c>
      <c r="J4172" s="38" t="s">
        <v>134</v>
      </c>
      <c r="K4172" s="38" t="s">
        <v>126</v>
      </c>
      <c r="L4172" s="41">
        <v>46008.802083333336</v>
      </c>
      <c r="M4172" s="38" t="s">
        <v>123</v>
      </c>
      <c r="N4172" s="41">
        <v>46008.8125</v>
      </c>
      <c r="O4172" s="38" t="s">
        <v>123</v>
      </c>
      <c r="P4172" s="38">
        <v>900.0</v>
      </c>
      <c r="Q4172" s="39"/>
      <c r="R4172" s="39"/>
      <c r="S4172" s="39"/>
      <c r="T4172" s="39"/>
      <c r="U4172" s="39"/>
    </row>
    <row r="4173">
      <c r="A4173" s="40">
        <f t="shared" si="1"/>
        <v>46006</v>
      </c>
      <c r="B4173" s="37" t="str">
        <f t="array" ref="B4173">iferror(xlookup($I4173, 'IMPORT VHC Report'!$E:$E, 'IMPORT VHC Report'!$A:$C), )</f>
        <v/>
      </c>
      <c r="C4173" s="37"/>
      <c r="D4173" s="37"/>
      <c r="E4173" s="38" t="s">
        <v>5013</v>
      </c>
      <c r="F4173" s="38" t="s">
        <v>4994</v>
      </c>
      <c r="G4173" s="38">
        <v>7.235815845903E12</v>
      </c>
      <c r="H4173" s="38" t="s">
        <v>4995</v>
      </c>
      <c r="I4173" s="38" t="s">
        <v>4996</v>
      </c>
      <c r="J4173" s="38" t="s">
        <v>132</v>
      </c>
      <c r="K4173" s="38" t="s">
        <v>126</v>
      </c>
      <c r="L4173" s="41">
        <v>46008.90625</v>
      </c>
      <c r="M4173" s="38" t="s">
        <v>123</v>
      </c>
      <c r="N4173" s="41">
        <v>46008.947916666664</v>
      </c>
      <c r="O4173" s="38" t="s">
        <v>123</v>
      </c>
      <c r="P4173" s="38">
        <v>3600.0</v>
      </c>
      <c r="Q4173" s="39"/>
      <c r="R4173" s="39"/>
      <c r="S4173" s="39"/>
      <c r="T4173" s="39"/>
      <c r="U4173" s="39"/>
    </row>
    <row r="4174">
      <c r="A4174" s="40">
        <f t="shared" si="1"/>
        <v>46006</v>
      </c>
      <c r="B4174" s="37" t="str">
        <f t="array" ref="B4174">iferror(xlookup($I4174, 'IMPORT VHC Report'!$E:$E, 'IMPORT VHC Report'!$A:$C), )</f>
        <v/>
      </c>
      <c r="C4174" s="37"/>
      <c r="D4174" s="37"/>
      <c r="E4174" s="38" t="s">
        <v>5014</v>
      </c>
      <c r="F4174" s="38" t="s">
        <v>4994</v>
      </c>
      <c r="G4174" s="38">
        <v>7.235815845903E12</v>
      </c>
      <c r="H4174" s="38" t="s">
        <v>4995</v>
      </c>
      <c r="I4174" s="38" t="s">
        <v>4996</v>
      </c>
      <c r="J4174" s="38" t="s">
        <v>224</v>
      </c>
      <c r="K4174" s="38" t="s">
        <v>63</v>
      </c>
      <c r="L4174" s="41">
        <v>46008.927083333336</v>
      </c>
      <c r="M4174" s="38" t="s">
        <v>123</v>
      </c>
      <c r="N4174" s="41">
        <v>46009.010416666664</v>
      </c>
      <c r="O4174" s="38" t="s">
        <v>123</v>
      </c>
      <c r="P4174" s="38">
        <v>7200.0</v>
      </c>
      <c r="Q4174" s="39"/>
      <c r="R4174" s="39"/>
      <c r="S4174" s="39"/>
      <c r="T4174" s="39"/>
      <c r="U4174" s="39"/>
    </row>
    <row r="4175">
      <c r="A4175" s="40">
        <f t="shared" si="1"/>
        <v>46006</v>
      </c>
      <c r="B4175" s="37" t="str">
        <f t="array" ref="B4175">iferror(xlookup($I4175, 'IMPORT VHC Report'!$E:$E, 'IMPORT VHC Report'!$A:$C), )</f>
        <v/>
      </c>
      <c r="C4175" s="37"/>
      <c r="D4175" s="37"/>
      <c r="E4175" s="38" t="s">
        <v>5015</v>
      </c>
      <c r="F4175" s="38" t="s">
        <v>4994</v>
      </c>
      <c r="G4175" s="38">
        <v>7.235815845903E12</v>
      </c>
      <c r="H4175" s="38" t="s">
        <v>4995</v>
      </c>
      <c r="I4175" s="38" t="s">
        <v>4996</v>
      </c>
      <c r="J4175" s="38" t="s">
        <v>134</v>
      </c>
      <c r="K4175" s="38" t="s">
        <v>126</v>
      </c>
      <c r="L4175" s="41">
        <v>46009.010416666664</v>
      </c>
      <c r="M4175" s="38" t="s">
        <v>123</v>
      </c>
      <c r="N4175" s="41">
        <v>46009.020833333336</v>
      </c>
      <c r="O4175" s="38" t="s">
        <v>123</v>
      </c>
      <c r="P4175" s="38">
        <v>900.0</v>
      </c>
      <c r="Q4175" s="39"/>
      <c r="R4175" s="39"/>
      <c r="S4175" s="39"/>
      <c r="T4175" s="39"/>
      <c r="U4175" s="39"/>
    </row>
    <row r="4176">
      <c r="A4176" s="40">
        <f t="shared" si="1"/>
        <v>46006</v>
      </c>
      <c r="B4176" s="37" t="str">
        <f t="array" ref="B4176">iferror(xlookup($I4176, 'IMPORT VHC Report'!$E:$E, 'IMPORT VHC Report'!$A:$C), )</f>
        <v/>
      </c>
      <c r="C4176" s="37"/>
      <c r="D4176" s="37"/>
      <c r="E4176" s="38" t="s">
        <v>5016</v>
      </c>
      <c r="F4176" s="38" t="s">
        <v>4994</v>
      </c>
      <c r="G4176" s="38">
        <v>7.235815845903E12</v>
      </c>
      <c r="H4176" s="38" t="s">
        <v>4995</v>
      </c>
      <c r="I4176" s="38" t="s">
        <v>4996</v>
      </c>
      <c r="J4176" s="38" t="s">
        <v>224</v>
      </c>
      <c r="K4176" s="38" t="s">
        <v>63</v>
      </c>
      <c r="L4176" s="41">
        <v>46009.020833333336</v>
      </c>
      <c r="M4176" s="38" t="s">
        <v>123</v>
      </c>
      <c r="N4176" s="41">
        <v>46009.083333333336</v>
      </c>
      <c r="O4176" s="38" t="s">
        <v>123</v>
      </c>
      <c r="P4176" s="38">
        <v>5400.0</v>
      </c>
      <c r="Q4176" s="39"/>
      <c r="R4176" s="39"/>
      <c r="S4176" s="39"/>
      <c r="T4176" s="39"/>
      <c r="U4176" s="39"/>
    </row>
    <row r="4177">
      <c r="A4177" s="40">
        <f t="shared" si="1"/>
        <v>46006</v>
      </c>
      <c r="B4177" s="37" t="str">
        <f t="array" ref="B4177">iferror(xlookup($I4177, 'IMPORT VHC Report'!$E:$E, 'IMPORT VHC Report'!$A:$C), )</f>
        <v/>
      </c>
      <c r="C4177" s="37"/>
      <c r="D4177" s="37"/>
      <c r="E4177" s="38" t="s">
        <v>5017</v>
      </c>
      <c r="F4177" s="38" t="s">
        <v>4994</v>
      </c>
      <c r="G4177" s="38">
        <v>7.235815845903E12</v>
      </c>
      <c r="H4177" s="38" t="s">
        <v>4995</v>
      </c>
      <c r="I4177" s="38" t="s">
        <v>4996</v>
      </c>
      <c r="J4177" s="38" t="s">
        <v>152</v>
      </c>
      <c r="K4177" s="38" t="s">
        <v>153</v>
      </c>
      <c r="L4177" s="41">
        <v>46009.708333333336</v>
      </c>
      <c r="M4177" s="38" t="s">
        <v>123</v>
      </c>
      <c r="N4177" s="41">
        <v>46010.083333333336</v>
      </c>
      <c r="O4177" s="38" t="s">
        <v>123</v>
      </c>
      <c r="P4177" s="38">
        <v>32400.0</v>
      </c>
      <c r="Q4177" s="38">
        <v>32400.0</v>
      </c>
      <c r="R4177" s="38" t="s">
        <v>351</v>
      </c>
      <c r="S4177" s="38" t="s">
        <v>351</v>
      </c>
      <c r="T4177" s="39"/>
      <c r="U4177" s="39"/>
    </row>
    <row r="4178">
      <c r="A4178" s="40">
        <f t="shared" si="1"/>
        <v>46006</v>
      </c>
      <c r="B4178" s="37" t="str">
        <f t="array" ref="B4178">iferror(xlookup($I4178, 'IMPORT VHC Report'!$E:$E, 'IMPORT VHC Report'!$A:$C), )</f>
        <v/>
      </c>
      <c r="C4178" s="37"/>
      <c r="D4178" s="37"/>
      <c r="E4178" s="38" t="s">
        <v>5018</v>
      </c>
      <c r="F4178" s="38" t="s">
        <v>4994</v>
      </c>
      <c r="G4178" s="38">
        <v>7.235815845903E12</v>
      </c>
      <c r="H4178" s="38" t="s">
        <v>4995</v>
      </c>
      <c r="I4178" s="38" t="s">
        <v>4996</v>
      </c>
      <c r="J4178" s="38" t="s">
        <v>132</v>
      </c>
      <c r="K4178" s="38" t="s">
        <v>126</v>
      </c>
      <c r="L4178" s="41">
        <v>46009.8125</v>
      </c>
      <c r="M4178" s="38" t="s">
        <v>123</v>
      </c>
      <c r="N4178" s="41">
        <v>46009.854166666664</v>
      </c>
      <c r="O4178" s="38" t="s">
        <v>123</v>
      </c>
      <c r="P4178" s="38">
        <v>3600.0</v>
      </c>
      <c r="Q4178" s="39"/>
      <c r="R4178" s="39"/>
      <c r="S4178" s="39"/>
      <c r="T4178" s="39"/>
      <c r="U4178" s="39"/>
    </row>
    <row r="4179">
      <c r="A4179" s="40">
        <f t="shared" si="1"/>
        <v>46006</v>
      </c>
      <c r="B4179" s="37" t="str">
        <f t="array" ref="B4179">iferror(xlookup($I4179, 'IMPORT VHC Report'!$E:$E, 'IMPORT VHC Report'!$A:$C), )</f>
        <v/>
      </c>
      <c r="C4179" s="37"/>
      <c r="D4179" s="37"/>
      <c r="E4179" s="38" t="s">
        <v>5019</v>
      </c>
      <c r="F4179" s="38" t="s">
        <v>4994</v>
      </c>
      <c r="G4179" s="38">
        <v>7.235815845903E12</v>
      </c>
      <c r="H4179" s="38" t="s">
        <v>4995</v>
      </c>
      <c r="I4179" s="38" t="s">
        <v>4996</v>
      </c>
      <c r="J4179" s="38" t="s">
        <v>224</v>
      </c>
      <c r="K4179" s="38" t="s">
        <v>63</v>
      </c>
      <c r="L4179" s="41">
        <v>46009.854166666664</v>
      </c>
      <c r="M4179" s="38" t="s">
        <v>123</v>
      </c>
      <c r="N4179" s="41">
        <v>46009.9375</v>
      </c>
      <c r="O4179" s="38" t="s">
        <v>123</v>
      </c>
      <c r="P4179" s="38">
        <v>7200.0</v>
      </c>
      <c r="Q4179" s="39"/>
      <c r="R4179" s="39"/>
      <c r="S4179" s="39"/>
      <c r="T4179" s="39"/>
      <c r="U4179" s="39"/>
    </row>
    <row r="4180">
      <c r="A4180" s="40">
        <f t="shared" si="1"/>
        <v>46006</v>
      </c>
      <c r="B4180" s="37" t="str">
        <f t="array" ref="B4180">iferror(xlookup($I4180, 'IMPORT VHC Report'!$E:$E, 'IMPORT VHC Report'!$A:$C), )</f>
        <v/>
      </c>
      <c r="C4180" s="37"/>
      <c r="D4180" s="37"/>
      <c r="E4180" s="38" t="s">
        <v>5020</v>
      </c>
      <c r="F4180" s="38" t="s">
        <v>4994</v>
      </c>
      <c r="G4180" s="38">
        <v>7.235815845903E12</v>
      </c>
      <c r="H4180" s="38" t="s">
        <v>4995</v>
      </c>
      <c r="I4180" s="38" t="s">
        <v>4996</v>
      </c>
      <c r="J4180" s="38" t="s">
        <v>134</v>
      </c>
      <c r="K4180" s="38" t="s">
        <v>126</v>
      </c>
      <c r="L4180" s="41">
        <v>46009.9375</v>
      </c>
      <c r="M4180" s="38" t="s">
        <v>123</v>
      </c>
      <c r="N4180" s="41">
        <v>46009.947916666664</v>
      </c>
      <c r="O4180" s="38" t="s">
        <v>123</v>
      </c>
      <c r="P4180" s="38">
        <v>900.0</v>
      </c>
      <c r="Q4180" s="39"/>
      <c r="R4180" s="39"/>
      <c r="S4180" s="39"/>
      <c r="T4180" s="39"/>
      <c r="U4180" s="39"/>
    </row>
    <row r="4181">
      <c r="A4181" s="40">
        <f t="shared" si="1"/>
        <v>46006</v>
      </c>
      <c r="B4181" s="37" t="str">
        <f t="array" ref="B4181">iferror(xlookup($I4181, 'IMPORT VHC Report'!$E:$E, 'IMPORT VHC Report'!$A:$C), )</f>
        <v/>
      </c>
      <c r="C4181" s="37"/>
      <c r="D4181" s="37"/>
      <c r="E4181" s="38" t="s">
        <v>5021</v>
      </c>
      <c r="F4181" s="38" t="s">
        <v>4994</v>
      </c>
      <c r="G4181" s="38">
        <v>7.235815845903E12</v>
      </c>
      <c r="H4181" s="38" t="s">
        <v>4995</v>
      </c>
      <c r="I4181" s="38" t="s">
        <v>4996</v>
      </c>
      <c r="J4181" s="38" t="s">
        <v>224</v>
      </c>
      <c r="K4181" s="38" t="s">
        <v>63</v>
      </c>
      <c r="L4181" s="41">
        <v>46009.947916666664</v>
      </c>
      <c r="M4181" s="38" t="s">
        <v>123</v>
      </c>
      <c r="N4181" s="41">
        <v>46010.010416666664</v>
      </c>
      <c r="O4181" s="38" t="s">
        <v>123</v>
      </c>
      <c r="P4181" s="38">
        <v>5400.0</v>
      </c>
      <c r="Q4181" s="39"/>
      <c r="R4181" s="39"/>
      <c r="S4181" s="39"/>
      <c r="T4181" s="39"/>
      <c r="U4181" s="39"/>
    </row>
    <row r="4182">
      <c r="A4182" s="40">
        <f t="shared" si="1"/>
        <v>46006</v>
      </c>
      <c r="B4182" s="37" t="str">
        <f t="array" ref="B4182">iferror(xlookup($I4182, 'IMPORT VHC Report'!$E:$E, 'IMPORT VHC Report'!$A:$C), )</f>
        <v/>
      </c>
      <c r="C4182" s="37"/>
      <c r="D4182" s="37"/>
      <c r="E4182" s="38" t="s">
        <v>5022</v>
      </c>
      <c r="F4182" s="38" t="s">
        <v>4994</v>
      </c>
      <c r="G4182" s="38">
        <v>7.235815845903E12</v>
      </c>
      <c r="H4182" s="38" t="s">
        <v>4995</v>
      </c>
      <c r="I4182" s="38" t="s">
        <v>4996</v>
      </c>
      <c r="J4182" s="38" t="s">
        <v>134</v>
      </c>
      <c r="K4182" s="38" t="s">
        <v>126</v>
      </c>
      <c r="L4182" s="41">
        <v>46010.010416666664</v>
      </c>
      <c r="M4182" s="38" t="s">
        <v>123</v>
      </c>
      <c r="N4182" s="41">
        <v>46010.020833333336</v>
      </c>
      <c r="O4182" s="38" t="s">
        <v>123</v>
      </c>
      <c r="P4182" s="38">
        <v>900.0</v>
      </c>
      <c r="Q4182" s="39"/>
      <c r="R4182" s="39"/>
      <c r="S4182" s="39"/>
      <c r="T4182" s="39"/>
      <c r="U4182" s="39"/>
    </row>
    <row r="4183">
      <c r="A4183" s="40">
        <f t="shared" si="1"/>
        <v>46006</v>
      </c>
      <c r="B4183" s="37" t="str">
        <f t="array" ref="B4183">iferror(xlookup($I4183, 'IMPORT VHC Report'!$E:$E, 'IMPORT VHC Report'!$A:$C), )</f>
        <v/>
      </c>
      <c r="C4183" s="37"/>
      <c r="D4183" s="37"/>
      <c r="E4183" s="38" t="s">
        <v>5023</v>
      </c>
      <c r="F4183" s="38" t="s">
        <v>4994</v>
      </c>
      <c r="G4183" s="38">
        <v>7.235815845903E12</v>
      </c>
      <c r="H4183" s="38" t="s">
        <v>4995</v>
      </c>
      <c r="I4183" s="38" t="s">
        <v>4996</v>
      </c>
      <c r="J4183" s="38" t="s">
        <v>224</v>
      </c>
      <c r="K4183" s="38" t="s">
        <v>63</v>
      </c>
      <c r="L4183" s="41">
        <v>46010.020833333336</v>
      </c>
      <c r="M4183" s="38" t="s">
        <v>123</v>
      </c>
      <c r="N4183" s="41">
        <v>46010.041666666664</v>
      </c>
      <c r="O4183" s="38" t="s">
        <v>123</v>
      </c>
      <c r="P4183" s="38">
        <v>1800.0</v>
      </c>
      <c r="Q4183" s="39"/>
      <c r="R4183" s="39"/>
      <c r="S4183" s="39"/>
      <c r="T4183" s="39"/>
      <c r="U4183" s="39"/>
    </row>
    <row r="4184">
      <c r="A4184" s="40">
        <f t="shared" si="1"/>
        <v>46006</v>
      </c>
      <c r="B4184" s="37" t="str">
        <f t="array" ref="B4184">iferror(xlookup($I4184, 'IMPORT VHC Report'!$E:$E, 'IMPORT VHC Report'!$A:$C), )</f>
        <v/>
      </c>
      <c r="C4184" s="37"/>
      <c r="D4184" s="37"/>
      <c r="E4184" s="38" t="s">
        <v>5024</v>
      </c>
      <c r="F4184" s="38" t="s">
        <v>4994</v>
      </c>
      <c r="G4184" s="38">
        <v>7.235815845903E12</v>
      </c>
      <c r="H4184" s="38" t="s">
        <v>4995</v>
      </c>
      <c r="I4184" s="38" t="s">
        <v>4996</v>
      </c>
      <c r="J4184" s="38" t="s">
        <v>62</v>
      </c>
      <c r="K4184" s="38" t="s">
        <v>63</v>
      </c>
      <c r="L4184" s="41">
        <v>46010.041666666664</v>
      </c>
      <c r="M4184" s="38" t="s">
        <v>123</v>
      </c>
      <c r="N4184" s="41">
        <v>46010.0625</v>
      </c>
      <c r="O4184" s="38" t="s">
        <v>123</v>
      </c>
      <c r="P4184" s="38">
        <v>1800.0</v>
      </c>
      <c r="Q4184" s="39"/>
      <c r="R4184" s="39"/>
      <c r="S4184" s="39"/>
      <c r="T4184" s="39"/>
      <c r="U4184" s="39"/>
    </row>
    <row r="4185">
      <c r="A4185" s="40">
        <f t="shared" si="1"/>
        <v>46006</v>
      </c>
      <c r="B4185" s="37" t="str">
        <f t="array" ref="B4185">iferror(xlookup($I4185, 'IMPORT VHC Report'!$E:$E, 'IMPORT VHC Report'!$A:$C), )</f>
        <v/>
      </c>
      <c r="C4185" s="37"/>
      <c r="D4185" s="37"/>
      <c r="E4185" s="38" t="s">
        <v>5025</v>
      </c>
      <c r="F4185" s="38" t="s">
        <v>4994</v>
      </c>
      <c r="G4185" s="38">
        <v>7.235815845903E12</v>
      </c>
      <c r="H4185" s="38" t="s">
        <v>4995</v>
      </c>
      <c r="I4185" s="38" t="s">
        <v>4996</v>
      </c>
      <c r="J4185" s="38" t="s">
        <v>4</v>
      </c>
      <c r="K4185" s="38" t="s">
        <v>126</v>
      </c>
      <c r="L4185" s="41">
        <v>46010.041666666664</v>
      </c>
      <c r="M4185" s="38" t="s">
        <v>123</v>
      </c>
      <c r="N4185" s="41">
        <v>46010.083333333336</v>
      </c>
      <c r="O4185" s="38" t="s">
        <v>123</v>
      </c>
      <c r="P4185" s="38">
        <v>3600.0</v>
      </c>
      <c r="Q4185" s="39"/>
      <c r="R4185" s="39"/>
      <c r="S4185" s="38" t="s">
        <v>858</v>
      </c>
      <c r="T4185" s="39"/>
      <c r="U4185" s="39"/>
    </row>
    <row r="4186">
      <c r="A4186" s="40">
        <f t="shared" si="1"/>
        <v>46006</v>
      </c>
      <c r="B4186" s="37" t="str">
        <f t="array" ref="B4186">iferror(xlookup($I4186, 'IMPORT VHC Report'!$E:$E, 'IMPORT VHC Report'!$A:$C), )</f>
        <v/>
      </c>
      <c r="C4186" s="37"/>
      <c r="D4186" s="37"/>
      <c r="E4186" s="38" t="s">
        <v>5026</v>
      </c>
      <c r="F4186" s="38" t="s">
        <v>4994</v>
      </c>
      <c r="G4186" s="38">
        <v>7.235815845903E12</v>
      </c>
      <c r="H4186" s="38" t="s">
        <v>4995</v>
      </c>
      <c r="I4186" s="38" t="s">
        <v>4996</v>
      </c>
      <c r="J4186" s="38" t="s">
        <v>224</v>
      </c>
      <c r="K4186" s="38" t="s">
        <v>63</v>
      </c>
      <c r="L4186" s="41">
        <v>46010.0625</v>
      </c>
      <c r="M4186" s="38" t="s">
        <v>123</v>
      </c>
      <c r="N4186" s="41">
        <v>46010.083333333336</v>
      </c>
      <c r="O4186" s="38" t="s">
        <v>123</v>
      </c>
      <c r="P4186" s="38">
        <v>1800.0</v>
      </c>
      <c r="Q4186" s="39"/>
      <c r="R4186" s="39"/>
      <c r="S4186" s="39"/>
      <c r="T4186" s="39"/>
      <c r="U4186" s="39"/>
    </row>
    <row r="4187">
      <c r="A4187" s="40">
        <f t="shared" si="1"/>
        <v>46006</v>
      </c>
      <c r="B4187" s="37" t="str">
        <f t="array" ref="B4187">iferror(xlookup($I4187, 'IMPORT VHC Report'!$E:$E, 'IMPORT VHC Report'!$A:$C), )</f>
        <v/>
      </c>
      <c r="C4187" s="37"/>
      <c r="D4187" s="37"/>
      <c r="E4187" s="38" t="s">
        <v>5027</v>
      </c>
      <c r="F4187" s="38" t="s">
        <v>4994</v>
      </c>
      <c r="G4187" s="38">
        <v>7.235815845903E12</v>
      </c>
      <c r="H4187" s="38" t="s">
        <v>4995</v>
      </c>
      <c r="I4187" s="38" t="s">
        <v>4996</v>
      </c>
      <c r="J4187" s="38" t="s">
        <v>224</v>
      </c>
      <c r="K4187" s="38" t="s">
        <v>63</v>
      </c>
      <c r="L4187" s="41">
        <v>46010.708333333336</v>
      </c>
      <c r="M4187" s="38" t="s">
        <v>123</v>
      </c>
      <c r="N4187" s="41">
        <v>46010.791666666664</v>
      </c>
      <c r="O4187" s="38" t="s">
        <v>123</v>
      </c>
      <c r="P4187" s="38">
        <v>7200.0</v>
      </c>
      <c r="Q4187" s="39"/>
      <c r="R4187" s="39"/>
      <c r="S4187" s="39"/>
      <c r="T4187" s="39"/>
      <c r="U4187" s="39"/>
    </row>
    <row r="4188">
      <c r="A4188" s="40">
        <f t="shared" si="1"/>
        <v>46006</v>
      </c>
      <c r="B4188" s="37" t="str">
        <f t="array" ref="B4188">iferror(xlookup($I4188, 'IMPORT VHC Report'!$E:$E, 'IMPORT VHC Report'!$A:$C), )</f>
        <v/>
      </c>
      <c r="C4188" s="37"/>
      <c r="D4188" s="37"/>
      <c r="E4188" s="38" t="s">
        <v>5028</v>
      </c>
      <c r="F4188" s="38" t="s">
        <v>4994</v>
      </c>
      <c r="G4188" s="38">
        <v>7.235815845903E12</v>
      </c>
      <c r="H4188" s="38" t="s">
        <v>4995</v>
      </c>
      <c r="I4188" s="38" t="s">
        <v>4996</v>
      </c>
      <c r="J4188" s="38" t="s">
        <v>152</v>
      </c>
      <c r="K4188" s="38" t="s">
        <v>153</v>
      </c>
      <c r="L4188" s="41">
        <v>46010.708333333336</v>
      </c>
      <c r="M4188" s="38" t="s">
        <v>123</v>
      </c>
      <c r="N4188" s="41">
        <v>46011.041666666664</v>
      </c>
      <c r="O4188" s="38" t="s">
        <v>123</v>
      </c>
      <c r="P4188" s="38">
        <v>28800.0</v>
      </c>
      <c r="Q4188" s="38">
        <v>28800.0</v>
      </c>
      <c r="R4188" s="39"/>
      <c r="S4188" s="39"/>
      <c r="T4188" s="39"/>
      <c r="U4188" s="39"/>
    </row>
    <row r="4189">
      <c r="A4189" s="40">
        <f t="shared" si="1"/>
        <v>46006</v>
      </c>
      <c r="B4189" s="37" t="str">
        <f t="array" ref="B4189">iferror(xlookup($I4189, 'IMPORT VHC Report'!$E:$E, 'IMPORT VHC Report'!$A:$C), )</f>
        <v/>
      </c>
      <c r="C4189" s="37"/>
      <c r="D4189" s="37"/>
      <c r="E4189" s="38" t="s">
        <v>5029</v>
      </c>
      <c r="F4189" s="38" t="s">
        <v>4994</v>
      </c>
      <c r="G4189" s="38">
        <v>7.235815845903E12</v>
      </c>
      <c r="H4189" s="38" t="s">
        <v>4995</v>
      </c>
      <c r="I4189" s="38" t="s">
        <v>4996</v>
      </c>
      <c r="J4189" s="38" t="s">
        <v>134</v>
      </c>
      <c r="K4189" s="38" t="s">
        <v>126</v>
      </c>
      <c r="L4189" s="41">
        <v>46010.791666666664</v>
      </c>
      <c r="M4189" s="38" t="s">
        <v>123</v>
      </c>
      <c r="N4189" s="41">
        <v>46010.802083333336</v>
      </c>
      <c r="O4189" s="38" t="s">
        <v>123</v>
      </c>
      <c r="P4189" s="38">
        <v>900.0</v>
      </c>
      <c r="Q4189" s="39"/>
      <c r="R4189" s="39"/>
      <c r="S4189" s="39"/>
      <c r="T4189" s="39"/>
      <c r="U4189" s="39"/>
    </row>
    <row r="4190">
      <c r="A4190" s="40">
        <f t="shared" si="1"/>
        <v>46006</v>
      </c>
      <c r="B4190" s="37" t="str">
        <f t="array" ref="B4190">iferror(xlookup($I4190, 'IMPORT VHC Report'!$E:$E, 'IMPORT VHC Report'!$A:$C), )</f>
        <v/>
      </c>
      <c r="C4190" s="37"/>
      <c r="D4190" s="37"/>
      <c r="E4190" s="38" t="s">
        <v>5030</v>
      </c>
      <c r="F4190" s="38" t="s">
        <v>4994</v>
      </c>
      <c r="G4190" s="38">
        <v>7.235815845903E12</v>
      </c>
      <c r="H4190" s="38" t="s">
        <v>4995</v>
      </c>
      <c r="I4190" s="38" t="s">
        <v>4996</v>
      </c>
      <c r="J4190" s="38" t="s">
        <v>224</v>
      </c>
      <c r="K4190" s="38" t="s">
        <v>63</v>
      </c>
      <c r="L4190" s="41">
        <v>46010.802083333336</v>
      </c>
      <c r="M4190" s="38" t="s">
        <v>123</v>
      </c>
      <c r="N4190" s="41">
        <v>46010.864583333336</v>
      </c>
      <c r="O4190" s="38" t="s">
        <v>123</v>
      </c>
      <c r="P4190" s="38">
        <v>5400.0</v>
      </c>
      <c r="Q4190" s="39"/>
      <c r="R4190" s="39"/>
      <c r="S4190" s="39"/>
      <c r="T4190" s="39"/>
      <c r="U4190" s="39"/>
    </row>
    <row r="4191">
      <c r="A4191" s="40">
        <f t="shared" si="1"/>
        <v>46006</v>
      </c>
      <c r="B4191" s="37" t="str">
        <f t="array" ref="B4191">iferror(xlookup($I4191, 'IMPORT VHC Report'!$E:$E, 'IMPORT VHC Report'!$A:$C), )</f>
        <v/>
      </c>
      <c r="C4191" s="37"/>
      <c r="D4191" s="37"/>
      <c r="E4191" s="38" t="s">
        <v>5031</v>
      </c>
      <c r="F4191" s="38" t="s">
        <v>4994</v>
      </c>
      <c r="G4191" s="38">
        <v>7.235815845903E12</v>
      </c>
      <c r="H4191" s="38" t="s">
        <v>4995</v>
      </c>
      <c r="I4191" s="38" t="s">
        <v>4996</v>
      </c>
      <c r="J4191" s="38" t="s">
        <v>134</v>
      </c>
      <c r="K4191" s="38" t="s">
        <v>126</v>
      </c>
      <c r="L4191" s="41">
        <v>46010.864583333336</v>
      </c>
      <c r="M4191" s="38" t="s">
        <v>123</v>
      </c>
      <c r="N4191" s="41">
        <v>46010.875</v>
      </c>
      <c r="O4191" s="38" t="s">
        <v>123</v>
      </c>
      <c r="P4191" s="38">
        <v>900.0</v>
      </c>
      <c r="Q4191" s="39"/>
      <c r="R4191" s="39"/>
      <c r="S4191" s="39"/>
      <c r="T4191" s="39"/>
      <c r="U4191" s="39"/>
    </row>
    <row r="4192">
      <c r="A4192" s="40">
        <f t="shared" si="1"/>
        <v>46006</v>
      </c>
      <c r="B4192" s="37" t="str">
        <f t="array" ref="B4192">iferror(xlookup($I4192, 'IMPORT VHC Report'!$E:$E, 'IMPORT VHC Report'!$A:$C), )</f>
        <v/>
      </c>
      <c r="C4192" s="37"/>
      <c r="D4192" s="37"/>
      <c r="E4192" s="38" t="s">
        <v>5032</v>
      </c>
      <c r="F4192" s="38" t="s">
        <v>4994</v>
      </c>
      <c r="G4192" s="38">
        <v>7.235815845903E12</v>
      </c>
      <c r="H4192" s="38" t="s">
        <v>4995</v>
      </c>
      <c r="I4192" s="38" t="s">
        <v>4996</v>
      </c>
      <c r="J4192" s="38" t="s">
        <v>224</v>
      </c>
      <c r="K4192" s="38" t="s">
        <v>63</v>
      </c>
      <c r="L4192" s="41">
        <v>46010.875</v>
      </c>
      <c r="M4192" s="38" t="s">
        <v>123</v>
      </c>
      <c r="N4192" s="41">
        <v>46010.9375</v>
      </c>
      <c r="O4192" s="38" t="s">
        <v>123</v>
      </c>
      <c r="P4192" s="38">
        <v>5400.0</v>
      </c>
      <c r="Q4192" s="39"/>
      <c r="R4192" s="39"/>
      <c r="S4192" s="39"/>
      <c r="T4192" s="39"/>
      <c r="U4192" s="39"/>
    </row>
    <row r="4193">
      <c r="A4193" s="40">
        <f t="shared" si="1"/>
        <v>46006</v>
      </c>
      <c r="B4193" s="37" t="str">
        <f t="array" ref="B4193">iferror(xlookup($I4193, 'IMPORT VHC Report'!$E:$E, 'IMPORT VHC Report'!$A:$C), )</f>
        <v/>
      </c>
      <c r="C4193" s="37"/>
      <c r="D4193" s="37"/>
      <c r="E4193" s="38" t="s">
        <v>5033</v>
      </c>
      <c r="F4193" s="38" t="s">
        <v>4994</v>
      </c>
      <c r="G4193" s="38">
        <v>7.235815845903E12</v>
      </c>
      <c r="H4193" s="38" t="s">
        <v>4995</v>
      </c>
      <c r="I4193" s="38" t="s">
        <v>4996</v>
      </c>
      <c r="J4193" s="38" t="s">
        <v>132</v>
      </c>
      <c r="K4193" s="38" t="s">
        <v>126</v>
      </c>
      <c r="L4193" s="41">
        <v>46010.9375</v>
      </c>
      <c r="M4193" s="38" t="s">
        <v>123</v>
      </c>
      <c r="N4193" s="41">
        <v>46010.979166666664</v>
      </c>
      <c r="O4193" s="38" t="s">
        <v>123</v>
      </c>
      <c r="P4193" s="38">
        <v>3600.0</v>
      </c>
      <c r="Q4193" s="39"/>
      <c r="R4193" s="39"/>
      <c r="S4193" s="39"/>
      <c r="T4193" s="39"/>
      <c r="U4193" s="39"/>
    </row>
    <row r="4194">
      <c r="A4194" s="40">
        <f t="shared" si="1"/>
        <v>46006</v>
      </c>
      <c r="B4194" s="37" t="str">
        <f t="array" ref="B4194">iferror(xlookup($I4194, 'IMPORT VHC Report'!$E:$E, 'IMPORT VHC Report'!$A:$C), )</f>
        <v/>
      </c>
      <c r="C4194" s="37"/>
      <c r="D4194" s="37"/>
      <c r="E4194" s="38" t="s">
        <v>5034</v>
      </c>
      <c r="F4194" s="38" t="s">
        <v>4994</v>
      </c>
      <c r="G4194" s="38">
        <v>7.235815845903E12</v>
      </c>
      <c r="H4194" s="38" t="s">
        <v>4995</v>
      </c>
      <c r="I4194" s="38" t="s">
        <v>4996</v>
      </c>
      <c r="J4194" s="38" t="s">
        <v>224</v>
      </c>
      <c r="K4194" s="38" t="s">
        <v>63</v>
      </c>
      <c r="L4194" s="41">
        <v>46010.979166666664</v>
      </c>
      <c r="M4194" s="38" t="s">
        <v>123</v>
      </c>
      <c r="N4194" s="41">
        <v>46011.041666666664</v>
      </c>
      <c r="O4194" s="38" t="s">
        <v>123</v>
      </c>
      <c r="P4194" s="38">
        <v>5400.0</v>
      </c>
      <c r="Q4194" s="39"/>
      <c r="R4194" s="39"/>
      <c r="S4194" s="39"/>
      <c r="T4194" s="39"/>
      <c r="U4194" s="39"/>
    </row>
    <row r="4195">
      <c r="A4195" s="40">
        <f t="shared" si="1"/>
        <v>46006</v>
      </c>
      <c r="B4195" s="37" t="str">
        <f t="array" ref="B4195">iferror(xlookup($I4195, 'IMPORT VHC Report'!$E:$E, 'IMPORT VHC Report'!$A:$C), )</f>
        <v/>
      </c>
      <c r="C4195" s="37"/>
      <c r="D4195" s="37"/>
      <c r="E4195" s="38" t="s">
        <v>5035</v>
      </c>
      <c r="F4195" s="38" t="s">
        <v>5036</v>
      </c>
      <c r="G4195" s="38">
        <v>4.759846838031E12</v>
      </c>
      <c r="H4195" s="38" t="s">
        <v>5037</v>
      </c>
      <c r="I4195" s="38" t="s">
        <v>5038</v>
      </c>
      <c r="J4195" s="38" t="s">
        <v>178</v>
      </c>
      <c r="K4195" s="38" t="s">
        <v>153</v>
      </c>
      <c r="L4195" s="41">
        <v>46006.708333333336</v>
      </c>
      <c r="M4195" s="38" t="s">
        <v>123</v>
      </c>
      <c r="N4195" s="41">
        <v>46006.875</v>
      </c>
      <c r="O4195" s="38" t="s">
        <v>123</v>
      </c>
      <c r="P4195" s="38">
        <v>14400.0</v>
      </c>
      <c r="Q4195" s="38">
        <v>14400.0</v>
      </c>
      <c r="R4195" s="38" t="s">
        <v>5039</v>
      </c>
      <c r="S4195" s="39"/>
      <c r="T4195" s="39"/>
      <c r="U4195" s="39"/>
    </row>
    <row r="4196">
      <c r="A4196" s="40">
        <f t="shared" si="1"/>
        <v>46006</v>
      </c>
      <c r="B4196" s="37" t="str">
        <f t="array" ref="B4196">iferror(xlookup($I4196, 'IMPORT VHC Report'!$E:$E, 'IMPORT VHC Report'!$A:$C), )</f>
        <v/>
      </c>
      <c r="C4196" s="37"/>
      <c r="D4196" s="37"/>
      <c r="E4196" s="38" t="s">
        <v>5040</v>
      </c>
      <c r="F4196" s="38" t="s">
        <v>5036</v>
      </c>
      <c r="G4196" s="38">
        <v>4.759846838031E12</v>
      </c>
      <c r="H4196" s="38" t="s">
        <v>5037</v>
      </c>
      <c r="I4196" s="38" t="s">
        <v>5038</v>
      </c>
      <c r="J4196" s="38" t="s">
        <v>134</v>
      </c>
      <c r="K4196" s="38" t="s">
        <v>126</v>
      </c>
      <c r="L4196" s="41">
        <v>46006.770833333336</v>
      </c>
      <c r="M4196" s="38" t="s">
        <v>123</v>
      </c>
      <c r="N4196" s="41">
        <v>46006.78125</v>
      </c>
      <c r="O4196" s="38" t="s">
        <v>123</v>
      </c>
      <c r="P4196" s="38">
        <v>900.0</v>
      </c>
      <c r="Q4196" s="39"/>
      <c r="R4196" s="39"/>
      <c r="S4196" s="39"/>
      <c r="T4196" s="39"/>
      <c r="U4196" s="39"/>
    </row>
    <row r="4197">
      <c r="A4197" s="40">
        <f t="shared" si="1"/>
        <v>46006</v>
      </c>
      <c r="B4197" s="37" t="str">
        <f t="array" ref="B4197">iferror(xlookup($I4197, 'IMPORT VHC Report'!$E:$E, 'IMPORT VHC Report'!$A:$C), )</f>
        <v/>
      </c>
      <c r="C4197" s="37"/>
      <c r="D4197" s="37"/>
      <c r="E4197" s="38" t="s">
        <v>5041</v>
      </c>
      <c r="F4197" s="38" t="s">
        <v>5036</v>
      </c>
      <c r="G4197" s="38">
        <v>4.759846838031E12</v>
      </c>
      <c r="H4197" s="38" t="s">
        <v>5037</v>
      </c>
      <c r="I4197" s="38" t="s">
        <v>5038</v>
      </c>
      <c r="J4197" s="38" t="s">
        <v>4891</v>
      </c>
      <c r="K4197" s="38" t="s">
        <v>63</v>
      </c>
      <c r="L4197" s="41">
        <v>46006.916666666664</v>
      </c>
      <c r="M4197" s="38" t="s">
        <v>123</v>
      </c>
      <c r="N4197" s="41">
        <v>46007.083333333336</v>
      </c>
      <c r="O4197" s="38" t="s">
        <v>123</v>
      </c>
      <c r="P4197" s="38">
        <v>14400.0</v>
      </c>
      <c r="Q4197" s="39"/>
      <c r="R4197" s="39"/>
      <c r="S4197" s="39"/>
      <c r="T4197" s="39"/>
      <c r="U4197" s="39"/>
    </row>
    <row r="4198">
      <c r="A4198" s="40">
        <f t="shared" si="1"/>
        <v>46006</v>
      </c>
      <c r="B4198" s="37" t="str">
        <f t="array" ref="B4198">iferror(xlookup($I4198, 'IMPORT VHC Report'!$E:$E, 'IMPORT VHC Report'!$A:$C), )</f>
        <v/>
      </c>
      <c r="C4198" s="37"/>
      <c r="D4198" s="37"/>
      <c r="E4198" s="38" t="s">
        <v>5042</v>
      </c>
      <c r="F4198" s="38" t="s">
        <v>5036</v>
      </c>
      <c r="G4198" s="38">
        <v>4.759846838031E12</v>
      </c>
      <c r="H4198" s="38" t="s">
        <v>5037</v>
      </c>
      <c r="I4198" s="38" t="s">
        <v>5038</v>
      </c>
      <c r="J4198" s="38" t="s">
        <v>134</v>
      </c>
      <c r="K4198" s="38" t="s">
        <v>126</v>
      </c>
      <c r="L4198" s="41">
        <v>46007.0</v>
      </c>
      <c r="M4198" s="38" t="s">
        <v>123</v>
      </c>
      <c r="N4198" s="41">
        <v>46007.010416666664</v>
      </c>
      <c r="O4198" s="38" t="s">
        <v>123</v>
      </c>
      <c r="P4198" s="38">
        <v>900.0</v>
      </c>
      <c r="Q4198" s="39"/>
      <c r="R4198" s="39"/>
      <c r="S4198" s="39"/>
      <c r="T4198" s="39"/>
      <c r="U4198" s="39"/>
    </row>
    <row r="4199">
      <c r="A4199" s="40">
        <f t="shared" si="1"/>
        <v>46006</v>
      </c>
      <c r="B4199" s="37" t="str">
        <f t="array" ref="B4199">iferror(xlookup($I4199, 'IMPORT VHC Report'!$E:$E, 'IMPORT VHC Report'!$A:$C), )</f>
        <v/>
      </c>
      <c r="C4199" s="37"/>
      <c r="D4199" s="37"/>
      <c r="E4199" s="38" t="s">
        <v>5043</v>
      </c>
      <c r="F4199" s="38" t="s">
        <v>5036</v>
      </c>
      <c r="G4199" s="38">
        <v>4.759846838031E12</v>
      </c>
      <c r="H4199" s="38" t="s">
        <v>5037</v>
      </c>
      <c r="I4199" s="38" t="s">
        <v>5038</v>
      </c>
      <c r="J4199" s="38" t="s">
        <v>4891</v>
      </c>
      <c r="K4199" s="38" t="s">
        <v>63</v>
      </c>
      <c r="L4199" s="41">
        <v>46007.708333333336</v>
      </c>
      <c r="M4199" s="38" t="s">
        <v>123</v>
      </c>
      <c r="N4199" s="41">
        <v>46007.875</v>
      </c>
      <c r="O4199" s="38" t="s">
        <v>123</v>
      </c>
      <c r="P4199" s="38">
        <v>14400.0</v>
      </c>
      <c r="Q4199" s="39"/>
      <c r="R4199" s="39"/>
      <c r="S4199" s="39"/>
      <c r="T4199" s="39"/>
      <c r="U4199" s="39"/>
    </row>
    <row r="4200">
      <c r="A4200" s="40">
        <f t="shared" si="1"/>
        <v>46006</v>
      </c>
      <c r="B4200" s="37" t="str">
        <f t="array" ref="B4200">iferror(xlookup($I4200, 'IMPORT VHC Report'!$E:$E, 'IMPORT VHC Report'!$A:$C), )</f>
        <v/>
      </c>
      <c r="C4200" s="37"/>
      <c r="D4200" s="37"/>
      <c r="E4200" s="38" t="s">
        <v>5044</v>
      </c>
      <c r="F4200" s="38" t="s">
        <v>5036</v>
      </c>
      <c r="G4200" s="38">
        <v>4.759846838031E12</v>
      </c>
      <c r="H4200" s="38" t="s">
        <v>5037</v>
      </c>
      <c r="I4200" s="38" t="s">
        <v>5038</v>
      </c>
      <c r="J4200" s="38" t="s">
        <v>134</v>
      </c>
      <c r="K4200" s="38" t="s">
        <v>126</v>
      </c>
      <c r="L4200" s="41">
        <v>46007.822916666664</v>
      </c>
      <c r="M4200" s="38" t="s">
        <v>123</v>
      </c>
      <c r="N4200" s="41">
        <v>46007.833333333336</v>
      </c>
      <c r="O4200" s="38" t="s">
        <v>123</v>
      </c>
      <c r="P4200" s="38">
        <v>900.0</v>
      </c>
      <c r="Q4200" s="39"/>
      <c r="R4200" s="39"/>
      <c r="S4200" s="39"/>
      <c r="T4200" s="39"/>
      <c r="U4200" s="39"/>
    </row>
    <row r="4201">
      <c r="A4201" s="40">
        <f t="shared" si="1"/>
        <v>46006</v>
      </c>
      <c r="B4201" s="37" t="str">
        <f t="array" ref="B4201">iferror(xlookup($I4201, 'IMPORT VHC Report'!$E:$E, 'IMPORT VHC Report'!$A:$C), )</f>
        <v/>
      </c>
      <c r="C4201" s="37"/>
      <c r="D4201" s="37"/>
      <c r="E4201" s="38" t="s">
        <v>5045</v>
      </c>
      <c r="F4201" s="38" t="s">
        <v>5036</v>
      </c>
      <c r="G4201" s="38">
        <v>4.759846838031E12</v>
      </c>
      <c r="H4201" s="38" t="s">
        <v>5037</v>
      </c>
      <c r="I4201" s="38" t="s">
        <v>5038</v>
      </c>
      <c r="J4201" s="38" t="s">
        <v>178</v>
      </c>
      <c r="K4201" s="38" t="s">
        <v>153</v>
      </c>
      <c r="L4201" s="41">
        <v>46007.916666666664</v>
      </c>
      <c r="M4201" s="38" t="s">
        <v>123</v>
      </c>
      <c r="N4201" s="41">
        <v>46008.083333333336</v>
      </c>
      <c r="O4201" s="38" t="s">
        <v>123</v>
      </c>
      <c r="P4201" s="38">
        <v>14400.0</v>
      </c>
      <c r="Q4201" s="38">
        <v>14400.0</v>
      </c>
      <c r="R4201" s="38" t="s">
        <v>5046</v>
      </c>
      <c r="S4201" s="39"/>
      <c r="T4201" s="39"/>
      <c r="U4201" s="39"/>
    </row>
    <row r="4202">
      <c r="A4202" s="40">
        <f t="shared" si="1"/>
        <v>46006</v>
      </c>
      <c r="B4202" s="37" t="str">
        <f t="array" ref="B4202">iferror(xlookup($I4202, 'IMPORT VHC Report'!$E:$E, 'IMPORT VHC Report'!$A:$C), )</f>
        <v/>
      </c>
      <c r="C4202" s="37"/>
      <c r="D4202" s="37"/>
      <c r="E4202" s="38" t="s">
        <v>5047</v>
      </c>
      <c r="F4202" s="38" t="s">
        <v>5036</v>
      </c>
      <c r="G4202" s="38">
        <v>4.759846838031E12</v>
      </c>
      <c r="H4202" s="38" t="s">
        <v>5037</v>
      </c>
      <c r="I4202" s="38" t="s">
        <v>5038</v>
      </c>
      <c r="J4202" s="38" t="s">
        <v>134</v>
      </c>
      <c r="K4202" s="38" t="s">
        <v>126</v>
      </c>
      <c r="L4202" s="41">
        <v>46008.010416666664</v>
      </c>
      <c r="M4202" s="38" t="s">
        <v>123</v>
      </c>
      <c r="N4202" s="41">
        <v>46008.020833333336</v>
      </c>
      <c r="O4202" s="38" t="s">
        <v>123</v>
      </c>
      <c r="P4202" s="38">
        <v>900.0</v>
      </c>
      <c r="Q4202" s="39"/>
      <c r="R4202" s="39"/>
      <c r="S4202" s="39"/>
      <c r="T4202" s="39"/>
      <c r="U4202" s="39"/>
    </row>
    <row r="4203">
      <c r="A4203" s="40">
        <f t="shared" si="1"/>
        <v>46006</v>
      </c>
      <c r="B4203" s="37" t="str">
        <f t="array" ref="B4203">iferror(xlookup($I4203, 'IMPORT VHC Report'!$E:$E, 'IMPORT VHC Report'!$A:$C), )</f>
        <v/>
      </c>
      <c r="C4203" s="37"/>
      <c r="D4203" s="37"/>
      <c r="E4203" s="38" t="s">
        <v>5048</v>
      </c>
      <c r="F4203" s="38" t="s">
        <v>5036</v>
      </c>
      <c r="G4203" s="38">
        <v>4.759846838031E12</v>
      </c>
      <c r="H4203" s="38" t="s">
        <v>5037</v>
      </c>
      <c r="I4203" s="38" t="s">
        <v>5038</v>
      </c>
      <c r="J4203" s="38" t="s">
        <v>4891</v>
      </c>
      <c r="K4203" s="38" t="s">
        <v>63</v>
      </c>
      <c r="L4203" s="41">
        <v>46008.708333333336</v>
      </c>
      <c r="M4203" s="38" t="s">
        <v>123</v>
      </c>
      <c r="N4203" s="41">
        <v>46009.083333333336</v>
      </c>
      <c r="O4203" s="38" t="s">
        <v>123</v>
      </c>
      <c r="P4203" s="38">
        <v>32400.0</v>
      </c>
      <c r="Q4203" s="39"/>
      <c r="R4203" s="39"/>
      <c r="S4203" s="39"/>
      <c r="T4203" s="39"/>
      <c r="U4203" s="39"/>
    </row>
    <row r="4204">
      <c r="A4204" s="40">
        <f t="shared" si="1"/>
        <v>46006</v>
      </c>
      <c r="B4204" s="37" t="str">
        <f t="array" ref="B4204">iferror(xlookup($I4204, 'IMPORT VHC Report'!$E:$E, 'IMPORT VHC Report'!$A:$C), )</f>
        <v/>
      </c>
      <c r="C4204" s="37"/>
      <c r="D4204" s="37"/>
      <c r="E4204" s="38" t="s">
        <v>5049</v>
      </c>
      <c r="F4204" s="38" t="s">
        <v>5036</v>
      </c>
      <c r="G4204" s="38">
        <v>4.759846838031E12</v>
      </c>
      <c r="H4204" s="38" t="s">
        <v>5037</v>
      </c>
      <c r="I4204" s="38" t="s">
        <v>5038</v>
      </c>
      <c r="J4204" s="38" t="s">
        <v>134</v>
      </c>
      <c r="K4204" s="38" t="s">
        <v>126</v>
      </c>
      <c r="L4204" s="41">
        <v>46008.8125</v>
      </c>
      <c r="M4204" s="38" t="s">
        <v>123</v>
      </c>
      <c r="N4204" s="41">
        <v>46008.822916666664</v>
      </c>
      <c r="O4204" s="38" t="s">
        <v>123</v>
      </c>
      <c r="P4204" s="38">
        <v>900.0</v>
      </c>
      <c r="Q4204" s="39"/>
      <c r="R4204" s="39"/>
      <c r="S4204" s="39"/>
      <c r="T4204" s="39"/>
      <c r="U4204" s="39"/>
    </row>
    <row r="4205">
      <c r="A4205" s="40">
        <f t="shared" si="1"/>
        <v>46006</v>
      </c>
      <c r="B4205" s="37" t="str">
        <f t="array" ref="B4205">iferror(xlookup($I4205, 'IMPORT VHC Report'!$E:$E, 'IMPORT VHC Report'!$A:$C), )</f>
        <v/>
      </c>
      <c r="C4205" s="37"/>
      <c r="D4205" s="37"/>
      <c r="E4205" s="38" t="s">
        <v>5050</v>
      </c>
      <c r="F4205" s="38" t="s">
        <v>5036</v>
      </c>
      <c r="G4205" s="38">
        <v>4.759846838031E12</v>
      </c>
      <c r="H4205" s="38" t="s">
        <v>5037</v>
      </c>
      <c r="I4205" s="38" t="s">
        <v>5038</v>
      </c>
      <c r="J4205" s="38" t="s">
        <v>132</v>
      </c>
      <c r="K4205" s="38" t="s">
        <v>126</v>
      </c>
      <c r="L4205" s="41">
        <v>46008.895833333336</v>
      </c>
      <c r="M4205" s="38" t="s">
        <v>123</v>
      </c>
      <c r="N4205" s="41">
        <v>46008.9375</v>
      </c>
      <c r="O4205" s="38" t="s">
        <v>123</v>
      </c>
      <c r="P4205" s="38">
        <v>3600.0</v>
      </c>
      <c r="Q4205" s="39"/>
      <c r="R4205" s="39"/>
      <c r="S4205" s="39"/>
      <c r="T4205" s="39"/>
      <c r="U4205" s="39"/>
    </row>
    <row r="4206">
      <c r="A4206" s="40">
        <f t="shared" si="1"/>
        <v>46006</v>
      </c>
      <c r="B4206" s="37" t="str">
        <f t="array" ref="B4206">iferror(xlookup($I4206, 'IMPORT VHC Report'!$E:$E, 'IMPORT VHC Report'!$A:$C), )</f>
        <v/>
      </c>
      <c r="C4206" s="37"/>
      <c r="D4206" s="37"/>
      <c r="E4206" s="38" t="s">
        <v>5051</v>
      </c>
      <c r="F4206" s="38" t="s">
        <v>5036</v>
      </c>
      <c r="G4206" s="38">
        <v>4.759846838031E12</v>
      </c>
      <c r="H4206" s="38" t="s">
        <v>5037</v>
      </c>
      <c r="I4206" s="38" t="s">
        <v>5038</v>
      </c>
      <c r="J4206" s="38" t="s">
        <v>134</v>
      </c>
      <c r="K4206" s="38" t="s">
        <v>126</v>
      </c>
      <c r="L4206" s="41">
        <v>46009.010416666664</v>
      </c>
      <c r="M4206" s="38" t="s">
        <v>123</v>
      </c>
      <c r="N4206" s="41">
        <v>46009.020833333336</v>
      </c>
      <c r="O4206" s="38" t="s">
        <v>123</v>
      </c>
      <c r="P4206" s="38">
        <v>900.0</v>
      </c>
      <c r="Q4206" s="39"/>
      <c r="R4206" s="39"/>
      <c r="S4206" s="39"/>
      <c r="T4206" s="39"/>
      <c r="U4206" s="39"/>
    </row>
    <row r="4207">
      <c r="A4207" s="40">
        <f t="shared" si="1"/>
        <v>46006</v>
      </c>
      <c r="B4207" s="37" t="str">
        <f t="array" ref="B4207">iferror(xlookup($I4207, 'IMPORT VHC Report'!$E:$E, 'IMPORT VHC Report'!$A:$C), )</f>
        <v/>
      </c>
      <c r="C4207" s="37"/>
      <c r="D4207" s="37"/>
      <c r="E4207" s="38" t="s">
        <v>5052</v>
      </c>
      <c r="F4207" s="38" t="s">
        <v>5036</v>
      </c>
      <c r="G4207" s="38">
        <v>4.759846838031E12</v>
      </c>
      <c r="H4207" s="38" t="s">
        <v>5037</v>
      </c>
      <c r="I4207" s="38" t="s">
        <v>5038</v>
      </c>
      <c r="J4207" s="38" t="s">
        <v>4891</v>
      </c>
      <c r="K4207" s="38" t="s">
        <v>63</v>
      </c>
      <c r="L4207" s="41">
        <v>46009.708333333336</v>
      </c>
      <c r="M4207" s="38" t="s">
        <v>123</v>
      </c>
      <c r="N4207" s="41">
        <v>46010.083333333336</v>
      </c>
      <c r="O4207" s="38" t="s">
        <v>123</v>
      </c>
      <c r="P4207" s="38">
        <v>32400.0</v>
      </c>
      <c r="Q4207" s="39"/>
      <c r="R4207" s="39"/>
      <c r="S4207" s="39"/>
      <c r="T4207" s="39"/>
      <c r="U4207" s="39"/>
    </row>
    <row r="4208">
      <c r="A4208" s="40">
        <f t="shared" si="1"/>
        <v>46006</v>
      </c>
      <c r="B4208" s="37" t="str">
        <f t="array" ref="B4208">iferror(xlookup($I4208, 'IMPORT VHC Report'!$E:$E, 'IMPORT VHC Report'!$A:$C), )</f>
        <v/>
      </c>
      <c r="C4208" s="37"/>
      <c r="D4208" s="37"/>
      <c r="E4208" s="38" t="s">
        <v>5053</v>
      </c>
      <c r="F4208" s="38" t="s">
        <v>5036</v>
      </c>
      <c r="G4208" s="38">
        <v>4.759846838031E12</v>
      </c>
      <c r="H4208" s="38" t="s">
        <v>5037</v>
      </c>
      <c r="I4208" s="38" t="s">
        <v>5038</v>
      </c>
      <c r="J4208" s="38" t="s">
        <v>134</v>
      </c>
      <c r="K4208" s="38" t="s">
        <v>126</v>
      </c>
      <c r="L4208" s="41">
        <v>46009.78125</v>
      </c>
      <c r="M4208" s="38" t="s">
        <v>123</v>
      </c>
      <c r="N4208" s="41">
        <v>46009.791666666664</v>
      </c>
      <c r="O4208" s="38" t="s">
        <v>123</v>
      </c>
      <c r="P4208" s="38">
        <v>900.0</v>
      </c>
      <c r="Q4208" s="39"/>
      <c r="R4208" s="39"/>
      <c r="S4208" s="39"/>
      <c r="T4208" s="39"/>
      <c r="U4208" s="39"/>
    </row>
    <row r="4209">
      <c r="A4209" s="40">
        <f t="shared" si="1"/>
        <v>46006</v>
      </c>
      <c r="B4209" s="37" t="str">
        <f t="array" ref="B4209">iferror(xlookup($I4209, 'IMPORT VHC Report'!$E:$E, 'IMPORT VHC Report'!$A:$C), )</f>
        <v/>
      </c>
      <c r="C4209" s="37"/>
      <c r="D4209" s="37"/>
      <c r="E4209" s="38" t="s">
        <v>5054</v>
      </c>
      <c r="F4209" s="38" t="s">
        <v>5036</v>
      </c>
      <c r="G4209" s="38">
        <v>4.759846838031E12</v>
      </c>
      <c r="H4209" s="38" t="s">
        <v>5037</v>
      </c>
      <c r="I4209" s="38" t="s">
        <v>5038</v>
      </c>
      <c r="J4209" s="38" t="s">
        <v>132</v>
      </c>
      <c r="K4209" s="38" t="s">
        <v>126</v>
      </c>
      <c r="L4209" s="41">
        <v>46009.875</v>
      </c>
      <c r="M4209" s="38" t="s">
        <v>123</v>
      </c>
      <c r="N4209" s="41">
        <v>46009.916666666664</v>
      </c>
      <c r="O4209" s="38" t="s">
        <v>123</v>
      </c>
      <c r="P4209" s="38">
        <v>3600.0</v>
      </c>
      <c r="Q4209" s="39"/>
      <c r="R4209" s="39"/>
      <c r="S4209" s="39"/>
      <c r="T4209" s="39"/>
      <c r="U4209" s="39"/>
    </row>
    <row r="4210">
      <c r="A4210" s="40">
        <f t="shared" si="1"/>
        <v>46006</v>
      </c>
      <c r="B4210" s="37" t="str">
        <f t="array" ref="B4210">iferror(xlookup($I4210, 'IMPORT VHC Report'!$E:$E, 'IMPORT VHC Report'!$A:$C), )</f>
        <v/>
      </c>
      <c r="C4210" s="37"/>
      <c r="D4210" s="37"/>
      <c r="E4210" s="38" t="s">
        <v>5055</v>
      </c>
      <c r="F4210" s="38" t="s">
        <v>5036</v>
      </c>
      <c r="G4210" s="38">
        <v>4.759846838031E12</v>
      </c>
      <c r="H4210" s="38" t="s">
        <v>5037</v>
      </c>
      <c r="I4210" s="38" t="s">
        <v>5038</v>
      </c>
      <c r="J4210" s="38" t="s">
        <v>134</v>
      </c>
      <c r="K4210" s="38" t="s">
        <v>126</v>
      </c>
      <c r="L4210" s="41">
        <v>46010.010416666664</v>
      </c>
      <c r="M4210" s="38" t="s">
        <v>123</v>
      </c>
      <c r="N4210" s="41">
        <v>46010.020833333336</v>
      </c>
      <c r="O4210" s="38" t="s">
        <v>123</v>
      </c>
      <c r="P4210" s="38">
        <v>900.0</v>
      </c>
      <c r="Q4210" s="39"/>
      <c r="R4210" s="39"/>
      <c r="S4210" s="39"/>
      <c r="T4210" s="39"/>
      <c r="U4210" s="39"/>
    </row>
    <row r="4211">
      <c r="A4211" s="40">
        <f t="shared" si="1"/>
        <v>46006</v>
      </c>
      <c r="B4211" s="37" t="str">
        <f t="array" ref="B4211">iferror(xlookup($I4211, 'IMPORT VHC Report'!$E:$E, 'IMPORT VHC Report'!$A:$C), )</f>
        <v/>
      </c>
      <c r="C4211" s="37"/>
      <c r="D4211" s="37"/>
      <c r="E4211" s="38" t="s">
        <v>5056</v>
      </c>
      <c r="F4211" s="38" t="s">
        <v>5036</v>
      </c>
      <c r="G4211" s="38">
        <v>4.759846838031E12</v>
      </c>
      <c r="H4211" s="38" t="s">
        <v>5037</v>
      </c>
      <c r="I4211" s="38" t="s">
        <v>5038</v>
      </c>
      <c r="J4211" s="38" t="s">
        <v>4891</v>
      </c>
      <c r="K4211" s="38" t="s">
        <v>63</v>
      </c>
      <c r="L4211" s="41">
        <v>46010.708333333336</v>
      </c>
      <c r="M4211" s="38" t="s">
        <v>123</v>
      </c>
      <c r="N4211" s="41">
        <v>46011.083333333336</v>
      </c>
      <c r="O4211" s="38" t="s">
        <v>123</v>
      </c>
      <c r="P4211" s="38">
        <v>32400.0</v>
      </c>
      <c r="Q4211" s="39"/>
      <c r="R4211" s="39"/>
      <c r="S4211" s="39"/>
      <c r="T4211" s="39"/>
      <c r="U4211" s="39"/>
    </row>
    <row r="4212">
      <c r="A4212" s="40">
        <f t="shared" si="1"/>
        <v>46006</v>
      </c>
      <c r="B4212" s="37" t="str">
        <f t="array" ref="B4212">iferror(xlookup($I4212, 'IMPORT VHC Report'!$E:$E, 'IMPORT VHC Report'!$A:$C), )</f>
        <v/>
      </c>
      <c r="C4212" s="37"/>
      <c r="D4212" s="37"/>
      <c r="E4212" s="38" t="s">
        <v>5057</v>
      </c>
      <c r="F4212" s="38" t="s">
        <v>5036</v>
      </c>
      <c r="G4212" s="38">
        <v>4.759846838031E12</v>
      </c>
      <c r="H4212" s="38" t="s">
        <v>5037</v>
      </c>
      <c r="I4212" s="38" t="s">
        <v>5038</v>
      </c>
      <c r="J4212" s="38" t="s">
        <v>134</v>
      </c>
      <c r="K4212" s="38" t="s">
        <v>126</v>
      </c>
      <c r="L4212" s="41">
        <v>46010.802083333336</v>
      </c>
      <c r="M4212" s="38" t="s">
        <v>123</v>
      </c>
      <c r="N4212" s="41">
        <v>46010.8125</v>
      </c>
      <c r="O4212" s="38" t="s">
        <v>123</v>
      </c>
      <c r="P4212" s="38">
        <v>900.0</v>
      </c>
      <c r="Q4212" s="39"/>
      <c r="R4212" s="39"/>
      <c r="S4212" s="39"/>
      <c r="T4212" s="39"/>
      <c r="U4212" s="39"/>
    </row>
    <row r="4213">
      <c r="A4213" s="40">
        <f t="shared" si="1"/>
        <v>46006</v>
      </c>
      <c r="B4213" s="37" t="str">
        <f t="array" ref="B4213">iferror(xlookup($I4213, 'IMPORT VHC Report'!$E:$E, 'IMPORT VHC Report'!$A:$C), )</f>
        <v/>
      </c>
      <c r="C4213" s="37"/>
      <c r="D4213" s="37"/>
      <c r="E4213" s="38" t="s">
        <v>5058</v>
      </c>
      <c r="F4213" s="38" t="s">
        <v>5036</v>
      </c>
      <c r="G4213" s="38">
        <v>4.759846838031E12</v>
      </c>
      <c r="H4213" s="38" t="s">
        <v>5037</v>
      </c>
      <c r="I4213" s="38" t="s">
        <v>5038</v>
      </c>
      <c r="J4213" s="38" t="s">
        <v>132</v>
      </c>
      <c r="K4213" s="38" t="s">
        <v>126</v>
      </c>
      <c r="L4213" s="41">
        <v>46010.90625</v>
      </c>
      <c r="M4213" s="38" t="s">
        <v>123</v>
      </c>
      <c r="N4213" s="41">
        <v>46010.947916666664</v>
      </c>
      <c r="O4213" s="38" t="s">
        <v>123</v>
      </c>
      <c r="P4213" s="38">
        <v>3600.0</v>
      </c>
      <c r="Q4213" s="39"/>
      <c r="R4213" s="39"/>
      <c r="S4213" s="39"/>
      <c r="T4213" s="39"/>
      <c r="U4213" s="39"/>
    </row>
    <row r="4214">
      <c r="A4214" s="40">
        <f t="shared" si="1"/>
        <v>46006</v>
      </c>
      <c r="B4214" s="37" t="str">
        <f t="array" ref="B4214">iferror(xlookup($I4214, 'IMPORT VHC Report'!$E:$E, 'IMPORT VHC Report'!$A:$C), )</f>
        <v/>
      </c>
      <c r="C4214" s="37"/>
      <c r="D4214" s="37"/>
      <c r="E4214" s="38" t="s">
        <v>5059</v>
      </c>
      <c r="F4214" s="38" t="s">
        <v>5036</v>
      </c>
      <c r="G4214" s="38">
        <v>4.759846838031E12</v>
      </c>
      <c r="H4214" s="38" t="s">
        <v>5037</v>
      </c>
      <c r="I4214" s="38" t="s">
        <v>5038</v>
      </c>
      <c r="J4214" s="38" t="s">
        <v>134</v>
      </c>
      <c r="K4214" s="38" t="s">
        <v>126</v>
      </c>
      <c r="L4214" s="41">
        <v>46011.010416666664</v>
      </c>
      <c r="M4214" s="38" t="s">
        <v>123</v>
      </c>
      <c r="N4214" s="41">
        <v>46011.020833333336</v>
      </c>
      <c r="O4214" s="38" t="s">
        <v>123</v>
      </c>
      <c r="P4214" s="38">
        <v>900.0</v>
      </c>
      <c r="Q4214" s="39"/>
      <c r="R4214" s="39"/>
      <c r="S4214" s="39"/>
      <c r="T4214" s="39"/>
      <c r="U4214" s="39"/>
    </row>
    <row r="4215">
      <c r="A4215" s="40">
        <f t="shared" si="1"/>
        <v>46006</v>
      </c>
      <c r="B4215" s="37" t="str">
        <f t="array" ref="B4215">iferror(xlookup($I4215, 'IMPORT VHC Report'!$E:$E, 'IMPORT VHC Report'!$A:$C), )</f>
        <v/>
      </c>
      <c r="C4215" s="37"/>
      <c r="D4215" s="37"/>
      <c r="E4215" s="38" t="s">
        <v>5060</v>
      </c>
      <c r="F4215" s="38" t="s">
        <v>5061</v>
      </c>
      <c r="G4215" s="38">
        <v>9.153847235087E12</v>
      </c>
      <c r="H4215" s="38" t="s">
        <v>5062</v>
      </c>
      <c r="I4215" s="38" t="s">
        <v>5063</v>
      </c>
      <c r="J4215" s="38" t="s">
        <v>4859</v>
      </c>
      <c r="K4215" s="38" t="s">
        <v>63</v>
      </c>
      <c r="L4215" s="41">
        <v>46006.708333333336</v>
      </c>
      <c r="M4215" s="38" t="s">
        <v>123</v>
      </c>
      <c r="N4215" s="41">
        <v>46007.0625</v>
      </c>
      <c r="O4215" s="38" t="s">
        <v>123</v>
      </c>
      <c r="P4215" s="38">
        <v>30600.0</v>
      </c>
      <c r="Q4215" s="39"/>
      <c r="R4215" s="39"/>
      <c r="S4215" s="39"/>
      <c r="T4215" s="39"/>
      <c r="U4215" s="39"/>
    </row>
    <row r="4216">
      <c r="A4216" s="40">
        <f t="shared" si="1"/>
        <v>46006</v>
      </c>
      <c r="B4216" s="37" t="str">
        <f t="array" ref="B4216">iferror(xlookup($I4216, 'IMPORT VHC Report'!$E:$E, 'IMPORT VHC Report'!$A:$C), )</f>
        <v/>
      </c>
      <c r="C4216" s="37"/>
      <c r="D4216" s="37"/>
      <c r="E4216" s="38" t="s">
        <v>5064</v>
      </c>
      <c r="F4216" s="38" t="s">
        <v>5061</v>
      </c>
      <c r="G4216" s="38">
        <v>9.153847235087E12</v>
      </c>
      <c r="H4216" s="38" t="s">
        <v>5062</v>
      </c>
      <c r="I4216" s="38" t="s">
        <v>5063</v>
      </c>
      <c r="J4216" s="38" t="s">
        <v>134</v>
      </c>
      <c r="K4216" s="38" t="s">
        <v>126</v>
      </c>
      <c r="L4216" s="41">
        <v>46006.78125</v>
      </c>
      <c r="M4216" s="38" t="s">
        <v>123</v>
      </c>
      <c r="N4216" s="41">
        <v>46006.791666666664</v>
      </c>
      <c r="O4216" s="38" t="s">
        <v>123</v>
      </c>
      <c r="P4216" s="38">
        <v>900.0</v>
      </c>
      <c r="Q4216" s="39"/>
      <c r="R4216" s="39"/>
      <c r="S4216" s="39"/>
      <c r="T4216" s="39"/>
      <c r="U4216" s="39"/>
    </row>
    <row r="4217">
      <c r="A4217" s="40">
        <f t="shared" si="1"/>
        <v>46006</v>
      </c>
      <c r="B4217" s="37" t="str">
        <f t="array" ref="B4217">iferror(xlookup($I4217, 'IMPORT VHC Report'!$E:$E, 'IMPORT VHC Report'!$A:$C), )</f>
        <v/>
      </c>
      <c r="C4217" s="37"/>
      <c r="D4217" s="37"/>
      <c r="E4217" s="38" t="s">
        <v>5065</v>
      </c>
      <c r="F4217" s="38" t="s">
        <v>5061</v>
      </c>
      <c r="G4217" s="38">
        <v>9.153847235087E12</v>
      </c>
      <c r="H4217" s="38" t="s">
        <v>5062</v>
      </c>
      <c r="I4217" s="38" t="s">
        <v>5063</v>
      </c>
      <c r="J4217" s="38" t="s">
        <v>136</v>
      </c>
      <c r="K4217" s="38" t="s">
        <v>126</v>
      </c>
      <c r="L4217" s="41">
        <v>46006.791666666664</v>
      </c>
      <c r="M4217" s="38" t="s">
        <v>123</v>
      </c>
      <c r="N4217" s="41">
        <v>46006.8125</v>
      </c>
      <c r="O4217" s="38" t="s">
        <v>123</v>
      </c>
      <c r="P4217" s="38">
        <v>1800.0</v>
      </c>
      <c r="Q4217" s="39"/>
      <c r="R4217" s="39"/>
      <c r="S4217" s="38" t="s">
        <v>5066</v>
      </c>
      <c r="T4217" s="39"/>
      <c r="U4217" s="39"/>
    </row>
    <row r="4218">
      <c r="A4218" s="40">
        <f t="shared" si="1"/>
        <v>46006</v>
      </c>
      <c r="B4218" s="37" t="str">
        <f t="array" ref="B4218">iferror(xlookup($I4218, 'IMPORT VHC Report'!$E:$E, 'IMPORT VHC Report'!$A:$C), )</f>
        <v/>
      </c>
      <c r="C4218" s="37"/>
      <c r="D4218" s="37"/>
      <c r="E4218" s="38" t="s">
        <v>5067</v>
      </c>
      <c r="F4218" s="38" t="s">
        <v>5061</v>
      </c>
      <c r="G4218" s="38">
        <v>9.153847235087E12</v>
      </c>
      <c r="H4218" s="38" t="s">
        <v>5062</v>
      </c>
      <c r="I4218" s="38" t="s">
        <v>5063</v>
      </c>
      <c r="J4218" s="38" t="s">
        <v>132</v>
      </c>
      <c r="K4218" s="38" t="s">
        <v>126</v>
      </c>
      <c r="L4218" s="41">
        <v>46006.854166666664</v>
      </c>
      <c r="M4218" s="38" t="s">
        <v>123</v>
      </c>
      <c r="N4218" s="41">
        <v>46006.895833333336</v>
      </c>
      <c r="O4218" s="38" t="s">
        <v>123</v>
      </c>
      <c r="P4218" s="38">
        <v>3600.0</v>
      </c>
      <c r="Q4218" s="39"/>
      <c r="R4218" s="39"/>
      <c r="S4218" s="39"/>
      <c r="T4218" s="39"/>
      <c r="U4218" s="39"/>
    </row>
    <row r="4219">
      <c r="A4219" s="40">
        <f t="shared" si="1"/>
        <v>46006</v>
      </c>
      <c r="B4219" s="37" t="str">
        <f t="array" ref="B4219">iferror(xlookup($I4219, 'IMPORT VHC Report'!$E:$E, 'IMPORT VHC Report'!$A:$C), )</f>
        <v/>
      </c>
      <c r="C4219" s="37"/>
      <c r="D4219" s="37"/>
      <c r="E4219" s="38" t="s">
        <v>5068</v>
      </c>
      <c r="F4219" s="38" t="s">
        <v>5061</v>
      </c>
      <c r="G4219" s="38">
        <v>9.153847235087E12</v>
      </c>
      <c r="H4219" s="38" t="s">
        <v>5062</v>
      </c>
      <c r="I4219" s="38" t="s">
        <v>5063</v>
      </c>
      <c r="J4219" s="38" t="s">
        <v>125</v>
      </c>
      <c r="K4219" s="38" t="s">
        <v>126</v>
      </c>
      <c r="L4219" s="41">
        <v>46006.895833333336</v>
      </c>
      <c r="M4219" s="38" t="s">
        <v>123</v>
      </c>
      <c r="N4219" s="41">
        <v>46007.0625</v>
      </c>
      <c r="O4219" s="38" t="s">
        <v>123</v>
      </c>
      <c r="P4219" s="38">
        <v>14400.0</v>
      </c>
      <c r="Q4219" s="39"/>
      <c r="R4219" s="39"/>
      <c r="S4219" s="38" t="s">
        <v>5069</v>
      </c>
      <c r="T4219" s="39"/>
      <c r="U4219" s="39"/>
    </row>
    <row r="4220">
      <c r="A4220" s="40">
        <f t="shared" si="1"/>
        <v>46006</v>
      </c>
      <c r="B4220" s="37" t="str">
        <f t="array" ref="B4220">iferror(xlookup($I4220, 'IMPORT VHC Report'!$E:$E, 'IMPORT VHC Report'!$A:$C), )</f>
        <v/>
      </c>
      <c r="C4220" s="37"/>
      <c r="D4220" s="37"/>
      <c r="E4220" s="38" t="s">
        <v>5070</v>
      </c>
      <c r="F4220" s="38" t="s">
        <v>5061</v>
      </c>
      <c r="G4220" s="38">
        <v>9.153847235087E12</v>
      </c>
      <c r="H4220" s="38" t="s">
        <v>5062</v>
      </c>
      <c r="I4220" s="38" t="s">
        <v>5063</v>
      </c>
      <c r="J4220" s="38" t="s">
        <v>4859</v>
      </c>
      <c r="K4220" s="38" t="s">
        <v>63</v>
      </c>
      <c r="L4220" s="41">
        <v>46007.708333333336</v>
      </c>
      <c r="M4220" s="38" t="s">
        <v>123</v>
      </c>
      <c r="N4220" s="41">
        <v>46008.0625</v>
      </c>
      <c r="O4220" s="38" t="s">
        <v>123</v>
      </c>
      <c r="P4220" s="38">
        <v>30600.0</v>
      </c>
      <c r="Q4220" s="39"/>
      <c r="R4220" s="39"/>
      <c r="S4220" s="39"/>
      <c r="T4220" s="39"/>
      <c r="U4220" s="39"/>
    </row>
    <row r="4221">
      <c r="A4221" s="40">
        <f t="shared" si="1"/>
        <v>46006</v>
      </c>
      <c r="B4221" s="37" t="str">
        <f t="array" ref="B4221">iferror(xlookup($I4221, 'IMPORT VHC Report'!$E:$E, 'IMPORT VHC Report'!$A:$C), )</f>
        <v/>
      </c>
      <c r="C4221" s="37"/>
      <c r="D4221" s="37"/>
      <c r="E4221" s="38" t="s">
        <v>5071</v>
      </c>
      <c r="F4221" s="38" t="s">
        <v>5061</v>
      </c>
      <c r="G4221" s="38">
        <v>9.153847235087E12</v>
      </c>
      <c r="H4221" s="38" t="s">
        <v>5062</v>
      </c>
      <c r="I4221" s="38" t="s">
        <v>5063</v>
      </c>
      <c r="J4221" s="38" t="s">
        <v>134</v>
      </c>
      <c r="K4221" s="38" t="s">
        <v>126</v>
      </c>
      <c r="L4221" s="41">
        <v>46007.78125</v>
      </c>
      <c r="M4221" s="38" t="s">
        <v>123</v>
      </c>
      <c r="N4221" s="41">
        <v>46007.791666666664</v>
      </c>
      <c r="O4221" s="38" t="s">
        <v>123</v>
      </c>
      <c r="P4221" s="38">
        <v>900.0</v>
      </c>
      <c r="Q4221" s="39"/>
      <c r="R4221" s="39"/>
      <c r="S4221" s="39"/>
      <c r="T4221" s="39"/>
      <c r="U4221" s="39"/>
    </row>
    <row r="4222">
      <c r="A4222" s="40">
        <f t="shared" si="1"/>
        <v>46006</v>
      </c>
      <c r="B4222" s="37" t="str">
        <f t="array" ref="B4222">iferror(xlookup($I4222, 'IMPORT VHC Report'!$E:$E, 'IMPORT VHC Report'!$A:$C), )</f>
        <v/>
      </c>
      <c r="C4222" s="37"/>
      <c r="D4222" s="37"/>
      <c r="E4222" s="38" t="s">
        <v>5072</v>
      </c>
      <c r="F4222" s="38" t="s">
        <v>5061</v>
      </c>
      <c r="G4222" s="38">
        <v>9.153847235087E12</v>
      </c>
      <c r="H4222" s="38" t="s">
        <v>5062</v>
      </c>
      <c r="I4222" s="38" t="s">
        <v>5063</v>
      </c>
      <c r="J4222" s="38" t="s">
        <v>330</v>
      </c>
      <c r="K4222" s="38" t="s">
        <v>126</v>
      </c>
      <c r="L4222" s="41">
        <v>46007.8125</v>
      </c>
      <c r="M4222" s="38" t="s">
        <v>123</v>
      </c>
      <c r="N4222" s="41">
        <v>46007.82986111111</v>
      </c>
      <c r="O4222" s="38" t="s">
        <v>123</v>
      </c>
      <c r="P4222" s="38">
        <v>1500.0</v>
      </c>
      <c r="Q4222" s="39"/>
      <c r="R4222" s="39"/>
      <c r="S4222" s="38" t="s">
        <v>5073</v>
      </c>
      <c r="T4222" s="39"/>
      <c r="U4222" s="39"/>
    </row>
    <row r="4223">
      <c r="A4223" s="40">
        <f t="shared" si="1"/>
        <v>46006</v>
      </c>
      <c r="B4223" s="37" t="str">
        <f t="array" ref="B4223">iferror(xlookup($I4223, 'IMPORT VHC Report'!$E:$E, 'IMPORT VHC Report'!$A:$C), )</f>
        <v/>
      </c>
      <c r="C4223" s="37"/>
      <c r="D4223" s="37"/>
      <c r="E4223" s="38" t="s">
        <v>5074</v>
      </c>
      <c r="F4223" s="38" t="s">
        <v>5061</v>
      </c>
      <c r="G4223" s="38">
        <v>9.153847235087E12</v>
      </c>
      <c r="H4223" s="38" t="s">
        <v>5062</v>
      </c>
      <c r="I4223" s="38" t="s">
        <v>5063</v>
      </c>
      <c r="J4223" s="38" t="s">
        <v>132</v>
      </c>
      <c r="K4223" s="38" t="s">
        <v>126</v>
      </c>
      <c r="L4223" s="41">
        <v>46007.854166666664</v>
      </c>
      <c r="M4223" s="38" t="s">
        <v>123</v>
      </c>
      <c r="N4223" s="41">
        <v>46007.895833333336</v>
      </c>
      <c r="O4223" s="38" t="s">
        <v>123</v>
      </c>
      <c r="P4223" s="38">
        <v>3600.0</v>
      </c>
      <c r="Q4223" s="39"/>
      <c r="R4223" s="39"/>
      <c r="S4223" s="39"/>
      <c r="T4223" s="39"/>
      <c r="U4223" s="39"/>
    </row>
    <row r="4224">
      <c r="A4224" s="40">
        <f t="shared" si="1"/>
        <v>46006</v>
      </c>
      <c r="B4224" s="37" t="str">
        <f t="array" ref="B4224">iferror(xlookup($I4224, 'IMPORT VHC Report'!$E:$E, 'IMPORT VHC Report'!$A:$C), )</f>
        <v/>
      </c>
      <c r="C4224" s="37"/>
      <c r="D4224" s="37"/>
      <c r="E4224" s="38" t="s">
        <v>5075</v>
      </c>
      <c r="F4224" s="38" t="s">
        <v>5061</v>
      </c>
      <c r="G4224" s="38">
        <v>9.153847235087E12</v>
      </c>
      <c r="H4224" s="38" t="s">
        <v>5062</v>
      </c>
      <c r="I4224" s="38" t="s">
        <v>5063</v>
      </c>
      <c r="J4224" s="38" t="s">
        <v>125</v>
      </c>
      <c r="K4224" s="38" t="s">
        <v>126</v>
      </c>
      <c r="L4224" s="41">
        <v>46007.895833333336</v>
      </c>
      <c r="M4224" s="38" t="s">
        <v>123</v>
      </c>
      <c r="N4224" s="41">
        <v>46008.0625</v>
      </c>
      <c r="O4224" s="38" t="s">
        <v>123</v>
      </c>
      <c r="P4224" s="38">
        <v>14400.0</v>
      </c>
      <c r="Q4224" s="39"/>
      <c r="R4224" s="39"/>
      <c r="S4224" s="38" t="s">
        <v>5069</v>
      </c>
      <c r="T4224" s="39"/>
      <c r="U4224" s="39"/>
    </row>
    <row r="4225">
      <c r="A4225" s="40">
        <f t="shared" si="1"/>
        <v>46006</v>
      </c>
      <c r="B4225" s="37" t="str">
        <f t="array" ref="B4225">iferror(xlookup($I4225, 'IMPORT VHC Report'!$E:$E, 'IMPORT VHC Report'!$A:$C), )</f>
        <v/>
      </c>
      <c r="C4225" s="37"/>
      <c r="D4225" s="37"/>
      <c r="E4225" s="38" t="s">
        <v>5076</v>
      </c>
      <c r="F4225" s="38" t="s">
        <v>5061</v>
      </c>
      <c r="G4225" s="38">
        <v>9.153847235087E12</v>
      </c>
      <c r="H4225" s="38" t="s">
        <v>5062</v>
      </c>
      <c r="I4225" s="38" t="s">
        <v>5063</v>
      </c>
      <c r="J4225" s="38" t="s">
        <v>4859</v>
      </c>
      <c r="K4225" s="38" t="s">
        <v>63</v>
      </c>
      <c r="L4225" s="41">
        <v>46008.708333333336</v>
      </c>
      <c r="M4225" s="38" t="s">
        <v>123</v>
      </c>
      <c r="N4225" s="41">
        <v>46009.0625</v>
      </c>
      <c r="O4225" s="38" t="s">
        <v>123</v>
      </c>
      <c r="P4225" s="38">
        <v>30600.0</v>
      </c>
      <c r="Q4225" s="39"/>
      <c r="R4225" s="39"/>
      <c r="S4225" s="39"/>
      <c r="T4225" s="39"/>
      <c r="U4225" s="39"/>
    </row>
    <row r="4226">
      <c r="A4226" s="40">
        <f t="shared" si="1"/>
        <v>46006</v>
      </c>
      <c r="B4226" s="37" t="str">
        <f t="array" ref="B4226">iferror(xlookup($I4226, 'IMPORT VHC Report'!$E:$E, 'IMPORT VHC Report'!$A:$C), )</f>
        <v/>
      </c>
      <c r="C4226" s="37"/>
      <c r="D4226" s="37"/>
      <c r="E4226" s="38" t="s">
        <v>5077</v>
      </c>
      <c r="F4226" s="38" t="s">
        <v>5061</v>
      </c>
      <c r="G4226" s="38">
        <v>9.153847235087E12</v>
      </c>
      <c r="H4226" s="38" t="s">
        <v>5062</v>
      </c>
      <c r="I4226" s="38" t="s">
        <v>5063</v>
      </c>
      <c r="J4226" s="38" t="s">
        <v>134</v>
      </c>
      <c r="K4226" s="38" t="s">
        <v>126</v>
      </c>
      <c r="L4226" s="41">
        <v>46008.78125</v>
      </c>
      <c r="M4226" s="38" t="s">
        <v>123</v>
      </c>
      <c r="N4226" s="41">
        <v>46008.791666666664</v>
      </c>
      <c r="O4226" s="38" t="s">
        <v>123</v>
      </c>
      <c r="P4226" s="38">
        <v>900.0</v>
      </c>
      <c r="Q4226" s="39"/>
      <c r="R4226" s="39"/>
      <c r="S4226" s="39"/>
      <c r="T4226" s="39"/>
      <c r="U4226" s="39"/>
    </row>
    <row r="4227">
      <c r="A4227" s="40">
        <f t="shared" si="1"/>
        <v>46006</v>
      </c>
      <c r="B4227" s="37" t="str">
        <f t="array" ref="B4227">iferror(xlookup($I4227, 'IMPORT VHC Report'!$E:$E, 'IMPORT VHC Report'!$A:$C), )</f>
        <v/>
      </c>
      <c r="C4227" s="37"/>
      <c r="D4227" s="37"/>
      <c r="E4227" s="38" t="s">
        <v>5078</v>
      </c>
      <c r="F4227" s="38" t="s">
        <v>5061</v>
      </c>
      <c r="G4227" s="38">
        <v>9.153847235087E12</v>
      </c>
      <c r="H4227" s="38" t="s">
        <v>5062</v>
      </c>
      <c r="I4227" s="38" t="s">
        <v>5063</v>
      </c>
      <c r="J4227" s="38" t="s">
        <v>132</v>
      </c>
      <c r="K4227" s="38" t="s">
        <v>126</v>
      </c>
      <c r="L4227" s="41">
        <v>46008.854166666664</v>
      </c>
      <c r="M4227" s="38" t="s">
        <v>123</v>
      </c>
      <c r="N4227" s="41">
        <v>46008.895833333336</v>
      </c>
      <c r="O4227" s="38" t="s">
        <v>123</v>
      </c>
      <c r="P4227" s="38">
        <v>3600.0</v>
      </c>
      <c r="Q4227" s="39"/>
      <c r="R4227" s="39"/>
      <c r="S4227" s="39"/>
      <c r="T4227" s="39"/>
      <c r="U4227" s="39"/>
    </row>
    <row r="4228">
      <c r="A4228" s="40">
        <f t="shared" si="1"/>
        <v>46006</v>
      </c>
      <c r="B4228" s="37" t="str">
        <f t="array" ref="B4228">iferror(xlookup($I4228, 'IMPORT VHC Report'!$E:$E, 'IMPORT VHC Report'!$A:$C), )</f>
        <v/>
      </c>
      <c r="C4228" s="37"/>
      <c r="D4228" s="37"/>
      <c r="E4228" s="38" t="s">
        <v>5079</v>
      </c>
      <c r="F4228" s="38" t="s">
        <v>5061</v>
      </c>
      <c r="G4228" s="38">
        <v>9.153847235087E12</v>
      </c>
      <c r="H4228" s="38" t="s">
        <v>5062</v>
      </c>
      <c r="I4228" s="38" t="s">
        <v>5063</v>
      </c>
      <c r="J4228" s="38" t="s">
        <v>125</v>
      </c>
      <c r="K4228" s="38" t="s">
        <v>126</v>
      </c>
      <c r="L4228" s="41">
        <v>46008.895833333336</v>
      </c>
      <c r="M4228" s="38" t="s">
        <v>123</v>
      </c>
      <c r="N4228" s="41">
        <v>46009.0</v>
      </c>
      <c r="O4228" s="38" t="s">
        <v>123</v>
      </c>
      <c r="P4228" s="38">
        <v>9000.0</v>
      </c>
      <c r="Q4228" s="39"/>
      <c r="R4228" s="39"/>
      <c r="S4228" s="38" t="s">
        <v>5069</v>
      </c>
      <c r="T4228" s="39"/>
      <c r="U4228" s="39"/>
    </row>
    <row r="4229">
      <c r="A4229" s="40">
        <f t="shared" si="1"/>
        <v>46006</v>
      </c>
      <c r="B4229" s="37" t="str">
        <f t="array" ref="B4229">iferror(xlookup($I4229, 'IMPORT VHC Report'!$E:$E, 'IMPORT VHC Report'!$A:$C), )</f>
        <v/>
      </c>
      <c r="C4229" s="37"/>
      <c r="D4229" s="37"/>
      <c r="E4229" s="38" t="s">
        <v>5080</v>
      </c>
      <c r="F4229" s="38" t="s">
        <v>5061</v>
      </c>
      <c r="G4229" s="38">
        <v>9.153847235087E12</v>
      </c>
      <c r="H4229" s="38" t="s">
        <v>5062</v>
      </c>
      <c r="I4229" s="38" t="s">
        <v>5063</v>
      </c>
      <c r="J4229" s="38" t="s">
        <v>136</v>
      </c>
      <c r="K4229" s="38" t="s">
        <v>126</v>
      </c>
      <c r="L4229" s="41">
        <v>46009.0</v>
      </c>
      <c r="M4229" s="38" t="s">
        <v>123</v>
      </c>
      <c r="N4229" s="41">
        <v>46009.041666666664</v>
      </c>
      <c r="O4229" s="38" t="s">
        <v>123</v>
      </c>
      <c r="P4229" s="38">
        <v>3600.0</v>
      </c>
      <c r="Q4229" s="39"/>
      <c r="R4229" s="39"/>
      <c r="S4229" s="38" t="s">
        <v>4874</v>
      </c>
      <c r="T4229" s="39"/>
      <c r="U4229" s="39"/>
    </row>
    <row r="4230">
      <c r="A4230" s="40">
        <f t="shared" si="1"/>
        <v>46006</v>
      </c>
      <c r="B4230" s="37" t="str">
        <f t="array" ref="B4230">iferror(xlookup($I4230, 'IMPORT VHC Report'!$E:$E, 'IMPORT VHC Report'!$A:$C), )</f>
        <v/>
      </c>
      <c r="C4230" s="37"/>
      <c r="D4230" s="37"/>
      <c r="E4230" s="38" t="s">
        <v>5081</v>
      </c>
      <c r="F4230" s="38" t="s">
        <v>5061</v>
      </c>
      <c r="G4230" s="38">
        <v>9.153847235087E12</v>
      </c>
      <c r="H4230" s="38" t="s">
        <v>5062</v>
      </c>
      <c r="I4230" s="38" t="s">
        <v>5063</v>
      </c>
      <c r="J4230" s="38" t="s">
        <v>125</v>
      </c>
      <c r="K4230" s="38" t="s">
        <v>126</v>
      </c>
      <c r="L4230" s="41">
        <v>46009.041666666664</v>
      </c>
      <c r="M4230" s="38" t="s">
        <v>123</v>
      </c>
      <c r="N4230" s="41">
        <v>46009.0625</v>
      </c>
      <c r="O4230" s="38" t="s">
        <v>123</v>
      </c>
      <c r="P4230" s="38">
        <v>1800.0</v>
      </c>
      <c r="Q4230" s="39"/>
      <c r="R4230" s="39"/>
      <c r="S4230" s="38" t="s">
        <v>5069</v>
      </c>
      <c r="T4230" s="39"/>
      <c r="U4230" s="39"/>
    </row>
    <row r="4231">
      <c r="A4231" s="40">
        <f t="shared" si="1"/>
        <v>46006</v>
      </c>
      <c r="B4231" s="37" t="str">
        <f t="array" ref="B4231">iferror(xlookup($I4231, 'IMPORT VHC Report'!$E:$E, 'IMPORT VHC Report'!$A:$C), )</f>
        <v/>
      </c>
      <c r="C4231" s="37"/>
      <c r="D4231" s="37"/>
      <c r="E4231" s="38" t="s">
        <v>5082</v>
      </c>
      <c r="F4231" s="38" t="s">
        <v>5061</v>
      </c>
      <c r="G4231" s="38">
        <v>9.153847235087E12</v>
      </c>
      <c r="H4231" s="38" t="s">
        <v>5062</v>
      </c>
      <c r="I4231" s="38" t="s">
        <v>5063</v>
      </c>
      <c r="J4231" s="38" t="s">
        <v>125</v>
      </c>
      <c r="K4231" s="38" t="s">
        <v>126</v>
      </c>
      <c r="L4231" s="41">
        <v>46009.041666666664</v>
      </c>
      <c r="M4231" s="38" t="s">
        <v>123</v>
      </c>
      <c r="N4231" s="41">
        <v>46009.0625</v>
      </c>
      <c r="O4231" s="38" t="s">
        <v>123</v>
      </c>
      <c r="P4231" s="38">
        <v>1800.0</v>
      </c>
      <c r="Q4231" s="39"/>
      <c r="R4231" s="39"/>
      <c r="S4231" s="38" t="s">
        <v>5069</v>
      </c>
      <c r="T4231" s="39"/>
      <c r="U4231" s="39"/>
    </row>
    <row r="4232">
      <c r="A4232" s="40">
        <f t="shared" si="1"/>
        <v>46006</v>
      </c>
      <c r="B4232" s="37" t="str">
        <f t="array" ref="B4232">iferror(xlookup($I4232, 'IMPORT VHC Report'!$E:$E, 'IMPORT VHC Report'!$A:$C), )</f>
        <v/>
      </c>
      <c r="C4232" s="37"/>
      <c r="D4232" s="37"/>
      <c r="E4232" s="38" t="s">
        <v>5083</v>
      </c>
      <c r="F4232" s="38" t="s">
        <v>5061</v>
      </c>
      <c r="G4232" s="38">
        <v>9.153847235087E12</v>
      </c>
      <c r="H4232" s="38" t="s">
        <v>5062</v>
      </c>
      <c r="I4232" s="38" t="s">
        <v>5063</v>
      </c>
      <c r="J4232" s="38" t="s">
        <v>4</v>
      </c>
      <c r="K4232" s="38" t="s">
        <v>126</v>
      </c>
      <c r="L4232" s="41">
        <v>46009.708333333336</v>
      </c>
      <c r="M4232" s="38" t="s">
        <v>123</v>
      </c>
      <c r="N4232" s="41">
        <v>46009.75</v>
      </c>
      <c r="O4232" s="38" t="s">
        <v>123</v>
      </c>
      <c r="P4232" s="38">
        <v>3600.0</v>
      </c>
      <c r="Q4232" s="39"/>
      <c r="R4232" s="39"/>
      <c r="S4232" s="38" t="s">
        <v>3090</v>
      </c>
      <c r="T4232" s="39"/>
      <c r="U4232" s="39"/>
    </row>
    <row r="4233">
      <c r="A4233" s="40">
        <f t="shared" si="1"/>
        <v>46006</v>
      </c>
      <c r="B4233" s="37" t="str">
        <f t="array" ref="B4233">iferror(xlookup($I4233, 'IMPORT VHC Report'!$E:$E, 'IMPORT VHC Report'!$A:$C), )</f>
        <v/>
      </c>
      <c r="C4233" s="37"/>
      <c r="D4233" s="37"/>
      <c r="E4233" s="38" t="s">
        <v>5084</v>
      </c>
      <c r="F4233" s="38" t="s">
        <v>5061</v>
      </c>
      <c r="G4233" s="38">
        <v>9.153847235087E12</v>
      </c>
      <c r="H4233" s="38" t="s">
        <v>5062</v>
      </c>
      <c r="I4233" s="38" t="s">
        <v>5063</v>
      </c>
      <c r="J4233" s="38" t="s">
        <v>4859</v>
      </c>
      <c r="K4233" s="38" t="s">
        <v>63</v>
      </c>
      <c r="L4233" s="41">
        <v>46009.708333333336</v>
      </c>
      <c r="M4233" s="38" t="s">
        <v>123</v>
      </c>
      <c r="N4233" s="41">
        <v>46010.0625</v>
      </c>
      <c r="O4233" s="38" t="s">
        <v>123</v>
      </c>
      <c r="P4233" s="38">
        <v>30600.0</v>
      </c>
      <c r="Q4233" s="39"/>
      <c r="R4233" s="39"/>
      <c r="S4233" s="39"/>
      <c r="T4233" s="39"/>
      <c r="U4233" s="39"/>
    </row>
    <row r="4234">
      <c r="A4234" s="40">
        <f t="shared" si="1"/>
        <v>46006</v>
      </c>
      <c r="B4234" s="37" t="str">
        <f t="array" ref="B4234">iferror(xlookup($I4234, 'IMPORT VHC Report'!$E:$E, 'IMPORT VHC Report'!$A:$C), )</f>
        <v/>
      </c>
      <c r="C4234" s="37"/>
      <c r="D4234" s="37"/>
      <c r="E4234" s="38" t="s">
        <v>5085</v>
      </c>
      <c r="F4234" s="38" t="s">
        <v>5061</v>
      </c>
      <c r="G4234" s="38">
        <v>9.153847235087E12</v>
      </c>
      <c r="H4234" s="38" t="s">
        <v>5062</v>
      </c>
      <c r="I4234" s="38" t="s">
        <v>5063</v>
      </c>
      <c r="J4234" s="38" t="s">
        <v>134</v>
      </c>
      <c r="K4234" s="38" t="s">
        <v>126</v>
      </c>
      <c r="L4234" s="41">
        <v>46009.78125</v>
      </c>
      <c r="M4234" s="38" t="s">
        <v>123</v>
      </c>
      <c r="N4234" s="41">
        <v>46009.791666666664</v>
      </c>
      <c r="O4234" s="38" t="s">
        <v>123</v>
      </c>
      <c r="P4234" s="38">
        <v>900.0</v>
      </c>
      <c r="Q4234" s="39"/>
      <c r="R4234" s="39"/>
      <c r="S4234" s="39"/>
      <c r="T4234" s="39"/>
      <c r="U4234" s="39"/>
    </row>
    <row r="4235">
      <c r="A4235" s="40">
        <f t="shared" si="1"/>
        <v>46006</v>
      </c>
      <c r="B4235" s="37" t="str">
        <f t="array" ref="B4235">iferror(xlookup($I4235, 'IMPORT VHC Report'!$E:$E, 'IMPORT VHC Report'!$A:$C), )</f>
        <v/>
      </c>
      <c r="C4235" s="37"/>
      <c r="D4235" s="37"/>
      <c r="E4235" s="38" t="s">
        <v>5086</v>
      </c>
      <c r="F4235" s="38" t="s">
        <v>5061</v>
      </c>
      <c r="G4235" s="38">
        <v>9.153847235087E12</v>
      </c>
      <c r="H4235" s="38" t="s">
        <v>5062</v>
      </c>
      <c r="I4235" s="38" t="s">
        <v>5063</v>
      </c>
      <c r="J4235" s="38" t="s">
        <v>136</v>
      </c>
      <c r="K4235" s="38" t="s">
        <v>126</v>
      </c>
      <c r="L4235" s="41">
        <v>46009.854166666664</v>
      </c>
      <c r="M4235" s="38" t="s">
        <v>123</v>
      </c>
      <c r="N4235" s="41">
        <v>46009.916666666664</v>
      </c>
      <c r="O4235" s="38" t="s">
        <v>123</v>
      </c>
      <c r="P4235" s="38">
        <v>5400.0</v>
      </c>
      <c r="Q4235" s="39"/>
      <c r="R4235" s="39"/>
      <c r="S4235" s="38" t="s">
        <v>4877</v>
      </c>
      <c r="T4235" s="39"/>
      <c r="U4235" s="39"/>
    </row>
    <row r="4236">
      <c r="A4236" s="40">
        <f t="shared" si="1"/>
        <v>46006</v>
      </c>
      <c r="B4236" s="37" t="str">
        <f t="array" ref="B4236">iferror(xlookup($I4236, 'IMPORT VHC Report'!$E:$E, 'IMPORT VHC Report'!$A:$C), )</f>
        <v/>
      </c>
      <c r="C4236" s="37"/>
      <c r="D4236" s="37"/>
      <c r="E4236" s="38" t="s">
        <v>5087</v>
      </c>
      <c r="F4236" s="38" t="s">
        <v>5061</v>
      </c>
      <c r="G4236" s="38">
        <v>9.153847235087E12</v>
      </c>
      <c r="H4236" s="38" t="s">
        <v>5062</v>
      </c>
      <c r="I4236" s="38" t="s">
        <v>5063</v>
      </c>
      <c r="J4236" s="38" t="s">
        <v>125</v>
      </c>
      <c r="K4236" s="38" t="s">
        <v>126</v>
      </c>
      <c r="L4236" s="41">
        <v>46009.916666666664</v>
      </c>
      <c r="M4236" s="38" t="s">
        <v>123</v>
      </c>
      <c r="N4236" s="41">
        <v>46010.0</v>
      </c>
      <c r="O4236" s="38" t="s">
        <v>123</v>
      </c>
      <c r="P4236" s="38">
        <v>7200.0</v>
      </c>
      <c r="Q4236" s="39"/>
      <c r="R4236" s="39"/>
      <c r="S4236" s="38" t="s">
        <v>5069</v>
      </c>
      <c r="T4236" s="39"/>
      <c r="U4236" s="39"/>
    </row>
    <row r="4237">
      <c r="A4237" s="40">
        <f t="shared" si="1"/>
        <v>46006</v>
      </c>
      <c r="B4237" s="37" t="str">
        <f t="array" ref="B4237">iferror(xlookup($I4237, 'IMPORT VHC Report'!$E:$E, 'IMPORT VHC Report'!$A:$C), )</f>
        <v/>
      </c>
      <c r="C4237" s="37"/>
      <c r="D4237" s="37"/>
      <c r="E4237" s="38" t="s">
        <v>5088</v>
      </c>
      <c r="F4237" s="38" t="s">
        <v>5061</v>
      </c>
      <c r="G4237" s="38">
        <v>9.153847235087E12</v>
      </c>
      <c r="H4237" s="38" t="s">
        <v>5062</v>
      </c>
      <c r="I4237" s="38" t="s">
        <v>5063</v>
      </c>
      <c r="J4237" s="38" t="s">
        <v>136</v>
      </c>
      <c r="K4237" s="38" t="s">
        <v>126</v>
      </c>
      <c r="L4237" s="41">
        <v>46010.0</v>
      </c>
      <c r="M4237" s="38" t="s">
        <v>123</v>
      </c>
      <c r="N4237" s="41">
        <v>46010.041666666664</v>
      </c>
      <c r="O4237" s="38" t="s">
        <v>123</v>
      </c>
      <c r="P4237" s="38">
        <v>3600.0</v>
      </c>
      <c r="Q4237" s="39"/>
      <c r="R4237" s="39"/>
      <c r="S4237" s="38" t="s">
        <v>4880</v>
      </c>
      <c r="T4237" s="39"/>
      <c r="U4237" s="39"/>
    </row>
    <row r="4238">
      <c r="A4238" s="40">
        <f t="shared" si="1"/>
        <v>46006</v>
      </c>
      <c r="B4238" s="37" t="str">
        <f t="array" ref="B4238">iferror(xlookup($I4238, 'IMPORT VHC Report'!$E:$E, 'IMPORT VHC Report'!$A:$C), )</f>
        <v/>
      </c>
      <c r="C4238" s="37"/>
      <c r="D4238" s="37"/>
      <c r="E4238" s="38" t="s">
        <v>5089</v>
      </c>
      <c r="F4238" s="38" t="s">
        <v>5061</v>
      </c>
      <c r="G4238" s="38">
        <v>9.153847235087E12</v>
      </c>
      <c r="H4238" s="38" t="s">
        <v>5062</v>
      </c>
      <c r="I4238" s="38" t="s">
        <v>5063</v>
      </c>
      <c r="J4238" s="38" t="s">
        <v>125</v>
      </c>
      <c r="K4238" s="38" t="s">
        <v>126</v>
      </c>
      <c r="L4238" s="41">
        <v>46010.041666666664</v>
      </c>
      <c r="M4238" s="38" t="s">
        <v>123</v>
      </c>
      <c r="N4238" s="41">
        <v>46010.0625</v>
      </c>
      <c r="O4238" s="38" t="s">
        <v>123</v>
      </c>
      <c r="P4238" s="38">
        <v>1800.0</v>
      </c>
      <c r="Q4238" s="39"/>
      <c r="R4238" s="39"/>
      <c r="S4238" s="38" t="s">
        <v>5069</v>
      </c>
      <c r="T4238" s="39"/>
      <c r="U4238" s="39"/>
    </row>
    <row r="4239">
      <c r="A4239" s="40">
        <f t="shared" si="1"/>
        <v>46006</v>
      </c>
      <c r="B4239" s="37" t="str">
        <f t="array" ref="B4239">iferror(xlookup($I4239, 'IMPORT VHC Report'!$E:$E, 'IMPORT VHC Report'!$A:$C), )</f>
        <v/>
      </c>
      <c r="C4239" s="37"/>
      <c r="D4239" s="37"/>
      <c r="E4239" s="38" t="s">
        <v>5090</v>
      </c>
      <c r="F4239" s="38" t="s">
        <v>5061</v>
      </c>
      <c r="G4239" s="38">
        <v>9.153847235087E12</v>
      </c>
      <c r="H4239" s="38" t="s">
        <v>5062</v>
      </c>
      <c r="I4239" s="38" t="s">
        <v>5063</v>
      </c>
      <c r="J4239" s="38" t="s">
        <v>4859</v>
      </c>
      <c r="K4239" s="38" t="s">
        <v>63</v>
      </c>
      <c r="L4239" s="41">
        <v>46010.708333333336</v>
      </c>
      <c r="M4239" s="38" t="s">
        <v>123</v>
      </c>
      <c r="N4239" s="41">
        <v>46011.0625</v>
      </c>
      <c r="O4239" s="38" t="s">
        <v>123</v>
      </c>
      <c r="P4239" s="38">
        <v>30600.0</v>
      </c>
      <c r="Q4239" s="39"/>
      <c r="R4239" s="39"/>
      <c r="S4239" s="39"/>
      <c r="T4239" s="39"/>
      <c r="U4239" s="39"/>
    </row>
    <row r="4240">
      <c r="A4240" s="40">
        <f t="shared" si="1"/>
        <v>46006</v>
      </c>
      <c r="B4240" s="37" t="str">
        <f t="array" ref="B4240">iferror(xlookup($I4240, 'IMPORT VHC Report'!$E:$E, 'IMPORT VHC Report'!$A:$C), )</f>
        <v/>
      </c>
      <c r="C4240" s="37"/>
      <c r="D4240" s="37"/>
      <c r="E4240" s="38" t="s">
        <v>5091</v>
      </c>
      <c r="F4240" s="38" t="s">
        <v>5061</v>
      </c>
      <c r="G4240" s="38">
        <v>9.153847235087E12</v>
      </c>
      <c r="H4240" s="38" t="s">
        <v>5062</v>
      </c>
      <c r="I4240" s="38" t="s">
        <v>5063</v>
      </c>
      <c r="J4240" s="38" t="s">
        <v>134</v>
      </c>
      <c r="K4240" s="38" t="s">
        <v>126</v>
      </c>
      <c r="L4240" s="41">
        <v>46010.78125</v>
      </c>
      <c r="M4240" s="38" t="s">
        <v>123</v>
      </c>
      <c r="N4240" s="41">
        <v>46010.791666666664</v>
      </c>
      <c r="O4240" s="38" t="s">
        <v>123</v>
      </c>
      <c r="P4240" s="38">
        <v>900.0</v>
      </c>
      <c r="Q4240" s="39"/>
      <c r="R4240" s="39"/>
      <c r="S4240" s="39"/>
      <c r="T4240" s="39"/>
      <c r="U4240" s="39"/>
    </row>
    <row r="4241">
      <c r="A4241" s="40">
        <f t="shared" si="1"/>
        <v>46006</v>
      </c>
      <c r="B4241" s="37" t="str">
        <f t="array" ref="B4241">iferror(xlookup($I4241, 'IMPORT VHC Report'!$E:$E, 'IMPORT VHC Report'!$A:$C), )</f>
        <v/>
      </c>
      <c r="C4241" s="37"/>
      <c r="D4241" s="37"/>
      <c r="E4241" s="38" t="s">
        <v>5092</v>
      </c>
      <c r="F4241" s="38" t="s">
        <v>5061</v>
      </c>
      <c r="G4241" s="38">
        <v>9.153847235087E12</v>
      </c>
      <c r="H4241" s="38" t="s">
        <v>5062</v>
      </c>
      <c r="I4241" s="38" t="s">
        <v>5063</v>
      </c>
      <c r="J4241" s="38" t="s">
        <v>132</v>
      </c>
      <c r="K4241" s="38" t="s">
        <v>126</v>
      </c>
      <c r="L4241" s="41">
        <v>46010.854166666664</v>
      </c>
      <c r="M4241" s="38" t="s">
        <v>123</v>
      </c>
      <c r="N4241" s="41">
        <v>46010.895833333336</v>
      </c>
      <c r="O4241" s="38" t="s">
        <v>123</v>
      </c>
      <c r="P4241" s="38">
        <v>3600.0</v>
      </c>
      <c r="Q4241" s="39"/>
      <c r="R4241" s="39"/>
      <c r="S4241" s="39"/>
      <c r="T4241" s="39"/>
      <c r="U4241" s="39"/>
    </row>
    <row r="4242">
      <c r="A4242" s="40">
        <f t="shared" si="1"/>
        <v>46006</v>
      </c>
      <c r="B4242" s="37" t="str">
        <f t="array" ref="B4242">iferror(xlookup($I4242, 'IMPORT VHC Report'!$E:$E, 'IMPORT VHC Report'!$A:$C), )</f>
        <v/>
      </c>
      <c r="C4242" s="37"/>
      <c r="D4242" s="37"/>
      <c r="E4242" s="38" t="s">
        <v>5093</v>
      </c>
      <c r="F4242" s="38" t="s">
        <v>5061</v>
      </c>
      <c r="G4242" s="38">
        <v>9.153847235087E12</v>
      </c>
      <c r="H4242" s="38" t="s">
        <v>5062</v>
      </c>
      <c r="I4242" s="38" t="s">
        <v>5063</v>
      </c>
      <c r="J4242" s="38" t="s">
        <v>125</v>
      </c>
      <c r="K4242" s="38" t="s">
        <v>126</v>
      </c>
      <c r="L4242" s="41">
        <v>46010.895833333336</v>
      </c>
      <c r="M4242" s="38" t="s">
        <v>123</v>
      </c>
      <c r="N4242" s="41">
        <v>46011.0625</v>
      </c>
      <c r="O4242" s="38" t="s">
        <v>123</v>
      </c>
      <c r="P4242" s="38">
        <v>14400.0</v>
      </c>
      <c r="Q4242" s="39"/>
      <c r="R4242" s="39"/>
      <c r="S4242" s="38" t="s">
        <v>5069</v>
      </c>
      <c r="T4242" s="39"/>
      <c r="U4242" s="39"/>
    </row>
    <row r="4243">
      <c r="A4243" s="40">
        <f t="shared" si="1"/>
        <v>46006</v>
      </c>
      <c r="B4243" s="37" t="str">
        <f t="array" ref="B4243">iferror(xlookup($I4243, 'IMPORT VHC Report'!$E:$E, 'IMPORT VHC Report'!$A:$C), )</f>
        <v/>
      </c>
      <c r="C4243" s="37"/>
      <c r="D4243" s="37"/>
      <c r="E4243" s="38" t="s">
        <v>5094</v>
      </c>
      <c r="F4243" s="38" t="s">
        <v>5095</v>
      </c>
      <c r="G4243" s="38">
        <v>9.586408388239E12</v>
      </c>
      <c r="H4243" s="38" t="s">
        <v>5096</v>
      </c>
      <c r="I4243" s="38" t="s">
        <v>5097</v>
      </c>
      <c r="J4243" s="38" t="s">
        <v>125</v>
      </c>
      <c r="K4243" s="38" t="s">
        <v>126</v>
      </c>
      <c r="L4243" s="41">
        <v>46006.75</v>
      </c>
      <c r="M4243" s="38" t="s">
        <v>123</v>
      </c>
      <c r="N4243" s="41">
        <v>46006.760416666664</v>
      </c>
      <c r="O4243" s="38" t="s">
        <v>123</v>
      </c>
      <c r="P4243" s="38">
        <v>900.0</v>
      </c>
      <c r="Q4243" s="39"/>
      <c r="R4243" s="39"/>
      <c r="S4243" s="38" t="s">
        <v>199</v>
      </c>
      <c r="T4243" s="39"/>
      <c r="U4243" s="39"/>
    </row>
    <row r="4244">
      <c r="A4244" s="40">
        <f t="shared" si="1"/>
        <v>46006</v>
      </c>
      <c r="B4244" s="37" t="str">
        <f t="array" ref="B4244">iferror(xlookup($I4244, 'IMPORT VHC Report'!$E:$E, 'IMPORT VHC Report'!$A:$C), )</f>
        <v/>
      </c>
      <c r="C4244" s="37"/>
      <c r="D4244" s="37"/>
      <c r="E4244" s="38" t="s">
        <v>5098</v>
      </c>
      <c r="F4244" s="38" t="s">
        <v>5095</v>
      </c>
      <c r="G4244" s="38">
        <v>9.586408388239E12</v>
      </c>
      <c r="H4244" s="38" t="s">
        <v>5096</v>
      </c>
      <c r="I4244" s="38" t="s">
        <v>5097</v>
      </c>
      <c r="J4244" s="38" t="s">
        <v>196</v>
      </c>
      <c r="K4244" s="38" t="s">
        <v>63</v>
      </c>
      <c r="L4244" s="41">
        <v>46006.75</v>
      </c>
      <c r="M4244" s="38" t="s">
        <v>123</v>
      </c>
      <c r="N4244" s="41">
        <v>46007.125</v>
      </c>
      <c r="O4244" s="38" t="s">
        <v>123</v>
      </c>
      <c r="P4244" s="38">
        <v>32400.0</v>
      </c>
      <c r="Q4244" s="39"/>
      <c r="R4244" s="39"/>
      <c r="S4244" s="39"/>
      <c r="T4244" s="39"/>
      <c r="U4244" s="39"/>
    </row>
    <row r="4245">
      <c r="A4245" s="40">
        <f t="shared" si="1"/>
        <v>46006</v>
      </c>
      <c r="B4245" s="37" t="str">
        <f t="array" ref="B4245">iferror(xlookup($I4245, 'IMPORT VHC Report'!$E:$E, 'IMPORT VHC Report'!$A:$C), )</f>
        <v/>
      </c>
      <c r="C4245" s="37"/>
      <c r="D4245" s="37"/>
      <c r="E4245" s="38" t="s">
        <v>5099</v>
      </c>
      <c r="F4245" s="38" t="s">
        <v>5095</v>
      </c>
      <c r="G4245" s="38">
        <v>9.586408388239E12</v>
      </c>
      <c r="H4245" s="38" t="s">
        <v>5096</v>
      </c>
      <c r="I4245" s="38" t="s">
        <v>5097</v>
      </c>
      <c r="J4245" s="38" t="s">
        <v>125</v>
      </c>
      <c r="K4245" s="38" t="s">
        <v>126</v>
      </c>
      <c r="L4245" s="41">
        <v>46006.82361111111</v>
      </c>
      <c r="M4245" s="38" t="s">
        <v>123</v>
      </c>
      <c r="N4245" s="41">
        <v>46006.825</v>
      </c>
      <c r="O4245" s="38" t="s">
        <v>123</v>
      </c>
      <c r="P4245" s="38">
        <v>120.0</v>
      </c>
      <c r="Q4245" s="39"/>
      <c r="R4245" s="39"/>
      <c r="S4245" s="38" t="s">
        <v>5100</v>
      </c>
      <c r="T4245" s="39"/>
      <c r="U4245" s="39"/>
    </row>
    <row r="4246">
      <c r="A4246" s="40">
        <f t="shared" si="1"/>
        <v>46006</v>
      </c>
      <c r="B4246" s="37" t="str">
        <f t="array" ref="B4246">iferror(xlookup($I4246, 'IMPORT VHC Report'!$E:$E, 'IMPORT VHC Report'!$A:$C), )</f>
        <v/>
      </c>
      <c r="C4246" s="37"/>
      <c r="D4246" s="37"/>
      <c r="E4246" s="38" t="s">
        <v>5101</v>
      </c>
      <c r="F4246" s="38" t="s">
        <v>5095</v>
      </c>
      <c r="G4246" s="38">
        <v>9.586408388239E12</v>
      </c>
      <c r="H4246" s="38" t="s">
        <v>5096</v>
      </c>
      <c r="I4246" s="38" t="s">
        <v>5097</v>
      </c>
      <c r="J4246" s="38" t="s">
        <v>134</v>
      </c>
      <c r="K4246" s="38" t="s">
        <v>126</v>
      </c>
      <c r="L4246" s="41">
        <v>46006.84375</v>
      </c>
      <c r="M4246" s="38" t="s">
        <v>123</v>
      </c>
      <c r="N4246" s="41">
        <v>46006.864583333336</v>
      </c>
      <c r="O4246" s="38" t="s">
        <v>123</v>
      </c>
      <c r="P4246" s="38">
        <v>1800.0</v>
      </c>
      <c r="Q4246" s="39"/>
      <c r="R4246" s="39"/>
      <c r="S4246" s="39"/>
      <c r="T4246" s="39"/>
      <c r="U4246" s="39"/>
    </row>
    <row r="4247">
      <c r="A4247" s="40">
        <f t="shared" si="1"/>
        <v>46006</v>
      </c>
      <c r="B4247" s="37" t="str">
        <f t="array" ref="B4247">iferror(xlookup($I4247, 'IMPORT VHC Report'!$E:$E, 'IMPORT VHC Report'!$A:$C), )</f>
        <v/>
      </c>
      <c r="C4247" s="37"/>
      <c r="D4247" s="37"/>
      <c r="E4247" s="38" t="s">
        <v>5102</v>
      </c>
      <c r="F4247" s="38" t="s">
        <v>5095</v>
      </c>
      <c r="G4247" s="38">
        <v>9.586408388239E12</v>
      </c>
      <c r="H4247" s="38" t="s">
        <v>5096</v>
      </c>
      <c r="I4247" s="38" t="s">
        <v>5097</v>
      </c>
      <c r="J4247" s="38" t="s">
        <v>125</v>
      </c>
      <c r="K4247" s="38" t="s">
        <v>126</v>
      </c>
      <c r="L4247" s="41">
        <v>46006.864583333336</v>
      </c>
      <c r="M4247" s="38" t="s">
        <v>123</v>
      </c>
      <c r="N4247" s="41">
        <v>46006.86666666667</v>
      </c>
      <c r="O4247" s="38" t="s">
        <v>123</v>
      </c>
      <c r="P4247" s="38">
        <v>180.0</v>
      </c>
      <c r="Q4247" s="39"/>
      <c r="R4247" s="39"/>
      <c r="S4247" s="38" t="s">
        <v>5100</v>
      </c>
      <c r="T4247" s="39"/>
      <c r="U4247" s="39"/>
    </row>
    <row r="4248">
      <c r="A4248" s="40">
        <f t="shared" si="1"/>
        <v>46006</v>
      </c>
      <c r="B4248" s="37" t="str">
        <f t="array" ref="B4248">iferror(xlookup($I4248, 'IMPORT VHC Report'!$E:$E, 'IMPORT VHC Report'!$A:$C), )</f>
        <v/>
      </c>
      <c r="C4248" s="37"/>
      <c r="D4248" s="37"/>
      <c r="E4248" s="38" t="s">
        <v>5103</v>
      </c>
      <c r="F4248" s="38" t="s">
        <v>5095</v>
      </c>
      <c r="G4248" s="38">
        <v>9.586408388239E12</v>
      </c>
      <c r="H4248" s="38" t="s">
        <v>5096</v>
      </c>
      <c r="I4248" s="38" t="s">
        <v>5097</v>
      </c>
      <c r="J4248" s="38" t="s">
        <v>125</v>
      </c>
      <c r="K4248" s="38" t="s">
        <v>126</v>
      </c>
      <c r="L4248" s="41">
        <v>46006.95277777778</v>
      </c>
      <c r="M4248" s="38" t="s">
        <v>123</v>
      </c>
      <c r="N4248" s="41">
        <v>46006.955555555556</v>
      </c>
      <c r="O4248" s="38" t="s">
        <v>123</v>
      </c>
      <c r="P4248" s="38">
        <v>240.0</v>
      </c>
      <c r="Q4248" s="39"/>
      <c r="R4248" s="39"/>
      <c r="S4248" s="38" t="s">
        <v>5100</v>
      </c>
      <c r="T4248" s="39"/>
      <c r="U4248" s="39"/>
    </row>
    <row r="4249">
      <c r="A4249" s="40">
        <f t="shared" si="1"/>
        <v>46006</v>
      </c>
      <c r="B4249" s="37" t="str">
        <f t="array" ref="B4249">iferror(xlookup($I4249, 'IMPORT VHC Report'!$E:$E, 'IMPORT VHC Report'!$A:$C), )</f>
        <v/>
      </c>
      <c r="C4249" s="37"/>
      <c r="D4249" s="37"/>
      <c r="E4249" s="38" t="s">
        <v>5104</v>
      </c>
      <c r="F4249" s="38" t="s">
        <v>5095</v>
      </c>
      <c r="G4249" s="38">
        <v>9.586408388239E12</v>
      </c>
      <c r="H4249" s="38" t="s">
        <v>5096</v>
      </c>
      <c r="I4249" s="38" t="s">
        <v>5097</v>
      </c>
      <c r="J4249" s="38" t="s">
        <v>132</v>
      </c>
      <c r="K4249" s="38" t="s">
        <v>126</v>
      </c>
      <c r="L4249" s="41">
        <v>46006.958333333336</v>
      </c>
      <c r="M4249" s="38" t="s">
        <v>123</v>
      </c>
      <c r="N4249" s="41">
        <v>46007.0</v>
      </c>
      <c r="O4249" s="38" t="s">
        <v>123</v>
      </c>
      <c r="P4249" s="38">
        <v>3600.0</v>
      </c>
      <c r="Q4249" s="39"/>
      <c r="R4249" s="39"/>
      <c r="S4249" s="39"/>
      <c r="T4249" s="39"/>
      <c r="U4249" s="39"/>
    </row>
    <row r="4250">
      <c r="A4250" s="40">
        <f t="shared" si="1"/>
        <v>46006</v>
      </c>
      <c r="B4250" s="37" t="str">
        <f t="array" ref="B4250">iferror(xlookup($I4250, 'IMPORT VHC Report'!$E:$E, 'IMPORT VHC Report'!$A:$C), )</f>
        <v/>
      </c>
      <c r="C4250" s="37"/>
      <c r="D4250" s="37"/>
      <c r="E4250" s="38" t="s">
        <v>5105</v>
      </c>
      <c r="F4250" s="38" t="s">
        <v>5095</v>
      </c>
      <c r="G4250" s="38">
        <v>9.586408388239E12</v>
      </c>
      <c r="H4250" s="38" t="s">
        <v>5096</v>
      </c>
      <c r="I4250" s="38" t="s">
        <v>5097</v>
      </c>
      <c r="J4250" s="38" t="s">
        <v>125</v>
      </c>
      <c r="K4250" s="38" t="s">
        <v>126</v>
      </c>
      <c r="L4250" s="41">
        <v>46007.75</v>
      </c>
      <c r="M4250" s="38" t="s">
        <v>123</v>
      </c>
      <c r="N4250" s="41">
        <v>46007.76388888889</v>
      </c>
      <c r="O4250" s="38" t="s">
        <v>123</v>
      </c>
      <c r="P4250" s="38">
        <v>1200.0</v>
      </c>
      <c r="Q4250" s="39"/>
      <c r="R4250" s="39"/>
      <c r="S4250" s="38" t="s">
        <v>5100</v>
      </c>
      <c r="T4250" s="39"/>
      <c r="U4250" s="39"/>
    </row>
    <row r="4251">
      <c r="A4251" s="40">
        <f t="shared" si="1"/>
        <v>46006</v>
      </c>
      <c r="B4251" s="37" t="str">
        <f t="array" ref="B4251">iferror(xlookup($I4251, 'IMPORT VHC Report'!$E:$E, 'IMPORT VHC Report'!$A:$C), )</f>
        <v/>
      </c>
      <c r="C4251" s="37"/>
      <c r="D4251" s="37"/>
      <c r="E4251" s="38" t="s">
        <v>5106</v>
      </c>
      <c r="F4251" s="38" t="s">
        <v>5095</v>
      </c>
      <c r="G4251" s="38">
        <v>9.586408388239E12</v>
      </c>
      <c r="H4251" s="38" t="s">
        <v>5096</v>
      </c>
      <c r="I4251" s="38" t="s">
        <v>5097</v>
      </c>
      <c r="J4251" s="38" t="s">
        <v>196</v>
      </c>
      <c r="K4251" s="38" t="s">
        <v>63</v>
      </c>
      <c r="L4251" s="41">
        <v>46007.75</v>
      </c>
      <c r="M4251" s="38" t="s">
        <v>123</v>
      </c>
      <c r="N4251" s="41">
        <v>46008.125</v>
      </c>
      <c r="O4251" s="38" t="s">
        <v>123</v>
      </c>
      <c r="P4251" s="38">
        <v>32400.0</v>
      </c>
      <c r="Q4251" s="39"/>
      <c r="R4251" s="39"/>
      <c r="S4251" s="39"/>
      <c r="T4251" s="39"/>
      <c r="U4251" s="39"/>
    </row>
    <row r="4252">
      <c r="A4252" s="40">
        <f t="shared" si="1"/>
        <v>46006</v>
      </c>
      <c r="B4252" s="37" t="str">
        <f t="array" ref="B4252">iferror(xlookup($I4252, 'IMPORT VHC Report'!$E:$E, 'IMPORT VHC Report'!$A:$C), )</f>
        <v/>
      </c>
      <c r="C4252" s="37"/>
      <c r="D4252" s="37"/>
      <c r="E4252" s="38" t="s">
        <v>5107</v>
      </c>
      <c r="F4252" s="38" t="s">
        <v>5095</v>
      </c>
      <c r="G4252" s="38">
        <v>9.586408388239E12</v>
      </c>
      <c r="H4252" s="38" t="s">
        <v>5096</v>
      </c>
      <c r="I4252" s="38" t="s">
        <v>5097</v>
      </c>
      <c r="J4252" s="38" t="s">
        <v>125</v>
      </c>
      <c r="K4252" s="38" t="s">
        <v>126</v>
      </c>
      <c r="L4252" s="41">
        <v>46007.91111111111</v>
      </c>
      <c r="M4252" s="38" t="s">
        <v>123</v>
      </c>
      <c r="N4252" s="41">
        <v>46007.913194444445</v>
      </c>
      <c r="O4252" s="38" t="s">
        <v>123</v>
      </c>
      <c r="P4252" s="38">
        <v>180.0</v>
      </c>
      <c r="Q4252" s="39"/>
      <c r="R4252" s="39"/>
      <c r="S4252" s="38" t="s">
        <v>5100</v>
      </c>
      <c r="T4252" s="39"/>
      <c r="U4252" s="39"/>
    </row>
    <row r="4253">
      <c r="A4253" s="40">
        <f t="shared" si="1"/>
        <v>46006</v>
      </c>
      <c r="B4253" s="37" t="str">
        <f t="array" ref="B4253">iferror(xlookup($I4253, 'IMPORT VHC Report'!$E:$E, 'IMPORT VHC Report'!$A:$C), )</f>
        <v/>
      </c>
      <c r="C4253" s="37"/>
      <c r="D4253" s="37"/>
      <c r="E4253" s="38" t="s">
        <v>5108</v>
      </c>
      <c r="F4253" s="38" t="s">
        <v>5095</v>
      </c>
      <c r="G4253" s="38">
        <v>9.586408388239E12</v>
      </c>
      <c r="H4253" s="38" t="s">
        <v>5096</v>
      </c>
      <c r="I4253" s="38" t="s">
        <v>5097</v>
      </c>
      <c r="J4253" s="38" t="s">
        <v>134</v>
      </c>
      <c r="K4253" s="38" t="s">
        <v>126</v>
      </c>
      <c r="L4253" s="41">
        <v>46008.0625</v>
      </c>
      <c r="M4253" s="38" t="s">
        <v>123</v>
      </c>
      <c r="N4253" s="41">
        <v>46008.083333333336</v>
      </c>
      <c r="O4253" s="38" t="s">
        <v>123</v>
      </c>
      <c r="P4253" s="38">
        <v>1800.0</v>
      </c>
      <c r="Q4253" s="39"/>
      <c r="R4253" s="39"/>
      <c r="S4253" s="39"/>
      <c r="T4253" s="39"/>
      <c r="U4253" s="39"/>
    </row>
    <row r="4254">
      <c r="A4254" s="40">
        <f t="shared" si="1"/>
        <v>46006</v>
      </c>
      <c r="B4254" s="37" t="str">
        <f t="array" ref="B4254">iferror(xlookup($I4254, 'IMPORT VHC Report'!$E:$E, 'IMPORT VHC Report'!$A:$C), )</f>
        <v/>
      </c>
      <c r="C4254" s="37"/>
      <c r="D4254" s="37"/>
      <c r="E4254" s="38" t="s">
        <v>5109</v>
      </c>
      <c r="F4254" s="38" t="s">
        <v>5095</v>
      </c>
      <c r="G4254" s="38">
        <v>9.586408388239E12</v>
      </c>
      <c r="H4254" s="38" t="s">
        <v>5096</v>
      </c>
      <c r="I4254" s="38" t="s">
        <v>5097</v>
      </c>
      <c r="J4254" s="38" t="s">
        <v>132</v>
      </c>
      <c r="K4254" s="38" t="s">
        <v>126</v>
      </c>
      <c r="L4254" s="41">
        <v>46008.083333333336</v>
      </c>
      <c r="M4254" s="38" t="s">
        <v>123</v>
      </c>
      <c r="N4254" s="41">
        <v>46008.125</v>
      </c>
      <c r="O4254" s="38" t="s">
        <v>123</v>
      </c>
      <c r="P4254" s="38">
        <v>3600.0</v>
      </c>
      <c r="Q4254" s="39"/>
      <c r="R4254" s="39"/>
      <c r="S4254" s="39"/>
      <c r="T4254" s="39"/>
      <c r="U4254" s="39"/>
    </row>
    <row r="4255">
      <c r="A4255" s="40">
        <f t="shared" si="1"/>
        <v>46006</v>
      </c>
      <c r="B4255" s="37" t="str">
        <f t="array" ref="B4255">iferror(xlookup($I4255, 'IMPORT VHC Report'!$E:$E, 'IMPORT VHC Report'!$A:$C), )</f>
        <v/>
      </c>
      <c r="C4255" s="37"/>
      <c r="D4255" s="37"/>
      <c r="E4255" s="38" t="s">
        <v>5110</v>
      </c>
      <c r="F4255" s="38" t="s">
        <v>5095</v>
      </c>
      <c r="G4255" s="38">
        <v>9.586408388239E12</v>
      </c>
      <c r="H4255" s="38" t="s">
        <v>5096</v>
      </c>
      <c r="I4255" s="38" t="s">
        <v>5097</v>
      </c>
      <c r="J4255" s="38" t="s">
        <v>125</v>
      </c>
      <c r="K4255" s="38" t="s">
        <v>126</v>
      </c>
      <c r="L4255" s="41">
        <v>46008.75</v>
      </c>
      <c r="M4255" s="38" t="s">
        <v>123</v>
      </c>
      <c r="N4255" s="41">
        <v>46008.760416666664</v>
      </c>
      <c r="O4255" s="38" t="s">
        <v>123</v>
      </c>
      <c r="P4255" s="38">
        <v>900.0</v>
      </c>
      <c r="Q4255" s="39"/>
      <c r="R4255" s="39"/>
      <c r="S4255" s="38" t="s">
        <v>199</v>
      </c>
      <c r="T4255" s="39"/>
      <c r="U4255" s="39"/>
    </row>
    <row r="4256">
      <c r="A4256" s="40">
        <f t="shared" si="1"/>
        <v>46006</v>
      </c>
      <c r="B4256" s="37" t="str">
        <f t="array" ref="B4256">iferror(xlookup($I4256, 'IMPORT VHC Report'!$E:$E, 'IMPORT VHC Report'!$A:$C), )</f>
        <v/>
      </c>
      <c r="C4256" s="37"/>
      <c r="D4256" s="37"/>
      <c r="E4256" s="38" t="s">
        <v>5111</v>
      </c>
      <c r="F4256" s="38" t="s">
        <v>5095</v>
      </c>
      <c r="G4256" s="38">
        <v>9.586408388239E12</v>
      </c>
      <c r="H4256" s="38" t="s">
        <v>5096</v>
      </c>
      <c r="I4256" s="38" t="s">
        <v>5097</v>
      </c>
      <c r="J4256" s="38" t="s">
        <v>196</v>
      </c>
      <c r="K4256" s="38" t="s">
        <v>63</v>
      </c>
      <c r="L4256" s="41">
        <v>46008.75</v>
      </c>
      <c r="M4256" s="38" t="s">
        <v>123</v>
      </c>
      <c r="N4256" s="41">
        <v>46009.125</v>
      </c>
      <c r="O4256" s="38" t="s">
        <v>123</v>
      </c>
      <c r="P4256" s="38">
        <v>32400.0</v>
      </c>
      <c r="Q4256" s="39"/>
      <c r="R4256" s="39"/>
      <c r="S4256" s="39"/>
      <c r="T4256" s="39"/>
      <c r="U4256" s="39"/>
    </row>
    <row r="4257">
      <c r="A4257" s="40">
        <f t="shared" si="1"/>
        <v>46006</v>
      </c>
      <c r="B4257" s="37" t="str">
        <f t="array" ref="B4257">iferror(xlookup($I4257, 'IMPORT VHC Report'!$E:$E, 'IMPORT VHC Report'!$A:$C), )</f>
        <v/>
      </c>
      <c r="C4257" s="37"/>
      <c r="D4257" s="37"/>
      <c r="E4257" s="38" t="s">
        <v>5112</v>
      </c>
      <c r="F4257" s="38" t="s">
        <v>5095</v>
      </c>
      <c r="G4257" s="38">
        <v>9.586408388239E12</v>
      </c>
      <c r="H4257" s="38" t="s">
        <v>5096</v>
      </c>
      <c r="I4257" s="38" t="s">
        <v>5097</v>
      </c>
      <c r="J4257" s="38" t="s">
        <v>136</v>
      </c>
      <c r="K4257" s="38" t="s">
        <v>126</v>
      </c>
      <c r="L4257" s="41">
        <v>46008.87291666667</v>
      </c>
      <c r="M4257" s="38" t="s">
        <v>123</v>
      </c>
      <c r="N4257" s="41">
        <v>46008.895833333336</v>
      </c>
      <c r="O4257" s="38" t="s">
        <v>123</v>
      </c>
      <c r="P4257" s="38">
        <v>1980.0</v>
      </c>
      <c r="Q4257" s="39"/>
      <c r="R4257" s="39"/>
      <c r="S4257" s="38" t="s">
        <v>4171</v>
      </c>
      <c r="T4257" s="39"/>
      <c r="U4257" s="39"/>
    </row>
    <row r="4258">
      <c r="A4258" s="40">
        <f t="shared" si="1"/>
        <v>46006</v>
      </c>
      <c r="B4258" s="37" t="str">
        <f t="array" ref="B4258">iferror(xlookup($I4258, 'IMPORT VHC Report'!$E:$E, 'IMPORT VHC Report'!$A:$C), )</f>
        <v/>
      </c>
      <c r="C4258" s="37"/>
      <c r="D4258" s="37"/>
      <c r="E4258" s="38" t="s">
        <v>5113</v>
      </c>
      <c r="F4258" s="38" t="s">
        <v>5095</v>
      </c>
      <c r="G4258" s="38">
        <v>9.586408388239E12</v>
      </c>
      <c r="H4258" s="38" t="s">
        <v>5096</v>
      </c>
      <c r="I4258" s="38" t="s">
        <v>5097</v>
      </c>
      <c r="J4258" s="38" t="s">
        <v>132</v>
      </c>
      <c r="K4258" s="38" t="s">
        <v>126</v>
      </c>
      <c r="L4258" s="41">
        <v>46008.895833333336</v>
      </c>
      <c r="M4258" s="38" t="s">
        <v>123</v>
      </c>
      <c r="N4258" s="41">
        <v>46008.9375</v>
      </c>
      <c r="O4258" s="38" t="s">
        <v>123</v>
      </c>
      <c r="P4258" s="38">
        <v>3600.0</v>
      </c>
      <c r="Q4258" s="39"/>
      <c r="R4258" s="39"/>
      <c r="S4258" s="38" t="s">
        <v>5114</v>
      </c>
      <c r="T4258" s="39"/>
      <c r="U4258" s="39"/>
    </row>
    <row r="4259">
      <c r="A4259" s="40">
        <f t="shared" si="1"/>
        <v>46006</v>
      </c>
      <c r="B4259" s="37" t="str">
        <f t="array" ref="B4259">iferror(xlookup($I4259, 'IMPORT VHC Report'!$E:$E, 'IMPORT VHC Report'!$A:$C), )</f>
        <v/>
      </c>
      <c r="C4259" s="37"/>
      <c r="D4259" s="37"/>
      <c r="E4259" s="38" t="s">
        <v>5115</v>
      </c>
      <c r="F4259" s="38" t="s">
        <v>5095</v>
      </c>
      <c r="G4259" s="38">
        <v>9.586408388239E12</v>
      </c>
      <c r="H4259" s="38" t="s">
        <v>5096</v>
      </c>
      <c r="I4259" s="38" t="s">
        <v>5097</v>
      </c>
      <c r="J4259" s="38" t="s">
        <v>134</v>
      </c>
      <c r="K4259" s="38" t="s">
        <v>126</v>
      </c>
      <c r="L4259" s="41">
        <v>46009.010416666664</v>
      </c>
      <c r="M4259" s="38" t="s">
        <v>123</v>
      </c>
      <c r="N4259" s="41">
        <v>46009.03125</v>
      </c>
      <c r="O4259" s="38" t="s">
        <v>123</v>
      </c>
      <c r="P4259" s="38">
        <v>1800.0</v>
      </c>
      <c r="Q4259" s="39"/>
      <c r="R4259" s="39"/>
      <c r="S4259" s="39"/>
      <c r="T4259" s="39"/>
      <c r="U4259" s="39"/>
    </row>
    <row r="4260">
      <c r="A4260" s="40">
        <f t="shared" si="1"/>
        <v>46006</v>
      </c>
      <c r="B4260" s="37" t="str">
        <f t="array" ref="B4260">iferror(xlookup($I4260, 'IMPORT VHC Report'!$E:$E, 'IMPORT VHC Report'!$A:$C), )</f>
        <v/>
      </c>
      <c r="C4260" s="37"/>
      <c r="D4260" s="37"/>
      <c r="E4260" s="38" t="s">
        <v>5116</v>
      </c>
      <c r="F4260" s="38" t="s">
        <v>5095</v>
      </c>
      <c r="G4260" s="38">
        <v>9.586408388239E12</v>
      </c>
      <c r="H4260" s="38" t="s">
        <v>5096</v>
      </c>
      <c r="I4260" s="38" t="s">
        <v>5097</v>
      </c>
      <c r="J4260" s="38" t="s">
        <v>125</v>
      </c>
      <c r="K4260" s="38" t="s">
        <v>126</v>
      </c>
      <c r="L4260" s="41">
        <v>46009.75</v>
      </c>
      <c r="M4260" s="38" t="s">
        <v>123</v>
      </c>
      <c r="N4260" s="41">
        <v>46009.760416666664</v>
      </c>
      <c r="O4260" s="38" t="s">
        <v>123</v>
      </c>
      <c r="P4260" s="38">
        <v>900.0</v>
      </c>
      <c r="Q4260" s="39"/>
      <c r="R4260" s="39"/>
      <c r="S4260" s="38" t="s">
        <v>199</v>
      </c>
      <c r="T4260" s="39"/>
      <c r="U4260" s="39"/>
    </row>
    <row r="4261">
      <c r="A4261" s="40">
        <f t="shared" si="1"/>
        <v>46006</v>
      </c>
      <c r="B4261" s="37" t="str">
        <f t="array" ref="B4261">iferror(xlookup($I4261, 'IMPORT VHC Report'!$E:$E, 'IMPORT VHC Report'!$A:$C), )</f>
        <v/>
      </c>
      <c r="C4261" s="37"/>
      <c r="D4261" s="37"/>
      <c r="E4261" s="38" t="s">
        <v>5117</v>
      </c>
      <c r="F4261" s="38" t="s">
        <v>5095</v>
      </c>
      <c r="G4261" s="38">
        <v>9.586408388239E12</v>
      </c>
      <c r="H4261" s="38" t="s">
        <v>5096</v>
      </c>
      <c r="I4261" s="38" t="s">
        <v>5097</v>
      </c>
      <c r="J4261" s="38" t="s">
        <v>196</v>
      </c>
      <c r="K4261" s="38" t="s">
        <v>63</v>
      </c>
      <c r="L4261" s="41">
        <v>46009.75</v>
      </c>
      <c r="M4261" s="38" t="s">
        <v>123</v>
      </c>
      <c r="N4261" s="41">
        <v>46010.125</v>
      </c>
      <c r="O4261" s="38" t="s">
        <v>123</v>
      </c>
      <c r="P4261" s="38">
        <v>32400.0</v>
      </c>
      <c r="Q4261" s="39"/>
      <c r="R4261" s="39"/>
      <c r="S4261" s="39"/>
      <c r="T4261" s="39"/>
      <c r="U4261" s="39"/>
    </row>
    <row r="4262">
      <c r="A4262" s="40">
        <f t="shared" si="1"/>
        <v>46006</v>
      </c>
      <c r="B4262" s="37" t="str">
        <f t="array" ref="B4262">iferror(xlookup($I4262, 'IMPORT VHC Report'!$E:$E, 'IMPORT VHC Report'!$A:$C), )</f>
        <v/>
      </c>
      <c r="C4262" s="37"/>
      <c r="D4262" s="37"/>
      <c r="E4262" s="38" t="s">
        <v>5118</v>
      </c>
      <c r="F4262" s="38" t="s">
        <v>5095</v>
      </c>
      <c r="G4262" s="38">
        <v>9.586408388239E12</v>
      </c>
      <c r="H4262" s="38" t="s">
        <v>5096</v>
      </c>
      <c r="I4262" s="38" t="s">
        <v>5097</v>
      </c>
      <c r="J4262" s="38" t="s">
        <v>134</v>
      </c>
      <c r="K4262" s="38" t="s">
        <v>126</v>
      </c>
      <c r="L4262" s="41">
        <v>46009.854166666664</v>
      </c>
      <c r="M4262" s="38" t="s">
        <v>123</v>
      </c>
      <c r="N4262" s="41">
        <v>46009.875</v>
      </c>
      <c r="O4262" s="38" t="s">
        <v>123</v>
      </c>
      <c r="P4262" s="38">
        <v>1800.0</v>
      </c>
      <c r="Q4262" s="39"/>
      <c r="R4262" s="39"/>
      <c r="S4262" s="39"/>
      <c r="T4262" s="39"/>
      <c r="U4262" s="39"/>
    </row>
    <row r="4263">
      <c r="A4263" s="40">
        <f t="shared" si="1"/>
        <v>46006</v>
      </c>
      <c r="B4263" s="37" t="str">
        <f t="array" ref="B4263">iferror(xlookup($I4263, 'IMPORT VHC Report'!$E:$E, 'IMPORT VHC Report'!$A:$C), )</f>
        <v/>
      </c>
      <c r="C4263" s="37"/>
      <c r="D4263" s="37"/>
      <c r="E4263" s="38" t="s">
        <v>5119</v>
      </c>
      <c r="F4263" s="38" t="s">
        <v>5095</v>
      </c>
      <c r="G4263" s="38">
        <v>9.586408388239E12</v>
      </c>
      <c r="H4263" s="38" t="s">
        <v>5096</v>
      </c>
      <c r="I4263" s="38" t="s">
        <v>5097</v>
      </c>
      <c r="J4263" s="38" t="s">
        <v>132</v>
      </c>
      <c r="K4263" s="38" t="s">
        <v>126</v>
      </c>
      <c r="L4263" s="41">
        <v>46010.0</v>
      </c>
      <c r="M4263" s="38" t="s">
        <v>123</v>
      </c>
      <c r="N4263" s="41">
        <v>46010.041666666664</v>
      </c>
      <c r="O4263" s="38" t="s">
        <v>123</v>
      </c>
      <c r="P4263" s="38">
        <v>3600.0</v>
      </c>
      <c r="Q4263" s="39"/>
      <c r="R4263" s="39"/>
      <c r="S4263" s="39"/>
      <c r="T4263" s="39"/>
      <c r="U4263" s="39"/>
    </row>
    <row r="4264">
      <c r="A4264" s="40">
        <f t="shared" si="1"/>
        <v>46006</v>
      </c>
      <c r="B4264" s="37" t="str">
        <f t="array" ref="B4264">iferror(xlookup($I4264, 'IMPORT VHC Report'!$E:$E, 'IMPORT VHC Report'!$A:$C), )</f>
        <v/>
      </c>
      <c r="C4264" s="37"/>
      <c r="D4264" s="37"/>
      <c r="E4264" s="38" t="s">
        <v>5120</v>
      </c>
      <c r="F4264" s="38" t="s">
        <v>5095</v>
      </c>
      <c r="G4264" s="38">
        <v>9.586408388239E12</v>
      </c>
      <c r="H4264" s="38" t="s">
        <v>5096</v>
      </c>
      <c r="I4264" s="38" t="s">
        <v>5097</v>
      </c>
      <c r="J4264" s="38" t="s">
        <v>125</v>
      </c>
      <c r="K4264" s="38" t="s">
        <v>126</v>
      </c>
      <c r="L4264" s="41">
        <v>46010.75</v>
      </c>
      <c r="M4264" s="38" t="s">
        <v>123</v>
      </c>
      <c r="N4264" s="41">
        <v>46010.760416666664</v>
      </c>
      <c r="O4264" s="38" t="s">
        <v>123</v>
      </c>
      <c r="P4264" s="38">
        <v>900.0</v>
      </c>
      <c r="Q4264" s="39"/>
      <c r="R4264" s="39"/>
      <c r="S4264" s="38" t="s">
        <v>199</v>
      </c>
      <c r="T4264" s="39"/>
      <c r="U4264" s="39"/>
    </row>
    <row r="4265">
      <c r="A4265" s="40">
        <f t="shared" si="1"/>
        <v>46006</v>
      </c>
      <c r="B4265" s="37" t="str">
        <f t="array" ref="B4265">iferror(xlookup($I4265, 'IMPORT VHC Report'!$E:$E, 'IMPORT VHC Report'!$A:$C), )</f>
        <v/>
      </c>
      <c r="C4265" s="37"/>
      <c r="D4265" s="37"/>
      <c r="E4265" s="38" t="s">
        <v>5121</v>
      </c>
      <c r="F4265" s="38" t="s">
        <v>5095</v>
      </c>
      <c r="G4265" s="38">
        <v>9.586408388239E12</v>
      </c>
      <c r="H4265" s="38" t="s">
        <v>5096</v>
      </c>
      <c r="I4265" s="38" t="s">
        <v>5097</v>
      </c>
      <c r="J4265" s="38" t="s">
        <v>196</v>
      </c>
      <c r="K4265" s="38" t="s">
        <v>63</v>
      </c>
      <c r="L4265" s="41">
        <v>46010.75</v>
      </c>
      <c r="M4265" s="38" t="s">
        <v>123</v>
      </c>
      <c r="N4265" s="41">
        <v>46011.125</v>
      </c>
      <c r="O4265" s="38" t="s">
        <v>123</v>
      </c>
      <c r="P4265" s="38">
        <v>32400.0</v>
      </c>
      <c r="Q4265" s="39"/>
      <c r="R4265" s="39"/>
      <c r="S4265" s="39"/>
      <c r="T4265" s="39"/>
      <c r="U4265" s="39"/>
    </row>
    <row r="4266">
      <c r="A4266" s="40">
        <f t="shared" si="1"/>
        <v>46006</v>
      </c>
      <c r="B4266" s="37" t="str">
        <f t="array" ref="B4266">iferror(xlookup($I4266, 'IMPORT VHC Report'!$E:$E, 'IMPORT VHC Report'!$A:$C), )</f>
        <v/>
      </c>
      <c r="C4266" s="37"/>
      <c r="D4266" s="37"/>
      <c r="E4266" s="38" t="s">
        <v>5122</v>
      </c>
      <c r="F4266" s="38" t="s">
        <v>5095</v>
      </c>
      <c r="G4266" s="38">
        <v>9.586408388239E12</v>
      </c>
      <c r="H4266" s="38" t="s">
        <v>5096</v>
      </c>
      <c r="I4266" s="38" t="s">
        <v>5097</v>
      </c>
      <c r="J4266" s="38" t="s">
        <v>125</v>
      </c>
      <c r="K4266" s="38" t="s">
        <v>126</v>
      </c>
      <c r="L4266" s="41">
        <v>46010.813888888886</v>
      </c>
      <c r="M4266" s="38" t="s">
        <v>123</v>
      </c>
      <c r="N4266" s="41">
        <v>46010.81458333333</v>
      </c>
      <c r="O4266" s="38" t="s">
        <v>123</v>
      </c>
      <c r="P4266" s="38">
        <v>60.0</v>
      </c>
      <c r="Q4266" s="39"/>
      <c r="R4266" s="39"/>
      <c r="S4266" s="38" t="s">
        <v>5123</v>
      </c>
      <c r="T4266" s="39"/>
      <c r="U4266" s="39"/>
    </row>
    <row r="4267">
      <c r="A4267" s="40">
        <f t="shared" si="1"/>
        <v>46006</v>
      </c>
      <c r="B4267" s="37" t="str">
        <f t="array" ref="B4267">iferror(xlookup($I4267, 'IMPORT VHC Report'!$E:$E, 'IMPORT VHC Report'!$A:$C), )</f>
        <v/>
      </c>
      <c r="C4267" s="37"/>
      <c r="D4267" s="37"/>
      <c r="E4267" s="38" t="s">
        <v>5124</v>
      </c>
      <c r="F4267" s="38" t="s">
        <v>5095</v>
      </c>
      <c r="G4267" s="38">
        <v>9.586408388239E12</v>
      </c>
      <c r="H4267" s="38" t="s">
        <v>5096</v>
      </c>
      <c r="I4267" s="38" t="s">
        <v>5097</v>
      </c>
      <c r="J4267" s="38" t="s">
        <v>125</v>
      </c>
      <c r="K4267" s="38" t="s">
        <v>126</v>
      </c>
      <c r="L4267" s="41">
        <v>46010.89513888889</v>
      </c>
      <c r="M4267" s="38" t="s">
        <v>123</v>
      </c>
      <c r="N4267" s="41">
        <v>46010.89722222222</v>
      </c>
      <c r="O4267" s="38" t="s">
        <v>123</v>
      </c>
      <c r="P4267" s="38">
        <v>180.0</v>
      </c>
      <c r="Q4267" s="39"/>
      <c r="R4267" s="39"/>
      <c r="S4267" s="38" t="s">
        <v>5125</v>
      </c>
      <c r="T4267" s="39"/>
      <c r="U4267" s="39"/>
    </row>
    <row r="4268">
      <c r="A4268" s="40">
        <f t="shared" si="1"/>
        <v>46006</v>
      </c>
      <c r="B4268" s="37" t="str">
        <f t="array" ref="B4268">iferror(xlookup($I4268, 'IMPORT VHC Report'!$E:$E, 'IMPORT VHC Report'!$A:$C), )</f>
        <v/>
      </c>
      <c r="C4268" s="37"/>
      <c r="D4268" s="37"/>
      <c r="E4268" s="38" t="s">
        <v>5126</v>
      </c>
      <c r="F4268" s="38" t="s">
        <v>5095</v>
      </c>
      <c r="G4268" s="38">
        <v>9.586408388239E12</v>
      </c>
      <c r="H4268" s="38" t="s">
        <v>5096</v>
      </c>
      <c r="I4268" s="38" t="s">
        <v>5097</v>
      </c>
      <c r="J4268" s="38" t="s">
        <v>134</v>
      </c>
      <c r="K4268" s="38" t="s">
        <v>126</v>
      </c>
      <c r="L4268" s="41">
        <v>46010.958333333336</v>
      </c>
      <c r="M4268" s="38" t="s">
        <v>123</v>
      </c>
      <c r="N4268" s="41">
        <v>46010.979166666664</v>
      </c>
      <c r="O4268" s="38" t="s">
        <v>123</v>
      </c>
      <c r="P4268" s="38">
        <v>1800.0</v>
      </c>
      <c r="Q4268" s="39"/>
      <c r="R4268" s="39"/>
      <c r="S4268" s="39"/>
      <c r="T4268" s="39"/>
      <c r="U4268" s="39"/>
    </row>
    <row r="4269">
      <c r="A4269" s="40">
        <f t="shared" si="1"/>
        <v>46006</v>
      </c>
      <c r="B4269" s="37" t="str">
        <f t="array" ref="B4269">iferror(xlookup($I4269, 'IMPORT VHC Report'!$E:$E, 'IMPORT VHC Report'!$A:$C), )</f>
        <v/>
      </c>
      <c r="C4269" s="37"/>
      <c r="D4269" s="37"/>
      <c r="E4269" s="38" t="s">
        <v>5127</v>
      </c>
      <c r="F4269" s="38" t="s">
        <v>5095</v>
      </c>
      <c r="G4269" s="38">
        <v>9.586408388239E12</v>
      </c>
      <c r="H4269" s="38" t="s">
        <v>5096</v>
      </c>
      <c r="I4269" s="38" t="s">
        <v>5097</v>
      </c>
      <c r="J4269" s="38" t="s">
        <v>132</v>
      </c>
      <c r="K4269" s="38" t="s">
        <v>126</v>
      </c>
      <c r="L4269" s="41">
        <v>46010.979166666664</v>
      </c>
      <c r="M4269" s="38" t="s">
        <v>123</v>
      </c>
      <c r="N4269" s="41">
        <v>46011.020833333336</v>
      </c>
      <c r="O4269" s="38" t="s">
        <v>123</v>
      </c>
      <c r="P4269" s="38">
        <v>3600.0</v>
      </c>
      <c r="Q4269" s="39"/>
      <c r="R4269" s="39"/>
      <c r="S4269" s="39"/>
      <c r="T4269" s="39"/>
      <c r="U4269" s="39"/>
    </row>
    <row r="4270">
      <c r="A4270" s="40">
        <f t="shared" si="1"/>
        <v>46006</v>
      </c>
      <c r="B4270" s="37" t="str">
        <f t="array" ref="B4270">iferror(xlookup($I4270, 'IMPORT VHC Report'!$E:$E, 'IMPORT VHC Report'!$A:$C), )</f>
        <v/>
      </c>
      <c r="C4270" s="37"/>
      <c r="D4270" s="37"/>
      <c r="E4270" s="38" t="s">
        <v>5128</v>
      </c>
      <c r="F4270" s="38" t="s">
        <v>5129</v>
      </c>
      <c r="G4270" s="38">
        <v>1.1035324543247E13</v>
      </c>
      <c r="H4270" s="38" t="s">
        <v>5130</v>
      </c>
      <c r="I4270" s="38" t="s">
        <v>5131</v>
      </c>
      <c r="J4270" s="38" t="s">
        <v>985</v>
      </c>
      <c r="K4270" s="38" t="s">
        <v>63</v>
      </c>
      <c r="L4270" s="41">
        <v>46006.791666666664</v>
      </c>
      <c r="M4270" s="38" t="s">
        <v>123</v>
      </c>
      <c r="N4270" s="41">
        <v>46006.958333333336</v>
      </c>
      <c r="O4270" s="38" t="s">
        <v>123</v>
      </c>
      <c r="P4270" s="38">
        <v>14400.0</v>
      </c>
      <c r="Q4270" s="39"/>
      <c r="R4270" s="39"/>
      <c r="S4270" s="39"/>
      <c r="T4270" s="39"/>
      <c r="U4270" s="39"/>
    </row>
    <row r="4271">
      <c r="A4271" s="40">
        <f t="shared" si="1"/>
        <v>46006</v>
      </c>
      <c r="B4271" s="37" t="str">
        <f t="array" ref="B4271">iferror(xlookup($I4271, 'IMPORT VHC Report'!$E:$E, 'IMPORT VHC Report'!$A:$C), )</f>
        <v/>
      </c>
      <c r="C4271" s="37"/>
      <c r="D4271" s="37"/>
      <c r="E4271" s="38" t="s">
        <v>5132</v>
      </c>
      <c r="F4271" s="38" t="s">
        <v>5129</v>
      </c>
      <c r="G4271" s="38">
        <v>1.1035324543247E13</v>
      </c>
      <c r="H4271" s="38" t="s">
        <v>5130</v>
      </c>
      <c r="I4271" s="38" t="s">
        <v>5131</v>
      </c>
      <c r="J4271" s="38" t="s">
        <v>224</v>
      </c>
      <c r="K4271" s="38" t="s">
        <v>63</v>
      </c>
      <c r="L4271" s="41">
        <v>46007.875</v>
      </c>
      <c r="M4271" s="38" t="s">
        <v>123</v>
      </c>
      <c r="N4271" s="41">
        <v>46007.958333333336</v>
      </c>
      <c r="O4271" s="38" t="s">
        <v>123</v>
      </c>
      <c r="P4271" s="38">
        <v>7200.0</v>
      </c>
      <c r="Q4271" s="39"/>
      <c r="R4271" s="39"/>
      <c r="S4271" s="39"/>
      <c r="T4271" s="39"/>
      <c r="U4271" s="39"/>
    </row>
    <row r="4272">
      <c r="A4272" s="40">
        <f t="shared" si="1"/>
        <v>46006</v>
      </c>
      <c r="B4272" s="37" t="str">
        <f t="array" ref="B4272">iferror(xlookup($I4272, 'IMPORT VHC Report'!$E:$E, 'IMPORT VHC Report'!$A:$C), )</f>
        <v/>
      </c>
      <c r="C4272" s="37"/>
      <c r="D4272" s="37"/>
      <c r="E4272" s="38" t="s">
        <v>5133</v>
      </c>
      <c r="F4272" s="38" t="s">
        <v>5129</v>
      </c>
      <c r="G4272" s="38">
        <v>1.1035324543247E13</v>
      </c>
      <c r="H4272" s="38" t="s">
        <v>5130</v>
      </c>
      <c r="I4272" s="38" t="s">
        <v>5131</v>
      </c>
      <c r="J4272" s="38" t="s">
        <v>134</v>
      </c>
      <c r="K4272" s="38" t="s">
        <v>126</v>
      </c>
      <c r="L4272" s="41">
        <v>46007.958333333336</v>
      </c>
      <c r="M4272" s="38" t="s">
        <v>123</v>
      </c>
      <c r="N4272" s="41">
        <v>46007.96875</v>
      </c>
      <c r="O4272" s="38" t="s">
        <v>123</v>
      </c>
      <c r="P4272" s="38">
        <v>900.0</v>
      </c>
      <c r="Q4272" s="39"/>
      <c r="R4272" s="39"/>
      <c r="S4272" s="39"/>
      <c r="T4272" s="39"/>
      <c r="U4272" s="39"/>
    </row>
    <row r="4273">
      <c r="A4273" s="40">
        <f t="shared" si="1"/>
        <v>46006</v>
      </c>
      <c r="B4273" s="37" t="str">
        <f t="array" ref="B4273">iferror(xlookup($I4273, 'IMPORT VHC Report'!$E:$E, 'IMPORT VHC Report'!$A:$C), )</f>
        <v/>
      </c>
      <c r="C4273" s="37"/>
      <c r="D4273" s="37"/>
      <c r="E4273" s="38" t="s">
        <v>5134</v>
      </c>
      <c r="F4273" s="38" t="s">
        <v>5129</v>
      </c>
      <c r="G4273" s="38">
        <v>1.1035324543247E13</v>
      </c>
      <c r="H4273" s="38" t="s">
        <v>5130</v>
      </c>
      <c r="I4273" s="38" t="s">
        <v>5131</v>
      </c>
      <c r="J4273" s="38" t="s">
        <v>224</v>
      </c>
      <c r="K4273" s="38" t="s">
        <v>63</v>
      </c>
      <c r="L4273" s="41">
        <v>46007.96875</v>
      </c>
      <c r="M4273" s="38" t="s">
        <v>123</v>
      </c>
      <c r="N4273" s="41">
        <v>46008.072916666664</v>
      </c>
      <c r="O4273" s="38" t="s">
        <v>123</v>
      </c>
      <c r="P4273" s="38">
        <v>9000.0</v>
      </c>
      <c r="Q4273" s="39"/>
      <c r="R4273" s="39"/>
      <c r="S4273" s="39"/>
      <c r="T4273" s="39"/>
      <c r="U4273" s="39"/>
    </row>
    <row r="4274">
      <c r="A4274" s="40">
        <f t="shared" si="1"/>
        <v>46006</v>
      </c>
      <c r="B4274" s="37" t="str">
        <f t="array" ref="B4274">iferror(xlookup($I4274, 'IMPORT VHC Report'!$E:$E, 'IMPORT VHC Report'!$A:$C), )</f>
        <v/>
      </c>
      <c r="C4274" s="37"/>
      <c r="D4274" s="37"/>
      <c r="E4274" s="38" t="s">
        <v>5135</v>
      </c>
      <c r="F4274" s="38" t="s">
        <v>5129</v>
      </c>
      <c r="G4274" s="38">
        <v>1.1035324543247E13</v>
      </c>
      <c r="H4274" s="38" t="s">
        <v>5130</v>
      </c>
      <c r="I4274" s="38" t="s">
        <v>5131</v>
      </c>
      <c r="J4274" s="38" t="s">
        <v>134</v>
      </c>
      <c r="K4274" s="38" t="s">
        <v>126</v>
      </c>
      <c r="L4274" s="41">
        <v>46008.072916666664</v>
      </c>
      <c r="M4274" s="38" t="s">
        <v>123</v>
      </c>
      <c r="N4274" s="41">
        <v>46008.083333333336</v>
      </c>
      <c r="O4274" s="38" t="s">
        <v>123</v>
      </c>
      <c r="P4274" s="38">
        <v>900.0</v>
      </c>
      <c r="Q4274" s="39"/>
      <c r="R4274" s="39"/>
      <c r="S4274" s="39"/>
      <c r="T4274" s="39"/>
      <c r="U4274" s="39"/>
    </row>
    <row r="4275">
      <c r="A4275" s="40">
        <f t="shared" si="1"/>
        <v>46006</v>
      </c>
      <c r="B4275" s="37" t="str">
        <f t="array" ref="B4275">iferror(xlookup($I4275, 'IMPORT VHC Report'!$E:$E, 'IMPORT VHC Report'!$A:$C), )</f>
        <v/>
      </c>
      <c r="C4275" s="37"/>
      <c r="D4275" s="37"/>
      <c r="E4275" s="38" t="s">
        <v>5136</v>
      </c>
      <c r="F4275" s="38" t="s">
        <v>5129</v>
      </c>
      <c r="G4275" s="38">
        <v>1.1035324543247E13</v>
      </c>
      <c r="H4275" s="38" t="s">
        <v>5130</v>
      </c>
      <c r="I4275" s="38" t="s">
        <v>5131</v>
      </c>
      <c r="J4275" s="38" t="s">
        <v>224</v>
      </c>
      <c r="K4275" s="38" t="s">
        <v>63</v>
      </c>
      <c r="L4275" s="41">
        <v>46008.083333333336</v>
      </c>
      <c r="M4275" s="38" t="s">
        <v>123</v>
      </c>
      <c r="N4275" s="41">
        <v>46008.145833333336</v>
      </c>
      <c r="O4275" s="38" t="s">
        <v>123</v>
      </c>
      <c r="P4275" s="38">
        <v>5400.0</v>
      </c>
      <c r="Q4275" s="39"/>
      <c r="R4275" s="39"/>
      <c r="S4275" s="39"/>
      <c r="T4275" s="39"/>
      <c r="U4275" s="39"/>
    </row>
    <row r="4276">
      <c r="A4276" s="40">
        <f t="shared" si="1"/>
        <v>46006</v>
      </c>
      <c r="B4276" s="37" t="str">
        <f t="array" ref="B4276">iferror(xlookup($I4276, 'IMPORT VHC Report'!$E:$E, 'IMPORT VHC Report'!$A:$C), )</f>
        <v/>
      </c>
      <c r="C4276" s="37"/>
      <c r="D4276" s="37"/>
      <c r="E4276" s="38" t="s">
        <v>5137</v>
      </c>
      <c r="F4276" s="38" t="s">
        <v>5129</v>
      </c>
      <c r="G4276" s="38">
        <v>1.1035324543247E13</v>
      </c>
      <c r="H4276" s="38" t="s">
        <v>5130</v>
      </c>
      <c r="I4276" s="38" t="s">
        <v>5131</v>
      </c>
      <c r="J4276" s="38" t="s">
        <v>132</v>
      </c>
      <c r="K4276" s="38" t="s">
        <v>126</v>
      </c>
      <c r="L4276" s="41">
        <v>46008.145833333336</v>
      </c>
      <c r="M4276" s="38" t="s">
        <v>123</v>
      </c>
      <c r="N4276" s="41">
        <v>46008.1875</v>
      </c>
      <c r="O4276" s="38" t="s">
        <v>123</v>
      </c>
      <c r="P4276" s="38">
        <v>3600.0</v>
      </c>
      <c r="Q4276" s="39"/>
      <c r="R4276" s="39"/>
      <c r="S4276" s="39"/>
      <c r="T4276" s="39"/>
      <c r="U4276" s="39"/>
    </row>
    <row r="4277">
      <c r="A4277" s="40">
        <f t="shared" si="1"/>
        <v>46006</v>
      </c>
      <c r="B4277" s="37" t="str">
        <f t="array" ref="B4277">iferror(xlookup($I4277, 'IMPORT VHC Report'!$E:$E, 'IMPORT VHC Report'!$A:$C), )</f>
        <v/>
      </c>
      <c r="C4277" s="37"/>
      <c r="D4277" s="37"/>
      <c r="E4277" s="38" t="s">
        <v>5138</v>
      </c>
      <c r="F4277" s="38" t="s">
        <v>5129</v>
      </c>
      <c r="G4277" s="38">
        <v>1.1035324543247E13</v>
      </c>
      <c r="H4277" s="38" t="s">
        <v>5130</v>
      </c>
      <c r="I4277" s="38" t="s">
        <v>5131</v>
      </c>
      <c r="J4277" s="38" t="s">
        <v>224</v>
      </c>
      <c r="K4277" s="38" t="s">
        <v>63</v>
      </c>
      <c r="L4277" s="41">
        <v>46008.1875</v>
      </c>
      <c r="M4277" s="38" t="s">
        <v>123</v>
      </c>
      <c r="N4277" s="41">
        <v>46008.25</v>
      </c>
      <c r="O4277" s="38" t="s">
        <v>123</v>
      </c>
      <c r="P4277" s="38">
        <v>5400.0</v>
      </c>
      <c r="Q4277" s="39"/>
      <c r="R4277" s="39"/>
      <c r="S4277" s="39"/>
      <c r="T4277" s="39"/>
      <c r="U4277" s="39"/>
    </row>
    <row r="4278">
      <c r="A4278" s="40">
        <f t="shared" si="1"/>
        <v>46006</v>
      </c>
      <c r="B4278" s="37" t="str">
        <f t="array" ref="B4278">iferror(xlookup($I4278, 'IMPORT VHC Report'!$E:$E, 'IMPORT VHC Report'!$A:$C), )</f>
        <v/>
      </c>
      <c r="C4278" s="37"/>
      <c r="D4278" s="37"/>
      <c r="E4278" s="38" t="s">
        <v>5139</v>
      </c>
      <c r="F4278" s="38" t="s">
        <v>5129</v>
      </c>
      <c r="G4278" s="38">
        <v>1.1035324543247E13</v>
      </c>
      <c r="H4278" s="38" t="s">
        <v>5130</v>
      </c>
      <c r="I4278" s="38" t="s">
        <v>5131</v>
      </c>
      <c r="J4278" s="38" t="s">
        <v>224</v>
      </c>
      <c r="K4278" s="38" t="s">
        <v>63</v>
      </c>
      <c r="L4278" s="41">
        <v>46008.875</v>
      </c>
      <c r="M4278" s="38" t="s">
        <v>123</v>
      </c>
      <c r="N4278" s="41">
        <v>46008.989583333336</v>
      </c>
      <c r="O4278" s="38" t="s">
        <v>123</v>
      </c>
      <c r="P4278" s="38">
        <v>9900.0</v>
      </c>
      <c r="Q4278" s="39"/>
      <c r="R4278" s="39"/>
      <c r="S4278" s="39"/>
      <c r="T4278" s="39"/>
      <c r="U4278" s="39"/>
    </row>
    <row r="4279">
      <c r="A4279" s="40">
        <f t="shared" si="1"/>
        <v>46006</v>
      </c>
      <c r="B4279" s="37" t="str">
        <f t="array" ref="B4279">iferror(xlookup($I4279, 'IMPORT VHC Report'!$E:$E, 'IMPORT VHC Report'!$A:$C), )</f>
        <v/>
      </c>
      <c r="C4279" s="37"/>
      <c r="D4279" s="37"/>
      <c r="E4279" s="38" t="s">
        <v>5140</v>
      </c>
      <c r="F4279" s="38" t="s">
        <v>5129</v>
      </c>
      <c r="G4279" s="38">
        <v>1.1035324543247E13</v>
      </c>
      <c r="H4279" s="38" t="s">
        <v>5130</v>
      </c>
      <c r="I4279" s="38" t="s">
        <v>5131</v>
      </c>
      <c r="J4279" s="38" t="s">
        <v>132</v>
      </c>
      <c r="K4279" s="38" t="s">
        <v>126</v>
      </c>
      <c r="L4279" s="41">
        <v>46008.989583333336</v>
      </c>
      <c r="M4279" s="38" t="s">
        <v>123</v>
      </c>
      <c r="N4279" s="41">
        <v>46009.03125</v>
      </c>
      <c r="O4279" s="38" t="s">
        <v>123</v>
      </c>
      <c r="P4279" s="38">
        <v>3600.0</v>
      </c>
      <c r="Q4279" s="39"/>
      <c r="R4279" s="39"/>
      <c r="S4279" s="39"/>
      <c r="T4279" s="39"/>
      <c r="U4279" s="39"/>
    </row>
    <row r="4280">
      <c r="A4280" s="40">
        <f t="shared" si="1"/>
        <v>46006</v>
      </c>
      <c r="B4280" s="37" t="str">
        <f t="array" ref="B4280">iferror(xlookup($I4280, 'IMPORT VHC Report'!$E:$E, 'IMPORT VHC Report'!$A:$C), )</f>
        <v/>
      </c>
      <c r="C4280" s="37"/>
      <c r="D4280" s="37"/>
      <c r="E4280" s="38" t="s">
        <v>5141</v>
      </c>
      <c r="F4280" s="38" t="s">
        <v>5129</v>
      </c>
      <c r="G4280" s="38">
        <v>1.1035324543247E13</v>
      </c>
      <c r="H4280" s="38" t="s">
        <v>5130</v>
      </c>
      <c r="I4280" s="38" t="s">
        <v>5131</v>
      </c>
      <c r="J4280" s="38" t="s">
        <v>224</v>
      </c>
      <c r="K4280" s="38" t="s">
        <v>63</v>
      </c>
      <c r="L4280" s="41">
        <v>46009.03125</v>
      </c>
      <c r="M4280" s="38" t="s">
        <v>123</v>
      </c>
      <c r="N4280" s="41">
        <v>46009.09375</v>
      </c>
      <c r="O4280" s="38" t="s">
        <v>123</v>
      </c>
      <c r="P4280" s="38">
        <v>5400.0</v>
      </c>
      <c r="Q4280" s="39"/>
      <c r="R4280" s="39"/>
      <c r="S4280" s="39"/>
      <c r="T4280" s="39"/>
      <c r="U4280" s="39"/>
    </row>
    <row r="4281">
      <c r="A4281" s="40">
        <f t="shared" si="1"/>
        <v>46006</v>
      </c>
      <c r="B4281" s="37" t="str">
        <f t="array" ref="B4281">iferror(xlookup($I4281, 'IMPORT VHC Report'!$E:$E, 'IMPORT VHC Report'!$A:$C), )</f>
        <v/>
      </c>
      <c r="C4281" s="37"/>
      <c r="D4281" s="37"/>
      <c r="E4281" s="38" t="s">
        <v>5142</v>
      </c>
      <c r="F4281" s="38" t="s">
        <v>5129</v>
      </c>
      <c r="G4281" s="38">
        <v>1.1035324543247E13</v>
      </c>
      <c r="H4281" s="38" t="s">
        <v>5130</v>
      </c>
      <c r="I4281" s="38" t="s">
        <v>5131</v>
      </c>
      <c r="J4281" s="38" t="s">
        <v>134</v>
      </c>
      <c r="K4281" s="38" t="s">
        <v>126</v>
      </c>
      <c r="L4281" s="41">
        <v>46009.09375</v>
      </c>
      <c r="M4281" s="38" t="s">
        <v>123</v>
      </c>
      <c r="N4281" s="41">
        <v>46009.104166666664</v>
      </c>
      <c r="O4281" s="38" t="s">
        <v>123</v>
      </c>
      <c r="P4281" s="38">
        <v>900.0</v>
      </c>
      <c r="Q4281" s="39"/>
      <c r="R4281" s="39"/>
      <c r="S4281" s="39"/>
      <c r="T4281" s="39"/>
      <c r="U4281" s="39"/>
    </row>
    <row r="4282">
      <c r="A4282" s="40">
        <f t="shared" si="1"/>
        <v>46006</v>
      </c>
      <c r="B4282" s="37" t="str">
        <f t="array" ref="B4282">iferror(xlookup($I4282, 'IMPORT VHC Report'!$E:$E, 'IMPORT VHC Report'!$A:$C), )</f>
        <v/>
      </c>
      <c r="C4282" s="37"/>
      <c r="D4282" s="37"/>
      <c r="E4282" s="38" t="s">
        <v>5143</v>
      </c>
      <c r="F4282" s="38" t="s">
        <v>5129</v>
      </c>
      <c r="G4282" s="38">
        <v>1.1035324543247E13</v>
      </c>
      <c r="H4282" s="38" t="s">
        <v>5130</v>
      </c>
      <c r="I4282" s="38" t="s">
        <v>5131</v>
      </c>
      <c r="J4282" s="38" t="s">
        <v>224</v>
      </c>
      <c r="K4282" s="38" t="s">
        <v>63</v>
      </c>
      <c r="L4282" s="41">
        <v>46009.104166666664</v>
      </c>
      <c r="M4282" s="38" t="s">
        <v>123</v>
      </c>
      <c r="N4282" s="41">
        <v>46009.166666666664</v>
      </c>
      <c r="O4282" s="38" t="s">
        <v>123</v>
      </c>
      <c r="P4282" s="38">
        <v>5400.0</v>
      </c>
      <c r="Q4282" s="39"/>
      <c r="R4282" s="39"/>
      <c r="S4282" s="39"/>
      <c r="T4282" s="39"/>
      <c r="U4282" s="39"/>
    </row>
    <row r="4283">
      <c r="A4283" s="40">
        <f t="shared" si="1"/>
        <v>46006</v>
      </c>
      <c r="B4283" s="37" t="str">
        <f t="array" ref="B4283">iferror(xlookup($I4283, 'IMPORT VHC Report'!$E:$E, 'IMPORT VHC Report'!$A:$C), )</f>
        <v/>
      </c>
      <c r="C4283" s="37"/>
      <c r="D4283" s="37"/>
      <c r="E4283" s="38" t="s">
        <v>5144</v>
      </c>
      <c r="F4283" s="38" t="s">
        <v>5129</v>
      </c>
      <c r="G4283" s="38">
        <v>1.1035324543247E13</v>
      </c>
      <c r="H4283" s="38" t="s">
        <v>5130</v>
      </c>
      <c r="I4283" s="38" t="s">
        <v>5131</v>
      </c>
      <c r="J4283" s="38" t="s">
        <v>134</v>
      </c>
      <c r="K4283" s="38" t="s">
        <v>126</v>
      </c>
      <c r="L4283" s="41">
        <v>46009.166666666664</v>
      </c>
      <c r="M4283" s="38" t="s">
        <v>123</v>
      </c>
      <c r="N4283" s="41">
        <v>46009.177083333336</v>
      </c>
      <c r="O4283" s="38" t="s">
        <v>123</v>
      </c>
      <c r="P4283" s="38">
        <v>900.0</v>
      </c>
      <c r="Q4283" s="39"/>
      <c r="R4283" s="39"/>
      <c r="S4283" s="39"/>
      <c r="T4283" s="39"/>
      <c r="U4283" s="39"/>
    </row>
    <row r="4284">
      <c r="A4284" s="40">
        <f t="shared" si="1"/>
        <v>46006</v>
      </c>
      <c r="B4284" s="37" t="str">
        <f t="array" ref="B4284">iferror(xlookup($I4284, 'IMPORT VHC Report'!$E:$E, 'IMPORT VHC Report'!$A:$C), )</f>
        <v/>
      </c>
      <c r="C4284" s="37"/>
      <c r="D4284" s="37"/>
      <c r="E4284" s="38" t="s">
        <v>5145</v>
      </c>
      <c r="F4284" s="38" t="s">
        <v>5129</v>
      </c>
      <c r="G4284" s="38">
        <v>1.1035324543247E13</v>
      </c>
      <c r="H4284" s="38" t="s">
        <v>5130</v>
      </c>
      <c r="I4284" s="38" t="s">
        <v>5131</v>
      </c>
      <c r="J4284" s="38" t="s">
        <v>224</v>
      </c>
      <c r="K4284" s="38" t="s">
        <v>63</v>
      </c>
      <c r="L4284" s="41">
        <v>46009.177083333336</v>
      </c>
      <c r="M4284" s="38" t="s">
        <v>123</v>
      </c>
      <c r="N4284" s="41">
        <v>46009.25</v>
      </c>
      <c r="O4284" s="38" t="s">
        <v>123</v>
      </c>
      <c r="P4284" s="38">
        <v>6300.0</v>
      </c>
      <c r="Q4284" s="39"/>
      <c r="R4284" s="39"/>
      <c r="S4284" s="39"/>
      <c r="T4284" s="39"/>
      <c r="U4284" s="39"/>
    </row>
    <row r="4285">
      <c r="A4285" s="40">
        <f t="shared" si="1"/>
        <v>46006</v>
      </c>
      <c r="B4285" s="37" t="str">
        <f t="array" ref="B4285">iferror(xlookup($I4285, 'IMPORT VHC Report'!$E:$E, 'IMPORT VHC Report'!$A:$C), )</f>
        <v/>
      </c>
      <c r="C4285" s="37"/>
      <c r="D4285" s="37"/>
      <c r="E4285" s="38" t="s">
        <v>5146</v>
      </c>
      <c r="F4285" s="38" t="s">
        <v>5129</v>
      </c>
      <c r="G4285" s="38">
        <v>1.1035324543247E13</v>
      </c>
      <c r="H4285" s="38" t="s">
        <v>5130</v>
      </c>
      <c r="I4285" s="38" t="s">
        <v>5131</v>
      </c>
      <c r="J4285" s="38" t="s">
        <v>224</v>
      </c>
      <c r="K4285" s="38" t="s">
        <v>63</v>
      </c>
      <c r="L4285" s="41">
        <v>46009.875</v>
      </c>
      <c r="M4285" s="38" t="s">
        <v>123</v>
      </c>
      <c r="N4285" s="41">
        <v>46009.979166666664</v>
      </c>
      <c r="O4285" s="38" t="s">
        <v>123</v>
      </c>
      <c r="P4285" s="38">
        <v>9000.0</v>
      </c>
      <c r="Q4285" s="39"/>
      <c r="R4285" s="39"/>
      <c r="S4285" s="39"/>
      <c r="T4285" s="39"/>
      <c r="U4285" s="39"/>
    </row>
    <row r="4286">
      <c r="A4286" s="40">
        <f t="shared" si="1"/>
        <v>46006</v>
      </c>
      <c r="B4286" s="37" t="str">
        <f t="array" ref="B4286">iferror(xlookup($I4286, 'IMPORT VHC Report'!$E:$E, 'IMPORT VHC Report'!$A:$C), )</f>
        <v/>
      </c>
      <c r="C4286" s="37"/>
      <c r="D4286" s="37"/>
      <c r="E4286" s="38" t="s">
        <v>5147</v>
      </c>
      <c r="F4286" s="38" t="s">
        <v>5129</v>
      </c>
      <c r="G4286" s="38">
        <v>1.1035324543247E13</v>
      </c>
      <c r="H4286" s="38" t="s">
        <v>5130</v>
      </c>
      <c r="I4286" s="38" t="s">
        <v>5131</v>
      </c>
      <c r="J4286" s="38" t="s">
        <v>224</v>
      </c>
      <c r="K4286" s="38" t="s">
        <v>63</v>
      </c>
      <c r="L4286" s="41">
        <v>46009.979166666664</v>
      </c>
      <c r="M4286" s="38" t="s">
        <v>123</v>
      </c>
      <c r="N4286" s="41">
        <v>46009.989583333336</v>
      </c>
      <c r="O4286" s="38" t="s">
        <v>123</v>
      </c>
      <c r="P4286" s="38">
        <v>900.0</v>
      </c>
      <c r="Q4286" s="39"/>
      <c r="R4286" s="39"/>
      <c r="S4286" s="39"/>
      <c r="T4286" s="39"/>
      <c r="U4286" s="39"/>
    </row>
    <row r="4287">
      <c r="A4287" s="40">
        <f t="shared" si="1"/>
        <v>46006</v>
      </c>
      <c r="B4287" s="37" t="str">
        <f t="array" ref="B4287">iferror(xlookup($I4287, 'IMPORT VHC Report'!$E:$E, 'IMPORT VHC Report'!$A:$C), )</f>
        <v/>
      </c>
      <c r="C4287" s="37"/>
      <c r="D4287" s="37"/>
      <c r="E4287" s="38" t="s">
        <v>5148</v>
      </c>
      <c r="F4287" s="38" t="s">
        <v>5129</v>
      </c>
      <c r="G4287" s="38">
        <v>1.1035324543247E13</v>
      </c>
      <c r="H4287" s="38" t="s">
        <v>5130</v>
      </c>
      <c r="I4287" s="38" t="s">
        <v>5131</v>
      </c>
      <c r="J4287" s="38" t="s">
        <v>134</v>
      </c>
      <c r="K4287" s="38" t="s">
        <v>126</v>
      </c>
      <c r="L4287" s="41">
        <v>46009.979166666664</v>
      </c>
      <c r="M4287" s="38" t="s">
        <v>123</v>
      </c>
      <c r="N4287" s="41">
        <v>46009.989583333336</v>
      </c>
      <c r="O4287" s="38" t="s">
        <v>123</v>
      </c>
      <c r="P4287" s="38">
        <v>900.0</v>
      </c>
      <c r="Q4287" s="39"/>
      <c r="R4287" s="39"/>
      <c r="S4287" s="39"/>
      <c r="T4287" s="39"/>
      <c r="U4287" s="39"/>
    </row>
    <row r="4288">
      <c r="A4288" s="40">
        <f t="shared" si="1"/>
        <v>46006</v>
      </c>
      <c r="B4288" s="37" t="str">
        <f t="array" ref="B4288">iferror(xlookup($I4288, 'IMPORT VHC Report'!$E:$E, 'IMPORT VHC Report'!$A:$C), )</f>
        <v/>
      </c>
      <c r="C4288" s="37"/>
      <c r="D4288" s="37"/>
      <c r="E4288" s="38" t="s">
        <v>5149</v>
      </c>
      <c r="F4288" s="38" t="s">
        <v>5129</v>
      </c>
      <c r="G4288" s="38">
        <v>1.1035324543247E13</v>
      </c>
      <c r="H4288" s="38" t="s">
        <v>5130</v>
      </c>
      <c r="I4288" s="38" t="s">
        <v>5131</v>
      </c>
      <c r="J4288" s="38" t="s">
        <v>62</v>
      </c>
      <c r="K4288" s="38" t="s">
        <v>63</v>
      </c>
      <c r="L4288" s="41">
        <v>46009.989583333336</v>
      </c>
      <c r="M4288" s="38" t="s">
        <v>123</v>
      </c>
      <c r="N4288" s="41">
        <v>46010.010416666664</v>
      </c>
      <c r="O4288" s="38" t="s">
        <v>123</v>
      </c>
      <c r="P4288" s="38">
        <v>1800.0</v>
      </c>
      <c r="Q4288" s="39"/>
      <c r="R4288" s="39"/>
      <c r="S4288" s="39"/>
      <c r="T4288" s="39"/>
      <c r="U4288" s="39"/>
    </row>
    <row r="4289">
      <c r="A4289" s="40">
        <f t="shared" si="1"/>
        <v>46006</v>
      </c>
      <c r="B4289" s="37" t="str">
        <f t="array" ref="B4289">iferror(xlookup($I4289, 'IMPORT VHC Report'!$E:$E, 'IMPORT VHC Report'!$A:$C), )</f>
        <v/>
      </c>
      <c r="C4289" s="37"/>
      <c r="D4289" s="37"/>
      <c r="E4289" s="38" t="s">
        <v>5150</v>
      </c>
      <c r="F4289" s="38" t="s">
        <v>5129</v>
      </c>
      <c r="G4289" s="38">
        <v>1.1035324543247E13</v>
      </c>
      <c r="H4289" s="38" t="s">
        <v>5130</v>
      </c>
      <c r="I4289" s="38" t="s">
        <v>5131</v>
      </c>
      <c r="J4289" s="38" t="s">
        <v>224</v>
      </c>
      <c r="K4289" s="38" t="s">
        <v>63</v>
      </c>
      <c r="L4289" s="41">
        <v>46010.010416666664</v>
      </c>
      <c r="M4289" s="38" t="s">
        <v>123</v>
      </c>
      <c r="N4289" s="41">
        <v>46010.072916666664</v>
      </c>
      <c r="O4289" s="38" t="s">
        <v>123</v>
      </c>
      <c r="P4289" s="38">
        <v>5400.0</v>
      </c>
      <c r="Q4289" s="39"/>
      <c r="R4289" s="39"/>
      <c r="S4289" s="39"/>
      <c r="T4289" s="39"/>
      <c r="U4289" s="39"/>
    </row>
    <row r="4290">
      <c r="A4290" s="40">
        <f t="shared" si="1"/>
        <v>46006</v>
      </c>
      <c r="B4290" s="37" t="str">
        <f t="array" ref="B4290">iferror(xlookup($I4290, 'IMPORT VHC Report'!$E:$E, 'IMPORT VHC Report'!$A:$C), )</f>
        <v/>
      </c>
      <c r="C4290" s="37"/>
      <c r="D4290" s="37"/>
      <c r="E4290" s="38" t="s">
        <v>5151</v>
      </c>
      <c r="F4290" s="38" t="s">
        <v>5129</v>
      </c>
      <c r="G4290" s="38">
        <v>1.1035324543247E13</v>
      </c>
      <c r="H4290" s="38" t="s">
        <v>5130</v>
      </c>
      <c r="I4290" s="38" t="s">
        <v>5131</v>
      </c>
      <c r="J4290" s="38" t="s">
        <v>134</v>
      </c>
      <c r="K4290" s="38" t="s">
        <v>126</v>
      </c>
      <c r="L4290" s="41">
        <v>46010.072916666664</v>
      </c>
      <c r="M4290" s="38" t="s">
        <v>123</v>
      </c>
      <c r="N4290" s="41">
        <v>46010.083333333336</v>
      </c>
      <c r="O4290" s="38" t="s">
        <v>123</v>
      </c>
      <c r="P4290" s="38">
        <v>900.0</v>
      </c>
      <c r="Q4290" s="39"/>
      <c r="R4290" s="39"/>
      <c r="S4290" s="39"/>
      <c r="T4290" s="39"/>
      <c r="U4290" s="39"/>
    </row>
    <row r="4291">
      <c r="A4291" s="40">
        <f t="shared" si="1"/>
        <v>46006</v>
      </c>
      <c r="B4291" s="37" t="str">
        <f t="array" ref="B4291">iferror(xlookup($I4291, 'IMPORT VHC Report'!$E:$E, 'IMPORT VHC Report'!$A:$C), )</f>
        <v/>
      </c>
      <c r="C4291" s="37"/>
      <c r="D4291" s="37"/>
      <c r="E4291" s="38" t="s">
        <v>5152</v>
      </c>
      <c r="F4291" s="38" t="s">
        <v>5129</v>
      </c>
      <c r="G4291" s="38">
        <v>1.1035324543247E13</v>
      </c>
      <c r="H4291" s="38" t="s">
        <v>5130</v>
      </c>
      <c r="I4291" s="38" t="s">
        <v>5131</v>
      </c>
      <c r="J4291" s="38" t="s">
        <v>224</v>
      </c>
      <c r="K4291" s="38" t="s">
        <v>63</v>
      </c>
      <c r="L4291" s="41">
        <v>46010.083333333336</v>
      </c>
      <c r="M4291" s="38" t="s">
        <v>123</v>
      </c>
      <c r="N4291" s="41">
        <v>46010.145833333336</v>
      </c>
      <c r="O4291" s="38" t="s">
        <v>123</v>
      </c>
      <c r="P4291" s="38">
        <v>5400.0</v>
      </c>
      <c r="Q4291" s="39"/>
      <c r="R4291" s="39"/>
      <c r="S4291" s="39"/>
      <c r="T4291" s="39"/>
      <c r="U4291" s="39"/>
    </row>
    <row r="4292">
      <c r="A4292" s="40">
        <f t="shared" si="1"/>
        <v>46006</v>
      </c>
      <c r="B4292" s="37" t="str">
        <f t="array" ref="B4292">iferror(xlookup($I4292, 'IMPORT VHC Report'!$E:$E, 'IMPORT VHC Report'!$A:$C), )</f>
        <v/>
      </c>
      <c r="C4292" s="37"/>
      <c r="D4292" s="37"/>
      <c r="E4292" s="38" t="s">
        <v>5153</v>
      </c>
      <c r="F4292" s="38" t="s">
        <v>5129</v>
      </c>
      <c r="G4292" s="38">
        <v>1.1035324543247E13</v>
      </c>
      <c r="H4292" s="38" t="s">
        <v>5130</v>
      </c>
      <c r="I4292" s="38" t="s">
        <v>5131</v>
      </c>
      <c r="J4292" s="38" t="s">
        <v>132</v>
      </c>
      <c r="K4292" s="38" t="s">
        <v>126</v>
      </c>
      <c r="L4292" s="41">
        <v>46010.145833333336</v>
      </c>
      <c r="M4292" s="38" t="s">
        <v>123</v>
      </c>
      <c r="N4292" s="41">
        <v>46010.1875</v>
      </c>
      <c r="O4292" s="38" t="s">
        <v>123</v>
      </c>
      <c r="P4292" s="38">
        <v>3600.0</v>
      </c>
      <c r="Q4292" s="39"/>
      <c r="R4292" s="39"/>
      <c r="S4292" s="39"/>
      <c r="T4292" s="39"/>
      <c r="U4292" s="39"/>
    </row>
    <row r="4293">
      <c r="A4293" s="40">
        <f t="shared" si="1"/>
        <v>46006</v>
      </c>
      <c r="B4293" s="37" t="str">
        <f t="array" ref="B4293">iferror(xlookup($I4293, 'IMPORT VHC Report'!$E:$E, 'IMPORT VHC Report'!$A:$C), )</f>
        <v/>
      </c>
      <c r="C4293" s="37"/>
      <c r="D4293" s="37"/>
      <c r="E4293" s="38" t="s">
        <v>5154</v>
      </c>
      <c r="F4293" s="38" t="s">
        <v>5129</v>
      </c>
      <c r="G4293" s="38">
        <v>1.1035324543247E13</v>
      </c>
      <c r="H4293" s="38" t="s">
        <v>5130</v>
      </c>
      <c r="I4293" s="38" t="s">
        <v>5131</v>
      </c>
      <c r="J4293" s="38" t="s">
        <v>224</v>
      </c>
      <c r="K4293" s="38" t="s">
        <v>63</v>
      </c>
      <c r="L4293" s="41">
        <v>46010.1875</v>
      </c>
      <c r="M4293" s="38" t="s">
        <v>123</v>
      </c>
      <c r="N4293" s="41">
        <v>46010.25</v>
      </c>
      <c r="O4293" s="38" t="s">
        <v>123</v>
      </c>
      <c r="P4293" s="38">
        <v>5400.0</v>
      </c>
      <c r="Q4293" s="39"/>
      <c r="R4293" s="39"/>
      <c r="S4293" s="39"/>
      <c r="T4293" s="39"/>
      <c r="U4293" s="39"/>
    </row>
    <row r="4294">
      <c r="A4294" s="40">
        <f t="shared" si="1"/>
        <v>46006</v>
      </c>
      <c r="B4294" s="37" t="str">
        <f t="array" ref="B4294">iferror(xlookup($I4294, 'IMPORT VHC Report'!$E:$E, 'IMPORT VHC Report'!$A:$C), )</f>
        <v/>
      </c>
      <c r="C4294" s="37"/>
      <c r="D4294" s="37"/>
      <c r="E4294" s="38" t="s">
        <v>5155</v>
      </c>
      <c r="F4294" s="38" t="s">
        <v>5129</v>
      </c>
      <c r="G4294" s="38">
        <v>1.1035324543247E13</v>
      </c>
      <c r="H4294" s="38" t="s">
        <v>5130</v>
      </c>
      <c r="I4294" s="38" t="s">
        <v>5131</v>
      </c>
      <c r="J4294" s="38" t="s">
        <v>985</v>
      </c>
      <c r="K4294" s="38" t="s">
        <v>63</v>
      </c>
      <c r="L4294" s="41">
        <v>46010.25</v>
      </c>
      <c r="M4294" s="38" t="s">
        <v>123</v>
      </c>
      <c r="N4294" s="41">
        <v>46010.416666666664</v>
      </c>
      <c r="O4294" s="38" t="s">
        <v>123</v>
      </c>
      <c r="P4294" s="38">
        <v>14400.0</v>
      </c>
      <c r="Q4294" s="39"/>
      <c r="R4294" s="39"/>
      <c r="S4294" s="39"/>
      <c r="T4294" s="39"/>
      <c r="U4294" s="39"/>
    </row>
    <row r="4295">
      <c r="A4295" s="40">
        <f t="shared" si="1"/>
        <v>46006</v>
      </c>
      <c r="B4295" s="37" t="str">
        <f t="array" ref="B4295">iferror(xlookup($I4295, 'IMPORT VHC Report'!$E:$E, 'IMPORT VHC Report'!$A:$C), )</f>
        <v/>
      </c>
      <c r="C4295" s="37"/>
      <c r="D4295" s="37"/>
      <c r="E4295" s="38" t="s">
        <v>5156</v>
      </c>
      <c r="F4295" s="38" t="s">
        <v>5129</v>
      </c>
      <c r="G4295" s="38">
        <v>1.1035324543247E13</v>
      </c>
      <c r="H4295" s="38" t="s">
        <v>5130</v>
      </c>
      <c r="I4295" s="38" t="s">
        <v>5131</v>
      </c>
      <c r="J4295" s="38" t="s">
        <v>224</v>
      </c>
      <c r="K4295" s="38" t="s">
        <v>63</v>
      </c>
      <c r="L4295" s="41">
        <v>46010.875</v>
      </c>
      <c r="M4295" s="38" t="s">
        <v>123</v>
      </c>
      <c r="N4295" s="41">
        <v>46010.958333333336</v>
      </c>
      <c r="O4295" s="38" t="s">
        <v>123</v>
      </c>
      <c r="P4295" s="38">
        <v>7200.0</v>
      </c>
      <c r="Q4295" s="39"/>
      <c r="R4295" s="39"/>
      <c r="S4295" s="39"/>
      <c r="T4295" s="39"/>
      <c r="U4295" s="39"/>
    </row>
    <row r="4296">
      <c r="A4296" s="40">
        <f t="shared" si="1"/>
        <v>46006</v>
      </c>
      <c r="B4296" s="37" t="str">
        <f t="array" ref="B4296">iferror(xlookup($I4296, 'IMPORT VHC Report'!$E:$E, 'IMPORT VHC Report'!$A:$C), )</f>
        <v/>
      </c>
      <c r="C4296" s="37"/>
      <c r="D4296" s="37"/>
      <c r="E4296" s="38" t="s">
        <v>5157</v>
      </c>
      <c r="F4296" s="38" t="s">
        <v>5129</v>
      </c>
      <c r="G4296" s="38">
        <v>1.1035324543247E13</v>
      </c>
      <c r="H4296" s="38" t="s">
        <v>5130</v>
      </c>
      <c r="I4296" s="38" t="s">
        <v>5131</v>
      </c>
      <c r="J4296" s="38" t="s">
        <v>134</v>
      </c>
      <c r="K4296" s="38" t="s">
        <v>126</v>
      </c>
      <c r="L4296" s="41">
        <v>46010.958333333336</v>
      </c>
      <c r="M4296" s="38" t="s">
        <v>123</v>
      </c>
      <c r="N4296" s="41">
        <v>46010.96875</v>
      </c>
      <c r="O4296" s="38" t="s">
        <v>123</v>
      </c>
      <c r="P4296" s="38">
        <v>900.0</v>
      </c>
      <c r="Q4296" s="39"/>
      <c r="R4296" s="39"/>
      <c r="S4296" s="39"/>
      <c r="T4296" s="39"/>
      <c r="U4296" s="39"/>
    </row>
    <row r="4297">
      <c r="A4297" s="40">
        <f t="shared" si="1"/>
        <v>46006</v>
      </c>
      <c r="B4297" s="37" t="str">
        <f t="array" ref="B4297">iferror(xlookup($I4297, 'IMPORT VHC Report'!$E:$E, 'IMPORT VHC Report'!$A:$C), )</f>
        <v/>
      </c>
      <c r="C4297" s="37"/>
      <c r="D4297" s="37"/>
      <c r="E4297" s="38" t="s">
        <v>5158</v>
      </c>
      <c r="F4297" s="38" t="s">
        <v>5129</v>
      </c>
      <c r="G4297" s="38">
        <v>1.1035324543247E13</v>
      </c>
      <c r="H4297" s="38" t="s">
        <v>5130</v>
      </c>
      <c r="I4297" s="38" t="s">
        <v>5131</v>
      </c>
      <c r="J4297" s="38" t="s">
        <v>224</v>
      </c>
      <c r="K4297" s="38" t="s">
        <v>63</v>
      </c>
      <c r="L4297" s="41">
        <v>46010.96875</v>
      </c>
      <c r="M4297" s="38" t="s">
        <v>123</v>
      </c>
      <c r="N4297" s="41">
        <v>46011.052083333336</v>
      </c>
      <c r="O4297" s="38" t="s">
        <v>123</v>
      </c>
      <c r="P4297" s="38">
        <v>7200.0</v>
      </c>
      <c r="Q4297" s="39"/>
      <c r="R4297" s="39"/>
      <c r="S4297" s="39"/>
      <c r="T4297" s="39"/>
      <c r="U4297" s="39"/>
    </row>
    <row r="4298">
      <c r="A4298" s="40">
        <f t="shared" si="1"/>
        <v>46006</v>
      </c>
      <c r="B4298" s="37" t="str">
        <f t="array" ref="B4298">iferror(xlookup($I4298, 'IMPORT VHC Report'!$E:$E, 'IMPORT VHC Report'!$A:$C), )</f>
        <v/>
      </c>
      <c r="C4298" s="37"/>
      <c r="D4298" s="37"/>
      <c r="E4298" s="38" t="s">
        <v>5159</v>
      </c>
      <c r="F4298" s="38" t="s">
        <v>5129</v>
      </c>
      <c r="G4298" s="38">
        <v>1.1035324543247E13</v>
      </c>
      <c r="H4298" s="38" t="s">
        <v>5130</v>
      </c>
      <c r="I4298" s="38" t="s">
        <v>5131</v>
      </c>
      <c r="J4298" s="38" t="s">
        <v>132</v>
      </c>
      <c r="K4298" s="38" t="s">
        <v>126</v>
      </c>
      <c r="L4298" s="41">
        <v>46011.052083333336</v>
      </c>
      <c r="M4298" s="38" t="s">
        <v>123</v>
      </c>
      <c r="N4298" s="41">
        <v>46011.09375</v>
      </c>
      <c r="O4298" s="38" t="s">
        <v>123</v>
      </c>
      <c r="P4298" s="38">
        <v>3600.0</v>
      </c>
      <c r="Q4298" s="39"/>
      <c r="R4298" s="39"/>
      <c r="S4298" s="39"/>
      <c r="T4298" s="39"/>
      <c r="U4298" s="39"/>
    </row>
    <row r="4299">
      <c r="A4299" s="40">
        <f t="shared" si="1"/>
        <v>46006</v>
      </c>
      <c r="B4299" s="37" t="str">
        <f t="array" ref="B4299">iferror(xlookup($I4299, 'IMPORT VHC Report'!$E:$E, 'IMPORT VHC Report'!$A:$C), )</f>
        <v/>
      </c>
      <c r="C4299" s="37"/>
      <c r="D4299" s="37"/>
      <c r="E4299" s="38" t="s">
        <v>5160</v>
      </c>
      <c r="F4299" s="38" t="s">
        <v>5129</v>
      </c>
      <c r="G4299" s="38">
        <v>1.1035324543247E13</v>
      </c>
      <c r="H4299" s="38" t="s">
        <v>5130</v>
      </c>
      <c r="I4299" s="38" t="s">
        <v>5131</v>
      </c>
      <c r="J4299" s="38" t="s">
        <v>224</v>
      </c>
      <c r="K4299" s="38" t="s">
        <v>63</v>
      </c>
      <c r="L4299" s="41">
        <v>46011.09375</v>
      </c>
      <c r="M4299" s="38" t="s">
        <v>123</v>
      </c>
      <c r="N4299" s="41">
        <v>46011.15625</v>
      </c>
      <c r="O4299" s="38" t="s">
        <v>123</v>
      </c>
      <c r="P4299" s="38">
        <v>5400.0</v>
      </c>
      <c r="Q4299" s="39"/>
      <c r="R4299" s="39"/>
      <c r="S4299" s="39"/>
      <c r="T4299" s="39"/>
      <c r="U4299" s="39"/>
    </row>
    <row r="4300">
      <c r="A4300" s="40">
        <f t="shared" si="1"/>
        <v>46006</v>
      </c>
      <c r="B4300" s="37" t="str">
        <f t="array" ref="B4300">iferror(xlookup($I4300, 'IMPORT VHC Report'!$E:$E, 'IMPORT VHC Report'!$A:$C), )</f>
        <v/>
      </c>
      <c r="C4300" s="37"/>
      <c r="D4300" s="37"/>
      <c r="E4300" s="38" t="s">
        <v>5161</v>
      </c>
      <c r="F4300" s="38" t="s">
        <v>5129</v>
      </c>
      <c r="G4300" s="38">
        <v>1.1035324543247E13</v>
      </c>
      <c r="H4300" s="38" t="s">
        <v>5130</v>
      </c>
      <c r="I4300" s="38" t="s">
        <v>5131</v>
      </c>
      <c r="J4300" s="38" t="s">
        <v>134</v>
      </c>
      <c r="K4300" s="38" t="s">
        <v>126</v>
      </c>
      <c r="L4300" s="41">
        <v>46011.15625</v>
      </c>
      <c r="M4300" s="38" t="s">
        <v>123</v>
      </c>
      <c r="N4300" s="41">
        <v>46011.166666666664</v>
      </c>
      <c r="O4300" s="38" t="s">
        <v>123</v>
      </c>
      <c r="P4300" s="38">
        <v>900.0</v>
      </c>
      <c r="Q4300" s="39"/>
      <c r="R4300" s="39"/>
      <c r="S4300" s="39"/>
      <c r="T4300" s="39"/>
      <c r="U4300" s="39"/>
    </row>
    <row r="4301">
      <c r="A4301" s="40">
        <f t="shared" si="1"/>
        <v>46006</v>
      </c>
      <c r="B4301" s="37" t="str">
        <f t="array" ref="B4301">iferror(xlookup($I4301, 'IMPORT VHC Report'!$E:$E, 'IMPORT VHC Report'!$A:$C), )</f>
        <v/>
      </c>
      <c r="C4301" s="37"/>
      <c r="D4301" s="37"/>
      <c r="E4301" s="38" t="s">
        <v>5162</v>
      </c>
      <c r="F4301" s="38" t="s">
        <v>5129</v>
      </c>
      <c r="G4301" s="38">
        <v>1.1035324543247E13</v>
      </c>
      <c r="H4301" s="38" t="s">
        <v>5130</v>
      </c>
      <c r="I4301" s="38" t="s">
        <v>5131</v>
      </c>
      <c r="J4301" s="38" t="s">
        <v>224</v>
      </c>
      <c r="K4301" s="38" t="s">
        <v>63</v>
      </c>
      <c r="L4301" s="41">
        <v>46011.166666666664</v>
      </c>
      <c r="M4301" s="38" t="s">
        <v>123</v>
      </c>
      <c r="N4301" s="41">
        <v>46011.25</v>
      </c>
      <c r="O4301" s="38" t="s">
        <v>123</v>
      </c>
      <c r="P4301" s="38">
        <v>7200.0</v>
      </c>
      <c r="Q4301" s="39"/>
      <c r="R4301" s="39"/>
      <c r="S4301" s="39"/>
      <c r="T4301" s="39"/>
      <c r="U4301" s="39"/>
    </row>
    <row r="4302">
      <c r="A4302" s="40">
        <f t="shared" si="1"/>
        <v>46006</v>
      </c>
      <c r="B4302" s="37" t="str">
        <f t="array" ref="B4302">iferror(xlookup($I4302, 'IMPORT VHC Report'!$E:$E, 'IMPORT VHC Report'!$A:$C), )</f>
        <v/>
      </c>
      <c r="C4302" s="37"/>
      <c r="D4302" s="37"/>
      <c r="E4302" s="38" t="s">
        <v>5163</v>
      </c>
      <c r="F4302" s="38" t="s">
        <v>5129</v>
      </c>
      <c r="G4302" s="38">
        <v>1.1035324543247E13</v>
      </c>
      <c r="H4302" s="38" t="s">
        <v>5130</v>
      </c>
      <c r="I4302" s="38" t="s">
        <v>5131</v>
      </c>
      <c r="J4302" s="38" t="s">
        <v>224</v>
      </c>
      <c r="K4302" s="38" t="s">
        <v>63</v>
      </c>
      <c r="L4302" s="41">
        <v>46011.875</v>
      </c>
      <c r="M4302" s="38" t="s">
        <v>123</v>
      </c>
      <c r="N4302" s="41">
        <v>46011.979166666664</v>
      </c>
      <c r="O4302" s="38" t="s">
        <v>123</v>
      </c>
      <c r="P4302" s="38">
        <v>9000.0</v>
      </c>
      <c r="Q4302" s="39"/>
      <c r="R4302" s="39"/>
      <c r="S4302" s="39"/>
      <c r="T4302" s="39"/>
      <c r="U4302" s="39"/>
    </row>
    <row r="4303">
      <c r="A4303" s="40">
        <f t="shared" si="1"/>
        <v>46006</v>
      </c>
      <c r="B4303" s="37" t="str">
        <f t="array" ref="B4303">iferror(xlookup($I4303, 'IMPORT VHC Report'!$E:$E, 'IMPORT VHC Report'!$A:$C), )</f>
        <v/>
      </c>
      <c r="C4303" s="37"/>
      <c r="D4303" s="37"/>
      <c r="E4303" s="38" t="s">
        <v>5164</v>
      </c>
      <c r="F4303" s="38" t="s">
        <v>5129</v>
      </c>
      <c r="G4303" s="38">
        <v>1.1035324543247E13</v>
      </c>
      <c r="H4303" s="38" t="s">
        <v>5130</v>
      </c>
      <c r="I4303" s="38" t="s">
        <v>5131</v>
      </c>
      <c r="J4303" s="38" t="s">
        <v>132</v>
      </c>
      <c r="K4303" s="38" t="s">
        <v>126</v>
      </c>
      <c r="L4303" s="41">
        <v>46011.979166666664</v>
      </c>
      <c r="M4303" s="38" t="s">
        <v>123</v>
      </c>
      <c r="N4303" s="41">
        <v>46012.020833333336</v>
      </c>
      <c r="O4303" s="38" t="s">
        <v>123</v>
      </c>
      <c r="P4303" s="38">
        <v>3600.0</v>
      </c>
      <c r="Q4303" s="39"/>
      <c r="R4303" s="39"/>
      <c r="S4303" s="39"/>
      <c r="T4303" s="39"/>
      <c r="U4303" s="39"/>
    </row>
    <row r="4304">
      <c r="A4304" s="40">
        <f t="shared" si="1"/>
        <v>46006</v>
      </c>
      <c r="B4304" s="37" t="str">
        <f t="array" ref="B4304">iferror(xlookup($I4304, 'IMPORT VHC Report'!$E:$E, 'IMPORT VHC Report'!$A:$C), )</f>
        <v/>
      </c>
      <c r="C4304" s="37"/>
      <c r="D4304" s="37"/>
      <c r="E4304" s="38" t="s">
        <v>5165</v>
      </c>
      <c r="F4304" s="38" t="s">
        <v>5129</v>
      </c>
      <c r="G4304" s="38">
        <v>1.1035324543247E13</v>
      </c>
      <c r="H4304" s="38" t="s">
        <v>5130</v>
      </c>
      <c r="I4304" s="38" t="s">
        <v>5131</v>
      </c>
      <c r="J4304" s="38" t="s">
        <v>224</v>
      </c>
      <c r="K4304" s="38" t="s">
        <v>63</v>
      </c>
      <c r="L4304" s="41">
        <v>46012.020833333336</v>
      </c>
      <c r="M4304" s="38" t="s">
        <v>123</v>
      </c>
      <c r="N4304" s="41">
        <v>46012.083333333336</v>
      </c>
      <c r="O4304" s="38" t="s">
        <v>123</v>
      </c>
      <c r="P4304" s="38">
        <v>5400.0</v>
      </c>
      <c r="Q4304" s="39"/>
      <c r="R4304" s="39"/>
      <c r="S4304" s="39"/>
      <c r="T4304" s="39"/>
      <c r="U4304" s="39"/>
    </row>
    <row r="4305">
      <c r="A4305" s="40">
        <f t="shared" si="1"/>
        <v>46006</v>
      </c>
      <c r="B4305" s="37" t="str">
        <f t="array" ref="B4305">iferror(xlookup($I4305, 'IMPORT VHC Report'!$E:$E, 'IMPORT VHC Report'!$A:$C), )</f>
        <v/>
      </c>
      <c r="C4305" s="37"/>
      <c r="D4305" s="37"/>
      <c r="E4305" s="38" t="s">
        <v>5166</v>
      </c>
      <c r="F4305" s="38" t="s">
        <v>5129</v>
      </c>
      <c r="G4305" s="38">
        <v>1.1035324543247E13</v>
      </c>
      <c r="H4305" s="38" t="s">
        <v>5130</v>
      </c>
      <c r="I4305" s="38" t="s">
        <v>5131</v>
      </c>
      <c r="J4305" s="38" t="s">
        <v>134</v>
      </c>
      <c r="K4305" s="38" t="s">
        <v>126</v>
      </c>
      <c r="L4305" s="41">
        <v>46012.083333333336</v>
      </c>
      <c r="M4305" s="38" t="s">
        <v>123</v>
      </c>
      <c r="N4305" s="41">
        <v>46012.09375</v>
      </c>
      <c r="O4305" s="38" t="s">
        <v>123</v>
      </c>
      <c r="P4305" s="38">
        <v>900.0</v>
      </c>
      <c r="Q4305" s="39"/>
      <c r="R4305" s="39"/>
      <c r="S4305" s="39"/>
      <c r="T4305" s="39"/>
      <c r="U4305" s="39"/>
    </row>
    <row r="4306">
      <c r="A4306" s="40">
        <f t="shared" si="1"/>
        <v>46006</v>
      </c>
      <c r="B4306" s="37" t="str">
        <f t="array" ref="B4306">iferror(xlookup($I4306, 'IMPORT VHC Report'!$E:$E, 'IMPORT VHC Report'!$A:$C), )</f>
        <v/>
      </c>
      <c r="C4306" s="37"/>
      <c r="D4306" s="37"/>
      <c r="E4306" s="38" t="s">
        <v>5167</v>
      </c>
      <c r="F4306" s="38" t="s">
        <v>5129</v>
      </c>
      <c r="G4306" s="38">
        <v>1.1035324543247E13</v>
      </c>
      <c r="H4306" s="38" t="s">
        <v>5130</v>
      </c>
      <c r="I4306" s="38" t="s">
        <v>5131</v>
      </c>
      <c r="J4306" s="38" t="s">
        <v>224</v>
      </c>
      <c r="K4306" s="38" t="s">
        <v>63</v>
      </c>
      <c r="L4306" s="41">
        <v>46012.09375</v>
      </c>
      <c r="M4306" s="38" t="s">
        <v>123</v>
      </c>
      <c r="N4306" s="41">
        <v>46012.177083333336</v>
      </c>
      <c r="O4306" s="38" t="s">
        <v>123</v>
      </c>
      <c r="P4306" s="38">
        <v>7200.0</v>
      </c>
      <c r="Q4306" s="39"/>
      <c r="R4306" s="39"/>
      <c r="S4306" s="39"/>
      <c r="T4306" s="39"/>
      <c r="U4306" s="39"/>
    </row>
    <row r="4307">
      <c r="A4307" s="40">
        <f t="shared" si="1"/>
        <v>46006</v>
      </c>
      <c r="B4307" s="37" t="str">
        <f t="array" ref="B4307">iferror(xlookup($I4307, 'IMPORT VHC Report'!$E:$E, 'IMPORT VHC Report'!$A:$C), )</f>
        <v/>
      </c>
      <c r="C4307" s="37"/>
      <c r="D4307" s="37"/>
      <c r="E4307" s="38" t="s">
        <v>5168</v>
      </c>
      <c r="F4307" s="38" t="s">
        <v>5129</v>
      </c>
      <c r="G4307" s="38">
        <v>1.1035324543247E13</v>
      </c>
      <c r="H4307" s="38" t="s">
        <v>5130</v>
      </c>
      <c r="I4307" s="38" t="s">
        <v>5131</v>
      </c>
      <c r="J4307" s="38" t="s">
        <v>134</v>
      </c>
      <c r="K4307" s="38" t="s">
        <v>126</v>
      </c>
      <c r="L4307" s="41">
        <v>46012.177083333336</v>
      </c>
      <c r="M4307" s="38" t="s">
        <v>123</v>
      </c>
      <c r="N4307" s="41">
        <v>46012.1875</v>
      </c>
      <c r="O4307" s="38" t="s">
        <v>123</v>
      </c>
      <c r="P4307" s="38">
        <v>900.0</v>
      </c>
      <c r="Q4307" s="39"/>
      <c r="R4307" s="39"/>
      <c r="S4307" s="39"/>
      <c r="T4307" s="39"/>
      <c r="U4307" s="39"/>
    </row>
    <row r="4308">
      <c r="A4308" s="40">
        <f t="shared" si="1"/>
        <v>46006</v>
      </c>
      <c r="B4308" s="37" t="str">
        <f t="array" ref="B4308">iferror(xlookup($I4308, 'IMPORT VHC Report'!$E:$E, 'IMPORT VHC Report'!$A:$C), )</f>
        <v/>
      </c>
      <c r="C4308" s="37"/>
      <c r="D4308" s="37"/>
      <c r="E4308" s="38" t="s">
        <v>5169</v>
      </c>
      <c r="F4308" s="38" t="s">
        <v>5129</v>
      </c>
      <c r="G4308" s="38">
        <v>1.1035324543247E13</v>
      </c>
      <c r="H4308" s="38" t="s">
        <v>5130</v>
      </c>
      <c r="I4308" s="38" t="s">
        <v>5131</v>
      </c>
      <c r="J4308" s="38" t="s">
        <v>224</v>
      </c>
      <c r="K4308" s="38" t="s">
        <v>63</v>
      </c>
      <c r="L4308" s="41">
        <v>46012.1875</v>
      </c>
      <c r="M4308" s="38" t="s">
        <v>123</v>
      </c>
      <c r="N4308" s="41">
        <v>46012.25</v>
      </c>
      <c r="O4308" s="38" t="s">
        <v>123</v>
      </c>
      <c r="P4308" s="38">
        <v>5400.0</v>
      </c>
      <c r="Q4308" s="39"/>
      <c r="R4308" s="39"/>
      <c r="S4308" s="39"/>
      <c r="T4308" s="39"/>
      <c r="U4308" s="39"/>
    </row>
    <row r="4309">
      <c r="A4309" s="40">
        <f t="shared" si="1"/>
        <v>46006</v>
      </c>
      <c r="B4309" s="37" t="str">
        <f t="array" ref="B4309">iferror(xlookup($I4309, 'IMPORT VHC Report'!$E:$E, 'IMPORT VHC Report'!$A:$C), )</f>
        <v/>
      </c>
      <c r="C4309" s="37"/>
      <c r="D4309" s="37"/>
      <c r="E4309" s="38" t="s">
        <v>5170</v>
      </c>
      <c r="F4309" s="38" t="s">
        <v>5171</v>
      </c>
      <c r="G4309" s="38">
        <v>1.1401945362575E13</v>
      </c>
      <c r="H4309" s="38" t="s">
        <v>5172</v>
      </c>
      <c r="I4309" s="38" t="s">
        <v>5173</v>
      </c>
      <c r="J4309" s="38" t="s">
        <v>224</v>
      </c>
      <c r="K4309" s="38" t="s">
        <v>63</v>
      </c>
      <c r="L4309" s="41">
        <v>46006.791666666664</v>
      </c>
      <c r="M4309" s="38" t="s">
        <v>123</v>
      </c>
      <c r="N4309" s="41">
        <v>46006.875</v>
      </c>
      <c r="O4309" s="38" t="s">
        <v>123</v>
      </c>
      <c r="P4309" s="38">
        <v>7200.0</v>
      </c>
      <c r="Q4309" s="39"/>
      <c r="R4309" s="39"/>
      <c r="S4309" s="39"/>
      <c r="T4309" s="39"/>
      <c r="U4309" s="39"/>
    </row>
    <row r="4310">
      <c r="A4310" s="40">
        <f t="shared" si="1"/>
        <v>46006</v>
      </c>
      <c r="B4310" s="37" t="str">
        <f t="array" ref="B4310">iferror(xlookup($I4310, 'IMPORT VHC Report'!$E:$E, 'IMPORT VHC Report'!$A:$C), )</f>
        <v/>
      </c>
      <c r="C4310" s="37"/>
      <c r="D4310" s="37"/>
      <c r="E4310" s="38" t="s">
        <v>5174</v>
      </c>
      <c r="F4310" s="38" t="s">
        <v>5171</v>
      </c>
      <c r="G4310" s="38">
        <v>1.1401945362575E13</v>
      </c>
      <c r="H4310" s="38" t="s">
        <v>5172</v>
      </c>
      <c r="I4310" s="38" t="s">
        <v>5173</v>
      </c>
      <c r="J4310" s="38" t="s">
        <v>134</v>
      </c>
      <c r="K4310" s="38" t="s">
        <v>126</v>
      </c>
      <c r="L4310" s="41">
        <v>46006.875</v>
      </c>
      <c r="M4310" s="38" t="s">
        <v>123</v>
      </c>
      <c r="N4310" s="41">
        <v>46006.885416666664</v>
      </c>
      <c r="O4310" s="38" t="s">
        <v>123</v>
      </c>
      <c r="P4310" s="38">
        <v>900.0</v>
      </c>
      <c r="Q4310" s="39"/>
      <c r="R4310" s="39"/>
      <c r="S4310" s="39"/>
      <c r="T4310" s="39"/>
      <c r="U4310" s="39"/>
    </row>
    <row r="4311">
      <c r="A4311" s="40">
        <f t="shared" si="1"/>
        <v>46006</v>
      </c>
      <c r="B4311" s="37" t="str">
        <f t="array" ref="B4311">iferror(xlookup($I4311, 'IMPORT VHC Report'!$E:$E, 'IMPORT VHC Report'!$A:$C), )</f>
        <v/>
      </c>
      <c r="C4311" s="37"/>
      <c r="D4311" s="37"/>
      <c r="E4311" s="38" t="s">
        <v>5175</v>
      </c>
      <c r="F4311" s="38" t="s">
        <v>5171</v>
      </c>
      <c r="G4311" s="38">
        <v>1.1401945362575E13</v>
      </c>
      <c r="H4311" s="38" t="s">
        <v>5172</v>
      </c>
      <c r="I4311" s="38" t="s">
        <v>5173</v>
      </c>
      <c r="J4311" s="38" t="s">
        <v>224</v>
      </c>
      <c r="K4311" s="38" t="s">
        <v>63</v>
      </c>
      <c r="L4311" s="41">
        <v>46006.885416666664</v>
      </c>
      <c r="M4311" s="38" t="s">
        <v>123</v>
      </c>
      <c r="N4311" s="41">
        <v>46006.96875</v>
      </c>
      <c r="O4311" s="38" t="s">
        <v>123</v>
      </c>
      <c r="P4311" s="38">
        <v>7200.0</v>
      </c>
      <c r="Q4311" s="39"/>
      <c r="R4311" s="39"/>
      <c r="S4311" s="39"/>
      <c r="T4311" s="39"/>
      <c r="U4311" s="39"/>
    </row>
    <row r="4312">
      <c r="A4312" s="40">
        <f t="shared" si="1"/>
        <v>46006</v>
      </c>
      <c r="B4312" s="37" t="str">
        <f t="array" ref="B4312">iferror(xlookup($I4312, 'IMPORT VHC Report'!$E:$E, 'IMPORT VHC Report'!$A:$C), )</f>
        <v/>
      </c>
      <c r="C4312" s="37"/>
      <c r="D4312" s="37"/>
      <c r="E4312" s="38" t="s">
        <v>5176</v>
      </c>
      <c r="F4312" s="38" t="s">
        <v>5171</v>
      </c>
      <c r="G4312" s="38">
        <v>1.1401945362575E13</v>
      </c>
      <c r="H4312" s="38" t="s">
        <v>5172</v>
      </c>
      <c r="I4312" s="38" t="s">
        <v>5173</v>
      </c>
      <c r="J4312" s="38" t="s">
        <v>132</v>
      </c>
      <c r="K4312" s="38" t="s">
        <v>126</v>
      </c>
      <c r="L4312" s="41">
        <v>46006.96875</v>
      </c>
      <c r="M4312" s="38" t="s">
        <v>123</v>
      </c>
      <c r="N4312" s="41">
        <v>46007.010416666664</v>
      </c>
      <c r="O4312" s="38" t="s">
        <v>123</v>
      </c>
      <c r="P4312" s="38">
        <v>3600.0</v>
      </c>
      <c r="Q4312" s="39"/>
      <c r="R4312" s="39"/>
      <c r="S4312" s="39"/>
      <c r="T4312" s="39"/>
      <c r="U4312" s="39"/>
    </row>
    <row r="4313">
      <c r="A4313" s="40">
        <f t="shared" si="1"/>
        <v>46006</v>
      </c>
      <c r="B4313" s="37" t="str">
        <f t="array" ref="B4313">iferror(xlookup($I4313, 'IMPORT VHC Report'!$E:$E, 'IMPORT VHC Report'!$A:$C), )</f>
        <v/>
      </c>
      <c r="C4313" s="37"/>
      <c r="D4313" s="37"/>
      <c r="E4313" s="38" t="s">
        <v>5177</v>
      </c>
      <c r="F4313" s="38" t="s">
        <v>5171</v>
      </c>
      <c r="G4313" s="38">
        <v>1.1401945362575E13</v>
      </c>
      <c r="H4313" s="38" t="s">
        <v>5172</v>
      </c>
      <c r="I4313" s="38" t="s">
        <v>5173</v>
      </c>
      <c r="J4313" s="38" t="s">
        <v>224</v>
      </c>
      <c r="K4313" s="38" t="s">
        <v>63</v>
      </c>
      <c r="L4313" s="41">
        <v>46007.010416666664</v>
      </c>
      <c r="M4313" s="38" t="s">
        <v>123</v>
      </c>
      <c r="N4313" s="41">
        <v>46007.083333333336</v>
      </c>
      <c r="O4313" s="38" t="s">
        <v>123</v>
      </c>
      <c r="P4313" s="38">
        <v>6300.0</v>
      </c>
      <c r="Q4313" s="39"/>
      <c r="R4313" s="39"/>
      <c r="S4313" s="39"/>
      <c r="T4313" s="39"/>
      <c r="U4313" s="39"/>
    </row>
    <row r="4314">
      <c r="A4314" s="40">
        <f t="shared" si="1"/>
        <v>46006</v>
      </c>
      <c r="B4314" s="37" t="str">
        <f t="array" ref="B4314">iferror(xlookup($I4314, 'IMPORT VHC Report'!$E:$E, 'IMPORT VHC Report'!$A:$C), )</f>
        <v/>
      </c>
      <c r="C4314" s="37"/>
      <c r="D4314" s="37"/>
      <c r="E4314" s="38" t="s">
        <v>5178</v>
      </c>
      <c r="F4314" s="38" t="s">
        <v>5171</v>
      </c>
      <c r="G4314" s="38">
        <v>1.1401945362575E13</v>
      </c>
      <c r="H4314" s="38" t="s">
        <v>5172</v>
      </c>
      <c r="I4314" s="38" t="s">
        <v>5173</v>
      </c>
      <c r="J4314" s="38" t="s">
        <v>134</v>
      </c>
      <c r="K4314" s="38" t="s">
        <v>126</v>
      </c>
      <c r="L4314" s="41">
        <v>46007.083333333336</v>
      </c>
      <c r="M4314" s="38" t="s">
        <v>123</v>
      </c>
      <c r="N4314" s="41">
        <v>46007.09375</v>
      </c>
      <c r="O4314" s="38" t="s">
        <v>123</v>
      </c>
      <c r="P4314" s="38">
        <v>900.0</v>
      </c>
      <c r="Q4314" s="39"/>
      <c r="R4314" s="39"/>
      <c r="S4314" s="39"/>
      <c r="T4314" s="39"/>
      <c r="U4314" s="39"/>
    </row>
    <row r="4315">
      <c r="A4315" s="40">
        <f t="shared" si="1"/>
        <v>46006</v>
      </c>
      <c r="B4315" s="37" t="str">
        <f t="array" ref="B4315">iferror(xlookup($I4315, 'IMPORT VHC Report'!$E:$E, 'IMPORT VHC Report'!$A:$C), )</f>
        <v/>
      </c>
      <c r="C4315" s="37"/>
      <c r="D4315" s="37"/>
      <c r="E4315" s="38" t="s">
        <v>5179</v>
      </c>
      <c r="F4315" s="38" t="s">
        <v>5171</v>
      </c>
      <c r="G4315" s="38">
        <v>1.1401945362575E13</v>
      </c>
      <c r="H4315" s="38" t="s">
        <v>5172</v>
      </c>
      <c r="I4315" s="38" t="s">
        <v>5173</v>
      </c>
      <c r="J4315" s="38" t="s">
        <v>224</v>
      </c>
      <c r="K4315" s="38" t="s">
        <v>63</v>
      </c>
      <c r="L4315" s="41">
        <v>46007.09375</v>
      </c>
      <c r="M4315" s="38" t="s">
        <v>123</v>
      </c>
      <c r="N4315" s="41">
        <v>46007.166666666664</v>
      </c>
      <c r="O4315" s="38" t="s">
        <v>123</v>
      </c>
      <c r="P4315" s="38">
        <v>6300.0</v>
      </c>
      <c r="Q4315" s="39"/>
      <c r="R4315" s="39"/>
      <c r="S4315" s="39"/>
      <c r="T4315" s="39"/>
      <c r="U4315" s="39"/>
    </row>
    <row r="4316">
      <c r="A4316" s="40">
        <f t="shared" si="1"/>
        <v>46006</v>
      </c>
      <c r="B4316" s="37" t="str">
        <f t="array" ref="B4316">iferror(xlookup($I4316, 'IMPORT VHC Report'!$E:$E, 'IMPORT VHC Report'!$A:$C), )</f>
        <v/>
      </c>
      <c r="C4316" s="37"/>
      <c r="D4316" s="37"/>
      <c r="E4316" s="38" t="s">
        <v>5180</v>
      </c>
      <c r="F4316" s="38" t="s">
        <v>5171</v>
      </c>
      <c r="G4316" s="38">
        <v>1.1401945362575E13</v>
      </c>
      <c r="H4316" s="38" t="s">
        <v>5172</v>
      </c>
      <c r="I4316" s="38" t="s">
        <v>5173</v>
      </c>
      <c r="J4316" s="38" t="s">
        <v>224</v>
      </c>
      <c r="K4316" s="38" t="s">
        <v>63</v>
      </c>
      <c r="L4316" s="41">
        <v>46007.791666666664</v>
      </c>
      <c r="M4316" s="38" t="s">
        <v>123</v>
      </c>
      <c r="N4316" s="41">
        <v>46007.875</v>
      </c>
      <c r="O4316" s="38" t="s">
        <v>123</v>
      </c>
      <c r="P4316" s="38">
        <v>7200.0</v>
      </c>
      <c r="Q4316" s="39"/>
      <c r="R4316" s="39"/>
      <c r="S4316" s="39"/>
      <c r="T4316" s="39"/>
      <c r="U4316" s="39"/>
    </row>
    <row r="4317">
      <c r="A4317" s="40">
        <f t="shared" si="1"/>
        <v>46006</v>
      </c>
      <c r="B4317" s="37" t="str">
        <f t="array" ref="B4317">iferror(xlookup($I4317, 'IMPORT VHC Report'!$E:$E, 'IMPORT VHC Report'!$A:$C), )</f>
        <v/>
      </c>
      <c r="C4317" s="37"/>
      <c r="D4317" s="37"/>
      <c r="E4317" s="38" t="s">
        <v>5181</v>
      </c>
      <c r="F4317" s="38" t="s">
        <v>5171</v>
      </c>
      <c r="G4317" s="38">
        <v>1.1401945362575E13</v>
      </c>
      <c r="H4317" s="38" t="s">
        <v>5172</v>
      </c>
      <c r="I4317" s="38" t="s">
        <v>5173</v>
      </c>
      <c r="J4317" s="38" t="s">
        <v>134</v>
      </c>
      <c r="K4317" s="38" t="s">
        <v>126</v>
      </c>
      <c r="L4317" s="41">
        <v>46007.875</v>
      </c>
      <c r="M4317" s="38" t="s">
        <v>123</v>
      </c>
      <c r="N4317" s="41">
        <v>46007.885416666664</v>
      </c>
      <c r="O4317" s="38" t="s">
        <v>123</v>
      </c>
      <c r="P4317" s="38">
        <v>900.0</v>
      </c>
      <c r="Q4317" s="39"/>
      <c r="R4317" s="39"/>
      <c r="S4317" s="39"/>
      <c r="T4317" s="39"/>
      <c r="U4317" s="39"/>
    </row>
    <row r="4318">
      <c r="A4318" s="40">
        <f t="shared" si="1"/>
        <v>46006</v>
      </c>
      <c r="B4318" s="37" t="str">
        <f t="array" ref="B4318">iferror(xlookup($I4318, 'IMPORT VHC Report'!$E:$E, 'IMPORT VHC Report'!$A:$C), )</f>
        <v/>
      </c>
      <c r="C4318" s="37"/>
      <c r="D4318" s="37"/>
      <c r="E4318" s="38" t="s">
        <v>5182</v>
      </c>
      <c r="F4318" s="38" t="s">
        <v>5171</v>
      </c>
      <c r="G4318" s="38">
        <v>1.1401945362575E13</v>
      </c>
      <c r="H4318" s="38" t="s">
        <v>5172</v>
      </c>
      <c r="I4318" s="38" t="s">
        <v>5173</v>
      </c>
      <c r="J4318" s="38" t="s">
        <v>224</v>
      </c>
      <c r="K4318" s="38" t="s">
        <v>63</v>
      </c>
      <c r="L4318" s="41">
        <v>46007.885416666664</v>
      </c>
      <c r="M4318" s="38" t="s">
        <v>123</v>
      </c>
      <c r="N4318" s="41">
        <v>46007.958333333336</v>
      </c>
      <c r="O4318" s="38" t="s">
        <v>123</v>
      </c>
      <c r="P4318" s="38">
        <v>6300.0</v>
      </c>
      <c r="Q4318" s="39"/>
      <c r="R4318" s="39"/>
      <c r="S4318" s="39"/>
      <c r="T4318" s="39"/>
      <c r="U4318" s="39"/>
    </row>
    <row r="4319">
      <c r="A4319" s="40">
        <f t="shared" si="1"/>
        <v>46006</v>
      </c>
      <c r="B4319" s="37" t="str">
        <f t="array" ref="B4319">iferror(xlookup($I4319, 'IMPORT VHC Report'!$E:$E, 'IMPORT VHC Report'!$A:$C), )</f>
        <v/>
      </c>
      <c r="C4319" s="37"/>
      <c r="D4319" s="37"/>
      <c r="E4319" s="38" t="s">
        <v>5183</v>
      </c>
      <c r="F4319" s="38" t="s">
        <v>5171</v>
      </c>
      <c r="G4319" s="38">
        <v>1.1401945362575E13</v>
      </c>
      <c r="H4319" s="38" t="s">
        <v>5172</v>
      </c>
      <c r="I4319" s="38" t="s">
        <v>5173</v>
      </c>
      <c r="J4319" s="38" t="s">
        <v>132</v>
      </c>
      <c r="K4319" s="38" t="s">
        <v>126</v>
      </c>
      <c r="L4319" s="41">
        <v>46007.958333333336</v>
      </c>
      <c r="M4319" s="38" t="s">
        <v>123</v>
      </c>
      <c r="N4319" s="41">
        <v>46008.0</v>
      </c>
      <c r="O4319" s="38" t="s">
        <v>123</v>
      </c>
      <c r="P4319" s="38">
        <v>3600.0</v>
      </c>
      <c r="Q4319" s="39"/>
      <c r="R4319" s="39"/>
      <c r="S4319" s="39"/>
      <c r="T4319" s="39"/>
      <c r="U4319" s="39"/>
    </row>
    <row r="4320">
      <c r="A4320" s="40">
        <f t="shared" si="1"/>
        <v>46006</v>
      </c>
      <c r="B4320" s="37" t="str">
        <f t="array" ref="B4320">iferror(xlookup($I4320, 'IMPORT VHC Report'!$E:$E, 'IMPORT VHC Report'!$A:$C), )</f>
        <v/>
      </c>
      <c r="C4320" s="37"/>
      <c r="D4320" s="37"/>
      <c r="E4320" s="38" t="s">
        <v>5184</v>
      </c>
      <c r="F4320" s="38" t="s">
        <v>5171</v>
      </c>
      <c r="G4320" s="38">
        <v>1.1401945362575E13</v>
      </c>
      <c r="H4320" s="38" t="s">
        <v>5172</v>
      </c>
      <c r="I4320" s="38" t="s">
        <v>5173</v>
      </c>
      <c r="J4320" s="38" t="s">
        <v>125</v>
      </c>
      <c r="K4320" s="38" t="s">
        <v>126</v>
      </c>
      <c r="L4320" s="41">
        <v>46008.0</v>
      </c>
      <c r="M4320" s="38" t="s">
        <v>123</v>
      </c>
      <c r="N4320" s="41">
        <v>46008.03472222222</v>
      </c>
      <c r="O4320" s="38" t="s">
        <v>123</v>
      </c>
      <c r="P4320" s="38">
        <v>3000.0</v>
      </c>
      <c r="Q4320" s="39"/>
      <c r="R4320" s="39"/>
      <c r="S4320" s="38" t="s">
        <v>5185</v>
      </c>
      <c r="T4320" s="39"/>
      <c r="U4320" s="39"/>
    </row>
    <row r="4321">
      <c r="A4321" s="40">
        <f t="shared" si="1"/>
        <v>46006</v>
      </c>
      <c r="B4321" s="37" t="str">
        <f t="array" ref="B4321">iferror(xlookup($I4321, 'IMPORT VHC Report'!$E:$E, 'IMPORT VHC Report'!$A:$C), )</f>
        <v/>
      </c>
      <c r="C4321" s="37"/>
      <c r="D4321" s="37"/>
      <c r="E4321" s="38" t="s">
        <v>5186</v>
      </c>
      <c r="F4321" s="38" t="s">
        <v>5171</v>
      </c>
      <c r="G4321" s="38">
        <v>1.1401945362575E13</v>
      </c>
      <c r="H4321" s="38" t="s">
        <v>5172</v>
      </c>
      <c r="I4321" s="38" t="s">
        <v>5173</v>
      </c>
      <c r="J4321" s="38" t="s">
        <v>224</v>
      </c>
      <c r="K4321" s="38" t="s">
        <v>63</v>
      </c>
      <c r="L4321" s="41">
        <v>46008.0</v>
      </c>
      <c r="M4321" s="38" t="s">
        <v>123</v>
      </c>
      <c r="N4321" s="41">
        <v>46008.0625</v>
      </c>
      <c r="O4321" s="38" t="s">
        <v>123</v>
      </c>
      <c r="P4321" s="38">
        <v>5400.0</v>
      </c>
      <c r="Q4321" s="39"/>
      <c r="R4321" s="39"/>
      <c r="S4321" s="39"/>
      <c r="T4321" s="39"/>
      <c r="U4321" s="39"/>
    </row>
    <row r="4322">
      <c r="A4322" s="40">
        <f t="shared" si="1"/>
        <v>46006</v>
      </c>
      <c r="B4322" s="37" t="str">
        <f t="array" ref="B4322">iferror(xlookup($I4322, 'IMPORT VHC Report'!$E:$E, 'IMPORT VHC Report'!$A:$C), )</f>
        <v/>
      </c>
      <c r="C4322" s="37"/>
      <c r="D4322" s="37"/>
      <c r="E4322" s="38" t="s">
        <v>5187</v>
      </c>
      <c r="F4322" s="38" t="s">
        <v>5171</v>
      </c>
      <c r="G4322" s="38">
        <v>1.1401945362575E13</v>
      </c>
      <c r="H4322" s="38" t="s">
        <v>5172</v>
      </c>
      <c r="I4322" s="38" t="s">
        <v>5173</v>
      </c>
      <c r="J4322" s="38" t="s">
        <v>134</v>
      </c>
      <c r="K4322" s="38" t="s">
        <v>126</v>
      </c>
      <c r="L4322" s="41">
        <v>46008.0625</v>
      </c>
      <c r="M4322" s="38" t="s">
        <v>123</v>
      </c>
      <c r="N4322" s="41">
        <v>46008.072916666664</v>
      </c>
      <c r="O4322" s="38" t="s">
        <v>123</v>
      </c>
      <c r="P4322" s="38">
        <v>900.0</v>
      </c>
      <c r="Q4322" s="39"/>
      <c r="R4322" s="39"/>
      <c r="S4322" s="39"/>
      <c r="T4322" s="39"/>
      <c r="U4322" s="39"/>
    </row>
    <row r="4323">
      <c r="A4323" s="40">
        <f t="shared" si="1"/>
        <v>46006</v>
      </c>
      <c r="B4323" s="37" t="str">
        <f t="array" ref="B4323">iferror(xlookup($I4323, 'IMPORT VHC Report'!$E:$E, 'IMPORT VHC Report'!$A:$C), )</f>
        <v/>
      </c>
      <c r="C4323" s="37"/>
      <c r="D4323" s="37"/>
      <c r="E4323" s="38" t="s">
        <v>5188</v>
      </c>
      <c r="F4323" s="38" t="s">
        <v>5171</v>
      </c>
      <c r="G4323" s="38">
        <v>1.1401945362575E13</v>
      </c>
      <c r="H4323" s="38" t="s">
        <v>5172</v>
      </c>
      <c r="I4323" s="38" t="s">
        <v>5173</v>
      </c>
      <c r="J4323" s="38" t="s">
        <v>224</v>
      </c>
      <c r="K4323" s="38" t="s">
        <v>63</v>
      </c>
      <c r="L4323" s="41">
        <v>46008.072916666664</v>
      </c>
      <c r="M4323" s="38" t="s">
        <v>123</v>
      </c>
      <c r="N4323" s="41">
        <v>46008.166666666664</v>
      </c>
      <c r="O4323" s="38" t="s">
        <v>123</v>
      </c>
      <c r="P4323" s="38">
        <v>8100.0</v>
      </c>
      <c r="Q4323" s="39"/>
      <c r="R4323" s="39"/>
      <c r="S4323" s="39"/>
      <c r="T4323" s="39"/>
      <c r="U4323" s="39"/>
    </row>
    <row r="4324">
      <c r="A4324" s="40">
        <f t="shared" si="1"/>
        <v>46006</v>
      </c>
      <c r="B4324" s="37" t="str">
        <f t="array" ref="B4324">iferror(xlookup($I4324, 'IMPORT VHC Report'!$E:$E, 'IMPORT VHC Report'!$A:$C), )</f>
        <v/>
      </c>
      <c r="C4324" s="37"/>
      <c r="D4324" s="37"/>
      <c r="E4324" s="38" t="s">
        <v>5189</v>
      </c>
      <c r="F4324" s="38" t="s">
        <v>5171</v>
      </c>
      <c r="G4324" s="38">
        <v>1.1401945362575E13</v>
      </c>
      <c r="H4324" s="38" t="s">
        <v>5172</v>
      </c>
      <c r="I4324" s="38" t="s">
        <v>5173</v>
      </c>
      <c r="J4324" s="38" t="s">
        <v>224</v>
      </c>
      <c r="K4324" s="38" t="s">
        <v>63</v>
      </c>
      <c r="L4324" s="41">
        <v>46008.791666666664</v>
      </c>
      <c r="M4324" s="38" t="s">
        <v>123</v>
      </c>
      <c r="N4324" s="41">
        <v>46008.875</v>
      </c>
      <c r="O4324" s="38" t="s">
        <v>123</v>
      </c>
      <c r="P4324" s="38">
        <v>7200.0</v>
      </c>
      <c r="Q4324" s="39"/>
      <c r="R4324" s="39"/>
      <c r="S4324" s="39"/>
      <c r="T4324" s="39"/>
      <c r="U4324" s="39"/>
    </row>
    <row r="4325">
      <c r="A4325" s="40">
        <f t="shared" si="1"/>
        <v>46006</v>
      </c>
      <c r="B4325" s="37" t="str">
        <f t="array" ref="B4325">iferror(xlookup($I4325, 'IMPORT VHC Report'!$E:$E, 'IMPORT VHC Report'!$A:$C), )</f>
        <v/>
      </c>
      <c r="C4325" s="37"/>
      <c r="D4325" s="37"/>
      <c r="E4325" s="38" t="s">
        <v>5190</v>
      </c>
      <c r="F4325" s="38" t="s">
        <v>5171</v>
      </c>
      <c r="G4325" s="38">
        <v>1.1401945362575E13</v>
      </c>
      <c r="H4325" s="38" t="s">
        <v>5172</v>
      </c>
      <c r="I4325" s="38" t="s">
        <v>5173</v>
      </c>
      <c r="J4325" s="38" t="s">
        <v>152</v>
      </c>
      <c r="K4325" s="38" t="s">
        <v>153</v>
      </c>
      <c r="L4325" s="41">
        <v>46008.791666666664</v>
      </c>
      <c r="M4325" s="38" t="s">
        <v>123</v>
      </c>
      <c r="N4325" s="41">
        <v>46009.125</v>
      </c>
      <c r="O4325" s="38" t="s">
        <v>123</v>
      </c>
      <c r="P4325" s="38">
        <v>28800.0</v>
      </c>
      <c r="Q4325" s="38">
        <v>28800.0</v>
      </c>
      <c r="R4325" s="38" t="s">
        <v>351</v>
      </c>
      <c r="S4325" s="38" t="s">
        <v>351</v>
      </c>
      <c r="T4325" s="39"/>
      <c r="U4325" s="39"/>
    </row>
    <row r="4326">
      <c r="A4326" s="40">
        <f t="shared" si="1"/>
        <v>46006</v>
      </c>
      <c r="B4326" s="37" t="str">
        <f t="array" ref="B4326">iferror(xlookup($I4326, 'IMPORT VHC Report'!$E:$E, 'IMPORT VHC Report'!$A:$C), )</f>
        <v/>
      </c>
      <c r="C4326" s="37"/>
      <c r="D4326" s="37"/>
      <c r="E4326" s="38" t="s">
        <v>5191</v>
      </c>
      <c r="F4326" s="38" t="s">
        <v>5171</v>
      </c>
      <c r="G4326" s="38">
        <v>1.1401945362575E13</v>
      </c>
      <c r="H4326" s="38" t="s">
        <v>5172</v>
      </c>
      <c r="I4326" s="38" t="s">
        <v>5173</v>
      </c>
      <c r="J4326" s="38" t="s">
        <v>134</v>
      </c>
      <c r="K4326" s="38" t="s">
        <v>126</v>
      </c>
      <c r="L4326" s="41">
        <v>46008.875</v>
      </c>
      <c r="M4326" s="38" t="s">
        <v>123</v>
      </c>
      <c r="N4326" s="41">
        <v>46008.885416666664</v>
      </c>
      <c r="O4326" s="38" t="s">
        <v>123</v>
      </c>
      <c r="P4326" s="38">
        <v>900.0</v>
      </c>
      <c r="Q4326" s="39"/>
      <c r="R4326" s="39"/>
      <c r="S4326" s="39"/>
      <c r="T4326" s="39"/>
      <c r="U4326" s="39"/>
    </row>
    <row r="4327">
      <c r="A4327" s="40">
        <f t="shared" si="1"/>
        <v>46006</v>
      </c>
      <c r="B4327" s="37" t="str">
        <f t="array" ref="B4327">iferror(xlookup($I4327, 'IMPORT VHC Report'!$E:$E, 'IMPORT VHC Report'!$A:$C), )</f>
        <v/>
      </c>
      <c r="C4327" s="37"/>
      <c r="D4327" s="37"/>
      <c r="E4327" s="38" t="s">
        <v>5192</v>
      </c>
      <c r="F4327" s="38" t="s">
        <v>5171</v>
      </c>
      <c r="G4327" s="38">
        <v>1.1401945362575E13</v>
      </c>
      <c r="H4327" s="38" t="s">
        <v>5172</v>
      </c>
      <c r="I4327" s="38" t="s">
        <v>5173</v>
      </c>
      <c r="J4327" s="38" t="s">
        <v>224</v>
      </c>
      <c r="K4327" s="38" t="s">
        <v>63</v>
      </c>
      <c r="L4327" s="41">
        <v>46008.885416666664</v>
      </c>
      <c r="M4327" s="38" t="s">
        <v>123</v>
      </c>
      <c r="N4327" s="41">
        <v>46008.947916666664</v>
      </c>
      <c r="O4327" s="38" t="s">
        <v>123</v>
      </c>
      <c r="P4327" s="38">
        <v>5400.0</v>
      </c>
      <c r="Q4327" s="39"/>
      <c r="R4327" s="39"/>
      <c r="S4327" s="39"/>
      <c r="T4327" s="39"/>
      <c r="U4327" s="39"/>
    </row>
    <row r="4328">
      <c r="A4328" s="40">
        <f t="shared" si="1"/>
        <v>46006</v>
      </c>
      <c r="B4328" s="37" t="str">
        <f t="array" ref="B4328">iferror(xlookup($I4328, 'IMPORT VHC Report'!$E:$E, 'IMPORT VHC Report'!$A:$C), )</f>
        <v/>
      </c>
      <c r="C4328" s="37"/>
      <c r="D4328" s="37"/>
      <c r="E4328" s="38" t="s">
        <v>5193</v>
      </c>
      <c r="F4328" s="38" t="s">
        <v>5171</v>
      </c>
      <c r="G4328" s="38">
        <v>1.1401945362575E13</v>
      </c>
      <c r="H4328" s="38" t="s">
        <v>5172</v>
      </c>
      <c r="I4328" s="38" t="s">
        <v>5173</v>
      </c>
      <c r="J4328" s="38" t="s">
        <v>134</v>
      </c>
      <c r="K4328" s="38" t="s">
        <v>126</v>
      </c>
      <c r="L4328" s="41">
        <v>46008.947916666664</v>
      </c>
      <c r="M4328" s="38" t="s">
        <v>123</v>
      </c>
      <c r="N4328" s="41">
        <v>46008.958333333336</v>
      </c>
      <c r="O4328" s="38" t="s">
        <v>123</v>
      </c>
      <c r="P4328" s="38">
        <v>900.0</v>
      </c>
      <c r="Q4328" s="39"/>
      <c r="R4328" s="39"/>
      <c r="S4328" s="39"/>
      <c r="T4328" s="39"/>
      <c r="U4328" s="39"/>
    </row>
    <row r="4329">
      <c r="A4329" s="40">
        <f t="shared" si="1"/>
        <v>46006</v>
      </c>
      <c r="B4329" s="37" t="str">
        <f t="array" ref="B4329">iferror(xlookup($I4329, 'IMPORT VHC Report'!$E:$E, 'IMPORT VHC Report'!$A:$C), )</f>
        <v/>
      </c>
      <c r="C4329" s="37"/>
      <c r="D4329" s="37"/>
      <c r="E4329" s="38" t="s">
        <v>5194</v>
      </c>
      <c r="F4329" s="38" t="s">
        <v>5171</v>
      </c>
      <c r="G4329" s="38">
        <v>1.1401945362575E13</v>
      </c>
      <c r="H4329" s="38" t="s">
        <v>5172</v>
      </c>
      <c r="I4329" s="38" t="s">
        <v>5173</v>
      </c>
      <c r="J4329" s="38" t="s">
        <v>224</v>
      </c>
      <c r="K4329" s="38" t="s">
        <v>63</v>
      </c>
      <c r="L4329" s="41">
        <v>46008.958333333336</v>
      </c>
      <c r="M4329" s="38" t="s">
        <v>123</v>
      </c>
      <c r="N4329" s="41">
        <v>46009.041666666664</v>
      </c>
      <c r="O4329" s="38" t="s">
        <v>123</v>
      </c>
      <c r="P4329" s="38">
        <v>7200.0</v>
      </c>
      <c r="Q4329" s="39"/>
      <c r="R4329" s="39"/>
      <c r="S4329" s="39"/>
      <c r="T4329" s="39"/>
      <c r="U4329" s="39"/>
    </row>
    <row r="4330">
      <c r="A4330" s="40">
        <f t="shared" si="1"/>
        <v>46006</v>
      </c>
      <c r="B4330" s="37" t="str">
        <f t="array" ref="B4330">iferror(xlookup($I4330, 'IMPORT VHC Report'!$E:$E, 'IMPORT VHC Report'!$A:$C), )</f>
        <v/>
      </c>
      <c r="C4330" s="37"/>
      <c r="D4330" s="37"/>
      <c r="E4330" s="38" t="s">
        <v>5195</v>
      </c>
      <c r="F4330" s="38" t="s">
        <v>5171</v>
      </c>
      <c r="G4330" s="38">
        <v>1.1401945362575E13</v>
      </c>
      <c r="H4330" s="38" t="s">
        <v>5172</v>
      </c>
      <c r="I4330" s="38" t="s">
        <v>5173</v>
      </c>
      <c r="J4330" s="38" t="s">
        <v>132</v>
      </c>
      <c r="K4330" s="38" t="s">
        <v>126</v>
      </c>
      <c r="L4330" s="41">
        <v>46009.041666666664</v>
      </c>
      <c r="M4330" s="38" t="s">
        <v>123</v>
      </c>
      <c r="N4330" s="41">
        <v>46009.083333333336</v>
      </c>
      <c r="O4330" s="38" t="s">
        <v>123</v>
      </c>
      <c r="P4330" s="38">
        <v>3600.0</v>
      </c>
      <c r="Q4330" s="39"/>
      <c r="R4330" s="39"/>
      <c r="S4330" s="39"/>
      <c r="T4330" s="39"/>
      <c r="U4330" s="39"/>
    </row>
    <row r="4331">
      <c r="A4331" s="40">
        <f t="shared" si="1"/>
        <v>46006</v>
      </c>
      <c r="B4331" s="37" t="str">
        <f t="array" ref="B4331">iferror(xlookup($I4331, 'IMPORT VHC Report'!$E:$E, 'IMPORT VHC Report'!$A:$C), )</f>
        <v/>
      </c>
      <c r="C4331" s="37"/>
      <c r="D4331" s="37"/>
      <c r="E4331" s="38" t="s">
        <v>5196</v>
      </c>
      <c r="F4331" s="38" t="s">
        <v>5171</v>
      </c>
      <c r="G4331" s="38">
        <v>1.1401945362575E13</v>
      </c>
      <c r="H4331" s="38" t="s">
        <v>5172</v>
      </c>
      <c r="I4331" s="38" t="s">
        <v>5173</v>
      </c>
      <c r="J4331" s="38" t="s">
        <v>224</v>
      </c>
      <c r="K4331" s="38" t="s">
        <v>63</v>
      </c>
      <c r="L4331" s="41">
        <v>46009.083333333336</v>
      </c>
      <c r="M4331" s="38" t="s">
        <v>123</v>
      </c>
      <c r="N4331" s="41">
        <v>46009.125</v>
      </c>
      <c r="O4331" s="38" t="s">
        <v>123</v>
      </c>
      <c r="P4331" s="38">
        <v>3600.0</v>
      </c>
      <c r="Q4331" s="39"/>
      <c r="R4331" s="39"/>
      <c r="S4331" s="39"/>
      <c r="T4331" s="39"/>
      <c r="U4331" s="39"/>
    </row>
    <row r="4332">
      <c r="A4332" s="40">
        <f t="shared" si="1"/>
        <v>46006</v>
      </c>
      <c r="B4332" s="37" t="str">
        <f t="array" ref="B4332">iferror(xlookup($I4332, 'IMPORT VHC Report'!$E:$E, 'IMPORT VHC Report'!$A:$C), )</f>
        <v/>
      </c>
      <c r="C4332" s="37"/>
      <c r="D4332" s="37"/>
      <c r="E4332" s="38" t="s">
        <v>5197</v>
      </c>
      <c r="F4332" s="38" t="s">
        <v>5171</v>
      </c>
      <c r="G4332" s="38">
        <v>1.1401945362575E13</v>
      </c>
      <c r="H4332" s="38" t="s">
        <v>5172</v>
      </c>
      <c r="I4332" s="38" t="s">
        <v>5173</v>
      </c>
      <c r="J4332" s="38" t="s">
        <v>224</v>
      </c>
      <c r="K4332" s="38" t="s">
        <v>63</v>
      </c>
      <c r="L4332" s="41">
        <v>46009.791666666664</v>
      </c>
      <c r="M4332" s="38" t="s">
        <v>123</v>
      </c>
      <c r="N4332" s="41">
        <v>46009.885416666664</v>
      </c>
      <c r="O4332" s="38" t="s">
        <v>123</v>
      </c>
      <c r="P4332" s="38">
        <v>8100.0</v>
      </c>
      <c r="Q4332" s="39"/>
      <c r="R4332" s="39"/>
      <c r="S4332" s="39"/>
      <c r="T4332" s="39"/>
      <c r="U4332" s="39"/>
    </row>
    <row r="4333">
      <c r="A4333" s="40">
        <f t="shared" si="1"/>
        <v>46006</v>
      </c>
      <c r="B4333" s="37" t="str">
        <f t="array" ref="B4333">iferror(xlookup($I4333, 'IMPORT VHC Report'!$E:$E, 'IMPORT VHC Report'!$A:$C), )</f>
        <v/>
      </c>
      <c r="C4333" s="37"/>
      <c r="D4333" s="37"/>
      <c r="E4333" s="38" t="s">
        <v>5198</v>
      </c>
      <c r="F4333" s="38" t="s">
        <v>5171</v>
      </c>
      <c r="G4333" s="38">
        <v>1.1401945362575E13</v>
      </c>
      <c r="H4333" s="38" t="s">
        <v>5172</v>
      </c>
      <c r="I4333" s="38" t="s">
        <v>5173</v>
      </c>
      <c r="J4333" s="38" t="s">
        <v>134</v>
      </c>
      <c r="K4333" s="38" t="s">
        <v>126</v>
      </c>
      <c r="L4333" s="41">
        <v>46009.885416666664</v>
      </c>
      <c r="M4333" s="38" t="s">
        <v>123</v>
      </c>
      <c r="N4333" s="41">
        <v>46009.895833333336</v>
      </c>
      <c r="O4333" s="38" t="s">
        <v>123</v>
      </c>
      <c r="P4333" s="38">
        <v>900.0</v>
      </c>
      <c r="Q4333" s="39"/>
      <c r="R4333" s="39"/>
      <c r="S4333" s="39"/>
      <c r="T4333" s="39"/>
      <c r="U4333" s="39"/>
    </row>
    <row r="4334">
      <c r="A4334" s="40">
        <f t="shared" si="1"/>
        <v>46006</v>
      </c>
      <c r="B4334" s="37" t="str">
        <f t="array" ref="B4334">iferror(xlookup($I4334, 'IMPORT VHC Report'!$E:$E, 'IMPORT VHC Report'!$A:$C), )</f>
        <v/>
      </c>
      <c r="C4334" s="37"/>
      <c r="D4334" s="37"/>
      <c r="E4334" s="38" t="s">
        <v>5199</v>
      </c>
      <c r="F4334" s="38" t="s">
        <v>5171</v>
      </c>
      <c r="G4334" s="38">
        <v>1.1401945362575E13</v>
      </c>
      <c r="H4334" s="38" t="s">
        <v>5172</v>
      </c>
      <c r="I4334" s="38" t="s">
        <v>5173</v>
      </c>
      <c r="J4334" s="38" t="s">
        <v>224</v>
      </c>
      <c r="K4334" s="38" t="s">
        <v>63</v>
      </c>
      <c r="L4334" s="41">
        <v>46009.895833333336</v>
      </c>
      <c r="M4334" s="38" t="s">
        <v>123</v>
      </c>
      <c r="N4334" s="41">
        <v>46009.96875</v>
      </c>
      <c r="O4334" s="38" t="s">
        <v>123</v>
      </c>
      <c r="P4334" s="38">
        <v>6300.0</v>
      </c>
      <c r="Q4334" s="39"/>
      <c r="R4334" s="39"/>
      <c r="S4334" s="39"/>
      <c r="T4334" s="39"/>
      <c r="U4334" s="39"/>
    </row>
    <row r="4335">
      <c r="A4335" s="40">
        <f t="shared" si="1"/>
        <v>46006</v>
      </c>
      <c r="B4335" s="37" t="str">
        <f t="array" ref="B4335">iferror(xlookup($I4335, 'IMPORT VHC Report'!$E:$E, 'IMPORT VHC Report'!$A:$C), )</f>
        <v/>
      </c>
      <c r="C4335" s="37"/>
      <c r="D4335" s="37"/>
      <c r="E4335" s="38" t="s">
        <v>5200</v>
      </c>
      <c r="F4335" s="38" t="s">
        <v>5171</v>
      </c>
      <c r="G4335" s="38">
        <v>1.1401945362575E13</v>
      </c>
      <c r="H4335" s="38" t="s">
        <v>5172</v>
      </c>
      <c r="I4335" s="38" t="s">
        <v>5173</v>
      </c>
      <c r="J4335" s="38" t="s">
        <v>132</v>
      </c>
      <c r="K4335" s="38" t="s">
        <v>126</v>
      </c>
      <c r="L4335" s="41">
        <v>46009.96875</v>
      </c>
      <c r="M4335" s="38" t="s">
        <v>123</v>
      </c>
      <c r="N4335" s="41">
        <v>46010.010416666664</v>
      </c>
      <c r="O4335" s="38" t="s">
        <v>123</v>
      </c>
      <c r="P4335" s="38">
        <v>3600.0</v>
      </c>
      <c r="Q4335" s="39"/>
      <c r="R4335" s="39"/>
      <c r="S4335" s="39"/>
      <c r="T4335" s="39"/>
      <c r="U4335" s="39"/>
    </row>
    <row r="4336">
      <c r="A4336" s="40">
        <f t="shared" si="1"/>
        <v>46006</v>
      </c>
      <c r="B4336" s="37" t="str">
        <f t="array" ref="B4336">iferror(xlookup($I4336, 'IMPORT VHC Report'!$E:$E, 'IMPORT VHC Report'!$A:$C), )</f>
        <v/>
      </c>
      <c r="C4336" s="37"/>
      <c r="D4336" s="37"/>
      <c r="E4336" s="38" t="s">
        <v>5201</v>
      </c>
      <c r="F4336" s="38" t="s">
        <v>5171</v>
      </c>
      <c r="G4336" s="38">
        <v>1.1401945362575E13</v>
      </c>
      <c r="H4336" s="38" t="s">
        <v>5172</v>
      </c>
      <c r="I4336" s="38" t="s">
        <v>5173</v>
      </c>
      <c r="J4336" s="38" t="s">
        <v>224</v>
      </c>
      <c r="K4336" s="38" t="s">
        <v>63</v>
      </c>
      <c r="L4336" s="41">
        <v>46010.010416666664</v>
      </c>
      <c r="M4336" s="38" t="s">
        <v>123</v>
      </c>
      <c r="N4336" s="41">
        <v>46010.072916666664</v>
      </c>
      <c r="O4336" s="38" t="s">
        <v>123</v>
      </c>
      <c r="P4336" s="38">
        <v>5400.0</v>
      </c>
      <c r="Q4336" s="39"/>
      <c r="R4336" s="39"/>
      <c r="S4336" s="39"/>
      <c r="T4336" s="39"/>
      <c r="U4336" s="39"/>
    </row>
    <row r="4337">
      <c r="A4337" s="40">
        <f t="shared" si="1"/>
        <v>46006</v>
      </c>
      <c r="B4337" s="37" t="str">
        <f t="array" ref="B4337">iferror(xlookup($I4337, 'IMPORT VHC Report'!$E:$E, 'IMPORT VHC Report'!$A:$C), )</f>
        <v/>
      </c>
      <c r="C4337" s="37"/>
      <c r="D4337" s="37"/>
      <c r="E4337" s="38" t="s">
        <v>5202</v>
      </c>
      <c r="F4337" s="38" t="s">
        <v>5171</v>
      </c>
      <c r="G4337" s="38">
        <v>1.1401945362575E13</v>
      </c>
      <c r="H4337" s="38" t="s">
        <v>5172</v>
      </c>
      <c r="I4337" s="38" t="s">
        <v>5173</v>
      </c>
      <c r="J4337" s="38" t="s">
        <v>134</v>
      </c>
      <c r="K4337" s="38" t="s">
        <v>126</v>
      </c>
      <c r="L4337" s="41">
        <v>46010.072916666664</v>
      </c>
      <c r="M4337" s="38" t="s">
        <v>123</v>
      </c>
      <c r="N4337" s="41">
        <v>46010.083333333336</v>
      </c>
      <c r="O4337" s="38" t="s">
        <v>123</v>
      </c>
      <c r="P4337" s="38">
        <v>900.0</v>
      </c>
      <c r="Q4337" s="39"/>
      <c r="R4337" s="39"/>
      <c r="S4337" s="39"/>
      <c r="T4337" s="39"/>
      <c r="U4337" s="39"/>
    </row>
    <row r="4338">
      <c r="A4338" s="40">
        <f t="shared" si="1"/>
        <v>46006</v>
      </c>
      <c r="B4338" s="37" t="str">
        <f t="array" ref="B4338">iferror(xlookup($I4338, 'IMPORT VHC Report'!$E:$E, 'IMPORT VHC Report'!$A:$C), )</f>
        <v/>
      </c>
      <c r="C4338" s="37"/>
      <c r="D4338" s="37"/>
      <c r="E4338" s="38" t="s">
        <v>5203</v>
      </c>
      <c r="F4338" s="38" t="s">
        <v>5171</v>
      </c>
      <c r="G4338" s="38">
        <v>1.1401945362575E13</v>
      </c>
      <c r="H4338" s="38" t="s">
        <v>5172</v>
      </c>
      <c r="I4338" s="38" t="s">
        <v>5173</v>
      </c>
      <c r="J4338" s="38" t="s">
        <v>224</v>
      </c>
      <c r="K4338" s="38" t="s">
        <v>63</v>
      </c>
      <c r="L4338" s="41">
        <v>46010.083333333336</v>
      </c>
      <c r="M4338" s="38" t="s">
        <v>123</v>
      </c>
      <c r="N4338" s="41">
        <v>46010.166666666664</v>
      </c>
      <c r="O4338" s="38" t="s">
        <v>123</v>
      </c>
      <c r="P4338" s="38">
        <v>7200.0</v>
      </c>
      <c r="Q4338" s="39"/>
      <c r="R4338" s="39"/>
      <c r="S4338" s="39"/>
      <c r="T4338" s="39"/>
      <c r="U4338" s="39"/>
    </row>
    <row r="4339">
      <c r="A4339" s="40">
        <f t="shared" si="1"/>
        <v>46006</v>
      </c>
      <c r="B4339" s="37" t="str">
        <f t="array" ref="B4339">iferror(xlookup($I4339, 'IMPORT VHC Report'!$E:$E, 'IMPORT VHC Report'!$A:$C), )</f>
        <v/>
      </c>
      <c r="C4339" s="37"/>
      <c r="D4339" s="37"/>
      <c r="E4339" s="38" t="s">
        <v>5204</v>
      </c>
      <c r="F4339" s="38" t="s">
        <v>5171</v>
      </c>
      <c r="G4339" s="38">
        <v>1.1401945362575E13</v>
      </c>
      <c r="H4339" s="38" t="s">
        <v>5172</v>
      </c>
      <c r="I4339" s="38" t="s">
        <v>5173</v>
      </c>
      <c r="J4339" s="38" t="s">
        <v>224</v>
      </c>
      <c r="K4339" s="38" t="s">
        <v>63</v>
      </c>
      <c r="L4339" s="41">
        <v>46010.791666666664</v>
      </c>
      <c r="M4339" s="38" t="s">
        <v>123</v>
      </c>
      <c r="N4339" s="41">
        <v>46010.875</v>
      </c>
      <c r="O4339" s="38" t="s">
        <v>123</v>
      </c>
      <c r="P4339" s="38">
        <v>7200.0</v>
      </c>
      <c r="Q4339" s="39"/>
      <c r="R4339" s="39"/>
      <c r="S4339" s="39"/>
      <c r="T4339" s="39"/>
      <c r="U4339" s="39"/>
    </row>
    <row r="4340">
      <c r="A4340" s="40">
        <f t="shared" si="1"/>
        <v>46006</v>
      </c>
      <c r="B4340" s="37" t="str">
        <f t="array" ref="B4340">iferror(xlookup($I4340, 'IMPORT VHC Report'!$E:$E, 'IMPORT VHC Report'!$A:$C), )</f>
        <v/>
      </c>
      <c r="C4340" s="37"/>
      <c r="D4340" s="37"/>
      <c r="E4340" s="38" t="s">
        <v>5205</v>
      </c>
      <c r="F4340" s="38" t="s">
        <v>5171</v>
      </c>
      <c r="G4340" s="38">
        <v>1.1401945362575E13</v>
      </c>
      <c r="H4340" s="38" t="s">
        <v>5172</v>
      </c>
      <c r="I4340" s="38" t="s">
        <v>5173</v>
      </c>
      <c r="J4340" s="38" t="s">
        <v>134</v>
      </c>
      <c r="K4340" s="38" t="s">
        <v>126</v>
      </c>
      <c r="L4340" s="41">
        <v>46010.875</v>
      </c>
      <c r="M4340" s="38" t="s">
        <v>123</v>
      </c>
      <c r="N4340" s="41">
        <v>46010.885416666664</v>
      </c>
      <c r="O4340" s="38" t="s">
        <v>123</v>
      </c>
      <c r="P4340" s="38">
        <v>900.0</v>
      </c>
      <c r="Q4340" s="39"/>
      <c r="R4340" s="39"/>
      <c r="S4340" s="39"/>
      <c r="T4340" s="39"/>
      <c r="U4340" s="39"/>
    </row>
    <row r="4341">
      <c r="A4341" s="40">
        <f t="shared" si="1"/>
        <v>46006</v>
      </c>
      <c r="B4341" s="37" t="str">
        <f t="array" ref="B4341">iferror(xlookup($I4341, 'IMPORT VHC Report'!$E:$E, 'IMPORT VHC Report'!$A:$C), )</f>
        <v/>
      </c>
      <c r="C4341" s="37"/>
      <c r="D4341" s="37"/>
      <c r="E4341" s="38" t="s">
        <v>5206</v>
      </c>
      <c r="F4341" s="38" t="s">
        <v>5171</v>
      </c>
      <c r="G4341" s="38">
        <v>1.1401945362575E13</v>
      </c>
      <c r="H4341" s="38" t="s">
        <v>5172</v>
      </c>
      <c r="I4341" s="38" t="s">
        <v>5173</v>
      </c>
      <c r="J4341" s="38" t="s">
        <v>224</v>
      </c>
      <c r="K4341" s="38" t="s">
        <v>63</v>
      </c>
      <c r="L4341" s="41">
        <v>46010.885416666664</v>
      </c>
      <c r="M4341" s="38" t="s">
        <v>123</v>
      </c>
      <c r="N4341" s="41">
        <v>46010.947916666664</v>
      </c>
      <c r="O4341" s="38" t="s">
        <v>123</v>
      </c>
      <c r="P4341" s="38">
        <v>5400.0</v>
      </c>
      <c r="Q4341" s="39"/>
      <c r="R4341" s="39"/>
      <c r="S4341" s="39"/>
      <c r="T4341" s="39"/>
      <c r="U4341" s="39"/>
    </row>
    <row r="4342">
      <c r="A4342" s="40">
        <f t="shared" si="1"/>
        <v>46006</v>
      </c>
      <c r="B4342" s="37" t="str">
        <f t="array" ref="B4342">iferror(xlookup($I4342, 'IMPORT VHC Report'!$E:$E, 'IMPORT VHC Report'!$A:$C), )</f>
        <v/>
      </c>
      <c r="C4342" s="37"/>
      <c r="D4342" s="37"/>
      <c r="E4342" s="38" t="s">
        <v>5207</v>
      </c>
      <c r="F4342" s="38" t="s">
        <v>5171</v>
      </c>
      <c r="G4342" s="38">
        <v>1.1401945362575E13</v>
      </c>
      <c r="H4342" s="38" t="s">
        <v>5172</v>
      </c>
      <c r="I4342" s="38" t="s">
        <v>5173</v>
      </c>
      <c r="J4342" s="38" t="s">
        <v>132</v>
      </c>
      <c r="K4342" s="38" t="s">
        <v>126</v>
      </c>
      <c r="L4342" s="41">
        <v>46010.947916666664</v>
      </c>
      <c r="M4342" s="38" t="s">
        <v>123</v>
      </c>
      <c r="N4342" s="41">
        <v>46010.989583333336</v>
      </c>
      <c r="O4342" s="38" t="s">
        <v>123</v>
      </c>
      <c r="P4342" s="38">
        <v>3600.0</v>
      </c>
      <c r="Q4342" s="39"/>
      <c r="R4342" s="39"/>
      <c r="S4342" s="39"/>
      <c r="T4342" s="39"/>
      <c r="U4342" s="39"/>
    </row>
    <row r="4343">
      <c r="A4343" s="40">
        <f t="shared" si="1"/>
        <v>46006</v>
      </c>
      <c r="B4343" s="37" t="str">
        <f t="array" ref="B4343">iferror(xlookup($I4343, 'IMPORT VHC Report'!$E:$E, 'IMPORT VHC Report'!$A:$C), )</f>
        <v/>
      </c>
      <c r="C4343" s="37"/>
      <c r="D4343" s="37"/>
      <c r="E4343" s="38" t="s">
        <v>5208</v>
      </c>
      <c r="F4343" s="38" t="s">
        <v>5171</v>
      </c>
      <c r="G4343" s="38">
        <v>1.1401945362575E13</v>
      </c>
      <c r="H4343" s="38" t="s">
        <v>5172</v>
      </c>
      <c r="I4343" s="38" t="s">
        <v>5173</v>
      </c>
      <c r="J4343" s="38" t="s">
        <v>224</v>
      </c>
      <c r="K4343" s="38" t="s">
        <v>63</v>
      </c>
      <c r="L4343" s="41">
        <v>46010.989583333336</v>
      </c>
      <c r="M4343" s="38" t="s">
        <v>123</v>
      </c>
      <c r="N4343" s="41">
        <v>46011.020833333336</v>
      </c>
      <c r="O4343" s="38" t="s">
        <v>123</v>
      </c>
      <c r="P4343" s="38">
        <v>2700.0</v>
      </c>
      <c r="Q4343" s="39"/>
      <c r="R4343" s="39"/>
      <c r="S4343" s="39"/>
      <c r="T4343" s="39"/>
      <c r="U4343" s="39"/>
    </row>
    <row r="4344">
      <c r="A4344" s="40">
        <f t="shared" si="1"/>
        <v>46006</v>
      </c>
      <c r="B4344" s="37" t="str">
        <f t="array" ref="B4344">iferror(xlookup($I4344, 'IMPORT VHC Report'!$E:$E, 'IMPORT VHC Report'!$A:$C), )</f>
        <v/>
      </c>
      <c r="C4344" s="37"/>
      <c r="D4344" s="37"/>
      <c r="E4344" s="38" t="s">
        <v>5209</v>
      </c>
      <c r="F4344" s="38" t="s">
        <v>5171</v>
      </c>
      <c r="G4344" s="38">
        <v>1.1401945362575E13</v>
      </c>
      <c r="H4344" s="38" t="s">
        <v>5172</v>
      </c>
      <c r="I4344" s="38" t="s">
        <v>5173</v>
      </c>
      <c r="J4344" s="38" t="s">
        <v>62</v>
      </c>
      <c r="K4344" s="38" t="s">
        <v>63</v>
      </c>
      <c r="L4344" s="41">
        <v>46011.020833333336</v>
      </c>
      <c r="M4344" s="38" t="s">
        <v>123</v>
      </c>
      <c r="N4344" s="41">
        <v>46011.041666666664</v>
      </c>
      <c r="O4344" s="38" t="s">
        <v>123</v>
      </c>
      <c r="P4344" s="38">
        <v>1800.0</v>
      </c>
      <c r="Q4344" s="39"/>
      <c r="R4344" s="39"/>
      <c r="S4344" s="39"/>
      <c r="T4344" s="39"/>
      <c r="U4344" s="39"/>
    </row>
    <row r="4345">
      <c r="A4345" s="40">
        <f t="shared" si="1"/>
        <v>46006</v>
      </c>
      <c r="B4345" s="37" t="str">
        <f t="array" ref="B4345">iferror(xlookup($I4345, 'IMPORT VHC Report'!$E:$E, 'IMPORT VHC Report'!$A:$C), )</f>
        <v/>
      </c>
      <c r="C4345" s="37"/>
      <c r="D4345" s="37"/>
      <c r="E4345" s="38" t="s">
        <v>5210</v>
      </c>
      <c r="F4345" s="38" t="s">
        <v>5171</v>
      </c>
      <c r="G4345" s="38">
        <v>1.1401945362575E13</v>
      </c>
      <c r="H4345" s="38" t="s">
        <v>5172</v>
      </c>
      <c r="I4345" s="38" t="s">
        <v>5173</v>
      </c>
      <c r="J4345" s="38" t="s">
        <v>224</v>
      </c>
      <c r="K4345" s="38" t="s">
        <v>63</v>
      </c>
      <c r="L4345" s="41">
        <v>46011.041666666664</v>
      </c>
      <c r="M4345" s="38" t="s">
        <v>123</v>
      </c>
      <c r="N4345" s="41">
        <v>46011.0625</v>
      </c>
      <c r="O4345" s="38" t="s">
        <v>123</v>
      </c>
      <c r="P4345" s="38">
        <v>1800.0</v>
      </c>
      <c r="Q4345" s="39"/>
      <c r="R4345" s="39"/>
      <c r="S4345" s="39"/>
      <c r="T4345" s="39"/>
      <c r="U4345" s="39"/>
    </row>
    <row r="4346">
      <c r="A4346" s="40">
        <f t="shared" si="1"/>
        <v>46006</v>
      </c>
      <c r="B4346" s="37" t="str">
        <f t="array" ref="B4346">iferror(xlookup($I4346, 'IMPORT VHC Report'!$E:$E, 'IMPORT VHC Report'!$A:$C), )</f>
        <v/>
      </c>
      <c r="C4346" s="37"/>
      <c r="D4346" s="37"/>
      <c r="E4346" s="38" t="s">
        <v>5211</v>
      </c>
      <c r="F4346" s="38" t="s">
        <v>5171</v>
      </c>
      <c r="G4346" s="38">
        <v>1.1401945362575E13</v>
      </c>
      <c r="H4346" s="38" t="s">
        <v>5172</v>
      </c>
      <c r="I4346" s="38" t="s">
        <v>5173</v>
      </c>
      <c r="J4346" s="38" t="s">
        <v>134</v>
      </c>
      <c r="K4346" s="38" t="s">
        <v>126</v>
      </c>
      <c r="L4346" s="41">
        <v>46011.0625</v>
      </c>
      <c r="M4346" s="38" t="s">
        <v>123</v>
      </c>
      <c r="N4346" s="41">
        <v>46011.072916666664</v>
      </c>
      <c r="O4346" s="38" t="s">
        <v>123</v>
      </c>
      <c r="P4346" s="38">
        <v>900.0</v>
      </c>
      <c r="Q4346" s="39"/>
      <c r="R4346" s="39"/>
      <c r="S4346" s="39"/>
      <c r="T4346" s="39"/>
      <c r="U4346" s="39"/>
    </row>
    <row r="4347">
      <c r="A4347" s="40">
        <f t="shared" si="1"/>
        <v>46006</v>
      </c>
      <c r="B4347" s="37" t="str">
        <f t="array" ref="B4347">iferror(xlookup($I4347, 'IMPORT VHC Report'!$E:$E, 'IMPORT VHC Report'!$A:$C), )</f>
        <v/>
      </c>
      <c r="C4347" s="37"/>
      <c r="D4347" s="37"/>
      <c r="E4347" s="38" t="s">
        <v>5212</v>
      </c>
      <c r="F4347" s="38" t="s">
        <v>5171</v>
      </c>
      <c r="G4347" s="38">
        <v>1.1401945362575E13</v>
      </c>
      <c r="H4347" s="38" t="s">
        <v>5172</v>
      </c>
      <c r="I4347" s="38" t="s">
        <v>5173</v>
      </c>
      <c r="J4347" s="38" t="s">
        <v>224</v>
      </c>
      <c r="K4347" s="38" t="s">
        <v>63</v>
      </c>
      <c r="L4347" s="41">
        <v>46011.072916666664</v>
      </c>
      <c r="M4347" s="38" t="s">
        <v>123</v>
      </c>
      <c r="N4347" s="41">
        <v>46011.166666666664</v>
      </c>
      <c r="O4347" s="38" t="s">
        <v>123</v>
      </c>
      <c r="P4347" s="38">
        <v>8100.0</v>
      </c>
      <c r="Q4347" s="39"/>
      <c r="R4347" s="39"/>
      <c r="S4347" s="39"/>
      <c r="T4347" s="39"/>
      <c r="U4347" s="39"/>
    </row>
    <row r="4348">
      <c r="A4348" s="40">
        <f t="shared" si="1"/>
        <v>46006</v>
      </c>
      <c r="B4348" s="37" t="str">
        <f t="array" ref="B4348">iferror(xlookup($I4348, 'IMPORT VHC Report'!$E:$E, 'IMPORT VHC Report'!$A:$C), )</f>
        <v/>
      </c>
      <c r="C4348" s="37"/>
      <c r="D4348" s="37"/>
      <c r="E4348" s="38" t="s">
        <v>5213</v>
      </c>
      <c r="F4348" s="38" t="s">
        <v>5214</v>
      </c>
      <c r="G4348" s="38">
        <v>1.1401980902415E13</v>
      </c>
      <c r="H4348" s="38" t="s">
        <v>5215</v>
      </c>
      <c r="I4348" s="38" t="s">
        <v>5216</v>
      </c>
      <c r="J4348" s="38" t="s">
        <v>224</v>
      </c>
      <c r="K4348" s="38" t="s">
        <v>63</v>
      </c>
      <c r="L4348" s="41">
        <v>46006.791666666664</v>
      </c>
      <c r="M4348" s="38" t="s">
        <v>123</v>
      </c>
      <c r="N4348" s="41">
        <v>46006.916666666664</v>
      </c>
      <c r="O4348" s="38" t="s">
        <v>123</v>
      </c>
      <c r="P4348" s="38">
        <v>10800.0</v>
      </c>
      <c r="Q4348" s="39"/>
      <c r="R4348" s="39"/>
      <c r="S4348" s="39"/>
      <c r="T4348" s="39"/>
      <c r="U4348" s="39"/>
    </row>
    <row r="4349">
      <c r="A4349" s="40">
        <f t="shared" si="1"/>
        <v>46006</v>
      </c>
      <c r="B4349" s="37" t="str">
        <f t="array" ref="B4349">iferror(xlookup($I4349, 'IMPORT VHC Report'!$E:$E, 'IMPORT VHC Report'!$A:$C), )</f>
        <v/>
      </c>
      <c r="C4349" s="37"/>
      <c r="D4349" s="37"/>
      <c r="E4349" s="38" t="s">
        <v>5217</v>
      </c>
      <c r="F4349" s="38" t="s">
        <v>5214</v>
      </c>
      <c r="G4349" s="38">
        <v>1.1401980902415E13</v>
      </c>
      <c r="H4349" s="38" t="s">
        <v>5215</v>
      </c>
      <c r="I4349" s="38" t="s">
        <v>5216</v>
      </c>
      <c r="J4349" s="38" t="s">
        <v>125</v>
      </c>
      <c r="K4349" s="38" t="s">
        <v>126</v>
      </c>
      <c r="L4349" s="41">
        <v>46006.85625</v>
      </c>
      <c r="M4349" s="38" t="s">
        <v>123</v>
      </c>
      <c r="N4349" s="41">
        <v>46006.86319444444</v>
      </c>
      <c r="O4349" s="38" t="s">
        <v>123</v>
      </c>
      <c r="P4349" s="38">
        <v>600.0</v>
      </c>
      <c r="Q4349" s="39"/>
      <c r="R4349" s="39"/>
      <c r="S4349" s="38" t="s">
        <v>1793</v>
      </c>
      <c r="T4349" s="39"/>
      <c r="U4349" s="39"/>
    </row>
    <row r="4350">
      <c r="A4350" s="40">
        <f t="shared" si="1"/>
        <v>46006</v>
      </c>
      <c r="B4350" s="37" t="str">
        <f t="array" ref="B4350">iferror(xlookup($I4350, 'IMPORT VHC Report'!$E:$E, 'IMPORT VHC Report'!$A:$C), )</f>
        <v/>
      </c>
      <c r="C4350" s="37"/>
      <c r="D4350" s="37"/>
      <c r="E4350" s="38" t="s">
        <v>5218</v>
      </c>
      <c r="F4350" s="38" t="s">
        <v>5214</v>
      </c>
      <c r="G4350" s="38">
        <v>1.1401980902415E13</v>
      </c>
      <c r="H4350" s="38" t="s">
        <v>5215</v>
      </c>
      <c r="I4350" s="38" t="s">
        <v>5216</v>
      </c>
      <c r="J4350" s="38" t="s">
        <v>134</v>
      </c>
      <c r="K4350" s="38" t="s">
        <v>126</v>
      </c>
      <c r="L4350" s="41">
        <v>46006.875</v>
      </c>
      <c r="M4350" s="38" t="s">
        <v>123</v>
      </c>
      <c r="N4350" s="41">
        <v>46006.885416666664</v>
      </c>
      <c r="O4350" s="38" t="s">
        <v>123</v>
      </c>
      <c r="P4350" s="38">
        <v>900.0</v>
      </c>
      <c r="Q4350" s="39"/>
      <c r="R4350" s="39"/>
      <c r="S4350" s="39"/>
      <c r="T4350" s="39"/>
      <c r="U4350" s="39"/>
    </row>
    <row r="4351">
      <c r="A4351" s="40">
        <f t="shared" si="1"/>
        <v>46006</v>
      </c>
      <c r="B4351" s="37" t="str">
        <f t="array" ref="B4351">iferror(xlookup($I4351, 'IMPORT VHC Report'!$E:$E, 'IMPORT VHC Report'!$A:$C), )</f>
        <v/>
      </c>
      <c r="C4351" s="37"/>
      <c r="D4351" s="37"/>
      <c r="E4351" s="38" t="s">
        <v>5219</v>
      </c>
      <c r="F4351" s="38" t="s">
        <v>5214</v>
      </c>
      <c r="G4351" s="38">
        <v>1.1401980902415E13</v>
      </c>
      <c r="H4351" s="38" t="s">
        <v>5215</v>
      </c>
      <c r="I4351" s="38" t="s">
        <v>5216</v>
      </c>
      <c r="J4351" s="38" t="s">
        <v>62</v>
      </c>
      <c r="K4351" s="38" t="s">
        <v>63</v>
      </c>
      <c r="L4351" s="41">
        <v>46006.916666666664</v>
      </c>
      <c r="M4351" s="38" t="s">
        <v>123</v>
      </c>
      <c r="N4351" s="41">
        <v>46006.9375</v>
      </c>
      <c r="O4351" s="38" t="s">
        <v>123</v>
      </c>
      <c r="P4351" s="38">
        <v>1800.0</v>
      </c>
      <c r="Q4351" s="39"/>
      <c r="R4351" s="39"/>
      <c r="S4351" s="39"/>
      <c r="T4351" s="39"/>
      <c r="U4351" s="39"/>
    </row>
    <row r="4352">
      <c r="A4352" s="40">
        <f t="shared" si="1"/>
        <v>46006</v>
      </c>
      <c r="B4352" s="37" t="str">
        <f t="array" ref="B4352">iferror(xlookup($I4352, 'IMPORT VHC Report'!$E:$E, 'IMPORT VHC Report'!$A:$C), )</f>
        <v/>
      </c>
      <c r="C4352" s="37"/>
      <c r="D4352" s="37"/>
      <c r="E4352" s="38" t="s">
        <v>5220</v>
      </c>
      <c r="F4352" s="38" t="s">
        <v>5214</v>
      </c>
      <c r="G4352" s="38">
        <v>1.1401980902415E13</v>
      </c>
      <c r="H4352" s="38" t="s">
        <v>5215</v>
      </c>
      <c r="I4352" s="38" t="s">
        <v>5216</v>
      </c>
      <c r="J4352" s="38" t="s">
        <v>224</v>
      </c>
      <c r="K4352" s="38" t="s">
        <v>63</v>
      </c>
      <c r="L4352" s="41">
        <v>46006.9375</v>
      </c>
      <c r="M4352" s="38" t="s">
        <v>123</v>
      </c>
      <c r="N4352" s="41">
        <v>46006.958333333336</v>
      </c>
      <c r="O4352" s="38" t="s">
        <v>123</v>
      </c>
      <c r="P4352" s="38">
        <v>1800.0</v>
      </c>
      <c r="Q4352" s="39"/>
      <c r="R4352" s="39"/>
      <c r="S4352" s="39"/>
      <c r="T4352" s="39"/>
      <c r="U4352" s="39"/>
    </row>
    <row r="4353">
      <c r="A4353" s="40">
        <f t="shared" si="1"/>
        <v>46006</v>
      </c>
      <c r="B4353" s="37" t="str">
        <f t="array" ref="B4353">iferror(xlookup($I4353, 'IMPORT VHC Report'!$E:$E, 'IMPORT VHC Report'!$A:$C), )</f>
        <v/>
      </c>
      <c r="C4353" s="37"/>
      <c r="D4353" s="37"/>
      <c r="E4353" s="38" t="s">
        <v>5221</v>
      </c>
      <c r="F4353" s="38" t="s">
        <v>5214</v>
      </c>
      <c r="G4353" s="38">
        <v>1.1401980902415E13</v>
      </c>
      <c r="H4353" s="38" t="s">
        <v>5215</v>
      </c>
      <c r="I4353" s="38" t="s">
        <v>5216</v>
      </c>
      <c r="J4353" s="38" t="s">
        <v>134</v>
      </c>
      <c r="K4353" s="38" t="s">
        <v>126</v>
      </c>
      <c r="L4353" s="41">
        <v>46006.958333333336</v>
      </c>
      <c r="M4353" s="38" t="s">
        <v>123</v>
      </c>
      <c r="N4353" s="41">
        <v>46006.96875</v>
      </c>
      <c r="O4353" s="38" t="s">
        <v>123</v>
      </c>
      <c r="P4353" s="38">
        <v>900.0</v>
      </c>
      <c r="Q4353" s="39"/>
      <c r="R4353" s="39"/>
      <c r="S4353" s="39"/>
      <c r="T4353" s="39"/>
      <c r="U4353" s="39"/>
    </row>
    <row r="4354">
      <c r="A4354" s="40">
        <f t="shared" si="1"/>
        <v>46006</v>
      </c>
      <c r="B4354" s="37" t="str">
        <f t="array" ref="B4354">iferror(xlookup($I4354, 'IMPORT VHC Report'!$E:$E, 'IMPORT VHC Report'!$A:$C), )</f>
        <v/>
      </c>
      <c r="C4354" s="37"/>
      <c r="D4354" s="37"/>
      <c r="E4354" s="38" t="s">
        <v>5222</v>
      </c>
      <c r="F4354" s="38" t="s">
        <v>5214</v>
      </c>
      <c r="G4354" s="38">
        <v>1.1401980902415E13</v>
      </c>
      <c r="H4354" s="38" t="s">
        <v>5215</v>
      </c>
      <c r="I4354" s="38" t="s">
        <v>5216</v>
      </c>
      <c r="J4354" s="38" t="s">
        <v>224</v>
      </c>
      <c r="K4354" s="38" t="s">
        <v>63</v>
      </c>
      <c r="L4354" s="41">
        <v>46006.96875</v>
      </c>
      <c r="M4354" s="38" t="s">
        <v>123</v>
      </c>
      <c r="N4354" s="41">
        <v>46007.041666666664</v>
      </c>
      <c r="O4354" s="38" t="s">
        <v>123</v>
      </c>
      <c r="P4354" s="38">
        <v>6300.0</v>
      </c>
      <c r="Q4354" s="39"/>
      <c r="R4354" s="39"/>
      <c r="S4354" s="39"/>
      <c r="T4354" s="39"/>
      <c r="U4354" s="39"/>
    </row>
    <row r="4355">
      <c r="A4355" s="40">
        <f t="shared" si="1"/>
        <v>46006</v>
      </c>
      <c r="B4355" s="37" t="str">
        <f t="array" ref="B4355">iferror(xlookup($I4355, 'IMPORT VHC Report'!$E:$E, 'IMPORT VHC Report'!$A:$C), )</f>
        <v/>
      </c>
      <c r="C4355" s="37"/>
      <c r="D4355" s="37"/>
      <c r="E4355" s="38" t="s">
        <v>5223</v>
      </c>
      <c r="F4355" s="38" t="s">
        <v>5214</v>
      </c>
      <c r="G4355" s="38">
        <v>1.1401980902415E13</v>
      </c>
      <c r="H4355" s="38" t="s">
        <v>5215</v>
      </c>
      <c r="I4355" s="38" t="s">
        <v>5216</v>
      </c>
      <c r="J4355" s="38" t="s">
        <v>132</v>
      </c>
      <c r="K4355" s="38" t="s">
        <v>126</v>
      </c>
      <c r="L4355" s="41">
        <v>46007.041666666664</v>
      </c>
      <c r="M4355" s="38" t="s">
        <v>123</v>
      </c>
      <c r="N4355" s="41">
        <v>46007.083333333336</v>
      </c>
      <c r="O4355" s="38" t="s">
        <v>123</v>
      </c>
      <c r="P4355" s="38">
        <v>3600.0</v>
      </c>
      <c r="Q4355" s="39"/>
      <c r="R4355" s="39"/>
      <c r="S4355" s="39"/>
      <c r="T4355" s="39"/>
      <c r="U4355" s="39"/>
    </row>
    <row r="4356">
      <c r="A4356" s="40">
        <f t="shared" si="1"/>
        <v>46006</v>
      </c>
      <c r="B4356" s="37" t="str">
        <f t="array" ref="B4356">iferror(xlookup($I4356, 'IMPORT VHC Report'!$E:$E, 'IMPORT VHC Report'!$A:$C), )</f>
        <v/>
      </c>
      <c r="C4356" s="37"/>
      <c r="D4356" s="37"/>
      <c r="E4356" s="38" t="s">
        <v>5224</v>
      </c>
      <c r="F4356" s="38" t="s">
        <v>5214</v>
      </c>
      <c r="G4356" s="38">
        <v>1.1401980902415E13</v>
      </c>
      <c r="H4356" s="38" t="s">
        <v>5215</v>
      </c>
      <c r="I4356" s="38" t="s">
        <v>5216</v>
      </c>
      <c r="J4356" s="38" t="s">
        <v>224</v>
      </c>
      <c r="K4356" s="38" t="s">
        <v>63</v>
      </c>
      <c r="L4356" s="41">
        <v>46007.083333333336</v>
      </c>
      <c r="M4356" s="38" t="s">
        <v>123</v>
      </c>
      <c r="N4356" s="41">
        <v>46007.166666666664</v>
      </c>
      <c r="O4356" s="38" t="s">
        <v>123</v>
      </c>
      <c r="P4356" s="38">
        <v>7200.0</v>
      </c>
      <c r="Q4356" s="39"/>
      <c r="R4356" s="39"/>
      <c r="S4356" s="39"/>
      <c r="T4356" s="39"/>
      <c r="U4356" s="39"/>
    </row>
    <row r="4357">
      <c r="A4357" s="40">
        <f t="shared" si="1"/>
        <v>46006</v>
      </c>
      <c r="B4357" s="37" t="str">
        <f t="array" ref="B4357">iferror(xlookup($I4357, 'IMPORT VHC Report'!$E:$E, 'IMPORT VHC Report'!$A:$C), )</f>
        <v/>
      </c>
      <c r="C4357" s="37"/>
      <c r="D4357" s="37"/>
      <c r="E4357" s="38" t="s">
        <v>5225</v>
      </c>
      <c r="F4357" s="38" t="s">
        <v>5214</v>
      </c>
      <c r="G4357" s="38">
        <v>1.1401980902415E13</v>
      </c>
      <c r="H4357" s="38" t="s">
        <v>5215</v>
      </c>
      <c r="I4357" s="38" t="s">
        <v>5216</v>
      </c>
      <c r="J4357" s="38" t="s">
        <v>224</v>
      </c>
      <c r="K4357" s="38" t="s">
        <v>63</v>
      </c>
      <c r="L4357" s="41">
        <v>46007.791666666664</v>
      </c>
      <c r="M4357" s="38" t="s">
        <v>123</v>
      </c>
      <c r="N4357" s="41">
        <v>46007.885416666664</v>
      </c>
      <c r="O4357" s="38" t="s">
        <v>123</v>
      </c>
      <c r="P4357" s="38">
        <v>8100.0</v>
      </c>
      <c r="Q4357" s="39"/>
      <c r="R4357" s="39"/>
      <c r="S4357" s="39"/>
      <c r="T4357" s="39"/>
      <c r="U4357" s="39"/>
    </row>
    <row r="4358">
      <c r="A4358" s="40">
        <f t="shared" si="1"/>
        <v>46006</v>
      </c>
      <c r="B4358" s="37" t="str">
        <f t="array" ref="B4358">iferror(xlookup($I4358, 'IMPORT VHC Report'!$E:$E, 'IMPORT VHC Report'!$A:$C), )</f>
        <v/>
      </c>
      <c r="C4358" s="37"/>
      <c r="D4358" s="37"/>
      <c r="E4358" s="38" t="s">
        <v>5226</v>
      </c>
      <c r="F4358" s="38" t="s">
        <v>5214</v>
      </c>
      <c r="G4358" s="38">
        <v>1.1401980902415E13</v>
      </c>
      <c r="H4358" s="38" t="s">
        <v>5215</v>
      </c>
      <c r="I4358" s="38" t="s">
        <v>5216</v>
      </c>
      <c r="J4358" s="38" t="s">
        <v>134</v>
      </c>
      <c r="K4358" s="38" t="s">
        <v>126</v>
      </c>
      <c r="L4358" s="41">
        <v>46007.885416666664</v>
      </c>
      <c r="M4358" s="38" t="s">
        <v>123</v>
      </c>
      <c r="N4358" s="41">
        <v>46007.895833333336</v>
      </c>
      <c r="O4358" s="38" t="s">
        <v>123</v>
      </c>
      <c r="P4358" s="38">
        <v>900.0</v>
      </c>
      <c r="Q4358" s="39"/>
      <c r="R4358" s="39"/>
      <c r="S4358" s="39"/>
      <c r="T4358" s="39"/>
      <c r="U4358" s="39"/>
    </row>
    <row r="4359">
      <c r="A4359" s="40">
        <f t="shared" si="1"/>
        <v>46006</v>
      </c>
      <c r="B4359" s="37" t="str">
        <f t="array" ref="B4359">iferror(xlookup($I4359, 'IMPORT VHC Report'!$E:$E, 'IMPORT VHC Report'!$A:$C), )</f>
        <v/>
      </c>
      <c r="C4359" s="37"/>
      <c r="D4359" s="37"/>
      <c r="E4359" s="38" t="s">
        <v>5227</v>
      </c>
      <c r="F4359" s="38" t="s">
        <v>5214</v>
      </c>
      <c r="G4359" s="38">
        <v>1.1401980902415E13</v>
      </c>
      <c r="H4359" s="38" t="s">
        <v>5215</v>
      </c>
      <c r="I4359" s="38" t="s">
        <v>5216</v>
      </c>
      <c r="J4359" s="38" t="s">
        <v>224</v>
      </c>
      <c r="K4359" s="38" t="s">
        <v>63</v>
      </c>
      <c r="L4359" s="41">
        <v>46007.895833333336</v>
      </c>
      <c r="M4359" s="38" t="s">
        <v>123</v>
      </c>
      <c r="N4359" s="41">
        <v>46007.958333333336</v>
      </c>
      <c r="O4359" s="38" t="s">
        <v>123</v>
      </c>
      <c r="P4359" s="38">
        <v>5400.0</v>
      </c>
      <c r="Q4359" s="39"/>
      <c r="R4359" s="39"/>
      <c r="S4359" s="39"/>
      <c r="T4359" s="39"/>
      <c r="U4359" s="39"/>
    </row>
    <row r="4360">
      <c r="A4360" s="40">
        <f t="shared" si="1"/>
        <v>46006</v>
      </c>
      <c r="B4360" s="37" t="str">
        <f t="array" ref="B4360">iferror(xlookup($I4360, 'IMPORT VHC Report'!$E:$E, 'IMPORT VHC Report'!$A:$C), )</f>
        <v/>
      </c>
      <c r="C4360" s="37"/>
      <c r="D4360" s="37"/>
      <c r="E4360" s="38" t="s">
        <v>5228</v>
      </c>
      <c r="F4360" s="38" t="s">
        <v>5214</v>
      </c>
      <c r="G4360" s="38">
        <v>1.1401980902415E13</v>
      </c>
      <c r="H4360" s="38" t="s">
        <v>5215</v>
      </c>
      <c r="I4360" s="38" t="s">
        <v>5216</v>
      </c>
      <c r="J4360" s="38" t="s">
        <v>134</v>
      </c>
      <c r="K4360" s="38" t="s">
        <v>126</v>
      </c>
      <c r="L4360" s="41">
        <v>46007.958333333336</v>
      </c>
      <c r="M4360" s="38" t="s">
        <v>123</v>
      </c>
      <c r="N4360" s="41">
        <v>46007.96875</v>
      </c>
      <c r="O4360" s="38" t="s">
        <v>123</v>
      </c>
      <c r="P4360" s="38">
        <v>900.0</v>
      </c>
      <c r="Q4360" s="39"/>
      <c r="R4360" s="39"/>
      <c r="S4360" s="39"/>
      <c r="T4360" s="39"/>
      <c r="U4360" s="39"/>
    </row>
    <row r="4361">
      <c r="A4361" s="40">
        <f t="shared" si="1"/>
        <v>46006</v>
      </c>
      <c r="B4361" s="37" t="str">
        <f t="array" ref="B4361">iferror(xlookup($I4361, 'IMPORT VHC Report'!$E:$E, 'IMPORT VHC Report'!$A:$C), )</f>
        <v/>
      </c>
      <c r="C4361" s="37"/>
      <c r="D4361" s="37"/>
      <c r="E4361" s="38" t="s">
        <v>5229</v>
      </c>
      <c r="F4361" s="38" t="s">
        <v>5214</v>
      </c>
      <c r="G4361" s="38">
        <v>1.1401980902415E13</v>
      </c>
      <c r="H4361" s="38" t="s">
        <v>5215</v>
      </c>
      <c r="I4361" s="38" t="s">
        <v>5216</v>
      </c>
      <c r="J4361" s="38" t="s">
        <v>224</v>
      </c>
      <c r="K4361" s="38" t="s">
        <v>63</v>
      </c>
      <c r="L4361" s="41">
        <v>46007.96875</v>
      </c>
      <c r="M4361" s="38" t="s">
        <v>123</v>
      </c>
      <c r="N4361" s="41">
        <v>46008.041666666664</v>
      </c>
      <c r="O4361" s="38" t="s">
        <v>123</v>
      </c>
      <c r="P4361" s="38">
        <v>6300.0</v>
      </c>
      <c r="Q4361" s="39"/>
      <c r="R4361" s="39"/>
      <c r="S4361" s="39"/>
      <c r="T4361" s="39"/>
      <c r="U4361" s="39"/>
    </row>
    <row r="4362">
      <c r="A4362" s="40">
        <f t="shared" si="1"/>
        <v>46006</v>
      </c>
      <c r="B4362" s="37" t="str">
        <f t="array" ref="B4362">iferror(xlookup($I4362, 'IMPORT VHC Report'!$E:$E, 'IMPORT VHC Report'!$A:$C), )</f>
        <v/>
      </c>
      <c r="C4362" s="37"/>
      <c r="D4362" s="37"/>
      <c r="E4362" s="38" t="s">
        <v>5230</v>
      </c>
      <c r="F4362" s="38" t="s">
        <v>5214</v>
      </c>
      <c r="G4362" s="38">
        <v>1.1401980902415E13</v>
      </c>
      <c r="H4362" s="38" t="s">
        <v>5215</v>
      </c>
      <c r="I4362" s="38" t="s">
        <v>5216</v>
      </c>
      <c r="J4362" s="38" t="s">
        <v>132</v>
      </c>
      <c r="K4362" s="38" t="s">
        <v>126</v>
      </c>
      <c r="L4362" s="41">
        <v>46008.041666666664</v>
      </c>
      <c r="M4362" s="38" t="s">
        <v>123</v>
      </c>
      <c r="N4362" s="41">
        <v>46008.083333333336</v>
      </c>
      <c r="O4362" s="38" t="s">
        <v>123</v>
      </c>
      <c r="P4362" s="38">
        <v>3600.0</v>
      </c>
      <c r="Q4362" s="39"/>
      <c r="R4362" s="39"/>
      <c r="S4362" s="39"/>
      <c r="T4362" s="39"/>
      <c r="U4362" s="39"/>
    </row>
    <row r="4363">
      <c r="A4363" s="40">
        <f t="shared" si="1"/>
        <v>46006</v>
      </c>
      <c r="B4363" s="37" t="str">
        <f t="array" ref="B4363">iferror(xlookup($I4363, 'IMPORT VHC Report'!$E:$E, 'IMPORT VHC Report'!$A:$C), )</f>
        <v/>
      </c>
      <c r="C4363" s="37"/>
      <c r="D4363" s="37"/>
      <c r="E4363" s="38" t="s">
        <v>5231</v>
      </c>
      <c r="F4363" s="38" t="s">
        <v>5214</v>
      </c>
      <c r="G4363" s="38">
        <v>1.1401980902415E13</v>
      </c>
      <c r="H4363" s="38" t="s">
        <v>5215</v>
      </c>
      <c r="I4363" s="38" t="s">
        <v>5216</v>
      </c>
      <c r="J4363" s="38" t="s">
        <v>224</v>
      </c>
      <c r="K4363" s="38" t="s">
        <v>63</v>
      </c>
      <c r="L4363" s="41">
        <v>46008.083333333336</v>
      </c>
      <c r="M4363" s="38" t="s">
        <v>123</v>
      </c>
      <c r="N4363" s="41">
        <v>46008.166666666664</v>
      </c>
      <c r="O4363" s="38" t="s">
        <v>123</v>
      </c>
      <c r="P4363" s="38">
        <v>7200.0</v>
      </c>
      <c r="Q4363" s="39"/>
      <c r="R4363" s="39"/>
      <c r="S4363" s="39"/>
      <c r="T4363" s="39"/>
      <c r="U4363" s="39"/>
    </row>
    <row r="4364">
      <c r="A4364" s="40">
        <f t="shared" si="1"/>
        <v>46006</v>
      </c>
      <c r="B4364" s="37" t="str">
        <f t="array" ref="B4364">iferror(xlookup($I4364, 'IMPORT VHC Report'!$E:$E, 'IMPORT VHC Report'!$A:$C), )</f>
        <v/>
      </c>
      <c r="C4364" s="37"/>
      <c r="D4364" s="37"/>
      <c r="E4364" s="38" t="s">
        <v>5232</v>
      </c>
      <c r="F4364" s="38" t="s">
        <v>5214</v>
      </c>
      <c r="G4364" s="38">
        <v>1.1401980902415E13</v>
      </c>
      <c r="H4364" s="38" t="s">
        <v>5215</v>
      </c>
      <c r="I4364" s="38" t="s">
        <v>5216</v>
      </c>
      <c r="J4364" s="38" t="s">
        <v>224</v>
      </c>
      <c r="K4364" s="38" t="s">
        <v>63</v>
      </c>
      <c r="L4364" s="41">
        <v>46008.791666666664</v>
      </c>
      <c r="M4364" s="38" t="s">
        <v>123</v>
      </c>
      <c r="N4364" s="41">
        <v>46008.885416666664</v>
      </c>
      <c r="O4364" s="38" t="s">
        <v>123</v>
      </c>
      <c r="P4364" s="38">
        <v>8100.0</v>
      </c>
      <c r="Q4364" s="39"/>
      <c r="R4364" s="39"/>
      <c r="S4364" s="39"/>
      <c r="T4364" s="39"/>
      <c r="U4364" s="39"/>
    </row>
    <row r="4365">
      <c r="A4365" s="40">
        <f t="shared" si="1"/>
        <v>46006</v>
      </c>
      <c r="B4365" s="37" t="str">
        <f t="array" ref="B4365">iferror(xlookup($I4365, 'IMPORT VHC Report'!$E:$E, 'IMPORT VHC Report'!$A:$C), )</f>
        <v/>
      </c>
      <c r="C4365" s="37"/>
      <c r="D4365" s="37"/>
      <c r="E4365" s="38" t="s">
        <v>5233</v>
      </c>
      <c r="F4365" s="38" t="s">
        <v>5214</v>
      </c>
      <c r="G4365" s="38">
        <v>1.1401980902415E13</v>
      </c>
      <c r="H4365" s="38" t="s">
        <v>5215</v>
      </c>
      <c r="I4365" s="38" t="s">
        <v>5216</v>
      </c>
      <c r="J4365" s="38" t="s">
        <v>134</v>
      </c>
      <c r="K4365" s="38" t="s">
        <v>126</v>
      </c>
      <c r="L4365" s="41">
        <v>46008.885416666664</v>
      </c>
      <c r="M4365" s="38" t="s">
        <v>123</v>
      </c>
      <c r="N4365" s="41">
        <v>46008.895833333336</v>
      </c>
      <c r="O4365" s="38" t="s">
        <v>123</v>
      </c>
      <c r="P4365" s="38">
        <v>900.0</v>
      </c>
      <c r="Q4365" s="39"/>
      <c r="R4365" s="39"/>
      <c r="S4365" s="39"/>
      <c r="T4365" s="39"/>
      <c r="U4365" s="39"/>
    </row>
    <row r="4366">
      <c r="A4366" s="40">
        <f t="shared" si="1"/>
        <v>46006</v>
      </c>
      <c r="B4366" s="37" t="str">
        <f t="array" ref="B4366">iferror(xlookup($I4366, 'IMPORT VHC Report'!$E:$E, 'IMPORT VHC Report'!$A:$C), )</f>
        <v/>
      </c>
      <c r="C4366" s="37"/>
      <c r="D4366" s="37"/>
      <c r="E4366" s="38" t="s">
        <v>5234</v>
      </c>
      <c r="F4366" s="38" t="s">
        <v>5214</v>
      </c>
      <c r="G4366" s="38">
        <v>1.1401980902415E13</v>
      </c>
      <c r="H4366" s="38" t="s">
        <v>5215</v>
      </c>
      <c r="I4366" s="38" t="s">
        <v>5216</v>
      </c>
      <c r="J4366" s="38" t="s">
        <v>224</v>
      </c>
      <c r="K4366" s="38" t="s">
        <v>63</v>
      </c>
      <c r="L4366" s="41">
        <v>46008.895833333336</v>
      </c>
      <c r="M4366" s="38" t="s">
        <v>123</v>
      </c>
      <c r="N4366" s="41">
        <v>46008.96875</v>
      </c>
      <c r="O4366" s="38" t="s">
        <v>123</v>
      </c>
      <c r="P4366" s="38">
        <v>6300.0</v>
      </c>
      <c r="Q4366" s="39"/>
      <c r="R4366" s="39"/>
      <c r="S4366" s="39"/>
      <c r="T4366" s="39"/>
      <c r="U4366" s="39"/>
    </row>
    <row r="4367">
      <c r="A4367" s="40">
        <f t="shared" si="1"/>
        <v>46006</v>
      </c>
      <c r="B4367" s="37" t="str">
        <f t="array" ref="B4367">iferror(xlookup($I4367, 'IMPORT VHC Report'!$E:$E, 'IMPORT VHC Report'!$A:$C), )</f>
        <v/>
      </c>
      <c r="C4367" s="37"/>
      <c r="D4367" s="37"/>
      <c r="E4367" s="38" t="s">
        <v>5235</v>
      </c>
      <c r="F4367" s="38" t="s">
        <v>5214</v>
      </c>
      <c r="G4367" s="38">
        <v>1.1401980902415E13</v>
      </c>
      <c r="H4367" s="38" t="s">
        <v>5215</v>
      </c>
      <c r="I4367" s="38" t="s">
        <v>5216</v>
      </c>
      <c r="J4367" s="38" t="s">
        <v>134</v>
      </c>
      <c r="K4367" s="38" t="s">
        <v>126</v>
      </c>
      <c r="L4367" s="41">
        <v>46008.96875</v>
      </c>
      <c r="M4367" s="38" t="s">
        <v>123</v>
      </c>
      <c r="N4367" s="41">
        <v>46008.979166666664</v>
      </c>
      <c r="O4367" s="38" t="s">
        <v>123</v>
      </c>
      <c r="P4367" s="38">
        <v>900.0</v>
      </c>
      <c r="Q4367" s="39"/>
      <c r="R4367" s="39"/>
      <c r="S4367" s="39"/>
      <c r="T4367" s="39"/>
      <c r="U4367" s="39"/>
    </row>
    <row r="4368">
      <c r="A4368" s="40">
        <f t="shared" si="1"/>
        <v>46006</v>
      </c>
      <c r="B4368" s="37" t="str">
        <f t="array" ref="B4368">iferror(xlookup($I4368, 'IMPORT VHC Report'!$E:$E, 'IMPORT VHC Report'!$A:$C), )</f>
        <v/>
      </c>
      <c r="C4368" s="37"/>
      <c r="D4368" s="37"/>
      <c r="E4368" s="38" t="s">
        <v>5236</v>
      </c>
      <c r="F4368" s="38" t="s">
        <v>5214</v>
      </c>
      <c r="G4368" s="38">
        <v>1.1401980902415E13</v>
      </c>
      <c r="H4368" s="38" t="s">
        <v>5215</v>
      </c>
      <c r="I4368" s="38" t="s">
        <v>5216</v>
      </c>
      <c r="J4368" s="38" t="s">
        <v>224</v>
      </c>
      <c r="K4368" s="38" t="s">
        <v>63</v>
      </c>
      <c r="L4368" s="41">
        <v>46008.979166666664</v>
      </c>
      <c r="M4368" s="38" t="s">
        <v>123</v>
      </c>
      <c r="N4368" s="41">
        <v>46009.041666666664</v>
      </c>
      <c r="O4368" s="38" t="s">
        <v>123</v>
      </c>
      <c r="P4368" s="38">
        <v>5400.0</v>
      </c>
      <c r="Q4368" s="39"/>
      <c r="R4368" s="39"/>
      <c r="S4368" s="39"/>
      <c r="T4368" s="39"/>
      <c r="U4368" s="39"/>
    </row>
    <row r="4369">
      <c r="A4369" s="40">
        <f t="shared" si="1"/>
        <v>46006</v>
      </c>
      <c r="B4369" s="37" t="str">
        <f t="array" ref="B4369">iferror(xlookup($I4369, 'IMPORT VHC Report'!$E:$E, 'IMPORT VHC Report'!$A:$C), )</f>
        <v/>
      </c>
      <c r="C4369" s="37"/>
      <c r="D4369" s="37"/>
      <c r="E4369" s="38" t="s">
        <v>5237</v>
      </c>
      <c r="F4369" s="38" t="s">
        <v>5214</v>
      </c>
      <c r="G4369" s="38">
        <v>1.1401980902415E13</v>
      </c>
      <c r="H4369" s="38" t="s">
        <v>5215</v>
      </c>
      <c r="I4369" s="38" t="s">
        <v>5216</v>
      </c>
      <c r="J4369" s="38" t="s">
        <v>132</v>
      </c>
      <c r="K4369" s="38" t="s">
        <v>126</v>
      </c>
      <c r="L4369" s="41">
        <v>46009.041666666664</v>
      </c>
      <c r="M4369" s="38" t="s">
        <v>123</v>
      </c>
      <c r="N4369" s="41">
        <v>46009.083333333336</v>
      </c>
      <c r="O4369" s="38" t="s">
        <v>123</v>
      </c>
      <c r="P4369" s="38">
        <v>3600.0</v>
      </c>
      <c r="Q4369" s="39"/>
      <c r="R4369" s="39"/>
      <c r="S4369" s="39"/>
      <c r="T4369" s="39"/>
      <c r="U4369" s="39"/>
    </row>
    <row r="4370">
      <c r="A4370" s="40">
        <f t="shared" si="1"/>
        <v>46006</v>
      </c>
      <c r="B4370" s="37" t="str">
        <f t="array" ref="B4370">iferror(xlookup($I4370, 'IMPORT VHC Report'!$E:$E, 'IMPORT VHC Report'!$A:$C), )</f>
        <v/>
      </c>
      <c r="C4370" s="37"/>
      <c r="D4370" s="37"/>
      <c r="E4370" s="38" t="s">
        <v>5238</v>
      </c>
      <c r="F4370" s="38" t="s">
        <v>5214</v>
      </c>
      <c r="G4370" s="38">
        <v>1.1401980902415E13</v>
      </c>
      <c r="H4370" s="38" t="s">
        <v>5215</v>
      </c>
      <c r="I4370" s="38" t="s">
        <v>5216</v>
      </c>
      <c r="J4370" s="38" t="s">
        <v>224</v>
      </c>
      <c r="K4370" s="38" t="s">
        <v>63</v>
      </c>
      <c r="L4370" s="41">
        <v>46009.083333333336</v>
      </c>
      <c r="M4370" s="38" t="s">
        <v>123</v>
      </c>
      <c r="N4370" s="41">
        <v>46009.166666666664</v>
      </c>
      <c r="O4370" s="38" t="s">
        <v>123</v>
      </c>
      <c r="P4370" s="38">
        <v>7200.0</v>
      </c>
      <c r="Q4370" s="39"/>
      <c r="R4370" s="39"/>
      <c r="S4370" s="39"/>
      <c r="T4370" s="39"/>
      <c r="U4370" s="39"/>
    </row>
    <row r="4371">
      <c r="A4371" s="40">
        <f t="shared" si="1"/>
        <v>46006</v>
      </c>
      <c r="B4371" s="37" t="str">
        <f t="array" ref="B4371">iferror(xlookup($I4371, 'IMPORT VHC Report'!$E:$E, 'IMPORT VHC Report'!$A:$C), )</f>
        <v/>
      </c>
      <c r="C4371" s="37"/>
      <c r="D4371" s="37"/>
      <c r="E4371" s="38" t="s">
        <v>5239</v>
      </c>
      <c r="F4371" s="38" t="s">
        <v>5214</v>
      </c>
      <c r="G4371" s="38">
        <v>1.1401980902415E13</v>
      </c>
      <c r="H4371" s="38" t="s">
        <v>5215</v>
      </c>
      <c r="I4371" s="38" t="s">
        <v>5216</v>
      </c>
      <c r="J4371" s="38" t="s">
        <v>224</v>
      </c>
      <c r="K4371" s="38" t="s">
        <v>63</v>
      </c>
      <c r="L4371" s="41">
        <v>46009.791666666664</v>
      </c>
      <c r="M4371" s="38" t="s">
        <v>123</v>
      </c>
      <c r="N4371" s="41">
        <v>46009.875</v>
      </c>
      <c r="O4371" s="38" t="s">
        <v>123</v>
      </c>
      <c r="P4371" s="38">
        <v>7200.0</v>
      </c>
      <c r="Q4371" s="39"/>
      <c r="R4371" s="39"/>
      <c r="S4371" s="39"/>
      <c r="T4371" s="39"/>
      <c r="U4371" s="39"/>
    </row>
    <row r="4372">
      <c r="A4372" s="40">
        <f t="shared" si="1"/>
        <v>46006</v>
      </c>
      <c r="B4372" s="37" t="str">
        <f t="array" ref="B4372">iferror(xlookup($I4372, 'IMPORT VHC Report'!$E:$E, 'IMPORT VHC Report'!$A:$C), )</f>
        <v/>
      </c>
      <c r="C4372" s="37"/>
      <c r="D4372" s="37"/>
      <c r="E4372" s="38" t="s">
        <v>5240</v>
      </c>
      <c r="F4372" s="38" t="s">
        <v>5214</v>
      </c>
      <c r="G4372" s="38">
        <v>1.1401980902415E13</v>
      </c>
      <c r="H4372" s="38" t="s">
        <v>5215</v>
      </c>
      <c r="I4372" s="38" t="s">
        <v>5216</v>
      </c>
      <c r="J4372" s="38" t="s">
        <v>134</v>
      </c>
      <c r="K4372" s="38" t="s">
        <v>126</v>
      </c>
      <c r="L4372" s="41">
        <v>46009.875</v>
      </c>
      <c r="M4372" s="38" t="s">
        <v>123</v>
      </c>
      <c r="N4372" s="41">
        <v>46009.885416666664</v>
      </c>
      <c r="O4372" s="38" t="s">
        <v>123</v>
      </c>
      <c r="P4372" s="38">
        <v>900.0</v>
      </c>
      <c r="Q4372" s="39"/>
      <c r="R4372" s="39"/>
      <c r="S4372" s="39"/>
      <c r="T4372" s="39"/>
      <c r="U4372" s="39"/>
    </row>
    <row r="4373">
      <c r="A4373" s="40">
        <f t="shared" si="1"/>
        <v>46006</v>
      </c>
      <c r="B4373" s="37" t="str">
        <f t="array" ref="B4373">iferror(xlookup($I4373, 'IMPORT VHC Report'!$E:$E, 'IMPORT VHC Report'!$A:$C), )</f>
        <v/>
      </c>
      <c r="C4373" s="37"/>
      <c r="D4373" s="37"/>
      <c r="E4373" s="38" t="s">
        <v>5241</v>
      </c>
      <c r="F4373" s="38" t="s">
        <v>5214</v>
      </c>
      <c r="G4373" s="38">
        <v>1.1401980902415E13</v>
      </c>
      <c r="H4373" s="38" t="s">
        <v>5215</v>
      </c>
      <c r="I4373" s="38" t="s">
        <v>5216</v>
      </c>
      <c r="J4373" s="38" t="s">
        <v>224</v>
      </c>
      <c r="K4373" s="38" t="s">
        <v>63</v>
      </c>
      <c r="L4373" s="41">
        <v>46009.885416666664</v>
      </c>
      <c r="M4373" s="38" t="s">
        <v>123</v>
      </c>
      <c r="N4373" s="41">
        <v>46009.958333333336</v>
      </c>
      <c r="O4373" s="38" t="s">
        <v>123</v>
      </c>
      <c r="P4373" s="38">
        <v>6300.0</v>
      </c>
      <c r="Q4373" s="39"/>
      <c r="R4373" s="39"/>
      <c r="S4373" s="39"/>
      <c r="T4373" s="39"/>
      <c r="U4373" s="39"/>
    </row>
    <row r="4374">
      <c r="A4374" s="40">
        <f t="shared" si="1"/>
        <v>46006</v>
      </c>
      <c r="B4374" s="37" t="str">
        <f t="array" ref="B4374">iferror(xlookup($I4374, 'IMPORT VHC Report'!$E:$E, 'IMPORT VHC Report'!$A:$C), )</f>
        <v/>
      </c>
      <c r="C4374" s="37"/>
      <c r="D4374" s="37"/>
      <c r="E4374" s="38" t="s">
        <v>5242</v>
      </c>
      <c r="F4374" s="38" t="s">
        <v>5214</v>
      </c>
      <c r="G4374" s="38">
        <v>1.1401980902415E13</v>
      </c>
      <c r="H4374" s="38" t="s">
        <v>5215</v>
      </c>
      <c r="I4374" s="38" t="s">
        <v>5216</v>
      </c>
      <c r="J4374" s="38" t="s">
        <v>134</v>
      </c>
      <c r="K4374" s="38" t="s">
        <v>126</v>
      </c>
      <c r="L4374" s="41">
        <v>46009.958333333336</v>
      </c>
      <c r="M4374" s="38" t="s">
        <v>123</v>
      </c>
      <c r="N4374" s="41">
        <v>46009.96875</v>
      </c>
      <c r="O4374" s="38" t="s">
        <v>123</v>
      </c>
      <c r="P4374" s="38">
        <v>900.0</v>
      </c>
      <c r="Q4374" s="39"/>
      <c r="R4374" s="39"/>
      <c r="S4374" s="39"/>
      <c r="T4374" s="39"/>
      <c r="U4374" s="39"/>
    </row>
    <row r="4375">
      <c r="A4375" s="40">
        <f t="shared" si="1"/>
        <v>46006</v>
      </c>
      <c r="B4375" s="37" t="str">
        <f t="array" ref="B4375">iferror(xlookup($I4375, 'IMPORT VHC Report'!$E:$E, 'IMPORT VHC Report'!$A:$C), )</f>
        <v/>
      </c>
      <c r="C4375" s="37"/>
      <c r="D4375" s="37"/>
      <c r="E4375" s="38" t="s">
        <v>5243</v>
      </c>
      <c r="F4375" s="38" t="s">
        <v>5214</v>
      </c>
      <c r="G4375" s="38">
        <v>1.1401980902415E13</v>
      </c>
      <c r="H4375" s="38" t="s">
        <v>5215</v>
      </c>
      <c r="I4375" s="38" t="s">
        <v>5216</v>
      </c>
      <c r="J4375" s="38" t="s">
        <v>224</v>
      </c>
      <c r="K4375" s="38" t="s">
        <v>63</v>
      </c>
      <c r="L4375" s="41">
        <v>46009.96875</v>
      </c>
      <c r="M4375" s="38" t="s">
        <v>123</v>
      </c>
      <c r="N4375" s="41">
        <v>46010.041666666664</v>
      </c>
      <c r="O4375" s="38" t="s">
        <v>123</v>
      </c>
      <c r="P4375" s="38">
        <v>6300.0</v>
      </c>
      <c r="Q4375" s="39"/>
      <c r="R4375" s="39"/>
      <c r="S4375" s="39"/>
      <c r="T4375" s="39"/>
      <c r="U4375" s="39"/>
    </row>
    <row r="4376">
      <c r="A4376" s="40">
        <f t="shared" si="1"/>
        <v>46006</v>
      </c>
      <c r="B4376" s="37" t="str">
        <f t="array" ref="B4376">iferror(xlookup($I4376, 'IMPORT VHC Report'!$E:$E, 'IMPORT VHC Report'!$A:$C), )</f>
        <v/>
      </c>
      <c r="C4376" s="37"/>
      <c r="D4376" s="37"/>
      <c r="E4376" s="38" t="s">
        <v>5244</v>
      </c>
      <c r="F4376" s="38" t="s">
        <v>5214</v>
      </c>
      <c r="G4376" s="38">
        <v>1.1401980902415E13</v>
      </c>
      <c r="H4376" s="38" t="s">
        <v>5215</v>
      </c>
      <c r="I4376" s="38" t="s">
        <v>5216</v>
      </c>
      <c r="J4376" s="38" t="s">
        <v>132</v>
      </c>
      <c r="K4376" s="38" t="s">
        <v>126</v>
      </c>
      <c r="L4376" s="41">
        <v>46010.041666666664</v>
      </c>
      <c r="M4376" s="38" t="s">
        <v>123</v>
      </c>
      <c r="N4376" s="41">
        <v>46010.083333333336</v>
      </c>
      <c r="O4376" s="38" t="s">
        <v>123</v>
      </c>
      <c r="P4376" s="38">
        <v>3600.0</v>
      </c>
      <c r="Q4376" s="39"/>
      <c r="R4376" s="39"/>
      <c r="S4376" s="39"/>
      <c r="T4376" s="39"/>
      <c r="U4376" s="39"/>
    </row>
    <row r="4377">
      <c r="A4377" s="40">
        <f t="shared" si="1"/>
        <v>46006</v>
      </c>
      <c r="B4377" s="37" t="str">
        <f t="array" ref="B4377">iferror(xlookup($I4377, 'IMPORT VHC Report'!$E:$E, 'IMPORT VHC Report'!$A:$C), )</f>
        <v/>
      </c>
      <c r="C4377" s="37"/>
      <c r="D4377" s="37"/>
      <c r="E4377" s="38" t="s">
        <v>5245</v>
      </c>
      <c r="F4377" s="38" t="s">
        <v>5214</v>
      </c>
      <c r="G4377" s="38">
        <v>1.1401980902415E13</v>
      </c>
      <c r="H4377" s="38" t="s">
        <v>5215</v>
      </c>
      <c r="I4377" s="38" t="s">
        <v>5216</v>
      </c>
      <c r="J4377" s="38" t="s">
        <v>224</v>
      </c>
      <c r="K4377" s="38" t="s">
        <v>63</v>
      </c>
      <c r="L4377" s="41">
        <v>46010.083333333336</v>
      </c>
      <c r="M4377" s="38" t="s">
        <v>123</v>
      </c>
      <c r="N4377" s="41">
        <v>46010.166666666664</v>
      </c>
      <c r="O4377" s="38" t="s">
        <v>123</v>
      </c>
      <c r="P4377" s="38">
        <v>7200.0</v>
      </c>
      <c r="Q4377" s="39"/>
      <c r="R4377" s="39"/>
      <c r="S4377" s="39"/>
      <c r="T4377" s="39"/>
      <c r="U4377" s="39"/>
    </row>
    <row r="4378">
      <c r="A4378" s="40">
        <f t="shared" si="1"/>
        <v>46006</v>
      </c>
      <c r="B4378" s="37" t="str">
        <f t="array" ref="B4378">iferror(xlookup($I4378, 'IMPORT VHC Report'!$E:$E, 'IMPORT VHC Report'!$A:$C), )</f>
        <v/>
      </c>
      <c r="C4378" s="37"/>
      <c r="D4378" s="37"/>
      <c r="E4378" s="38" t="s">
        <v>5246</v>
      </c>
      <c r="F4378" s="38" t="s">
        <v>5214</v>
      </c>
      <c r="G4378" s="38">
        <v>1.1401980902415E13</v>
      </c>
      <c r="H4378" s="38" t="s">
        <v>5215</v>
      </c>
      <c r="I4378" s="38" t="s">
        <v>5216</v>
      </c>
      <c r="J4378" s="38" t="s">
        <v>224</v>
      </c>
      <c r="K4378" s="38" t="s">
        <v>63</v>
      </c>
      <c r="L4378" s="41">
        <v>46010.791666666664</v>
      </c>
      <c r="M4378" s="38" t="s">
        <v>123</v>
      </c>
      <c r="N4378" s="41">
        <v>46010.875</v>
      </c>
      <c r="O4378" s="38" t="s">
        <v>123</v>
      </c>
      <c r="P4378" s="38">
        <v>7200.0</v>
      </c>
      <c r="Q4378" s="39"/>
      <c r="R4378" s="39"/>
      <c r="S4378" s="39"/>
      <c r="T4378" s="39"/>
      <c r="U4378" s="39"/>
    </row>
    <row r="4379">
      <c r="A4379" s="40">
        <f t="shared" si="1"/>
        <v>46006</v>
      </c>
      <c r="B4379" s="37" t="str">
        <f t="array" ref="B4379">iferror(xlookup($I4379, 'IMPORT VHC Report'!$E:$E, 'IMPORT VHC Report'!$A:$C), )</f>
        <v/>
      </c>
      <c r="C4379" s="37"/>
      <c r="D4379" s="37"/>
      <c r="E4379" s="38" t="s">
        <v>5247</v>
      </c>
      <c r="F4379" s="38" t="s">
        <v>5214</v>
      </c>
      <c r="G4379" s="38">
        <v>1.1401980902415E13</v>
      </c>
      <c r="H4379" s="38" t="s">
        <v>5215</v>
      </c>
      <c r="I4379" s="38" t="s">
        <v>5216</v>
      </c>
      <c r="J4379" s="38" t="s">
        <v>134</v>
      </c>
      <c r="K4379" s="38" t="s">
        <v>126</v>
      </c>
      <c r="L4379" s="41">
        <v>46010.875</v>
      </c>
      <c r="M4379" s="38" t="s">
        <v>123</v>
      </c>
      <c r="N4379" s="41">
        <v>46010.885416666664</v>
      </c>
      <c r="O4379" s="38" t="s">
        <v>123</v>
      </c>
      <c r="P4379" s="38">
        <v>900.0</v>
      </c>
      <c r="Q4379" s="39"/>
      <c r="R4379" s="39"/>
      <c r="S4379" s="39"/>
      <c r="T4379" s="39"/>
      <c r="U4379" s="39"/>
    </row>
    <row r="4380">
      <c r="A4380" s="40">
        <f t="shared" si="1"/>
        <v>46006</v>
      </c>
      <c r="B4380" s="37" t="str">
        <f t="array" ref="B4380">iferror(xlookup($I4380, 'IMPORT VHC Report'!$E:$E, 'IMPORT VHC Report'!$A:$C), )</f>
        <v/>
      </c>
      <c r="C4380" s="37"/>
      <c r="D4380" s="37"/>
      <c r="E4380" s="38" t="s">
        <v>5248</v>
      </c>
      <c r="F4380" s="38" t="s">
        <v>5214</v>
      </c>
      <c r="G4380" s="38">
        <v>1.1401980902415E13</v>
      </c>
      <c r="H4380" s="38" t="s">
        <v>5215</v>
      </c>
      <c r="I4380" s="38" t="s">
        <v>5216</v>
      </c>
      <c r="J4380" s="38" t="s">
        <v>224</v>
      </c>
      <c r="K4380" s="38" t="s">
        <v>63</v>
      </c>
      <c r="L4380" s="41">
        <v>46010.885416666664</v>
      </c>
      <c r="M4380" s="38" t="s">
        <v>123</v>
      </c>
      <c r="N4380" s="41">
        <v>46010.958333333336</v>
      </c>
      <c r="O4380" s="38" t="s">
        <v>123</v>
      </c>
      <c r="P4380" s="38">
        <v>6300.0</v>
      </c>
      <c r="Q4380" s="39"/>
      <c r="R4380" s="39"/>
      <c r="S4380" s="39"/>
      <c r="T4380" s="39"/>
      <c r="U4380" s="39"/>
    </row>
    <row r="4381">
      <c r="A4381" s="40">
        <f t="shared" si="1"/>
        <v>46006</v>
      </c>
      <c r="B4381" s="37" t="str">
        <f t="array" ref="B4381">iferror(xlookup($I4381, 'IMPORT VHC Report'!$E:$E, 'IMPORT VHC Report'!$A:$C), )</f>
        <v/>
      </c>
      <c r="C4381" s="37"/>
      <c r="D4381" s="37"/>
      <c r="E4381" s="38" t="s">
        <v>5249</v>
      </c>
      <c r="F4381" s="38" t="s">
        <v>5214</v>
      </c>
      <c r="G4381" s="38">
        <v>1.1401980902415E13</v>
      </c>
      <c r="H4381" s="38" t="s">
        <v>5215</v>
      </c>
      <c r="I4381" s="38" t="s">
        <v>5216</v>
      </c>
      <c r="J4381" s="38" t="s">
        <v>132</v>
      </c>
      <c r="K4381" s="38" t="s">
        <v>126</v>
      </c>
      <c r="L4381" s="41">
        <v>46010.958333333336</v>
      </c>
      <c r="M4381" s="38" t="s">
        <v>123</v>
      </c>
      <c r="N4381" s="41">
        <v>46011.0</v>
      </c>
      <c r="O4381" s="38" t="s">
        <v>123</v>
      </c>
      <c r="P4381" s="38">
        <v>3600.0</v>
      </c>
      <c r="Q4381" s="39"/>
      <c r="R4381" s="39"/>
      <c r="S4381" s="39"/>
      <c r="T4381" s="39"/>
      <c r="U4381" s="39"/>
    </row>
    <row r="4382">
      <c r="A4382" s="40">
        <f t="shared" si="1"/>
        <v>46006</v>
      </c>
      <c r="B4382" s="37" t="str">
        <f t="array" ref="B4382">iferror(xlookup($I4382, 'IMPORT VHC Report'!$E:$E, 'IMPORT VHC Report'!$A:$C), )</f>
        <v/>
      </c>
      <c r="C4382" s="37"/>
      <c r="D4382" s="37"/>
      <c r="E4382" s="38" t="s">
        <v>5250</v>
      </c>
      <c r="F4382" s="38" t="s">
        <v>5214</v>
      </c>
      <c r="G4382" s="38">
        <v>1.1401980902415E13</v>
      </c>
      <c r="H4382" s="38" t="s">
        <v>5215</v>
      </c>
      <c r="I4382" s="38" t="s">
        <v>5216</v>
      </c>
      <c r="J4382" s="38" t="s">
        <v>224</v>
      </c>
      <c r="K4382" s="38" t="s">
        <v>63</v>
      </c>
      <c r="L4382" s="41">
        <v>46011.0</v>
      </c>
      <c r="M4382" s="38" t="s">
        <v>123</v>
      </c>
      <c r="N4382" s="41">
        <v>46011.166666666664</v>
      </c>
      <c r="O4382" s="38" t="s">
        <v>123</v>
      </c>
      <c r="P4382" s="38">
        <v>14400.0</v>
      </c>
      <c r="Q4382" s="39"/>
      <c r="R4382" s="39"/>
      <c r="S4382" s="39"/>
      <c r="T4382" s="39"/>
      <c r="U4382" s="39"/>
    </row>
    <row r="4383">
      <c r="A4383" s="40">
        <f t="shared" si="1"/>
        <v>46006</v>
      </c>
      <c r="B4383" s="37" t="str">
        <f t="array" ref="B4383">iferror(xlookup($I4383, 'IMPORT VHC Report'!$E:$E, 'IMPORT VHC Report'!$A:$C), )</f>
        <v/>
      </c>
      <c r="C4383" s="37"/>
      <c r="D4383" s="37"/>
      <c r="E4383" s="38" t="s">
        <v>5251</v>
      </c>
      <c r="F4383" s="38" t="s">
        <v>5214</v>
      </c>
      <c r="G4383" s="38">
        <v>1.1401980902415E13</v>
      </c>
      <c r="H4383" s="38" t="s">
        <v>5215</v>
      </c>
      <c r="I4383" s="38" t="s">
        <v>5216</v>
      </c>
      <c r="J4383" s="38" t="s">
        <v>134</v>
      </c>
      <c r="K4383" s="38" t="s">
        <v>126</v>
      </c>
      <c r="L4383" s="41">
        <v>46011.072916666664</v>
      </c>
      <c r="M4383" s="38" t="s">
        <v>123</v>
      </c>
      <c r="N4383" s="41">
        <v>46011.083333333336</v>
      </c>
      <c r="O4383" s="38" t="s">
        <v>123</v>
      </c>
      <c r="P4383" s="38">
        <v>900.0</v>
      </c>
      <c r="Q4383" s="39"/>
      <c r="R4383" s="39"/>
      <c r="S4383" s="39"/>
      <c r="T4383" s="39"/>
      <c r="U4383" s="39"/>
    </row>
    <row r="4384">
      <c r="A4384" s="40">
        <f t="shared" si="1"/>
        <v>46006</v>
      </c>
      <c r="B4384" s="37" t="str">
        <f t="array" ref="B4384">iferror(xlookup($I4384, 'IMPORT VHC Report'!$E:$E, 'IMPORT VHC Report'!$A:$C), )</f>
        <v/>
      </c>
      <c r="C4384" s="37"/>
      <c r="D4384" s="37"/>
      <c r="E4384" s="38" t="s">
        <v>5252</v>
      </c>
      <c r="F4384" s="38" t="s">
        <v>5253</v>
      </c>
      <c r="G4384" s="38">
        <v>3.61731648215E11</v>
      </c>
      <c r="H4384" s="38" t="s">
        <v>5254</v>
      </c>
      <c r="I4384" s="38" t="s">
        <v>5255</v>
      </c>
      <c r="J4384" s="38" t="s">
        <v>152</v>
      </c>
      <c r="K4384" s="38" t="s">
        <v>153</v>
      </c>
      <c r="L4384" s="41">
        <v>46006.791666666664</v>
      </c>
      <c r="M4384" s="38" t="s">
        <v>123</v>
      </c>
      <c r="N4384" s="41">
        <v>46007.166666666664</v>
      </c>
      <c r="O4384" s="38" t="s">
        <v>123</v>
      </c>
      <c r="P4384" s="38">
        <v>32400.0</v>
      </c>
      <c r="Q4384" s="38">
        <v>32400.0</v>
      </c>
      <c r="R4384" s="39"/>
      <c r="S4384" s="39"/>
      <c r="T4384" s="39"/>
      <c r="U4384" s="39"/>
    </row>
    <row r="4385">
      <c r="A4385" s="40">
        <f t="shared" si="1"/>
        <v>46006</v>
      </c>
      <c r="B4385" s="37" t="str">
        <f t="array" ref="B4385">iferror(xlookup($I4385, 'IMPORT VHC Report'!$E:$E, 'IMPORT VHC Report'!$A:$C), )</f>
        <v/>
      </c>
      <c r="C4385" s="37"/>
      <c r="D4385" s="37"/>
      <c r="E4385" s="38" t="s">
        <v>5256</v>
      </c>
      <c r="F4385" s="38" t="s">
        <v>5253</v>
      </c>
      <c r="G4385" s="38">
        <v>3.61731648215E11</v>
      </c>
      <c r="H4385" s="38" t="s">
        <v>5254</v>
      </c>
      <c r="I4385" s="38" t="s">
        <v>5255</v>
      </c>
      <c r="J4385" s="38" t="s">
        <v>134</v>
      </c>
      <c r="K4385" s="38" t="s">
        <v>126</v>
      </c>
      <c r="L4385" s="41">
        <v>46006.875</v>
      </c>
      <c r="M4385" s="38" t="s">
        <v>123</v>
      </c>
      <c r="N4385" s="41">
        <v>46006.895833333336</v>
      </c>
      <c r="O4385" s="38" t="s">
        <v>123</v>
      </c>
      <c r="P4385" s="38">
        <v>1800.0</v>
      </c>
      <c r="Q4385" s="39"/>
      <c r="R4385" s="39"/>
      <c r="S4385" s="39"/>
      <c r="T4385" s="39"/>
      <c r="U4385" s="39"/>
    </row>
    <row r="4386">
      <c r="A4386" s="40">
        <f t="shared" si="1"/>
        <v>46006</v>
      </c>
      <c r="B4386" s="37" t="str">
        <f t="array" ref="B4386">iferror(xlookup($I4386, 'IMPORT VHC Report'!$E:$E, 'IMPORT VHC Report'!$A:$C), )</f>
        <v/>
      </c>
      <c r="C4386" s="37"/>
      <c r="D4386" s="37"/>
      <c r="E4386" s="38" t="s">
        <v>5257</v>
      </c>
      <c r="F4386" s="38" t="s">
        <v>5253</v>
      </c>
      <c r="G4386" s="38">
        <v>3.61731648215E11</v>
      </c>
      <c r="H4386" s="38" t="s">
        <v>5254</v>
      </c>
      <c r="I4386" s="38" t="s">
        <v>5255</v>
      </c>
      <c r="J4386" s="38" t="s">
        <v>132</v>
      </c>
      <c r="K4386" s="38" t="s">
        <v>126</v>
      </c>
      <c r="L4386" s="41">
        <v>46007.010416666664</v>
      </c>
      <c r="M4386" s="38" t="s">
        <v>123</v>
      </c>
      <c r="N4386" s="41">
        <v>46007.052083333336</v>
      </c>
      <c r="O4386" s="38" t="s">
        <v>123</v>
      </c>
      <c r="P4386" s="38">
        <v>3600.0</v>
      </c>
      <c r="Q4386" s="39"/>
      <c r="R4386" s="39"/>
      <c r="S4386" s="39"/>
      <c r="T4386" s="39"/>
      <c r="U4386" s="39"/>
    </row>
    <row r="4387">
      <c r="A4387" s="40">
        <f t="shared" si="1"/>
        <v>46006</v>
      </c>
      <c r="B4387" s="37" t="str">
        <f t="array" ref="B4387">iferror(xlookup($I4387, 'IMPORT VHC Report'!$E:$E, 'IMPORT VHC Report'!$A:$C), )</f>
        <v/>
      </c>
      <c r="C4387" s="37"/>
      <c r="D4387" s="37"/>
      <c r="E4387" s="38" t="s">
        <v>5258</v>
      </c>
      <c r="F4387" s="38" t="s">
        <v>5253</v>
      </c>
      <c r="G4387" s="38">
        <v>3.61731648215E11</v>
      </c>
      <c r="H4387" s="38" t="s">
        <v>5254</v>
      </c>
      <c r="I4387" s="38" t="s">
        <v>5255</v>
      </c>
      <c r="J4387" s="38" t="s">
        <v>134</v>
      </c>
      <c r="K4387" s="38" t="s">
        <v>126</v>
      </c>
      <c r="L4387" s="41">
        <v>46007.052083333336</v>
      </c>
      <c r="M4387" s="38" t="s">
        <v>123</v>
      </c>
      <c r="N4387" s="41">
        <v>46007.07986111111</v>
      </c>
      <c r="O4387" s="38" t="s">
        <v>123</v>
      </c>
      <c r="P4387" s="38">
        <v>2400.0</v>
      </c>
      <c r="Q4387" s="39"/>
      <c r="R4387" s="39"/>
      <c r="S4387" s="38" t="s">
        <v>2274</v>
      </c>
      <c r="T4387" s="39"/>
      <c r="U4387" s="39"/>
    </row>
    <row r="4388">
      <c r="A4388" s="40">
        <f t="shared" si="1"/>
        <v>46006</v>
      </c>
      <c r="B4388" s="37" t="str">
        <f t="array" ref="B4388">iferror(xlookup($I4388, 'IMPORT VHC Report'!$E:$E, 'IMPORT VHC Report'!$A:$C), )</f>
        <v/>
      </c>
      <c r="C4388" s="37"/>
      <c r="D4388" s="37"/>
      <c r="E4388" s="38" t="s">
        <v>5259</v>
      </c>
      <c r="F4388" s="38" t="s">
        <v>5253</v>
      </c>
      <c r="G4388" s="38">
        <v>3.61731648215E11</v>
      </c>
      <c r="H4388" s="38" t="s">
        <v>5254</v>
      </c>
      <c r="I4388" s="38" t="s">
        <v>5255</v>
      </c>
      <c r="J4388" s="38" t="s">
        <v>152</v>
      </c>
      <c r="K4388" s="38" t="s">
        <v>153</v>
      </c>
      <c r="L4388" s="41">
        <v>46007.791666666664</v>
      </c>
      <c r="M4388" s="38" t="s">
        <v>123</v>
      </c>
      <c r="N4388" s="41">
        <v>46008.166666666664</v>
      </c>
      <c r="O4388" s="38" t="s">
        <v>123</v>
      </c>
      <c r="P4388" s="38">
        <v>32400.0</v>
      </c>
      <c r="Q4388" s="38">
        <v>32400.0</v>
      </c>
      <c r="R4388" s="38" t="s">
        <v>421</v>
      </c>
      <c r="S4388" s="38" t="s">
        <v>421</v>
      </c>
      <c r="T4388" s="39"/>
      <c r="U4388" s="39"/>
    </row>
    <row r="4389">
      <c r="A4389" s="40">
        <f t="shared" si="1"/>
        <v>46006</v>
      </c>
      <c r="B4389" s="37" t="str">
        <f t="array" ref="B4389">iferror(xlookup($I4389, 'IMPORT VHC Report'!$E:$E, 'IMPORT VHC Report'!$A:$C), )</f>
        <v/>
      </c>
      <c r="C4389" s="37"/>
      <c r="D4389" s="37"/>
      <c r="E4389" s="38" t="s">
        <v>5260</v>
      </c>
      <c r="F4389" s="38" t="s">
        <v>5253</v>
      </c>
      <c r="G4389" s="38">
        <v>3.61731648215E11</v>
      </c>
      <c r="H4389" s="38" t="s">
        <v>5254</v>
      </c>
      <c r="I4389" s="38" t="s">
        <v>5255</v>
      </c>
      <c r="J4389" s="38" t="s">
        <v>134</v>
      </c>
      <c r="K4389" s="38" t="s">
        <v>126</v>
      </c>
      <c r="L4389" s="41">
        <v>46007.885416666664</v>
      </c>
      <c r="M4389" s="38" t="s">
        <v>123</v>
      </c>
      <c r="N4389" s="41">
        <v>46007.90625</v>
      </c>
      <c r="O4389" s="38" t="s">
        <v>123</v>
      </c>
      <c r="P4389" s="38">
        <v>1800.0</v>
      </c>
      <c r="Q4389" s="39"/>
      <c r="R4389" s="39"/>
      <c r="S4389" s="39"/>
      <c r="T4389" s="39"/>
      <c r="U4389" s="39"/>
    </row>
    <row r="4390">
      <c r="A4390" s="40">
        <f t="shared" si="1"/>
        <v>46006</v>
      </c>
      <c r="B4390" s="37" t="str">
        <f t="array" ref="B4390">iferror(xlookup($I4390, 'IMPORT VHC Report'!$E:$E, 'IMPORT VHC Report'!$A:$C), )</f>
        <v/>
      </c>
      <c r="C4390" s="37"/>
      <c r="D4390" s="37"/>
      <c r="E4390" s="38" t="s">
        <v>5261</v>
      </c>
      <c r="F4390" s="38" t="s">
        <v>5253</v>
      </c>
      <c r="G4390" s="38">
        <v>3.61731648215E11</v>
      </c>
      <c r="H4390" s="38" t="s">
        <v>5254</v>
      </c>
      <c r="I4390" s="38" t="s">
        <v>5255</v>
      </c>
      <c r="J4390" s="38" t="s">
        <v>132</v>
      </c>
      <c r="K4390" s="38" t="s">
        <v>126</v>
      </c>
      <c r="L4390" s="41">
        <v>46008.0625</v>
      </c>
      <c r="M4390" s="38" t="s">
        <v>123</v>
      </c>
      <c r="N4390" s="41">
        <v>46008.104166666664</v>
      </c>
      <c r="O4390" s="38" t="s">
        <v>123</v>
      </c>
      <c r="P4390" s="38">
        <v>3600.0</v>
      </c>
      <c r="Q4390" s="39"/>
      <c r="R4390" s="39"/>
      <c r="S4390" s="39"/>
      <c r="T4390" s="39"/>
      <c r="U4390" s="39"/>
    </row>
    <row r="4391">
      <c r="A4391" s="40">
        <f t="shared" si="1"/>
        <v>46006</v>
      </c>
      <c r="B4391" s="37" t="str">
        <f t="array" ref="B4391">iferror(xlookup($I4391, 'IMPORT VHC Report'!$E:$E, 'IMPORT VHC Report'!$A:$C), )</f>
        <v/>
      </c>
      <c r="C4391" s="37"/>
      <c r="D4391" s="37"/>
      <c r="E4391" s="38" t="s">
        <v>5262</v>
      </c>
      <c r="F4391" s="38" t="s">
        <v>5253</v>
      </c>
      <c r="G4391" s="38">
        <v>3.61731648215E11</v>
      </c>
      <c r="H4391" s="38" t="s">
        <v>5254</v>
      </c>
      <c r="I4391" s="38" t="s">
        <v>5255</v>
      </c>
      <c r="J4391" s="38" t="s">
        <v>134</v>
      </c>
      <c r="K4391" s="38" t="s">
        <v>126</v>
      </c>
      <c r="L4391" s="41">
        <v>46008.104166666664</v>
      </c>
      <c r="M4391" s="38" t="s">
        <v>123</v>
      </c>
      <c r="N4391" s="41">
        <v>46008.131944444445</v>
      </c>
      <c r="O4391" s="38" t="s">
        <v>123</v>
      </c>
      <c r="P4391" s="38">
        <v>2400.0</v>
      </c>
      <c r="Q4391" s="39"/>
      <c r="R4391" s="39"/>
      <c r="S4391" s="38" t="s">
        <v>2274</v>
      </c>
      <c r="T4391" s="39"/>
      <c r="U4391" s="39"/>
    </row>
    <row r="4392">
      <c r="A4392" s="40">
        <f t="shared" si="1"/>
        <v>46006</v>
      </c>
      <c r="B4392" s="37" t="str">
        <f t="array" ref="B4392">iferror(xlookup($I4392, 'IMPORT VHC Report'!$E:$E, 'IMPORT VHC Report'!$A:$C), )</f>
        <v/>
      </c>
      <c r="C4392" s="37"/>
      <c r="D4392" s="37"/>
      <c r="E4392" s="38" t="s">
        <v>5263</v>
      </c>
      <c r="F4392" s="38" t="s">
        <v>5253</v>
      </c>
      <c r="G4392" s="38">
        <v>3.61731648215E11</v>
      </c>
      <c r="H4392" s="38" t="s">
        <v>5254</v>
      </c>
      <c r="I4392" s="38" t="s">
        <v>5255</v>
      </c>
      <c r="J4392" s="38" t="s">
        <v>363</v>
      </c>
      <c r="K4392" s="38" t="s">
        <v>63</v>
      </c>
      <c r="L4392" s="41">
        <v>46008.791666666664</v>
      </c>
      <c r="M4392" s="38" t="s">
        <v>123</v>
      </c>
      <c r="N4392" s="41">
        <v>46009.166666666664</v>
      </c>
      <c r="O4392" s="38" t="s">
        <v>123</v>
      </c>
      <c r="P4392" s="38">
        <v>32400.0</v>
      </c>
      <c r="Q4392" s="39"/>
      <c r="R4392" s="39"/>
      <c r="S4392" s="39"/>
      <c r="T4392" s="39"/>
      <c r="U4392" s="39"/>
    </row>
    <row r="4393">
      <c r="A4393" s="40">
        <f t="shared" si="1"/>
        <v>46006</v>
      </c>
      <c r="B4393" s="37" t="str">
        <f t="array" ref="B4393">iferror(xlookup($I4393, 'IMPORT VHC Report'!$E:$E, 'IMPORT VHC Report'!$A:$C), )</f>
        <v/>
      </c>
      <c r="C4393" s="37"/>
      <c r="D4393" s="37"/>
      <c r="E4393" s="38" t="s">
        <v>5264</v>
      </c>
      <c r="F4393" s="38" t="s">
        <v>5253</v>
      </c>
      <c r="G4393" s="38">
        <v>3.61731648215E11</v>
      </c>
      <c r="H4393" s="38" t="s">
        <v>5254</v>
      </c>
      <c r="I4393" s="38" t="s">
        <v>5255</v>
      </c>
      <c r="J4393" s="38" t="s">
        <v>152</v>
      </c>
      <c r="K4393" s="38" t="s">
        <v>153</v>
      </c>
      <c r="L4393" s="41">
        <v>46008.791666666664</v>
      </c>
      <c r="M4393" s="38" t="s">
        <v>123</v>
      </c>
      <c r="N4393" s="41">
        <v>46009.166666666664</v>
      </c>
      <c r="O4393" s="38" t="s">
        <v>123</v>
      </c>
      <c r="P4393" s="38">
        <v>32400.0</v>
      </c>
      <c r="Q4393" s="38">
        <v>28800.0</v>
      </c>
      <c r="R4393" s="38" t="s">
        <v>5265</v>
      </c>
      <c r="S4393" s="39"/>
      <c r="T4393" s="39"/>
      <c r="U4393" s="39"/>
    </row>
    <row r="4394">
      <c r="A4394" s="40">
        <f t="shared" si="1"/>
        <v>46006</v>
      </c>
      <c r="B4394" s="37" t="str">
        <f t="array" ref="B4394">iferror(xlookup($I4394, 'IMPORT VHC Report'!$E:$E, 'IMPORT VHC Report'!$A:$C), )</f>
        <v/>
      </c>
      <c r="C4394" s="37"/>
      <c r="D4394" s="37"/>
      <c r="E4394" s="38" t="s">
        <v>5266</v>
      </c>
      <c r="F4394" s="38" t="s">
        <v>5253</v>
      </c>
      <c r="G4394" s="38">
        <v>3.61731648215E11</v>
      </c>
      <c r="H4394" s="38" t="s">
        <v>5254</v>
      </c>
      <c r="I4394" s="38" t="s">
        <v>5255</v>
      </c>
      <c r="J4394" s="38" t="s">
        <v>134</v>
      </c>
      <c r="K4394" s="38" t="s">
        <v>126</v>
      </c>
      <c r="L4394" s="41">
        <v>46008.927083333336</v>
      </c>
      <c r="M4394" s="38" t="s">
        <v>123</v>
      </c>
      <c r="N4394" s="41">
        <v>46008.947916666664</v>
      </c>
      <c r="O4394" s="38" t="s">
        <v>123</v>
      </c>
      <c r="P4394" s="38">
        <v>1800.0</v>
      </c>
      <c r="Q4394" s="39"/>
      <c r="R4394" s="39"/>
      <c r="S4394" s="39"/>
      <c r="T4394" s="39"/>
      <c r="U4394" s="39"/>
    </row>
    <row r="4395">
      <c r="A4395" s="40">
        <f t="shared" si="1"/>
        <v>46006</v>
      </c>
      <c r="B4395" s="37" t="str">
        <f t="array" ref="B4395">iferror(xlookup($I4395, 'IMPORT VHC Report'!$E:$E, 'IMPORT VHC Report'!$A:$C), )</f>
        <v/>
      </c>
      <c r="C4395" s="37"/>
      <c r="D4395" s="37"/>
      <c r="E4395" s="38" t="s">
        <v>5267</v>
      </c>
      <c r="F4395" s="38" t="s">
        <v>5253</v>
      </c>
      <c r="G4395" s="38">
        <v>3.61731648215E11</v>
      </c>
      <c r="H4395" s="38" t="s">
        <v>5254</v>
      </c>
      <c r="I4395" s="38" t="s">
        <v>5255</v>
      </c>
      <c r="J4395" s="38" t="s">
        <v>132</v>
      </c>
      <c r="K4395" s="38" t="s">
        <v>126</v>
      </c>
      <c r="L4395" s="41">
        <v>46009.052083333336</v>
      </c>
      <c r="M4395" s="38" t="s">
        <v>123</v>
      </c>
      <c r="N4395" s="41">
        <v>46009.09375</v>
      </c>
      <c r="O4395" s="38" t="s">
        <v>123</v>
      </c>
      <c r="P4395" s="38">
        <v>3600.0</v>
      </c>
      <c r="Q4395" s="39"/>
      <c r="R4395" s="39"/>
      <c r="S4395" s="39"/>
      <c r="T4395" s="39"/>
      <c r="U4395" s="39"/>
    </row>
    <row r="4396">
      <c r="A4396" s="40">
        <f t="shared" si="1"/>
        <v>46006</v>
      </c>
      <c r="B4396" s="37" t="str">
        <f t="array" ref="B4396">iferror(xlookup($I4396, 'IMPORT VHC Report'!$E:$E, 'IMPORT VHC Report'!$A:$C), )</f>
        <v/>
      </c>
      <c r="C4396" s="37"/>
      <c r="D4396" s="37"/>
      <c r="E4396" s="38" t="s">
        <v>5268</v>
      </c>
      <c r="F4396" s="38" t="s">
        <v>5253</v>
      </c>
      <c r="G4396" s="38">
        <v>3.61731648215E11</v>
      </c>
      <c r="H4396" s="38" t="s">
        <v>5254</v>
      </c>
      <c r="I4396" s="38" t="s">
        <v>5255</v>
      </c>
      <c r="J4396" s="38" t="s">
        <v>134</v>
      </c>
      <c r="K4396" s="38" t="s">
        <v>126</v>
      </c>
      <c r="L4396" s="41">
        <v>46009.09375</v>
      </c>
      <c r="M4396" s="38" t="s">
        <v>123</v>
      </c>
      <c r="N4396" s="41">
        <v>46009.12152777778</v>
      </c>
      <c r="O4396" s="38" t="s">
        <v>123</v>
      </c>
      <c r="P4396" s="38">
        <v>2400.0</v>
      </c>
      <c r="Q4396" s="39"/>
      <c r="R4396" s="39"/>
      <c r="S4396" s="38" t="s">
        <v>2274</v>
      </c>
      <c r="T4396" s="39"/>
      <c r="U4396" s="39"/>
    </row>
    <row r="4397">
      <c r="A4397" s="40">
        <f t="shared" si="1"/>
        <v>46006</v>
      </c>
      <c r="B4397" s="37" t="str">
        <f t="array" ref="B4397">iferror(xlookup($I4397, 'IMPORT VHC Report'!$E:$E, 'IMPORT VHC Report'!$A:$C), )</f>
        <v/>
      </c>
      <c r="C4397" s="37"/>
      <c r="D4397" s="37"/>
      <c r="E4397" s="38" t="s">
        <v>5269</v>
      </c>
      <c r="F4397" s="38" t="s">
        <v>5253</v>
      </c>
      <c r="G4397" s="38">
        <v>3.61731648215E11</v>
      </c>
      <c r="H4397" s="38" t="s">
        <v>5254</v>
      </c>
      <c r="I4397" s="38" t="s">
        <v>5255</v>
      </c>
      <c r="J4397" s="38" t="s">
        <v>136</v>
      </c>
      <c r="K4397" s="38" t="s">
        <v>126</v>
      </c>
      <c r="L4397" s="41">
        <v>46009.791666666664</v>
      </c>
      <c r="M4397" s="38" t="s">
        <v>123</v>
      </c>
      <c r="N4397" s="41">
        <v>46009.808333333334</v>
      </c>
      <c r="O4397" s="38" t="s">
        <v>123</v>
      </c>
      <c r="P4397" s="38">
        <v>1440.0</v>
      </c>
      <c r="Q4397" s="39"/>
      <c r="R4397" s="39"/>
      <c r="S4397" s="38" t="s">
        <v>5270</v>
      </c>
      <c r="T4397" s="39"/>
      <c r="U4397" s="39"/>
    </row>
    <row r="4398">
      <c r="A4398" s="40">
        <f t="shared" si="1"/>
        <v>46006</v>
      </c>
      <c r="B4398" s="37" t="str">
        <f t="array" ref="B4398">iferror(xlookup($I4398, 'IMPORT VHC Report'!$E:$E, 'IMPORT VHC Report'!$A:$C), )</f>
        <v/>
      </c>
      <c r="C4398" s="37"/>
      <c r="D4398" s="37"/>
      <c r="E4398" s="38" t="s">
        <v>5271</v>
      </c>
      <c r="F4398" s="38" t="s">
        <v>5253</v>
      </c>
      <c r="G4398" s="38">
        <v>3.61731648215E11</v>
      </c>
      <c r="H4398" s="38" t="s">
        <v>5254</v>
      </c>
      <c r="I4398" s="38" t="s">
        <v>5255</v>
      </c>
      <c r="J4398" s="38" t="s">
        <v>4</v>
      </c>
      <c r="K4398" s="38" t="s">
        <v>126</v>
      </c>
      <c r="L4398" s="41">
        <v>46009.875</v>
      </c>
      <c r="M4398" s="38" t="s">
        <v>123</v>
      </c>
      <c r="N4398" s="41">
        <v>46009.9375</v>
      </c>
      <c r="O4398" s="38" t="s">
        <v>123</v>
      </c>
      <c r="P4398" s="38">
        <v>5400.0</v>
      </c>
      <c r="Q4398" s="39"/>
      <c r="R4398" s="39"/>
      <c r="S4398" s="38" t="s">
        <v>458</v>
      </c>
      <c r="T4398" s="39"/>
      <c r="U4398" s="39"/>
    </row>
    <row r="4399">
      <c r="A4399" s="40">
        <f t="shared" si="1"/>
        <v>46006</v>
      </c>
      <c r="B4399" s="37" t="str">
        <f t="array" ref="B4399">iferror(xlookup($I4399, 'IMPORT VHC Report'!$E:$E, 'IMPORT VHC Report'!$A:$C), )</f>
        <v/>
      </c>
      <c r="C4399" s="37"/>
      <c r="D4399" s="37"/>
      <c r="E4399" s="38" t="s">
        <v>5272</v>
      </c>
      <c r="F4399" s="38" t="s">
        <v>5253</v>
      </c>
      <c r="G4399" s="38">
        <v>3.61731648215E11</v>
      </c>
      <c r="H4399" s="38" t="s">
        <v>5254</v>
      </c>
      <c r="I4399" s="38" t="s">
        <v>5255</v>
      </c>
      <c r="J4399" s="38" t="s">
        <v>134</v>
      </c>
      <c r="K4399" s="38" t="s">
        <v>126</v>
      </c>
      <c r="L4399" s="41">
        <v>46010.041666666664</v>
      </c>
      <c r="M4399" s="38" t="s">
        <v>123</v>
      </c>
      <c r="N4399" s="41">
        <v>46010.0625</v>
      </c>
      <c r="O4399" s="38" t="s">
        <v>123</v>
      </c>
      <c r="P4399" s="38">
        <v>1800.0</v>
      </c>
      <c r="Q4399" s="39"/>
      <c r="R4399" s="39"/>
      <c r="S4399" s="38" t="s">
        <v>5273</v>
      </c>
      <c r="T4399" s="39"/>
      <c r="U4399" s="39"/>
    </row>
    <row r="4400">
      <c r="A4400" s="40">
        <f t="shared" si="1"/>
        <v>46006</v>
      </c>
      <c r="B4400" s="37" t="str">
        <f t="array" ref="B4400">iferror(xlookup($I4400, 'IMPORT VHC Report'!$E:$E, 'IMPORT VHC Report'!$A:$C), )</f>
        <v/>
      </c>
      <c r="C4400" s="37"/>
      <c r="D4400" s="37"/>
      <c r="E4400" s="38" t="s">
        <v>5274</v>
      </c>
      <c r="F4400" s="38" t="s">
        <v>5253</v>
      </c>
      <c r="G4400" s="38">
        <v>3.61731648215E11</v>
      </c>
      <c r="H4400" s="38" t="s">
        <v>5254</v>
      </c>
      <c r="I4400" s="38" t="s">
        <v>5255</v>
      </c>
      <c r="J4400" s="38" t="s">
        <v>132</v>
      </c>
      <c r="K4400" s="38" t="s">
        <v>126</v>
      </c>
      <c r="L4400" s="41">
        <v>46010.0625</v>
      </c>
      <c r="M4400" s="38" t="s">
        <v>123</v>
      </c>
      <c r="N4400" s="41">
        <v>46010.104166666664</v>
      </c>
      <c r="O4400" s="38" t="s">
        <v>123</v>
      </c>
      <c r="P4400" s="38">
        <v>3600.0</v>
      </c>
      <c r="Q4400" s="39"/>
      <c r="R4400" s="39"/>
      <c r="S4400" s="39"/>
      <c r="T4400" s="39"/>
      <c r="U4400" s="39"/>
    </row>
    <row r="4401">
      <c r="A4401" s="40">
        <f t="shared" si="1"/>
        <v>46006</v>
      </c>
      <c r="B4401" s="37" t="str">
        <f t="array" ref="B4401">iferror(xlookup($I4401, 'IMPORT VHC Report'!$E:$E, 'IMPORT VHC Report'!$A:$C), )</f>
        <v/>
      </c>
      <c r="C4401" s="37"/>
      <c r="D4401" s="37"/>
      <c r="E4401" s="38" t="s">
        <v>5275</v>
      </c>
      <c r="F4401" s="38" t="s">
        <v>5253</v>
      </c>
      <c r="G4401" s="38">
        <v>3.61731648215E11</v>
      </c>
      <c r="H4401" s="38" t="s">
        <v>5254</v>
      </c>
      <c r="I4401" s="38" t="s">
        <v>5255</v>
      </c>
      <c r="J4401" s="38" t="s">
        <v>134</v>
      </c>
      <c r="K4401" s="38" t="s">
        <v>126</v>
      </c>
      <c r="L4401" s="41">
        <v>46010.104166666664</v>
      </c>
      <c r="M4401" s="38" t="s">
        <v>123</v>
      </c>
      <c r="N4401" s="41">
        <v>46010.131944444445</v>
      </c>
      <c r="O4401" s="38" t="s">
        <v>123</v>
      </c>
      <c r="P4401" s="38">
        <v>2400.0</v>
      </c>
      <c r="Q4401" s="39"/>
      <c r="R4401" s="39"/>
      <c r="S4401" s="38" t="s">
        <v>2274</v>
      </c>
      <c r="T4401" s="39"/>
      <c r="U4401" s="39"/>
    </row>
    <row r="4402">
      <c r="A4402" s="40">
        <f t="shared" si="1"/>
        <v>46006</v>
      </c>
      <c r="B4402" s="37" t="str">
        <f t="array" ref="B4402">iferror(xlookup($I4402, 'IMPORT VHC Report'!$E:$E, 'IMPORT VHC Report'!$A:$C), )</f>
        <v/>
      </c>
      <c r="C4402" s="37"/>
      <c r="D4402" s="37"/>
      <c r="E4402" s="38" t="s">
        <v>5276</v>
      </c>
      <c r="F4402" s="38" t="s">
        <v>5253</v>
      </c>
      <c r="G4402" s="38">
        <v>3.61731648215E11</v>
      </c>
      <c r="H4402" s="38" t="s">
        <v>5254</v>
      </c>
      <c r="I4402" s="38" t="s">
        <v>5255</v>
      </c>
      <c r="J4402" s="38" t="s">
        <v>363</v>
      </c>
      <c r="K4402" s="38" t="s">
        <v>63</v>
      </c>
      <c r="L4402" s="41">
        <v>46010.791666666664</v>
      </c>
      <c r="M4402" s="38" t="s">
        <v>123</v>
      </c>
      <c r="N4402" s="41">
        <v>46011.166666666664</v>
      </c>
      <c r="O4402" s="38" t="s">
        <v>123</v>
      </c>
      <c r="P4402" s="38">
        <v>32400.0</v>
      </c>
      <c r="Q4402" s="39"/>
      <c r="R4402" s="39"/>
      <c r="S4402" s="39"/>
      <c r="T4402" s="39"/>
      <c r="U4402" s="39"/>
    </row>
    <row r="4403">
      <c r="A4403" s="40">
        <f t="shared" si="1"/>
        <v>46006</v>
      </c>
      <c r="B4403" s="37" t="str">
        <f t="array" ref="B4403">iferror(xlookup($I4403, 'IMPORT VHC Report'!$E:$E, 'IMPORT VHC Report'!$A:$C), )</f>
        <v/>
      </c>
      <c r="C4403" s="37"/>
      <c r="D4403" s="37"/>
      <c r="E4403" s="38" t="s">
        <v>5277</v>
      </c>
      <c r="F4403" s="38" t="s">
        <v>5253</v>
      </c>
      <c r="G4403" s="38">
        <v>3.61731648215E11</v>
      </c>
      <c r="H4403" s="38" t="s">
        <v>5254</v>
      </c>
      <c r="I4403" s="38" t="s">
        <v>5255</v>
      </c>
      <c r="J4403" s="38" t="s">
        <v>4</v>
      </c>
      <c r="K4403" s="38" t="s">
        <v>126</v>
      </c>
      <c r="L4403" s="41">
        <v>46010.833333333336</v>
      </c>
      <c r="M4403" s="38" t="s">
        <v>123</v>
      </c>
      <c r="N4403" s="41">
        <v>46010.895833333336</v>
      </c>
      <c r="O4403" s="38" t="s">
        <v>123</v>
      </c>
      <c r="P4403" s="38">
        <v>5400.0</v>
      </c>
      <c r="Q4403" s="39"/>
      <c r="R4403" s="39"/>
      <c r="S4403" s="38" t="s">
        <v>649</v>
      </c>
      <c r="T4403" s="39"/>
      <c r="U4403" s="39"/>
    </row>
    <row r="4404">
      <c r="A4404" s="40">
        <f t="shared" si="1"/>
        <v>46006</v>
      </c>
      <c r="B4404" s="37" t="str">
        <f t="array" ref="B4404">iferror(xlookup($I4404, 'IMPORT VHC Report'!$E:$E, 'IMPORT VHC Report'!$A:$C), )</f>
        <v/>
      </c>
      <c r="C4404" s="37"/>
      <c r="D4404" s="37"/>
      <c r="E4404" s="38" t="s">
        <v>5278</v>
      </c>
      <c r="F4404" s="38" t="s">
        <v>5253</v>
      </c>
      <c r="G4404" s="38">
        <v>3.61731648215E11</v>
      </c>
      <c r="H4404" s="38" t="s">
        <v>5254</v>
      </c>
      <c r="I4404" s="38" t="s">
        <v>5255</v>
      </c>
      <c r="J4404" s="38" t="s">
        <v>134</v>
      </c>
      <c r="K4404" s="38" t="s">
        <v>126</v>
      </c>
      <c r="L4404" s="41">
        <v>46010.9375</v>
      </c>
      <c r="M4404" s="38" t="s">
        <v>123</v>
      </c>
      <c r="N4404" s="41">
        <v>46010.958333333336</v>
      </c>
      <c r="O4404" s="38" t="s">
        <v>123</v>
      </c>
      <c r="P4404" s="38">
        <v>1800.0</v>
      </c>
      <c r="Q4404" s="39"/>
      <c r="R4404" s="39"/>
      <c r="S4404" s="39"/>
      <c r="T4404" s="39"/>
      <c r="U4404" s="39"/>
    </row>
    <row r="4405">
      <c r="A4405" s="40">
        <f t="shared" si="1"/>
        <v>46006</v>
      </c>
      <c r="B4405" s="37" t="str">
        <f t="array" ref="B4405">iferror(xlookup($I4405, 'IMPORT VHC Report'!$E:$E, 'IMPORT VHC Report'!$A:$C), )</f>
        <v/>
      </c>
      <c r="C4405" s="37"/>
      <c r="D4405" s="37"/>
      <c r="E4405" s="38" t="s">
        <v>5279</v>
      </c>
      <c r="F4405" s="38" t="s">
        <v>5253</v>
      </c>
      <c r="G4405" s="38">
        <v>3.61731648215E11</v>
      </c>
      <c r="H4405" s="38" t="s">
        <v>5254</v>
      </c>
      <c r="I4405" s="38" t="s">
        <v>5255</v>
      </c>
      <c r="J4405" s="38" t="s">
        <v>132</v>
      </c>
      <c r="K4405" s="38" t="s">
        <v>126</v>
      </c>
      <c r="L4405" s="41">
        <v>46011.0625</v>
      </c>
      <c r="M4405" s="38" t="s">
        <v>123</v>
      </c>
      <c r="N4405" s="41">
        <v>46011.104166666664</v>
      </c>
      <c r="O4405" s="38" t="s">
        <v>123</v>
      </c>
      <c r="P4405" s="38">
        <v>3600.0</v>
      </c>
      <c r="Q4405" s="39"/>
      <c r="R4405" s="39"/>
      <c r="S4405" s="39"/>
      <c r="T4405" s="39"/>
      <c r="U4405" s="39"/>
    </row>
    <row r="4406">
      <c r="A4406" s="40">
        <f t="shared" si="1"/>
        <v>46006</v>
      </c>
      <c r="B4406" s="37" t="str">
        <f t="array" ref="B4406">iferror(xlookup($I4406, 'IMPORT VHC Report'!$E:$E, 'IMPORT VHC Report'!$A:$C), )</f>
        <v/>
      </c>
      <c r="C4406" s="37"/>
      <c r="D4406" s="37"/>
      <c r="E4406" s="38" t="s">
        <v>5280</v>
      </c>
      <c r="F4406" s="38" t="s">
        <v>5253</v>
      </c>
      <c r="G4406" s="38">
        <v>3.61731648215E11</v>
      </c>
      <c r="H4406" s="38" t="s">
        <v>5254</v>
      </c>
      <c r="I4406" s="38" t="s">
        <v>5255</v>
      </c>
      <c r="J4406" s="38" t="s">
        <v>134</v>
      </c>
      <c r="K4406" s="38" t="s">
        <v>126</v>
      </c>
      <c r="L4406" s="41">
        <v>46011.104166666664</v>
      </c>
      <c r="M4406" s="38" t="s">
        <v>123</v>
      </c>
      <c r="N4406" s="41">
        <v>46011.131944444445</v>
      </c>
      <c r="O4406" s="38" t="s">
        <v>123</v>
      </c>
      <c r="P4406" s="38">
        <v>2400.0</v>
      </c>
      <c r="Q4406" s="39"/>
      <c r="R4406" s="39"/>
      <c r="S4406" s="38" t="s">
        <v>2274</v>
      </c>
      <c r="T4406" s="39"/>
      <c r="U4406" s="39"/>
    </row>
    <row r="4407">
      <c r="A4407" s="40">
        <f t="shared" si="1"/>
        <v>46006</v>
      </c>
      <c r="B4407" s="37" t="str">
        <f t="array" ref="B4407">iferror(xlookup($I4407, 'IMPORT VHC Report'!$E:$E, 'IMPORT VHC Report'!$A:$C), )</f>
        <v/>
      </c>
      <c r="C4407" s="37"/>
      <c r="D4407" s="37"/>
      <c r="E4407" s="38" t="s">
        <v>5281</v>
      </c>
      <c r="F4407" s="38" t="s">
        <v>5282</v>
      </c>
      <c r="G4407" s="38">
        <v>1.1279730843407E13</v>
      </c>
      <c r="H4407" s="38" t="s">
        <v>5283</v>
      </c>
      <c r="I4407" s="38" t="s">
        <v>5284</v>
      </c>
      <c r="J4407" s="38" t="s">
        <v>224</v>
      </c>
      <c r="K4407" s="38" t="s">
        <v>63</v>
      </c>
      <c r="L4407" s="41">
        <v>46006.833333333336</v>
      </c>
      <c r="M4407" s="38" t="s">
        <v>123</v>
      </c>
      <c r="N4407" s="41">
        <v>46006.916666666664</v>
      </c>
      <c r="O4407" s="38" t="s">
        <v>123</v>
      </c>
      <c r="P4407" s="38">
        <v>7200.0</v>
      </c>
      <c r="Q4407" s="39"/>
      <c r="R4407" s="39"/>
      <c r="S4407" s="39"/>
      <c r="T4407" s="39"/>
      <c r="U4407" s="39"/>
    </row>
    <row r="4408">
      <c r="A4408" s="40">
        <f t="shared" si="1"/>
        <v>46006</v>
      </c>
      <c r="B4408" s="37" t="str">
        <f t="array" ref="B4408">iferror(xlookup($I4408, 'IMPORT VHC Report'!$E:$E, 'IMPORT VHC Report'!$A:$C), )</f>
        <v/>
      </c>
      <c r="C4408" s="37"/>
      <c r="D4408" s="37"/>
      <c r="E4408" s="38" t="s">
        <v>5285</v>
      </c>
      <c r="F4408" s="38" t="s">
        <v>5282</v>
      </c>
      <c r="G4408" s="38">
        <v>1.1279730843407E13</v>
      </c>
      <c r="H4408" s="38" t="s">
        <v>5283</v>
      </c>
      <c r="I4408" s="38" t="s">
        <v>5284</v>
      </c>
      <c r="J4408" s="38" t="s">
        <v>178</v>
      </c>
      <c r="K4408" s="38" t="s">
        <v>153</v>
      </c>
      <c r="L4408" s="41">
        <v>46006.833333333336</v>
      </c>
      <c r="M4408" s="38" t="s">
        <v>123</v>
      </c>
      <c r="N4408" s="41">
        <v>46007.208333333336</v>
      </c>
      <c r="O4408" s="38" t="s">
        <v>123</v>
      </c>
      <c r="P4408" s="38">
        <v>32400.0</v>
      </c>
      <c r="Q4408" s="38">
        <v>28800.0</v>
      </c>
      <c r="R4408" s="38" t="s">
        <v>5286</v>
      </c>
      <c r="S4408" s="39"/>
      <c r="T4408" s="39"/>
      <c r="U4408" s="39"/>
    </row>
    <row r="4409">
      <c r="A4409" s="40">
        <f t="shared" si="1"/>
        <v>46006</v>
      </c>
      <c r="B4409" s="37" t="str">
        <f t="array" ref="B4409">iferror(xlookup($I4409, 'IMPORT VHC Report'!$E:$E, 'IMPORT VHC Report'!$A:$C), )</f>
        <v/>
      </c>
      <c r="C4409" s="37"/>
      <c r="D4409" s="37"/>
      <c r="E4409" s="38" t="s">
        <v>5287</v>
      </c>
      <c r="F4409" s="38" t="s">
        <v>5282</v>
      </c>
      <c r="G4409" s="38">
        <v>1.1279730843407E13</v>
      </c>
      <c r="H4409" s="38" t="s">
        <v>5283</v>
      </c>
      <c r="I4409" s="38" t="s">
        <v>5284</v>
      </c>
      <c r="J4409" s="38" t="s">
        <v>134</v>
      </c>
      <c r="K4409" s="38" t="s">
        <v>126</v>
      </c>
      <c r="L4409" s="41">
        <v>46006.916666666664</v>
      </c>
      <c r="M4409" s="38" t="s">
        <v>123</v>
      </c>
      <c r="N4409" s="41">
        <v>46006.927083333336</v>
      </c>
      <c r="O4409" s="38" t="s">
        <v>123</v>
      </c>
      <c r="P4409" s="38">
        <v>900.0</v>
      </c>
      <c r="Q4409" s="39"/>
      <c r="R4409" s="39"/>
      <c r="S4409" s="39"/>
      <c r="T4409" s="39"/>
      <c r="U4409" s="39"/>
    </row>
    <row r="4410">
      <c r="A4410" s="40">
        <f t="shared" si="1"/>
        <v>46006</v>
      </c>
      <c r="B4410" s="37" t="str">
        <f t="array" ref="B4410">iferror(xlookup($I4410, 'IMPORT VHC Report'!$E:$E, 'IMPORT VHC Report'!$A:$C), )</f>
        <v/>
      </c>
      <c r="C4410" s="37"/>
      <c r="D4410" s="37"/>
      <c r="E4410" s="38" t="s">
        <v>5288</v>
      </c>
      <c r="F4410" s="38" t="s">
        <v>5282</v>
      </c>
      <c r="G4410" s="38">
        <v>1.1279730843407E13</v>
      </c>
      <c r="H4410" s="38" t="s">
        <v>5283</v>
      </c>
      <c r="I4410" s="38" t="s">
        <v>5284</v>
      </c>
      <c r="J4410" s="38" t="s">
        <v>224</v>
      </c>
      <c r="K4410" s="38" t="s">
        <v>63</v>
      </c>
      <c r="L4410" s="41">
        <v>46006.927083333336</v>
      </c>
      <c r="M4410" s="38" t="s">
        <v>123</v>
      </c>
      <c r="N4410" s="41">
        <v>46007.0</v>
      </c>
      <c r="O4410" s="38" t="s">
        <v>123</v>
      </c>
      <c r="P4410" s="38">
        <v>6300.0</v>
      </c>
      <c r="Q4410" s="39"/>
      <c r="R4410" s="39"/>
      <c r="S4410" s="39"/>
      <c r="T4410" s="39"/>
      <c r="U4410" s="39"/>
    </row>
    <row r="4411">
      <c r="A4411" s="40">
        <f t="shared" si="1"/>
        <v>46006</v>
      </c>
      <c r="B4411" s="37" t="str">
        <f t="array" ref="B4411">iferror(xlookup($I4411, 'IMPORT VHC Report'!$E:$E, 'IMPORT VHC Report'!$A:$C), )</f>
        <v/>
      </c>
      <c r="C4411" s="37"/>
      <c r="D4411" s="37"/>
      <c r="E4411" s="38" t="s">
        <v>5289</v>
      </c>
      <c r="F4411" s="38" t="s">
        <v>5282</v>
      </c>
      <c r="G4411" s="38">
        <v>1.1279730843407E13</v>
      </c>
      <c r="H4411" s="38" t="s">
        <v>5283</v>
      </c>
      <c r="I4411" s="38" t="s">
        <v>5284</v>
      </c>
      <c r="J4411" s="38" t="s">
        <v>134</v>
      </c>
      <c r="K4411" s="38" t="s">
        <v>126</v>
      </c>
      <c r="L4411" s="41">
        <v>46007.0</v>
      </c>
      <c r="M4411" s="38" t="s">
        <v>123</v>
      </c>
      <c r="N4411" s="41">
        <v>46007.010416666664</v>
      </c>
      <c r="O4411" s="38" t="s">
        <v>123</v>
      </c>
      <c r="P4411" s="38">
        <v>900.0</v>
      </c>
      <c r="Q4411" s="39"/>
      <c r="R4411" s="39"/>
      <c r="S4411" s="39"/>
      <c r="T4411" s="39"/>
      <c r="U4411" s="39"/>
    </row>
    <row r="4412">
      <c r="A4412" s="40">
        <f t="shared" si="1"/>
        <v>46006</v>
      </c>
      <c r="B4412" s="37" t="str">
        <f t="array" ref="B4412">iferror(xlookup($I4412, 'IMPORT VHC Report'!$E:$E, 'IMPORT VHC Report'!$A:$C), )</f>
        <v/>
      </c>
      <c r="C4412" s="37"/>
      <c r="D4412" s="37"/>
      <c r="E4412" s="38" t="s">
        <v>5290</v>
      </c>
      <c r="F4412" s="38" t="s">
        <v>5282</v>
      </c>
      <c r="G4412" s="38">
        <v>1.1279730843407E13</v>
      </c>
      <c r="H4412" s="38" t="s">
        <v>5283</v>
      </c>
      <c r="I4412" s="38" t="s">
        <v>5284</v>
      </c>
      <c r="J4412" s="38" t="s">
        <v>224</v>
      </c>
      <c r="K4412" s="38" t="s">
        <v>63</v>
      </c>
      <c r="L4412" s="41">
        <v>46007.010416666664</v>
      </c>
      <c r="M4412" s="38" t="s">
        <v>123</v>
      </c>
      <c r="N4412" s="41">
        <v>46007.072916666664</v>
      </c>
      <c r="O4412" s="38" t="s">
        <v>123</v>
      </c>
      <c r="P4412" s="38">
        <v>5400.0</v>
      </c>
      <c r="Q4412" s="39"/>
      <c r="R4412" s="39"/>
      <c r="S4412" s="39"/>
      <c r="T4412" s="39"/>
      <c r="U4412" s="39"/>
    </row>
    <row r="4413">
      <c r="A4413" s="40">
        <f t="shared" si="1"/>
        <v>46006</v>
      </c>
      <c r="B4413" s="37" t="str">
        <f t="array" ref="B4413">iferror(xlookup($I4413, 'IMPORT VHC Report'!$E:$E, 'IMPORT VHC Report'!$A:$C), )</f>
        <v/>
      </c>
      <c r="C4413" s="37"/>
      <c r="D4413" s="37"/>
      <c r="E4413" s="38" t="s">
        <v>5291</v>
      </c>
      <c r="F4413" s="38" t="s">
        <v>5282</v>
      </c>
      <c r="G4413" s="38">
        <v>1.1279730843407E13</v>
      </c>
      <c r="H4413" s="38" t="s">
        <v>5283</v>
      </c>
      <c r="I4413" s="38" t="s">
        <v>5284</v>
      </c>
      <c r="J4413" s="38" t="s">
        <v>132</v>
      </c>
      <c r="K4413" s="38" t="s">
        <v>126</v>
      </c>
      <c r="L4413" s="41">
        <v>46007.072916666664</v>
      </c>
      <c r="M4413" s="38" t="s">
        <v>123</v>
      </c>
      <c r="N4413" s="41">
        <v>46007.114583333336</v>
      </c>
      <c r="O4413" s="38" t="s">
        <v>123</v>
      </c>
      <c r="P4413" s="38">
        <v>3600.0</v>
      </c>
      <c r="Q4413" s="39"/>
      <c r="R4413" s="39"/>
      <c r="S4413" s="39"/>
      <c r="T4413" s="39"/>
      <c r="U4413" s="39"/>
    </row>
    <row r="4414">
      <c r="A4414" s="40">
        <f t="shared" si="1"/>
        <v>46006</v>
      </c>
      <c r="B4414" s="37" t="str">
        <f t="array" ref="B4414">iferror(xlookup($I4414, 'IMPORT VHC Report'!$E:$E, 'IMPORT VHC Report'!$A:$C), )</f>
        <v/>
      </c>
      <c r="C4414" s="37"/>
      <c r="D4414" s="37"/>
      <c r="E4414" s="38" t="s">
        <v>5292</v>
      </c>
      <c r="F4414" s="38" t="s">
        <v>5282</v>
      </c>
      <c r="G4414" s="38">
        <v>1.1279730843407E13</v>
      </c>
      <c r="H4414" s="38" t="s">
        <v>5283</v>
      </c>
      <c r="I4414" s="38" t="s">
        <v>5284</v>
      </c>
      <c r="J4414" s="38" t="s">
        <v>224</v>
      </c>
      <c r="K4414" s="38" t="s">
        <v>63</v>
      </c>
      <c r="L4414" s="41">
        <v>46007.114583333336</v>
      </c>
      <c r="M4414" s="38" t="s">
        <v>123</v>
      </c>
      <c r="N4414" s="41">
        <v>46007.208333333336</v>
      </c>
      <c r="O4414" s="38" t="s">
        <v>123</v>
      </c>
      <c r="P4414" s="38">
        <v>8100.0</v>
      </c>
      <c r="Q4414" s="39"/>
      <c r="R4414" s="39"/>
      <c r="S4414" s="39"/>
      <c r="T4414" s="39"/>
      <c r="U4414" s="39"/>
    </row>
    <row r="4415">
      <c r="A4415" s="40">
        <f t="shared" si="1"/>
        <v>46006</v>
      </c>
      <c r="B4415" s="37" t="str">
        <f t="array" ref="B4415">iferror(xlookup($I4415, 'IMPORT VHC Report'!$E:$E, 'IMPORT VHC Report'!$A:$C), )</f>
        <v/>
      </c>
      <c r="C4415" s="37"/>
      <c r="D4415" s="37"/>
      <c r="E4415" s="38" t="s">
        <v>5293</v>
      </c>
      <c r="F4415" s="38" t="s">
        <v>5282</v>
      </c>
      <c r="G4415" s="38">
        <v>1.1279730843407E13</v>
      </c>
      <c r="H4415" s="38" t="s">
        <v>5283</v>
      </c>
      <c r="I4415" s="38" t="s">
        <v>5284</v>
      </c>
      <c r="J4415" s="38" t="s">
        <v>224</v>
      </c>
      <c r="K4415" s="38" t="s">
        <v>63</v>
      </c>
      <c r="L4415" s="41">
        <v>46007.833333333336</v>
      </c>
      <c r="M4415" s="38" t="s">
        <v>123</v>
      </c>
      <c r="N4415" s="41">
        <v>46007.916666666664</v>
      </c>
      <c r="O4415" s="38" t="s">
        <v>123</v>
      </c>
      <c r="P4415" s="38">
        <v>7200.0</v>
      </c>
      <c r="Q4415" s="39"/>
      <c r="R4415" s="39"/>
      <c r="S4415" s="39"/>
      <c r="T4415" s="39"/>
      <c r="U4415" s="39"/>
    </row>
    <row r="4416">
      <c r="A4416" s="40">
        <f t="shared" si="1"/>
        <v>46006</v>
      </c>
      <c r="B4416" s="37" t="str">
        <f t="array" ref="B4416">iferror(xlookup($I4416, 'IMPORT VHC Report'!$E:$E, 'IMPORT VHC Report'!$A:$C), )</f>
        <v/>
      </c>
      <c r="C4416" s="37"/>
      <c r="D4416" s="37"/>
      <c r="E4416" s="38" t="s">
        <v>5294</v>
      </c>
      <c r="F4416" s="38" t="s">
        <v>5282</v>
      </c>
      <c r="G4416" s="38">
        <v>1.1279730843407E13</v>
      </c>
      <c r="H4416" s="38" t="s">
        <v>5283</v>
      </c>
      <c r="I4416" s="38" t="s">
        <v>5284</v>
      </c>
      <c r="J4416" s="38" t="s">
        <v>134</v>
      </c>
      <c r="K4416" s="38" t="s">
        <v>126</v>
      </c>
      <c r="L4416" s="41">
        <v>46007.916666666664</v>
      </c>
      <c r="M4416" s="38" t="s">
        <v>123</v>
      </c>
      <c r="N4416" s="41">
        <v>46007.927083333336</v>
      </c>
      <c r="O4416" s="38" t="s">
        <v>123</v>
      </c>
      <c r="P4416" s="38">
        <v>900.0</v>
      </c>
      <c r="Q4416" s="39"/>
      <c r="R4416" s="39"/>
      <c r="S4416" s="39"/>
      <c r="T4416" s="39"/>
      <c r="U4416" s="39"/>
    </row>
    <row r="4417">
      <c r="A4417" s="40">
        <f t="shared" si="1"/>
        <v>46006</v>
      </c>
      <c r="B4417" s="37" t="str">
        <f t="array" ref="B4417">iferror(xlookup($I4417, 'IMPORT VHC Report'!$E:$E, 'IMPORT VHC Report'!$A:$C), )</f>
        <v/>
      </c>
      <c r="C4417" s="37"/>
      <c r="D4417" s="37"/>
      <c r="E4417" s="38" t="s">
        <v>5295</v>
      </c>
      <c r="F4417" s="38" t="s">
        <v>5282</v>
      </c>
      <c r="G4417" s="38">
        <v>1.1279730843407E13</v>
      </c>
      <c r="H4417" s="38" t="s">
        <v>5283</v>
      </c>
      <c r="I4417" s="38" t="s">
        <v>5284</v>
      </c>
      <c r="J4417" s="38" t="s">
        <v>224</v>
      </c>
      <c r="K4417" s="38" t="s">
        <v>63</v>
      </c>
      <c r="L4417" s="41">
        <v>46007.927083333336</v>
      </c>
      <c r="M4417" s="38" t="s">
        <v>123</v>
      </c>
      <c r="N4417" s="41">
        <v>46008.0</v>
      </c>
      <c r="O4417" s="38" t="s">
        <v>123</v>
      </c>
      <c r="P4417" s="38">
        <v>6300.0</v>
      </c>
      <c r="Q4417" s="39"/>
      <c r="R4417" s="39"/>
      <c r="S4417" s="39"/>
      <c r="T4417" s="39"/>
      <c r="U4417" s="39"/>
    </row>
    <row r="4418">
      <c r="A4418" s="40">
        <f t="shared" si="1"/>
        <v>46006</v>
      </c>
      <c r="B4418" s="37" t="str">
        <f t="array" ref="B4418">iferror(xlookup($I4418, 'IMPORT VHC Report'!$E:$E, 'IMPORT VHC Report'!$A:$C), )</f>
        <v/>
      </c>
      <c r="C4418" s="37"/>
      <c r="D4418" s="37"/>
      <c r="E4418" s="38" t="s">
        <v>5296</v>
      </c>
      <c r="F4418" s="38" t="s">
        <v>5282</v>
      </c>
      <c r="G4418" s="38">
        <v>1.1279730843407E13</v>
      </c>
      <c r="H4418" s="38" t="s">
        <v>5283</v>
      </c>
      <c r="I4418" s="38" t="s">
        <v>5284</v>
      </c>
      <c r="J4418" s="38" t="s">
        <v>62</v>
      </c>
      <c r="K4418" s="38" t="s">
        <v>63</v>
      </c>
      <c r="L4418" s="41">
        <v>46008.0</v>
      </c>
      <c r="M4418" s="38" t="s">
        <v>123</v>
      </c>
      <c r="N4418" s="41">
        <v>46008.020833333336</v>
      </c>
      <c r="O4418" s="38" t="s">
        <v>123</v>
      </c>
      <c r="P4418" s="38">
        <v>1800.0</v>
      </c>
      <c r="Q4418" s="39"/>
      <c r="R4418" s="39"/>
      <c r="S4418" s="39"/>
      <c r="T4418" s="39"/>
      <c r="U4418" s="39"/>
    </row>
    <row r="4419">
      <c r="A4419" s="40">
        <f t="shared" si="1"/>
        <v>46006</v>
      </c>
      <c r="B4419" s="37" t="str">
        <f t="array" ref="B4419">iferror(xlookup($I4419, 'IMPORT VHC Report'!$E:$E, 'IMPORT VHC Report'!$A:$C), )</f>
        <v/>
      </c>
      <c r="C4419" s="37"/>
      <c r="D4419" s="37"/>
      <c r="E4419" s="38" t="s">
        <v>5297</v>
      </c>
      <c r="F4419" s="38" t="s">
        <v>5282</v>
      </c>
      <c r="G4419" s="38">
        <v>1.1279730843407E13</v>
      </c>
      <c r="H4419" s="38" t="s">
        <v>5283</v>
      </c>
      <c r="I4419" s="38" t="s">
        <v>5284</v>
      </c>
      <c r="J4419" s="38" t="s">
        <v>224</v>
      </c>
      <c r="K4419" s="38" t="s">
        <v>63</v>
      </c>
      <c r="L4419" s="41">
        <v>46008.020833333336</v>
      </c>
      <c r="M4419" s="38" t="s">
        <v>123</v>
      </c>
      <c r="N4419" s="41">
        <v>46008.03125</v>
      </c>
      <c r="O4419" s="38" t="s">
        <v>123</v>
      </c>
      <c r="P4419" s="38">
        <v>900.0</v>
      </c>
      <c r="Q4419" s="39"/>
      <c r="R4419" s="39"/>
      <c r="S4419" s="39"/>
      <c r="T4419" s="39"/>
      <c r="U4419" s="39"/>
    </row>
    <row r="4420">
      <c r="A4420" s="40">
        <f t="shared" si="1"/>
        <v>46006</v>
      </c>
      <c r="B4420" s="37" t="str">
        <f t="array" ref="B4420">iferror(xlookup($I4420, 'IMPORT VHC Report'!$E:$E, 'IMPORT VHC Report'!$A:$C), )</f>
        <v/>
      </c>
      <c r="C4420" s="37"/>
      <c r="D4420" s="37"/>
      <c r="E4420" s="38" t="s">
        <v>5298</v>
      </c>
      <c r="F4420" s="38" t="s">
        <v>5282</v>
      </c>
      <c r="G4420" s="38">
        <v>1.1279730843407E13</v>
      </c>
      <c r="H4420" s="38" t="s">
        <v>5283</v>
      </c>
      <c r="I4420" s="38" t="s">
        <v>5284</v>
      </c>
      <c r="J4420" s="38" t="s">
        <v>224</v>
      </c>
      <c r="K4420" s="38" t="s">
        <v>63</v>
      </c>
      <c r="L4420" s="41">
        <v>46008.03125</v>
      </c>
      <c r="M4420" s="38" t="s">
        <v>123</v>
      </c>
      <c r="N4420" s="41">
        <v>46008.135416666664</v>
      </c>
      <c r="O4420" s="38" t="s">
        <v>123</v>
      </c>
      <c r="P4420" s="38">
        <v>9000.0</v>
      </c>
      <c r="Q4420" s="39"/>
      <c r="R4420" s="39"/>
      <c r="S4420" s="39"/>
      <c r="T4420" s="39"/>
      <c r="U4420" s="39"/>
    </row>
    <row r="4421">
      <c r="A4421" s="40">
        <f t="shared" si="1"/>
        <v>46006</v>
      </c>
      <c r="B4421" s="37" t="str">
        <f t="array" ref="B4421">iferror(xlookup($I4421, 'IMPORT VHC Report'!$E:$E, 'IMPORT VHC Report'!$A:$C), )</f>
        <v/>
      </c>
      <c r="C4421" s="37"/>
      <c r="D4421" s="37"/>
      <c r="E4421" s="38" t="s">
        <v>5299</v>
      </c>
      <c r="F4421" s="38" t="s">
        <v>5282</v>
      </c>
      <c r="G4421" s="38">
        <v>1.1279730843407E13</v>
      </c>
      <c r="H4421" s="38" t="s">
        <v>5283</v>
      </c>
      <c r="I4421" s="38" t="s">
        <v>5284</v>
      </c>
      <c r="J4421" s="38" t="s">
        <v>132</v>
      </c>
      <c r="K4421" s="38" t="s">
        <v>126</v>
      </c>
      <c r="L4421" s="41">
        <v>46008.04861111111</v>
      </c>
      <c r="M4421" s="38" t="s">
        <v>123</v>
      </c>
      <c r="N4421" s="41">
        <v>46008.09027777778</v>
      </c>
      <c r="O4421" s="38" t="s">
        <v>123</v>
      </c>
      <c r="P4421" s="38">
        <v>3600.0</v>
      </c>
      <c r="Q4421" s="39"/>
      <c r="R4421" s="39"/>
      <c r="S4421" s="38" t="s">
        <v>5300</v>
      </c>
      <c r="T4421" s="39"/>
      <c r="U4421" s="39"/>
    </row>
    <row r="4422">
      <c r="A4422" s="40">
        <f t="shared" si="1"/>
        <v>46006</v>
      </c>
      <c r="B4422" s="37" t="str">
        <f t="array" ref="B4422">iferror(xlookup($I4422, 'IMPORT VHC Report'!$E:$E, 'IMPORT VHC Report'!$A:$C), )</f>
        <v/>
      </c>
      <c r="C4422" s="37"/>
      <c r="D4422" s="37"/>
      <c r="E4422" s="38" t="s">
        <v>5301</v>
      </c>
      <c r="F4422" s="38" t="s">
        <v>5282</v>
      </c>
      <c r="G4422" s="38">
        <v>1.1279730843407E13</v>
      </c>
      <c r="H4422" s="38" t="s">
        <v>5283</v>
      </c>
      <c r="I4422" s="38" t="s">
        <v>5284</v>
      </c>
      <c r="J4422" s="38" t="s">
        <v>134</v>
      </c>
      <c r="K4422" s="38" t="s">
        <v>126</v>
      </c>
      <c r="L4422" s="41">
        <v>46008.135416666664</v>
      </c>
      <c r="M4422" s="38" t="s">
        <v>123</v>
      </c>
      <c r="N4422" s="41">
        <v>46008.145833333336</v>
      </c>
      <c r="O4422" s="38" t="s">
        <v>123</v>
      </c>
      <c r="P4422" s="38">
        <v>900.0</v>
      </c>
      <c r="Q4422" s="39"/>
      <c r="R4422" s="39"/>
      <c r="S4422" s="39"/>
      <c r="T4422" s="39"/>
      <c r="U4422" s="39"/>
    </row>
    <row r="4423">
      <c r="A4423" s="40">
        <f t="shared" si="1"/>
        <v>46006</v>
      </c>
      <c r="B4423" s="37" t="str">
        <f t="array" ref="B4423">iferror(xlookup($I4423, 'IMPORT VHC Report'!$E:$E, 'IMPORT VHC Report'!$A:$C), )</f>
        <v/>
      </c>
      <c r="C4423" s="37"/>
      <c r="D4423" s="37"/>
      <c r="E4423" s="38" t="s">
        <v>5302</v>
      </c>
      <c r="F4423" s="38" t="s">
        <v>5282</v>
      </c>
      <c r="G4423" s="38">
        <v>1.1279730843407E13</v>
      </c>
      <c r="H4423" s="38" t="s">
        <v>5283</v>
      </c>
      <c r="I4423" s="38" t="s">
        <v>5284</v>
      </c>
      <c r="J4423" s="38" t="s">
        <v>224</v>
      </c>
      <c r="K4423" s="38" t="s">
        <v>63</v>
      </c>
      <c r="L4423" s="41">
        <v>46008.145833333336</v>
      </c>
      <c r="M4423" s="38" t="s">
        <v>123</v>
      </c>
      <c r="N4423" s="41">
        <v>46008.208333333336</v>
      </c>
      <c r="O4423" s="38" t="s">
        <v>123</v>
      </c>
      <c r="P4423" s="38">
        <v>5400.0</v>
      </c>
      <c r="Q4423" s="39"/>
      <c r="R4423" s="39"/>
      <c r="S4423" s="39"/>
      <c r="T4423" s="39"/>
      <c r="U4423" s="39"/>
    </row>
    <row r="4424">
      <c r="A4424" s="40">
        <f t="shared" si="1"/>
        <v>46006</v>
      </c>
      <c r="B4424" s="37" t="str">
        <f t="array" ref="B4424">iferror(xlookup($I4424, 'IMPORT VHC Report'!$E:$E, 'IMPORT VHC Report'!$A:$C), )</f>
        <v/>
      </c>
      <c r="C4424" s="37"/>
      <c r="D4424" s="37"/>
      <c r="E4424" s="38" t="s">
        <v>5303</v>
      </c>
      <c r="F4424" s="38" t="s">
        <v>5282</v>
      </c>
      <c r="G4424" s="38">
        <v>1.1279730843407E13</v>
      </c>
      <c r="H4424" s="38" t="s">
        <v>5283</v>
      </c>
      <c r="I4424" s="38" t="s">
        <v>5284</v>
      </c>
      <c r="J4424" s="38" t="s">
        <v>224</v>
      </c>
      <c r="K4424" s="38" t="s">
        <v>63</v>
      </c>
      <c r="L4424" s="41">
        <v>46008.833333333336</v>
      </c>
      <c r="M4424" s="38" t="s">
        <v>123</v>
      </c>
      <c r="N4424" s="41">
        <v>46008.916666666664</v>
      </c>
      <c r="O4424" s="38" t="s">
        <v>123</v>
      </c>
      <c r="P4424" s="38">
        <v>7200.0</v>
      </c>
      <c r="Q4424" s="39"/>
      <c r="R4424" s="39"/>
      <c r="S4424" s="39"/>
      <c r="T4424" s="39"/>
      <c r="U4424" s="39"/>
    </row>
    <row r="4425">
      <c r="A4425" s="40">
        <f t="shared" si="1"/>
        <v>46006</v>
      </c>
      <c r="B4425" s="37" t="str">
        <f t="array" ref="B4425">iferror(xlookup($I4425, 'IMPORT VHC Report'!$E:$E, 'IMPORT VHC Report'!$A:$C), )</f>
        <v/>
      </c>
      <c r="C4425" s="37"/>
      <c r="D4425" s="37"/>
      <c r="E4425" s="38" t="s">
        <v>5304</v>
      </c>
      <c r="F4425" s="38" t="s">
        <v>5282</v>
      </c>
      <c r="G4425" s="38">
        <v>1.1279730843407E13</v>
      </c>
      <c r="H4425" s="38" t="s">
        <v>5283</v>
      </c>
      <c r="I4425" s="38" t="s">
        <v>5284</v>
      </c>
      <c r="J4425" s="38" t="s">
        <v>134</v>
      </c>
      <c r="K4425" s="38" t="s">
        <v>126</v>
      </c>
      <c r="L4425" s="41">
        <v>46008.92013888889</v>
      </c>
      <c r="M4425" s="38" t="s">
        <v>123</v>
      </c>
      <c r="N4425" s="41">
        <v>46008.930555555555</v>
      </c>
      <c r="O4425" s="38" t="s">
        <v>123</v>
      </c>
      <c r="P4425" s="38">
        <v>900.0</v>
      </c>
      <c r="Q4425" s="39"/>
      <c r="R4425" s="39"/>
      <c r="S4425" s="38" t="s">
        <v>5305</v>
      </c>
      <c r="T4425" s="39"/>
      <c r="U4425" s="39"/>
    </row>
    <row r="4426">
      <c r="A4426" s="40">
        <f t="shared" si="1"/>
        <v>46006</v>
      </c>
      <c r="B4426" s="37" t="str">
        <f t="array" ref="B4426">iferror(xlookup($I4426, 'IMPORT VHC Report'!$E:$E, 'IMPORT VHC Report'!$A:$C), )</f>
        <v/>
      </c>
      <c r="C4426" s="37"/>
      <c r="D4426" s="37"/>
      <c r="E4426" s="38" t="s">
        <v>5306</v>
      </c>
      <c r="F4426" s="38" t="s">
        <v>5282</v>
      </c>
      <c r="G4426" s="38">
        <v>1.1279730843407E13</v>
      </c>
      <c r="H4426" s="38" t="s">
        <v>5283</v>
      </c>
      <c r="I4426" s="38" t="s">
        <v>5284</v>
      </c>
      <c r="J4426" s="38" t="s">
        <v>224</v>
      </c>
      <c r="K4426" s="38" t="s">
        <v>63</v>
      </c>
      <c r="L4426" s="41">
        <v>46008.927083333336</v>
      </c>
      <c r="M4426" s="38" t="s">
        <v>123</v>
      </c>
      <c r="N4426" s="41">
        <v>46008.989583333336</v>
      </c>
      <c r="O4426" s="38" t="s">
        <v>123</v>
      </c>
      <c r="P4426" s="38">
        <v>5400.0</v>
      </c>
      <c r="Q4426" s="39"/>
      <c r="R4426" s="39"/>
      <c r="S4426" s="39"/>
      <c r="T4426" s="39"/>
      <c r="U4426" s="39"/>
    </row>
    <row r="4427">
      <c r="A4427" s="40">
        <f t="shared" si="1"/>
        <v>46006</v>
      </c>
      <c r="B4427" s="37" t="str">
        <f t="array" ref="B4427">iferror(xlookup($I4427, 'IMPORT VHC Report'!$E:$E, 'IMPORT VHC Report'!$A:$C), )</f>
        <v/>
      </c>
      <c r="C4427" s="37"/>
      <c r="D4427" s="37"/>
      <c r="E4427" s="38" t="s">
        <v>5307</v>
      </c>
      <c r="F4427" s="38" t="s">
        <v>5282</v>
      </c>
      <c r="G4427" s="38">
        <v>1.1279730843407E13</v>
      </c>
      <c r="H4427" s="38" t="s">
        <v>5283</v>
      </c>
      <c r="I4427" s="38" t="s">
        <v>5284</v>
      </c>
      <c r="J4427" s="38" t="s">
        <v>134</v>
      </c>
      <c r="K4427" s="38" t="s">
        <v>126</v>
      </c>
      <c r="L4427" s="41">
        <v>46008.989583333336</v>
      </c>
      <c r="M4427" s="38" t="s">
        <v>123</v>
      </c>
      <c r="N4427" s="41">
        <v>46009.0</v>
      </c>
      <c r="O4427" s="38" t="s">
        <v>123</v>
      </c>
      <c r="P4427" s="38">
        <v>900.0</v>
      </c>
      <c r="Q4427" s="39"/>
      <c r="R4427" s="39"/>
      <c r="S4427" s="39"/>
      <c r="T4427" s="39"/>
      <c r="U4427" s="39"/>
    </row>
    <row r="4428">
      <c r="A4428" s="40">
        <f t="shared" si="1"/>
        <v>46006</v>
      </c>
      <c r="B4428" s="37" t="str">
        <f t="array" ref="B4428">iferror(xlookup($I4428, 'IMPORT VHC Report'!$E:$E, 'IMPORT VHC Report'!$A:$C), )</f>
        <v/>
      </c>
      <c r="C4428" s="37"/>
      <c r="D4428" s="37"/>
      <c r="E4428" s="38" t="s">
        <v>5308</v>
      </c>
      <c r="F4428" s="38" t="s">
        <v>5282</v>
      </c>
      <c r="G4428" s="38">
        <v>1.1279730843407E13</v>
      </c>
      <c r="H4428" s="38" t="s">
        <v>5283</v>
      </c>
      <c r="I4428" s="38" t="s">
        <v>5284</v>
      </c>
      <c r="J4428" s="38" t="s">
        <v>224</v>
      </c>
      <c r="K4428" s="38" t="s">
        <v>63</v>
      </c>
      <c r="L4428" s="41">
        <v>46009.0</v>
      </c>
      <c r="M4428" s="38" t="s">
        <v>123</v>
      </c>
      <c r="N4428" s="41">
        <v>46009.083333333336</v>
      </c>
      <c r="O4428" s="38" t="s">
        <v>123</v>
      </c>
      <c r="P4428" s="38">
        <v>7200.0</v>
      </c>
      <c r="Q4428" s="39"/>
      <c r="R4428" s="39"/>
      <c r="S4428" s="39"/>
      <c r="T4428" s="39"/>
      <c r="U4428" s="39"/>
    </row>
    <row r="4429">
      <c r="A4429" s="40">
        <f t="shared" si="1"/>
        <v>46006</v>
      </c>
      <c r="B4429" s="37" t="str">
        <f t="array" ref="B4429">iferror(xlookup($I4429, 'IMPORT VHC Report'!$E:$E, 'IMPORT VHC Report'!$A:$C), )</f>
        <v/>
      </c>
      <c r="C4429" s="37"/>
      <c r="D4429" s="37"/>
      <c r="E4429" s="38" t="s">
        <v>5309</v>
      </c>
      <c r="F4429" s="38" t="s">
        <v>5282</v>
      </c>
      <c r="G4429" s="38">
        <v>1.1279730843407E13</v>
      </c>
      <c r="H4429" s="38" t="s">
        <v>5283</v>
      </c>
      <c r="I4429" s="38" t="s">
        <v>5284</v>
      </c>
      <c r="J4429" s="38" t="s">
        <v>132</v>
      </c>
      <c r="K4429" s="38" t="s">
        <v>126</v>
      </c>
      <c r="L4429" s="41">
        <v>46009.09375</v>
      </c>
      <c r="M4429" s="38" t="s">
        <v>123</v>
      </c>
      <c r="N4429" s="41">
        <v>46009.135416666664</v>
      </c>
      <c r="O4429" s="38" t="s">
        <v>123</v>
      </c>
      <c r="P4429" s="38">
        <v>3600.0</v>
      </c>
      <c r="Q4429" s="39"/>
      <c r="R4429" s="39"/>
      <c r="S4429" s="38" t="s">
        <v>5310</v>
      </c>
      <c r="T4429" s="39"/>
      <c r="U4429" s="39"/>
    </row>
    <row r="4430">
      <c r="A4430" s="40">
        <f t="shared" si="1"/>
        <v>46006</v>
      </c>
      <c r="B4430" s="37" t="str">
        <f t="array" ref="B4430">iferror(xlookup($I4430, 'IMPORT VHC Report'!$E:$E, 'IMPORT VHC Report'!$A:$C), )</f>
        <v/>
      </c>
      <c r="C4430" s="37"/>
      <c r="D4430" s="37"/>
      <c r="E4430" s="38" t="s">
        <v>5311</v>
      </c>
      <c r="F4430" s="38" t="s">
        <v>5282</v>
      </c>
      <c r="G4430" s="38">
        <v>1.1279730843407E13</v>
      </c>
      <c r="H4430" s="38" t="s">
        <v>5283</v>
      </c>
      <c r="I4430" s="38" t="s">
        <v>5284</v>
      </c>
      <c r="J4430" s="38" t="s">
        <v>224</v>
      </c>
      <c r="K4430" s="38" t="s">
        <v>63</v>
      </c>
      <c r="L4430" s="41">
        <v>46009.125</v>
      </c>
      <c r="M4430" s="38" t="s">
        <v>123</v>
      </c>
      <c r="N4430" s="41">
        <v>46009.208333333336</v>
      </c>
      <c r="O4430" s="38" t="s">
        <v>123</v>
      </c>
      <c r="P4430" s="38">
        <v>7200.0</v>
      </c>
      <c r="Q4430" s="39"/>
      <c r="R4430" s="39"/>
      <c r="S4430" s="39"/>
      <c r="T4430" s="39"/>
      <c r="U4430" s="39"/>
    </row>
    <row r="4431">
      <c r="A4431" s="40">
        <f t="shared" si="1"/>
        <v>46006</v>
      </c>
      <c r="B4431" s="37" t="str">
        <f t="array" ref="B4431">iferror(xlookup($I4431, 'IMPORT VHC Report'!$E:$E, 'IMPORT VHC Report'!$A:$C), )</f>
        <v/>
      </c>
      <c r="C4431" s="37"/>
      <c r="D4431" s="37"/>
      <c r="E4431" s="38" t="s">
        <v>5312</v>
      </c>
      <c r="F4431" s="38" t="s">
        <v>5282</v>
      </c>
      <c r="G4431" s="38">
        <v>1.1279730843407E13</v>
      </c>
      <c r="H4431" s="38" t="s">
        <v>5283</v>
      </c>
      <c r="I4431" s="38" t="s">
        <v>5284</v>
      </c>
      <c r="J4431" s="38" t="s">
        <v>224</v>
      </c>
      <c r="K4431" s="38" t="s">
        <v>63</v>
      </c>
      <c r="L4431" s="41">
        <v>46009.833333333336</v>
      </c>
      <c r="M4431" s="38" t="s">
        <v>123</v>
      </c>
      <c r="N4431" s="41">
        <v>46009.927083333336</v>
      </c>
      <c r="O4431" s="38" t="s">
        <v>123</v>
      </c>
      <c r="P4431" s="38">
        <v>8100.0</v>
      </c>
      <c r="Q4431" s="39"/>
      <c r="R4431" s="39"/>
      <c r="S4431" s="39"/>
      <c r="T4431" s="39"/>
      <c r="U4431" s="39"/>
    </row>
    <row r="4432">
      <c r="A4432" s="40">
        <f t="shared" si="1"/>
        <v>46006</v>
      </c>
      <c r="B4432" s="37" t="str">
        <f t="array" ref="B4432">iferror(xlookup($I4432, 'IMPORT VHC Report'!$E:$E, 'IMPORT VHC Report'!$A:$C), )</f>
        <v/>
      </c>
      <c r="C4432" s="37"/>
      <c r="D4432" s="37"/>
      <c r="E4432" s="38" t="s">
        <v>5313</v>
      </c>
      <c r="F4432" s="38" t="s">
        <v>5282</v>
      </c>
      <c r="G4432" s="38">
        <v>1.1279730843407E13</v>
      </c>
      <c r="H4432" s="38" t="s">
        <v>5283</v>
      </c>
      <c r="I4432" s="38" t="s">
        <v>5284</v>
      </c>
      <c r="J4432" s="38" t="s">
        <v>134</v>
      </c>
      <c r="K4432" s="38" t="s">
        <v>126</v>
      </c>
      <c r="L4432" s="41">
        <v>46009.927083333336</v>
      </c>
      <c r="M4432" s="38" t="s">
        <v>123</v>
      </c>
      <c r="N4432" s="41">
        <v>46009.9375</v>
      </c>
      <c r="O4432" s="38" t="s">
        <v>123</v>
      </c>
      <c r="P4432" s="38">
        <v>900.0</v>
      </c>
      <c r="Q4432" s="39"/>
      <c r="R4432" s="39"/>
      <c r="S4432" s="39"/>
      <c r="T4432" s="39"/>
      <c r="U4432" s="39"/>
    </row>
    <row r="4433">
      <c r="A4433" s="40">
        <f t="shared" si="1"/>
        <v>46006</v>
      </c>
      <c r="B4433" s="37" t="str">
        <f t="array" ref="B4433">iferror(xlookup($I4433, 'IMPORT VHC Report'!$E:$E, 'IMPORT VHC Report'!$A:$C), )</f>
        <v/>
      </c>
      <c r="C4433" s="37"/>
      <c r="D4433" s="37"/>
      <c r="E4433" s="38" t="s">
        <v>5314</v>
      </c>
      <c r="F4433" s="38" t="s">
        <v>5282</v>
      </c>
      <c r="G4433" s="38">
        <v>1.1279730843407E13</v>
      </c>
      <c r="H4433" s="38" t="s">
        <v>5283</v>
      </c>
      <c r="I4433" s="38" t="s">
        <v>5284</v>
      </c>
      <c r="J4433" s="38" t="s">
        <v>224</v>
      </c>
      <c r="K4433" s="38" t="s">
        <v>63</v>
      </c>
      <c r="L4433" s="41">
        <v>46009.9375</v>
      </c>
      <c r="M4433" s="38" t="s">
        <v>123</v>
      </c>
      <c r="N4433" s="41">
        <v>46010.0</v>
      </c>
      <c r="O4433" s="38" t="s">
        <v>123</v>
      </c>
      <c r="P4433" s="38">
        <v>5400.0</v>
      </c>
      <c r="Q4433" s="39"/>
      <c r="R4433" s="39"/>
      <c r="S4433" s="39"/>
      <c r="T4433" s="39"/>
      <c r="U4433" s="39"/>
    </row>
    <row r="4434">
      <c r="A4434" s="40">
        <f t="shared" si="1"/>
        <v>46006</v>
      </c>
      <c r="B4434" s="37" t="str">
        <f t="array" ref="B4434">iferror(xlookup($I4434, 'IMPORT VHC Report'!$E:$E, 'IMPORT VHC Report'!$A:$C), )</f>
        <v/>
      </c>
      <c r="C4434" s="37"/>
      <c r="D4434" s="37"/>
      <c r="E4434" s="38" t="s">
        <v>5315</v>
      </c>
      <c r="F4434" s="38" t="s">
        <v>5282</v>
      </c>
      <c r="G4434" s="38">
        <v>1.1279730843407E13</v>
      </c>
      <c r="H4434" s="38" t="s">
        <v>5283</v>
      </c>
      <c r="I4434" s="38" t="s">
        <v>5284</v>
      </c>
      <c r="J4434" s="38" t="s">
        <v>134</v>
      </c>
      <c r="K4434" s="38" t="s">
        <v>126</v>
      </c>
      <c r="L4434" s="41">
        <v>46010.0</v>
      </c>
      <c r="M4434" s="38" t="s">
        <v>123</v>
      </c>
      <c r="N4434" s="41">
        <v>46010.010416666664</v>
      </c>
      <c r="O4434" s="38" t="s">
        <v>123</v>
      </c>
      <c r="P4434" s="38">
        <v>900.0</v>
      </c>
      <c r="Q4434" s="39"/>
      <c r="R4434" s="39"/>
      <c r="S4434" s="39"/>
      <c r="T4434" s="39"/>
      <c r="U4434" s="39"/>
    </row>
    <row r="4435">
      <c r="A4435" s="40">
        <f t="shared" si="1"/>
        <v>46006</v>
      </c>
      <c r="B4435" s="37" t="str">
        <f t="array" ref="B4435">iferror(xlookup($I4435, 'IMPORT VHC Report'!$E:$E, 'IMPORT VHC Report'!$A:$C), )</f>
        <v/>
      </c>
      <c r="C4435" s="37"/>
      <c r="D4435" s="37"/>
      <c r="E4435" s="38" t="s">
        <v>5316</v>
      </c>
      <c r="F4435" s="38" t="s">
        <v>5282</v>
      </c>
      <c r="G4435" s="38">
        <v>1.1279730843407E13</v>
      </c>
      <c r="H4435" s="38" t="s">
        <v>5283</v>
      </c>
      <c r="I4435" s="38" t="s">
        <v>5284</v>
      </c>
      <c r="J4435" s="38" t="s">
        <v>224</v>
      </c>
      <c r="K4435" s="38" t="s">
        <v>63</v>
      </c>
      <c r="L4435" s="41">
        <v>46010.010416666664</v>
      </c>
      <c r="M4435" s="38" t="s">
        <v>123</v>
      </c>
      <c r="N4435" s="41">
        <v>46010.072916666664</v>
      </c>
      <c r="O4435" s="38" t="s">
        <v>123</v>
      </c>
      <c r="P4435" s="38">
        <v>5400.0</v>
      </c>
      <c r="Q4435" s="39"/>
      <c r="R4435" s="39"/>
      <c r="S4435" s="39"/>
      <c r="T4435" s="39"/>
      <c r="U4435" s="39"/>
    </row>
    <row r="4436">
      <c r="A4436" s="40">
        <f t="shared" si="1"/>
        <v>46006</v>
      </c>
      <c r="B4436" s="37" t="str">
        <f t="array" ref="B4436">iferror(xlookup($I4436, 'IMPORT VHC Report'!$E:$E, 'IMPORT VHC Report'!$A:$C), )</f>
        <v/>
      </c>
      <c r="C4436" s="37"/>
      <c r="D4436" s="37"/>
      <c r="E4436" s="38" t="s">
        <v>5317</v>
      </c>
      <c r="F4436" s="38" t="s">
        <v>5282</v>
      </c>
      <c r="G4436" s="38">
        <v>1.1279730843407E13</v>
      </c>
      <c r="H4436" s="38" t="s">
        <v>5283</v>
      </c>
      <c r="I4436" s="38" t="s">
        <v>5284</v>
      </c>
      <c r="J4436" s="38" t="s">
        <v>132</v>
      </c>
      <c r="K4436" s="38" t="s">
        <v>126</v>
      </c>
      <c r="L4436" s="41">
        <v>46010.072916666664</v>
      </c>
      <c r="M4436" s="38" t="s">
        <v>123</v>
      </c>
      <c r="N4436" s="41">
        <v>46010.114583333336</v>
      </c>
      <c r="O4436" s="38" t="s">
        <v>123</v>
      </c>
      <c r="P4436" s="38">
        <v>3600.0</v>
      </c>
      <c r="Q4436" s="39"/>
      <c r="R4436" s="39"/>
      <c r="S4436" s="39"/>
      <c r="T4436" s="39"/>
      <c r="U4436" s="39"/>
    </row>
    <row r="4437">
      <c r="A4437" s="40">
        <f t="shared" si="1"/>
        <v>46006</v>
      </c>
      <c r="B4437" s="37" t="str">
        <f t="array" ref="B4437">iferror(xlookup($I4437, 'IMPORT VHC Report'!$E:$E, 'IMPORT VHC Report'!$A:$C), )</f>
        <v/>
      </c>
      <c r="C4437" s="37"/>
      <c r="D4437" s="37"/>
      <c r="E4437" s="38" t="s">
        <v>5318</v>
      </c>
      <c r="F4437" s="38" t="s">
        <v>5282</v>
      </c>
      <c r="G4437" s="38">
        <v>1.1279730843407E13</v>
      </c>
      <c r="H4437" s="38" t="s">
        <v>5283</v>
      </c>
      <c r="I4437" s="38" t="s">
        <v>5284</v>
      </c>
      <c r="J4437" s="38" t="s">
        <v>224</v>
      </c>
      <c r="K4437" s="38" t="s">
        <v>63</v>
      </c>
      <c r="L4437" s="41">
        <v>46010.114583333336</v>
      </c>
      <c r="M4437" s="38" t="s">
        <v>123</v>
      </c>
      <c r="N4437" s="41">
        <v>46010.208333333336</v>
      </c>
      <c r="O4437" s="38" t="s">
        <v>123</v>
      </c>
      <c r="P4437" s="38">
        <v>8100.0</v>
      </c>
      <c r="Q4437" s="39"/>
      <c r="R4437" s="39"/>
      <c r="S4437" s="39"/>
      <c r="T4437" s="39"/>
      <c r="U4437" s="39"/>
    </row>
    <row r="4438">
      <c r="A4438" s="40">
        <f t="shared" si="1"/>
        <v>46006</v>
      </c>
      <c r="B4438" s="37" t="str">
        <f t="array" ref="B4438">iferror(xlookup($I4438, 'IMPORT VHC Report'!$E:$E, 'IMPORT VHC Report'!$A:$C), )</f>
        <v/>
      </c>
      <c r="C4438" s="37"/>
      <c r="D4438" s="37"/>
      <c r="E4438" s="38" t="s">
        <v>5319</v>
      </c>
      <c r="F4438" s="38" t="s">
        <v>5282</v>
      </c>
      <c r="G4438" s="38">
        <v>1.1279730843407E13</v>
      </c>
      <c r="H4438" s="38" t="s">
        <v>5283</v>
      </c>
      <c r="I4438" s="38" t="s">
        <v>5284</v>
      </c>
      <c r="J4438" s="38" t="s">
        <v>224</v>
      </c>
      <c r="K4438" s="38" t="s">
        <v>63</v>
      </c>
      <c r="L4438" s="41">
        <v>46010.833333333336</v>
      </c>
      <c r="M4438" s="38" t="s">
        <v>123</v>
      </c>
      <c r="N4438" s="41">
        <v>46010.916666666664</v>
      </c>
      <c r="O4438" s="38" t="s">
        <v>123</v>
      </c>
      <c r="P4438" s="38">
        <v>7200.0</v>
      </c>
      <c r="Q4438" s="39"/>
      <c r="R4438" s="39"/>
      <c r="S4438" s="39"/>
      <c r="T4438" s="39"/>
      <c r="U4438" s="39"/>
    </row>
    <row r="4439">
      <c r="A4439" s="40">
        <f t="shared" si="1"/>
        <v>46006</v>
      </c>
      <c r="B4439" s="37" t="str">
        <f t="array" ref="B4439">iferror(xlookup($I4439, 'IMPORT VHC Report'!$E:$E, 'IMPORT VHC Report'!$A:$C), )</f>
        <v/>
      </c>
      <c r="C4439" s="37"/>
      <c r="D4439" s="37"/>
      <c r="E4439" s="38" t="s">
        <v>5320</v>
      </c>
      <c r="F4439" s="38" t="s">
        <v>5282</v>
      </c>
      <c r="G4439" s="38">
        <v>1.1279730843407E13</v>
      </c>
      <c r="H4439" s="38" t="s">
        <v>5283</v>
      </c>
      <c r="I4439" s="38" t="s">
        <v>5284</v>
      </c>
      <c r="J4439" s="38" t="s">
        <v>224</v>
      </c>
      <c r="K4439" s="38" t="s">
        <v>63</v>
      </c>
      <c r="L4439" s="41">
        <v>46010.927083333336</v>
      </c>
      <c r="M4439" s="38" t="s">
        <v>123</v>
      </c>
      <c r="N4439" s="41">
        <v>46011.020833333336</v>
      </c>
      <c r="O4439" s="38" t="s">
        <v>123</v>
      </c>
      <c r="P4439" s="38">
        <v>8100.0</v>
      </c>
      <c r="Q4439" s="39"/>
      <c r="R4439" s="39"/>
      <c r="S4439" s="39"/>
      <c r="T4439" s="39"/>
      <c r="U4439" s="39"/>
    </row>
    <row r="4440">
      <c r="A4440" s="40">
        <f t="shared" si="1"/>
        <v>46006</v>
      </c>
      <c r="B4440" s="37" t="str">
        <f t="array" ref="B4440">iferror(xlookup($I4440, 'IMPORT VHC Report'!$E:$E, 'IMPORT VHC Report'!$A:$C), )</f>
        <v/>
      </c>
      <c r="C4440" s="37"/>
      <c r="D4440" s="37"/>
      <c r="E4440" s="38" t="s">
        <v>5321</v>
      </c>
      <c r="F4440" s="38" t="s">
        <v>5282</v>
      </c>
      <c r="G4440" s="38">
        <v>1.1279730843407E13</v>
      </c>
      <c r="H4440" s="38" t="s">
        <v>5283</v>
      </c>
      <c r="I4440" s="38" t="s">
        <v>5284</v>
      </c>
      <c r="J4440" s="38" t="s">
        <v>134</v>
      </c>
      <c r="K4440" s="38" t="s">
        <v>126</v>
      </c>
      <c r="L4440" s="41">
        <v>46010.930555555555</v>
      </c>
      <c r="M4440" s="38" t="s">
        <v>123</v>
      </c>
      <c r="N4440" s="41">
        <v>46010.94097222222</v>
      </c>
      <c r="O4440" s="38" t="s">
        <v>123</v>
      </c>
      <c r="P4440" s="38">
        <v>900.0</v>
      </c>
      <c r="Q4440" s="39"/>
      <c r="R4440" s="39"/>
      <c r="S4440" s="38" t="s">
        <v>5322</v>
      </c>
      <c r="T4440" s="39"/>
      <c r="U4440" s="39"/>
    </row>
    <row r="4441">
      <c r="A4441" s="40">
        <f t="shared" si="1"/>
        <v>46006</v>
      </c>
      <c r="B4441" s="37" t="str">
        <f t="array" ref="B4441">iferror(xlookup($I4441, 'IMPORT VHC Report'!$E:$E, 'IMPORT VHC Report'!$A:$C), )</f>
        <v/>
      </c>
      <c r="C4441" s="37"/>
      <c r="D4441" s="37"/>
      <c r="E4441" s="38" t="s">
        <v>5323</v>
      </c>
      <c r="F4441" s="38" t="s">
        <v>5282</v>
      </c>
      <c r="G4441" s="38">
        <v>1.1279730843407E13</v>
      </c>
      <c r="H4441" s="38" t="s">
        <v>5283</v>
      </c>
      <c r="I4441" s="38" t="s">
        <v>5284</v>
      </c>
      <c r="J4441" s="38" t="s">
        <v>224</v>
      </c>
      <c r="K4441" s="38" t="s">
        <v>63</v>
      </c>
      <c r="L4441" s="41">
        <v>46011.020833333336</v>
      </c>
      <c r="M4441" s="38" t="s">
        <v>123</v>
      </c>
      <c r="N4441" s="41">
        <v>46011.09375</v>
      </c>
      <c r="O4441" s="38" t="s">
        <v>123</v>
      </c>
      <c r="P4441" s="38">
        <v>6300.0</v>
      </c>
      <c r="Q4441" s="39"/>
      <c r="R4441" s="39"/>
      <c r="S4441" s="39"/>
      <c r="T4441" s="39"/>
      <c r="U4441" s="39"/>
    </row>
    <row r="4442">
      <c r="A4442" s="40">
        <f t="shared" si="1"/>
        <v>46006</v>
      </c>
      <c r="B4442" s="37" t="str">
        <f t="array" ref="B4442">iferror(xlookup($I4442, 'IMPORT VHC Report'!$E:$E, 'IMPORT VHC Report'!$A:$C), )</f>
        <v/>
      </c>
      <c r="C4442" s="37"/>
      <c r="D4442" s="37"/>
      <c r="E4442" s="38" t="s">
        <v>5324</v>
      </c>
      <c r="F4442" s="38" t="s">
        <v>5282</v>
      </c>
      <c r="G4442" s="38">
        <v>1.1279730843407E13</v>
      </c>
      <c r="H4442" s="38" t="s">
        <v>5283</v>
      </c>
      <c r="I4442" s="38" t="s">
        <v>5284</v>
      </c>
      <c r="J4442" s="38" t="s">
        <v>134</v>
      </c>
      <c r="K4442" s="38" t="s">
        <v>126</v>
      </c>
      <c r="L4442" s="41">
        <v>46011.05972222222</v>
      </c>
      <c r="M4442" s="38" t="s">
        <v>123</v>
      </c>
      <c r="N4442" s="41">
        <v>46011.07013888889</v>
      </c>
      <c r="O4442" s="38" t="s">
        <v>123</v>
      </c>
      <c r="P4442" s="38">
        <v>900.0</v>
      </c>
      <c r="Q4442" s="39"/>
      <c r="R4442" s="39"/>
      <c r="S4442" s="39"/>
      <c r="T4442" s="39"/>
      <c r="U4442" s="39"/>
    </row>
    <row r="4443">
      <c r="A4443" s="40">
        <f t="shared" si="1"/>
        <v>46006</v>
      </c>
      <c r="B4443" s="37" t="str">
        <f t="array" ref="B4443">iferror(xlookup($I4443, 'IMPORT VHC Report'!$E:$E, 'IMPORT VHC Report'!$A:$C), )</f>
        <v/>
      </c>
      <c r="C4443" s="37"/>
      <c r="D4443" s="37"/>
      <c r="E4443" s="38" t="s">
        <v>5325</v>
      </c>
      <c r="F4443" s="38" t="s">
        <v>5282</v>
      </c>
      <c r="G4443" s="38">
        <v>1.1279730843407E13</v>
      </c>
      <c r="H4443" s="38" t="s">
        <v>5283</v>
      </c>
      <c r="I4443" s="38" t="s">
        <v>5284</v>
      </c>
      <c r="J4443" s="38" t="s">
        <v>132</v>
      </c>
      <c r="K4443" s="38" t="s">
        <v>126</v>
      </c>
      <c r="L4443" s="41">
        <v>46011.10763888889</v>
      </c>
      <c r="M4443" s="38" t="s">
        <v>123</v>
      </c>
      <c r="N4443" s="41">
        <v>46011.149305555555</v>
      </c>
      <c r="O4443" s="38" t="s">
        <v>123</v>
      </c>
      <c r="P4443" s="38">
        <v>3600.0</v>
      </c>
      <c r="Q4443" s="39"/>
      <c r="R4443" s="39"/>
      <c r="S4443" s="38" t="s">
        <v>5326</v>
      </c>
      <c r="T4443" s="39"/>
      <c r="U4443" s="39"/>
    </row>
    <row r="4444">
      <c r="A4444" s="40">
        <f t="shared" si="1"/>
        <v>46006</v>
      </c>
      <c r="B4444" s="37" t="str">
        <f t="array" ref="B4444">iferror(xlookup($I4444, 'IMPORT VHC Report'!$E:$E, 'IMPORT VHC Report'!$A:$C), )</f>
        <v/>
      </c>
      <c r="C4444" s="37"/>
      <c r="D4444" s="37"/>
      <c r="E4444" s="38" t="s">
        <v>5327</v>
      </c>
      <c r="F4444" s="38" t="s">
        <v>5282</v>
      </c>
      <c r="G4444" s="38">
        <v>1.1279730843407E13</v>
      </c>
      <c r="H4444" s="38" t="s">
        <v>5283</v>
      </c>
      <c r="I4444" s="38" t="s">
        <v>5284</v>
      </c>
      <c r="J4444" s="38" t="s">
        <v>224</v>
      </c>
      <c r="K4444" s="38" t="s">
        <v>63</v>
      </c>
      <c r="L4444" s="41">
        <v>46011.135416666664</v>
      </c>
      <c r="M4444" s="38" t="s">
        <v>123</v>
      </c>
      <c r="N4444" s="41">
        <v>46011.208333333336</v>
      </c>
      <c r="O4444" s="38" t="s">
        <v>123</v>
      </c>
      <c r="P4444" s="38">
        <v>6300.0</v>
      </c>
      <c r="Q4444" s="39"/>
      <c r="R4444" s="39"/>
      <c r="S4444" s="39"/>
      <c r="T4444" s="39"/>
      <c r="U4444" s="39"/>
    </row>
    <row r="4445">
      <c r="A4445" s="40">
        <f t="shared" si="1"/>
        <v>46006</v>
      </c>
      <c r="B4445" s="37" t="str">
        <f t="array" ref="B4445">iferror(xlookup($I4445, 'IMPORT VHC Report'!$E:$E, 'IMPORT VHC Report'!$A:$C), )</f>
        <v/>
      </c>
      <c r="C4445" s="37"/>
      <c r="D4445" s="37"/>
      <c r="E4445" s="38" t="s">
        <v>5328</v>
      </c>
      <c r="F4445" s="38" t="s">
        <v>5329</v>
      </c>
      <c r="G4445" s="38">
        <v>3.61733079315E11</v>
      </c>
      <c r="H4445" s="38" t="s">
        <v>5330</v>
      </c>
      <c r="I4445" s="38" t="s">
        <v>5331</v>
      </c>
      <c r="J4445" s="38" t="s">
        <v>368</v>
      </c>
      <c r="K4445" s="38" t="s">
        <v>63</v>
      </c>
      <c r="L4445" s="41">
        <v>46006.833333333336</v>
      </c>
      <c r="M4445" s="38" t="s">
        <v>123</v>
      </c>
      <c r="N4445" s="41">
        <v>46007.208333333336</v>
      </c>
      <c r="O4445" s="38" t="s">
        <v>123</v>
      </c>
      <c r="P4445" s="38">
        <v>32400.0</v>
      </c>
      <c r="Q4445" s="39"/>
      <c r="R4445" s="39"/>
      <c r="S4445" s="39"/>
      <c r="T4445" s="39"/>
      <c r="U4445" s="39"/>
    </row>
    <row r="4446">
      <c r="A4446" s="40">
        <f t="shared" si="1"/>
        <v>46006</v>
      </c>
      <c r="B4446" s="37" t="str">
        <f t="array" ref="B4446">iferror(xlookup($I4446, 'IMPORT VHC Report'!$E:$E, 'IMPORT VHC Report'!$A:$C), )</f>
        <v/>
      </c>
      <c r="C4446" s="37"/>
      <c r="D4446" s="37"/>
      <c r="E4446" s="38" t="s">
        <v>5332</v>
      </c>
      <c r="F4446" s="38" t="s">
        <v>5329</v>
      </c>
      <c r="G4446" s="38">
        <v>3.61733079315E11</v>
      </c>
      <c r="H4446" s="38" t="s">
        <v>5330</v>
      </c>
      <c r="I4446" s="38" t="s">
        <v>5331</v>
      </c>
      <c r="J4446" s="38" t="s">
        <v>134</v>
      </c>
      <c r="K4446" s="38" t="s">
        <v>126</v>
      </c>
      <c r="L4446" s="41">
        <v>46006.927083333336</v>
      </c>
      <c r="M4446" s="38" t="s">
        <v>123</v>
      </c>
      <c r="N4446" s="41">
        <v>46006.947916666664</v>
      </c>
      <c r="O4446" s="38" t="s">
        <v>123</v>
      </c>
      <c r="P4446" s="38">
        <v>1800.0</v>
      </c>
      <c r="Q4446" s="39"/>
      <c r="R4446" s="39"/>
      <c r="S4446" s="39"/>
      <c r="T4446" s="39"/>
      <c r="U4446" s="39"/>
    </row>
    <row r="4447">
      <c r="A4447" s="40">
        <f t="shared" si="1"/>
        <v>46006</v>
      </c>
      <c r="B4447" s="37" t="str">
        <f t="array" ref="B4447">iferror(xlookup($I4447, 'IMPORT VHC Report'!$E:$E, 'IMPORT VHC Report'!$A:$C), )</f>
        <v/>
      </c>
      <c r="C4447" s="37"/>
      <c r="D4447" s="37"/>
      <c r="E4447" s="38" t="s">
        <v>5333</v>
      </c>
      <c r="F4447" s="38" t="s">
        <v>5329</v>
      </c>
      <c r="G4447" s="38">
        <v>3.61733079315E11</v>
      </c>
      <c r="H4447" s="38" t="s">
        <v>5330</v>
      </c>
      <c r="I4447" s="38" t="s">
        <v>5331</v>
      </c>
      <c r="J4447" s="38" t="s">
        <v>132</v>
      </c>
      <c r="K4447" s="38" t="s">
        <v>126</v>
      </c>
      <c r="L4447" s="41">
        <v>46007.09375</v>
      </c>
      <c r="M4447" s="38" t="s">
        <v>123</v>
      </c>
      <c r="N4447" s="41">
        <v>46007.135416666664</v>
      </c>
      <c r="O4447" s="38" t="s">
        <v>123</v>
      </c>
      <c r="P4447" s="38">
        <v>3600.0</v>
      </c>
      <c r="Q4447" s="39"/>
      <c r="R4447" s="39"/>
      <c r="S4447" s="39"/>
      <c r="T4447" s="39"/>
      <c r="U4447" s="39"/>
    </row>
    <row r="4448">
      <c r="A4448" s="40">
        <f t="shared" si="1"/>
        <v>46006</v>
      </c>
      <c r="B4448" s="37" t="str">
        <f t="array" ref="B4448">iferror(xlookup($I4448, 'IMPORT VHC Report'!$E:$E, 'IMPORT VHC Report'!$A:$C), )</f>
        <v/>
      </c>
      <c r="C4448" s="37"/>
      <c r="D4448" s="37"/>
      <c r="E4448" s="38" t="s">
        <v>5334</v>
      </c>
      <c r="F4448" s="38" t="s">
        <v>5329</v>
      </c>
      <c r="G4448" s="38">
        <v>3.61733079315E11</v>
      </c>
      <c r="H4448" s="38" t="s">
        <v>5330</v>
      </c>
      <c r="I4448" s="38" t="s">
        <v>5331</v>
      </c>
      <c r="J4448" s="38" t="s">
        <v>368</v>
      </c>
      <c r="K4448" s="38" t="s">
        <v>63</v>
      </c>
      <c r="L4448" s="41">
        <v>46007.833333333336</v>
      </c>
      <c r="M4448" s="38" t="s">
        <v>123</v>
      </c>
      <c r="N4448" s="41">
        <v>46008.208333333336</v>
      </c>
      <c r="O4448" s="38" t="s">
        <v>123</v>
      </c>
      <c r="P4448" s="38">
        <v>32400.0</v>
      </c>
      <c r="Q4448" s="39"/>
      <c r="R4448" s="39"/>
      <c r="S4448" s="39"/>
      <c r="T4448" s="39"/>
      <c r="U4448" s="39"/>
    </row>
    <row r="4449">
      <c r="A4449" s="40">
        <f t="shared" si="1"/>
        <v>46006</v>
      </c>
      <c r="B4449" s="37" t="str">
        <f t="array" ref="B4449">iferror(xlookup($I4449, 'IMPORT VHC Report'!$E:$E, 'IMPORT VHC Report'!$A:$C), )</f>
        <v/>
      </c>
      <c r="C4449" s="37"/>
      <c r="D4449" s="37"/>
      <c r="E4449" s="38" t="s">
        <v>5335</v>
      </c>
      <c r="F4449" s="38" t="s">
        <v>5329</v>
      </c>
      <c r="G4449" s="38">
        <v>3.61733079315E11</v>
      </c>
      <c r="H4449" s="38" t="s">
        <v>5330</v>
      </c>
      <c r="I4449" s="38" t="s">
        <v>5331</v>
      </c>
      <c r="J4449" s="38" t="s">
        <v>134</v>
      </c>
      <c r="K4449" s="38" t="s">
        <v>126</v>
      </c>
      <c r="L4449" s="41">
        <v>46008.0</v>
      </c>
      <c r="M4449" s="38" t="s">
        <v>123</v>
      </c>
      <c r="N4449" s="41">
        <v>46008.020833333336</v>
      </c>
      <c r="O4449" s="38" t="s">
        <v>123</v>
      </c>
      <c r="P4449" s="38">
        <v>1800.0</v>
      </c>
      <c r="Q4449" s="39"/>
      <c r="R4449" s="39"/>
      <c r="S4449" s="39"/>
      <c r="T4449" s="39"/>
      <c r="U4449" s="39"/>
    </row>
    <row r="4450">
      <c r="A4450" s="40">
        <f t="shared" si="1"/>
        <v>46006</v>
      </c>
      <c r="B4450" s="37" t="str">
        <f t="array" ref="B4450">iferror(xlookup($I4450, 'IMPORT VHC Report'!$E:$E, 'IMPORT VHC Report'!$A:$C), )</f>
        <v/>
      </c>
      <c r="C4450" s="37"/>
      <c r="D4450" s="37"/>
      <c r="E4450" s="38" t="s">
        <v>5336</v>
      </c>
      <c r="F4450" s="38" t="s">
        <v>5329</v>
      </c>
      <c r="G4450" s="38">
        <v>3.61733079315E11</v>
      </c>
      <c r="H4450" s="38" t="s">
        <v>5330</v>
      </c>
      <c r="I4450" s="38" t="s">
        <v>5331</v>
      </c>
      <c r="J4450" s="38" t="s">
        <v>132</v>
      </c>
      <c r="K4450" s="38" t="s">
        <v>126</v>
      </c>
      <c r="L4450" s="41">
        <v>46008.125</v>
      </c>
      <c r="M4450" s="38" t="s">
        <v>123</v>
      </c>
      <c r="N4450" s="41">
        <v>46008.166666666664</v>
      </c>
      <c r="O4450" s="38" t="s">
        <v>123</v>
      </c>
      <c r="P4450" s="38">
        <v>3600.0</v>
      </c>
      <c r="Q4450" s="39"/>
      <c r="R4450" s="39"/>
      <c r="S4450" s="39"/>
      <c r="T4450" s="39"/>
      <c r="U4450" s="39"/>
    </row>
    <row r="4451">
      <c r="A4451" s="40">
        <f t="shared" si="1"/>
        <v>46006</v>
      </c>
      <c r="B4451" s="37" t="str">
        <f t="array" ref="B4451">iferror(xlookup($I4451, 'IMPORT VHC Report'!$E:$E, 'IMPORT VHC Report'!$A:$C), )</f>
        <v/>
      </c>
      <c r="C4451" s="37"/>
      <c r="D4451" s="37"/>
      <c r="E4451" s="38" t="s">
        <v>5337</v>
      </c>
      <c r="F4451" s="38" t="s">
        <v>5329</v>
      </c>
      <c r="G4451" s="38">
        <v>3.61733079315E11</v>
      </c>
      <c r="H4451" s="38" t="s">
        <v>5330</v>
      </c>
      <c r="I4451" s="38" t="s">
        <v>5331</v>
      </c>
      <c r="J4451" s="38" t="s">
        <v>368</v>
      </c>
      <c r="K4451" s="38" t="s">
        <v>63</v>
      </c>
      <c r="L4451" s="41">
        <v>46008.822916666664</v>
      </c>
      <c r="M4451" s="38" t="s">
        <v>123</v>
      </c>
      <c r="N4451" s="41">
        <v>46009.197916666664</v>
      </c>
      <c r="O4451" s="38" t="s">
        <v>123</v>
      </c>
      <c r="P4451" s="38">
        <v>32400.0</v>
      </c>
      <c r="Q4451" s="39"/>
      <c r="R4451" s="39"/>
      <c r="S4451" s="39"/>
      <c r="T4451" s="39"/>
      <c r="U4451" s="39"/>
    </row>
    <row r="4452">
      <c r="A4452" s="40">
        <f t="shared" si="1"/>
        <v>46006</v>
      </c>
      <c r="B4452" s="37" t="str">
        <f t="array" ref="B4452">iferror(xlookup($I4452, 'IMPORT VHC Report'!$E:$E, 'IMPORT VHC Report'!$A:$C), )</f>
        <v/>
      </c>
      <c r="C4452" s="37"/>
      <c r="D4452" s="37"/>
      <c r="E4452" s="38" t="s">
        <v>5338</v>
      </c>
      <c r="F4452" s="38" t="s">
        <v>5329</v>
      </c>
      <c r="G4452" s="38">
        <v>3.61733079315E11</v>
      </c>
      <c r="H4452" s="38" t="s">
        <v>5330</v>
      </c>
      <c r="I4452" s="38" t="s">
        <v>5331</v>
      </c>
      <c r="J4452" s="38" t="s">
        <v>152</v>
      </c>
      <c r="K4452" s="38" t="s">
        <v>153</v>
      </c>
      <c r="L4452" s="41">
        <v>46008.833333333336</v>
      </c>
      <c r="M4452" s="38" t="s">
        <v>123</v>
      </c>
      <c r="N4452" s="41">
        <v>46009.208333333336</v>
      </c>
      <c r="O4452" s="38" t="s">
        <v>123</v>
      </c>
      <c r="P4452" s="38">
        <v>32400.0</v>
      </c>
      <c r="Q4452" s="38">
        <v>32400.0</v>
      </c>
      <c r="R4452" s="39"/>
      <c r="S4452" s="39"/>
      <c r="T4452" s="39"/>
      <c r="U4452" s="39"/>
    </row>
    <row r="4453">
      <c r="A4453" s="40">
        <f t="shared" si="1"/>
        <v>46006</v>
      </c>
      <c r="B4453" s="37" t="str">
        <f t="array" ref="B4453">iferror(xlookup($I4453, 'IMPORT VHC Report'!$E:$E, 'IMPORT VHC Report'!$A:$C), )</f>
        <v/>
      </c>
      <c r="C4453" s="37"/>
      <c r="D4453" s="37"/>
      <c r="E4453" s="38" t="s">
        <v>5339</v>
      </c>
      <c r="F4453" s="38" t="s">
        <v>5329</v>
      </c>
      <c r="G4453" s="38">
        <v>3.61733079315E11</v>
      </c>
      <c r="H4453" s="38" t="s">
        <v>5330</v>
      </c>
      <c r="I4453" s="38" t="s">
        <v>5331</v>
      </c>
      <c r="J4453" s="38" t="s">
        <v>134</v>
      </c>
      <c r="K4453" s="38" t="s">
        <v>126</v>
      </c>
      <c r="L4453" s="41">
        <v>46009.020833333336</v>
      </c>
      <c r="M4453" s="38" t="s">
        <v>123</v>
      </c>
      <c r="N4453" s="41">
        <v>46009.041666666664</v>
      </c>
      <c r="O4453" s="38" t="s">
        <v>123</v>
      </c>
      <c r="P4453" s="38">
        <v>1800.0</v>
      </c>
      <c r="Q4453" s="39"/>
      <c r="R4453" s="39"/>
      <c r="S4453" s="39"/>
      <c r="T4453" s="39"/>
      <c r="U4453" s="39"/>
    </row>
    <row r="4454">
      <c r="A4454" s="40">
        <f t="shared" si="1"/>
        <v>46006</v>
      </c>
      <c r="B4454" s="37" t="str">
        <f t="array" ref="B4454">iferror(xlookup($I4454, 'IMPORT VHC Report'!$E:$E, 'IMPORT VHC Report'!$A:$C), )</f>
        <v/>
      </c>
      <c r="C4454" s="37"/>
      <c r="D4454" s="37"/>
      <c r="E4454" s="38" t="s">
        <v>5340</v>
      </c>
      <c r="F4454" s="38" t="s">
        <v>5329</v>
      </c>
      <c r="G4454" s="38">
        <v>3.61733079315E11</v>
      </c>
      <c r="H4454" s="38" t="s">
        <v>5330</v>
      </c>
      <c r="I4454" s="38" t="s">
        <v>5331</v>
      </c>
      <c r="J4454" s="38" t="s">
        <v>132</v>
      </c>
      <c r="K4454" s="38" t="s">
        <v>126</v>
      </c>
      <c r="L4454" s="41">
        <v>46009.125</v>
      </c>
      <c r="M4454" s="38" t="s">
        <v>123</v>
      </c>
      <c r="N4454" s="41">
        <v>46009.166666666664</v>
      </c>
      <c r="O4454" s="38" t="s">
        <v>123</v>
      </c>
      <c r="P4454" s="38">
        <v>3600.0</v>
      </c>
      <c r="Q4454" s="39"/>
      <c r="R4454" s="39"/>
      <c r="S4454" s="39"/>
      <c r="T4454" s="39"/>
      <c r="U4454" s="39"/>
    </row>
    <row r="4455">
      <c r="A4455" s="40">
        <f t="shared" si="1"/>
        <v>46006</v>
      </c>
      <c r="B4455" s="37" t="str">
        <f t="array" ref="B4455">iferror(xlookup($I4455, 'IMPORT VHC Report'!$E:$E, 'IMPORT VHC Report'!$A:$C), )</f>
        <v/>
      </c>
      <c r="C4455" s="37"/>
      <c r="D4455" s="37"/>
      <c r="E4455" s="38" t="s">
        <v>5341</v>
      </c>
      <c r="F4455" s="38" t="s">
        <v>5329</v>
      </c>
      <c r="G4455" s="38">
        <v>3.61733079315E11</v>
      </c>
      <c r="H4455" s="38" t="s">
        <v>5330</v>
      </c>
      <c r="I4455" s="38" t="s">
        <v>5331</v>
      </c>
      <c r="J4455" s="38" t="s">
        <v>368</v>
      </c>
      <c r="K4455" s="38" t="s">
        <v>63</v>
      </c>
      <c r="L4455" s="41">
        <v>46009.197916666664</v>
      </c>
      <c r="M4455" s="38" t="s">
        <v>123</v>
      </c>
      <c r="N4455" s="41">
        <v>46009.208333333336</v>
      </c>
      <c r="O4455" s="38" t="s">
        <v>123</v>
      </c>
      <c r="P4455" s="38">
        <v>900.0</v>
      </c>
      <c r="Q4455" s="39"/>
      <c r="R4455" s="39"/>
      <c r="S4455" s="39"/>
      <c r="T4455" s="39"/>
      <c r="U4455" s="39"/>
    </row>
    <row r="4456">
      <c r="A4456" s="40">
        <f t="shared" si="1"/>
        <v>46006</v>
      </c>
      <c r="B4456" s="37" t="str">
        <f t="array" ref="B4456">iferror(xlookup($I4456, 'IMPORT VHC Report'!$E:$E, 'IMPORT VHC Report'!$A:$C), )</f>
        <v/>
      </c>
      <c r="C4456" s="37"/>
      <c r="D4456" s="37"/>
      <c r="E4456" s="38" t="s">
        <v>5342</v>
      </c>
      <c r="F4456" s="38" t="s">
        <v>5329</v>
      </c>
      <c r="G4456" s="38">
        <v>3.61733079315E11</v>
      </c>
      <c r="H4456" s="38" t="s">
        <v>5330</v>
      </c>
      <c r="I4456" s="38" t="s">
        <v>5331</v>
      </c>
      <c r="J4456" s="38" t="s">
        <v>152</v>
      </c>
      <c r="K4456" s="38" t="s">
        <v>153</v>
      </c>
      <c r="L4456" s="41">
        <v>46009.833333333336</v>
      </c>
      <c r="M4456" s="38" t="s">
        <v>123</v>
      </c>
      <c r="N4456" s="41">
        <v>46010.208333333336</v>
      </c>
      <c r="O4456" s="38" t="s">
        <v>123</v>
      </c>
      <c r="P4456" s="38">
        <v>32400.0</v>
      </c>
      <c r="Q4456" s="38">
        <v>32400.0</v>
      </c>
      <c r="R4456" s="39"/>
      <c r="S4456" s="39"/>
      <c r="T4456" s="39"/>
      <c r="U4456" s="39"/>
    </row>
    <row r="4457">
      <c r="A4457" s="40">
        <f t="shared" si="1"/>
        <v>46006</v>
      </c>
      <c r="B4457" s="37" t="str">
        <f t="array" ref="B4457">iferror(xlookup($I4457, 'IMPORT VHC Report'!$E:$E, 'IMPORT VHC Report'!$A:$C), )</f>
        <v/>
      </c>
      <c r="C4457" s="37"/>
      <c r="D4457" s="37"/>
      <c r="E4457" s="38" t="s">
        <v>5343</v>
      </c>
      <c r="F4457" s="38" t="s">
        <v>5329</v>
      </c>
      <c r="G4457" s="38">
        <v>3.61733079315E11</v>
      </c>
      <c r="H4457" s="38" t="s">
        <v>5330</v>
      </c>
      <c r="I4457" s="38" t="s">
        <v>5331</v>
      </c>
      <c r="J4457" s="38" t="s">
        <v>368</v>
      </c>
      <c r="K4457" s="38" t="s">
        <v>63</v>
      </c>
      <c r="L4457" s="41">
        <v>46009.833333333336</v>
      </c>
      <c r="M4457" s="38" t="s">
        <v>123</v>
      </c>
      <c r="N4457" s="41">
        <v>46010.208333333336</v>
      </c>
      <c r="O4457" s="38" t="s">
        <v>123</v>
      </c>
      <c r="P4457" s="38">
        <v>32400.0</v>
      </c>
      <c r="Q4457" s="39"/>
      <c r="R4457" s="39"/>
      <c r="S4457" s="39"/>
      <c r="T4457" s="39"/>
      <c r="U4457" s="39"/>
    </row>
    <row r="4458">
      <c r="A4458" s="40">
        <f t="shared" si="1"/>
        <v>46006</v>
      </c>
      <c r="B4458" s="37" t="str">
        <f t="array" ref="B4458">iferror(xlookup($I4458, 'IMPORT VHC Report'!$E:$E, 'IMPORT VHC Report'!$A:$C), )</f>
        <v/>
      </c>
      <c r="C4458" s="37"/>
      <c r="D4458" s="37"/>
      <c r="E4458" s="38" t="s">
        <v>5344</v>
      </c>
      <c r="F4458" s="38" t="s">
        <v>5329</v>
      </c>
      <c r="G4458" s="38">
        <v>3.61733079315E11</v>
      </c>
      <c r="H4458" s="38" t="s">
        <v>5330</v>
      </c>
      <c r="I4458" s="38" t="s">
        <v>5331</v>
      </c>
      <c r="J4458" s="38" t="s">
        <v>4</v>
      </c>
      <c r="K4458" s="38" t="s">
        <v>126</v>
      </c>
      <c r="L4458" s="41">
        <v>46009.875</v>
      </c>
      <c r="M4458" s="38" t="s">
        <v>123</v>
      </c>
      <c r="N4458" s="41">
        <v>46009.9375</v>
      </c>
      <c r="O4458" s="38" t="s">
        <v>123</v>
      </c>
      <c r="P4458" s="38">
        <v>5400.0</v>
      </c>
      <c r="Q4458" s="39"/>
      <c r="R4458" s="39"/>
      <c r="S4458" s="38" t="s">
        <v>458</v>
      </c>
      <c r="T4458" s="39"/>
      <c r="U4458" s="39"/>
    </row>
    <row r="4459">
      <c r="A4459" s="40">
        <f t="shared" si="1"/>
        <v>46006</v>
      </c>
      <c r="B4459" s="37" t="str">
        <f t="array" ref="B4459">iferror(xlookup($I4459, 'IMPORT VHC Report'!$E:$E, 'IMPORT VHC Report'!$A:$C), )</f>
        <v/>
      </c>
      <c r="C4459" s="37"/>
      <c r="D4459" s="37"/>
      <c r="E4459" s="38" t="s">
        <v>5345</v>
      </c>
      <c r="F4459" s="38" t="s">
        <v>5329</v>
      </c>
      <c r="G4459" s="38">
        <v>3.61733079315E11</v>
      </c>
      <c r="H4459" s="38" t="s">
        <v>5330</v>
      </c>
      <c r="I4459" s="38" t="s">
        <v>5331</v>
      </c>
      <c r="J4459" s="38" t="s">
        <v>134</v>
      </c>
      <c r="K4459" s="38" t="s">
        <v>126</v>
      </c>
      <c r="L4459" s="41">
        <v>46010.020833333336</v>
      </c>
      <c r="M4459" s="38" t="s">
        <v>123</v>
      </c>
      <c r="N4459" s="41">
        <v>46010.041666666664</v>
      </c>
      <c r="O4459" s="38" t="s">
        <v>123</v>
      </c>
      <c r="P4459" s="38">
        <v>1800.0</v>
      </c>
      <c r="Q4459" s="39"/>
      <c r="R4459" s="39"/>
      <c r="S4459" s="39"/>
      <c r="T4459" s="39"/>
      <c r="U4459" s="39"/>
    </row>
    <row r="4460">
      <c r="A4460" s="40">
        <f t="shared" si="1"/>
        <v>46006</v>
      </c>
      <c r="B4460" s="37" t="str">
        <f t="array" ref="B4460">iferror(xlookup($I4460, 'IMPORT VHC Report'!$E:$E, 'IMPORT VHC Report'!$A:$C), )</f>
        <v/>
      </c>
      <c r="C4460" s="37"/>
      <c r="D4460" s="37"/>
      <c r="E4460" s="38" t="s">
        <v>5346</v>
      </c>
      <c r="F4460" s="38" t="s">
        <v>5329</v>
      </c>
      <c r="G4460" s="38">
        <v>3.61733079315E11</v>
      </c>
      <c r="H4460" s="38" t="s">
        <v>5330</v>
      </c>
      <c r="I4460" s="38" t="s">
        <v>5331</v>
      </c>
      <c r="J4460" s="38" t="s">
        <v>132</v>
      </c>
      <c r="K4460" s="38" t="s">
        <v>126</v>
      </c>
      <c r="L4460" s="41">
        <v>46010.125</v>
      </c>
      <c r="M4460" s="38" t="s">
        <v>123</v>
      </c>
      <c r="N4460" s="41">
        <v>46010.166666666664</v>
      </c>
      <c r="O4460" s="38" t="s">
        <v>123</v>
      </c>
      <c r="P4460" s="38">
        <v>3600.0</v>
      </c>
      <c r="Q4460" s="39"/>
      <c r="R4460" s="39"/>
      <c r="S4460" s="39"/>
      <c r="T4460" s="39"/>
      <c r="U4460" s="39"/>
    </row>
    <row r="4461">
      <c r="A4461" s="40">
        <f t="shared" si="1"/>
        <v>46006</v>
      </c>
      <c r="B4461" s="37" t="str">
        <f t="array" ref="B4461">iferror(xlookup($I4461, 'IMPORT VHC Report'!$E:$E, 'IMPORT VHC Report'!$A:$C), )</f>
        <v/>
      </c>
      <c r="C4461" s="37"/>
      <c r="D4461" s="37"/>
      <c r="E4461" s="38" t="s">
        <v>5347</v>
      </c>
      <c r="F4461" s="38" t="s">
        <v>5329</v>
      </c>
      <c r="G4461" s="38">
        <v>3.61733079315E11</v>
      </c>
      <c r="H4461" s="38" t="s">
        <v>5330</v>
      </c>
      <c r="I4461" s="38" t="s">
        <v>5331</v>
      </c>
      <c r="J4461" s="38" t="s">
        <v>4</v>
      </c>
      <c r="K4461" s="38" t="s">
        <v>126</v>
      </c>
      <c r="L4461" s="41">
        <v>46010.833333333336</v>
      </c>
      <c r="M4461" s="38" t="s">
        <v>123</v>
      </c>
      <c r="N4461" s="41">
        <v>46010.875</v>
      </c>
      <c r="O4461" s="38" t="s">
        <v>123</v>
      </c>
      <c r="P4461" s="38">
        <v>3600.0</v>
      </c>
      <c r="Q4461" s="39"/>
      <c r="R4461" s="39"/>
      <c r="S4461" s="38" t="s">
        <v>5348</v>
      </c>
      <c r="T4461" s="39"/>
      <c r="U4461" s="39"/>
    </row>
    <row r="4462">
      <c r="A4462" s="40">
        <f t="shared" si="1"/>
        <v>46006</v>
      </c>
      <c r="B4462" s="37" t="str">
        <f t="array" ref="B4462">iferror(xlookup($I4462, 'IMPORT VHC Report'!$E:$E, 'IMPORT VHC Report'!$A:$C), )</f>
        <v/>
      </c>
      <c r="C4462" s="37"/>
      <c r="D4462" s="37"/>
      <c r="E4462" s="38" t="s">
        <v>5349</v>
      </c>
      <c r="F4462" s="38" t="s">
        <v>5329</v>
      </c>
      <c r="G4462" s="38">
        <v>3.61733079315E11</v>
      </c>
      <c r="H4462" s="38" t="s">
        <v>5330</v>
      </c>
      <c r="I4462" s="38" t="s">
        <v>5331</v>
      </c>
      <c r="J4462" s="38" t="s">
        <v>368</v>
      </c>
      <c r="K4462" s="38" t="s">
        <v>63</v>
      </c>
      <c r="L4462" s="41">
        <v>46010.833333333336</v>
      </c>
      <c r="M4462" s="38" t="s">
        <v>123</v>
      </c>
      <c r="N4462" s="41">
        <v>46010.958333333336</v>
      </c>
      <c r="O4462" s="38" t="s">
        <v>123</v>
      </c>
      <c r="P4462" s="38">
        <v>10800.0</v>
      </c>
      <c r="Q4462" s="39"/>
      <c r="R4462" s="39"/>
      <c r="S4462" s="39"/>
      <c r="T4462" s="39"/>
      <c r="U4462" s="39"/>
    </row>
    <row r="4463">
      <c r="A4463" s="40">
        <f t="shared" si="1"/>
        <v>46006</v>
      </c>
      <c r="B4463" s="37" t="str">
        <f t="array" ref="B4463">iferror(xlookup($I4463, 'IMPORT VHC Report'!$E:$E, 'IMPORT VHC Report'!$A:$C), )</f>
        <v/>
      </c>
      <c r="C4463" s="37"/>
      <c r="D4463" s="37"/>
      <c r="E4463" s="38" t="s">
        <v>5350</v>
      </c>
      <c r="F4463" s="38" t="s">
        <v>5329</v>
      </c>
      <c r="G4463" s="38">
        <v>3.61733079315E11</v>
      </c>
      <c r="H4463" s="38" t="s">
        <v>5330</v>
      </c>
      <c r="I4463" s="38" t="s">
        <v>5331</v>
      </c>
      <c r="J4463" s="38" t="s">
        <v>134</v>
      </c>
      <c r="K4463" s="38" t="s">
        <v>126</v>
      </c>
      <c r="L4463" s="41">
        <v>46010.958333333336</v>
      </c>
      <c r="M4463" s="38" t="s">
        <v>123</v>
      </c>
      <c r="N4463" s="41">
        <v>46010.979166666664</v>
      </c>
      <c r="O4463" s="38" t="s">
        <v>123</v>
      </c>
      <c r="P4463" s="38">
        <v>1800.0</v>
      </c>
      <c r="Q4463" s="39"/>
      <c r="R4463" s="39"/>
      <c r="S4463" s="39"/>
      <c r="T4463" s="39"/>
      <c r="U4463" s="39"/>
    </row>
    <row r="4464">
      <c r="A4464" s="40">
        <f t="shared" si="1"/>
        <v>46006</v>
      </c>
      <c r="B4464" s="37" t="str">
        <f t="array" ref="B4464">iferror(xlookup($I4464, 'IMPORT VHC Report'!$E:$E, 'IMPORT VHC Report'!$A:$C), )</f>
        <v/>
      </c>
      <c r="C4464" s="37"/>
      <c r="D4464" s="37"/>
      <c r="E4464" s="38" t="s">
        <v>5351</v>
      </c>
      <c r="F4464" s="38" t="s">
        <v>5329</v>
      </c>
      <c r="G4464" s="38">
        <v>3.61733079315E11</v>
      </c>
      <c r="H4464" s="38" t="s">
        <v>5330</v>
      </c>
      <c r="I4464" s="38" t="s">
        <v>5331</v>
      </c>
      <c r="J4464" s="38" t="s">
        <v>152</v>
      </c>
      <c r="K4464" s="38" t="s">
        <v>153</v>
      </c>
      <c r="L4464" s="41">
        <v>46011.041666666664</v>
      </c>
      <c r="M4464" s="38" t="s">
        <v>123</v>
      </c>
      <c r="N4464" s="41">
        <v>46011.208333333336</v>
      </c>
      <c r="O4464" s="38" t="s">
        <v>123</v>
      </c>
      <c r="P4464" s="38">
        <v>14400.0</v>
      </c>
      <c r="Q4464" s="38">
        <v>14400.0</v>
      </c>
      <c r="R4464" s="39"/>
      <c r="S4464" s="39"/>
      <c r="T4464" s="39"/>
      <c r="U4464" s="39"/>
    </row>
    <row r="4465">
      <c r="A4465" s="40">
        <f t="shared" si="1"/>
        <v>46006</v>
      </c>
      <c r="B4465" s="37" t="str">
        <f t="array" ref="B4465">iferror(xlookup($I4465, 'IMPORT VHC Report'!$E:$E, 'IMPORT VHC Report'!$A:$C), )</f>
        <v/>
      </c>
      <c r="C4465" s="37"/>
      <c r="D4465" s="37"/>
      <c r="E4465" s="38" t="s">
        <v>5352</v>
      </c>
      <c r="F4465" s="38" t="s">
        <v>5353</v>
      </c>
      <c r="G4465" s="38">
        <v>3.61725484216E11</v>
      </c>
      <c r="H4465" s="38" t="s">
        <v>5354</v>
      </c>
      <c r="I4465" s="38" t="s">
        <v>5355</v>
      </c>
      <c r="J4465" s="38" t="s">
        <v>330</v>
      </c>
      <c r="K4465" s="38" t="s">
        <v>126</v>
      </c>
      <c r="L4465" s="41">
        <v>46006.833333333336</v>
      </c>
      <c r="M4465" s="38" t="s">
        <v>123</v>
      </c>
      <c r="N4465" s="41">
        <v>46006.84027777778</v>
      </c>
      <c r="O4465" s="38" t="s">
        <v>123</v>
      </c>
      <c r="P4465" s="38">
        <v>600.0</v>
      </c>
      <c r="Q4465" s="39"/>
      <c r="R4465" s="39"/>
      <c r="S4465" s="39"/>
      <c r="T4465" s="39"/>
      <c r="U4465" s="39"/>
    </row>
    <row r="4466">
      <c r="A4466" s="40">
        <f t="shared" si="1"/>
        <v>46006</v>
      </c>
      <c r="B4466" s="37" t="str">
        <f t="array" ref="B4466">iferror(xlookup($I4466, 'IMPORT VHC Report'!$E:$E, 'IMPORT VHC Report'!$A:$C), )</f>
        <v/>
      </c>
      <c r="C4466" s="37"/>
      <c r="D4466" s="37"/>
      <c r="E4466" s="38" t="s">
        <v>5356</v>
      </c>
      <c r="F4466" s="38" t="s">
        <v>5353</v>
      </c>
      <c r="G4466" s="38">
        <v>3.61725484216E11</v>
      </c>
      <c r="H4466" s="38" t="s">
        <v>5354</v>
      </c>
      <c r="I4466" s="38" t="s">
        <v>5355</v>
      </c>
      <c r="J4466" s="38" t="s">
        <v>332</v>
      </c>
      <c r="K4466" s="38" t="s">
        <v>63</v>
      </c>
      <c r="L4466" s="41">
        <v>46006.833333333336</v>
      </c>
      <c r="M4466" s="38" t="s">
        <v>123</v>
      </c>
      <c r="N4466" s="41">
        <v>46007.208333333336</v>
      </c>
      <c r="O4466" s="38" t="s">
        <v>123</v>
      </c>
      <c r="P4466" s="38">
        <v>32400.0</v>
      </c>
      <c r="Q4466" s="39"/>
      <c r="R4466" s="39"/>
      <c r="S4466" s="39"/>
      <c r="T4466" s="39"/>
      <c r="U4466" s="39"/>
    </row>
    <row r="4467">
      <c r="A4467" s="40">
        <f t="shared" si="1"/>
        <v>46006</v>
      </c>
      <c r="B4467" s="37" t="str">
        <f t="array" ref="B4467">iferror(xlookup($I4467, 'IMPORT VHC Report'!$E:$E, 'IMPORT VHC Report'!$A:$C), )</f>
        <v/>
      </c>
      <c r="C4467" s="37"/>
      <c r="D4467" s="37"/>
      <c r="E4467" s="38" t="s">
        <v>5357</v>
      </c>
      <c r="F4467" s="38" t="s">
        <v>5353</v>
      </c>
      <c r="G4467" s="38">
        <v>3.61725484216E11</v>
      </c>
      <c r="H4467" s="38" t="s">
        <v>5354</v>
      </c>
      <c r="I4467" s="38" t="s">
        <v>5355</v>
      </c>
      <c r="J4467" s="38" t="s">
        <v>134</v>
      </c>
      <c r="K4467" s="38" t="s">
        <v>126</v>
      </c>
      <c r="L4467" s="41">
        <v>46006.947916666664</v>
      </c>
      <c r="M4467" s="38" t="s">
        <v>123</v>
      </c>
      <c r="N4467" s="41">
        <v>46006.96875</v>
      </c>
      <c r="O4467" s="38" t="s">
        <v>123</v>
      </c>
      <c r="P4467" s="38">
        <v>1800.0</v>
      </c>
      <c r="Q4467" s="39"/>
      <c r="R4467" s="39"/>
      <c r="S4467" s="39"/>
      <c r="T4467" s="39"/>
      <c r="U4467" s="39"/>
    </row>
    <row r="4468">
      <c r="A4468" s="40">
        <f t="shared" si="1"/>
        <v>46006</v>
      </c>
      <c r="B4468" s="37" t="str">
        <f t="array" ref="B4468">iferror(xlookup($I4468, 'IMPORT VHC Report'!$E:$E, 'IMPORT VHC Report'!$A:$C), )</f>
        <v/>
      </c>
      <c r="C4468" s="37"/>
      <c r="D4468" s="37"/>
      <c r="E4468" s="38" t="s">
        <v>5358</v>
      </c>
      <c r="F4468" s="38" t="s">
        <v>5353</v>
      </c>
      <c r="G4468" s="38">
        <v>3.61725484216E11</v>
      </c>
      <c r="H4468" s="38" t="s">
        <v>5354</v>
      </c>
      <c r="I4468" s="38" t="s">
        <v>5355</v>
      </c>
      <c r="J4468" s="38" t="s">
        <v>4</v>
      </c>
      <c r="K4468" s="38" t="s">
        <v>126</v>
      </c>
      <c r="L4468" s="41">
        <v>46007.010416666664</v>
      </c>
      <c r="M4468" s="38" t="s">
        <v>123</v>
      </c>
      <c r="N4468" s="41">
        <v>46007.052083333336</v>
      </c>
      <c r="O4468" s="38" t="s">
        <v>123</v>
      </c>
      <c r="P4468" s="38">
        <v>3600.0</v>
      </c>
      <c r="Q4468" s="39"/>
      <c r="R4468" s="39"/>
      <c r="S4468" s="38" t="s">
        <v>130</v>
      </c>
      <c r="T4468" s="39"/>
      <c r="U4468" s="39"/>
    </row>
    <row r="4469">
      <c r="A4469" s="40">
        <f t="shared" si="1"/>
        <v>46006</v>
      </c>
      <c r="B4469" s="37" t="str">
        <f t="array" ref="B4469">iferror(xlookup($I4469, 'IMPORT VHC Report'!$E:$E, 'IMPORT VHC Report'!$A:$C), )</f>
        <v/>
      </c>
      <c r="C4469" s="37"/>
      <c r="D4469" s="37"/>
      <c r="E4469" s="38" t="s">
        <v>5359</v>
      </c>
      <c r="F4469" s="38" t="s">
        <v>5353</v>
      </c>
      <c r="G4469" s="38">
        <v>3.61725484216E11</v>
      </c>
      <c r="H4469" s="38" t="s">
        <v>5354</v>
      </c>
      <c r="I4469" s="38" t="s">
        <v>5355</v>
      </c>
      <c r="J4469" s="38" t="s">
        <v>132</v>
      </c>
      <c r="K4469" s="38" t="s">
        <v>126</v>
      </c>
      <c r="L4469" s="41">
        <v>46007.052083333336</v>
      </c>
      <c r="M4469" s="38" t="s">
        <v>123</v>
      </c>
      <c r="N4469" s="41">
        <v>46007.09375</v>
      </c>
      <c r="O4469" s="38" t="s">
        <v>123</v>
      </c>
      <c r="P4469" s="38">
        <v>3600.0</v>
      </c>
      <c r="Q4469" s="39"/>
      <c r="R4469" s="39"/>
      <c r="S4469" s="39"/>
      <c r="T4469" s="39"/>
      <c r="U4469" s="39"/>
    </row>
    <row r="4470">
      <c r="A4470" s="40">
        <f t="shared" si="1"/>
        <v>46006</v>
      </c>
      <c r="B4470" s="37" t="str">
        <f t="array" ref="B4470">iferror(xlookup($I4470, 'IMPORT VHC Report'!$E:$E, 'IMPORT VHC Report'!$A:$C), )</f>
        <v/>
      </c>
      <c r="C4470" s="37"/>
      <c r="D4470" s="37"/>
      <c r="E4470" s="38" t="s">
        <v>5360</v>
      </c>
      <c r="F4470" s="38" t="s">
        <v>5353</v>
      </c>
      <c r="G4470" s="38">
        <v>3.61725484216E11</v>
      </c>
      <c r="H4470" s="38" t="s">
        <v>5354</v>
      </c>
      <c r="I4470" s="38" t="s">
        <v>5355</v>
      </c>
      <c r="J4470" s="38" t="s">
        <v>330</v>
      </c>
      <c r="K4470" s="38" t="s">
        <v>126</v>
      </c>
      <c r="L4470" s="41">
        <v>46007.833333333336</v>
      </c>
      <c r="M4470" s="38" t="s">
        <v>123</v>
      </c>
      <c r="N4470" s="41">
        <v>46007.84027777778</v>
      </c>
      <c r="O4470" s="38" t="s">
        <v>123</v>
      </c>
      <c r="P4470" s="38">
        <v>600.0</v>
      </c>
      <c r="Q4470" s="39"/>
      <c r="R4470" s="39"/>
      <c r="S4470" s="39"/>
      <c r="T4470" s="39"/>
      <c r="U4470" s="39"/>
    </row>
    <row r="4471">
      <c r="A4471" s="40">
        <f t="shared" si="1"/>
        <v>46006</v>
      </c>
      <c r="B4471" s="37" t="str">
        <f t="array" ref="B4471">iferror(xlookup($I4471, 'IMPORT VHC Report'!$E:$E, 'IMPORT VHC Report'!$A:$C), )</f>
        <v/>
      </c>
      <c r="C4471" s="37"/>
      <c r="D4471" s="37"/>
      <c r="E4471" s="38" t="s">
        <v>5361</v>
      </c>
      <c r="F4471" s="38" t="s">
        <v>5353</v>
      </c>
      <c r="G4471" s="38">
        <v>3.61725484216E11</v>
      </c>
      <c r="H4471" s="38" t="s">
        <v>5354</v>
      </c>
      <c r="I4471" s="38" t="s">
        <v>5355</v>
      </c>
      <c r="J4471" s="38" t="s">
        <v>178</v>
      </c>
      <c r="K4471" s="38" t="s">
        <v>153</v>
      </c>
      <c r="L4471" s="41">
        <v>46007.833333333336</v>
      </c>
      <c r="M4471" s="38" t="s">
        <v>123</v>
      </c>
      <c r="N4471" s="41">
        <v>46008.208333333336</v>
      </c>
      <c r="O4471" s="38" t="s">
        <v>123</v>
      </c>
      <c r="P4471" s="38">
        <v>32400.0</v>
      </c>
      <c r="Q4471" s="38">
        <v>57600.0</v>
      </c>
      <c r="R4471" s="38" t="s">
        <v>5362</v>
      </c>
      <c r="S4471" s="39"/>
      <c r="T4471" s="39"/>
      <c r="U4471" s="39"/>
    </row>
    <row r="4472">
      <c r="A4472" s="40">
        <f t="shared" si="1"/>
        <v>46006</v>
      </c>
      <c r="B4472" s="37" t="str">
        <f t="array" ref="B4472">iferror(xlookup($I4472, 'IMPORT VHC Report'!$E:$E, 'IMPORT VHC Report'!$A:$C), )</f>
        <v/>
      </c>
      <c r="C4472" s="37"/>
      <c r="D4472" s="37"/>
      <c r="E4472" s="38" t="s">
        <v>5363</v>
      </c>
      <c r="F4472" s="38" t="s">
        <v>5353</v>
      </c>
      <c r="G4472" s="38">
        <v>3.61725484216E11</v>
      </c>
      <c r="H4472" s="38" t="s">
        <v>5354</v>
      </c>
      <c r="I4472" s="38" t="s">
        <v>5355</v>
      </c>
      <c r="J4472" s="38" t="s">
        <v>332</v>
      </c>
      <c r="K4472" s="38" t="s">
        <v>63</v>
      </c>
      <c r="L4472" s="41">
        <v>46007.833333333336</v>
      </c>
      <c r="M4472" s="38" t="s">
        <v>123</v>
      </c>
      <c r="N4472" s="41">
        <v>46008.208333333336</v>
      </c>
      <c r="O4472" s="38" t="s">
        <v>123</v>
      </c>
      <c r="P4472" s="38">
        <v>32400.0</v>
      </c>
      <c r="Q4472" s="39"/>
      <c r="R4472" s="39"/>
      <c r="S4472" s="39"/>
      <c r="T4472" s="39"/>
      <c r="U4472" s="39"/>
    </row>
    <row r="4473">
      <c r="A4473" s="40">
        <f t="shared" si="1"/>
        <v>46006</v>
      </c>
      <c r="B4473" s="37" t="str">
        <f t="array" ref="B4473">iferror(xlookup($I4473, 'IMPORT VHC Report'!$E:$E, 'IMPORT VHC Report'!$A:$C), )</f>
        <v/>
      </c>
      <c r="C4473" s="37"/>
      <c r="D4473" s="37"/>
      <c r="E4473" s="38" t="s">
        <v>5364</v>
      </c>
      <c r="F4473" s="38" t="s">
        <v>5353</v>
      </c>
      <c r="G4473" s="38">
        <v>3.61725484216E11</v>
      </c>
      <c r="H4473" s="38" t="s">
        <v>5354</v>
      </c>
      <c r="I4473" s="38" t="s">
        <v>5355</v>
      </c>
      <c r="J4473" s="38" t="s">
        <v>134</v>
      </c>
      <c r="K4473" s="38" t="s">
        <v>126</v>
      </c>
      <c r="L4473" s="41">
        <v>46007.927083333336</v>
      </c>
      <c r="M4473" s="38" t="s">
        <v>123</v>
      </c>
      <c r="N4473" s="41">
        <v>46007.947916666664</v>
      </c>
      <c r="O4473" s="38" t="s">
        <v>123</v>
      </c>
      <c r="P4473" s="38">
        <v>1800.0</v>
      </c>
      <c r="Q4473" s="39"/>
      <c r="R4473" s="39"/>
      <c r="S4473" s="39"/>
      <c r="T4473" s="39"/>
      <c r="U4473" s="39"/>
    </row>
    <row r="4474">
      <c r="A4474" s="40">
        <f t="shared" si="1"/>
        <v>46006</v>
      </c>
      <c r="B4474" s="37" t="str">
        <f t="array" ref="B4474">iferror(xlookup($I4474, 'IMPORT VHC Report'!$E:$E, 'IMPORT VHC Report'!$A:$C), )</f>
        <v/>
      </c>
      <c r="C4474" s="37"/>
      <c r="D4474" s="37"/>
      <c r="E4474" s="38" t="s">
        <v>5365</v>
      </c>
      <c r="F4474" s="38" t="s">
        <v>5353</v>
      </c>
      <c r="G4474" s="38">
        <v>3.61725484216E11</v>
      </c>
      <c r="H4474" s="38" t="s">
        <v>5354</v>
      </c>
      <c r="I4474" s="38" t="s">
        <v>5355</v>
      </c>
      <c r="J4474" s="38" t="s">
        <v>132</v>
      </c>
      <c r="K4474" s="38" t="s">
        <v>126</v>
      </c>
      <c r="L4474" s="41">
        <v>46008.041666666664</v>
      </c>
      <c r="M4474" s="38" t="s">
        <v>123</v>
      </c>
      <c r="N4474" s="41">
        <v>46008.083333333336</v>
      </c>
      <c r="O4474" s="38" t="s">
        <v>123</v>
      </c>
      <c r="P4474" s="38">
        <v>3600.0</v>
      </c>
      <c r="Q4474" s="39"/>
      <c r="R4474" s="39"/>
      <c r="S4474" s="39"/>
      <c r="T4474" s="39"/>
      <c r="U4474" s="39"/>
    </row>
    <row r="4475">
      <c r="A4475" s="40">
        <f t="shared" si="1"/>
        <v>46006</v>
      </c>
      <c r="B4475" s="37" t="str">
        <f t="array" ref="B4475">iferror(xlookup($I4475, 'IMPORT VHC Report'!$E:$E, 'IMPORT VHC Report'!$A:$C), )</f>
        <v/>
      </c>
      <c r="C4475" s="37"/>
      <c r="D4475" s="37"/>
      <c r="E4475" s="38" t="s">
        <v>5366</v>
      </c>
      <c r="F4475" s="38" t="s">
        <v>5353</v>
      </c>
      <c r="G4475" s="38">
        <v>3.61725484216E11</v>
      </c>
      <c r="H4475" s="38" t="s">
        <v>5354</v>
      </c>
      <c r="I4475" s="38" t="s">
        <v>5355</v>
      </c>
      <c r="J4475" s="38" t="s">
        <v>330</v>
      </c>
      <c r="K4475" s="38" t="s">
        <v>126</v>
      </c>
      <c r="L4475" s="41">
        <v>46008.833333333336</v>
      </c>
      <c r="M4475" s="38" t="s">
        <v>123</v>
      </c>
      <c r="N4475" s="41">
        <v>46008.84027777778</v>
      </c>
      <c r="O4475" s="38" t="s">
        <v>123</v>
      </c>
      <c r="P4475" s="38">
        <v>600.0</v>
      </c>
      <c r="Q4475" s="39"/>
      <c r="R4475" s="39"/>
      <c r="S4475" s="39"/>
      <c r="T4475" s="39"/>
      <c r="U4475" s="39"/>
    </row>
    <row r="4476">
      <c r="A4476" s="40">
        <f t="shared" si="1"/>
        <v>46006</v>
      </c>
      <c r="B4476" s="37" t="str">
        <f t="array" ref="B4476">iferror(xlookup($I4476, 'IMPORT VHC Report'!$E:$E, 'IMPORT VHC Report'!$A:$C), )</f>
        <v/>
      </c>
      <c r="C4476" s="37"/>
      <c r="D4476" s="37"/>
      <c r="E4476" s="38" t="s">
        <v>5367</v>
      </c>
      <c r="F4476" s="38" t="s">
        <v>5353</v>
      </c>
      <c r="G4476" s="38">
        <v>3.61725484216E11</v>
      </c>
      <c r="H4476" s="38" t="s">
        <v>5354</v>
      </c>
      <c r="I4476" s="38" t="s">
        <v>5355</v>
      </c>
      <c r="J4476" s="38" t="s">
        <v>178</v>
      </c>
      <c r="K4476" s="38" t="s">
        <v>153</v>
      </c>
      <c r="L4476" s="41">
        <v>46008.833333333336</v>
      </c>
      <c r="M4476" s="38" t="s">
        <v>123</v>
      </c>
      <c r="N4476" s="41">
        <v>46009.208333333336</v>
      </c>
      <c r="O4476" s="38" t="s">
        <v>123</v>
      </c>
      <c r="P4476" s="38">
        <v>32400.0</v>
      </c>
      <c r="Q4476" s="38">
        <v>32400.0</v>
      </c>
      <c r="R4476" s="39"/>
      <c r="S4476" s="39"/>
      <c r="T4476" s="39"/>
      <c r="U4476" s="39"/>
    </row>
    <row r="4477">
      <c r="A4477" s="40">
        <f t="shared" si="1"/>
        <v>46006</v>
      </c>
      <c r="B4477" s="37" t="str">
        <f t="array" ref="B4477">iferror(xlookup($I4477, 'IMPORT VHC Report'!$E:$E, 'IMPORT VHC Report'!$A:$C), )</f>
        <v/>
      </c>
      <c r="C4477" s="37"/>
      <c r="D4477" s="37"/>
      <c r="E4477" s="38" t="s">
        <v>5368</v>
      </c>
      <c r="F4477" s="38" t="s">
        <v>5353</v>
      </c>
      <c r="G4477" s="38">
        <v>3.61725484216E11</v>
      </c>
      <c r="H4477" s="38" t="s">
        <v>5354</v>
      </c>
      <c r="I4477" s="38" t="s">
        <v>5355</v>
      </c>
      <c r="J4477" s="38" t="s">
        <v>332</v>
      </c>
      <c r="K4477" s="38" t="s">
        <v>63</v>
      </c>
      <c r="L4477" s="41">
        <v>46008.833333333336</v>
      </c>
      <c r="M4477" s="38" t="s">
        <v>123</v>
      </c>
      <c r="N4477" s="41">
        <v>46009.208333333336</v>
      </c>
      <c r="O4477" s="38" t="s">
        <v>123</v>
      </c>
      <c r="P4477" s="38">
        <v>32400.0</v>
      </c>
      <c r="Q4477" s="39"/>
      <c r="R4477" s="39"/>
      <c r="S4477" s="39"/>
      <c r="T4477" s="39"/>
      <c r="U4477" s="39"/>
    </row>
    <row r="4478">
      <c r="A4478" s="40">
        <f t="shared" si="1"/>
        <v>46006</v>
      </c>
      <c r="B4478" s="37" t="str">
        <f t="array" ref="B4478">iferror(xlookup($I4478, 'IMPORT VHC Report'!$E:$E, 'IMPORT VHC Report'!$A:$C), )</f>
        <v/>
      </c>
      <c r="C4478" s="37"/>
      <c r="D4478" s="37"/>
      <c r="E4478" s="38" t="s">
        <v>5369</v>
      </c>
      <c r="F4478" s="38" t="s">
        <v>5353</v>
      </c>
      <c r="G4478" s="38">
        <v>3.61725484216E11</v>
      </c>
      <c r="H4478" s="38" t="s">
        <v>5354</v>
      </c>
      <c r="I4478" s="38" t="s">
        <v>5355</v>
      </c>
      <c r="J4478" s="38" t="s">
        <v>132</v>
      </c>
      <c r="K4478" s="38" t="s">
        <v>126</v>
      </c>
      <c r="L4478" s="41">
        <v>46008.958333333336</v>
      </c>
      <c r="M4478" s="38" t="s">
        <v>123</v>
      </c>
      <c r="N4478" s="41">
        <v>46009.0</v>
      </c>
      <c r="O4478" s="38" t="s">
        <v>123</v>
      </c>
      <c r="P4478" s="38">
        <v>3600.0</v>
      </c>
      <c r="Q4478" s="39"/>
      <c r="R4478" s="39"/>
      <c r="S4478" s="39"/>
      <c r="T4478" s="39"/>
      <c r="U4478" s="39"/>
    </row>
    <row r="4479">
      <c r="A4479" s="40">
        <f t="shared" si="1"/>
        <v>46006</v>
      </c>
      <c r="B4479" s="37" t="str">
        <f t="array" ref="B4479">iferror(xlookup($I4479, 'IMPORT VHC Report'!$E:$E, 'IMPORT VHC Report'!$A:$C), )</f>
        <v/>
      </c>
      <c r="C4479" s="37"/>
      <c r="D4479" s="37"/>
      <c r="E4479" s="38" t="s">
        <v>5370</v>
      </c>
      <c r="F4479" s="38" t="s">
        <v>5353</v>
      </c>
      <c r="G4479" s="38">
        <v>3.61725484216E11</v>
      </c>
      <c r="H4479" s="38" t="s">
        <v>5354</v>
      </c>
      <c r="I4479" s="38" t="s">
        <v>5355</v>
      </c>
      <c r="J4479" s="38" t="s">
        <v>134</v>
      </c>
      <c r="K4479" s="38" t="s">
        <v>126</v>
      </c>
      <c r="L4479" s="41">
        <v>46009.114583333336</v>
      </c>
      <c r="M4479" s="38" t="s">
        <v>123</v>
      </c>
      <c r="N4479" s="41">
        <v>46009.135416666664</v>
      </c>
      <c r="O4479" s="38" t="s">
        <v>123</v>
      </c>
      <c r="P4479" s="38">
        <v>1800.0</v>
      </c>
      <c r="Q4479" s="39"/>
      <c r="R4479" s="39"/>
      <c r="S4479" s="39"/>
      <c r="T4479" s="39"/>
      <c r="U4479" s="39"/>
    </row>
    <row r="4480">
      <c r="A4480" s="40">
        <f t="shared" si="1"/>
        <v>46006</v>
      </c>
      <c r="B4480" s="37" t="str">
        <f t="array" ref="B4480">iferror(xlookup($I4480, 'IMPORT VHC Report'!$E:$E, 'IMPORT VHC Report'!$A:$C), )</f>
        <v/>
      </c>
      <c r="C4480" s="37"/>
      <c r="D4480" s="37"/>
      <c r="E4480" s="38" t="s">
        <v>5371</v>
      </c>
      <c r="F4480" s="38" t="s">
        <v>5353</v>
      </c>
      <c r="G4480" s="38">
        <v>3.61725484216E11</v>
      </c>
      <c r="H4480" s="38" t="s">
        <v>5354</v>
      </c>
      <c r="I4480" s="38" t="s">
        <v>5355</v>
      </c>
      <c r="J4480" s="38" t="s">
        <v>330</v>
      </c>
      <c r="K4480" s="38" t="s">
        <v>126</v>
      </c>
      <c r="L4480" s="41">
        <v>46009.833333333336</v>
      </c>
      <c r="M4480" s="38" t="s">
        <v>123</v>
      </c>
      <c r="N4480" s="41">
        <v>46009.84027777778</v>
      </c>
      <c r="O4480" s="38" t="s">
        <v>123</v>
      </c>
      <c r="P4480" s="38">
        <v>600.0</v>
      </c>
      <c r="Q4480" s="39"/>
      <c r="R4480" s="39"/>
      <c r="S4480" s="39"/>
      <c r="T4480" s="39"/>
      <c r="U4480" s="39"/>
    </row>
    <row r="4481">
      <c r="A4481" s="40">
        <f t="shared" si="1"/>
        <v>46006</v>
      </c>
      <c r="B4481" s="37" t="str">
        <f t="array" ref="B4481">iferror(xlookup($I4481, 'IMPORT VHC Report'!$E:$E, 'IMPORT VHC Report'!$A:$C), )</f>
        <v/>
      </c>
      <c r="C4481" s="37"/>
      <c r="D4481" s="37"/>
      <c r="E4481" s="38" t="s">
        <v>5372</v>
      </c>
      <c r="F4481" s="38" t="s">
        <v>5353</v>
      </c>
      <c r="G4481" s="38">
        <v>3.61725484216E11</v>
      </c>
      <c r="H4481" s="38" t="s">
        <v>5354</v>
      </c>
      <c r="I4481" s="38" t="s">
        <v>5355</v>
      </c>
      <c r="J4481" s="38" t="s">
        <v>332</v>
      </c>
      <c r="K4481" s="38" t="s">
        <v>63</v>
      </c>
      <c r="L4481" s="41">
        <v>46009.833333333336</v>
      </c>
      <c r="M4481" s="38" t="s">
        <v>123</v>
      </c>
      <c r="N4481" s="41">
        <v>46010.208333333336</v>
      </c>
      <c r="O4481" s="38" t="s">
        <v>123</v>
      </c>
      <c r="P4481" s="38">
        <v>32400.0</v>
      </c>
      <c r="Q4481" s="39"/>
      <c r="R4481" s="39"/>
      <c r="S4481" s="39"/>
      <c r="T4481" s="39"/>
      <c r="U4481" s="39"/>
    </row>
    <row r="4482">
      <c r="A4482" s="40">
        <f t="shared" si="1"/>
        <v>46006</v>
      </c>
      <c r="B4482" s="37" t="str">
        <f t="array" ref="B4482">iferror(xlookup($I4482, 'IMPORT VHC Report'!$E:$E, 'IMPORT VHC Report'!$A:$C), )</f>
        <v/>
      </c>
      <c r="C4482" s="37"/>
      <c r="D4482" s="37"/>
      <c r="E4482" s="38" t="s">
        <v>5373</v>
      </c>
      <c r="F4482" s="38" t="s">
        <v>5353</v>
      </c>
      <c r="G4482" s="38">
        <v>3.61725484216E11</v>
      </c>
      <c r="H4482" s="38" t="s">
        <v>5354</v>
      </c>
      <c r="I4482" s="38" t="s">
        <v>5355</v>
      </c>
      <c r="J4482" s="38" t="s">
        <v>134</v>
      </c>
      <c r="K4482" s="38" t="s">
        <v>126</v>
      </c>
      <c r="L4482" s="41">
        <v>46009.958333333336</v>
      </c>
      <c r="M4482" s="38" t="s">
        <v>123</v>
      </c>
      <c r="N4482" s="41">
        <v>46009.979166666664</v>
      </c>
      <c r="O4482" s="38" t="s">
        <v>123</v>
      </c>
      <c r="P4482" s="38">
        <v>1800.0</v>
      </c>
      <c r="Q4482" s="39"/>
      <c r="R4482" s="39"/>
      <c r="S4482" s="39"/>
      <c r="T4482" s="39"/>
      <c r="U4482" s="39"/>
    </row>
    <row r="4483">
      <c r="A4483" s="40">
        <f t="shared" si="1"/>
        <v>46006</v>
      </c>
      <c r="B4483" s="37" t="str">
        <f t="array" ref="B4483">iferror(xlookup($I4483, 'IMPORT VHC Report'!$E:$E, 'IMPORT VHC Report'!$A:$C), )</f>
        <v/>
      </c>
      <c r="C4483" s="37"/>
      <c r="D4483" s="37"/>
      <c r="E4483" s="38" t="s">
        <v>5374</v>
      </c>
      <c r="F4483" s="38" t="s">
        <v>5353</v>
      </c>
      <c r="G4483" s="38">
        <v>3.61725484216E11</v>
      </c>
      <c r="H4483" s="38" t="s">
        <v>5354</v>
      </c>
      <c r="I4483" s="38" t="s">
        <v>5355</v>
      </c>
      <c r="J4483" s="38" t="s">
        <v>125</v>
      </c>
      <c r="K4483" s="38" t="s">
        <v>126</v>
      </c>
      <c r="L4483" s="41">
        <v>46010.049305555556</v>
      </c>
      <c r="M4483" s="38" t="s">
        <v>123</v>
      </c>
      <c r="N4483" s="41">
        <v>46010.0625</v>
      </c>
      <c r="O4483" s="38" t="s">
        <v>123</v>
      </c>
      <c r="P4483" s="38">
        <v>1140.0</v>
      </c>
      <c r="Q4483" s="39"/>
      <c r="R4483" s="39"/>
      <c r="S4483" s="38" t="s">
        <v>5375</v>
      </c>
      <c r="T4483" s="39"/>
      <c r="U4483" s="39"/>
    </row>
    <row r="4484">
      <c r="A4484" s="40">
        <f t="shared" si="1"/>
        <v>46006</v>
      </c>
      <c r="B4484" s="37" t="str">
        <f t="array" ref="B4484">iferror(xlookup($I4484, 'IMPORT VHC Report'!$E:$E, 'IMPORT VHC Report'!$A:$C), )</f>
        <v/>
      </c>
      <c r="C4484" s="37"/>
      <c r="D4484" s="37"/>
      <c r="E4484" s="38" t="s">
        <v>5376</v>
      </c>
      <c r="F4484" s="38" t="s">
        <v>5353</v>
      </c>
      <c r="G4484" s="38">
        <v>3.61725484216E11</v>
      </c>
      <c r="H4484" s="38" t="s">
        <v>5354</v>
      </c>
      <c r="I4484" s="38" t="s">
        <v>5355</v>
      </c>
      <c r="J4484" s="38" t="s">
        <v>132</v>
      </c>
      <c r="K4484" s="38" t="s">
        <v>126</v>
      </c>
      <c r="L4484" s="41">
        <v>46010.0625</v>
      </c>
      <c r="M4484" s="38" t="s">
        <v>123</v>
      </c>
      <c r="N4484" s="41">
        <v>46010.104166666664</v>
      </c>
      <c r="O4484" s="38" t="s">
        <v>123</v>
      </c>
      <c r="P4484" s="38">
        <v>3600.0</v>
      </c>
      <c r="Q4484" s="39"/>
      <c r="R4484" s="39"/>
      <c r="S4484" s="39"/>
      <c r="T4484" s="39"/>
      <c r="U4484" s="39"/>
    </row>
    <row r="4485">
      <c r="A4485" s="40">
        <f t="shared" si="1"/>
        <v>46006</v>
      </c>
      <c r="B4485" s="37" t="str">
        <f t="array" ref="B4485">iferror(xlookup($I4485, 'IMPORT VHC Report'!$E:$E, 'IMPORT VHC Report'!$A:$C), )</f>
        <v/>
      </c>
      <c r="C4485" s="37"/>
      <c r="D4485" s="37"/>
      <c r="E4485" s="38" t="s">
        <v>5377</v>
      </c>
      <c r="F4485" s="38" t="s">
        <v>5353</v>
      </c>
      <c r="G4485" s="38">
        <v>3.61725484216E11</v>
      </c>
      <c r="H4485" s="38" t="s">
        <v>5354</v>
      </c>
      <c r="I4485" s="38" t="s">
        <v>5355</v>
      </c>
      <c r="J4485" s="38" t="s">
        <v>125</v>
      </c>
      <c r="K4485" s="38" t="s">
        <v>126</v>
      </c>
      <c r="L4485" s="41">
        <v>46010.104166666664</v>
      </c>
      <c r="M4485" s="38" t="s">
        <v>123</v>
      </c>
      <c r="N4485" s="41">
        <v>46010.125</v>
      </c>
      <c r="O4485" s="38" t="s">
        <v>123</v>
      </c>
      <c r="P4485" s="38">
        <v>1800.0</v>
      </c>
      <c r="Q4485" s="39"/>
      <c r="R4485" s="39"/>
      <c r="S4485" s="38" t="s">
        <v>5378</v>
      </c>
      <c r="T4485" s="39"/>
      <c r="U4485" s="39"/>
    </row>
    <row r="4486">
      <c r="A4486" s="40">
        <f t="shared" si="1"/>
        <v>46006</v>
      </c>
      <c r="B4486" s="37" t="str">
        <f t="array" ref="B4486">iferror(xlookup($I4486, 'IMPORT VHC Report'!$E:$E, 'IMPORT VHC Report'!$A:$C), )</f>
        <v/>
      </c>
      <c r="C4486" s="37"/>
      <c r="D4486" s="37"/>
      <c r="E4486" s="38" t="s">
        <v>5379</v>
      </c>
      <c r="F4486" s="38" t="s">
        <v>5353</v>
      </c>
      <c r="G4486" s="38">
        <v>3.61725484216E11</v>
      </c>
      <c r="H4486" s="38" t="s">
        <v>5354</v>
      </c>
      <c r="I4486" s="38" t="s">
        <v>5355</v>
      </c>
      <c r="J4486" s="38" t="s">
        <v>125</v>
      </c>
      <c r="K4486" s="38" t="s">
        <v>126</v>
      </c>
      <c r="L4486" s="41">
        <v>46010.14791666667</v>
      </c>
      <c r="M4486" s="38" t="s">
        <v>123</v>
      </c>
      <c r="N4486" s="41">
        <v>46010.15069444444</v>
      </c>
      <c r="O4486" s="38" t="s">
        <v>123</v>
      </c>
      <c r="P4486" s="38">
        <v>240.0</v>
      </c>
      <c r="Q4486" s="39"/>
      <c r="R4486" s="39"/>
      <c r="S4486" s="38" t="s">
        <v>5380</v>
      </c>
      <c r="T4486" s="39"/>
      <c r="U4486" s="39"/>
    </row>
    <row r="4487">
      <c r="A4487" s="40">
        <f t="shared" si="1"/>
        <v>46006</v>
      </c>
      <c r="B4487" s="37" t="str">
        <f t="array" ref="B4487">iferror(xlookup($I4487, 'IMPORT VHC Report'!$E:$E, 'IMPORT VHC Report'!$A:$C), )</f>
        <v/>
      </c>
      <c r="C4487" s="37"/>
      <c r="D4487" s="37"/>
      <c r="E4487" s="38" t="s">
        <v>5381</v>
      </c>
      <c r="F4487" s="38" t="s">
        <v>5353</v>
      </c>
      <c r="G4487" s="38">
        <v>3.61725484216E11</v>
      </c>
      <c r="H4487" s="38" t="s">
        <v>5354</v>
      </c>
      <c r="I4487" s="38" t="s">
        <v>5355</v>
      </c>
      <c r="J4487" s="38" t="s">
        <v>125</v>
      </c>
      <c r="K4487" s="38" t="s">
        <v>126</v>
      </c>
      <c r="L4487" s="41">
        <v>46010.177083333336</v>
      </c>
      <c r="M4487" s="38" t="s">
        <v>123</v>
      </c>
      <c r="N4487" s="41">
        <v>46010.180555555555</v>
      </c>
      <c r="O4487" s="38" t="s">
        <v>123</v>
      </c>
      <c r="P4487" s="38">
        <v>300.0</v>
      </c>
      <c r="Q4487" s="39"/>
      <c r="R4487" s="39"/>
      <c r="S4487" s="38" t="s">
        <v>5382</v>
      </c>
      <c r="T4487" s="39"/>
      <c r="U4487" s="39"/>
    </row>
    <row r="4488">
      <c r="A4488" s="40">
        <f t="shared" si="1"/>
        <v>46006</v>
      </c>
      <c r="B4488" s="37" t="str">
        <f t="array" ref="B4488">iferror(xlookup($I4488, 'IMPORT VHC Report'!$E:$E, 'IMPORT VHC Report'!$A:$C), )</f>
        <v/>
      </c>
      <c r="C4488" s="37"/>
      <c r="D4488" s="37"/>
      <c r="E4488" s="38" t="s">
        <v>5383</v>
      </c>
      <c r="F4488" s="38" t="s">
        <v>5353</v>
      </c>
      <c r="G4488" s="38">
        <v>3.61725484216E11</v>
      </c>
      <c r="H4488" s="38" t="s">
        <v>5354</v>
      </c>
      <c r="I4488" s="38" t="s">
        <v>5355</v>
      </c>
      <c r="J4488" s="38" t="s">
        <v>330</v>
      </c>
      <c r="K4488" s="38" t="s">
        <v>126</v>
      </c>
      <c r="L4488" s="41">
        <v>46010.833333333336</v>
      </c>
      <c r="M4488" s="38" t="s">
        <v>123</v>
      </c>
      <c r="N4488" s="41">
        <v>46010.84027777778</v>
      </c>
      <c r="O4488" s="38" t="s">
        <v>123</v>
      </c>
      <c r="P4488" s="38">
        <v>600.0</v>
      </c>
      <c r="Q4488" s="39"/>
      <c r="R4488" s="39"/>
      <c r="S4488" s="39"/>
      <c r="T4488" s="39"/>
      <c r="U4488" s="39"/>
    </row>
    <row r="4489">
      <c r="A4489" s="40">
        <f t="shared" si="1"/>
        <v>46006</v>
      </c>
      <c r="B4489" s="37" t="str">
        <f t="array" ref="B4489">iferror(xlookup($I4489, 'IMPORT VHC Report'!$E:$E, 'IMPORT VHC Report'!$A:$C), )</f>
        <v/>
      </c>
      <c r="C4489" s="37"/>
      <c r="D4489" s="37"/>
      <c r="E4489" s="38" t="s">
        <v>5384</v>
      </c>
      <c r="F4489" s="38" t="s">
        <v>5353</v>
      </c>
      <c r="G4489" s="38">
        <v>3.61725484216E11</v>
      </c>
      <c r="H4489" s="38" t="s">
        <v>5354</v>
      </c>
      <c r="I4489" s="38" t="s">
        <v>5355</v>
      </c>
      <c r="J4489" s="38" t="s">
        <v>332</v>
      </c>
      <c r="K4489" s="38" t="s">
        <v>63</v>
      </c>
      <c r="L4489" s="41">
        <v>46010.833333333336</v>
      </c>
      <c r="M4489" s="38" t="s">
        <v>123</v>
      </c>
      <c r="N4489" s="41">
        <v>46011.208333333336</v>
      </c>
      <c r="O4489" s="38" t="s">
        <v>123</v>
      </c>
      <c r="P4489" s="38">
        <v>32400.0</v>
      </c>
      <c r="Q4489" s="39"/>
      <c r="R4489" s="39"/>
      <c r="S4489" s="39"/>
      <c r="T4489" s="39"/>
      <c r="U4489" s="39"/>
    </row>
    <row r="4490">
      <c r="A4490" s="40">
        <f t="shared" si="1"/>
        <v>46006</v>
      </c>
      <c r="B4490" s="37" t="str">
        <f t="array" ref="B4490">iferror(xlookup($I4490, 'IMPORT VHC Report'!$E:$E, 'IMPORT VHC Report'!$A:$C), )</f>
        <v/>
      </c>
      <c r="C4490" s="37"/>
      <c r="D4490" s="37"/>
      <c r="E4490" s="38" t="s">
        <v>5385</v>
      </c>
      <c r="F4490" s="38" t="s">
        <v>5353</v>
      </c>
      <c r="G4490" s="38">
        <v>3.61725484216E11</v>
      </c>
      <c r="H4490" s="38" t="s">
        <v>5354</v>
      </c>
      <c r="I4490" s="38" t="s">
        <v>5355</v>
      </c>
      <c r="J4490" s="38" t="s">
        <v>330</v>
      </c>
      <c r="K4490" s="38" t="s">
        <v>126</v>
      </c>
      <c r="L4490" s="41">
        <v>46010.9375</v>
      </c>
      <c r="M4490" s="38" t="s">
        <v>123</v>
      </c>
      <c r="N4490" s="41">
        <v>46010.9625</v>
      </c>
      <c r="O4490" s="38" t="s">
        <v>123</v>
      </c>
      <c r="P4490" s="38">
        <v>2160.0</v>
      </c>
      <c r="Q4490" s="39"/>
      <c r="R4490" s="39"/>
      <c r="S4490" s="38" t="s">
        <v>5386</v>
      </c>
      <c r="T4490" s="39"/>
      <c r="U4490" s="39"/>
    </row>
    <row r="4491">
      <c r="A4491" s="40">
        <f t="shared" si="1"/>
        <v>46006</v>
      </c>
      <c r="B4491" s="37" t="str">
        <f t="array" ref="B4491">iferror(xlookup($I4491, 'IMPORT VHC Report'!$E:$E, 'IMPORT VHC Report'!$A:$C), )</f>
        <v/>
      </c>
      <c r="C4491" s="37"/>
      <c r="D4491" s="37"/>
      <c r="E4491" s="38" t="s">
        <v>5387</v>
      </c>
      <c r="F4491" s="38" t="s">
        <v>5353</v>
      </c>
      <c r="G4491" s="38">
        <v>3.61725484216E11</v>
      </c>
      <c r="H4491" s="38" t="s">
        <v>5354</v>
      </c>
      <c r="I4491" s="38" t="s">
        <v>5355</v>
      </c>
      <c r="J4491" s="38" t="s">
        <v>132</v>
      </c>
      <c r="K4491" s="38" t="s">
        <v>126</v>
      </c>
      <c r="L4491" s="41">
        <v>46011.0</v>
      </c>
      <c r="M4491" s="38" t="s">
        <v>123</v>
      </c>
      <c r="N4491" s="41">
        <v>46011.041666666664</v>
      </c>
      <c r="O4491" s="38" t="s">
        <v>123</v>
      </c>
      <c r="P4491" s="38">
        <v>3600.0</v>
      </c>
      <c r="Q4491" s="39"/>
      <c r="R4491" s="39"/>
      <c r="S4491" s="39"/>
      <c r="T4491" s="39"/>
      <c r="U4491" s="39"/>
    </row>
    <row r="4492">
      <c r="A4492" s="40">
        <f t="shared" si="1"/>
        <v>46006</v>
      </c>
      <c r="B4492" s="37" t="str">
        <f t="array" ref="B4492">iferror(xlookup($I4492, 'IMPORT VHC Report'!$E:$E, 'IMPORT VHC Report'!$A:$C), )</f>
        <v/>
      </c>
      <c r="C4492" s="37"/>
      <c r="D4492" s="37"/>
      <c r="E4492" s="38" t="s">
        <v>5388</v>
      </c>
      <c r="F4492" s="38" t="s">
        <v>5353</v>
      </c>
      <c r="G4492" s="38">
        <v>3.61725484216E11</v>
      </c>
      <c r="H4492" s="38" t="s">
        <v>5354</v>
      </c>
      <c r="I4492" s="38" t="s">
        <v>5355</v>
      </c>
      <c r="J4492" s="38" t="s">
        <v>134</v>
      </c>
      <c r="K4492" s="38" t="s">
        <v>126</v>
      </c>
      <c r="L4492" s="41">
        <v>46011.125</v>
      </c>
      <c r="M4492" s="38" t="s">
        <v>123</v>
      </c>
      <c r="N4492" s="41">
        <v>46011.145833333336</v>
      </c>
      <c r="O4492" s="38" t="s">
        <v>123</v>
      </c>
      <c r="P4492" s="38">
        <v>1800.0</v>
      </c>
      <c r="Q4492" s="39"/>
      <c r="R4492" s="39"/>
      <c r="S4492" s="39"/>
      <c r="T4492" s="39"/>
      <c r="U4492" s="39"/>
    </row>
    <row r="4493">
      <c r="A4493" s="40">
        <f t="shared" si="1"/>
        <v>46006</v>
      </c>
      <c r="B4493" s="37" t="str">
        <f t="array" ref="B4493">iferror(xlookup($I4493, 'IMPORT VHC Report'!$E:$E, 'IMPORT VHC Report'!$A:$C), )</f>
        <v/>
      </c>
      <c r="C4493" s="37"/>
      <c r="D4493" s="37"/>
      <c r="E4493" s="38" t="s">
        <v>5389</v>
      </c>
      <c r="F4493" s="38" t="s">
        <v>5390</v>
      </c>
      <c r="G4493" s="39"/>
      <c r="H4493" s="38" t="s">
        <v>5391</v>
      </c>
      <c r="I4493" s="38" t="s">
        <v>5392</v>
      </c>
      <c r="J4493" s="38" t="s">
        <v>125</v>
      </c>
      <c r="K4493" s="38" t="s">
        <v>126</v>
      </c>
      <c r="L4493" s="41">
        <v>46006.833333333336</v>
      </c>
      <c r="M4493" s="38" t="s">
        <v>123</v>
      </c>
      <c r="N4493" s="41">
        <v>46006.84027777778</v>
      </c>
      <c r="O4493" s="38" t="s">
        <v>123</v>
      </c>
      <c r="P4493" s="38">
        <v>600.0</v>
      </c>
      <c r="Q4493" s="39"/>
      <c r="R4493" s="39"/>
      <c r="S4493" s="38" t="s">
        <v>127</v>
      </c>
      <c r="T4493" s="39"/>
      <c r="U4493" s="39"/>
    </row>
    <row r="4494">
      <c r="A4494" s="40">
        <f t="shared" si="1"/>
        <v>46006</v>
      </c>
      <c r="B4494" s="37" t="str">
        <f t="array" ref="B4494">iferror(xlookup($I4494, 'IMPORT VHC Report'!$E:$E, 'IMPORT VHC Report'!$A:$C), )</f>
        <v/>
      </c>
      <c r="C4494" s="37"/>
      <c r="D4494" s="37"/>
      <c r="E4494" s="38" t="s">
        <v>5393</v>
      </c>
      <c r="F4494" s="38" t="s">
        <v>5390</v>
      </c>
      <c r="G4494" s="39"/>
      <c r="H4494" s="38" t="s">
        <v>5391</v>
      </c>
      <c r="I4494" s="38" t="s">
        <v>5392</v>
      </c>
      <c r="J4494" s="38" t="s">
        <v>122</v>
      </c>
      <c r="K4494" s="38" t="s">
        <v>63</v>
      </c>
      <c r="L4494" s="41">
        <v>46006.833333333336</v>
      </c>
      <c r="M4494" s="38" t="s">
        <v>123</v>
      </c>
      <c r="N4494" s="41">
        <v>46007.208333333336</v>
      </c>
      <c r="O4494" s="38" t="s">
        <v>123</v>
      </c>
      <c r="P4494" s="38">
        <v>32400.0</v>
      </c>
      <c r="Q4494" s="39"/>
      <c r="R4494" s="39"/>
      <c r="S4494" s="39"/>
      <c r="T4494" s="39"/>
      <c r="U4494" s="39"/>
    </row>
    <row r="4495">
      <c r="A4495" s="40">
        <f t="shared" si="1"/>
        <v>46006</v>
      </c>
      <c r="B4495" s="37" t="str">
        <f t="array" ref="B4495">iferror(xlookup($I4495, 'IMPORT VHC Report'!$E:$E, 'IMPORT VHC Report'!$A:$C), )</f>
        <v/>
      </c>
      <c r="C4495" s="37"/>
      <c r="D4495" s="37"/>
      <c r="E4495" s="38" t="s">
        <v>5394</v>
      </c>
      <c r="F4495" s="38" t="s">
        <v>5390</v>
      </c>
      <c r="G4495" s="39"/>
      <c r="H4495" s="38" t="s">
        <v>5391</v>
      </c>
      <c r="I4495" s="38" t="s">
        <v>5392</v>
      </c>
      <c r="J4495" s="38" t="s">
        <v>134</v>
      </c>
      <c r="K4495" s="38" t="s">
        <v>126</v>
      </c>
      <c r="L4495" s="41">
        <v>46006.916666666664</v>
      </c>
      <c r="M4495" s="38" t="s">
        <v>123</v>
      </c>
      <c r="N4495" s="41">
        <v>46006.9375</v>
      </c>
      <c r="O4495" s="38" t="s">
        <v>123</v>
      </c>
      <c r="P4495" s="38">
        <v>1800.0</v>
      </c>
      <c r="Q4495" s="39"/>
      <c r="R4495" s="39"/>
      <c r="S4495" s="39"/>
      <c r="T4495" s="39"/>
      <c r="U4495" s="39"/>
    </row>
    <row r="4496">
      <c r="A4496" s="40">
        <f t="shared" si="1"/>
        <v>46006</v>
      </c>
      <c r="B4496" s="37" t="str">
        <f t="array" ref="B4496">iferror(xlookup($I4496, 'IMPORT VHC Report'!$E:$E, 'IMPORT VHC Report'!$A:$C), )</f>
        <v/>
      </c>
      <c r="C4496" s="37"/>
      <c r="D4496" s="37"/>
      <c r="E4496" s="38" t="s">
        <v>5395</v>
      </c>
      <c r="F4496" s="38" t="s">
        <v>5390</v>
      </c>
      <c r="G4496" s="39"/>
      <c r="H4496" s="38" t="s">
        <v>5391</v>
      </c>
      <c r="I4496" s="38" t="s">
        <v>5392</v>
      </c>
      <c r="J4496" s="38" t="s">
        <v>132</v>
      </c>
      <c r="K4496" s="38" t="s">
        <v>126</v>
      </c>
      <c r="L4496" s="41">
        <v>46007.041666666664</v>
      </c>
      <c r="M4496" s="38" t="s">
        <v>123</v>
      </c>
      <c r="N4496" s="41">
        <v>46007.083333333336</v>
      </c>
      <c r="O4496" s="38" t="s">
        <v>123</v>
      </c>
      <c r="P4496" s="38">
        <v>3600.0</v>
      </c>
      <c r="Q4496" s="39"/>
      <c r="R4496" s="39"/>
      <c r="S4496" s="39"/>
      <c r="T4496" s="39"/>
      <c r="U4496" s="39"/>
    </row>
    <row r="4497">
      <c r="A4497" s="40">
        <f t="shared" si="1"/>
        <v>46006</v>
      </c>
      <c r="B4497" s="37" t="str">
        <f t="array" ref="B4497">iferror(xlookup($I4497, 'IMPORT VHC Report'!$E:$E, 'IMPORT VHC Report'!$A:$C), )</f>
        <v/>
      </c>
      <c r="C4497" s="37"/>
      <c r="D4497" s="37"/>
      <c r="E4497" s="38" t="s">
        <v>5396</v>
      </c>
      <c r="F4497" s="38" t="s">
        <v>5390</v>
      </c>
      <c r="G4497" s="39"/>
      <c r="H4497" s="38" t="s">
        <v>5391</v>
      </c>
      <c r="I4497" s="38" t="s">
        <v>5392</v>
      </c>
      <c r="J4497" s="38" t="s">
        <v>125</v>
      </c>
      <c r="K4497" s="38" t="s">
        <v>126</v>
      </c>
      <c r="L4497" s="41">
        <v>46007.833333333336</v>
      </c>
      <c r="M4497" s="38" t="s">
        <v>123</v>
      </c>
      <c r="N4497" s="41">
        <v>46007.84027777778</v>
      </c>
      <c r="O4497" s="38" t="s">
        <v>123</v>
      </c>
      <c r="P4497" s="38">
        <v>600.0</v>
      </c>
      <c r="Q4497" s="39"/>
      <c r="R4497" s="39"/>
      <c r="S4497" s="38" t="s">
        <v>127</v>
      </c>
      <c r="T4497" s="39"/>
      <c r="U4497" s="39"/>
    </row>
    <row r="4498">
      <c r="A4498" s="40">
        <f t="shared" si="1"/>
        <v>46006</v>
      </c>
      <c r="B4498" s="37" t="str">
        <f t="array" ref="B4498">iferror(xlookup($I4498, 'IMPORT VHC Report'!$E:$E, 'IMPORT VHC Report'!$A:$C), )</f>
        <v/>
      </c>
      <c r="C4498" s="37"/>
      <c r="D4498" s="37"/>
      <c r="E4498" s="38" t="s">
        <v>5397</v>
      </c>
      <c r="F4498" s="38" t="s">
        <v>5390</v>
      </c>
      <c r="G4498" s="39"/>
      <c r="H4498" s="38" t="s">
        <v>5391</v>
      </c>
      <c r="I4498" s="38" t="s">
        <v>5392</v>
      </c>
      <c r="J4498" s="38" t="s">
        <v>122</v>
      </c>
      <c r="K4498" s="38" t="s">
        <v>63</v>
      </c>
      <c r="L4498" s="41">
        <v>46007.833333333336</v>
      </c>
      <c r="M4498" s="38" t="s">
        <v>123</v>
      </c>
      <c r="N4498" s="41">
        <v>46008.208333333336</v>
      </c>
      <c r="O4498" s="38" t="s">
        <v>123</v>
      </c>
      <c r="P4498" s="38">
        <v>32400.0</v>
      </c>
      <c r="Q4498" s="39"/>
      <c r="R4498" s="39"/>
      <c r="S4498" s="39"/>
      <c r="T4498" s="39"/>
      <c r="U4498" s="39"/>
    </row>
    <row r="4499">
      <c r="A4499" s="40">
        <f t="shared" si="1"/>
        <v>46006</v>
      </c>
      <c r="B4499" s="37" t="str">
        <f t="array" ref="B4499">iferror(xlookup($I4499, 'IMPORT VHC Report'!$E:$E, 'IMPORT VHC Report'!$A:$C), )</f>
        <v/>
      </c>
      <c r="C4499" s="37"/>
      <c r="D4499" s="37"/>
      <c r="E4499" s="38" t="s">
        <v>5398</v>
      </c>
      <c r="F4499" s="38" t="s">
        <v>5390</v>
      </c>
      <c r="G4499" s="39"/>
      <c r="H4499" s="38" t="s">
        <v>5391</v>
      </c>
      <c r="I4499" s="38" t="s">
        <v>5392</v>
      </c>
      <c r="J4499" s="38" t="s">
        <v>134</v>
      </c>
      <c r="K4499" s="38" t="s">
        <v>126</v>
      </c>
      <c r="L4499" s="41">
        <v>46007.916666666664</v>
      </c>
      <c r="M4499" s="38" t="s">
        <v>123</v>
      </c>
      <c r="N4499" s="41">
        <v>46007.9375</v>
      </c>
      <c r="O4499" s="38" t="s">
        <v>123</v>
      </c>
      <c r="P4499" s="38">
        <v>1800.0</v>
      </c>
      <c r="Q4499" s="39"/>
      <c r="R4499" s="39"/>
      <c r="S4499" s="39"/>
      <c r="T4499" s="39"/>
      <c r="U4499" s="39"/>
    </row>
    <row r="4500">
      <c r="A4500" s="40">
        <f t="shared" si="1"/>
        <v>46006</v>
      </c>
      <c r="B4500" s="37" t="str">
        <f t="array" ref="B4500">iferror(xlookup($I4500, 'IMPORT VHC Report'!$E:$E, 'IMPORT VHC Report'!$A:$C), )</f>
        <v/>
      </c>
      <c r="C4500" s="37"/>
      <c r="D4500" s="37"/>
      <c r="E4500" s="38" t="s">
        <v>5399</v>
      </c>
      <c r="F4500" s="38" t="s">
        <v>5390</v>
      </c>
      <c r="G4500" s="39"/>
      <c r="H4500" s="38" t="s">
        <v>5391</v>
      </c>
      <c r="I4500" s="38" t="s">
        <v>5392</v>
      </c>
      <c r="J4500" s="38" t="s">
        <v>132</v>
      </c>
      <c r="K4500" s="38" t="s">
        <v>126</v>
      </c>
      <c r="L4500" s="41">
        <v>46008.041666666664</v>
      </c>
      <c r="M4500" s="38" t="s">
        <v>123</v>
      </c>
      <c r="N4500" s="41">
        <v>46008.083333333336</v>
      </c>
      <c r="O4500" s="38" t="s">
        <v>123</v>
      </c>
      <c r="P4500" s="38">
        <v>3600.0</v>
      </c>
      <c r="Q4500" s="39"/>
      <c r="R4500" s="39"/>
      <c r="S4500" s="39"/>
      <c r="T4500" s="39"/>
      <c r="U4500" s="39"/>
    </row>
    <row r="4501">
      <c r="A4501" s="40">
        <f t="shared" si="1"/>
        <v>46006</v>
      </c>
      <c r="B4501" s="37" t="str">
        <f t="array" ref="B4501">iferror(xlookup($I4501, 'IMPORT VHC Report'!$E:$E, 'IMPORT VHC Report'!$A:$C), )</f>
        <v/>
      </c>
      <c r="C4501" s="37"/>
      <c r="D4501" s="37"/>
      <c r="E4501" s="38" t="s">
        <v>5400</v>
      </c>
      <c r="F4501" s="38" t="s">
        <v>5390</v>
      </c>
      <c r="G4501" s="39"/>
      <c r="H4501" s="38" t="s">
        <v>5391</v>
      </c>
      <c r="I4501" s="38" t="s">
        <v>5392</v>
      </c>
      <c r="J4501" s="38" t="s">
        <v>4</v>
      </c>
      <c r="K4501" s="38" t="s">
        <v>126</v>
      </c>
      <c r="L4501" s="41">
        <v>46008.083333333336</v>
      </c>
      <c r="M4501" s="38" t="s">
        <v>123</v>
      </c>
      <c r="N4501" s="41">
        <v>46008.125</v>
      </c>
      <c r="O4501" s="38" t="s">
        <v>123</v>
      </c>
      <c r="P4501" s="38">
        <v>3600.0</v>
      </c>
      <c r="Q4501" s="39"/>
      <c r="R4501" s="39"/>
      <c r="S4501" s="38" t="s">
        <v>130</v>
      </c>
      <c r="T4501" s="39"/>
      <c r="U4501" s="39"/>
    </row>
    <row r="4502">
      <c r="A4502" s="40">
        <f t="shared" si="1"/>
        <v>46006</v>
      </c>
      <c r="B4502" s="37" t="str">
        <f t="array" ref="B4502">iferror(xlookup($I4502, 'IMPORT VHC Report'!$E:$E, 'IMPORT VHC Report'!$A:$C), )</f>
        <v/>
      </c>
      <c r="C4502" s="37"/>
      <c r="D4502" s="37"/>
      <c r="E4502" s="38" t="s">
        <v>5401</v>
      </c>
      <c r="F4502" s="38" t="s">
        <v>5390</v>
      </c>
      <c r="G4502" s="39"/>
      <c r="H4502" s="38" t="s">
        <v>5391</v>
      </c>
      <c r="I4502" s="38" t="s">
        <v>5392</v>
      </c>
      <c r="J4502" s="38" t="s">
        <v>125</v>
      </c>
      <c r="K4502" s="38" t="s">
        <v>126</v>
      </c>
      <c r="L4502" s="41">
        <v>46008.833333333336</v>
      </c>
      <c r="M4502" s="38" t="s">
        <v>123</v>
      </c>
      <c r="N4502" s="41">
        <v>46008.84027777778</v>
      </c>
      <c r="O4502" s="38" t="s">
        <v>123</v>
      </c>
      <c r="P4502" s="38">
        <v>600.0</v>
      </c>
      <c r="Q4502" s="39"/>
      <c r="R4502" s="39"/>
      <c r="S4502" s="38" t="s">
        <v>127</v>
      </c>
      <c r="T4502" s="39"/>
      <c r="U4502" s="39"/>
    </row>
    <row r="4503">
      <c r="A4503" s="40">
        <f t="shared" si="1"/>
        <v>46006</v>
      </c>
      <c r="B4503" s="37" t="str">
        <f t="array" ref="B4503">iferror(xlookup($I4503, 'IMPORT VHC Report'!$E:$E, 'IMPORT VHC Report'!$A:$C), )</f>
        <v/>
      </c>
      <c r="C4503" s="37"/>
      <c r="D4503" s="37"/>
      <c r="E4503" s="38" t="s">
        <v>5402</v>
      </c>
      <c r="F4503" s="38" t="s">
        <v>5390</v>
      </c>
      <c r="G4503" s="39"/>
      <c r="H4503" s="38" t="s">
        <v>5391</v>
      </c>
      <c r="I4503" s="38" t="s">
        <v>5392</v>
      </c>
      <c r="J4503" s="38" t="s">
        <v>122</v>
      </c>
      <c r="K4503" s="38" t="s">
        <v>63</v>
      </c>
      <c r="L4503" s="41">
        <v>46008.833333333336</v>
      </c>
      <c r="M4503" s="38" t="s">
        <v>123</v>
      </c>
      <c r="N4503" s="41">
        <v>46009.208333333336</v>
      </c>
      <c r="O4503" s="38" t="s">
        <v>123</v>
      </c>
      <c r="P4503" s="38">
        <v>32400.0</v>
      </c>
      <c r="Q4503" s="39"/>
      <c r="R4503" s="39"/>
      <c r="S4503" s="39"/>
      <c r="T4503" s="39"/>
      <c r="U4503" s="39"/>
    </row>
    <row r="4504">
      <c r="A4504" s="40">
        <f t="shared" si="1"/>
        <v>46006</v>
      </c>
      <c r="B4504" s="37" t="str">
        <f t="array" ref="B4504">iferror(xlookup($I4504, 'IMPORT VHC Report'!$E:$E, 'IMPORT VHC Report'!$A:$C), )</f>
        <v/>
      </c>
      <c r="C4504" s="37"/>
      <c r="D4504" s="37"/>
      <c r="E4504" s="38" t="s">
        <v>5403</v>
      </c>
      <c r="F4504" s="38" t="s">
        <v>5390</v>
      </c>
      <c r="G4504" s="39"/>
      <c r="H4504" s="38" t="s">
        <v>5391</v>
      </c>
      <c r="I4504" s="38" t="s">
        <v>5392</v>
      </c>
      <c r="J4504" s="38" t="s">
        <v>152</v>
      </c>
      <c r="K4504" s="38" t="s">
        <v>153</v>
      </c>
      <c r="L4504" s="41">
        <v>46008.833333333336</v>
      </c>
      <c r="M4504" s="38" t="s">
        <v>123</v>
      </c>
      <c r="N4504" s="41">
        <v>46009.208333333336</v>
      </c>
      <c r="O4504" s="38" t="s">
        <v>123</v>
      </c>
      <c r="P4504" s="38">
        <v>32400.0</v>
      </c>
      <c r="Q4504" s="38">
        <v>32400.0</v>
      </c>
      <c r="R4504" s="38" t="s">
        <v>1598</v>
      </c>
      <c r="S4504" s="38" t="s">
        <v>1598</v>
      </c>
      <c r="T4504" s="39"/>
      <c r="U4504" s="39"/>
    </row>
    <row r="4505">
      <c r="A4505" s="40">
        <f t="shared" si="1"/>
        <v>46006</v>
      </c>
      <c r="B4505" s="37" t="str">
        <f t="array" ref="B4505">iferror(xlookup($I4505, 'IMPORT VHC Report'!$E:$E, 'IMPORT VHC Report'!$A:$C), )</f>
        <v/>
      </c>
      <c r="C4505" s="37"/>
      <c r="D4505" s="37"/>
      <c r="E4505" s="38" t="s">
        <v>5404</v>
      </c>
      <c r="F4505" s="38" t="s">
        <v>5390</v>
      </c>
      <c r="G4505" s="39"/>
      <c r="H4505" s="38" t="s">
        <v>5391</v>
      </c>
      <c r="I4505" s="38" t="s">
        <v>5392</v>
      </c>
      <c r="J4505" s="38" t="s">
        <v>136</v>
      </c>
      <c r="K4505" s="38" t="s">
        <v>126</v>
      </c>
      <c r="L4505" s="41">
        <v>46008.916666666664</v>
      </c>
      <c r="M4505" s="38" t="s">
        <v>123</v>
      </c>
      <c r="N4505" s="41">
        <v>46008.947916666664</v>
      </c>
      <c r="O4505" s="38" t="s">
        <v>123</v>
      </c>
      <c r="P4505" s="38">
        <v>2700.0</v>
      </c>
      <c r="Q4505" s="39"/>
      <c r="R4505" s="39"/>
      <c r="S4505" s="38" t="s">
        <v>137</v>
      </c>
      <c r="T4505" s="39"/>
      <c r="U4505" s="39"/>
    </row>
    <row r="4506">
      <c r="A4506" s="40">
        <f t="shared" si="1"/>
        <v>46006</v>
      </c>
      <c r="B4506" s="37" t="str">
        <f t="array" ref="B4506">iferror(xlookup($I4506, 'IMPORT VHC Report'!$E:$E, 'IMPORT VHC Report'!$A:$C), )</f>
        <v/>
      </c>
      <c r="C4506" s="37"/>
      <c r="D4506" s="37"/>
      <c r="E4506" s="38" t="s">
        <v>5405</v>
      </c>
      <c r="F4506" s="38" t="s">
        <v>5390</v>
      </c>
      <c r="G4506" s="39"/>
      <c r="H4506" s="38" t="s">
        <v>5391</v>
      </c>
      <c r="I4506" s="38" t="s">
        <v>5392</v>
      </c>
      <c r="J4506" s="38" t="s">
        <v>134</v>
      </c>
      <c r="K4506" s="38" t="s">
        <v>126</v>
      </c>
      <c r="L4506" s="41">
        <v>46008.947916666664</v>
      </c>
      <c r="M4506" s="38" t="s">
        <v>123</v>
      </c>
      <c r="N4506" s="41">
        <v>46008.96875</v>
      </c>
      <c r="O4506" s="38" t="s">
        <v>123</v>
      </c>
      <c r="P4506" s="38">
        <v>1800.0</v>
      </c>
      <c r="Q4506" s="39"/>
      <c r="R4506" s="39"/>
      <c r="S4506" s="39"/>
      <c r="T4506" s="39"/>
      <c r="U4506" s="39"/>
    </row>
    <row r="4507">
      <c r="A4507" s="40">
        <f t="shared" si="1"/>
        <v>46006</v>
      </c>
      <c r="B4507" s="37" t="str">
        <f t="array" ref="B4507">iferror(xlookup($I4507, 'IMPORT VHC Report'!$E:$E, 'IMPORT VHC Report'!$A:$C), )</f>
        <v/>
      </c>
      <c r="C4507" s="37"/>
      <c r="D4507" s="37"/>
      <c r="E4507" s="38" t="s">
        <v>5406</v>
      </c>
      <c r="F4507" s="38" t="s">
        <v>5390</v>
      </c>
      <c r="G4507" s="39"/>
      <c r="H4507" s="38" t="s">
        <v>5391</v>
      </c>
      <c r="I4507" s="38" t="s">
        <v>5392</v>
      </c>
      <c r="J4507" s="38" t="s">
        <v>132</v>
      </c>
      <c r="K4507" s="38" t="s">
        <v>126</v>
      </c>
      <c r="L4507" s="41">
        <v>46009.0</v>
      </c>
      <c r="M4507" s="38" t="s">
        <v>123</v>
      </c>
      <c r="N4507" s="41">
        <v>46009.041666666664</v>
      </c>
      <c r="O4507" s="38" t="s">
        <v>123</v>
      </c>
      <c r="P4507" s="38">
        <v>3600.0</v>
      </c>
      <c r="Q4507" s="39"/>
      <c r="R4507" s="39"/>
      <c r="S4507" s="39"/>
      <c r="T4507" s="39"/>
      <c r="U4507" s="39"/>
    </row>
    <row r="4508">
      <c r="A4508" s="40">
        <f t="shared" si="1"/>
        <v>46006</v>
      </c>
      <c r="B4508" s="37" t="str">
        <f t="array" ref="B4508">iferror(xlookup($I4508, 'IMPORT VHC Report'!$E:$E, 'IMPORT VHC Report'!$A:$C), )</f>
        <v/>
      </c>
      <c r="C4508" s="37"/>
      <c r="D4508" s="37"/>
      <c r="E4508" s="38" t="s">
        <v>5407</v>
      </c>
      <c r="F4508" s="38" t="s">
        <v>5390</v>
      </c>
      <c r="G4508" s="39"/>
      <c r="H4508" s="38" t="s">
        <v>5391</v>
      </c>
      <c r="I4508" s="38" t="s">
        <v>5392</v>
      </c>
      <c r="J4508" s="38" t="s">
        <v>125</v>
      </c>
      <c r="K4508" s="38" t="s">
        <v>126</v>
      </c>
      <c r="L4508" s="41">
        <v>46009.833333333336</v>
      </c>
      <c r="M4508" s="38" t="s">
        <v>123</v>
      </c>
      <c r="N4508" s="41">
        <v>46009.84027777778</v>
      </c>
      <c r="O4508" s="38" t="s">
        <v>123</v>
      </c>
      <c r="P4508" s="38">
        <v>600.0</v>
      </c>
      <c r="Q4508" s="39"/>
      <c r="R4508" s="39"/>
      <c r="S4508" s="38" t="s">
        <v>127</v>
      </c>
      <c r="T4508" s="39"/>
      <c r="U4508" s="39"/>
    </row>
    <row r="4509">
      <c r="A4509" s="40">
        <f t="shared" si="1"/>
        <v>46006</v>
      </c>
      <c r="B4509" s="37" t="str">
        <f t="array" ref="B4509">iferror(xlookup($I4509, 'IMPORT VHC Report'!$E:$E, 'IMPORT VHC Report'!$A:$C), )</f>
        <v/>
      </c>
      <c r="C4509" s="37"/>
      <c r="D4509" s="37"/>
      <c r="E4509" s="38" t="s">
        <v>5408</v>
      </c>
      <c r="F4509" s="38" t="s">
        <v>5390</v>
      </c>
      <c r="G4509" s="39"/>
      <c r="H4509" s="38" t="s">
        <v>5391</v>
      </c>
      <c r="I4509" s="38" t="s">
        <v>5392</v>
      </c>
      <c r="J4509" s="38" t="s">
        <v>152</v>
      </c>
      <c r="K4509" s="38" t="s">
        <v>153</v>
      </c>
      <c r="L4509" s="41">
        <v>46009.833333333336</v>
      </c>
      <c r="M4509" s="38" t="s">
        <v>123</v>
      </c>
      <c r="N4509" s="41">
        <v>46010.208333333336</v>
      </c>
      <c r="O4509" s="38" t="s">
        <v>123</v>
      </c>
      <c r="P4509" s="38">
        <v>32400.0</v>
      </c>
      <c r="Q4509" s="38">
        <v>32400.0</v>
      </c>
      <c r="R4509" s="38" t="s">
        <v>1598</v>
      </c>
      <c r="S4509" s="38" t="s">
        <v>1598</v>
      </c>
      <c r="T4509" s="39"/>
      <c r="U4509" s="39"/>
    </row>
    <row r="4510">
      <c r="A4510" s="40">
        <f t="shared" si="1"/>
        <v>46006</v>
      </c>
      <c r="B4510" s="37" t="str">
        <f t="array" ref="B4510">iferror(xlookup($I4510, 'IMPORT VHC Report'!$E:$E, 'IMPORT VHC Report'!$A:$C), )</f>
        <v/>
      </c>
      <c r="C4510" s="37"/>
      <c r="D4510" s="37"/>
      <c r="E4510" s="38" t="s">
        <v>5409</v>
      </c>
      <c r="F4510" s="38" t="s">
        <v>5390</v>
      </c>
      <c r="G4510" s="39"/>
      <c r="H4510" s="38" t="s">
        <v>5391</v>
      </c>
      <c r="I4510" s="38" t="s">
        <v>5392</v>
      </c>
      <c r="J4510" s="38" t="s">
        <v>122</v>
      </c>
      <c r="K4510" s="38" t="s">
        <v>63</v>
      </c>
      <c r="L4510" s="41">
        <v>46009.833333333336</v>
      </c>
      <c r="M4510" s="38" t="s">
        <v>123</v>
      </c>
      <c r="N4510" s="41">
        <v>46010.208333333336</v>
      </c>
      <c r="O4510" s="38" t="s">
        <v>123</v>
      </c>
      <c r="P4510" s="38">
        <v>32400.0</v>
      </c>
      <c r="Q4510" s="39"/>
      <c r="R4510" s="39"/>
      <c r="S4510" s="39"/>
      <c r="T4510" s="39"/>
      <c r="U4510" s="39"/>
    </row>
    <row r="4511">
      <c r="A4511" s="40">
        <f t="shared" si="1"/>
        <v>46006</v>
      </c>
      <c r="B4511" s="37" t="str">
        <f t="array" ref="B4511">iferror(xlookup($I4511, 'IMPORT VHC Report'!$E:$E, 'IMPORT VHC Report'!$A:$C), )</f>
        <v/>
      </c>
      <c r="C4511" s="37"/>
      <c r="D4511" s="37"/>
      <c r="E4511" s="38" t="s">
        <v>5410</v>
      </c>
      <c r="F4511" s="38" t="s">
        <v>5390</v>
      </c>
      <c r="G4511" s="39"/>
      <c r="H4511" s="38" t="s">
        <v>5391</v>
      </c>
      <c r="I4511" s="38" t="s">
        <v>5392</v>
      </c>
      <c r="J4511" s="38" t="s">
        <v>134</v>
      </c>
      <c r="K4511" s="38" t="s">
        <v>126</v>
      </c>
      <c r="L4511" s="41">
        <v>46009.9375</v>
      </c>
      <c r="M4511" s="38" t="s">
        <v>123</v>
      </c>
      <c r="N4511" s="41">
        <v>46009.958333333336</v>
      </c>
      <c r="O4511" s="38" t="s">
        <v>123</v>
      </c>
      <c r="P4511" s="38">
        <v>1800.0</v>
      </c>
      <c r="Q4511" s="39"/>
      <c r="R4511" s="39"/>
      <c r="S4511" s="39"/>
      <c r="T4511" s="39"/>
      <c r="U4511" s="39"/>
    </row>
    <row r="4512">
      <c r="A4512" s="40">
        <f t="shared" si="1"/>
        <v>46006</v>
      </c>
      <c r="B4512" s="37" t="str">
        <f t="array" ref="B4512">iferror(xlookup($I4512, 'IMPORT VHC Report'!$E:$E, 'IMPORT VHC Report'!$A:$C), )</f>
        <v/>
      </c>
      <c r="C4512" s="37"/>
      <c r="D4512" s="37"/>
      <c r="E4512" s="38" t="s">
        <v>5411</v>
      </c>
      <c r="F4512" s="38" t="s">
        <v>5390</v>
      </c>
      <c r="G4512" s="39"/>
      <c r="H4512" s="38" t="s">
        <v>5391</v>
      </c>
      <c r="I4512" s="38" t="s">
        <v>5392</v>
      </c>
      <c r="J4512" s="38" t="s">
        <v>132</v>
      </c>
      <c r="K4512" s="38" t="s">
        <v>126</v>
      </c>
      <c r="L4512" s="41">
        <v>46010.041666666664</v>
      </c>
      <c r="M4512" s="38" t="s">
        <v>123</v>
      </c>
      <c r="N4512" s="41">
        <v>46010.083333333336</v>
      </c>
      <c r="O4512" s="38" t="s">
        <v>123</v>
      </c>
      <c r="P4512" s="38">
        <v>3600.0</v>
      </c>
      <c r="Q4512" s="39"/>
      <c r="R4512" s="39"/>
      <c r="S4512" s="39"/>
      <c r="T4512" s="39"/>
      <c r="U4512" s="39"/>
    </row>
    <row r="4513">
      <c r="A4513" s="40">
        <f t="shared" si="1"/>
        <v>46006</v>
      </c>
      <c r="B4513" s="37" t="str">
        <f t="array" ref="B4513">iferror(xlookup($I4513, 'IMPORT VHC Report'!$E:$E, 'IMPORT VHC Report'!$A:$C), )</f>
        <v/>
      </c>
      <c r="C4513" s="37"/>
      <c r="D4513" s="37"/>
      <c r="E4513" s="38" t="s">
        <v>5412</v>
      </c>
      <c r="F4513" s="38" t="s">
        <v>5390</v>
      </c>
      <c r="G4513" s="39"/>
      <c r="H4513" s="38" t="s">
        <v>5391</v>
      </c>
      <c r="I4513" s="38" t="s">
        <v>5392</v>
      </c>
      <c r="J4513" s="38" t="s">
        <v>125</v>
      </c>
      <c r="K4513" s="38" t="s">
        <v>126</v>
      </c>
      <c r="L4513" s="41">
        <v>46010.833333333336</v>
      </c>
      <c r="M4513" s="38" t="s">
        <v>123</v>
      </c>
      <c r="N4513" s="41">
        <v>46010.84027777778</v>
      </c>
      <c r="O4513" s="38" t="s">
        <v>123</v>
      </c>
      <c r="P4513" s="38">
        <v>600.0</v>
      </c>
      <c r="Q4513" s="39"/>
      <c r="R4513" s="39"/>
      <c r="S4513" s="38" t="s">
        <v>127</v>
      </c>
      <c r="T4513" s="39"/>
      <c r="U4513" s="39"/>
    </row>
    <row r="4514">
      <c r="A4514" s="40">
        <f t="shared" si="1"/>
        <v>46006</v>
      </c>
      <c r="B4514" s="37" t="str">
        <f t="array" ref="B4514">iferror(xlookup($I4514, 'IMPORT VHC Report'!$E:$E, 'IMPORT VHC Report'!$A:$C), )</f>
        <v/>
      </c>
      <c r="C4514" s="37"/>
      <c r="D4514" s="37"/>
      <c r="E4514" s="38" t="s">
        <v>5413</v>
      </c>
      <c r="F4514" s="38" t="s">
        <v>5390</v>
      </c>
      <c r="G4514" s="39"/>
      <c r="H4514" s="38" t="s">
        <v>5391</v>
      </c>
      <c r="I4514" s="38" t="s">
        <v>5392</v>
      </c>
      <c r="J4514" s="38" t="s">
        <v>152</v>
      </c>
      <c r="K4514" s="38" t="s">
        <v>153</v>
      </c>
      <c r="L4514" s="41">
        <v>46010.833333333336</v>
      </c>
      <c r="M4514" s="38" t="s">
        <v>123</v>
      </c>
      <c r="N4514" s="41">
        <v>46011.208333333336</v>
      </c>
      <c r="O4514" s="38" t="s">
        <v>123</v>
      </c>
      <c r="P4514" s="38">
        <v>32400.0</v>
      </c>
      <c r="Q4514" s="38">
        <v>32400.0</v>
      </c>
      <c r="R4514" s="38" t="s">
        <v>1598</v>
      </c>
      <c r="S4514" s="38" t="s">
        <v>1598</v>
      </c>
      <c r="T4514" s="39"/>
      <c r="U4514" s="39"/>
    </row>
    <row r="4515">
      <c r="A4515" s="40">
        <f t="shared" si="1"/>
        <v>46006</v>
      </c>
      <c r="B4515" s="37" t="str">
        <f t="array" ref="B4515">iferror(xlookup($I4515, 'IMPORT VHC Report'!$E:$E, 'IMPORT VHC Report'!$A:$C), )</f>
        <v/>
      </c>
      <c r="C4515" s="37"/>
      <c r="D4515" s="37"/>
      <c r="E4515" s="38" t="s">
        <v>5414</v>
      </c>
      <c r="F4515" s="38" t="s">
        <v>5390</v>
      </c>
      <c r="G4515" s="39"/>
      <c r="H4515" s="38" t="s">
        <v>5391</v>
      </c>
      <c r="I4515" s="38" t="s">
        <v>5392</v>
      </c>
      <c r="J4515" s="38" t="s">
        <v>122</v>
      </c>
      <c r="K4515" s="38" t="s">
        <v>63</v>
      </c>
      <c r="L4515" s="41">
        <v>46010.833333333336</v>
      </c>
      <c r="M4515" s="38" t="s">
        <v>123</v>
      </c>
      <c r="N4515" s="41">
        <v>46011.208333333336</v>
      </c>
      <c r="O4515" s="38" t="s">
        <v>123</v>
      </c>
      <c r="P4515" s="38">
        <v>32400.0</v>
      </c>
      <c r="Q4515" s="39"/>
      <c r="R4515" s="39"/>
      <c r="S4515" s="39"/>
      <c r="T4515" s="39"/>
      <c r="U4515" s="39"/>
    </row>
    <row r="4516">
      <c r="A4516" s="40">
        <f t="shared" si="1"/>
        <v>46006</v>
      </c>
      <c r="B4516" s="37" t="str">
        <f t="array" ref="B4516">iferror(xlookup($I4516, 'IMPORT VHC Report'!$E:$E, 'IMPORT VHC Report'!$A:$C), )</f>
        <v/>
      </c>
      <c r="C4516" s="37"/>
      <c r="D4516" s="37"/>
      <c r="E4516" s="38" t="s">
        <v>5415</v>
      </c>
      <c r="F4516" s="38" t="s">
        <v>5390</v>
      </c>
      <c r="G4516" s="39"/>
      <c r="H4516" s="38" t="s">
        <v>5391</v>
      </c>
      <c r="I4516" s="38" t="s">
        <v>5392</v>
      </c>
      <c r="J4516" s="38" t="s">
        <v>132</v>
      </c>
      <c r="K4516" s="38" t="s">
        <v>126</v>
      </c>
      <c r="L4516" s="41">
        <v>46010.9375</v>
      </c>
      <c r="M4516" s="38" t="s">
        <v>123</v>
      </c>
      <c r="N4516" s="41">
        <v>46010.979166666664</v>
      </c>
      <c r="O4516" s="38" t="s">
        <v>123</v>
      </c>
      <c r="P4516" s="38">
        <v>3600.0</v>
      </c>
      <c r="Q4516" s="39"/>
      <c r="R4516" s="39"/>
      <c r="S4516" s="39"/>
      <c r="T4516" s="39"/>
      <c r="U4516" s="39"/>
    </row>
    <row r="4517">
      <c r="A4517" s="40">
        <f t="shared" si="1"/>
        <v>46006</v>
      </c>
      <c r="B4517" s="37" t="str">
        <f t="array" ref="B4517">iferror(xlookup($I4517, 'IMPORT VHC Report'!$E:$E, 'IMPORT VHC Report'!$A:$C), )</f>
        <v/>
      </c>
      <c r="C4517" s="37"/>
      <c r="D4517" s="37"/>
      <c r="E4517" s="38" t="s">
        <v>5416</v>
      </c>
      <c r="F4517" s="38" t="s">
        <v>5390</v>
      </c>
      <c r="G4517" s="39"/>
      <c r="H4517" s="38" t="s">
        <v>5391</v>
      </c>
      <c r="I4517" s="38" t="s">
        <v>5392</v>
      </c>
      <c r="J4517" s="38" t="s">
        <v>134</v>
      </c>
      <c r="K4517" s="38" t="s">
        <v>126</v>
      </c>
      <c r="L4517" s="41">
        <v>46011.09375</v>
      </c>
      <c r="M4517" s="38" t="s">
        <v>123</v>
      </c>
      <c r="N4517" s="41">
        <v>46011.114583333336</v>
      </c>
      <c r="O4517" s="38" t="s">
        <v>123</v>
      </c>
      <c r="P4517" s="38">
        <v>1800.0</v>
      </c>
      <c r="Q4517" s="39"/>
      <c r="R4517" s="39"/>
      <c r="S4517" s="39"/>
      <c r="T4517" s="39"/>
      <c r="U4517" s="39"/>
    </row>
    <row r="4518">
      <c r="A4518" s="40">
        <f t="shared" si="1"/>
        <v>46006</v>
      </c>
      <c r="B4518" s="37" t="str">
        <f t="array" ref="B4518">iferror(xlookup($I4518, 'IMPORT VHC Report'!$E:$E, 'IMPORT VHC Report'!$A:$C), )</f>
        <v/>
      </c>
      <c r="C4518" s="37"/>
      <c r="D4518" s="37"/>
      <c r="E4518" s="38" t="s">
        <v>5417</v>
      </c>
      <c r="F4518" s="38" t="s">
        <v>5418</v>
      </c>
      <c r="G4518" s="38">
        <v>3.61725484056E11</v>
      </c>
      <c r="H4518" s="38" t="s">
        <v>5419</v>
      </c>
      <c r="I4518" s="38" t="s">
        <v>5420</v>
      </c>
      <c r="J4518" s="38" t="s">
        <v>4</v>
      </c>
      <c r="K4518" s="38" t="s">
        <v>126</v>
      </c>
      <c r="L4518" s="41">
        <v>46006.833333333336</v>
      </c>
      <c r="M4518" s="38" t="s">
        <v>123</v>
      </c>
      <c r="N4518" s="41">
        <v>46006.84375</v>
      </c>
      <c r="O4518" s="38" t="s">
        <v>123</v>
      </c>
      <c r="P4518" s="38">
        <v>900.0</v>
      </c>
      <c r="Q4518" s="39"/>
      <c r="R4518" s="39"/>
      <c r="S4518" s="38" t="s">
        <v>632</v>
      </c>
      <c r="T4518" s="39"/>
      <c r="U4518" s="39"/>
    </row>
    <row r="4519">
      <c r="A4519" s="40">
        <f t="shared" si="1"/>
        <v>46006</v>
      </c>
      <c r="B4519" s="37" t="str">
        <f t="array" ref="B4519">iferror(xlookup($I4519, 'IMPORT VHC Report'!$E:$E, 'IMPORT VHC Report'!$A:$C), )</f>
        <v/>
      </c>
      <c r="C4519" s="37"/>
      <c r="D4519" s="37"/>
      <c r="E4519" s="38" t="s">
        <v>5421</v>
      </c>
      <c r="F4519" s="38" t="s">
        <v>5418</v>
      </c>
      <c r="G4519" s="38">
        <v>3.61725484056E11</v>
      </c>
      <c r="H4519" s="38" t="s">
        <v>5419</v>
      </c>
      <c r="I4519" s="38" t="s">
        <v>5420</v>
      </c>
      <c r="J4519" s="38" t="s">
        <v>368</v>
      </c>
      <c r="K4519" s="38" t="s">
        <v>63</v>
      </c>
      <c r="L4519" s="41">
        <v>46006.833333333336</v>
      </c>
      <c r="M4519" s="38" t="s">
        <v>123</v>
      </c>
      <c r="N4519" s="41">
        <v>46007.208333333336</v>
      </c>
      <c r="O4519" s="38" t="s">
        <v>123</v>
      </c>
      <c r="P4519" s="38">
        <v>32400.0</v>
      </c>
      <c r="Q4519" s="39"/>
      <c r="R4519" s="39"/>
      <c r="S4519" s="39"/>
      <c r="T4519" s="39"/>
      <c r="U4519" s="39"/>
    </row>
    <row r="4520">
      <c r="A4520" s="40">
        <f t="shared" si="1"/>
        <v>46006</v>
      </c>
      <c r="B4520" s="37" t="str">
        <f t="array" ref="B4520">iferror(xlookup($I4520, 'IMPORT VHC Report'!$E:$E, 'IMPORT VHC Report'!$A:$C), )</f>
        <v/>
      </c>
      <c r="C4520" s="37"/>
      <c r="D4520" s="37"/>
      <c r="E4520" s="38" t="s">
        <v>5422</v>
      </c>
      <c r="F4520" s="38" t="s">
        <v>5418</v>
      </c>
      <c r="G4520" s="38">
        <v>3.61725484056E11</v>
      </c>
      <c r="H4520" s="38" t="s">
        <v>5419</v>
      </c>
      <c r="I4520" s="38" t="s">
        <v>5420</v>
      </c>
      <c r="J4520" s="38" t="s">
        <v>134</v>
      </c>
      <c r="K4520" s="38" t="s">
        <v>126</v>
      </c>
      <c r="L4520" s="41">
        <v>46006.947916666664</v>
      </c>
      <c r="M4520" s="38" t="s">
        <v>123</v>
      </c>
      <c r="N4520" s="41">
        <v>46006.96875</v>
      </c>
      <c r="O4520" s="38" t="s">
        <v>123</v>
      </c>
      <c r="P4520" s="38">
        <v>1800.0</v>
      </c>
      <c r="Q4520" s="39"/>
      <c r="R4520" s="39"/>
      <c r="S4520" s="39"/>
      <c r="T4520" s="39"/>
      <c r="U4520" s="39"/>
    </row>
    <row r="4521">
      <c r="A4521" s="40">
        <f t="shared" si="1"/>
        <v>46006</v>
      </c>
      <c r="B4521" s="37" t="str">
        <f t="array" ref="B4521">iferror(xlookup($I4521, 'IMPORT VHC Report'!$E:$E, 'IMPORT VHC Report'!$A:$C), )</f>
        <v/>
      </c>
      <c r="C4521" s="37"/>
      <c r="D4521" s="37"/>
      <c r="E4521" s="38" t="s">
        <v>5423</v>
      </c>
      <c r="F4521" s="38" t="s">
        <v>5418</v>
      </c>
      <c r="G4521" s="38">
        <v>3.61725484056E11</v>
      </c>
      <c r="H4521" s="38" t="s">
        <v>5419</v>
      </c>
      <c r="I4521" s="38" t="s">
        <v>5420</v>
      </c>
      <c r="J4521" s="38" t="s">
        <v>132</v>
      </c>
      <c r="K4521" s="38" t="s">
        <v>126</v>
      </c>
      <c r="L4521" s="41">
        <v>46007.125</v>
      </c>
      <c r="M4521" s="38" t="s">
        <v>123</v>
      </c>
      <c r="N4521" s="41">
        <v>46007.166666666664</v>
      </c>
      <c r="O4521" s="38" t="s">
        <v>123</v>
      </c>
      <c r="P4521" s="38">
        <v>3600.0</v>
      </c>
      <c r="Q4521" s="39"/>
      <c r="R4521" s="39"/>
      <c r="S4521" s="39"/>
      <c r="T4521" s="39"/>
      <c r="U4521" s="39"/>
    </row>
    <row r="4522">
      <c r="A4522" s="40">
        <f t="shared" si="1"/>
        <v>46006</v>
      </c>
      <c r="B4522" s="37" t="str">
        <f t="array" ref="B4522">iferror(xlookup($I4522, 'IMPORT VHC Report'!$E:$E, 'IMPORT VHC Report'!$A:$C), )</f>
        <v/>
      </c>
      <c r="C4522" s="37"/>
      <c r="D4522" s="37"/>
      <c r="E4522" s="38" t="s">
        <v>5424</v>
      </c>
      <c r="F4522" s="38" t="s">
        <v>5418</v>
      </c>
      <c r="G4522" s="38">
        <v>3.61725484056E11</v>
      </c>
      <c r="H4522" s="38" t="s">
        <v>5419</v>
      </c>
      <c r="I4522" s="38" t="s">
        <v>5420</v>
      </c>
      <c r="J4522" s="38" t="s">
        <v>368</v>
      </c>
      <c r="K4522" s="38" t="s">
        <v>63</v>
      </c>
      <c r="L4522" s="41">
        <v>46007.833333333336</v>
      </c>
      <c r="M4522" s="38" t="s">
        <v>123</v>
      </c>
      <c r="N4522" s="41">
        <v>46008.208333333336</v>
      </c>
      <c r="O4522" s="38" t="s">
        <v>123</v>
      </c>
      <c r="P4522" s="38">
        <v>32400.0</v>
      </c>
      <c r="Q4522" s="39"/>
      <c r="R4522" s="39"/>
      <c r="S4522" s="39"/>
      <c r="T4522" s="39"/>
      <c r="U4522" s="39"/>
    </row>
    <row r="4523">
      <c r="A4523" s="40">
        <f t="shared" si="1"/>
        <v>46006</v>
      </c>
      <c r="B4523" s="37" t="str">
        <f t="array" ref="B4523">iferror(xlookup($I4523, 'IMPORT VHC Report'!$E:$E, 'IMPORT VHC Report'!$A:$C), )</f>
        <v/>
      </c>
      <c r="C4523" s="37"/>
      <c r="D4523" s="37"/>
      <c r="E4523" s="38" t="s">
        <v>5425</v>
      </c>
      <c r="F4523" s="38" t="s">
        <v>5418</v>
      </c>
      <c r="G4523" s="38">
        <v>3.61725484056E11</v>
      </c>
      <c r="H4523" s="38" t="s">
        <v>5419</v>
      </c>
      <c r="I4523" s="38" t="s">
        <v>5420</v>
      </c>
      <c r="J4523" s="38" t="s">
        <v>4</v>
      </c>
      <c r="K4523" s="38" t="s">
        <v>126</v>
      </c>
      <c r="L4523" s="41">
        <v>46007.875</v>
      </c>
      <c r="M4523" s="38" t="s">
        <v>123</v>
      </c>
      <c r="N4523" s="41">
        <v>46007.9375</v>
      </c>
      <c r="O4523" s="38" t="s">
        <v>123</v>
      </c>
      <c r="P4523" s="38">
        <v>5400.0</v>
      </c>
      <c r="Q4523" s="39"/>
      <c r="R4523" s="39"/>
      <c r="S4523" s="38" t="s">
        <v>458</v>
      </c>
      <c r="T4523" s="39"/>
      <c r="U4523" s="39"/>
    </row>
    <row r="4524">
      <c r="A4524" s="40">
        <f t="shared" si="1"/>
        <v>46006</v>
      </c>
      <c r="B4524" s="37" t="str">
        <f t="array" ref="B4524">iferror(xlookup($I4524, 'IMPORT VHC Report'!$E:$E, 'IMPORT VHC Report'!$A:$C), )</f>
        <v/>
      </c>
      <c r="C4524" s="37"/>
      <c r="D4524" s="37"/>
      <c r="E4524" s="38" t="s">
        <v>5426</v>
      </c>
      <c r="F4524" s="38" t="s">
        <v>5418</v>
      </c>
      <c r="G4524" s="38">
        <v>3.61725484056E11</v>
      </c>
      <c r="H4524" s="38" t="s">
        <v>5419</v>
      </c>
      <c r="I4524" s="38" t="s">
        <v>5420</v>
      </c>
      <c r="J4524" s="38" t="s">
        <v>132</v>
      </c>
      <c r="K4524" s="38" t="s">
        <v>126</v>
      </c>
      <c r="L4524" s="41">
        <v>46008.020833333336</v>
      </c>
      <c r="M4524" s="38" t="s">
        <v>123</v>
      </c>
      <c r="N4524" s="41">
        <v>46008.0625</v>
      </c>
      <c r="O4524" s="38" t="s">
        <v>123</v>
      </c>
      <c r="P4524" s="38">
        <v>3600.0</v>
      </c>
      <c r="Q4524" s="39"/>
      <c r="R4524" s="39"/>
      <c r="S4524" s="39"/>
      <c r="T4524" s="39"/>
      <c r="U4524" s="39"/>
    </row>
    <row r="4525">
      <c r="A4525" s="40">
        <f t="shared" si="1"/>
        <v>46006</v>
      </c>
      <c r="B4525" s="37" t="str">
        <f t="array" ref="B4525">iferror(xlookup($I4525, 'IMPORT VHC Report'!$E:$E, 'IMPORT VHC Report'!$A:$C), )</f>
        <v/>
      </c>
      <c r="C4525" s="37"/>
      <c r="D4525" s="37"/>
      <c r="E4525" s="38" t="s">
        <v>5427</v>
      </c>
      <c r="F4525" s="38" t="s">
        <v>5418</v>
      </c>
      <c r="G4525" s="38">
        <v>3.61725484056E11</v>
      </c>
      <c r="H4525" s="38" t="s">
        <v>5419</v>
      </c>
      <c r="I4525" s="38" t="s">
        <v>5420</v>
      </c>
      <c r="J4525" s="38" t="s">
        <v>134</v>
      </c>
      <c r="K4525" s="38" t="s">
        <v>126</v>
      </c>
      <c r="L4525" s="41">
        <v>46008.145833333336</v>
      </c>
      <c r="M4525" s="38" t="s">
        <v>123</v>
      </c>
      <c r="N4525" s="41">
        <v>46008.166666666664</v>
      </c>
      <c r="O4525" s="38" t="s">
        <v>123</v>
      </c>
      <c r="P4525" s="38">
        <v>1800.0</v>
      </c>
      <c r="Q4525" s="39"/>
      <c r="R4525" s="39"/>
      <c r="S4525" s="39"/>
      <c r="T4525" s="39"/>
      <c r="U4525" s="39"/>
    </row>
    <row r="4526">
      <c r="A4526" s="40">
        <f t="shared" si="1"/>
        <v>46006</v>
      </c>
      <c r="B4526" s="37" t="str">
        <f t="array" ref="B4526">iferror(xlookup($I4526, 'IMPORT VHC Report'!$E:$E, 'IMPORT VHC Report'!$A:$C), )</f>
        <v/>
      </c>
      <c r="C4526" s="37"/>
      <c r="D4526" s="37"/>
      <c r="E4526" s="38" t="s">
        <v>5428</v>
      </c>
      <c r="F4526" s="38" t="s">
        <v>5418</v>
      </c>
      <c r="G4526" s="38">
        <v>3.61725484056E11</v>
      </c>
      <c r="H4526" s="38" t="s">
        <v>5419</v>
      </c>
      <c r="I4526" s="38" t="s">
        <v>5420</v>
      </c>
      <c r="J4526" s="38" t="s">
        <v>368</v>
      </c>
      <c r="K4526" s="38" t="s">
        <v>63</v>
      </c>
      <c r="L4526" s="41">
        <v>46008.833333333336</v>
      </c>
      <c r="M4526" s="38" t="s">
        <v>123</v>
      </c>
      <c r="N4526" s="41">
        <v>46009.208333333336</v>
      </c>
      <c r="O4526" s="38" t="s">
        <v>123</v>
      </c>
      <c r="P4526" s="38">
        <v>32400.0</v>
      </c>
      <c r="Q4526" s="39"/>
      <c r="R4526" s="39"/>
      <c r="S4526" s="39"/>
      <c r="T4526" s="39"/>
      <c r="U4526" s="39"/>
    </row>
    <row r="4527">
      <c r="A4527" s="40">
        <f t="shared" si="1"/>
        <v>46006</v>
      </c>
      <c r="B4527" s="37" t="str">
        <f t="array" ref="B4527">iferror(xlookup($I4527, 'IMPORT VHC Report'!$E:$E, 'IMPORT VHC Report'!$A:$C), )</f>
        <v/>
      </c>
      <c r="C4527" s="37"/>
      <c r="D4527" s="37"/>
      <c r="E4527" s="38" t="s">
        <v>5429</v>
      </c>
      <c r="F4527" s="38" t="s">
        <v>5418</v>
      </c>
      <c r="G4527" s="38">
        <v>3.61725484056E11</v>
      </c>
      <c r="H4527" s="38" t="s">
        <v>5419</v>
      </c>
      <c r="I4527" s="38" t="s">
        <v>5420</v>
      </c>
      <c r="J4527" s="38" t="s">
        <v>178</v>
      </c>
      <c r="K4527" s="38" t="s">
        <v>153</v>
      </c>
      <c r="L4527" s="41">
        <v>46008.833333333336</v>
      </c>
      <c r="M4527" s="38" t="s">
        <v>123</v>
      </c>
      <c r="N4527" s="41">
        <v>46009.208333333336</v>
      </c>
      <c r="O4527" s="38" t="s">
        <v>123</v>
      </c>
      <c r="P4527" s="38">
        <v>32400.0</v>
      </c>
      <c r="Q4527" s="38">
        <v>32400.0</v>
      </c>
      <c r="R4527" s="39"/>
      <c r="S4527" s="39"/>
      <c r="T4527" s="39"/>
      <c r="U4527" s="39"/>
    </row>
    <row r="4528">
      <c r="A4528" s="40">
        <f t="shared" si="1"/>
        <v>46006</v>
      </c>
      <c r="B4528" s="37" t="str">
        <f t="array" ref="B4528">iferror(xlookup($I4528, 'IMPORT VHC Report'!$E:$E, 'IMPORT VHC Report'!$A:$C), )</f>
        <v/>
      </c>
      <c r="C4528" s="37"/>
      <c r="D4528" s="37"/>
      <c r="E4528" s="38" t="s">
        <v>5430</v>
      </c>
      <c r="F4528" s="38" t="s">
        <v>5418</v>
      </c>
      <c r="G4528" s="38">
        <v>3.61725484056E11</v>
      </c>
      <c r="H4528" s="38" t="s">
        <v>5419</v>
      </c>
      <c r="I4528" s="38" t="s">
        <v>5420</v>
      </c>
      <c r="J4528" s="38" t="s">
        <v>134</v>
      </c>
      <c r="K4528" s="38" t="s">
        <v>126</v>
      </c>
      <c r="L4528" s="41">
        <v>46008.927083333336</v>
      </c>
      <c r="M4528" s="38" t="s">
        <v>123</v>
      </c>
      <c r="N4528" s="41">
        <v>46008.947916666664</v>
      </c>
      <c r="O4528" s="38" t="s">
        <v>123</v>
      </c>
      <c r="P4528" s="38">
        <v>1800.0</v>
      </c>
      <c r="Q4528" s="39"/>
      <c r="R4528" s="39"/>
      <c r="S4528" s="39"/>
      <c r="T4528" s="39"/>
      <c r="U4528" s="39"/>
    </row>
    <row r="4529">
      <c r="A4529" s="40">
        <f t="shared" si="1"/>
        <v>46006</v>
      </c>
      <c r="B4529" s="37" t="str">
        <f t="array" ref="B4529">iferror(xlookup($I4529, 'IMPORT VHC Report'!$E:$E, 'IMPORT VHC Report'!$A:$C), )</f>
        <v/>
      </c>
      <c r="C4529" s="37"/>
      <c r="D4529" s="37"/>
      <c r="E4529" s="38" t="s">
        <v>5431</v>
      </c>
      <c r="F4529" s="38" t="s">
        <v>5418</v>
      </c>
      <c r="G4529" s="38">
        <v>3.61725484056E11</v>
      </c>
      <c r="H4529" s="38" t="s">
        <v>5419</v>
      </c>
      <c r="I4529" s="38" t="s">
        <v>5420</v>
      </c>
      <c r="J4529" s="38" t="s">
        <v>132</v>
      </c>
      <c r="K4529" s="38" t="s">
        <v>126</v>
      </c>
      <c r="L4529" s="41">
        <v>46009.03125</v>
      </c>
      <c r="M4529" s="38" t="s">
        <v>123</v>
      </c>
      <c r="N4529" s="41">
        <v>46009.072916666664</v>
      </c>
      <c r="O4529" s="38" t="s">
        <v>123</v>
      </c>
      <c r="P4529" s="38">
        <v>3600.0</v>
      </c>
      <c r="Q4529" s="39"/>
      <c r="R4529" s="39"/>
      <c r="S4529" s="39"/>
      <c r="T4529" s="39"/>
      <c r="U4529" s="39"/>
    </row>
    <row r="4530">
      <c r="A4530" s="40">
        <f t="shared" si="1"/>
        <v>46006</v>
      </c>
      <c r="B4530" s="37" t="str">
        <f t="array" ref="B4530">iferror(xlookup($I4530, 'IMPORT VHC Report'!$E:$E, 'IMPORT VHC Report'!$A:$C), )</f>
        <v/>
      </c>
      <c r="C4530" s="37"/>
      <c r="D4530" s="37"/>
      <c r="E4530" s="38" t="s">
        <v>5432</v>
      </c>
      <c r="F4530" s="38" t="s">
        <v>5418</v>
      </c>
      <c r="G4530" s="38">
        <v>3.61725484056E11</v>
      </c>
      <c r="H4530" s="38" t="s">
        <v>5419</v>
      </c>
      <c r="I4530" s="38" t="s">
        <v>5420</v>
      </c>
      <c r="J4530" s="38" t="s">
        <v>178</v>
      </c>
      <c r="K4530" s="38" t="s">
        <v>153</v>
      </c>
      <c r="L4530" s="41">
        <v>46009.833333333336</v>
      </c>
      <c r="M4530" s="38" t="s">
        <v>123</v>
      </c>
      <c r="N4530" s="41">
        <v>46010.208333333336</v>
      </c>
      <c r="O4530" s="38" t="s">
        <v>123</v>
      </c>
      <c r="P4530" s="38">
        <v>32400.0</v>
      </c>
      <c r="Q4530" s="38">
        <v>32400.0</v>
      </c>
      <c r="R4530" s="39"/>
      <c r="S4530" s="39"/>
      <c r="T4530" s="39"/>
      <c r="U4530" s="39"/>
    </row>
    <row r="4531">
      <c r="A4531" s="40">
        <f t="shared" si="1"/>
        <v>46006</v>
      </c>
      <c r="B4531" s="37" t="str">
        <f t="array" ref="B4531">iferror(xlookup($I4531, 'IMPORT VHC Report'!$E:$E, 'IMPORT VHC Report'!$A:$C), )</f>
        <v/>
      </c>
      <c r="C4531" s="37"/>
      <c r="D4531" s="37"/>
      <c r="E4531" s="38" t="s">
        <v>5433</v>
      </c>
      <c r="F4531" s="38" t="s">
        <v>5418</v>
      </c>
      <c r="G4531" s="38">
        <v>3.61725484056E11</v>
      </c>
      <c r="H4531" s="38" t="s">
        <v>5419</v>
      </c>
      <c r="I4531" s="38" t="s">
        <v>5420</v>
      </c>
      <c r="J4531" s="38" t="s">
        <v>368</v>
      </c>
      <c r="K4531" s="38" t="s">
        <v>63</v>
      </c>
      <c r="L4531" s="41">
        <v>46009.833333333336</v>
      </c>
      <c r="M4531" s="38" t="s">
        <v>123</v>
      </c>
      <c r="N4531" s="41">
        <v>46010.208333333336</v>
      </c>
      <c r="O4531" s="38" t="s">
        <v>123</v>
      </c>
      <c r="P4531" s="38">
        <v>32400.0</v>
      </c>
      <c r="Q4531" s="39"/>
      <c r="R4531" s="39"/>
      <c r="S4531" s="39"/>
      <c r="T4531" s="39"/>
      <c r="U4531" s="39"/>
    </row>
    <row r="4532">
      <c r="A4532" s="40">
        <f t="shared" si="1"/>
        <v>46006</v>
      </c>
      <c r="B4532" s="37" t="str">
        <f t="array" ref="B4532">iferror(xlookup($I4532, 'IMPORT VHC Report'!$E:$E, 'IMPORT VHC Report'!$A:$C), )</f>
        <v/>
      </c>
      <c r="C4532" s="37"/>
      <c r="D4532" s="37"/>
      <c r="E4532" s="38" t="s">
        <v>5434</v>
      </c>
      <c r="F4532" s="38" t="s">
        <v>5418</v>
      </c>
      <c r="G4532" s="38">
        <v>3.61725484056E11</v>
      </c>
      <c r="H4532" s="38" t="s">
        <v>5419</v>
      </c>
      <c r="I4532" s="38" t="s">
        <v>5420</v>
      </c>
      <c r="J4532" s="38" t="s">
        <v>134</v>
      </c>
      <c r="K4532" s="38" t="s">
        <v>126</v>
      </c>
      <c r="L4532" s="41">
        <v>46009.96875</v>
      </c>
      <c r="M4532" s="38" t="s">
        <v>123</v>
      </c>
      <c r="N4532" s="41">
        <v>46009.989583333336</v>
      </c>
      <c r="O4532" s="38" t="s">
        <v>123</v>
      </c>
      <c r="P4532" s="38">
        <v>1800.0</v>
      </c>
      <c r="Q4532" s="39"/>
      <c r="R4532" s="39"/>
      <c r="S4532" s="39"/>
      <c r="T4532" s="39"/>
      <c r="U4532" s="39"/>
    </row>
    <row r="4533">
      <c r="A4533" s="40">
        <f t="shared" si="1"/>
        <v>46006</v>
      </c>
      <c r="B4533" s="37" t="str">
        <f t="array" ref="B4533">iferror(xlookup($I4533, 'IMPORT VHC Report'!$E:$E, 'IMPORT VHC Report'!$A:$C), )</f>
        <v/>
      </c>
      <c r="C4533" s="37"/>
      <c r="D4533" s="37"/>
      <c r="E4533" s="38" t="s">
        <v>5435</v>
      </c>
      <c r="F4533" s="38" t="s">
        <v>5418</v>
      </c>
      <c r="G4533" s="38">
        <v>3.61725484056E11</v>
      </c>
      <c r="H4533" s="38" t="s">
        <v>5419</v>
      </c>
      <c r="I4533" s="38" t="s">
        <v>5420</v>
      </c>
      <c r="J4533" s="38" t="s">
        <v>132</v>
      </c>
      <c r="K4533" s="38" t="s">
        <v>126</v>
      </c>
      <c r="L4533" s="41">
        <v>46010.072916666664</v>
      </c>
      <c r="M4533" s="38" t="s">
        <v>123</v>
      </c>
      <c r="N4533" s="41">
        <v>46010.114583333336</v>
      </c>
      <c r="O4533" s="38" t="s">
        <v>123</v>
      </c>
      <c r="P4533" s="38">
        <v>3600.0</v>
      </c>
      <c r="Q4533" s="39"/>
      <c r="R4533" s="39"/>
      <c r="S4533" s="39"/>
      <c r="T4533" s="39"/>
      <c r="U4533" s="39"/>
    </row>
    <row r="4534">
      <c r="A4534" s="40">
        <f t="shared" si="1"/>
        <v>46006</v>
      </c>
      <c r="B4534" s="37" t="str">
        <f t="array" ref="B4534">iferror(xlookup($I4534, 'IMPORT VHC Report'!$E:$E, 'IMPORT VHC Report'!$A:$C), )</f>
        <v/>
      </c>
      <c r="C4534" s="37"/>
      <c r="D4534" s="37"/>
      <c r="E4534" s="38" t="s">
        <v>5436</v>
      </c>
      <c r="F4534" s="38" t="s">
        <v>5418</v>
      </c>
      <c r="G4534" s="38">
        <v>3.61725484056E11</v>
      </c>
      <c r="H4534" s="38" t="s">
        <v>5419</v>
      </c>
      <c r="I4534" s="38" t="s">
        <v>5420</v>
      </c>
      <c r="J4534" s="38" t="s">
        <v>178</v>
      </c>
      <c r="K4534" s="38" t="s">
        <v>153</v>
      </c>
      <c r="L4534" s="41">
        <v>46010.833333333336</v>
      </c>
      <c r="M4534" s="38" t="s">
        <v>123</v>
      </c>
      <c r="N4534" s="41">
        <v>46011.208333333336</v>
      </c>
      <c r="O4534" s="38" t="s">
        <v>123</v>
      </c>
      <c r="P4534" s="38">
        <v>32400.0</v>
      </c>
      <c r="Q4534" s="38">
        <v>32400.0</v>
      </c>
      <c r="R4534" s="39"/>
      <c r="S4534" s="39"/>
      <c r="T4534" s="39"/>
      <c r="U4534" s="39"/>
    </row>
    <row r="4535">
      <c r="A4535" s="40">
        <f t="shared" si="1"/>
        <v>46006</v>
      </c>
      <c r="B4535" s="37" t="str">
        <f t="array" ref="B4535">iferror(xlookup($I4535, 'IMPORT VHC Report'!$E:$E, 'IMPORT VHC Report'!$A:$C), )</f>
        <v/>
      </c>
      <c r="C4535" s="37"/>
      <c r="D4535" s="37"/>
      <c r="E4535" s="38" t="s">
        <v>5437</v>
      </c>
      <c r="F4535" s="38" t="s">
        <v>5418</v>
      </c>
      <c r="G4535" s="38">
        <v>3.61725484056E11</v>
      </c>
      <c r="H4535" s="38" t="s">
        <v>5419</v>
      </c>
      <c r="I4535" s="38" t="s">
        <v>5420</v>
      </c>
      <c r="J4535" s="38" t="s">
        <v>368</v>
      </c>
      <c r="K4535" s="38" t="s">
        <v>63</v>
      </c>
      <c r="L4535" s="41">
        <v>46010.833333333336</v>
      </c>
      <c r="M4535" s="38" t="s">
        <v>123</v>
      </c>
      <c r="N4535" s="41">
        <v>46011.208333333336</v>
      </c>
      <c r="O4535" s="38" t="s">
        <v>123</v>
      </c>
      <c r="P4535" s="38">
        <v>32400.0</v>
      </c>
      <c r="Q4535" s="39"/>
      <c r="R4535" s="39"/>
      <c r="S4535" s="39"/>
      <c r="T4535" s="39"/>
      <c r="U4535" s="39"/>
    </row>
    <row r="4536">
      <c r="A4536" s="40">
        <f t="shared" si="1"/>
        <v>46006</v>
      </c>
      <c r="B4536" s="37" t="str">
        <f t="array" ref="B4536">iferror(xlookup($I4536, 'IMPORT VHC Report'!$E:$E, 'IMPORT VHC Report'!$A:$C), )</f>
        <v/>
      </c>
      <c r="C4536" s="37"/>
      <c r="D4536" s="37"/>
      <c r="E4536" s="38" t="s">
        <v>5438</v>
      </c>
      <c r="F4536" s="38" t="s">
        <v>5418</v>
      </c>
      <c r="G4536" s="38">
        <v>3.61725484056E11</v>
      </c>
      <c r="H4536" s="38" t="s">
        <v>5419</v>
      </c>
      <c r="I4536" s="38" t="s">
        <v>5420</v>
      </c>
      <c r="J4536" s="38" t="s">
        <v>134</v>
      </c>
      <c r="K4536" s="38" t="s">
        <v>126</v>
      </c>
      <c r="L4536" s="41">
        <v>46010.947916666664</v>
      </c>
      <c r="M4536" s="38" t="s">
        <v>123</v>
      </c>
      <c r="N4536" s="41">
        <v>46010.96875</v>
      </c>
      <c r="O4536" s="38" t="s">
        <v>123</v>
      </c>
      <c r="P4536" s="38">
        <v>1800.0</v>
      </c>
      <c r="Q4536" s="39"/>
      <c r="R4536" s="39"/>
      <c r="S4536" s="39"/>
      <c r="T4536" s="39"/>
      <c r="U4536" s="39"/>
    </row>
    <row r="4537">
      <c r="A4537" s="40">
        <f t="shared" si="1"/>
        <v>46006</v>
      </c>
      <c r="B4537" s="37" t="str">
        <f t="array" ref="B4537">iferror(xlookup($I4537, 'IMPORT VHC Report'!$E:$E, 'IMPORT VHC Report'!$A:$C), )</f>
        <v/>
      </c>
      <c r="C4537" s="37"/>
      <c r="D4537" s="37"/>
      <c r="E4537" s="38" t="s">
        <v>5439</v>
      </c>
      <c r="F4537" s="38" t="s">
        <v>5418</v>
      </c>
      <c r="G4537" s="38">
        <v>3.61725484056E11</v>
      </c>
      <c r="H4537" s="38" t="s">
        <v>5419</v>
      </c>
      <c r="I4537" s="38" t="s">
        <v>5420</v>
      </c>
      <c r="J4537" s="38" t="s">
        <v>132</v>
      </c>
      <c r="K4537" s="38" t="s">
        <v>126</v>
      </c>
      <c r="L4537" s="41">
        <v>46011.125</v>
      </c>
      <c r="M4537" s="38" t="s">
        <v>123</v>
      </c>
      <c r="N4537" s="41">
        <v>46011.166666666664</v>
      </c>
      <c r="O4537" s="38" t="s">
        <v>123</v>
      </c>
      <c r="P4537" s="38">
        <v>3600.0</v>
      </c>
      <c r="Q4537" s="39"/>
      <c r="R4537" s="39"/>
      <c r="S4537" s="39"/>
      <c r="T4537" s="39"/>
      <c r="U4537" s="39"/>
    </row>
    <row r="4538">
      <c r="A4538" s="40">
        <f t="shared" si="1"/>
        <v>46006</v>
      </c>
      <c r="B4538" s="37" t="str">
        <f t="array" ref="B4538">iferror(xlookup($I4538, 'IMPORT VHC Report'!$E:$E, 'IMPORT VHC Report'!$A:$C), )</f>
        <v/>
      </c>
      <c r="C4538" s="37"/>
      <c r="D4538" s="37"/>
      <c r="E4538" s="38" t="s">
        <v>5440</v>
      </c>
      <c r="F4538" s="38" t="s">
        <v>5441</v>
      </c>
      <c r="G4538" s="38">
        <v>1.0333049701519E13</v>
      </c>
      <c r="H4538" s="38" t="s">
        <v>5442</v>
      </c>
      <c r="I4538" s="38" t="s">
        <v>5443</v>
      </c>
      <c r="J4538" s="38" t="s">
        <v>125</v>
      </c>
      <c r="K4538" s="38" t="s">
        <v>126</v>
      </c>
      <c r="L4538" s="41">
        <v>46006.875</v>
      </c>
      <c r="M4538" s="38" t="s">
        <v>123</v>
      </c>
      <c r="N4538" s="41">
        <v>46006.885416666664</v>
      </c>
      <c r="O4538" s="38" t="s">
        <v>123</v>
      </c>
      <c r="P4538" s="38">
        <v>900.0</v>
      </c>
      <c r="Q4538" s="39"/>
      <c r="R4538" s="39"/>
      <c r="S4538" s="38" t="s">
        <v>199</v>
      </c>
      <c r="T4538" s="39"/>
      <c r="U4538" s="39"/>
    </row>
    <row r="4539">
      <c r="A4539" s="40">
        <f t="shared" si="1"/>
        <v>46006</v>
      </c>
      <c r="B4539" s="37" t="str">
        <f t="array" ref="B4539">iferror(xlookup($I4539, 'IMPORT VHC Report'!$E:$E, 'IMPORT VHC Report'!$A:$C), )</f>
        <v/>
      </c>
      <c r="C4539" s="37"/>
      <c r="D4539" s="37"/>
      <c r="E4539" s="38" t="s">
        <v>5444</v>
      </c>
      <c r="F4539" s="38" t="s">
        <v>5441</v>
      </c>
      <c r="G4539" s="38">
        <v>1.0333049701519E13</v>
      </c>
      <c r="H4539" s="38" t="s">
        <v>5442</v>
      </c>
      <c r="I4539" s="38" t="s">
        <v>5443</v>
      </c>
      <c r="J4539" s="38" t="s">
        <v>196</v>
      </c>
      <c r="K4539" s="38" t="s">
        <v>63</v>
      </c>
      <c r="L4539" s="41">
        <v>46006.875</v>
      </c>
      <c r="M4539" s="38" t="s">
        <v>123</v>
      </c>
      <c r="N4539" s="41">
        <v>46007.25</v>
      </c>
      <c r="O4539" s="38" t="s">
        <v>123</v>
      </c>
      <c r="P4539" s="38">
        <v>32400.0</v>
      </c>
      <c r="Q4539" s="39"/>
      <c r="R4539" s="39"/>
      <c r="S4539" s="39"/>
      <c r="T4539" s="39"/>
      <c r="U4539" s="39"/>
    </row>
    <row r="4540">
      <c r="A4540" s="40">
        <f t="shared" si="1"/>
        <v>46006</v>
      </c>
      <c r="B4540" s="37" t="str">
        <f t="array" ref="B4540">iferror(xlookup($I4540, 'IMPORT VHC Report'!$E:$E, 'IMPORT VHC Report'!$A:$C), )</f>
        <v/>
      </c>
      <c r="C4540" s="37"/>
      <c r="D4540" s="37"/>
      <c r="E4540" s="38" t="s">
        <v>5445</v>
      </c>
      <c r="F4540" s="38" t="s">
        <v>5441</v>
      </c>
      <c r="G4540" s="38">
        <v>1.0333049701519E13</v>
      </c>
      <c r="H4540" s="38" t="s">
        <v>5442</v>
      </c>
      <c r="I4540" s="38" t="s">
        <v>5443</v>
      </c>
      <c r="J4540" s="38" t="s">
        <v>134</v>
      </c>
      <c r="K4540" s="38" t="s">
        <v>126</v>
      </c>
      <c r="L4540" s="41">
        <v>46007.020833333336</v>
      </c>
      <c r="M4540" s="38" t="s">
        <v>123</v>
      </c>
      <c r="N4540" s="41">
        <v>46007.041666666664</v>
      </c>
      <c r="O4540" s="38" t="s">
        <v>123</v>
      </c>
      <c r="P4540" s="38">
        <v>1800.0</v>
      </c>
      <c r="Q4540" s="39"/>
      <c r="R4540" s="39"/>
      <c r="S4540" s="39"/>
      <c r="T4540" s="39"/>
      <c r="U4540" s="39"/>
    </row>
    <row r="4541">
      <c r="A4541" s="40">
        <f t="shared" si="1"/>
        <v>46006</v>
      </c>
      <c r="B4541" s="37" t="str">
        <f t="array" ref="B4541">iferror(xlookup($I4541, 'IMPORT VHC Report'!$E:$E, 'IMPORT VHC Report'!$A:$C), )</f>
        <v/>
      </c>
      <c r="C4541" s="37"/>
      <c r="D4541" s="37"/>
      <c r="E4541" s="38" t="s">
        <v>5446</v>
      </c>
      <c r="F4541" s="38" t="s">
        <v>5441</v>
      </c>
      <c r="G4541" s="38">
        <v>1.0333049701519E13</v>
      </c>
      <c r="H4541" s="38" t="s">
        <v>5442</v>
      </c>
      <c r="I4541" s="38" t="s">
        <v>5443</v>
      </c>
      <c r="J4541" s="38" t="s">
        <v>132</v>
      </c>
      <c r="K4541" s="38" t="s">
        <v>126</v>
      </c>
      <c r="L4541" s="41">
        <v>46007.135416666664</v>
      </c>
      <c r="M4541" s="38" t="s">
        <v>123</v>
      </c>
      <c r="N4541" s="41">
        <v>46007.177083333336</v>
      </c>
      <c r="O4541" s="38" t="s">
        <v>123</v>
      </c>
      <c r="P4541" s="38">
        <v>3600.0</v>
      </c>
      <c r="Q4541" s="39"/>
      <c r="R4541" s="39"/>
      <c r="S4541" s="39"/>
      <c r="T4541" s="39"/>
      <c r="U4541" s="39"/>
    </row>
    <row r="4542">
      <c r="A4542" s="40">
        <f t="shared" si="1"/>
        <v>46006</v>
      </c>
      <c r="B4542" s="37" t="str">
        <f t="array" ref="B4542">iferror(xlookup($I4542, 'IMPORT VHC Report'!$E:$E, 'IMPORT VHC Report'!$A:$C), )</f>
        <v/>
      </c>
      <c r="C4542" s="37"/>
      <c r="D4542" s="37"/>
      <c r="E4542" s="38" t="s">
        <v>5447</v>
      </c>
      <c r="F4542" s="38" t="s">
        <v>5441</v>
      </c>
      <c r="G4542" s="38">
        <v>1.0333049701519E13</v>
      </c>
      <c r="H4542" s="38" t="s">
        <v>5442</v>
      </c>
      <c r="I4542" s="38" t="s">
        <v>5443</v>
      </c>
      <c r="J4542" s="38" t="s">
        <v>125</v>
      </c>
      <c r="K4542" s="38" t="s">
        <v>126</v>
      </c>
      <c r="L4542" s="41">
        <v>46007.875</v>
      </c>
      <c r="M4542" s="38" t="s">
        <v>123</v>
      </c>
      <c r="N4542" s="41">
        <v>46007.885416666664</v>
      </c>
      <c r="O4542" s="38" t="s">
        <v>123</v>
      </c>
      <c r="P4542" s="38">
        <v>900.0</v>
      </c>
      <c r="Q4542" s="39"/>
      <c r="R4542" s="39"/>
      <c r="S4542" s="38" t="s">
        <v>199</v>
      </c>
      <c r="T4542" s="39"/>
      <c r="U4542" s="39"/>
    </row>
    <row r="4543">
      <c r="A4543" s="40">
        <f t="shared" si="1"/>
        <v>46006</v>
      </c>
      <c r="B4543" s="37" t="str">
        <f t="array" ref="B4543">iferror(xlookup($I4543, 'IMPORT VHC Report'!$E:$E, 'IMPORT VHC Report'!$A:$C), )</f>
        <v/>
      </c>
      <c r="C4543" s="37"/>
      <c r="D4543" s="37"/>
      <c r="E4543" s="38" t="s">
        <v>5448</v>
      </c>
      <c r="F4543" s="38" t="s">
        <v>5441</v>
      </c>
      <c r="G4543" s="38">
        <v>1.0333049701519E13</v>
      </c>
      <c r="H4543" s="38" t="s">
        <v>5442</v>
      </c>
      <c r="I4543" s="38" t="s">
        <v>5443</v>
      </c>
      <c r="J4543" s="38" t="s">
        <v>196</v>
      </c>
      <c r="K4543" s="38" t="s">
        <v>63</v>
      </c>
      <c r="L4543" s="41">
        <v>46007.875</v>
      </c>
      <c r="M4543" s="38" t="s">
        <v>123</v>
      </c>
      <c r="N4543" s="41">
        <v>46008.25</v>
      </c>
      <c r="O4543" s="38" t="s">
        <v>123</v>
      </c>
      <c r="P4543" s="38">
        <v>32400.0</v>
      </c>
      <c r="Q4543" s="39"/>
      <c r="R4543" s="39"/>
      <c r="S4543" s="39"/>
      <c r="T4543" s="39"/>
      <c r="U4543" s="39"/>
    </row>
    <row r="4544">
      <c r="A4544" s="40">
        <f t="shared" si="1"/>
        <v>46006</v>
      </c>
      <c r="B4544" s="37" t="str">
        <f t="array" ref="B4544">iferror(xlookup($I4544, 'IMPORT VHC Report'!$E:$E, 'IMPORT VHC Report'!$A:$C), )</f>
        <v/>
      </c>
      <c r="C4544" s="37"/>
      <c r="D4544" s="37"/>
      <c r="E4544" s="38" t="s">
        <v>5449</v>
      </c>
      <c r="F4544" s="38" t="s">
        <v>5441</v>
      </c>
      <c r="G4544" s="38">
        <v>1.0333049701519E13</v>
      </c>
      <c r="H4544" s="38" t="s">
        <v>5442</v>
      </c>
      <c r="I4544" s="38" t="s">
        <v>5443</v>
      </c>
      <c r="J4544" s="38" t="s">
        <v>132</v>
      </c>
      <c r="K4544" s="38" t="s">
        <v>126</v>
      </c>
      <c r="L4544" s="41">
        <v>46008.0</v>
      </c>
      <c r="M4544" s="38" t="s">
        <v>123</v>
      </c>
      <c r="N4544" s="41">
        <v>46008.041666666664</v>
      </c>
      <c r="O4544" s="38" t="s">
        <v>123</v>
      </c>
      <c r="P4544" s="38">
        <v>3600.0</v>
      </c>
      <c r="Q4544" s="39"/>
      <c r="R4544" s="39"/>
      <c r="S4544" s="39"/>
      <c r="T4544" s="39"/>
      <c r="U4544" s="39"/>
    </row>
    <row r="4545">
      <c r="A4545" s="40">
        <f t="shared" si="1"/>
        <v>46006</v>
      </c>
      <c r="B4545" s="37" t="str">
        <f t="array" ref="B4545">iferror(xlookup($I4545, 'IMPORT VHC Report'!$E:$E, 'IMPORT VHC Report'!$A:$C), )</f>
        <v/>
      </c>
      <c r="C4545" s="37"/>
      <c r="D4545" s="37"/>
      <c r="E4545" s="38" t="s">
        <v>5450</v>
      </c>
      <c r="F4545" s="38" t="s">
        <v>5441</v>
      </c>
      <c r="G4545" s="38">
        <v>1.0333049701519E13</v>
      </c>
      <c r="H4545" s="38" t="s">
        <v>5442</v>
      </c>
      <c r="I4545" s="38" t="s">
        <v>5443</v>
      </c>
      <c r="J4545" s="38" t="s">
        <v>134</v>
      </c>
      <c r="K4545" s="38" t="s">
        <v>126</v>
      </c>
      <c r="L4545" s="41">
        <v>46008.15625</v>
      </c>
      <c r="M4545" s="38" t="s">
        <v>123</v>
      </c>
      <c r="N4545" s="41">
        <v>46008.177083333336</v>
      </c>
      <c r="O4545" s="38" t="s">
        <v>123</v>
      </c>
      <c r="P4545" s="38">
        <v>1800.0</v>
      </c>
      <c r="Q4545" s="39"/>
      <c r="R4545" s="39"/>
      <c r="S4545" s="39"/>
      <c r="T4545" s="39"/>
      <c r="U4545" s="39"/>
    </row>
    <row r="4546">
      <c r="A4546" s="40">
        <f t="shared" si="1"/>
        <v>46006</v>
      </c>
      <c r="B4546" s="37" t="str">
        <f t="array" ref="B4546">iferror(xlookup($I4546, 'IMPORT VHC Report'!$E:$E, 'IMPORT VHC Report'!$A:$C), )</f>
        <v/>
      </c>
      <c r="C4546" s="37"/>
      <c r="D4546" s="37"/>
      <c r="E4546" s="38" t="s">
        <v>5451</v>
      </c>
      <c r="F4546" s="38" t="s">
        <v>5441</v>
      </c>
      <c r="G4546" s="38">
        <v>1.0333049701519E13</v>
      </c>
      <c r="H4546" s="38" t="s">
        <v>5442</v>
      </c>
      <c r="I4546" s="38" t="s">
        <v>5443</v>
      </c>
      <c r="J4546" s="38" t="s">
        <v>4</v>
      </c>
      <c r="K4546" s="38" t="s">
        <v>126</v>
      </c>
      <c r="L4546" s="41">
        <v>46008.208333333336</v>
      </c>
      <c r="M4546" s="38" t="s">
        <v>123</v>
      </c>
      <c r="N4546" s="41">
        <v>46008.25</v>
      </c>
      <c r="O4546" s="38" t="s">
        <v>123</v>
      </c>
      <c r="P4546" s="38">
        <v>3600.0</v>
      </c>
      <c r="Q4546" s="39"/>
      <c r="R4546" s="39"/>
      <c r="S4546" s="38" t="s">
        <v>858</v>
      </c>
      <c r="T4546" s="39"/>
      <c r="U4546" s="39"/>
    </row>
    <row r="4547">
      <c r="A4547" s="40">
        <f t="shared" si="1"/>
        <v>46006</v>
      </c>
      <c r="B4547" s="37" t="str">
        <f t="array" ref="B4547">iferror(xlookup($I4547, 'IMPORT VHC Report'!$E:$E, 'IMPORT VHC Report'!$A:$C), )</f>
        <v/>
      </c>
      <c r="C4547" s="37"/>
      <c r="D4547" s="37"/>
      <c r="E4547" s="38" t="s">
        <v>5452</v>
      </c>
      <c r="F4547" s="38" t="s">
        <v>5441</v>
      </c>
      <c r="G4547" s="38">
        <v>1.0333049701519E13</v>
      </c>
      <c r="H4547" s="38" t="s">
        <v>5442</v>
      </c>
      <c r="I4547" s="38" t="s">
        <v>5443</v>
      </c>
      <c r="J4547" s="38" t="s">
        <v>125</v>
      </c>
      <c r="K4547" s="38" t="s">
        <v>126</v>
      </c>
      <c r="L4547" s="41">
        <v>46008.875</v>
      </c>
      <c r="M4547" s="38" t="s">
        <v>123</v>
      </c>
      <c r="N4547" s="41">
        <v>46008.885416666664</v>
      </c>
      <c r="O4547" s="38" t="s">
        <v>123</v>
      </c>
      <c r="P4547" s="38">
        <v>900.0</v>
      </c>
      <c r="Q4547" s="39"/>
      <c r="R4547" s="39"/>
      <c r="S4547" s="38" t="s">
        <v>199</v>
      </c>
      <c r="T4547" s="39"/>
      <c r="U4547" s="39"/>
    </row>
    <row r="4548">
      <c r="A4548" s="40">
        <f t="shared" si="1"/>
        <v>46006</v>
      </c>
      <c r="B4548" s="37" t="str">
        <f t="array" ref="B4548">iferror(xlookup($I4548, 'IMPORT VHC Report'!$E:$E, 'IMPORT VHC Report'!$A:$C), )</f>
        <v/>
      </c>
      <c r="C4548" s="37"/>
      <c r="D4548" s="37"/>
      <c r="E4548" s="38" t="s">
        <v>5453</v>
      </c>
      <c r="F4548" s="38" t="s">
        <v>5441</v>
      </c>
      <c r="G4548" s="38">
        <v>1.0333049701519E13</v>
      </c>
      <c r="H4548" s="38" t="s">
        <v>5442</v>
      </c>
      <c r="I4548" s="38" t="s">
        <v>5443</v>
      </c>
      <c r="J4548" s="38" t="s">
        <v>178</v>
      </c>
      <c r="K4548" s="38" t="s">
        <v>153</v>
      </c>
      <c r="L4548" s="41">
        <v>46008.875</v>
      </c>
      <c r="M4548" s="38" t="s">
        <v>123</v>
      </c>
      <c r="N4548" s="41">
        <v>46009.25</v>
      </c>
      <c r="O4548" s="38" t="s">
        <v>123</v>
      </c>
      <c r="P4548" s="38">
        <v>32400.0</v>
      </c>
      <c r="Q4548" s="38">
        <v>28800.0</v>
      </c>
      <c r="R4548" s="38" t="s">
        <v>5454</v>
      </c>
      <c r="S4548" s="39"/>
      <c r="T4548" s="39"/>
      <c r="U4548" s="39"/>
    </row>
    <row r="4549">
      <c r="A4549" s="40">
        <f t="shared" si="1"/>
        <v>46006</v>
      </c>
      <c r="B4549" s="37" t="str">
        <f t="array" ref="B4549">iferror(xlookup($I4549, 'IMPORT VHC Report'!$E:$E, 'IMPORT VHC Report'!$A:$C), )</f>
        <v/>
      </c>
      <c r="C4549" s="37"/>
      <c r="D4549" s="37"/>
      <c r="E4549" s="38" t="s">
        <v>5455</v>
      </c>
      <c r="F4549" s="38" t="s">
        <v>5441</v>
      </c>
      <c r="G4549" s="38">
        <v>1.0333049701519E13</v>
      </c>
      <c r="H4549" s="38" t="s">
        <v>5442</v>
      </c>
      <c r="I4549" s="38" t="s">
        <v>5443</v>
      </c>
      <c r="J4549" s="38" t="s">
        <v>196</v>
      </c>
      <c r="K4549" s="38" t="s">
        <v>63</v>
      </c>
      <c r="L4549" s="41">
        <v>46008.875</v>
      </c>
      <c r="M4549" s="38" t="s">
        <v>123</v>
      </c>
      <c r="N4549" s="41">
        <v>46009.25</v>
      </c>
      <c r="O4549" s="38" t="s">
        <v>123</v>
      </c>
      <c r="P4549" s="38">
        <v>32400.0</v>
      </c>
      <c r="Q4549" s="39"/>
      <c r="R4549" s="39"/>
      <c r="S4549" s="39"/>
      <c r="T4549" s="39"/>
      <c r="U4549" s="39"/>
    </row>
    <row r="4550">
      <c r="A4550" s="40">
        <f t="shared" si="1"/>
        <v>46006</v>
      </c>
      <c r="B4550" s="37" t="str">
        <f t="array" ref="B4550">iferror(xlookup($I4550, 'IMPORT VHC Report'!$E:$E, 'IMPORT VHC Report'!$A:$C), )</f>
        <v/>
      </c>
      <c r="C4550" s="37"/>
      <c r="D4550" s="37"/>
      <c r="E4550" s="38" t="s">
        <v>5456</v>
      </c>
      <c r="F4550" s="38" t="s">
        <v>5441</v>
      </c>
      <c r="G4550" s="38">
        <v>1.0333049701519E13</v>
      </c>
      <c r="H4550" s="38" t="s">
        <v>5442</v>
      </c>
      <c r="I4550" s="38" t="s">
        <v>5443</v>
      </c>
      <c r="J4550" s="38" t="s">
        <v>134</v>
      </c>
      <c r="K4550" s="38" t="s">
        <v>126</v>
      </c>
      <c r="L4550" s="41">
        <v>46008.979166666664</v>
      </c>
      <c r="M4550" s="38" t="s">
        <v>123</v>
      </c>
      <c r="N4550" s="41">
        <v>46009.0</v>
      </c>
      <c r="O4550" s="38" t="s">
        <v>123</v>
      </c>
      <c r="P4550" s="38">
        <v>1800.0</v>
      </c>
      <c r="Q4550" s="39"/>
      <c r="R4550" s="39"/>
      <c r="S4550" s="39"/>
      <c r="T4550" s="39"/>
      <c r="U4550" s="39"/>
    </row>
    <row r="4551">
      <c r="A4551" s="40">
        <f t="shared" si="1"/>
        <v>46006</v>
      </c>
      <c r="B4551" s="37" t="str">
        <f t="array" ref="B4551">iferror(xlookup($I4551, 'IMPORT VHC Report'!$E:$E, 'IMPORT VHC Report'!$A:$C), )</f>
        <v/>
      </c>
      <c r="C4551" s="37"/>
      <c r="D4551" s="37"/>
      <c r="E4551" s="38" t="s">
        <v>5457</v>
      </c>
      <c r="F4551" s="38" t="s">
        <v>5441</v>
      </c>
      <c r="G4551" s="38">
        <v>1.0333049701519E13</v>
      </c>
      <c r="H4551" s="38" t="s">
        <v>5442</v>
      </c>
      <c r="I4551" s="38" t="s">
        <v>5443</v>
      </c>
      <c r="J4551" s="38" t="s">
        <v>132</v>
      </c>
      <c r="K4551" s="38" t="s">
        <v>126</v>
      </c>
      <c r="L4551" s="41">
        <v>46009.135416666664</v>
      </c>
      <c r="M4551" s="38" t="s">
        <v>123</v>
      </c>
      <c r="N4551" s="41">
        <v>46009.177083333336</v>
      </c>
      <c r="O4551" s="38" t="s">
        <v>123</v>
      </c>
      <c r="P4551" s="38">
        <v>3600.0</v>
      </c>
      <c r="Q4551" s="39"/>
      <c r="R4551" s="39"/>
      <c r="S4551" s="39"/>
      <c r="T4551" s="39"/>
      <c r="U4551" s="39"/>
    </row>
    <row r="4552">
      <c r="A4552" s="40">
        <f t="shared" si="1"/>
        <v>46006</v>
      </c>
      <c r="B4552" s="37" t="str">
        <f t="array" ref="B4552">iferror(xlookup($I4552, 'IMPORT VHC Report'!$E:$E, 'IMPORT VHC Report'!$A:$C), )</f>
        <v/>
      </c>
      <c r="C4552" s="37"/>
      <c r="D4552" s="37"/>
      <c r="E4552" s="38" t="s">
        <v>5458</v>
      </c>
      <c r="F4552" s="38" t="s">
        <v>5441</v>
      </c>
      <c r="G4552" s="38">
        <v>1.0333049701519E13</v>
      </c>
      <c r="H4552" s="38" t="s">
        <v>5442</v>
      </c>
      <c r="I4552" s="38" t="s">
        <v>5443</v>
      </c>
      <c r="J4552" s="38" t="s">
        <v>125</v>
      </c>
      <c r="K4552" s="38" t="s">
        <v>126</v>
      </c>
      <c r="L4552" s="41">
        <v>46009.875</v>
      </c>
      <c r="M4552" s="38" t="s">
        <v>123</v>
      </c>
      <c r="N4552" s="41">
        <v>46009.885416666664</v>
      </c>
      <c r="O4552" s="38" t="s">
        <v>123</v>
      </c>
      <c r="P4552" s="38">
        <v>900.0</v>
      </c>
      <c r="Q4552" s="39"/>
      <c r="R4552" s="39"/>
      <c r="S4552" s="38" t="s">
        <v>199</v>
      </c>
      <c r="T4552" s="39"/>
      <c r="U4552" s="39"/>
    </row>
    <row r="4553">
      <c r="A4553" s="40">
        <f t="shared" si="1"/>
        <v>46006</v>
      </c>
      <c r="B4553" s="37" t="str">
        <f t="array" ref="B4553">iferror(xlookup($I4553, 'IMPORT VHC Report'!$E:$E, 'IMPORT VHC Report'!$A:$C), )</f>
        <v/>
      </c>
      <c r="C4553" s="37"/>
      <c r="D4553" s="37"/>
      <c r="E4553" s="38" t="s">
        <v>5459</v>
      </c>
      <c r="F4553" s="38" t="s">
        <v>5441</v>
      </c>
      <c r="G4553" s="38">
        <v>1.0333049701519E13</v>
      </c>
      <c r="H4553" s="38" t="s">
        <v>5442</v>
      </c>
      <c r="I4553" s="38" t="s">
        <v>5443</v>
      </c>
      <c r="J4553" s="38" t="s">
        <v>196</v>
      </c>
      <c r="K4553" s="38" t="s">
        <v>63</v>
      </c>
      <c r="L4553" s="41">
        <v>46009.875</v>
      </c>
      <c r="M4553" s="38" t="s">
        <v>123</v>
      </c>
      <c r="N4553" s="41">
        <v>46010.25</v>
      </c>
      <c r="O4553" s="38" t="s">
        <v>123</v>
      </c>
      <c r="P4553" s="38">
        <v>32400.0</v>
      </c>
      <c r="Q4553" s="39"/>
      <c r="R4553" s="39"/>
      <c r="S4553" s="39"/>
      <c r="T4553" s="39"/>
      <c r="U4553" s="39"/>
    </row>
    <row r="4554">
      <c r="A4554" s="40">
        <f t="shared" si="1"/>
        <v>46006</v>
      </c>
      <c r="B4554" s="37" t="str">
        <f t="array" ref="B4554">iferror(xlookup($I4554, 'IMPORT VHC Report'!$E:$E, 'IMPORT VHC Report'!$A:$C), )</f>
        <v/>
      </c>
      <c r="C4554" s="37"/>
      <c r="D4554" s="37"/>
      <c r="E4554" s="38" t="s">
        <v>5460</v>
      </c>
      <c r="F4554" s="38" t="s">
        <v>5441</v>
      </c>
      <c r="G4554" s="38">
        <v>1.0333049701519E13</v>
      </c>
      <c r="H4554" s="38" t="s">
        <v>5442</v>
      </c>
      <c r="I4554" s="38" t="s">
        <v>5443</v>
      </c>
      <c r="J4554" s="38" t="s">
        <v>134</v>
      </c>
      <c r="K4554" s="38" t="s">
        <v>126</v>
      </c>
      <c r="L4554" s="41">
        <v>46010.0</v>
      </c>
      <c r="M4554" s="38" t="s">
        <v>123</v>
      </c>
      <c r="N4554" s="41">
        <v>46010.020833333336</v>
      </c>
      <c r="O4554" s="38" t="s">
        <v>123</v>
      </c>
      <c r="P4554" s="38">
        <v>1800.0</v>
      </c>
      <c r="Q4554" s="39"/>
      <c r="R4554" s="39"/>
      <c r="S4554" s="39"/>
      <c r="T4554" s="39"/>
      <c r="U4554" s="39"/>
    </row>
    <row r="4555">
      <c r="A4555" s="40">
        <f t="shared" si="1"/>
        <v>46006</v>
      </c>
      <c r="B4555" s="37" t="str">
        <f t="array" ref="B4555">iferror(xlookup($I4555, 'IMPORT VHC Report'!$E:$E, 'IMPORT VHC Report'!$A:$C), )</f>
        <v/>
      </c>
      <c r="C4555" s="37"/>
      <c r="D4555" s="37"/>
      <c r="E4555" s="38" t="s">
        <v>5461</v>
      </c>
      <c r="F4555" s="38" t="s">
        <v>5441</v>
      </c>
      <c r="G4555" s="38">
        <v>1.0333049701519E13</v>
      </c>
      <c r="H4555" s="38" t="s">
        <v>5442</v>
      </c>
      <c r="I4555" s="38" t="s">
        <v>5443</v>
      </c>
      <c r="J4555" s="38" t="s">
        <v>132</v>
      </c>
      <c r="K4555" s="38" t="s">
        <v>126</v>
      </c>
      <c r="L4555" s="41">
        <v>46010.145833333336</v>
      </c>
      <c r="M4555" s="38" t="s">
        <v>123</v>
      </c>
      <c r="N4555" s="41">
        <v>46010.1875</v>
      </c>
      <c r="O4555" s="38" t="s">
        <v>123</v>
      </c>
      <c r="P4555" s="38">
        <v>3600.0</v>
      </c>
      <c r="Q4555" s="39"/>
      <c r="R4555" s="39"/>
      <c r="S4555" s="39"/>
      <c r="T4555" s="39"/>
      <c r="U4555" s="39"/>
    </row>
    <row r="4556">
      <c r="A4556" s="40">
        <f t="shared" si="1"/>
        <v>46006</v>
      </c>
      <c r="B4556" s="37" t="str">
        <f t="array" ref="B4556">iferror(xlookup($I4556, 'IMPORT VHC Report'!$E:$E, 'IMPORT VHC Report'!$A:$C), )</f>
        <v/>
      </c>
      <c r="C4556" s="37"/>
      <c r="D4556" s="37"/>
      <c r="E4556" s="38" t="s">
        <v>5462</v>
      </c>
      <c r="F4556" s="38" t="s">
        <v>5441</v>
      </c>
      <c r="G4556" s="38">
        <v>1.0333049701519E13</v>
      </c>
      <c r="H4556" s="38" t="s">
        <v>5442</v>
      </c>
      <c r="I4556" s="38" t="s">
        <v>5443</v>
      </c>
      <c r="J4556" s="38" t="s">
        <v>125</v>
      </c>
      <c r="K4556" s="38" t="s">
        <v>126</v>
      </c>
      <c r="L4556" s="41">
        <v>46010.875</v>
      </c>
      <c r="M4556" s="38" t="s">
        <v>123</v>
      </c>
      <c r="N4556" s="41">
        <v>46010.885416666664</v>
      </c>
      <c r="O4556" s="38" t="s">
        <v>123</v>
      </c>
      <c r="P4556" s="38">
        <v>900.0</v>
      </c>
      <c r="Q4556" s="39"/>
      <c r="R4556" s="39"/>
      <c r="S4556" s="38" t="s">
        <v>199</v>
      </c>
      <c r="T4556" s="39"/>
      <c r="U4556" s="39"/>
    </row>
    <row r="4557">
      <c r="A4557" s="40">
        <f t="shared" si="1"/>
        <v>46006</v>
      </c>
      <c r="B4557" s="37" t="str">
        <f t="array" ref="B4557">iferror(xlookup($I4557, 'IMPORT VHC Report'!$E:$E, 'IMPORT VHC Report'!$A:$C), )</f>
        <v/>
      </c>
      <c r="C4557" s="37"/>
      <c r="D4557" s="37"/>
      <c r="E4557" s="38" t="s">
        <v>5463</v>
      </c>
      <c r="F4557" s="38" t="s">
        <v>5441</v>
      </c>
      <c r="G4557" s="38">
        <v>1.0333049701519E13</v>
      </c>
      <c r="H4557" s="38" t="s">
        <v>5442</v>
      </c>
      <c r="I4557" s="38" t="s">
        <v>5443</v>
      </c>
      <c r="J4557" s="38" t="s">
        <v>196</v>
      </c>
      <c r="K4557" s="38" t="s">
        <v>63</v>
      </c>
      <c r="L4557" s="41">
        <v>46010.875</v>
      </c>
      <c r="M4557" s="38" t="s">
        <v>123</v>
      </c>
      <c r="N4557" s="41">
        <v>46011.25</v>
      </c>
      <c r="O4557" s="38" t="s">
        <v>123</v>
      </c>
      <c r="P4557" s="38">
        <v>32400.0</v>
      </c>
      <c r="Q4557" s="39"/>
      <c r="R4557" s="39"/>
      <c r="S4557" s="39"/>
      <c r="T4557" s="39"/>
      <c r="U4557" s="39"/>
    </row>
    <row r="4558">
      <c r="A4558" s="40">
        <f t="shared" si="1"/>
        <v>46006</v>
      </c>
      <c r="B4558" s="37" t="str">
        <f t="array" ref="B4558">iferror(xlookup($I4558, 'IMPORT VHC Report'!$E:$E, 'IMPORT VHC Report'!$A:$C), )</f>
        <v/>
      </c>
      <c r="C4558" s="37"/>
      <c r="D4558" s="37"/>
      <c r="E4558" s="38" t="s">
        <v>5464</v>
      </c>
      <c r="F4558" s="38" t="s">
        <v>5441</v>
      </c>
      <c r="G4558" s="38">
        <v>1.0333049701519E13</v>
      </c>
      <c r="H4558" s="38" t="s">
        <v>5442</v>
      </c>
      <c r="I4558" s="38" t="s">
        <v>5443</v>
      </c>
      <c r="J4558" s="38" t="s">
        <v>132</v>
      </c>
      <c r="K4558" s="38" t="s">
        <v>126</v>
      </c>
      <c r="L4558" s="41">
        <v>46011.0</v>
      </c>
      <c r="M4558" s="38" t="s">
        <v>123</v>
      </c>
      <c r="N4558" s="41">
        <v>46011.041666666664</v>
      </c>
      <c r="O4558" s="38" t="s">
        <v>123</v>
      </c>
      <c r="P4558" s="38">
        <v>3600.0</v>
      </c>
      <c r="Q4558" s="39"/>
      <c r="R4558" s="39"/>
      <c r="S4558" s="39"/>
      <c r="T4558" s="39"/>
      <c r="U4558" s="39"/>
    </row>
    <row r="4559">
      <c r="A4559" s="40">
        <f t="shared" si="1"/>
        <v>46006</v>
      </c>
      <c r="B4559" s="37" t="str">
        <f t="array" ref="B4559">iferror(xlookup($I4559, 'IMPORT VHC Report'!$E:$E, 'IMPORT VHC Report'!$A:$C), )</f>
        <v/>
      </c>
      <c r="C4559" s="37"/>
      <c r="D4559" s="37"/>
      <c r="E4559" s="38" t="s">
        <v>5465</v>
      </c>
      <c r="F4559" s="38" t="s">
        <v>5441</v>
      </c>
      <c r="G4559" s="38">
        <v>1.0333049701519E13</v>
      </c>
      <c r="H4559" s="38" t="s">
        <v>5442</v>
      </c>
      <c r="I4559" s="38" t="s">
        <v>5443</v>
      </c>
      <c r="J4559" s="38" t="s">
        <v>134</v>
      </c>
      <c r="K4559" s="38" t="s">
        <v>126</v>
      </c>
      <c r="L4559" s="41">
        <v>46011.145833333336</v>
      </c>
      <c r="M4559" s="38" t="s">
        <v>123</v>
      </c>
      <c r="N4559" s="41">
        <v>46011.166666666664</v>
      </c>
      <c r="O4559" s="38" t="s">
        <v>123</v>
      </c>
      <c r="P4559" s="38">
        <v>1800.0</v>
      </c>
      <c r="Q4559" s="39"/>
      <c r="R4559" s="39"/>
      <c r="S4559" s="39"/>
      <c r="T4559" s="39"/>
      <c r="U4559" s="39"/>
    </row>
    <row r="4560">
      <c r="A4560" s="40">
        <f t="shared" si="1"/>
        <v>46006</v>
      </c>
      <c r="B4560" s="37" t="str">
        <f t="array" ref="B4560">iferror(xlookup($I4560, 'IMPORT VHC Report'!$E:$E, 'IMPORT VHC Report'!$A:$C), )</f>
        <v/>
      </c>
      <c r="C4560" s="37"/>
      <c r="D4560" s="37"/>
      <c r="E4560" s="38" t="s">
        <v>5466</v>
      </c>
      <c r="F4560" s="38" t="s">
        <v>5467</v>
      </c>
      <c r="G4560" s="38">
        <v>6.839686960271E12</v>
      </c>
      <c r="H4560" s="38" t="s">
        <v>5468</v>
      </c>
      <c r="I4560" s="38" t="s">
        <v>5469</v>
      </c>
      <c r="J4560" s="38" t="s">
        <v>330</v>
      </c>
      <c r="K4560" s="38" t="s">
        <v>126</v>
      </c>
      <c r="L4560" s="41">
        <v>46006.875</v>
      </c>
      <c r="M4560" s="38" t="s">
        <v>123</v>
      </c>
      <c r="N4560" s="41">
        <v>46006.881944444445</v>
      </c>
      <c r="O4560" s="38" t="s">
        <v>123</v>
      </c>
      <c r="P4560" s="38">
        <v>600.0</v>
      </c>
      <c r="Q4560" s="39"/>
      <c r="R4560" s="39"/>
      <c r="S4560" s="39"/>
      <c r="T4560" s="39"/>
      <c r="U4560" s="39"/>
    </row>
    <row r="4561">
      <c r="A4561" s="40">
        <f t="shared" si="1"/>
        <v>46006</v>
      </c>
      <c r="B4561" s="37" t="str">
        <f t="array" ref="B4561">iferror(xlookup($I4561, 'IMPORT VHC Report'!$E:$E, 'IMPORT VHC Report'!$A:$C), )</f>
        <v/>
      </c>
      <c r="C4561" s="37"/>
      <c r="D4561" s="37"/>
      <c r="E4561" s="38" t="s">
        <v>5470</v>
      </c>
      <c r="F4561" s="38" t="s">
        <v>5467</v>
      </c>
      <c r="G4561" s="38">
        <v>6.839686960271E12</v>
      </c>
      <c r="H4561" s="38" t="s">
        <v>5468</v>
      </c>
      <c r="I4561" s="38" t="s">
        <v>5469</v>
      </c>
      <c r="J4561" s="38" t="s">
        <v>332</v>
      </c>
      <c r="K4561" s="38" t="s">
        <v>63</v>
      </c>
      <c r="L4561" s="41">
        <v>46006.875</v>
      </c>
      <c r="M4561" s="38" t="s">
        <v>123</v>
      </c>
      <c r="N4561" s="41">
        <v>46007.25</v>
      </c>
      <c r="O4561" s="38" t="s">
        <v>123</v>
      </c>
      <c r="P4561" s="38">
        <v>32400.0</v>
      </c>
      <c r="Q4561" s="39"/>
      <c r="R4561" s="39"/>
      <c r="S4561" s="39"/>
      <c r="T4561" s="39"/>
      <c r="U4561" s="39"/>
    </row>
    <row r="4562">
      <c r="A4562" s="40">
        <f t="shared" si="1"/>
        <v>46006</v>
      </c>
      <c r="B4562" s="37" t="str">
        <f t="array" ref="B4562">iferror(xlookup($I4562, 'IMPORT VHC Report'!$E:$E, 'IMPORT VHC Report'!$A:$C), )</f>
        <v/>
      </c>
      <c r="C4562" s="37"/>
      <c r="D4562" s="37"/>
      <c r="E4562" s="38" t="s">
        <v>5471</v>
      </c>
      <c r="F4562" s="38" t="s">
        <v>5467</v>
      </c>
      <c r="G4562" s="38">
        <v>6.839686960271E12</v>
      </c>
      <c r="H4562" s="38" t="s">
        <v>5468</v>
      </c>
      <c r="I4562" s="38" t="s">
        <v>5469</v>
      </c>
      <c r="J4562" s="38" t="s">
        <v>134</v>
      </c>
      <c r="K4562" s="38" t="s">
        <v>126</v>
      </c>
      <c r="L4562" s="41">
        <v>46006.979166666664</v>
      </c>
      <c r="M4562" s="38" t="s">
        <v>123</v>
      </c>
      <c r="N4562" s="41">
        <v>46007.0</v>
      </c>
      <c r="O4562" s="38" t="s">
        <v>123</v>
      </c>
      <c r="P4562" s="38">
        <v>1800.0</v>
      </c>
      <c r="Q4562" s="39"/>
      <c r="R4562" s="39"/>
      <c r="S4562" s="39"/>
      <c r="T4562" s="39"/>
      <c r="U4562" s="39"/>
    </row>
    <row r="4563">
      <c r="A4563" s="40">
        <f t="shared" si="1"/>
        <v>46006</v>
      </c>
      <c r="B4563" s="37" t="str">
        <f t="array" ref="B4563">iferror(xlookup($I4563, 'IMPORT VHC Report'!$E:$E, 'IMPORT VHC Report'!$A:$C), )</f>
        <v/>
      </c>
      <c r="C4563" s="37"/>
      <c r="D4563" s="37"/>
      <c r="E4563" s="38" t="s">
        <v>5472</v>
      </c>
      <c r="F4563" s="38" t="s">
        <v>5467</v>
      </c>
      <c r="G4563" s="38">
        <v>6.839686960271E12</v>
      </c>
      <c r="H4563" s="38" t="s">
        <v>5468</v>
      </c>
      <c r="I4563" s="38" t="s">
        <v>5469</v>
      </c>
      <c r="J4563" s="38" t="s">
        <v>152</v>
      </c>
      <c r="K4563" s="38" t="s">
        <v>153</v>
      </c>
      <c r="L4563" s="41">
        <v>46007.083333333336</v>
      </c>
      <c r="M4563" s="38" t="s">
        <v>123</v>
      </c>
      <c r="N4563" s="41">
        <v>46007.25</v>
      </c>
      <c r="O4563" s="38" t="s">
        <v>123</v>
      </c>
      <c r="P4563" s="38">
        <v>14400.0</v>
      </c>
      <c r="Q4563" s="38">
        <v>14400.0</v>
      </c>
      <c r="R4563" s="39"/>
      <c r="S4563" s="39"/>
      <c r="T4563" s="39"/>
      <c r="U4563" s="39"/>
    </row>
    <row r="4564">
      <c r="A4564" s="40">
        <f t="shared" si="1"/>
        <v>46006</v>
      </c>
      <c r="B4564" s="37" t="str">
        <f t="array" ref="B4564">iferror(xlookup($I4564, 'IMPORT VHC Report'!$E:$E, 'IMPORT VHC Report'!$A:$C), )</f>
        <v/>
      </c>
      <c r="C4564" s="37"/>
      <c r="D4564" s="37"/>
      <c r="E4564" s="38" t="s">
        <v>5473</v>
      </c>
      <c r="F4564" s="38" t="s">
        <v>5467</v>
      </c>
      <c r="G4564" s="38">
        <v>6.839686960271E12</v>
      </c>
      <c r="H4564" s="38" t="s">
        <v>5468</v>
      </c>
      <c r="I4564" s="38" t="s">
        <v>5469</v>
      </c>
      <c r="J4564" s="38" t="s">
        <v>330</v>
      </c>
      <c r="K4564" s="38" t="s">
        <v>126</v>
      </c>
      <c r="L4564" s="41">
        <v>46007.875</v>
      </c>
      <c r="M4564" s="38" t="s">
        <v>123</v>
      </c>
      <c r="N4564" s="41">
        <v>46007.881944444445</v>
      </c>
      <c r="O4564" s="38" t="s">
        <v>123</v>
      </c>
      <c r="P4564" s="38">
        <v>600.0</v>
      </c>
      <c r="Q4564" s="39"/>
      <c r="R4564" s="39"/>
      <c r="S4564" s="39"/>
      <c r="T4564" s="39"/>
      <c r="U4564" s="39"/>
    </row>
    <row r="4565">
      <c r="A4565" s="40">
        <f t="shared" si="1"/>
        <v>46006</v>
      </c>
      <c r="B4565" s="37" t="str">
        <f t="array" ref="B4565">iferror(xlookup($I4565, 'IMPORT VHC Report'!$E:$E, 'IMPORT VHC Report'!$A:$C), )</f>
        <v/>
      </c>
      <c r="C4565" s="37"/>
      <c r="D4565" s="37"/>
      <c r="E4565" s="38" t="s">
        <v>5474</v>
      </c>
      <c r="F4565" s="38" t="s">
        <v>5467</v>
      </c>
      <c r="G4565" s="38">
        <v>6.839686960271E12</v>
      </c>
      <c r="H4565" s="38" t="s">
        <v>5468</v>
      </c>
      <c r="I4565" s="38" t="s">
        <v>5469</v>
      </c>
      <c r="J4565" s="38" t="s">
        <v>332</v>
      </c>
      <c r="K4565" s="38" t="s">
        <v>63</v>
      </c>
      <c r="L4565" s="41">
        <v>46007.875</v>
      </c>
      <c r="M4565" s="38" t="s">
        <v>123</v>
      </c>
      <c r="N4565" s="41">
        <v>46008.25</v>
      </c>
      <c r="O4565" s="38" t="s">
        <v>123</v>
      </c>
      <c r="P4565" s="38">
        <v>32400.0</v>
      </c>
      <c r="Q4565" s="39"/>
      <c r="R4565" s="39"/>
      <c r="S4565" s="39"/>
      <c r="T4565" s="39"/>
      <c r="U4565" s="39"/>
    </row>
    <row r="4566">
      <c r="A4566" s="40">
        <f t="shared" si="1"/>
        <v>46006</v>
      </c>
      <c r="B4566" s="37" t="str">
        <f t="array" ref="B4566">iferror(xlookup($I4566, 'IMPORT VHC Report'!$E:$E, 'IMPORT VHC Report'!$A:$C), )</f>
        <v/>
      </c>
      <c r="C4566" s="37"/>
      <c r="D4566" s="37"/>
      <c r="E4566" s="38" t="s">
        <v>5475</v>
      </c>
      <c r="F4566" s="38" t="s">
        <v>5467</v>
      </c>
      <c r="G4566" s="38">
        <v>6.839686960271E12</v>
      </c>
      <c r="H4566" s="38" t="s">
        <v>5468</v>
      </c>
      <c r="I4566" s="38" t="s">
        <v>5469</v>
      </c>
      <c r="J4566" s="38" t="s">
        <v>132</v>
      </c>
      <c r="K4566" s="38" t="s">
        <v>126</v>
      </c>
      <c r="L4566" s="41">
        <v>46008.010416666664</v>
      </c>
      <c r="M4566" s="38" t="s">
        <v>123</v>
      </c>
      <c r="N4566" s="41">
        <v>46008.052083333336</v>
      </c>
      <c r="O4566" s="38" t="s">
        <v>123</v>
      </c>
      <c r="P4566" s="38">
        <v>3600.0</v>
      </c>
      <c r="Q4566" s="39"/>
      <c r="R4566" s="39"/>
      <c r="S4566" s="39"/>
      <c r="T4566" s="39"/>
      <c r="U4566" s="39"/>
    </row>
    <row r="4567">
      <c r="A4567" s="40">
        <f t="shared" si="1"/>
        <v>46006</v>
      </c>
      <c r="B4567" s="37" t="str">
        <f t="array" ref="B4567">iferror(xlookup($I4567, 'IMPORT VHC Report'!$E:$E, 'IMPORT VHC Report'!$A:$C), )</f>
        <v/>
      </c>
      <c r="C4567" s="37"/>
      <c r="D4567" s="37"/>
      <c r="E4567" s="38" t="s">
        <v>5476</v>
      </c>
      <c r="F4567" s="38" t="s">
        <v>5467</v>
      </c>
      <c r="G4567" s="38">
        <v>6.839686960271E12</v>
      </c>
      <c r="H4567" s="38" t="s">
        <v>5468</v>
      </c>
      <c r="I4567" s="38" t="s">
        <v>5469</v>
      </c>
      <c r="J4567" s="38" t="s">
        <v>125</v>
      </c>
      <c r="K4567" s="38" t="s">
        <v>126</v>
      </c>
      <c r="L4567" s="41">
        <v>46008.072222222225</v>
      </c>
      <c r="M4567" s="38" t="s">
        <v>123</v>
      </c>
      <c r="N4567" s="41">
        <v>46008.083333333336</v>
      </c>
      <c r="O4567" s="38" t="s">
        <v>123</v>
      </c>
      <c r="P4567" s="38">
        <v>960.0</v>
      </c>
      <c r="Q4567" s="39"/>
      <c r="R4567" s="39"/>
      <c r="S4567" s="38" t="s">
        <v>5477</v>
      </c>
      <c r="T4567" s="39"/>
      <c r="U4567" s="39"/>
    </row>
    <row r="4568">
      <c r="A4568" s="40">
        <f t="shared" si="1"/>
        <v>46006</v>
      </c>
      <c r="B4568" s="37" t="str">
        <f t="array" ref="B4568">iferror(xlookup($I4568, 'IMPORT VHC Report'!$E:$E, 'IMPORT VHC Report'!$A:$C), )</f>
        <v/>
      </c>
      <c r="C4568" s="37"/>
      <c r="D4568" s="37"/>
      <c r="E4568" s="38" t="s">
        <v>5478</v>
      </c>
      <c r="F4568" s="38" t="s">
        <v>5467</v>
      </c>
      <c r="G4568" s="38">
        <v>6.839686960271E12</v>
      </c>
      <c r="H4568" s="38" t="s">
        <v>5468</v>
      </c>
      <c r="I4568" s="38" t="s">
        <v>5469</v>
      </c>
      <c r="J4568" s="38" t="s">
        <v>134</v>
      </c>
      <c r="K4568" s="38" t="s">
        <v>126</v>
      </c>
      <c r="L4568" s="41">
        <v>46008.135416666664</v>
      </c>
      <c r="M4568" s="38" t="s">
        <v>123</v>
      </c>
      <c r="N4568" s="41">
        <v>46008.15625</v>
      </c>
      <c r="O4568" s="38" t="s">
        <v>123</v>
      </c>
      <c r="P4568" s="38">
        <v>1800.0</v>
      </c>
      <c r="Q4568" s="39"/>
      <c r="R4568" s="39"/>
      <c r="S4568" s="39"/>
      <c r="T4568" s="39"/>
      <c r="U4568" s="39"/>
    </row>
    <row r="4569">
      <c r="A4569" s="40">
        <f t="shared" si="1"/>
        <v>46006</v>
      </c>
      <c r="B4569" s="37" t="str">
        <f t="array" ref="B4569">iferror(xlookup($I4569, 'IMPORT VHC Report'!$E:$E, 'IMPORT VHC Report'!$A:$C), )</f>
        <v/>
      </c>
      <c r="C4569" s="37"/>
      <c r="D4569" s="37"/>
      <c r="E4569" s="38" t="s">
        <v>5479</v>
      </c>
      <c r="F4569" s="38" t="s">
        <v>5467</v>
      </c>
      <c r="G4569" s="38">
        <v>6.839686960271E12</v>
      </c>
      <c r="H4569" s="38" t="s">
        <v>5468</v>
      </c>
      <c r="I4569" s="38" t="s">
        <v>5469</v>
      </c>
      <c r="J4569" s="38" t="s">
        <v>330</v>
      </c>
      <c r="K4569" s="38" t="s">
        <v>126</v>
      </c>
      <c r="L4569" s="41">
        <v>46008.875</v>
      </c>
      <c r="M4569" s="38" t="s">
        <v>123</v>
      </c>
      <c r="N4569" s="41">
        <v>46008.881944444445</v>
      </c>
      <c r="O4569" s="38" t="s">
        <v>123</v>
      </c>
      <c r="P4569" s="38">
        <v>600.0</v>
      </c>
      <c r="Q4569" s="39"/>
      <c r="R4569" s="39"/>
      <c r="S4569" s="39"/>
      <c r="T4569" s="39"/>
      <c r="U4569" s="39"/>
    </row>
    <row r="4570">
      <c r="A4570" s="40">
        <f t="shared" si="1"/>
        <v>46006</v>
      </c>
      <c r="B4570" s="37" t="str">
        <f t="array" ref="B4570">iferror(xlookup($I4570, 'IMPORT VHC Report'!$E:$E, 'IMPORT VHC Report'!$A:$C), )</f>
        <v/>
      </c>
      <c r="C4570" s="37"/>
      <c r="D4570" s="37"/>
      <c r="E4570" s="38" t="s">
        <v>5480</v>
      </c>
      <c r="F4570" s="38" t="s">
        <v>5467</v>
      </c>
      <c r="G4570" s="38">
        <v>6.839686960271E12</v>
      </c>
      <c r="H4570" s="38" t="s">
        <v>5468</v>
      </c>
      <c r="I4570" s="38" t="s">
        <v>5469</v>
      </c>
      <c r="J4570" s="38" t="s">
        <v>332</v>
      </c>
      <c r="K4570" s="38" t="s">
        <v>63</v>
      </c>
      <c r="L4570" s="41">
        <v>46008.875</v>
      </c>
      <c r="M4570" s="38" t="s">
        <v>123</v>
      </c>
      <c r="N4570" s="41">
        <v>46009.25</v>
      </c>
      <c r="O4570" s="38" t="s">
        <v>123</v>
      </c>
      <c r="P4570" s="38">
        <v>32400.0</v>
      </c>
      <c r="Q4570" s="39"/>
      <c r="R4570" s="39"/>
      <c r="S4570" s="39"/>
      <c r="T4570" s="39"/>
      <c r="U4570" s="39"/>
    </row>
    <row r="4571">
      <c r="A4571" s="40">
        <f t="shared" si="1"/>
        <v>46006</v>
      </c>
      <c r="B4571" s="37" t="str">
        <f t="array" ref="B4571">iferror(xlookup($I4571, 'IMPORT VHC Report'!$E:$E, 'IMPORT VHC Report'!$A:$C), )</f>
        <v/>
      </c>
      <c r="C4571" s="37"/>
      <c r="D4571" s="37"/>
      <c r="E4571" s="38" t="s">
        <v>5481</v>
      </c>
      <c r="F4571" s="38" t="s">
        <v>5467</v>
      </c>
      <c r="G4571" s="38">
        <v>6.839686960271E12</v>
      </c>
      <c r="H4571" s="38" t="s">
        <v>5468</v>
      </c>
      <c r="I4571" s="38" t="s">
        <v>5469</v>
      </c>
      <c r="J4571" s="38" t="s">
        <v>136</v>
      </c>
      <c r="K4571" s="38" t="s">
        <v>126</v>
      </c>
      <c r="L4571" s="41">
        <v>46008.916666666664</v>
      </c>
      <c r="M4571" s="38" t="s">
        <v>123</v>
      </c>
      <c r="N4571" s="41">
        <v>46008.958333333336</v>
      </c>
      <c r="O4571" s="38" t="s">
        <v>123</v>
      </c>
      <c r="P4571" s="38">
        <v>3600.0</v>
      </c>
      <c r="Q4571" s="39"/>
      <c r="R4571" s="39"/>
      <c r="S4571" s="38" t="s">
        <v>137</v>
      </c>
      <c r="T4571" s="39"/>
      <c r="U4571" s="39"/>
    </row>
    <row r="4572">
      <c r="A4572" s="40">
        <f t="shared" si="1"/>
        <v>46006</v>
      </c>
      <c r="B4572" s="37" t="str">
        <f t="array" ref="B4572">iferror(xlookup($I4572, 'IMPORT VHC Report'!$E:$E, 'IMPORT VHC Report'!$A:$C), )</f>
        <v/>
      </c>
      <c r="C4572" s="37"/>
      <c r="D4572" s="37"/>
      <c r="E4572" s="38" t="s">
        <v>5482</v>
      </c>
      <c r="F4572" s="38" t="s">
        <v>5467</v>
      </c>
      <c r="G4572" s="38">
        <v>6.839686960271E12</v>
      </c>
      <c r="H4572" s="38" t="s">
        <v>5468</v>
      </c>
      <c r="I4572" s="38" t="s">
        <v>5469</v>
      </c>
      <c r="J4572" s="38" t="s">
        <v>132</v>
      </c>
      <c r="K4572" s="38" t="s">
        <v>126</v>
      </c>
      <c r="L4572" s="41">
        <v>46008.979166666664</v>
      </c>
      <c r="M4572" s="38" t="s">
        <v>123</v>
      </c>
      <c r="N4572" s="41">
        <v>46009.020833333336</v>
      </c>
      <c r="O4572" s="38" t="s">
        <v>123</v>
      </c>
      <c r="P4572" s="38">
        <v>3600.0</v>
      </c>
      <c r="Q4572" s="39"/>
      <c r="R4572" s="39"/>
      <c r="S4572" s="39"/>
      <c r="T4572" s="39"/>
      <c r="U4572" s="39"/>
    </row>
    <row r="4573">
      <c r="A4573" s="40">
        <f t="shared" si="1"/>
        <v>46006</v>
      </c>
      <c r="B4573" s="37" t="str">
        <f t="array" ref="B4573">iferror(xlookup($I4573, 'IMPORT VHC Report'!$E:$E, 'IMPORT VHC Report'!$A:$C), )</f>
        <v/>
      </c>
      <c r="C4573" s="37"/>
      <c r="D4573" s="37"/>
      <c r="E4573" s="38" t="s">
        <v>5483</v>
      </c>
      <c r="F4573" s="38" t="s">
        <v>5467</v>
      </c>
      <c r="G4573" s="38">
        <v>6.839686960271E12</v>
      </c>
      <c r="H4573" s="38" t="s">
        <v>5468</v>
      </c>
      <c r="I4573" s="38" t="s">
        <v>5469</v>
      </c>
      <c r="J4573" s="38" t="s">
        <v>134</v>
      </c>
      <c r="K4573" s="38" t="s">
        <v>126</v>
      </c>
      <c r="L4573" s="41">
        <v>46009.145833333336</v>
      </c>
      <c r="M4573" s="38" t="s">
        <v>123</v>
      </c>
      <c r="N4573" s="41">
        <v>46009.166666666664</v>
      </c>
      <c r="O4573" s="38" t="s">
        <v>123</v>
      </c>
      <c r="P4573" s="38">
        <v>1800.0</v>
      </c>
      <c r="Q4573" s="39"/>
      <c r="R4573" s="39"/>
      <c r="S4573" s="39"/>
      <c r="T4573" s="39"/>
      <c r="U4573" s="39"/>
    </row>
    <row r="4574">
      <c r="A4574" s="40">
        <f t="shared" si="1"/>
        <v>46006</v>
      </c>
      <c r="B4574" s="37" t="str">
        <f t="array" ref="B4574">iferror(xlookup($I4574, 'IMPORT VHC Report'!$E:$E, 'IMPORT VHC Report'!$A:$C), )</f>
        <v/>
      </c>
      <c r="C4574" s="37"/>
      <c r="D4574" s="37"/>
      <c r="E4574" s="38" t="s">
        <v>5484</v>
      </c>
      <c r="F4574" s="38" t="s">
        <v>5467</v>
      </c>
      <c r="G4574" s="38">
        <v>6.839686960271E12</v>
      </c>
      <c r="H4574" s="38" t="s">
        <v>5468</v>
      </c>
      <c r="I4574" s="38" t="s">
        <v>5469</v>
      </c>
      <c r="J4574" s="38" t="s">
        <v>330</v>
      </c>
      <c r="K4574" s="38" t="s">
        <v>126</v>
      </c>
      <c r="L4574" s="41">
        <v>46009.875</v>
      </c>
      <c r="M4574" s="38" t="s">
        <v>123</v>
      </c>
      <c r="N4574" s="41">
        <v>46009.881944444445</v>
      </c>
      <c r="O4574" s="38" t="s">
        <v>123</v>
      </c>
      <c r="P4574" s="38">
        <v>600.0</v>
      </c>
      <c r="Q4574" s="39"/>
      <c r="R4574" s="39"/>
      <c r="S4574" s="39"/>
      <c r="T4574" s="39"/>
      <c r="U4574" s="39"/>
    </row>
    <row r="4575">
      <c r="A4575" s="40">
        <f t="shared" si="1"/>
        <v>46006</v>
      </c>
      <c r="B4575" s="37" t="str">
        <f t="array" ref="B4575">iferror(xlookup($I4575, 'IMPORT VHC Report'!$E:$E, 'IMPORT VHC Report'!$A:$C), )</f>
        <v/>
      </c>
      <c r="C4575" s="37"/>
      <c r="D4575" s="37"/>
      <c r="E4575" s="38" t="s">
        <v>5485</v>
      </c>
      <c r="F4575" s="38" t="s">
        <v>5467</v>
      </c>
      <c r="G4575" s="38">
        <v>6.839686960271E12</v>
      </c>
      <c r="H4575" s="38" t="s">
        <v>5468</v>
      </c>
      <c r="I4575" s="38" t="s">
        <v>5469</v>
      </c>
      <c r="J4575" s="38" t="s">
        <v>332</v>
      </c>
      <c r="K4575" s="38" t="s">
        <v>63</v>
      </c>
      <c r="L4575" s="41">
        <v>46009.875</v>
      </c>
      <c r="M4575" s="38" t="s">
        <v>123</v>
      </c>
      <c r="N4575" s="41">
        <v>46010.25</v>
      </c>
      <c r="O4575" s="38" t="s">
        <v>123</v>
      </c>
      <c r="P4575" s="38">
        <v>32400.0</v>
      </c>
      <c r="Q4575" s="39"/>
      <c r="R4575" s="39"/>
      <c r="S4575" s="39"/>
      <c r="T4575" s="39"/>
      <c r="U4575" s="39"/>
    </row>
    <row r="4576">
      <c r="A4576" s="40">
        <f t="shared" si="1"/>
        <v>46006</v>
      </c>
      <c r="B4576" s="37" t="str">
        <f t="array" ref="B4576">iferror(xlookup($I4576, 'IMPORT VHC Report'!$E:$E, 'IMPORT VHC Report'!$A:$C), )</f>
        <v/>
      </c>
      <c r="C4576" s="37"/>
      <c r="D4576" s="37"/>
      <c r="E4576" s="38" t="s">
        <v>5486</v>
      </c>
      <c r="F4576" s="38" t="s">
        <v>5467</v>
      </c>
      <c r="G4576" s="38">
        <v>6.839686960271E12</v>
      </c>
      <c r="H4576" s="38" t="s">
        <v>5468</v>
      </c>
      <c r="I4576" s="38" t="s">
        <v>5469</v>
      </c>
      <c r="J4576" s="38" t="s">
        <v>134</v>
      </c>
      <c r="K4576" s="38" t="s">
        <v>126</v>
      </c>
      <c r="L4576" s="41">
        <v>46009.989583333336</v>
      </c>
      <c r="M4576" s="38" t="s">
        <v>123</v>
      </c>
      <c r="N4576" s="41">
        <v>46010.010416666664</v>
      </c>
      <c r="O4576" s="38" t="s">
        <v>123</v>
      </c>
      <c r="P4576" s="38">
        <v>1800.0</v>
      </c>
      <c r="Q4576" s="39"/>
      <c r="R4576" s="39"/>
      <c r="S4576" s="39"/>
      <c r="T4576" s="39"/>
      <c r="U4576" s="39"/>
    </row>
    <row r="4577">
      <c r="A4577" s="40">
        <f t="shared" si="1"/>
        <v>46006</v>
      </c>
      <c r="B4577" s="37" t="str">
        <f t="array" ref="B4577">iferror(xlookup($I4577, 'IMPORT VHC Report'!$E:$E, 'IMPORT VHC Report'!$A:$C), )</f>
        <v/>
      </c>
      <c r="C4577" s="37"/>
      <c r="D4577" s="37"/>
      <c r="E4577" s="38" t="s">
        <v>5487</v>
      </c>
      <c r="F4577" s="38" t="s">
        <v>5467</v>
      </c>
      <c r="G4577" s="38">
        <v>6.839686960271E12</v>
      </c>
      <c r="H4577" s="38" t="s">
        <v>5468</v>
      </c>
      <c r="I4577" s="38" t="s">
        <v>5469</v>
      </c>
      <c r="J4577" s="38" t="s">
        <v>132</v>
      </c>
      <c r="K4577" s="38" t="s">
        <v>126</v>
      </c>
      <c r="L4577" s="41">
        <v>46010.145833333336</v>
      </c>
      <c r="M4577" s="38" t="s">
        <v>123</v>
      </c>
      <c r="N4577" s="41">
        <v>46010.1875</v>
      </c>
      <c r="O4577" s="38" t="s">
        <v>123</v>
      </c>
      <c r="P4577" s="38">
        <v>3600.0</v>
      </c>
      <c r="Q4577" s="39"/>
      <c r="R4577" s="39"/>
      <c r="S4577" s="39"/>
      <c r="T4577" s="39"/>
      <c r="U4577" s="39"/>
    </row>
    <row r="4578">
      <c r="A4578" s="40">
        <f t="shared" si="1"/>
        <v>46006</v>
      </c>
      <c r="B4578" s="37" t="str">
        <f t="array" ref="B4578">iferror(xlookup($I4578, 'IMPORT VHC Report'!$E:$E, 'IMPORT VHC Report'!$A:$C), )</f>
        <v/>
      </c>
      <c r="C4578" s="37"/>
      <c r="D4578" s="37"/>
      <c r="E4578" s="38" t="s">
        <v>5488</v>
      </c>
      <c r="F4578" s="38" t="s">
        <v>5467</v>
      </c>
      <c r="G4578" s="38">
        <v>6.839686960271E12</v>
      </c>
      <c r="H4578" s="38" t="s">
        <v>5468</v>
      </c>
      <c r="I4578" s="38" t="s">
        <v>5469</v>
      </c>
      <c r="J4578" s="38" t="s">
        <v>330</v>
      </c>
      <c r="K4578" s="38" t="s">
        <v>126</v>
      </c>
      <c r="L4578" s="41">
        <v>46010.875</v>
      </c>
      <c r="M4578" s="38" t="s">
        <v>123</v>
      </c>
      <c r="N4578" s="41">
        <v>46010.881944444445</v>
      </c>
      <c r="O4578" s="38" t="s">
        <v>123</v>
      </c>
      <c r="P4578" s="38">
        <v>600.0</v>
      </c>
      <c r="Q4578" s="39"/>
      <c r="R4578" s="39"/>
      <c r="S4578" s="39"/>
      <c r="T4578" s="39"/>
      <c r="U4578" s="39"/>
    </row>
    <row r="4579">
      <c r="A4579" s="40">
        <f t="shared" si="1"/>
        <v>46006</v>
      </c>
      <c r="B4579" s="37" t="str">
        <f t="array" ref="B4579">iferror(xlookup($I4579, 'IMPORT VHC Report'!$E:$E, 'IMPORT VHC Report'!$A:$C), )</f>
        <v/>
      </c>
      <c r="C4579" s="37"/>
      <c r="D4579" s="37"/>
      <c r="E4579" s="38" t="s">
        <v>5489</v>
      </c>
      <c r="F4579" s="38" t="s">
        <v>5467</v>
      </c>
      <c r="G4579" s="38">
        <v>6.839686960271E12</v>
      </c>
      <c r="H4579" s="38" t="s">
        <v>5468</v>
      </c>
      <c r="I4579" s="38" t="s">
        <v>5469</v>
      </c>
      <c r="J4579" s="38" t="s">
        <v>332</v>
      </c>
      <c r="K4579" s="38" t="s">
        <v>63</v>
      </c>
      <c r="L4579" s="41">
        <v>46010.875</v>
      </c>
      <c r="M4579" s="38" t="s">
        <v>123</v>
      </c>
      <c r="N4579" s="41">
        <v>46011.25</v>
      </c>
      <c r="O4579" s="38" t="s">
        <v>123</v>
      </c>
      <c r="P4579" s="38">
        <v>32400.0</v>
      </c>
      <c r="Q4579" s="39"/>
      <c r="R4579" s="39"/>
      <c r="S4579" s="39"/>
      <c r="T4579" s="39"/>
      <c r="U4579" s="39"/>
    </row>
    <row r="4580">
      <c r="A4580" s="40">
        <f t="shared" si="1"/>
        <v>46006</v>
      </c>
      <c r="B4580" s="37" t="str">
        <f t="array" ref="B4580">iferror(xlookup($I4580, 'IMPORT VHC Report'!$E:$E, 'IMPORT VHC Report'!$A:$C), )</f>
        <v/>
      </c>
      <c r="C4580" s="37"/>
      <c r="D4580" s="37"/>
      <c r="E4580" s="38" t="s">
        <v>5490</v>
      </c>
      <c r="F4580" s="38" t="s">
        <v>5467</v>
      </c>
      <c r="G4580" s="38">
        <v>6.839686960271E12</v>
      </c>
      <c r="H4580" s="38" t="s">
        <v>5468</v>
      </c>
      <c r="I4580" s="38" t="s">
        <v>5469</v>
      </c>
      <c r="J4580" s="38" t="s">
        <v>134</v>
      </c>
      <c r="K4580" s="38" t="s">
        <v>126</v>
      </c>
      <c r="L4580" s="41">
        <v>46010.96875</v>
      </c>
      <c r="M4580" s="38" t="s">
        <v>123</v>
      </c>
      <c r="N4580" s="41">
        <v>46010.989583333336</v>
      </c>
      <c r="O4580" s="38" t="s">
        <v>123</v>
      </c>
      <c r="P4580" s="38">
        <v>1800.0</v>
      </c>
      <c r="Q4580" s="39"/>
      <c r="R4580" s="39"/>
      <c r="S4580" s="39"/>
      <c r="T4580" s="39"/>
      <c r="U4580" s="39"/>
    </row>
    <row r="4581">
      <c r="A4581" s="40">
        <f t="shared" si="1"/>
        <v>46006</v>
      </c>
      <c r="B4581" s="37" t="str">
        <f t="array" ref="B4581">iferror(xlookup($I4581, 'IMPORT VHC Report'!$E:$E, 'IMPORT VHC Report'!$A:$C), )</f>
        <v/>
      </c>
      <c r="C4581" s="37"/>
      <c r="D4581" s="37"/>
      <c r="E4581" s="38" t="s">
        <v>5491</v>
      </c>
      <c r="F4581" s="38" t="s">
        <v>5467</v>
      </c>
      <c r="G4581" s="38">
        <v>6.839686960271E12</v>
      </c>
      <c r="H4581" s="38" t="s">
        <v>5468</v>
      </c>
      <c r="I4581" s="38" t="s">
        <v>5469</v>
      </c>
      <c r="J4581" s="38" t="s">
        <v>330</v>
      </c>
      <c r="K4581" s="38" t="s">
        <v>126</v>
      </c>
      <c r="L4581" s="41">
        <v>46011.0</v>
      </c>
      <c r="M4581" s="38" t="s">
        <v>123</v>
      </c>
      <c r="N4581" s="41">
        <v>46011.041666666664</v>
      </c>
      <c r="O4581" s="38" t="s">
        <v>123</v>
      </c>
      <c r="P4581" s="38">
        <v>3600.0</v>
      </c>
      <c r="Q4581" s="39"/>
      <c r="R4581" s="39"/>
      <c r="S4581" s="39"/>
      <c r="T4581" s="39"/>
      <c r="U4581" s="39"/>
    </row>
    <row r="4582">
      <c r="A4582" s="40">
        <f t="shared" si="1"/>
        <v>46006</v>
      </c>
      <c r="B4582" s="37" t="str">
        <f t="array" ref="B4582">iferror(xlookup($I4582, 'IMPORT VHC Report'!$E:$E, 'IMPORT VHC Report'!$A:$C), )</f>
        <v/>
      </c>
      <c r="C4582" s="37"/>
      <c r="D4582" s="37"/>
      <c r="E4582" s="38" t="s">
        <v>5492</v>
      </c>
      <c r="F4582" s="38" t="s">
        <v>5467</v>
      </c>
      <c r="G4582" s="38">
        <v>6.839686960271E12</v>
      </c>
      <c r="H4582" s="38" t="s">
        <v>5468</v>
      </c>
      <c r="I4582" s="38" t="s">
        <v>5469</v>
      </c>
      <c r="J4582" s="38" t="s">
        <v>132</v>
      </c>
      <c r="K4582" s="38" t="s">
        <v>126</v>
      </c>
      <c r="L4582" s="41">
        <v>46011.083333333336</v>
      </c>
      <c r="M4582" s="38" t="s">
        <v>123</v>
      </c>
      <c r="N4582" s="41">
        <v>46011.125</v>
      </c>
      <c r="O4582" s="38" t="s">
        <v>123</v>
      </c>
      <c r="P4582" s="38">
        <v>3600.0</v>
      </c>
      <c r="Q4582" s="39"/>
      <c r="R4582" s="39"/>
      <c r="S4582" s="39"/>
      <c r="T4582" s="39"/>
      <c r="U4582" s="39"/>
    </row>
    <row r="4583">
      <c r="A4583" s="40">
        <f t="shared" si="1"/>
        <v>46006</v>
      </c>
      <c r="B4583" s="37" t="str">
        <f t="array" ref="B4583">iferror(xlookup($I4583, 'IMPORT VHC Report'!$E:$E, 'IMPORT VHC Report'!$A:$C), )</f>
        <v/>
      </c>
      <c r="C4583" s="37"/>
      <c r="D4583" s="37"/>
      <c r="E4583" s="38" t="s">
        <v>5493</v>
      </c>
      <c r="F4583" s="38" t="s">
        <v>5467</v>
      </c>
      <c r="G4583" s="38">
        <v>6.839686960271E12</v>
      </c>
      <c r="H4583" s="38" t="s">
        <v>5468</v>
      </c>
      <c r="I4583" s="38" t="s">
        <v>5469</v>
      </c>
      <c r="J4583" s="38" t="s">
        <v>4</v>
      </c>
      <c r="K4583" s="38" t="s">
        <v>126</v>
      </c>
      <c r="L4583" s="41">
        <v>46011.125</v>
      </c>
      <c r="M4583" s="38" t="s">
        <v>123</v>
      </c>
      <c r="N4583" s="41">
        <v>46011.166666666664</v>
      </c>
      <c r="O4583" s="38" t="s">
        <v>123</v>
      </c>
      <c r="P4583" s="38">
        <v>3600.0</v>
      </c>
      <c r="Q4583" s="39"/>
      <c r="R4583" s="39"/>
      <c r="S4583" s="39"/>
      <c r="T4583" s="39"/>
      <c r="U4583" s="39"/>
    </row>
    <row r="4584">
      <c r="A4584" s="40">
        <f t="shared" si="1"/>
        <v>46006</v>
      </c>
      <c r="B4584" s="37" t="str">
        <f t="array" ref="B4584">iferror(xlookup($I4584, 'IMPORT VHC Report'!$E:$E, 'IMPORT VHC Report'!$A:$C), )</f>
        <v/>
      </c>
      <c r="C4584" s="37"/>
      <c r="D4584" s="37"/>
      <c r="E4584" s="38" t="s">
        <v>5494</v>
      </c>
      <c r="F4584" s="38" t="s">
        <v>5467</v>
      </c>
      <c r="G4584" s="38">
        <v>6.839686960271E12</v>
      </c>
      <c r="H4584" s="38" t="s">
        <v>5468</v>
      </c>
      <c r="I4584" s="38" t="s">
        <v>5469</v>
      </c>
      <c r="J4584" s="38" t="s">
        <v>125</v>
      </c>
      <c r="K4584" s="38" t="s">
        <v>126</v>
      </c>
      <c r="L4584" s="41">
        <v>46011.17847222222</v>
      </c>
      <c r="M4584" s="38" t="s">
        <v>123</v>
      </c>
      <c r="N4584" s="41">
        <v>46011.21597222222</v>
      </c>
      <c r="O4584" s="38" t="s">
        <v>123</v>
      </c>
      <c r="P4584" s="38">
        <v>3240.0</v>
      </c>
      <c r="Q4584" s="39"/>
      <c r="R4584" s="39"/>
      <c r="S4584" s="38" t="s">
        <v>5495</v>
      </c>
      <c r="T4584" s="39"/>
      <c r="U4584" s="39"/>
    </row>
    <row r="4585">
      <c r="A4585" s="40">
        <f t="shared" si="1"/>
        <v>46006</v>
      </c>
      <c r="B4585" s="37" t="str">
        <f t="array" ref="B4585">iferror(xlookup($I4585, 'IMPORT VHC Report'!$E:$E, 'IMPORT VHC Report'!$A:$C), )</f>
        <v/>
      </c>
      <c r="C4585" s="37"/>
      <c r="D4585" s="37"/>
      <c r="E4585" s="38" t="s">
        <v>5496</v>
      </c>
      <c r="F4585" s="38" t="s">
        <v>5497</v>
      </c>
      <c r="G4585" s="38">
        <v>3.61861297995E11</v>
      </c>
      <c r="H4585" s="38" t="s">
        <v>5498</v>
      </c>
      <c r="I4585" s="38" t="s">
        <v>5499</v>
      </c>
      <c r="J4585" s="38" t="s">
        <v>224</v>
      </c>
      <c r="K4585" s="38" t="s">
        <v>63</v>
      </c>
      <c r="L4585" s="41">
        <v>46006.875</v>
      </c>
      <c r="M4585" s="38" t="s">
        <v>123</v>
      </c>
      <c r="N4585" s="41">
        <v>46006.958333333336</v>
      </c>
      <c r="O4585" s="38" t="s">
        <v>123</v>
      </c>
      <c r="P4585" s="38">
        <v>7200.0</v>
      </c>
      <c r="Q4585" s="39"/>
      <c r="R4585" s="39"/>
      <c r="S4585" s="39"/>
      <c r="T4585" s="39"/>
      <c r="U4585" s="39"/>
    </row>
    <row r="4586">
      <c r="A4586" s="40">
        <f t="shared" si="1"/>
        <v>46006</v>
      </c>
      <c r="B4586" s="37" t="str">
        <f t="array" ref="B4586">iferror(xlookup($I4586, 'IMPORT VHC Report'!$E:$E, 'IMPORT VHC Report'!$A:$C), )</f>
        <v/>
      </c>
      <c r="C4586" s="37"/>
      <c r="D4586" s="37"/>
      <c r="E4586" s="38" t="s">
        <v>5500</v>
      </c>
      <c r="F4586" s="38" t="s">
        <v>5497</v>
      </c>
      <c r="G4586" s="38">
        <v>3.61861297995E11</v>
      </c>
      <c r="H4586" s="38" t="s">
        <v>5498</v>
      </c>
      <c r="I4586" s="38" t="s">
        <v>5499</v>
      </c>
      <c r="J4586" s="38" t="s">
        <v>178</v>
      </c>
      <c r="K4586" s="38" t="s">
        <v>153</v>
      </c>
      <c r="L4586" s="41">
        <v>46006.875</v>
      </c>
      <c r="M4586" s="38" t="s">
        <v>123</v>
      </c>
      <c r="N4586" s="41">
        <v>46007.25</v>
      </c>
      <c r="O4586" s="38" t="s">
        <v>123</v>
      </c>
      <c r="P4586" s="38">
        <v>32400.0</v>
      </c>
      <c r="Q4586" s="38">
        <v>32400.0</v>
      </c>
      <c r="R4586" s="39"/>
      <c r="S4586" s="39"/>
      <c r="T4586" s="39"/>
      <c r="U4586" s="39"/>
    </row>
    <row r="4587">
      <c r="A4587" s="40">
        <f t="shared" si="1"/>
        <v>46006</v>
      </c>
      <c r="B4587" s="37" t="str">
        <f t="array" ref="B4587">iferror(xlookup($I4587, 'IMPORT VHC Report'!$E:$E, 'IMPORT VHC Report'!$A:$C), )</f>
        <v/>
      </c>
      <c r="C4587" s="37"/>
      <c r="D4587" s="37"/>
      <c r="E4587" s="38" t="s">
        <v>5501</v>
      </c>
      <c r="F4587" s="38" t="s">
        <v>5497</v>
      </c>
      <c r="G4587" s="38">
        <v>3.61861297995E11</v>
      </c>
      <c r="H4587" s="38" t="s">
        <v>5498</v>
      </c>
      <c r="I4587" s="38" t="s">
        <v>5499</v>
      </c>
      <c r="J4587" s="38" t="s">
        <v>134</v>
      </c>
      <c r="K4587" s="38" t="s">
        <v>126</v>
      </c>
      <c r="L4587" s="41">
        <v>46006.958333333336</v>
      </c>
      <c r="M4587" s="38" t="s">
        <v>123</v>
      </c>
      <c r="N4587" s="41">
        <v>46006.979166666664</v>
      </c>
      <c r="O4587" s="38" t="s">
        <v>123</v>
      </c>
      <c r="P4587" s="38">
        <v>1800.0</v>
      </c>
      <c r="Q4587" s="39"/>
      <c r="R4587" s="39"/>
      <c r="S4587" s="39"/>
      <c r="T4587" s="39"/>
      <c r="U4587" s="39"/>
    </row>
    <row r="4588">
      <c r="A4588" s="40">
        <f t="shared" si="1"/>
        <v>46006</v>
      </c>
      <c r="B4588" s="37" t="str">
        <f t="array" ref="B4588">iferror(xlookup($I4588, 'IMPORT VHC Report'!$E:$E, 'IMPORT VHC Report'!$A:$C), )</f>
        <v/>
      </c>
      <c r="C4588" s="37"/>
      <c r="D4588" s="37"/>
      <c r="E4588" s="38" t="s">
        <v>5502</v>
      </c>
      <c r="F4588" s="38" t="s">
        <v>5497</v>
      </c>
      <c r="G4588" s="38">
        <v>3.61861297995E11</v>
      </c>
      <c r="H4588" s="38" t="s">
        <v>5498</v>
      </c>
      <c r="I4588" s="38" t="s">
        <v>5499</v>
      </c>
      <c r="J4588" s="38" t="s">
        <v>224</v>
      </c>
      <c r="K4588" s="38" t="s">
        <v>63</v>
      </c>
      <c r="L4588" s="41">
        <v>46006.979166666664</v>
      </c>
      <c r="M4588" s="38" t="s">
        <v>123</v>
      </c>
      <c r="N4588" s="41">
        <v>46007.125</v>
      </c>
      <c r="O4588" s="38" t="s">
        <v>123</v>
      </c>
      <c r="P4588" s="38">
        <v>12600.0</v>
      </c>
      <c r="Q4588" s="39"/>
      <c r="R4588" s="39"/>
      <c r="S4588" s="39"/>
      <c r="T4588" s="39"/>
      <c r="U4588" s="39"/>
    </row>
    <row r="4589">
      <c r="A4589" s="40">
        <f t="shared" si="1"/>
        <v>46006</v>
      </c>
      <c r="B4589" s="37" t="str">
        <f t="array" ref="B4589">iferror(xlookup($I4589, 'IMPORT VHC Report'!$E:$E, 'IMPORT VHC Report'!$A:$C), )</f>
        <v/>
      </c>
      <c r="C4589" s="37"/>
      <c r="D4589" s="37"/>
      <c r="E4589" s="38" t="s">
        <v>5503</v>
      </c>
      <c r="F4589" s="38" t="s">
        <v>5497</v>
      </c>
      <c r="G4589" s="38">
        <v>3.61861297995E11</v>
      </c>
      <c r="H4589" s="38" t="s">
        <v>5498</v>
      </c>
      <c r="I4589" s="38" t="s">
        <v>5499</v>
      </c>
      <c r="J4589" s="38" t="s">
        <v>132</v>
      </c>
      <c r="K4589" s="38" t="s">
        <v>126</v>
      </c>
      <c r="L4589" s="41">
        <v>46007.125</v>
      </c>
      <c r="M4589" s="38" t="s">
        <v>123</v>
      </c>
      <c r="N4589" s="41">
        <v>46007.166666666664</v>
      </c>
      <c r="O4589" s="38" t="s">
        <v>123</v>
      </c>
      <c r="P4589" s="38">
        <v>3600.0</v>
      </c>
      <c r="Q4589" s="39"/>
      <c r="R4589" s="39"/>
      <c r="S4589" s="39"/>
      <c r="T4589" s="39"/>
      <c r="U4589" s="39"/>
    </row>
    <row r="4590">
      <c r="A4590" s="40">
        <f t="shared" si="1"/>
        <v>46006</v>
      </c>
      <c r="B4590" s="37" t="str">
        <f t="array" ref="B4590">iferror(xlookup($I4590, 'IMPORT VHC Report'!$E:$E, 'IMPORT VHC Report'!$A:$C), )</f>
        <v/>
      </c>
      <c r="C4590" s="37"/>
      <c r="D4590" s="37"/>
      <c r="E4590" s="38" t="s">
        <v>5504</v>
      </c>
      <c r="F4590" s="38" t="s">
        <v>5497</v>
      </c>
      <c r="G4590" s="38">
        <v>3.61861297995E11</v>
      </c>
      <c r="H4590" s="38" t="s">
        <v>5498</v>
      </c>
      <c r="I4590" s="38" t="s">
        <v>5499</v>
      </c>
      <c r="J4590" s="38" t="s">
        <v>136</v>
      </c>
      <c r="K4590" s="38" t="s">
        <v>126</v>
      </c>
      <c r="L4590" s="41">
        <v>46007.166666666664</v>
      </c>
      <c r="M4590" s="38" t="s">
        <v>123</v>
      </c>
      <c r="N4590" s="41">
        <v>46007.177083333336</v>
      </c>
      <c r="O4590" s="38" t="s">
        <v>123</v>
      </c>
      <c r="P4590" s="38">
        <v>900.0</v>
      </c>
      <c r="Q4590" s="39"/>
      <c r="R4590" s="39"/>
      <c r="S4590" s="38" t="s">
        <v>1846</v>
      </c>
      <c r="T4590" s="39"/>
      <c r="U4590" s="39"/>
    </row>
    <row r="4591">
      <c r="A4591" s="40">
        <f t="shared" si="1"/>
        <v>46006</v>
      </c>
      <c r="B4591" s="37" t="str">
        <f t="array" ref="B4591">iferror(xlookup($I4591, 'IMPORT VHC Report'!$E:$E, 'IMPORT VHC Report'!$A:$C), )</f>
        <v/>
      </c>
      <c r="C4591" s="37"/>
      <c r="D4591" s="37"/>
      <c r="E4591" s="38" t="s">
        <v>5505</v>
      </c>
      <c r="F4591" s="38" t="s">
        <v>5497</v>
      </c>
      <c r="G4591" s="38">
        <v>3.61861297995E11</v>
      </c>
      <c r="H4591" s="38" t="s">
        <v>5498</v>
      </c>
      <c r="I4591" s="38" t="s">
        <v>5499</v>
      </c>
      <c r="J4591" s="38" t="s">
        <v>224</v>
      </c>
      <c r="K4591" s="38" t="s">
        <v>63</v>
      </c>
      <c r="L4591" s="41">
        <v>46007.177083333336</v>
      </c>
      <c r="M4591" s="38" t="s">
        <v>123</v>
      </c>
      <c r="N4591" s="41">
        <v>46007.229166666664</v>
      </c>
      <c r="O4591" s="38" t="s">
        <v>123</v>
      </c>
      <c r="P4591" s="38">
        <v>4500.0</v>
      </c>
      <c r="Q4591" s="39"/>
      <c r="R4591" s="39"/>
      <c r="S4591" s="39"/>
      <c r="T4591" s="39"/>
      <c r="U4591" s="39"/>
    </row>
    <row r="4592">
      <c r="A4592" s="40">
        <f t="shared" si="1"/>
        <v>46006</v>
      </c>
      <c r="B4592" s="37" t="str">
        <f t="array" ref="B4592">iferror(xlookup($I4592, 'IMPORT VHC Report'!$E:$E, 'IMPORT VHC Report'!$A:$C), )</f>
        <v/>
      </c>
      <c r="C4592" s="37"/>
      <c r="D4592" s="37"/>
      <c r="E4592" s="38" t="s">
        <v>5506</v>
      </c>
      <c r="F4592" s="38" t="s">
        <v>5497</v>
      </c>
      <c r="G4592" s="38">
        <v>3.61861297995E11</v>
      </c>
      <c r="H4592" s="38" t="s">
        <v>5498</v>
      </c>
      <c r="I4592" s="38" t="s">
        <v>5499</v>
      </c>
      <c r="J4592" s="38" t="s">
        <v>330</v>
      </c>
      <c r="K4592" s="38" t="s">
        <v>126</v>
      </c>
      <c r="L4592" s="41">
        <v>46007.229166666664</v>
      </c>
      <c r="M4592" s="38" t="s">
        <v>123</v>
      </c>
      <c r="N4592" s="41">
        <v>46007.25</v>
      </c>
      <c r="O4592" s="38" t="s">
        <v>123</v>
      </c>
      <c r="P4592" s="38">
        <v>1800.0</v>
      </c>
      <c r="Q4592" s="39"/>
      <c r="R4592" s="39"/>
      <c r="S4592" s="38" t="s">
        <v>640</v>
      </c>
      <c r="T4592" s="39"/>
      <c r="U4592" s="39"/>
    </row>
    <row r="4593">
      <c r="A4593" s="40">
        <f t="shared" si="1"/>
        <v>46006</v>
      </c>
      <c r="B4593" s="37" t="str">
        <f t="array" ref="B4593">iferror(xlookup($I4593, 'IMPORT VHC Report'!$E:$E, 'IMPORT VHC Report'!$A:$C), )</f>
        <v/>
      </c>
      <c r="C4593" s="37"/>
      <c r="D4593" s="37"/>
      <c r="E4593" s="38" t="s">
        <v>5507</v>
      </c>
      <c r="F4593" s="38" t="s">
        <v>5497</v>
      </c>
      <c r="G4593" s="38">
        <v>3.61861297995E11</v>
      </c>
      <c r="H4593" s="38" t="s">
        <v>5498</v>
      </c>
      <c r="I4593" s="38" t="s">
        <v>5499</v>
      </c>
      <c r="J4593" s="38" t="s">
        <v>136</v>
      </c>
      <c r="K4593" s="38" t="s">
        <v>126</v>
      </c>
      <c r="L4593" s="41">
        <v>46007.875</v>
      </c>
      <c r="M4593" s="38" t="s">
        <v>123</v>
      </c>
      <c r="N4593" s="41">
        <v>46007.90972222222</v>
      </c>
      <c r="O4593" s="38" t="s">
        <v>123</v>
      </c>
      <c r="P4593" s="38">
        <v>3000.0</v>
      </c>
      <c r="Q4593" s="39"/>
      <c r="R4593" s="39"/>
      <c r="S4593" s="38" t="s">
        <v>5508</v>
      </c>
      <c r="T4593" s="39"/>
      <c r="U4593" s="39"/>
    </row>
    <row r="4594">
      <c r="A4594" s="40">
        <f t="shared" si="1"/>
        <v>46006</v>
      </c>
      <c r="B4594" s="37" t="str">
        <f t="array" ref="B4594">iferror(xlookup($I4594, 'IMPORT VHC Report'!$E:$E, 'IMPORT VHC Report'!$A:$C), )</f>
        <v/>
      </c>
      <c r="C4594" s="37"/>
      <c r="D4594" s="37"/>
      <c r="E4594" s="38" t="s">
        <v>5509</v>
      </c>
      <c r="F4594" s="38" t="s">
        <v>5497</v>
      </c>
      <c r="G4594" s="38">
        <v>3.61861297995E11</v>
      </c>
      <c r="H4594" s="38" t="s">
        <v>5498</v>
      </c>
      <c r="I4594" s="38" t="s">
        <v>5499</v>
      </c>
      <c r="J4594" s="38" t="s">
        <v>224</v>
      </c>
      <c r="K4594" s="38" t="s">
        <v>63</v>
      </c>
      <c r="L4594" s="41">
        <v>46007.90972222222</v>
      </c>
      <c r="M4594" s="38" t="s">
        <v>123</v>
      </c>
      <c r="N4594" s="41">
        <v>46007.979166666664</v>
      </c>
      <c r="O4594" s="38" t="s">
        <v>123</v>
      </c>
      <c r="P4594" s="38">
        <v>6000.0</v>
      </c>
      <c r="Q4594" s="39"/>
      <c r="R4594" s="39"/>
      <c r="S4594" s="39"/>
      <c r="T4594" s="39"/>
      <c r="U4594" s="39"/>
    </row>
    <row r="4595">
      <c r="A4595" s="40">
        <f t="shared" si="1"/>
        <v>46006</v>
      </c>
      <c r="B4595" s="37" t="str">
        <f t="array" ref="B4595">iferror(xlookup($I4595, 'IMPORT VHC Report'!$E:$E, 'IMPORT VHC Report'!$A:$C), )</f>
        <v/>
      </c>
      <c r="C4595" s="37"/>
      <c r="D4595" s="37"/>
      <c r="E4595" s="38" t="s">
        <v>5510</v>
      </c>
      <c r="F4595" s="38" t="s">
        <v>5497</v>
      </c>
      <c r="G4595" s="38">
        <v>3.61861297995E11</v>
      </c>
      <c r="H4595" s="38" t="s">
        <v>5498</v>
      </c>
      <c r="I4595" s="38" t="s">
        <v>5499</v>
      </c>
      <c r="J4595" s="38" t="s">
        <v>134</v>
      </c>
      <c r="K4595" s="38" t="s">
        <v>126</v>
      </c>
      <c r="L4595" s="41">
        <v>46007.979166666664</v>
      </c>
      <c r="M4595" s="38" t="s">
        <v>123</v>
      </c>
      <c r="N4595" s="41">
        <v>46008.0</v>
      </c>
      <c r="O4595" s="38" t="s">
        <v>123</v>
      </c>
      <c r="P4595" s="38">
        <v>1800.0</v>
      </c>
      <c r="Q4595" s="39"/>
      <c r="R4595" s="39"/>
      <c r="S4595" s="39"/>
      <c r="T4595" s="39"/>
      <c r="U4595" s="39"/>
    </row>
    <row r="4596">
      <c r="A4596" s="40">
        <f t="shared" si="1"/>
        <v>46006</v>
      </c>
      <c r="B4596" s="37" t="str">
        <f t="array" ref="B4596">iferror(xlookup($I4596, 'IMPORT VHC Report'!$E:$E, 'IMPORT VHC Report'!$A:$C), )</f>
        <v/>
      </c>
      <c r="C4596" s="37"/>
      <c r="D4596" s="37"/>
      <c r="E4596" s="38" t="s">
        <v>5511</v>
      </c>
      <c r="F4596" s="38" t="s">
        <v>5497</v>
      </c>
      <c r="G4596" s="38">
        <v>3.61861297995E11</v>
      </c>
      <c r="H4596" s="38" t="s">
        <v>5498</v>
      </c>
      <c r="I4596" s="38" t="s">
        <v>5499</v>
      </c>
      <c r="J4596" s="38" t="s">
        <v>224</v>
      </c>
      <c r="K4596" s="38" t="s">
        <v>63</v>
      </c>
      <c r="L4596" s="41">
        <v>46008.0</v>
      </c>
      <c r="M4596" s="38" t="s">
        <v>123</v>
      </c>
      <c r="N4596" s="41">
        <v>46008.083333333336</v>
      </c>
      <c r="O4596" s="38" t="s">
        <v>123</v>
      </c>
      <c r="P4596" s="38">
        <v>7200.0</v>
      </c>
      <c r="Q4596" s="39"/>
      <c r="R4596" s="39"/>
      <c r="S4596" s="39"/>
      <c r="T4596" s="39"/>
      <c r="U4596" s="39"/>
    </row>
    <row r="4597">
      <c r="A4597" s="40">
        <f t="shared" si="1"/>
        <v>46006</v>
      </c>
      <c r="B4597" s="37" t="str">
        <f t="array" ref="B4597">iferror(xlookup($I4597, 'IMPORT VHC Report'!$E:$E, 'IMPORT VHC Report'!$A:$C), )</f>
        <v/>
      </c>
      <c r="C4597" s="37"/>
      <c r="D4597" s="37"/>
      <c r="E4597" s="38" t="s">
        <v>5512</v>
      </c>
      <c r="F4597" s="38" t="s">
        <v>5497</v>
      </c>
      <c r="G4597" s="38">
        <v>3.61861297995E11</v>
      </c>
      <c r="H4597" s="38" t="s">
        <v>5498</v>
      </c>
      <c r="I4597" s="38" t="s">
        <v>5499</v>
      </c>
      <c r="J4597" s="38" t="s">
        <v>125</v>
      </c>
      <c r="K4597" s="38" t="s">
        <v>126</v>
      </c>
      <c r="L4597" s="41">
        <v>46008.083333333336</v>
      </c>
      <c r="M4597" s="38" t="s">
        <v>123</v>
      </c>
      <c r="N4597" s="41">
        <v>46008.09375</v>
      </c>
      <c r="O4597" s="38" t="s">
        <v>123</v>
      </c>
      <c r="P4597" s="38">
        <v>900.0</v>
      </c>
      <c r="Q4597" s="39"/>
      <c r="R4597" s="39"/>
      <c r="S4597" s="38" t="s">
        <v>5513</v>
      </c>
      <c r="T4597" s="39"/>
      <c r="U4597" s="39"/>
    </row>
    <row r="4598">
      <c r="A4598" s="40">
        <f t="shared" si="1"/>
        <v>46006</v>
      </c>
      <c r="B4598" s="37" t="str">
        <f t="array" ref="B4598">iferror(xlookup($I4598, 'IMPORT VHC Report'!$E:$E, 'IMPORT VHC Report'!$A:$C), )</f>
        <v/>
      </c>
      <c r="C4598" s="37"/>
      <c r="D4598" s="37"/>
      <c r="E4598" s="38" t="s">
        <v>5514</v>
      </c>
      <c r="F4598" s="38" t="s">
        <v>5497</v>
      </c>
      <c r="G4598" s="38">
        <v>3.61861297995E11</v>
      </c>
      <c r="H4598" s="38" t="s">
        <v>5498</v>
      </c>
      <c r="I4598" s="38" t="s">
        <v>5499</v>
      </c>
      <c r="J4598" s="38" t="s">
        <v>224</v>
      </c>
      <c r="K4598" s="38" t="s">
        <v>63</v>
      </c>
      <c r="L4598" s="41">
        <v>46008.09375</v>
      </c>
      <c r="M4598" s="38" t="s">
        <v>123</v>
      </c>
      <c r="N4598" s="41">
        <v>46008.125</v>
      </c>
      <c r="O4598" s="38" t="s">
        <v>123</v>
      </c>
      <c r="P4598" s="38">
        <v>2700.0</v>
      </c>
      <c r="Q4598" s="39"/>
      <c r="R4598" s="39"/>
      <c r="S4598" s="39"/>
      <c r="T4598" s="39"/>
      <c r="U4598" s="39"/>
    </row>
    <row r="4599">
      <c r="A4599" s="40">
        <f t="shared" si="1"/>
        <v>46006</v>
      </c>
      <c r="B4599" s="37" t="str">
        <f t="array" ref="B4599">iferror(xlookup($I4599, 'IMPORT VHC Report'!$E:$E, 'IMPORT VHC Report'!$A:$C), )</f>
        <v/>
      </c>
      <c r="C4599" s="37"/>
      <c r="D4599" s="37"/>
      <c r="E4599" s="38" t="s">
        <v>5515</v>
      </c>
      <c r="F4599" s="38" t="s">
        <v>5497</v>
      </c>
      <c r="G4599" s="38">
        <v>3.61861297995E11</v>
      </c>
      <c r="H4599" s="38" t="s">
        <v>5498</v>
      </c>
      <c r="I4599" s="38" t="s">
        <v>5499</v>
      </c>
      <c r="J4599" s="38" t="s">
        <v>132</v>
      </c>
      <c r="K4599" s="38" t="s">
        <v>126</v>
      </c>
      <c r="L4599" s="41">
        <v>46008.125</v>
      </c>
      <c r="M4599" s="38" t="s">
        <v>123</v>
      </c>
      <c r="N4599" s="41">
        <v>46008.166666666664</v>
      </c>
      <c r="O4599" s="38" t="s">
        <v>123</v>
      </c>
      <c r="P4599" s="38">
        <v>3600.0</v>
      </c>
      <c r="Q4599" s="39"/>
      <c r="R4599" s="39"/>
      <c r="S4599" s="39"/>
      <c r="T4599" s="39"/>
      <c r="U4599" s="39"/>
    </row>
    <row r="4600">
      <c r="A4600" s="40">
        <f t="shared" si="1"/>
        <v>46006</v>
      </c>
      <c r="B4600" s="37" t="str">
        <f t="array" ref="B4600">iferror(xlookup($I4600, 'IMPORT VHC Report'!$E:$E, 'IMPORT VHC Report'!$A:$C), )</f>
        <v/>
      </c>
      <c r="C4600" s="37"/>
      <c r="D4600" s="37"/>
      <c r="E4600" s="38" t="s">
        <v>5516</v>
      </c>
      <c r="F4600" s="38" t="s">
        <v>5497</v>
      </c>
      <c r="G4600" s="38">
        <v>3.61861297995E11</v>
      </c>
      <c r="H4600" s="38" t="s">
        <v>5498</v>
      </c>
      <c r="I4600" s="38" t="s">
        <v>5499</v>
      </c>
      <c r="J4600" s="38" t="s">
        <v>62</v>
      </c>
      <c r="K4600" s="38" t="s">
        <v>63</v>
      </c>
      <c r="L4600" s="41">
        <v>46008.166666666664</v>
      </c>
      <c r="M4600" s="38" t="s">
        <v>123</v>
      </c>
      <c r="N4600" s="41">
        <v>46008.1875</v>
      </c>
      <c r="O4600" s="38" t="s">
        <v>123</v>
      </c>
      <c r="P4600" s="38">
        <v>1800.0</v>
      </c>
      <c r="Q4600" s="39"/>
      <c r="R4600" s="39"/>
      <c r="S4600" s="39"/>
      <c r="T4600" s="39"/>
      <c r="U4600" s="39"/>
    </row>
    <row r="4601">
      <c r="A4601" s="40">
        <f t="shared" si="1"/>
        <v>46006</v>
      </c>
      <c r="B4601" s="37" t="str">
        <f t="array" ref="B4601">iferror(xlookup($I4601, 'IMPORT VHC Report'!$E:$E, 'IMPORT VHC Report'!$A:$C), )</f>
        <v/>
      </c>
      <c r="C4601" s="37"/>
      <c r="D4601" s="37"/>
      <c r="E4601" s="38" t="s">
        <v>5517</v>
      </c>
      <c r="F4601" s="38" t="s">
        <v>5497</v>
      </c>
      <c r="G4601" s="38">
        <v>3.61861297995E11</v>
      </c>
      <c r="H4601" s="38" t="s">
        <v>5498</v>
      </c>
      <c r="I4601" s="38" t="s">
        <v>5499</v>
      </c>
      <c r="J4601" s="38" t="s">
        <v>4</v>
      </c>
      <c r="K4601" s="38" t="s">
        <v>126</v>
      </c>
      <c r="L4601" s="41">
        <v>46008.166666666664</v>
      </c>
      <c r="M4601" s="38" t="s">
        <v>123</v>
      </c>
      <c r="N4601" s="41">
        <v>46008.208333333336</v>
      </c>
      <c r="O4601" s="38" t="s">
        <v>123</v>
      </c>
      <c r="P4601" s="38">
        <v>3600.0</v>
      </c>
      <c r="Q4601" s="39"/>
      <c r="R4601" s="39"/>
      <c r="S4601" s="38" t="s">
        <v>858</v>
      </c>
      <c r="T4601" s="39"/>
      <c r="U4601" s="39"/>
    </row>
    <row r="4602">
      <c r="A4602" s="40">
        <f t="shared" si="1"/>
        <v>46006</v>
      </c>
      <c r="B4602" s="37" t="str">
        <f t="array" ref="B4602">iferror(xlookup($I4602, 'IMPORT VHC Report'!$E:$E, 'IMPORT VHC Report'!$A:$C), )</f>
        <v/>
      </c>
      <c r="C4602" s="37"/>
      <c r="D4602" s="37"/>
      <c r="E4602" s="38" t="s">
        <v>5518</v>
      </c>
      <c r="F4602" s="38" t="s">
        <v>5497</v>
      </c>
      <c r="G4602" s="38">
        <v>3.61861297995E11</v>
      </c>
      <c r="H4602" s="38" t="s">
        <v>5498</v>
      </c>
      <c r="I4602" s="38" t="s">
        <v>5499</v>
      </c>
      <c r="J4602" s="38" t="s">
        <v>224</v>
      </c>
      <c r="K4602" s="38" t="s">
        <v>63</v>
      </c>
      <c r="L4602" s="41">
        <v>46008.1875</v>
      </c>
      <c r="M4602" s="38" t="s">
        <v>123</v>
      </c>
      <c r="N4602" s="41">
        <v>46008.25</v>
      </c>
      <c r="O4602" s="38" t="s">
        <v>123</v>
      </c>
      <c r="P4602" s="38">
        <v>5400.0</v>
      </c>
      <c r="Q4602" s="39"/>
      <c r="R4602" s="39"/>
      <c r="S4602" s="39"/>
      <c r="T4602" s="39"/>
      <c r="U4602" s="39"/>
    </row>
    <row r="4603">
      <c r="A4603" s="40">
        <f t="shared" si="1"/>
        <v>46006</v>
      </c>
      <c r="B4603" s="37" t="str">
        <f t="array" ref="B4603">iferror(xlookup($I4603, 'IMPORT VHC Report'!$E:$E, 'IMPORT VHC Report'!$A:$C), )</f>
        <v/>
      </c>
      <c r="C4603" s="37"/>
      <c r="D4603" s="37"/>
      <c r="E4603" s="38" t="s">
        <v>5519</v>
      </c>
      <c r="F4603" s="38" t="s">
        <v>5497</v>
      </c>
      <c r="G4603" s="38">
        <v>3.61861297995E11</v>
      </c>
      <c r="H4603" s="38" t="s">
        <v>5498</v>
      </c>
      <c r="I4603" s="38" t="s">
        <v>5499</v>
      </c>
      <c r="J4603" s="38" t="s">
        <v>224</v>
      </c>
      <c r="K4603" s="38" t="s">
        <v>63</v>
      </c>
      <c r="L4603" s="41">
        <v>46008.875</v>
      </c>
      <c r="M4603" s="38" t="s">
        <v>123</v>
      </c>
      <c r="N4603" s="41">
        <v>46008.979166666664</v>
      </c>
      <c r="O4603" s="38" t="s">
        <v>123</v>
      </c>
      <c r="P4603" s="38">
        <v>9000.0</v>
      </c>
      <c r="Q4603" s="39"/>
      <c r="R4603" s="39"/>
      <c r="S4603" s="39"/>
      <c r="T4603" s="39"/>
      <c r="U4603" s="39"/>
    </row>
    <row r="4604">
      <c r="A4604" s="40">
        <f t="shared" si="1"/>
        <v>46006</v>
      </c>
      <c r="B4604" s="37" t="str">
        <f t="array" ref="B4604">iferror(xlookup($I4604, 'IMPORT VHC Report'!$E:$E, 'IMPORT VHC Report'!$A:$C), )</f>
        <v/>
      </c>
      <c r="C4604" s="37"/>
      <c r="D4604" s="37"/>
      <c r="E4604" s="38" t="s">
        <v>5520</v>
      </c>
      <c r="F4604" s="38" t="s">
        <v>5497</v>
      </c>
      <c r="G4604" s="38">
        <v>3.61861297995E11</v>
      </c>
      <c r="H4604" s="38" t="s">
        <v>5498</v>
      </c>
      <c r="I4604" s="38" t="s">
        <v>5499</v>
      </c>
      <c r="J4604" s="38" t="s">
        <v>134</v>
      </c>
      <c r="K4604" s="38" t="s">
        <v>126</v>
      </c>
      <c r="L4604" s="41">
        <v>46008.979166666664</v>
      </c>
      <c r="M4604" s="38" t="s">
        <v>123</v>
      </c>
      <c r="N4604" s="41">
        <v>46009.0</v>
      </c>
      <c r="O4604" s="38" t="s">
        <v>123</v>
      </c>
      <c r="P4604" s="38">
        <v>1800.0</v>
      </c>
      <c r="Q4604" s="39"/>
      <c r="R4604" s="39"/>
      <c r="S4604" s="39"/>
      <c r="T4604" s="39"/>
      <c r="U4604" s="39"/>
    </row>
    <row r="4605">
      <c r="A4605" s="40">
        <f t="shared" si="1"/>
        <v>46006</v>
      </c>
      <c r="B4605" s="37" t="str">
        <f t="array" ref="B4605">iferror(xlookup($I4605, 'IMPORT VHC Report'!$E:$E, 'IMPORT VHC Report'!$A:$C), )</f>
        <v/>
      </c>
      <c r="C4605" s="37"/>
      <c r="D4605" s="37"/>
      <c r="E4605" s="38" t="s">
        <v>5521</v>
      </c>
      <c r="F4605" s="38" t="s">
        <v>5497</v>
      </c>
      <c r="G4605" s="38">
        <v>3.61861297995E11</v>
      </c>
      <c r="H4605" s="38" t="s">
        <v>5498</v>
      </c>
      <c r="I4605" s="38" t="s">
        <v>5499</v>
      </c>
      <c r="J4605" s="38" t="s">
        <v>224</v>
      </c>
      <c r="K4605" s="38" t="s">
        <v>63</v>
      </c>
      <c r="L4605" s="41">
        <v>46009.0</v>
      </c>
      <c r="M4605" s="38" t="s">
        <v>123</v>
      </c>
      <c r="N4605" s="41">
        <v>46009.083333333336</v>
      </c>
      <c r="O4605" s="38" t="s">
        <v>123</v>
      </c>
      <c r="P4605" s="38">
        <v>7200.0</v>
      </c>
      <c r="Q4605" s="39"/>
      <c r="R4605" s="39"/>
      <c r="S4605" s="39"/>
      <c r="T4605" s="39"/>
      <c r="U4605" s="39"/>
    </row>
    <row r="4606">
      <c r="A4606" s="40">
        <f t="shared" si="1"/>
        <v>46006</v>
      </c>
      <c r="B4606" s="37" t="str">
        <f t="array" ref="B4606">iferror(xlookup($I4606, 'IMPORT VHC Report'!$E:$E, 'IMPORT VHC Report'!$A:$C), )</f>
        <v/>
      </c>
      <c r="C4606" s="37"/>
      <c r="D4606" s="37"/>
      <c r="E4606" s="38" t="s">
        <v>5522</v>
      </c>
      <c r="F4606" s="38" t="s">
        <v>5497</v>
      </c>
      <c r="G4606" s="38">
        <v>3.61861297995E11</v>
      </c>
      <c r="H4606" s="38" t="s">
        <v>5498</v>
      </c>
      <c r="I4606" s="38" t="s">
        <v>5499</v>
      </c>
      <c r="J4606" s="38" t="s">
        <v>125</v>
      </c>
      <c r="K4606" s="38" t="s">
        <v>126</v>
      </c>
      <c r="L4606" s="41">
        <v>46009.083333333336</v>
      </c>
      <c r="M4606" s="38" t="s">
        <v>123</v>
      </c>
      <c r="N4606" s="41">
        <v>46009.09375</v>
      </c>
      <c r="O4606" s="38" t="s">
        <v>123</v>
      </c>
      <c r="P4606" s="38">
        <v>900.0</v>
      </c>
      <c r="Q4606" s="39"/>
      <c r="R4606" s="39"/>
      <c r="S4606" s="38" t="s">
        <v>5523</v>
      </c>
      <c r="T4606" s="39"/>
      <c r="U4606" s="39"/>
    </row>
    <row r="4607">
      <c r="A4607" s="40">
        <f t="shared" si="1"/>
        <v>46006</v>
      </c>
      <c r="B4607" s="37" t="str">
        <f t="array" ref="B4607">iferror(xlookup($I4607, 'IMPORT VHC Report'!$E:$E, 'IMPORT VHC Report'!$A:$C), )</f>
        <v/>
      </c>
      <c r="C4607" s="37"/>
      <c r="D4607" s="37"/>
      <c r="E4607" s="38" t="s">
        <v>5524</v>
      </c>
      <c r="F4607" s="38" t="s">
        <v>5497</v>
      </c>
      <c r="G4607" s="38">
        <v>3.61861297995E11</v>
      </c>
      <c r="H4607" s="38" t="s">
        <v>5498</v>
      </c>
      <c r="I4607" s="38" t="s">
        <v>5499</v>
      </c>
      <c r="J4607" s="38" t="s">
        <v>224</v>
      </c>
      <c r="K4607" s="38" t="s">
        <v>63</v>
      </c>
      <c r="L4607" s="41">
        <v>46009.09375</v>
      </c>
      <c r="M4607" s="38" t="s">
        <v>123</v>
      </c>
      <c r="N4607" s="41">
        <v>46009.125</v>
      </c>
      <c r="O4607" s="38" t="s">
        <v>123</v>
      </c>
      <c r="P4607" s="38">
        <v>2700.0</v>
      </c>
      <c r="Q4607" s="39"/>
      <c r="R4607" s="39"/>
      <c r="S4607" s="39"/>
      <c r="T4607" s="39"/>
      <c r="U4607" s="39"/>
    </row>
    <row r="4608">
      <c r="A4608" s="40">
        <f t="shared" si="1"/>
        <v>46006</v>
      </c>
      <c r="B4608" s="37" t="str">
        <f t="array" ref="B4608">iferror(xlookup($I4608, 'IMPORT VHC Report'!$E:$E, 'IMPORT VHC Report'!$A:$C), )</f>
        <v/>
      </c>
      <c r="C4608" s="37"/>
      <c r="D4608" s="37"/>
      <c r="E4608" s="38" t="s">
        <v>5525</v>
      </c>
      <c r="F4608" s="38" t="s">
        <v>5497</v>
      </c>
      <c r="G4608" s="38">
        <v>3.61861297995E11</v>
      </c>
      <c r="H4608" s="38" t="s">
        <v>5498</v>
      </c>
      <c r="I4608" s="38" t="s">
        <v>5499</v>
      </c>
      <c r="J4608" s="38" t="s">
        <v>132</v>
      </c>
      <c r="K4608" s="38" t="s">
        <v>126</v>
      </c>
      <c r="L4608" s="41">
        <v>46009.125</v>
      </c>
      <c r="M4608" s="38" t="s">
        <v>123</v>
      </c>
      <c r="N4608" s="41">
        <v>46009.166666666664</v>
      </c>
      <c r="O4608" s="38" t="s">
        <v>123</v>
      </c>
      <c r="P4608" s="38">
        <v>3600.0</v>
      </c>
      <c r="Q4608" s="39"/>
      <c r="R4608" s="39"/>
      <c r="S4608" s="39"/>
      <c r="T4608" s="39"/>
      <c r="U4608" s="39"/>
    </row>
    <row r="4609">
      <c r="A4609" s="40">
        <f t="shared" si="1"/>
        <v>46006</v>
      </c>
      <c r="B4609" s="37" t="str">
        <f t="array" ref="B4609">iferror(xlookup($I4609, 'IMPORT VHC Report'!$E:$E, 'IMPORT VHC Report'!$A:$C), )</f>
        <v/>
      </c>
      <c r="C4609" s="37"/>
      <c r="D4609" s="37"/>
      <c r="E4609" s="38" t="s">
        <v>5526</v>
      </c>
      <c r="F4609" s="38" t="s">
        <v>5497</v>
      </c>
      <c r="G4609" s="38">
        <v>3.61861297995E11</v>
      </c>
      <c r="H4609" s="38" t="s">
        <v>5498</v>
      </c>
      <c r="I4609" s="38" t="s">
        <v>5499</v>
      </c>
      <c r="J4609" s="38" t="s">
        <v>125</v>
      </c>
      <c r="K4609" s="38" t="s">
        <v>126</v>
      </c>
      <c r="L4609" s="41">
        <v>46009.166666666664</v>
      </c>
      <c r="M4609" s="38" t="s">
        <v>123</v>
      </c>
      <c r="N4609" s="41">
        <v>46009.177083333336</v>
      </c>
      <c r="O4609" s="38" t="s">
        <v>123</v>
      </c>
      <c r="P4609" s="38">
        <v>900.0</v>
      </c>
      <c r="Q4609" s="39"/>
      <c r="R4609" s="39"/>
      <c r="S4609" s="38" t="s">
        <v>5523</v>
      </c>
      <c r="T4609" s="39"/>
      <c r="U4609" s="39"/>
    </row>
    <row r="4610">
      <c r="A4610" s="40">
        <f t="shared" si="1"/>
        <v>46006</v>
      </c>
      <c r="B4610" s="37" t="str">
        <f t="array" ref="B4610">iferror(xlookup($I4610, 'IMPORT VHC Report'!$E:$E, 'IMPORT VHC Report'!$A:$C), )</f>
        <v/>
      </c>
      <c r="C4610" s="37"/>
      <c r="D4610" s="37"/>
      <c r="E4610" s="38" t="s">
        <v>5527</v>
      </c>
      <c r="F4610" s="38" t="s">
        <v>5497</v>
      </c>
      <c r="G4610" s="38">
        <v>3.61861297995E11</v>
      </c>
      <c r="H4610" s="38" t="s">
        <v>5498</v>
      </c>
      <c r="I4610" s="38" t="s">
        <v>5499</v>
      </c>
      <c r="J4610" s="38" t="s">
        <v>224</v>
      </c>
      <c r="K4610" s="38" t="s">
        <v>63</v>
      </c>
      <c r="L4610" s="41">
        <v>46009.177083333336</v>
      </c>
      <c r="M4610" s="38" t="s">
        <v>123</v>
      </c>
      <c r="N4610" s="41">
        <v>46009.25</v>
      </c>
      <c r="O4610" s="38" t="s">
        <v>123</v>
      </c>
      <c r="P4610" s="38">
        <v>6300.0</v>
      </c>
      <c r="Q4610" s="39"/>
      <c r="R4610" s="39"/>
      <c r="S4610" s="39"/>
      <c r="T4610" s="39"/>
      <c r="U4610" s="39"/>
    </row>
    <row r="4611">
      <c r="A4611" s="40">
        <f t="shared" si="1"/>
        <v>46006</v>
      </c>
      <c r="B4611" s="37" t="str">
        <f t="array" ref="B4611">iferror(xlookup($I4611, 'IMPORT VHC Report'!$E:$E, 'IMPORT VHC Report'!$A:$C), )</f>
        <v/>
      </c>
      <c r="C4611" s="37"/>
      <c r="D4611" s="37"/>
      <c r="E4611" s="38" t="s">
        <v>5528</v>
      </c>
      <c r="F4611" s="38" t="s">
        <v>5497</v>
      </c>
      <c r="G4611" s="38">
        <v>3.61861297995E11</v>
      </c>
      <c r="H4611" s="38" t="s">
        <v>5498</v>
      </c>
      <c r="I4611" s="38" t="s">
        <v>5499</v>
      </c>
      <c r="J4611" s="38" t="s">
        <v>125</v>
      </c>
      <c r="K4611" s="38" t="s">
        <v>126</v>
      </c>
      <c r="L4611" s="41">
        <v>46009.875</v>
      </c>
      <c r="M4611" s="38" t="s">
        <v>123</v>
      </c>
      <c r="N4611" s="41">
        <v>46009.885416666664</v>
      </c>
      <c r="O4611" s="38" t="s">
        <v>123</v>
      </c>
      <c r="P4611" s="38">
        <v>900.0</v>
      </c>
      <c r="Q4611" s="39"/>
      <c r="R4611" s="39"/>
      <c r="S4611" s="38" t="s">
        <v>5529</v>
      </c>
      <c r="T4611" s="39"/>
      <c r="U4611" s="39"/>
    </row>
    <row r="4612">
      <c r="A4612" s="40">
        <f t="shared" si="1"/>
        <v>46006</v>
      </c>
      <c r="B4612" s="37" t="str">
        <f t="array" ref="B4612">iferror(xlookup($I4612, 'IMPORT VHC Report'!$E:$E, 'IMPORT VHC Report'!$A:$C), )</f>
        <v/>
      </c>
      <c r="C4612" s="37"/>
      <c r="D4612" s="37"/>
      <c r="E4612" s="38" t="s">
        <v>5530</v>
      </c>
      <c r="F4612" s="38" t="s">
        <v>5497</v>
      </c>
      <c r="G4612" s="38">
        <v>3.61861297995E11</v>
      </c>
      <c r="H4612" s="38" t="s">
        <v>5498</v>
      </c>
      <c r="I4612" s="38" t="s">
        <v>5499</v>
      </c>
      <c r="J4612" s="38" t="s">
        <v>224</v>
      </c>
      <c r="K4612" s="38" t="s">
        <v>63</v>
      </c>
      <c r="L4612" s="41">
        <v>46009.875</v>
      </c>
      <c r="M4612" s="38" t="s">
        <v>123</v>
      </c>
      <c r="N4612" s="41">
        <v>46010.0</v>
      </c>
      <c r="O4612" s="38" t="s">
        <v>123</v>
      </c>
      <c r="P4612" s="38">
        <v>10800.0</v>
      </c>
      <c r="Q4612" s="39"/>
      <c r="R4612" s="39"/>
      <c r="S4612" s="39"/>
      <c r="T4612" s="39"/>
      <c r="U4612" s="39"/>
    </row>
    <row r="4613">
      <c r="A4613" s="40">
        <f t="shared" si="1"/>
        <v>46006</v>
      </c>
      <c r="B4613" s="37" t="str">
        <f t="array" ref="B4613">iferror(xlookup($I4613, 'IMPORT VHC Report'!$E:$E, 'IMPORT VHC Report'!$A:$C), )</f>
        <v/>
      </c>
      <c r="C4613" s="37"/>
      <c r="D4613" s="37"/>
      <c r="E4613" s="38" t="s">
        <v>5531</v>
      </c>
      <c r="F4613" s="38" t="s">
        <v>5497</v>
      </c>
      <c r="G4613" s="38">
        <v>3.61861297995E11</v>
      </c>
      <c r="H4613" s="38" t="s">
        <v>5498</v>
      </c>
      <c r="I4613" s="38" t="s">
        <v>5499</v>
      </c>
      <c r="J4613" s="38" t="s">
        <v>134</v>
      </c>
      <c r="K4613" s="38" t="s">
        <v>126</v>
      </c>
      <c r="L4613" s="41">
        <v>46010.0</v>
      </c>
      <c r="M4613" s="38" t="s">
        <v>123</v>
      </c>
      <c r="N4613" s="41">
        <v>46010.020833333336</v>
      </c>
      <c r="O4613" s="38" t="s">
        <v>123</v>
      </c>
      <c r="P4613" s="38">
        <v>1800.0</v>
      </c>
      <c r="Q4613" s="39"/>
      <c r="R4613" s="39"/>
      <c r="S4613" s="39"/>
      <c r="T4613" s="39"/>
      <c r="U4613" s="39"/>
    </row>
    <row r="4614">
      <c r="A4614" s="40">
        <f t="shared" si="1"/>
        <v>46006</v>
      </c>
      <c r="B4614" s="37" t="str">
        <f t="array" ref="B4614">iferror(xlookup($I4614, 'IMPORT VHC Report'!$E:$E, 'IMPORT VHC Report'!$A:$C), )</f>
        <v/>
      </c>
      <c r="C4614" s="37"/>
      <c r="D4614" s="37"/>
      <c r="E4614" s="38" t="s">
        <v>5532</v>
      </c>
      <c r="F4614" s="38" t="s">
        <v>5497</v>
      </c>
      <c r="G4614" s="38">
        <v>3.61861297995E11</v>
      </c>
      <c r="H4614" s="38" t="s">
        <v>5498</v>
      </c>
      <c r="I4614" s="38" t="s">
        <v>5499</v>
      </c>
      <c r="J4614" s="38" t="s">
        <v>224</v>
      </c>
      <c r="K4614" s="38" t="s">
        <v>63</v>
      </c>
      <c r="L4614" s="41">
        <v>46010.020833333336</v>
      </c>
      <c r="M4614" s="38" t="s">
        <v>123</v>
      </c>
      <c r="N4614" s="41">
        <v>46010.125</v>
      </c>
      <c r="O4614" s="38" t="s">
        <v>123</v>
      </c>
      <c r="P4614" s="38">
        <v>9000.0</v>
      </c>
      <c r="Q4614" s="39"/>
      <c r="R4614" s="39"/>
      <c r="S4614" s="39"/>
      <c r="T4614" s="39"/>
      <c r="U4614" s="39"/>
    </row>
    <row r="4615">
      <c r="A4615" s="40">
        <f t="shared" si="1"/>
        <v>46006</v>
      </c>
      <c r="B4615" s="37" t="str">
        <f t="array" ref="B4615">iferror(xlookup($I4615, 'IMPORT VHC Report'!$E:$E, 'IMPORT VHC Report'!$A:$C), )</f>
        <v/>
      </c>
      <c r="C4615" s="37"/>
      <c r="D4615" s="37"/>
      <c r="E4615" s="38" t="s">
        <v>5533</v>
      </c>
      <c r="F4615" s="38" t="s">
        <v>5497</v>
      </c>
      <c r="G4615" s="38">
        <v>3.61861297995E11</v>
      </c>
      <c r="H4615" s="38" t="s">
        <v>5498</v>
      </c>
      <c r="I4615" s="38" t="s">
        <v>5499</v>
      </c>
      <c r="J4615" s="38" t="s">
        <v>132</v>
      </c>
      <c r="K4615" s="38" t="s">
        <v>126</v>
      </c>
      <c r="L4615" s="41">
        <v>46010.125</v>
      </c>
      <c r="M4615" s="38" t="s">
        <v>123</v>
      </c>
      <c r="N4615" s="41">
        <v>46010.166666666664</v>
      </c>
      <c r="O4615" s="38" t="s">
        <v>123</v>
      </c>
      <c r="P4615" s="38">
        <v>3600.0</v>
      </c>
      <c r="Q4615" s="39"/>
      <c r="R4615" s="39"/>
      <c r="S4615" s="39"/>
      <c r="T4615" s="39"/>
      <c r="U4615" s="39"/>
    </row>
    <row r="4616">
      <c r="A4616" s="40">
        <f t="shared" si="1"/>
        <v>46006</v>
      </c>
      <c r="B4616" s="37" t="str">
        <f t="array" ref="B4616">iferror(xlookup($I4616, 'IMPORT VHC Report'!$E:$E, 'IMPORT VHC Report'!$A:$C), )</f>
        <v/>
      </c>
      <c r="C4616" s="37"/>
      <c r="D4616" s="37"/>
      <c r="E4616" s="38" t="s">
        <v>5534</v>
      </c>
      <c r="F4616" s="38" t="s">
        <v>5497</v>
      </c>
      <c r="G4616" s="38">
        <v>3.61861297995E11</v>
      </c>
      <c r="H4616" s="38" t="s">
        <v>5498</v>
      </c>
      <c r="I4616" s="38" t="s">
        <v>5499</v>
      </c>
      <c r="J4616" s="38" t="s">
        <v>224</v>
      </c>
      <c r="K4616" s="38" t="s">
        <v>63</v>
      </c>
      <c r="L4616" s="41">
        <v>46010.166666666664</v>
      </c>
      <c r="M4616" s="38" t="s">
        <v>123</v>
      </c>
      <c r="N4616" s="41">
        <v>46010.25</v>
      </c>
      <c r="O4616" s="38" t="s">
        <v>123</v>
      </c>
      <c r="P4616" s="38">
        <v>7200.0</v>
      </c>
      <c r="Q4616" s="39"/>
      <c r="R4616" s="39"/>
      <c r="S4616" s="39"/>
      <c r="T4616" s="39"/>
      <c r="U4616" s="39"/>
    </row>
    <row r="4617">
      <c r="A4617" s="40">
        <f t="shared" si="1"/>
        <v>46006</v>
      </c>
      <c r="B4617" s="37" t="str">
        <f t="array" ref="B4617">iferror(xlookup($I4617, 'IMPORT VHC Report'!$E:$E, 'IMPORT VHC Report'!$A:$C), )</f>
        <v/>
      </c>
      <c r="C4617" s="37"/>
      <c r="D4617" s="37"/>
      <c r="E4617" s="38" t="s">
        <v>5535</v>
      </c>
      <c r="F4617" s="38" t="s">
        <v>5497</v>
      </c>
      <c r="G4617" s="38">
        <v>3.61861297995E11</v>
      </c>
      <c r="H4617" s="38" t="s">
        <v>5498</v>
      </c>
      <c r="I4617" s="38" t="s">
        <v>5499</v>
      </c>
      <c r="J4617" s="38" t="s">
        <v>224</v>
      </c>
      <c r="K4617" s="38" t="s">
        <v>63</v>
      </c>
      <c r="L4617" s="41">
        <v>46010.875</v>
      </c>
      <c r="M4617" s="38" t="s">
        <v>123</v>
      </c>
      <c r="N4617" s="41">
        <v>46011.0625</v>
      </c>
      <c r="O4617" s="38" t="s">
        <v>123</v>
      </c>
      <c r="P4617" s="38">
        <v>16200.0</v>
      </c>
      <c r="Q4617" s="39"/>
      <c r="R4617" s="39"/>
      <c r="S4617" s="39"/>
      <c r="T4617" s="39"/>
      <c r="U4617" s="39"/>
    </row>
    <row r="4618">
      <c r="A4618" s="40">
        <f t="shared" si="1"/>
        <v>46006</v>
      </c>
      <c r="B4618" s="37" t="str">
        <f t="array" ref="B4618">iferror(xlookup($I4618, 'IMPORT VHC Report'!$E:$E, 'IMPORT VHC Report'!$A:$C), )</f>
        <v/>
      </c>
      <c r="C4618" s="37"/>
      <c r="D4618" s="37"/>
      <c r="E4618" s="38" t="s">
        <v>5536</v>
      </c>
      <c r="F4618" s="38" t="s">
        <v>5497</v>
      </c>
      <c r="G4618" s="38">
        <v>3.61861297995E11</v>
      </c>
      <c r="H4618" s="38" t="s">
        <v>5498</v>
      </c>
      <c r="I4618" s="38" t="s">
        <v>5499</v>
      </c>
      <c r="J4618" s="38" t="s">
        <v>134</v>
      </c>
      <c r="K4618" s="38" t="s">
        <v>126</v>
      </c>
      <c r="L4618" s="41">
        <v>46011.0625</v>
      </c>
      <c r="M4618" s="38" t="s">
        <v>123</v>
      </c>
      <c r="N4618" s="41">
        <v>46011.083333333336</v>
      </c>
      <c r="O4618" s="38" t="s">
        <v>123</v>
      </c>
      <c r="P4618" s="38">
        <v>1800.0</v>
      </c>
      <c r="Q4618" s="39"/>
      <c r="R4618" s="39"/>
      <c r="S4618" s="39"/>
      <c r="T4618" s="39"/>
      <c r="U4618" s="39"/>
    </row>
    <row r="4619">
      <c r="A4619" s="40">
        <f t="shared" si="1"/>
        <v>46006</v>
      </c>
      <c r="B4619" s="37" t="str">
        <f t="array" ref="B4619">iferror(xlookup($I4619, 'IMPORT VHC Report'!$E:$E, 'IMPORT VHC Report'!$A:$C), )</f>
        <v/>
      </c>
      <c r="C4619" s="37"/>
      <c r="D4619" s="37"/>
      <c r="E4619" s="38" t="s">
        <v>5537</v>
      </c>
      <c r="F4619" s="38" t="s">
        <v>5497</v>
      </c>
      <c r="G4619" s="38">
        <v>3.61861297995E11</v>
      </c>
      <c r="H4619" s="38" t="s">
        <v>5498</v>
      </c>
      <c r="I4619" s="38" t="s">
        <v>5499</v>
      </c>
      <c r="J4619" s="38" t="s">
        <v>224</v>
      </c>
      <c r="K4619" s="38" t="s">
        <v>63</v>
      </c>
      <c r="L4619" s="41">
        <v>46011.083333333336</v>
      </c>
      <c r="M4619" s="38" t="s">
        <v>123</v>
      </c>
      <c r="N4619" s="41">
        <v>46011.166666666664</v>
      </c>
      <c r="O4619" s="38" t="s">
        <v>123</v>
      </c>
      <c r="P4619" s="38">
        <v>7200.0</v>
      </c>
      <c r="Q4619" s="39"/>
      <c r="R4619" s="39"/>
      <c r="S4619" s="39"/>
      <c r="T4619" s="39"/>
      <c r="U4619" s="39"/>
    </row>
    <row r="4620">
      <c r="A4620" s="40">
        <f t="shared" si="1"/>
        <v>46006</v>
      </c>
      <c r="B4620" s="37" t="str">
        <f t="array" ref="B4620">iferror(xlookup($I4620, 'IMPORT VHC Report'!$E:$E, 'IMPORT VHC Report'!$A:$C), )</f>
        <v/>
      </c>
      <c r="C4620" s="37"/>
      <c r="D4620" s="37"/>
      <c r="E4620" s="38" t="s">
        <v>5538</v>
      </c>
      <c r="F4620" s="38" t="s">
        <v>5497</v>
      </c>
      <c r="G4620" s="38">
        <v>3.61861297995E11</v>
      </c>
      <c r="H4620" s="38" t="s">
        <v>5498</v>
      </c>
      <c r="I4620" s="38" t="s">
        <v>5499</v>
      </c>
      <c r="J4620" s="38" t="s">
        <v>132</v>
      </c>
      <c r="K4620" s="38" t="s">
        <v>126</v>
      </c>
      <c r="L4620" s="41">
        <v>46011.166666666664</v>
      </c>
      <c r="M4620" s="38" t="s">
        <v>123</v>
      </c>
      <c r="N4620" s="41">
        <v>46011.208333333336</v>
      </c>
      <c r="O4620" s="38" t="s">
        <v>123</v>
      </c>
      <c r="P4620" s="38">
        <v>3600.0</v>
      </c>
      <c r="Q4620" s="39"/>
      <c r="R4620" s="39"/>
      <c r="S4620" s="39"/>
      <c r="T4620" s="39"/>
      <c r="U4620" s="39"/>
    </row>
    <row r="4621">
      <c r="A4621" s="40">
        <f t="shared" si="1"/>
        <v>46006</v>
      </c>
      <c r="B4621" s="37" t="str">
        <f t="array" ref="B4621">iferror(xlookup($I4621, 'IMPORT VHC Report'!$E:$E, 'IMPORT VHC Report'!$A:$C), )</f>
        <v/>
      </c>
      <c r="C4621" s="37"/>
      <c r="D4621" s="37"/>
      <c r="E4621" s="38" t="s">
        <v>5539</v>
      </c>
      <c r="F4621" s="38" t="s">
        <v>5497</v>
      </c>
      <c r="G4621" s="38">
        <v>3.61861297995E11</v>
      </c>
      <c r="H4621" s="38" t="s">
        <v>5498</v>
      </c>
      <c r="I4621" s="38" t="s">
        <v>5499</v>
      </c>
      <c r="J4621" s="38" t="s">
        <v>224</v>
      </c>
      <c r="K4621" s="38" t="s">
        <v>63</v>
      </c>
      <c r="L4621" s="41">
        <v>46011.208333333336</v>
      </c>
      <c r="M4621" s="38" t="s">
        <v>123</v>
      </c>
      <c r="N4621" s="41">
        <v>46011.25</v>
      </c>
      <c r="O4621" s="38" t="s">
        <v>123</v>
      </c>
      <c r="P4621" s="38">
        <v>3600.0</v>
      </c>
      <c r="Q4621" s="39"/>
      <c r="R4621" s="39"/>
      <c r="S4621" s="39"/>
      <c r="T4621" s="39"/>
      <c r="U4621" s="39"/>
    </row>
    <row r="4622">
      <c r="A4622" s="40">
        <f t="shared" si="1"/>
        <v>46006</v>
      </c>
      <c r="B4622" s="37" t="str">
        <f t="array" ref="B4622">iferror(xlookup($I4622, 'IMPORT VHC Report'!$E:$E, 'IMPORT VHC Report'!$A:$C), )</f>
        <v/>
      </c>
      <c r="C4622" s="37"/>
      <c r="D4622" s="37"/>
      <c r="E4622" s="38" t="s">
        <v>5540</v>
      </c>
      <c r="F4622" s="38" t="s">
        <v>5541</v>
      </c>
      <c r="G4622" s="38">
        <v>3.61861297835E11</v>
      </c>
      <c r="H4622" s="38" t="s">
        <v>5542</v>
      </c>
      <c r="I4622" s="38" t="s">
        <v>5543</v>
      </c>
      <c r="J4622" s="38" t="s">
        <v>224</v>
      </c>
      <c r="K4622" s="38" t="s">
        <v>63</v>
      </c>
      <c r="L4622" s="41">
        <v>46006.875</v>
      </c>
      <c r="M4622" s="38" t="s">
        <v>123</v>
      </c>
      <c r="N4622" s="41">
        <v>46007.0</v>
      </c>
      <c r="O4622" s="38" t="s">
        <v>123</v>
      </c>
      <c r="P4622" s="38">
        <v>10800.0</v>
      </c>
      <c r="Q4622" s="39"/>
      <c r="R4622" s="39"/>
      <c r="S4622" s="39"/>
      <c r="T4622" s="39"/>
      <c r="U4622" s="39"/>
    </row>
    <row r="4623">
      <c r="A4623" s="40">
        <f t="shared" si="1"/>
        <v>46006</v>
      </c>
      <c r="B4623" s="37" t="str">
        <f t="array" ref="B4623">iferror(xlookup($I4623, 'IMPORT VHC Report'!$E:$E, 'IMPORT VHC Report'!$A:$C), )</f>
        <v/>
      </c>
      <c r="C4623" s="37"/>
      <c r="D4623" s="37"/>
      <c r="E4623" s="38" t="s">
        <v>5544</v>
      </c>
      <c r="F4623" s="38" t="s">
        <v>5541</v>
      </c>
      <c r="G4623" s="38">
        <v>3.61861297835E11</v>
      </c>
      <c r="H4623" s="38" t="s">
        <v>5542</v>
      </c>
      <c r="I4623" s="38" t="s">
        <v>5543</v>
      </c>
      <c r="J4623" s="38" t="s">
        <v>132</v>
      </c>
      <c r="K4623" s="38" t="s">
        <v>126</v>
      </c>
      <c r="L4623" s="41">
        <v>46007.0</v>
      </c>
      <c r="M4623" s="38" t="s">
        <v>123</v>
      </c>
      <c r="N4623" s="41">
        <v>46007.041666666664</v>
      </c>
      <c r="O4623" s="38" t="s">
        <v>123</v>
      </c>
      <c r="P4623" s="38">
        <v>3600.0</v>
      </c>
      <c r="Q4623" s="39"/>
      <c r="R4623" s="39"/>
      <c r="S4623" s="39"/>
      <c r="T4623" s="39"/>
      <c r="U4623" s="39"/>
    </row>
    <row r="4624">
      <c r="A4624" s="40">
        <f t="shared" si="1"/>
        <v>46006</v>
      </c>
      <c r="B4624" s="37" t="str">
        <f t="array" ref="B4624">iferror(xlookup($I4624, 'IMPORT VHC Report'!$E:$E, 'IMPORT VHC Report'!$A:$C), )</f>
        <v/>
      </c>
      <c r="C4624" s="37"/>
      <c r="D4624" s="37"/>
      <c r="E4624" s="38" t="s">
        <v>5545</v>
      </c>
      <c r="F4624" s="38" t="s">
        <v>5541</v>
      </c>
      <c r="G4624" s="38">
        <v>3.61861297835E11</v>
      </c>
      <c r="H4624" s="38" t="s">
        <v>5542</v>
      </c>
      <c r="I4624" s="38" t="s">
        <v>5543</v>
      </c>
      <c r="J4624" s="38" t="s">
        <v>224</v>
      </c>
      <c r="K4624" s="38" t="s">
        <v>63</v>
      </c>
      <c r="L4624" s="41">
        <v>46007.041666666664</v>
      </c>
      <c r="M4624" s="38" t="s">
        <v>123</v>
      </c>
      <c r="N4624" s="41">
        <v>46007.145833333336</v>
      </c>
      <c r="O4624" s="38" t="s">
        <v>123</v>
      </c>
      <c r="P4624" s="38">
        <v>9000.0</v>
      </c>
      <c r="Q4624" s="39"/>
      <c r="R4624" s="39"/>
      <c r="S4624" s="39"/>
      <c r="T4624" s="39"/>
      <c r="U4624" s="39"/>
    </row>
    <row r="4625">
      <c r="A4625" s="40">
        <f t="shared" si="1"/>
        <v>46006</v>
      </c>
      <c r="B4625" s="37" t="str">
        <f t="array" ref="B4625">iferror(xlookup($I4625, 'IMPORT VHC Report'!$E:$E, 'IMPORT VHC Report'!$A:$C), )</f>
        <v/>
      </c>
      <c r="C4625" s="37"/>
      <c r="D4625" s="37"/>
      <c r="E4625" s="38" t="s">
        <v>5546</v>
      </c>
      <c r="F4625" s="38" t="s">
        <v>5541</v>
      </c>
      <c r="G4625" s="38">
        <v>3.61861297835E11</v>
      </c>
      <c r="H4625" s="38" t="s">
        <v>5542</v>
      </c>
      <c r="I4625" s="38" t="s">
        <v>5543</v>
      </c>
      <c r="J4625" s="38" t="s">
        <v>134</v>
      </c>
      <c r="K4625" s="38" t="s">
        <v>126</v>
      </c>
      <c r="L4625" s="41">
        <v>46007.145833333336</v>
      </c>
      <c r="M4625" s="38" t="s">
        <v>123</v>
      </c>
      <c r="N4625" s="41">
        <v>46007.166666666664</v>
      </c>
      <c r="O4625" s="38" t="s">
        <v>123</v>
      </c>
      <c r="P4625" s="38">
        <v>1800.0</v>
      </c>
      <c r="Q4625" s="39"/>
      <c r="R4625" s="39"/>
      <c r="S4625" s="39"/>
      <c r="T4625" s="39"/>
      <c r="U4625" s="39"/>
    </row>
    <row r="4626">
      <c r="A4626" s="40">
        <f t="shared" si="1"/>
        <v>46006</v>
      </c>
      <c r="B4626" s="37" t="str">
        <f t="array" ref="B4626">iferror(xlookup($I4626, 'IMPORT VHC Report'!$E:$E, 'IMPORT VHC Report'!$A:$C), )</f>
        <v/>
      </c>
      <c r="C4626" s="37"/>
      <c r="D4626" s="37"/>
      <c r="E4626" s="38" t="s">
        <v>5547</v>
      </c>
      <c r="F4626" s="38" t="s">
        <v>5541</v>
      </c>
      <c r="G4626" s="38">
        <v>3.61861297835E11</v>
      </c>
      <c r="H4626" s="38" t="s">
        <v>5542</v>
      </c>
      <c r="I4626" s="38" t="s">
        <v>5543</v>
      </c>
      <c r="J4626" s="38" t="s">
        <v>136</v>
      </c>
      <c r="K4626" s="38" t="s">
        <v>126</v>
      </c>
      <c r="L4626" s="41">
        <v>46007.166666666664</v>
      </c>
      <c r="M4626" s="38" t="s">
        <v>123</v>
      </c>
      <c r="N4626" s="41">
        <v>46007.177083333336</v>
      </c>
      <c r="O4626" s="38" t="s">
        <v>123</v>
      </c>
      <c r="P4626" s="38">
        <v>900.0</v>
      </c>
      <c r="Q4626" s="39"/>
      <c r="R4626" s="39"/>
      <c r="S4626" s="38" t="s">
        <v>1846</v>
      </c>
      <c r="T4626" s="39"/>
      <c r="U4626" s="39"/>
    </row>
    <row r="4627">
      <c r="A4627" s="40">
        <f t="shared" si="1"/>
        <v>46006</v>
      </c>
      <c r="B4627" s="37" t="str">
        <f t="array" ref="B4627">iferror(xlookup($I4627, 'IMPORT VHC Report'!$E:$E, 'IMPORT VHC Report'!$A:$C), )</f>
        <v/>
      </c>
      <c r="C4627" s="37"/>
      <c r="D4627" s="37"/>
      <c r="E4627" s="38" t="s">
        <v>5548</v>
      </c>
      <c r="F4627" s="38" t="s">
        <v>5541</v>
      </c>
      <c r="G4627" s="38">
        <v>3.61861297835E11</v>
      </c>
      <c r="H4627" s="38" t="s">
        <v>5542</v>
      </c>
      <c r="I4627" s="38" t="s">
        <v>5543</v>
      </c>
      <c r="J4627" s="38" t="s">
        <v>224</v>
      </c>
      <c r="K4627" s="38" t="s">
        <v>63</v>
      </c>
      <c r="L4627" s="41">
        <v>46007.177083333336</v>
      </c>
      <c r="M4627" s="38" t="s">
        <v>123</v>
      </c>
      <c r="N4627" s="41">
        <v>46007.208333333336</v>
      </c>
      <c r="O4627" s="38" t="s">
        <v>123</v>
      </c>
      <c r="P4627" s="38">
        <v>2700.0</v>
      </c>
      <c r="Q4627" s="39"/>
      <c r="R4627" s="39"/>
      <c r="S4627" s="39"/>
      <c r="T4627" s="39"/>
      <c r="U4627" s="39"/>
    </row>
    <row r="4628">
      <c r="A4628" s="40">
        <f t="shared" si="1"/>
        <v>46006</v>
      </c>
      <c r="B4628" s="37" t="str">
        <f t="array" ref="B4628">iferror(xlookup($I4628, 'IMPORT VHC Report'!$E:$E, 'IMPORT VHC Report'!$A:$C), )</f>
        <v/>
      </c>
      <c r="C4628" s="37"/>
      <c r="D4628" s="37"/>
      <c r="E4628" s="38" t="s">
        <v>5549</v>
      </c>
      <c r="F4628" s="38" t="s">
        <v>5541</v>
      </c>
      <c r="G4628" s="38">
        <v>3.61861297835E11</v>
      </c>
      <c r="H4628" s="38" t="s">
        <v>5542</v>
      </c>
      <c r="I4628" s="38" t="s">
        <v>5543</v>
      </c>
      <c r="J4628" s="38" t="s">
        <v>330</v>
      </c>
      <c r="K4628" s="38" t="s">
        <v>126</v>
      </c>
      <c r="L4628" s="41">
        <v>46007.208333333336</v>
      </c>
      <c r="M4628" s="38" t="s">
        <v>123</v>
      </c>
      <c r="N4628" s="41">
        <v>46007.229166666664</v>
      </c>
      <c r="O4628" s="38" t="s">
        <v>123</v>
      </c>
      <c r="P4628" s="38">
        <v>1800.0</v>
      </c>
      <c r="Q4628" s="39"/>
      <c r="R4628" s="39"/>
      <c r="S4628" s="38" t="s">
        <v>640</v>
      </c>
      <c r="T4628" s="39"/>
      <c r="U4628" s="39"/>
    </row>
    <row r="4629">
      <c r="A4629" s="40">
        <f t="shared" si="1"/>
        <v>46006</v>
      </c>
      <c r="B4629" s="37" t="str">
        <f t="array" ref="B4629">iferror(xlookup($I4629, 'IMPORT VHC Report'!$E:$E, 'IMPORT VHC Report'!$A:$C), )</f>
        <v/>
      </c>
      <c r="C4629" s="37"/>
      <c r="D4629" s="37"/>
      <c r="E4629" s="38" t="s">
        <v>5550</v>
      </c>
      <c r="F4629" s="38" t="s">
        <v>5541</v>
      </c>
      <c r="G4629" s="38">
        <v>3.61861297835E11</v>
      </c>
      <c r="H4629" s="38" t="s">
        <v>5542</v>
      </c>
      <c r="I4629" s="38" t="s">
        <v>5543</v>
      </c>
      <c r="J4629" s="38" t="s">
        <v>224</v>
      </c>
      <c r="K4629" s="38" t="s">
        <v>63</v>
      </c>
      <c r="L4629" s="41">
        <v>46007.229166666664</v>
      </c>
      <c r="M4629" s="38" t="s">
        <v>123</v>
      </c>
      <c r="N4629" s="41">
        <v>46007.25</v>
      </c>
      <c r="O4629" s="38" t="s">
        <v>123</v>
      </c>
      <c r="P4629" s="38">
        <v>1800.0</v>
      </c>
      <c r="Q4629" s="39"/>
      <c r="R4629" s="39"/>
      <c r="S4629" s="39"/>
      <c r="T4629" s="39"/>
      <c r="U4629" s="39"/>
    </row>
    <row r="4630">
      <c r="A4630" s="40">
        <f t="shared" si="1"/>
        <v>46006</v>
      </c>
      <c r="B4630" s="37" t="str">
        <f t="array" ref="B4630">iferror(xlookup($I4630, 'IMPORT VHC Report'!$E:$E, 'IMPORT VHC Report'!$A:$C), )</f>
        <v/>
      </c>
      <c r="C4630" s="37"/>
      <c r="D4630" s="37"/>
      <c r="E4630" s="38" t="s">
        <v>5551</v>
      </c>
      <c r="F4630" s="38" t="s">
        <v>5541</v>
      </c>
      <c r="G4630" s="38">
        <v>3.61861297835E11</v>
      </c>
      <c r="H4630" s="38" t="s">
        <v>5542</v>
      </c>
      <c r="I4630" s="38" t="s">
        <v>5543</v>
      </c>
      <c r="J4630" s="38" t="s">
        <v>136</v>
      </c>
      <c r="K4630" s="38" t="s">
        <v>126</v>
      </c>
      <c r="L4630" s="41">
        <v>46007.875</v>
      </c>
      <c r="M4630" s="38" t="s">
        <v>123</v>
      </c>
      <c r="N4630" s="41">
        <v>46007.88888888889</v>
      </c>
      <c r="O4630" s="38" t="s">
        <v>123</v>
      </c>
      <c r="P4630" s="38">
        <v>1200.0</v>
      </c>
      <c r="Q4630" s="39"/>
      <c r="R4630" s="39"/>
      <c r="S4630" s="39"/>
      <c r="T4630" s="39"/>
      <c r="U4630" s="39"/>
    </row>
    <row r="4631">
      <c r="A4631" s="40">
        <f t="shared" si="1"/>
        <v>46006</v>
      </c>
      <c r="B4631" s="37" t="str">
        <f t="array" ref="B4631">iferror(xlookup($I4631, 'IMPORT VHC Report'!$E:$E, 'IMPORT VHC Report'!$A:$C), )</f>
        <v/>
      </c>
      <c r="C4631" s="37"/>
      <c r="D4631" s="37"/>
      <c r="E4631" s="38" t="s">
        <v>5552</v>
      </c>
      <c r="F4631" s="38" t="s">
        <v>5541</v>
      </c>
      <c r="G4631" s="38">
        <v>3.61861297835E11</v>
      </c>
      <c r="H4631" s="38" t="s">
        <v>5542</v>
      </c>
      <c r="I4631" s="38" t="s">
        <v>5543</v>
      </c>
      <c r="J4631" s="38" t="s">
        <v>224</v>
      </c>
      <c r="K4631" s="38" t="s">
        <v>63</v>
      </c>
      <c r="L4631" s="41">
        <v>46007.875</v>
      </c>
      <c r="M4631" s="38" t="s">
        <v>123</v>
      </c>
      <c r="N4631" s="41">
        <v>46008.0</v>
      </c>
      <c r="O4631" s="38" t="s">
        <v>123</v>
      </c>
      <c r="P4631" s="38">
        <v>10800.0</v>
      </c>
      <c r="Q4631" s="39"/>
      <c r="R4631" s="39"/>
      <c r="S4631" s="39"/>
      <c r="T4631" s="39"/>
      <c r="U4631" s="39"/>
    </row>
    <row r="4632">
      <c r="A4632" s="40">
        <f t="shared" si="1"/>
        <v>46006</v>
      </c>
      <c r="B4632" s="37" t="str">
        <f t="array" ref="B4632">iferror(xlookup($I4632, 'IMPORT VHC Report'!$E:$E, 'IMPORT VHC Report'!$A:$C), )</f>
        <v/>
      </c>
      <c r="C4632" s="37"/>
      <c r="D4632" s="37"/>
      <c r="E4632" s="38" t="s">
        <v>5553</v>
      </c>
      <c r="F4632" s="38" t="s">
        <v>5541</v>
      </c>
      <c r="G4632" s="38">
        <v>3.61861297835E11</v>
      </c>
      <c r="H4632" s="38" t="s">
        <v>5542</v>
      </c>
      <c r="I4632" s="38" t="s">
        <v>5543</v>
      </c>
      <c r="J4632" s="38" t="s">
        <v>224</v>
      </c>
      <c r="K4632" s="38" t="s">
        <v>63</v>
      </c>
      <c r="L4632" s="41">
        <v>46008.0</v>
      </c>
      <c r="M4632" s="38" t="s">
        <v>123</v>
      </c>
      <c r="N4632" s="41">
        <v>46008.145833333336</v>
      </c>
      <c r="O4632" s="38" t="s">
        <v>123</v>
      </c>
      <c r="P4632" s="38">
        <v>12600.0</v>
      </c>
      <c r="Q4632" s="39"/>
      <c r="R4632" s="39"/>
      <c r="S4632" s="39"/>
      <c r="T4632" s="39"/>
      <c r="U4632" s="39"/>
    </row>
    <row r="4633">
      <c r="A4633" s="40">
        <f t="shared" si="1"/>
        <v>46006</v>
      </c>
      <c r="B4633" s="37" t="str">
        <f t="array" ref="B4633">iferror(xlookup($I4633, 'IMPORT VHC Report'!$E:$E, 'IMPORT VHC Report'!$A:$C), )</f>
        <v/>
      </c>
      <c r="C4633" s="37"/>
      <c r="D4633" s="37"/>
      <c r="E4633" s="38" t="s">
        <v>5554</v>
      </c>
      <c r="F4633" s="38" t="s">
        <v>5541</v>
      </c>
      <c r="G4633" s="38">
        <v>3.61861297835E11</v>
      </c>
      <c r="H4633" s="38" t="s">
        <v>5542</v>
      </c>
      <c r="I4633" s="38" t="s">
        <v>5543</v>
      </c>
      <c r="J4633" s="38" t="s">
        <v>132</v>
      </c>
      <c r="K4633" s="38" t="s">
        <v>126</v>
      </c>
      <c r="L4633" s="41">
        <v>46008.010416666664</v>
      </c>
      <c r="M4633" s="38" t="s">
        <v>123</v>
      </c>
      <c r="N4633" s="41">
        <v>46008.052083333336</v>
      </c>
      <c r="O4633" s="38" t="s">
        <v>123</v>
      </c>
      <c r="P4633" s="38">
        <v>3600.0</v>
      </c>
      <c r="Q4633" s="39"/>
      <c r="R4633" s="39"/>
      <c r="S4633" s="39"/>
      <c r="T4633" s="39"/>
      <c r="U4633" s="39"/>
    </row>
    <row r="4634">
      <c r="A4634" s="40">
        <f t="shared" si="1"/>
        <v>46006</v>
      </c>
      <c r="B4634" s="37" t="str">
        <f t="array" ref="B4634">iferror(xlookup($I4634, 'IMPORT VHC Report'!$E:$E, 'IMPORT VHC Report'!$A:$C), )</f>
        <v/>
      </c>
      <c r="C4634" s="37"/>
      <c r="D4634" s="37"/>
      <c r="E4634" s="38" t="s">
        <v>5555</v>
      </c>
      <c r="F4634" s="38" t="s">
        <v>5541</v>
      </c>
      <c r="G4634" s="38">
        <v>3.61861297835E11</v>
      </c>
      <c r="H4634" s="38" t="s">
        <v>5542</v>
      </c>
      <c r="I4634" s="38" t="s">
        <v>5543</v>
      </c>
      <c r="J4634" s="38" t="s">
        <v>134</v>
      </c>
      <c r="K4634" s="38" t="s">
        <v>126</v>
      </c>
      <c r="L4634" s="41">
        <v>46008.145833333336</v>
      </c>
      <c r="M4634" s="38" t="s">
        <v>123</v>
      </c>
      <c r="N4634" s="41">
        <v>46008.166666666664</v>
      </c>
      <c r="O4634" s="38" t="s">
        <v>123</v>
      </c>
      <c r="P4634" s="38">
        <v>1800.0</v>
      </c>
      <c r="Q4634" s="39"/>
      <c r="R4634" s="39"/>
      <c r="S4634" s="39"/>
      <c r="T4634" s="39"/>
      <c r="U4634" s="39"/>
    </row>
    <row r="4635">
      <c r="A4635" s="40">
        <f t="shared" si="1"/>
        <v>46006</v>
      </c>
      <c r="B4635" s="37" t="str">
        <f t="array" ref="B4635">iferror(xlookup($I4635, 'IMPORT VHC Report'!$E:$E, 'IMPORT VHC Report'!$A:$C), )</f>
        <v/>
      </c>
      <c r="C4635" s="37"/>
      <c r="D4635" s="37"/>
      <c r="E4635" s="38" t="s">
        <v>5556</v>
      </c>
      <c r="F4635" s="38" t="s">
        <v>5541</v>
      </c>
      <c r="G4635" s="38">
        <v>3.61861297835E11</v>
      </c>
      <c r="H4635" s="38" t="s">
        <v>5542</v>
      </c>
      <c r="I4635" s="38" t="s">
        <v>5543</v>
      </c>
      <c r="J4635" s="38" t="s">
        <v>62</v>
      </c>
      <c r="K4635" s="38" t="s">
        <v>63</v>
      </c>
      <c r="L4635" s="41">
        <v>46008.166666666664</v>
      </c>
      <c r="M4635" s="38" t="s">
        <v>123</v>
      </c>
      <c r="N4635" s="41">
        <v>46008.1875</v>
      </c>
      <c r="O4635" s="38" t="s">
        <v>123</v>
      </c>
      <c r="P4635" s="38">
        <v>1800.0</v>
      </c>
      <c r="Q4635" s="39"/>
      <c r="R4635" s="39"/>
      <c r="S4635" s="39"/>
      <c r="T4635" s="39"/>
      <c r="U4635" s="39"/>
    </row>
    <row r="4636">
      <c r="A4636" s="40">
        <f t="shared" si="1"/>
        <v>46006</v>
      </c>
      <c r="B4636" s="37" t="str">
        <f t="array" ref="B4636">iferror(xlookup($I4636, 'IMPORT VHC Report'!$E:$E, 'IMPORT VHC Report'!$A:$C), )</f>
        <v/>
      </c>
      <c r="C4636" s="37"/>
      <c r="D4636" s="37"/>
      <c r="E4636" s="38" t="s">
        <v>5557</v>
      </c>
      <c r="F4636" s="38" t="s">
        <v>5541</v>
      </c>
      <c r="G4636" s="38">
        <v>3.61861297835E11</v>
      </c>
      <c r="H4636" s="38" t="s">
        <v>5542</v>
      </c>
      <c r="I4636" s="38" t="s">
        <v>5543</v>
      </c>
      <c r="J4636" s="38" t="s">
        <v>4</v>
      </c>
      <c r="K4636" s="38" t="s">
        <v>126</v>
      </c>
      <c r="L4636" s="41">
        <v>46008.166666666664</v>
      </c>
      <c r="M4636" s="38" t="s">
        <v>123</v>
      </c>
      <c r="N4636" s="41">
        <v>46008.208333333336</v>
      </c>
      <c r="O4636" s="38" t="s">
        <v>123</v>
      </c>
      <c r="P4636" s="38">
        <v>3600.0</v>
      </c>
      <c r="Q4636" s="39"/>
      <c r="R4636" s="39"/>
      <c r="S4636" s="38" t="s">
        <v>858</v>
      </c>
      <c r="T4636" s="39"/>
      <c r="U4636" s="39"/>
    </row>
    <row r="4637">
      <c r="A4637" s="40">
        <f t="shared" si="1"/>
        <v>46006</v>
      </c>
      <c r="B4637" s="37" t="str">
        <f t="array" ref="B4637">iferror(xlookup($I4637, 'IMPORT VHC Report'!$E:$E, 'IMPORT VHC Report'!$A:$C), )</f>
        <v/>
      </c>
      <c r="C4637" s="37"/>
      <c r="D4637" s="37"/>
      <c r="E4637" s="38" t="s">
        <v>5558</v>
      </c>
      <c r="F4637" s="38" t="s">
        <v>5541</v>
      </c>
      <c r="G4637" s="38">
        <v>3.61861297835E11</v>
      </c>
      <c r="H4637" s="38" t="s">
        <v>5542</v>
      </c>
      <c r="I4637" s="38" t="s">
        <v>5543</v>
      </c>
      <c r="J4637" s="38" t="s">
        <v>224</v>
      </c>
      <c r="K4637" s="38" t="s">
        <v>63</v>
      </c>
      <c r="L4637" s="41">
        <v>46008.1875</v>
      </c>
      <c r="M4637" s="38" t="s">
        <v>123</v>
      </c>
      <c r="N4637" s="41">
        <v>46008.25</v>
      </c>
      <c r="O4637" s="38" t="s">
        <v>123</v>
      </c>
      <c r="P4637" s="38">
        <v>5400.0</v>
      </c>
      <c r="Q4637" s="39"/>
      <c r="R4637" s="39"/>
      <c r="S4637" s="39"/>
      <c r="T4637" s="39"/>
      <c r="U4637" s="39"/>
    </row>
    <row r="4638">
      <c r="A4638" s="40">
        <f t="shared" si="1"/>
        <v>46006</v>
      </c>
      <c r="B4638" s="37" t="str">
        <f t="array" ref="B4638">iferror(xlookup($I4638, 'IMPORT VHC Report'!$E:$E, 'IMPORT VHC Report'!$A:$C), )</f>
        <v/>
      </c>
      <c r="C4638" s="37"/>
      <c r="D4638" s="37"/>
      <c r="E4638" s="38" t="s">
        <v>5559</v>
      </c>
      <c r="F4638" s="38" t="s">
        <v>5541</v>
      </c>
      <c r="G4638" s="38">
        <v>3.61861297835E11</v>
      </c>
      <c r="H4638" s="38" t="s">
        <v>5542</v>
      </c>
      <c r="I4638" s="38" t="s">
        <v>5543</v>
      </c>
      <c r="J4638" s="38" t="s">
        <v>224</v>
      </c>
      <c r="K4638" s="38" t="s">
        <v>63</v>
      </c>
      <c r="L4638" s="41">
        <v>46008.875</v>
      </c>
      <c r="M4638" s="38" t="s">
        <v>123</v>
      </c>
      <c r="N4638" s="41">
        <v>46008.989583333336</v>
      </c>
      <c r="O4638" s="38" t="s">
        <v>123</v>
      </c>
      <c r="P4638" s="38">
        <v>9900.0</v>
      </c>
      <c r="Q4638" s="39"/>
      <c r="R4638" s="39"/>
      <c r="S4638" s="39"/>
      <c r="T4638" s="39"/>
      <c r="U4638" s="39"/>
    </row>
    <row r="4639">
      <c r="A4639" s="40">
        <f t="shared" si="1"/>
        <v>46006</v>
      </c>
      <c r="B4639" s="37" t="str">
        <f t="array" ref="B4639">iferror(xlookup($I4639, 'IMPORT VHC Report'!$E:$E, 'IMPORT VHC Report'!$A:$C), )</f>
        <v/>
      </c>
      <c r="C4639" s="37"/>
      <c r="D4639" s="37"/>
      <c r="E4639" s="38" t="s">
        <v>5560</v>
      </c>
      <c r="F4639" s="38" t="s">
        <v>5541</v>
      </c>
      <c r="G4639" s="38">
        <v>3.61861297835E11</v>
      </c>
      <c r="H4639" s="38" t="s">
        <v>5542</v>
      </c>
      <c r="I4639" s="38" t="s">
        <v>5543</v>
      </c>
      <c r="J4639" s="38" t="s">
        <v>134</v>
      </c>
      <c r="K4639" s="38" t="s">
        <v>126</v>
      </c>
      <c r="L4639" s="41">
        <v>46008.989583333336</v>
      </c>
      <c r="M4639" s="38" t="s">
        <v>123</v>
      </c>
      <c r="N4639" s="41">
        <v>46009.010416666664</v>
      </c>
      <c r="O4639" s="38" t="s">
        <v>123</v>
      </c>
      <c r="P4639" s="38">
        <v>1800.0</v>
      </c>
      <c r="Q4639" s="39"/>
      <c r="R4639" s="39"/>
      <c r="S4639" s="39"/>
      <c r="T4639" s="39"/>
      <c r="U4639" s="39"/>
    </row>
    <row r="4640">
      <c r="A4640" s="40">
        <f t="shared" si="1"/>
        <v>46006</v>
      </c>
      <c r="B4640" s="37" t="str">
        <f t="array" ref="B4640">iferror(xlookup($I4640, 'IMPORT VHC Report'!$E:$E, 'IMPORT VHC Report'!$A:$C), )</f>
        <v/>
      </c>
      <c r="C4640" s="37"/>
      <c r="D4640" s="37"/>
      <c r="E4640" s="38" t="s">
        <v>5561</v>
      </c>
      <c r="F4640" s="38" t="s">
        <v>5541</v>
      </c>
      <c r="G4640" s="38">
        <v>3.61861297835E11</v>
      </c>
      <c r="H4640" s="38" t="s">
        <v>5542</v>
      </c>
      <c r="I4640" s="38" t="s">
        <v>5543</v>
      </c>
      <c r="J4640" s="38" t="s">
        <v>224</v>
      </c>
      <c r="K4640" s="38" t="s">
        <v>63</v>
      </c>
      <c r="L4640" s="41">
        <v>46009.010416666664</v>
      </c>
      <c r="M4640" s="38" t="s">
        <v>123</v>
      </c>
      <c r="N4640" s="41">
        <v>46009.114583333336</v>
      </c>
      <c r="O4640" s="38" t="s">
        <v>123</v>
      </c>
      <c r="P4640" s="38">
        <v>9000.0</v>
      </c>
      <c r="Q4640" s="39"/>
      <c r="R4640" s="39"/>
      <c r="S4640" s="39"/>
      <c r="T4640" s="39"/>
      <c r="U4640" s="39"/>
    </row>
    <row r="4641">
      <c r="A4641" s="40">
        <f t="shared" si="1"/>
        <v>46006</v>
      </c>
      <c r="B4641" s="37" t="str">
        <f t="array" ref="B4641">iferror(xlookup($I4641, 'IMPORT VHC Report'!$E:$E, 'IMPORT VHC Report'!$A:$C), )</f>
        <v/>
      </c>
      <c r="C4641" s="37"/>
      <c r="D4641" s="37"/>
      <c r="E4641" s="38" t="s">
        <v>5562</v>
      </c>
      <c r="F4641" s="38" t="s">
        <v>5541</v>
      </c>
      <c r="G4641" s="38">
        <v>3.61861297835E11</v>
      </c>
      <c r="H4641" s="38" t="s">
        <v>5542</v>
      </c>
      <c r="I4641" s="38" t="s">
        <v>5543</v>
      </c>
      <c r="J4641" s="38" t="s">
        <v>132</v>
      </c>
      <c r="K4641" s="38" t="s">
        <v>126</v>
      </c>
      <c r="L4641" s="41">
        <v>46009.114583333336</v>
      </c>
      <c r="M4641" s="38" t="s">
        <v>123</v>
      </c>
      <c r="N4641" s="41">
        <v>46009.15625</v>
      </c>
      <c r="O4641" s="38" t="s">
        <v>123</v>
      </c>
      <c r="P4641" s="38">
        <v>3600.0</v>
      </c>
      <c r="Q4641" s="39"/>
      <c r="R4641" s="39"/>
      <c r="S4641" s="39"/>
      <c r="T4641" s="39"/>
      <c r="U4641" s="39"/>
    </row>
    <row r="4642">
      <c r="A4642" s="40">
        <f t="shared" si="1"/>
        <v>46006</v>
      </c>
      <c r="B4642" s="37" t="str">
        <f t="array" ref="B4642">iferror(xlookup($I4642, 'IMPORT VHC Report'!$E:$E, 'IMPORT VHC Report'!$A:$C), )</f>
        <v/>
      </c>
      <c r="C4642" s="37"/>
      <c r="D4642" s="37"/>
      <c r="E4642" s="38" t="s">
        <v>5563</v>
      </c>
      <c r="F4642" s="38" t="s">
        <v>5541</v>
      </c>
      <c r="G4642" s="38">
        <v>3.61861297835E11</v>
      </c>
      <c r="H4642" s="38" t="s">
        <v>5542</v>
      </c>
      <c r="I4642" s="38" t="s">
        <v>5543</v>
      </c>
      <c r="J4642" s="38" t="s">
        <v>224</v>
      </c>
      <c r="K4642" s="38" t="s">
        <v>63</v>
      </c>
      <c r="L4642" s="41">
        <v>46009.15625</v>
      </c>
      <c r="M4642" s="38" t="s">
        <v>123</v>
      </c>
      <c r="N4642" s="41">
        <v>46009.25</v>
      </c>
      <c r="O4642" s="38" t="s">
        <v>123</v>
      </c>
      <c r="P4642" s="38">
        <v>8100.0</v>
      </c>
      <c r="Q4642" s="39"/>
      <c r="R4642" s="39"/>
      <c r="S4642" s="39"/>
      <c r="T4642" s="39"/>
      <c r="U4642" s="39"/>
    </row>
    <row r="4643">
      <c r="A4643" s="40">
        <f t="shared" si="1"/>
        <v>46006</v>
      </c>
      <c r="B4643" s="37" t="str">
        <f t="array" ref="B4643">iferror(xlookup($I4643, 'IMPORT VHC Report'!$E:$E, 'IMPORT VHC Report'!$A:$C), )</f>
        <v/>
      </c>
      <c r="C4643" s="37"/>
      <c r="D4643" s="37"/>
      <c r="E4643" s="38" t="s">
        <v>5564</v>
      </c>
      <c r="F4643" s="38" t="s">
        <v>5541</v>
      </c>
      <c r="G4643" s="38">
        <v>3.61861297835E11</v>
      </c>
      <c r="H4643" s="38" t="s">
        <v>5542</v>
      </c>
      <c r="I4643" s="38" t="s">
        <v>5543</v>
      </c>
      <c r="J4643" s="38" t="s">
        <v>125</v>
      </c>
      <c r="K4643" s="38" t="s">
        <v>126</v>
      </c>
      <c r="L4643" s="41">
        <v>46009.875</v>
      </c>
      <c r="M4643" s="38" t="s">
        <v>123</v>
      </c>
      <c r="N4643" s="41">
        <v>46009.885416666664</v>
      </c>
      <c r="O4643" s="38" t="s">
        <v>123</v>
      </c>
      <c r="P4643" s="38">
        <v>900.0</v>
      </c>
      <c r="Q4643" s="39"/>
      <c r="R4643" s="39"/>
      <c r="S4643" s="38" t="s">
        <v>5529</v>
      </c>
      <c r="T4643" s="39"/>
      <c r="U4643" s="39"/>
    </row>
    <row r="4644">
      <c r="A4644" s="40">
        <f t="shared" si="1"/>
        <v>46006</v>
      </c>
      <c r="B4644" s="37" t="str">
        <f t="array" ref="B4644">iferror(xlookup($I4644, 'IMPORT VHC Report'!$E:$E, 'IMPORT VHC Report'!$A:$C), )</f>
        <v/>
      </c>
      <c r="C4644" s="37"/>
      <c r="D4644" s="37"/>
      <c r="E4644" s="38" t="s">
        <v>5565</v>
      </c>
      <c r="F4644" s="38" t="s">
        <v>5541</v>
      </c>
      <c r="G4644" s="38">
        <v>3.61861297835E11</v>
      </c>
      <c r="H4644" s="38" t="s">
        <v>5542</v>
      </c>
      <c r="I4644" s="38" t="s">
        <v>5543</v>
      </c>
      <c r="J4644" s="38" t="s">
        <v>224</v>
      </c>
      <c r="K4644" s="38" t="s">
        <v>63</v>
      </c>
      <c r="L4644" s="41">
        <v>46009.875</v>
      </c>
      <c r="M4644" s="38" t="s">
        <v>123</v>
      </c>
      <c r="N4644" s="41">
        <v>46010.020833333336</v>
      </c>
      <c r="O4644" s="38" t="s">
        <v>123</v>
      </c>
      <c r="P4644" s="38">
        <v>12600.0</v>
      </c>
      <c r="Q4644" s="39"/>
      <c r="R4644" s="39"/>
      <c r="S4644" s="39"/>
      <c r="T4644" s="39"/>
      <c r="U4644" s="39"/>
    </row>
    <row r="4645">
      <c r="A4645" s="40">
        <f t="shared" si="1"/>
        <v>46006</v>
      </c>
      <c r="B4645" s="37" t="str">
        <f t="array" ref="B4645">iferror(xlookup($I4645, 'IMPORT VHC Report'!$E:$E, 'IMPORT VHC Report'!$A:$C), )</f>
        <v/>
      </c>
      <c r="C4645" s="37"/>
      <c r="D4645" s="37"/>
      <c r="E4645" s="38" t="s">
        <v>5566</v>
      </c>
      <c r="F4645" s="38" t="s">
        <v>5541</v>
      </c>
      <c r="G4645" s="38">
        <v>3.61861297835E11</v>
      </c>
      <c r="H4645" s="38" t="s">
        <v>5542</v>
      </c>
      <c r="I4645" s="38" t="s">
        <v>5543</v>
      </c>
      <c r="J4645" s="38" t="s">
        <v>134</v>
      </c>
      <c r="K4645" s="38" t="s">
        <v>126</v>
      </c>
      <c r="L4645" s="41">
        <v>46010.020833333336</v>
      </c>
      <c r="M4645" s="38" t="s">
        <v>123</v>
      </c>
      <c r="N4645" s="41">
        <v>46010.041666666664</v>
      </c>
      <c r="O4645" s="38" t="s">
        <v>123</v>
      </c>
      <c r="P4645" s="38">
        <v>1800.0</v>
      </c>
      <c r="Q4645" s="39"/>
      <c r="R4645" s="39"/>
      <c r="S4645" s="39"/>
      <c r="T4645" s="39"/>
      <c r="U4645" s="39"/>
    </row>
    <row r="4646">
      <c r="A4646" s="40">
        <f t="shared" si="1"/>
        <v>46006</v>
      </c>
      <c r="B4646" s="37" t="str">
        <f t="array" ref="B4646">iferror(xlookup($I4646, 'IMPORT VHC Report'!$E:$E, 'IMPORT VHC Report'!$A:$C), )</f>
        <v/>
      </c>
      <c r="C4646" s="37"/>
      <c r="D4646" s="37"/>
      <c r="E4646" s="38" t="s">
        <v>5567</v>
      </c>
      <c r="F4646" s="38" t="s">
        <v>5541</v>
      </c>
      <c r="G4646" s="38">
        <v>3.61861297835E11</v>
      </c>
      <c r="H4646" s="38" t="s">
        <v>5542</v>
      </c>
      <c r="I4646" s="38" t="s">
        <v>5543</v>
      </c>
      <c r="J4646" s="38" t="s">
        <v>224</v>
      </c>
      <c r="K4646" s="38" t="s">
        <v>63</v>
      </c>
      <c r="L4646" s="41">
        <v>46010.041666666664</v>
      </c>
      <c r="M4646" s="38" t="s">
        <v>123</v>
      </c>
      <c r="N4646" s="41">
        <v>46010.15625</v>
      </c>
      <c r="O4646" s="38" t="s">
        <v>123</v>
      </c>
      <c r="P4646" s="38">
        <v>9900.0</v>
      </c>
      <c r="Q4646" s="39"/>
      <c r="R4646" s="39"/>
      <c r="S4646" s="39"/>
      <c r="T4646" s="39"/>
      <c r="U4646" s="39"/>
    </row>
    <row r="4647">
      <c r="A4647" s="40">
        <f t="shared" si="1"/>
        <v>46006</v>
      </c>
      <c r="B4647" s="37" t="str">
        <f t="array" ref="B4647">iferror(xlookup($I4647, 'IMPORT VHC Report'!$E:$E, 'IMPORT VHC Report'!$A:$C), )</f>
        <v/>
      </c>
      <c r="C4647" s="37"/>
      <c r="D4647" s="37"/>
      <c r="E4647" s="38" t="s">
        <v>5568</v>
      </c>
      <c r="F4647" s="38" t="s">
        <v>5541</v>
      </c>
      <c r="G4647" s="38">
        <v>3.61861297835E11</v>
      </c>
      <c r="H4647" s="38" t="s">
        <v>5542</v>
      </c>
      <c r="I4647" s="38" t="s">
        <v>5543</v>
      </c>
      <c r="J4647" s="38" t="s">
        <v>132</v>
      </c>
      <c r="K4647" s="38" t="s">
        <v>126</v>
      </c>
      <c r="L4647" s="41">
        <v>46010.15625</v>
      </c>
      <c r="M4647" s="38" t="s">
        <v>123</v>
      </c>
      <c r="N4647" s="41">
        <v>46010.197916666664</v>
      </c>
      <c r="O4647" s="38" t="s">
        <v>123</v>
      </c>
      <c r="P4647" s="38">
        <v>3600.0</v>
      </c>
      <c r="Q4647" s="39"/>
      <c r="R4647" s="39"/>
      <c r="S4647" s="39"/>
      <c r="T4647" s="39"/>
      <c r="U4647" s="39"/>
    </row>
    <row r="4648">
      <c r="A4648" s="40">
        <f t="shared" si="1"/>
        <v>46006</v>
      </c>
      <c r="B4648" s="37" t="str">
        <f t="array" ref="B4648">iferror(xlookup($I4648, 'IMPORT VHC Report'!$E:$E, 'IMPORT VHC Report'!$A:$C), )</f>
        <v/>
      </c>
      <c r="C4648" s="37"/>
      <c r="D4648" s="37"/>
      <c r="E4648" s="38" t="s">
        <v>5569</v>
      </c>
      <c r="F4648" s="38" t="s">
        <v>5541</v>
      </c>
      <c r="G4648" s="38">
        <v>3.61861297835E11</v>
      </c>
      <c r="H4648" s="38" t="s">
        <v>5542</v>
      </c>
      <c r="I4648" s="38" t="s">
        <v>5543</v>
      </c>
      <c r="J4648" s="38" t="s">
        <v>224</v>
      </c>
      <c r="K4648" s="38" t="s">
        <v>63</v>
      </c>
      <c r="L4648" s="41">
        <v>46010.197916666664</v>
      </c>
      <c r="M4648" s="38" t="s">
        <v>123</v>
      </c>
      <c r="N4648" s="41">
        <v>46010.25</v>
      </c>
      <c r="O4648" s="38" t="s">
        <v>123</v>
      </c>
      <c r="P4648" s="38">
        <v>4500.0</v>
      </c>
      <c r="Q4648" s="39"/>
      <c r="R4648" s="39"/>
      <c r="S4648" s="39"/>
      <c r="T4648" s="39"/>
      <c r="U4648" s="39"/>
    </row>
    <row r="4649">
      <c r="A4649" s="40">
        <f t="shared" si="1"/>
        <v>46006</v>
      </c>
      <c r="B4649" s="37" t="str">
        <f t="array" ref="B4649">iferror(xlookup($I4649, 'IMPORT VHC Report'!$E:$E, 'IMPORT VHC Report'!$A:$C), )</f>
        <v/>
      </c>
      <c r="C4649" s="37"/>
      <c r="D4649" s="37"/>
      <c r="E4649" s="38" t="s">
        <v>5570</v>
      </c>
      <c r="F4649" s="38" t="s">
        <v>5541</v>
      </c>
      <c r="G4649" s="38">
        <v>3.61861297835E11</v>
      </c>
      <c r="H4649" s="38" t="s">
        <v>5542</v>
      </c>
      <c r="I4649" s="38" t="s">
        <v>5543</v>
      </c>
      <c r="J4649" s="38" t="s">
        <v>152</v>
      </c>
      <c r="K4649" s="38" t="s">
        <v>153</v>
      </c>
      <c r="L4649" s="41">
        <v>46010.875</v>
      </c>
      <c r="M4649" s="38" t="s">
        <v>123</v>
      </c>
      <c r="N4649" s="41">
        <v>46011.208333333336</v>
      </c>
      <c r="O4649" s="38" t="s">
        <v>123</v>
      </c>
      <c r="P4649" s="38">
        <v>28800.0</v>
      </c>
      <c r="Q4649" s="38">
        <v>28800.0</v>
      </c>
      <c r="R4649" s="39"/>
      <c r="S4649" s="39"/>
      <c r="T4649" s="39"/>
      <c r="U4649" s="39"/>
    </row>
    <row r="4650">
      <c r="A4650" s="40">
        <f t="shared" si="1"/>
        <v>46006</v>
      </c>
      <c r="B4650" s="37" t="str">
        <f t="array" ref="B4650">iferror(xlookup($I4650, 'IMPORT VHC Report'!$E:$E, 'IMPORT VHC Report'!$A:$C), )</f>
        <v/>
      </c>
      <c r="C4650" s="37"/>
      <c r="D4650" s="37"/>
      <c r="E4650" s="38" t="s">
        <v>5571</v>
      </c>
      <c r="F4650" s="38" t="s">
        <v>5541</v>
      </c>
      <c r="G4650" s="38">
        <v>3.61861297835E11</v>
      </c>
      <c r="H4650" s="38" t="s">
        <v>5542</v>
      </c>
      <c r="I4650" s="38" t="s">
        <v>5543</v>
      </c>
      <c r="J4650" s="38" t="s">
        <v>132</v>
      </c>
      <c r="K4650" s="38" t="s">
        <v>126</v>
      </c>
      <c r="L4650" s="41">
        <v>46011.03125</v>
      </c>
      <c r="M4650" s="38" t="s">
        <v>123</v>
      </c>
      <c r="N4650" s="41">
        <v>46011.072916666664</v>
      </c>
      <c r="O4650" s="38" t="s">
        <v>123</v>
      </c>
      <c r="P4650" s="38">
        <v>3600.0</v>
      </c>
      <c r="Q4650" s="39"/>
      <c r="R4650" s="39"/>
      <c r="S4650" s="39"/>
      <c r="T4650" s="39"/>
      <c r="U4650" s="39"/>
    </row>
    <row r="4651">
      <c r="A4651" s="40">
        <f t="shared" si="1"/>
        <v>46006</v>
      </c>
      <c r="B4651" s="37" t="str">
        <f t="array" ref="B4651">iferror(xlookup($I4651, 'IMPORT VHC Report'!$E:$E, 'IMPORT VHC Report'!$A:$C), )</f>
        <v/>
      </c>
      <c r="C4651" s="37"/>
      <c r="D4651" s="37"/>
      <c r="E4651" s="38" t="s">
        <v>5572</v>
      </c>
      <c r="F4651" s="38" t="s">
        <v>5541</v>
      </c>
      <c r="G4651" s="38">
        <v>3.61861297835E11</v>
      </c>
      <c r="H4651" s="38" t="s">
        <v>5542</v>
      </c>
      <c r="I4651" s="38" t="s">
        <v>5543</v>
      </c>
      <c r="J4651" s="38" t="s">
        <v>224</v>
      </c>
      <c r="K4651" s="38" t="s">
        <v>63</v>
      </c>
      <c r="L4651" s="41">
        <v>46011.072916666664</v>
      </c>
      <c r="M4651" s="38" t="s">
        <v>123</v>
      </c>
      <c r="N4651" s="41">
        <v>46011.166666666664</v>
      </c>
      <c r="O4651" s="38" t="s">
        <v>123</v>
      </c>
      <c r="P4651" s="38">
        <v>8100.0</v>
      </c>
      <c r="Q4651" s="39"/>
      <c r="R4651" s="39"/>
      <c r="S4651" s="39"/>
      <c r="T4651" s="39"/>
      <c r="U4651" s="39"/>
    </row>
    <row r="4652">
      <c r="A4652" s="40">
        <f t="shared" si="1"/>
        <v>46006</v>
      </c>
      <c r="B4652" s="37" t="str">
        <f t="array" ref="B4652">iferror(xlookup($I4652, 'IMPORT VHC Report'!$E:$E, 'IMPORT VHC Report'!$A:$C), )</f>
        <v/>
      </c>
      <c r="C4652" s="37"/>
      <c r="D4652" s="37"/>
      <c r="E4652" s="38" t="s">
        <v>5573</v>
      </c>
      <c r="F4652" s="38" t="s">
        <v>5541</v>
      </c>
      <c r="G4652" s="38">
        <v>3.61861297835E11</v>
      </c>
      <c r="H4652" s="38" t="s">
        <v>5542</v>
      </c>
      <c r="I4652" s="38" t="s">
        <v>5543</v>
      </c>
      <c r="J4652" s="38" t="s">
        <v>134</v>
      </c>
      <c r="K4652" s="38" t="s">
        <v>126</v>
      </c>
      <c r="L4652" s="41">
        <v>46011.166666666664</v>
      </c>
      <c r="M4652" s="38" t="s">
        <v>123</v>
      </c>
      <c r="N4652" s="41">
        <v>46011.1875</v>
      </c>
      <c r="O4652" s="38" t="s">
        <v>123</v>
      </c>
      <c r="P4652" s="38">
        <v>1800.0</v>
      </c>
      <c r="Q4652" s="39"/>
      <c r="R4652" s="39"/>
      <c r="S4652" s="39"/>
      <c r="T4652" s="39"/>
      <c r="U4652" s="39"/>
    </row>
    <row r="4653">
      <c r="A4653" s="40">
        <f t="shared" si="1"/>
        <v>46006</v>
      </c>
      <c r="B4653" s="37" t="str">
        <f t="array" ref="B4653">iferror(xlookup($I4653, 'IMPORT VHC Report'!$E:$E, 'IMPORT VHC Report'!$A:$C), )</f>
        <v/>
      </c>
      <c r="C4653" s="37"/>
      <c r="D4653" s="37"/>
      <c r="E4653" s="38" t="s">
        <v>5574</v>
      </c>
      <c r="F4653" s="38" t="s">
        <v>5575</v>
      </c>
      <c r="G4653" s="38">
        <v>3.61694638315E11</v>
      </c>
      <c r="H4653" s="38" t="s">
        <v>5576</v>
      </c>
      <c r="I4653" s="38" t="s">
        <v>5577</v>
      </c>
      <c r="J4653" s="38" t="s">
        <v>4</v>
      </c>
      <c r="K4653" s="38" t="s">
        <v>126</v>
      </c>
      <c r="L4653" s="41">
        <v>46006.875</v>
      </c>
      <c r="M4653" s="38" t="s">
        <v>123</v>
      </c>
      <c r="N4653" s="41">
        <v>46006.895833333336</v>
      </c>
      <c r="O4653" s="38" t="s">
        <v>123</v>
      </c>
      <c r="P4653" s="38">
        <v>1800.0</v>
      </c>
      <c r="Q4653" s="39"/>
      <c r="R4653" s="39"/>
      <c r="S4653" s="39"/>
      <c r="T4653" s="39"/>
      <c r="U4653" s="39"/>
    </row>
    <row r="4654">
      <c r="A4654" s="40">
        <f t="shared" si="1"/>
        <v>46006</v>
      </c>
      <c r="B4654" s="37" t="str">
        <f t="array" ref="B4654">iferror(xlookup($I4654, 'IMPORT VHC Report'!$E:$E, 'IMPORT VHC Report'!$A:$C), )</f>
        <v/>
      </c>
      <c r="C4654" s="37"/>
      <c r="D4654" s="37"/>
      <c r="E4654" s="38" t="s">
        <v>5578</v>
      </c>
      <c r="F4654" s="38" t="s">
        <v>5575</v>
      </c>
      <c r="G4654" s="38">
        <v>3.61694638315E11</v>
      </c>
      <c r="H4654" s="38" t="s">
        <v>5576</v>
      </c>
      <c r="I4654" s="38" t="s">
        <v>5577</v>
      </c>
      <c r="J4654" s="38" t="s">
        <v>530</v>
      </c>
      <c r="K4654" s="38" t="s">
        <v>63</v>
      </c>
      <c r="L4654" s="41">
        <v>46006.875</v>
      </c>
      <c r="M4654" s="38" t="s">
        <v>123</v>
      </c>
      <c r="N4654" s="41">
        <v>46007.25</v>
      </c>
      <c r="O4654" s="38" t="s">
        <v>123</v>
      </c>
      <c r="P4654" s="38">
        <v>32400.0</v>
      </c>
      <c r="Q4654" s="39"/>
      <c r="R4654" s="39"/>
      <c r="S4654" s="39"/>
      <c r="T4654" s="39"/>
      <c r="U4654" s="39"/>
    </row>
    <row r="4655">
      <c r="A4655" s="40">
        <f t="shared" si="1"/>
        <v>46006</v>
      </c>
      <c r="B4655" s="37" t="str">
        <f t="array" ref="B4655">iferror(xlookup($I4655, 'IMPORT VHC Report'!$E:$E, 'IMPORT VHC Report'!$A:$C), )</f>
        <v/>
      </c>
      <c r="C4655" s="37"/>
      <c r="D4655" s="37"/>
      <c r="E4655" s="38" t="s">
        <v>5579</v>
      </c>
      <c r="F4655" s="38" t="s">
        <v>5575</v>
      </c>
      <c r="G4655" s="38">
        <v>3.61694638315E11</v>
      </c>
      <c r="H4655" s="38" t="s">
        <v>5576</v>
      </c>
      <c r="I4655" s="38" t="s">
        <v>5577</v>
      </c>
      <c r="J4655" s="38" t="s">
        <v>134</v>
      </c>
      <c r="K4655" s="38" t="s">
        <v>126</v>
      </c>
      <c r="L4655" s="41">
        <v>46007.1875</v>
      </c>
      <c r="M4655" s="38" t="s">
        <v>123</v>
      </c>
      <c r="N4655" s="41">
        <v>46007.208333333336</v>
      </c>
      <c r="O4655" s="38" t="s">
        <v>123</v>
      </c>
      <c r="P4655" s="38">
        <v>1800.0</v>
      </c>
      <c r="Q4655" s="39"/>
      <c r="R4655" s="39"/>
      <c r="S4655" s="39"/>
      <c r="T4655" s="39"/>
      <c r="U4655" s="39"/>
    </row>
    <row r="4656">
      <c r="A4656" s="40">
        <f t="shared" si="1"/>
        <v>46006</v>
      </c>
      <c r="B4656" s="37" t="str">
        <f t="array" ref="B4656">iferror(xlookup($I4656, 'IMPORT VHC Report'!$E:$E, 'IMPORT VHC Report'!$A:$C), )</f>
        <v/>
      </c>
      <c r="C4656" s="37"/>
      <c r="D4656" s="37"/>
      <c r="E4656" s="38" t="s">
        <v>5580</v>
      </c>
      <c r="F4656" s="38" t="s">
        <v>5575</v>
      </c>
      <c r="G4656" s="38">
        <v>3.61694638315E11</v>
      </c>
      <c r="H4656" s="38" t="s">
        <v>5576</v>
      </c>
      <c r="I4656" s="38" t="s">
        <v>5577</v>
      </c>
      <c r="J4656" s="38" t="s">
        <v>132</v>
      </c>
      <c r="K4656" s="38" t="s">
        <v>126</v>
      </c>
      <c r="L4656" s="41">
        <v>46007.208333333336</v>
      </c>
      <c r="M4656" s="38" t="s">
        <v>123</v>
      </c>
      <c r="N4656" s="41">
        <v>46007.25</v>
      </c>
      <c r="O4656" s="38" t="s">
        <v>123</v>
      </c>
      <c r="P4656" s="38">
        <v>3600.0</v>
      </c>
      <c r="Q4656" s="39"/>
      <c r="R4656" s="39"/>
      <c r="S4656" s="39"/>
      <c r="T4656" s="39"/>
      <c r="U4656" s="39"/>
    </row>
    <row r="4657">
      <c r="A4657" s="40">
        <f t="shared" si="1"/>
        <v>46006</v>
      </c>
      <c r="B4657" s="37" t="str">
        <f t="array" ref="B4657">iferror(xlookup($I4657, 'IMPORT VHC Report'!$E:$E, 'IMPORT VHC Report'!$A:$C), )</f>
        <v/>
      </c>
      <c r="C4657" s="37"/>
      <c r="D4657" s="37"/>
      <c r="E4657" s="38" t="s">
        <v>5581</v>
      </c>
      <c r="F4657" s="38" t="s">
        <v>5575</v>
      </c>
      <c r="G4657" s="38">
        <v>3.61694638315E11</v>
      </c>
      <c r="H4657" s="38" t="s">
        <v>5576</v>
      </c>
      <c r="I4657" s="38" t="s">
        <v>5577</v>
      </c>
      <c r="J4657" s="38" t="s">
        <v>4</v>
      </c>
      <c r="K4657" s="38" t="s">
        <v>126</v>
      </c>
      <c r="L4657" s="41">
        <v>46007.875</v>
      </c>
      <c r="M4657" s="38" t="s">
        <v>123</v>
      </c>
      <c r="N4657" s="41">
        <v>46007.895833333336</v>
      </c>
      <c r="O4657" s="38" t="s">
        <v>123</v>
      </c>
      <c r="P4657" s="38">
        <v>1800.0</v>
      </c>
      <c r="Q4657" s="39"/>
      <c r="R4657" s="39"/>
      <c r="S4657" s="39"/>
      <c r="T4657" s="39"/>
      <c r="U4657" s="39"/>
    </row>
    <row r="4658">
      <c r="A4658" s="40">
        <f t="shared" si="1"/>
        <v>46006</v>
      </c>
      <c r="B4658" s="37" t="str">
        <f t="array" ref="B4658">iferror(xlookup($I4658, 'IMPORT VHC Report'!$E:$E, 'IMPORT VHC Report'!$A:$C), )</f>
        <v/>
      </c>
      <c r="C4658" s="37"/>
      <c r="D4658" s="37"/>
      <c r="E4658" s="38" t="s">
        <v>5582</v>
      </c>
      <c r="F4658" s="38" t="s">
        <v>5575</v>
      </c>
      <c r="G4658" s="38">
        <v>3.61694638315E11</v>
      </c>
      <c r="H4658" s="38" t="s">
        <v>5576</v>
      </c>
      <c r="I4658" s="38" t="s">
        <v>5577</v>
      </c>
      <c r="J4658" s="38" t="s">
        <v>530</v>
      </c>
      <c r="K4658" s="38" t="s">
        <v>63</v>
      </c>
      <c r="L4658" s="41">
        <v>46007.875</v>
      </c>
      <c r="M4658" s="38" t="s">
        <v>123</v>
      </c>
      <c r="N4658" s="41">
        <v>46008.25</v>
      </c>
      <c r="O4658" s="38" t="s">
        <v>123</v>
      </c>
      <c r="P4658" s="38">
        <v>32400.0</v>
      </c>
      <c r="Q4658" s="39"/>
      <c r="R4658" s="39"/>
      <c r="S4658" s="39"/>
      <c r="T4658" s="39"/>
      <c r="U4658" s="39"/>
    </row>
    <row r="4659">
      <c r="A4659" s="40">
        <f t="shared" si="1"/>
        <v>46006</v>
      </c>
      <c r="B4659" s="37" t="str">
        <f t="array" ref="B4659">iferror(xlookup($I4659, 'IMPORT VHC Report'!$E:$E, 'IMPORT VHC Report'!$A:$C), )</f>
        <v/>
      </c>
      <c r="C4659" s="37"/>
      <c r="D4659" s="37"/>
      <c r="E4659" s="38" t="s">
        <v>5583</v>
      </c>
      <c r="F4659" s="38" t="s">
        <v>5575</v>
      </c>
      <c r="G4659" s="38">
        <v>3.61694638315E11</v>
      </c>
      <c r="H4659" s="38" t="s">
        <v>5576</v>
      </c>
      <c r="I4659" s="38" t="s">
        <v>5577</v>
      </c>
      <c r="J4659" s="38" t="s">
        <v>4</v>
      </c>
      <c r="K4659" s="38" t="s">
        <v>126</v>
      </c>
      <c r="L4659" s="41">
        <v>46007.895833333336</v>
      </c>
      <c r="M4659" s="38" t="s">
        <v>123</v>
      </c>
      <c r="N4659" s="41">
        <v>46007.9375</v>
      </c>
      <c r="O4659" s="38" t="s">
        <v>123</v>
      </c>
      <c r="P4659" s="38">
        <v>3600.0</v>
      </c>
      <c r="Q4659" s="39"/>
      <c r="R4659" s="39"/>
      <c r="S4659" s="38" t="s">
        <v>1209</v>
      </c>
      <c r="T4659" s="39"/>
      <c r="U4659" s="39"/>
    </row>
    <row r="4660">
      <c r="A4660" s="40">
        <f t="shared" si="1"/>
        <v>46006</v>
      </c>
      <c r="B4660" s="37" t="str">
        <f t="array" ref="B4660">iferror(xlookup($I4660, 'IMPORT VHC Report'!$E:$E, 'IMPORT VHC Report'!$A:$C), )</f>
        <v/>
      </c>
      <c r="C4660" s="37"/>
      <c r="D4660" s="37"/>
      <c r="E4660" s="38" t="s">
        <v>5584</v>
      </c>
      <c r="F4660" s="38" t="s">
        <v>5575</v>
      </c>
      <c r="G4660" s="38">
        <v>3.61694638315E11</v>
      </c>
      <c r="H4660" s="38" t="s">
        <v>5576</v>
      </c>
      <c r="I4660" s="38" t="s">
        <v>5577</v>
      </c>
      <c r="J4660" s="38" t="s">
        <v>136</v>
      </c>
      <c r="K4660" s="38" t="s">
        <v>126</v>
      </c>
      <c r="L4660" s="41">
        <v>46007.9375</v>
      </c>
      <c r="M4660" s="38" t="s">
        <v>123</v>
      </c>
      <c r="N4660" s="41">
        <v>46007.989583333336</v>
      </c>
      <c r="O4660" s="38" t="s">
        <v>123</v>
      </c>
      <c r="P4660" s="38">
        <v>4500.0</v>
      </c>
      <c r="Q4660" s="39"/>
      <c r="R4660" s="39"/>
      <c r="S4660" s="38" t="s">
        <v>5585</v>
      </c>
      <c r="T4660" s="39"/>
      <c r="U4660" s="39"/>
    </row>
    <row r="4661">
      <c r="A4661" s="40">
        <f t="shared" si="1"/>
        <v>46006</v>
      </c>
      <c r="B4661" s="37" t="str">
        <f t="array" ref="B4661">iferror(xlookup($I4661, 'IMPORT VHC Report'!$E:$E, 'IMPORT VHC Report'!$A:$C), )</f>
        <v/>
      </c>
      <c r="C4661" s="37"/>
      <c r="D4661" s="37"/>
      <c r="E4661" s="38" t="s">
        <v>5586</v>
      </c>
      <c r="F4661" s="38" t="s">
        <v>5575</v>
      </c>
      <c r="G4661" s="38">
        <v>3.61694638315E11</v>
      </c>
      <c r="H4661" s="38" t="s">
        <v>5576</v>
      </c>
      <c r="I4661" s="38" t="s">
        <v>5577</v>
      </c>
      <c r="J4661" s="38" t="s">
        <v>134</v>
      </c>
      <c r="K4661" s="38" t="s">
        <v>126</v>
      </c>
      <c r="L4661" s="41">
        <v>46008.125</v>
      </c>
      <c r="M4661" s="38" t="s">
        <v>123</v>
      </c>
      <c r="N4661" s="41">
        <v>46008.145833333336</v>
      </c>
      <c r="O4661" s="38" t="s">
        <v>123</v>
      </c>
      <c r="P4661" s="38">
        <v>1800.0</v>
      </c>
      <c r="Q4661" s="39"/>
      <c r="R4661" s="39"/>
      <c r="S4661" s="39"/>
      <c r="T4661" s="39"/>
      <c r="U4661" s="39"/>
    </row>
    <row r="4662">
      <c r="A4662" s="40">
        <f t="shared" si="1"/>
        <v>46006</v>
      </c>
      <c r="B4662" s="37" t="str">
        <f t="array" ref="B4662">iferror(xlookup($I4662, 'IMPORT VHC Report'!$E:$E, 'IMPORT VHC Report'!$A:$C), )</f>
        <v/>
      </c>
      <c r="C4662" s="37"/>
      <c r="D4662" s="37"/>
      <c r="E4662" s="38" t="s">
        <v>5587</v>
      </c>
      <c r="F4662" s="38" t="s">
        <v>5575</v>
      </c>
      <c r="G4662" s="38">
        <v>3.61694638315E11</v>
      </c>
      <c r="H4662" s="38" t="s">
        <v>5576</v>
      </c>
      <c r="I4662" s="38" t="s">
        <v>5577</v>
      </c>
      <c r="J4662" s="38" t="s">
        <v>132</v>
      </c>
      <c r="K4662" s="38" t="s">
        <v>126</v>
      </c>
      <c r="L4662" s="41">
        <v>46008.145833333336</v>
      </c>
      <c r="M4662" s="38" t="s">
        <v>123</v>
      </c>
      <c r="N4662" s="41">
        <v>46008.1875</v>
      </c>
      <c r="O4662" s="38" t="s">
        <v>123</v>
      </c>
      <c r="P4662" s="38">
        <v>3600.0</v>
      </c>
      <c r="Q4662" s="39"/>
      <c r="R4662" s="39"/>
      <c r="S4662" s="39"/>
      <c r="T4662" s="39"/>
      <c r="U4662" s="39"/>
    </row>
    <row r="4663">
      <c r="A4663" s="40">
        <f t="shared" si="1"/>
        <v>46006</v>
      </c>
      <c r="B4663" s="37" t="str">
        <f t="array" ref="B4663">iferror(xlookup($I4663, 'IMPORT VHC Report'!$E:$E, 'IMPORT VHC Report'!$A:$C), )</f>
        <v/>
      </c>
      <c r="C4663" s="37"/>
      <c r="D4663" s="37"/>
      <c r="E4663" s="38" t="s">
        <v>5588</v>
      </c>
      <c r="F4663" s="38" t="s">
        <v>5575</v>
      </c>
      <c r="G4663" s="38">
        <v>3.61694638315E11</v>
      </c>
      <c r="H4663" s="38" t="s">
        <v>5576</v>
      </c>
      <c r="I4663" s="38" t="s">
        <v>5577</v>
      </c>
      <c r="J4663" s="38" t="s">
        <v>4</v>
      </c>
      <c r="K4663" s="38" t="s">
        <v>126</v>
      </c>
      <c r="L4663" s="41">
        <v>46008.875</v>
      </c>
      <c r="M4663" s="38" t="s">
        <v>123</v>
      </c>
      <c r="N4663" s="41">
        <v>46008.895833333336</v>
      </c>
      <c r="O4663" s="38" t="s">
        <v>123</v>
      </c>
      <c r="P4663" s="38">
        <v>1800.0</v>
      </c>
      <c r="Q4663" s="39"/>
      <c r="R4663" s="39"/>
      <c r="S4663" s="39"/>
      <c r="T4663" s="39"/>
      <c r="U4663" s="39"/>
    </row>
    <row r="4664">
      <c r="A4664" s="40">
        <f t="shared" si="1"/>
        <v>46006</v>
      </c>
      <c r="B4664" s="37" t="str">
        <f t="array" ref="B4664">iferror(xlookup($I4664, 'IMPORT VHC Report'!$E:$E, 'IMPORT VHC Report'!$A:$C), )</f>
        <v/>
      </c>
      <c r="C4664" s="37"/>
      <c r="D4664" s="37"/>
      <c r="E4664" s="38" t="s">
        <v>5589</v>
      </c>
      <c r="F4664" s="38" t="s">
        <v>5575</v>
      </c>
      <c r="G4664" s="38">
        <v>3.61694638315E11</v>
      </c>
      <c r="H4664" s="38" t="s">
        <v>5576</v>
      </c>
      <c r="I4664" s="38" t="s">
        <v>5577</v>
      </c>
      <c r="J4664" s="38" t="s">
        <v>530</v>
      </c>
      <c r="K4664" s="38" t="s">
        <v>63</v>
      </c>
      <c r="L4664" s="41">
        <v>46008.875</v>
      </c>
      <c r="M4664" s="38" t="s">
        <v>123</v>
      </c>
      <c r="N4664" s="41">
        <v>46009.25</v>
      </c>
      <c r="O4664" s="38" t="s">
        <v>123</v>
      </c>
      <c r="P4664" s="38">
        <v>32400.0</v>
      </c>
      <c r="Q4664" s="39"/>
      <c r="R4664" s="39"/>
      <c r="S4664" s="39"/>
      <c r="T4664" s="39"/>
      <c r="U4664" s="39"/>
    </row>
    <row r="4665">
      <c r="A4665" s="40">
        <f t="shared" si="1"/>
        <v>46006</v>
      </c>
      <c r="B4665" s="37" t="str">
        <f t="array" ref="B4665">iferror(xlookup($I4665, 'IMPORT VHC Report'!$E:$E, 'IMPORT VHC Report'!$A:$C), )</f>
        <v/>
      </c>
      <c r="C4665" s="37"/>
      <c r="D4665" s="37"/>
      <c r="E4665" s="38" t="s">
        <v>5590</v>
      </c>
      <c r="F4665" s="38" t="s">
        <v>5575</v>
      </c>
      <c r="G4665" s="38">
        <v>3.61694638315E11</v>
      </c>
      <c r="H4665" s="38" t="s">
        <v>5576</v>
      </c>
      <c r="I4665" s="38" t="s">
        <v>5577</v>
      </c>
      <c r="J4665" s="38" t="s">
        <v>134</v>
      </c>
      <c r="K4665" s="38" t="s">
        <v>126</v>
      </c>
      <c r="L4665" s="41">
        <v>46009.1875</v>
      </c>
      <c r="M4665" s="38" t="s">
        <v>123</v>
      </c>
      <c r="N4665" s="41">
        <v>46009.208333333336</v>
      </c>
      <c r="O4665" s="38" t="s">
        <v>123</v>
      </c>
      <c r="P4665" s="38">
        <v>1800.0</v>
      </c>
      <c r="Q4665" s="39"/>
      <c r="R4665" s="39"/>
      <c r="S4665" s="39"/>
      <c r="T4665" s="39"/>
      <c r="U4665" s="39"/>
    </row>
    <row r="4666">
      <c r="A4666" s="40">
        <f t="shared" si="1"/>
        <v>46006</v>
      </c>
      <c r="B4666" s="37" t="str">
        <f t="array" ref="B4666">iferror(xlookup($I4666, 'IMPORT VHC Report'!$E:$E, 'IMPORT VHC Report'!$A:$C), )</f>
        <v/>
      </c>
      <c r="C4666" s="37"/>
      <c r="D4666" s="37"/>
      <c r="E4666" s="38" t="s">
        <v>5591</v>
      </c>
      <c r="F4666" s="38" t="s">
        <v>5575</v>
      </c>
      <c r="G4666" s="38">
        <v>3.61694638315E11</v>
      </c>
      <c r="H4666" s="38" t="s">
        <v>5576</v>
      </c>
      <c r="I4666" s="38" t="s">
        <v>5577</v>
      </c>
      <c r="J4666" s="38" t="s">
        <v>132</v>
      </c>
      <c r="K4666" s="38" t="s">
        <v>126</v>
      </c>
      <c r="L4666" s="41">
        <v>46009.208333333336</v>
      </c>
      <c r="M4666" s="38" t="s">
        <v>123</v>
      </c>
      <c r="N4666" s="41">
        <v>46009.25</v>
      </c>
      <c r="O4666" s="38" t="s">
        <v>123</v>
      </c>
      <c r="P4666" s="38">
        <v>3600.0</v>
      </c>
      <c r="Q4666" s="39"/>
      <c r="R4666" s="39"/>
      <c r="S4666" s="39"/>
      <c r="T4666" s="39"/>
      <c r="U4666" s="39"/>
    </row>
    <row r="4667">
      <c r="A4667" s="40">
        <f t="shared" si="1"/>
        <v>46006</v>
      </c>
      <c r="B4667" s="37" t="str">
        <f t="array" ref="B4667">iferror(xlookup($I4667, 'IMPORT VHC Report'!$E:$E, 'IMPORT VHC Report'!$A:$C), )</f>
        <v/>
      </c>
      <c r="C4667" s="37"/>
      <c r="D4667" s="37"/>
      <c r="E4667" s="38" t="s">
        <v>5592</v>
      </c>
      <c r="F4667" s="38" t="s">
        <v>5575</v>
      </c>
      <c r="G4667" s="38">
        <v>3.61694638315E11</v>
      </c>
      <c r="H4667" s="38" t="s">
        <v>5576</v>
      </c>
      <c r="I4667" s="38" t="s">
        <v>5577</v>
      </c>
      <c r="J4667" s="38" t="s">
        <v>4</v>
      </c>
      <c r="K4667" s="38" t="s">
        <v>126</v>
      </c>
      <c r="L4667" s="41">
        <v>46009.875</v>
      </c>
      <c r="M4667" s="38" t="s">
        <v>123</v>
      </c>
      <c r="N4667" s="41">
        <v>46009.895833333336</v>
      </c>
      <c r="O4667" s="38" t="s">
        <v>123</v>
      </c>
      <c r="P4667" s="38">
        <v>1800.0</v>
      </c>
      <c r="Q4667" s="39"/>
      <c r="R4667" s="39"/>
      <c r="S4667" s="39"/>
      <c r="T4667" s="39"/>
      <c r="U4667" s="39"/>
    </row>
    <row r="4668">
      <c r="A4668" s="40">
        <f t="shared" si="1"/>
        <v>46006</v>
      </c>
      <c r="B4668" s="37" t="str">
        <f t="array" ref="B4668">iferror(xlookup($I4668, 'IMPORT VHC Report'!$E:$E, 'IMPORT VHC Report'!$A:$C), )</f>
        <v/>
      </c>
      <c r="C4668" s="37"/>
      <c r="D4668" s="37"/>
      <c r="E4668" s="38" t="s">
        <v>5593</v>
      </c>
      <c r="F4668" s="38" t="s">
        <v>5575</v>
      </c>
      <c r="G4668" s="38">
        <v>3.61694638315E11</v>
      </c>
      <c r="H4668" s="38" t="s">
        <v>5576</v>
      </c>
      <c r="I4668" s="38" t="s">
        <v>5577</v>
      </c>
      <c r="J4668" s="38" t="s">
        <v>530</v>
      </c>
      <c r="K4668" s="38" t="s">
        <v>63</v>
      </c>
      <c r="L4668" s="41">
        <v>46009.875</v>
      </c>
      <c r="M4668" s="38" t="s">
        <v>123</v>
      </c>
      <c r="N4668" s="41">
        <v>46010.25</v>
      </c>
      <c r="O4668" s="38" t="s">
        <v>123</v>
      </c>
      <c r="P4668" s="38">
        <v>32400.0</v>
      </c>
      <c r="Q4668" s="39"/>
      <c r="R4668" s="39"/>
      <c r="S4668" s="39"/>
      <c r="T4668" s="39"/>
      <c r="U4668" s="39"/>
    </row>
    <row r="4669">
      <c r="A4669" s="40">
        <f t="shared" si="1"/>
        <v>46006</v>
      </c>
      <c r="B4669" s="37" t="str">
        <f t="array" ref="B4669">iferror(xlookup($I4669, 'IMPORT VHC Report'!$E:$E, 'IMPORT VHC Report'!$A:$C), )</f>
        <v/>
      </c>
      <c r="C4669" s="37"/>
      <c r="D4669" s="37"/>
      <c r="E4669" s="38" t="s">
        <v>5594</v>
      </c>
      <c r="F4669" s="38" t="s">
        <v>5575</v>
      </c>
      <c r="G4669" s="38">
        <v>3.61694638315E11</v>
      </c>
      <c r="H4669" s="38" t="s">
        <v>5576</v>
      </c>
      <c r="I4669" s="38" t="s">
        <v>5577</v>
      </c>
      <c r="J4669" s="38" t="s">
        <v>136</v>
      </c>
      <c r="K4669" s="38" t="s">
        <v>126</v>
      </c>
      <c r="L4669" s="41">
        <v>46009.916666666664</v>
      </c>
      <c r="M4669" s="38" t="s">
        <v>123</v>
      </c>
      <c r="N4669" s="41">
        <v>46009.958333333336</v>
      </c>
      <c r="O4669" s="38" t="s">
        <v>123</v>
      </c>
      <c r="P4669" s="38">
        <v>3600.0</v>
      </c>
      <c r="Q4669" s="39"/>
      <c r="R4669" s="39"/>
      <c r="S4669" s="38" t="s">
        <v>4166</v>
      </c>
      <c r="T4669" s="39"/>
      <c r="U4669" s="39"/>
    </row>
    <row r="4670">
      <c r="A4670" s="40">
        <f t="shared" si="1"/>
        <v>46006</v>
      </c>
      <c r="B4670" s="37" t="str">
        <f t="array" ref="B4670">iferror(xlookup($I4670, 'IMPORT VHC Report'!$E:$E, 'IMPORT VHC Report'!$A:$C), )</f>
        <v/>
      </c>
      <c r="C4670" s="37"/>
      <c r="D4670" s="37"/>
      <c r="E4670" s="38" t="s">
        <v>5595</v>
      </c>
      <c r="F4670" s="38" t="s">
        <v>5575</v>
      </c>
      <c r="G4670" s="38">
        <v>3.61694638315E11</v>
      </c>
      <c r="H4670" s="38" t="s">
        <v>5576</v>
      </c>
      <c r="I4670" s="38" t="s">
        <v>5577</v>
      </c>
      <c r="J4670" s="38" t="s">
        <v>134</v>
      </c>
      <c r="K4670" s="38" t="s">
        <v>126</v>
      </c>
      <c r="L4670" s="41">
        <v>46010.125</v>
      </c>
      <c r="M4670" s="38" t="s">
        <v>123</v>
      </c>
      <c r="N4670" s="41">
        <v>46010.145833333336</v>
      </c>
      <c r="O4670" s="38" t="s">
        <v>123</v>
      </c>
      <c r="P4670" s="38">
        <v>1800.0</v>
      </c>
      <c r="Q4670" s="39"/>
      <c r="R4670" s="39"/>
      <c r="S4670" s="39"/>
      <c r="T4670" s="39"/>
      <c r="U4670" s="39"/>
    </row>
    <row r="4671">
      <c r="A4671" s="40">
        <f t="shared" si="1"/>
        <v>46006</v>
      </c>
      <c r="B4671" s="37" t="str">
        <f t="array" ref="B4671">iferror(xlookup($I4671, 'IMPORT VHC Report'!$E:$E, 'IMPORT VHC Report'!$A:$C), )</f>
        <v/>
      </c>
      <c r="C4671" s="37"/>
      <c r="D4671" s="37"/>
      <c r="E4671" s="38" t="s">
        <v>5596</v>
      </c>
      <c r="F4671" s="38" t="s">
        <v>5575</v>
      </c>
      <c r="G4671" s="38">
        <v>3.61694638315E11</v>
      </c>
      <c r="H4671" s="38" t="s">
        <v>5576</v>
      </c>
      <c r="I4671" s="38" t="s">
        <v>5577</v>
      </c>
      <c r="J4671" s="38" t="s">
        <v>132</v>
      </c>
      <c r="K4671" s="38" t="s">
        <v>126</v>
      </c>
      <c r="L4671" s="41">
        <v>46010.145833333336</v>
      </c>
      <c r="M4671" s="38" t="s">
        <v>123</v>
      </c>
      <c r="N4671" s="41">
        <v>46010.1875</v>
      </c>
      <c r="O4671" s="38" t="s">
        <v>123</v>
      </c>
      <c r="P4671" s="38">
        <v>3600.0</v>
      </c>
      <c r="Q4671" s="39"/>
      <c r="R4671" s="39"/>
      <c r="S4671" s="39"/>
      <c r="T4671" s="39"/>
      <c r="U4671" s="39"/>
    </row>
    <row r="4672">
      <c r="A4672" s="40">
        <f t="shared" si="1"/>
        <v>46006</v>
      </c>
      <c r="B4672" s="37" t="str">
        <f t="array" ref="B4672">iferror(xlookup($I4672, 'IMPORT VHC Report'!$E:$E, 'IMPORT VHC Report'!$A:$C), )</f>
        <v/>
      </c>
      <c r="C4672" s="37"/>
      <c r="D4672" s="37"/>
      <c r="E4672" s="38" t="s">
        <v>5597</v>
      </c>
      <c r="F4672" s="38" t="s">
        <v>5575</v>
      </c>
      <c r="G4672" s="38">
        <v>3.61694638315E11</v>
      </c>
      <c r="H4672" s="38" t="s">
        <v>5576</v>
      </c>
      <c r="I4672" s="38" t="s">
        <v>5577</v>
      </c>
      <c r="J4672" s="38" t="s">
        <v>4</v>
      </c>
      <c r="K4672" s="38" t="s">
        <v>126</v>
      </c>
      <c r="L4672" s="41">
        <v>46012.875</v>
      </c>
      <c r="M4672" s="38" t="s">
        <v>123</v>
      </c>
      <c r="N4672" s="41">
        <v>46012.895833333336</v>
      </c>
      <c r="O4672" s="38" t="s">
        <v>123</v>
      </c>
      <c r="P4672" s="38">
        <v>1800.0</v>
      </c>
      <c r="Q4672" s="39"/>
      <c r="R4672" s="39"/>
      <c r="S4672" s="39"/>
      <c r="T4672" s="39"/>
      <c r="U4672" s="39"/>
    </row>
    <row r="4673">
      <c r="A4673" s="40">
        <f t="shared" si="1"/>
        <v>46006</v>
      </c>
      <c r="B4673" s="37" t="str">
        <f t="array" ref="B4673">iferror(xlookup($I4673, 'IMPORT VHC Report'!$E:$E, 'IMPORT VHC Report'!$A:$C), )</f>
        <v/>
      </c>
      <c r="C4673" s="37"/>
      <c r="D4673" s="37"/>
      <c r="E4673" s="38" t="s">
        <v>5598</v>
      </c>
      <c r="F4673" s="38" t="s">
        <v>5575</v>
      </c>
      <c r="G4673" s="38">
        <v>3.61694638315E11</v>
      </c>
      <c r="H4673" s="38" t="s">
        <v>5576</v>
      </c>
      <c r="I4673" s="38" t="s">
        <v>5577</v>
      </c>
      <c r="J4673" s="38" t="s">
        <v>530</v>
      </c>
      <c r="K4673" s="38" t="s">
        <v>63</v>
      </c>
      <c r="L4673" s="41">
        <v>46012.875</v>
      </c>
      <c r="M4673" s="38" t="s">
        <v>123</v>
      </c>
      <c r="N4673" s="41">
        <v>46013.0</v>
      </c>
      <c r="O4673" s="38" t="s">
        <v>123</v>
      </c>
      <c r="P4673" s="38">
        <v>10800.0</v>
      </c>
      <c r="Q4673" s="39"/>
      <c r="R4673" s="39"/>
      <c r="S4673" s="39"/>
      <c r="T4673" s="39"/>
      <c r="U4673" s="39"/>
    </row>
    <row r="4674">
      <c r="A4674" s="40">
        <f t="shared" si="1"/>
        <v>46006</v>
      </c>
      <c r="B4674" s="37" t="str">
        <f t="array" ref="B4674">iferror(xlookup($I4674, 'IMPORT VHC Report'!$E:$E, 'IMPORT VHC Report'!$A:$C), )</f>
        <v/>
      </c>
      <c r="C4674" s="37"/>
      <c r="D4674" s="37"/>
      <c r="E4674" s="38" t="s">
        <v>5599</v>
      </c>
      <c r="F4674" s="38" t="s">
        <v>5575</v>
      </c>
      <c r="G4674" s="38">
        <v>3.61694638315E11</v>
      </c>
      <c r="H4674" s="38" t="s">
        <v>5576</v>
      </c>
      <c r="I4674" s="38" t="s">
        <v>5577</v>
      </c>
      <c r="J4674" s="38" t="s">
        <v>178</v>
      </c>
      <c r="K4674" s="38" t="s">
        <v>153</v>
      </c>
      <c r="L4674" s="41">
        <v>46012.875</v>
      </c>
      <c r="M4674" s="38" t="s">
        <v>123</v>
      </c>
      <c r="N4674" s="41">
        <v>46013.25</v>
      </c>
      <c r="O4674" s="38" t="s">
        <v>123</v>
      </c>
      <c r="P4674" s="38">
        <v>32400.0</v>
      </c>
      <c r="Q4674" s="38">
        <v>28800.0</v>
      </c>
      <c r="R4674" s="38" t="s">
        <v>5600</v>
      </c>
      <c r="S4674" s="39"/>
      <c r="T4674" s="39"/>
      <c r="U4674" s="39"/>
    </row>
    <row r="4675">
      <c r="A4675" s="40">
        <f t="shared" si="1"/>
        <v>46006</v>
      </c>
      <c r="B4675" s="37" t="str">
        <f t="array" ref="B4675">iferror(xlookup($I4675, 'IMPORT VHC Report'!$E:$E, 'IMPORT VHC Report'!$A:$C), )</f>
        <v/>
      </c>
      <c r="C4675" s="37"/>
      <c r="D4675" s="37"/>
      <c r="E4675" s="38" t="s">
        <v>5601</v>
      </c>
      <c r="F4675" s="38" t="s">
        <v>5602</v>
      </c>
      <c r="G4675" s="38">
        <v>3.61731350795E11</v>
      </c>
      <c r="H4675" s="38" t="s">
        <v>5603</v>
      </c>
      <c r="I4675" s="38" t="s">
        <v>5604</v>
      </c>
      <c r="J4675" s="38" t="s">
        <v>178</v>
      </c>
      <c r="K4675" s="38" t="s">
        <v>153</v>
      </c>
      <c r="L4675" s="41">
        <v>46006.875</v>
      </c>
      <c r="M4675" s="38" t="s">
        <v>123</v>
      </c>
      <c r="N4675" s="41">
        <v>46007.25</v>
      </c>
      <c r="O4675" s="38" t="s">
        <v>123</v>
      </c>
      <c r="P4675" s="38">
        <v>32400.0</v>
      </c>
      <c r="Q4675" s="38">
        <v>144000.0</v>
      </c>
      <c r="R4675" s="39"/>
      <c r="S4675" s="39"/>
      <c r="T4675" s="39"/>
      <c r="U4675" s="39"/>
    </row>
    <row r="4676">
      <c r="A4676" s="40">
        <f t="shared" si="1"/>
        <v>46006</v>
      </c>
      <c r="B4676" s="37" t="str">
        <f t="array" ref="B4676">iferror(xlookup($I4676, 'IMPORT VHC Report'!$E:$E, 'IMPORT VHC Report'!$A:$C), )</f>
        <v/>
      </c>
      <c r="C4676" s="37"/>
      <c r="D4676" s="37"/>
      <c r="E4676" s="38" t="s">
        <v>5605</v>
      </c>
      <c r="F4676" s="38" t="s">
        <v>5602</v>
      </c>
      <c r="G4676" s="38">
        <v>3.61731350795E11</v>
      </c>
      <c r="H4676" s="38" t="s">
        <v>5603</v>
      </c>
      <c r="I4676" s="38" t="s">
        <v>5604</v>
      </c>
      <c r="J4676" s="38" t="s">
        <v>5606</v>
      </c>
      <c r="K4676" s="38" t="s">
        <v>63</v>
      </c>
      <c r="L4676" s="41">
        <v>46007.875</v>
      </c>
      <c r="M4676" s="38" t="s">
        <v>123</v>
      </c>
      <c r="N4676" s="41">
        <v>46008.166666666664</v>
      </c>
      <c r="O4676" s="38" t="s">
        <v>123</v>
      </c>
      <c r="P4676" s="38">
        <v>25200.0</v>
      </c>
      <c r="Q4676" s="39"/>
      <c r="R4676" s="39"/>
      <c r="S4676" s="39"/>
      <c r="T4676" s="39"/>
      <c r="U4676" s="39"/>
    </row>
    <row r="4677">
      <c r="A4677" s="40">
        <f t="shared" si="1"/>
        <v>46006</v>
      </c>
      <c r="B4677" s="37" t="str">
        <f t="array" ref="B4677">iferror(xlookup($I4677, 'IMPORT VHC Report'!$E:$E, 'IMPORT VHC Report'!$A:$C), )</f>
        <v/>
      </c>
      <c r="C4677" s="37"/>
      <c r="D4677" s="37"/>
      <c r="E4677" s="38" t="s">
        <v>5607</v>
      </c>
      <c r="F4677" s="38" t="s">
        <v>5602</v>
      </c>
      <c r="G4677" s="38">
        <v>3.61731350795E11</v>
      </c>
      <c r="H4677" s="38" t="s">
        <v>5603</v>
      </c>
      <c r="I4677" s="38" t="s">
        <v>5604</v>
      </c>
      <c r="J4677" s="38" t="s">
        <v>178</v>
      </c>
      <c r="K4677" s="38" t="s">
        <v>153</v>
      </c>
      <c r="L4677" s="41">
        <v>46007.875</v>
      </c>
      <c r="M4677" s="38" t="s">
        <v>123</v>
      </c>
      <c r="N4677" s="41">
        <v>46008.25</v>
      </c>
      <c r="O4677" s="38" t="s">
        <v>123</v>
      </c>
      <c r="P4677" s="38">
        <v>32400.0</v>
      </c>
      <c r="Q4677" s="38">
        <v>32400.0</v>
      </c>
      <c r="R4677" s="39"/>
      <c r="S4677" s="39"/>
      <c r="T4677" s="39"/>
      <c r="U4677" s="39"/>
    </row>
    <row r="4678">
      <c r="A4678" s="40">
        <f t="shared" si="1"/>
        <v>46006</v>
      </c>
      <c r="B4678" s="37" t="str">
        <f t="array" ref="B4678">iferror(xlookup($I4678, 'IMPORT VHC Report'!$E:$E, 'IMPORT VHC Report'!$A:$C), )</f>
        <v/>
      </c>
      <c r="C4678" s="37"/>
      <c r="D4678" s="37"/>
      <c r="E4678" s="38" t="s">
        <v>5608</v>
      </c>
      <c r="F4678" s="38" t="s">
        <v>5602</v>
      </c>
      <c r="G4678" s="38">
        <v>3.61731350795E11</v>
      </c>
      <c r="H4678" s="38" t="s">
        <v>5603</v>
      </c>
      <c r="I4678" s="38" t="s">
        <v>5604</v>
      </c>
      <c r="J4678" s="38" t="s">
        <v>178</v>
      </c>
      <c r="K4678" s="38" t="s">
        <v>153</v>
      </c>
      <c r="L4678" s="41">
        <v>46008.875</v>
      </c>
      <c r="M4678" s="38" t="s">
        <v>123</v>
      </c>
      <c r="N4678" s="41">
        <v>46009.25</v>
      </c>
      <c r="O4678" s="38" t="s">
        <v>123</v>
      </c>
      <c r="P4678" s="38">
        <v>32400.0</v>
      </c>
      <c r="Q4678" s="38">
        <v>32400.0</v>
      </c>
      <c r="R4678" s="39"/>
      <c r="S4678" s="39"/>
      <c r="T4678" s="39"/>
      <c r="U4678" s="39"/>
    </row>
    <row r="4679">
      <c r="A4679" s="40">
        <f t="shared" si="1"/>
        <v>46006</v>
      </c>
      <c r="B4679" s="37" t="str">
        <f t="array" ref="B4679">iferror(xlookup($I4679, 'IMPORT VHC Report'!$E:$E, 'IMPORT VHC Report'!$A:$C), )</f>
        <v/>
      </c>
      <c r="C4679" s="37"/>
      <c r="D4679" s="37"/>
      <c r="E4679" s="38" t="s">
        <v>5609</v>
      </c>
      <c r="F4679" s="38" t="s">
        <v>5602</v>
      </c>
      <c r="G4679" s="38">
        <v>3.61731350795E11</v>
      </c>
      <c r="H4679" s="38" t="s">
        <v>5603</v>
      </c>
      <c r="I4679" s="38" t="s">
        <v>5604</v>
      </c>
      <c r="J4679" s="38" t="s">
        <v>178</v>
      </c>
      <c r="K4679" s="38" t="s">
        <v>153</v>
      </c>
      <c r="L4679" s="41">
        <v>46009.875</v>
      </c>
      <c r="M4679" s="38" t="s">
        <v>123</v>
      </c>
      <c r="N4679" s="41">
        <v>46010.25</v>
      </c>
      <c r="O4679" s="38" t="s">
        <v>123</v>
      </c>
      <c r="P4679" s="38">
        <v>32400.0</v>
      </c>
      <c r="Q4679" s="38">
        <v>32400.0</v>
      </c>
      <c r="R4679" s="39"/>
      <c r="S4679" s="39"/>
      <c r="T4679" s="39"/>
      <c r="U4679" s="39"/>
    </row>
    <row r="4680">
      <c r="A4680" s="40">
        <f t="shared" si="1"/>
        <v>46006</v>
      </c>
      <c r="B4680" s="37" t="str">
        <f t="array" ref="B4680">iferror(xlookup($I4680, 'IMPORT VHC Report'!$E:$E, 'IMPORT VHC Report'!$A:$C), )</f>
        <v/>
      </c>
      <c r="C4680" s="37"/>
      <c r="D4680" s="37"/>
      <c r="E4680" s="38" t="s">
        <v>5610</v>
      </c>
      <c r="F4680" s="38" t="s">
        <v>5602</v>
      </c>
      <c r="G4680" s="38">
        <v>3.61731350795E11</v>
      </c>
      <c r="H4680" s="38" t="s">
        <v>5603</v>
      </c>
      <c r="I4680" s="38" t="s">
        <v>5604</v>
      </c>
      <c r="J4680" s="38" t="s">
        <v>178</v>
      </c>
      <c r="K4680" s="38" t="s">
        <v>153</v>
      </c>
      <c r="L4680" s="41">
        <v>46010.875</v>
      </c>
      <c r="M4680" s="38" t="s">
        <v>123</v>
      </c>
      <c r="N4680" s="41">
        <v>46011.25</v>
      </c>
      <c r="O4680" s="38" t="s">
        <v>123</v>
      </c>
      <c r="P4680" s="38">
        <v>32400.0</v>
      </c>
      <c r="Q4680" s="38">
        <v>32400.0</v>
      </c>
      <c r="R4680" s="39"/>
      <c r="S4680" s="39"/>
      <c r="T4680" s="39"/>
      <c r="U4680" s="39"/>
    </row>
    <row r="4681">
      <c r="A4681" s="40">
        <f t="shared" si="1"/>
        <v>46006</v>
      </c>
      <c r="B4681" s="37" t="str">
        <f t="array" ref="B4681">iferror(xlookup($I4681, 'IMPORT VHC Report'!$E:$E, 'IMPORT VHC Report'!$A:$C), )</f>
        <v/>
      </c>
      <c r="C4681" s="37"/>
      <c r="D4681" s="37"/>
      <c r="E4681" s="38" t="s">
        <v>5611</v>
      </c>
      <c r="F4681" s="38" t="s">
        <v>5602</v>
      </c>
      <c r="G4681" s="38">
        <v>3.61731350795E11</v>
      </c>
      <c r="H4681" s="38" t="s">
        <v>5603</v>
      </c>
      <c r="I4681" s="38" t="s">
        <v>5604</v>
      </c>
      <c r="J4681" s="38" t="s">
        <v>5606</v>
      </c>
      <c r="K4681" s="38" t="s">
        <v>63</v>
      </c>
      <c r="L4681" s="41">
        <v>46010.875</v>
      </c>
      <c r="M4681" s="38" t="s">
        <v>123</v>
      </c>
      <c r="N4681" s="41">
        <v>46011.25</v>
      </c>
      <c r="O4681" s="38" t="s">
        <v>123</v>
      </c>
      <c r="P4681" s="38">
        <v>32400.0</v>
      </c>
      <c r="Q4681" s="39"/>
      <c r="R4681" s="39"/>
      <c r="S4681" s="39"/>
      <c r="T4681" s="39"/>
      <c r="U4681" s="39"/>
    </row>
    <row r="4682">
      <c r="A4682" s="40">
        <f t="shared" si="1"/>
        <v>46006</v>
      </c>
      <c r="B4682" s="37" t="str">
        <f t="array" ref="B4682">iferror(xlookup($I4682, 'IMPORT VHC Report'!$E:$E, 'IMPORT VHC Report'!$A:$C), )</f>
        <v/>
      </c>
      <c r="C4682" s="37"/>
      <c r="D4682" s="37"/>
      <c r="E4682" s="38" t="s">
        <v>5612</v>
      </c>
      <c r="F4682" s="38" t="s">
        <v>5613</v>
      </c>
      <c r="G4682" s="38">
        <v>4.967084440335E12</v>
      </c>
      <c r="H4682" s="38" t="s">
        <v>5614</v>
      </c>
      <c r="I4682" s="38" t="s">
        <v>5615</v>
      </c>
      <c r="J4682" s="38" t="s">
        <v>224</v>
      </c>
      <c r="K4682" s="38" t="s">
        <v>63</v>
      </c>
      <c r="L4682" s="41">
        <v>46006.875</v>
      </c>
      <c r="M4682" s="38" t="s">
        <v>123</v>
      </c>
      <c r="N4682" s="41">
        <v>46007.1875</v>
      </c>
      <c r="O4682" s="38" t="s">
        <v>123</v>
      </c>
      <c r="P4682" s="38">
        <v>27000.0</v>
      </c>
      <c r="Q4682" s="39"/>
      <c r="R4682" s="39"/>
      <c r="S4682" s="39"/>
      <c r="T4682" s="39"/>
      <c r="U4682" s="39"/>
    </row>
    <row r="4683">
      <c r="A4683" s="40">
        <f t="shared" si="1"/>
        <v>46006</v>
      </c>
      <c r="B4683" s="37" t="str">
        <f t="array" ref="B4683">iferror(xlookup($I4683, 'IMPORT VHC Report'!$E:$E, 'IMPORT VHC Report'!$A:$C), )</f>
        <v/>
      </c>
      <c r="C4683" s="37"/>
      <c r="D4683" s="37"/>
      <c r="E4683" s="38" t="s">
        <v>5616</v>
      </c>
      <c r="F4683" s="38" t="s">
        <v>5613</v>
      </c>
      <c r="G4683" s="38">
        <v>4.967084440335E12</v>
      </c>
      <c r="H4683" s="38" t="s">
        <v>5614</v>
      </c>
      <c r="I4683" s="38" t="s">
        <v>5615</v>
      </c>
      <c r="J4683" s="38" t="s">
        <v>5617</v>
      </c>
      <c r="K4683" s="38" t="s">
        <v>153</v>
      </c>
      <c r="L4683" s="41">
        <v>46006.875</v>
      </c>
      <c r="M4683" s="38" t="s">
        <v>123</v>
      </c>
      <c r="N4683" s="41">
        <v>46007.25</v>
      </c>
      <c r="O4683" s="38" t="s">
        <v>123</v>
      </c>
      <c r="P4683" s="38">
        <v>32400.0</v>
      </c>
      <c r="Q4683" s="38">
        <v>32400.0</v>
      </c>
      <c r="R4683" s="38" t="s">
        <v>5618</v>
      </c>
      <c r="S4683" s="38" t="s">
        <v>5618</v>
      </c>
      <c r="T4683" s="39"/>
      <c r="U4683" s="39"/>
    </row>
    <row r="4684">
      <c r="A4684" s="40">
        <f t="shared" si="1"/>
        <v>46006</v>
      </c>
      <c r="B4684" s="37" t="str">
        <f t="array" ref="B4684">iferror(xlookup($I4684, 'IMPORT VHC Report'!$E:$E, 'IMPORT VHC Report'!$A:$C), )</f>
        <v/>
      </c>
      <c r="C4684" s="37"/>
      <c r="D4684" s="37"/>
      <c r="E4684" s="38" t="s">
        <v>5619</v>
      </c>
      <c r="F4684" s="38" t="s">
        <v>5613</v>
      </c>
      <c r="G4684" s="38">
        <v>4.967084440335E12</v>
      </c>
      <c r="H4684" s="38" t="s">
        <v>5614</v>
      </c>
      <c r="I4684" s="38" t="s">
        <v>5615</v>
      </c>
      <c r="J4684" s="38" t="s">
        <v>134</v>
      </c>
      <c r="K4684" s="38" t="s">
        <v>126</v>
      </c>
      <c r="L4684" s="41">
        <v>46007.1875</v>
      </c>
      <c r="M4684" s="38" t="s">
        <v>123</v>
      </c>
      <c r="N4684" s="41">
        <v>46007.208333333336</v>
      </c>
      <c r="O4684" s="38" t="s">
        <v>123</v>
      </c>
      <c r="P4684" s="38">
        <v>1800.0</v>
      </c>
      <c r="Q4684" s="39"/>
      <c r="R4684" s="39"/>
      <c r="S4684" s="39"/>
      <c r="T4684" s="39"/>
      <c r="U4684" s="39"/>
    </row>
    <row r="4685">
      <c r="A4685" s="40">
        <f t="shared" si="1"/>
        <v>46006</v>
      </c>
      <c r="B4685" s="37" t="str">
        <f t="array" ref="B4685">iferror(xlookup($I4685, 'IMPORT VHC Report'!$E:$E, 'IMPORT VHC Report'!$A:$C), )</f>
        <v/>
      </c>
      <c r="C4685" s="37"/>
      <c r="D4685" s="37"/>
      <c r="E4685" s="38" t="s">
        <v>5620</v>
      </c>
      <c r="F4685" s="38" t="s">
        <v>5613</v>
      </c>
      <c r="G4685" s="38">
        <v>4.967084440335E12</v>
      </c>
      <c r="H4685" s="38" t="s">
        <v>5614</v>
      </c>
      <c r="I4685" s="38" t="s">
        <v>5615</v>
      </c>
      <c r="J4685" s="38" t="s">
        <v>132</v>
      </c>
      <c r="K4685" s="38" t="s">
        <v>126</v>
      </c>
      <c r="L4685" s="41">
        <v>46007.208333333336</v>
      </c>
      <c r="M4685" s="38" t="s">
        <v>123</v>
      </c>
      <c r="N4685" s="41">
        <v>46007.25</v>
      </c>
      <c r="O4685" s="38" t="s">
        <v>123</v>
      </c>
      <c r="P4685" s="38">
        <v>3600.0</v>
      </c>
      <c r="Q4685" s="39"/>
      <c r="R4685" s="39"/>
      <c r="S4685" s="39"/>
      <c r="T4685" s="39"/>
      <c r="U4685" s="39"/>
    </row>
    <row r="4686">
      <c r="A4686" s="40">
        <f t="shared" si="1"/>
        <v>46006</v>
      </c>
      <c r="B4686" s="37" t="str">
        <f t="array" ref="B4686">iferror(xlookup($I4686, 'IMPORT VHC Report'!$E:$E, 'IMPORT VHC Report'!$A:$C), )</f>
        <v/>
      </c>
      <c r="C4686" s="37"/>
      <c r="D4686" s="37"/>
      <c r="E4686" s="38" t="s">
        <v>5621</v>
      </c>
      <c r="F4686" s="38" t="s">
        <v>5613</v>
      </c>
      <c r="G4686" s="38">
        <v>4.967084440335E12</v>
      </c>
      <c r="H4686" s="38" t="s">
        <v>5614</v>
      </c>
      <c r="I4686" s="38" t="s">
        <v>5615</v>
      </c>
      <c r="J4686" s="38" t="s">
        <v>224</v>
      </c>
      <c r="K4686" s="38" t="s">
        <v>63</v>
      </c>
      <c r="L4686" s="41">
        <v>46007.875</v>
      </c>
      <c r="M4686" s="38" t="s">
        <v>123</v>
      </c>
      <c r="N4686" s="41">
        <v>46008.125</v>
      </c>
      <c r="O4686" s="38" t="s">
        <v>123</v>
      </c>
      <c r="P4686" s="38">
        <v>21600.0</v>
      </c>
      <c r="Q4686" s="39"/>
      <c r="R4686" s="39"/>
      <c r="S4686" s="39"/>
      <c r="T4686" s="39"/>
      <c r="U4686" s="39"/>
    </row>
    <row r="4687">
      <c r="A4687" s="40">
        <f t="shared" si="1"/>
        <v>46006</v>
      </c>
      <c r="B4687" s="37" t="str">
        <f t="array" ref="B4687">iferror(xlookup($I4687, 'IMPORT VHC Report'!$E:$E, 'IMPORT VHC Report'!$A:$C), )</f>
        <v/>
      </c>
      <c r="C4687" s="37"/>
      <c r="D4687" s="37"/>
      <c r="E4687" s="38" t="s">
        <v>5622</v>
      </c>
      <c r="F4687" s="38" t="s">
        <v>5613</v>
      </c>
      <c r="G4687" s="38">
        <v>4.967084440335E12</v>
      </c>
      <c r="H4687" s="38" t="s">
        <v>5614</v>
      </c>
      <c r="I4687" s="38" t="s">
        <v>5615</v>
      </c>
      <c r="J4687" s="38" t="s">
        <v>5617</v>
      </c>
      <c r="K4687" s="38" t="s">
        <v>153</v>
      </c>
      <c r="L4687" s="41">
        <v>46007.875</v>
      </c>
      <c r="M4687" s="38" t="s">
        <v>123</v>
      </c>
      <c r="N4687" s="41">
        <v>46008.25</v>
      </c>
      <c r="O4687" s="38" t="s">
        <v>123</v>
      </c>
      <c r="P4687" s="38">
        <v>32400.0</v>
      </c>
      <c r="Q4687" s="38">
        <v>32400.0</v>
      </c>
      <c r="R4687" s="38" t="s">
        <v>5618</v>
      </c>
      <c r="S4687" s="38" t="s">
        <v>5618</v>
      </c>
      <c r="T4687" s="39"/>
      <c r="U4687" s="39"/>
    </row>
    <row r="4688">
      <c r="A4688" s="40">
        <f t="shared" si="1"/>
        <v>46006</v>
      </c>
      <c r="B4688" s="37" t="str">
        <f t="array" ref="B4688">iferror(xlookup($I4688, 'IMPORT VHC Report'!$E:$E, 'IMPORT VHC Report'!$A:$C), )</f>
        <v/>
      </c>
      <c r="C4688" s="37"/>
      <c r="D4688" s="37"/>
      <c r="E4688" s="38" t="s">
        <v>5623</v>
      </c>
      <c r="F4688" s="38" t="s">
        <v>5613</v>
      </c>
      <c r="G4688" s="38">
        <v>4.967084440335E12</v>
      </c>
      <c r="H4688" s="38" t="s">
        <v>5614</v>
      </c>
      <c r="I4688" s="38" t="s">
        <v>5615</v>
      </c>
      <c r="J4688" s="38" t="s">
        <v>62</v>
      </c>
      <c r="K4688" s="38" t="s">
        <v>63</v>
      </c>
      <c r="L4688" s="41">
        <v>46008.125</v>
      </c>
      <c r="M4688" s="38" t="s">
        <v>123</v>
      </c>
      <c r="N4688" s="41">
        <v>46008.145833333336</v>
      </c>
      <c r="O4688" s="38" t="s">
        <v>123</v>
      </c>
      <c r="P4688" s="38">
        <v>1800.0</v>
      </c>
      <c r="Q4688" s="39"/>
      <c r="R4688" s="39"/>
      <c r="S4688" s="39"/>
      <c r="T4688" s="39"/>
      <c r="U4688" s="39"/>
    </row>
    <row r="4689">
      <c r="A4689" s="40">
        <f t="shared" si="1"/>
        <v>46006</v>
      </c>
      <c r="B4689" s="37" t="str">
        <f t="array" ref="B4689">iferror(xlookup($I4689, 'IMPORT VHC Report'!$E:$E, 'IMPORT VHC Report'!$A:$C), )</f>
        <v/>
      </c>
      <c r="C4689" s="37"/>
      <c r="D4689" s="37"/>
      <c r="E4689" s="38" t="s">
        <v>5624</v>
      </c>
      <c r="F4689" s="38" t="s">
        <v>5613</v>
      </c>
      <c r="G4689" s="38">
        <v>4.967084440335E12</v>
      </c>
      <c r="H4689" s="38" t="s">
        <v>5614</v>
      </c>
      <c r="I4689" s="38" t="s">
        <v>5615</v>
      </c>
      <c r="J4689" s="38" t="s">
        <v>4</v>
      </c>
      <c r="K4689" s="38" t="s">
        <v>126</v>
      </c>
      <c r="L4689" s="41">
        <v>46008.125</v>
      </c>
      <c r="M4689" s="38" t="s">
        <v>123</v>
      </c>
      <c r="N4689" s="41">
        <v>46008.166666666664</v>
      </c>
      <c r="O4689" s="38" t="s">
        <v>123</v>
      </c>
      <c r="P4689" s="38">
        <v>3600.0</v>
      </c>
      <c r="Q4689" s="39"/>
      <c r="R4689" s="39"/>
      <c r="S4689" s="38" t="s">
        <v>858</v>
      </c>
      <c r="T4689" s="39"/>
      <c r="U4689" s="39"/>
    </row>
    <row r="4690">
      <c r="A4690" s="40">
        <f t="shared" si="1"/>
        <v>46006</v>
      </c>
      <c r="B4690" s="37" t="str">
        <f t="array" ref="B4690">iferror(xlookup($I4690, 'IMPORT VHC Report'!$E:$E, 'IMPORT VHC Report'!$A:$C), )</f>
        <v/>
      </c>
      <c r="C4690" s="37"/>
      <c r="D4690" s="37"/>
      <c r="E4690" s="38" t="s">
        <v>5625</v>
      </c>
      <c r="F4690" s="38" t="s">
        <v>5613</v>
      </c>
      <c r="G4690" s="38">
        <v>4.967084440335E12</v>
      </c>
      <c r="H4690" s="38" t="s">
        <v>5614</v>
      </c>
      <c r="I4690" s="38" t="s">
        <v>5615</v>
      </c>
      <c r="J4690" s="38" t="s">
        <v>224</v>
      </c>
      <c r="K4690" s="38" t="s">
        <v>63</v>
      </c>
      <c r="L4690" s="41">
        <v>46008.145833333336</v>
      </c>
      <c r="M4690" s="38" t="s">
        <v>123</v>
      </c>
      <c r="N4690" s="41">
        <v>46008.25</v>
      </c>
      <c r="O4690" s="38" t="s">
        <v>123</v>
      </c>
      <c r="P4690" s="38">
        <v>9000.0</v>
      </c>
      <c r="Q4690" s="39"/>
      <c r="R4690" s="39"/>
      <c r="S4690" s="39"/>
      <c r="T4690" s="39"/>
      <c r="U4690" s="39"/>
    </row>
    <row r="4691">
      <c r="A4691" s="40">
        <f t="shared" si="1"/>
        <v>46006</v>
      </c>
      <c r="B4691" s="37" t="str">
        <f t="array" ref="B4691">iferror(xlookup($I4691, 'IMPORT VHC Report'!$E:$E, 'IMPORT VHC Report'!$A:$C), )</f>
        <v/>
      </c>
      <c r="C4691" s="37"/>
      <c r="D4691" s="37"/>
      <c r="E4691" s="38" t="s">
        <v>5626</v>
      </c>
      <c r="F4691" s="38" t="s">
        <v>5613</v>
      </c>
      <c r="G4691" s="38">
        <v>4.967084440335E12</v>
      </c>
      <c r="H4691" s="38" t="s">
        <v>5614</v>
      </c>
      <c r="I4691" s="38" t="s">
        <v>5615</v>
      </c>
      <c r="J4691" s="38" t="s">
        <v>134</v>
      </c>
      <c r="K4691" s="38" t="s">
        <v>126</v>
      </c>
      <c r="L4691" s="41">
        <v>46008.1875</v>
      </c>
      <c r="M4691" s="38" t="s">
        <v>123</v>
      </c>
      <c r="N4691" s="41">
        <v>46008.208333333336</v>
      </c>
      <c r="O4691" s="38" t="s">
        <v>123</v>
      </c>
      <c r="P4691" s="38">
        <v>1800.0</v>
      </c>
      <c r="Q4691" s="39"/>
      <c r="R4691" s="39"/>
      <c r="S4691" s="39"/>
      <c r="T4691" s="39"/>
      <c r="U4691" s="39"/>
    </row>
    <row r="4692">
      <c r="A4692" s="40">
        <f t="shared" si="1"/>
        <v>46006</v>
      </c>
      <c r="B4692" s="37" t="str">
        <f t="array" ref="B4692">iferror(xlookup($I4692, 'IMPORT VHC Report'!$E:$E, 'IMPORT VHC Report'!$A:$C), )</f>
        <v/>
      </c>
      <c r="C4692" s="37"/>
      <c r="D4692" s="37"/>
      <c r="E4692" s="38" t="s">
        <v>5627</v>
      </c>
      <c r="F4692" s="38" t="s">
        <v>5613</v>
      </c>
      <c r="G4692" s="38">
        <v>4.967084440335E12</v>
      </c>
      <c r="H4692" s="38" t="s">
        <v>5614</v>
      </c>
      <c r="I4692" s="38" t="s">
        <v>5615</v>
      </c>
      <c r="J4692" s="38" t="s">
        <v>132</v>
      </c>
      <c r="K4692" s="38" t="s">
        <v>126</v>
      </c>
      <c r="L4692" s="41">
        <v>46008.208333333336</v>
      </c>
      <c r="M4692" s="38" t="s">
        <v>123</v>
      </c>
      <c r="N4692" s="41">
        <v>46008.25</v>
      </c>
      <c r="O4692" s="38" t="s">
        <v>123</v>
      </c>
      <c r="P4692" s="38">
        <v>3600.0</v>
      </c>
      <c r="Q4692" s="39"/>
      <c r="R4692" s="39"/>
      <c r="S4692" s="39"/>
      <c r="T4692" s="39"/>
      <c r="U4692" s="39"/>
    </row>
    <row r="4693">
      <c r="A4693" s="40">
        <f t="shared" si="1"/>
        <v>46006</v>
      </c>
      <c r="B4693" s="37" t="str">
        <f t="array" ref="B4693">iferror(xlookup($I4693, 'IMPORT VHC Report'!$E:$E, 'IMPORT VHC Report'!$A:$C), )</f>
        <v/>
      </c>
      <c r="C4693" s="37"/>
      <c r="D4693" s="37"/>
      <c r="E4693" s="38" t="s">
        <v>5628</v>
      </c>
      <c r="F4693" s="38" t="s">
        <v>5613</v>
      </c>
      <c r="G4693" s="38">
        <v>4.967084440335E12</v>
      </c>
      <c r="H4693" s="38" t="s">
        <v>5614</v>
      </c>
      <c r="I4693" s="38" t="s">
        <v>5615</v>
      </c>
      <c r="J4693" s="38" t="s">
        <v>224</v>
      </c>
      <c r="K4693" s="38" t="s">
        <v>63</v>
      </c>
      <c r="L4693" s="41">
        <v>46008.875</v>
      </c>
      <c r="M4693" s="38" t="s">
        <v>123</v>
      </c>
      <c r="N4693" s="41">
        <v>46009.1875</v>
      </c>
      <c r="O4693" s="38" t="s">
        <v>123</v>
      </c>
      <c r="P4693" s="38">
        <v>27000.0</v>
      </c>
      <c r="Q4693" s="39"/>
      <c r="R4693" s="39"/>
      <c r="S4693" s="39"/>
      <c r="T4693" s="39"/>
      <c r="U4693" s="39"/>
    </row>
    <row r="4694">
      <c r="A4694" s="40">
        <f t="shared" si="1"/>
        <v>46006</v>
      </c>
      <c r="B4694" s="37" t="str">
        <f t="array" ref="B4694">iferror(xlookup($I4694, 'IMPORT VHC Report'!$E:$E, 'IMPORT VHC Report'!$A:$C), )</f>
        <v/>
      </c>
      <c r="C4694" s="37"/>
      <c r="D4694" s="37"/>
      <c r="E4694" s="38" t="s">
        <v>5629</v>
      </c>
      <c r="F4694" s="38" t="s">
        <v>5613</v>
      </c>
      <c r="G4694" s="38">
        <v>4.967084440335E12</v>
      </c>
      <c r="H4694" s="38" t="s">
        <v>5614</v>
      </c>
      <c r="I4694" s="38" t="s">
        <v>5615</v>
      </c>
      <c r="J4694" s="38" t="s">
        <v>5617</v>
      </c>
      <c r="K4694" s="38" t="s">
        <v>153</v>
      </c>
      <c r="L4694" s="41">
        <v>46008.875</v>
      </c>
      <c r="M4694" s="38" t="s">
        <v>123</v>
      </c>
      <c r="N4694" s="41">
        <v>46009.25</v>
      </c>
      <c r="O4694" s="38" t="s">
        <v>123</v>
      </c>
      <c r="P4694" s="38">
        <v>32400.0</v>
      </c>
      <c r="Q4694" s="38">
        <v>32400.0</v>
      </c>
      <c r="R4694" s="38" t="s">
        <v>5618</v>
      </c>
      <c r="S4694" s="38" t="s">
        <v>5618</v>
      </c>
      <c r="T4694" s="39"/>
      <c r="U4694" s="39"/>
    </row>
    <row r="4695">
      <c r="A4695" s="40">
        <f t="shared" si="1"/>
        <v>46006</v>
      </c>
      <c r="B4695" s="37" t="str">
        <f t="array" ref="B4695">iferror(xlookup($I4695, 'IMPORT VHC Report'!$E:$E, 'IMPORT VHC Report'!$A:$C), )</f>
        <v/>
      </c>
      <c r="C4695" s="37"/>
      <c r="D4695" s="37"/>
      <c r="E4695" s="38" t="s">
        <v>5630</v>
      </c>
      <c r="F4695" s="38" t="s">
        <v>5613</v>
      </c>
      <c r="G4695" s="38">
        <v>4.967084440335E12</v>
      </c>
      <c r="H4695" s="38" t="s">
        <v>5614</v>
      </c>
      <c r="I4695" s="38" t="s">
        <v>5615</v>
      </c>
      <c r="J4695" s="38" t="s">
        <v>134</v>
      </c>
      <c r="K4695" s="38" t="s">
        <v>126</v>
      </c>
      <c r="L4695" s="41">
        <v>46009.1875</v>
      </c>
      <c r="M4695" s="38" t="s">
        <v>123</v>
      </c>
      <c r="N4695" s="41">
        <v>46009.208333333336</v>
      </c>
      <c r="O4695" s="38" t="s">
        <v>123</v>
      </c>
      <c r="P4695" s="38">
        <v>1800.0</v>
      </c>
      <c r="Q4695" s="39"/>
      <c r="R4695" s="39"/>
      <c r="S4695" s="39"/>
      <c r="T4695" s="39"/>
      <c r="U4695" s="39"/>
    </row>
    <row r="4696">
      <c r="A4696" s="40">
        <f t="shared" si="1"/>
        <v>46006</v>
      </c>
      <c r="B4696" s="37" t="str">
        <f t="array" ref="B4696">iferror(xlookup($I4696, 'IMPORT VHC Report'!$E:$E, 'IMPORT VHC Report'!$A:$C), )</f>
        <v/>
      </c>
      <c r="C4696" s="37"/>
      <c r="D4696" s="37"/>
      <c r="E4696" s="38" t="s">
        <v>5631</v>
      </c>
      <c r="F4696" s="38" t="s">
        <v>5613</v>
      </c>
      <c r="G4696" s="38">
        <v>4.967084440335E12</v>
      </c>
      <c r="H4696" s="38" t="s">
        <v>5614</v>
      </c>
      <c r="I4696" s="38" t="s">
        <v>5615</v>
      </c>
      <c r="J4696" s="38" t="s">
        <v>132</v>
      </c>
      <c r="K4696" s="38" t="s">
        <v>126</v>
      </c>
      <c r="L4696" s="41">
        <v>46009.208333333336</v>
      </c>
      <c r="M4696" s="38" t="s">
        <v>123</v>
      </c>
      <c r="N4696" s="41">
        <v>46009.25</v>
      </c>
      <c r="O4696" s="38" t="s">
        <v>123</v>
      </c>
      <c r="P4696" s="38">
        <v>3600.0</v>
      </c>
      <c r="Q4696" s="39"/>
      <c r="R4696" s="39"/>
      <c r="S4696" s="39"/>
      <c r="T4696" s="39"/>
      <c r="U4696" s="39"/>
    </row>
    <row r="4697">
      <c r="A4697" s="40">
        <f t="shared" si="1"/>
        <v>46006</v>
      </c>
      <c r="B4697" s="37" t="str">
        <f t="array" ref="B4697">iferror(xlookup($I4697, 'IMPORT VHC Report'!$E:$E, 'IMPORT VHC Report'!$A:$C), )</f>
        <v/>
      </c>
      <c r="C4697" s="37"/>
      <c r="D4697" s="37"/>
      <c r="E4697" s="38" t="s">
        <v>5632</v>
      </c>
      <c r="F4697" s="38" t="s">
        <v>5613</v>
      </c>
      <c r="G4697" s="38">
        <v>4.967084440335E12</v>
      </c>
      <c r="H4697" s="38" t="s">
        <v>5614</v>
      </c>
      <c r="I4697" s="38" t="s">
        <v>5615</v>
      </c>
      <c r="J4697" s="38" t="s">
        <v>224</v>
      </c>
      <c r="K4697" s="38" t="s">
        <v>63</v>
      </c>
      <c r="L4697" s="41">
        <v>46009.875</v>
      </c>
      <c r="M4697" s="38" t="s">
        <v>123</v>
      </c>
      <c r="N4697" s="41">
        <v>46010.1875</v>
      </c>
      <c r="O4697" s="38" t="s">
        <v>123</v>
      </c>
      <c r="P4697" s="38">
        <v>27000.0</v>
      </c>
      <c r="Q4697" s="39"/>
      <c r="R4697" s="39"/>
      <c r="S4697" s="39"/>
      <c r="T4697" s="39"/>
      <c r="U4697" s="39"/>
    </row>
    <row r="4698">
      <c r="A4698" s="40">
        <f t="shared" si="1"/>
        <v>46006</v>
      </c>
      <c r="B4698" s="37" t="str">
        <f t="array" ref="B4698">iferror(xlookup($I4698, 'IMPORT VHC Report'!$E:$E, 'IMPORT VHC Report'!$A:$C), )</f>
        <v/>
      </c>
      <c r="C4698" s="37"/>
      <c r="D4698" s="37"/>
      <c r="E4698" s="38" t="s">
        <v>5633</v>
      </c>
      <c r="F4698" s="38" t="s">
        <v>5613</v>
      </c>
      <c r="G4698" s="38">
        <v>4.967084440335E12</v>
      </c>
      <c r="H4698" s="38" t="s">
        <v>5614</v>
      </c>
      <c r="I4698" s="38" t="s">
        <v>5615</v>
      </c>
      <c r="J4698" s="38" t="s">
        <v>5617</v>
      </c>
      <c r="K4698" s="38" t="s">
        <v>153</v>
      </c>
      <c r="L4698" s="41">
        <v>46009.875</v>
      </c>
      <c r="M4698" s="38" t="s">
        <v>123</v>
      </c>
      <c r="N4698" s="41">
        <v>46010.25</v>
      </c>
      <c r="O4698" s="38" t="s">
        <v>123</v>
      </c>
      <c r="P4698" s="38">
        <v>32400.0</v>
      </c>
      <c r="Q4698" s="38">
        <v>32400.0</v>
      </c>
      <c r="R4698" s="38" t="s">
        <v>5618</v>
      </c>
      <c r="S4698" s="38" t="s">
        <v>5618</v>
      </c>
      <c r="T4698" s="39"/>
      <c r="U4698" s="39"/>
    </row>
    <row r="4699">
      <c r="A4699" s="40">
        <f t="shared" si="1"/>
        <v>46006</v>
      </c>
      <c r="B4699" s="37" t="str">
        <f t="array" ref="B4699">iferror(xlookup($I4699, 'IMPORT VHC Report'!$E:$E, 'IMPORT VHC Report'!$A:$C), )</f>
        <v/>
      </c>
      <c r="C4699" s="37"/>
      <c r="D4699" s="37"/>
      <c r="E4699" s="38" t="s">
        <v>5634</v>
      </c>
      <c r="F4699" s="38" t="s">
        <v>5613</v>
      </c>
      <c r="G4699" s="38">
        <v>4.967084440335E12</v>
      </c>
      <c r="H4699" s="38" t="s">
        <v>5614</v>
      </c>
      <c r="I4699" s="38" t="s">
        <v>5615</v>
      </c>
      <c r="J4699" s="38" t="s">
        <v>134</v>
      </c>
      <c r="K4699" s="38" t="s">
        <v>126</v>
      </c>
      <c r="L4699" s="41">
        <v>46010.1875</v>
      </c>
      <c r="M4699" s="38" t="s">
        <v>123</v>
      </c>
      <c r="N4699" s="41">
        <v>46010.208333333336</v>
      </c>
      <c r="O4699" s="38" t="s">
        <v>123</v>
      </c>
      <c r="P4699" s="38">
        <v>1800.0</v>
      </c>
      <c r="Q4699" s="39"/>
      <c r="R4699" s="39"/>
      <c r="S4699" s="39"/>
      <c r="T4699" s="39"/>
      <c r="U4699" s="39"/>
    </row>
    <row r="4700">
      <c r="A4700" s="40">
        <f t="shared" si="1"/>
        <v>46006</v>
      </c>
      <c r="B4700" s="37" t="str">
        <f t="array" ref="B4700">iferror(xlookup($I4700, 'IMPORT VHC Report'!$E:$E, 'IMPORT VHC Report'!$A:$C), )</f>
        <v/>
      </c>
      <c r="C4700" s="37"/>
      <c r="D4700" s="37"/>
      <c r="E4700" s="38" t="s">
        <v>5635</v>
      </c>
      <c r="F4700" s="38" t="s">
        <v>5613</v>
      </c>
      <c r="G4700" s="38">
        <v>4.967084440335E12</v>
      </c>
      <c r="H4700" s="38" t="s">
        <v>5614</v>
      </c>
      <c r="I4700" s="38" t="s">
        <v>5615</v>
      </c>
      <c r="J4700" s="38" t="s">
        <v>132</v>
      </c>
      <c r="K4700" s="38" t="s">
        <v>126</v>
      </c>
      <c r="L4700" s="41">
        <v>46010.208333333336</v>
      </c>
      <c r="M4700" s="38" t="s">
        <v>123</v>
      </c>
      <c r="N4700" s="41">
        <v>46010.25</v>
      </c>
      <c r="O4700" s="38" t="s">
        <v>123</v>
      </c>
      <c r="P4700" s="38">
        <v>3600.0</v>
      </c>
      <c r="Q4700" s="39"/>
      <c r="R4700" s="39"/>
      <c r="S4700" s="39"/>
      <c r="T4700" s="39"/>
      <c r="U4700" s="39"/>
    </row>
    <row r="4701">
      <c r="A4701" s="40">
        <f t="shared" si="1"/>
        <v>46006</v>
      </c>
      <c r="B4701" s="37" t="str">
        <f t="array" ref="B4701">iferror(xlookup($I4701, 'IMPORT VHC Report'!$E:$E, 'IMPORT VHC Report'!$A:$C), )</f>
        <v/>
      </c>
      <c r="C4701" s="37"/>
      <c r="D4701" s="37"/>
      <c r="E4701" s="38" t="s">
        <v>5636</v>
      </c>
      <c r="F4701" s="38" t="s">
        <v>5613</v>
      </c>
      <c r="G4701" s="38">
        <v>4.967084440335E12</v>
      </c>
      <c r="H4701" s="38" t="s">
        <v>5614</v>
      </c>
      <c r="I4701" s="38" t="s">
        <v>5615</v>
      </c>
      <c r="J4701" s="38" t="s">
        <v>224</v>
      </c>
      <c r="K4701" s="38" t="s">
        <v>63</v>
      </c>
      <c r="L4701" s="41">
        <v>46010.875</v>
      </c>
      <c r="M4701" s="38" t="s">
        <v>123</v>
      </c>
      <c r="N4701" s="41">
        <v>46011.1875</v>
      </c>
      <c r="O4701" s="38" t="s">
        <v>123</v>
      </c>
      <c r="P4701" s="38">
        <v>27000.0</v>
      </c>
      <c r="Q4701" s="39"/>
      <c r="R4701" s="39"/>
      <c r="S4701" s="39"/>
      <c r="T4701" s="39"/>
      <c r="U4701" s="39"/>
    </row>
    <row r="4702">
      <c r="A4702" s="40">
        <f t="shared" si="1"/>
        <v>46006</v>
      </c>
      <c r="B4702" s="37" t="str">
        <f t="array" ref="B4702">iferror(xlookup($I4702, 'IMPORT VHC Report'!$E:$E, 'IMPORT VHC Report'!$A:$C), )</f>
        <v/>
      </c>
      <c r="C4702" s="37"/>
      <c r="D4702" s="37"/>
      <c r="E4702" s="38" t="s">
        <v>5637</v>
      </c>
      <c r="F4702" s="38" t="s">
        <v>5613</v>
      </c>
      <c r="G4702" s="38">
        <v>4.967084440335E12</v>
      </c>
      <c r="H4702" s="38" t="s">
        <v>5614</v>
      </c>
      <c r="I4702" s="38" t="s">
        <v>5615</v>
      </c>
      <c r="J4702" s="38" t="s">
        <v>5617</v>
      </c>
      <c r="K4702" s="38" t="s">
        <v>153</v>
      </c>
      <c r="L4702" s="41">
        <v>46010.875</v>
      </c>
      <c r="M4702" s="38" t="s">
        <v>123</v>
      </c>
      <c r="N4702" s="41">
        <v>46011.25</v>
      </c>
      <c r="O4702" s="38" t="s">
        <v>123</v>
      </c>
      <c r="P4702" s="38">
        <v>32400.0</v>
      </c>
      <c r="Q4702" s="38">
        <v>32400.0</v>
      </c>
      <c r="R4702" s="38" t="s">
        <v>5618</v>
      </c>
      <c r="S4702" s="38" t="s">
        <v>5618</v>
      </c>
      <c r="T4702" s="39"/>
      <c r="U4702" s="39"/>
    </row>
    <row r="4703">
      <c r="A4703" s="40">
        <f t="shared" si="1"/>
        <v>46006</v>
      </c>
      <c r="B4703" s="37" t="str">
        <f t="array" ref="B4703">iferror(xlookup($I4703, 'IMPORT VHC Report'!$E:$E, 'IMPORT VHC Report'!$A:$C), )</f>
        <v/>
      </c>
      <c r="C4703" s="37"/>
      <c r="D4703" s="37"/>
      <c r="E4703" s="38" t="s">
        <v>5638</v>
      </c>
      <c r="F4703" s="38" t="s">
        <v>5613</v>
      </c>
      <c r="G4703" s="38">
        <v>4.967084440335E12</v>
      </c>
      <c r="H4703" s="38" t="s">
        <v>5614</v>
      </c>
      <c r="I4703" s="38" t="s">
        <v>5615</v>
      </c>
      <c r="J4703" s="38" t="s">
        <v>134</v>
      </c>
      <c r="K4703" s="38" t="s">
        <v>126</v>
      </c>
      <c r="L4703" s="41">
        <v>46011.1875</v>
      </c>
      <c r="M4703" s="38" t="s">
        <v>123</v>
      </c>
      <c r="N4703" s="41">
        <v>46011.208333333336</v>
      </c>
      <c r="O4703" s="38" t="s">
        <v>123</v>
      </c>
      <c r="P4703" s="38">
        <v>1800.0</v>
      </c>
      <c r="Q4703" s="39"/>
      <c r="R4703" s="39"/>
      <c r="S4703" s="39"/>
      <c r="T4703" s="39"/>
      <c r="U4703" s="39"/>
    </row>
    <row r="4704">
      <c r="A4704" s="40">
        <f t="shared" si="1"/>
        <v>46006</v>
      </c>
      <c r="B4704" s="37" t="str">
        <f t="array" ref="B4704">iferror(xlookup($I4704, 'IMPORT VHC Report'!$E:$E, 'IMPORT VHC Report'!$A:$C), )</f>
        <v/>
      </c>
      <c r="C4704" s="37"/>
      <c r="D4704" s="37"/>
      <c r="E4704" s="38" t="s">
        <v>5639</v>
      </c>
      <c r="F4704" s="38" t="s">
        <v>5613</v>
      </c>
      <c r="G4704" s="38">
        <v>4.967084440335E12</v>
      </c>
      <c r="H4704" s="38" t="s">
        <v>5614</v>
      </c>
      <c r="I4704" s="38" t="s">
        <v>5615</v>
      </c>
      <c r="J4704" s="38" t="s">
        <v>132</v>
      </c>
      <c r="K4704" s="38" t="s">
        <v>126</v>
      </c>
      <c r="L4704" s="41">
        <v>46011.208333333336</v>
      </c>
      <c r="M4704" s="38" t="s">
        <v>123</v>
      </c>
      <c r="N4704" s="41">
        <v>46011.25</v>
      </c>
      <c r="O4704" s="38" t="s">
        <v>123</v>
      </c>
      <c r="P4704" s="38">
        <v>3600.0</v>
      </c>
      <c r="Q4704" s="39"/>
      <c r="R4704" s="39"/>
      <c r="S4704" s="39"/>
      <c r="T4704" s="39"/>
      <c r="U4704" s="39"/>
    </row>
    <row r="4705">
      <c r="A4705" s="40">
        <f t="shared" si="1"/>
        <v>46006</v>
      </c>
      <c r="B4705" s="37" t="str">
        <f t="array" ref="B4705">iferror(xlookup($I4705, 'IMPORT VHC Report'!$E:$E, 'IMPORT VHC Report'!$A:$C), )</f>
        <v/>
      </c>
      <c r="C4705" s="37"/>
      <c r="D4705" s="37"/>
      <c r="E4705" s="38" t="s">
        <v>5640</v>
      </c>
      <c r="F4705" s="38" t="s">
        <v>5641</v>
      </c>
      <c r="G4705" s="38">
        <v>1.1279671882767E13</v>
      </c>
      <c r="H4705" s="38" t="s">
        <v>5642</v>
      </c>
      <c r="I4705" s="38" t="s">
        <v>5643</v>
      </c>
      <c r="J4705" s="38" t="s">
        <v>330</v>
      </c>
      <c r="K4705" s="38" t="s">
        <v>126</v>
      </c>
      <c r="L4705" s="41">
        <v>46006.875</v>
      </c>
      <c r="M4705" s="38" t="s">
        <v>123</v>
      </c>
      <c r="N4705" s="41">
        <v>46006.881944444445</v>
      </c>
      <c r="O4705" s="38" t="s">
        <v>123</v>
      </c>
      <c r="P4705" s="38">
        <v>600.0</v>
      </c>
      <c r="Q4705" s="39"/>
      <c r="R4705" s="39"/>
      <c r="S4705" s="39"/>
      <c r="T4705" s="39"/>
      <c r="U4705" s="39"/>
    </row>
    <row r="4706">
      <c r="A4706" s="40">
        <f t="shared" si="1"/>
        <v>46006</v>
      </c>
      <c r="B4706" s="37" t="str">
        <f t="array" ref="B4706">iferror(xlookup($I4706, 'IMPORT VHC Report'!$E:$E, 'IMPORT VHC Report'!$A:$C), )</f>
        <v/>
      </c>
      <c r="C4706" s="37"/>
      <c r="D4706" s="37"/>
      <c r="E4706" s="38" t="s">
        <v>5644</v>
      </c>
      <c r="F4706" s="38" t="s">
        <v>5641</v>
      </c>
      <c r="G4706" s="38">
        <v>1.1279671882767E13</v>
      </c>
      <c r="H4706" s="38" t="s">
        <v>5642</v>
      </c>
      <c r="I4706" s="38" t="s">
        <v>5643</v>
      </c>
      <c r="J4706" s="38" t="s">
        <v>332</v>
      </c>
      <c r="K4706" s="38" t="s">
        <v>63</v>
      </c>
      <c r="L4706" s="41">
        <v>46006.875</v>
      </c>
      <c r="M4706" s="38" t="s">
        <v>123</v>
      </c>
      <c r="N4706" s="41">
        <v>46007.25</v>
      </c>
      <c r="O4706" s="38" t="s">
        <v>123</v>
      </c>
      <c r="P4706" s="38">
        <v>32400.0</v>
      </c>
      <c r="Q4706" s="39"/>
      <c r="R4706" s="39"/>
      <c r="S4706" s="39"/>
      <c r="T4706" s="39"/>
      <c r="U4706" s="39"/>
    </row>
    <row r="4707">
      <c r="A4707" s="40">
        <f t="shared" si="1"/>
        <v>46006</v>
      </c>
      <c r="B4707" s="37" t="str">
        <f t="array" ref="B4707">iferror(xlookup($I4707, 'IMPORT VHC Report'!$E:$E, 'IMPORT VHC Report'!$A:$C), )</f>
        <v/>
      </c>
      <c r="C4707" s="37"/>
      <c r="D4707" s="37"/>
      <c r="E4707" s="38" t="s">
        <v>5645</v>
      </c>
      <c r="F4707" s="38" t="s">
        <v>5641</v>
      </c>
      <c r="G4707" s="38">
        <v>1.1279671882767E13</v>
      </c>
      <c r="H4707" s="38" t="s">
        <v>5642</v>
      </c>
      <c r="I4707" s="38" t="s">
        <v>5643</v>
      </c>
      <c r="J4707" s="38" t="s">
        <v>4</v>
      </c>
      <c r="K4707" s="38" t="s">
        <v>126</v>
      </c>
      <c r="L4707" s="41">
        <v>46006.96875</v>
      </c>
      <c r="M4707" s="38" t="s">
        <v>123</v>
      </c>
      <c r="N4707" s="41">
        <v>46007.010416666664</v>
      </c>
      <c r="O4707" s="38" t="s">
        <v>123</v>
      </c>
      <c r="P4707" s="38">
        <v>3600.0</v>
      </c>
      <c r="Q4707" s="39"/>
      <c r="R4707" s="39"/>
      <c r="S4707" s="38" t="s">
        <v>130</v>
      </c>
      <c r="T4707" s="39"/>
      <c r="U4707" s="39"/>
    </row>
    <row r="4708">
      <c r="A4708" s="40">
        <f t="shared" si="1"/>
        <v>46006</v>
      </c>
      <c r="B4708" s="37" t="str">
        <f t="array" ref="B4708">iferror(xlookup($I4708, 'IMPORT VHC Report'!$E:$E, 'IMPORT VHC Report'!$A:$C), )</f>
        <v/>
      </c>
      <c r="C4708" s="37"/>
      <c r="D4708" s="37"/>
      <c r="E4708" s="38" t="s">
        <v>5646</v>
      </c>
      <c r="F4708" s="38" t="s">
        <v>5641</v>
      </c>
      <c r="G4708" s="38">
        <v>1.1279671882767E13</v>
      </c>
      <c r="H4708" s="38" t="s">
        <v>5642</v>
      </c>
      <c r="I4708" s="38" t="s">
        <v>5643</v>
      </c>
      <c r="J4708" s="38" t="s">
        <v>132</v>
      </c>
      <c r="K4708" s="38" t="s">
        <v>126</v>
      </c>
      <c r="L4708" s="41">
        <v>46007.041666666664</v>
      </c>
      <c r="M4708" s="38" t="s">
        <v>123</v>
      </c>
      <c r="N4708" s="41">
        <v>46007.083333333336</v>
      </c>
      <c r="O4708" s="38" t="s">
        <v>123</v>
      </c>
      <c r="P4708" s="38">
        <v>3600.0</v>
      </c>
      <c r="Q4708" s="39"/>
      <c r="R4708" s="39"/>
      <c r="S4708" s="39"/>
      <c r="T4708" s="39"/>
      <c r="U4708" s="39"/>
    </row>
    <row r="4709">
      <c r="A4709" s="40">
        <f t="shared" si="1"/>
        <v>46006</v>
      </c>
      <c r="B4709" s="37" t="str">
        <f t="array" ref="B4709">iferror(xlookup($I4709, 'IMPORT VHC Report'!$E:$E, 'IMPORT VHC Report'!$A:$C), )</f>
        <v/>
      </c>
      <c r="C4709" s="37"/>
      <c r="D4709" s="37"/>
      <c r="E4709" s="38" t="s">
        <v>5647</v>
      </c>
      <c r="F4709" s="38" t="s">
        <v>5641</v>
      </c>
      <c r="G4709" s="38">
        <v>1.1279671882767E13</v>
      </c>
      <c r="H4709" s="38" t="s">
        <v>5642</v>
      </c>
      <c r="I4709" s="38" t="s">
        <v>5643</v>
      </c>
      <c r="J4709" s="38" t="s">
        <v>134</v>
      </c>
      <c r="K4709" s="38" t="s">
        <v>126</v>
      </c>
      <c r="L4709" s="41">
        <v>46007.145833333336</v>
      </c>
      <c r="M4709" s="38" t="s">
        <v>123</v>
      </c>
      <c r="N4709" s="41">
        <v>46007.166666666664</v>
      </c>
      <c r="O4709" s="38" t="s">
        <v>123</v>
      </c>
      <c r="P4709" s="38">
        <v>1800.0</v>
      </c>
      <c r="Q4709" s="39"/>
      <c r="R4709" s="39"/>
      <c r="S4709" s="39"/>
      <c r="T4709" s="39"/>
      <c r="U4709" s="39"/>
    </row>
    <row r="4710">
      <c r="A4710" s="40">
        <f t="shared" si="1"/>
        <v>46006</v>
      </c>
      <c r="B4710" s="37" t="str">
        <f t="array" ref="B4710">iferror(xlookup($I4710, 'IMPORT VHC Report'!$E:$E, 'IMPORT VHC Report'!$A:$C), )</f>
        <v/>
      </c>
      <c r="C4710" s="37"/>
      <c r="D4710" s="37"/>
      <c r="E4710" s="38" t="s">
        <v>5648</v>
      </c>
      <c r="F4710" s="38" t="s">
        <v>5641</v>
      </c>
      <c r="G4710" s="38">
        <v>1.1279671882767E13</v>
      </c>
      <c r="H4710" s="38" t="s">
        <v>5642</v>
      </c>
      <c r="I4710" s="38" t="s">
        <v>5643</v>
      </c>
      <c r="J4710" s="38" t="s">
        <v>125</v>
      </c>
      <c r="K4710" s="38" t="s">
        <v>126</v>
      </c>
      <c r="L4710" s="41">
        <v>46007.166666666664</v>
      </c>
      <c r="M4710" s="38" t="s">
        <v>123</v>
      </c>
      <c r="N4710" s="41">
        <v>46007.25</v>
      </c>
      <c r="O4710" s="38" t="s">
        <v>123</v>
      </c>
      <c r="P4710" s="38">
        <v>7200.0</v>
      </c>
      <c r="Q4710" s="39"/>
      <c r="R4710" s="39"/>
      <c r="S4710" s="38" t="s">
        <v>394</v>
      </c>
      <c r="T4710" s="39"/>
      <c r="U4710" s="39"/>
    </row>
    <row r="4711">
      <c r="A4711" s="40">
        <f t="shared" si="1"/>
        <v>46006</v>
      </c>
      <c r="B4711" s="37" t="str">
        <f t="array" ref="B4711">iferror(xlookup($I4711, 'IMPORT VHC Report'!$E:$E, 'IMPORT VHC Report'!$A:$C), )</f>
        <v/>
      </c>
      <c r="C4711" s="37"/>
      <c r="D4711" s="37"/>
      <c r="E4711" s="38" t="s">
        <v>5649</v>
      </c>
      <c r="F4711" s="38" t="s">
        <v>5641</v>
      </c>
      <c r="G4711" s="38">
        <v>1.1279671882767E13</v>
      </c>
      <c r="H4711" s="38" t="s">
        <v>5642</v>
      </c>
      <c r="I4711" s="38" t="s">
        <v>5643</v>
      </c>
      <c r="J4711" s="38" t="s">
        <v>330</v>
      </c>
      <c r="K4711" s="38" t="s">
        <v>126</v>
      </c>
      <c r="L4711" s="41">
        <v>46007.875</v>
      </c>
      <c r="M4711" s="38" t="s">
        <v>123</v>
      </c>
      <c r="N4711" s="41">
        <v>46007.881944444445</v>
      </c>
      <c r="O4711" s="38" t="s">
        <v>123</v>
      </c>
      <c r="P4711" s="38">
        <v>600.0</v>
      </c>
      <c r="Q4711" s="39"/>
      <c r="R4711" s="39"/>
      <c r="S4711" s="39"/>
      <c r="T4711" s="39"/>
      <c r="U4711" s="39"/>
    </row>
    <row r="4712">
      <c r="A4712" s="40">
        <f t="shared" si="1"/>
        <v>46006</v>
      </c>
      <c r="B4712" s="37" t="str">
        <f t="array" ref="B4712">iferror(xlookup($I4712, 'IMPORT VHC Report'!$E:$E, 'IMPORT VHC Report'!$A:$C), )</f>
        <v/>
      </c>
      <c r="C4712" s="37"/>
      <c r="D4712" s="37"/>
      <c r="E4712" s="38" t="s">
        <v>5650</v>
      </c>
      <c r="F4712" s="38" t="s">
        <v>5641</v>
      </c>
      <c r="G4712" s="38">
        <v>1.1279671882767E13</v>
      </c>
      <c r="H4712" s="38" t="s">
        <v>5642</v>
      </c>
      <c r="I4712" s="38" t="s">
        <v>5643</v>
      </c>
      <c r="J4712" s="38" t="s">
        <v>332</v>
      </c>
      <c r="K4712" s="38" t="s">
        <v>63</v>
      </c>
      <c r="L4712" s="41">
        <v>46007.875</v>
      </c>
      <c r="M4712" s="38" t="s">
        <v>123</v>
      </c>
      <c r="N4712" s="41">
        <v>46008.25</v>
      </c>
      <c r="O4712" s="38" t="s">
        <v>123</v>
      </c>
      <c r="P4712" s="38">
        <v>32400.0</v>
      </c>
      <c r="Q4712" s="39"/>
      <c r="R4712" s="39"/>
      <c r="S4712" s="39"/>
      <c r="T4712" s="39"/>
      <c r="U4712" s="39"/>
    </row>
    <row r="4713">
      <c r="A4713" s="40">
        <f t="shared" si="1"/>
        <v>46006</v>
      </c>
      <c r="B4713" s="37" t="str">
        <f t="array" ref="B4713">iferror(xlookup($I4713, 'IMPORT VHC Report'!$E:$E, 'IMPORT VHC Report'!$A:$C), )</f>
        <v/>
      </c>
      <c r="C4713" s="37"/>
      <c r="D4713" s="37"/>
      <c r="E4713" s="38" t="s">
        <v>5651</v>
      </c>
      <c r="F4713" s="38" t="s">
        <v>5641</v>
      </c>
      <c r="G4713" s="38">
        <v>1.1279671882767E13</v>
      </c>
      <c r="H4713" s="38" t="s">
        <v>5642</v>
      </c>
      <c r="I4713" s="38" t="s">
        <v>5643</v>
      </c>
      <c r="J4713" s="38" t="s">
        <v>134</v>
      </c>
      <c r="K4713" s="38" t="s">
        <v>126</v>
      </c>
      <c r="L4713" s="41">
        <v>46008.020833333336</v>
      </c>
      <c r="M4713" s="38" t="s">
        <v>123</v>
      </c>
      <c r="N4713" s="41">
        <v>46008.041666666664</v>
      </c>
      <c r="O4713" s="38" t="s">
        <v>123</v>
      </c>
      <c r="P4713" s="38">
        <v>1800.0</v>
      </c>
      <c r="Q4713" s="39"/>
      <c r="R4713" s="39"/>
      <c r="S4713" s="39"/>
      <c r="T4713" s="39"/>
      <c r="U4713" s="39"/>
    </row>
    <row r="4714">
      <c r="A4714" s="40">
        <f t="shared" si="1"/>
        <v>46006</v>
      </c>
      <c r="B4714" s="37" t="str">
        <f t="array" ref="B4714">iferror(xlookup($I4714, 'IMPORT VHC Report'!$E:$E, 'IMPORT VHC Report'!$A:$C), )</f>
        <v/>
      </c>
      <c r="C4714" s="37"/>
      <c r="D4714" s="37"/>
      <c r="E4714" s="38" t="s">
        <v>5652</v>
      </c>
      <c r="F4714" s="38" t="s">
        <v>5641</v>
      </c>
      <c r="G4714" s="38">
        <v>1.1279671882767E13</v>
      </c>
      <c r="H4714" s="38" t="s">
        <v>5642</v>
      </c>
      <c r="I4714" s="38" t="s">
        <v>5643</v>
      </c>
      <c r="J4714" s="38" t="s">
        <v>132</v>
      </c>
      <c r="K4714" s="38" t="s">
        <v>126</v>
      </c>
      <c r="L4714" s="41">
        <v>46008.125</v>
      </c>
      <c r="M4714" s="38" t="s">
        <v>123</v>
      </c>
      <c r="N4714" s="41">
        <v>46008.166666666664</v>
      </c>
      <c r="O4714" s="38" t="s">
        <v>123</v>
      </c>
      <c r="P4714" s="38">
        <v>3600.0</v>
      </c>
      <c r="Q4714" s="39"/>
      <c r="R4714" s="39"/>
      <c r="S4714" s="39"/>
      <c r="T4714" s="39"/>
      <c r="U4714" s="39"/>
    </row>
    <row r="4715">
      <c r="A4715" s="40">
        <f t="shared" si="1"/>
        <v>46006</v>
      </c>
      <c r="B4715" s="37" t="str">
        <f t="array" ref="B4715">iferror(xlookup($I4715, 'IMPORT VHC Report'!$E:$E, 'IMPORT VHC Report'!$A:$C), )</f>
        <v/>
      </c>
      <c r="C4715" s="37"/>
      <c r="D4715" s="37"/>
      <c r="E4715" s="38" t="s">
        <v>5653</v>
      </c>
      <c r="F4715" s="38" t="s">
        <v>5641</v>
      </c>
      <c r="G4715" s="38">
        <v>1.1279671882767E13</v>
      </c>
      <c r="H4715" s="38" t="s">
        <v>5642</v>
      </c>
      <c r="I4715" s="38" t="s">
        <v>5643</v>
      </c>
      <c r="J4715" s="38" t="s">
        <v>125</v>
      </c>
      <c r="K4715" s="38" t="s">
        <v>126</v>
      </c>
      <c r="L4715" s="41">
        <v>46008.166666666664</v>
      </c>
      <c r="M4715" s="38" t="s">
        <v>123</v>
      </c>
      <c r="N4715" s="41">
        <v>46008.25</v>
      </c>
      <c r="O4715" s="38" t="s">
        <v>123</v>
      </c>
      <c r="P4715" s="38">
        <v>7200.0</v>
      </c>
      <c r="Q4715" s="39"/>
      <c r="R4715" s="39"/>
      <c r="S4715" s="38" t="s">
        <v>394</v>
      </c>
      <c r="T4715" s="39"/>
      <c r="U4715" s="39"/>
    </row>
    <row r="4716">
      <c r="A4716" s="40">
        <f t="shared" si="1"/>
        <v>46006</v>
      </c>
      <c r="B4716" s="37" t="str">
        <f t="array" ref="B4716">iferror(xlookup($I4716, 'IMPORT VHC Report'!$E:$E, 'IMPORT VHC Report'!$A:$C), )</f>
        <v/>
      </c>
      <c r="C4716" s="37"/>
      <c r="D4716" s="37"/>
      <c r="E4716" s="38" t="s">
        <v>5654</v>
      </c>
      <c r="F4716" s="38" t="s">
        <v>5641</v>
      </c>
      <c r="G4716" s="38">
        <v>1.1279671882767E13</v>
      </c>
      <c r="H4716" s="38" t="s">
        <v>5642</v>
      </c>
      <c r="I4716" s="38" t="s">
        <v>5643</v>
      </c>
      <c r="J4716" s="38" t="s">
        <v>330</v>
      </c>
      <c r="K4716" s="38" t="s">
        <v>126</v>
      </c>
      <c r="L4716" s="41">
        <v>46008.875</v>
      </c>
      <c r="M4716" s="38" t="s">
        <v>123</v>
      </c>
      <c r="N4716" s="41">
        <v>46008.881944444445</v>
      </c>
      <c r="O4716" s="38" t="s">
        <v>123</v>
      </c>
      <c r="P4716" s="38">
        <v>600.0</v>
      </c>
      <c r="Q4716" s="39"/>
      <c r="R4716" s="39"/>
      <c r="S4716" s="39"/>
      <c r="T4716" s="39"/>
      <c r="U4716" s="39"/>
    </row>
    <row r="4717">
      <c r="A4717" s="40">
        <f t="shared" si="1"/>
        <v>46006</v>
      </c>
      <c r="B4717" s="37" t="str">
        <f t="array" ref="B4717">iferror(xlookup($I4717, 'IMPORT VHC Report'!$E:$E, 'IMPORT VHC Report'!$A:$C), )</f>
        <v/>
      </c>
      <c r="C4717" s="37"/>
      <c r="D4717" s="37"/>
      <c r="E4717" s="38" t="s">
        <v>5655</v>
      </c>
      <c r="F4717" s="38" t="s">
        <v>5641</v>
      </c>
      <c r="G4717" s="38">
        <v>1.1279671882767E13</v>
      </c>
      <c r="H4717" s="38" t="s">
        <v>5642</v>
      </c>
      <c r="I4717" s="38" t="s">
        <v>5643</v>
      </c>
      <c r="J4717" s="38" t="s">
        <v>332</v>
      </c>
      <c r="K4717" s="38" t="s">
        <v>63</v>
      </c>
      <c r="L4717" s="41">
        <v>46008.875</v>
      </c>
      <c r="M4717" s="38" t="s">
        <v>123</v>
      </c>
      <c r="N4717" s="41">
        <v>46009.25</v>
      </c>
      <c r="O4717" s="38" t="s">
        <v>123</v>
      </c>
      <c r="P4717" s="38">
        <v>32400.0</v>
      </c>
      <c r="Q4717" s="39"/>
      <c r="R4717" s="39"/>
      <c r="S4717" s="39"/>
      <c r="T4717" s="39"/>
      <c r="U4717" s="39"/>
    </row>
    <row r="4718">
      <c r="A4718" s="40">
        <f t="shared" si="1"/>
        <v>46006</v>
      </c>
      <c r="B4718" s="37" t="str">
        <f t="array" ref="B4718">iferror(xlookup($I4718, 'IMPORT VHC Report'!$E:$E, 'IMPORT VHC Report'!$A:$C), )</f>
        <v/>
      </c>
      <c r="C4718" s="37"/>
      <c r="D4718" s="37"/>
      <c r="E4718" s="38" t="s">
        <v>5656</v>
      </c>
      <c r="F4718" s="38" t="s">
        <v>5641</v>
      </c>
      <c r="G4718" s="38">
        <v>1.1279671882767E13</v>
      </c>
      <c r="H4718" s="38" t="s">
        <v>5642</v>
      </c>
      <c r="I4718" s="38" t="s">
        <v>5643</v>
      </c>
      <c r="J4718" s="38" t="s">
        <v>134</v>
      </c>
      <c r="K4718" s="38" t="s">
        <v>126</v>
      </c>
      <c r="L4718" s="41">
        <v>46009.0</v>
      </c>
      <c r="M4718" s="38" t="s">
        <v>123</v>
      </c>
      <c r="N4718" s="41">
        <v>46009.020833333336</v>
      </c>
      <c r="O4718" s="38" t="s">
        <v>123</v>
      </c>
      <c r="P4718" s="38">
        <v>1800.0</v>
      </c>
      <c r="Q4718" s="39"/>
      <c r="R4718" s="39"/>
      <c r="S4718" s="39"/>
      <c r="T4718" s="39"/>
      <c r="U4718" s="39"/>
    </row>
    <row r="4719">
      <c r="A4719" s="40">
        <f t="shared" si="1"/>
        <v>46006</v>
      </c>
      <c r="B4719" s="37" t="str">
        <f t="array" ref="B4719">iferror(xlookup($I4719, 'IMPORT VHC Report'!$E:$E, 'IMPORT VHC Report'!$A:$C), )</f>
        <v/>
      </c>
      <c r="C4719" s="37"/>
      <c r="D4719" s="37"/>
      <c r="E4719" s="38" t="s">
        <v>5657</v>
      </c>
      <c r="F4719" s="38" t="s">
        <v>5641</v>
      </c>
      <c r="G4719" s="38">
        <v>1.1279671882767E13</v>
      </c>
      <c r="H4719" s="38" t="s">
        <v>5642</v>
      </c>
      <c r="I4719" s="38" t="s">
        <v>5643</v>
      </c>
      <c r="J4719" s="38" t="s">
        <v>136</v>
      </c>
      <c r="K4719" s="38" t="s">
        <v>126</v>
      </c>
      <c r="L4719" s="41">
        <v>46009.041666666664</v>
      </c>
      <c r="M4719" s="38" t="s">
        <v>123</v>
      </c>
      <c r="N4719" s="41">
        <v>46009.083333333336</v>
      </c>
      <c r="O4719" s="38" t="s">
        <v>123</v>
      </c>
      <c r="P4719" s="38">
        <v>3600.0</v>
      </c>
      <c r="Q4719" s="39"/>
      <c r="R4719" s="39"/>
      <c r="S4719" s="38" t="s">
        <v>137</v>
      </c>
      <c r="T4719" s="39"/>
      <c r="U4719" s="39"/>
    </row>
    <row r="4720">
      <c r="A4720" s="40">
        <f t="shared" si="1"/>
        <v>46006</v>
      </c>
      <c r="B4720" s="37" t="str">
        <f t="array" ref="B4720">iferror(xlookup($I4720, 'IMPORT VHC Report'!$E:$E, 'IMPORT VHC Report'!$A:$C), )</f>
        <v/>
      </c>
      <c r="C4720" s="37"/>
      <c r="D4720" s="37"/>
      <c r="E4720" s="38" t="s">
        <v>5658</v>
      </c>
      <c r="F4720" s="38" t="s">
        <v>5641</v>
      </c>
      <c r="G4720" s="38">
        <v>1.1279671882767E13</v>
      </c>
      <c r="H4720" s="38" t="s">
        <v>5642</v>
      </c>
      <c r="I4720" s="38" t="s">
        <v>5643</v>
      </c>
      <c r="J4720" s="38" t="s">
        <v>132</v>
      </c>
      <c r="K4720" s="38" t="s">
        <v>126</v>
      </c>
      <c r="L4720" s="41">
        <v>46009.083333333336</v>
      </c>
      <c r="M4720" s="38" t="s">
        <v>123</v>
      </c>
      <c r="N4720" s="41">
        <v>46009.125</v>
      </c>
      <c r="O4720" s="38" t="s">
        <v>123</v>
      </c>
      <c r="P4720" s="38">
        <v>3600.0</v>
      </c>
      <c r="Q4720" s="39"/>
      <c r="R4720" s="39"/>
      <c r="S4720" s="39"/>
      <c r="T4720" s="39"/>
      <c r="U4720" s="39"/>
    </row>
    <row r="4721">
      <c r="A4721" s="40">
        <f t="shared" si="1"/>
        <v>46006</v>
      </c>
      <c r="B4721" s="37" t="str">
        <f t="array" ref="B4721">iferror(xlookup($I4721, 'IMPORT VHC Report'!$E:$E, 'IMPORT VHC Report'!$A:$C), )</f>
        <v/>
      </c>
      <c r="C4721" s="37"/>
      <c r="D4721" s="37"/>
      <c r="E4721" s="38" t="s">
        <v>5659</v>
      </c>
      <c r="F4721" s="38" t="s">
        <v>5641</v>
      </c>
      <c r="G4721" s="38">
        <v>1.1279671882767E13</v>
      </c>
      <c r="H4721" s="38" t="s">
        <v>5642</v>
      </c>
      <c r="I4721" s="38" t="s">
        <v>5643</v>
      </c>
      <c r="J4721" s="38" t="s">
        <v>125</v>
      </c>
      <c r="K4721" s="38" t="s">
        <v>126</v>
      </c>
      <c r="L4721" s="41">
        <v>46009.166666666664</v>
      </c>
      <c r="M4721" s="38" t="s">
        <v>123</v>
      </c>
      <c r="N4721" s="41">
        <v>46009.25</v>
      </c>
      <c r="O4721" s="38" t="s">
        <v>123</v>
      </c>
      <c r="P4721" s="38">
        <v>7200.0</v>
      </c>
      <c r="Q4721" s="39"/>
      <c r="R4721" s="39"/>
      <c r="S4721" s="38" t="s">
        <v>394</v>
      </c>
      <c r="T4721" s="39"/>
      <c r="U4721" s="39"/>
    </row>
    <row r="4722">
      <c r="A4722" s="40">
        <f t="shared" si="1"/>
        <v>46006</v>
      </c>
      <c r="B4722" s="37" t="str">
        <f t="array" ref="B4722">iferror(xlookup($I4722, 'IMPORT VHC Report'!$E:$E, 'IMPORT VHC Report'!$A:$C), )</f>
        <v/>
      </c>
      <c r="C4722" s="37"/>
      <c r="D4722" s="37"/>
      <c r="E4722" s="38" t="s">
        <v>5660</v>
      </c>
      <c r="F4722" s="38" t="s">
        <v>5641</v>
      </c>
      <c r="G4722" s="38">
        <v>1.1279671882767E13</v>
      </c>
      <c r="H4722" s="38" t="s">
        <v>5642</v>
      </c>
      <c r="I4722" s="38" t="s">
        <v>5643</v>
      </c>
      <c r="J4722" s="38" t="s">
        <v>330</v>
      </c>
      <c r="K4722" s="38" t="s">
        <v>126</v>
      </c>
      <c r="L4722" s="41">
        <v>46009.875</v>
      </c>
      <c r="M4722" s="38" t="s">
        <v>123</v>
      </c>
      <c r="N4722" s="41">
        <v>46009.881944444445</v>
      </c>
      <c r="O4722" s="38" t="s">
        <v>123</v>
      </c>
      <c r="P4722" s="38">
        <v>600.0</v>
      </c>
      <c r="Q4722" s="39"/>
      <c r="R4722" s="39"/>
      <c r="S4722" s="39"/>
      <c r="T4722" s="39"/>
      <c r="U4722" s="39"/>
    </row>
    <row r="4723">
      <c r="A4723" s="40">
        <f t="shared" si="1"/>
        <v>46006</v>
      </c>
      <c r="B4723" s="37" t="str">
        <f t="array" ref="B4723">iferror(xlookup($I4723, 'IMPORT VHC Report'!$E:$E, 'IMPORT VHC Report'!$A:$C), )</f>
        <v/>
      </c>
      <c r="C4723" s="37"/>
      <c r="D4723" s="37"/>
      <c r="E4723" s="38" t="s">
        <v>5661</v>
      </c>
      <c r="F4723" s="38" t="s">
        <v>5641</v>
      </c>
      <c r="G4723" s="38">
        <v>1.1279671882767E13</v>
      </c>
      <c r="H4723" s="38" t="s">
        <v>5642</v>
      </c>
      <c r="I4723" s="38" t="s">
        <v>5643</v>
      </c>
      <c r="J4723" s="38" t="s">
        <v>332</v>
      </c>
      <c r="K4723" s="38" t="s">
        <v>63</v>
      </c>
      <c r="L4723" s="41">
        <v>46009.875</v>
      </c>
      <c r="M4723" s="38" t="s">
        <v>123</v>
      </c>
      <c r="N4723" s="41">
        <v>46010.25</v>
      </c>
      <c r="O4723" s="38" t="s">
        <v>123</v>
      </c>
      <c r="P4723" s="38">
        <v>32400.0</v>
      </c>
      <c r="Q4723" s="39"/>
      <c r="R4723" s="39"/>
      <c r="S4723" s="39"/>
      <c r="T4723" s="39"/>
      <c r="U4723" s="39"/>
    </row>
    <row r="4724">
      <c r="A4724" s="40">
        <f t="shared" si="1"/>
        <v>46006</v>
      </c>
      <c r="B4724" s="37" t="str">
        <f t="array" ref="B4724">iferror(xlookup($I4724, 'IMPORT VHC Report'!$E:$E, 'IMPORT VHC Report'!$A:$C), )</f>
        <v/>
      </c>
      <c r="C4724" s="37"/>
      <c r="D4724" s="37"/>
      <c r="E4724" s="38" t="s">
        <v>5662</v>
      </c>
      <c r="F4724" s="38" t="s">
        <v>5641</v>
      </c>
      <c r="G4724" s="38">
        <v>1.1279671882767E13</v>
      </c>
      <c r="H4724" s="38" t="s">
        <v>5642</v>
      </c>
      <c r="I4724" s="38" t="s">
        <v>5643</v>
      </c>
      <c r="J4724" s="38" t="s">
        <v>134</v>
      </c>
      <c r="K4724" s="38" t="s">
        <v>126</v>
      </c>
      <c r="L4724" s="41">
        <v>46009.979166666664</v>
      </c>
      <c r="M4724" s="38" t="s">
        <v>123</v>
      </c>
      <c r="N4724" s="41">
        <v>46010.0</v>
      </c>
      <c r="O4724" s="38" t="s">
        <v>123</v>
      </c>
      <c r="P4724" s="38">
        <v>1800.0</v>
      </c>
      <c r="Q4724" s="39"/>
      <c r="R4724" s="39"/>
      <c r="S4724" s="39"/>
      <c r="T4724" s="39"/>
      <c r="U4724" s="39"/>
    </row>
    <row r="4725">
      <c r="A4725" s="40">
        <f t="shared" si="1"/>
        <v>46006</v>
      </c>
      <c r="B4725" s="37" t="str">
        <f t="array" ref="B4725">iferror(xlookup($I4725, 'IMPORT VHC Report'!$E:$E, 'IMPORT VHC Report'!$A:$C), )</f>
        <v/>
      </c>
      <c r="C4725" s="37"/>
      <c r="D4725" s="37"/>
      <c r="E4725" s="38" t="s">
        <v>5663</v>
      </c>
      <c r="F4725" s="38" t="s">
        <v>5641</v>
      </c>
      <c r="G4725" s="38">
        <v>1.1279671882767E13</v>
      </c>
      <c r="H4725" s="38" t="s">
        <v>5642</v>
      </c>
      <c r="I4725" s="38" t="s">
        <v>5643</v>
      </c>
      <c r="J4725" s="38" t="s">
        <v>132</v>
      </c>
      <c r="K4725" s="38" t="s">
        <v>126</v>
      </c>
      <c r="L4725" s="41">
        <v>46010.125</v>
      </c>
      <c r="M4725" s="38" t="s">
        <v>123</v>
      </c>
      <c r="N4725" s="41">
        <v>46010.166666666664</v>
      </c>
      <c r="O4725" s="38" t="s">
        <v>123</v>
      </c>
      <c r="P4725" s="38">
        <v>3600.0</v>
      </c>
      <c r="Q4725" s="39"/>
      <c r="R4725" s="39"/>
      <c r="S4725" s="39"/>
      <c r="T4725" s="39"/>
      <c r="U4725" s="39"/>
    </row>
    <row r="4726">
      <c r="A4726" s="40">
        <f t="shared" si="1"/>
        <v>46006</v>
      </c>
      <c r="B4726" s="37" t="str">
        <f t="array" ref="B4726">iferror(xlookup($I4726, 'IMPORT VHC Report'!$E:$E, 'IMPORT VHC Report'!$A:$C), )</f>
        <v/>
      </c>
      <c r="C4726" s="37"/>
      <c r="D4726" s="37"/>
      <c r="E4726" s="38" t="s">
        <v>5664</v>
      </c>
      <c r="F4726" s="38" t="s">
        <v>5641</v>
      </c>
      <c r="G4726" s="38">
        <v>1.1279671882767E13</v>
      </c>
      <c r="H4726" s="38" t="s">
        <v>5642</v>
      </c>
      <c r="I4726" s="38" t="s">
        <v>5643</v>
      </c>
      <c r="J4726" s="38" t="s">
        <v>332</v>
      </c>
      <c r="K4726" s="38" t="s">
        <v>63</v>
      </c>
      <c r="L4726" s="41">
        <v>46010.875</v>
      </c>
      <c r="M4726" s="38" t="s">
        <v>123</v>
      </c>
      <c r="N4726" s="41">
        <v>46011.0</v>
      </c>
      <c r="O4726" s="38" t="s">
        <v>123</v>
      </c>
      <c r="P4726" s="38">
        <v>10800.0</v>
      </c>
      <c r="Q4726" s="39"/>
      <c r="R4726" s="39"/>
      <c r="S4726" s="39"/>
      <c r="T4726" s="39"/>
      <c r="U4726" s="39"/>
    </row>
    <row r="4727">
      <c r="A4727" s="40">
        <f t="shared" si="1"/>
        <v>46006</v>
      </c>
      <c r="B4727" s="37" t="str">
        <f t="array" ref="B4727">iferror(xlookup($I4727, 'IMPORT VHC Report'!$E:$E, 'IMPORT VHC Report'!$A:$C), )</f>
        <v/>
      </c>
      <c r="C4727" s="37"/>
      <c r="D4727" s="37"/>
      <c r="E4727" s="38" t="s">
        <v>5665</v>
      </c>
      <c r="F4727" s="38" t="s">
        <v>5641</v>
      </c>
      <c r="G4727" s="38">
        <v>1.1279671882767E13</v>
      </c>
      <c r="H4727" s="38" t="s">
        <v>5642</v>
      </c>
      <c r="I4727" s="38" t="s">
        <v>5643</v>
      </c>
      <c r="J4727" s="38" t="s">
        <v>152</v>
      </c>
      <c r="K4727" s="38" t="s">
        <v>153</v>
      </c>
      <c r="L4727" s="41">
        <v>46010.875</v>
      </c>
      <c r="M4727" s="38" t="s">
        <v>123</v>
      </c>
      <c r="N4727" s="41">
        <v>46011.208333333336</v>
      </c>
      <c r="O4727" s="38" t="s">
        <v>123</v>
      </c>
      <c r="P4727" s="38">
        <v>28800.0</v>
      </c>
      <c r="Q4727" s="38">
        <v>28800.0</v>
      </c>
      <c r="R4727" s="38" t="s">
        <v>351</v>
      </c>
      <c r="S4727" s="38" t="s">
        <v>351</v>
      </c>
      <c r="T4727" s="39"/>
      <c r="U4727" s="39"/>
    </row>
    <row r="4728">
      <c r="A4728" s="40">
        <f t="shared" si="1"/>
        <v>46006</v>
      </c>
      <c r="B4728" s="37" t="str">
        <f t="array" ref="B4728">iferror(xlookup($I4728, 'IMPORT VHC Report'!$E:$E, 'IMPORT VHC Report'!$A:$C), )</f>
        <v/>
      </c>
      <c r="C4728" s="37"/>
      <c r="D4728" s="37"/>
      <c r="E4728" s="38" t="s">
        <v>5666</v>
      </c>
      <c r="F4728" s="38" t="s">
        <v>5641</v>
      </c>
      <c r="G4728" s="38">
        <v>1.1279671882767E13</v>
      </c>
      <c r="H4728" s="38" t="s">
        <v>5642</v>
      </c>
      <c r="I4728" s="38" t="s">
        <v>5643</v>
      </c>
      <c r="J4728" s="38" t="s">
        <v>132</v>
      </c>
      <c r="K4728" s="38" t="s">
        <v>126</v>
      </c>
      <c r="L4728" s="41">
        <v>46010.989583333336</v>
      </c>
      <c r="M4728" s="38" t="s">
        <v>123</v>
      </c>
      <c r="N4728" s="41">
        <v>46011.03125</v>
      </c>
      <c r="O4728" s="38" t="s">
        <v>123</v>
      </c>
      <c r="P4728" s="38">
        <v>3600.0</v>
      </c>
      <c r="Q4728" s="39"/>
      <c r="R4728" s="39"/>
      <c r="S4728" s="39"/>
      <c r="T4728" s="39"/>
      <c r="U4728" s="39"/>
    </row>
    <row r="4729">
      <c r="A4729" s="40">
        <f t="shared" si="1"/>
        <v>46006</v>
      </c>
      <c r="B4729" s="37" t="str">
        <f t="array" ref="B4729">iferror(xlookup($I4729, 'IMPORT VHC Report'!$E:$E, 'IMPORT VHC Report'!$A:$C), )</f>
        <v/>
      </c>
      <c r="C4729" s="37"/>
      <c r="D4729" s="37"/>
      <c r="E4729" s="38" t="s">
        <v>5667</v>
      </c>
      <c r="F4729" s="38" t="s">
        <v>5641</v>
      </c>
      <c r="G4729" s="38">
        <v>1.1279671882767E13</v>
      </c>
      <c r="H4729" s="38" t="s">
        <v>5642</v>
      </c>
      <c r="I4729" s="38" t="s">
        <v>5643</v>
      </c>
      <c r="J4729" s="38" t="s">
        <v>134</v>
      </c>
      <c r="K4729" s="38" t="s">
        <v>126</v>
      </c>
      <c r="L4729" s="41">
        <v>46011.145833333336</v>
      </c>
      <c r="M4729" s="38" t="s">
        <v>123</v>
      </c>
      <c r="N4729" s="41">
        <v>46011.166666666664</v>
      </c>
      <c r="O4729" s="38" t="s">
        <v>123</v>
      </c>
      <c r="P4729" s="38">
        <v>1800.0</v>
      </c>
      <c r="Q4729" s="39"/>
      <c r="R4729" s="39"/>
      <c r="S4729" s="39"/>
      <c r="T4729" s="39"/>
      <c r="U4729" s="39"/>
    </row>
    <row r="4730">
      <c r="A4730" s="40">
        <f t="shared" si="1"/>
        <v>46006</v>
      </c>
      <c r="B4730" s="37" t="str">
        <f t="array" ref="B4730">iferror(xlookup($I4730, 'IMPORT VHC Report'!$E:$E, 'IMPORT VHC Report'!$A:$C), )</f>
        <v/>
      </c>
      <c r="C4730" s="37"/>
      <c r="D4730" s="37"/>
      <c r="E4730" s="38" t="s">
        <v>5668</v>
      </c>
      <c r="F4730" s="38" t="s">
        <v>5669</v>
      </c>
      <c r="G4730" s="38">
        <v>5.202379009423E12</v>
      </c>
      <c r="H4730" s="38" t="s">
        <v>5670</v>
      </c>
      <c r="I4730" s="38" t="s">
        <v>5671</v>
      </c>
      <c r="J4730" s="38" t="s">
        <v>330</v>
      </c>
      <c r="K4730" s="38" t="s">
        <v>126</v>
      </c>
      <c r="L4730" s="41">
        <v>46006.875</v>
      </c>
      <c r="M4730" s="38" t="s">
        <v>123</v>
      </c>
      <c r="N4730" s="41">
        <v>46006.881944444445</v>
      </c>
      <c r="O4730" s="38" t="s">
        <v>123</v>
      </c>
      <c r="P4730" s="38">
        <v>600.0</v>
      </c>
      <c r="Q4730" s="39"/>
      <c r="R4730" s="39"/>
      <c r="S4730" s="39"/>
      <c r="T4730" s="39"/>
      <c r="U4730" s="39"/>
    </row>
    <row r="4731">
      <c r="A4731" s="40">
        <f t="shared" si="1"/>
        <v>46006</v>
      </c>
      <c r="B4731" s="37" t="str">
        <f t="array" ref="B4731">iferror(xlookup($I4731, 'IMPORT VHC Report'!$E:$E, 'IMPORT VHC Report'!$A:$C), )</f>
        <v/>
      </c>
      <c r="C4731" s="37"/>
      <c r="D4731" s="37"/>
      <c r="E4731" s="38" t="s">
        <v>5672</v>
      </c>
      <c r="F4731" s="38" t="s">
        <v>5669</v>
      </c>
      <c r="G4731" s="38">
        <v>5.202379009423E12</v>
      </c>
      <c r="H4731" s="38" t="s">
        <v>5670</v>
      </c>
      <c r="I4731" s="38" t="s">
        <v>5671</v>
      </c>
      <c r="J4731" s="38" t="s">
        <v>332</v>
      </c>
      <c r="K4731" s="38" t="s">
        <v>63</v>
      </c>
      <c r="L4731" s="41">
        <v>46006.875</v>
      </c>
      <c r="M4731" s="38" t="s">
        <v>123</v>
      </c>
      <c r="N4731" s="41">
        <v>46007.25</v>
      </c>
      <c r="O4731" s="38" t="s">
        <v>123</v>
      </c>
      <c r="P4731" s="38">
        <v>32400.0</v>
      </c>
      <c r="Q4731" s="39"/>
      <c r="R4731" s="39"/>
      <c r="S4731" s="39"/>
      <c r="T4731" s="39"/>
      <c r="U4731" s="39"/>
    </row>
    <row r="4732">
      <c r="A4732" s="40">
        <f t="shared" si="1"/>
        <v>46006</v>
      </c>
      <c r="B4732" s="37" t="str">
        <f t="array" ref="B4732">iferror(xlookup($I4732, 'IMPORT VHC Report'!$E:$E, 'IMPORT VHC Report'!$A:$C), )</f>
        <v/>
      </c>
      <c r="C4732" s="37"/>
      <c r="D4732" s="37"/>
      <c r="E4732" s="38" t="s">
        <v>5673</v>
      </c>
      <c r="F4732" s="38" t="s">
        <v>5669</v>
      </c>
      <c r="G4732" s="38">
        <v>5.202379009423E12</v>
      </c>
      <c r="H4732" s="38" t="s">
        <v>5670</v>
      </c>
      <c r="I4732" s="38" t="s">
        <v>5671</v>
      </c>
      <c r="J4732" s="38" t="s">
        <v>178</v>
      </c>
      <c r="K4732" s="38" t="s">
        <v>153</v>
      </c>
      <c r="L4732" s="41">
        <v>46006.875</v>
      </c>
      <c r="M4732" s="38" t="s">
        <v>123</v>
      </c>
      <c r="N4732" s="41">
        <v>46007.25</v>
      </c>
      <c r="O4732" s="38" t="s">
        <v>123</v>
      </c>
      <c r="P4732" s="38">
        <v>32400.0</v>
      </c>
      <c r="Q4732" s="38">
        <v>86400.0</v>
      </c>
      <c r="R4732" s="38" t="s">
        <v>5674</v>
      </c>
      <c r="S4732" s="39"/>
      <c r="T4732" s="39"/>
      <c r="U4732" s="39"/>
    </row>
    <row r="4733">
      <c r="A4733" s="40">
        <f t="shared" si="1"/>
        <v>46006</v>
      </c>
      <c r="B4733" s="37" t="str">
        <f t="array" ref="B4733">iferror(xlookup($I4733, 'IMPORT VHC Report'!$E:$E, 'IMPORT VHC Report'!$A:$C), )</f>
        <v/>
      </c>
      <c r="C4733" s="37"/>
      <c r="D4733" s="37"/>
      <c r="E4733" s="38" t="s">
        <v>5675</v>
      </c>
      <c r="F4733" s="38" t="s">
        <v>5669</v>
      </c>
      <c r="G4733" s="38">
        <v>5.202379009423E12</v>
      </c>
      <c r="H4733" s="38" t="s">
        <v>5670</v>
      </c>
      <c r="I4733" s="38" t="s">
        <v>5671</v>
      </c>
      <c r="J4733" s="38" t="s">
        <v>134</v>
      </c>
      <c r="K4733" s="38" t="s">
        <v>126</v>
      </c>
      <c r="L4733" s="41">
        <v>46006.979166666664</v>
      </c>
      <c r="M4733" s="38" t="s">
        <v>123</v>
      </c>
      <c r="N4733" s="41">
        <v>46007.0</v>
      </c>
      <c r="O4733" s="38" t="s">
        <v>123</v>
      </c>
      <c r="P4733" s="38">
        <v>1800.0</v>
      </c>
      <c r="Q4733" s="39"/>
      <c r="R4733" s="39"/>
      <c r="S4733" s="39"/>
      <c r="T4733" s="39"/>
      <c r="U4733" s="39"/>
    </row>
    <row r="4734">
      <c r="A4734" s="40">
        <f t="shared" si="1"/>
        <v>46006</v>
      </c>
      <c r="B4734" s="37" t="str">
        <f t="array" ref="B4734">iferror(xlookup($I4734, 'IMPORT VHC Report'!$E:$E, 'IMPORT VHC Report'!$A:$C), )</f>
        <v/>
      </c>
      <c r="C4734" s="37"/>
      <c r="D4734" s="37"/>
      <c r="E4734" s="38" t="s">
        <v>5676</v>
      </c>
      <c r="F4734" s="38" t="s">
        <v>5669</v>
      </c>
      <c r="G4734" s="38">
        <v>5.202379009423E12</v>
      </c>
      <c r="H4734" s="38" t="s">
        <v>5670</v>
      </c>
      <c r="I4734" s="38" t="s">
        <v>5671</v>
      </c>
      <c r="J4734" s="38" t="s">
        <v>132</v>
      </c>
      <c r="K4734" s="38" t="s">
        <v>126</v>
      </c>
      <c r="L4734" s="41">
        <v>46007.104166666664</v>
      </c>
      <c r="M4734" s="38" t="s">
        <v>123</v>
      </c>
      <c r="N4734" s="41">
        <v>46007.145833333336</v>
      </c>
      <c r="O4734" s="38" t="s">
        <v>123</v>
      </c>
      <c r="P4734" s="38">
        <v>3600.0</v>
      </c>
      <c r="Q4734" s="39"/>
      <c r="R4734" s="39"/>
      <c r="S4734" s="39"/>
      <c r="T4734" s="39"/>
      <c r="U4734" s="39"/>
    </row>
    <row r="4735">
      <c r="A4735" s="40">
        <f t="shared" si="1"/>
        <v>46006</v>
      </c>
      <c r="B4735" s="37" t="str">
        <f t="array" ref="B4735">iferror(xlookup($I4735, 'IMPORT VHC Report'!$E:$E, 'IMPORT VHC Report'!$A:$C), )</f>
        <v/>
      </c>
      <c r="C4735" s="37"/>
      <c r="D4735" s="37"/>
      <c r="E4735" s="38" t="s">
        <v>5677</v>
      </c>
      <c r="F4735" s="38" t="s">
        <v>5669</v>
      </c>
      <c r="G4735" s="38">
        <v>5.202379009423E12</v>
      </c>
      <c r="H4735" s="38" t="s">
        <v>5670</v>
      </c>
      <c r="I4735" s="38" t="s">
        <v>5671</v>
      </c>
      <c r="J4735" s="38" t="s">
        <v>330</v>
      </c>
      <c r="K4735" s="38" t="s">
        <v>126</v>
      </c>
      <c r="L4735" s="41">
        <v>46007.875</v>
      </c>
      <c r="M4735" s="38" t="s">
        <v>123</v>
      </c>
      <c r="N4735" s="41">
        <v>46007.881944444445</v>
      </c>
      <c r="O4735" s="38" t="s">
        <v>123</v>
      </c>
      <c r="P4735" s="38">
        <v>600.0</v>
      </c>
      <c r="Q4735" s="39"/>
      <c r="R4735" s="39"/>
      <c r="S4735" s="39"/>
      <c r="T4735" s="39"/>
      <c r="U4735" s="39"/>
    </row>
    <row r="4736">
      <c r="A4736" s="40">
        <f t="shared" si="1"/>
        <v>46006</v>
      </c>
      <c r="B4736" s="37" t="str">
        <f t="array" ref="B4736">iferror(xlookup($I4736, 'IMPORT VHC Report'!$E:$E, 'IMPORT VHC Report'!$A:$C), )</f>
        <v/>
      </c>
      <c r="C4736" s="37"/>
      <c r="D4736" s="37"/>
      <c r="E4736" s="38" t="s">
        <v>5678</v>
      </c>
      <c r="F4736" s="38" t="s">
        <v>5669</v>
      </c>
      <c r="G4736" s="38">
        <v>5.202379009423E12</v>
      </c>
      <c r="H4736" s="38" t="s">
        <v>5670</v>
      </c>
      <c r="I4736" s="38" t="s">
        <v>5671</v>
      </c>
      <c r="J4736" s="38" t="s">
        <v>332</v>
      </c>
      <c r="K4736" s="38" t="s">
        <v>63</v>
      </c>
      <c r="L4736" s="41">
        <v>46007.875</v>
      </c>
      <c r="M4736" s="38" t="s">
        <v>123</v>
      </c>
      <c r="N4736" s="41">
        <v>46008.25</v>
      </c>
      <c r="O4736" s="38" t="s">
        <v>123</v>
      </c>
      <c r="P4736" s="38">
        <v>32400.0</v>
      </c>
      <c r="Q4736" s="39"/>
      <c r="R4736" s="39"/>
      <c r="S4736" s="39"/>
      <c r="T4736" s="39"/>
      <c r="U4736" s="39"/>
    </row>
    <row r="4737">
      <c r="A4737" s="40">
        <f t="shared" si="1"/>
        <v>46006</v>
      </c>
      <c r="B4737" s="37" t="str">
        <f t="array" ref="B4737">iferror(xlookup($I4737, 'IMPORT VHC Report'!$E:$E, 'IMPORT VHC Report'!$A:$C), )</f>
        <v/>
      </c>
      <c r="C4737" s="37"/>
      <c r="D4737" s="37"/>
      <c r="E4737" s="38" t="s">
        <v>5679</v>
      </c>
      <c r="F4737" s="38" t="s">
        <v>5669</v>
      </c>
      <c r="G4737" s="38">
        <v>5.202379009423E12</v>
      </c>
      <c r="H4737" s="38" t="s">
        <v>5670</v>
      </c>
      <c r="I4737" s="38" t="s">
        <v>5671</v>
      </c>
      <c r="J4737" s="38" t="s">
        <v>178</v>
      </c>
      <c r="K4737" s="38" t="s">
        <v>153</v>
      </c>
      <c r="L4737" s="41">
        <v>46007.875</v>
      </c>
      <c r="M4737" s="38" t="s">
        <v>123</v>
      </c>
      <c r="N4737" s="41">
        <v>46008.25</v>
      </c>
      <c r="O4737" s="38" t="s">
        <v>123</v>
      </c>
      <c r="P4737" s="38">
        <v>32400.0</v>
      </c>
      <c r="Q4737" s="38">
        <v>32400.0</v>
      </c>
      <c r="R4737" s="39"/>
      <c r="S4737" s="39"/>
      <c r="T4737" s="39"/>
      <c r="U4737" s="39"/>
    </row>
    <row r="4738">
      <c r="A4738" s="40">
        <f t="shared" si="1"/>
        <v>46006</v>
      </c>
      <c r="B4738" s="37" t="str">
        <f t="array" ref="B4738">iferror(xlookup($I4738, 'IMPORT VHC Report'!$E:$E, 'IMPORT VHC Report'!$A:$C), )</f>
        <v/>
      </c>
      <c r="C4738" s="37"/>
      <c r="D4738" s="37"/>
      <c r="E4738" s="38" t="s">
        <v>5680</v>
      </c>
      <c r="F4738" s="38" t="s">
        <v>5669</v>
      </c>
      <c r="G4738" s="38">
        <v>5.202379009423E12</v>
      </c>
      <c r="H4738" s="38" t="s">
        <v>5670</v>
      </c>
      <c r="I4738" s="38" t="s">
        <v>5671</v>
      </c>
      <c r="J4738" s="38" t="s">
        <v>132</v>
      </c>
      <c r="K4738" s="38" t="s">
        <v>126</v>
      </c>
      <c r="L4738" s="41">
        <v>46008.020833333336</v>
      </c>
      <c r="M4738" s="38" t="s">
        <v>123</v>
      </c>
      <c r="N4738" s="41">
        <v>46008.0625</v>
      </c>
      <c r="O4738" s="38" t="s">
        <v>123</v>
      </c>
      <c r="P4738" s="38">
        <v>3600.0</v>
      </c>
      <c r="Q4738" s="39"/>
      <c r="R4738" s="39"/>
      <c r="S4738" s="39"/>
      <c r="T4738" s="39"/>
      <c r="U4738" s="39"/>
    </row>
    <row r="4739">
      <c r="A4739" s="40">
        <f t="shared" si="1"/>
        <v>46006</v>
      </c>
      <c r="B4739" s="37" t="str">
        <f t="array" ref="B4739">iferror(xlookup($I4739, 'IMPORT VHC Report'!$E:$E, 'IMPORT VHC Report'!$A:$C), )</f>
        <v/>
      </c>
      <c r="C4739" s="37"/>
      <c r="D4739" s="37"/>
      <c r="E4739" s="38" t="s">
        <v>5681</v>
      </c>
      <c r="F4739" s="38" t="s">
        <v>5669</v>
      </c>
      <c r="G4739" s="38">
        <v>5.202379009423E12</v>
      </c>
      <c r="H4739" s="38" t="s">
        <v>5670</v>
      </c>
      <c r="I4739" s="38" t="s">
        <v>5671</v>
      </c>
      <c r="J4739" s="38" t="s">
        <v>134</v>
      </c>
      <c r="K4739" s="38" t="s">
        <v>126</v>
      </c>
      <c r="L4739" s="41">
        <v>46008.145833333336</v>
      </c>
      <c r="M4739" s="38" t="s">
        <v>123</v>
      </c>
      <c r="N4739" s="41">
        <v>46008.166666666664</v>
      </c>
      <c r="O4739" s="38" t="s">
        <v>123</v>
      </c>
      <c r="P4739" s="38">
        <v>1800.0</v>
      </c>
      <c r="Q4739" s="39"/>
      <c r="R4739" s="39"/>
      <c r="S4739" s="39"/>
      <c r="T4739" s="39"/>
      <c r="U4739" s="39"/>
    </row>
    <row r="4740">
      <c r="A4740" s="40">
        <f t="shared" si="1"/>
        <v>46006</v>
      </c>
      <c r="B4740" s="37" t="str">
        <f t="array" ref="B4740">iferror(xlookup($I4740, 'IMPORT VHC Report'!$E:$E, 'IMPORT VHC Report'!$A:$C), )</f>
        <v/>
      </c>
      <c r="C4740" s="37"/>
      <c r="D4740" s="37"/>
      <c r="E4740" s="38" t="s">
        <v>5682</v>
      </c>
      <c r="F4740" s="38" t="s">
        <v>5669</v>
      </c>
      <c r="G4740" s="38">
        <v>5.202379009423E12</v>
      </c>
      <c r="H4740" s="38" t="s">
        <v>5670</v>
      </c>
      <c r="I4740" s="38" t="s">
        <v>5671</v>
      </c>
      <c r="J4740" s="38" t="s">
        <v>4</v>
      </c>
      <c r="K4740" s="38" t="s">
        <v>126</v>
      </c>
      <c r="L4740" s="41">
        <v>46008.166666666664</v>
      </c>
      <c r="M4740" s="38" t="s">
        <v>123</v>
      </c>
      <c r="N4740" s="41">
        <v>46008.208333333336</v>
      </c>
      <c r="O4740" s="38" t="s">
        <v>123</v>
      </c>
      <c r="P4740" s="38">
        <v>3600.0</v>
      </c>
      <c r="Q4740" s="39"/>
      <c r="R4740" s="39"/>
      <c r="S4740" s="38" t="s">
        <v>336</v>
      </c>
      <c r="T4740" s="39"/>
      <c r="U4740" s="39"/>
    </row>
    <row r="4741">
      <c r="A4741" s="40">
        <f t="shared" si="1"/>
        <v>46006</v>
      </c>
      <c r="B4741" s="37" t="str">
        <f t="array" ref="B4741">iferror(xlookup($I4741, 'IMPORT VHC Report'!$E:$E, 'IMPORT VHC Report'!$A:$C), )</f>
        <v/>
      </c>
      <c r="C4741" s="37"/>
      <c r="D4741" s="37"/>
      <c r="E4741" s="38" t="s">
        <v>5683</v>
      </c>
      <c r="F4741" s="38" t="s">
        <v>5669</v>
      </c>
      <c r="G4741" s="38">
        <v>5.202379009423E12</v>
      </c>
      <c r="H4741" s="38" t="s">
        <v>5670</v>
      </c>
      <c r="I4741" s="38" t="s">
        <v>5671</v>
      </c>
      <c r="J4741" s="38" t="s">
        <v>330</v>
      </c>
      <c r="K4741" s="38" t="s">
        <v>126</v>
      </c>
      <c r="L4741" s="41">
        <v>46008.875</v>
      </c>
      <c r="M4741" s="38" t="s">
        <v>123</v>
      </c>
      <c r="N4741" s="41">
        <v>46008.881944444445</v>
      </c>
      <c r="O4741" s="38" t="s">
        <v>123</v>
      </c>
      <c r="P4741" s="38">
        <v>600.0</v>
      </c>
      <c r="Q4741" s="39"/>
      <c r="R4741" s="39"/>
      <c r="S4741" s="39"/>
      <c r="T4741" s="39"/>
      <c r="U4741" s="39"/>
    </row>
    <row r="4742">
      <c r="A4742" s="40">
        <f t="shared" si="1"/>
        <v>46006</v>
      </c>
      <c r="B4742" s="37" t="str">
        <f t="array" ref="B4742">iferror(xlookup($I4742, 'IMPORT VHC Report'!$E:$E, 'IMPORT VHC Report'!$A:$C), )</f>
        <v/>
      </c>
      <c r="C4742" s="37"/>
      <c r="D4742" s="37"/>
      <c r="E4742" s="38" t="s">
        <v>5684</v>
      </c>
      <c r="F4742" s="38" t="s">
        <v>5669</v>
      </c>
      <c r="G4742" s="38">
        <v>5.202379009423E12</v>
      </c>
      <c r="H4742" s="38" t="s">
        <v>5670</v>
      </c>
      <c r="I4742" s="38" t="s">
        <v>5671</v>
      </c>
      <c r="J4742" s="38" t="s">
        <v>178</v>
      </c>
      <c r="K4742" s="38" t="s">
        <v>153</v>
      </c>
      <c r="L4742" s="41">
        <v>46008.875</v>
      </c>
      <c r="M4742" s="38" t="s">
        <v>123</v>
      </c>
      <c r="N4742" s="41">
        <v>46009.25</v>
      </c>
      <c r="O4742" s="38" t="s">
        <v>123</v>
      </c>
      <c r="P4742" s="38">
        <v>32400.0</v>
      </c>
      <c r="Q4742" s="38">
        <v>32400.0</v>
      </c>
      <c r="R4742" s="39"/>
      <c r="S4742" s="39"/>
      <c r="T4742" s="39"/>
      <c r="U4742" s="39"/>
    </row>
    <row r="4743">
      <c r="A4743" s="40">
        <f t="shared" si="1"/>
        <v>46006</v>
      </c>
      <c r="B4743" s="37" t="str">
        <f t="array" ref="B4743">iferror(xlookup($I4743, 'IMPORT VHC Report'!$E:$E, 'IMPORT VHC Report'!$A:$C), )</f>
        <v/>
      </c>
      <c r="C4743" s="37"/>
      <c r="D4743" s="37"/>
      <c r="E4743" s="38" t="s">
        <v>5685</v>
      </c>
      <c r="F4743" s="38" t="s">
        <v>5669</v>
      </c>
      <c r="G4743" s="38">
        <v>5.202379009423E12</v>
      </c>
      <c r="H4743" s="38" t="s">
        <v>5670</v>
      </c>
      <c r="I4743" s="38" t="s">
        <v>5671</v>
      </c>
      <c r="J4743" s="38" t="s">
        <v>332</v>
      </c>
      <c r="K4743" s="38" t="s">
        <v>63</v>
      </c>
      <c r="L4743" s="41">
        <v>46008.875</v>
      </c>
      <c r="M4743" s="38" t="s">
        <v>123</v>
      </c>
      <c r="N4743" s="41">
        <v>46009.25</v>
      </c>
      <c r="O4743" s="38" t="s">
        <v>123</v>
      </c>
      <c r="P4743" s="38">
        <v>32400.0</v>
      </c>
      <c r="Q4743" s="39"/>
      <c r="R4743" s="39"/>
      <c r="S4743" s="39"/>
      <c r="T4743" s="39"/>
      <c r="U4743" s="39"/>
    </row>
    <row r="4744">
      <c r="A4744" s="40">
        <f t="shared" si="1"/>
        <v>46006</v>
      </c>
      <c r="B4744" s="37" t="str">
        <f t="array" ref="B4744">iferror(xlookup($I4744, 'IMPORT VHC Report'!$E:$E, 'IMPORT VHC Report'!$A:$C), )</f>
        <v/>
      </c>
      <c r="C4744" s="37"/>
      <c r="D4744" s="37"/>
      <c r="E4744" s="38" t="s">
        <v>5686</v>
      </c>
      <c r="F4744" s="38" t="s">
        <v>5669</v>
      </c>
      <c r="G4744" s="38">
        <v>5.202379009423E12</v>
      </c>
      <c r="H4744" s="38" t="s">
        <v>5670</v>
      </c>
      <c r="I4744" s="38" t="s">
        <v>5671</v>
      </c>
      <c r="J4744" s="38" t="s">
        <v>136</v>
      </c>
      <c r="K4744" s="38" t="s">
        <v>126</v>
      </c>
      <c r="L4744" s="41">
        <v>46008.916666666664</v>
      </c>
      <c r="M4744" s="38" t="s">
        <v>123</v>
      </c>
      <c r="N4744" s="41">
        <v>46008.958333333336</v>
      </c>
      <c r="O4744" s="38" t="s">
        <v>123</v>
      </c>
      <c r="P4744" s="38">
        <v>3600.0</v>
      </c>
      <c r="Q4744" s="39"/>
      <c r="R4744" s="39"/>
      <c r="S4744" s="38" t="s">
        <v>137</v>
      </c>
      <c r="T4744" s="39"/>
      <c r="U4744" s="39"/>
    </row>
    <row r="4745">
      <c r="A4745" s="40">
        <f t="shared" si="1"/>
        <v>46006</v>
      </c>
      <c r="B4745" s="37" t="str">
        <f t="array" ref="B4745">iferror(xlookup($I4745, 'IMPORT VHC Report'!$E:$E, 'IMPORT VHC Report'!$A:$C), )</f>
        <v/>
      </c>
      <c r="C4745" s="37"/>
      <c r="D4745" s="37"/>
      <c r="E4745" s="38" t="s">
        <v>5687</v>
      </c>
      <c r="F4745" s="38" t="s">
        <v>5669</v>
      </c>
      <c r="G4745" s="38">
        <v>5.202379009423E12</v>
      </c>
      <c r="H4745" s="38" t="s">
        <v>5670</v>
      </c>
      <c r="I4745" s="38" t="s">
        <v>5671</v>
      </c>
      <c r="J4745" s="38" t="s">
        <v>134</v>
      </c>
      <c r="K4745" s="38" t="s">
        <v>126</v>
      </c>
      <c r="L4745" s="41">
        <v>46009.020833333336</v>
      </c>
      <c r="M4745" s="38" t="s">
        <v>123</v>
      </c>
      <c r="N4745" s="41">
        <v>46009.041666666664</v>
      </c>
      <c r="O4745" s="38" t="s">
        <v>123</v>
      </c>
      <c r="P4745" s="38">
        <v>1800.0</v>
      </c>
      <c r="Q4745" s="39"/>
      <c r="R4745" s="39"/>
      <c r="S4745" s="39"/>
      <c r="T4745" s="39"/>
      <c r="U4745" s="39"/>
    </row>
    <row r="4746">
      <c r="A4746" s="40">
        <f t="shared" si="1"/>
        <v>46006</v>
      </c>
      <c r="B4746" s="37" t="str">
        <f t="array" ref="B4746">iferror(xlookup($I4746, 'IMPORT VHC Report'!$E:$E, 'IMPORT VHC Report'!$A:$C), )</f>
        <v/>
      </c>
      <c r="C4746" s="37"/>
      <c r="D4746" s="37"/>
      <c r="E4746" s="38" t="s">
        <v>5688</v>
      </c>
      <c r="F4746" s="38" t="s">
        <v>5669</v>
      </c>
      <c r="G4746" s="38">
        <v>5.202379009423E12</v>
      </c>
      <c r="H4746" s="38" t="s">
        <v>5670</v>
      </c>
      <c r="I4746" s="38" t="s">
        <v>5671</v>
      </c>
      <c r="J4746" s="38" t="s">
        <v>132</v>
      </c>
      <c r="K4746" s="38" t="s">
        <v>126</v>
      </c>
      <c r="L4746" s="41">
        <v>46009.104166666664</v>
      </c>
      <c r="M4746" s="38" t="s">
        <v>123</v>
      </c>
      <c r="N4746" s="41">
        <v>46009.145833333336</v>
      </c>
      <c r="O4746" s="38" t="s">
        <v>123</v>
      </c>
      <c r="P4746" s="38">
        <v>3600.0</v>
      </c>
      <c r="Q4746" s="39"/>
      <c r="R4746" s="39"/>
      <c r="S4746" s="39"/>
      <c r="T4746" s="39"/>
      <c r="U4746" s="39"/>
    </row>
    <row r="4747">
      <c r="A4747" s="40">
        <f t="shared" si="1"/>
        <v>46006</v>
      </c>
      <c r="B4747" s="37" t="str">
        <f t="array" ref="B4747">iferror(xlookup($I4747, 'IMPORT VHC Report'!$E:$E, 'IMPORT VHC Report'!$A:$C), )</f>
        <v/>
      </c>
      <c r="C4747" s="37"/>
      <c r="D4747" s="37"/>
      <c r="E4747" s="38" t="s">
        <v>5689</v>
      </c>
      <c r="F4747" s="38" t="s">
        <v>5669</v>
      </c>
      <c r="G4747" s="38">
        <v>5.202379009423E12</v>
      </c>
      <c r="H4747" s="38" t="s">
        <v>5670</v>
      </c>
      <c r="I4747" s="38" t="s">
        <v>5671</v>
      </c>
      <c r="J4747" s="38" t="s">
        <v>330</v>
      </c>
      <c r="K4747" s="38" t="s">
        <v>126</v>
      </c>
      <c r="L4747" s="41">
        <v>46009.875</v>
      </c>
      <c r="M4747" s="38" t="s">
        <v>123</v>
      </c>
      <c r="N4747" s="41">
        <v>46009.881944444445</v>
      </c>
      <c r="O4747" s="38" t="s">
        <v>123</v>
      </c>
      <c r="P4747" s="38">
        <v>600.0</v>
      </c>
      <c r="Q4747" s="39"/>
      <c r="R4747" s="39"/>
      <c r="S4747" s="39"/>
      <c r="T4747" s="39"/>
      <c r="U4747" s="39"/>
    </row>
    <row r="4748">
      <c r="A4748" s="40">
        <f t="shared" si="1"/>
        <v>46006</v>
      </c>
      <c r="B4748" s="37" t="str">
        <f t="array" ref="B4748">iferror(xlookup($I4748, 'IMPORT VHC Report'!$E:$E, 'IMPORT VHC Report'!$A:$C), )</f>
        <v/>
      </c>
      <c r="C4748" s="37"/>
      <c r="D4748" s="37"/>
      <c r="E4748" s="38" t="s">
        <v>5690</v>
      </c>
      <c r="F4748" s="38" t="s">
        <v>5669</v>
      </c>
      <c r="G4748" s="38">
        <v>5.202379009423E12</v>
      </c>
      <c r="H4748" s="38" t="s">
        <v>5670</v>
      </c>
      <c r="I4748" s="38" t="s">
        <v>5671</v>
      </c>
      <c r="J4748" s="38" t="s">
        <v>332</v>
      </c>
      <c r="K4748" s="38" t="s">
        <v>63</v>
      </c>
      <c r="L4748" s="41">
        <v>46009.875</v>
      </c>
      <c r="M4748" s="38" t="s">
        <v>123</v>
      </c>
      <c r="N4748" s="41">
        <v>46010.25</v>
      </c>
      <c r="O4748" s="38" t="s">
        <v>123</v>
      </c>
      <c r="P4748" s="38">
        <v>32400.0</v>
      </c>
      <c r="Q4748" s="39"/>
      <c r="R4748" s="39"/>
      <c r="S4748" s="39"/>
      <c r="T4748" s="39"/>
      <c r="U4748" s="39"/>
    </row>
    <row r="4749">
      <c r="A4749" s="40">
        <f t="shared" si="1"/>
        <v>46006</v>
      </c>
      <c r="B4749" s="37" t="str">
        <f t="array" ref="B4749">iferror(xlookup($I4749, 'IMPORT VHC Report'!$E:$E, 'IMPORT VHC Report'!$A:$C), )</f>
        <v/>
      </c>
      <c r="C4749" s="37"/>
      <c r="D4749" s="37"/>
      <c r="E4749" s="38" t="s">
        <v>5691</v>
      </c>
      <c r="F4749" s="38" t="s">
        <v>5669</v>
      </c>
      <c r="G4749" s="38">
        <v>5.202379009423E12</v>
      </c>
      <c r="H4749" s="38" t="s">
        <v>5670</v>
      </c>
      <c r="I4749" s="38" t="s">
        <v>5671</v>
      </c>
      <c r="J4749" s="38" t="s">
        <v>132</v>
      </c>
      <c r="K4749" s="38" t="s">
        <v>126</v>
      </c>
      <c r="L4749" s="41">
        <v>46009.979166666664</v>
      </c>
      <c r="M4749" s="38" t="s">
        <v>123</v>
      </c>
      <c r="N4749" s="41">
        <v>46010.020833333336</v>
      </c>
      <c r="O4749" s="38" t="s">
        <v>123</v>
      </c>
      <c r="P4749" s="38">
        <v>3600.0</v>
      </c>
      <c r="Q4749" s="39"/>
      <c r="R4749" s="39"/>
      <c r="S4749" s="39"/>
      <c r="T4749" s="39"/>
      <c r="U4749" s="39"/>
    </row>
    <row r="4750">
      <c r="A4750" s="40">
        <f t="shared" si="1"/>
        <v>46006</v>
      </c>
      <c r="B4750" s="37" t="str">
        <f t="array" ref="B4750">iferror(xlookup($I4750, 'IMPORT VHC Report'!$E:$E, 'IMPORT VHC Report'!$A:$C), )</f>
        <v/>
      </c>
      <c r="C4750" s="37"/>
      <c r="D4750" s="37"/>
      <c r="E4750" s="38" t="s">
        <v>5692</v>
      </c>
      <c r="F4750" s="38" t="s">
        <v>5669</v>
      </c>
      <c r="G4750" s="38">
        <v>5.202379009423E12</v>
      </c>
      <c r="H4750" s="38" t="s">
        <v>5670</v>
      </c>
      <c r="I4750" s="38" t="s">
        <v>5671</v>
      </c>
      <c r="J4750" s="38" t="s">
        <v>134</v>
      </c>
      <c r="K4750" s="38" t="s">
        <v>126</v>
      </c>
      <c r="L4750" s="41">
        <v>46010.135416666664</v>
      </c>
      <c r="M4750" s="38" t="s">
        <v>123</v>
      </c>
      <c r="N4750" s="41">
        <v>46010.15625</v>
      </c>
      <c r="O4750" s="38" t="s">
        <v>123</v>
      </c>
      <c r="P4750" s="38">
        <v>1800.0</v>
      </c>
      <c r="Q4750" s="39"/>
      <c r="R4750" s="39"/>
      <c r="S4750" s="39"/>
      <c r="T4750" s="39"/>
      <c r="U4750" s="39"/>
    </row>
    <row r="4751">
      <c r="A4751" s="40">
        <f t="shared" si="1"/>
        <v>46006</v>
      </c>
      <c r="B4751" s="37" t="str">
        <f t="array" ref="B4751">iferror(xlookup($I4751, 'IMPORT VHC Report'!$E:$E, 'IMPORT VHC Report'!$A:$C), )</f>
        <v/>
      </c>
      <c r="C4751" s="37"/>
      <c r="D4751" s="37"/>
      <c r="E4751" s="38" t="s">
        <v>5693</v>
      </c>
      <c r="F4751" s="38" t="s">
        <v>5669</v>
      </c>
      <c r="G4751" s="38">
        <v>5.202379009423E12</v>
      </c>
      <c r="H4751" s="38" t="s">
        <v>5670</v>
      </c>
      <c r="I4751" s="38" t="s">
        <v>5671</v>
      </c>
      <c r="J4751" s="38" t="s">
        <v>330</v>
      </c>
      <c r="K4751" s="38" t="s">
        <v>126</v>
      </c>
      <c r="L4751" s="41">
        <v>46010.875</v>
      </c>
      <c r="M4751" s="38" t="s">
        <v>123</v>
      </c>
      <c r="N4751" s="41">
        <v>46010.881944444445</v>
      </c>
      <c r="O4751" s="38" t="s">
        <v>123</v>
      </c>
      <c r="P4751" s="38">
        <v>600.0</v>
      </c>
      <c r="Q4751" s="39"/>
      <c r="R4751" s="39"/>
      <c r="S4751" s="39"/>
      <c r="T4751" s="39"/>
      <c r="U4751" s="39"/>
    </row>
    <row r="4752">
      <c r="A4752" s="40">
        <f t="shared" si="1"/>
        <v>46006</v>
      </c>
      <c r="B4752" s="37" t="str">
        <f t="array" ref="B4752">iferror(xlookup($I4752, 'IMPORT VHC Report'!$E:$E, 'IMPORT VHC Report'!$A:$C), )</f>
        <v/>
      </c>
      <c r="C4752" s="37"/>
      <c r="D4752" s="37"/>
      <c r="E4752" s="38" t="s">
        <v>5694</v>
      </c>
      <c r="F4752" s="38" t="s">
        <v>5669</v>
      </c>
      <c r="G4752" s="38">
        <v>5.202379009423E12</v>
      </c>
      <c r="H4752" s="38" t="s">
        <v>5670</v>
      </c>
      <c r="I4752" s="38" t="s">
        <v>5671</v>
      </c>
      <c r="J4752" s="38" t="s">
        <v>332</v>
      </c>
      <c r="K4752" s="38" t="s">
        <v>63</v>
      </c>
      <c r="L4752" s="41">
        <v>46010.875</v>
      </c>
      <c r="M4752" s="38" t="s">
        <v>123</v>
      </c>
      <c r="N4752" s="41">
        <v>46011.25</v>
      </c>
      <c r="O4752" s="38" t="s">
        <v>123</v>
      </c>
      <c r="P4752" s="38">
        <v>32400.0</v>
      </c>
      <c r="Q4752" s="39"/>
      <c r="R4752" s="39"/>
      <c r="S4752" s="39"/>
      <c r="T4752" s="39"/>
      <c r="U4752" s="39"/>
    </row>
    <row r="4753">
      <c r="A4753" s="40">
        <f t="shared" si="1"/>
        <v>46006</v>
      </c>
      <c r="B4753" s="37" t="str">
        <f t="array" ref="B4753">iferror(xlookup($I4753, 'IMPORT VHC Report'!$E:$E, 'IMPORT VHC Report'!$A:$C), )</f>
        <v/>
      </c>
      <c r="C4753" s="37"/>
      <c r="D4753" s="37"/>
      <c r="E4753" s="38" t="s">
        <v>5695</v>
      </c>
      <c r="F4753" s="38" t="s">
        <v>5669</v>
      </c>
      <c r="G4753" s="38">
        <v>5.202379009423E12</v>
      </c>
      <c r="H4753" s="38" t="s">
        <v>5670</v>
      </c>
      <c r="I4753" s="38" t="s">
        <v>5671</v>
      </c>
      <c r="J4753" s="38" t="s">
        <v>125</v>
      </c>
      <c r="K4753" s="38" t="s">
        <v>126</v>
      </c>
      <c r="L4753" s="41">
        <v>46010.938888888886</v>
      </c>
      <c r="M4753" s="38" t="s">
        <v>123</v>
      </c>
      <c r="N4753" s="41">
        <v>46010.94583333333</v>
      </c>
      <c r="O4753" s="38" t="s">
        <v>123</v>
      </c>
      <c r="P4753" s="38">
        <v>600.0</v>
      </c>
      <c r="Q4753" s="39"/>
      <c r="R4753" s="39"/>
      <c r="S4753" s="38" t="s">
        <v>5696</v>
      </c>
      <c r="T4753" s="39"/>
      <c r="U4753" s="39"/>
    </row>
    <row r="4754">
      <c r="A4754" s="40">
        <f t="shared" si="1"/>
        <v>46006</v>
      </c>
      <c r="B4754" s="37" t="str">
        <f t="array" ref="B4754">iferror(xlookup($I4754, 'IMPORT VHC Report'!$E:$E, 'IMPORT VHC Report'!$A:$C), )</f>
        <v/>
      </c>
      <c r="C4754" s="37"/>
      <c r="D4754" s="37"/>
      <c r="E4754" s="38" t="s">
        <v>5697</v>
      </c>
      <c r="F4754" s="38" t="s">
        <v>5669</v>
      </c>
      <c r="G4754" s="38">
        <v>5.202379009423E12</v>
      </c>
      <c r="H4754" s="38" t="s">
        <v>5670</v>
      </c>
      <c r="I4754" s="38" t="s">
        <v>5671</v>
      </c>
      <c r="J4754" s="38" t="s">
        <v>134</v>
      </c>
      <c r="K4754" s="38" t="s">
        <v>126</v>
      </c>
      <c r="L4754" s="41">
        <v>46010.958333333336</v>
      </c>
      <c r="M4754" s="38" t="s">
        <v>123</v>
      </c>
      <c r="N4754" s="41">
        <v>46010.979166666664</v>
      </c>
      <c r="O4754" s="38" t="s">
        <v>123</v>
      </c>
      <c r="P4754" s="38">
        <v>1800.0</v>
      </c>
      <c r="Q4754" s="39"/>
      <c r="R4754" s="39"/>
      <c r="S4754" s="39"/>
      <c r="T4754" s="39"/>
      <c r="U4754" s="39"/>
    </row>
    <row r="4755">
      <c r="A4755" s="40">
        <f t="shared" si="1"/>
        <v>46006</v>
      </c>
      <c r="B4755" s="37" t="str">
        <f t="array" ref="B4755">iferror(xlookup($I4755, 'IMPORT VHC Report'!$E:$E, 'IMPORT VHC Report'!$A:$C), )</f>
        <v/>
      </c>
      <c r="C4755" s="37"/>
      <c r="D4755" s="37"/>
      <c r="E4755" s="38" t="s">
        <v>5698</v>
      </c>
      <c r="F4755" s="38" t="s">
        <v>5669</v>
      </c>
      <c r="G4755" s="38">
        <v>5.202379009423E12</v>
      </c>
      <c r="H4755" s="38" t="s">
        <v>5670</v>
      </c>
      <c r="I4755" s="38" t="s">
        <v>5671</v>
      </c>
      <c r="J4755" s="38" t="s">
        <v>330</v>
      </c>
      <c r="K4755" s="38" t="s">
        <v>126</v>
      </c>
      <c r="L4755" s="41">
        <v>46010.979166666664</v>
      </c>
      <c r="M4755" s="38" t="s">
        <v>123</v>
      </c>
      <c r="N4755" s="41">
        <v>46011.0</v>
      </c>
      <c r="O4755" s="38" t="s">
        <v>123</v>
      </c>
      <c r="P4755" s="38">
        <v>1800.0</v>
      </c>
      <c r="Q4755" s="39"/>
      <c r="R4755" s="39"/>
      <c r="S4755" s="39"/>
      <c r="T4755" s="39"/>
      <c r="U4755" s="39"/>
    </row>
    <row r="4756">
      <c r="A4756" s="40">
        <f t="shared" si="1"/>
        <v>46006</v>
      </c>
      <c r="B4756" s="37" t="str">
        <f t="array" ref="B4756">iferror(xlookup($I4756, 'IMPORT VHC Report'!$E:$E, 'IMPORT VHC Report'!$A:$C), )</f>
        <v/>
      </c>
      <c r="C4756" s="37"/>
      <c r="D4756" s="37"/>
      <c r="E4756" s="38" t="s">
        <v>5699</v>
      </c>
      <c r="F4756" s="38" t="s">
        <v>5669</v>
      </c>
      <c r="G4756" s="38">
        <v>5.202379009423E12</v>
      </c>
      <c r="H4756" s="38" t="s">
        <v>5670</v>
      </c>
      <c r="I4756" s="38" t="s">
        <v>5671</v>
      </c>
      <c r="J4756" s="38" t="s">
        <v>132</v>
      </c>
      <c r="K4756" s="38" t="s">
        <v>126</v>
      </c>
      <c r="L4756" s="41">
        <v>46011.104166666664</v>
      </c>
      <c r="M4756" s="38" t="s">
        <v>123</v>
      </c>
      <c r="N4756" s="41">
        <v>46011.145833333336</v>
      </c>
      <c r="O4756" s="38" t="s">
        <v>123</v>
      </c>
      <c r="P4756" s="38">
        <v>3600.0</v>
      </c>
      <c r="Q4756" s="39"/>
      <c r="R4756" s="39"/>
      <c r="S4756" s="39"/>
      <c r="T4756" s="39"/>
      <c r="U4756" s="39"/>
    </row>
    <row r="4757">
      <c r="A4757" s="40">
        <f t="shared" si="1"/>
        <v>46006</v>
      </c>
      <c r="B4757" s="37" t="str">
        <f t="array" ref="B4757">iferror(xlookup($I4757, 'IMPORT VHC Report'!$E:$E, 'IMPORT VHC Report'!$A:$C), )</f>
        <v/>
      </c>
      <c r="C4757" s="37"/>
      <c r="D4757" s="37"/>
      <c r="E4757" s="38" t="s">
        <v>5700</v>
      </c>
      <c r="F4757" s="38" t="s">
        <v>5669</v>
      </c>
      <c r="G4757" s="38">
        <v>5.202379009423E12</v>
      </c>
      <c r="H4757" s="38" t="s">
        <v>5670</v>
      </c>
      <c r="I4757" s="38" t="s">
        <v>5671</v>
      </c>
      <c r="J4757" s="38" t="s">
        <v>4</v>
      </c>
      <c r="K4757" s="38" t="s">
        <v>126</v>
      </c>
      <c r="L4757" s="41">
        <v>46011.208333333336</v>
      </c>
      <c r="M4757" s="38" t="s">
        <v>123</v>
      </c>
      <c r="N4757" s="41">
        <v>46011.25</v>
      </c>
      <c r="O4757" s="38" t="s">
        <v>123</v>
      </c>
      <c r="P4757" s="38">
        <v>3600.0</v>
      </c>
      <c r="Q4757" s="39"/>
      <c r="R4757" s="39"/>
      <c r="S4757" s="38" t="s">
        <v>5701</v>
      </c>
      <c r="T4757" s="39"/>
      <c r="U4757" s="39"/>
    </row>
    <row r="4758">
      <c r="A4758" s="40">
        <f t="shared" si="1"/>
        <v>46006</v>
      </c>
      <c r="B4758" s="37" t="str">
        <f t="array" ref="B4758">iferror(xlookup($I4758, 'IMPORT VHC Report'!$E:$E, 'IMPORT VHC Report'!$A:$C), )</f>
        <v/>
      </c>
      <c r="C4758" s="37"/>
      <c r="D4758" s="37"/>
      <c r="E4758" s="38" t="s">
        <v>5702</v>
      </c>
      <c r="F4758" s="38" t="s">
        <v>5703</v>
      </c>
      <c r="G4758" s="38">
        <v>3.61861297715E11</v>
      </c>
      <c r="H4758" s="38" t="s">
        <v>5704</v>
      </c>
      <c r="I4758" s="38" t="s">
        <v>5705</v>
      </c>
      <c r="J4758" s="38" t="s">
        <v>224</v>
      </c>
      <c r="K4758" s="38" t="s">
        <v>63</v>
      </c>
      <c r="L4758" s="41">
        <v>46006.875</v>
      </c>
      <c r="M4758" s="38" t="s">
        <v>123</v>
      </c>
      <c r="N4758" s="41">
        <v>46007.166666666664</v>
      </c>
      <c r="O4758" s="38" t="s">
        <v>123</v>
      </c>
      <c r="P4758" s="38">
        <v>25200.0</v>
      </c>
      <c r="Q4758" s="39"/>
      <c r="R4758" s="39"/>
      <c r="S4758" s="39"/>
      <c r="T4758" s="39"/>
      <c r="U4758" s="39"/>
    </row>
    <row r="4759">
      <c r="A4759" s="40">
        <f t="shared" si="1"/>
        <v>46006</v>
      </c>
      <c r="B4759" s="37" t="str">
        <f t="array" ref="B4759">iferror(xlookup($I4759, 'IMPORT VHC Report'!$E:$E, 'IMPORT VHC Report'!$A:$C), )</f>
        <v/>
      </c>
      <c r="C4759" s="37"/>
      <c r="D4759" s="37"/>
      <c r="E4759" s="38" t="s">
        <v>5706</v>
      </c>
      <c r="F4759" s="38" t="s">
        <v>5703</v>
      </c>
      <c r="G4759" s="38">
        <v>3.61861297715E11</v>
      </c>
      <c r="H4759" s="38" t="s">
        <v>5704</v>
      </c>
      <c r="I4759" s="38" t="s">
        <v>5705</v>
      </c>
      <c r="J4759" s="38" t="s">
        <v>136</v>
      </c>
      <c r="K4759" s="38" t="s">
        <v>126</v>
      </c>
      <c r="L4759" s="41">
        <v>46006.916666666664</v>
      </c>
      <c r="M4759" s="38" t="s">
        <v>123</v>
      </c>
      <c r="N4759" s="41">
        <v>46006.93541666667</v>
      </c>
      <c r="O4759" s="38" t="s">
        <v>123</v>
      </c>
      <c r="P4759" s="38">
        <v>1620.0</v>
      </c>
      <c r="Q4759" s="39"/>
      <c r="R4759" s="39"/>
      <c r="S4759" s="38" t="s">
        <v>5707</v>
      </c>
      <c r="T4759" s="39"/>
      <c r="U4759" s="39"/>
    </row>
    <row r="4760">
      <c r="A4760" s="40">
        <f t="shared" si="1"/>
        <v>46006</v>
      </c>
      <c r="B4760" s="37" t="str">
        <f t="array" ref="B4760">iferror(xlookup($I4760, 'IMPORT VHC Report'!$E:$E, 'IMPORT VHC Report'!$A:$C), )</f>
        <v/>
      </c>
      <c r="C4760" s="37"/>
      <c r="D4760" s="37"/>
      <c r="E4760" s="38" t="s">
        <v>5708</v>
      </c>
      <c r="F4760" s="38" t="s">
        <v>5703</v>
      </c>
      <c r="G4760" s="38">
        <v>3.61861297715E11</v>
      </c>
      <c r="H4760" s="38" t="s">
        <v>5704</v>
      </c>
      <c r="I4760" s="38" t="s">
        <v>5705</v>
      </c>
      <c r="J4760" s="38" t="s">
        <v>125</v>
      </c>
      <c r="K4760" s="38" t="s">
        <v>126</v>
      </c>
      <c r="L4760" s="41">
        <v>46007.041666666664</v>
      </c>
      <c r="M4760" s="38" t="s">
        <v>123</v>
      </c>
      <c r="N4760" s="41">
        <v>46007.052083333336</v>
      </c>
      <c r="O4760" s="38" t="s">
        <v>123</v>
      </c>
      <c r="P4760" s="38">
        <v>900.0</v>
      </c>
      <c r="Q4760" s="39"/>
      <c r="R4760" s="39"/>
      <c r="S4760" s="38" t="s">
        <v>5709</v>
      </c>
      <c r="T4760" s="39"/>
      <c r="U4760" s="39"/>
    </row>
    <row r="4761">
      <c r="A4761" s="40">
        <f t="shared" si="1"/>
        <v>46006</v>
      </c>
      <c r="B4761" s="37" t="str">
        <f t="array" ref="B4761">iferror(xlookup($I4761, 'IMPORT VHC Report'!$E:$E, 'IMPORT VHC Report'!$A:$C), )</f>
        <v/>
      </c>
      <c r="C4761" s="37"/>
      <c r="D4761" s="37"/>
      <c r="E4761" s="38" t="s">
        <v>5710</v>
      </c>
      <c r="F4761" s="38" t="s">
        <v>5703</v>
      </c>
      <c r="G4761" s="38">
        <v>3.61861297715E11</v>
      </c>
      <c r="H4761" s="38" t="s">
        <v>5704</v>
      </c>
      <c r="I4761" s="38" t="s">
        <v>5705</v>
      </c>
      <c r="J4761" s="38" t="s">
        <v>125</v>
      </c>
      <c r="K4761" s="38" t="s">
        <v>126</v>
      </c>
      <c r="L4761" s="41">
        <v>46007.072916666664</v>
      </c>
      <c r="M4761" s="38" t="s">
        <v>123</v>
      </c>
      <c r="N4761" s="41">
        <v>46007.083333333336</v>
      </c>
      <c r="O4761" s="38" t="s">
        <v>123</v>
      </c>
      <c r="P4761" s="38">
        <v>900.0</v>
      </c>
      <c r="Q4761" s="39"/>
      <c r="R4761" s="39"/>
      <c r="S4761" s="38" t="s">
        <v>5709</v>
      </c>
      <c r="T4761" s="39"/>
      <c r="U4761" s="39"/>
    </row>
    <row r="4762">
      <c r="A4762" s="40">
        <f t="shared" si="1"/>
        <v>46006</v>
      </c>
      <c r="B4762" s="37" t="str">
        <f t="array" ref="B4762">iferror(xlookup($I4762, 'IMPORT VHC Report'!$E:$E, 'IMPORT VHC Report'!$A:$C), )</f>
        <v/>
      </c>
      <c r="C4762" s="37"/>
      <c r="D4762" s="37"/>
      <c r="E4762" s="38" t="s">
        <v>5711</v>
      </c>
      <c r="F4762" s="38" t="s">
        <v>5703</v>
      </c>
      <c r="G4762" s="38">
        <v>3.61861297715E11</v>
      </c>
      <c r="H4762" s="38" t="s">
        <v>5704</v>
      </c>
      <c r="I4762" s="38" t="s">
        <v>5705</v>
      </c>
      <c r="J4762" s="38" t="s">
        <v>125</v>
      </c>
      <c r="K4762" s="38" t="s">
        <v>126</v>
      </c>
      <c r="L4762" s="41">
        <v>46007.125</v>
      </c>
      <c r="M4762" s="38" t="s">
        <v>123</v>
      </c>
      <c r="N4762" s="41">
        <v>46007.135416666664</v>
      </c>
      <c r="O4762" s="38" t="s">
        <v>123</v>
      </c>
      <c r="P4762" s="38">
        <v>900.0</v>
      </c>
      <c r="Q4762" s="39"/>
      <c r="R4762" s="39"/>
      <c r="S4762" s="38" t="s">
        <v>5709</v>
      </c>
      <c r="T4762" s="39"/>
      <c r="U4762" s="39"/>
    </row>
    <row r="4763">
      <c r="A4763" s="40">
        <f t="shared" si="1"/>
        <v>46006</v>
      </c>
      <c r="B4763" s="37" t="str">
        <f t="array" ref="B4763">iferror(xlookup($I4763, 'IMPORT VHC Report'!$E:$E, 'IMPORT VHC Report'!$A:$C), )</f>
        <v/>
      </c>
      <c r="C4763" s="37"/>
      <c r="D4763" s="37"/>
      <c r="E4763" s="38" t="s">
        <v>5712</v>
      </c>
      <c r="F4763" s="38" t="s">
        <v>5703</v>
      </c>
      <c r="G4763" s="38">
        <v>3.61861297715E11</v>
      </c>
      <c r="H4763" s="38" t="s">
        <v>5704</v>
      </c>
      <c r="I4763" s="38" t="s">
        <v>5705</v>
      </c>
      <c r="J4763" s="38" t="s">
        <v>125</v>
      </c>
      <c r="K4763" s="38" t="s">
        <v>126</v>
      </c>
      <c r="L4763" s="41">
        <v>46007.15625</v>
      </c>
      <c r="M4763" s="38" t="s">
        <v>123</v>
      </c>
      <c r="N4763" s="41">
        <v>46007.166666666664</v>
      </c>
      <c r="O4763" s="38" t="s">
        <v>123</v>
      </c>
      <c r="P4763" s="38">
        <v>900.0</v>
      </c>
      <c r="Q4763" s="39"/>
      <c r="R4763" s="39"/>
      <c r="S4763" s="38" t="s">
        <v>5709</v>
      </c>
      <c r="T4763" s="39"/>
      <c r="U4763" s="39"/>
    </row>
    <row r="4764">
      <c r="A4764" s="40">
        <f t="shared" si="1"/>
        <v>46006</v>
      </c>
      <c r="B4764" s="37" t="str">
        <f t="array" ref="B4764">iferror(xlookup($I4764, 'IMPORT VHC Report'!$E:$E, 'IMPORT VHC Report'!$A:$C), )</f>
        <v/>
      </c>
      <c r="C4764" s="37"/>
      <c r="D4764" s="37"/>
      <c r="E4764" s="38" t="s">
        <v>5713</v>
      </c>
      <c r="F4764" s="38" t="s">
        <v>5703</v>
      </c>
      <c r="G4764" s="38">
        <v>3.61861297715E11</v>
      </c>
      <c r="H4764" s="38" t="s">
        <v>5704</v>
      </c>
      <c r="I4764" s="38" t="s">
        <v>5705</v>
      </c>
      <c r="J4764" s="38" t="s">
        <v>136</v>
      </c>
      <c r="K4764" s="38" t="s">
        <v>126</v>
      </c>
      <c r="L4764" s="41">
        <v>46007.166666666664</v>
      </c>
      <c r="M4764" s="38" t="s">
        <v>123</v>
      </c>
      <c r="N4764" s="41">
        <v>46007.177083333336</v>
      </c>
      <c r="O4764" s="38" t="s">
        <v>123</v>
      </c>
      <c r="P4764" s="38">
        <v>900.0</v>
      </c>
      <c r="Q4764" s="39"/>
      <c r="R4764" s="39"/>
      <c r="S4764" s="38" t="s">
        <v>1846</v>
      </c>
      <c r="T4764" s="39"/>
      <c r="U4764" s="39"/>
    </row>
    <row r="4765">
      <c r="A4765" s="40">
        <f t="shared" si="1"/>
        <v>46006</v>
      </c>
      <c r="B4765" s="37" t="str">
        <f t="array" ref="B4765">iferror(xlookup($I4765, 'IMPORT VHC Report'!$E:$E, 'IMPORT VHC Report'!$A:$C), )</f>
        <v/>
      </c>
      <c r="C4765" s="37"/>
      <c r="D4765" s="37"/>
      <c r="E4765" s="38" t="s">
        <v>5714</v>
      </c>
      <c r="F4765" s="38" t="s">
        <v>5703</v>
      </c>
      <c r="G4765" s="38">
        <v>3.61861297715E11</v>
      </c>
      <c r="H4765" s="38" t="s">
        <v>5704</v>
      </c>
      <c r="I4765" s="38" t="s">
        <v>5705</v>
      </c>
      <c r="J4765" s="38" t="s">
        <v>224</v>
      </c>
      <c r="K4765" s="38" t="s">
        <v>63</v>
      </c>
      <c r="L4765" s="41">
        <v>46007.177083333336</v>
      </c>
      <c r="M4765" s="38" t="s">
        <v>123</v>
      </c>
      <c r="N4765" s="41">
        <v>46007.1875</v>
      </c>
      <c r="O4765" s="38" t="s">
        <v>123</v>
      </c>
      <c r="P4765" s="38">
        <v>900.0</v>
      </c>
      <c r="Q4765" s="39"/>
      <c r="R4765" s="39"/>
      <c r="S4765" s="39"/>
      <c r="T4765" s="39"/>
      <c r="U4765" s="39"/>
    </row>
    <row r="4766">
      <c r="A4766" s="40">
        <f t="shared" si="1"/>
        <v>46006</v>
      </c>
      <c r="B4766" s="37" t="str">
        <f t="array" ref="B4766">iferror(xlookup($I4766, 'IMPORT VHC Report'!$E:$E, 'IMPORT VHC Report'!$A:$C), )</f>
        <v/>
      </c>
      <c r="C4766" s="37"/>
      <c r="D4766" s="37"/>
      <c r="E4766" s="38" t="s">
        <v>5715</v>
      </c>
      <c r="F4766" s="38" t="s">
        <v>5703</v>
      </c>
      <c r="G4766" s="38">
        <v>3.61861297715E11</v>
      </c>
      <c r="H4766" s="38" t="s">
        <v>5704</v>
      </c>
      <c r="I4766" s="38" t="s">
        <v>5705</v>
      </c>
      <c r="J4766" s="38" t="s">
        <v>134</v>
      </c>
      <c r="K4766" s="38" t="s">
        <v>126</v>
      </c>
      <c r="L4766" s="41">
        <v>46007.1875</v>
      </c>
      <c r="M4766" s="38" t="s">
        <v>123</v>
      </c>
      <c r="N4766" s="41">
        <v>46007.208333333336</v>
      </c>
      <c r="O4766" s="38" t="s">
        <v>123</v>
      </c>
      <c r="P4766" s="38">
        <v>1800.0</v>
      </c>
      <c r="Q4766" s="39"/>
      <c r="R4766" s="39"/>
      <c r="S4766" s="39"/>
      <c r="T4766" s="39"/>
      <c r="U4766" s="39"/>
    </row>
    <row r="4767">
      <c r="A4767" s="40">
        <f t="shared" si="1"/>
        <v>46006</v>
      </c>
      <c r="B4767" s="37" t="str">
        <f t="array" ref="B4767">iferror(xlookup($I4767, 'IMPORT VHC Report'!$E:$E, 'IMPORT VHC Report'!$A:$C), )</f>
        <v/>
      </c>
      <c r="C4767" s="37"/>
      <c r="D4767" s="37"/>
      <c r="E4767" s="38" t="s">
        <v>5716</v>
      </c>
      <c r="F4767" s="38" t="s">
        <v>5703</v>
      </c>
      <c r="G4767" s="38">
        <v>3.61861297715E11</v>
      </c>
      <c r="H4767" s="38" t="s">
        <v>5704</v>
      </c>
      <c r="I4767" s="38" t="s">
        <v>5705</v>
      </c>
      <c r="J4767" s="38" t="s">
        <v>132</v>
      </c>
      <c r="K4767" s="38" t="s">
        <v>126</v>
      </c>
      <c r="L4767" s="41">
        <v>46007.208333333336</v>
      </c>
      <c r="M4767" s="38" t="s">
        <v>123</v>
      </c>
      <c r="N4767" s="41">
        <v>46007.25</v>
      </c>
      <c r="O4767" s="38" t="s">
        <v>123</v>
      </c>
      <c r="P4767" s="38">
        <v>3600.0</v>
      </c>
      <c r="Q4767" s="39"/>
      <c r="R4767" s="39"/>
      <c r="S4767" s="39"/>
      <c r="T4767" s="39"/>
      <c r="U4767" s="39"/>
    </row>
    <row r="4768">
      <c r="A4768" s="40">
        <f t="shared" si="1"/>
        <v>46006</v>
      </c>
      <c r="B4768" s="37" t="str">
        <f t="array" ref="B4768">iferror(xlookup($I4768, 'IMPORT VHC Report'!$E:$E, 'IMPORT VHC Report'!$A:$C), )</f>
        <v/>
      </c>
      <c r="C4768" s="37"/>
      <c r="D4768" s="37"/>
      <c r="E4768" s="38" t="s">
        <v>5717</v>
      </c>
      <c r="F4768" s="38" t="s">
        <v>5703</v>
      </c>
      <c r="G4768" s="38">
        <v>3.61861297715E11</v>
      </c>
      <c r="H4768" s="38" t="s">
        <v>5704</v>
      </c>
      <c r="I4768" s="38" t="s">
        <v>5705</v>
      </c>
      <c r="J4768" s="38" t="s">
        <v>136</v>
      </c>
      <c r="K4768" s="38" t="s">
        <v>126</v>
      </c>
      <c r="L4768" s="41">
        <v>46007.875</v>
      </c>
      <c r="M4768" s="38" t="s">
        <v>123</v>
      </c>
      <c r="N4768" s="41">
        <v>46007.90972222222</v>
      </c>
      <c r="O4768" s="38" t="s">
        <v>123</v>
      </c>
      <c r="P4768" s="38">
        <v>3000.0</v>
      </c>
      <c r="Q4768" s="39"/>
      <c r="R4768" s="39"/>
      <c r="S4768" s="38" t="s">
        <v>5718</v>
      </c>
      <c r="T4768" s="39"/>
      <c r="U4768" s="39"/>
    </row>
    <row r="4769">
      <c r="A4769" s="40">
        <f t="shared" si="1"/>
        <v>46006</v>
      </c>
      <c r="B4769" s="37" t="str">
        <f t="array" ref="B4769">iferror(xlookup($I4769, 'IMPORT VHC Report'!$E:$E, 'IMPORT VHC Report'!$A:$C), )</f>
        <v/>
      </c>
      <c r="C4769" s="37"/>
      <c r="D4769" s="37"/>
      <c r="E4769" s="38" t="s">
        <v>5719</v>
      </c>
      <c r="F4769" s="38" t="s">
        <v>5703</v>
      </c>
      <c r="G4769" s="38">
        <v>3.61861297715E11</v>
      </c>
      <c r="H4769" s="38" t="s">
        <v>5704</v>
      </c>
      <c r="I4769" s="38" t="s">
        <v>5705</v>
      </c>
      <c r="J4769" s="38" t="s">
        <v>224</v>
      </c>
      <c r="K4769" s="38" t="s">
        <v>63</v>
      </c>
      <c r="L4769" s="41">
        <v>46007.875</v>
      </c>
      <c r="M4769" s="38" t="s">
        <v>123</v>
      </c>
      <c r="N4769" s="41">
        <v>46008.25</v>
      </c>
      <c r="O4769" s="38" t="s">
        <v>123</v>
      </c>
      <c r="P4769" s="38">
        <v>32400.0</v>
      </c>
      <c r="Q4769" s="39"/>
      <c r="R4769" s="39"/>
      <c r="S4769" s="39"/>
      <c r="T4769" s="39"/>
      <c r="U4769" s="39"/>
    </row>
    <row r="4770">
      <c r="A4770" s="40">
        <f t="shared" si="1"/>
        <v>46006</v>
      </c>
      <c r="B4770" s="37" t="str">
        <f t="array" ref="B4770">iferror(xlookup($I4770, 'IMPORT VHC Report'!$E:$E, 'IMPORT VHC Report'!$A:$C), )</f>
        <v/>
      </c>
      <c r="C4770" s="37"/>
      <c r="D4770" s="37"/>
      <c r="E4770" s="38" t="s">
        <v>5720</v>
      </c>
      <c r="F4770" s="38" t="s">
        <v>5703</v>
      </c>
      <c r="G4770" s="38">
        <v>3.61861297715E11</v>
      </c>
      <c r="H4770" s="38" t="s">
        <v>5704</v>
      </c>
      <c r="I4770" s="38" t="s">
        <v>5705</v>
      </c>
      <c r="J4770" s="38" t="s">
        <v>125</v>
      </c>
      <c r="K4770" s="38" t="s">
        <v>126</v>
      </c>
      <c r="L4770" s="41">
        <v>46008.041666666664</v>
      </c>
      <c r="M4770" s="38" t="s">
        <v>123</v>
      </c>
      <c r="N4770" s="41">
        <v>46008.052083333336</v>
      </c>
      <c r="O4770" s="38" t="s">
        <v>123</v>
      </c>
      <c r="P4770" s="38">
        <v>900.0</v>
      </c>
      <c r="Q4770" s="39"/>
      <c r="R4770" s="39"/>
      <c r="S4770" s="38" t="s">
        <v>5721</v>
      </c>
      <c r="T4770" s="39"/>
      <c r="U4770" s="39"/>
    </row>
    <row r="4771">
      <c r="A4771" s="40">
        <f t="shared" si="1"/>
        <v>46006</v>
      </c>
      <c r="B4771" s="37" t="str">
        <f t="array" ref="B4771">iferror(xlookup($I4771, 'IMPORT VHC Report'!$E:$E, 'IMPORT VHC Report'!$A:$C), )</f>
        <v/>
      </c>
      <c r="C4771" s="37"/>
      <c r="D4771" s="37"/>
      <c r="E4771" s="38" t="s">
        <v>5722</v>
      </c>
      <c r="F4771" s="38" t="s">
        <v>5703</v>
      </c>
      <c r="G4771" s="38">
        <v>3.61861297715E11</v>
      </c>
      <c r="H4771" s="38" t="s">
        <v>5704</v>
      </c>
      <c r="I4771" s="38" t="s">
        <v>5705</v>
      </c>
      <c r="J4771" s="38" t="s">
        <v>125</v>
      </c>
      <c r="K4771" s="38" t="s">
        <v>126</v>
      </c>
      <c r="L4771" s="41">
        <v>46008.072916666664</v>
      </c>
      <c r="M4771" s="38" t="s">
        <v>123</v>
      </c>
      <c r="N4771" s="41">
        <v>46008.083333333336</v>
      </c>
      <c r="O4771" s="38" t="s">
        <v>123</v>
      </c>
      <c r="P4771" s="38">
        <v>900.0</v>
      </c>
      <c r="Q4771" s="39"/>
      <c r="R4771" s="39"/>
      <c r="S4771" s="38" t="s">
        <v>5709</v>
      </c>
      <c r="T4771" s="39"/>
      <c r="U4771" s="39"/>
    </row>
    <row r="4772">
      <c r="A4772" s="40">
        <f t="shared" si="1"/>
        <v>46006</v>
      </c>
      <c r="B4772" s="37" t="str">
        <f t="array" ref="B4772">iferror(xlookup($I4772, 'IMPORT VHC Report'!$E:$E, 'IMPORT VHC Report'!$A:$C), )</f>
        <v/>
      </c>
      <c r="C4772" s="37"/>
      <c r="D4772" s="37"/>
      <c r="E4772" s="38" t="s">
        <v>5723</v>
      </c>
      <c r="F4772" s="38" t="s">
        <v>5703</v>
      </c>
      <c r="G4772" s="38">
        <v>3.61861297715E11</v>
      </c>
      <c r="H4772" s="38" t="s">
        <v>5704</v>
      </c>
      <c r="I4772" s="38" t="s">
        <v>5705</v>
      </c>
      <c r="J4772" s="38" t="s">
        <v>125</v>
      </c>
      <c r="K4772" s="38" t="s">
        <v>126</v>
      </c>
      <c r="L4772" s="41">
        <v>46008.125</v>
      </c>
      <c r="M4772" s="38" t="s">
        <v>123</v>
      </c>
      <c r="N4772" s="41">
        <v>46008.135416666664</v>
      </c>
      <c r="O4772" s="38" t="s">
        <v>123</v>
      </c>
      <c r="P4772" s="38">
        <v>900.0</v>
      </c>
      <c r="Q4772" s="39"/>
      <c r="R4772" s="39"/>
      <c r="S4772" s="38" t="s">
        <v>5709</v>
      </c>
      <c r="T4772" s="39"/>
      <c r="U4772" s="39"/>
    </row>
    <row r="4773">
      <c r="A4773" s="40">
        <f t="shared" si="1"/>
        <v>46006</v>
      </c>
      <c r="B4773" s="37" t="str">
        <f t="array" ref="B4773">iferror(xlookup($I4773, 'IMPORT VHC Report'!$E:$E, 'IMPORT VHC Report'!$A:$C), )</f>
        <v/>
      </c>
      <c r="C4773" s="37"/>
      <c r="D4773" s="37"/>
      <c r="E4773" s="38" t="s">
        <v>5724</v>
      </c>
      <c r="F4773" s="38" t="s">
        <v>5703</v>
      </c>
      <c r="G4773" s="38">
        <v>3.61861297715E11</v>
      </c>
      <c r="H4773" s="38" t="s">
        <v>5704</v>
      </c>
      <c r="I4773" s="38" t="s">
        <v>5705</v>
      </c>
      <c r="J4773" s="38" t="s">
        <v>125</v>
      </c>
      <c r="K4773" s="38" t="s">
        <v>126</v>
      </c>
      <c r="L4773" s="41">
        <v>46008.15625</v>
      </c>
      <c r="M4773" s="38" t="s">
        <v>123</v>
      </c>
      <c r="N4773" s="41">
        <v>46008.166666666664</v>
      </c>
      <c r="O4773" s="38" t="s">
        <v>123</v>
      </c>
      <c r="P4773" s="38">
        <v>900.0</v>
      </c>
      <c r="Q4773" s="39"/>
      <c r="R4773" s="39"/>
      <c r="S4773" s="38" t="s">
        <v>5709</v>
      </c>
      <c r="T4773" s="39"/>
      <c r="U4773" s="39"/>
    </row>
    <row r="4774">
      <c r="A4774" s="40">
        <f t="shared" si="1"/>
        <v>46006</v>
      </c>
      <c r="B4774" s="37" t="str">
        <f t="array" ref="B4774">iferror(xlookup($I4774, 'IMPORT VHC Report'!$E:$E, 'IMPORT VHC Report'!$A:$C), )</f>
        <v/>
      </c>
      <c r="C4774" s="37"/>
      <c r="D4774" s="37"/>
      <c r="E4774" s="38" t="s">
        <v>5725</v>
      </c>
      <c r="F4774" s="38" t="s">
        <v>5703</v>
      </c>
      <c r="G4774" s="38">
        <v>3.61861297715E11</v>
      </c>
      <c r="H4774" s="38" t="s">
        <v>5704</v>
      </c>
      <c r="I4774" s="38" t="s">
        <v>5705</v>
      </c>
      <c r="J4774" s="38" t="s">
        <v>224</v>
      </c>
      <c r="K4774" s="38" t="s">
        <v>63</v>
      </c>
      <c r="L4774" s="41">
        <v>46008.166666666664</v>
      </c>
      <c r="M4774" s="38" t="s">
        <v>123</v>
      </c>
      <c r="N4774" s="41">
        <v>46008.1875</v>
      </c>
      <c r="O4774" s="38" t="s">
        <v>123</v>
      </c>
      <c r="P4774" s="38">
        <v>1800.0</v>
      </c>
      <c r="Q4774" s="39"/>
      <c r="R4774" s="39"/>
      <c r="S4774" s="39"/>
      <c r="T4774" s="39"/>
      <c r="U4774" s="39"/>
    </row>
    <row r="4775">
      <c r="A4775" s="40">
        <f t="shared" si="1"/>
        <v>46006</v>
      </c>
      <c r="B4775" s="37" t="str">
        <f t="array" ref="B4775">iferror(xlookup($I4775, 'IMPORT VHC Report'!$E:$E, 'IMPORT VHC Report'!$A:$C), )</f>
        <v/>
      </c>
      <c r="C4775" s="37"/>
      <c r="D4775" s="37"/>
      <c r="E4775" s="38" t="s">
        <v>5726</v>
      </c>
      <c r="F4775" s="38" t="s">
        <v>5703</v>
      </c>
      <c r="G4775" s="38">
        <v>3.61861297715E11</v>
      </c>
      <c r="H4775" s="38" t="s">
        <v>5704</v>
      </c>
      <c r="I4775" s="38" t="s">
        <v>5705</v>
      </c>
      <c r="J4775" s="38" t="s">
        <v>134</v>
      </c>
      <c r="K4775" s="38" t="s">
        <v>126</v>
      </c>
      <c r="L4775" s="41">
        <v>46008.1875</v>
      </c>
      <c r="M4775" s="38" t="s">
        <v>123</v>
      </c>
      <c r="N4775" s="41">
        <v>46008.208333333336</v>
      </c>
      <c r="O4775" s="38" t="s">
        <v>123</v>
      </c>
      <c r="P4775" s="38">
        <v>1800.0</v>
      </c>
      <c r="Q4775" s="39"/>
      <c r="R4775" s="39"/>
      <c r="S4775" s="39"/>
      <c r="T4775" s="39"/>
      <c r="U4775" s="39"/>
    </row>
    <row r="4776">
      <c r="A4776" s="40">
        <f t="shared" si="1"/>
        <v>46006</v>
      </c>
      <c r="B4776" s="37" t="str">
        <f t="array" ref="B4776">iferror(xlookup($I4776, 'IMPORT VHC Report'!$E:$E, 'IMPORT VHC Report'!$A:$C), )</f>
        <v/>
      </c>
      <c r="C4776" s="37"/>
      <c r="D4776" s="37"/>
      <c r="E4776" s="38" t="s">
        <v>5727</v>
      </c>
      <c r="F4776" s="38" t="s">
        <v>5703</v>
      </c>
      <c r="G4776" s="38">
        <v>3.61861297715E11</v>
      </c>
      <c r="H4776" s="38" t="s">
        <v>5704</v>
      </c>
      <c r="I4776" s="38" t="s">
        <v>5705</v>
      </c>
      <c r="J4776" s="38" t="s">
        <v>132</v>
      </c>
      <c r="K4776" s="38" t="s">
        <v>126</v>
      </c>
      <c r="L4776" s="41">
        <v>46008.208333333336</v>
      </c>
      <c r="M4776" s="38" t="s">
        <v>123</v>
      </c>
      <c r="N4776" s="41">
        <v>46008.25</v>
      </c>
      <c r="O4776" s="38" t="s">
        <v>123</v>
      </c>
      <c r="P4776" s="38">
        <v>3600.0</v>
      </c>
      <c r="Q4776" s="39"/>
      <c r="R4776" s="39"/>
      <c r="S4776" s="39"/>
      <c r="T4776" s="39"/>
      <c r="U4776" s="39"/>
    </row>
    <row r="4777">
      <c r="A4777" s="40">
        <f t="shared" si="1"/>
        <v>46006</v>
      </c>
      <c r="B4777" s="37" t="str">
        <f t="array" ref="B4777">iferror(xlookup($I4777, 'IMPORT VHC Report'!$E:$E, 'IMPORT VHC Report'!$A:$C), )</f>
        <v/>
      </c>
      <c r="C4777" s="37"/>
      <c r="D4777" s="37"/>
      <c r="E4777" s="38" t="s">
        <v>5728</v>
      </c>
      <c r="F4777" s="38" t="s">
        <v>5703</v>
      </c>
      <c r="G4777" s="38">
        <v>3.61861297715E11</v>
      </c>
      <c r="H4777" s="38" t="s">
        <v>5704</v>
      </c>
      <c r="I4777" s="38" t="s">
        <v>5705</v>
      </c>
      <c r="J4777" s="38" t="s">
        <v>224</v>
      </c>
      <c r="K4777" s="38" t="s">
        <v>63</v>
      </c>
      <c r="L4777" s="41">
        <v>46008.875</v>
      </c>
      <c r="M4777" s="38" t="s">
        <v>123</v>
      </c>
      <c r="N4777" s="41">
        <v>46009.1875</v>
      </c>
      <c r="O4777" s="38" t="s">
        <v>123</v>
      </c>
      <c r="P4777" s="38">
        <v>27000.0</v>
      </c>
      <c r="Q4777" s="39"/>
      <c r="R4777" s="39"/>
      <c r="S4777" s="39"/>
      <c r="T4777" s="39"/>
      <c r="U4777" s="39"/>
    </row>
    <row r="4778">
      <c r="A4778" s="40">
        <f t="shared" si="1"/>
        <v>46006</v>
      </c>
      <c r="B4778" s="37" t="str">
        <f t="array" ref="B4778">iferror(xlookup($I4778, 'IMPORT VHC Report'!$E:$E, 'IMPORT VHC Report'!$A:$C), )</f>
        <v/>
      </c>
      <c r="C4778" s="37"/>
      <c r="D4778" s="37"/>
      <c r="E4778" s="38" t="s">
        <v>5729</v>
      </c>
      <c r="F4778" s="38" t="s">
        <v>5703</v>
      </c>
      <c r="G4778" s="38">
        <v>3.61861297715E11</v>
      </c>
      <c r="H4778" s="38" t="s">
        <v>5704</v>
      </c>
      <c r="I4778" s="38" t="s">
        <v>5705</v>
      </c>
      <c r="J4778" s="38" t="s">
        <v>152</v>
      </c>
      <c r="K4778" s="38" t="s">
        <v>153</v>
      </c>
      <c r="L4778" s="41">
        <v>46008.875</v>
      </c>
      <c r="M4778" s="38" t="s">
        <v>123</v>
      </c>
      <c r="N4778" s="41">
        <v>46009.208333333336</v>
      </c>
      <c r="O4778" s="38" t="s">
        <v>123</v>
      </c>
      <c r="P4778" s="38">
        <v>28800.0</v>
      </c>
      <c r="Q4778" s="38">
        <v>28800.0</v>
      </c>
      <c r="R4778" s="38" t="s">
        <v>421</v>
      </c>
      <c r="S4778" s="38" t="s">
        <v>421</v>
      </c>
      <c r="T4778" s="39"/>
      <c r="U4778" s="39"/>
    </row>
    <row r="4779">
      <c r="A4779" s="40">
        <f t="shared" si="1"/>
        <v>46006</v>
      </c>
      <c r="B4779" s="37" t="str">
        <f t="array" ref="B4779">iferror(xlookup($I4779, 'IMPORT VHC Report'!$E:$E, 'IMPORT VHC Report'!$A:$C), )</f>
        <v/>
      </c>
      <c r="C4779" s="37"/>
      <c r="D4779" s="37"/>
      <c r="E4779" s="38" t="s">
        <v>5730</v>
      </c>
      <c r="F4779" s="38" t="s">
        <v>5703</v>
      </c>
      <c r="G4779" s="38">
        <v>3.61861297715E11</v>
      </c>
      <c r="H4779" s="38" t="s">
        <v>5704</v>
      </c>
      <c r="I4779" s="38" t="s">
        <v>5705</v>
      </c>
      <c r="J4779" s="38" t="s">
        <v>134</v>
      </c>
      <c r="K4779" s="38" t="s">
        <v>126</v>
      </c>
      <c r="L4779" s="41">
        <v>46009.1875</v>
      </c>
      <c r="M4779" s="38" t="s">
        <v>123</v>
      </c>
      <c r="N4779" s="41">
        <v>46009.208333333336</v>
      </c>
      <c r="O4779" s="38" t="s">
        <v>123</v>
      </c>
      <c r="P4779" s="38">
        <v>1800.0</v>
      </c>
      <c r="Q4779" s="39"/>
      <c r="R4779" s="39"/>
      <c r="S4779" s="39"/>
      <c r="T4779" s="39"/>
      <c r="U4779" s="39"/>
    </row>
    <row r="4780">
      <c r="A4780" s="40">
        <f t="shared" si="1"/>
        <v>46006</v>
      </c>
      <c r="B4780" s="37" t="str">
        <f t="array" ref="B4780">iferror(xlookup($I4780, 'IMPORT VHC Report'!$E:$E, 'IMPORT VHC Report'!$A:$C), )</f>
        <v/>
      </c>
      <c r="C4780" s="37"/>
      <c r="D4780" s="37"/>
      <c r="E4780" s="38" t="s">
        <v>5731</v>
      </c>
      <c r="F4780" s="38" t="s">
        <v>5703</v>
      </c>
      <c r="G4780" s="38">
        <v>3.61861297715E11</v>
      </c>
      <c r="H4780" s="38" t="s">
        <v>5704</v>
      </c>
      <c r="I4780" s="38" t="s">
        <v>5705</v>
      </c>
      <c r="J4780" s="38" t="s">
        <v>125</v>
      </c>
      <c r="K4780" s="38" t="s">
        <v>126</v>
      </c>
      <c r="L4780" s="41">
        <v>46009.875</v>
      </c>
      <c r="M4780" s="38" t="s">
        <v>123</v>
      </c>
      <c r="N4780" s="41">
        <v>46009.885416666664</v>
      </c>
      <c r="O4780" s="38" t="s">
        <v>123</v>
      </c>
      <c r="P4780" s="38">
        <v>900.0</v>
      </c>
      <c r="Q4780" s="39"/>
      <c r="R4780" s="39"/>
      <c r="S4780" s="38" t="s">
        <v>5529</v>
      </c>
      <c r="T4780" s="39"/>
      <c r="U4780" s="39"/>
    </row>
    <row r="4781">
      <c r="A4781" s="40">
        <f t="shared" si="1"/>
        <v>46006</v>
      </c>
      <c r="B4781" s="37" t="str">
        <f t="array" ref="B4781">iferror(xlookup($I4781, 'IMPORT VHC Report'!$E:$E, 'IMPORT VHC Report'!$A:$C), )</f>
        <v/>
      </c>
      <c r="C4781" s="37"/>
      <c r="D4781" s="37"/>
      <c r="E4781" s="38" t="s">
        <v>5732</v>
      </c>
      <c r="F4781" s="38" t="s">
        <v>5703</v>
      </c>
      <c r="G4781" s="38">
        <v>3.61861297715E11</v>
      </c>
      <c r="H4781" s="38" t="s">
        <v>5704</v>
      </c>
      <c r="I4781" s="38" t="s">
        <v>5705</v>
      </c>
      <c r="J4781" s="38" t="s">
        <v>224</v>
      </c>
      <c r="K4781" s="38" t="s">
        <v>63</v>
      </c>
      <c r="L4781" s="41">
        <v>46009.875</v>
      </c>
      <c r="M4781" s="38" t="s">
        <v>123</v>
      </c>
      <c r="N4781" s="41">
        <v>46010.1875</v>
      </c>
      <c r="O4781" s="38" t="s">
        <v>123</v>
      </c>
      <c r="P4781" s="38">
        <v>27000.0</v>
      </c>
      <c r="Q4781" s="39"/>
      <c r="R4781" s="39"/>
      <c r="S4781" s="39"/>
      <c r="T4781" s="39"/>
      <c r="U4781" s="39"/>
    </row>
    <row r="4782">
      <c r="A4782" s="40">
        <f t="shared" si="1"/>
        <v>46006</v>
      </c>
      <c r="B4782" s="37" t="str">
        <f t="array" ref="B4782">iferror(xlookup($I4782, 'IMPORT VHC Report'!$E:$E, 'IMPORT VHC Report'!$A:$C), )</f>
        <v/>
      </c>
      <c r="C4782" s="37"/>
      <c r="D4782" s="37"/>
      <c r="E4782" s="38" t="s">
        <v>5733</v>
      </c>
      <c r="F4782" s="38" t="s">
        <v>5703</v>
      </c>
      <c r="G4782" s="38">
        <v>3.61861297715E11</v>
      </c>
      <c r="H4782" s="38" t="s">
        <v>5704</v>
      </c>
      <c r="I4782" s="38" t="s">
        <v>5705</v>
      </c>
      <c r="J4782" s="38" t="s">
        <v>134</v>
      </c>
      <c r="K4782" s="38" t="s">
        <v>126</v>
      </c>
      <c r="L4782" s="41">
        <v>46010.1875</v>
      </c>
      <c r="M4782" s="38" t="s">
        <v>123</v>
      </c>
      <c r="N4782" s="41">
        <v>46010.208333333336</v>
      </c>
      <c r="O4782" s="38" t="s">
        <v>123</v>
      </c>
      <c r="P4782" s="38">
        <v>1800.0</v>
      </c>
      <c r="Q4782" s="39"/>
      <c r="R4782" s="39"/>
      <c r="S4782" s="39"/>
      <c r="T4782" s="39"/>
      <c r="U4782" s="39"/>
    </row>
    <row r="4783">
      <c r="A4783" s="40">
        <f t="shared" si="1"/>
        <v>46006</v>
      </c>
      <c r="B4783" s="37" t="str">
        <f t="array" ref="B4783">iferror(xlookup($I4783, 'IMPORT VHC Report'!$E:$E, 'IMPORT VHC Report'!$A:$C), )</f>
        <v/>
      </c>
      <c r="C4783" s="37"/>
      <c r="D4783" s="37"/>
      <c r="E4783" s="38" t="s">
        <v>5734</v>
      </c>
      <c r="F4783" s="38" t="s">
        <v>5703</v>
      </c>
      <c r="G4783" s="38">
        <v>3.61861297715E11</v>
      </c>
      <c r="H4783" s="38" t="s">
        <v>5704</v>
      </c>
      <c r="I4783" s="38" t="s">
        <v>5705</v>
      </c>
      <c r="J4783" s="38" t="s">
        <v>132</v>
      </c>
      <c r="K4783" s="38" t="s">
        <v>126</v>
      </c>
      <c r="L4783" s="41">
        <v>46010.208333333336</v>
      </c>
      <c r="M4783" s="38" t="s">
        <v>123</v>
      </c>
      <c r="N4783" s="41">
        <v>46010.25</v>
      </c>
      <c r="O4783" s="38" t="s">
        <v>123</v>
      </c>
      <c r="P4783" s="38">
        <v>3600.0</v>
      </c>
      <c r="Q4783" s="39"/>
      <c r="R4783" s="39"/>
      <c r="S4783" s="39"/>
      <c r="T4783" s="39"/>
      <c r="U4783" s="39"/>
    </row>
    <row r="4784">
      <c r="A4784" s="40">
        <f t="shared" si="1"/>
        <v>46006</v>
      </c>
      <c r="B4784" s="37" t="str">
        <f t="array" ref="B4784">iferror(xlookup($I4784, 'IMPORT VHC Report'!$E:$E, 'IMPORT VHC Report'!$A:$C), )</f>
        <v/>
      </c>
      <c r="C4784" s="37"/>
      <c r="D4784" s="37"/>
      <c r="E4784" s="38" t="s">
        <v>5735</v>
      </c>
      <c r="F4784" s="38" t="s">
        <v>5703</v>
      </c>
      <c r="G4784" s="38">
        <v>3.61861297715E11</v>
      </c>
      <c r="H4784" s="38" t="s">
        <v>5704</v>
      </c>
      <c r="I4784" s="38" t="s">
        <v>5705</v>
      </c>
      <c r="J4784" s="38" t="s">
        <v>224</v>
      </c>
      <c r="K4784" s="38" t="s">
        <v>63</v>
      </c>
      <c r="L4784" s="41">
        <v>46010.875</v>
      </c>
      <c r="M4784" s="38" t="s">
        <v>123</v>
      </c>
      <c r="N4784" s="41">
        <v>46010.979166666664</v>
      </c>
      <c r="O4784" s="38" t="s">
        <v>123</v>
      </c>
      <c r="P4784" s="38">
        <v>9000.0</v>
      </c>
      <c r="Q4784" s="39"/>
      <c r="R4784" s="39"/>
      <c r="S4784" s="39"/>
      <c r="T4784" s="39"/>
      <c r="U4784" s="39"/>
    </row>
    <row r="4785">
      <c r="A4785" s="40">
        <f t="shared" si="1"/>
        <v>46006</v>
      </c>
      <c r="B4785" s="37" t="str">
        <f t="array" ref="B4785">iferror(xlookup($I4785, 'IMPORT VHC Report'!$E:$E, 'IMPORT VHC Report'!$A:$C), )</f>
        <v/>
      </c>
      <c r="C4785" s="37"/>
      <c r="D4785" s="37"/>
      <c r="E4785" s="38" t="s">
        <v>5736</v>
      </c>
      <c r="F4785" s="38" t="s">
        <v>5703</v>
      </c>
      <c r="G4785" s="38">
        <v>3.61861297715E11</v>
      </c>
      <c r="H4785" s="38" t="s">
        <v>5704</v>
      </c>
      <c r="I4785" s="38" t="s">
        <v>5705</v>
      </c>
      <c r="J4785" s="38" t="s">
        <v>134</v>
      </c>
      <c r="K4785" s="38" t="s">
        <v>126</v>
      </c>
      <c r="L4785" s="41">
        <v>46010.979166666664</v>
      </c>
      <c r="M4785" s="38" t="s">
        <v>123</v>
      </c>
      <c r="N4785" s="41">
        <v>46011.0</v>
      </c>
      <c r="O4785" s="38" t="s">
        <v>123</v>
      </c>
      <c r="P4785" s="38">
        <v>1800.0</v>
      </c>
      <c r="Q4785" s="39"/>
      <c r="R4785" s="39"/>
      <c r="S4785" s="39"/>
      <c r="T4785" s="39"/>
      <c r="U4785" s="39"/>
    </row>
    <row r="4786">
      <c r="A4786" s="40">
        <f t="shared" si="1"/>
        <v>46006</v>
      </c>
      <c r="B4786" s="37" t="str">
        <f t="array" ref="B4786">iferror(xlookup($I4786, 'IMPORT VHC Report'!$E:$E, 'IMPORT VHC Report'!$A:$C), )</f>
        <v/>
      </c>
      <c r="C4786" s="37"/>
      <c r="D4786" s="37"/>
      <c r="E4786" s="38" t="s">
        <v>5737</v>
      </c>
      <c r="F4786" s="38" t="s">
        <v>5703</v>
      </c>
      <c r="G4786" s="38">
        <v>3.61861297715E11</v>
      </c>
      <c r="H4786" s="38" t="s">
        <v>5704</v>
      </c>
      <c r="I4786" s="38" t="s">
        <v>5705</v>
      </c>
      <c r="J4786" s="38" t="s">
        <v>224</v>
      </c>
      <c r="K4786" s="38" t="s">
        <v>63</v>
      </c>
      <c r="L4786" s="41">
        <v>46011.0</v>
      </c>
      <c r="M4786" s="38" t="s">
        <v>123</v>
      </c>
      <c r="N4786" s="41">
        <v>46011.104166666664</v>
      </c>
      <c r="O4786" s="38" t="s">
        <v>123</v>
      </c>
      <c r="P4786" s="38">
        <v>9000.0</v>
      </c>
      <c r="Q4786" s="39"/>
      <c r="R4786" s="39"/>
      <c r="S4786" s="39"/>
      <c r="T4786" s="39"/>
      <c r="U4786" s="39"/>
    </row>
    <row r="4787">
      <c r="A4787" s="40">
        <f t="shared" si="1"/>
        <v>46006</v>
      </c>
      <c r="B4787" s="37" t="str">
        <f t="array" ref="B4787">iferror(xlookup($I4787, 'IMPORT VHC Report'!$E:$E, 'IMPORT VHC Report'!$A:$C), )</f>
        <v/>
      </c>
      <c r="C4787" s="37"/>
      <c r="D4787" s="37"/>
      <c r="E4787" s="38" t="s">
        <v>5738</v>
      </c>
      <c r="F4787" s="38" t="s">
        <v>5703</v>
      </c>
      <c r="G4787" s="38">
        <v>3.61861297715E11</v>
      </c>
      <c r="H4787" s="38" t="s">
        <v>5704</v>
      </c>
      <c r="I4787" s="38" t="s">
        <v>5705</v>
      </c>
      <c r="J4787" s="38" t="s">
        <v>132</v>
      </c>
      <c r="K4787" s="38" t="s">
        <v>126</v>
      </c>
      <c r="L4787" s="41">
        <v>46011.104166666664</v>
      </c>
      <c r="M4787" s="38" t="s">
        <v>123</v>
      </c>
      <c r="N4787" s="41">
        <v>46011.145833333336</v>
      </c>
      <c r="O4787" s="38" t="s">
        <v>123</v>
      </c>
      <c r="P4787" s="38">
        <v>3600.0</v>
      </c>
      <c r="Q4787" s="39"/>
      <c r="R4787" s="39"/>
      <c r="S4787" s="39"/>
      <c r="T4787" s="39"/>
      <c r="U4787" s="39"/>
    </row>
    <row r="4788">
      <c r="A4788" s="40">
        <f t="shared" si="1"/>
        <v>46006</v>
      </c>
      <c r="B4788" s="37" t="str">
        <f t="array" ref="B4788">iferror(xlookup($I4788, 'IMPORT VHC Report'!$E:$E, 'IMPORT VHC Report'!$A:$C), )</f>
        <v/>
      </c>
      <c r="C4788" s="37"/>
      <c r="D4788" s="37"/>
      <c r="E4788" s="38" t="s">
        <v>5739</v>
      </c>
      <c r="F4788" s="38" t="s">
        <v>5703</v>
      </c>
      <c r="G4788" s="38">
        <v>3.61861297715E11</v>
      </c>
      <c r="H4788" s="38" t="s">
        <v>5704</v>
      </c>
      <c r="I4788" s="38" t="s">
        <v>5705</v>
      </c>
      <c r="J4788" s="38" t="s">
        <v>224</v>
      </c>
      <c r="K4788" s="38" t="s">
        <v>63</v>
      </c>
      <c r="L4788" s="41">
        <v>46011.135416666664</v>
      </c>
      <c r="M4788" s="38" t="s">
        <v>123</v>
      </c>
      <c r="N4788" s="41">
        <v>46011.25</v>
      </c>
      <c r="O4788" s="38" t="s">
        <v>123</v>
      </c>
      <c r="P4788" s="38">
        <v>9900.0</v>
      </c>
      <c r="Q4788" s="39"/>
      <c r="R4788" s="39"/>
      <c r="S4788" s="39"/>
      <c r="T4788" s="39"/>
      <c r="U4788" s="39"/>
    </row>
    <row r="4789">
      <c r="A4789" s="40">
        <f t="shared" si="1"/>
        <v>46006</v>
      </c>
      <c r="B4789" s="37" t="str">
        <f t="array" ref="B4789">iferror(xlookup($I4789, 'IMPORT VHC Report'!$E:$E, 'IMPORT VHC Report'!$A:$C), )</f>
        <v/>
      </c>
      <c r="C4789" s="37"/>
      <c r="D4789" s="37"/>
      <c r="E4789" s="38" t="s">
        <v>5740</v>
      </c>
      <c r="F4789" s="38" t="s">
        <v>5703</v>
      </c>
      <c r="G4789" s="38">
        <v>3.61861297715E11</v>
      </c>
      <c r="H4789" s="38" t="s">
        <v>5704</v>
      </c>
      <c r="I4789" s="38" t="s">
        <v>5705</v>
      </c>
      <c r="J4789" s="38" t="s">
        <v>985</v>
      </c>
      <c r="K4789" s="38" t="s">
        <v>63</v>
      </c>
      <c r="L4789" s="41">
        <v>46012.75</v>
      </c>
      <c r="M4789" s="38" t="s">
        <v>123</v>
      </c>
      <c r="N4789" s="41">
        <v>46012.916666666664</v>
      </c>
      <c r="O4789" s="38" t="s">
        <v>123</v>
      </c>
      <c r="P4789" s="38">
        <v>14400.0</v>
      </c>
      <c r="Q4789" s="39"/>
      <c r="R4789" s="39"/>
      <c r="S4789" s="38" t="s">
        <v>5741</v>
      </c>
      <c r="T4789" s="39"/>
      <c r="U4789" s="39"/>
    </row>
    <row r="4790">
      <c r="A4790" s="40">
        <f t="shared" si="1"/>
        <v>46006</v>
      </c>
      <c r="B4790" s="37" t="str">
        <f t="array" ref="B4790">iferror(xlookup($I4790, 'IMPORT VHC Report'!$E:$E, 'IMPORT VHC Report'!$A:$C), )</f>
        <v/>
      </c>
      <c r="C4790" s="37"/>
      <c r="D4790" s="37"/>
      <c r="E4790" s="38" t="s">
        <v>5742</v>
      </c>
      <c r="F4790" s="38" t="s">
        <v>5743</v>
      </c>
      <c r="G4790" s="38">
        <v>9.582702695695E12</v>
      </c>
      <c r="H4790" s="38" t="s">
        <v>5744</v>
      </c>
      <c r="I4790" s="38" t="s">
        <v>5745</v>
      </c>
      <c r="J4790" s="38" t="s">
        <v>5746</v>
      </c>
      <c r="K4790" s="38" t="s">
        <v>63</v>
      </c>
      <c r="L4790" s="41">
        <v>46006.916666666664</v>
      </c>
      <c r="M4790" s="38" t="s">
        <v>123</v>
      </c>
      <c r="N4790" s="41">
        <v>46007.125</v>
      </c>
      <c r="O4790" s="38" t="s">
        <v>123</v>
      </c>
      <c r="P4790" s="38">
        <v>18000.0</v>
      </c>
      <c r="Q4790" s="39"/>
      <c r="R4790" s="39"/>
      <c r="S4790" s="39"/>
      <c r="T4790" s="39"/>
      <c r="U4790" s="39"/>
    </row>
    <row r="4791">
      <c r="A4791" s="40">
        <f t="shared" si="1"/>
        <v>46006</v>
      </c>
      <c r="B4791" s="37" t="str">
        <f t="array" ref="B4791">iferror(xlookup($I4791, 'IMPORT VHC Report'!$E:$E, 'IMPORT VHC Report'!$A:$C), )</f>
        <v/>
      </c>
      <c r="C4791" s="37"/>
      <c r="D4791" s="37"/>
      <c r="E4791" s="38" t="s">
        <v>5747</v>
      </c>
      <c r="F4791" s="38" t="s">
        <v>5743</v>
      </c>
      <c r="G4791" s="38">
        <v>9.582702695695E12</v>
      </c>
      <c r="H4791" s="38" t="s">
        <v>5744</v>
      </c>
      <c r="I4791" s="38" t="s">
        <v>5745</v>
      </c>
      <c r="J4791" s="38" t="s">
        <v>4</v>
      </c>
      <c r="K4791" s="38" t="s">
        <v>126</v>
      </c>
      <c r="L4791" s="41">
        <v>46006.9375</v>
      </c>
      <c r="M4791" s="38" t="s">
        <v>123</v>
      </c>
      <c r="N4791" s="41">
        <v>46006.979166666664</v>
      </c>
      <c r="O4791" s="38" t="s">
        <v>123</v>
      </c>
      <c r="P4791" s="38">
        <v>3600.0</v>
      </c>
      <c r="Q4791" s="39"/>
      <c r="R4791" s="39"/>
      <c r="S4791" s="38" t="s">
        <v>3090</v>
      </c>
      <c r="T4791" s="39"/>
      <c r="U4791" s="39"/>
    </row>
    <row r="4792">
      <c r="A4792" s="40">
        <f t="shared" si="1"/>
        <v>46006</v>
      </c>
      <c r="B4792" s="37" t="str">
        <f t="array" ref="B4792">iferror(xlookup($I4792, 'IMPORT VHC Report'!$E:$E, 'IMPORT VHC Report'!$A:$C), )</f>
        <v/>
      </c>
      <c r="C4792" s="37"/>
      <c r="D4792" s="37"/>
      <c r="E4792" s="38" t="s">
        <v>5748</v>
      </c>
      <c r="F4792" s="38" t="s">
        <v>5743</v>
      </c>
      <c r="G4792" s="38">
        <v>9.582702695695E12</v>
      </c>
      <c r="H4792" s="38" t="s">
        <v>5744</v>
      </c>
      <c r="I4792" s="38" t="s">
        <v>5745</v>
      </c>
      <c r="J4792" s="38" t="s">
        <v>132</v>
      </c>
      <c r="K4792" s="38" t="s">
        <v>126</v>
      </c>
      <c r="L4792" s="41">
        <v>46007.041666666664</v>
      </c>
      <c r="M4792" s="38" t="s">
        <v>123</v>
      </c>
      <c r="N4792" s="41">
        <v>46007.083333333336</v>
      </c>
      <c r="O4792" s="38" t="s">
        <v>123</v>
      </c>
      <c r="P4792" s="38">
        <v>3600.0</v>
      </c>
      <c r="Q4792" s="39"/>
      <c r="R4792" s="39"/>
      <c r="S4792" s="39"/>
      <c r="T4792" s="39"/>
      <c r="U4792" s="39"/>
    </row>
    <row r="4793">
      <c r="A4793" s="40">
        <f t="shared" si="1"/>
        <v>46006</v>
      </c>
      <c r="B4793" s="37" t="str">
        <f t="array" ref="B4793">iferror(xlookup($I4793, 'IMPORT VHC Report'!$E:$E, 'IMPORT VHC Report'!$A:$C), )</f>
        <v/>
      </c>
      <c r="C4793" s="37"/>
      <c r="D4793" s="37"/>
      <c r="E4793" s="38" t="s">
        <v>5749</v>
      </c>
      <c r="F4793" s="38" t="s">
        <v>5743</v>
      </c>
      <c r="G4793" s="38">
        <v>9.582702695695E12</v>
      </c>
      <c r="H4793" s="38" t="s">
        <v>5744</v>
      </c>
      <c r="I4793" s="38" t="s">
        <v>5745</v>
      </c>
      <c r="J4793" s="38" t="s">
        <v>1670</v>
      </c>
      <c r="K4793" s="38" t="s">
        <v>63</v>
      </c>
      <c r="L4793" s="41">
        <v>46007.125</v>
      </c>
      <c r="M4793" s="38" t="s">
        <v>123</v>
      </c>
      <c r="N4793" s="41">
        <v>46007.291666666664</v>
      </c>
      <c r="O4793" s="38" t="s">
        <v>123</v>
      </c>
      <c r="P4793" s="38">
        <v>14400.0</v>
      </c>
      <c r="Q4793" s="39"/>
      <c r="R4793" s="39"/>
      <c r="S4793" s="38" t="s">
        <v>5750</v>
      </c>
      <c r="T4793" s="39"/>
      <c r="U4793" s="39"/>
    </row>
    <row r="4794">
      <c r="A4794" s="40">
        <f t="shared" si="1"/>
        <v>46006</v>
      </c>
      <c r="B4794" s="37" t="str">
        <f t="array" ref="B4794">iferror(xlookup($I4794, 'IMPORT VHC Report'!$E:$E, 'IMPORT VHC Report'!$A:$C), )</f>
        <v/>
      </c>
      <c r="C4794" s="37"/>
      <c r="D4794" s="37"/>
      <c r="E4794" s="38" t="s">
        <v>5751</v>
      </c>
      <c r="F4794" s="38" t="s">
        <v>5743</v>
      </c>
      <c r="G4794" s="38">
        <v>9.582702695695E12</v>
      </c>
      <c r="H4794" s="38" t="s">
        <v>5744</v>
      </c>
      <c r="I4794" s="38" t="s">
        <v>5745</v>
      </c>
      <c r="J4794" s="38" t="s">
        <v>5746</v>
      </c>
      <c r="K4794" s="38" t="s">
        <v>63</v>
      </c>
      <c r="L4794" s="41">
        <v>46007.916666666664</v>
      </c>
      <c r="M4794" s="38" t="s">
        <v>123</v>
      </c>
      <c r="N4794" s="41">
        <v>46008.125</v>
      </c>
      <c r="O4794" s="38" t="s">
        <v>123</v>
      </c>
      <c r="P4794" s="38">
        <v>18000.0</v>
      </c>
      <c r="Q4794" s="39"/>
      <c r="R4794" s="39"/>
      <c r="S4794" s="39"/>
      <c r="T4794" s="39"/>
      <c r="U4794" s="39"/>
    </row>
    <row r="4795">
      <c r="A4795" s="40">
        <f t="shared" si="1"/>
        <v>46006</v>
      </c>
      <c r="B4795" s="37" t="str">
        <f t="array" ref="B4795">iferror(xlookup($I4795, 'IMPORT VHC Report'!$E:$E, 'IMPORT VHC Report'!$A:$C), )</f>
        <v/>
      </c>
      <c r="C4795" s="37"/>
      <c r="D4795" s="37"/>
      <c r="E4795" s="38" t="s">
        <v>5752</v>
      </c>
      <c r="F4795" s="38" t="s">
        <v>5743</v>
      </c>
      <c r="G4795" s="38">
        <v>9.582702695695E12</v>
      </c>
      <c r="H4795" s="38" t="s">
        <v>5744</v>
      </c>
      <c r="I4795" s="38" t="s">
        <v>5745</v>
      </c>
      <c r="J4795" s="38" t="s">
        <v>132</v>
      </c>
      <c r="K4795" s="38" t="s">
        <v>126</v>
      </c>
      <c r="L4795" s="41">
        <v>46008.041666666664</v>
      </c>
      <c r="M4795" s="38" t="s">
        <v>123</v>
      </c>
      <c r="N4795" s="41">
        <v>46008.083333333336</v>
      </c>
      <c r="O4795" s="38" t="s">
        <v>123</v>
      </c>
      <c r="P4795" s="38">
        <v>3600.0</v>
      </c>
      <c r="Q4795" s="39"/>
      <c r="R4795" s="39"/>
      <c r="S4795" s="39"/>
      <c r="T4795" s="39"/>
      <c r="U4795" s="39"/>
    </row>
    <row r="4796">
      <c r="A4796" s="40">
        <f t="shared" si="1"/>
        <v>46006</v>
      </c>
      <c r="B4796" s="37" t="str">
        <f t="array" ref="B4796">iferror(xlookup($I4796, 'IMPORT VHC Report'!$E:$E, 'IMPORT VHC Report'!$A:$C), )</f>
        <v/>
      </c>
      <c r="C4796" s="37"/>
      <c r="D4796" s="37"/>
      <c r="E4796" s="38" t="s">
        <v>5753</v>
      </c>
      <c r="F4796" s="38" t="s">
        <v>5743</v>
      </c>
      <c r="G4796" s="38">
        <v>9.582702695695E12</v>
      </c>
      <c r="H4796" s="38" t="s">
        <v>5744</v>
      </c>
      <c r="I4796" s="38" t="s">
        <v>5745</v>
      </c>
      <c r="J4796" s="38" t="s">
        <v>1670</v>
      </c>
      <c r="K4796" s="38" t="s">
        <v>63</v>
      </c>
      <c r="L4796" s="41">
        <v>46008.125</v>
      </c>
      <c r="M4796" s="38" t="s">
        <v>123</v>
      </c>
      <c r="N4796" s="41">
        <v>46008.25</v>
      </c>
      <c r="O4796" s="38" t="s">
        <v>123</v>
      </c>
      <c r="P4796" s="38">
        <v>10800.0</v>
      </c>
      <c r="Q4796" s="39"/>
      <c r="R4796" s="39"/>
      <c r="S4796" s="38" t="s">
        <v>5750</v>
      </c>
      <c r="T4796" s="39"/>
      <c r="U4796" s="39"/>
    </row>
    <row r="4797">
      <c r="A4797" s="40">
        <f t="shared" si="1"/>
        <v>46006</v>
      </c>
      <c r="B4797" s="37" t="str">
        <f t="array" ref="B4797">iferror(xlookup($I4797, 'IMPORT VHC Report'!$E:$E, 'IMPORT VHC Report'!$A:$C), )</f>
        <v/>
      </c>
      <c r="C4797" s="37"/>
      <c r="D4797" s="37"/>
      <c r="E4797" s="38" t="s">
        <v>5754</v>
      </c>
      <c r="F4797" s="38" t="s">
        <v>5743</v>
      </c>
      <c r="G4797" s="38">
        <v>9.582702695695E12</v>
      </c>
      <c r="H4797" s="38" t="s">
        <v>5744</v>
      </c>
      <c r="I4797" s="38" t="s">
        <v>5745</v>
      </c>
      <c r="J4797" s="38" t="s">
        <v>5746</v>
      </c>
      <c r="K4797" s="38" t="s">
        <v>63</v>
      </c>
      <c r="L4797" s="41">
        <v>46008.916666666664</v>
      </c>
      <c r="M4797" s="38" t="s">
        <v>123</v>
      </c>
      <c r="N4797" s="41">
        <v>46009.125</v>
      </c>
      <c r="O4797" s="38" t="s">
        <v>123</v>
      </c>
      <c r="P4797" s="38">
        <v>18000.0</v>
      </c>
      <c r="Q4797" s="39"/>
      <c r="R4797" s="39"/>
      <c r="S4797" s="39"/>
      <c r="T4797" s="39"/>
      <c r="U4797" s="39"/>
    </row>
    <row r="4798">
      <c r="A4798" s="40">
        <f t="shared" si="1"/>
        <v>46006</v>
      </c>
      <c r="B4798" s="37" t="str">
        <f t="array" ref="B4798">iferror(xlookup($I4798, 'IMPORT VHC Report'!$E:$E, 'IMPORT VHC Report'!$A:$C), )</f>
        <v/>
      </c>
      <c r="C4798" s="37"/>
      <c r="D4798" s="37"/>
      <c r="E4798" s="38" t="s">
        <v>5755</v>
      </c>
      <c r="F4798" s="38" t="s">
        <v>5743</v>
      </c>
      <c r="G4798" s="38">
        <v>9.582702695695E12</v>
      </c>
      <c r="H4798" s="38" t="s">
        <v>5744</v>
      </c>
      <c r="I4798" s="38" t="s">
        <v>5745</v>
      </c>
      <c r="J4798" s="38" t="s">
        <v>136</v>
      </c>
      <c r="K4798" s="38" t="s">
        <v>126</v>
      </c>
      <c r="L4798" s="41">
        <v>46009.0</v>
      </c>
      <c r="M4798" s="38" t="s">
        <v>123</v>
      </c>
      <c r="N4798" s="41">
        <v>46009.041666666664</v>
      </c>
      <c r="O4798" s="38" t="s">
        <v>123</v>
      </c>
      <c r="P4798" s="38">
        <v>3600.0</v>
      </c>
      <c r="Q4798" s="39"/>
      <c r="R4798" s="39"/>
      <c r="S4798" s="39"/>
      <c r="T4798" s="39"/>
      <c r="U4798" s="39"/>
    </row>
    <row r="4799">
      <c r="A4799" s="40">
        <f t="shared" si="1"/>
        <v>46006</v>
      </c>
      <c r="B4799" s="37" t="str">
        <f t="array" ref="B4799">iferror(xlookup($I4799, 'IMPORT VHC Report'!$E:$E, 'IMPORT VHC Report'!$A:$C), )</f>
        <v/>
      </c>
      <c r="C4799" s="37"/>
      <c r="D4799" s="37"/>
      <c r="E4799" s="38" t="s">
        <v>5756</v>
      </c>
      <c r="F4799" s="38" t="s">
        <v>5743</v>
      </c>
      <c r="G4799" s="38">
        <v>9.582702695695E12</v>
      </c>
      <c r="H4799" s="38" t="s">
        <v>5744</v>
      </c>
      <c r="I4799" s="38" t="s">
        <v>5745</v>
      </c>
      <c r="J4799" s="38" t="s">
        <v>132</v>
      </c>
      <c r="K4799" s="38" t="s">
        <v>126</v>
      </c>
      <c r="L4799" s="41">
        <v>46009.041666666664</v>
      </c>
      <c r="M4799" s="38" t="s">
        <v>123</v>
      </c>
      <c r="N4799" s="41">
        <v>46009.083333333336</v>
      </c>
      <c r="O4799" s="38" t="s">
        <v>123</v>
      </c>
      <c r="P4799" s="38">
        <v>3600.0</v>
      </c>
      <c r="Q4799" s="39"/>
      <c r="R4799" s="39"/>
      <c r="S4799" s="39"/>
      <c r="T4799" s="39"/>
      <c r="U4799" s="39"/>
    </row>
    <row r="4800">
      <c r="A4800" s="40">
        <f t="shared" si="1"/>
        <v>46006</v>
      </c>
      <c r="B4800" s="37" t="str">
        <f t="array" ref="B4800">iferror(xlookup($I4800, 'IMPORT VHC Report'!$E:$E, 'IMPORT VHC Report'!$A:$C), )</f>
        <v/>
      </c>
      <c r="C4800" s="37"/>
      <c r="D4800" s="37"/>
      <c r="E4800" s="38" t="s">
        <v>5757</v>
      </c>
      <c r="F4800" s="38" t="s">
        <v>5743</v>
      </c>
      <c r="G4800" s="38">
        <v>9.582702695695E12</v>
      </c>
      <c r="H4800" s="38" t="s">
        <v>5744</v>
      </c>
      <c r="I4800" s="38" t="s">
        <v>5745</v>
      </c>
      <c r="J4800" s="38" t="s">
        <v>1670</v>
      </c>
      <c r="K4800" s="38" t="s">
        <v>63</v>
      </c>
      <c r="L4800" s="41">
        <v>46009.125</v>
      </c>
      <c r="M4800" s="38" t="s">
        <v>123</v>
      </c>
      <c r="N4800" s="41">
        <v>46009.291666666664</v>
      </c>
      <c r="O4800" s="38" t="s">
        <v>123</v>
      </c>
      <c r="P4800" s="38">
        <v>14400.0</v>
      </c>
      <c r="Q4800" s="39"/>
      <c r="R4800" s="39"/>
      <c r="S4800" s="38" t="s">
        <v>5750</v>
      </c>
      <c r="T4800" s="39"/>
      <c r="U4800" s="39"/>
    </row>
    <row r="4801">
      <c r="A4801" s="40">
        <f t="shared" si="1"/>
        <v>46006</v>
      </c>
      <c r="B4801" s="37" t="str">
        <f t="array" ref="B4801">iferror(xlookup($I4801, 'IMPORT VHC Report'!$E:$E, 'IMPORT VHC Report'!$A:$C), )</f>
        <v/>
      </c>
      <c r="C4801" s="37"/>
      <c r="D4801" s="37"/>
      <c r="E4801" s="38" t="s">
        <v>5758</v>
      </c>
      <c r="F4801" s="38" t="s">
        <v>5743</v>
      </c>
      <c r="G4801" s="38">
        <v>9.582702695695E12</v>
      </c>
      <c r="H4801" s="38" t="s">
        <v>5744</v>
      </c>
      <c r="I4801" s="38" t="s">
        <v>5745</v>
      </c>
      <c r="J4801" s="38" t="s">
        <v>5746</v>
      </c>
      <c r="K4801" s="38" t="s">
        <v>63</v>
      </c>
      <c r="L4801" s="41">
        <v>46009.916666666664</v>
      </c>
      <c r="M4801" s="38" t="s">
        <v>123</v>
      </c>
      <c r="N4801" s="41">
        <v>46009.9375</v>
      </c>
      <c r="O4801" s="38" t="s">
        <v>123</v>
      </c>
      <c r="P4801" s="38">
        <v>1800.0</v>
      </c>
      <c r="Q4801" s="39"/>
      <c r="R4801" s="39"/>
      <c r="S4801" s="39"/>
      <c r="T4801" s="39"/>
      <c r="U4801" s="39"/>
    </row>
    <row r="4802">
      <c r="A4802" s="40">
        <f t="shared" si="1"/>
        <v>46006</v>
      </c>
      <c r="B4802" s="37" t="str">
        <f t="array" ref="B4802">iferror(xlookup($I4802, 'IMPORT VHC Report'!$E:$E, 'IMPORT VHC Report'!$A:$C), )</f>
        <v/>
      </c>
      <c r="C4802" s="37"/>
      <c r="D4802" s="37"/>
      <c r="E4802" s="38" t="s">
        <v>5759</v>
      </c>
      <c r="F4802" s="38" t="s">
        <v>5743</v>
      </c>
      <c r="G4802" s="38">
        <v>9.582702695695E12</v>
      </c>
      <c r="H4802" s="38" t="s">
        <v>5744</v>
      </c>
      <c r="I4802" s="38" t="s">
        <v>5745</v>
      </c>
      <c r="J4802" s="38" t="s">
        <v>62</v>
      </c>
      <c r="K4802" s="38" t="s">
        <v>63</v>
      </c>
      <c r="L4802" s="41">
        <v>46009.9375</v>
      </c>
      <c r="M4802" s="38" t="s">
        <v>123</v>
      </c>
      <c r="N4802" s="41">
        <v>46009.958333333336</v>
      </c>
      <c r="O4802" s="38" t="s">
        <v>123</v>
      </c>
      <c r="P4802" s="38">
        <v>1800.0</v>
      </c>
      <c r="Q4802" s="39"/>
      <c r="R4802" s="39"/>
      <c r="S4802" s="39"/>
      <c r="T4802" s="39"/>
      <c r="U4802" s="39"/>
    </row>
    <row r="4803">
      <c r="A4803" s="40">
        <f t="shared" si="1"/>
        <v>46006</v>
      </c>
      <c r="B4803" s="37" t="str">
        <f t="array" ref="B4803">iferror(xlookup($I4803, 'IMPORT VHC Report'!$E:$E, 'IMPORT VHC Report'!$A:$C), )</f>
        <v/>
      </c>
      <c r="C4803" s="37"/>
      <c r="D4803" s="37"/>
      <c r="E4803" s="38" t="s">
        <v>5760</v>
      </c>
      <c r="F4803" s="38" t="s">
        <v>5743</v>
      </c>
      <c r="G4803" s="38">
        <v>9.582702695695E12</v>
      </c>
      <c r="H4803" s="38" t="s">
        <v>5744</v>
      </c>
      <c r="I4803" s="38" t="s">
        <v>5745</v>
      </c>
      <c r="J4803" s="38" t="s">
        <v>330</v>
      </c>
      <c r="K4803" s="38" t="s">
        <v>126</v>
      </c>
      <c r="L4803" s="41">
        <v>46009.958333333336</v>
      </c>
      <c r="M4803" s="38" t="s">
        <v>123</v>
      </c>
      <c r="N4803" s="41">
        <v>46010.0</v>
      </c>
      <c r="O4803" s="38" t="s">
        <v>123</v>
      </c>
      <c r="P4803" s="38">
        <v>3600.0</v>
      </c>
      <c r="Q4803" s="39"/>
      <c r="R4803" s="39"/>
      <c r="S4803" s="39"/>
      <c r="T4803" s="39"/>
      <c r="U4803" s="39"/>
    </row>
    <row r="4804">
      <c r="A4804" s="40">
        <f t="shared" si="1"/>
        <v>46006</v>
      </c>
      <c r="B4804" s="37" t="str">
        <f t="array" ref="B4804">iferror(xlookup($I4804, 'IMPORT VHC Report'!$E:$E, 'IMPORT VHC Report'!$A:$C), )</f>
        <v/>
      </c>
      <c r="C4804" s="37"/>
      <c r="D4804" s="37"/>
      <c r="E4804" s="38" t="s">
        <v>5761</v>
      </c>
      <c r="F4804" s="38" t="s">
        <v>5743</v>
      </c>
      <c r="G4804" s="38">
        <v>9.582702695695E12</v>
      </c>
      <c r="H4804" s="38" t="s">
        <v>5744</v>
      </c>
      <c r="I4804" s="38" t="s">
        <v>5745</v>
      </c>
      <c r="J4804" s="38" t="s">
        <v>5746</v>
      </c>
      <c r="K4804" s="38" t="s">
        <v>63</v>
      </c>
      <c r="L4804" s="41">
        <v>46009.958333333336</v>
      </c>
      <c r="M4804" s="38" t="s">
        <v>123</v>
      </c>
      <c r="N4804" s="41">
        <v>46010.125</v>
      </c>
      <c r="O4804" s="38" t="s">
        <v>123</v>
      </c>
      <c r="P4804" s="38">
        <v>14400.0</v>
      </c>
      <c r="Q4804" s="39"/>
      <c r="R4804" s="39"/>
      <c r="S4804" s="39"/>
      <c r="T4804" s="39"/>
      <c r="U4804" s="39"/>
    </row>
    <row r="4805">
      <c r="A4805" s="40">
        <f t="shared" si="1"/>
        <v>46006</v>
      </c>
      <c r="B4805" s="37" t="str">
        <f t="array" ref="B4805">iferror(xlookup($I4805, 'IMPORT VHC Report'!$E:$E, 'IMPORT VHC Report'!$A:$C), )</f>
        <v/>
      </c>
      <c r="C4805" s="37"/>
      <c r="D4805" s="37"/>
      <c r="E4805" s="38" t="s">
        <v>5762</v>
      </c>
      <c r="F4805" s="38" t="s">
        <v>5743</v>
      </c>
      <c r="G4805" s="38">
        <v>9.582702695695E12</v>
      </c>
      <c r="H4805" s="38" t="s">
        <v>5744</v>
      </c>
      <c r="I4805" s="38" t="s">
        <v>5745</v>
      </c>
      <c r="J4805" s="38" t="s">
        <v>136</v>
      </c>
      <c r="K4805" s="38" t="s">
        <v>126</v>
      </c>
      <c r="L4805" s="41">
        <v>46010.0</v>
      </c>
      <c r="M4805" s="38" t="s">
        <v>123</v>
      </c>
      <c r="N4805" s="41">
        <v>46010.041666666664</v>
      </c>
      <c r="O4805" s="38" t="s">
        <v>123</v>
      </c>
      <c r="P4805" s="38">
        <v>3600.0</v>
      </c>
      <c r="Q4805" s="39"/>
      <c r="R4805" s="39"/>
      <c r="S4805" s="39"/>
      <c r="T4805" s="39"/>
      <c r="U4805" s="39"/>
    </row>
    <row r="4806">
      <c r="A4806" s="40">
        <f t="shared" si="1"/>
        <v>46006</v>
      </c>
      <c r="B4806" s="37" t="str">
        <f t="array" ref="B4806">iferror(xlookup($I4806, 'IMPORT VHC Report'!$E:$E, 'IMPORT VHC Report'!$A:$C), )</f>
        <v/>
      </c>
      <c r="C4806" s="37"/>
      <c r="D4806" s="37"/>
      <c r="E4806" s="38" t="s">
        <v>5763</v>
      </c>
      <c r="F4806" s="38" t="s">
        <v>5743</v>
      </c>
      <c r="G4806" s="38">
        <v>9.582702695695E12</v>
      </c>
      <c r="H4806" s="38" t="s">
        <v>5744</v>
      </c>
      <c r="I4806" s="38" t="s">
        <v>5745</v>
      </c>
      <c r="J4806" s="38" t="s">
        <v>132</v>
      </c>
      <c r="K4806" s="38" t="s">
        <v>126</v>
      </c>
      <c r="L4806" s="41">
        <v>46010.083333333336</v>
      </c>
      <c r="M4806" s="38" t="s">
        <v>123</v>
      </c>
      <c r="N4806" s="41">
        <v>46010.125</v>
      </c>
      <c r="O4806" s="38" t="s">
        <v>123</v>
      </c>
      <c r="P4806" s="38">
        <v>3600.0</v>
      </c>
      <c r="Q4806" s="39"/>
      <c r="R4806" s="39"/>
      <c r="S4806" s="39"/>
      <c r="T4806" s="39"/>
      <c r="U4806" s="39"/>
    </row>
    <row r="4807">
      <c r="A4807" s="40">
        <f t="shared" si="1"/>
        <v>46006</v>
      </c>
      <c r="B4807" s="37" t="str">
        <f t="array" ref="B4807">iferror(xlookup($I4807, 'IMPORT VHC Report'!$E:$E, 'IMPORT VHC Report'!$A:$C), )</f>
        <v/>
      </c>
      <c r="C4807" s="37"/>
      <c r="D4807" s="37"/>
      <c r="E4807" s="38" t="s">
        <v>5764</v>
      </c>
      <c r="F4807" s="38" t="s">
        <v>5743</v>
      </c>
      <c r="G4807" s="38">
        <v>9.582702695695E12</v>
      </c>
      <c r="H4807" s="38" t="s">
        <v>5744</v>
      </c>
      <c r="I4807" s="38" t="s">
        <v>5745</v>
      </c>
      <c r="J4807" s="38" t="s">
        <v>1670</v>
      </c>
      <c r="K4807" s="38" t="s">
        <v>63</v>
      </c>
      <c r="L4807" s="41">
        <v>46010.125</v>
      </c>
      <c r="M4807" s="38" t="s">
        <v>123</v>
      </c>
      <c r="N4807" s="41">
        <v>46010.291666666664</v>
      </c>
      <c r="O4807" s="38" t="s">
        <v>123</v>
      </c>
      <c r="P4807" s="38">
        <v>14400.0</v>
      </c>
      <c r="Q4807" s="39"/>
      <c r="R4807" s="39"/>
      <c r="S4807" s="38" t="s">
        <v>5750</v>
      </c>
      <c r="T4807" s="39"/>
      <c r="U4807" s="39"/>
    </row>
    <row r="4808">
      <c r="A4808" s="40">
        <f t="shared" si="1"/>
        <v>46006</v>
      </c>
      <c r="B4808" s="37" t="str">
        <f t="array" ref="B4808">iferror(xlookup($I4808, 'IMPORT VHC Report'!$E:$E, 'IMPORT VHC Report'!$A:$C), )</f>
        <v/>
      </c>
      <c r="C4808" s="37"/>
      <c r="D4808" s="37"/>
      <c r="E4808" s="38" t="s">
        <v>5765</v>
      </c>
      <c r="F4808" s="38" t="s">
        <v>5743</v>
      </c>
      <c r="G4808" s="38">
        <v>9.582702695695E12</v>
      </c>
      <c r="H4808" s="38" t="s">
        <v>5744</v>
      </c>
      <c r="I4808" s="38" t="s">
        <v>5745</v>
      </c>
      <c r="J4808" s="38" t="s">
        <v>152</v>
      </c>
      <c r="K4808" s="38" t="s">
        <v>153</v>
      </c>
      <c r="L4808" s="41">
        <v>46010.166666666664</v>
      </c>
      <c r="M4808" s="38" t="s">
        <v>123</v>
      </c>
      <c r="N4808" s="41">
        <v>46010.291666666664</v>
      </c>
      <c r="O4808" s="38" t="s">
        <v>123</v>
      </c>
      <c r="P4808" s="38">
        <v>10800.0</v>
      </c>
      <c r="Q4808" s="38">
        <v>10800.0</v>
      </c>
      <c r="R4808" s="39"/>
      <c r="S4808" s="39"/>
      <c r="T4808" s="39"/>
      <c r="U4808" s="39"/>
    </row>
    <row r="4809">
      <c r="A4809" s="40">
        <f t="shared" si="1"/>
        <v>46006</v>
      </c>
      <c r="B4809" s="37" t="str">
        <f t="array" ref="B4809">iferror(xlookup($I4809, 'IMPORT VHC Report'!$E:$E, 'IMPORT VHC Report'!$A:$C), )</f>
        <v/>
      </c>
      <c r="C4809" s="37"/>
      <c r="D4809" s="37"/>
      <c r="E4809" s="38" t="s">
        <v>5766</v>
      </c>
      <c r="F4809" s="38" t="s">
        <v>5743</v>
      </c>
      <c r="G4809" s="38">
        <v>9.582702695695E12</v>
      </c>
      <c r="H4809" s="38" t="s">
        <v>5744</v>
      </c>
      <c r="I4809" s="38" t="s">
        <v>5745</v>
      </c>
      <c r="J4809" s="38" t="s">
        <v>5746</v>
      </c>
      <c r="K4809" s="38" t="s">
        <v>63</v>
      </c>
      <c r="L4809" s="41">
        <v>46010.916666666664</v>
      </c>
      <c r="M4809" s="38" t="s">
        <v>123</v>
      </c>
      <c r="N4809" s="41">
        <v>46011.125</v>
      </c>
      <c r="O4809" s="38" t="s">
        <v>123</v>
      </c>
      <c r="P4809" s="38">
        <v>18000.0</v>
      </c>
      <c r="Q4809" s="39"/>
      <c r="R4809" s="39"/>
      <c r="S4809" s="39"/>
      <c r="T4809" s="39"/>
      <c r="U4809" s="39"/>
    </row>
    <row r="4810">
      <c r="A4810" s="40">
        <f t="shared" si="1"/>
        <v>46006</v>
      </c>
      <c r="B4810" s="37" t="str">
        <f t="array" ref="B4810">iferror(xlookup($I4810, 'IMPORT VHC Report'!$E:$E, 'IMPORT VHC Report'!$A:$C), )</f>
        <v/>
      </c>
      <c r="C4810" s="37"/>
      <c r="D4810" s="37"/>
      <c r="E4810" s="38" t="s">
        <v>5767</v>
      </c>
      <c r="F4810" s="38" t="s">
        <v>5743</v>
      </c>
      <c r="G4810" s="38">
        <v>9.582702695695E12</v>
      </c>
      <c r="H4810" s="38" t="s">
        <v>5744</v>
      </c>
      <c r="I4810" s="38" t="s">
        <v>5745</v>
      </c>
      <c r="J4810" s="38" t="s">
        <v>132</v>
      </c>
      <c r="K4810" s="38" t="s">
        <v>126</v>
      </c>
      <c r="L4810" s="41">
        <v>46011.083333333336</v>
      </c>
      <c r="M4810" s="38" t="s">
        <v>123</v>
      </c>
      <c r="N4810" s="41">
        <v>46011.125</v>
      </c>
      <c r="O4810" s="38" t="s">
        <v>123</v>
      </c>
      <c r="P4810" s="38">
        <v>3600.0</v>
      </c>
      <c r="Q4810" s="39"/>
      <c r="R4810" s="39"/>
      <c r="S4810" s="39"/>
      <c r="T4810" s="39"/>
      <c r="U4810" s="39"/>
    </row>
    <row r="4811">
      <c r="A4811" s="40">
        <f t="shared" si="1"/>
        <v>46006</v>
      </c>
      <c r="B4811" s="37" t="str">
        <f t="array" ref="B4811">iferror(xlookup($I4811, 'IMPORT VHC Report'!$E:$E, 'IMPORT VHC Report'!$A:$C), )</f>
        <v/>
      </c>
      <c r="C4811" s="37"/>
      <c r="D4811" s="37"/>
      <c r="E4811" s="38" t="s">
        <v>5768</v>
      </c>
      <c r="F4811" s="38" t="s">
        <v>5743</v>
      </c>
      <c r="G4811" s="38">
        <v>9.582702695695E12</v>
      </c>
      <c r="H4811" s="38" t="s">
        <v>5744</v>
      </c>
      <c r="I4811" s="38" t="s">
        <v>5745</v>
      </c>
      <c r="J4811" s="38" t="s">
        <v>1670</v>
      </c>
      <c r="K4811" s="38" t="s">
        <v>63</v>
      </c>
      <c r="L4811" s="41">
        <v>46011.125</v>
      </c>
      <c r="M4811" s="38" t="s">
        <v>123</v>
      </c>
      <c r="N4811" s="41">
        <v>46011.291666666664</v>
      </c>
      <c r="O4811" s="38" t="s">
        <v>123</v>
      </c>
      <c r="P4811" s="38">
        <v>14400.0</v>
      </c>
      <c r="Q4811" s="39"/>
      <c r="R4811" s="39"/>
      <c r="S4811" s="38" t="s">
        <v>5750</v>
      </c>
      <c r="T4811" s="39"/>
      <c r="U4811" s="39"/>
    </row>
    <row r="4812">
      <c r="A4812" s="40">
        <f t="shared" si="1"/>
        <v>46006</v>
      </c>
      <c r="B4812" s="37" t="str">
        <f t="array" ref="B4812">iferror(xlookup($I4812, 'IMPORT VHC Report'!$E:$E, 'IMPORT VHC Report'!$A:$C), )</f>
        <v/>
      </c>
      <c r="C4812" s="37"/>
      <c r="D4812" s="37"/>
      <c r="E4812" s="38" t="s">
        <v>5769</v>
      </c>
      <c r="F4812" s="38" t="s">
        <v>5770</v>
      </c>
      <c r="G4812" s="39"/>
      <c r="H4812" s="38" t="s">
        <v>5771</v>
      </c>
      <c r="I4812" s="38" t="s">
        <v>5772</v>
      </c>
      <c r="J4812" s="38" t="s">
        <v>125</v>
      </c>
      <c r="K4812" s="38" t="s">
        <v>126</v>
      </c>
      <c r="L4812" s="41">
        <v>46006.916666666664</v>
      </c>
      <c r="M4812" s="38" t="s">
        <v>123</v>
      </c>
      <c r="N4812" s="41">
        <v>46006.92361111111</v>
      </c>
      <c r="O4812" s="38" t="s">
        <v>123</v>
      </c>
      <c r="P4812" s="38">
        <v>600.0</v>
      </c>
      <c r="Q4812" s="39"/>
      <c r="R4812" s="39"/>
      <c r="S4812" s="38" t="s">
        <v>127</v>
      </c>
      <c r="T4812" s="39"/>
      <c r="U4812" s="39"/>
    </row>
    <row r="4813">
      <c r="A4813" s="40">
        <f t="shared" si="1"/>
        <v>46006</v>
      </c>
      <c r="B4813" s="37" t="str">
        <f t="array" ref="B4813">iferror(xlookup($I4813, 'IMPORT VHC Report'!$E:$E, 'IMPORT VHC Report'!$A:$C), )</f>
        <v/>
      </c>
      <c r="C4813" s="37"/>
      <c r="D4813" s="37"/>
      <c r="E4813" s="38" t="s">
        <v>5773</v>
      </c>
      <c r="F4813" s="38" t="s">
        <v>5770</v>
      </c>
      <c r="G4813" s="39"/>
      <c r="H4813" s="38" t="s">
        <v>5771</v>
      </c>
      <c r="I4813" s="38" t="s">
        <v>5772</v>
      </c>
      <c r="J4813" s="38" t="s">
        <v>122</v>
      </c>
      <c r="K4813" s="38" t="s">
        <v>63</v>
      </c>
      <c r="L4813" s="41">
        <v>46006.916666666664</v>
      </c>
      <c r="M4813" s="38" t="s">
        <v>123</v>
      </c>
      <c r="N4813" s="41">
        <v>46007.291666666664</v>
      </c>
      <c r="O4813" s="38" t="s">
        <v>123</v>
      </c>
      <c r="P4813" s="38">
        <v>32400.0</v>
      </c>
      <c r="Q4813" s="39"/>
      <c r="R4813" s="39"/>
      <c r="S4813" s="39"/>
      <c r="T4813" s="39"/>
      <c r="U4813" s="39"/>
    </row>
    <row r="4814">
      <c r="A4814" s="40">
        <f t="shared" si="1"/>
        <v>46006</v>
      </c>
      <c r="B4814" s="37" t="str">
        <f t="array" ref="B4814">iferror(xlookup($I4814, 'IMPORT VHC Report'!$E:$E, 'IMPORT VHC Report'!$A:$C), )</f>
        <v/>
      </c>
      <c r="C4814" s="37"/>
      <c r="D4814" s="37"/>
      <c r="E4814" s="38" t="s">
        <v>5774</v>
      </c>
      <c r="F4814" s="38" t="s">
        <v>5770</v>
      </c>
      <c r="G4814" s="39"/>
      <c r="H4814" s="38" t="s">
        <v>5771</v>
      </c>
      <c r="I4814" s="38" t="s">
        <v>5772</v>
      </c>
      <c r="J4814" s="38" t="s">
        <v>134</v>
      </c>
      <c r="K4814" s="38" t="s">
        <v>126</v>
      </c>
      <c r="L4814" s="41">
        <v>46007.229166666664</v>
      </c>
      <c r="M4814" s="38" t="s">
        <v>123</v>
      </c>
      <c r="N4814" s="41">
        <v>46007.25</v>
      </c>
      <c r="O4814" s="38" t="s">
        <v>123</v>
      </c>
      <c r="P4814" s="38">
        <v>1800.0</v>
      </c>
      <c r="Q4814" s="39"/>
      <c r="R4814" s="39"/>
      <c r="S4814" s="39"/>
      <c r="T4814" s="39"/>
      <c r="U4814" s="39"/>
    </row>
    <row r="4815">
      <c r="A4815" s="40">
        <f t="shared" si="1"/>
        <v>46006</v>
      </c>
      <c r="B4815" s="37" t="str">
        <f t="array" ref="B4815">iferror(xlookup($I4815, 'IMPORT VHC Report'!$E:$E, 'IMPORT VHC Report'!$A:$C), )</f>
        <v/>
      </c>
      <c r="C4815" s="37"/>
      <c r="D4815" s="37"/>
      <c r="E4815" s="38" t="s">
        <v>5775</v>
      </c>
      <c r="F4815" s="38" t="s">
        <v>5770</v>
      </c>
      <c r="G4815" s="39"/>
      <c r="H4815" s="38" t="s">
        <v>5771</v>
      </c>
      <c r="I4815" s="38" t="s">
        <v>5772</v>
      </c>
      <c r="J4815" s="38" t="s">
        <v>132</v>
      </c>
      <c r="K4815" s="38" t="s">
        <v>126</v>
      </c>
      <c r="L4815" s="41">
        <v>46007.25</v>
      </c>
      <c r="M4815" s="38" t="s">
        <v>123</v>
      </c>
      <c r="N4815" s="41">
        <v>46007.291666666664</v>
      </c>
      <c r="O4815" s="38" t="s">
        <v>123</v>
      </c>
      <c r="P4815" s="38">
        <v>3600.0</v>
      </c>
      <c r="Q4815" s="39"/>
      <c r="R4815" s="39"/>
      <c r="S4815" s="39"/>
      <c r="T4815" s="39"/>
      <c r="U4815" s="39"/>
    </row>
    <row r="4816">
      <c r="A4816" s="40">
        <f t="shared" si="1"/>
        <v>46006</v>
      </c>
      <c r="B4816" s="37" t="str">
        <f t="array" ref="B4816">iferror(xlookup($I4816, 'IMPORT VHC Report'!$E:$E, 'IMPORT VHC Report'!$A:$C), )</f>
        <v/>
      </c>
      <c r="C4816" s="37"/>
      <c r="D4816" s="37"/>
      <c r="E4816" s="38" t="s">
        <v>5776</v>
      </c>
      <c r="F4816" s="38" t="s">
        <v>5770</v>
      </c>
      <c r="G4816" s="39"/>
      <c r="H4816" s="38" t="s">
        <v>5771</v>
      </c>
      <c r="I4816" s="38" t="s">
        <v>5772</v>
      </c>
      <c r="J4816" s="38" t="s">
        <v>125</v>
      </c>
      <c r="K4816" s="38" t="s">
        <v>126</v>
      </c>
      <c r="L4816" s="41">
        <v>46007.916666666664</v>
      </c>
      <c r="M4816" s="38" t="s">
        <v>123</v>
      </c>
      <c r="N4816" s="41">
        <v>46007.92361111111</v>
      </c>
      <c r="O4816" s="38" t="s">
        <v>123</v>
      </c>
      <c r="P4816" s="38">
        <v>600.0</v>
      </c>
      <c r="Q4816" s="39"/>
      <c r="R4816" s="39"/>
      <c r="S4816" s="38" t="s">
        <v>127</v>
      </c>
      <c r="T4816" s="39"/>
      <c r="U4816" s="39"/>
    </row>
    <row r="4817">
      <c r="A4817" s="40">
        <f t="shared" si="1"/>
        <v>46006</v>
      </c>
      <c r="B4817" s="37" t="str">
        <f t="array" ref="B4817">iferror(xlookup($I4817, 'IMPORT VHC Report'!$E:$E, 'IMPORT VHC Report'!$A:$C), )</f>
        <v/>
      </c>
      <c r="C4817" s="37"/>
      <c r="D4817" s="37"/>
      <c r="E4817" s="38" t="s">
        <v>5777</v>
      </c>
      <c r="F4817" s="38" t="s">
        <v>5770</v>
      </c>
      <c r="G4817" s="39"/>
      <c r="H4817" s="38" t="s">
        <v>5771</v>
      </c>
      <c r="I4817" s="38" t="s">
        <v>5772</v>
      </c>
      <c r="J4817" s="38" t="s">
        <v>122</v>
      </c>
      <c r="K4817" s="38" t="s">
        <v>63</v>
      </c>
      <c r="L4817" s="41">
        <v>46007.916666666664</v>
      </c>
      <c r="M4817" s="38" t="s">
        <v>123</v>
      </c>
      <c r="N4817" s="41">
        <v>46008.291666666664</v>
      </c>
      <c r="O4817" s="38" t="s">
        <v>123</v>
      </c>
      <c r="P4817" s="38">
        <v>32400.0</v>
      </c>
      <c r="Q4817" s="39"/>
      <c r="R4817" s="39"/>
      <c r="S4817" s="39"/>
      <c r="T4817" s="39"/>
      <c r="U4817" s="39"/>
    </row>
    <row r="4818">
      <c r="A4818" s="40">
        <f t="shared" si="1"/>
        <v>46006</v>
      </c>
      <c r="B4818" s="37" t="str">
        <f t="array" ref="B4818">iferror(xlookup($I4818, 'IMPORT VHC Report'!$E:$E, 'IMPORT VHC Report'!$A:$C), )</f>
        <v/>
      </c>
      <c r="C4818" s="37"/>
      <c r="D4818" s="37"/>
      <c r="E4818" s="38" t="s">
        <v>5778</v>
      </c>
      <c r="F4818" s="38" t="s">
        <v>5770</v>
      </c>
      <c r="G4818" s="39"/>
      <c r="H4818" s="38" t="s">
        <v>5771</v>
      </c>
      <c r="I4818" s="38" t="s">
        <v>5772</v>
      </c>
      <c r="J4818" s="38" t="s">
        <v>134</v>
      </c>
      <c r="K4818" s="38" t="s">
        <v>126</v>
      </c>
      <c r="L4818" s="41">
        <v>46008.229166666664</v>
      </c>
      <c r="M4818" s="38" t="s">
        <v>123</v>
      </c>
      <c r="N4818" s="41">
        <v>46008.25</v>
      </c>
      <c r="O4818" s="38" t="s">
        <v>123</v>
      </c>
      <c r="P4818" s="38">
        <v>1800.0</v>
      </c>
      <c r="Q4818" s="39"/>
      <c r="R4818" s="39"/>
      <c r="S4818" s="39"/>
      <c r="T4818" s="39"/>
      <c r="U4818" s="39"/>
    </row>
    <row r="4819">
      <c r="A4819" s="40">
        <f t="shared" si="1"/>
        <v>46006</v>
      </c>
      <c r="B4819" s="37" t="str">
        <f t="array" ref="B4819">iferror(xlookup($I4819, 'IMPORT VHC Report'!$E:$E, 'IMPORT VHC Report'!$A:$C), )</f>
        <v/>
      </c>
      <c r="C4819" s="37"/>
      <c r="D4819" s="37"/>
      <c r="E4819" s="38" t="s">
        <v>5779</v>
      </c>
      <c r="F4819" s="38" t="s">
        <v>5770</v>
      </c>
      <c r="G4819" s="39"/>
      <c r="H4819" s="38" t="s">
        <v>5771</v>
      </c>
      <c r="I4819" s="38" t="s">
        <v>5772</v>
      </c>
      <c r="J4819" s="38" t="s">
        <v>132</v>
      </c>
      <c r="K4819" s="38" t="s">
        <v>126</v>
      </c>
      <c r="L4819" s="41">
        <v>46008.25</v>
      </c>
      <c r="M4819" s="38" t="s">
        <v>123</v>
      </c>
      <c r="N4819" s="41">
        <v>46008.291666666664</v>
      </c>
      <c r="O4819" s="38" t="s">
        <v>123</v>
      </c>
      <c r="P4819" s="38">
        <v>3600.0</v>
      </c>
      <c r="Q4819" s="39"/>
      <c r="R4819" s="39"/>
      <c r="S4819" s="39"/>
      <c r="T4819" s="39"/>
      <c r="U4819" s="39"/>
    </row>
    <row r="4820">
      <c r="A4820" s="40">
        <f t="shared" si="1"/>
        <v>46006</v>
      </c>
      <c r="B4820" s="37" t="str">
        <f t="array" ref="B4820">iferror(xlookup($I4820, 'IMPORT VHC Report'!$E:$E, 'IMPORT VHC Report'!$A:$C), )</f>
        <v/>
      </c>
      <c r="C4820" s="37"/>
      <c r="D4820" s="37"/>
      <c r="E4820" s="38" t="s">
        <v>5780</v>
      </c>
      <c r="F4820" s="38" t="s">
        <v>5770</v>
      </c>
      <c r="G4820" s="39"/>
      <c r="H4820" s="38" t="s">
        <v>5771</v>
      </c>
      <c r="I4820" s="38" t="s">
        <v>5772</v>
      </c>
      <c r="J4820" s="38" t="s">
        <v>136</v>
      </c>
      <c r="K4820" s="38" t="s">
        <v>126</v>
      </c>
      <c r="L4820" s="41">
        <v>46008.916666666664</v>
      </c>
      <c r="M4820" s="38" t="s">
        <v>123</v>
      </c>
      <c r="N4820" s="41">
        <v>46008.947916666664</v>
      </c>
      <c r="O4820" s="38" t="s">
        <v>123</v>
      </c>
      <c r="P4820" s="38">
        <v>2700.0</v>
      </c>
      <c r="Q4820" s="39"/>
      <c r="R4820" s="39"/>
      <c r="S4820" s="38" t="s">
        <v>137</v>
      </c>
      <c r="T4820" s="39"/>
      <c r="U4820" s="39"/>
    </row>
    <row r="4821">
      <c r="A4821" s="40">
        <f t="shared" si="1"/>
        <v>46006</v>
      </c>
      <c r="B4821" s="37" t="str">
        <f t="array" ref="B4821">iferror(xlookup($I4821, 'IMPORT VHC Report'!$E:$E, 'IMPORT VHC Report'!$A:$C), )</f>
        <v/>
      </c>
      <c r="C4821" s="37"/>
      <c r="D4821" s="37"/>
      <c r="E4821" s="38" t="s">
        <v>5781</v>
      </c>
      <c r="F4821" s="38" t="s">
        <v>5770</v>
      </c>
      <c r="G4821" s="39"/>
      <c r="H4821" s="38" t="s">
        <v>5771</v>
      </c>
      <c r="I4821" s="38" t="s">
        <v>5772</v>
      </c>
      <c r="J4821" s="38" t="s">
        <v>122</v>
      </c>
      <c r="K4821" s="38" t="s">
        <v>63</v>
      </c>
      <c r="L4821" s="41">
        <v>46008.916666666664</v>
      </c>
      <c r="M4821" s="38" t="s">
        <v>123</v>
      </c>
      <c r="N4821" s="41">
        <v>46009.291666666664</v>
      </c>
      <c r="O4821" s="38" t="s">
        <v>123</v>
      </c>
      <c r="P4821" s="38">
        <v>32400.0</v>
      </c>
      <c r="Q4821" s="39"/>
      <c r="R4821" s="39"/>
      <c r="S4821" s="39"/>
      <c r="T4821" s="39"/>
      <c r="U4821" s="39"/>
    </row>
    <row r="4822">
      <c r="A4822" s="40">
        <f t="shared" si="1"/>
        <v>46006</v>
      </c>
      <c r="B4822" s="37" t="str">
        <f t="array" ref="B4822">iferror(xlookup($I4822, 'IMPORT VHC Report'!$E:$E, 'IMPORT VHC Report'!$A:$C), )</f>
        <v/>
      </c>
      <c r="C4822" s="37"/>
      <c r="D4822" s="37"/>
      <c r="E4822" s="38" t="s">
        <v>5782</v>
      </c>
      <c r="F4822" s="38" t="s">
        <v>5770</v>
      </c>
      <c r="G4822" s="39"/>
      <c r="H4822" s="38" t="s">
        <v>5771</v>
      </c>
      <c r="I4822" s="38" t="s">
        <v>5772</v>
      </c>
      <c r="J4822" s="38" t="s">
        <v>125</v>
      </c>
      <c r="K4822" s="38" t="s">
        <v>126</v>
      </c>
      <c r="L4822" s="41">
        <v>46008.947916666664</v>
      </c>
      <c r="M4822" s="38" t="s">
        <v>123</v>
      </c>
      <c r="N4822" s="41">
        <v>46008.95486111111</v>
      </c>
      <c r="O4822" s="38" t="s">
        <v>123</v>
      </c>
      <c r="P4822" s="38">
        <v>600.0</v>
      </c>
      <c r="Q4822" s="39"/>
      <c r="R4822" s="39"/>
      <c r="S4822" s="38" t="s">
        <v>127</v>
      </c>
      <c r="T4822" s="39"/>
      <c r="U4822" s="39"/>
    </row>
    <row r="4823">
      <c r="A4823" s="40">
        <f t="shared" si="1"/>
        <v>46006</v>
      </c>
      <c r="B4823" s="37" t="str">
        <f t="array" ref="B4823">iferror(xlookup($I4823, 'IMPORT VHC Report'!$E:$E, 'IMPORT VHC Report'!$A:$C), )</f>
        <v/>
      </c>
      <c r="C4823" s="37"/>
      <c r="D4823" s="37"/>
      <c r="E4823" s="38" t="s">
        <v>5783</v>
      </c>
      <c r="F4823" s="38" t="s">
        <v>5770</v>
      </c>
      <c r="G4823" s="39"/>
      <c r="H4823" s="38" t="s">
        <v>5771</v>
      </c>
      <c r="I4823" s="38" t="s">
        <v>5772</v>
      </c>
      <c r="J4823" s="38" t="s">
        <v>4</v>
      </c>
      <c r="K4823" s="38" t="s">
        <v>126</v>
      </c>
      <c r="L4823" s="41">
        <v>46009.0625</v>
      </c>
      <c r="M4823" s="38" t="s">
        <v>123</v>
      </c>
      <c r="N4823" s="41">
        <v>46009.104166666664</v>
      </c>
      <c r="O4823" s="38" t="s">
        <v>123</v>
      </c>
      <c r="P4823" s="38">
        <v>3600.0</v>
      </c>
      <c r="Q4823" s="39"/>
      <c r="R4823" s="39"/>
      <c r="S4823" s="38" t="s">
        <v>130</v>
      </c>
      <c r="T4823" s="39"/>
      <c r="U4823" s="39"/>
    </row>
    <row r="4824">
      <c r="A4824" s="40">
        <f t="shared" si="1"/>
        <v>46006</v>
      </c>
      <c r="B4824" s="37" t="str">
        <f t="array" ref="B4824">iferror(xlookup($I4824, 'IMPORT VHC Report'!$E:$E, 'IMPORT VHC Report'!$A:$C), )</f>
        <v/>
      </c>
      <c r="C4824" s="37"/>
      <c r="D4824" s="37"/>
      <c r="E4824" s="38" t="s">
        <v>5784</v>
      </c>
      <c r="F4824" s="38" t="s">
        <v>5770</v>
      </c>
      <c r="G4824" s="39"/>
      <c r="H4824" s="38" t="s">
        <v>5771</v>
      </c>
      <c r="I4824" s="38" t="s">
        <v>5772</v>
      </c>
      <c r="J4824" s="38" t="s">
        <v>134</v>
      </c>
      <c r="K4824" s="38" t="s">
        <v>126</v>
      </c>
      <c r="L4824" s="41">
        <v>46009.229166666664</v>
      </c>
      <c r="M4824" s="38" t="s">
        <v>123</v>
      </c>
      <c r="N4824" s="41">
        <v>46009.25</v>
      </c>
      <c r="O4824" s="38" t="s">
        <v>123</v>
      </c>
      <c r="P4824" s="38">
        <v>1800.0</v>
      </c>
      <c r="Q4824" s="39"/>
      <c r="R4824" s="39"/>
      <c r="S4824" s="39"/>
      <c r="T4824" s="39"/>
      <c r="U4824" s="39"/>
    </row>
    <row r="4825">
      <c r="A4825" s="40">
        <f t="shared" si="1"/>
        <v>46006</v>
      </c>
      <c r="B4825" s="37" t="str">
        <f t="array" ref="B4825">iferror(xlookup($I4825, 'IMPORT VHC Report'!$E:$E, 'IMPORT VHC Report'!$A:$C), )</f>
        <v/>
      </c>
      <c r="C4825" s="37"/>
      <c r="D4825" s="37"/>
      <c r="E4825" s="38" t="s">
        <v>5785</v>
      </c>
      <c r="F4825" s="38" t="s">
        <v>5770</v>
      </c>
      <c r="G4825" s="39"/>
      <c r="H4825" s="38" t="s">
        <v>5771</v>
      </c>
      <c r="I4825" s="38" t="s">
        <v>5772</v>
      </c>
      <c r="J4825" s="38" t="s">
        <v>132</v>
      </c>
      <c r="K4825" s="38" t="s">
        <v>126</v>
      </c>
      <c r="L4825" s="41">
        <v>46009.25</v>
      </c>
      <c r="M4825" s="38" t="s">
        <v>123</v>
      </c>
      <c r="N4825" s="41">
        <v>46009.291666666664</v>
      </c>
      <c r="O4825" s="38" t="s">
        <v>123</v>
      </c>
      <c r="P4825" s="38">
        <v>3600.0</v>
      </c>
      <c r="Q4825" s="39"/>
      <c r="R4825" s="39"/>
      <c r="S4825" s="39"/>
      <c r="T4825" s="39"/>
      <c r="U4825" s="39"/>
    </row>
    <row r="4826">
      <c r="A4826" s="40">
        <f t="shared" si="1"/>
        <v>46006</v>
      </c>
      <c r="B4826" s="37" t="str">
        <f t="array" ref="B4826">iferror(xlookup($I4826, 'IMPORT VHC Report'!$E:$E, 'IMPORT VHC Report'!$A:$C), )</f>
        <v/>
      </c>
      <c r="C4826" s="37"/>
      <c r="D4826" s="37"/>
      <c r="E4826" s="38" t="s">
        <v>5786</v>
      </c>
      <c r="F4826" s="38" t="s">
        <v>5770</v>
      </c>
      <c r="G4826" s="39"/>
      <c r="H4826" s="38" t="s">
        <v>5771</v>
      </c>
      <c r="I4826" s="38" t="s">
        <v>5772</v>
      </c>
      <c r="J4826" s="38" t="s">
        <v>125</v>
      </c>
      <c r="K4826" s="38" t="s">
        <v>126</v>
      </c>
      <c r="L4826" s="41">
        <v>46009.916666666664</v>
      </c>
      <c r="M4826" s="38" t="s">
        <v>123</v>
      </c>
      <c r="N4826" s="41">
        <v>46009.92361111111</v>
      </c>
      <c r="O4826" s="38" t="s">
        <v>123</v>
      </c>
      <c r="P4826" s="38">
        <v>600.0</v>
      </c>
      <c r="Q4826" s="39"/>
      <c r="R4826" s="39"/>
      <c r="S4826" s="38" t="s">
        <v>127</v>
      </c>
      <c r="T4826" s="39"/>
      <c r="U4826" s="39"/>
    </row>
    <row r="4827">
      <c r="A4827" s="40">
        <f t="shared" si="1"/>
        <v>46006</v>
      </c>
      <c r="B4827" s="37" t="str">
        <f t="array" ref="B4827">iferror(xlookup($I4827, 'IMPORT VHC Report'!$E:$E, 'IMPORT VHC Report'!$A:$C), )</f>
        <v/>
      </c>
      <c r="C4827" s="37"/>
      <c r="D4827" s="37"/>
      <c r="E4827" s="38" t="s">
        <v>5787</v>
      </c>
      <c r="F4827" s="38" t="s">
        <v>5770</v>
      </c>
      <c r="G4827" s="39"/>
      <c r="H4827" s="38" t="s">
        <v>5771</v>
      </c>
      <c r="I4827" s="38" t="s">
        <v>5772</v>
      </c>
      <c r="J4827" s="38" t="s">
        <v>122</v>
      </c>
      <c r="K4827" s="38" t="s">
        <v>63</v>
      </c>
      <c r="L4827" s="41">
        <v>46009.916666666664</v>
      </c>
      <c r="M4827" s="38" t="s">
        <v>123</v>
      </c>
      <c r="N4827" s="41">
        <v>46010.291666666664</v>
      </c>
      <c r="O4827" s="38" t="s">
        <v>123</v>
      </c>
      <c r="P4827" s="38">
        <v>32400.0</v>
      </c>
      <c r="Q4827" s="39"/>
      <c r="R4827" s="39"/>
      <c r="S4827" s="39"/>
      <c r="T4827" s="39"/>
      <c r="U4827" s="39"/>
    </row>
    <row r="4828">
      <c r="A4828" s="40">
        <f t="shared" si="1"/>
        <v>46006</v>
      </c>
      <c r="B4828" s="37" t="str">
        <f t="array" ref="B4828">iferror(xlookup($I4828, 'IMPORT VHC Report'!$E:$E, 'IMPORT VHC Report'!$A:$C), )</f>
        <v/>
      </c>
      <c r="C4828" s="37"/>
      <c r="D4828" s="37"/>
      <c r="E4828" s="38" t="s">
        <v>5788</v>
      </c>
      <c r="F4828" s="38" t="s">
        <v>5770</v>
      </c>
      <c r="G4828" s="39"/>
      <c r="H4828" s="38" t="s">
        <v>5771</v>
      </c>
      <c r="I4828" s="38" t="s">
        <v>5772</v>
      </c>
      <c r="J4828" s="38" t="s">
        <v>134</v>
      </c>
      <c r="K4828" s="38" t="s">
        <v>126</v>
      </c>
      <c r="L4828" s="41">
        <v>46010.229166666664</v>
      </c>
      <c r="M4828" s="38" t="s">
        <v>123</v>
      </c>
      <c r="N4828" s="41">
        <v>46010.25</v>
      </c>
      <c r="O4828" s="38" t="s">
        <v>123</v>
      </c>
      <c r="P4828" s="38">
        <v>1800.0</v>
      </c>
      <c r="Q4828" s="39"/>
      <c r="R4828" s="39"/>
      <c r="S4828" s="39"/>
      <c r="T4828" s="39"/>
      <c r="U4828" s="39"/>
    </row>
    <row r="4829">
      <c r="A4829" s="40">
        <f t="shared" si="1"/>
        <v>46006</v>
      </c>
      <c r="B4829" s="37" t="str">
        <f t="array" ref="B4829">iferror(xlookup($I4829, 'IMPORT VHC Report'!$E:$E, 'IMPORT VHC Report'!$A:$C), )</f>
        <v/>
      </c>
      <c r="C4829" s="37"/>
      <c r="D4829" s="37"/>
      <c r="E4829" s="38" t="s">
        <v>5789</v>
      </c>
      <c r="F4829" s="38" t="s">
        <v>5770</v>
      </c>
      <c r="G4829" s="39"/>
      <c r="H4829" s="38" t="s">
        <v>5771</v>
      </c>
      <c r="I4829" s="38" t="s">
        <v>5772</v>
      </c>
      <c r="J4829" s="38" t="s">
        <v>132</v>
      </c>
      <c r="K4829" s="38" t="s">
        <v>126</v>
      </c>
      <c r="L4829" s="41">
        <v>46010.25</v>
      </c>
      <c r="M4829" s="38" t="s">
        <v>123</v>
      </c>
      <c r="N4829" s="41">
        <v>46010.291666666664</v>
      </c>
      <c r="O4829" s="38" t="s">
        <v>123</v>
      </c>
      <c r="P4829" s="38">
        <v>3600.0</v>
      </c>
      <c r="Q4829" s="39"/>
      <c r="R4829" s="39"/>
      <c r="S4829" s="39"/>
      <c r="T4829" s="39"/>
      <c r="U4829" s="39"/>
    </row>
    <row r="4830">
      <c r="A4830" s="40">
        <f t="shared" si="1"/>
        <v>46006</v>
      </c>
      <c r="B4830" s="37" t="str">
        <f t="array" ref="B4830">iferror(xlookup($I4830, 'IMPORT VHC Report'!$E:$E, 'IMPORT VHC Report'!$A:$C), )</f>
        <v/>
      </c>
      <c r="C4830" s="37"/>
      <c r="D4830" s="37"/>
      <c r="E4830" s="38" t="s">
        <v>5790</v>
      </c>
      <c r="F4830" s="38" t="s">
        <v>5770</v>
      </c>
      <c r="G4830" s="39"/>
      <c r="H4830" s="38" t="s">
        <v>5771</v>
      </c>
      <c r="I4830" s="38" t="s">
        <v>5772</v>
      </c>
      <c r="J4830" s="38" t="s">
        <v>125</v>
      </c>
      <c r="K4830" s="38" t="s">
        <v>126</v>
      </c>
      <c r="L4830" s="41">
        <v>46010.916666666664</v>
      </c>
      <c r="M4830" s="38" t="s">
        <v>123</v>
      </c>
      <c r="N4830" s="41">
        <v>46010.92361111111</v>
      </c>
      <c r="O4830" s="38" t="s">
        <v>123</v>
      </c>
      <c r="P4830" s="38">
        <v>600.0</v>
      </c>
      <c r="Q4830" s="39"/>
      <c r="R4830" s="39"/>
      <c r="S4830" s="38" t="s">
        <v>127</v>
      </c>
      <c r="T4830" s="39"/>
      <c r="U4830" s="39"/>
    </row>
    <row r="4831">
      <c r="A4831" s="40">
        <f t="shared" si="1"/>
        <v>46006</v>
      </c>
      <c r="B4831" s="37" t="str">
        <f t="array" ref="B4831">iferror(xlookup($I4831, 'IMPORT VHC Report'!$E:$E, 'IMPORT VHC Report'!$A:$C), )</f>
        <v/>
      </c>
      <c r="C4831" s="37"/>
      <c r="D4831" s="37"/>
      <c r="E4831" s="38" t="s">
        <v>5791</v>
      </c>
      <c r="F4831" s="38" t="s">
        <v>5770</v>
      </c>
      <c r="G4831" s="39"/>
      <c r="H4831" s="38" t="s">
        <v>5771</v>
      </c>
      <c r="I4831" s="38" t="s">
        <v>5772</v>
      </c>
      <c r="J4831" s="38" t="s">
        <v>122</v>
      </c>
      <c r="K4831" s="38" t="s">
        <v>63</v>
      </c>
      <c r="L4831" s="41">
        <v>46010.916666666664</v>
      </c>
      <c r="M4831" s="38" t="s">
        <v>123</v>
      </c>
      <c r="N4831" s="41">
        <v>46011.291666666664</v>
      </c>
      <c r="O4831" s="38" t="s">
        <v>123</v>
      </c>
      <c r="P4831" s="38">
        <v>32400.0</v>
      </c>
      <c r="Q4831" s="39"/>
      <c r="R4831" s="39"/>
      <c r="S4831" s="39"/>
      <c r="T4831" s="39"/>
      <c r="U4831" s="39"/>
    </row>
    <row r="4832">
      <c r="A4832" s="40">
        <f t="shared" si="1"/>
        <v>46006</v>
      </c>
      <c r="B4832" s="37" t="str">
        <f t="array" ref="B4832">iferror(xlookup($I4832, 'IMPORT VHC Report'!$E:$E, 'IMPORT VHC Report'!$A:$C), )</f>
        <v/>
      </c>
      <c r="C4832" s="37"/>
      <c r="D4832" s="37"/>
      <c r="E4832" s="38" t="s">
        <v>5792</v>
      </c>
      <c r="F4832" s="38" t="s">
        <v>5770</v>
      </c>
      <c r="G4832" s="39"/>
      <c r="H4832" s="38" t="s">
        <v>5771</v>
      </c>
      <c r="I4832" s="38" t="s">
        <v>5772</v>
      </c>
      <c r="J4832" s="38" t="s">
        <v>134</v>
      </c>
      <c r="K4832" s="38" t="s">
        <v>126</v>
      </c>
      <c r="L4832" s="41">
        <v>46011.229166666664</v>
      </c>
      <c r="M4832" s="38" t="s">
        <v>123</v>
      </c>
      <c r="N4832" s="41">
        <v>46011.25</v>
      </c>
      <c r="O4832" s="38" t="s">
        <v>123</v>
      </c>
      <c r="P4832" s="38">
        <v>1800.0</v>
      </c>
      <c r="Q4832" s="39"/>
      <c r="R4832" s="39"/>
      <c r="S4832" s="39"/>
      <c r="T4832" s="39"/>
      <c r="U4832" s="39"/>
    </row>
    <row r="4833">
      <c r="A4833" s="40">
        <f t="shared" si="1"/>
        <v>46006</v>
      </c>
      <c r="B4833" s="37" t="str">
        <f t="array" ref="B4833">iferror(xlookup($I4833, 'IMPORT VHC Report'!$E:$E, 'IMPORT VHC Report'!$A:$C), )</f>
        <v/>
      </c>
      <c r="C4833" s="37"/>
      <c r="D4833" s="37"/>
      <c r="E4833" s="38" t="s">
        <v>5793</v>
      </c>
      <c r="F4833" s="38" t="s">
        <v>5770</v>
      </c>
      <c r="G4833" s="39"/>
      <c r="H4833" s="38" t="s">
        <v>5771</v>
      </c>
      <c r="I4833" s="38" t="s">
        <v>5772</v>
      </c>
      <c r="J4833" s="38" t="s">
        <v>132</v>
      </c>
      <c r="K4833" s="38" t="s">
        <v>126</v>
      </c>
      <c r="L4833" s="41">
        <v>46011.25</v>
      </c>
      <c r="M4833" s="38" t="s">
        <v>123</v>
      </c>
      <c r="N4833" s="41">
        <v>46011.291666666664</v>
      </c>
      <c r="O4833" s="38" t="s">
        <v>123</v>
      </c>
      <c r="P4833" s="38">
        <v>3600.0</v>
      </c>
      <c r="Q4833" s="39"/>
      <c r="R4833" s="39"/>
      <c r="S4833" s="39"/>
      <c r="T4833" s="39"/>
      <c r="U4833" s="39"/>
    </row>
    <row r="4834">
      <c r="A4834" s="40">
        <f t="shared" si="1"/>
        <v>46006</v>
      </c>
      <c r="B4834" s="37" t="str">
        <f t="array" ref="B4834">iferror(xlookup($I4834, 'IMPORT VHC Report'!$E:$E, 'IMPORT VHC Report'!$A:$C), )</f>
        <v/>
      </c>
      <c r="C4834" s="37"/>
      <c r="D4834" s="37"/>
      <c r="E4834" s="38" t="s">
        <v>5794</v>
      </c>
      <c r="F4834" s="38" t="s">
        <v>5795</v>
      </c>
      <c r="G4834" s="38">
        <v>3.61732054935E11</v>
      </c>
      <c r="H4834" s="38" t="s">
        <v>5796</v>
      </c>
      <c r="I4834" s="38" t="s">
        <v>5797</v>
      </c>
      <c r="J4834" s="38" t="s">
        <v>136</v>
      </c>
      <c r="K4834" s="38" t="s">
        <v>126</v>
      </c>
      <c r="L4834" s="41">
        <v>46006.916666666664</v>
      </c>
      <c r="M4834" s="38" t="s">
        <v>123</v>
      </c>
      <c r="N4834" s="41">
        <v>46006.93541666667</v>
      </c>
      <c r="O4834" s="38" t="s">
        <v>123</v>
      </c>
      <c r="P4834" s="38">
        <v>1620.0</v>
      </c>
      <c r="Q4834" s="39"/>
      <c r="R4834" s="39"/>
      <c r="S4834" s="39"/>
      <c r="T4834" s="39"/>
      <c r="U4834" s="39"/>
    </row>
    <row r="4835">
      <c r="A4835" s="40">
        <f t="shared" si="1"/>
        <v>46006</v>
      </c>
      <c r="B4835" s="37" t="str">
        <f t="array" ref="B4835">iferror(xlookup($I4835, 'IMPORT VHC Report'!$E:$E, 'IMPORT VHC Report'!$A:$C), )</f>
        <v/>
      </c>
      <c r="C4835" s="37"/>
      <c r="D4835" s="37"/>
      <c r="E4835" s="38" t="s">
        <v>5798</v>
      </c>
      <c r="F4835" s="38" t="s">
        <v>5795</v>
      </c>
      <c r="G4835" s="38">
        <v>3.61732054935E11</v>
      </c>
      <c r="H4835" s="38" t="s">
        <v>5796</v>
      </c>
      <c r="I4835" s="38" t="s">
        <v>5797</v>
      </c>
      <c r="J4835" s="38" t="s">
        <v>224</v>
      </c>
      <c r="K4835" s="38" t="s">
        <v>63</v>
      </c>
      <c r="L4835" s="41">
        <v>46006.916666666664</v>
      </c>
      <c r="M4835" s="38" t="s">
        <v>123</v>
      </c>
      <c r="N4835" s="41">
        <v>46007.0625</v>
      </c>
      <c r="O4835" s="38" t="s">
        <v>123</v>
      </c>
      <c r="P4835" s="38">
        <v>12600.0</v>
      </c>
      <c r="Q4835" s="39"/>
      <c r="R4835" s="39"/>
      <c r="S4835" s="39"/>
      <c r="T4835" s="39"/>
      <c r="U4835" s="39"/>
    </row>
    <row r="4836">
      <c r="A4836" s="40">
        <f t="shared" si="1"/>
        <v>46006</v>
      </c>
      <c r="B4836" s="37" t="str">
        <f t="array" ref="B4836">iferror(xlookup($I4836, 'IMPORT VHC Report'!$E:$E, 'IMPORT VHC Report'!$A:$C), )</f>
        <v/>
      </c>
      <c r="C4836" s="37"/>
      <c r="D4836" s="37"/>
      <c r="E4836" s="38" t="s">
        <v>5799</v>
      </c>
      <c r="F4836" s="38" t="s">
        <v>5795</v>
      </c>
      <c r="G4836" s="38">
        <v>3.61732054935E11</v>
      </c>
      <c r="H4836" s="38" t="s">
        <v>5796</v>
      </c>
      <c r="I4836" s="38" t="s">
        <v>5797</v>
      </c>
      <c r="J4836" s="38" t="s">
        <v>132</v>
      </c>
      <c r="K4836" s="38" t="s">
        <v>126</v>
      </c>
      <c r="L4836" s="41">
        <v>46007.0625</v>
      </c>
      <c r="M4836" s="38" t="s">
        <v>123</v>
      </c>
      <c r="N4836" s="41">
        <v>46007.104166666664</v>
      </c>
      <c r="O4836" s="38" t="s">
        <v>123</v>
      </c>
      <c r="P4836" s="38">
        <v>3600.0</v>
      </c>
      <c r="Q4836" s="39"/>
      <c r="R4836" s="39"/>
      <c r="S4836" s="39"/>
      <c r="T4836" s="39"/>
      <c r="U4836" s="39"/>
    </row>
    <row r="4837">
      <c r="A4837" s="40">
        <f t="shared" si="1"/>
        <v>46006</v>
      </c>
      <c r="B4837" s="37" t="str">
        <f t="array" ref="B4837">iferror(xlookup($I4837, 'IMPORT VHC Report'!$E:$E, 'IMPORT VHC Report'!$A:$C), )</f>
        <v/>
      </c>
      <c r="C4837" s="37"/>
      <c r="D4837" s="37"/>
      <c r="E4837" s="38" t="s">
        <v>5800</v>
      </c>
      <c r="F4837" s="38" t="s">
        <v>5795</v>
      </c>
      <c r="G4837" s="38">
        <v>3.61732054935E11</v>
      </c>
      <c r="H4837" s="38" t="s">
        <v>5796</v>
      </c>
      <c r="I4837" s="38" t="s">
        <v>5797</v>
      </c>
      <c r="J4837" s="38" t="s">
        <v>125</v>
      </c>
      <c r="K4837" s="38" t="s">
        <v>126</v>
      </c>
      <c r="L4837" s="41">
        <v>46007.114583333336</v>
      </c>
      <c r="M4837" s="38" t="s">
        <v>123</v>
      </c>
      <c r="N4837" s="41">
        <v>46007.125</v>
      </c>
      <c r="O4837" s="38" t="s">
        <v>123</v>
      </c>
      <c r="P4837" s="38">
        <v>900.0</v>
      </c>
      <c r="Q4837" s="39"/>
      <c r="R4837" s="39"/>
      <c r="S4837" s="39"/>
      <c r="T4837" s="39"/>
      <c r="U4837" s="39"/>
    </row>
    <row r="4838">
      <c r="A4838" s="40">
        <f t="shared" si="1"/>
        <v>46006</v>
      </c>
      <c r="B4838" s="37" t="str">
        <f t="array" ref="B4838">iferror(xlookup($I4838, 'IMPORT VHC Report'!$E:$E, 'IMPORT VHC Report'!$A:$C), )</f>
        <v/>
      </c>
      <c r="C4838" s="37"/>
      <c r="D4838" s="37"/>
      <c r="E4838" s="38" t="s">
        <v>5801</v>
      </c>
      <c r="F4838" s="38" t="s">
        <v>5795</v>
      </c>
      <c r="G4838" s="38">
        <v>3.61732054935E11</v>
      </c>
      <c r="H4838" s="38" t="s">
        <v>5796</v>
      </c>
      <c r="I4838" s="38" t="s">
        <v>5797</v>
      </c>
      <c r="J4838" s="38" t="s">
        <v>125</v>
      </c>
      <c r="K4838" s="38" t="s">
        <v>126</v>
      </c>
      <c r="L4838" s="41">
        <v>46007.15625</v>
      </c>
      <c r="M4838" s="38" t="s">
        <v>123</v>
      </c>
      <c r="N4838" s="41">
        <v>46007.166666666664</v>
      </c>
      <c r="O4838" s="38" t="s">
        <v>123</v>
      </c>
      <c r="P4838" s="38">
        <v>900.0</v>
      </c>
      <c r="Q4838" s="39"/>
      <c r="R4838" s="39"/>
      <c r="S4838" s="39"/>
      <c r="T4838" s="39"/>
      <c r="U4838" s="39"/>
    </row>
    <row r="4839">
      <c r="A4839" s="40">
        <f t="shared" si="1"/>
        <v>46006</v>
      </c>
      <c r="B4839" s="37" t="str">
        <f t="array" ref="B4839">iferror(xlookup($I4839, 'IMPORT VHC Report'!$E:$E, 'IMPORT VHC Report'!$A:$C), )</f>
        <v/>
      </c>
      <c r="C4839" s="37"/>
      <c r="D4839" s="37"/>
      <c r="E4839" s="38" t="s">
        <v>5802</v>
      </c>
      <c r="F4839" s="38" t="s">
        <v>5795</v>
      </c>
      <c r="G4839" s="38">
        <v>3.61732054935E11</v>
      </c>
      <c r="H4839" s="38" t="s">
        <v>5796</v>
      </c>
      <c r="I4839" s="38" t="s">
        <v>5797</v>
      </c>
      <c r="J4839" s="38" t="s">
        <v>136</v>
      </c>
      <c r="K4839" s="38" t="s">
        <v>126</v>
      </c>
      <c r="L4839" s="41">
        <v>46007.166666666664</v>
      </c>
      <c r="M4839" s="38" t="s">
        <v>123</v>
      </c>
      <c r="N4839" s="41">
        <v>46007.177083333336</v>
      </c>
      <c r="O4839" s="38" t="s">
        <v>123</v>
      </c>
      <c r="P4839" s="38">
        <v>900.0</v>
      </c>
      <c r="Q4839" s="39"/>
      <c r="R4839" s="39"/>
      <c r="S4839" s="38" t="s">
        <v>1846</v>
      </c>
      <c r="T4839" s="39"/>
      <c r="U4839" s="39"/>
    </row>
    <row r="4840">
      <c r="A4840" s="40">
        <f t="shared" si="1"/>
        <v>46006</v>
      </c>
      <c r="B4840" s="37" t="str">
        <f t="array" ref="B4840">iferror(xlookup($I4840, 'IMPORT VHC Report'!$E:$E, 'IMPORT VHC Report'!$A:$C), )</f>
        <v/>
      </c>
      <c r="C4840" s="37"/>
      <c r="D4840" s="37"/>
      <c r="E4840" s="38" t="s">
        <v>5803</v>
      </c>
      <c r="F4840" s="38" t="s">
        <v>5795</v>
      </c>
      <c r="G4840" s="38">
        <v>3.61732054935E11</v>
      </c>
      <c r="H4840" s="38" t="s">
        <v>5796</v>
      </c>
      <c r="I4840" s="38" t="s">
        <v>5797</v>
      </c>
      <c r="J4840" s="38" t="s">
        <v>125</v>
      </c>
      <c r="K4840" s="38" t="s">
        <v>126</v>
      </c>
      <c r="L4840" s="41">
        <v>46007.208333333336</v>
      </c>
      <c r="M4840" s="38" t="s">
        <v>123</v>
      </c>
      <c r="N4840" s="41">
        <v>46007.21875</v>
      </c>
      <c r="O4840" s="38" t="s">
        <v>123</v>
      </c>
      <c r="P4840" s="38">
        <v>900.0</v>
      </c>
      <c r="Q4840" s="39"/>
      <c r="R4840" s="39"/>
      <c r="S4840" s="39"/>
      <c r="T4840" s="39"/>
      <c r="U4840" s="39"/>
    </row>
    <row r="4841">
      <c r="A4841" s="40">
        <f t="shared" si="1"/>
        <v>46006</v>
      </c>
      <c r="B4841" s="37" t="str">
        <f t="array" ref="B4841">iferror(xlookup($I4841, 'IMPORT VHC Report'!$E:$E, 'IMPORT VHC Report'!$A:$C), )</f>
        <v/>
      </c>
      <c r="C4841" s="37"/>
      <c r="D4841" s="37"/>
      <c r="E4841" s="38" t="s">
        <v>5804</v>
      </c>
      <c r="F4841" s="38" t="s">
        <v>5795</v>
      </c>
      <c r="G4841" s="38">
        <v>3.61732054935E11</v>
      </c>
      <c r="H4841" s="38" t="s">
        <v>5796</v>
      </c>
      <c r="I4841" s="38" t="s">
        <v>5797</v>
      </c>
      <c r="J4841" s="38" t="s">
        <v>134</v>
      </c>
      <c r="K4841" s="38" t="s">
        <v>126</v>
      </c>
      <c r="L4841" s="41">
        <v>46007.21875</v>
      </c>
      <c r="M4841" s="38" t="s">
        <v>123</v>
      </c>
      <c r="N4841" s="41">
        <v>46007.229166666664</v>
      </c>
      <c r="O4841" s="38" t="s">
        <v>123</v>
      </c>
      <c r="P4841" s="38">
        <v>900.0</v>
      </c>
      <c r="Q4841" s="39"/>
      <c r="R4841" s="39"/>
      <c r="S4841" s="39"/>
      <c r="T4841" s="39"/>
      <c r="U4841" s="39"/>
    </row>
    <row r="4842">
      <c r="A4842" s="40">
        <f t="shared" si="1"/>
        <v>46006</v>
      </c>
      <c r="B4842" s="37" t="str">
        <f t="array" ref="B4842">iferror(xlookup($I4842, 'IMPORT VHC Report'!$E:$E, 'IMPORT VHC Report'!$A:$C), )</f>
        <v/>
      </c>
      <c r="C4842" s="37"/>
      <c r="D4842" s="37"/>
      <c r="E4842" s="38" t="s">
        <v>5805</v>
      </c>
      <c r="F4842" s="38" t="s">
        <v>5795</v>
      </c>
      <c r="G4842" s="38">
        <v>3.61732054935E11</v>
      </c>
      <c r="H4842" s="38" t="s">
        <v>5796</v>
      </c>
      <c r="I4842" s="38" t="s">
        <v>5797</v>
      </c>
      <c r="J4842" s="38" t="s">
        <v>125</v>
      </c>
      <c r="K4842" s="38" t="s">
        <v>126</v>
      </c>
      <c r="L4842" s="41">
        <v>46007.239583333336</v>
      </c>
      <c r="M4842" s="38" t="s">
        <v>123</v>
      </c>
      <c r="N4842" s="41">
        <v>46007.25</v>
      </c>
      <c r="O4842" s="38" t="s">
        <v>123</v>
      </c>
      <c r="P4842" s="38">
        <v>900.0</v>
      </c>
      <c r="Q4842" s="39"/>
      <c r="R4842" s="39"/>
      <c r="S4842" s="39"/>
      <c r="T4842" s="39"/>
      <c r="U4842" s="39"/>
    </row>
    <row r="4843">
      <c r="A4843" s="40">
        <f t="shared" si="1"/>
        <v>46006</v>
      </c>
      <c r="B4843" s="37" t="str">
        <f t="array" ref="B4843">iferror(xlookup($I4843, 'IMPORT VHC Report'!$E:$E, 'IMPORT VHC Report'!$A:$C), )</f>
        <v/>
      </c>
      <c r="C4843" s="37"/>
      <c r="D4843" s="37"/>
      <c r="E4843" s="38" t="s">
        <v>5806</v>
      </c>
      <c r="F4843" s="38" t="s">
        <v>5795</v>
      </c>
      <c r="G4843" s="38">
        <v>3.61732054935E11</v>
      </c>
      <c r="H4843" s="38" t="s">
        <v>5796</v>
      </c>
      <c r="I4843" s="38" t="s">
        <v>5797</v>
      </c>
      <c r="J4843" s="38" t="s">
        <v>224</v>
      </c>
      <c r="K4843" s="38" t="s">
        <v>63</v>
      </c>
      <c r="L4843" s="41">
        <v>46007.916666666664</v>
      </c>
      <c r="M4843" s="38" t="s">
        <v>123</v>
      </c>
      <c r="N4843" s="41">
        <v>46008.291666666664</v>
      </c>
      <c r="O4843" s="38" t="s">
        <v>123</v>
      </c>
      <c r="P4843" s="38">
        <v>32400.0</v>
      </c>
      <c r="Q4843" s="39"/>
      <c r="R4843" s="39"/>
      <c r="S4843" s="39"/>
      <c r="T4843" s="39"/>
      <c r="U4843" s="39"/>
    </row>
    <row r="4844">
      <c r="A4844" s="40">
        <f t="shared" si="1"/>
        <v>46006</v>
      </c>
      <c r="B4844" s="37" t="str">
        <f t="array" ref="B4844">iferror(xlookup($I4844, 'IMPORT VHC Report'!$E:$E, 'IMPORT VHC Report'!$A:$C), )</f>
        <v/>
      </c>
      <c r="C4844" s="37"/>
      <c r="D4844" s="37"/>
      <c r="E4844" s="38" t="s">
        <v>5807</v>
      </c>
      <c r="F4844" s="38" t="s">
        <v>5795</v>
      </c>
      <c r="G4844" s="38">
        <v>3.61732054935E11</v>
      </c>
      <c r="H4844" s="38" t="s">
        <v>5796</v>
      </c>
      <c r="I4844" s="38" t="s">
        <v>5797</v>
      </c>
      <c r="J4844" s="38" t="s">
        <v>134</v>
      </c>
      <c r="K4844" s="38" t="s">
        <v>126</v>
      </c>
      <c r="L4844" s="41">
        <v>46008.072916666664</v>
      </c>
      <c r="M4844" s="38" t="s">
        <v>123</v>
      </c>
      <c r="N4844" s="41">
        <v>46008.09375</v>
      </c>
      <c r="O4844" s="38" t="s">
        <v>123</v>
      </c>
      <c r="P4844" s="38">
        <v>1800.0</v>
      </c>
      <c r="Q4844" s="39"/>
      <c r="R4844" s="39"/>
      <c r="S4844" s="39"/>
      <c r="T4844" s="39"/>
      <c r="U4844" s="39"/>
    </row>
    <row r="4845">
      <c r="A4845" s="40">
        <f t="shared" si="1"/>
        <v>46006</v>
      </c>
      <c r="B4845" s="37" t="str">
        <f t="array" ref="B4845">iferror(xlookup($I4845, 'IMPORT VHC Report'!$E:$E, 'IMPORT VHC Report'!$A:$C), )</f>
        <v/>
      </c>
      <c r="C4845" s="37"/>
      <c r="D4845" s="37"/>
      <c r="E4845" s="38" t="s">
        <v>5808</v>
      </c>
      <c r="F4845" s="38" t="s">
        <v>5795</v>
      </c>
      <c r="G4845" s="38">
        <v>3.61732054935E11</v>
      </c>
      <c r="H4845" s="38" t="s">
        <v>5796</v>
      </c>
      <c r="I4845" s="38" t="s">
        <v>5797</v>
      </c>
      <c r="J4845" s="38" t="s">
        <v>125</v>
      </c>
      <c r="K4845" s="38" t="s">
        <v>126</v>
      </c>
      <c r="L4845" s="41">
        <v>46008.114583333336</v>
      </c>
      <c r="M4845" s="38" t="s">
        <v>123</v>
      </c>
      <c r="N4845" s="41">
        <v>46008.125</v>
      </c>
      <c r="O4845" s="38" t="s">
        <v>123</v>
      </c>
      <c r="P4845" s="38">
        <v>900.0</v>
      </c>
      <c r="Q4845" s="39"/>
      <c r="R4845" s="39"/>
      <c r="S4845" s="39"/>
      <c r="T4845" s="39"/>
      <c r="U4845" s="39"/>
    </row>
    <row r="4846">
      <c r="A4846" s="40">
        <f t="shared" si="1"/>
        <v>46006</v>
      </c>
      <c r="B4846" s="37" t="str">
        <f t="array" ref="B4846">iferror(xlookup($I4846, 'IMPORT VHC Report'!$E:$E, 'IMPORT VHC Report'!$A:$C), )</f>
        <v/>
      </c>
      <c r="C4846" s="37"/>
      <c r="D4846" s="37"/>
      <c r="E4846" s="38" t="s">
        <v>5809</v>
      </c>
      <c r="F4846" s="38" t="s">
        <v>5795</v>
      </c>
      <c r="G4846" s="38">
        <v>3.61732054935E11</v>
      </c>
      <c r="H4846" s="38" t="s">
        <v>5796</v>
      </c>
      <c r="I4846" s="38" t="s">
        <v>5797</v>
      </c>
      <c r="J4846" s="38" t="s">
        <v>125</v>
      </c>
      <c r="K4846" s="38" t="s">
        <v>126</v>
      </c>
      <c r="L4846" s="41">
        <v>46008.15625</v>
      </c>
      <c r="M4846" s="38" t="s">
        <v>123</v>
      </c>
      <c r="N4846" s="41">
        <v>46008.166666666664</v>
      </c>
      <c r="O4846" s="38" t="s">
        <v>123</v>
      </c>
      <c r="P4846" s="38">
        <v>900.0</v>
      </c>
      <c r="Q4846" s="39"/>
      <c r="R4846" s="39"/>
      <c r="S4846" s="39"/>
      <c r="T4846" s="39"/>
      <c r="U4846" s="39"/>
    </row>
    <row r="4847">
      <c r="A4847" s="40">
        <f t="shared" si="1"/>
        <v>46006</v>
      </c>
      <c r="B4847" s="37" t="str">
        <f t="array" ref="B4847">iferror(xlookup($I4847, 'IMPORT VHC Report'!$E:$E, 'IMPORT VHC Report'!$A:$C), )</f>
        <v/>
      </c>
      <c r="C4847" s="37"/>
      <c r="D4847" s="37"/>
      <c r="E4847" s="38" t="s">
        <v>5810</v>
      </c>
      <c r="F4847" s="38" t="s">
        <v>5795</v>
      </c>
      <c r="G4847" s="38">
        <v>3.61732054935E11</v>
      </c>
      <c r="H4847" s="38" t="s">
        <v>5796</v>
      </c>
      <c r="I4847" s="38" t="s">
        <v>5797</v>
      </c>
      <c r="J4847" s="38" t="s">
        <v>132</v>
      </c>
      <c r="K4847" s="38" t="s">
        <v>126</v>
      </c>
      <c r="L4847" s="41">
        <v>46008.1875</v>
      </c>
      <c r="M4847" s="38" t="s">
        <v>123</v>
      </c>
      <c r="N4847" s="41">
        <v>46008.229166666664</v>
      </c>
      <c r="O4847" s="38" t="s">
        <v>123</v>
      </c>
      <c r="P4847" s="38">
        <v>3600.0</v>
      </c>
      <c r="Q4847" s="39"/>
      <c r="R4847" s="39"/>
      <c r="S4847" s="39"/>
      <c r="T4847" s="39"/>
      <c r="U4847" s="39"/>
    </row>
    <row r="4848">
      <c r="A4848" s="40">
        <f t="shared" si="1"/>
        <v>46006</v>
      </c>
      <c r="B4848" s="37" t="str">
        <f t="array" ref="B4848">iferror(xlookup($I4848, 'IMPORT VHC Report'!$E:$E, 'IMPORT VHC Report'!$A:$C), )</f>
        <v/>
      </c>
      <c r="C4848" s="37"/>
      <c r="D4848" s="37"/>
      <c r="E4848" s="38" t="s">
        <v>5811</v>
      </c>
      <c r="F4848" s="38" t="s">
        <v>5795</v>
      </c>
      <c r="G4848" s="38">
        <v>3.61732054935E11</v>
      </c>
      <c r="H4848" s="38" t="s">
        <v>5796</v>
      </c>
      <c r="I4848" s="38" t="s">
        <v>5797</v>
      </c>
      <c r="J4848" s="38" t="s">
        <v>224</v>
      </c>
      <c r="K4848" s="38" t="s">
        <v>63</v>
      </c>
      <c r="L4848" s="41">
        <v>46008.916666666664</v>
      </c>
      <c r="M4848" s="38" t="s">
        <v>123</v>
      </c>
      <c r="N4848" s="41">
        <v>46009.041666666664</v>
      </c>
      <c r="O4848" s="38" t="s">
        <v>123</v>
      </c>
      <c r="P4848" s="38">
        <v>10800.0</v>
      </c>
      <c r="Q4848" s="39"/>
      <c r="R4848" s="39"/>
      <c r="S4848" s="39"/>
      <c r="T4848" s="39"/>
      <c r="U4848" s="39"/>
    </row>
    <row r="4849">
      <c r="A4849" s="40">
        <f t="shared" si="1"/>
        <v>46006</v>
      </c>
      <c r="B4849" s="37" t="str">
        <f t="array" ref="B4849">iferror(xlookup($I4849, 'IMPORT VHC Report'!$E:$E, 'IMPORT VHC Report'!$A:$C), )</f>
        <v/>
      </c>
      <c r="C4849" s="37"/>
      <c r="D4849" s="37"/>
      <c r="E4849" s="38" t="s">
        <v>5812</v>
      </c>
      <c r="F4849" s="38" t="s">
        <v>5795</v>
      </c>
      <c r="G4849" s="38">
        <v>3.61732054935E11</v>
      </c>
      <c r="H4849" s="38" t="s">
        <v>5796</v>
      </c>
      <c r="I4849" s="38" t="s">
        <v>5797</v>
      </c>
      <c r="J4849" s="38" t="s">
        <v>132</v>
      </c>
      <c r="K4849" s="38" t="s">
        <v>126</v>
      </c>
      <c r="L4849" s="41">
        <v>46009.041666666664</v>
      </c>
      <c r="M4849" s="38" t="s">
        <v>123</v>
      </c>
      <c r="N4849" s="41">
        <v>46009.083333333336</v>
      </c>
      <c r="O4849" s="38" t="s">
        <v>123</v>
      </c>
      <c r="P4849" s="38">
        <v>3600.0</v>
      </c>
      <c r="Q4849" s="39"/>
      <c r="R4849" s="39"/>
      <c r="S4849" s="39"/>
      <c r="T4849" s="39"/>
      <c r="U4849" s="39"/>
    </row>
    <row r="4850">
      <c r="A4850" s="40">
        <f t="shared" si="1"/>
        <v>46006</v>
      </c>
      <c r="B4850" s="37" t="str">
        <f t="array" ref="B4850">iferror(xlookup($I4850, 'IMPORT VHC Report'!$E:$E, 'IMPORT VHC Report'!$A:$C), )</f>
        <v/>
      </c>
      <c r="C4850" s="37"/>
      <c r="D4850" s="37"/>
      <c r="E4850" s="38" t="s">
        <v>5813</v>
      </c>
      <c r="F4850" s="38" t="s">
        <v>5795</v>
      </c>
      <c r="G4850" s="38">
        <v>3.61732054935E11</v>
      </c>
      <c r="H4850" s="38" t="s">
        <v>5796</v>
      </c>
      <c r="I4850" s="38" t="s">
        <v>5797</v>
      </c>
      <c r="J4850" s="38" t="s">
        <v>224</v>
      </c>
      <c r="K4850" s="38" t="s">
        <v>63</v>
      </c>
      <c r="L4850" s="41">
        <v>46009.083333333336</v>
      </c>
      <c r="M4850" s="38" t="s">
        <v>123</v>
      </c>
      <c r="N4850" s="41">
        <v>46009.166666666664</v>
      </c>
      <c r="O4850" s="38" t="s">
        <v>123</v>
      </c>
      <c r="P4850" s="38">
        <v>7200.0</v>
      </c>
      <c r="Q4850" s="39"/>
      <c r="R4850" s="39"/>
      <c r="S4850" s="39"/>
      <c r="T4850" s="39"/>
      <c r="U4850" s="39"/>
    </row>
    <row r="4851">
      <c r="A4851" s="40">
        <f t="shared" si="1"/>
        <v>46006</v>
      </c>
      <c r="B4851" s="37" t="str">
        <f t="array" ref="B4851">iferror(xlookup($I4851, 'IMPORT VHC Report'!$E:$E, 'IMPORT VHC Report'!$A:$C), )</f>
        <v/>
      </c>
      <c r="C4851" s="37"/>
      <c r="D4851" s="37"/>
      <c r="E4851" s="38" t="s">
        <v>5814</v>
      </c>
      <c r="F4851" s="38" t="s">
        <v>5795</v>
      </c>
      <c r="G4851" s="38">
        <v>3.61732054935E11</v>
      </c>
      <c r="H4851" s="38" t="s">
        <v>5796</v>
      </c>
      <c r="I4851" s="38" t="s">
        <v>5797</v>
      </c>
      <c r="J4851" s="38" t="s">
        <v>224</v>
      </c>
      <c r="K4851" s="38" t="s">
        <v>63</v>
      </c>
      <c r="L4851" s="41">
        <v>46009.166666666664</v>
      </c>
      <c r="M4851" s="38" t="s">
        <v>123</v>
      </c>
      <c r="N4851" s="41">
        <v>46009.1875</v>
      </c>
      <c r="O4851" s="38" t="s">
        <v>123</v>
      </c>
      <c r="P4851" s="38">
        <v>1800.0</v>
      </c>
      <c r="Q4851" s="39"/>
      <c r="R4851" s="39"/>
      <c r="S4851" s="39"/>
      <c r="T4851" s="39"/>
      <c r="U4851" s="39"/>
    </row>
    <row r="4852">
      <c r="A4852" s="40">
        <f t="shared" si="1"/>
        <v>46006</v>
      </c>
      <c r="B4852" s="37" t="str">
        <f t="array" ref="B4852">iferror(xlookup($I4852, 'IMPORT VHC Report'!$E:$E, 'IMPORT VHC Report'!$A:$C), )</f>
        <v/>
      </c>
      <c r="C4852" s="37"/>
      <c r="D4852" s="37"/>
      <c r="E4852" s="38" t="s">
        <v>5815</v>
      </c>
      <c r="F4852" s="38" t="s">
        <v>5795</v>
      </c>
      <c r="G4852" s="38">
        <v>3.61732054935E11</v>
      </c>
      <c r="H4852" s="38" t="s">
        <v>5796</v>
      </c>
      <c r="I4852" s="38" t="s">
        <v>5797</v>
      </c>
      <c r="J4852" s="38" t="s">
        <v>134</v>
      </c>
      <c r="K4852" s="38" t="s">
        <v>126</v>
      </c>
      <c r="L4852" s="41">
        <v>46009.1875</v>
      </c>
      <c r="M4852" s="38" t="s">
        <v>123</v>
      </c>
      <c r="N4852" s="41">
        <v>46009.208333333336</v>
      </c>
      <c r="O4852" s="38" t="s">
        <v>123</v>
      </c>
      <c r="P4852" s="38">
        <v>1800.0</v>
      </c>
      <c r="Q4852" s="39"/>
      <c r="R4852" s="39"/>
      <c r="S4852" s="39"/>
      <c r="T4852" s="39"/>
      <c r="U4852" s="39"/>
    </row>
    <row r="4853">
      <c r="A4853" s="40">
        <f t="shared" si="1"/>
        <v>46006</v>
      </c>
      <c r="B4853" s="37" t="str">
        <f t="array" ref="B4853">iferror(xlookup($I4853, 'IMPORT VHC Report'!$E:$E, 'IMPORT VHC Report'!$A:$C), )</f>
        <v/>
      </c>
      <c r="C4853" s="37"/>
      <c r="D4853" s="37"/>
      <c r="E4853" s="38" t="s">
        <v>5816</v>
      </c>
      <c r="F4853" s="38" t="s">
        <v>5795</v>
      </c>
      <c r="G4853" s="38">
        <v>3.61732054935E11</v>
      </c>
      <c r="H4853" s="38" t="s">
        <v>5796</v>
      </c>
      <c r="I4853" s="38" t="s">
        <v>5797</v>
      </c>
      <c r="J4853" s="38" t="s">
        <v>224</v>
      </c>
      <c r="K4853" s="38" t="s">
        <v>63</v>
      </c>
      <c r="L4853" s="41">
        <v>46009.208333333336</v>
      </c>
      <c r="M4853" s="38" t="s">
        <v>123</v>
      </c>
      <c r="N4853" s="41">
        <v>46009.291666666664</v>
      </c>
      <c r="O4853" s="38" t="s">
        <v>123</v>
      </c>
      <c r="P4853" s="38">
        <v>7200.0</v>
      </c>
      <c r="Q4853" s="39"/>
      <c r="R4853" s="39"/>
      <c r="S4853" s="39"/>
      <c r="T4853" s="39"/>
      <c r="U4853" s="39"/>
    </row>
    <row r="4854">
      <c r="A4854" s="40">
        <f t="shared" si="1"/>
        <v>46006</v>
      </c>
      <c r="B4854" s="37" t="str">
        <f t="array" ref="B4854">iferror(xlookup($I4854, 'IMPORT VHC Report'!$E:$E, 'IMPORT VHC Report'!$A:$C), )</f>
        <v/>
      </c>
      <c r="C4854" s="37"/>
      <c r="D4854" s="37"/>
      <c r="E4854" s="38" t="s">
        <v>5817</v>
      </c>
      <c r="F4854" s="38" t="s">
        <v>5795</v>
      </c>
      <c r="G4854" s="38">
        <v>3.61732054935E11</v>
      </c>
      <c r="H4854" s="38" t="s">
        <v>5796</v>
      </c>
      <c r="I4854" s="38" t="s">
        <v>5797</v>
      </c>
      <c r="J4854" s="38" t="s">
        <v>224</v>
      </c>
      <c r="K4854" s="38" t="s">
        <v>63</v>
      </c>
      <c r="L4854" s="41">
        <v>46009.916666666664</v>
      </c>
      <c r="M4854" s="38" t="s">
        <v>123</v>
      </c>
      <c r="N4854" s="41">
        <v>46010.041666666664</v>
      </c>
      <c r="O4854" s="38" t="s">
        <v>123</v>
      </c>
      <c r="P4854" s="38">
        <v>10800.0</v>
      </c>
      <c r="Q4854" s="39"/>
      <c r="R4854" s="39"/>
      <c r="S4854" s="39"/>
      <c r="T4854" s="39"/>
      <c r="U4854" s="39"/>
    </row>
    <row r="4855">
      <c r="A4855" s="40">
        <f t="shared" si="1"/>
        <v>46006</v>
      </c>
      <c r="B4855" s="37" t="str">
        <f t="array" ref="B4855">iferror(xlookup($I4855, 'IMPORT VHC Report'!$E:$E, 'IMPORT VHC Report'!$A:$C), )</f>
        <v/>
      </c>
      <c r="C4855" s="37"/>
      <c r="D4855" s="37"/>
      <c r="E4855" s="38" t="s">
        <v>5818</v>
      </c>
      <c r="F4855" s="38" t="s">
        <v>5795</v>
      </c>
      <c r="G4855" s="38">
        <v>3.61732054935E11</v>
      </c>
      <c r="H4855" s="38" t="s">
        <v>5796</v>
      </c>
      <c r="I4855" s="38" t="s">
        <v>5797</v>
      </c>
      <c r="J4855" s="38" t="s">
        <v>132</v>
      </c>
      <c r="K4855" s="38" t="s">
        <v>126</v>
      </c>
      <c r="L4855" s="41">
        <v>46010.041666666664</v>
      </c>
      <c r="M4855" s="38" t="s">
        <v>123</v>
      </c>
      <c r="N4855" s="41">
        <v>46010.083333333336</v>
      </c>
      <c r="O4855" s="38" t="s">
        <v>123</v>
      </c>
      <c r="P4855" s="38">
        <v>3600.0</v>
      </c>
      <c r="Q4855" s="39"/>
      <c r="R4855" s="39"/>
      <c r="S4855" s="39"/>
      <c r="T4855" s="39"/>
      <c r="U4855" s="39"/>
    </row>
    <row r="4856">
      <c r="A4856" s="40">
        <f t="shared" si="1"/>
        <v>46006</v>
      </c>
      <c r="B4856" s="37" t="str">
        <f t="array" ref="B4856">iferror(xlookup($I4856, 'IMPORT VHC Report'!$E:$E, 'IMPORT VHC Report'!$A:$C), )</f>
        <v/>
      </c>
      <c r="C4856" s="37"/>
      <c r="D4856" s="37"/>
      <c r="E4856" s="38" t="s">
        <v>5819</v>
      </c>
      <c r="F4856" s="38" t="s">
        <v>5795</v>
      </c>
      <c r="G4856" s="38">
        <v>3.61732054935E11</v>
      </c>
      <c r="H4856" s="38" t="s">
        <v>5796</v>
      </c>
      <c r="I4856" s="38" t="s">
        <v>5797</v>
      </c>
      <c r="J4856" s="38" t="s">
        <v>224</v>
      </c>
      <c r="K4856" s="38" t="s">
        <v>63</v>
      </c>
      <c r="L4856" s="41">
        <v>46010.083333333336</v>
      </c>
      <c r="M4856" s="38" t="s">
        <v>123</v>
      </c>
      <c r="N4856" s="41">
        <v>46010.1875</v>
      </c>
      <c r="O4856" s="38" t="s">
        <v>123</v>
      </c>
      <c r="P4856" s="38">
        <v>9000.0</v>
      </c>
      <c r="Q4856" s="39"/>
      <c r="R4856" s="39"/>
      <c r="S4856" s="39"/>
      <c r="T4856" s="39"/>
      <c r="U4856" s="39"/>
    </row>
    <row r="4857">
      <c r="A4857" s="40">
        <f t="shared" si="1"/>
        <v>46006</v>
      </c>
      <c r="B4857" s="37" t="str">
        <f t="array" ref="B4857">iferror(xlookup($I4857, 'IMPORT VHC Report'!$E:$E, 'IMPORT VHC Report'!$A:$C), )</f>
        <v/>
      </c>
      <c r="C4857" s="37"/>
      <c r="D4857" s="37"/>
      <c r="E4857" s="38" t="s">
        <v>5820</v>
      </c>
      <c r="F4857" s="38" t="s">
        <v>5795</v>
      </c>
      <c r="G4857" s="38">
        <v>3.61732054935E11</v>
      </c>
      <c r="H4857" s="38" t="s">
        <v>5796</v>
      </c>
      <c r="I4857" s="38" t="s">
        <v>5797</v>
      </c>
      <c r="J4857" s="38" t="s">
        <v>4</v>
      </c>
      <c r="K4857" s="38" t="s">
        <v>126</v>
      </c>
      <c r="L4857" s="41">
        <v>46010.145833333336</v>
      </c>
      <c r="M4857" s="38" t="s">
        <v>123</v>
      </c>
      <c r="N4857" s="41">
        <v>46010.1875</v>
      </c>
      <c r="O4857" s="38" t="s">
        <v>123</v>
      </c>
      <c r="P4857" s="38">
        <v>3600.0</v>
      </c>
      <c r="Q4857" s="39"/>
      <c r="R4857" s="39"/>
      <c r="S4857" s="38" t="s">
        <v>858</v>
      </c>
      <c r="T4857" s="39"/>
      <c r="U4857" s="39"/>
    </row>
    <row r="4858">
      <c r="A4858" s="40">
        <f t="shared" si="1"/>
        <v>46006</v>
      </c>
      <c r="B4858" s="37" t="str">
        <f t="array" ref="B4858">iferror(xlookup($I4858, 'IMPORT VHC Report'!$E:$E, 'IMPORT VHC Report'!$A:$C), )</f>
        <v/>
      </c>
      <c r="C4858" s="37"/>
      <c r="D4858" s="37"/>
      <c r="E4858" s="38" t="s">
        <v>5821</v>
      </c>
      <c r="F4858" s="38" t="s">
        <v>5795</v>
      </c>
      <c r="G4858" s="38">
        <v>3.61732054935E11</v>
      </c>
      <c r="H4858" s="38" t="s">
        <v>5796</v>
      </c>
      <c r="I4858" s="38" t="s">
        <v>5797</v>
      </c>
      <c r="J4858" s="38" t="s">
        <v>134</v>
      </c>
      <c r="K4858" s="38" t="s">
        <v>126</v>
      </c>
      <c r="L4858" s="41">
        <v>46010.1875</v>
      </c>
      <c r="M4858" s="38" t="s">
        <v>123</v>
      </c>
      <c r="N4858" s="41">
        <v>46010.208333333336</v>
      </c>
      <c r="O4858" s="38" t="s">
        <v>123</v>
      </c>
      <c r="P4858" s="38">
        <v>1800.0</v>
      </c>
      <c r="Q4858" s="39"/>
      <c r="R4858" s="39"/>
      <c r="S4858" s="39"/>
      <c r="T4858" s="39"/>
      <c r="U4858" s="39"/>
    </row>
    <row r="4859">
      <c r="A4859" s="40">
        <f t="shared" si="1"/>
        <v>46006</v>
      </c>
      <c r="B4859" s="37" t="str">
        <f t="array" ref="B4859">iferror(xlookup($I4859, 'IMPORT VHC Report'!$E:$E, 'IMPORT VHC Report'!$A:$C), )</f>
        <v/>
      </c>
      <c r="C4859" s="37"/>
      <c r="D4859" s="37"/>
      <c r="E4859" s="38" t="s">
        <v>5822</v>
      </c>
      <c r="F4859" s="38" t="s">
        <v>5795</v>
      </c>
      <c r="G4859" s="38">
        <v>3.61732054935E11</v>
      </c>
      <c r="H4859" s="38" t="s">
        <v>5796</v>
      </c>
      <c r="I4859" s="38" t="s">
        <v>5797</v>
      </c>
      <c r="J4859" s="38" t="s">
        <v>224</v>
      </c>
      <c r="K4859" s="38" t="s">
        <v>63</v>
      </c>
      <c r="L4859" s="41">
        <v>46010.208333333336</v>
      </c>
      <c r="M4859" s="38" t="s">
        <v>123</v>
      </c>
      <c r="N4859" s="41">
        <v>46010.291666666664</v>
      </c>
      <c r="O4859" s="38" t="s">
        <v>123</v>
      </c>
      <c r="P4859" s="38">
        <v>7200.0</v>
      </c>
      <c r="Q4859" s="39"/>
      <c r="R4859" s="39"/>
      <c r="S4859" s="39"/>
      <c r="T4859" s="39"/>
      <c r="U4859" s="39"/>
    </row>
    <row r="4860">
      <c r="A4860" s="40">
        <f t="shared" si="1"/>
        <v>46006</v>
      </c>
      <c r="B4860" s="37" t="str">
        <f t="array" ref="B4860">iferror(xlookup($I4860, 'IMPORT VHC Report'!$E:$E, 'IMPORT VHC Report'!$A:$C), )</f>
        <v/>
      </c>
      <c r="C4860" s="37"/>
      <c r="D4860" s="37"/>
      <c r="E4860" s="38" t="s">
        <v>5823</v>
      </c>
      <c r="F4860" s="38" t="s">
        <v>5795</v>
      </c>
      <c r="G4860" s="38">
        <v>3.61732054935E11</v>
      </c>
      <c r="H4860" s="38" t="s">
        <v>5796</v>
      </c>
      <c r="I4860" s="38" t="s">
        <v>5797</v>
      </c>
      <c r="J4860" s="38" t="s">
        <v>224</v>
      </c>
      <c r="K4860" s="38" t="s">
        <v>63</v>
      </c>
      <c r="L4860" s="41">
        <v>46010.875</v>
      </c>
      <c r="M4860" s="38" t="s">
        <v>123</v>
      </c>
      <c r="N4860" s="41">
        <v>46011.0</v>
      </c>
      <c r="O4860" s="38" t="s">
        <v>123</v>
      </c>
      <c r="P4860" s="38">
        <v>10800.0</v>
      </c>
      <c r="Q4860" s="39"/>
      <c r="R4860" s="39"/>
      <c r="S4860" s="39"/>
      <c r="T4860" s="39"/>
      <c r="U4860" s="39"/>
    </row>
    <row r="4861">
      <c r="A4861" s="40">
        <f t="shared" si="1"/>
        <v>46006</v>
      </c>
      <c r="B4861" s="37" t="str">
        <f t="array" ref="B4861">iferror(xlookup($I4861, 'IMPORT VHC Report'!$E:$E, 'IMPORT VHC Report'!$A:$C), )</f>
        <v/>
      </c>
      <c r="C4861" s="37"/>
      <c r="D4861" s="37"/>
      <c r="E4861" s="38" t="s">
        <v>5824</v>
      </c>
      <c r="F4861" s="38" t="s">
        <v>5795</v>
      </c>
      <c r="G4861" s="38">
        <v>3.61732054935E11</v>
      </c>
      <c r="H4861" s="38" t="s">
        <v>5796</v>
      </c>
      <c r="I4861" s="38" t="s">
        <v>5797</v>
      </c>
      <c r="J4861" s="38" t="s">
        <v>132</v>
      </c>
      <c r="K4861" s="38" t="s">
        <v>126</v>
      </c>
      <c r="L4861" s="41">
        <v>46011.0</v>
      </c>
      <c r="M4861" s="38" t="s">
        <v>123</v>
      </c>
      <c r="N4861" s="41">
        <v>46011.041666666664</v>
      </c>
      <c r="O4861" s="38" t="s">
        <v>123</v>
      </c>
      <c r="P4861" s="38">
        <v>3600.0</v>
      </c>
      <c r="Q4861" s="39"/>
      <c r="R4861" s="39"/>
      <c r="S4861" s="39"/>
      <c r="T4861" s="39"/>
      <c r="U4861" s="39"/>
    </row>
    <row r="4862">
      <c r="A4862" s="40">
        <f t="shared" si="1"/>
        <v>46006</v>
      </c>
      <c r="B4862" s="37" t="str">
        <f t="array" ref="B4862">iferror(xlookup($I4862, 'IMPORT VHC Report'!$E:$E, 'IMPORT VHC Report'!$A:$C), )</f>
        <v/>
      </c>
      <c r="C4862" s="37"/>
      <c r="D4862" s="37"/>
      <c r="E4862" s="38" t="s">
        <v>5825</v>
      </c>
      <c r="F4862" s="38" t="s">
        <v>5795</v>
      </c>
      <c r="G4862" s="38">
        <v>3.61732054935E11</v>
      </c>
      <c r="H4862" s="38" t="s">
        <v>5796</v>
      </c>
      <c r="I4862" s="38" t="s">
        <v>5797</v>
      </c>
      <c r="J4862" s="38" t="s">
        <v>224</v>
      </c>
      <c r="K4862" s="38" t="s">
        <v>63</v>
      </c>
      <c r="L4862" s="41">
        <v>46011.041666666664</v>
      </c>
      <c r="M4862" s="38" t="s">
        <v>123</v>
      </c>
      <c r="N4862" s="41">
        <v>46011.145833333336</v>
      </c>
      <c r="O4862" s="38" t="s">
        <v>123</v>
      </c>
      <c r="P4862" s="38">
        <v>9000.0</v>
      </c>
      <c r="Q4862" s="39"/>
      <c r="R4862" s="39"/>
      <c r="S4862" s="39"/>
      <c r="T4862" s="39"/>
      <c r="U4862" s="39"/>
    </row>
    <row r="4863">
      <c r="A4863" s="40">
        <f t="shared" si="1"/>
        <v>46006</v>
      </c>
      <c r="B4863" s="37" t="str">
        <f t="array" ref="B4863">iferror(xlookup($I4863, 'IMPORT VHC Report'!$E:$E, 'IMPORT VHC Report'!$A:$C), )</f>
        <v/>
      </c>
      <c r="C4863" s="37"/>
      <c r="D4863" s="37"/>
      <c r="E4863" s="38" t="s">
        <v>5826</v>
      </c>
      <c r="F4863" s="38" t="s">
        <v>5795</v>
      </c>
      <c r="G4863" s="38">
        <v>3.61732054935E11</v>
      </c>
      <c r="H4863" s="38" t="s">
        <v>5796</v>
      </c>
      <c r="I4863" s="38" t="s">
        <v>5797</v>
      </c>
      <c r="J4863" s="38" t="s">
        <v>330</v>
      </c>
      <c r="K4863" s="38" t="s">
        <v>126</v>
      </c>
      <c r="L4863" s="41">
        <v>46011.09375</v>
      </c>
      <c r="M4863" s="38" t="s">
        <v>123</v>
      </c>
      <c r="N4863" s="41">
        <v>46011.114583333336</v>
      </c>
      <c r="O4863" s="38" t="s">
        <v>123</v>
      </c>
      <c r="P4863" s="38">
        <v>1800.0</v>
      </c>
      <c r="Q4863" s="39"/>
      <c r="R4863" s="39"/>
      <c r="S4863" s="39"/>
      <c r="T4863" s="39"/>
      <c r="U4863" s="39"/>
    </row>
    <row r="4864">
      <c r="A4864" s="40">
        <f t="shared" si="1"/>
        <v>46006</v>
      </c>
      <c r="B4864" s="37" t="str">
        <f t="array" ref="B4864">iferror(xlookup($I4864, 'IMPORT VHC Report'!$E:$E, 'IMPORT VHC Report'!$A:$C), )</f>
        <v/>
      </c>
      <c r="C4864" s="37"/>
      <c r="D4864" s="37"/>
      <c r="E4864" s="38" t="s">
        <v>5827</v>
      </c>
      <c r="F4864" s="38" t="s">
        <v>5795</v>
      </c>
      <c r="G4864" s="38">
        <v>3.61732054935E11</v>
      </c>
      <c r="H4864" s="38" t="s">
        <v>5796</v>
      </c>
      <c r="I4864" s="38" t="s">
        <v>5797</v>
      </c>
      <c r="J4864" s="38" t="s">
        <v>134</v>
      </c>
      <c r="K4864" s="38" t="s">
        <v>126</v>
      </c>
      <c r="L4864" s="41">
        <v>46011.145833333336</v>
      </c>
      <c r="M4864" s="38" t="s">
        <v>123</v>
      </c>
      <c r="N4864" s="41">
        <v>46011.166666666664</v>
      </c>
      <c r="O4864" s="38" t="s">
        <v>123</v>
      </c>
      <c r="P4864" s="38">
        <v>1800.0</v>
      </c>
      <c r="Q4864" s="39"/>
      <c r="R4864" s="39"/>
      <c r="S4864" s="39"/>
      <c r="T4864" s="39"/>
      <c r="U4864" s="39"/>
    </row>
    <row r="4865">
      <c r="A4865" s="40">
        <f t="shared" si="1"/>
        <v>46006</v>
      </c>
      <c r="B4865" s="37" t="str">
        <f t="array" ref="B4865">iferror(xlookup($I4865, 'IMPORT VHC Report'!$E:$E, 'IMPORT VHC Report'!$A:$C), )</f>
        <v/>
      </c>
      <c r="C4865" s="37"/>
      <c r="D4865" s="37"/>
      <c r="E4865" s="38" t="s">
        <v>5828</v>
      </c>
      <c r="F4865" s="38" t="s">
        <v>5795</v>
      </c>
      <c r="G4865" s="38">
        <v>3.61732054935E11</v>
      </c>
      <c r="H4865" s="38" t="s">
        <v>5796</v>
      </c>
      <c r="I4865" s="38" t="s">
        <v>5797</v>
      </c>
      <c r="J4865" s="38" t="s">
        <v>224</v>
      </c>
      <c r="K4865" s="38" t="s">
        <v>63</v>
      </c>
      <c r="L4865" s="41">
        <v>46011.166666666664</v>
      </c>
      <c r="M4865" s="38" t="s">
        <v>123</v>
      </c>
      <c r="N4865" s="41">
        <v>46011.25</v>
      </c>
      <c r="O4865" s="38" t="s">
        <v>123</v>
      </c>
      <c r="P4865" s="38">
        <v>7200.0</v>
      </c>
      <c r="Q4865" s="39"/>
      <c r="R4865" s="39"/>
      <c r="S4865" s="39"/>
      <c r="T4865" s="39"/>
      <c r="U4865" s="39"/>
    </row>
    <row r="4866">
      <c r="A4866" s="40">
        <f t="shared" si="1"/>
        <v>46006</v>
      </c>
      <c r="B4866" s="37" t="str">
        <f t="array" ref="B4866">iferror(xlookup($I4866, 'IMPORT VHC Report'!$E:$E, 'IMPORT VHC Report'!$A:$C), )</f>
        <v/>
      </c>
      <c r="C4866" s="37"/>
      <c r="D4866" s="37"/>
      <c r="E4866" s="38" t="s">
        <v>5829</v>
      </c>
      <c r="F4866" s="38" t="s">
        <v>5795</v>
      </c>
      <c r="G4866" s="38">
        <v>3.61732054935E11</v>
      </c>
      <c r="H4866" s="38" t="s">
        <v>5796</v>
      </c>
      <c r="I4866" s="38" t="s">
        <v>5797</v>
      </c>
      <c r="J4866" s="38" t="s">
        <v>224</v>
      </c>
      <c r="K4866" s="38" t="s">
        <v>63</v>
      </c>
      <c r="L4866" s="41">
        <v>46012.927083333336</v>
      </c>
      <c r="M4866" s="38" t="s">
        <v>123</v>
      </c>
      <c r="N4866" s="41">
        <v>46013.010416666664</v>
      </c>
      <c r="O4866" s="38" t="s">
        <v>123</v>
      </c>
      <c r="P4866" s="38">
        <v>7200.0</v>
      </c>
      <c r="Q4866" s="39"/>
      <c r="R4866" s="39"/>
      <c r="S4866" s="39"/>
      <c r="T4866" s="39"/>
      <c r="U4866" s="39"/>
    </row>
    <row r="4867">
      <c r="A4867" s="40">
        <f t="shared" si="1"/>
        <v>46006</v>
      </c>
      <c r="B4867" s="37" t="str">
        <f t="array" ref="B4867">iferror(xlookup($I4867, 'IMPORT VHC Report'!$E:$E, 'IMPORT VHC Report'!$A:$C), )</f>
        <v/>
      </c>
      <c r="C4867" s="37"/>
      <c r="D4867" s="37"/>
      <c r="E4867" s="38" t="s">
        <v>5830</v>
      </c>
      <c r="F4867" s="38" t="s">
        <v>5831</v>
      </c>
      <c r="G4867" s="38">
        <v>5.563904587279E12</v>
      </c>
      <c r="H4867" s="38" t="s">
        <v>5832</v>
      </c>
      <c r="I4867" s="38" t="s">
        <v>5833</v>
      </c>
      <c r="J4867" s="38" t="s">
        <v>5746</v>
      </c>
      <c r="K4867" s="38" t="s">
        <v>63</v>
      </c>
      <c r="L4867" s="41">
        <v>46006.916666666664</v>
      </c>
      <c r="M4867" s="38" t="s">
        <v>123</v>
      </c>
      <c r="N4867" s="41">
        <v>46007.291666666664</v>
      </c>
      <c r="O4867" s="38" t="s">
        <v>123</v>
      </c>
      <c r="P4867" s="38">
        <v>32400.0</v>
      </c>
      <c r="Q4867" s="39"/>
      <c r="R4867" s="39"/>
      <c r="S4867" s="39"/>
      <c r="T4867" s="39"/>
      <c r="U4867" s="39"/>
    </row>
    <row r="4868">
      <c r="A4868" s="40">
        <f t="shared" si="1"/>
        <v>46006</v>
      </c>
      <c r="B4868" s="37" t="str">
        <f t="array" ref="B4868">iferror(xlookup($I4868, 'IMPORT VHC Report'!$E:$E, 'IMPORT VHC Report'!$A:$C), )</f>
        <v/>
      </c>
      <c r="C4868" s="37"/>
      <c r="D4868" s="37"/>
      <c r="E4868" s="38" t="s">
        <v>5834</v>
      </c>
      <c r="F4868" s="38" t="s">
        <v>5831</v>
      </c>
      <c r="G4868" s="38">
        <v>5.563904587279E12</v>
      </c>
      <c r="H4868" s="38" t="s">
        <v>5832</v>
      </c>
      <c r="I4868" s="38" t="s">
        <v>5833</v>
      </c>
      <c r="J4868" s="38" t="s">
        <v>132</v>
      </c>
      <c r="K4868" s="38" t="s">
        <v>126</v>
      </c>
      <c r="L4868" s="41">
        <v>46007.166666666664</v>
      </c>
      <c r="M4868" s="38" t="s">
        <v>123</v>
      </c>
      <c r="N4868" s="41">
        <v>46007.208333333336</v>
      </c>
      <c r="O4868" s="38" t="s">
        <v>123</v>
      </c>
      <c r="P4868" s="38">
        <v>3600.0</v>
      </c>
      <c r="Q4868" s="39"/>
      <c r="R4868" s="39"/>
      <c r="S4868" s="39"/>
      <c r="T4868" s="39"/>
      <c r="U4868" s="39"/>
    </row>
    <row r="4869">
      <c r="A4869" s="40">
        <f t="shared" si="1"/>
        <v>46006</v>
      </c>
      <c r="B4869" s="37" t="str">
        <f t="array" ref="B4869">iferror(xlookup($I4869, 'IMPORT VHC Report'!$E:$E, 'IMPORT VHC Report'!$A:$C), )</f>
        <v/>
      </c>
      <c r="C4869" s="37"/>
      <c r="D4869" s="37"/>
      <c r="E4869" s="38" t="s">
        <v>5835</v>
      </c>
      <c r="F4869" s="38" t="s">
        <v>5831</v>
      </c>
      <c r="G4869" s="38">
        <v>5.563904587279E12</v>
      </c>
      <c r="H4869" s="38" t="s">
        <v>5832</v>
      </c>
      <c r="I4869" s="38" t="s">
        <v>5833</v>
      </c>
      <c r="J4869" s="38" t="s">
        <v>5746</v>
      </c>
      <c r="K4869" s="38" t="s">
        <v>63</v>
      </c>
      <c r="L4869" s="41">
        <v>46007.916666666664</v>
      </c>
      <c r="M4869" s="38" t="s">
        <v>123</v>
      </c>
      <c r="N4869" s="41">
        <v>46008.291666666664</v>
      </c>
      <c r="O4869" s="38" t="s">
        <v>123</v>
      </c>
      <c r="P4869" s="38">
        <v>32400.0</v>
      </c>
      <c r="Q4869" s="39"/>
      <c r="R4869" s="39"/>
      <c r="S4869" s="39"/>
      <c r="T4869" s="39"/>
      <c r="U4869" s="39"/>
    </row>
    <row r="4870">
      <c r="A4870" s="40">
        <f t="shared" si="1"/>
        <v>46006</v>
      </c>
      <c r="B4870" s="37" t="str">
        <f t="array" ref="B4870">iferror(xlookup($I4870, 'IMPORT VHC Report'!$E:$E, 'IMPORT VHC Report'!$A:$C), )</f>
        <v/>
      </c>
      <c r="C4870" s="37"/>
      <c r="D4870" s="37"/>
      <c r="E4870" s="38" t="s">
        <v>5836</v>
      </c>
      <c r="F4870" s="38" t="s">
        <v>5831</v>
      </c>
      <c r="G4870" s="38">
        <v>5.563904587279E12</v>
      </c>
      <c r="H4870" s="38" t="s">
        <v>5832</v>
      </c>
      <c r="I4870" s="38" t="s">
        <v>5833</v>
      </c>
      <c r="J4870" s="38" t="s">
        <v>132</v>
      </c>
      <c r="K4870" s="38" t="s">
        <v>126</v>
      </c>
      <c r="L4870" s="41">
        <v>46008.166666666664</v>
      </c>
      <c r="M4870" s="38" t="s">
        <v>123</v>
      </c>
      <c r="N4870" s="41">
        <v>46008.208333333336</v>
      </c>
      <c r="O4870" s="38" t="s">
        <v>123</v>
      </c>
      <c r="P4870" s="38">
        <v>3600.0</v>
      </c>
      <c r="Q4870" s="39"/>
      <c r="R4870" s="39"/>
      <c r="S4870" s="39"/>
      <c r="T4870" s="39"/>
      <c r="U4870" s="39"/>
    </row>
    <row r="4871">
      <c r="A4871" s="40">
        <f t="shared" si="1"/>
        <v>46006</v>
      </c>
      <c r="B4871" s="37" t="str">
        <f t="array" ref="B4871">iferror(xlookup($I4871, 'IMPORT VHC Report'!$E:$E, 'IMPORT VHC Report'!$A:$C), )</f>
        <v/>
      </c>
      <c r="C4871" s="37"/>
      <c r="D4871" s="37"/>
      <c r="E4871" s="38" t="s">
        <v>5837</v>
      </c>
      <c r="F4871" s="38" t="s">
        <v>5831</v>
      </c>
      <c r="G4871" s="38">
        <v>5.563904587279E12</v>
      </c>
      <c r="H4871" s="38" t="s">
        <v>5832</v>
      </c>
      <c r="I4871" s="38" t="s">
        <v>5833</v>
      </c>
      <c r="J4871" s="38" t="s">
        <v>5746</v>
      </c>
      <c r="K4871" s="38" t="s">
        <v>63</v>
      </c>
      <c r="L4871" s="41">
        <v>46008.916666666664</v>
      </c>
      <c r="M4871" s="38" t="s">
        <v>123</v>
      </c>
      <c r="N4871" s="41">
        <v>46009.041666666664</v>
      </c>
      <c r="O4871" s="38" t="s">
        <v>123</v>
      </c>
      <c r="P4871" s="38">
        <v>10800.0</v>
      </c>
      <c r="Q4871" s="39"/>
      <c r="R4871" s="39"/>
      <c r="S4871" s="39"/>
      <c r="T4871" s="39"/>
      <c r="U4871" s="39"/>
    </row>
    <row r="4872">
      <c r="A4872" s="40">
        <f t="shared" si="1"/>
        <v>46006</v>
      </c>
      <c r="B4872" s="37" t="str">
        <f t="array" ref="B4872">iferror(xlookup($I4872, 'IMPORT VHC Report'!$E:$E, 'IMPORT VHC Report'!$A:$C), )</f>
        <v/>
      </c>
      <c r="C4872" s="37"/>
      <c r="D4872" s="37"/>
      <c r="E4872" s="38" t="s">
        <v>5838</v>
      </c>
      <c r="F4872" s="38" t="s">
        <v>5831</v>
      </c>
      <c r="G4872" s="38">
        <v>5.563904587279E12</v>
      </c>
      <c r="H4872" s="38" t="s">
        <v>5832</v>
      </c>
      <c r="I4872" s="38" t="s">
        <v>5833</v>
      </c>
      <c r="J4872" s="38" t="s">
        <v>136</v>
      </c>
      <c r="K4872" s="38" t="s">
        <v>126</v>
      </c>
      <c r="L4872" s="41">
        <v>46009.0</v>
      </c>
      <c r="M4872" s="38" t="s">
        <v>123</v>
      </c>
      <c r="N4872" s="41">
        <v>46009.041666666664</v>
      </c>
      <c r="O4872" s="38" t="s">
        <v>123</v>
      </c>
      <c r="P4872" s="38">
        <v>3600.0</v>
      </c>
      <c r="Q4872" s="39"/>
      <c r="R4872" s="39"/>
      <c r="S4872" s="38" t="s">
        <v>4874</v>
      </c>
      <c r="T4872" s="39"/>
      <c r="U4872" s="39"/>
    </row>
    <row r="4873">
      <c r="A4873" s="40">
        <f t="shared" si="1"/>
        <v>46006</v>
      </c>
      <c r="B4873" s="37" t="str">
        <f t="array" ref="B4873">iferror(xlookup($I4873, 'IMPORT VHC Report'!$E:$E, 'IMPORT VHC Report'!$A:$C), )</f>
        <v/>
      </c>
      <c r="C4873" s="37"/>
      <c r="D4873" s="37"/>
      <c r="E4873" s="38" t="s">
        <v>5839</v>
      </c>
      <c r="F4873" s="38" t="s">
        <v>5831</v>
      </c>
      <c r="G4873" s="38">
        <v>5.563904587279E12</v>
      </c>
      <c r="H4873" s="38" t="s">
        <v>5832</v>
      </c>
      <c r="I4873" s="38" t="s">
        <v>5833</v>
      </c>
      <c r="J4873" s="38" t="s">
        <v>5746</v>
      </c>
      <c r="K4873" s="38" t="s">
        <v>63</v>
      </c>
      <c r="L4873" s="41">
        <v>46009.0</v>
      </c>
      <c r="M4873" s="38" t="s">
        <v>123</v>
      </c>
      <c r="N4873" s="41">
        <v>46009.104166666664</v>
      </c>
      <c r="O4873" s="38" t="s">
        <v>123</v>
      </c>
      <c r="P4873" s="38">
        <v>9000.0</v>
      </c>
      <c r="Q4873" s="39"/>
      <c r="R4873" s="39"/>
      <c r="S4873" s="39"/>
      <c r="T4873" s="39"/>
      <c r="U4873" s="39"/>
    </row>
    <row r="4874">
      <c r="A4874" s="40">
        <f t="shared" si="1"/>
        <v>46006</v>
      </c>
      <c r="B4874" s="37" t="str">
        <f t="array" ref="B4874">iferror(xlookup($I4874, 'IMPORT VHC Report'!$E:$E, 'IMPORT VHC Report'!$A:$C), )</f>
        <v/>
      </c>
      <c r="C4874" s="37"/>
      <c r="D4874" s="37"/>
      <c r="E4874" s="38" t="s">
        <v>5840</v>
      </c>
      <c r="F4874" s="38" t="s">
        <v>5831</v>
      </c>
      <c r="G4874" s="38">
        <v>5.563904587279E12</v>
      </c>
      <c r="H4874" s="38" t="s">
        <v>5832</v>
      </c>
      <c r="I4874" s="38" t="s">
        <v>5833</v>
      </c>
      <c r="J4874" s="38" t="s">
        <v>4</v>
      </c>
      <c r="K4874" s="38" t="s">
        <v>126</v>
      </c>
      <c r="L4874" s="41">
        <v>46009.041666666664</v>
      </c>
      <c r="M4874" s="38" t="s">
        <v>123</v>
      </c>
      <c r="N4874" s="41">
        <v>46009.083333333336</v>
      </c>
      <c r="O4874" s="38" t="s">
        <v>123</v>
      </c>
      <c r="P4874" s="38">
        <v>3600.0</v>
      </c>
      <c r="Q4874" s="39"/>
      <c r="R4874" s="39"/>
      <c r="S4874" s="38" t="s">
        <v>3090</v>
      </c>
      <c r="T4874" s="39"/>
      <c r="U4874" s="39"/>
    </row>
    <row r="4875">
      <c r="A4875" s="40">
        <f t="shared" si="1"/>
        <v>46006</v>
      </c>
      <c r="B4875" s="37" t="str">
        <f t="array" ref="B4875">iferror(xlookup($I4875, 'IMPORT VHC Report'!$E:$E, 'IMPORT VHC Report'!$A:$C), )</f>
        <v/>
      </c>
      <c r="C4875" s="37"/>
      <c r="D4875" s="37"/>
      <c r="E4875" s="38" t="s">
        <v>5841</v>
      </c>
      <c r="F4875" s="38" t="s">
        <v>5831</v>
      </c>
      <c r="G4875" s="38">
        <v>5.563904587279E12</v>
      </c>
      <c r="H4875" s="38" t="s">
        <v>5832</v>
      </c>
      <c r="I4875" s="38" t="s">
        <v>5833</v>
      </c>
      <c r="J4875" s="38" t="s">
        <v>5746</v>
      </c>
      <c r="K4875" s="38" t="s">
        <v>63</v>
      </c>
      <c r="L4875" s="41">
        <v>46009.104166666664</v>
      </c>
      <c r="M4875" s="38" t="s">
        <v>123</v>
      </c>
      <c r="N4875" s="41">
        <v>46009.291666666664</v>
      </c>
      <c r="O4875" s="38" t="s">
        <v>123</v>
      </c>
      <c r="P4875" s="38">
        <v>16200.0</v>
      </c>
      <c r="Q4875" s="39"/>
      <c r="R4875" s="39"/>
      <c r="S4875" s="39"/>
      <c r="T4875" s="39"/>
      <c r="U4875" s="39"/>
    </row>
    <row r="4876">
      <c r="A4876" s="40">
        <f t="shared" si="1"/>
        <v>46006</v>
      </c>
      <c r="B4876" s="37" t="str">
        <f t="array" ref="B4876">iferror(xlookup($I4876, 'IMPORT VHC Report'!$E:$E, 'IMPORT VHC Report'!$A:$C), )</f>
        <v/>
      </c>
      <c r="C4876" s="37"/>
      <c r="D4876" s="37"/>
      <c r="E4876" s="38" t="s">
        <v>5842</v>
      </c>
      <c r="F4876" s="38" t="s">
        <v>5831</v>
      </c>
      <c r="G4876" s="38">
        <v>5.563904587279E12</v>
      </c>
      <c r="H4876" s="38" t="s">
        <v>5832</v>
      </c>
      <c r="I4876" s="38" t="s">
        <v>5833</v>
      </c>
      <c r="J4876" s="38" t="s">
        <v>136</v>
      </c>
      <c r="K4876" s="38" t="s">
        <v>126</v>
      </c>
      <c r="L4876" s="41">
        <v>46009.125</v>
      </c>
      <c r="M4876" s="38" t="s">
        <v>123</v>
      </c>
      <c r="N4876" s="41">
        <v>46009.166666666664</v>
      </c>
      <c r="O4876" s="38" t="s">
        <v>123</v>
      </c>
      <c r="P4876" s="38">
        <v>3600.0</v>
      </c>
      <c r="Q4876" s="39"/>
      <c r="R4876" s="39"/>
      <c r="S4876" s="38" t="s">
        <v>5843</v>
      </c>
      <c r="T4876" s="39"/>
      <c r="U4876" s="39"/>
    </row>
    <row r="4877">
      <c r="A4877" s="40">
        <f t="shared" si="1"/>
        <v>46006</v>
      </c>
      <c r="B4877" s="37" t="str">
        <f t="array" ref="B4877">iferror(xlookup($I4877, 'IMPORT VHC Report'!$E:$E, 'IMPORT VHC Report'!$A:$C), )</f>
        <v/>
      </c>
      <c r="C4877" s="37"/>
      <c r="D4877" s="37"/>
      <c r="E4877" s="38" t="s">
        <v>5844</v>
      </c>
      <c r="F4877" s="38" t="s">
        <v>5831</v>
      </c>
      <c r="G4877" s="38">
        <v>5.563904587279E12</v>
      </c>
      <c r="H4877" s="38" t="s">
        <v>5832</v>
      </c>
      <c r="I4877" s="38" t="s">
        <v>5833</v>
      </c>
      <c r="J4877" s="38" t="s">
        <v>132</v>
      </c>
      <c r="K4877" s="38" t="s">
        <v>126</v>
      </c>
      <c r="L4877" s="41">
        <v>46009.166666666664</v>
      </c>
      <c r="M4877" s="38" t="s">
        <v>123</v>
      </c>
      <c r="N4877" s="41">
        <v>46009.208333333336</v>
      </c>
      <c r="O4877" s="38" t="s">
        <v>123</v>
      </c>
      <c r="P4877" s="38">
        <v>3600.0</v>
      </c>
      <c r="Q4877" s="39"/>
      <c r="R4877" s="39"/>
      <c r="S4877" s="39"/>
      <c r="T4877" s="39"/>
      <c r="U4877" s="39"/>
    </row>
    <row r="4878">
      <c r="A4878" s="40">
        <f t="shared" si="1"/>
        <v>46006</v>
      </c>
      <c r="B4878" s="37" t="str">
        <f t="array" ref="B4878">iferror(xlookup($I4878, 'IMPORT VHC Report'!$E:$E, 'IMPORT VHC Report'!$A:$C), )</f>
        <v/>
      </c>
      <c r="C4878" s="37"/>
      <c r="D4878" s="37"/>
      <c r="E4878" s="38" t="s">
        <v>5845</v>
      </c>
      <c r="F4878" s="38" t="s">
        <v>5831</v>
      </c>
      <c r="G4878" s="38">
        <v>5.563904587279E12</v>
      </c>
      <c r="H4878" s="38" t="s">
        <v>5832</v>
      </c>
      <c r="I4878" s="38" t="s">
        <v>5833</v>
      </c>
      <c r="J4878" s="38" t="s">
        <v>5746</v>
      </c>
      <c r="K4878" s="38" t="s">
        <v>63</v>
      </c>
      <c r="L4878" s="41">
        <v>46009.916666666664</v>
      </c>
      <c r="M4878" s="38" t="s">
        <v>123</v>
      </c>
      <c r="N4878" s="41">
        <v>46010.291666666664</v>
      </c>
      <c r="O4878" s="38" t="s">
        <v>123</v>
      </c>
      <c r="P4878" s="38">
        <v>32400.0</v>
      </c>
      <c r="Q4878" s="39"/>
      <c r="R4878" s="39"/>
      <c r="S4878" s="39"/>
      <c r="T4878" s="39"/>
      <c r="U4878" s="39"/>
    </row>
    <row r="4879">
      <c r="A4879" s="40">
        <f t="shared" si="1"/>
        <v>46006</v>
      </c>
      <c r="B4879" s="37" t="str">
        <f t="array" ref="B4879">iferror(xlookup($I4879, 'IMPORT VHC Report'!$E:$E, 'IMPORT VHC Report'!$A:$C), )</f>
        <v/>
      </c>
      <c r="C4879" s="37"/>
      <c r="D4879" s="37"/>
      <c r="E4879" s="38" t="s">
        <v>5846</v>
      </c>
      <c r="F4879" s="38" t="s">
        <v>5831</v>
      </c>
      <c r="G4879" s="38">
        <v>5.563904587279E12</v>
      </c>
      <c r="H4879" s="38" t="s">
        <v>5832</v>
      </c>
      <c r="I4879" s="38" t="s">
        <v>5833</v>
      </c>
      <c r="J4879" s="38" t="s">
        <v>136</v>
      </c>
      <c r="K4879" s="38" t="s">
        <v>126</v>
      </c>
      <c r="L4879" s="41">
        <v>46010.0</v>
      </c>
      <c r="M4879" s="38" t="s">
        <v>123</v>
      </c>
      <c r="N4879" s="41">
        <v>46010.041666666664</v>
      </c>
      <c r="O4879" s="38" t="s">
        <v>123</v>
      </c>
      <c r="P4879" s="38">
        <v>3600.0</v>
      </c>
      <c r="Q4879" s="39"/>
      <c r="R4879" s="39"/>
      <c r="S4879" s="39"/>
      <c r="T4879" s="39"/>
      <c r="U4879" s="39"/>
    </row>
    <row r="4880">
      <c r="A4880" s="40">
        <f t="shared" si="1"/>
        <v>46006</v>
      </c>
      <c r="B4880" s="37" t="str">
        <f t="array" ref="B4880">iferror(xlookup($I4880, 'IMPORT VHC Report'!$E:$E, 'IMPORT VHC Report'!$A:$C), )</f>
        <v/>
      </c>
      <c r="C4880" s="37"/>
      <c r="D4880" s="37"/>
      <c r="E4880" s="38" t="s">
        <v>5847</v>
      </c>
      <c r="F4880" s="38" t="s">
        <v>5831</v>
      </c>
      <c r="G4880" s="38">
        <v>5.563904587279E12</v>
      </c>
      <c r="H4880" s="38" t="s">
        <v>5832</v>
      </c>
      <c r="I4880" s="38" t="s">
        <v>5833</v>
      </c>
      <c r="J4880" s="38" t="s">
        <v>132</v>
      </c>
      <c r="K4880" s="38" t="s">
        <v>126</v>
      </c>
      <c r="L4880" s="41">
        <v>46010.166666666664</v>
      </c>
      <c r="M4880" s="38" t="s">
        <v>123</v>
      </c>
      <c r="N4880" s="41">
        <v>46010.208333333336</v>
      </c>
      <c r="O4880" s="38" t="s">
        <v>123</v>
      </c>
      <c r="P4880" s="38">
        <v>3600.0</v>
      </c>
      <c r="Q4880" s="39"/>
      <c r="R4880" s="39"/>
      <c r="S4880" s="39"/>
      <c r="T4880" s="39"/>
      <c r="U4880" s="39"/>
    </row>
    <row r="4881">
      <c r="A4881" s="40">
        <f t="shared" si="1"/>
        <v>46006</v>
      </c>
      <c r="B4881" s="37" t="str">
        <f t="array" ref="B4881">iferror(xlookup($I4881, 'IMPORT VHC Report'!$E:$E, 'IMPORT VHC Report'!$A:$C), )</f>
        <v/>
      </c>
      <c r="C4881" s="37"/>
      <c r="D4881" s="37"/>
      <c r="E4881" s="38" t="s">
        <v>5848</v>
      </c>
      <c r="F4881" s="38" t="s">
        <v>5831</v>
      </c>
      <c r="G4881" s="38">
        <v>5.563904587279E12</v>
      </c>
      <c r="H4881" s="38" t="s">
        <v>5832</v>
      </c>
      <c r="I4881" s="38" t="s">
        <v>5833</v>
      </c>
      <c r="J4881" s="38" t="s">
        <v>5746</v>
      </c>
      <c r="K4881" s="38" t="s">
        <v>63</v>
      </c>
      <c r="L4881" s="41">
        <v>46010.916666666664</v>
      </c>
      <c r="M4881" s="38" t="s">
        <v>123</v>
      </c>
      <c r="N4881" s="41">
        <v>46011.291666666664</v>
      </c>
      <c r="O4881" s="38" t="s">
        <v>123</v>
      </c>
      <c r="P4881" s="38">
        <v>32400.0</v>
      </c>
      <c r="Q4881" s="39"/>
      <c r="R4881" s="39"/>
      <c r="S4881" s="39"/>
      <c r="T4881" s="39"/>
      <c r="U4881" s="39"/>
    </row>
    <row r="4882">
      <c r="A4882" s="40">
        <f t="shared" si="1"/>
        <v>46006</v>
      </c>
      <c r="B4882" s="37" t="str">
        <f t="array" ref="B4882">iferror(xlookup($I4882, 'IMPORT VHC Report'!$E:$E, 'IMPORT VHC Report'!$A:$C), )</f>
        <v/>
      </c>
      <c r="C4882" s="37"/>
      <c r="D4882" s="37"/>
      <c r="E4882" s="38" t="s">
        <v>5849</v>
      </c>
      <c r="F4882" s="38" t="s">
        <v>5831</v>
      </c>
      <c r="G4882" s="38">
        <v>5.563904587279E12</v>
      </c>
      <c r="H4882" s="38" t="s">
        <v>5832</v>
      </c>
      <c r="I4882" s="38" t="s">
        <v>5833</v>
      </c>
      <c r="J4882" s="38" t="s">
        <v>132</v>
      </c>
      <c r="K4882" s="38" t="s">
        <v>126</v>
      </c>
      <c r="L4882" s="41">
        <v>46011.166666666664</v>
      </c>
      <c r="M4882" s="38" t="s">
        <v>123</v>
      </c>
      <c r="N4882" s="41">
        <v>46011.208333333336</v>
      </c>
      <c r="O4882" s="38" t="s">
        <v>123</v>
      </c>
      <c r="P4882" s="38">
        <v>3600.0</v>
      </c>
      <c r="Q4882" s="39"/>
      <c r="R4882" s="39"/>
      <c r="S4882" s="39"/>
      <c r="T4882" s="39"/>
      <c r="U4882" s="39"/>
    </row>
    <row r="4883">
      <c r="A4883" s="40">
        <f t="shared" si="1"/>
        <v>46006</v>
      </c>
      <c r="B4883" s="37" t="str">
        <f t="array" ref="B4883">iferror(xlookup($I4883, 'IMPORT VHC Report'!$E:$E, 'IMPORT VHC Report'!$A:$C), )</f>
        <v/>
      </c>
      <c r="C4883" s="37"/>
      <c r="D4883" s="37"/>
      <c r="E4883" s="38" t="s">
        <v>5850</v>
      </c>
      <c r="F4883" s="38" t="s">
        <v>5851</v>
      </c>
      <c r="G4883" s="38">
        <v>9.684963584655E12</v>
      </c>
      <c r="H4883" s="38" t="s">
        <v>5852</v>
      </c>
      <c r="I4883" s="38" t="s">
        <v>5853</v>
      </c>
      <c r="J4883" s="38" t="s">
        <v>5746</v>
      </c>
      <c r="K4883" s="38" t="s">
        <v>63</v>
      </c>
      <c r="L4883" s="41">
        <v>46006.916666666664</v>
      </c>
      <c r="M4883" s="38" t="s">
        <v>123</v>
      </c>
      <c r="N4883" s="41">
        <v>46006.9375</v>
      </c>
      <c r="O4883" s="38" t="s">
        <v>123</v>
      </c>
      <c r="P4883" s="38">
        <v>1800.0</v>
      </c>
      <c r="Q4883" s="39"/>
      <c r="R4883" s="39"/>
      <c r="S4883" s="39"/>
      <c r="T4883" s="39"/>
      <c r="U4883" s="39"/>
    </row>
    <row r="4884">
      <c r="A4884" s="40">
        <f t="shared" si="1"/>
        <v>46006</v>
      </c>
      <c r="B4884" s="37" t="str">
        <f t="array" ref="B4884">iferror(xlookup($I4884, 'IMPORT VHC Report'!$E:$E, 'IMPORT VHC Report'!$A:$C), )</f>
        <v/>
      </c>
      <c r="C4884" s="37"/>
      <c r="D4884" s="37"/>
      <c r="E4884" s="38" t="s">
        <v>5854</v>
      </c>
      <c r="F4884" s="38" t="s">
        <v>5851</v>
      </c>
      <c r="G4884" s="38">
        <v>9.684963584655E12</v>
      </c>
      <c r="H4884" s="38" t="s">
        <v>5852</v>
      </c>
      <c r="I4884" s="38" t="s">
        <v>5853</v>
      </c>
      <c r="J4884" s="38" t="s">
        <v>62</v>
      </c>
      <c r="K4884" s="38" t="s">
        <v>63</v>
      </c>
      <c r="L4884" s="41">
        <v>46006.9375</v>
      </c>
      <c r="M4884" s="38" t="s">
        <v>123</v>
      </c>
      <c r="N4884" s="41">
        <v>46006.958333333336</v>
      </c>
      <c r="O4884" s="38" t="s">
        <v>123</v>
      </c>
      <c r="P4884" s="38">
        <v>1800.0</v>
      </c>
      <c r="Q4884" s="39"/>
      <c r="R4884" s="39"/>
      <c r="S4884" s="39"/>
      <c r="T4884" s="39"/>
      <c r="U4884" s="39"/>
    </row>
    <row r="4885">
      <c r="A4885" s="40">
        <f t="shared" si="1"/>
        <v>46006</v>
      </c>
      <c r="B4885" s="37" t="str">
        <f t="array" ref="B4885">iferror(xlookup($I4885, 'IMPORT VHC Report'!$E:$E, 'IMPORT VHC Report'!$A:$C), )</f>
        <v/>
      </c>
      <c r="C4885" s="37"/>
      <c r="D4885" s="37"/>
      <c r="E4885" s="38" t="s">
        <v>5855</v>
      </c>
      <c r="F4885" s="38" t="s">
        <v>5851</v>
      </c>
      <c r="G4885" s="38">
        <v>9.684963584655E12</v>
      </c>
      <c r="H4885" s="38" t="s">
        <v>5852</v>
      </c>
      <c r="I4885" s="38" t="s">
        <v>5853</v>
      </c>
      <c r="J4885" s="38" t="s">
        <v>5746</v>
      </c>
      <c r="K4885" s="38" t="s">
        <v>63</v>
      </c>
      <c r="L4885" s="41">
        <v>46006.958333333336</v>
      </c>
      <c r="M4885" s="38" t="s">
        <v>123</v>
      </c>
      <c r="N4885" s="41">
        <v>46007.208333333336</v>
      </c>
      <c r="O4885" s="38" t="s">
        <v>123</v>
      </c>
      <c r="P4885" s="38">
        <v>21600.0</v>
      </c>
      <c r="Q4885" s="39"/>
      <c r="R4885" s="39"/>
      <c r="S4885" s="39"/>
      <c r="T4885" s="39"/>
      <c r="U4885" s="39"/>
    </row>
    <row r="4886">
      <c r="A4886" s="40">
        <f t="shared" si="1"/>
        <v>46006</v>
      </c>
      <c r="B4886" s="37" t="str">
        <f t="array" ref="B4886">iferror(xlookup($I4886, 'IMPORT VHC Report'!$E:$E, 'IMPORT VHC Report'!$A:$C), )</f>
        <v/>
      </c>
      <c r="C4886" s="37"/>
      <c r="D4886" s="37"/>
      <c r="E4886" s="38" t="s">
        <v>5856</v>
      </c>
      <c r="F4886" s="38" t="s">
        <v>5851</v>
      </c>
      <c r="G4886" s="38">
        <v>9.684963584655E12</v>
      </c>
      <c r="H4886" s="38" t="s">
        <v>5852</v>
      </c>
      <c r="I4886" s="38" t="s">
        <v>5853</v>
      </c>
      <c r="J4886" s="38" t="s">
        <v>132</v>
      </c>
      <c r="K4886" s="38" t="s">
        <v>126</v>
      </c>
      <c r="L4886" s="41">
        <v>46007.125</v>
      </c>
      <c r="M4886" s="38" t="s">
        <v>123</v>
      </c>
      <c r="N4886" s="41">
        <v>46007.166666666664</v>
      </c>
      <c r="O4886" s="38" t="s">
        <v>123</v>
      </c>
      <c r="P4886" s="38">
        <v>3600.0</v>
      </c>
      <c r="Q4886" s="39"/>
      <c r="R4886" s="39"/>
      <c r="S4886" s="39"/>
      <c r="T4886" s="39"/>
      <c r="U4886" s="39"/>
    </row>
    <row r="4887">
      <c r="A4887" s="40">
        <f t="shared" si="1"/>
        <v>46006</v>
      </c>
      <c r="B4887" s="37" t="str">
        <f t="array" ref="B4887">iferror(xlookup($I4887, 'IMPORT VHC Report'!$E:$E, 'IMPORT VHC Report'!$A:$C), )</f>
        <v/>
      </c>
      <c r="C4887" s="37"/>
      <c r="D4887" s="37"/>
      <c r="E4887" s="38" t="s">
        <v>5857</v>
      </c>
      <c r="F4887" s="38" t="s">
        <v>5851</v>
      </c>
      <c r="G4887" s="38">
        <v>9.684963584655E12</v>
      </c>
      <c r="H4887" s="38" t="s">
        <v>5852</v>
      </c>
      <c r="I4887" s="38" t="s">
        <v>5853</v>
      </c>
      <c r="J4887" s="38" t="s">
        <v>1670</v>
      </c>
      <c r="K4887" s="38" t="s">
        <v>63</v>
      </c>
      <c r="L4887" s="41">
        <v>46007.208333333336</v>
      </c>
      <c r="M4887" s="38" t="s">
        <v>123</v>
      </c>
      <c r="N4887" s="41">
        <v>46007.291666666664</v>
      </c>
      <c r="O4887" s="38" t="s">
        <v>123</v>
      </c>
      <c r="P4887" s="38">
        <v>7200.0</v>
      </c>
      <c r="Q4887" s="39"/>
      <c r="R4887" s="39"/>
      <c r="S4887" s="39"/>
      <c r="T4887" s="39"/>
      <c r="U4887" s="39"/>
    </row>
    <row r="4888">
      <c r="A4888" s="40">
        <f t="shared" si="1"/>
        <v>46006</v>
      </c>
      <c r="B4888" s="37" t="str">
        <f t="array" ref="B4888">iferror(xlookup($I4888, 'IMPORT VHC Report'!$E:$E, 'IMPORT VHC Report'!$A:$C), )</f>
        <v/>
      </c>
      <c r="C4888" s="37"/>
      <c r="D4888" s="37"/>
      <c r="E4888" s="38" t="s">
        <v>5858</v>
      </c>
      <c r="F4888" s="38" t="s">
        <v>5851</v>
      </c>
      <c r="G4888" s="38">
        <v>9.684963584655E12</v>
      </c>
      <c r="H4888" s="38" t="s">
        <v>5852</v>
      </c>
      <c r="I4888" s="38" t="s">
        <v>5853</v>
      </c>
      <c r="J4888" s="38" t="s">
        <v>5746</v>
      </c>
      <c r="K4888" s="38" t="s">
        <v>63</v>
      </c>
      <c r="L4888" s="41">
        <v>46007.916666666664</v>
      </c>
      <c r="M4888" s="38" t="s">
        <v>123</v>
      </c>
      <c r="N4888" s="41">
        <v>46008.291666666664</v>
      </c>
      <c r="O4888" s="38" t="s">
        <v>123</v>
      </c>
      <c r="P4888" s="38">
        <v>32400.0</v>
      </c>
      <c r="Q4888" s="39"/>
      <c r="R4888" s="39"/>
      <c r="S4888" s="39"/>
      <c r="T4888" s="39"/>
      <c r="U4888" s="39"/>
    </row>
    <row r="4889">
      <c r="A4889" s="40">
        <f t="shared" si="1"/>
        <v>46006</v>
      </c>
      <c r="B4889" s="37" t="str">
        <f t="array" ref="B4889">iferror(xlookup($I4889, 'IMPORT VHC Report'!$E:$E, 'IMPORT VHC Report'!$A:$C), )</f>
        <v/>
      </c>
      <c r="C4889" s="37"/>
      <c r="D4889" s="37"/>
      <c r="E4889" s="38" t="s">
        <v>5859</v>
      </c>
      <c r="F4889" s="38" t="s">
        <v>5851</v>
      </c>
      <c r="G4889" s="38">
        <v>9.684963584655E12</v>
      </c>
      <c r="H4889" s="38" t="s">
        <v>5852</v>
      </c>
      <c r="I4889" s="38" t="s">
        <v>5853</v>
      </c>
      <c r="J4889" s="38" t="s">
        <v>132</v>
      </c>
      <c r="K4889" s="38" t="s">
        <v>126</v>
      </c>
      <c r="L4889" s="41">
        <v>46008.041666666664</v>
      </c>
      <c r="M4889" s="38" t="s">
        <v>123</v>
      </c>
      <c r="N4889" s="41">
        <v>46008.083333333336</v>
      </c>
      <c r="O4889" s="38" t="s">
        <v>123</v>
      </c>
      <c r="P4889" s="38">
        <v>3600.0</v>
      </c>
      <c r="Q4889" s="39"/>
      <c r="R4889" s="39"/>
      <c r="S4889" s="39"/>
      <c r="T4889" s="39"/>
      <c r="U4889" s="39"/>
    </row>
    <row r="4890">
      <c r="A4890" s="40">
        <f t="shared" si="1"/>
        <v>46006</v>
      </c>
      <c r="B4890" s="37" t="str">
        <f t="array" ref="B4890">iferror(xlookup($I4890, 'IMPORT VHC Report'!$E:$E, 'IMPORT VHC Report'!$A:$C), )</f>
        <v/>
      </c>
      <c r="C4890" s="37"/>
      <c r="D4890" s="37"/>
      <c r="E4890" s="38" t="s">
        <v>5860</v>
      </c>
      <c r="F4890" s="38" t="s">
        <v>5851</v>
      </c>
      <c r="G4890" s="38">
        <v>9.684963584655E12</v>
      </c>
      <c r="H4890" s="38" t="s">
        <v>5852</v>
      </c>
      <c r="I4890" s="38" t="s">
        <v>5853</v>
      </c>
      <c r="J4890" s="38" t="s">
        <v>5746</v>
      </c>
      <c r="K4890" s="38" t="s">
        <v>63</v>
      </c>
      <c r="L4890" s="41">
        <v>46008.916666666664</v>
      </c>
      <c r="M4890" s="38" t="s">
        <v>123</v>
      </c>
      <c r="N4890" s="41">
        <v>46009.291666666664</v>
      </c>
      <c r="O4890" s="38" t="s">
        <v>123</v>
      </c>
      <c r="P4890" s="38">
        <v>32400.0</v>
      </c>
      <c r="Q4890" s="39"/>
      <c r="R4890" s="39"/>
      <c r="S4890" s="39"/>
      <c r="T4890" s="39"/>
      <c r="U4890" s="39"/>
    </row>
    <row r="4891">
      <c r="A4891" s="40">
        <f t="shared" si="1"/>
        <v>46006</v>
      </c>
      <c r="B4891" s="37" t="str">
        <f t="array" ref="B4891">iferror(xlookup($I4891, 'IMPORT VHC Report'!$E:$E, 'IMPORT VHC Report'!$A:$C), )</f>
        <v/>
      </c>
      <c r="C4891" s="37"/>
      <c r="D4891" s="37"/>
      <c r="E4891" s="38" t="s">
        <v>5861</v>
      </c>
      <c r="F4891" s="38" t="s">
        <v>5851</v>
      </c>
      <c r="G4891" s="38">
        <v>9.684963584655E12</v>
      </c>
      <c r="H4891" s="38" t="s">
        <v>5852</v>
      </c>
      <c r="I4891" s="38" t="s">
        <v>5853</v>
      </c>
      <c r="J4891" s="38" t="s">
        <v>136</v>
      </c>
      <c r="K4891" s="38" t="s">
        <v>126</v>
      </c>
      <c r="L4891" s="41">
        <v>46009.0</v>
      </c>
      <c r="M4891" s="38" t="s">
        <v>123</v>
      </c>
      <c r="N4891" s="41">
        <v>46009.041666666664</v>
      </c>
      <c r="O4891" s="38" t="s">
        <v>123</v>
      </c>
      <c r="P4891" s="38">
        <v>3600.0</v>
      </c>
      <c r="Q4891" s="39"/>
      <c r="R4891" s="39"/>
      <c r="S4891" s="38" t="s">
        <v>4874</v>
      </c>
      <c r="T4891" s="39"/>
      <c r="U4891" s="39"/>
    </row>
    <row r="4892">
      <c r="A4892" s="40">
        <f t="shared" si="1"/>
        <v>46006</v>
      </c>
      <c r="B4892" s="37" t="str">
        <f t="array" ref="B4892">iferror(xlookup($I4892, 'IMPORT VHC Report'!$E:$E, 'IMPORT VHC Report'!$A:$C), )</f>
        <v/>
      </c>
      <c r="C4892" s="37"/>
      <c r="D4892" s="37"/>
      <c r="E4892" s="38" t="s">
        <v>5862</v>
      </c>
      <c r="F4892" s="38" t="s">
        <v>5851</v>
      </c>
      <c r="G4892" s="38">
        <v>9.684963584655E12</v>
      </c>
      <c r="H4892" s="38" t="s">
        <v>5852</v>
      </c>
      <c r="I4892" s="38" t="s">
        <v>5853</v>
      </c>
      <c r="J4892" s="38" t="s">
        <v>136</v>
      </c>
      <c r="K4892" s="38" t="s">
        <v>126</v>
      </c>
      <c r="L4892" s="41">
        <v>46009.0</v>
      </c>
      <c r="M4892" s="38" t="s">
        <v>123</v>
      </c>
      <c r="N4892" s="41">
        <v>46009.041666666664</v>
      </c>
      <c r="O4892" s="38" t="s">
        <v>123</v>
      </c>
      <c r="P4892" s="38">
        <v>3600.0</v>
      </c>
      <c r="Q4892" s="39"/>
      <c r="R4892" s="39"/>
      <c r="S4892" s="39"/>
      <c r="T4892" s="39"/>
      <c r="U4892" s="39"/>
    </row>
    <row r="4893">
      <c r="A4893" s="40">
        <f t="shared" si="1"/>
        <v>46006</v>
      </c>
      <c r="B4893" s="37" t="str">
        <f t="array" ref="B4893">iferror(xlookup($I4893, 'IMPORT VHC Report'!$E:$E, 'IMPORT VHC Report'!$A:$C), )</f>
        <v/>
      </c>
      <c r="C4893" s="37"/>
      <c r="D4893" s="37"/>
      <c r="E4893" s="38" t="s">
        <v>5863</v>
      </c>
      <c r="F4893" s="38" t="s">
        <v>5851</v>
      </c>
      <c r="G4893" s="38">
        <v>9.684963584655E12</v>
      </c>
      <c r="H4893" s="38" t="s">
        <v>5852</v>
      </c>
      <c r="I4893" s="38" t="s">
        <v>5853</v>
      </c>
      <c r="J4893" s="38" t="s">
        <v>132</v>
      </c>
      <c r="K4893" s="38" t="s">
        <v>126</v>
      </c>
      <c r="L4893" s="41">
        <v>46009.041666666664</v>
      </c>
      <c r="M4893" s="38" t="s">
        <v>123</v>
      </c>
      <c r="N4893" s="41">
        <v>46009.083333333336</v>
      </c>
      <c r="O4893" s="38" t="s">
        <v>123</v>
      </c>
      <c r="P4893" s="38">
        <v>3600.0</v>
      </c>
      <c r="Q4893" s="39"/>
      <c r="R4893" s="39"/>
      <c r="S4893" s="39"/>
      <c r="T4893" s="39"/>
      <c r="U4893" s="39"/>
    </row>
    <row r="4894">
      <c r="A4894" s="40">
        <f t="shared" si="1"/>
        <v>46006</v>
      </c>
      <c r="B4894" s="37" t="str">
        <f t="array" ref="B4894">iferror(xlookup($I4894, 'IMPORT VHC Report'!$E:$E, 'IMPORT VHC Report'!$A:$C), )</f>
        <v/>
      </c>
      <c r="C4894" s="37"/>
      <c r="D4894" s="37"/>
      <c r="E4894" s="38" t="s">
        <v>5864</v>
      </c>
      <c r="F4894" s="38" t="s">
        <v>5851</v>
      </c>
      <c r="G4894" s="38">
        <v>9.684963584655E12</v>
      </c>
      <c r="H4894" s="38" t="s">
        <v>5852</v>
      </c>
      <c r="I4894" s="38" t="s">
        <v>5853</v>
      </c>
      <c r="J4894" s="38" t="s">
        <v>136</v>
      </c>
      <c r="K4894" s="38" t="s">
        <v>126</v>
      </c>
      <c r="L4894" s="41">
        <v>46009.125</v>
      </c>
      <c r="M4894" s="38" t="s">
        <v>123</v>
      </c>
      <c r="N4894" s="41">
        <v>46009.166666666664</v>
      </c>
      <c r="O4894" s="38" t="s">
        <v>123</v>
      </c>
      <c r="P4894" s="38">
        <v>3600.0</v>
      </c>
      <c r="Q4894" s="39"/>
      <c r="R4894" s="39"/>
      <c r="S4894" s="38" t="s">
        <v>5843</v>
      </c>
      <c r="T4894" s="39"/>
      <c r="U4894" s="39"/>
    </row>
    <row r="4895">
      <c r="A4895" s="40">
        <f t="shared" si="1"/>
        <v>46006</v>
      </c>
      <c r="B4895" s="37" t="str">
        <f t="array" ref="B4895">iferror(xlookup($I4895, 'IMPORT VHC Report'!$E:$E, 'IMPORT VHC Report'!$A:$C), )</f>
        <v/>
      </c>
      <c r="C4895" s="37"/>
      <c r="D4895" s="37"/>
      <c r="E4895" s="38" t="s">
        <v>5865</v>
      </c>
      <c r="F4895" s="38" t="s">
        <v>5851</v>
      </c>
      <c r="G4895" s="38">
        <v>9.684963584655E12</v>
      </c>
      <c r="H4895" s="38" t="s">
        <v>5852</v>
      </c>
      <c r="I4895" s="38" t="s">
        <v>5853</v>
      </c>
      <c r="J4895" s="38" t="s">
        <v>5746</v>
      </c>
      <c r="K4895" s="38" t="s">
        <v>63</v>
      </c>
      <c r="L4895" s="41">
        <v>46009.916666666664</v>
      </c>
      <c r="M4895" s="38" t="s">
        <v>123</v>
      </c>
      <c r="N4895" s="41">
        <v>46010.291666666664</v>
      </c>
      <c r="O4895" s="38" t="s">
        <v>123</v>
      </c>
      <c r="P4895" s="38">
        <v>32400.0</v>
      </c>
      <c r="Q4895" s="39"/>
      <c r="R4895" s="39"/>
      <c r="S4895" s="39"/>
      <c r="T4895" s="39"/>
      <c r="U4895" s="39"/>
    </row>
    <row r="4896">
      <c r="A4896" s="40">
        <f t="shared" si="1"/>
        <v>46006</v>
      </c>
      <c r="B4896" s="37" t="str">
        <f t="array" ref="B4896">iferror(xlookup($I4896, 'IMPORT VHC Report'!$E:$E, 'IMPORT VHC Report'!$A:$C), )</f>
        <v/>
      </c>
      <c r="C4896" s="37"/>
      <c r="D4896" s="37"/>
      <c r="E4896" s="38" t="s">
        <v>5866</v>
      </c>
      <c r="F4896" s="38" t="s">
        <v>5851</v>
      </c>
      <c r="G4896" s="38">
        <v>9.684963584655E12</v>
      </c>
      <c r="H4896" s="38" t="s">
        <v>5852</v>
      </c>
      <c r="I4896" s="38" t="s">
        <v>5853</v>
      </c>
      <c r="J4896" s="38" t="s">
        <v>136</v>
      </c>
      <c r="K4896" s="38" t="s">
        <v>126</v>
      </c>
      <c r="L4896" s="41">
        <v>46010.0</v>
      </c>
      <c r="M4896" s="38" t="s">
        <v>123</v>
      </c>
      <c r="N4896" s="41">
        <v>46010.041666666664</v>
      </c>
      <c r="O4896" s="38" t="s">
        <v>123</v>
      </c>
      <c r="P4896" s="38">
        <v>3600.0</v>
      </c>
      <c r="Q4896" s="39"/>
      <c r="R4896" s="39"/>
      <c r="S4896" s="39"/>
      <c r="T4896" s="39"/>
      <c r="U4896" s="39"/>
    </row>
    <row r="4897">
      <c r="A4897" s="40">
        <f t="shared" si="1"/>
        <v>46006</v>
      </c>
      <c r="B4897" s="37" t="str">
        <f t="array" ref="B4897">iferror(xlookup($I4897, 'IMPORT VHC Report'!$E:$E, 'IMPORT VHC Report'!$A:$C), )</f>
        <v/>
      </c>
      <c r="C4897" s="37"/>
      <c r="D4897" s="37"/>
      <c r="E4897" s="38" t="s">
        <v>5867</v>
      </c>
      <c r="F4897" s="38" t="s">
        <v>5851</v>
      </c>
      <c r="G4897" s="38">
        <v>9.684963584655E12</v>
      </c>
      <c r="H4897" s="38" t="s">
        <v>5852</v>
      </c>
      <c r="I4897" s="38" t="s">
        <v>5853</v>
      </c>
      <c r="J4897" s="38" t="s">
        <v>132</v>
      </c>
      <c r="K4897" s="38" t="s">
        <v>126</v>
      </c>
      <c r="L4897" s="41">
        <v>46010.041666666664</v>
      </c>
      <c r="M4897" s="38" t="s">
        <v>123</v>
      </c>
      <c r="N4897" s="41">
        <v>46010.083333333336</v>
      </c>
      <c r="O4897" s="38" t="s">
        <v>123</v>
      </c>
      <c r="P4897" s="38">
        <v>3600.0</v>
      </c>
      <c r="Q4897" s="39"/>
      <c r="R4897" s="39"/>
      <c r="S4897" s="39"/>
      <c r="T4897" s="39"/>
      <c r="U4897" s="39"/>
    </row>
    <row r="4898">
      <c r="A4898" s="40">
        <f t="shared" si="1"/>
        <v>46006</v>
      </c>
      <c r="B4898" s="37" t="str">
        <f t="array" ref="B4898">iferror(xlookup($I4898, 'IMPORT VHC Report'!$E:$E, 'IMPORT VHC Report'!$A:$C), )</f>
        <v/>
      </c>
      <c r="C4898" s="37"/>
      <c r="D4898" s="37"/>
      <c r="E4898" s="38" t="s">
        <v>5868</v>
      </c>
      <c r="F4898" s="38" t="s">
        <v>5851</v>
      </c>
      <c r="G4898" s="38">
        <v>9.684963584655E12</v>
      </c>
      <c r="H4898" s="38" t="s">
        <v>5852</v>
      </c>
      <c r="I4898" s="38" t="s">
        <v>5853</v>
      </c>
      <c r="J4898" s="38" t="s">
        <v>5746</v>
      </c>
      <c r="K4898" s="38" t="s">
        <v>63</v>
      </c>
      <c r="L4898" s="41">
        <v>46010.916666666664</v>
      </c>
      <c r="M4898" s="38" t="s">
        <v>123</v>
      </c>
      <c r="N4898" s="41">
        <v>46011.291666666664</v>
      </c>
      <c r="O4898" s="38" t="s">
        <v>123</v>
      </c>
      <c r="P4898" s="38">
        <v>32400.0</v>
      </c>
      <c r="Q4898" s="39"/>
      <c r="R4898" s="39"/>
      <c r="S4898" s="39"/>
      <c r="T4898" s="39"/>
      <c r="U4898" s="39"/>
    </row>
    <row r="4899">
      <c r="A4899" s="40">
        <f t="shared" si="1"/>
        <v>46006</v>
      </c>
      <c r="B4899" s="37" t="str">
        <f t="array" ref="B4899">iferror(xlookup($I4899, 'IMPORT VHC Report'!$E:$E, 'IMPORT VHC Report'!$A:$C), )</f>
        <v/>
      </c>
      <c r="C4899" s="37"/>
      <c r="D4899" s="37"/>
      <c r="E4899" s="38" t="s">
        <v>5869</v>
      </c>
      <c r="F4899" s="38" t="s">
        <v>5851</v>
      </c>
      <c r="G4899" s="38">
        <v>9.684963584655E12</v>
      </c>
      <c r="H4899" s="38" t="s">
        <v>5852</v>
      </c>
      <c r="I4899" s="38" t="s">
        <v>5853</v>
      </c>
      <c r="J4899" s="38" t="s">
        <v>132</v>
      </c>
      <c r="K4899" s="38" t="s">
        <v>126</v>
      </c>
      <c r="L4899" s="41">
        <v>46011.041666666664</v>
      </c>
      <c r="M4899" s="38" t="s">
        <v>123</v>
      </c>
      <c r="N4899" s="41">
        <v>46011.083333333336</v>
      </c>
      <c r="O4899" s="38" t="s">
        <v>123</v>
      </c>
      <c r="P4899" s="38">
        <v>3600.0</v>
      </c>
      <c r="Q4899" s="39"/>
      <c r="R4899" s="39"/>
      <c r="S4899" s="39"/>
      <c r="T4899" s="39"/>
      <c r="U4899" s="39"/>
    </row>
    <row r="4900">
      <c r="A4900" s="40">
        <f t="shared" si="1"/>
        <v>46006</v>
      </c>
      <c r="B4900" s="37" t="str">
        <f t="array" ref="B4900">iferror(xlookup($I4900, 'IMPORT VHC Report'!$E:$E, 'IMPORT VHC Report'!$A:$C), )</f>
        <v/>
      </c>
      <c r="C4900" s="37"/>
      <c r="D4900" s="37"/>
      <c r="E4900" s="38" t="s">
        <v>5870</v>
      </c>
      <c r="F4900" s="38" t="s">
        <v>5871</v>
      </c>
      <c r="G4900" s="38">
        <v>3.61744094696E11</v>
      </c>
      <c r="H4900" s="38" t="s">
        <v>5872</v>
      </c>
      <c r="I4900" s="38" t="s">
        <v>5873</v>
      </c>
      <c r="J4900" s="38" t="s">
        <v>125</v>
      </c>
      <c r="K4900" s="38" t="s">
        <v>126</v>
      </c>
      <c r="L4900" s="41">
        <v>46006.916666666664</v>
      </c>
      <c r="M4900" s="38" t="s">
        <v>123</v>
      </c>
      <c r="N4900" s="41">
        <v>46006.927083333336</v>
      </c>
      <c r="O4900" s="38" t="s">
        <v>123</v>
      </c>
      <c r="P4900" s="38">
        <v>900.0</v>
      </c>
      <c r="Q4900" s="39"/>
      <c r="R4900" s="39"/>
      <c r="S4900" s="38" t="s">
        <v>199</v>
      </c>
      <c r="T4900" s="39"/>
      <c r="U4900" s="39"/>
    </row>
    <row r="4901">
      <c r="A4901" s="40">
        <f t="shared" si="1"/>
        <v>46006</v>
      </c>
      <c r="B4901" s="37" t="str">
        <f t="array" ref="B4901">iferror(xlookup($I4901, 'IMPORT VHC Report'!$E:$E, 'IMPORT VHC Report'!$A:$C), )</f>
        <v/>
      </c>
      <c r="C4901" s="37"/>
      <c r="D4901" s="37"/>
      <c r="E4901" s="38" t="s">
        <v>5874</v>
      </c>
      <c r="F4901" s="38" t="s">
        <v>5871</v>
      </c>
      <c r="G4901" s="38">
        <v>3.61744094696E11</v>
      </c>
      <c r="H4901" s="38" t="s">
        <v>5872</v>
      </c>
      <c r="I4901" s="38" t="s">
        <v>5873</v>
      </c>
      <c r="J4901" s="38" t="s">
        <v>178</v>
      </c>
      <c r="K4901" s="38" t="s">
        <v>153</v>
      </c>
      <c r="L4901" s="41">
        <v>46006.916666666664</v>
      </c>
      <c r="M4901" s="38" t="s">
        <v>123</v>
      </c>
      <c r="N4901" s="41">
        <v>46007.291666666664</v>
      </c>
      <c r="O4901" s="38" t="s">
        <v>123</v>
      </c>
      <c r="P4901" s="38">
        <v>32400.0</v>
      </c>
      <c r="Q4901" s="38">
        <v>28800.0</v>
      </c>
      <c r="R4901" s="38" t="s">
        <v>5875</v>
      </c>
      <c r="S4901" s="39"/>
      <c r="T4901" s="39"/>
      <c r="U4901" s="39"/>
    </row>
    <row r="4902">
      <c r="A4902" s="40">
        <f t="shared" si="1"/>
        <v>46006</v>
      </c>
      <c r="B4902" s="37" t="str">
        <f t="array" ref="B4902">iferror(xlookup($I4902, 'IMPORT VHC Report'!$E:$E, 'IMPORT VHC Report'!$A:$C), )</f>
        <v/>
      </c>
      <c r="C4902" s="37"/>
      <c r="D4902" s="37"/>
      <c r="E4902" s="38" t="s">
        <v>5876</v>
      </c>
      <c r="F4902" s="38" t="s">
        <v>5871</v>
      </c>
      <c r="G4902" s="38">
        <v>3.61744094696E11</v>
      </c>
      <c r="H4902" s="38" t="s">
        <v>5872</v>
      </c>
      <c r="I4902" s="38" t="s">
        <v>5873</v>
      </c>
      <c r="J4902" s="38" t="s">
        <v>196</v>
      </c>
      <c r="K4902" s="38" t="s">
        <v>63</v>
      </c>
      <c r="L4902" s="41">
        <v>46006.916666666664</v>
      </c>
      <c r="M4902" s="38" t="s">
        <v>123</v>
      </c>
      <c r="N4902" s="41">
        <v>46007.291666666664</v>
      </c>
      <c r="O4902" s="38" t="s">
        <v>123</v>
      </c>
      <c r="P4902" s="38">
        <v>32400.0</v>
      </c>
      <c r="Q4902" s="39"/>
      <c r="R4902" s="39"/>
      <c r="S4902" s="39"/>
      <c r="T4902" s="39"/>
      <c r="U4902" s="39"/>
    </row>
    <row r="4903">
      <c r="A4903" s="40">
        <f t="shared" si="1"/>
        <v>46006</v>
      </c>
      <c r="B4903" s="37" t="str">
        <f t="array" ref="B4903">iferror(xlookup($I4903, 'IMPORT VHC Report'!$E:$E, 'IMPORT VHC Report'!$A:$C), )</f>
        <v/>
      </c>
      <c r="C4903" s="37"/>
      <c r="D4903" s="37"/>
      <c r="E4903" s="38" t="s">
        <v>5877</v>
      </c>
      <c r="F4903" s="38" t="s">
        <v>5871</v>
      </c>
      <c r="G4903" s="38">
        <v>3.61744094696E11</v>
      </c>
      <c r="H4903" s="38" t="s">
        <v>5872</v>
      </c>
      <c r="I4903" s="38" t="s">
        <v>5873</v>
      </c>
      <c r="J4903" s="38" t="s">
        <v>134</v>
      </c>
      <c r="K4903" s="38" t="s">
        <v>126</v>
      </c>
      <c r="L4903" s="41">
        <v>46007.041666666664</v>
      </c>
      <c r="M4903" s="38" t="s">
        <v>123</v>
      </c>
      <c r="N4903" s="41">
        <v>46007.0625</v>
      </c>
      <c r="O4903" s="38" t="s">
        <v>123</v>
      </c>
      <c r="P4903" s="38">
        <v>1800.0</v>
      </c>
      <c r="Q4903" s="39"/>
      <c r="R4903" s="39"/>
      <c r="S4903" s="39"/>
      <c r="T4903" s="39"/>
      <c r="U4903" s="39"/>
    </row>
    <row r="4904">
      <c r="A4904" s="40">
        <f t="shared" si="1"/>
        <v>46006</v>
      </c>
      <c r="B4904" s="37" t="str">
        <f t="array" ref="B4904">iferror(xlookup($I4904, 'IMPORT VHC Report'!$E:$E, 'IMPORT VHC Report'!$A:$C), )</f>
        <v/>
      </c>
      <c r="C4904" s="37"/>
      <c r="D4904" s="37"/>
      <c r="E4904" s="38" t="s">
        <v>5878</v>
      </c>
      <c r="F4904" s="38" t="s">
        <v>5871</v>
      </c>
      <c r="G4904" s="38">
        <v>3.61744094696E11</v>
      </c>
      <c r="H4904" s="38" t="s">
        <v>5872</v>
      </c>
      <c r="I4904" s="38" t="s">
        <v>5873</v>
      </c>
      <c r="J4904" s="38" t="s">
        <v>132</v>
      </c>
      <c r="K4904" s="38" t="s">
        <v>126</v>
      </c>
      <c r="L4904" s="41">
        <v>46007.166666666664</v>
      </c>
      <c r="M4904" s="38" t="s">
        <v>123</v>
      </c>
      <c r="N4904" s="41">
        <v>46007.208333333336</v>
      </c>
      <c r="O4904" s="38" t="s">
        <v>123</v>
      </c>
      <c r="P4904" s="38">
        <v>3600.0</v>
      </c>
      <c r="Q4904" s="39"/>
      <c r="R4904" s="39"/>
      <c r="S4904" s="39"/>
      <c r="T4904" s="39"/>
      <c r="U4904" s="39"/>
    </row>
    <row r="4905">
      <c r="A4905" s="40">
        <f t="shared" si="1"/>
        <v>46006</v>
      </c>
      <c r="B4905" s="37" t="str">
        <f t="array" ref="B4905">iferror(xlookup($I4905, 'IMPORT VHC Report'!$E:$E, 'IMPORT VHC Report'!$A:$C), )</f>
        <v/>
      </c>
      <c r="C4905" s="37"/>
      <c r="D4905" s="37"/>
      <c r="E4905" s="38" t="s">
        <v>5879</v>
      </c>
      <c r="F4905" s="38" t="s">
        <v>5871</v>
      </c>
      <c r="G4905" s="38">
        <v>3.61744094696E11</v>
      </c>
      <c r="H4905" s="38" t="s">
        <v>5872</v>
      </c>
      <c r="I4905" s="38" t="s">
        <v>5873</v>
      </c>
      <c r="J4905" s="38" t="s">
        <v>125</v>
      </c>
      <c r="K4905" s="38" t="s">
        <v>126</v>
      </c>
      <c r="L4905" s="41">
        <v>46007.916666666664</v>
      </c>
      <c r="M4905" s="38" t="s">
        <v>123</v>
      </c>
      <c r="N4905" s="41">
        <v>46007.927083333336</v>
      </c>
      <c r="O4905" s="38" t="s">
        <v>123</v>
      </c>
      <c r="P4905" s="38">
        <v>900.0</v>
      </c>
      <c r="Q4905" s="39"/>
      <c r="R4905" s="39"/>
      <c r="S4905" s="38" t="s">
        <v>199</v>
      </c>
      <c r="T4905" s="39"/>
      <c r="U4905" s="39"/>
    </row>
    <row r="4906">
      <c r="A4906" s="40">
        <f t="shared" si="1"/>
        <v>46006</v>
      </c>
      <c r="B4906" s="37" t="str">
        <f t="array" ref="B4906">iferror(xlookup($I4906, 'IMPORT VHC Report'!$E:$E, 'IMPORT VHC Report'!$A:$C), )</f>
        <v/>
      </c>
      <c r="C4906" s="37"/>
      <c r="D4906" s="37"/>
      <c r="E4906" s="38" t="s">
        <v>5880</v>
      </c>
      <c r="F4906" s="38" t="s">
        <v>5871</v>
      </c>
      <c r="G4906" s="38">
        <v>3.61744094696E11</v>
      </c>
      <c r="H4906" s="38" t="s">
        <v>5872</v>
      </c>
      <c r="I4906" s="38" t="s">
        <v>5873</v>
      </c>
      <c r="J4906" s="38" t="s">
        <v>196</v>
      </c>
      <c r="K4906" s="38" t="s">
        <v>63</v>
      </c>
      <c r="L4906" s="41">
        <v>46007.916666666664</v>
      </c>
      <c r="M4906" s="38" t="s">
        <v>123</v>
      </c>
      <c r="N4906" s="41">
        <v>46008.291666666664</v>
      </c>
      <c r="O4906" s="38" t="s">
        <v>123</v>
      </c>
      <c r="P4906" s="38">
        <v>32400.0</v>
      </c>
      <c r="Q4906" s="39"/>
      <c r="R4906" s="39"/>
      <c r="S4906" s="39"/>
      <c r="T4906" s="39"/>
      <c r="U4906" s="39"/>
    </row>
    <row r="4907">
      <c r="A4907" s="40">
        <f t="shared" si="1"/>
        <v>46006</v>
      </c>
      <c r="B4907" s="37" t="str">
        <f t="array" ref="B4907">iferror(xlookup($I4907, 'IMPORT VHC Report'!$E:$E, 'IMPORT VHC Report'!$A:$C), )</f>
        <v/>
      </c>
      <c r="C4907" s="37"/>
      <c r="D4907" s="37"/>
      <c r="E4907" s="38" t="s">
        <v>5881</v>
      </c>
      <c r="F4907" s="38" t="s">
        <v>5871</v>
      </c>
      <c r="G4907" s="38">
        <v>3.61744094696E11</v>
      </c>
      <c r="H4907" s="38" t="s">
        <v>5872</v>
      </c>
      <c r="I4907" s="38" t="s">
        <v>5873</v>
      </c>
      <c r="J4907" s="38" t="s">
        <v>132</v>
      </c>
      <c r="K4907" s="38" t="s">
        <v>126</v>
      </c>
      <c r="L4907" s="41">
        <v>46008.052083333336</v>
      </c>
      <c r="M4907" s="38" t="s">
        <v>123</v>
      </c>
      <c r="N4907" s="41">
        <v>46008.09375</v>
      </c>
      <c r="O4907" s="38" t="s">
        <v>123</v>
      </c>
      <c r="P4907" s="38">
        <v>3600.0</v>
      </c>
      <c r="Q4907" s="39"/>
      <c r="R4907" s="39"/>
      <c r="S4907" s="39"/>
      <c r="T4907" s="39"/>
      <c r="U4907" s="39"/>
    </row>
    <row r="4908">
      <c r="A4908" s="40">
        <f t="shared" si="1"/>
        <v>46006</v>
      </c>
      <c r="B4908" s="37" t="str">
        <f t="array" ref="B4908">iferror(xlookup($I4908, 'IMPORT VHC Report'!$E:$E, 'IMPORT VHC Report'!$A:$C), )</f>
        <v/>
      </c>
      <c r="C4908" s="37"/>
      <c r="D4908" s="37"/>
      <c r="E4908" s="38" t="s">
        <v>5882</v>
      </c>
      <c r="F4908" s="38" t="s">
        <v>5871</v>
      </c>
      <c r="G4908" s="38">
        <v>3.61744094696E11</v>
      </c>
      <c r="H4908" s="38" t="s">
        <v>5872</v>
      </c>
      <c r="I4908" s="38" t="s">
        <v>5873</v>
      </c>
      <c r="J4908" s="38" t="s">
        <v>134</v>
      </c>
      <c r="K4908" s="38" t="s">
        <v>126</v>
      </c>
      <c r="L4908" s="41">
        <v>46008.197916666664</v>
      </c>
      <c r="M4908" s="38" t="s">
        <v>123</v>
      </c>
      <c r="N4908" s="41">
        <v>46008.21875</v>
      </c>
      <c r="O4908" s="38" t="s">
        <v>123</v>
      </c>
      <c r="P4908" s="38">
        <v>1800.0</v>
      </c>
      <c r="Q4908" s="39"/>
      <c r="R4908" s="39"/>
      <c r="S4908" s="39"/>
      <c r="T4908" s="39"/>
      <c r="U4908" s="39"/>
    </row>
    <row r="4909">
      <c r="A4909" s="40">
        <f t="shared" si="1"/>
        <v>46006</v>
      </c>
      <c r="B4909" s="37" t="str">
        <f t="array" ref="B4909">iferror(xlookup($I4909, 'IMPORT VHC Report'!$E:$E, 'IMPORT VHC Report'!$A:$C), )</f>
        <v/>
      </c>
      <c r="C4909" s="37"/>
      <c r="D4909" s="37"/>
      <c r="E4909" s="38" t="s">
        <v>5883</v>
      </c>
      <c r="F4909" s="38" t="s">
        <v>5871</v>
      </c>
      <c r="G4909" s="38">
        <v>3.61744094696E11</v>
      </c>
      <c r="H4909" s="38" t="s">
        <v>5872</v>
      </c>
      <c r="I4909" s="38" t="s">
        <v>5873</v>
      </c>
      <c r="J4909" s="38" t="s">
        <v>125</v>
      </c>
      <c r="K4909" s="38" t="s">
        <v>126</v>
      </c>
      <c r="L4909" s="41">
        <v>46008.916666666664</v>
      </c>
      <c r="M4909" s="38" t="s">
        <v>123</v>
      </c>
      <c r="N4909" s="41">
        <v>46008.927083333336</v>
      </c>
      <c r="O4909" s="38" t="s">
        <v>123</v>
      </c>
      <c r="P4909" s="38">
        <v>900.0</v>
      </c>
      <c r="Q4909" s="39"/>
      <c r="R4909" s="39"/>
      <c r="S4909" s="38" t="s">
        <v>199</v>
      </c>
      <c r="T4909" s="39"/>
      <c r="U4909" s="39"/>
    </row>
    <row r="4910">
      <c r="A4910" s="40">
        <f t="shared" si="1"/>
        <v>46006</v>
      </c>
      <c r="B4910" s="37" t="str">
        <f t="array" ref="B4910">iferror(xlookup($I4910, 'IMPORT VHC Report'!$E:$E, 'IMPORT VHC Report'!$A:$C), )</f>
        <v/>
      </c>
      <c r="C4910" s="37"/>
      <c r="D4910" s="37"/>
      <c r="E4910" s="38" t="s">
        <v>5884</v>
      </c>
      <c r="F4910" s="38" t="s">
        <v>5871</v>
      </c>
      <c r="G4910" s="38">
        <v>3.61744094696E11</v>
      </c>
      <c r="H4910" s="38" t="s">
        <v>5872</v>
      </c>
      <c r="I4910" s="38" t="s">
        <v>5873</v>
      </c>
      <c r="J4910" s="38" t="s">
        <v>196</v>
      </c>
      <c r="K4910" s="38" t="s">
        <v>63</v>
      </c>
      <c r="L4910" s="41">
        <v>46008.916666666664</v>
      </c>
      <c r="M4910" s="38" t="s">
        <v>123</v>
      </c>
      <c r="N4910" s="41">
        <v>46009.291666666664</v>
      </c>
      <c r="O4910" s="38" t="s">
        <v>123</v>
      </c>
      <c r="P4910" s="38">
        <v>32400.0</v>
      </c>
      <c r="Q4910" s="39"/>
      <c r="R4910" s="39"/>
      <c r="S4910" s="39"/>
      <c r="T4910" s="39"/>
      <c r="U4910" s="39"/>
    </row>
    <row r="4911">
      <c r="A4911" s="40">
        <f t="shared" si="1"/>
        <v>46006</v>
      </c>
      <c r="B4911" s="37" t="str">
        <f t="array" ref="B4911">iferror(xlookup($I4911, 'IMPORT VHC Report'!$E:$E, 'IMPORT VHC Report'!$A:$C), )</f>
        <v/>
      </c>
      <c r="C4911" s="37"/>
      <c r="D4911" s="37"/>
      <c r="E4911" s="38" t="s">
        <v>5885</v>
      </c>
      <c r="F4911" s="38" t="s">
        <v>5871</v>
      </c>
      <c r="G4911" s="38">
        <v>3.61744094696E11</v>
      </c>
      <c r="H4911" s="38" t="s">
        <v>5872</v>
      </c>
      <c r="I4911" s="38" t="s">
        <v>5873</v>
      </c>
      <c r="J4911" s="38" t="s">
        <v>132</v>
      </c>
      <c r="K4911" s="38" t="s">
        <v>126</v>
      </c>
      <c r="L4911" s="41">
        <v>46009.041666666664</v>
      </c>
      <c r="M4911" s="38" t="s">
        <v>123</v>
      </c>
      <c r="N4911" s="41">
        <v>46009.083333333336</v>
      </c>
      <c r="O4911" s="38" t="s">
        <v>123</v>
      </c>
      <c r="P4911" s="38">
        <v>3600.0</v>
      </c>
      <c r="Q4911" s="39"/>
      <c r="R4911" s="39"/>
      <c r="S4911" s="39"/>
      <c r="T4911" s="39"/>
      <c r="U4911" s="39"/>
    </row>
    <row r="4912">
      <c r="A4912" s="40">
        <f t="shared" si="1"/>
        <v>46006</v>
      </c>
      <c r="B4912" s="37" t="str">
        <f t="array" ref="B4912">iferror(xlookup($I4912, 'IMPORT VHC Report'!$E:$E, 'IMPORT VHC Report'!$A:$C), )</f>
        <v/>
      </c>
      <c r="C4912" s="37"/>
      <c r="D4912" s="37"/>
      <c r="E4912" s="38" t="s">
        <v>5886</v>
      </c>
      <c r="F4912" s="38" t="s">
        <v>5871</v>
      </c>
      <c r="G4912" s="38">
        <v>3.61744094696E11</v>
      </c>
      <c r="H4912" s="38" t="s">
        <v>5872</v>
      </c>
      <c r="I4912" s="38" t="s">
        <v>5873</v>
      </c>
      <c r="J4912" s="38" t="s">
        <v>134</v>
      </c>
      <c r="K4912" s="38" t="s">
        <v>126</v>
      </c>
      <c r="L4912" s="41">
        <v>46009.197916666664</v>
      </c>
      <c r="M4912" s="38" t="s">
        <v>123</v>
      </c>
      <c r="N4912" s="41">
        <v>46009.21875</v>
      </c>
      <c r="O4912" s="38" t="s">
        <v>123</v>
      </c>
      <c r="P4912" s="38">
        <v>1800.0</v>
      </c>
      <c r="Q4912" s="39"/>
      <c r="R4912" s="39"/>
      <c r="S4912" s="39"/>
      <c r="T4912" s="39"/>
      <c r="U4912" s="39"/>
    </row>
    <row r="4913">
      <c r="A4913" s="40">
        <f t="shared" si="1"/>
        <v>46006</v>
      </c>
      <c r="B4913" s="37" t="str">
        <f t="array" ref="B4913">iferror(xlookup($I4913, 'IMPORT VHC Report'!$E:$E, 'IMPORT VHC Report'!$A:$C), )</f>
        <v/>
      </c>
      <c r="C4913" s="37"/>
      <c r="D4913" s="37"/>
      <c r="E4913" s="38" t="s">
        <v>5887</v>
      </c>
      <c r="F4913" s="38" t="s">
        <v>5871</v>
      </c>
      <c r="G4913" s="38">
        <v>3.61744094696E11</v>
      </c>
      <c r="H4913" s="38" t="s">
        <v>5872</v>
      </c>
      <c r="I4913" s="38" t="s">
        <v>5873</v>
      </c>
      <c r="J4913" s="38" t="s">
        <v>4</v>
      </c>
      <c r="K4913" s="38" t="s">
        <v>126</v>
      </c>
      <c r="L4913" s="41">
        <v>46009.21875</v>
      </c>
      <c r="M4913" s="38" t="s">
        <v>123</v>
      </c>
      <c r="N4913" s="41">
        <v>46009.260416666664</v>
      </c>
      <c r="O4913" s="38" t="s">
        <v>123</v>
      </c>
      <c r="P4913" s="38">
        <v>3600.0</v>
      </c>
      <c r="Q4913" s="39"/>
      <c r="R4913" s="39"/>
      <c r="S4913" s="38" t="s">
        <v>858</v>
      </c>
      <c r="T4913" s="39"/>
      <c r="U4913" s="39"/>
    </row>
    <row r="4914">
      <c r="A4914" s="40">
        <f t="shared" si="1"/>
        <v>46006</v>
      </c>
      <c r="B4914" s="37" t="str">
        <f t="array" ref="B4914">iferror(xlookup($I4914, 'IMPORT VHC Report'!$E:$E, 'IMPORT VHC Report'!$A:$C), )</f>
        <v/>
      </c>
      <c r="C4914" s="37"/>
      <c r="D4914" s="37"/>
      <c r="E4914" s="38" t="s">
        <v>5888</v>
      </c>
      <c r="F4914" s="38" t="s">
        <v>5871</v>
      </c>
      <c r="G4914" s="38">
        <v>3.61744094696E11</v>
      </c>
      <c r="H4914" s="38" t="s">
        <v>5872</v>
      </c>
      <c r="I4914" s="38" t="s">
        <v>5873</v>
      </c>
      <c r="J4914" s="38" t="s">
        <v>125</v>
      </c>
      <c r="K4914" s="38" t="s">
        <v>126</v>
      </c>
      <c r="L4914" s="41">
        <v>46009.916666666664</v>
      </c>
      <c r="M4914" s="38" t="s">
        <v>123</v>
      </c>
      <c r="N4914" s="41">
        <v>46009.927083333336</v>
      </c>
      <c r="O4914" s="38" t="s">
        <v>123</v>
      </c>
      <c r="P4914" s="38">
        <v>900.0</v>
      </c>
      <c r="Q4914" s="39"/>
      <c r="R4914" s="39"/>
      <c r="S4914" s="38" t="s">
        <v>199</v>
      </c>
      <c r="T4914" s="39"/>
      <c r="U4914" s="39"/>
    </row>
    <row r="4915">
      <c r="A4915" s="40">
        <f t="shared" si="1"/>
        <v>46006</v>
      </c>
      <c r="B4915" s="37" t="str">
        <f t="array" ref="B4915">iferror(xlookup($I4915, 'IMPORT VHC Report'!$E:$E, 'IMPORT VHC Report'!$A:$C), )</f>
        <v/>
      </c>
      <c r="C4915" s="37"/>
      <c r="D4915" s="37"/>
      <c r="E4915" s="38" t="s">
        <v>5889</v>
      </c>
      <c r="F4915" s="38" t="s">
        <v>5871</v>
      </c>
      <c r="G4915" s="38">
        <v>3.61744094696E11</v>
      </c>
      <c r="H4915" s="38" t="s">
        <v>5872</v>
      </c>
      <c r="I4915" s="38" t="s">
        <v>5873</v>
      </c>
      <c r="J4915" s="38" t="s">
        <v>196</v>
      </c>
      <c r="K4915" s="38" t="s">
        <v>63</v>
      </c>
      <c r="L4915" s="41">
        <v>46009.916666666664</v>
      </c>
      <c r="M4915" s="38" t="s">
        <v>123</v>
      </c>
      <c r="N4915" s="41">
        <v>46010.291666666664</v>
      </c>
      <c r="O4915" s="38" t="s">
        <v>123</v>
      </c>
      <c r="P4915" s="38">
        <v>32400.0</v>
      </c>
      <c r="Q4915" s="39"/>
      <c r="R4915" s="39"/>
      <c r="S4915" s="39"/>
      <c r="T4915" s="39"/>
      <c r="U4915" s="39"/>
    </row>
    <row r="4916">
      <c r="A4916" s="40">
        <f t="shared" si="1"/>
        <v>46006</v>
      </c>
      <c r="B4916" s="37" t="str">
        <f t="array" ref="B4916">iferror(xlookup($I4916, 'IMPORT VHC Report'!$E:$E, 'IMPORT VHC Report'!$A:$C), )</f>
        <v/>
      </c>
      <c r="C4916" s="37"/>
      <c r="D4916" s="37"/>
      <c r="E4916" s="38" t="s">
        <v>5890</v>
      </c>
      <c r="F4916" s="38" t="s">
        <v>5871</v>
      </c>
      <c r="G4916" s="38">
        <v>3.61744094696E11</v>
      </c>
      <c r="H4916" s="38" t="s">
        <v>5872</v>
      </c>
      <c r="I4916" s="38" t="s">
        <v>5873</v>
      </c>
      <c r="J4916" s="38" t="s">
        <v>132</v>
      </c>
      <c r="K4916" s="38" t="s">
        <v>126</v>
      </c>
      <c r="L4916" s="41">
        <v>46010.041666666664</v>
      </c>
      <c r="M4916" s="38" t="s">
        <v>123</v>
      </c>
      <c r="N4916" s="41">
        <v>46010.083333333336</v>
      </c>
      <c r="O4916" s="38" t="s">
        <v>123</v>
      </c>
      <c r="P4916" s="38">
        <v>3600.0</v>
      </c>
      <c r="Q4916" s="39"/>
      <c r="R4916" s="39"/>
      <c r="S4916" s="39"/>
      <c r="T4916" s="39"/>
      <c r="U4916" s="39"/>
    </row>
    <row r="4917">
      <c r="A4917" s="40">
        <f t="shared" si="1"/>
        <v>46006</v>
      </c>
      <c r="B4917" s="37" t="str">
        <f t="array" ref="B4917">iferror(xlookup($I4917, 'IMPORT VHC Report'!$E:$E, 'IMPORT VHC Report'!$A:$C), )</f>
        <v/>
      </c>
      <c r="C4917" s="37"/>
      <c r="D4917" s="37"/>
      <c r="E4917" s="38" t="s">
        <v>5891</v>
      </c>
      <c r="F4917" s="38" t="s">
        <v>5871</v>
      </c>
      <c r="G4917" s="38">
        <v>3.61744094696E11</v>
      </c>
      <c r="H4917" s="38" t="s">
        <v>5872</v>
      </c>
      <c r="I4917" s="38" t="s">
        <v>5873</v>
      </c>
      <c r="J4917" s="38" t="s">
        <v>134</v>
      </c>
      <c r="K4917" s="38" t="s">
        <v>126</v>
      </c>
      <c r="L4917" s="41">
        <v>46010.197916666664</v>
      </c>
      <c r="M4917" s="38" t="s">
        <v>123</v>
      </c>
      <c r="N4917" s="41">
        <v>46010.21875</v>
      </c>
      <c r="O4917" s="38" t="s">
        <v>123</v>
      </c>
      <c r="P4917" s="38">
        <v>1800.0</v>
      </c>
      <c r="Q4917" s="39"/>
      <c r="R4917" s="39"/>
      <c r="S4917" s="39"/>
      <c r="T4917" s="39"/>
      <c r="U4917" s="39"/>
    </row>
    <row r="4918">
      <c r="A4918" s="40">
        <f t="shared" si="1"/>
        <v>46006</v>
      </c>
      <c r="B4918" s="37" t="str">
        <f t="array" ref="B4918">iferror(xlookup($I4918, 'IMPORT VHC Report'!$E:$E, 'IMPORT VHC Report'!$A:$C), )</f>
        <v/>
      </c>
      <c r="C4918" s="37"/>
      <c r="D4918" s="37"/>
      <c r="E4918" s="38" t="s">
        <v>5892</v>
      </c>
      <c r="F4918" s="38" t="s">
        <v>5871</v>
      </c>
      <c r="G4918" s="38">
        <v>3.61744094696E11</v>
      </c>
      <c r="H4918" s="38" t="s">
        <v>5872</v>
      </c>
      <c r="I4918" s="38" t="s">
        <v>5873</v>
      </c>
      <c r="J4918" s="38" t="s">
        <v>125</v>
      </c>
      <c r="K4918" s="38" t="s">
        <v>126</v>
      </c>
      <c r="L4918" s="41">
        <v>46010.916666666664</v>
      </c>
      <c r="M4918" s="38" t="s">
        <v>123</v>
      </c>
      <c r="N4918" s="41">
        <v>46010.927083333336</v>
      </c>
      <c r="O4918" s="38" t="s">
        <v>123</v>
      </c>
      <c r="P4918" s="38">
        <v>900.0</v>
      </c>
      <c r="Q4918" s="39"/>
      <c r="R4918" s="39"/>
      <c r="S4918" s="38" t="s">
        <v>199</v>
      </c>
      <c r="T4918" s="39"/>
      <c r="U4918" s="39"/>
    </row>
    <row r="4919">
      <c r="A4919" s="40">
        <f t="shared" si="1"/>
        <v>46006</v>
      </c>
      <c r="B4919" s="37" t="str">
        <f t="array" ref="B4919">iferror(xlookup($I4919, 'IMPORT VHC Report'!$E:$E, 'IMPORT VHC Report'!$A:$C), )</f>
        <v/>
      </c>
      <c r="C4919" s="37"/>
      <c r="D4919" s="37"/>
      <c r="E4919" s="38" t="s">
        <v>5893</v>
      </c>
      <c r="F4919" s="38" t="s">
        <v>5871</v>
      </c>
      <c r="G4919" s="38">
        <v>3.61744094696E11</v>
      </c>
      <c r="H4919" s="38" t="s">
        <v>5872</v>
      </c>
      <c r="I4919" s="38" t="s">
        <v>5873</v>
      </c>
      <c r="J4919" s="38" t="s">
        <v>196</v>
      </c>
      <c r="K4919" s="38" t="s">
        <v>63</v>
      </c>
      <c r="L4919" s="41">
        <v>46010.916666666664</v>
      </c>
      <c r="M4919" s="38" t="s">
        <v>123</v>
      </c>
      <c r="N4919" s="41">
        <v>46011.291666666664</v>
      </c>
      <c r="O4919" s="38" t="s">
        <v>123</v>
      </c>
      <c r="P4919" s="38">
        <v>32400.0</v>
      </c>
      <c r="Q4919" s="39"/>
      <c r="R4919" s="39"/>
      <c r="S4919" s="39"/>
      <c r="T4919" s="39"/>
      <c r="U4919" s="39"/>
    </row>
    <row r="4920">
      <c r="A4920" s="40">
        <f t="shared" si="1"/>
        <v>46006</v>
      </c>
      <c r="B4920" s="37" t="str">
        <f t="array" ref="B4920">iferror(xlookup($I4920, 'IMPORT VHC Report'!$E:$E, 'IMPORT VHC Report'!$A:$C), )</f>
        <v/>
      </c>
      <c r="C4920" s="37"/>
      <c r="D4920" s="37"/>
      <c r="E4920" s="38" t="s">
        <v>5894</v>
      </c>
      <c r="F4920" s="38" t="s">
        <v>5871</v>
      </c>
      <c r="G4920" s="38">
        <v>3.61744094696E11</v>
      </c>
      <c r="H4920" s="38" t="s">
        <v>5872</v>
      </c>
      <c r="I4920" s="38" t="s">
        <v>5873</v>
      </c>
      <c r="J4920" s="38" t="s">
        <v>134</v>
      </c>
      <c r="K4920" s="38" t="s">
        <v>126</v>
      </c>
      <c r="L4920" s="41">
        <v>46011.020833333336</v>
      </c>
      <c r="M4920" s="38" t="s">
        <v>123</v>
      </c>
      <c r="N4920" s="41">
        <v>46011.041666666664</v>
      </c>
      <c r="O4920" s="38" t="s">
        <v>123</v>
      </c>
      <c r="P4920" s="38">
        <v>1800.0</v>
      </c>
      <c r="Q4920" s="39"/>
      <c r="R4920" s="39"/>
      <c r="S4920" s="39"/>
      <c r="T4920" s="39"/>
      <c r="U4920" s="39"/>
    </row>
    <row r="4921">
      <c r="A4921" s="40">
        <f t="shared" si="1"/>
        <v>46006</v>
      </c>
      <c r="B4921" s="37" t="str">
        <f t="array" ref="B4921">iferror(xlookup($I4921, 'IMPORT VHC Report'!$E:$E, 'IMPORT VHC Report'!$A:$C), )</f>
        <v/>
      </c>
      <c r="C4921" s="37"/>
      <c r="D4921" s="37"/>
      <c r="E4921" s="38" t="s">
        <v>5895</v>
      </c>
      <c r="F4921" s="38" t="s">
        <v>5871</v>
      </c>
      <c r="G4921" s="38">
        <v>3.61744094696E11</v>
      </c>
      <c r="H4921" s="38" t="s">
        <v>5872</v>
      </c>
      <c r="I4921" s="38" t="s">
        <v>5873</v>
      </c>
      <c r="J4921" s="38" t="s">
        <v>132</v>
      </c>
      <c r="K4921" s="38" t="s">
        <v>126</v>
      </c>
      <c r="L4921" s="41">
        <v>46011.135416666664</v>
      </c>
      <c r="M4921" s="38" t="s">
        <v>123</v>
      </c>
      <c r="N4921" s="41">
        <v>46011.177083333336</v>
      </c>
      <c r="O4921" s="38" t="s">
        <v>123</v>
      </c>
      <c r="P4921" s="38">
        <v>3600.0</v>
      </c>
      <c r="Q4921" s="39"/>
      <c r="R4921" s="39"/>
      <c r="S4921" s="39"/>
      <c r="T4921" s="39"/>
      <c r="U4921" s="39"/>
    </row>
    <row r="4922">
      <c r="A4922" s="40">
        <f t="shared" si="1"/>
        <v>46006</v>
      </c>
      <c r="B4922" s="37" t="str">
        <f t="array" ref="B4922">iferror(xlookup($I4922, 'IMPORT VHC Report'!$E:$E, 'IMPORT VHC Report'!$A:$C), )</f>
        <v/>
      </c>
      <c r="C4922" s="37"/>
      <c r="D4922" s="37"/>
      <c r="E4922" s="38" t="s">
        <v>5896</v>
      </c>
      <c r="F4922" s="38" t="s">
        <v>5897</v>
      </c>
      <c r="G4922" s="38">
        <v>7.437355919375E12</v>
      </c>
      <c r="H4922" s="38" t="s">
        <v>5898</v>
      </c>
      <c r="I4922" s="38" t="s">
        <v>5899</v>
      </c>
      <c r="J4922" s="38" t="s">
        <v>330</v>
      </c>
      <c r="K4922" s="38" t="s">
        <v>126</v>
      </c>
      <c r="L4922" s="41">
        <v>46006.916666666664</v>
      </c>
      <c r="M4922" s="38" t="s">
        <v>123</v>
      </c>
      <c r="N4922" s="41">
        <v>46006.927083333336</v>
      </c>
      <c r="O4922" s="38" t="s">
        <v>123</v>
      </c>
      <c r="P4922" s="38">
        <v>900.0</v>
      </c>
      <c r="Q4922" s="39"/>
      <c r="R4922" s="39"/>
      <c r="S4922" s="39"/>
      <c r="T4922" s="39"/>
      <c r="U4922" s="39"/>
    </row>
    <row r="4923">
      <c r="A4923" s="40">
        <f t="shared" si="1"/>
        <v>46006</v>
      </c>
      <c r="B4923" s="37" t="str">
        <f t="array" ref="B4923">iferror(xlookup($I4923, 'IMPORT VHC Report'!$E:$E, 'IMPORT VHC Report'!$A:$C), )</f>
        <v/>
      </c>
      <c r="C4923" s="37"/>
      <c r="D4923" s="37"/>
      <c r="E4923" s="38" t="s">
        <v>5900</v>
      </c>
      <c r="F4923" s="38" t="s">
        <v>5897</v>
      </c>
      <c r="G4923" s="38">
        <v>7.437355919375E12</v>
      </c>
      <c r="H4923" s="38" t="s">
        <v>5898</v>
      </c>
      <c r="I4923" s="38" t="s">
        <v>5899</v>
      </c>
      <c r="J4923" s="38" t="s">
        <v>224</v>
      </c>
      <c r="K4923" s="38" t="s">
        <v>63</v>
      </c>
      <c r="L4923" s="41">
        <v>46006.927083333336</v>
      </c>
      <c r="M4923" s="38" t="s">
        <v>123</v>
      </c>
      <c r="N4923" s="41">
        <v>46007.0</v>
      </c>
      <c r="O4923" s="38" t="s">
        <v>123</v>
      </c>
      <c r="P4923" s="38">
        <v>6300.0</v>
      </c>
      <c r="Q4923" s="39"/>
      <c r="R4923" s="39"/>
      <c r="S4923" s="39"/>
      <c r="T4923" s="39"/>
      <c r="U4923" s="39"/>
    </row>
    <row r="4924">
      <c r="A4924" s="40">
        <f t="shared" si="1"/>
        <v>46006</v>
      </c>
      <c r="B4924" s="37" t="str">
        <f t="array" ref="B4924">iferror(xlookup($I4924, 'IMPORT VHC Report'!$E:$E, 'IMPORT VHC Report'!$A:$C), )</f>
        <v/>
      </c>
      <c r="C4924" s="37"/>
      <c r="D4924" s="37"/>
      <c r="E4924" s="38" t="s">
        <v>5901</v>
      </c>
      <c r="F4924" s="38" t="s">
        <v>5897</v>
      </c>
      <c r="G4924" s="38">
        <v>7.437355919375E12</v>
      </c>
      <c r="H4924" s="38" t="s">
        <v>5898</v>
      </c>
      <c r="I4924" s="38" t="s">
        <v>5899</v>
      </c>
      <c r="J4924" s="38" t="s">
        <v>134</v>
      </c>
      <c r="K4924" s="38" t="s">
        <v>126</v>
      </c>
      <c r="L4924" s="41">
        <v>46007.0</v>
      </c>
      <c r="M4924" s="38" t="s">
        <v>123</v>
      </c>
      <c r="N4924" s="41">
        <v>46007.010416666664</v>
      </c>
      <c r="O4924" s="38" t="s">
        <v>123</v>
      </c>
      <c r="P4924" s="38">
        <v>900.0</v>
      </c>
      <c r="Q4924" s="39"/>
      <c r="R4924" s="39"/>
      <c r="S4924" s="39"/>
      <c r="T4924" s="39"/>
      <c r="U4924" s="39"/>
    </row>
    <row r="4925">
      <c r="A4925" s="40">
        <f t="shared" si="1"/>
        <v>46006</v>
      </c>
      <c r="B4925" s="37" t="str">
        <f t="array" ref="B4925">iferror(xlookup($I4925, 'IMPORT VHC Report'!$E:$E, 'IMPORT VHC Report'!$A:$C), )</f>
        <v/>
      </c>
      <c r="C4925" s="37"/>
      <c r="D4925" s="37"/>
      <c r="E4925" s="38" t="s">
        <v>5902</v>
      </c>
      <c r="F4925" s="38" t="s">
        <v>5897</v>
      </c>
      <c r="G4925" s="38">
        <v>7.437355919375E12</v>
      </c>
      <c r="H4925" s="38" t="s">
        <v>5898</v>
      </c>
      <c r="I4925" s="38" t="s">
        <v>5899</v>
      </c>
      <c r="J4925" s="38" t="s">
        <v>224</v>
      </c>
      <c r="K4925" s="38" t="s">
        <v>63</v>
      </c>
      <c r="L4925" s="41">
        <v>46007.010416666664</v>
      </c>
      <c r="M4925" s="38" t="s">
        <v>123</v>
      </c>
      <c r="N4925" s="41">
        <v>46007.072916666664</v>
      </c>
      <c r="O4925" s="38" t="s">
        <v>123</v>
      </c>
      <c r="P4925" s="38">
        <v>5400.0</v>
      </c>
      <c r="Q4925" s="39"/>
      <c r="R4925" s="39"/>
      <c r="S4925" s="39"/>
      <c r="T4925" s="39"/>
      <c r="U4925" s="39"/>
    </row>
    <row r="4926">
      <c r="A4926" s="40">
        <f t="shared" si="1"/>
        <v>46006</v>
      </c>
      <c r="B4926" s="37" t="str">
        <f t="array" ref="B4926">iferror(xlookup($I4926, 'IMPORT VHC Report'!$E:$E, 'IMPORT VHC Report'!$A:$C), )</f>
        <v/>
      </c>
      <c r="C4926" s="37"/>
      <c r="D4926" s="37"/>
      <c r="E4926" s="38" t="s">
        <v>5903</v>
      </c>
      <c r="F4926" s="38" t="s">
        <v>5897</v>
      </c>
      <c r="G4926" s="38">
        <v>7.437355919375E12</v>
      </c>
      <c r="H4926" s="38" t="s">
        <v>5898</v>
      </c>
      <c r="I4926" s="38" t="s">
        <v>5899</v>
      </c>
      <c r="J4926" s="38" t="s">
        <v>132</v>
      </c>
      <c r="K4926" s="38" t="s">
        <v>126</v>
      </c>
      <c r="L4926" s="41">
        <v>46007.072916666664</v>
      </c>
      <c r="M4926" s="38" t="s">
        <v>123</v>
      </c>
      <c r="N4926" s="41">
        <v>46007.114583333336</v>
      </c>
      <c r="O4926" s="38" t="s">
        <v>123</v>
      </c>
      <c r="P4926" s="38">
        <v>3600.0</v>
      </c>
      <c r="Q4926" s="39"/>
      <c r="R4926" s="39"/>
      <c r="S4926" s="39"/>
      <c r="T4926" s="39"/>
      <c r="U4926" s="39"/>
    </row>
    <row r="4927">
      <c r="A4927" s="40">
        <f t="shared" si="1"/>
        <v>46006</v>
      </c>
      <c r="B4927" s="37" t="str">
        <f t="array" ref="B4927">iferror(xlookup($I4927, 'IMPORT VHC Report'!$E:$E, 'IMPORT VHC Report'!$A:$C), )</f>
        <v/>
      </c>
      <c r="C4927" s="37"/>
      <c r="D4927" s="37"/>
      <c r="E4927" s="38" t="s">
        <v>5904</v>
      </c>
      <c r="F4927" s="38" t="s">
        <v>5897</v>
      </c>
      <c r="G4927" s="38">
        <v>7.437355919375E12</v>
      </c>
      <c r="H4927" s="38" t="s">
        <v>5898</v>
      </c>
      <c r="I4927" s="38" t="s">
        <v>5899</v>
      </c>
      <c r="J4927" s="38" t="s">
        <v>224</v>
      </c>
      <c r="K4927" s="38" t="s">
        <v>63</v>
      </c>
      <c r="L4927" s="41">
        <v>46007.114583333336</v>
      </c>
      <c r="M4927" s="38" t="s">
        <v>123</v>
      </c>
      <c r="N4927" s="41">
        <v>46007.177083333336</v>
      </c>
      <c r="O4927" s="38" t="s">
        <v>123</v>
      </c>
      <c r="P4927" s="38">
        <v>5400.0</v>
      </c>
      <c r="Q4927" s="39"/>
      <c r="R4927" s="39"/>
      <c r="S4927" s="39"/>
      <c r="T4927" s="39"/>
      <c r="U4927" s="39"/>
    </row>
    <row r="4928">
      <c r="A4928" s="40">
        <f t="shared" si="1"/>
        <v>46006</v>
      </c>
      <c r="B4928" s="37" t="str">
        <f t="array" ref="B4928">iferror(xlookup($I4928, 'IMPORT VHC Report'!$E:$E, 'IMPORT VHC Report'!$A:$C), )</f>
        <v/>
      </c>
      <c r="C4928" s="37"/>
      <c r="D4928" s="37"/>
      <c r="E4928" s="38" t="s">
        <v>5905</v>
      </c>
      <c r="F4928" s="38" t="s">
        <v>5897</v>
      </c>
      <c r="G4928" s="38">
        <v>7.437355919375E12</v>
      </c>
      <c r="H4928" s="38" t="s">
        <v>5898</v>
      </c>
      <c r="I4928" s="38" t="s">
        <v>5899</v>
      </c>
      <c r="J4928" s="38" t="s">
        <v>134</v>
      </c>
      <c r="K4928" s="38" t="s">
        <v>126</v>
      </c>
      <c r="L4928" s="41">
        <v>46007.177083333336</v>
      </c>
      <c r="M4928" s="38" t="s">
        <v>123</v>
      </c>
      <c r="N4928" s="41">
        <v>46007.1875</v>
      </c>
      <c r="O4928" s="38" t="s">
        <v>123</v>
      </c>
      <c r="P4928" s="38">
        <v>900.0</v>
      </c>
      <c r="Q4928" s="39"/>
      <c r="R4928" s="39"/>
      <c r="S4928" s="39"/>
      <c r="T4928" s="39"/>
      <c r="U4928" s="39"/>
    </row>
    <row r="4929">
      <c r="A4929" s="40">
        <f t="shared" si="1"/>
        <v>46006</v>
      </c>
      <c r="B4929" s="37" t="str">
        <f t="array" ref="B4929">iferror(xlookup($I4929, 'IMPORT VHC Report'!$E:$E, 'IMPORT VHC Report'!$A:$C), )</f>
        <v/>
      </c>
      <c r="C4929" s="37"/>
      <c r="D4929" s="37"/>
      <c r="E4929" s="38" t="s">
        <v>5906</v>
      </c>
      <c r="F4929" s="38" t="s">
        <v>5897</v>
      </c>
      <c r="G4929" s="38">
        <v>7.437355919375E12</v>
      </c>
      <c r="H4929" s="38" t="s">
        <v>5898</v>
      </c>
      <c r="I4929" s="38" t="s">
        <v>5899</v>
      </c>
      <c r="J4929" s="38" t="s">
        <v>62</v>
      </c>
      <c r="K4929" s="38" t="s">
        <v>63</v>
      </c>
      <c r="L4929" s="41">
        <v>46007.1875</v>
      </c>
      <c r="M4929" s="38" t="s">
        <v>123</v>
      </c>
      <c r="N4929" s="41">
        <v>46007.208333333336</v>
      </c>
      <c r="O4929" s="38" t="s">
        <v>123</v>
      </c>
      <c r="P4929" s="38">
        <v>1800.0</v>
      </c>
      <c r="Q4929" s="39"/>
      <c r="R4929" s="39"/>
      <c r="S4929" s="39"/>
      <c r="T4929" s="39"/>
      <c r="U4929" s="39"/>
    </row>
    <row r="4930">
      <c r="A4930" s="40">
        <f t="shared" si="1"/>
        <v>46006</v>
      </c>
      <c r="B4930" s="37" t="str">
        <f t="array" ref="B4930">iferror(xlookup($I4930, 'IMPORT VHC Report'!$E:$E, 'IMPORT VHC Report'!$A:$C), )</f>
        <v/>
      </c>
      <c r="C4930" s="37"/>
      <c r="D4930" s="37"/>
      <c r="E4930" s="38" t="s">
        <v>5907</v>
      </c>
      <c r="F4930" s="38" t="s">
        <v>5897</v>
      </c>
      <c r="G4930" s="38">
        <v>7.437355919375E12</v>
      </c>
      <c r="H4930" s="38" t="s">
        <v>5898</v>
      </c>
      <c r="I4930" s="38" t="s">
        <v>5899</v>
      </c>
      <c r="J4930" s="38" t="s">
        <v>224</v>
      </c>
      <c r="K4930" s="38" t="s">
        <v>63</v>
      </c>
      <c r="L4930" s="41">
        <v>46007.208333333336</v>
      </c>
      <c r="M4930" s="38" t="s">
        <v>123</v>
      </c>
      <c r="N4930" s="41">
        <v>46007.270833333336</v>
      </c>
      <c r="O4930" s="38" t="s">
        <v>123</v>
      </c>
      <c r="P4930" s="38">
        <v>5400.0</v>
      </c>
      <c r="Q4930" s="39"/>
      <c r="R4930" s="39"/>
      <c r="S4930" s="39"/>
      <c r="T4930" s="39"/>
      <c r="U4930" s="39"/>
    </row>
    <row r="4931">
      <c r="A4931" s="40">
        <f t="shared" si="1"/>
        <v>46006</v>
      </c>
      <c r="B4931" s="37" t="str">
        <f t="array" ref="B4931">iferror(xlookup($I4931, 'IMPORT VHC Report'!$E:$E, 'IMPORT VHC Report'!$A:$C), )</f>
        <v/>
      </c>
      <c r="C4931" s="37"/>
      <c r="D4931" s="37"/>
      <c r="E4931" s="38" t="s">
        <v>5908</v>
      </c>
      <c r="F4931" s="38" t="s">
        <v>5897</v>
      </c>
      <c r="G4931" s="38">
        <v>7.437355919375E12</v>
      </c>
      <c r="H4931" s="38" t="s">
        <v>5898</v>
      </c>
      <c r="I4931" s="38" t="s">
        <v>5899</v>
      </c>
      <c r="J4931" s="38" t="s">
        <v>136</v>
      </c>
      <c r="K4931" s="38" t="s">
        <v>126</v>
      </c>
      <c r="L4931" s="41">
        <v>46007.270833333336</v>
      </c>
      <c r="M4931" s="38" t="s">
        <v>123</v>
      </c>
      <c r="N4931" s="41">
        <v>46007.291666666664</v>
      </c>
      <c r="O4931" s="38" t="s">
        <v>123</v>
      </c>
      <c r="P4931" s="38">
        <v>1800.0</v>
      </c>
      <c r="Q4931" s="39"/>
      <c r="R4931" s="39"/>
      <c r="S4931" s="38" t="s">
        <v>137</v>
      </c>
      <c r="T4931" s="39"/>
      <c r="U4931" s="39"/>
    </row>
    <row r="4932">
      <c r="A4932" s="40">
        <f t="shared" si="1"/>
        <v>46006</v>
      </c>
      <c r="B4932" s="37" t="str">
        <f t="array" ref="B4932">iferror(xlookup($I4932, 'IMPORT VHC Report'!$E:$E, 'IMPORT VHC Report'!$A:$C), )</f>
        <v/>
      </c>
      <c r="C4932" s="37"/>
      <c r="D4932" s="37"/>
      <c r="E4932" s="38" t="s">
        <v>5909</v>
      </c>
      <c r="F4932" s="38" t="s">
        <v>5897</v>
      </c>
      <c r="G4932" s="38">
        <v>7.437355919375E12</v>
      </c>
      <c r="H4932" s="38" t="s">
        <v>5898</v>
      </c>
      <c r="I4932" s="38" t="s">
        <v>5899</v>
      </c>
      <c r="J4932" s="38" t="s">
        <v>224</v>
      </c>
      <c r="K4932" s="38" t="s">
        <v>63</v>
      </c>
      <c r="L4932" s="41">
        <v>46007.916666666664</v>
      </c>
      <c r="M4932" s="38" t="s">
        <v>123</v>
      </c>
      <c r="N4932" s="41">
        <v>46008.03125</v>
      </c>
      <c r="O4932" s="38" t="s">
        <v>123</v>
      </c>
      <c r="P4932" s="38">
        <v>9900.0</v>
      </c>
      <c r="Q4932" s="39"/>
      <c r="R4932" s="39"/>
      <c r="S4932" s="39"/>
      <c r="T4932" s="39"/>
      <c r="U4932" s="39"/>
    </row>
    <row r="4933">
      <c r="A4933" s="40">
        <f t="shared" si="1"/>
        <v>46006</v>
      </c>
      <c r="B4933" s="37" t="str">
        <f t="array" ref="B4933">iferror(xlookup($I4933, 'IMPORT VHC Report'!$E:$E, 'IMPORT VHC Report'!$A:$C), )</f>
        <v/>
      </c>
      <c r="C4933" s="37"/>
      <c r="D4933" s="37"/>
      <c r="E4933" s="38" t="s">
        <v>5910</v>
      </c>
      <c r="F4933" s="38" t="s">
        <v>5897</v>
      </c>
      <c r="G4933" s="38">
        <v>7.437355919375E12</v>
      </c>
      <c r="H4933" s="38" t="s">
        <v>5898</v>
      </c>
      <c r="I4933" s="38" t="s">
        <v>5899</v>
      </c>
      <c r="J4933" s="38" t="s">
        <v>132</v>
      </c>
      <c r="K4933" s="38" t="s">
        <v>126</v>
      </c>
      <c r="L4933" s="41">
        <v>46008.03125</v>
      </c>
      <c r="M4933" s="38" t="s">
        <v>123</v>
      </c>
      <c r="N4933" s="41">
        <v>46008.072916666664</v>
      </c>
      <c r="O4933" s="38" t="s">
        <v>123</v>
      </c>
      <c r="P4933" s="38">
        <v>3600.0</v>
      </c>
      <c r="Q4933" s="39"/>
      <c r="R4933" s="39"/>
      <c r="S4933" s="39"/>
      <c r="T4933" s="39"/>
      <c r="U4933" s="39"/>
    </row>
    <row r="4934">
      <c r="A4934" s="40">
        <f t="shared" si="1"/>
        <v>46006</v>
      </c>
      <c r="B4934" s="37" t="str">
        <f t="array" ref="B4934">iferror(xlookup($I4934, 'IMPORT VHC Report'!$E:$E, 'IMPORT VHC Report'!$A:$C), )</f>
        <v/>
      </c>
      <c r="C4934" s="37"/>
      <c r="D4934" s="37"/>
      <c r="E4934" s="38" t="s">
        <v>5911</v>
      </c>
      <c r="F4934" s="38" t="s">
        <v>5897</v>
      </c>
      <c r="G4934" s="38">
        <v>7.437355919375E12</v>
      </c>
      <c r="H4934" s="38" t="s">
        <v>5898</v>
      </c>
      <c r="I4934" s="38" t="s">
        <v>5899</v>
      </c>
      <c r="J4934" s="38" t="s">
        <v>224</v>
      </c>
      <c r="K4934" s="38" t="s">
        <v>63</v>
      </c>
      <c r="L4934" s="41">
        <v>46008.072916666664</v>
      </c>
      <c r="M4934" s="38" t="s">
        <v>123</v>
      </c>
      <c r="N4934" s="41">
        <v>46008.145833333336</v>
      </c>
      <c r="O4934" s="38" t="s">
        <v>123</v>
      </c>
      <c r="P4934" s="38">
        <v>6300.0</v>
      </c>
      <c r="Q4934" s="39"/>
      <c r="R4934" s="39"/>
      <c r="S4934" s="39"/>
      <c r="T4934" s="39"/>
      <c r="U4934" s="39"/>
    </row>
    <row r="4935">
      <c r="A4935" s="40">
        <f t="shared" si="1"/>
        <v>46006</v>
      </c>
      <c r="B4935" s="37" t="str">
        <f t="array" ref="B4935">iferror(xlookup($I4935, 'IMPORT VHC Report'!$E:$E, 'IMPORT VHC Report'!$A:$C), )</f>
        <v/>
      </c>
      <c r="C4935" s="37"/>
      <c r="D4935" s="37"/>
      <c r="E4935" s="38" t="s">
        <v>5912</v>
      </c>
      <c r="F4935" s="38" t="s">
        <v>5897</v>
      </c>
      <c r="G4935" s="38">
        <v>7.437355919375E12</v>
      </c>
      <c r="H4935" s="38" t="s">
        <v>5898</v>
      </c>
      <c r="I4935" s="38" t="s">
        <v>5899</v>
      </c>
      <c r="J4935" s="38" t="s">
        <v>134</v>
      </c>
      <c r="K4935" s="38" t="s">
        <v>126</v>
      </c>
      <c r="L4935" s="41">
        <v>46008.145833333336</v>
      </c>
      <c r="M4935" s="38" t="s">
        <v>123</v>
      </c>
      <c r="N4935" s="41">
        <v>46008.15625</v>
      </c>
      <c r="O4935" s="38" t="s">
        <v>123</v>
      </c>
      <c r="P4935" s="38">
        <v>900.0</v>
      </c>
      <c r="Q4935" s="39"/>
      <c r="R4935" s="39"/>
      <c r="S4935" s="39"/>
      <c r="T4935" s="39"/>
      <c r="U4935" s="39"/>
    </row>
    <row r="4936">
      <c r="A4936" s="40">
        <f t="shared" si="1"/>
        <v>46006</v>
      </c>
      <c r="B4936" s="37" t="str">
        <f t="array" ref="B4936">iferror(xlookup($I4936, 'IMPORT VHC Report'!$E:$E, 'IMPORT VHC Report'!$A:$C), )</f>
        <v/>
      </c>
      <c r="C4936" s="37"/>
      <c r="D4936" s="37"/>
      <c r="E4936" s="38" t="s">
        <v>5913</v>
      </c>
      <c r="F4936" s="38" t="s">
        <v>5897</v>
      </c>
      <c r="G4936" s="38">
        <v>7.437355919375E12</v>
      </c>
      <c r="H4936" s="38" t="s">
        <v>5898</v>
      </c>
      <c r="I4936" s="38" t="s">
        <v>5899</v>
      </c>
      <c r="J4936" s="38" t="s">
        <v>224</v>
      </c>
      <c r="K4936" s="38" t="s">
        <v>63</v>
      </c>
      <c r="L4936" s="41">
        <v>46008.15625</v>
      </c>
      <c r="M4936" s="38" t="s">
        <v>123</v>
      </c>
      <c r="N4936" s="41">
        <v>46008.21875</v>
      </c>
      <c r="O4936" s="38" t="s">
        <v>123</v>
      </c>
      <c r="P4936" s="38">
        <v>5400.0</v>
      </c>
      <c r="Q4936" s="39"/>
      <c r="R4936" s="39"/>
      <c r="S4936" s="39"/>
      <c r="T4936" s="39"/>
      <c r="U4936" s="39"/>
    </row>
    <row r="4937">
      <c r="A4937" s="40">
        <f t="shared" si="1"/>
        <v>46006</v>
      </c>
      <c r="B4937" s="37" t="str">
        <f t="array" ref="B4937">iferror(xlookup($I4937, 'IMPORT VHC Report'!$E:$E, 'IMPORT VHC Report'!$A:$C), )</f>
        <v/>
      </c>
      <c r="C4937" s="37"/>
      <c r="D4937" s="37"/>
      <c r="E4937" s="38" t="s">
        <v>5914</v>
      </c>
      <c r="F4937" s="38" t="s">
        <v>5897</v>
      </c>
      <c r="G4937" s="38">
        <v>7.437355919375E12</v>
      </c>
      <c r="H4937" s="38" t="s">
        <v>5898</v>
      </c>
      <c r="I4937" s="38" t="s">
        <v>5899</v>
      </c>
      <c r="J4937" s="38" t="s">
        <v>134</v>
      </c>
      <c r="K4937" s="38" t="s">
        <v>126</v>
      </c>
      <c r="L4937" s="41">
        <v>46008.21875</v>
      </c>
      <c r="M4937" s="38" t="s">
        <v>123</v>
      </c>
      <c r="N4937" s="41">
        <v>46008.229166666664</v>
      </c>
      <c r="O4937" s="38" t="s">
        <v>123</v>
      </c>
      <c r="P4937" s="38">
        <v>900.0</v>
      </c>
      <c r="Q4937" s="39"/>
      <c r="R4937" s="39"/>
      <c r="S4937" s="39"/>
      <c r="T4937" s="39"/>
      <c r="U4937" s="39"/>
    </row>
    <row r="4938">
      <c r="A4938" s="40">
        <f t="shared" si="1"/>
        <v>46006</v>
      </c>
      <c r="B4938" s="37" t="str">
        <f t="array" ref="B4938">iferror(xlookup($I4938, 'IMPORT VHC Report'!$E:$E, 'IMPORT VHC Report'!$A:$C), )</f>
        <v/>
      </c>
      <c r="C4938" s="37"/>
      <c r="D4938" s="37"/>
      <c r="E4938" s="38" t="s">
        <v>5915</v>
      </c>
      <c r="F4938" s="38" t="s">
        <v>5897</v>
      </c>
      <c r="G4938" s="38">
        <v>7.437355919375E12</v>
      </c>
      <c r="H4938" s="38" t="s">
        <v>5898</v>
      </c>
      <c r="I4938" s="38" t="s">
        <v>5899</v>
      </c>
      <c r="J4938" s="38" t="s">
        <v>136</v>
      </c>
      <c r="K4938" s="38" t="s">
        <v>126</v>
      </c>
      <c r="L4938" s="41">
        <v>46008.229166666664</v>
      </c>
      <c r="M4938" s="38" t="s">
        <v>123</v>
      </c>
      <c r="N4938" s="41">
        <v>46008.239583333336</v>
      </c>
      <c r="O4938" s="38" t="s">
        <v>123</v>
      </c>
      <c r="P4938" s="38">
        <v>900.0</v>
      </c>
      <c r="Q4938" s="39"/>
      <c r="R4938" s="39"/>
      <c r="S4938" s="38" t="s">
        <v>778</v>
      </c>
      <c r="T4938" s="39"/>
      <c r="U4938" s="39"/>
    </row>
    <row r="4939">
      <c r="A4939" s="40">
        <f t="shared" si="1"/>
        <v>46006</v>
      </c>
      <c r="B4939" s="37" t="str">
        <f t="array" ref="B4939">iferror(xlookup($I4939, 'IMPORT VHC Report'!$E:$E, 'IMPORT VHC Report'!$A:$C), )</f>
        <v/>
      </c>
      <c r="C4939" s="37"/>
      <c r="D4939" s="37"/>
      <c r="E4939" s="38" t="s">
        <v>5916</v>
      </c>
      <c r="F4939" s="38" t="s">
        <v>5897</v>
      </c>
      <c r="G4939" s="38">
        <v>7.437355919375E12</v>
      </c>
      <c r="H4939" s="38" t="s">
        <v>5898</v>
      </c>
      <c r="I4939" s="38" t="s">
        <v>5899</v>
      </c>
      <c r="J4939" s="38" t="s">
        <v>224</v>
      </c>
      <c r="K4939" s="38" t="s">
        <v>63</v>
      </c>
      <c r="L4939" s="41">
        <v>46008.229166666664</v>
      </c>
      <c r="M4939" s="38" t="s">
        <v>123</v>
      </c>
      <c r="N4939" s="41">
        <v>46008.291666666664</v>
      </c>
      <c r="O4939" s="38" t="s">
        <v>123</v>
      </c>
      <c r="P4939" s="38">
        <v>5400.0</v>
      </c>
      <c r="Q4939" s="39"/>
      <c r="R4939" s="39"/>
      <c r="S4939" s="39"/>
      <c r="T4939" s="39"/>
      <c r="U4939" s="39"/>
    </row>
    <row r="4940">
      <c r="A4940" s="40">
        <f t="shared" si="1"/>
        <v>46006</v>
      </c>
      <c r="B4940" s="37" t="str">
        <f t="array" ref="B4940">iferror(xlookup($I4940, 'IMPORT VHC Report'!$E:$E, 'IMPORT VHC Report'!$A:$C), )</f>
        <v/>
      </c>
      <c r="C4940" s="37"/>
      <c r="D4940" s="37"/>
      <c r="E4940" s="38" t="s">
        <v>5917</v>
      </c>
      <c r="F4940" s="38" t="s">
        <v>5897</v>
      </c>
      <c r="G4940" s="38">
        <v>7.437355919375E12</v>
      </c>
      <c r="H4940" s="38" t="s">
        <v>5898</v>
      </c>
      <c r="I4940" s="38" t="s">
        <v>5899</v>
      </c>
      <c r="J4940" s="38" t="s">
        <v>224</v>
      </c>
      <c r="K4940" s="38" t="s">
        <v>63</v>
      </c>
      <c r="L4940" s="41">
        <v>46008.916666666664</v>
      </c>
      <c r="M4940" s="38" t="s">
        <v>123</v>
      </c>
      <c r="N4940" s="41">
        <v>46009.0</v>
      </c>
      <c r="O4940" s="38" t="s">
        <v>123</v>
      </c>
      <c r="P4940" s="38">
        <v>7200.0</v>
      </c>
      <c r="Q4940" s="39"/>
      <c r="R4940" s="39"/>
      <c r="S4940" s="39"/>
      <c r="T4940" s="39"/>
      <c r="U4940" s="39"/>
    </row>
    <row r="4941">
      <c r="A4941" s="40">
        <f t="shared" si="1"/>
        <v>46006</v>
      </c>
      <c r="B4941" s="37" t="str">
        <f t="array" ref="B4941">iferror(xlookup($I4941, 'IMPORT VHC Report'!$E:$E, 'IMPORT VHC Report'!$A:$C), )</f>
        <v/>
      </c>
      <c r="C4941" s="37"/>
      <c r="D4941" s="37"/>
      <c r="E4941" s="38" t="s">
        <v>5918</v>
      </c>
      <c r="F4941" s="38" t="s">
        <v>5897</v>
      </c>
      <c r="G4941" s="38">
        <v>7.437355919375E12</v>
      </c>
      <c r="H4941" s="38" t="s">
        <v>5898</v>
      </c>
      <c r="I4941" s="38" t="s">
        <v>5899</v>
      </c>
      <c r="J4941" s="38" t="s">
        <v>134</v>
      </c>
      <c r="K4941" s="38" t="s">
        <v>126</v>
      </c>
      <c r="L4941" s="41">
        <v>46009.0</v>
      </c>
      <c r="M4941" s="38" t="s">
        <v>123</v>
      </c>
      <c r="N4941" s="41">
        <v>46009.010416666664</v>
      </c>
      <c r="O4941" s="38" t="s">
        <v>123</v>
      </c>
      <c r="P4941" s="38">
        <v>900.0</v>
      </c>
      <c r="Q4941" s="39"/>
      <c r="R4941" s="39"/>
      <c r="S4941" s="39"/>
      <c r="T4941" s="39"/>
      <c r="U4941" s="39"/>
    </row>
    <row r="4942">
      <c r="A4942" s="40">
        <f t="shared" si="1"/>
        <v>46006</v>
      </c>
      <c r="B4942" s="37" t="str">
        <f t="array" ref="B4942">iferror(xlookup($I4942, 'IMPORT VHC Report'!$E:$E, 'IMPORT VHC Report'!$A:$C), )</f>
        <v/>
      </c>
      <c r="C4942" s="37"/>
      <c r="D4942" s="37"/>
      <c r="E4942" s="38" t="s">
        <v>5919</v>
      </c>
      <c r="F4942" s="38" t="s">
        <v>5897</v>
      </c>
      <c r="G4942" s="38">
        <v>7.437355919375E12</v>
      </c>
      <c r="H4942" s="38" t="s">
        <v>5898</v>
      </c>
      <c r="I4942" s="38" t="s">
        <v>5899</v>
      </c>
      <c r="J4942" s="38" t="s">
        <v>224</v>
      </c>
      <c r="K4942" s="38" t="s">
        <v>63</v>
      </c>
      <c r="L4942" s="41">
        <v>46009.010416666664</v>
      </c>
      <c r="M4942" s="38" t="s">
        <v>123</v>
      </c>
      <c r="N4942" s="41">
        <v>46009.072916666664</v>
      </c>
      <c r="O4942" s="38" t="s">
        <v>123</v>
      </c>
      <c r="P4942" s="38">
        <v>5400.0</v>
      </c>
      <c r="Q4942" s="39"/>
      <c r="R4942" s="39"/>
      <c r="S4942" s="39"/>
      <c r="T4942" s="39"/>
      <c r="U4942" s="39"/>
    </row>
    <row r="4943">
      <c r="A4943" s="40">
        <f t="shared" si="1"/>
        <v>46006</v>
      </c>
      <c r="B4943" s="37" t="str">
        <f t="array" ref="B4943">iferror(xlookup($I4943, 'IMPORT VHC Report'!$E:$E, 'IMPORT VHC Report'!$A:$C), )</f>
        <v/>
      </c>
      <c r="C4943" s="37"/>
      <c r="D4943" s="37"/>
      <c r="E4943" s="38" t="s">
        <v>5920</v>
      </c>
      <c r="F4943" s="38" t="s">
        <v>5897</v>
      </c>
      <c r="G4943" s="38">
        <v>7.437355919375E12</v>
      </c>
      <c r="H4943" s="38" t="s">
        <v>5898</v>
      </c>
      <c r="I4943" s="38" t="s">
        <v>5899</v>
      </c>
      <c r="J4943" s="38" t="s">
        <v>132</v>
      </c>
      <c r="K4943" s="38" t="s">
        <v>126</v>
      </c>
      <c r="L4943" s="41">
        <v>46009.072916666664</v>
      </c>
      <c r="M4943" s="38" t="s">
        <v>123</v>
      </c>
      <c r="N4943" s="41">
        <v>46009.114583333336</v>
      </c>
      <c r="O4943" s="38" t="s">
        <v>123</v>
      </c>
      <c r="P4943" s="38">
        <v>3600.0</v>
      </c>
      <c r="Q4943" s="39"/>
      <c r="R4943" s="39"/>
      <c r="S4943" s="39"/>
      <c r="T4943" s="39"/>
      <c r="U4943" s="39"/>
    </row>
    <row r="4944">
      <c r="A4944" s="40">
        <f t="shared" si="1"/>
        <v>46006</v>
      </c>
      <c r="B4944" s="37" t="str">
        <f t="array" ref="B4944">iferror(xlookup($I4944, 'IMPORT VHC Report'!$E:$E, 'IMPORT VHC Report'!$A:$C), )</f>
        <v/>
      </c>
      <c r="C4944" s="37"/>
      <c r="D4944" s="37"/>
      <c r="E4944" s="38" t="s">
        <v>5921</v>
      </c>
      <c r="F4944" s="38" t="s">
        <v>5897</v>
      </c>
      <c r="G4944" s="38">
        <v>7.437355919375E12</v>
      </c>
      <c r="H4944" s="38" t="s">
        <v>5898</v>
      </c>
      <c r="I4944" s="38" t="s">
        <v>5899</v>
      </c>
      <c r="J4944" s="38" t="s">
        <v>224</v>
      </c>
      <c r="K4944" s="38" t="s">
        <v>63</v>
      </c>
      <c r="L4944" s="41">
        <v>46009.114583333336</v>
      </c>
      <c r="M4944" s="38" t="s">
        <v>123</v>
      </c>
      <c r="N4944" s="41">
        <v>46009.208333333336</v>
      </c>
      <c r="O4944" s="38" t="s">
        <v>123</v>
      </c>
      <c r="P4944" s="38">
        <v>8100.0</v>
      </c>
      <c r="Q4944" s="39"/>
      <c r="R4944" s="39"/>
      <c r="S4944" s="39"/>
      <c r="T4944" s="39"/>
      <c r="U4944" s="39"/>
    </row>
    <row r="4945">
      <c r="A4945" s="40">
        <f t="shared" si="1"/>
        <v>46006</v>
      </c>
      <c r="B4945" s="37" t="str">
        <f t="array" ref="B4945">iferror(xlookup($I4945, 'IMPORT VHC Report'!$E:$E, 'IMPORT VHC Report'!$A:$C), )</f>
        <v/>
      </c>
      <c r="C4945" s="37"/>
      <c r="D4945" s="37"/>
      <c r="E4945" s="38" t="s">
        <v>5922</v>
      </c>
      <c r="F4945" s="38" t="s">
        <v>5897</v>
      </c>
      <c r="G4945" s="38">
        <v>7.437355919375E12</v>
      </c>
      <c r="H4945" s="38" t="s">
        <v>5898</v>
      </c>
      <c r="I4945" s="38" t="s">
        <v>5899</v>
      </c>
      <c r="J4945" s="38" t="s">
        <v>134</v>
      </c>
      <c r="K4945" s="38" t="s">
        <v>126</v>
      </c>
      <c r="L4945" s="41">
        <v>46009.208333333336</v>
      </c>
      <c r="M4945" s="38" t="s">
        <v>123</v>
      </c>
      <c r="N4945" s="41">
        <v>46009.21875</v>
      </c>
      <c r="O4945" s="38" t="s">
        <v>123</v>
      </c>
      <c r="P4945" s="38">
        <v>900.0</v>
      </c>
      <c r="Q4945" s="39"/>
      <c r="R4945" s="39"/>
      <c r="S4945" s="39"/>
      <c r="T4945" s="39"/>
      <c r="U4945" s="39"/>
    </row>
    <row r="4946">
      <c r="A4946" s="40">
        <f t="shared" si="1"/>
        <v>46006</v>
      </c>
      <c r="B4946" s="37" t="str">
        <f t="array" ref="B4946">iferror(xlookup($I4946, 'IMPORT VHC Report'!$E:$E, 'IMPORT VHC Report'!$A:$C), )</f>
        <v/>
      </c>
      <c r="C4946" s="37"/>
      <c r="D4946" s="37"/>
      <c r="E4946" s="38" t="s">
        <v>5923</v>
      </c>
      <c r="F4946" s="38" t="s">
        <v>5897</v>
      </c>
      <c r="G4946" s="38">
        <v>7.437355919375E12</v>
      </c>
      <c r="H4946" s="38" t="s">
        <v>5898</v>
      </c>
      <c r="I4946" s="38" t="s">
        <v>5899</v>
      </c>
      <c r="J4946" s="38" t="s">
        <v>224</v>
      </c>
      <c r="K4946" s="38" t="s">
        <v>63</v>
      </c>
      <c r="L4946" s="41">
        <v>46009.21875</v>
      </c>
      <c r="M4946" s="38" t="s">
        <v>123</v>
      </c>
      <c r="N4946" s="41">
        <v>46009.291666666664</v>
      </c>
      <c r="O4946" s="38" t="s">
        <v>123</v>
      </c>
      <c r="P4946" s="38">
        <v>6300.0</v>
      </c>
      <c r="Q4946" s="39"/>
      <c r="R4946" s="39"/>
      <c r="S4946" s="39"/>
      <c r="T4946" s="39"/>
      <c r="U4946" s="39"/>
    </row>
    <row r="4947">
      <c r="A4947" s="40">
        <f t="shared" si="1"/>
        <v>46006</v>
      </c>
      <c r="B4947" s="37" t="str">
        <f t="array" ref="B4947">iferror(xlookup($I4947, 'IMPORT VHC Report'!$E:$E, 'IMPORT VHC Report'!$A:$C), )</f>
        <v/>
      </c>
      <c r="C4947" s="37"/>
      <c r="D4947" s="37"/>
      <c r="E4947" s="38" t="s">
        <v>5924</v>
      </c>
      <c r="F4947" s="38" t="s">
        <v>5897</v>
      </c>
      <c r="G4947" s="38">
        <v>7.437355919375E12</v>
      </c>
      <c r="H4947" s="38" t="s">
        <v>5898</v>
      </c>
      <c r="I4947" s="38" t="s">
        <v>5899</v>
      </c>
      <c r="J4947" s="38" t="s">
        <v>224</v>
      </c>
      <c r="K4947" s="38" t="s">
        <v>63</v>
      </c>
      <c r="L4947" s="41">
        <v>46009.916666666664</v>
      </c>
      <c r="M4947" s="38" t="s">
        <v>123</v>
      </c>
      <c r="N4947" s="41">
        <v>46010.0</v>
      </c>
      <c r="O4947" s="38" t="s">
        <v>123</v>
      </c>
      <c r="P4947" s="38">
        <v>7200.0</v>
      </c>
      <c r="Q4947" s="39"/>
      <c r="R4947" s="39"/>
      <c r="S4947" s="39"/>
      <c r="T4947" s="39"/>
      <c r="U4947" s="39"/>
    </row>
    <row r="4948">
      <c r="A4948" s="40">
        <f t="shared" si="1"/>
        <v>46006</v>
      </c>
      <c r="B4948" s="37" t="str">
        <f t="array" ref="B4948">iferror(xlookup($I4948, 'IMPORT VHC Report'!$E:$E, 'IMPORT VHC Report'!$A:$C), )</f>
        <v/>
      </c>
      <c r="C4948" s="37"/>
      <c r="D4948" s="37"/>
      <c r="E4948" s="38" t="s">
        <v>5925</v>
      </c>
      <c r="F4948" s="38" t="s">
        <v>5897</v>
      </c>
      <c r="G4948" s="38">
        <v>7.437355919375E12</v>
      </c>
      <c r="H4948" s="38" t="s">
        <v>5898</v>
      </c>
      <c r="I4948" s="38" t="s">
        <v>5899</v>
      </c>
      <c r="J4948" s="38" t="s">
        <v>134</v>
      </c>
      <c r="K4948" s="38" t="s">
        <v>126</v>
      </c>
      <c r="L4948" s="41">
        <v>46010.0</v>
      </c>
      <c r="M4948" s="38" t="s">
        <v>123</v>
      </c>
      <c r="N4948" s="41">
        <v>46010.010416666664</v>
      </c>
      <c r="O4948" s="38" t="s">
        <v>123</v>
      </c>
      <c r="P4948" s="38">
        <v>900.0</v>
      </c>
      <c r="Q4948" s="39"/>
      <c r="R4948" s="39"/>
      <c r="S4948" s="39"/>
      <c r="T4948" s="39"/>
      <c r="U4948" s="39"/>
    </row>
    <row r="4949">
      <c r="A4949" s="40">
        <f t="shared" si="1"/>
        <v>46006</v>
      </c>
      <c r="B4949" s="37" t="str">
        <f t="array" ref="B4949">iferror(xlookup($I4949, 'IMPORT VHC Report'!$E:$E, 'IMPORT VHC Report'!$A:$C), )</f>
        <v/>
      </c>
      <c r="C4949" s="37"/>
      <c r="D4949" s="37"/>
      <c r="E4949" s="38" t="s">
        <v>5926</v>
      </c>
      <c r="F4949" s="38" t="s">
        <v>5897</v>
      </c>
      <c r="G4949" s="38">
        <v>7.437355919375E12</v>
      </c>
      <c r="H4949" s="38" t="s">
        <v>5898</v>
      </c>
      <c r="I4949" s="38" t="s">
        <v>5899</v>
      </c>
      <c r="J4949" s="38" t="s">
        <v>224</v>
      </c>
      <c r="K4949" s="38" t="s">
        <v>63</v>
      </c>
      <c r="L4949" s="41">
        <v>46010.010416666664</v>
      </c>
      <c r="M4949" s="38" t="s">
        <v>123</v>
      </c>
      <c r="N4949" s="41">
        <v>46010.072916666664</v>
      </c>
      <c r="O4949" s="38" t="s">
        <v>123</v>
      </c>
      <c r="P4949" s="38">
        <v>5400.0</v>
      </c>
      <c r="Q4949" s="39"/>
      <c r="R4949" s="39"/>
      <c r="S4949" s="39"/>
      <c r="T4949" s="39"/>
      <c r="U4949" s="39"/>
    </row>
    <row r="4950">
      <c r="A4950" s="40">
        <f t="shared" si="1"/>
        <v>46006</v>
      </c>
      <c r="B4950" s="37" t="str">
        <f t="array" ref="B4950">iferror(xlookup($I4950, 'IMPORT VHC Report'!$E:$E, 'IMPORT VHC Report'!$A:$C), )</f>
        <v/>
      </c>
      <c r="C4950" s="37"/>
      <c r="D4950" s="37"/>
      <c r="E4950" s="38" t="s">
        <v>5927</v>
      </c>
      <c r="F4950" s="38" t="s">
        <v>5897</v>
      </c>
      <c r="G4950" s="38">
        <v>7.437355919375E12</v>
      </c>
      <c r="H4950" s="38" t="s">
        <v>5898</v>
      </c>
      <c r="I4950" s="38" t="s">
        <v>5899</v>
      </c>
      <c r="J4950" s="38" t="s">
        <v>134</v>
      </c>
      <c r="K4950" s="38" t="s">
        <v>126</v>
      </c>
      <c r="L4950" s="41">
        <v>46010.072916666664</v>
      </c>
      <c r="M4950" s="38" t="s">
        <v>123</v>
      </c>
      <c r="N4950" s="41">
        <v>46010.083333333336</v>
      </c>
      <c r="O4950" s="38" t="s">
        <v>123</v>
      </c>
      <c r="P4950" s="38">
        <v>900.0</v>
      </c>
      <c r="Q4950" s="39"/>
      <c r="R4950" s="39"/>
      <c r="S4950" s="39"/>
      <c r="T4950" s="39"/>
      <c r="U4950" s="39"/>
    </row>
    <row r="4951">
      <c r="A4951" s="40">
        <f t="shared" si="1"/>
        <v>46006</v>
      </c>
      <c r="B4951" s="37" t="str">
        <f t="array" ref="B4951">iferror(xlookup($I4951, 'IMPORT VHC Report'!$E:$E, 'IMPORT VHC Report'!$A:$C), )</f>
        <v/>
      </c>
      <c r="C4951" s="37"/>
      <c r="D4951" s="37"/>
      <c r="E4951" s="38" t="s">
        <v>5928</v>
      </c>
      <c r="F4951" s="38" t="s">
        <v>5897</v>
      </c>
      <c r="G4951" s="38">
        <v>7.437355919375E12</v>
      </c>
      <c r="H4951" s="38" t="s">
        <v>5898</v>
      </c>
      <c r="I4951" s="38" t="s">
        <v>5899</v>
      </c>
      <c r="J4951" s="38" t="s">
        <v>224</v>
      </c>
      <c r="K4951" s="38" t="s">
        <v>63</v>
      </c>
      <c r="L4951" s="41">
        <v>46010.083333333336</v>
      </c>
      <c r="M4951" s="38" t="s">
        <v>123</v>
      </c>
      <c r="N4951" s="41">
        <v>46010.145833333336</v>
      </c>
      <c r="O4951" s="38" t="s">
        <v>123</v>
      </c>
      <c r="P4951" s="38">
        <v>5400.0</v>
      </c>
      <c r="Q4951" s="39"/>
      <c r="R4951" s="39"/>
      <c r="S4951" s="39"/>
      <c r="T4951" s="39"/>
      <c r="U4951" s="39"/>
    </row>
    <row r="4952">
      <c r="A4952" s="40">
        <f t="shared" si="1"/>
        <v>46006</v>
      </c>
      <c r="B4952" s="37" t="str">
        <f t="array" ref="B4952">iferror(xlookup($I4952, 'IMPORT VHC Report'!$E:$E, 'IMPORT VHC Report'!$A:$C), )</f>
        <v/>
      </c>
      <c r="C4952" s="37"/>
      <c r="D4952" s="37"/>
      <c r="E4952" s="38" t="s">
        <v>5929</v>
      </c>
      <c r="F4952" s="38" t="s">
        <v>5897</v>
      </c>
      <c r="G4952" s="38">
        <v>7.437355919375E12</v>
      </c>
      <c r="H4952" s="38" t="s">
        <v>5898</v>
      </c>
      <c r="I4952" s="38" t="s">
        <v>5899</v>
      </c>
      <c r="J4952" s="38" t="s">
        <v>132</v>
      </c>
      <c r="K4952" s="38" t="s">
        <v>126</v>
      </c>
      <c r="L4952" s="41">
        <v>46010.145833333336</v>
      </c>
      <c r="M4952" s="38" t="s">
        <v>123</v>
      </c>
      <c r="N4952" s="41">
        <v>46010.1875</v>
      </c>
      <c r="O4952" s="38" t="s">
        <v>123</v>
      </c>
      <c r="P4952" s="38">
        <v>3600.0</v>
      </c>
      <c r="Q4952" s="39"/>
      <c r="R4952" s="39"/>
      <c r="S4952" s="39"/>
      <c r="T4952" s="39"/>
      <c r="U4952" s="39"/>
    </row>
    <row r="4953">
      <c r="A4953" s="40">
        <f t="shared" si="1"/>
        <v>46006</v>
      </c>
      <c r="B4953" s="37" t="str">
        <f t="array" ref="B4953">iferror(xlookup($I4953, 'IMPORT VHC Report'!$E:$E, 'IMPORT VHC Report'!$A:$C), )</f>
        <v/>
      </c>
      <c r="C4953" s="37"/>
      <c r="D4953" s="37"/>
      <c r="E4953" s="38" t="s">
        <v>5930</v>
      </c>
      <c r="F4953" s="38" t="s">
        <v>5897</v>
      </c>
      <c r="G4953" s="38">
        <v>7.437355919375E12</v>
      </c>
      <c r="H4953" s="38" t="s">
        <v>5898</v>
      </c>
      <c r="I4953" s="38" t="s">
        <v>5899</v>
      </c>
      <c r="J4953" s="38" t="s">
        <v>224</v>
      </c>
      <c r="K4953" s="38" t="s">
        <v>63</v>
      </c>
      <c r="L4953" s="41">
        <v>46010.1875</v>
      </c>
      <c r="M4953" s="38" t="s">
        <v>123</v>
      </c>
      <c r="N4953" s="41">
        <v>46010.291666666664</v>
      </c>
      <c r="O4953" s="38" t="s">
        <v>123</v>
      </c>
      <c r="P4953" s="38">
        <v>9000.0</v>
      </c>
      <c r="Q4953" s="39"/>
      <c r="R4953" s="39"/>
      <c r="S4953" s="39"/>
      <c r="T4953" s="39"/>
      <c r="U4953" s="39"/>
    </row>
    <row r="4954">
      <c r="A4954" s="40">
        <f t="shared" si="1"/>
        <v>46006</v>
      </c>
      <c r="B4954" s="37" t="str">
        <f t="array" ref="B4954">iferror(xlookup($I4954, 'IMPORT VHC Report'!$E:$E, 'IMPORT VHC Report'!$A:$C), )</f>
        <v/>
      </c>
      <c r="C4954" s="37"/>
      <c r="D4954" s="37"/>
      <c r="E4954" s="38" t="s">
        <v>5931</v>
      </c>
      <c r="F4954" s="38" t="s">
        <v>5897</v>
      </c>
      <c r="G4954" s="38">
        <v>7.437355919375E12</v>
      </c>
      <c r="H4954" s="38" t="s">
        <v>5898</v>
      </c>
      <c r="I4954" s="38" t="s">
        <v>5899</v>
      </c>
      <c r="J4954" s="38" t="s">
        <v>224</v>
      </c>
      <c r="K4954" s="38" t="s">
        <v>63</v>
      </c>
      <c r="L4954" s="41">
        <v>46010.916666666664</v>
      </c>
      <c r="M4954" s="38" t="s">
        <v>123</v>
      </c>
      <c r="N4954" s="41">
        <v>46011.0</v>
      </c>
      <c r="O4954" s="38" t="s">
        <v>123</v>
      </c>
      <c r="P4954" s="38">
        <v>7200.0</v>
      </c>
      <c r="Q4954" s="39"/>
      <c r="R4954" s="39"/>
      <c r="S4954" s="39"/>
      <c r="T4954" s="39"/>
      <c r="U4954" s="39"/>
    </row>
    <row r="4955">
      <c r="A4955" s="40">
        <f t="shared" si="1"/>
        <v>46006</v>
      </c>
      <c r="B4955" s="37" t="str">
        <f t="array" ref="B4955">iferror(xlookup($I4955, 'IMPORT VHC Report'!$E:$E, 'IMPORT VHC Report'!$A:$C), )</f>
        <v/>
      </c>
      <c r="C4955" s="37"/>
      <c r="D4955" s="37"/>
      <c r="E4955" s="38" t="s">
        <v>5932</v>
      </c>
      <c r="F4955" s="38" t="s">
        <v>5897</v>
      </c>
      <c r="G4955" s="38">
        <v>7.437355919375E12</v>
      </c>
      <c r="H4955" s="38" t="s">
        <v>5898</v>
      </c>
      <c r="I4955" s="38" t="s">
        <v>5899</v>
      </c>
      <c r="J4955" s="38" t="s">
        <v>134</v>
      </c>
      <c r="K4955" s="38" t="s">
        <v>126</v>
      </c>
      <c r="L4955" s="41">
        <v>46011.0</v>
      </c>
      <c r="M4955" s="38" t="s">
        <v>123</v>
      </c>
      <c r="N4955" s="41">
        <v>46011.010416666664</v>
      </c>
      <c r="O4955" s="38" t="s">
        <v>123</v>
      </c>
      <c r="P4955" s="38">
        <v>900.0</v>
      </c>
      <c r="Q4955" s="39"/>
      <c r="R4955" s="39"/>
      <c r="S4955" s="39"/>
      <c r="T4955" s="39"/>
      <c r="U4955" s="39"/>
    </row>
    <row r="4956">
      <c r="A4956" s="40">
        <f t="shared" si="1"/>
        <v>46006</v>
      </c>
      <c r="B4956" s="37" t="str">
        <f t="array" ref="B4956">iferror(xlookup($I4956, 'IMPORT VHC Report'!$E:$E, 'IMPORT VHC Report'!$A:$C), )</f>
        <v/>
      </c>
      <c r="C4956" s="37"/>
      <c r="D4956" s="37"/>
      <c r="E4956" s="38" t="s">
        <v>5933</v>
      </c>
      <c r="F4956" s="38" t="s">
        <v>5897</v>
      </c>
      <c r="G4956" s="38">
        <v>7.437355919375E12</v>
      </c>
      <c r="H4956" s="38" t="s">
        <v>5898</v>
      </c>
      <c r="I4956" s="38" t="s">
        <v>5899</v>
      </c>
      <c r="J4956" s="38" t="s">
        <v>224</v>
      </c>
      <c r="K4956" s="38" t="s">
        <v>63</v>
      </c>
      <c r="L4956" s="41">
        <v>46011.010416666664</v>
      </c>
      <c r="M4956" s="38" t="s">
        <v>123</v>
      </c>
      <c r="N4956" s="41">
        <v>46011.072916666664</v>
      </c>
      <c r="O4956" s="38" t="s">
        <v>123</v>
      </c>
      <c r="P4956" s="38">
        <v>5400.0</v>
      </c>
      <c r="Q4956" s="39"/>
      <c r="R4956" s="39"/>
      <c r="S4956" s="39"/>
      <c r="T4956" s="39"/>
      <c r="U4956" s="39"/>
    </row>
    <row r="4957">
      <c r="A4957" s="40">
        <f t="shared" si="1"/>
        <v>46006</v>
      </c>
      <c r="B4957" s="37" t="str">
        <f t="array" ref="B4957">iferror(xlookup($I4957, 'IMPORT VHC Report'!$E:$E, 'IMPORT VHC Report'!$A:$C), )</f>
        <v/>
      </c>
      <c r="C4957" s="37"/>
      <c r="D4957" s="37"/>
      <c r="E4957" s="38" t="s">
        <v>5934</v>
      </c>
      <c r="F4957" s="38" t="s">
        <v>5897</v>
      </c>
      <c r="G4957" s="38">
        <v>7.437355919375E12</v>
      </c>
      <c r="H4957" s="38" t="s">
        <v>5898</v>
      </c>
      <c r="I4957" s="38" t="s">
        <v>5899</v>
      </c>
      <c r="J4957" s="38" t="s">
        <v>132</v>
      </c>
      <c r="K4957" s="38" t="s">
        <v>126</v>
      </c>
      <c r="L4957" s="41">
        <v>46011.072916666664</v>
      </c>
      <c r="M4957" s="38" t="s">
        <v>123</v>
      </c>
      <c r="N4957" s="41">
        <v>46011.114583333336</v>
      </c>
      <c r="O4957" s="38" t="s">
        <v>123</v>
      </c>
      <c r="P4957" s="38">
        <v>3600.0</v>
      </c>
      <c r="Q4957" s="39"/>
      <c r="R4957" s="39"/>
      <c r="S4957" s="39"/>
      <c r="T4957" s="39"/>
      <c r="U4957" s="39"/>
    </row>
    <row r="4958">
      <c r="A4958" s="40">
        <f t="shared" si="1"/>
        <v>46006</v>
      </c>
      <c r="B4958" s="37" t="str">
        <f t="array" ref="B4958">iferror(xlookup($I4958, 'IMPORT VHC Report'!$E:$E, 'IMPORT VHC Report'!$A:$C), )</f>
        <v/>
      </c>
      <c r="C4958" s="37"/>
      <c r="D4958" s="37"/>
      <c r="E4958" s="38" t="s">
        <v>5935</v>
      </c>
      <c r="F4958" s="38" t="s">
        <v>5897</v>
      </c>
      <c r="G4958" s="38">
        <v>7.437355919375E12</v>
      </c>
      <c r="H4958" s="38" t="s">
        <v>5898</v>
      </c>
      <c r="I4958" s="38" t="s">
        <v>5899</v>
      </c>
      <c r="J4958" s="38" t="s">
        <v>224</v>
      </c>
      <c r="K4958" s="38" t="s">
        <v>63</v>
      </c>
      <c r="L4958" s="41">
        <v>46011.114583333336</v>
      </c>
      <c r="M4958" s="38" t="s">
        <v>123</v>
      </c>
      <c r="N4958" s="41">
        <v>46011.1875</v>
      </c>
      <c r="O4958" s="38" t="s">
        <v>123</v>
      </c>
      <c r="P4958" s="38">
        <v>6300.0</v>
      </c>
      <c r="Q4958" s="39"/>
      <c r="R4958" s="39"/>
      <c r="S4958" s="39"/>
      <c r="T4958" s="39"/>
      <c r="U4958" s="39"/>
    </row>
    <row r="4959">
      <c r="A4959" s="40">
        <f t="shared" si="1"/>
        <v>46006</v>
      </c>
      <c r="B4959" s="37" t="str">
        <f t="array" ref="B4959">iferror(xlookup($I4959, 'IMPORT VHC Report'!$E:$E, 'IMPORT VHC Report'!$A:$C), )</f>
        <v/>
      </c>
      <c r="C4959" s="37"/>
      <c r="D4959" s="37"/>
      <c r="E4959" s="38" t="s">
        <v>5936</v>
      </c>
      <c r="F4959" s="38" t="s">
        <v>5897</v>
      </c>
      <c r="G4959" s="38">
        <v>7.437355919375E12</v>
      </c>
      <c r="H4959" s="38" t="s">
        <v>5898</v>
      </c>
      <c r="I4959" s="38" t="s">
        <v>5899</v>
      </c>
      <c r="J4959" s="38" t="s">
        <v>134</v>
      </c>
      <c r="K4959" s="38" t="s">
        <v>126</v>
      </c>
      <c r="L4959" s="41">
        <v>46011.1875</v>
      </c>
      <c r="M4959" s="38" t="s">
        <v>123</v>
      </c>
      <c r="N4959" s="41">
        <v>46011.197916666664</v>
      </c>
      <c r="O4959" s="38" t="s">
        <v>123</v>
      </c>
      <c r="P4959" s="38">
        <v>900.0</v>
      </c>
      <c r="Q4959" s="39"/>
      <c r="R4959" s="39"/>
      <c r="S4959" s="39"/>
      <c r="T4959" s="39"/>
      <c r="U4959" s="39"/>
    </row>
    <row r="4960">
      <c r="A4960" s="40">
        <f t="shared" si="1"/>
        <v>46006</v>
      </c>
      <c r="B4960" s="37" t="str">
        <f t="array" ref="B4960">iferror(xlookup($I4960, 'IMPORT VHC Report'!$E:$E, 'IMPORT VHC Report'!$A:$C), )</f>
        <v/>
      </c>
      <c r="C4960" s="37"/>
      <c r="D4960" s="37"/>
      <c r="E4960" s="38" t="s">
        <v>5937</v>
      </c>
      <c r="F4960" s="38" t="s">
        <v>5897</v>
      </c>
      <c r="G4960" s="38">
        <v>7.437355919375E12</v>
      </c>
      <c r="H4960" s="38" t="s">
        <v>5898</v>
      </c>
      <c r="I4960" s="38" t="s">
        <v>5899</v>
      </c>
      <c r="J4960" s="38" t="s">
        <v>224</v>
      </c>
      <c r="K4960" s="38" t="s">
        <v>63</v>
      </c>
      <c r="L4960" s="41">
        <v>46011.197916666664</v>
      </c>
      <c r="M4960" s="38" t="s">
        <v>123</v>
      </c>
      <c r="N4960" s="41">
        <v>46011.291666666664</v>
      </c>
      <c r="O4960" s="38" t="s">
        <v>123</v>
      </c>
      <c r="P4960" s="38">
        <v>8100.0</v>
      </c>
      <c r="Q4960" s="39"/>
      <c r="R4960" s="39"/>
      <c r="S4960" s="39"/>
      <c r="T4960" s="39"/>
      <c r="U4960" s="39"/>
    </row>
    <row r="4961">
      <c r="A4961" s="40">
        <f t="shared" si="1"/>
        <v>46006</v>
      </c>
      <c r="B4961" s="37" t="str">
        <f t="array" ref="B4961">iferror(xlookup($I4961, 'IMPORT VHC Report'!$E:$E, 'IMPORT VHC Report'!$A:$C), )</f>
        <v/>
      </c>
      <c r="C4961" s="37"/>
      <c r="D4961" s="37"/>
      <c r="E4961" s="38" t="s">
        <v>5938</v>
      </c>
      <c r="F4961" s="38" t="s">
        <v>5939</v>
      </c>
      <c r="G4961" s="38">
        <v>5.813415515279E12</v>
      </c>
      <c r="H4961" s="38" t="s">
        <v>5940</v>
      </c>
      <c r="I4961" s="38" t="s">
        <v>5941</v>
      </c>
      <c r="J4961" s="38" t="s">
        <v>5746</v>
      </c>
      <c r="K4961" s="38" t="s">
        <v>63</v>
      </c>
      <c r="L4961" s="41">
        <v>46006.916666666664</v>
      </c>
      <c r="M4961" s="38" t="s">
        <v>123</v>
      </c>
      <c r="N4961" s="41">
        <v>46007.291666666664</v>
      </c>
      <c r="O4961" s="38" t="s">
        <v>123</v>
      </c>
      <c r="P4961" s="38">
        <v>32400.0</v>
      </c>
      <c r="Q4961" s="39"/>
      <c r="R4961" s="39"/>
      <c r="S4961" s="39"/>
      <c r="T4961" s="39"/>
      <c r="U4961" s="39"/>
    </row>
    <row r="4962">
      <c r="A4962" s="40">
        <f t="shared" si="1"/>
        <v>46006</v>
      </c>
      <c r="B4962" s="37" t="str">
        <f t="array" ref="B4962">iferror(xlookup($I4962, 'IMPORT VHC Report'!$E:$E, 'IMPORT VHC Report'!$A:$C), )</f>
        <v/>
      </c>
      <c r="C4962" s="37"/>
      <c r="D4962" s="37"/>
      <c r="E4962" s="38" t="s">
        <v>5942</v>
      </c>
      <c r="F4962" s="38" t="s">
        <v>5939</v>
      </c>
      <c r="G4962" s="38">
        <v>5.813415515279E12</v>
      </c>
      <c r="H4962" s="38" t="s">
        <v>5940</v>
      </c>
      <c r="I4962" s="38" t="s">
        <v>5941</v>
      </c>
      <c r="J4962" s="38" t="s">
        <v>132</v>
      </c>
      <c r="K4962" s="38" t="s">
        <v>126</v>
      </c>
      <c r="L4962" s="41">
        <v>46007.041666666664</v>
      </c>
      <c r="M4962" s="38" t="s">
        <v>123</v>
      </c>
      <c r="N4962" s="41">
        <v>46007.083333333336</v>
      </c>
      <c r="O4962" s="38" t="s">
        <v>123</v>
      </c>
      <c r="P4962" s="38">
        <v>3600.0</v>
      </c>
      <c r="Q4962" s="39"/>
      <c r="R4962" s="39"/>
      <c r="S4962" s="39"/>
      <c r="T4962" s="39"/>
      <c r="U4962" s="39"/>
    </row>
    <row r="4963">
      <c r="A4963" s="40">
        <f t="shared" si="1"/>
        <v>46006</v>
      </c>
      <c r="B4963" s="37" t="str">
        <f t="array" ref="B4963">iferror(xlookup($I4963, 'IMPORT VHC Report'!$E:$E, 'IMPORT VHC Report'!$A:$C), )</f>
        <v/>
      </c>
      <c r="C4963" s="37"/>
      <c r="D4963" s="37"/>
      <c r="E4963" s="38" t="s">
        <v>5943</v>
      </c>
      <c r="F4963" s="38" t="s">
        <v>5939</v>
      </c>
      <c r="G4963" s="38">
        <v>5.813415515279E12</v>
      </c>
      <c r="H4963" s="38" t="s">
        <v>5940</v>
      </c>
      <c r="I4963" s="38" t="s">
        <v>5941</v>
      </c>
      <c r="J4963" s="38" t="s">
        <v>5746</v>
      </c>
      <c r="K4963" s="38" t="s">
        <v>63</v>
      </c>
      <c r="L4963" s="41">
        <v>46007.916666666664</v>
      </c>
      <c r="M4963" s="38" t="s">
        <v>123</v>
      </c>
      <c r="N4963" s="41">
        <v>46008.291666666664</v>
      </c>
      <c r="O4963" s="38" t="s">
        <v>123</v>
      </c>
      <c r="P4963" s="38">
        <v>32400.0</v>
      </c>
      <c r="Q4963" s="39"/>
      <c r="R4963" s="39"/>
      <c r="S4963" s="39"/>
      <c r="T4963" s="39"/>
      <c r="U4963" s="39"/>
    </row>
    <row r="4964">
      <c r="A4964" s="40">
        <f t="shared" si="1"/>
        <v>46006</v>
      </c>
      <c r="B4964" s="37" t="str">
        <f t="array" ref="B4964">iferror(xlookup($I4964, 'IMPORT VHC Report'!$E:$E, 'IMPORT VHC Report'!$A:$C), )</f>
        <v/>
      </c>
      <c r="C4964" s="37"/>
      <c r="D4964" s="37"/>
      <c r="E4964" s="38" t="s">
        <v>5944</v>
      </c>
      <c r="F4964" s="38" t="s">
        <v>5939</v>
      </c>
      <c r="G4964" s="38">
        <v>5.813415515279E12</v>
      </c>
      <c r="H4964" s="38" t="s">
        <v>5940</v>
      </c>
      <c r="I4964" s="38" t="s">
        <v>5941</v>
      </c>
      <c r="J4964" s="38" t="s">
        <v>132</v>
      </c>
      <c r="K4964" s="38" t="s">
        <v>126</v>
      </c>
      <c r="L4964" s="41">
        <v>46008.041666666664</v>
      </c>
      <c r="M4964" s="38" t="s">
        <v>123</v>
      </c>
      <c r="N4964" s="41">
        <v>46008.083333333336</v>
      </c>
      <c r="O4964" s="38" t="s">
        <v>123</v>
      </c>
      <c r="P4964" s="38">
        <v>3600.0</v>
      </c>
      <c r="Q4964" s="39"/>
      <c r="R4964" s="39"/>
      <c r="S4964" s="39"/>
      <c r="T4964" s="39"/>
      <c r="U4964" s="39"/>
    </row>
    <row r="4965">
      <c r="A4965" s="40">
        <f t="shared" si="1"/>
        <v>46006</v>
      </c>
      <c r="B4965" s="37" t="str">
        <f t="array" ref="B4965">iferror(xlookup($I4965, 'IMPORT VHC Report'!$E:$E, 'IMPORT VHC Report'!$A:$C), )</f>
        <v/>
      </c>
      <c r="C4965" s="37"/>
      <c r="D4965" s="37"/>
      <c r="E4965" s="38" t="s">
        <v>5945</v>
      </c>
      <c r="F4965" s="38" t="s">
        <v>5939</v>
      </c>
      <c r="G4965" s="38">
        <v>5.813415515279E12</v>
      </c>
      <c r="H4965" s="38" t="s">
        <v>5940</v>
      </c>
      <c r="I4965" s="38" t="s">
        <v>5941</v>
      </c>
      <c r="J4965" s="38" t="s">
        <v>5746</v>
      </c>
      <c r="K4965" s="38" t="s">
        <v>63</v>
      </c>
      <c r="L4965" s="41">
        <v>46008.916666666664</v>
      </c>
      <c r="M4965" s="38" t="s">
        <v>123</v>
      </c>
      <c r="N4965" s="41">
        <v>46009.291666666664</v>
      </c>
      <c r="O4965" s="38" t="s">
        <v>123</v>
      </c>
      <c r="P4965" s="38">
        <v>32400.0</v>
      </c>
      <c r="Q4965" s="39"/>
      <c r="R4965" s="39"/>
      <c r="S4965" s="39"/>
      <c r="T4965" s="39"/>
      <c r="U4965" s="39"/>
    </row>
    <row r="4966">
      <c r="A4966" s="40">
        <f t="shared" si="1"/>
        <v>46006</v>
      </c>
      <c r="B4966" s="37" t="str">
        <f t="array" ref="B4966">iferror(xlookup($I4966, 'IMPORT VHC Report'!$E:$E, 'IMPORT VHC Report'!$A:$C), )</f>
        <v/>
      </c>
      <c r="C4966" s="37"/>
      <c r="D4966" s="37"/>
      <c r="E4966" s="38" t="s">
        <v>5946</v>
      </c>
      <c r="F4966" s="38" t="s">
        <v>5939</v>
      </c>
      <c r="G4966" s="38">
        <v>5.813415515279E12</v>
      </c>
      <c r="H4966" s="38" t="s">
        <v>5940</v>
      </c>
      <c r="I4966" s="38" t="s">
        <v>5941</v>
      </c>
      <c r="J4966" s="38" t="s">
        <v>136</v>
      </c>
      <c r="K4966" s="38" t="s">
        <v>126</v>
      </c>
      <c r="L4966" s="41">
        <v>46009.0</v>
      </c>
      <c r="M4966" s="38" t="s">
        <v>123</v>
      </c>
      <c r="N4966" s="41">
        <v>46009.041666666664</v>
      </c>
      <c r="O4966" s="38" t="s">
        <v>123</v>
      </c>
      <c r="P4966" s="38">
        <v>3600.0</v>
      </c>
      <c r="Q4966" s="39"/>
      <c r="R4966" s="39"/>
      <c r="S4966" s="39"/>
      <c r="T4966" s="39"/>
      <c r="U4966" s="39"/>
    </row>
    <row r="4967">
      <c r="A4967" s="40">
        <f t="shared" si="1"/>
        <v>46006</v>
      </c>
      <c r="B4967" s="37" t="str">
        <f t="array" ref="B4967">iferror(xlookup($I4967, 'IMPORT VHC Report'!$E:$E, 'IMPORT VHC Report'!$A:$C), )</f>
        <v/>
      </c>
      <c r="C4967" s="37"/>
      <c r="D4967" s="37"/>
      <c r="E4967" s="38" t="s">
        <v>5947</v>
      </c>
      <c r="F4967" s="38" t="s">
        <v>5939</v>
      </c>
      <c r="G4967" s="38">
        <v>5.813415515279E12</v>
      </c>
      <c r="H4967" s="38" t="s">
        <v>5940</v>
      </c>
      <c r="I4967" s="38" t="s">
        <v>5941</v>
      </c>
      <c r="J4967" s="38" t="s">
        <v>136</v>
      </c>
      <c r="K4967" s="38" t="s">
        <v>126</v>
      </c>
      <c r="L4967" s="41">
        <v>46009.0</v>
      </c>
      <c r="M4967" s="38" t="s">
        <v>123</v>
      </c>
      <c r="N4967" s="41">
        <v>46009.041666666664</v>
      </c>
      <c r="O4967" s="38" t="s">
        <v>123</v>
      </c>
      <c r="P4967" s="38">
        <v>3600.0</v>
      </c>
      <c r="Q4967" s="39"/>
      <c r="R4967" s="39"/>
      <c r="S4967" s="38" t="s">
        <v>4874</v>
      </c>
      <c r="T4967" s="39"/>
      <c r="U4967" s="39"/>
    </row>
    <row r="4968">
      <c r="A4968" s="40">
        <f t="shared" si="1"/>
        <v>46006</v>
      </c>
      <c r="B4968" s="37" t="str">
        <f t="array" ref="B4968">iferror(xlookup($I4968, 'IMPORT VHC Report'!$E:$E, 'IMPORT VHC Report'!$A:$C), )</f>
        <v/>
      </c>
      <c r="C4968" s="37"/>
      <c r="D4968" s="37"/>
      <c r="E4968" s="38" t="s">
        <v>5948</v>
      </c>
      <c r="F4968" s="38" t="s">
        <v>5939</v>
      </c>
      <c r="G4968" s="38">
        <v>5.813415515279E12</v>
      </c>
      <c r="H4968" s="38" t="s">
        <v>5940</v>
      </c>
      <c r="I4968" s="38" t="s">
        <v>5941</v>
      </c>
      <c r="J4968" s="38" t="s">
        <v>132</v>
      </c>
      <c r="K4968" s="38" t="s">
        <v>126</v>
      </c>
      <c r="L4968" s="41">
        <v>46009.041666666664</v>
      </c>
      <c r="M4968" s="38" t="s">
        <v>123</v>
      </c>
      <c r="N4968" s="41">
        <v>46009.083333333336</v>
      </c>
      <c r="O4968" s="38" t="s">
        <v>123</v>
      </c>
      <c r="P4968" s="38">
        <v>3600.0</v>
      </c>
      <c r="Q4968" s="39"/>
      <c r="R4968" s="39"/>
      <c r="S4968" s="39"/>
      <c r="T4968" s="39"/>
      <c r="U4968" s="39"/>
    </row>
    <row r="4969">
      <c r="A4969" s="40">
        <f t="shared" si="1"/>
        <v>46006</v>
      </c>
      <c r="B4969" s="37" t="str">
        <f t="array" ref="B4969">iferror(xlookup($I4969, 'IMPORT VHC Report'!$E:$E, 'IMPORT VHC Report'!$A:$C), )</f>
        <v/>
      </c>
      <c r="C4969" s="37"/>
      <c r="D4969" s="37"/>
      <c r="E4969" s="38" t="s">
        <v>5949</v>
      </c>
      <c r="F4969" s="38" t="s">
        <v>5939</v>
      </c>
      <c r="G4969" s="38">
        <v>5.813415515279E12</v>
      </c>
      <c r="H4969" s="38" t="s">
        <v>5940</v>
      </c>
      <c r="I4969" s="38" t="s">
        <v>5941</v>
      </c>
      <c r="J4969" s="38" t="s">
        <v>5746</v>
      </c>
      <c r="K4969" s="38" t="s">
        <v>63</v>
      </c>
      <c r="L4969" s="41">
        <v>46009.916666666664</v>
      </c>
      <c r="M4969" s="38" t="s">
        <v>123</v>
      </c>
      <c r="N4969" s="41">
        <v>46010.083333333336</v>
      </c>
      <c r="O4969" s="38" t="s">
        <v>123</v>
      </c>
      <c r="P4969" s="38">
        <v>14400.0</v>
      </c>
      <c r="Q4969" s="39"/>
      <c r="R4969" s="39"/>
      <c r="S4969" s="39"/>
      <c r="T4969" s="39"/>
      <c r="U4969" s="39"/>
    </row>
    <row r="4970">
      <c r="A4970" s="40">
        <f t="shared" si="1"/>
        <v>46006</v>
      </c>
      <c r="B4970" s="37" t="str">
        <f t="array" ref="B4970">iferror(xlookup($I4970, 'IMPORT VHC Report'!$E:$E, 'IMPORT VHC Report'!$A:$C), )</f>
        <v/>
      </c>
      <c r="C4970" s="37"/>
      <c r="D4970" s="37"/>
      <c r="E4970" s="38" t="s">
        <v>5950</v>
      </c>
      <c r="F4970" s="38" t="s">
        <v>5939</v>
      </c>
      <c r="G4970" s="38">
        <v>5.813415515279E12</v>
      </c>
      <c r="H4970" s="38" t="s">
        <v>5940</v>
      </c>
      <c r="I4970" s="38" t="s">
        <v>5941</v>
      </c>
      <c r="J4970" s="38" t="s">
        <v>136</v>
      </c>
      <c r="K4970" s="38" t="s">
        <v>126</v>
      </c>
      <c r="L4970" s="41">
        <v>46010.0</v>
      </c>
      <c r="M4970" s="38" t="s">
        <v>123</v>
      </c>
      <c r="N4970" s="41">
        <v>46010.041666666664</v>
      </c>
      <c r="O4970" s="38" t="s">
        <v>123</v>
      </c>
      <c r="P4970" s="38">
        <v>3600.0</v>
      </c>
      <c r="Q4970" s="39"/>
      <c r="R4970" s="39"/>
      <c r="S4970" s="39"/>
      <c r="T4970" s="39"/>
      <c r="U4970" s="39"/>
    </row>
    <row r="4971">
      <c r="A4971" s="40">
        <f t="shared" si="1"/>
        <v>46006</v>
      </c>
      <c r="B4971" s="37" t="str">
        <f t="array" ref="B4971">iferror(xlookup($I4971, 'IMPORT VHC Report'!$E:$E, 'IMPORT VHC Report'!$A:$C), )</f>
        <v/>
      </c>
      <c r="C4971" s="37"/>
      <c r="D4971" s="37"/>
      <c r="E4971" s="38" t="s">
        <v>5951</v>
      </c>
      <c r="F4971" s="38" t="s">
        <v>5939</v>
      </c>
      <c r="G4971" s="38">
        <v>5.813415515279E12</v>
      </c>
      <c r="H4971" s="38" t="s">
        <v>5940</v>
      </c>
      <c r="I4971" s="38" t="s">
        <v>5941</v>
      </c>
      <c r="J4971" s="38" t="s">
        <v>132</v>
      </c>
      <c r="K4971" s="38" t="s">
        <v>126</v>
      </c>
      <c r="L4971" s="41">
        <v>46010.041666666664</v>
      </c>
      <c r="M4971" s="38" t="s">
        <v>123</v>
      </c>
      <c r="N4971" s="41">
        <v>46010.083333333336</v>
      </c>
      <c r="O4971" s="38" t="s">
        <v>123</v>
      </c>
      <c r="P4971" s="38">
        <v>3600.0</v>
      </c>
      <c r="Q4971" s="39"/>
      <c r="R4971" s="39"/>
      <c r="S4971" s="39"/>
      <c r="T4971" s="39"/>
      <c r="U4971" s="39"/>
    </row>
    <row r="4972">
      <c r="A4972" s="40">
        <f t="shared" si="1"/>
        <v>46006</v>
      </c>
      <c r="B4972" s="37" t="str">
        <f t="array" ref="B4972">iferror(xlookup($I4972, 'IMPORT VHC Report'!$E:$E, 'IMPORT VHC Report'!$A:$C), )</f>
        <v/>
      </c>
      <c r="C4972" s="37"/>
      <c r="D4972" s="37"/>
      <c r="E4972" s="38" t="s">
        <v>5952</v>
      </c>
      <c r="F4972" s="38" t="s">
        <v>5939</v>
      </c>
      <c r="G4972" s="38">
        <v>5.813415515279E12</v>
      </c>
      <c r="H4972" s="38" t="s">
        <v>5940</v>
      </c>
      <c r="I4972" s="38" t="s">
        <v>5941</v>
      </c>
      <c r="J4972" s="38" t="s">
        <v>62</v>
      </c>
      <c r="K4972" s="38" t="s">
        <v>63</v>
      </c>
      <c r="L4972" s="41">
        <v>46010.041666666664</v>
      </c>
      <c r="M4972" s="38" t="s">
        <v>123</v>
      </c>
      <c r="N4972" s="41">
        <v>46010.104166666664</v>
      </c>
      <c r="O4972" s="38" t="s">
        <v>123</v>
      </c>
      <c r="P4972" s="38">
        <v>5400.0</v>
      </c>
      <c r="Q4972" s="39"/>
      <c r="R4972" s="39"/>
      <c r="S4972" s="39"/>
      <c r="T4972" s="39"/>
      <c r="U4972" s="39"/>
    </row>
    <row r="4973">
      <c r="A4973" s="40">
        <f t="shared" si="1"/>
        <v>46006</v>
      </c>
      <c r="B4973" s="37" t="str">
        <f t="array" ref="B4973">iferror(xlookup($I4973, 'IMPORT VHC Report'!$E:$E, 'IMPORT VHC Report'!$A:$C), )</f>
        <v/>
      </c>
      <c r="C4973" s="37"/>
      <c r="D4973" s="37"/>
      <c r="E4973" s="38" t="s">
        <v>5953</v>
      </c>
      <c r="F4973" s="38" t="s">
        <v>5939</v>
      </c>
      <c r="G4973" s="38">
        <v>5.813415515279E12</v>
      </c>
      <c r="H4973" s="38" t="s">
        <v>5940</v>
      </c>
      <c r="I4973" s="38" t="s">
        <v>5941</v>
      </c>
      <c r="J4973" s="38" t="s">
        <v>4</v>
      </c>
      <c r="K4973" s="38" t="s">
        <v>126</v>
      </c>
      <c r="L4973" s="41">
        <v>46010.083333333336</v>
      </c>
      <c r="M4973" s="38" t="s">
        <v>123</v>
      </c>
      <c r="N4973" s="41">
        <v>46010.125</v>
      </c>
      <c r="O4973" s="38" t="s">
        <v>123</v>
      </c>
      <c r="P4973" s="38">
        <v>3600.0</v>
      </c>
      <c r="Q4973" s="39"/>
      <c r="R4973" s="39"/>
      <c r="S4973" s="38" t="s">
        <v>3090</v>
      </c>
      <c r="T4973" s="39"/>
      <c r="U4973" s="39"/>
    </row>
    <row r="4974">
      <c r="A4974" s="40">
        <f t="shared" si="1"/>
        <v>46006</v>
      </c>
      <c r="B4974" s="37" t="str">
        <f t="array" ref="B4974">iferror(xlookup($I4974, 'IMPORT VHC Report'!$E:$E, 'IMPORT VHC Report'!$A:$C), )</f>
        <v/>
      </c>
      <c r="C4974" s="37"/>
      <c r="D4974" s="37"/>
      <c r="E4974" s="38" t="s">
        <v>5954</v>
      </c>
      <c r="F4974" s="38" t="s">
        <v>5939</v>
      </c>
      <c r="G4974" s="38">
        <v>5.813415515279E12</v>
      </c>
      <c r="H4974" s="38" t="s">
        <v>5940</v>
      </c>
      <c r="I4974" s="38" t="s">
        <v>5941</v>
      </c>
      <c r="J4974" s="38" t="s">
        <v>5746</v>
      </c>
      <c r="K4974" s="38" t="s">
        <v>63</v>
      </c>
      <c r="L4974" s="41">
        <v>46010.104166666664</v>
      </c>
      <c r="M4974" s="38" t="s">
        <v>123</v>
      </c>
      <c r="N4974" s="41">
        <v>46010.291666666664</v>
      </c>
      <c r="O4974" s="38" t="s">
        <v>123</v>
      </c>
      <c r="P4974" s="38">
        <v>16200.0</v>
      </c>
      <c r="Q4974" s="39"/>
      <c r="R4974" s="39"/>
      <c r="S4974" s="39"/>
      <c r="T4974" s="39"/>
      <c r="U4974" s="39"/>
    </row>
    <row r="4975">
      <c r="A4975" s="40">
        <f t="shared" si="1"/>
        <v>46006</v>
      </c>
      <c r="B4975" s="37" t="str">
        <f t="array" ref="B4975">iferror(xlookup($I4975, 'IMPORT VHC Report'!$E:$E, 'IMPORT VHC Report'!$A:$C), )</f>
        <v/>
      </c>
      <c r="C4975" s="37"/>
      <c r="D4975" s="37"/>
      <c r="E4975" s="38" t="s">
        <v>5955</v>
      </c>
      <c r="F4975" s="38" t="s">
        <v>5939</v>
      </c>
      <c r="G4975" s="38">
        <v>5.813415515279E12</v>
      </c>
      <c r="H4975" s="38" t="s">
        <v>5940</v>
      </c>
      <c r="I4975" s="38" t="s">
        <v>5941</v>
      </c>
      <c r="J4975" s="38" t="s">
        <v>5746</v>
      </c>
      <c r="K4975" s="38" t="s">
        <v>63</v>
      </c>
      <c r="L4975" s="41">
        <v>46010.916666666664</v>
      </c>
      <c r="M4975" s="38" t="s">
        <v>123</v>
      </c>
      <c r="N4975" s="41">
        <v>46011.291666666664</v>
      </c>
      <c r="O4975" s="38" t="s">
        <v>123</v>
      </c>
      <c r="P4975" s="38">
        <v>32400.0</v>
      </c>
      <c r="Q4975" s="39"/>
      <c r="R4975" s="39"/>
      <c r="S4975" s="39"/>
      <c r="T4975" s="39"/>
      <c r="U4975" s="39"/>
    </row>
    <row r="4976">
      <c r="A4976" s="40">
        <f t="shared" si="1"/>
        <v>46006</v>
      </c>
      <c r="B4976" s="37" t="str">
        <f t="array" ref="B4976">iferror(xlookup($I4976, 'IMPORT VHC Report'!$E:$E, 'IMPORT VHC Report'!$A:$C), )</f>
        <v/>
      </c>
      <c r="C4976" s="37"/>
      <c r="D4976" s="37"/>
      <c r="E4976" s="38" t="s">
        <v>5956</v>
      </c>
      <c r="F4976" s="38" t="s">
        <v>5939</v>
      </c>
      <c r="G4976" s="38">
        <v>5.813415515279E12</v>
      </c>
      <c r="H4976" s="38" t="s">
        <v>5940</v>
      </c>
      <c r="I4976" s="38" t="s">
        <v>5941</v>
      </c>
      <c r="J4976" s="38" t="s">
        <v>132</v>
      </c>
      <c r="K4976" s="38" t="s">
        <v>126</v>
      </c>
      <c r="L4976" s="41">
        <v>46011.041666666664</v>
      </c>
      <c r="M4976" s="38" t="s">
        <v>123</v>
      </c>
      <c r="N4976" s="41">
        <v>46011.083333333336</v>
      </c>
      <c r="O4976" s="38" t="s">
        <v>123</v>
      </c>
      <c r="P4976" s="38">
        <v>3600.0</v>
      </c>
      <c r="Q4976" s="39"/>
      <c r="R4976" s="39"/>
      <c r="S4976" s="39"/>
      <c r="T4976" s="39"/>
      <c r="U4976" s="39"/>
    </row>
    <row r="4977">
      <c r="A4977" s="40">
        <f t="shared" si="1"/>
        <v>46006</v>
      </c>
      <c r="B4977" s="37" t="str">
        <f t="array" ref="B4977">iferror(xlookup($I4977, 'IMPORT VHC Report'!$E:$E, 'IMPORT VHC Report'!$A:$C), )</f>
        <v/>
      </c>
      <c r="C4977" s="37"/>
      <c r="D4977" s="37"/>
      <c r="E4977" s="38" t="s">
        <v>5957</v>
      </c>
      <c r="F4977" s="38" t="s">
        <v>5958</v>
      </c>
      <c r="G4977" s="38">
        <v>5.902015961999E12</v>
      </c>
      <c r="H4977" s="38" t="s">
        <v>5959</v>
      </c>
      <c r="I4977" s="38" t="s">
        <v>5960</v>
      </c>
      <c r="J4977" s="38" t="s">
        <v>330</v>
      </c>
      <c r="K4977" s="38" t="s">
        <v>126</v>
      </c>
      <c r="L4977" s="41">
        <v>46006.958333333336</v>
      </c>
      <c r="M4977" s="38" t="s">
        <v>123</v>
      </c>
      <c r="N4977" s="41">
        <v>46006.96527777778</v>
      </c>
      <c r="O4977" s="38" t="s">
        <v>123</v>
      </c>
      <c r="P4977" s="38">
        <v>600.0</v>
      </c>
      <c r="Q4977" s="39"/>
      <c r="R4977" s="39"/>
      <c r="S4977" s="39"/>
      <c r="T4977" s="39"/>
      <c r="U4977" s="39"/>
    </row>
    <row r="4978">
      <c r="A4978" s="40">
        <f t="shared" si="1"/>
        <v>46006</v>
      </c>
      <c r="B4978" s="37" t="str">
        <f t="array" ref="B4978">iferror(xlookup($I4978, 'IMPORT VHC Report'!$E:$E, 'IMPORT VHC Report'!$A:$C), )</f>
        <v/>
      </c>
      <c r="C4978" s="37"/>
      <c r="D4978" s="37"/>
      <c r="E4978" s="38" t="s">
        <v>5961</v>
      </c>
      <c r="F4978" s="38" t="s">
        <v>5958</v>
      </c>
      <c r="G4978" s="38">
        <v>5.902015961999E12</v>
      </c>
      <c r="H4978" s="38" t="s">
        <v>5959</v>
      </c>
      <c r="I4978" s="38" t="s">
        <v>5960</v>
      </c>
      <c r="J4978" s="38" t="s">
        <v>332</v>
      </c>
      <c r="K4978" s="38" t="s">
        <v>63</v>
      </c>
      <c r="L4978" s="41">
        <v>46006.958333333336</v>
      </c>
      <c r="M4978" s="38" t="s">
        <v>123</v>
      </c>
      <c r="N4978" s="41">
        <v>46007.333333333336</v>
      </c>
      <c r="O4978" s="38" t="s">
        <v>123</v>
      </c>
      <c r="P4978" s="38">
        <v>32400.0</v>
      </c>
      <c r="Q4978" s="39"/>
      <c r="R4978" s="39"/>
      <c r="S4978" s="39"/>
      <c r="T4978" s="39"/>
      <c r="U4978" s="39"/>
    </row>
    <row r="4979">
      <c r="A4979" s="40">
        <f t="shared" si="1"/>
        <v>46006</v>
      </c>
      <c r="B4979" s="37" t="str">
        <f t="array" ref="B4979">iferror(xlookup($I4979, 'IMPORT VHC Report'!$E:$E, 'IMPORT VHC Report'!$A:$C), )</f>
        <v/>
      </c>
      <c r="C4979" s="37"/>
      <c r="D4979" s="37"/>
      <c r="E4979" s="38" t="s">
        <v>5962</v>
      </c>
      <c r="F4979" s="38" t="s">
        <v>5958</v>
      </c>
      <c r="G4979" s="38">
        <v>5.902015961999E12</v>
      </c>
      <c r="H4979" s="38" t="s">
        <v>5959</v>
      </c>
      <c r="I4979" s="38" t="s">
        <v>5960</v>
      </c>
      <c r="J4979" s="38" t="s">
        <v>132</v>
      </c>
      <c r="K4979" s="38" t="s">
        <v>126</v>
      </c>
      <c r="L4979" s="41">
        <v>46007.09375</v>
      </c>
      <c r="M4979" s="38" t="s">
        <v>123</v>
      </c>
      <c r="N4979" s="41">
        <v>46007.135416666664</v>
      </c>
      <c r="O4979" s="38" t="s">
        <v>123</v>
      </c>
      <c r="P4979" s="38">
        <v>3600.0</v>
      </c>
      <c r="Q4979" s="39"/>
      <c r="R4979" s="39"/>
      <c r="S4979" s="39"/>
      <c r="T4979" s="39"/>
      <c r="U4979" s="39"/>
    </row>
    <row r="4980">
      <c r="A4980" s="40">
        <f t="shared" si="1"/>
        <v>46006</v>
      </c>
      <c r="B4980" s="37" t="str">
        <f t="array" ref="B4980">iferror(xlookup($I4980, 'IMPORT VHC Report'!$E:$E, 'IMPORT VHC Report'!$A:$C), )</f>
        <v/>
      </c>
      <c r="C4980" s="37"/>
      <c r="D4980" s="37"/>
      <c r="E4980" s="38" t="s">
        <v>5963</v>
      </c>
      <c r="F4980" s="38" t="s">
        <v>5958</v>
      </c>
      <c r="G4980" s="38">
        <v>5.902015961999E12</v>
      </c>
      <c r="H4980" s="38" t="s">
        <v>5959</v>
      </c>
      <c r="I4980" s="38" t="s">
        <v>5960</v>
      </c>
      <c r="J4980" s="38" t="s">
        <v>4</v>
      </c>
      <c r="K4980" s="38" t="s">
        <v>126</v>
      </c>
      <c r="L4980" s="41">
        <v>46007.135416666664</v>
      </c>
      <c r="M4980" s="38" t="s">
        <v>123</v>
      </c>
      <c r="N4980" s="41">
        <v>46007.177083333336</v>
      </c>
      <c r="O4980" s="38" t="s">
        <v>123</v>
      </c>
      <c r="P4980" s="38">
        <v>3600.0</v>
      </c>
      <c r="Q4980" s="39"/>
      <c r="R4980" s="39"/>
      <c r="S4980" s="38" t="s">
        <v>130</v>
      </c>
      <c r="T4980" s="39"/>
      <c r="U4980" s="39"/>
    </row>
    <row r="4981">
      <c r="A4981" s="40">
        <f t="shared" si="1"/>
        <v>46006</v>
      </c>
      <c r="B4981" s="37" t="str">
        <f t="array" ref="B4981">iferror(xlookup($I4981, 'IMPORT VHC Report'!$E:$E, 'IMPORT VHC Report'!$A:$C), )</f>
        <v/>
      </c>
      <c r="C4981" s="37"/>
      <c r="D4981" s="37"/>
      <c r="E4981" s="38" t="s">
        <v>5964</v>
      </c>
      <c r="F4981" s="38" t="s">
        <v>5958</v>
      </c>
      <c r="G4981" s="38">
        <v>5.902015961999E12</v>
      </c>
      <c r="H4981" s="38" t="s">
        <v>5959</v>
      </c>
      <c r="I4981" s="38" t="s">
        <v>5960</v>
      </c>
      <c r="J4981" s="38" t="s">
        <v>134</v>
      </c>
      <c r="K4981" s="38" t="s">
        <v>126</v>
      </c>
      <c r="L4981" s="41">
        <v>46007.239583333336</v>
      </c>
      <c r="M4981" s="38" t="s">
        <v>123</v>
      </c>
      <c r="N4981" s="41">
        <v>46007.260416666664</v>
      </c>
      <c r="O4981" s="38" t="s">
        <v>123</v>
      </c>
      <c r="P4981" s="38">
        <v>1800.0</v>
      </c>
      <c r="Q4981" s="39"/>
      <c r="R4981" s="39"/>
      <c r="S4981" s="39"/>
      <c r="T4981" s="39"/>
      <c r="U4981" s="39"/>
    </row>
    <row r="4982">
      <c r="A4982" s="40">
        <f t="shared" si="1"/>
        <v>46006</v>
      </c>
      <c r="B4982" s="37" t="str">
        <f t="array" ref="B4982">iferror(xlookup($I4982, 'IMPORT VHC Report'!$E:$E, 'IMPORT VHC Report'!$A:$C), )</f>
        <v/>
      </c>
      <c r="C4982" s="37"/>
      <c r="D4982" s="37"/>
      <c r="E4982" s="38" t="s">
        <v>5965</v>
      </c>
      <c r="F4982" s="38" t="s">
        <v>5958</v>
      </c>
      <c r="G4982" s="38">
        <v>5.902015961999E12</v>
      </c>
      <c r="H4982" s="38" t="s">
        <v>5959</v>
      </c>
      <c r="I4982" s="38" t="s">
        <v>5960</v>
      </c>
      <c r="J4982" s="38" t="s">
        <v>330</v>
      </c>
      <c r="K4982" s="38" t="s">
        <v>126</v>
      </c>
      <c r="L4982" s="41">
        <v>46007.958333333336</v>
      </c>
      <c r="M4982" s="38" t="s">
        <v>123</v>
      </c>
      <c r="N4982" s="41">
        <v>46007.96527777778</v>
      </c>
      <c r="O4982" s="38" t="s">
        <v>123</v>
      </c>
      <c r="P4982" s="38">
        <v>600.0</v>
      </c>
      <c r="Q4982" s="39"/>
      <c r="R4982" s="39"/>
      <c r="S4982" s="39"/>
      <c r="T4982" s="39"/>
      <c r="U4982" s="39"/>
    </row>
    <row r="4983">
      <c r="A4983" s="40">
        <f t="shared" si="1"/>
        <v>46006</v>
      </c>
      <c r="B4983" s="37" t="str">
        <f t="array" ref="B4983">iferror(xlookup($I4983, 'IMPORT VHC Report'!$E:$E, 'IMPORT VHC Report'!$A:$C), )</f>
        <v/>
      </c>
      <c r="C4983" s="37"/>
      <c r="D4983" s="37"/>
      <c r="E4983" s="38" t="s">
        <v>5966</v>
      </c>
      <c r="F4983" s="38" t="s">
        <v>5958</v>
      </c>
      <c r="G4983" s="38">
        <v>5.902015961999E12</v>
      </c>
      <c r="H4983" s="38" t="s">
        <v>5959</v>
      </c>
      <c r="I4983" s="38" t="s">
        <v>5960</v>
      </c>
      <c r="J4983" s="38" t="s">
        <v>332</v>
      </c>
      <c r="K4983" s="38" t="s">
        <v>63</v>
      </c>
      <c r="L4983" s="41">
        <v>46007.958333333336</v>
      </c>
      <c r="M4983" s="38" t="s">
        <v>123</v>
      </c>
      <c r="N4983" s="41">
        <v>46008.333333333336</v>
      </c>
      <c r="O4983" s="38" t="s">
        <v>123</v>
      </c>
      <c r="P4983" s="38">
        <v>32400.0</v>
      </c>
      <c r="Q4983" s="39"/>
      <c r="R4983" s="39"/>
      <c r="S4983" s="39"/>
      <c r="T4983" s="39"/>
      <c r="U4983" s="39"/>
    </row>
    <row r="4984">
      <c r="A4984" s="40">
        <f t="shared" si="1"/>
        <v>46006</v>
      </c>
      <c r="B4984" s="37" t="str">
        <f t="array" ref="B4984">iferror(xlookup($I4984, 'IMPORT VHC Report'!$E:$E, 'IMPORT VHC Report'!$A:$C), )</f>
        <v/>
      </c>
      <c r="C4984" s="37"/>
      <c r="D4984" s="37"/>
      <c r="E4984" s="38" t="s">
        <v>5967</v>
      </c>
      <c r="F4984" s="38" t="s">
        <v>5958</v>
      </c>
      <c r="G4984" s="38">
        <v>5.902015961999E12</v>
      </c>
      <c r="H4984" s="38" t="s">
        <v>5959</v>
      </c>
      <c r="I4984" s="38" t="s">
        <v>5960</v>
      </c>
      <c r="J4984" s="38" t="s">
        <v>134</v>
      </c>
      <c r="K4984" s="38" t="s">
        <v>126</v>
      </c>
      <c r="L4984" s="41">
        <v>46008.0625</v>
      </c>
      <c r="M4984" s="38" t="s">
        <v>123</v>
      </c>
      <c r="N4984" s="41">
        <v>46008.083333333336</v>
      </c>
      <c r="O4984" s="38" t="s">
        <v>123</v>
      </c>
      <c r="P4984" s="38">
        <v>1800.0</v>
      </c>
      <c r="Q4984" s="39"/>
      <c r="R4984" s="39"/>
      <c r="S4984" s="39"/>
      <c r="T4984" s="39"/>
      <c r="U4984" s="39"/>
    </row>
    <row r="4985">
      <c r="A4985" s="40">
        <f t="shared" si="1"/>
        <v>46006</v>
      </c>
      <c r="B4985" s="37" t="str">
        <f t="array" ref="B4985">iferror(xlookup($I4985, 'IMPORT VHC Report'!$E:$E, 'IMPORT VHC Report'!$A:$C), )</f>
        <v/>
      </c>
      <c r="C4985" s="37"/>
      <c r="D4985" s="37"/>
      <c r="E4985" s="38" t="s">
        <v>5968</v>
      </c>
      <c r="F4985" s="38" t="s">
        <v>5958</v>
      </c>
      <c r="G4985" s="38">
        <v>5.902015961999E12</v>
      </c>
      <c r="H4985" s="38" t="s">
        <v>5959</v>
      </c>
      <c r="I4985" s="38" t="s">
        <v>5960</v>
      </c>
      <c r="J4985" s="38" t="s">
        <v>132</v>
      </c>
      <c r="K4985" s="38" t="s">
        <v>126</v>
      </c>
      <c r="L4985" s="41">
        <v>46008.166666666664</v>
      </c>
      <c r="M4985" s="38" t="s">
        <v>123</v>
      </c>
      <c r="N4985" s="41">
        <v>46008.208333333336</v>
      </c>
      <c r="O4985" s="38" t="s">
        <v>123</v>
      </c>
      <c r="P4985" s="38">
        <v>3600.0</v>
      </c>
      <c r="Q4985" s="39"/>
      <c r="R4985" s="39"/>
      <c r="S4985" s="39"/>
      <c r="T4985" s="39"/>
      <c r="U4985" s="39"/>
    </row>
    <row r="4986">
      <c r="A4986" s="40">
        <f t="shared" si="1"/>
        <v>46006</v>
      </c>
      <c r="B4986" s="37" t="str">
        <f t="array" ref="B4986">iferror(xlookup($I4986, 'IMPORT VHC Report'!$E:$E, 'IMPORT VHC Report'!$A:$C), )</f>
        <v/>
      </c>
      <c r="C4986" s="37"/>
      <c r="D4986" s="37"/>
      <c r="E4986" s="38" t="s">
        <v>5969</v>
      </c>
      <c r="F4986" s="38" t="s">
        <v>5958</v>
      </c>
      <c r="G4986" s="38">
        <v>5.902015961999E12</v>
      </c>
      <c r="H4986" s="38" t="s">
        <v>5959</v>
      </c>
      <c r="I4986" s="38" t="s">
        <v>5960</v>
      </c>
      <c r="J4986" s="38" t="s">
        <v>125</v>
      </c>
      <c r="K4986" s="38" t="s">
        <v>126</v>
      </c>
      <c r="L4986" s="41">
        <v>46008.209027777775</v>
      </c>
      <c r="M4986" s="38" t="s">
        <v>123</v>
      </c>
      <c r="N4986" s="41">
        <v>46008.22152777778</v>
      </c>
      <c r="O4986" s="38" t="s">
        <v>123</v>
      </c>
      <c r="P4986" s="38">
        <v>1080.0</v>
      </c>
      <c r="Q4986" s="39"/>
      <c r="R4986" s="39"/>
      <c r="S4986" s="38" t="s">
        <v>5970</v>
      </c>
      <c r="T4986" s="39"/>
      <c r="U4986" s="39"/>
    </row>
    <row r="4987">
      <c r="A4987" s="40">
        <f t="shared" si="1"/>
        <v>46006</v>
      </c>
      <c r="B4987" s="37" t="str">
        <f t="array" ref="B4987">iferror(xlookup($I4987, 'IMPORT VHC Report'!$E:$E, 'IMPORT VHC Report'!$A:$C), )</f>
        <v/>
      </c>
      <c r="C4987" s="37"/>
      <c r="D4987" s="37"/>
      <c r="E4987" s="38" t="s">
        <v>5971</v>
      </c>
      <c r="F4987" s="38" t="s">
        <v>5958</v>
      </c>
      <c r="G4987" s="38">
        <v>5.902015961999E12</v>
      </c>
      <c r="H4987" s="38" t="s">
        <v>5959</v>
      </c>
      <c r="I4987" s="38" t="s">
        <v>5960</v>
      </c>
      <c r="J4987" s="38" t="s">
        <v>125</v>
      </c>
      <c r="K4987" s="38" t="s">
        <v>126</v>
      </c>
      <c r="L4987" s="41">
        <v>46008.239583333336</v>
      </c>
      <c r="M4987" s="38" t="s">
        <v>123</v>
      </c>
      <c r="N4987" s="41">
        <v>46008.32638888889</v>
      </c>
      <c r="O4987" s="38" t="s">
        <v>123</v>
      </c>
      <c r="P4987" s="38">
        <v>7500.0</v>
      </c>
      <c r="Q4987" s="39"/>
      <c r="R4987" s="39"/>
      <c r="S4987" s="38" t="s">
        <v>5972</v>
      </c>
      <c r="T4987" s="39"/>
      <c r="U4987" s="39"/>
    </row>
    <row r="4988">
      <c r="A4988" s="40">
        <f t="shared" si="1"/>
        <v>46006</v>
      </c>
      <c r="B4988" s="37" t="str">
        <f t="array" ref="B4988">iferror(xlookup($I4988, 'IMPORT VHC Report'!$E:$E, 'IMPORT VHC Report'!$A:$C), )</f>
        <v/>
      </c>
      <c r="C4988" s="37"/>
      <c r="D4988" s="37"/>
      <c r="E4988" s="38" t="s">
        <v>5973</v>
      </c>
      <c r="F4988" s="38" t="s">
        <v>5958</v>
      </c>
      <c r="G4988" s="38">
        <v>5.902015961999E12</v>
      </c>
      <c r="H4988" s="38" t="s">
        <v>5959</v>
      </c>
      <c r="I4988" s="38" t="s">
        <v>5960</v>
      </c>
      <c r="J4988" s="38" t="s">
        <v>330</v>
      </c>
      <c r="K4988" s="38" t="s">
        <v>126</v>
      </c>
      <c r="L4988" s="41">
        <v>46008.958333333336</v>
      </c>
      <c r="M4988" s="38" t="s">
        <v>123</v>
      </c>
      <c r="N4988" s="41">
        <v>46008.96527777778</v>
      </c>
      <c r="O4988" s="38" t="s">
        <v>123</v>
      </c>
      <c r="P4988" s="38">
        <v>600.0</v>
      </c>
      <c r="Q4988" s="39"/>
      <c r="R4988" s="39"/>
      <c r="S4988" s="39"/>
      <c r="T4988" s="39"/>
      <c r="U4988" s="39"/>
    </row>
    <row r="4989">
      <c r="A4989" s="40">
        <f t="shared" si="1"/>
        <v>46006</v>
      </c>
      <c r="B4989" s="37" t="str">
        <f t="array" ref="B4989">iferror(xlookup($I4989, 'IMPORT VHC Report'!$E:$E, 'IMPORT VHC Report'!$A:$C), )</f>
        <v/>
      </c>
      <c r="C4989" s="37"/>
      <c r="D4989" s="37"/>
      <c r="E4989" s="38" t="s">
        <v>5974</v>
      </c>
      <c r="F4989" s="38" t="s">
        <v>5958</v>
      </c>
      <c r="G4989" s="38">
        <v>5.902015961999E12</v>
      </c>
      <c r="H4989" s="38" t="s">
        <v>5959</v>
      </c>
      <c r="I4989" s="38" t="s">
        <v>5960</v>
      </c>
      <c r="J4989" s="38" t="s">
        <v>332</v>
      </c>
      <c r="K4989" s="38" t="s">
        <v>63</v>
      </c>
      <c r="L4989" s="41">
        <v>46008.958333333336</v>
      </c>
      <c r="M4989" s="38" t="s">
        <v>123</v>
      </c>
      <c r="N4989" s="41">
        <v>46009.333333333336</v>
      </c>
      <c r="O4989" s="38" t="s">
        <v>123</v>
      </c>
      <c r="P4989" s="38">
        <v>32400.0</v>
      </c>
      <c r="Q4989" s="39"/>
      <c r="R4989" s="39"/>
      <c r="S4989" s="39"/>
      <c r="T4989" s="39"/>
      <c r="U4989" s="39"/>
    </row>
    <row r="4990">
      <c r="A4990" s="40">
        <f t="shared" si="1"/>
        <v>46006</v>
      </c>
      <c r="B4990" s="37" t="str">
        <f t="array" ref="B4990">iferror(xlookup($I4990, 'IMPORT VHC Report'!$E:$E, 'IMPORT VHC Report'!$A:$C), )</f>
        <v/>
      </c>
      <c r="C4990" s="37"/>
      <c r="D4990" s="37"/>
      <c r="E4990" s="38" t="s">
        <v>5975</v>
      </c>
      <c r="F4990" s="38" t="s">
        <v>5958</v>
      </c>
      <c r="G4990" s="38">
        <v>5.902015961999E12</v>
      </c>
      <c r="H4990" s="38" t="s">
        <v>5959</v>
      </c>
      <c r="I4990" s="38" t="s">
        <v>5960</v>
      </c>
      <c r="J4990" s="38" t="s">
        <v>132</v>
      </c>
      <c r="K4990" s="38" t="s">
        <v>126</v>
      </c>
      <c r="L4990" s="41">
        <v>46009.0</v>
      </c>
      <c r="M4990" s="38" t="s">
        <v>123</v>
      </c>
      <c r="N4990" s="41">
        <v>46009.041666666664</v>
      </c>
      <c r="O4990" s="38" t="s">
        <v>123</v>
      </c>
      <c r="P4990" s="38">
        <v>3600.0</v>
      </c>
      <c r="Q4990" s="39"/>
      <c r="R4990" s="39"/>
      <c r="S4990" s="39"/>
      <c r="T4990" s="39"/>
      <c r="U4990" s="39"/>
    </row>
    <row r="4991">
      <c r="A4991" s="40">
        <f t="shared" si="1"/>
        <v>46006</v>
      </c>
      <c r="B4991" s="37" t="str">
        <f t="array" ref="B4991">iferror(xlookup($I4991, 'IMPORT VHC Report'!$E:$E, 'IMPORT VHC Report'!$A:$C), )</f>
        <v/>
      </c>
      <c r="C4991" s="37"/>
      <c r="D4991" s="37"/>
      <c r="E4991" s="38" t="s">
        <v>5976</v>
      </c>
      <c r="F4991" s="38" t="s">
        <v>5958</v>
      </c>
      <c r="G4991" s="38">
        <v>5.902015961999E12</v>
      </c>
      <c r="H4991" s="38" t="s">
        <v>5959</v>
      </c>
      <c r="I4991" s="38" t="s">
        <v>5960</v>
      </c>
      <c r="J4991" s="38" t="s">
        <v>136</v>
      </c>
      <c r="K4991" s="38" t="s">
        <v>126</v>
      </c>
      <c r="L4991" s="41">
        <v>46009.041666666664</v>
      </c>
      <c r="M4991" s="38" t="s">
        <v>123</v>
      </c>
      <c r="N4991" s="41">
        <v>46009.083333333336</v>
      </c>
      <c r="O4991" s="38" t="s">
        <v>123</v>
      </c>
      <c r="P4991" s="38">
        <v>3600.0</v>
      </c>
      <c r="Q4991" s="39"/>
      <c r="R4991" s="39"/>
      <c r="S4991" s="38" t="s">
        <v>137</v>
      </c>
      <c r="T4991" s="39"/>
      <c r="U4991" s="39"/>
    </row>
    <row r="4992">
      <c r="A4992" s="40">
        <f t="shared" si="1"/>
        <v>46006</v>
      </c>
      <c r="B4992" s="37" t="str">
        <f t="array" ref="B4992">iferror(xlookup($I4992, 'IMPORT VHC Report'!$E:$E, 'IMPORT VHC Report'!$A:$C), )</f>
        <v/>
      </c>
      <c r="C4992" s="37"/>
      <c r="D4992" s="37"/>
      <c r="E4992" s="38" t="s">
        <v>5977</v>
      </c>
      <c r="F4992" s="38" t="s">
        <v>5958</v>
      </c>
      <c r="G4992" s="38">
        <v>5.902015961999E12</v>
      </c>
      <c r="H4992" s="38" t="s">
        <v>5959</v>
      </c>
      <c r="I4992" s="38" t="s">
        <v>5960</v>
      </c>
      <c r="J4992" s="38" t="s">
        <v>134</v>
      </c>
      <c r="K4992" s="38" t="s">
        <v>126</v>
      </c>
      <c r="L4992" s="41">
        <v>46009.1875</v>
      </c>
      <c r="M4992" s="38" t="s">
        <v>123</v>
      </c>
      <c r="N4992" s="41">
        <v>46009.208333333336</v>
      </c>
      <c r="O4992" s="38" t="s">
        <v>123</v>
      </c>
      <c r="P4992" s="38">
        <v>1800.0</v>
      </c>
      <c r="Q4992" s="39"/>
      <c r="R4992" s="39"/>
      <c r="S4992" s="39"/>
      <c r="T4992" s="39"/>
      <c r="U4992" s="39"/>
    </row>
    <row r="4993">
      <c r="A4993" s="40">
        <f t="shared" si="1"/>
        <v>46006</v>
      </c>
      <c r="B4993" s="37" t="str">
        <f t="array" ref="B4993">iferror(xlookup($I4993, 'IMPORT VHC Report'!$E:$E, 'IMPORT VHC Report'!$A:$C), )</f>
        <v/>
      </c>
      <c r="C4993" s="37"/>
      <c r="D4993" s="37"/>
      <c r="E4993" s="38" t="s">
        <v>5978</v>
      </c>
      <c r="F4993" s="38" t="s">
        <v>5958</v>
      </c>
      <c r="G4993" s="38">
        <v>5.902015961999E12</v>
      </c>
      <c r="H4993" s="38" t="s">
        <v>5959</v>
      </c>
      <c r="I4993" s="38" t="s">
        <v>5960</v>
      </c>
      <c r="J4993" s="38" t="s">
        <v>4</v>
      </c>
      <c r="K4993" s="38" t="s">
        <v>126</v>
      </c>
      <c r="L4993" s="41">
        <v>46009.208333333336</v>
      </c>
      <c r="M4993" s="38" t="s">
        <v>123</v>
      </c>
      <c r="N4993" s="41">
        <v>46009.25</v>
      </c>
      <c r="O4993" s="38" t="s">
        <v>123</v>
      </c>
      <c r="P4993" s="38">
        <v>3600.0</v>
      </c>
      <c r="Q4993" s="39"/>
      <c r="R4993" s="39"/>
      <c r="S4993" s="38" t="s">
        <v>336</v>
      </c>
      <c r="T4993" s="39"/>
      <c r="U4993" s="39"/>
    </row>
    <row r="4994">
      <c r="A4994" s="40">
        <f t="shared" si="1"/>
        <v>46006</v>
      </c>
      <c r="B4994" s="37" t="str">
        <f t="array" ref="B4994">iferror(xlookup($I4994, 'IMPORT VHC Report'!$E:$E, 'IMPORT VHC Report'!$A:$C), )</f>
        <v/>
      </c>
      <c r="C4994" s="37"/>
      <c r="D4994" s="37"/>
      <c r="E4994" s="38" t="s">
        <v>5979</v>
      </c>
      <c r="F4994" s="38" t="s">
        <v>5958</v>
      </c>
      <c r="G4994" s="38">
        <v>5.902015961999E12</v>
      </c>
      <c r="H4994" s="38" t="s">
        <v>5959</v>
      </c>
      <c r="I4994" s="38" t="s">
        <v>5960</v>
      </c>
      <c r="J4994" s="38" t="s">
        <v>330</v>
      </c>
      <c r="K4994" s="38" t="s">
        <v>126</v>
      </c>
      <c r="L4994" s="41">
        <v>46009.958333333336</v>
      </c>
      <c r="M4994" s="38" t="s">
        <v>123</v>
      </c>
      <c r="N4994" s="41">
        <v>46009.96527777778</v>
      </c>
      <c r="O4994" s="38" t="s">
        <v>123</v>
      </c>
      <c r="P4994" s="38">
        <v>600.0</v>
      </c>
      <c r="Q4994" s="39"/>
      <c r="R4994" s="39"/>
      <c r="S4994" s="39"/>
      <c r="T4994" s="39"/>
      <c r="U4994" s="39"/>
    </row>
    <row r="4995">
      <c r="A4995" s="40">
        <f t="shared" si="1"/>
        <v>46006</v>
      </c>
      <c r="B4995" s="37" t="str">
        <f t="array" ref="B4995">iferror(xlookup($I4995, 'IMPORT VHC Report'!$E:$E, 'IMPORT VHC Report'!$A:$C), )</f>
        <v/>
      </c>
      <c r="C4995" s="37"/>
      <c r="D4995" s="37"/>
      <c r="E4995" s="38" t="s">
        <v>5980</v>
      </c>
      <c r="F4995" s="38" t="s">
        <v>5958</v>
      </c>
      <c r="G4995" s="38">
        <v>5.902015961999E12</v>
      </c>
      <c r="H4995" s="38" t="s">
        <v>5959</v>
      </c>
      <c r="I4995" s="38" t="s">
        <v>5960</v>
      </c>
      <c r="J4995" s="38" t="s">
        <v>332</v>
      </c>
      <c r="K4995" s="38" t="s">
        <v>63</v>
      </c>
      <c r="L4995" s="41">
        <v>46009.958333333336</v>
      </c>
      <c r="M4995" s="38" t="s">
        <v>123</v>
      </c>
      <c r="N4995" s="41">
        <v>46010.333333333336</v>
      </c>
      <c r="O4995" s="38" t="s">
        <v>123</v>
      </c>
      <c r="P4995" s="38">
        <v>32400.0</v>
      </c>
      <c r="Q4995" s="39"/>
      <c r="R4995" s="39"/>
      <c r="S4995" s="39"/>
      <c r="T4995" s="39"/>
      <c r="U4995" s="39"/>
    </row>
    <row r="4996">
      <c r="A4996" s="40">
        <f t="shared" si="1"/>
        <v>46006</v>
      </c>
      <c r="B4996" s="37" t="str">
        <f t="array" ref="B4996">iferror(xlookup($I4996, 'IMPORT VHC Report'!$E:$E, 'IMPORT VHC Report'!$A:$C), )</f>
        <v/>
      </c>
      <c r="C4996" s="37"/>
      <c r="D4996" s="37"/>
      <c r="E4996" s="38" t="s">
        <v>5981</v>
      </c>
      <c r="F4996" s="38" t="s">
        <v>5958</v>
      </c>
      <c r="G4996" s="38">
        <v>5.902015961999E12</v>
      </c>
      <c r="H4996" s="38" t="s">
        <v>5959</v>
      </c>
      <c r="I4996" s="38" t="s">
        <v>5960</v>
      </c>
      <c r="J4996" s="38" t="s">
        <v>134</v>
      </c>
      <c r="K4996" s="38" t="s">
        <v>126</v>
      </c>
      <c r="L4996" s="41">
        <v>46010.041666666664</v>
      </c>
      <c r="M4996" s="38" t="s">
        <v>123</v>
      </c>
      <c r="N4996" s="41">
        <v>46010.0625</v>
      </c>
      <c r="O4996" s="38" t="s">
        <v>123</v>
      </c>
      <c r="P4996" s="38">
        <v>1800.0</v>
      </c>
      <c r="Q4996" s="39"/>
      <c r="R4996" s="39"/>
      <c r="S4996" s="39"/>
      <c r="T4996" s="39"/>
      <c r="U4996" s="39"/>
    </row>
    <row r="4997">
      <c r="A4997" s="40">
        <f t="shared" si="1"/>
        <v>46006</v>
      </c>
      <c r="B4997" s="37" t="str">
        <f t="array" ref="B4997">iferror(xlookup($I4997, 'IMPORT VHC Report'!$E:$E, 'IMPORT VHC Report'!$A:$C), )</f>
        <v/>
      </c>
      <c r="C4997" s="37"/>
      <c r="D4997" s="37"/>
      <c r="E4997" s="38" t="s">
        <v>5982</v>
      </c>
      <c r="F4997" s="38" t="s">
        <v>5958</v>
      </c>
      <c r="G4997" s="38">
        <v>5.902015961999E12</v>
      </c>
      <c r="H4997" s="38" t="s">
        <v>5959</v>
      </c>
      <c r="I4997" s="38" t="s">
        <v>5960</v>
      </c>
      <c r="J4997" s="38" t="s">
        <v>132</v>
      </c>
      <c r="K4997" s="38" t="s">
        <v>126</v>
      </c>
      <c r="L4997" s="41">
        <v>46010.1875</v>
      </c>
      <c r="M4997" s="38" t="s">
        <v>123</v>
      </c>
      <c r="N4997" s="41">
        <v>46010.229166666664</v>
      </c>
      <c r="O4997" s="38" t="s">
        <v>123</v>
      </c>
      <c r="P4997" s="38">
        <v>3600.0</v>
      </c>
      <c r="Q4997" s="39"/>
      <c r="R4997" s="39"/>
      <c r="S4997" s="39"/>
      <c r="T4997" s="39"/>
      <c r="U4997" s="39"/>
    </row>
    <row r="4998">
      <c r="A4998" s="40">
        <f t="shared" si="1"/>
        <v>46006</v>
      </c>
      <c r="B4998" s="37" t="str">
        <f t="array" ref="B4998">iferror(xlookup($I4998, 'IMPORT VHC Report'!$E:$E, 'IMPORT VHC Report'!$A:$C), )</f>
        <v/>
      </c>
      <c r="C4998" s="37"/>
      <c r="D4998" s="37"/>
      <c r="E4998" s="38" t="s">
        <v>5983</v>
      </c>
      <c r="F4998" s="38" t="s">
        <v>5958</v>
      </c>
      <c r="G4998" s="38">
        <v>5.902015961999E12</v>
      </c>
      <c r="H4998" s="38" t="s">
        <v>5959</v>
      </c>
      <c r="I4998" s="38" t="s">
        <v>5960</v>
      </c>
      <c r="J4998" s="38" t="s">
        <v>125</v>
      </c>
      <c r="K4998" s="38" t="s">
        <v>126</v>
      </c>
      <c r="L4998" s="41">
        <v>46010.31180555555</v>
      </c>
      <c r="M4998" s="38" t="s">
        <v>123</v>
      </c>
      <c r="N4998" s="41">
        <v>46010.32152777778</v>
      </c>
      <c r="O4998" s="38" t="s">
        <v>123</v>
      </c>
      <c r="P4998" s="38">
        <v>840.0</v>
      </c>
      <c r="Q4998" s="39"/>
      <c r="R4998" s="39"/>
      <c r="S4998" s="38" t="s">
        <v>5984</v>
      </c>
      <c r="T4998" s="39"/>
      <c r="U4998" s="39"/>
    </row>
    <row r="4999">
      <c r="A4999" s="40">
        <f t="shared" si="1"/>
        <v>46006</v>
      </c>
      <c r="B4999" s="37" t="str">
        <f t="array" ref="B4999">iferror(xlookup($I4999, 'IMPORT VHC Report'!$E:$E, 'IMPORT VHC Report'!$A:$C), )</f>
        <v/>
      </c>
      <c r="C4999" s="37"/>
      <c r="D4999" s="37"/>
      <c r="E4999" s="38" t="s">
        <v>5985</v>
      </c>
      <c r="F4999" s="38" t="s">
        <v>5958</v>
      </c>
      <c r="G4999" s="38">
        <v>5.902015961999E12</v>
      </c>
      <c r="H4999" s="38" t="s">
        <v>5959</v>
      </c>
      <c r="I4999" s="38" t="s">
        <v>5960</v>
      </c>
      <c r="J4999" s="38" t="s">
        <v>330</v>
      </c>
      <c r="K4999" s="38" t="s">
        <v>126</v>
      </c>
      <c r="L4999" s="41">
        <v>46010.958333333336</v>
      </c>
      <c r="M4999" s="38" t="s">
        <v>123</v>
      </c>
      <c r="N4999" s="41">
        <v>46010.96527777778</v>
      </c>
      <c r="O4999" s="38" t="s">
        <v>123</v>
      </c>
      <c r="P4999" s="38">
        <v>600.0</v>
      </c>
      <c r="Q4999" s="39"/>
      <c r="R4999" s="39"/>
      <c r="S4999" s="39"/>
      <c r="T4999" s="39"/>
      <c r="U4999" s="39"/>
    </row>
    <row r="5000">
      <c r="A5000" s="40">
        <f t="shared" si="1"/>
        <v>46006</v>
      </c>
      <c r="B5000" s="37" t="str">
        <f t="array" ref="B5000">iferror(xlookup($I5000, 'IMPORT VHC Report'!$E:$E, 'IMPORT VHC Report'!$A:$C), )</f>
        <v/>
      </c>
      <c r="C5000" s="37"/>
      <c r="D5000" s="37"/>
      <c r="E5000" s="38" t="s">
        <v>5986</v>
      </c>
      <c r="F5000" s="38" t="s">
        <v>5958</v>
      </c>
      <c r="G5000" s="38">
        <v>5.902015961999E12</v>
      </c>
      <c r="H5000" s="38" t="s">
        <v>5959</v>
      </c>
      <c r="I5000" s="38" t="s">
        <v>5960</v>
      </c>
      <c r="J5000" s="38" t="s">
        <v>178</v>
      </c>
      <c r="K5000" s="38" t="s">
        <v>153</v>
      </c>
      <c r="L5000" s="41">
        <v>46010.958333333336</v>
      </c>
      <c r="M5000" s="38" t="s">
        <v>123</v>
      </c>
      <c r="N5000" s="41">
        <v>46011.333333333336</v>
      </c>
      <c r="O5000" s="38" t="s">
        <v>123</v>
      </c>
      <c r="P5000" s="38">
        <v>32400.0</v>
      </c>
      <c r="Q5000" s="38">
        <v>28800.0</v>
      </c>
      <c r="R5000" s="38" t="s">
        <v>550</v>
      </c>
      <c r="S5000" s="39"/>
      <c r="T5000" s="39"/>
      <c r="U5000" s="39"/>
    </row>
    <row r="5001">
      <c r="A5001" s="40">
        <f t="shared" si="1"/>
        <v>46006</v>
      </c>
      <c r="B5001" s="37" t="str">
        <f t="array" ref="B5001">iferror(xlookup($I5001, 'IMPORT VHC Report'!$E:$E, 'IMPORT VHC Report'!$A:$C), )</f>
        <v/>
      </c>
      <c r="C5001" s="37"/>
      <c r="D5001" s="37"/>
      <c r="E5001" s="38" t="s">
        <v>5987</v>
      </c>
      <c r="F5001" s="38" t="s">
        <v>5958</v>
      </c>
      <c r="G5001" s="38">
        <v>5.902015961999E12</v>
      </c>
      <c r="H5001" s="38" t="s">
        <v>5959</v>
      </c>
      <c r="I5001" s="38" t="s">
        <v>5960</v>
      </c>
      <c r="J5001" s="38" t="s">
        <v>332</v>
      </c>
      <c r="K5001" s="38" t="s">
        <v>63</v>
      </c>
      <c r="L5001" s="41">
        <v>46010.958333333336</v>
      </c>
      <c r="M5001" s="38" t="s">
        <v>123</v>
      </c>
      <c r="N5001" s="41">
        <v>46011.333333333336</v>
      </c>
      <c r="O5001" s="38" t="s">
        <v>123</v>
      </c>
      <c r="P5001" s="38">
        <v>32400.0</v>
      </c>
      <c r="Q5001" s="39"/>
      <c r="R5001" s="39"/>
      <c r="S5001" s="39"/>
      <c r="T5001" s="39"/>
      <c r="U5001" s="39"/>
    </row>
    <row r="5002">
      <c r="A5002" s="40">
        <f t="shared" si="1"/>
        <v>46006</v>
      </c>
      <c r="B5002" s="37" t="str">
        <f t="array" ref="B5002">iferror(xlookup($I5002, 'IMPORT VHC Report'!$E:$E, 'IMPORT VHC Report'!$A:$C), )</f>
        <v/>
      </c>
      <c r="C5002" s="37"/>
      <c r="D5002" s="37"/>
      <c r="E5002" s="38" t="s">
        <v>5988</v>
      </c>
      <c r="F5002" s="38" t="s">
        <v>5958</v>
      </c>
      <c r="G5002" s="38">
        <v>5.902015961999E12</v>
      </c>
      <c r="H5002" s="38" t="s">
        <v>5959</v>
      </c>
      <c r="I5002" s="38" t="s">
        <v>5960</v>
      </c>
      <c r="J5002" s="38" t="s">
        <v>132</v>
      </c>
      <c r="K5002" s="38" t="s">
        <v>126</v>
      </c>
      <c r="L5002" s="41">
        <v>46011.041666666664</v>
      </c>
      <c r="M5002" s="38" t="s">
        <v>123</v>
      </c>
      <c r="N5002" s="41">
        <v>46011.083333333336</v>
      </c>
      <c r="O5002" s="38" t="s">
        <v>123</v>
      </c>
      <c r="P5002" s="38">
        <v>3600.0</v>
      </c>
      <c r="Q5002" s="39"/>
      <c r="R5002" s="39"/>
      <c r="S5002" s="39"/>
      <c r="T5002" s="39"/>
      <c r="U5002" s="39"/>
    </row>
    <row r="5003">
      <c r="A5003" s="40">
        <f t="shared" si="1"/>
        <v>46006</v>
      </c>
      <c r="B5003" s="37" t="str">
        <f t="array" ref="B5003">iferror(xlookup($I5003, 'IMPORT VHC Report'!$E:$E, 'IMPORT VHC Report'!$A:$C), )</f>
        <v/>
      </c>
      <c r="C5003" s="37"/>
      <c r="D5003" s="37"/>
      <c r="E5003" s="38" t="s">
        <v>5989</v>
      </c>
      <c r="F5003" s="38" t="s">
        <v>5958</v>
      </c>
      <c r="G5003" s="38">
        <v>5.902015961999E12</v>
      </c>
      <c r="H5003" s="38" t="s">
        <v>5959</v>
      </c>
      <c r="I5003" s="38" t="s">
        <v>5960</v>
      </c>
      <c r="J5003" s="38" t="s">
        <v>134</v>
      </c>
      <c r="K5003" s="38" t="s">
        <v>126</v>
      </c>
      <c r="L5003" s="41">
        <v>46011.25</v>
      </c>
      <c r="M5003" s="38" t="s">
        <v>123</v>
      </c>
      <c r="N5003" s="41">
        <v>46011.270833333336</v>
      </c>
      <c r="O5003" s="38" t="s">
        <v>123</v>
      </c>
      <c r="P5003" s="38">
        <v>1800.0</v>
      </c>
      <c r="Q5003" s="39"/>
      <c r="R5003" s="39"/>
      <c r="S5003" s="39"/>
      <c r="T5003" s="39"/>
      <c r="U5003" s="39"/>
    </row>
    <row r="5004">
      <c r="A5004" s="40">
        <f t="shared" si="1"/>
        <v>46006</v>
      </c>
      <c r="B5004" s="37" t="str">
        <f t="array" ref="B5004">iferror(xlookup($I5004, 'IMPORT VHC Report'!$E:$E, 'IMPORT VHC Report'!$A:$C), )</f>
        <v/>
      </c>
      <c r="C5004" s="37"/>
      <c r="D5004" s="37"/>
      <c r="E5004" s="38" t="s">
        <v>5990</v>
      </c>
      <c r="F5004" s="38" t="s">
        <v>5991</v>
      </c>
      <c r="G5004" s="38">
        <v>3.61731791575E11</v>
      </c>
      <c r="H5004" s="38" t="s">
        <v>5992</v>
      </c>
      <c r="I5004" s="38" t="s">
        <v>5993</v>
      </c>
      <c r="J5004" s="38" t="s">
        <v>178</v>
      </c>
      <c r="K5004" s="38" t="s">
        <v>153</v>
      </c>
      <c r="L5004" s="41">
        <v>46007.0</v>
      </c>
      <c r="M5004" s="38" t="s">
        <v>123</v>
      </c>
      <c r="N5004" s="41">
        <v>46008.0</v>
      </c>
      <c r="O5004" s="38" t="s">
        <v>123</v>
      </c>
      <c r="P5004" s="38">
        <v>86400.0</v>
      </c>
      <c r="Q5004" s="38">
        <v>28800.0</v>
      </c>
      <c r="R5004" s="38" t="s">
        <v>5994</v>
      </c>
      <c r="S5004" s="39"/>
      <c r="T5004" s="39"/>
      <c r="U5004" s="39"/>
    </row>
    <row r="5005">
      <c r="A5005" s="40">
        <f t="shared" si="1"/>
        <v>46006</v>
      </c>
      <c r="B5005" s="37" t="str">
        <f t="array" ref="B5005">iferror(xlookup($I5005, 'IMPORT VHC Report'!$E:$E, 'IMPORT VHC Report'!$A:$C), )</f>
        <v/>
      </c>
      <c r="C5005" s="37"/>
      <c r="D5005" s="37"/>
      <c r="E5005" s="38" t="s">
        <v>5995</v>
      </c>
      <c r="F5005" s="38" t="s">
        <v>5991</v>
      </c>
      <c r="G5005" s="38">
        <v>3.61731791575E11</v>
      </c>
      <c r="H5005" s="38" t="s">
        <v>5992</v>
      </c>
      <c r="I5005" s="38" t="s">
        <v>5993</v>
      </c>
      <c r="J5005" s="38" t="s">
        <v>5996</v>
      </c>
      <c r="K5005" s="38" t="s">
        <v>63</v>
      </c>
      <c r="L5005" s="41">
        <v>46007.583333333336</v>
      </c>
      <c r="M5005" s="38" t="s">
        <v>123</v>
      </c>
      <c r="N5005" s="41">
        <v>46007.958333333336</v>
      </c>
      <c r="O5005" s="38" t="s">
        <v>123</v>
      </c>
      <c r="P5005" s="38">
        <v>32400.0</v>
      </c>
      <c r="Q5005" s="39"/>
      <c r="R5005" s="39"/>
      <c r="S5005" s="39"/>
      <c r="T5005" s="39"/>
      <c r="U5005" s="39"/>
    </row>
    <row r="5006">
      <c r="A5006" s="40">
        <f t="shared" si="1"/>
        <v>46006</v>
      </c>
      <c r="B5006" s="37" t="str">
        <f t="array" ref="B5006">iferror(xlookup($I5006, 'IMPORT VHC Report'!$E:$E, 'IMPORT VHC Report'!$A:$C), )</f>
        <v/>
      </c>
      <c r="C5006" s="37"/>
      <c r="D5006" s="37"/>
      <c r="E5006" s="38" t="s">
        <v>5997</v>
      </c>
      <c r="F5006" s="38" t="s">
        <v>5991</v>
      </c>
      <c r="G5006" s="38">
        <v>3.61731791575E11</v>
      </c>
      <c r="H5006" s="38" t="s">
        <v>5992</v>
      </c>
      <c r="I5006" s="38" t="s">
        <v>5993</v>
      </c>
      <c r="J5006" s="38" t="s">
        <v>134</v>
      </c>
      <c r="K5006" s="38" t="s">
        <v>126</v>
      </c>
      <c r="L5006" s="41">
        <v>46007.666666666664</v>
      </c>
      <c r="M5006" s="38" t="s">
        <v>123</v>
      </c>
      <c r="N5006" s="41">
        <v>46007.677083333336</v>
      </c>
      <c r="O5006" s="38" t="s">
        <v>123</v>
      </c>
      <c r="P5006" s="38">
        <v>900.0</v>
      </c>
      <c r="Q5006" s="39"/>
      <c r="R5006" s="39"/>
      <c r="S5006" s="39"/>
      <c r="T5006" s="39"/>
      <c r="U5006" s="39"/>
    </row>
    <row r="5007">
      <c r="A5007" s="40">
        <f t="shared" si="1"/>
        <v>46006</v>
      </c>
      <c r="B5007" s="37" t="str">
        <f t="array" ref="B5007">iferror(xlookup($I5007, 'IMPORT VHC Report'!$E:$E, 'IMPORT VHC Report'!$A:$C), )</f>
        <v/>
      </c>
      <c r="C5007" s="37"/>
      <c r="D5007" s="37"/>
      <c r="E5007" s="38" t="s">
        <v>5998</v>
      </c>
      <c r="F5007" s="38" t="s">
        <v>5991</v>
      </c>
      <c r="G5007" s="38">
        <v>3.61731791575E11</v>
      </c>
      <c r="H5007" s="38" t="s">
        <v>5992</v>
      </c>
      <c r="I5007" s="38" t="s">
        <v>5993</v>
      </c>
      <c r="J5007" s="38" t="s">
        <v>132</v>
      </c>
      <c r="K5007" s="38" t="s">
        <v>126</v>
      </c>
      <c r="L5007" s="41">
        <v>46007.75</v>
      </c>
      <c r="M5007" s="38" t="s">
        <v>123</v>
      </c>
      <c r="N5007" s="41">
        <v>46007.791666666664</v>
      </c>
      <c r="O5007" s="38" t="s">
        <v>123</v>
      </c>
      <c r="P5007" s="38">
        <v>3600.0</v>
      </c>
      <c r="Q5007" s="39"/>
      <c r="R5007" s="39"/>
      <c r="S5007" s="39"/>
      <c r="T5007" s="39"/>
      <c r="U5007" s="39"/>
    </row>
    <row r="5008">
      <c r="A5008" s="40">
        <f t="shared" si="1"/>
        <v>46006</v>
      </c>
      <c r="B5008" s="37" t="str">
        <f t="array" ref="B5008">iferror(xlookup($I5008, 'IMPORT VHC Report'!$E:$E, 'IMPORT VHC Report'!$A:$C), )</f>
        <v/>
      </c>
      <c r="C5008" s="37"/>
      <c r="D5008" s="37"/>
      <c r="E5008" s="38" t="s">
        <v>5999</v>
      </c>
      <c r="F5008" s="38" t="s">
        <v>5991</v>
      </c>
      <c r="G5008" s="38">
        <v>3.61731791575E11</v>
      </c>
      <c r="H5008" s="38" t="s">
        <v>5992</v>
      </c>
      <c r="I5008" s="38" t="s">
        <v>5993</v>
      </c>
      <c r="J5008" s="38" t="s">
        <v>134</v>
      </c>
      <c r="K5008" s="38" t="s">
        <v>126</v>
      </c>
      <c r="L5008" s="41">
        <v>46007.885416666664</v>
      </c>
      <c r="M5008" s="38" t="s">
        <v>123</v>
      </c>
      <c r="N5008" s="41">
        <v>46007.895833333336</v>
      </c>
      <c r="O5008" s="38" t="s">
        <v>123</v>
      </c>
      <c r="P5008" s="38">
        <v>900.0</v>
      </c>
      <c r="Q5008" s="39"/>
      <c r="R5008" s="39"/>
      <c r="S5008" s="39"/>
      <c r="T5008" s="39"/>
      <c r="U5008" s="39"/>
    </row>
    <row r="5009">
      <c r="A5009" s="40">
        <f t="shared" si="1"/>
        <v>46006</v>
      </c>
      <c r="B5009" s="37" t="str">
        <f t="array" ref="B5009">iferror(xlookup($I5009, 'IMPORT VHC Report'!$E:$E, 'IMPORT VHC Report'!$A:$C), )</f>
        <v/>
      </c>
      <c r="C5009" s="37"/>
      <c r="D5009" s="37"/>
      <c r="E5009" s="38" t="s">
        <v>6000</v>
      </c>
      <c r="F5009" s="38" t="s">
        <v>5991</v>
      </c>
      <c r="G5009" s="38">
        <v>3.61731791575E11</v>
      </c>
      <c r="H5009" s="38" t="s">
        <v>5992</v>
      </c>
      <c r="I5009" s="38" t="s">
        <v>5993</v>
      </c>
      <c r="J5009" s="38" t="s">
        <v>5996</v>
      </c>
      <c r="K5009" s="38" t="s">
        <v>63</v>
      </c>
      <c r="L5009" s="41">
        <v>46008.583333333336</v>
      </c>
      <c r="M5009" s="38" t="s">
        <v>123</v>
      </c>
      <c r="N5009" s="41">
        <v>46008.958333333336</v>
      </c>
      <c r="O5009" s="38" t="s">
        <v>123</v>
      </c>
      <c r="P5009" s="38">
        <v>32400.0</v>
      </c>
      <c r="Q5009" s="39"/>
      <c r="R5009" s="39"/>
      <c r="S5009" s="39"/>
      <c r="T5009" s="39"/>
      <c r="U5009" s="39"/>
    </row>
    <row r="5010">
      <c r="A5010" s="40">
        <f t="shared" si="1"/>
        <v>46006</v>
      </c>
      <c r="B5010" s="37" t="str">
        <f t="array" ref="B5010">iferror(xlookup($I5010, 'IMPORT VHC Report'!$E:$E, 'IMPORT VHC Report'!$A:$C), )</f>
        <v/>
      </c>
      <c r="C5010" s="37"/>
      <c r="D5010" s="37"/>
      <c r="E5010" s="38" t="s">
        <v>6001</v>
      </c>
      <c r="F5010" s="38" t="s">
        <v>5991</v>
      </c>
      <c r="G5010" s="38">
        <v>3.61731791575E11</v>
      </c>
      <c r="H5010" s="38" t="s">
        <v>5992</v>
      </c>
      <c r="I5010" s="38" t="s">
        <v>5993</v>
      </c>
      <c r="J5010" s="38" t="s">
        <v>134</v>
      </c>
      <c r="K5010" s="38" t="s">
        <v>126</v>
      </c>
      <c r="L5010" s="41">
        <v>46008.645833333336</v>
      </c>
      <c r="M5010" s="38" t="s">
        <v>123</v>
      </c>
      <c r="N5010" s="41">
        <v>46008.65625</v>
      </c>
      <c r="O5010" s="38" t="s">
        <v>123</v>
      </c>
      <c r="P5010" s="38">
        <v>900.0</v>
      </c>
      <c r="Q5010" s="39"/>
      <c r="R5010" s="39"/>
      <c r="S5010" s="39"/>
      <c r="T5010" s="39"/>
      <c r="U5010" s="39"/>
    </row>
    <row r="5011">
      <c r="A5011" s="40">
        <f t="shared" si="1"/>
        <v>46006</v>
      </c>
      <c r="B5011" s="37" t="str">
        <f t="array" ref="B5011">iferror(xlookup($I5011, 'IMPORT VHC Report'!$E:$E, 'IMPORT VHC Report'!$A:$C), )</f>
        <v/>
      </c>
      <c r="C5011" s="37"/>
      <c r="D5011" s="37"/>
      <c r="E5011" s="38" t="s">
        <v>6002</v>
      </c>
      <c r="F5011" s="38" t="s">
        <v>5991</v>
      </c>
      <c r="G5011" s="38">
        <v>3.61731791575E11</v>
      </c>
      <c r="H5011" s="38" t="s">
        <v>5992</v>
      </c>
      <c r="I5011" s="38" t="s">
        <v>5993</v>
      </c>
      <c r="J5011" s="38" t="s">
        <v>132</v>
      </c>
      <c r="K5011" s="38" t="s">
        <v>126</v>
      </c>
      <c r="L5011" s="41">
        <v>46008.71875</v>
      </c>
      <c r="M5011" s="38" t="s">
        <v>123</v>
      </c>
      <c r="N5011" s="41">
        <v>46008.760416666664</v>
      </c>
      <c r="O5011" s="38" t="s">
        <v>123</v>
      </c>
      <c r="P5011" s="38">
        <v>3600.0</v>
      </c>
      <c r="Q5011" s="39"/>
      <c r="R5011" s="39"/>
      <c r="S5011" s="39"/>
      <c r="T5011" s="39"/>
      <c r="U5011" s="39"/>
    </row>
    <row r="5012">
      <c r="A5012" s="40">
        <f t="shared" si="1"/>
        <v>46006</v>
      </c>
      <c r="B5012" s="37" t="str">
        <f t="array" ref="B5012">iferror(xlookup($I5012, 'IMPORT VHC Report'!$E:$E, 'IMPORT VHC Report'!$A:$C), )</f>
        <v/>
      </c>
      <c r="C5012" s="37"/>
      <c r="D5012" s="37"/>
      <c r="E5012" s="38" t="s">
        <v>6003</v>
      </c>
      <c r="F5012" s="38" t="s">
        <v>5991</v>
      </c>
      <c r="G5012" s="38">
        <v>3.61731791575E11</v>
      </c>
      <c r="H5012" s="38" t="s">
        <v>5992</v>
      </c>
      <c r="I5012" s="38" t="s">
        <v>5993</v>
      </c>
      <c r="J5012" s="38" t="s">
        <v>134</v>
      </c>
      <c r="K5012" s="38" t="s">
        <v>126</v>
      </c>
      <c r="L5012" s="41">
        <v>46008.833333333336</v>
      </c>
      <c r="M5012" s="38" t="s">
        <v>123</v>
      </c>
      <c r="N5012" s="41">
        <v>46008.84375</v>
      </c>
      <c r="O5012" s="38" t="s">
        <v>123</v>
      </c>
      <c r="P5012" s="38">
        <v>900.0</v>
      </c>
      <c r="Q5012" s="39"/>
      <c r="R5012" s="39"/>
      <c r="S5012" s="39"/>
      <c r="T5012" s="39"/>
      <c r="U5012" s="39"/>
    </row>
    <row r="5013">
      <c r="A5013" s="40">
        <f t="shared" si="1"/>
        <v>46006</v>
      </c>
      <c r="B5013" s="37" t="str">
        <f t="array" ref="B5013">iferror(xlookup($I5013, 'IMPORT VHC Report'!$E:$E, 'IMPORT VHC Report'!$A:$C), )</f>
        <v/>
      </c>
      <c r="C5013" s="37"/>
      <c r="D5013" s="37"/>
      <c r="E5013" s="38" t="s">
        <v>6004</v>
      </c>
      <c r="F5013" s="38" t="s">
        <v>5991</v>
      </c>
      <c r="G5013" s="38">
        <v>3.61731791575E11</v>
      </c>
      <c r="H5013" s="38" t="s">
        <v>5992</v>
      </c>
      <c r="I5013" s="38" t="s">
        <v>5993</v>
      </c>
      <c r="J5013" s="38" t="s">
        <v>5996</v>
      </c>
      <c r="K5013" s="38" t="s">
        <v>63</v>
      </c>
      <c r="L5013" s="41">
        <v>46009.583333333336</v>
      </c>
      <c r="M5013" s="38" t="s">
        <v>123</v>
      </c>
      <c r="N5013" s="41">
        <v>46009.958333333336</v>
      </c>
      <c r="O5013" s="38" t="s">
        <v>123</v>
      </c>
      <c r="P5013" s="38">
        <v>32400.0</v>
      </c>
      <c r="Q5013" s="39"/>
      <c r="R5013" s="39"/>
      <c r="S5013" s="39"/>
      <c r="T5013" s="39"/>
      <c r="U5013" s="39"/>
    </row>
    <row r="5014">
      <c r="A5014" s="40">
        <f t="shared" si="1"/>
        <v>46006</v>
      </c>
      <c r="B5014" s="37" t="str">
        <f t="array" ref="B5014">iferror(xlookup($I5014, 'IMPORT VHC Report'!$E:$E, 'IMPORT VHC Report'!$A:$C), )</f>
        <v/>
      </c>
      <c r="C5014" s="37"/>
      <c r="D5014" s="37"/>
      <c r="E5014" s="38" t="s">
        <v>6005</v>
      </c>
      <c r="F5014" s="38" t="s">
        <v>5991</v>
      </c>
      <c r="G5014" s="38">
        <v>3.61731791575E11</v>
      </c>
      <c r="H5014" s="38" t="s">
        <v>5992</v>
      </c>
      <c r="I5014" s="38" t="s">
        <v>5993</v>
      </c>
      <c r="J5014" s="38" t="s">
        <v>134</v>
      </c>
      <c r="K5014" s="38" t="s">
        <v>126</v>
      </c>
      <c r="L5014" s="41">
        <v>46009.6875</v>
      </c>
      <c r="M5014" s="38" t="s">
        <v>123</v>
      </c>
      <c r="N5014" s="41">
        <v>46009.697916666664</v>
      </c>
      <c r="O5014" s="38" t="s">
        <v>123</v>
      </c>
      <c r="P5014" s="38">
        <v>900.0</v>
      </c>
      <c r="Q5014" s="39"/>
      <c r="R5014" s="39"/>
      <c r="S5014" s="39"/>
      <c r="T5014" s="39"/>
      <c r="U5014" s="39"/>
    </row>
    <row r="5015">
      <c r="A5015" s="40">
        <f t="shared" si="1"/>
        <v>46006</v>
      </c>
      <c r="B5015" s="37" t="str">
        <f t="array" ref="B5015">iferror(xlookup($I5015, 'IMPORT VHC Report'!$E:$E, 'IMPORT VHC Report'!$A:$C), )</f>
        <v/>
      </c>
      <c r="C5015" s="37"/>
      <c r="D5015" s="37"/>
      <c r="E5015" s="38" t="s">
        <v>6006</v>
      </c>
      <c r="F5015" s="38" t="s">
        <v>5991</v>
      </c>
      <c r="G5015" s="38">
        <v>3.61731791575E11</v>
      </c>
      <c r="H5015" s="38" t="s">
        <v>5992</v>
      </c>
      <c r="I5015" s="38" t="s">
        <v>5993</v>
      </c>
      <c r="J5015" s="38" t="s">
        <v>132</v>
      </c>
      <c r="K5015" s="38" t="s">
        <v>126</v>
      </c>
      <c r="L5015" s="41">
        <v>46009.760416666664</v>
      </c>
      <c r="M5015" s="38" t="s">
        <v>123</v>
      </c>
      <c r="N5015" s="41">
        <v>46009.802083333336</v>
      </c>
      <c r="O5015" s="38" t="s">
        <v>123</v>
      </c>
      <c r="P5015" s="38">
        <v>3600.0</v>
      </c>
      <c r="Q5015" s="39"/>
      <c r="R5015" s="39"/>
      <c r="S5015" s="39"/>
      <c r="T5015" s="39"/>
      <c r="U5015" s="39"/>
    </row>
    <row r="5016">
      <c r="A5016" s="40">
        <f t="shared" si="1"/>
        <v>46006</v>
      </c>
      <c r="B5016" s="37" t="str">
        <f t="array" ref="B5016">iferror(xlookup($I5016, 'IMPORT VHC Report'!$E:$E, 'IMPORT VHC Report'!$A:$C), )</f>
        <v/>
      </c>
      <c r="C5016" s="37"/>
      <c r="D5016" s="37"/>
      <c r="E5016" s="38" t="s">
        <v>6007</v>
      </c>
      <c r="F5016" s="38" t="s">
        <v>5991</v>
      </c>
      <c r="G5016" s="38">
        <v>3.61731791575E11</v>
      </c>
      <c r="H5016" s="38" t="s">
        <v>5992</v>
      </c>
      <c r="I5016" s="38" t="s">
        <v>5993</v>
      </c>
      <c r="J5016" s="38" t="s">
        <v>134</v>
      </c>
      <c r="K5016" s="38" t="s">
        <v>126</v>
      </c>
      <c r="L5016" s="41">
        <v>46009.885416666664</v>
      </c>
      <c r="M5016" s="38" t="s">
        <v>123</v>
      </c>
      <c r="N5016" s="41">
        <v>46009.895833333336</v>
      </c>
      <c r="O5016" s="38" t="s">
        <v>123</v>
      </c>
      <c r="P5016" s="38">
        <v>900.0</v>
      </c>
      <c r="Q5016" s="39"/>
      <c r="R5016" s="39"/>
      <c r="S5016" s="39"/>
      <c r="T5016" s="39"/>
      <c r="U5016" s="39"/>
    </row>
    <row r="5017">
      <c r="A5017" s="40">
        <f t="shared" si="1"/>
        <v>46006</v>
      </c>
      <c r="B5017" s="37" t="str">
        <f t="array" ref="B5017">iferror(xlookup($I5017, 'IMPORT VHC Report'!$E:$E, 'IMPORT VHC Report'!$A:$C), )</f>
        <v/>
      </c>
      <c r="C5017" s="37"/>
      <c r="D5017" s="37"/>
      <c r="E5017" s="38" t="s">
        <v>6008</v>
      </c>
      <c r="F5017" s="38" t="s">
        <v>5991</v>
      </c>
      <c r="G5017" s="38">
        <v>3.61731791575E11</v>
      </c>
      <c r="H5017" s="38" t="s">
        <v>5992</v>
      </c>
      <c r="I5017" s="38" t="s">
        <v>5993</v>
      </c>
      <c r="J5017" s="38" t="s">
        <v>5996</v>
      </c>
      <c r="K5017" s="38" t="s">
        <v>63</v>
      </c>
      <c r="L5017" s="41">
        <v>46010.583333333336</v>
      </c>
      <c r="M5017" s="38" t="s">
        <v>123</v>
      </c>
      <c r="N5017" s="41">
        <v>46010.958333333336</v>
      </c>
      <c r="O5017" s="38" t="s">
        <v>123</v>
      </c>
      <c r="P5017" s="38">
        <v>32400.0</v>
      </c>
      <c r="Q5017" s="39"/>
      <c r="R5017" s="39"/>
      <c r="S5017" s="39"/>
      <c r="T5017" s="39"/>
      <c r="U5017" s="39"/>
    </row>
    <row r="5018">
      <c r="A5018" s="40">
        <f t="shared" si="1"/>
        <v>46006</v>
      </c>
      <c r="B5018" s="37" t="str">
        <f t="array" ref="B5018">iferror(xlookup($I5018, 'IMPORT VHC Report'!$E:$E, 'IMPORT VHC Report'!$A:$C), )</f>
        <v/>
      </c>
      <c r="C5018" s="37"/>
      <c r="D5018" s="37"/>
      <c r="E5018" s="38" t="s">
        <v>6009</v>
      </c>
      <c r="F5018" s="38" t="s">
        <v>5991</v>
      </c>
      <c r="G5018" s="38">
        <v>3.61731791575E11</v>
      </c>
      <c r="H5018" s="38" t="s">
        <v>5992</v>
      </c>
      <c r="I5018" s="38" t="s">
        <v>5993</v>
      </c>
      <c r="J5018" s="38" t="s">
        <v>134</v>
      </c>
      <c r="K5018" s="38" t="s">
        <v>126</v>
      </c>
      <c r="L5018" s="41">
        <v>46010.666666666664</v>
      </c>
      <c r="M5018" s="38" t="s">
        <v>123</v>
      </c>
      <c r="N5018" s="41">
        <v>46010.677083333336</v>
      </c>
      <c r="O5018" s="38" t="s">
        <v>123</v>
      </c>
      <c r="P5018" s="38">
        <v>900.0</v>
      </c>
      <c r="Q5018" s="39"/>
      <c r="R5018" s="39"/>
      <c r="S5018" s="39"/>
      <c r="T5018" s="39"/>
      <c r="U5018" s="39"/>
    </row>
    <row r="5019">
      <c r="A5019" s="40">
        <f t="shared" si="1"/>
        <v>46006</v>
      </c>
      <c r="B5019" s="37" t="str">
        <f t="array" ref="B5019">iferror(xlookup($I5019, 'IMPORT VHC Report'!$E:$E, 'IMPORT VHC Report'!$A:$C), )</f>
        <v/>
      </c>
      <c r="C5019" s="37"/>
      <c r="D5019" s="37"/>
      <c r="E5019" s="38" t="s">
        <v>6010</v>
      </c>
      <c r="F5019" s="38" t="s">
        <v>5991</v>
      </c>
      <c r="G5019" s="38">
        <v>3.61731791575E11</v>
      </c>
      <c r="H5019" s="38" t="s">
        <v>5992</v>
      </c>
      <c r="I5019" s="38" t="s">
        <v>5993</v>
      </c>
      <c r="J5019" s="38" t="s">
        <v>132</v>
      </c>
      <c r="K5019" s="38" t="s">
        <v>126</v>
      </c>
      <c r="L5019" s="41">
        <v>46010.739583333336</v>
      </c>
      <c r="M5019" s="38" t="s">
        <v>123</v>
      </c>
      <c r="N5019" s="41">
        <v>46010.78125</v>
      </c>
      <c r="O5019" s="38" t="s">
        <v>123</v>
      </c>
      <c r="P5019" s="38">
        <v>3600.0</v>
      </c>
      <c r="Q5019" s="39"/>
      <c r="R5019" s="39"/>
      <c r="S5019" s="39"/>
      <c r="T5019" s="39"/>
      <c r="U5019" s="39"/>
    </row>
    <row r="5020">
      <c r="A5020" s="40">
        <f t="shared" si="1"/>
        <v>46006</v>
      </c>
      <c r="B5020" s="37" t="str">
        <f t="array" ref="B5020">iferror(xlookup($I5020, 'IMPORT VHC Report'!$E:$E, 'IMPORT VHC Report'!$A:$C), )</f>
        <v/>
      </c>
      <c r="C5020" s="37"/>
      <c r="D5020" s="37"/>
      <c r="E5020" s="38" t="s">
        <v>6011</v>
      </c>
      <c r="F5020" s="38" t="s">
        <v>5991</v>
      </c>
      <c r="G5020" s="38">
        <v>3.61731791575E11</v>
      </c>
      <c r="H5020" s="38" t="s">
        <v>5992</v>
      </c>
      <c r="I5020" s="38" t="s">
        <v>5993</v>
      </c>
      <c r="J5020" s="38" t="s">
        <v>134</v>
      </c>
      <c r="K5020" s="38" t="s">
        <v>126</v>
      </c>
      <c r="L5020" s="41">
        <v>46010.885416666664</v>
      </c>
      <c r="M5020" s="38" t="s">
        <v>123</v>
      </c>
      <c r="N5020" s="41">
        <v>46010.895833333336</v>
      </c>
      <c r="O5020" s="38" t="s">
        <v>123</v>
      </c>
      <c r="P5020" s="38">
        <v>900.0</v>
      </c>
      <c r="Q5020" s="39"/>
      <c r="R5020" s="39"/>
      <c r="S5020" s="39"/>
      <c r="T5020" s="39"/>
      <c r="U5020" s="39"/>
    </row>
    <row r="5021">
      <c r="A5021" s="40">
        <f t="shared" si="1"/>
        <v>46006</v>
      </c>
      <c r="B5021" s="37" t="str">
        <f t="array" ref="B5021">iferror(xlookup($I5021, 'IMPORT VHC Report'!$E:$E, 'IMPORT VHC Report'!$A:$C), )</f>
        <v/>
      </c>
      <c r="C5021" s="37"/>
      <c r="D5021" s="37"/>
      <c r="E5021" s="38" t="s">
        <v>6012</v>
      </c>
      <c r="F5021" s="38" t="s">
        <v>6013</v>
      </c>
      <c r="G5021" s="38">
        <v>8.904462217231E12</v>
      </c>
      <c r="H5021" s="38" t="s">
        <v>6014</v>
      </c>
      <c r="I5021" s="38" t="s">
        <v>6015</v>
      </c>
      <c r="J5021" s="38" t="s">
        <v>330</v>
      </c>
      <c r="K5021" s="38" t="s">
        <v>126</v>
      </c>
      <c r="L5021" s="41">
        <v>46007.0</v>
      </c>
      <c r="M5021" s="38" t="s">
        <v>123</v>
      </c>
      <c r="N5021" s="41">
        <v>46007.010416666664</v>
      </c>
      <c r="O5021" s="38" t="s">
        <v>123</v>
      </c>
      <c r="P5021" s="38">
        <v>900.0</v>
      </c>
      <c r="Q5021" s="39"/>
      <c r="R5021" s="39"/>
      <c r="S5021" s="39"/>
      <c r="T5021" s="39"/>
      <c r="U5021" s="39"/>
    </row>
    <row r="5022">
      <c r="A5022" s="40">
        <f t="shared" si="1"/>
        <v>46006</v>
      </c>
      <c r="B5022" s="37" t="str">
        <f t="array" ref="B5022">iferror(xlookup($I5022, 'IMPORT VHC Report'!$E:$E, 'IMPORT VHC Report'!$A:$C), )</f>
        <v/>
      </c>
      <c r="C5022" s="37"/>
      <c r="D5022" s="37"/>
      <c r="E5022" s="38" t="s">
        <v>6016</v>
      </c>
      <c r="F5022" s="38" t="s">
        <v>6013</v>
      </c>
      <c r="G5022" s="38">
        <v>8.904462217231E12</v>
      </c>
      <c r="H5022" s="38" t="s">
        <v>6014</v>
      </c>
      <c r="I5022" s="38" t="s">
        <v>6015</v>
      </c>
      <c r="J5022" s="38" t="s">
        <v>224</v>
      </c>
      <c r="K5022" s="38" t="s">
        <v>63</v>
      </c>
      <c r="L5022" s="41">
        <v>46007.010416666664</v>
      </c>
      <c r="M5022" s="38" t="s">
        <v>123</v>
      </c>
      <c r="N5022" s="41">
        <v>46007.083333333336</v>
      </c>
      <c r="O5022" s="38" t="s">
        <v>123</v>
      </c>
      <c r="P5022" s="38">
        <v>6300.0</v>
      </c>
      <c r="Q5022" s="39"/>
      <c r="R5022" s="39"/>
      <c r="S5022" s="39"/>
      <c r="T5022" s="39"/>
      <c r="U5022" s="39"/>
    </row>
    <row r="5023">
      <c r="A5023" s="40">
        <f t="shared" si="1"/>
        <v>46006</v>
      </c>
      <c r="B5023" s="37" t="str">
        <f t="array" ref="B5023">iferror(xlookup($I5023, 'IMPORT VHC Report'!$E:$E, 'IMPORT VHC Report'!$A:$C), )</f>
        <v/>
      </c>
      <c r="C5023" s="37"/>
      <c r="D5023" s="37"/>
      <c r="E5023" s="38" t="s">
        <v>6017</v>
      </c>
      <c r="F5023" s="38" t="s">
        <v>6013</v>
      </c>
      <c r="G5023" s="38">
        <v>8.904462217231E12</v>
      </c>
      <c r="H5023" s="38" t="s">
        <v>6014</v>
      </c>
      <c r="I5023" s="38" t="s">
        <v>6015</v>
      </c>
      <c r="J5023" s="38" t="s">
        <v>134</v>
      </c>
      <c r="K5023" s="38" t="s">
        <v>126</v>
      </c>
      <c r="L5023" s="41">
        <v>46007.083333333336</v>
      </c>
      <c r="M5023" s="38" t="s">
        <v>123</v>
      </c>
      <c r="N5023" s="41">
        <v>46007.09375</v>
      </c>
      <c r="O5023" s="38" t="s">
        <v>123</v>
      </c>
      <c r="P5023" s="38">
        <v>900.0</v>
      </c>
      <c r="Q5023" s="39"/>
      <c r="R5023" s="39"/>
      <c r="S5023" s="39"/>
      <c r="T5023" s="39"/>
      <c r="U5023" s="39"/>
    </row>
    <row r="5024">
      <c r="A5024" s="40">
        <f t="shared" si="1"/>
        <v>46006</v>
      </c>
      <c r="B5024" s="37" t="str">
        <f t="array" ref="B5024">iferror(xlookup($I5024, 'IMPORT VHC Report'!$E:$E, 'IMPORT VHC Report'!$A:$C), )</f>
        <v/>
      </c>
      <c r="C5024" s="37"/>
      <c r="D5024" s="37"/>
      <c r="E5024" s="38" t="s">
        <v>6018</v>
      </c>
      <c r="F5024" s="38" t="s">
        <v>6013</v>
      </c>
      <c r="G5024" s="38">
        <v>8.904462217231E12</v>
      </c>
      <c r="H5024" s="38" t="s">
        <v>6014</v>
      </c>
      <c r="I5024" s="38" t="s">
        <v>6015</v>
      </c>
      <c r="J5024" s="38" t="s">
        <v>224</v>
      </c>
      <c r="K5024" s="38" t="s">
        <v>63</v>
      </c>
      <c r="L5024" s="41">
        <v>46007.09375</v>
      </c>
      <c r="M5024" s="38" t="s">
        <v>123</v>
      </c>
      <c r="N5024" s="41">
        <v>46007.15625</v>
      </c>
      <c r="O5024" s="38" t="s">
        <v>123</v>
      </c>
      <c r="P5024" s="38">
        <v>5400.0</v>
      </c>
      <c r="Q5024" s="39"/>
      <c r="R5024" s="39"/>
      <c r="S5024" s="39"/>
      <c r="T5024" s="39"/>
      <c r="U5024" s="39"/>
    </row>
    <row r="5025">
      <c r="A5025" s="40">
        <f t="shared" si="1"/>
        <v>46006</v>
      </c>
      <c r="B5025" s="37" t="str">
        <f t="array" ref="B5025">iferror(xlookup($I5025, 'IMPORT VHC Report'!$E:$E, 'IMPORT VHC Report'!$A:$C), )</f>
        <v/>
      </c>
      <c r="C5025" s="37"/>
      <c r="D5025" s="37"/>
      <c r="E5025" s="38" t="s">
        <v>6019</v>
      </c>
      <c r="F5025" s="38" t="s">
        <v>6013</v>
      </c>
      <c r="G5025" s="38">
        <v>8.904462217231E12</v>
      </c>
      <c r="H5025" s="38" t="s">
        <v>6014</v>
      </c>
      <c r="I5025" s="38" t="s">
        <v>6015</v>
      </c>
      <c r="J5025" s="38" t="s">
        <v>132</v>
      </c>
      <c r="K5025" s="38" t="s">
        <v>126</v>
      </c>
      <c r="L5025" s="41">
        <v>46007.15625</v>
      </c>
      <c r="M5025" s="38" t="s">
        <v>123</v>
      </c>
      <c r="N5025" s="41">
        <v>46007.197916666664</v>
      </c>
      <c r="O5025" s="38" t="s">
        <v>123</v>
      </c>
      <c r="P5025" s="38">
        <v>3600.0</v>
      </c>
      <c r="Q5025" s="39"/>
      <c r="R5025" s="39"/>
      <c r="S5025" s="39"/>
      <c r="T5025" s="39"/>
      <c r="U5025" s="39"/>
    </row>
    <row r="5026">
      <c r="A5026" s="40">
        <f t="shared" si="1"/>
        <v>46006</v>
      </c>
      <c r="B5026" s="37" t="str">
        <f t="array" ref="B5026">iferror(xlookup($I5026, 'IMPORT VHC Report'!$E:$E, 'IMPORT VHC Report'!$A:$C), )</f>
        <v/>
      </c>
      <c r="C5026" s="37"/>
      <c r="D5026" s="37"/>
      <c r="E5026" s="38" t="s">
        <v>6020</v>
      </c>
      <c r="F5026" s="38" t="s">
        <v>6013</v>
      </c>
      <c r="G5026" s="38">
        <v>8.904462217231E12</v>
      </c>
      <c r="H5026" s="38" t="s">
        <v>6014</v>
      </c>
      <c r="I5026" s="38" t="s">
        <v>6015</v>
      </c>
      <c r="J5026" s="38" t="s">
        <v>224</v>
      </c>
      <c r="K5026" s="38" t="s">
        <v>63</v>
      </c>
      <c r="L5026" s="41">
        <v>46007.197916666664</v>
      </c>
      <c r="M5026" s="38" t="s">
        <v>123</v>
      </c>
      <c r="N5026" s="41">
        <v>46007.260416666664</v>
      </c>
      <c r="O5026" s="38" t="s">
        <v>123</v>
      </c>
      <c r="P5026" s="38">
        <v>5400.0</v>
      </c>
      <c r="Q5026" s="39"/>
      <c r="R5026" s="39"/>
      <c r="S5026" s="39"/>
      <c r="T5026" s="39"/>
      <c r="U5026" s="39"/>
    </row>
    <row r="5027">
      <c r="A5027" s="40">
        <f t="shared" si="1"/>
        <v>46006</v>
      </c>
      <c r="B5027" s="37" t="str">
        <f t="array" ref="B5027">iferror(xlookup($I5027, 'IMPORT VHC Report'!$E:$E, 'IMPORT VHC Report'!$A:$C), )</f>
        <v/>
      </c>
      <c r="C5027" s="37"/>
      <c r="D5027" s="37"/>
      <c r="E5027" s="38" t="s">
        <v>6021</v>
      </c>
      <c r="F5027" s="38" t="s">
        <v>6013</v>
      </c>
      <c r="G5027" s="38">
        <v>8.904462217231E12</v>
      </c>
      <c r="H5027" s="38" t="s">
        <v>6014</v>
      </c>
      <c r="I5027" s="38" t="s">
        <v>6015</v>
      </c>
      <c r="J5027" s="38" t="s">
        <v>134</v>
      </c>
      <c r="K5027" s="38" t="s">
        <v>126</v>
      </c>
      <c r="L5027" s="41">
        <v>46007.260416666664</v>
      </c>
      <c r="M5027" s="38" t="s">
        <v>123</v>
      </c>
      <c r="N5027" s="41">
        <v>46007.270833333336</v>
      </c>
      <c r="O5027" s="38" t="s">
        <v>123</v>
      </c>
      <c r="P5027" s="38">
        <v>900.0</v>
      </c>
      <c r="Q5027" s="39"/>
      <c r="R5027" s="39"/>
      <c r="S5027" s="39"/>
      <c r="T5027" s="39"/>
      <c r="U5027" s="39"/>
    </row>
    <row r="5028">
      <c r="A5028" s="40">
        <f t="shared" si="1"/>
        <v>46006</v>
      </c>
      <c r="B5028" s="37" t="str">
        <f t="array" ref="B5028">iferror(xlookup($I5028, 'IMPORT VHC Report'!$E:$E, 'IMPORT VHC Report'!$A:$C), )</f>
        <v/>
      </c>
      <c r="C5028" s="37"/>
      <c r="D5028" s="37"/>
      <c r="E5028" s="38" t="s">
        <v>6022</v>
      </c>
      <c r="F5028" s="38" t="s">
        <v>6013</v>
      </c>
      <c r="G5028" s="38">
        <v>8.904462217231E12</v>
      </c>
      <c r="H5028" s="38" t="s">
        <v>6014</v>
      </c>
      <c r="I5028" s="38" t="s">
        <v>6015</v>
      </c>
      <c r="J5028" s="38" t="s">
        <v>136</v>
      </c>
      <c r="K5028" s="38" t="s">
        <v>126</v>
      </c>
      <c r="L5028" s="41">
        <v>46007.270833333336</v>
      </c>
      <c r="M5028" s="38" t="s">
        <v>123</v>
      </c>
      <c r="N5028" s="41">
        <v>46007.291666666664</v>
      </c>
      <c r="O5028" s="38" t="s">
        <v>123</v>
      </c>
      <c r="P5028" s="38">
        <v>1800.0</v>
      </c>
      <c r="Q5028" s="39"/>
      <c r="R5028" s="39"/>
      <c r="S5028" s="38" t="s">
        <v>137</v>
      </c>
      <c r="T5028" s="39"/>
      <c r="U5028" s="39"/>
    </row>
    <row r="5029">
      <c r="A5029" s="40">
        <f t="shared" si="1"/>
        <v>46006</v>
      </c>
      <c r="B5029" s="37" t="str">
        <f t="array" ref="B5029">iferror(xlookup($I5029, 'IMPORT VHC Report'!$E:$E, 'IMPORT VHC Report'!$A:$C), )</f>
        <v/>
      </c>
      <c r="C5029" s="37"/>
      <c r="D5029" s="37"/>
      <c r="E5029" s="38" t="s">
        <v>6023</v>
      </c>
      <c r="F5029" s="38" t="s">
        <v>6013</v>
      </c>
      <c r="G5029" s="38">
        <v>8.904462217231E12</v>
      </c>
      <c r="H5029" s="38" t="s">
        <v>6014</v>
      </c>
      <c r="I5029" s="38" t="s">
        <v>6015</v>
      </c>
      <c r="J5029" s="38" t="s">
        <v>224</v>
      </c>
      <c r="K5029" s="38" t="s">
        <v>63</v>
      </c>
      <c r="L5029" s="41">
        <v>46007.291666666664</v>
      </c>
      <c r="M5029" s="38" t="s">
        <v>123</v>
      </c>
      <c r="N5029" s="41">
        <v>46007.375</v>
      </c>
      <c r="O5029" s="38" t="s">
        <v>123</v>
      </c>
      <c r="P5029" s="38">
        <v>7200.0</v>
      </c>
      <c r="Q5029" s="39"/>
      <c r="R5029" s="39"/>
      <c r="S5029" s="39"/>
      <c r="T5029" s="39"/>
      <c r="U5029" s="39"/>
    </row>
    <row r="5030">
      <c r="A5030" s="40">
        <f t="shared" si="1"/>
        <v>46006</v>
      </c>
      <c r="B5030" s="37" t="str">
        <f t="array" ref="B5030">iferror(xlookup($I5030, 'IMPORT VHC Report'!$E:$E, 'IMPORT VHC Report'!$A:$C), )</f>
        <v/>
      </c>
      <c r="C5030" s="37"/>
      <c r="D5030" s="37"/>
      <c r="E5030" s="38" t="s">
        <v>6024</v>
      </c>
      <c r="F5030" s="38" t="s">
        <v>6013</v>
      </c>
      <c r="G5030" s="38">
        <v>8.904462217231E12</v>
      </c>
      <c r="H5030" s="38" t="s">
        <v>6014</v>
      </c>
      <c r="I5030" s="38" t="s">
        <v>6015</v>
      </c>
      <c r="J5030" s="38" t="s">
        <v>224</v>
      </c>
      <c r="K5030" s="38" t="s">
        <v>63</v>
      </c>
      <c r="L5030" s="41">
        <v>46008.0</v>
      </c>
      <c r="M5030" s="38" t="s">
        <v>123</v>
      </c>
      <c r="N5030" s="41">
        <v>46008.09375</v>
      </c>
      <c r="O5030" s="38" t="s">
        <v>123</v>
      </c>
      <c r="P5030" s="38">
        <v>8100.0</v>
      </c>
      <c r="Q5030" s="39"/>
      <c r="R5030" s="39"/>
      <c r="S5030" s="39"/>
      <c r="T5030" s="39"/>
      <c r="U5030" s="39"/>
    </row>
    <row r="5031">
      <c r="A5031" s="40">
        <f t="shared" si="1"/>
        <v>46006</v>
      </c>
      <c r="B5031" s="37" t="str">
        <f t="array" ref="B5031">iferror(xlookup($I5031, 'IMPORT VHC Report'!$E:$E, 'IMPORT VHC Report'!$A:$C), )</f>
        <v/>
      </c>
      <c r="C5031" s="37"/>
      <c r="D5031" s="37"/>
      <c r="E5031" s="38" t="s">
        <v>6025</v>
      </c>
      <c r="F5031" s="38" t="s">
        <v>6013</v>
      </c>
      <c r="G5031" s="38">
        <v>8.904462217231E12</v>
      </c>
      <c r="H5031" s="38" t="s">
        <v>6014</v>
      </c>
      <c r="I5031" s="38" t="s">
        <v>6015</v>
      </c>
      <c r="J5031" s="38" t="s">
        <v>224</v>
      </c>
      <c r="K5031" s="38" t="s">
        <v>63</v>
      </c>
      <c r="L5031" s="41">
        <v>46008.09375</v>
      </c>
      <c r="M5031" s="38" t="s">
        <v>123</v>
      </c>
      <c r="N5031" s="41">
        <v>46008.104166666664</v>
      </c>
      <c r="O5031" s="38" t="s">
        <v>123</v>
      </c>
      <c r="P5031" s="38">
        <v>900.0</v>
      </c>
      <c r="Q5031" s="39"/>
      <c r="R5031" s="39"/>
      <c r="S5031" s="39"/>
      <c r="T5031" s="39"/>
      <c r="U5031" s="39"/>
    </row>
    <row r="5032">
      <c r="A5032" s="40">
        <f t="shared" si="1"/>
        <v>46006</v>
      </c>
      <c r="B5032" s="37" t="str">
        <f t="array" ref="B5032">iferror(xlookup($I5032, 'IMPORT VHC Report'!$E:$E, 'IMPORT VHC Report'!$A:$C), )</f>
        <v/>
      </c>
      <c r="C5032" s="37"/>
      <c r="D5032" s="37"/>
      <c r="E5032" s="38" t="s">
        <v>6026</v>
      </c>
      <c r="F5032" s="38" t="s">
        <v>6013</v>
      </c>
      <c r="G5032" s="38">
        <v>8.904462217231E12</v>
      </c>
      <c r="H5032" s="38" t="s">
        <v>6014</v>
      </c>
      <c r="I5032" s="38" t="s">
        <v>6015</v>
      </c>
      <c r="J5032" s="38" t="s">
        <v>224</v>
      </c>
      <c r="K5032" s="38" t="s">
        <v>63</v>
      </c>
      <c r="L5032" s="41">
        <v>46008.104166666664</v>
      </c>
      <c r="M5032" s="38" t="s">
        <v>123</v>
      </c>
      <c r="N5032" s="41">
        <v>46008.166666666664</v>
      </c>
      <c r="O5032" s="38" t="s">
        <v>123</v>
      </c>
      <c r="P5032" s="38">
        <v>5400.0</v>
      </c>
      <c r="Q5032" s="39"/>
      <c r="R5032" s="39"/>
      <c r="S5032" s="39"/>
      <c r="T5032" s="39"/>
      <c r="U5032" s="39"/>
    </row>
    <row r="5033">
      <c r="A5033" s="40">
        <f t="shared" si="1"/>
        <v>46006</v>
      </c>
      <c r="B5033" s="37" t="str">
        <f t="array" ref="B5033">iferror(xlookup($I5033, 'IMPORT VHC Report'!$E:$E, 'IMPORT VHC Report'!$A:$C), )</f>
        <v/>
      </c>
      <c r="C5033" s="37"/>
      <c r="D5033" s="37"/>
      <c r="E5033" s="38" t="s">
        <v>6027</v>
      </c>
      <c r="F5033" s="38" t="s">
        <v>6013</v>
      </c>
      <c r="G5033" s="38">
        <v>8.904462217231E12</v>
      </c>
      <c r="H5033" s="38" t="s">
        <v>6014</v>
      </c>
      <c r="I5033" s="38" t="s">
        <v>6015</v>
      </c>
      <c r="J5033" s="38" t="s">
        <v>134</v>
      </c>
      <c r="K5033" s="38" t="s">
        <v>126</v>
      </c>
      <c r="L5033" s="41">
        <v>46008.125</v>
      </c>
      <c r="M5033" s="38" t="s">
        <v>123</v>
      </c>
      <c r="N5033" s="41">
        <v>46008.145833333336</v>
      </c>
      <c r="O5033" s="38" t="s">
        <v>123</v>
      </c>
      <c r="P5033" s="38">
        <v>1800.0</v>
      </c>
      <c r="Q5033" s="39"/>
      <c r="R5033" s="39"/>
      <c r="S5033" s="39"/>
      <c r="T5033" s="39"/>
      <c r="U5033" s="39"/>
    </row>
    <row r="5034">
      <c r="A5034" s="40">
        <f t="shared" si="1"/>
        <v>46006</v>
      </c>
      <c r="B5034" s="37" t="str">
        <f t="array" ref="B5034">iferror(xlookup($I5034, 'IMPORT VHC Report'!$E:$E, 'IMPORT VHC Report'!$A:$C), )</f>
        <v/>
      </c>
      <c r="C5034" s="37"/>
      <c r="D5034" s="37"/>
      <c r="E5034" s="38" t="s">
        <v>6028</v>
      </c>
      <c r="F5034" s="38" t="s">
        <v>6013</v>
      </c>
      <c r="G5034" s="38">
        <v>8.904462217231E12</v>
      </c>
      <c r="H5034" s="38" t="s">
        <v>6014</v>
      </c>
      <c r="I5034" s="38" t="s">
        <v>6015</v>
      </c>
      <c r="J5034" s="38" t="s">
        <v>224</v>
      </c>
      <c r="K5034" s="38" t="s">
        <v>63</v>
      </c>
      <c r="L5034" s="41">
        <v>46008.166666666664</v>
      </c>
      <c r="M5034" s="38" t="s">
        <v>123</v>
      </c>
      <c r="N5034" s="41">
        <v>46008.208333333336</v>
      </c>
      <c r="O5034" s="38" t="s">
        <v>123</v>
      </c>
      <c r="P5034" s="38">
        <v>3600.0</v>
      </c>
      <c r="Q5034" s="39"/>
      <c r="R5034" s="39"/>
      <c r="S5034" s="39"/>
      <c r="T5034" s="39"/>
      <c r="U5034" s="39"/>
    </row>
    <row r="5035">
      <c r="A5035" s="40">
        <f t="shared" si="1"/>
        <v>46006</v>
      </c>
      <c r="B5035" s="37" t="str">
        <f t="array" ref="B5035">iferror(xlookup($I5035, 'IMPORT VHC Report'!$E:$E, 'IMPORT VHC Report'!$A:$C), )</f>
        <v/>
      </c>
      <c r="C5035" s="37"/>
      <c r="D5035" s="37"/>
      <c r="E5035" s="38" t="s">
        <v>6029</v>
      </c>
      <c r="F5035" s="38" t="s">
        <v>6013</v>
      </c>
      <c r="G5035" s="38">
        <v>8.904462217231E12</v>
      </c>
      <c r="H5035" s="38" t="s">
        <v>6014</v>
      </c>
      <c r="I5035" s="38" t="s">
        <v>6015</v>
      </c>
      <c r="J5035" s="38" t="s">
        <v>224</v>
      </c>
      <c r="K5035" s="38" t="s">
        <v>63</v>
      </c>
      <c r="L5035" s="41">
        <v>46008.208333333336</v>
      </c>
      <c r="M5035" s="38" t="s">
        <v>123</v>
      </c>
      <c r="N5035" s="41">
        <v>46008.291666666664</v>
      </c>
      <c r="O5035" s="38" t="s">
        <v>123</v>
      </c>
      <c r="P5035" s="38">
        <v>7200.0</v>
      </c>
      <c r="Q5035" s="39"/>
      <c r="R5035" s="39"/>
      <c r="S5035" s="39"/>
      <c r="T5035" s="39"/>
      <c r="U5035" s="39"/>
    </row>
    <row r="5036">
      <c r="A5036" s="40">
        <f t="shared" si="1"/>
        <v>46006</v>
      </c>
      <c r="B5036" s="37" t="str">
        <f t="array" ref="B5036">iferror(xlookup($I5036, 'IMPORT VHC Report'!$E:$E, 'IMPORT VHC Report'!$A:$C), )</f>
        <v/>
      </c>
      <c r="C5036" s="37"/>
      <c r="D5036" s="37"/>
      <c r="E5036" s="38" t="s">
        <v>6030</v>
      </c>
      <c r="F5036" s="38" t="s">
        <v>6013</v>
      </c>
      <c r="G5036" s="38">
        <v>8.904462217231E12</v>
      </c>
      <c r="H5036" s="38" t="s">
        <v>6014</v>
      </c>
      <c r="I5036" s="38" t="s">
        <v>6015</v>
      </c>
      <c r="J5036" s="38" t="s">
        <v>136</v>
      </c>
      <c r="K5036" s="38" t="s">
        <v>126</v>
      </c>
      <c r="L5036" s="41">
        <v>46008.229166666664</v>
      </c>
      <c r="M5036" s="38" t="s">
        <v>123</v>
      </c>
      <c r="N5036" s="41">
        <v>46008.239583333336</v>
      </c>
      <c r="O5036" s="38" t="s">
        <v>123</v>
      </c>
      <c r="P5036" s="38">
        <v>900.0</v>
      </c>
      <c r="Q5036" s="39"/>
      <c r="R5036" s="39"/>
      <c r="S5036" s="38" t="s">
        <v>778</v>
      </c>
      <c r="T5036" s="39"/>
      <c r="U5036" s="39"/>
    </row>
    <row r="5037">
      <c r="A5037" s="40">
        <f t="shared" si="1"/>
        <v>46006</v>
      </c>
      <c r="B5037" s="37" t="str">
        <f t="array" ref="B5037">iferror(xlookup($I5037, 'IMPORT VHC Report'!$E:$E, 'IMPORT VHC Report'!$A:$C), )</f>
        <v/>
      </c>
      <c r="C5037" s="37"/>
      <c r="D5037" s="37"/>
      <c r="E5037" s="38" t="s">
        <v>6031</v>
      </c>
      <c r="F5037" s="38" t="s">
        <v>6013</v>
      </c>
      <c r="G5037" s="38">
        <v>8.904462217231E12</v>
      </c>
      <c r="H5037" s="38" t="s">
        <v>6014</v>
      </c>
      <c r="I5037" s="38" t="s">
        <v>6015</v>
      </c>
      <c r="J5037" s="38" t="s">
        <v>132</v>
      </c>
      <c r="K5037" s="38" t="s">
        <v>126</v>
      </c>
      <c r="L5037" s="41">
        <v>46008.270833333336</v>
      </c>
      <c r="M5037" s="38" t="s">
        <v>123</v>
      </c>
      <c r="N5037" s="41">
        <v>46008.291666666664</v>
      </c>
      <c r="O5037" s="38" t="s">
        <v>123</v>
      </c>
      <c r="P5037" s="38">
        <v>1800.0</v>
      </c>
      <c r="Q5037" s="39"/>
      <c r="R5037" s="39"/>
      <c r="S5037" s="39"/>
      <c r="T5037" s="39"/>
      <c r="U5037" s="39"/>
    </row>
    <row r="5038">
      <c r="A5038" s="40">
        <f t="shared" si="1"/>
        <v>46006</v>
      </c>
      <c r="B5038" s="37" t="str">
        <f t="array" ref="B5038">iferror(xlookup($I5038, 'IMPORT VHC Report'!$E:$E, 'IMPORT VHC Report'!$A:$C), )</f>
        <v/>
      </c>
      <c r="C5038" s="37"/>
      <c r="D5038" s="37"/>
      <c r="E5038" s="38" t="s">
        <v>6032</v>
      </c>
      <c r="F5038" s="38" t="s">
        <v>6013</v>
      </c>
      <c r="G5038" s="38">
        <v>8.904462217231E12</v>
      </c>
      <c r="H5038" s="38" t="s">
        <v>6014</v>
      </c>
      <c r="I5038" s="38" t="s">
        <v>6015</v>
      </c>
      <c r="J5038" s="38" t="s">
        <v>224</v>
      </c>
      <c r="K5038" s="38" t="s">
        <v>63</v>
      </c>
      <c r="L5038" s="41">
        <v>46008.291666666664</v>
      </c>
      <c r="M5038" s="38" t="s">
        <v>123</v>
      </c>
      <c r="N5038" s="41">
        <v>46008.302083333336</v>
      </c>
      <c r="O5038" s="38" t="s">
        <v>123</v>
      </c>
      <c r="P5038" s="38">
        <v>900.0</v>
      </c>
      <c r="Q5038" s="39"/>
      <c r="R5038" s="39"/>
      <c r="S5038" s="39"/>
      <c r="T5038" s="39"/>
      <c r="U5038" s="39"/>
    </row>
    <row r="5039">
      <c r="A5039" s="40">
        <f t="shared" si="1"/>
        <v>46006</v>
      </c>
      <c r="B5039" s="37" t="str">
        <f t="array" ref="B5039">iferror(xlookup($I5039, 'IMPORT VHC Report'!$E:$E, 'IMPORT VHC Report'!$A:$C), )</f>
        <v/>
      </c>
      <c r="C5039" s="37"/>
      <c r="D5039" s="37"/>
      <c r="E5039" s="38" t="s">
        <v>6033</v>
      </c>
      <c r="F5039" s="38" t="s">
        <v>6013</v>
      </c>
      <c r="G5039" s="38">
        <v>8.904462217231E12</v>
      </c>
      <c r="H5039" s="38" t="s">
        <v>6014</v>
      </c>
      <c r="I5039" s="38" t="s">
        <v>6015</v>
      </c>
      <c r="J5039" s="38" t="s">
        <v>224</v>
      </c>
      <c r="K5039" s="38" t="s">
        <v>63</v>
      </c>
      <c r="L5039" s="41">
        <v>46008.302083333336</v>
      </c>
      <c r="M5039" s="38" t="s">
        <v>123</v>
      </c>
      <c r="N5039" s="41">
        <v>46008.375</v>
      </c>
      <c r="O5039" s="38" t="s">
        <v>123</v>
      </c>
      <c r="P5039" s="38">
        <v>6300.0</v>
      </c>
      <c r="Q5039" s="39"/>
      <c r="R5039" s="39"/>
      <c r="S5039" s="39"/>
      <c r="T5039" s="39"/>
      <c r="U5039" s="39"/>
    </row>
    <row r="5040">
      <c r="A5040" s="40">
        <f t="shared" si="1"/>
        <v>46006</v>
      </c>
      <c r="B5040" s="37" t="str">
        <f t="array" ref="B5040">iferror(xlookup($I5040, 'IMPORT VHC Report'!$E:$E, 'IMPORT VHC Report'!$A:$C), )</f>
        <v/>
      </c>
      <c r="C5040" s="37"/>
      <c r="D5040" s="37"/>
      <c r="E5040" s="38" t="s">
        <v>6034</v>
      </c>
      <c r="F5040" s="38" t="s">
        <v>6013</v>
      </c>
      <c r="G5040" s="38">
        <v>8.904462217231E12</v>
      </c>
      <c r="H5040" s="38" t="s">
        <v>6014</v>
      </c>
      <c r="I5040" s="38" t="s">
        <v>6015</v>
      </c>
      <c r="J5040" s="38" t="s">
        <v>132</v>
      </c>
      <c r="K5040" s="38" t="s">
        <v>126</v>
      </c>
      <c r="L5040" s="41">
        <v>46008.354166666664</v>
      </c>
      <c r="M5040" s="38" t="s">
        <v>123</v>
      </c>
      <c r="N5040" s="41">
        <v>46008.375</v>
      </c>
      <c r="O5040" s="38" t="s">
        <v>123</v>
      </c>
      <c r="P5040" s="38">
        <v>1800.0</v>
      </c>
      <c r="Q5040" s="39"/>
      <c r="R5040" s="39"/>
      <c r="S5040" s="39"/>
      <c r="T5040" s="39"/>
      <c r="U5040" s="39"/>
    </row>
    <row r="5041">
      <c r="A5041" s="40">
        <f t="shared" si="1"/>
        <v>46006</v>
      </c>
      <c r="B5041" s="37" t="str">
        <f t="array" ref="B5041">iferror(xlookup($I5041, 'IMPORT VHC Report'!$E:$E, 'IMPORT VHC Report'!$A:$C), )</f>
        <v/>
      </c>
      <c r="C5041" s="37"/>
      <c r="D5041" s="37"/>
      <c r="E5041" s="38" t="s">
        <v>6035</v>
      </c>
      <c r="F5041" s="38" t="s">
        <v>6013</v>
      </c>
      <c r="G5041" s="38">
        <v>8.904462217231E12</v>
      </c>
      <c r="H5041" s="38" t="s">
        <v>6014</v>
      </c>
      <c r="I5041" s="38" t="s">
        <v>6015</v>
      </c>
      <c r="J5041" s="38" t="s">
        <v>224</v>
      </c>
      <c r="K5041" s="38" t="s">
        <v>63</v>
      </c>
      <c r="L5041" s="41">
        <v>46009.0</v>
      </c>
      <c r="M5041" s="38" t="s">
        <v>123</v>
      </c>
      <c r="N5041" s="41">
        <v>46009.083333333336</v>
      </c>
      <c r="O5041" s="38" t="s">
        <v>123</v>
      </c>
      <c r="P5041" s="38">
        <v>7200.0</v>
      </c>
      <c r="Q5041" s="39"/>
      <c r="R5041" s="39"/>
      <c r="S5041" s="39"/>
      <c r="T5041" s="39"/>
      <c r="U5041" s="39"/>
    </row>
    <row r="5042">
      <c r="A5042" s="40">
        <f t="shared" si="1"/>
        <v>46006</v>
      </c>
      <c r="B5042" s="37" t="str">
        <f t="array" ref="B5042">iferror(xlookup($I5042, 'IMPORT VHC Report'!$E:$E, 'IMPORT VHC Report'!$A:$C), )</f>
        <v/>
      </c>
      <c r="C5042" s="37"/>
      <c r="D5042" s="37"/>
      <c r="E5042" s="38" t="s">
        <v>6036</v>
      </c>
      <c r="F5042" s="38" t="s">
        <v>6013</v>
      </c>
      <c r="G5042" s="38">
        <v>8.904462217231E12</v>
      </c>
      <c r="H5042" s="38" t="s">
        <v>6014</v>
      </c>
      <c r="I5042" s="38" t="s">
        <v>6015</v>
      </c>
      <c r="J5042" s="38" t="s">
        <v>224</v>
      </c>
      <c r="K5042" s="38" t="s">
        <v>63</v>
      </c>
      <c r="L5042" s="41">
        <v>46009.083333333336</v>
      </c>
      <c r="M5042" s="38" t="s">
        <v>123</v>
      </c>
      <c r="N5042" s="41">
        <v>46009.09375</v>
      </c>
      <c r="O5042" s="38" t="s">
        <v>123</v>
      </c>
      <c r="P5042" s="38">
        <v>900.0</v>
      </c>
      <c r="Q5042" s="39"/>
      <c r="R5042" s="39"/>
      <c r="S5042" s="39"/>
      <c r="T5042" s="39"/>
      <c r="U5042" s="39"/>
    </row>
    <row r="5043">
      <c r="A5043" s="40">
        <f t="shared" si="1"/>
        <v>46006</v>
      </c>
      <c r="B5043" s="37" t="str">
        <f t="array" ref="B5043">iferror(xlookup($I5043, 'IMPORT VHC Report'!$E:$E, 'IMPORT VHC Report'!$A:$C), )</f>
        <v/>
      </c>
      <c r="C5043" s="37"/>
      <c r="D5043" s="37"/>
      <c r="E5043" s="38" t="s">
        <v>6037</v>
      </c>
      <c r="F5043" s="38" t="s">
        <v>6013</v>
      </c>
      <c r="G5043" s="38">
        <v>8.904462217231E12</v>
      </c>
      <c r="H5043" s="38" t="s">
        <v>6014</v>
      </c>
      <c r="I5043" s="38" t="s">
        <v>6015</v>
      </c>
      <c r="J5043" s="38" t="s">
        <v>224</v>
      </c>
      <c r="K5043" s="38" t="s">
        <v>63</v>
      </c>
      <c r="L5043" s="41">
        <v>46009.09375</v>
      </c>
      <c r="M5043" s="38" t="s">
        <v>123</v>
      </c>
      <c r="N5043" s="41">
        <v>46009.166666666664</v>
      </c>
      <c r="O5043" s="38" t="s">
        <v>123</v>
      </c>
      <c r="P5043" s="38">
        <v>6300.0</v>
      </c>
      <c r="Q5043" s="39"/>
      <c r="R5043" s="39"/>
      <c r="S5043" s="39"/>
      <c r="T5043" s="39"/>
      <c r="U5043" s="39"/>
    </row>
    <row r="5044">
      <c r="A5044" s="40">
        <f t="shared" si="1"/>
        <v>46006</v>
      </c>
      <c r="B5044" s="37" t="str">
        <f t="array" ref="B5044">iferror(xlookup($I5044, 'IMPORT VHC Report'!$E:$E, 'IMPORT VHC Report'!$A:$C), )</f>
        <v/>
      </c>
      <c r="C5044" s="37"/>
      <c r="D5044" s="37"/>
      <c r="E5044" s="38" t="s">
        <v>6038</v>
      </c>
      <c r="F5044" s="38" t="s">
        <v>6013</v>
      </c>
      <c r="G5044" s="38">
        <v>8.904462217231E12</v>
      </c>
      <c r="H5044" s="38" t="s">
        <v>6014</v>
      </c>
      <c r="I5044" s="38" t="s">
        <v>6015</v>
      </c>
      <c r="J5044" s="38" t="s">
        <v>134</v>
      </c>
      <c r="K5044" s="38" t="s">
        <v>126</v>
      </c>
      <c r="L5044" s="41">
        <v>46009.125</v>
      </c>
      <c r="M5044" s="38" t="s">
        <v>123</v>
      </c>
      <c r="N5044" s="41">
        <v>46009.145833333336</v>
      </c>
      <c r="O5044" s="38" t="s">
        <v>123</v>
      </c>
      <c r="P5044" s="38">
        <v>1800.0</v>
      </c>
      <c r="Q5044" s="39"/>
      <c r="R5044" s="39"/>
      <c r="S5044" s="39"/>
      <c r="T5044" s="39"/>
      <c r="U5044" s="39"/>
    </row>
    <row r="5045">
      <c r="A5045" s="40">
        <f t="shared" si="1"/>
        <v>46006</v>
      </c>
      <c r="B5045" s="37" t="str">
        <f t="array" ref="B5045">iferror(xlookup($I5045, 'IMPORT VHC Report'!$E:$E, 'IMPORT VHC Report'!$A:$C), )</f>
        <v/>
      </c>
      <c r="C5045" s="37"/>
      <c r="D5045" s="37"/>
      <c r="E5045" s="38" t="s">
        <v>6039</v>
      </c>
      <c r="F5045" s="38" t="s">
        <v>6013</v>
      </c>
      <c r="G5045" s="38">
        <v>8.904462217231E12</v>
      </c>
      <c r="H5045" s="38" t="s">
        <v>6014</v>
      </c>
      <c r="I5045" s="38" t="s">
        <v>6015</v>
      </c>
      <c r="J5045" s="38" t="s">
        <v>224</v>
      </c>
      <c r="K5045" s="38" t="s">
        <v>63</v>
      </c>
      <c r="L5045" s="41">
        <v>46009.166666666664</v>
      </c>
      <c r="M5045" s="38" t="s">
        <v>123</v>
      </c>
      <c r="N5045" s="41">
        <v>46009.177083333336</v>
      </c>
      <c r="O5045" s="38" t="s">
        <v>123</v>
      </c>
      <c r="P5045" s="38">
        <v>900.0</v>
      </c>
      <c r="Q5045" s="39"/>
      <c r="R5045" s="39"/>
      <c r="S5045" s="39"/>
      <c r="T5045" s="39"/>
      <c r="U5045" s="39"/>
    </row>
    <row r="5046">
      <c r="A5046" s="40">
        <f t="shared" si="1"/>
        <v>46006</v>
      </c>
      <c r="B5046" s="37" t="str">
        <f t="array" ref="B5046">iferror(xlookup($I5046, 'IMPORT VHC Report'!$E:$E, 'IMPORT VHC Report'!$A:$C), )</f>
        <v/>
      </c>
      <c r="C5046" s="37"/>
      <c r="D5046" s="37"/>
      <c r="E5046" s="38" t="s">
        <v>6040</v>
      </c>
      <c r="F5046" s="38" t="s">
        <v>6013</v>
      </c>
      <c r="G5046" s="38">
        <v>8.904462217231E12</v>
      </c>
      <c r="H5046" s="38" t="s">
        <v>6014</v>
      </c>
      <c r="I5046" s="38" t="s">
        <v>6015</v>
      </c>
      <c r="J5046" s="38" t="s">
        <v>224</v>
      </c>
      <c r="K5046" s="38" t="s">
        <v>63</v>
      </c>
      <c r="L5046" s="41">
        <v>46009.177083333336</v>
      </c>
      <c r="M5046" s="38" t="s">
        <v>123</v>
      </c>
      <c r="N5046" s="41">
        <v>46009.302083333336</v>
      </c>
      <c r="O5046" s="38" t="s">
        <v>123</v>
      </c>
      <c r="P5046" s="38">
        <v>10800.0</v>
      </c>
      <c r="Q5046" s="39"/>
      <c r="R5046" s="39"/>
      <c r="S5046" s="39"/>
      <c r="T5046" s="39"/>
      <c r="U5046" s="39"/>
    </row>
    <row r="5047">
      <c r="A5047" s="40">
        <f t="shared" si="1"/>
        <v>46006</v>
      </c>
      <c r="B5047" s="37" t="str">
        <f t="array" ref="B5047">iferror(xlookup($I5047, 'IMPORT VHC Report'!$E:$E, 'IMPORT VHC Report'!$A:$C), )</f>
        <v/>
      </c>
      <c r="C5047" s="37"/>
      <c r="D5047" s="37"/>
      <c r="E5047" s="38" t="s">
        <v>6041</v>
      </c>
      <c r="F5047" s="38" t="s">
        <v>6013</v>
      </c>
      <c r="G5047" s="38">
        <v>8.904462217231E12</v>
      </c>
      <c r="H5047" s="38" t="s">
        <v>6014</v>
      </c>
      <c r="I5047" s="38" t="s">
        <v>6015</v>
      </c>
      <c r="J5047" s="38" t="s">
        <v>224</v>
      </c>
      <c r="K5047" s="38" t="s">
        <v>63</v>
      </c>
      <c r="L5047" s="41">
        <v>46009.302083333336</v>
      </c>
      <c r="M5047" s="38" t="s">
        <v>123</v>
      </c>
      <c r="N5047" s="41">
        <v>46009.3125</v>
      </c>
      <c r="O5047" s="38" t="s">
        <v>123</v>
      </c>
      <c r="P5047" s="38">
        <v>900.0</v>
      </c>
      <c r="Q5047" s="39"/>
      <c r="R5047" s="39"/>
      <c r="S5047" s="39"/>
      <c r="T5047" s="39"/>
      <c r="U5047" s="39"/>
    </row>
    <row r="5048">
      <c r="A5048" s="40">
        <f t="shared" si="1"/>
        <v>46006</v>
      </c>
      <c r="B5048" s="37" t="str">
        <f t="array" ref="B5048">iferror(xlookup($I5048, 'IMPORT VHC Report'!$E:$E, 'IMPORT VHC Report'!$A:$C), )</f>
        <v/>
      </c>
      <c r="C5048" s="37"/>
      <c r="D5048" s="37"/>
      <c r="E5048" s="38" t="s">
        <v>6042</v>
      </c>
      <c r="F5048" s="38" t="s">
        <v>6013</v>
      </c>
      <c r="G5048" s="38">
        <v>8.904462217231E12</v>
      </c>
      <c r="H5048" s="38" t="s">
        <v>6014</v>
      </c>
      <c r="I5048" s="38" t="s">
        <v>6015</v>
      </c>
      <c r="J5048" s="38" t="s">
        <v>224</v>
      </c>
      <c r="K5048" s="38" t="s">
        <v>63</v>
      </c>
      <c r="L5048" s="41">
        <v>46009.3125</v>
      </c>
      <c r="M5048" s="38" t="s">
        <v>123</v>
      </c>
      <c r="N5048" s="41">
        <v>46009.375</v>
      </c>
      <c r="O5048" s="38" t="s">
        <v>123</v>
      </c>
      <c r="P5048" s="38">
        <v>5400.0</v>
      </c>
      <c r="Q5048" s="39"/>
      <c r="R5048" s="39"/>
      <c r="S5048" s="39"/>
      <c r="T5048" s="39"/>
      <c r="U5048" s="39"/>
    </row>
    <row r="5049">
      <c r="A5049" s="40">
        <f t="shared" si="1"/>
        <v>46006</v>
      </c>
      <c r="B5049" s="37" t="str">
        <f t="array" ref="B5049">iferror(xlookup($I5049, 'IMPORT VHC Report'!$E:$E, 'IMPORT VHC Report'!$A:$C), )</f>
        <v/>
      </c>
      <c r="C5049" s="37"/>
      <c r="D5049" s="37"/>
      <c r="E5049" s="38" t="s">
        <v>6043</v>
      </c>
      <c r="F5049" s="38" t="s">
        <v>6013</v>
      </c>
      <c r="G5049" s="38">
        <v>8.904462217231E12</v>
      </c>
      <c r="H5049" s="38" t="s">
        <v>6014</v>
      </c>
      <c r="I5049" s="38" t="s">
        <v>6015</v>
      </c>
      <c r="J5049" s="38" t="s">
        <v>132</v>
      </c>
      <c r="K5049" s="38" t="s">
        <v>126</v>
      </c>
      <c r="L5049" s="41">
        <v>46009.333333333336</v>
      </c>
      <c r="M5049" s="38" t="s">
        <v>123</v>
      </c>
      <c r="N5049" s="41">
        <v>46009.375</v>
      </c>
      <c r="O5049" s="38" t="s">
        <v>123</v>
      </c>
      <c r="P5049" s="38">
        <v>3600.0</v>
      </c>
      <c r="Q5049" s="39"/>
      <c r="R5049" s="39"/>
      <c r="S5049" s="39"/>
      <c r="T5049" s="39"/>
      <c r="U5049" s="39"/>
    </row>
    <row r="5050">
      <c r="A5050" s="40">
        <f t="shared" si="1"/>
        <v>46006</v>
      </c>
      <c r="B5050" s="37" t="str">
        <f t="array" ref="B5050">iferror(xlookup($I5050, 'IMPORT VHC Report'!$E:$E, 'IMPORT VHC Report'!$A:$C), )</f>
        <v/>
      </c>
      <c r="C5050" s="37"/>
      <c r="D5050" s="37"/>
      <c r="E5050" s="38" t="s">
        <v>6044</v>
      </c>
      <c r="F5050" s="38" t="s">
        <v>6013</v>
      </c>
      <c r="G5050" s="38">
        <v>8.904462217231E12</v>
      </c>
      <c r="H5050" s="38" t="s">
        <v>6014</v>
      </c>
      <c r="I5050" s="38" t="s">
        <v>6015</v>
      </c>
      <c r="J5050" s="38" t="s">
        <v>224</v>
      </c>
      <c r="K5050" s="38" t="s">
        <v>63</v>
      </c>
      <c r="L5050" s="41">
        <v>46010.0</v>
      </c>
      <c r="M5050" s="38" t="s">
        <v>123</v>
      </c>
      <c r="N5050" s="41">
        <v>46010.114583333336</v>
      </c>
      <c r="O5050" s="38" t="s">
        <v>123</v>
      </c>
      <c r="P5050" s="38">
        <v>9900.0</v>
      </c>
      <c r="Q5050" s="39"/>
      <c r="R5050" s="39"/>
      <c r="S5050" s="39"/>
      <c r="T5050" s="39"/>
      <c r="U5050" s="39"/>
    </row>
    <row r="5051">
      <c r="A5051" s="40">
        <f t="shared" si="1"/>
        <v>46006</v>
      </c>
      <c r="B5051" s="37" t="str">
        <f t="array" ref="B5051">iferror(xlookup($I5051, 'IMPORT VHC Report'!$E:$E, 'IMPORT VHC Report'!$A:$C), )</f>
        <v/>
      </c>
      <c r="C5051" s="37"/>
      <c r="D5051" s="37"/>
      <c r="E5051" s="38" t="s">
        <v>6045</v>
      </c>
      <c r="F5051" s="38" t="s">
        <v>6013</v>
      </c>
      <c r="G5051" s="38">
        <v>8.904462217231E12</v>
      </c>
      <c r="H5051" s="38" t="s">
        <v>6014</v>
      </c>
      <c r="I5051" s="38" t="s">
        <v>6015</v>
      </c>
      <c r="J5051" s="38" t="s">
        <v>224</v>
      </c>
      <c r="K5051" s="38" t="s">
        <v>63</v>
      </c>
      <c r="L5051" s="41">
        <v>46010.114583333336</v>
      </c>
      <c r="M5051" s="38" t="s">
        <v>123</v>
      </c>
      <c r="N5051" s="41">
        <v>46010.125</v>
      </c>
      <c r="O5051" s="38" t="s">
        <v>123</v>
      </c>
      <c r="P5051" s="38">
        <v>900.0</v>
      </c>
      <c r="Q5051" s="39"/>
      <c r="R5051" s="39"/>
      <c r="S5051" s="39"/>
      <c r="T5051" s="39"/>
      <c r="U5051" s="39"/>
    </row>
    <row r="5052">
      <c r="A5052" s="40">
        <f t="shared" si="1"/>
        <v>46006</v>
      </c>
      <c r="B5052" s="37" t="str">
        <f t="array" ref="B5052">iferror(xlookup($I5052, 'IMPORT VHC Report'!$E:$E, 'IMPORT VHC Report'!$A:$C), )</f>
        <v/>
      </c>
      <c r="C5052" s="37"/>
      <c r="D5052" s="37"/>
      <c r="E5052" s="38" t="s">
        <v>6046</v>
      </c>
      <c r="F5052" s="38" t="s">
        <v>6013</v>
      </c>
      <c r="G5052" s="38">
        <v>8.904462217231E12</v>
      </c>
      <c r="H5052" s="38" t="s">
        <v>6014</v>
      </c>
      <c r="I5052" s="38" t="s">
        <v>6015</v>
      </c>
      <c r="J5052" s="38" t="s">
        <v>134</v>
      </c>
      <c r="K5052" s="38" t="s">
        <v>126</v>
      </c>
      <c r="L5052" s="41">
        <v>46010.125</v>
      </c>
      <c r="M5052" s="38" t="s">
        <v>123</v>
      </c>
      <c r="N5052" s="41">
        <v>46010.145833333336</v>
      </c>
      <c r="O5052" s="38" t="s">
        <v>123</v>
      </c>
      <c r="P5052" s="38">
        <v>1800.0</v>
      </c>
      <c r="Q5052" s="39"/>
      <c r="R5052" s="39"/>
      <c r="S5052" s="39"/>
      <c r="T5052" s="39"/>
      <c r="U5052" s="39"/>
    </row>
    <row r="5053">
      <c r="A5053" s="40">
        <f t="shared" si="1"/>
        <v>46006</v>
      </c>
      <c r="B5053" s="37" t="str">
        <f t="array" ref="B5053">iferror(xlookup($I5053, 'IMPORT VHC Report'!$E:$E, 'IMPORT VHC Report'!$A:$C), )</f>
        <v/>
      </c>
      <c r="C5053" s="37"/>
      <c r="D5053" s="37"/>
      <c r="E5053" s="38" t="s">
        <v>6047</v>
      </c>
      <c r="F5053" s="38" t="s">
        <v>6013</v>
      </c>
      <c r="G5053" s="38">
        <v>8.904462217231E12</v>
      </c>
      <c r="H5053" s="38" t="s">
        <v>6014</v>
      </c>
      <c r="I5053" s="38" t="s">
        <v>6015</v>
      </c>
      <c r="J5053" s="38" t="s">
        <v>224</v>
      </c>
      <c r="K5053" s="38" t="s">
        <v>63</v>
      </c>
      <c r="L5053" s="41">
        <v>46010.145833333336</v>
      </c>
      <c r="M5053" s="38" t="s">
        <v>123</v>
      </c>
      <c r="N5053" s="41">
        <v>46010.15625</v>
      </c>
      <c r="O5053" s="38" t="s">
        <v>123</v>
      </c>
      <c r="P5053" s="38">
        <v>900.0</v>
      </c>
      <c r="Q5053" s="39"/>
      <c r="R5053" s="39"/>
      <c r="S5053" s="39"/>
      <c r="T5053" s="39"/>
      <c r="U5053" s="39"/>
    </row>
    <row r="5054">
      <c r="A5054" s="40">
        <f t="shared" si="1"/>
        <v>46006</v>
      </c>
      <c r="B5054" s="37" t="str">
        <f t="array" ref="B5054">iferror(xlookup($I5054, 'IMPORT VHC Report'!$E:$E, 'IMPORT VHC Report'!$A:$C), )</f>
        <v/>
      </c>
      <c r="C5054" s="37"/>
      <c r="D5054" s="37"/>
      <c r="E5054" s="38" t="s">
        <v>6048</v>
      </c>
      <c r="F5054" s="38" t="s">
        <v>6013</v>
      </c>
      <c r="G5054" s="38">
        <v>8.904462217231E12</v>
      </c>
      <c r="H5054" s="38" t="s">
        <v>6014</v>
      </c>
      <c r="I5054" s="38" t="s">
        <v>6015</v>
      </c>
      <c r="J5054" s="38" t="s">
        <v>224</v>
      </c>
      <c r="K5054" s="38" t="s">
        <v>63</v>
      </c>
      <c r="L5054" s="41">
        <v>46010.15625</v>
      </c>
      <c r="M5054" s="38" t="s">
        <v>123</v>
      </c>
      <c r="N5054" s="41">
        <v>46010.197916666664</v>
      </c>
      <c r="O5054" s="38" t="s">
        <v>123</v>
      </c>
      <c r="P5054" s="38">
        <v>3600.0</v>
      </c>
      <c r="Q5054" s="39"/>
      <c r="R5054" s="39"/>
      <c r="S5054" s="39"/>
      <c r="T5054" s="39"/>
      <c r="U5054" s="39"/>
    </row>
    <row r="5055">
      <c r="A5055" s="40">
        <f t="shared" si="1"/>
        <v>46006</v>
      </c>
      <c r="B5055" s="37" t="str">
        <f t="array" ref="B5055">iferror(xlookup($I5055, 'IMPORT VHC Report'!$E:$E, 'IMPORT VHC Report'!$A:$C), )</f>
        <v/>
      </c>
      <c r="C5055" s="37"/>
      <c r="D5055" s="37"/>
      <c r="E5055" s="38" t="s">
        <v>6049</v>
      </c>
      <c r="F5055" s="38" t="s">
        <v>6013</v>
      </c>
      <c r="G5055" s="38">
        <v>8.904462217231E12</v>
      </c>
      <c r="H5055" s="38" t="s">
        <v>6014</v>
      </c>
      <c r="I5055" s="38" t="s">
        <v>6015</v>
      </c>
      <c r="J5055" s="38" t="s">
        <v>62</v>
      </c>
      <c r="K5055" s="38" t="s">
        <v>63</v>
      </c>
      <c r="L5055" s="41">
        <v>46010.197916666664</v>
      </c>
      <c r="M5055" s="38" t="s">
        <v>123</v>
      </c>
      <c r="N5055" s="41">
        <v>46010.21875</v>
      </c>
      <c r="O5055" s="38" t="s">
        <v>123</v>
      </c>
      <c r="P5055" s="38">
        <v>1800.0</v>
      </c>
      <c r="Q5055" s="39"/>
      <c r="R5055" s="39"/>
      <c r="S5055" s="39"/>
      <c r="T5055" s="39"/>
      <c r="U5055" s="39"/>
    </row>
    <row r="5056">
      <c r="A5056" s="40">
        <f t="shared" si="1"/>
        <v>46006</v>
      </c>
      <c r="B5056" s="37" t="str">
        <f t="array" ref="B5056">iferror(xlookup($I5056, 'IMPORT VHC Report'!$E:$E, 'IMPORT VHC Report'!$A:$C), )</f>
        <v/>
      </c>
      <c r="C5056" s="37"/>
      <c r="D5056" s="37"/>
      <c r="E5056" s="38" t="s">
        <v>6050</v>
      </c>
      <c r="F5056" s="38" t="s">
        <v>6013</v>
      </c>
      <c r="G5056" s="38">
        <v>8.904462217231E12</v>
      </c>
      <c r="H5056" s="38" t="s">
        <v>6014</v>
      </c>
      <c r="I5056" s="38" t="s">
        <v>6015</v>
      </c>
      <c r="J5056" s="38" t="s">
        <v>224</v>
      </c>
      <c r="K5056" s="38" t="s">
        <v>63</v>
      </c>
      <c r="L5056" s="41">
        <v>46010.21875</v>
      </c>
      <c r="M5056" s="38" t="s">
        <v>123</v>
      </c>
      <c r="N5056" s="41">
        <v>46010.229166666664</v>
      </c>
      <c r="O5056" s="38" t="s">
        <v>123</v>
      </c>
      <c r="P5056" s="38">
        <v>900.0</v>
      </c>
      <c r="Q5056" s="39"/>
      <c r="R5056" s="39"/>
      <c r="S5056" s="39"/>
      <c r="T5056" s="39"/>
      <c r="U5056" s="39"/>
    </row>
    <row r="5057">
      <c r="A5057" s="40">
        <f t="shared" si="1"/>
        <v>46006</v>
      </c>
      <c r="B5057" s="37" t="str">
        <f t="array" ref="B5057">iferror(xlookup($I5057, 'IMPORT VHC Report'!$E:$E, 'IMPORT VHC Report'!$A:$C), )</f>
        <v/>
      </c>
      <c r="C5057" s="37"/>
      <c r="D5057" s="37"/>
      <c r="E5057" s="38" t="s">
        <v>6051</v>
      </c>
      <c r="F5057" s="38" t="s">
        <v>6013</v>
      </c>
      <c r="G5057" s="38">
        <v>8.904462217231E12</v>
      </c>
      <c r="H5057" s="38" t="s">
        <v>6014</v>
      </c>
      <c r="I5057" s="38" t="s">
        <v>6015</v>
      </c>
      <c r="J5057" s="38" t="s">
        <v>224</v>
      </c>
      <c r="K5057" s="38" t="s">
        <v>63</v>
      </c>
      <c r="L5057" s="41">
        <v>46010.229166666664</v>
      </c>
      <c r="M5057" s="38" t="s">
        <v>123</v>
      </c>
      <c r="N5057" s="41">
        <v>46010.239583333336</v>
      </c>
      <c r="O5057" s="38" t="s">
        <v>123</v>
      </c>
      <c r="P5057" s="38">
        <v>900.0</v>
      </c>
      <c r="Q5057" s="39"/>
      <c r="R5057" s="39"/>
      <c r="S5057" s="39"/>
      <c r="T5057" s="39"/>
      <c r="U5057" s="39"/>
    </row>
    <row r="5058">
      <c r="A5058" s="40">
        <f t="shared" si="1"/>
        <v>46006</v>
      </c>
      <c r="B5058" s="37" t="str">
        <f t="array" ref="B5058">iferror(xlookup($I5058, 'IMPORT VHC Report'!$E:$E, 'IMPORT VHC Report'!$A:$C), )</f>
        <v/>
      </c>
      <c r="C5058" s="37"/>
      <c r="D5058" s="37"/>
      <c r="E5058" s="38" t="s">
        <v>6052</v>
      </c>
      <c r="F5058" s="38" t="s">
        <v>6013</v>
      </c>
      <c r="G5058" s="38">
        <v>8.904462217231E12</v>
      </c>
      <c r="H5058" s="38" t="s">
        <v>6014</v>
      </c>
      <c r="I5058" s="38" t="s">
        <v>6015</v>
      </c>
      <c r="J5058" s="38" t="s">
        <v>224</v>
      </c>
      <c r="K5058" s="38" t="s">
        <v>63</v>
      </c>
      <c r="L5058" s="41">
        <v>46010.239583333336</v>
      </c>
      <c r="M5058" s="38" t="s">
        <v>123</v>
      </c>
      <c r="N5058" s="41">
        <v>46010.302083333336</v>
      </c>
      <c r="O5058" s="38" t="s">
        <v>123</v>
      </c>
      <c r="P5058" s="38">
        <v>5400.0</v>
      </c>
      <c r="Q5058" s="39"/>
      <c r="R5058" s="39"/>
      <c r="S5058" s="39"/>
      <c r="T5058" s="39"/>
      <c r="U5058" s="39"/>
    </row>
    <row r="5059">
      <c r="A5059" s="40">
        <f t="shared" si="1"/>
        <v>46006</v>
      </c>
      <c r="B5059" s="37" t="str">
        <f t="array" ref="B5059">iferror(xlookup($I5059, 'IMPORT VHC Report'!$E:$E, 'IMPORT VHC Report'!$A:$C), )</f>
        <v/>
      </c>
      <c r="C5059" s="37"/>
      <c r="D5059" s="37"/>
      <c r="E5059" s="38" t="s">
        <v>6053</v>
      </c>
      <c r="F5059" s="38" t="s">
        <v>6013</v>
      </c>
      <c r="G5059" s="38">
        <v>8.904462217231E12</v>
      </c>
      <c r="H5059" s="38" t="s">
        <v>6014</v>
      </c>
      <c r="I5059" s="38" t="s">
        <v>6015</v>
      </c>
      <c r="J5059" s="38" t="s">
        <v>132</v>
      </c>
      <c r="K5059" s="38" t="s">
        <v>126</v>
      </c>
      <c r="L5059" s="41">
        <v>46010.270833333336</v>
      </c>
      <c r="M5059" s="38" t="s">
        <v>123</v>
      </c>
      <c r="N5059" s="41">
        <v>46010.291666666664</v>
      </c>
      <c r="O5059" s="38" t="s">
        <v>123</v>
      </c>
      <c r="P5059" s="38">
        <v>1800.0</v>
      </c>
      <c r="Q5059" s="39"/>
      <c r="R5059" s="39"/>
      <c r="S5059" s="39"/>
      <c r="T5059" s="39"/>
      <c r="U5059" s="39"/>
    </row>
    <row r="5060">
      <c r="A5060" s="40">
        <f t="shared" si="1"/>
        <v>46006</v>
      </c>
      <c r="B5060" s="37" t="str">
        <f t="array" ref="B5060">iferror(xlookup($I5060, 'IMPORT VHC Report'!$E:$E, 'IMPORT VHC Report'!$A:$C), )</f>
        <v/>
      </c>
      <c r="C5060" s="37"/>
      <c r="D5060" s="37"/>
      <c r="E5060" s="38" t="s">
        <v>6054</v>
      </c>
      <c r="F5060" s="38" t="s">
        <v>6013</v>
      </c>
      <c r="G5060" s="38">
        <v>8.904462217231E12</v>
      </c>
      <c r="H5060" s="38" t="s">
        <v>6014</v>
      </c>
      <c r="I5060" s="38" t="s">
        <v>6015</v>
      </c>
      <c r="J5060" s="38" t="s">
        <v>224</v>
      </c>
      <c r="K5060" s="38" t="s">
        <v>63</v>
      </c>
      <c r="L5060" s="41">
        <v>46010.302083333336</v>
      </c>
      <c r="M5060" s="38" t="s">
        <v>123</v>
      </c>
      <c r="N5060" s="41">
        <v>46010.3125</v>
      </c>
      <c r="O5060" s="38" t="s">
        <v>123</v>
      </c>
      <c r="P5060" s="38">
        <v>900.0</v>
      </c>
      <c r="Q5060" s="39"/>
      <c r="R5060" s="39"/>
      <c r="S5060" s="39"/>
      <c r="T5060" s="39"/>
      <c r="U5060" s="39"/>
    </row>
    <row r="5061">
      <c r="A5061" s="40">
        <f t="shared" si="1"/>
        <v>46006</v>
      </c>
      <c r="B5061" s="37" t="str">
        <f t="array" ref="B5061">iferror(xlookup($I5061, 'IMPORT VHC Report'!$E:$E, 'IMPORT VHC Report'!$A:$C), )</f>
        <v/>
      </c>
      <c r="C5061" s="37"/>
      <c r="D5061" s="37"/>
      <c r="E5061" s="38" t="s">
        <v>6055</v>
      </c>
      <c r="F5061" s="38" t="s">
        <v>6013</v>
      </c>
      <c r="G5061" s="38">
        <v>8.904462217231E12</v>
      </c>
      <c r="H5061" s="38" t="s">
        <v>6014</v>
      </c>
      <c r="I5061" s="38" t="s">
        <v>6015</v>
      </c>
      <c r="J5061" s="38" t="s">
        <v>224</v>
      </c>
      <c r="K5061" s="38" t="s">
        <v>63</v>
      </c>
      <c r="L5061" s="41">
        <v>46010.3125</v>
      </c>
      <c r="M5061" s="38" t="s">
        <v>123</v>
      </c>
      <c r="N5061" s="41">
        <v>46010.375</v>
      </c>
      <c r="O5061" s="38" t="s">
        <v>123</v>
      </c>
      <c r="P5061" s="38">
        <v>5400.0</v>
      </c>
      <c r="Q5061" s="39"/>
      <c r="R5061" s="39"/>
      <c r="S5061" s="39"/>
      <c r="T5061" s="39"/>
      <c r="U5061" s="39"/>
    </row>
    <row r="5062">
      <c r="A5062" s="40">
        <f t="shared" si="1"/>
        <v>46006</v>
      </c>
      <c r="B5062" s="37" t="str">
        <f t="array" ref="B5062">iferror(xlookup($I5062, 'IMPORT VHC Report'!$E:$E, 'IMPORT VHC Report'!$A:$C), )</f>
        <v/>
      </c>
      <c r="C5062" s="37"/>
      <c r="D5062" s="37"/>
      <c r="E5062" s="38" t="s">
        <v>6056</v>
      </c>
      <c r="F5062" s="38" t="s">
        <v>6013</v>
      </c>
      <c r="G5062" s="38">
        <v>8.904462217231E12</v>
      </c>
      <c r="H5062" s="38" t="s">
        <v>6014</v>
      </c>
      <c r="I5062" s="38" t="s">
        <v>6015</v>
      </c>
      <c r="J5062" s="38" t="s">
        <v>125</v>
      </c>
      <c r="K5062" s="38" t="s">
        <v>126</v>
      </c>
      <c r="L5062" s="41">
        <v>46010.31319444445</v>
      </c>
      <c r="M5062" s="38" t="s">
        <v>123</v>
      </c>
      <c r="N5062" s="41">
        <v>46010.31736111111</v>
      </c>
      <c r="O5062" s="38" t="s">
        <v>123</v>
      </c>
      <c r="P5062" s="38">
        <v>360.0</v>
      </c>
      <c r="Q5062" s="39"/>
      <c r="R5062" s="39"/>
      <c r="S5062" s="39"/>
      <c r="T5062" s="39"/>
      <c r="U5062" s="39"/>
    </row>
    <row r="5063">
      <c r="A5063" s="40">
        <f t="shared" si="1"/>
        <v>46006</v>
      </c>
      <c r="B5063" s="37" t="str">
        <f t="array" ref="B5063">iferror(xlookup($I5063, 'IMPORT VHC Report'!$E:$E, 'IMPORT VHC Report'!$A:$C), )</f>
        <v/>
      </c>
      <c r="C5063" s="37"/>
      <c r="D5063" s="37"/>
      <c r="E5063" s="38" t="s">
        <v>6057</v>
      </c>
      <c r="F5063" s="38" t="s">
        <v>6013</v>
      </c>
      <c r="G5063" s="38">
        <v>8.904462217231E12</v>
      </c>
      <c r="H5063" s="38" t="s">
        <v>6014</v>
      </c>
      <c r="I5063" s="38" t="s">
        <v>6015</v>
      </c>
      <c r="J5063" s="38" t="s">
        <v>132</v>
      </c>
      <c r="K5063" s="38" t="s">
        <v>126</v>
      </c>
      <c r="L5063" s="41">
        <v>46010.354166666664</v>
      </c>
      <c r="M5063" s="38" t="s">
        <v>123</v>
      </c>
      <c r="N5063" s="41">
        <v>46010.375</v>
      </c>
      <c r="O5063" s="38" t="s">
        <v>123</v>
      </c>
      <c r="P5063" s="38">
        <v>1800.0</v>
      </c>
      <c r="Q5063" s="39"/>
      <c r="R5063" s="39"/>
      <c r="S5063" s="39"/>
      <c r="T5063" s="39"/>
      <c r="U5063" s="39"/>
    </row>
    <row r="5064">
      <c r="A5064" s="40">
        <f t="shared" si="1"/>
        <v>46006</v>
      </c>
      <c r="B5064" s="37" t="str">
        <f t="array" ref="B5064">iferror(xlookup($I5064, 'IMPORT VHC Report'!$E:$E, 'IMPORT VHC Report'!$A:$C), )</f>
        <v/>
      </c>
      <c r="C5064" s="37"/>
      <c r="D5064" s="37"/>
      <c r="E5064" s="38" t="s">
        <v>6058</v>
      </c>
      <c r="F5064" s="38" t="s">
        <v>6013</v>
      </c>
      <c r="G5064" s="38">
        <v>8.904462217231E12</v>
      </c>
      <c r="H5064" s="38" t="s">
        <v>6014</v>
      </c>
      <c r="I5064" s="38" t="s">
        <v>6015</v>
      </c>
      <c r="J5064" s="38" t="s">
        <v>224</v>
      </c>
      <c r="K5064" s="38" t="s">
        <v>63</v>
      </c>
      <c r="L5064" s="41">
        <v>46011.0</v>
      </c>
      <c r="M5064" s="38" t="s">
        <v>123</v>
      </c>
      <c r="N5064" s="41">
        <v>46011.375</v>
      </c>
      <c r="O5064" s="38" t="s">
        <v>123</v>
      </c>
      <c r="P5064" s="38">
        <v>32400.0</v>
      </c>
      <c r="Q5064" s="39"/>
      <c r="R5064" s="39"/>
      <c r="S5064" s="39"/>
      <c r="T5064" s="39"/>
      <c r="U5064" s="39"/>
    </row>
    <row r="5065">
      <c r="A5065" s="40">
        <f t="shared" si="1"/>
        <v>46006</v>
      </c>
      <c r="B5065" s="37" t="str">
        <f t="array" ref="B5065">iferror(xlookup($I5065, 'IMPORT VHC Report'!$E:$E, 'IMPORT VHC Report'!$A:$C), )</f>
        <v/>
      </c>
      <c r="C5065" s="37"/>
      <c r="D5065" s="37"/>
      <c r="E5065" s="38" t="s">
        <v>6059</v>
      </c>
      <c r="F5065" s="38" t="s">
        <v>6013</v>
      </c>
      <c r="G5065" s="38">
        <v>8.904462217231E12</v>
      </c>
      <c r="H5065" s="38" t="s">
        <v>6014</v>
      </c>
      <c r="I5065" s="38" t="s">
        <v>6015</v>
      </c>
      <c r="J5065" s="38" t="s">
        <v>134</v>
      </c>
      <c r="K5065" s="38" t="s">
        <v>126</v>
      </c>
      <c r="L5065" s="41">
        <v>46011.125</v>
      </c>
      <c r="M5065" s="38" t="s">
        <v>123</v>
      </c>
      <c r="N5065" s="41">
        <v>46011.145833333336</v>
      </c>
      <c r="O5065" s="38" t="s">
        <v>123</v>
      </c>
      <c r="P5065" s="38">
        <v>1800.0</v>
      </c>
      <c r="Q5065" s="39"/>
      <c r="R5065" s="39"/>
      <c r="S5065" s="39"/>
      <c r="T5065" s="39"/>
      <c r="U5065" s="39"/>
    </row>
    <row r="5066">
      <c r="A5066" s="40">
        <f t="shared" si="1"/>
        <v>46006</v>
      </c>
      <c r="B5066" s="37" t="str">
        <f t="array" ref="B5066">iferror(xlookup($I5066, 'IMPORT VHC Report'!$E:$E, 'IMPORT VHC Report'!$A:$C), )</f>
        <v/>
      </c>
      <c r="C5066" s="37"/>
      <c r="D5066" s="37"/>
      <c r="E5066" s="38" t="s">
        <v>6060</v>
      </c>
      <c r="F5066" s="38" t="s">
        <v>6013</v>
      </c>
      <c r="G5066" s="38">
        <v>8.904462217231E12</v>
      </c>
      <c r="H5066" s="38" t="s">
        <v>6014</v>
      </c>
      <c r="I5066" s="38" t="s">
        <v>6015</v>
      </c>
      <c r="J5066" s="38" t="s">
        <v>132</v>
      </c>
      <c r="K5066" s="38" t="s">
        <v>126</v>
      </c>
      <c r="L5066" s="41">
        <v>46011.270833333336</v>
      </c>
      <c r="M5066" s="38" t="s">
        <v>123</v>
      </c>
      <c r="N5066" s="41">
        <v>46011.291666666664</v>
      </c>
      <c r="O5066" s="38" t="s">
        <v>123</v>
      </c>
      <c r="P5066" s="38">
        <v>1800.0</v>
      </c>
      <c r="Q5066" s="39"/>
      <c r="R5066" s="39"/>
      <c r="S5066" s="39"/>
      <c r="T5066" s="39"/>
      <c r="U5066" s="39"/>
    </row>
    <row r="5067">
      <c r="A5067" s="40">
        <f t="shared" si="1"/>
        <v>46006</v>
      </c>
      <c r="B5067" s="37" t="str">
        <f t="array" ref="B5067">iferror(xlookup($I5067, 'IMPORT VHC Report'!$E:$E, 'IMPORT VHC Report'!$A:$C), )</f>
        <v/>
      </c>
      <c r="C5067" s="37"/>
      <c r="D5067" s="37"/>
      <c r="E5067" s="38" t="s">
        <v>6061</v>
      </c>
      <c r="F5067" s="38" t="s">
        <v>6013</v>
      </c>
      <c r="G5067" s="38">
        <v>8.904462217231E12</v>
      </c>
      <c r="H5067" s="38" t="s">
        <v>6014</v>
      </c>
      <c r="I5067" s="38" t="s">
        <v>6015</v>
      </c>
      <c r="J5067" s="38" t="s">
        <v>132</v>
      </c>
      <c r="K5067" s="38" t="s">
        <v>126</v>
      </c>
      <c r="L5067" s="41">
        <v>46011.354166666664</v>
      </c>
      <c r="M5067" s="38" t="s">
        <v>123</v>
      </c>
      <c r="N5067" s="41">
        <v>46011.375</v>
      </c>
      <c r="O5067" s="38" t="s">
        <v>123</v>
      </c>
      <c r="P5067" s="38">
        <v>1800.0</v>
      </c>
      <c r="Q5067" s="39"/>
      <c r="R5067" s="39"/>
      <c r="S5067" s="39"/>
      <c r="T5067" s="39"/>
      <c r="U5067" s="39"/>
    </row>
    <row r="5068">
      <c r="A5068" s="40">
        <f t="shared" si="1"/>
        <v>46006</v>
      </c>
      <c r="B5068" s="37" t="str">
        <f t="array" ref="B5068">iferror(xlookup($I5068, 'IMPORT VHC Report'!$E:$E, 'IMPORT VHC Report'!$A:$C), )</f>
        <v/>
      </c>
      <c r="C5068" s="37"/>
      <c r="D5068" s="37"/>
      <c r="E5068" s="38" t="s">
        <v>6062</v>
      </c>
      <c r="F5068" s="38" t="s">
        <v>6063</v>
      </c>
      <c r="G5068" s="39"/>
      <c r="H5068" s="38" t="s">
        <v>6064</v>
      </c>
      <c r="I5068" s="38" t="s">
        <v>6065</v>
      </c>
      <c r="J5068" s="38" t="s">
        <v>125</v>
      </c>
      <c r="K5068" s="38" t="s">
        <v>126</v>
      </c>
      <c r="L5068" s="41">
        <v>46007.041666666664</v>
      </c>
      <c r="M5068" s="38" t="s">
        <v>123</v>
      </c>
      <c r="N5068" s="41">
        <v>46007.04861111111</v>
      </c>
      <c r="O5068" s="38" t="s">
        <v>123</v>
      </c>
      <c r="P5068" s="38">
        <v>600.0</v>
      </c>
      <c r="Q5068" s="39"/>
      <c r="R5068" s="39"/>
      <c r="S5068" s="38" t="s">
        <v>127</v>
      </c>
      <c r="T5068" s="39"/>
      <c r="U5068" s="39"/>
    </row>
    <row r="5069">
      <c r="A5069" s="40">
        <f t="shared" si="1"/>
        <v>46006</v>
      </c>
      <c r="B5069" s="37" t="str">
        <f t="array" ref="B5069">iferror(xlookup($I5069, 'IMPORT VHC Report'!$E:$E, 'IMPORT VHC Report'!$A:$C), )</f>
        <v/>
      </c>
      <c r="C5069" s="37"/>
      <c r="D5069" s="37"/>
      <c r="E5069" s="38" t="s">
        <v>6066</v>
      </c>
      <c r="F5069" s="38" t="s">
        <v>6063</v>
      </c>
      <c r="G5069" s="39"/>
      <c r="H5069" s="38" t="s">
        <v>6064</v>
      </c>
      <c r="I5069" s="38" t="s">
        <v>6065</v>
      </c>
      <c r="J5069" s="38" t="s">
        <v>122</v>
      </c>
      <c r="K5069" s="38" t="s">
        <v>63</v>
      </c>
      <c r="L5069" s="41">
        <v>46007.041666666664</v>
      </c>
      <c r="M5069" s="38" t="s">
        <v>123</v>
      </c>
      <c r="N5069" s="41">
        <v>46007.416666666664</v>
      </c>
      <c r="O5069" s="38" t="s">
        <v>123</v>
      </c>
      <c r="P5069" s="38">
        <v>32400.0</v>
      </c>
      <c r="Q5069" s="39"/>
      <c r="R5069" s="39"/>
      <c r="S5069" s="39"/>
      <c r="T5069" s="39"/>
      <c r="U5069" s="39"/>
    </row>
    <row r="5070">
      <c r="A5070" s="40">
        <f t="shared" si="1"/>
        <v>46006</v>
      </c>
      <c r="B5070" s="37" t="str">
        <f t="array" ref="B5070">iferror(xlookup($I5070, 'IMPORT VHC Report'!$E:$E, 'IMPORT VHC Report'!$A:$C), )</f>
        <v/>
      </c>
      <c r="C5070" s="37"/>
      <c r="D5070" s="37"/>
      <c r="E5070" s="38" t="s">
        <v>6067</v>
      </c>
      <c r="F5070" s="38" t="s">
        <v>6063</v>
      </c>
      <c r="G5070" s="39"/>
      <c r="H5070" s="38" t="s">
        <v>6064</v>
      </c>
      <c r="I5070" s="38" t="s">
        <v>6065</v>
      </c>
      <c r="J5070" s="38" t="s">
        <v>134</v>
      </c>
      <c r="K5070" s="38" t="s">
        <v>126</v>
      </c>
      <c r="L5070" s="41">
        <v>46007.135416666664</v>
      </c>
      <c r="M5070" s="38" t="s">
        <v>123</v>
      </c>
      <c r="N5070" s="41">
        <v>46007.15625</v>
      </c>
      <c r="O5070" s="38" t="s">
        <v>123</v>
      </c>
      <c r="P5070" s="38">
        <v>1800.0</v>
      </c>
      <c r="Q5070" s="39"/>
      <c r="R5070" s="39"/>
      <c r="S5070" s="39"/>
      <c r="T5070" s="39"/>
      <c r="U5070" s="39"/>
    </row>
    <row r="5071">
      <c r="A5071" s="40">
        <f t="shared" si="1"/>
        <v>46006</v>
      </c>
      <c r="B5071" s="37" t="str">
        <f t="array" ref="B5071">iferror(xlookup($I5071, 'IMPORT VHC Report'!$E:$E, 'IMPORT VHC Report'!$A:$C), )</f>
        <v/>
      </c>
      <c r="C5071" s="37"/>
      <c r="D5071" s="37"/>
      <c r="E5071" s="38" t="s">
        <v>6068</v>
      </c>
      <c r="F5071" s="38" t="s">
        <v>6063</v>
      </c>
      <c r="G5071" s="39"/>
      <c r="H5071" s="38" t="s">
        <v>6064</v>
      </c>
      <c r="I5071" s="38" t="s">
        <v>6065</v>
      </c>
      <c r="J5071" s="38" t="s">
        <v>132</v>
      </c>
      <c r="K5071" s="38" t="s">
        <v>126</v>
      </c>
      <c r="L5071" s="41">
        <v>46007.25</v>
      </c>
      <c r="M5071" s="38" t="s">
        <v>123</v>
      </c>
      <c r="N5071" s="41">
        <v>46007.291666666664</v>
      </c>
      <c r="O5071" s="38" t="s">
        <v>123</v>
      </c>
      <c r="P5071" s="38">
        <v>3600.0</v>
      </c>
      <c r="Q5071" s="39"/>
      <c r="R5071" s="39"/>
      <c r="S5071" s="39"/>
      <c r="T5071" s="39"/>
      <c r="U5071" s="39"/>
    </row>
    <row r="5072">
      <c r="A5072" s="40">
        <f t="shared" si="1"/>
        <v>46006</v>
      </c>
      <c r="B5072" s="37" t="str">
        <f t="array" ref="B5072">iferror(xlookup($I5072, 'IMPORT VHC Report'!$E:$E, 'IMPORT VHC Report'!$A:$C), )</f>
        <v/>
      </c>
      <c r="C5072" s="37"/>
      <c r="D5072" s="37"/>
      <c r="E5072" s="38" t="s">
        <v>6069</v>
      </c>
      <c r="F5072" s="38" t="s">
        <v>6063</v>
      </c>
      <c r="G5072" s="39"/>
      <c r="H5072" s="38" t="s">
        <v>6064</v>
      </c>
      <c r="I5072" s="38" t="s">
        <v>6065</v>
      </c>
      <c r="J5072" s="38" t="s">
        <v>125</v>
      </c>
      <c r="K5072" s="38" t="s">
        <v>126</v>
      </c>
      <c r="L5072" s="41">
        <v>46008.041666666664</v>
      </c>
      <c r="M5072" s="38" t="s">
        <v>123</v>
      </c>
      <c r="N5072" s="41">
        <v>46008.04861111111</v>
      </c>
      <c r="O5072" s="38" t="s">
        <v>123</v>
      </c>
      <c r="P5072" s="38">
        <v>600.0</v>
      </c>
      <c r="Q5072" s="39"/>
      <c r="R5072" s="39"/>
      <c r="S5072" s="38" t="s">
        <v>127</v>
      </c>
      <c r="T5072" s="39"/>
      <c r="U5072" s="39"/>
    </row>
    <row r="5073">
      <c r="A5073" s="40">
        <f t="shared" si="1"/>
        <v>46006</v>
      </c>
      <c r="B5073" s="37" t="str">
        <f t="array" ref="B5073">iferror(xlookup($I5073, 'IMPORT VHC Report'!$E:$E, 'IMPORT VHC Report'!$A:$C), )</f>
        <v/>
      </c>
      <c r="C5073" s="37"/>
      <c r="D5073" s="37"/>
      <c r="E5073" s="38" t="s">
        <v>6070</v>
      </c>
      <c r="F5073" s="38" t="s">
        <v>6063</v>
      </c>
      <c r="G5073" s="39"/>
      <c r="H5073" s="38" t="s">
        <v>6064</v>
      </c>
      <c r="I5073" s="38" t="s">
        <v>6065</v>
      </c>
      <c r="J5073" s="38" t="s">
        <v>122</v>
      </c>
      <c r="K5073" s="38" t="s">
        <v>63</v>
      </c>
      <c r="L5073" s="41">
        <v>46008.041666666664</v>
      </c>
      <c r="M5073" s="38" t="s">
        <v>123</v>
      </c>
      <c r="N5073" s="41">
        <v>46008.416666666664</v>
      </c>
      <c r="O5073" s="38" t="s">
        <v>123</v>
      </c>
      <c r="P5073" s="38">
        <v>32400.0</v>
      </c>
      <c r="Q5073" s="39"/>
      <c r="R5073" s="39"/>
      <c r="S5073" s="39"/>
      <c r="T5073" s="39"/>
      <c r="U5073" s="39"/>
    </row>
    <row r="5074">
      <c r="A5074" s="40">
        <f t="shared" si="1"/>
        <v>46006</v>
      </c>
      <c r="B5074" s="37" t="str">
        <f t="array" ref="B5074">iferror(xlookup($I5074, 'IMPORT VHC Report'!$E:$E, 'IMPORT VHC Report'!$A:$C), )</f>
        <v/>
      </c>
      <c r="C5074" s="37"/>
      <c r="D5074" s="37"/>
      <c r="E5074" s="38" t="s">
        <v>6071</v>
      </c>
      <c r="F5074" s="38" t="s">
        <v>6063</v>
      </c>
      <c r="G5074" s="39"/>
      <c r="H5074" s="38" t="s">
        <v>6064</v>
      </c>
      <c r="I5074" s="38" t="s">
        <v>6065</v>
      </c>
      <c r="J5074" s="38" t="s">
        <v>134</v>
      </c>
      <c r="K5074" s="38" t="s">
        <v>126</v>
      </c>
      <c r="L5074" s="41">
        <v>46008.125</v>
      </c>
      <c r="M5074" s="38" t="s">
        <v>123</v>
      </c>
      <c r="N5074" s="41">
        <v>46008.145833333336</v>
      </c>
      <c r="O5074" s="38" t="s">
        <v>123</v>
      </c>
      <c r="P5074" s="38">
        <v>1800.0</v>
      </c>
      <c r="Q5074" s="39"/>
      <c r="R5074" s="39"/>
      <c r="S5074" s="39"/>
      <c r="T5074" s="39"/>
      <c r="U5074" s="39"/>
    </row>
    <row r="5075">
      <c r="A5075" s="40">
        <f t="shared" si="1"/>
        <v>46006</v>
      </c>
      <c r="B5075" s="37" t="str">
        <f t="array" ref="B5075">iferror(xlookup($I5075, 'IMPORT VHC Report'!$E:$E, 'IMPORT VHC Report'!$A:$C), )</f>
        <v/>
      </c>
      <c r="C5075" s="37"/>
      <c r="D5075" s="37"/>
      <c r="E5075" s="38" t="s">
        <v>6072</v>
      </c>
      <c r="F5075" s="38" t="s">
        <v>6063</v>
      </c>
      <c r="G5075" s="39"/>
      <c r="H5075" s="38" t="s">
        <v>6064</v>
      </c>
      <c r="I5075" s="38" t="s">
        <v>6065</v>
      </c>
      <c r="J5075" s="38" t="s">
        <v>132</v>
      </c>
      <c r="K5075" s="38" t="s">
        <v>126</v>
      </c>
      <c r="L5075" s="41">
        <v>46008.25</v>
      </c>
      <c r="M5075" s="38" t="s">
        <v>123</v>
      </c>
      <c r="N5075" s="41">
        <v>46008.291666666664</v>
      </c>
      <c r="O5075" s="38" t="s">
        <v>123</v>
      </c>
      <c r="P5075" s="38">
        <v>3600.0</v>
      </c>
      <c r="Q5075" s="39"/>
      <c r="R5075" s="39"/>
      <c r="S5075" s="39"/>
      <c r="T5075" s="39"/>
      <c r="U5075" s="39"/>
    </row>
    <row r="5076">
      <c r="A5076" s="40">
        <f t="shared" si="1"/>
        <v>46006</v>
      </c>
      <c r="B5076" s="37" t="str">
        <f t="array" ref="B5076">iferror(xlookup($I5076, 'IMPORT VHC Report'!$E:$E, 'IMPORT VHC Report'!$A:$C), )</f>
        <v/>
      </c>
      <c r="C5076" s="37"/>
      <c r="D5076" s="37"/>
      <c r="E5076" s="38" t="s">
        <v>6073</v>
      </c>
      <c r="F5076" s="38" t="s">
        <v>6063</v>
      </c>
      <c r="G5076" s="39"/>
      <c r="H5076" s="38" t="s">
        <v>6064</v>
      </c>
      <c r="I5076" s="38" t="s">
        <v>6065</v>
      </c>
      <c r="J5076" s="38" t="s">
        <v>125</v>
      </c>
      <c r="K5076" s="38" t="s">
        <v>126</v>
      </c>
      <c r="L5076" s="41">
        <v>46009.041666666664</v>
      </c>
      <c r="M5076" s="38" t="s">
        <v>123</v>
      </c>
      <c r="N5076" s="41">
        <v>46009.04861111111</v>
      </c>
      <c r="O5076" s="38" t="s">
        <v>123</v>
      </c>
      <c r="P5076" s="38">
        <v>600.0</v>
      </c>
      <c r="Q5076" s="39"/>
      <c r="R5076" s="39"/>
      <c r="S5076" s="38" t="s">
        <v>127</v>
      </c>
      <c r="T5076" s="39"/>
      <c r="U5076" s="39"/>
    </row>
    <row r="5077">
      <c r="A5077" s="40">
        <f t="shared" si="1"/>
        <v>46006</v>
      </c>
      <c r="B5077" s="37" t="str">
        <f t="array" ref="B5077">iferror(xlookup($I5077, 'IMPORT VHC Report'!$E:$E, 'IMPORT VHC Report'!$A:$C), )</f>
        <v/>
      </c>
      <c r="C5077" s="37"/>
      <c r="D5077" s="37"/>
      <c r="E5077" s="38" t="s">
        <v>6074</v>
      </c>
      <c r="F5077" s="38" t="s">
        <v>6063</v>
      </c>
      <c r="G5077" s="39"/>
      <c r="H5077" s="38" t="s">
        <v>6064</v>
      </c>
      <c r="I5077" s="38" t="s">
        <v>6065</v>
      </c>
      <c r="J5077" s="38" t="s">
        <v>122</v>
      </c>
      <c r="K5077" s="38" t="s">
        <v>63</v>
      </c>
      <c r="L5077" s="41">
        <v>46009.041666666664</v>
      </c>
      <c r="M5077" s="38" t="s">
        <v>123</v>
      </c>
      <c r="N5077" s="41">
        <v>46009.416666666664</v>
      </c>
      <c r="O5077" s="38" t="s">
        <v>123</v>
      </c>
      <c r="P5077" s="38">
        <v>32400.0</v>
      </c>
      <c r="Q5077" s="39"/>
      <c r="R5077" s="39"/>
      <c r="S5077" s="39"/>
      <c r="T5077" s="39"/>
      <c r="U5077" s="39"/>
    </row>
    <row r="5078">
      <c r="A5078" s="40">
        <f t="shared" si="1"/>
        <v>46006</v>
      </c>
      <c r="B5078" s="37" t="str">
        <f t="array" ref="B5078">iferror(xlookup($I5078, 'IMPORT VHC Report'!$E:$E, 'IMPORT VHC Report'!$A:$C), )</f>
        <v/>
      </c>
      <c r="C5078" s="37"/>
      <c r="D5078" s="37"/>
      <c r="E5078" s="38" t="s">
        <v>6075</v>
      </c>
      <c r="F5078" s="38" t="s">
        <v>6063</v>
      </c>
      <c r="G5078" s="39"/>
      <c r="H5078" s="38" t="s">
        <v>6064</v>
      </c>
      <c r="I5078" s="38" t="s">
        <v>6065</v>
      </c>
      <c r="J5078" s="38" t="s">
        <v>134</v>
      </c>
      <c r="K5078" s="38" t="s">
        <v>126</v>
      </c>
      <c r="L5078" s="41">
        <v>46009.145833333336</v>
      </c>
      <c r="M5078" s="38" t="s">
        <v>123</v>
      </c>
      <c r="N5078" s="41">
        <v>46009.166666666664</v>
      </c>
      <c r="O5078" s="38" t="s">
        <v>123</v>
      </c>
      <c r="P5078" s="38">
        <v>1800.0</v>
      </c>
      <c r="Q5078" s="39"/>
      <c r="R5078" s="39"/>
      <c r="S5078" s="39"/>
      <c r="T5078" s="39"/>
      <c r="U5078" s="39"/>
    </row>
    <row r="5079">
      <c r="A5079" s="40">
        <f t="shared" si="1"/>
        <v>46006</v>
      </c>
      <c r="B5079" s="37" t="str">
        <f t="array" ref="B5079">iferror(xlookup($I5079, 'IMPORT VHC Report'!$E:$E, 'IMPORT VHC Report'!$A:$C), )</f>
        <v/>
      </c>
      <c r="C5079" s="37"/>
      <c r="D5079" s="37"/>
      <c r="E5079" s="38" t="s">
        <v>6076</v>
      </c>
      <c r="F5079" s="38" t="s">
        <v>6063</v>
      </c>
      <c r="G5079" s="39"/>
      <c r="H5079" s="38" t="s">
        <v>6064</v>
      </c>
      <c r="I5079" s="38" t="s">
        <v>6065</v>
      </c>
      <c r="J5079" s="38" t="s">
        <v>4</v>
      </c>
      <c r="K5079" s="38" t="s">
        <v>126</v>
      </c>
      <c r="L5079" s="41">
        <v>46009.166666666664</v>
      </c>
      <c r="M5079" s="38" t="s">
        <v>123</v>
      </c>
      <c r="N5079" s="41">
        <v>46009.208333333336</v>
      </c>
      <c r="O5079" s="38" t="s">
        <v>123</v>
      </c>
      <c r="P5079" s="38">
        <v>3600.0</v>
      </c>
      <c r="Q5079" s="39"/>
      <c r="R5079" s="39"/>
      <c r="S5079" s="38" t="s">
        <v>130</v>
      </c>
      <c r="T5079" s="39"/>
      <c r="U5079" s="39"/>
    </row>
    <row r="5080">
      <c r="A5080" s="40">
        <f t="shared" si="1"/>
        <v>46006</v>
      </c>
      <c r="B5080" s="37" t="str">
        <f t="array" ref="B5080">iferror(xlookup($I5080, 'IMPORT VHC Report'!$E:$E, 'IMPORT VHC Report'!$A:$C), )</f>
        <v/>
      </c>
      <c r="C5080" s="37"/>
      <c r="D5080" s="37"/>
      <c r="E5080" s="38" t="s">
        <v>6077</v>
      </c>
      <c r="F5080" s="38" t="s">
        <v>6063</v>
      </c>
      <c r="G5080" s="39"/>
      <c r="H5080" s="38" t="s">
        <v>6064</v>
      </c>
      <c r="I5080" s="38" t="s">
        <v>6065</v>
      </c>
      <c r="J5080" s="38" t="s">
        <v>132</v>
      </c>
      <c r="K5080" s="38" t="s">
        <v>126</v>
      </c>
      <c r="L5080" s="41">
        <v>46009.25</v>
      </c>
      <c r="M5080" s="38" t="s">
        <v>123</v>
      </c>
      <c r="N5080" s="41">
        <v>46009.291666666664</v>
      </c>
      <c r="O5080" s="38" t="s">
        <v>123</v>
      </c>
      <c r="P5080" s="38">
        <v>3600.0</v>
      </c>
      <c r="Q5080" s="39"/>
      <c r="R5080" s="39"/>
      <c r="S5080" s="39"/>
      <c r="T5080" s="39"/>
      <c r="U5080" s="39"/>
    </row>
    <row r="5081">
      <c r="A5081" s="40">
        <f t="shared" si="1"/>
        <v>46006</v>
      </c>
      <c r="B5081" s="37" t="str">
        <f t="array" ref="B5081">iferror(xlookup($I5081, 'IMPORT VHC Report'!$E:$E, 'IMPORT VHC Report'!$A:$C), )</f>
        <v/>
      </c>
      <c r="C5081" s="37"/>
      <c r="D5081" s="37"/>
      <c r="E5081" s="38" t="s">
        <v>6078</v>
      </c>
      <c r="F5081" s="38" t="s">
        <v>6063</v>
      </c>
      <c r="G5081" s="39"/>
      <c r="H5081" s="38" t="s">
        <v>6064</v>
      </c>
      <c r="I5081" s="38" t="s">
        <v>6065</v>
      </c>
      <c r="J5081" s="38" t="s">
        <v>125</v>
      </c>
      <c r="K5081" s="38" t="s">
        <v>126</v>
      </c>
      <c r="L5081" s="41">
        <v>46010.041666666664</v>
      </c>
      <c r="M5081" s="38" t="s">
        <v>123</v>
      </c>
      <c r="N5081" s="41">
        <v>46010.04861111111</v>
      </c>
      <c r="O5081" s="38" t="s">
        <v>123</v>
      </c>
      <c r="P5081" s="38">
        <v>600.0</v>
      </c>
      <c r="Q5081" s="39"/>
      <c r="R5081" s="39"/>
      <c r="S5081" s="38" t="s">
        <v>127</v>
      </c>
      <c r="T5081" s="39"/>
      <c r="U5081" s="39"/>
    </row>
    <row r="5082">
      <c r="A5082" s="40">
        <f t="shared" si="1"/>
        <v>46006</v>
      </c>
      <c r="B5082" s="37" t="str">
        <f t="array" ref="B5082">iferror(xlookup($I5082, 'IMPORT VHC Report'!$E:$E, 'IMPORT VHC Report'!$A:$C), )</f>
        <v/>
      </c>
      <c r="C5082" s="37"/>
      <c r="D5082" s="37"/>
      <c r="E5082" s="38" t="s">
        <v>6079</v>
      </c>
      <c r="F5082" s="38" t="s">
        <v>6063</v>
      </c>
      <c r="G5082" s="39"/>
      <c r="H5082" s="38" t="s">
        <v>6064</v>
      </c>
      <c r="I5082" s="38" t="s">
        <v>6065</v>
      </c>
      <c r="J5082" s="38" t="s">
        <v>122</v>
      </c>
      <c r="K5082" s="38" t="s">
        <v>63</v>
      </c>
      <c r="L5082" s="41">
        <v>46010.041666666664</v>
      </c>
      <c r="M5082" s="38" t="s">
        <v>123</v>
      </c>
      <c r="N5082" s="41">
        <v>46010.416666666664</v>
      </c>
      <c r="O5082" s="38" t="s">
        <v>123</v>
      </c>
      <c r="P5082" s="38">
        <v>32400.0</v>
      </c>
      <c r="Q5082" s="39"/>
      <c r="R5082" s="39"/>
      <c r="S5082" s="39"/>
      <c r="T5082" s="39"/>
      <c r="U5082" s="39"/>
    </row>
    <row r="5083">
      <c r="A5083" s="40">
        <f t="shared" si="1"/>
        <v>46006</v>
      </c>
      <c r="B5083" s="37" t="str">
        <f t="array" ref="B5083">iferror(xlookup($I5083, 'IMPORT VHC Report'!$E:$E, 'IMPORT VHC Report'!$A:$C), )</f>
        <v/>
      </c>
      <c r="C5083" s="37"/>
      <c r="D5083" s="37"/>
      <c r="E5083" s="38" t="s">
        <v>6080</v>
      </c>
      <c r="F5083" s="38" t="s">
        <v>6063</v>
      </c>
      <c r="G5083" s="39"/>
      <c r="H5083" s="38" t="s">
        <v>6064</v>
      </c>
      <c r="I5083" s="38" t="s">
        <v>6065</v>
      </c>
      <c r="J5083" s="38" t="s">
        <v>134</v>
      </c>
      <c r="K5083" s="38" t="s">
        <v>126</v>
      </c>
      <c r="L5083" s="41">
        <v>46010.166666666664</v>
      </c>
      <c r="M5083" s="38" t="s">
        <v>123</v>
      </c>
      <c r="N5083" s="41">
        <v>46010.1875</v>
      </c>
      <c r="O5083" s="38" t="s">
        <v>123</v>
      </c>
      <c r="P5083" s="38">
        <v>1800.0</v>
      </c>
      <c r="Q5083" s="39"/>
      <c r="R5083" s="39"/>
      <c r="S5083" s="39"/>
      <c r="T5083" s="39"/>
      <c r="U5083" s="39"/>
    </row>
    <row r="5084">
      <c r="A5084" s="40">
        <f t="shared" si="1"/>
        <v>46006</v>
      </c>
      <c r="B5084" s="37" t="str">
        <f t="array" ref="B5084">iferror(xlookup($I5084, 'IMPORT VHC Report'!$E:$E, 'IMPORT VHC Report'!$A:$C), )</f>
        <v/>
      </c>
      <c r="C5084" s="37"/>
      <c r="D5084" s="37"/>
      <c r="E5084" s="38" t="s">
        <v>6081</v>
      </c>
      <c r="F5084" s="38" t="s">
        <v>6063</v>
      </c>
      <c r="G5084" s="39"/>
      <c r="H5084" s="38" t="s">
        <v>6064</v>
      </c>
      <c r="I5084" s="38" t="s">
        <v>6065</v>
      </c>
      <c r="J5084" s="38" t="s">
        <v>132</v>
      </c>
      <c r="K5084" s="38" t="s">
        <v>126</v>
      </c>
      <c r="L5084" s="41">
        <v>46010.291666666664</v>
      </c>
      <c r="M5084" s="38" t="s">
        <v>123</v>
      </c>
      <c r="N5084" s="41">
        <v>46010.333333333336</v>
      </c>
      <c r="O5084" s="38" t="s">
        <v>123</v>
      </c>
      <c r="P5084" s="38">
        <v>3600.0</v>
      </c>
      <c r="Q5084" s="39"/>
      <c r="R5084" s="39"/>
      <c r="S5084" s="39"/>
      <c r="T5084" s="39"/>
      <c r="U5084" s="39"/>
    </row>
    <row r="5085">
      <c r="A5085" s="40">
        <f t="shared" si="1"/>
        <v>46006</v>
      </c>
      <c r="B5085" s="37" t="str">
        <f t="array" ref="B5085">iferror(xlookup($I5085, 'IMPORT VHC Report'!$E:$E, 'IMPORT VHC Report'!$A:$C), )</f>
        <v/>
      </c>
      <c r="C5085" s="37"/>
      <c r="D5085" s="37"/>
      <c r="E5085" s="38" t="s">
        <v>6082</v>
      </c>
      <c r="F5085" s="38" t="s">
        <v>6063</v>
      </c>
      <c r="G5085" s="39"/>
      <c r="H5085" s="38" t="s">
        <v>6064</v>
      </c>
      <c r="I5085" s="38" t="s">
        <v>6065</v>
      </c>
      <c r="J5085" s="38" t="s">
        <v>125</v>
      </c>
      <c r="K5085" s="38" t="s">
        <v>126</v>
      </c>
      <c r="L5085" s="41">
        <v>46011.041666666664</v>
      </c>
      <c r="M5085" s="38" t="s">
        <v>123</v>
      </c>
      <c r="N5085" s="41">
        <v>46011.04861111111</v>
      </c>
      <c r="O5085" s="38" t="s">
        <v>123</v>
      </c>
      <c r="P5085" s="38">
        <v>600.0</v>
      </c>
      <c r="Q5085" s="39"/>
      <c r="R5085" s="39"/>
      <c r="S5085" s="38" t="s">
        <v>127</v>
      </c>
      <c r="T5085" s="39"/>
      <c r="U5085" s="39"/>
    </row>
    <row r="5086">
      <c r="A5086" s="40">
        <f t="shared" si="1"/>
        <v>46006</v>
      </c>
      <c r="B5086" s="37" t="str">
        <f t="array" ref="B5086">iferror(xlookup($I5086, 'IMPORT VHC Report'!$E:$E, 'IMPORT VHC Report'!$A:$C), )</f>
        <v/>
      </c>
      <c r="C5086" s="37"/>
      <c r="D5086" s="37"/>
      <c r="E5086" s="38" t="s">
        <v>6083</v>
      </c>
      <c r="F5086" s="38" t="s">
        <v>6063</v>
      </c>
      <c r="G5086" s="39"/>
      <c r="H5086" s="38" t="s">
        <v>6064</v>
      </c>
      <c r="I5086" s="38" t="s">
        <v>6065</v>
      </c>
      <c r="J5086" s="38" t="s">
        <v>122</v>
      </c>
      <c r="K5086" s="38" t="s">
        <v>63</v>
      </c>
      <c r="L5086" s="41">
        <v>46011.041666666664</v>
      </c>
      <c r="M5086" s="38" t="s">
        <v>123</v>
      </c>
      <c r="N5086" s="41">
        <v>46011.416666666664</v>
      </c>
      <c r="O5086" s="38" t="s">
        <v>123</v>
      </c>
      <c r="P5086" s="38">
        <v>32400.0</v>
      </c>
      <c r="Q5086" s="39"/>
      <c r="R5086" s="39"/>
      <c r="S5086" s="39"/>
      <c r="T5086" s="39"/>
      <c r="U5086" s="39"/>
    </row>
    <row r="5087">
      <c r="A5087" s="40">
        <f t="shared" si="1"/>
        <v>46006</v>
      </c>
      <c r="B5087" s="37" t="str">
        <f t="array" ref="B5087">iferror(xlookup($I5087, 'IMPORT VHC Report'!$E:$E, 'IMPORT VHC Report'!$A:$C), )</f>
        <v/>
      </c>
      <c r="C5087" s="37"/>
      <c r="D5087" s="37"/>
      <c r="E5087" s="38" t="s">
        <v>6084</v>
      </c>
      <c r="F5087" s="38" t="s">
        <v>6063</v>
      </c>
      <c r="G5087" s="39"/>
      <c r="H5087" s="38" t="s">
        <v>6064</v>
      </c>
      <c r="I5087" s="38" t="s">
        <v>6065</v>
      </c>
      <c r="J5087" s="38" t="s">
        <v>134</v>
      </c>
      <c r="K5087" s="38" t="s">
        <v>126</v>
      </c>
      <c r="L5087" s="41">
        <v>46011.166666666664</v>
      </c>
      <c r="M5087" s="38" t="s">
        <v>123</v>
      </c>
      <c r="N5087" s="41">
        <v>46011.1875</v>
      </c>
      <c r="O5087" s="38" t="s">
        <v>123</v>
      </c>
      <c r="P5087" s="38">
        <v>1800.0</v>
      </c>
      <c r="Q5087" s="39"/>
      <c r="R5087" s="39"/>
      <c r="S5087" s="39"/>
      <c r="T5087" s="39"/>
      <c r="U5087" s="39"/>
    </row>
    <row r="5088">
      <c r="A5088" s="40">
        <f t="shared" si="1"/>
        <v>46006</v>
      </c>
      <c r="B5088" s="37" t="str">
        <f t="array" ref="B5088">iferror(xlookup($I5088, 'IMPORT VHC Report'!$E:$E, 'IMPORT VHC Report'!$A:$C), )</f>
        <v/>
      </c>
      <c r="C5088" s="37"/>
      <c r="D5088" s="37"/>
      <c r="E5088" s="38" t="s">
        <v>6085</v>
      </c>
      <c r="F5088" s="38" t="s">
        <v>6063</v>
      </c>
      <c r="G5088" s="39"/>
      <c r="H5088" s="38" t="s">
        <v>6064</v>
      </c>
      <c r="I5088" s="38" t="s">
        <v>6065</v>
      </c>
      <c r="J5088" s="38" t="s">
        <v>132</v>
      </c>
      <c r="K5088" s="38" t="s">
        <v>126</v>
      </c>
      <c r="L5088" s="41">
        <v>46011.291666666664</v>
      </c>
      <c r="M5088" s="38" t="s">
        <v>123</v>
      </c>
      <c r="N5088" s="41">
        <v>46011.333333333336</v>
      </c>
      <c r="O5088" s="38" t="s">
        <v>123</v>
      </c>
      <c r="P5088" s="38">
        <v>3600.0</v>
      </c>
      <c r="Q5088" s="39"/>
      <c r="R5088" s="39"/>
      <c r="S5088" s="39"/>
      <c r="T5088" s="39"/>
      <c r="U5088" s="39"/>
    </row>
    <row r="5089">
      <c r="A5089" s="40">
        <f t="shared" si="1"/>
        <v>46006</v>
      </c>
      <c r="B5089" s="37" t="str">
        <f t="array" ref="B5089">iferror(xlookup($I5089, 'IMPORT VHC Report'!$E:$E, 'IMPORT VHC Report'!$A:$C), )</f>
        <v/>
      </c>
      <c r="C5089" s="37"/>
      <c r="D5089" s="37"/>
      <c r="E5089" s="38" t="s">
        <v>6086</v>
      </c>
      <c r="F5089" s="38" t="s">
        <v>6087</v>
      </c>
      <c r="G5089" s="38">
        <v>1.0333018682383E13</v>
      </c>
      <c r="H5089" s="38" t="s">
        <v>6088</v>
      </c>
      <c r="I5089" s="38" t="s">
        <v>6089</v>
      </c>
      <c r="J5089" s="38" t="s">
        <v>125</v>
      </c>
      <c r="K5089" s="38" t="s">
        <v>126</v>
      </c>
      <c r="L5089" s="41">
        <v>46007.125</v>
      </c>
      <c r="M5089" s="38" t="s">
        <v>123</v>
      </c>
      <c r="N5089" s="41">
        <v>46007.135416666664</v>
      </c>
      <c r="O5089" s="38" t="s">
        <v>123</v>
      </c>
      <c r="P5089" s="38">
        <v>900.0</v>
      </c>
      <c r="Q5089" s="39"/>
      <c r="R5089" s="39"/>
      <c r="S5089" s="38" t="s">
        <v>199</v>
      </c>
      <c r="T5089" s="39"/>
      <c r="U5089" s="39"/>
    </row>
    <row r="5090">
      <c r="A5090" s="40">
        <f t="shared" si="1"/>
        <v>46006</v>
      </c>
      <c r="B5090" s="37" t="str">
        <f t="array" ref="B5090">iferror(xlookup($I5090, 'IMPORT VHC Report'!$E:$E, 'IMPORT VHC Report'!$A:$C), )</f>
        <v/>
      </c>
      <c r="C5090" s="37"/>
      <c r="D5090" s="37"/>
      <c r="E5090" s="38" t="s">
        <v>6090</v>
      </c>
      <c r="F5090" s="38" t="s">
        <v>6087</v>
      </c>
      <c r="G5090" s="38">
        <v>1.0333018682383E13</v>
      </c>
      <c r="H5090" s="38" t="s">
        <v>6088</v>
      </c>
      <c r="I5090" s="38" t="s">
        <v>6089</v>
      </c>
      <c r="J5090" s="38" t="s">
        <v>196</v>
      </c>
      <c r="K5090" s="38" t="s">
        <v>63</v>
      </c>
      <c r="L5090" s="41">
        <v>46007.125</v>
      </c>
      <c r="M5090" s="38" t="s">
        <v>123</v>
      </c>
      <c r="N5090" s="41">
        <v>46007.5</v>
      </c>
      <c r="O5090" s="38" t="s">
        <v>123</v>
      </c>
      <c r="P5090" s="38">
        <v>32400.0</v>
      </c>
      <c r="Q5090" s="39"/>
      <c r="R5090" s="39"/>
      <c r="S5090" s="39"/>
      <c r="T5090" s="39"/>
      <c r="U5090" s="39"/>
    </row>
    <row r="5091">
      <c r="A5091" s="40">
        <f t="shared" si="1"/>
        <v>46006</v>
      </c>
      <c r="B5091" s="37" t="str">
        <f t="array" ref="B5091">iferror(xlookup($I5091, 'IMPORT VHC Report'!$E:$E, 'IMPORT VHC Report'!$A:$C), )</f>
        <v/>
      </c>
      <c r="C5091" s="37"/>
      <c r="D5091" s="37"/>
      <c r="E5091" s="38" t="s">
        <v>6091</v>
      </c>
      <c r="F5091" s="38" t="s">
        <v>6087</v>
      </c>
      <c r="G5091" s="38">
        <v>1.0333018682383E13</v>
      </c>
      <c r="H5091" s="38" t="s">
        <v>6088</v>
      </c>
      <c r="I5091" s="38" t="s">
        <v>6089</v>
      </c>
      <c r="J5091" s="38" t="s">
        <v>134</v>
      </c>
      <c r="K5091" s="38" t="s">
        <v>126</v>
      </c>
      <c r="L5091" s="41">
        <v>46007.229166666664</v>
      </c>
      <c r="M5091" s="38" t="s">
        <v>123</v>
      </c>
      <c r="N5091" s="41">
        <v>46007.25</v>
      </c>
      <c r="O5091" s="38" t="s">
        <v>123</v>
      </c>
      <c r="P5091" s="38">
        <v>1800.0</v>
      </c>
      <c r="Q5091" s="39"/>
      <c r="R5091" s="39"/>
      <c r="S5091" s="39"/>
      <c r="T5091" s="39"/>
      <c r="U5091" s="39"/>
    </row>
    <row r="5092">
      <c r="A5092" s="40">
        <f t="shared" si="1"/>
        <v>46006</v>
      </c>
      <c r="B5092" s="37" t="str">
        <f t="array" ref="B5092">iferror(xlookup($I5092, 'IMPORT VHC Report'!$E:$E, 'IMPORT VHC Report'!$A:$C), )</f>
        <v/>
      </c>
      <c r="C5092" s="37"/>
      <c r="D5092" s="37"/>
      <c r="E5092" s="38" t="s">
        <v>6092</v>
      </c>
      <c r="F5092" s="38" t="s">
        <v>6087</v>
      </c>
      <c r="G5092" s="38">
        <v>1.0333018682383E13</v>
      </c>
      <c r="H5092" s="38" t="s">
        <v>6088</v>
      </c>
      <c r="I5092" s="38" t="s">
        <v>6089</v>
      </c>
      <c r="J5092" s="38" t="s">
        <v>132</v>
      </c>
      <c r="K5092" s="38" t="s">
        <v>126</v>
      </c>
      <c r="L5092" s="41">
        <v>46007.354166666664</v>
      </c>
      <c r="M5092" s="38" t="s">
        <v>123</v>
      </c>
      <c r="N5092" s="41">
        <v>46007.395833333336</v>
      </c>
      <c r="O5092" s="38" t="s">
        <v>123</v>
      </c>
      <c r="P5092" s="38">
        <v>3600.0</v>
      </c>
      <c r="Q5092" s="39"/>
      <c r="R5092" s="39"/>
      <c r="S5092" s="39"/>
      <c r="T5092" s="39"/>
      <c r="U5092" s="39"/>
    </row>
    <row r="5093">
      <c r="A5093" s="40">
        <f t="shared" si="1"/>
        <v>46006</v>
      </c>
      <c r="B5093" s="37" t="str">
        <f t="array" ref="B5093">iferror(xlookup($I5093, 'IMPORT VHC Report'!$E:$E, 'IMPORT VHC Report'!$A:$C), )</f>
        <v/>
      </c>
      <c r="C5093" s="37"/>
      <c r="D5093" s="37"/>
      <c r="E5093" s="38" t="s">
        <v>6093</v>
      </c>
      <c r="F5093" s="38" t="s">
        <v>6087</v>
      </c>
      <c r="G5093" s="38">
        <v>1.0333018682383E13</v>
      </c>
      <c r="H5093" s="38" t="s">
        <v>6088</v>
      </c>
      <c r="I5093" s="38" t="s">
        <v>6089</v>
      </c>
      <c r="J5093" s="38" t="s">
        <v>125</v>
      </c>
      <c r="K5093" s="38" t="s">
        <v>126</v>
      </c>
      <c r="L5093" s="41">
        <v>46008.125</v>
      </c>
      <c r="M5093" s="38" t="s">
        <v>123</v>
      </c>
      <c r="N5093" s="41">
        <v>46008.135416666664</v>
      </c>
      <c r="O5093" s="38" t="s">
        <v>123</v>
      </c>
      <c r="P5093" s="38">
        <v>900.0</v>
      </c>
      <c r="Q5093" s="39"/>
      <c r="R5093" s="39"/>
      <c r="S5093" s="38" t="s">
        <v>199</v>
      </c>
      <c r="T5093" s="39"/>
      <c r="U5093" s="39"/>
    </row>
    <row r="5094">
      <c r="A5094" s="40">
        <f t="shared" si="1"/>
        <v>46006</v>
      </c>
      <c r="B5094" s="37" t="str">
        <f t="array" ref="B5094">iferror(xlookup($I5094, 'IMPORT VHC Report'!$E:$E, 'IMPORT VHC Report'!$A:$C), )</f>
        <v/>
      </c>
      <c r="C5094" s="37"/>
      <c r="D5094" s="37"/>
      <c r="E5094" s="38" t="s">
        <v>6094</v>
      </c>
      <c r="F5094" s="38" t="s">
        <v>6087</v>
      </c>
      <c r="G5094" s="38">
        <v>1.0333018682383E13</v>
      </c>
      <c r="H5094" s="38" t="s">
        <v>6088</v>
      </c>
      <c r="I5094" s="38" t="s">
        <v>6089</v>
      </c>
      <c r="J5094" s="38" t="s">
        <v>196</v>
      </c>
      <c r="K5094" s="38" t="s">
        <v>63</v>
      </c>
      <c r="L5094" s="41">
        <v>46008.125</v>
      </c>
      <c r="M5094" s="38" t="s">
        <v>123</v>
      </c>
      <c r="N5094" s="41">
        <v>46008.5</v>
      </c>
      <c r="O5094" s="38" t="s">
        <v>123</v>
      </c>
      <c r="P5094" s="38">
        <v>32400.0</v>
      </c>
      <c r="Q5094" s="39"/>
      <c r="R5094" s="39"/>
      <c r="S5094" s="39"/>
      <c r="T5094" s="39"/>
      <c r="U5094" s="39"/>
    </row>
    <row r="5095">
      <c r="A5095" s="40">
        <f t="shared" si="1"/>
        <v>46006</v>
      </c>
      <c r="B5095" s="37" t="str">
        <f t="array" ref="B5095">iferror(xlookup($I5095, 'IMPORT VHC Report'!$E:$E, 'IMPORT VHC Report'!$A:$C), )</f>
        <v/>
      </c>
      <c r="C5095" s="37"/>
      <c r="D5095" s="37"/>
      <c r="E5095" s="38" t="s">
        <v>6095</v>
      </c>
      <c r="F5095" s="38" t="s">
        <v>6087</v>
      </c>
      <c r="G5095" s="38">
        <v>1.0333018682383E13</v>
      </c>
      <c r="H5095" s="38" t="s">
        <v>6088</v>
      </c>
      <c r="I5095" s="38" t="s">
        <v>6089</v>
      </c>
      <c r="J5095" s="38" t="s">
        <v>132</v>
      </c>
      <c r="K5095" s="38" t="s">
        <v>126</v>
      </c>
      <c r="L5095" s="41">
        <v>46008.25</v>
      </c>
      <c r="M5095" s="38" t="s">
        <v>123</v>
      </c>
      <c r="N5095" s="41">
        <v>46008.291666666664</v>
      </c>
      <c r="O5095" s="38" t="s">
        <v>123</v>
      </c>
      <c r="P5095" s="38">
        <v>3600.0</v>
      </c>
      <c r="Q5095" s="39"/>
      <c r="R5095" s="39"/>
      <c r="S5095" s="39"/>
      <c r="T5095" s="39"/>
      <c r="U5095" s="39"/>
    </row>
    <row r="5096">
      <c r="A5096" s="40">
        <f t="shared" si="1"/>
        <v>46006</v>
      </c>
      <c r="B5096" s="37" t="str">
        <f t="array" ref="B5096">iferror(xlookup($I5096, 'IMPORT VHC Report'!$E:$E, 'IMPORT VHC Report'!$A:$C), )</f>
        <v/>
      </c>
      <c r="C5096" s="37"/>
      <c r="D5096" s="37"/>
      <c r="E5096" s="38" t="s">
        <v>6096</v>
      </c>
      <c r="F5096" s="38" t="s">
        <v>6087</v>
      </c>
      <c r="G5096" s="38">
        <v>1.0333018682383E13</v>
      </c>
      <c r="H5096" s="38" t="s">
        <v>6088</v>
      </c>
      <c r="I5096" s="38" t="s">
        <v>6089</v>
      </c>
      <c r="J5096" s="38" t="s">
        <v>134</v>
      </c>
      <c r="K5096" s="38" t="s">
        <v>126</v>
      </c>
      <c r="L5096" s="41">
        <v>46008.40625</v>
      </c>
      <c r="M5096" s="38" t="s">
        <v>123</v>
      </c>
      <c r="N5096" s="41">
        <v>46008.427083333336</v>
      </c>
      <c r="O5096" s="38" t="s">
        <v>123</v>
      </c>
      <c r="P5096" s="38">
        <v>1800.0</v>
      </c>
      <c r="Q5096" s="39"/>
      <c r="R5096" s="39"/>
      <c r="S5096" s="39"/>
      <c r="T5096" s="39"/>
      <c r="U5096" s="39"/>
    </row>
    <row r="5097">
      <c r="A5097" s="40">
        <f t="shared" si="1"/>
        <v>46006</v>
      </c>
      <c r="B5097" s="37" t="str">
        <f t="array" ref="B5097">iferror(xlookup($I5097, 'IMPORT VHC Report'!$E:$E, 'IMPORT VHC Report'!$A:$C), )</f>
        <v/>
      </c>
      <c r="C5097" s="37"/>
      <c r="D5097" s="37"/>
      <c r="E5097" s="38" t="s">
        <v>6097</v>
      </c>
      <c r="F5097" s="38" t="s">
        <v>6087</v>
      </c>
      <c r="G5097" s="38">
        <v>1.0333018682383E13</v>
      </c>
      <c r="H5097" s="38" t="s">
        <v>6088</v>
      </c>
      <c r="I5097" s="38" t="s">
        <v>6089</v>
      </c>
      <c r="J5097" s="38" t="s">
        <v>125</v>
      </c>
      <c r="K5097" s="38" t="s">
        <v>126</v>
      </c>
      <c r="L5097" s="41">
        <v>46009.125</v>
      </c>
      <c r="M5097" s="38" t="s">
        <v>123</v>
      </c>
      <c r="N5097" s="41">
        <v>46009.135416666664</v>
      </c>
      <c r="O5097" s="38" t="s">
        <v>123</v>
      </c>
      <c r="P5097" s="38">
        <v>900.0</v>
      </c>
      <c r="Q5097" s="39"/>
      <c r="R5097" s="39"/>
      <c r="S5097" s="38" t="s">
        <v>199</v>
      </c>
      <c r="T5097" s="39"/>
      <c r="U5097" s="39"/>
    </row>
    <row r="5098">
      <c r="A5098" s="40">
        <f t="shared" si="1"/>
        <v>46006</v>
      </c>
      <c r="B5098" s="37" t="str">
        <f t="array" ref="B5098">iferror(xlookup($I5098, 'IMPORT VHC Report'!$E:$E, 'IMPORT VHC Report'!$A:$C), )</f>
        <v/>
      </c>
      <c r="C5098" s="37"/>
      <c r="D5098" s="37"/>
      <c r="E5098" s="38" t="s">
        <v>6098</v>
      </c>
      <c r="F5098" s="38" t="s">
        <v>6087</v>
      </c>
      <c r="G5098" s="38">
        <v>1.0333018682383E13</v>
      </c>
      <c r="H5098" s="38" t="s">
        <v>6088</v>
      </c>
      <c r="I5098" s="38" t="s">
        <v>6089</v>
      </c>
      <c r="J5098" s="38" t="s">
        <v>196</v>
      </c>
      <c r="K5098" s="38" t="s">
        <v>63</v>
      </c>
      <c r="L5098" s="41">
        <v>46009.125</v>
      </c>
      <c r="M5098" s="38" t="s">
        <v>123</v>
      </c>
      <c r="N5098" s="41">
        <v>46009.5</v>
      </c>
      <c r="O5098" s="38" t="s">
        <v>123</v>
      </c>
      <c r="P5098" s="38">
        <v>32400.0</v>
      </c>
      <c r="Q5098" s="39"/>
      <c r="R5098" s="39"/>
      <c r="S5098" s="39"/>
      <c r="T5098" s="39"/>
      <c r="U5098" s="39"/>
    </row>
    <row r="5099">
      <c r="A5099" s="40">
        <f t="shared" si="1"/>
        <v>46006</v>
      </c>
      <c r="B5099" s="37" t="str">
        <f t="array" ref="B5099">iferror(xlookup($I5099, 'IMPORT VHC Report'!$E:$E, 'IMPORT VHC Report'!$A:$C), )</f>
        <v/>
      </c>
      <c r="C5099" s="37"/>
      <c r="D5099" s="37"/>
      <c r="E5099" s="38" t="s">
        <v>6099</v>
      </c>
      <c r="F5099" s="38" t="s">
        <v>6087</v>
      </c>
      <c r="G5099" s="38">
        <v>1.0333018682383E13</v>
      </c>
      <c r="H5099" s="38" t="s">
        <v>6088</v>
      </c>
      <c r="I5099" s="38" t="s">
        <v>6089</v>
      </c>
      <c r="J5099" s="38" t="s">
        <v>132</v>
      </c>
      <c r="K5099" s="38" t="s">
        <v>126</v>
      </c>
      <c r="L5099" s="41">
        <v>46009.271527777775</v>
      </c>
      <c r="M5099" s="38" t="s">
        <v>123</v>
      </c>
      <c r="N5099" s="41">
        <v>46009.31319444445</v>
      </c>
      <c r="O5099" s="38" t="s">
        <v>123</v>
      </c>
      <c r="P5099" s="38">
        <v>3600.0</v>
      </c>
      <c r="Q5099" s="39"/>
      <c r="R5099" s="39"/>
      <c r="S5099" s="39"/>
      <c r="T5099" s="39"/>
      <c r="U5099" s="39"/>
    </row>
    <row r="5100">
      <c r="A5100" s="40">
        <f t="shared" si="1"/>
        <v>46006</v>
      </c>
      <c r="B5100" s="37" t="str">
        <f t="array" ref="B5100">iferror(xlookup($I5100, 'IMPORT VHC Report'!$E:$E, 'IMPORT VHC Report'!$A:$C), )</f>
        <v/>
      </c>
      <c r="C5100" s="37"/>
      <c r="D5100" s="37"/>
      <c r="E5100" s="38" t="s">
        <v>6100</v>
      </c>
      <c r="F5100" s="38" t="s">
        <v>6087</v>
      </c>
      <c r="G5100" s="38">
        <v>1.0333018682383E13</v>
      </c>
      <c r="H5100" s="38" t="s">
        <v>6088</v>
      </c>
      <c r="I5100" s="38" t="s">
        <v>6089</v>
      </c>
      <c r="J5100" s="38" t="s">
        <v>134</v>
      </c>
      <c r="K5100" s="38" t="s">
        <v>126</v>
      </c>
      <c r="L5100" s="41">
        <v>46009.413194444445</v>
      </c>
      <c r="M5100" s="38" t="s">
        <v>123</v>
      </c>
      <c r="N5100" s="41">
        <v>46009.43402777778</v>
      </c>
      <c r="O5100" s="38" t="s">
        <v>123</v>
      </c>
      <c r="P5100" s="38">
        <v>1800.0</v>
      </c>
      <c r="Q5100" s="39"/>
      <c r="R5100" s="39"/>
      <c r="S5100" s="39"/>
      <c r="T5100" s="39"/>
      <c r="U5100" s="39"/>
    </row>
    <row r="5101">
      <c r="A5101" s="40">
        <f t="shared" si="1"/>
        <v>46006</v>
      </c>
      <c r="B5101" s="37" t="str">
        <f t="array" ref="B5101">iferror(xlookup($I5101, 'IMPORT VHC Report'!$E:$E, 'IMPORT VHC Report'!$A:$C), )</f>
        <v/>
      </c>
      <c r="C5101" s="37"/>
      <c r="D5101" s="37"/>
      <c r="E5101" s="38" t="s">
        <v>6101</v>
      </c>
      <c r="F5101" s="38" t="s">
        <v>6087</v>
      </c>
      <c r="G5101" s="38">
        <v>1.0333018682383E13</v>
      </c>
      <c r="H5101" s="38" t="s">
        <v>6088</v>
      </c>
      <c r="I5101" s="38" t="s">
        <v>6089</v>
      </c>
      <c r="J5101" s="38" t="s">
        <v>125</v>
      </c>
      <c r="K5101" s="38" t="s">
        <v>126</v>
      </c>
      <c r="L5101" s="41">
        <v>46010.125</v>
      </c>
      <c r="M5101" s="38" t="s">
        <v>123</v>
      </c>
      <c r="N5101" s="41">
        <v>46010.135416666664</v>
      </c>
      <c r="O5101" s="38" t="s">
        <v>123</v>
      </c>
      <c r="P5101" s="38">
        <v>900.0</v>
      </c>
      <c r="Q5101" s="39"/>
      <c r="R5101" s="39"/>
      <c r="S5101" s="38" t="s">
        <v>199</v>
      </c>
      <c r="T5101" s="39"/>
      <c r="U5101" s="39"/>
    </row>
    <row r="5102">
      <c r="A5102" s="40">
        <f t="shared" si="1"/>
        <v>46006</v>
      </c>
      <c r="B5102" s="37" t="str">
        <f t="array" ref="B5102">iferror(xlookup($I5102, 'IMPORT VHC Report'!$E:$E, 'IMPORT VHC Report'!$A:$C), )</f>
        <v/>
      </c>
      <c r="C5102" s="37"/>
      <c r="D5102" s="37"/>
      <c r="E5102" s="38" t="s">
        <v>6102</v>
      </c>
      <c r="F5102" s="38" t="s">
        <v>6087</v>
      </c>
      <c r="G5102" s="38">
        <v>1.0333018682383E13</v>
      </c>
      <c r="H5102" s="38" t="s">
        <v>6088</v>
      </c>
      <c r="I5102" s="38" t="s">
        <v>6089</v>
      </c>
      <c r="J5102" s="38" t="s">
        <v>196</v>
      </c>
      <c r="K5102" s="38" t="s">
        <v>63</v>
      </c>
      <c r="L5102" s="41">
        <v>46010.125</v>
      </c>
      <c r="M5102" s="38" t="s">
        <v>123</v>
      </c>
      <c r="N5102" s="41">
        <v>46010.5</v>
      </c>
      <c r="O5102" s="38" t="s">
        <v>123</v>
      </c>
      <c r="P5102" s="38">
        <v>32400.0</v>
      </c>
      <c r="Q5102" s="39"/>
      <c r="R5102" s="39"/>
      <c r="S5102" s="39"/>
      <c r="T5102" s="39"/>
      <c r="U5102" s="39"/>
    </row>
    <row r="5103">
      <c r="A5103" s="40">
        <f t="shared" si="1"/>
        <v>46006</v>
      </c>
      <c r="B5103" s="37" t="str">
        <f t="array" ref="B5103">iferror(xlookup($I5103, 'IMPORT VHC Report'!$E:$E, 'IMPORT VHC Report'!$A:$C), )</f>
        <v/>
      </c>
      <c r="C5103" s="37"/>
      <c r="D5103" s="37"/>
      <c r="E5103" s="38" t="s">
        <v>6103</v>
      </c>
      <c r="F5103" s="38" t="s">
        <v>6087</v>
      </c>
      <c r="G5103" s="38">
        <v>1.0333018682383E13</v>
      </c>
      <c r="H5103" s="38" t="s">
        <v>6088</v>
      </c>
      <c r="I5103" s="38" t="s">
        <v>6089</v>
      </c>
      <c r="J5103" s="38" t="s">
        <v>134</v>
      </c>
      <c r="K5103" s="38" t="s">
        <v>126</v>
      </c>
      <c r="L5103" s="41">
        <v>46010.208333333336</v>
      </c>
      <c r="M5103" s="38" t="s">
        <v>123</v>
      </c>
      <c r="N5103" s="41">
        <v>46010.229166666664</v>
      </c>
      <c r="O5103" s="38" t="s">
        <v>123</v>
      </c>
      <c r="P5103" s="38">
        <v>1800.0</v>
      </c>
      <c r="Q5103" s="39"/>
      <c r="R5103" s="39"/>
      <c r="S5103" s="39"/>
      <c r="T5103" s="39"/>
      <c r="U5103" s="39"/>
    </row>
    <row r="5104">
      <c r="A5104" s="40">
        <f t="shared" si="1"/>
        <v>46006</v>
      </c>
      <c r="B5104" s="37" t="str">
        <f t="array" ref="B5104">iferror(xlookup($I5104, 'IMPORT VHC Report'!$E:$E, 'IMPORT VHC Report'!$A:$C), )</f>
        <v/>
      </c>
      <c r="C5104" s="37"/>
      <c r="D5104" s="37"/>
      <c r="E5104" s="38" t="s">
        <v>6104</v>
      </c>
      <c r="F5104" s="38" t="s">
        <v>6087</v>
      </c>
      <c r="G5104" s="38">
        <v>1.0333018682383E13</v>
      </c>
      <c r="H5104" s="38" t="s">
        <v>6088</v>
      </c>
      <c r="I5104" s="38" t="s">
        <v>6089</v>
      </c>
      <c r="J5104" s="38" t="s">
        <v>132</v>
      </c>
      <c r="K5104" s="38" t="s">
        <v>126</v>
      </c>
      <c r="L5104" s="41">
        <v>46010.34375</v>
      </c>
      <c r="M5104" s="38" t="s">
        <v>123</v>
      </c>
      <c r="N5104" s="41">
        <v>46010.385416666664</v>
      </c>
      <c r="O5104" s="38" t="s">
        <v>123</v>
      </c>
      <c r="P5104" s="38">
        <v>3600.0</v>
      </c>
      <c r="Q5104" s="39"/>
      <c r="R5104" s="39"/>
      <c r="S5104" s="39"/>
      <c r="T5104" s="39"/>
      <c r="U5104" s="39"/>
    </row>
    <row r="5105">
      <c r="A5105" s="40">
        <f t="shared" si="1"/>
        <v>46006</v>
      </c>
      <c r="B5105" s="37" t="str">
        <f t="array" ref="B5105">iferror(xlookup($I5105, 'IMPORT VHC Report'!$E:$E, 'IMPORT VHC Report'!$A:$C), )</f>
        <v/>
      </c>
      <c r="C5105" s="37"/>
      <c r="D5105" s="37"/>
      <c r="E5105" s="38" t="s">
        <v>6105</v>
      </c>
      <c r="F5105" s="38" t="s">
        <v>6087</v>
      </c>
      <c r="G5105" s="38">
        <v>1.0333018682383E13</v>
      </c>
      <c r="H5105" s="38" t="s">
        <v>6088</v>
      </c>
      <c r="I5105" s="38" t="s">
        <v>6089</v>
      </c>
      <c r="J5105" s="38" t="s">
        <v>125</v>
      </c>
      <c r="K5105" s="38" t="s">
        <v>126</v>
      </c>
      <c r="L5105" s="41">
        <v>46011.125</v>
      </c>
      <c r="M5105" s="38" t="s">
        <v>123</v>
      </c>
      <c r="N5105" s="41">
        <v>46011.135416666664</v>
      </c>
      <c r="O5105" s="38" t="s">
        <v>123</v>
      </c>
      <c r="P5105" s="38">
        <v>900.0</v>
      </c>
      <c r="Q5105" s="39"/>
      <c r="R5105" s="39"/>
      <c r="S5105" s="38" t="s">
        <v>199</v>
      </c>
      <c r="T5105" s="39"/>
      <c r="U5105" s="39"/>
    </row>
    <row r="5106">
      <c r="A5106" s="40">
        <f t="shared" si="1"/>
        <v>46006</v>
      </c>
      <c r="B5106" s="37" t="str">
        <f t="array" ref="B5106">iferror(xlookup($I5106, 'IMPORT VHC Report'!$E:$E, 'IMPORT VHC Report'!$A:$C), )</f>
        <v/>
      </c>
      <c r="C5106" s="37"/>
      <c r="D5106" s="37"/>
      <c r="E5106" s="38" t="s">
        <v>6106</v>
      </c>
      <c r="F5106" s="38" t="s">
        <v>6087</v>
      </c>
      <c r="G5106" s="38">
        <v>1.0333018682383E13</v>
      </c>
      <c r="H5106" s="38" t="s">
        <v>6088</v>
      </c>
      <c r="I5106" s="38" t="s">
        <v>6089</v>
      </c>
      <c r="J5106" s="38" t="s">
        <v>196</v>
      </c>
      <c r="K5106" s="38" t="s">
        <v>63</v>
      </c>
      <c r="L5106" s="41">
        <v>46011.125</v>
      </c>
      <c r="M5106" s="38" t="s">
        <v>123</v>
      </c>
      <c r="N5106" s="41">
        <v>46011.5</v>
      </c>
      <c r="O5106" s="38" t="s">
        <v>123</v>
      </c>
      <c r="P5106" s="38">
        <v>32400.0</v>
      </c>
      <c r="Q5106" s="39"/>
      <c r="R5106" s="39"/>
      <c r="S5106" s="39"/>
      <c r="T5106" s="39"/>
      <c r="U5106" s="39"/>
    </row>
    <row r="5107">
      <c r="A5107" s="40">
        <f t="shared" si="1"/>
        <v>46006</v>
      </c>
      <c r="B5107" s="37" t="str">
        <f t="array" ref="B5107">iferror(xlookup($I5107, 'IMPORT VHC Report'!$E:$E, 'IMPORT VHC Report'!$A:$C), )</f>
        <v/>
      </c>
      <c r="C5107" s="37"/>
      <c r="D5107" s="37"/>
      <c r="E5107" s="38" t="s">
        <v>6107</v>
      </c>
      <c r="F5107" s="38" t="s">
        <v>6087</v>
      </c>
      <c r="G5107" s="38">
        <v>1.0333018682383E13</v>
      </c>
      <c r="H5107" s="38" t="s">
        <v>6088</v>
      </c>
      <c r="I5107" s="38" t="s">
        <v>6089</v>
      </c>
      <c r="J5107" s="38" t="s">
        <v>132</v>
      </c>
      <c r="K5107" s="38" t="s">
        <v>126</v>
      </c>
      <c r="L5107" s="41">
        <v>46011.25</v>
      </c>
      <c r="M5107" s="38" t="s">
        <v>123</v>
      </c>
      <c r="N5107" s="41">
        <v>46011.291666666664</v>
      </c>
      <c r="O5107" s="38" t="s">
        <v>123</v>
      </c>
      <c r="P5107" s="38">
        <v>3600.0</v>
      </c>
      <c r="Q5107" s="39"/>
      <c r="R5107" s="39"/>
      <c r="S5107" s="39"/>
      <c r="T5107" s="39"/>
      <c r="U5107" s="39"/>
    </row>
    <row r="5108">
      <c r="A5108" s="40">
        <f t="shared" si="1"/>
        <v>46006</v>
      </c>
      <c r="B5108" s="37" t="str">
        <f t="array" ref="B5108">iferror(xlookup($I5108, 'IMPORT VHC Report'!$E:$E, 'IMPORT VHC Report'!$A:$C), )</f>
        <v/>
      </c>
      <c r="C5108" s="37"/>
      <c r="D5108" s="37"/>
      <c r="E5108" s="38" t="s">
        <v>6108</v>
      </c>
      <c r="F5108" s="38" t="s">
        <v>6087</v>
      </c>
      <c r="G5108" s="38">
        <v>1.0333018682383E13</v>
      </c>
      <c r="H5108" s="38" t="s">
        <v>6088</v>
      </c>
      <c r="I5108" s="38" t="s">
        <v>6089</v>
      </c>
      <c r="J5108" s="38" t="s">
        <v>134</v>
      </c>
      <c r="K5108" s="38" t="s">
        <v>126</v>
      </c>
      <c r="L5108" s="41">
        <v>46011.441666666666</v>
      </c>
      <c r="M5108" s="38" t="s">
        <v>123</v>
      </c>
      <c r="N5108" s="41">
        <v>46011.4625</v>
      </c>
      <c r="O5108" s="38" t="s">
        <v>123</v>
      </c>
      <c r="P5108" s="38">
        <v>1800.0</v>
      </c>
      <c r="Q5108" s="39"/>
      <c r="R5108" s="39"/>
      <c r="S5108" s="39"/>
      <c r="T5108" s="39"/>
      <c r="U5108" s="39"/>
    </row>
    <row r="5109">
      <c r="A5109" s="40">
        <f t="shared" si="1"/>
        <v>46006</v>
      </c>
      <c r="B5109" s="37" t="str">
        <f t="array" ref="B5109">iferror(xlookup($I5109, 'IMPORT VHC Report'!$E:$E, 'IMPORT VHC Report'!$A:$C), )</f>
        <v/>
      </c>
      <c r="C5109" s="37"/>
      <c r="D5109" s="37"/>
      <c r="E5109" s="38" t="s">
        <v>6109</v>
      </c>
      <c r="F5109" s="38" t="s">
        <v>6110</v>
      </c>
      <c r="G5109" s="38">
        <v>1.1401961091343E13</v>
      </c>
      <c r="H5109" s="38" t="s">
        <v>6111</v>
      </c>
      <c r="I5109" s="38" t="s">
        <v>6112</v>
      </c>
      <c r="J5109" s="38" t="s">
        <v>125</v>
      </c>
      <c r="K5109" s="38" t="s">
        <v>126</v>
      </c>
      <c r="L5109" s="41">
        <v>46007.125</v>
      </c>
      <c r="M5109" s="38" t="s">
        <v>123</v>
      </c>
      <c r="N5109" s="41">
        <v>46007.135416666664</v>
      </c>
      <c r="O5109" s="38" t="s">
        <v>123</v>
      </c>
      <c r="P5109" s="38">
        <v>900.0</v>
      </c>
      <c r="Q5109" s="39"/>
      <c r="R5109" s="39"/>
      <c r="S5109" s="38" t="s">
        <v>199</v>
      </c>
      <c r="T5109" s="39"/>
      <c r="U5109" s="39"/>
    </row>
    <row r="5110">
      <c r="A5110" s="40">
        <f t="shared" si="1"/>
        <v>46006</v>
      </c>
      <c r="B5110" s="37" t="str">
        <f t="array" ref="B5110">iferror(xlookup($I5110, 'IMPORT VHC Report'!$E:$E, 'IMPORT VHC Report'!$A:$C), )</f>
        <v/>
      </c>
      <c r="C5110" s="37"/>
      <c r="D5110" s="37"/>
      <c r="E5110" s="38" t="s">
        <v>6113</v>
      </c>
      <c r="F5110" s="38" t="s">
        <v>6110</v>
      </c>
      <c r="G5110" s="38">
        <v>1.1401961091343E13</v>
      </c>
      <c r="H5110" s="38" t="s">
        <v>6111</v>
      </c>
      <c r="I5110" s="38" t="s">
        <v>6112</v>
      </c>
      <c r="J5110" s="38" t="s">
        <v>196</v>
      </c>
      <c r="K5110" s="38" t="s">
        <v>63</v>
      </c>
      <c r="L5110" s="41">
        <v>46007.125</v>
      </c>
      <c r="M5110" s="38" t="s">
        <v>123</v>
      </c>
      <c r="N5110" s="41">
        <v>46007.4375</v>
      </c>
      <c r="O5110" s="38" t="s">
        <v>123</v>
      </c>
      <c r="P5110" s="38">
        <v>27000.0</v>
      </c>
      <c r="Q5110" s="39"/>
      <c r="R5110" s="39"/>
      <c r="S5110" s="39"/>
      <c r="T5110" s="39"/>
      <c r="U5110" s="39"/>
    </row>
    <row r="5111">
      <c r="A5111" s="40">
        <f t="shared" si="1"/>
        <v>46006</v>
      </c>
      <c r="B5111" s="37" t="str">
        <f t="array" ref="B5111">iferror(xlookup($I5111, 'IMPORT VHC Report'!$E:$E, 'IMPORT VHC Report'!$A:$C), )</f>
        <v/>
      </c>
      <c r="C5111" s="37"/>
      <c r="D5111" s="37"/>
      <c r="E5111" s="38" t="s">
        <v>6114</v>
      </c>
      <c r="F5111" s="38" t="s">
        <v>6110</v>
      </c>
      <c r="G5111" s="38">
        <v>1.1401961091343E13</v>
      </c>
      <c r="H5111" s="38" t="s">
        <v>6111</v>
      </c>
      <c r="I5111" s="38" t="s">
        <v>6112</v>
      </c>
      <c r="J5111" s="38" t="s">
        <v>132</v>
      </c>
      <c r="K5111" s="38" t="s">
        <v>126</v>
      </c>
      <c r="L5111" s="41">
        <v>46007.270833333336</v>
      </c>
      <c r="M5111" s="38" t="s">
        <v>123</v>
      </c>
      <c r="N5111" s="41">
        <v>46007.3125</v>
      </c>
      <c r="O5111" s="38" t="s">
        <v>123</v>
      </c>
      <c r="P5111" s="38">
        <v>3600.0</v>
      </c>
      <c r="Q5111" s="39"/>
      <c r="R5111" s="39"/>
      <c r="S5111" s="39"/>
      <c r="T5111" s="39"/>
      <c r="U5111" s="39"/>
    </row>
    <row r="5112">
      <c r="A5112" s="40">
        <f t="shared" si="1"/>
        <v>46006</v>
      </c>
      <c r="B5112" s="37" t="str">
        <f t="array" ref="B5112">iferror(xlookup($I5112, 'IMPORT VHC Report'!$E:$E, 'IMPORT VHC Report'!$A:$C), )</f>
        <v/>
      </c>
      <c r="C5112" s="37"/>
      <c r="D5112" s="37"/>
      <c r="E5112" s="38" t="s">
        <v>6115</v>
      </c>
      <c r="F5112" s="38" t="s">
        <v>6110</v>
      </c>
      <c r="G5112" s="38">
        <v>1.1401961091343E13</v>
      </c>
      <c r="H5112" s="38" t="s">
        <v>6111</v>
      </c>
      <c r="I5112" s="38" t="s">
        <v>6112</v>
      </c>
      <c r="J5112" s="38" t="s">
        <v>134</v>
      </c>
      <c r="K5112" s="38" t="s">
        <v>126</v>
      </c>
      <c r="L5112" s="41">
        <v>46007.416666666664</v>
      </c>
      <c r="M5112" s="38" t="s">
        <v>123</v>
      </c>
      <c r="N5112" s="41">
        <v>46007.4375</v>
      </c>
      <c r="O5112" s="38" t="s">
        <v>123</v>
      </c>
      <c r="P5112" s="38">
        <v>1800.0</v>
      </c>
      <c r="Q5112" s="39"/>
      <c r="R5112" s="39"/>
      <c r="S5112" s="39"/>
      <c r="T5112" s="39"/>
      <c r="U5112" s="39"/>
    </row>
    <row r="5113">
      <c r="A5113" s="40">
        <f t="shared" si="1"/>
        <v>46006</v>
      </c>
      <c r="B5113" s="37" t="str">
        <f t="array" ref="B5113">iferror(xlookup($I5113, 'IMPORT VHC Report'!$E:$E, 'IMPORT VHC Report'!$A:$C), )</f>
        <v/>
      </c>
      <c r="C5113" s="37"/>
      <c r="D5113" s="37"/>
      <c r="E5113" s="38" t="s">
        <v>6116</v>
      </c>
      <c r="F5113" s="38" t="s">
        <v>6110</v>
      </c>
      <c r="G5113" s="38">
        <v>1.1401961091343E13</v>
      </c>
      <c r="H5113" s="38" t="s">
        <v>6111</v>
      </c>
      <c r="I5113" s="38" t="s">
        <v>6112</v>
      </c>
      <c r="J5113" s="38" t="s">
        <v>62</v>
      </c>
      <c r="K5113" s="38" t="s">
        <v>63</v>
      </c>
      <c r="L5113" s="41">
        <v>46007.416666666664</v>
      </c>
      <c r="M5113" s="38" t="s">
        <v>123</v>
      </c>
      <c r="N5113" s="41">
        <v>46007.458333333336</v>
      </c>
      <c r="O5113" s="38" t="s">
        <v>123</v>
      </c>
      <c r="P5113" s="38">
        <v>3600.0</v>
      </c>
      <c r="Q5113" s="39"/>
      <c r="R5113" s="39"/>
      <c r="S5113" s="39"/>
      <c r="T5113" s="39"/>
      <c r="U5113" s="39"/>
    </row>
    <row r="5114">
      <c r="A5114" s="40">
        <f t="shared" si="1"/>
        <v>46006</v>
      </c>
      <c r="B5114" s="37" t="str">
        <f t="array" ref="B5114">iferror(xlookup($I5114, 'IMPORT VHC Report'!$E:$E, 'IMPORT VHC Report'!$A:$C), )</f>
        <v/>
      </c>
      <c r="C5114" s="37"/>
      <c r="D5114" s="37"/>
      <c r="E5114" s="38" t="s">
        <v>6117</v>
      </c>
      <c r="F5114" s="38" t="s">
        <v>6110</v>
      </c>
      <c r="G5114" s="38">
        <v>1.1401961091343E13</v>
      </c>
      <c r="H5114" s="38" t="s">
        <v>6111</v>
      </c>
      <c r="I5114" s="38" t="s">
        <v>6112</v>
      </c>
      <c r="J5114" s="38" t="s">
        <v>4</v>
      </c>
      <c r="K5114" s="38" t="s">
        <v>126</v>
      </c>
      <c r="L5114" s="41">
        <v>46007.4375</v>
      </c>
      <c r="M5114" s="38" t="s">
        <v>123</v>
      </c>
      <c r="N5114" s="41">
        <v>46007.479166666664</v>
      </c>
      <c r="O5114" s="38" t="s">
        <v>123</v>
      </c>
      <c r="P5114" s="38">
        <v>3600.0</v>
      </c>
      <c r="Q5114" s="39"/>
      <c r="R5114" s="39"/>
      <c r="S5114" s="38" t="s">
        <v>858</v>
      </c>
      <c r="T5114" s="39"/>
      <c r="U5114" s="39"/>
    </row>
    <row r="5115">
      <c r="A5115" s="40">
        <f t="shared" si="1"/>
        <v>46006</v>
      </c>
      <c r="B5115" s="37" t="str">
        <f t="array" ref="B5115">iferror(xlookup($I5115, 'IMPORT VHC Report'!$E:$E, 'IMPORT VHC Report'!$A:$C), )</f>
        <v/>
      </c>
      <c r="C5115" s="37"/>
      <c r="D5115" s="37"/>
      <c r="E5115" s="38" t="s">
        <v>6118</v>
      </c>
      <c r="F5115" s="38" t="s">
        <v>6110</v>
      </c>
      <c r="G5115" s="38">
        <v>1.1401961091343E13</v>
      </c>
      <c r="H5115" s="38" t="s">
        <v>6111</v>
      </c>
      <c r="I5115" s="38" t="s">
        <v>6112</v>
      </c>
      <c r="J5115" s="38" t="s">
        <v>196</v>
      </c>
      <c r="K5115" s="38" t="s">
        <v>63</v>
      </c>
      <c r="L5115" s="41">
        <v>46007.458333333336</v>
      </c>
      <c r="M5115" s="38" t="s">
        <v>123</v>
      </c>
      <c r="N5115" s="41">
        <v>46007.5</v>
      </c>
      <c r="O5115" s="38" t="s">
        <v>123</v>
      </c>
      <c r="P5115" s="38">
        <v>3600.0</v>
      </c>
      <c r="Q5115" s="39"/>
      <c r="R5115" s="39"/>
      <c r="S5115" s="39"/>
      <c r="T5115" s="39"/>
      <c r="U5115" s="39"/>
    </row>
    <row r="5116">
      <c r="A5116" s="40">
        <f t="shared" si="1"/>
        <v>46006</v>
      </c>
      <c r="B5116" s="37" t="str">
        <f t="array" ref="B5116">iferror(xlookup($I5116, 'IMPORT VHC Report'!$E:$E, 'IMPORT VHC Report'!$A:$C), )</f>
        <v/>
      </c>
      <c r="C5116" s="37"/>
      <c r="D5116" s="37"/>
      <c r="E5116" s="38" t="s">
        <v>6119</v>
      </c>
      <c r="F5116" s="38" t="s">
        <v>6110</v>
      </c>
      <c r="G5116" s="38">
        <v>1.1401961091343E13</v>
      </c>
      <c r="H5116" s="38" t="s">
        <v>6111</v>
      </c>
      <c r="I5116" s="38" t="s">
        <v>6112</v>
      </c>
      <c r="J5116" s="38" t="s">
        <v>125</v>
      </c>
      <c r="K5116" s="38" t="s">
        <v>126</v>
      </c>
      <c r="L5116" s="41">
        <v>46008.125</v>
      </c>
      <c r="M5116" s="38" t="s">
        <v>123</v>
      </c>
      <c r="N5116" s="41">
        <v>46008.135416666664</v>
      </c>
      <c r="O5116" s="38" t="s">
        <v>123</v>
      </c>
      <c r="P5116" s="38">
        <v>900.0</v>
      </c>
      <c r="Q5116" s="39"/>
      <c r="R5116" s="39"/>
      <c r="S5116" s="38" t="s">
        <v>199</v>
      </c>
      <c r="T5116" s="39"/>
      <c r="U5116" s="39"/>
    </row>
    <row r="5117">
      <c r="A5117" s="40">
        <f t="shared" si="1"/>
        <v>46006</v>
      </c>
      <c r="B5117" s="37" t="str">
        <f t="array" ref="B5117">iferror(xlookup($I5117, 'IMPORT VHC Report'!$E:$E, 'IMPORT VHC Report'!$A:$C), )</f>
        <v/>
      </c>
      <c r="C5117" s="37"/>
      <c r="D5117" s="37"/>
      <c r="E5117" s="38" t="s">
        <v>6120</v>
      </c>
      <c r="F5117" s="38" t="s">
        <v>6110</v>
      </c>
      <c r="G5117" s="38">
        <v>1.1401961091343E13</v>
      </c>
      <c r="H5117" s="38" t="s">
        <v>6111</v>
      </c>
      <c r="I5117" s="38" t="s">
        <v>6112</v>
      </c>
      <c r="J5117" s="38" t="s">
        <v>196</v>
      </c>
      <c r="K5117" s="38" t="s">
        <v>63</v>
      </c>
      <c r="L5117" s="41">
        <v>46008.125</v>
      </c>
      <c r="M5117" s="38" t="s">
        <v>123</v>
      </c>
      <c r="N5117" s="41">
        <v>46008.5</v>
      </c>
      <c r="O5117" s="38" t="s">
        <v>123</v>
      </c>
      <c r="P5117" s="38">
        <v>32400.0</v>
      </c>
      <c r="Q5117" s="39"/>
      <c r="R5117" s="39"/>
      <c r="S5117" s="39"/>
      <c r="T5117" s="39"/>
      <c r="U5117" s="39"/>
    </row>
    <row r="5118">
      <c r="A5118" s="40">
        <f t="shared" si="1"/>
        <v>46006</v>
      </c>
      <c r="B5118" s="37" t="str">
        <f t="array" ref="B5118">iferror(xlookup($I5118, 'IMPORT VHC Report'!$E:$E, 'IMPORT VHC Report'!$A:$C), )</f>
        <v/>
      </c>
      <c r="C5118" s="37"/>
      <c r="D5118" s="37"/>
      <c r="E5118" s="38" t="s">
        <v>6121</v>
      </c>
      <c r="F5118" s="38" t="s">
        <v>6110</v>
      </c>
      <c r="G5118" s="38">
        <v>1.1401961091343E13</v>
      </c>
      <c r="H5118" s="38" t="s">
        <v>6111</v>
      </c>
      <c r="I5118" s="38" t="s">
        <v>6112</v>
      </c>
      <c r="J5118" s="38" t="s">
        <v>134</v>
      </c>
      <c r="K5118" s="38" t="s">
        <v>126</v>
      </c>
      <c r="L5118" s="41">
        <v>46008.25</v>
      </c>
      <c r="M5118" s="38" t="s">
        <v>123</v>
      </c>
      <c r="N5118" s="41">
        <v>46008.270833333336</v>
      </c>
      <c r="O5118" s="38" t="s">
        <v>123</v>
      </c>
      <c r="P5118" s="38">
        <v>1800.0</v>
      </c>
      <c r="Q5118" s="39"/>
      <c r="R5118" s="39"/>
      <c r="S5118" s="39"/>
      <c r="T5118" s="39"/>
      <c r="U5118" s="39"/>
    </row>
    <row r="5119">
      <c r="A5119" s="40">
        <f t="shared" si="1"/>
        <v>46006</v>
      </c>
      <c r="B5119" s="37" t="str">
        <f t="array" ref="B5119">iferror(xlookup($I5119, 'IMPORT VHC Report'!$E:$E, 'IMPORT VHC Report'!$A:$C), )</f>
        <v/>
      </c>
      <c r="C5119" s="37"/>
      <c r="D5119" s="37"/>
      <c r="E5119" s="38" t="s">
        <v>6122</v>
      </c>
      <c r="F5119" s="38" t="s">
        <v>6110</v>
      </c>
      <c r="G5119" s="38">
        <v>1.1401961091343E13</v>
      </c>
      <c r="H5119" s="38" t="s">
        <v>6111</v>
      </c>
      <c r="I5119" s="38" t="s">
        <v>6112</v>
      </c>
      <c r="J5119" s="38" t="s">
        <v>132</v>
      </c>
      <c r="K5119" s="38" t="s">
        <v>126</v>
      </c>
      <c r="L5119" s="41">
        <v>46008.385416666664</v>
      </c>
      <c r="M5119" s="38" t="s">
        <v>123</v>
      </c>
      <c r="N5119" s="41">
        <v>46008.427083333336</v>
      </c>
      <c r="O5119" s="38" t="s">
        <v>123</v>
      </c>
      <c r="P5119" s="38">
        <v>3600.0</v>
      </c>
      <c r="Q5119" s="39"/>
      <c r="R5119" s="39"/>
      <c r="S5119" s="39"/>
      <c r="T5119" s="39"/>
      <c r="U5119" s="39"/>
    </row>
    <row r="5120">
      <c r="A5120" s="40">
        <f t="shared" si="1"/>
        <v>46006</v>
      </c>
      <c r="B5120" s="37" t="str">
        <f t="array" ref="B5120">iferror(xlookup($I5120, 'IMPORT VHC Report'!$E:$E, 'IMPORT VHC Report'!$A:$C), )</f>
        <v/>
      </c>
      <c r="C5120" s="37"/>
      <c r="D5120" s="37"/>
      <c r="E5120" s="38" t="s">
        <v>6123</v>
      </c>
      <c r="F5120" s="38" t="s">
        <v>6110</v>
      </c>
      <c r="G5120" s="38">
        <v>1.1401961091343E13</v>
      </c>
      <c r="H5120" s="38" t="s">
        <v>6111</v>
      </c>
      <c r="I5120" s="38" t="s">
        <v>6112</v>
      </c>
      <c r="J5120" s="38" t="s">
        <v>125</v>
      </c>
      <c r="K5120" s="38" t="s">
        <v>126</v>
      </c>
      <c r="L5120" s="41">
        <v>46009.125</v>
      </c>
      <c r="M5120" s="38" t="s">
        <v>123</v>
      </c>
      <c r="N5120" s="41">
        <v>46009.135416666664</v>
      </c>
      <c r="O5120" s="38" t="s">
        <v>123</v>
      </c>
      <c r="P5120" s="38">
        <v>900.0</v>
      </c>
      <c r="Q5120" s="39"/>
      <c r="R5120" s="39"/>
      <c r="S5120" s="38" t="s">
        <v>199</v>
      </c>
      <c r="T5120" s="39"/>
      <c r="U5120" s="39"/>
    </row>
    <row r="5121">
      <c r="A5121" s="40">
        <f t="shared" si="1"/>
        <v>46006</v>
      </c>
      <c r="B5121" s="37" t="str">
        <f t="array" ref="B5121">iferror(xlookup($I5121, 'IMPORT VHC Report'!$E:$E, 'IMPORT VHC Report'!$A:$C), )</f>
        <v/>
      </c>
      <c r="C5121" s="37"/>
      <c r="D5121" s="37"/>
      <c r="E5121" s="38" t="s">
        <v>6124</v>
      </c>
      <c r="F5121" s="38" t="s">
        <v>6110</v>
      </c>
      <c r="G5121" s="38">
        <v>1.1401961091343E13</v>
      </c>
      <c r="H5121" s="38" t="s">
        <v>6111</v>
      </c>
      <c r="I5121" s="38" t="s">
        <v>6112</v>
      </c>
      <c r="J5121" s="38" t="s">
        <v>196</v>
      </c>
      <c r="K5121" s="38" t="s">
        <v>63</v>
      </c>
      <c r="L5121" s="41">
        <v>46009.125</v>
      </c>
      <c r="M5121" s="38" t="s">
        <v>123</v>
      </c>
      <c r="N5121" s="41">
        <v>46009.5</v>
      </c>
      <c r="O5121" s="38" t="s">
        <v>123</v>
      </c>
      <c r="P5121" s="38">
        <v>32400.0</v>
      </c>
      <c r="Q5121" s="39"/>
      <c r="R5121" s="39"/>
      <c r="S5121" s="39"/>
      <c r="T5121" s="39"/>
      <c r="U5121" s="39"/>
    </row>
    <row r="5122">
      <c r="A5122" s="40">
        <f t="shared" si="1"/>
        <v>46006</v>
      </c>
      <c r="B5122" s="37" t="str">
        <f t="array" ref="B5122">iferror(xlookup($I5122, 'IMPORT VHC Report'!$E:$E, 'IMPORT VHC Report'!$A:$C), )</f>
        <v/>
      </c>
      <c r="C5122" s="37"/>
      <c r="D5122" s="37"/>
      <c r="E5122" s="38" t="s">
        <v>6125</v>
      </c>
      <c r="F5122" s="38" t="s">
        <v>6110</v>
      </c>
      <c r="G5122" s="38">
        <v>1.1401961091343E13</v>
      </c>
      <c r="H5122" s="38" t="s">
        <v>6111</v>
      </c>
      <c r="I5122" s="38" t="s">
        <v>6112</v>
      </c>
      <c r="J5122" s="38" t="s">
        <v>132</v>
      </c>
      <c r="K5122" s="38" t="s">
        <v>126</v>
      </c>
      <c r="L5122" s="41">
        <v>46009.260416666664</v>
      </c>
      <c r="M5122" s="38" t="s">
        <v>123</v>
      </c>
      <c r="N5122" s="41">
        <v>46009.302083333336</v>
      </c>
      <c r="O5122" s="38" t="s">
        <v>123</v>
      </c>
      <c r="P5122" s="38">
        <v>3600.0</v>
      </c>
      <c r="Q5122" s="39"/>
      <c r="R5122" s="39"/>
      <c r="S5122" s="39"/>
      <c r="T5122" s="39"/>
      <c r="U5122" s="39"/>
    </row>
    <row r="5123">
      <c r="A5123" s="40">
        <f t="shared" si="1"/>
        <v>46006</v>
      </c>
      <c r="B5123" s="37" t="str">
        <f t="array" ref="B5123">iferror(xlookup($I5123, 'IMPORT VHC Report'!$E:$E, 'IMPORT VHC Report'!$A:$C), )</f>
        <v/>
      </c>
      <c r="C5123" s="37"/>
      <c r="D5123" s="37"/>
      <c r="E5123" s="38" t="s">
        <v>6126</v>
      </c>
      <c r="F5123" s="38" t="s">
        <v>6110</v>
      </c>
      <c r="G5123" s="38">
        <v>1.1401961091343E13</v>
      </c>
      <c r="H5123" s="38" t="s">
        <v>6111</v>
      </c>
      <c r="I5123" s="38" t="s">
        <v>6112</v>
      </c>
      <c r="J5123" s="38" t="s">
        <v>134</v>
      </c>
      <c r="K5123" s="38" t="s">
        <v>126</v>
      </c>
      <c r="L5123" s="41">
        <v>46009.416666666664</v>
      </c>
      <c r="M5123" s="38" t="s">
        <v>123</v>
      </c>
      <c r="N5123" s="41">
        <v>46009.4375</v>
      </c>
      <c r="O5123" s="38" t="s">
        <v>123</v>
      </c>
      <c r="P5123" s="38">
        <v>1800.0</v>
      </c>
      <c r="Q5123" s="39"/>
      <c r="R5123" s="39"/>
      <c r="S5123" s="39"/>
      <c r="T5123" s="39"/>
      <c r="U5123" s="39"/>
    </row>
    <row r="5124">
      <c r="A5124" s="40">
        <f t="shared" si="1"/>
        <v>46006</v>
      </c>
      <c r="B5124" s="37" t="str">
        <f t="array" ref="B5124">iferror(xlookup($I5124, 'IMPORT VHC Report'!$E:$E, 'IMPORT VHC Report'!$A:$C), )</f>
        <v/>
      </c>
      <c r="C5124" s="37"/>
      <c r="D5124" s="37"/>
      <c r="E5124" s="38" t="s">
        <v>6127</v>
      </c>
      <c r="F5124" s="38" t="s">
        <v>6110</v>
      </c>
      <c r="G5124" s="38">
        <v>1.1401961091343E13</v>
      </c>
      <c r="H5124" s="38" t="s">
        <v>6111</v>
      </c>
      <c r="I5124" s="38" t="s">
        <v>6112</v>
      </c>
      <c r="J5124" s="38" t="s">
        <v>125</v>
      </c>
      <c r="K5124" s="38" t="s">
        <v>126</v>
      </c>
      <c r="L5124" s="41">
        <v>46010.125</v>
      </c>
      <c r="M5124" s="38" t="s">
        <v>123</v>
      </c>
      <c r="N5124" s="41">
        <v>46010.135416666664</v>
      </c>
      <c r="O5124" s="38" t="s">
        <v>123</v>
      </c>
      <c r="P5124" s="38">
        <v>900.0</v>
      </c>
      <c r="Q5124" s="39"/>
      <c r="R5124" s="39"/>
      <c r="S5124" s="38" t="s">
        <v>199</v>
      </c>
      <c r="T5124" s="39"/>
      <c r="U5124" s="39"/>
    </row>
    <row r="5125">
      <c r="A5125" s="40">
        <f t="shared" si="1"/>
        <v>46006</v>
      </c>
      <c r="B5125" s="37" t="str">
        <f t="array" ref="B5125">iferror(xlookup($I5125, 'IMPORT VHC Report'!$E:$E, 'IMPORT VHC Report'!$A:$C), )</f>
        <v/>
      </c>
      <c r="C5125" s="37"/>
      <c r="D5125" s="37"/>
      <c r="E5125" s="38" t="s">
        <v>6128</v>
      </c>
      <c r="F5125" s="38" t="s">
        <v>6110</v>
      </c>
      <c r="G5125" s="38">
        <v>1.1401961091343E13</v>
      </c>
      <c r="H5125" s="38" t="s">
        <v>6111</v>
      </c>
      <c r="I5125" s="38" t="s">
        <v>6112</v>
      </c>
      <c r="J5125" s="38" t="s">
        <v>196</v>
      </c>
      <c r="K5125" s="38" t="s">
        <v>63</v>
      </c>
      <c r="L5125" s="41">
        <v>46010.125</v>
      </c>
      <c r="M5125" s="38" t="s">
        <v>123</v>
      </c>
      <c r="N5125" s="41">
        <v>46010.5</v>
      </c>
      <c r="O5125" s="38" t="s">
        <v>123</v>
      </c>
      <c r="P5125" s="38">
        <v>32400.0</v>
      </c>
      <c r="Q5125" s="39"/>
      <c r="R5125" s="39"/>
      <c r="S5125" s="39"/>
      <c r="T5125" s="39"/>
      <c r="U5125" s="39"/>
    </row>
    <row r="5126">
      <c r="A5126" s="40">
        <f t="shared" si="1"/>
        <v>46006</v>
      </c>
      <c r="B5126" s="37" t="str">
        <f t="array" ref="B5126">iferror(xlookup($I5126, 'IMPORT VHC Report'!$E:$E, 'IMPORT VHC Report'!$A:$C), )</f>
        <v/>
      </c>
      <c r="C5126" s="37"/>
      <c r="D5126" s="37"/>
      <c r="E5126" s="38" t="s">
        <v>6129</v>
      </c>
      <c r="F5126" s="38" t="s">
        <v>6110</v>
      </c>
      <c r="G5126" s="38">
        <v>1.1401961091343E13</v>
      </c>
      <c r="H5126" s="38" t="s">
        <v>6111</v>
      </c>
      <c r="I5126" s="38" t="s">
        <v>6112</v>
      </c>
      <c r="J5126" s="38" t="s">
        <v>134</v>
      </c>
      <c r="K5126" s="38" t="s">
        <v>126</v>
      </c>
      <c r="L5126" s="41">
        <v>46010.229166666664</v>
      </c>
      <c r="M5126" s="38" t="s">
        <v>123</v>
      </c>
      <c r="N5126" s="41">
        <v>46010.25</v>
      </c>
      <c r="O5126" s="38" t="s">
        <v>123</v>
      </c>
      <c r="P5126" s="38">
        <v>1800.0</v>
      </c>
      <c r="Q5126" s="39"/>
      <c r="R5126" s="39"/>
      <c r="S5126" s="39"/>
      <c r="T5126" s="39"/>
      <c r="U5126" s="39"/>
    </row>
    <row r="5127">
      <c r="A5127" s="40">
        <f t="shared" si="1"/>
        <v>46006</v>
      </c>
      <c r="B5127" s="37" t="str">
        <f t="array" ref="B5127">iferror(xlookup($I5127, 'IMPORT VHC Report'!$E:$E, 'IMPORT VHC Report'!$A:$C), )</f>
        <v/>
      </c>
      <c r="C5127" s="37"/>
      <c r="D5127" s="37"/>
      <c r="E5127" s="38" t="s">
        <v>6130</v>
      </c>
      <c r="F5127" s="38" t="s">
        <v>6110</v>
      </c>
      <c r="G5127" s="38">
        <v>1.1401961091343E13</v>
      </c>
      <c r="H5127" s="38" t="s">
        <v>6111</v>
      </c>
      <c r="I5127" s="38" t="s">
        <v>6112</v>
      </c>
      <c r="J5127" s="38" t="s">
        <v>132</v>
      </c>
      <c r="K5127" s="38" t="s">
        <v>126</v>
      </c>
      <c r="L5127" s="41">
        <v>46010.385416666664</v>
      </c>
      <c r="M5127" s="38" t="s">
        <v>123</v>
      </c>
      <c r="N5127" s="41">
        <v>46010.427083333336</v>
      </c>
      <c r="O5127" s="38" t="s">
        <v>123</v>
      </c>
      <c r="P5127" s="38">
        <v>3600.0</v>
      </c>
      <c r="Q5127" s="39"/>
      <c r="R5127" s="39"/>
      <c r="S5127" s="39"/>
      <c r="T5127" s="39"/>
      <c r="U5127" s="39"/>
    </row>
    <row r="5128">
      <c r="A5128" s="40">
        <f t="shared" si="1"/>
        <v>46006</v>
      </c>
      <c r="B5128" s="37" t="str">
        <f t="array" ref="B5128">iferror(xlookup($I5128, 'IMPORT VHC Report'!$E:$E, 'IMPORT VHC Report'!$A:$C), )</f>
        <v/>
      </c>
      <c r="C5128" s="37"/>
      <c r="D5128" s="37"/>
      <c r="E5128" s="38" t="s">
        <v>6131</v>
      </c>
      <c r="F5128" s="38" t="s">
        <v>6110</v>
      </c>
      <c r="G5128" s="38">
        <v>1.1401961091343E13</v>
      </c>
      <c r="H5128" s="38" t="s">
        <v>6111</v>
      </c>
      <c r="I5128" s="38" t="s">
        <v>6112</v>
      </c>
      <c r="J5128" s="38" t="s">
        <v>125</v>
      </c>
      <c r="K5128" s="38" t="s">
        <v>126</v>
      </c>
      <c r="L5128" s="41">
        <v>46011.125</v>
      </c>
      <c r="M5128" s="38" t="s">
        <v>123</v>
      </c>
      <c r="N5128" s="41">
        <v>46011.135416666664</v>
      </c>
      <c r="O5128" s="38" t="s">
        <v>123</v>
      </c>
      <c r="P5128" s="38">
        <v>900.0</v>
      </c>
      <c r="Q5128" s="39"/>
      <c r="R5128" s="39"/>
      <c r="S5128" s="38" t="s">
        <v>199</v>
      </c>
      <c r="T5128" s="39"/>
      <c r="U5128" s="39"/>
    </row>
    <row r="5129">
      <c r="A5129" s="40">
        <f t="shared" si="1"/>
        <v>46006</v>
      </c>
      <c r="B5129" s="37" t="str">
        <f t="array" ref="B5129">iferror(xlookup($I5129, 'IMPORT VHC Report'!$E:$E, 'IMPORT VHC Report'!$A:$C), )</f>
        <v/>
      </c>
      <c r="C5129" s="37"/>
      <c r="D5129" s="37"/>
      <c r="E5129" s="38" t="s">
        <v>6132</v>
      </c>
      <c r="F5129" s="38" t="s">
        <v>6110</v>
      </c>
      <c r="G5129" s="38">
        <v>1.1401961091343E13</v>
      </c>
      <c r="H5129" s="38" t="s">
        <v>6111</v>
      </c>
      <c r="I5129" s="38" t="s">
        <v>6112</v>
      </c>
      <c r="J5129" s="38" t="s">
        <v>196</v>
      </c>
      <c r="K5129" s="38" t="s">
        <v>63</v>
      </c>
      <c r="L5129" s="41">
        <v>46011.125</v>
      </c>
      <c r="M5129" s="38" t="s">
        <v>123</v>
      </c>
      <c r="N5129" s="41">
        <v>46011.5</v>
      </c>
      <c r="O5129" s="38" t="s">
        <v>123</v>
      </c>
      <c r="P5129" s="38">
        <v>32400.0</v>
      </c>
      <c r="Q5129" s="39"/>
      <c r="R5129" s="39"/>
      <c r="S5129" s="39"/>
      <c r="T5129" s="39"/>
      <c r="U5129" s="39"/>
    </row>
    <row r="5130">
      <c r="A5130" s="40">
        <f t="shared" si="1"/>
        <v>46006</v>
      </c>
      <c r="B5130" s="37" t="str">
        <f t="array" ref="B5130">iferror(xlookup($I5130, 'IMPORT VHC Report'!$E:$E, 'IMPORT VHC Report'!$A:$C), )</f>
        <v/>
      </c>
      <c r="C5130" s="37"/>
      <c r="D5130" s="37"/>
      <c r="E5130" s="38" t="s">
        <v>6133</v>
      </c>
      <c r="F5130" s="38" t="s">
        <v>6110</v>
      </c>
      <c r="G5130" s="38">
        <v>1.1401961091343E13</v>
      </c>
      <c r="H5130" s="38" t="s">
        <v>6111</v>
      </c>
      <c r="I5130" s="38" t="s">
        <v>6112</v>
      </c>
      <c r="J5130" s="38" t="s">
        <v>134</v>
      </c>
      <c r="K5130" s="38" t="s">
        <v>126</v>
      </c>
      <c r="L5130" s="41">
        <v>46011.229166666664</v>
      </c>
      <c r="M5130" s="38" t="s">
        <v>123</v>
      </c>
      <c r="N5130" s="41">
        <v>46011.25</v>
      </c>
      <c r="O5130" s="38" t="s">
        <v>123</v>
      </c>
      <c r="P5130" s="38">
        <v>1800.0</v>
      </c>
      <c r="Q5130" s="39"/>
      <c r="R5130" s="39"/>
      <c r="S5130" s="39"/>
      <c r="T5130" s="39"/>
      <c r="U5130" s="39"/>
    </row>
    <row r="5131">
      <c r="A5131" s="40">
        <f t="shared" si="1"/>
        <v>46006</v>
      </c>
      <c r="B5131" s="37" t="str">
        <f t="array" ref="B5131">iferror(xlookup($I5131, 'IMPORT VHC Report'!$E:$E, 'IMPORT VHC Report'!$A:$C), )</f>
        <v/>
      </c>
      <c r="C5131" s="37"/>
      <c r="D5131" s="37"/>
      <c r="E5131" s="38" t="s">
        <v>6134</v>
      </c>
      <c r="F5131" s="38" t="s">
        <v>6110</v>
      </c>
      <c r="G5131" s="38">
        <v>1.1401961091343E13</v>
      </c>
      <c r="H5131" s="38" t="s">
        <v>6111</v>
      </c>
      <c r="I5131" s="38" t="s">
        <v>6112</v>
      </c>
      <c r="J5131" s="38" t="s">
        <v>132</v>
      </c>
      <c r="K5131" s="38" t="s">
        <v>126</v>
      </c>
      <c r="L5131" s="41">
        <v>46011.375</v>
      </c>
      <c r="M5131" s="38" t="s">
        <v>123</v>
      </c>
      <c r="N5131" s="41">
        <v>46011.416666666664</v>
      </c>
      <c r="O5131" s="38" t="s">
        <v>123</v>
      </c>
      <c r="P5131" s="38">
        <v>3600.0</v>
      </c>
      <c r="Q5131" s="39"/>
      <c r="R5131" s="39"/>
      <c r="S5131" s="39"/>
      <c r="T5131" s="39"/>
      <c r="U5131" s="39"/>
    </row>
    <row r="5132">
      <c r="A5132" s="40">
        <f t="shared" si="1"/>
        <v>46006</v>
      </c>
      <c r="B5132" s="37" t="str">
        <f t="array" ref="B5132">iferror(xlookup($I5132, 'IMPORT VHC Report'!$E:$E, 'IMPORT VHC Report'!$A:$C), )</f>
        <v/>
      </c>
      <c r="C5132" s="37"/>
      <c r="D5132" s="37"/>
      <c r="E5132" s="38" t="s">
        <v>6135</v>
      </c>
      <c r="F5132" s="38" t="s">
        <v>6136</v>
      </c>
      <c r="G5132" s="38">
        <v>9.795939875087E12</v>
      </c>
      <c r="H5132" s="38" t="s">
        <v>6137</v>
      </c>
      <c r="I5132" s="38" t="s">
        <v>6138</v>
      </c>
      <c r="J5132" s="38" t="s">
        <v>125</v>
      </c>
      <c r="K5132" s="38" t="s">
        <v>126</v>
      </c>
      <c r="L5132" s="41">
        <v>46007.125</v>
      </c>
      <c r="M5132" s="38" t="s">
        <v>123</v>
      </c>
      <c r="N5132" s="41">
        <v>46007.135416666664</v>
      </c>
      <c r="O5132" s="38" t="s">
        <v>123</v>
      </c>
      <c r="P5132" s="38">
        <v>900.0</v>
      </c>
      <c r="Q5132" s="39"/>
      <c r="R5132" s="39"/>
      <c r="S5132" s="38" t="s">
        <v>199</v>
      </c>
      <c r="T5132" s="39"/>
      <c r="U5132" s="39"/>
    </row>
    <row r="5133">
      <c r="A5133" s="40">
        <f t="shared" si="1"/>
        <v>46006</v>
      </c>
      <c r="B5133" s="37" t="str">
        <f t="array" ref="B5133">iferror(xlookup($I5133, 'IMPORT VHC Report'!$E:$E, 'IMPORT VHC Report'!$A:$C), )</f>
        <v/>
      </c>
      <c r="C5133" s="37"/>
      <c r="D5133" s="37"/>
      <c r="E5133" s="38" t="s">
        <v>6139</v>
      </c>
      <c r="F5133" s="38" t="s">
        <v>6136</v>
      </c>
      <c r="G5133" s="38">
        <v>9.795939875087E12</v>
      </c>
      <c r="H5133" s="38" t="s">
        <v>6137</v>
      </c>
      <c r="I5133" s="38" t="s">
        <v>6138</v>
      </c>
      <c r="J5133" s="38" t="s">
        <v>196</v>
      </c>
      <c r="K5133" s="38" t="s">
        <v>63</v>
      </c>
      <c r="L5133" s="41">
        <v>46007.125</v>
      </c>
      <c r="M5133" s="38" t="s">
        <v>123</v>
      </c>
      <c r="N5133" s="41">
        <v>46007.5</v>
      </c>
      <c r="O5133" s="38" t="s">
        <v>123</v>
      </c>
      <c r="P5133" s="38">
        <v>32400.0</v>
      </c>
      <c r="Q5133" s="39"/>
      <c r="R5133" s="39"/>
      <c r="S5133" s="39"/>
      <c r="T5133" s="39"/>
      <c r="U5133" s="39"/>
    </row>
    <row r="5134">
      <c r="A5134" s="40">
        <f t="shared" si="1"/>
        <v>46006</v>
      </c>
      <c r="B5134" s="37" t="str">
        <f t="array" ref="B5134">iferror(xlookup($I5134, 'IMPORT VHC Report'!$E:$E, 'IMPORT VHC Report'!$A:$C), )</f>
        <v/>
      </c>
      <c r="C5134" s="37"/>
      <c r="D5134" s="37"/>
      <c r="E5134" s="38" t="s">
        <v>6140</v>
      </c>
      <c r="F5134" s="38" t="s">
        <v>6136</v>
      </c>
      <c r="G5134" s="38">
        <v>9.795939875087E12</v>
      </c>
      <c r="H5134" s="38" t="s">
        <v>6137</v>
      </c>
      <c r="I5134" s="38" t="s">
        <v>6138</v>
      </c>
      <c r="J5134" s="38" t="s">
        <v>134</v>
      </c>
      <c r="K5134" s="38" t="s">
        <v>126</v>
      </c>
      <c r="L5134" s="41">
        <v>46007.229166666664</v>
      </c>
      <c r="M5134" s="38" t="s">
        <v>123</v>
      </c>
      <c r="N5134" s="41">
        <v>46007.25</v>
      </c>
      <c r="O5134" s="38" t="s">
        <v>123</v>
      </c>
      <c r="P5134" s="38">
        <v>1800.0</v>
      </c>
      <c r="Q5134" s="39"/>
      <c r="R5134" s="39"/>
      <c r="S5134" s="39"/>
      <c r="T5134" s="39"/>
      <c r="U5134" s="39"/>
    </row>
    <row r="5135">
      <c r="A5135" s="40">
        <f t="shared" si="1"/>
        <v>46006</v>
      </c>
      <c r="B5135" s="37" t="str">
        <f t="array" ref="B5135">iferror(xlookup($I5135, 'IMPORT VHC Report'!$E:$E, 'IMPORT VHC Report'!$A:$C), )</f>
        <v/>
      </c>
      <c r="C5135" s="37"/>
      <c r="D5135" s="37"/>
      <c r="E5135" s="38" t="s">
        <v>6141</v>
      </c>
      <c r="F5135" s="38" t="s">
        <v>6136</v>
      </c>
      <c r="G5135" s="38">
        <v>9.795939875087E12</v>
      </c>
      <c r="H5135" s="38" t="s">
        <v>6137</v>
      </c>
      <c r="I5135" s="38" t="s">
        <v>6138</v>
      </c>
      <c r="J5135" s="38" t="s">
        <v>132</v>
      </c>
      <c r="K5135" s="38" t="s">
        <v>126</v>
      </c>
      <c r="L5135" s="41">
        <v>46007.375</v>
      </c>
      <c r="M5135" s="38" t="s">
        <v>123</v>
      </c>
      <c r="N5135" s="41">
        <v>46007.416666666664</v>
      </c>
      <c r="O5135" s="38" t="s">
        <v>123</v>
      </c>
      <c r="P5135" s="38">
        <v>3600.0</v>
      </c>
      <c r="Q5135" s="39"/>
      <c r="R5135" s="39"/>
      <c r="S5135" s="39"/>
      <c r="T5135" s="39"/>
      <c r="U5135" s="39"/>
    </row>
    <row r="5136">
      <c r="A5136" s="40">
        <f t="shared" si="1"/>
        <v>46006</v>
      </c>
      <c r="B5136" s="37" t="str">
        <f t="array" ref="B5136">iferror(xlookup($I5136, 'IMPORT VHC Report'!$E:$E, 'IMPORT VHC Report'!$A:$C), )</f>
        <v/>
      </c>
      <c r="C5136" s="37"/>
      <c r="D5136" s="37"/>
      <c r="E5136" s="38" t="s">
        <v>6142</v>
      </c>
      <c r="F5136" s="38" t="s">
        <v>6136</v>
      </c>
      <c r="G5136" s="38">
        <v>9.795939875087E12</v>
      </c>
      <c r="H5136" s="38" t="s">
        <v>6137</v>
      </c>
      <c r="I5136" s="38" t="s">
        <v>6138</v>
      </c>
      <c r="J5136" s="38" t="s">
        <v>125</v>
      </c>
      <c r="K5136" s="38" t="s">
        <v>126</v>
      </c>
      <c r="L5136" s="41">
        <v>46008.125</v>
      </c>
      <c r="M5136" s="38" t="s">
        <v>123</v>
      </c>
      <c r="N5136" s="41">
        <v>46008.135416666664</v>
      </c>
      <c r="O5136" s="38" t="s">
        <v>123</v>
      </c>
      <c r="P5136" s="38">
        <v>900.0</v>
      </c>
      <c r="Q5136" s="39"/>
      <c r="R5136" s="39"/>
      <c r="S5136" s="38" t="s">
        <v>199</v>
      </c>
      <c r="T5136" s="39"/>
      <c r="U5136" s="39"/>
    </row>
    <row r="5137">
      <c r="A5137" s="40">
        <f t="shared" si="1"/>
        <v>46006</v>
      </c>
      <c r="B5137" s="37" t="str">
        <f t="array" ref="B5137">iferror(xlookup($I5137, 'IMPORT VHC Report'!$E:$E, 'IMPORT VHC Report'!$A:$C), )</f>
        <v/>
      </c>
      <c r="C5137" s="37"/>
      <c r="D5137" s="37"/>
      <c r="E5137" s="38" t="s">
        <v>6143</v>
      </c>
      <c r="F5137" s="38" t="s">
        <v>6136</v>
      </c>
      <c r="G5137" s="38">
        <v>9.795939875087E12</v>
      </c>
      <c r="H5137" s="38" t="s">
        <v>6137</v>
      </c>
      <c r="I5137" s="38" t="s">
        <v>6138</v>
      </c>
      <c r="J5137" s="38" t="s">
        <v>178</v>
      </c>
      <c r="K5137" s="38" t="s">
        <v>153</v>
      </c>
      <c r="L5137" s="41">
        <v>46008.125</v>
      </c>
      <c r="M5137" s="38" t="s">
        <v>123</v>
      </c>
      <c r="N5137" s="41">
        <v>46008.5</v>
      </c>
      <c r="O5137" s="38" t="s">
        <v>123</v>
      </c>
      <c r="P5137" s="38">
        <v>32400.0</v>
      </c>
      <c r="Q5137" s="38">
        <v>32400.0</v>
      </c>
      <c r="R5137" s="38" t="s">
        <v>6144</v>
      </c>
      <c r="S5137" s="39"/>
      <c r="T5137" s="39"/>
      <c r="U5137" s="39"/>
    </row>
    <row r="5138">
      <c r="A5138" s="40">
        <f t="shared" si="1"/>
        <v>46006</v>
      </c>
      <c r="B5138" s="37" t="str">
        <f t="array" ref="B5138">iferror(xlookup($I5138, 'IMPORT VHC Report'!$E:$E, 'IMPORT VHC Report'!$A:$C), )</f>
        <v/>
      </c>
      <c r="C5138" s="37"/>
      <c r="D5138" s="37"/>
      <c r="E5138" s="38" t="s">
        <v>6145</v>
      </c>
      <c r="F5138" s="38" t="s">
        <v>6136</v>
      </c>
      <c r="G5138" s="38">
        <v>9.795939875087E12</v>
      </c>
      <c r="H5138" s="38" t="s">
        <v>6137</v>
      </c>
      <c r="I5138" s="38" t="s">
        <v>6138</v>
      </c>
      <c r="J5138" s="38" t="s">
        <v>196</v>
      </c>
      <c r="K5138" s="38" t="s">
        <v>63</v>
      </c>
      <c r="L5138" s="41">
        <v>46008.125</v>
      </c>
      <c r="M5138" s="38" t="s">
        <v>123</v>
      </c>
      <c r="N5138" s="41">
        <v>46008.5</v>
      </c>
      <c r="O5138" s="38" t="s">
        <v>123</v>
      </c>
      <c r="P5138" s="38">
        <v>32400.0</v>
      </c>
      <c r="Q5138" s="39"/>
      <c r="R5138" s="39"/>
      <c r="S5138" s="39"/>
      <c r="T5138" s="39"/>
      <c r="U5138" s="39"/>
    </row>
    <row r="5139">
      <c r="A5139" s="40">
        <f t="shared" si="1"/>
        <v>46006</v>
      </c>
      <c r="B5139" s="37" t="str">
        <f t="array" ref="B5139">iferror(xlookup($I5139, 'IMPORT VHC Report'!$E:$E, 'IMPORT VHC Report'!$A:$C), )</f>
        <v/>
      </c>
      <c r="C5139" s="37"/>
      <c r="D5139" s="37"/>
      <c r="E5139" s="38" t="s">
        <v>6146</v>
      </c>
      <c r="F5139" s="38" t="s">
        <v>6136</v>
      </c>
      <c r="G5139" s="38">
        <v>9.795939875087E12</v>
      </c>
      <c r="H5139" s="38" t="s">
        <v>6137</v>
      </c>
      <c r="I5139" s="38" t="s">
        <v>6138</v>
      </c>
      <c r="J5139" s="38" t="s">
        <v>134</v>
      </c>
      <c r="K5139" s="38" t="s">
        <v>126</v>
      </c>
      <c r="L5139" s="41">
        <v>46008.229166666664</v>
      </c>
      <c r="M5139" s="38" t="s">
        <v>123</v>
      </c>
      <c r="N5139" s="41">
        <v>46008.25</v>
      </c>
      <c r="O5139" s="38" t="s">
        <v>123</v>
      </c>
      <c r="P5139" s="38">
        <v>1800.0</v>
      </c>
      <c r="Q5139" s="39"/>
      <c r="R5139" s="39"/>
      <c r="S5139" s="39"/>
      <c r="T5139" s="39"/>
      <c r="U5139" s="39"/>
    </row>
    <row r="5140">
      <c r="A5140" s="40">
        <f t="shared" si="1"/>
        <v>46006</v>
      </c>
      <c r="B5140" s="37" t="str">
        <f t="array" ref="B5140">iferror(xlookup($I5140, 'IMPORT VHC Report'!$E:$E, 'IMPORT VHC Report'!$A:$C), )</f>
        <v/>
      </c>
      <c r="C5140" s="37"/>
      <c r="D5140" s="37"/>
      <c r="E5140" s="38" t="s">
        <v>6147</v>
      </c>
      <c r="F5140" s="38" t="s">
        <v>6136</v>
      </c>
      <c r="G5140" s="38">
        <v>9.795939875087E12</v>
      </c>
      <c r="H5140" s="38" t="s">
        <v>6137</v>
      </c>
      <c r="I5140" s="38" t="s">
        <v>6138</v>
      </c>
      <c r="J5140" s="38" t="s">
        <v>132</v>
      </c>
      <c r="K5140" s="38" t="s">
        <v>126</v>
      </c>
      <c r="L5140" s="41">
        <v>46008.364583333336</v>
      </c>
      <c r="M5140" s="38" t="s">
        <v>123</v>
      </c>
      <c r="N5140" s="41">
        <v>46008.40625</v>
      </c>
      <c r="O5140" s="38" t="s">
        <v>123</v>
      </c>
      <c r="P5140" s="38">
        <v>3600.0</v>
      </c>
      <c r="Q5140" s="39"/>
      <c r="R5140" s="39"/>
      <c r="S5140" s="39"/>
      <c r="T5140" s="39"/>
      <c r="U5140" s="39"/>
    </row>
    <row r="5141">
      <c r="A5141" s="40">
        <f t="shared" si="1"/>
        <v>46006</v>
      </c>
      <c r="B5141" s="37" t="str">
        <f t="array" ref="B5141">iferror(xlookup($I5141, 'IMPORT VHC Report'!$E:$E, 'IMPORT VHC Report'!$A:$C), )</f>
        <v/>
      </c>
      <c r="C5141" s="37"/>
      <c r="D5141" s="37"/>
      <c r="E5141" s="38" t="s">
        <v>6148</v>
      </c>
      <c r="F5141" s="38" t="s">
        <v>6136</v>
      </c>
      <c r="G5141" s="38">
        <v>9.795939875087E12</v>
      </c>
      <c r="H5141" s="38" t="s">
        <v>6137</v>
      </c>
      <c r="I5141" s="38" t="s">
        <v>6138</v>
      </c>
      <c r="J5141" s="38" t="s">
        <v>125</v>
      </c>
      <c r="K5141" s="38" t="s">
        <v>126</v>
      </c>
      <c r="L5141" s="41">
        <v>46009.125</v>
      </c>
      <c r="M5141" s="38" t="s">
        <v>123</v>
      </c>
      <c r="N5141" s="41">
        <v>46009.135416666664</v>
      </c>
      <c r="O5141" s="38" t="s">
        <v>123</v>
      </c>
      <c r="P5141" s="38">
        <v>900.0</v>
      </c>
      <c r="Q5141" s="39"/>
      <c r="R5141" s="39"/>
      <c r="S5141" s="38" t="s">
        <v>199</v>
      </c>
      <c r="T5141" s="39"/>
      <c r="U5141" s="39"/>
    </row>
    <row r="5142">
      <c r="A5142" s="40">
        <f t="shared" si="1"/>
        <v>46006</v>
      </c>
      <c r="B5142" s="37" t="str">
        <f t="array" ref="B5142">iferror(xlookup($I5142, 'IMPORT VHC Report'!$E:$E, 'IMPORT VHC Report'!$A:$C), )</f>
        <v/>
      </c>
      <c r="C5142" s="37"/>
      <c r="D5142" s="37"/>
      <c r="E5142" s="38" t="s">
        <v>6149</v>
      </c>
      <c r="F5142" s="38" t="s">
        <v>6136</v>
      </c>
      <c r="G5142" s="38">
        <v>9.795939875087E12</v>
      </c>
      <c r="H5142" s="38" t="s">
        <v>6137</v>
      </c>
      <c r="I5142" s="38" t="s">
        <v>6138</v>
      </c>
      <c r="J5142" s="38" t="s">
        <v>196</v>
      </c>
      <c r="K5142" s="38" t="s">
        <v>63</v>
      </c>
      <c r="L5142" s="41">
        <v>46009.125</v>
      </c>
      <c r="M5142" s="38" t="s">
        <v>123</v>
      </c>
      <c r="N5142" s="41">
        <v>46009.5</v>
      </c>
      <c r="O5142" s="38" t="s">
        <v>123</v>
      </c>
      <c r="P5142" s="38">
        <v>32400.0</v>
      </c>
      <c r="Q5142" s="39"/>
      <c r="R5142" s="39"/>
      <c r="S5142" s="39"/>
      <c r="T5142" s="39"/>
      <c r="U5142" s="39"/>
    </row>
    <row r="5143">
      <c r="A5143" s="40">
        <f t="shared" si="1"/>
        <v>46006</v>
      </c>
      <c r="B5143" s="37" t="str">
        <f t="array" ref="B5143">iferror(xlookup($I5143, 'IMPORT VHC Report'!$E:$E, 'IMPORT VHC Report'!$A:$C), )</f>
        <v/>
      </c>
      <c r="C5143" s="37"/>
      <c r="D5143" s="37"/>
      <c r="E5143" s="38" t="s">
        <v>6150</v>
      </c>
      <c r="F5143" s="38" t="s">
        <v>6136</v>
      </c>
      <c r="G5143" s="38">
        <v>9.795939875087E12</v>
      </c>
      <c r="H5143" s="38" t="s">
        <v>6137</v>
      </c>
      <c r="I5143" s="38" t="s">
        <v>6138</v>
      </c>
      <c r="J5143" s="38" t="s">
        <v>134</v>
      </c>
      <c r="K5143" s="38" t="s">
        <v>126</v>
      </c>
      <c r="L5143" s="41">
        <v>46009.25</v>
      </c>
      <c r="M5143" s="38" t="s">
        <v>123</v>
      </c>
      <c r="N5143" s="41">
        <v>46009.270833333336</v>
      </c>
      <c r="O5143" s="38" t="s">
        <v>123</v>
      </c>
      <c r="P5143" s="38">
        <v>1800.0</v>
      </c>
      <c r="Q5143" s="39"/>
      <c r="R5143" s="39"/>
      <c r="S5143" s="39"/>
      <c r="T5143" s="39"/>
      <c r="U5143" s="39"/>
    </row>
    <row r="5144">
      <c r="A5144" s="40">
        <f t="shared" si="1"/>
        <v>46006</v>
      </c>
      <c r="B5144" s="37" t="str">
        <f t="array" ref="B5144">iferror(xlookup($I5144, 'IMPORT VHC Report'!$E:$E, 'IMPORT VHC Report'!$A:$C), )</f>
        <v/>
      </c>
      <c r="C5144" s="37"/>
      <c r="D5144" s="37"/>
      <c r="E5144" s="38" t="s">
        <v>6151</v>
      </c>
      <c r="F5144" s="38" t="s">
        <v>6136</v>
      </c>
      <c r="G5144" s="38">
        <v>9.795939875087E12</v>
      </c>
      <c r="H5144" s="38" t="s">
        <v>6137</v>
      </c>
      <c r="I5144" s="38" t="s">
        <v>6138</v>
      </c>
      <c r="J5144" s="38" t="s">
        <v>132</v>
      </c>
      <c r="K5144" s="38" t="s">
        <v>126</v>
      </c>
      <c r="L5144" s="41">
        <v>46009.375</v>
      </c>
      <c r="M5144" s="38" t="s">
        <v>123</v>
      </c>
      <c r="N5144" s="41">
        <v>46009.416666666664</v>
      </c>
      <c r="O5144" s="38" t="s">
        <v>123</v>
      </c>
      <c r="P5144" s="38">
        <v>3600.0</v>
      </c>
      <c r="Q5144" s="39"/>
      <c r="R5144" s="39"/>
      <c r="S5144" s="39"/>
      <c r="T5144" s="39"/>
      <c r="U5144" s="39"/>
    </row>
    <row r="5145">
      <c r="A5145" s="40">
        <f t="shared" si="1"/>
        <v>46006</v>
      </c>
      <c r="B5145" s="37" t="str">
        <f t="array" ref="B5145">iferror(xlookup($I5145, 'IMPORT VHC Report'!$E:$E, 'IMPORT VHC Report'!$A:$C), )</f>
        <v/>
      </c>
      <c r="C5145" s="37"/>
      <c r="D5145" s="37"/>
      <c r="E5145" s="38" t="s">
        <v>6152</v>
      </c>
      <c r="F5145" s="38" t="s">
        <v>6136</v>
      </c>
      <c r="G5145" s="38">
        <v>9.795939875087E12</v>
      </c>
      <c r="H5145" s="38" t="s">
        <v>6137</v>
      </c>
      <c r="I5145" s="38" t="s">
        <v>6138</v>
      </c>
      <c r="J5145" s="38" t="s">
        <v>125</v>
      </c>
      <c r="K5145" s="38" t="s">
        <v>126</v>
      </c>
      <c r="L5145" s="41">
        <v>46010.125</v>
      </c>
      <c r="M5145" s="38" t="s">
        <v>123</v>
      </c>
      <c r="N5145" s="41">
        <v>46010.135416666664</v>
      </c>
      <c r="O5145" s="38" t="s">
        <v>123</v>
      </c>
      <c r="P5145" s="38">
        <v>900.0</v>
      </c>
      <c r="Q5145" s="39"/>
      <c r="R5145" s="39"/>
      <c r="S5145" s="38" t="s">
        <v>199</v>
      </c>
      <c r="T5145" s="39"/>
      <c r="U5145" s="39"/>
    </row>
    <row r="5146">
      <c r="A5146" s="40">
        <f t="shared" si="1"/>
        <v>46006</v>
      </c>
      <c r="B5146" s="37" t="str">
        <f t="array" ref="B5146">iferror(xlookup($I5146, 'IMPORT VHC Report'!$E:$E, 'IMPORT VHC Report'!$A:$C), )</f>
        <v/>
      </c>
      <c r="C5146" s="37"/>
      <c r="D5146" s="37"/>
      <c r="E5146" s="38" t="s">
        <v>6153</v>
      </c>
      <c r="F5146" s="38" t="s">
        <v>6136</v>
      </c>
      <c r="G5146" s="38">
        <v>9.795939875087E12</v>
      </c>
      <c r="H5146" s="38" t="s">
        <v>6137</v>
      </c>
      <c r="I5146" s="38" t="s">
        <v>6138</v>
      </c>
      <c r="J5146" s="38" t="s">
        <v>196</v>
      </c>
      <c r="K5146" s="38" t="s">
        <v>63</v>
      </c>
      <c r="L5146" s="41">
        <v>46010.125</v>
      </c>
      <c r="M5146" s="38" t="s">
        <v>123</v>
      </c>
      <c r="N5146" s="41">
        <v>46010.5</v>
      </c>
      <c r="O5146" s="38" t="s">
        <v>123</v>
      </c>
      <c r="P5146" s="38">
        <v>32400.0</v>
      </c>
      <c r="Q5146" s="39"/>
      <c r="R5146" s="39"/>
      <c r="S5146" s="39"/>
      <c r="T5146" s="39"/>
      <c r="U5146" s="39"/>
    </row>
    <row r="5147">
      <c r="A5147" s="40">
        <f t="shared" si="1"/>
        <v>46006</v>
      </c>
      <c r="B5147" s="37" t="str">
        <f t="array" ref="B5147">iferror(xlookup($I5147, 'IMPORT VHC Report'!$E:$E, 'IMPORT VHC Report'!$A:$C), )</f>
        <v/>
      </c>
      <c r="C5147" s="37"/>
      <c r="D5147" s="37"/>
      <c r="E5147" s="38" t="s">
        <v>6154</v>
      </c>
      <c r="F5147" s="38" t="s">
        <v>6136</v>
      </c>
      <c r="G5147" s="38">
        <v>9.795939875087E12</v>
      </c>
      <c r="H5147" s="38" t="s">
        <v>6137</v>
      </c>
      <c r="I5147" s="38" t="s">
        <v>6138</v>
      </c>
      <c r="J5147" s="38" t="s">
        <v>134</v>
      </c>
      <c r="K5147" s="38" t="s">
        <v>126</v>
      </c>
      <c r="L5147" s="41">
        <v>46010.229166666664</v>
      </c>
      <c r="M5147" s="38" t="s">
        <v>123</v>
      </c>
      <c r="N5147" s="41">
        <v>46010.25</v>
      </c>
      <c r="O5147" s="38" t="s">
        <v>123</v>
      </c>
      <c r="P5147" s="38">
        <v>1800.0</v>
      </c>
      <c r="Q5147" s="39"/>
      <c r="R5147" s="39"/>
      <c r="S5147" s="39"/>
      <c r="T5147" s="39"/>
      <c r="U5147" s="39"/>
    </row>
    <row r="5148">
      <c r="A5148" s="40">
        <f t="shared" si="1"/>
        <v>46006</v>
      </c>
      <c r="B5148" s="37" t="str">
        <f t="array" ref="B5148">iferror(xlookup($I5148, 'IMPORT VHC Report'!$E:$E, 'IMPORT VHC Report'!$A:$C), )</f>
        <v/>
      </c>
      <c r="C5148" s="37"/>
      <c r="D5148" s="37"/>
      <c r="E5148" s="38" t="s">
        <v>6155</v>
      </c>
      <c r="F5148" s="38" t="s">
        <v>6136</v>
      </c>
      <c r="G5148" s="38">
        <v>9.795939875087E12</v>
      </c>
      <c r="H5148" s="38" t="s">
        <v>6137</v>
      </c>
      <c r="I5148" s="38" t="s">
        <v>6138</v>
      </c>
      <c r="J5148" s="38" t="s">
        <v>132</v>
      </c>
      <c r="K5148" s="38" t="s">
        <v>126</v>
      </c>
      <c r="L5148" s="41">
        <v>46010.375</v>
      </c>
      <c r="M5148" s="38" t="s">
        <v>123</v>
      </c>
      <c r="N5148" s="41">
        <v>46010.416666666664</v>
      </c>
      <c r="O5148" s="38" t="s">
        <v>123</v>
      </c>
      <c r="P5148" s="38">
        <v>3600.0</v>
      </c>
      <c r="Q5148" s="39"/>
      <c r="R5148" s="39"/>
      <c r="S5148" s="39"/>
      <c r="T5148" s="39"/>
      <c r="U5148" s="39"/>
    </row>
    <row r="5149">
      <c r="A5149" s="40">
        <f t="shared" si="1"/>
        <v>46006</v>
      </c>
      <c r="B5149" s="37" t="str">
        <f t="array" ref="B5149">iferror(xlookup($I5149, 'IMPORT VHC Report'!$E:$E, 'IMPORT VHC Report'!$A:$C), )</f>
        <v/>
      </c>
      <c r="C5149" s="37"/>
      <c r="D5149" s="37"/>
      <c r="E5149" s="38" t="s">
        <v>6156</v>
      </c>
      <c r="F5149" s="38" t="s">
        <v>6136</v>
      </c>
      <c r="G5149" s="38">
        <v>9.795939875087E12</v>
      </c>
      <c r="H5149" s="38" t="s">
        <v>6137</v>
      </c>
      <c r="I5149" s="38" t="s">
        <v>6138</v>
      </c>
      <c r="J5149" s="38" t="s">
        <v>125</v>
      </c>
      <c r="K5149" s="38" t="s">
        <v>126</v>
      </c>
      <c r="L5149" s="41">
        <v>46011.125</v>
      </c>
      <c r="M5149" s="38" t="s">
        <v>123</v>
      </c>
      <c r="N5149" s="41">
        <v>46011.135416666664</v>
      </c>
      <c r="O5149" s="38" t="s">
        <v>123</v>
      </c>
      <c r="P5149" s="38">
        <v>900.0</v>
      </c>
      <c r="Q5149" s="39"/>
      <c r="R5149" s="39"/>
      <c r="S5149" s="38" t="s">
        <v>199</v>
      </c>
      <c r="T5149" s="39"/>
      <c r="U5149" s="39"/>
    </row>
    <row r="5150">
      <c r="A5150" s="40">
        <f t="shared" si="1"/>
        <v>46006</v>
      </c>
      <c r="B5150" s="37" t="str">
        <f t="array" ref="B5150">iferror(xlookup($I5150, 'IMPORT VHC Report'!$E:$E, 'IMPORT VHC Report'!$A:$C), )</f>
        <v/>
      </c>
      <c r="C5150" s="37"/>
      <c r="D5150" s="37"/>
      <c r="E5150" s="38" t="s">
        <v>6157</v>
      </c>
      <c r="F5150" s="38" t="s">
        <v>6136</v>
      </c>
      <c r="G5150" s="38">
        <v>9.795939875087E12</v>
      </c>
      <c r="H5150" s="38" t="s">
        <v>6137</v>
      </c>
      <c r="I5150" s="38" t="s">
        <v>6138</v>
      </c>
      <c r="J5150" s="38" t="s">
        <v>196</v>
      </c>
      <c r="K5150" s="38" t="s">
        <v>63</v>
      </c>
      <c r="L5150" s="41">
        <v>46011.125</v>
      </c>
      <c r="M5150" s="38" t="s">
        <v>123</v>
      </c>
      <c r="N5150" s="41">
        <v>46011.5</v>
      </c>
      <c r="O5150" s="38" t="s">
        <v>123</v>
      </c>
      <c r="P5150" s="38">
        <v>32400.0</v>
      </c>
      <c r="Q5150" s="39"/>
      <c r="R5150" s="39"/>
      <c r="S5150" s="39"/>
      <c r="T5150" s="39"/>
      <c r="U5150" s="39"/>
    </row>
    <row r="5151">
      <c r="A5151" s="40">
        <f t="shared" si="1"/>
        <v>46006</v>
      </c>
      <c r="B5151" s="37" t="str">
        <f t="array" ref="B5151">iferror(xlookup($I5151, 'IMPORT VHC Report'!$E:$E, 'IMPORT VHC Report'!$A:$C), )</f>
        <v/>
      </c>
      <c r="C5151" s="37"/>
      <c r="D5151" s="37"/>
      <c r="E5151" s="38" t="s">
        <v>6158</v>
      </c>
      <c r="F5151" s="38" t="s">
        <v>6136</v>
      </c>
      <c r="G5151" s="38">
        <v>9.795939875087E12</v>
      </c>
      <c r="H5151" s="38" t="s">
        <v>6137</v>
      </c>
      <c r="I5151" s="38" t="s">
        <v>6138</v>
      </c>
      <c r="J5151" s="38" t="s">
        <v>132</v>
      </c>
      <c r="K5151" s="38" t="s">
        <v>126</v>
      </c>
      <c r="L5151" s="41">
        <v>46011.25</v>
      </c>
      <c r="M5151" s="38" t="s">
        <v>123</v>
      </c>
      <c r="N5151" s="41">
        <v>46011.291666666664</v>
      </c>
      <c r="O5151" s="38" t="s">
        <v>123</v>
      </c>
      <c r="P5151" s="38">
        <v>3600.0</v>
      </c>
      <c r="Q5151" s="39"/>
      <c r="R5151" s="39"/>
      <c r="S5151" s="39"/>
      <c r="T5151" s="39"/>
      <c r="U5151" s="39"/>
    </row>
    <row r="5152">
      <c r="A5152" s="40">
        <f t="shared" si="1"/>
        <v>46006</v>
      </c>
      <c r="B5152" s="37" t="str">
        <f t="array" ref="B5152">iferror(xlookup($I5152, 'IMPORT VHC Report'!$E:$E, 'IMPORT VHC Report'!$A:$C), )</f>
        <v/>
      </c>
      <c r="C5152" s="37"/>
      <c r="D5152" s="37"/>
      <c r="E5152" s="38" t="s">
        <v>6159</v>
      </c>
      <c r="F5152" s="38" t="s">
        <v>6136</v>
      </c>
      <c r="G5152" s="38">
        <v>9.795939875087E12</v>
      </c>
      <c r="H5152" s="38" t="s">
        <v>6137</v>
      </c>
      <c r="I5152" s="38" t="s">
        <v>6138</v>
      </c>
      <c r="J5152" s="38" t="s">
        <v>134</v>
      </c>
      <c r="K5152" s="38" t="s">
        <v>126</v>
      </c>
      <c r="L5152" s="41">
        <v>46011.40625</v>
      </c>
      <c r="M5152" s="38" t="s">
        <v>123</v>
      </c>
      <c r="N5152" s="41">
        <v>46011.427083333336</v>
      </c>
      <c r="O5152" s="38" t="s">
        <v>123</v>
      </c>
      <c r="P5152" s="38">
        <v>1800.0</v>
      </c>
      <c r="Q5152" s="39"/>
      <c r="R5152" s="39"/>
      <c r="S5152" s="39"/>
      <c r="T5152" s="39"/>
      <c r="U5152" s="39"/>
    </row>
    <row r="5153">
      <c r="A5153" s="40">
        <f t="shared" si="1"/>
        <v>46006</v>
      </c>
      <c r="B5153" s="37" t="str">
        <f t="array" ref="B5153">iferror(xlookup($I5153, 'IMPORT VHC Report'!$E:$E, 'IMPORT VHC Report'!$A:$C), )</f>
        <v/>
      </c>
      <c r="C5153" s="37"/>
      <c r="D5153" s="37"/>
      <c r="E5153" s="38" t="s">
        <v>6160</v>
      </c>
      <c r="F5153" s="38" t="s">
        <v>6161</v>
      </c>
      <c r="G5153" s="38">
        <v>1.0548609971215E13</v>
      </c>
      <c r="H5153" s="38" t="s">
        <v>6162</v>
      </c>
      <c r="I5153" s="38" t="s">
        <v>6163</v>
      </c>
      <c r="J5153" s="38" t="s">
        <v>330</v>
      </c>
      <c r="K5153" s="38" t="s">
        <v>126</v>
      </c>
      <c r="L5153" s="41">
        <v>46007.166666666664</v>
      </c>
      <c r="M5153" s="38" t="s">
        <v>123</v>
      </c>
      <c r="N5153" s="41">
        <v>46007.17361111111</v>
      </c>
      <c r="O5153" s="38" t="s">
        <v>123</v>
      </c>
      <c r="P5153" s="38">
        <v>600.0</v>
      </c>
      <c r="Q5153" s="39"/>
      <c r="R5153" s="39"/>
      <c r="S5153" s="39"/>
      <c r="T5153" s="39"/>
      <c r="U5153" s="39"/>
    </row>
    <row r="5154">
      <c r="A5154" s="40">
        <f t="shared" si="1"/>
        <v>46006</v>
      </c>
      <c r="B5154" s="37" t="str">
        <f t="array" ref="B5154">iferror(xlookup($I5154, 'IMPORT VHC Report'!$E:$E, 'IMPORT VHC Report'!$A:$C), )</f>
        <v/>
      </c>
      <c r="C5154" s="37"/>
      <c r="D5154" s="37"/>
      <c r="E5154" s="38" t="s">
        <v>6164</v>
      </c>
      <c r="F5154" s="38" t="s">
        <v>6161</v>
      </c>
      <c r="G5154" s="38">
        <v>1.0548609971215E13</v>
      </c>
      <c r="H5154" s="38" t="s">
        <v>6162</v>
      </c>
      <c r="I5154" s="38" t="s">
        <v>6163</v>
      </c>
      <c r="J5154" s="38" t="s">
        <v>332</v>
      </c>
      <c r="K5154" s="38" t="s">
        <v>63</v>
      </c>
      <c r="L5154" s="41">
        <v>46007.166666666664</v>
      </c>
      <c r="M5154" s="38" t="s">
        <v>123</v>
      </c>
      <c r="N5154" s="41">
        <v>46007.541666666664</v>
      </c>
      <c r="O5154" s="38" t="s">
        <v>123</v>
      </c>
      <c r="P5154" s="38">
        <v>32400.0</v>
      </c>
      <c r="Q5154" s="39"/>
      <c r="R5154" s="39"/>
      <c r="S5154" s="39"/>
      <c r="T5154" s="39"/>
      <c r="U5154" s="39"/>
    </row>
    <row r="5155">
      <c r="A5155" s="40">
        <f t="shared" si="1"/>
        <v>46006</v>
      </c>
      <c r="B5155" s="37" t="str">
        <f t="array" ref="B5155">iferror(xlookup($I5155, 'IMPORT VHC Report'!$E:$E, 'IMPORT VHC Report'!$A:$C), )</f>
        <v/>
      </c>
      <c r="C5155" s="37"/>
      <c r="D5155" s="37"/>
      <c r="E5155" s="38" t="s">
        <v>6165</v>
      </c>
      <c r="F5155" s="38" t="s">
        <v>6161</v>
      </c>
      <c r="G5155" s="38">
        <v>1.0548609971215E13</v>
      </c>
      <c r="H5155" s="38" t="s">
        <v>6162</v>
      </c>
      <c r="I5155" s="38" t="s">
        <v>6163</v>
      </c>
      <c r="J5155" s="38" t="s">
        <v>132</v>
      </c>
      <c r="K5155" s="38" t="s">
        <v>126</v>
      </c>
      <c r="L5155" s="41">
        <v>46007.375</v>
      </c>
      <c r="M5155" s="38" t="s">
        <v>123</v>
      </c>
      <c r="N5155" s="41">
        <v>46007.416666666664</v>
      </c>
      <c r="O5155" s="38" t="s">
        <v>123</v>
      </c>
      <c r="P5155" s="38">
        <v>3600.0</v>
      </c>
      <c r="Q5155" s="39"/>
      <c r="R5155" s="39"/>
      <c r="S5155" s="39"/>
      <c r="T5155" s="39"/>
      <c r="U5155" s="39"/>
    </row>
    <row r="5156">
      <c r="A5156" s="40">
        <f t="shared" si="1"/>
        <v>46006</v>
      </c>
      <c r="B5156" s="37" t="str">
        <f t="array" ref="B5156">iferror(xlookup($I5156, 'IMPORT VHC Report'!$E:$E, 'IMPORT VHC Report'!$A:$C), )</f>
        <v/>
      </c>
      <c r="C5156" s="37"/>
      <c r="D5156" s="37"/>
      <c r="E5156" s="38" t="s">
        <v>6166</v>
      </c>
      <c r="F5156" s="38" t="s">
        <v>6161</v>
      </c>
      <c r="G5156" s="38">
        <v>1.0548609971215E13</v>
      </c>
      <c r="H5156" s="38" t="s">
        <v>6162</v>
      </c>
      <c r="I5156" s="38" t="s">
        <v>6163</v>
      </c>
      <c r="J5156" s="38" t="s">
        <v>134</v>
      </c>
      <c r="K5156" s="38" t="s">
        <v>126</v>
      </c>
      <c r="L5156" s="41">
        <v>46007.50069444445</v>
      </c>
      <c r="M5156" s="38" t="s">
        <v>123</v>
      </c>
      <c r="N5156" s="41">
        <v>46007.521527777775</v>
      </c>
      <c r="O5156" s="38" t="s">
        <v>123</v>
      </c>
      <c r="P5156" s="38">
        <v>1800.0</v>
      </c>
      <c r="Q5156" s="39"/>
      <c r="R5156" s="39"/>
      <c r="S5156" s="39"/>
      <c r="T5156" s="39"/>
      <c r="U5156" s="39"/>
    </row>
    <row r="5157">
      <c r="A5157" s="40">
        <f t="shared" si="1"/>
        <v>46006</v>
      </c>
      <c r="B5157" s="37" t="str">
        <f t="array" ref="B5157">iferror(xlookup($I5157, 'IMPORT VHC Report'!$E:$E, 'IMPORT VHC Report'!$A:$C), )</f>
        <v/>
      </c>
      <c r="C5157" s="37"/>
      <c r="D5157" s="37"/>
      <c r="E5157" s="38" t="s">
        <v>6167</v>
      </c>
      <c r="F5157" s="38" t="s">
        <v>6161</v>
      </c>
      <c r="G5157" s="38">
        <v>1.0548609971215E13</v>
      </c>
      <c r="H5157" s="38" t="s">
        <v>6162</v>
      </c>
      <c r="I5157" s="38" t="s">
        <v>6163</v>
      </c>
      <c r="J5157" s="38" t="s">
        <v>330</v>
      </c>
      <c r="K5157" s="38" t="s">
        <v>126</v>
      </c>
      <c r="L5157" s="41">
        <v>46008.166666666664</v>
      </c>
      <c r="M5157" s="38" t="s">
        <v>123</v>
      </c>
      <c r="N5157" s="41">
        <v>46008.17361111111</v>
      </c>
      <c r="O5157" s="38" t="s">
        <v>123</v>
      </c>
      <c r="P5157" s="38">
        <v>600.0</v>
      </c>
      <c r="Q5157" s="39"/>
      <c r="R5157" s="39"/>
      <c r="S5157" s="39"/>
      <c r="T5157" s="39"/>
      <c r="U5157" s="39"/>
    </row>
    <row r="5158">
      <c r="A5158" s="40">
        <f t="shared" si="1"/>
        <v>46006</v>
      </c>
      <c r="B5158" s="37" t="str">
        <f t="array" ref="B5158">iferror(xlookup($I5158, 'IMPORT VHC Report'!$E:$E, 'IMPORT VHC Report'!$A:$C), )</f>
        <v/>
      </c>
      <c r="C5158" s="37"/>
      <c r="D5158" s="37"/>
      <c r="E5158" s="38" t="s">
        <v>6168</v>
      </c>
      <c r="F5158" s="38" t="s">
        <v>6161</v>
      </c>
      <c r="G5158" s="38">
        <v>1.0548609971215E13</v>
      </c>
      <c r="H5158" s="38" t="s">
        <v>6162</v>
      </c>
      <c r="I5158" s="38" t="s">
        <v>6163</v>
      </c>
      <c r="J5158" s="38" t="s">
        <v>152</v>
      </c>
      <c r="K5158" s="38" t="s">
        <v>153</v>
      </c>
      <c r="L5158" s="41">
        <v>46008.166666666664</v>
      </c>
      <c r="M5158" s="38" t="s">
        <v>123</v>
      </c>
      <c r="N5158" s="41">
        <v>46008.541666666664</v>
      </c>
      <c r="O5158" s="38" t="s">
        <v>123</v>
      </c>
      <c r="P5158" s="38">
        <v>32400.0</v>
      </c>
      <c r="Q5158" s="38">
        <v>32400.0</v>
      </c>
      <c r="R5158" s="39"/>
      <c r="S5158" s="39"/>
      <c r="T5158" s="39"/>
      <c r="U5158" s="39"/>
    </row>
    <row r="5159">
      <c r="A5159" s="40">
        <f t="shared" si="1"/>
        <v>46006</v>
      </c>
      <c r="B5159" s="37" t="str">
        <f t="array" ref="B5159">iferror(xlookup($I5159, 'IMPORT VHC Report'!$E:$E, 'IMPORT VHC Report'!$A:$C), )</f>
        <v/>
      </c>
      <c r="C5159" s="37"/>
      <c r="D5159" s="37"/>
      <c r="E5159" s="38" t="s">
        <v>6169</v>
      </c>
      <c r="F5159" s="38" t="s">
        <v>6161</v>
      </c>
      <c r="G5159" s="38">
        <v>1.0548609971215E13</v>
      </c>
      <c r="H5159" s="38" t="s">
        <v>6162</v>
      </c>
      <c r="I5159" s="38" t="s">
        <v>6163</v>
      </c>
      <c r="J5159" s="38" t="s">
        <v>136</v>
      </c>
      <c r="K5159" s="38" t="s">
        <v>126</v>
      </c>
      <c r="L5159" s="41">
        <v>46008.208333333336</v>
      </c>
      <c r="M5159" s="38" t="s">
        <v>123</v>
      </c>
      <c r="N5159" s="41">
        <v>46008.25</v>
      </c>
      <c r="O5159" s="38" t="s">
        <v>123</v>
      </c>
      <c r="P5159" s="38">
        <v>3600.0</v>
      </c>
      <c r="Q5159" s="39"/>
      <c r="R5159" s="39"/>
      <c r="S5159" s="38" t="s">
        <v>137</v>
      </c>
      <c r="T5159" s="39"/>
      <c r="U5159" s="39"/>
    </row>
    <row r="5160">
      <c r="A5160" s="40">
        <f t="shared" si="1"/>
        <v>46006</v>
      </c>
      <c r="B5160" s="37" t="str">
        <f t="array" ref="B5160">iferror(xlookup($I5160, 'IMPORT VHC Report'!$E:$E, 'IMPORT VHC Report'!$A:$C), )</f>
        <v/>
      </c>
      <c r="C5160" s="37"/>
      <c r="D5160" s="37"/>
      <c r="E5160" s="38" t="s">
        <v>6170</v>
      </c>
      <c r="F5160" s="38" t="s">
        <v>6161</v>
      </c>
      <c r="G5160" s="38">
        <v>1.0548609971215E13</v>
      </c>
      <c r="H5160" s="38" t="s">
        <v>6162</v>
      </c>
      <c r="I5160" s="38" t="s">
        <v>6163</v>
      </c>
      <c r="J5160" s="38" t="s">
        <v>4</v>
      </c>
      <c r="K5160" s="38" t="s">
        <v>126</v>
      </c>
      <c r="L5160" s="41">
        <v>46008.291666666664</v>
      </c>
      <c r="M5160" s="38" t="s">
        <v>123</v>
      </c>
      <c r="N5160" s="41">
        <v>46008.333333333336</v>
      </c>
      <c r="O5160" s="38" t="s">
        <v>123</v>
      </c>
      <c r="P5160" s="38">
        <v>3600.0</v>
      </c>
      <c r="Q5160" s="39"/>
      <c r="R5160" s="39"/>
      <c r="S5160" s="38" t="s">
        <v>130</v>
      </c>
      <c r="T5160" s="39"/>
      <c r="U5160" s="39"/>
    </row>
    <row r="5161">
      <c r="A5161" s="40">
        <f t="shared" si="1"/>
        <v>46006</v>
      </c>
      <c r="B5161" s="37" t="str">
        <f t="array" ref="B5161">iferror(xlookup($I5161, 'IMPORT VHC Report'!$E:$E, 'IMPORT VHC Report'!$A:$C), )</f>
        <v/>
      </c>
      <c r="C5161" s="37"/>
      <c r="D5161" s="37"/>
      <c r="E5161" s="38" t="s">
        <v>6171</v>
      </c>
      <c r="F5161" s="38" t="s">
        <v>6161</v>
      </c>
      <c r="G5161" s="38">
        <v>1.0548609971215E13</v>
      </c>
      <c r="H5161" s="38" t="s">
        <v>6162</v>
      </c>
      <c r="I5161" s="38" t="s">
        <v>6163</v>
      </c>
      <c r="J5161" s="38" t="s">
        <v>134</v>
      </c>
      <c r="K5161" s="38" t="s">
        <v>126</v>
      </c>
      <c r="L5161" s="41">
        <v>46008.333333333336</v>
      </c>
      <c r="M5161" s="38" t="s">
        <v>123</v>
      </c>
      <c r="N5161" s="41">
        <v>46008.354166666664</v>
      </c>
      <c r="O5161" s="38" t="s">
        <v>123</v>
      </c>
      <c r="P5161" s="38">
        <v>1800.0</v>
      </c>
      <c r="Q5161" s="39"/>
      <c r="R5161" s="39"/>
      <c r="S5161" s="39"/>
      <c r="T5161" s="39"/>
      <c r="U5161" s="39"/>
    </row>
    <row r="5162">
      <c r="A5162" s="40">
        <f t="shared" si="1"/>
        <v>46006</v>
      </c>
      <c r="B5162" s="37" t="str">
        <f t="array" ref="B5162">iferror(xlookup($I5162, 'IMPORT VHC Report'!$E:$E, 'IMPORT VHC Report'!$A:$C), )</f>
        <v/>
      </c>
      <c r="C5162" s="37"/>
      <c r="D5162" s="37"/>
      <c r="E5162" s="38" t="s">
        <v>6172</v>
      </c>
      <c r="F5162" s="38" t="s">
        <v>6161</v>
      </c>
      <c r="G5162" s="38">
        <v>1.0548609971215E13</v>
      </c>
      <c r="H5162" s="38" t="s">
        <v>6162</v>
      </c>
      <c r="I5162" s="38" t="s">
        <v>6163</v>
      </c>
      <c r="J5162" s="38" t="s">
        <v>132</v>
      </c>
      <c r="K5162" s="38" t="s">
        <v>126</v>
      </c>
      <c r="L5162" s="41">
        <v>46008.416666666664</v>
      </c>
      <c r="M5162" s="38" t="s">
        <v>123</v>
      </c>
      <c r="N5162" s="41">
        <v>46008.458333333336</v>
      </c>
      <c r="O5162" s="38" t="s">
        <v>123</v>
      </c>
      <c r="P5162" s="38">
        <v>3600.0</v>
      </c>
      <c r="Q5162" s="39"/>
      <c r="R5162" s="39"/>
      <c r="S5162" s="39"/>
      <c r="T5162" s="39"/>
      <c r="U5162" s="39"/>
    </row>
    <row r="5163">
      <c r="A5163" s="40">
        <f t="shared" si="1"/>
        <v>46006</v>
      </c>
      <c r="B5163" s="37" t="str">
        <f t="array" ref="B5163">iferror(xlookup($I5163, 'IMPORT VHC Report'!$E:$E, 'IMPORT VHC Report'!$A:$C), )</f>
        <v/>
      </c>
      <c r="C5163" s="37"/>
      <c r="D5163" s="37"/>
      <c r="E5163" s="38" t="s">
        <v>6173</v>
      </c>
      <c r="F5163" s="38" t="s">
        <v>6161</v>
      </c>
      <c r="G5163" s="38">
        <v>1.0548609971215E13</v>
      </c>
      <c r="H5163" s="38" t="s">
        <v>6162</v>
      </c>
      <c r="I5163" s="38" t="s">
        <v>6163</v>
      </c>
      <c r="J5163" s="38" t="s">
        <v>125</v>
      </c>
      <c r="K5163" s="38" t="s">
        <v>126</v>
      </c>
      <c r="L5163" s="41">
        <v>46008.458333333336</v>
      </c>
      <c r="M5163" s="38" t="s">
        <v>123</v>
      </c>
      <c r="N5163" s="41">
        <v>46008.541666666664</v>
      </c>
      <c r="O5163" s="38" t="s">
        <v>123</v>
      </c>
      <c r="P5163" s="38">
        <v>7200.0</v>
      </c>
      <c r="Q5163" s="39"/>
      <c r="R5163" s="39"/>
      <c r="S5163" s="38" t="s">
        <v>394</v>
      </c>
      <c r="T5163" s="39"/>
      <c r="U5163" s="39"/>
    </row>
    <row r="5164">
      <c r="A5164" s="40">
        <f t="shared" si="1"/>
        <v>46006</v>
      </c>
      <c r="B5164" s="37" t="str">
        <f t="array" ref="B5164">iferror(xlookup($I5164, 'IMPORT VHC Report'!$E:$E, 'IMPORT VHC Report'!$A:$C), )</f>
        <v/>
      </c>
      <c r="C5164" s="37"/>
      <c r="D5164" s="37"/>
      <c r="E5164" s="38" t="s">
        <v>6174</v>
      </c>
      <c r="F5164" s="38" t="s">
        <v>6161</v>
      </c>
      <c r="G5164" s="38">
        <v>1.0548609971215E13</v>
      </c>
      <c r="H5164" s="38" t="s">
        <v>6162</v>
      </c>
      <c r="I5164" s="38" t="s">
        <v>6163</v>
      </c>
      <c r="J5164" s="38" t="s">
        <v>330</v>
      </c>
      <c r="K5164" s="38" t="s">
        <v>126</v>
      </c>
      <c r="L5164" s="41">
        <v>46009.166666666664</v>
      </c>
      <c r="M5164" s="38" t="s">
        <v>123</v>
      </c>
      <c r="N5164" s="41">
        <v>46009.17361111111</v>
      </c>
      <c r="O5164" s="38" t="s">
        <v>123</v>
      </c>
      <c r="P5164" s="38">
        <v>600.0</v>
      </c>
      <c r="Q5164" s="39"/>
      <c r="R5164" s="39"/>
      <c r="S5164" s="39"/>
      <c r="T5164" s="39"/>
      <c r="U5164" s="39"/>
    </row>
    <row r="5165">
      <c r="A5165" s="40">
        <f t="shared" si="1"/>
        <v>46006</v>
      </c>
      <c r="B5165" s="37" t="str">
        <f t="array" ref="B5165">iferror(xlookup($I5165, 'IMPORT VHC Report'!$E:$E, 'IMPORT VHC Report'!$A:$C), )</f>
        <v/>
      </c>
      <c r="C5165" s="37"/>
      <c r="D5165" s="37"/>
      <c r="E5165" s="38" t="s">
        <v>6175</v>
      </c>
      <c r="F5165" s="38" t="s">
        <v>6161</v>
      </c>
      <c r="G5165" s="38">
        <v>1.0548609971215E13</v>
      </c>
      <c r="H5165" s="38" t="s">
        <v>6162</v>
      </c>
      <c r="I5165" s="38" t="s">
        <v>6163</v>
      </c>
      <c r="J5165" s="38" t="s">
        <v>332</v>
      </c>
      <c r="K5165" s="38" t="s">
        <v>63</v>
      </c>
      <c r="L5165" s="41">
        <v>46009.166666666664</v>
      </c>
      <c r="M5165" s="38" t="s">
        <v>123</v>
      </c>
      <c r="N5165" s="41">
        <v>46009.541666666664</v>
      </c>
      <c r="O5165" s="38" t="s">
        <v>123</v>
      </c>
      <c r="P5165" s="38">
        <v>32400.0</v>
      </c>
      <c r="Q5165" s="39"/>
      <c r="R5165" s="39"/>
      <c r="S5165" s="39"/>
      <c r="T5165" s="39"/>
      <c r="U5165" s="39"/>
    </row>
    <row r="5166">
      <c r="A5166" s="40">
        <f t="shared" si="1"/>
        <v>46006</v>
      </c>
      <c r="B5166" s="37" t="str">
        <f t="array" ref="B5166">iferror(xlookup($I5166, 'IMPORT VHC Report'!$E:$E, 'IMPORT VHC Report'!$A:$C), )</f>
        <v/>
      </c>
      <c r="C5166" s="37"/>
      <c r="D5166" s="37"/>
      <c r="E5166" s="38" t="s">
        <v>6176</v>
      </c>
      <c r="F5166" s="38" t="s">
        <v>6161</v>
      </c>
      <c r="G5166" s="38">
        <v>1.0548609971215E13</v>
      </c>
      <c r="H5166" s="38" t="s">
        <v>6162</v>
      </c>
      <c r="I5166" s="38" t="s">
        <v>6163</v>
      </c>
      <c r="J5166" s="38" t="s">
        <v>132</v>
      </c>
      <c r="K5166" s="38" t="s">
        <v>126</v>
      </c>
      <c r="L5166" s="41">
        <v>46009.270833333336</v>
      </c>
      <c r="M5166" s="38" t="s">
        <v>123</v>
      </c>
      <c r="N5166" s="41">
        <v>46009.3125</v>
      </c>
      <c r="O5166" s="38" t="s">
        <v>123</v>
      </c>
      <c r="P5166" s="38">
        <v>3600.0</v>
      </c>
      <c r="Q5166" s="39"/>
      <c r="R5166" s="39"/>
      <c r="S5166" s="39"/>
      <c r="T5166" s="39"/>
      <c r="U5166" s="39"/>
    </row>
    <row r="5167">
      <c r="A5167" s="40">
        <f t="shared" si="1"/>
        <v>46006</v>
      </c>
      <c r="B5167" s="37" t="str">
        <f t="array" ref="B5167">iferror(xlookup($I5167, 'IMPORT VHC Report'!$E:$E, 'IMPORT VHC Report'!$A:$C), )</f>
        <v/>
      </c>
      <c r="C5167" s="37"/>
      <c r="D5167" s="37"/>
      <c r="E5167" s="38" t="s">
        <v>6177</v>
      </c>
      <c r="F5167" s="38" t="s">
        <v>6161</v>
      </c>
      <c r="G5167" s="38">
        <v>1.0548609971215E13</v>
      </c>
      <c r="H5167" s="38" t="s">
        <v>6162</v>
      </c>
      <c r="I5167" s="38" t="s">
        <v>6163</v>
      </c>
      <c r="J5167" s="38" t="s">
        <v>134</v>
      </c>
      <c r="K5167" s="38" t="s">
        <v>126</v>
      </c>
      <c r="L5167" s="41">
        <v>46009.416666666664</v>
      </c>
      <c r="M5167" s="38" t="s">
        <v>123</v>
      </c>
      <c r="N5167" s="41">
        <v>46009.4375</v>
      </c>
      <c r="O5167" s="38" t="s">
        <v>123</v>
      </c>
      <c r="P5167" s="38">
        <v>1800.0</v>
      </c>
      <c r="Q5167" s="39"/>
      <c r="R5167" s="39"/>
      <c r="S5167" s="39"/>
      <c r="T5167" s="39"/>
      <c r="U5167" s="39"/>
    </row>
    <row r="5168">
      <c r="A5168" s="40">
        <f t="shared" si="1"/>
        <v>46006</v>
      </c>
      <c r="B5168" s="37" t="str">
        <f t="array" ref="B5168">iferror(xlookup($I5168, 'IMPORT VHC Report'!$E:$E, 'IMPORT VHC Report'!$A:$C), )</f>
        <v/>
      </c>
      <c r="C5168" s="37"/>
      <c r="D5168" s="37"/>
      <c r="E5168" s="38" t="s">
        <v>6178</v>
      </c>
      <c r="F5168" s="38" t="s">
        <v>6161</v>
      </c>
      <c r="G5168" s="38">
        <v>1.0548609971215E13</v>
      </c>
      <c r="H5168" s="38" t="s">
        <v>6162</v>
      </c>
      <c r="I5168" s="38" t="s">
        <v>6163</v>
      </c>
      <c r="J5168" s="38" t="s">
        <v>330</v>
      </c>
      <c r="K5168" s="38" t="s">
        <v>126</v>
      </c>
      <c r="L5168" s="41">
        <v>46010.166666666664</v>
      </c>
      <c r="M5168" s="38" t="s">
        <v>123</v>
      </c>
      <c r="N5168" s="41">
        <v>46010.17361111111</v>
      </c>
      <c r="O5168" s="38" t="s">
        <v>123</v>
      </c>
      <c r="P5168" s="38">
        <v>600.0</v>
      </c>
      <c r="Q5168" s="39"/>
      <c r="R5168" s="39"/>
      <c r="S5168" s="39"/>
      <c r="T5168" s="39"/>
      <c r="U5168" s="39"/>
    </row>
    <row r="5169">
      <c r="A5169" s="40">
        <f t="shared" si="1"/>
        <v>46006</v>
      </c>
      <c r="B5169" s="37" t="str">
        <f t="array" ref="B5169">iferror(xlookup($I5169, 'IMPORT VHC Report'!$E:$E, 'IMPORT VHC Report'!$A:$C), )</f>
        <v/>
      </c>
      <c r="C5169" s="37"/>
      <c r="D5169" s="37"/>
      <c r="E5169" s="38" t="s">
        <v>6179</v>
      </c>
      <c r="F5169" s="38" t="s">
        <v>6161</v>
      </c>
      <c r="G5169" s="38">
        <v>1.0548609971215E13</v>
      </c>
      <c r="H5169" s="38" t="s">
        <v>6162</v>
      </c>
      <c r="I5169" s="38" t="s">
        <v>6163</v>
      </c>
      <c r="J5169" s="38" t="s">
        <v>332</v>
      </c>
      <c r="K5169" s="38" t="s">
        <v>63</v>
      </c>
      <c r="L5169" s="41">
        <v>46010.166666666664</v>
      </c>
      <c r="M5169" s="38" t="s">
        <v>123</v>
      </c>
      <c r="N5169" s="41">
        <v>46010.541666666664</v>
      </c>
      <c r="O5169" s="38" t="s">
        <v>123</v>
      </c>
      <c r="P5169" s="38">
        <v>32400.0</v>
      </c>
      <c r="Q5169" s="39"/>
      <c r="R5169" s="39"/>
      <c r="S5169" s="39"/>
      <c r="T5169" s="39"/>
      <c r="U5169" s="39"/>
    </row>
    <row r="5170">
      <c r="A5170" s="40">
        <f t="shared" si="1"/>
        <v>46006</v>
      </c>
      <c r="B5170" s="37" t="str">
        <f t="array" ref="B5170">iferror(xlookup($I5170, 'IMPORT VHC Report'!$E:$E, 'IMPORT VHC Report'!$A:$C), )</f>
        <v/>
      </c>
      <c r="C5170" s="37"/>
      <c r="D5170" s="37"/>
      <c r="E5170" s="38" t="s">
        <v>6180</v>
      </c>
      <c r="F5170" s="38" t="s">
        <v>6161</v>
      </c>
      <c r="G5170" s="38">
        <v>1.0548609971215E13</v>
      </c>
      <c r="H5170" s="38" t="s">
        <v>6162</v>
      </c>
      <c r="I5170" s="38" t="s">
        <v>6163</v>
      </c>
      <c r="J5170" s="38" t="s">
        <v>132</v>
      </c>
      <c r="K5170" s="38" t="s">
        <v>126</v>
      </c>
      <c r="L5170" s="41">
        <v>46010.229166666664</v>
      </c>
      <c r="M5170" s="38" t="s">
        <v>123</v>
      </c>
      <c r="N5170" s="41">
        <v>46010.270833333336</v>
      </c>
      <c r="O5170" s="38" t="s">
        <v>123</v>
      </c>
      <c r="P5170" s="38">
        <v>3600.0</v>
      </c>
      <c r="Q5170" s="39"/>
      <c r="R5170" s="39"/>
      <c r="S5170" s="39"/>
      <c r="T5170" s="39"/>
      <c r="U5170" s="39"/>
    </row>
    <row r="5171">
      <c r="A5171" s="40">
        <f t="shared" si="1"/>
        <v>46006</v>
      </c>
      <c r="B5171" s="37" t="str">
        <f t="array" ref="B5171">iferror(xlookup($I5171, 'IMPORT VHC Report'!$E:$E, 'IMPORT VHC Report'!$A:$C), )</f>
        <v/>
      </c>
      <c r="C5171" s="37"/>
      <c r="D5171" s="37"/>
      <c r="E5171" s="38" t="s">
        <v>6181</v>
      </c>
      <c r="F5171" s="38" t="s">
        <v>6161</v>
      </c>
      <c r="G5171" s="38">
        <v>1.0548609971215E13</v>
      </c>
      <c r="H5171" s="38" t="s">
        <v>6162</v>
      </c>
      <c r="I5171" s="38" t="s">
        <v>6163</v>
      </c>
      <c r="J5171" s="38" t="s">
        <v>125</v>
      </c>
      <c r="K5171" s="38" t="s">
        <v>126</v>
      </c>
      <c r="L5171" s="41">
        <v>46010.34583333333</v>
      </c>
      <c r="M5171" s="38" t="s">
        <v>123</v>
      </c>
      <c r="N5171" s="41">
        <v>46010.375</v>
      </c>
      <c r="O5171" s="38" t="s">
        <v>123</v>
      </c>
      <c r="P5171" s="38">
        <v>2520.0</v>
      </c>
      <c r="Q5171" s="39"/>
      <c r="R5171" s="39"/>
      <c r="S5171" s="38" t="s">
        <v>6182</v>
      </c>
      <c r="T5171" s="39"/>
      <c r="U5171" s="39"/>
    </row>
    <row r="5172">
      <c r="A5172" s="40">
        <f t="shared" si="1"/>
        <v>46006</v>
      </c>
      <c r="B5172" s="37" t="str">
        <f t="array" ref="B5172">iferror(xlookup($I5172, 'IMPORT VHC Report'!$E:$E, 'IMPORT VHC Report'!$A:$C), )</f>
        <v/>
      </c>
      <c r="C5172" s="37"/>
      <c r="D5172" s="37"/>
      <c r="E5172" s="38" t="s">
        <v>6183</v>
      </c>
      <c r="F5172" s="38" t="s">
        <v>6161</v>
      </c>
      <c r="G5172" s="38">
        <v>1.0548609971215E13</v>
      </c>
      <c r="H5172" s="38" t="s">
        <v>6162</v>
      </c>
      <c r="I5172" s="38" t="s">
        <v>6163</v>
      </c>
      <c r="J5172" s="38" t="s">
        <v>134</v>
      </c>
      <c r="K5172" s="38" t="s">
        <v>126</v>
      </c>
      <c r="L5172" s="41">
        <v>46010.395833333336</v>
      </c>
      <c r="M5172" s="38" t="s">
        <v>123</v>
      </c>
      <c r="N5172" s="41">
        <v>46010.416666666664</v>
      </c>
      <c r="O5172" s="38" t="s">
        <v>123</v>
      </c>
      <c r="P5172" s="38">
        <v>1800.0</v>
      </c>
      <c r="Q5172" s="39"/>
      <c r="R5172" s="39"/>
      <c r="S5172" s="39"/>
      <c r="T5172" s="39"/>
      <c r="U5172" s="39"/>
    </row>
    <row r="5173">
      <c r="A5173" s="40">
        <f t="shared" si="1"/>
        <v>46006</v>
      </c>
      <c r="B5173" s="37" t="str">
        <f t="array" ref="B5173">iferror(xlookup($I5173, 'IMPORT VHC Report'!$E:$E, 'IMPORT VHC Report'!$A:$C), )</f>
        <v/>
      </c>
      <c r="C5173" s="37"/>
      <c r="D5173" s="37"/>
      <c r="E5173" s="38" t="s">
        <v>6184</v>
      </c>
      <c r="F5173" s="38" t="s">
        <v>6161</v>
      </c>
      <c r="G5173" s="38">
        <v>1.0548609971215E13</v>
      </c>
      <c r="H5173" s="38" t="s">
        <v>6162</v>
      </c>
      <c r="I5173" s="38" t="s">
        <v>6163</v>
      </c>
      <c r="J5173" s="38" t="s">
        <v>985</v>
      </c>
      <c r="K5173" s="38" t="s">
        <v>63</v>
      </c>
      <c r="L5173" s="41">
        <v>46010.541666666664</v>
      </c>
      <c r="M5173" s="38" t="s">
        <v>123</v>
      </c>
      <c r="N5173" s="41">
        <v>46010.625</v>
      </c>
      <c r="O5173" s="38" t="s">
        <v>123</v>
      </c>
      <c r="P5173" s="38">
        <v>7200.0</v>
      </c>
      <c r="Q5173" s="39"/>
      <c r="R5173" s="39"/>
      <c r="S5173" s="38" t="s">
        <v>6185</v>
      </c>
      <c r="T5173" s="39"/>
      <c r="U5173" s="39"/>
    </row>
    <row r="5174">
      <c r="A5174" s="40">
        <f t="shared" si="1"/>
        <v>46006</v>
      </c>
      <c r="B5174" s="37" t="str">
        <f t="array" ref="B5174">iferror(xlookup($I5174, 'IMPORT VHC Report'!$E:$E, 'IMPORT VHC Report'!$A:$C), )</f>
        <v/>
      </c>
      <c r="C5174" s="37"/>
      <c r="D5174" s="37"/>
      <c r="E5174" s="38" t="s">
        <v>6186</v>
      </c>
      <c r="F5174" s="38" t="s">
        <v>6161</v>
      </c>
      <c r="G5174" s="38">
        <v>1.0548609971215E13</v>
      </c>
      <c r="H5174" s="38" t="s">
        <v>6162</v>
      </c>
      <c r="I5174" s="38" t="s">
        <v>6163</v>
      </c>
      <c r="J5174" s="38" t="s">
        <v>330</v>
      </c>
      <c r="K5174" s="38" t="s">
        <v>126</v>
      </c>
      <c r="L5174" s="41">
        <v>46011.166666666664</v>
      </c>
      <c r="M5174" s="38" t="s">
        <v>123</v>
      </c>
      <c r="N5174" s="41">
        <v>46011.17361111111</v>
      </c>
      <c r="O5174" s="38" t="s">
        <v>123</v>
      </c>
      <c r="P5174" s="38">
        <v>600.0</v>
      </c>
      <c r="Q5174" s="39"/>
      <c r="R5174" s="39"/>
      <c r="S5174" s="39"/>
      <c r="T5174" s="39"/>
      <c r="U5174" s="39"/>
    </row>
    <row r="5175">
      <c r="A5175" s="40">
        <f t="shared" si="1"/>
        <v>46006</v>
      </c>
      <c r="B5175" s="37" t="str">
        <f t="array" ref="B5175">iferror(xlookup($I5175, 'IMPORT VHC Report'!$E:$E, 'IMPORT VHC Report'!$A:$C), )</f>
        <v/>
      </c>
      <c r="C5175" s="37"/>
      <c r="D5175" s="37"/>
      <c r="E5175" s="38" t="s">
        <v>6187</v>
      </c>
      <c r="F5175" s="38" t="s">
        <v>6161</v>
      </c>
      <c r="G5175" s="38">
        <v>1.0548609971215E13</v>
      </c>
      <c r="H5175" s="38" t="s">
        <v>6162</v>
      </c>
      <c r="I5175" s="38" t="s">
        <v>6163</v>
      </c>
      <c r="J5175" s="38" t="s">
        <v>332</v>
      </c>
      <c r="K5175" s="38" t="s">
        <v>63</v>
      </c>
      <c r="L5175" s="41">
        <v>46011.166666666664</v>
      </c>
      <c r="M5175" s="38" t="s">
        <v>123</v>
      </c>
      <c r="N5175" s="41">
        <v>46011.541666666664</v>
      </c>
      <c r="O5175" s="38" t="s">
        <v>123</v>
      </c>
      <c r="P5175" s="38">
        <v>32400.0</v>
      </c>
      <c r="Q5175" s="39"/>
      <c r="R5175" s="39"/>
      <c r="S5175" s="39"/>
      <c r="T5175" s="39"/>
      <c r="U5175" s="39"/>
    </row>
    <row r="5176">
      <c r="A5176" s="40">
        <f t="shared" si="1"/>
        <v>46006</v>
      </c>
      <c r="B5176" s="37" t="str">
        <f t="array" ref="B5176">iferror(xlookup($I5176, 'IMPORT VHC Report'!$E:$E, 'IMPORT VHC Report'!$A:$C), )</f>
        <v/>
      </c>
      <c r="C5176" s="37"/>
      <c r="D5176" s="37"/>
      <c r="E5176" s="38" t="s">
        <v>6188</v>
      </c>
      <c r="F5176" s="38" t="s">
        <v>6161</v>
      </c>
      <c r="G5176" s="38">
        <v>1.0548609971215E13</v>
      </c>
      <c r="H5176" s="38" t="s">
        <v>6162</v>
      </c>
      <c r="I5176" s="38" t="s">
        <v>6163</v>
      </c>
      <c r="J5176" s="38" t="s">
        <v>132</v>
      </c>
      <c r="K5176" s="38" t="s">
        <v>126</v>
      </c>
      <c r="L5176" s="41">
        <v>46011.229166666664</v>
      </c>
      <c r="M5176" s="38" t="s">
        <v>123</v>
      </c>
      <c r="N5176" s="41">
        <v>46011.270833333336</v>
      </c>
      <c r="O5176" s="38" t="s">
        <v>123</v>
      </c>
      <c r="P5176" s="38">
        <v>3600.0</v>
      </c>
      <c r="Q5176" s="39"/>
      <c r="R5176" s="39"/>
      <c r="S5176" s="39"/>
      <c r="T5176" s="39"/>
      <c r="U5176" s="39"/>
    </row>
    <row r="5177">
      <c r="A5177" s="40">
        <f t="shared" si="1"/>
        <v>46006</v>
      </c>
      <c r="B5177" s="37" t="str">
        <f t="array" ref="B5177">iferror(xlookup($I5177, 'IMPORT VHC Report'!$E:$E, 'IMPORT VHC Report'!$A:$C), )</f>
        <v/>
      </c>
      <c r="C5177" s="37"/>
      <c r="D5177" s="37"/>
      <c r="E5177" s="38" t="s">
        <v>6189</v>
      </c>
      <c r="F5177" s="38" t="s">
        <v>6161</v>
      </c>
      <c r="G5177" s="38">
        <v>1.0548609971215E13</v>
      </c>
      <c r="H5177" s="38" t="s">
        <v>6162</v>
      </c>
      <c r="I5177" s="38" t="s">
        <v>6163</v>
      </c>
      <c r="J5177" s="38" t="s">
        <v>134</v>
      </c>
      <c r="K5177" s="38" t="s">
        <v>126</v>
      </c>
      <c r="L5177" s="41">
        <v>46011.38888888889</v>
      </c>
      <c r="M5177" s="38" t="s">
        <v>123</v>
      </c>
      <c r="N5177" s="41">
        <v>46011.40972222222</v>
      </c>
      <c r="O5177" s="38" t="s">
        <v>123</v>
      </c>
      <c r="P5177" s="38">
        <v>1800.0</v>
      </c>
      <c r="Q5177" s="39"/>
      <c r="R5177" s="39"/>
      <c r="S5177" s="39"/>
      <c r="T5177" s="39"/>
      <c r="U5177" s="39"/>
    </row>
    <row r="5178">
      <c r="A5178" s="40">
        <f t="shared" si="1"/>
        <v>46006</v>
      </c>
      <c r="B5178" s="37" t="str">
        <f t="array" ref="B5178">iferror(xlookup($I5178, 'IMPORT VHC Report'!$E:$E, 'IMPORT VHC Report'!$A:$C), )</f>
        <v/>
      </c>
      <c r="C5178" s="37"/>
      <c r="D5178" s="37"/>
      <c r="E5178" s="38" t="s">
        <v>6190</v>
      </c>
      <c r="F5178" s="38" t="s">
        <v>6191</v>
      </c>
      <c r="G5178" s="38">
        <v>1.0548589296399E13</v>
      </c>
      <c r="H5178" s="38" t="s">
        <v>6192</v>
      </c>
      <c r="I5178" s="38" t="s">
        <v>6193</v>
      </c>
      <c r="J5178" s="38" t="s">
        <v>224</v>
      </c>
      <c r="K5178" s="38" t="s">
        <v>63</v>
      </c>
      <c r="L5178" s="41">
        <v>46007.166666666664</v>
      </c>
      <c r="M5178" s="38" t="s">
        <v>123</v>
      </c>
      <c r="N5178" s="41">
        <v>46007.541666666664</v>
      </c>
      <c r="O5178" s="38" t="s">
        <v>123</v>
      </c>
      <c r="P5178" s="38">
        <v>32400.0</v>
      </c>
      <c r="Q5178" s="39"/>
      <c r="R5178" s="39"/>
      <c r="S5178" s="39"/>
      <c r="T5178" s="39"/>
      <c r="U5178" s="39"/>
    </row>
    <row r="5179">
      <c r="A5179" s="40">
        <f t="shared" si="1"/>
        <v>46006</v>
      </c>
      <c r="B5179" s="37" t="str">
        <f t="array" ref="B5179">iferror(xlookup($I5179, 'IMPORT VHC Report'!$E:$E, 'IMPORT VHC Report'!$A:$C), )</f>
        <v/>
      </c>
      <c r="C5179" s="37"/>
      <c r="D5179" s="37"/>
      <c r="E5179" s="38" t="s">
        <v>6194</v>
      </c>
      <c r="F5179" s="38" t="s">
        <v>6191</v>
      </c>
      <c r="G5179" s="38">
        <v>1.0548589296399E13</v>
      </c>
      <c r="H5179" s="38" t="s">
        <v>6192</v>
      </c>
      <c r="I5179" s="38" t="s">
        <v>6193</v>
      </c>
      <c r="J5179" s="38" t="s">
        <v>132</v>
      </c>
      <c r="K5179" s="38" t="s">
        <v>126</v>
      </c>
      <c r="L5179" s="41">
        <v>46007.25</v>
      </c>
      <c r="M5179" s="38" t="s">
        <v>123</v>
      </c>
      <c r="N5179" s="41">
        <v>46007.291666666664</v>
      </c>
      <c r="O5179" s="38" t="s">
        <v>123</v>
      </c>
      <c r="P5179" s="38">
        <v>3600.0</v>
      </c>
      <c r="Q5179" s="39"/>
      <c r="R5179" s="39"/>
      <c r="S5179" s="39"/>
      <c r="T5179" s="39"/>
      <c r="U5179" s="39"/>
    </row>
    <row r="5180">
      <c r="A5180" s="40">
        <f t="shared" si="1"/>
        <v>46006</v>
      </c>
      <c r="B5180" s="37" t="str">
        <f t="array" ref="B5180">iferror(xlookup($I5180, 'IMPORT VHC Report'!$E:$E, 'IMPORT VHC Report'!$A:$C), )</f>
        <v/>
      </c>
      <c r="C5180" s="37"/>
      <c r="D5180" s="37"/>
      <c r="E5180" s="38" t="s">
        <v>6195</v>
      </c>
      <c r="F5180" s="38" t="s">
        <v>6191</v>
      </c>
      <c r="G5180" s="38">
        <v>1.0548589296399E13</v>
      </c>
      <c r="H5180" s="38" t="s">
        <v>6192</v>
      </c>
      <c r="I5180" s="38" t="s">
        <v>6193</v>
      </c>
      <c r="J5180" s="38" t="s">
        <v>134</v>
      </c>
      <c r="K5180" s="38" t="s">
        <v>126</v>
      </c>
      <c r="L5180" s="41">
        <v>46007.375</v>
      </c>
      <c r="M5180" s="38" t="s">
        <v>123</v>
      </c>
      <c r="N5180" s="41">
        <v>46007.385416666664</v>
      </c>
      <c r="O5180" s="38" t="s">
        <v>123</v>
      </c>
      <c r="P5180" s="38">
        <v>900.0</v>
      </c>
      <c r="Q5180" s="39"/>
      <c r="R5180" s="39"/>
      <c r="S5180" s="39"/>
      <c r="T5180" s="39"/>
      <c r="U5180" s="39"/>
    </row>
    <row r="5181">
      <c r="A5181" s="40">
        <f t="shared" si="1"/>
        <v>46006</v>
      </c>
      <c r="B5181" s="37" t="str">
        <f t="array" ref="B5181">iferror(xlookup($I5181, 'IMPORT VHC Report'!$E:$E, 'IMPORT VHC Report'!$A:$C), )</f>
        <v/>
      </c>
      <c r="C5181" s="37"/>
      <c r="D5181" s="37"/>
      <c r="E5181" s="38" t="s">
        <v>6196</v>
      </c>
      <c r="F5181" s="38" t="s">
        <v>6191</v>
      </c>
      <c r="G5181" s="38">
        <v>1.0548589296399E13</v>
      </c>
      <c r="H5181" s="38" t="s">
        <v>6192</v>
      </c>
      <c r="I5181" s="38" t="s">
        <v>6193</v>
      </c>
      <c r="J5181" s="38" t="s">
        <v>134</v>
      </c>
      <c r="K5181" s="38" t="s">
        <v>126</v>
      </c>
      <c r="L5181" s="41">
        <v>46007.447916666664</v>
      </c>
      <c r="M5181" s="38" t="s">
        <v>123</v>
      </c>
      <c r="N5181" s="41">
        <v>46007.458333333336</v>
      </c>
      <c r="O5181" s="38" t="s">
        <v>123</v>
      </c>
      <c r="P5181" s="38">
        <v>900.0</v>
      </c>
      <c r="Q5181" s="39"/>
      <c r="R5181" s="39"/>
      <c r="S5181" s="39"/>
      <c r="T5181" s="39"/>
      <c r="U5181" s="39"/>
    </row>
    <row r="5182">
      <c r="A5182" s="40">
        <f t="shared" si="1"/>
        <v>46006</v>
      </c>
      <c r="B5182" s="37" t="str">
        <f t="array" ref="B5182">iferror(xlookup($I5182, 'IMPORT VHC Report'!$E:$E, 'IMPORT VHC Report'!$A:$C), )</f>
        <v/>
      </c>
      <c r="C5182" s="37"/>
      <c r="D5182" s="37"/>
      <c r="E5182" s="38" t="s">
        <v>6197</v>
      </c>
      <c r="F5182" s="38" t="s">
        <v>6191</v>
      </c>
      <c r="G5182" s="38">
        <v>1.0548589296399E13</v>
      </c>
      <c r="H5182" s="38" t="s">
        <v>6192</v>
      </c>
      <c r="I5182" s="38" t="s">
        <v>6193</v>
      </c>
      <c r="J5182" s="38" t="s">
        <v>224</v>
      </c>
      <c r="K5182" s="38" t="s">
        <v>63</v>
      </c>
      <c r="L5182" s="41">
        <v>46008.166666666664</v>
      </c>
      <c r="M5182" s="38" t="s">
        <v>123</v>
      </c>
      <c r="N5182" s="41">
        <v>46008.25</v>
      </c>
      <c r="O5182" s="38" t="s">
        <v>123</v>
      </c>
      <c r="P5182" s="38">
        <v>7200.0</v>
      </c>
      <c r="Q5182" s="39"/>
      <c r="R5182" s="39"/>
      <c r="S5182" s="39"/>
      <c r="T5182" s="39"/>
      <c r="U5182" s="39"/>
    </row>
    <row r="5183">
      <c r="A5183" s="40">
        <f t="shared" si="1"/>
        <v>46006</v>
      </c>
      <c r="B5183" s="37" t="str">
        <f t="array" ref="B5183">iferror(xlookup($I5183, 'IMPORT VHC Report'!$E:$E, 'IMPORT VHC Report'!$A:$C), )</f>
        <v/>
      </c>
      <c r="C5183" s="37"/>
      <c r="D5183" s="37"/>
      <c r="E5183" s="38" t="s">
        <v>6198</v>
      </c>
      <c r="F5183" s="38" t="s">
        <v>6191</v>
      </c>
      <c r="G5183" s="38">
        <v>1.0548589296399E13</v>
      </c>
      <c r="H5183" s="38" t="s">
        <v>6192</v>
      </c>
      <c r="I5183" s="38" t="s">
        <v>6193</v>
      </c>
      <c r="J5183" s="38" t="s">
        <v>134</v>
      </c>
      <c r="K5183" s="38" t="s">
        <v>126</v>
      </c>
      <c r="L5183" s="41">
        <v>46008.25</v>
      </c>
      <c r="M5183" s="38" t="s">
        <v>123</v>
      </c>
      <c r="N5183" s="41">
        <v>46008.260416666664</v>
      </c>
      <c r="O5183" s="38" t="s">
        <v>123</v>
      </c>
      <c r="P5183" s="38">
        <v>900.0</v>
      </c>
      <c r="Q5183" s="39"/>
      <c r="R5183" s="39"/>
      <c r="S5183" s="39"/>
      <c r="T5183" s="39"/>
      <c r="U5183" s="39"/>
    </row>
    <row r="5184">
      <c r="A5184" s="40">
        <f t="shared" si="1"/>
        <v>46006</v>
      </c>
      <c r="B5184" s="37" t="str">
        <f t="array" ref="B5184">iferror(xlookup($I5184, 'IMPORT VHC Report'!$E:$E, 'IMPORT VHC Report'!$A:$C), )</f>
        <v/>
      </c>
      <c r="C5184" s="37"/>
      <c r="D5184" s="37"/>
      <c r="E5184" s="38" t="s">
        <v>6199</v>
      </c>
      <c r="F5184" s="38" t="s">
        <v>6191</v>
      </c>
      <c r="G5184" s="38">
        <v>1.0548589296399E13</v>
      </c>
      <c r="H5184" s="38" t="s">
        <v>6192</v>
      </c>
      <c r="I5184" s="38" t="s">
        <v>6193</v>
      </c>
      <c r="J5184" s="38" t="s">
        <v>224</v>
      </c>
      <c r="K5184" s="38" t="s">
        <v>63</v>
      </c>
      <c r="L5184" s="41">
        <v>46008.260416666664</v>
      </c>
      <c r="M5184" s="38" t="s">
        <v>123</v>
      </c>
      <c r="N5184" s="41">
        <v>46008.322916666664</v>
      </c>
      <c r="O5184" s="38" t="s">
        <v>123</v>
      </c>
      <c r="P5184" s="38">
        <v>5400.0</v>
      </c>
      <c r="Q5184" s="39"/>
      <c r="R5184" s="39"/>
      <c r="S5184" s="39"/>
      <c r="T5184" s="39"/>
      <c r="U5184" s="39"/>
    </row>
    <row r="5185">
      <c r="A5185" s="40">
        <f t="shared" si="1"/>
        <v>46006</v>
      </c>
      <c r="B5185" s="37" t="str">
        <f t="array" ref="B5185">iferror(xlookup($I5185, 'IMPORT VHC Report'!$E:$E, 'IMPORT VHC Report'!$A:$C), )</f>
        <v/>
      </c>
      <c r="C5185" s="37"/>
      <c r="D5185" s="37"/>
      <c r="E5185" s="38" t="s">
        <v>6200</v>
      </c>
      <c r="F5185" s="38" t="s">
        <v>6191</v>
      </c>
      <c r="G5185" s="38">
        <v>1.0548589296399E13</v>
      </c>
      <c r="H5185" s="38" t="s">
        <v>6192</v>
      </c>
      <c r="I5185" s="38" t="s">
        <v>6193</v>
      </c>
      <c r="J5185" s="38" t="s">
        <v>134</v>
      </c>
      <c r="K5185" s="38" t="s">
        <v>126</v>
      </c>
      <c r="L5185" s="41">
        <v>46008.322916666664</v>
      </c>
      <c r="M5185" s="38" t="s">
        <v>123</v>
      </c>
      <c r="N5185" s="41">
        <v>46008.333333333336</v>
      </c>
      <c r="O5185" s="38" t="s">
        <v>123</v>
      </c>
      <c r="P5185" s="38">
        <v>900.0</v>
      </c>
      <c r="Q5185" s="39"/>
      <c r="R5185" s="39"/>
      <c r="S5185" s="39"/>
      <c r="T5185" s="39"/>
      <c r="U5185" s="39"/>
    </row>
    <row r="5186">
      <c r="A5186" s="40">
        <f t="shared" si="1"/>
        <v>46006</v>
      </c>
      <c r="B5186" s="37" t="str">
        <f t="array" ref="B5186">iferror(xlookup($I5186, 'IMPORT VHC Report'!$E:$E, 'IMPORT VHC Report'!$A:$C), )</f>
        <v/>
      </c>
      <c r="C5186" s="37"/>
      <c r="D5186" s="37"/>
      <c r="E5186" s="38" t="s">
        <v>6201</v>
      </c>
      <c r="F5186" s="38" t="s">
        <v>6191</v>
      </c>
      <c r="G5186" s="38">
        <v>1.0548589296399E13</v>
      </c>
      <c r="H5186" s="38" t="s">
        <v>6192</v>
      </c>
      <c r="I5186" s="38" t="s">
        <v>6193</v>
      </c>
      <c r="J5186" s="38" t="s">
        <v>224</v>
      </c>
      <c r="K5186" s="38" t="s">
        <v>63</v>
      </c>
      <c r="L5186" s="41">
        <v>46008.333333333336</v>
      </c>
      <c r="M5186" s="38" t="s">
        <v>123</v>
      </c>
      <c r="N5186" s="41">
        <v>46008.427083333336</v>
      </c>
      <c r="O5186" s="38" t="s">
        <v>123</v>
      </c>
      <c r="P5186" s="38">
        <v>8100.0</v>
      </c>
      <c r="Q5186" s="39"/>
      <c r="R5186" s="39"/>
      <c r="S5186" s="39"/>
      <c r="T5186" s="39"/>
      <c r="U5186" s="39"/>
    </row>
    <row r="5187">
      <c r="A5187" s="40">
        <f t="shared" si="1"/>
        <v>46006</v>
      </c>
      <c r="B5187" s="37" t="str">
        <f t="array" ref="B5187">iferror(xlookup($I5187, 'IMPORT VHC Report'!$E:$E, 'IMPORT VHC Report'!$A:$C), )</f>
        <v/>
      </c>
      <c r="C5187" s="37"/>
      <c r="D5187" s="37"/>
      <c r="E5187" s="38" t="s">
        <v>6202</v>
      </c>
      <c r="F5187" s="38" t="s">
        <v>6191</v>
      </c>
      <c r="G5187" s="38">
        <v>1.0548589296399E13</v>
      </c>
      <c r="H5187" s="38" t="s">
        <v>6192</v>
      </c>
      <c r="I5187" s="38" t="s">
        <v>6193</v>
      </c>
      <c r="J5187" s="38" t="s">
        <v>132</v>
      </c>
      <c r="K5187" s="38" t="s">
        <v>126</v>
      </c>
      <c r="L5187" s="41">
        <v>46008.427083333336</v>
      </c>
      <c r="M5187" s="38" t="s">
        <v>123</v>
      </c>
      <c r="N5187" s="41">
        <v>46008.46875</v>
      </c>
      <c r="O5187" s="38" t="s">
        <v>123</v>
      </c>
      <c r="P5187" s="38">
        <v>3600.0</v>
      </c>
      <c r="Q5187" s="39"/>
      <c r="R5187" s="39"/>
      <c r="S5187" s="39"/>
      <c r="T5187" s="39"/>
      <c r="U5187" s="39"/>
    </row>
    <row r="5188">
      <c r="A5188" s="40">
        <f t="shared" si="1"/>
        <v>46006</v>
      </c>
      <c r="B5188" s="37" t="str">
        <f t="array" ref="B5188">iferror(xlookup($I5188, 'IMPORT VHC Report'!$E:$E, 'IMPORT VHC Report'!$A:$C), )</f>
        <v/>
      </c>
      <c r="C5188" s="37"/>
      <c r="D5188" s="37"/>
      <c r="E5188" s="38" t="s">
        <v>6203</v>
      </c>
      <c r="F5188" s="38" t="s">
        <v>6191</v>
      </c>
      <c r="G5188" s="38">
        <v>1.0548589296399E13</v>
      </c>
      <c r="H5188" s="38" t="s">
        <v>6192</v>
      </c>
      <c r="I5188" s="38" t="s">
        <v>6193</v>
      </c>
      <c r="J5188" s="38" t="s">
        <v>224</v>
      </c>
      <c r="K5188" s="38" t="s">
        <v>63</v>
      </c>
      <c r="L5188" s="41">
        <v>46008.46875</v>
      </c>
      <c r="M5188" s="38" t="s">
        <v>123</v>
      </c>
      <c r="N5188" s="41">
        <v>46008.541666666664</v>
      </c>
      <c r="O5188" s="38" t="s">
        <v>123</v>
      </c>
      <c r="P5188" s="38">
        <v>6300.0</v>
      </c>
      <c r="Q5188" s="39"/>
      <c r="R5188" s="39"/>
      <c r="S5188" s="39"/>
      <c r="T5188" s="39"/>
      <c r="U5188" s="39"/>
    </row>
    <row r="5189">
      <c r="A5189" s="40">
        <f t="shared" si="1"/>
        <v>46006</v>
      </c>
      <c r="B5189" s="37" t="str">
        <f t="array" ref="B5189">iferror(xlookup($I5189, 'IMPORT VHC Report'!$E:$E, 'IMPORT VHC Report'!$A:$C), )</f>
        <v/>
      </c>
      <c r="C5189" s="37"/>
      <c r="D5189" s="37"/>
      <c r="E5189" s="38" t="s">
        <v>6204</v>
      </c>
      <c r="F5189" s="38" t="s">
        <v>6191</v>
      </c>
      <c r="G5189" s="38">
        <v>1.0548589296399E13</v>
      </c>
      <c r="H5189" s="38" t="s">
        <v>6192</v>
      </c>
      <c r="I5189" s="38" t="s">
        <v>6193</v>
      </c>
      <c r="J5189" s="38" t="s">
        <v>224</v>
      </c>
      <c r="K5189" s="38" t="s">
        <v>63</v>
      </c>
      <c r="L5189" s="41">
        <v>46009.166666666664</v>
      </c>
      <c r="M5189" s="38" t="s">
        <v>123</v>
      </c>
      <c r="N5189" s="41">
        <v>46009.28125</v>
      </c>
      <c r="O5189" s="38" t="s">
        <v>123</v>
      </c>
      <c r="P5189" s="38">
        <v>9900.0</v>
      </c>
      <c r="Q5189" s="39"/>
      <c r="R5189" s="39"/>
      <c r="S5189" s="39"/>
      <c r="T5189" s="39"/>
      <c r="U5189" s="39"/>
    </row>
    <row r="5190">
      <c r="A5190" s="40">
        <f t="shared" si="1"/>
        <v>46006</v>
      </c>
      <c r="B5190" s="37" t="str">
        <f t="array" ref="B5190">iferror(xlookup($I5190, 'IMPORT VHC Report'!$E:$E, 'IMPORT VHC Report'!$A:$C), )</f>
        <v/>
      </c>
      <c r="C5190" s="37"/>
      <c r="D5190" s="37"/>
      <c r="E5190" s="38" t="s">
        <v>6205</v>
      </c>
      <c r="F5190" s="38" t="s">
        <v>6191</v>
      </c>
      <c r="G5190" s="38">
        <v>1.0548589296399E13</v>
      </c>
      <c r="H5190" s="38" t="s">
        <v>6192</v>
      </c>
      <c r="I5190" s="38" t="s">
        <v>6193</v>
      </c>
      <c r="J5190" s="38" t="s">
        <v>134</v>
      </c>
      <c r="K5190" s="38" t="s">
        <v>126</v>
      </c>
      <c r="L5190" s="41">
        <v>46009.28125</v>
      </c>
      <c r="M5190" s="38" t="s">
        <v>123</v>
      </c>
      <c r="N5190" s="41">
        <v>46009.291666666664</v>
      </c>
      <c r="O5190" s="38" t="s">
        <v>123</v>
      </c>
      <c r="P5190" s="38">
        <v>900.0</v>
      </c>
      <c r="Q5190" s="39"/>
      <c r="R5190" s="39"/>
      <c r="S5190" s="39"/>
      <c r="T5190" s="39"/>
      <c r="U5190" s="39"/>
    </row>
    <row r="5191">
      <c r="A5191" s="40">
        <f t="shared" si="1"/>
        <v>46006</v>
      </c>
      <c r="B5191" s="37" t="str">
        <f t="array" ref="B5191">iferror(xlookup($I5191, 'IMPORT VHC Report'!$E:$E, 'IMPORT VHC Report'!$A:$C), )</f>
        <v/>
      </c>
      <c r="C5191" s="37"/>
      <c r="D5191" s="37"/>
      <c r="E5191" s="38" t="s">
        <v>6206</v>
      </c>
      <c r="F5191" s="38" t="s">
        <v>6191</v>
      </c>
      <c r="G5191" s="38">
        <v>1.0548589296399E13</v>
      </c>
      <c r="H5191" s="38" t="s">
        <v>6192</v>
      </c>
      <c r="I5191" s="38" t="s">
        <v>6193</v>
      </c>
      <c r="J5191" s="38" t="s">
        <v>224</v>
      </c>
      <c r="K5191" s="38" t="s">
        <v>63</v>
      </c>
      <c r="L5191" s="41">
        <v>46009.291666666664</v>
      </c>
      <c r="M5191" s="38" t="s">
        <v>123</v>
      </c>
      <c r="N5191" s="41">
        <v>46009.354166666664</v>
      </c>
      <c r="O5191" s="38" t="s">
        <v>123</v>
      </c>
      <c r="P5191" s="38">
        <v>5400.0</v>
      </c>
      <c r="Q5191" s="39"/>
      <c r="R5191" s="39"/>
      <c r="S5191" s="39"/>
      <c r="T5191" s="39"/>
      <c r="U5191" s="39"/>
    </row>
    <row r="5192">
      <c r="A5192" s="40">
        <f t="shared" si="1"/>
        <v>46006</v>
      </c>
      <c r="B5192" s="37" t="str">
        <f t="array" ref="B5192">iferror(xlookup($I5192, 'IMPORT VHC Report'!$E:$E, 'IMPORT VHC Report'!$A:$C), )</f>
        <v/>
      </c>
      <c r="C5192" s="37"/>
      <c r="D5192" s="37"/>
      <c r="E5192" s="38" t="s">
        <v>6207</v>
      </c>
      <c r="F5192" s="38" t="s">
        <v>6191</v>
      </c>
      <c r="G5192" s="38">
        <v>1.0548589296399E13</v>
      </c>
      <c r="H5192" s="38" t="s">
        <v>6192</v>
      </c>
      <c r="I5192" s="38" t="s">
        <v>6193</v>
      </c>
      <c r="J5192" s="38" t="s">
        <v>134</v>
      </c>
      <c r="K5192" s="38" t="s">
        <v>126</v>
      </c>
      <c r="L5192" s="41">
        <v>46009.354166666664</v>
      </c>
      <c r="M5192" s="38" t="s">
        <v>123</v>
      </c>
      <c r="N5192" s="41">
        <v>46009.364583333336</v>
      </c>
      <c r="O5192" s="38" t="s">
        <v>123</v>
      </c>
      <c r="P5192" s="38">
        <v>900.0</v>
      </c>
      <c r="Q5192" s="39"/>
      <c r="R5192" s="39"/>
      <c r="S5192" s="39"/>
      <c r="T5192" s="39"/>
      <c r="U5192" s="39"/>
    </row>
    <row r="5193">
      <c r="A5193" s="40">
        <f t="shared" si="1"/>
        <v>46006</v>
      </c>
      <c r="B5193" s="37" t="str">
        <f t="array" ref="B5193">iferror(xlookup($I5193, 'IMPORT VHC Report'!$E:$E, 'IMPORT VHC Report'!$A:$C), )</f>
        <v/>
      </c>
      <c r="C5193" s="37"/>
      <c r="D5193" s="37"/>
      <c r="E5193" s="38" t="s">
        <v>6208</v>
      </c>
      <c r="F5193" s="38" t="s">
        <v>6191</v>
      </c>
      <c r="G5193" s="38">
        <v>1.0548589296399E13</v>
      </c>
      <c r="H5193" s="38" t="s">
        <v>6192</v>
      </c>
      <c r="I5193" s="38" t="s">
        <v>6193</v>
      </c>
      <c r="J5193" s="38" t="s">
        <v>224</v>
      </c>
      <c r="K5193" s="38" t="s">
        <v>63</v>
      </c>
      <c r="L5193" s="41">
        <v>46009.364583333336</v>
      </c>
      <c r="M5193" s="38" t="s">
        <v>123</v>
      </c>
      <c r="N5193" s="41">
        <v>46009.427083333336</v>
      </c>
      <c r="O5193" s="38" t="s">
        <v>123</v>
      </c>
      <c r="P5193" s="38">
        <v>5400.0</v>
      </c>
      <c r="Q5193" s="39"/>
      <c r="R5193" s="39"/>
      <c r="S5193" s="39"/>
      <c r="T5193" s="39"/>
      <c r="U5193" s="39"/>
    </row>
    <row r="5194">
      <c r="A5194" s="40">
        <f t="shared" si="1"/>
        <v>46006</v>
      </c>
      <c r="B5194" s="37" t="str">
        <f t="array" ref="B5194">iferror(xlookup($I5194, 'IMPORT VHC Report'!$E:$E, 'IMPORT VHC Report'!$A:$C), )</f>
        <v/>
      </c>
      <c r="C5194" s="37"/>
      <c r="D5194" s="37"/>
      <c r="E5194" s="38" t="s">
        <v>6209</v>
      </c>
      <c r="F5194" s="38" t="s">
        <v>6191</v>
      </c>
      <c r="G5194" s="38">
        <v>1.0548589296399E13</v>
      </c>
      <c r="H5194" s="38" t="s">
        <v>6192</v>
      </c>
      <c r="I5194" s="38" t="s">
        <v>6193</v>
      </c>
      <c r="J5194" s="38" t="s">
        <v>132</v>
      </c>
      <c r="K5194" s="38" t="s">
        <v>126</v>
      </c>
      <c r="L5194" s="41">
        <v>46009.427083333336</v>
      </c>
      <c r="M5194" s="38" t="s">
        <v>123</v>
      </c>
      <c r="N5194" s="41">
        <v>46009.46875</v>
      </c>
      <c r="O5194" s="38" t="s">
        <v>123</v>
      </c>
      <c r="P5194" s="38">
        <v>3600.0</v>
      </c>
      <c r="Q5194" s="39"/>
      <c r="R5194" s="39"/>
      <c r="S5194" s="39"/>
      <c r="T5194" s="39"/>
      <c r="U5194" s="39"/>
    </row>
    <row r="5195">
      <c r="A5195" s="40">
        <f t="shared" si="1"/>
        <v>46006</v>
      </c>
      <c r="B5195" s="37" t="str">
        <f t="array" ref="B5195">iferror(xlookup($I5195, 'IMPORT VHC Report'!$E:$E, 'IMPORT VHC Report'!$A:$C), )</f>
        <v/>
      </c>
      <c r="C5195" s="37"/>
      <c r="D5195" s="37"/>
      <c r="E5195" s="38" t="s">
        <v>6210</v>
      </c>
      <c r="F5195" s="38" t="s">
        <v>6191</v>
      </c>
      <c r="G5195" s="38">
        <v>1.0548589296399E13</v>
      </c>
      <c r="H5195" s="38" t="s">
        <v>6192</v>
      </c>
      <c r="I5195" s="38" t="s">
        <v>6193</v>
      </c>
      <c r="J5195" s="38" t="s">
        <v>224</v>
      </c>
      <c r="K5195" s="38" t="s">
        <v>63</v>
      </c>
      <c r="L5195" s="41">
        <v>46009.46875</v>
      </c>
      <c r="M5195" s="38" t="s">
        <v>123</v>
      </c>
      <c r="N5195" s="41">
        <v>46009.541666666664</v>
      </c>
      <c r="O5195" s="38" t="s">
        <v>123</v>
      </c>
      <c r="P5195" s="38">
        <v>6300.0</v>
      </c>
      <c r="Q5195" s="39"/>
      <c r="R5195" s="39"/>
      <c r="S5195" s="39"/>
      <c r="T5195" s="39"/>
      <c r="U5195" s="39"/>
    </row>
    <row r="5196">
      <c r="A5196" s="40">
        <f t="shared" si="1"/>
        <v>46006</v>
      </c>
      <c r="B5196" s="37" t="str">
        <f t="array" ref="B5196">iferror(xlookup($I5196, 'IMPORT VHC Report'!$E:$E, 'IMPORT VHC Report'!$A:$C), )</f>
        <v/>
      </c>
      <c r="C5196" s="37"/>
      <c r="D5196" s="37"/>
      <c r="E5196" s="38" t="s">
        <v>6211</v>
      </c>
      <c r="F5196" s="38" t="s">
        <v>6191</v>
      </c>
      <c r="G5196" s="38">
        <v>1.0548589296399E13</v>
      </c>
      <c r="H5196" s="38" t="s">
        <v>6192</v>
      </c>
      <c r="I5196" s="38" t="s">
        <v>6193</v>
      </c>
      <c r="J5196" s="38" t="s">
        <v>224</v>
      </c>
      <c r="K5196" s="38" t="s">
        <v>63</v>
      </c>
      <c r="L5196" s="41">
        <v>46010.166666666664</v>
      </c>
      <c r="M5196" s="38" t="s">
        <v>123</v>
      </c>
      <c r="N5196" s="41">
        <v>46010.239583333336</v>
      </c>
      <c r="O5196" s="38" t="s">
        <v>123</v>
      </c>
      <c r="P5196" s="38">
        <v>6300.0</v>
      </c>
      <c r="Q5196" s="39"/>
      <c r="R5196" s="39"/>
      <c r="S5196" s="39"/>
      <c r="T5196" s="39"/>
      <c r="U5196" s="39"/>
    </row>
    <row r="5197">
      <c r="A5197" s="40">
        <f t="shared" si="1"/>
        <v>46006</v>
      </c>
      <c r="B5197" s="37" t="str">
        <f t="array" ref="B5197">iferror(xlookup($I5197, 'IMPORT VHC Report'!$E:$E, 'IMPORT VHC Report'!$A:$C), )</f>
        <v/>
      </c>
      <c r="C5197" s="37"/>
      <c r="D5197" s="37"/>
      <c r="E5197" s="38" t="s">
        <v>6212</v>
      </c>
      <c r="F5197" s="38" t="s">
        <v>6191</v>
      </c>
      <c r="G5197" s="38">
        <v>1.0548589296399E13</v>
      </c>
      <c r="H5197" s="38" t="s">
        <v>6192</v>
      </c>
      <c r="I5197" s="38" t="s">
        <v>6193</v>
      </c>
      <c r="J5197" s="38" t="s">
        <v>178</v>
      </c>
      <c r="K5197" s="38" t="s">
        <v>153</v>
      </c>
      <c r="L5197" s="41">
        <v>46010.166666666664</v>
      </c>
      <c r="M5197" s="38" t="s">
        <v>123</v>
      </c>
      <c r="N5197" s="41">
        <v>46010.541666666664</v>
      </c>
      <c r="O5197" s="38" t="s">
        <v>123</v>
      </c>
      <c r="P5197" s="38">
        <v>32400.0</v>
      </c>
      <c r="Q5197" s="38">
        <v>28800.0</v>
      </c>
      <c r="R5197" s="38" t="s">
        <v>6213</v>
      </c>
      <c r="S5197" s="39"/>
      <c r="T5197" s="39"/>
      <c r="U5197" s="39"/>
    </row>
    <row r="5198">
      <c r="A5198" s="40">
        <f t="shared" si="1"/>
        <v>46006</v>
      </c>
      <c r="B5198" s="37" t="str">
        <f t="array" ref="B5198">iferror(xlookup($I5198, 'IMPORT VHC Report'!$E:$E, 'IMPORT VHC Report'!$A:$C), )</f>
        <v/>
      </c>
      <c r="C5198" s="37"/>
      <c r="D5198" s="37"/>
      <c r="E5198" s="38" t="s">
        <v>6214</v>
      </c>
      <c r="F5198" s="38" t="s">
        <v>6191</v>
      </c>
      <c r="G5198" s="38">
        <v>1.0548589296399E13</v>
      </c>
      <c r="H5198" s="38" t="s">
        <v>6192</v>
      </c>
      <c r="I5198" s="38" t="s">
        <v>6193</v>
      </c>
      <c r="J5198" s="38" t="s">
        <v>134</v>
      </c>
      <c r="K5198" s="38" t="s">
        <v>126</v>
      </c>
      <c r="L5198" s="41">
        <v>46010.239583333336</v>
      </c>
      <c r="M5198" s="38" t="s">
        <v>123</v>
      </c>
      <c r="N5198" s="41">
        <v>46010.25</v>
      </c>
      <c r="O5198" s="38" t="s">
        <v>123</v>
      </c>
      <c r="P5198" s="38">
        <v>900.0</v>
      </c>
      <c r="Q5198" s="39"/>
      <c r="R5198" s="39"/>
      <c r="S5198" s="39"/>
      <c r="T5198" s="39"/>
      <c r="U5198" s="39"/>
    </row>
    <row r="5199">
      <c r="A5199" s="40">
        <f t="shared" si="1"/>
        <v>46006</v>
      </c>
      <c r="B5199" s="37" t="str">
        <f t="array" ref="B5199">iferror(xlookup($I5199, 'IMPORT VHC Report'!$E:$E, 'IMPORT VHC Report'!$A:$C), )</f>
        <v/>
      </c>
      <c r="C5199" s="37"/>
      <c r="D5199" s="37"/>
      <c r="E5199" s="38" t="s">
        <v>6215</v>
      </c>
      <c r="F5199" s="38" t="s">
        <v>6191</v>
      </c>
      <c r="G5199" s="38">
        <v>1.0548589296399E13</v>
      </c>
      <c r="H5199" s="38" t="s">
        <v>6192</v>
      </c>
      <c r="I5199" s="38" t="s">
        <v>6193</v>
      </c>
      <c r="J5199" s="38" t="s">
        <v>224</v>
      </c>
      <c r="K5199" s="38" t="s">
        <v>63</v>
      </c>
      <c r="L5199" s="41">
        <v>46010.25</v>
      </c>
      <c r="M5199" s="38" t="s">
        <v>123</v>
      </c>
      <c r="N5199" s="41">
        <v>46010.333333333336</v>
      </c>
      <c r="O5199" s="38" t="s">
        <v>123</v>
      </c>
      <c r="P5199" s="38">
        <v>7200.0</v>
      </c>
      <c r="Q5199" s="39"/>
      <c r="R5199" s="39"/>
      <c r="S5199" s="39"/>
      <c r="T5199" s="39"/>
      <c r="U5199" s="39"/>
    </row>
    <row r="5200">
      <c r="A5200" s="40">
        <f t="shared" si="1"/>
        <v>46006</v>
      </c>
      <c r="B5200" s="37" t="str">
        <f t="array" ref="B5200">iferror(xlookup($I5200, 'IMPORT VHC Report'!$E:$E, 'IMPORT VHC Report'!$A:$C), )</f>
        <v/>
      </c>
      <c r="C5200" s="37"/>
      <c r="D5200" s="37"/>
      <c r="E5200" s="38" t="s">
        <v>6216</v>
      </c>
      <c r="F5200" s="38" t="s">
        <v>6191</v>
      </c>
      <c r="G5200" s="38">
        <v>1.0548589296399E13</v>
      </c>
      <c r="H5200" s="38" t="s">
        <v>6192</v>
      </c>
      <c r="I5200" s="38" t="s">
        <v>6193</v>
      </c>
      <c r="J5200" s="38" t="s">
        <v>132</v>
      </c>
      <c r="K5200" s="38" t="s">
        <v>126</v>
      </c>
      <c r="L5200" s="41">
        <v>46010.333333333336</v>
      </c>
      <c r="M5200" s="38" t="s">
        <v>123</v>
      </c>
      <c r="N5200" s="41">
        <v>46010.375</v>
      </c>
      <c r="O5200" s="38" t="s">
        <v>123</v>
      </c>
      <c r="P5200" s="38">
        <v>3600.0</v>
      </c>
      <c r="Q5200" s="39"/>
      <c r="R5200" s="39"/>
      <c r="S5200" s="39"/>
      <c r="T5200" s="39"/>
      <c r="U5200" s="39"/>
    </row>
    <row r="5201">
      <c r="A5201" s="40">
        <f t="shared" si="1"/>
        <v>46006</v>
      </c>
      <c r="B5201" s="37" t="str">
        <f t="array" ref="B5201">iferror(xlookup($I5201, 'IMPORT VHC Report'!$E:$E, 'IMPORT VHC Report'!$A:$C), )</f>
        <v/>
      </c>
      <c r="C5201" s="37"/>
      <c r="D5201" s="37"/>
      <c r="E5201" s="38" t="s">
        <v>6217</v>
      </c>
      <c r="F5201" s="38" t="s">
        <v>6191</v>
      </c>
      <c r="G5201" s="38">
        <v>1.0548589296399E13</v>
      </c>
      <c r="H5201" s="38" t="s">
        <v>6192</v>
      </c>
      <c r="I5201" s="38" t="s">
        <v>6193</v>
      </c>
      <c r="J5201" s="38" t="s">
        <v>224</v>
      </c>
      <c r="K5201" s="38" t="s">
        <v>63</v>
      </c>
      <c r="L5201" s="41">
        <v>46010.375</v>
      </c>
      <c r="M5201" s="38" t="s">
        <v>123</v>
      </c>
      <c r="N5201" s="41">
        <v>46010.479166666664</v>
      </c>
      <c r="O5201" s="38" t="s">
        <v>123</v>
      </c>
      <c r="P5201" s="38">
        <v>9000.0</v>
      </c>
      <c r="Q5201" s="39"/>
      <c r="R5201" s="39"/>
      <c r="S5201" s="39"/>
      <c r="T5201" s="39"/>
      <c r="U5201" s="39"/>
    </row>
    <row r="5202">
      <c r="A5202" s="40">
        <f t="shared" si="1"/>
        <v>46006</v>
      </c>
      <c r="B5202" s="37" t="str">
        <f t="array" ref="B5202">iferror(xlookup($I5202, 'IMPORT VHC Report'!$E:$E, 'IMPORT VHC Report'!$A:$C), )</f>
        <v/>
      </c>
      <c r="C5202" s="37"/>
      <c r="D5202" s="37"/>
      <c r="E5202" s="38" t="s">
        <v>6218</v>
      </c>
      <c r="F5202" s="38" t="s">
        <v>6191</v>
      </c>
      <c r="G5202" s="38">
        <v>1.0548589296399E13</v>
      </c>
      <c r="H5202" s="38" t="s">
        <v>6192</v>
      </c>
      <c r="I5202" s="38" t="s">
        <v>6193</v>
      </c>
      <c r="J5202" s="38" t="s">
        <v>134</v>
      </c>
      <c r="K5202" s="38" t="s">
        <v>126</v>
      </c>
      <c r="L5202" s="41">
        <v>46010.479166666664</v>
      </c>
      <c r="M5202" s="38" t="s">
        <v>123</v>
      </c>
      <c r="N5202" s="41">
        <v>46010.489583333336</v>
      </c>
      <c r="O5202" s="38" t="s">
        <v>123</v>
      </c>
      <c r="P5202" s="38">
        <v>900.0</v>
      </c>
      <c r="Q5202" s="39"/>
      <c r="R5202" s="39"/>
      <c r="S5202" s="39"/>
      <c r="T5202" s="39"/>
      <c r="U5202" s="39"/>
    </row>
    <row r="5203">
      <c r="A5203" s="40">
        <f t="shared" si="1"/>
        <v>46006</v>
      </c>
      <c r="B5203" s="37" t="str">
        <f t="array" ref="B5203">iferror(xlookup($I5203, 'IMPORT VHC Report'!$E:$E, 'IMPORT VHC Report'!$A:$C), )</f>
        <v/>
      </c>
      <c r="C5203" s="37"/>
      <c r="D5203" s="37"/>
      <c r="E5203" s="38" t="s">
        <v>6219</v>
      </c>
      <c r="F5203" s="38" t="s">
        <v>6191</v>
      </c>
      <c r="G5203" s="38">
        <v>1.0548589296399E13</v>
      </c>
      <c r="H5203" s="38" t="s">
        <v>6192</v>
      </c>
      <c r="I5203" s="38" t="s">
        <v>6193</v>
      </c>
      <c r="J5203" s="38" t="s">
        <v>224</v>
      </c>
      <c r="K5203" s="38" t="s">
        <v>63</v>
      </c>
      <c r="L5203" s="41">
        <v>46010.489583333336</v>
      </c>
      <c r="M5203" s="38" t="s">
        <v>123</v>
      </c>
      <c r="N5203" s="41">
        <v>46010.541666666664</v>
      </c>
      <c r="O5203" s="38" t="s">
        <v>123</v>
      </c>
      <c r="P5203" s="38">
        <v>4500.0</v>
      </c>
      <c r="Q5203" s="39"/>
      <c r="R5203" s="39"/>
      <c r="S5203" s="39"/>
      <c r="T5203" s="39"/>
      <c r="U5203" s="39"/>
    </row>
    <row r="5204">
      <c r="A5204" s="40">
        <f t="shared" si="1"/>
        <v>46006</v>
      </c>
      <c r="B5204" s="37" t="str">
        <f t="array" ref="B5204">iferror(xlookup($I5204, 'IMPORT VHC Report'!$E:$E, 'IMPORT VHC Report'!$A:$C), )</f>
        <v/>
      </c>
      <c r="C5204" s="37"/>
      <c r="D5204" s="37"/>
      <c r="E5204" s="38" t="s">
        <v>6220</v>
      </c>
      <c r="F5204" s="38" t="s">
        <v>6191</v>
      </c>
      <c r="G5204" s="38">
        <v>1.0548589296399E13</v>
      </c>
      <c r="H5204" s="38" t="s">
        <v>6192</v>
      </c>
      <c r="I5204" s="38" t="s">
        <v>6193</v>
      </c>
      <c r="J5204" s="38" t="s">
        <v>224</v>
      </c>
      <c r="K5204" s="38" t="s">
        <v>63</v>
      </c>
      <c r="L5204" s="41">
        <v>46011.166666666664</v>
      </c>
      <c r="M5204" s="38" t="s">
        <v>123</v>
      </c>
      <c r="N5204" s="41">
        <v>46011.25</v>
      </c>
      <c r="O5204" s="38" t="s">
        <v>123</v>
      </c>
      <c r="P5204" s="38">
        <v>7200.0</v>
      </c>
      <c r="Q5204" s="39"/>
      <c r="R5204" s="39"/>
      <c r="S5204" s="39"/>
      <c r="T5204" s="39"/>
      <c r="U5204" s="39"/>
    </row>
    <row r="5205">
      <c r="A5205" s="40">
        <f t="shared" si="1"/>
        <v>46006</v>
      </c>
      <c r="B5205" s="37" t="str">
        <f t="array" ref="B5205">iferror(xlookup($I5205, 'IMPORT VHC Report'!$E:$E, 'IMPORT VHC Report'!$A:$C), )</f>
        <v/>
      </c>
      <c r="C5205" s="37"/>
      <c r="D5205" s="37"/>
      <c r="E5205" s="38" t="s">
        <v>6221</v>
      </c>
      <c r="F5205" s="38" t="s">
        <v>6191</v>
      </c>
      <c r="G5205" s="38">
        <v>1.0548589296399E13</v>
      </c>
      <c r="H5205" s="38" t="s">
        <v>6192</v>
      </c>
      <c r="I5205" s="38" t="s">
        <v>6193</v>
      </c>
      <c r="J5205" s="38" t="s">
        <v>62</v>
      </c>
      <c r="K5205" s="38" t="s">
        <v>63</v>
      </c>
      <c r="L5205" s="41">
        <v>46011.25</v>
      </c>
      <c r="M5205" s="38" t="s">
        <v>123</v>
      </c>
      <c r="N5205" s="41">
        <v>46011.270833333336</v>
      </c>
      <c r="O5205" s="38" t="s">
        <v>123</v>
      </c>
      <c r="P5205" s="38">
        <v>1800.0</v>
      </c>
      <c r="Q5205" s="39"/>
      <c r="R5205" s="39"/>
      <c r="S5205" s="39"/>
      <c r="T5205" s="39"/>
      <c r="U5205" s="39"/>
    </row>
    <row r="5206">
      <c r="A5206" s="40">
        <f t="shared" si="1"/>
        <v>46006</v>
      </c>
      <c r="B5206" s="37" t="str">
        <f t="array" ref="B5206">iferror(xlookup($I5206, 'IMPORT VHC Report'!$E:$E, 'IMPORT VHC Report'!$A:$C), )</f>
        <v/>
      </c>
      <c r="C5206" s="37"/>
      <c r="D5206" s="37"/>
      <c r="E5206" s="38" t="s">
        <v>6222</v>
      </c>
      <c r="F5206" s="38" t="s">
        <v>6191</v>
      </c>
      <c r="G5206" s="38">
        <v>1.0548589296399E13</v>
      </c>
      <c r="H5206" s="38" t="s">
        <v>6192</v>
      </c>
      <c r="I5206" s="38" t="s">
        <v>6193</v>
      </c>
      <c r="J5206" s="38" t="s">
        <v>134</v>
      </c>
      <c r="K5206" s="38" t="s">
        <v>126</v>
      </c>
      <c r="L5206" s="41">
        <v>46011.270833333336</v>
      </c>
      <c r="M5206" s="38" t="s">
        <v>123</v>
      </c>
      <c r="N5206" s="41">
        <v>46011.28125</v>
      </c>
      <c r="O5206" s="38" t="s">
        <v>123</v>
      </c>
      <c r="P5206" s="38">
        <v>900.0</v>
      </c>
      <c r="Q5206" s="39"/>
      <c r="R5206" s="39"/>
      <c r="S5206" s="39"/>
      <c r="T5206" s="39"/>
      <c r="U5206" s="39"/>
    </row>
    <row r="5207">
      <c r="A5207" s="40">
        <f t="shared" si="1"/>
        <v>46006</v>
      </c>
      <c r="B5207" s="37" t="str">
        <f t="array" ref="B5207">iferror(xlookup($I5207, 'IMPORT VHC Report'!$E:$E, 'IMPORT VHC Report'!$A:$C), )</f>
        <v/>
      </c>
      <c r="C5207" s="37"/>
      <c r="D5207" s="37"/>
      <c r="E5207" s="38" t="s">
        <v>6223</v>
      </c>
      <c r="F5207" s="38" t="s">
        <v>6191</v>
      </c>
      <c r="G5207" s="38">
        <v>1.0548589296399E13</v>
      </c>
      <c r="H5207" s="38" t="s">
        <v>6192</v>
      </c>
      <c r="I5207" s="38" t="s">
        <v>6193</v>
      </c>
      <c r="J5207" s="38" t="s">
        <v>224</v>
      </c>
      <c r="K5207" s="38" t="s">
        <v>63</v>
      </c>
      <c r="L5207" s="41">
        <v>46011.28125</v>
      </c>
      <c r="M5207" s="38" t="s">
        <v>123</v>
      </c>
      <c r="N5207" s="41">
        <v>46011.354166666664</v>
      </c>
      <c r="O5207" s="38" t="s">
        <v>123</v>
      </c>
      <c r="P5207" s="38">
        <v>6300.0</v>
      </c>
      <c r="Q5207" s="39"/>
      <c r="R5207" s="39"/>
      <c r="S5207" s="39"/>
      <c r="T5207" s="39"/>
      <c r="U5207" s="39"/>
    </row>
    <row r="5208">
      <c r="A5208" s="40">
        <f t="shared" si="1"/>
        <v>46006</v>
      </c>
      <c r="B5208" s="37" t="str">
        <f t="array" ref="B5208">iferror(xlookup($I5208, 'IMPORT VHC Report'!$E:$E, 'IMPORT VHC Report'!$A:$C), )</f>
        <v/>
      </c>
      <c r="C5208" s="37"/>
      <c r="D5208" s="37"/>
      <c r="E5208" s="38" t="s">
        <v>6224</v>
      </c>
      <c r="F5208" s="38" t="s">
        <v>6191</v>
      </c>
      <c r="G5208" s="38">
        <v>1.0548589296399E13</v>
      </c>
      <c r="H5208" s="38" t="s">
        <v>6192</v>
      </c>
      <c r="I5208" s="38" t="s">
        <v>6193</v>
      </c>
      <c r="J5208" s="38" t="s">
        <v>134</v>
      </c>
      <c r="K5208" s="38" t="s">
        <v>126</v>
      </c>
      <c r="L5208" s="41">
        <v>46011.354166666664</v>
      </c>
      <c r="M5208" s="38" t="s">
        <v>123</v>
      </c>
      <c r="N5208" s="41">
        <v>46011.364583333336</v>
      </c>
      <c r="O5208" s="38" t="s">
        <v>123</v>
      </c>
      <c r="P5208" s="38">
        <v>900.0</v>
      </c>
      <c r="Q5208" s="39"/>
      <c r="R5208" s="39"/>
      <c r="S5208" s="39"/>
      <c r="T5208" s="39"/>
      <c r="U5208" s="39"/>
    </row>
    <row r="5209">
      <c r="A5209" s="40">
        <f t="shared" si="1"/>
        <v>46006</v>
      </c>
      <c r="B5209" s="37" t="str">
        <f t="array" ref="B5209">iferror(xlookup($I5209, 'IMPORT VHC Report'!$E:$E, 'IMPORT VHC Report'!$A:$C), )</f>
        <v/>
      </c>
      <c r="C5209" s="37"/>
      <c r="D5209" s="37"/>
      <c r="E5209" s="38" t="s">
        <v>6225</v>
      </c>
      <c r="F5209" s="38" t="s">
        <v>6191</v>
      </c>
      <c r="G5209" s="38">
        <v>1.0548589296399E13</v>
      </c>
      <c r="H5209" s="38" t="s">
        <v>6192</v>
      </c>
      <c r="I5209" s="38" t="s">
        <v>6193</v>
      </c>
      <c r="J5209" s="38" t="s">
        <v>224</v>
      </c>
      <c r="K5209" s="38" t="s">
        <v>63</v>
      </c>
      <c r="L5209" s="41">
        <v>46011.364583333336</v>
      </c>
      <c r="M5209" s="38" t="s">
        <v>123</v>
      </c>
      <c r="N5209" s="41">
        <v>46011.4375</v>
      </c>
      <c r="O5209" s="38" t="s">
        <v>123</v>
      </c>
      <c r="P5209" s="38">
        <v>6300.0</v>
      </c>
      <c r="Q5209" s="39"/>
      <c r="R5209" s="39"/>
      <c r="S5209" s="39"/>
      <c r="T5209" s="39"/>
      <c r="U5209" s="39"/>
    </row>
    <row r="5210">
      <c r="A5210" s="40">
        <f t="shared" si="1"/>
        <v>46006</v>
      </c>
      <c r="B5210" s="37" t="str">
        <f t="array" ref="B5210">iferror(xlookup($I5210, 'IMPORT VHC Report'!$E:$E, 'IMPORT VHC Report'!$A:$C), )</f>
        <v/>
      </c>
      <c r="C5210" s="37"/>
      <c r="D5210" s="37"/>
      <c r="E5210" s="38" t="s">
        <v>6226</v>
      </c>
      <c r="F5210" s="38" t="s">
        <v>6191</v>
      </c>
      <c r="G5210" s="38">
        <v>1.0548589296399E13</v>
      </c>
      <c r="H5210" s="38" t="s">
        <v>6192</v>
      </c>
      <c r="I5210" s="38" t="s">
        <v>6193</v>
      </c>
      <c r="J5210" s="38" t="s">
        <v>132</v>
      </c>
      <c r="K5210" s="38" t="s">
        <v>126</v>
      </c>
      <c r="L5210" s="41">
        <v>46011.4375</v>
      </c>
      <c r="M5210" s="38" t="s">
        <v>123</v>
      </c>
      <c r="N5210" s="41">
        <v>46011.479166666664</v>
      </c>
      <c r="O5210" s="38" t="s">
        <v>123</v>
      </c>
      <c r="P5210" s="38">
        <v>3600.0</v>
      </c>
      <c r="Q5210" s="39"/>
      <c r="R5210" s="39"/>
      <c r="S5210" s="39"/>
      <c r="T5210" s="39"/>
      <c r="U5210" s="39"/>
    </row>
    <row r="5211">
      <c r="A5211" s="40">
        <f t="shared" si="1"/>
        <v>46006</v>
      </c>
      <c r="B5211" s="37" t="str">
        <f t="array" ref="B5211">iferror(xlookup($I5211, 'IMPORT VHC Report'!$E:$E, 'IMPORT VHC Report'!$A:$C), )</f>
        <v/>
      </c>
      <c r="C5211" s="37"/>
      <c r="D5211" s="37"/>
      <c r="E5211" s="38" t="s">
        <v>6227</v>
      </c>
      <c r="F5211" s="38" t="s">
        <v>6191</v>
      </c>
      <c r="G5211" s="38">
        <v>1.0548589296399E13</v>
      </c>
      <c r="H5211" s="38" t="s">
        <v>6192</v>
      </c>
      <c r="I5211" s="38" t="s">
        <v>6193</v>
      </c>
      <c r="J5211" s="38" t="s">
        <v>224</v>
      </c>
      <c r="K5211" s="38" t="s">
        <v>63</v>
      </c>
      <c r="L5211" s="41">
        <v>46011.479166666664</v>
      </c>
      <c r="M5211" s="38" t="s">
        <v>123</v>
      </c>
      <c r="N5211" s="41">
        <v>46011.541666666664</v>
      </c>
      <c r="O5211" s="38" t="s">
        <v>123</v>
      </c>
      <c r="P5211" s="38">
        <v>5400.0</v>
      </c>
      <c r="Q5211" s="39"/>
      <c r="R5211" s="39"/>
      <c r="S5211" s="39"/>
      <c r="T5211" s="39"/>
      <c r="U5211" s="39"/>
    </row>
    <row r="5212">
      <c r="A5212" s="40">
        <f t="shared" si="1"/>
        <v>46006</v>
      </c>
      <c r="B5212" s="37" t="str">
        <f t="array" ref="B5212">iferror(xlookup($I5212, 'IMPORT VHC Report'!$E:$E, 'IMPORT VHC Report'!$A:$C), )</f>
        <v/>
      </c>
      <c r="C5212" s="37"/>
      <c r="D5212" s="37"/>
      <c r="E5212" s="38" t="s">
        <v>6228</v>
      </c>
      <c r="F5212" s="38" t="s">
        <v>6229</v>
      </c>
      <c r="G5212" s="38">
        <v>9.107766464399E12</v>
      </c>
      <c r="H5212" s="38" t="s">
        <v>6230</v>
      </c>
      <c r="I5212" s="38" t="s">
        <v>6231</v>
      </c>
      <c r="J5212" s="38" t="s">
        <v>330</v>
      </c>
      <c r="K5212" s="38" t="s">
        <v>126</v>
      </c>
      <c r="L5212" s="41">
        <v>46007.166666666664</v>
      </c>
      <c r="M5212" s="38" t="s">
        <v>123</v>
      </c>
      <c r="N5212" s="41">
        <v>46007.177083333336</v>
      </c>
      <c r="O5212" s="38" t="s">
        <v>123</v>
      </c>
      <c r="P5212" s="38">
        <v>900.0</v>
      </c>
      <c r="Q5212" s="39"/>
      <c r="R5212" s="39"/>
      <c r="S5212" s="39"/>
      <c r="T5212" s="39"/>
      <c r="U5212" s="39"/>
    </row>
    <row r="5213">
      <c r="A5213" s="40">
        <f t="shared" si="1"/>
        <v>46006</v>
      </c>
      <c r="B5213" s="37" t="str">
        <f t="array" ref="B5213">iferror(xlookup($I5213, 'IMPORT VHC Report'!$E:$E, 'IMPORT VHC Report'!$A:$C), )</f>
        <v/>
      </c>
      <c r="C5213" s="37"/>
      <c r="D5213" s="37"/>
      <c r="E5213" s="38" t="s">
        <v>6232</v>
      </c>
      <c r="F5213" s="38" t="s">
        <v>6229</v>
      </c>
      <c r="G5213" s="38">
        <v>9.107766464399E12</v>
      </c>
      <c r="H5213" s="38" t="s">
        <v>6230</v>
      </c>
      <c r="I5213" s="38" t="s">
        <v>6231</v>
      </c>
      <c r="J5213" s="38" t="s">
        <v>224</v>
      </c>
      <c r="K5213" s="38" t="s">
        <v>63</v>
      </c>
      <c r="L5213" s="41">
        <v>46007.177083333336</v>
      </c>
      <c r="M5213" s="38" t="s">
        <v>123</v>
      </c>
      <c r="N5213" s="41">
        <v>46007.260416666664</v>
      </c>
      <c r="O5213" s="38" t="s">
        <v>123</v>
      </c>
      <c r="P5213" s="38">
        <v>7200.0</v>
      </c>
      <c r="Q5213" s="39"/>
      <c r="R5213" s="39"/>
      <c r="S5213" s="39"/>
      <c r="T5213" s="39"/>
      <c r="U5213" s="39"/>
    </row>
    <row r="5214">
      <c r="A5214" s="40">
        <f t="shared" si="1"/>
        <v>46006</v>
      </c>
      <c r="B5214" s="37" t="str">
        <f t="array" ref="B5214">iferror(xlookup($I5214, 'IMPORT VHC Report'!$E:$E, 'IMPORT VHC Report'!$A:$C), )</f>
        <v/>
      </c>
      <c r="C5214" s="37"/>
      <c r="D5214" s="37"/>
      <c r="E5214" s="38" t="s">
        <v>6233</v>
      </c>
      <c r="F5214" s="38" t="s">
        <v>6229</v>
      </c>
      <c r="G5214" s="38">
        <v>9.107766464399E12</v>
      </c>
      <c r="H5214" s="38" t="s">
        <v>6230</v>
      </c>
      <c r="I5214" s="38" t="s">
        <v>6231</v>
      </c>
      <c r="J5214" s="38" t="s">
        <v>134</v>
      </c>
      <c r="K5214" s="38" t="s">
        <v>126</v>
      </c>
      <c r="L5214" s="41">
        <v>46007.260416666664</v>
      </c>
      <c r="M5214" s="38" t="s">
        <v>123</v>
      </c>
      <c r="N5214" s="41">
        <v>46007.270833333336</v>
      </c>
      <c r="O5214" s="38" t="s">
        <v>123</v>
      </c>
      <c r="P5214" s="38">
        <v>900.0</v>
      </c>
      <c r="Q5214" s="39"/>
      <c r="R5214" s="39"/>
      <c r="S5214" s="39"/>
      <c r="T5214" s="39"/>
      <c r="U5214" s="39"/>
    </row>
    <row r="5215">
      <c r="A5215" s="40">
        <f t="shared" si="1"/>
        <v>46006</v>
      </c>
      <c r="B5215" s="37" t="str">
        <f t="array" ref="B5215">iferror(xlookup($I5215, 'IMPORT VHC Report'!$E:$E, 'IMPORT VHC Report'!$A:$C), )</f>
        <v/>
      </c>
      <c r="C5215" s="37"/>
      <c r="D5215" s="37"/>
      <c r="E5215" s="38" t="s">
        <v>6234</v>
      </c>
      <c r="F5215" s="38" t="s">
        <v>6229</v>
      </c>
      <c r="G5215" s="38">
        <v>9.107766464399E12</v>
      </c>
      <c r="H5215" s="38" t="s">
        <v>6230</v>
      </c>
      <c r="I5215" s="38" t="s">
        <v>6231</v>
      </c>
      <c r="J5215" s="38" t="s">
        <v>136</v>
      </c>
      <c r="K5215" s="38" t="s">
        <v>126</v>
      </c>
      <c r="L5215" s="41">
        <v>46007.270833333336</v>
      </c>
      <c r="M5215" s="38" t="s">
        <v>123</v>
      </c>
      <c r="N5215" s="41">
        <v>46007.291666666664</v>
      </c>
      <c r="O5215" s="38" t="s">
        <v>123</v>
      </c>
      <c r="P5215" s="38">
        <v>1800.0</v>
      </c>
      <c r="Q5215" s="39"/>
      <c r="R5215" s="39"/>
      <c r="S5215" s="38" t="s">
        <v>137</v>
      </c>
      <c r="T5215" s="39"/>
      <c r="U5215" s="39"/>
    </row>
    <row r="5216">
      <c r="A5216" s="40">
        <f t="shared" si="1"/>
        <v>46006</v>
      </c>
      <c r="B5216" s="37" t="str">
        <f t="array" ref="B5216">iferror(xlookup($I5216, 'IMPORT VHC Report'!$E:$E, 'IMPORT VHC Report'!$A:$C), )</f>
        <v/>
      </c>
      <c r="C5216" s="37"/>
      <c r="D5216" s="37"/>
      <c r="E5216" s="38" t="s">
        <v>6235</v>
      </c>
      <c r="F5216" s="38" t="s">
        <v>6229</v>
      </c>
      <c r="G5216" s="38">
        <v>9.107766464399E12</v>
      </c>
      <c r="H5216" s="38" t="s">
        <v>6230</v>
      </c>
      <c r="I5216" s="38" t="s">
        <v>6231</v>
      </c>
      <c r="J5216" s="38" t="s">
        <v>224</v>
      </c>
      <c r="K5216" s="38" t="s">
        <v>63</v>
      </c>
      <c r="L5216" s="41">
        <v>46007.291666666664</v>
      </c>
      <c r="M5216" s="38" t="s">
        <v>123</v>
      </c>
      <c r="N5216" s="41">
        <v>46007.34375</v>
      </c>
      <c r="O5216" s="38" t="s">
        <v>123</v>
      </c>
      <c r="P5216" s="38">
        <v>4500.0</v>
      </c>
      <c r="Q5216" s="39"/>
      <c r="R5216" s="39"/>
      <c r="S5216" s="39"/>
      <c r="T5216" s="39"/>
      <c r="U5216" s="39"/>
    </row>
    <row r="5217">
      <c r="A5217" s="40">
        <f t="shared" si="1"/>
        <v>46006</v>
      </c>
      <c r="B5217" s="37" t="str">
        <f t="array" ref="B5217">iferror(xlookup($I5217, 'IMPORT VHC Report'!$E:$E, 'IMPORT VHC Report'!$A:$C), )</f>
        <v/>
      </c>
      <c r="C5217" s="37"/>
      <c r="D5217" s="37"/>
      <c r="E5217" s="38" t="s">
        <v>6236</v>
      </c>
      <c r="F5217" s="38" t="s">
        <v>6229</v>
      </c>
      <c r="G5217" s="38">
        <v>9.107766464399E12</v>
      </c>
      <c r="H5217" s="38" t="s">
        <v>6230</v>
      </c>
      <c r="I5217" s="38" t="s">
        <v>6231</v>
      </c>
      <c r="J5217" s="38" t="s">
        <v>132</v>
      </c>
      <c r="K5217" s="38" t="s">
        <v>126</v>
      </c>
      <c r="L5217" s="41">
        <v>46007.34375</v>
      </c>
      <c r="M5217" s="38" t="s">
        <v>123</v>
      </c>
      <c r="N5217" s="41">
        <v>46007.385416666664</v>
      </c>
      <c r="O5217" s="38" t="s">
        <v>123</v>
      </c>
      <c r="P5217" s="38">
        <v>3600.0</v>
      </c>
      <c r="Q5217" s="39"/>
      <c r="R5217" s="39"/>
      <c r="S5217" s="39"/>
      <c r="T5217" s="39"/>
      <c r="U5217" s="39"/>
    </row>
    <row r="5218">
      <c r="A5218" s="40">
        <f t="shared" si="1"/>
        <v>46006</v>
      </c>
      <c r="B5218" s="37" t="str">
        <f t="array" ref="B5218">iferror(xlookup($I5218, 'IMPORT VHC Report'!$E:$E, 'IMPORT VHC Report'!$A:$C), )</f>
        <v/>
      </c>
      <c r="C5218" s="37"/>
      <c r="D5218" s="37"/>
      <c r="E5218" s="38" t="s">
        <v>6237</v>
      </c>
      <c r="F5218" s="38" t="s">
        <v>6229</v>
      </c>
      <c r="G5218" s="38">
        <v>9.107766464399E12</v>
      </c>
      <c r="H5218" s="38" t="s">
        <v>6230</v>
      </c>
      <c r="I5218" s="38" t="s">
        <v>6231</v>
      </c>
      <c r="J5218" s="38" t="s">
        <v>224</v>
      </c>
      <c r="K5218" s="38" t="s">
        <v>63</v>
      </c>
      <c r="L5218" s="41">
        <v>46007.385416666664</v>
      </c>
      <c r="M5218" s="38" t="s">
        <v>123</v>
      </c>
      <c r="N5218" s="41">
        <v>46007.46875</v>
      </c>
      <c r="O5218" s="38" t="s">
        <v>123</v>
      </c>
      <c r="P5218" s="38">
        <v>7200.0</v>
      </c>
      <c r="Q5218" s="39"/>
      <c r="R5218" s="39"/>
      <c r="S5218" s="39"/>
      <c r="T5218" s="39"/>
      <c r="U5218" s="39"/>
    </row>
    <row r="5219">
      <c r="A5219" s="40">
        <f t="shared" si="1"/>
        <v>46006</v>
      </c>
      <c r="B5219" s="37" t="str">
        <f t="array" ref="B5219">iferror(xlookup($I5219, 'IMPORT VHC Report'!$E:$E, 'IMPORT VHC Report'!$A:$C), )</f>
        <v/>
      </c>
      <c r="C5219" s="37"/>
      <c r="D5219" s="37"/>
      <c r="E5219" s="38" t="s">
        <v>6238</v>
      </c>
      <c r="F5219" s="38" t="s">
        <v>6229</v>
      </c>
      <c r="G5219" s="38">
        <v>9.107766464399E12</v>
      </c>
      <c r="H5219" s="38" t="s">
        <v>6230</v>
      </c>
      <c r="I5219" s="38" t="s">
        <v>6231</v>
      </c>
      <c r="J5219" s="38" t="s">
        <v>134</v>
      </c>
      <c r="K5219" s="38" t="s">
        <v>126</v>
      </c>
      <c r="L5219" s="41">
        <v>46007.46875</v>
      </c>
      <c r="M5219" s="38" t="s">
        <v>123</v>
      </c>
      <c r="N5219" s="41">
        <v>46007.479166666664</v>
      </c>
      <c r="O5219" s="38" t="s">
        <v>123</v>
      </c>
      <c r="P5219" s="38">
        <v>900.0</v>
      </c>
      <c r="Q5219" s="39"/>
      <c r="R5219" s="39"/>
      <c r="S5219" s="39"/>
      <c r="T5219" s="39"/>
      <c r="U5219" s="39"/>
    </row>
    <row r="5220">
      <c r="A5220" s="40">
        <f t="shared" si="1"/>
        <v>46006</v>
      </c>
      <c r="B5220" s="37" t="str">
        <f t="array" ref="B5220">iferror(xlookup($I5220, 'IMPORT VHC Report'!$E:$E, 'IMPORT VHC Report'!$A:$C), )</f>
        <v/>
      </c>
      <c r="C5220" s="37"/>
      <c r="D5220" s="37"/>
      <c r="E5220" s="38" t="s">
        <v>6239</v>
      </c>
      <c r="F5220" s="38" t="s">
        <v>6229</v>
      </c>
      <c r="G5220" s="38">
        <v>9.107766464399E12</v>
      </c>
      <c r="H5220" s="38" t="s">
        <v>6230</v>
      </c>
      <c r="I5220" s="38" t="s">
        <v>6231</v>
      </c>
      <c r="J5220" s="38" t="s">
        <v>224</v>
      </c>
      <c r="K5220" s="38" t="s">
        <v>63</v>
      </c>
      <c r="L5220" s="41">
        <v>46007.479166666664</v>
      </c>
      <c r="M5220" s="38" t="s">
        <v>123</v>
      </c>
      <c r="N5220" s="41">
        <v>46007.541666666664</v>
      </c>
      <c r="O5220" s="38" t="s">
        <v>123</v>
      </c>
      <c r="P5220" s="38">
        <v>5400.0</v>
      </c>
      <c r="Q5220" s="39"/>
      <c r="R5220" s="39"/>
      <c r="S5220" s="39"/>
      <c r="T5220" s="39"/>
      <c r="U5220" s="39"/>
    </row>
    <row r="5221">
      <c r="A5221" s="40">
        <f t="shared" si="1"/>
        <v>46006</v>
      </c>
      <c r="B5221" s="37" t="str">
        <f t="array" ref="B5221">iferror(xlookup($I5221, 'IMPORT VHC Report'!$E:$E, 'IMPORT VHC Report'!$A:$C), )</f>
        <v/>
      </c>
      <c r="C5221" s="37"/>
      <c r="D5221" s="37"/>
      <c r="E5221" s="38" t="s">
        <v>6240</v>
      </c>
      <c r="F5221" s="38" t="s">
        <v>6229</v>
      </c>
      <c r="G5221" s="38">
        <v>9.107766464399E12</v>
      </c>
      <c r="H5221" s="38" t="s">
        <v>6230</v>
      </c>
      <c r="I5221" s="38" t="s">
        <v>6231</v>
      </c>
      <c r="J5221" s="38" t="s">
        <v>224</v>
      </c>
      <c r="K5221" s="38" t="s">
        <v>63</v>
      </c>
      <c r="L5221" s="41">
        <v>46008.166666666664</v>
      </c>
      <c r="M5221" s="38" t="s">
        <v>123</v>
      </c>
      <c r="N5221" s="41">
        <v>46008.270833333336</v>
      </c>
      <c r="O5221" s="38" t="s">
        <v>123</v>
      </c>
      <c r="P5221" s="38">
        <v>9000.0</v>
      </c>
      <c r="Q5221" s="39"/>
      <c r="R5221" s="39"/>
      <c r="S5221" s="39"/>
      <c r="T5221" s="39"/>
      <c r="U5221" s="39"/>
    </row>
    <row r="5222">
      <c r="A5222" s="40">
        <f t="shared" si="1"/>
        <v>46006</v>
      </c>
      <c r="B5222" s="37" t="str">
        <f t="array" ref="B5222">iferror(xlookup($I5222, 'IMPORT VHC Report'!$E:$E, 'IMPORT VHC Report'!$A:$C), )</f>
        <v/>
      </c>
      <c r="C5222" s="37"/>
      <c r="D5222" s="37"/>
      <c r="E5222" s="38" t="s">
        <v>6241</v>
      </c>
      <c r="F5222" s="38" t="s">
        <v>6229</v>
      </c>
      <c r="G5222" s="38">
        <v>9.107766464399E12</v>
      </c>
      <c r="H5222" s="38" t="s">
        <v>6230</v>
      </c>
      <c r="I5222" s="38" t="s">
        <v>6231</v>
      </c>
      <c r="J5222" s="38" t="s">
        <v>136</v>
      </c>
      <c r="K5222" s="38" t="s">
        <v>126</v>
      </c>
      <c r="L5222" s="41">
        <v>46008.229166666664</v>
      </c>
      <c r="M5222" s="38" t="s">
        <v>123</v>
      </c>
      <c r="N5222" s="41">
        <v>46008.239583333336</v>
      </c>
      <c r="O5222" s="38" t="s">
        <v>123</v>
      </c>
      <c r="P5222" s="38">
        <v>900.0</v>
      </c>
      <c r="Q5222" s="39"/>
      <c r="R5222" s="39"/>
      <c r="S5222" s="38" t="s">
        <v>778</v>
      </c>
      <c r="T5222" s="39"/>
      <c r="U5222" s="39"/>
    </row>
    <row r="5223">
      <c r="A5223" s="40">
        <f t="shared" si="1"/>
        <v>46006</v>
      </c>
      <c r="B5223" s="37" t="str">
        <f t="array" ref="B5223">iferror(xlookup($I5223, 'IMPORT VHC Report'!$E:$E, 'IMPORT VHC Report'!$A:$C), )</f>
        <v/>
      </c>
      <c r="C5223" s="37"/>
      <c r="D5223" s="37"/>
      <c r="E5223" s="38" t="s">
        <v>6242</v>
      </c>
      <c r="F5223" s="38" t="s">
        <v>6229</v>
      </c>
      <c r="G5223" s="38">
        <v>9.107766464399E12</v>
      </c>
      <c r="H5223" s="38" t="s">
        <v>6230</v>
      </c>
      <c r="I5223" s="38" t="s">
        <v>6231</v>
      </c>
      <c r="J5223" s="38" t="s">
        <v>134</v>
      </c>
      <c r="K5223" s="38" t="s">
        <v>126</v>
      </c>
      <c r="L5223" s="41">
        <v>46008.270833333336</v>
      </c>
      <c r="M5223" s="38" t="s">
        <v>123</v>
      </c>
      <c r="N5223" s="41">
        <v>46008.28125</v>
      </c>
      <c r="O5223" s="38" t="s">
        <v>123</v>
      </c>
      <c r="P5223" s="38">
        <v>900.0</v>
      </c>
      <c r="Q5223" s="39"/>
      <c r="R5223" s="39"/>
      <c r="S5223" s="39"/>
      <c r="T5223" s="39"/>
      <c r="U5223" s="39"/>
    </row>
    <row r="5224">
      <c r="A5224" s="40">
        <f t="shared" si="1"/>
        <v>46006</v>
      </c>
      <c r="B5224" s="37" t="str">
        <f t="array" ref="B5224">iferror(xlookup($I5224, 'IMPORT VHC Report'!$E:$E, 'IMPORT VHC Report'!$A:$C), )</f>
        <v/>
      </c>
      <c r="C5224" s="37"/>
      <c r="D5224" s="37"/>
      <c r="E5224" s="38" t="s">
        <v>6243</v>
      </c>
      <c r="F5224" s="38" t="s">
        <v>6229</v>
      </c>
      <c r="G5224" s="38">
        <v>9.107766464399E12</v>
      </c>
      <c r="H5224" s="38" t="s">
        <v>6230</v>
      </c>
      <c r="I5224" s="38" t="s">
        <v>6231</v>
      </c>
      <c r="J5224" s="38" t="s">
        <v>224</v>
      </c>
      <c r="K5224" s="38" t="s">
        <v>63</v>
      </c>
      <c r="L5224" s="41">
        <v>46008.28125</v>
      </c>
      <c r="M5224" s="38" t="s">
        <v>123</v>
      </c>
      <c r="N5224" s="41">
        <v>46008.34375</v>
      </c>
      <c r="O5224" s="38" t="s">
        <v>123</v>
      </c>
      <c r="P5224" s="38">
        <v>5400.0</v>
      </c>
      <c r="Q5224" s="39"/>
      <c r="R5224" s="39"/>
      <c r="S5224" s="39"/>
      <c r="T5224" s="39"/>
      <c r="U5224" s="39"/>
    </row>
    <row r="5225">
      <c r="A5225" s="40">
        <f t="shared" si="1"/>
        <v>46006</v>
      </c>
      <c r="B5225" s="37" t="str">
        <f t="array" ref="B5225">iferror(xlookup($I5225, 'IMPORT VHC Report'!$E:$E, 'IMPORT VHC Report'!$A:$C), )</f>
        <v/>
      </c>
      <c r="C5225" s="37"/>
      <c r="D5225" s="37"/>
      <c r="E5225" s="38" t="s">
        <v>6244</v>
      </c>
      <c r="F5225" s="38" t="s">
        <v>6229</v>
      </c>
      <c r="G5225" s="38">
        <v>9.107766464399E12</v>
      </c>
      <c r="H5225" s="38" t="s">
        <v>6230</v>
      </c>
      <c r="I5225" s="38" t="s">
        <v>6231</v>
      </c>
      <c r="J5225" s="38" t="s">
        <v>134</v>
      </c>
      <c r="K5225" s="38" t="s">
        <v>126</v>
      </c>
      <c r="L5225" s="41">
        <v>46008.34375</v>
      </c>
      <c r="M5225" s="38" t="s">
        <v>123</v>
      </c>
      <c r="N5225" s="41">
        <v>46008.354166666664</v>
      </c>
      <c r="O5225" s="38" t="s">
        <v>123</v>
      </c>
      <c r="P5225" s="38">
        <v>900.0</v>
      </c>
      <c r="Q5225" s="39"/>
      <c r="R5225" s="39"/>
      <c r="S5225" s="39"/>
      <c r="T5225" s="39"/>
      <c r="U5225" s="39"/>
    </row>
    <row r="5226">
      <c r="A5226" s="40">
        <f t="shared" si="1"/>
        <v>46006</v>
      </c>
      <c r="B5226" s="37" t="str">
        <f t="array" ref="B5226">iferror(xlookup($I5226, 'IMPORT VHC Report'!$E:$E, 'IMPORT VHC Report'!$A:$C), )</f>
        <v/>
      </c>
      <c r="C5226" s="37"/>
      <c r="D5226" s="37"/>
      <c r="E5226" s="38" t="s">
        <v>6245</v>
      </c>
      <c r="F5226" s="38" t="s">
        <v>6229</v>
      </c>
      <c r="G5226" s="38">
        <v>9.107766464399E12</v>
      </c>
      <c r="H5226" s="38" t="s">
        <v>6230</v>
      </c>
      <c r="I5226" s="38" t="s">
        <v>6231</v>
      </c>
      <c r="J5226" s="38" t="s">
        <v>224</v>
      </c>
      <c r="K5226" s="38" t="s">
        <v>63</v>
      </c>
      <c r="L5226" s="41">
        <v>46008.354166666664</v>
      </c>
      <c r="M5226" s="38" t="s">
        <v>123</v>
      </c>
      <c r="N5226" s="41">
        <v>46008.427083333336</v>
      </c>
      <c r="O5226" s="38" t="s">
        <v>123</v>
      </c>
      <c r="P5226" s="38">
        <v>6300.0</v>
      </c>
      <c r="Q5226" s="39"/>
      <c r="R5226" s="39"/>
      <c r="S5226" s="39"/>
      <c r="T5226" s="39"/>
      <c r="U5226" s="39"/>
    </row>
    <row r="5227">
      <c r="A5227" s="40">
        <f t="shared" si="1"/>
        <v>46006</v>
      </c>
      <c r="B5227" s="37" t="str">
        <f t="array" ref="B5227">iferror(xlookup($I5227, 'IMPORT VHC Report'!$E:$E, 'IMPORT VHC Report'!$A:$C), )</f>
        <v/>
      </c>
      <c r="C5227" s="37"/>
      <c r="D5227" s="37"/>
      <c r="E5227" s="38" t="s">
        <v>6246</v>
      </c>
      <c r="F5227" s="38" t="s">
        <v>6229</v>
      </c>
      <c r="G5227" s="38">
        <v>9.107766464399E12</v>
      </c>
      <c r="H5227" s="38" t="s">
        <v>6230</v>
      </c>
      <c r="I5227" s="38" t="s">
        <v>6231</v>
      </c>
      <c r="J5227" s="38" t="s">
        <v>132</v>
      </c>
      <c r="K5227" s="38" t="s">
        <v>126</v>
      </c>
      <c r="L5227" s="41">
        <v>46008.427083333336</v>
      </c>
      <c r="M5227" s="38" t="s">
        <v>123</v>
      </c>
      <c r="N5227" s="41">
        <v>46008.46875</v>
      </c>
      <c r="O5227" s="38" t="s">
        <v>123</v>
      </c>
      <c r="P5227" s="38">
        <v>3600.0</v>
      </c>
      <c r="Q5227" s="39"/>
      <c r="R5227" s="39"/>
      <c r="S5227" s="39"/>
      <c r="T5227" s="39"/>
      <c r="U5227" s="39"/>
    </row>
    <row r="5228">
      <c r="A5228" s="40">
        <f t="shared" si="1"/>
        <v>46006</v>
      </c>
      <c r="B5228" s="37" t="str">
        <f t="array" ref="B5228">iferror(xlookup($I5228, 'IMPORT VHC Report'!$E:$E, 'IMPORT VHC Report'!$A:$C), )</f>
        <v/>
      </c>
      <c r="C5228" s="37"/>
      <c r="D5228" s="37"/>
      <c r="E5228" s="38" t="s">
        <v>6247</v>
      </c>
      <c r="F5228" s="38" t="s">
        <v>6229</v>
      </c>
      <c r="G5228" s="38">
        <v>9.107766464399E12</v>
      </c>
      <c r="H5228" s="38" t="s">
        <v>6230</v>
      </c>
      <c r="I5228" s="38" t="s">
        <v>6231</v>
      </c>
      <c r="J5228" s="38" t="s">
        <v>224</v>
      </c>
      <c r="K5228" s="38" t="s">
        <v>63</v>
      </c>
      <c r="L5228" s="41">
        <v>46008.46875</v>
      </c>
      <c r="M5228" s="38" t="s">
        <v>123</v>
      </c>
      <c r="N5228" s="41">
        <v>46008.541666666664</v>
      </c>
      <c r="O5228" s="38" t="s">
        <v>123</v>
      </c>
      <c r="P5228" s="38">
        <v>6300.0</v>
      </c>
      <c r="Q5228" s="39"/>
      <c r="R5228" s="39"/>
      <c r="S5228" s="39"/>
      <c r="T5228" s="39"/>
      <c r="U5228" s="39"/>
    </row>
    <row r="5229">
      <c r="A5229" s="40">
        <f t="shared" si="1"/>
        <v>46006</v>
      </c>
      <c r="B5229" s="37" t="str">
        <f t="array" ref="B5229">iferror(xlookup($I5229, 'IMPORT VHC Report'!$E:$E, 'IMPORT VHC Report'!$A:$C), )</f>
        <v/>
      </c>
      <c r="C5229" s="37"/>
      <c r="D5229" s="37"/>
      <c r="E5229" s="38" t="s">
        <v>6248</v>
      </c>
      <c r="F5229" s="38" t="s">
        <v>6229</v>
      </c>
      <c r="G5229" s="38">
        <v>9.107766464399E12</v>
      </c>
      <c r="H5229" s="38" t="s">
        <v>6230</v>
      </c>
      <c r="I5229" s="38" t="s">
        <v>6231</v>
      </c>
      <c r="J5229" s="38" t="s">
        <v>152</v>
      </c>
      <c r="K5229" s="38" t="s">
        <v>153</v>
      </c>
      <c r="L5229" s="41">
        <v>46009.166666666664</v>
      </c>
      <c r="M5229" s="38" t="s">
        <v>123</v>
      </c>
      <c r="N5229" s="41">
        <v>46009.541666666664</v>
      </c>
      <c r="O5229" s="38" t="s">
        <v>123</v>
      </c>
      <c r="P5229" s="38">
        <v>32400.0</v>
      </c>
      <c r="Q5229" s="38">
        <v>32400.0</v>
      </c>
      <c r="R5229" s="39"/>
      <c r="S5229" s="39"/>
      <c r="T5229" s="39"/>
      <c r="U5229" s="39"/>
    </row>
    <row r="5230">
      <c r="A5230" s="40">
        <f t="shared" si="1"/>
        <v>46006</v>
      </c>
      <c r="B5230" s="37" t="str">
        <f t="array" ref="B5230">iferror(xlookup($I5230, 'IMPORT VHC Report'!$E:$E, 'IMPORT VHC Report'!$A:$C), )</f>
        <v/>
      </c>
      <c r="C5230" s="37"/>
      <c r="D5230" s="37"/>
      <c r="E5230" s="38" t="s">
        <v>6249</v>
      </c>
      <c r="F5230" s="38" t="s">
        <v>6229</v>
      </c>
      <c r="G5230" s="38">
        <v>9.107766464399E12</v>
      </c>
      <c r="H5230" s="38" t="s">
        <v>6230</v>
      </c>
      <c r="I5230" s="38" t="s">
        <v>6231</v>
      </c>
      <c r="J5230" s="38" t="s">
        <v>62</v>
      </c>
      <c r="K5230" s="38" t="s">
        <v>63</v>
      </c>
      <c r="L5230" s="41">
        <v>46009.1875</v>
      </c>
      <c r="M5230" s="38" t="s">
        <v>123</v>
      </c>
      <c r="N5230" s="41">
        <v>46009.208333333336</v>
      </c>
      <c r="O5230" s="38" t="s">
        <v>123</v>
      </c>
      <c r="P5230" s="38">
        <v>1800.0</v>
      </c>
      <c r="Q5230" s="39"/>
      <c r="R5230" s="39"/>
      <c r="S5230" s="39"/>
      <c r="T5230" s="39"/>
      <c r="U5230" s="39"/>
    </row>
    <row r="5231">
      <c r="A5231" s="40">
        <f t="shared" si="1"/>
        <v>46006</v>
      </c>
      <c r="B5231" s="37" t="str">
        <f t="array" ref="B5231">iferror(xlookup($I5231, 'IMPORT VHC Report'!$E:$E, 'IMPORT VHC Report'!$A:$C), )</f>
        <v/>
      </c>
      <c r="C5231" s="37"/>
      <c r="D5231" s="37"/>
      <c r="E5231" s="38" t="s">
        <v>6250</v>
      </c>
      <c r="F5231" s="38" t="s">
        <v>6229</v>
      </c>
      <c r="G5231" s="38">
        <v>9.107766464399E12</v>
      </c>
      <c r="H5231" s="38" t="s">
        <v>6230</v>
      </c>
      <c r="I5231" s="38" t="s">
        <v>6231</v>
      </c>
      <c r="J5231" s="38" t="s">
        <v>224</v>
      </c>
      <c r="K5231" s="38" t="s">
        <v>63</v>
      </c>
      <c r="L5231" s="41">
        <v>46009.208333333336</v>
      </c>
      <c r="M5231" s="38" t="s">
        <v>123</v>
      </c>
      <c r="N5231" s="41">
        <v>46009.25</v>
      </c>
      <c r="O5231" s="38" t="s">
        <v>123</v>
      </c>
      <c r="P5231" s="38">
        <v>3600.0</v>
      </c>
      <c r="Q5231" s="39"/>
      <c r="R5231" s="39"/>
      <c r="S5231" s="39"/>
      <c r="T5231" s="39"/>
      <c r="U5231" s="39"/>
    </row>
    <row r="5232">
      <c r="A5232" s="40">
        <f t="shared" si="1"/>
        <v>46006</v>
      </c>
      <c r="B5232" s="37" t="str">
        <f t="array" ref="B5232">iferror(xlookup($I5232, 'IMPORT VHC Report'!$E:$E, 'IMPORT VHC Report'!$A:$C), )</f>
        <v/>
      </c>
      <c r="C5232" s="37"/>
      <c r="D5232" s="37"/>
      <c r="E5232" s="38" t="s">
        <v>6251</v>
      </c>
      <c r="F5232" s="38" t="s">
        <v>6229</v>
      </c>
      <c r="G5232" s="38">
        <v>9.107766464399E12</v>
      </c>
      <c r="H5232" s="38" t="s">
        <v>6230</v>
      </c>
      <c r="I5232" s="38" t="s">
        <v>6231</v>
      </c>
      <c r="J5232" s="38" t="s">
        <v>134</v>
      </c>
      <c r="K5232" s="38" t="s">
        <v>126</v>
      </c>
      <c r="L5232" s="41">
        <v>46009.25</v>
      </c>
      <c r="M5232" s="38" t="s">
        <v>123</v>
      </c>
      <c r="N5232" s="41">
        <v>46009.260416666664</v>
      </c>
      <c r="O5232" s="38" t="s">
        <v>123</v>
      </c>
      <c r="P5232" s="38">
        <v>900.0</v>
      </c>
      <c r="Q5232" s="39"/>
      <c r="R5232" s="39"/>
      <c r="S5232" s="39"/>
      <c r="T5232" s="39"/>
      <c r="U5232" s="39"/>
    </row>
    <row r="5233">
      <c r="A5233" s="40">
        <f t="shared" si="1"/>
        <v>46006</v>
      </c>
      <c r="B5233" s="37" t="str">
        <f t="array" ref="B5233">iferror(xlookup($I5233, 'IMPORT VHC Report'!$E:$E, 'IMPORT VHC Report'!$A:$C), )</f>
        <v/>
      </c>
      <c r="C5233" s="37"/>
      <c r="D5233" s="37"/>
      <c r="E5233" s="38" t="s">
        <v>6252</v>
      </c>
      <c r="F5233" s="38" t="s">
        <v>6229</v>
      </c>
      <c r="G5233" s="38">
        <v>9.107766464399E12</v>
      </c>
      <c r="H5233" s="38" t="s">
        <v>6230</v>
      </c>
      <c r="I5233" s="38" t="s">
        <v>6231</v>
      </c>
      <c r="J5233" s="38" t="s">
        <v>224</v>
      </c>
      <c r="K5233" s="38" t="s">
        <v>63</v>
      </c>
      <c r="L5233" s="41">
        <v>46009.260416666664</v>
      </c>
      <c r="M5233" s="38" t="s">
        <v>123</v>
      </c>
      <c r="N5233" s="41">
        <v>46009.322916666664</v>
      </c>
      <c r="O5233" s="38" t="s">
        <v>123</v>
      </c>
      <c r="P5233" s="38">
        <v>5400.0</v>
      </c>
      <c r="Q5233" s="39"/>
      <c r="R5233" s="39"/>
      <c r="S5233" s="39"/>
      <c r="T5233" s="39"/>
      <c r="U5233" s="39"/>
    </row>
    <row r="5234">
      <c r="A5234" s="40">
        <f t="shared" si="1"/>
        <v>46006</v>
      </c>
      <c r="B5234" s="37" t="str">
        <f t="array" ref="B5234">iferror(xlookup($I5234, 'IMPORT VHC Report'!$E:$E, 'IMPORT VHC Report'!$A:$C), )</f>
        <v/>
      </c>
      <c r="C5234" s="37"/>
      <c r="D5234" s="37"/>
      <c r="E5234" s="38" t="s">
        <v>6253</v>
      </c>
      <c r="F5234" s="38" t="s">
        <v>6229</v>
      </c>
      <c r="G5234" s="38">
        <v>9.107766464399E12</v>
      </c>
      <c r="H5234" s="38" t="s">
        <v>6230</v>
      </c>
      <c r="I5234" s="38" t="s">
        <v>6231</v>
      </c>
      <c r="J5234" s="38" t="s">
        <v>132</v>
      </c>
      <c r="K5234" s="38" t="s">
        <v>126</v>
      </c>
      <c r="L5234" s="41">
        <v>46009.322916666664</v>
      </c>
      <c r="M5234" s="38" t="s">
        <v>123</v>
      </c>
      <c r="N5234" s="41">
        <v>46009.364583333336</v>
      </c>
      <c r="O5234" s="38" t="s">
        <v>123</v>
      </c>
      <c r="P5234" s="38">
        <v>3600.0</v>
      </c>
      <c r="Q5234" s="39"/>
      <c r="R5234" s="39"/>
      <c r="S5234" s="39"/>
      <c r="T5234" s="39"/>
      <c r="U5234" s="39"/>
    </row>
    <row r="5235">
      <c r="A5235" s="40">
        <f t="shared" si="1"/>
        <v>46006</v>
      </c>
      <c r="B5235" s="37" t="str">
        <f t="array" ref="B5235">iferror(xlookup($I5235, 'IMPORT VHC Report'!$E:$E, 'IMPORT VHC Report'!$A:$C), )</f>
        <v/>
      </c>
      <c r="C5235" s="37"/>
      <c r="D5235" s="37"/>
      <c r="E5235" s="38" t="s">
        <v>6254</v>
      </c>
      <c r="F5235" s="38" t="s">
        <v>6229</v>
      </c>
      <c r="G5235" s="38">
        <v>9.107766464399E12</v>
      </c>
      <c r="H5235" s="38" t="s">
        <v>6230</v>
      </c>
      <c r="I5235" s="38" t="s">
        <v>6231</v>
      </c>
      <c r="J5235" s="38" t="s">
        <v>224</v>
      </c>
      <c r="K5235" s="38" t="s">
        <v>63</v>
      </c>
      <c r="L5235" s="41">
        <v>46009.364583333336</v>
      </c>
      <c r="M5235" s="38" t="s">
        <v>123</v>
      </c>
      <c r="N5235" s="41">
        <v>46009.4375</v>
      </c>
      <c r="O5235" s="38" t="s">
        <v>123</v>
      </c>
      <c r="P5235" s="38">
        <v>6300.0</v>
      </c>
      <c r="Q5235" s="39"/>
      <c r="R5235" s="39"/>
      <c r="S5235" s="39"/>
      <c r="T5235" s="39"/>
      <c r="U5235" s="39"/>
    </row>
    <row r="5236">
      <c r="A5236" s="40">
        <f t="shared" si="1"/>
        <v>46006</v>
      </c>
      <c r="B5236" s="37" t="str">
        <f t="array" ref="B5236">iferror(xlookup($I5236, 'IMPORT VHC Report'!$E:$E, 'IMPORT VHC Report'!$A:$C), )</f>
        <v/>
      </c>
      <c r="C5236" s="37"/>
      <c r="D5236" s="37"/>
      <c r="E5236" s="38" t="s">
        <v>6255</v>
      </c>
      <c r="F5236" s="38" t="s">
        <v>6229</v>
      </c>
      <c r="G5236" s="38">
        <v>9.107766464399E12</v>
      </c>
      <c r="H5236" s="38" t="s">
        <v>6230</v>
      </c>
      <c r="I5236" s="38" t="s">
        <v>6231</v>
      </c>
      <c r="J5236" s="38" t="s">
        <v>134</v>
      </c>
      <c r="K5236" s="38" t="s">
        <v>126</v>
      </c>
      <c r="L5236" s="41">
        <v>46009.4375</v>
      </c>
      <c r="M5236" s="38" t="s">
        <v>123</v>
      </c>
      <c r="N5236" s="41">
        <v>46009.447916666664</v>
      </c>
      <c r="O5236" s="38" t="s">
        <v>123</v>
      </c>
      <c r="P5236" s="38">
        <v>900.0</v>
      </c>
      <c r="Q5236" s="39"/>
      <c r="R5236" s="39"/>
      <c r="S5236" s="39"/>
      <c r="T5236" s="39"/>
      <c r="U5236" s="39"/>
    </row>
    <row r="5237">
      <c r="A5237" s="40">
        <f t="shared" si="1"/>
        <v>46006</v>
      </c>
      <c r="B5237" s="37" t="str">
        <f t="array" ref="B5237">iferror(xlookup($I5237, 'IMPORT VHC Report'!$E:$E, 'IMPORT VHC Report'!$A:$C), )</f>
        <v/>
      </c>
      <c r="C5237" s="37"/>
      <c r="D5237" s="37"/>
      <c r="E5237" s="38" t="s">
        <v>6256</v>
      </c>
      <c r="F5237" s="38" t="s">
        <v>6229</v>
      </c>
      <c r="G5237" s="38">
        <v>9.107766464399E12</v>
      </c>
      <c r="H5237" s="38" t="s">
        <v>6230</v>
      </c>
      <c r="I5237" s="38" t="s">
        <v>6231</v>
      </c>
      <c r="J5237" s="38" t="s">
        <v>224</v>
      </c>
      <c r="K5237" s="38" t="s">
        <v>63</v>
      </c>
      <c r="L5237" s="41">
        <v>46009.447916666664</v>
      </c>
      <c r="M5237" s="38" t="s">
        <v>123</v>
      </c>
      <c r="N5237" s="41">
        <v>46009.541666666664</v>
      </c>
      <c r="O5237" s="38" t="s">
        <v>123</v>
      </c>
      <c r="P5237" s="38">
        <v>8100.0</v>
      </c>
      <c r="Q5237" s="39"/>
      <c r="R5237" s="39"/>
      <c r="S5237" s="39"/>
      <c r="T5237" s="39"/>
      <c r="U5237" s="39"/>
    </row>
    <row r="5238">
      <c r="A5238" s="40">
        <f t="shared" si="1"/>
        <v>46006</v>
      </c>
      <c r="B5238" s="37" t="str">
        <f t="array" ref="B5238">iferror(xlookup($I5238, 'IMPORT VHC Report'!$E:$E, 'IMPORT VHC Report'!$A:$C), )</f>
        <v/>
      </c>
      <c r="C5238" s="37"/>
      <c r="D5238" s="37"/>
      <c r="E5238" s="38" t="s">
        <v>6257</v>
      </c>
      <c r="F5238" s="38" t="s">
        <v>6229</v>
      </c>
      <c r="G5238" s="38">
        <v>9.107766464399E12</v>
      </c>
      <c r="H5238" s="38" t="s">
        <v>6230</v>
      </c>
      <c r="I5238" s="38" t="s">
        <v>6231</v>
      </c>
      <c r="J5238" s="38" t="s">
        <v>224</v>
      </c>
      <c r="K5238" s="38" t="s">
        <v>63</v>
      </c>
      <c r="L5238" s="41">
        <v>46010.166666666664</v>
      </c>
      <c r="M5238" s="38" t="s">
        <v>123</v>
      </c>
      <c r="N5238" s="41">
        <v>46010.28125</v>
      </c>
      <c r="O5238" s="38" t="s">
        <v>123</v>
      </c>
      <c r="P5238" s="38">
        <v>9900.0</v>
      </c>
      <c r="Q5238" s="39"/>
      <c r="R5238" s="39"/>
      <c r="S5238" s="39"/>
      <c r="T5238" s="39"/>
      <c r="U5238" s="39"/>
    </row>
    <row r="5239">
      <c r="A5239" s="40">
        <f t="shared" si="1"/>
        <v>46006</v>
      </c>
      <c r="B5239" s="37" t="str">
        <f t="array" ref="B5239">iferror(xlookup($I5239, 'IMPORT VHC Report'!$E:$E, 'IMPORT VHC Report'!$A:$C), )</f>
        <v/>
      </c>
      <c r="C5239" s="37"/>
      <c r="D5239" s="37"/>
      <c r="E5239" s="38" t="s">
        <v>6258</v>
      </c>
      <c r="F5239" s="38" t="s">
        <v>6229</v>
      </c>
      <c r="G5239" s="38">
        <v>9.107766464399E12</v>
      </c>
      <c r="H5239" s="38" t="s">
        <v>6230</v>
      </c>
      <c r="I5239" s="38" t="s">
        <v>6231</v>
      </c>
      <c r="J5239" s="38" t="s">
        <v>132</v>
      </c>
      <c r="K5239" s="38" t="s">
        <v>126</v>
      </c>
      <c r="L5239" s="41">
        <v>46010.28125</v>
      </c>
      <c r="M5239" s="38" t="s">
        <v>123</v>
      </c>
      <c r="N5239" s="41">
        <v>46010.322916666664</v>
      </c>
      <c r="O5239" s="38" t="s">
        <v>123</v>
      </c>
      <c r="P5239" s="38">
        <v>3600.0</v>
      </c>
      <c r="Q5239" s="39"/>
      <c r="R5239" s="39"/>
      <c r="S5239" s="39"/>
      <c r="T5239" s="39"/>
      <c r="U5239" s="39"/>
    </row>
    <row r="5240">
      <c r="A5240" s="40">
        <f t="shared" si="1"/>
        <v>46006</v>
      </c>
      <c r="B5240" s="37" t="str">
        <f t="array" ref="B5240">iferror(xlookup($I5240, 'IMPORT VHC Report'!$E:$E, 'IMPORT VHC Report'!$A:$C), )</f>
        <v/>
      </c>
      <c r="C5240" s="37"/>
      <c r="D5240" s="37"/>
      <c r="E5240" s="38" t="s">
        <v>6259</v>
      </c>
      <c r="F5240" s="38" t="s">
        <v>6229</v>
      </c>
      <c r="G5240" s="38">
        <v>9.107766464399E12</v>
      </c>
      <c r="H5240" s="38" t="s">
        <v>6230</v>
      </c>
      <c r="I5240" s="38" t="s">
        <v>6231</v>
      </c>
      <c r="J5240" s="38" t="s">
        <v>224</v>
      </c>
      <c r="K5240" s="38" t="s">
        <v>63</v>
      </c>
      <c r="L5240" s="41">
        <v>46010.322916666664</v>
      </c>
      <c r="M5240" s="38" t="s">
        <v>123</v>
      </c>
      <c r="N5240" s="41">
        <v>46010.395833333336</v>
      </c>
      <c r="O5240" s="38" t="s">
        <v>123</v>
      </c>
      <c r="P5240" s="38">
        <v>6300.0</v>
      </c>
      <c r="Q5240" s="39"/>
      <c r="R5240" s="39"/>
      <c r="S5240" s="39"/>
      <c r="T5240" s="39"/>
      <c r="U5240" s="39"/>
    </row>
    <row r="5241">
      <c r="A5241" s="40">
        <f t="shared" si="1"/>
        <v>46006</v>
      </c>
      <c r="B5241" s="37" t="str">
        <f t="array" ref="B5241">iferror(xlookup($I5241, 'IMPORT VHC Report'!$E:$E, 'IMPORT VHC Report'!$A:$C), )</f>
        <v/>
      </c>
      <c r="C5241" s="37"/>
      <c r="D5241" s="37"/>
      <c r="E5241" s="38" t="s">
        <v>6260</v>
      </c>
      <c r="F5241" s="38" t="s">
        <v>6229</v>
      </c>
      <c r="G5241" s="38">
        <v>9.107766464399E12</v>
      </c>
      <c r="H5241" s="38" t="s">
        <v>6230</v>
      </c>
      <c r="I5241" s="38" t="s">
        <v>6231</v>
      </c>
      <c r="J5241" s="38" t="s">
        <v>134</v>
      </c>
      <c r="K5241" s="38" t="s">
        <v>126</v>
      </c>
      <c r="L5241" s="41">
        <v>46010.395833333336</v>
      </c>
      <c r="M5241" s="38" t="s">
        <v>123</v>
      </c>
      <c r="N5241" s="41">
        <v>46010.40625</v>
      </c>
      <c r="O5241" s="38" t="s">
        <v>123</v>
      </c>
      <c r="P5241" s="38">
        <v>900.0</v>
      </c>
      <c r="Q5241" s="39"/>
      <c r="R5241" s="39"/>
      <c r="S5241" s="39"/>
      <c r="T5241" s="39"/>
      <c r="U5241" s="39"/>
    </row>
    <row r="5242">
      <c r="A5242" s="40">
        <f t="shared" si="1"/>
        <v>46006</v>
      </c>
      <c r="B5242" s="37" t="str">
        <f t="array" ref="B5242">iferror(xlookup($I5242, 'IMPORT VHC Report'!$E:$E, 'IMPORT VHC Report'!$A:$C), )</f>
        <v/>
      </c>
      <c r="C5242" s="37"/>
      <c r="D5242" s="37"/>
      <c r="E5242" s="38" t="s">
        <v>6261</v>
      </c>
      <c r="F5242" s="38" t="s">
        <v>6229</v>
      </c>
      <c r="G5242" s="38">
        <v>9.107766464399E12</v>
      </c>
      <c r="H5242" s="38" t="s">
        <v>6230</v>
      </c>
      <c r="I5242" s="38" t="s">
        <v>6231</v>
      </c>
      <c r="J5242" s="38" t="s">
        <v>224</v>
      </c>
      <c r="K5242" s="38" t="s">
        <v>63</v>
      </c>
      <c r="L5242" s="41">
        <v>46010.40625</v>
      </c>
      <c r="M5242" s="38" t="s">
        <v>123</v>
      </c>
      <c r="N5242" s="41">
        <v>46010.46875</v>
      </c>
      <c r="O5242" s="38" t="s">
        <v>123</v>
      </c>
      <c r="P5242" s="38">
        <v>5400.0</v>
      </c>
      <c r="Q5242" s="39"/>
      <c r="R5242" s="39"/>
      <c r="S5242" s="39"/>
      <c r="T5242" s="39"/>
      <c r="U5242" s="39"/>
    </row>
    <row r="5243">
      <c r="A5243" s="40">
        <f t="shared" si="1"/>
        <v>46006</v>
      </c>
      <c r="B5243" s="37" t="str">
        <f t="array" ref="B5243">iferror(xlookup($I5243, 'IMPORT VHC Report'!$E:$E, 'IMPORT VHC Report'!$A:$C), )</f>
        <v/>
      </c>
      <c r="C5243" s="37"/>
      <c r="D5243" s="37"/>
      <c r="E5243" s="38" t="s">
        <v>6262</v>
      </c>
      <c r="F5243" s="38" t="s">
        <v>6229</v>
      </c>
      <c r="G5243" s="38">
        <v>9.107766464399E12</v>
      </c>
      <c r="H5243" s="38" t="s">
        <v>6230</v>
      </c>
      <c r="I5243" s="38" t="s">
        <v>6231</v>
      </c>
      <c r="J5243" s="38" t="s">
        <v>134</v>
      </c>
      <c r="K5243" s="38" t="s">
        <v>126</v>
      </c>
      <c r="L5243" s="41">
        <v>46010.46875</v>
      </c>
      <c r="M5243" s="38" t="s">
        <v>123</v>
      </c>
      <c r="N5243" s="41">
        <v>46010.479166666664</v>
      </c>
      <c r="O5243" s="38" t="s">
        <v>123</v>
      </c>
      <c r="P5243" s="38">
        <v>900.0</v>
      </c>
      <c r="Q5243" s="39"/>
      <c r="R5243" s="39"/>
      <c r="S5243" s="39"/>
      <c r="T5243" s="39"/>
      <c r="U5243" s="39"/>
    </row>
    <row r="5244">
      <c r="A5244" s="40">
        <f t="shared" si="1"/>
        <v>46006</v>
      </c>
      <c r="B5244" s="37" t="str">
        <f t="array" ref="B5244">iferror(xlookup($I5244, 'IMPORT VHC Report'!$E:$E, 'IMPORT VHC Report'!$A:$C), )</f>
        <v/>
      </c>
      <c r="C5244" s="37"/>
      <c r="D5244" s="37"/>
      <c r="E5244" s="38" t="s">
        <v>6263</v>
      </c>
      <c r="F5244" s="38" t="s">
        <v>6229</v>
      </c>
      <c r="G5244" s="38">
        <v>9.107766464399E12</v>
      </c>
      <c r="H5244" s="38" t="s">
        <v>6230</v>
      </c>
      <c r="I5244" s="38" t="s">
        <v>6231</v>
      </c>
      <c r="J5244" s="38" t="s">
        <v>224</v>
      </c>
      <c r="K5244" s="38" t="s">
        <v>63</v>
      </c>
      <c r="L5244" s="41">
        <v>46010.479166666664</v>
      </c>
      <c r="M5244" s="38" t="s">
        <v>123</v>
      </c>
      <c r="N5244" s="41">
        <v>46010.541666666664</v>
      </c>
      <c r="O5244" s="38" t="s">
        <v>123</v>
      </c>
      <c r="P5244" s="38">
        <v>5400.0</v>
      </c>
      <c r="Q5244" s="39"/>
      <c r="R5244" s="39"/>
      <c r="S5244" s="39"/>
      <c r="T5244" s="39"/>
      <c r="U5244" s="39"/>
    </row>
    <row r="5245">
      <c r="A5245" s="40">
        <f t="shared" si="1"/>
        <v>46006</v>
      </c>
      <c r="B5245" s="37" t="str">
        <f t="array" ref="B5245">iferror(xlookup($I5245, 'IMPORT VHC Report'!$E:$E, 'IMPORT VHC Report'!$A:$C), )</f>
        <v/>
      </c>
      <c r="C5245" s="37"/>
      <c r="D5245" s="37"/>
      <c r="E5245" s="38" t="s">
        <v>6264</v>
      </c>
      <c r="F5245" s="38" t="s">
        <v>6229</v>
      </c>
      <c r="G5245" s="38">
        <v>9.107766464399E12</v>
      </c>
      <c r="H5245" s="38" t="s">
        <v>6230</v>
      </c>
      <c r="I5245" s="38" t="s">
        <v>6231</v>
      </c>
      <c r="J5245" s="38" t="s">
        <v>224</v>
      </c>
      <c r="K5245" s="38" t="s">
        <v>63</v>
      </c>
      <c r="L5245" s="41">
        <v>46011.166666666664</v>
      </c>
      <c r="M5245" s="38" t="s">
        <v>123</v>
      </c>
      <c r="N5245" s="41">
        <v>46011.291666666664</v>
      </c>
      <c r="O5245" s="38" t="s">
        <v>123</v>
      </c>
      <c r="P5245" s="38">
        <v>10800.0</v>
      </c>
      <c r="Q5245" s="39"/>
      <c r="R5245" s="39"/>
      <c r="S5245" s="39"/>
      <c r="T5245" s="39"/>
      <c r="U5245" s="39"/>
    </row>
    <row r="5246">
      <c r="A5246" s="40">
        <f t="shared" si="1"/>
        <v>46006</v>
      </c>
      <c r="B5246" s="37" t="str">
        <f t="array" ref="B5246">iferror(xlookup($I5246, 'IMPORT VHC Report'!$E:$E, 'IMPORT VHC Report'!$A:$C), )</f>
        <v/>
      </c>
      <c r="C5246" s="37"/>
      <c r="D5246" s="37"/>
      <c r="E5246" s="38" t="s">
        <v>6265</v>
      </c>
      <c r="F5246" s="38" t="s">
        <v>6229</v>
      </c>
      <c r="G5246" s="38">
        <v>9.107766464399E12</v>
      </c>
      <c r="H5246" s="38" t="s">
        <v>6230</v>
      </c>
      <c r="I5246" s="38" t="s">
        <v>6231</v>
      </c>
      <c r="J5246" s="38" t="s">
        <v>134</v>
      </c>
      <c r="K5246" s="38" t="s">
        <v>126</v>
      </c>
      <c r="L5246" s="41">
        <v>46011.291666666664</v>
      </c>
      <c r="M5246" s="38" t="s">
        <v>123</v>
      </c>
      <c r="N5246" s="41">
        <v>46011.302083333336</v>
      </c>
      <c r="O5246" s="38" t="s">
        <v>123</v>
      </c>
      <c r="P5246" s="38">
        <v>900.0</v>
      </c>
      <c r="Q5246" s="39"/>
      <c r="R5246" s="39"/>
      <c r="S5246" s="39"/>
      <c r="T5246" s="39"/>
      <c r="U5246" s="39"/>
    </row>
    <row r="5247">
      <c r="A5247" s="40">
        <f t="shared" si="1"/>
        <v>46006</v>
      </c>
      <c r="B5247" s="37" t="str">
        <f t="array" ref="B5247">iferror(xlookup($I5247, 'IMPORT VHC Report'!$E:$E, 'IMPORT VHC Report'!$A:$C), )</f>
        <v/>
      </c>
      <c r="C5247" s="37"/>
      <c r="D5247" s="37"/>
      <c r="E5247" s="38" t="s">
        <v>6266</v>
      </c>
      <c r="F5247" s="38" t="s">
        <v>6229</v>
      </c>
      <c r="G5247" s="38">
        <v>9.107766464399E12</v>
      </c>
      <c r="H5247" s="38" t="s">
        <v>6230</v>
      </c>
      <c r="I5247" s="38" t="s">
        <v>6231</v>
      </c>
      <c r="J5247" s="38" t="s">
        <v>224</v>
      </c>
      <c r="K5247" s="38" t="s">
        <v>63</v>
      </c>
      <c r="L5247" s="41">
        <v>46011.302083333336</v>
      </c>
      <c r="M5247" s="38" t="s">
        <v>123</v>
      </c>
      <c r="N5247" s="41">
        <v>46011.364583333336</v>
      </c>
      <c r="O5247" s="38" t="s">
        <v>123</v>
      </c>
      <c r="P5247" s="38">
        <v>5400.0</v>
      </c>
      <c r="Q5247" s="39"/>
      <c r="R5247" s="39"/>
      <c r="S5247" s="39"/>
      <c r="T5247" s="39"/>
      <c r="U5247" s="39"/>
    </row>
    <row r="5248">
      <c r="A5248" s="40">
        <f t="shared" si="1"/>
        <v>46006</v>
      </c>
      <c r="B5248" s="37" t="str">
        <f t="array" ref="B5248">iferror(xlookup($I5248, 'IMPORT VHC Report'!$E:$E, 'IMPORT VHC Report'!$A:$C), )</f>
        <v/>
      </c>
      <c r="C5248" s="37"/>
      <c r="D5248" s="37"/>
      <c r="E5248" s="38" t="s">
        <v>6267</v>
      </c>
      <c r="F5248" s="38" t="s">
        <v>6229</v>
      </c>
      <c r="G5248" s="38">
        <v>9.107766464399E12</v>
      </c>
      <c r="H5248" s="38" t="s">
        <v>6230</v>
      </c>
      <c r="I5248" s="38" t="s">
        <v>6231</v>
      </c>
      <c r="J5248" s="38" t="s">
        <v>134</v>
      </c>
      <c r="K5248" s="38" t="s">
        <v>126</v>
      </c>
      <c r="L5248" s="41">
        <v>46011.364583333336</v>
      </c>
      <c r="M5248" s="38" t="s">
        <v>123</v>
      </c>
      <c r="N5248" s="41">
        <v>46011.375</v>
      </c>
      <c r="O5248" s="38" t="s">
        <v>123</v>
      </c>
      <c r="P5248" s="38">
        <v>900.0</v>
      </c>
      <c r="Q5248" s="39"/>
      <c r="R5248" s="39"/>
      <c r="S5248" s="39"/>
      <c r="T5248" s="39"/>
      <c r="U5248" s="39"/>
    </row>
    <row r="5249">
      <c r="A5249" s="40">
        <f t="shared" si="1"/>
        <v>46006</v>
      </c>
      <c r="B5249" s="37" t="str">
        <f t="array" ref="B5249">iferror(xlookup($I5249, 'IMPORT VHC Report'!$E:$E, 'IMPORT VHC Report'!$A:$C), )</f>
        <v/>
      </c>
      <c r="C5249" s="37"/>
      <c r="D5249" s="37"/>
      <c r="E5249" s="38" t="s">
        <v>6268</v>
      </c>
      <c r="F5249" s="38" t="s">
        <v>6229</v>
      </c>
      <c r="G5249" s="38">
        <v>9.107766464399E12</v>
      </c>
      <c r="H5249" s="38" t="s">
        <v>6230</v>
      </c>
      <c r="I5249" s="38" t="s">
        <v>6231</v>
      </c>
      <c r="J5249" s="38" t="s">
        <v>224</v>
      </c>
      <c r="K5249" s="38" t="s">
        <v>63</v>
      </c>
      <c r="L5249" s="41">
        <v>46011.375</v>
      </c>
      <c r="M5249" s="38" t="s">
        <v>123</v>
      </c>
      <c r="N5249" s="41">
        <v>46011.5</v>
      </c>
      <c r="O5249" s="38" t="s">
        <v>123</v>
      </c>
      <c r="P5249" s="38">
        <v>10800.0</v>
      </c>
      <c r="Q5249" s="39"/>
      <c r="R5249" s="39"/>
      <c r="S5249" s="39"/>
      <c r="T5249" s="39"/>
      <c r="U5249" s="39"/>
    </row>
    <row r="5250">
      <c r="A5250" s="40">
        <f t="shared" si="1"/>
        <v>46006</v>
      </c>
      <c r="B5250" s="37" t="str">
        <f t="array" ref="B5250">iferror(xlookup($I5250, 'IMPORT VHC Report'!$E:$E, 'IMPORT VHC Report'!$A:$C), )</f>
        <v/>
      </c>
      <c r="C5250" s="37"/>
      <c r="D5250" s="37"/>
      <c r="E5250" s="38" t="s">
        <v>6269</v>
      </c>
      <c r="F5250" s="38" t="s">
        <v>6229</v>
      </c>
      <c r="G5250" s="38">
        <v>9.107766464399E12</v>
      </c>
      <c r="H5250" s="38" t="s">
        <v>6230</v>
      </c>
      <c r="I5250" s="38" t="s">
        <v>6231</v>
      </c>
      <c r="J5250" s="38" t="s">
        <v>132</v>
      </c>
      <c r="K5250" s="38" t="s">
        <v>126</v>
      </c>
      <c r="L5250" s="41">
        <v>46011.5</v>
      </c>
      <c r="M5250" s="38" t="s">
        <v>123</v>
      </c>
      <c r="N5250" s="41">
        <v>46011.541666666664</v>
      </c>
      <c r="O5250" s="38" t="s">
        <v>123</v>
      </c>
      <c r="P5250" s="38">
        <v>3600.0</v>
      </c>
      <c r="Q5250" s="39"/>
      <c r="R5250" s="39"/>
      <c r="S5250" s="39"/>
      <c r="T5250" s="39"/>
      <c r="U5250" s="39"/>
    </row>
    <row r="5251">
      <c r="A5251" s="40">
        <f t="shared" si="1"/>
        <v>46006</v>
      </c>
      <c r="B5251" s="37" t="str">
        <f t="array" ref="B5251">iferror(xlookup($I5251, 'IMPORT VHC Report'!$E:$E, 'IMPORT VHC Report'!$A:$C), )</f>
        <v/>
      </c>
      <c r="C5251" s="37"/>
      <c r="D5251" s="37"/>
      <c r="E5251" s="38" t="s">
        <v>6270</v>
      </c>
      <c r="F5251" s="38" t="s">
        <v>6229</v>
      </c>
      <c r="G5251" s="38">
        <v>9.107766464399E12</v>
      </c>
      <c r="H5251" s="38" t="s">
        <v>6230</v>
      </c>
      <c r="I5251" s="38" t="s">
        <v>6231</v>
      </c>
      <c r="J5251" s="38" t="s">
        <v>224</v>
      </c>
      <c r="K5251" s="38" t="s">
        <v>63</v>
      </c>
      <c r="L5251" s="41">
        <v>46011.5</v>
      </c>
      <c r="M5251" s="38" t="s">
        <v>123</v>
      </c>
      <c r="N5251" s="41">
        <v>46011.541666666664</v>
      </c>
      <c r="O5251" s="38" t="s">
        <v>123</v>
      </c>
      <c r="P5251" s="38">
        <v>3600.0</v>
      </c>
      <c r="Q5251" s="39"/>
      <c r="R5251" s="39"/>
      <c r="S5251" s="39"/>
      <c r="T5251" s="39"/>
      <c r="U5251" s="39"/>
    </row>
    <row r="5252">
      <c r="A5252" s="40">
        <f t="shared" si="1"/>
        <v>46006</v>
      </c>
      <c r="B5252" s="37" t="str">
        <f t="array" ref="B5252">iferror(xlookup($I5252, 'IMPORT VHC Report'!$E:$E, 'IMPORT VHC Report'!$A:$C), )</f>
        <v/>
      </c>
      <c r="C5252" s="37"/>
      <c r="D5252" s="37"/>
      <c r="E5252" s="38" t="s">
        <v>6271</v>
      </c>
      <c r="F5252" s="38" t="s">
        <v>6272</v>
      </c>
      <c r="G5252" s="38">
        <v>8.519267619343E12</v>
      </c>
      <c r="H5252" s="38" t="s">
        <v>6273</v>
      </c>
      <c r="I5252" s="38" t="s">
        <v>6274</v>
      </c>
      <c r="J5252" s="38" t="s">
        <v>152</v>
      </c>
      <c r="K5252" s="38" t="s">
        <v>153</v>
      </c>
      <c r="L5252" s="41">
        <v>46007.166666666664</v>
      </c>
      <c r="M5252" s="38" t="s">
        <v>123</v>
      </c>
      <c r="N5252" s="41">
        <v>46007.541666666664</v>
      </c>
      <c r="O5252" s="38" t="s">
        <v>123</v>
      </c>
      <c r="P5252" s="38">
        <v>32400.0</v>
      </c>
      <c r="Q5252" s="38">
        <v>32400.0</v>
      </c>
      <c r="R5252" s="39"/>
      <c r="S5252" s="39"/>
      <c r="T5252" s="39"/>
      <c r="U5252" s="39"/>
    </row>
    <row r="5253">
      <c r="A5253" s="40">
        <f t="shared" si="1"/>
        <v>46006</v>
      </c>
      <c r="B5253" s="37" t="str">
        <f t="array" ref="B5253">iferror(xlookup($I5253, 'IMPORT VHC Report'!$E:$E, 'IMPORT VHC Report'!$A:$C), )</f>
        <v/>
      </c>
      <c r="C5253" s="37"/>
      <c r="D5253" s="37"/>
      <c r="E5253" s="38" t="s">
        <v>6275</v>
      </c>
      <c r="F5253" s="38" t="s">
        <v>6272</v>
      </c>
      <c r="G5253" s="38">
        <v>8.519267619343E12</v>
      </c>
      <c r="H5253" s="38" t="s">
        <v>6273</v>
      </c>
      <c r="I5253" s="38" t="s">
        <v>6274</v>
      </c>
      <c r="J5253" s="38" t="s">
        <v>132</v>
      </c>
      <c r="K5253" s="38" t="s">
        <v>126</v>
      </c>
      <c r="L5253" s="41">
        <v>46007.260416666664</v>
      </c>
      <c r="M5253" s="38" t="s">
        <v>123</v>
      </c>
      <c r="N5253" s="41">
        <v>46007.302083333336</v>
      </c>
      <c r="O5253" s="38" t="s">
        <v>123</v>
      </c>
      <c r="P5253" s="38">
        <v>3600.0</v>
      </c>
      <c r="Q5253" s="39"/>
      <c r="R5253" s="39"/>
      <c r="S5253" s="39"/>
      <c r="T5253" s="39"/>
      <c r="U5253" s="39"/>
    </row>
    <row r="5254">
      <c r="A5254" s="40">
        <f t="shared" si="1"/>
        <v>46006</v>
      </c>
      <c r="B5254" s="37" t="str">
        <f t="array" ref="B5254">iferror(xlookup($I5254, 'IMPORT VHC Report'!$E:$E, 'IMPORT VHC Report'!$A:$C), )</f>
        <v/>
      </c>
      <c r="C5254" s="37"/>
      <c r="D5254" s="37"/>
      <c r="E5254" s="38" t="s">
        <v>6276</v>
      </c>
      <c r="F5254" s="38" t="s">
        <v>6272</v>
      </c>
      <c r="G5254" s="38">
        <v>8.519267619343E12</v>
      </c>
      <c r="H5254" s="38" t="s">
        <v>6273</v>
      </c>
      <c r="I5254" s="38" t="s">
        <v>6274</v>
      </c>
      <c r="J5254" s="38" t="s">
        <v>134</v>
      </c>
      <c r="K5254" s="38" t="s">
        <v>126</v>
      </c>
      <c r="L5254" s="41">
        <v>46007.375</v>
      </c>
      <c r="M5254" s="38" t="s">
        <v>123</v>
      </c>
      <c r="N5254" s="41">
        <v>46007.385416666664</v>
      </c>
      <c r="O5254" s="38" t="s">
        <v>123</v>
      </c>
      <c r="P5254" s="38">
        <v>900.0</v>
      </c>
      <c r="Q5254" s="39"/>
      <c r="R5254" s="39"/>
      <c r="S5254" s="39"/>
      <c r="T5254" s="39"/>
      <c r="U5254" s="39"/>
    </row>
    <row r="5255">
      <c r="A5255" s="40">
        <f t="shared" si="1"/>
        <v>46006</v>
      </c>
      <c r="B5255" s="37" t="str">
        <f t="array" ref="B5255">iferror(xlookup($I5255, 'IMPORT VHC Report'!$E:$E, 'IMPORT VHC Report'!$A:$C), )</f>
        <v/>
      </c>
      <c r="C5255" s="37"/>
      <c r="D5255" s="37"/>
      <c r="E5255" s="38" t="s">
        <v>6277</v>
      </c>
      <c r="F5255" s="38" t="s">
        <v>6272</v>
      </c>
      <c r="G5255" s="38">
        <v>8.519267619343E12</v>
      </c>
      <c r="H5255" s="38" t="s">
        <v>6273</v>
      </c>
      <c r="I5255" s="38" t="s">
        <v>6274</v>
      </c>
      <c r="J5255" s="38" t="s">
        <v>134</v>
      </c>
      <c r="K5255" s="38" t="s">
        <v>126</v>
      </c>
      <c r="L5255" s="41">
        <v>46007.479166666664</v>
      </c>
      <c r="M5255" s="38" t="s">
        <v>123</v>
      </c>
      <c r="N5255" s="41">
        <v>46007.489583333336</v>
      </c>
      <c r="O5255" s="38" t="s">
        <v>123</v>
      </c>
      <c r="P5255" s="38">
        <v>900.0</v>
      </c>
      <c r="Q5255" s="39"/>
      <c r="R5255" s="39"/>
      <c r="S5255" s="39"/>
      <c r="T5255" s="39"/>
      <c r="U5255" s="39"/>
    </row>
    <row r="5256">
      <c r="A5256" s="40">
        <f t="shared" si="1"/>
        <v>46006</v>
      </c>
      <c r="B5256" s="37" t="str">
        <f t="array" ref="B5256">iferror(xlookup($I5256, 'IMPORT VHC Report'!$E:$E, 'IMPORT VHC Report'!$A:$C), )</f>
        <v/>
      </c>
      <c r="C5256" s="37"/>
      <c r="D5256" s="37"/>
      <c r="E5256" s="38" t="s">
        <v>6278</v>
      </c>
      <c r="F5256" s="38" t="s">
        <v>6272</v>
      </c>
      <c r="G5256" s="38">
        <v>8.519267619343E12</v>
      </c>
      <c r="H5256" s="38" t="s">
        <v>6273</v>
      </c>
      <c r="I5256" s="38" t="s">
        <v>6274</v>
      </c>
      <c r="J5256" s="38" t="s">
        <v>152</v>
      </c>
      <c r="K5256" s="38" t="s">
        <v>153</v>
      </c>
      <c r="L5256" s="41">
        <v>46008.166666666664</v>
      </c>
      <c r="M5256" s="38" t="s">
        <v>123</v>
      </c>
      <c r="N5256" s="41">
        <v>46008.541666666664</v>
      </c>
      <c r="O5256" s="38" t="s">
        <v>123</v>
      </c>
      <c r="P5256" s="38">
        <v>32400.0</v>
      </c>
      <c r="Q5256" s="38">
        <v>32400.0</v>
      </c>
      <c r="R5256" s="39"/>
      <c r="S5256" s="39"/>
      <c r="T5256" s="39"/>
      <c r="U5256" s="39"/>
    </row>
    <row r="5257">
      <c r="A5257" s="40">
        <f t="shared" si="1"/>
        <v>46006</v>
      </c>
      <c r="B5257" s="37" t="str">
        <f t="array" ref="B5257">iferror(xlookup($I5257, 'IMPORT VHC Report'!$E:$E, 'IMPORT VHC Report'!$A:$C), )</f>
        <v/>
      </c>
      <c r="C5257" s="37"/>
      <c r="D5257" s="37"/>
      <c r="E5257" s="38" t="s">
        <v>6279</v>
      </c>
      <c r="F5257" s="38" t="s">
        <v>6272</v>
      </c>
      <c r="G5257" s="38">
        <v>8.519267619343E12</v>
      </c>
      <c r="H5257" s="38" t="s">
        <v>6273</v>
      </c>
      <c r="I5257" s="38" t="s">
        <v>6274</v>
      </c>
      <c r="J5257" s="38" t="s">
        <v>134</v>
      </c>
      <c r="K5257" s="38" t="s">
        <v>126</v>
      </c>
      <c r="L5257" s="41">
        <v>46008.25</v>
      </c>
      <c r="M5257" s="38" t="s">
        <v>123</v>
      </c>
      <c r="N5257" s="41">
        <v>46008.260416666664</v>
      </c>
      <c r="O5257" s="38" t="s">
        <v>123</v>
      </c>
      <c r="P5257" s="38">
        <v>900.0</v>
      </c>
      <c r="Q5257" s="39"/>
      <c r="R5257" s="39"/>
      <c r="S5257" s="39"/>
      <c r="T5257" s="39"/>
      <c r="U5257" s="39"/>
    </row>
    <row r="5258">
      <c r="A5258" s="40">
        <f t="shared" si="1"/>
        <v>46006</v>
      </c>
      <c r="B5258" s="37" t="str">
        <f t="array" ref="B5258">iferror(xlookup($I5258, 'IMPORT VHC Report'!$E:$E, 'IMPORT VHC Report'!$A:$C), )</f>
        <v/>
      </c>
      <c r="C5258" s="37"/>
      <c r="D5258" s="37"/>
      <c r="E5258" s="38" t="s">
        <v>6280</v>
      </c>
      <c r="F5258" s="38" t="s">
        <v>6272</v>
      </c>
      <c r="G5258" s="38">
        <v>8.519267619343E12</v>
      </c>
      <c r="H5258" s="38" t="s">
        <v>6273</v>
      </c>
      <c r="I5258" s="38" t="s">
        <v>6274</v>
      </c>
      <c r="J5258" s="38" t="s">
        <v>224</v>
      </c>
      <c r="K5258" s="38" t="s">
        <v>63</v>
      </c>
      <c r="L5258" s="41">
        <v>46008.260416666664</v>
      </c>
      <c r="M5258" s="38" t="s">
        <v>123</v>
      </c>
      <c r="N5258" s="41">
        <v>46008.322916666664</v>
      </c>
      <c r="O5258" s="38" t="s">
        <v>123</v>
      </c>
      <c r="P5258" s="38">
        <v>5400.0</v>
      </c>
      <c r="Q5258" s="39"/>
      <c r="R5258" s="39"/>
      <c r="S5258" s="39"/>
      <c r="T5258" s="39"/>
      <c r="U5258" s="39"/>
    </row>
    <row r="5259">
      <c r="A5259" s="40">
        <f t="shared" si="1"/>
        <v>46006</v>
      </c>
      <c r="B5259" s="37" t="str">
        <f t="array" ref="B5259">iferror(xlookup($I5259, 'IMPORT VHC Report'!$E:$E, 'IMPORT VHC Report'!$A:$C), )</f>
        <v/>
      </c>
      <c r="C5259" s="37"/>
      <c r="D5259" s="37"/>
      <c r="E5259" s="38" t="s">
        <v>6281</v>
      </c>
      <c r="F5259" s="38" t="s">
        <v>6272</v>
      </c>
      <c r="G5259" s="38">
        <v>8.519267619343E12</v>
      </c>
      <c r="H5259" s="38" t="s">
        <v>6273</v>
      </c>
      <c r="I5259" s="38" t="s">
        <v>6274</v>
      </c>
      <c r="J5259" s="38" t="s">
        <v>132</v>
      </c>
      <c r="K5259" s="38" t="s">
        <v>126</v>
      </c>
      <c r="L5259" s="41">
        <v>46008.322916666664</v>
      </c>
      <c r="M5259" s="38" t="s">
        <v>123</v>
      </c>
      <c r="N5259" s="41">
        <v>46008.364583333336</v>
      </c>
      <c r="O5259" s="38" t="s">
        <v>123</v>
      </c>
      <c r="P5259" s="38">
        <v>3600.0</v>
      </c>
      <c r="Q5259" s="39"/>
      <c r="R5259" s="39"/>
      <c r="S5259" s="39"/>
      <c r="T5259" s="39"/>
      <c r="U5259" s="39"/>
    </row>
    <row r="5260">
      <c r="A5260" s="40">
        <f t="shared" si="1"/>
        <v>46006</v>
      </c>
      <c r="B5260" s="37" t="str">
        <f t="array" ref="B5260">iferror(xlookup($I5260, 'IMPORT VHC Report'!$E:$E, 'IMPORT VHC Report'!$A:$C), )</f>
        <v/>
      </c>
      <c r="C5260" s="37"/>
      <c r="D5260" s="37"/>
      <c r="E5260" s="38" t="s">
        <v>6282</v>
      </c>
      <c r="F5260" s="38" t="s">
        <v>6272</v>
      </c>
      <c r="G5260" s="38">
        <v>8.519267619343E12</v>
      </c>
      <c r="H5260" s="38" t="s">
        <v>6273</v>
      </c>
      <c r="I5260" s="38" t="s">
        <v>6274</v>
      </c>
      <c r="J5260" s="38" t="s">
        <v>224</v>
      </c>
      <c r="K5260" s="38" t="s">
        <v>63</v>
      </c>
      <c r="L5260" s="41">
        <v>46008.364583333336</v>
      </c>
      <c r="M5260" s="38" t="s">
        <v>123</v>
      </c>
      <c r="N5260" s="41">
        <v>46008.427083333336</v>
      </c>
      <c r="O5260" s="38" t="s">
        <v>123</v>
      </c>
      <c r="P5260" s="38">
        <v>5400.0</v>
      </c>
      <c r="Q5260" s="39"/>
      <c r="R5260" s="39"/>
      <c r="S5260" s="39"/>
      <c r="T5260" s="39"/>
      <c r="U5260" s="39"/>
    </row>
    <row r="5261">
      <c r="A5261" s="40">
        <f t="shared" si="1"/>
        <v>46006</v>
      </c>
      <c r="B5261" s="37" t="str">
        <f t="array" ref="B5261">iferror(xlookup($I5261, 'IMPORT VHC Report'!$E:$E, 'IMPORT VHC Report'!$A:$C), )</f>
        <v/>
      </c>
      <c r="C5261" s="37"/>
      <c r="D5261" s="37"/>
      <c r="E5261" s="38" t="s">
        <v>6283</v>
      </c>
      <c r="F5261" s="38" t="s">
        <v>6272</v>
      </c>
      <c r="G5261" s="38">
        <v>8.519267619343E12</v>
      </c>
      <c r="H5261" s="38" t="s">
        <v>6273</v>
      </c>
      <c r="I5261" s="38" t="s">
        <v>6274</v>
      </c>
      <c r="J5261" s="38" t="s">
        <v>134</v>
      </c>
      <c r="K5261" s="38" t="s">
        <v>126</v>
      </c>
      <c r="L5261" s="41">
        <v>46008.427083333336</v>
      </c>
      <c r="M5261" s="38" t="s">
        <v>123</v>
      </c>
      <c r="N5261" s="41">
        <v>46008.4375</v>
      </c>
      <c r="O5261" s="38" t="s">
        <v>123</v>
      </c>
      <c r="P5261" s="38">
        <v>900.0</v>
      </c>
      <c r="Q5261" s="39"/>
      <c r="R5261" s="39"/>
      <c r="S5261" s="39"/>
      <c r="T5261" s="39"/>
      <c r="U5261" s="39"/>
    </row>
    <row r="5262">
      <c r="A5262" s="40">
        <f t="shared" si="1"/>
        <v>46006</v>
      </c>
      <c r="B5262" s="37" t="str">
        <f t="array" ref="B5262">iferror(xlookup($I5262, 'IMPORT VHC Report'!$E:$E, 'IMPORT VHC Report'!$A:$C), )</f>
        <v/>
      </c>
      <c r="C5262" s="37"/>
      <c r="D5262" s="37"/>
      <c r="E5262" s="38" t="s">
        <v>6284</v>
      </c>
      <c r="F5262" s="38" t="s">
        <v>6272</v>
      </c>
      <c r="G5262" s="38">
        <v>8.519267619343E12</v>
      </c>
      <c r="H5262" s="38" t="s">
        <v>6273</v>
      </c>
      <c r="I5262" s="38" t="s">
        <v>6274</v>
      </c>
      <c r="J5262" s="38" t="s">
        <v>224</v>
      </c>
      <c r="K5262" s="38" t="s">
        <v>63</v>
      </c>
      <c r="L5262" s="41">
        <v>46008.4375</v>
      </c>
      <c r="M5262" s="38" t="s">
        <v>123</v>
      </c>
      <c r="N5262" s="41">
        <v>46008.541666666664</v>
      </c>
      <c r="O5262" s="38" t="s">
        <v>123</v>
      </c>
      <c r="P5262" s="38">
        <v>9000.0</v>
      </c>
      <c r="Q5262" s="39"/>
      <c r="R5262" s="39"/>
      <c r="S5262" s="39"/>
      <c r="T5262" s="39"/>
      <c r="U5262" s="39"/>
    </row>
    <row r="5263">
      <c r="A5263" s="40">
        <f t="shared" si="1"/>
        <v>46006</v>
      </c>
      <c r="B5263" s="37" t="str">
        <f t="array" ref="B5263">iferror(xlookup($I5263, 'IMPORT VHC Report'!$E:$E, 'IMPORT VHC Report'!$A:$C), )</f>
        <v/>
      </c>
      <c r="C5263" s="37"/>
      <c r="D5263" s="37"/>
      <c r="E5263" s="38" t="s">
        <v>6285</v>
      </c>
      <c r="F5263" s="38" t="s">
        <v>6272</v>
      </c>
      <c r="G5263" s="38">
        <v>8.519267619343E12</v>
      </c>
      <c r="H5263" s="38" t="s">
        <v>6273</v>
      </c>
      <c r="I5263" s="38" t="s">
        <v>6274</v>
      </c>
      <c r="J5263" s="38" t="s">
        <v>152</v>
      </c>
      <c r="K5263" s="38" t="s">
        <v>153</v>
      </c>
      <c r="L5263" s="41">
        <v>46009.166666666664</v>
      </c>
      <c r="M5263" s="38" t="s">
        <v>123</v>
      </c>
      <c r="N5263" s="41">
        <v>46009.541666666664</v>
      </c>
      <c r="O5263" s="38" t="s">
        <v>123</v>
      </c>
      <c r="P5263" s="38">
        <v>32400.0</v>
      </c>
      <c r="Q5263" s="38">
        <v>32400.0</v>
      </c>
      <c r="R5263" s="39"/>
      <c r="S5263" s="39"/>
      <c r="T5263" s="39"/>
      <c r="U5263" s="39"/>
    </row>
    <row r="5264">
      <c r="A5264" s="40">
        <f t="shared" si="1"/>
        <v>46006</v>
      </c>
      <c r="B5264" s="37" t="str">
        <f t="array" ref="B5264">iferror(xlookup($I5264, 'IMPORT VHC Report'!$E:$E, 'IMPORT VHC Report'!$A:$C), )</f>
        <v/>
      </c>
      <c r="C5264" s="37"/>
      <c r="D5264" s="37"/>
      <c r="E5264" s="38" t="s">
        <v>6286</v>
      </c>
      <c r="F5264" s="38" t="s">
        <v>6272</v>
      </c>
      <c r="G5264" s="38">
        <v>8.519267619343E12</v>
      </c>
      <c r="H5264" s="38" t="s">
        <v>6273</v>
      </c>
      <c r="I5264" s="38" t="s">
        <v>6274</v>
      </c>
      <c r="J5264" s="38" t="s">
        <v>134</v>
      </c>
      <c r="K5264" s="38" t="s">
        <v>126</v>
      </c>
      <c r="L5264" s="41">
        <v>46009.25</v>
      </c>
      <c r="M5264" s="38" t="s">
        <v>123</v>
      </c>
      <c r="N5264" s="41">
        <v>46009.260416666664</v>
      </c>
      <c r="O5264" s="38" t="s">
        <v>123</v>
      </c>
      <c r="P5264" s="38">
        <v>900.0</v>
      </c>
      <c r="Q5264" s="39"/>
      <c r="R5264" s="39"/>
      <c r="S5264" s="39"/>
      <c r="T5264" s="39"/>
      <c r="U5264" s="39"/>
    </row>
    <row r="5265">
      <c r="A5265" s="40">
        <f t="shared" si="1"/>
        <v>46006</v>
      </c>
      <c r="B5265" s="37" t="str">
        <f t="array" ref="B5265">iferror(xlookup($I5265, 'IMPORT VHC Report'!$E:$E, 'IMPORT VHC Report'!$A:$C), )</f>
        <v/>
      </c>
      <c r="C5265" s="37"/>
      <c r="D5265" s="37"/>
      <c r="E5265" s="38" t="s">
        <v>6287</v>
      </c>
      <c r="F5265" s="38" t="s">
        <v>6272</v>
      </c>
      <c r="G5265" s="38">
        <v>8.519267619343E12</v>
      </c>
      <c r="H5265" s="38" t="s">
        <v>6273</v>
      </c>
      <c r="I5265" s="38" t="s">
        <v>6274</v>
      </c>
      <c r="J5265" s="38" t="s">
        <v>224</v>
      </c>
      <c r="K5265" s="38" t="s">
        <v>63</v>
      </c>
      <c r="L5265" s="41">
        <v>46009.260416666664</v>
      </c>
      <c r="M5265" s="38" t="s">
        <v>123</v>
      </c>
      <c r="N5265" s="41">
        <v>46009.322916666664</v>
      </c>
      <c r="O5265" s="38" t="s">
        <v>123</v>
      </c>
      <c r="P5265" s="38">
        <v>5400.0</v>
      </c>
      <c r="Q5265" s="39"/>
      <c r="R5265" s="39"/>
      <c r="S5265" s="39"/>
      <c r="T5265" s="39"/>
      <c r="U5265" s="39"/>
    </row>
    <row r="5266">
      <c r="A5266" s="40">
        <f t="shared" si="1"/>
        <v>46006</v>
      </c>
      <c r="B5266" s="37" t="str">
        <f t="array" ref="B5266">iferror(xlookup($I5266, 'IMPORT VHC Report'!$E:$E, 'IMPORT VHC Report'!$A:$C), )</f>
        <v/>
      </c>
      <c r="C5266" s="37"/>
      <c r="D5266" s="37"/>
      <c r="E5266" s="38" t="s">
        <v>6288</v>
      </c>
      <c r="F5266" s="38" t="s">
        <v>6272</v>
      </c>
      <c r="G5266" s="38">
        <v>8.519267619343E12</v>
      </c>
      <c r="H5266" s="38" t="s">
        <v>6273</v>
      </c>
      <c r="I5266" s="38" t="s">
        <v>6274</v>
      </c>
      <c r="J5266" s="38" t="s">
        <v>132</v>
      </c>
      <c r="K5266" s="38" t="s">
        <v>126</v>
      </c>
      <c r="L5266" s="41">
        <v>46009.322916666664</v>
      </c>
      <c r="M5266" s="38" t="s">
        <v>123</v>
      </c>
      <c r="N5266" s="41">
        <v>46009.364583333336</v>
      </c>
      <c r="O5266" s="38" t="s">
        <v>123</v>
      </c>
      <c r="P5266" s="38">
        <v>3600.0</v>
      </c>
      <c r="Q5266" s="39"/>
      <c r="R5266" s="39"/>
      <c r="S5266" s="39"/>
      <c r="T5266" s="39"/>
      <c r="U5266" s="39"/>
    </row>
    <row r="5267">
      <c r="A5267" s="40">
        <f t="shared" si="1"/>
        <v>46006</v>
      </c>
      <c r="B5267" s="37" t="str">
        <f t="array" ref="B5267">iferror(xlookup($I5267, 'IMPORT VHC Report'!$E:$E, 'IMPORT VHC Report'!$A:$C), )</f>
        <v/>
      </c>
      <c r="C5267" s="37"/>
      <c r="D5267" s="37"/>
      <c r="E5267" s="38" t="s">
        <v>6289</v>
      </c>
      <c r="F5267" s="38" t="s">
        <v>6272</v>
      </c>
      <c r="G5267" s="38">
        <v>8.519267619343E12</v>
      </c>
      <c r="H5267" s="38" t="s">
        <v>6273</v>
      </c>
      <c r="I5267" s="38" t="s">
        <v>6274</v>
      </c>
      <c r="J5267" s="38" t="s">
        <v>224</v>
      </c>
      <c r="K5267" s="38" t="s">
        <v>63</v>
      </c>
      <c r="L5267" s="41">
        <v>46009.364583333336</v>
      </c>
      <c r="M5267" s="38" t="s">
        <v>123</v>
      </c>
      <c r="N5267" s="41">
        <v>46009.427083333336</v>
      </c>
      <c r="O5267" s="38" t="s">
        <v>123</v>
      </c>
      <c r="P5267" s="38">
        <v>5400.0</v>
      </c>
      <c r="Q5267" s="39"/>
      <c r="R5267" s="39"/>
      <c r="S5267" s="39"/>
      <c r="T5267" s="39"/>
      <c r="U5267" s="39"/>
    </row>
    <row r="5268">
      <c r="A5268" s="40">
        <f t="shared" si="1"/>
        <v>46006</v>
      </c>
      <c r="B5268" s="37" t="str">
        <f t="array" ref="B5268">iferror(xlookup($I5268, 'IMPORT VHC Report'!$E:$E, 'IMPORT VHC Report'!$A:$C), )</f>
        <v/>
      </c>
      <c r="C5268" s="37"/>
      <c r="D5268" s="37"/>
      <c r="E5268" s="38" t="s">
        <v>6290</v>
      </c>
      <c r="F5268" s="38" t="s">
        <v>6272</v>
      </c>
      <c r="G5268" s="38">
        <v>8.519267619343E12</v>
      </c>
      <c r="H5268" s="38" t="s">
        <v>6273</v>
      </c>
      <c r="I5268" s="38" t="s">
        <v>6274</v>
      </c>
      <c r="J5268" s="38" t="s">
        <v>134</v>
      </c>
      <c r="K5268" s="38" t="s">
        <v>126</v>
      </c>
      <c r="L5268" s="41">
        <v>46009.427083333336</v>
      </c>
      <c r="M5268" s="38" t="s">
        <v>123</v>
      </c>
      <c r="N5268" s="41">
        <v>46009.4375</v>
      </c>
      <c r="O5268" s="38" t="s">
        <v>123</v>
      </c>
      <c r="P5268" s="38">
        <v>900.0</v>
      </c>
      <c r="Q5268" s="39"/>
      <c r="R5268" s="39"/>
      <c r="S5268" s="39"/>
      <c r="T5268" s="39"/>
      <c r="U5268" s="39"/>
    </row>
    <row r="5269">
      <c r="A5269" s="40">
        <f t="shared" si="1"/>
        <v>46006</v>
      </c>
      <c r="B5269" s="37" t="str">
        <f t="array" ref="B5269">iferror(xlookup($I5269, 'IMPORT VHC Report'!$E:$E, 'IMPORT VHC Report'!$A:$C), )</f>
        <v/>
      </c>
      <c r="C5269" s="37"/>
      <c r="D5269" s="37"/>
      <c r="E5269" s="38" t="s">
        <v>6291</v>
      </c>
      <c r="F5269" s="38" t="s">
        <v>6272</v>
      </c>
      <c r="G5269" s="38">
        <v>8.519267619343E12</v>
      </c>
      <c r="H5269" s="38" t="s">
        <v>6273</v>
      </c>
      <c r="I5269" s="38" t="s">
        <v>6274</v>
      </c>
      <c r="J5269" s="38" t="s">
        <v>224</v>
      </c>
      <c r="K5269" s="38" t="s">
        <v>63</v>
      </c>
      <c r="L5269" s="41">
        <v>46009.4375</v>
      </c>
      <c r="M5269" s="38" t="s">
        <v>123</v>
      </c>
      <c r="N5269" s="41">
        <v>46009.541666666664</v>
      </c>
      <c r="O5269" s="38" t="s">
        <v>123</v>
      </c>
      <c r="P5269" s="38">
        <v>9000.0</v>
      </c>
      <c r="Q5269" s="39"/>
      <c r="R5269" s="39"/>
      <c r="S5269" s="39"/>
      <c r="T5269" s="39"/>
      <c r="U5269" s="39"/>
    </row>
    <row r="5270">
      <c r="A5270" s="40">
        <f t="shared" si="1"/>
        <v>46006</v>
      </c>
      <c r="B5270" s="37" t="str">
        <f t="array" ref="B5270">iferror(xlookup($I5270, 'IMPORT VHC Report'!$E:$E, 'IMPORT VHC Report'!$A:$C), )</f>
        <v/>
      </c>
      <c r="C5270" s="37"/>
      <c r="D5270" s="37"/>
      <c r="E5270" s="38" t="s">
        <v>6292</v>
      </c>
      <c r="F5270" s="38" t="s">
        <v>6272</v>
      </c>
      <c r="G5270" s="38">
        <v>8.519267619343E12</v>
      </c>
      <c r="H5270" s="38" t="s">
        <v>6273</v>
      </c>
      <c r="I5270" s="38" t="s">
        <v>6274</v>
      </c>
      <c r="J5270" s="38" t="s">
        <v>152</v>
      </c>
      <c r="K5270" s="38" t="s">
        <v>153</v>
      </c>
      <c r="L5270" s="41">
        <v>46010.166666666664</v>
      </c>
      <c r="M5270" s="38" t="s">
        <v>123</v>
      </c>
      <c r="N5270" s="41">
        <v>46010.5</v>
      </c>
      <c r="O5270" s="38" t="s">
        <v>123</v>
      </c>
      <c r="P5270" s="38">
        <v>28800.0</v>
      </c>
      <c r="Q5270" s="38">
        <v>28800.0</v>
      </c>
      <c r="R5270" s="39"/>
      <c r="S5270" s="39"/>
      <c r="T5270" s="39"/>
      <c r="U5270" s="39"/>
    </row>
    <row r="5271">
      <c r="A5271" s="40">
        <f t="shared" si="1"/>
        <v>46006</v>
      </c>
      <c r="B5271" s="37" t="str">
        <f t="array" ref="B5271">iferror(xlookup($I5271, 'IMPORT VHC Report'!$E:$E, 'IMPORT VHC Report'!$A:$C), )</f>
        <v/>
      </c>
      <c r="C5271" s="37"/>
      <c r="D5271" s="37"/>
      <c r="E5271" s="38" t="s">
        <v>6293</v>
      </c>
      <c r="F5271" s="38" t="s">
        <v>6272</v>
      </c>
      <c r="G5271" s="38">
        <v>8.519267619343E12</v>
      </c>
      <c r="H5271" s="38" t="s">
        <v>6273</v>
      </c>
      <c r="I5271" s="38" t="s">
        <v>6274</v>
      </c>
      <c r="J5271" s="38" t="s">
        <v>134</v>
      </c>
      <c r="K5271" s="38" t="s">
        <v>126</v>
      </c>
      <c r="L5271" s="41">
        <v>46010.25</v>
      </c>
      <c r="M5271" s="38" t="s">
        <v>123</v>
      </c>
      <c r="N5271" s="41">
        <v>46010.260416666664</v>
      </c>
      <c r="O5271" s="38" t="s">
        <v>123</v>
      </c>
      <c r="P5271" s="38">
        <v>900.0</v>
      </c>
      <c r="Q5271" s="39"/>
      <c r="R5271" s="39"/>
      <c r="S5271" s="39"/>
      <c r="T5271" s="39"/>
      <c r="U5271" s="39"/>
    </row>
    <row r="5272">
      <c r="A5272" s="40">
        <f t="shared" si="1"/>
        <v>46006</v>
      </c>
      <c r="B5272" s="37" t="str">
        <f t="array" ref="B5272">iferror(xlookup($I5272, 'IMPORT VHC Report'!$E:$E, 'IMPORT VHC Report'!$A:$C), )</f>
        <v/>
      </c>
      <c r="C5272" s="37"/>
      <c r="D5272" s="37"/>
      <c r="E5272" s="38" t="s">
        <v>6294</v>
      </c>
      <c r="F5272" s="38" t="s">
        <v>6272</v>
      </c>
      <c r="G5272" s="38">
        <v>8.519267619343E12</v>
      </c>
      <c r="H5272" s="38" t="s">
        <v>6273</v>
      </c>
      <c r="I5272" s="38" t="s">
        <v>6274</v>
      </c>
      <c r="J5272" s="38" t="s">
        <v>224</v>
      </c>
      <c r="K5272" s="38" t="s">
        <v>63</v>
      </c>
      <c r="L5272" s="41">
        <v>46010.260416666664</v>
      </c>
      <c r="M5272" s="38" t="s">
        <v>123</v>
      </c>
      <c r="N5272" s="41">
        <v>46010.322916666664</v>
      </c>
      <c r="O5272" s="38" t="s">
        <v>123</v>
      </c>
      <c r="P5272" s="38">
        <v>5400.0</v>
      </c>
      <c r="Q5272" s="39"/>
      <c r="R5272" s="39"/>
      <c r="S5272" s="39"/>
      <c r="T5272" s="39"/>
      <c r="U5272" s="39"/>
    </row>
    <row r="5273">
      <c r="A5273" s="40">
        <f t="shared" si="1"/>
        <v>46006</v>
      </c>
      <c r="B5273" s="37" t="str">
        <f t="array" ref="B5273">iferror(xlookup($I5273, 'IMPORT VHC Report'!$E:$E, 'IMPORT VHC Report'!$A:$C), )</f>
        <v/>
      </c>
      <c r="C5273" s="37"/>
      <c r="D5273" s="37"/>
      <c r="E5273" s="38" t="s">
        <v>6295</v>
      </c>
      <c r="F5273" s="38" t="s">
        <v>6272</v>
      </c>
      <c r="G5273" s="38">
        <v>8.519267619343E12</v>
      </c>
      <c r="H5273" s="38" t="s">
        <v>6273</v>
      </c>
      <c r="I5273" s="38" t="s">
        <v>6274</v>
      </c>
      <c r="J5273" s="38" t="s">
        <v>134</v>
      </c>
      <c r="K5273" s="38" t="s">
        <v>126</v>
      </c>
      <c r="L5273" s="41">
        <v>46010.322916666664</v>
      </c>
      <c r="M5273" s="38" t="s">
        <v>123</v>
      </c>
      <c r="N5273" s="41">
        <v>46010.333333333336</v>
      </c>
      <c r="O5273" s="38" t="s">
        <v>123</v>
      </c>
      <c r="P5273" s="38">
        <v>900.0</v>
      </c>
      <c r="Q5273" s="39"/>
      <c r="R5273" s="39"/>
      <c r="S5273" s="39"/>
      <c r="T5273" s="39"/>
      <c r="U5273" s="39"/>
    </row>
    <row r="5274">
      <c r="A5274" s="40">
        <f t="shared" si="1"/>
        <v>46006</v>
      </c>
      <c r="B5274" s="37" t="str">
        <f t="array" ref="B5274">iferror(xlookup($I5274, 'IMPORT VHC Report'!$E:$E, 'IMPORT VHC Report'!$A:$C), )</f>
        <v/>
      </c>
      <c r="C5274" s="37"/>
      <c r="D5274" s="37"/>
      <c r="E5274" s="38" t="s">
        <v>6296</v>
      </c>
      <c r="F5274" s="38" t="s">
        <v>6272</v>
      </c>
      <c r="G5274" s="38">
        <v>8.519267619343E12</v>
      </c>
      <c r="H5274" s="38" t="s">
        <v>6273</v>
      </c>
      <c r="I5274" s="38" t="s">
        <v>6274</v>
      </c>
      <c r="J5274" s="38" t="s">
        <v>224</v>
      </c>
      <c r="K5274" s="38" t="s">
        <v>63</v>
      </c>
      <c r="L5274" s="41">
        <v>46010.333333333336</v>
      </c>
      <c r="M5274" s="38" t="s">
        <v>123</v>
      </c>
      <c r="N5274" s="41">
        <v>46010.40625</v>
      </c>
      <c r="O5274" s="38" t="s">
        <v>123</v>
      </c>
      <c r="P5274" s="38">
        <v>6300.0</v>
      </c>
      <c r="Q5274" s="39"/>
      <c r="R5274" s="39"/>
      <c r="S5274" s="39"/>
      <c r="T5274" s="39"/>
      <c r="U5274" s="39"/>
    </row>
    <row r="5275">
      <c r="A5275" s="40">
        <f t="shared" si="1"/>
        <v>46006</v>
      </c>
      <c r="B5275" s="37" t="str">
        <f t="array" ref="B5275">iferror(xlookup($I5275, 'IMPORT VHC Report'!$E:$E, 'IMPORT VHC Report'!$A:$C), )</f>
        <v/>
      </c>
      <c r="C5275" s="37"/>
      <c r="D5275" s="37"/>
      <c r="E5275" s="38" t="s">
        <v>6297</v>
      </c>
      <c r="F5275" s="38" t="s">
        <v>6272</v>
      </c>
      <c r="G5275" s="38">
        <v>8.519267619343E12</v>
      </c>
      <c r="H5275" s="38" t="s">
        <v>6273</v>
      </c>
      <c r="I5275" s="38" t="s">
        <v>6274</v>
      </c>
      <c r="J5275" s="38" t="s">
        <v>132</v>
      </c>
      <c r="K5275" s="38" t="s">
        <v>126</v>
      </c>
      <c r="L5275" s="41">
        <v>46010.40625</v>
      </c>
      <c r="M5275" s="38" t="s">
        <v>123</v>
      </c>
      <c r="N5275" s="41">
        <v>46010.447916666664</v>
      </c>
      <c r="O5275" s="38" t="s">
        <v>123</v>
      </c>
      <c r="P5275" s="38">
        <v>3600.0</v>
      </c>
      <c r="Q5275" s="39"/>
      <c r="R5275" s="39"/>
      <c r="S5275" s="39"/>
      <c r="T5275" s="39"/>
      <c r="U5275" s="39"/>
    </row>
    <row r="5276">
      <c r="A5276" s="40">
        <f t="shared" si="1"/>
        <v>46006</v>
      </c>
      <c r="B5276" s="37" t="str">
        <f t="array" ref="B5276">iferror(xlookup($I5276, 'IMPORT VHC Report'!$E:$E, 'IMPORT VHC Report'!$A:$C), )</f>
        <v/>
      </c>
      <c r="C5276" s="37"/>
      <c r="D5276" s="37"/>
      <c r="E5276" s="38" t="s">
        <v>6298</v>
      </c>
      <c r="F5276" s="38" t="s">
        <v>6272</v>
      </c>
      <c r="G5276" s="38">
        <v>8.519267619343E12</v>
      </c>
      <c r="H5276" s="38" t="s">
        <v>6273</v>
      </c>
      <c r="I5276" s="38" t="s">
        <v>6274</v>
      </c>
      <c r="J5276" s="38" t="s">
        <v>224</v>
      </c>
      <c r="K5276" s="38" t="s">
        <v>63</v>
      </c>
      <c r="L5276" s="41">
        <v>46011.166666666664</v>
      </c>
      <c r="M5276" s="38" t="s">
        <v>123</v>
      </c>
      <c r="N5276" s="41">
        <v>46011.239583333336</v>
      </c>
      <c r="O5276" s="38" t="s">
        <v>123</v>
      </c>
      <c r="P5276" s="38">
        <v>6300.0</v>
      </c>
      <c r="Q5276" s="39"/>
      <c r="R5276" s="39"/>
      <c r="S5276" s="39"/>
      <c r="T5276" s="39"/>
      <c r="U5276" s="39"/>
    </row>
    <row r="5277">
      <c r="A5277" s="40">
        <f t="shared" si="1"/>
        <v>46006</v>
      </c>
      <c r="B5277" s="37" t="str">
        <f t="array" ref="B5277">iferror(xlookup($I5277, 'IMPORT VHC Report'!$E:$E, 'IMPORT VHC Report'!$A:$C), )</f>
        <v/>
      </c>
      <c r="C5277" s="37"/>
      <c r="D5277" s="37"/>
      <c r="E5277" s="38" t="s">
        <v>6299</v>
      </c>
      <c r="F5277" s="38" t="s">
        <v>6272</v>
      </c>
      <c r="G5277" s="38">
        <v>8.519267619343E12</v>
      </c>
      <c r="H5277" s="38" t="s">
        <v>6273</v>
      </c>
      <c r="I5277" s="38" t="s">
        <v>6274</v>
      </c>
      <c r="J5277" s="38" t="s">
        <v>152</v>
      </c>
      <c r="K5277" s="38" t="s">
        <v>153</v>
      </c>
      <c r="L5277" s="41">
        <v>46011.166666666664</v>
      </c>
      <c r="M5277" s="38" t="s">
        <v>123</v>
      </c>
      <c r="N5277" s="41">
        <v>46011.333333333336</v>
      </c>
      <c r="O5277" s="38" t="s">
        <v>123</v>
      </c>
      <c r="P5277" s="38">
        <v>14400.0</v>
      </c>
      <c r="Q5277" s="38">
        <v>14400.0</v>
      </c>
      <c r="R5277" s="39"/>
      <c r="S5277" s="39"/>
      <c r="T5277" s="39"/>
      <c r="U5277" s="39"/>
    </row>
    <row r="5278">
      <c r="A5278" s="40">
        <f t="shared" si="1"/>
        <v>46006</v>
      </c>
      <c r="B5278" s="37" t="str">
        <f t="array" ref="B5278">iferror(xlookup($I5278, 'IMPORT VHC Report'!$E:$E, 'IMPORT VHC Report'!$A:$C), )</f>
        <v/>
      </c>
      <c r="C5278" s="37"/>
      <c r="D5278" s="37"/>
      <c r="E5278" s="38" t="s">
        <v>6300</v>
      </c>
      <c r="F5278" s="38" t="s">
        <v>6272</v>
      </c>
      <c r="G5278" s="38">
        <v>8.519267619343E12</v>
      </c>
      <c r="H5278" s="38" t="s">
        <v>6273</v>
      </c>
      <c r="I5278" s="38" t="s">
        <v>6274</v>
      </c>
      <c r="J5278" s="38" t="s">
        <v>62</v>
      </c>
      <c r="K5278" s="38" t="s">
        <v>63</v>
      </c>
      <c r="L5278" s="41">
        <v>46011.239583333336</v>
      </c>
      <c r="M5278" s="38" t="s">
        <v>123</v>
      </c>
      <c r="N5278" s="41">
        <v>46011.260416666664</v>
      </c>
      <c r="O5278" s="38" t="s">
        <v>123</v>
      </c>
      <c r="P5278" s="38">
        <v>1800.0</v>
      </c>
      <c r="Q5278" s="39"/>
      <c r="R5278" s="39"/>
      <c r="S5278" s="39"/>
      <c r="T5278" s="39"/>
      <c r="U5278" s="39"/>
    </row>
    <row r="5279">
      <c r="A5279" s="40">
        <f t="shared" si="1"/>
        <v>46006</v>
      </c>
      <c r="B5279" s="37" t="str">
        <f t="array" ref="B5279">iferror(xlookup($I5279, 'IMPORT VHC Report'!$E:$E, 'IMPORT VHC Report'!$A:$C), )</f>
        <v/>
      </c>
      <c r="C5279" s="37"/>
      <c r="D5279" s="37"/>
      <c r="E5279" s="38" t="s">
        <v>6301</v>
      </c>
      <c r="F5279" s="38" t="s">
        <v>6272</v>
      </c>
      <c r="G5279" s="38">
        <v>8.519267619343E12</v>
      </c>
      <c r="H5279" s="38" t="s">
        <v>6273</v>
      </c>
      <c r="I5279" s="38" t="s">
        <v>6274</v>
      </c>
      <c r="J5279" s="38" t="s">
        <v>224</v>
      </c>
      <c r="K5279" s="38" t="s">
        <v>63</v>
      </c>
      <c r="L5279" s="41">
        <v>46011.260416666664</v>
      </c>
      <c r="M5279" s="38" t="s">
        <v>123</v>
      </c>
      <c r="N5279" s="41">
        <v>46011.270833333336</v>
      </c>
      <c r="O5279" s="38" t="s">
        <v>123</v>
      </c>
      <c r="P5279" s="38">
        <v>900.0</v>
      </c>
      <c r="Q5279" s="39"/>
      <c r="R5279" s="39"/>
      <c r="S5279" s="39"/>
      <c r="T5279" s="39"/>
      <c r="U5279" s="39"/>
    </row>
    <row r="5280">
      <c r="A5280" s="40">
        <f t="shared" si="1"/>
        <v>46006</v>
      </c>
      <c r="B5280" s="37" t="str">
        <f t="array" ref="B5280">iferror(xlookup($I5280, 'IMPORT VHC Report'!$E:$E, 'IMPORT VHC Report'!$A:$C), )</f>
        <v/>
      </c>
      <c r="C5280" s="37"/>
      <c r="D5280" s="37"/>
      <c r="E5280" s="38" t="s">
        <v>6302</v>
      </c>
      <c r="F5280" s="38" t="s">
        <v>6272</v>
      </c>
      <c r="G5280" s="38">
        <v>8.519267619343E12</v>
      </c>
      <c r="H5280" s="38" t="s">
        <v>6273</v>
      </c>
      <c r="I5280" s="38" t="s">
        <v>6274</v>
      </c>
      <c r="J5280" s="38" t="s">
        <v>132</v>
      </c>
      <c r="K5280" s="38" t="s">
        <v>126</v>
      </c>
      <c r="L5280" s="41">
        <v>46011.270833333336</v>
      </c>
      <c r="M5280" s="38" t="s">
        <v>123</v>
      </c>
      <c r="N5280" s="41">
        <v>46011.3125</v>
      </c>
      <c r="O5280" s="38" t="s">
        <v>123</v>
      </c>
      <c r="P5280" s="38">
        <v>3600.0</v>
      </c>
      <c r="Q5280" s="39"/>
      <c r="R5280" s="39"/>
      <c r="S5280" s="39"/>
      <c r="T5280" s="39"/>
      <c r="U5280" s="39"/>
    </row>
    <row r="5281">
      <c r="A5281" s="40">
        <f t="shared" si="1"/>
        <v>46006</v>
      </c>
      <c r="B5281" s="37" t="str">
        <f t="array" ref="B5281">iferror(xlookup($I5281, 'IMPORT VHC Report'!$E:$E, 'IMPORT VHC Report'!$A:$C), )</f>
        <v/>
      </c>
      <c r="C5281" s="37"/>
      <c r="D5281" s="37"/>
      <c r="E5281" s="38" t="s">
        <v>6303</v>
      </c>
      <c r="F5281" s="38" t="s">
        <v>6272</v>
      </c>
      <c r="G5281" s="38">
        <v>8.519267619343E12</v>
      </c>
      <c r="H5281" s="38" t="s">
        <v>6273</v>
      </c>
      <c r="I5281" s="38" t="s">
        <v>6274</v>
      </c>
      <c r="J5281" s="38" t="s">
        <v>224</v>
      </c>
      <c r="K5281" s="38" t="s">
        <v>63</v>
      </c>
      <c r="L5281" s="41">
        <v>46011.3125</v>
      </c>
      <c r="M5281" s="38" t="s">
        <v>123</v>
      </c>
      <c r="N5281" s="41">
        <v>46011.541666666664</v>
      </c>
      <c r="O5281" s="38" t="s">
        <v>123</v>
      </c>
      <c r="P5281" s="38">
        <v>19800.0</v>
      </c>
      <c r="Q5281" s="39"/>
      <c r="R5281" s="39"/>
      <c r="S5281" s="39"/>
      <c r="T5281" s="39"/>
      <c r="U5281" s="39"/>
    </row>
    <row r="5282">
      <c r="A5282" s="40">
        <f t="shared" si="1"/>
        <v>46006</v>
      </c>
      <c r="B5282" s="37" t="str">
        <f t="array" ref="B5282">iferror(xlookup($I5282, 'IMPORT VHC Report'!$E:$E, 'IMPORT VHC Report'!$A:$C), )</f>
        <v/>
      </c>
      <c r="C5282" s="37"/>
      <c r="D5282" s="37"/>
      <c r="E5282" s="38" t="s">
        <v>6304</v>
      </c>
      <c r="F5282" s="38" t="s">
        <v>6272</v>
      </c>
      <c r="G5282" s="38">
        <v>8.519267619343E12</v>
      </c>
      <c r="H5282" s="38" t="s">
        <v>6273</v>
      </c>
      <c r="I5282" s="38" t="s">
        <v>6274</v>
      </c>
      <c r="J5282" s="38" t="s">
        <v>132</v>
      </c>
      <c r="K5282" s="38" t="s">
        <v>126</v>
      </c>
      <c r="L5282" s="41">
        <v>46011.333333333336</v>
      </c>
      <c r="M5282" s="38" t="s">
        <v>123</v>
      </c>
      <c r="N5282" s="41">
        <v>46011.375</v>
      </c>
      <c r="O5282" s="38" t="s">
        <v>123</v>
      </c>
      <c r="P5282" s="38">
        <v>3600.0</v>
      </c>
      <c r="Q5282" s="39"/>
      <c r="R5282" s="39"/>
      <c r="S5282" s="39"/>
      <c r="T5282" s="39"/>
      <c r="U5282" s="39"/>
    </row>
    <row r="5283">
      <c r="A5283" s="40">
        <f t="shared" si="1"/>
        <v>46006</v>
      </c>
      <c r="B5283" s="37" t="str">
        <f t="array" ref="B5283">iferror(xlookup($I5283, 'IMPORT VHC Report'!$E:$E, 'IMPORT VHC Report'!$A:$C), )</f>
        <v/>
      </c>
      <c r="C5283" s="37"/>
      <c r="D5283" s="37"/>
      <c r="E5283" s="38" t="s">
        <v>6305</v>
      </c>
      <c r="F5283" s="38" t="s">
        <v>6272</v>
      </c>
      <c r="G5283" s="38">
        <v>8.519267619343E12</v>
      </c>
      <c r="H5283" s="38" t="s">
        <v>6273</v>
      </c>
      <c r="I5283" s="38" t="s">
        <v>6274</v>
      </c>
      <c r="J5283" s="38" t="s">
        <v>134</v>
      </c>
      <c r="K5283" s="38" t="s">
        <v>126</v>
      </c>
      <c r="L5283" s="41">
        <v>46011.447916666664</v>
      </c>
      <c r="M5283" s="38" t="s">
        <v>123</v>
      </c>
      <c r="N5283" s="41">
        <v>46011.458333333336</v>
      </c>
      <c r="O5283" s="38" t="s">
        <v>123</v>
      </c>
      <c r="P5283" s="38">
        <v>900.0</v>
      </c>
      <c r="Q5283" s="39"/>
      <c r="R5283" s="39"/>
      <c r="S5283" s="39"/>
      <c r="T5283" s="39"/>
      <c r="U5283" s="39"/>
    </row>
    <row r="5284">
      <c r="A5284" s="40">
        <f t="shared" si="1"/>
        <v>46006</v>
      </c>
      <c r="B5284" s="37" t="str">
        <f t="array" ref="B5284">iferror(xlookup($I5284, 'IMPORT VHC Report'!$E:$E, 'IMPORT VHC Report'!$A:$C), )</f>
        <v/>
      </c>
      <c r="C5284" s="37"/>
      <c r="D5284" s="37"/>
      <c r="E5284" s="38" t="s">
        <v>6306</v>
      </c>
      <c r="F5284" s="38" t="s">
        <v>6307</v>
      </c>
      <c r="G5284" s="38">
        <v>1.0005707260559E13</v>
      </c>
      <c r="H5284" s="38" t="s">
        <v>6308</v>
      </c>
      <c r="I5284" s="38" t="s">
        <v>6309</v>
      </c>
      <c r="J5284" s="38" t="s">
        <v>224</v>
      </c>
      <c r="K5284" s="38" t="s">
        <v>63</v>
      </c>
      <c r="L5284" s="41">
        <v>46007.166666666664</v>
      </c>
      <c r="M5284" s="38" t="s">
        <v>123</v>
      </c>
      <c r="N5284" s="41">
        <v>46007.541666666664</v>
      </c>
      <c r="O5284" s="38" t="s">
        <v>123</v>
      </c>
      <c r="P5284" s="38">
        <v>32400.0</v>
      </c>
      <c r="Q5284" s="39"/>
      <c r="R5284" s="39"/>
      <c r="S5284" s="39"/>
      <c r="T5284" s="39"/>
      <c r="U5284" s="39"/>
    </row>
    <row r="5285">
      <c r="A5285" s="40">
        <f t="shared" si="1"/>
        <v>46006</v>
      </c>
      <c r="B5285" s="37" t="str">
        <f t="array" ref="B5285">iferror(xlookup($I5285, 'IMPORT VHC Report'!$E:$E, 'IMPORT VHC Report'!$A:$C), )</f>
        <v/>
      </c>
      <c r="C5285" s="37"/>
      <c r="D5285" s="37"/>
      <c r="E5285" s="38" t="s">
        <v>6310</v>
      </c>
      <c r="F5285" s="38" t="s">
        <v>6307</v>
      </c>
      <c r="G5285" s="38">
        <v>1.0005707260559E13</v>
      </c>
      <c r="H5285" s="38" t="s">
        <v>6308</v>
      </c>
      <c r="I5285" s="38" t="s">
        <v>6309</v>
      </c>
      <c r="J5285" s="38" t="s">
        <v>132</v>
      </c>
      <c r="K5285" s="38" t="s">
        <v>126</v>
      </c>
      <c r="L5285" s="41">
        <v>46007.270833333336</v>
      </c>
      <c r="M5285" s="38" t="s">
        <v>123</v>
      </c>
      <c r="N5285" s="41">
        <v>46007.3125</v>
      </c>
      <c r="O5285" s="38" t="s">
        <v>123</v>
      </c>
      <c r="P5285" s="38">
        <v>3600.0</v>
      </c>
      <c r="Q5285" s="39"/>
      <c r="R5285" s="39"/>
      <c r="S5285" s="39"/>
      <c r="T5285" s="39"/>
      <c r="U5285" s="39"/>
    </row>
    <row r="5286">
      <c r="A5286" s="40">
        <f t="shared" si="1"/>
        <v>46006</v>
      </c>
      <c r="B5286" s="37" t="str">
        <f t="array" ref="B5286">iferror(xlookup($I5286, 'IMPORT VHC Report'!$E:$E, 'IMPORT VHC Report'!$A:$C), )</f>
        <v/>
      </c>
      <c r="C5286" s="37"/>
      <c r="D5286" s="37"/>
      <c r="E5286" s="38" t="s">
        <v>6311</v>
      </c>
      <c r="F5286" s="38" t="s">
        <v>6307</v>
      </c>
      <c r="G5286" s="38">
        <v>1.0005707260559E13</v>
      </c>
      <c r="H5286" s="38" t="s">
        <v>6308</v>
      </c>
      <c r="I5286" s="38" t="s">
        <v>6309</v>
      </c>
      <c r="J5286" s="38" t="s">
        <v>134</v>
      </c>
      <c r="K5286" s="38" t="s">
        <v>126</v>
      </c>
      <c r="L5286" s="41">
        <v>46007.385416666664</v>
      </c>
      <c r="M5286" s="38" t="s">
        <v>123</v>
      </c>
      <c r="N5286" s="41">
        <v>46007.395833333336</v>
      </c>
      <c r="O5286" s="38" t="s">
        <v>123</v>
      </c>
      <c r="P5286" s="38">
        <v>900.0</v>
      </c>
      <c r="Q5286" s="39"/>
      <c r="R5286" s="39"/>
      <c r="S5286" s="39"/>
      <c r="T5286" s="39"/>
      <c r="U5286" s="39"/>
    </row>
    <row r="5287">
      <c r="A5287" s="40">
        <f t="shared" si="1"/>
        <v>46006</v>
      </c>
      <c r="B5287" s="37" t="str">
        <f t="array" ref="B5287">iferror(xlookup($I5287, 'IMPORT VHC Report'!$E:$E, 'IMPORT VHC Report'!$A:$C), )</f>
        <v/>
      </c>
      <c r="C5287" s="37"/>
      <c r="D5287" s="37"/>
      <c r="E5287" s="38" t="s">
        <v>6312</v>
      </c>
      <c r="F5287" s="38" t="s">
        <v>6307</v>
      </c>
      <c r="G5287" s="38">
        <v>1.0005707260559E13</v>
      </c>
      <c r="H5287" s="38" t="s">
        <v>6308</v>
      </c>
      <c r="I5287" s="38" t="s">
        <v>6309</v>
      </c>
      <c r="J5287" s="38" t="s">
        <v>134</v>
      </c>
      <c r="K5287" s="38" t="s">
        <v>126</v>
      </c>
      <c r="L5287" s="41">
        <v>46007.479166666664</v>
      </c>
      <c r="M5287" s="38" t="s">
        <v>123</v>
      </c>
      <c r="N5287" s="41">
        <v>46007.489583333336</v>
      </c>
      <c r="O5287" s="38" t="s">
        <v>123</v>
      </c>
      <c r="P5287" s="38">
        <v>900.0</v>
      </c>
      <c r="Q5287" s="39"/>
      <c r="R5287" s="39"/>
      <c r="S5287" s="39"/>
      <c r="T5287" s="39"/>
      <c r="U5287" s="39"/>
    </row>
    <row r="5288">
      <c r="A5288" s="40">
        <f t="shared" si="1"/>
        <v>46006</v>
      </c>
      <c r="B5288" s="37" t="str">
        <f t="array" ref="B5288">iferror(xlookup($I5288, 'IMPORT VHC Report'!$E:$E, 'IMPORT VHC Report'!$A:$C), )</f>
        <v/>
      </c>
      <c r="C5288" s="37"/>
      <c r="D5288" s="37"/>
      <c r="E5288" s="38" t="s">
        <v>6313</v>
      </c>
      <c r="F5288" s="38" t="s">
        <v>6307</v>
      </c>
      <c r="G5288" s="38">
        <v>1.0005707260559E13</v>
      </c>
      <c r="H5288" s="38" t="s">
        <v>6308</v>
      </c>
      <c r="I5288" s="38" t="s">
        <v>6309</v>
      </c>
      <c r="J5288" s="38" t="s">
        <v>224</v>
      </c>
      <c r="K5288" s="38" t="s">
        <v>63</v>
      </c>
      <c r="L5288" s="41">
        <v>46008.166666666664</v>
      </c>
      <c r="M5288" s="38" t="s">
        <v>123</v>
      </c>
      <c r="N5288" s="41">
        <v>46008.25</v>
      </c>
      <c r="O5288" s="38" t="s">
        <v>123</v>
      </c>
      <c r="P5288" s="38">
        <v>7200.0</v>
      </c>
      <c r="Q5288" s="39"/>
      <c r="R5288" s="39"/>
      <c r="S5288" s="39"/>
      <c r="T5288" s="39"/>
      <c r="U5288" s="39"/>
    </row>
    <row r="5289">
      <c r="A5289" s="40">
        <f t="shared" si="1"/>
        <v>46006</v>
      </c>
      <c r="B5289" s="37" t="str">
        <f t="array" ref="B5289">iferror(xlookup($I5289, 'IMPORT VHC Report'!$E:$E, 'IMPORT VHC Report'!$A:$C), )</f>
        <v/>
      </c>
      <c r="C5289" s="37"/>
      <c r="D5289" s="37"/>
      <c r="E5289" s="38" t="s">
        <v>6314</v>
      </c>
      <c r="F5289" s="38" t="s">
        <v>6307</v>
      </c>
      <c r="G5289" s="38">
        <v>1.0005707260559E13</v>
      </c>
      <c r="H5289" s="38" t="s">
        <v>6308</v>
      </c>
      <c r="I5289" s="38" t="s">
        <v>6309</v>
      </c>
      <c r="J5289" s="38" t="s">
        <v>134</v>
      </c>
      <c r="K5289" s="38" t="s">
        <v>126</v>
      </c>
      <c r="L5289" s="41">
        <v>46008.25</v>
      </c>
      <c r="M5289" s="38" t="s">
        <v>123</v>
      </c>
      <c r="N5289" s="41">
        <v>46008.260416666664</v>
      </c>
      <c r="O5289" s="38" t="s">
        <v>123</v>
      </c>
      <c r="P5289" s="38">
        <v>900.0</v>
      </c>
      <c r="Q5289" s="39"/>
      <c r="R5289" s="39"/>
      <c r="S5289" s="39"/>
      <c r="T5289" s="39"/>
      <c r="U5289" s="39"/>
    </row>
    <row r="5290">
      <c r="A5290" s="40">
        <f t="shared" si="1"/>
        <v>46006</v>
      </c>
      <c r="B5290" s="37" t="str">
        <f t="array" ref="B5290">iferror(xlookup($I5290, 'IMPORT VHC Report'!$E:$E, 'IMPORT VHC Report'!$A:$C), )</f>
        <v/>
      </c>
      <c r="C5290" s="37"/>
      <c r="D5290" s="37"/>
      <c r="E5290" s="38" t="s">
        <v>6315</v>
      </c>
      <c r="F5290" s="38" t="s">
        <v>6307</v>
      </c>
      <c r="G5290" s="38">
        <v>1.0005707260559E13</v>
      </c>
      <c r="H5290" s="38" t="s">
        <v>6308</v>
      </c>
      <c r="I5290" s="38" t="s">
        <v>6309</v>
      </c>
      <c r="J5290" s="38" t="s">
        <v>224</v>
      </c>
      <c r="K5290" s="38" t="s">
        <v>63</v>
      </c>
      <c r="L5290" s="41">
        <v>46008.260416666664</v>
      </c>
      <c r="M5290" s="38" t="s">
        <v>123</v>
      </c>
      <c r="N5290" s="41">
        <v>46008.322916666664</v>
      </c>
      <c r="O5290" s="38" t="s">
        <v>123</v>
      </c>
      <c r="P5290" s="38">
        <v>5400.0</v>
      </c>
      <c r="Q5290" s="39"/>
      <c r="R5290" s="39"/>
      <c r="S5290" s="39"/>
      <c r="T5290" s="39"/>
      <c r="U5290" s="39"/>
    </row>
    <row r="5291">
      <c r="A5291" s="40">
        <f t="shared" si="1"/>
        <v>46006</v>
      </c>
      <c r="B5291" s="37" t="str">
        <f t="array" ref="B5291">iferror(xlookup($I5291, 'IMPORT VHC Report'!$E:$E, 'IMPORT VHC Report'!$A:$C), )</f>
        <v/>
      </c>
      <c r="C5291" s="37"/>
      <c r="D5291" s="37"/>
      <c r="E5291" s="38" t="s">
        <v>6316</v>
      </c>
      <c r="F5291" s="38" t="s">
        <v>6307</v>
      </c>
      <c r="G5291" s="38">
        <v>1.0005707260559E13</v>
      </c>
      <c r="H5291" s="38" t="s">
        <v>6308</v>
      </c>
      <c r="I5291" s="38" t="s">
        <v>6309</v>
      </c>
      <c r="J5291" s="38" t="s">
        <v>132</v>
      </c>
      <c r="K5291" s="38" t="s">
        <v>126</v>
      </c>
      <c r="L5291" s="41">
        <v>46008.322916666664</v>
      </c>
      <c r="M5291" s="38" t="s">
        <v>123</v>
      </c>
      <c r="N5291" s="41">
        <v>46008.364583333336</v>
      </c>
      <c r="O5291" s="38" t="s">
        <v>123</v>
      </c>
      <c r="P5291" s="38">
        <v>3600.0</v>
      </c>
      <c r="Q5291" s="39"/>
      <c r="R5291" s="39"/>
      <c r="S5291" s="39"/>
      <c r="T5291" s="39"/>
      <c r="U5291" s="39"/>
    </row>
    <row r="5292">
      <c r="A5292" s="40">
        <f t="shared" si="1"/>
        <v>46006</v>
      </c>
      <c r="B5292" s="37" t="str">
        <f t="array" ref="B5292">iferror(xlookup($I5292, 'IMPORT VHC Report'!$E:$E, 'IMPORT VHC Report'!$A:$C), )</f>
        <v/>
      </c>
      <c r="C5292" s="37"/>
      <c r="D5292" s="37"/>
      <c r="E5292" s="38" t="s">
        <v>6317</v>
      </c>
      <c r="F5292" s="38" t="s">
        <v>6307</v>
      </c>
      <c r="G5292" s="38">
        <v>1.0005707260559E13</v>
      </c>
      <c r="H5292" s="38" t="s">
        <v>6308</v>
      </c>
      <c r="I5292" s="38" t="s">
        <v>6309</v>
      </c>
      <c r="J5292" s="38" t="s">
        <v>224</v>
      </c>
      <c r="K5292" s="38" t="s">
        <v>63</v>
      </c>
      <c r="L5292" s="41">
        <v>46008.364583333336</v>
      </c>
      <c r="M5292" s="38" t="s">
        <v>123</v>
      </c>
      <c r="N5292" s="41">
        <v>46008.458333333336</v>
      </c>
      <c r="O5292" s="38" t="s">
        <v>123</v>
      </c>
      <c r="P5292" s="38">
        <v>8100.0</v>
      </c>
      <c r="Q5292" s="39"/>
      <c r="R5292" s="39"/>
      <c r="S5292" s="39"/>
      <c r="T5292" s="39"/>
      <c r="U5292" s="39"/>
    </row>
    <row r="5293">
      <c r="A5293" s="40">
        <f t="shared" si="1"/>
        <v>46006</v>
      </c>
      <c r="B5293" s="37" t="str">
        <f t="array" ref="B5293">iferror(xlookup($I5293, 'IMPORT VHC Report'!$E:$E, 'IMPORT VHC Report'!$A:$C), )</f>
        <v/>
      </c>
      <c r="C5293" s="37"/>
      <c r="D5293" s="37"/>
      <c r="E5293" s="38" t="s">
        <v>6318</v>
      </c>
      <c r="F5293" s="38" t="s">
        <v>6307</v>
      </c>
      <c r="G5293" s="38">
        <v>1.0005707260559E13</v>
      </c>
      <c r="H5293" s="38" t="s">
        <v>6308</v>
      </c>
      <c r="I5293" s="38" t="s">
        <v>6309</v>
      </c>
      <c r="J5293" s="38" t="s">
        <v>134</v>
      </c>
      <c r="K5293" s="38" t="s">
        <v>126</v>
      </c>
      <c r="L5293" s="41">
        <v>46008.458333333336</v>
      </c>
      <c r="M5293" s="38" t="s">
        <v>123</v>
      </c>
      <c r="N5293" s="41">
        <v>46008.46875</v>
      </c>
      <c r="O5293" s="38" t="s">
        <v>123</v>
      </c>
      <c r="P5293" s="38">
        <v>900.0</v>
      </c>
      <c r="Q5293" s="39"/>
      <c r="R5293" s="39"/>
      <c r="S5293" s="39"/>
      <c r="T5293" s="39"/>
      <c r="U5293" s="39"/>
    </row>
    <row r="5294">
      <c r="A5294" s="40">
        <f t="shared" si="1"/>
        <v>46006</v>
      </c>
      <c r="B5294" s="37" t="str">
        <f t="array" ref="B5294">iferror(xlookup($I5294, 'IMPORT VHC Report'!$E:$E, 'IMPORT VHC Report'!$A:$C), )</f>
        <v/>
      </c>
      <c r="C5294" s="37"/>
      <c r="D5294" s="37"/>
      <c r="E5294" s="38" t="s">
        <v>6319</v>
      </c>
      <c r="F5294" s="38" t="s">
        <v>6307</v>
      </c>
      <c r="G5294" s="38">
        <v>1.0005707260559E13</v>
      </c>
      <c r="H5294" s="38" t="s">
        <v>6308</v>
      </c>
      <c r="I5294" s="38" t="s">
        <v>6309</v>
      </c>
      <c r="J5294" s="38" t="s">
        <v>224</v>
      </c>
      <c r="K5294" s="38" t="s">
        <v>63</v>
      </c>
      <c r="L5294" s="41">
        <v>46008.46875</v>
      </c>
      <c r="M5294" s="38" t="s">
        <v>123</v>
      </c>
      <c r="N5294" s="41">
        <v>46008.541666666664</v>
      </c>
      <c r="O5294" s="38" t="s">
        <v>123</v>
      </c>
      <c r="P5294" s="38">
        <v>6300.0</v>
      </c>
      <c r="Q5294" s="39"/>
      <c r="R5294" s="39"/>
      <c r="S5294" s="39"/>
      <c r="T5294" s="39"/>
      <c r="U5294" s="39"/>
    </row>
    <row r="5295">
      <c r="A5295" s="40">
        <f t="shared" si="1"/>
        <v>46006</v>
      </c>
      <c r="B5295" s="37" t="str">
        <f t="array" ref="B5295">iferror(xlookup($I5295, 'IMPORT VHC Report'!$E:$E, 'IMPORT VHC Report'!$A:$C), )</f>
        <v/>
      </c>
      <c r="C5295" s="37"/>
      <c r="D5295" s="37"/>
      <c r="E5295" s="38" t="s">
        <v>6320</v>
      </c>
      <c r="F5295" s="38" t="s">
        <v>6307</v>
      </c>
      <c r="G5295" s="38">
        <v>1.0005707260559E13</v>
      </c>
      <c r="H5295" s="38" t="s">
        <v>6308</v>
      </c>
      <c r="I5295" s="38" t="s">
        <v>6309</v>
      </c>
      <c r="J5295" s="38" t="s">
        <v>224</v>
      </c>
      <c r="K5295" s="38" t="s">
        <v>63</v>
      </c>
      <c r="L5295" s="41">
        <v>46009.166666666664</v>
      </c>
      <c r="M5295" s="38" t="s">
        <v>123</v>
      </c>
      <c r="N5295" s="41">
        <v>46009.333333333336</v>
      </c>
      <c r="O5295" s="38" t="s">
        <v>123</v>
      </c>
      <c r="P5295" s="38">
        <v>14400.0</v>
      </c>
      <c r="Q5295" s="39"/>
      <c r="R5295" s="39"/>
      <c r="S5295" s="39"/>
      <c r="T5295" s="39"/>
      <c r="U5295" s="39"/>
    </row>
    <row r="5296">
      <c r="A5296" s="40">
        <f t="shared" si="1"/>
        <v>46006</v>
      </c>
      <c r="B5296" s="37" t="str">
        <f t="array" ref="B5296">iferror(xlookup($I5296, 'IMPORT VHC Report'!$E:$E, 'IMPORT VHC Report'!$A:$C), )</f>
        <v/>
      </c>
      <c r="C5296" s="37"/>
      <c r="D5296" s="37"/>
      <c r="E5296" s="38" t="s">
        <v>6321</v>
      </c>
      <c r="F5296" s="38" t="s">
        <v>6307</v>
      </c>
      <c r="G5296" s="38">
        <v>1.0005707260559E13</v>
      </c>
      <c r="H5296" s="38" t="s">
        <v>6308</v>
      </c>
      <c r="I5296" s="38" t="s">
        <v>6309</v>
      </c>
      <c r="J5296" s="38" t="s">
        <v>224</v>
      </c>
      <c r="K5296" s="38" t="s">
        <v>63</v>
      </c>
      <c r="L5296" s="41">
        <v>46009.333333333336</v>
      </c>
      <c r="M5296" s="38" t="s">
        <v>123</v>
      </c>
      <c r="N5296" s="41">
        <v>46009.385416666664</v>
      </c>
      <c r="O5296" s="38" t="s">
        <v>123</v>
      </c>
      <c r="P5296" s="38">
        <v>4500.0</v>
      </c>
      <c r="Q5296" s="39"/>
      <c r="R5296" s="39"/>
      <c r="S5296" s="39"/>
      <c r="T5296" s="39"/>
      <c r="U5296" s="39"/>
    </row>
    <row r="5297">
      <c r="A5297" s="40">
        <f t="shared" si="1"/>
        <v>46006</v>
      </c>
      <c r="B5297" s="37" t="str">
        <f t="array" ref="B5297">iferror(xlookup($I5297, 'IMPORT VHC Report'!$E:$E, 'IMPORT VHC Report'!$A:$C), )</f>
        <v/>
      </c>
      <c r="C5297" s="37"/>
      <c r="D5297" s="37"/>
      <c r="E5297" s="38" t="s">
        <v>6322</v>
      </c>
      <c r="F5297" s="38" t="s">
        <v>6307</v>
      </c>
      <c r="G5297" s="38">
        <v>1.0005707260559E13</v>
      </c>
      <c r="H5297" s="38" t="s">
        <v>6308</v>
      </c>
      <c r="I5297" s="38" t="s">
        <v>6309</v>
      </c>
      <c r="J5297" s="38" t="s">
        <v>134</v>
      </c>
      <c r="K5297" s="38" t="s">
        <v>126</v>
      </c>
      <c r="L5297" s="41">
        <v>46009.385416666664</v>
      </c>
      <c r="M5297" s="38" t="s">
        <v>123</v>
      </c>
      <c r="N5297" s="41">
        <v>46009.395833333336</v>
      </c>
      <c r="O5297" s="38" t="s">
        <v>123</v>
      </c>
      <c r="P5297" s="38">
        <v>900.0</v>
      </c>
      <c r="Q5297" s="39"/>
      <c r="R5297" s="39"/>
      <c r="S5297" s="39"/>
      <c r="T5297" s="39"/>
      <c r="U5297" s="39"/>
    </row>
    <row r="5298">
      <c r="A5298" s="40">
        <f t="shared" si="1"/>
        <v>46006</v>
      </c>
      <c r="B5298" s="37" t="str">
        <f t="array" ref="B5298">iferror(xlookup($I5298, 'IMPORT VHC Report'!$E:$E, 'IMPORT VHC Report'!$A:$C), )</f>
        <v/>
      </c>
      <c r="C5298" s="37"/>
      <c r="D5298" s="37"/>
      <c r="E5298" s="38" t="s">
        <v>6323</v>
      </c>
      <c r="F5298" s="38" t="s">
        <v>6307</v>
      </c>
      <c r="G5298" s="38">
        <v>1.0005707260559E13</v>
      </c>
      <c r="H5298" s="38" t="s">
        <v>6308</v>
      </c>
      <c r="I5298" s="38" t="s">
        <v>6309</v>
      </c>
      <c r="J5298" s="38" t="s">
        <v>132</v>
      </c>
      <c r="K5298" s="38" t="s">
        <v>126</v>
      </c>
      <c r="L5298" s="41">
        <v>46009.395833333336</v>
      </c>
      <c r="M5298" s="38" t="s">
        <v>123</v>
      </c>
      <c r="N5298" s="41">
        <v>46009.4375</v>
      </c>
      <c r="O5298" s="38" t="s">
        <v>123</v>
      </c>
      <c r="P5298" s="38">
        <v>3600.0</v>
      </c>
      <c r="Q5298" s="39"/>
      <c r="R5298" s="39"/>
      <c r="S5298" s="39"/>
      <c r="T5298" s="39"/>
      <c r="U5298" s="39"/>
    </row>
    <row r="5299">
      <c r="A5299" s="40">
        <f t="shared" si="1"/>
        <v>46006</v>
      </c>
      <c r="B5299" s="37" t="str">
        <f t="array" ref="B5299">iferror(xlookup($I5299, 'IMPORT VHC Report'!$E:$E, 'IMPORT VHC Report'!$A:$C), )</f>
        <v/>
      </c>
      <c r="C5299" s="37"/>
      <c r="D5299" s="37"/>
      <c r="E5299" s="38" t="s">
        <v>6324</v>
      </c>
      <c r="F5299" s="38" t="s">
        <v>6307</v>
      </c>
      <c r="G5299" s="38">
        <v>1.0005707260559E13</v>
      </c>
      <c r="H5299" s="38" t="s">
        <v>6308</v>
      </c>
      <c r="I5299" s="38" t="s">
        <v>6309</v>
      </c>
      <c r="J5299" s="38" t="s">
        <v>224</v>
      </c>
      <c r="K5299" s="38" t="s">
        <v>63</v>
      </c>
      <c r="L5299" s="41">
        <v>46009.395833333336</v>
      </c>
      <c r="M5299" s="38" t="s">
        <v>123</v>
      </c>
      <c r="N5299" s="41">
        <v>46009.46875</v>
      </c>
      <c r="O5299" s="38" t="s">
        <v>123</v>
      </c>
      <c r="P5299" s="38">
        <v>6300.0</v>
      </c>
      <c r="Q5299" s="39"/>
      <c r="R5299" s="39"/>
      <c r="S5299" s="39"/>
      <c r="T5299" s="39"/>
      <c r="U5299" s="39"/>
    </row>
    <row r="5300">
      <c r="A5300" s="40">
        <f t="shared" si="1"/>
        <v>46006</v>
      </c>
      <c r="B5300" s="37" t="str">
        <f t="array" ref="B5300">iferror(xlookup($I5300, 'IMPORT VHC Report'!$E:$E, 'IMPORT VHC Report'!$A:$C), )</f>
        <v/>
      </c>
      <c r="C5300" s="37"/>
      <c r="D5300" s="37"/>
      <c r="E5300" s="38" t="s">
        <v>6325</v>
      </c>
      <c r="F5300" s="38" t="s">
        <v>6307</v>
      </c>
      <c r="G5300" s="38">
        <v>1.0005707260559E13</v>
      </c>
      <c r="H5300" s="38" t="s">
        <v>6308</v>
      </c>
      <c r="I5300" s="38" t="s">
        <v>6309</v>
      </c>
      <c r="J5300" s="38" t="s">
        <v>134</v>
      </c>
      <c r="K5300" s="38" t="s">
        <v>126</v>
      </c>
      <c r="L5300" s="41">
        <v>46009.46875</v>
      </c>
      <c r="M5300" s="38" t="s">
        <v>123</v>
      </c>
      <c r="N5300" s="41">
        <v>46009.479166666664</v>
      </c>
      <c r="O5300" s="38" t="s">
        <v>123</v>
      </c>
      <c r="P5300" s="38">
        <v>900.0</v>
      </c>
      <c r="Q5300" s="39"/>
      <c r="R5300" s="39"/>
      <c r="S5300" s="39"/>
      <c r="T5300" s="39"/>
      <c r="U5300" s="39"/>
    </row>
    <row r="5301">
      <c r="A5301" s="40">
        <f t="shared" si="1"/>
        <v>46006</v>
      </c>
      <c r="B5301" s="37" t="str">
        <f t="array" ref="B5301">iferror(xlookup($I5301, 'IMPORT VHC Report'!$E:$E, 'IMPORT VHC Report'!$A:$C), )</f>
        <v/>
      </c>
      <c r="C5301" s="37"/>
      <c r="D5301" s="37"/>
      <c r="E5301" s="38" t="s">
        <v>6326</v>
      </c>
      <c r="F5301" s="38" t="s">
        <v>6307</v>
      </c>
      <c r="G5301" s="38">
        <v>1.0005707260559E13</v>
      </c>
      <c r="H5301" s="38" t="s">
        <v>6308</v>
      </c>
      <c r="I5301" s="38" t="s">
        <v>6309</v>
      </c>
      <c r="J5301" s="38" t="s">
        <v>224</v>
      </c>
      <c r="K5301" s="38" t="s">
        <v>63</v>
      </c>
      <c r="L5301" s="41">
        <v>46009.479166666664</v>
      </c>
      <c r="M5301" s="38" t="s">
        <v>123</v>
      </c>
      <c r="N5301" s="41">
        <v>46009.541666666664</v>
      </c>
      <c r="O5301" s="38" t="s">
        <v>123</v>
      </c>
      <c r="P5301" s="38">
        <v>5400.0</v>
      </c>
      <c r="Q5301" s="39"/>
      <c r="R5301" s="39"/>
      <c r="S5301" s="39"/>
      <c r="T5301" s="39"/>
      <c r="U5301" s="39"/>
    </row>
    <row r="5302">
      <c r="A5302" s="40">
        <f t="shared" si="1"/>
        <v>46006</v>
      </c>
      <c r="B5302" s="37" t="str">
        <f t="array" ref="B5302">iferror(xlookup($I5302, 'IMPORT VHC Report'!$E:$E, 'IMPORT VHC Report'!$A:$C), )</f>
        <v/>
      </c>
      <c r="C5302" s="37"/>
      <c r="D5302" s="37"/>
      <c r="E5302" s="38" t="s">
        <v>6327</v>
      </c>
      <c r="F5302" s="38" t="s">
        <v>6307</v>
      </c>
      <c r="G5302" s="38">
        <v>1.0005707260559E13</v>
      </c>
      <c r="H5302" s="38" t="s">
        <v>6308</v>
      </c>
      <c r="I5302" s="38" t="s">
        <v>6309</v>
      </c>
      <c r="J5302" s="38" t="s">
        <v>224</v>
      </c>
      <c r="K5302" s="38" t="s">
        <v>63</v>
      </c>
      <c r="L5302" s="41">
        <v>46010.166666666664</v>
      </c>
      <c r="M5302" s="38" t="s">
        <v>123</v>
      </c>
      <c r="N5302" s="41">
        <v>46010.270833333336</v>
      </c>
      <c r="O5302" s="38" t="s">
        <v>123</v>
      </c>
      <c r="P5302" s="38">
        <v>9000.0</v>
      </c>
      <c r="Q5302" s="39"/>
      <c r="R5302" s="39"/>
      <c r="S5302" s="39"/>
      <c r="T5302" s="39"/>
      <c r="U5302" s="39"/>
    </row>
    <row r="5303">
      <c r="A5303" s="40">
        <f t="shared" si="1"/>
        <v>46006</v>
      </c>
      <c r="B5303" s="37" t="str">
        <f t="array" ref="B5303">iferror(xlookup($I5303, 'IMPORT VHC Report'!$E:$E, 'IMPORT VHC Report'!$A:$C), )</f>
        <v/>
      </c>
      <c r="C5303" s="37"/>
      <c r="D5303" s="37"/>
      <c r="E5303" s="38" t="s">
        <v>6328</v>
      </c>
      <c r="F5303" s="38" t="s">
        <v>6307</v>
      </c>
      <c r="G5303" s="38">
        <v>1.0005707260559E13</v>
      </c>
      <c r="H5303" s="38" t="s">
        <v>6308</v>
      </c>
      <c r="I5303" s="38" t="s">
        <v>6309</v>
      </c>
      <c r="J5303" s="38" t="s">
        <v>132</v>
      </c>
      <c r="K5303" s="38" t="s">
        <v>126</v>
      </c>
      <c r="L5303" s="41">
        <v>46010.270833333336</v>
      </c>
      <c r="M5303" s="38" t="s">
        <v>123</v>
      </c>
      <c r="N5303" s="41">
        <v>46010.3125</v>
      </c>
      <c r="O5303" s="38" t="s">
        <v>123</v>
      </c>
      <c r="P5303" s="38">
        <v>3600.0</v>
      </c>
      <c r="Q5303" s="39"/>
      <c r="R5303" s="39"/>
      <c r="S5303" s="39"/>
      <c r="T5303" s="39"/>
      <c r="U5303" s="39"/>
    </row>
    <row r="5304">
      <c r="A5304" s="40">
        <f t="shared" si="1"/>
        <v>46006</v>
      </c>
      <c r="B5304" s="37" t="str">
        <f t="array" ref="B5304">iferror(xlookup($I5304, 'IMPORT VHC Report'!$E:$E, 'IMPORT VHC Report'!$A:$C), )</f>
        <v/>
      </c>
      <c r="C5304" s="37"/>
      <c r="D5304" s="37"/>
      <c r="E5304" s="38" t="s">
        <v>6329</v>
      </c>
      <c r="F5304" s="38" t="s">
        <v>6307</v>
      </c>
      <c r="G5304" s="38">
        <v>1.0005707260559E13</v>
      </c>
      <c r="H5304" s="38" t="s">
        <v>6308</v>
      </c>
      <c r="I5304" s="38" t="s">
        <v>6309</v>
      </c>
      <c r="J5304" s="38" t="s">
        <v>224</v>
      </c>
      <c r="K5304" s="38" t="s">
        <v>63</v>
      </c>
      <c r="L5304" s="41">
        <v>46010.3125</v>
      </c>
      <c r="M5304" s="38" t="s">
        <v>123</v>
      </c>
      <c r="N5304" s="41">
        <v>46010.385416666664</v>
      </c>
      <c r="O5304" s="38" t="s">
        <v>123</v>
      </c>
      <c r="P5304" s="38">
        <v>6300.0</v>
      </c>
      <c r="Q5304" s="39"/>
      <c r="R5304" s="39"/>
      <c r="S5304" s="39"/>
      <c r="T5304" s="39"/>
      <c r="U5304" s="39"/>
    </row>
    <row r="5305">
      <c r="A5305" s="40">
        <f t="shared" si="1"/>
        <v>46006</v>
      </c>
      <c r="B5305" s="37" t="str">
        <f t="array" ref="B5305">iferror(xlookup($I5305, 'IMPORT VHC Report'!$E:$E, 'IMPORT VHC Report'!$A:$C), )</f>
        <v/>
      </c>
      <c r="C5305" s="37"/>
      <c r="D5305" s="37"/>
      <c r="E5305" s="38" t="s">
        <v>6330</v>
      </c>
      <c r="F5305" s="38" t="s">
        <v>6307</v>
      </c>
      <c r="G5305" s="38">
        <v>1.0005707260559E13</v>
      </c>
      <c r="H5305" s="38" t="s">
        <v>6308</v>
      </c>
      <c r="I5305" s="38" t="s">
        <v>6309</v>
      </c>
      <c r="J5305" s="38" t="s">
        <v>125</v>
      </c>
      <c r="K5305" s="38" t="s">
        <v>126</v>
      </c>
      <c r="L5305" s="41">
        <v>46010.32013888889</v>
      </c>
      <c r="M5305" s="38" t="s">
        <v>123</v>
      </c>
      <c r="N5305" s="41">
        <v>46010.35277777778</v>
      </c>
      <c r="O5305" s="38" t="s">
        <v>123</v>
      </c>
      <c r="P5305" s="38">
        <v>2820.0</v>
      </c>
      <c r="Q5305" s="39"/>
      <c r="R5305" s="39"/>
      <c r="S5305" s="38" t="s">
        <v>6331</v>
      </c>
      <c r="T5305" s="39"/>
      <c r="U5305" s="39"/>
    </row>
    <row r="5306">
      <c r="A5306" s="40">
        <f t="shared" si="1"/>
        <v>46006</v>
      </c>
      <c r="B5306" s="37" t="str">
        <f t="array" ref="B5306">iferror(xlookup($I5306, 'IMPORT VHC Report'!$E:$E, 'IMPORT VHC Report'!$A:$C), )</f>
        <v/>
      </c>
      <c r="C5306" s="37"/>
      <c r="D5306" s="37"/>
      <c r="E5306" s="38" t="s">
        <v>6332</v>
      </c>
      <c r="F5306" s="38" t="s">
        <v>6307</v>
      </c>
      <c r="G5306" s="38">
        <v>1.0005707260559E13</v>
      </c>
      <c r="H5306" s="38" t="s">
        <v>6308</v>
      </c>
      <c r="I5306" s="38" t="s">
        <v>6309</v>
      </c>
      <c r="J5306" s="38" t="s">
        <v>134</v>
      </c>
      <c r="K5306" s="38" t="s">
        <v>126</v>
      </c>
      <c r="L5306" s="41">
        <v>46010.385416666664</v>
      </c>
      <c r="M5306" s="38" t="s">
        <v>123</v>
      </c>
      <c r="N5306" s="41">
        <v>46010.395833333336</v>
      </c>
      <c r="O5306" s="38" t="s">
        <v>123</v>
      </c>
      <c r="P5306" s="38">
        <v>900.0</v>
      </c>
      <c r="Q5306" s="39"/>
      <c r="R5306" s="39"/>
      <c r="S5306" s="39"/>
      <c r="T5306" s="39"/>
      <c r="U5306" s="39"/>
    </row>
    <row r="5307">
      <c r="A5307" s="40">
        <f t="shared" si="1"/>
        <v>46006</v>
      </c>
      <c r="B5307" s="37" t="str">
        <f t="array" ref="B5307">iferror(xlookup($I5307, 'IMPORT VHC Report'!$E:$E, 'IMPORT VHC Report'!$A:$C), )</f>
        <v/>
      </c>
      <c r="C5307" s="37"/>
      <c r="D5307" s="37"/>
      <c r="E5307" s="38" t="s">
        <v>6333</v>
      </c>
      <c r="F5307" s="38" t="s">
        <v>6307</v>
      </c>
      <c r="G5307" s="38">
        <v>1.0005707260559E13</v>
      </c>
      <c r="H5307" s="38" t="s">
        <v>6308</v>
      </c>
      <c r="I5307" s="38" t="s">
        <v>6309</v>
      </c>
      <c r="J5307" s="38" t="s">
        <v>224</v>
      </c>
      <c r="K5307" s="38" t="s">
        <v>63</v>
      </c>
      <c r="L5307" s="41">
        <v>46010.395833333336</v>
      </c>
      <c r="M5307" s="38" t="s">
        <v>123</v>
      </c>
      <c r="N5307" s="41">
        <v>46010.46875</v>
      </c>
      <c r="O5307" s="38" t="s">
        <v>123</v>
      </c>
      <c r="P5307" s="38">
        <v>6300.0</v>
      </c>
      <c r="Q5307" s="39"/>
      <c r="R5307" s="39"/>
      <c r="S5307" s="39"/>
      <c r="T5307" s="39"/>
      <c r="U5307" s="39"/>
    </row>
    <row r="5308">
      <c r="A5308" s="40">
        <f t="shared" si="1"/>
        <v>46006</v>
      </c>
      <c r="B5308" s="37" t="str">
        <f t="array" ref="B5308">iferror(xlookup($I5308, 'IMPORT VHC Report'!$E:$E, 'IMPORT VHC Report'!$A:$C), )</f>
        <v/>
      </c>
      <c r="C5308" s="37"/>
      <c r="D5308" s="37"/>
      <c r="E5308" s="38" t="s">
        <v>6334</v>
      </c>
      <c r="F5308" s="38" t="s">
        <v>6307</v>
      </c>
      <c r="G5308" s="38">
        <v>1.0005707260559E13</v>
      </c>
      <c r="H5308" s="38" t="s">
        <v>6308</v>
      </c>
      <c r="I5308" s="38" t="s">
        <v>6309</v>
      </c>
      <c r="J5308" s="38" t="s">
        <v>134</v>
      </c>
      <c r="K5308" s="38" t="s">
        <v>126</v>
      </c>
      <c r="L5308" s="41">
        <v>46010.46875</v>
      </c>
      <c r="M5308" s="38" t="s">
        <v>123</v>
      </c>
      <c r="N5308" s="41">
        <v>46010.479166666664</v>
      </c>
      <c r="O5308" s="38" t="s">
        <v>123</v>
      </c>
      <c r="P5308" s="38">
        <v>900.0</v>
      </c>
      <c r="Q5308" s="39"/>
      <c r="R5308" s="39"/>
      <c r="S5308" s="39"/>
      <c r="T5308" s="39"/>
      <c r="U5308" s="39"/>
    </row>
    <row r="5309">
      <c r="A5309" s="40">
        <f t="shared" si="1"/>
        <v>46006</v>
      </c>
      <c r="B5309" s="37" t="str">
        <f t="array" ref="B5309">iferror(xlookup($I5309, 'IMPORT VHC Report'!$E:$E, 'IMPORT VHC Report'!$A:$C), )</f>
        <v/>
      </c>
      <c r="C5309" s="37"/>
      <c r="D5309" s="37"/>
      <c r="E5309" s="38" t="s">
        <v>6335</v>
      </c>
      <c r="F5309" s="38" t="s">
        <v>6307</v>
      </c>
      <c r="G5309" s="38">
        <v>1.0005707260559E13</v>
      </c>
      <c r="H5309" s="38" t="s">
        <v>6308</v>
      </c>
      <c r="I5309" s="38" t="s">
        <v>6309</v>
      </c>
      <c r="J5309" s="38" t="s">
        <v>224</v>
      </c>
      <c r="K5309" s="38" t="s">
        <v>63</v>
      </c>
      <c r="L5309" s="41">
        <v>46010.479166666664</v>
      </c>
      <c r="M5309" s="38" t="s">
        <v>123</v>
      </c>
      <c r="N5309" s="41">
        <v>46010.541666666664</v>
      </c>
      <c r="O5309" s="38" t="s">
        <v>123</v>
      </c>
      <c r="P5309" s="38">
        <v>5400.0</v>
      </c>
      <c r="Q5309" s="39"/>
      <c r="R5309" s="39"/>
      <c r="S5309" s="39"/>
      <c r="T5309" s="39"/>
      <c r="U5309" s="39"/>
    </row>
    <row r="5310">
      <c r="A5310" s="40">
        <f t="shared" si="1"/>
        <v>46006</v>
      </c>
      <c r="B5310" s="37" t="str">
        <f t="array" ref="B5310">iferror(xlookup($I5310, 'IMPORT VHC Report'!$E:$E, 'IMPORT VHC Report'!$A:$C), )</f>
        <v/>
      </c>
      <c r="C5310" s="37"/>
      <c r="D5310" s="37"/>
      <c r="E5310" s="38" t="s">
        <v>6336</v>
      </c>
      <c r="F5310" s="38" t="s">
        <v>6307</v>
      </c>
      <c r="G5310" s="38">
        <v>1.0005707260559E13</v>
      </c>
      <c r="H5310" s="38" t="s">
        <v>6308</v>
      </c>
      <c r="I5310" s="38" t="s">
        <v>6309</v>
      </c>
      <c r="J5310" s="38" t="s">
        <v>224</v>
      </c>
      <c r="K5310" s="38" t="s">
        <v>63</v>
      </c>
      <c r="L5310" s="41">
        <v>46011.166666666664</v>
      </c>
      <c r="M5310" s="38" t="s">
        <v>123</v>
      </c>
      <c r="N5310" s="41">
        <v>46011.270833333336</v>
      </c>
      <c r="O5310" s="38" t="s">
        <v>123</v>
      </c>
      <c r="P5310" s="38">
        <v>9000.0</v>
      </c>
      <c r="Q5310" s="39"/>
      <c r="R5310" s="39"/>
      <c r="S5310" s="39"/>
      <c r="T5310" s="39"/>
      <c r="U5310" s="39"/>
    </row>
    <row r="5311">
      <c r="A5311" s="40">
        <f t="shared" si="1"/>
        <v>46006</v>
      </c>
      <c r="B5311" s="37" t="str">
        <f t="array" ref="B5311">iferror(xlookup($I5311, 'IMPORT VHC Report'!$E:$E, 'IMPORT VHC Report'!$A:$C), )</f>
        <v/>
      </c>
      <c r="C5311" s="37"/>
      <c r="D5311" s="37"/>
      <c r="E5311" s="38" t="s">
        <v>6337</v>
      </c>
      <c r="F5311" s="38" t="s">
        <v>6307</v>
      </c>
      <c r="G5311" s="38">
        <v>1.0005707260559E13</v>
      </c>
      <c r="H5311" s="38" t="s">
        <v>6308</v>
      </c>
      <c r="I5311" s="38" t="s">
        <v>6309</v>
      </c>
      <c r="J5311" s="38" t="s">
        <v>178</v>
      </c>
      <c r="K5311" s="38" t="s">
        <v>153</v>
      </c>
      <c r="L5311" s="41">
        <v>46011.166666666664</v>
      </c>
      <c r="M5311" s="38" t="s">
        <v>123</v>
      </c>
      <c r="N5311" s="41">
        <v>46011.541666666664</v>
      </c>
      <c r="O5311" s="38" t="s">
        <v>123</v>
      </c>
      <c r="P5311" s="38">
        <v>32400.0</v>
      </c>
      <c r="Q5311" s="39"/>
      <c r="R5311" s="39"/>
      <c r="S5311" s="39"/>
      <c r="T5311" s="39"/>
      <c r="U5311" s="39"/>
    </row>
    <row r="5312">
      <c r="A5312" s="40">
        <f t="shared" si="1"/>
        <v>46006</v>
      </c>
      <c r="B5312" s="37" t="str">
        <f t="array" ref="B5312">iferror(xlookup($I5312, 'IMPORT VHC Report'!$E:$E, 'IMPORT VHC Report'!$A:$C), )</f>
        <v/>
      </c>
      <c r="C5312" s="37"/>
      <c r="D5312" s="37"/>
      <c r="E5312" s="38" t="s">
        <v>6338</v>
      </c>
      <c r="F5312" s="38" t="s">
        <v>6307</v>
      </c>
      <c r="G5312" s="38">
        <v>1.0005707260559E13</v>
      </c>
      <c r="H5312" s="38" t="s">
        <v>6308</v>
      </c>
      <c r="I5312" s="38" t="s">
        <v>6309</v>
      </c>
      <c r="J5312" s="38" t="s">
        <v>134</v>
      </c>
      <c r="K5312" s="38" t="s">
        <v>126</v>
      </c>
      <c r="L5312" s="41">
        <v>46011.270833333336</v>
      </c>
      <c r="M5312" s="38" t="s">
        <v>123</v>
      </c>
      <c r="N5312" s="41">
        <v>46011.28125</v>
      </c>
      <c r="O5312" s="38" t="s">
        <v>123</v>
      </c>
      <c r="P5312" s="38">
        <v>900.0</v>
      </c>
      <c r="Q5312" s="39"/>
      <c r="R5312" s="39"/>
      <c r="S5312" s="39"/>
      <c r="T5312" s="39"/>
      <c r="U5312" s="39"/>
    </row>
    <row r="5313">
      <c r="A5313" s="40">
        <f t="shared" si="1"/>
        <v>46006</v>
      </c>
      <c r="B5313" s="37" t="str">
        <f t="array" ref="B5313">iferror(xlookup($I5313, 'IMPORT VHC Report'!$E:$E, 'IMPORT VHC Report'!$A:$C), )</f>
        <v/>
      </c>
      <c r="C5313" s="37"/>
      <c r="D5313" s="37"/>
      <c r="E5313" s="38" t="s">
        <v>6339</v>
      </c>
      <c r="F5313" s="38" t="s">
        <v>6307</v>
      </c>
      <c r="G5313" s="38">
        <v>1.0005707260559E13</v>
      </c>
      <c r="H5313" s="38" t="s">
        <v>6308</v>
      </c>
      <c r="I5313" s="38" t="s">
        <v>6309</v>
      </c>
      <c r="J5313" s="38" t="s">
        <v>224</v>
      </c>
      <c r="K5313" s="38" t="s">
        <v>63</v>
      </c>
      <c r="L5313" s="41">
        <v>46011.28125</v>
      </c>
      <c r="M5313" s="38" t="s">
        <v>123</v>
      </c>
      <c r="N5313" s="41">
        <v>46011.34375</v>
      </c>
      <c r="O5313" s="38" t="s">
        <v>123</v>
      </c>
      <c r="P5313" s="38">
        <v>5400.0</v>
      </c>
      <c r="Q5313" s="39"/>
      <c r="R5313" s="39"/>
      <c r="S5313" s="39"/>
      <c r="T5313" s="39"/>
      <c r="U5313" s="39"/>
    </row>
    <row r="5314">
      <c r="A5314" s="40">
        <f t="shared" si="1"/>
        <v>46006</v>
      </c>
      <c r="B5314" s="37" t="str">
        <f t="array" ref="B5314">iferror(xlookup($I5314, 'IMPORT VHC Report'!$E:$E, 'IMPORT VHC Report'!$A:$C), )</f>
        <v/>
      </c>
      <c r="C5314" s="37"/>
      <c r="D5314" s="37"/>
      <c r="E5314" s="38" t="s">
        <v>6340</v>
      </c>
      <c r="F5314" s="38" t="s">
        <v>6307</v>
      </c>
      <c r="G5314" s="38">
        <v>1.0005707260559E13</v>
      </c>
      <c r="H5314" s="38" t="s">
        <v>6308</v>
      </c>
      <c r="I5314" s="38" t="s">
        <v>6309</v>
      </c>
      <c r="J5314" s="38" t="s">
        <v>134</v>
      </c>
      <c r="K5314" s="38" t="s">
        <v>126</v>
      </c>
      <c r="L5314" s="41">
        <v>46011.34375</v>
      </c>
      <c r="M5314" s="38" t="s">
        <v>123</v>
      </c>
      <c r="N5314" s="41">
        <v>46011.354166666664</v>
      </c>
      <c r="O5314" s="38" t="s">
        <v>123</v>
      </c>
      <c r="P5314" s="38">
        <v>900.0</v>
      </c>
      <c r="Q5314" s="39"/>
      <c r="R5314" s="39"/>
      <c r="S5314" s="39"/>
      <c r="T5314" s="39"/>
      <c r="U5314" s="39"/>
    </row>
    <row r="5315">
      <c r="A5315" s="40">
        <f t="shared" si="1"/>
        <v>46006</v>
      </c>
      <c r="B5315" s="37" t="str">
        <f t="array" ref="B5315">iferror(xlookup($I5315, 'IMPORT VHC Report'!$E:$E, 'IMPORT VHC Report'!$A:$C), )</f>
        <v/>
      </c>
      <c r="C5315" s="37"/>
      <c r="D5315" s="37"/>
      <c r="E5315" s="38" t="s">
        <v>6341</v>
      </c>
      <c r="F5315" s="38" t="s">
        <v>6307</v>
      </c>
      <c r="G5315" s="38">
        <v>1.0005707260559E13</v>
      </c>
      <c r="H5315" s="38" t="s">
        <v>6308</v>
      </c>
      <c r="I5315" s="38" t="s">
        <v>6309</v>
      </c>
      <c r="J5315" s="38" t="s">
        <v>224</v>
      </c>
      <c r="K5315" s="38" t="s">
        <v>63</v>
      </c>
      <c r="L5315" s="41">
        <v>46011.354166666664</v>
      </c>
      <c r="M5315" s="38" t="s">
        <v>123</v>
      </c>
      <c r="N5315" s="41">
        <v>46011.427083333336</v>
      </c>
      <c r="O5315" s="38" t="s">
        <v>123</v>
      </c>
      <c r="P5315" s="38">
        <v>6300.0</v>
      </c>
      <c r="Q5315" s="39"/>
      <c r="R5315" s="39"/>
      <c r="S5315" s="39"/>
      <c r="T5315" s="39"/>
      <c r="U5315" s="39"/>
    </row>
    <row r="5316">
      <c r="A5316" s="40">
        <f t="shared" si="1"/>
        <v>46006</v>
      </c>
      <c r="B5316" s="37" t="str">
        <f t="array" ref="B5316">iferror(xlookup($I5316, 'IMPORT VHC Report'!$E:$E, 'IMPORT VHC Report'!$A:$C), )</f>
        <v/>
      </c>
      <c r="C5316" s="37"/>
      <c r="D5316" s="37"/>
      <c r="E5316" s="38" t="s">
        <v>6342</v>
      </c>
      <c r="F5316" s="38" t="s">
        <v>6307</v>
      </c>
      <c r="G5316" s="38">
        <v>1.0005707260559E13</v>
      </c>
      <c r="H5316" s="38" t="s">
        <v>6308</v>
      </c>
      <c r="I5316" s="38" t="s">
        <v>6309</v>
      </c>
      <c r="J5316" s="38" t="s">
        <v>132</v>
      </c>
      <c r="K5316" s="38" t="s">
        <v>126</v>
      </c>
      <c r="L5316" s="41">
        <v>46011.427083333336</v>
      </c>
      <c r="M5316" s="38" t="s">
        <v>123</v>
      </c>
      <c r="N5316" s="41">
        <v>46011.46875</v>
      </c>
      <c r="O5316" s="38" t="s">
        <v>123</v>
      </c>
      <c r="P5316" s="38">
        <v>3600.0</v>
      </c>
      <c r="Q5316" s="39"/>
      <c r="R5316" s="39"/>
      <c r="S5316" s="39"/>
      <c r="T5316" s="39"/>
      <c r="U5316" s="39"/>
    </row>
    <row r="5317">
      <c r="A5317" s="40">
        <f t="shared" si="1"/>
        <v>46006</v>
      </c>
      <c r="B5317" s="37" t="str">
        <f t="array" ref="B5317">iferror(xlookup($I5317, 'IMPORT VHC Report'!$E:$E, 'IMPORT VHC Report'!$A:$C), )</f>
        <v/>
      </c>
      <c r="C5317" s="37"/>
      <c r="D5317" s="37"/>
      <c r="E5317" s="38" t="s">
        <v>6343</v>
      </c>
      <c r="F5317" s="38" t="s">
        <v>6307</v>
      </c>
      <c r="G5317" s="38">
        <v>1.0005707260559E13</v>
      </c>
      <c r="H5317" s="38" t="s">
        <v>6308</v>
      </c>
      <c r="I5317" s="38" t="s">
        <v>6309</v>
      </c>
      <c r="J5317" s="38" t="s">
        <v>224</v>
      </c>
      <c r="K5317" s="38" t="s">
        <v>63</v>
      </c>
      <c r="L5317" s="41">
        <v>46011.46875</v>
      </c>
      <c r="M5317" s="38" t="s">
        <v>123</v>
      </c>
      <c r="N5317" s="41">
        <v>46011.541666666664</v>
      </c>
      <c r="O5317" s="38" t="s">
        <v>123</v>
      </c>
      <c r="P5317" s="38">
        <v>6300.0</v>
      </c>
      <c r="Q5317" s="39"/>
      <c r="R5317" s="39"/>
      <c r="S5317" s="39"/>
      <c r="T5317" s="39"/>
      <c r="U5317" s="39"/>
    </row>
    <row r="5318">
      <c r="A5318" s="40">
        <f t="shared" si="1"/>
        <v>46006</v>
      </c>
      <c r="B5318" s="37" t="str">
        <f t="array" ref="B5318">iferror(xlookup($I5318, 'IMPORT VHC Report'!$E:$E, 'IMPORT VHC Report'!$A:$C), )</f>
        <v/>
      </c>
      <c r="C5318" s="37"/>
      <c r="D5318" s="37"/>
      <c r="E5318" s="38" t="s">
        <v>6344</v>
      </c>
      <c r="F5318" s="38" t="s">
        <v>6345</v>
      </c>
      <c r="G5318" s="38">
        <v>3.61731792395E11</v>
      </c>
      <c r="H5318" s="38" t="s">
        <v>6346</v>
      </c>
      <c r="I5318" s="38" t="s">
        <v>6347</v>
      </c>
      <c r="J5318" s="38" t="s">
        <v>4</v>
      </c>
      <c r="K5318" s="38" t="s">
        <v>126</v>
      </c>
      <c r="L5318" s="41">
        <v>46007.208333333336</v>
      </c>
      <c r="M5318" s="38" t="s">
        <v>123</v>
      </c>
      <c r="N5318" s="41">
        <v>46007.229166666664</v>
      </c>
      <c r="O5318" s="38" t="s">
        <v>123</v>
      </c>
      <c r="P5318" s="38">
        <v>1800.0</v>
      </c>
      <c r="Q5318" s="39"/>
      <c r="R5318" s="39"/>
      <c r="S5318" s="39"/>
      <c r="T5318" s="39"/>
      <c r="U5318" s="39"/>
    </row>
    <row r="5319">
      <c r="A5319" s="40">
        <f t="shared" si="1"/>
        <v>46006</v>
      </c>
      <c r="B5319" s="37" t="str">
        <f t="array" ref="B5319">iferror(xlookup($I5319, 'IMPORT VHC Report'!$E:$E, 'IMPORT VHC Report'!$A:$C), )</f>
        <v/>
      </c>
      <c r="C5319" s="37"/>
      <c r="D5319" s="37"/>
      <c r="E5319" s="38" t="s">
        <v>6348</v>
      </c>
      <c r="F5319" s="38" t="s">
        <v>6345</v>
      </c>
      <c r="G5319" s="38">
        <v>3.61731792395E11</v>
      </c>
      <c r="H5319" s="38" t="s">
        <v>6346</v>
      </c>
      <c r="I5319" s="38" t="s">
        <v>6347</v>
      </c>
      <c r="J5319" s="38" t="s">
        <v>530</v>
      </c>
      <c r="K5319" s="38" t="s">
        <v>63</v>
      </c>
      <c r="L5319" s="41">
        <v>46007.208333333336</v>
      </c>
      <c r="M5319" s="38" t="s">
        <v>123</v>
      </c>
      <c r="N5319" s="41">
        <v>46007.583333333336</v>
      </c>
      <c r="O5319" s="38" t="s">
        <v>123</v>
      </c>
      <c r="P5319" s="38">
        <v>32400.0</v>
      </c>
      <c r="Q5319" s="39"/>
      <c r="R5319" s="39"/>
      <c r="S5319" s="39"/>
      <c r="T5319" s="39"/>
      <c r="U5319" s="39"/>
    </row>
    <row r="5320">
      <c r="A5320" s="40">
        <f t="shared" si="1"/>
        <v>46006</v>
      </c>
      <c r="B5320" s="37" t="str">
        <f t="array" ref="B5320">iferror(xlookup($I5320, 'IMPORT VHC Report'!$E:$E, 'IMPORT VHC Report'!$A:$C), )</f>
        <v/>
      </c>
      <c r="C5320" s="37"/>
      <c r="D5320" s="37"/>
      <c r="E5320" s="38" t="s">
        <v>6349</v>
      </c>
      <c r="F5320" s="38" t="s">
        <v>6345</v>
      </c>
      <c r="G5320" s="38">
        <v>3.61731792395E11</v>
      </c>
      <c r="H5320" s="38" t="s">
        <v>6346</v>
      </c>
      <c r="I5320" s="38" t="s">
        <v>6347</v>
      </c>
      <c r="J5320" s="38" t="s">
        <v>132</v>
      </c>
      <c r="K5320" s="38" t="s">
        <v>126</v>
      </c>
      <c r="L5320" s="41">
        <v>46007.302083333336</v>
      </c>
      <c r="M5320" s="38" t="s">
        <v>123</v>
      </c>
      <c r="N5320" s="41">
        <v>46007.34375</v>
      </c>
      <c r="O5320" s="38" t="s">
        <v>123</v>
      </c>
      <c r="P5320" s="38">
        <v>3600.0</v>
      </c>
      <c r="Q5320" s="39"/>
      <c r="R5320" s="39"/>
      <c r="S5320" s="39"/>
      <c r="T5320" s="39"/>
      <c r="U5320" s="39"/>
    </row>
    <row r="5321">
      <c r="A5321" s="40">
        <f t="shared" si="1"/>
        <v>46006</v>
      </c>
      <c r="B5321" s="37" t="str">
        <f t="array" ref="B5321">iferror(xlookup($I5321, 'IMPORT VHC Report'!$E:$E, 'IMPORT VHC Report'!$A:$C), )</f>
        <v/>
      </c>
      <c r="C5321" s="37"/>
      <c r="D5321" s="37"/>
      <c r="E5321" s="38" t="s">
        <v>6350</v>
      </c>
      <c r="F5321" s="38" t="s">
        <v>6345</v>
      </c>
      <c r="G5321" s="38">
        <v>3.61731792395E11</v>
      </c>
      <c r="H5321" s="38" t="s">
        <v>6346</v>
      </c>
      <c r="I5321" s="38" t="s">
        <v>6347</v>
      </c>
      <c r="J5321" s="38" t="s">
        <v>134</v>
      </c>
      <c r="K5321" s="38" t="s">
        <v>126</v>
      </c>
      <c r="L5321" s="41">
        <v>46007.4375</v>
      </c>
      <c r="M5321" s="38" t="s">
        <v>123</v>
      </c>
      <c r="N5321" s="41">
        <v>46007.458333333336</v>
      </c>
      <c r="O5321" s="38" t="s">
        <v>123</v>
      </c>
      <c r="P5321" s="38">
        <v>1800.0</v>
      </c>
      <c r="Q5321" s="39"/>
      <c r="R5321" s="39"/>
      <c r="S5321" s="39"/>
      <c r="T5321" s="39"/>
      <c r="U5321" s="39"/>
    </row>
    <row r="5322">
      <c r="A5322" s="40">
        <f t="shared" si="1"/>
        <v>46006</v>
      </c>
      <c r="B5322" s="37" t="str">
        <f t="array" ref="B5322">iferror(xlookup($I5322, 'IMPORT VHC Report'!$E:$E, 'IMPORT VHC Report'!$A:$C), )</f>
        <v/>
      </c>
      <c r="C5322" s="37"/>
      <c r="D5322" s="37"/>
      <c r="E5322" s="38" t="s">
        <v>6351</v>
      </c>
      <c r="F5322" s="38" t="s">
        <v>6345</v>
      </c>
      <c r="G5322" s="38">
        <v>3.61731792395E11</v>
      </c>
      <c r="H5322" s="38" t="s">
        <v>6346</v>
      </c>
      <c r="I5322" s="38" t="s">
        <v>6347</v>
      </c>
      <c r="J5322" s="38" t="s">
        <v>4</v>
      </c>
      <c r="K5322" s="38" t="s">
        <v>126</v>
      </c>
      <c r="L5322" s="41">
        <v>46007.541666666664</v>
      </c>
      <c r="M5322" s="38" t="s">
        <v>123</v>
      </c>
      <c r="N5322" s="41">
        <v>46007.583333333336</v>
      </c>
      <c r="O5322" s="38" t="s">
        <v>123</v>
      </c>
      <c r="P5322" s="38">
        <v>3600.0</v>
      </c>
      <c r="Q5322" s="39"/>
      <c r="R5322" s="39"/>
      <c r="S5322" s="38" t="s">
        <v>1209</v>
      </c>
      <c r="T5322" s="39"/>
      <c r="U5322" s="39"/>
    </row>
    <row r="5323">
      <c r="A5323" s="40">
        <f t="shared" si="1"/>
        <v>46006</v>
      </c>
      <c r="B5323" s="37" t="str">
        <f t="array" ref="B5323">iferror(xlookup($I5323, 'IMPORT VHC Report'!$E:$E, 'IMPORT VHC Report'!$A:$C), )</f>
        <v/>
      </c>
      <c r="C5323" s="37"/>
      <c r="D5323" s="37"/>
      <c r="E5323" s="38" t="s">
        <v>6352</v>
      </c>
      <c r="F5323" s="38" t="s">
        <v>6345</v>
      </c>
      <c r="G5323" s="38">
        <v>3.61731792395E11</v>
      </c>
      <c r="H5323" s="38" t="s">
        <v>6346</v>
      </c>
      <c r="I5323" s="38" t="s">
        <v>6347</v>
      </c>
      <c r="J5323" s="38" t="s">
        <v>4</v>
      </c>
      <c r="K5323" s="38" t="s">
        <v>126</v>
      </c>
      <c r="L5323" s="41">
        <v>46008.208333333336</v>
      </c>
      <c r="M5323" s="38" t="s">
        <v>123</v>
      </c>
      <c r="N5323" s="41">
        <v>46008.229166666664</v>
      </c>
      <c r="O5323" s="38" t="s">
        <v>123</v>
      </c>
      <c r="P5323" s="38">
        <v>1800.0</v>
      </c>
      <c r="Q5323" s="39"/>
      <c r="R5323" s="39"/>
      <c r="S5323" s="39"/>
      <c r="T5323" s="39"/>
      <c r="U5323" s="39"/>
    </row>
    <row r="5324">
      <c r="A5324" s="40">
        <f t="shared" si="1"/>
        <v>46006</v>
      </c>
      <c r="B5324" s="37" t="str">
        <f t="array" ref="B5324">iferror(xlookup($I5324, 'IMPORT VHC Report'!$E:$E, 'IMPORT VHC Report'!$A:$C), )</f>
        <v/>
      </c>
      <c r="C5324" s="37"/>
      <c r="D5324" s="37"/>
      <c r="E5324" s="38" t="s">
        <v>6353</v>
      </c>
      <c r="F5324" s="38" t="s">
        <v>6345</v>
      </c>
      <c r="G5324" s="38">
        <v>3.61731792395E11</v>
      </c>
      <c r="H5324" s="38" t="s">
        <v>6346</v>
      </c>
      <c r="I5324" s="38" t="s">
        <v>6347</v>
      </c>
      <c r="J5324" s="38" t="s">
        <v>530</v>
      </c>
      <c r="K5324" s="38" t="s">
        <v>63</v>
      </c>
      <c r="L5324" s="41">
        <v>46008.208333333336</v>
      </c>
      <c r="M5324" s="38" t="s">
        <v>123</v>
      </c>
      <c r="N5324" s="41">
        <v>46008.583333333336</v>
      </c>
      <c r="O5324" s="38" t="s">
        <v>123</v>
      </c>
      <c r="P5324" s="38">
        <v>32400.0</v>
      </c>
      <c r="Q5324" s="39"/>
      <c r="R5324" s="39"/>
      <c r="S5324" s="39"/>
      <c r="T5324" s="39"/>
      <c r="U5324" s="39"/>
    </row>
    <row r="5325">
      <c r="A5325" s="40">
        <f t="shared" si="1"/>
        <v>46006</v>
      </c>
      <c r="B5325" s="37" t="str">
        <f t="array" ref="B5325">iferror(xlookup($I5325, 'IMPORT VHC Report'!$E:$E, 'IMPORT VHC Report'!$A:$C), )</f>
        <v/>
      </c>
      <c r="C5325" s="37"/>
      <c r="D5325" s="37"/>
      <c r="E5325" s="38" t="s">
        <v>6354</v>
      </c>
      <c r="F5325" s="38" t="s">
        <v>6345</v>
      </c>
      <c r="G5325" s="38">
        <v>3.61731792395E11</v>
      </c>
      <c r="H5325" s="38" t="s">
        <v>6346</v>
      </c>
      <c r="I5325" s="38" t="s">
        <v>6347</v>
      </c>
      <c r="J5325" s="38" t="s">
        <v>132</v>
      </c>
      <c r="K5325" s="38" t="s">
        <v>126</v>
      </c>
      <c r="L5325" s="41">
        <v>46008.302083333336</v>
      </c>
      <c r="M5325" s="38" t="s">
        <v>123</v>
      </c>
      <c r="N5325" s="41">
        <v>46008.34375</v>
      </c>
      <c r="O5325" s="38" t="s">
        <v>123</v>
      </c>
      <c r="P5325" s="38">
        <v>3600.0</v>
      </c>
      <c r="Q5325" s="39"/>
      <c r="R5325" s="39"/>
      <c r="S5325" s="39"/>
      <c r="T5325" s="39"/>
      <c r="U5325" s="39"/>
    </row>
    <row r="5326">
      <c r="A5326" s="40">
        <f t="shared" si="1"/>
        <v>46006</v>
      </c>
      <c r="B5326" s="37" t="str">
        <f t="array" ref="B5326">iferror(xlookup($I5326, 'IMPORT VHC Report'!$E:$E, 'IMPORT VHC Report'!$A:$C), )</f>
        <v/>
      </c>
      <c r="C5326" s="37"/>
      <c r="D5326" s="37"/>
      <c r="E5326" s="38" t="s">
        <v>6355</v>
      </c>
      <c r="F5326" s="38" t="s">
        <v>6345</v>
      </c>
      <c r="G5326" s="38">
        <v>3.61731792395E11</v>
      </c>
      <c r="H5326" s="38" t="s">
        <v>6346</v>
      </c>
      <c r="I5326" s="38" t="s">
        <v>6347</v>
      </c>
      <c r="J5326" s="38" t="s">
        <v>134</v>
      </c>
      <c r="K5326" s="38" t="s">
        <v>126</v>
      </c>
      <c r="L5326" s="41">
        <v>46008.447916666664</v>
      </c>
      <c r="M5326" s="38" t="s">
        <v>123</v>
      </c>
      <c r="N5326" s="41">
        <v>46008.46875</v>
      </c>
      <c r="O5326" s="38" t="s">
        <v>123</v>
      </c>
      <c r="P5326" s="38">
        <v>1800.0</v>
      </c>
      <c r="Q5326" s="39"/>
      <c r="R5326" s="39"/>
      <c r="S5326" s="39"/>
      <c r="T5326" s="39"/>
      <c r="U5326" s="39"/>
    </row>
    <row r="5327">
      <c r="A5327" s="40">
        <f t="shared" si="1"/>
        <v>46006</v>
      </c>
      <c r="B5327" s="37" t="str">
        <f t="array" ref="B5327">iferror(xlookup($I5327, 'IMPORT VHC Report'!$E:$E, 'IMPORT VHC Report'!$A:$C), )</f>
        <v/>
      </c>
      <c r="C5327" s="37"/>
      <c r="D5327" s="37"/>
      <c r="E5327" s="38" t="s">
        <v>6356</v>
      </c>
      <c r="F5327" s="38" t="s">
        <v>6345</v>
      </c>
      <c r="G5327" s="38">
        <v>3.61731792395E11</v>
      </c>
      <c r="H5327" s="38" t="s">
        <v>6346</v>
      </c>
      <c r="I5327" s="38" t="s">
        <v>6347</v>
      </c>
      <c r="J5327" s="38" t="s">
        <v>4</v>
      </c>
      <c r="K5327" s="38" t="s">
        <v>126</v>
      </c>
      <c r="L5327" s="41">
        <v>46009.208333333336</v>
      </c>
      <c r="M5327" s="38" t="s">
        <v>123</v>
      </c>
      <c r="N5327" s="41">
        <v>46009.229166666664</v>
      </c>
      <c r="O5327" s="38" t="s">
        <v>123</v>
      </c>
      <c r="P5327" s="38">
        <v>1800.0</v>
      </c>
      <c r="Q5327" s="39"/>
      <c r="R5327" s="39"/>
      <c r="S5327" s="39"/>
      <c r="T5327" s="39"/>
      <c r="U5327" s="39"/>
    </row>
    <row r="5328">
      <c r="A5328" s="40">
        <f t="shared" si="1"/>
        <v>46006</v>
      </c>
      <c r="B5328" s="37" t="str">
        <f t="array" ref="B5328">iferror(xlookup($I5328, 'IMPORT VHC Report'!$E:$E, 'IMPORT VHC Report'!$A:$C), )</f>
        <v/>
      </c>
      <c r="C5328" s="37"/>
      <c r="D5328" s="37"/>
      <c r="E5328" s="38" t="s">
        <v>6357</v>
      </c>
      <c r="F5328" s="38" t="s">
        <v>6345</v>
      </c>
      <c r="G5328" s="38">
        <v>3.61731792395E11</v>
      </c>
      <c r="H5328" s="38" t="s">
        <v>6346</v>
      </c>
      <c r="I5328" s="38" t="s">
        <v>6347</v>
      </c>
      <c r="J5328" s="38" t="s">
        <v>530</v>
      </c>
      <c r="K5328" s="38" t="s">
        <v>63</v>
      </c>
      <c r="L5328" s="41">
        <v>46009.208333333336</v>
      </c>
      <c r="M5328" s="38" t="s">
        <v>123</v>
      </c>
      <c r="N5328" s="41">
        <v>46009.583333333336</v>
      </c>
      <c r="O5328" s="38" t="s">
        <v>123</v>
      </c>
      <c r="P5328" s="38">
        <v>32400.0</v>
      </c>
      <c r="Q5328" s="39"/>
      <c r="R5328" s="39"/>
      <c r="S5328" s="39"/>
      <c r="T5328" s="39"/>
      <c r="U5328" s="39"/>
    </row>
    <row r="5329">
      <c r="A5329" s="40">
        <f t="shared" si="1"/>
        <v>46006</v>
      </c>
      <c r="B5329" s="37" t="str">
        <f t="array" ref="B5329">iferror(xlookup($I5329, 'IMPORT VHC Report'!$E:$E, 'IMPORT VHC Report'!$A:$C), )</f>
        <v/>
      </c>
      <c r="C5329" s="37"/>
      <c r="D5329" s="37"/>
      <c r="E5329" s="38" t="s">
        <v>6358</v>
      </c>
      <c r="F5329" s="38" t="s">
        <v>6345</v>
      </c>
      <c r="G5329" s="38">
        <v>3.61731792395E11</v>
      </c>
      <c r="H5329" s="38" t="s">
        <v>6346</v>
      </c>
      <c r="I5329" s="38" t="s">
        <v>6347</v>
      </c>
      <c r="J5329" s="38" t="s">
        <v>132</v>
      </c>
      <c r="K5329" s="38" t="s">
        <v>126</v>
      </c>
      <c r="L5329" s="41">
        <v>46009.302083333336</v>
      </c>
      <c r="M5329" s="38" t="s">
        <v>123</v>
      </c>
      <c r="N5329" s="41">
        <v>46009.34375</v>
      </c>
      <c r="O5329" s="38" t="s">
        <v>123</v>
      </c>
      <c r="P5329" s="38">
        <v>3600.0</v>
      </c>
      <c r="Q5329" s="39"/>
      <c r="R5329" s="39"/>
      <c r="S5329" s="39"/>
      <c r="T5329" s="39"/>
      <c r="U5329" s="39"/>
    </row>
    <row r="5330">
      <c r="A5330" s="40">
        <f t="shared" si="1"/>
        <v>46006</v>
      </c>
      <c r="B5330" s="37" t="str">
        <f t="array" ref="B5330">iferror(xlookup($I5330, 'IMPORT VHC Report'!$E:$E, 'IMPORT VHC Report'!$A:$C), )</f>
        <v/>
      </c>
      <c r="C5330" s="37"/>
      <c r="D5330" s="37"/>
      <c r="E5330" s="38" t="s">
        <v>6359</v>
      </c>
      <c r="F5330" s="38" t="s">
        <v>6345</v>
      </c>
      <c r="G5330" s="38">
        <v>3.61731792395E11</v>
      </c>
      <c r="H5330" s="38" t="s">
        <v>6346</v>
      </c>
      <c r="I5330" s="38" t="s">
        <v>6347</v>
      </c>
      <c r="J5330" s="38" t="s">
        <v>134</v>
      </c>
      <c r="K5330" s="38" t="s">
        <v>126</v>
      </c>
      <c r="L5330" s="41">
        <v>46009.447916666664</v>
      </c>
      <c r="M5330" s="38" t="s">
        <v>123</v>
      </c>
      <c r="N5330" s="41">
        <v>46009.46875</v>
      </c>
      <c r="O5330" s="38" t="s">
        <v>123</v>
      </c>
      <c r="P5330" s="38">
        <v>1800.0</v>
      </c>
      <c r="Q5330" s="39"/>
      <c r="R5330" s="39"/>
      <c r="S5330" s="39"/>
      <c r="T5330" s="39"/>
      <c r="U5330" s="39"/>
    </row>
    <row r="5331">
      <c r="A5331" s="40">
        <f t="shared" si="1"/>
        <v>46006</v>
      </c>
      <c r="B5331" s="37" t="str">
        <f t="array" ref="B5331">iferror(xlookup($I5331, 'IMPORT VHC Report'!$E:$E, 'IMPORT VHC Report'!$A:$C), )</f>
        <v/>
      </c>
      <c r="C5331" s="37"/>
      <c r="D5331" s="37"/>
      <c r="E5331" s="38" t="s">
        <v>6360</v>
      </c>
      <c r="F5331" s="38" t="s">
        <v>6345</v>
      </c>
      <c r="G5331" s="38">
        <v>3.61731792395E11</v>
      </c>
      <c r="H5331" s="38" t="s">
        <v>6346</v>
      </c>
      <c r="I5331" s="38" t="s">
        <v>6347</v>
      </c>
      <c r="J5331" s="38" t="s">
        <v>4</v>
      </c>
      <c r="K5331" s="38" t="s">
        <v>126</v>
      </c>
      <c r="L5331" s="41">
        <v>46009.46875</v>
      </c>
      <c r="M5331" s="38" t="s">
        <v>123</v>
      </c>
      <c r="N5331" s="41">
        <v>46009.510416666664</v>
      </c>
      <c r="O5331" s="38" t="s">
        <v>123</v>
      </c>
      <c r="P5331" s="38">
        <v>3600.0</v>
      </c>
      <c r="Q5331" s="39"/>
      <c r="R5331" s="39"/>
      <c r="S5331" s="38" t="s">
        <v>858</v>
      </c>
      <c r="T5331" s="39"/>
      <c r="U5331" s="39"/>
    </row>
    <row r="5332">
      <c r="A5332" s="40">
        <f t="shared" si="1"/>
        <v>46006</v>
      </c>
      <c r="B5332" s="37" t="str">
        <f t="array" ref="B5332">iferror(xlookup($I5332, 'IMPORT VHC Report'!$E:$E, 'IMPORT VHC Report'!$A:$C), )</f>
        <v/>
      </c>
      <c r="C5332" s="37"/>
      <c r="D5332" s="37"/>
      <c r="E5332" s="38" t="s">
        <v>6361</v>
      </c>
      <c r="F5332" s="38" t="s">
        <v>6345</v>
      </c>
      <c r="G5332" s="38">
        <v>3.61731792395E11</v>
      </c>
      <c r="H5332" s="38" t="s">
        <v>6346</v>
      </c>
      <c r="I5332" s="38" t="s">
        <v>6347</v>
      </c>
      <c r="J5332" s="38" t="s">
        <v>4</v>
      </c>
      <c r="K5332" s="38" t="s">
        <v>126</v>
      </c>
      <c r="L5332" s="41">
        <v>46010.208333333336</v>
      </c>
      <c r="M5332" s="38" t="s">
        <v>123</v>
      </c>
      <c r="N5332" s="41">
        <v>46010.229166666664</v>
      </c>
      <c r="O5332" s="38" t="s">
        <v>123</v>
      </c>
      <c r="P5332" s="38">
        <v>1800.0</v>
      </c>
      <c r="Q5332" s="39"/>
      <c r="R5332" s="39"/>
      <c r="S5332" s="39"/>
      <c r="T5332" s="39"/>
      <c r="U5332" s="39"/>
    </row>
    <row r="5333">
      <c r="A5333" s="40">
        <f t="shared" si="1"/>
        <v>46006</v>
      </c>
      <c r="B5333" s="37" t="str">
        <f t="array" ref="B5333">iferror(xlookup($I5333, 'IMPORT VHC Report'!$E:$E, 'IMPORT VHC Report'!$A:$C), )</f>
        <v/>
      </c>
      <c r="C5333" s="37"/>
      <c r="D5333" s="37"/>
      <c r="E5333" s="38" t="s">
        <v>6362</v>
      </c>
      <c r="F5333" s="38" t="s">
        <v>6345</v>
      </c>
      <c r="G5333" s="38">
        <v>3.61731792395E11</v>
      </c>
      <c r="H5333" s="38" t="s">
        <v>6346</v>
      </c>
      <c r="I5333" s="38" t="s">
        <v>6347</v>
      </c>
      <c r="J5333" s="38" t="s">
        <v>530</v>
      </c>
      <c r="K5333" s="38" t="s">
        <v>63</v>
      </c>
      <c r="L5333" s="41">
        <v>46010.208333333336</v>
      </c>
      <c r="M5333" s="38" t="s">
        <v>123</v>
      </c>
      <c r="N5333" s="41">
        <v>46010.583333333336</v>
      </c>
      <c r="O5333" s="38" t="s">
        <v>123</v>
      </c>
      <c r="P5333" s="38">
        <v>32400.0</v>
      </c>
      <c r="Q5333" s="39"/>
      <c r="R5333" s="39"/>
      <c r="S5333" s="39"/>
      <c r="T5333" s="39"/>
      <c r="U5333" s="39"/>
    </row>
    <row r="5334">
      <c r="A5334" s="40">
        <f t="shared" si="1"/>
        <v>46006</v>
      </c>
      <c r="B5334" s="37" t="str">
        <f t="array" ref="B5334">iferror(xlookup($I5334, 'IMPORT VHC Report'!$E:$E, 'IMPORT VHC Report'!$A:$C), )</f>
        <v/>
      </c>
      <c r="C5334" s="37"/>
      <c r="D5334" s="37"/>
      <c r="E5334" s="38" t="s">
        <v>6363</v>
      </c>
      <c r="F5334" s="38" t="s">
        <v>6345</v>
      </c>
      <c r="G5334" s="38">
        <v>3.61731792395E11</v>
      </c>
      <c r="H5334" s="38" t="s">
        <v>6346</v>
      </c>
      <c r="I5334" s="38" t="s">
        <v>6347</v>
      </c>
      <c r="J5334" s="38" t="s">
        <v>134</v>
      </c>
      <c r="K5334" s="38" t="s">
        <v>126</v>
      </c>
      <c r="L5334" s="41">
        <v>46010.302083333336</v>
      </c>
      <c r="M5334" s="38" t="s">
        <v>123</v>
      </c>
      <c r="N5334" s="41">
        <v>46010.322916666664</v>
      </c>
      <c r="O5334" s="38" t="s">
        <v>123</v>
      </c>
      <c r="P5334" s="38">
        <v>1800.0</v>
      </c>
      <c r="Q5334" s="39"/>
      <c r="R5334" s="39"/>
      <c r="S5334" s="39"/>
      <c r="T5334" s="39"/>
      <c r="U5334" s="39"/>
    </row>
    <row r="5335">
      <c r="A5335" s="40">
        <f t="shared" si="1"/>
        <v>46006</v>
      </c>
      <c r="B5335" s="37" t="str">
        <f t="array" ref="B5335">iferror(xlookup($I5335, 'IMPORT VHC Report'!$E:$E, 'IMPORT VHC Report'!$A:$C), )</f>
        <v/>
      </c>
      <c r="C5335" s="37"/>
      <c r="D5335" s="37"/>
      <c r="E5335" s="38" t="s">
        <v>6364</v>
      </c>
      <c r="F5335" s="38" t="s">
        <v>6345</v>
      </c>
      <c r="G5335" s="38">
        <v>3.61731792395E11</v>
      </c>
      <c r="H5335" s="38" t="s">
        <v>6346</v>
      </c>
      <c r="I5335" s="38" t="s">
        <v>6347</v>
      </c>
      <c r="J5335" s="38" t="s">
        <v>132</v>
      </c>
      <c r="K5335" s="38" t="s">
        <v>126</v>
      </c>
      <c r="L5335" s="41">
        <v>46010.4375</v>
      </c>
      <c r="M5335" s="38" t="s">
        <v>123</v>
      </c>
      <c r="N5335" s="41">
        <v>46010.479166666664</v>
      </c>
      <c r="O5335" s="38" t="s">
        <v>123</v>
      </c>
      <c r="P5335" s="38">
        <v>3600.0</v>
      </c>
      <c r="Q5335" s="39"/>
      <c r="R5335" s="39"/>
      <c r="S5335" s="39"/>
      <c r="T5335" s="39"/>
      <c r="U5335" s="39"/>
    </row>
    <row r="5336">
      <c r="A5336" s="40">
        <f t="shared" si="1"/>
        <v>46006</v>
      </c>
      <c r="B5336" s="37" t="str">
        <f t="array" ref="B5336">iferror(xlookup($I5336, 'IMPORT VHC Report'!$E:$E, 'IMPORT VHC Report'!$A:$C), )</f>
        <v/>
      </c>
      <c r="C5336" s="37"/>
      <c r="D5336" s="37"/>
      <c r="E5336" s="38" t="s">
        <v>6365</v>
      </c>
      <c r="F5336" s="38" t="s">
        <v>6345</v>
      </c>
      <c r="G5336" s="38">
        <v>3.61731792395E11</v>
      </c>
      <c r="H5336" s="38" t="s">
        <v>6346</v>
      </c>
      <c r="I5336" s="38" t="s">
        <v>6347</v>
      </c>
      <c r="J5336" s="38" t="s">
        <v>4</v>
      </c>
      <c r="K5336" s="38" t="s">
        <v>126</v>
      </c>
      <c r="L5336" s="41">
        <v>46011.208333333336</v>
      </c>
      <c r="M5336" s="38" t="s">
        <v>123</v>
      </c>
      <c r="N5336" s="41">
        <v>46011.229166666664</v>
      </c>
      <c r="O5336" s="38" t="s">
        <v>123</v>
      </c>
      <c r="P5336" s="38">
        <v>1800.0</v>
      </c>
      <c r="Q5336" s="39"/>
      <c r="R5336" s="39"/>
      <c r="S5336" s="39"/>
      <c r="T5336" s="39"/>
      <c r="U5336" s="39"/>
    </row>
    <row r="5337">
      <c r="A5337" s="40">
        <f t="shared" si="1"/>
        <v>46006</v>
      </c>
      <c r="B5337" s="37" t="str">
        <f t="array" ref="B5337">iferror(xlookup($I5337, 'IMPORT VHC Report'!$E:$E, 'IMPORT VHC Report'!$A:$C), )</f>
        <v/>
      </c>
      <c r="C5337" s="37"/>
      <c r="D5337" s="37"/>
      <c r="E5337" s="38" t="s">
        <v>6366</v>
      </c>
      <c r="F5337" s="38" t="s">
        <v>6345</v>
      </c>
      <c r="G5337" s="38">
        <v>3.61731792395E11</v>
      </c>
      <c r="H5337" s="38" t="s">
        <v>6346</v>
      </c>
      <c r="I5337" s="38" t="s">
        <v>6347</v>
      </c>
      <c r="J5337" s="38" t="s">
        <v>530</v>
      </c>
      <c r="K5337" s="38" t="s">
        <v>63</v>
      </c>
      <c r="L5337" s="41">
        <v>46011.208333333336</v>
      </c>
      <c r="M5337" s="38" t="s">
        <v>123</v>
      </c>
      <c r="N5337" s="41">
        <v>46011.583333333336</v>
      </c>
      <c r="O5337" s="38" t="s">
        <v>123</v>
      </c>
      <c r="P5337" s="38">
        <v>32400.0</v>
      </c>
      <c r="Q5337" s="39"/>
      <c r="R5337" s="39"/>
      <c r="S5337" s="39"/>
      <c r="T5337" s="39"/>
      <c r="U5337" s="39"/>
    </row>
    <row r="5338">
      <c r="A5338" s="40">
        <f t="shared" si="1"/>
        <v>46006</v>
      </c>
      <c r="B5338" s="37" t="str">
        <f t="array" ref="B5338">iferror(xlookup($I5338, 'IMPORT VHC Report'!$E:$E, 'IMPORT VHC Report'!$A:$C), )</f>
        <v/>
      </c>
      <c r="C5338" s="37"/>
      <c r="D5338" s="37"/>
      <c r="E5338" s="38" t="s">
        <v>6367</v>
      </c>
      <c r="F5338" s="38" t="s">
        <v>6345</v>
      </c>
      <c r="G5338" s="38">
        <v>3.61731792395E11</v>
      </c>
      <c r="H5338" s="38" t="s">
        <v>6346</v>
      </c>
      <c r="I5338" s="38" t="s">
        <v>6347</v>
      </c>
      <c r="J5338" s="38" t="s">
        <v>134</v>
      </c>
      <c r="K5338" s="38" t="s">
        <v>126</v>
      </c>
      <c r="L5338" s="41">
        <v>46011.322916666664</v>
      </c>
      <c r="M5338" s="38" t="s">
        <v>123</v>
      </c>
      <c r="N5338" s="41">
        <v>46011.34375</v>
      </c>
      <c r="O5338" s="38" t="s">
        <v>123</v>
      </c>
      <c r="P5338" s="38">
        <v>1800.0</v>
      </c>
      <c r="Q5338" s="39"/>
      <c r="R5338" s="39"/>
      <c r="S5338" s="39"/>
      <c r="T5338" s="39"/>
      <c r="U5338" s="39"/>
    </row>
    <row r="5339">
      <c r="A5339" s="40">
        <f t="shared" si="1"/>
        <v>46006</v>
      </c>
      <c r="B5339" s="37" t="str">
        <f t="array" ref="B5339">iferror(xlookup($I5339, 'IMPORT VHC Report'!$E:$E, 'IMPORT VHC Report'!$A:$C), )</f>
        <v/>
      </c>
      <c r="C5339" s="37"/>
      <c r="D5339" s="37"/>
      <c r="E5339" s="38" t="s">
        <v>6368</v>
      </c>
      <c r="F5339" s="38" t="s">
        <v>6345</v>
      </c>
      <c r="G5339" s="38">
        <v>3.61731792395E11</v>
      </c>
      <c r="H5339" s="38" t="s">
        <v>6346</v>
      </c>
      <c r="I5339" s="38" t="s">
        <v>6347</v>
      </c>
      <c r="J5339" s="38" t="s">
        <v>132</v>
      </c>
      <c r="K5339" s="38" t="s">
        <v>126</v>
      </c>
      <c r="L5339" s="41">
        <v>46011.4375</v>
      </c>
      <c r="M5339" s="38" t="s">
        <v>123</v>
      </c>
      <c r="N5339" s="41">
        <v>46011.479166666664</v>
      </c>
      <c r="O5339" s="38" t="s">
        <v>123</v>
      </c>
      <c r="P5339" s="38">
        <v>3600.0</v>
      </c>
      <c r="Q5339" s="39"/>
      <c r="R5339" s="39"/>
      <c r="S5339" s="39"/>
      <c r="T5339" s="39"/>
      <c r="U5339" s="39"/>
    </row>
    <row r="5340">
      <c r="A5340" s="40">
        <f t="shared" si="1"/>
        <v>46006</v>
      </c>
      <c r="B5340" s="37" t="str">
        <f t="array" ref="B5340">iferror(xlookup($I5340, 'IMPORT VHC Report'!$E:$E, 'IMPORT VHC Report'!$A:$C), )</f>
        <v/>
      </c>
      <c r="C5340" s="37"/>
      <c r="D5340" s="37"/>
      <c r="E5340" s="38" t="s">
        <v>6369</v>
      </c>
      <c r="F5340" s="38" t="s">
        <v>6370</v>
      </c>
      <c r="G5340" s="38">
        <v>3.61964324536E11</v>
      </c>
      <c r="H5340" s="38" t="s">
        <v>6371</v>
      </c>
      <c r="I5340" s="38" t="s">
        <v>6372</v>
      </c>
      <c r="J5340" s="38" t="s">
        <v>4</v>
      </c>
      <c r="K5340" s="38" t="s">
        <v>126</v>
      </c>
      <c r="L5340" s="41">
        <v>46007.208333333336</v>
      </c>
      <c r="M5340" s="38" t="s">
        <v>123</v>
      </c>
      <c r="N5340" s="41">
        <v>46007.229166666664</v>
      </c>
      <c r="O5340" s="38" t="s">
        <v>123</v>
      </c>
      <c r="P5340" s="38">
        <v>1800.0</v>
      </c>
      <c r="Q5340" s="39"/>
      <c r="R5340" s="39"/>
      <c r="S5340" s="39"/>
      <c r="T5340" s="39"/>
      <c r="U5340" s="39"/>
    </row>
    <row r="5341">
      <c r="A5341" s="40">
        <f t="shared" si="1"/>
        <v>46006</v>
      </c>
      <c r="B5341" s="37" t="str">
        <f t="array" ref="B5341">iferror(xlookup($I5341, 'IMPORT VHC Report'!$E:$E, 'IMPORT VHC Report'!$A:$C), )</f>
        <v/>
      </c>
      <c r="C5341" s="37"/>
      <c r="D5341" s="37"/>
      <c r="E5341" s="38" t="s">
        <v>6373</v>
      </c>
      <c r="F5341" s="38" t="s">
        <v>6370</v>
      </c>
      <c r="G5341" s="38">
        <v>3.61964324536E11</v>
      </c>
      <c r="H5341" s="38" t="s">
        <v>6371</v>
      </c>
      <c r="I5341" s="38" t="s">
        <v>6372</v>
      </c>
      <c r="J5341" s="38" t="s">
        <v>152</v>
      </c>
      <c r="K5341" s="38" t="s">
        <v>153</v>
      </c>
      <c r="L5341" s="41">
        <v>46007.208333333336</v>
      </c>
      <c r="M5341" s="38" t="s">
        <v>123</v>
      </c>
      <c r="N5341" s="41">
        <v>46007.583333333336</v>
      </c>
      <c r="O5341" s="38" t="s">
        <v>123</v>
      </c>
      <c r="P5341" s="38">
        <v>32400.0</v>
      </c>
      <c r="Q5341" s="38">
        <v>28800.0</v>
      </c>
      <c r="R5341" s="39"/>
      <c r="S5341" s="39"/>
      <c r="T5341" s="39"/>
      <c r="U5341" s="39"/>
    </row>
    <row r="5342">
      <c r="A5342" s="40">
        <f t="shared" si="1"/>
        <v>46006</v>
      </c>
      <c r="B5342" s="37" t="str">
        <f t="array" ref="B5342">iferror(xlookup($I5342, 'IMPORT VHC Report'!$E:$E, 'IMPORT VHC Report'!$A:$C), )</f>
        <v/>
      </c>
      <c r="C5342" s="37"/>
      <c r="D5342" s="37"/>
      <c r="E5342" s="38" t="s">
        <v>6374</v>
      </c>
      <c r="F5342" s="38" t="s">
        <v>6370</v>
      </c>
      <c r="G5342" s="38">
        <v>3.61964324536E11</v>
      </c>
      <c r="H5342" s="38" t="s">
        <v>6371</v>
      </c>
      <c r="I5342" s="38" t="s">
        <v>6372</v>
      </c>
      <c r="J5342" s="38" t="s">
        <v>530</v>
      </c>
      <c r="K5342" s="38" t="s">
        <v>63</v>
      </c>
      <c r="L5342" s="41">
        <v>46007.208333333336</v>
      </c>
      <c r="M5342" s="38" t="s">
        <v>123</v>
      </c>
      <c r="N5342" s="41">
        <v>46007.583333333336</v>
      </c>
      <c r="O5342" s="38" t="s">
        <v>123</v>
      </c>
      <c r="P5342" s="38">
        <v>32400.0</v>
      </c>
      <c r="Q5342" s="39"/>
      <c r="R5342" s="39"/>
      <c r="S5342" s="39"/>
      <c r="T5342" s="39"/>
      <c r="U5342" s="39"/>
    </row>
    <row r="5343">
      <c r="A5343" s="40">
        <f t="shared" si="1"/>
        <v>46006</v>
      </c>
      <c r="B5343" s="37" t="str">
        <f t="array" ref="B5343">iferror(xlookup($I5343, 'IMPORT VHC Report'!$E:$E, 'IMPORT VHC Report'!$A:$C), )</f>
        <v/>
      </c>
      <c r="C5343" s="37"/>
      <c r="D5343" s="37"/>
      <c r="E5343" s="38" t="s">
        <v>6375</v>
      </c>
      <c r="F5343" s="38" t="s">
        <v>6370</v>
      </c>
      <c r="G5343" s="38">
        <v>3.61964324536E11</v>
      </c>
      <c r="H5343" s="38" t="s">
        <v>6371</v>
      </c>
      <c r="I5343" s="38" t="s">
        <v>6372</v>
      </c>
      <c r="J5343" s="38" t="s">
        <v>132</v>
      </c>
      <c r="K5343" s="38" t="s">
        <v>126</v>
      </c>
      <c r="L5343" s="41">
        <v>46007.3125</v>
      </c>
      <c r="M5343" s="38" t="s">
        <v>123</v>
      </c>
      <c r="N5343" s="41">
        <v>46007.354166666664</v>
      </c>
      <c r="O5343" s="38" t="s">
        <v>123</v>
      </c>
      <c r="P5343" s="38">
        <v>3600.0</v>
      </c>
      <c r="Q5343" s="39"/>
      <c r="R5343" s="39"/>
      <c r="S5343" s="39"/>
      <c r="T5343" s="39"/>
      <c r="U5343" s="39"/>
    </row>
    <row r="5344">
      <c r="A5344" s="40">
        <f t="shared" si="1"/>
        <v>46006</v>
      </c>
      <c r="B5344" s="37" t="str">
        <f t="array" ref="B5344">iferror(xlookup($I5344, 'IMPORT VHC Report'!$E:$E, 'IMPORT VHC Report'!$A:$C), )</f>
        <v/>
      </c>
      <c r="C5344" s="37"/>
      <c r="D5344" s="37"/>
      <c r="E5344" s="38" t="s">
        <v>6376</v>
      </c>
      <c r="F5344" s="38" t="s">
        <v>6370</v>
      </c>
      <c r="G5344" s="38">
        <v>3.61964324536E11</v>
      </c>
      <c r="H5344" s="38" t="s">
        <v>6371</v>
      </c>
      <c r="I5344" s="38" t="s">
        <v>6372</v>
      </c>
      <c r="J5344" s="38" t="s">
        <v>134</v>
      </c>
      <c r="K5344" s="38" t="s">
        <v>126</v>
      </c>
      <c r="L5344" s="41">
        <v>46007.458333333336</v>
      </c>
      <c r="M5344" s="38" t="s">
        <v>123</v>
      </c>
      <c r="N5344" s="41">
        <v>46007.479166666664</v>
      </c>
      <c r="O5344" s="38" t="s">
        <v>123</v>
      </c>
      <c r="P5344" s="38">
        <v>1800.0</v>
      </c>
      <c r="Q5344" s="39"/>
      <c r="R5344" s="39"/>
      <c r="S5344" s="39"/>
      <c r="T5344" s="39"/>
      <c r="U5344" s="39"/>
    </row>
    <row r="5345">
      <c r="A5345" s="40">
        <f t="shared" si="1"/>
        <v>46006</v>
      </c>
      <c r="B5345" s="37" t="str">
        <f t="array" ref="B5345">iferror(xlookup($I5345, 'IMPORT VHC Report'!$E:$E, 'IMPORT VHC Report'!$A:$C), )</f>
        <v/>
      </c>
      <c r="C5345" s="37"/>
      <c r="D5345" s="37"/>
      <c r="E5345" s="38" t="s">
        <v>6377</v>
      </c>
      <c r="F5345" s="38" t="s">
        <v>6370</v>
      </c>
      <c r="G5345" s="38">
        <v>3.61964324536E11</v>
      </c>
      <c r="H5345" s="38" t="s">
        <v>6371</v>
      </c>
      <c r="I5345" s="38" t="s">
        <v>6372</v>
      </c>
      <c r="J5345" s="38" t="s">
        <v>4</v>
      </c>
      <c r="K5345" s="38" t="s">
        <v>126</v>
      </c>
      <c r="L5345" s="41">
        <v>46007.541666666664</v>
      </c>
      <c r="M5345" s="38" t="s">
        <v>123</v>
      </c>
      <c r="N5345" s="41">
        <v>46007.583333333336</v>
      </c>
      <c r="O5345" s="38" t="s">
        <v>123</v>
      </c>
      <c r="P5345" s="38">
        <v>3600.0</v>
      </c>
      <c r="Q5345" s="39"/>
      <c r="R5345" s="39"/>
      <c r="S5345" s="38" t="s">
        <v>1209</v>
      </c>
      <c r="T5345" s="39"/>
      <c r="U5345" s="39"/>
    </row>
    <row r="5346">
      <c r="A5346" s="40">
        <f t="shared" si="1"/>
        <v>46006</v>
      </c>
      <c r="B5346" s="37" t="str">
        <f t="array" ref="B5346">iferror(xlookup($I5346, 'IMPORT VHC Report'!$E:$E, 'IMPORT VHC Report'!$A:$C), )</f>
        <v/>
      </c>
      <c r="C5346" s="37"/>
      <c r="D5346" s="37"/>
      <c r="E5346" s="38" t="s">
        <v>6378</v>
      </c>
      <c r="F5346" s="38" t="s">
        <v>6370</v>
      </c>
      <c r="G5346" s="38">
        <v>3.61964324536E11</v>
      </c>
      <c r="H5346" s="38" t="s">
        <v>6371</v>
      </c>
      <c r="I5346" s="38" t="s">
        <v>6372</v>
      </c>
      <c r="J5346" s="38" t="s">
        <v>4</v>
      </c>
      <c r="K5346" s="38" t="s">
        <v>126</v>
      </c>
      <c r="L5346" s="41">
        <v>46008.208333333336</v>
      </c>
      <c r="M5346" s="38" t="s">
        <v>123</v>
      </c>
      <c r="N5346" s="41">
        <v>46008.25</v>
      </c>
      <c r="O5346" s="38" t="s">
        <v>123</v>
      </c>
      <c r="P5346" s="38">
        <v>3600.0</v>
      </c>
      <c r="Q5346" s="39"/>
      <c r="R5346" s="39"/>
      <c r="S5346" s="39"/>
      <c r="T5346" s="39"/>
      <c r="U5346" s="39"/>
    </row>
    <row r="5347">
      <c r="A5347" s="40">
        <f t="shared" si="1"/>
        <v>46006</v>
      </c>
      <c r="B5347" s="37" t="str">
        <f t="array" ref="B5347">iferror(xlookup($I5347, 'IMPORT VHC Report'!$E:$E, 'IMPORT VHC Report'!$A:$C), )</f>
        <v/>
      </c>
      <c r="C5347" s="37"/>
      <c r="D5347" s="37"/>
      <c r="E5347" s="38" t="s">
        <v>6379</v>
      </c>
      <c r="F5347" s="38" t="s">
        <v>6370</v>
      </c>
      <c r="G5347" s="38">
        <v>3.61964324536E11</v>
      </c>
      <c r="H5347" s="38" t="s">
        <v>6371</v>
      </c>
      <c r="I5347" s="38" t="s">
        <v>6372</v>
      </c>
      <c r="J5347" s="38" t="s">
        <v>530</v>
      </c>
      <c r="K5347" s="38" t="s">
        <v>63</v>
      </c>
      <c r="L5347" s="41">
        <v>46008.25</v>
      </c>
      <c r="M5347" s="38" t="s">
        <v>123</v>
      </c>
      <c r="N5347" s="41">
        <v>46008.333333333336</v>
      </c>
      <c r="O5347" s="38" t="s">
        <v>123</v>
      </c>
      <c r="P5347" s="38">
        <v>7200.0</v>
      </c>
      <c r="Q5347" s="39"/>
      <c r="R5347" s="39"/>
      <c r="S5347" s="39"/>
      <c r="T5347" s="39"/>
      <c r="U5347" s="39"/>
    </row>
    <row r="5348">
      <c r="A5348" s="40">
        <f t="shared" si="1"/>
        <v>46006</v>
      </c>
      <c r="B5348" s="37" t="str">
        <f t="array" ref="B5348">iferror(xlookup($I5348, 'IMPORT VHC Report'!$E:$E, 'IMPORT VHC Report'!$A:$C), )</f>
        <v/>
      </c>
      <c r="C5348" s="37"/>
      <c r="D5348" s="37"/>
      <c r="E5348" s="38" t="s">
        <v>6380</v>
      </c>
      <c r="F5348" s="38" t="s">
        <v>6370</v>
      </c>
      <c r="G5348" s="38">
        <v>3.61964324536E11</v>
      </c>
      <c r="H5348" s="38" t="s">
        <v>6371</v>
      </c>
      <c r="I5348" s="38" t="s">
        <v>6372</v>
      </c>
      <c r="J5348" s="38" t="s">
        <v>132</v>
      </c>
      <c r="K5348" s="38" t="s">
        <v>126</v>
      </c>
      <c r="L5348" s="41">
        <v>46008.333333333336</v>
      </c>
      <c r="M5348" s="38" t="s">
        <v>123</v>
      </c>
      <c r="N5348" s="41">
        <v>46008.375</v>
      </c>
      <c r="O5348" s="38" t="s">
        <v>123</v>
      </c>
      <c r="P5348" s="38">
        <v>3600.0</v>
      </c>
      <c r="Q5348" s="39"/>
      <c r="R5348" s="39"/>
      <c r="S5348" s="39"/>
      <c r="T5348" s="39"/>
      <c r="U5348" s="39"/>
    </row>
    <row r="5349">
      <c r="A5349" s="40">
        <f t="shared" si="1"/>
        <v>46006</v>
      </c>
      <c r="B5349" s="37" t="str">
        <f t="array" ref="B5349">iferror(xlookup($I5349, 'IMPORT VHC Report'!$E:$E, 'IMPORT VHC Report'!$A:$C), )</f>
        <v/>
      </c>
      <c r="C5349" s="37"/>
      <c r="D5349" s="37"/>
      <c r="E5349" s="38" t="s">
        <v>6381</v>
      </c>
      <c r="F5349" s="38" t="s">
        <v>6370</v>
      </c>
      <c r="G5349" s="38">
        <v>3.61964324536E11</v>
      </c>
      <c r="H5349" s="38" t="s">
        <v>6371</v>
      </c>
      <c r="I5349" s="38" t="s">
        <v>6372</v>
      </c>
      <c r="J5349" s="38" t="s">
        <v>4</v>
      </c>
      <c r="K5349" s="38" t="s">
        <v>126</v>
      </c>
      <c r="L5349" s="41">
        <v>46008.375</v>
      </c>
      <c r="M5349" s="38" t="s">
        <v>123</v>
      </c>
      <c r="N5349" s="41">
        <v>46008.416666666664</v>
      </c>
      <c r="O5349" s="38" t="s">
        <v>123</v>
      </c>
      <c r="P5349" s="38">
        <v>3600.0</v>
      </c>
      <c r="Q5349" s="39"/>
      <c r="R5349" s="39"/>
      <c r="S5349" s="38" t="s">
        <v>1209</v>
      </c>
      <c r="T5349" s="39"/>
      <c r="U5349" s="39"/>
    </row>
    <row r="5350">
      <c r="A5350" s="40">
        <f t="shared" si="1"/>
        <v>46006</v>
      </c>
      <c r="B5350" s="37" t="str">
        <f t="array" ref="B5350">iferror(xlookup($I5350, 'IMPORT VHC Report'!$E:$E, 'IMPORT VHC Report'!$A:$C), )</f>
        <v/>
      </c>
      <c r="C5350" s="37"/>
      <c r="D5350" s="37"/>
      <c r="E5350" s="38" t="s">
        <v>6382</v>
      </c>
      <c r="F5350" s="38" t="s">
        <v>6370</v>
      </c>
      <c r="G5350" s="38">
        <v>3.61964324536E11</v>
      </c>
      <c r="H5350" s="38" t="s">
        <v>6371</v>
      </c>
      <c r="I5350" s="38" t="s">
        <v>6372</v>
      </c>
      <c r="J5350" s="38" t="s">
        <v>125</v>
      </c>
      <c r="K5350" s="38" t="s">
        <v>126</v>
      </c>
      <c r="L5350" s="41">
        <v>46008.416666666664</v>
      </c>
      <c r="M5350" s="38" t="s">
        <v>123</v>
      </c>
      <c r="N5350" s="41">
        <v>46008.42847222222</v>
      </c>
      <c r="O5350" s="38" t="s">
        <v>123</v>
      </c>
      <c r="P5350" s="38">
        <v>1020.0</v>
      </c>
      <c r="Q5350" s="39"/>
      <c r="R5350" s="39"/>
      <c r="S5350" s="39"/>
      <c r="T5350" s="39"/>
      <c r="U5350" s="39"/>
    </row>
    <row r="5351">
      <c r="A5351" s="40">
        <f t="shared" si="1"/>
        <v>46006</v>
      </c>
      <c r="B5351" s="37" t="str">
        <f t="array" ref="B5351">iferror(xlookup($I5351, 'IMPORT VHC Report'!$E:$E, 'IMPORT VHC Report'!$A:$C), )</f>
        <v/>
      </c>
      <c r="C5351" s="37"/>
      <c r="D5351" s="37"/>
      <c r="E5351" s="38" t="s">
        <v>6383</v>
      </c>
      <c r="F5351" s="38" t="s">
        <v>6370</v>
      </c>
      <c r="G5351" s="38">
        <v>3.61964324536E11</v>
      </c>
      <c r="H5351" s="38" t="s">
        <v>6371</v>
      </c>
      <c r="I5351" s="38" t="s">
        <v>6372</v>
      </c>
      <c r="J5351" s="38" t="s">
        <v>125</v>
      </c>
      <c r="K5351" s="38" t="s">
        <v>126</v>
      </c>
      <c r="L5351" s="41">
        <v>46008.42847222222</v>
      </c>
      <c r="M5351" s="38" t="s">
        <v>123</v>
      </c>
      <c r="N5351" s="41">
        <v>46008.447916666664</v>
      </c>
      <c r="O5351" s="38" t="s">
        <v>123</v>
      </c>
      <c r="P5351" s="38">
        <v>1680.0</v>
      </c>
      <c r="Q5351" s="39"/>
      <c r="R5351" s="39"/>
      <c r="S5351" s="39"/>
      <c r="T5351" s="39"/>
      <c r="U5351" s="39"/>
    </row>
    <row r="5352">
      <c r="A5352" s="40">
        <f t="shared" si="1"/>
        <v>46006</v>
      </c>
      <c r="B5352" s="37" t="str">
        <f t="array" ref="B5352">iferror(xlookup($I5352, 'IMPORT VHC Report'!$E:$E, 'IMPORT VHC Report'!$A:$C), )</f>
        <v/>
      </c>
      <c r="C5352" s="37"/>
      <c r="D5352" s="37"/>
      <c r="E5352" s="38" t="s">
        <v>6384</v>
      </c>
      <c r="F5352" s="38" t="s">
        <v>6370</v>
      </c>
      <c r="G5352" s="38">
        <v>3.61964324536E11</v>
      </c>
      <c r="H5352" s="38" t="s">
        <v>6371</v>
      </c>
      <c r="I5352" s="38" t="s">
        <v>6372</v>
      </c>
      <c r="J5352" s="38" t="s">
        <v>530</v>
      </c>
      <c r="K5352" s="38" t="s">
        <v>63</v>
      </c>
      <c r="L5352" s="41">
        <v>46008.447916666664</v>
      </c>
      <c r="M5352" s="38" t="s">
        <v>123</v>
      </c>
      <c r="N5352" s="41">
        <v>46008.478472222225</v>
      </c>
      <c r="O5352" s="38" t="s">
        <v>123</v>
      </c>
      <c r="P5352" s="38">
        <v>2640.0</v>
      </c>
      <c r="Q5352" s="39"/>
      <c r="R5352" s="39"/>
      <c r="S5352" s="39"/>
      <c r="T5352" s="39"/>
      <c r="U5352" s="39"/>
    </row>
    <row r="5353">
      <c r="A5353" s="40">
        <f t="shared" si="1"/>
        <v>46006</v>
      </c>
      <c r="B5353" s="37" t="str">
        <f t="array" ref="B5353">iferror(xlookup($I5353, 'IMPORT VHC Report'!$E:$E, 'IMPORT VHC Report'!$A:$C), )</f>
        <v/>
      </c>
      <c r="C5353" s="37"/>
      <c r="D5353" s="37"/>
      <c r="E5353" s="38" t="s">
        <v>6385</v>
      </c>
      <c r="F5353" s="38" t="s">
        <v>6370</v>
      </c>
      <c r="G5353" s="38">
        <v>3.61964324536E11</v>
      </c>
      <c r="H5353" s="38" t="s">
        <v>6371</v>
      </c>
      <c r="I5353" s="38" t="s">
        <v>6372</v>
      </c>
      <c r="J5353" s="38" t="s">
        <v>125</v>
      </c>
      <c r="K5353" s="38" t="s">
        <v>126</v>
      </c>
      <c r="L5353" s="41">
        <v>46008.478472222225</v>
      </c>
      <c r="M5353" s="38" t="s">
        <v>123</v>
      </c>
      <c r="N5353" s="41">
        <v>46008.489583333336</v>
      </c>
      <c r="O5353" s="38" t="s">
        <v>123</v>
      </c>
      <c r="P5353" s="38">
        <v>960.0</v>
      </c>
      <c r="Q5353" s="39"/>
      <c r="R5353" s="39"/>
      <c r="S5353" s="39"/>
      <c r="T5353" s="39"/>
      <c r="U5353" s="39"/>
    </row>
    <row r="5354">
      <c r="A5354" s="40">
        <f t="shared" si="1"/>
        <v>46006</v>
      </c>
      <c r="B5354" s="37" t="str">
        <f t="array" ref="B5354">iferror(xlookup($I5354, 'IMPORT VHC Report'!$E:$E, 'IMPORT VHC Report'!$A:$C), )</f>
        <v/>
      </c>
      <c r="C5354" s="37"/>
      <c r="D5354" s="37"/>
      <c r="E5354" s="38" t="s">
        <v>6386</v>
      </c>
      <c r="F5354" s="38" t="s">
        <v>6370</v>
      </c>
      <c r="G5354" s="38">
        <v>3.61964324536E11</v>
      </c>
      <c r="H5354" s="38" t="s">
        <v>6371</v>
      </c>
      <c r="I5354" s="38" t="s">
        <v>6372</v>
      </c>
      <c r="J5354" s="38" t="s">
        <v>530</v>
      </c>
      <c r="K5354" s="38" t="s">
        <v>63</v>
      </c>
      <c r="L5354" s="41">
        <v>46008.489583333336</v>
      </c>
      <c r="M5354" s="38" t="s">
        <v>123</v>
      </c>
      <c r="N5354" s="41">
        <v>46008.5</v>
      </c>
      <c r="O5354" s="38" t="s">
        <v>123</v>
      </c>
      <c r="P5354" s="38">
        <v>900.0</v>
      </c>
      <c r="Q5354" s="39"/>
      <c r="R5354" s="39"/>
      <c r="S5354" s="39"/>
      <c r="T5354" s="39"/>
      <c r="U5354" s="39"/>
    </row>
    <row r="5355">
      <c r="A5355" s="40">
        <f t="shared" si="1"/>
        <v>46006</v>
      </c>
      <c r="B5355" s="37" t="str">
        <f t="array" ref="B5355">iferror(xlookup($I5355, 'IMPORT VHC Report'!$E:$E, 'IMPORT VHC Report'!$A:$C), )</f>
        <v/>
      </c>
      <c r="C5355" s="37"/>
      <c r="D5355" s="37"/>
      <c r="E5355" s="38" t="s">
        <v>6387</v>
      </c>
      <c r="F5355" s="38" t="s">
        <v>6370</v>
      </c>
      <c r="G5355" s="38">
        <v>3.61964324536E11</v>
      </c>
      <c r="H5355" s="38" t="s">
        <v>6371</v>
      </c>
      <c r="I5355" s="38" t="s">
        <v>6372</v>
      </c>
      <c r="J5355" s="38" t="s">
        <v>134</v>
      </c>
      <c r="K5355" s="38" t="s">
        <v>126</v>
      </c>
      <c r="L5355" s="41">
        <v>46008.5</v>
      </c>
      <c r="M5355" s="38" t="s">
        <v>123</v>
      </c>
      <c r="N5355" s="41">
        <v>46008.520833333336</v>
      </c>
      <c r="O5355" s="38" t="s">
        <v>123</v>
      </c>
      <c r="P5355" s="38">
        <v>1800.0</v>
      </c>
      <c r="Q5355" s="39"/>
      <c r="R5355" s="39"/>
      <c r="S5355" s="39"/>
      <c r="T5355" s="39"/>
      <c r="U5355" s="39"/>
    </row>
    <row r="5356">
      <c r="A5356" s="40">
        <f t="shared" si="1"/>
        <v>46006</v>
      </c>
      <c r="B5356" s="37" t="str">
        <f t="array" ref="B5356">iferror(xlookup($I5356, 'IMPORT VHC Report'!$E:$E, 'IMPORT VHC Report'!$A:$C), )</f>
        <v/>
      </c>
      <c r="C5356" s="37"/>
      <c r="D5356" s="37"/>
      <c r="E5356" s="38" t="s">
        <v>6388</v>
      </c>
      <c r="F5356" s="38" t="s">
        <v>6370</v>
      </c>
      <c r="G5356" s="38">
        <v>3.61964324536E11</v>
      </c>
      <c r="H5356" s="38" t="s">
        <v>6371</v>
      </c>
      <c r="I5356" s="38" t="s">
        <v>6372</v>
      </c>
      <c r="J5356" s="38" t="s">
        <v>530</v>
      </c>
      <c r="K5356" s="38" t="s">
        <v>63</v>
      </c>
      <c r="L5356" s="41">
        <v>46008.520833333336</v>
      </c>
      <c r="M5356" s="38" t="s">
        <v>123</v>
      </c>
      <c r="N5356" s="41">
        <v>46008.541666666664</v>
      </c>
      <c r="O5356" s="38" t="s">
        <v>123</v>
      </c>
      <c r="P5356" s="38">
        <v>1800.0</v>
      </c>
      <c r="Q5356" s="39"/>
      <c r="R5356" s="39"/>
      <c r="S5356" s="39"/>
      <c r="T5356" s="39"/>
      <c r="U5356" s="39"/>
    </row>
    <row r="5357">
      <c r="A5357" s="40">
        <f t="shared" si="1"/>
        <v>46006</v>
      </c>
      <c r="B5357" s="37" t="str">
        <f t="array" ref="B5357">iferror(xlookup($I5357, 'IMPORT VHC Report'!$E:$E, 'IMPORT VHC Report'!$A:$C), )</f>
        <v/>
      </c>
      <c r="C5357" s="37"/>
      <c r="D5357" s="37"/>
      <c r="E5357" s="38" t="s">
        <v>6389</v>
      </c>
      <c r="F5357" s="38" t="s">
        <v>6370</v>
      </c>
      <c r="G5357" s="38">
        <v>3.61964324536E11</v>
      </c>
      <c r="H5357" s="38" t="s">
        <v>6371</v>
      </c>
      <c r="I5357" s="38" t="s">
        <v>6372</v>
      </c>
      <c r="J5357" s="38" t="s">
        <v>125</v>
      </c>
      <c r="K5357" s="38" t="s">
        <v>126</v>
      </c>
      <c r="L5357" s="41">
        <v>46008.541666666664</v>
      </c>
      <c r="M5357" s="38" t="s">
        <v>123</v>
      </c>
      <c r="N5357" s="41">
        <v>46008.54583333333</v>
      </c>
      <c r="O5357" s="38" t="s">
        <v>123</v>
      </c>
      <c r="P5357" s="38">
        <v>360.0</v>
      </c>
      <c r="Q5357" s="39"/>
      <c r="R5357" s="39"/>
      <c r="S5357" s="39"/>
      <c r="T5357" s="39"/>
      <c r="U5357" s="39"/>
    </row>
    <row r="5358">
      <c r="A5358" s="40">
        <f t="shared" si="1"/>
        <v>46006</v>
      </c>
      <c r="B5358" s="37" t="str">
        <f t="array" ref="B5358">iferror(xlookup($I5358, 'IMPORT VHC Report'!$E:$E, 'IMPORT VHC Report'!$A:$C), )</f>
        <v/>
      </c>
      <c r="C5358" s="37"/>
      <c r="D5358" s="37"/>
      <c r="E5358" s="38" t="s">
        <v>6390</v>
      </c>
      <c r="F5358" s="38" t="s">
        <v>6370</v>
      </c>
      <c r="G5358" s="38">
        <v>3.61964324536E11</v>
      </c>
      <c r="H5358" s="38" t="s">
        <v>6371</v>
      </c>
      <c r="I5358" s="38" t="s">
        <v>6372</v>
      </c>
      <c r="J5358" s="38" t="s">
        <v>530</v>
      </c>
      <c r="K5358" s="38" t="s">
        <v>63</v>
      </c>
      <c r="L5358" s="41">
        <v>46008.54583333333</v>
      </c>
      <c r="M5358" s="38" t="s">
        <v>123</v>
      </c>
      <c r="N5358" s="41">
        <v>46008.58125</v>
      </c>
      <c r="O5358" s="38" t="s">
        <v>123</v>
      </c>
      <c r="P5358" s="38">
        <v>3060.0</v>
      </c>
      <c r="Q5358" s="39"/>
      <c r="R5358" s="39"/>
      <c r="S5358" s="39"/>
      <c r="T5358" s="39"/>
      <c r="U5358" s="39"/>
    </row>
    <row r="5359">
      <c r="A5359" s="40">
        <f t="shared" si="1"/>
        <v>46006</v>
      </c>
      <c r="B5359" s="37" t="str">
        <f t="array" ref="B5359">iferror(xlookup($I5359, 'IMPORT VHC Report'!$E:$E, 'IMPORT VHC Report'!$A:$C), )</f>
        <v/>
      </c>
      <c r="C5359" s="37"/>
      <c r="D5359" s="37"/>
      <c r="E5359" s="38" t="s">
        <v>6391</v>
      </c>
      <c r="F5359" s="38" t="s">
        <v>6370</v>
      </c>
      <c r="G5359" s="38">
        <v>3.61964324536E11</v>
      </c>
      <c r="H5359" s="38" t="s">
        <v>6371</v>
      </c>
      <c r="I5359" s="38" t="s">
        <v>6372</v>
      </c>
      <c r="J5359" s="38" t="s">
        <v>125</v>
      </c>
      <c r="K5359" s="38" t="s">
        <v>126</v>
      </c>
      <c r="L5359" s="41">
        <v>46008.58125</v>
      </c>
      <c r="M5359" s="38" t="s">
        <v>123</v>
      </c>
      <c r="N5359" s="41">
        <v>46008.583333333336</v>
      </c>
      <c r="O5359" s="38" t="s">
        <v>123</v>
      </c>
      <c r="P5359" s="38">
        <v>180.0</v>
      </c>
      <c r="Q5359" s="39"/>
      <c r="R5359" s="39"/>
      <c r="S5359" s="39"/>
      <c r="T5359" s="39"/>
      <c r="U5359" s="39"/>
    </row>
    <row r="5360">
      <c r="A5360" s="40">
        <f t="shared" si="1"/>
        <v>46006</v>
      </c>
      <c r="B5360" s="37" t="str">
        <f t="array" ref="B5360">iferror(xlookup($I5360, 'IMPORT VHC Report'!$E:$E, 'IMPORT VHC Report'!$A:$C), )</f>
        <v/>
      </c>
      <c r="C5360" s="37"/>
      <c r="D5360" s="37"/>
      <c r="E5360" s="38" t="s">
        <v>6392</v>
      </c>
      <c r="F5360" s="38" t="s">
        <v>6370</v>
      </c>
      <c r="G5360" s="38">
        <v>3.61964324536E11</v>
      </c>
      <c r="H5360" s="38" t="s">
        <v>6371</v>
      </c>
      <c r="I5360" s="38" t="s">
        <v>6372</v>
      </c>
      <c r="J5360" s="38" t="s">
        <v>4</v>
      </c>
      <c r="K5360" s="38" t="s">
        <v>126</v>
      </c>
      <c r="L5360" s="41">
        <v>46009.208333333336</v>
      </c>
      <c r="M5360" s="38" t="s">
        <v>123</v>
      </c>
      <c r="N5360" s="41">
        <v>46009.229166666664</v>
      </c>
      <c r="O5360" s="38" t="s">
        <v>123</v>
      </c>
      <c r="P5360" s="38">
        <v>1800.0</v>
      </c>
      <c r="Q5360" s="39"/>
      <c r="R5360" s="39"/>
      <c r="S5360" s="39"/>
      <c r="T5360" s="39"/>
      <c r="U5360" s="39"/>
    </row>
    <row r="5361">
      <c r="A5361" s="40">
        <f t="shared" si="1"/>
        <v>46006</v>
      </c>
      <c r="B5361" s="37" t="str">
        <f t="array" ref="B5361">iferror(xlookup($I5361, 'IMPORT VHC Report'!$E:$E, 'IMPORT VHC Report'!$A:$C), )</f>
        <v/>
      </c>
      <c r="C5361" s="37"/>
      <c r="D5361" s="37"/>
      <c r="E5361" s="38" t="s">
        <v>6393</v>
      </c>
      <c r="F5361" s="38" t="s">
        <v>6370</v>
      </c>
      <c r="G5361" s="38">
        <v>3.61964324536E11</v>
      </c>
      <c r="H5361" s="38" t="s">
        <v>6371</v>
      </c>
      <c r="I5361" s="38" t="s">
        <v>6372</v>
      </c>
      <c r="J5361" s="38" t="s">
        <v>530</v>
      </c>
      <c r="K5361" s="38" t="s">
        <v>63</v>
      </c>
      <c r="L5361" s="41">
        <v>46009.229166666664</v>
      </c>
      <c r="M5361" s="38" t="s">
        <v>123</v>
      </c>
      <c r="N5361" s="41">
        <v>46009.291666666664</v>
      </c>
      <c r="O5361" s="38" t="s">
        <v>123</v>
      </c>
      <c r="P5361" s="38">
        <v>5400.0</v>
      </c>
      <c r="Q5361" s="39"/>
      <c r="R5361" s="39"/>
      <c r="S5361" s="39"/>
      <c r="T5361" s="39"/>
      <c r="U5361" s="39"/>
    </row>
    <row r="5362">
      <c r="A5362" s="40">
        <f t="shared" si="1"/>
        <v>46006</v>
      </c>
      <c r="B5362" s="37" t="str">
        <f t="array" ref="B5362">iferror(xlookup($I5362, 'IMPORT VHC Report'!$E:$E, 'IMPORT VHC Report'!$A:$C), )</f>
        <v/>
      </c>
      <c r="C5362" s="37"/>
      <c r="D5362" s="37"/>
      <c r="E5362" s="38" t="s">
        <v>6394</v>
      </c>
      <c r="F5362" s="38" t="s">
        <v>6370</v>
      </c>
      <c r="G5362" s="38">
        <v>3.61964324536E11</v>
      </c>
      <c r="H5362" s="38" t="s">
        <v>6371</v>
      </c>
      <c r="I5362" s="38" t="s">
        <v>6372</v>
      </c>
      <c r="J5362" s="38" t="s">
        <v>125</v>
      </c>
      <c r="K5362" s="38" t="s">
        <v>126</v>
      </c>
      <c r="L5362" s="41">
        <v>46009.291666666664</v>
      </c>
      <c r="M5362" s="38" t="s">
        <v>123</v>
      </c>
      <c r="N5362" s="41">
        <v>46009.375</v>
      </c>
      <c r="O5362" s="38" t="s">
        <v>123</v>
      </c>
      <c r="P5362" s="38">
        <v>7200.0</v>
      </c>
      <c r="Q5362" s="39"/>
      <c r="R5362" s="39"/>
      <c r="S5362" s="39"/>
      <c r="T5362" s="39"/>
      <c r="U5362" s="39"/>
    </row>
    <row r="5363">
      <c r="A5363" s="40">
        <f t="shared" si="1"/>
        <v>46006</v>
      </c>
      <c r="B5363" s="37" t="str">
        <f t="array" ref="B5363">iferror(xlookup($I5363, 'IMPORT VHC Report'!$E:$E, 'IMPORT VHC Report'!$A:$C), )</f>
        <v/>
      </c>
      <c r="C5363" s="37"/>
      <c r="D5363" s="37"/>
      <c r="E5363" s="38" t="s">
        <v>6395</v>
      </c>
      <c r="F5363" s="38" t="s">
        <v>6370</v>
      </c>
      <c r="G5363" s="38">
        <v>3.61964324536E11</v>
      </c>
      <c r="H5363" s="38" t="s">
        <v>6371</v>
      </c>
      <c r="I5363" s="38" t="s">
        <v>6372</v>
      </c>
      <c r="J5363" s="38" t="s">
        <v>530</v>
      </c>
      <c r="K5363" s="38" t="s">
        <v>63</v>
      </c>
      <c r="L5363" s="41">
        <v>46009.375</v>
      </c>
      <c r="M5363" s="38" t="s">
        <v>123</v>
      </c>
      <c r="N5363" s="41">
        <v>46009.395833333336</v>
      </c>
      <c r="O5363" s="38" t="s">
        <v>123</v>
      </c>
      <c r="P5363" s="38">
        <v>1800.0</v>
      </c>
      <c r="Q5363" s="39"/>
      <c r="R5363" s="39"/>
      <c r="S5363" s="39"/>
      <c r="T5363" s="39"/>
      <c r="U5363" s="39"/>
    </row>
    <row r="5364">
      <c r="A5364" s="40">
        <f t="shared" si="1"/>
        <v>46006</v>
      </c>
      <c r="B5364" s="37" t="str">
        <f t="array" ref="B5364">iferror(xlookup($I5364, 'IMPORT VHC Report'!$E:$E, 'IMPORT VHC Report'!$A:$C), )</f>
        <v/>
      </c>
      <c r="C5364" s="37"/>
      <c r="D5364" s="37"/>
      <c r="E5364" s="38" t="s">
        <v>6396</v>
      </c>
      <c r="F5364" s="38" t="s">
        <v>6370</v>
      </c>
      <c r="G5364" s="38">
        <v>3.61964324536E11</v>
      </c>
      <c r="H5364" s="38" t="s">
        <v>6371</v>
      </c>
      <c r="I5364" s="38" t="s">
        <v>6372</v>
      </c>
      <c r="J5364" s="38" t="s">
        <v>125</v>
      </c>
      <c r="K5364" s="38" t="s">
        <v>126</v>
      </c>
      <c r="L5364" s="41">
        <v>46009.395833333336</v>
      </c>
      <c r="M5364" s="38" t="s">
        <v>123</v>
      </c>
      <c r="N5364" s="41">
        <v>46009.40138888889</v>
      </c>
      <c r="O5364" s="38" t="s">
        <v>123</v>
      </c>
      <c r="P5364" s="38">
        <v>480.0</v>
      </c>
      <c r="Q5364" s="39"/>
      <c r="R5364" s="39"/>
      <c r="S5364" s="39"/>
      <c r="T5364" s="39"/>
      <c r="U5364" s="39"/>
    </row>
    <row r="5365">
      <c r="A5365" s="40">
        <f t="shared" si="1"/>
        <v>46006</v>
      </c>
      <c r="B5365" s="37" t="str">
        <f t="array" ref="B5365">iferror(xlookup($I5365, 'IMPORT VHC Report'!$E:$E, 'IMPORT VHC Report'!$A:$C), )</f>
        <v/>
      </c>
      <c r="C5365" s="37"/>
      <c r="D5365" s="37"/>
      <c r="E5365" s="38" t="s">
        <v>6397</v>
      </c>
      <c r="F5365" s="38" t="s">
        <v>6370</v>
      </c>
      <c r="G5365" s="38">
        <v>3.61964324536E11</v>
      </c>
      <c r="H5365" s="38" t="s">
        <v>6371</v>
      </c>
      <c r="I5365" s="38" t="s">
        <v>6372</v>
      </c>
      <c r="J5365" s="38" t="s">
        <v>530</v>
      </c>
      <c r="K5365" s="38" t="s">
        <v>63</v>
      </c>
      <c r="L5365" s="41">
        <v>46009.40138888889</v>
      </c>
      <c r="M5365" s="38" t="s">
        <v>123</v>
      </c>
      <c r="N5365" s="41">
        <v>46009.4375</v>
      </c>
      <c r="O5365" s="38" t="s">
        <v>123</v>
      </c>
      <c r="P5365" s="38">
        <v>3120.0</v>
      </c>
      <c r="Q5365" s="39"/>
      <c r="R5365" s="39"/>
      <c r="S5365" s="39"/>
      <c r="T5365" s="39"/>
      <c r="U5365" s="39"/>
    </row>
    <row r="5366">
      <c r="A5366" s="40">
        <f t="shared" si="1"/>
        <v>46006</v>
      </c>
      <c r="B5366" s="37" t="str">
        <f t="array" ref="B5366">iferror(xlookup($I5366, 'IMPORT VHC Report'!$E:$E, 'IMPORT VHC Report'!$A:$C), )</f>
        <v/>
      </c>
      <c r="C5366" s="37"/>
      <c r="D5366" s="37"/>
      <c r="E5366" s="38" t="s">
        <v>6398</v>
      </c>
      <c r="F5366" s="38" t="s">
        <v>6370</v>
      </c>
      <c r="G5366" s="38">
        <v>3.61964324536E11</v>
      </c>
      <c r="H5366" s="38" t="s">
        <v>6371</v>
      </c>
      <c r="I5366" s="38" t="s">
        <v>6372</v>
      </c>
      <c r="J5366" s="38" t="s">
        <v>132</v>
      </c>
      <c r="K5366" s="38" t="s">
        <v>126</v>
      </c>
      <c r="L5366" s="41">
        <v>46009.4375</v>
      </c>
      <c r="M5366" s="38" t="s">
        <v>123</v>
      </c>
      <c r="N5366" s="41">
        <v>46009.479166666664</v>
      </c>
      <c r="O5366" s="38" t="s">
        <v>123</v>
      </c>
      <c r="P5366" s="38">
        <v>3600.0</v>
      </c>
      <c r="Q5366" s="39"/>
      <c r="R5366" s="39"/>
      <c r="S5366" s="39"/>
      <c r="T5366" s="39"/>
      <c r="U5366" s="39"/>
    </row>
    <row r="5367">
      <c r="A5367" s="40">
        <f t="shared" si="1"/>
        <v>46006</v>
      </c>
      <c r="B5367" s="37" t="str">
        <f t="array" ref="B5367">iferror(xlookup($I5367, 'IMPORT VHC Report'!$E:$E, 'IMPORT VHC Report'!$A:$C), )</f>
        <v/>
      </c>
      <c r="C5367" s="37"/>
      <c r="D5367" s="37"/>
      <c r="E5367" s="38" t="s">
        <v>6399</v>
      </c>
      <c r="F5367" s="38" t="s">
        <v>6370</v>
      </c>
      <c r="G5367" s="38">
        <v>3.61964324536E11</v>
      </c>
      <c r="H5367" s="38" t="s">
        <v>6371</v>
      </c>
      <c r="I5367" s="38" t="s">
        <v>6372</v>
      </c>
      <c r="J5367" s="38" t="s">
        <v>134</v>
      </c>
      <c r="K5367" s="38" t="s">
        <v>126</v>
      </c>
      <c r="L5367" s="41">
        <v>46009.479166666664</v>
      </c>
      <c r="M5367" s="38" t="s">
        <v>123</v>
      </c>
      <c r="N5367" s="41">
        <v>46009.5</v>
      </c>
      <c r="O5367" s="38" t="s">
        <v>123</v>
      </c>
      <c r="P5367" s="38">
        <v>1800.0</v>
      </c>
      <c r="Q5367" s="39"/>
      <c r="R5367" s="39"/>
      <c r="S5367" s="39"/>
      <c r="T5367" s="39"/>
      <c r="U5367" s="39"/>
    </row>
    <row r="5368">
      <c r="A5368" s="40">
        <f t="shared" si="1"/>
        <v>46006</v>
      </c>
      <c r="B5368" s="37" t="str">
        <f t="array" ref="B5368">iferror(xlookup($I5368, 'IMPORT VHC Report'!$E:$E, 'IMPORT VHC Report'!$A:$C), )</f>
        <v/>
      </c>
      <c r="C5368" s="37"/>
      <c r="D5368" s="37"/>
      <c r="E5368" s="38" t="s">
        <v>6400</v>
      </c>
      <c r="F5368" s="38" t="s">
        <v>6370</v>
      </c>
      <c r="G5368" s="38">
        <v>3.61964324536E11</v>
      </c>
      <c r="H5368" s="38" t="s">
        <v>6371</v>
      </c>
      <c r="I5368" s="38" t="s">
        <v>6372</v>
      </c>
      <c r="J5368" s="38" t="s">
        <v>4</v>
      </c>
      <c r="K5368" s="38" t="s">
        <v>126</v>
      </c>
      <c r="L5368" s="41">
        <v>46009.5</v>
      </c>
      <c r="M5368" s="38" t="s">
        <v>123</v>
      </c>
      <c r="N5368" s="41">
        <v>46009.541666666664</v>
      </c>
      <c r="O5368" s="38" t="s">
        <v>123</v>
      </c>
      <c r="P5368" s="38">
        <v>3600.0</v>
      </c>
      <c r="Q5368" s="39"/>
      <c r="R5368" s="39"/>
      <c r="S5368" s="38" t="s">
        <v>858</v>
      </c>
      <c r="T5368" s="39"/>
      <c r="U5368" s="39"/>
    </row>
    <row r="5369">
      <c r="A5369" s="40">
        <f t="shared" si="1"/>
        <v>46006</v>
      </c>
      <c r="B5369" s="37" t="str">
        <f t="array" ref="B5369">iferror(xlookup($I5369, 'IMPORT VHC Report'!$E:$E, 'IMPORT VHC Report'!$A:$C), )</f>
        <v/>
      </c>
      <c r="C5369" s="37"/>
      <c r="D5369" s="37"/>
      <c r="E5369" s="38" t="s">
        <v>6401</v>
      </c>
      <c r="F5369" s="38" t="s">
        <v>6370</v>
      </c>
      <c r="G5369" s="38">
        <v>3.61964324536E11</v>
      </c>
      <c r="H5369" s="38" t="s">
        <v>6371</v>
      </c>
      <c r="I5369" s="38" t="s">
        <v>6372</v>
      </c>
      <c r="J5369" s="38" t="s">
        <v>136</v>
      </c>
      <c r="K5369" s="38" t="s">
        <v>126</v>
      </c>
      <c r="L5369" s="41">
        <v>46009.541666666664</v>
      </c>
      <c r="M5369" s="38" t="s">
        <v>123</v>
      </c>
      <c r="N5369" s="41">
        <v>46009.583333333336</v>
      </c>
      <c r="O5369" s="38" t="s">
        <v>123</v>
      </c>
      <c r="P5369" s="38">
        <v>3600.0</v>
      </c>
      <c r="Q5369" s="39"/>
      <c r="R5369" s="39"/>
      <c r="S5369" s="38" t="s">
        <v>4166</v>
      </c>
      <c r="T5369" s="39"/>
      <c r="U5369" s="39"/>
    </row>
    <row r="5370">
      <c r="A5370" s="40">
        <f t="shared" si="1"/>
        <v>46006</v>
      </c>
      <c r="B5370" s="37" t="str">
        <f t="array" ref="B5370">iferror(xlookup($I5370, 'IMPORT VHC Report'!$E:$E, 'IMPORT VHC Report'!$A:$C), )</f>
        <v/>
      </c>
      <c r="C5370" s="37"/>
      <c r="D5370" s="37"/>
      <c r="E5370" s="38" t="s">
        <v>6402</v>
      </c>
      <c r="F5370" s="38" t="s">
        <v>6370</v>
      </c>
      <c r="G5370" s="38">
        <v>3.61964324536E11</v>
      </c>
      <c r="H5370" s="38" t="s">
        <v>6371</v>
      </c>
      <c r="I5370" s="38" t="s">
        <v>6372</v>
      </c>
      <c r="J5370" s="38" t="s">
        <v>4</v>
      </c>
      <c r="K5370" s="38" t="s">
        <v>126</v>
      </c>
      <c r="L5370" s="41">
        <v>46010.208333333336</v>
      </c>
      <c r="M5370" s="38" t="s">
        <v>123</v>
      </c>
      <c r="N5370" s="41">
        <v>46010.229166666664</v>
      </c>
      <c r="O5370" s="38" t="s">
        <v>123</v>
      </c>
      <c r="P5370" s="38">
        <v>1800.0</v>
      </c>
      <c r="Q5370" s="39"/>
      <c r="R5370" s="39"/>
      <c r="S5370" s="39"/>
      <c r="T5370" s="39"/>
      <c r="U5370" s="39"/>
    </row>
    <row r="5371">
      <c r="A5371" s="40">
        <f t="shared" si="1"/>
        <v>46006</v>
      </c>
      <c r="B5371" s="37" t="str">
        <f t="array" ref="B5371">iferror(xlookup($I5371, 'IMPORT VHC Report'!$E:$E, 'IMPORT VHC Report'!$A:$C), )</f>
        <v/>
      </c>
      <c r="C5371" s="37"/>
      <c r="D5371" s="37"/>
      <c r="E5371" s="38" t="s">
        <v>6403</v>
      </c>
      <c r="F5371" s="38" t="s">
        <v>6370</v>
      </c>
      <c r="G5371" s="38">
        <v>3.61964324536E11</v>
      </c>
      <c r="H5371" s="38" t="s">
        <v>6371</v>
      </c>
      <c r="I5371" s="38" t="s">
        <v>6372</v>
      </c>
      <c r="J5371" s="38" t="s">
        <v>530</v>
      </c>
      <c r="K5371" s="38" t="s">
        <v>63</v>
      </c>
      <c r="L5371" s="41">
        <v>46010.229166666664</v>
      </c>
      <c r="M5371" s="38" t="s">
        <v>123</v>
      </c>
      <c r="N5371" s="41">
        <v>46010.25347222222</v>
      </c>
      <c r="O5371" s="38" t="s">
        <v>123</v>
      </c>
      <c r="P5371" s="38">
        <v>2100.0</v>
      </c>
      <c r="Q5371" s="39"/>
      <c r="R5371" s="39"/>
      <c r="S5371" s="39"/>
      <c r="T5371" s="39"/>
      <c r="U5371" s="39"/>
    </row>
    <row r="5372">
      <c r="A5372" s="40">
        <f t="shared" si="1"/>
        <v>46006</v>
      </c>
      <c r="B5372" s="37" t="str">
        <f t="array" ref="B5372">iferror(xlookup($I5372, 'IMPORT VHC Report'!$E:$E, 'IMPORT VHC Report'!$A:$C), )</f>
        <v/>
      </c>
      <c r="C5372" s="37"/>
      <c r="D5372" s="37"/>
      <c r="E5372" s="38" t="s">
        <v>6404</v>
      </c>
      <c r="F5372" s="38" t="s">
        <v>6370</v>
      </c>
      <c r="G5372" s="38">
        <v>3.61964324536E11</v>
      </c>
      <c r="H5372" s="38" t="s">
        <v>6371</v>
      </c>
      <c r="I5372" s="38" t="s">
        <v>6372</v>
      </c>
      <c r="J5372" s="38" t="s">
        <v>125</v>
      </c>
      <c r="K5372" s="38" t="s">
        <v>126</v>
      </c>
      <c r="L5372" s="41">
        <v>46010.25347222222</v>
      </c>
      <c r="M5372" s="38" t="s">
        <v>123</v>
      </c>
      <c r="N5372" s="41">
        <v>46010.291666666664</v>
      </c>
      <c r="O5372" s="38" t="s">
        <v>123</v>
      </c>
      <c r="P5372" s="38">
        <v>3300.0</v>
      </c>
      <c r="Q5372" s="39"/>
      <c r="R5372" s="39"/>
      <c r="S5372" s="39"/>
      <c r="T5372" s="39"/>
      <c r="U5372" s="39"/>
    </row>
    <row r="5373">
      <c r="A5373" s="40">
        <f t="shared" si="1"/>
        <v>46006</v>
      </c>
      <c r="B5373" s="37" t="str">
        <f t="array" ref="B5373">iferror(xlookup($I5373, 'IMPORT VHC Report'!$E:$E, 'IMPORT VHC Report'!$A:$C), )</f>
        <v/>
      </c>
      <c r="C5373" s="37"/>
      <c r="D5373" s="37"/>
      <c r="E5373" s="38" t="s">
        <v>6405</v>
      </c>
      <c r="F5373" s="38" t="s">
        <v>6370</v>
      </c>
      <c r="G5373" s="38">
        <v>3.61964324536E11</v>
      </c>
      <c r="H5373" s="38" t="s">
        <v>6371</v>
      </c>
      <c r="I5373" s="38" t="s">
        <v>6372</v>
      </c>
      <c r="J5373" s="38" t="s">
        <v>530</v>
      </c>
      <c r="K5373" s="38" t="s">
        <v>63</v>
      </c>
      <c r="L5373" s="41">
        <v>46010.291666666664</v>
      </c>
      <c r="M5373" s="38" t="s">
        <v>123</v>
      </c>
      <c r="N5373" s="41">
        <v>46010.308333333334</v>
      </c>
      <c r="O5373" s="38" t="s">
        <v>123</v>
      </c>
      <c r="P5373" s="38">
        <v>1440.0</v>
      </c>
      <c r="Q5373" s="39"/>
      <c r="R5373" s="39"/>
      <c r="S5373" s="39"/>
      <c r="T5373" s="39"/>
      <c r="U5373" s="39"/>
    </row>
    <row r="5374">
      <c r="A5374" s="40">
        <f t="shared" si="1"/>
        <v>46006</v>
      </c>
      <c r="B5374" s="37" t="str">
        <f t="array" ref="B5374">iferror(xlookup($I5374, 'IMPORT VHC Report'!$E:$E, 'IMPORT VHC Report'!$A:$C), )</f>
        <v/>
      </c>
      <c r="C5374" s="37"/>
      <c r="D5374" s="37"/>
      <c r="E5374" s="38" t="s">
        <v>6406</v>
      </c>
      <c r="F5374" s="38" t="s">
        <v>6370</v>
      </c>
      <c r="G5374" s="38">
        <v>3.61964324536E11</v>
      </c>
      <c r="H5374" s="38" t="s">
        <v>6371</v>
      </c>
      <c r="I5374" s="38" t="s">
        <v>6372</v>
      </c>
      <c r="J5374" s="38" t="s">
        <v>125</v>
      </c>
      <c r="K5374" s="38" t="s">
        <v>126</v>
      </c>
      <c r="L5374" s="41">
        <v>46010.308333333334</v>
      </c>
      <c r="M5374" s="38" t="s">
        <v>123</v>
      </c>
      <c r="N5374" s="41">
        <v>46010.31736111111</v>
      </c>
      <c r="O5374" s="38" t="s">
        <v>123</v>
      </c>
      <c r="P5374" s="38">
        <v>780.0</v>
      </c>
      <c r="Q5374" s="39"/>
      <c r="R5374" s="39"/>
      <c r="S5374" s="39"/>
      <c r="T5374" s="39"/>
      <c r="U5374" s="39"/>
    </row>
    <row r="5375">
      <c r="A5375" s="40">
        <f t="shared" si="1"/>
        <v>46006</v>
      </c>
      <c r="B5375" s="37" t="str">
        <f t="array" ref="B5375">iferror(xlookup($I5375, 'IMPORT VHC Report'!$E:$E, 'IMPORT VHC Report'!$A:$C), )</f>
        <v/>
      </c>
      <c r="C5375" s="37"/>
      <c r="D5375" s="37"/>
      <c r="E5375" s="38" t="s">
        <v>6407</v>
      </c>
      <c r="F5375" s="38" t="s">
        <v>6370</v>
      </c>
      <c r="G5375" s="38">
        <v>3.61964324536E11</v>
      </c>
      <c r="H5375" s="38" t="s">
        <v>6371</v>
      </c>
      <c r="I5375" s="38" t="s">
        <v>6372</v>
      </c>
      <c r="J5375" s="38" t="s">
        <v>530</v>
      </c>
      <c r="K5375" s="38" t="s">
        <v>63</v>
      </c>
      <c r="L5375" s="41">
        <v>46010.31736111111</v>
      </c>
      <c r="M5375" s="38" t="s">
        <v>123</v>
      </c>
      <c r="N5375" s="41">
        <v>46010.333333333336</v>
      </c>
      <c r="O5375" s="38" t="s">
        <v>123</v>
      </c>
      <c r="P5375" s="38">
        <v>1380.0</v>
      </c>
      <c r="Q5375" s="39"/>
      <c r="R5375" s="39"/>
      <c r="S5375" s="39"/>
      <c r="T5375" s="39"/>
      <c r="U5375" s="39"/>
    </row>
    <row r="5376">
      <c r="A5376" s="40">
        <f t="shared" si="1"/>
        <v>46006</v>
      </c>
      <c r="B5376" s="37" t="str">
        <f t="array" ref="B5376">iferror(xlookup($I5376, 'IMPORT VHC Report'!$E:$E, 'IMPORT VHC Report'!$A:$C), )</f>
        <v/>
      </c>
      <c r="C5376" s="37"/>
      <c r="D5376" s="37"/>
      <c r="E5376" s="38" t="s">
        <v>6408</v>
      </c>
      <c r="F5376" s="38" t="s">
        <v>6370</v>
      </c>
      <c r="G5376" s="38">
        <v>3.61964324536E11</v>
      </c>
      <c r="H5376" s="38" t="s">
        <v>6371</v>
      </c>
      <c r="I5376" s="38" t="s">
        <v>6372</v>
      </c>
      <c r="J5376" s="38" t="s">
        <v>136</v>
      </c>
      <c r="K5376" s="38" t="s">
        <v>126</v>
      </c>
      <c r="L5376" s="41">
        <v>46010.333333333336</v>
      </c>
      <c r="M5376" s="38" t="s">
        <v>123</v>
      </c>
      <c r="N5376" s="41">
        <v>46010.375</v>
      </c>
      <c r="O5376" s="38" t="s">
        <v>123</v>
      </c>
      <c r="P5376" s="38">
        <v>3600.0</v>
      </c>
      <c r="Q5376" s="39"/>
      <c r="R5376" s="39"/>
      <c r="S5376" s="39"/>
      <c r="T5376" s="39"/>
      <c r="U5376" s="39"/>
    </row>
    <row r="5377">
      <c r="A5377" s="40">
        <f t="shared" si="1"/>
        <v>46006</v>
      </c>
      <c r="B5377" s="37" t="str">
        <f t="array" ref="B5377">iferror(xlookup($I5377, 'IMPORT VHC Report'!$E:$E, 'IMPORT VHC Report'!$A:$C), )</f>
        <v/>
      </c>
      <c r="C5377" s="37"/>
      <c r="D5377" s="37"/>
      <c r="E5377" s="38" t="s">
        <v>6409</v>
      </c>
      <c r="F5377" s="38" t="s">
        <v>6370</v>
      </c>
      <c r="G5377" s="38">
        <v>3.61964324536E11</v>
      </c>
      <c r="H5377" s="38" t="s">
        <v>6371</v>
      </c>
      <c r="I5377" s="38" t="s">
        <v>6372</v>
      </c>
      <c r="J5377" s="38" t="s">
        <v>125</v>
      </c>
      <c r="K5377" s="38" t="s">
        <v>126</v>
      </c>
      <c r="L5377" s="41">
        <v>46010.375</v>
      </c>
      <c r="M5377" s="38" t="s">
        <v>123</v>
      </c>
      <c r="N5377" s="41">
        <v>46010.42569444444</v>
      </c>
      <c r="O5377" s="38" t="s">
        <v>123</v>
      </c>
      <c r="P5377" s="38">
        <v>4380.0</v>
      </c>
      <c r="Q5377" s="39"/>
      <c r="R5377" s="39"/>
      <c r="S5377" s="39"/>
      <c r="T5377" s="39"/>
      <c r="U5377" s="39"/>
    </row>
    <row r="5378">
      <c r="A5378" s="40">
        <f t="shared" si="1"/>
        <v>46006</v>
      </c>
      <c r="B5378" s="37" t="str">
        <f t="array" ref="B5378">iferror(xlookup($I5378, 'IMPORT VHC Report'!$E:$E, 'IMPORT VHC Report'!$A:$C), )</f>
        <v/>
      </c>
      <c r="C5378" s="37"/>
      <c r="D5378" s="37"/>
      <c r="E5378" s="38" t="s">
        <v>6410</v>
      </c>
      <c r="F5378" s="38" t="s">
        <v>6370</v>
      </c>
      <c r="G5378" s="38">
        <v>3.61964324536E11</v>
      </c>
      <c r="H5378" s="38" t="s">
        <v>6371</v>
      </c>
      <c r="I5378" s="38" t="s">
        <v>6372</v>
      </c>
      <c r="J5378" s="38" t="s">
        <v>530</v>
      </c>
      <c r="K5378" s="38" t="s">
        <v>63</v>
      </c>
      <c r="L5378" s="41">
        <v>46010.42569444444</v>
      </c>
      <c r="M5378" s="38" t="s">
        <v>123</v>
      </c>
      <c r="N5378" s="41">
        <v>46010.4375</v>
      </c>
      <c r="O5378" s="38" t="s">
        <v>123</v>
      </c>
      <c r="P5378" s="38">
        <v>1020.0</v>
      </c>
      <c r="Q5378" s="39"/>
      <c r="R5378" s="39"/>
      <c r="S5378" s="39"/>
      <c r="T5378" s="39"/>
      <c r="U5378" s="39"/>
    </row>
    <row r="5379">
      <c r="A5379" s="40">
        <f t="shared" si="1"/>
        <v>46006</v>
      </c>
      <c r="B5379" s="37" t="str">
        <f t="array" ref="B5379">iferror(xlookup($I5379, 'IMPORT VHC Report'!$E:$E, 'IMPORT VHC Report'!$A:$C), )</f>
        <v/>
      </c>
      <c r="C5379" s="37"/>
      <c r="D5379" s="37"/>
      <c r="E5379" s="38" t="s">
        <v>6411</v>
      </c>
      <c r="F5379" s="38" t="s">
        <v>6370</v>
      </c>
      <c r="G5379" s="38">
        <v>3.61964324536E11</v>
      </c>
      <c r="H5379" s="38" t="s">
        <v>6371</v>
      </c>
      <c r="I5379" s="38" t="s">
        <v>6372</v>
      </c>
      <c r="J5379" s="38" t="s">
        <v>132</v>
      </c>
      <c r="K5379" s="38" t="s">
        <v>126</v>
      </c>
      <c r="L5379" s="41">
        <v>46010.4375</v>
      </c>
      <c r="M5379" s="38" t="s">
        <v>123</v>
      </c>
      <c r="N5379" s="41">
        <v>46010.479166666664</v>
      </c>
      <c r="O5379" s="38" t="s">
        <v>123</v>
      </c>
      <c r="P5379" s="38">
        <v>3600.0</v>
      </c>
      <c r="Q5379" s="39"/>
      <c r="R5379" s="39"/>
      <c r="S5379" s="39"/>
      <c r="T5379" s="39"/>
      <c r="U5379" s="39"/>
    </row>
    <row r="5380">
      <c r="A5380" s="40">
        <f t="shared" si="1"/>
        <v>46006</v>
      </c>
      <c r="B5380" s="37" t="str">
        <f t="array" ref="B5380">iferror(xlookup($I5380, 'IMPORT VHC Report'!$E:$E, 'IMPORT VHC Report'!$A:$C), )</f>
        <v/>
      </c>
      <c r="C5380" s="37"/>
      <c r="D5380" s="37"/>
      <c r="E5380" s="38" t="s">
        <v>6412</v>
      </c>
      <c r="F5380" s="38" t="s">
        <v>6370</v>
      </c>
      <c r="G5380" s="38">
        <v>3.61964324536E11</v>
      </c>
      <c r="H5380" s="38" t="s">
        <v>6371</v>
      </c>
      <c r="I5380" s="38" t="s">
        <v>6372</v>
      </c>
      <c r="J5380" s="38" t="s">
        <v>134</v>
      </c>
      <c r="K5380" s="38" t="s">
        <v>126</v>
      </c>
      <c r="L5380" s="41">
        <v>46010.479166666664</v>
      </c>
      <c r="M5380" s="38" t="s">
        <v>123</v>
      </c>
      <c r="N5380" s="41">
        <v>46010.5</v>
      </c>
      <c r="O5380" s="38" t="s">
        <v>123</v>
      </c>
      <c r="P5380" s="38">
        <v>1800.0</v>
      </c>
      <c r="Q5380" s="39"/>
      <c r="R5380" s="39"/>
      <c r="S5380" s="39"/>
      <c r="T5380" s="39"/>
      <c r="U5380" s="39"/>
    </row>
    <row r="5381">
      <c r="A5381" s="40">
        <f t="shared" si="1"/>
        <v>46006</v>
      </c>
      <c r="B5381" s="37" t="str">
        <f t="array" ref="B5381">iferror(xlookup($I5381, 'IMPORT VHC Report'!$E:$E, 'IMPORT VHC Report'!$A:$C), )</f>
        <v/>
      </c>
      <c r="C5381" s="37"/>
      <c r="D5381" s="37"/>
      <c r="E5381" s="38" t="s">
        <v>6413</v>
      </c>
      <c r="F5381" s="38" t="s">
        <v>6370</v>
      </c>
      <c r="G5381" s="38">
        <v>3.61964324536E11</v>
      </c>
      <c r="H5381" s="38" t="s">
        <v>6371</v>
      </c>
      <c r="I5381" s="38" t="s">
        <v>6372</v>
      </c>
      <c r="J5381" s="38" t="s">
        <v>125</v>
      </c>
      <c r="K5381" s="38" t="s">
        <v>126</v>
      </c>
      <c r="L5381" s="41">
        <v>46010.5</v>
      </c>
      <c r="M5381" s="38" t="s">
        <v>123</v>
      </c>
      <c r="N5381" s="41">
        <v>46010.583333333336</v>
      </c>
      <c r="O5381" s="38" t="s">
        <v>123</v>
      </c>
      <c r="P5381" s="38">
        <v>7200.0</v>
      </c>
      <c r="Q5381" s="39"/>
      <c r="R5381" s="39"/>
      <c r="S5381" s="39"/>
      <c r="T5381" s="39"/>
      <c r="U5381" s="39"/>
    </row>
    <row r="5382">
      <c r="A5382" s="40">
        <f t="shared" si="1"/>
        <v>46006</v>
      </c>
      <c r="B5382" s="37" t="str">
        <f t="array" ref="B5382">iferror(xlookup($I5382, 'IMPORT VHC Report'!$E:$E, 'IMPORT VHC Report'!$A:$C), )</f>
        <v/>
      </c>
      <c r="C5382" s="37"/>
      <c r="D5382" s="37"/>
      <c r="E5382" s="38" t="s">
        <v>6414</v>
      </c>
      <c r="F5382" s="38" t="s">
        <v>6370</v>
      </c>
      <c r="G5382" s="38">
        <v>3.61964324536E11</v>
      </c>
      <c r="H5382" s="38" t="s">
        <v>6371</v>
      </c>
      <c r="I5382" s="38" t="s">
        <v>6372</v>
      </c>
      <c r="J5382" s="38" t="s">
        <v>4</v>
      </c>
      <c r="K5382" s="38" t="s">
        <v>126</v>
      </c>
      <c r="L5382" s="41">
        <v>46011.208333333336</v>
      </c>
      <c r="M5382" s="38" t="s">
        <v>123</v>
      </c>
      <c r="N5382" s="41">
        <v>46011.229166666664</v>
      </c>
      <c r="O5382" s="38" t="s">
        <v>123</v>
      </c>
      <c r="P5382" s="38">
        <v>1800.0</v>
      </c>
      <c r="Q5382" s="39"/>
      <c r="R5382" s="39"/>
      <c r="S5382" s="39"/>
      <c r="T5382" s="39"/>
      <c r="U5382" s="39"/>
    </row>
    <row r="5383">
      <c r="A5383" s="40">
        <f t="shared" si="1"/>
        <v>46006</v>
      </c>
      <c r="B5383" s="37" t="str">
        <f t="array" ref="B5383">iferror(xlookup($I5383, 'IMPORT VHC Report'!$E:$E, 'IMPORT VHC Report'!$A:$C), )</f>
        <v/>
      </c>
      <c r="C5383" s="37"/>
      <c r="D5383" s="37"/>
      <c r="E5383" s="38" t="s">
        <v>6415</v>
      </c>
      <c r="F5383" s="38" t="s">
        <v>6370</v>
      </c>
      <c r="G5383" s="38">
        <v>3.61964324536E11</v>
      </c>
      <c r="H5383" s="38" t="s">
        <v>6371</v>
      </c>
      <c r="I5383" s="38" t="s">
        <v>6372</v>
      </c>
      <c r="J5383" s="38" t="s">
        <v>530</v>
      </c>
      <c r="K5383" s="38" t="s">
        <v>63</v>
      </c>
      <c r="L5383" s="41">
        <v>46011.208333333336</v>
      </c>
      <c r="M5383" s="38" t="s">
        <v>123</v>
      </c>
      <c r="N5383" s="41">
        <v>46011.583333333336</v>
      </c>
      <c r="O5383" s="38" t="s">
        <v>123</v>
      </c>
      <c r="P5383" s="38">
        <v>32400.0</v>
      </c>
      <c r="Q5383" s="39"/>
      <c r="R5383" s="39"/>
      <c r="S5383" s="39"/>
      <c r="T5383" s="39"/>
      <c r="U5383" s="39"/>
    </row>
    <row r="5384">
      <c r="A5384" s="40">
        <f t="shared" si="1"/>
        <v>46006</v>
      </c>
      <c r="B5384" s="37" t="str">
        <f t="array" ref="B5384">iferror(xlookup($I5384, 'IMPORT VHC Report'!$E:$E, 'IMPORT VHC Report'!$A:$C), )</f>
        <v/>
      </c>
      <c r="C5384" s="37"/>
      <c r="D5384" s="37"/>
      <c r="E5384" s="38" t="s">
        <v>6416</v>
      </c>
      <c r="F5384" s="38" t="s">
        <v>6370</v>
      </c>
      <c r="G5384" s="38">
        <v>3.61964324536E11</v>
      </c>
      <c r="H5384" s="38" t="s">
        <v>6371</v>
      </c>
      <c r="I5384" s="38" t="s">
        <v>6372</v>
      </c>
      <c r="J5384" s="38" t="s">
        <v>134</v>
      </c>
      <c r="K5384" s="38" t="s">
        <v>126</v>
      </c>
      <c r="L5384" s="41">
        <v>46011.34375</v>
      </c>
      <c r="M5384" s="38" t="s">
        <v>123</v>
      </c>
      <c r="N5384" s="41">
        <v>46011.364583333336</v>
      </c>
      <c r="O5384" s="38" t="s">
        <v>123</v>
      </c>
      <c r="P5384" s="38">
        <v>1800.0</v>
      </c>
      <c r="Q5384" s="39"/>
      <c r="R5384" s="39"/>
      <c r="S5384" s="39"/>
      <c r="T5384" s="39"/>
      <c r="U5384" s="39"/>
    </row>
    <row r="5385">
      <c r="A5385" s="40">
        <f t="shared" si="1"/>
        <v>46006</v>
      </c>
      <c r="B5385" s="37" t="str">
        <f t="array" ref="B5385">iferror(xlookup($I5385, 'IMPORT VHC Report'!$E:$E, 'IMPORT VHC Report'!$A:$C), )</f>
        <v/>
      </c>
      <c r="C5385" s="37"/>
      <c r="D5385" s="37"/>
      <c r="E5385" s="38" t="s">
        <v>6417</v>
      </c>
      <c r="F5385" s="38" t="s">
        <v>6370</v>
      </c>
      <c r="G5385" s="38">
        <v>3.61964324536E11</v>
      </c>
      <c r="H5385" s="38" t="s">
        <v>6371</v>
      </c>
      <c r="I5385" s="38" t="s">
        <v>6372</v>
      </c>
      <c r="J5385" s="38" t="s">
        <v>132</v>
      </c>
      <c r="K5385" s="38" t="s">
        <v>126</v>
      </c>
      <c r="L5385" s="41">
        <v>46011.479166666664</v>
      </c>
      <c r="M5385" s="38" t="s">
        <v>123</v>
      </c>
      <c r="N5385" s="41">
        <v>46011.520833333336</v>
      </c>
      <c r="O5385" s="38" t="s">
        <v>123</v>
      </c>
      <c r="P5385" s="38">
        <v>3600.0</v>
      </c>
      <c r="Q5385" s="39"/>
      <c r="R5385" s="39"/>
      <c r="S5385" s="39"/>
      <c r="T5385" s="39"/>
      <c r="U5385" s="39"/>
    </row>
    <row r="5386">
      <c r="A5386" s="40">
        <f t="shared" si="1"/>
        <v>46006</v>
      </c>
      <c r="B5386" s="37" t="str">
        <f t="array" ref="B5386">iferror(xlookup($I5386, 'IMPORT VHC Report'!$E:$E, 'IMPORT VHC Report'!$A:$C), )</f>
        <v/>
      </c>
      <c r="C5386" s="37"/>
      <c r="D5386" s="37"/>
      <c r="E5386" s="38" t="s">
        <v>6418</v>
      </c>
      <c r="F5386" s="38" t="s">
        <v>6419</v>
      </c>
      <c r="G5386" s="38">
        <v>5.566843512207E12</v>
      </c>
      <c r="H5386" s="38" t="s">
        <v>6420</v>
      </c>
      <c r="I5386" s="38" t="s">
        <v>6421</v>
      </c>
      <c r="J5386" s="38" t="s">
        <v>330</v>
      </c>
      <c r="K5386" s="38" t="s">
        <v>126</v>
      </c>
      <c r="L5386" s="41">
        <v>46007.208333333336</v>
      </c>
      <c r="M5386" s="38" t="s">
        <v>123</v>
      </c>
      <c r="N5386" s="41">
        <v>46007.21527777778</v>
      </c>
      <c r="O5386" s="38" t="s">
        <v>123</v>
      </c>
      <c r="P5386" s="38">
        <v>600.0</v>
      </c>
      <c r="Q5386" s="39"/>
      <c r="R5386" s="39"/>
      <c r="S5386" s="39"/>
      <c r="T5386" s="39"/>
      <c r="U5386" s="39"/>
    </row>
    <row r="5387">
      <c r="A5387" s="40">
        <f t="shared" si="1"/>
        <v>46006</v>
      </c>
      <c r="B5387" s="37" t="str">
        <f t="array" ref="B5387">iferror(xlookup($I5387, 'IMPORT VHC Report'!$E:$E, 'IMPORT VHC Report'!$A:$C), )</f>
        <v/>
      </c>
      <c r="C5387" s="37"/>
      <c r="D5387" s="37"/>
      <c r="E5387" s="38" t="s">
        <v>6422</v>
      </c>
      <c r="F5387" s="38" t="s">
        <v>6419</v>
      </c>
      <c r="G5387" s="38">
        <v>5.566843512207E12</v>
      </c>
      <c r="H5387" s="38" t="s">
        <v>6420</v>
      </c>
      <c r="I5387" s="38" t="s">
        <v>6421</v>
      </c>
      <c r="J5387" s="38" t="s">
        <v>332</v>
      </c>
      <c r="K5387" s="38" t="s">
        <v>63</v>
      </c>
      <c r="L5387" s="41">
        <v>46007.208333333336</v>
      </c>
      <c r="M5387" s="38" t="s">
        <v>123</v>
      </c>
      <c r="N5387" s="41">
        <v>46007.48611111111</v>
      </c>
      <c r="O5387" s="38" t="s">
        <v>123</v>
      </c>
      <c r="P5387" s="38">
        <v>24000.0</v>
      </c>
      <c r="Q5387" s="39"/>
      <c r="R5387" s="39"/>
      <c r="S5387" s="39"/>
      <c r="T5387" s="39"/>
      <c r="U5387" s="39"/>
    </row>
    <row r="5388">
      <c r="A5388" s="40">
        <f t="shared" si="1"/>
        <v>46006</v>
      </c>
      <c r="B5388" s="37" t="str">
        <f t="array" ref="B5388">iferror(xlookup($I5388, 'IMPORT VHC Report'!$E:$E, 'IMPORT VHC Report'!$A:$C), )</f>
        <v/>
      </c>
      <c r="C5388" s="37"/>
      <c r="D5388" s="37"/>
      <c r="E5388" s="38" t="s">
        <v>6423</v>
      </c>
      <c r="F5388" s="38" t="s">
        <v>6419</v>
      </c>
      <c r="G5388" s="38">
        <v>5.566843512207E12</v>
      </c>
      <c r="H5388" s="38" t="s">
        <v>6420</v>
      </c>
      <c r="I5388" s="38" t="s">
        <v>6421</v>
      </c>
      <c r="J5388" s="38" t="s">
        <v>134</v>
      </c>
      <c r="K5388" s="38" t="s">
        <v>126</v>
      </c>
      <c r="L5388" s="41">
        <v>46007.333333333336</v>
      </c>
      <c r="M5388" s="38" t="s">
        <v>123</v>
      </c>
      <c r="N5388" s="41">
        <v>46007.354166666664</v>
      </c>
      <c r="O5388" s="38" t="s">
        <v>123</v>
      </c>
      <c r="P5388" s="38">
        <v>1800.0</v>
      </c>
      <c r="Q5388" s="39"/>
      <c r="R5388" s="39"/>
      <c r="S5388" s="39"/>
      <c r="T5388" s="39"/>
      <c r="U5388" s="39"/>
    </row>
    <row r="5389">
      <c r="A5389" s="40">
        <f t="shared" si="1"/>
        <v>46006</v>
      </c>
      <c r="B5389" s="37" t="str">
        <f t="array" ref="B5389">iferror(xlookup($I5389, 'IMPORT VHC Report'!$E:$E, 'IMPORT VHC Report'!$A:$C), )</f>
        <v/>
      </c>
      <c r="C5389" s="37"/>
      <c r="D5389" s="37"/>
      <c r="E5389" s="38" t="s">
        <v>6424</v>
      </c>
      <c r="F5389" s="38" t="s">
        <v>6419</v>
      </c>
      <c r="G5389" s="38">
        <v>5.566843512207E12</v>
      </c>
      <c r="H5389" s="38" t="s">
        <v>6420</v>
      </c>
      <c r="I5389" s="38" t="s">
        <v>6421</v>
      </c>
      <c r="J5389" s="38" t="s">
        <v>132</v>
      </c>
      <c r="K5389" s="38" t="s">
        <v>126</v>
      </c>
      <c r="L5389" s="41">
        <v>46007.4375</v>
      </c>
      <c r="M5389" s="38" t="s">
        <v>123</v>
      </c>
      <c r="N5389" s="41">
        <v>46007.479166666664</v>
      </c>
      <c r="O5389" s="38" t="s">
        <v>123</v>
      </c>
      <c r="P5389" s="38">
        <v>3600.0</v>
      </c>
      <c r="Q5389" s="39"/>
      <c r="R5389" s="39"/>
      <c r="S5389" s="38" t="s">
        <v>6425</v>
      </c>
      <c r="T5389" s="39"/>
      <c r="U5389" s="39"/>
    </row>
    <row r="5390">
      <c r="A5390" s="40">
        <f t="shared" si="1"/>
        <v>46006</v>
      </c>
      <c r="B5390" s="37" t="str">
        <f t="array" ref="B5390">iferror(xlookup($I5390, 'IMPORT VHC Report'!$E:$E, 'IMPORT VHC Report'!$A:$C), )</f>
        <v/>
      </c>
      <c r="C5390" s="37"/>
      <c r="D5390" s="37"/>
      <c r="E5390" s="38" t="s">
        <v>6426</v>
      </c>
      <c r="F5390" s="38" t="s">
        <v>6419</v>
      </c>
      <c r="G5390" s="38">
        <v>5.566843512207E12</v>
      </c>
      <c r="H5390" s="38" t="s">
        <v>6420</v>
      </c>
      <c r="I5390" s="38" t="s">
        <v>6421</v>
      </c>
      <c r="J5390" s="38" t="s">
        <v>332</v>
      </c>
      <c r="K5390" s="38" t="s">
        <v>63</v>
      </c>
      <c r="L5390" s="41">
        <v>46007.48611111111</v>
      </c>
      <c r="M5390" s="38" t="s">
        <v>123</v>
      </c>
      <c r="N5390" s="41">
        <v>46007.5</v>
      </c>
      <c r="O5390" s="38" t="s">
        <v>123</v>
      </c>
      <c r="P5390" s="38">
        <v>1200.0</v>
      </c>
      <c r="Q5390" s="39"/>
      <c r="R5390" s="39"/>
      <c r="S5390" s="39"/>
      <c r="T5390" s="39"/>
      <c r="U5390" s="39"/>
    </row>
    <row r="5391">
      <c r="A5391" s="40">
        <f t="shared" si="1"/>
        <v>46006</v>
      </c>
      <c r="B5391" s="37" t="str">
        <f t="array" ref="B5391">iferror(xlookup($I5391, 'IMPORT VHC Report'!$E:$E, 'IMPORT VHC Report'!$A:$C), )</f>
        <v/>
      </c>
      <c r="C5391" s="37"/>
      <c r="D5391" s="37"/>
      <c r="E5391" s="38" t="s">
        <v>6427</v>
      </c>
      <c r="F5391" s="38" t="s">
        <v>6419</v>
      </c>
      <c r="G5391" s="38">
        <v>5.566843512207E12</v>
      </c>
      <c r="H5391" s="38" t="s">
        <v>6420</v>
      </c>
      <c r="I5391" s="38" t="s">
        <v>6421</v>
      </c>
      <c r="J5391" s="38" t="s">
        <v>332</v>
      </c>
      <c r="K5391" s="38" t="s">
        <v>63</v>
      </c>
      <c r="L5391" s="41">
        <v>46007.5</v>
      </c>
      <c r="M5391" s="38" t="s">
        <v>123</v>
      </c>
      <c r="N5391" s="41">
        <v>46007.583333333336</v>
      </c>
      <c r="O5391" s="38" t="s">
        <v>123</v>
      </c>
      <c r="P5391" s="38">
        <v>7200.0</v>
      </c>
      <c r="Q5391" s="39"/>
      <c r="R5391" s="39"/>
      <c r="S5391" s="39"/>
      <c r="T5391" s="39"/>
      <c r="U5391" s="39"/>
    </row>
    <row r="5392">
      <c r="A5392" s="40">
        <f t="shared" si="1"/>
        <v>46006</v>
      </c>
      <c r="B5392" s="37" t="str">
        <f t="array" ref="B5392">iferror(xlookup($I5392, 'IMPORT VHC Report'!$E:$E, 'IMPORT VHC Report'!$A:$C), )</f>
        <v/>
      </c>
      <c r="C5392" s="37"/>
      <c r="D5392" s="37"/>
      <c r="E5392" s="38" t="s">
        <v>6428</v>
      </c>
      <c r="F5392" s="38" t="s">
        <v>6419</v>
      </c>
      <c r="G5392" s="38">
        <v>5.566843512207E12</v>
      </c>
      <c r="H5392" s="38" t="s">
        <v>6420</v>
      </c>
      <c r="I5392" s="38" t="s">
        <v>6421</v>
      </c>
      <c r="J5392" s="38" t="s">
        <v>136</v>
      </c>
      <c r="K5392" s="38" t="s">
        <v>126</v>
      </c>
      <c r="L5392" s="41">
        <v>46008.208333333336</v>
      </c>
      <c r="M5392" s="38" t="s">
        <v>123</v>
      </c>
      <c r="N5392" s="41">
        <v>46008.25</v>
      </c>
      <c r="O5392" s="38" t="s">
        <v>123</v>
      </c>
      <c r="P5392" s="38">
        <v>3600.0</v>
      </c>
      <c r="Q5392" s="39"/>
      <c r="R5392" s="39"/>
      <c r="S5392" s="38" t="s">
        <v>137</v>
      </c>
      <c r="T5392" s="39"/>
      <c r="U5392" s="39"/>
    </row>
    <row r="5393">
      <c r="A5393" s="40">
        <f t="shared" si="1"/>
        <v>46006</v>
      </c>
      <c r="B5393" s="37" t="str">
        <f t="array" ref="B5393">iferror(xlookup($I5393, 'IMPORT VHC Report'!$E:$E, 'IMPORT VHC Report'!$A:$C), )</f>
        <v/>
      </c>
      <c r="C5393" s="37"/>
      <c r="D5393" s="37"/>
      <c r="E5393" s="38" t="s">
        <v>6429</v>
      </c>
      <c r="F5393" s="38" t="s">
        <v>6419</v>
      </c>
      <c r="G5393" s="38">
        <v>5.566843512207E12</v>
      </c>
      <c r="H5393" s="38" t="s">
        <v>6420</v>
      </c>
      <c r="I5393" s="38" t="s">
        <v>6421</v>
      </c>
      <c r="J5393" s="38" t="s">
        <v>332</v>
      </c>
      <c r="K5393" s="38" t="s">
        <v>63</v>
      </c>
      <c r="L5393" s="41">
        <v>46008.208333333336</v>
      </c>
      <c r="M5393" s="38" t="s">
        <v>123</v>
      </c>
      <c r="N5393" s="41">
        <v>46008.583333333336</v>
      </c>
      <c r="O5393" s="38" t="s">
        <v>123</v>
      </c>
      <c r="P5393" s="38">
        <v>32400.0</v>
      </c>
      <c r="Q5393" s="39"/>
      <c r="R5393" s="39"/>
      <c r="S5393" s="39"/>
      <c r="T5393" s="39"/>
      <c r="U5393" s="39"/>
    </row>
    <row r="5394">
      <c r="A5394" s="40">
        <f t="shared" si="1"/>
        <v>46006</v>
      </c>
      <c r="B5394" s="37" t="str">
        <f t="array" ref="B5394">iferror(xlookup($I5394, 'IMPORT VHC Report'!$E:$E, 'IMPORT VHC Report'!$A:$C), )</f>
        <v/>
      </c>
      <c r="C5394" s="37"/>
      <c r="D5394" s="37"/>
      <c r="E5394" s="38" t="s">
        <v>6430</v>
      </c>
      <c r="F5394" s="38" t="s">
        <v>6419</v>
      </c>
      <c r="G5394" s="38">
        <v>5.566843512207E12</v>
      </c>
      <c r="H5394" s="38" t="s">
        <v>6420</v>
      </c>
      <c r="I5394" s="38" t="s">
        <v>6421</v>
      </c>
      <c r="J5394" s="38" t="s">
        <v>330</v>
      </c>
      <c r="K5394" s="38" t="s">
        <v>126</v>
      </c>
      <c r="L5394" s="41">
        <v>46008.25</v>
      </c>
      <c r="M5394" s="38" t="s">
        <v>123</v>
      </c>
      <c r="N5394" s="41">
        <v>46008.256944444445</v>
      </c>
      <c r="O5394" s="38" t="s">
        <v>123</v>
      </c>
      <c r="P5394" s="38">
        <v>600.0</v>
      </c>
      <c r="Q5394" s="39"/>
      <c r="R5394" s="39"/>
      <c r="S5394" s="39"/>
      <c r="T5394" s="39"/>
      <c r="U5394" s="39"/>
    </row>
    <row r="5395">
      <c r="A5395" s="40">
        <f t="shared" si="1"/>
        <v>46006</v>
      </c>
      <c r="B5395" s="37" t="str">
        <f t="array" ref="B5395">iferror(xlookup($I5395, 'IMPORT VHC Report'!$E:$E, 'IMPORT VHC Report'!$A:$C), )</f>
        <v/>
      </c>
      <c r="C5395" s="37"/>
      <c r="D5395" s="37"/>
      <c r="E5395" s="38" t="s">
        <v>6431</v>
      </c>
      <c r="F5395" s="38" t="s">
        <v>6419</v>
      </c>
      <c r="G5395" s="38">
        <v>5.566843512207E12</v>
      </c>
      <c r="H5395" s="38" t="s">
        <v>6420</v>
      </c>
      <c r="I5395" s="38" t="s">
        <v>6421</v>
      </c>
      <c r="J5395" s="38" t="s">
        <v>134</v>
      </c>
      <c r="K5395" s="38" t="s">
        <v>126</v>
      </c>
      <c r="L5395" s="41">
        <v>46008.34027777778</v>
      </c>
      <c r="M5395" s="38" t="s">
        <v>123</v>
      </c>
      <c r="N5395" s="41">
        <v>46008.36111111111</v>
      </c>
      <c r="O5395" s="38" t="s">
        <v>123</v>
      </c>
      <c r="P5395" s="38">
        <v>1800.0</v>
      </c>
      <c r="Q5395" s="39"/>
      <c r="R5395" s="39"/>
      <c r="S5395" s="43" t="s">
        <v>6432</v>
      </c>
      <c r="T5395" s="39"/>
      <c r="U5395" s="39"/>
    </row>
    <row r="5396">
      <c r="A5396" s="40">
        <f t="shared" si="1"/>
        <v>46006</v>
      </c>
      <c r="B5396" s="37" t="str">
        <f t="array" ref="B5396">iferror(xlookup($I5396, 'IMPORT VHC Report'!$E:$E, 'IMPORT VHC Report'!$A:$C), )</f>
        <v/>
      </c>
      <c r="C5396" s="37"/>
      <c r="D5396" s="37"/>
      <c r="E5396" s="38" t="s">
        <v>6433</v>
      </c>
      <c r="F5396" s="38" t="s">
        <v>6419</v>
      </c>
      <c r="G5396" s="38">
        <v>5.566843512207E12</v>
      </c>
      <c r="H5396" s="38" t="s">
        <v>6420</v>
      </c>
      <c r="I5396" s="38" t="s">
        <v>6421</v>
      </c>
      <c r="J5396" s="38" t="s">
        <v>132</v>
      </c>
      <c r="K5396" s="38" t="s">
        <v>126</v>
      </c>
      <c r="L5396" s="41">
        <v>46008.447916666664</v>
      </c>
      <c r="M5396" s="38" t="s">
        <v>123</v>
      </c>
      <c r="N5396" s="41">
        <v>46008.489583333336</v>
      </c>
      <c r="O5396" s="38" t="s">
        <v>123</v>
      </c>
      <c r="P5396" s="38">
        <v>3600.0</v>
      </c>
      <c r="Q5396" s="39"/>
      <c r="R5396" s="39"/>
      <c r="S5396" s="39"/>
      <c r="T5396" s="39"/>
      <c r="U5396" s="39"/>
    </row>
    <row r="5397">
      <c r="A5397" s="40">
        <f t="shared" si="1"/>
        <v>46006</v>
      </c>
      <c r="B5397" s="37" t="str">
        <f t="array" ref="B5397">iferror(xlookup($I5397, 'IMPORT VHC Report'!$E:$E, 'IMPORT VHC Report'!$A:$C), )</f>
        <v/>
      </c>
      <c r="C5397" s="37"/>
      <c r="D5397" s="37"/>
      <c r="E5397" s="38" t="s">
        <v>6434</v>
      </c>
      <c r="F5397" s="38" t="s">
        <v>6419</v>
      </c>
      <c r="G5397" s="38">
        <v>5.566843512207E12</v>
      </c>
      <c r="H5397" s="38" t="s">
        <v>6420</v>
      </c>
      <c r="I5397" s="38" t="s">
        <v>6421</v>
      </c>
      <c r="J5397" s="38" t="s">
        <v>330</v>
      </c>
      <c r="K5397" s="38" t="s">
        <v>126</v>
      </c>
      <c r="L5397" s="41">
        <v>46009.208333333336</v>
      </c>
      <c r="M5397" s="38" t="s">
        <v>123</v>
      </c>
      <c r="N5397" s="41">
        <v>46009.21527777778</v>
      </c>
      <c r="O5397" s="38" t="s">
        <v>123</v>
      </c>
      <c r="P5397" s="38">
        <v>600.0</v>
      </c>
      <c r="Q5397" s="39"/>
      <c r="R5397" s="39"/>
      <c r="S5397" s="39"/>
      <c r="T5397" s="39"/>
      <c r="U5397" s="39"/>
    </row>
    <row r="5398">
      <c r="A5398" s="40">
        <f t="shared" si="1"/>
        <v>46006</v>
      </c>
      <c r="B5398" s="37" t="str">
        <f t="array" ref="B5398">iferror(xlookup($I5398, 'IMPORT VHC Report'!$E:$E, 'IMPORT VHC Report'!$A:$C), )</f>
        <v/>
      </c>
      <c r="C5398" s="37"/>
      <c r="D5398" s="37"/>
      <c r="E5398" s="38" t="s">
        <v>6435</v>
      </c>
      <c r="F5398" s="38" t="s">
        <v>6419</v>
      </c>
      <c r="G5398" s="38">
        <v>5.566843512207E12</v>
      </c>
      <c r="H5398" s="38" t="s">
        <v>6420</v>
      </c>
      <c r="I5398" s="38" t="s">
        <v>6421</v>
      </c>
      <c r="J5398" s="38" t="s">
        <v>332</v>
      </c>
      <c r="K5398" s="38" t="s">
        <v>63</v>
      </c>
      <c r="L5398" s="41">
        <v>46009.208333333336</v>
      </c>
      <c r="M5398" s="38" t="s">
        <v>123</v>
      </c>
      <c r="N5398" s="41">
        <v>46009.583333333336</v>
      </c>
      <c r="O5398" s="38" t="s">
        <v>123</v>
      </c>
      <c r="P5398" s="38">
        <v>32400.0</v>
      </c>
      <c r="Q5398" s="39"/>
      <c r="R5398" s="39"/>
      <c r="S5398" s="39"/>
      <c r="T5398" s="39"/>
      <c r="U5398" s="39"/>
    </row>
    <row r="5399">
      <c r="A5399" s="40">
        <f t="shared" si="1"/>
        <v>46006</v>
      </c>
      <c r="B5399" s="37" t="str">
        <f t="array" ref="B5399">iferror(xlookup($I5399, 'IMPORT VHC Report'!$E:$E, 'IMPORT VHC Report'!$A:$C), )</f>
        <v/>
      </c>
      <c r="C5399" s="37"/>
      <c r="D5399" s="37"/>
      <c r="E5399" s="38" t="s">
        <v>6436</v>
      </c>
      <c r="F5399" s="38" t="s">
        <v>6419</v>
      </c>
      <c r="G5399" s="38">
        <v>5.566843512207E12</v>
      </c>
      <c r="H5399" s="38" t="s">
        <v>6420</v>
      </c>
      <c r="I5399" s="38" t="s">
        <v>6421</v>
      </c>
      <c r="J5399" s="38" t="s">
        <v>134</v>
      </c>
      <c r="K5399" s="38" t="s">
        <v>126</v>
      </c>
      <c r="L5399" s="41">
        <v>46009.319444444445</v>
      </c>
      <c r="M5399" s="38" t="s">
        <v>123</v>
      </c>
      <c r="N5399" s="41">
        <v>46009.34027777778</v>
      </c>
      <c r="O5399" s="38" t="s">
        <v>123</v>
      </c>
      <c r="P5399" s="38">
        <v>1800.0</v>
      </c>
      <c r="Q5399" s="39"/>
      <c r="R5399" s="39"/>
      <c r="S5399" s="43" t="s">
        <v>6437</v>
      </c>
      <c r="T5399" s="39"/>
      <c r="U5399" s="39"/>
    </row>
    <row r="5400">
      <c r="A5400" s="40">
        <f t="shared" si="1"/>
        <v>46006</v>
      </c>
      <c r="B5400" s="37" t="str">
        <f t="array" ref="B5400">iferror(xlookup($I5400, 'IMPORT VHC Report'!$E:$E, 'IMPORT VHC Report'!$A:$C), )</f>
        <v/>
      </c>
      <c r="C5400" s="37"/>
      <c r="D5400" s="37"/>
      <c r="E5400" s="38" t="s">
        <v>6438</v>
      </c>
      <c r="F5400" s="38" t="s">
        <v>6419</v>
      </c>
      <c r="G5400" s="38">
        <v>5.566843512207E12</v>
      </c>
      <c r="H5400" s="38" t="s">
        <v>6420</v>
      </c>
      <c r="I5400" s="38" t="s">
        <v>6421</v>
      </c>
      <c r="J5400" s="38" t="s">
        <v>132</v>
      </c>
      <c r="K5400" s="38" t="s">
        <v>126</v>
      </c>
      <c r="L5400" s="41">
        <v>46009.458333333336</v>
      </c>
      <c r="M5400" s="38" t="s">
        <v>123</v>
      </c>
      <c r="N5400" s="41">
        <v>46009.5</v>
      </c>
      <c r="O5400" s="38" t="s">
        <v>123</v>
      </c>
      <c r="P5400" s="38">
        <v>3600.0</v>
      </c>
      <c r="Q5400" s="39"/>
      <c r="R5400" s="39"/>
      <c r="S5400" s="39"/>
      <c r="T5400" s="39"/>
      <c r="U5400" s="39"/>
    </row>
    <row r="5401">
      <c r="A5401" s="40">
        <f t="shared" si="1"/>
        <v>46006</v>
      </c>
      <c r="B5401" s="37" t="str">
        <f t="array" ref="B5401">iferror(xlookup($I5401, 'IMPORT VHC Report'!$E:$E, 'IMPORT VHC Report'!$A:$C), )</f>
        <v/>
      </c>
      <c r="C5401" s="37"/>
      <c r="D5401" s="37"/>
      <c r="E5401" s="38" t="s">
        <v>6439</v>
      </c>
      <c r="F5401" s="38" t="s">
        <v>6419</v>
      </c>
      <c r="G5401" s="38">
        <v>5.566843512207E12</v>
      </c>
      <c r="H5401" s="38" t="s">
        <v>6420</v>
      </c>
      <c r="I5401" s="38" t="s">
        <v>6421</v>
      </c>
      <c r="J5401" s="38" t="s">
        <v>330</v>
      </c>
      <c r="K5401" s="38" t="s">
        <v>126</v>
      </c>
      <c r="L5401" s="41">
        <v>46010.208333333336</v>
      </c>
      <c r="M5401" s="38" t="s">
        <v>123</v>
      </c>
      <c r="N5401" s="41">
        <v>46010.21527777778</v>
      </c>
      <c r="O5401" s="38" t="s">
        <v>123</v>
      </c>
      <c r="P5401" s="38">
        <v>600.0</v>
      </c>
      <c r="Q5401" s="39"/>
      <c r="R5401" s="39"/>
      <c r="S5401" s="39"/>
      <c r="T5401" s="39"/>
      <c r="U5401" s="39"/>
    </row>
    <row r="5402">
      <c r="A5402" s="40">
        <f t="shared" si="1"/>
        <v>46006</v>
      </c>
      <c r="B5402" s="37" t="str">
        <f t="array" ref="B5402">iferror(xlookup($I5402, 'IMPORT VHC Report'!$E:$E, 'IMPORT VHC Report'!$A:$C), )</f>
        <v/>
      </c>
      <c r="C5402" s="37"/>
      <c r="D5402" s="37"/>
      <c r="E5402" s="38" t="s">
        <v>6440</v>
      </c>
      <c r="F5402" s="38" t="s">
        <v>6419</v>
      </c>
      <c r="G5402" s="38">
        <v>5.566843512207E12</v>
      </c>
      <c r="H5402" s="38" t="s">
        <v>6420</v>
      </c>
      <c r="I5402" s="38" t="s">
        <v>6421</v>
      </c>
      <c r="J5402" s="38" t="s">
        <v>332</v>
      </c>
      <c r="K5402" s="38" t="s">
        <v>63</v>
      </c>
      <c r="L5402" s="41">
        <v>46010.208333333336</v>
      </c>
      <c r="M5402" s="38" t="s">
        <v>123</v>
      </c>
      <c r="N5402" s="41">
        <v>46010.583333333336</v>
      </c>
      <c r="O5402" s="38" t="s">
        <v>123</v>
      </c>
      <c r="P5402" s="38">
        <v>32400.0</v>
      </c>
      <c r="Q5402" s="39"/>
      <c r="R5402" s="39"/>
      <c r="S5402" s="39"/>
      <c r="T5402" s="39"/>
      <c r="U5402" s="39"/>
    </row>
    <row r="5403">
      <c r="A5403" s="40">
        <f t="shared" si="1"/>
        <v>46006</v>
      </c>
      <c r="B5403" s="37" t="str">
        <f t="array" ref="B5403">iferror(xlookup($I5403, 'IMPORT VHC Report'!$E:$E, 'IMPORT VHC Report'!$A:$C), )</f>
        <v/>
      </c>
      <c r="C5403" s="37"/>
      <c r="D5403" s="37"/>
      <c r="E5403" s="38" t="s">
        <v>6441</v>
      </c>
      <c r="F5403" s="38" t="s">
        <v>6419</v>
      </c>
      <c r="G5403" s="38">
        <v>5.566843512207E12</v>
      </c>
      <c r="H5403" s="38" t="s">
        <v>6420</v>
      </c>
      <c r="I5403" s="38" t="s">
        <v>6421</v>
      </c>
      <c r="J5403" s="38" t="s">
        <v>132</v>
      </c>
      <c r="K5403" s="38" t="s">
        <v>126</v>
      </c>
      <c r="L5403" s="41">
        <v>46010.3125</v>
      </c>
      <c r="M5403" s="38" t="s">
        <v>123</v>
      </c>
      <c r="N5403" s="41">
        <v>46010.354166666664</v>
      </c>
      <c r="O5403" s="38" t="s">
        <v>123</v>
      </c>
      <c r="P5403" s="38">
        <v>3600.0</v>
      </c>
      <c r="Q5403" s="39"/>
      <c r="R5403" s="39"/>
      <c r="S5403" s="39"/>
      <c r="T5403" s="39"/>
      <c r="U5403" s="39"/>
    </row>
    <row r="5404">
      <c r="A5404" s="40">
        <f t="shared" si="1"/>
        <v>46006</v>
      </c>
      <c r="B5404" s="37" t="str">
        <f t="array" ref="B5404">iferror(xlookup($I5404, 'IMPORT VHC Report'!$E:$E, 'IMPORT VHC Report'!$A:$C), )</f>
        <v/>
      </c>
      <c r="C5404" s="37"/>
      <c r="D5404" s="37"/>
      <c r="E5404" s="38" t="s">
        <v>6442</v>
      </c>
      <c r="F5404" s="38" t="s">
        <v>6419</v>
      </c>
      <c r="G5404" s="38">
        <v>5.566843512207E12</v>
      </c>
      <c r="H5404" s="38" t="s">
        <v>6420</v>
      </c>
      <c r="I5404" s="38" t="s">
        <v>6421</v>
      </c>
      <c r="J5404" s="38" t="s">
        <v>134</v>
      </c>
      <c r="K5404" s="38" t="s">
        <v>126</v>
      </c>
      <c r="L5404" s="41">
        <v>46010.458333333336</v>
      </c>
      <c r="M5404" s="38" t="s">
        <v>123</v>
      </c>
      <c r="N5404" s="41">
        <v>46010.479166666664</v>
      </c>
      <c r="O5404" s="38" t="s">
        <v>123</v>
      </c>
      <c r="P5404" s="38">
        <v>1800.0</v>
      </c>
      <c r="Q5404" s="39"/>
      <c r="R5404" s="39"/>
      <c r="S5404" s="39"/>
      <c r="T5404" s="39"/>
      <c r="U5404" s="39"/>
    </row>
    <row r="5405">
      <c r="A5405" s="40">
        <f t="shared" si="1"/>
        <v>46006</v>
      </c>
      <c r="B5405" s="37" t="str">
        <f t="array" ref="B5405">iferror(xlookup($I5405, 'IMPORT VHC Report'!$E:$E, 'IMPORT VHC Report'!$A:$C), )</f>
        <v/>
      </c>
      <c r="C5405" s="37"/>
      <c r="D5405" s="37"/>
      <c r="E5405" s="38" t="s">
        <v>6443</v>
      </c>
      <c r="F5405" s="38" t="s">
        <v>6419</v>
      </c>
      <c r="G5405" s="38">
        <v>5.566843512207E12</v>
      </c>
      <c r="H5405" s="38" t="s">
        <v>6420</v>
      </c>
      <c r="I5405" s="38" t="s">
        <v>6421</v>
      </c>
      <c r="J5405" s="38" t="s">
        <v>330</v>
      </c>
      <c r="K5405" s="38" t="s">
        <v>126</v>
      </c>
      <c r="L5405" s="41">
        <v>46011.208333333336</v>
      </c>
      <c r="M5405" s="38" t="s">
        <v>123</v>
      </c>
      <c r="N5405" s="41">
        <v>46011.21527777778</v>
      </c>
      <c r="O5405" s="38" t="s">
        <v>123</v>
      </c>
      <c r="P5405" s="38">
        <v>600.0</v>
      </c>
      <c r="Q5405" s="39"/>
      <c r="R5405" s="39"/>
      <c r="S5405" s="39"/>
      <c r="T5405" s="39"/>
      <c r="U5405" s="39"/>
    </row>
    <row r="5406">
      <c r="A5406" s="40">
        <f t="shared" si="1"/>
        <v>46006</v>
      </c>
      <c r="B5406" s="37" t="str">
        <f t="array" ref="B5406">iferror(xlookup($I5406, 'IMPORT VHC Report'!$E:$E, 'IMPORT VHC Report'!$A:$C), )</f>
        <v/>
      </c>
      <c r="C5406" s="37"/>
      <c r="D5406" s="37"/>
      <c r="E5406" s="38" t="s">
        <v>6444</v>
      </c>
      <c r="F5406" s="38" t="s">
        <v>6419</v>
      </c>
      <c r="G5406" s="38">
        <v>5.566843512207E12</v>
      </c>
      <c r="H5406" s="38" t="s">
        <v>6420</v>
      </c>
      <c r="I5406" s="38" t="s">
        <v>6421</v>
      </c>
      <c r="J5406" s="38" t="s">
        <v>332</v>
      </c>
      <c r="K5406" s="38" t="s">
        <v>63</v>
      </c>
      <c r="L5406" s="41">
        <v>46011.208333333336</v>
      </c>
      <c r="M5406" s="38" t="s">
        <v>123</v>
      </c>
      <c r="N5406" s="41">
        <v>46011.583333333336</v>
      </c>
      <c r="O5406" s="38" t="s">
        <v>123</v>
      </c>
      <c r="P5406" s="38">
        <v>32400.0</v>
      </c>
      <c r="Q5406" s="39"/>
      <c r="R5406" s="39"/>
      <c r="S5406" s="39"/>
      <c r="T5406" s="39"/>
      <c r="U5406" s="39"/>
    </row>
    <row r="5407">
      <c r="A5407" s="40">
        <f t="shared" si="1"/>
        <v>46006</v>
      </c>
      <c r="B5407" s="37" t="str">
        <f t="array" ref="B5407">iferror(xlookup($I5407, 'IMPORT VHC Report'!$E:$E, 'IMPORT VHC Report'!$A:$C), )</f>
        <v/>
      </c>
      <c r="C5407" s="37"/>
      <c r="D5407" s="37"/>
      <c r="E5407" s="38" t="s">
        <v>6445</v>
      </c>
      <c r="F5407" s="38" t="s">
        <v>6419</v>
      </c>
      <c r="G5407" s="38">
        <v>5.566843512207E12</v>
      </c>
      <c r="H5407" s="38" t="s">
        <v>6420</v>
      </c>
      <c r="I5407" s="38" t="s">
        <v>6421</v>
      </c>
      <c r="J5407" s="38" t="s">
        <v>132</v>
      </c>
      <c r="K5407" s="38" t="s">
        <v>126</v>
      </c>
      <c r="L5407" s="41">
        <v>46011.3125</v>
      </c>
      <c r="M5407" s="38" t="s">
        <v>123</v>
      </c>
      <c r="N5407" s="41">
        <v>46011.354166666664</v>
      </c>
      <c r="O5407" s="38" t="s">
        <v>123</v>
      </c>
      <c r="P5407" s="38">
        <v>3600.0</v>
      </c>
      <c r="Q5407" s="39"/>
      <c r="R5407" s="39"/>
      <c r="S5407" s="39"/>
      <c r="T5407" s="39"/>
      <c r="U5407" s="39"/>
    </row>
    <row r="5408">
      <c r="A5408" s="40">
        <f t="shared" si="1"/>
        <v>46006</v>
      </c>
      <c r="B5408" s="37" t="str">
        <f t="array" ref="B5408">iferror(xlookup($I5408, 'IMPORT VHC Report'!$E:$E, 'IMPORT VHC Report'!$A:$C), )</f>
        <v/>
      </c>
      <c r="C5408" s="37"/>
      <c r="D5408" s="37"/>
      <c r="E5408" s="38" t="s">
        <v>6446</v>
      </c>
      <c r="F5408" s="38" t="s">
        <v>6419</v>
      </c>
      <c r="G5408" s="38">
        <v>5.566843512207E12</v>
      </c>
      <c r="H5408" s="38" t="s">
        <v>6420</v>
      </c>
      <c r="I5408" s="38" t="s">
        <v>6421</v>
      </c>
      <c r="J5408" s="38" t="s">
        <v>134</v>
      </c>
      <c r="K5408" s="38" t="s">
        <v>126</v>
      </c>
      <c r="L5408" s="41">
        <v>46011.4375</v>
      </c>
      <c r="M5408" s="38" t="s">
        <v>123</v>
      </c>
      <c r="N5408" s="41">
        <v>46011.458333333336</v>
      </c>
      <c r="O5408" s="38" t="s">
        <v>123</v>
      </c>
      <c r="P5408" s="38">
        <v>1800.0</v>
      </c>
      <c r="Q5408" s="39"/>
      <c r="R5408" s="39"/>
      <c r="S5408" s="39"/>
      <c r="T5408" s="39"/>
      <c r="U5408" s="39"/>
    </row>
    <row r="5409">
      <c r="A5409" s="40">
        <f t="shared" si="1"/>
        <v>46006</v>
      </c>
      <c r="B5409" s="37" t="str">
        <f t="array" ref="B5409">iferror(xlookup($I5409, 'IMPORT VHC Report'!$E:$E, 'IMPORT VHC Report'!$A:$C), )</f>
        <v/>
      </c>
      <c r="C5409" s="37"/>
      <c r="D5409" s="37"/>
      <c r="E5409" s="38" t="s">
        <v>6447</v>
      </c>
      <c r="F5409" s="38" t="s">
        <v>6448</v>
      </c>
      <c r="G5409" s="38">
        <v>3.61724829156E11</v>
      </c>
      <c r="H5409" s="38" t="s">
        <v>6449</v>
      </c>
      <c r="I5409" s="38" t="s">
        <v>6450</v>
      </c>
      <c r="J5409" s="38" t="s">
        <v>4</v>
      </c>
      <c r="K5409" s="38" t="s">
        <v>126</v>
      </c>
      <c r="L5409" s="41">
        <v>46007.208333333336</v>
      </c>
      <c r="M5409" s="38" t="s">
        <v>123</v>
      </c>
      <c r="N5409" s="41">
        <v>46007.25</v>
      </c>
      <c r="O5409" s="38" t="s">
        <v>123</v>
      </c>
      <c r="P5409" s="38">
        <v>3600.0</v>
      </c>
      <c r="Q5409" s="39"/>
      <c r="R5409" s="39"/>
      <c r="S5409" s="39"/>
      <c r="T5409" s="39"/>
      <c r="U5409" s="39"/>
    </row>
    <row r="5410">
      <c r="A5410" s="40">
        <f t="shared" si="1"/>
        <v>46006</v>
      </c>
      <c r="B5410" s="37" t="str">
        <f t="array" ref="B5410">iferror(xlookup($I5410, 'IMPORT VHC Report'!$E:$E, 'IMPORT VHC Report'!$A:$C), )</f>
        <v/>
      </c>
      <c r="C5410" s="37"/>
      <c r="D5410" s="37"/>
      <c r="E5410" s="38" t="s">
        <v>6451</v>
      </c>
      <c r="F5410" s="38" t="s">
        <v>6448</v>
      </c>
      <c r="G5410" s="38">
        <v>3.61724829156E11</v>
      </c>
      <c r="H5410" s="38" t="s">
        <v>6449</v>
      </c>
      <c r="I5410" s="38" t="s">
        <v>6450</v>
      </c>
      <c r="J5410" s="38" t="s">
        <v>530</v>
      </c>
      <c r="K5410" s="38" t="s">
        <v>63</v>
      </c>
      <c r="L5410" s="41">
        <v>46007.208333333336</v>
      </c>
      <c r="M5410" s="38" t="s">
        <v>123</v>
      </c>
      <c r="N5410" s="41">
        <v>46007.583333333336</v>
      </c>
      <c r="O5410" s="38" t="s">
        <v>123</v>
      </c>
      <c r="P5410" s="38">
        <v>32400.0</v>
      </c>
      <c r="Q5410" s="39"/>
      <c r="R5410" s="39"/>
      <c r="S5410" s="39"/>
      <c r="T5410" s="39"/>
      <c r="U5410" s="39"/>
    </row>
    <row r="5411">
      <c r="A5411" s="40">
        <f t="shared" si="1"/>
        <v>46006</v>
      </c>
      <c r="B5411" s="37" t="str">
        <f t="array" ref="B5411">iferror(xlookup($I5411, 'IMPORT VHC Report'!$E:$E, 'IMPORT VHC Report'!$A:$C), )</f>
        <v/>
      </c>
      <c r="C5411" s="37"/>
      <c r="D5411" s="37"/>
      <c r="E5411" s="38" t="s">
        <v>6452</v>
      </c>
      <c r="F5411" s="38" t="s">
        <v>6448</v>
      </c>
      <c r="G5411" s="38">
        <v>3.61724829156E11</v>
      </c>
      <c r="H5411" s="38" t="s">
        <v>6449</v>
      </c>
      <c r="I5411" s="38" t="s">
        <v>6450</v>
      </c>
      <c r="J5411" s="38" t="s">
        <v>125</v>
      </c>
      <c r="K5411" s="38" t="s">
        <v>126</v>
      </c>
      <c r="L5411" s="41">
        <v>46007.26666666667</v>
      </c>
      <c r="M5411" s="38" t="s">
        <v>123</v>
      </c>
      <c r="N5411" s="41">
        <v>46007.294444444444</v>
      </c>
      <c r="O5411" s="38" t="s">
        <v>123</v>
      </c>
      <c r="P5411" s="38">
        <v>2400.0</v>
      </c>
      <c r="Q5411" s="39"/>
      <c r="R5411" s="39"/>
      <c r="S5411" s="38" t="s">
        <v>6453</v>
      </c>
      <c r="T5411" s="39"/>
      <c r="U5411" s="39"/>
    </row>
    <row r="5412">
      <c r="A5412" s="40">
        <f t="shared" si="1"/>
        <v>46006</v>
      </c>
      <c r="B5412" s="37" t="str">
        <f t="array" ref="B5412">iferror(xlookup($I5412, 'IMPORT VHC Report'!$E:$E, 'IMPORT VHC Report'!$A:$C), )</f>
        <v/>
      </c>
      <c r="C5412" s="37"/>
      <c r="D5412" s="37"/>
      <c r="E5412" s="38" t="s">
        <v>6454</v>
      </c>
      <c r="F5412" s="38" t="s">
        <v>6448</v>
      </c>
      <c r="G5412" s="38">
        <v>3.61724829156E11</v>
      </c>
      <c r="H5412" s="38" t="s">
        <v>6449</v>
      </c>
      <c r="I5412" s="38" t="s">
        <v>6450</v>
      </c>
      <c r="J5412" s="38" t="s">
        <v>4</v>
      </c>
      <c r="K5412" s="38" t="s">
        <v>126</v>
      </c>
      <c r="L5412" s="41">
        <v>46007.375</v>
      </c>
      <c r="M5412" s="38" t="s">
        <v>123</v>
      </c>
      <c r="N5412" s="41">
        <v>46007.430555555555</v>
      </c>
      <c r="O5412" s="38" t="s">
        <v>123</v>
      </c>
      <c r="P5412" s="38">
        <v>4800.0</v>
      </c>
      <c r="Q5412" s="39"/>
      <c r="R5412" s="39"/>
      <c r="S5412" s="38" t="s">
        <v>1209</v>
      </c>
      <c r="T5412" s="39"/>
      <c r="U5412" s="39"/>
    </row>
    <row r="5413">
      <c r="A5413" s="40">
        <f t="shared" si="1"/>
        <v>46006</v>
      </c>
      <c r="B5413" s="37" t="str">
        <f t="array" ref="B5413">iferror(xlookup($I5413, 'IMPORT VHC Report'!$E:$E, 'IMPORT VHC Report'!$A:$C), )</f>
        <v/>
      </c>
      <c r="C5413" s="37"/>
      <c r="D5413" s="37"/>
      <c r="E5413" s="38" t="s">
        <v>6455</v>
      </c>
      <c r="F5413" s="38" t="s">
        <v>6448</v>
      </c>
      <c r="G5413" s="38">
        <v>3.61724829156E11</v>
      </c>
      <c r="H5413" s="38" t="s">
        <v>6449</v>
      </c>
      <c r="I5413" s="38" t="s">
        <v>6450</v>
      </c>
      <c r="J5413" s="38" t="s">
        <v>4</v>
      </c>
      <c r="K5413" s="38" t="s">
        <v>126</v>
      </c>
      <c r="L5413" s="41">
        <v>46007.430555555555</v>
      </c>
      <c r="M5413" s="38" t="s">
        <v>123</v>
      </c>
      <c r="N5413" s="41">
        <v>46007.46875</v>
      </c>
      <c r="O5413" s="38" t="s">
        <v>123</v>
      </c>
      <c r="P5413" s="38">
        <v>3300.0</v>
      </c>
      <c r="Q5413" s="39"/>
      <c r="R5413" s="39"/>
      <c r="S5413" s="38" t="s">
        <v>858</v>
      </c>
      <c r="T5413" s="39"/>
      <c r="U5413" s="39"/>
    </row>
    <row r="5414">
      <c r="A5414" s="40">
        <f t="shared" si="1"/>
        <v>46006</v>
      </c>
      <c r="B5414" s="37" t="str">
        <f t="array" ref="B5414">iferror(xlookup($I5414, 'IMPORT VHC Report'!$E:$E, 'IMPORT VHC Report'!$A:$C), )</f>
        <v/>
      </c>
      <c r="C5414" s="37"/>
      <c r="D5414" s="37"/>
      <c r="E5414" s="38" t="s">
        <v>6456</v>
      </c>
      <c r="F5414" s="38" t="s">
        <v>6448</v>
      </c>
      <c r="G5414" s="38">
        <v>3.61724829156E11</v>
      </c>
      <c r="H5414" s="38" t="s">
        <v>6449</v>
      </c>
      <c r="I5414" s="38" t="s">
        <v>6450</v>
      </c>
      <c r="J5414" s="38" t="s">
        <v>125</v>
      </c>
      <c r="K5414" s="38" t="s">
        <v>126</v>
      </c>
      <c r="L5414" s="41">
        <v>46007.48125</v>
      </c>
      <c r="M5414" s="38" t="s">
        <v>123</v>
      </c>
      <c r="N5414" s="41">
        <v>46007.52291666667</v>
      </c>
      <c r="O5414" s="38" t="s">
        <v>123</v>
      </c>
      <c r="P5414" s="38">
        <v>3600.0</v>
      </c>
      <c r="Q5414" s="39"/>
      <c r="R5414" s="39"/>
      <c r="S5414" s="38" t="s">
        <v>6457</v>
      </c>
      <c r="T5414" s="39"/>
      <c r="U5414" s="39"/>
    </row>
    <row r="5415">
      <c r="A5415" s="40">
        <f t="shared" si="1"/>
        <v>46006</v>
      </c>
      <c r="B5415" s="37" t="str">
        <f t="array" ref="B5415">iferror(xlookup($I5415, 'IMPORT VHC Report'!$E:$E, 'IMPORT VHC Report'!$A:$C), )</f>
        <v/>
      </c>
      <c r="C5415" s="37"/>
      <c r="D5415" s="37"/>
      <c r="E5415" s="38" t="s">
        <v>6458</v>
      </c>
      <c r="F5415" s="38" t="s">
        <v>6448</v>
      </c>
      <c r="G5415" s="38">
        <v>3.61724829156E11</v>
      </c>
      <c r="H5415" s="38" t="s">
        <v>6449</v>
      </c>
      <c r="I5415" s="38" t="s">
        <v>6450</v>
      </c>
      <c r="J5415" s="38" t="s">
        <v>132</v>
      </c>
      <c r="K5415" s="38" t="s">
        <v>126</v>
      </c>
      <c r="L5415" s="41">
        <v>46007.52291666667</v>
      </c>
      <c r="M5415" s="38" t="s">
        <v>123</v>
      </c>
      <c r="N5415" s="41">
        <v>46007.5625</v>
      </c>
      <c r="O5415" s="38" t="s">
        <v>123</v>
      </c>
      <c r="P5415" s="38">
        <v>3420.0</v>
      </c>
      <c r="Q5415" s="39"/>
      <c r="R5415" s="39"/>
      <c r="S5415" s="39"/>
      <c r="T5415" s="39"/>
      <c r="U5415" s="39"/>
    </row>
    <row r="5416">
      <c r="A5416" s="40">
        <f t="shared" si="1"/>
        <v>46006</v>
      </c>
      <c r="B5416" s="37" t="str">
        <f t="array" ref="B5416">iferror(xlookup($I5416, 'IMPORT VHC Report'!$E:$E, 'IMPORT VHC Report'!$A:$C), )</f>
        <v/>
      </c>
      <c r="C5416" s="37"/>
      <c r="D5416" s="37"/>
      <c r="E5416" s="38" t="s">
        <v>6459</v>
      </c>
      <c r="F5416" s="38" t="s">
        <v>6448</v>
      </c>
      <c r="G5416" s="38">
        <v>3.61724829156E11</v>
      </c>
      <c r="H5416" s="38" t="s">
        <v>6449</v>
      </c>
      <c r="I5416" s="38" t="s">
        <v>6450</v>
      </c>
      <c r="J5416" s="38" t="s">
        <v>134</v>
      </c>
      <c r="K5416" s="38" t="s">
        <v>126</v>
      </c>
      <c r="L5416" s="41">
        <v>46007.5625</v>
      </c>
      <c r="M5416" s="38" t="s">
        <v>123</v>
      </c>
      <c r="N5416" s="41">
        <v>46007.583333333336</v>
      </c>
      <c r="O5416" s="38" t="s">
        <v>123</v>
      </c>
      <c r="P5416" s="38">
        <v>1800.0</v>
      </c>
      <c r="Q5416" s="39"/>
      <c r="R5416" s="39"/>
      <c r="S5416" s="39"/>
      <c r="T5416" s="39"/>
      <c r="U5416" s="39"/>
    </row>
    <row r="5417">
      <c r="A5417" s="40">
        <f t="shared" si="1"/>
        <v>46006</v>
      </c>
      <c r="B5417" s="37" t="str">
        <f t="array" ref="B5417">iferror(xlookup($I5417, 'IMPORT VHC Report'!$E:$E, 'IMPORT VHC Report'!$A:$C), )</f>
        <v/>
      </c>
      <c r="C5417" s="37"/>
      <c r="D5417" s="37"/>
      <c r="E5417" s="38" t="s">
        <v>6460</v>
      </c>
      <c r="F5417" s="38" t="s">
        <v>6448</v>
      </c>
      <c r="G5417" s="38">
        <v>3.61724829156E11</v>
      </c>
      <c r="H5417" s="38" t="s">
        <v>6449</v>
      </c>
      <c r="I5417" s="38" t="s">
        <v>6450</v>
      </c>
      <c r="J5417" s="38" t="s">
        <v>4</v>
      </c>
      <c r="K5417" s="38" t="s">
        <v>126</v>
      </c>
      <c r="L5417" s="41">
        <v>46008.208333333336</v>
      </c>
      <c r="M5417" s="38" t="s">
        <v>123</v>
      </c>
      <c r="N5417" s="41">
        <v>46008.229166666664</v>
      </c>
      <c r="O5417" s="38" t="s">
        <v>123</v>
      </c>
      <c r="P5417" s="38">
        <v>1800.0</v>
      </c>
      <c r="Q5417" s="39"/>
      <c r="R5417" s="39"/>
      <c r="S5417" s="39"/>
      <c r="T5417" s="39"/>
      <c r="U5417" s="39"/>
    </row>
    <row r="5418">
      <c r="A5418" s="40">
        <f t="shared" si="1"/>
        <v>46006</v>
      </c>
      <c r="B5418" s="37" t="str">
        <f t="array" ref="B5418">iferror(xlookup($I5418, 'IMPORT VHC Report'!$E:$E, 'IMPORT VHC Report'!$A:$C), )</f>
        <v/>
      </c>
      <c r="C5418" s="37"/>
      <c r="D5418" s="37"/>
      <c r="E5418" s="38" t="s">
        <v>6461</v>
      </c>
      <c r="F5418" s="38" t="s">
        <v>6448</v>
      </c>
      <c r="G5418" s="38">
        <v>3.61724829156E11</v>
      </c>
      <c r="H5418" s="38" t="s">
        <v>6449</v>
      </c>
      <c r="I5418" s="38" t="s">
        <v>6450</v>
      </c>
      <c r="J5418" s="38" t="s">
        <v>530</v>
      </c>
      <c r="K5418" s="38" t="s">
        <v>63</v>
      </c>
      <c r="L5418" s="41">
        <v>46008.208333333336</v>
      </c>
      <c r="M5418" s="38" t="s">
        <v>123</v>
      </c>
      <c r="N5418" s="41">
        <v>46008.583333333336</v>
      </c>
      <c r="O5418" s="38" t="s">
        <v>123</v>
      </c>
      <c r="P5418" s="38">
        <v>32400.0</v>
      </c>
      <c r="Q5418" s="39"/>
      <c r="R5418" s="39"/>
      <c r="S5418" s="39"/>
      <c r="T5418" s="39"/>
      <c r="U5418" s="39"/>
    </row>
    <row r="5419">
      <c r="A5419" s="40">
        <f t="shared" si="1"/>
        <v>46006</v>
      </c>
      <c r="B5419" s="37" t="str">
        <f t="array" ref="B5419">iferror(xlookup($I5419, 'IMPORT VHC Report'!$E:$E, 'IMPORT VHC Report'!$A:$C), )</f>
        <v/>
      </c>
      <c r="C5419" s="37"/>
      <c r="D5419" s="37"/>
      <c r="E5419" s="38" t="s">
        <v>6462</v>
      </c>
      <c r="F5419" s="38" t="s">
        <v>6448</v>
      </c>
      <c r="G5419" s="38">
        <v>3.61724829156E11</v>
      </c>
      <c r="H5419" s="38" t="s">
        <v>6449</v>
      </c>
      <c r="I5419" s="38" t="s">
        <v>6450</v>
      </c>
      <c r="J5419" s="38" t="s">
        <v>178</v>
      </c>
      <c r="K5419" s="38" t="s">
        <v>153</v>
      </c>
      <c r="L5419" s="41">
        <v>46008.208333333336</v>
      </c>
      <c r="M5419" s="38" t="s">
        <v>123</v>
      </c>
      <c r="N5419" s="41">
        <v>46008.583333333336</v>
      </c>
      <c r="O5419" s="38" t="s">
        <v>123</v>
      </c>
      <c r="P5419" s="38">
        <v>32400.0</v>
      </c>
      <c r="Q5419" s="38">
        <v>115200.0</v>
      </c>
      <c r="R5419" s="38" t="s">
        <v>6463</v>
      </c>
      <c r="S5419" s="39"/>
      <c r="T5419" s="39"/>
      <c r="U5419" s="39"/>
    </row>
    <row r="5420">
      <c r="A5420" s="40">
        <f t="shared" si="1"/>
        <v>46006</v>
      </c>
      <c r="B5420" s="37" t="str">
        <f t="array" ref="B5420">iferror(xlookup($I5420, 'IMPORT VHC Report'!$E:$E, 'IMPORT VHC Report'!$A:$C), )</f>
        <v/>
      </c>
      <c r="C5420" s="37"/>
      <c r="D5420" s="37"/>
      <c r="E5420" s="38" t="s">
        <v>6464</v>
      </c>
      <c r="F5420" s="38" t="s">
        <v>6448</v>
      </c>
      <c r="G5420" s="38">
        <v>3.61724829156E11</v>
      </c>
      <c r="H5420" s="38" t="s">
        <v>6449</v>
      </c>
      <c r="I5420" s="38" t="s">
        <v>6450</v>
      </c>
      <c r="J5420" s="38" t="s">
        <v>134</v>
      </c>
      <c r="K5420" s="38" t="s">
        <v>126</v>
      </c>
      <c r="L5420" s="41">
        <v>46008.34375</v>
      </c>
      <c r="M5420" s="38" t="s">
        <v>123</v>
      </c>
      <c r="N5420" s="41">
        <v>46008.364583333336</v>
      </c>
      <c r="O5420" s="38" t="s">
        <v>123</v>
      </c>
      <c r="P5420" s="38">
        <v>1800.0</v>
      </c>
      <c r="Q5420" s="39"/>
      <c r="R5420" s="39"/>
      <c r="S5420" s="39"/>
      <c r="T5420" s="39"/>
      <c r="U5420" s="39"/>
    </row>
    <row r="5421">
      <c r="A5421" s="40">
        <f t="shared" si="1"/>
        <v>46006</v>
      </c>
      <c r="B5421" s="37" t="str">
        <f t="array" ref="B5421">iferror(xlookup($I5421, 'IMPORT VHC Report'!$E:$E, 'IMPORT VHC Report'!$A:$C), )</f>
        <v/>
      </c>
      <c r="C5421" s="37"/>
      <c r="D5421" s="37"/>
      <c r="E5421" s="38" t="s">
        <v>6465</v>
      </c>
      <c r="F5421" s="38" t="s">
        <v>6448</v>
      </c>
      <c r="G5421" s="38">
        <v>3.61724829156E11</v>
      </c>
      <c r="H5421" s="38" t="s">
        <v>6449</v>
      </c>
      <c r="I5421" s="38" t="s">
        <v>6450</v>
      </c>
      <c r="J5421" s="38" t="s">
        <v>132</v>
      </c>
      <c r="K5421" s="38" t="s">
        <v>126</v>
      </c>
      <c r="L5421" s="41">
        <v>46008.479166666664</v>
      </c>
      <c r="M5421" s="38" t="s">
        <v>123</v>
      </c>
      <c r="N5421" s="41">
        <v>46008.520833333336</v>
      </c>
      <c r="O5421" s="38" t="s">
        <v>123</v>
      </c>
      <c r="P5421" s="38">
        <v>3600.0</v>
      </c>
      <c r="Q5421" s="39"/>
      <c r="R5421" s="39"/>
      <c r="S5421" s="39"/>
      <c r="T5421" s="39"/>
      <c r="U5421" s="39"/>
    </row>
    <row r="5422">
      <c r="A5422" s="40">
        <f t="shared" si="1"/>
        <v>46006</v>
      </c>
      <c r="B5422" s="37" t="str">
        <f t="array" ref="B5422">iferror(xlookup($I5422, 'IMPORT VHC Report'!$E:$E, 'IMPORT VHC Report'!$A:$C), )</f>
        <v/>
      </c>
      <c r="C5422" s="37"/>
      <c r="D5422" s="37"/>
      <c r="E5422" s="38" t="s">
        <v>6466</v>
      </c>
      <c r="F5422" s="38" t="s">
        <v>6448</v>
      </c>
      <c r="G5422" s="38">
        <v>3.61724829156E11</v>
      </c>
      <c r="H5422" s="38" t="s">
        <v>6449</v>
      </c>
      <c r="I5422" s="38" t="s">
        <v>6450</v>
      </c>
      <c r="J5422" s="38" t="s">
        <v>4</v>
      </c>
      <c r="K5422" s="38" t="s">
        <v>126</v>
      </c>
      <c r="L5422" s="41">
        <v>46009.208333333336</v>
      </c>
      <c r="M5422" s="38" t="s">
        <v>123</v>
      </c>
      <c r="N5422" s="41">
        <v>46009.229166666664</v>
      </c>
      <c r="O5422" s="38" t="s">
        <v>123</v>
      </c>
      <c r="P5422" s="38">
        <v>1800.0</v>
      </c>
      <c r="Q5422" s="39"/>
      <c r="R5422" s="39"/>
      <c r="S5422" s="39"/>
      <c r="T5422" s="39"/>
      <c r="U5422" s="39"/>
    </row>
    <row r="5423">
      <c r="A5423" s="40">
        <f t="shared" si="1"/>
        <v>46006</v>
      </c>
      <c r="B5423" s="37" t="str">
        <f t="array" ref="B5423">iferror(xlookup($I5423, 'IMPORT VHC Report'!$E:$E, 'IMPORT VHC Report'!$A:$C), )</f>
        <v/>
      </c>
      <c r="C5423" s="37"/>
      <c r="D5423" s="37"/>
      <c r="E5423" s="38" t="s">
        <v>6467</v>
      </c>
      <c r="F5423" s="38" t="s">
        <v>6448</v>
      </c>
      <c r="G5423" s="38">
        <v>3.61724829156E11</v>
      </c>
      <c r="H5423" s="38" t="s">
        <v>6449</v>
      </c>
      <c r="I5423" s="38" t="s">
        <v>6450</v>
      </c>
      <c r="J5423" s="38" t="s">
        <v>530</v>
      </c>
      <c r="K5423" s="38" t="s">
        <v>63</v>
      </c>
      <c r="L5423" s="41">
        <v>46009.208333333336</v>
      </c>
      <c r="M5423" s="38" t="s">
        <v>123</v>
      </c>
      <c r="N5423" s="41">
        <v>46009.583333333336</v>
      </c>
      <c r="O5423" s="38" t="s">
        <v>123</v>
      </c>
      <c r="P5423" s="38">
        <v>32400.0</v>
      </c>
      <c r="Q5423" s="39"/>
      <c r="R5423" s="39"/>
      <c r="S5423" s="39"/>
      <c r="T5423" s="39"/>
      <c r="U5423" s="39"/>
    </row>
    <row r="5424">
      <c r="A5424" s="40">
        <f t="shared" si="1"/>
        <v>46006</v>
      </c>
      <c r="B5424" s="37" t="str">
        <f t="array" ref="B5424">iferror(xlookup($I5424, 'IMPORT VHC Report'!$E:$E, 'IMPORT VHC Report'!$A:$C), )</f>
        <v/>
      </c>
      <c r="C5424" s="37"/>
      <c r="D5424" s="37"/>
      <c r="E5424" s="38" t="s">
        <v>6468</v>
      </c>
      <c r="F5424" s="38" t="s">
        <v>6448</v>
      </c>
      <c r="G5424" s="38">
        <v>3.61724829156E11</v>
      </c>
      <c r="H5424" s="38" t="s">
        <v>6449</v>
      </c>
      <c r="I5424" s="38" t="s">
        <v>6450</v>
      </c>
      <c r="J5424" s="38" t="s">
        <v>178</v>
      </c>
      <c r="K5424" s="38" t="s">
        <v>153</v>
      </c>
      <c r="L5424" s="41">
        <v>46009.208333333336</v>
      </c>
      <c r="M5424" s="38" t="s">
        <v>123</v>
      </c>
      <c r="N5424" s="41">
        <v>46009.583333333336</v>
      </c>
      <c r="O5424" s="38" t="s">
        <v>123</v>
      </c>
      <c r="P5424" s="38">
        <v>32400.0</v>
      </c>
      <c r="Q5424" s="38">
        <v>32400.0</v>
      </c>
      <c r="R5424" s="39"/>
      <c r="S5424" s="39"/>
      <c r="T5424" s="39"/>
      <c r="U5424" s="39"/>
    </row>
    <row r="5425">
      <c r="A5425" s="40">
        <f t="shared" si="1"/>
        <v>46006</v>
      </c>
      <c r="B5425" s="37" t="str">
        <f t="array" ref="B5425">iferror(xlookup($I5425, 'IMPORT VHC Report'!$E:$E, 'IMPORT VHC Report'!$A:$C), )</f>
        <v/>
      </c>
      <c r="C5425" s="37"/>
      <c r="D5425" s="37"/>
      <c r="E5425" s="38" t="s">
        <v>6469</v>
      </c>
      <c r="F5425" s="38" t="s">
        <v>6448</v>
      </c>
      <c r="G5425" s="38">
        <v>3.61724829156E11</v>
      </c>
      <c r="H5425" s="38" t="s">
        <v>6449</v>
      </c>
      <c r="I5425" s="38" t="s">
        <v>6450</v>
      </c>
      <c r="J5425" s="38" t="s">
        <v>134</v>
      </c>
      <c r="K5425" s="38" t="s">
        <v>126</v>
      </c>
      <c r="L5425" s="41">
        <v>46009.34375</v>
      </c>
      <c r="M5425" s="38" t="s">
        <v>123</v>
      </c>
      <c r="N5425" s="41">
        <v>46009.364583333336</v>
      </c>
      <c r="O5425" s="38" t="s">
        <v>123</v>
      </c>
      <c r="P5425" s="38">
        <v>1800.0</v>
      </c>
      <c r="Q5425" s="39"/>
      <c r="R5425" s="39"/>
      <c r="S5425" s="39"/>
      <c r="T5425" s="39"/>
      <c r="U5425" s="39"/>
    </row>
    <row r="5426">
      <c r="A5426" s="40">
        <f t="shared" si="1"/>
        <v>46006</v>
      </c>
      <c r="B5426" s="37" t="str">
        <f t="array" ref="B5426">iferror(xlookup($I5426, 'IMPORT VHC Report'!$E:$E, 'IMPORT VHC Report'!$A:$C), )</f>
        <v/>
      </c>
      <c r="C5426" s="37"/>
      <c r="D5426" s="37"/>
      <c r="E5426" s="38" t="s">
        <v>6470</v>
      </c>
      <c r="F5426" s="38" t="s">
        <v>6448</v>
      </c>
      <c r="G5426" s="38">
        <v>3.61724829156E11</v>
      </c>
      <c r="H5426" s="38" t="s">
        <v>6449</v>
      </c>
      <c r="I5426" s="38" t="s">
        <v>6450</v>
      </c>
      <c r="J5426" s="38" t="s">
        <v>132</v>
      </c>
      <c r="K5426" s="38" t="s">
        <v>126</v>
      </c>
      <c r="L5426" s="41">
        <v>46009.479166666664</v>
      </c>
      <c r="M5426" s="38" t="s">
        <v>123</v>
      </c>
      <c r="N5426" s="41">
        <v>46009.520833333336</v>
      </c>
      <c r="O5426" s="38" t="s">
        <v>123</v>
      </c>
      <c r="P5426" s="38">
        <v>3600.0</v>
      </c>
      <c r="Q5426" s="39"/>
      <c r="R5426" s="39"/>
      <c r="S5426" s="39"/>
      <c r="T5426" s="39"/>
      <c r="U5426" s="39"/>
    </row>
    <row r="5427">
      <c r="A5427" s="40">
        <f t="shared" si="1"/>
        <v>46006</v>
      </c>
      <c r="B5427" s="37" t="str">
        <f t="array" ref="B5427">iferror(xlookup($I5427, 'IMPORT VHC Report'!$E:$E, 'IMPORT VHC Report'!$A:$C), )</f>
        <v/>
      </c>
      <c r="C5427" s="37"/>
      <c r="D5427" s="37"/>
      <c r="E5427" s="38" t="s">
        <v>6471</v>
      </c>
      <c r="F5427" s="38" t="s">
        <v>6448</v>
      </c>
      <c r="G5427" s="38">
        <v>3.61724829156E11</v>
      </c>
      <c r="H5427" s="38" t="s">
        <v>6449</v>
      </c>
      <c r="I5427" s="38" t="s">
        <v>6450</v>
      </c>
      <c r="J5427" s="38" t="s">
        <v>4</v>
      </c>
      <c r="K5427" s="38" t="s">
        <v>126</v>
      </c>
      <c r="L5427" s="41">
        <v>46010.208333333336</v>
      </c>
      <c r="M5427" s="38" t="s">
        <v>123</v>
      </c>
      <c r="N5427" s="41">
        <v>46010.229166666664</v>
      </c>
      <c r="O5427" s="38" t="s">
        <v>123</v>
      </c>
      <c r="P5427" s="38">
        <v>1800.0</v>
      </c>
      <c r="Q5427" s="39"/>
      <c r="R5427" s="39"/>
      <c r="S5427" s="39"/>
      <c r="T5427" s="39"/>
      <c r="U5427" s="39"/>
    </row>
    <row r="5428">
      <c r="A5428" s="40">
        <f t="shared" si="1"/>
        <v>46006</v>
      </c>
      <c r="B5428" s="37" t="str">
        <f t="array" ref="B5428">iferror(xlookup($I5428, 'IMPORT VHC Report'!$E:$E, 'IMPORT VHC Report'!$A:$C), )</f>
        <v/>
      </c>
      <c r="C5428" s="37"/>
      <c r="D5428" s="37"/>
      <c r="E5428" s="38" t="s">
        <v>6472</v>
      </c>
      <c r="F5428" s="38" t="s">
        <v>6448</v>
      </c>
      <c r="G5428" s="38">
        <v>3.61724829156E11</v>
      </c>
      <c r="H5428" s="38" t="s">
        <v>6449</v>
      </c>
      <c r="I5428" s="38" t="s">
        <v>6450</v>
      </c>
      <c r="J5428" s="38" t="s">
        <v>530</v>
      </c>
      <c r="K5428" s="38" t="s">
        <v>63</v>
      </c>
      <c r="L5428" s="41">
        <v>46010.208333333336</v>
      </c>
      <c r="M5428" s="38" t="s">
        <v>123</v>
      </c>
      <c r="N5428" s="41">
        <v>46010.5625</v>
      </c>
      <c r="O5428" s="38" t="s">
        <v>123</v>
      </c>
      <c r="P5428" s="38">
        <v>30600.0</v>
      </c>
      <c r="Q5428" s="39"/>
      <c r="R5428" s="39"/>
      <c r="S5428" s="39"/>
      <c r="T5428" s="39"/>
      <c r="U5428" s="39"/>
    </row>
    <row r="5429">
      <c r="A5429" s="40">
        <f t="shared" si="1"/>
        <v>46006</v>
      </c>
      <c r="B5429" s="37" t="str">
        <f t="array" ref="B5429">iferror(xlookup($I5429, 'IMPORT VHC Report'!$E:$E, 'IMPORT VHC Report'!$A:$C), )</f>
        <v/>
      </c>
      <c r="C5429" s="37"/>
      <c r="D5429" s="37"/>
      <c r="E5429" s="38" t="s">
        <v>6473</v>
      </c>
      <c r="F5429" s="38" t="s">
        <v>6448</v>
      </c>
      <c r="G5429" s="38">
        <v>3.61724829156E11</v>
      </c>
      <c r="H5429" s="38" t="s">
        <v>6449</v>
      </c>
      <c r="I5429" s="38" t="s">
        <v>6450</v>
      </c>
      <c r="J5429" s="38" t="s">
        <v>178</v>
      </c>
      <c r="K5429" s="38" t="s">
        <v>153</v>
      </c>
      <c r="L5429" s="41">
        <v>46010.208333333336</v>
      </c>
      <c r="M5429" s="38" t="s">
        <v>123</v>
      </c>
      <c r="N5429" s="41">
        <v>46010.583333333336</v>
      </c>
      <c r="O5429" s="38" t="s">
        <v>123</v>
      </c>
      <c r="P5429" s="38">
        <v>32400.0</v>
      </c>
      <c r="Q5429" s="38">
        <v>32400.0</v>
      </c>
      <c r="R5429" s="39"/>
      <c r="S5429" s="39"/>
      <c r="T5429" s="39"/>
      <c r="U5429" s="39"/>
    </row>
    <row r="5430">
      <c r="A5430" s="40">
        <f t="shared" si="1"/>
        <v>46006</v>
      </c>
      <c r="B5430" s="37" t="str">
        <f t="array" ref="B5430">iferror(xlookup($I5430, 'IMPORT VHC Report'!$E:$E, 'IMPORT VHC Report'!$A:$C), )</f>
        <v/>
      </c>
      <c r="C5430" s="37"/>
      <c r="D5430" s="37"/>
      <c r="E5430" s="38" t="s">
        <v>6474</v>
      </c>
      <c r="F5430" s="38" t="s">
        <v>6448</v>
      </c>
      <c r="G5430" s="38">
        <v>3.61724829156E11</v>
      </c>
      <c r="H5430" s="38" t="s">
        <v>6449</v>
      </c>
      <c r="I5430" s="38" t="s">
        <v>6450</v>
      </c>
      <c r="J5430" s="38" t="s">
        <v>134</v>
      </c>
      <c r="K5430" s="38" t="s">
        <v>126</v>
      </c>
      <c r="L5430" s="41">
        <v>46010.34375</v>
      </c>
      <c r="M5430" s="38" t="s">
        <v>123</v>
      </c>
      <c r="N5430" s="41">
        <v>46010.364583333336</v>
      </c>
      <c r="O5430" s="38" t="s">
        <v>123</v>
      </c>
      <c r="P5430" s="38">
        <v>1800.0</v>
      </c>
      <c r="Q5430" s="39"/>
      <c r="R5430" s="39"/>
      <c r="S5430" s="39"/>
      <c r="T5430" s="39"/>
      <c r="U5430" s="39"/>
    </row>
    <row r="5431">
      <c r="A5431" s="40">
        <f t="shared" si="1"/>
        <v>46006</v>
      </c>
      <c r="B5431" s="37" t="str">
        <f t="array" ref="B5431">iferror(xlookup($I5431, 'IMPORT VHC Report'!$E:$E, 'IMPORT VHC Report'!$A:$C), )</f>
        <v/>
      </c>
      <c r="C5431" s="37"/>
      <c r="D5431" s="37"/>
      <c r="E5431" s="38" t="s">
        <v>6475</v>
      </c>
      <c r="F5431" s="38" t="s">
        <v>6448</v>
      </c>
      <c r="G5431" s="38">
        <v>3.61724829156E11</v>
      </c>
      <c r="H5431" s="38" t="s">
        <v>6449</v>
      </c>
      <c r="I5431" s="38" t="s">
        <v>6450</v>
      </c>
      <c r="J5431" s="38" t="s">
        <v>132</v>
      </c>
      <c r="K5431" s="38" t="s">
        <v>126</v>
      </c>
      <c r="L5431" s="41">
        <v>46010.46875</v>
      </c>
      <c r="M5431" s="38" t="s">
        <v>123</v>
      </c>
      <c r="N5431" s="41">
        <v>46010.510416666664</v>
      </c>
      <c r="O5431" s="38" t="s">
        <v>123</v>
      </c>
      <c r="P5431" s="38">
        <v>3600.0</v>
      </c>
      <c r="Q5431" s="39"/>
      <c r="R5431" s="39"/>
      <c r="S5431" s="39"/>
      <c r="T5431" s="39"/>
      <c r="U5431" s="39"/>
    </row>
    <row r="5432">
      <c r="A5432" s="40">
        <f t="shared" si="1"/>
        <v>46006</v>
      </c>
      <c r="B5432" s="37" t="str">
        <f t="array" ref="B5432">iferror(xlookup($I5432, 'IMPORT VHC Report'!$E:$E, 'IMPORT VHC Report'!$A:$C), )</f>
        <v/>
      </c>
      <c r="C5432" s="37"/>
      <c r="D5432" s="37"/>
      <c r="E5432" s="38" t="s">
        <v>6476</v>
      </c>
      <c r="F5432" s="38" t="s">
        <v>6448</v>
      </c>
      <c r="G5432" s="38">
        <v>3.61724829156E11</v>
      </c>
      <c r="H5432" s="38" t="s">
        <v>6449</v>
      </c>
      <c r="I5432" s="38" t="s">
        <v>6450</v>
      </c>
      <c r="J5432" s="38" t="s">
        <v>62</v>
      </c>
      <c r="K5432" s="38" t="s">
        <v>63</v>
      </c>
      <c r="L5432" s="41">
        <v>46010.5625</v>
      </c>
      <c r="M5432" s="38" t="s">
        <v>123</v>
      </c>
      <c r="N5432" s="41">
        <v>46010.583333333336</v>
      </c>
      <c r="O5432" s="38" t="s">
        <v>123</v>
      </c>
      <c r="P5432" s="38">
        <v>1800.0</v>
      </c>
      <c r="Q5432" s="39"/>
      <c r="R5432" s="39"/>
      <c r="S5432" s="39"/>
      <c r="T5432" s="39"/>
      <c r="U5432" s="39"/>
    </row>
    <row r="5433">
      <c r="A5433" s="40">
        <f t="shared" si="1"/>
        <v>46006</v>
      </c>
      <c r="B5433" s="37" t="str">
        <f t="array" ref="B5433">iferror(xlookup($I5433, 'IMPORT VHC Report'!$E:$E, 'IMPORT VHC Report'!$A:$C), )</f>
        <v/>
      </c>
      <c r="C5433" s="37"/>
      <c r="D5433" s="37"/>
      <c r="E5433" s="38" t="s">
        <v>6477</v>
      </c>
      <c r="F5433" s="38" t="s">
        <v>6448</v>
      </c>
      <c r="G5433" s="38">
        <v>3.61724829156E11</v>
      </c>
      <c r="H5433" s="38" t="s">
        <v>6449</v>
      </c>
      <c r="I5433" s="38" t="s">
        <v>6450</v>
      </c>
      <c r="J5433" s="38" t="s">
        <v>4</v>
      </c>
      <c r="K5433" s="38" t="s">
        <v>126</v>
      </c>
      <c r="L5433" s="41">
        <v>46011.208333333336</v>
      </c>
      <c r="M5433" s="38" t="s">
        <v>123</v>
      </c>
      <c r="N5433" s="41">
        <v>46011.229166666664</v>
      </c>
      <c r="O5433" s="38" t="s">
        <v>123</v>
      </c>
      <c r="P5433" s="38">
        <v>1800.0</v>
      </c>
      <c r="Q5433" s="39"/>
      <c r="R5433" s="39"/>
      <c r="S5433" s="39"/>
      <c r="T5433" s="39"/>
      <c r="U5433" s="39"/>
    </row>
    <row r="5434">
      <c r="A5434" s="40">
        <f t="shared" si="1"/>
        <v>46006</v>
      </c>
      <c r="B5434" s="37" t="str">
        <f t="array" ref="B5434">iferror(xlookup($I5434, 'IMPORT VHC Report'!$E:$E, 'IMPORT VHC Report'!$A:$C), )</f>
        <v/>
      </c>
      <c r="C5434" s="37"/>
      <c r="D5434" s="37"/>
      <c r="E5434" s="38" t="s">
        <v>6478</v>
      </c>
      <c r="F5434" s="38" t="s">
        <v>6448</v>
      </c>
      <c r="G5434" s="38">
        <v>3.61724829156E11</v>
      </c>
      <c r="H5434" s="38" t="s">
        <v>6449</v>
      </c>
      <c r="I5434" s="38" t="s">
        <v>6450</v>
      </c>
      <c r="J5434" s="38" t="s">
        <v>530</v>
      </c>
      <c r="K5434" s="38" t="s">
        <v>63</v>
      </c>
      <c r="L5434" s="41">
        <v>46011.208333333336</v>
      </c>
      <c r="M5434" s="38" t="s">
        <v>123</v>
      </c>
      <c r="N5434" s="41">
        <v>46011.583333333336</v>
      </c>
      <c r="O5434" s="38" t="s">
        <v>123</v>
      </c>
      <c r="P5434" s="38">
        <v>32400.0</v>
      </c>
      <c r="Q5434" s="39"/>
      <c r="R5434" s="39"/>
      <c r="S5434" s="39"/>
      <c r="T5434" s="39"/>
      <c r="U5434" s="39"/>
    </row>
    <row r="5435">
      <c r="A5435" s="40">
        <f t="shared" si="1"/>
        <v>46006</v>
      </c>
      <c r="B5435" s="37" t="str">
        <f t="array" ref="B5435">iferror(xlookup($I5435, 'IMPORT VHC Report'!$E:$E, 'IMPORT VHC Report'!$A:$C), )</f>
        <v/>
      </c>
      <c r="C5435" s="37"/>
      <c r="D5435" s="37"/>
      <c r="E5435" s="38" t="s">
        <v>6479</v>
      </c>
      <c r="F5435" s="38" t="s">
        <v>6448</v>
      </c>
      <c r="G5435" s="38">
        <v>3.61724829156E11</v>
      </c>
      <c r="H5435" s="38" t="s">
        <v>6449</v>
      </c>
      <c r="I5435" s="38" t="s">
        <v>6450</v>
      </c>
      <c r="J5435" s="38" t="s">
        <v>178</v>
      </c>
      <c r="K5435" s="38" t="s">
        <v>153</v>
      </c>
      <c r="L5435" s="41">
        <v>46011.208333333336</v>
      </c>
      <c r="M5435" s="38" t="s">
        <v>123</v>
      </c>
      <c r="N5435" s="41">
        <v>46011.583333333336</v>
      </c>
      <c r="O5435" s="38" t="s">
        <v>123</v>
      </c>
      <c r="P5435" s="38">
        <v>32400.0</v>
      </c>
      <c r="Q5435" s="38">
        <v>32400.0</v>
      </c>
      <c r="R5435" s="39"/>
      <c r="S5435" s="39"/>
      <c r="T5435" s="39"/>
      <c r="U5435" s="39"/>
    </row>
    <row r="5436">
      <c r="A5436" s="40">
        <f t="shared" si="1"/>
        <v>46006</v>
      </c>
      <c r="B5436" s="37" t="str">
        <f t="array" ref="B5436">iferror(xlookup($I5436, 'IMPORT VHC Report'!$E:$E, 'IMPORT VHC Report'!$A:$C), )</f>
        <v/>
      </c>
      <c r="C5436" s="37"/>
      <c r="D5436" s="37"/>
      <c r="E5436" s="38" t="s">
        <v>6480</v>
      </c>
      <c r="F5436" s="38" t="s">
        <v>6448</v>
      </c>
      <c r="G5436" s="38">
        <v>3.61724829156E11</v>
      </c>
      <c r="H5436" s="38" t="s">
        <v>6449</v>
      </c>
      <c r="I5436" s="38" t="s">
        <v>6450</v>
      </c>
      <c r="J5436" s="38" t="s">
        <v>132</v>
      </c>
      <c r="K5436" s="38" t="s">
        <v>126</v>
      </c>
      <c r="L5436" s="41">
        <v>46011.322916666664</v>
      </c>
      <c r="M5436" s="38" t="s">
        <v>123</v>
      </c>
      <c r="N5436" s="41">
        <v>46011.364583333336</v>
      </c>
      <c r="O5436" s="38" t="s">
        <v>123</v>
      </c>
      <c r="P5436" s="38">
        <v>3600.0</v>
      </c>
      <c r="Q5436" s="39"/>
      <c r="R5436" s="39"/>
      <c r="S5436" s="39"/>
      <c r="T5436" s="39"/>
      <c r="U5436" s="39"/>
    </row>
    <row r="5437">
      <c r="A5437" s="40">
        <f t="shared" si="1"/>
        <v>46006</v>
      </c>
      <c r="B5437" s="37" t="str">
        <f t="array" ref="B5437">iferror(xlookup($I5437, 'IMPORT VHC Report'!$E:$E, 'IMPORT VHC Report'!$A:$C), )</f>
        <v/>
      </c>
      <c r="C5437" s="37"/>
      <c r="D5437" s="37"/>
      <c r="E5437" s="38" t="s">
        <v>6481</v>
      </c>
      <c r="F5437" s="38" t="s">
        <v>6448</v>
      </c>
      <c r="G5437" s="38">
        <v>3.61724829156E11</v>
      </c>
      <c r="H5437" s="38" t="s">
        <v>6449</v>
      </c>
      <c r="I5437" s="38" t="s">
        <v>6450</v>
      </c>
      <c r="J5437" s="38" t="s">
        <v>134</v>
      </c>
      <c r="K5437" s="38" t="s">
        <v>126</v>
      </c>
      <c r="L5437" s="41">
        <v>46011.5</v>
      </c>
      <c r="M5437" s="38" t="s">
        <v>123</v>
      </c>
      <c r="N5437" s="41">
        <v>46011.520833333336</v>
      </c>
      <c r="O5437" s="38" t="s">
        <v>123</v>
      </c>
      <c r="P5437" s="38">
        <v>1800.0</v>
      </c>
      <c r="Q5437" s="39"/>
      <c r="R5437" s="39"/>
      <c r="S5437" s="39"/>
      <c r="T5437" s="39"/>
      <c r="U5437" s="39"/>
    </row>
    <row r="5438">
      <c r="A5438" s="40">
        <f t="shared" si="1"/>
        <v>46006</v>
      </c>
      <c r="B5438" s="37" t="str">
        <f t="array" ref="B5438">iferror(xlookup($I5438, 'IMPORT VHC Report'!$E:$E, 'IMPORT VHC Report'!$A:$C), )</f>
        <v/>
      </c>
      <c r="C5438" s="37"/>
      <c r="D5438" s="37"/>
      <c r="E5438" s="38" t="s">
        <v>6482</v>
      </c>
      <c r="F5438" s="38" t="s">
        <v>6483</v>
      </c>
      <c r="G5438" s="38">
        <v>3.61725374316E11</v>
      </c>
      <c r="H5438" s="38" t="s">
        <v>6484</v>
      </c>
      <c r="I5438" s="38" t="s">
        <v>6485</v>
      </c>
      <c r="J5438" s="38" t="s">
        <v>4</v>
      </c>
      <c r="K5438" s="38" t="s">
        <v>126</v>
      </c>
      <c r="L5438" s="41">
        <v>46007.208333333336</v>
      </c>
      <c r="M5438" s="38" t="s">
        <v>123</v>
      </c>
      <c r="N5438" s="41">
        <v>46007.229166666664</v>
      </c>
      <c r="O5438" s="38" t="s">
        <v>123</v>
      </c>
      <c r="P5438" s="38">
        <v>1800.0</v>
      </c>
      <c r="Q5438" s="39"/>
      <c r="R5438" s="39"/>
      <c r="S5438" s="39"/>
      <c r="T5438" s="39"/>
      <c r="U5438" s="39"/>
    </row>
    <row r="5439">
      <c r="A5439" s="40">
        <f t="shared" si="1"/>
        <v>46006</v>
      </c>
      <c r="B5439" s="37" t="str">
        <f t="array" ref="B5439">iferror(xlookup($I5439, 'IMPORT VHC Report'!$E:$E, 'IMPORT VHC Report'!$A:$C), )</f>
        <v/>
      </c>
      <c r="C5439" s="37"/>
      <c r="D5439" s="37"/>
      <c r="E5439" s="38" t="s">
        <v>6486</v>
      </c>
      <c r="F5439" s="38" t="s">
        <v>6483</v>
      </c>
      <c r="G5439" s="38">
        <v>3.61725374316E11</v>
      </c>
      <c r="H5439" s="38" t="s">
        <v>6484</v>
      </c>
      <c r="I5439" s="38" t="s">
        <v>6485</v>
      </c>
      <c r="J5439" s="38" t="s">
        <v>152</v>
      </c>
      <c r="K5439" s="38" t="s">
        <v>153</v>
      </c>
      <c r="L5439" s="41">
        <v>46007.208333333336</v>
      </c>
      <c r="M5439" s="38" t="s">
        <v>123</v>
      </c>
      <c r="N5439" s="41">
        <v>46007.583333333336</v>
      </c>
      <c r="O5439" s="38" t="s">
        <v>123</v>
      </c>
      <c r="P5439" s="38">
        <v>32400.0</v>
      </c>
      <c r="Q5439" s="38">
        <v>32400.0</v>
      </c>
      <c r="R5439" s="39"/>
      <c r="S5439" s="39"/>
      <c r="T5439" s="39"/>
      <c r="U5439" s="39"/>
    </row>
    <row r="5440">
      <c r="A5440" s="40">
        <f t="shared" si="1"/>
        <v>46006</v>
      </c>
      <c r="B5440" s="37" t="str">
        <f t="array" ref="B5440">iferror(xlookup($I5440, 'IMPORT VHC Report'!$E:$E, 'IMPORT VHC Report'!$A:$C), )</f>
        <v/>
      </c>
      <c r="C5440" s="37"/>
      <c r="D5440" s="37"/>
      <c r="E5440" s="38" t="s">
        <v>6487</v>
      </c>
      <c r="F5440" s="38" t="s">
        <v>6483</v>
      </c>
      <c r="G5440" s="38">
        <v>3.61725374316E11</v>
      </c>
      <c r="H5440" s="38" t="s">
        <v>6484</v>
      </c>
      <c r="I5440" s="38" t="s">
        <v>6485</v>
      </c>
      <c r="J5440" s="38" t="s">
        <v>530</v>
      </c>
      <c r="K5440" s="38" t="s">
        <v>63</v>
      </c>
      <c r="L5440" s="41">
        <v>46007.208333333336</v>
      </c>
      <c r="M5440" s="38" t="s">
        <v>123</v>
      </c>
      <c r="N5440" s="41">
        <v>46007.583333333336</v>
      </c>
      <c r="O5440" s="38" t="s">
        <v>123</v>
      </c>
      <c r="P5440" s="38">
        <v>32400.0</v>
      </c>
      <c r="Q5440" s="39"/>
      <c r="R5440" s="39"/>
      <c r="S5440" s="39"/>
      <c r="T5440" s="39"/>
      <c r="U5440" s="39"/>
    </row>
    <row r="5441">
      <c r="A5441" s="40">
        <f t="shared" si="1"/>
        <v>46006</v>
      </c>
      <c r="B5441" s="37" t="str">
        <f t="array" ref="B5441">iferror(xlookup($I5441, 'IMPORT VHC Report'!$E:$E, 'IMPORT VHC Report'!$A:$C), )</f>
        <v/>
      </c>
      <c r="C5441" s="37"/>
      <c r="D5441" s="37"/>
      <c r="E5441" s="38" t="s">
        <v>6488</v>
      </c>
      <c r="F5441" s="38" t="s">
        <v>6483</v>
      </c>
      <c r="G5441" s="38">
        <v>3.61725374316E11</v>
      </c>
      <c r="H5441" s="38" t="s">
        <v>6484</v>
      </c>
      <c r="I5441" s="38" t="s">
        <v>6485</v>
      </c>
      <c r="J5441" s="38" t="s">
        <v>4</v>
      </c>
      <c r="K5441" s="38" t="s">
        <v>126</v>
      </c>
      <c r="L5441" s="41">
        <v>46007.270833333336</v>
      </c>
      <c r="M5441" s="38" t="s">
        <v>123</v>
      </c>
      <c r="N5441" s="41">
        <v>46007.3125</v>
      </c>
      <c r="O5441" s="38" t="s">
        <v>123</v>
      </c>
      <c r="P5441" s="38">
        <v>3600.0</v>
      </c>
      <c r="Q5441" s="39"/>
      <c r="R5441" s="39"/>
      <c r="S5441" s="38" t="s">
        <v>858</v>
      </c>
      <c r="T5441" s="39"/>
      <c r="U5441" s="39"/>
    </row>
    <row r="5442">
      <c r="A5442" s="40">
        <f t="shared" si="1"/>
        <v>46006</v>
      </c>
      <c r="B5442" s="37" t="str">
        <f t="array" ref="B5442">iferror(xlookup($I5442, 'IMPORT VHC Report'!$E:$E, 'IMPORT VHC Report'!$A:$C), )</f>
        <v/>
      </c>
      <c r="C5442" s="37"/>
      <c r="D5442" s="37"/>
      <c r="E5442" s="38" t="s">
        <v>6489</v>
      </c>
      <c r="F5442" s="38" t="s">
        <v>6483</v>
      </c>
      <c r="G5442" s="38">
        <v>3.61725374316E11</v>
      </c>
      <c r="H5442" s="38" t="s">
        <v>6484</v>
      </c>
      <c r="I5442" s="38" t="s">
        <v>6485</v>
      </c>
      <c r="J5442" s="38" t="s">
        <v>134</v>
      </c>
      <c r="K5442" s="38" t="s">
        <v>126</v>
      </c>
      <c r="L5442" s="41">
        <v>46007.354166666664</v>
      </c>
      <c r="M5442" s="38" t="s">
        <v>123</v>
      </c>
      <c r="N5442" s="41">
        <v>46007.375</v>
      </c>
      <c r="O5442" s="38" t="s">
        <v>123</v>
      </c>
      <c r="P5442" s="38">
        <v>1800.0</v>
      </c>
      <c r="Q5442" s="39"/>
      <c r="R5442" s="39"/>
      <c r="S5442" s="39"/>
      <c r="T5442" s="39"/>
      <c r="U5442" s="39"/>
    </row>
    <row r="5443">
      <c r="A5443" s="40">
        <f t="shared" si="1"/>
        <v>46006</v>
      </c>
      <c r="B5443" s="37" t="str">
        <f t="array" ref="B5443">iferror(xlookup($I5443, 'IMPORT VHC Report'!$E:$E, 'IMPORT VHC Report'!$A:$C), )</f>
        <v/>
      </c>
      <c r="C5443" s="37"/>
      <c r="D5443" s="37"/>
      <c r="E5443" s="38" t="s">
        <v>6490</v>
      </c>
      <c r="F5443" s="38" t="s">
        <v>6483</v>
      </c>
      <c r="G5443" s="38">
        <v>3.61725374316E11</v>
      </c>
      <c r="H5443" s="38" t="s">
        <v>6484</v>
      </c>
      <c r="I5443" s="38" t="s">
        <v>6485</v>
      </c>
      <c r="J5443" s="38" t="s">
        <v>4</v>
      </c>
      <c r="K5443" s="38" t="s">
        <v>126</v>
      </c>
      <c r="L5443" s="41">
        <v>46007.375</v>
      </c>
      <c r="M5443" s="38" t="s">
        <v>123</v>
      </c>
      <c r="N5443" s="41">
        <v>46007.416666666664</v>
      </c>
      <c r="O5443" s="38" t="s">
        <v>123</v>
      </c>
      <c r="P5443" s="38">
        <v>3600.0</v>
      </c>
      <c r="Q5443" s="39"/>
      <c r="R5443" s="39"/>
      <c r="S5443" s="38" t="s">
        <v>1209</v>
      </c>
      <c r="T5443" s="39"/>
      <c r="U5443" s="39"/>
    </row>
    <row r="5444">
      <c r="A5444" s="40">
        <f t="shared" si="1"/>
        <v>46006</v>
      </c>
      <c r="B5444" s="37" t="str">
        <f t="array" ref="B5444">iferror(xlookup($I5444, 'IMPORT VHC Report'!$E:$E, 'IMPORT VHC Report'!$A:$C), )</f>
        <v/>
      </c>
      <c r="C5444" s="37"/>
      <c r="D5444" s="37"/>
      <c r="E5444" s="38" t="s">
        <v>6491</v>
      </c>
      <c r="F5444" s="38" t="s">
        <v>6483</v>
      </c>
      <c r="G5444" s="38">
        <v>3.61725374316E11</v>
      </c>
      <c r="H5444" s="38" t="s">
        <v>6484</v>
      </c>
      <c r="I5444" s="38" t="s">
        <v>6485</v>
      </c>
      <c r="J5444" s="38" t="s">
        <v>132</v>
      </c>
      <c r="K5444" s="38" t="s">
        <v>126</v>
      </c>
      <c r="L5444" s="41">
        <v>46007.479166666664</v>
      </c>
      <c r="M5444" s="38" t="s">
        <v>123</v>
      </c>
      <c r="N5444" s="41">
        <v>46007.520833333336</v>
      </c>
      <c r="O5444" s="38" t="s">
        <v>123</v>
      </c>
      <c r="P5444" s="38">
        <v>3600.0</v>
      </c>
      <c r="Q5444" s="39"/>
      <c r="R5444" s="39"/>
      <c r="S5444" s="39"/>
      <c r="T5444" s="39"/>
      <c r="U5444" s="39"/>
    </row>
    <row r="5445">
      <c r="A5445" s="40">
        <f t="shared" si="1"/>
        <v>46006</v>
      </c>
      <c r="B5445" s="37" t="str">
        <f t="array" ref="B5445">iferror(xlookup($I5445, 'IMPORT VHC Report'!$E:$E, 'IMPORT VHC Report'!$A:$C), )</f>
        <v/>
      </c>
      <c r="C5445" s="37"/>
      <c r="D5445" s="37"/>
      <c r="E5445" s="38" t="s">
        <v>6492</v>
      </c>
      <c r="F5445" s="38" t="s">
        <v>6483</v>
      </c>
      <c r="G5445" s="38">
        <v>3.61725374316E11</v>
      </c>
      <c r="H5445" s="38" t="s">
        <v>6484</v>
      </c>
      <c r="I5445" s="38" t="s">
        <v>6485</v>
      </c>
      <c r="J5445" s="38" t="s">
        <v>4</v>
      </c>
      <c r="K5445" s="38" t="s">
        <v>126</v>
      </c>
      <c r="L5445" s="41">
        <v>46008.208333333336</v>
      </c>
      <c r="M5445" s="38" t="s">
        <v>123</v>
      </c>
      <c r="N5445" s="41">
        <v>46008.229166666664</v>
      </c>
      <c r="O5445" s="38" t="s">
        <v>123</v>
      </c>
      <c r="P5445" s="38">
        <v>1800.0</v>
      </c>
      <c r="Q5445" s="39"/>
      <c r="R5445" s="39"/>
      <c r="S5445" s="39"/>
      <c r="T5445" s="39"/>
      <c r="U5445" s="39"/>
    </row>
    <row r="5446">
      <c r="A5446" s="40">
        <f t="shared" si="1"/>
        <v>46006</v>
      </c>
      <c r="B5446" s="37" t="str">
        <f t="array" ref="B5446">iferror(xlookup($I5446, 'IMPORT VHC Report'!$E:$E, 'IMPORT VHC Report'!$A:$C), )</f>
        <v/>
      </c>
      <c r="C5446" s="37"/>
      <c r="D5446" s="37"/>
      <c r="E5446" s="38" t="s">
        <v>6493</v>
      </c>
      <c r="F5446" s="38" t="s">
        <v>6483</v>
      </c>
      <c r="G5446" s="38">
        <v>3.61725374316E11</v>
      </c>
      <c r="H5446" s="38" t="s">
        <v>6484</v>
      </c>
      <c r="I5446" s="38" t="s">
        <v>6485</v>
      </c>
      <c r="J5446" s="38" t="s">
        <v>530</v>
      </c>
      <c r="K5446" s="38" t="s">
        <v>63</v>
      </c>
      <c r="L5446" s="41">
        <v>46008.208333333336</v>
      </c>
      <c r="M5446" s="38" t="s">
        <v>123</v>
      </c>
      <c r="N5446" s="41">
        <v>46008.583333333336</v>
      </c>
      <c r="O5446" s="38" t="s">
        <v>123</v>
      </c>
      <c r="P5446" s="38">
        <v>32400.0</v>
      </c>
      <c r="Q5446" s="39"/>
      <c r="R5446" s="39"/>
      <c r="S5446" s="39"/>
      <c r="T5446" s="39"/>
      <c r="U5446" s="39"/>
    </row>
    <row r="5447">
      <c r="A5447" s="40">
        <f t="shared" si="1"/>
        <v>46006</v>
      </c>
      <c r="B5447" s="37" t="str">
        <f t="array" ref="B5447">iferror(xlookup($I5447, 'IMPORT VHC Report'!$E:$E, 'IMPORT VHC Report'!$A:$C), )</f>
        <v/>
      </c>
      <c r="C5447" s="37"/>
      <c r="D5447" s="37"/>
      <c r="E5447" s="38" t="s">
        <v>6494</v>
      </c>
      <c r="F5447" s="38" t="s">
        <v>6483</v>
      </c>
      <c r="G5447" s="38">
        <v>3.61725374316E11</v>
      </c>
      <c r="H5447" s="38" t="s">
        <v>6484</v>
      </c>
      <c r="I5447" s="38" t="s">
        <v>6485</v>
      </c>
      <c r="J5447" s="38" t="s">
        <v>152</v>
      </c>
      <c r="K5447" s="38" t="s">
        <v>153</v>
      </c>
      <c r="L5447" s="41">
        <v>46008.208333333336</v>
      </c>
      <c r="M5447" s="38" t="s">
        <v>123</v>
      </c>
      <c r="N5447" s="41">
        <v>46008.583333333336</v>
      </c>
      <c r="O5447" s="38" t="s">
        <v>123</v>
      </c>
      <c r="P5447" s="38">
        <v>32400.0</v>
      </c>
      <c r="Q5447" s="38">
        <v>32400.0</v>
      </c>
      <c r="R5447" s="39"/>
      <c r="S5447" s="39"/>
      <c r="T5447" s="39"/>
      <c r="U5447" s="39"/>
    </row>
    <row r="5448">
      <c r="A5448" s="40">
        <f t="shared" si="1"/>
        <v>46006</v>
      </c>
      <c r="B5448" s="37" t="str">
        <f t="array" ref="B5448">iferror(xlookup($I5448, 'IMPORT VHC Report'!$E:$E, 'IMPORT VHC Report'!$A:$C), )</f>
        <v/>
      </c>
      <c r="C5448" s="37"/>
      <c r="D5448" s="37"/>
      <c r="E5448" s="38" t="s">
        <v>6495</v>
      </c>
      <c r="F5448" s="38" t="s">
        <v>6483</v>
      </c>
      <c r="G5448" s="38">
        <v>3.61725374316E11</v>
      </c>
      <c r="H5448" s="38" t="s">
        <v>6484</v>
      </c>
      <c r="I5448" s="38" t="s">
        <v>6485</v>
      </c>
      <c r="J5448" s="38" t="s">
        <v>134</v>
      </c>
      <c r="K5448" s="38" t="s">
        <v>126</v>
      </c>
      <c r="L5448" s="41">
        <v>46008.34375</v>
      </c>
      <c r="M5448" s="38" t="s">
        <v>123</v>
      </c>
      <c r="N5448" s="41">
        <v>46008.364583333336</v>
      </c>
      <c r="O5448" s="38" t="s">
        <v>123</v>
      </c>
      <c r="P5448" s="38">
        <v>1800.0</v>
      </c>
      <c r="Q5448" s="39"/>
      <c r="R5448" s="39"/>
      <c r="S5448" s="39"/>
      <c r="T5448" s="39"/>
      <c r="U5448" s="39"/>
    </row>
    <row r="5449">
      <c r="A5449" s="40">
        <f t="shared" si="1"/>
        <v>46006</v>
      </c>
      <c r="B5449" s="37" t="str">
        <f t="array" ref="B5449">iferror(xlookup($I5449, 'IMPORT VHC Report'!$E:$E, 'IMPORT VHC Report'!$A:$C), )</f>
        <v/>
      </c>
      <c r="C5449" s="37"/>
      <c r="D5449" s="37"/>
      <c r="E5449" s="38" t="s">
        <v>6496</v>
      </c>
      <c r="F5449" s="38" t="s">
        <v>6483</v>
      </c>
      <c r="G5449" s="38">
        <v>3.61725374316E11</v>
      </c>
      <c r="H5449" s="38" t="s">
        <v>6484</v>
      </c>
      <c r="I5449" s="38" t="s">
        <v>6485</v>
      </c>
      <c r="J5449" s="38" t="s">
        <v>4</v>
      </c>
      <c r="K5449" s="38" t="s">
        <v>126</v>
      </c>
      <c r="L5449" s="41">
        <v>46008.375</v>
      </c>
      <c r="M5449" s="38" t="s">
        <v>123</v>
      </c>
      <c r="N5449" s="41">
        <v>46008.416666666664</v>
      </c>
      <c r="O5449" s="38" t="s">
        <v>123</v>
      </c>
      <c r="P5449" s="38">
        <v>3600.0</v>
      </c>
      <c r="Q5449" s="39"/>
      <c r="R5449" s="39"/>
      <c r="S5449" s="38" t="s">
        <v>1209</v>
      </c>
      <c r="T5449" s="39"/>
      <c r="U5449" s="39"/>
    </row>
    <row r="5450">
      <c r="A5450" s="40">
        <f t="shared" si="1"/>
        <v>46006</v>
      </c>
      <c r="B5450" s="37" t="str">
        <f t="array" ref="B5450">iferror(xlookup($I5450, 'IMPORT VHC Report'!$E:$E, 'IMPORT VHC Report'!$A:$C), )</f>
        <v/>
      </c>
      <c r="C5450" s="37"/>
      <c r="D5450" s="37"/>
      <c r="E5450" s="38" t="s">
        <v>6497</v>
      </c>
      <c r="F5450" s="38" t="s">
        <v>6483</v>
      </c>
      <c r="G5450" s="38">
        <v>3.61725374316E11</v>
      </c>
      <c r="H5450" s="38" t="s">
        <v>6484</v>
      </c>
      <c r="I5450" s="38" t="s">
        <v>6485</v>
      </c>
      <c r="J5450" s="38" t="s">
        <v>132</v>
      </c>
      <c r="K5450" s="38" t="s">
        <v>126</v>
      </c>
      <c r="L5450" s="41">
        <v>46008.479166666664</v>
      </c>
      <c r="M5450" s="38" t="s">
        <v>123</v>
      </c>
      <c r="N5450" s="41">
        <v>46008.520833333336</v>
      </c>
      <c r="O5450" s="38" t="s">
        <v>123</v>
      </c>
      <c r="P5450" s="38">
        <v>3600.0</v>
      </c>
      <c r="Q5450" s="39"/>
      <c r="R5450" s="39"/>
      <c r="S5450" s="39"/>
      <c r="T5450" s="39"/>
      <c r="U5450" s="39"/>
    </row>
    <row r="5451">
      <c r="A5451" s="40">
        <f t="shared" si="1"/>
        <v>46006</v>
      </c>
      <c r="B5451" s="37" t="str">
        <f t="array" ref="B5451">iferror(xlookup($I5451, 'IMPORT VHC Report'!$E:$E, 'IMPORT VHC Report'!$A:$C), )</f>
        <v/>
      </c>
      <c r="C5451" s="37"/>
      <c r="D5451" s="37"/>
      <c r="E5451" s="38" t="s">
        <v>6498</v>
      </c>
      <c r="F5451" s="38" t="s">
        <v>6483</v>
      </c>
      <c r="G5451" s="38">
        <v>3.61725374316E11</v>
      </c>
      <c r="H5451" s="38" t="s">
        <v>6484</v>
      </c>
      <c r="I5451" s="38" t="s">
        <v>6485</v>
      </c>
      <c r="J5451" s="38" t="s">
        <v>4</v>
      </c>
      <c r="K5451" s="38" t="s">
        <v>126</v>
      </c>
      <c r="L5451" s="41">
        <v>46009.208333333336</v>
      </c>
      <c r="M5451" s="38" t="s">
        <v>123</v>
      </c>
      <c r="N5451" s="41">
        <v>46009.229166666664</v>
      </c>
      <c r="O5451" s="38" t="s">
        <v>123</v>
      </c>
      <c r="P5451" s="38">
        <v>1800.0</v>
      </c>
      <c r="Q5451" s="39"/>
      <c r="R5451" s="39"/>
      <c r="S5451" s="39"/>
      <c r="T5451" s="39"/>
      <c r="U5451" s="39"/>
    </row>
    <row r="5452">
      <c r="A5452" s="40">
        <f t="shared" si="1"/>
        <v>46006</v>
      </c>
      <c r="B5452" s="37" t="str">
        <f t="array" ref="B5452">iferror(xlookup($I5452, 'IMPORT VHC Report'!$E:$E, 'IMPORT VHC Report'!$A:$C), )</f>
        <v/>
      </c>
      <c r="C5452" s="37"/>
      <c r="D5452" s="37"/>
      <c r="E5452" s="38" t="s">
        <v>6499</v>
      </c>
      <c r="F5452" s="38" t="s">
        <v>6483</v>
      </c>
      <c r="G5452" s="38">
        <v>3.61725374316E11</v>
      </c>
      <c r="H5452" s="38" t="s">
        <v>6484</v>
      </c>
      <c r="I5452" s="38" t="s">
        <v>6485</v>
      </c>
      <c r="J5452" s="38" t="s">
        <v>152</v>
      </c>
      <c r="K5452" s="38" t="s">
        <v>153</v>
      </c>
      <c r="L5452" s="41">
        <v>46009.208333333336</v>
      </c>
      <c r="M5452" s="38" t="s">
        <v>123</v>
      </c>
      <c r="N5452" s="41">
        <v>46009.583333333336</v>
      </c>
      <c r="O5452" s="38" t="s">
        <v>123</v>
      </c>
      <c r="P5452" s="38">
        <v>32400.0</v>
      </c>
      <c r="Q5452" s="38">
        <v>32400.0</v>
      </c>
      <c r="R5452" s="39"/>
      <c r="S5452" s="39"/>
      <c r="T5452" s="39"/>
      <c r="U5452" s="39"/>
    </row>
    <row r="5453">
      <c r="A5453" s="40">
        <f t="shared" si="1"/>
        <v>46006</v>
      </c>
      <c r="B5453" s="37" t="str">
        <f t="array" ref="B5453">iferror(xlookup($I5453, 'IMPORT VHC Report'!$E:$E, 'IMPORT VHC Report'!$A:$C), )</f>
        <v/>
      </c>
      <c r="C5453" s="37"/>
      <c r="D5453" s="37"/>
      <c r="E5453" s="38" t="s">
        <v>6500</v>
      </c>
      <c r="F5453" s="38" t="s">
        <v>6483</v>
      </c>
      <c r="G5453" s="38">
        <v>3.61725374316E11</v>
      </c>
      <c r="H5453" s="38" t="s">
        <v>6484</v>
      </c>
      <c r="I5453" s="38" t="s">
        <v>6485</v>
      </c>
      <c r="J5453" s="38" t="s">
        <v>530</v>
      </c>
      <c r="K5453" s="38" t="s">
        <v>63</v>
      </c>
      <c r="L5453" s="41">
        <v>46009.208333333336</v>
      </c>
      <c r="M5453" s="38" t="s">
        <v>123</v>
      </c>
      <c r="N5453" s="41">
        <v>46009.583333333336</v>
      </c>
      <c r="O5453" s="38" t="s">
        <v>123</v>
      </c>
      <c r="P5453" s="38">
        <v>32400.0</v>
      </c>
      <c r="Q5453" s="39"/>
      <c r="R5453" s="39"/>
      <c r="S5453" s="39"/>
      <c r="T5453" s="39"/>
      <c r="U5453" s="39"/>
    </row>
    <row r="5454">
      <c r="A5454" s="40">
        <f t="shared" si="1"/>
        <v>46006</v>
      </c>
      <c r="B5454" s="37" t="str">
        <f t="array" ref="B5454">iferror(xlookup($I5454, 'IMPORT VHC Report'!$E:$E, 'IMPORT VHC Report'!$A:$C), )</f>
        <v/>
      </c>
      <c r="C5454" s="37"/>
      <c r="D5454" s="37"/>
      <c r="E5454" s="38" t="s">
        <v>6501</v>
      </c>
      <c r="F5454" s="38" t="s">
        <v>6483</v>
      </c>
      <c r="G5454" s="38">
        <v>3.61725374316E11</v>
      </c>
      <c r="H5454" s="38" t="s">
        <v>6484</v>
      </c>
      <c r="I5454" s="38" t="s">
        <v>6485</v>
      </c>
      <c r="J5454" s="38" t="s">
        <v>134</v>
      </c>
      <c r="K5454" s="38" t="s">
        <v>126</v>
      </c>
      <c r="L5454" s="41">
        <v>46009.34375</v>
      </c>
      <c r="M5454" s="38" t="s">
        <v>123</v>
      </c>
      <c r="N5454" s="41">
        <v>46009.364583333336</v>
      </c>
      <c r="O5454" s="38" t="s">
        <v>123</v>
      </c>
      <c r="P5454" s="38">
        <v>1800.0</v>
      </c>
      <c r="Q5454" s="39"/>
      <c r="R5454" s="39"/>
      <c r="S5454" s="39"/>
      <c r="T5454" s="39"/>
      <c r="U5454" s="39"/>
    </row>
    <row r="5455">
      <c r="A5455" s="40">
        <f t="shared" si="1"/>
        <v>46006</v>
      </c>
      <c r="B5455" s="37" t="str">
        <f t="array" ref="B5455">iferror(xlookup($I5455, 'IMPORT VHC Report'!$E:$E, 'IMPORT VHC Report'!$A:$C), )</f>
        <v/>
      </c>
      <c r="C5455" s="37"/>
      <c r="D5455" s="37"/>
      <c r="E5455" s="38" t="s">
        <v>6502</v>
      </c>
      <c r="F5455" s="38" t="s">
        <v>6483</v>
      </c>
      <c r="G5455" s="38">
        <v>3.61725374316E11</v>
      </c>
      <c r="H5455" s="38" t="s">
        <v>6484</v>
      </c>
      <c r="I5455" s="38" t="s">
        <v>6485</v>
      </c>
      <c r="J5455" s="38" t="s">
        <v>132</v>
      </c>
      <c r="K5455" s="38" t="s">
        <v>126</v>
      </c>
      <c r="L5455" s="41">
        <v>46009.479166666664</v>
      </c>
      <c r="M5455" s="38" t="s">
        <v>123</v>
      </c>
      <c r="N5455" s="41">
        <v>46009.520833333336</v>
      </c>
      <c r="O5455" s="38" t="s">
        <v>123</v>
      </c>
      <c r="P5455" s="38">
        <v>3600.0</v>
      </c>
      <c r="Q5455" s="39"/>
      <c r="R5455" s="39"/>
      <c r="S5455" s="39"/>
      <c r="T5455" s="39"/>
      <c r="U5455" s="39"/>
    </row>
    <row r="5456">
      <c r="A5456" s="40">
        <f t="shared" si="1"/>
        <v>46006</v>
      </c>
      <c r="B5456" s="37" t="str">
        <f t="array" ref="B5456">iferror(xlookup($I5456, 'IMPORT VHC Report'!$E:$E, 'IMPORT VHC Report'!$A:$C), )</f>
        <v/>
      </c>
      <c r="C5456" s="37"/>
      <c r="D5456" s="37"/>
      <c r="E5456" s="38" t="s">
        <v>6503</v>
      </c>
      <c r="F5456" s="38" t="s">
        <v>6483</v>
      </c>
      <c r="G5456" s="38">
        <v>3.61725374316E11</v>
      </c>
      <c r="H5456" s="38" t="s">
        <v>6484</v>
      </c>
      <c r="I5456" s="38" t="s">
        <v>6485</v>
      </c>
      <c r="J5456" s="38" t="s">
        <v>4</v>
      </c>
      <c r="K5456" s="38" t="s">
        <v>126</v>
      </c>
      <c r="L5456" s="41">
        <v>46010.208333333336</v>
      </c>
      <c r="M5456" s="38" t="s">
        <v>123</v>
      </c>
      <c r="N5456" s="41">
        <v>46010.229166666664</v>
      </c>
      <c r="O5456" s="38" t="s">
        <v>123</v>
      </c>
      <c r="P5456" s="38">
        <v>1800.0</v>
      </c>
      <c r="Q5456" s="39"/>
      <c r="R5456" s="39"/>
      <c r="S5456" s="39"/>
      <c r="T5456" s="39"/>
      <c r="U5456" s="39"/>
    </row>
    <row r="5457">
      <c r="A5457" s="40">
        <f t="shared" si="1"/>
        <v>46006</v>
      </c>
      <c r="B5457" s="37" t="str">
        <f t="array" ref="B5457">iferror(xlookup($I5457, 'IMPORT VHC Report'!$E:$E, 'IMPORT VHC Report'!$A:$C), )</f>
        <v/>
      </c>
      <c r="C5457" s="37"/>
      <c r="D5457" s="37"/>
      <c r="E5457" s="38" t="s">
        <v>6504</v>
      </c>
      <c r="F5457" s="38" t="s">
        <v>6483</v>
      </c>
      <c r="G5457" s="38">
        <v>3.61725374316E11</v>
      </c>
      <c r="H5457" s="38" t="s">
        <v>6484</v>
      </c>
      <c r="I5457" s="38" t="s">
        <v>6485</v>
      </c>
      <c r="J5457" s="38" t="s">
        <v>530</v>
      </c>
      <c r="K5457" s="38" t="s">
        <v>63</v>
      </c>
      <c r="L5457" s="41">
        <v>46010.208333333336</v>
      </c>
      <c r="M5457" s="38" t="s">
        <v>123</v>
      </c>
      <c r="N5457" s="41">
        <v>46010.583333333336</v>
      </c>
      <c r="O5457" s="38" t="s">
        <v>123</v>
      </c>
      <c r="P5457" s="38">
        <v>32400.0</v>
      </c>
      <c r="Q5457" s="39"/>
      <c r="R5457" s="39"/>
      <c r="S5457" s="39"/>
      <c r="T5457" s="39"/>
      <c r="U5457" s="39"/>
    </row>
    <row r="5458">
      <c r="A5458" s="40">
        <f t="shared" si="1"/>
        <v>46006</v>
      </c>
      <c r="B5458" s="37" t="str">
        <f t="array" ref="B5458">iferror(xlookup($I5458, 'IMPORT VHC Report'!$E:$E, 'IMPORT VHC Report'!$A:$C), )</f>
        <v/>
      </c>
      <c r="C5458" s="37"/>
      <c r="D5458" s="37"/>
      <c r="E5458" s="38" t="s">
        <v>6505</v>
      </c>
      <c r="F5458" s="38" t="s">
        <v>6483</v>
      </c>
      <c r="G5458" s="38">
        <v>3.61725374316E11</v>
      </c>
      <c r="H5458" s="38" t="s">
        <v>6484</v>
      </c>
      <c r="I5458" s="38" t="s">
        <v>6485</v>
      </c>
      <c r="J5458" s="38" t="s">
        <v>132</v>
      </c>
      <c r="K5458" s="38" t="s">
        <v>126</v>
      </c>
      <c r="L5458" s="41">
        <v>46010.354166666664</v>
      </c>
      <c r="M5458" s="38" t="s">
        <v>123</v>
      </c>
      <c r="N5458" s="41">
        <v>46010.395833333336</v>
      </c>
      <c r="O5458" s="38" t="s">
        <v>123</v>
      </c>
      <c r="P5458" s="38">
        <v>3600.0</v>
      </c>
      <c r="Q5458" s="39"/>
      <c r="R5458" s="39"/>
      <c r="S5458" s="39"/>
      <c r="T5458" s="39"/>
      <c r="U5458" s="39"/>
    </row>
    <row r="5459">
      <c r="A5459" s="40">
        <f t="shared" si="1"/>
        <v>46006</v>
      </c>
      <c r="B5459" s="37" t="str">
        <f t="array" ref="B5459">iferror(xlookup($I5459, 'IMPORT VHC Report'!$E:$E, 'IMPORT VHC Report'!$A:$C), )</f>
        <v/>
      </c>
      <c r="C5459" s="37"/>
      <c r="D5459" s="37"/>
      <c r="E5459" s="38" t="s">
        <v>6506</v>
      </c>
      <c r="F5459" s="38" t="s">
        <v>6483</v>
      </c>
      <c r="G5459" s="38">
        <v>3.61725374316E11</v>
      </c>
      <c r="H5459" s="38" t="s">
        <v>6484</v>
      </c>
      <c r="I5459" s="38" t="s">
        <v>6485</v>
      </c>
      <c r="J5459" s="38" t="s">
        <v>134</v>
      </c>
      <c r="K5459" s="38" t="s">
        <v>126</v>
      </c>
      <c r="L5459" s="41">
        <v>46010.510416666664</v>
      </c>
      <c r="M5459" s="38" t="s">
        <v>123</v>
      </c>
      <c r="N5459" s="41">
        <v>46010.53125</v>
      </c>
      <c r="O5459" s="38" t="s">
        <v>123</v>
      </c>
      <c r="P5459" s="38">
        <v>1800.0</v>
      </c>
      <c r="Q5459" s="39"/>
      <c r="R5459" s="39"/>
      <c r="S5459" s="39"/>
      <c r="T5459" s="39"/>
      <c r="U5459" s="39"/>
    </row>
    <row r="5460">
      <c r="A5460" s="40">
        <f t="shared" si="1"/>
        <v>46006</v>
      </c>
      <c r="B5460" s="37" t="str">
        <f t="array" ref="B5460">iferror(xlookup($I5460, 'IMPORT VHC Report'!$E:$E, 'IMPORT VHC Report'!$A:$C), )</f>
        <v/>
      </c>
      <c r="C5460" s="37"/>
      <c r="D5460" s="37"/>
      <c r="E5460" s="38" t="s">
        <v>6507</v>
      </c>
      <c r="F5460" s="38" t="s">
        <v>6483</v>
      </c>
      <c r="G5460" s="38">
        <v>3.61725374316E11</v>
      </c>
      <c r="H5460" s="38" t="s">
        <v>6484</v>
      </c>
      <c r="I5460" s="38" t="s">
        <v>6485</v>
      </c>
      <c r="J5460" s="38" t="s">
        <v>4</v>
      </c>
      <c r="K5460" s="38" t="s">
        <v>126</v>
      </c>
      <c r="L5460" s="41">
        <v>46011.208333333336</v>
      </c>
      <c r="M5460" s="38" t="s">
        <v>123</v>
      </c>
      <c r="N5460" s="41">
        <v>46011.229166666664</v>
      </c>
      <c r="O5460" s="38" t="s">
        <v>123</v>
      </c>
      <c r="P5460" s="38">
        <v>1800.0</v>
      </c>
      <c r="Q5460" s="39"/>
      <c r="R5460" s="39"/>
      <c r="S5460" s="39"/>
      <c r="T5460" s="39"/>
      <c r="U5460" s="39"/>
    </row>
    <row r="5461">
      <c r="A5461" s="40">
        <f t="shared" si="1"/>
        <v>46006</v>
      </c>
      <c r="B5461" s="37" t="str">
        <f t="array" ref="B5461">iferror(xlookup($I5461, 'IMPORT VHC Report'!$E:$E, 'IMPORT VHC Report'!$A:$C), )</f>
        <v/>
      </c>
      <c r="C5461" s="37"/>
      <c r="D5461" s="37"/>
      <c r="E5461" s="38" t="s">
        <v>6508</v>
      </c>
      <c r="F5461" s="38" t="s">
        <v>6483</v>
      </c>
      <c r="G5461" s="38">
        <v>3.61725374316E11</v>
      </c>
      <c r="H5461" s="38" t="s">
        <v>6484</v>
      </c>
      <c r="I5461" s="38" t="s">
        <v>6485</v>
      </c>
      <c r="J5461" s="38" t="s">
        <v>530</v>
      </c>
      <c r="K5461" s="38" t="s">
        <v>63</v>
      </c>
      <c r="L5461" s="41">
        <v>46011.208333333336</v>
      </c>
      <c r="M5461" s="38" t="s">
        <v>123</v>
      </c>
      <c r="N5461" s="41">
        <v>46011.583333333336</v>
      </c>
      <c r="O5461" s="38" t="s">
        <v>123</v>
      </c>
      <c r="P5461" s="38">
        <v>32400.0</v>
      </c>
      <c r="Q5461" s="39"/>
      <c r="R5461" s="39"/>
      <c r="S5461" s="39"/>
      <c r="T5461" s="39"/>
      <c r="U5461" s="39"/>
    </row>
    <row r="5462">
      <c r="A5462" s="40">
        <f t="shared" si="1"/>
        <v>46006</v>
      </c>
      <c r="B5462" s="37" t="str">
        <f t="array" ref="B5462">iferror(xlookup($I5462, 'IMPORT VHC Report'!$E:$E, 'IMPORT VHC Report'!$A:$C), )</f>
        <v/>
      </c>
      <c r="C5462" s="37"/>
      <c r="D5462" s="37"/>
      <c r="E5462" s="38" t="s">
        <v>6509</v>
      </c>
      <c r="F5462" s="38" t="s">
        <v>6483</v>
      </c>
      <c r="G5462" s="38">
        <v>3.61725374316E11</v>
      </c>
      <c r="H5462" s="38" t="s">
        <v>6484</v>
      </c>
      <c r="I5462" s="38" t="s">
        <v>6485</v>
      </c>
      <c r="J5462" s="38" t="s">
        <v>134</v>
      </c>
      <c r="K5462" s="38" t="s">
        <v>126</v>
      </c>
      <c r="L5462" s="41">
        <v>46011.364583333336</v>
      </c>
      <c r="M5462" s="38" t="s">
        <v>123</v>
      </c>
      <c r="N5462" s="41">
        <v>46011.375</v>
      </c>
      <c r="O5462" s="38" t="s">
        <v>123</v>
      </c>
      <c r="P5462" s="38">
        <v>900.0</v>
      </c>
      <c r="Q5462" s="39"/>
      <c r="R5462" s="39"/>
      <c r="S5462" s="39"/>
      <c r="T5462" s="39"/>
      <c r="U5462" s="39"/>
    </row>
    <row r="5463">
      <c r="A5463" s="40">
        <f t="shared" si="1"/>
        <v>46006</v>
      </c>
      <c r="B5463" s="37" t="str">
        <f t="array" ref="B5463">iferror(xlookup($I5463, 'IMPORT VHC Report'!$E:$E, 'IMPORT VHC Report'!$A:$C), )</f>
        <v/>
      </c>
      <c r="C5463" s="37"/>
      <c r="D5463" s="37"/>
      <c r="E5463" s="38" t="s">
        <v>6510</v>
      </c>
      <c r="F5463" s="38" t="s">
        <v>6483</v>
      </c>
      <c r="G5463" s="38">
        <v>3.61725374316E11</v>
      </c>
      <c r="H5463" s="38" t="s">
        <v>6484</v>
      </c>
      <c r="I5463" s="38" t="s">
        <v>6485</v>
      </c>
      <c r="J5463" s="38" t="s">
        <v>132</v>
      </c>
      <c r="K5463" s="38" t="s">
        <v>126</v>
      </c>
      <c r="L5463" s="41">
        <v>46011.375</v>
      </c>
      <c r="M5463" s="38" t="s">
        <v>123</v>
      </c>
      <c r="N5463" s="41">
        <v>46011.416666666664</v>
      </c>
      <c r="O5463" s="38" t="s">
        <v>123</v>
      </c>
      <c r="P5463" s="38">
        <v>3600.0</v>
      </c>
      <c r="Q5463" s="39"/>
      <c r="R5463" s="39"/>
      <c r="S5463" s="39"/>
      <c r="T5463" s="39"/>
      <c r="U5463" s="39"/>
    </row>
    <row r="5464">
      <c r="A5464" s="40">
        <f t="shared" si="1"/>
        <v>46006</v>
      </c>
      <c r="B5464" s="37" t="str">
        <f t="array" ref="B5464">iferror(xlookup($I5464, 'IMPORT VHC Report'!$E:$E, 'IMPORT VHC Report'!$A:$C), )</f>
        <v/>
      </c>
      <c r="C5464" s="37"/>
      <c r="D5464" s="37"/>
      <c r="E5464" s="38" t="s">
        <v>6511</v>
      </c>
      <c r="F5464" s="38" t="s">
        <v>6483</v>
      </c>
      <c r="G5464" s="38">
        <v>3.61725374316E11</v>
      </c>
      <c r="H5464" s="38" t="s">
        <v>6484</v>
      </c>
      <c r="I5464" s="38" t="s">
        <v>6485</v>
      </c>
      <c r="J5464" s="38" t="s">
        <v>178</v>
      </c>
      <c r="K5464" s="38" t="s">
        <v>153</v>
      </c>
      <c r="L5464" s="41">
        <v>46011.416666666664</v>
      </c>
      <c r="M5464" s="38" t="s">
        <v>123</v>
      </c>
      <c r="N5464" s="41">
        <v>46011.583333333336</v>
      </c>
      <c r="O5464" s="38" t="s">
        <v>123</v>
      </c>
      <c r="P5464" s="38">
        <v>14400.0</v>
      </c>
      <c r="Q5464" s="38">
        <v>14400.0</v>
      </c>
      <c r="R5464" s="38" t="s">
        <v>6512</v>
      </c>
      <c r="S5464" s="39"/>
      <c r="T5464" s="39"/>
      <c r="U5464" s="39"/>
    </row>
    <row r="5465">
      <c r="A5465" s="40">
        <f t="shared" si="1"/>
        <v>46006</v>
      </c>
      <c r="B5465" s="37" t="str">
        <f t="array" ref="B5465">iferror(xlookup($I5465, 'IMPORT VHC Report'!$E:$E, 'IMPORT VHC Report'!$A:$C), )</f>
        <v/>
      </c>
      <c r="C5465" s="37"/>
      <c r="D5465" s="37"/>
      <c r="E5465" s="38" t="s">
        <v>6513</v>
      </c>
      <c r="F5465" s="38" t="s">
        <v>6514</v>
      </c>
      <c r="G5465" s="38">
        <v>3.61725486956E11</v>
      </c>
      <c r="H5465" s="38" t="s">
        <v>6515</v>
      </c>
      <c r="I5465" s="38" t="s">
        <v>6516</v>
      </c>
      <c r="J5465" s="38" t="s">
        <v>332</v>
      </c>
      <c r="K5465" s="38" t="s">
        <v>63</v>
      </c>
      <c r="L5465" s="41">
        <v>46007.208333333336</v>
      </c>
      <c r="M5465" s="38" t="s">
        <v>123</v>
      </c>
      <c r="N5465" s="41">
        <v>46007.4375</v>
      </c>
      <c r="O5465" s="38" t="s">
        <v>123</v>
      </c>
      <c r="P5465" s="38">
        <v>19800.0</v>
      </c>
      <c r="Q5465" s="39"/>
      <c r="R5465" s="39"/>
      <c r="S5465" s="39"/>
      <c r="T5465" s="39"/>
      <c r="U5465" s="39"/>
    </row>
    <row r="5466">
      <c r="A5466" s="40">
        <f t="shared" si="1"/>
        <v>46006</v>
      </c>
      <c r="B5466" s="37" t="str">
        <f t="array" ref="B5466">iferror(xlookup($I5466, 'IMPORT VHC Report'!$E:$E, 'IMPORT VHC Report'!$A:$C), )</f>
        <v/>
      </c>
      <c r="C5466" s="37"/>
      <c r="D5466" s="37"/>
      <c r="E5466" s="38" t="s">
        <v>6517</v>
      </c>
      <c r="F5466" s="38" t="s">
        <v>6514</v>
      </c>
      <c r="G5466" s="38">
        <v>3.61725486956E11</v>
      </c>
      <c r="H5466" s="38" t="s">
        <v>6515</v>
      </c>
      <c r="I5466" s="38" t="s">
        <v>6516</v>
      </c>
      <c r="J5466" s="38" t="s">
        <v>62</v>
      </c>
      <c r="K5466" s="38" t="s">
        <v>63</v>
      </c>
      <c r="L5466" s="41">
        <v>46007.4375</v>
      </c>
      <c r="M5466" s="38" t="s">
        <v>123</v>
      </c>
      <c r="N5466" s="41">
        <v>46007.541666666664</v>
      </c>
      <c r="O5466" s="38" t="s">
        <v>123</v>
      </c>
      <c r="P5466" s="38">
        <v>9000.0</v>
      </c>
      <c r="Q5466" s="39"/>
      <c r="R5466" s="39"/>
      <c r="S5466" s="39"/>
      <c r="T5466" s="39"/>
      <c r="U5466" s="39"/>
    </row>
    <row r="5467">
      <c r="A5467" s="40">
        <f t="shared" si="1"/>
        <v>46006</v>
      </c>
      <c r="B5467" s="37" t="str">
        <f t="array" ref="B5467">iferror(xlookup($I5467, 'IMPORT VHC Report'!$E:$E, 'IMPORT VHC Report'!$A:$C), )</f>
        <v/>
      </c>
      <c r="C5467" s="37"/>
      <c r="D5467" s="37"/>
      <c r="E5467" s="38" t="s">
        <v>6518</v>
      </c>
      <c r="F5467" s="38" t="s">
        <v>6514</v>
      </c>
      <c r="G5467" s="38">
        <v>3.61725486956E11</v>
      </c>
      <c r="H5467" s="38" t="s">
        <v>6515</v>
      </c>
      <c r="I5467" s="38" t="s">
        <v>6516</v>
      </c>
      <c r="J5467" s="38" t="s">
        <v>4</v>
      </c>
      <c r="K5467" s="38" t="s">
        <v>126</v>
      </c>
      <c r="L5467" s="41">
        <v>46007.479166666664</v>
      </c>
      <c r="M5467" s="38" t="s">
        <v>123</v>
      </c>
      <c r="N5467" s="41">
        <v>46007.520833333336</v>
      </c>
      <c r="O5467" s="38" t="s">
        <v>123</v>
      </c>
      <c r="P5467" s="38">
        <v>3600.0</v>
      </c>
      <c r="Q5467" s="39"/>
      <c r="R5467" s="39"/>
      <c r="S5467" s="38" t="s">
        <v>130</v>
      </c>
      <c r="T5467" s="39"/>
      <c r="U5467" s="39"/>
    </row>
    <row r="5468">
      <c r="A5468" s="40">
        <f t="shared" si="1"/>
        <v>46006</v>
      </c>
      <c r="B5468" s="37" t="str">
        <f t="array" ref="B5468">iferror(xlookup($I5468, 'IMPORT VHC Report'!$E:$E, 'IMPORT VHC Report'!$A:$C), )</f>
        <v/>
      </c>
      <c r="C5468" s="37"/>
      <c r="D5468" s="37"/>
      <c r="E5468" s="38" t="s">
        <v>6519</v>
      </c>
      <c r="F5468" s="38" t="s">
        <v>6514</v>
      </c>
      <c r="G5468" s="38">
        <v>3.61725486956E11</v>
      </c>
      <c r="H5468" s="38" t="s">
        <v>6515</v>
      </c>
      <c r="I5468" s="38" t="s">
        <v>6516</v>
      </c>
      <c r="J5468" s="38" t="s">
        <v>134</v>
      </c>
      <c r="K5468" s="38" t="s">
        <v>126</v>
      </c>
      <c r="L5468" s="41">
        <v>46007.520833333336</v>
      </c>
      <c r="M5468" s="38" t="s">
        <v>123</v>
      </c>
      <c r="N5468" s="41">
        <v>46007.541666666664</v>
      </c>
      <c r="O5468" s="38" t="s">
        <v>123</v>
      </c>
      <c r="P5468" s="38">
        <v>1800.0</v>
      </c>
      <c r="Q5468" s="39"/>
      <c r="R5468" s="39"/>
      <c r="S5468" s="39"/>
      <c r="T5468" s="39"/>
      <c r="U5468" s="39"/>
    </row>
    <row r="5469">
      <c r="A5469" s="40">
        <f t="shared" si="1"/>
        <v>46006</v>
      </c>
      <c r="B5469" s="37" t="str">
        <f t="array" ref="B5469">iferror(xlookup($I5469, 'IMPORT VHC Report'!$E:$E, 'IMPORT VHC Report'!$A:$C), )</f>
        <v/>
      </c>
      <c r="C5469" s="37"/>
      <c r="D5469" s="37"/>
      <c r="E5469" s="38" t="s">
        <v>6520</v>
      </c>
      <c r="F5469" s="38" t="s">
        <v>6514</v>
      </c>
      <c r="G5469" s="38">
        <v>3.61725486956E11</v>
      </c>
      <c r="H5469" s="38" t="s">
        <v>6515</v>
      </c>
      <c r="I5469" s="38" t="s">
        <v>6516</v>
      </c>
      <c r="J5469" s="38" t="s">
        <v>332</v>
      </c>
      <c r="K5469" s="38" t="s">
        <v>63</v>
      </c>
      <c r="L5469" s="41">
        <v>46007.520833333336</v>
      </c>
      <c r="M5469" s="38" t="s">
        <v>123</v>
      </c>
      <c r="N5469" s="41">
        <v>46007.583333333336</v>
      </c>
      <c r="O5469" s="38" t="s">
        <v>123</v>
      </c>
      <c r="P5469" s="38">
        <v>5400.0</v>
      </c>
      <c r="Q5469" s="39"/>
      <c r="R5469" s="39"/>
      <c r="S5469" s="39"/>
      <c r="T5469" s="39"/>
      <c r="U5469" s="39"/>
    </row>
    <row r="5470">
      <c r="A5470" s="40">
        <f t="shared" si="1"/>
        <v>46006</v>
      </c>
      <c r="B5470" s="37" t="str">
        <f t="array" ref="B5470">iferror(xlookup($I5470, 'IMPORT VHC Report'!$E:$E, 'IMPORT VHC Report'!$A:$C), )</f>
        <v/>
      </c>
      <c r="C5470" s="37"/>
      <c r="D5470" s="37"/>
      <c r="E5470" s="38" t="s">
        <v>6521</v>
      </c>
      <c r="F5470" s="38" t="s">
        <v>6514</v>
      </c>
      <c r="G5470" s="38">
        <v>3.61725486956E11</v>
      </c>
      <c r="H5470" s="38" t="s">
        <v>6515</v>
      </c>
      <c r="I5470" s="38" t="s">
        <v>6516</v>
      </c>
      <c r="J5470" s="38" t="s">
        <v>132</v>
      </c>
      <c r="K5470" s="38" t="s">
        <v>126</v>
      </c>
      <c r="L5470" s="41">
        <v>46007.541666666664</v>
      </c>
      <c r="M5470" s="38" t="s">
        <v>123</v>
      </c>
      <c r="N5470" s="41">
        <v>46007.583333333336</v>
      </c>
      <c r="O5470" s="38" t="s">
        <v>123</v>
      </c>
      <c r="P5470" s="38">
        <v>3600.0</v>
      </c>
      <c r="Q5470" s="39"/>
      <c r="R5470" s="39"/>
      <c r="S5470" s="39"/>
      <c r="T5470" s="39"/>
      <c r="U5470" s="39"/>
    </row>
    <row r="5471">
      <c r="A5471" s="40">
        <f t="shared" si="1"/>
        <v>46006</v>
      </c>
      <c r="B5471" s="37" t="str">
        <f t="array" ref="B5471">iferror(xlookup($I5471, 'IMPORT VHC Report'!$E:$E, 'IMPORT VHC Report'!$A:$C), )</f>
        <v/>
      </c>
      <c r="C5471" s="37"/>
      <c r="D5471" s="37"/>
      <c r="E5471" s="38" t="s">
        <v>6522</v>
      </c>
      <c r="F5471" s="38" t="s">
        <v>6514</v>
      </c>
      <c r="G5471" s="38">
        <v>3.61725486956E11</v>
      </c>
      <c r="H5471" s="38" t="s">
        <v>6515</v>
      </c>
      <c r="I5471" s="38" t="s">
        <v>6516</v>
      </c>
      <c r="J5471" s="38" t="s">
        <v>134</v>
      </c>
      <c r="K5471" s="38" t="s">
        <v>126</v>
      </c>
      <c r="L5471" s="41">
        <v>46008.458333333336</v>
      </c>
      <c r="M5471" s="38" t="s">
        <v>123</v>
      </c>
      <c r="N5471" s="41">
        <v>46008.479166666664</v>
      </c>
      <c r="O5471" s="38" t="s">
        <v>123</v>
      </c>
      <c r="P5471" s="38">
        <v>1800.0</v>
      </c>
      <c r="Q5471" s="39"/>
      <c r="R5471" s="39"/>
      <c r="S5471" s="39"/>
      <c r="T5471" s="39"/>
      <c r="U5471" s="39"/>
    </row>
    <row r="5472">
      <c r="A5472" s="40">
        <f t="shared" si="1"/>
        <v>46006</v>
      </c>
      <c r="B5472" s="37" t="str">
        <f t="array" ref="B5472">iferror(xlookup($I5472, 'IMPORT VHC Report'!$E:$E, 'IMPORT VHC Report'!$A:$C), )</f>
        <v/>
      </c>
      <c r="C5472" s="37"/>
      <c r="D5472" s="37"/>
      <c r="E5472" s="38" t="s">
        <v>6523</v>
      </c>
      <c r="F5472" s="38" t="s">
        <v>6514</v>
      </c>
      <c r="G5472" s="38">
        <v>3.61725486956E11</v>
      </c>
      <c r="H5472" s="38" t="s">
        <v>6515</v>
      </c>
      <c r="I5472" s="38" t="s">
        <v>6516</v>
      </c>
      <c r="J5472" s="38" t="s">
        <v>332</v>
      </c>
      <c r="K5472" s="38" t="s">
        <v>63</v>
      </c>
      <c r="L5472" s="41">
        <v>46008.458333333336</v>
      </c>
      <c r="M5472" s="38" t="s">
        <v>123</v>
      </c>
      <c r="N5472" s="41">
        <v>46008.833333333336</v>
      </c>
      <c r="O5472" s="38" t="s">
        <v>123</v>
      </c>
      <c r="P5472" s="38">
        <v>32400.0</v>
      </c>
      <c r="Q5472" s="39"/>
      <c r="R5472" s="39"/>
      <c r="S5472" s="39"/>
      <c r="T5472" s="39"/>
      <c r="U5472" s="39"/>
    </row>
    <row r="5473">
      <c r="A5473" s="40">
        <f t="shared" si="1"/>
        <v>46006</v>
      </c>
      <c r="B5473" s="37" t="str">
        <f t="array" ref="B5473">iferror(xlookup($I5473, 'IMPORT VHC Report'!$E:$E, 'IMPORT VHC Report'!$A:$C), )</f>
        <v/>
      </c>
      <c r="C5473" s="37"/>
      <c r="D5473" s="37"/>
      <c r="E5473" s="38" t="s">
        <v>6524</v>
      </c>
      <c r="F5473" s="38" t="s">
        <v>6514</v>
      </c>
      <c r="G5473" s="38">
        <v>3.61725486956E11</v>
      </c>
      <c r="H5473" s="38" t="s">
        <v>6515</v>
      </c>
      <c r="I5473" s="38" t="s">
        <v>6516</v>
      </c>
      <c r="J5473" s="38" t="s">
        <v>132</v>
      </c>
      <c r="K5473" s="38" t="s">
        <v>126</v>
      </c>
      <c r="L5473" s="41">
        <v>46008.479166666664</v>
      </c>
      <c r="M5473" s="38" t="s">
        <v>123</v>
      </c>
      <c r="N5473" s="41">
        <v>46008.520833333336</v>
      </c>
      <c r="O5473" s="38" t="s">
        <v>123</v>
      </c>
      <c r="P5473" s="38">
        <v>3600.0</v>
      </c>
      <c r="Q5473" s="39"/>
      <c r="R5473" s="39"/>
      <c r="S5473" s="39"/>
      <c r="T5473" s="39"/>
      <c r="U5473" s="39"/>
    </row>
    <row r="5474">
      <c r="A5474" s="40">
        <f t="shared" si="1"/>
        <v>46006</v>
      </c>
      <c r="B5474" s="37" t="str">
        <f t="array" ref="B5474">iferror(xlookup($I5474, 'IMPORT VHC Report'!$E:$E, 'IMPORT VHC Report'!$A:$C), )</f>
        <v/>
      </c>
      <c r="C5474" s="37"/>
      <c r="D5474" s="37"/>
      <c r="E5474" s="38" t="s">
        <v>6525</v>
      </c>
      <c r="F5474" s="38" t="s">
        <v>6514</v>
      </c>
      <c r="G5474" s="38">
        <v>3.61725486956E11</v>
      </c>
      <c r="H5474" s="38" t="s">
        <v>6515</v>
      </c>
      <c r="I5474" s="38" t="s">
        <v>6516</v>
      </c>
      <c r="J5474" s="38" t="s">
        <v>136</v>
      </c>
      <c r="K5474" s="38" t="s">
        <v>126</v>
      </c>
      <c r="L5474" s="41">
        <v>46008.666666666664</v>
      </c>
      <c r="M5474" s="38" t="s">
        <v>123</v>
      </c>
      <c r="N5474" s="41">
        <v>46008.833333333336</v>
      </c>
      <c r="O5474" s="38" t="s">
        <v>123</v>
      </c>
      <c r="P5474" s="38">
        <v>14400.0</v>
      </c>
      <c r="Q5474" s="39"/>
      <c r="R5474" s="39"/>
      <c r="S5474" s="38" t="s">
        <v>1098</v>
      </c>
      <c r="T5474" s="39"/>
      <c r="U5474" s="39"/>
    </row>
    <row r="5475">
      <c r="A5475" s="40">
        <f t="shared" si="1"/>
        <v>46006</v>
      </c>
      <c r="B5475" s="37" t="str">
        <f t="array" ref="B5475">iferror(xlookup($I5475, 'IMPORT VHC Report'!$E:$E, 'IMPORT VHC Report'!$A:$C), )</f>
        <v/>
      </c>
      <c r="C5475" s="37"/>
      <c r="D5475" s="37"/>
      <c r="E5475" s="38" t="s">
        <v>6526</v>
      </c>
      <c r="F5475" s="38" t="s">
        <v>6514</v>
      </c>
      <c r="G5475" s="38">
        <v>3.61725486956E11</v>
      </c>
      <c r="H5475" s="38" t="s">
        <v>6515</v>
      </c>
      <c r="I5475" s="38" t="s">
        <v>6516</v>
      </c>
      <c r="J5475" s="38" t="s">
        <v>332</v>
      </c>
      <c r="K5475" s="38" t="s">
        <v>63</v>
      </c>
      <c r="L5475" s="41">
        <v>46009.333333333336</v>
      </c>
      <c r="M5475" s="38" t="s">
        <v>123</v>
      </c>
      <c r="N5475" s="41">
        <v>46009.708333333336</v>
      </c>
      <c r="O5475" s="38" t="s">
        <v>123</v>
      </c>
      <c r="P5475" s="38">
        <v>32400.0</v>
      </c>
      <c r="Q5475" s="39"/>
      <c r="R5475" s="39"/>
      <c r="S5475" s="39"/>
      <c r="T5475" s="39"/>
      <c r="U5475" s="39"/>
    </row>
    <row r="5476">
      <c r="A5476" s="40">
        <f t="shared" si="1"/>
        <v>46006</v>
      </c>
      <c r="B5476" s="37" t="str">
        <f t="array" ref="B5476">iferror(xlookup($I5476, 'IMPORT VHC Report'!$E:$E, 'IMPORT VHC Report'!$A:$C), )</f>
        <v/>
      </c>
      <c r="C5476" s="37"/>
      <c r="D5476" s="37"/>
      <c r="E5476" s="38" t="s">
        <v>6527</v>
      </c>
      <c r="F5476" s="38" t="s">
        <v>6514</v>
      </c>
      <c r="G5476" s="38">
        <v>3.61725486956E11</v>
      </c>
      <c r="H5476" s="38" t="s">
        <v>6515</v>
      </c>
      <c r="I5476" s="38" t="s">
        <v>6516</v>
      </c>
      <c r="J5476" s="38" t="s">
        <v>134</v>
      </c>
      <c r="K5476" s="38" t="s">
        <v>126</v>
      </c>
      <c r="L5476" s="41">
        <v>46009.645833333336</v>
      </c>
      <c r="M5476" s="38" t="s">
        <v>123</v>
      </c>
      <c r="N5476" s="41">
        <v>46009.666666666664</v>
      </c>
      <c r="O5476" s="38" t="s">
        <v>123</v>
      </c>
      <c r="P5476" s="38">
        <v>1800.0</v>
      </c>
      <c r="Q5476" s="39"/>
      <c r="R5476" s="39"/>
      <c r="S5476" s="39"/>
      <c r="T5476" s="39"/>
      <c r="U5476" s="39"/>
    </row>
    <row r="5477">
      <c r="A5477" s="40">
        <f t="shared" si="1"/>
        <v>46006</v>
      </c>
      <c r="B5477" s="37" t="str">
        <f t="array" ref="B5477">iferror(xlookup($I5477, 'IMPORT VHC Report'!$E:$E, 'IMPORT VHC Report'!$A:$C), )</f>
        <v/>
      </c>
      <c r="C5477" s="37"/>
      <c r="D5477" s="37"/>
      <c r="E5477" s="38" t="s">
        <v>6528</v>
      </c>
      <c r="F5477" s="38" t="s">
        <v>6514</v>
      </c>
      <c r="G5477" s="38">
        <v>3.61725486956E11</v>
      </c>
      <c r="H5477" s="38" t="s">
        <v>6515</v>
      </c>
      <c r="I5477" s="38" t="s">
        <v>6516</v>
      </c>
      <c r="J5477" s="38" t="s">
        <v>132</v>
      </c>
      <c r="K5477" s="38" t="s">
        <v>126</v>
      </c>
      <c r="L5477" s="41">
        <v>46009.666666666664</v>
      </c>
      <c r="M5477" s="38" t="s">
        <v>123</v>
      </c>
      <c r="N5477" s="41">
        <v>46009.708333333336</v>
      </c>
      <c r="O5477" s="38" t="s">
        <v>123</v>
      </c>
      <c r="P5477" s="38">
        <v>3600.0</v>
      </c>
      <c r="Q5477" s="39"/>
      <c r="R5477" s="39"/>
      <c r="S5477" s="39"/>
      <c r="T5477" s="39"/>
      <c r="U5477" s="39"/>
    </row>
    <row r="5478">
      <c r="A5478" s="40">
        <f t="shared" si="1"/>
        <v>46006</v>
      </c>
      <c r="B5478" s="37" t="str">
        <f t="array" ref="B5478">iferror(xlookup($I5478, 'IMPORT VHC Report'!$E:$E, 'IMPORT VHC Report'!$A:$C), )</f>
        <v/>
      </c>
      <c r="C5478" s="37"/>
      <c r="D5478" s="37"/>
      <c r="E5478" s="38" t="s">
        <v>6529</v>
      </c>
      <c r="F5478" s="38" t="s">
        <v>6514</v>
      </c>
      <c r="G5478" s="38">
        <v>3.61725486956E11</v>
      </c>
      <c r="H5478" s="38" t="s">
        <v>6515</v>
      </c>
      <c r="I5478" s="38" t="s">
        <v>6516</v>
      </c>
      <c r="J5478" s="38" t="s">
        <v>332</v>
      </c>
      <c r="K5478" s="38" t="s">
        <v>63</v>
      </c>
      <c r="L5478" s="41">
        <v>46010.208333333336</v>
      </c>
      <c r="M5478" s="38" t="s">
        <v>123</v>
      </c>
      <c r="N5478" s="41">
        <v>46010.583333333336</v>
      </c>
      <c r="O5478" s="38" t="s">
        <v>123</v>
      </c>
      <c r="P5478" s="38">
        <v>32400.0</v>
      </c>
      <c r="Q5478" s="39"/>
      <c r="R5478" s="39"/>
      <c r="S5478" s="39"/>
      <c r="T5478" s="39"/>
      <c r="U5478" s="39"/>
    </row>
    <row r="5479">
      <c r="A5479" s="40">
        <f t="shared" si="1"/>
        <v>46006</v>
      </c>
      <c r="B5479" s="37" t="str">
        <f t="array" ref="B5479">iferror(xlookup($I5479, 'IMPORT VHC Report'!$E:$E, 'IMPORT VHC Report'!$A:$C), )</f>
        <v/>
      </c>
      <c r="C5479" s="37"/>
      <c r="D5479" s="37"/>
      <c r="E5479" s="38" t="s">
        <v>6530</v>
      </c>
      <c r="F5479" s="38" t="s">
        <v>6514</v>
      </c>
      <c r="G5479" s="38">
        <v>3.61725486956E11</v>
      </c>
      <c r="H5479" s="38" t="s">
        <v>6515</v>
      </c>
      <c r="I5479" s="38" t="s">
        <v>6516</v>
      </c>
      <c r="J5479" s="38" t="s">
        <v>134</v>
      </c>
      <c r="K5479" s="38" t="s">
        <v>126</v>
      </c>
      <c r="L5479" s="41">
        <v>46010.520833333336</v>
      </c>
      <c r="M5479" s="38" t="s">
        <v>123</v>
      </c>
      <c r="N5479" s="41">
        <v>46010.541666666664</v>
      </c>
      <c r="O5479" s="38" t="s">
        <v>123</v>
      </c>
      <c r="P5479" s="38">
        <v>1800.0</v>
      </c>
      <c r="Q5479" s="39"/>
      <c r="R5479" s="39"/>
      <c r="S5479" s="39"/>
      <c r="T5479" s="39"/>
      <c r="U5479" s="39"/>
    </row>
    <row r="5480">
      <c r="A5480" s="40">
        <f t="shared" si="1"/>
        <v>46006</v>
      </c>
      <c r="B5480" s="37" t="str">
        <f t="array" ref="B5480">iferror(xlookup($I5480, 'IMPORT VHC Report'!$E:$E, 'IMPORT VHC Report'!$A:$C), )</f>
        <v/>
      </c>
      <c r="C5480" s="37"/>
      <c r="D5480" s="37"/>
      <c r="E5480" s="38" t="s">
        <v>6531</v>
      </c>
      <c r="F5480" s="38" t="s">
        <v>6514</v>
      </c>
      <c r="G5480" s="38">
        <v>3.61725486956E11</v>
      </c>
      <c r="H5480" s="38" t="s">
        <v>6515</v>
      </c>
      <c r="I5480" s="38" t="s">
        <v>6516</v>
      </c>
      <c r="J5480" s="38" t="s">
        <v>132</v>
      </c>
      <c r="K5480" s="38" t="s">
        <v>126</v>
      </c>
      <c r="L5480" s="41">
        <v>46010.541666666664</v>
      </c>
      <c r="M5480" s="38" t="s">
        <v>123</v>
      </c>
      <c r="N5480" s="41">
        <v>46010.583333333336</v>
      </c>
      <c r="O5480" s="38" t="s">
        <v>123</v>
      </c>
      <c r="P5480" s="38">
        <v>3600.0</v>
      </c>
      <c r="Q5480" s="39"/>
      <c r="R5480" s="39"/>
      <c r="S5480" s="39"/>
      <c r="T5480" s="39"/>
      <c r="U5480" s="39"/>
    </row>
    <row r="5481">
      <c r="A5481" s="40">
        <f t="shared" si="1"/>
        <v>46006</v>
      </c>
      <c r="B5481" s="37" t="str">
        <f t="array" ref="B5481">iferror(xlookup($I5481, 'IMPORT VHC Report'!$E:$E, 'IMPORT VHC Report'!$A:$C), )</f>
        <v/>
      </c>
      <c r="C5481" s="37"/>
      <c r="D5481" s="37"/>
      <c r="E5481" s="38" t="s">
        <v>6532</v>
      </c>
      <c r="F5481" s="38" t="s">
        <v>6514</v>
      </c>
      <c r="G5481" s="38">
        <v>3.61725486956E11</v>
      </c>
      <c r="H5481" s="38" t="s">
        <v>6515</v>
      </c>
      <c r="I5481" s="38" t="s">
        <v>6516</v>
      </c>
      <c r="J5481" s="38" t="s">
        <v>332</v>
      </c>
      <c r="K5481" s="38" t="s">
        <v>63</v>
      </c>
      <c r="L5481" s="41">
        <v>46011.208333333336</v>
      </c>
      <c r="M5481" s="38" t="s">
        <v>123</v>
      </c>
      <c r="N5481" s="41">
        <v>46011.583333333336</v>
      </c>
      <c r="O5481" s="38" t="s">
        <v>123</v>
      </c>
      <c r="P5481" s="38">
        <v>32400.0</v>
      </c>
      <c r="Q5481" s="39"/>
      <c r="R5481" s="39"/>
      <c r="S5481" s="39"/>
      <c r="T5481" s="39"/>
      <c r="U5481" s="39"/>
    </row>
    <row r="5482">
      <c r="A5482" s="40">
        <f t="shared" si="1"/>
        <v>46006</v>
      </c>
      <c r="B5482" s="37" t="str">
        <f t="array" ref="B5482">iferror(xlookup($I5482, 'IMPORT VHC Report'!$E:$E, 'IMPORT VHC Report'!$A:$C), )</f>
        <v/>
      </c>
      <c r="C5482" s="37"/>
      <c r="D5482" s="37"/>
      <c r="E5482" s="38" t="s">
        <v>6533</v>
      </c>
      <c r="F5482" s="38" t="s">
        <v>6514</v>
      </c>
      <c r="G5482" s="38">
        <v>3.61725486956E11</v>
      </c>
      <c r="H5482" s="38" t="s">
        <v>6515</v>
      </c>
      <c r="I5482" s="38" t="s">
        <v>6516</v>
      </c>
      <c r="J5482" s="38" t="s">
        <v>134</v>
      </c>
      <c r="K5482" s="38" t="s">
        <v>126</v>
      </c>
      <c r="L5482" s="41">
        <v>46011.520833333336</v>
      </c>
      <c r="M5482" s="38" t="s">
        <v>123</v>
      </c>
      <c r="N5482" s="41">
        <v>46011.541666666664</v>
      </c>
      <c r="O5482" s="38" t="s">
        <v>123</v>
      </c>
      <c r="P5482" s="38">
        <v>1800.0</v>
      </c>
      <c r="Q5482" s="39"/>
      <c r="R5482" s="39"/>
      <c r="S5482" s="39"/>
      <c r="T5482" s="39"/>
      <c r="U5482" s="39"/>
    </row>
    <row r="5483">
      <c r="A5483" s="40">
        <f t="shared" si="1"/>
        <v>46006</v>
      </c>
      <c r="B5483" s="37" t="str">
        <f t="array" ref="B5483">iferror(xlookup($I5483, 'IMPORT VHC Report'!$E:$E, 'IMPORT VHC Report'!$A:$C), )</f>
        <v/>
      </c>
      <c r="C5483" s="37"/>
      <c r="D5483" s="37"/>
      <c r="E5483" s="38" t="s">
        <v>6534</v>
      </c>
      <c r="F5483" s="38" t="s">
        <v>6514</v>
      </c>
      <c r="G5483" s="38">
        <v>3.61725486956E11</v>
      </c>
      <c r="H5483" s="38" t="s">
        <v>6515</v>
      </c>
      <c r="I5483" s="38" t="s">
        <v>6516</v>
      </c>
      <c r="J5483" s="38" t="s">
        <v>132</v>
      </c>
      <c r="K5483" s="38" t="s">
        <v>126</v>
      </c>
      <c r="L5483" s="41">
        <v>46011.541666666664</v>
      </c>
      <c r="M5483" s="38" t="s">
        <v>123</v>
      </c>
      <c r="N5483" s="41">
        <v>46011.583333333336</v>
      </c>
      <c r="O5483" s="38" t="s">
        <v>123</v>
      </c>
      <c r="P5483" s="38">
        <v>3600.0</v>
      </c>
      <c r="Q5483" s="39"/>
      <c r="R5483" s="39"/>
      <c r="S5483" s="39"/>
      <c r="T5483" s="39"/>
      <c r="U5483" s="39"/>
    </row>
    <row r="5484">
      <c r="A5484" s="40">
        <f t="shared" si="1"/>
        <v>46006</v>
      </c>
      <c r="B5484" s="37" t="str">
        <f t="array" ref="B5484">iferror(xlookup($I5484, 'IMPORT VHC Report'!$E:$E, 'IMPORT VHC Report'!$A:$C), )</f>
        <v/>
      </c>
      <c r="C5484" s="37"/>
      <c r="D5484" s="37"/>
      <c r="E5484" s="38" t="s">
        <v>6535</v>
      </c>
      <c r="F5484" s="38" t="s">
        <v>6536</v>
      </c>
      <c r="G5484" s="38">
        <v>3.61731943715E11</v>
      </c>
      <c r="H5484" s="38" t="s">
        <v>6537</v>
      </c>
      <c r="I5484" s="38" t="s">
        <v>6538</v>
      </c>
      <c r="J5484" s="38" t="s">
        <v>4</v>
      </c>
      <c r="K5484" s="38" t="s">
        <v>126</v>
      </c>
      <c r="L5484" s="41">
        <v>46007.2125</v>
      </c>
      <c r="M5484" s="38" t="s">
        <v>123</v>
      </c>
      <c r="N5484" s="41">
        <v>46007.23333333333</v>
      </c>
      <c r="O5484" s="38" t="s">
        <v>123</v>
      </c>
      <c r="P5484" s="38">
        <v>1800.0</v>
      </c>
      <c r="Q5484" s="39"/>
      <c r="R5484" s="39"/>
      <c r="S5484" s="39"/>
      <c r="T5484" s="39"/>
      <c r="U5484" s="39"/>
    </row>
    <row r="5485">
      <c r="A5485" s="40">
        <f t="shared" si="1"/>
        <v>46006</v>
      </c>
      <c r="B5485" s="37" t="str">
        <f t="array" ref="B5485">iferror(xlookup($I5485, 'IMPORT VHC Report'!$E:$E, 'IMPORT VHC Report'!$A:$C), )</f>
        <v/>
      </c>
      <c r="C5485" s="37"/>
      <c r="D5485" s="37"/>
      <c r="E5485" s="38" t="s">
        <v>6539</v>
      </c>
      <c r="F5485" s="38" t="s">
        <v>6536</v>
      </c>
      <c r="G5485" s="38">
        <v>3.61731943715E11</v>
      </c>
      <c r="H5485" s="38" t="s">
        <v>6537</v>
      </c>
      <c r="I5485" s="38" t="s">
        <v>6538</v>
      </c>
      <c r="J5485" s="38" t="s">
        <v>530</v>
      </c>
      <c r="K5485" s="38" t="s">
        <v>63</v>
      </c>
      <c r="L5485" s="41">
        <v>46007.2125</v>
      </c>
      <c r="M5485" s="38" t="s">
        <v>123</v>
      </c>
      <c r="N5485" s="41">
        <v>46007.572916666664</v>
      </c>
      <c r="O5485" s="38" t="s">
        <v>123</v>
      </c>
      <c r="P5485" s="38">
        <v>31140.0</v>
      </c>
      <c r="Q5485" s="39"/>
      <c r="R5485" s="39"/>
      <c r="S5485" s="39"/>
      <c r="T5485" s="39"/>
      <c r="U5485" s="39"/>
    </row>
    <row r="5486">
      <c r="A5486" s="40">
        <f t="shared" si="1"/>
        <v>46006</v>
      </c>
      <c r="B5486" s="37" t="str">
        <f t="array" ref="B5486">iferror(xlookup($I5486, 'IMPORT VHC Report'!$E:$E, 'IMPORT VHC Report'!$A:$C), )</f>
        <v/>
      </c>
      <c r="C5486" s="37"/>
      <c r="D5486" s="37"/>
      <c r="E5486" s="38" t="s">
        <v>6540</v>
      </c>
      <c r="F5486" s="38" t="s">
        <v>6536</v>
      </c>
      <c r="G5486" s="38">
        <v>3.61731943715E11</v>
      </c>
      <c r="H5486" s="38" t="s">
        <v>6537</v>
      </c>
      <c r="I5486" s="38" t="s">
        <v>6538</v>
      </c>
      <c r="J5486" s="38" t="s">
        <v>125</v>
      </c>
      <c r="K5486" s="38" t="s">
        <v>126</v>
      </c>
      <c r="L5486" s="41">
        <v>46007.25277777778</v>
      </c>
      <c r="M5486" s="38" t="s">
        <v>123</v>
      </c>
      <c r="N5486" s="41">
        <v>46007.259722222225</v>
      </c>
      <c r="O5486" s="38" t="s">
        <v>123</v>
      </c>
      <c r="P5486" s="38">
        <v>600.0</v>
      </c>
      <c r="Q5486" s="39"/>
      <c r="R5486" s="39"/>
      <c r="S5486" s="39"/>
      <c r="T5486" s="39"/>
      <c r="U5486" s="39"/>
    </row>
    <row r="5487">
      <c r="A5487" s="40">
        <f t="shared" si="1"/>
        <v>46006</v>
      </c>
      <c r="B5487" s="37" t="str">
        <f t="array" ref="B5487">iferror(xlookup($I5487, 'IMPORT VHC Report'!$E:$E, 'IMPORT VHC Report'!$A:$C), )</f>
        <v/>
      </c>
      <c r="C5487" s="37"/>
      <c r="D5487" s="37"/>
      <c r="E5487" s="38" t="s">
        <v>6541</v>
      </c>
      <c r="F5487" s="38" t="s">
        <v>6536</v>
      </c>
      <c r="G5487" s="38">
        <v>3.61731943715E11</v>
      </c>
      <c r="H5487" s="38" t="s">
        <v>6537</v>
      </c>
      <c r="I5487" s="38" t="s">
        <v>6538</v>
      </c>
      <c r="J5487" s="38" t="s">
        <v>125</v>
      </c>
      <c r="K5487" s="38" t="s">
        <v>126</v>
      </c>
      <c r="L5487" s="41">
        <v>46007.28402777778</v>
      </c>
      <c r="M5487" s="38" t="s">
        <v>123</v>
      </c>
      <c r="N5487" s="41">
        <v>46007.31180555555</v>
      </c>
      <c r="O5487" s="38" t="s">
        <v>123</v>
      </c>
      <c r="P5487" s="38">
        <v>2400.0</v>
      </c>
      <c r="Q5487" s="39"/>
      <c r="R5487" s="39"/>
      <c r="S5487" s="39"/>
      <c r="T5487" s="39"/>
      <c r="U5487" s="39"/>
    </row>
    <row r="5488">
      <c r="A5488" s="40">
        <f t="shared" si="1"/>
        <v>46006</v>
      </c>
      <c r="B5488" s="37" t="str">
        <f t="array" ref="B5488">iferror(xlookup($I5488, 'IMPORT VHC Report'!$E:$E, 'IMPORT VHC Report'!$A:$C), )</f>
        <v/>
      </c>
      <c r="C5488" s="37"/>
      <c r="D5488" s="37"/>
      <c r="E5488" s="38" t="s">
        <v>6542</v>
      </c>
      <c r="F5488" s="38" t="s">
        <v>6536</v>
      </c>
      <c r="G5488" s="38">
        <v>3.61731943715E11</v>
      </c>
      <c r="H5488" s="38" t="s">
        <v>6537</v>
      </c>
      <c r="I5488" s="38" t="s">
        <v>6538</v>
      </c>
      <c r="J5488" s="38" t="s">
        <v>125</v>
      </c>
      <c r="K5488" s="38" t="s">
        <v>126</v>
      </c>
      <c r="L5488" s="41">
        <v>46007.32847222222</v>
      </c>
      <c r="M5488" s="38" t="s">
        <v>123</v>
      </c>
      <c r="N5488" s="41">
        <v>46007.33472222222</v>
      </c>
      <c r="O5488" s="38" t="s">
        <v>123</v>
      </c>
      <c r="P5488" s="38">
        <v>540.0</v>
      </c>
      <c r="Q5488" s="39"/>
      <c r="R5488" s="39"/>
      <c r="S5488" s="39"/>
      <c r="T5488" s="39"/>
      <c r="U5488" s="39"/>
    </row>
    <row r="5489">
      <c r="A5489" s="40">
        <f t="shared" si="1"/>
        <v>46006</v>
      </c>
      <c r="B5489" s="37" t="str">
        <f t="array" ref="B5489">iferror(xlookup($I5489, 'IMPORT VHC Report'!$E:$E, 'IMPORT VHC Report'!$A:$C), )</f>
        <v/>
      </c>
      <c r="C5489" s="37"/>
      <c r="D5489" s="37"/>
      <c r="E5489" s="38" t="s">
        <v>6543</v>
      </c>
      <c r="F5489" s="38" t="s">
        <v>6536</v>
      </c>
      <c r="G5489" s="38">
        <v>3.61731943715E11</v>
      </c>
      <c r="H5489" s="38" t="s">
        <v>6537</v>
      </c>
      <c r="I5489" s="38" t="s">
        <v>6538</v>
      </c>
      <c r="J5489" s="38" t="s">
        <v>134</v>
      </c>
      <c r="K5489" s="38" t="s">
        <v>126</v>
      </c>
      <c r="L5489" s="41">
        <v>46007.33472222222</v>
      </c>
      <c r="M5489" s="38" t="s">
        <v>123</v>
      </c>
      <c r="N5489" s="41">
        <v>46007.35555555556</v>
      </c>
      <c r="O5489" s="38" t="s">
        <v>123</v>
      </c>
      <c r="P5489" s="38">
        <v>1800.0</v>
      </c>
      <c r="Q5489" s="39"/>
      <c r="R5489" s="39"/>
      <c r="S5489" s="39"/>
      <c r="T5489" s="39"/>
      <c r="U5489" s="39"/>
    </row>
    <row r="5490">
      <c r="A5490" s="40">
        <f t="shared" si="1"/>
        <v>46006</v>
      </c>
      <c r="B5490" s="37" t="str">
        <f t="array" ref="B5490">iferror(xlookup($I5490, 'IMPORT VHC Report'!$E:$E, 'IMPORT VHC Report'!$A:$C), )</f>
        <v/>
      </c>
      <c r="C5490" s="37"/>
      <c r="D5490" s="37"/>
      <c r="E5490" s="38" t="s">
        <v>6544</v>
      </c>
      <c r="F5490" s="38" t="s">
        <v>6536</v>
      </c>
      <c r="G5490" s="38">
        <v>3.61731943715E11</v>
      </c>
      <c r="H5490" s="38" t="s">
        <v>6537</v>
      </c>
      <c r="I5490" s="38" t="s">
        <v>6538</v>
      </c>
      <c r="J5490" s="38" t="s">
        <v>125</v>
      </c>
      <c r="K5490" s="38" t="s">
        <v>126</v>
      </c>
      <c r="L5490" s="41">
        <v>46007.384722222225</v>
      </c>
      <c r="M5490" s="38" t="s">
        <v>123</v>
      </c>
      <c r="N5490" s="41">
        <v>46007.40138888889</v>
      </c>
      <c r="O5490" s="38" t="s">
        <v>123</v>
      </c>
      <c r="P5490" s="38">
        <v>1440.0</v>
      </c>
      <c r="Q5490" s="39"/>
      <c r="R5490" s="39"/>
      <c r="S5490" s="39"/>
      <c r="T5490" s="39"/>
      <c r="U5490" s="39"/>
    </row>
    <row r="5491">
      <c r="A5491" s="40">
        <f t="shared" si="1"/>
        <v>46006</v>
      </c>
      <c r="B5491" s="37" t="str">
        <f t="array" ref="B5491">iferror(xlookup($I5491, 'IMPORT VHC Report'!$E:$E, 'IMPORT VHC Report'!$A:$C), )</f>
        <v/>
      </c>
      <c r="C5491" s="37"/>
      <c r="D5491" s="37"/>
      <c r="E5491" s="38" t="s">
        <v>6545</v>
      </c>
      <c r="F5491" s="38" t="s">
        <v>6536</v>
      </c>
      <c r="G5491" s="38">
        <v>3.61731943715E11</v>
      </c>
      <c r="H5491" s="38" t="s">
        <v>6537</v>
      </c>
      <c r="I5491" s="38" t="s">
        <v>6538</v>
      </c>
      <c r="J5491" s="38" t="s">
        <v>125</v>
      </c>
      <c r="K5491" s="38" t="s">
        <v>126</v>
      </c>
      <c r="L5491" s="41">
        <v>46007.45</v>
      </c>
      <c r="M5491" s="38" t="s">
        <v>123</v>
      </c>
      <c r="N5491" s="41">
        <v>46007.47083333333</v>
      </c>
      <c r="O5491" s="38" t="s">
        <v>123</v>
      </c>
      <c r="P5491" s="38">
        <v>1800.0</v>
      </c>
      <c r="Q5491" s="39"/>
      <c r="R5491" s="39"/>
      <c r="S5491" s="39"/>
      <c r="T5491" s="39"/>
      <c r="U5491" s="39"/>
    </row>
    <row r="5492">
      <c r="A5492" s="40">
        <f t="shared" si="1"/>
        <v>46006</v>
      </c>
      <c r="B5492" s="37" t="str">
        <f t="array" ref="B5492">iferror(xlookup($I5492, 'IMPORT VHC Report'!$E:$E, 'IMPORT VHC Report'!$A:$C), )</f>
        <v/>
      </c>
      <c r="C5492" s="37"/>
      <c r="D5492" s="37"/>
      <c r="E5492" s="38" t="s">
        <v>6546</v>
      </c>
      <c r="F5492" s="38" t="s">
        <v>6536</v>
      </c>
      <c r="G5492" s="38">
        <v>3.61731943715E11</v>
      </c>
      <c r="H5492" s="38" t="s">
        <v>6537</v>
      </c>
      <c r="I5492" s="38" t="s">
        <v>6538</v>
      </c>
      <c r="J5492" s="38" t="s">
        <v>132</v>
      </c>
      <c r="K5492" s="38" t="s">
        <v>126</v>
      </c>
      <c r="L5492" s="41">
        <v>46007.47083333333</v>
      </c>
      <c r="M5492" s="38" t="s">
        <v>123</v>
      </c>
      <c r="N5492" s="41">
        <v>46007.5125</v>
      </c>
      <c r="O5492" s="38" t="s">
        <v>123</v>
      </c>
      <c r="P5492" s="38">
        <v>3600.0</v>
      </c>
      <c r="Q5492" s="39"/>
      <c r="R5492" s="39"/>
      <c r="S5492" s="39"/>
      <c r="T5492" s="39"/>
      <c r="U5492" s="39"/>
    </row>
    <row r="5493">
      <c r="A5493" s="40">
        <f t="shared" si="1"/>
        <v>46006</v>
      </c>
      <c r="B5493" s="37" t="str">
        <f t="array" ref="B5493">iferror(xlookup($I5493, 'IMPORT VHC Report'!$E:$E, 'IMPORT VHC Report'!$A:$C), )</f>
        <v/>
      </c>
      <c r="C5493" s="37"/>
      <c r="D5493" s="37"/>
      <c r="E5493" s="38" t="s">
        <v>6547</v>
      </c>
      <c r="F5493" s="38" t="s">
        <v>6536</v>
      </c>
      <c r="G5493" s="38">
        <v>3.61731943715E11</v>
      </c>
      <c r="H5493" s="38" t="s">
        <v>6537</v>
      </c>
      <c r="I5493" s="38" t="s">
        <v>6538</v>
      </c>
      <c r="J5493" s="38" t="s">
        <v>125</v>
      </c>
      <c r="K5493" s="38" t="s">
        <v>126</v>
      </c>
      <c r="L5493" s="41">
        <v>46007.540972222225</v>
      </c>
      <c r="M5493" s="38" t="s">
        <v>123</v>
      </c>
      <c r="N5493" s="41">
        <v>46007.56736111111</v>
      </c>
      <c r="O5493" s="38" t="s">
        <v>123</v>
      </c>
      <c r="P5493" s="38">
        <v>2280.0</v>
      </c>
      <c r="Q5493" s="39"/>
      <c r="R5493" s="39"/>
      <c r="S5493" s="39"/>
      <c r="T5493" s="39"/>
      <c r="U5493" s="39"/>
    </row>
    <row r="5494">
      <c r="A5494" s="40">
        <f t="shared" si="1"/>
        <v>46006</v>
      </c>
      <c r="B5494" s="37" t="str">
        <f t="array" ref="B5494">iferror(xlookup($I5494, 'IMPORT VHC Report'!$E:$E, 'IMPORT VHC Report'!$A:$C), )</f>
        <v/>
      </c>
      <c r="C5494" s="37"/>
      <c r="D5494" s="37"/>
      <c r="E5494" s="38" t="s">
        <v>6548</v>
      </c>
      <c r="F5494" s="38" t="s">
        <v>6536</v>
      </c>
      <c r="G5494" s="38">
        <v>3.61731943715E11</v>
      </c>
      <c r="H5494" s="38" t="s">
        <v>6537</v>
      </c>
      <c r="I5494" s="38" t="s">
        <v>6538</v>
      </c>
      <c r="J5494" s="38" t="s">
        <v>1670</v>
      </c>
      <c r="K5494" s="38" t="s">
        <v>63</v>
      </c>
      <c r="L5494" s="41">
        <v>46007.572916666664</v>
      </c>
      <c r="M5494" s="38" t="s">
        <v>123</v>
      </c>
      <c r="N5494" s="41">
        <v>46007.583333333336</v>
      </c>
      <c r="O5494" s="38" t="s">
        <v>123</v>
      </c>
      <c r="P5494" s="38">
        <v>900.0</v>
      </c>
      <c r="Q5494" s="39"/>
      <c r="R5494" s="39"/>
      <c r="S5494" s="39"/>
      <c r="T5494" s="39"/>
      <c r="U5494" s="39"/>
    </row>
    <row r="5495">
      <c r="A5495" s="40">
        <f t="shared" si="1"/>
        <v>46006</v>
      </c>
      <c r="B5495" s="37" t="str">
        <f t="array" ref="B5495">iferror(xlookup($I5495, 'IMPORT VHC Report'!$E:$E, 'IMPORT VHC Report'!$A:$C), )</f>
        <v/>
      </c>
      <c r="C5495" s="37"/>
      <c r="D5495" s="37"/>
      <c r="E5495" s="38" t="s">
        <v>6549</v>
      </c>
      <c r="F5495" s="38" t="s">
        <v>6536</v>
      </c>
      <c r="G5495" s="38">
        <v>3.61731943715E11</v>
      </c>
      <c r="H5495" s="38" t="s">
        <v>6537</v>
      </c>
      <c r="I5495" s="38" t="s">
        <v>6538</v>
      </c>
      <c r="J5495" s="38" t="s">
        <v>530</v>
      </c>
      <c r="K5495" s="38" t="s">
        <v>63</v>
      </c>
      <c r="L5495" s="41">
        <v>46007.583333333336</v>
      </c>
      <c r="M5495" s="38" t="s">
        <v>123</v>
      </c>
      <c r="N5495" s="41">
        <v>46007.5875</v>
      </c>
      <c r="O5495" s="38" t="s">
        <v>123</v>
      </c>
      <c r="P5495" s="38">
        <v>360.0</v>
      </c>
      <c r="Q5495" s="39"/>
      <c r="R5495" s="39"/>
      <c r="S5495" s="39"/>
      <c r="T5495" s="39"/>
      <c r="U5495" s="39"/>
    </row>
    <row r="5496">
      <c r="A5496" s="40">
        <f t="shared" si="1"/>
        <v>46006</v>
      </c>
      <c r="B5496" s="37" t="str">
        <f t="array" ref="B5496">iferror(xlookup($I5496, 'IMPORT VHC Report'!$E:$E, 'IMPORT VHC Report'!$A:$C), )</f>
        <v/>
      </c>
      <c r="C5496" s="37"/>
      <c r="D5496" s="37"/>
      <c r="E5496" s="38" t="s">
        <v>6550</v>
      </c>
      <c r="F5496" s="38" t="s">
        <v>6536</v>
      </c>
      <c r="G5496" s="38">
        <v>3.61731943715E11</v>
      </c>
      <c r="H5496" s="38" t="s">
        <v>6537</v>
      </c>
      <c r="I5496" s="38" t="s">
        <v>6538</v>
      </c>
      <c r="J5496" s="38" t="s">
        <v>4</v>
      </c>
      <c r="K5496" s="38" t="s">
        <v>126</v>
      </c>
      <c r="L5496" s="41">
        <v>46008.208333333336</v>
      </c>
      <c r="M5496" s="38" t="s">
        <v>123</v>
      </c>
      <c r="N5496" s="41">
        <v>46008.25763888889</v>
      </c>
      <c r="O5496" s="38" t="s">
        <v>123</v>
      </c>
      <c r="P5496" s="38">
        <v>4260.0</v>
      </c>
      <c r="Q5496" s="39"/>
      <c r="R5496" s="39"/>
      <c r="S5496" s="38" t="s">
        <v>6551</v>
      </c>
      <c r="T5496" s="39"/>
      <c r="U5496" s="39"/>
    </row>
    <row r="5497">
      <c r="A5497" s="40">
        <f t="shared" si="1"/>
        <v>46006</v>
      </c>
      <c r="B5497" s="37" t="str">
        <f t="array" ref="B5497">iferror(xlookup($I5497, 'IMPORT VHC Report'!$E:$E, 'IMPORT VHC Report'!$A:$C), )</f>
        <v/>
      </c>
      <c r="C5497" s="37"/>
      <c r="D5497" s="37"/>
      <c r="E5497" s="38" t="s">
        <v>6552</v>
      </c>
      <c r="F5497" s="38" t="s">
        <v>6536</v>
      </c>
      <c r="G5497" s="38">
        <v>3.61731943715E11</v>
      </c>
      <c r="H5497" s="38" t="s">
        <v>6537</v>
      </c>
      <c r="I5497" s="38" t="s">
        <v>6538</v>
      </c>
      <c r="J5497" s="38" t="s">
        <v>530</v>
      </c>
      <c r="K5497" s="38" t="s">
        <v>63</v>
      </c>
      <c r="L5497" s="41">
        <v>46008.208333333336</v>
      </c>
      <c r="M5497" s="38" t="s">
        <v>123</v>
      </c>
      <c r="N5497" s="41">
        <v>46008.375</v>
      </c>
      <c r="O5497" s="38" t="s">
        <v>123</v>
      </c>
      <c r="P5497" s="38">
        <v>14400.0</v>
      </c>
      <c r="Q5497" s="39"/>
      <c r="R5497" s="39"/>
      <c r="S5497" s="39"/>
      <c r="T5497" s="39"/>
      <c r="U5497" s="39"/>
    </row>
    <row r="5498">
      <c r="A5498" s="40">
        <f t="shared" si="1"/>
        <v>46006</v>
      </c>
      <c r="B5498" s="37" t="str">
        <f t="array" ref="B5498">iferror(xlookup($I5498, 'IMPORT VHC Report'!$E:$E, 'IMPORT VHC Report'!$A:$C), )</f>
        <v/>
      </c>
      <c r="C5498" s="37"/>
      <c r="D5498" s="37"/>
      <c r="E5498" s="38" t="s">
        <v>6553</v>
      </c>
      <c r="F5498" s="38" t="s">
        <v>6536</v>
      </c>
      <c r="G5498" s="38">
        <v>3.61731943715E11</v>
      </c>
      <c r="H5498" s="38" t="s">
        <v>6537</v>
      </c>
      <c r="I5498" s="38" t="s">
        <v>6538</v>
      </c>
      <c r="J5498" s="38" t="s">
        <v>125</v>
      </c>
      <c r="K5498" s="38" t="s">
        <v>126</v>
      </c>
      <c r="L5498" s="41">
        <v>46008.271527777775</v>
      </c>
      <c r="M5498" s="38" t="s">
        <v>123</v>
      </c>
      <c r="N5498" s="41">
        <v>46008.30347222222</v>
      </c>
      <c r="O5498" s="38" t="s">
        <v>123</v>
      </c>
      <c r="P5498" s="38">
        <v>2760.0</v>
      </c>
      <c r="Q5498" s="39"/>
      <c r="R5498" s="39"/>
      <c r="S5498" s="39"/>
      <c r="T5498" s="39"/>
      <c r="U5498" s="39"/>
    </row>
    <row r="5499">
      <c r="A5499" s="40">
        <f t="shared" si="1"/>
        <v>46006</v>
      </c>
      <c r="B5499" s="37" t="str">
        <f t="array" ref="B5499">iferror(xlookup($I5499, 'IMPORT VHC Report'!$E:$E, 'IMPORT VHC Report'!$A:$C), )</f>
        <v/>
      </c>
      <c r="C5499" s="37"/>
      <c r="D5499" s="37"/>
      <c r="E5499" s="38" t="s">
        <v>6554</v>
      </c>
      <c r="F5499" s="38" t="s">
        <v>6536</v>
      </c>
      <c r="G5499" s="38">
        <v>3.61731943715E11</v>
      </c>
      <c r="H5499" s="38" t="s">
        <v>6537</v>
      </c>
      <c r="I5499" s="38" t="s">
        <v>6538</v>
      </c>
      <c r="J5499" s="38" t="s">
        <v>125</v>
      </c>
      <c r="K5499" s="38" t="s">
        <v>126</v>
      </c>
      <c r="L5499" s="41">
        <v>46008.33125</v>
      </c>
      <c r="M5499" s="38" t="s">
        <v>123</v>
      </c>
      <c r="N5499" s="41">
        <v>46008.35625</v>
      </c>
      <c r="O5499" s="38" t="s">
        <v>123</v>
      </c>
      <c r="P5499" s="38">
        <v>2160.0</v>
      </c>
      <c r="Q5499" s="39"/>
      <c r="R5499" s="39"/>
      <c r="S5499" s="39"/>
      <c r="T5499" s="39"/>
      <c r="U5499" s="39"/>
    </row>
    <row r="5500">
      <c r="A5500" s="40">
        <f t="shared" si="1"/>
        <v>46006</v>
      </c>
      <c r="B5500" s="37" t="str">
        <f t="array" ref="B5500">iferror(xlookup($I5500, 'IMPORT VHC Report'!$E:$E, 'IMPORT VHC Report'!$A:$C), )</f>
        <v/>
      </c>
      <c r="C5500" s="37"/>
      <c r="D5500" s="37"/>
      <c r="E5500" s="38" t="s">
        <v>6555</v>
      </c>
      <c r="F5500" s="38" t="s">
        <v>6536</v>
      </c>
      <c r="G5500" s="38">
        <v>3.61731943715E11</v>
      </c>
      <c r="H5500" s="38" t="s">
        <v>6537</v>
      </c>
      <c r="I5500" s="38" t="s">
        <v>6538</v>
      </c>
      <c r="J5500" s="38" t="s">
        <v>4</v>
      </c>
      <c r="K5500" s="38" t="s">
        <v>126</v>
      </c>
      <c r="L5500" s="41">
        <v>46008.375</v>
      </c>
      <c r="M5500" s="38" t="s">
        <v>123</v>
      </c>
      <c r="N5500" s="41">
        <v>46008.416666666664</v>
      </c>
      <c r="O5500" s="38" t="s">
        <v>123</v>
      </c>
      <c r="P5500" s="38">
        <v>3600.0</v>
      </c>
      <c r="Q5500" s="39"/>
      <c r="R5500" s="39"/>
      <c r="S5500" s="39"/>
      <c r="T5500" s="39"/>
      <c r="U5500" s="39"/>
    </row>
    <row r="5501">
      <c r="A5501" s="40">
        <f t="shared" si="1"/>
        <v>46006</v>
      </c>
      <c r="B5501" s="37" t="str">
        <f t="array" ref="B5501">iferror(xlookup($I5501, 'IMPORT VHC Report'!$E:$E, 'IMPORT VHC Report'!$A:$C), )</f>
        <v/>
      </c>
      <c r="C5501" s="37"/>
      <c r="D5501" s="37"/>
      <c r="E5501" s="38" t="s">
        <v>6556</v>
      </c>
      <c r="F5501" s="38" t="s">
        <v>6536</v>
      </c>
      <c r="G5501" s="38">
        <v>3.61731943715E11</v>
      </c>
      <c r="H5501" s="38" t="s">
        <v>6537</v>
      </c>
      <c r="I5501" s="38" t="s">
        <v>6538</v>
      </c>
      <c r="J5501" s="38" t="s">
        <v>530</v>
      </c>
      <c r="K5501" s="38" t="s">
        <v>63</v>
      </c>
      <c r="L5501" s="41">
        <v>46008.395833333336</v>
      </c>
      <c r="M5501" s="38" t="s">
        <v>123</v>
      </c>
      <c r="N5501" s="41">
        <v>46008.583333333336</v>
      </c>
      <c r="O5501" s="38" t="s">
        <v>123</v>
      </c>
      <c r="P5501" s="38">
        <v>16200.0</v>
      </c>
      <c r="Q5501" s="39"/>
      <c r="R5501" s="39"/>
      <c r="S5501" s="39"/>
      <c r="T5501" s="39"/>
      <c r="U5501" s="39"/>
    </row>
    <row r="5502">
      <c r="A5502" s="40">
        <f t="shared" si="1"/>
        <v>46006</v>
      </c>
      <c r="B5502" s="37" t="str">
        <f t="array" ref="B5502">iferror(xlookup($I5502, 'IMPORT VHC Report'!$E:$E, 'IMPORT VHC Report'!$A:$C), )</f>
        <v/>
      </c>
      <c r="C5502" s="37"/>
      <c r="D5502" s="37"/>
      <c r="E5502" s="38" t="s">
        <v>6557</v>
      </c>
      <c r="F5502" s="38" t="s">
        <v>6536</v>
      </c>
      <c r="G5502" s="38">
        <v>3.61731943715E11</v>
      </c>
      <c r="H5502" s="38" t="s">
        <v>6537</v>
      </c>
      <c r="I5502" s="38" t="s">
        <v>6538</v>
      </c>
      <c r="J5502" s="38" t="s">
        <v>134</v>
      </c>
      <c r="K5502" s="38" t="s">
        <v>126</v>
      </c>
      <c r="L5502" s="41">
        <v>46008.416666666664</v>
      </c>
      <c r="M5502" s="38" t="s">
        <v>123</v>
      </c>
      <c r="N5502" s="41">
        <v>46008.4375</v>
      </c>
      <c r="O5502" s="38" t="s">
        <v>123</v>
      </c>
      <c r="P5502" s="38">
        <v>1800.0</v>
      </c>
      <c r="Q5502" s="39"/>
      <c r="R5502" s="39"/>
      <c r="S5502" s="39"/>
      <c r="T5502" s="39"/>
      <c r="U5502" s="39"/>
    </row>
    <row r="5503">
      <c r="A5503" s="40">
        <f t="shared" si="1"/>
        <v>46006</v>
      </c>
      <c r="B5503" s="37" t="str">
        <f t="array" ref="B5503">iferror(xlookup($I5503, 'IMPORT VHC Report'!$E:$E, 'IMPORT VHC Report'!$A:$C), )</f>
        <v/>
      </c>
      <c r="C5503" s="37"/>
      <c r="D5503" s="37"/>
      <c r="E5503" s="38" t="s">
        <v>6558</v>
      </c>
      <c r="F5503" s="38" t="s">
        <v>6536</v>
      </c>
      <c r="G5503" s="38">
        <v>3.61731943715E11</v>
      </c>
      <c r="H5503" s="38" t="s">
        <v>6537</v>
      </c>
      <c r="I5503" s="38" t="s">
        <v>6538</v>
      </c>
      <c r="J5503" s="38" t="s">
        <v>132</v>
      </c>
      <c r="K5503" s="38" t="s">
        <v>126</v>
      </c>
      <c r="L5503" s="41">
        <v>46008.47638888889</v>
      </c>
      <c r="M5503" s="38" t="s">
        <v>123</v>
      </c>
      <c r="N5503" s="41">
        <v>46008.518055555556</v>
      </c>
      <c r="O5503" s="38" t="s">
        <v>123</v>
      </c>
      <c r="P5503" s="38">
        <v>3600.0</v>
      </c>
      <c r="Q5503" s="39"/>
      <c r="R5503" s="39"/>
      <c r="S5503" s="39"/>
      <c r="T5503" s="39"/>
      <c r="U5503" s="39"/>
    </row>
    <row r="5504">
      <c r="A5504" s="40">
        <f t="shared" si="1"/>
        <v>46006</v>
      </c>
      <c r="B5504" s="37" t="str">
        <f t="array" ref="B5504">iferror(xlookup($I5504, 'IMPORT VHC Report'!$E:$E, 'IMPORT VHC Report'!$A:$C), )</f>
        <v/>
      </c>
      <c r="C5504" s="37"/>
      <c r="D5504" s="37"/>
      <c r="E5504" s="38" t="s">
        <v>6559</v>
      </c>
      <c r="F5504" s="38" t="s">
        <v>6536</v>
      </c>
      <c r="G5504" s="38">
        <v>3.61731943715E11</v>
      </c>
      <c r="H5504" s="38" t="s">
        <v>6537</v>
      </c>
      <c r="I5504" s="38" t="s">
        <v>6538</v>
      </c>
      <c r="J5504" s="38" t="s">
        <v>134</v>
      </c>
      <c r="K5504" s="38" t="s">
        <v>126</v>
      </c>
      <c r="L5504" s="41">
        <v>46008.54236111111</v>
      </c>
      <c r="M5504" s="38" t="s">
        <v>123</v>
      </c>
      <c r="N5504" s="41">
        <v>46008.56041666667</v>
      </c>
      <c r="O5504" s="38" t="s">
        <v>123</v>
      </c>
      <c r="P5504" s="38">
        <v>1560.0</v>
      </c>
      <c r="Q5504" s="39"/>
      <c r="R5504" s="39"/>
      <c r="S5504" s="39"/>
      <c r="T5504" s="39"/>
      <c r="U5504" s="39"/>
    </row>
    <row r="5505">
      <c r="A5505" s="40">
        <f t="shared" si="1"/>
        <v>46006</v>
      </c>
      <c r="B5505" s="37" t="str">
        <f t="array" ref="B5505">iferror(xlookup($I5505, 'IMPORT VHC Report'!$E:$E, 'IMPORT VHC Report'!$A:$C), )</f>
        <v/>
      </c>
      <c r="C5505" s="37"/>
      <c r="D5505" s="37"/>
      <c r="E5505" s="38" t="s">
        <v>6560</v>
      </c>
      <c r="F5505" s="38" t="s">
        <v>6536</v>
      </c>
      <c r="G5505" s="38">
        <v>3.61731943715E11</v>
      </c>
      <c r="H5505" s="38" t="s">
        <v>6537</v>
      </c>
      <c r="I5505" s="38" t="s">
        <v>6538</v>
      </c>
      <c r="J5505" s="38" t="s">
        <v>4</v>
      </c>
      <c r="K5505" s="38" t="s">
        <v>126</v>
      </c>
      <c r="L5505" s="41">
        <v>46009.208333333336</v>
      </c>
      <c r="M5505" s="38" t="s">
        <v>123</v>
      </c>
      <c r="N5505" s="41">
        <v>46009.229166666664</v>
      </c>
      <c r="O5505" s="38" t="s">
        <v>123</v>
      </c>
      <c r="P5505" s="38">
        <v>1800.0</v>
      </c>
      <c r="Q5505" s="39"/>
      <c r="R5505" s="39"/>
      <c r="S5505" s="39"/>
      <c r="T5505" s="39"/>
      <c r="U5505" s="39"/>
    </row>
    <row r="5506">
      <c r="A5506" s="40">
        <f t="shared" si="1"/>
        <v>46006</v>
      </c>
      <c r="B5506" s="37" t="str">
        <f t="array" ref="B5506">iferror(xlookup($I5506, 'IMPORT VHC Report'!$E:$E, 'IMPORT VHC Report'!$A:$C), )</f>
        <v/>
      </c>
      <c r="C5506" s="37"/>
      <c r="D5506" s="37"/>
      <c r="E5506" s="38" t="s">
        <v>6561</v>
      </c>
      <c r="F5506" s="38" t="s">
        <v>6536</v>
      </c>
      <c r="G5506" s="38">
        <v>3.61731943715E11</v>
      </c>
      <c r="H5506" s="38" t="s">
        <v>6537</v>
      </c>
      <c r="I5506" s="38" t="s">
        <v>6538</v>
      </c>
      <c r="J5506" s="38" t="s">
        <v>152</v>
      </c>
      <c r="K5506" s="38" t="s">
        <v>153</v>
      </c>
      <c r="L5506" s="41">
        <v>46009.208333333336</v>
      </c>
      <c r="M5506" s="38" t="s">
        <v>123</v>
      </c>
      <c r="N5506" s="41">
        <v>46009.583333333336</v>
      </c>
      <c r="O5506" s="38" t="s">
        <v>123</v>
      </c>
      <c r="P5506" s="38">
        <v>32400.0</v>
      </c>
      <c r="Q5506" s="38">
        <v>28800.0</v>
      </c>
      <c r="R5506" s="39"/>
      <c r="S5506" s="39"/>
      <c r="T5506" s="39"/>
      <c r="U5506" s="39"/>
    </row>
    <row r="5507">
      <c r="A5507" s="40">
        <f t="shared" si="1"/>
        <v>46006</v>
      </c>
      <c r="B5507" s="37" t="str">
        <f t="array" ref="B5507">iferror(xlookup($I5507, 'IMPORT VHC Report'!$E:$E, 'IMPORT VHC Report'!$A:$C), )</f>
        <v/>
      </c>
      <c r="C5507" s="37"/>
      <c r="D5507" s="37"/>
      <c r="E5507" s="38" t="s">
        <v>6562</v>
      </c>
      <c r="F5507" s="38" t="s">
        <v>6536</v>
      </c>
      <c r="G5507" s="38">
        <v>3.61731943715E11</v>
      </c>
      <c r="H5507" s="38" t="s">
        <v>6537</v>
      </c>
      <c r="I5507" s="38" t="s">
        <v>6538</v>
      </c>
      <c r="J5507" s="38" t="s">
        <v>530</v>
      </c>
      <c r="K5507" s="38" t="s">
        <v>63</v>
      </c>
      <c r="L5507" s="41">
        <v>46009.208333333336</v>
      </c>
      <c r="M5507" s="38" t="s">
        <v>123</v>
      </c>
      <c r="N5507" s="41">
        <v>46009.583333333336</v>
      </c>
      <c r="O5507" s="38" t="s">
        <v>123</v>
      </c>
      <c r="P5507" s="38">
        <v>32400.0</v>
      </c>
      <c r="Q5507" s="39"/>
      <c r="R5507" s="39"/>
      <c r="S5507" s="39"/>
      <c r="T5507" s="39"/>
      <c r="U5507" s="39"/>
    </row>
    <row r="5508">
      <c r="A5508" s="40">
        <f t="shared" si="1"/>
        <v>46006</v>
      </c>
      <c r="B5508" s="37" t="str">
        <f t="array" ref="B5508">iferror(xlookup($I5508, 'IMPORT VHC Report'!$E:$E, 'IMPORT VHC Report'!$A:$C), )</f>
        <v/>
      </c>
      <c r="C5508" s="37"/>
      <c r="D5508" s="37"/>
      <c r="E5508" s="38" t="s">
        <v>6563</v>
      </c>
      <c r="F5508" s="38" t="s">
        <v>6536</v>
      </c>
      <c r="G5508" s="38">
        <v>3.61731943715E11</v>
      </c>
      <c r="H5508" s="38" t="s">
        <v>6537</v>
      </c>
      <c r="I5508" s="38" t="s">
        <v>6538</v>
      </c>
      <c r="J5508" s="38" t="s">
        <v>132</v>
      </c>
      <c r="K5508" s="38" t="s">
        <v>126</v>
      </c>
      <c r="L5508" s="41">
        <v>46009.3125</v>
      </c>
      <c r="M5508" s="38" t="s">
        <v>123</v>
      </c>
      <c r="N5508" s="41">
        <v>46009.354166666664</v>
      </c>
      <c r="O5508" s="38" t="s">
        <v>123</v>
      </c>
      <c r="P5508" s="38">
        <v>3600.0</v>
      </c>
      <c r="Q5508" s="39"/>
      <c r="R5508" s="39"/>
      <c r="S5508" s="39"/>
      <c r="T5508" s="39"/>
      <c r="U5508" s="39"/>
    </row>
    <row r="5509">
      <c r="A5509" s="40">
        <f t="shared" si="1"/>
        <v>46006</v>
      </c>
      <c r="B5509" s="37" t="str">
        <f t="array" ref="B5509">iferror(xlookup($I5509, 'IMPORT VHC Report'!$E:$E, 'IMPORT VHC Report'!$A:$C), )</f>
        <v/>
      </c>
      <c r="C5509" s="37"/>
      <c r="D5509" s="37"/>
      <c r="E5509" s="38" t="s">
        <v>6564</v>
      </c>
      <c r="F5509" s="38" t="s">
        <v>6536</v>
      </c>
      <c r="G5509" s="38">
        <v>3.61731943715E11</v>
      </c>
      <c r="H5509" s="38" t="s">
        <v>6537</v>
      </c>
      <c r="I5509" s="38" t="s">
        <v>6538</v>
      </c>
      <c r="J5509" s="38" t="s">
        <v>134</v>
      </c>
      <c r="K5509" s="38" t="s">
        <v>126</v>
      </c>
      <c r="L5509" s="41">
        <v>46009.5</v>
      </c>
      <c r="M5509" s="38" t="s">
        <v>123</v>
      </c>
      <c r="N5509" s="41">
        <v>46009.520833333336</v>
      </c>
      <c r="O5509" s="38" t="s">
        <v>123</v>
      </c>
      <c r="P5509" s="38">
        <v>1800.0</v>
      </c>
      <c r="Q5509" s="39"/>
      <c r="R5509" s="39"/>
      <c r="S5509" s="39"/>
      <c r="T5509" s="39"/>
      <c r="U5509" s="39"/>
    </row>
    <row r="5510">
      <c r="A5510" s="40">
        <f t="shared" si="1"/>
        <v>46006</v>
      </c>
      <c r="B5510" s="37" t="str">
        <f t="array" ref="B5510">iferror(xlookup($I5510, 'IMPORT VHC Report'!$E:$E, 'IMPORT VHC Report'!$A:$C), )</f>
        <v/>
      </c>
      <c r="C5510" s="37"/>
      <c r="D5510" s="37"/>
      <c r="E5510" s="38" t="s">
        <v>6565</v>
      </c>
      <c r="F5510" s="38" t="s">
        <v>6536</v>
      </c>
      <c r="G5510" s="38">
        <v>3.61731943715E11</v>
      </c>
      <c r="H5510" s="38" t="s">
        <v>6537</v>
      </c>
      <c r="I5510" s="38" t="s">
        <v>6538</v>
      </c>
      <c r="J5510" s="38" t="s">
        <v>4</v>
      </c>
      <c r="K5510" s="38" t="s">
        <v>126</v>
      </c>
      <c r="L5510" s="41">
        <v>46010.208333333336</v>
      </c>
      <c r="M5510" s="38" t="s">
        <v>123</v>
      </c>
      <c r="N5510" s="41">
        <v>46010.229166666664</v>
      </c>
      <c r="O5510" s="38" t="s">
        <v>123</v>
      </c>
      <c r="P5510" s="38">
        <v>1800.0</v>
      </c>
      <c r="Q5510" s="39"/>
      <c r="R5510" s="39"/>
      <c r="S5510" s="39"/>
      <c r="T5510" s="39"/>
      <c r="U5510" s="39"/>
    </row>
    <row r="5511">
      <c r="A5511" s="40">
        <f t="shared" si="1"/>
        <v>46006</v>
      </c>
      <c r="B5511" s="37" t="str">
        <f t="array" ref="B5511">iferror(xlookup($I5511, 'IMPORT VHC Report'!$E:$E, 'IMPORT VHC Report'!$A:$C), )</f>
        <v/>
      </c>
      <c r="C5511" s="37"/>
      <c r="D5511" s="37"/>
      <c r="E5511" s="38" t="s">
        <v>6566</v>
      </c>
      <c r="F5511" s="38" t="s">
        <v>6536</v>
      </c>
      <c r="G5511" s="38">
        <v>3.61731943715E11</v>
      </c>
      <c r="H5511" s="38" t="s">
        <v>6537</v>
      </c>
      <c r="I5511" s="38" t="s">
        <v>6538</v>
      </c>
      <c r="J5511" s="38" t="s">
        <v>152</v>
      </c>
      <c r="K5511" s="38" t="s">
        <v>153</v>
      </c>
      <c r="L5511" s="41">
        <v>46010.208333333336</v>
      </c>
      <c r="M5511" s="38" t="s">
        <v>123</v>
      </c>
      <c r="N5511" s="41">
        <v>46010.375</v>
      </c>
      <c r="O5511" s="38" t="s">
        <v>123</v>
      </c>
      <c r="P5511" s="38">
        <v>14400.0</v>
      </c>
      <c r="Q5511" s="38">
        <v>18000.0</v>
      </c>
      <c r="R5511" s="39"/>
      <c r="S5511" s="39"/>
      <c r="T5511" s="39"/>
      <c r="U5511" s="39"/>
    </row>
    <row r="5512">
      <c r="A5512" s="40">
        <f t="shared" si="1"/>
        <v>46006</v>
      </c>
      <c r="B5512" s="37" t="str">
        <f t="array" ref="B5512">iferror(xlookup($I5512, 'IMPORT VHC Report'!$E:$E, 'IMPORT VHC Report'!$A:$C), )</f>
        <v/>
      </c>
      <c r="C5512" s="37"/>
      <c r="D5512" s="37"/>
      <c r="E5512" s="38" t="s">
        <v>6567</v>
      </c>
      <c r="F5512" s="38" t="s">
        <v>6536</v>
      </c>
      <c r="G5512" s="38">
        <v>3.61731943715E11</v>
      </c>
      <c r="H5512" s="38" t="s">
        <v>6537</v>
      </c>
      <c r="I5512" s="38" t="s">
        <v>6538</v>
      </c>
      <c r="J5512" s="38" t="s">
        <v>530</v>
      </c>
      <c r="K5512" s="38" t="s">
        <v>63</v>
      </c>
      <c r="L5512" s="41">
        <v>46010.208333333336</v>
      </c>
      <c r="M5512" s="38" t="s">
        <v>123</v>
      </c>
      <c r="N5512" s="41">
        <v>46010.583333333336</v>
      </c>
      <c r="O5512" s="38" t="s">
        <v>123</v>
      </c>
      <c r="P5512" s="38">
        <v>32400.0</v>
      </c>
      <c r="Q5512" s="39"/>
      <c r="R5512" s="39"/>
      <c r="S5512" s="39"/>
      <c r="T5512" s="39"/>
      <c r="U5512" s="39"/>
    </row>
    <row r="5513">
      <c r="A5513" s="40">
        <f t="shared" si="1"/>
        <v>46006</v>
      </c>
      <c r="B5513" s="37" t="str">
        <f t="array" ref="B5513">iferror(xlookup($I5513, 'IMPORT VHC Report'!$E:$E, 'IMPORT VHC Report'!$A:$C), )</f>
        <v/>
      </c>
      <c r="C5513" s="37"/>
      <c r="D5513" s="37"/>
      <c r="E5513" s="38" t="s">
        <v>6568</v>
      </c>
      <c r="F5513" s="38" t="s">
        <v>6536</v>
      </c>
      <c r="G5513" s="38">
        <v>3.61731943715E11</v>
      </c>
      <c r="H5513" s="38" t="s">
        <v>6537</v>
      </c>
      <c r="I5513" s="38" t="s">
        <v>6538</v>
      </c>
      <c r="J5513" s="38" t="s">
        <v>132</v>
      </c>
      <c r="K5513" s="38" t="s">
        <v>126</v>
      </c>
      <c r="L5513" s="41">
        <v>46010.375</v>
      </c>
      <c r="M5513" s="38" t="s">
        <v>123</v>
      </c>
      <c r="N5513" s="41">
        <v>46010.416666666664</v>
      </c>
      <c r="O5513" s="38" t="s">
        <v>123</v>
      </c>
      <c r="P5513" s="38">
        <v>3600.0</v>
      </c>
      <c r="Q5513" s="39"/>
      <c r="R5513" s="39"/>
      <c r="S5513" s="39"/>
      <c r="T5513" s="39"/>
      <c r="U5513" s="39"/>
    </row>
    <row r="5514">
      <c r="A5514" s="40">
        <f t="shared" si="1"/>
        <v>46006</v>
      </c>
      <c r="B5514" s="37" t="str">
        <f t="array" ref="B5514">iferror(xlookup($I5514, 'IMPORT VHC Report'!$E:$E, 'IMPORT VHC Report'!$A:$C), )</f>
        <v/>
      </c>
      <c r="C5514" s="37"/>
      <c r="D5514" s="37"/>
      <c r="E5514" s="38" t="s">
        <v>6569</v>
      </c>
      <c r="F5514" s="38" t="s">
        <v>6536</v>
      </c>
      <c r="G5514" s="38">
        <v>3.61731943715E11</v>
      </c>
      <c r="H5514" s="38" t="s">
        <v>6537</v>
      </c>
      <c r="I5514" s="38" t="s">
        <v>6538</v>
      </c>
      <c r="J5514" s="38" t="s">
        <v>134</v>
      </c>
      <c r="K5514" s="38" t="s">
        <v>126</v>
      </c>
      <c r="L5514" s="41">
        <v>46010.552083333336</v>
      </c>
      <c r="M5514" s="38" t="s">
        <v>123</v>
      </c>
      <c r="N5514" s="41">
        <v>46010.5625</v>
      </c>
      <c r="O5514" s="38" t="s">
        <v>123</v>
      </c>
      <c r="P5514" s="38">
        <v>900.0</v>
      </c>
      <c r="Q5514" s="39"/>
      <c r="R5514" s="39"/>
      <c r="S5514" s="39"/>
      <c r="T5514" s="39"/>
      <c r="U5514" s="39"/>
    </row>
    <row r="5515">
      <c r="A5515" s="40">
        <f t="shared" si="1"/>
        <v>46006</v>
      </c>
      <c r="B5515" s="37" t="str">
        <f t="array" ref="B5515">iferror(xlookup($I5515, 'IMPORT VHC Report'!$E:$E, 'IMPORT VHC Report'!$A:$C), )</f>
        <v/>
      </c>
      <c r="C5515" s="37"/>
      <c r="D5515" s="37"/>
      <c r="E5515" s="38" t="s">
        <v>6570</v>
      </c>
      <c r="F5515" s="38" t="s">
        <v>6536</v>
      </c>
      <c r="G5515" s="38">
        <v>3.61731943715E11</v>
      </c>
      <c r="H5515" s="38" t="s">
        <v>6537</v>
      </c>
      <c r="I5515" s="38" t="s">
        <v>6538</v>
      </c>
      <c r="J5515" s="38" t="s">
        <v>4</v>
      </c>
      <c r="K5515" s="38" t="s">
        <v>126</v>
      </c>
      <c r="L5515" s="41">
        <v>46011.208333333336</v>
      </c>
      <c r="M5515" s="38" t="s">
        <v>123</v>
      </c>
      <c r="N5515" s="41">
        <v>46011.24236111111</v>
      </c>
      <c r="O5515" s="38" t="s">
        <v>123</v>
      </c>
      <c r="P5515" s="38">
        <v>2940.0</v>
      </c>
      <c r="Q5515" s="39"/>
      <c r="R5515" s="39"/>
      <c r="S5515" s="39"/>
      <c r="T5515" s="39"/>
      <c r="U5515" s="39"/>
    </row>
    <row r="5516">
      <c r="A5516" s="40">
        <f t="shared" si="1"/>
        <v>46006</v>
      </c>
      <c r="B5516" s="37" t="str">
        <f t="array" ref="B5516">iferror(xlookup($I5516, 'IMPORT VHC Report'!$E:$E, 'IMPORT VHC Report'!$A:$C), )</f>
        <v/>
      </c>
      <c r="C5516" s="37"/>
      <c r="D5516" s="37"/>
      <c r="E5516" s="38" t="s">
        <v>6571</v>
      </c>
      <c r="F5516" s="38" t="s">
        <v>6536</v>
      </c>
      <c r="G5516" s="38">
        <v>3.61731943715E11</v>
      </c>
      <c r="H5516" s="38" t="s">
        <v>6537</v>
      </c>
      <c r="I5516" s="38" t="s">
        <v>6538</v>
      </c>
      <c r="J5516" s="38" t="s">
        <v>530</v>
      </c>
      <c r="K5516" s="38" t="s">
        <v>63</v>
      </c>
      <c r="L5516" s="41">
        <v>46011.208333333336</v>
      </c>
      <c r="M5516" s="38" t="s">
        <v>123</v>
      </c>
      <c r="N5516" s="41">
        <v>46011.583333333336</v>
      </c>
      <c r="O5516" s="38" t="s">
        <v>123</v>
      </c>
      <c r="P5516" s="38">
        <v>32400.0</v>
      </c>
      <c r="Q5516" s="39"/>
      <c r="R5516" s="39"/>
      <c r="S5516" s="39"/>
      <c r="T5516" s="39"/>
      <c r="U5516" s="39"/>
    </row>
    <row r="5517">
      <c r="A5517" s="40">
        <f t="shared" si="1"/>
        <v>46006</v>
      </c>
      <c r="B5517" s="37" t="str">
        <f t="array" ref="B5517">iferror(xlookup($I5517, 'IMPORT VHC Report'!$E:$E, 'IMPORT VHC Report'!$A:$C), )</f>
        <v/>
      </c>
      <c r="C5517" s="37"/>
      <c r="D5517" s="37"/>
      <c r="E5517" s="38" t="s">
        <v>6572</v>
      </c>
      <c r="F5517" s="38" t="s">
        <v>6536</v>
      </c>
      <c r="G5517" s="38">
        <v>3.61731943715E11</v>
      </c>
      <c r="H5517" s="38" t="s">
        <v>6537</v>
      </c>
      <c r="I5517" s="38" t="s">
        <v>6538</v>
      </c>
      <c r="J5517" s="38" t="s">
        <v>125</v>
      </c>
      <c r="K5517" s="38" t="s">
        <v>126</v>
      </c>
      <c r="L5517" s="41">
        <v>46011.26875</v>
      </c>
      <c r="M5517" s="38" t="s">
        <v>123</v>
      </c>
      <c r="N5517" s="41">
        <v>46011.271527777775</v>
      </c>
      <c r="O5517" s="38" t="s">
        <v>123</v>
      </c>
      <c r="P5517" s="38">
        <v>240.0</v>
      </c>
      <c r="Q5517" s="39"/>
      <c r="R5517" s="39"/>
      <c r="S5517" s="39"/>
      <c r="T5517" s="39"/>
      <c r="U5517" s="39"/>
    </row>
    <row r="5518">
      <c r="A5518" s="40">
        <f t="shared" si="1"/>
        <v>46006</v>
      </c>
      <c r="B5518" s="37" t="str">
        <f t="array" ref="B5518">iferror(xlookup($I5518, 'IMPORT VHC Report'!$E:$E, 'IMPORT VHC Report'!$A:$C), )</f>
        <v/>
      </c>
      <c r="C5518" s="37"/>
      <c r="D5518" s="37"/>
      <c r="E5518" s="38" t="s">
        <v>6573</v>
      </c>
      <c r="F5518" s="38" t="s">
        <v>6536</v>
      </c>
      <c r="G5518" s="38">
        <v>3.61731943715E11</v>
      </c>
      <c r="H5518" s="38" t="s">
        <v>6537</v>
      </c>
      <c r="I5518" s="38" t="s">
        <v>6538</v>
      </c>
      <c r="J5518" s="38" t="s">
        <v>134</v>
      </c>
      <c r="K5518" s="38" t="s">
        <v>126</v>
      </c>
      <c r="L5518" s="41">
        <v>46011.31527777778</v>
      </c>
      <c r="M5518" s="38" t="s">
        <v>123</v>
      </c>
      <c r="N5518" s="41">
        <v>46011.325694444444</v>
      </c>
      <c r="O5518" s="38" t="s">
        <v>123</v>
      </c>
      <c r="P5518" s="38">
        <v>900.0</v>
      </c>
      <c r="Q5518" s="39"/>
      <c r="R5518" s="39"/>
      <c r="S5518" s="39"/>
      <c r="T5518" s="39"/>
      <c r="U5518" s="39"/>
    </row>
    <row r="5519">
      <c r="A5519" s="40">
        <f t="shared" si="1"/>
        <v>46006</v>
      </c>
      <c r="B5519" s="37" t="str">
        <f t="array" ref="B5519">iferror(xlookup($I5519, 'IMPORT VHC Report'!$E:$E, 'IMPORT VHC Report'!$A:$C), )</f>
        <v/>
      </c>
      <c r="C5519" s="37"/>
      <c r="D5519" s="37"/>
      <c r="E5519" s="38" t="s">
        <v>6574</v>
      </c>
      <c r="F5519" s="38" t="s">
        <v>6536</v>
      </c>
      <c r="G5519" s="38">
        <v>3.61731943715E11</v>
      </c>
      <c r="H5519" s="38" t="s">
        <v>6537</v>
      </c>
      <c r="I5519" s="38" t="s">
        <v>6538</v>
      </c>
      <c r="J5519" s="38" t="s">
        <v>125</v>
      </c>
      <c r="K5519" s="38" t="s">
        <v>126</v>
      </c>
      <c r="L5519" s="41">
        <v>46011.333333333336</v>
      </c>
      <c r="M5519" s="38" t="s">
        <v>123</v>
      </c>
      <c r="N5519" s="41">
        <v>46011.36319444444</v>
      </c>
      <c r="O5519" s="38" t="s">
        <v>123</v>
      </c>
      <c r="P5519" s="38">
        <v>2580.0</v>
      </c>
      <c r="Q5519" s="39"/>
      <c r="R5519" s="39"/>
      <c r="S5519" s="38" t="s">
        <v>6575</v>
      </c>
      <c r="T5519" s="39"/>
      <c r="U5519" s="39"/>
    </row>
    <row r="5520">
      <c r="A5520" s="40">
        <f t="shared" si="1"/>
        <v>46006</v>
      </c>
      <c r="B5520" s="37" t="str">
        <f t="array" ref="B5520">iferror(xlookup($I5520, 'IMPORT VHC Report'!$E:$E, 'IMPORT VHC Report'!$A:$C), )</f>
        <v/>
      </c>
      <c r="C5520" s="37"/>
      <c r="D5520" s="37"/>
      <c r="E5520" s="38" t="s">
        <v>6576</v>
      </c>
      <c r="F5520" s="38" t="s">
        <v>6536</v>
      </c>
      <c r="G5520" s="38">
        <v>3.61731943715E11</v>
      </c>
      <c r="H5520" s="38" t="s">
        <v>6537</v>
      </c>
      <c r="I5520" s="38" t="s">
        <v>6538</v>
      </c>
      <c r="J5520" s="38" t="s">
        <v>132</v>
      </c>
      <c r="K5520" s="38" t="s">
        <v>126</v>
      </c>
      <c r="L5520" s="41">
        <v>46011.375</v>
      </c>
      <c r="M5520" s="38" t="s">
        <v>123</v>
      </c>
      <c r="N5520" s="41">
        <v>46011.416666666664</v>
      </c>
      <c r="O5520" s="38" t="s">
        <v>123</v>
      </c>
      <c r="P5520" s="38">
        <v>3600.0</v>
      </c>
      <c r="Q5520" s="39"/>
      <c r="R5520" s="39"/>
      <c r="S5520" s="39"/>
      <c r="T5520" s="39"/>
      <c r="U5520" s="39"/>
    </row>
    <row r="5521">
      <c r="A5521" s="40">
        <f t="shared" si="1"/>
        <v>46006</v>
      </c>
      <c r="B5521" s="37" t="str">
        <f t="array" ref="B5521">iferror(xlookup($I5521, 'IMPORT VHC Report'!$E:$E, 'IMPORT VHC Report'!$A:$C), )</f>
        <v/>
      </c>
      <c r="C5521" s="37"/>
      <c r="D5521" s="37"/>
      <c r="E5521" s="38" t="s">
        <v>6577</v>
      </c>
      <c r="F5521" s="38" t="s">
        <v>6536</v>
      </c>
      <c r="G5521" s="38">
        <v>3.61731943715E11</v>
      </c>
      <c r="H5521" s="38" t="s">
        <v>6537</v>
      </c>
      <c r="I5521" s="38" t="s">
        <v>6538</v>
      </c>
      <c r="J5521" s="38" t="s">
        <v>178</v>
      </c>
      <c r="K5521" s="38" t="s">
        <v>153</v>
      </c>
      <c r="L5521" s="41">
        <v>46011.416666666664</v>
      </c>
      <c r="M5521" s="38" t="s">
        <v>123</v>
      </c>
      <c r="N5521" s="41">
        <v>46011.583333333336</v>
      </c>
      <c r="O5521" s="38" t="s">
        <v>123</v>
      </c>
      <c r="P5521" s="38">
        <v>14400.0</v>
      </c>
      <c r="Q5521" s="38">
        <v>14400.0</v>
      </c>
      <c r="R5521" s="38" t="s">
        <v>6578</v>
      </c>
      <c r="S5521" s="39"/>
      <c r="T5521" s="39"/>
      <c r="U5521" s="39"/>
    </row>
    <row r="5522">
      <c r="A5522" s="40">
        <f t="shared" si="1"/>
        <v>46006</v>
      </c>
      <c r="B5522" s="37" t="str">
        <f t="array" ref="B5522">iferror(xlookup($I5522, 'IMPORT VHC Report'!$E:$E, 'IMPORT VHC Report'!$A:$C), )</f>
        <v/>
      </c>
      <c r="C5522" s="37"/>
      <c r="D5522" s="37"/>
      <c r="E5522" s="38" t="s">
        <v>6579</v>
      </c>
      <c r="F5522" s="38" t="s">
        <v>6536</v>
      </c>
      <c r="G5522" s="38">
        <v>3.61731943715E11</v>
      </c>
      <c r="H5522" s="38" t="s">
        <v>6537</v>
      </c>
      <c r="I5522" s="38" t="s">
        <v>6538</v>
      </c>
      <c r="J5522" s="38" t="s">
        <v>530</v>
      </c>
      <c r="K5522" s="38" t="s">
        <v>63</v>
      </c>
      <c r="L5522" s="41">
        <v>46012.416666666664</v>
      </c>
      <c r="M5522" s="38" t="s">
        <v>123</v>
      </c>
      <c r="N5522" s="41">
        <v>46012.583333333336</v>
      </c>
      <c r="O5522" s="38" t="s">
        <v>123</v>
      </c>
      <c r="P5522" s="38">
        <v>14400.0</v>
      </c>
      <c r="Q5522" s="39"/>
      <c r="R5522" s="39"/>
      <c r="S5522" s="39"/>
      <c r="T5522" s="39"/>
      <c r="U5522" s="39"/>
    </row>
    <row r="5523">
      <c r="A5523" s="40">
        <f t="shared" si="1"/>
        <v>46006</v>
      </c>
      <c r="B5523" s="37" t="str">
        <f t="array" ref="B5523">iferror(xlookup($I5523, 'IMPORT VHC Report'!$E:$E, 'IMPORT VHC Report'!$A:$C), )</f>
        <v/>
      </c>
      <c r="C5523" s="37"/>
      <c r="D5523" s="37"/>
      <c r="E5523" s="38" t="s">
        <v>6580</v>
      </c>
      <c r="F5523" s="38" t="s">
        <v>6581</v>
      </c>
      <c r="G5523" s="38">
        <v>1.0548626331023E13</v>
      </c>
      <c r="H5523" s="38" t="s">
        <v>74</v>
      </c>
      <c r="I5523" s="38" t="s">
        <v>75</v>
      </c>
      <c r="J5523" s="38" t="s">
        <v>791</v>
      </c>
      <c r="K5523" s="38" t="s">
        <v>63</v>
      </c>
      <c r="L5523" s="41">
        <v>46007.25</v>
      </c>
      <c r="M5523" s="38" t="s">
        <v>123</v>
      </c>
      <c r="N5523" s="41">
        <v>46007.625</v>
      </c>
      <c r="O5523" s="38" t="s">
        <v>123</v>
      </c>
      <c r="P5523" s="38">
        <v>32400.0</v>
      </c>
      <c r="Q5523" s="39"/>
      <c r="R5523" s="39"/>
      <c r="S5523" s="39"/>
      <c r="T5523" s="39"/>
      <c r="U5523" s="39"/>
    </row>
    <row r="5524">
      <c r="A5524" s="40">
        <f t="shared" si="1"/>
        <v>46006</v>
      </c>
      <c r="B5524" s="37" t="str">
        <f t="array" ref="B5524">iferror(xlookup($I5524, 'IMPORT VHC Report'!$E:$E, 'IMPORT VHC Report'!$A:$C), )</f>
        <v/>
      </c>
      <c r="C5524" s="37"/>
      <c r="D5524" s="37"/>
      <c r="E5524" s="38" t="s">
        <v>6582</v>
      </c>
      <c r="F5524" s="38" t="s">
        <v>6581</v>
      </c>
      <c r="G5524" s="38">
        <v>1.0548626331023E13</v>
      </c>
      <c r="H5524" s="38" t="s">
        <v>74</v>
      </c>
      <c r="I5524" s="38" t="s">
        <v>75</v>
      </c>
      <c r="J5524" s="38" t="s">
        <v>132</v>
      </c>
      <c r="K5524" s="38" t="s">
        <v>126</v>
      </c>
      <c r="L5524" s="41">
        <v>46007.5625</v>
      </c>
      <c r="M5524" s="38" t="s">
        <v>123</v>
      </c>
      <c r="N5524" s="41">
        <v>46007.604166666664</v>
      </c>
      <c r="O5524" s="38" t="s">
        <v>123</v>
      </c>
      <c r="P5524" s="38">
        <v>3600.0</v>
      </c>
      <c r="Q5524" s="39"/>
      <c r="R5524" s="39"/>
      <c r="S5524" s="39"/>
      <c r="T5524" s="39"/>
      <c r="U5524" s="39"/>
    </row>
    <row r="5525">
      <c r="A5525" s="40">
        <f t="shared" si="1"/>
        <v>46006</v>
      </c>
      <c r="B5525" s="37" t="str">
        <f t="array" ref="B5525">iferror(xlookup($I5525, 'IMPORT VHC Report'!$E:$E, 'IMPORT VHC Report'!$A:$C), )</f>
        <v/>
      </c>
      <c r="C5525" s="37"/>
      <c r="D5525" s="37"/>
      <c r="E5525" s="38" t="s">
        <v>6583</v>
      </c>
      <c r="F5525" s="38" t="s">
        <v>6581</v>
      </c>
      <c r="G5525" s="38">
        <v>1.0548626331023E13</v>
      </c>
      <c r="H5525" s="38" t="s">
        <v>74</v>
      </c>
      <c r="I5525" s="38" t="s">
        <v>75</v>
      </c>
      <c r="J5525" s="38" t="s">
        <v>134</v>
      </c>
      <c r="K5525" s="38" t="s">
        <v>126</v>
      </c>
      <c r="L5525" s="41">
        <v>46007.604166666664</v>
      </c>
      <c r="M5525" s="38" t="s">
        <v>123</v>
      </c>
      <c r="N5525" s="41">
        <v>46007.625</v>
      </c>
      <c r="O5525" s="38" t="s">
        <v>123</v>
      </c>
      <c r="P5525" s="38">
        <v>1800.0</v>
      </c>
      <c r="Q5525" s="39"/>
      <c r="R5525" s="39"/>
      <c r="S5525" s="39"/>
      <c r="T5525" s="39"/>
      <c r="U5525" s="39"/>
    </row>
    <row r="5526">
      <c r="A5526" s="40">
        <f t="shared" si="1"/>
        <v>46006</v>
      </c>
      <c r="B5526" s="37" t="str">
        <f t="array" ref="B5526">iferror(xlookup($I5526, 'IMPORT VHC Report'!$E:$E, 'IMPORT VHC Report'!$A:$C), )</f>
        <v/>
      </c>
      <c r="C5526" s="37"/>
      <c r="D5526" s="37"/>
      <c r="E5526" s="38" t="s">
        <v>6584</v>
      </c>
      <c r="F5526" s="38" t="s">
        <v>6581</v>
      </c>
      <c r="G5526" s="38">
        <v>1.0548626331023E13</v>
      </c>
      <c r="H5526" s="38" t="s">
        <v>74</v>
      </c>
      <c r="I5526" s="38" t="s">
        <v>75</v>
      </c>
      <c r="J5526" s="38" t="s">
        <v>62</v>
      </c>
      <c r="K5526" s="38" t="s">
        <v>63</v>
      </c>
      <c r="L5526" s="41">
        <v>46008.25</v>
      </c>
      <c r="M5526" s="38" t="s">
        <v>123</v>
      </c>
      <c r="N5526" s="41">
        <v>46008.458333333336</v>
      </c>
      <c r="O5526" s="38" t="s">
        <v>123</v>
      </c>
      <c r="P5526" s="38">
        <v>18000.0</v>
      </c>
      <c r="Q5526" s="39"/>
      <c r="R5526" s="39"/>
      <c r="S5526" s="39"/>
      <c r="T5526" s="39"/>
      <c r="U5526" s="39"/>
    </row>
    <row r="5527">
      <c r="A5527" s="40">
        <f t="shared" si="1"/>
        <v>46006</v>
      </c>
      <c r="B5527" s="37" t="str">
        <f t="array" ref="B5527">iferror(xlookup($I5527, 'IMPORT VHC Report'!$E:$E, 'IMPORT VHC Report'!$A:$C), )</f>
        <v/>
      </c>
      <c r="C5527" s="37"/>
      <c r="D5527" s="37"/>
      <c r="E5527" s="38" t="s">
        <v>6585</v>
      </c>
      <c r="F5527" s="38" t="s">
        <v>6581</v>
      </c>
      <c r="G5527" s="38">
        <v>1.0548626331023E13</v>
      </c>
      <c r="H5527" s="38" t="s">
        <v>74</v>
      </c>
      <c r="I5527" s="38" t="s">
        <v>75</v>
      </c>
      <c r="J5527" s="38" t="s">
        <v>330</v>
      </c>
      <c r="K5527" s="38" t="s">
        <v>126</v>
      </c>
      <c r="L5527" s="41">
        <v>46008.291666666664</v>
      </c>
      <c r="M5527" s="38" t="s">
        <v>123</v>
      </c>
      <c r="N5527" s="41">
        <v>46008.333333333336</v>
      </c>
      <c r="O5527" s="38" t="s">
        <v>123</v>
      </c>
      <c r="P5527" s="38">
        <v>3600.0</v>
      </c>
      <c r="Q5527" s="39"/>
      <c r="R5527" s="39"/>
      <c r="S5527" s="39"/>
      <c r="T5527" s="39"/>
      <c r="U5527" s="39"/>
    </row>
    <row r="5528">
      <c r="A5528" s="40">
        <f t="shared" si="1"/>
        <v>46006</v>
      </c>
      <c r="B5528" s="37" t="str">
        <f t="array" ref="B5528">iferror(xlookup($I5528, 'IMPORT VHC Report'!$E:$E, 'IMPORT VHC Report'!$A:$C), )</f>
        <v/>
      </c>
      <c r="C5528" s="37"/>
      <c r="D5528" s="37"/>
      <c r="E5528" s="38" t="s">
        <v>6586</v>
      </c>
      <c r="F5528" s="38" t="s">
        <v>6581</v>
      </c>
      <c r="G5528" s="38">
        <v>1.0548626331023E13</v>
      </c>
      <c r="H5528" s="38" t="s">
        <v>74</v>
      </c>
      <c r="I5528" s="38" t="s">
        <v>75</v>
      </c>
      <c r="J5528" s="38" t="s">
        <v>4</v>
      </c>
      <c r="K5528" s="38" t="s">
        <v>126</v>
      </c>
      <c r="L5528" s="41">
        <v>46008.333333333336</v>
      </c>
      <c r="M5528" s="38" t="s">
        <v>123</v>
      </c>
      <c r="N5528" s="41">
        <v>46008.34375</v>
      </c>
      <c r="O5528" s="38" t="s">
        <v>123</v>
      </c>
      <c r="P5528" s="38">
        <v>900.0</v>
      </c>
      <c r="Q5528" s="39"/>
      <c r="R5528" s="39"/>
      <c r="S5528" s="38" t="s">
        <v>76</v>
      </c>
      <c r="T5528" s="39"/>
      <c r="U5528" s="39"/>
    </row>
    <row r="5529">
      <c r="A5529" s="40">
        <f t="shared" si="1"/>
        <v>46006</v>
      </c>
      <c r="B5529" s="37" t="str">
        <f t="array" ref="B5529">iferror(xlookup($I5529, 'IMPORT VHC Report'!$E:$E, 'IMPORT VHC Report'!$A:$C), )</f>
        <v/>
      </c>
      <c r="C5529" s="37"/>
      <c r="D5529" s="37"/>
      <c r="E5529" s="38" t="s">
        <v>6587</v>
      </c>
      <c r="F5529" s="38" t="s">
        <v>6581</v>
      </c>
      <c r="G5529" s="38">
        <v>1.0548626331023E13</v>
      </c>
      <c r="H5529" s="38" t="s">
        <v>74</v>
      </c>
      <c r="I5529" s="38" t="s">
        <v>75</v>
      </c>
      <c r="J5529" s="38" t="s">
        <v>791</v>
      </c>
      <c r="K5529" s="38" t="s">
        <v>63</v>
      </c>
      <c r="L5529" s="41">
        <v>46008.416666666664</v>
      </c>
      <c r="M5529" s="38" t="s">
        <v>123</v>
      </c>
      <c r="N5529" s="41">
        <v>46008.625</v>
      </c>
      <c r="O5529" s="38" t="s">
        <v>123</v>
      </c>
      <c r="P5529" s="38">
        <v>18000.0</v>
      </c>
      <c r="Q5529" s="39"/>
      <c r="R5529" s="39"/>
      <c r="S5529" s="39"/>
      <c r="T5529" s="39"/>
      <c r="U5529" s="39"/>
    </row>
    <row r="5530">
      <c r="A5530" s="40">
        <f t="shared" si="1"/>
        <v>46006</v>
      </c>
      <c r="B5530" s="37" t="str">
        <f t="array" ref="B5530">iferror(xlookup($I5530, 'IMPORT VHC Report'!$E:$E, 'IMPORT VHC Report'!$A:$C), )</f>
        <v/>
      </c>
      <c r="C5530" s="37"/>
      <c r="D5530" s="37"/>
      <c r="E5530" s="38" t="s">
        <v>6588</v>
      </c>
      <c r="F5530" s="38" t="s">
        <v>6581</v>
      </c>
      <c r="G5530" s="38">
        <v>1.0548626331023E13</v>
      </c>
      <c r="H5530" s="38" t="s">
        <v>74</v>
      </c>
      <c r="I5530" s="38" t="s">
        <v>75</v>
      </c>
      <c r="J5530" s="38" t="s">
        <v>134</v>
      </c>
      <c r="K5530" s="38" t="s">
        <v>126</v>
      </c>
      <c r="L5530" s="41">
        <v>46008.5625</v>
      </c>
      <c r="M5530" s="38" t="s">
        <v>123</v>
      </c>
      <c r="N5530" s="41">
        <v>46008.583333333336</v>
      </c>
      <c r="O5530" s="38" t="s">
        <v>123</v>
      </c>
      <c r="P5530" s="38">
        <v>1800.0</v>
      </c>
      <c r="Q5530" s="39"/>
      <c r="R5530" s="39"/>
      <c r="S5530" s="39"/>
      <c r="T5530" s="39"/>
      <c r="U5530" s="39"/>
    </row>
    <row r="5531">
      <c r="A5531" s="40">
        <f t="shared" si="1"/>
        <v>46006</v>
      </c>
      <c r="B5531" s="37" t="str">
        <f t="array" ref="B5531">iferror(xlookup($I5531, 'IMPORT VHC Report'!$E:$E, 'IMPORT VHC Report'!$A:$C), )</f>
        <v/>
      </c>
      <c r="C5531" s="37"/>
      <c r="D5531" s="37"/>
      <c r="E5531" s="38" t="s">
        <v>6589</v>
      </c>
      <c r="F5531" s="38" t="s">
        <v>6581</v>
      </c>
      <c r="G5531" s="38">
        <v>1.0548626331023E13</v>
      </c>
      <c r="H5531" s="38" t="s">
        <v>74</v>
      </c>
      <c r="I5531" s="38" t="s">
        <v>75</v>
      </c>
      <c r="J5531" s="38" t="s">
        <v>132</v>
      </c>
      <c r="K5531" s="38" t="s">
        <v>126</v>
      </c>
      <c r="L5531" s="41">
        <v>46008.583333333336</v>
      </c>
      <c r="M5531" s="38" t="s">
        <v>123</v>
      </c>
      <c r="N5531" s="41">
        <v>46008.625</v>
      </c>
      <c r="O5531" s="38" t="s">
        <v>123</v>
      </c>
      <c r="P5531" s="38">
        <v>3600.0</v>
      </c>
      <c r="Q5531" s="39"/>
      <c r="R5531" s="39"/>
      <c r="S5531" s="39"/>
      <c r="T5531" s="39"/>
      <c r="U5531" s="39"/>
    </row>
    <row r="5532">
      <c r="A5532" s="40">
        <f t="shared" si="1"/>
        <v>46006</v>
      </c>
      <c r="B5532" s="37" t="str">
        <f t="array" ref="B5532">iferror(xlookup($I5532, 'IMPORT VHC Report'!$E:$E, 'IMPORT VHC Report'!$A:$C), )</f>
        <v/>
      </c>
      <c r="C5532" s="37"/>
      <c r="D5532" s="37"/>
      <c r="E5532" s="38" t="s">
        <v>6590</v>
      </c>
      <c r="F5532" s="38" t="s">
        <v>6581</v>
      </c>
      <c r="G5532" s="38">
        <v>1.0548626331023E13</v>
      </c>
      <c r="H5532" s="38" t="s">
        <v>74</v>
      </c>
      <c r="I5532" s="38" t="s">
        <v>75</v>
      </c>
      <c r="J5532" s="38" t="s">
        <v>791</v>
      </c>
      <c r="K5532" s="38" t="s">
        <v>63</v>
      </c>
      <c r="L5532" s="41">
        <v>46009.25</v>
      </c>
      <c r="M5532" s="38" t="s">
        <v>123</v>
      </c>
      <c r="N5532" s="41">
        <v>46009.625</v>
      </c>
      <c r="O5532" s="38" t="s">
        <v>123</v>
      </c>
      <c r="P5532" s="38">
        <v>32400.0</v>
      </c>
      <c r="Q5532" s="39"/>
      <c r="R5532" s="39"/>
      <c r="S5532" s="39"/>
      <c r="T5532" s="39"/>
      <c r="U5532" s="39"/>
    </row>
    <row r="5533">
      <c r="A5533" s="40">
        <f t="shared" si="1"/>
        <v>46006</v>
      </c>
      <c r="B5533" s="37" t="str">
        <f t="array" ref="B5533">iferror(xlookup($I5533, 'IMPORT VHC Report'!$E:$E, 'IMPORT VHC Report'!$A:$C), )</f>
        <v/>
      </c>
      <c r="C5533" s="37"/>
      <c r="D5533" s="37"/>
      <c r="E5533" s="38" t="s">
        <v>6591</v>
      </c>
      <c r="F5533" s="38" t="s">
        <v>6581</v>
      </c>
      <c r="G5533" s="38">
        <v>1.0548626331023E13</v>
      </c>
      <c r="H5533" s="38" t="s">
        <v>74</v>
      </c>
      <c r="I5533" s="38" t="s">
        <v>75</v>
      </c>
      <c r="J5533" s="38" t="s">
        <v>136</v>
      </c>
      <c r="K5533" s="38" t="s">
        <v>126</v>
      </c>
      <c r="L5533" s="41">
        <v>46009.375</v>
      </c>
      <c r="M5533" s="38" t="s">
        <v>123</v>
      </c>
      <c r="N5533" s="41">
        <v>46009.427083333336</v>
      </c>
      <c r="O5533" s="38" t="s">
        <v>123</v>
      </c>
      <c r="P5533" s="38">
        <v>4500.0</v>
      </c>
      <c r="Q5533" s="39"/>
      <c r="R5533" s="39"/>
      <c r="S5533" s="38" t="s">
        <v>6592</v>
      </c>
      <c r="T5533" s="39"/>
      <c r="U5533" s="39"/>
    </row>
    <row r="5534">
      <c r="A5534" s="40">
        <f t="shared" si="1"/>
        <v>46006</v>
      </c>
      <c r="B5534" s="37" t="str">
        <f t="array" ref="B5534">iferror(xlookup($I5534, 'IMPORT VHC Report'!$E:$E, 'IMPORT VHC Report'!$A:$C), )</f>
        <v/>
      </c>
      <c r="C5534" s="37"/>
      <c r="D5534" s="37"/>
      <c r="E5534" s="38" t="s">
        <v>6593</v>
      </c>
      <c r="F5534" s="38" t="s">
        <v>6581</v>
      </c>
      <c r="G5534" s="38">
        <v>1.0548626331023E13</v>
      </c>
      <c r="H5534" s="38" t="s">
        <v>74</v>
      </c>
      <c r="I5534" s="38" t="s">
        <v>75</v>
      </c>
      <c r="J5534" s="38" t="s">
        <v>136</v>
      </c>
      <c r="K5534" s="38" t="s">
        <v>126</v>
      </c>
      <c r="L5534" s="41">
        <v>46009.458333333336</v>
      </c>
      <c r="M5534" s="38" t="s">
        <v>123</v>
      </c>
      <c r="N5534" s="41">
        <v>46009.50833333333</v>
      </c>
      <c r="O5534" s="38" t="s">
        <v>123</v>
      </c>
      <c r="P5534" s="38">
        <v>4320.0</v>
      </c>
      <c r="Q5534" s="39"/>
      <c r="R5534" s="39"/>
      <c r="S5534" s="38" t="s">
        <v>2732</v>
      </c>
      <c r="T5534" s="39"/>
      <c r="U5534" s="39"/>
    </row>
    <row r="5535">
      <c r="A5535" s="40">
        <f t="shared" si="1"/>
        <v>46006</v>
      </c>
      <c r="B5535" s="37" t="str">
        <f t="array" ref="B5535">iferror(xlookup($I5535, 'IMPORT VHC Report'!$E:$E, 'IMPORT VHC Report'!$A:$C), )</f>
        <v/>
      </c>
      <c r="C5535" s="37"/>
      <c r="D5535" s="37"/>
      <c r="E5535" s="38" t="s">
        <v>6594</v>
      </c>
      <c r="F5535" s="38" t="s">
        <v>6581</v>
      </c>
      <c r="G5535" s="38">
        <v>1.0548626331023E13</v>
      </c>
      <c r="H5535" s="38" t="s">
        <v>74</v>
      </c>
      <c r="I5535" s="38" t="s">
        <v>75</v>
      </c>
      <c r="J5535" s="38" t="s">
        <v>132</v>
      </c>
      <c r="K5535" s="38" t="s">
        <v>126</v>
      </c>
      <c r="L5535" s="41">
        <v>46009.50833333333</v>
      </c>
      <c r="M5535" s="38" t="s">
        <v>123</v>
      </c>
      <c r="N5535" s="41">
        <v>46009.55</v>
      </c>
      <c r="O5535" s="38" t="s">
        <v>123</v>
      </c>
      <c r="P5535" s="38">
        <v>3600.0</v>
      </c>
      <c r="Q5535" s="39"/>
      <c r="R5535" s="39"/>
      <c r="S5535" s="39"/>
      <c r="T5535" s="39"/>
      <c r="U5535" s="39"/>
    </row>
    <row r="5536">
      <c r="A5536" s="40">
        <f t="shared" si="1"/>
        <v>46006</v>
      </c>
      <c r="B5536" s="37" t="str">
        <f t="array" ref="B5536">iferror(xlookup($I5536, 'IMPORT VHC Report'!$E:$E, 'IMPORT VHC Report'!$A:$C), )</f>
        <v/>
      </c>
      <c r="C5536" s="37"/>
      <c r="D5536" s="37"/>
      <c r="E5536" s="38" t="s">
        <v>6595</v>
      </c>
      <c r="F5536" s="38" t="s">
        <v>6581</v>
      </c>
      <c r="G5536" s="38">
        <v>1.0548626331023E13</v>
      </c>
      <c r="H5536" s="38" t="s">
        <v>74</v>
      </c>
      <c r="I5536" s="38" t="s">
        <v>75</v>
      </c>
      <c r="J5536" s="38" t="s">
        <v>134</v>
      </c>
      <c r="K5536" s="38" t="s">
        <v>126</v>
      </c>
      <c r="L5536" s="41">
        <v>46009.55</v>
      </c>
      <c r="M5536" s="38" t="s">
        <v>123</v>
      </c>
      <c r="N5536" s="41">
        <v>46009.57083333333</v>
      </c>
      <c r="O5536" s="38" t="s">
        <v>123</v>
      </c>
      <c r="P5536" s="38">
        <v>1800.0</v>
      </c>
      <c r="Q5536" s="39"/>
      <c r="R5536" s="39"/>
      <c r="S5536" s="39"/>
      <c r="T5536" s="39"/>
      <c r="U5536" s="39"/>
    </row>
    <row r="5537">
      <c r="A5537" s="40">
        <f t="shared" si="1"/>
        <v>46006</v>
      </c>
      <c r="B5537" s="37" t="str">
        <f t="array" ref="B5537">iferror(xlookup($I5537, 'IMPORT VHC Report'!$E:$E, 'IMPORT VHC Report'!$A:$C), )</f>
        <v/>
      </c>
      <c r="C5537" s="37"/>
      <c r="D5537" s="37"/>
      <c r="E5537" s="38" t="s">
        <v>6596</v>
      </c>
      <c r="F5537" s="38" t="s">
        <v>6581</v>
      </c>
      <c r="G5537" s="38">
        <v>1.0548626331023E13</v>
      </c>
      <c r="H5537" s="38" t="s">
        <v>74</v>
      </c>
      <c r="I5537" s="38" t="s">
        <v>75</v>
      </c>
      <c r="J5537" s="38" t="s">
        <v>791</v>
      </c>
      <c r="K5537" s="38" t="s">
        <v>63</v>
      </c>
      <c r="L5537" s="41">
        <v>46010.25</v>
      </c>
      <c r="M5537" s="38" t="s">
        <v>123</v>
      </c>
      <c r="N5537" s="41">
        <v>46010.625</v>
      </c>
      <c r="O5537" s="38" t="s">
        <v>123</v>
      </c>
      <c r="P5537" s="38">
        <v>32400.0</v>
      </c>
      <c r="Q5537" s="39"/>
      <c r="R5537" s="39"/>
      <c r="S5537" s="39"/>
      <c r="T5537" s="39"/>
      <c r="U5537" s="39"/>
    </row>
    <row r="5538">
      <c r="A5538" s="40">
        <f t="shared" si="1"/>
        <v>46006</v>
      </c>
      <c r="B5538" s="37" t="str">
        <f t="array" ref="B5538">iferror(xlookup($I5538, 'IMPORT VHC Report'!$E:$E, 'IMPORT VHC Report'!$A:$C), )</f>
        <v/>
      </c>
      <c r="C5538" s="37"/>
      <c r="D5538" s="37"/>
      <c r="E5538" s="38" t="s">
        <v>6597</v>
      </c>
      <c r="F5538" s="38" t="s">
        <v>6581</v>
      </c>
      <c r="G5538" s="38">
        <v>1.0548626331023E13</v>
      </c>
      <c r="H5538" s="38" t="s">
        <v>74</v>
      </c>
      <c r="I5538" s="38" t="s">
        <v>75</v>
      </c>
      <c r="J5538" s="38" t="s">
        <v>132</v>
      </c>
      <c r="K5538" s="38" t="s">
        <v>126</v>
      </c>
      <c r="L5538" s="41">
        <v>46010.510416666664</v>
      </c>
      <c r="M5538" s="38" t="s">
        <v>123</v>
      </c>
      <c r="N5538" s="41">
        <v>46010.552083333336</v>
      </c>
      <c r="O5538" s="38" t="s">
        <v>123</v>
      </c>
      <c r="P5538" s="38">
        <v>3600.0</v>
      </c>
      <c r="Q5538" s="39"/>
      <c r="R5538" s="39"/>
      <c r="S5538" s="39"/>
      <c r="T5538" s="39"/>
      <c r="U5538" s="39"/>
    </row>
    <row r="5539">
      <c r="A5539" s="40">
        <f t="shared" si="1"/>
        <v>46006</v>
      </c>
      <c r="B5539" s="37" t="str">
        <f t="array" ref="B5539">iferror(xlookup($I5539, 'IMPORT VHC Report'!$E:$E, 'IMPORT VHC Report'!$A:$C), )</f>
        <v/>
      </c>
      <c r="C5539" s="37"/>
      <c r="D5539" s="37"/>
      <c r="E5539" s="38" t="s">
        <v>6598</v>
      </c>
      <c r="F5539" s="38" t="s">
        <v>6581</v>
      </c>
      <c r="G5539" s="38">
        <v>1.0548626331023E13</v>
      </c>
      <c r="H5539" s="38" t="s">
        <v>74</v>
      </c>
      <c r="I5539" s="38" t="s">
        <v>75</v>
      </c>
      <c r="J5539" s="38" t="s">
        <v>134</v>
      </c>
      <c r="K5539" s="38" t="s">
        <v>126</v>
      </c>
      <c r="L5539" s="41">
        <v>46010.552083333336</v>
      </c>
      <c r="M5539" s="38" t="s">
        <v>123</v>
      </c>
      <c r="N5539" s="41">
        <v>46010.572916666664</v>
      </c>
      <c r="O5539" s="38" t="s">
        <v>123</v>
      </c>
      <c r="P5539" s="38">
        <v>1800.0</v>
      </c>
      <c r="Q5539" s="39"/>
      <c r="R5539" s="39"/>
      <c r="S5539" s="39"/>
      <c r="T5539" s="39"/>
      <c r="U5539" s="39"/>
    </row>
    <row r="5540">
      <c r="A5540" s="40">
        <f t="shared" si="1"/>
        <v>46006</v>
      </c>
      <c r="B5540" s="37" t="str">
        <f t="array" ref="B5540">iferror(xlookup($I5540, 'IMPORT VHC Report'!$E:$E, 'IMPORT VHC Report'!$A:$C), )</f>
        <v/>
      </c>
      <c r="C5540" s="37"/>
      <c r="D5540" s="37"/>
      <c r="E5540" s="38" t="s">
        <v>6599</v>
      </c>
      <c r="F5540" s="38" t="s">
        <v>6581</v>
      </c>
      <c r="G5540" s="38">
        <v>1.0548626331023E13</v>
      </c>
      <c r="H5540" s="38" t="s">
        <v>74</v>
      </c>
      <c r="I5540" s="38" t="s">
        <v>75</v>
      </c>
      <c r="J5540" s="38" t="s">
        <v>178</v>
      </c>
      <c r="K5540" s="38" t="s">
        <v>153</v>
      </c>
      <c r="L5540" s="41">
        <v>46011.25</v>
      </c>
      <c r="M5540" s="38" t="s">
        <v>123</v>
      </c>
      <c r="N5540" s="41">
        <v>46011.625</v>
      </c>
      <c r="O5540" s="38" t="s">
        <v>123</v>
      </c>
      <c r="P5540" s="38">
        <v>32400.0</v>
      </c>
      <c r="Q5540" s="38">
        <v>28800.0</v>
      </c>
      <c r="R5540" s="39"/>
      <c r="S5540" s="39"/>
      <c r="T5540" s="39"/>
      <c r="U5540" s="39"/>
    </row>
    <row r="5541">
      <c r="A5541" s="40">
        <f t="shared" si="1"/>
        <v>46006</v>
      </c>
      <c r="B5541" s="37" t="str">
        <f t="array" ref="B5541">iferror(xlookup($I5541, 'IMPORT VHC Report'!$E:$E, 'IMPORT VHC Report'!$A:$C), )</f>
        <v/>
      </c>
      <c r="C5541" s="37"/>
      <c r="D5541" s="37"/>
      <c r="E5541" s="38" t="s">
        <v>6600</v>
      </c>
      <c r="F5541" s="38" t="s">
        <v>6581</v>
      </c>
      <c r="G5541" s="38">
        <v>1.0548626331023E13</v>
      </c>
      <c r="H5541" s="38" t="s">
        <v>74</v>
      </c>
      <c r="I5541" s="38" t="s">
        <v>75</v>
      </c>
      <c r="J5541" s="38" t="s">
        <v>791</v>
      </c>
      <c r="K5541" s="38" t="s">
        <v>63</v>
      </c>
      <c r="L5541" s="41">
        <v>46011.25</v>
      </c>
      <c r="M5541" s="38" t="s">
        <v>123</v>
      </c>
      <c r="N5541" s="41">
        <v>46011.625</v>
      </c>
      <c r="O5541" s="38" t="s">
        <v>123</v>
      </c>
      <c r="P5541" s="38">
        <v>32400.0</v>
      </c>
      <c r="Q5541" s="39"/>
      <c r="R5541" s="39"/>
      <c r="S5541" s="39"/>
      <c r="T5541" s="39"/>
      <c r="U5541" s="39"/>
    </row>
    <row r="5542">
      <c r="A5542" s="40">
        <f t="shared" si="1"/>
        <v>46006</v>
      </c>
      <c r="B5542" s="37" t="str">
        <f t="array" ref="B5542">iferror(xlookup($I5542, 'IMPORT VHC Report'!$E:$E, 'IMPORT VHC Report'!$A:$C), )</f>
        <v/>
      </c>
      <c r="C5542" s="37"/>
      <c r="D5542" s="37"/>
      <c r="E5542" s="38" t="s">
        <v>6601</v>
      </c>
      <c r="F5542" s="38" t="s">
        <v>6581</v>
      </c>
      <c r="G5542" s="38">
        <v>1.0548626331023E13</v>
      </c>
      <c r="H5542" s="38" t="s">
        <v>74</v>
      </c>
      <c r="I5542" s="38" t="s">
        <v>75</v>
      </c>
      <c r="J5542" s="38" t="s">
        <v>132</v>
      </c>
      <c r="K5542" s="38" t="s">
        <v>126</v>
      </c>
      <c r="L5542" s="41">
        <v>46011.5</v>
      </c>
      <c r="M5542" s="38" t="s">
        <v>123</v>
      </c>
      <c r="N5542" s="41">
        <v>46011.541666666664</v>
      </c>
      <c r="O5542" s="38" t="s">
        <v>123</v>
      </c>
      <c r="P5542" s="38">
        <v>3600.0</v>
      </c>
      <c r="Q5542" s="39"/>
      <c r="R5542" s="39"/>
      <c r="S5542" s="39"/>
      <c r="T5542" s="39"/>
      <c r="U5542" s="39"/>
    </row>
    <row r="5543">
      <c r="A5543" s="40">
        <f t="shared" si="1"/>
        <v>46006</v>
      </c>
      <c r="B5543" s="37" t="str">
        <f t="array" ref="B5543">iferror(xlookup($I5543, 'IMPORT VHC Report'!$E:$E, 'IMPORT VHC Report'!$A:$C), )</f>
        <v/>
      </c>
      <c r="C5543" s="37"/>
      <c r="D5543" s="37"/>
      <c r="E5543" s="38" t="s">
        <v>6602</v>
      </c>
      <c r="F5543" s="38" t="s">
        <v>6581</v>
      </c>
      <c r="G5543" s="38">
        <v>1.0548626331023E13</v>
      </c>
      <c r="H5543" s="38" t="s">
        <v>74</v>
      </c>
      <c r="I5543" s="38" t="s">
        <v>75</v>
      </c>
      <c r="J5543" s="38" t="s">
        <v>134</v>
      </c>
      <c r="K5543" s="38" t="s">
        <v>126</v>
      </c>
      <c r="L5543" s="41">
        <v>46011.541666666664</v>
      </c>
      <c r="M5543" s="38" t="s">
        <v>123</v>
      </c>
      <c r="N5543" s="41">
        <v>46011.5625</v>
      </c>
      <c r="O5543" s="38" t="s">
        <v>123</v>
      </c>
      <c r="P5543" s="38">
        <v>1800.0</v>
      </c>
      <c r="Q5543" s="39"/>
      <c r="R5543" s="39"/>
      <c r="S5543" s="39"/>
      <c r="T5543" s="39"/>
      <c r="U5543" s="39"/>
    </row>
    <row r="5544">
      <c r="A5544" s="40">
        <f t="shared" si="1"/>
        <v>46006</v>
      </c>
      <c r="B5544" s="37" t="str">
        <f t="array" ref="B5544">iferror(xlookup($I5544, 'IMPORT VHC Report'!$E:$E, 'IMPORT VHC Report'!$A:$C), )</f>
        <v/>
      </c>
      <c r="C5544" s="37"/>
      <c r="D5544" s="37"/>
      <c r="E5544" s="38" t="s">
        <v>6603</v>
      </c>
      <c r="F5544" s="38" t="s">
        <v>6604</v>
      </c>
      <c r="G5544" s="38">
        <v>9.795895003151E12</v>
      </c>
      <c r="H5544" s="38" t="s">
        <v>6605</v>
      </c>
      <c r="I5544" s="38" t="s">
        <v>6606</v>
      </c>
      <c r="J5544" s="38" t="s">
        <v>368</v>
      </c>
      <c r="K5544" s="38" t="s">
        <v>63</v>
      </c>
      <c r="L5544" s="41">
        <v>46007.25</v>
      </c>
      <c r="M5544" s="38" t="s">
        <v>123</v>
      </c>
      <c r="N5544" s="41">
        <v>46007.625</v>
      </c>
      <c r="O5544" s="38" t="s">
        <v>123</v>
      </c>
      <c r="P5544" s="38">
        <v>32400.0</v>
      </c>
      <c r="Q5544" s="39"/>
      <c r="R5544" s="39"/>
      <c r="S5544" s="39"/>
      <c r="T5544" s="39"/>
      <c r="U5544" s="39"/>
    </row>
    <row r="5545">
      <c r="A5545" s="40">
        <f t="shared" si="1"/>
        <v>46006</v>
      </c>
      <c r="B5545" s="37" t="str">
        <f t="array" ref="B5545">iferror(xlookup($I5545, 'IMPORT VHC Report'!$E:$E, 'IMPORT VHC Report'!$A:$C), )</f>
        <v/>
      </c>
      <c r="C5545" s="37"/>
      <c r="D5545" s="37"/>
      <c r="E5545" s="38" t="s">
        <v>6607</v>
      </c>
      <c r="F5545" s="38" t="s">
        <v>6604</v>
      </c>
      <c r="G5545" s="38">
        <v>9.795895003151E12</v>
      </c>
      <c r="H5545" s="38" t="s">
        <v>6605</v>
      </c>
      <c r="I5545" s="38" t="s">
        <v>6606</v>
      </c>
      <c r="J5545" s="38" t="s">
        <v>134</v>
      </c>
      <c r="K5545" s="38" t="s">
        <v>126</v>
      </c>
      <c r="L5545" s="41">
        <v>46007.40625</v>
      </c>
      <c r="M5545" s="38" t="s">
        <v>123</v>
      </c>
      <c r="N5545" s="41">
        <v>46007.427083333336</v>
      </c>
      <c r="O5545" s="38" t="s">
        <v>123</v>
      </c>
      <c r="P5545" s="38">
        <v>1800.0</v>
      </c>
      <c r="Q5545" s="39"/>
      <c r="R5545" s="39"/>
      <c r="S5545" s="39"/>
      <c r="T5545" s="39"/>
      <c r="U5545" s="39"/>
    </row>
    <row r="5546">
      <c r="A5546" s="40">
        <f t="shared" si="1"/>
        <v>46006</v>
      </c>
      <c r="B5546" s="37" t="str">
        <f t="array" ref="B5546">iferror(xlookup($I5546, 'IMPORT VHC Report'!$E:$E, 'IMPORT VHC Report'!$A:$C), )</f>
        <v/>
      </c>
      <c r="C5546" s="37"/>
      <c r="D5546" s="37"/>
      <c r="E5546" s="38" t="s">
        <v>6608</v>
      </c>
      <c r="F5546" s="38" t="s">
        <v>6604</v>
      </c>
      <c r="G5546" s="38">
        <v>9.795895003151E12</v>
      </c>
      <c r="H5546" s="38" t="s">
        <v>6605</v>
      </c>
      <c r="I5546" s="38" t="s">
        <v>6606</v>
      </c>
      <c r="J5546" s="38" t="s">
        <v>132</v>
      </c>
      <c r="K5546" s="38" t="s">
        <v>126</v>
      </c>
      <c r="L5546" s="41">
        <v>46007.541666666664</v>
      </c>
      <c r="M5546" s="38" t="s">
        <v>123</v>
      </c>
      <c r="N5546" s="41">
        <v>46007.583333333336</v>
      </c>
      <c r="O5546" s="38" t="s">
        <v>123</v>
      </c>
      <c r="P5546" s="38">
        <v>3600.0</v>
      </c>
      <c r="Q5546" s="39"/>
      <c r="R5546" s="39"/>
      <c r="S5546" s="39"/>
      <c r="T5546" s="39"/>
      <c r="U5546" s="39"/>
    </row>
    <row r="5547">
      <c r="A5547" s="40">
        <f t="shared" si="1"/>
        <v>46006</v>
      </c>
      <c r="B5547" s="37" t="str">
        <f t="array" ref="B5547">iferror(xlookup($I5547, 'IMPORT VHC Report'!$E:$E, 'IMPORT VHC Report'!$A:$C), )</f>
        <v/>
      </c>
      <c r="C5547" s="37"/>
      <c r="D5547" s="37"/>
      <c r="E5547" s="38" t="s">
        <v>6609</v>
      </c>
      <c r="F5547" s="38" t="s">
        <v>6604</v>
      </c>
      <c r="G5547" s="38">
        <v>9.795895003151E12</v>
      </c>
      <c r="H5547" s="38" t="s">
        <v>6605</v>
      </c>
      <c r="I5547" s="38" t="s">
        <v>6606</v>
      </c>
      <c r="J5547" s="38" t="s">
        <v>368</v>
      </c>
      <c r="K5547" s="38" t="s">
        <v>63</v>
      </c>
      <c r="L5547" s="41">
        <v>46008.25</v>
      </c>
      <c r="M5547" s="38" t="s">
        <v>123</v>
      </c>
      <c r="N5547" s="41">
        <v>46008.625</v>
      </c>
      <c r="O5547" s="38" t="s">
        <v>123</v>
      </c>
      <c r="P5547" s="38">
        <v>32400.0</v>
      </c>
      <c r="Q5547" s="39"/>
      <c r="R5547" s="39"/>
      <c r="S5547" s="39"/>
      <c r="T5547" s="39"/>
      <c r="U5547" s="39"/>
    </row>
    <row r="5548">
      <c r="A5548" s="40">
        <f t="shared" si="1"/>
        <v>46006</v>
      </c>
      <c r="B5548" s="37" t="str">
        <f t="array" ref="B5548">iferror(xlookup($I5548, 'IMPORT VHC Report'!$E:$E, 'IMPORT VHC Report'!$A:$C), )</f>
        <v/>
      </c>
      <c r="C5548" s="37"/>
      <c r="D5548" s="37"/>
      <c r="E5548" s="38" t="s">
        <v>6610</v>
      </c>
      <c r="F5548" s="38" t="s">
        <v>6604</v>
      </c>
      <c r="G5548" s="38">
        <v>9.795895003151E12</v>
      </c>
      <c r="H5548" s="38" t="s">
        <v>6605</v>
      </c>
      <c r="I5548" s="38" t="s">
        <v>6606</v>
      </c>
      <c r="J5548" s="38" t="s">
        <v>134</v>
      </c>
      <c r="K5548" s="38" t="s">
        <v>126</v>
      </c>
      <c r="L5548" s="41">
        <v>46008.354166666664</v>
      </c>
      <c r="M5548" s="38" t="s">
        <v>123</v>
      </c>
      <c r="N5548" s="41">
        <v>46008.375</v>
      </c>
      <c r="O5548" s="38" t="s">
        <v>123</v>
      </c>
      <c r="P5548" s="38">
        <v>1800.0</v>
      </c>
      <c r="Q5548" s="39"/>
      <c r="R5548" s="39"/>
      <c r="S5548" s="39"/>
      <c r="T5548" s="39"/>
      <c r="U5548" s="39"/>
    </row>
    <row r="5549">
      <c r="A5549" s="40">
        <f t="shared" si="1"/>
        <v>46006</v>
      </c>
      <c r="B5549" s="37" t="str">
        <f t="array" ref="B5549">iferror(xlookup($I5549, 'IMPORT VHC Report'!$E:$E, 'IMPORT VHC Report'!$A:$C), )</f>
        <v/>
      </c>
      <c r="C5549" s="37"/>
      <c r="D5549" s="37"/>
      <c r="E5549" s="38" t="s">
        <v>6611</v>
      </c>
      <c r="F5549" s="38" t="s">
        <v>6604</v>
      </c>
      <c r="G5549" s="38">
        <v>9.795895003151E12</v>
      </c>
      <c r="H5549" s="38" t="s">
        <v>6605</v>
      </c>
      <c r="I5549" s="38" t="s">
        <v>6606</v>
      </c>
      <c r="J5549" s="38" t="s">
        <v>132</v>
      </c>
      <c r="K5549" s="38" t="s">
        <v>126</v>
      </c>
      <c r="L5549" s="41">
        <v>46008.489583333336</v>
      </c>
      <c r="M5549" s="38" t="s">
        <v>123</v>
      </c>
      <c r="N5549" s="41">
        <v>46008.53125</v>
      </c>
      <c r="O5549" s="38" t="s">
        <v>123</v>
      </c>
      <c r="P5549" s="38">
        <v>3600.0</v>
      </c>
      <c r="Q5549" s="39"/>
      <c r="R5549" s="39"/>
      <c r="S5549" s="39"/>
      <c r="T5549" s="39"/>
      <c r="U5549" s="39"/>
    </row>
    <row r="5550">
      <c r="A5550" s="40">
        <f t="shared" si="1"/>
        <v>46006</v>
      </c>
      <c r="B5550" s="37" t="str">
        <f t="array" ref="B5550">iferror(xlookup($I5550, 'IMPORT VHC Report'!$E:$E, 'IMPORT VHC Report'!$A:$C), )</f>
        <v/>
      </c>
      <c r="C5550" s="37"/>
      <c r="D5550" s="37"/>
      <c r="E5550" s="38" t="s">
        <v>6612</v>
      </c>
      <c r="F5550" s="38" t="s">
        <v>6604</v>
      </c>
      <c r="G5550" s="38">
        <v>9.795895003151E12</v>
      </c>
      <c r="H5550" s="38" t="s">
        <v>6605</v>
      </c>
      <c r="I5550" s="38" t="s">
        <v>6606</v>
      </c>
      <c r="J5550" s="38" t="s">
        <v>368</v>
      </c>
      <c r="K5550" s="38" t="s">
        <v>63</v>
      </c>
      <c r="L5550" s="41">
        <v>46009.25</v>
      </c>
      <c r="M5550" s="38" t="s">
        <v>123</v>
      </c>
      <c r="N5550" s="41">
        <v>46009.625</v>
      </c>
      <c r="O5550" s="38" t="s">
        <v>123</v>
      </c>
      <c r="P5550" s="38">
        <v>32400.0</v>
      </c>
      <c r="Q5550" s="39"/>
      <c r="R5550" s="39"/>
      <c r="S5550" s="39"/>
      <c r="T5550" s="39"/>
      <c r="U5550" s="39"/>
    </row>
    <row r="5551">
      <c r="A5551" s="40">
        <f t="shared" si="1"/>
        <v>46006</v>
      </c>
      <c r="B5551" s="37" t="str">
        <f t="array" ref="B5551">iferror(xlookup($I5551, 'IMPORT VHC Report'!$E:$E, 'IMPORT VHC Report'!$A:$C), )</f>
        <v/>
      </c>
      <c r="C5551" s="37"/>
      <c r="D5551" s="37"/>
      <c r="E5551" s="38" t="s">
        <v>6613</v>
      </c>
      <c r="F5551" s="38" t="s">
        <v>6604</v>
      </c>
      <c r="G5551" s="38">
        <v>9.795895003151E12</v>
      </c>
      <c r="H5551" s="38" t="s">
        <v>6605</v>
      </c>
      <c r="I5551" s="38" t="s">
        <v>6606</v>
      </c>
      <c r="J5551" s="38" t="s">
        <v>134</v>
      </c>
      <c r="K5551" s="38" t="s">
        <v>126</v>
      </c>
      <c r="L5551" s="41">
        <v>46009.333333333336</v>
      </c>
      <c r="M5551" s="38" t="s">
        <v>123</v>
      </c>
      <c r="N5551" s="41">
        <v>46009.354166666664</v>
      </c>
      <c r="O5551" s="38" t="s">
        <v>123</v>
      </c>
      <c r="P5551" s="38">
        <v>1800.0</v>
      </c>
      <c r="Q5551" s="39"/>
      <c r="R5551" s="39"/>
      <c r="S5551" s="39"/>
      <c r="T5551" s="39"/>
      <c r="U5551" s="39"/>
    </row>
    <row r="5552">
      <c r="A5552" s="40">
        <f t="shared" si="1"/>
        <v>46006</v>
      </c>
      <c r="B5552" s="37" t="str">
        <f t="array" ref="B5552">iferror(xlookup($I5552, 'IMPORT VHC Report'!$E:$E, 'IMPORT VHC Report'!$A:$C), )</f>
        <v/>
      </c>
      <c r="C5552" s="37"/>
      <c r="D5552" s="37"/>
      <c r="E5552" s="38" t="s">
        <v>6614</v>
      </c>
      <c r="F5552" s="38" t="s">
        <v>6604</v>
      </c>
      <c r="G5552" s="38">
        <v>9.795895003151E12</v>
      </c>
      <c r="H5552" s="38" t="s">
        <v>6605</v>
      </c>
      <c r="I5552" s="38" t="s">
        <v>6606</v>
      </c>
      <c r="J5552" s="38" t="s">
        <v>132</v>
      </c>
      <c r="K5552" s="38" t="s">
        <v>126</v>
      </c>
      <c r="L5552" s="41">
        <v>46009.520833333336</v>
      </c>
      <c r="M5552" s="38" t="s">
        <v>123</v>
      </c>
      <c r="N5552" s="41">
        <v>46009.5625</v>
      </c>
      <c r="O5552" s="38" t="s">
        <v>123</v>
      </c>
      <c r="P5552" s="38">
        <v>3600.0</v>
      </c>
      <c r="Q5552" s="39"/>
      <c r="R5552" s="39"/>
      <c r="S5552" s="39"/>
      <c r="T5552" s="39"/>
      <c r="U5552" s="39"/>
    </row>
    <row r="5553">
      <c r="A5553" s="40">
        <f t="shared" si="1"/>
        <v>46006</v>
      </c>
      <c r="B5553" s="37" t="str">
        <f t="array" ref="B5553">iferror(xlookup($I5553, 'IMPORT VHC Report'!$E:$E, 'IMPORT VHC Report'!$A:$C), )</f>
        <v/>
      </c>
      <c r="C5553" s="37"/>
      <c r="D5553" s="37"/>
      <c r="E5553" s="38" t="s">
        <v>6615</v>
      </c>
      <c r="F5553" s="38" t="s">
        <v>6604</v>
      </c>
      <c r="G5553" s="38">
        <v>9.795895003151E12</v>
      </c>
      <c r="H5553" s="38" t="s">
        <v>6605</v>
      </c>
      <c r="I5553" s="38" t="s">
        <v>6606</v>
      </c>
      <c r="J5553" s="38" t="s">
        <v>368</v>
      </c>
      <c r="K5553" s="38" t="s">
        <v>63</v>
      </c>
      <c r="L5553" s="41">
        <v>46010.25</v>
      </c>
      <c r="M5553" s="38" t="s">
        <v>123</v>
      </c>
      <c r="N5553" s="41">
        <v>46010.625</v>
      </c>
      <c r="O5553" s="38" t="s">
        <v>123</v>
      </c>
      <c r="P5553" s="38">
        <v>32400.0</v>
      </c>
      <c r="Q5553" s="39"/>
      <c r="R5553" s="39"/>
      <c r="S5553" s="39"/>
      <c r="T5553" s="39"/>
      <c r="U5553" s="39"/>
    </row>
    <row r="5554">
      <c r="A5554" s="40">
        <f t="shared" si="1"/>
        <v>46006</v>
      </c>
      <c r="B5554" s="37" t="str">
        <f t="array" ref="B5554">iferror(xlookup($I5554, 'IMPORT VHC Report'!$E:$E, 'IMPORT VHC Report'!$A:$C), )</f>
        <v/>
      </c>
      <c r="C5554" s="37"/>
      <c r="D5554" s="37"/>
      <c r="E5554" s="38" t="s">
        <v>6616</v>
      </c>
      <c r="F5554" s="38" t="s">
        <v>6604</v>
      </c>
      <c r="G5554" s="38">
        <v>9.795895003151E12</v>
      </c>
      <c r="H5554" s="38" t="s">
        <v>6605</v>
      </c>
      <c r="I5554" s="38" t="s">
        <v>6606</v>
      </c>
      <c r="J5554" s="38" t="s">
        <v>134</v>
      </c>
      <c r="K5554" s="38" t="s">
        <v>126</v>
      </c>
      <c r="L5554" s="41">
        <v>46010.375</v>
      </c>
      <c r="M5554" s="38" t="s">
        <v>123</v>
      </c>
      <c r="N5554" s="41">
        <v>46010.395833333336</v>
      </c>
      <c r="O5554" s="38" t="s">
        <v>123</v>
      </c>
      <c r="P5554" s="38">
        <v>1800.0</v>
      </c>
      <c r="Q5554" s="39"/>
      <c r="R5554" s="39"/>
      <c r="S5554" s="39"/>
      <c r="T5554" s="39"/>
      <c r="U5554" s="39"/>
    </row>
    <row r="5555">
      <c r="A5555" s="40">
        <f t="shared" si="1"/>
        <v>46006</v>
      </c>
      <c r="B5555" s="37" t="str">
        <f t="array" ref="B5555">iferror(xlookup($I5555, 'IMPORT VHC Report'!$E:$E, 'IMPORT VHC Report'!$A:$C), )</f>
        <v/>
      </c>
      <c r="C5555" s="37"/>
      <c r="D5555" s="37"/>
      <c r="E5555" s="38" t="s">
        <v>6617</v>
      </c>
      <c r="F5555" s="38" t="s">
        <v>6604</v>
      </c>
      <c r="G5555" s="38">
        <v>9.795895003151E12</v>
      </c>
      <c r="H5555" s="38" t="s">
        <v>6605</v>
      </c>
      <c r="I5555" s="38" t="s">
        <v>6606</v>
      </c>
      <c r="J5555" s="38" t="s">
        <v>132</v>
      </c>
      <c r="K5555" s="38" t="s">
        <v>126</v>
      </c>
      <c r="L5555" s="41">
        <v>46010.479166666664</v>
      </c>
      <c r="M5555" s="38" t="s">
        <v>123</v>
      </c>
      <c r="N5555" s="41">
        <v>46010.520833333336</v>
      </c>
      <c r="O5555" s="38" t="s">
        <v>123</v>
      </c>
      <c r="P5555" s="38">
        <v>3600.0</v>
      </c>
      <c r="Q5555" s="39"/>
      <c r="R5555" s="39"/>
      <c r="S5555" s="39"/>
      <c r="T5555" s="39"/>
      <c r="U5555" s="39"/>
    </row>
    <row r="5556">
      <c r="A5556" s="40">
        <f t="shared" si="1"/>
        <v>46006</v>
      </c>
      <c r="B5556" s="37" t="str">
        <f t="array" ref="B5556">iferror(xlookup($I5556, 'IMPORT VHC Report'!$E:$E, 'IMPORT VHC Report'!$A:$C), )</f>
        <v/>
      </c>
      <c r="C5556" s="37"/>
      <c r="D5556" s="37"/>
      <c r="E5556" s="38" t="s">
        <v>6618</v>
      </c>
      <c r="F5556" s="38" t="s">
        <v>6604</v>
      </c>
      <c r="G5556" s="38">
        <v>9.795895003151E12</v>
      </c>
      <c r="H5556" s="38" t="s">
        <v>6605</v>
      </c>
      <c r="I5556" s="38" t="s">
        <v>6606</v>
      </c>
      <c r="J5556" s="38" t="s">
        <v>368</v>
      </c>
      <c r="K5556" s="38" t="s">
        <v>63</v>
      </c>
      <c r="L5556" s="41">
        <v>46011.25</v>
      </c>
      <c r="M5556" s="38" t="s">
        <v>123</v>
      </c>
      <c r="N5556" s="41">
        <v>46011.625</v>
      </c>
      <c r="O5556" s="38" t="s">
        <v>123</v>
      </c>
      <c r="P5556" s="38">
        <v>32400.0</v>
      </c>
      <c r="Q5556" s="39"/>
      <c r="R5556" s="39"/>
      <c r="S5556" s="39"/>
      <c r="T5556" s="39"/>
      <c r="U5556" s="39"/>
    </row>
    <row r="5557">
      <c r="A5557" s="40">
        <f t="shared" si="1"/>
        <v>46006</v>
      </c>
      <c r="B5557" s="37" t="str">
        <f t="array" ref="B5557">iferror(xlookup($I5557, 'IMPORT VHC Report'!$E:$E, 'IMPORT VHC Report'!$A:$C), )</f>
        <v/>
      </c>
      <c r="C5557" s="37"/>
      <c r="D5557" s="37"/>
      <c r="E5557" s="38" t="s">
        <v>6619</v>
      </c>
      <c r="F5557" s="38" t="s">
        <v>6604</v>
      </c>
      <c r="G5557" s="38">
        <v>9.795895003151E12</v>
      </c>
      <c r="H5557" s="38" t="s">
        <v>6605</v>
      </c>
      <c r="I5557" s="38" t="s">
        <v>6606</v>
      </c>
      <c r="J5557" s="38" t="s">
        <v>134</v>
      </c>
      <c r="K5557" s="38" t="s">
        <v>126</v>
      </c>
      <c r="L5557" s="41">
        <v>46011.364583333336</v>
      </c>
      <c r="M5557" s="38" t="s">
        <v>123</v>
      </c>
      <c r="N5557" s="41">
        <v>46011.385416666664</v>
      </c>
      <c r="O5557" s="38" t="s">
        <v>123</v>
      </c>
      <c r="P5557" s="38">
        <v>1800.0</v>
      </c>
      <c r="Q5557" s="39"/>
      <c r="R5557" s="39"/>
      <c r="S5557" s="39"/>
      <c r="T5557" s="39"/>
      <c r="U5557" s="39"/>
    </row>
    <row r="5558">
      <c r="A5558" s="40">
        <f t="shared" si="1"/>
        <v>46006</v>
      </c>
      <c r="B5558" s="37" t="str">
        <f t="array" ref="B5558">iferror(xlookup($I5558, 'IMPORT VHC Report'!$E:$E, 'IMPORT VHC Report'!$A:$C), )</f>
        <v/>
      </c>
      <c r="C5558" s="37"/>
      <c r="D5558" s="37"/>
      <c r="E5558" s="38" t="s">
        <v>6620</v>
      </c>
      <c r="F5558" s="38" t="s">
        <v>6604</v>
      </c>
      <c r="G5558" s="38">
        <v>9.795895003151E12</v>
      </c>
      <c r="H5558" s="38" t="s">
        <v>6605</v>
      </c>
      <c r="I5558" s="38" t="s">
        <v>6606</v>
      </c>
      <c r="J5558" s="38" t="s">
        <v>132</v>
      </c>
      <c r="K5558" s="38" t="s">
        <v>126</v>
      </c>
      <c r="L5558" s="41">
        <v>46011.479166666664</v>
      </c>
      <c r="M5558" s="38" t="s">
        <v>123</v>
      </c>
      <c r="N5558" s="41">
        <v>46011.520833333336</v>
      </c>
      <c r="O5558" s="38" t="s">
        <v>123</v>
      </c>
      <c r="P5558" s="38">
        <v>3600.0</v>
      </c>
      <c r="Q5558" s="39"/>
      <c r="R5558" s="39"/>
      <c r="S5558" s="39"/>
      <c r="T5558" s="39"/>
      <c r="U5558" s="39"/>
    </row>
    <row r="5559">
      <c r="A5559" s="40">
        <f t="shared" si="1"/>
        <v>46006</v>
      </c>
      <c r="B5559" s="37" t="str">
        <f t="array" ref="B5559">iferror(xlookup($I5559, 'IMPORT VHC Report'!$E:$E, 'IMPORT VHC Report'!$A:$C), )</f>
        <v/>
      </c>
      <c r="C5559" s="37"/>
      <c r="D5559" s="37"/>
      <c r="E5559" s="38" t="s">
        <v>6621</v>
      </c>
      <c r="F5559" s="38" t="s">
        <v>6622</v>
      </c>
      <c r="G5559" s="38">
        <v>1.0548588461839E13</v>
      </c>
      <c r="H5559" s="38" t="s">
        <v>6623</v>
      </c>
      <c r="I5559" s="38" t="s">
        <v>6624</v>
      </c>
      <c r="J5559" s="38" t="s">
        <v>2268</v>
      </c>
      <c r="K5559" s="38" t="s">
        <v>63</v>
      </c>
      <c r="L5559" s="41">
        <v>46007.25</v>
      </c>
      <c r="M5559" s="38" t="s">
        <v>123</v>
      </c>
      <c r="N5559" s="41">
        <v>46007.541666666664</v>
      </c>
      <c r="O5559" s="38" t="s">
        <v>123</v>
      </c>
      <c r="P5559" s="38">
        <v>25200.0</v>
      </c>
      <c r="Q5559" s="39"/>
      <c r="R5559" s="39"/>
      <c r="S5559" s="39"/>
      <c r="T5559" s="39"/>
      <c r="U5559" s="39"/>
    </row>
    <row r="5560">
      <c r="A5560" s="40">
        <f t="shared" si="1"/>
        <v>46006</v>
      </c>
      <c r="B5560" s="37" t="str">
        <f t="array" ref="B5560">iferror(xlookup($I5560, 'IMPORT VHC Report'!$E:$E, 'IMPORT VHC Report'!$A:$C), )</f>
        <v/>
      </c>
      <c r="C5560" s="37"/>
      <c r="D5560" s="37"/>
      <c r="E5560" s="38" t="s">
        <v>6625</v>
      </c>
      <c r="F5560" s="38" t="s">
        <v>6622</v>
      </c>
      <c r="G5560" s="38">
        <v>1.0548588461839E13</v>
      </c>
      <c r="H5560" s="38" t="s">
        <v>6623</v>
      </c>
      <c r="I5560" s="38" t="s">
        <v>6624</v>
      </c>
      <c r="J5560" s="38" t="s">
        <v>134</v>
      </c>
      <c r="K5560" s="38" t="s">
        <v>126</v>
      </c>
      <c r="L5560" s="41">
        <v>46007.4375</v>
      </c>
      <c r="M5560" s="38" t="s">
        <v>123</v>
      </c>
      <c r="N5560" s="41">
        <v>46007.458333333336</v>
      </c>
      <c r="O5560" s="38" t="s">
        <v>123</v>
      </c>
      <c r="P5560" s="38">
        <v>1800.0</v>
      </c>
      <c r="Q5560" s="39"/>
      <c r="R5560" s="39"/>
      <c r="S5560" s="39"/>
      <c r="T5560" s="39"/>
      <c r="U5560" s="39"/>
    </row>
    <row r="5561">
      <c r="A5561" s="40">
        <f t="shared" si="1"/>
        <v>46006</v>
      </c>
      <c r="B5561" s="37" t="str">
        <f t="array" ref="B5561">iferror(xlookup($I5561, 'IMPORT VHC Report'!$E:$E, 'IMPORT VHC Report'!$A:$C), )</f>
        <v/>
      </c>
      <c r="C5561" s="37"/>
      <c r="D5561" s="37"/>
      <c r="E5561" s="38" t="s">
        <v>6626</v>
      </c>
      <c r="F5561" s="38" t="s">
        <v>6622</v>
      </c>
      <c r="G5561" s="38">
        <v>1.0548588461839E13</v>
      </c>
      <c r="H5561" s="38" t="s">
        <v>6623</v>
      </c>
      <c r="I5561" s="38" t="s">
        <v>6624</v>
      </c>
      <c r="J5561" s="38" t="s">
        <v>4</v>
      </c>
      <c r="K5561" s="38" t="s">
        <v>126</v>
      </c>
      <c r="L5561" s="41">
        <v>46007.458333333336</v>
      </c>
      <c r="M5561" s="38" t="s">
        <v>123</v>
      </c>
      <c r="N5561" s="41">
        <v>46007.489583333336</v>
      </c>
      <c r="O5561" s="38" t="s">
        <v>123</v>
      </c>
      <c r="P5561" s="38">
        <v>2700.0</v>
      </c>
      <c r="Q5561" s="39"/>
      <c r="R5561" s="39"/>
      <c r="S5561" s="38" t="s">
        <v>2478</v>
      </c>
      <c r="T5561" s="39"/>
      <c r="U5561" s="39"/>
    </row>
    <row r="5562">
      <c r="A5562" s="40">
        <f t="shared" si="1"/>
        <v>46006</v>
      </c>
      <c r="B5562" s="37" t="str">
        <f t="array" ref="B5562">iferror(xlookup($I5562, 'IMPORT VHC Report'!$E:$E, 'IMPORT VHC Report'!$A:$C), )</f>
        <v/>
      </c>
      <c r="C5562" s="37"/>
      <c r="D5562" s="37"/>
      <c r="E5562" s="38" t="s">
        <v>6627</v>
      </c>
      <c r="F5562" s="38" t="s">
        <v>6622</v>
      </c>
      <c r="G5562" s="38">
        <v>1.0548588461839E13</v>
      </c>
      <c r="H5562" s="38" t="s">
        <v>6623</v>
      </c>
      <c r="I5562" s="38" t="s">
        <v>6624</v>
      </c>
      <c r="J5562" s="38" t="s">
        <v>132</v>
      </c>
      <c r="K5562" s="38" t="s">
        <v>126</v>
      </c>
      <c r="L5562" s="41">
        <v>46007.510416666664</v>
      </c>
      <c r="M5562" s="38" t="s">
        <v>123</v>
      </c>
      <c r="N5562" s="41">
        <v>46007.552083333336</v>
      </c>
      <c r="O5562" s="38" t="s">
        <v>123</v>
      </c>
      <c r="P5562" s="38">
        <v>3600.0</v>
      </c>
      <c r="Q5562" s="39"/>
      <c r="R5562" s="39"/>
      <c r="S5562" s="39"/>
      <c r="T5562" s="39"/>
      <c r="U5562" s="39"/>
    </row>
    <row r="5563">
      <c r="A5563" s="40">
        <f t="shared" si="1"/>
        <v>46006</v>
      </c>
      <c r="B5563" s="37" t="str">
        <f t="array" ref="B5563">iferror(xlookup($I5563, 'IMPORT VHC Report'!$E:$E, 'IMPORT VHC Report'!$A:$C), )</f>
        <v/>
      </c>
      <c r="C5563" s="37"/>
      <c r="D5563" s="37"/>
      <c r="E5563" s="38" t="s">
        <v>6628</v>
      </c>
      <c r="F5563" s="38" t="s">
        <v>6622</v>
      </c>
      <c r="G5563" s="38">
        <v>1.0548588461839E13</v>
      </c>
      <c r="H5563" s="38" t="s">
        <v>6623</v>
      </c>
      <c r="I5563" s="38" t="s">
        <v>6624</v>
      </c>
      <c r="J5563" s="38" t="s">
        <v>368</v>
      </c>
      <c r="K5563" s="38" t="s">
        <v>63</v>
      </c>
      <c r="L5563" s="41">
        <v>46007.541666666664</v>
      </c>
      <c r="M5563" s="38" t="s">
        <v>123</v>
      </c>
      <c r="N5563" s="41">
        <v>46007.625</v>
      </c>
      <c r="O5563" s="38" t="s">
        <v>123</v>
      </c>
      <c r="P5563" s="38">
        <v>7200.0</v>
      </c>
      <c r="Q5563" s="39"/>
      <c r="R5563" s="39"/>
      <c r="S5563" s="39"/>
      <c r="T5563" s="39"/>
      <c r="U5563" s="39"/>
    </row>
    <row r="5564">
      <c r="A5564" s="40">
        <f t="shared" si="1"/>
        <v>46006</v>
      </c>
      <c r="B5564" s="37" t="str">
        <f t="array" ref="B5564">iferror(xlookup($I5564, 'IMPORT VHC Report'!$E:$E, 'IMPORT VHC Report'!$A:$C), )</f>
        <v/>
      </c>
      <c r="C5564" s="37"/>
      <c r="D5564" s="37"/>
      <c r="E5564" s="38" t="s">
        <v>6629</v>
      </c>
      <c r="F5564" s="38" t="s">
        <v>6622</v>
      </c>
      <c r="G5564" s="38">
        <v>1.0548588461839E13</v>
      </c>
      <c r="H5564" s="38" t="s">
        <v>6623</v>
      </c>
      <c r="I5564" s="38" t="s">
        <v>6624</v>
      </c>
      <c r="J5564" s="38" t="s">
        <v>2268</v>
      </c>
      <c r="K5564" s="38" t="s">
        <v>63</v>
      </c>
      <c r="L5564" s="41">
        <v>46008.25</v>
      </c>
      <c r="M5564" s="38" t="s">
        <v>123</v>
      </c>
      <c r="N5564" s="41">
        <v>46008.625</v>
      </c>
      <c r="O5564" s="38" t="s">
        <v>123</v>
      </c>
      <c r="P5564" s="38">
        <v>32400.0</v>
      </c>
      <c r="Q5564" s="39"/>
      <c r="R5564" s="39"/>
      <c r="S5564" s="39"/>
      <c r="T5564" s="39"/>
      <c r="U5564" s="39"/>
    </row>
    <row r="5565">
      <c r="A5565" s="40">
        <f t="shared" si="1"/>
        <v>46006</v>
      </c>
      <c r="B5565" s="37" t="str">
        <f t="array" ref="B5565">iferror(xlookup($I5565, 'IMPORT VHC Report'!$E:$E, 'IMPORT VHC Report'!$A:$C), )</f>
        <v/>
      </c>
      <c r="C5565" s="37"/>
      <c r="D5565" s="37"/>
      <c r="E5565" s="38" t="s">
        <v>6630</v>
      </c>
      <c r="F5565" s="38" t="s">
        <v>6622</v>
      </c>
      <c r="G5565" s="38">
        <v>1.0548588461839E13</v>
      </c>
      <c r="H5565" s="38" t="s">
        <v>6623</v>
      </c>
      <c r="I5565" s="38" t="s">
        <v>6624</v>
      </c>
      <c r="J5565" s="38" t="s">
        <v>134</v>
      </c>
      <c r="K5565" s="38" t="s">
        <v>126</v>
      </c>
      <c r="L5565" s="41">
        <v>46008.427083333336</v>
      </c>
      <c r="M5565" s="38" t="s">
        <v>123</v>
      </c>
      <c r="N5565" s="41">
        <v>46008.447916666664</v>
      </c>
      <c r="O5565" s="38" t="s">
        <v>123</v>
      </c>
      <c r="P5565" s="38">
        <v>1800.0</v>
      </c>
      <c r="Q5565" s="39"/>
      <c r="R5565" s="39"/>
      <c r="S5565" s="39"/>
      <c r="T5565" s="39"/>
      <c r="U5565" s="39"/>
    </row>
    <row r="5566">
      <c r="A5566" s="40">
        <f t="shared" si="1"/>
        <v>46006</v>
      </c>
      <c r="B5566" s="37" t="str">
        <f t="array" ref="B5566">iferror(xlookup($I5566, 'IMPORT VHC Report'!$E:$E, 'IMPORT VHC Report'!$A:$C), )</f>
        <v/>
      </c>
      <c r="C5566" s="37"/>
      <c r="D5566" s="37"/>
      <c r="E5566" s="38" t="s">
        <v>6631</v>
      </c>
      <c r="F5566" s="38" t="s">
        <v>6622</v>
      </c>
      <c r="G5566" s="38">
        <v>1.0548588461839E13</v>
      </c>
      <c r="H5566" s="38" t="s">
        <v>6623</v>
      </c>
      <c r="I5566" s="38" t="s">
        <v>6624</v>
      </c>
      <c r="J5566" s="38" t="s">
        <v>132</v>
      </c>
      <c r="K5566" s="38" t="s">
        <v>126</v>
      </c>
      <c r="L5566" s="41">
        <v>46008.541666666664</v>
      </c>
      <c r="M5566" s="38" t="s">
        <v>123</v>
      </c>
      <c r="N5566" s="41">
        <v>46008.583333333336</v>
      </c>
      <c r="O5566" s="38" t="s">
        <v>123</v>
      </c>
      <c r="P5566" s="38">
        <v>3600.0</v>
      </c>
      <c r="Q5566" s="39"/>
      <c r="R5566" s="39"/>
      <c r="S5566" s="39"/>
      <c r="T5566" s="39"/>
      <c r="U5566" s="39"/>
    </row>
    <row r="5567">
      <c r="A5567" s="40">
        <f t="shared" si="1"/>
        <v>46006</v>
      </c>
      <c r="B5567" s="37" t="str">
        <f t="array" ref="B5567">iferror(xlookup($I5567, 'IMPORT VHC Report'!$E:$E, 'IMPORT VHC Report'!$A:$C), )</f>
        <v/>
      </c>
      <c r="C5567" s="37"/>
      <c r="D5567" s="37"/>
      <c r="E5567" s="38" t="s">
        <v>6632</v>
      </c>
      <c r="F5567" s="38" t="s">
        <v>6622</v>
      </c>
      <c r="G5567" s="38">
        <v>1.0548588461839E13</v>
      </c>
      <c r="H5567" s="38" t="s">
        <v>6623</v>
      </c>
      <c r="I5567" s="38" t="s">
        <v>6624</v>
      </c>
      <c r="J5567" s="38" t="s">
        <v>2268</v>
      </c>
      <c r="K5567" s="38" t="s">
        <v>63</v>
      </c>
      <c r="L5567" s="41">
        <v>46009.25</v>
      </c>
      <c r="M5567" s="38" t="s">
        <v>123</v>
      </c>
      <c r="N5567" s="41">
        <v>46009.625</v>
      </c>
      <c r="O5567" s="38" t="s">
        <v>123</v>
      </c>
      <c r="P5567" s="38">
        <v>32400.0</v>
      </c>
      <c r="Q5567" s="39"/>
      <c r="R5567" s="39"/>
      <c r="S5567" s="39"/>
      <c r="T5567" s="39"/>
      <c r="U5567" s="39"/>
    </row>
    <row r="5568">
      <c r="A5568" s="40">
        <f t="shared" si="1"/>
        <v>46006</v>
      </c>
      <c r="B5568" s="37" t="str">
        <f t="array" ref="B5568">iferror(xlookup($I5568, 'IMPORT VHC Report'!$E:$E, 'IMPORT VHC Report'!$A:$C), )</f>
        <v/>
      </c>
      <c r="C5568" s="37"/>
      <c r="D5568" s="37"/>
      <c r="E5568" s="38" t="s">
        <v>6633</v>
      </c>
      <c r="F5568" s="38" t="s">
        <v>6622</v>
      </c>
      <c r="G5568" s="38">
        <v>1.0548588461839E13</v>
      </c>
      <c r="H5568" s="38" t="s">
        <v>6623</v>
      </c>
      <c r="I5568" s="38" t="s">
        <v>6624</v>
      </c>
      <c r="J5568" s="38" t="s">
        <v>134</v>
      </c>
      <c r="K5568" s="38" t="s">
        <v>126</v>
      </c>
      <c r="L5568" s="41">
        <v>46009.3125</v>
      </c>
      <c r="M5568" s="38" t="s">
        <v>123</v>
      </c>
      <c r="N5568" s="41">
        <v>46009.333333333336</v>
      </c>
      <c r="O5568" s="38" t="s">
        <v>123</v>
      </c>
      <c r="P5568" s="38">
        <v>1800.0</v>
      </c>
      <c r="Q5568" s="39"/>
      <c r="R5568" s="39"/>
      <c r="S5568" s="39"/>
      <c r="T5568" s="39"/>
      <c r="U5568" s="39"/>
    </row>
    <row r="5569">
      <c r="A5569" s="40">
        <f t="shared" si="1"/>
        <v>46006</v>
      </c>
      <c r="B5569" s="37" t="str">
        <f t="array" ref="B5569">iferror(xlookup($I5569, 'IMPORT VHC Report'!$E:$E, 'IMPORT VHC Report'!$A:$C), )</f>
        <v/>
      </c>
      <c r="C5569" s="37"/>
      <c r="D5569" s="37"/>
      <c r="E5569" s="38" t="s">
        <v>6634</v>
      </c>
      <c r="F5569" s="38" t="s">
        <v>6622</v>
      </c>
      <c r="G5569" s="38">
        <v>1.0548588461839E13</v>
      </c>
      <c r="H5569" s="38" t="s">
        <v>6623</v>
      </c>
      <c r="I5569" s="38" t="s">
        <v>6624</v>
      </c>
      <c r="J5569" s="38" t="s">
        <v>136</v>
      </c>
      <c r="K5569" s="38" t="s">
        <v>126</v>
      </c>
      <c r="L5569" s="41">
        <v>46009.375</v>
      </c>
      <c r="M5569" s="38" t="s">
        <v>123</v>
      </c>
      <c r="N5569" s="41">
        <v>46009.395833333336</v>
      </c>
      <c r="O5569" s="38" t="s">
        <v>123</v>
      </c>
      <c r="P5569" s="38">
        <v>1800.0</v>
      </c>
      <c r="Q5569" s="39"/>
      <c r="R5569" s="39"/>
      <c r="S5569" s="38" t="s">
        <v>6635</v>
      </c>
      <c r="T5569" s="39"/>
      <c r="U5569" s="39"/>
    </row>
    <row r="5570">
      <c r="A5570" s="40">
        <f t="shared" si="1"/>
        <v>46006</v>
      </c>
      <c r="B5570" s="37" t="str">
        <f t="array" ref="B5570">iferror(xlookup($I5570, 'IMPORT VHC Report'!$E:$E, 'IMPORT VHC Report'!$A:$C), )</f>
        <v/>
      </c>
      <c r="C5570" s="37"/>
      <c r="D5570" s="37"/>
      <c r="E5570" s="38" t="s">
        <v>6636</v>
      </c>
      <c r="F5570" s="38" t="s">
        <v>6622</v>
      </c>
      <c r="G5570" s="38">
        <v>1.0548588461839E13</v>
      </c>
      <c r="H5570" s="38" t="s">
        <v>6623</v>
      </c>
      <c r="I5570" s="38" t="s">
        <v>6624</v>
      </c>
      <c r="J5570" s="38" t="s">
        <v>132</v>
      </c>
      <c r="K5570" s="38" t="s">
        <v>126</v>
      </c>
      <c r="L5570" s="41">
        <v>46009.458333333336</v>
      </c>
      <c r="M5570" s="38" t="s">
        <v>123</v>
      </c>
      <c r="N5570" s="41">
        <v>46009.5</v>
      </c>
      <c r="O5570" s="38" t="s">
        <v>123</v>
      </c>
      <c r="P5570" s="38">
        <v>3600.0</v>
      </c>
      <c r="Q5570" s="39"/>
      <c r="R5570" s="39"/>
      <c r="S5570" s="39"/>
      <c r="T5570" s="39"/>
      <c r="U5570" s="39"/>
    </row>
    <row r="5571">
      <c r="A5571" s="40">
        <f t="shared" si="1"/>
        <v>46006</v>
      </c>
      <c r="B5571" s="37" t="str">
        <f t="array" ref="B5571">iferror(xlookup($I5571, 'IMPORT VHC Report'!$E:$E, 'IMPORT VHC Report'!$A:$C), )</f>
        <v/>
      </c>
      <c r="C5571" s="37"/>
      <c r="D5571" s="37"/>
      <c r="E5571" s="38" t="s">
        <v>6637</v>
      </c>
      <c r="F5571" s="38" t="s">
        <v>6622</v>
      </c>
      <c r="G5571" s="38">
        <v>1.0548588461839E13</v>
      </c>
      <c r="H5571" s="38" t="s">
        <v>6623</v>
      </c>
      <c r="I5571" s="38" t="s">
        <v>6624</v>
      </c>
      <c r="J5571" s="38" t="s">
        <v>152</v>
      </c>
      <c r="K5571" s="38" t="s">
        <v>153</v>
      </c>
      <c r="L5571" s="41">
        <v>46010.25</v>
      </c>
      <c r="M5571" s="38" t="s">
        <v>123</v>
      </c>
      <c r="N5571" s="41">
        <v>46010.625</v>
      </c>
      <c r="O5571" s="38" t="s">
        <v>123</v>
      </c>
      <c r="P5571" s="38">
        <v>32400.0</v>
      </c>
      <c r="Q5571" s="38">
        <v>32400.0</v>
      </c>
      <c r="R5571" s="39"/>
      <c r="S5571" s="39"/>
      <c r="T5571" s="39"/>
      <c r="U5571" s="39"/>
    </row>
    <row r="5572">
      <c r="A5572" s="40">
        <f t="shared" si="1"/>
        <v>46006</v>
      </c>
      <c r="B5572" s="37" t="str">
        <f t="array" ref="B5572">iferror(xlookup($I5572, 'IMPORT VHC Report'!$E:$E, 'IMPORT VHC Report'!$A:$C), )</f>
        <v/>
      </c>
      <c r="C5572" s="37"/>
      <c r="D5572" s="37"/>
      <c r="E5572" s="38" t="s">
        <v>6638</v>
      </c>
      <c r="F5572" s="38" t="s">
        <v>6622</v>
      </c>
      <c r="G5572" s="38">
        <v>1.0548588461839E13</v>
      </c>
      <c r="H5572" s="38" t="s">
        <v>6623</v>
      </c>
      <c r="I5572" s="38" t="s">
        <v>6624</v>
      </c>
      <c r="J5572" s="38" t="s">
        <v>368</v>
      </c>
      <c r="K5572" s="38" t="s">
        <v>63</v>
      </c>
      <c r="L5572" s="41">
        <v>46010.25</v>
      </c>
      <c r="M5572" s="38" t="s">
        <v>123</v>
      </c>
      <c r="N5572" s="41">
        <v>46010.625</v>
      </c>
      <c r="O5572" s="38" t="s">
        <v>123</v>
      </c>
      <c r="P5572" s="38">
        <v>32400.0</v>
      </c>
      <c r="Q5572" s="39"/>
      <c r="R5572" s="39"/>
      <c r="S5572" s="39"/>
      <c r="T5572" s="39"/>
      <c r="U5572" s="39"/>
    </row>
    <row r="5573">
      <c r="A5573" s="40">
        <f t="shared" si="1"/>
        <v>46006</v>
      </c>
      <c r="B5573" s="37" t="str">
        <f t="array" ref="B5573">iferror(xlookup($I5573, 'IMPORT VHC Report'!$E:$E, 'IMPORT VHC Report'!$A:$C), )</f>
        <v/>
      </c>
      <c r="C5573" s="37"/>
      <c r="D5573" s="37"/>
      <c r="E5573" s="38" t="s">
        <v>6639</v>
      </c>
      <c r="F5573" s="38" t="s">
        <v>6622</v>
      </c>
      <c r="G5573" s="38">
        <v>1.0548588461839E13</v>
      </c>
      <c r="H5573" s="38" t="s">
        <v>6623</v>
      </c>
      <c r="I5573" s="38" t="s">
        <v>6624</v>
      </c>
      <c r="J5573" s="38" t="s">
        <v>134</v>
      </c>
      <c r="K5573" s="38" t="s">
        <v>126</v>
      </c>
      <c r="L5573" s="41">
        <v>46010.385416666664</v>
      </c>
      <c r="M5573" s="38" t="s">
        <v>123</v>
      </c>
      <c r="N5573" s="41">
        <v>46010.40625</v>
      </c>
      <c r="O5573" s="38" t="s">
        <v>123</v>
      </c>
      <c r="P5573" s="38">
        <v>1800.0</v>
      </c>
      <c r="Q5573" s="39"/>
      <c r="R5573" s="39"/>
      <c r="S5573" s="39"/>
      <c r="T5573" s="39"/>
      <c r="U5573" s="39"/>
    </row>
    <row r="5574">
      <c r="A5574" s="40">
        <f t="shared" si="1"/>
        <v>46006</v>
      </c>
      <c r="B5574" s="37" t="str">
        <f t="array" ref="B5574">iferror(xlookup($I5574, 'IMPORT VHC Report'!$E:$E, 'IMPORT VHC Report'!$A:$C), )</f>
        <v/>
      </c>
      <c r="C5574" s="37"/>
      <c r="D5574" s="37"/>
      <c r="E5574" s="38" t="s">
        <v>6640</v>
      </c>
      <c r="F5574" s="38" t="s">
        <v>6622</v>
      </c>
      <c r="G5574" s="38">
        <v>1.0548588461839E13</v>
      </c>
      <c r="H5574" s="38" t="s">
        <v>6623</v>
      </c>
      <c r="I5574" s="38" t="s">
        <v>6624</v>
      </c>
      <c r="J5574" s="38" t="s">
        <v>132</v>
      </c>
      <c r="K5574" s="38" t="s">
        <v>126</v>
      </c>
      <c r="L5574" s="41">
        <v>46010.541666666664</v>
      </c>
      <c r="M5574" s="38" t="s">
        <v>123</v>
      </c>
      <c r="N5574" s="41">
        <v>46010.583333333336</v>
      </c>
      <c r="O5574" s="38" t="s">
        <v>123</v>
      </c>
      <c r="P5574" s="38">
        <v>3600.0</v>
      </c>
      <c r="Q5574" s="39"/>
      <c r="R5574" s="39"/>
      <c r="S5574" s="39"/>
      <c r="T5574" s="39"/>
      <c r="U5574" s="39"/>
    </row>
    <row r="5575">
      <c r="A5575" s="40">
        <f t="shared" si="1"/>
        <v>46006</v>
      </c>
      <c r="B5575" s="37" t="str">
        <f t="array" ref="B5575">iferror(xlookup($I5575, 'IMPORT VHC Report'!$E:$E, 'IMPORT VHC Report'!$A:$C), )</f>
        <v/>
      </c>
      <c r="C5575" s="37"/>
      <c r="D5575" s="37"/>
      <c r="E5575" s="38" t="s">
        <v>6641</v>
      </c>
      <c r="F5575" s="38" t="s">
        <v>6622</v>
      </c>
      <c r="G5575" s="38">
        <v>1.0548588461839E13</v>
      </c>
      <c r="H5575" s="38" t="s">
        <v>6623</v>
      </c>
      <c r="I5575" s="38" t="s">
        <v>6624</v>
      </c>
      <c r="J5575" s="38" t="s">
        <v>368</v>
      </c>
      <c r="K5575" s="38" t="s">
        <v>63</v>
      </c>
      <c r="L5575" s="41">
        <v>46011.25</v>
      </c>
      <c r="M5575" s="38" t="s">
        <v>123</v>
      </c>
      <c r="N5575" s="41">
        <v>46011.416666666664</v>
      </c>
      <c r="O5575" s="38" t="s">
        <v>123</v>
      </c>
      <c r="P5575" s="38">
        <v>14400.0</v>
      </c>
      <c r="Q5575" s="39"/>
      <c r="R5575" s="39"/>
      <c r="S5575" s="39"/>
      <c r="T5575" s="39"/>
      <c r="U5575" s="39"/>
    </row>
    <row r="5576">
      <c r="A5576" s="40">
        <f t="shared" si="1"/>
        <v>46006</v>
      </c>
      <c r="B5576" s="37" t="str">
        <f t="array" ref="B5576">iferror(xlookup($I5576, 'IMPORT VHC Report'!$E:$E, 'IMPORT VHC Report'!$A:$C), )</f>
        <v/>
      </c>
      <c r="C5576" s="37"/>
      <c r="D5576" s="37"/>
      <c r="E5576" s="38" t="s">
        <v>6642</v>
      </c>
      <c r="F5576" s="38" t="s">
        <v>6622</v>
      </c>
      <c r="G5576" s="38">
        <v>1.0548588461839E13</v>
      </c>
      <c r="H5576" s="38" t="s">
        <v>6623</v>
      </c>
      <c r="I5576" s="38" t="s">
        <v>6624</v>
      </c>
      <c r="J5576" s="38" t="s">
        <v>152</v>
      </c>
      <c r="K5576" s="38" t="s">
        <v>153</v>
      </c>
      <c r="L5576" s="41">
        <v>46011.458333333336</v>
      </c>
      <c r="M5576" s="38" t="s">
        <v>123</v>
      </c>
      <c r="N5576" s="41">
        <v>46011.625</v>
      </c>
      <c r="O5576" s="38" t="s">
        <v>123</v>
      </c>
      <c r="P5576" s="38">
        <v>14400.0</v>
      </c>
      <c r="Q5576" s="38">
        <v>14400.0</v>
      </c>
      <c r="R5576" s="38" t="s">
        <v>6643</v>
      </c>
      <c r="S5576" s="39"/>
      <c r="T5576" s="39"/>
      <c r="U5576" s="39"/>
    </row>
    <row r="5577">
      <c r="A5577" s="40">
        <f t="shared" si="1"/>
        <v>46006</v>
      </c>
      <c r="B5577" s="37" t="str">
        <f t="array" ref="B5577">iferror(xlookup($I5577, 'IMPORT VHC Report'!$E:$E, 'IMPORT VHC Report'!$A:$C), )</f>
        <v/>
      </c>
      <c r="C5577" s="37"/>
      <c r="D5577" s="37"/>
      <c r="E5577" s="38" t="s">
        <v>6644</v>
      </c>
      <c r="F5577" s="38" t="s">
        <v>6622</v>
      </c>
      <c r="G5577" s="38">
        <v>1.0548588461839E13</v>
      </c>
      <c r="H5577" s="38" t="s">
        <v>6623</v>
      </c>
      <c r="I5577" s="38" t="s">
        <v>6624</v>
      </c>
      <c r="J5577" s="38" t="s">
        <v>132</v>
      </c>
      <c r="K5577" s="38" t="s">
        <v>126</v>
      </c>
      <c r="L5577" s="41">
        <v>46011.541666666664</v>
      </c>
      <c r="M5577" s="38" t="s">
        <v>123</v>
      </c>
      <c r="N5577" s="41">
        <v>46011.583333333336</v>
      </c>
      <c r="O5577" s="38" t="s">
        <v>123</v>
      </c>
      <c r="P5577" s="38">
        <v>3600.0</v>
      </c>
      <c r="Q5577" s="39"/>
      <c r="R5577" s="39"/>
      <c r="S5577" s="39"/>
      <c r="T5577" s="39"/>
      <c r="U5577" s="39"/>
    </row>
    <row r="5578">
      <c r="A5578" s="40">
        <f t="shared" si="1"/>
        <v>46006</v>
      </c>
      <c r="B5578" s="37" t="str">
        <f t="array" ref="B5578">iferror(xlookup($I5578, 'IMPORT VHC Report'!$E:$E, 'IMPORT VHC Report'!$A:$C), )</f>
        <v/>
      </c>
      <c r="C5578" s="37"/>
      <c r="D5578" s="37"/>
      <c r="E5578" s="38" t="s">
        <v>6645</v>
      </c>
      <c r="F5578" s="38" t="s">
        <v>6646</v>
      </c>
      <c r="G5578" s="38">
        <v>9.795905227023E12</v>
      </c>
      <c r="H5578" s="38" t="s">
        <v>94</v>
      </c>
      <c r="I5578" s="38" t="s">
        <v>95</v>
      </c>
      <c r="J5578" s="38" t="s">
        <v>62</v>
      </c>
      <c r="K5578" s="38" t="s">
        <v>63</v>
      </c>
      <c r="L5578" s="41">
        <v>46007.25</v>
      </c>
      <c r="M5578" s="38" t="s">
        <v>123</v>
      </c>
      <c r="N5578" s="41">
        <v>46007.416666666664</v>
      </c>
      <c r="O5578" s="38" t="s">
        <v>123</v>
      </c>
      <c r="P5578" s="38">
        <v>14400.0</v>
      </c>
      <c r="Q5578" s="39"/>
      <c r="R5578" s="39"/>
      <c r="S5578" s="39"/>
      <c r="T5578" s="39"/>
      <c r="U5578" s="39"/>
    </row>
    <row r="5579">
      <c r="A5579" s="40">
        <f t="shared" si="1"/>
        <v>46006</v>
      </c>
      <c r="B5579" s="37" t="str">
        <f t="array" ref="B5579">iferror(xlookup($I5579, 'IMPORT VHC Report'!$E:$E, 'IMPORT VHC Report'!$A:$C), )</f>
        <v/>
      </c>
      <c r="C5579" s="37"/>
      <c r="D5579" s="37"/>
      <c r="E5579" s="38" t="s">
        <v>6647</v>
      </c>
      <c r="F5579" s="38" t="s">
        <v>6646</v>
      </c>
      <c r="G5579" s="38">
        <v>9.795905227023E12</v>
      </c>
      <c r="H5579" s="38" t="s">
        <v>94</v>
      </c>
      <c r="I5579" s="38" t="s">
        <v>95</v>
      </c>
      <c r="J5579" s="38" t="s">
        <v>330</v>
      </c>
      <c r="K5579" s="38" t="s">
        <v>126</v>
      </c>
      <c r="L5579" s="41">
        <v>46007.368055555555</v>
      </c>
      <c r="M5579" s="38" t="s">
        <v>123</v>
      </c>
      <c r="N5579" s="41">
        <v>46007.40972222222</v>
      </c>
      <c r="O5579" s="38" t="s">
        <v>123</v>
      </c>
      <c r="P5579" s="38">
        <v>3600.0</v>
      </c>
      <c r="Q5579" s="39"/>
      <c r="R5579" s="39"/>
      <c r="S5579" s="38" t="s">
        <v>6648</v>
      </c>
      <c r="T5579" s="39"/>
      <c r="U5579" s="39"/>
    </row>
    <row r="5580">
      <c r="A5580" s="40">
        <f t="shared" si="1"/>
        <v>46006</v>
      </c>
      <c r="B5580" s="37" t="str">
        <f t="array" ref="B5580">iferror(xlookup($I5580, 'IMPORT VHC Report'!$E:$E, 'IMPORT VHC Report'!$A:$C), )</f>
        <v/>
      </c>
      <c r="C5580" s="37"/>
      <c r="D5580" s="37"/>
      <c r="E5580" s="38" t="s">
        <v>6649</v>
      </c>
      <c r="F5580" s="38" t="s">
        <v>6646</v>
      </c>
      <c r="G5580" s="38">
        <v>9.795905227023E12</v>
      </c>
      <c r="H5580" s="38" t="s">
        <v>94</v>
      </c>
      <c r="I5580" s="38" t="s">
        <v>95</v>
      </c>
      <c r="J5580" s="38" t="s">
        <v>791</v>
      </c>
      <c r="K5580" s="38" t="s">
        <v>63</v>
      </c>
      <c r="L5580" s="41">
        <v>46007.416666666664</v>
      </c>
      <c r="M5580" s="38" t="s">
        <v>123</v>
      </c>
      <c r="N5580" s="41">
        <v>46007.625</v>
      </c>
      <c r="O5580" s="38" t="s">
        <v>123</v>
      </c>
      <c r="P5580" s="38">
        <v>18000.0</v>
      </c>
      <c r="Q5580" s="39"/>
      <c r="R5580" s="39"/>
      <c r="S5580" s="39"/>
      <c r="T5580" s="39"/>
      <c r="U5580" s="39"/>
    </row>
    <row r="5581">
      <c r="A5581" s="40">
        <f t="shared" si="1"/>
        <v>46006</v>
      </c>
      <c r="B5581" s="37" t="str">
        <f t="array" ref="B5581">iferror(xlookup($I5581, 'IMPORT VHC Report'!$E:$E, 'IMPORT VHC Report'!$A:$C), )</f>
        <v/>
      </c>
      <c r="C5581" s="37"/>
      <c r="D5581" s="37"/>
      <c r="E5581" s="38" t="s">
        <v>6650</v>
      </c>
      <c r="F5581" s="38" t="s">
        <v>6646</v>
      </c>
      <c r="G5581" s="38">
        <v>9.795905227023E12</v>
      </c>
      <c r="H5581" s="38" t="s">
        <v>94</v>
      </c>
      <c r="I5581" s="38" t="s">
        <v>95</v>
      </c>
      <c r="J5581" s="38" t="s">
        <v>134</v>
      </c>
      <c r="K5581" s="38" t="s">
        <v>126</v>
      </c>
      <c r="L5581" s="41">
        <v>46007.50208333333</v>
      </c>
      <c r="M5581" s="38" t="s">
        <v>123</v>
      </c>
      <c r="N5581" s="41">
        <v>46007.52291666667</v>
      </c>
      <c r="O5581" s="38" t="s">
        <v>123</v>
      </c>
      <c r="P5581" s="38">
        <v>1800.0</v>
      </c>
      <c r="Q5581" s="39"/>
      <c r="R5581" s="39"/>
      <c r="S5581" s="39"/>
      <c r="T5581" s="39"/>
      <c r="U5581" s="39"/>
    </row>
    <row r="5582">
      <c r="A5582" s="40">
        <f t="shared" si="1"/>
        <v>46006</v>
      </c>
      <c r="B5582" s="37" t="str">
        <f t="array" ref="B5582">iferror(xlookup($I5582, 'IMPORT VHC Report'!$E:$E, 'IMPORT VHC Report'!$A:$C), )</f>
        <v/>
      </c>
      <c r="C5582" s="37"/>
      <c r="D5582" s="37"/>
      <c r="E5582" s="38" t="s">
        <v>6651</v>
      </c>
      <c r="F5582" s="38" t="s">
        <v>6646</v>
      </c>
      <c r="G5582" s="38">
        <v>9.795905227023E12</v>
      </c>
      <c r="H5582" s="38" t="s">
        <v>94</v>
      </c>
      <c r="I5582" s="38" t="s">
        <v>95</v>
      </c>
      <c r="J5582" s="38" t="s">
        <v>132</v>
      </c>
      <c r="K5582" s="38" t="s">
        <v>126</v>
      </c>
      <c r="L5582" s="41">
        <v>46007.52291666667</v>
      </c>
      <c r="M5582" s="38" t="s">
        <v>123</v>
      </c>
      <c r="N5582" s="41">
        <v>46007.56458333333</v>
      </c>
      <c r="O5582" s="38" t="s">
        <v>123</v>
      </c>
      <c r="P5582" s="38">
        <v>3600.0</v>
      </c>
      <c r="Q5582" s="39"/>
      <c r="R5582" s="39"/>
      <c r="S5582" s="39"/>
      <c r="T5582" s="39"/>
      <c r="U5582" s="39"/>
    </row>
    <row r="5583">
      <c r="A5583" s="40">
        <f t="shared" si="1"/>
        <v>46006</v>
      </c>
      <c r="B5583" s="37" t="str">
        <f t="array" ref="B5583">iferror(xlookup($I5583, 'IMPORT VHC Report'!$E:$E, 'IMPORT VHC Report'!$A:$C), )</f>
        <v/>
      </c>
      <c r="C5583" s="37"/>
      <c r="D5583" s="37"/>
      <c r="E5583" s="38" t="s">
        <v>6652</v>
      </c>
      <c r="F5583" s="38" t="s">
        <v>6646</v>
      </c>
      <c r="G5583" s="38">
        <v>9.795905227023E12</v>
      </c>
      <c r="H5583" s="38" t="s">
        <v>94</v>
      </c>
      <c r="I5583" s="38" t="s">
        <v>95</v>
      </c>
      <c r="J5583" s="38" t="s">
        <v>791</v>
      </c>
      <c r="K5583" s="38" t="s">
        <v>63</v>
      </c>
      <c r="L5583" s="41">
        <v>46008.25</v>
      </c>
      <c r="M5583" s="38" t="s">
        <v>123</v>
      </c>
      <c r="N5583" s="41">
        <v>46008.625</v>
      </c>
      <c r="O5583" s="38" t="s">
        <v>123</v>
      </c>
      <c r="P5583" s="38">
        <v>32400.0</v>
      </c>
      <c r="Q5583" s="39"/>
      <c r="R5583" s="39"/>
      <c r="S5583" s="39"/>
      <c r="T5583" s="39"/>
      <c r="U5583" s="39"/>
    </row>
    <row r="5584">
      <c r="A5584" s="40">
        <f t="shared" si="1"/>
        <v>46006</v>
      </c>
      <c r="B5584" s="37" t="str">
        <f t="array" ref="B5584">iferror(xlookup($I5584, 'IMPORT VHC Report'!$E:$E, 'IMPORT VHC Report'!$A:$C), )</f>
        <v/>
      </c>
      <c r="C5584" s="37"/>
      <c r="D5584" s="37"/>
      <c r="E5584" s="38" t="s">
        <v>6653</v>
      </c>
      <c r="F5584" s="38" t="s">
        <v>6646</v>
      </c>
      <c r="G5584" s="38">
        <v>9.795905227023E12</v>
      </c>
      <c r="H5584" s="38" t="s">
        <v>94</v>
      </c>
      <c r="I5584" s="38" t="s">
        <v>95</v>
      </c>
      <c r="J5584" s="38" t="s">
        <v>134</v>
      </c>
      <c r="K5584" s="38" t="s">
        <v>126</v>
      </c>
      <c r="L5584" s="41">
        <v>46008.5625</v>
      </c>
      <c r="M5584" s="38" t="s">
        <v>123</v>
      </c>
      <c r="N5584" s="41">
        <v>46008.583333333336</v>
      </c>
      <c r="O5584" s="38" t="s">
        <v>123</v>
      </c>
      <c r="P5584" s="38">
        <v>1800.0</v>
      </c>
      <c r="Q5584" s="39"/>
      <c r="R5584" s="39"/>
      <c r="S5584" s="39"/>
      <c r="T5584" s="39"/>
      <c r="U5584" s="39"/>
    </row>
    <row r="5585">
      <c r="A5585" s="40">
        <f t="shared" si="1"/>
        <v>46006</v>
      </c>
      <c r="B5585" s="37" t="str">
        <f t="array" ref="B5585">iferror(xlookup($I5585, 'IMPORT VHC Report'!$E:$E, 'IMPORT VHC Report'!$A:$C), )</f>
        <v/>
      </c>
      <c r="C5585" s="37"/>
      <c r="D5585" s="37"/>
      <c r="E5585" s="38" t="s">
        <v>6654</v>
      </c>
      <c r="F5585" s="38" t="s">
        <v>6646</v>
      </c>
      <c r="G5585" s="38">
        <v>9.795905227023E12</v>
      </c>
      <c r="H5585" s="38" t="s">
        <v>94</v>
      </c>
      <c r="I5585" s="38" t="s">
        <v>95</v>
      </c>
      <c r="J5585" s="38" t="s">
        <v>132</v>
      </c>
      <c r="K5585" s="38" t="s">
        <v>126</v>
      </c>
      <c r="L5585" s="41">
        <v>46008.583333333336</v>
      </c>
      <c r="M5585" s="38" t="s">
        <v>123</v>
      </c>
      <c r="N5585" s="41">
        <v>46008.625</v>
      </c>
      <c r="O5585" s="38" t="s">
        <v>123</v>
      </c>
      <c r="P5585" s="38">
        <v>3600.0</v>
      </c>
      <c r="Q5585" s="39"/>
      <c r="R5585" s="39"/>
      <c r="S5585" s="39"/>
      <c r="T5585" s="39"/>
      <c r="U5585" s="39"/>
    </row>
    <row r="5586">
      <c r="A5586" s="40">
        <f t="shared" si="1"/>
        <v>46006</v>
      </c>
      <c r="B5586" s="37" t="str">
        <f t="array" ref="B5586">iferror(xlookup($I5586, 'IMPORT VHC Report'!$E:$E, 'IMPORT VHC Report'!$A:$C), )</f>
        <v/>
      </c>
      <c r="C5586" s="37"/>
      <c r="D5586" s="37"/>
      <c r="E5586" s="38" t="s">
        <v>6655</v>
      </c>
      <c r="F5586" s="38" t="s">
        <v>6646</v>
      </c>
      <c r="G5586" s="38">
        <v>9.795905227023E12</v>
      </c>
      <c r="H5586" s="38" t="s">
        <v>94</v>
      </c>
      <c r="I5586" s="38" t="s">
        <v>95</v>
      </c>
      <c r="J5586" s="38" t="s">
        <v>791</v>
      </c>
      <c r="K5586" s="38" t="s">
        <v>63</v>
      </c>
      <c r="L5586" s="41">
        <v>46009.25</v>
      </c>
      <c r="M5586" s="38" t="s">
        <v>123</v>
      </c>
      <c r="N5586" s="41">
        <v>46009.625</v>
      </c>
      <c r="O5586" s="38" t="s">
        <v>123</v>
      </c>
      <c r="P5586" s="38">
        <v>32400.0</v>
      </c>
      <c r="Q5586" s="39"/>
      <c r="R5586" s="39"/>
      <c r="S5586" s="39"/>
      <c r="T5586" s="39"/>
      <c r="U5586" s="39"/>
    </row>
    <row r="5587">
      <c r="A5587" s="40">
        <f t="shared" si="1"/>
        <v>46006</v>
      </c>
      <c r="B5587" s="37" t="str">
        <f t="array" ref="B5587">iferror(xlookup($I5587, 'IMPORT VHC Report'!$E:$E, 'IMPORT VHC Report'!$A:$C), )</f>
        <v/>
      </c>
      <c r="C5587" s="37"/>
      <c r="D5587" s="37"/>
      <c r="E5587" s="38" t="s">
        <v>6656</v>
      </c>
      <c r="F5587" s="38" t="s">
        <v>6646</v>
      </c>
      <c r="G5587" s="38">
        <v>9.795905227023E12</v>
      </c>
      <c r="H5587" s="38" t="s">
        <v>94</v>
      </c>
      <c r="I5587" s="38" t="s">
        <v>95</v>
      </c>
      <c r="J5587" s="38" t="s">
        <v>136</v>
      </c>
      <c r="K5587" s="38" t="s">
        <v>126</v>
      </c>
      <c r="L5587" s="41">
        <v>46009.375</v>
      </c>
      <c r="M5587" s="38" t="s">
        <v>123</v>
      </c>
      <c r="N5587" s="41">
        <v>46009.427083333336</v>
      </c>
      <c r="O5587" s="38" t="s">
        <v>123</v>
      </c>
      <c r="P5587" s="38">
        <v>4500.0</v>
      </c>
      <c r="Q5587" s="39"/>
      <c r="R5587" s="39"/>
      <c r="S5587" s="38" t="s">
        <v>6657</v>
      </c>
      <c r="T5587" s="39"/>
      <c r="U5587" s="39"/>
    </row>
    <row r="5588">
      <c r="A5588" s="40">
        <f t="shared" si="1"/>
        <v>46006</v>
      </c>
      <c r="B5588" s="37" t="str">
        <f t="array" ref="B5588">iferror(xlookup($I5588, 'IMPORT VHC Report'!$E:$E, 'IMPORT VHC Report'!$A:$C), )</f>
        <v/>
      </c>
      <c r="C5588" s="37"/>
      <c r="D5588" s="37"/>
      <c r="E5588" s="38" t="s">
        <v>6658</v>
      </c>
      <c r="F5588" s="38" t="s">
        <v>6646</v>
      </c>
      <c r="G5588" s="38">
        <v>9.795905227023E12</v>
      </c>
      <c r="H5588" s="38" t="s">
        <v>94</v>
      </c>
      <c r="I5588" s="38" t="s">
        <v>95</v>
      </c>
      <c r="J5588" s="38" t="s">
        <v>136</v>
      </c>
      <c r="K5588" s="38" t="s">
        <v>126</v>
      </c>
      <c r="L5588" s="41">
        <v>46009.458333333336</v>
      </c>
      <c r="M5588" s="38" t="s">
        <v>123</v>
      </c>
      <c r="N5588" s="41">
        <v>46009.50833333333</v>
      </c>
      <c r="O5588" s="38" t="s">
        <v>123</v>
      </c>
      <c r="P5588" s="38">
        <v>4320.0</v>
      </c>
      <c r="Q5588" s="39"/>
      <c r="R5588" s="39"/>
      <c r="S5588" s="38" t="s">
        <v>2732</v>
      </c>
      <c r="T5588" s="39"/>
      <c r="U5588" s="39"/>
    </row>
    <row r="5589">
      <c r="A5589" s="40">
        <f t="shared" si="1"/>
        <v>46006</v>
      </c>
      <c r="B5589" s="37" t="str">
        <f t="array" ref="B5589">iferror(xlookup($I5589, 'IMPORT VHC Report'!$E:$E, 'IMPORT VHC Report'!$A:$C), )</f>
        <v/>
      </c>
      <c r="C5589" s="37"/>
      <c r="D5589" s="37"/>
      <c r="E5589" s="38" t="s">
        <v>6659</v>
      </c>
      <c r="F5589" s="38" t="s">
        <v>6646</v>
      </c>
      <c r="G5589" s="38">
        <v>9.795905227023E12</v>
      </c>
      <c r="H5589" s="38" t="s">
        <v>94</v>
      </c>
      <c r="I5589" s="38" t="s">
        <v>95</v>
      </c>
      <c r="J5589" s="38" t="s">
        <v>134</v>
      </c>
      <c r="K5589" s="38" t="s">
        <v>126</v>
      </c>
      <c r="L5589" s="41">
        <v>46009.5625</v>
      </c>
      <c r="M5589" s="38" t="s">
        <v>123</v>
      </c>
      <c r="N5589" s="41">
        <v>46009.583333333336</v>
      </c>
      <c r="O5589" s="38" t="s">
        <v>123</v>
      </c>
      <c r="P5589" s="38">
        <v>1800.0</v>
      </c>
      <c r="Q5589" s="39"/>
      <c r="R5589" s="39"/>
      <c r="S5589" s="39"/>
      <c r="T5589" s="39"/>
      <c r="U5589" s="39"/>
    </row>
    <row r="5590">
      <c r="A5590" s="40">
        <f t="shared" si="1"/>
        <v>46006</v>
      </c>
      <c r="B5590" s="37" t="str">
        <f t="array" ref="B5590">iferror(xlookup($I5590, 'IMPORT VHC Report'!$E:$E, 'IMPORT VHC Report'!$A:$C), )</f>
        <v/>
      </c>
      <c r="C5590" s="37"/>
      <c r="D5590" s="37"/>
      <c r="E5590" s="38" t="s">
        <v>6660</v>
      </c>
      <c r="F5590" s="38" t="s">
        <v>6646</v>
      </c>
      <c r="G5590" s="38">
        <v>9.795905227023E12</v>
      </c>
      <c r="H5590" s="38" t="s">
        <v>94</v>
      </c>
      <c r="I5590" s="38" t="s">
        <v>95</v>
      </c>
      <c r="J5590" s="38" t="s">
        <v>132</v>
      </c>
      <c r="K5590" s="38" t="s">
        <v>126</v>
      </c>
      <c r="L5590" s="41">
        <v>46009.583333333336</v>
      </c>
      <c r="M5590" s="38" t="s">
        <v>123</v>
      </c>
      <c r="N5590" s="41">
        <v>46009.625</v>
      </c>
      <c r="O5590" s="38" t="s">
        <v>123</v>
      </c>
      <c r="P5590" s="38">
        <v>3600.0</v>
      </c>
      <c r="Q5590" s="39"/>
      <c r="R5590" s="39"/>
      <c r="S5590" s="39"/>
      <c r="T5590" s="39"/>
      <c r="U5590" s="39"/>
    </row>
    <row r="5591">
      <c r="A5591" s="40">
        <f t="shared" si="1"/>
        <v>46006</v>
      </c>
      <c r="B5591" s="37" t="str">
        <f t="array" ref="B5591">iferror(xlookup($I5591, 'IMPORT VHC Report'!$E:$E, 'IMPORT VHC Report'!$A:$C), )</f>
        <v/>
      </c>
      <c r="C5591" s="37"/>
      <c r="D5591" s="37"/>
      <c r="E5591" s="38" t="s">
        <v>6661</v>
      </c>
      <c r="F5591" s="38" t="s">
        <v>6646</v>
      </c>
      <c r="G5591" s="38">
        <v>9.795905227023E12</v>
      </c>
      <c r="H5591" s="38" t="s">
        <v>94</v>
      </c>
      <c r="I5591" s="38" t="s">
        <v>95</v>
      </c>
      <c r="J5591" s="38" t="s">
        <v>152</v>
      </c>
      <c r="K5591" s="38" t="s">
        <v>153</v>
      </c>
      <c r="L5591" s="41">
        <v>46010.25</v>
      </c>
      <c r="M5591" s="38" t="s">
        <v>123</v>
      </c>
      <c r="N5591" s="41">
        <v>46010.625</v>
      </c>
      <c r="O5591" s="38" t="s">
        <v>123</v>
      </c>
      <c r="P5591" s="38">
        <v>32400.0</v>
      </c>
      <c r="Q5591" s="38">
        <v>32400.0</v>
      </c>
      <c r="R5591" s="39"/>
      <c r="S5591" s="39"/>
      <c r="T5591" s="39"/>
      <c r="U5591" s="39"/>
    </row>
    <row r="5592">
      <c r="A5592" s="40">
        <f t="shared" si="1"/>
        <v>46006</v>
      </c>
      <c r="B5592" s="37" t="str">
        <f t="array" ref="B5592">iferror(xlookup($I5592, 'IMPORT VHC Report'!$E:$E, 'IMPORT VHC Report'!$A:$C), )</f>
        <v/>
      </c>
      <c r="C5592" s="37"/>
      <c r="D5592" s="37"/>
      <c r="E5592" s="38" t="s">
        <v>6662</v>
      </c>
      <c r="F5592" s="38" t="s">
        <v>6646</v>
      </c>
      <c r="G5592" s="38">
        <v>9.795905227023E12</v>
      </c>
      <c r="H5592" s="38" t="s">
        <v>94</v>
      </c>
      <c r="I5592" s="38" t="s">
        <v>95</v>
      </c>
      <c r="J5592" s="38" t="s">
        <v>791</v>
      </c>
      <c r="K5592" s="38" t="s">
        <v>63</v>
      </c>
      <c r="L5592" s="41">
        <v>46010.25</v>
      </c>
      <c r="M5592" s="38" t="s">
        <v>123</v>
      </c>
      <c r="N5592" s="41">
        <v>46010.625</v>
      </c>
      <c r="O5592" s="38" t="s">
        <v>123</v>
      </c>
      <c r="P5592" s="38">
        <v>32400.0</v>
      </c>
      <c r="Q5592" s="39"/>
      <c r="R5592" s="39"/>
      <c r="S5592" s="39"/>
      <c r="T5592" s="39"/>
      <c r="U5592" s="39"/>
    </row>
    <row r="5593">
      <c r="A5593" s="40">
        <f t="shared" si="1"/>
        <v>46006</v>
      </c>
      <c r="B5593" s="37" t="str">
        <f t="array" ref="B5593">iferror(xlookup($I5593, 'IMPORT VHC Report'!$E:$E, 'IMPORT VHC Report'!$A:$C), )</f>
        <v/>
      </c>
      <c r="C5593" s="37"/>
      <c r="D5593" s="37"/>
      <c r="E5593" s="38" t="s">
        <v>6663</v>
      </c>
      <c r="F5593" s="38" t="s">
        <v>6646</v>
      </c>
      <c r="G5593" s="38">
        <v>9.795905227023E12</v>
      </c>
      <c r="H5593" s="38" t="s">
        <v>94</v>
      </c>
      <c r="I5593" s="38" t="s">
        <v>95</v>
      </c>
      <c r="J5593" s="38" t="s">
        <v>134</v>
      </c>
      <c r="K5593" s="38" t="s">
        <v>126</v>
      </c>
      <c r="L5593" s="41">
        <v>46010.5625</v>
      </c>
      <c r="M5593" s="38" t="s">
        <v>123</v>
      </c>
      <c r="N5593" s="41">
        <v>46010.583333333336</v>
      </c>
      <c r="O5593" s="38" t="s">
        <v>123</v>
      </c>
      <c r="P5593" s="38">
        <v>1800.0</v>
      </c>
      <c r="Q5593" s="39"/>
      <c r="R5593" s="39"/>
      <c r="S5593" s="39"/>
      <c r="T5593" s="39"/>
      <c r="U5593" s="39"/>
    </row>
    <row r="5594">
      <c r="A5594" s="40">
        <f t="shared" si="1"/>
        <v>46006</v>
      </c>
      <c r="B5594" s="37" t="str">
        <f t="array" ref="B5594">iferror(xlookup($I5594, 'IMPORT VHC Report'!$E:$E, 'IMPORT VHC Report'!$A:$C), )</f>
        <v/>
      </c>
      <c r="C5594" s="37"/>
      <c r="D5594" s="37"/>
      <c r="E5594" s="38" t="s">
        <v>6664</v>
      </c>
      <c r="F5594" s="38" t="s">
        <v>6646</v>
      </c>
      <c r="G5594" s="38">
        <v>9.795905227023E12</v>
      </c>
      <c r="H5594" s="38" t="s">
        <v>94</v>
      </c>
      <c r="I5594" s="38" t="s">
        <v>95</v>
      </c>
      <c r="J5594" s="38" t="s">
        <v>132</v>
      </c>
      <c r="K5594" s="38" t="s">
        <v>126</v>
      </c>
      <c r="L5594" s="41">
        <v>46010.583333333336</v>
      </c>
      <c r="M5594" s="38" t="s">
        <v>123</v>
      </c>
      <c r="N5594" s="41">
        <v>46010.625</v>
      </c>
      <c r="O5594" s="38" t="s">
        <v>123</v>
      </c>
      <c r="P5594" s="38">
        <v>3600.0</v>
      </c>
      <c r="Q5594" s="39"/>
      <c r="R5594" s="39"/>
      <c r="S5594" s="39"/>
      <c r="T5594" s="39"/>
      <c r="U5594" s="39"/>
    </row>
    <row r="5595">
      <c r="A5595" s="40">
        <f t="shared" si="1"/>
        <v>46006</v>
      </c>
      <c r="B5595" s="37" t="str">
        <f t="array" ref="B5595">iferror(xlookup($I5595, 'IMPORT VHC Report'!$E:$E, 'IMPORT VHC Report'!$A:$C), )</f>
        <v/>
      </c>
      <c r="C5595" s="37"/>
      <c r="D5595" s="37"/>
      <c r="E5595" s="38" t="s">
        <v>6665</v>
      </c>
      <c r="F5595" s="38" t="s">
        <v>6646</v>
      </c>
      <c r="G5595" s="38">
        <v>9.795905227023E12</v>
      </c>
      <c r="H5595" s="38" t="s">
        <v>94</v>
      </c>
      <c r="I5595" s="38" t="s">
        <v>95</v>
      </c>
      <c r="J5595" s="38" t="s">
        <v>791</v>
      </c>
      <c r="K5595" s="38" t="s">
        <v>63</v>
      </c>
      <c r="L5595" s="41">
        <v>46011.25</v>
      </c>
      <c r="M5595" s="38" t="s">
        <v>123</v>
      </c>
      <c r="N5595" s="41">
        <v>46011.625</v>
      </c>
      <c r="O5595" s="38" t="s">
        <v>123</v>
      </c>
      <c r="P5595" s="38">
        <v>32400.0</v>
      </c>
      <c r="Q5595" s="39"/>
      <c r="R5595" s="39"/>
      <c r="S5595" s="39"/>
      <c r="T5595" s="39"/>
      <c r="U5595" s="39"/>
    </row>
    <row r="5596">
      <c r="A5596" s="40">
        <f t="shared" si="1"/>
        <v>46006</v>
      </c>
      <c r="B5596" s="37" t="str">
        <f t="array" ref="B5596">iferror(xlookup($I5596, 'IMPORT VHC Report'!$E:$E, 'IMPORT VHC Report'!$A:$C), )</f>
        <v/>
      </c>
      <c r="C5596" s="37"/>
      <c r="D5596" s="37"/>
      <c r="E5596" s="38" t="s">
        <v>6666</v>
      </c>
      <c r="F5596" s="38" t="s">
        <v>6646</v>
      </c>
      <c r="G5596" s="38">
        <v>9.795905227023E12</v>
      </c>
      <c r="H5596" s="38" t="s">
        <v>94</v>
      </c>
      <c r="I5596" s="38" t="s">
        <v>95</v>
      </c>
      <c r="J5596" s="38" t="s">
        <v>134</v>
      </c>
      <c r="K5596" s="38" t="s">
        <v>126</v>
      </c>
      <c r="L5596" s="41">
        <v>46011.5625</v>
      </c>
      <c r="M5596" s="38" t="s">
        <v>123</v>
      </c>
      <c r="N5596" s="41">
        <v>46011.583333333336</v>
      </c>
      <c r="O5596" s="38" t="s">
        <v>123</v>
      </c>
      <c r="P5596" s="38">
        <v>1800.0</v>
      </c>
      <c r="Q5596" s="39"/>
      <c r="R5596" s="39"/>
      <c r="S5596" s="39"/>
      <c r="T5596" s="39"/>
      <c r="U5596" s="39"/>
    </row>
    <row r="5597">
      <c r="A5597" s="40">
        <f t="shared" si="1"/>
        <v>46006</v>
      </c>
      <c r="B5597" s="37" t="str">
        <f t="array" ref="B5597">iferror(xlookup($I5597, 'IMPORT VHC Report'!$E:$E, 'IMPORT VHC Report'!$A:$C), )</f>
        <v/>
      </c>
      <c r="C5597" s="37"/>
      <c r="D5597" s="37"/>
      <c r="E5597" s="38" t="s">
        <v>6667</v>
      </c>
      <c r="F5597" s="38" t="s">
        <v>6646</v>
      </c>
      <c r="G5597" s="38">
        <v>9.795905227023E12</v>
      </c>
      <c r="H5597" s="38" t="s">
        <v>94</v>
      </c>
      <c r="I5597" s="38" t="s">
        <v>95</v>
      </c>
      <c r="J5597" s="38" t="s">
        <v>132</v>
      </c>
      <c r="K5597" s="38" t="s">
        <v>126</v>
      </c>
      <c r="L5597" s="41">
        <v>46011.583333333336</v>
      </c>
      <c r="M5597" s="38" t="s">
        <v>123</v>
      </c>
      <c r="N5597" s="41">
        <v>46011.625</v>
      </c>
      <c r="O5597" s="38" t="s">
        <v>123</v>
      </c>
      <c r="P5597" s="38">
        <v>3600.0</v>
      </c>
      <c r="Q5597" s="39"/>
      <c r="R5597" s="39"/>
      <c r="S5597" s="39"/>
      <c r="T5597" s="39"/>
      <c r="U5597" s="39"/>
    </row>
    <row r="5598">
      <c r="A5598" s="40">
        <f t="shared" si="1"/>
        <v>46006</v>
      </c>
      <c r="B5598" s="37" t="str">
        <f t="array" ref="B5598">iferror(xlookup($I5598, 'IMPORT VHC Report'!$E:$E, 'IMPORT VHC Report'!$A:$C), )</f>
        <v/>
      </c>
      <c r="C5598" s="37"/>
      <c r="D5598" s="37"/>
      <c r="E5598" s="38" t="s">
        <v>6668</v>
      </c>
      <c r="F5598" s="38" t="s">
        <v>6669</v>
      </c>
      <c r="G5598" s="38">
        <v>5.359149433359E12</v>
      </c>
      <c r="H5598" s="38" t="s">
        <v>72</v>
      </c>
      <c r="I5598" s="38" t="s">
        <v>73</v>
      </c>
      <c r="J5598" s="38" t="s">
        <v>152</v>
      </c>
      <c r="K5598" s="38" t="s">
        <v>153</v>
      </c>
      <c r="L5598" s="41">
        <v>46007.25</v>
      </c>
      <c r="M5598" s="38" t="s">
        <v>123</v>
      </c>
      <c r="N5598" s="41">
        <v>46007.625</v>
      </c>
      <c r="O5598" s="38" t="s">
        <v>123</v>
      </c>
      <c r="P5598" s="38">
        <v>32400.0</v>
      </c>
      <c r="Q5598" s="38">
        <v>32400.0</v>
      </c>
      <c r="R5598" s="38" t="s">
        <v>421</v>
      </c>
      <c r="S5598" s="38" t="s">
        <v>421</v>
      </c>
      <c r="T5598" s="39"/>
      <c r="U5598" s="39"/>
    </row>
    <row r="5599">
      <c r="A5599" s="40">
        <f t="shared" si="1"/>
        <v>46006</v>
      </c>
      <c r="B5599" s="37" t="str">
        <f t="array" ref="B5599">iferror(xlookup($I5599, 'IMPORT VHC Report'!$E:$E, 'IMPORT VHC Report'!$A:$C), )</f>
        <v/>
      </c>
      <c r="C5599" s="37"/>
      <c r="D5599" s="37"/>
      <c r="E5599" s="38" t="s">
        <v>6670</v>
      </c>
      <c r="F5599" s="38" t="s">
        <v>6669</v>
      </c>
      <c r="G5599" s="38">
        <v>5.359149433359E12</v>
      </c>
      <c r="H5599" s="38" t="s">
        <v>72</v>
      </c>
      <c r="I5599" s="38" t="s">
        <v>73</v>
      </c>
      <c r="J5599" s="38" t="s">
        <v>791</v>
      </c>
      <c r="K5599" s="38" t="s">
        <v>63</v>
      </c>
      <c r="L5599" s="41">
        <v>46007.25</v>
      </c>
      <c r="M5599" s="38" t="s">
        <v>123</v>
      </c>
      <c r="N5599" s="41">
        <v>46007.625</v>
      </c>
      <c r="O5599" s="38" t="s">
        <v>123</v>
      </c>
      <c r="P5599" s="38">
        <v>32400.0</v>
      </c>
      <c r="Q5599" s="39"/>
      <c r="R5599" s="39"/>
      <c r="S5599" s="39"/>
      <c r="T5599" s="39"/>
      <c r="U5599" s="39"/>
    </row>
    <row r="5600">
      <c r="A5600" s="40">
        <f t="shared" si="1"/>
        <v>46006</v>
      </c>
      <c r="B5600" s="37" t="str">
        <f t="array" ref="B5600">iferror(xlookup($I5600, 'IMPORT VHC Report'!$E:$E, 'IMPORT VHC Report'!$A:$C), )</f>
        <v/>
      </c>
      <c r="C5600" s="37"/>
      <c r="D5600" s="37"/>
      <c r="E5600" s="38" t="s">
        <v>6671</v>
      </c>
      <c r="F5600" s="38" t="s">
        <v>6669</v>
      </c>
      <c r="G5600" s="38">
        <v>5.359149433359E12</v>
      </c>
      <c r="H5600" s="38" t="s">
        <v>72</v>
      </c>
      <c r="I5600" s="38" t="s">
        <v>73</v>
      </c>
      <c r="J5600" s="38" t="s">
        <v>132</v>
      </c>
      <c r="K5600" s="38" t="s">
        <v>126</v>
      </c>
      <c r="L5600" s="41">
        <v>46007.5</v>
      </c>
      <c r="M5600" s="38" t="s">
        <v>123</v>
      </c>
      <c r="N5600" s="41">
        <v>46007.541666666664</v>
      </c>
      <c r="O5600" s="38" t="s">
        <v>123</v>
      </c>
      <c r="P5600" s="38">
        <v>3600.0</v>
      </c>
      <c r="Q5600" s="39"/>
      <c r="R5600" s="39"/>
      <c r="S5600" s="39"/>
      <c r="T5600" s="39"/>
      <c r="U5600" s="39"/>
    </row>
    <row r="5601">
      <c r="A5601" s="40">
        <f t="shared" si="1"/>
        <v>46006</v>
      </c>
      <c r="B5601" s="37" t="str">
        <f t="array" ref="B5601">iferror(xlookup($I5601, 'IMPORT VHC Report'!$E:$E, 'IMPORT VHC Report'!$A:$C), )</f>
        <v/>
      </c>
      <c r="C5601" s="37"/>
      <c r="D5601" s="37"/>
      <c r="E5601" s="38" t="s">
        <v>6672</v>
      </c>
      <c r="F5601" s="38" t="s">
        <v>6669</v>
      </c>
      <c r="G5601" s="38">
        <v>5.359149433359E12</v>
      </c>
      <c r="H5601" s="38" t="s">
        <v>72</v>
      </c>
      <c r="I5601" s="38" t="s">
        <v>73</v>
      </c>
      <c r="J5601" s="38" t="s">
        <v>134</v>
      </c>
      <c r="K5601" s="38" t="s">
        <v>126</v>
      </c>
      <c r="L5601" s="41">
        <v>46007.541666666664</v>
      </c>
      <c r="M5601" s="38" t="s">
        <v>123</v>
      </c>
      <c r="N5601" s="41">
        <v>46007.5625</v>
      </c>
      <c r="O5601" s="38" t="s">
        <v>123</v>
      </c>
      <c r="P5601" s="38">
        <v>1800.0</v>
      </c>
      <c r="Q5601" s="39"/>
      <c r="R5601" s="39"/>
      <c r="S5601" s="39"/>
      <c r="T5601" s="39"/>
      <c r="U5601" s="39"/>
    </row>
    <row r="5602">
      <c r="A5602" s="40">
        <f t="shared" si="1"/>
        <v>46006</v>
      </c>
      <c r="B5602" s="37" t="str">
        <f t="array" ref="B5602">iferror(xlookup($I5602, 'IMPORT VHC Report'!$E:$E, 'IMPORT VHC Report'!$A:$C), )</f>
        <v/>
      </c>
      <c r="C5602" s="37"/>
      <c r="D5602" s="37"/>
      <c r="E5602" s="38" t="s">
        <v>6673</v>
      </c>
      <c r="F5602" s="38" t="s">
        <v>6669</v>
      </c>
      <c r="G5602" s="38">
        <v>5.359149433359E12</v>
      </c>
      <c r="H5602" s="38" t="s">
        <v>72</v>
      </c>
      <c r="I5602" s="38" t="s">
        <v>73</v>
      </c>
      <c r="J5602" s="38" t="s">
        <v>62</v>
      </c>
      <c r="K5602" s="38" t="s">
        <v>63</v>
      </c>
      <c r="L5602" s="41">
        <v>46008.25</v>
      </c>
      <c r="M5602" s="38" t="s">
        <v>123</v>
      </c>
      <c r="N5602" s="41">
        <v>46008.458333333336</v>
      </c>
      <c r="O5602" s="38" t="s">
        <v>123</v>
      </c>
      <c r="P5602" s="38">
        <v>18000.0</v>
      </c>
      <c r="Q5602" s="39"/>
      <c r="R5602" s="39"/>
      <c r="S5602" s="39"/>
      <c r="T5602" s="39"/>
      <c r="U5602" s="39"/>
    </row>
    <row r="5603">
      <c r="A5603" s="40">
        <f t="shared" si="1"/>
        <v>46006</v>
      </c>
      <c r="B5603" s="37" t="str">
        <f t="array" ref="B5603">iferror(xlookup($I5603, 'IMPORT VHC Report'!$E:$E, 'IMPORT VHC Report'!$A:$C), )</f>
        <v/>
      </c>
      <c r="C5603" s="37"/>
      <c r="D5603" s="37"/>
      <c r="E5603" s="38" t="s">
        <v>6674</v>
      </c>
      <c r="F5603" s="38" t="s">
        <v>6669</v>
      </c>
      <c r="G5603" s="38">
        <v>5.359149433359E12</v>
      </c>
      <c r="H5603" s="38" t="s">
        <v>72</v>
      </c>
      <c r="I5603" s="38" t="s">
        <v>73</v>
      </c>
      <c r="J5603" s="38" t="s">
        <v>330</v>
      </c>
      <c r="K5603" s="38" t="s">
        <v>126</v>
      </c>
      <c r="L5603" s="41">
        <v>46008.375</v>
      </c>
      <c r="M5603" s="38" t="s">
        <v>123</v>
      </c>
      <c r="N5603" s="41">
        <v>46008.416666666664</v>
      </c>
      <c r="O5603" s="38" t="s">
        <v>123</v>
      </c>
      <c r="P5603" s="38">
        <v>3600.0</v>
      </c>
      <c r="Q5603" s="39"/>
      <c r="R5603" s="39"/>
      <c r="S5603" s="39"/>
      <c r="T5603" s="39"/>
      <c r="U5603" s="39"/>
    </row>
    <row r="5604">
      <c r="A5604" s="40">
        <f t="shared" si="1"/>
        <v>46006</v>
      </c>
      <c r="B5604" s="37" t="str">
        <f t="array" ref="B5604">iferror(xlookup($I5604, 'IMPORT VHC Report'!$E:$E, 'IMPORT VHC Report'!$A:$C), )</f>
        <v/>
      </c>
      <c r="C5604" s="37"/>
      <c r="D5604" s="37"/>
      <c r="E5604" s="38" t="s">
        <v>6675</v>
      </c>
      <c r="F5604" s="38" t="s">
        <v>6669</v>
      </c>
      <c r="G5604" s="38">
        <v>5.359149433359E12</v>
      </c>
      <c r="H5604" s="38" t="s">
        <v>72</v>
      </c>
      <c r="I5604" s="38" t="s">
        <v>73</v>
      </c>
      <c r="J5604" s="38" t="s">
        <v>791</v>
      </c>
      <c r="K5604" s="38" t="s">
        <v>63</v>
      </c>
      <c r="L5604" s="41">
        <v>46008.458333333336</v>
      </c>
      <c r="M5604" s="38" t="s">
        <v>123</v>
      </c>
      <c r="N5604" s="41">
        <v>46008.5625</v>
      </c>
      <c r="O5604" s="38" t="s">
        <v>123</v>
      </c>
      <c r="P5604" s="38">
        <v>9000.0</v>
      </c>
      <c r="Q5604" s="39"/>
      <c r="R5604" s="39"/>
      <c r="S5604" s="39"/>
      <c r="T5604" s="39"/>
      <c r="U5604" s="39"/>
    </row>
    <row r="5605">
      <c r="A5605" s="40">
        <f t="shared" si="1"/>
        <v>46006</v>
      </c>
      <c r="B5605" s="37" t="str">
        <f t="array" ref="B5605">iferror(xlookup($I5605, 'IMPORT VHC Report'!$E:$E, 'IMPORT VHC Report'!$A:$C), )</f>
        <v/>
      </c>
      <c r="C5605" s="37"/>
      <c r="D5605" s="37"/>
      <c r="E5605" s="38" t="s">
        <v>6676</v>
      </c>
      <c r="F5605" s="38" t="s">
        <v>6669</v>
      </c>
      <c r="G5605" s="38">
        <v>5.359149433359E12</v>
      </c>
      <c r="H5605" s="38" t="s">
        <v>72</v>
      </c>
      <c r="I5605" s="38" t="s">
        <v>73</v>
      </c>
      <c r="J5605" s="38" t="s">
        <v>132</v>
      </c>
      <c r="K5605" s="38" t="s">
        <v>126</v>
      </c>
      <c r="L5605" s="41">
        <v>46008.5625</v>
      </c>
      <c r="M5605" s="38" t="s">
        <v>123</v>
      </c>
      <c r="N5605" s="41">
        <v>46008.604166666664</v>
      </c>
      <c r="O5605" s="38" t="s">
        <v>123</v>
      </c>
      <c r="P5605" s="38">
        <v>3600.0</v>
      </c>
      <c r="Q5605" s="39"/>
      <c r="R5605" s="39"/>
      <c r="S5605" s="39"/>
      <c r="T5605" s="39"/>
      <c r="U5605" s="39"/>
    </row>
    <row r="5606">
      <c r="A5606" s="40">
        <f t="shared" si="1"/>
        <v>46006</v>
      </c>
      <c r="B5606" s="37" t="str">
        <f t="array" ref="B5606">iferror(xlookup($I5606, 'IMPORT VHC Report'!$E:$E, 'IMPORT VHC Report'!$A:$C), )</f>
        <v/>
      </c>
      <c r="C5606" s="37"/>
      <c r="D5606" s="37"/>
      <c r="E5606" s="38" t="s">
        <v>6677</v>
      </c>
      <c r="F5606" s="38" t="s">
        <v>6669</v>
      </c>
      <c r="G5606" s="38">
        <v>5.359149433359E12</v>
      </c>
      <c r="H5606" s="38" t="s">
        <v>72</v>
      </c>
      <c r="I5606" s="38" t="s">
        <v>73</v>
      </c>
      <c r="J5606" s="38" t="s">
        <v>134</v>
      </c>
      <c r="K5606" s="38" t="s">
        <v>126</v>
      </c>
      <c r="L5606" s="41">
        <v>46008.604166666664</v>
      </c>
      <c r="M5606" s="38" t="s">
        <v>123</v>
      </c>
      <c r="N5606" s="41">
        <v>46008.625</v>
      </c>
      <c r="O5606" s="38" t="s">
        <v>123</v>
      </c>
      <c r="P5606" s="38">
        <v>1800.0</v>
      </c>
      <c r="Q5606" s="39"/>
      <c r="R5606" s="39"/>
      <c r="S5606" s="39"/>
      <c r="T5606" s="39"/>
      <c r="U5606" s="39"/>
    </row>
    <row r="5607">
      <c r="A5607" s="40">
        <f t="shared" si="1"/>
        <v>46006</v>
      </c>
      <c r="B5607" s="37" t="str">
        <f t="array" ref="B5607">iferror(xlookup($I5607, 'IMPORT VHC Report'!$E:$E, 'IMPORT VHC Report'!$A:$C), )</f>
        <v/>
      </c>
      <c r="C5607" s="37"/>
      <c r="D5607" s="37"/>
      <c r="E5607" s="38" t="s">
        <v>6678</v>
      </c>
      <c r="F5607" s="38" t="s">
        <v>6669</v>
      </c>
      <c r="G5607" s="38">
        <v>5.359149433359E12</v>
      </c>
      <c r="H5607" s="38" t="s">
        <v>72</v>
      </c>
      <c r="I5607" s="38" t="s">
        <v>73</v>
      </c>
      <c r="J5607" s="38" t="s">
        <v>178</v>
      </c>
      <c r="K5607" s="38" t="s">
        <v>153</v>
      </c>
      <c r="L5607" s="41">
        <v>46009.25</v>
      </c>
      <c r="M5607" s="38" t="s">
        <v>123</v>
      </c>
      <c r="N5607" s="41">
        <v>46009.625</v>
      </c>
      <c r="O5607" s="38" t="s">
        <v>123</v>
      </c>
      <c r="P5607" s="38">
        <v>32400.0</v>
      </c>
      <c r="Q5607" s="38">
        <v>28800.0</v>
      </c>
      <c r="R5607" s="38" t="s">
        <v>6679</v>
      </c>
      <c r="S5607" s="39"/>
      <c r="T5607" s="39"/>
      <c r="U5607" s="39"/>
    </row>
    <row r="5608">
      <c r="A5608" s="40">
        <f t="shared" si="1"/>
        <v>46006</v>
      </c>
      <c r="B5608" s="37" t="str">
        <f t="array" ref="B5608">iferror(xlookup($I5608, 'IMPORT VHC Report'!$E:$E, 'IMPORT VHC Report'!$A:$C), )</f>
        <v/>
      </c>
      <c r="C5608" s="37"/>
      <c r="D5608" s="37"/>
      <c r="E5608" s="38" t="s">
        <v>6680</v>
      </c>
      <c r="F5608" s="38" t="s">
        <v>6669</v>
      </c>
      <c r="G5608" s="38">
        <v>5.359149433359E12</v>
      </c>
      <c r="H5608" s="38" t="s">
        <v>72</v>
      </c>
      <c r="I5608" s="38" t="s">
        <v>73</v>
      </c>
      <c r="J5608" s="38" t="s">
        <v>791</v>
      </c>
      <c r="K5608" s="38" t="s">
        <v>63</v>
      </c>
      <c r="L5608" s="41">
        <v>46009.25</v>
      </c>
      <c r="M5608" s="38" t="s">
        <v>123</v>
      </c>
      <c r="N5608" s="41">
        <v>46009.625</v>
      </c>
      <c r="O5608" s="38" t="s">
        <v>123</v>
      </c>
      <c r="P5608" s="38">
        <v>32400.0</v>
      </c>
      <c r="Q5608" s="39"/>
      <c r="R5608" s="39"/>
      <c r="S5608" s="39"/>
      <c r="T5608" s="39"/>
      <c r="U5608" s="39"/>
    </row>
    <row r="5609">
      <c r="A5609" s="40">
        <f t="shared" si="1"/>
        <v>46006</v>
      </c>
      <c r="B5609" s="37" t="str">
        <f t="array" ref="B5609">iferror(xlookup($I5609, 'IMPORT VHC Report'!$E:$E, 'IMPORT VHC Report'!$A:$C), )</f>
        <v/>
      </c>
      <c r="C5609" s="37"/>
      <c r="D5609" s="37"/>
      <c r="E5609" s="38" t="s">
        <v>6681</v>
      </c>
      <c r="F5609" s="38" t="s">
        <v>6669</v>
      </c>
      <c r="G5609" s="38">
        <v>5.359149433359E12</v>
      </c>
      <c r="H5609" s="38" t="s">
        <v>72</v>
      </c>
      <c r="I5609" s="38" t="s">
        <v>73</v>
      </c>
      <c r="J5609" s="38" t="s">
        <v>136</v>
      </c>
      <c r="K5609" s="38" t="s">
        <v>126</v>
      </c>
      <c r="L5609" s="41">
        <v>46009.458333333336</v>
      </c>
      <c r="M5609" s="38" t="s">
        <v>123</v>
      </c>
      <c r="N5609" s="41">
        <v>46009.50833333333</v>
      </c>
      <c r="O5609" s="38" t="s">
        <v>123</v>
      </c>
      <c r="P5609" s="38">
        <v>4320.0</v>
      </c>
      <c r="Q5609" s="39"/>
      <c r="R5609" s="39"/>
      <c r="S5609" s="38" t="s">
        <v>2732</v>
      </c>
      <c r="T5609" s="39"/>
      <c r="U5609" s="39"/>
    </row>
    <row r="5610">
      <c r="A5610" s="40">
        <f t="shared" si="1"/>
        <v>46006</v>
      </c>
      <c r="B5610" s="37" t="str">
        <f t="array" ref="B5610">iferror(xlookup($I5610, 'IMPORT VHC Report'!$E:$E, 'IMPORT VHC Report'!$A:$C), )</f>
        <v/>
      </c>
      <c r="C5610" s="37"/>
      <c r="D5610" s="37"/>
      <c r="E5610" s="38" t="s">
        <v>6682</v>
      </c>
      <c r="F5610" s="38" t="s">
        <v>6669</v>
      </c>
      <c r="G5610" s="38">
        <v>5.359149433359E12</v>
      </c>
      <c r="H5610" s="38" t="s">
        <v>72</v>
      </c>
      <c r="I5610" s="38" t="s">
        <v>73</v>
      </c>
      <c r="J5610" s="38" t="s">
        <v>134</v>
      </c>
      <c r="K5610" s="38" t="s">
        <v>126</v>
      </c>
      <c r="L5610" s="41">
        <v>46009.5625</v>
      </c>
      <c r="M5610" s="38" t="s">
        <v>123</v>
      </c>
      <c r="N5610" s="41">
        <v>46009.583333333336</v>
      </c>
      <c r="O5610" s="38" t="s">
        <v>123</v>
      </c>
      <c r="P5610" s="38">
        <v>1800.0</v>
      </c>
      <c r="Q5610" s="39"/>
      <c r="R5610" s="39"/>
      <c r="S5610" s="39"/>
      <c r="T5610" s="39"/>
      <c r="U5610" s="39"/>
    </row>
    <row r="5611">
      <c r="A5611" s="40">
        <f t="shared" si="1"/>
        <v>46006</v>
      </c>
      <c r="B5611" s="37" t="str">
        <f t="array" ref="B5611">iferror(xlookup($I5611, 'IMPORT VHC Report'!$E:$E, 'IMPORT VHC Report'!$A:$C), )</f>
        <v/>
      </c>
      <c r="C5611" s="37"/>
      <c r="D5611" s="37"/>
      <c r="E5611" s="38" t="s">
        <v>6683</v>
      </c>
      <c r="F5611" s="38" t="s">
        <v>6669</v>
      </c>
      <c r="G5611" s="38">
        <v>5.359149433359E12</v>
      </c>
      <c r="H5611" s="38" t="s">
        <v>72</v>
      </c>
      <c r="I5611" s="38" t="s">
        <v>73</v>
      </c>
      <c r="J5611" s="38" t="s">
        <v>132</v>
      </c>
      <c r="K5611" s="38" t="s">
        <v>126</v>
      </c>
      <c r="L5611" s="41">
        <v>46009.583333333336</v>
      </c>
      <c r="M5611" s="38" t="s">
        <v>123</v>
      </c>
      <c r="N5611" s="41">
        <v>46009.625</v>
      </c>
      <c r="O5611" s="38" t="s">
        <v>123</v>
      </c>
      <c r="P5611" s="38">
        <v>3600.0</v>
      </c>
      <c r="Q5611" s="39"/>
      <c r="R5611" s="39"/>
      <c r="S5611" s="39"/>
      <c r="T5611" s="39"/>
      <c r="U5611" s="39"/>
    </row>
    <row r="5612">
      <c r="A5612" s="40">
        <f t="shared" si="1"/>
        <v>46006</v>
      </c>
      <c r="B5612" s="37" t="str">
        <f t="array" ref="B5612">iferror(xlookup($I5612, 'IMPORT VHC Report'!$E:$E, 'IMPORT VHC Report'!$A:$C), )</f>
        <v/>
      </c>
      <c r="C5612" s="37"/>
      <c r="D5612" s="37"/>
      <c r="E5612" s="38" t="s">
        <v>6684</v>
      </c>
      <c r="F5612" s="38" t="s">
        <v>6669</v>
      </c>
      <c r="G5612" s="38">
        <v>5.359149433359E12</v>
      </c>
      <c r="H5612" s="38" t="s">
        <v>72</v>
      </c>
      <c r="I5612" s="38" t="s">
        <v>73</v>
      </c>
      <c r="J5612" s="38" t="s">
        <v>791</v>
      </c>
      <c r="K5612" s="38" t="s">
        <v>63</v>
      </c>
      <c r="L5612" s="41">
        <v>46010.25</v>
      </c>
      <c r="M5612" s="38" t="s">
        <v>123</v>
      </c>
      <c r="N5612" s="41">
        <v>46010.5625</v>
      </c>
      <c r="O5612" s="38" t="s">
        <v>123</v>
      </c>
      <c r="P5612" s="38">
        <v>27000.0</v>
      </c>
      <c r="Q5612" s="39"/>
      <c r="R5612" s="39"/>
      <c r="S5612" s="39"/>
      <c r="T5612" s="39"/>
      <c r="U5612" s="39"/>
    </row>
    <row r="5613">
      <c r="A5613" s="40">
        <f t="shared" si="1"/>
        <v>46006</v>
      </c>
      <c r="B5613" s="37" t="str">
        <f t="array" ref="B5613">iferror(xlookup($I5613, 'IMPORT VHC Report'!$E:$E, 'IMPORT VHC Report'!$A:$C), )</f>
        <v/>
      </c>
      <c r="C5613" s="37"/>
      <c r="D5613" s="37"/>
      <c r="E5613" s="38" t="s">
        <v>6685</v>
      </c>
      <c r="F5613" s="38" t="s">
        <v>6669</v>
      </c>
      <c r="G5613" s="38">
        <v>5.359149433359E12</v>
      </c>
      <c r="H5613" s="38" t="s">
        <v>72</v>
      </c>
      <c r="I5613" s="38" t="s">
        <v>73</v>
      </c>
      <c r="J5613" s="38" t="s">
        <v>132</v>
      </c>
      <c r="K5613" s="38" t="s">
        <v>126</v>
      </c>
      <c r="L5613" s="41">
        <v>46010.5625</v>
      </c>
      <c r="M5613" s="38" t="s">
        <v>123</v>
      </c>
      <c r="N5613" s="41">
        <v>46010.604166666664</v>
      </c>
      <c r="O5613" s="38" t="s">
        <v>123</v>
      </c>
      <c r="P5613" s="38">
        <v>3600.0</v>
      </c>
      <c r="Q5613" s="39"/>
      <c r="R5613" s="39"/>
      <c r="S5613" s="39"/>
      <c r="T5613" s="39"/>
      <c r="U5613" s="39"/>
    </row>
    <row r="5614">
      <c r="A5614" s="40">
        <f t="shared" si="1"/>
        <v>46006</v>
      </c>
      <c r="B5614" s="37" t="str">
        <f t="array" ref="B5614">iferror(xlookup($I5614, 'IMPORT VHC Report'!$E:$E, 'IMPORT VHC Report'!$A:$C), )</f>
        <v/>
      </c>
      <c r="C5614" s="37"/>
      <c r="D5614" s="37"/>
      <c r="E5614" s="38" t="s">
        <v>6686</v>
      </c>
      <c r="F5614" s="38" t="s">
        <v>6669</v>
      </c>
      <c r="G5614" s="38">
        <v>5.359149433359E12</v>
      </c>
      <c r="H5614" s="38" t="s">
        <v>72</v>
      </c>
      <c r="I5614" s="38" t="s">
        <v>73</v>
      </c>
      <c r="J5614" s="38" t="s">
        <v>134</v>
      </c>
      <c r="K5614" s="38" t="s">
        <v>126</v>
      </c>
      <c r="L5614" s="41">
        <v>46010.604166666664</v>
      </c>
      <c r="M5614" s="38" t="s">
        <v>123</v>
      </c>
      <c r="N5614" s="41">
        <v>46010.625</v>
      </c>
      <c r="O5614" s="38" t="s">
        <v>123</v>
      </c>
      <c r="P5614" s="38">
        <v>1800.0</v>
      </c>
      <c r="Q5614" s="39"/>
      <c r="R5614" s="39"/>
      <c r="S5614" s="39"/>
      <c r="T5614" s="39"/>
      <c r="U5614" s="39"/>
    </row>
    <row r="5615">
      <c r="A5615" s="40">
        <f t="shared" si="1"/>
        <v>46006</v>
      </c>
      <c r="B5615" s="37" t="str">
        <f t="array" ref="B5615">iferror(xlookup($I5615, 'IMPORT VHC Report'!$E:$E, 'IMPORT VHC Report'!$A:$C), )</f>
        <v/>
      </c>
      <c r="C5615" s="37"/>
      <c r="D5615" s="37"/>
      <c r="E5615" s="38" t="s">
        <v>6687</v>
      </c>
      <c r="F5615" s="38" t="s">
        <v>6669</v>
      </c>
      <c r="G5615" s="38">
        <v>5.359149433359E12</v>
      </c>
      <c r="H5615" s="38" t="s">
        <v>72</v>
      </c>
      <c r="I5615" s="38" t="s">
        <v>73</v>
      </c>
      <c r="J5615" s="38" t="s">
        <v>791</v>
      </c>
      <c r="K5615" s="38" t="s">
        <v>63</v>
      </c>
      <c r="L5615" s="41">
        <v>46011.25</v>
      </c>
      <c r="M5615" s="38" t="s">
        <v>123</v>
      </c>
      <c r="N5615" s="41">
        <v>46011.625</v>
      </c>
      <c r="O5615" s="38" t="s">
        <v>123</v>
      </c>
      <c r="P5615" s="38">
        <v>32400.0</v>
      </c>
      <c r="Q5615" s="39"/>
      <c r="R5615" s="39"/>
      <c r="S5615" s="39"/>
      <c r="T5615" s="39"/>
      <c r="U5615" s="39"/>
    </row>
    <row r="5616">
      <c r="A5616" s="40">
        <f t="shared" si="1"/>
        <v>46006</v>
      </c>
      <c r="B5616" s="37" t="str">
        <f t="array" ref="B5616">iferror(xlookup($I5616, 'IMPORT VHC Report'!$E:$E, 'IMPORT VHC Report'!$A:$C), )</f>
        <v/>
      </c>
      <c r="C5616" s="37"/>
      <c r="D5616" s="37"/>
      <c r="E5616" s="38" t="s">
        <v>6688</v>
      </c>
      <c r="F5616" s="38" t="s">
        <v>6669</v>
      </c>
      <c r="G5616" s="38">
        <v>5.359149433359E12</v>
      </c>
      <c r="H5616" s="38" t="s">
        <v>72</v>
      </c>
      <c r="I5616" s="38" t="s">
        <v>73</v>
      </c>
      <c r="J5616" s="38" t="s">
        <v>132</v>
      </c>
      <c r="K5616" s="38" t="s">
        <v>126</v>
      </c>
      <c r="L5616" s="41">
        <v>46011.5</v>
      </c>
      <c r="M5616" s="38" t="s">
        <v>123</v>
      </c>
      <c r="N5616" s="41">
        <v>46011.541666666664</v>
      </c>
      <c r="O5616" s="38" t="s">
        <v>123</v>
      </c>
      <c r="P5616" s="38">
        <v>3600.0</v>
      </c>
      <c r="Q5616" s="39"/>
      <c r="R5616" s="39"/>
      <c r="S5616" s="39"/>
      <c r="T5616" s="39"/>
      <c r="U5616" s="39"/>
    </row>
    <row r="5617">
      <c r="A5617" s="40">
        <f t="shared" si="1"/>
        <v>46006</v>
      </c>
      <c r="B5617" s="37" t="str">
        <f t="array" ref="B5617">iferror(xlookup($I5617, 'IMPORT VHC Report'!$E:$E, 'IMPORT VHC Report'!$A:$C), )</f>
        <v/>
      </c>
      <c r="C5617" s="37"/>
      <c r="D5617" s="37"/>
      <c r="E5617" s="38" t="s">
        <v>6689</v>
      </c>
      <c r="F5617" s="38" t="s">
        <v>6669</v>
      </c>
      <c r="G5617" s="38">
        <v>5.359149433359E12</v>
      </c>
      <c r="H5617" s="38" t="s">
        <v>72</v>
      </c>
      <c r="I5617" s="38" t="s">
        <v>73</v>
      </c>
      <c r="J5617" s="38" t="s">
        <v>134</v>
      </c>
      <c r="K5617" s="38" t="s">
        <v>126</v>
      </c>
      <c r="L5617" s="41">
        <v>46011.541666666664</v>
      </c>
      <c r="M5617" s="38" t="s">
        <v>123</v>
      </c>
      <c r="N5617" s="41">
        <v>46011.5625</v>
      </c>
      <c r="O5617" s="38" t="s">
        <v>123</v>
      </c>
      <c r="P5617" s="38">
        <v>1800.0</v>
      </c>
      <c r="Q5617" s="39"/>
      <c r="R5617" s="39"/>
      <c r="S5617" s="39"/>
      <c r="T5617" s="39"/>
      <c r="U5617" s="39"/>
    </row>
    <row r="5618">
      <c r="A5618" s="40">
        <f t="shared" si="1"/>
        <v>46006</v>
      </c>
      <c r="B5618" s="37" t="str">
        <f t="array" ref="B5618">iferror(xlookup($I5618, 'IMPORT VHC Report'!$E:$E, 'IMPORT VHC Report'!$A:$C), )</f>
        <v/>
      </c>
      <c r="C5618" s="37"/>
      <c r="D5618" s="37"/>
      <c r="E5618" s="38" t="s">
        <v>6690</v>
      </c>
      <c r="F5618" s="38" t="s">
        <v>6691</v>
      </c>
      <c r="G5618" s="38">
        <v>5.202419220111E12</v>
      </c>
      <c r="H5618" s="38" t="s">
        <v>81</v>
      </c>
      <c r="I5618" s="38" t="s">
        <v>82</v>
      </c>
      <c r="J5618" s="38" t="s">
        <v>1670</v>
      </c>
      <c r="K5618" s="38" t="s">
        <v>63</v>
      </c>
      <c r="L5618" s="41">
        <v>46007.25</v>
      </c>
      <c r="M5618" s="38" t="s">
        <v>123</v>
      </c>
      <c r="N5618" s="41">
        <v>46007.27291666667</v>
      </c>
      <c r="O5618" s="38" t="s">
        <v>123</v>
      </c>
      <c r="P5618" s="38">
        <v>1980.0</v>
      </c>
      <c r="Q5618" s="39"/>
      <c r="R5618" s="39"/>
      <c r="S5618" s="39"/>
      <c r="T5618" s="39"/>
      <c r="U5618" s="39"/>
    </row>
    <row r="5619">
      <c r="A5619" s="40">
        <f t="shared" si="1"/>
        <v>46006</v>
      </c>
      <c r="B5619" s="37" t="str">
        <f t="array" ref="B5619">iferror(xlookup($I5619, 'IMPORT VHC Report'!$E:$E, 'IMPORT VHC Report'!$A:$C), )</f>
        <v/>
      </c>
      <c r="C5619" s="37"/>
      <c r="D5619" s="37"/>
      <c r="E5619" s="38" t="s">
        <v>6692</v>
      </c>
      <c r="F5619" s="38" t="s">
        <v>6691</v>
      </c>
      <c r="G5619" s="38">
        <v>5.202419220111E12</v>
      </c>
      <c r="H5619" s="38" t="s">
        <v>81</v>
      </c>
      <c r="I5619" s="38" t="s">
        <v>82</v>
      </c>
      <c r="J5619" s="38" t="s">
        <v>791</v>
      </c>
      <c r="K5619" s="38" t="s">
        <v>63</v>
      </c>
      <c r="L5619" s="41">
        <v>46007.27291666667</v>
      </c>
      <c r="M5619" s="38" t="s">
        <v>123</v>
      </c>
      <c r="N5619" s="41">
        <v>46007.29305555556</v>
      </c>
      <c r="O5619" s="38" t="s">
        <v>123</v>
      </c>
      <c r="P5619" s="38">
        <v>1740.0</v>
      </c>
      <c r="Q5619" s="39"/>
      <c r="R5619" s="39"/>
      <c r="S5619" s="39"/>
      <c r="T5619" s="39"/>
      <c r="U5619" s="39"/>
    </row>
    <row r="5620">
      <c r="A5620" s="40">
        <f t="shared" si="1"/>
        <v>46006</v>
      </c>
      <c r="B5620" s="37" t="str">
        <f t="array" ref="B5620">iferror(xlookup($I5620, 'IMPORT VHC Report'!$E:$E, 'IMPORT VHC Report'!$A:$C), )</f>
        <v/>
      </c>
      <c r="C5620" s="37"/>
      <c r="D5620" s="37"/>
      <c r="E5620" s="38" t="s">
        <v>6693</v>
      </c>
      <c r="F5620" s="38" t="s">
        <v>6691</v>
      </c>
      <c r="G5620" s="38">
        <v>5.202419220111E12</v>
      </c>
      <c r="H5620" s="38" t="s">
        <v>81</v>
      </c>
      <c r="I5620" s="38" t="s">
        <v>82</v>
      </c>
      <c r="J5620" s="38" t="s">
        <v>1670</v>
      </c>
      <c r="K5620" s="38" t="s">
        <v>63</v>
      </c>
      <c r="L5620" s="41">
        <v>46007.29305555556</v>
      </c>
      <c r="M5620" s="38" t="s">
        <v>123</v>
      </c>
      <c r="N5620" s="41">
        <v>46007.39097222222</v>
      </c>
      <c r="O5620" s="38" t="s">
        <v>123</v>
      </c>
      <c r="P5620" s="38">
        <v>8460.0</v>
      </c>
      <c r="Q5620" s="39"/>
      <c r="R5620" s="39"/>
      <c r="S5620" s="39"/>
      <c r="T5620" s="39"/>
      <c r="U5620" s="39"/>
    </row>
    <row r="5621">
      <c r="A5621" s="40">
        <f t="shared" si="1"/>
        <v>46006</v>
      </c>
      <c r="B5621" s="37" t="str">
        <f t="array" ref="B5621">iferror(xlookup($I5621, 'IMPORT VHC Report'!$E:$E, 'IMPORT VHC Report'!$A:$C), )</f>
        <v/>
      </c>
      <c r="C5621" s="37"/>
      <c r="D5621" s="37"/>
      <c r="E5621" s="38" t="s">
        <v>6694</v>
      </c>
      <c r="F5621" s="38" t="s">
        <v>6691</v>
      </c>
      <c r="G5621" s="38">
        <v>5.202419220111E12</v>
      </c>
      <c r="H5621" s="38" t="s">
        <v>81</v>
      </c>
      <c r="I5621" s="38" t="s">
        <v>82</v>
      </c>
      <c r="J5621" s="38" t="s">
        <v>791</v>
      </c>
      <c r="K5621" s="38" t="s">
        <v>63</v>
      </c>
      <c r="L5621" s="41">
        <v>46007.39097222222</v>
      </c>
      <c r="M5621" s="38" t="s">
        <v>123</v>
      </c>
      <c r="N5621" s="41">
        <v>46007.541666666664</v>
      </c>
      <c r="O5621" s="38" t="s">
        <v>123</v>
      </c>
      <c r="P5621" s="38">
        <v>13020.0</v>
      </c>
      <c r="Q5621" s="39"/>
      <c r="R5621" s="39"/>
      <c r="S5621" s="39"/>
      <c r="T5621" s="39"/>
      <c r="U5621" s="39"/>
    </row>
    <row r="5622">
      <c r="A5622" s="40">
        <f t="shared" si="1"/>
        <v>46006</v>
      </c>
      <c r="B5622" s="37" t="str">
        <f t="array" ref="B5622">iferror(xlookup($I5622, 'IMPORT VHC Report'!$E:$E, 'IMPORT VHC Report'!$A:$C), )</f>
        <v/>
      </c>
      <c r="C5622" s="37"/>
      <c r="D5622" s="37"/>
      <c r="E5622" s="38" t="s">
        <v>6695</v>
      </c>
      <c r="F5622" s="38" t="s">
        <v>6691</v>
      </c>
      <c r="G5622" s="38">
        <v>5.202419220111E12</v>
      </c>
      <c r="H5622" s="38" t="s">
        <v>81</v>
      </c>
      <c r="I5622" s="38" t="s">
        <v>82</v>
      </c>
      <c r="J5622" s="38" t="s">
        <v>132</v>
      </c>
      <c r="K5622" s="38" t="s">
        <v>126</v>
      </c>
      <c r="L5622" s="41">
        <v>46007.541666666664</v>
      </c>
      <c r="M5622" s="38" t="s">
        <v>123</v>
      </c>
      <c r="N5622" s="41">
        <v>46007.583333333336</v>
      </c>
      <c r="O5622" s="38" t="s">
        <v>123</v>
      </c>
      <c r="P5622" s="38">
        <v>3600.0</v>
      </c>
      <c r="Q5622" s="39"/>
      <c r="R5622" s="39"/>
      <c r="S5622" s="39"/>
      <c r="T5622" s="39"/>
      <c r="U5622" s="39"/>
    </row>
    <row r="5623">
      <c r="A5623" s="40">
        <f t="shared" si="1"/>
        <v>46006</v>
      </c>
      <c r="B5623" s="37" t="str">
        <f t="array" ref="B5623">iferror(xlookup($I5623, 'IMPORT VHC Report'!$E:$E, 'IMPORT VHC Report'!$A:$C), )</f>
        <v/>
      </c>
      <c r="C5623" s="37"/>
      <c r="D5623" s="37"/>
      <c r="E5623" s="38" t="s">
        <v>6696</v>
      </c>
      <c r="F5623" s="38" t="s">
        <v>6691</v>
      </c>
      <c r="G5623" s="38">
        <v>5.202419220111E12</v>
      </c>
      <c r="H5623" s="38" t="s">
        <v>81</v>
      </c>
      <c r="I5623" s="38" t="s">
        <v>82</v>
      </c>
      <c r="J5623" s="38" t="s">
        <v>134</v>
      </c>
      <c r="K5623" s="38" t="s">
        <v>126</v>
      </c>
      <c r="L5623" s="41">
        <v>46007.583333333336</v>
      </c>
      <c r="M5623" s="38" t="s">
        <v>123</v>
      </c>
      <c r="N5623" s="41">
        <v>46007.604166666664</v>
      </c>
      <c r="O5623" s="38" t="s">
        <v>123</v>
      </c>
      <c r="P5623" s="38">
        <v>1800.0</v>
      </c>
      <c r="Q5623" s="39"/>
      <c r="R5623" s="39"/>
      <c r="S5623" s="39"/>
      <c r="T5623" s="39"/>
      <c r="U5623" s="39"/>
    </row>
    <row r="5624">
      <c r="A5624" s="40">
        <f t="shared" si="1"/>
        <v>46006</v>
      </c>
      <c r="B5624" s="37" t="str">
        <f t="array" ref="B5624">iferror(xlookup($I5624, 'IMPORT VHC Report'!$E:$E, 'IMPORT VHC Report'!$A:$C), )</f>
        <v/>
      </c>
      <c r="C5624" s="37"/>
      <c r="D5624" s="37"/>
      <c r="E5624" s="38" t="s">
        <v>6697</v>
      </c>
      <c r="F5624" s="38" t="s">
        <v>6691</v>
      </c>
      <c r="G5624" s="38">
        <v>5.202419220111E12</v>
      </c>
      <c r="H5624" s="38" t="s">
        <v>81</v>
      </c>
      <c r="I5624" s="38" t="s">
        <v>82</v>
      </c>
      <c r="J5624" s="38" t="s">
        <v>1670</v>
      </c>
      <c r="K5624" s="38" t="s">
        <v>63</v>
      </c>
      <c r="L5624" s="41">
        <v>46007.604166666664</v>
      </c>
      <c r="M5624" s="38" t="s">
        <v>123</v>
      </c>
      <c r="N5624" s="41">
        <v>46007.61944444444</v>
      </c>
      <c r="O5624" s="38" t="s">
        <v>123</v>
      </c>
      <c r="P5624" s="38">
        <v>1320.0</v>
      </c>
      <c r="Q5624" s="39"/>
      <c r="R5624" s="39"/>
      <c r="S5624" s="39"/>
      <c r="T5624" s="39"/>
      <c r="U5624" s="39"/>
    </row>
    <row r="5625">
      <c r="A5625" s="40">
        <f t="shared" si="1"/>
        <v>46006</v>
      </c>
      <c r="B5625" s="37" t="str">
        <f t="array" ref="B5625">iferror(xlookup($I5625, 'IMPORT VHC Report'!$E:$E, 'IMPORT VHC Report'!$A:$C), )</f>
        <v/>
      </c>
      <c r="C5625" s="37"/>
      <c r="D5625" s="37"/>
      <c r="E5625" s="38" t="s">
        <v>6698</v>
      </c>
      <c r="F5625" s="38" t="s">
        <v>6691</v>
      </c>
      <c r="G5625" s="38">
        <v>5.202419220111E12</v>
      </c>
      <c r="H5625" s="38" t="s">
        <v>81</v>
      </c>
      <c r="I5625" s="38" t="s">
        <v>82</v>
      </c>
      <c r="J5625" s="38" t="s">
        <v>791</v>
      </c>
      <c r="K5625" s="38" t="s">
        <v>63</v>
      </c>
      <c r="L5625" s="41">
        <v>46007.61944444444</v>
      </c>
      <c r="M5625" s="38" t="s">
        <v>123</v>
      </c>
      <c r="N5625" s="41">
        <v>46007.625</v>
      </c>
      <c r="O5625" s="38" t="s">
        <v>123</v>
      </c>
      <c r="P5625" s="38">
        <v>480.0</v>
      </c>
      <c r="Q5625" s="39"/>
      <c r="R5625" s="39"/>
      <c r="S5625" s="39"/>
      <c r="T5625" s="39"/>
      <c r="U5625" s="39"/>
    </row>
    <row r="5626">
      <c r="A5626" s="40">
        <f t="shared" si="1"/>
        <v>46006</v>
      </c>
      <c r="B5626" s="37" t="str">
        <f t="array" ref="B5626">iferror(xlookup($I5626, 'IMPORT VHC Report'!$E:$E, 'IMPORT VHC Report'!$A:$C), )</f>
        <v/>
      </c>
      <c r="C5626" s="37"/>
      <c r="D5626" s="37"/>
      <c r="E5626" s="38" t="s">
        <v>6699</v>
      </c>
      <c r="F5626" s="38" t="s">
        <v>6691</v>
      </c>
      <c r="G5626" s="38">
        <v>5.202419220111E12</v>
      </c>
      <c r="H5626" s="38" t="s">
        <v>81</v>
      </c>
      <c r="I5626" s="38" t="s">
        <v>82</v>
      </c>
      <c r="J5626" s="38" t="s">
        <v>1670</v>
      </c>
      <c r="K5626" s="38" t="s">
        <v>63</v>
      </c>
      <c r="L5626" s="41">
        <v>46008.25</v>
      </c>
      <c r="M5626" s="38" t="s">
        <v>123</v>
      </c>
      <c r="N5626" s="41">
        <v>46008.27361111111</v>
      </c>
      <c r="O5626" s="38" t="s">
        <v>123</v>
      </c>
      <c r="P5626" s="38">
        <v>2040.0</v>
      </c>
      <c r="Q5626" s="39"/>
      <c r="R5626" s="39"/>
      <c r="S5626" s="39"/>
      <c r="T5626" s="39"/>
      <c r="U5626" s="39"/>
    </row>
    <row r="5627">
      <c r="A5627" s="40">
        <f t="shared" si="1"/>
        <v>46006</v>
      </c>
      <c r="B5627" s="37" t="str">
        <f t="array" ref="B5627">iferror(xlookup($I5627, 'IMPORT VHC Report'!$E:$E, 'IMPORT VHC Report'!$A:$C), )</f>
        <v/>
      </c>
      <c r="C5627" s="37"/>
      <c r="D5627" s="37"/>
      <c r="E5627" s="38" t="s">
        <v>6700</v>
      </c>
      <c r="F5627" s="38" t="s">
        <v>6691</v>
      </c>
      <c r="G5627" s="38">
        <v>5.202419220111E12</v>
      </c>
      <c r="H5627" s="38" t="s">
        <v>81</v>
      </c>
      <c r="I5627" s="38" t="s">
        <v>82</v>
      </c>
      <c r="J5627" s="38" t="s">
        <v>791</v>
      </c>
      <c r="K5627" s="38" t="s">
        <v>63</v>
      </c>
      <c r="L5627" s="41">
        <v>46008.27361111111</v>
      </c>
      <c r="M5627" s="38" t="s">
        <v>123</v>
      </c>
      <c r="N5627" s="41">
        <v>46008.291666666664</v>
      </c>
      <c r="O5627" s="38" t="s">
        <v>123</v>
      </c>
      <c r="P5627" s="38">
        <v>1560.0</v>
      </c>
      <c r="Q5627" s="39"/>
      <c r="R5627" s="39"/>
      <c r="S5627" s="39"/>
      <c r="T5627" s="39"/>
      <c r="U5627" s="39"/>
    </row>
    <row r="5628">
      <c r="A5628" s="40">
        <f t="shared" si="1"/>
        <v>46006</v>
      </c>
      <c r="B5628" s="37" t="str">
        <f t="array" ref="B5628">iferror(xlookup($I5628, 'IMPORT VHC Report'!$E:$E, 'IMPORT VHC Report'!$A:$C), )</f>
        <v/>
      </c>
      <c r="C5628" s="37"/>
      <c r="D5628" s="37"/>
      <c r="E5628" s="38" t="s">
        <v>6701</v>
      </c>
      <c r="F5628" s="38" t="s">
        <v>6691</v>
      </c>
      <c r="G5628" s="38">
        <v>5.202419220111E12</v>
      </c>
      <c r="H5628" s="38" t="s">
        <v>81</v>
      </c>
      <c r="I5628" s="38" t="s">
        <v>82</v>
      </c>
      <c r="J5628" s="38" t="s">
        <v>136</v>
      </c>
      <c r="K5628" s="38" t="s">
        <v>126</v>
      </c>
      <c r="L5628" s="41">
        <v>46008.291666666664</v>
      </c>
      <c r="M5628" s="38" t="s">
        <v>123</v>
      </c>
      <c r="N5628" s="41">
        <v>46008.333333333336</v>
      </c>
      <c r="O5628" s="38" t="s">
        <v>123</v>
      </c>
      <c r="P5628" s="38">
        <v>3600.0</v>
      </c>
      <c r="Q5628" s="39"/>
      <c r="R5628" s="39"/>
      <c r="S5628" s="38" t="s">
        <v>1680</v>
      </c>
      <c r="T5628" s="39"/>
      <c r="U5628" s="39"/>
    </row>
    <row r="5629">
      <c r="A5629" s="40">
        <f t="shared" si="1"/>
        <v>46006</v>
      </c>
      <c r="B5629" s="37" t="str">
        <f t="array" ref="B5629">iferror(xlookup($I5629, 'IMPORT VHC Report'!$E:$E, 'IMPORT VHC Report'!$A:$C), )</f>
        <v/>
      </c>
      <c r="C5629" s="37"/>
      <c r="D5629" s="37"/>
      <c r="E5629" s="38" t="s">
        <v>6702</v>
      </c>
      <c r="F5629" s="38" t="s">
        <v>6691</v>
      </c>
      <c r="G5629" s="38">
        <v>5.202419220111E12</v>
      </c>
      <c r="H5629" s="38" t="s">
        <v>81</v>
      </c>
      <c r="I5629" s="38" t="s">
        <v>82</v>
      </c>
      <c r="J5629" s="38" t="s">
        <v>791</v>
      </c>
      <c r="K5629" s="38" t="s">
        <v>63</v>
      </c>
      <c r="L5629" s="41">
        <v>46008.333333333336</v>
      </c>
      <c r="M5629" s="38" t="s">
        <v>123</v>
      </c>
      <c r="N5629" s="41">
        <v>46008.37222222222</v>
      </c>
      <c r="O5629" s="38" t="s">
        <v>123</v>
      </c>
      <c r="P5629" s="38">
        <v>3360.0</v>
      </c>
      <c r="Q5629" s="39"/>
      <c r="R5629" s="39"/>
      <c r="S5629" s="39"/>
      <c r="T5629" s="39"/>
      <c r="U5629" s="39"/>
    </row>
    <row r="5630">
      <c r="A5630" s="40">
        <f t="shared" si="1"/>
        <v>46006</v>
      </c>
      <c r="B5630" s="37" t="str">
        <f t="array" ref="B5630">iferror(xlookup($I5630, 'IMPORT VHC Report'!$E:$E, 'IMPORT VHC Report'!$A:$C), )</f>
        <v/>
      </c>
      <c r="C5630" s="37"/>
      <c r="D5630" s="37"/>
      <c r="E5630" s="38" t="s">
        <v>6703</v>
      </c>
      <c r="F5630" s="38" t="s">
        <v>6691</v>
      </c>
      <c r="G5630" s="38">
        <v>5.202419220111E12</v>
      </c>
      <c r="H5630" s="38" t="s">
        <v>81</v>
      </c>
      <c r="I5630" s="38" t="s">
        <v>82</v>
      </c>
      <c r="J5630" s="38" t="s">
        <v>1670</v>
      </c>
      <c r="K5630" s="38" t="s">
        <v>63</v>
      </c>
      <c r="L5630" s="41">
        <v>46008.37222222222</v>
      </c>
      <c r="M5630" s="38" t="s">
        <v>123</v>
      </c>
      <c r="N5630" s="41">
        <v>46008.393055555556</v>
      </c>
      <c r="O5630" s="38" t="s">
        <v>123</v>
      </c>
      <c r="P5630" s="38">
        <v>1800.0</v>
      </c>
      <c r="Q5630" s="39"/>
      <c r="R5630" s="39"/>
      <c r="S5630" s="39"/>
      <c r="T5630" s="39"/>
      <c r="U5630" s="39"/>
    </row>
    <row r="5631">
      <c r="A5631" s="40">
        <f t="shared" si="1"/>
        <v>46006</v>
      </c>
      <c r="B5631" s="37" t="str">
        <f t="array" ref="B5631">iferror(xlookup($I5631, 'IMPORT VHC Report'!$E:$E, 'IMPORT VHC Report'!$A:$C), )</f>
        <v/>
      </c>
      <c r="C5631" s="37"/>
      <c r="D5631" s="37"/>
      <c r="E5631" s="38" t="s">
        <v>6704</v>
      </c>
      <c r="F5631" s="38" t="s">
        <v>6691</v>
      </c>
      <c r="G5631" s="38">
        <v>5.202419220111E12</v>
      </c>
      <c r="H5631" s="38" t="s">
        <v>81</v>
      </c>
      <c r="I5631" s="38" t="s">
        <v>82</v>
      </c>
      <c r="J5631" s="38" t="s">
        <v>791</v>
      </c>
      <c r="K5631" s="38" t="s">
        <v>63</v>
      </c>
      <c r="L5631" s="41">
        <v>46008.393055555556</v>
      </c>
      <c r="M5631" s="38" t="s">
        <v>123</v>
      </c>
      <c r="N5631" s="41">
        <v>46008.52291666667</v>
      </c>
      <c r="O5631" s="38" t="s">
        <v>123</v>
      </c>
      <c r="P5631" s="38">
        <v>11220.0</v>
      </c>
      <c r="Q5631" s="39"/>
      <c r="R5631" s="39"/>
      <c r="S5631" s="39"/>
      <c r="T5631" s="39"/>
      <c r="U5631" s="39"/>
    </row>
    <row r="5632">
      <c r="A5632" s="40">
        <f t="shared" si="1"/>
        <v>46006</v>
      </c>
      <c r="B5632" s="37" t="str">
        <f t="array" ref="B5632">iferror(xlookup($I5632, 'IMPORT VHC Report'!$E:$E, 'IMPORT VHC Report'!$A:$C), )</f>
        <v/>
      </c>
      <c r="C5632" s="37"/>
      <c r="D5632" s="37"/>
      <c r="E5632" s="38" t="s">
        <v>6705</v>
      </c>
      <c r="F5632" s="38" t="s">
        <v>6691</v>
      </c>
      <c r="G5632" s="38">
        <v>5.202419220111E12</v>
      </c>
      <c r="H5632" s="38" t="s">
        <v>81</v>
      </c>
      <c r="I5632" s="38" t="s">
        <v>82</v>
      </c>
      <c r="J5632" s="38" t="s">
        <v>132</v>
      </c>
      <c r="K5632" s="38" t="s">
        <v>126</v>
      </c>
      <c r="L5632" s="41">
        <v>46008.52291666667</v>
      </c>
      <c r="M5632" s="38" t="s">
        <v>123</v>
      </c>
      <c r="N5632" s="41">
        <v>46008.5625</v>
      </c>
      <c r="O5632" s="38" t="s">
        <v>123</v>
      </c>
      <c r="P5632" s="38">
        <v>3420.0</v>
      </c>
      <c r="Q5632" s="39"/>
      <c r="R5632" s="39"/>
      <c r="S5632" s="39"/>
      <c r="T5632" s="39"/>
      <c r="U5632" s="39"/>
    </row>
    <row r="5633">
      <c r="A5633" s="40">
        <f t="shared" si="1"/>
        <v>46006</v>
      </c>
      <c r="B5633" s="37" t="str">
        <f t="array" ref="B5633">iferror(xlookup($I5633, 'IMPORT VHC Report'!$E:$E, 'IMPORT VHC Report'!$A:$C), )</f>
        <v/>
      </c>
      <c r="C5633" s="37"/>
      <c r="D5633" s="37"/>
      <c r="E5633" s="38" t="s">
        <v>6706</v>
      </c>
      <c r="F5633" s="38" t="s">
        <v>6691</v>
      </c>
      <c r="G5633" s="38">
        <v>5.202419220111E12</v>
      </c>
      <c r="H5633" s="38" t="s">
        <v>81</v>
      </c>
      <c r="I5633" s="38" t="s">
        <v>82</v>
      </c>
      <c r="J5633" s="38" t="s">
        <v>134</v>
      </c>
      <c r="K5633" s="38" t="s">
        <v>126</v>
      </c>
      <c r="L5633" s="41">
        <v>46008.5625</v>
      </c>
      <c r="M5633" s="38" t="s">
        <v>123</v>
      </c>
      <c r="N5633" s="41">
        <v>46008.583333333336</v>
      </c>
      <c r="O5633" s="38" t="s">
        <v>123</v>
      </c>
      <c r="P5633" s="38">
        <v>1800.0</v>
      </c>
      <c r="Q5633" s="39"/>
      <c r="R5633" s="39"/>
      <c r="S5633" s="39"/>
      <c r="T5633" s="39"/>
      <c r="U5633" s="39"/>
    </row>
    <row r="5634">
      <c r="A5634" s="40">
        <f t="shared" si="1"/>
        <v>46006</v>
      </c>
      <c r="B5634" s="37" t="str">
        <f t="array" ref="B5634">iferror(xlookup($I5634, 'IMPORT VHC Report'!$E:$E, 'IMPORT VHC Report'!$A:$C), )</f>
        <v/>
      </c>
      <c r="C5634" s="37"/>
      <c r="D5634" s="37"/>
      <c r="E5634" s="38" t="s">
        <v>6707</v>
      </c>
      <c r="F5634" s="38" t="s">
        <v>6691</v>
      </c>
      <c r="G5634" s="38">
        <v>5.202419220111E12</v>
      </c>
      <c r="H5634" s="38" t="s">
        <v>81</v>
      </c>
      <c r="I5634" s="38" t="s">
        <v>82</v>
      </c>
      <c r="J5634" s="38" t="s">
        <v>136</v>
      </c>
      <c r="K5634" s="38" t="s">
        <v>126</v>
      </c>
      <c r="L5634" s="41">
        <v>46008.583333333336</v>
      </c>
      <c r="M5634" s="38" t="s">
        <v>123</v>
      </c>
      <c r="N5634" s="41">
        <v>46008.625</v>
      </c>
      <c r="O5634" s="38" t="s">
        <v>123</v>
      </c>
      <c r="P5634" s="38">
        <v>3600.0</v>
      </c>
      <c r="Q5634" s="39"/>
      <c r="R5634" s="39"/>
      <c r="S5634" s="38" t="s">
        <v>1680</v>
      </c>
      <c r="T5634" s="39"/>
      <c r="U5634" s="39"/>
    </row>
    <row r="5635">
      <c r="A5635" s="40">
        <f t="shared" si="1"/>
        <v>46006</v>
      </c>
      <c r="B5635" s="37" t="str">
        <f t="array" ref="B5635">iferror(xlookup($I5635, 'IMPORT VHC Report'!$E:$E, 'IMPORT VHC Report'!$A:$C), )</f>
        <v/>
      </c>
      <c r="C5635" s="37"/>
      <c r="D5635" s="37"/>
      <c r="E5635" s="38" t="s">
        <v>6708</v>
      </c>
      <c r="F5635" s="38" t="s">
        <v>6691</v>
      </c>
      <c r="G5635" s="38">
        <v>5.202419220111E12</v>
      </c>
      <c r="H5635" s="38" t="s">
        <v>81</v>
      </c>
      <c r="I5635" s="38" t="s">
        <v>82</v>
      </c>
      <c r="J5635" s="38" t="s">
        <v>1670</v>
      </c>
      <c r="K5635" s="38" t="s">
        <v>63</v>
      </c>
      <c r="L5635" s="41">
        <v>46009.25</v>
      </c>
      <c r="M5635" s="38" t="s">
        <v>123</v>
      </c>
      <c r="N5635" s="41">
        <v>46009.28194444445</v>
      </c>
      <c r="O5635" s="38" t="s">
        <v>123</v>
      </c>
      <c r="P5635" s="38">
        <v>2760.0</v>
      </c>
      <c r="Q5635" s="39"/>
      <c r="R5635" s="39"/>
      <c r="S5635" s="39"/>
      <c r="T5635" s="39"/>
      <c r="U5635" s="39"/>
    </row>
    <row r="5636">
      <c r="A5636" s="40">
        <f t="shared" si="1"/>
        <v>46006</v>
      </c>
      <c r="B5636" s="37" t="str">
        <f t="array" ref="B5636">iferror(xlookup($I5636, 'IMPORT VHC Report'!$E:$E, 'IMPORT VHC Report'!$A:$C), )</f>
        <v/>
      </c>
      <c r="C5636" s="37"/>
      <c r="D5636" s="37"/>
      <c r="E5636" s="38" t="s">
        <v>6709</v>
      </c>
      <c r="F5636" s="38" t="s">
        <v>6691</v>
      </c>
      <c r="G5636" s="38">
        <v>5.202419220111E12</v>
      </c>
      <c r="H5636" s="38" t="s">
        <v>81</v>
      </c>
      <c r="I5636" s="38" t="s">
        <v>82</v>
      </c>
      <c r="J5636" s="38" t="s">
        <v>791</v>
      </c>
      <c r="K5636" s="38" t="s">
        <v>63</v>
      </c>
      <c r="L5636" s="41">
        <v>46009.28194444445</v>
      </c>
      <c r="M5636" s="38" t="s">
        <v>123</v>
      </c>
      <c r="N5636" s="41">
        <v>46009.399305555555</v>
      </c>
      <c r="O5636" s="38" t="s">
        <v>123</v>
      </c>
      <c r="P5636" s="38">
        <v>10140.0</v>
      </c>
      <c r="Q5636" s="39"/>
      <c r="R5636" s="39"/>
      <c r="S5636" s="39"/>
      <c r="T5636" s="39"/>
      <c r="U5636" s="39"/>
    </row>
    <row r="5637">
      <c r="A5637" s="40">
        <f t="shared" si="1"/>
        <v>46006</v>
      </c>
      <c r="B5637" s="37" t="str">
        <f t="array" ref="B5637">iferror(xlookup($I5637, 'IMPORT VHC Report'!$E:$E, 'IMPORT VHC Report'!$A:$C), )</f>
        <v/>
      </c>
      <c r="C5637" s="37"/>
      <c r="D5637" s="37"/>
      <c r="E5637" s="38" t="s">
        <v>6710</v>
      </c>
      <c r="F5637" s="38" t="s">
        <v>6691</v>
      </c>
      <c r="G5637" s="38">
        <v>5.202419220111E12</v>
      </c>
      <c r="H5637" s="38" t="s">
        <v>81</v>
      </c>
      <c r="I5637" s="38" t="s">
        <v>82</v>
      </c>
      <c r="J5637" s="38" t="s">
        <v>1670</v>
      </c>
      <c r="K5637" s="38" t="s">
        <v>63</v>
      </c>
      <c r="L5637" s="41">
        <v>46009.399305555555</v>
      </c>
      <c r="M5637" s="38" t="s">
        <v>123</v>
      </c>
      <c r="N5637" s="41">
        <v>46009.458333333336</v>
      </c>
      <c r="O5637" s="38" t="s">
        <v>123</v>
      </c>
      <c r="P5637" s="38">
        <v>5100.0</v>
      </c>
      <c r="Q5637" s="39"/>
      <c r="R5637" s="39"/>
      <c r="S5637" s="39"/>
      <c r="T5637" s="39"/>
      <c r="U5637" s="39"/>
    </row>
    <row r="5638">
      <c r="A5638" s="40">
        <f t="shared" si="1"/>
        <v>46006</v>
      </c>
      <c r="B5638" s="37" t="str">
        <f t="array" ref="B5638">iferror(xlookup($I5638, 'IMPORT VHC Report'!$E:$E, 'IMPORT VHC Report'!$A:$C), )</f>
        <v/>
      </c>
      <c r="C5638" s="37"/>
      <c r="D5638" s="37"/>
      <c r="E5638" s="38" t="s">
        <v>6711</v>
      </c>
      <c r="F5638" s="38" t="s">
        <v>6691</v>
      </c>
      <c r="G5638" s="38">
        <v>5.202419220111E12</v>
      </c>
      <c r="H5638" s="38" t="s">
        <v>81</v>
      </c>
      <c r="I5638" s="38" t="s">
        <v>82</v>
      </c>
      <c r="J5638" s="38" t="s">
        <v>136</v>
      </c>
      <c r="K5638" s="38" t="s">
        <v>126</v>
      </c>
      <c r="L5638" s="41">
        <v>46009.458333333336</v>
      </c>
      <c r="M5638" s="38" t="s">
        <v>123</v>
      </c>
      <c r="N5638" s="41">
        <v>46009.50902777778</v>
      </c>
      <c r="O5638" s="38" t="s">
        <v>123</v>
      </c>
      <c r="P5638" s="38">
        <v>4380.0</v>
      </c>
      <c r="Q5638" s="39"/>
      <c r="R5638" s="39"/>
      <c r="S5638" s="38" t="s">
        <v>1683</v>
      </c>
      <c r="T5638" s="39"/>
      <c r="U5638" s="39"/>
    </row>
    <row r="5639">
      <c r="A5639" s="40">
        <f t="shared" si="1"/>
        <v>46006</v>
      </c>
      <c r="B5639" s="37" t="str">
        <f t="array" ref="B5639">iferror(xlookup($I5639, 'IMPORT VHC Report'!$E:$E, 'IMPORT VHC Report'!$A:$C), )</f>
        <v/>
      </c>
      <c r="C5639" s="37"/>
      <c r="D5639" s="37"/>
      <c r="E5639" s="38" t="s">
        <v>6712</v>
      </c>
      <c r="F5639" s="38" t="s">
        <v>6691</v>
      </c>
      <c r="G5639" s="38">
        <v>5.202419220111E12</v>
      </c>
      <c r="H5639" s="38" t="s">
        <v>81</v>
      </c>
      <c r="I5639" s="38" t="s">
        <v>82</v>
      </c>
      <c r="J5639" s="38" t="s">
        <v>1670</v>
      </c>
      <c r="K5639" s="38" t="s">
        <v>63</v>
      </c>
      <c r="L5639" s="41">
        <v>46009.50902777778</v>
      </c>
      <c r="M5639" s="38" t="s">
        <v>123</v>
      </c>
      <c r="N5639" s="41">
        <v>46009.520833333336</v>
      </c>
      <c r="O5639" s="38" t="s">
        <v>123</v>
      </c>
      <c r="P5639" s="38">
        <v>1020.0</v>
      </c>
      <c r="Q5639" s="39"/>
      <c r="R5639" s="39"/>
      <c r="S5639" s="39"/>
      <c r="T5639" s="39"/>
      <c r="U5639" s="39"/>
    </row>
    <row r="5640">
      <c r="A5640" s="40">
        <f t="shared" si="1"/>
        <v>46006</v>
      </c>
      <c r="B5640" s="37" t="str">
        <f t="array" ref="B5640">iferror(xlookup($I5640, 'IMPORT VHC Report'!$E:$E, 'IMPORT VHC Report'!$A:$C), )</f>
        <v/>
      </c>
      <c r="C5640" s="37"/>
      <c r="D5640" s="37"/>
      <c r="E5640" s="38" t="s">
        <v>6713</v>
      </c>
      <c r="F5640" s="38" t="s">
        <v>6691</v>
      </c>
      <c r="G5640" s="38">
        <v>5.202419220111E12</v>
      </c>
      <c r="H5640" s="38" t="s">
        <v>81</v>
      </c>
      <c r="I5640" s="38" t="s">
        <v>82</v>
      </c>
      <c r="J5640" s="38" t="s">
        <v>132</v>
      </c>
      <c r="K5640" s="38" t="s">
        <v>126</v>
      </c>
      <c r="L5640" s="41">
        <v>46009.520833333336</v>
      </c>
      <c r="M5640" s="38" t="s">
        <v>123</v>
      </c>
      <c r="N5640" s="41">
        <v>46009.5625</v>
      </c>
      <c r="O5640" s="38" t="s">
        <v>123</v>
      </c>
      <c r="P5640" s="38">
        <v>3600.0</v>
      </c>
      <c r="Q5640" s="39"/>
      <c r="R5640" s="39"/>
      <c r="S5640" s="39"/>
      <c r="T5640" s="39"/>
      <c r="U5640" s="39"/>
    </row>
    <row r="5641">
      <c r="A5641" s="40">
        <f t="shared" si="1"/>
        <v>46006</v>
      </c>
      <c r="B5641" s="37" t="str">
        <f t="array" ref="B5641">iferror(xlookup($I5641, 'IMPORT VHC Report'!$E:$E, 'IMPORT VHC Report'!$A:$C), )</f>
        <v/>
      </c>
      <c r="C5641" s="37"/>
      <c r="D5641" s="37"/>
      <c r="E5641" s="38" t="s">
        <v>6714</v>
      </c>
      <c r="F5641" s="38" t="s">
        <v>6691</v>
      </c>
      <c r="G5641" s="38">
        <v>5.202419220111E12</v>
      </c>
      <c r="H5641" s="38" t="s">
        <v>81</v>
      </c>
      <c r="I5641" s="38" t="s">
        <v>82</v>
      </c>
      <c r="J5641" s="38" t="s">
        <v>134</v>
      </c>
      <c r="K5641" s="38" t="s">
        <v>126</v>
      </c>
      <c r="L5641" s="41">
        <v>46009.5625</v>
      </c>
      <c r="M5641" s="38" t="s">
        <v>123</v>
      </c>
      <c r="N5641" s="41">
        <v>46009.583333333336</v>
      </c>
      <c r="O5641" s="38" t="s">
        <v>123</v>
      </c>
      <c r="P5641" s="38">
        <v>1800.0</v>
      </c>
      <c r="Q5641" s="39"/>
      <c r="R5641" s="39"/>
      <c r="S5641" s="39"/>
      <c r="T5641" s="39"/>
      <c r="U5641" s="39"/>
    </row>
    <row r="5642">
      <c r="A5642" s="40">
        <f t="shared" si="1"/>
        <v>46006</v>
      </c>
      <c r="B5642" s="37" t="str">
        <f t="array" ref="B5642">iferror(xlookup($I5642, 'IMPORT VHC Report'!$E:$E, 'IMPORT VHC Report'!$A:$C), )</f>
        <v/>
      </c>
      <c r="C5642" s="37"/>
      <c r="D5642" s="37"/>
      <c r="E5642" s="38" t="s">
        <v>6715</v>
      </c>
      <c r="F5642" s="38" t="s">
        <v>6691</v>
      </c>
      <c r="G5642" s="38">
        <v>5.202419220111E12</v>
      </c>
      <c r="H5642" s="38" t="s">
        <v>81</v>
      </c>
      <c r="I5642" s="38" t="s">
        <v>82</v>
      </c>
      <c r="J5642" s="38" t="s">
        <v>1670</v>
      </c>
      <c r="K5642" s="38" t="s">
        <v>63</v>
      </c>
      <c r="L5642" s="41">
        <v>46009.583333333336</v>
      </c>
      <c r="M5642" s="38" t="s">
        <v>123</v>
      </c>
      <c r="N5642" s="41">
        <v>46009.611805555556</v>
      </c>
      <c r="O5642" s="38" t="s">
        <v>123</v>
      </c>
      <c r="P5642" s="38">
        <v>2460.0</v>
      </c>
      <c r="Q5642" s="39"/>
      <c r="R5642" s="39"/>
      <c r="S5642" s="39"/>
      <c r="T5642" s="39"/>
      <c r="U5642" s="39"/>
    </row>
    <row r="5643">
      <c r="A5643" s="40">
        <f t="shared" si="1"/>
        <v>46006</v>
      </c>
      <c r="B5643" s="37" t="str">
        <f t="array" ref="B5643">iferror(xlookup($I5643, 'IMPORT VHC Report'!$E:$E, 'IMPORT VHC Report'!$A:$C), )</f>
        <v/>
      </c>
      <c r="C5643" s="37"/>
      <c r="D5643" s="37"/>
      <c r="E5643" s="38" t="s">
        <v>6716</v>
      </c>
      <c r="F5643" s="38" t="s">
        <v>6691</v>
      </c>
      <c r="G5643" s="38">
        <v>5.202419220111E12</v>
      </c>
      <c r="H5643" s="38" t="s">
        <v>81</v>
      </c>
      <c r="I5643" s="38" t="s">
        <v>82</v>
      </c>
      <c r="J5643" s="38" t="s">
        <v>791</v>
      </c>
      <c r="K5643" s="38" t="s">
        <v>63</v>
      </c>
      <c r="L5643" s="41">
        <v>46009.611805555556</v>
      </c>
      <c r="M5643" s="38" t="s">
        <v>123</v>
      </c>
      <c r="N5643" s="41">
        <v>46009.625</v>
      </c>
      <c r="O5643" s="38" t="s">
        <v>123</v>
      </c>
      <c r="P5643" s="38">
        <v>1140.0</v>
      </c>
      <c r="Q5643" s="39"/>
      <c r="R5643" s="39"/>
      <c r="S5643" s="39"/>
      <c r="T5643" s="39"/>
      <c r="U5643" s="39"/>
    </row>
    <row r="5644">
      <c r="A5644" s="40">
        <f t="shared" si="1"/>
        <v>46006</v>
      </c>
      <c r="B5644" s="37" t="str">
        <f t="array" ref="B5644">iferror(xlookup($I5644, 'IMPORT VHC Report'!$E:$E, 'IMPORT VHC Report'!$A:$C), )</f>
        <v/>
      </c>
      <c r="C5644" s="37"/>
      <c r="D5644" s="37"/>
      <c r="E5644" s="38" t="s">
        <v>6717</v>
      </c>
      <c r="F5644" s="38" t="s">
        <v>6691</v>
      </c>
      <c r="G5644" s="38">
        <v>5.202419220111E12</v>
      </c>
      <c r="H5644" s="38" t="s">
        <v>81</v>
      </c>
      <c r="I5644" s="38" t="s">
        <v>82</v>
      </c>
      <c r="J5644" s="38" t="s">
        <v>1670</v>
      </c>
      <c r="K5644" s="38" t="s">
        <v>63</v>
      </c>
      <c r="L5644" s="41">
        <v>46010.25</v>
      </c>
      <c r="M5644" s="38" t="s">
        <v>123</v>
      </c>
      <c r="N5644" s="41">
        <v>46010.26111111111</v>
      </c>
      <c r="O5644" s="38" t="s">
        <v>123</v>
      </c>
      <c r="P5644" s="38">
        <v>960.0</v>
      </c>
      <c r="Q5644" s="39"/>
      <c r="R5644" s="39"/>
      <c r="S5644" s="39"/>
      <c r="T5644" s="39"/>
      <c r="U5644" s="39"/>
    </row>
    <row r="5645">
      <c r="A5645" s="40">
        <f t="shared" si="1"/>
        <v>46006</v>
      </c>
      <c r="B5645" s="37" t="str">
        <f t="array" ref="B5645">iferror(xlookup($I5645, 'IMPORT VHC Report'!$E:$E, 'IMPORT VHC Report'!$A:$C), )</f>
        <v/>
      </c>
      <c r="C5645" s="37"/>
      <c r="D5645" s="37"/>
      <c r="E5645" s="38" t="s">
        <v>6718</v>
      </c>
      <c r="F5645" s="38" t="s">
        <v>6691</v>
      </c>
      <c r="G5645" s="38">
        <v>5.202419220111E12</v>
      </c>
      <c r="H5645" s="38" t="s">
        <v>81</v>
      </c>
      <c r="I5645" s="38" t="s">
        <v>82</v>
      </c>
      <c r="J5645" s="38" t="s">
        <v>791</v>
      </c>
      <c r="K5645" s="38" t="s">
        <v>63</v>
      </c>
      <c r="L5645" s="41">
        <v>46010.26111111111</v>
      </c>
      <c r="M5645" s="38" t="s">
        <v>123</v>
      </c>
      <c r="N5645" s="41">
        <v>46010.56458333333</v>
      </c>
      <c r="O5645" s="38" t="s">
        <v>123</v>
      </c>
      <c r="P5645" s="38">
        <v>26220.0</v>
      </c>
      <c r="Q5645" s="39"/>
      <c r="R5645" s="39"/>
      <c r="S5645" s="39"/>
      <c r="T5645" s="39"/>
      <c r="U5645" s="39"/>
    </row>
    <row r="5646">
      <c r="A5646" s="40">
        <f t="shared" si="1"/>
        <v>46006</v>
      </c>
      <c r="B5646" s="37" t="str">
        <f t="array" ref="B5646">iferror(xlookup($I5646, 'IMPORT VHC Report'!$E:$E, 'IMPORT VHC Report'!$A:$C), )</f>
        <v/>
      </c>
      <c r="C5646" s="37"/>
      <c r="D5646" s="37"/>
      <c r="E5646" s="38" t="s">
        <v>6719</v>
      </c>
      <c r="F5646" s="38" t="s">
        <v>6691</v>
      </c>
      <c r="G5646" s="38">
        <v>5.202419220111E12</v>
      </c>
      <c r="H5646" s="38" t="s">
        <v>81</v>
      </c>
      <c r="I5646" s="38" t="s">
        <v>82</v>
      </c>
      <c r="J5646" s="38" t="s">
        <v>132</v>
      </c>
      <c r="K5646" s="38" t="s">
        <v>126</v>
      </c>
      <c r="L5646" s="41">
        <v>46010.56458333333</v>
      </c>
      <c r="M5646" s="38" t="s">
        <v>123</v>
      </c>
      <c r="N5646" s="41">
        <v>46010.60625</v>
      </c>
      <c r="O5646" s="38" t="s">
        <v>123</v>
      </c>
      <c r="P5646" s="38">
        <v>3600.0</v>
      </c>
      <c r="Q5646" s="39"/>
      <c r="R5646" s="39"/>
      <c r="S5646" s="39"/>
      <c r="T5646" s="39"/>
      <c r="U5646" s="39"/>
    </row>
    <row r="5647">
      <c r="A5647" s="40">
        <f t="shared" si="1"/>
        <v>46006</v>
      </c>
      <c r="B5647" s="37" t="str">
        <f t="array" ref="B5647">iferror(xlookup($I5647, 'IMPORT VHC Report'!$E:$E, 'IMPORT VHC Report'!$A:$C), )</f>
        <v/>
      </c>
      <c r="C5647" s="37"/>
      <c r="D5647" s="37"/>
      <c r="E5647" s="38" t="s">
        <v>6720</v>
      </c>
      <c r="F5647" s="38" t="s">
        <v>6691</v>
      </c>
      <c r="G5647" s="38">
        <v>5.202419220111E12</v>
      </c>
      <c r="H5647" s="38" t="s">
        <v>81</v>
      </c>
      <c r="I5647" s="38" t="s">
        <v>82</v>
      </c>
      <c r="J5647" s="38" t="s">
        <v>134</v>
      </c>
      <c r="K5647" s="38" t="s">
        <v>126</v>
      </c>
      <c r="L5647" s="41">
        <v>46010.60625</v>
      </c>
      <c r="M5647" s="38" t="s">
        <v>123</v>
      </c>
      <c r="N5647" s="41">
        <v>46010.625</v>
      </c>
      <c r="O5647" s="38" t="s">
        <v>123</v>
      </c>
      <c r="P5647" s="38">
        <v>1620.0</v>
      </c>
      <c r="Q5647" s="39"/>
      <c r="R5647" s="39"/>
      <c r="S5647" s="39"/>
      <c r="T5647" s="39"/>
      <c r="U5647" s="39"/>
    </row>
    <row r="5648">
      <c r="A5648" s="40">
        <f t="shared" si="1"/>
        <v>46006</v>
      </c>
      <c r="B5648" s="37" t="str">
        <f t="array" ref="B5648">iferror(xlookup($I5648, 'IMPORT VHC Report'!$E:$E, 'IMPORT VHC Report'!$A:$C), )</f>
        <v/>
      </c>
      <c r="C5648" s="37"/>
      <c r="D5648" s="37"/>
      <c r="E5648" s="38" t="s">
        <v>6721</v>
      </c>
      <c r="F5648" s="38" t="s">
        <v>6691</v>
      </c>
      <c r="G5648" s="38">
        <v>5.202419220111E12</v>
      </c>
      <c r="H5648" s="38" t="s">
        <v>81</v>
      </c>
      <c r="I5648" s="38" t="s">
        <v>82</v>
      </c>
      <c r="J5648" s="38" t="s">
        <v>1670</v>
      </c>
      <c r="K5648" s="38" t="s">
        <v>63</v>
      </c>
      <c r="L5648" s="41">
        <v>46011.25</v>
      </c>
      <c r="M5648" s="38" t="s">
        <v>123</v>
      </c>
      <c r="N5648" s="41">
        <v>46011.30486111111</v>
      </c>
      <c r="O5648" s="38" t="s">
        <v>123</v>
      </c>
      <c r="P5648" s="38">
        <v>4740.0</v>
      </c>
      <c r="Q5648" s="39"/>
      <c r="R5648" s="39"/>
      <c r="S5648" s="39"/>
      <c r="T5648" s="39"/>
      <c r="U5648" s="39"/>
    </row>
    <row r="5649">
      <c r="A5649" s="40">
        <f t="shared" si="1"/>
        <v>46006</v>
      </c>
      <c r="B5649" s="37" t="str">
        <f t="array" ref="B5649">iferror(xlookup($I5649, 'IMPORT VHC Report'!$E:$E, 'IMPORT VHC Report'!$A:$C), )</f>
        <v/>
      </c>
      <c r="C5649" s="37"/>
      <c r="D5649" s="37"/>
      <c r="E5649" s="38" t="s">
        <v>6722</v>
      </c>
      <c r="F5649" s="38" t="s">
        <v>6691</v>
      </c>
      <c r="G5649" s="38">
        <v>5.202419220111E12</v>
      </c>
      <c r="H5649" s="38" t="s">
        <v>81</v>
      </c>
      <c r="I5649" s="38" t="s">
        <v>82</v>
      </c>
      <c r="J5649" s="38" t="s">
        <v>791</v>
      </c>
      <c r="K5649" s="38" t="s">
        <v>63</v>
      </c>
      <c r="L5649" s="41">
        <v>46011.30486111111</v>
      </c>
      <c r="M5649" s="38" t="s">
        <v>123</v>
      </c>
      <c r="N5649" s="41">
        <v>46011.399305555555</v>
      </c>
      <c r="O5649" s="38" t="s">
        <v>123</v>
      </c>
      <c r="P5649" s="38">
        <v>8160.0</v>
      </c>
      <c r="Q5649" s="39"/>
      <c r="R5649" s="39"/>
      <c r="S5649" s="39"/>
      <c r="T5649" s="39"/>
      <c r="U5649" s="39"/>
    </row>
    <row r="5650">
      <c r="A5650" s="40">
        <f t="shared" si="1"/>
        <v>46006</v>
      </c>
      <c r="B5650" s="37" t="str">
        <f t="array" ref="B5650">iferror(xlookup($I5650, 'IMPORT VHC Report'!$E:$E, 'IMPORT VHC Report'!$A:$C), )</f>
        <v/>
      </c>
      <c r="C5650" s="37"/>
      <c r="D5650" s="37"/>
      <c r="E5650" s="38" t="s">
        <v>6723</v>
      </c>
      <c r="F5650" s="38" t="s">
        <v>6691</v>
      </c>
      <c r="G5650" s="38">
        <v>5.202419220111E12</v>
      </c>
      <c r="H5650" s="38" t="s">
        <v>81</v>
      </c>
      <c r="I5650" s="38" t="s">
        <v>82</v>
      </c>
      <c r="J5650" s="38" t="s">
        <v>1670</v>
      </c>
      <c r="K5650" s="38" t="s">
        <v>63</v>
      </c>
      <c r="L5650" s="41">
        <v>46011.399305555555</v>
      </c>
      <c r="M5650" s="38" t="s">
        <v>123</v>
      </c>
      <c r="N5650" s="41">
        <v>46011.413194444445</v>
      </c>
      <c r="O5650" s="38" t="s">
        <v>123</v>
      </c>
      <c r="P5650" s="38">
        <v>1200.0</v>
      </c>
      <c r="Q5650" s="39"/>
      <c r="R5650" s="39"/>
      <c r="S5650" s="39"/>
      <c r="T5650" s="39"/>
      <c r="U5650" s="39"/>
    </row>
    <row r="5651">
      <c r="A5651" s="40">
        <f t="shared" si="1"/>
        <v>46006</v>
      </c>
      <c r="B5651" s="37" t="str">
        <f t="array" ref="B5651">iferror(xlookup($I5651, 'IMPORT VHC Report'!$E:$E, 'IMPORT VHC Report'!$A:$C), )</f>
        <v/>
      </c>
      <c r="C5651" s="37"/>
      <c r="D5651" s="37"/>
      <c r="E5651" s="38" t="s">
        <v>6724</v>
      </c>
      <c r="F5651" s="38" t="s">
        <v>6691</v>
      </c>
      <c r="G5651" s="38">
        <v>5.202419220111E12</v>
      </c>
      <c r="H5651" s="38" t="s">
        <v>81</v>
      </c>
      <c r="I5651" s="38" t="s">
        <v>82</v>
      </c>
      <c r="J5651" s="38" t="s">
        <v>4</v>
      </c>
      <c r="K5651" s="38" t="s">
        <v>126</v>
      </c>
      <c r="L5651" s="41">
        <v>46011.413194444445</v>
      </c>
      <c r="M5651" s="38" t="s">
        <v>123</v>
      </c>
      <c r="N5651" s="41">
        <v>46011.447916666664</v>
      </c>
      <c r="O5651" s="38" t="s">
        <v>123</v>
      </c>
      <c r="P5651" s="38">
        <v>3000.0</v>
      </c>
      <c r="Q5651" s="39"/>
      <c r="R5651" s="39"/>
      <c r="S5651" s="38" t="s">
        <v>83</v>
      </c>
      <c r="T5651" s="39"/>
      <c r="U5651" s="39"/>
    </row>
    <row r="5652">
      <c r="A5652" s="40">
        <f t="shared" si="1"/>
        <v>46006</v>
      </c>
      <c r="B5652" s="37" t="str">
        <f t="array" ref="B5652">iferror(xlookup($I5652, 'IMPORT VHC Report'!$E:$E, 'IMPORT VHC Report'!$A:$C), )</f>
        <v/>
      </c>
      <c r="C5652" s="37"/>
      <c r="D5652" s="37"/>
      <c r="E5652" s="38" t="s">
        <v>6725</v>
      </c>
      <c r="F5652" s="38" t="s">
        <v>6691</v>
      </c>
      <c r="G5652" s="38">
        <v>5.202419220111E12</v>
      </c>
      <c r="H5652" s="38" t="s">
        <v>81</v>
      </c>
      <c r="I5652" s="38" t="s">
        <v>82</v>
      </c>
      <c r="J5652" s="38" t="s">
        <v>1670</v>
      </c>
      <c r="K5652" s="38" t="s">
        <v>63</v>
      </c>
      <c r="L5652" s="41">
        <v>46011.447916666664</v>
      </c>
      <c r="M5652" s="38" t="s">
        <v>123</v>
      </c>
      <c r="N5652" s="41">
        <v>46011.520833333336</v>
      </c>
      <c r="O5652" s="38" t="s">
        <v>123</v>
      </c>
      <c r="P5652" s="38">
        <v>6300.0</v>
      </c>
      <c r="Q5652" s="39"/>
      <c r="R5652" s="39"/>
      <c r="S5652" s="39"/>
      <c r="T5652" s="39"/>
      <c r="U5652" s="39"/>
    </row>
    <row r="5653">
      <c r="A5653" s="40">
        <f t="shared" si="1"/>
        <v>46006</v>
      </c>
      <c r="B5653" s="37" t="str">
        <f t="array" ref="B5653">iferror(xlookup($I5653, 'IMPORT VHC Report'!$E:$E, 'IMPORT VHC Report'!$A:$C), )</f>
        <v/>
      </c>
      <c r="C5653" s="37"/>
      <c r="D5653" s="37"/>
      <c r="E5653" s="38" t="s">
        <v>6726</v>
      </c>
      <c r="F5653" s="38" t="s">
        <v>6691</v>
      </c>
      <c r="G5653" s="38">
        <v>5.202419220111E12</v>
      </c>
      <c r="H5653" s="38" t="s">
        <v>81</v>
      </c>
      <c r="I5653" s="38" t="s">
        <v>82</v>
      </c>
      <c r="J5653" s="38" t="s">
        <v>132</v>
      </c>
      <c r="K5653" s="38" t="s">
        <v>126</v>
      </c>
      <c r="L5653" s="41">
        <v>46011.520833333336</v>
      </c>
      <c r="M5653" s="38" t="s">
        <v>123</v>
      </c>
      <c r="N5653" s="41">
        <v>46011.5625</v>
      </c>
      <c r="O5653" s="38" t="s">
        <v>123</v>
      </c>
      <c r="P5653" s="38">
        <v>3600.0</v>
      </c>
      <c r="Q5653" s="39"/>
      <c r="R5653" s="39"/>
      <c r="S5653" s="39"/>
      <c r="T5653" s="39"/>
      <c r="U5653" s="39"/>
    </row>
    <row r="5654">
      <c r="A5654" s="40">
        <f t="shared" si="1"/>
        <v>46006</v>
      </c>
      <c r="B5654" s="37" t="str">
        <f t="array" ref="B5654">iferror(xlookup($I5654, 'IMPORT VHC Report'!$E:$E, 'IMPORT VHC Report'!$A:$C), )</f>
        <v/>
      </c>
      <c r="C5654" s="37"/>
      <c r="D5654" s="37"/>
      <c r="E5654" s="38" t="s">
        <v>6727</v>
      </c>
      <c r="F5654" s="38" t="s">
        <v>6691</v>
      </c>
      <c r="G5654" s="38">
        <v>5.202419220111E12</v>
      </c>
      <c r="H5654" s="38" t="s">
        <v>81</v>
      </c>
      <c r="I5654" s="38" t="s">
        <v>82</v>
      </c>
      <c r="J5654" s="38" t="s">
        <v>134</v>
      </c>
      <c r="K5654" s="38" t="s">
        <v>126</v>
      </c>
      <c r="L5654" s="41">
        <v>46011.5625</v>
      </c>
      <c r="M5654" s="38" t="s">
        <v>123</v>
      </c>
      <c r="N5654" s="41">
        <v>46011.583333333336</v>
      </c>
      <c r="O5654" s="38" t="s">
        <v>123</v>
      </c>
      <c r="P5654" s="38">
        <v>1800.0</v>
      </c>
      <c r="Q5654" s="39"/>
      <c r="R5654" s="39"/>
      <c r="S5654" s="39"/>
      <c r="T5654" s="39"/>
      <c r="U5654" s="39"/>
    </row>
    <row r="5655">
      <c r="A5655" s="40">
        <f t="shared" si="1"/>
        <v>46006</v>
      </c>
      <c r="B5655" s="37" t="str">
        <f t="array" ref="B5655">iferror(xlookup($I5655, 'IMPORT VHC Report'!$E:$E, 'IMPORT VHC Report'!$A:$C), )</f>
        <v/>
      </c>
      <c r="C5655" s="37"/>
      <c r="D5655" s="37"/>
      <c r="E5655" s="38" t="s">
        <v>6728</v>
      </c>
      <c r="F5655" s="38" t="s">
        <v>6691</v>
      </c>
      <c r="G5655" s="38">
        <v>5.202419220111E12</v>
      </c>
      <c r="H5655" s="38" t="s">
        <v>81</v>
      </c>
      <c r="I5655" s="38" t="s">
        <v>82</v>
      </c>
      <c r="J5655" s="38" t="s">
        <v>4</v>
      </c>
      <c r="K5655" s="38" t="s">
        <v>126</v>
      </c>
      <c r="L5655" s="41">
        <v>46011.583333333336</v>
      </c>
      <c r="M5655" s="38" t="s">
        <v>123</v>
      </c>
      <c r="N5655" s="41">
        <v>46011.625</v>
      </c>
      <c r="O5655" s="38" t="s">
        <v>123</v>
      </c>
      <c r="P5655" s="38">
        <v>3600.0</v>
      </c>
      <c r="Q5655" s="39"/>
      <c r="R5655" s="39"/>
      <c r="S5655" s="38" t="s">
        <v>80</v>
      </c>
      <c r="T5655" s="39"/>
      <c r="U5655" s="39"/>
    </row>
    <row r="5656">
      <c r="A5656" s="40">
        <f t="shared" si="1"/>
        <v>46006</v>
      </c>
      <c r="B5656" s="37" t="str">
        <f t="array" ref="B5656">iferror(xlookup($I5656, 'IMPORT VHC Report'!$E:$E, 'IMPORT VHC Report'!$A:$C), )</f>
        <v/>
      </c>
      <c r="C5656" s="37"/>
      <c r="D5656" s="37"/>
      <c r="E5656" s="38" t="s">
        <v>6729</v>
      </c>
      <c r="F5656" s="38" t="s">
        <v>6730</v>
      </c>
      <c r="G5656" s="38">
        <v>3.61694652335E11</v>
      </c>
      <c r="H5656" s="38" t="s">
        <v>77</v>
      </c>
      <c r="I5656" s="38" t="s">
        <v>78</v>
      </c>
      <c r="J5656" s="38" t="s">
        <v>152</v>
      </c>
      <c r="K5656" s="38" t="s">
        <v>153</v>
      </c>
      <c r="L5656" s="41">
        <v>46007.25</v>
      </c>
      <c r="M5656" s="38" t="s">
        <v>123</v>
      </c>
      <c r="N5656" s="41">
        <v>46007.625</v>
      </c>
      <c r="O5656" s="38" t="s">
        <v>123</v>
      </c>
      <c r="P5656" s="38">
        <v>32400.0</v>
      </c>
      <c r="Q5656" s="38">
        <v>32400.0</v>
      </c>
      <c r="R5656" s="38" t="s">
        <v>351</v>
      </c>
      <c r="S5656" s="38" t="s">
        <v>351</v>
      </c>
      <c r="T5656" s="39"/>
      <c r="U5656" s="39"/>
    </row>
    <row r="5657">
      <c r="A5657" s="40">
        <f t="shared" si="1"/>
        <v>46006</v>
      </c>
      <c r="B5657" s="37" t="str">
        <f t="array" ref="B5657">iferror(xlookup($I5657, 'IMPORT VHC Report'!$E:$E, 'IMPORT VHC Report'!$A:$C), )</f>
        <v/>
      </c>
      <c r="C5657" s="37"/>
      <c r="D5657" s="37"/>
      <c r="E5657" s="38" t="s">
        <v>6731</v>
      </c>
      <c r="F5657" s="38" t="s">
        <v>6730</v>
      </c>
      <c r="G5657" s="38">
        <v>3.61694652335E11</v>
      </c>
      <c r="H5657" s="38" t="s">
        <v>77</v>
      </c>
      <c r="I5657" s="38" t="s">
        <v>78</v>
      </c>
      <c r="J5657" s="38" t="s">
        <v>791</v>
      </c>
      <c r="K5657" s="38" t="s">
        <v>63</v>
      </c>
      <c r="L5657" s="41">
        <v>46007.25</v>
      </c>
      <c r="M5657" s="38" t="s">
        <v>123</v>
      </c>
      <c r="N5657" s="41">
        <v>46007.625</v>
      </c>
      <c r="O5657" s="38" t="s">
        <v>123</v>
      </c>
      <c r="P5657" s="38">
        <v>32400.0</v>
      </c>
      <c r="Q5657" s="39"/>
      <c r="R5657" s="39"/>
      <c r="S5657" s="39"/>
      <c r="T5657" s="39"/>
      <c r="U5657" s="39"/>
    </row>
    <row r="5658">
      <c r="A5658" s="40">
        <f t="shared" si="1"/>
        <v>46006</v>
      </c>
      <c r="B5658" s="37" t="str">
        <f t="array" ref="B5658">iferror(xlookup($I5658, 'IMPORT VHC Report'!$E:$E, 'IMPORT VHC Report'!$A:$C), )</f>
        <v/>
      </c>
      <c r="C5658" s="37"/>
      <c r="D5658" s="37"/>
      <c r="E5658" s="38" t="s">
        <v>6732</v>
      </c>
      <c r="F5658" s="38" t="s">
        <v>6730</v>
      </c>
      <c r="G5658" s="38">
        <v>3.61694652335E11</v>
      </c>
      <c r="H5658" s="38" t="s">
        <v>77</v>
      </c>
      <c r="I5658" s="38" t="s">
        <v>78</v>
      </c>
      <c r="J5658" s="38" t="s">
        <v>132</v>
      </c>
      <c r="K5658" s="38" t="s">
        <v>126</v>
      </c>
      <c r="L5658" s="41">
        <v>46007.5</v>
      </c>
      <c r="M5658" s="38" t="s">
        <v>123</v>
      </c>
      <c r="N5658" s="41">
        <v>46007.541666666664</v>
      </c>
      <c r="O5658" s="38" t="s">
        <v>123</v>
      </c>
      <c r="P5658" s="38">
        <v>3600.0</v>
      </c>
      <c r="Q5658" s="39"/>
      <c r="R5658" s="39"/>
      <c r="S5658" s="39"/>
      <c r="T5658" s="39"/>
      <c r="U5658" s="39"/>
    </row>
    <row r="5659">
      <c r="A5659" s="40">
        <f t="shared" si="1"/>
        <v>46006</v>
      </c>
      <c r="B5659" s="37" t="str">
        <f t="array" ref="B5659">iferror(xlookup($I5659, 'IMPORT VHC Report'!$E:$E, 'IMPORT VHC Report'!$A:$C), )</f>
        <v/>
      </c>
      <c r="C5659" s="37"/>
      <c r="D5659" s="37"/>
      <c r="E5659" s="38" t="s">
        <v>6733</v>
      </c>
      <c r="F5659" s="38" t="s">
        <v>6730</v>
      </c>
      <c r="G5659" s="38">
        <v>3.61694652335E11</v>
      </c>
      <c r="H5659" s="38" t="s">
        <v>77</v>
      </c>
      <c r="I5659" s="38" t="s">
        <v>78</v>
      </c>
      <c r="J5659" s="38" t="s">
        <v>134</v>
      </c>
      <c r="K5659" s="38" t="s">
        <v>126</v>
      </c>
      <c r="L5659" s="41">
        <v>46007.541666666664</v>
      </c>
      <c r="M5659" s="38" t="s">
        <v>123</v>
      </c>
      <c r="N5659" s="41">
        <v>46007.5625</v>
      </c>
      <c r="O5659" s="38" t="s">
        <v>123</v>
      </c>
      <c r="P5659" s="38">
        <v>1800.0</v>
      </c>
      <c r="Q5659" s="39"/>
      <c r="R5659" s="39"/>
      <c r="S5659" s="39"/>
      <c r="T5659" s="39"/>
      <c r="U5659" s="39"/>
    </row>
    <row r="5660">
      <c r="A5660" s="40">
        <f t="shared" si="1"/>
        <v>46006</v>
      </c>
      <c r="B5660" s="37" t="str">
        <f t="array" ref="B5660">iferror(xlookup($I5660, 'IMPORT VHC Report'!$E:$E, 'IMPORT VHC Report'!$A:$C), )</f>
        <v/>
      </c>
      <c r="C5660" s="37"/>
      <c r="D5660" s="37"/>
      <c r="E5660" s="38" t="s">
        <v>6734</v>
      </c>
      <c r="F5660" s="38" t="s">
        <v>6730</v>
      </c>
      <c r="G5660" s="38">
        <v>3.61694652335E11</v>
      </c>
      <c r="H5660" s="38" t="s">
        <v>77</v>
      </c>
      <c r="I5660" s="38" t="s">
        <v>78</v>
      </c>
      <c r="J5660" s="38" t="s">
        <v>62</v>
      </c>
      <c r="K5660" s="38" t="s">
        <v>63</v>
      </c>
      <c r="L5660" s="41">
        <v>46008.25</v>
      </c>
      <c r="M5660" s="38" t="s">
        <v>123</v>
      </c>
      <c r="N5660" s="41">
        <v>46008.458333333336</v>
      </c>
      <c r="O5660" s="38" t="s">
        <v>123</v>
      </c>
      <c r="P5660" s="38">
        <v>18000.0</v>
      </c>
      <c r="Q5660" s="39"/>
      <c r="R5660" s="39"/>
      <c r="S5660" s="39"/>
      <c r="T5660" s="39"/>
      <c r="U5660" s="39"/>
    </row>
    <row r="5661">
      <c r="A5661" s="40">
        <f t="shared" si="1"/>
        <v>46006</v>
      </c>
      <c r="B5661" s="37" t="str">
        <f t="array" ref="B5661">iferror(xlookup($I5661, 'IMPORT VHC Report'!$E:$E, 'IMPORT VHC Report'!$A:$C), )</f>
        <v/>
      </c>
      <c r="C5661" s="37"/>
      <c r="D5661" s="37"/>
      <c r="E5661" s="38" t="s">
        <v>6735</v>
      </c>
      <c r="F5661" s="38" t="s">
        <v>6730</v>
      </c>
      <c r="G5661" s="38">
        <v>3.61694652335E11</v>
      </c>
      <c r="H5661" s="38" t="s">
        <v>77</v>
      </c>
      <c r="I5661" s="38" t="s">
        <v>78</v>
      </c>
      <c r="J5661" s="38" t="s">
        <v>330</v>
      </c>
      <c r="K5661" s="38" t="s">
        <v>126</v>
      </c>
      <c r="L5661" s="41">
        <v>46008.416666666664</v>
      </c>
      <c r="M5661" s="38" t="s">
        <v>123</v>
      </c>
      <c r="N5661" s="41">
        <v>46008.458333333336</v>
      </c>
      <c r="O5661" s="38" t="s">
        <v>123</v>
      </c>
      <c r="P5661" s="38">
        <v>3600.0</v>
      </c>
      <c r="Q5661" s="39"/>
      <c r="R5661" s="39"/>
      <c r="S5661" s="39"/>
      <c r="T5661" s="39"/>
      <c r="U5661" s="39"/>
    </row>
    <row r="5662">
      <c r="A5662" s="40">
        <f t="shared" si="1"/>
        <v>46006</v>
      </c>
      <c r="B5662" s="37" t="str">
        <f t="array" ref="B5662">iferror(xlookup($I5662, 'IMPORT VHC Report'!$E:$E, 'IMPORT VHC Report'!$A:$C), )</f>
        <v/>
      </c>
      <c r="C5662" s="37"/>
      <c r="D5662" s="37"/>
      <c r="E5662" s="38" t="s">
        <v>6736</v>
      </c>
      <c r="F5662" s="38" t="s">
        <v>6730</v>
      </c>
      <c r="G5662" s="38">
        <v>3.61694652335E11</v>
      </c>
      <c r="H5662" s="38" t="s">
        <v>77</v>
      </c>
      <c r="I5662" s="38" t="s">
        <v>78</v>
      </c>
      <c r="J5662" s="38" t="s">
        <v>791</v>
      </c>
      <c r="K5662" s="38" t="s">
        <v>63</v>
      </c>
      <c r="L5662" s="41">
        <v>46008.416666666664</v>
      </c>
      <c r="M5662" s="38" t="s">
        <v>123</v>
      </c>
      <c r="N5662" s="41">
        <v>46008.625</v>
      </c>
      <c r="O5662" s="38" t="s">
        <v>123</v>
      </c>
      <c r="P5662" s="38">
        <v>18000.0</v>
      </c>
      <c r="Q5662" s="39"/>
      <c r="R5662" s="39"/>
      <c r="S5662" s="39"/>
      <c r="T5662" s="39"/>
      <c r="U5662" s="39"/>
    </row>
    <row r="5663">
      <c r="A5663" s="40">
        <f t="shared" si="1"/>
        <v>46006</v>
      </c>
      <c r="B5663" s="37" t="str">
        <f t="array" ref="B5663">iferror(xlookup($I5663, 'IMPORT VHC Report'!$E:$E, 'IMPORT VHC Report'!$A:$C), )</f>
        <v/>
      </c>
      <c r="C5663" s="37"/>
      <c r="D5663" s="37"/>
      <c r="E5663" s="38" t="s">
        <v>6737</v>
      </c>
      <c r="F5663" s="38" t="s">
        <v>6730</v>
      </c>
      <c r="G5663" s="38">
        <v>3.61694652335E11</v>
      </c>
      <c r="H5663" s="38" t="s">
        <v>77</v>
      </c>
      <c r="I5663" s="38" t="s">
        <v>78</v>
      </c>
      <c r="J5663" s="38" t="s">
        <v>134</v>
      </c>
      <c r="K5663" s="38" t="s">
        <v>126</v>
      </c>
      <c r="L5663" s="41">
        <v>46008.5625</v>
      </c>
      <c r="M5663" s="38" t="s">
        <v>123</v>
      </c>
      <c r="N5663" s="41">
        <v>46008.583333333336</v>
      </c>
      <c r="O5663" s="38" t="s">
        <v>123</v>
      </c>
      <c r="P5663" s="38">
        <v>1800.0</v>
      </c>
      <c r="Q5663" s="39"/>
      <c r="R5663" s="39"/>
      <c r="S5663" s="39"/>
      <c r="T5663" s="39"/>
      <c r="U5663" s="39"/>
    </row>
    <row r="5664">
      <c r="A5664" s="40">
        <f t="shared" si="1"/>
        <v>46006</v>
      </c>
      <c r="B5664" s="37" t="str">
        <f t="array" ref="B5664">iferror(xlookup($I5664, 'IMPORT VHC Report'!$E:$E, 'IMPORT VHC Report'!$A:$C), )</f>
        <v/>
      </c>
      <c r="C5664" s="37"/>
      <c r="D5664" s="37"/>
      <c r="E5664" s="38" t="s">
        <v>6738</v>
      </c>
      <c r="F5664" s="38" t="s">
        <v>6730</v>
      </c>
      <c r="G5664" s="38">
        <v>3.61694652335E11</v>
      </c>
      <c r="H5664" s="38" t="s">
        <v>77</v>
      </c>
      <c r="I5664" s="38" t="s">
        <v>78</v>
      </c>
      <c r="J5664" s="38" t="s">
        <v>132</v>
      </c>
      <c r="K5664" s="38" t="s">
        <v>126</v>
      </c>
      <c r="L5664" s="41">
        <v>46008.583333333336</v>
      </c>
      <c r="M5664" s="38" t="s">
        <v>123</v>
      </c>
      <c r="N5664" s="41">
        <v>46008.625</v>
      </c>
      <c r="O5664" s="38" t="s">
        <v>123</v>
      </c>
      <c r="P5664" s="38">
        <v>3600.0</v>
      </c>
      <c r="Q5664" s="39"/>
      <c r="R5664" s="39"/>
      <c r="S5664" s="39"/>
      <c r="T5664" s="39"/>
      <c r="U5664" s="39"/>
    </row>
    <row r="5665">
      <c r="A5665" s="40">
        <f t="shared" si="1"/>
        <v>46006</v>
      </c>
      <c r="B5665" s="37" t="str">
        <f t="array" ref="B5665">iferror(xlookup($I5665, 'IMPORT VHC Report'!$E:$E, 'IMPORT VHC Report'!$A:$C), )</f>
        <v/>
      </c>
      <c r="C5665" s="37"/>
      <c r="D5665" s="37"/>
      <c r="E5665" s="38" t="s">
        <v>6739</v>
      </c>
      <c r="F5665" s="38" t="s">
        <v>6730</v>
      </c>
      <c r="G5665" s="38">
        <v>3.61694652335E11</v>
      </c>
      <c r="H5665" s="38" t="s">
        <v>77</v>
      </c>
      <c r="I5665" s="38" t="s">
        <v>78</v>
      </c>
      <c r="J5665" s="38" t="s">
        <v>791</v>
      </c>
      <c r="K5665" s="38" t="s">
        <v>63</v>
      </c>
      <c r="L5665" s="41">
        <v>46009.25</v>
      </c>
      <c r="M5665" s="38" t="s">
        <v>123</v>
      </c>
      <c r="N5665" s="41">
        <v>46009.625</v>
      </c>
      <c r="O5665" s="38" t="s">
        <v>123</v>
      </c>
      <c r="P5665" s="38">
        <v>32400.0</v>
      </c>
      <c r="Q5665" s="39"/>
      <c r="R5665" s="39"/>
      <c r="S5665" s="39"/>
      <c r="T5665" s="39"/>
      <c r="U5665" s="39"/>
    </row>
    <row r="5666">
      <c r="A5666" s="40">
        <f t="shared" si="1"/>
        <v>46006</v>
      </c>
      <c r="B5666" s="37" t="str">
        <f t="array" ref="B5666">iferror(xlookup($I5666, 'IMPORT VHC Report'!$E:$E, 'IMPORT VHC Report'!$A:$C), )</f>
        <v/>
      </c>
      <c r="C5666" s="37"/>
      <c r="D5666" s="37"/>
      <c r="E5666" s="38" t="s">
        <v>6740</v>
      </c>
      <c r="F5666" s="38" t="s">
        <v>6730</v>
      </c>
      <c r="G5666" s="38">
        <v>3.61694652335E11</v>
      </c>
      <c r="H5666" s="38" t="s">
        <v>77</v>
      </c>
      <c r="I5666" s="38" t="s">
        <v>78</v>
      </c>
      <c r="J5666" s="38" t="s">
        <v>136</v>
      </c>
      <c r="K5666" s="38" t="s">
        <v>126</v>
      </c>
      <c r="L5666" s="41">
        <v>46009.375</v>
      </c>
      <c r="M5666" s="38" t="s">
        <v>123</v>
      </c>
      <c r="N5666" s="41">
        <v>46009.427083333336</v>
      </c>
      <c r="O5666" s="38" t="s">
        <v>123</v>
      </c>
      <c r="P5666" s="38">
        <v>4500.0</v>
      </c>
      <c r="Q5666" s="39"/>
      <c r="R5666" s="39"/>
      <c r="S5666" s="39"/>
      <c r="T5666" s="39"/>
      <c r="U5666" s="39"/>
    </row>
    <row r="5667">
      <c r="A5667" s="40">
        <f t="shared" si="1"/>
        <v>46006</v>
      </c>
      <c r="B5667" s="37" t="str">
        <f t="array" ref="B5667">iferror(xlookup($I5667, 'IMPORT VHC Report'!$E:$E, 'IMPORT VHC Report'!$A:$C), )</f>
        <v/>
      </c>
      <c r="C5667" s="37"/>
      <c r="D5667" s="37"/>
      <c r="E5667" s="38" t="s">
        <v>6741</v>
      </c>
      <c r="F5667" s="38" t="s">
        <v>6730</v>
      </c>
      <c r="G5667" s="38">
        <v>3.61694652335E11</v>
      </c>
      <c r="H5667" s="38" t="s">
        <v>77</v>
      </c>
      <c r="I5667" s="38" t="s">
        <v>78</v>
      </c>
      <c r="J5667" s="38" t="s">
        <v>136</v>
      </c>
      <c r="K5667" s="38" t="s">
        <v>126</v>
      </c>
      <c r="L5667" s="41">
        <v>46009.458333333336</v>
      </c>
      <c r="M5667" s="38" t="s">
        <v>123</v>
      </c>
      <c r="N5667" s="41">
        <v>46009.5</v>
      </c>
      <c r="O5667" s="38" t="s">
        <v>123</v>
      </c>
      <c r="P5667" s="38">
        <v>3600.0</v>
      </c>
      <c r="Q5667" s="39"/>
      <c r="R5667" s="39"/>
      <c r="S5667" s="38" t="s">
        <v>2732</v>
      </c>
      <c r="T5667" s="39"/>
      <c r="U5667" s="39"/>
    </row>
    <row r="5668">
      <c r="A5668" s="40">
        <f t="shared" si="1"/>
        <v>46006</v>
      </c>
      <c r="B5668" s="37" t="str">
        <f t="array" ref="B5668">iferror(xlookup($I5668, 'IMPORT VHC Report'!$E:$E, 'IMPORT VHC Report'!$A:$C), )</f>
        <v/>
      </c>
      <c r="C5668" s="37"/>
      <c r="D5668" s="37"/>
      <c r="E5668" s="38" t="s">
        <v>6742</v>
      </c>
      <c r="F5668" s="38" t="s">
        <v>6730</v>
      </c>
      <c r="G5668" s="38">
        <v>3.61694652335E11</v>
      </c>
      <c r="H5668" s="38" t="s">
        <v>77</v>
      </c>
      <c r="I5668" s="38" t="s">
        <v>78</v>
      </c>
      <c r="J5668" s="38" t="s">
        <v>132</v>
      </c>
      <c r="K5668" s="38" t="s">
        <v>126</v>
      </c>
      <c r="L5668" s="41">
        <v>46009.5</v>
      </c>
      <c r="M5668" s="38" t="s">
        <v>123</v>
      </c>
      <c r="N5668" s="41">
        <v>46009.541666666664</v>
      </c>
      <c r="O5668" s="38" t="s">
        <v>123</v>
      </c>
      <c r="P5668" s="38">
        <v>3600.0</v>
      </c>
      <c r="Q5668" s="39"/>
      <c r="R5668" s="39"/>
      <c r="S5668" s="39"/>
      <c r="T5668" s="39"/>
      <c r="U5668" s="39"/>
    </row>
    <row r="5669">
      <c r="A5669" s="40">
        <f t="shared" si="1"/>
        <v>46006</v>
      </c>
      <c r="B5669" s="37" t="str">
        <f t="array" ref="B5669">iferror(xlookup($I5669, 'IMPORT VHC Report'!$E:$E, 'IMPORT VHC Report'!$A:$C), )</f>
        <v/>
      </c>
      <c r="C5669" s="37"/>
      <c r="D5669" s="37"/>
      <c r="E5669" s="38" t="s">
        <v>6743</v>
      </c>
      <c r="F5669" s="38" t="s">
        <v>6730</v>
      </c>
      <c r="G5669" s="38">
        <v>3.61694652335E11</v>
      </c>
      <c r="H5669" s="38" t="s">
        <v>77</v>
      </c>
      <c r="I5669" s="38" t="s">
        <v>78</v>
      </c>
      <c r="J5669" s="38" t="s">
        <v>134</v>
      </c>
      <c r="K5669" s="38" t="s">
        <v>126</v>
      </c>
      <c r="L5669" s="41">
        <v>46009.541666666664</v>
      </c>
      <c r="M5669" s="38" t="s">
        <v>123</v>
      </c>
      <c r="N5669" s="41">
        <v>46009.5625</v>
      </c>
      <c r="O5669" s="38" t="s">
        <v>123</v>
      </c>
      <c r="P5669" s="38">
        <v>1800.0</v>
      </c>
      <c r="Q5669" s="39"/>
      <c r="R5669" s="39"/>
      <c r="S5669" s="39"/>
      <c r="T5669" s="39"/>
      <c r="U5669" s="39"/>
    </row>
    <row r="5670">
      <c r="A5670" s="40">
        <f t="shared" si="1"/>
        <v>46006</v>
      </c>
      <c r="B5670" s="37" t="str">
        <f t="array" ref="B5670">iferror(xlookup($I5670, 'IMPORT VHC Report'!$E:$E, 'IMPORT VHC Report'!$A:$C), )</f>
        <v/>
      </c>
      <c r="C5670" s="37"/>
      <c r="D5670" s="37"/>
      <c r="E5670" s="38" t="s">
        <v>6744</v>
      </c>
      <c r="F5670" s="38" t="s">
        <v>6730</v>
      </c>
      <c r="G5670" s="38">
        <v>3.61694652335E11</v>
      </c>
      <c r="H5670" s="38" t="s">
        <v>77</v>
      </c>
      <c r="I5670" s="38" t="s">
        <v>78</v>
      </c>
      <c r="J5670" s="38" t="s">
        <v>791</v>
      </c>
      <c r="K5670" s="38" t="s">
        <v>63</v>
      </c>
      <c r="L5670" s="41">
        <v>46010.25</v>
      </c>
      <c r="M5670" s="38" t="s">
        <v>123</v>
      </c>
      <c r="N5670" s="41">
        <v>46010.625</v>
      </c>
      <c r="O5670" s="38" t="s">
        <v>123</v>
      </c>
      <c r="P5670" s="38">
        <v>32400.0</v>
      </c>
      <c r="Q5670" s="39"/>
      <c r="R5670" s="39"/>
      <c r="S5670" s="39"/>
      <c r="T5670" s="39"/>
      <c r="U5670" s="39"/>
    </row>
    <row r="5671">
      <c r="A5671" s="40">
        <f t="shared" si="1"/>
        <v>46006</v>
      </c>
      <c r="B5671" s="37" t="str">
        <f t="array" ref="B5671">iferror(xlookup($I5671, 'IMPORT VHC Report'!$E:$E, 'IMPORT VHC Report'!$A:$C), )</f>
        <v/>
      </c>
      <c r="C5671" s="37"/>
      <c r="D5671" s="37"/>
      <c r="E5671" s="38" t="s">
        <v>6745</v>
      </c>
      <c r="F5671" s="38" t="s">
        <v>6730</v>
      </c>
      <c r="G5671" s="38">
        <v>3.61694652335E11</v>
      </c>
      <c r="H5671" s="38" t="s">
        <v>77</v>
      </c>
      <c r="I5671" s="38" t="s">
        <v>78</v>
      </c>
      <c r="J5671" s="38" t="s">
        <v>134</v>
      </c>
      <c r="K5671" s="38" t="s">
        <v>126</v>
      </c>
      <c r="L5671" s="41">
        <v>46010.5625</v>
      </c>
      <c r="M5671" s="38" t="s">
        <v>123</v>
      </c>
      <c r="N5671" s="41">
        <v>46010.583333333336</v>
      </c>
      <c r="O5671" s="38" t="s">
        <v>123</v>
      </c>
      <c r="P5671" s="38">
        <v>1800.0</v>
      </c>
      <c r="Q5671" s="39"/>
      <c r="R5671" s="39"/>
      <c r="S5671" s="39"/>
      <c r="T5671" s="39"/>
      <c r="U5671" s="39"/>
    </row>
    <row r="5672">
      <c r="A5672" s="40">
        <f t="shared" si="1"/>
        <v>46006</v>
      </c>
      <c r="B5672" s="37" t="str">
        <f t="array" ref="B5672">iferror(xlookup($I5672, 'IMPORT VHC Report'!$E:$E, 'IMPORT VHC Report'!$A:$C), )</f>
        <v/>
      </c>
      <c r="C5672" s="37"/>
      <c r="D5672" s="37"/>
      <c r="E5672" s="38" t="s">
        <v>6746</v>
      </c>
      <c r="F5672" s="38" t="s">
        <v>6730</v>
      </c>
      <c r="G5672" s="38">
        <v>3.61694652335E11</v>
      </c>
      <c r="H5672" s="38" t="s">
        <v>77</v>
      </c>
      <c r="I5672" s="38" t="s">
        <v>78</v>
      </c>
      <c r="J5672" s="38" t="s">
        <v>132</v>
      </c>
      <c r="K5672" s="38" t="s">
        <v>126</v>
      </c>
      <c r="L5672" s="41">
        <v>46010.583333333336</v>
      </c>
      <c r="M5672" s="38" t="s">
        <v>123</v>
      </c>
      <c r="N5672" s="41">
        <v>46010.625</v>
      </c>
      <c r="O5672" s="38" t="s">
        <v>123</v>
      </c>
      <c r="P5672" s="38">
        <v>3600.0</v>
      </c>
      <c r="Q5672" s="39"/>
      <c r="R5672" s="39"/>
      <c r="S5672" s="39"/>
      <c r="T5672" s="39"/>
      <c r="U5672" s="39"/>
    </row>
    <row r="5673">
      <c r="A5673" s="40">
        <f t="shared" si="1"/>
        <v>46006</v>
      </c>
      <c r="B5673" s="37" t="str">
        <f t="array" ref="B5673">iferror(xlookup($I5673, 'IMPORT VHC Report'!$E:$E, 'IMPORT VHC Report'!$A:$C), )</f>
        <v/>
      </c>
      <c r="C5673" s="37"/>
      <c r="D5673" s="37"/>
      <c r="E5673" s="38" t="s">
        <v>6747</v>
      </c>
      <c r="F5673" s="38" t="s">
        <v>6730</v>
      </c>
      <c r="G5673" s="38">
        <v>3.61694652335E11</v>
      </c>
      <c r="H5673" s="38" t="s">
        <v>77</v>
      </c>
      <c r="I5673" s="38" t="s">
        <v>78</v>
      </c>
      <c r="J5673" s="38" t="s">
        <v>178</v>
      </c>
      <c r="K5673" s="38" t="s">
        <v>153</v>
      </c>
      <c r="L5673" s="41">
        <v>46011.25</v>
      </c>
      <c r="M5673" s="38" t="s">
        <v>123</v>
      </c>
      <c r="N5673" s="41">
        <v>46011.625</v>
      </c>
      <c r="O5673" s="38" t="s">
        <v>123</v>
      </c>
      <c r="P5673" s="38">
        <v>32400.0</v>
      </c>
      <c r="Q5673" s="38">
        <v>28800.0</v>
      </c>
      <c r="R5673" s="39"/>
      <c r="S5673" s="39"/>
      <c r="T5673" s="39"/>
      <c r="U5673" s="39"/>
    </row>
    <row r="5674">
      <c r="A5674" s="40">
        <f t="shared" si="1"/>
        <v>46006</v>
      </c>
      <c r="B5674" s="37" t="str">
        <f t="array" ref="B5674">iferror(xlookup($I5674, 'IMPORT VHC Report'!$E:$E, 'IMPORT VHC Report'!$A:$C), )</f>
        <v/>
      </c>
      <c r="C5674" s="37"/>
      <c r="D5674" s="37"/>
      <c r="E5674" s="38" t="s">
        <v>6748</v>
      </c>
      <c r="F5674" s="38" t="s">
        <v>6730</v>
      </c>
      <c r="G5674" s="38">
        <v>3.61694652335E11</v>
      </c>
      <c r="H5674" s="38" t="s">
        <v>77</v>
      </c>
      <c r="I5674" s="38" t="s">
        <v>78</v>
      </c>
      <c r="J5674" s="38" t="s">
        <v>791</v>
      </c>
      <c r="K5674" s="38" t="s">
        <v>63</v>
      </c>
      <c r="L5674" s="41">
        <v>46011.25</v>
      </c>
      <c r="M5674" s="38" t="s">
        <v>123</v>
      </c>
      <c r="N5674" s="41">
        <v>46011.625</v>
      </c>
      <c r="O5674" s="38" t="s">
        <v>123</v>
      </c>
      <c r="P5674" s="38">
        <v>32400.0</v>
      </c>
      <c r="Q5674" s="39"/>
      <c r="R5674" s="39"/>
      <c r="S5674" s="39"/>
      <c r="T5674" s="39"/>
      <c r="U5674" s="39"/>
    </row>
    <row r="5675">
      <c r="A5675" s="40">
        <f t="shared" si="1"/>
        <v>46006</v>
      </c>
      <c r="B5675" s="37" t="str">
        <f t="array" ref="B5675">iferror(xlookup($I5675, 'IMPORT VHC Report'!$E:$E, 'IMPORT VHC Report'!$A:$C), )</f>
        <v/>
      </c>
      <c r="C5675" s="37"/>
      <c r="D5675" s="37"/>
      <c r="E5675" s="38" t="s">
        <v>6749</v>
      </c>
      <c r="F5675" s="38" t="s">
        <v>6730</v>
      </c>
      <c r="G5675" s="38">
        <v>3.61694652335E11</v>
      </c>
      <c r="H5675" s="38" t="s">
        <v>77</v>
      </c>
      <c r="I5675" s="38" t="s">
        <v>78</v>
      </c>
      <c r="J5675" s="38" t="s">
        <v>132</v>
      </c>
      <c r="K5675" s="38" t="s">
        <v>126</v>
      </c>
      <c r="L5675" s="41">
        <v>46011.5</v>
      </c>
      <c r="M5675" s="38" t="s">
        <v>123</v>
      </c>
      <c r="N5675" s="41">
        <v>46011.541666666664</v>
      </c>
      <c r="O5675" s="38" t="s">
        <v>123</v>
      </c>
      <c r="P5675" s="38">
        <v>3600.0</v>
      </c>
      <c r="Q5675" s="39"/>
      <c r="R5675" s="39"/>
      <c r="S5675" s="39"/>
      <c r="T5675" s="39"/>
      <c r="U5675" s="39"/>
    </row>
    <row r="5676">
      <c r="A5676" s="40">
        <f t="shared" si="1"/>
        <v>46006</v>
      </c>
      <c r="B5676" s="37" t="str">
        <f t="array" ref="B5676">iferror(xlookup($I5676, 'IMPORT VHC Report'!$E:$E, 'IMPORT VHC Report'!$A:$C), )</f>
        <v/>
      </c>
      <c r="C5676" s="37"/>
      <c r="D5676" s="37"/>
      <c r="E5676" s="38" t="s">
        <v>6750</v>
      </c>
      <c r="F5676" s="38" t="s">
        <v>6730</v>
      </c>
      <c r="G5676" s="38">
        <v>3.61694652335E11</v>
      </c>
      <c r="H5676" s="38" t="s">
        <v>77</v>
      </c>
      <c r="I5676" s="38" t="s">
        <v>78</v>
      </c>
      <c r="J5676" s="38" t="s">
        <v>134</v>
      </c>
      <c r="K5676" s="38" t="s">
        <v>126</v>
      </c>
      <c r="L5676" s="41">
        <v>46011.541666666664</v>
      </c>
      <c r="M5676" s="38" t="s">
        <v>123</v>
      </c>
      <c r="N5676" s="41">
        <v>46011.5625</v>
      </c>
      <c r="O5676" s="38" t="s">
        <v>123</v>
      </c>
      <c r="P5676" s="38">
        <v>1800.0</v>
      </c>
      <c r="Q5676" s="39"/>
      <c r="R5676" s="39"/>
      <c r="S5676" s="39"/>
      <c r="T5676" s="39"/>
      <c r="U5676" s="39"/>
    </row>
    <row r="5677">
      <c r="A5677" s="40">
        <f t="shared" si="1"/>
        <v>46006</v>
      </c>
      <c r="B5677" s="37" t="str">
        <f t="array" ref="B5677">iferror(xlookup($I5677, 'IMPORT VHC Report'!$E:$E, 'IMPORT VHC Report'!$A:$C), )</f>
        <v/>
      </c>
      <c r="C5677" s="37"/>
      <c r="D5677" s="37"/>
      <c r="E5677" s="38" t="s">
        <v>6751</v>
      </c>
      <c r="F5677" s="38" t="s">
        <v>6752</v>
      </c>
      <c r="G5677" s="39"/>
      <c r="H5677" s="38" t="s">
        <v>6753</v>
      </c>
      <c r="I5677" s="38" t="s">
        <v>6754</v>
      </c>
      <c r="J5677" s="38" t="s">
        <v>125</v>
      </c>
      <c r="K5677" s="38" t="s">
        <v>126</v>
      </c>
      <c r="L5677" s="41">
        <v>46007.291666666664</v>
      </c>
      <c r="M5677" s="38" t="s">
        <v>123</v>
      </c>
      <c r="N5677" s="41">
        <v>46007.29861111111</v>
      </c>
      <c r="O5677" s="38" t="s">
        <v>123</v>
      </c>
      <c r="P5677" s="38">
        <v>600.0</v>
      </c>
      <c r="Q5677" s="39"/>
      <c r="R5677" s="39"/>
      <c r="S5677" s="38" t="s">
        <v>127</v>
      </c>
      <c r="T5677" s="39"/>
      <c r="U5677" s="39"/>
    </row>
    <row r="5678">
      <c r="A5678" s="40">
        <f t="shared" si="1"/>
        <v>46006</v>
      </c>
      <c r="B5678" s="37" t="str">
        <f t="array" ref="B5678">iferror(xlookup($I5678, 'IMPORT VHC Report'!$E:$E, 'IMPORT VHC Report'!$A:$C), )</f>
        <v/>
      </c>
      <c r="C5678" s="37"/>
      <c r="D5678" s="37"/>
      <c r="E5678" s="38" t="s">
        <v>6755</v>
      </c>
      <c r="F5678" s="38" t="s">
        <v>6752</v>
      </c>
      <c r="G5678" s="39"/>
      <c r="H5678" s="38" t="s">
        <v>6753</v>
      </c>
      <c r="I5678" s="38" t="s">
        <v>6754</v>
      </c>
      <c r="J5678" s="38" t="s">
        <v>122</v>
      </c>
      <c r="K5678" s="38" t="s">
        <v>63</v>
      </c>
      <c r="L5678" s="41">
        <v>46007.291666666664</v>
      </c>
      <c r="M5678" s="38" t="s">
        <v>123</v>
      </c>
      <c r="N5678" s="41">
        <v>46007.666666666664</v>
      </c>
      <c r="O5678" s="38" t="s">
        <v>123</v>
      </c>
      <c r="P5678" s="38">
        <v>32400.0</v>
      </c>
      <c r="Q5678" s="39"/>
      <c r="R5678" s="39"/>
      <c r="S5678" s="39"/>
      <c r="T5678" s="39"/>
      <c r="U5678" s="39"/>
    </row>
    <row r="5679">
      <c r="A5679" s="40">
        <f t="shared" si="1"/>
        <v>46006</v>
      </c>
      <c r="B5679" s="37" t="str">
        <f t="array" ref="B5679">iferror(xlookup($I5679, 'IMPORT VHC Report'!$E:$E, 'IMPORT VHC Report'!$A:$C), )</f>
        <v/>
      </c>
      <c r="C5679" s="37"/>
      <c r="D5679" s="37"/>
      <c r="E5679" s="38" t="s">
        <v>6756</v>
      </c>
      <c r="F5679" s="38" t="s">
        <v>6752</v>
      </c>
      <c r="G5679" s="39"/>
      <c r="H5679" s="38" t="s">
        <v>6753</v>
      </c>
      <c r="I5679" s="38" t="s">
        <v>6754</v>
      </c>
      <c r="J5679" s="38" t="s">
        <v>134</v>
      </c>
      <c r="K5679" s="38" t="s">
        <v>126</v>
      </c>
      <c r="L5679" s="41">
        <v>46007.375</v>
      </c>
      <c r="M5679" s="38" t="s">
        <v>123</v>
      </c>
      <c r="N5679" s="41">
        <v>46007.395833333336</v>
      </c>
      <c r="O5679" s="38" t="s">
        <v>123</v>
      </c>
      <c r="P5679" s="38">
        <v>1800.0</v>
      </c>
      <c r="Q5679" s="39"/>
      <c r="R5679" s="39"/>
      <c r="S5679" s="39"/>
      <c r="T5679" s="39"/>
      <c r="U5679" s="39"/>
    </row>
    <row r="5680">
      <c r="A5680" s="40">
        <f t="shared" si="1"/>
        <v>46006</v>
      </c>
      <c r="B5680" s="37" t="str">
        <f t="array" ref="B5680">iferror(xlookup($I5680, 'IMPORT VHC Report'!$E:$E, 'IMPORT VHC Report'!$A:$C), )</f>
        <v/>
      </c>
      <c r="C5680" s="37"/>
      <c r="D5680" s="37"/>
      <c r="E5680" s="38" t="s">
        <v>6757</v>
      </c>
      <c r="F5680" s="38" t="s">
        <v>6752</v>
      </c>
      <c r="G5680" s="39"/>
      <c r="H5680" s="38" t="s">
        <v>6753</v>
      </c>
      <c r="I5680" s="38" t="s">
        <v>6754</v>
      </c>
      <c r="J5680" s="38" t="s">
        <v>132</v>
      </c>
      <c r="K5680" s="38" t="s">
        <v>126</v>
      </c>
      <c r="L5680" s="41">
        <v>46007.53125</v>
      </c>
      <c r="M5680" s="38" t="s">
        <v>123</v>
      </c>
      <c r="N5680" s="41">
        <v>46007.572916666664</v>
      </c>
      <c r="O5680" s="38" t="s">
        <v>123</v>
      </c>
      <c r="P5680" s="38">
        <v>3600.0</v>
      </c>
      <c r="Q5680" s="39"/>
      <c r="R5680" s="39"/>
      <c r="S5680" s="39"/>
      <c r="T5680" s="39"/>
      <c r="U5680" s="39"/>
    </row>
    <row r="5681">
      <c r="A5681" s="40">
        <f t="shared" si="1"/>
        <v>46006</v>
      </c>
      <c r="B5681" s="37" t="str">
        <f t="array" ref="B5681">iferror(xlookup($I5681, 'IMPORT VHC Report'!$E:$E, 'IMPORT VHC Report'!$A:$C), )</f>
        <v/>
      </c>
      <c r="C5681" s="37"/>
      <c r="D5681" s="37"/>
      <c r="E5681" s="38" t="s">
        <v>6758</v>
      </c>
      <c r="F5681" s="38" t="s">
        <v>6752</v>
      </c>
      <c r="G5681" s="39"/>
      <c r="H5681" s="38" t="s">
        <v>6753</v>
      </c>
      <c r="I5681" s="38" t="s">
        <v>6754</v>
      </c>
      <c r="J5681" s="38" t="s">
        <v>4</v>
      </c>
      <c r="K5681" s="38" t="s">
        <v>126</v>
      </c>
      <c r="L5681" s="41">
        <v>46007.572916666664</v>
      </c>
      <c r="M5681" s="38" t="s">
        <v>123</v>
      </c>
      <c r="N5681" s="41">
        <v>46007.614583333336</v>
      </c>
      <c r="O5681" s="38" t="s">
        <v>123</v>
      </c>
      <c r="P5681" s="38">
        <v>3600.0</v>
      </c>
      <c r="Q5681" s="39"/>
      <c r="R5681" s="39"/>
      <c r="S5681" s="38" t="s">
        <v>130</v>
      </c>
      <c r="T5681" s="39"/>
      <c r="U5681" s="39"/>
    </row>
    <row r="5682">
      <c r="A5682" s="40">
        <f t="shared" si="1"/>
        <v>46006</v>
      </c>
      <c r="B5682" s="37" t="str">
        <f t="array" ref="B5682">iferror(xlookup($I5682, 'IMPORT VHC Report'!$E:$E, 'IMPORT VHC Report'!$A:$C), )</f>
        <v/>
      </c>
      <c r="C5682" s="37"/>
      <c r="D5682" s="37"/>
      <c r="E5682" s="38" t="s">
        <v>6759</v>
      </c>
      <c r="F5682" s="38" t="s">
        <v>6752</v>
      </c>
      <c r="G5682" s="39"/>
      <c r="H5682" s="38" t="s">
        <v>6753</v>
      </c>
      <c r="I5682" s="38" t="s">
        <v>6754</v>
      </c>
      <c r="J5682" s="38" t="s">
        <v>125</v>
      </c>
      <c r="K5682" s="38" t="s">
        <v>126</v>
      </c>
      <c r="L5682" s="41">
        <v>46008.291666666664</v>
      </c>
      <c r="M5682" s="38" t="s">
        <v>123</v>
      </c>
      <c r="N5682" s="41">
        <v>46008.29861111111</v>
      </c>
      <c r="O5682" s="38" t="s">
        <v>123</v>
      </c>
      <c r="P5682" s="38">
        <v>600.0</v>
      </c>
      <c r="Q5682" s="39"/>
      <c r="R5682" s="39"/>
      <c r="S5682" s="38" t="s">
        <v>127</v>
      </c>
      <c r="T5682" s="39"/>
      <c r="U5682" s="39"/>
    </row>
    <row r="5683">
      <c r="A5683" s="40">
        <f t="shared" si="1"/>
        <v>46006</v>
      </c>
      <c r="B5683" s="37" t="str">
        <f t="array" ref="B5683">iferror(xlookup($I5683, 'IMPORT VHC Report'!$E:$E, 'IMPORT VHC Report'!$A:$C), )</f>
        <v/>
      </c>
      <c r="C5683" s="37"/>
      <c r="D5683" s="37"/>
      <c r="E5683" s="38" t="s">
        <v>6760</v>
      </c>
      <c r="F5683" s="38" t="s">
        <v>6752</v>
      </c>
      <c r="G5683" s="39"/>
      <c r="H5683" s="38" t="s">
        <v>6753</v>
      </c>
      <c r="I5683" s="38" t="s">
        <v>6754</v>
      </c>
      <c r="J5683" s="38" t="s">
        <v>122</v>
      </c>
      <c r="K5683" s="38" t="s">
        <v>63</v>
      </c>
      <c r="L5683" s="41">
        <v>46008.291666666664</v>
      </c>
      <c r="M5683" s="38" t="s">
        <v>123</v>
      </c>
      <c r="N5683" s="41">
        <v>46008.666666666664</v>
      </c>
      <c r="O5683" s="38" t="s">
        <v>123</v>
      </c>
      <c r="P5683" s="38">
        <v>32400.0</v>
      </c>
      <c r="Q5683" s="39"/>
      <c r="R5683" s="39"/>
      <c r="S5683" s="39"/>
      <c r="T5683" s="39"/>
      <c r="U5683" s="39"/>
    </row>
    <row r="5684">
      <c r="A5684" s="40">
        <f t="shared" si="1"/>
        <v>46006</v>
      </c>
      <c r="B5684" s="37" t="str">
        <f t="array" ref="B5684">iferror(xlookup($I5684, 'IMPORT VHC Report'!$E:$E, 'IMPORT VHC Report'!$A:$C), )</f>
        <v/>
      </c>
      <c r="C5684" s="37"/>
      <c r="D5684" s="37"/>
      <c r="E5684" s="38" t="s">
        <v>6761</v>
      </c>
      <c r="F5684" s="38" t="s">
        <v>6752</v>
      </c>
      <c r="G5684" s="39"/>
      <c r="H5684" s="38" t="s">
        <v>6753</v>
      </c>
      <c r="I5684" s="38" t="s">
        <v>6754</v>
      </c>
      <c r="J5684" s="38" t="s">
        <v>134</v>
      </c>
      <c r="K5684" s="38" t="s">
        <v>126</v>
      </c>
      <c r="L5684" s="41">
        <v>46008.354166666664</v>
      </c>
      <c r="M5684" s="38" t="s">
        <v>123</v>
      </c>
      <c r="N5684" s="41">
        <v>46008.375</v>
      </c>
      <c r="O5684" s="38" t="s">
        <v>123</v>
      </c>
      <c r="P5684" s="38">
        <v>1800.0</v>
      </c>
      <c r="Q5684" s="39"/>
      <c r="R5684" s="39"/>
      <c r="S5684" s="39"/>
      <c r="T5684" s="39"/>
      <c r="U5684" s="39"/>
    </row>
    <row r="5685">
      <c r="A5685" s="40">
        <f t="shared" si="1"/>
        <v>46006</v>
      </c>
      <c r="B5685" s="37" t="str">
        <f t="array" ref="B5685">iferror(xlookup($I5685, 'IMPORT VHC Report'!$E:$E, 'IMPORT VHC Report'!$A:$C), )</f>
        <v/>
      </c>
      <c r="C5685" s="37"/>
      <c r="D5685" s="37"/>
      <c r="E5685" s="38" t="s">
        <v>6762</v>
      </c>
      <c r="F5685" s="38" t="s">
        <v>6752</v>
      </c>
      <c r="G5685" s="39"/>
      <c r="H5685" s="38" t="s">
        <v>6753</v>
      </c>
      <c r="I5685" s="38" t="s">
        <v>6754</v>
      </c>
      <c r="J5685" s="38" t="s">
        <v>136</v>
      </c>
      <c r="K5685" s="38" t="s">
        <v>126</v>
      </c>
      <c r="L5685" s="41">
        <v>46008.416666666664</v>
      </c>
      <c r="M5685" s="38" t="s">
        <v>123</v>
      </c>
      <c r="N5685" s="41">
        <v>46008.447916666664</v>
      </c>
      <c r="O5685" s="38" t="s">
        <v>123</v>
      </c>
      <c r="P5685" s="38">
        <v>2700.0</v>
      </c>
      <c r="Q5685" s="39"/>
      <c r="R5685" s="39"/>
      <c r="S5685" s="38" t="s">
        <v>137</v>
      </c>
      <c r="T5685" s="39"/>
      <c r="U5685" s="39"/>
    </row>
    <row r="5686">
      <c r="A5686" s="40">
        <f t="shared" si="1"/>
        <v>46006</v>
      </c>
      <c r="B5686" s="37" t="str">
        <f t="array" ref="B5686">iferror(xlookup($I5686, 'IMPORT VHC Report'!$E:$E, 'IMPORT VHC Report'!$A:$C), )</f>
        <v/>
      </c>
      <c r="C5686" s="37"/>
      <c r="D5686" s="37"/>
      <c r="E5686" s="38" t="s">
        <v>6763</v>
      </c>
      <c r="F5686" s="38" t="s">
        <v>6752</v>
      </c>
      <c r="G5686" s="39"/>
      <c r="H5686" s="38" t="s">
        <v>6753</v>
      </c>
      <c r="I5686" s="38" t="s">
        <v>6754</v>
      </c>
      <c r="J5686" s="38" t="s">
        <v>132</v>
      </c>
      <c r="K5686" s="38" t="s">
        <v>126</v>
      </c>
      <c r="L5686" s="41">
        <v>46008.489583333336</v>
      </c>
      <c r="M5686" s="38" t="s">
        <v>123</v>
      </c>
      <c r="N5686" s="41">
        <v>46008.53125</v>
      </c>
      <c r="O5686" s="38" t="s">
        <v>123</v>
      </c>
      <c r="P5686" s="38">
        <v>3600.0</v>
      </c>
      <c r="Q5686" s="39"/>
      <c r="R5686" s="39"/>
      <c r="S5686" s="39"/>
      <c r="T5686" s="39"/>
      <c r="U5686" s="39"/>
    </row>
    <row r="5687">
      <c r="A5687" s="40">
        <f t="shared" si="1"/>
        <v>46006</v>
      </c>
      <c r="B5687" s="37" t="str">
        <f t="array" ref="B5687">iferror(xlookup($I5687, 'IMPORT VHC Report'!$E:$E, 'IMPORT VHC Report'!$A:$C), )</f>
        <v/>
      </c>
      <c r="C5687" s="37"/>
      <c r="D5687" s="37"/>
      <c r="E5687" s="38" t="s">
        <v>6764</v>
      </c>
      <c r="F5687" s="38" t="s">
        <v>6752</v>
      </c>
      <c r="G5687" s="39"/>
      <c r="H5687" s="38" t="s">
        <v>6753</v>
      </c>
      <c r="I5687" s="38" t="s">
        <v>6754</v>
      </c>
      <c r="J5687" s="38" t="s">
        <v>125</v>
      </c>
      <c r="K5687" s="38" t="s">
        <v>126</v>
      </c>
      <c r="L5687" s="41">
        <v>46009.291666666664</v>
      </c>
      <c r="M5687" s="38" t="s">
        <v>123</v>
      </c>
      <c r="N5687" s="41">
        <v>46009.29861111111</v>
      </c>
      <c r="O5687" s="38" t="s">
        <v>123</v>
      </c>
      <c r="P5687" s="38">
        <v>600.0</v>
      </c>
      <c r="Q5687" s="39"/>
      <c r="R5687" s="39"/>
      <c r="S5687" s="38" t="s">
        <v>127</v>
      </c>
      <c r="T5687" s="39"/>
      <c r="U5687" s="39"/>
    </row>
    <row r="5688">
      <c r="A5688" s="40">
        <f t="shared" si="1"/>
        <v>46006</v>
      </c>
      <c r="B5688" s="37" t="str">
        <f t="array" ref="B5688">iferror(xlookup($I5688, 'IMPORT VHC Report'!$E:$E, 'IMPORT VHC Report'!$A:$C), )</f>
        <v/>
      </c>
      <c r="C5688" s="37"/>
      <c r="D5688" s="37"/>
      <c r="E5688" s="38" t="s">
        <v>6765</v>
      </c>
      <c r="F5688" s="38" t="s">
        <v>6752</v>
      </c>
      <c r="G5688" s="39"/>
      <c r="H5688" s="38" t="s">
        <v>6753</v>
      </c>
      <c r="I5688" s="38" t="s">
        <v>6754</v>
      </c>
      <c r="J5688" s="38" t="s">
        <v>122</v>
      </c>
      <c r="K5688" s="38" t="s">
        <v>63</v>
      </c>
      <c r="L5688" s="41">
        <v>46009.291666666664</v>
      </c>
      <c r="M5688" s="38" t="s">
        <v>123</v>
      </c>
      <c r="N5688" s="41">
        <v>46009.666666666664</v>
      </c>
      <c r="O5688" s="38" t="s">
        <v>123</v>
      </c>
      <c r="P5688" s="38">
        <v>32400.0</v>
      </c>
      <c r="Q5688" s="39"/>
      <c r="R5688" s="39"/>
      <c r="S5688" s="39"/>
      <c r="T5688" s="39"/>
      <c r="U5688" s="39"/>
    </row>
    <row r="5689">
      <c r="A5689" s="40">
        <f t="shared" si="1"/>
        <v>46006</v>
      </c>
      <c r="B5689" s="37" t="str">
        <f t="array" ref="B5689">iferror(xlookup($I5689, 'IMPORT VHC Report'!$E:$E, 'IMPORT VHC Report'!$A:$C), )</f>
        <v/>
      </c>
      <c r="C5689" s="37"/>
      <c r="D5689" s="37"/>
      <c r="E5689" s="38" t="s">
        <v>6766</v>
      </c>
      <c r="F5689" s="38" t="s">
        <v>6752</v>
      </c>
      <c r="G5689" s="39"/>
      <c r="H5689" s="38" t="s">
        <v>6753</v>
      </c>
      <c r="I5689" s="38" t="s">
        <v>6754</v>
      </c>
      <c r="J5689" s="38" t="s">
        <v>134</v>
      </c>
      <c r="K5689" s="38" t="s">
        <v>126</v>
      </c>
      <c r="L5689" s="41">
        <v>46009.4375</v>
      </c>
      <c r="M5689" s="38" t="s">
        <v>123</v>
      </c>
      <c r="N5689" s="41">
        <v>46009.458333333336</v>
      </c>
      <c r="O5689" s="38" t="s">
        <v>123</v>
      </c>
      <c r="P5689" s="38">
        <v>1800.0</v>
      </c>
      <c r="Q5689" s="39"/>
      <c r="R5689" s="39"/>
      <c r="S5689" s="39"/>
      <c r="T5689" s="39"/>
      <c r="U5689" s="39"/>
    </row>
    <row r="5690">
      <c r="A5690" s="40">
        <f t="shared" si="1"/>
        <v>46006</v>
      </c>
      <c r="B5690" s="37" t="str">
        <f t="array" ref="B5690">iferror(xlookup($I5690, 'IMPORT VHC Report'!$E:$E, 'IMPORT VHC Report'!$A:$C), )</f>
        <v/>
      </c>
      <c r="C5690" s="37"/>
      <c r="D5690" s="37"/>
      <c r="E5690" s="38" t="s">
        <v>6767</v>
      </c>
      <c r="F5690" s="38" t="s">
        <v>6752</v>
      </c>
      <c r="G5690" s="39"/>
      <c r="H5690" s="38" t="s">
        <v>6753</v>
      </c>
      <c r="I5690" s="38" t="s">
        <v>6754</v>
      </c>
      <c r="J5690" s="38" t="s">
        <v>132</v>
      </c>
      <c r="K5690" s="38" t="s">
        <v>126</v>
      </c>
      <c r="L5690" s="41">
        <v>46009.53125</v>
      </c>
      <c r="M5690" s="38" t="s">
        <v>123</v>
      </c>
      <c r="N5690" s="41">
        <v>46009.572916666664</v>
      </c>
      <c r="O5690" s="38" t="s">
        <v>123</v>
      </c>
      <c r="P5690" s="38">
        <v>3600.0</v>
      </c>
      <c r="Q5690" s="39"/>
      <c r="R5690" s="39"/>
      <c r="S5690" s="39"/>
      <c r="T5690" s="39"/>
      <c r="U5690" s="39"/>
    </row>
    <row r="5691">
      <c r="A5691" s="40">
        <f t="shared" si="1"/>
        <v>46006</v>
      </c>
      <c r="B5691" s="37" t="str">
        <f t="array" ref="B5691">iferror(xlookup($I5691, 'IMPORT VHC Report'!$E:$E, 'IMPORT VHC Report'!$A:$C), )</f>
        <v/>
      </c>
      <c r="C5691" s="37"/>
      <c r="D5691" s="37"/>
      <c r="E5691" s="38" t="s">
        <v>6768</v>
      </c>
      <c r="F5691" s="38" t="s">
        <v>6752</v>
      </c>
      <c r="G5691" s="39"/>
      <c r="H5691" s="38" t="s">
        <v>6753</v>
      </c>
      <c r="I5691" s="38" t="s">
        <v>6754</v>
      </c>
      <c r="J5691" s="38" t="s">
        <v>136</v>
      </c>
      <c r="K5691" s="38" t="s">
        <v>126</v>
      </c>
      <c r="L5691" s="41">
        <v>46009.583333333336</v>
      </c>
      <c r="M5691" s="38" t="s">
        <v>123</v>
      </c>
      <c r="N5691" s="41">
        <v>46009.62777777778</v>
      </c>
      <c r="O5691" s="38" t="s">
        <v>123</v>
      </c>
      <c r="P5691" s="38">
        <v>3840.0</v>
      </c>
      <c r="Q5691" s="39"/>
      <c r="R5691" s="39"/>
      <c r="S5691" s="38" t="s">
        <v>275</v>
      </c>
      <c r="T5691" s="39"/>
      <c r="U5691" s="39"/>
    </row>
    <row r="5692">
      <c r="A5692" s="40">
        <f t="shared" si="1"/>
        <v>46006</v>
      </c>
      <c r="B5692" s="37" t="str">
        <f t="array" ref="B5692">iferror(xlookup($I5692, 'IMPORT VHC Report'!$E:$E, 'IMPORT VHC Report'!$A:$C), )</f>
        <v/>
      </c>
      <c r="C5692" s="37"/>
      <c r="D5692" s="37"/>
      <c r="E5692" s="38" t="s">
        <v>6769</v>
      </c>
      <c r="F5692" s="38" t="s">
        <v>6752</v>
      </c>
      <c r="G5692" s="39"/>
      <c r="H5692" s="38" t="s">
        <v>6753</v>
      </c>
      <c r="I5692" s="38" t="s">
        <v>6754</v>
      </c>
      <c r="J5692" s="38" t="s">
        <v>125</v>
      </c>
      <c r="K5692" s="38" t="s">
        <v>126</v>
      </c>
      <c r="L5692" s="41">
        <v>46010.291666666664</v>
      </c>
      <c r="M5692" s="38" t="s">
        <v>123</v>
      </c>
      <c r="N5692" s="41">
        <v>46010.29861111111</v>
      </c>
      <c r="O5692" s="38" t="s">
        <v>123</v>
      </c>
      <c r="P5692" s="38">
        <v>600.0</v>
      </c>
      <c r="Q5692" s="39"/>
      <c r="R5692" s="39"/>
      <c r="S5692" s="38" t="s">
        <v>127</v>
      </c>
      <c r="T5692" s="39"/>
      <c r="U5692" s="39"/>
    </row>
    <row r="5693">
      <c r="A5693" s="40">
        <f t="shared" si="1"/>
        <v>46006</v>
      </c>
      <c r="B5693" s="37" t="str">
        <f t="array" ref="B5693">iferror(xlookup($I5693, 'IMPORT VHC Report'!$E:$E, 'IMPORT VHC Report'!$A:$C), )</f>
        <v/>
      </c>
      <c r="C5693" s="37"/>
      <c r="D5693" s="37"/>
      <c r="E5693" s="38" t="s">
        <v>6770</v>
      </c>
      <c r="F5693" s="38" t="s">
        <v>6752</v>
      </c>
      <c r="G5693" s="39"/>
      <c r="H5693" s="38" t="s">
        <v>6753</v>
      </c>
      <c r="I5693" s="38" t="s">
        <v>6754</v>
      </c>
      <c r="J5693" s="38" t="s">
        <v>122</v>
      </c>
      <c r="K5693" s="38" t="s">
        <v>63</v>
      </c>
      <c r="L5693" s="41">
        <v>46010.291666666664</v>
      </c>
      <c r="M5693" s="38" t="s">
        <v>123</v>
      </c>
      <c r="N5693" s="41">
        <v>46010.666666666664</v>
      </c>
      <c r="O5693" s="38" t="s">
        <v>123</v>
      </c>
      <c r="P5693" s="38">
        <v>32400.0</v>
      </c>
      <c r="Q5693" s="39"/>
      <c r="R5693" s="39"/>
      <c r="S5693" s="39"/>
      <c r="T5693" s="39"/>
      <c r="U5693" s="39"/>
    </row>
    <row r="5694">
      <c r="A5694" s="40">
        <f t="shared" si="1"/>
        <v>46006</v>
      </c>
      <c r="B5694" s="37" t="str">
        <f t="array" ref="B5694">iferror(xlookup($I5694, 'IMPORT VHC Report'!$E:$E, 'IMPORT VHC Report'!$A:$C), )</f>
        <v/>
      </c>
      <c r="C5694" s="37"/>
      <c r="D5694" s="37"/>
      <c r="E5694" s="38" t="s">
        <v>6771</v>
      </c>
      <c r="F5694" s="38" t="s">
        <v>6752</v>
      </c>
      <c r="G5694" s="39"/>
      <c r="H5694" s="38" t="s">
        <v>6753</v>
      </c>
      <c r="I5694" s="38" t="s">
        <v>6754</v>
      </c>
      <c r="J5694" s="38" t="s">
        <v>134</v>
      </c>
      <c r="K5694" s="38" t="s">
        <v>126</v>
      </c>
      <c r="L5694" s="41">
        <v>46010.395833333336</v>
      </c>
      <c r="M5694" s="38" t="s">
        <v>123</v>
      </c>
      <c r="N5694" s="41">
        <v>46010.416666666664</v>
      </c>
      <c r="O5694" s="38" t="s">
        <v>123</v>
      </c>
      <c r="P5694" s="38">
        <v>1800.0</v>
      </c>
      <c r="Q5694" s="39"/>
      <c r="R5694" s="39"/>
      <c r="S5694" s="39"/>
      <c r="T5694" s="39"/>
      <c r="U5694" s="39"/>
    </row>
    <row r="5695">
      <c r="A5695" s="40">
        <f t="shared" si="1"/>
        <v>46006</v>
      </c>
      <c r="B5695" s="37" t="str">
        <f t="array" ref="B5695">iferror(xlookup($I5695, 'IMPORT VHC Report'!$E:$E, 'IMPORT VHC Report'!$A:$C), )</f>
        <v/>
      </c>
      <c r="C5695" s="37"/>
      <c r="D5695" s="37"/>
      <c r="E5695" s="38" t="s">
        <v>6772</v>
      </c>
      <c r="F5695" s="38" t="s">
        <v>6752</v>
      </c>
      <c r="G5695" s="39"/>
      <c r="H5695" s="38" t="s">
        <v>6753</v>
      </c>
      <c r="I5695" s="38" t="s">
        <v>6754</v>
      </c>
      <c r="J5695" s="38" t="s">
        <v>132</v>
      </c>
      <c r="K5695" s="38" t="s">
        <v>126</v>
      </c>
      <c r="L5695" s="41">
        <v>46010.521527777775</v>
      </c>
      <c r="M5695" s="38" t="s">
        <v>123</v>
      </c>
      <c r="N5695" s="41">
        <v>46010.56319444445</v>
      </c>
      <c r="O5695" s="38" t="s">
        <v>123</v>
      </c>
      <c r="P5695" s="38">
        <v>3600.0</v>
      </c>
      <c r="Q5695" s="39"/>
      <c r="R5695" s="39"/>
      <c r="S5695" s="39"/>
      <c r="T5695" s="39"/>
      <c r="U5695" s="39"/>
    </row>
    <row r="5696">
      <c r="A5696" s="40">
        <f t="shared" si="1"/>
        <v>46006</v>
      </c>
      <c r="B5696" s="37" t="str">
        <f t="array" ref="B5696">iferror(xlookup($I5696, 'IMPORT VHC Report'!$E:$E, 'IMPORT VHC Report'!$A:$C), )</f>
        <v/>
      </c>
      <c r="C5696" s="37"/>
      <c r="D5696" s="37"/>
      <c r="E5696" s="38" t="s">
        <v>6773</v>
      </c>
      <c r="F5696" s="38" t="s">
        <v>6752</v>
      </c>
      <c r="G5696" s="39"/>
      <c r="H5696" s="38" t="s">
        <v>6753</v>
      </c>
      <c r="I5696" s="38" t="s">
        <v>6754</v>
      </c>
      <c r="J5696" s="38" t="s">
        <v>125</v>
      </c>
      <c r="K5696" s="38" t="s">
        <v>126</v>
      </c>
      <c r="L5696" s="41">
        <v>46011.291666666664</v>
      </c>
      <c r="M5696" s="38" t="s">
        <v>123</v>
      </c>
      <c r="N5696" s="41">
        <v>46011.29861111111</v>
      </c>
      <c r="O5696" s="38" t="s">
        <v>123</v>
      </c>
      <c r="P5696" s="38">
        <v>600.0</v>
      </c>
      <c r="Q5696" s="39"/>
      <c r="R5696" s="39"/>
      <c r="S5696" s="38" t="s">
        <v>127</v>
      </c>
      <c r="T5696" s="39"/>
      <c r="U5696" s="39"/>
    </row>
    <row r="5697">
      <c r="A5697" s="40">
        <f t="shared" si="1"/>
        <v>46006</v>
      </c>
      <c r="B5697" s="37" t="str">
        <f t="array" ref="B5697">iferror(xlookup($I5697, 'IMPORT VHC Report'!$E:$E, 'IMPORT VHC Report'!$A:$C), )</f>
        <v/>
      </c>
      <c r="C5697" s="37"/>
      <c r="D5697" s="37"/>
      <c r="E5697" s="38" t="s">
        <v>6774</v>
      </c>
      <c r="F5697" s="38" t="s">
        <v>6752</v>
      </c>
      <c r="G5697" s="39"/>
      <c r="H5697" s="38" t="s">
        <v>6753</v>
      </c>
      <c r="I5697" s="38" t="s">
        <v>6754</v>
      </c>
      <c r="J5697" s="38" t="s">
        <v>122</v>
      </c>
      <c r="K5697" s="38" t="s">
        <v>63</v>
      </c>
      <c r="L5697" s="41">
        <v>46011.291666666664</v>
      </c>
      <c r="M5697" s="38" t="s">
        <v>123</v>
      </c>
      <c r="N5697" s="41">
        <v>46011.666666666664</v>
      </c>
      <c r="O5697" s="38" t="s">
        <v>123</v>
      </c>
      <c r="P5697" s="38">
        <v>32400.0</v>
      </c>
      <c r="Q5697" s="39"/>
      <c r="R5697" s="39"/>
      <c r="S5697" s="39"/>
      <c r="T5697" s="39"/>
      <c r="U5697" s="39"/>
    </row>
    <row r="5698">
      <c r="A5698" s="40">
        <f t="shared" si="1"/>
        <v>46006</v>
      </c>
      <c r="B5698" s="37" t="str">
        <f t="array" ref="B5698">iferror(xlookup($I5698, 'IMPORT VHC Report'!$E:$E, 'IMPORT VHC Report'!$A:$C), )</f>
        <v/>
      </c>
      <c r="C5698" s="37"/>
      <c r="D5698" s="37"/>
      <c r="E5698" s="38" t="s">
        <v>6775</v>
      </c>
      <c r="F5698" s="38" t="s">
        <v>6752</v>
      </c>
      <c r="G5698" s="39"/>
      <c r="H5698" s="38" t="s">
        <v>6753</v>
      </c>
      <c r="I5698" s="38" t="s">
        <v>6754</v>
      </c>
      <c r="J5698" s="38" t="s">
        <v>132</v>
      </c>
      <c r="K5698" s="38" t="s">
        <v>126</v>
      </c>
      <c r="L5698" s="41">
        <v>46011.375</v>
      </c>
      <c r="M5698" s="38" t="s">
        <v>123</v>
      </c>
      <c r="N5698" s="41">
        <v>46011.416666666664</v>
      </c>
      <c r="O5698" s="38" t="s">
        <v>123</v>
      </c>
      <c r="P5698" s="38">
        <v>3600.0</v>
      </c>
      <c r="Q5698" s="39"/>
      <c r="R5698" s="39"/>
      <c r="S5698" s="39"/>
      <c r="T5698" s="39"/>
      <c r="U5698" s="39"/>
    </row>
    <row r="5699">
      <c r="A5699" s="40">
        <f t="shared" si="1"/>
        <v>46006</v>
      </c>
      <c r="B5699" s="37" t="str">
        <f t="array" ref="B5699">iferror(xlookup($I5699, 'IMPORT VHC Report'!$E:$E, 'IMPORT VHC Report'!$A:$C), )</f>
        <v/>
      </c>
      <c r="C5699" s="37"/>
      <c r="D5699" s="37"/>
      <c r="E5699" s="38" t="s">
        <v>6776</v>
      </c>
      <c r="F5699" s="38" t="s">
        <v>6752</v>
      </c>
      <c r="G5699" s="39"/>
      <c r="H5699" s="38" t="s">
        <v>6753</v>
      </c>
      <c r="I5699" s="38" t="s">
        <v>6754</v>
      </c>
      <c r="J5699" s="38" t="s">
        <v>134</v>
      </c>
      <c r="K5699" s="38" t="s">
        <v>126</v>
      </c>
      <c r="L5699" s="41">
        <v>46011.53125</v>
      </c>
      <c r="M5699" s="38" t="s">
        <v>123</v>
      </c>
      <c r="N5699" s="41">
        <v>46011.552083333336</v>
      </c>
      <c r="O5699" s="38" t="s">
        <v>123</v>
      </c>
      <c r="P5699" s="38">
        <v>1800.0</v>
      </c>
      <c r="Q5699" s="39"/>
      <c r="R5699" s="39"/>
      <c r="S5699" s="39"/>
      <c r="T5699" s="39"/>
      <c r="U5699" s="39"/>
    </row>
    <row r="5700">
      <c r="A5700" s="40">
        <f t="shared" si="1"/>
        <v>46006</v>
      </c>
      <c r="B5700" s="37" t="str">
        <f t="array" ref="B5700">iferror(xlookup($I5700, 'IMPORT VHC Report'!$E:$E, 'IMPORT VHC Report'!$A:$C), )</f>
        <v/>
      </c>
      <c r="C5700" s="37"/>
      <c r="D5700" s="37"/>
      <c r="E5700" s="38" t="s">
        <v>6777</v>
      </c>
      <c r="F5700" s="38" t="s">
        <v>6778</v>
      </c>
      <c r="G5700" s="38">
        <v>3.61731944855E11</v>
      </c>
      <c r="H5700" s="38" t="s">
        <v>6779</v>
      </c>
      <c r="I5700" s="38" t="s">
        <v>6780</v>
      </c>
      <c r="J5700" s="38" t="s">
        <v>2268</v>
      </c>
      <c r="K5700" s="38" t="s">
        <v>63</v>
      </c>
      <c r="L5700" s="41">
        <v>46007.291666666664</v>
      </c>
      <c r="M5700" s="38" t="s">
        <v>123</v>
      </c>
      <c r="N5700" s="41">
        <v>46007.375</v>
      </c>
      <c r="O5700" s="38" t="s">
        <v>123</v>
      </c>
      <c r="P5700" s="38">
        <v>7200.0</v>
      </c>
      <c r="Q5700" s="39"/>
      <c r="R5700" s="39"/>
      <c r="S5700" s="39"/>
      <c r="T5700" s="39"/>
      <c r="U5700" s="39"/>
    </row>
    <row r="5701">
      <c r="A5701" s="40">
        <f t="shared" si="1"/>
        <v>46006</v>
      </c>
      <c r="B5701" s="37" t="str">
        <f t="array" ref="B5701">iferror(xlookup($I5701, 'IMPORT VHC Report'!$E:$E, 'IMPORT VHC Report'!$A:$C), )</f>
        <v/>
      </c>
      <c r="C5701" s="37"/>
      <c r="D5701" s="37"/>
      <c r="E5701" s="38" t="s">
        <v>6781</v>
      </c>
      <c r="F5701" s="38" t="s">
        <v>6778</v>
      </c>
      <c r="G5701" s="38">
        <v>3.61731944855E11</v>
      </c>
      <c r="H5701" s="38" t="s">
        <v>6779</v>
      </c>
      <c r="I5701" s="38" t="s">
        <v>6780</v>
      </c>
      <c r="J5701" s="38" t="s">
        <v>152</v>
      </c>
      <c r="K5701" s="38" t="s">
        <v>153</v>
      </c>
      <c r="L5701" s="41">
        <v>46007.291666666664</v>
      </c>
      <c r="M5701" s="38" t="s">
        <v>123</v>
      </c>
      <c r="N5701" s="41">
        <v>46007.666666666664</v>
      </c>
      <c r="O5701" s="38" t="s">
        <v>123</v>
      </c>
      <c r="P5701" s="38">
        <v>32400.0</v>
      </c>
      <c r="Q5701" s="38">
        <v>32400.0</v>
      </c>
      <c r="R5701" s="38" t="s">
        <v>6782</v>
      </c>
      <c r="S5701" s="39"/>
      <c r="T5701" s="39"/>
      <c r="U5701" s="39"/>
    </row>
    <row r="5702">
      <c r="A5702" s="40">
        <f t="shared" si="1"/>
        <v>46006</v>
      </c>
      <c r="B5702" s="37" t="str">
        <f t="array" ref="B5702">iferror(xlookup($I5702, 'IMPORT VHC Report'!$E:$E, 'IMPORT VHC Report'!$A:$C), )</f>
        <v/>
      </c>
      <c r="C5702" s="37"/>
      <c r="D5702" s="37"/>
      <c r="E5702" s="38" t="s">
        <v>6783</v>
      </c>
      <c r="F5702" s="38" t="s">
        <v>6778</v>
      </c>
      <c r="G5702" s="38">
        <v>3.61731944855E11</v>
      </c>
      <c r="H5702" s="38" t="s">
        <v>6779</v>
      </c>
      <c r="I5702" s="38" t="s">
        <v>6780</v>
      </c>
      <c r="J5702" s="38" t="s">
        <v>136</v>
      </c>
      <c r="K5702" s="38" t="s">
        <v>126</v>
      </c>
      <c r="L5702" s="41">
        <v>46007.3125</v>
      </c>
      <c r="M5702" s="38" t="s">
        <v>123</v>
      </c>
      <c r="N5702" s="41">
        <v>46007.333333333336</v>
      </c>
      <c r="O5702" s="38" t="s">
        <v>123</v>
      </c>
      <c r="P5702" s="38">
        <v>1800.0</v>
      </c>
      <c r="Q5702" s="39"/>
      <c r="R5702" s="39"/>
      <c r="S5702" s="38" t="s">
        <v>1680</v>
      </c>
      <c r="T5702" s="39"/>
      <c r="U5702" s="39"/>
    </row>
    <row r="5703">
      <c r="A5703" s="40">
        <f t="shared" si="1"/>
        <v>46006</v>
      </c>
      <c r="B5703" s="37" t="str">
        <f t="array" ref="B5703">iferror(xlookup($I5703, 'IMPORT VHC Report'!$E:$E, 'IMPORT VHC Report'!$A:$C), )</f>
        <v/>
      </c>
      <c r="C5703" s="37"/>
      <c r="D5703" s="37"/>
      <c r="E5703" s="38" t="s">
        <v>6784</v>
      </c>
      <c r="F5703" s="38" t="s">
        <v>6778</v>
      </c>
      <c r="G5703" s="38">
        <v>3.61731944855E11</v>
      </c>
      <c r="H5703" s="38" t="s">
        <v>6779</v>
      </c>
      <c r="I5703" s="38" t="s">
        <v>6780</v>
      </c>
      <c r="J5703" s="38" t="s">
        <v>2268</v>
      </c>
      <c r="K5703" s="38" t="s">
        <v>63</v>
      </c>
      <c r="L5703" s="41">
        <v>46007.375</v>
      </c>
      <c r="M5703" s="38" t="s">
        <v>123</v>
      </c>
      <c r="N5703" s="41">
        <v>46007.416666666664</v>
      </c>
      <c r="O5703" s="38" t="s">
        <v>123</v>
      </c>
      <c r="P5703" s="38">
        <v>3600.0</v>
      </c>
      <c r="Q5703" s="39"/>
      <c r="R5703" s="39"/>
      <c r="S5703" s="38" t="s">
        <v>6785</v>
      </c>
      <c r="T5703" s="39"/>
      <c r="U5703" s="39"/>
    </row>
    <row r="5704">
      <c r="A5704" s="40">
        <f t="shared" si="1"/>
        <v>46006</v>
      </c>
      <c r="B5704" s="37" t="str">
        <f t="array" ref="B5704">iferror(xlookup($I5704, 'IMPORT VHC Report'!$E:$E, 'IMPORT VHC Report'!$A:$C), )</f>
        <v/>
      </c>
      <c r="C5704" s="37"/>
      <c r="D5704" s="37"/>
      <c r="E5704" s="38" t="s">
        <v>6786</v>
      </c>
      <c r="F5704" s="38" t="s">
        <v>6778</v>
      </c>
      <c r="G5704" s="38">
        <v>3.61731944855E11</v>
      </c>
      <c r="H5704" s="38" t="s">
        <v>6779</v>
      </c>
      <c r="I5704" s="38" t="s">
        <v>6780</v>
      </c>
      <c r="J5704" s="38" t="s">
        <v>2268</v>
      </c>
      <c r="K5704" s="38" t="s">
        <v>63</v>
      </c>
      <c r="L5704" s="41">
        <v>46007.416666666664</v>
      </c>
      <c r="M5704" s="38" t="s">
        <v>123</v>
      </c>
      <c r="N5704" s="41">
        <v>46007.541666666664</v>
      </c>
      <c r="O5704" s="38" t="s">
        <v>123</v>
      </c>
      <c r="P5704" s="38">
        <v>10800.0</v>
      </c>
      <c r="Q5704" s="39"/>
      <c r="R5704" s="39"/>
      <c r="S5704" s="39"/>
      <c r="T5704" s="39"/>
      <c r="U5704" s="39"/>
    </row>
    <row r="5705">
      <c r="A5705" s="40">
        <f t="shared" si="1"/>
        <v>46006</v>
      </c>
      <c r="B5705" s="37" t="str">
        <f t="array" ref="B5705">iferror(xlookup($I5705, 'IMPORT VHC Report'!$E:$E, 'IMPORT VHC Report'!$A:$C), )</f>
        <v/>
      </c>
      <c r="C5705" s="37"/>
      <c r="D5705" s="37"/>
      <c r="E5705" s="38" t="s">
        <v>6787</v>
      </c>
      <c r="F5705" s="38" t="s">
        <v>6778</v>
      </c>
      <c r="G5705" s="38">
        <v>3.61731944855E11</v>
      </c>
      <c r="H5705" s="38" t="s">
        <v>6779</v>
      </c>
      <c r="I5705" s="38" t="s">
        <v>6780</v>
      </c>
      <c r="J5705" s="38" t="s">
        <v>4</v>
      </c>
      <c r="K5705" s="38" t="s">
        <v>126</v>
      </c>
      <c r="L5705" s="41">
        <v>46007.4375</v>
      </c>
      <c r="M5705" s="38" t="s">
        <v>123</v>
      </c>
      <c r="N5705" s="41">
        <v>46007.46875</v>
      </c>
      <c r="O5705" s="38" t="s">
        <v>123</v>
      </c>
      <c r="P5705" s="38">
        <v>2700.0</v>
      </c>
      <c r="Q5705" s="39"/>
      <c r="R5705" s="39"/>
      <c r="S5705" s="38" t="s">
        <v>2478</v>
      </c>
      <c r="T5705" s="39"/>
      <c r="U5705" s="39"/>
    </row>
    <row r="5706">
      <c r="A5706" s="40">
        <f t="shared" si="1"/>
        <v>46006</v>
      </c>
      <c r="B5706" s="37" t="str">
        <f t="array" ref="B5706">iferror(xlookup($I5706, 'IMPORT VHC Report'!$E:$E, 'IMPORT VHC Report'!$A:$C), )</f>
        <v/>
      </c>
      <c r="C5706" s="37"/>
      <c r="D5706" s="37"/>
      <c r="E5706" s="38" t="s">
        <v>6788</v>
      </c>
      <c r="F5706" s="38" t="s">
        <v>6778</v>
      </c>
      <c r="G5706" s="38">
        <v>3.61731944855E11</v>
      </c>
      <c r="H5706" s="38" t="s">
        <v>6779</v>
      </c>
      <c r="I5706" s="38" t="s">
        <v>6780</v>
      </c>
      <c r="J5706" s="38" t="s">
        <v>134</v>
      </c>
      <c r="K5706" s="38" t="s">
        <v>126</v>
      </c>
      <c r="L5706" s="41">
        <v>46007.46875</v>
      </c>
      <c r="M5706" s="38" t="s">
        <v>123</v>
      </c>
      <c r="N5706" s="41">
        <v>46007.510416666664</v>
      </c>
      <c r="O5706" s="38" t="s">
        <v>123</v>
      </c>
      <c r="P5706" s="38">
        <v>3600.0</v>
      </c>
      <c r="Q5706" s="39"/>
      <c r="R5706" s="39"/>
      <c r="S5706" s="39"/>
      <c r="T5706" s="39"/>
      <c r="U5706" s="39"/>
    </row>
    <row r="5707">
      <c r="A5707" s="40">
        <f t="shared" si="1"/>
        <v>46006</v>
      </c>
      <c r="B5707" s="37" t="str">
        <f t="array" ref="B5707">iferror(xlookup($I5707, 'IMPORT VHC Report'!$E:$E, 'IMPORT VHC Report'!$A:$C), )</f>
        <v/>
      </c>
      <c r="C5707" s="37"/>
      <c r="D5707" s="37"/>
      <c r="E5707" s="38" t="s">
        <v>6789</v>
      </c>
      <c r="F5707" s="38" t="s">
        <v>6778</v>
      </c>
      <c r="G5707" s="38">
        <v>3.61731944855E11</v>
      </c>
      <c r="H5707" s="38" t="s">
        <v>6779</v>
      </c>
      <c r="I5707" s="38" t="s">
        <v>6780</v>
      </c>
      <c r="J5707" s="38" t="s">
        <v>132</v>
      </c>
      <c r="K5707" s="38" t="s">
        <v>126</v>
      </c>
      <c r="L5707" s="41">
        <v>46007.510416666664</v>
      </c>
      <c r="M5707" s="38" t="s">
        <v>123</v>
      </c>
      <c r="N5707" s="41">
        <v>46007.552083333336</v>
      </c>
      <c r="O5707" s="38" t="s">
        <v>123</v>
      </c>
      <c r="P5707" s="38">
        <v>3600.0</v>
      </c>
      <c r="Q5707" s="39"/>
      <c r="R5707" s="39"/>
      <c r="S5707" s="39"/>
      <c r="T5707" s="39"/>
      <c r="U5707" s="39"/>
    </row>
    <row r="5708">
      <c r="A5708" s="40">
        <f t="shared" si="1"/>
        <v>46006</v>
      </c>
      <c r="B5708" s="37" t="str">
        <f t="array" ref="B5708">iferror(xlookup($I5708, 'IMPORT VHC Report'!$E:$E, 'IMPORT VHC Report'!$A:$C), )</f>
        <v/>
      </c>
      <c r="C5708" s="37"/>
      <c r="D5708" s="37"/>
      <c r="E5708" s="38" t="s">
        <v>6790</v>
      </c>
      <c r="F5708" s="38" t="s">
        <v>6778</v>
      </c>
      <c r="G5708" s="38">
        <v>3.61731944855E11</v>
      </c>
      <c r="H5708" s="38" t="s">
        <v>6779</v>
      </c>
      <c r="I5708" s="38" t="s">
        <v>6780</v>
      </c>
      <c r="J5708" s="38" t="s">
        <v>368</v>
      </c>
      <c r="K5708" s="38" t="s">
        <v>63</v>
      </c>
      <c r="L5708" s="41">
        <v>46007.541666666664</v>
      </c>
      <c r="M5708" s="38" t="s">
        <v>123</v>
      </c>
      <c r="N5708" s="41">
        <v>46007.625</v>
      </c>
      <c r="O5708" s="38" t="s">
        <v>123</v>
      </c>
      <c r="P5708" s="38">
        <v>7200.0</v>
      </c>
      <c r="Q5708" s="39"/>
      <c r="R5708" s="39"/>
      <c r="S5708" s="39"/>
      <c r="T5708" s="39"/>
      <c r="U5708" s="39"/>
    </row>
    <row r="5709">
      <c r="A5709" s="40">
        <f t="shared" si="1"/>
        <v>46006</v>
      </c>
      <c r="B5709" s="37" t="str">
        <f t="array" ref="B5709">iferror(xlookup($I5709, 'IMPORT VHC Report'!$E:$E, 'IMPORT VHC Report'!$A:$C), )</f>
        <v/>
      </c>
      <c r="C5709" s="37"/>
      <c r="D5709" s="37"/>
      <c r="E5709" s="38" t="s">
        <v>6791</v>
      </c>
      <c r="F5709" s="38" t="s">
        <v>6778</v>
      </c>
      <c r="G5709" s="38">
        <v>3.61731944855E11</v>
      </c>
      <c r="H5709" s="38" t="s">
        <v>6779</v>
      </c>
      <c r="I5709" s="38" t="s">
        <v>6780</v>
      </c>
      <c r="J5709" s="38" t="s">
        <v>2268</v>
      </c>
      <c r="K5709" s="38" t="s">
        <v>63</v>
      </c>
      <c r="L5709" s="41">
        <v>46007.625</v>
      </c>
      <c r="M5709" s="38" t="s">
        <v>123</v>
      </c>
      <c r="N5709" s="41">
        <v>46007.666666666664</v>
      </c>
      <c r="O5709" s="38" t="s">
        <v>123</v>
      </c>
      <c r="P5709" s="38">
        <v>3600.0</v>
      </c>
      <c r="Q5709" s="39"/>
      <c r="R5709" s="39"/>
      <c r="S5709" s="39"/>
      <c r="T5709" s="39"/>
      <c r="U5709" s="39"/>
    </row>
    <row r="5710">
      <c r="A5710" s="40">
        <f t="shared" si="1"/>
        <v>46006</v>
      </c>
      <c r="B5710" s="37" t="str">
        <f t="array" ref="B5710">iferror(xlookup($I5710, 'IMPORT VHC Report'!$E:$E, 'IMPORT VHC Report'!$A:$C), )</f>
        <v/>
      </c>
      <c r="C5710" s="37"/>
      <c r="D5710" s="37"/>
      <c r="E5710" s="38" t="s">
        <v>6792</v>
      </c>
      <c r="F5710" s="38" t="s">
        <v>6778</v>
      </c>
      <c r="G5710" s="38">
        <v>3.61731944855E11</v>
      </c>
      <c r="H5710" s="38" t="s">
        <v>6779</v>
      </c>
      <c r="I5710" s="38" t="s">
        <v>6780</v>
      </c>
      <c r="J5710" s="38" t="s">
        <v>178</v>
      </c>
      <c r="K5710" s="38" t="s">
        <v>153</v>
      </c>
      <c r="L5710" s="41">
        <v>46008.291666666664</v>
      </c>
      <c r="M5710" s="38" t="s">
        <v>123</v>
      </c>
      <c r="N5710" s="41">
        <v>46008.666666666664</v>
      </c>
      <c r="O5710" s="38" t="s">
        <v>123</v>
      </c>
      <c r="P5710" s="38">
        <v>32400.0</v>
      </c>
      <c r="Q5710" s="38">
        <v>32400.0</v>
      </c>
      <c r="R5710" s="39"/>
      <c r="S5710" s="39"/>
      <c r="T5710" s="39"/>
      <c r="U5710" s="39"/>
    </row>
    <row r="5711">
      <c r="A5711" s="40">
        <f t="shared" si="1"/>
        <v>46006</v>
      </c>
      <c r="B5711" s="37" t="str">
        <f t="array" ref="B5711">iferror(xlookup($I5711, 'IMPORT VHC Report'!$E:$E, 'IMPORT VHC Report'!$A:$C), )</f>
        <v/>
      </c>
      <c r="C5711" s="37"/>
      <c r="D5711" s="37"/>
      <c r="E5711" s="38" t="s">
        <v>6793</v>
      </c>
      <c r="F5711" s="38" t="s">
        <v>6778</v>
      </c>
      <c r="G5711" s="38">
        <v>3.61731944855E11</v>
      </c>
      <c r="H5711" s="38" t="s">
        <v>6779</v>
      </c>
      <c r="I5711" s="38" t="s">
        <v>6780</v>
      </c>
      <c r="J5711" s="38" t="s">
        <v>134</v>
      </c>
      <c r="K5711" s="38" t="s">
        <v>126</v>
      </c>
      <c r="L5711" s="41">
        <v>46008.416666666664</v>
      </c>
      <c r="M5711" s="38" t="s">
        <v>123</v>
      </c>
      <c r="N5711" s="41">
        <v>46008.4375</v>
      </c>
      <c r="O5711" s="38" t="s">
        <v>123</v>
      </c>
      <c r="P5711" s="38">
        <v>1800.0</v>
      </c>
      <c r="Q5711" s="39"/>
      <c r="R5711" s="39"/>
      <c r="S5711" s="39"/>
      <c r="T5711" s="39"/>
      <c r="U5711" s="39"/>
    </row>
    <row r="5712">
      <c r="A5712" s="40">
        <f t="shared" si="1"/>
        <v>46006</v>
      </c>
      <c r="B5712" s="37" t="str">
        <f t="array" ref="B5712">iferror(xlookup($I5712, 'IMPORT VHC Report'!$E:$E, 'IMPORT VHC Report'!$A:$C), )</f>
        <v/>
      </c>
      <c r="C5712" s="37"/>
      <c r="D5712" s="37"/>
      <c r="E5712" s="38" t="s">
        <v>6794</v>
      </c>
      <c r="F5712" s="38" t="s">
        <v>6778</v>
      </c>
      <c r="G5712" s="38">
        <v>3.61731944855E11</v>
      </c>
      <c r="H5712" s="38" t="s">
        <v>6779</v>
      </c>
      <c r="I5712" s="38" t="s">
        <v>6780</v>
      </c>
      <c r="J5712" s="38" t="s">
        <v>132</v>
      </c>
      <c r="K5712" s="38" t="s">
        <v>126</v>
      </c>
      <c r="L5712" s="41">
        <v>46008.541666666664</v>
      </c>
      <c r="M5712" s="38" t="s">
        <v>123</v>
      </c>
      <c r="N5712" s="41">
        <v>46008.583333333336</v>
      </c>
      <c r="O5712" s="38" t="s">
        <v>123</v>
      </c>
      <c r="P5712" s="38">
        <v>3600.0</v>
      </c>
      <c r="Q5712" s="39"/>
      <c r="R5712" s="39"/>
      <c r="S5712" s="39"/>
      <c r="T5712" s="39"/>
      <c r="U5712" s="39"/>
    </row>
    <row r="5713">
      <c r="A5713" s="40">
        <f t="shared" si="1"/>
        <v>46006</v>
      </c>
      <c r="B5713" s="37" t="str">
        <f t="array" ref="B5713">iferror(xlookup($I5713, 'IMPORT VHC Report'!$E:$E, 'IMPORT VHC Report'!$A:$C), )</f>
        <v/>
      </c>
      <c r="C5713" s="37"/>
      <c r="D5713" s="37"/>
      <c r="E5713" s="38" t="s">
        <v>6795</v>
      </c>
      <c r="F5713" s="38" t="s">
        <v>6778</v>
      </c>
      <c r="G5713" s="38">
        <v>3.61731944855E11</v>
      </c>
      <c r="H5713" s="38" t="s">
        <v>6779</v>
      </c>
      <c r="I5713" s="38" t="s">
        <v>6780</v>
      </c>
      <c r="J5713" s="38" t="s">
        <v>178</v>
      </c>
      <c r="K5713" s="38" t="s">
        <v>153</v>
      </c>
      <c r="L5713" s="41">
        <v>46009.291666666664</v>
      </c>
      <c r="M5713" s="38" t="s">
        <v>123</v>
      </c>
      <c r="N5713" s="41">
        <v>46009.666666666664</v>
      </c>
      <c r="O5713" s="38" t="s">
        <v>123</v>
      </c>
      <c r="P5713" s="38">
        <v>32400.0</v>
      </c>
      <c r="Q5713" s="38">
        <v>32400.0</v>
      </c>
      <c r="R5713" s="38" t="s">
        <v>6796</v>
      </c>
      <c r="S5713" s="38" t="s">
        <v>6796</v>
      </c>
      <c r="T5713" s="39"/>
      <c r="U5713" s="39"/>
    </row>
    <row r="5714">
      <c r="A5714" s="40">
        <f t="shared" si="1"/>
        <v>46006</v>
      </c>
      <c r="B5714" s="37" t="str">
        <f t="array" ref="B5714">iferror(xlookup($I5714, 'IMPORT VHC Report'!$E:$E, 'IMPORT VHC Report'!$A:$C), )</f>
        <v/>
      </c>
      <c r="C5714" s="37"/>
      <c r="D5714" s="37"/>
      <c r="E5714" s="38" t="s">
        <v>6797</v>
      </c>
      <c r="F5714" s="38" t="s">
        <v>6778</v>
      </c>
      <c r="G5714" s="38">
        <v>3.61731944855E11</v>
      </c>
      <c r="H5714" s="38" t="s">
        <v>6779</v>
      </c>
      <c r="I5714" s="38" t="s">
        <v>6780</v>
      </c>
      <c r="J5714" s="38" t="s">
        <v>134</v>
      </c>
      <c r="K5714" s="38" t="s">
        <v>126</v>
      </c>
      <c r="L5714" s="41">
        <v>46009.40625</v>
      </c>
      <c r="M5714" s="38" t="s">
        <v>123</v>
      </c>
      <c r="N5714" s="41">
        <v>46009.427083333336</v>
      </c>
      <c r="O5714" s="38" t="s">
        <v>123</v>
      </c>
      <c r="P5714" s="38">
        <v>1800.0</v>
      </c>
      <c r="Q5714" s="39"/>
      <c r="R5714" s="39"/>
      <c r="S5714" s="39"/>
      <c r="T5714" s="39"/>
      <c r="U5714" s="39"/>
    </row>
    <row r="5715">
      <c r="A5715" s="40">
        <f t="shared" si="1"/>
        <v>46006</v>
      </c>
      <c r="B5715" s="37" t="str">
        <f t="array" ref="B5715">iferror(xlookup($I5715, 'IMPORT VHC Report'!$E:$E, 'IMPORT VHC Report'!$A:$C), )</f>
        <v/>
      </c>
      <c r="C5715" s="37"/>
      <c r="D5715" s="37"/>
      <c r="E5715" s="38" t="s">
        <v>6798</v>
      </c>
      <c r="F5715" s="38" t="s">
        <v>6778</v>
      </c>
      <c r="G5715" s="38">
        <v>3.61731944855E11</v>
      </c>
      <c r="H5715" s="38" t="s">
        <v>6779</v>
      </c>
      <c r="I5715" s="38" t="s">
        <v>6780</v>
      </c>
      <c r="J5715" s="38" t="s">
        <v>132</v>
      </c>
      <c r="K5715" s="38" t="s">
        <v>126</v>
      </c>
      <c r="L5715" s="41">
        <v>46009.5625</v>
      </c>
      <c r="M5715" s="38" t="s">
        <v>123</v>
      </c>
      <c r="N5715" s="41">
        <v>46009.604166666664</v>
      </c>
      <c r="O5715" s="38" t="s">
        <v>123</v>
      </c>
      <c r="P5715" s="38">
        <v>3600.0</v>
      </c>
      <c r="Q5715" s="39"/>
      <c r="R5715" s="39"/>
      <c r="S5715" s="39"/>
      <c r="T5715" s="39"/>
      <c r="U5715" s="39"/>
    </row>
    <row r="5716">
      <c r="A5716" s="40">
        <f t="shared" si="1"/>
        <v>46006</v>
      </c>
      <c r="B5716" s="37" t="str">
        <f t="array" ref="B5716">iferror(xlookup($I5716, 'IMPORT VHC Report'!$E:$E, 'IMPORT VHC Report'!$A:$C), )</f>
        <v/>
      </c>
      <c r="C5716" s="37"/>
      <c r="D5716" s="37"/>
      <c r="E5716" s="38" t="s">
        <v>6799</v>
      </c>
      <c r="F5716" s="38" t="s">
        <v>6778</v>
      </c>
      <c r="G5716" s="38">
        <v>3.61731944855E11</v>
      </c>
      <c r="H5716" s="38" t="s">
        <v>6779</v>
      </c>
      <c r="I5716" s="38" t="s">
        <v>6780</v>
      </c>
      <c r="J5716" s="38" t="s">
        <v>178</v>
      </c>
      <c r="K5716" s="38" t="s">
        <v>153</v>
      </c>
      <c r="L5716" s="41">
        <v>46010.291666666664</v>
      </c>
      <c r="M5716" s="38" t="s">
        <v>123</v>
      </c>
      <c r="N5716" s="41">
        <v>46010.666666666664</v>
      </c>
      <c r="O5716" s="38" t="s">
        <v>123</v>
      </c>
      <c r="P5716" s="38">
        <v>32400.0</v>
      </c>
      <c r="Q5716" s="38">
        <v>32400.0</v>
      </c>
      <c r="R5716" s="38" t="s">
        <v>6796</v>
      </c>
      <c r="S5716" s="38" t="s">
        <v>6796</v>
      </c>
      <c r="T5716" s="39"/>
      <c r="U5716" s="39"/>
    </row>
    <row r="5717">
      <c r="A5717" s="40">
        <f t="shared" si="1"/>
        <v>46006</v>
      </c>
      <c r="B5717" s="37" t="str">
        <f t="array" ref="B5717">iferror(xlookup($I5717, 'IMPORT VHC Report'!$E:$E, 'IMPORT VHC Report'!$A:$C), )</f>
        <v/>
      </c>
      <c r="C5717" s="37"/>
      <c r="D5717" s="37"/>
      <c r="E5717" s="38" t="s">
        <v>6800</v>
      </c>
      <c r="F5717" s="38" t="s">
        <v>6778</v>
      </c>
      <c r="G5717" s="38">
        <v>3.61731944855E11</v>
      </c>
      <c r="H5717" s="38" t="s">
        <v>6779</v>
      </c>
      <c r="I5717" s="38" t="s">
        <v>6780</v>
      </c>
      <c r="J5717" s="38" t="s">
        <v>368</v>
      </c>
      <c r="K5717" s="38" t="s">
        <v>63</v>
      </c>
      <c r="L5717" s="41">
        <v>46010.291666666664</v>
      </c>
      <c r="M5717" s="38" t="s">
        <v>123</v>
      </c>
      <c r="N5717" s="41">
        <v>46010.666666666664</v>
      </c>
      <c r="O5717" s="38" t="s">
        <v>123</v>
      </c>
      <c r="P5717" s="38">
        <v>32400.0</v>
      </c>
      <c r="Q5717" s="39"/>
      <c r="R5717" s="39"/>
      <c r="S5717" s="39"/>
      <c r="T5717" s="39"/>
      <c r="U5717" s="39"/>
    </row>
    <row r="5718">
      <c r="A5718" s="40">
        <f t="shared" si="1"/>
        <v>46006</v>
      </c>
      <c r="B5718" s="37" t="str">
        <f t="array" ref="B5718">iferror(xlookup($I5718, 'IMPORT VHC Report'!$E:$E, 'IMPORT VHC Report'!$A:$C), )</f>
        <v/>
      </c>
      <c r="C5718" s="37"/>
      <c r="D5718" s="37"/>
      <c r="E5718" s="38" t="s">
        <v>6801</v>
      </c>
      <c r="F5718" s="38" t="s">
        <v>6778</v>
      </c>
      <c r="G5718" s="38">
        <v>3.61731944855E11</v>
      </c>
      <c r="H5718" s="38" t="s">
        <v>6779</v>
      </c>
      <c r="I5718" s="38" t="s">
        <v>6780</v>
      </c>
      <c r="J5718" s="38" t="s">
        <v>134</v>
      </c>
      <c r="K5718" s="38" t="s">
        <v>126</v>
      </c>
      <c r="L5718" s="41">
        <v>46010.385416666664</v>
      </c>
      <c r="M5718" s="38" t="s">
        <v>123</v>
      </c>
      <c r="N5718" s="41">
        <v>46010.40625</v>
      </c>
      <c r="O5718" s="38" t="s">
        <v>123</v>
      </c>
      <c r="P5718" s="38">
        <v>1800.0</v>
      </c>
      <c r="Q5718" s="39"/>
      <c r="R5718" s="39"/>
      <c r="S5718" s="39"/>
      <c r="T5718" s="39"/>
      <c r="U5718" s="39"/>
    </row>
    <row r="5719">
      <c r="A5719" s="40">
        <f t="shared" si="1"/>
        <v>46006</v>
      </c>
      <c r="B5719" s="37" t="str">
        <f t="array" ref="B5719">iferror(xlookup($I5719, 'IMPORT VHC Report'!$E:$E, 'IMPORT VHC Report'!$A:$C), )</f>
        <v/>
      </c>
      <c r="C5719" s="37"/>
      <c r="D5719" s="37"/>
      <c r="E5719" s="38" t="s">
        <v>6802</v>
      </c>
      <c r="F5719" s="38" t="s">
        <v>6778</v>
      </c>
      <c r="G5719" s="38">
        <v>3.61731944855E11</v>
      </c>
      <c r="H5719" s="38" t="s">
        <v>6779</v>
      </c>
      <c r="I5719" s="38" t="s">
        <v>6780</v>
      </c>
      <c r="J5719" s="38" t="s">
        <v>132</v>
      </c>
      <c r="K5719" s="38" t="s">
        <v>126</v>
      </c>
      <c r="L5719" s="41">
        <v>46010.541666666664</v>
      </c>
      <c r="M5719" s="38" t="s">
        <v>123</v>
      </c>
      <c r="N5719" s="41">
        <v>46010.583333333336</v>
      </c>
      <c r="O5719" s="38" t="s">
        <v>123</v>
      </c>
      <c r="P5719" s="38">
        <v>3600.0</v>
      </c>
      <c r="Q5719" s="39"/>
      <c r="R5719" s="39"/>
      <c r="S5719" s="39"/>
      <c r="T5719" s="39"/>
      <c r="U5719" s="39"/>
    </row>
    <row r="5720">
      <c r="A5720" s="40">
        <f t="shared" si="1"/>
        <v>46006</v>
      </c>
      <c r="B5720" s="37" t="str">
        <f t="array" ref="B5720">iferror(xlookup($I5720, 'IMPORT VHC Report'!$E:$E, 'IMPORT VHC Report'!$A:$C), )</f>
        <v/>
      </c>
      <c r="C5720" s="37"/>
      <c r="D5720" s="37"/>
      <c r="E5720" s="38" t="s">
        <v>6803</v>
      </c>
      <c r="F5720" s="38" t="s">
        <v>6778</v>
      </c>
      <c r="G5720" s="38">
        <v>3.61731944855E11</v>
      </c>
      <c r="H5720" s="38" t="s">
        <v>6779</v>
      </c>
      <c r="I5720" s="38" t="s">
        <v>6780</v>
      </c>
      <c r="J5720" s="38" t="s">
        <v>178</v>
      </c>
      <c r="K5720" s="38" t="s">
        <v>153</v>
      </c>
      <c r="L5720" s="41">
        <v>46011.291666666664</v>
      </c>
      <c r="M5720" s="38" t="s">
        <v>123</v>
      </c>
      <c r="N5720" s="41">
        <v>46011.666666666664</v>
      </c>
      <c r="O5720" s="38" t="s">
        <v>123</v>
      </c>
      <c r="P5720" s="38">
        <v>32400.0</v>
      </c>
      <c r="Q5720" s="38">
        <v>32400.0</v>
      </c>
      <c r="R5720" s="38" t="s">
        <v>6796</v>
      </c>
      <c r="S5720" s="38" t="s">
        <v>6796</v>
      </c>
      <c r="T5720" s="39"/>
      <c r="U5720" s="39"/>
    </row>
    <row r="5721">
      <c r="A5721" s="40">
        <f t="shared" si="1"/>
        <v>46006</v>
      </c>
      <c r="B5721" s="37" t="str">
        <f t="array" ref="B5721">iferror(xlookup($I5721, 'IMPORT VHC Report'!$E:$E, 'IMPORT VHC Report'!$A:$C), )</f>
        <v/>
      </c>
      <c r="C5721" s="37"/>
      <c r="D5721" s="37"/>
      <c r="E5721" s="38" t="s">
        <v>6804</v>
      </c>
      <c r="F5721" s="38" t="s">
        <v>6778</v>
      </c>
      <c r="G5721" s="38">
        <v>3.61731944855E11</v>
      </c>
      <c r="H5721" s="38" t="s">
        <v>6779</v>
      </c>
      <c r="I5721" s="38" t="s">
        <v>6780</v>
      </c>
      <c r="J5721" s="38" t="s">
        <v>368</v>
      </c>
      <c r="K5721" s="38" t="s">
        <v>63</v>
      </c>
      <c r="L5721" s="41">
        <v>46011.291666666664</v>
      </c>
      <c r="M5721" s="38" t="s">
        <v>123</v>
      </c>
      <c r="N5721" s="41">
        <v>46011.666666666664</v>
      </c>
      <c r="O5721" s="38" t="s">
        <v>123</v>
      </c>
      <c r="P5721" s="38">
        <v>32400.0</v>
      </c>
      <c r="Q5721" s="39"/>
      <c r="R5721" s="39"/>
      <c r="S5721" s="39"/>
      <c r="T5721" s="39"/>
      <c r="U5721" s="39"/>
    </row>
    <row r="5722">
      <c r="A5722" s="40">
        <f t="shared" si="1"/>
        <v>46006</v>
      </c>
      <c r="B5722" s="37" t="str">
        <f t="array" ref="B5722">iferror(xlookup($I5722, 'IMPORT VHC Report'!$E:$E, 'IMPORT VHC Report'!$A:$C), )</f>
        <v/>
      </c>
      <c r="C5722" s="37"/>
      <c r="D5722" s="37"/>
      <c r="E5722" s="38" t="s">
        <v>6805</v>
      </c>
      <c r="F5722" s="38" t="s">
        <v>6778</v>
      </c>
      <c r="G5722" s="38">
        <v>3.61731944855E11</v>
      </c>
      <c r="H5722" s="38" t="s">
        <v>6779</v>
      </c>
      <c r="I5722" s="38" t="s">
        <v>6780</v>
      </c>
      <c r="J5722" s="38" t="s">
        <v>134</v>
      </c>
      <c r="K5722" s="38" t="s">
        <v>126</v>
      </c>
      <c r="L5722" s="41">
        <v>46011.427083333336</v>
      </c>
      <c r="M5722" s="38" t="s">
        <v>123</v>
      </c>
      <c r="N5722" s="41">
        <v>46011.447916666664</v>
      </c>
      <c r="O5722" s="38" t="s">
        <v>123</v>
      </c>
      <c r="P5722" s="38">
        <v>1800.0</v>
      </c>
      <c r="Q5722" s="39"/>
      <c r="R5722" s="39"/>
      <c r="S5722" s="39"/>
      <c r="T5722" s="39"/>
      <c r="U5722" s="39"/>
    </row>
    <row r="5723">
      <c r="A5723" s="40">
        <f t="shared" si="1"/>
        <v>46006</v>
      </c>
      <c r="B5723" s="37" t="str">
        <f t="array" ref="B5723">iferror(xlookup($I5723, 'IMPORT VHC Report'!$E:$E, 'IMPORT VHC Report'!$A:$C), )</f>
        <v/>
      </c>
      <c r="C5723" s="37"/>
      <c r="D5723" s="37"/>
      <c r="E5723" s="38" t="s">
        <v>6806</v>
      </c>
      <c r="F5723" s="38" t="s">
        <v>6778</v>
      </c>
      <c r="G5723" s="38">
        <v>3.61731944855E11</v>
      </c>
      <c r="H5723" s="38" t="s">
        <v>6779</v>
      </c>
      <c r="I5723" s="38" t="s">
        <v>6780</v>
      </c>
      <c r="J5723" s="38" t="s">
        <v>132</v>
      </c>
      <c r="K5723" s="38" t="s">
        <v>126</v>
      </c>
      <c r="L5723" s="41">
        <v>46011.5625</v>
      </c>
      <c r="M5723" s="38" t="s">
        <v>123</v>
      </c>
      <c r="N5723" s="41">
        <v>46011.604166666664</v>
      </c>
      <c r="O5723" s="38" t="s">
        <v>123</v>
      </c>
      <c r="P5723" s="38">
        <v>3600.0</v>
      </c>
      <c r="Q5723" s="39"/>
      <c r="R5723" s="39"/>
      <c r="S5723" s="39"/>
      <c r="T5723" s="39"/>
      <c r="U5723" s="39"/>
    </row>
    <row r="5724">
      <c r="A5724" s="40">
        <f t="shared" si="1"/>
        <v>46006</v>
      </c>
      <c r="B5724" s="37" t="str">
        <f t="array" ref="B5724">iferror(xlookup($I5724, 'IMPORT VHC Report'!$E:$E, 'IMPORT VHC Report'!$A:$C), )</f>
        <v/>
      </c>
      <c r="C5724" s="37"/>
      <c r="D5724" s="37"/>
      <c r="E5724" s="38" t="s">
        <v>6807</v>
      </c>
      <c r="F5724" s="38" t="s">
        <v>6808</v>
      </c>
      <c r="G5724" s="38">
        <v>3.61694632195E11</v>
      </c>
      <c r="H5724" s="38" t="s">
        <v>6809</v>
      </c>
      <c r="I5724" s="38" t="s">
        <v>6810</v>
      </c>
      <c r="J5724" s="38" t="s">
        <v>332</v>
      </c>
      <c r="K5724" s="38" t="s">
        <v>63</v>
      </c>
      <c r="L5724" s="41">
        <v>46007.375</v>
      </c>
      <c r="M5724" s="38" t="s">
        <v>123</v>
      </c>
      <c r="N5724" s="41">
        <v>46007.75</v>
      </c>
      <c r="O5724" s="38" t="s">
        <v>123</v>
      </c>
      <c r="P5724" s="38">
        <v>32400.0</v>
      </c>
      <c r="Q5724" s="39"/>
      <c r="R5724" s="39"/>
      <c r="S5724" s="39"/>
      <c r="T5724" s="39"/>
      <c r="U5724" s="39"/>
    </row>
    <row r="5725">
      <c r="A5725" s="40">
        <f t="shared" si="1"/>
        <v>46006</v>
      </c>
      <c r="B5725" s="37" t="str">
        <f t="array" ref="B5725">iferror(xlookup($I5725, 'IMPORT VHC Report'!$E:$E, 'IMPORT VHC Report'!$A:$C), )</f>
        <v/>
      </c>
      <c r="C5725" s="37"/>
      <c r="D5725" s="37"/>
      <c r="E5725" s="38" t="s">
        <v>6811</v>
      </c>
      <c r="F5725" s="38" t="s">
        <v>6808</v>
      </c>
      <c r="G5725" s="38">
        <v>3.61694632195E11</v>
      </c>
      <c r="H5725" s="38" t="s">
        <v>6809</v>
      </c>
      <c r="I5725" s="38" t="s">
        <v>6810</v>
      </c>
      <c r="J5725" s="38" t="s">
        <v>134</v>
      </c>
      <c r="K5725" s="38" t="s">
        <v>126</v>
      </c>
      <c r="L5725" s="41">
        <v>46007.6875</v>
      </c>
      <c r="M5725" s="38" t="s">
        <v>123</v>
      </c>
      <c r="N5725" s="41">
        <v>46007.708333333336</v>
      </c>
      <c r="O5725" s="38" t="s">
        <v>123</v>
      </c>
      <c r="P5725" s="38">
        <v>1800.0</v>
      </c>
      <c r="Q5725" s="39"/>
      <c r="R5725" s="39"/>
      <c r="S5725" s="39"/>
      <c r="T5725" s="39"/>
      <c r="U5725" s="39"/>
    </row>
    <row r="5726">
      <c r="A5726" s="40">
        <f t="shared" si="1"/>
        <v>46006</v>
      </c>
      <c r="B5726" s="37" t="str">
        <f t="array" ref="B5726">iferror(xlookup($I5726, 'IMPORT VHC Report'!$E:$E, 'IMPORT VHC Report'!$A:$C), )</f>
        <v/>
      </c>
      <c r="C5726" s="37"/>
      <c r="D5726" s="37"/>
      <c r="E5726" s="38" t="s">
        <v>6812</v>
      </c>
      <c r="F5726" s="38" t="s">
        <v>6808</v>
      </c>
      <c r="G5726" s="38">
        <v>3.61694632195E11</v>
      </c>
      <c r="H5726" s="38" t="s">
        <v>6809</v>
      </c>
      <c r="I5726" s="38" t="s">
        <v>6810</v>
      </c>
      <c r="J5726" s="38" t="s">
        <v>132</v>
      </c>
      <c r="K5726" s="38" t="s">
        <v>126</v>
      </c>
      <c r="L5726" s="41">
        <v>46007.708333333336</v>
      </c>
      <c r="M5726" s="38" t="s">
        <v>123</v>
      </c>
      <c r="N5726" s="41">
        <v>46007.75</v>
      </c>
      <c r="O5726" s="38" t="s">
        <v>123</v>
      </c>
      <c r="P5726" s="38">
        <v>3600.0</v>
      </c>
      <c r="Q5726" s="39"/>
      <c r="R5726" s="39"/>
      <c r="S5726" s="39"/>
      <c r="T5726" s="39"/>
      <c r="U5726" s="39"/>
    </row>
    <row r="5727">
      <c r="A5727" s="40">
        <f t="shared" si="1"/>
        <v>46006</v>
      </c>
      <c r="B5727" s="37" t="str">
        <f t="array" ref="B5727">iferror(xlookup($I5727, 'IMPORT VHC Report'!$E:$E, 'IMPORT VHC Report'!$A:$C), )</f>
        <v/>
      </c>
      <c r="C5727" s="37"/>
      <c r="D5727" s="37"/>
      <c r="E5727" s="38" t="s">
        <v>6813</v>
      </c>
      <c r="F5727" s="38" t="s">
        <v>6808</v>
      </c>
      <c r="G5727" s="38">
        <v>3.61694632195E11</v>
      </c>
      <c r="H5727" s="38" t="s">
        <v>6809</v>
      </c>
      <c r="I5727" s="38" t="s">
        <v>6810</v>
      </c>
      <c r="J5727" s="38" t="s">
        <v>332</v>
      </c>
      <c r="K5727" s="38" t="s">
        <v>63</v>
      </c>
      <c r="L5727" s="41">
        <v>46008.458333333336</v>
      </c>
      <c r="M5727" s="38" t="s">
        <v>123</v>
      </c>
      <c r="N5727" s="41">
        <v>46008.833333333336</v>
      </c>
      <c r="O5727" s="38" t="s">
        <v>123</v>
      </c>
      <c r="P5727" s="38">
        <v>32400.0</v>
      </c>
      <c r="Q5727" s="39"/>
      <c r="R5727" s="39"/>
      <c r="S5727" s="39"/>
      <c r="T5727" s="39"/>
      <c r="U5727" s="39"/>
    </row>
    <row r="5728">
      <c r="A5728" s="40">
        <f t="shared" si="1"/>
        <v>46006</v>
      </c>
      <c r="B5728" s="37" t="str">
        <f t="array" ref="B5728">iferror(xlookup($I5728, 'IMPORT VHC Report'!$E:$E, 'IMPORT VHC Report'!$A:$C), )</f>
        <v/>
      </c>
      <c r="C5728" s="37"/>
      <c r="D5728" s="37"/>
      <c r="E5728" s="38" t="s">
        <v>6814</v>
      </c>
      <c r="F5728" s="38" t="s">
        <v>6808</v>
      </c>
      <c r="G5728" s="38">
        <v>3.61694632195E11</v>
      </c>
      <c r="H5728" s="38" t="s">
        <v>6809</v>
      </c>
      <c r="I5728" s="38" t="s">
        <v>6810</v>
      </c>
      <c r="J5728" s="38" t="s">
        <v>134</v>
      </c>
      <c r="K5728" s="38" t="s">
        <v>126</v>
      </c>
      <c r="L5728" s="41">
        <v>46008.604166666664</v>
      </c>
      <c r="M5728" s="38" t="s">
        <v>123</v>
      </c>
      <c r="N5728" s="41">
        <v>46008.625</v>
      </c>
      <c r="O5728" s="38" t="s">
        <v>123</v>
      </c>
      <c r="P5728" s="38">
        <v>1800.0</v>
      </c>
      <c r="Q5728" s="39"/>
      <c r="R5728" s="39"/>
      <c r="S5728" s="39"/>
      <c r="T5728" s="39"/>
      <c r="U5728" s="39"/>
    </row>
    <row r="5729">
      <c r="A5729" s="40">
        <f t="shared" si="1"/>
        <v>46006</v>
      </c>
      <c r="B5729" s="37" t="str">
        <f t="array" ref="B5729">iferror(xlookup($I5729, 'IMPORT VHC Report'!$E:$E, 'IMPORT VHC Report'!$A:$C), )</f>
        <v/>
      </c>
      <c r="C5729" s="37"/>
      <c r="D5729" s="37"/>
      <c r="E5729" s="38" t="s">
        <v>6815</v>
      </c>
      <c r="F5729" s="38" t="s">
        <v>6808</v>
      </c>
      <c r="G5729" s="38">
        <v>3.61694632195E11</v>
      </c>
      <c r="H5729" s="38" t="s">
        <v>6809</v>
      </c>
      <c r="I5729" s="38" t="s">
        <v>6810</v>
      </c>
      <c r="J5729" s="38" t="s">
        <v>132</v>
      </c>
      <c r="K5729" s="38" t="s">
        <v>126</v>
      </c>
      <c r="L5729" s="41">
        <v>46008.625</v>
      </c>
      <c r="M5729" s="38" t="s">
        <v>123</v>
      </c>
      <c r="N5729" s="41">
        <v>46008.666666666664</v>
      </c>
      <c r="O5729" s="38" t="s">
        <v>123</v>
      </c>
      <c r="P5729" s="38">
        <v>3600.0</v>
      </c>
      <c r="Q5729" s="39"/>
      <c r="R5729" s="39"/>
      <c r="S5729" s="39"/>
      <c r="T5729" s="39"/>
      <c r="U5729" s="39"/>
    </row>
    <row r="5730">
      <c r="A5730" s="40">
        <f t="shared" si="1"/>
        <v>46006</v>
      </c>
      <c r="B5730" s="37" t="str">
        <f t="array" ref="B5730">iferror(xlookup($I5730, 'IMPORT VHC Report'!$E:$E, 'IMPORT VHC Report'!$A:$C), )</f>
        <v/>
      </c>
      <c r="C5730" s="37"/>
      <c r="D5730" s="37"/>
      <c r="E5730" s="38" t="s">
        <v>6816</v>
      </c>
      <c r="F5730" s="38" t="s">
        <v>6808</v>
      </c>
      <c r="G5730" s="38">
        <v>3.61694632195E11</v>
      </c>
      <c r="H5730" s="38" t="s">
        <v>6809</v>
      </c>
      <c r="I5730" s="38" t="s">
        <v>6810</v>
      </c>
      <c r="J5730" s="38" t="s">
        <v>136</v>
      </c>
      <c r="K5730" s="38" t="s">
        <v>126</v>
      </c>
      <c r="L5730" s="41">
        <v>46008.666666666664</v>
      </c>
      <c r="M5730" s="38" t="s">
        <v>123</v>
      </c>
      <c r="N5730" s="41">
        <v>46008.833333333336</v>
      </c>
      <c r="O5730" s="38" t="s">
        <v>123</v>
      </c>
      <c r="P5730" s="38">
        <v>14400.0</v>
      </c>
      <c r="Q5730" s="39"/>
      <c r="R5730" s="39"/>
      <c r="S5730" s="38" t="s">
        <v>1098</v>
      </c>
      <c r="T5730" s="39"/>
      <c r="U5730" s="39"/>
    </row>
    <row r="5731">
      <c r="A5731" s="40">
        <f t="shared" si="1"/>
        <v>46006</v>
      </c>
      <c r="B5731" s="37" t="str">
        <f t="array" ref="B5731">iferror(xlookup($I5731, 'IMPORT VHC Report'!$E:$E, 'IMPORT VHC Report'!$A:$C), )</f>
        <v/>
      </c>
      <c r="C5731" s="37"/>
      <c r="D5731" s="37"/>
      <c r="E5731" s="38" t="s">
        <v>6817</v>
      </c>
      <c r="F5731" s="38" t="s">
        <v>6808</v>
      </c>
      <c r="G5731" s="38">
        <v>3.61694632195E11</v>
      </c>
      <c r="H5731" s="38" t="s">
        <v>6809</v>
      </c>
      <c r="I5731" s="38" t="s">
        <v>6810</v>
      </c>
      <c r="J5731" s="38" t="s">
        <v>332</v>
      </c>
      <c r="K5731" s="38" t="s">
        <v>63</v>
      </c>
      <c r="L5731" s="41">
        <v>46009.375</v>
      </c>
      <c r="M5731" s="38" t="s">
        <v>123</v>
      </c>
      <c r="N5731" s="41">
        <v>46009.541666666664</v>
      </c>
      <c r="O5731" s="38" t="s">
        <v>123</v>
      </c>
      <c r="P5731" s="38">
        <v>14400.0</v>
      </c>
      <c r="Q5731" s="39"/>
      <c r="R5731" s="39"/>
      <c r="S5731" s="39"/>
      <c r="T5731" s="39"/>
      <c r="U5731" s="39"/>
    </row>
    <row r="5732">
      <c r="A5732" s="40">
        <f t="shared" si="1"/>
        <v>46006</v>
      </c>
      <c r="B5732" s="37" t="str">
        <f t="array" ref="B5732">iferror(xlookup($I5732, 'IMPORT VHC Report'!$E:$E, 'IMPORT VHC Report'!$A:$C), )</f>
        <v/>
      </c>
      <c r="C5732" s="37"/>
      <c r="D5732" s="37"/>
      <c r="E5732" s="38" t="s">
        <v>6818</v>
      </c>
      <c r="F5732" s="38" t="s">
        <v>6808</v>
      </c>
      <c r="G5732" s="38">
        <v>3.61694632195E11</v>
      </c>
      <c r="H5732" s="38" t="s">
        <v>6809</v>
      </c>
      <c r="I5732" s="38" t="s">
        <v>6810</v>
      </c>
      <c r="J5732" s="38" t="s">
        <v>4</v>
      </c>
      <c r="K5732" s="38" t="s">
        <v>126</v>
      </c>
      <c r="L5732" s="41">
        <v>46009.541666666664</v>
      </c>
      <c r="M5732" s="38" t="s">
        <v>123</v>
      </c>
      <c r="N5732" s="41">
        <v>46009.583333333336</v>
      </c>
      <c r="O5732" s="38" t="s">
        <v>123</v>
      </c>
      <c r="P5732" s="38">
        <v>3600.0</v>
      </c>
      <c r="Q5732" s="39"/>
      <c r="R5732" s="39"/>
      <c r="S5732" s="38" t="s">
        <v>130</v>
      </c>
      <c r="T5732" s="39"/>
      <c r="U5732" s="39"/>
    </row>
    <row r="5733">
      <c r="A5733" s="40">
        <f t="shared" si="1"/>
        <v>46006</v>
      </c>
      <c r="B5733" s="37" t="str">
        <f t="array" ref="B5733">iferror(xlookup($I5733, 'IMPORT VHC Report'!$E:$E, 'IMPORT VHC Report'!$A:$C), )</f>
        <v/>
      </c>
      <c r="C5733" s="37"/>
      <c r="D5733" s="37"/>
      <c r="E5733" s="38" t="s">
        <v>6819</v>
      </c>
      <c r="F5733" s="38" t="s">
        <v>6808</v>
      </c>
      <c r="G5733" s="38">
        <v>3.61694632195E11</v>
      </c>
      <c r="H5733" s="38" t="s">
        <v>6809</v>
      </c>
      <c r="I5733" s="38" t="s">
        <v>6810</v>
      </c>
      <c r="J5733" s="38" t="s">
        <v>62</v>
      </c>
      <c r="K5733" s="38" t="s">
        <v>63</v>
      </c>
      <c r="L5733" s="41">
        <v>46009.541666666664</v>
      </c>
      <c r="M5733" s="38" t="s">
        <v>123</v>
      </c>
      <c r="N5733" s="41">
        <v>46009.625</v>
      </c>
      <c r="O5733" s="38" t="s">
        <v>123</v>
      </c>
      <c r="P5733" s="38">
        <v>7200.0</v>
      </c>
      <c r="Q5733" s="39"/>
      <c r="R5733" s="39"/>
      <c r="S5733" s="39"/>
      <c r="T5733" s="39"/>
      <c r="U5733" s="39"/>
    </row>
    <row r="5734">
      <c r="A5734" s="40">
        <f t="shared" si="1"/>
        <v>46006</v>
      </c>
      <c r="B5734" s="37" t="str">
        <f t="array" ref="B5734">iferror(xlookup($I5734, 'IMPORT VHC Report'!$E:$E, 'IMPORT VHC Report'!$A:$C), )</f>
        <v/>
      </c>
      <c r="C5734" s="37"/>
      <c r="D5734" s="37"/>
      <c r="E5734" s="38" t="s">
        <v>6820</v>
      </c>
      <c r="F5734" s="38" t="s">
        <v>6808</v>
      </c>
      <c r="G5734" s="38">
        <v>3.61694632195E11</v>
      </c>
      <c r="H5734" s="38" t="s">
        <v>6809</v>
      </c>
      <c r="I5734" s="38" t="s">
        <v>6810</v>
      </c>
      <c r="J5734" s="38" t="s">
        <v>332</v>
      </c>
      <c r="K5734" s="38" t="s">
        <v>63</v>
      </c>
      <c r="L5734" s="41">
        <v>46009.625</v>
      </c>
      <c r="M5734" s="38" t="s">
        <v>123</v>
      </c>
      <c r="N5734" s="41">
        <v>46009.75</v>
      </c>
      <c r="O5734" s="38" t="s">
        <v>123</v>
      </c>
      <c r="P5734" s="38">
        <v>10800.0</v>
      </c>
      <c r="Q5734" s="39"/>
      <c r="R5734" s="39"/>
      <c r="S5734" s="39"/>
      <c r="T5734" s="39"/>
      <c r="U5734" s="39"/>
    </row>
    <row r="5735">
      <c r="A5735" s="40">
        <f t="shared" si="1"/>
        <v>46006</v>
      </c>
      <c r="B5735" s="37" t="str">
        <f t="array" ref="B5735">iferror(xlookup($I5735, 'IMPORT VHC Report'!$E:$E, 'IMPORT VHC Report'!$A:$C), )</f>
        <v/>
      </c>
      <c r="C5735" s="37"/>
      <c r="D5735" s="37"/>
      <c r="E5735" s="38" t="s">
        <v>6821</v>
      </c>
      <c r="F5735" s="38" t="s">
        <v>6808</v>
      </c>
      <c r="G5735" s="38">
        <v>3.61694632195E11</v>
      </c>
      <c r="H5735" s="38" t="s">
        <v>6809</v>
      </c>
      <c r="I5735" s="38" t="s">
        <v>6810</v>
      </c>
      <c r="J5735" s="38" t="s">
        <v>134</v>
      </c>
      <c r="K5735" s="38" t="s">
        <v>126</v>
      </c>
      <c r="L5735" s="41">
        <v>46009.6875</v>
      </c>
      <c r="M5735" s="38" t="s">
        <v>123</v>
      </c>
      <c r="N5735" s="41">
        <v>46009.708333333336</v>
      </c>
      <c r="O5735" s="38" t="s">
        <v>123</v>
      </c>
      <c r="P5735" s="38">
        <v>1800.0</v>
      </c>
      <c r="Q5735" s="39"/>
      <c r="R5735" s="39"/>
      <c r="S5735" s="39"/>
      <c r="T5735" s="39"/>
      <c r="U5735" s="39"/>
    </row>
    <row r="5736">
      <c r="A5736" s="40">
        <f t="shared" si="1"/>
        <v>46006</v>
      </c>
      <c r="B5736" s="37" t="str">
        <f t="array" ref="B5736">iferror(xlookup($I5736, 'IMPORT VHC Report'!$E:$E, 'IMPORT VHC Report'!$A:$C), )</f>
        <v/>
      </c>
      <c r="C5736" s="37"/>
      <c r="D5736" s="37"/>
      <c r="E5736" s="38" t="s">
        <v>6822</v>
      </c>
      <c r="F5736" s="38" t="s">
        <v>6808</v>
      </c>
      <c r="G5736" s="38">
        <v>3.61694632195E11</v>
      </c>
      <c r="H5736" s="38" t="s">
        <v>6809</v>
      </c>
      <c r="I5736" s="38" t="s">
        <v>6810</v>
      </c>
      <c r="J5736" s="38" t="s">
        <v>132</v>
      </c>
      <c r="K5736" s="38" t="s">
        <v>126</v>
      </c>
      <c r="L5736" s="41">
        <v>46009.708333333336</v>
      </c>
      <c r="M5736" s="38" t="s">
        <v>123</v>
      </c>
      <c r="N5736" s="41">
        <v>46009.75</v>
      </c>
      <c r="O5736" s="38" t="s">
        <v>123</v>
      </c>
      <c r="P5736" s="38">
        <v>3600.0</v>
      </c>
      <c r="Q5736" s="39"/>
      <c r="R5736" s="39"/>
      <c r="S5736" s="39"/>
      <c r="T5736" s="39"/>
      <c r="U5736" s="39"/>
    </row>
    <row r="5737">
      <c r="A5737" s="40">
        <f t="shared" si="1"/>
        <v>46006</v>
      </c>
      <c r="B5737" s="37" t="str">
        <f t="array" ref="B5737">iferror(xlookup($I5737, 'IMPORT VHC Report'!$E:$E, 'IMPORT VHC Report'!$A:$C), )</f>
        <v/>
      </c>
      <c r="C5737" s="37"/>
      <c r="D5737" s="37"/>
      <c r="E5737" s="38" t="s">
        <v>6823</v>
      </c>
      <c r="F5737" s="38" t="s">
        <v>6808</v>
      </c>
      <c r="G5737" s="38">
        <v>3.61694632195E11</v>
      </c>
      <c r="H5737" s="38" t="s">
        <v>6809</v>
      </c>
      <c r="I5737" s="38" t="s">
        <v>6810</v>
      </c>
      <c r="J5737" s="38" t="s">
        <v>332</v>
      </c>
      <c r="K5737" s="38" t="s">
        <v>63</v>
      </c>
      <c r="L5737" s="41">
        <v>46010.375</v>
      </c>
      <c r="M5737" s="38" t="s">
        <v>123</v>
      </c>
      <c r="N5737" s="41">
        <v>46010.75</v>
      </c>
      <c r="O5737" s="38" t="s">
        <v>123</v>
      </c>
      <c r="P5737" s="38">
        <v>32400.0</v>
      </c>
      <c r="Q5737" s="39"/>
      <c r="R5737" s="39"/>
      <c r="S5737" s="39"/>
      <c r="T5737" s="39"/>
      <c r="U5737" s="39"/>
    </row>
    <row r="5738">
      <c r="A5738" s="40">
        <f t="shared" si="1"/>
        <v>46006</v>
      </c>
      <c r="B5738" s="37" t="str">
        <f t="array" ref="B5738">iferror(xlookup($I5738, 'IMPORT VHC Report'!$E:$E, 'IMPORT VHC Report'!$A:$C), )</f>
        <v/>
      </c>
      <c r="C5738" s="37"/>
      <c r="D5738" s="37"/>
      <c r="E5738" s="38" t="s">
        <v>6824</v>
      </c>
      <c r="F5738" s="38" t="s">
        <v>6808</v>
      </c>
      <c r="G5738" s="38">
        <v>3.61694632195E11</v>
      </c>
      <c r="H5738" s="38" t="s">
        <v>6809</v>
      </c>
      <c r="I5738" s="38" t="s">
        <v>6810</v>
      </c>
      <c r="J5738" s="38" t="s">
        <v>134</v>
      </c>
      <c r="K5738" s="38" t="s">
        <v>126</v>
      </c>
      <c r="L5738" s="41">
        <v>46010.6875</v>
      </c>
      <c r="M5738" s="38" t="s">
        <v>123</v>
      </c>
      <c r="N5738" s="41">
        <v>46010.708333333336</v>
      </c>
      <c r="O5738" s="38" t="s">
        <v>123</v>
      </c>
      <c r="P5738" s="38">
        <v>1800.0</v>
      </c>
      <c r="Q5738" s="39"/>
      <c r="R5738" s="39"/>
      <c r="S5738" s="39"/>
      <c r="T5738" s="39"/>
      <c r="U5738" s="39"/>
    </row>
    <row r="5739">
      <c r="A5739" s="40">
        <f t="shared" si="1"/>
        <v>46006</v>
      </c>
      <c r="B5739" s="37" t="str">
        <f t="array" ref="B5739">iferror(xlookup($I5739, 'IMPORT VHC Report'!$E:$E, 'IMPORT VHC Report'!$A:$C), )</f>
        <v/>
      </c>
      <c r="C5739" s="37"/>
      <c r="D5739" s="37"/>
      <c r="E5739" s="38" t="s">
        <v>6825</v>
      </c>
      <c r="F5739" s="38" t="s">
        <v>6808</v>
      </c>
      <c r="G5739" s="38">
        <v>3.61694632195E11</v>
      </c>
      <c r="H5739" s="38" t="s">
        <v>6809</v>
      </c>
      <c r="I5739" s="38" t="s">
        <v>6810</v>
      </c>
      <c r="J5739" s="38" t="s">
        <v>132</v>
      </c>
      <c r="K5739" s="38" t="s">
        <v>126</v>
      </c>
      <c r="L5739" s="41">
        <v>46010.708333333336</v>
      </c>
      <c r="M5739" s="38" t="s">
        <v>123</v>
      </c>
      <c r="N5739" s="41">
        <v>46010.75</v>
      </c>
      <c r="O5739" s="38" t="s">
        <v>123</v>
      </c>
      <c r="P5739" s="38">
        <v>3600.0</v>
      </c>
      <c r="Q5739" s="39"/>
      <c r="R5739" s="39"/>
      <c r="S5739" s="39"/>
      <c r="T5739" s="39"/>
      <c r="U5739" s="39"/>
    </row>
    <row r="5740">
      <c r="A5740" s="40">
        <f t="shared" si="1"/>
        <v>46006</v>
      </c>
      <c r="B5740" s="37" t="str">
        <f t="array" ref="B5740">iferror(xlookup($I5740, 'IMPORT VHC Report'!$E:$E, 'IMPORT VHC Report'!$A:$C), )</f>
        <v/>
      </c>
      <c r="C5740" s="37"/>
      <c r="D5740" s="37"/>
      <c r="E5740" s="38" t="s">
        <v>6826</v>
      </c>
      <c r="F5740" s="38" t="s">
        <v>6808</v>
      </c>
      <c r="G5740" s="38">
        <v>3.61694632195E11</v>
      </c>
      <c r="H5740" s="38" t="s">
        <v>6809</v>
      </c>
      <c r="I5740" s="38" t="s">
        <v>6810</v>
      </c>
      <c r="J5740" s="38" t="s">
        <v>332</v>
      </c>
      <c r="K5740" s="38" t="s">
        <v>63</v>
      </c>
      <c r="L5740" s="41">
        <v>46011.375</v>
      </c>
      <c r="M5740" s="38" t="s">
        <v>123</v>
      </c>
      <c r="N5740" s="41">
        <v>46011.75</v>
      </c>
      <c r="O5740" s="38" t="s">
        <v>123</v>
      </c>
      <c r="P5740" s="38">
        <v>32400.0</v>
      </c>
      <c r="Q5740" s="39"/>
      <c r="R5740" s="39"/>
      <c r="S5740" s="39"/>
      <c r="T5740" s="39"/>
      <c r="U5740" s="39"/>
    </row>
    <row r="5741">
      <c r="A5741" s="40">
        <f t="shared" si="1"/>
        <v>46006</v>
      </c>
      <c r="B5741" s="37" t="str">
        <f t="array" ref="B5741">iferror(xlookup($I5741, 'IMPORT VHC Report'!$E:$E, 'IMPORT VHC Report'!$A:$C), )</f>
        <v/>
      </c>
      <c r="C5741" s="37"/>
      <c r="D5741" s="37"/>
      <c r="E5741" s="38" t="s">
        <v>6827</v>
      </c>
      <c r="F5741" s="38" t="s">
        <v>6808</v>
      </c>
      <c r="G5741" s="38">
        <v>3.61694632195E11</v>
      </c>
      <c r="H5741" s="38" t="s">
        <v>6809</v>
      </c>
      <c r="I5741" s="38" t="s">
        <v>6810</v>
      </c>
      <c r="J5741" s="38" t="s">
        <v>134</v>
      </c>
      <c r="K5741" s="38" t="s">
        <v>126</v>
      </c>
      <c r="L5741" s="41">
        <v>46011.6875</v>
      </c>
      <c r="M5741" s="38" t="s">
        <v>123</v>
      </c>
      <c r="N5741" s="41">
        <v>46011.708333333336</v>
      </c>
      <c r="O5741" s="38" t="s">
        <v>123</v>
      </c>
      <c r="P5741" s="38">
        <v>1800.0</v>
      </c>
      <c r="Q5741" s="39"/>
      <c r="R5741" s="39"/>
      <c r="S5741" s="39"/>
      <c r="T5741" s="39"/>
      <c r="U5741" s="39"/>
    </row>
    <row r="5742">
      <c r="A5742" s="40">
        <f t="shared" si="1"/>
        <v>46006</v>
      </c>
      <c r="B5742" s="37" t="str">
        <f t="array" ref="B5742">iferror(xlookup($I5742, 'IMPORT VHC Report'!$E:$E, 'IMPORT VHC Report'!$A:$C), )</f>
        <v/>
      </c>
      <c r="C5742" s="37"/>
      <c r="D5742" s="37"/>
      <c r="E5742" s="38" t="s">
        <v>6828</v>
      </c>
      <c r="F5742" s="38" t="s">
        <v>6808</v>
      </c>
      <c r="G5742" s="38">
        <v>3.61694632195E11</v>
      </c>
      <c r="H5742" s="38" t="s">
        <v>6809</v>
      </c>
      <c r="I5742" s="38" t="s">
        <v>6810</v>
      </c>
      <c r="J5742" s="38" t="s">
        <v>132</v>
      </c>
      <c r="K5742" s="38" t="s">
        <v>126</v>
      </c>
      <c r="L5742" s="41">
        <v>46011.708333333336</v>
      </c>
      <c r="M5742" s="38" t="s">
        <v>123</v>
      </c>
      <c r="N5742" s="41">
        <v>46011.75</v>
      </c>
      <c r="O5742" s="38" t="s">
        <v>123</v>
      </c>
      <c r="P5742" s="38">
        <v>3600.0</v>
      </c>
      <c r="Q5742" s="39"/>
      <c r="R5742" s="39"/>
      <c r="S5742" s="39"/>
      <c r="T5742" s="39"/>
      <c r="U5742" s="39"/>
    </row>
    <row r="5743">
      <c r="A5743" s="40">
        <f t="shared" si="1"/>
        <v>46006</v>
      </c>
      <c r="B5743" s="37" t="str">
        <f t="array" ref="B5743">iferror(xlookup($I5743, 'IMPORT VHC Report'!$E:$E, 'IMPORT VHC Report'!$A:$C), )</f>
        <v/>
      </c>
      <c r="C5743" s="37"/>
      <c r="D5743" s="37"/>
      <c r="E5743" s="38" t="s">
        <v>6829</v>
      </c>
      <c r="F5743" s="38" t="s">
        <v>6830</v>
      </c>
      <c r="G5743" s="39"/>
      <c r="H5743" s="38" t="s">
        <v>6831</v>
      </c>
      <c r="I5743" s="38" t="s">
        <v>6832</v>
      </c>
      <c r="J5743" s="38" t="s">
        <v>125</v>
      </c>
      <c r="K5743" s="38" t="s">
        <v>126</v>
      </c>
      <c r="L5743" s="41">
        <v>46007.375</v>
      </c>
      <c r="M5743" s="38" t="s">
        <v>123</v>
      </c>
      <c r="N5743" s="41">
        <v>46007.385416666664</v>
      </c>
      <c r="O5743" s="38" t="s">
        <v>123</v>
      </c>
      <c r="P5743" s="38">
        <v>900.0</v>
      </c>
      <c r="Q5743" s="39"/>
      <c r="R5743" s="39"/>
      <c r="S5743" s="38" t="s">
        <v>199</v>
      </c>
      <c r="T5743" s="39"/>
      <c r="U5743" s="39"/>
    </row>
    <row r="5744">
      <c r="A5744" s="40">
        <f t="shared" si="1"/>
        <v>46006</v>
      </c>
      <c r="B5744" s="37" t="str">
        <f t="array" ref="B5744">iferror(xlookup($I5744, 'IMPORT VHC Report'!$E:$E, 'IMPORT VHC Report'!$A:$C), )</f>
        <v/>
      </c>
      <c r="C5744" s="37"/>
      <c r="D5744" s="37"/>
      <c r="E5744" s="38" t="s">
        <v>6833</v>
      </c>
      <c r="F5744" s="38" t="s">
        <v>6830</v>
      </c>
      <c r="G5744" s="39"/>
      <c r="H5744" s="38" t="s">
        <v>6831</v>
      </c>
      <c r="I5744" s="38" t="s">
        <v>6832</v>
      </c>
      <c r="J5744" s="38" t="s">
        <v>196</v>
      </c>
      <c r="K5744" s="38" t="s">
        <v>63</v>
      </c>
      <c r="L5744" s="41">
        <v>46007.375</v>
      </c>
      <c r="M5744" s="38" t="s">
        <v>123</v>
      </c>
      <c r="N5744" s="41">
        <v>46007.75</v>
      </c>
      <c r="O5744" s="38" t="s">
        <v>123</v>
      </c>
      <c r="P5744" s="38">
        <v>32400.0</v>
      </c>
      <c r="Q5744" s="39"/>
      <c r="R5744" s="39"/>
      <c r="S5744" s="39"/>
      <c r="T5744" s="39"/>
      <c r="U5744" s="39"/>
    </row>
    <row r="5745">
      <c r="A5745" s="40">
        <f t="shared" si="1"/>
        <v>46006</v>
      </c>
      <c r="B5745" s="37" t="str">
        <f t="array" ref="B5745">iferror(xlookup($I5745, 'IMPORT VHC Report'!$E:$E, 'IMPORT VHC Report'!$A:$C), )</f>
        <v/>
      </c>
      <c r="C5745" s="37"/>
      <c r="D5745" s="37"/>
      <c r="E5745" s="38" t="s">
        <v>6834</v>
      </c>
      <c r="F5745" s="38" t="s">
        <v>6830</v>
      </c>
      <c r="G5745" s="39"/>
      <c r="H5745" s="38" t="s">
        <v>6831</v>
      </c>
      <c r="I5745" s="38" t="s">
        <v>6832</v>
      </c>
      <c r="J5745" s="38" t="s">
        <v>125</v>
      </c>
      <c r="K5745" s="38" t="s">
        <v>126</v>
      </c>
      <c r="L5745" s="41">
        <v>46007.385416666664</v>
      </c>
      <c r="M5745" s="38" t="s">
        <v>123</v>
      </c>
      <c r="N5745" s="41">
        <v>46007.395833333336</v>
      </c>
      <c r="O5745" s="38" t="s">
        <v>123</v>
      </c>
      <c r="P5745" s="38">
        <v>900.0</v>
      </c>
      <c r="Q5745" s="39"/>
      <c r="R5745" s="39"/>
      <c r="S5745" s="38" t="s">
        <v>6835</v>
      </c>
      <c r="T5745" s="39"/>
      <c r="U5745" s="39"/>
    </row>
    <row r="5746">
      <c r="A5746" s="40">
        <f t="shared" si="1"/>
        <v>46006</v>
      </c>
      <c r="B5746" s="37" t="str">
        <f t="array" ref="B5746">iferror(xlookup($I5746, 'IMPORT VHC Report'!$E:$E, 'IMPORT VHC Report'!$A:$C), )</f>
        <v/>
      </c>
      <c r="C5746" s="37"/>
      <c r="D5746" s="37"/>
      <c r="E5746" s="38" t="s">
        <v>6836</v>
      </c>
      <c r="F5746" s="38" t="s">
        <v>6830</v>
      </c>
      <c r="G5746" s="39"/>
      <c r="H5746" s="38" t="s">
        <v>6831</v>
      </c>
      <c r="I5746" s="38" t="s">
        <v>6832</v>
      </c>
      <c r="J5746" s="38" t="s">
        <v>4</v>
      </c>
      <c r="K5746" s="38" t="s">
        <v>126</v>
      </c>
      <c r="L5746" s="41">
        <v>46007.447916666664</v>
      </c>
      <c r="M5746" s="38" t="s">
        <v>123</v>
      </c>
      <c r="N5746" s="41">
        <v>46007.489583333336</v>
      </c>
      <c r="O5746" s="38" t="s">
        <v>123</v>
      </c>
      <c r="P5746" s="38">
        <v>3600.0</v>
      </c>
      <c r="Q5746" s="39"/>
      <c r="R5746" s="39"/>
      <c r="S5746" s="38" t="s">
        <v>858</v>
      </c>
      <c r="T5746" s="39"/>
      <c r="U5746" s="39"/>
    </row>
    <row r="5747">
      <c r="A5747" s="40">
        <f t="shared" si="1"/>
        <v>46006</v>
      </c>
      <c r="B5747" s="37" t="str">
        <f t="array" ref="B5747">iferror(xlookup($I5747, 'IMPORT VHC Report'!$E:$E, 'IMPORT VHC Report'!$A:$C), )</f>
        <v/>
      </c>
      <c r="C5747" s="37"/>
      <c r="D5747" s="37"/>
      <c r="E5747" s="38" t="s">
        <v>6837</v>
      </c>
      <c r="F5747" s="38" t="s">
        <v>6830</v>
      </c>
      <c r="G5747" s="39"/>
      <c r="H5747" s="38" t="s">
        <v>6831</v>
      </c>
      <c r="I5747" s="38" t="s">
        <v>6832</v>
      </c>
      <c r="J5747" s="38" t="s">
        <v>132</v>
      </c>
      <c r="K5747" s="38" t="s">
        <v>126</v>
      </c>
      <c r="L5747" s="41">
        <v>46007.5</v>
      </c>
      <c r="M5747" s="38" t="s">
        <v>123</v>
      </c>
      <c r="N5747" s="41">
        <v>46007.541666666664</v>
      </c>
      <c r="O5747" s="38" t="s">
        <v>123</v>
      </c>
      <c r="P5747" s="38">
        <v>3600.0</v>
      </c>
      <c r="Q5747" s="39"/>
      <c r="R5747" s="39"/>
      <c r="S5747" s="39"/>
      <c r="T5747" s="39"/>
      <c r="U5747" s="39"/>
    </row>
    <row r="5748">
      <c r="A5748" s="40">
        <f t="shared" si="1"/>
        <v>46006</v>
      </c>
      <c r="B5748" s="37" t="str">
        <f t="array" ref="B5748">iferror(xlookup($I5748, 'IMPORT VHC Report'!$E:$E, 'IMPORT VHC Report'!$A:$C), )</f>
        <v/>
      </c>
      <c r="C5748" s="37"/>
      <c r="D5748" s="37"/>
      <c r="E5748" s="38" t="s">
        <v>6838</v>
      </c>
      <c r="F5748" s="38" t="s">
        <v>6830</v>
      </c>
      <c r="G5748" s="39"/>
      <c r="H5748" s="38" t="s">
        <v>6831</v>
      </c>
      <c r="I5748" s="38" t="s">
        <v>6832</v>
      </c>
      <c r="J5748" s="38" t="s">
        <v>125</v>
      </c>
      <c r="K5748" s="38" t="s">
        <v>126</v>
      </c>
      <c r="L5748" s="41">
        <v>46007.60902777778</v>
      </c>
      <c r="M5748" s="38" t="s">
        <v>123</v>
      </c>
      <c r="N5748" s="41">
        <v>46007.61944444444</v>
      </c>
      <c r="O5748" s="38" t="s">
        <v>123</v>
      </c>
      <c r="P5748" s="38">
        <v>900.0</v>
      </c>
      <c r="Q5748" s="39"/>
      <c r="R5748" s="39"/>
      <c r="S5748" s="38" t="s">
        <v>6839</v>
      </c>
      <c r="T5748" s="39"/>
      <c r="U5748" s="39"/>
    </row>
    <row r="5749">
      <c r="A5749" s="40">
        <f t="shared" si="1"/>
        <v>46006</v>
      </c>
      <c r="B5749" s="37" t="str">
        <f t="array" ref="B5749">iferror(xlookup($I5749, 'IMPORT VHC Report'!$E:$E, 'IMPORT VHC Report'!$A:$C), )</f>
        <v/>
      </c>
      <c r="C5749" s="37"/>
      <c r="D5749" s="37"/>
      <c r="E5749" s="38" t="s">
        <v>6840</v>
      </c>
      <c r="F5749" s="38" t="s">
        <v>6830</v>
      </c>
      <c r="G5749" s="39"/>
      <c r="H5749" s="38" t="s">
        <v>6831</v>
      </c>
      <c r="I5749" s="38" t="s">
        <v>6832</v>
      </c>
      <c r="J5749" s="38" t="s">
        <v>134</v>
      </c>
      <c r="K5749" s="38" t="s">
        <v>126</v>
      </c>
      <c r="L5749" s="41">
        <v>46007.666666666664</v>
      </c>
      <c r="M5749" s="38" t="s">
        <v>123</v>
      </c>
      <c r="N5749" s="41">
        <v>46007.6875</v>
      </c>
      <c r="O5749" s="38" t="s">
        <v>123</v>
      </c>
      <c r="P5749" s="38">
        <v>1800.0</v>
      </c>
      <c r="Q5749" s="39"/>
      <c r="R5749" s="39"/>
      <c r="S5749" s="39"/>
      <c r="T5749" s="39"/>
      <c r="U5749" s="39"/>
    </row>
    <row r="5750">
      <c r="A5750" s="40">
        <f t="shared" si="1"/>
        <v>46006</v>
      </c>
      <c r="B5750" s="37" t="str">
        <f t="array" ref="B5750">iferror(xlookup($I5750, 'IMPORT VHC Report'!$E:$E, 'IMPORT VHC Report'!$A:$C), )</f>
        <v/>
      </c>
      <c r="C5750" s="37"/>
      <c r="D5750" s="37"/>
      <c r="E5750" s="38" t="s">
        <v>6841</v>
      </c>
      <c r="F5750" s="38" t="s">
        <v>6830</v>
      </c>
      <c r="G5750" s="39"/>
      <c r="H5750" s="38" t="s">
        <v>6831</v>
      </c>
      <c r="I5750" s="38" t="s">
        <v>6832</v>
      </c>
      <c r="J5750" s="38" t="s">
        <v>4</v>
      </c>
      <c r="K5750" s="38" t="s">
        <v>126</v>
      </c>
      <c r="L5750" s="41">
        <v>46007.6875</v>
      </c>
      <c r="M5750" s="38" t="s">
        <v>123</v>
      </c>
      <c r="N5750" s="41">
        <v>46007.71875</v>
      </c>
      <c r="O5750" s="38" t="s">
        <v>123</v>
      </c>
      <c r="P5750" s="38">
        <v>2700.0</v>
      </c>
      <c r="Q5750" s="39"/>
      <c r="R5750" s="39"/>
      <c r="S5750" s="38" t="s">
        <v>6842</v>
      </c>
      <c r="T5750" s="39"/>
      <c r="U5750" s="39"/>
    </row>
    <row r="5751">
      <c r="A5751" s="40">
        <f t="shared" si="1"/>
        <v>46006</v>
      </c>
      <c r="B5751" s="37" t="str">
        <f t="array" ref="B5751">iferror(xlookup($I5751, 'IMPORT VHC Report'!$E:$E, 'IMPORT VHC Report'!$A:$C), )</f>
        <v/>
      </c>
      <c r="C5751" s="37"/>
      <c r="D5751" s="37"/>
      <c r="E5751" s="38" t="s">
        <v>6843</v>
      </c>
      <c r="F5751" s="38" t="s">
        <v>6830</v>
      </c>
      <c r="G5751" s="39"/>
      <c r="H5751" s="38" t="s">
        <v>6831</v>
      </c>
      <c r="I5751" s="38" t="s">
        <v>6832</v>
      </c>
      <c r="J5751" s="38" t="s">
        <v>125</v>
      </c>
      <c r="K5751" s="38" t="s">
        <v>126</v>
      </c>
      <c r="L5751" s="41">
        <v>46008.375</v>
      </c>
      <c r="M5751" s="38" t="s">
        <v>123</v>
      </c>
      <c r="N5751" s="41">
        <v>46008.385416666664</v>
      </c>
      <c r="O5751" s="38" t="s">
        <v>123</v>
      </c>
      <c r="P5751" s="38">
        <v>900.0</v>
      </c>
      <c r="Q5751" s="39"/>
      <c r="R5751" s="39"/>
      <c r="S5751" s="38" t="s">
        <v>199</v>
      </c>
      <c r="T5751" s="39"/>
      <c r="U5751" s="39"/>
    </row>
    <row r="5752">
      <c r="A5752" s="40">
        <f t="shared" si="1"/>
        <v>46006</v>
      </c>
      <c r="B5752" s="37" t="str">
        <f t="array" ref="B5752">iferror(xlookup($I5752, 'IMPORT VHC Report'!$E:$E, 'IMPORT VHC Report'!$A:$C), )</f>
        <v/>
      </c>
      <c r="C5752" s="37"/>
      <c r="D5752" s="37"/>
      <c r="E5752" s="38" t="s">
        <v>6844</v>
      </c>
      <c r="F5752" s="38" t="s">
        <v>6830</v>
      </c>
      <c r="G5752" s="39"/>
      <c r="H5752" s="38" t="s">
        <v>6831</v>
      </c>
      <c r="I5752" s="38" t="s">
        <v>6832</v>
      </c>
      <c r="J5752" s="38" t="s">
        <v>196</v>
      </c>
      <c r="K5752" s="38" t="s">
        <v>63</v>
      </c>
      <c r="L5752" s="41">
        <v>46008.375</v>
      </c>
      <c r="M5752" s="38" t="s">
        <v>123</v>
      </c>
      <c r="N5752" s="41">
        <v>46008.75</v>
      </c>
      <c r="O5752" s="38" t="s">
        <v>123</v>
      </c>
      <c r="P5752" s="38">
        <v>32400.0</v>
      </c>
      <c r="Q5752" s="39"/>
      <c r="R5752" s="39"/>
      <c r="S5752" s="39"/>
      <c r="T5752" s="39"/>
      <c r="U5752" s="39"/>
    </row>
    <row r="5753">
      <c r="A5753" s="40">
        <f t="shared" si="1"/>
        <v>46006</v>
      </c>
      <c r="B5753" s="37" t="str">
        <f t="array" ref="B5753">iferror(xlookup($I5753, 'IMPORT VHC Report'!$E:$E, 'IMPORT VHC Report'!$A:$C), )</f>
        <v/>
      </c>
      <c r="C5753" s="37"/>
      <c r="D5753" s="37"/>
      <c r="E5753" s="38" t="s">
        <v>6845</v>
      </c>
      <c r="F5753" s="38" t="s">
        <v>6830</v>
      </c>
      <c r="G5753" s="39"/>
      <c r="H5753" s="38" t="s">
        <v>6831</v>
      </c>
      <c r="I5753" s="38" t="s">
        <v>6832</v>
      </c>
      <c r="J5753" s="38" t="s">
        <v>125</v>
      </c>
      <c r="K5753" s="38" t="s">
        <v>126</v>
      </c>
      <c r="L5753" s="41">
        <v>46008.385416666664</v>
      </c>
      <c r="M5753" s="38" t="s">
        <v>123</v>
      </c>
      <c r="N5753" s="41">
        <v>46008.395833333336</v>
      </c>
      <c r="O5753" s="38" t="s">
        <v>123</v>
      </c>
      <c r="P5753" s="38">
        <v>900.0</v>
      </c>
      <c r="Q5753" s="39"/>
      <c r="R5753" s="39"/>
      <c r="S5753" s="38" t="s">
        <v>6835</v>
      </c>
      <c r="T5753" s="39"/>
      <c r="U5753" s="39"/>
    </row>
    <row r="5754">
      <c r="A5754" s="40">
        <f t="shared" si="1"/>
        <v>46006</v>
      </c>
      <c r="B5754" s="37" t="str">
        <f t="array" ref="B5754">iferror(xlookup($I5754, 'IMPORT VHC Report'!$E:$E, 'IMPORT VHC Report'!$A:$C), )</f>
        <v/>
      </c>
      <c r="C5754" s="37"/>
      <c r="D5754" s="37"/>
      <c r="E5754" s="38" t="s">
        <v>6846</v>
      </c>
      <c r="F5754" s="38" t="s">
        <v>6830</v>
      </c>
      <c r="G5754" s="39"/>
      <c r="H5754" s="38" t="s">
        <v>6831</v>
      </c>
      <c r="I5754" s="38" t="s">
        <v>6832</v>
      </c>
      <c r="J5754" s="38" t="s">
        <v>132</v>
      </c>
      <c r="K5754" s="38" t="s">
        <v>126</v>
      </c>
      <c r="L5754" s="41">
        <v>46008.510416666664</v>
      </c>
      <c r="M5754" s="38" t="s">
        <v>123</v>
      </c>
      <c r="N5754" s="41">
        <v>46008.552083333336</v>
      </c>
      <c r="O5754" s="38" t="s">
        <v>123</v>
      </c>
      <c r="P5754" s="38">
        <v>3600.0</v>
      </c>
      <c r="Q5754" s="39"/>
      <c r="R5754" s="39"/>
      <c r="S5754" s="39"/>
      <c r="T5754" s="39"/>
      <c r="U5754" s="39"/>
    </row>
    <row r="5755">
      <c r="A5755" s="40">
        <f t="shared" si="1"/>
        <v>46006</v>
      </c>
      <c r="B5755" s="37" t="str">
        <f t="array" ref="B5755">iferror(xlookup($I5755, 'IMPORT VHC Report'!$E:$E, 'IMPORT VHC Report'!$A:$C), )</f>
        <v/>
      </c>
      <c r="C5755" s="37"/>
      <c r="D5755" s="37"/>
      <c r="E5755" s="38" t="s">
        <v>6847</v>
      </c>
      <c r="F5755" s="38" t="s">
        <v>6830</v>
      </c>
      <c r="G5755" s="39"/>
      <c r="H5755" s="38" t="s">
        <v>6831</v>
      </c>
      <c r="I5755" s="38" t="s">
        <v>6832</v>
      </c>
      <c r="J5755" s="38" t="s">
        <v>125</v>
      </c>
      <c r="K5755" s="38" t="s">
        <v>126</v>
      </c>
      <c r="L5755" s="41">
        <v>46008.604166666664</v>
      </c>
      <c r="M5755" s="38" t="s">
        <v>123</v>
      </c>
      <c r="N5755" s="41">
        <v>46008.614583333336</v>
      </c>
      <c r="O5755" s="38" t="s">
        <v>123</v>
      </c>
      <c r="P5755" s="38">
        <v>900.0</v>
      </c>
      <c r="Q5755" s="39"/>
      <c r="R5755" s="39"/>
      <c r="S5755" s="38" t="s">
        <v>6839</v>
      </c>
      <c r="T5755" s="39"/>
      <c r="U5755" s="39"/>
    </row>
    <row r="5756">
      <c r="A5756" s="40">
        <f t="shared" si="1"/>
        <v>46006</v>
      </c>
      <c r="B5756" s="37" t="str">
        <f t="array" ref="B5756">iferror(xlookup($I5756, 'IMPORT VHC Report'!$E:$E, 'IMPORT VHC Report'!$A:$C), )</f>
        <v/>
      </c>
      <c r="C5756" s="37"/>
      <c r="D5756" s="37"/>
      <c r="E5756" s="38" t="s">
        <v>6848</v>
      </c>
      <c r="F5756" s="38" t="s">
        <v>6830</v>
      </c>
      <c r="G5756" s="39"/>
      <c r="H5756" s="38" t="s">
        <v>6831</v>
      </c>
      <c r="I5756" s="38" t="s">
        <v>6832</v>
      </c>
      <c r="J5756" s="38" t="s">
        <v>134</v>
      </c>
      <c r="K5756" s="38" t="s">
        <v>126</v>
      </c>
      <c r="L5756" s="41">
        <v>46008.666666666664</v>
      </c>
      <c r="M5756" s="38" t="s">
        <v>123</v>
      </c>
      <c r="N5756" s="41">
        <v>46008.6875</v>
      </c>
      <c r="O5756" s="38" t="s">
        <v>123</v>
      </c>
      <c r="P5756" s="38">
        <v>1800.0</v>
      </c>
      <c r="Q5756" s="39"/>
      <c r="R5756" s="39"/>
      <c r="S5756" s="39"/>
      <c r="T5756" s="39"/>
      <c r="U5756" s="39"/>
    </row>
    <row r="5757">
      <c r="A5757" s="40">
        <f t="shared" si="1"/>
        <v>46006</v>
      </c>
      <c r="B5757" s="37" t="str">
        <f t="array" ref="B5757">iferror(xlookup($I5757, 'IMPORT VHC Report'!$E:$E, 'IMPORT VHC Report'!$A:$C), )</f>
        <v/>
      </c>
      <c r="C5757" s="37"/>
      <c r="D5757" s="37"/>
      <c r="E5757" s="38" t="s">
        <v>6849</v>
      </c>
      <c r="F5757" s="38" t="s">
        <v>6830</v>
      </c>
      <c r="G5757" s="39"/>
      <c r="H5757" s="38" t="s">
        <v>6831</v>
      </c>
      <c r="I5757" s="38" t="s">
        <v>6832</v>
      </c>
      <c r="J5757" s="38" t="s">
        <v>125</v>
      </c>
      <c r="K5757" s="38" t="s">
        <v>126</v>
      </c>
      <c r="L5757" s="41">
        <v>46009.375</v>
      </c>
      <c r="M5757" s="38" t="s">
        <v>123</v>
      </c>
      <c r="N5757" s="41">
        <v>46009.385416666664</v>
      </c>
      <c r="O5757" s="38" t="s">
        <v>123</v>
      </c>
      <c r="P5757" s="38">
        <v>900.0</v>
      </c>
      <c r="Q5757" s="39"/>
      <c r="R5757" s="39"/>
      <c r="S5757" s="38" t="s">
        <v>199</v>
      </c>
      <c r="T5757" s="39"/>
      <c r="U5757" s="39"/>
    </row>
    <row r="5758">
      <c r="A5758" s="40">
        <f t="shared" si="1"/>
        <v>46006</v>
      </c>
      <c r="B5758" s="37" t="str">
        <f t="array" ref="B5758">iferror(xlookup($I5758, 'IMPORT VHC Report'!$E:$E, 'IMPORT VHC Report'!$A:$C), )</f>
        <v/>
      </c>
      <c r="C5758" s="37"/>
      <c r="D5758" s="37"/>
      <c r="E5758" s="38" t="s">
        <v>6850</v>
      </c>
      <c r="F5758" s="38" t="s">
        <v>6830</v>
      </c>
      <c r="G5758" s="39"/>
      <c r="H5758" s="38" t="s">
        <v>6831</v>
      </c>
      <c r="I5758" s="38" t="s">
        <v>6832</v>
      </c>
      <c r="J5758" s="38" t="s">
        <v>196</v>
      </c>
      <c r="K5758" s="38" t="s">
        <v>63</v>
      </c>
      <c r="L5758" s="41">
        <v>46009.375</v>
      </c>
      <c r="M5758" s="38" t="s">
        <v>123</v>
      </c>
      <c r="N5758" s="41">
        <v>46009.75</v>
      </c>
      <c r="O5758" s="38" t="s">
        <v>123</v>
      </c>
      <c r="P5758" s="38">
        <v>32400.0</v>
      </c>
      <c r="Q5758" s="39"/>
      <c r="R5758" s="39"/>
      <c r="S5758" s="39"/>
      <c r="T5758" s="39"/>
      <c r="U5758" s="39"/>
    </row>
    <row r="5759">
      <c r="A5759" s="40">
        <f t="shared" si="1"/>
        <v>46006</v>
      </c>
      <c r="B5759" s="37" t="str">
        <f t="array" ref="B5759">iferror(xlookup($I5759, 'IMPORT VHC Report'!$E:$E, 'IMPORT VHC Report'!$A:$C), )</f>
        <v/>
      </c>
      <c r="C5759" s="37"/>
      <c r="D5759" s="37"/>
      <c r="E5759" s="38" t="s">
        <v>6851</v>
      </c>
      <c r="F5759" s="38" t="s">
        <v>6830</v>
      </c>
      <c r="G5759" s="39"/>
      <c r="H5759" s="38" t="s">
        <v>6831</v>
      </c>
      <c r="I5759" s="38" t="s">
        <v>6832</v>
      </c>
      <c r="J5759" s="38" t="s">
        <v>125</v>
      </c>
      <c r="K5759" s="38" t="s">
        <v>126</v>
      </c>
      <c r="L5759" s="41">
        <v>46009.385416666664</v>
      </c>
      <c r="M5759" s="38" t="s">
        <v>123</v>
      </c>
      <c r="N5759" s="41">
        <v>46009.395833333336</v>
      </c>
      <c r="O5759" s="38" t="s">
        <v>123</v>
      </c>
      <c r="P5759" s="38">
        <v>900.0</v>
      </c>
      <c r="Q5759" s="39"/>
      <c r="R5759" s="39"/>
      <c r="S5759" s="38" t="s">
        <v>6835</v>
      </c>
      <c r="T5759" s="39"/>
      <c r="U5759" s="39"/>
    </row>
    <row r="5760">
      <c r="A5760" s="40">
        <f t="shared" si="1"/>
        <v>46006</v>
      </c>
      <c r="B5760" s="37" t="str">
        <f t="array" ref="B5760">iferror(xlookup($I5760, 'IMPORT VHC Report'!$E:$E, 'IMPORT VHC Report'!$A:$C), )</f>
        <v/>
      </c>
      <c r="C5760" s="37"/>
      <c r="D5760" s="37"/>
      <c r="E5760" s="38" t="s">
        <v>6852</v>
      </c>
      <c r="F5760" s="38" t="s">
        <v>6830</v>
      </c>
      <c r="G5760" s="39"/>
      <c r="H5760" s="38" t="s">
        <v>6831</v>
      </c>
      <c r="I5760" s="38" t="s">
        <v>6832</v>
      </c>
      <c r="J5760" s="38" t="s">
        <v>132</v>
      </c>
      <c r="K5760" s="38" t="s">
        <v>126</v>
      </c>
      <c r="L5760" s="41">
        <v>46009.489583333336</v>
      </c>
      <c r="M5760" s="38" t="s">
        <v>123</v>
      </c>
      <c r="N5760" s="41">
        <v>46009.53125</v>
      </c>
      <c r="O5760" s="38" t="s">
        <v>123</v>
      </c>
      <c r="P5760" s="38">
        <v>3600.0</v>
      </c>
      <c r="Q5760" s="39"/>
      <c r="R5760" s="39"/>
      <c r="S5760" s="39"/>
      <c r="T5760" s="39"/>
      <c r="U5760" s="39"/>
    </row>
    <row r="5761">
      <c r="A5761" s="40">
        <f t="shared" si="1"/>
        <v>46006</v>
      </c>
      <c r="B5761" s="37" t="str">
        <f t="array" ref="B5761">iferror(xlookup($I5761, 'IMPORT VHC Report'!$E:$E, 'IMPORT VHC Report'!$A:$C), )</f>
        <v/>
      </c>
      <c r="C5761" s="37"/>
      <c r="D5761" s="37"/>
      <c r="E5761" s="38" t="s">
        <v>6853</v>
      </c>
      <c r="F5761" s="38" t="s">
        <v>6830</v>
      </c>
      <c r="G5761" s="39"/>
      <c r="H5761" s="38" t="s">
        <v>6831</v>
      </c>
      <c r="I5761" s="38" t="s">
        <v>6832</v>
      </c>
      <c r="J5761" s="38" t="s">
        <v>125</v>
      </c>
      <c r="K5761" s="38" t="s">
        <v>126</v>
      </c>
      <c r="L5761" s="41">
        <v>46009.60486111111</v>
      </c>
      <c r="M5761" s="38" t="s">
        <v>123</v>
      </c>
      <c r="N5761" s="41">
        <v>46009.615277777775</v>
      </c>
      <c r="O5761" s="38" t="s">
        <v>123</v>
      </c>
      <c r="P5761" s="38">
        <v>900.0</v>
      </c>
      <c r="Q5761" s="39"/>
      <c r="R5761" s="39"/>
      <c r="S5761" s="38" t="s">
        <v>6839</v>
      </c>
      <c r="T5761" s="39"/>
      <c r="U5761" s="39"/>
    </row>
    <row r="5762">
      <c r="A5762" s="40">
        <f t="shared" si="1"/>
        <v>46006</v>
      </c>
      <c r="B5762" s="37" t="str">
        <f t="array" ref="B5762">iferror(xlookup($I5762, 'IMPORT VHC Report'!$E:$E, 'IMPORT VHC Report'!$A:$C), )</f>
        <v/>
      </c>
      <c r="C5762" s="37"/>
      <c r="D5762" s="37"/>
      <c r="E5762" s="38" t="s">
        <v>6854</v>
      </c>
      <c r="F5762" s="38" t="s">
        <v>6830</v>
      </c>
      <c r="G5762" s="39"/>
      <c r="H5762" s="38" t="s">
        <v>6831</v>
      </c>
      <c r="I5762" s="38" t="s">
        <v>6832</v>
      </c>
      <c r="J5762" s="38" t="s">
        <v>134</v>
      </c>
      <c r="K5762" s="38" t="s">
        <v>126</v>
      </c>
      <c r="L5762" s="41">
        <v>46009.635416666664</v>
      </c>
      <c r="M5762" s="38" t="s">
        <v>123</v>
      </c>
      <c r="N5762" s="41">
        <v>46009.65625</v>
      </c>
      <c r="O5762" s="38" t="s">
        <v>123</v>
      </c>
      <c r="P5762" s="38">
        <v>1800.0</v>
      </c>
      <c r="Q5762" s="39"/>
      <c r="R5762" s="39"/>
      <c r="S5762" s="39"/>
      <c r="T5762" s="39"/>
      <c r="U5762" s="39"/>
    </row>
    <row r="5763">
      <c r="A5763" s="40">
        <f t="shared" si="1"/>
        <v>46006</v>
      </c>
      <c r="B5763" s="37" t="str">
        <f t="array" ref="B5763">iferror(xlookup($I5763, 'IMPORT VHC Report'!$E:$E, 'IMPORT VHC Report'!$A:$C), )</f>
        <v/>
      </c>
      <c r="C5763" s="37"/>
      <c r="D5763" s="37"/>
      <c r="E5763" s="38" t="s">
        <v>6855</v>
      </c>
      <c r="F5763" s="38" t="s">
        <v>6830</v>
      </c>
      <c r="G5763" s="39"/>
      <c r="H5763" s="38" t="s">
        <v>6831</v>
      </c>
      <c r="I5763" s="38" t="s">
        <v>6832</v>
      </c>
      <c r="J5763" s="38" t="s">
        <v>125</v>
      </c>
      <c r="K5763" s="38" t="s">
        <v>126</v>
      </c>
      <c r="L5763" s="41">
        <v>46010.375</v>
      </c>
      <c r="M5763" s="38" t="s">
        <v>123</v>
      </c>
      <c r="N5763" s="41">
        <v>46010.385416666664</v>
      </c>
      <c r="O5763" s="38" t="s">
        <v>123</v>
      </c>
      <c r="P5763" s="38">
        <v>900.0</v>
      </c>
      <c r="Q5763" s="39"/>
      <c r="R5763" s="39"/>
      <c r="S5763" s="38" t="s">
        <v>199</v>
      </c>
      <c r="T5763" s="39"/>
      <c r="U5763" s="39"/>
    </row>
    <row r="5764">
      <c r="A5764" s="40">
        <f t="shared" si="1"/>
        <v>46006</v>
      </c>
      <c r="B5764" s="37" t="str">
        <f t="array" ref="B5764">iferror(xlookup($I5764, 'IMPORT VHC Report'!$E:$E, 'IMPORT VHC Report'!$A:$C), )</f>
        <v/>
      </c>
      <c r="C5764" s="37"/>
      <c r="D5764" s="37"/>
      <c r="E5764" s="38" t="s">
        <v>6856</v>
      </c>
      <c r="F5764" s="38" t="s">
        <v>6830</v>
      </c>
      <c r="G5764" s="39"/>
      <c r="H5764" s="38" t="s">
        <v>6831</v>
      </c>
      <c r="I5764" s="38" t="s">
        <v>6832</v>
      </c>
      <c r="J5764" s="38" t="s">
        <v>196</v>
      </c>
      <c r="K5764" s="38" t="s">
        <v>63</v>
      </c>
      <c r="L5764" s="41">
        <v>46010.375</v>
      </c>
      <c r="M5764" s="38" t="s">
        <v>123</v>
      </c>
      <c r="N5764" s="41">
        <v>46010.75</v>
      </c>
      <c r="O5764" s="38" t="s">
        <v>123</v>
      </c>
      <c r="P5764" s="38">
        <v>32400.0</v>
      </c>
      <c r="Q5764" s="39"/>
      <c r="R5764" s="39"/>
      <c r="S5764" s="39"/>
      <c r="T5764" s="39"/>
      <c r="U5764" s="39"/>
    </row>
    <row r="5765">
      <c r="A5765" s="40">
        <f t="shared" si="1"/>
        <v>46006</v>
      </c>
      <c r="B5765" s="37" t="str">
        <f t="array" ref="B5765">iferror(xlookup($I5765, 'IMPORT VHC Report'!$E:$E, 'IMPORT VHC Report'!$A:$C), )</f>
        <v/>
      </c>
      <c r="C5765" s="37"/>
      <c r="D5765" s="37"/>
      <c r="E5765" s="38" t="s">
        <v>6857</v>
      </c>
      <c r="F5765" s="38" t="s">
        <v>6830</v>
      </c>
      <c r="G5765" s="39"/>
      <c r="H5765" s="38" t="s">
        <v>6831</v>
      </c>
      <c r="I5765" s="38" t="s">
        <v>6832</v>
      </c>
      <c r="J5765" s="38" t="s">
        <v>125</v>
      </c>
      <c r="K5765" s="38" t="s">
        <v>126</v>
      </c>
      <c r="L5765" s="41">
        <v>46010.385416666664</v>
      </c>
      <c r="M5765" s="38" t="s">
        <v>123</v>
      </c>
      <c r="N5765" s="41">
        <v>46010.395833333336</v>
      </c>
      <c r="O5765" s="38" t="s">
        <v>123</v>
      </c>
      <c r="P5765" s="38">
        <v>900.0</v>
      </c>
      <c r="Q5765" s="39"/>
      <c r="R5765" s="39"/>
      <c r="S5765" s="38" t="s">
        <v>6835</v>
      </c>
      <c r="T5765" s="39"/>
      <c r="U5765" s="39"/>
    </row>
    <row r="5766">
      <c r="A5766" s="40">
        <f t="shared" si="1"/>
        <v>46006</v>
      </c>
      <c r="B5766" s="37" t="str">
        <f t="array" ref="B5766">iferror(xlookup($I5766, 'IMPORT VHC Report'!$E:$E, 'IMPORT VHC Report'!$A:$C), )</f>
        <v/>
      </c>
      <c r="C5766" s="37"/>
      <c r="D5766" s="37"/>
      <c r="E5766" s="38" t="s">
        <v>6858</v>
      </c>
      <c r="F5766" s="38" t="s">
        <v>6830</v>
      </c>
      <c r="G5766" s="39"/>
      <c r="H5766" s="38" t="s">
        <v>6831</v>
      </c>
      <c r="I5766" s="38" t="s">
        <v>6832</v>
      </c>
      <c r="J5766" s="38" t="s">
        <v>132</v>
      </c>
      <c r="K5766" s="38" t="s">
        <v>126</v>
      </c>
      <c r="L5766" s="41">
        <v>46010.510416666664</v>
      </c>
      <c r="M5766" s="38" t="s">
        <v>123</v>
      </c>
      <c r="N5766" s="41">
        <v>46010.552083333336</v>
      </c>
      <c r="O5766" s="38" t="s">
        <v>123</v>
      </c>
      <c r="P5766" s="38">
        <v>3600.0</v>
      </c>
      <c r="Q5766" s="39"/>
      <c r="R5766" s="39"/>
      <c r="S5766" s="39"/>
      <c r="T5766" s="39"/>
      <c r="U5766" s="39"/>
    </row>
    <row r="5767">
      <c r="A5767" s="40">
        <f t="shared" si="1"/>
        <v>46006</v>
      </c>
      <c r="B5767" s="37" t="str">
        <f t="array" ref="B5767">iferror(xlookup($I5767, 'IMPORT VHC Report'!$E:$E, 'IMPORT VHC Report'!$A:$C), )</f>
        <v/>
      </c>
      <c r="C5767" s="37"/>
      <c r="D5767" s="37"/>
      <c r="E5767" s="38" t="s">
        <v>6859</v>
      </c>
      <c r="F5767" s="38" t="s">
        <v>6830</v>
      </c>
      <c r="G5767" s="39"/>
      <c r="H5767" s="38" t="s">
        <v>6831</v>
      </c>
      <c r="I5767" s="38" t="s">
        <v>6832</v>
      </c>
      <c r="J5767" s="38" t="s">
        <v>125</v>
      </c>
      <c r="K5767" s="38" t="s">
        <v>126</v>
      </c>
      <c r="L5767" s="41">
        <v>46010.60555555556</v>
      </c>
      <c r="M5767" s="38" t="s">
        <v>123</v>
      </c>
      <c r="N5767" s="41">
        <v>46010.615277777775</v>
      </c>
      <c r="O5767" s="38" t="s">
        <v>123</v>
      </c>
      <c r="P5767" s="38">
        <v>840.0</v>
      </c>
      <c r="Q5767" s="39"/>
      <c r="R5767" s="39"/>
      <c r="S5767" s="38" t="s">
        <v>6839</v>
      </c>
      <c r="T5767" s="39"/>
      <c r="U5767" s="39"/>
    </row>
    <row r="5768">
      <c r="A5768" s="40">
        <f t="shared" si="1"/>
        <v>46006</v>
      </c>
      <c r="B5768" s="37" t="str">
        <f t="array" ref="B5768">iferror(xlookup($I5768, 'IMPORT VHC Report'!$E:$E, 'IMPORT VHC Report'!$A:$C), )</f>
        <v/>
      </c>
      <c r="C5768" s="37"/>
      <c r="D5768" s="37"/>
      <c r="E5768" s="38" t="s">
        <v>6860</v>
      </c>
      <c r="F5768" s="38" t="s">
        <v>6830</v>
      </c>
      <c r="G5768" s="39"/>
      <c r="H5768" s="38" t="s">
        <v>6831</v>
      </c>
      <c r="I5768" s="38" t="s">
        <v>6832</v>
      </c>
      <c r="J5768" s="38" t="s">
        <v>134</v>
      </c>
      <c r="K5768" s="38" t="s">
        <v>126</v>
      </c>
      <c r="L5768" s="41">
        <v>46010.666666666664</v>
      </c>
      <c r="M5768" s="38" t="s">
        <v>123</v>
      </c>
      <c r="N5768" s="41">
        <v>46010.6875</v>
      </c>
      <c r="O5768" s="38" t="s">
        <v>123</v>
      </c>
      <c r="P5768" s="38">
        <v>1800.0</v>
      </c>
      <c r="Q5768" s="39"/>
      <c r="R5768" s="39"/>
      <c r="S5768" s="39"/>
      <c r="T5768" s="39"/>
      <c r="U5768" s="39"/>
    </row>
    <row r="5769">
      <c r="A5769" s="40">
        <f t="shared" si="1"/>
        <v>46006</v>
      </c>
      <c r="B5769" s="37" t="str">
        <f t="array" ref="B5769">iferror(xlookup($I5769, 'IMPORT VHC Report'!$E:$E, 'IMPORT VHC Report'!$A:$C), )</f>
        <v/>
      </c>
      <c r="C5769" s="37"/>
      <c r="D5769" s="37"/>
      <c r="E5769" s="38" t="s">
        <v>6861</v>
      </c>
      <c r="F5769" s="38" t="s">
        <v>6830</v>
      </c>
      <c r="G5769" s="39"/>
      <c r="H5769" s="38" t="s">
        <v>6831</v>
      </c>
      <c r="I5769" s="38" t="s">
        <v>6832</v>
      </c>
      <c r="J5769" s="38" t="s">
        <v>125</v>
      </c>
      <c r="K5769" s="38" t="s">
        <v>126</v>
      </c>
      <c r="L5769" s="41">
        <v>46011.375</v>
      </c>
      <c r="M5769" s="38" t="s">
        <v>123</v>
      </c>
      <c r="N5769" s="41">
        <v>46011.385416666664</v>
      </c>
      <c r="O5769" s="38" t="s">
        <v>123</v>
      </c>
      <c r="P5769" s="38">
        <v>900.0</v>
      </c>
      <c r="Q5769" s="39"/>
      <c r="R5769" s="39"/>
      <c r="S5769" s="38" t="s">
        <v>199</v>
      </c>
      <c r="T5769" s="39"/>
      <c r="U5769" s="39"/>
    </row>
    <row r="5770">
      <c r="A5770" s="40">
        <f t="shared" si="1"/>
        <v>46006</v>
      </c>
      <c r="B5770" s="37" t="str">
        <f t="array" ref="B5770">iferror(xlookup($I5770, 'IMPORT VHC Report'!$E:$E, 'IMPORT VHC Report'!$A:$C), )</f>
        <v/>
      </c>
      <c r="C5770" s="37"/>
      <c r="D5770" s="37"/>
      <c r="E5770" s="38" t="s">
        <v>6862</v>
      </c>
      <c r="F5770" s="38" t="s">
        <v>6830</v>
      </c>
      <c r="G5770" s="39"/>
      <c r="H5770" s="38" t="s">
        <v>6831</v>
      </c>
      <c r="I5770" s="38" t="s">
        <v>6832</v>
      </c>
      <c r="J5770" s="38" t="s">
        <v>196</v>
      </c>
      <c r="K5770" s="38" t="s">
        <v>63</v>
      </c>
      <c r="L5770" s="41">
        <v>46011.375</v>
      </c>
      <c r="M5770" s="38" t="s">
        <v>123</v>
      </c>
      <c r="N5770" s="41">
        <v>46011.75</v>
      </c>
      <c r="O5770" s="38" t="s">
        <v>123</v>
      </c>
      <c r="P5770" s="38">
        <v>32400.0</v>
      </c>
      <c r="Q5770" s="39"/>
      <c r="R5770" s="39"/>
      <c r="S5770" s="39"/>
      <c r="T5770" s="39"/>
      <c r="U5770" s="39"/>
    </row>
    <row r="5771">
      <c r="A5771" s="40">
        <f t="shared" si="1"/>
        <v>46006</v>
      </c>
      <c r="B5771" s="37" t="str">
        <f t="array" ref="B5771">iferror(xlookup($I5771, 'IMPORT VHC Report'!$E:$E, 'IMPORT VHC Report'!$A:$C), )</f>
        <v/>
      </c>
      <c r="C5771" s="37"/>
      <c r="D5771" s="37"/>
      <c r="E5771" s="38" t="s">
        <v>6863</v>
      </c>
      <c r="F5771" s="38" t="s">
        <v>6830</v>
      </c>
      <c r="G5771" s="39"/>
      <c r="H5771" s="38" t="s">
        <v>6831</v>
      </c>
      <c r="I5771" s="38" t="s">
        <v>6832</v>
      </c>
      <c r="J5771" s="38" t="s">
        <v>134</v>
      </c>
      <c r="K5771" s="38" t="s">
        <v>126</v>
      </c>
      <c r="L5771" s="41">
        <v>46011.5</v>
      </c>
      <c r="M5771" s="38" t="s">
        <v>123</v>
      </c>
      <c r="N5771" s="41">
        <v>46011.520833333336</v>
      </c>
      <c r="O5771" s="38" t="s">
        <v>123</v>
      </c>
      <c r="P5771" s="38">
        <v>1800.0</v>
      </c>
      <c r="Q5771" s="39"/>
      <c r="R5771" s="39"/>
      <c r="S5771" s="39"/>
      <c r="T5771" s="39"/>
      <c r="U5771" s="39"/>
    </row>
    <row r="5772">
      <c r="A5772" s="40">
        <f t="shared" si="1"/>
        <v>46006</v>
      </c>
      <c r="B5772" s="37" t="str">
        <f t="array" ref="B5772">iferror(xlookup($I5772, 'IMPORT VHC Report'!$E:$E, 'IMPORT VHC Report'!$A:$C), )</f>
        <v/>
      </c>
      <c r="C5772" s="37"/>
      <c r="D5772" s="37"/>
      <c r="E5772" s="38" t="s">
        <v>6864</v>
      </c>
      <c r="F5772" s="38" t="s">
        <v>6830</v>
      </c>
      <c r="G5772" s="39"/>
      <c r="H5772" s="38" t="s">
        <v>6831</v>
      </c>
      <c r="I5772" s="38" t="s">
        <v>6832</v>
      </c>
      <c r="J5772" s="38" t="s">
        <v>125</v>
      </c>
      <c r="K5772" s="38" t="s">
        <v>126</v>
      </c>
      <c r="L5772" s="41">
        <v>46011.541666666664</v>
      </c>
      <c r="M5772" s="38" t="s">
        <v>123</v>
      </c>
      <c r="N5772" s="41">
        <v>46011.583333333336</v>
      </c>
      <c r="O5772" s="38" t="s">
        <v>123</v>
      </c>
      <c r="P5772" s="38">
        <v>3600.0</v>
      </c>
      <c r="Q5772" s="39"/>
      <c r="R5772" s="39"/>
      <c r="S5772" s="38" t="s">
        <v>6865</v>
      </c>
      <c r="T5772" s="39"/>
      <c r="U5772" s="39"/>
    </row>
    <row r="5773">
      <c r="A5773" s="40">
        <f t="shared" si="1"/>
        <v>46006</v>
      </c>
      <c r="B5773" s="37" t="str">
        <f t="array" ref="B5773">iferror(xlookup($I5773, 'IMPORT VHC Report'!$E:$E, 'IMPORT VHC Report'!$A:$C), )</f>
        <v/>
      </c>
      <c r="C5773" s="37"/>
      <c r="D5773" s="37"/>
      <c r="E5773" s="38" t="s">
        <v>6866</v>
      </c>
      <c r="F5773" s="38" t="s">
        <v>6830</v>
      </c>
      <c r="G5773" s="39"/>
      <c r="H5773" s="38" t="s">
        <v>6831</v>
      </c>
      <c r="I5773" s="38" t="s">
        <v>6832</v>
      </c>
      <c r="J5773" s="38" t="s">
        <v>132</v>
      </c>
      <c r="K5773" s="38" t="s">
        <v>126</v>
      </c>
      <c r="L5773" s="41">
        <v>46011.625</v>
      </c>
      <c r="M5773" s="38" t="s">
        <v>123</v>
      </c>
      <c r="N5773" s="41">
        <v>46011.666666666664</v>
      </c>
      <c r="O5773" s="38" t="s">
        <v>123</v>
      </c>
      <c r="P5773" s="38">
        <v>3600.0</v>
      </c>
      <c r="Q5773" s="39"/>
      <c r="R5773" s="39"/>
      <c r="S5773" s="39"/>
      <c r="T5773" s="39"/>
      <c r="U5773" s="39"/>
    </row>
    <row r="5774">
      <c r="A5774" s="40">
        <f t="shared" si="1"/>
        <v>46006</v>
      </c>
      <c r="B5774" s="37" t="str">
        <f t="array" ref="B5774">iferror(xlookup($I5774, 'IMPORT VHC Report'!$E:$E, 'IMPORT VHC Report'!$A:$C), )</f>
        <v/>
      </c>
      <c r="C5774" s="37"/>
      <c r="D5774" s="37"/>
      <c r="E5774" s="38" t="s">
        <v>6867</v>
      </c>
      <c r="F5774" s="38" t="s">
        <v>6868</v>
      </c>
      <c r="G5774" s="38">
        <v>3.61688608636E11</v>
      </c>
      <c r="H5774" s="38" t="s">
        <v>6869</v>
      </c>
      <c r="I5774" s="38" t="s">
        <v>6870</v>
      </c>
      <c r="J5774" s="38" t="s">
        <v>4</v>
      </c>
      <c r="K5774" s="38" t="s">
        <v>126</v>
      </c>
      <c r="L5774" s="41">
        <v>46007.416666666664</v>
      </c>
      <c r="M5774" s="38" t="s">
        <v>123</v>
      </c>
      <c r="N5774" s="41">
        <v>46007.541666666664</v>
      </c>
      <c r="O5774" s="38" t="s">
        <v>123</v>
      </c>
      <c r="P5774" s="38">
        <v>10800.0</v>
      </c>
      <c r="Q5774" s="39"/>
      <c r="R5774" s="39"/>
      <c r="S5774" s="38" t="s">
        <v>6871</v>
      </c>
      <c r="T5774" s="39"/>
      <c r="U5774" s="39"/>
    </row>
    <row r="5775">
      <c r="A5775" s="40">
        <f t="shared" si="1"/>
        <v>46006</v>
      </c>
      <c r="B5775" s="37" t="str">
        <f t="array" ref="B5775">iferror(xlookup($I5775, 'IMPORT VHC Report'!$E:$E, 'IMPORT VHC Report'!$A:$C), )</f>
        <v/>
      </c>
      <c r="C5775" s="37"/>
      <c r="D5775" s="37"/>
      <c r="E5775" s="38" t="s">
        <v>6872</v>
      </c>
      <c r="F5775" s="38" t="s">
        <v>6868</v>
      </c>
      <c r="G5775" s="38">
        <v>3.61688608636E11</v>
      </c>
      <c r="H5775" s="38" t="s">
        <v>6869</v>
      </c>
      <c r="I5775" s="38" t="s">
        <v>6870</v>
      </c>
      <c r="J5775" s="38" t="s">
        <v>530</v>
      </c>
      <c r="K5775" s="38" t="s">
        <v>63</v>
      </c>
      <c r="L5775" s="41">
        <v>46007.416666666664</v>
      </c>
      <c r="M5775" s="38" t="s">
        <v>123</v>
      </c>
      <c r="N5775" s="41">
        <v>46007.791666666664</v>
      </c>
      <c r="O5775" s="38" t="s">
        <v>123</v>
      </c>
      <c r="P5775" s="38">
        <v>32400.0</v>
      </c>
      <c r="Q5775" s="39"/>
      <c r="R5775" s="39"/>
      <c r="S5775" s="39"/>
      <c r="T5775" s="39"/>
      <c r="U5775" s="39"/>
    </row>
    <row r="5776">
      <c r="A5776" s="40">
        <f t="shared" si="1"/>
        <v>46006</v>
      </c>
      <c r="B5776" s="37" t="str">
        <f t="array" ref="B5776">iferror(xlookup($I5776, 'IMPORT VHC Report'!$E:$E, 'IMPORT VHC Report'!$A:$C), )</f>
        <v/>
      </c>
      <c r="C5776" s="37"/>
      <c r="D5776" s="37"/>
      <c r="E5776" s="38" t="s">
        <v>6873</v>
      </c>
      <c r="F5776" s="38" t="s">
        <v>6868</v>
      </c>
      <c r="G5776" s="38">
        <v>3.61688608636E11</v>
      </c>
      <c r="H5776" s="38" t="s">
        <v>6869</v>
      </c>
      <c r="I5776" s="38" t="s">
        <v>6870</v>
      </c>
      <c r="J5776" s="38" t="s">
        <v>132</v>
      </c>
      <c r="K5776" s="38" t="s">
        <v>126</v>
      </c>
      <c r="L5776" s="41">
        <v>46007.541666666664</v>
      </c>
      <c r="M5776" s="38" t="s">
        <v>123</v>
      </c>
      <c r="N5776" s="41">
        <v>46007.583333333336</v>
      </c>
      <c r="O5776" s="38" t="s">
        <v>123</v>
      </c>
      <c r="P5776" s="38">
        <v>3600.0</v>
      </c>
      <c r="Q5776" s="39"/>
      <c r="R5776" s="39"/>
      <c r="S5776" s="39"/>
      <c r="T5776" s="39"/>
      <c r="U5776" s="39"/>
    </row>
    <row r="5777">
      <c r="A5777" s="40">
        <f t="shared" si="1"/>
        <v>46006</v>
      </c>
      <c r="B5777" s="37" t="str">
        <f t="array" ref="B5777">iferror(xlookup($I5777, 'IMPORT VHC Report'!$E:$E, 'IMPORT VHC Report'!$A:$C), )</f>
        <v/>
      </c>
      <c r="C5777" s="37"/>
      <c r="D5777" s="37"/>
      <c r="E5777" s="38" t="s">
        <v>6874</v>
      </c>
      <c r="F5777" s="38" t="s">
        <v>6868</v>
      </c>
      <c r="G5777" s="38">
        <v>3.61688608636E11</v>
      </c>
      <c r="H5777" s="38" t="s">
        <v>6869</v>
      </c>
      <c r="I5777" s="38" t="s">
        <v>6870</v>
      </c>
      <c r="J5777" s="38" t="s">
        <v>4</v>
      </c>
      <c r="K5777" s="38" t="s">
        <v>126</v>
      </c>
      <c r="L5777" s="41">
        <v>46007.583333333336</v>
      </c>
      <c r="M5777" s="38" t="s">
        <v>123</v>
      </c>
      <c r="N5777" s="41">
        <v>46007.625</v>
      </c>
      <c r="O5777" s="38" t="s">
        <v>123</v>
      </c>
      <c r="P5777" s="38">
        <v>3600.0</v>
      </c>
      <c r="Q5777" s="39"/>
      <c r="R5777" s="39"/>
      <c r="S5777" s="38" t="s">
        <v>1209</v>
      </c>
      <c r="T5777" s="39"/>
      <c r="U5777" s="39"/>
    </row>
    <row r="5778">
      <c r="A5778" s="40">
        <f t="shared" si="1"/>
        <v>46006</v>
      </c>
      <c r="B5778" s="37" t="str">
        <f t="array" ref="B5778">iferror(xlookup($I5778, 'IMPORT VHC Report'!$E:$E, 'IMPORT VHC Report'!$A:$C), )</f>
        <v/>
      </c>
      <c r="C5778" s="37"/>
      <c r="D5778" s="37"/>
      <c r="E5778" s="38" t="s">
        <v>6875</v>
      </c>
      <c r="F5778" s="38" t="s">
        <v>6868</v>
      </c>
      <c r="G5778" s="38">
        <v>3.61688608636E11</v>
      </c>
      <c r="H5778" s="38" t="s">
        <v>6869</v>
      </c>
      <c r="I5778" s="38" t="s">
        <v>6870</v>
      </c>
      <c r="J5778" s="38" t="s">
        <v>134</v>
      </c>
      <c r="K5778" s="38" t="s">
        <v>126</v>
      </c>
      <c r="L5778" s="41">
        <v>46007.6875</v>
      </c>
      <c r="M5778" s="38" t="s">
        <v>123</v>
      </c>
      <c r="N5778" s="41">
        <v>46007.708333333336</v>
      </c>
      <c r="O5778" s="38" t="s">
        <v>123</v>
      </c>
      <c r="P5778" s="38">
        <v>1800.0</v>
      </c>
      <c r="Q5778" s="39"/>
      <c r="R5778" s="39"/>
      <c r="S5778" s="39"/>
      <c r="T5778" s="39"/>
      <c r="U5778" s="39"/>
    </row>
    <row r="5779">
      <c r="A5779" s="40">
        <f t="shared" si="1"/>
        <v>46006</v>
      </c>
      <c r="B5779" s="37" t="str">
        <f t="array" ref="B5779">iferror(xlookup($I5779, 'IMPORT VHC Report'!$E:$E, 'IMPORT VHC Report'!$A:$C), )</f>
        <v/>
      </c>
      <c r="C5779" s="37"/>
      <c r="D5779" s="37"/>
      <c r="E5779" s="38" t="s">
        <v>6876</v>
      </c>
      <c r="F5779" s="38" t="s">
        <v>6868</v>
      </c>
      <c r="G5779" s="38">
        <v>3.61688608636E11</v>
      </c>
      <c r="H5779" s="38" t="s">
        <v>6869</v>
      </c>
      <c r="I5779" s="38" t="s">
        <v>6870</v>
      </c>
      <c r="J5779" s="38" t="s">
        <v>4</v>
      </c>
      <c r="K5779" s="38" t="s">
        <v>126</v>
      </c>
      <c r="L5779" s="41">
        <v>46008.416666666664</v>
      </c>
      <c r="M5779" s="38" t="s">
        <v>123</v>
      </c>
      <c r="N5779" s="41">
        <v>46008.4375</v>
      </c>
      <c r="O5779" s="38" t="s">
        <v>123</v>
      </c>
      <c r="P5779" s="38">
        <v>1800.0</v>
      </c>
      <c r="Q5779" s="39"/>
      <c r="R5779" s="39"/>
      <c r="S5779" s="39"/>
      <c r="T5779" s="39"/>
      <c r="U5779" s="39"/>
    </row>
    <row r="5780">
      <c r="A5780" s="40">
        <f t="shared" si="1"/>
        <v>46006</v>
      </c>
      <c r="B5780" s="37" t="str">
        <f t="array" ref="B5780">iferror(xlookup($I5780, 'IMPORT VHC Report'!$E:$E, 'IMPORT VHC Report'!$A:$C), )</f>
        <v/>
      </c>
      <c r="C5780" s="37"/>
      <c r="D5780" s="37"/>
      <c r="E5780" s="38" t="s">
        <v>6877</v>
      </c>
      <c r="F5780" s="38" t="s">
        <v>6868</v>
      </c>
      <c r="G5780" s="38">
        <v>3.61688608636E11</v>
      </c>
      <c r="H5780" s="38" t="s">
        <v>6869</v>
      </c>
      <c r="I5780" s="38" t="s">
        <v>6870</v>
      </c>
      <c r="J5780" s="38" t="s">
        <v>530</v>
      </c>
      <c r="K5780" s="38" t="s">
        <v>63</v>
      </c>
      <c r="L5780" s="41">
        <v>46008.416666666664</v>
      </c>
      <c r="M5780" s="38" t="s">
        <v>123</v>
      </c>
      <c r="N5780" s="41">
        <v>46008.791666666664</v>
      </c>
      <c r="O5780" s="38" t="s">
        <v>123</v>
      </c>
      <c r="P5780" s="38">
        <v>32400.0</v>
      </c>
      <c r="Q5780" s="39"/>
      <c r="R5780" s="39"/>
      <c r="S5780" s="39"/>
      <c r="T5780" s="39"/>
      <c r="U5780" s="39"/>
    </row>
    <row r="5781">
      <c r="A5781" s="40">
        <f t="shared" si="1"/>
        <v>46006</v>
      </c>
      <c r="B5781" s="37" t="str">
        <f t="array" ref="B5781">iferror(xlookup($I5781, 'IMPORT VHC Report'!$E:$E, 'IMPORT VHC Report'!$A:$C), )</f>
        <v/>
      </c>
      <c r="C5781" s="37"/>
      <c r="D5781" s="37"/>
      <c r="E5781" s="38" t="s">
        <v>6878</v>
      </c>
      <c r="F5781" s="38" t="s">
        <v>6868</v>
      </c>
      <c r="G5781" s="38">
        <v>3.61688608636E11</v>
      </c>
      <c r="H5781" s="38" t="s">
        <v>6869</v>
      </c>
      <c r="I5781" s="38" t="s">
        <v>6870</v>
      </c>
      <c r="J5781" s="38" t="s">
        <v>134</v>
      </c>
      <c r="K5781" s="38" t="s">
        <v>126</v>
      </c>
      <c r="L5781" s="41">
        <v>46008.541666666664</v>
      </c>
      <c r="M5781" s="38" t="s">
        <v>123</v>
      </c>
      <c r="N5781" s="41">
        <v>46008.5625</v>
      </c>
      <c r="O5781" s="38" t="s">
        <v>123</v>
      </c>
      <c r="P5781" s="38">
        <v>1800.0</v>
      </c>
      <c r="Q5781" s="39"/>
      <c r="R5781" s="39"/>
      <c r="S5781" s="39"/>
      <c r="T5781" s="39"/>
      <c r="U5781" s="39"/>
    </row>
    <row r="5782">
      <c r="A5782" s="40">
        <f t="shared" si="1"/>
        <v>46006</v>
      </c>
      <c r="B5782" s="37" t="str">
        <f t="array" ref="B5782">iferror(xlookup($I5782, 'IMPORT VHC Report'!$E:$E, 'IMPORT VHC Report'!$A:$C), )</f>
        <v/>
      </c>
      <c r="C5782" s="37"/>
      <c r="D5782" s="37"/>
      <c r="E5782" s="38" t="s">
        <v>6879</v>
      </c>
      <c r="F5782" s="38" t="s">
        <v>6868</v>
      </c>
      <c r="G5782" s="38">
        <v>3.61688608636E11</v>
      </c>
      <c r="H5782" s="38" t="s">
        <v>6869</v>
      </c>
      <c r="I5782" s="38" t="s">
        <v>6870</v>
      </c>
      <c r="J5782" s="38" t="s">
        <v>132</v>
      </c>
      <c r="K5782" s="38" t="s">
        <v>126</v>
      </c>
      <c r="L5782" s="41">
        <v>46008.6875</v>
      </c>
      <c r="M5782" s="38" t="s">
        <v>123</v>
      </c>
      <c r="N5782" s="41">
        <v>46008.729166666664</v>
      </c>
      <c r="O5782" s="38" t="s">
        <v>123</v>
      </c>
      <c r="P5782" s="38">
        <v>3600.0</v>
      </c>
      <c r="Q5782" s="39"/>
      <c r="R5782" s="39"/>
      <c r="S5782" s="39"/>
      <c r="T5782" s="39"/>
      <c r="U5782" s="39"/>
    </row>
    <row r="5783">
      <c r="A5783" s="40">
        <f t="shared" si="1"/>
        <v>46006</v>
      </c>
      <c r="B5783" s="37" t="str">
        <f t="array" ref="B5783">iferror(xlookup($I5783, 'IMPORT VHC Report'!$E:$E, 'IMPORT VHC Report'!$A:$C), )</f>
        <v/>
      </c>
      <c r="C5783" s="37"/>
      <c r="D5783" s="37"/>
      <c r="E5783" s="38" t="s">
        <v>6880</v>
      </c>
      <c r="F5783" s="38" t="s">
        <v>6868</v>
      </c>
      <c r="G5783" s="38">
        <v>3.61688608636E11</v>
      </c>
      <c r="H5783" s="38" t="s">
        <v>6869</v>
      </c>
      <c r="I5783" s="38" t="s">
        <v>6870</v>
      </c>
      <c r="J5783" s="38" t="s">
        <v>4</v>
      </c>
      <c r="K5783" s="38" t="s">
        <v>126</v>
      </c>
      <c r="L5783" s="41">
        <v>46009.416666666664</v>
      </c>
      <c r="M5783" s="38" t="s">
        <v>123</v>
      </c>
      <c r="N5783" s="41">
        <v>46009.4375</v>
      </c>
      <c r="O5783" s="38" t="s">
        <v>123</v>
      </c>
      <c r="P5783" s="38">
        <v>1800.0</v>
      </c>
      <c r="Q5783" s="39"/>
      <c r="R5783" s="39"/>
      <c r="S5783" s="39"/>
      <c r="T5783" s="39"/>
      <c r="U5783" s="39"/>
    </row>
    <row r="5784">
      <c r="A5784" s="40">
        <f t="shared" si="1"/>
        <v>46006</v>
      </c>
      <c r="B5784" s="37" t="str">
        <f t="array" ref="B5784">iferror(xlookup($I5784, 'IMPORT VHC Report'!$E:$E, 'IMPORT VHC Report'!$A:$C), )</f>
        <v/>
      </c>
      <c r="C5784" s="37"/>
      <c r="D5784" s="37"/>
      <c r="E5784" s="38" t="s">
        <v>6881</v>
      </c>
      <c r="F5784" s="38" t="s">
        <v>6868</v>
      </c>
      <c r="G5784" s="38">
        <v>3.61688608636E11</v>
      </c>
      <c r="H5784" s="38" t="s">
        <v>6869</v>
      </c>
      <c r="I5784" s="38" t="s">
        <v>6870</v>
      </c>
      <c r="J5784" s="38" t="s">
        <v>530</v>
      </c>
      <c r="K5784" s="38" t="s">
        <v>63</v>
      </c>
      <c r="L5784" s="41">
        <v>46009.416666666664</v>
      </c>
      <c r="M5784" s="38" t="s">
        <v>123</v>
      </c>
      <c r="N5784" s="41">
        <v>46009.791666666664</v>
      </c>
      <c r="O5784" s="38" t="s">
        <v>123</v>
      </c>
      <c r="P5784" s="38">
        <v>32400.0</v>
      </c>
      <c r="Q5784" s="39"/>
      <c r="R5784" s="39"/>
      <c r="S5784" s="39"/>
      <c r="T5784" s="39"/>
      <c r="U5784" s="39"/>
    </row>
    <row r="5785">
      <c r="A5785" s="40">
        <f t="shared" si="1"/>
        <v>46006</v>
      </c>
      <c r="B5785" s="37" t="str">
        <f t="array" ref="B5785">iferror(xlookup($I5785, 'IMPORT VHC Report'!$E:$E, 'IMPORT VHC Report'!$A:$C), )</f>
        <v/>
      </c>
      <c r="C5785" s="37"/>
      <c r="D5785" s="37"/>
      <c r="E5785" s="38" t="s">
        <v>6882</v>
      </c>
      <c r="F5785" s="38" t="s">
        <v>6868</v>
      </c>
      <c r="G5785" s="38">
        <v>3.61688608636E11</v>
      </c>
      <c r="H5785" s="38" t="s">
        <v>6869</v>
      </c>
      <c r="I5785" s="38" t="s">
        <v>6870</v>
      </c>
      <c r="J5785" s="38" t="s">
        <v>134</v>
      </c>
      <c r="K5785" s="38" t="s">
        <v>126</v>
      </c>
      <c r="L5785" s="41">
        <v>46009.520833333336</v>
      </c>
      <c r="M5785" s="38" t="s">
        <v>123</v>
      </c>
      <c r="N5785" s="41">
        <v>46009.541666666664</v>
      </c>
      <c r="O5785" s="38" t="s">
        <v>123</v>
      </c>
      <c r="P5785" s="38">
        <v>1800.0</v>
      </c>
      <c r="Q5785" s="39"/>
      <c r="R5785" s="39"/>
      <c r="S5785" s="39"/>
      <c r="T5785" s="39"/>
      <c r="U5785" s="39"/>
    </row>
    <row r="5786">
      <c r="A5786" s="40">
        <f t="shared" si="1"/>
        <v>46006</v>
      </c>
      <c r="B5786" s="37" t="str">
        <f t="array" ref="B5786">iferror(xlookup($I5786, 'IMPORT VHC Report'!$E:$E, 'IMPORT VHC Report'!$A:$C), )</f>
        <v/>
      </c>
      <c r="C5786" s="37"/>
      <c r="D5786" s="37"/>
      <c r="E5786" s="38" t="s">
        <v>6883</v>
      </c>
      <c r="F5786" s="38" t="s">
        <v>6868</v>
      </c>
      <c r="G5786" s="38">
        <v>3.61688608636E11</v>
      </c>
      <c r="H5786" s="38" t="s">
        <v>6869</v>
      </c>
      <c r="I5786" s="38" t="s">
        <v>6870</v>
      </c>
      <c r="J5786" s="38" t="s">
        <v>4</v>
      </c>
      <c r="K5786" s="38" t="s">
        <v>126</v>
      </c>
      <c r="L5786" s="41">
        <v>46009.604166666664</v>
      </c>
      <c r="M5786" s="38" t="s">
        <v>123</v>
      </c>
      <c r="N5786" s="41">
        <v>46009.645833333336</v>
      </c>
      <c r="O5786" s="38" t="s">
        <v>123</v>
      </c>
      <c r="P5786" s="38">
        <v>3600.0</v>
      </c>
      <c r="Q5786" s="39"/>
      <c r="R5786" s="39"/>
      <c r="S5786" s="38" t="s">
        <v>858</v>
      </c>
      <c r="T5786" s="39"/>
      <c r="U5786" s="39"/>
    </row>
    <row r="5787">
      <c r="A5787" s="40">
        <f t="shared" si="1"/>
        <v>46006</v>
      </c>
      <c r="B5787" s="37" t="str">
        <f t="array" ref="B5787">iferror(xlookup($I5787, 'IMPORT VHC Report'!$E:$E, 'IMPORT VHC Report'!$A:$C), )</f>
        <v/>
      </c>
      <c r="C5787" s="37"/>
      <c r="D5787" s="37"/>
      <c r="E5787" s="38" t="s">
        <v>6884</v>
      </c>
      <c r="F5787" s="38" t="s">
        <v>6868</v>
      </c>
      <c r="G5787" s="38">
        <v>3.61688608636E11</v>
      </c>
      <c r="H5787" s="38" t="s">
        <v>6869</v>
      </c>
      <c r="I5787" s="38" t="s">
        <v>6870</v>
      </c>
      <c r="J5787" s="38" t="s">
        <v>132</v>
      </c>
      <c r="K5787" s="38" t="s">
        <v>126</v>
      </c>
      <c r="L5787" s="41">
        <v>46009.6875</v>
      </c>
      <c r="M5787" s="38" t="s">
        <v>123</v>
      </c>
      <c r="N5787" s="41">
        <v>46009.729166666664</v>
      </c>
      <c r="O5787" s="38" t="s">
        <v>123</v>
      </c>
      <c r="P5787" s="38">
        <v>3600.0</v>
      </c>
      <c r="Q5787" s="39"/>
      <c r="R5787" s="39"/>
      <c r="S5787" s="39"/>
      <c r="T5787" s="39"/>
      <c r="U5787" s="39"/>
    </row>
    <row r="5788">
      <c r="A5788" s="40">
        <f t="shared" si="1"/>
        <v>46006</v>
      </c>
      <c r="B5788" s="37" t="str">
        <f t="array" ref="B5788">iferror(xlookup($I5788, 'IMPORT VHC Report'!$E:$E, 'IMPORT VHC Report'!$A:$C), )</f>
        <v/>
      </c>
      <c r="C5788" s="37"/>
      <c r="D5788" s="37"/>
      <c r="E5788" s="38" t="s">
        <v>6885</v>
      </c>
      <c r="F5788" s="38" t="s">
        <v>6868</v>
      </c>
      <c r="G5788" s="38">
        <v>3.61688608636E11</v>
      </c>
      <c r="H5788" s="38" t="s">
        <v>6869</v>
      </c>
      <c r="I5788" s="38" t="s">
        <v>6870</v>
      </c>
      <c r="J5788" s="38" t="s">
        <v>4</v>
      </c>
      <c r="K5788" s="38" t="s">
        <v>126</v>
      </c>
      <c r="L5788" s="41">
        <v>46010.416666666664</v>
      </c>
      <c r="M5788" s="38" t="s">
        <v>123</v>
      </c>
      <c r="N5788" s="41">
        <v>46010.4375</v>
      </c>
      <c r="O5788" s="38" t="s">
        <v>123</v>
      </c>
      <c r="P5788" s="38">
        <v>1800.0</v>
      </c>
      <c r="Q5788" s="39"/>
      <c r="R5788" s="39"/>
      <c r="S5788" s="39"/>
      <c r="T5788" s="39"/>
      <c r="U5788" s="39"/>
    </row>
    <row r="5789">
      <c r="A5789" s="40">
        <f t="shared" si="1"/>
        <v>46006</v>
      </c>
      <c r="B5789" s="37" t="str">
        <f t="array" ref="B5789">iferror(xlookup($I5789, 'IMPORT VHC Report'!$E:$E, 'IMPORT VHC Report'!$A:$C), )</f>
        <v/>
      </c>
      <c r="C5789" s="37"/>
      <c r="D5789" s="37"/>
      <c r="E5789" s="38" t="s">
        <v>6886</v>
      </c>
      <c r="F5789" s="38" t="s">
        <v>6868</v>
      </c>
      <c r="G5789" s="38">
        <v>3.61688608636E11</v>
      </c>
      <c r="H5789" s="38" t="s">
        <v>6869</v>
      </c>
      <c r="I5789" s="38" t="s">
        <v>6870</v>
      </c>
      <c r="J5789" s="38" t="s">
        <v>530</v>
      </c>
      <c r="K5789" s="38" t="s">
        <v>63</v>
      </c>
      <c r="L5789" s="41">
        <v>46010.416666666664</v>
      </c>
      <c r="M5789" s="38" t="s">
        <v>123</v>
      </c>
      <c r="N5789" s="41">
        <v>46010.791666666664</v>
      </c>
      <c r="O5789" s="38" t="s">
        <v>123</v>
      </c>
      <c r="P5789" s="38">
        <v>32400.0</v>
      </c>
      <c r="Q5789" s="39"/>
      <c r="R5789" s="39"/>
      <c r="S5789" s="39"/>
      <c r="T5789" s="39"/>
      <c r="U5789" s="39"/>
    </row>
    <row r="5790">
      <c r="A5790" s="40">
        <f t="shared" si="1"/>
        <v>46006</v>
      </c>
      <c r="B5790" s="37" t="str">
        <f t="array" ref="B5790">iferror(xlookup($I5790, 'IMPORT VHC Report'!$E:$E, 'IMPORT VHC Report'!$A:$C), )</f>
        <v/>
      </c>
      <c r="C5790" s="37"/>
      <c r="D5790" s="37"/>
      <c r="E5790" s="38" t="s">
        <v>6887</v>
      </c>
      <c r="F5790" s="38" t="s">
        <v>6868</v>
      </c>
      <c r="G5790" s="38">
        <v>3.61688608636E11</v>
      </c>
      <c r="H5790" s="38" t="s">
        <v>6869</v>
      </c>
      <c r="I5790" s="38" t="s">
        <v>6870</v>
      </c>
      <c r="J5790" s="38" t="s">
        <v>134</v>
      </c>
      <c r="K5790" s="38" t="s">
        <v>126</v>
      </c>
      <c r="L5790" s="41">
        <v>46010.520833333336</v>
      </c>
      <c r="M5790" s="38" t="s">
        <v>123</v>
      </c>
      <c r="N5790" s="41">
        <v>46010.541666666664</v>
      </c>
      <c r="O5790" s="38" t="s">
        <v>123</v>
      </c>
      <c r="P5790" s="38">
        <v>1800.0</v>
      </c>
      <c r="Q5790" s="39"/>
      <c r="R5790" s="39"/>
      <c r="S5790" s="39"/>
      <c r="T5790" s="39"/>
      <c r="U5790" s="39"/>
    </row>
    <row r="5791">
      <c r="A5791" s="40">
        <f t="shared" si="1"/>
        <v>46006</v>
      </c>
      <c r="B5791" s="37" t="str">
        <f t="array" ref="B5791">iferror(xlookup($I5791, 'IMPORT VHC Report'!$E:$E, 'IMPORT VHC Report'!$A:$C), )</f>
        <v/>
      </c>
      <c r="C5791" s="37"/>
      <c r="D5791" s="37"/>
      <c r="E5791" s="38" t="s">
        <v>6888</v>
      </c>
      <c r="F5791" s="38" t="s">
        <v>6868</v>
      </c>
      <c r="G5791" s="38">
        <v>3.61688608636E11</v>
      </c>
      <c r="H5791" s="38" t="s">
        <v>6869</v>
      </c>
      <c r="I5791" s="38" t="s">
        <v>6870</v>
      </c>
      <c r="J5791" s="38" t="s">
        <v>132</v>
      </c>
      <c r="K5791" s="38" t="s">
        <v>126</v>
      </c>
      <c r="L5791" s="41">
        <v>46010.6875</v>
      </c>
      <c r="M5791" s="38" t="s">
        <v>123</v>
      </c>
      <c r="N5791" s="41">
        <v>46010.729166666664</v>
      </c>
      <c r="O5791" s="38" t="s">
        <v>123</v>
      </c>
      <c r="P5791" s="38">
        <v>3600.0</v>
      </c>
      <c r="Q5791" s="39"/>
      <c r="R5791" s="39"/>
      <c r="S5791" s="39"/>
      <c r="T5791" s="39"/>
      <c r="U5791" s="39"/>
    </row>
    <row r="5792">
      <c r="A5792" s="40">
        <f t="shared" si="1"/>
        <v>46006</v>
      </c>
      <c r="B5792" s="37" t="str">
        <f t="array" ref="B5792">iferror(xlookup($I5792, 'IMPORT VHC Report'!$E:$E, 'IMPORT VHC Report'!$A:$C), )</f>
        <v/>
      </c>
      <c r="C5792" s="37"/>
      <c r="D5792" s="37"/>
      <c r="E5792" s="38" t="s">
        <v>6889</v>
      </c>
      <c r="F5792" s="38" t="s">
        <v>6868</v>
      </c>
      <c r="G5792" s="38">
        <v>3.61688608636E11</v>
      </c>
      <c r="H5792" s="38" t="s">
        <v>6869</v>
      </c>
      <c r="I5792" s="38" t="s">
        <v>6870</v>
      </c>
      <c r="J5792" s="38" t="s">
        <v>4</v>
      </c>
      <c r="K5792" s="38" t="s">
        <v>126</v>
      </c>
      <c r="L5792" s="41">
        <v>46011.416666666664</v>
      </c>
      <c r="M5792" s="38" t="s">
        <v>123</v>
      </c>
      <c r="N5792" s="41">
        <v>46011.4375</v>
      </c>
      <c r="O5792" s="38" t="s">
        <v>123</v>
      </c>
      <c r="P5792" s="38">
        <v>1800.0</v>
      </c>
      <c r="Q5792" s="39"/>
      <c r="R5792" s="39"/>
      <c r="S5792" s="39"/>
      <c r="T5792" s="39"/>
      <c r="U5792" s="39"/>
    </row>
    <row r="5793">
      <c r="A5793" s="40">
        <f t="shared" si="1"/>
        <v>46006</v>
      </c>
      <c r="B5793" s="37" t="str">
        <f t="array" ref="B5793">iferror(xlookup($I5793, 'IMPORT VHC Report'!$E:$E, 'IMPORT VHC Report'!$A:$C), )</f>
        <v/>
      </c>
      <c r="C5793" s="37"/>
      <c r="D5793" s="37"/>
      <c r="E5793" s="38" t="s">
        <v>6890</v>
      </c>
      <c r="F5793" s="38" t="s">
        <v>6868</v>
      </c>
      <c r="G5793" s="38">
        <v>3.61688608636E11</v>
      </c>
      <c r="H5793" s="38" t="s">
        <v>6869</v>
      </c>
      <c r="I5793" s="38" t="s">
        <v>6870</v>
      </c>
      <c r="J5793" s="38" t="s">
        <v>530</v>
      </c>
      <c r="K5793" s="38" t="s">
        <v>63</v>
      </c>
      <c r="L5793" s="41">
        <v>46011.416666666664</v>
      </c>
      <c r="M5793" s="38" t="s">
        <v>123</v>
      </c>
      <c r="N5793" s="41">
        <v>46011.791666666664</v>
      </c>
      <c r="O5793" s="38" t="s">
        <v>123</v>
      </c>
      <c r="P5793" s="38">
        <v>32400.0</v>
      </c>
      <c r="Q5793" s="39"/>
      <c r="R5793" s="39"/>
      <c r="S5793" s="39"/>
      <c r="T5793" s="39"/>
      <c r="U5793" s="39"/>
    </row>
    <row r="5794">
      <c r="A5794" s="40">
        <f t="shared" si="1"/>
        <v>46006</v>
      </c>
      <c r="B5794" s="37" t="str">
        <f t="array" ref="B5794">iferror(xlookup($I5794, 'IMPORT VHC Report'!$E:$E, 'IMPORT VHC Report'!$A:$C), )</f>
        <v/>
      </c>
      <c r="C5794" s="37"/>
      <c r="D5794" s="37"/>
      <c r="E5794" s="38" t="s">
        <v>6891</v>
      </c>
      <c r="F5794" s="38" t="s">
        <v>6868</v>
      </c>
      <c r="G5794" s="38">
        <v>3.61688608636E11</v>
      </c>
      <c r="H5794" s="38" t="s">
        <v>6869</v>
      </c>
      <c r="I5794" s="38" t="s">
        <v>6870</v>
      </c>
      <c r="J5794" s="38" t="s">
        <v>134</v>
      </c>
      <c r="K5794" s="38" t="s">
        <v>126</v>
      </c>
      <c r="L5794" s="41">
        <v>46011.520833333336</v>
      </c>
      <c r="M5794" s="38" t="s">
        <v>123</v>
      </c>
      <c r="N5794" s="41">
        <v>46011.541666666664</v>
      </c>
      <c r="O5794" s="38" t="s">
        <v>123</v>
      </c>
      <c r="P5794" s="38">
        <v>1800.0</v>
      </c>
      <c r="Q5794" s="39"/>
      <c r="R5794" s="39"/>
      <c r="S5794" s="39"/>
      <c r="T5794" s="39"/>
      <c r="U5794" s="39"/>
    </row>
    <row r="5795">
      <c r="A5795" s="40">
        <f t="shared" si="1"/>
        <v>46006</v>
      </c>
      <c r="B5795" s="37" t="str">
        <f t="array" ref="B5795">iferror(xlookup($I5795, 'IMPORT VHC Report'!$E:$E, 'IMPORT VHC Report'!$A:$C), )</f>
        <v/>
      </c>
      <c r="C5795" s="37"/>
      <c r="D5795" s="37"/>
      <c r="E5795" s="38" t="s">
        <v>6892</v>
      </c>
      <c r="F5795" s="38" t="s">
        <v>6868</v>
      </c>
      <c r="G5795" s="38">
        <v>3.61688608636E11</v>
      </c>
      <c r="H5795" s="38" t="s">
        <v>6869</v>
      </c>
      <c r="I5795" s="38" t="s">
        <v>6870</v>
      </c>
      <c r="J5795" s="38" t="s">
        <v>132</v>
      </c>
      <c r="K5795" s="38" t="s">
        <v>126</v>
      </c>
      <c r="L5795" s="41">
        <v>46011.6875</v>
      </c>
      <c r="M5795" s="38" t="s">
        <v>123</v>
      </c>
      <c r="N5795" s="41">
        <v>46011.729166666664</v>
      </c>
      <c r="O5795" s="38" t="s">
        <v>123</v>
      </c>
      <c r="P5795" s="38">
        <v>3600.0</v>
      </c>
      <c r="Q5795" s="39"/>
      <c r="R5795" s="39"/>
      <c r="S5795" s="39"/>
      <c r="T5795" s="39"/>
      <c r="U5795" s="39"/>
    </row>
    <row r="5796">
      <c r="A5796" s="40">
        <f t="shared" si="1"/>
        <v>46006</v>
      </c>
      <c r="B5796" s="37" t="str">
        <f t="array" ref="B5796">iferror(xlookup($I5796, 'IMPORT VHC Report'!$E:$E, 'IMPORT VHC Report'!$A:$C), )</f>
        <v/>
      </c>
      <c r="C5796" s="37"/>
      <c r="D5796" s="37"/>
      <c r="E5796" s="38" t="s">
        <v>6893</v>
      </c>
      <c r="F5796" s="38" t="s">
        <v>6894</v>
      </c>
      <c r="G5796" s="38">
        <v>3.61731791835E11</v>
      </c>
      <c r="H5796" s="38" t="s">
        <v>6895</v>
      </c>
      <c r="I5796" s="38" t="s">
        <v>6896</v>
      </c>
      <c r="J5796" s="38" t="s">
        <v>224</v>
      </c>
      <c r="K5796" s="38" t="s">
        <v>63</v>
      </c>
      <c r="L5796" s="41">
        <v>46007.416666666664</v>
      </c>
      <c r="M5796" s="38" t="s">
        <v>123</v>
      </c>
      <c r="N5796" s="41">
        <v>46007.791666666664</v>
      </c>
      <c r="O5796" s="38" t="s">
        <v>123</v>
      </c>
      <c r="P5796" s="38">
        <v>32400.0</v>
      </c>
      <c r="Q5796" s="39"/>
      <c r="R5796" s="39"/>
      <c r="S5796" s="39"/>
      <c r="T5796" s="39"/>
      <c r="U5796" s="39"/>
    </row>
    <row r="5797">
      <c r="A5797" s="40">
        <f t="shared" si="1"/>
        <v>46006</v>
      </c>
      <c r="B5797" s="37" t="str">
        <f t="array" ref="B5797">iferror(xlookup($I5797, 'IMPORT VHC Report'!$E:$E, 'IMPORT VHC Report'!$A:$C), )</f>
        <v/>
      </c>
      <c r="C5797" s="37"/>
      <c r="D5797" s="37"/>
      <c r="E5797" s="38" t="s">
        <v>6897</v>
      </c>
      <c r="F5797" s="38" t="s">
        <v>6894</v>
      </c>
      <c r="G5797" s="38">
        <v>3.61731791835E11</v>
      </c>
      <c r="H5797" s="38" t="s">
        <v>6895</v>
      </c>
      <c r="I5797" s="38" t="s">
        <v>6896</v>
      </c>
      <c r="J5797" s="38" t="s">
        <v>132</v>
      </c>
      <c r="K5797" s="38" t="s">
        <v>126</v>
      </c>
      <c r="L5797" s="41">
        <v>46007.541666666664</v>
      </c>
      <c r="M5797" s="38" t="s">
        <v>123</v>
      </c>
      <c r="N5797" s="41">
        <v>46007.583333333336</v>
      </c>
      <c r="O5797" s="38" t="s">
        <v>123</v>
      </c>
      <c r="P5797" s="38">
        <v>3600.0</v>
      </c>
      <c r="Q5797" s="39"/>
      <c r="R5797" s="39"/>
      <c r="S5797" s="39"/>
      <c r="T5797" s="39"/>
      <c r="U5797" s="39"/>
    </row>
    <row r="5798">
      <c r="A5798" s="40">
        <f t="shared" si="1"/>
        <v>46006</v>
      </c>
      <c r="B5798" s="37" t="str">
        <f t="array" ref="B5798">iferror(xlookup($I5798, 'IMPORT VHC Report'!$E:$E, 'IMPORT VHC Report'!$A:$C), )</f>
        <v/>
      </c>
      <c r="C5798" s="37"/>
      <c r="D5798" s="37"/>
      <c r="E5798" s="38" t="s">
        <v>6898</v>
      </c>
      <c r="F5798" s="38" t="s">
        <v>6894</v>
      </c>
      <c r="G5798" s="38">
        <v>3.61731791835E11</v>
      </c>
      <c r="H5798" s="38" t="s">
        <v>6895</v>
      </c>
      <c r="I5798" s="38" t="s">
        <v>6896</v>
      </c>
      <c r="J5798" s="38" t="s">
        <v>134</v>
      </c>
      <c r="K5798" s="38" t="s">
        <v>126</v>
      </c>
      <c r="L5798" s="41">
        <v>46007.645833333336</v>
      </c>
      <c r="M5798" s="38" t="s">
        <v>123</v>
      </c>
      <c r="N5798" s="41">
        <v>46007.65625</v>
      </c>
      <c r="O5798" s="38" t="s">
        <v>123</v>
      </c>
      <c r="P5798" s="38">
        <v>900.0</v>
      </c>
      <c r="Q5798" s="39"/>
      <c r="R5798" s="39"/>
      <c r="S5798" s="39"/>
      <c r="T5798" s="39"/>
      <c r="U5798" s="39"/>
    </row>
    <row r="5799">
      <c r="A5799" s="40">
        <f t="shared" si="1"/>
        <v>46006</v>
      </c>
      <c r="B5799" s="37" t="str">
        <f t="array" ref="B5799">iferror(xlookup($I5799, 'IMPORT VHC Report'!$E:$E, 'IMPORT VHC Report'!$A:$C), )</f>
        <v/>
      </c>
      <c r="C5799" s="37"/>
      <c r="D5799" s="37"/>
      <c r="E5799" s="38" t="s">
        <v>6899</v>
      </c>
      <c r="F5799" s="38" t="s">
        <v>6894</v>
      </c>
      <c r="G5799" s="38">
        <v>3.61731791835E11</v>
      </c>
      <c r="H5799" s="38" t="s">
        <v>6895</v>
      </c>
      <c r="I5799" s="38" t="s">
        <v>6896</v>
      </c>
      <c r="J5799" s="38" t="s">
        <v>136</v>
      </c>
      <c r="K5799" s="38" t="s">
        <v>126</v>
      </c>
      <c r="L5799" s="41">
        <v>46007.697916666664</v>
      </c>
      <c r="M5799" s="38" t="s">
        <v>123</v>
      </c>
      <c r="N5799" s="41">
        <v>46007.729166666664</v>
      </c>
      <c r="O5799" s="38" t="s">
        <v>123</v>
      </c>
      <c r="P5799" s="38">
        <v>2700.0</v>
      </c>
      <c r="Q5799" s="39"/>
      <c r="R5799" s="39"/>
      <c r="S5799" s="39"/>
      <c r="T5799" s="39"/>
      <c r="U5799" s="39"/>
    </row>
    <row r="5800">
      <c r="A5800" s="40">
        <f t="shared" si="1"/>
        <v>46006</v>
      </c>
      <c r="B5800" s="37" t="str">
        <f t="array" ref="B5800">iferror(xlookup($I5800, 'IMPORT VHC Report'!$E:$E, 'IMPORT VHC Report'!$A:$C), )</f>
        <v/>
      </c>
      <c r="C5800" s="37"/>
      <c r="D5800" s="37"/>
      <c r="E5800" s="38" t="s">
        <v>6900</v>
      </c>
      <c r="F5800" s="38" t="s">
        <v>6894</v>
      </c>
      <c r="G5800" s="38">
        <v>3.61731791835E11</v>
      </c>
      <c r="H5800" s="38" t="s">
        <v>6895</v>
      </c>
      <c r="I5800" s="38" t="s">
        <v>6896</v>
      </c>
      <c r="J5800" s="38" t="s">
        <v>134</v>
      </c>
      <c r="K5800" s="38" t="s">
        <v>126</v>
      </c>
      <c r="L5800" s="41">
        <v>46007.75</v>
      </c>
      <c r="M5800" s="38" t="s">
        <v>123</v>
      </c>
      <c r="N5800" s="41">
        <v>46007.760416666664</v>
      </c>
      <c r="O5800" s="38" t="s">
        <v>123</v>
      </c>
      <c r="P5800" s="38">
        <v>900.0</v>
      </c>
      <c r="Q5800" s="39"/>
      <c r="R5800" s="39"/>
      <c r="S5800" s="39"/>
      <c r="T5800" s="39"/>
      <c r="U5800" s="39"/>
    </row>
    <row r="5801">
      <c r="A5801" s="40">
        <f t="shared" si="1"/>
        <v>46006</v>
      </c>
      <c r="B5801" s="37" t="str">
        <f t="array" ref="B5801">iferror(xlookup($I5801, 'IMPORT VHC Report'!$E:$E, 'IMPORT VHC Report'!$A:$C), )</f>
        <v/>
      </c>
      <c r="C5801" s="37"/>
      <c r="D5801" s="37"/>
      <c r="E5801" s="38" t="s">
        <v>6901</v>
      </c>
      <c r="F5801" s="38" t="s">
        <v>6894</v>
      </c>
      <c r="G5801" s="38">
        <v>3.61731791835E11</v>
      </c>
      <c r="H5801" s="38" t="s">
        <v>6895</v>
      </c>
      <c r="I5801" s="38" t="s">
        <v>6896</v>
      </c>
      <c r="J5801" s="38" t="s">
        <v>224</v>
      </c>
      <c r="K5801" s="38" t="s">
        <v>63</v>
      </c>
      <c r="L5801" s="41">
        <v>46008.416666666664</v>
      </c>
      <c r="M5801" s="38" t="s">
        <v>123</v>
      </c>
      <c r="N5801" s="41">
        <v>46008.53125</v>
      </c>
      <c r="O5801" s="38" t="s">
        <v>123</v>
      </c>
      <c r="P5801" s="38">
        <v>9900.0</v>
      </c>
      <c r="Q5801" s="39"/>
      <c r="R5801" s="39"/>
      <c r="S5801" s="39"/>
      <c r="T5801" s="39"/>
      <c r="U5801" s="39"/>
    </row>
    <row r="5802">
      <c r="A5802" s="40">
        <f t="shared" si="1"/>
        <v>46006</v>
      </c>
      <c r="B5802" s="37" t="str">
        <f t="array" ref="B5802">iferror(xlookup($I5802, 'IMPORT VHC Report'!$E:$E, 'IMPORT VHC Report'!$A:$C), )</f>
        <v/>
      </c>
      <c r="C5802" s="37"/>
      <c r="D5802" s="37"/>
      <c r="E5802" s="38" t="s">
        <v>6902</v>
      </c>
      <c r="F5802" s="38" t="s">
        <v>6894</v>
      </c>
      <c r="G5802" s="38">
        <v>3.61731791835E11</v>
      </c>
      <c r="H5802" s="38" t="s">
        <v>6895</v>
      </c>
      <c r="I5802" s="38" t="s">
        <v>6896</v>
      </c>
      <c r="J5802" s="38" t="s">
        <v>134</v>
      </c>
      <c r="K5802" s="38" t="s">
        <v>126</v>
      </c>
      <c r="L5802" s="41">
        <v>46008.53125</v>
      </c>
      <c r="M5802" s="38" t="s">
        <v>123</v>
      </c>
      <c r="N5802" s="41">
        <v>46008.541666666664</v>
      </c>
      <c r="O5802" s="38" t="s">
        <v>123</v>
      </c>
      <c r="P5802" s="38">
        <v>900.0</v>
      </c>
      <c r="Q5802" s="39"/>
      <c r="R5802" s="39"/>
      <c r="S5802" s="39"/>
      <c r="T5802" s="39"/>
      <c r="U5802" s="39"/>
    </row>
    <row r="5803">
      <c r="A5803" s="40">
        <f t="shared" si="1"/>
        <v>46006</v>
      </c>
      <c r="B5803" s="37" t="str">
        <f t="array" ref="B5803">iferror(xlookup($I5803, 'IMPORT VHC Report'!$E:$E, 'IMPORT VHC Report'!$A:$C), )</f>
        <v/>
      </c>
      <c r="C5803" s="37"/>
      <c r="D5803" s="37"/>
      <c r="E5803" s="38" t="s">
        <v>6903</v>
      </c>
      <c r="F5803" s="38" t="s">
        <v>6894</v>
      </c>
      <c r="G5803" s="38">
        <v>3.61731791835E11</v>
      </c>
      <c r="H5803" s="38" t="s">
        <v>6895</v>
      </c>
      <c r="I5803" s="38" t="s">
        <v>6896</v>
      </c>
      <c r="J5803" s="38" t="s">
        <v>224</v>
      </c>
      <c r="K5803" s="38" t="s">
        <v>63</v>
      </c>
      <c r="L5803" s="41">
        <v>46008.541666666664</v>
      </c>
      <c r="M5803" s="38" t="s">
        <v>123</v>
      </c>
      <c r="N5803" s="41">
        <v>46008.614583333336</v>
      </c>
      <c r="O5803" s="38" t="s">
        <v>123</v>
      </c>
      <c r="P5803" s="38">
        <v>6300.0</v>
      </c>
      <c r="Q5803" s="39"/>
      <c r="R5803" s="39"/>
      <c r="S5803" s="39"/>
      <c r="T5803" s="39"/>
      <c r="U5803" s="39"/>
    </row>
    <row r="5804">
      <c r="A5804" s="40">
        <f t="shared" si="1"/>
        <v>46006</v>
      </c>
      <c r="B5804" s="37" t="str">
        <f t="array" ref="B5804">iferror(xlookup($I5804, 'IMPORT VHC Report'!$E:$E, 'IMPORT VHC Report'!$A:$C), )</f>
        <v/>
      </c>
      <c r="C5804" s="37"/>
      <c r="D5804" s="37"/>
      <c r="E5804" s="38" t="s">
        <v>6904</v>
      </c>
      <c r="F5804" s="38" t="s">
        <v>6894</v>
      </c>
      <c r="G5804" s="38">
        <v>3.61731791835E11</v>
      </c>
      <c r="H5804" s="38" t="s">
        <v>6895</v>
      </c>
      <c r="I5804" s="38" t="s">
        <v>6896</v>
      </c>
      <c r="J5804" s="38" t="s">
        <v>132</v>
      </c>
      <c r="K5804" s="38" t="s">
        <v>126</v>
      </c>
      <c r="L5804" s="41">
        <v>46008.614583333336</v>
      </c>
      <c r="M5804" s="38" t="s">
        <v>123</v>
      </c>
      <c r="N5804" s="41">
        <v>46008.65625</v>
      </c>
      <c r="O5804" s="38" t="s">
        <v>123</v>
      </c>
      <c r="P5804" s="38">
        <v>3600.0</v>
      </c>
      <c r="Q5804" s="39"/>
      <c r="R5804" s="39"/>
      <c r="S5804" s="39"/>
      <c r="T5804" s="39"/>
      <c r="U5804" s="39"/>
    </row>
    <row r="5805">
      <c r="A5805" s="40">
        <f t="shared" si="1"/>
        <v>46006</v>
      </c>
      <c r="B5805" s="37" t="str">
        <f t="array" ref="B5805">iferror(xlookup($I5805, 'IMPORT VHC Report'!$E:$E, 'IMPORT VHC Report'!$A:$C), )</f>
        <v/>
      </c>
      <c r="C5805" s="37"/>
      <c r="D5805" s="37"/>
      <c r="E5805" s="38" t="s">
        <v>6905</v>
      </c>
      <c r="F5805" s="38" t="s">
        <v>6894</v>
      </c>
      <c r="G5805" s="38">
        <v>3.61731791835E11</v>
      </c>
      <c r="H5805" s="38" t="s">
        <v>6895</v>
      </c>
      <c r="I5805" s="38" t="s">
        <v>6896</v>
      </c>
      <c r="J5805" s="38" t="s">
        <v>224</v>
      </c>
      <c r="K5805" s="38" t="s">
        <v>63</v>
      </c>
      <c r="L5805" s="41">
        <v>46008.65625</v>
      </c>
      <c r="M5805" s="38" t="s">
        <v>123</v>
      </c>
      <c r="N5805" s="41">
        <v>46008.71875</v>
      </c>
      <c r="O5805" s="38" t="s">
        <v>123</v>
      </c>
      <c r="P5805" s="38">
        <v>5400.0</v>
      </c>
      <c r="Q5805" s="39"/>
      <c r="R5805" s="39"/>
      <c r="S5805" s="39"/>
      <c r="T5805" s="39"/>
      <c r="U5805" s="39"/>
    </row>
    <row r="5806">
      <c r="A5806" s="40">
        <f t="shared" si="1"/>
        <v>46006</v>
      </c>
      <c r="B5806" s="37" t="str">
        <f t="array" ref="B5806">iferror(xlookup($I5806, 'IMPORT VHC Report'!$E:$E, 'IMPORT VHC Report'!$A:$C), )</f>
        <v/>
      </c>
      <c r="C5806" s="37"/>
      <c r="D5806" s="37"/>
      <c r="E5806" s="38" t="s">
        <v>6906</v>
      </c>
      <c r="F5806" s="38" t="s">
        <v>6894</v>
      </c>
      <c r="G5806" s="38">
        <v>3.61731791835E11</v>
      </c>
      <c r="H5806" s="38" t="s">
        <v>6895</v>
      </c>
      <c r="I5806" s="38" t="s">
        <v>6896</v>
      </c>
      <c r="J5806" s="38" t="s">
        <v>134</v>
      </c>
      <c r="K5806" s="38" t="s">
        <v>126</v>
      </c>
      <c r="L5806" s="41">
        <v>46008.71875</v>
      </c>
      <c r="M5806" s="38" t="s">
        <v>123</v>
      </c>
      <c r="N5806" s="41">
        <v>46008.729166666664</v>
      </c>
      <c r="O5806" s="38" t="s">
        <v>123</v>
      </c>
      <c r="P5806" s="38">
        <v>900.0</v>
      </c>
      <c r="Q5806" s="39"/>
      <c r="R5806" s="39"/>
      <c r="S5806" s="39"/>
      <c r="T5806" s="39"/>
      <c r="U5806" s="39"/>
    </row>
    <row r="5807">
      <c r="A5807" s="40">
        <f t="shared" si="1"/>
        <v>46006</v>
      </c>
      <c r="B5807" s="37" t="str">
        <f t="array" ref="B5807">iferror(xlookup($I5807, 'IMPORT VHC Report'!$E:$E, 'IMPORT VHC Report'!$A:$C), )</f>
        <v/>
      </c>
      <c r="C5807" s="37"/>
      <c r="D5807" s="37"/>
      <c r="E5807" s="38" t="s">
        <v>6907</v>
      </c>
      <c r="F5807" s="38" t="s">
        <v>6894</v>
      </c>
      <c r="G5807" s="38">
        <v>3.61731791835E11</v>
      </c>
      <c r="H5807" s="38" t="s">
        <v>6895</v>
      </c>
      <c r="I5807" s="38" t="s">
        <v>6896</v>
      </c>
      <c r="J5807" s="38" t="s">
        <v>224</v>
      </c>
      <c r="K5807" s="38" t="s">
        <v>63</v>
      </c>
      <c r="L5807" s="41">
        <v>46008.729166666664</v>
      </c>
      <c r="M5807" s="38" t="s">
        <v>123</v>
      </c>
      <c r="N5807" s="41">
        <v>46008.791666666664</v>
      </c>
      <c r="O5807" s="38" t="s">
        <v>123</v>
      </c>
      <c r="P5807" s="38">
        <v>5400.0</v>
      </c>
      <c r="Q5807" s="39"/>
      <c r="R5807" s="39"/>
      <c r="S5807" s="39"/>
      <c r="T5807" s="39"/>
      <c r="U5807" s="39"/>
    </row>
    <row r="5808">
      <c r="A5808" s="40">
        <f t="shared" si="1"/>
        <v>46006</v>
      </c>
      <c r="B5808" s="37" t="str">
        <f t="array" ref="B5808">iferror(xlookup($I5808, 'IMPORT VHC Report'!$E:$E, 'IMPORT VHC Report'!$A:$C), )</f>
        <v/>
      </c>
      <c r="C5808" s="37"/>
      <c r="D5808" s="37"/>
      <c r="E5808" s="38" t="s">
        <v>6908</v>
      </c>
      <c r="F5808" s="38" t="s">
        <v>6894</v>
      </c>
      <c r="G5808" s="38">
        <v>3.61731791835E11</v>
      </c>
      <c r="H5808" s="38" t="s">
        <v>6895</v>
      </c>
      <c r="I5808" s="38" t="s">
        <v>6896</v>
      </c>
      <c r="J5808" s="38" t="s">
        <v>224</v>
      </c>
      <c r="K5808" s="38" t="s">
        <v>63</v>
      </c>
      <c r="L5808" s="41">
        <v>46009.416666666664</v>
      </c>
      <c r="M5808" s="38" t="s">
        <v>123</v>
      </c>
      <c r="N5808" s="41">
        <v>46009.53125</v>
      </c>
      <c r="O5808" s="38" t="s">
        <v>123</v>
      </c>
      <c r="P5808" s="38">
        <v>9900.0</v>
      </c>
      <c r="Q5808" s="39"/>
      <c r="R5808" s="39"/>
      <c r="S5808" s="39"/>
      <c r="T5808" s="39"/>
      <c r="U5808" s="39"/>
    </row>
    <row r="5809">
      <c r="A5809" s="40">
        <f t="shared" si="1"/>
        <v>46006</v>
      </c>
      <c r="B5809" s="37" t="str">
        <f t="array" ref="B5809">iferror(xlookup($I5809, 'IMPORT VHC Report'!$E:$E, 'IMPORT VHC Report'!$A:$C), )</f>
        <v/>
      </c>
      <c r="C5809" s="37"/>
      <c r="D5809" s="37"/>
      <c r="E5809" s="38" t="s">
        <v>6909</v>
      </c>
      <c r="F5809" s="38" t="s">
        <v>6894</v>
      </c>
      <c r="G5809" s="38">
        <v>3.61731791835E11</v>
      </c>
      <c r="H5809" s="38" t="s">
        <v>6895</v>
      </c>
      <c r="I5809" s="38" t="s">
        <v>6896</v>
      </c>
      <c r="J5809" s="38" t="s">
        <v>152</v>
      </c>
      <c r="K5809" s="38" t="s">
        <v>153</v>
      </c>
      <c r="L5809" s="41">
        <v>46009.416666666664</v>
      </c>
      <c r="M5809" s="38" t="s">
        <v>123</v>
      </c>
      <c r="N5809" s="41">
        <v>46009.75</v>
      </c>
      <c r="O5809" s="38" t="s">
        <v>123</v>
      </c>
      <c r="P5809" s="38">
        <v>28800.0</v>
      </c>
      <c r="Q5809" s="38">
        <v>28800.0</v>
      </c>
      <c r="R5809" s="38" t="s">
        <v>351</v>
      </c>
      <c r="S5809" s="38" t="s">
        <v>351</v>
      </c>
      <c r="T5809" s="39"/>
      <c r="U5809" s="39"/>
    </row>
    <row r="5810">
      <c r="A5810" s="40">
        <f t="shared" si="1"/>
        <v>46006</v>
      </c>
      <c r="B5810" s="37" t="str">
        <f t="array" ref="B5810">iferror(xlookup($I5810, 'IMPORT VHC Report'!$E:$E, 'IMPORT VHC Report'!$A:$C), )</f>
        <v/>
      </c>
      <c r="C5810" s="37"/>
      <c r="D5810" s="37"/>
      <c r="E5810" s="38" t="s">
        <v>6910</v>
      </c>
      <c r="F5810" s="38" t="s">
        <v>6894</v>
      </c>
      <c r="G5810" s="38">
        <v>3.61731791835E11</v>
      </c>
      <c r="H5810" s="38" t="s">
        <v>6895</v>
      </c>
      <c r="I5810" s="38" t="s">
        <v>6896</v>
      </c>
      <c r="J5810" s="38" t="s">
        <v>132</v>
      </c>
      <c r="K5810" s="38" t="s">
        <v>126</v>
      </c>
      <c r="L5810" s="41">
        <v>46009.53125</v>
      </c>
      <c r="M5810" s="38" t="s">
        <v>123</v>
      </c>
      <c r="N5810" s="41">
        <v>46009.572916666664</v>
      </c>
      <c r="O5810" s="38" t="s">
        <v>123</v>
      </c>
      <c r="P5810" s="38">
        <v>3600.0</v>
      </c>
      <c r="Q5810" s="39"/>
      <c r="R5810" s="39"/>
      <c r="S5810" s="39"/>
      <c r="T5810" s="39"/>
      <c r="U5810" s="39"/>
    </row>
    <row r="5811">
      <c r="A5811" s="40">
        <f t="shared" si="1"/>
        <v>46006</v>
      </c>
      <c r="B5811" s="37" t="str">
        <f t="array" ref="B5811">iferror(xlookup($I5811, 'IMPORT VHC Report'!$E:$E, 'IMPORT VHC Report'!$A:$C), )</f>
        <v/>
      </c>
      <c r="C5811" s="37"/>
      <c r="D5811" s="37"/>
      <c r="E5811" s="38" t="s">
        <v>6911</v>
      </c>
      <c r="F5811" s="38" t="s">
        <v>6894</v>
      </c>
      <c r="G5811" s="38">
        <v>3.61731791835E11</v>
      </c>
      <c r="H5811" s="38" t="s">
        <v>6895</v>
      </c>
      <c r="I5811" s="38" t="s">
        <v>6896</v>
      </c>
      <c r="J5811" s="38" t="s">
        <v>224</v>
      </c>
      <c r="K5811" s="38" t="s">
        <v>63</v>
      </c>
      <c r="L5811" s="41">
        <v>46009.572916666664</v>
      </c>
      <c r="M5811" s="38" t="s">
        <v>123</v>
      </c>
      <c r="N5811" s="41">
        <v>46009.645833333336</v>
      </c>
      <c r="O5811" s="38" t="s">
        <v>123</v>
      </c>
      <c r="P5811" s="38">
        <v>6300.0</v>
      </c>
      <c r="Q5811" s="39"/>
      <c r="R5811" s="39"/>
      <c r="S5811" s="39"/>
      <c r="T5811" s="39"/>
      <c r="U5811" s="39"/>
    </row>
    <row r="5812">
      <c r="A5812" s="40">
        <f t="shared" si="1"/>
        <v>46006</v>
      </c>
      <c r="B5812" s="37" t="str">
        <f t="array" ref="B5812">iferror(xlookup($I5812, 'IMPORT VHC Report'!$E:$E, 'IMPORT VHC Report'!$A:$C), )</f>
        <v/>
      </c>
      <c r="C5812" s="37"/>
      <c r="D5812" s="37"/>
      <c r="E5812" s="38" t="s">
        <v>6912</v>
      </c>
      <c r="F5812" s="38" t="s">
        <v>6894</v>
      </c>
      <c r="G5812" s="38">
        <v>3.61731791835E11</v>
      </c>
      <c r="H5812" s="38" t="s">
        <v>6895</v>
      </c>
      <c r="I5812" s="38" t="s">
        <v>6896</v>
      </c>
      <c r="J5812" s="38" t="s">
        <v>134</v>
      </c>
      <c r="K5812" s="38" t="s">
        <v>126</v>
      </c>
      <c r="L5812" s="41">
        <v>46009.645833333336</v>
      </c>
      <c r="M5812" s="38" t="s">
        <v>123</v>
      </c>
      <c r="N5812" s="41">
        <v>46009.65625</v>
      </c>
      <c r="O5812" s="38" t="s">
        <v>123</v>
      </c>
      <c r="P5812" s="38">
        <v>900.0</v>
      </c>
      <c r="Q5812" s="39"/>
      <c r="R5812" s="39"/>
      <c r="S5812" s="39"/>
      <c r="T5812" s="39"/>
      <c r="U5812" s="39"/>
    </row>
    <row r="5813">
      <c r="A5813" s="40">
        <f t="shared" si="1"/>
        <v>46006</v>
      </c>
      <c r="B5813" s="37" t="str">
        <f t="array" ref="B5813">iferror(xlookup($I5813, 'IMPORT VHC Report'!$E:$E, 'IMPORT VHC Report'!$A:$C), )</f>
        <v/>
      </c>
      <c r="C5813" s="37"/>
      <c r="D5813" s="37"/>
      <c r="E5813" s="38" t="s">
        <v>6913</v>
      </c>
      <c r="F5813" s="38" t="s">
        <v>6894</v>
      </c>
      <c r="G5813" s="38">
        <v>3.61731791835E11</v>
      </c>
      <c r="H5813" s="38" t="s">
        <v>6895</v>
      </c>
      <c r="I5813" s="38" t="s">
        <v>6896</v>
      </c>
      <c r="J5813" s="38" t="s">
        <v>224</v>
      </c>
      <c r="K5813" s="38" t="s">
        <v>63</v>
      </c>
      <c r="L5813" s="41">
        <v>46009.65625</v>
      </c>
      <c r="M5813" s="38" t="s">
        <v>123</v>
      </c>
      <c r="N5813" s="41">
        <v>46009.71875</v>
      </c>
      <c r="O5813" s="38" t="s">
        <v>123</v>
      </c>
      <c r="P5813" s="38">
        <v>5400.0</v>
      </c>
      <c r="Q5813" s="39"/>
      <c r="R5813" s="39"/>
      <c r="S5813" s="39"/>
      <c r="T5813" s="39"/>
      <c r="U5813" s="39"/>
    </row>
    <row r="5814">
      <c r="A5814" s="40">
        <f t="shared" si="1"/>
        <v>46006</v>
      </c>
      <c r="B5814" s="37" t="str">
        <f t="array" ref="B5814">iferror(xlookup($I5814, 'IMPORT VHC Report'!$E:$E, 'IMPORT VHC Report'!$A:$C), )</f>
        <v/>
      </c>
      <c r="C5814" s="37"/>
      <c r="D5814" s="37"/>
      <c r="E5814" s="38" t="s">
        <v>6914</v>
      </c>
      <c r="F5814" s="38" t="s">
        <v>6894</v>
      </c>
      <c r="G5814" s="38">
        <v>3.61731791835E11</v>
      </c>
      <c r="H5814" s="38" t="s">
        <v>6895</v>
      </c>
      <c r="I5814" s="38" t="s">
        <v>6896</v>
      </c>
      <c r="J5814" s="38" t="s">
        <v>134</v>
      </c>
      <c r="K5814" s="38" t="s">
        <v>126</v>
      </c>
      <c r="L5814" s="41">
        <v>46009.71875</v>
      </c>
      <c r="M5814" s="38" t="s">
        <v>123</v>
      </c>
      <c r="N5814" s="41">
        <v>46009.729166666664</v>
      </c>
      <c r="O5814" s="38" t="s">
        <v>123</v>
      </c>
      <c r="P5814" s="38">
        <v>900.0</v>
      </c>
      <c r="Q5814" s="39"/>
      <c r="R5814" s="39"/>
      <c r="S5814" s="39"/>
      <c r="T5814" s="39"/>
      <c r="U5814" s="39"/>
    </row>
    <row r="5815">
      <c r="A5815" s="40">
        <f t="shared" si="1"/>
        <v>46006</v>
      </c>
      <c r="B5815" s="37" t="str">
        <f t="array" ref="B5815">iferror(xlookup($I5815, 'IMPORT VHC Report'!$E:$E, 'IMPORT VHC Report'!$A:$C), )</f>
        <v/>
      </c>
      <c r="C5815" s="37"/>
      <c r="D5815" s="37"/>
      <c r="E5815" s="38" t="s">
        <v>6915</v>
      </c>
      <c r="F5815" s="38" t="s">
        <v>6894</v>
      </c>
      <c r="G5815" s="38">
        <v>3.61731791835E11</v>
      </c>
      <c r="H5815" s="38" t="s">
        <v>6895</v>
      </c>
      <c r="I5815" s="38" t="s">
        <v>6896</v>
      </c>
      <c r="J5815" s="38" t="s">
        <v>224</v>
      </c>
      <c r="K5815" s="38" t="s">
        <v>63</v>
      </c>
      <c r="L5815" s="41">
        <v>46009.729166666664</v>
      </c>
      <c r="M5815" s="38" t="s">
        <v>123</v>
      </c>
      <c r="N5815" s="41">
        <v>46009.75</v>
      </c>
      <c r="O5815" s="38" t="s">
        <v>123</v>
      </c>
      <c r="P5815" s="38">
        <v>1800.0</v>
      </c>
      <c r="Q5815" s="39"/>
      <c r="R5815" s="39"/>
      <c r="S5815" s="39"/>
      <c r="T5815" s="39"/>
      <c r="U5815" s="39"/>
    </row>
    <row r="5816">
      <c r="A5816" s="40">
        <f t="shared" si="1"/>
        <v>46006</v>
      </c>
      <c r="B5816" s="37" t="str">
        <f t="array" ref="B5816">iferror(xlookup($I5816, 'IMPORT VHC Report'!$E:$E, 'IMPORT VHC Report'!$A:$C), )</f>
        <v/>
      </c>
      <c r="C5816" s="37"/>
      <c r="D5816" s="37"/>
      <c r="E5816" s="38" t="s">
        <v>6916</v>
      </c>
      <c r="F5816" s="38" t="s">
        <v>6894</v>
      </c>
      <c r="G5816" s="38">
        <v>3.61731791835E11</v>
      </c>
      <c r="H5816" s="38" t="s">
        <v>6895</v>
      </c>
      <c r="I5816" s="38" t="s">
        <v>6896</v>
      </c>
      <c r="J5816" s="38" t="s">
        <v>224</v>
      </c>
      <c r="K5816" s="38" t="s">
        <v>63</v>
      </c>
      <c r="L5816" s="41">
        <v>46010.416666666664</v>
      </c>
      <c r="M5816" s="38" t="s">
        <v>123</v>
      </c>
      <c r="N5816" s="41">
        <v>46010.510416666664</v>
      </c>
      <c r="O5816" s="38" t="s">
        <v>123</v>
      </c>
      <c r="P5816" s="38">
        <v>8100.0</v>
      </c>
      <c r="Q5816" s="39"/>
      <c r="R5816" s="39"/>
      <c r="S5816" s="39"/>
      <c r="T5816" s="39"/>
      <c r="U5816" s="39"/>
    </row>
    <row r="5817">
      <c r="A5817" s="40">
        <f t="shared" si="1"/>
        <v>46006</v>
      </c>
      <c r="B5817" s="37" t="str">
        <f t="array" ref="B5817">iferror(xlookup($I5817, 'IMPORT VHC Report'!$E:$E, 'IMPORT VHC Report'!$A:$C), )</f>
        <v/>
      </c>
      <c r="C5817" s="37"/>
      <c r="D5817" s="37"/>
      <c r="E5817" s="38" t="s">
        <v>6917</v>
      </c>
      <c r="F5817" s="38" t="s">
        <v>6894</v>
      </c>
      <c r="G5817" s="38">
        <v>3.61731791835E11</v>
      </c>
      <c r="H5817" s="38" t="s">
        <v>6895</v>
      </c>
      <c r="I5817" s="38" t="s">
        <v>6896</v>
      </c>
      <c r="J5817" s="38" t="s">
        <v>134</v>
      </c>
      <c r="K5817" s="38" t="s">
        <v>126</v>
      </c>
      <c r="L5817" s="41">
        <v>46010.510416666664</v>
      </c>
      <c r="M5817" s="38" t="s">
        <v>123</v>
      </c>
      <c r="N5817" s="41">
        <v>46010.520833333336</v>
      </c>
      <c r="O5817" s="38" t="s">
        <v>123</v>
      </c>
      <c r="P5817" s="38">
        <v>900.0</v>
      </c>
      <c r="Q5817" s="39"/>
      <c r="R5817" s="39"/>
      <c r="S5817" s="39"/>
      <c r="T5817" s="39"/>
      <c r="U5817" s="39"/>
    </row>
    <row r="5818">
      <c r="A5818" s="40">
        <f t="shared" si="1"/>
        <v>46006</v>
      </c>
      <c r="B5818" s="37" t="str">
        <f t="array" ref="B5818">iferror(xlookup($I5818, 'IMPORT VHC Report'!$E:$E, 'IMPORT VHC Report'!$A:$C), )</f>
        <v/>
      </c>
      <c r="C5818" s="37"/>
      <c r="D5818" s="37"/>
      <c r="E5818" s="38" t="s">
        <v>6918</v>
      </c>
      <c r="F5818" s="38" t="s">
        <v>6894</v>
      </c>
      <c r="G5818" s="38">
        <v>3.61731791835E11</v>
      </c>
      <c r="H5818" s="38" t="s">
        <v>6895</v>
      </c>
      <c r="I5818" s="38" t="s">
        <v>6896</v>
      </c>
      <c r="J5818" s="38" t="s">
        <v>224</v>
      </c>
      <c r="K5818" s="38" t="s">
        <v>63</v>
      </c>
      <c r="L5818" s="41">
        <v>46010.520833333336</v>
      </c>
      <c r="M5818" s="38" t="s">
        <v>123</v>
      </c>
      <c r="N5818" s="41">
        <v>46010.59375</v>
      </c>
      <c r="O5818" s="38" t="s">
        <v>123</v>
      </c>
      <c r="P5818" s="38">
        <v>6300.0</v>
      </c>
      <c r="Q5818" s="39"/>
      <c r="R5818" s="39"/>
      <c r="S5818" s="39"/>
      <c r="T5818" s="39"/>
      <c r="U5818" s="39"/>
    </row>
    <row r="5819">
      <c r="A5819" s="40">
        <f t="shared" si="1"/>
        <v>46006</v>
      </c>
      <c r="B5819" s="37" t="str">
        <f t="array" ref="B5819">iferror(xlookup($I5819, 'IMPORT VHC Report'!$E:$E, 'IMPORT VHC Report'!$A:$C), )</f>
        <v/>
      </c>
      <c r="C5819" s="37"/>
      <c r="D5819" s="37"/>
      <c r="E5819" s="38" t="s">
        <v>6919</v>
      </c>
      <c r="F5819" s="38" t="s">
        <v>6894</v>
      </c>
      <c r="G5819" s="38">
        <v>3.61731791835E11</v>
      </c>
      <c r="H5819" s="38" t="s">
        <v>6895</v>
      </c>
      <c r="I5819" s="38" t="s">
        <v>6896</v>
      </c>
      <c r="J5819" s="38" t="s">
        <v>134</v>
      </c>
      <c r="K5819" s="38" t="s">
        <v>126</v>
      </c>
      <c r="L5819" s="41">
        <v>46010.59375</v>
      </c>
      <c r="M5819" s="38" t="s">
        <v>123</v>
      </c>
      <c r="N5819" s="41">
        <v>46010.604166666664</v>
      </c>
      <c r="O5819" s="38" t="s">
        <v>123</v>
      </c>
      <c r="P5819" s="38">
        <v>900.0</v>
      </c>
      <c r="Q5819" s="39"/>
      <c r="R5819" s="39"/>
      <c r="S5819" s="39"/>
      <c r="T5819" s="39"/>
      <c r="U5819" s="39"/>
    </row>
    <row r="5820">
      <c r="A5820" s="40">
        <f t="shared" si="1"/>
        <v>46006</v>
      </c>
      <c r="B5820" s="37" t="str">
        <f t="array" ref="B5820">iferror(xlookup($I5820, 'IMPORT VHC Report'!$E:$E, 'IMPORT VHC Report'!$A:$C), )</f>
        <v/>
      </c>
      <c r="C5820" s="37"/>
      <c r="D5820" s="37"/>
      <c r="E5820" s="38" t="s">
        <v>6920</v>
      </c>
      <c r="F5820" s="38" t="s">
        <v>6894</v>
      </c>
      <c r="G5820" s="38">
        <v>3.61731791835E11</v>
      </c>
      <c r="H5820" s="38" t="s">
        <v>6895</v>
      </c>
      <c r="I5820" s="38" t="s">
        <v>6896</v>
      </c>
      <c r="J5820" s="38" t="s">
        <v>224</v>
      </c>
      <c r="K5820" s="38" t="s">
        <v>63</v>
      </c>
      <c r="L5820" s="41">
        <v>46010.604166666664</v>
      </c>
      <c r="M5820" s="38" t="s">
        <v>123</v>
      </c>
      <c r="N5820" s="41">
        <v>46010.6875</v>
      </c>
      <c r="O5820" s="38" t="s">
        <v>123</v>
      </c>
      <c r="P5820" s="38">
        <v>7200.0</v>
      </c>
      <c r="Q5820" s="39"/>
      <c r="R5820" s="39"/>
      <c r="S5820" s="39"/>
      <c r="T5820" s="39"/>
      <c r="U5820" s="39"/>
    </row>
    <row r="5821">
      <c r="A5821" s="40">
        <f t="shared" si="1"/>
        <v>46006</v>
      </c>
      <c r="B5821" s="37" t="str">
        <f t="array" ref="B5821">iferror(xlookup($I5821, 'IMPORT VHC Report'!$E:$E, 'IMPORT VHC Report'!$A:$C), )</f>
        <v/>
      </c>
      <c r="C5821" s="37"/>
      <c r="D5821" s="37"/>
      <c r="E5821" s="38" t="s">
        <v>6921</v>
      </c>
      <c r="F5821" s="38" t="s">
        <v>6894</v>
      </c>
      <c r="G5821" s="38">
        <v>3.61731791835E11</v>
      </c>
      <c r="H5821" s="38" t="s">
        <v>6895</v>
      </c>
      <c r="I5821" s="38" t="s">
        <v>6896</v>
      </c>
      <c r="J5821" s="38" t="s">
        <v>132</v>
      </c>
      <c r="K5821" s="38" t="s">
        <v>126</v>
      </c>
      <c r="L5821" s="41">
        <v>46010.6875</v>
      </c>
      <c r="M5821" s="38" t="s">
        <v>123</v>
      </c>
      <c r="N5821" s="41">
        <v>46010.729166666664</v>
      </c>
      <c r="O5821" s="38" t="s">
        <v>123</v>
      </c>
      <c r="P5821" s="38">
        <v>3600.0</v>
      </c>
      <c r="Q5821" s="39"/>
      <c r="R5821" s="39"/>
      <c r="S5821" s="39"/>
      <c r="T5821" s="39"/>
      <c r="U5821" s="39"/>
    </row>
    <row r="5822">
      <c r="A5822" s="40">
        <f t="shared" si="1"/>
        <v>46006</v>
      </c>
      <c r="B5822" s="37" t="str">
        <f t="array" ref="B5822">iferror(xlookup($I5822, 'IMPORT VHC Report'!$E:$E, 'IMPORT VHC Report'!$A:$C), )</f>
        <v/>
      </c>
      <c r="C5822" s="37"/>
      <c r="D5822" s="37"/>
      <c r="E5822" s="38" t="s">
        <v>6922</v>
      </c>
      <c r="F5822" s="38" t="s">
        <v>6894</v>
      </c>
      <c r="G5822" s="38">
        <v>3.61731791835E11</v>
      </c>
      <c r="H5822" s="38" t="s">
        <v>6895</v>
      </c>
      <c r="I5822" s="38" t="s">
        <v>6896</v>
      </c>
      <c r="J5822" s="38" t="s">
        <v>224</v>
      </c>
      <c r="K5822" s="38" t="s">
        <v>63</v>
      </c>
      <c r="L5822" s="41">
        <v>46010.729166666664</v>
      </c>
      <c r="M5822" s="38" t="s">
        <v>123</v>
      </c>
      <c r="N5822" s="41">
        <v>46010.791666666664</v>
      </c>
      <c r="O5822" s="38" t="s">
        <v>123</v>
      </c>
      <c r="P5822" s="38">
        <v>5400.0</v>
      </c>
      <c r="Q5822" s="39"/>
      <c r="R5822" s="39"/>
      <c r="S5822" s="39"/>
      <c r="T5822" s="39"/>
      <c r="U5822" s="39"/>
    </row>
    <row r="5823">
      <c r="A5823" s="40">
        <f t="shared" si="1"/>
        <v>46006</v>
      </c>
      <c r="B5823" s="37" t="str">
        <f t="array" ref="B5823">iferror(xlookup($I5823, 'IMPORT VHC Report'!$E:$E, 'IMPORT VHC Report'!$A:$C), )</f>
        <v/>
      </c>
      <c r="C5823" s="37"/>
      <c r="D5823" s="37"/>
      <c r="E5823" s="38" t="s">
        <v>6923</v>
      </c>
      <c r="F5823" s="38" t="s">
        <v>6894</v>
      </c>
      <c r="G5823" s="38">
        <v>3.61731791835E11</v>
      </c>
      <c r="H5823" s="38" t="s">
        <v>6895</v>
      </c>
      <c r="I5823" s="38" t="s">
        <v>6896</v>
      </c>
      <c r="J5823" s="38" t="s">
        <v>224</v>
      </c>
      <c r="K5823" s="38" t="s">
        <v>63</v>
      </c>
      <c r="L5823" s="41">
        <v>46011.416666666664</v>
      </c>
      <c r="M5823" s="38" t="s">
        <v>123</v>
      </c>
      <c r="N5823" s="41">
        <v>46011.510416666664</v>
      </c>
      <c r="O5823" s="38" t="s">
        <v>123</v>
      </c>
      <c r="P5823" s="38">
        <v>8100.0</v>
      </c>
      <c r="Q5823" s="39"/>
      <c r="R5823" s="39"/>
      <c r="S5823" s="39"/>
      <c r="T5823" s="39"/>
      <c r="U5823" s="39"/>
    </row>
    <row r="5824">
      <c r="A5824" s="40">
        <f t="shared" si="1"/>
        <v>46006</v>
      </c>
      <c r="B5824" s="37" t="str">
        <f t="array" ref="B5824">iferror(xlookup($I5824, 'IMPORT VHC Report'!$E:$E, 'IMPORT VHC Report'!$A:$C), )</f>
        <v/>
      </c>
      <c r="C5824" s="37"/>
      <c r="D5824" s="37"/>
      <c r="E5824" s="38" t="s">
        <v>6924</v>
      </c>
      <c r="F5824" s="38" t="s">
        <v>6894</v>
      </c>
      <c r="G5824" s="38">
        <v>3.61731791835E11</v>
      </c>
      <c r="H5824" s="38" t="s">
        <v>6895</v>
      </c>
      <c r="I5824" s="38" t="s">
        <v>6896</v>
      </c>
      <c r="J5824" s="38" t="s">
        <v>134</v>
      </c>
      <c r="K5824" s="38" t="s">
        <v>126</v>
      </c>
      <c r="L5824" s="41">
        <v>46011.510416666664</v>
      </c>
      <c r="M5824" s="38" t="s">
        <v>123</v>
      </c>
      <c r="N5824" s="41">
        <v>46011.520833333336</v>
      </c>
      <c r="O5824" s="38" t="s">
        <v>123</v>
      </c>
      <c r="P5824" s="38">
        <v>900.0</v>
      </c>
      <c r="Q5824" s="39"/>
      <c r="R5824" s="39"/>
      <c r="S5824" s="39"/>
      <c r="T5824" s="39"/>
      <c r="U5824" s="39"/>
    </row>
    <row r="5825">
      <c r="A5825" s="40">
        <f t="shared" si="1"/>
        <v>46006</v>
      </c>
      <c r="B5825" s="37" t="str">
        <f t="array" ref="B5825">iferror(xlookup($I5825, 'IMPORT VHC Report'!$E:$E, 'IMPORT VHC Report'!$A:$C), )</f>
        <v/>
      </c>
      <c r="C5825" s="37"/>
      <c r="D5825" s="37"/>
      <c r="E5825" s="38" t="s">
        <v>6925</v>
      </c>
      <c r="F5825" s="38" t="s">
        <v>6894</v>
      </c>
      <c r="G5825" s="38">
        <v>3.61731791835E11</v>
      </c>
      <c r="H5825" s="38" t="s">
        <v>6895</v>
      </c>
      <c r="I5825" s="38" t="s">
        <v>6896</v>
      </c>
      <c r="J5825" s="38" t="s">
        <v>224</v>
      </c>
      <c r="K5825" s="38" t="s">
        <v>63</v>
      </c>
      <c r="L5825" s="41">
        <v>46011.520833333336</v>
      </c>
      <c r="M5825" s="38" t="s">
        <v>123</v>
      </c>
      <c r="N5825" s="41">
        <v>46011.614583333336</v>
      </c>
      <c r="O5825" s="38" t="s">
        <v>123</v>
      </c>
      <c r="P5825" s="38">
        <v>8100.0</v>
      </c>
      <c r="Q5825" s="39"/>
      <c r="R5825" s="39"/>
      <c r="S5825" s="39"/>
      <c r="T5825" s="39"/>
      <c r="U5825" s="39"/>
    </row>
    <row r="5826">
      <c r="A5826" s="40">
        <f t="shared" si="1"/>
        <v>46006</v>
      </c>
      <c r="B5826" s="37" t="str">
        <f t="array" ref="B5826">iferror(xlookup($I5826, 'IMPORT VHC Report'!$E:$E, 'IMPORT VHC Report'!$A:$C), )</f>
        <v/>
      </c>
      <c r="C5826" s="37"/>
      <c r="D5826" s="37"/>
      <c r="E5826" s="38" t="s">
        <v>6926</v>
      </c>
      <c r="F5826" s="38" t="s">
        <v>6894</v>
      </c>
      <c r="G5826" s="38">
        <v>3.61731791835E11</v>
      </c>
      <c r="H5826" s="38" t="s">
        <v>6895</v>
      </c>
      <c r="I5826" s="38" t="s">
        <v>6896</v>
      </c>
      <c r="J5826" s="38" t="s">
        <v>132</v>
      </c>
      <c r="K5826" s="38" t="s">
        <v>126</v>
      </c>
      <c r="L5826" s="41">
        <v>46011.614583333336</v>
      </c>
      <c r="M5826" s="38" t="s">
        <v>123</v>
      </c>
      <c r="N5826" s="41">
        <v>46011.65625</v>
      </c>
      <c r="O5826" s="38" t="s">
        <v>123</v>
      </c>
      <c r="P5826" s="38">
        <v>3600.0</v>
      </c>
      <c r="Q5826" s="39"/>
      <c r="R5826" s="39"/>
      <c r="S5826" s="39"/>
      <c r="T5826" s="39"/>
      <c r="U5826" s="39"/>
    </row>
    <row r="5827">
      <c r="A5827" s="40">
        <f t="shared" si="1"/>
        <v>46006</v>
      </c>
      <c r="B5827" s="37" t="str">
        <f t="array" ref="B5827">iferror(xlookup($I5827, 'IMPORT VHC Report'!$E:$E, 'IMPORT VHC Report'!$A:$C), )</f>
        <v/>
      </c>
      <c r="C5827" s="37"/>
      <c r="D5827" s="37"/>
      <c r="E5827" s="38" t="s">
        <v>6927</v>
      </c>
      <c r="F5827" s="38" t="s">
        <v>6894</v>
      </c>
      <c r="G5827" s="38">
        <v>3.61731791835E11</v>
      </c>
      <c r="H5827" s="38" t="s">
        <v>6895</v>
      </c>
      <c r="I5827" s="38" t="s">
        <v>6896</v>
      </c>
      <c r="J5827" s="38" t="s">
        <v>224</v>
      </c>
      <c r="K5827" s="38" t="s">
        <v>63</v>
      </c>
      <c r="L5827" s="41">
        <v>46011.65625</v>
      </c>
      <c r="M5827" s="38" t="s">
        <v>123</v>
      </c>
      <c r="N5827" s="41">
        <v>46011.71875</v>
      </c>
      <c r="O5827" s="38" t="s">
        <v>123</v>
      </c>
      <c r="P5827" s="38">
        <v>5400.0</v>
      </c>
      <c r="Q5827" s="39"/>
      <c r="R5827" s="39"/>
      <c r="S5827" s="39"/>
      <c r="T5827" s="39"/>
      <c r="U5827" s="39"/>
    </row>
    <row r="5828">
      <c r="A5828" s="40">
        <f t="shared" si="1"/>
        <v>46006</v>
      </c>
      <c r="B5828" s="37" t="str">
        <f t="array" ref="B5828">iferror(xlookup($I5828, 'IMPORT VHC Report'!$E:$E, 'IMPORT VHC Report'!$A:$C), )</f>
        <v/>
      </c>
      <c r="C5828" s="37"/>
      <c r="D5828" s="37"/>
      <c r="E5828" s="38" t="s">
        <v>6928</v>
      </c>
      <c r="F5828" s="38" t="s">
        <v>6894</v>
      </c>
      <c r="G5828" s="38">
        <v>3.61731791835E11</v>
      </c>
      <c r="H5828" s="38" t="s">
        <v>6895</v>
      </c>
      <c r="I5828" s="38" t="s">
        <v>6896</v>
      </c>
      <c r="J5828" s="38" t="s">
        <v>134</v>
      </c>
      <c r="K5828" s="38" t="s">
        <v>126</v>
      </c>
      <c r="L5828" s="41">
        <v>46011.71875</v>
      </c>
      <c r="M5828" s="38" t="s">
        <v>123</v>
      </c>
      <c r="N5828" s="41">
        <v>46011.729166666664</v>
      </c>
      <c r="O5828" s="38" t="s">
        <v>123</v>
      </c>
      <c r="P5828" s="38">
        <v>900.0</v>
      </c>
      <c r="Q5828" s="39"/>
      <c r="R5828" s="39"/>
      <c r="S5828" s="39"/>
      <c r="T5828" s="39"/>
      <c r="U5828" s="39"/>
    </row>
    <row r="5829">
      <c r="A5829" s="40">
        <f t="shared" si="1"/>
        <v>46006</v>
      </c>
      <c r="B5829" s="37" t="str">
        <f t="array" ref="B5829">iferror(xlookup($I5829, 'IMPORT VHC Report'!$E:$E, 'IMPORT VHC Report'!$A:$C), )</f>
        <v/>
      </c>
      <c r="C5829" s="37"/>
      <c r="D5829" s="37"/>
      <c r="E5829" s="38" t="s">
        <v>6929</v>
      </c>
      <c r="F5829" s="38" t="s">
        <v>6894</v>
      </c>
      <c r="G5829" s="38">
        <v>3.61731791835E11</v>
      </c>
      <c r="H5829" s="38" t="s">
        <v>6895</v>
      </c>
      <c r="I5829" s="38" t="s">
        <v>6896</v>
      </c>
      <c r="J5829" s="38" t="s">
        <v>224</v>
      </c>
      <c r="K5829" s="38" t="s">
        <v>63</v>
      </c>
      <c r="L5829" s="41">
        <v>46011.729166666664</v>
      </c>
      <c r="M5829" s="38" t="s">
        <v>123</v>
      </c>
      <c r="N5829" s="41">
        <v>46011.791666666664</v>
      </c>
      <c r="O5829" s="38" t="s">
        <v>123</v>
      </c>
      <c r="P5829" s="38">
        <v>5400.0</v>
      </c>
      <c r="Q5829" s="39"/>
      <c r="R5829" s="39"/>
      <c r="S5829" s="39"/>
      <c r="T5829" s="39"/>
      <c r="U5829" s="39"/>
    </row>
    <row r="5830">
      <c r="A5830" s="40">
        <f t="shared" si="1"/>
        <v>46006</v>
      </c>
      <c r="B5830" s="37" t="str">
        <f t="array" ref="B5830">iferror(xlookup($I5830, 'IMPORT VHC Report'!$E:$E, 'IMPORT VHC Report'!$A:$C), )</f>
        <v/>
      </c>
      <c r="C5830" s="37"/>
      <c r="D5830" s="37"/>
      <c r="E5830" s="38" t="s">
        <v>6930</v>
      </c>
      <c r="F5830" s="38" t="s">
        <v>6894</v>
      </c>
      <c r="G5830" s="38">
        <v>3.61731791835E11</v>
      </c>
      <c r="H5830" s="38" t="s">
        <v>6895</v>
      </c>
      <c r="I5830" s="38" t="s">
        <v>6896</v>
      </c>
      <c r="J5830" s="38" t="s">
        <v>4</v>
      </c>
      <c r="K5830" s="38" t="s">
        <v>126</v>
      </c>
      <c r="L5830" s="41">
        <v>46011.770833333336</v>
      </c>
      <c r="M5830" s="38" t="s">
        <v>123</v>
      </c>
      <c r="N5830" s="41">
        <v>46011.78125</v>
      </c>
      <c r="O5830" s="38" t="s">
        <v>123</v>
      </c>
      <c r="P5830" s="38">
        <v>900.0</v>
      </c>
      <c r="Q5830" s="39"/>
      <c r="R5830" s="39"/>
      <c r="S5830" s="38" t="s">
        <v>6931</v>
      </c>
      <c r="T5830" s="39"/>
      <c r="U5830" s="39"/>
    </row>
    <row r="5831">
      <c r="A5831" s="40">
        <f t="shared" si="1"/>
        <v>46006</v>
      </c>
      <c r="B5831" s="37" t="str">
        <f t="array" ref="B5831">iferror(xlookup($I5831, 'IMPORT VHC Report'!$E:$E, 'IMPORT VHC Report'!$A:$C), )</f>
        <v/>
      </c>
      <c r="C5831" s="37"/>
      <c r="D5831" s="37"/>
      <c r="E5831" s="38" t="s">
        <v>6932</v>
      </c>
      <c r="F5831" s="38" t="s">
        <v>6894</v>
      </c>
      <c r="G5831" s="38">
        <v>3.61731791835E11</v>
      </c>
      <c r="H5831" s="38" t="s">
        <v>6895</v>
      </c>
      <c r="I5831" s="38" t="s">
        <v>6896</v>
      </c>
      <c r="J5831" s="38" t="s">
        <v>4</v>
      </c>
      <c r="K5831" s="38" t="s">
        <v>126</v>
      </c>
      <c r="L5831" s="41">
        <v>46011.78125</v>
      </c>
      <c r="M5831" s="38" t="s">
        <v>123</v>
      </c>
      <c r="N5831" s="41">
        <v>46011.791666666664</v>
      </c>
      <c r="O5831" s="38" t="s">
        <v>123</v>
      </c>
      <c r="P5831" s="38">
        <v>900.0</v>
      </c>
      <c r="Q5831" s="39"/>
      <c r="R5831" s="39"/>
      <c r="S5831" s="38" t="s">
        <v>3383</v>
      </c>
      <c r="T5831" s="39"/>
      <c r="U5831" s="39"/>
    </row>
    <row r="5832">
      <c r="A5832" s="40">
        <f t="shared" si="1"/>
        <v>46006</v>
      </c>
      <c r="B5832" s="37" t="str">
        <f t="array" ref="B5832">iferror(xlookup($I5832, 'IMPORT VHC Report'!$E:$E, 'IMPORT VHC Report'!$A:$C), )</f>
        <v/>
      </c>
      <c r="C5832" s="37"/>
      <c r="D5832" s="37"/>
      <c r="E5832" s="38" t="s">
        <v>6933</v>
      </c>
      <c r="F5832" s="38" t="s">
        <v>6934</v>
      </c>
      <c r="G5832" s="38">
        <v>3.61731943235E11</v>
      </c>
      <c r="H5832" s="38" t="s">
        <v>6935</v>
      </c>
      <c r="I5832" s="38" t="s">
        <v>6936</v>
      </c>
      <c r="J5832" s="38" t="s">
        <v>300</v>
      </c>
      <c r="K5832" s="38" t="s">
        <v>63</v>
      </c>
      <c r="L5832" s="41">
        <v>46007.416666666664</v>
      </c>
      <c r="M5832" s="38" t="s">
        <v>123</v>
      </c>
      <c r="N5832" s="41">
        <v>46007.791666666664</v>
      </c>
      <c r="O5832" s="38" t="s">
        <v>123</v>
      </c>
      <c r="P5832" s="38">
        <v>32400.0</v>
      </c>
      <c r="Q5832" s="39"/>
      <c r="R5832" s="39"/>
      <c r="S5832" s="39"/>
      <c r="T5832" s="39"/>
      <c r="U5832" s="39"/>
    </row>
    <row r="5833">
      <c r="A5833" s="40">
        <f t="shared" si="1"/>
        <v>46006</v>
      </c>
      <c r="B5833" s="37" t="str">
        <f t="array" ref="B5833">iferror(xlookup($I5833, 'IMPORT VHC Report'!$E:$E, 'IMPORT VHC Report'!$A:$C), )</f>
        <v/>
      </c>
      <c r="C5833" s="37"/>
      <c r="D5833" s="37"/>
      <c r="E5833" s="38" t="s">
        <v>6937</v>
      </c>
      <c r="F5833" s="38" t="s">
        <v>6934</v>
      </c>
      <c r="G5833" s="38">
        <v>3.61731943235E11</v>
      </c>
      <c r="H5833" s="38" t="s">
        <v>6935</v>
      </c>
      <c r="I5833" s="38" t="s">
        <v>6936</v>
      </c>
      <c r="J5833" s="38" t="s">
        <v>134</v>
      </c>
      <c r="K5833" s="38" t="s">
        <v>126</v>
      </c>
      <c r="L5833" s="41">
        <v>46007.489583333336</v>
      </c>
      <c r="M5833" s="38" t="s">
        <v>123</v>
      </c>
      <c r="N5833" s="41">
        <v>46007.5</v>
      </c>
      <c r="O5833" s="38" t="s">
        <v>123</v>
      </c>
      <c r="P5833" s="38">
        <v>900.0</v>
      </c>
      <c r="Q5833" s="39"/>
      <c r="R5833" s="39"/>
      <c r="S5833" s="39"/>
      <c r="T5833" s="39"/>
      <c r="U5833" s="39"/>
    </row>
    <row r="5834">
      <c r="A5834" s="40">
        <f t="shared" si="1"/>
        <v>46006</v>
      </c>
      <c r="B5834" s="37" t="str">
        <f t="array" ref="B5834">iferror(xlookup($I5834, 'IMPORT VHC Report'!$E:$E, 'IMPORT VHC Report'!$A:$C), )</f>
        <v/>
      </c>
      <c r="C5834" s="37"/>
      <c r="D5834" s="37"/>
      <c r="E5834" s="38" t="s">
        <v>6938</v>
      </c>
      <c r="F5834" s="38" t="s">
        <v>6934</v>
      </c>
      <c r="G5834" s="38">
        <v>3.61731943235E11</v>
      </c>
      <c r="H5834" s="38" t="s">
        <v>6935</v>
      </c>
      <c r="I5834" s="38" t="s">
        <v>6936</v>
      </c>
      <c r="J5834" s="38" t="s">
        <v>134</v>
      </c>
      <c r="K5834" s="38" t="s">
        <v>126</v>
      </c>
      <c r="L5834" s="41">
        <v>46007.552083333336</v>
      </c>
      <c r="M5834" s="38" t="s">
        <v>123</v>
      </c>
      <c r="N5834" s="41">
        <v>46007.5625</v>
      </c>
      <c r="O5834" s="38" t="s">
        <v>123</v>
      </c>
      <c r="P5834" s="38">
        <v>900.0</v>
      </c>
      <c r="Q5834" s="39"/>
      <c r="R5834" s="39"/>
      <c r="S5834" s="39"/>
      <c r="T5834" s="39"/>
      <c r="U5834" s="39"/>
    </row>
    <row r="5835">
      <c r="A5835" s="40">
        <f t="shared" si="1"/>
        <v>46006</v>
      </c>
      <c r="B5835" s="37" t="str">
        <f t="array" ref="B5835">iferror(xlookup($I5835, 'IMPORT VHC Report'!$E:$E, 'IMPORT VHC Report'!$A:$C), )</f>
        <v/>
      </c>
      <c r="C5835" s="37"/>
      <c r="D5835" s="37"/>
      <c r="E5835" s="38" t="s">
        <v>6939</v>
      </c>
      <c r="F5835" s="38" t="s">
        <v>6934</v>
      </c>
      <c r="G5835" s="38">
        <v>3.61731943235E11</v>
      </c>
      <c r="H5835" s="38" t="s">
        <v>6935</v>
      </c>
      <c r="I5835" s="38" t="s">
        <v>6936</v>
      </c>
      <c r="J5835" s="38" t="s">
        <v>132</v>
      </c>
      <c r="K5835" s="38" t="s">
        <v>126</v>
      </c>
      <c r="L5835" s="41">
        <v>46007.583333333336</v>
      </c>
      <c r="M5835" s="38" t="s">
        <v>123</v>
      </c>
      <c r="N5835" s="41">
        <v>46007.625</v>
      </c>
      <c r="O5835" s="38" t="s">
        <v>123</v>
      </c>
      <c r="P5835" s="38">
        <v>3600.0</v>
      </c>
      <c r="Q5835" s="39"/>
      <c r="R5835" s="39"/>
      <c r="S5835" s="39"/>
      <c r="T5835" s="39"/>
      <c r="U5835" s="39"/>
    </row>
    <row r="5836">
      <c r="A5836" s="40">
        <f t="shared" si="1"/>
        <v>46006</v>
      </c>
      <c r="B5836" s="37" t="str">
        <f t="array" ref="B5836">iferror(xlookup($I5836, 'IMPORT VHC Report'!$E:$E, 'IMPORT VHC Report'!$A:$C), )</f>
        <v/>
      </c>
      <c r="C5836" s="37"/>
      <c r="D5836" s="37"/>
      <c r="E5836" s="38" t="s">
        <v>6940</v>
      </c>
      <c r="F5836" s="38" t="s">
        <v>6934</v>
      </c>
      <c r="G5836" s="38">
        <v>3.61731943235E11</v>
      </c>
      <c r="H5836" s="38" t="s">
        <v>6935</v>
      </c>
      <c r="I5836" s="38" t="s">
        <v>6936</v>
      </c>
      <c r="J5836" s="38" t="s">
        <v>300</v>
      </c>
      <c r="K5836" s="38" t="s">
        <v>63</v>
      </c>
      <c r="L5836" s="41">
        <v>46008.416666666664</v>
      </c>
      <c r="M5836" s="38" t="s">
        <v>123</v>
      </c>
      <c r="N5836" s="41">
        <v>46008.791666666664</v>
      </c>
      <c r="O5836" s="38" t="s">
        <v>123</v>
      </c>
      <c r="P5836" s="38">
        <v>32400.0</v>
      </c>
      <c r="Q5836" s="39"/>
      <c r="R5836" s="39"/>
      <c r="S5836" s="39"/>
      <c r="T5836" s="39"/>
      <c r="U5836" s="39"/>
    </row>
    <row r="5837">
      <c r="A5837" s="40">
        <f t="shared" si="1"/>
        <v>46006</v>
      </c>
      <c r="B5837" s="37" t="str">
        <f t="array" ref="B5837">iferror(xlookup($I5837, 'IMPORT VHC Report'!$E:$E, 'IMPORT VHC Report'!$A:$C), )</f>
        <v/>
      </c>
      <c r="C5837" s="37"/>
      <c r="D5837" s="37"/>
      <c r="E5837" s="38" t="s">
        <v>6941</v>
      </c>
      <c r="F5837" s="38" t="s">
        <v>6934</v>
      </c>
      <c r="G5837" s="38">
        <v>3.61731943235E11</v>
      </c>
      <c r="H5837" s="38" t="s">
        <v>6935</v>
      </c>
      <c r="I5837" s="38" t="s">
        <v>6936</v>
      </c>
      <c r="J5837" s="38" t="s">
        <v>134</v>
      </c>
      <c r="K5837" s="38" t="s">
        <v>126</v>
      </c>
      <c r="L5837" s="41">
        <v>46008.572916666664</v>
      </c>
      <c r="M5837" s="38" t="s">
        <v>123</v>
      </c>
      <c r="N5837" s="41">
        <v>46008.583333333336</v>
      </c>
      <c r="O5837" s="38" t="s">
        <v>123</v>
      </c>
      <c r="P5837" s="38">
        <v>900.0</v>
      </c>
      <c r="Q5837" s="39"/>
      <c r="R5837" s="39"/>
      <c r="S5837" s="39"/>
      <c r="T5837" s="39"/>
      <c r="U5837" s="39"/>
    </row>
    <row r="5838">
      <c r="A5838" s="40">
        <f t="shared" si="1"/>
        <v>46006</v>
      </c>
      <c r="B5838" s="37" t="str">
        <f t="array" ref="B5838">iferror(xlookup($I5838, 'IMPORT VHC Report'!$E:$E, 'IMPORT VHC Report'!$A:$C), )</f>
        <v/>
      </c>
      <c r="C5838" s="37"/>
      <c r="D5838" s="37"/>
      <c r="E5838" s="38" t="s">
        <v>6942</v>
      </c>
      <c r="F5838" s="38" t="s">
        <v>6934</v>
      </c>
      <c r="G5838" s="38">
        <v>3.61731943235E11</v>
      </c>
      <c r="H5838" s="38" t="s">
        <v>6935</v>
      </c>
      <c r="I5838" s="38" t="s">
        <v>6936</v>
      </c>
      <c r="J5838" s="38" t="s">
        <v>134</v>
      </c>
      <c r="K5838" s="38" t="s">
        <v>126</v>
      </c>
      <c r="L5838" s="41">
        <v>46008.645833333336</v>
      </c>
      <c r="M5838" s="38" t="s">
        <v>123</v>
      </c>
      <c r="N5838" s="41">
        <v>46008.65625</v>
      </c>
      <c r="O5838" s="38" t="s">
        <v>123</v>
      </c>
      <c r="P5838" s="38">
        <v>900.0</v>
      </c>
      <c r="Q5838" s="39"/>
      <c r="R5838" s="39"/>
      <c r="S5838" s="39"/>
      <c r="T5838" s="39"/>
      <c r="U5838" s="39"/>
    </row>
    <row r="5839">
      <c r="A5839" s="40">
        <f t="shared" si="1"/>
        <v>46006</v>
      </c>
      <c r="B5839" s="37" t="str">
        <f t="array" ref="B5839">iferror(xlookup($I5839, 'IMPORT VHC Report'!$E:$E, 'IMPORT VHC Report'!$A:$C), )</f>
        <v/>
      </c>
      <c r="C5839" s="37"/>
      <c r="D5839" s="37"/>
      <c r="E5839" s="38" t="s">
        <v>6943</v>
      </c>
      <c r="F5839" s="38" t="s">
        <v>6934</v>
      </c>
      <c r="G5839" s="38">
        <v>3.61731943235E11</v>
      </c>
      <c r="H5839" s="38" t="s">
        <v>6935</v>
      </c>
      <c r="I5839" s="38" t="s">
        <v>6936</v>
      </c>
      <c r="J5839" s="38" t="s">
        <v>136</v>
      </c>
      <c r="K5839" s="38" t="s">
        <v>126</v>
      </c>
      <c r="L5839" s="41">
        <v>46008.666666666664</v>
      </c>
      <c r="M5839" s="38" t="s">
        <v>123</v>
      </c>
      <c r="N5839" s="41">
        <v>46008.75</v>
      </c>
      <c r="O5839" s="38" t="s">
        <v>123</v>
      </c>
      <c r="P5839" s="38">
        <v>7200.0</v>
      </c>
      <c r="Q5839" s="39"/>
      <c r="R5839" s="39"/>
      <c r="S5839" s="38" t="s">
        <v>4730</v>
      </c>
      <c r="T5839" s="39"/>
      <c r="U5839" s="39"/>
    </row>
    <row r="5840">
      <c r="A5840" s="40">
        <f t="shared" si="1"/>
        <v>46006</v>
      </c>
      <c r="B5840" s="37" t="str">
        <f t="array" ref="B5840">iferror(xlookup($I5840, 'IMPORT VHC Report'!$E:$E, 'IMPORT VHC Report'!$A:$C), )</f>
        <v/>
      </c>
      <c r="C5840" s="37"/>
      <c r="D5840" s="37"/>
      <c r="E5840" s="38" t="s">
        <v>6944</v>
      </c>
      <c r="F5840" s="38" t="s">
        <v>6934</v>
      </c>
      <c r="G5840" s="38">
        <v>3.61731943235E11</v>
      </c>
      <c r="H5840" s="38" t="s">
        <v>6935</v>
      </c>
      <c r="I5840" s="38" t="s">
        <v>6936</v>
      </c>
      <c r="J5840" s="38" t="s">
        <v>132</v>
      </c>
      <c r="K5840" s="38" t="s">
        <v>126</v>
      </c>
      <c r="L5840" s="41">
        <v>46008.75</v>
      </c>
      <c r="M5840" s="38" t="s">
        <v>123</v>
      </c>
      <c r="N5840" s="41">
        <v>46008.791666666664</v>
      </c>
      <c r="O5840" s="38" t="s">
        <v>123</v>
      </c>
      <c r="P5840" s="38">
        <v>3600.0</v>
      </c>
      <c r="Q5840" s="39"/>
      <c r="R5840" s="39"/>
      <c r="S5840" s="39"/>
      <c r="T5840" s="39"/>
      <c r="U5840" s="39"/>
    </row>
    <row r="5841">
      <c r="A5841" s="40">
        <f t="shared" si="1"/>
        <v>46006</v>
      </c>
      <c r="B5841" s="37" t="str">
        <f t="array" ref="B5841">iferror(xlookup($I5841, 'IMPORT VHC Report'!$E:$E, 'IMPORT VHC Report'!$A:$C), )</f>
        <v/>
      </c>
      <c r="C5841" s="37"/>
      <c r="D5841" s="37"/>
      <c r="E5841" s="38" t="s">
        <v>6945</v>
      </c>
      <c r="F5841" s="38" t="s">
        <v>6934</v>
      </c>
      <c r="G5841" s="38">
        <v>3.61731943235E11</v>
      </c>
      <c r="H5841" s="38" t="s">
        <v>6935</v>
      </c>
      <c r="I5841" s="38" t="s">
        <v>6936</v>
      </c>
      <c r="J5841" s="38" t="s">
        <v>300</v>
      </c>
      <c r="K5841" s="38" t="s">
        <v>63</v>
      </c>
      <c r="L5841" s="41">
        <v>46009.416666666664</v>
      </c>
      <c r="M5841" s="38" t="s">
        <v>123</v>
      </c>
      <c r="N5841" s="41">
        <v>46009.791666666664</v>
      </c>
      <c r="O5841" s="38" t="s">
        <v>123</v>
      </c>
      <c r="P5841" s="38">
        <v>32400.0</v>
      </c>
      <c r="Q5841" s="39"/>
      <c r="R5841" s="39"/>
      <c r="S5841" s="39"/>
      <c r="T5841" s="39"/>
      <c r="U5841" s="39"/>
    </row>
    <row r="5842">
      <c r="A5842" s="40">
        <f t="shared" si="1"/>
        <v>46006</v>
      </c>
      <c r="B5842" s="37" t="str">
        <f t="array" ref="B5842">iferror(xlookup($I5842, 'IMPORT VHC Report'!$E:$E, 'IMPORT VHC Report'!$A:$C), )</f>
        <v/>
      </c>
      <c r="C5842" s="37"/>
      <c r="D5842" s="37"/>
      <c r="E5842" s="38" t="s">
        <v>6946</v>
      </c>
      <c r="F5842" s="38" t="s">
        <v>6934</v>
      </c>
      <c r="G5842" s="38">
        <v>3.61731943235E11</v>
      </c>
      <c r="H5842" s="38" t="s">
        <v>6935</v>
      </c>
      <c r="I5842" s="38" t="s">
        <v>6936</v>
      </c>
      <c r="J5842" s="38" t="s">
        <v>134</v>
      </c>
      <c r="K5842" s="38" t="s">
        <v>126</v>
      </c>
      <c r="L5842" s="41">
        <v>46009.5</v>
      </c>
      <c r="M5842" s="38" t="s">
        <v>123</v>
      </c>
      <c r="N5842" s="41">
        <v>46009.510416666664</v>
      </c>
      <c r="O5842" s="38" t="s">
        <v>123</v>
      </c>
      <c r="P5842" s="38">
        <v>900.0</v>
      </c>
      <c r="Q5842" s="39"/>
      <c r="R5842" s="39"/>
      <c r="S5842" s="39"/>
      <c r="T5842" s="39"/>
      <c r="U5842" s="39"/>
    </row>
    <row r="5843">
      <c r="A5843" s="40">
        <f t="shared" si="1"/>
        <v>46006</v>
      </c>
      <c r="B5843" s="37" t="str">
        <f t="array" ref="B5843">iferror(xlookup($I5843, 'IMPORT VHC Report'!$E:$E, 'IMPORT VHC Report'!$A:$C), )</f>
        <v/>
      </c>
      <c r="C5843" s="37"/>
      <c r="D5843" s="37"/>
      <c r="E5843" s="38" t="s">
        <v>6947</v>
      </c>
      <c r="F5843" s="38" t="s">
        <v>6934</v>
      </c>
      <c r="G5843" s="38">
        <v>3.61731943235E11</v>
      </c>
      <c r="H5843" s="38" t="s">
        <v>6935</v>
      </c>
      <c r="I5843" s="38" t="s">
        <v>6936</v>
      </c>
      <c r="J5843" s="38" t="s">
        <v>134</v>
      </c>
      <c r="K5843" s="38" t="s">
        <v>126</v>
      </c>
      <c r="L5843" s="41">
        <v>46009.625</v>
      </c>
      <c r="M5843" s="38" t="s">
        <v>123</v>
      </c>
      <c r="N5843" s="41">
        <v>46009.635416666664</v>
      </c>
      <c r="O5843" s="38" t="s">
        <v>123</v>
      </c>
      <c r="P5843" s="38">
        <v>900.0</v>
      </c>
      <c r="Q5843" s="39"/>
      <c r="R5843" s="39"/>
      <c r="S5843" s="39"/>
      <c r="T5843" s="39"/>
      <c r="U5843" s="39"/>
    </row>
    <row r="5844">
      <c r="A5844" s="40">
        <f t="shared" si="1"/>
        <v>46006</v>
      </c>
      <c r="B5844" s="37" t="str">
        <f t="array" ref="B5844">iferror(xlookup($I5844, 'IMPORT VHC Report'!$E:$E, 'IMPORT VHC Report'!$A:$C), )</f>
        <v/>
      </c>
      <c r="C5844" s="37"/>
      <c r="D5844" s="37"/>
      <c r="E5844" s="38" t="s">
        <v>6948</v>
      </c>
      <c r="F5844" s="38" t="s">
        <v>6934</v>
      </c>
      <c r="G5844" s="38">
        <v>3.61731943235E11</v>
      </c>
      <c r="H5844" s="38" t="s">
        <v>6935</v>
      </c>
      <c r="I5844" s="38" t="s">
        <v>6936</v>
      </c>
      <c r="J5844" s="38" t="s">
        <v>132</v>
      </c>
      <c r="K5844" s="38" t="s">
        <v>126</v>
      </c>
      <c r="L5844" s="41">
        <v>46009.708333333336</v>
      </c>
      <c r="M5844" s="38" t="s">
        <v>123</v>
      </c>
      <c r="N5844" s="41">
        <v>46009.75</v>
      </c>
      <c r="O5844" s="38" t="s">
        <v>123</v>
      </c>
      <c r="P5844" s="38">
        <v>3600.0</v>
      </c>
      <c r="Q5844" s="39"/>
      <c r="R5844" s="39"/>
      <c r="S5844" s="39"/>
      <c r="T5844" s="39"/>
      <c r="U5844" s="39"/>
    </row>
    <row r="5845">
      <c r="A5845" s="40">
        <f t="shared" si="1"/>
        <v>46006</v>
      </c>
      <c r="B5845" s="37" t="str">
        <f t="array" ref="B5845">iferror(xlookup($I5845, 'IMPORT VHC Report'!$E:$E, 'IMPORT VHC Report'!$A:$C), )</f>
        <v/>
      </c>
      <c r="C5845" s="37"/>
      <c r="D5845" s="37"/>
      <c r="E5845" s="38" t="s">
        <v>6949</v>
      </c>
      <c r="F5845" s="38" t="s">
        <v>6934</v>
      </c>
      <c r="G5845" s="38">
        <v>3.61731943235E11</v>
      </c>
      <c r="H5845" s="38" t="s">
        <v>6935</v>
      </c>
      <c r="I5845" s="38" t="s">
        <v>6936</v>
      </c>
      <c r="J5845" s="38" t="s">
        <v>4</v>
      </c>
      <c r="K5845" s="38" t="s">
        <v>126</v>
      </c>
      <c r="L5845" s="41">
        <v>46009.75</v>
      </c>
      <c r="M5845" s="38" t="s">
        <v>123</v>
      </c>
      <c r="N5845" s="41">
        <v>46009.791666666664</v>
      </c>
      <c r="O5845" s="38" t="s">
        <v>123</v>
      </c>
      <c r="P5845" s="38">
        <v>3600.0</v>
      </c>
      <c r="Q5845" s="39"/>
      <c r="R5845" s="39"/>
      <c r="S5845" s="38" t="s">
        <v>305</v>
      </c>
      <c r="T5845" s="39"/>
      <c r="U5845" s="39"/>
    </row>
    <row r="5846">
      <c r="A5846" s="40">
        <f t="shared" si="1"/>
        <v>46006</v>
      </c>
      <c r="B5846" s="37" t="str">
        <f t="array" ref="B5846">iferror(xlookup($I5846, 'IMPORT VHC Report'!$E:$E, 'IMPORT VHC Report'!$A:$C), )</f>
        <v/>
      </c>
      <c r="C5846" s="37"/>
      <c r="D5846" s="37"/>
      <c r="E5846" s="38" t="s">
        <v>6950</v>
      </c>
      <c r="F5846" s="38" t="s">
        <v>6934</v>
      </c>
      <c r="G5846" s="38">
        <v>3.61731943235E11</v>
      </c>
      <c r="H5846" s="38" t="s">
        <v>6935</v>
      </c>
      <c r="I5846" s="38" t="s">
        <v>6936</v>
      </c>
      <c r="J5846" s="38" t="s">
        <v>300</v>
      </c>
      <c r="K5846" s="38" t="s">
        <v>63</v>
      </c>
      <c r="L5846" s="41">
        <v>46010.416666666664</v>
      </c>
      <c r="M5846" s="38" t="s">
        <v>123</v>
      </c>
      <c r="N5846" s="41">
        <v>46010.791666666664</v>
      </c>
      <c r="O5846" s="38" t="s">
        <v>123</v>
      </c>
      <c r="P5846" s="38">
        <v>32400.0</v>
      </c>
      <c r="Q5846" s="39"/>
      <c r="R5846" s="39"/>
      <c r="S5846" s="39"/>
      <c r="T5846" s="39"/>
      <c r="U5846" s="39"/>
    </row>
    <row r="5847">
      <c r="A5847" s="40">
        <f t="shared" si="1"/>
        <v>46006</v>
      </c>
      <c r="B5847" s="37" t="str">
        <f t="array" ref="B5847">iferror(xlookup($I5847, 'IMPORT VHC Report'!$E:$E, 'IMPORT VHC Report'!$A:$C), )</f>
        <v/>
      </c>
      <c r="C5847" s="37"/>
      <c r="D5847" s="37"/>
      <c r="E5847" s="38" t="s">
        <v>6951</v>
      </c>
      <c r="F5847" s="38" t="s">
        <v>6934</v>
      </c>
      <c r="G5847" s="38">
        <v>3.61731943235E11</v>
      </c>
      <c r="H5847" s="38" t="s">
        <v>6935</v>
      </c>
      <c r="I5847" s="38" t="s">
        <v>6936</v>
      </c>
      <c r="J5847" s="38" t="s">
        <v>134</v>
      </c>
      <c r="K5847" s="38" t="s">
        <v>126</v>
      </c>
      <c r="L5847" s="41">
        <v>46010.552083333336</v>
      </c>
      <c r="M5847" s="38" t="s">
        <v>123</v>
      </c>
      <c r="N5847" s="41">
        <v>46010.5625</v>
      </c>
      <c r="O5847" s="38" t="s">
        <v>123</v>
      </c>
      <c r="P5847" s="38">
        <v>900.0</v>
      </c>
      <c r="Q5847" s="39"/>
      <c r="R5847" s="39"/>
      <c r="S5847" s="39"/>
      <c r="T5847" s="39"/>
      <c r="U5847" s="39"/>
    </row>
    <row r="5848">
      <c r="A5848" s="40">
        <f t="shared" si="1"/>
        <v>46006</v>
      </c>
      <c r="B5848" s="37" t="str">
        <f t="array" ref="B5848">iferror(xlookup($I5848, 'IMPORT VHC Report'!$E:$E, 'IMPORT VHC Report'!$A:$C), )</f>
        <v/>
      </c>
      <c r="C5848" s="37"/>
      <c r="D5848" s="37"/>
      <c r="E5848" s="38" t="s">
        <v>6952</v>
      </c>
      <c r="F5848" s="38" t="s">
        <v>6934</v>
      </c>
      <c r="G5848" s="38">
        <v>3.61731943235E11</v>
      </c>
      <c r="H5848" s="38" t="s">
        <v>6935</v>
      </c>
      <c r="I5848" s="38" t="s">
        <v>6936</v>
      </c>
      <c r="J5848" s="38" t="s">
        <v>134</v>
      </c>
      <c r="K5848" s="38" t="s">
        <v>126</v>
      </c>
      <c r="L5848" s="41">
        <v>46010.614583333336</v>
      </c>
      <c r="M5848" s="38" t="s">
        <v>123</v>
      </c>
      <c r="N5848" s="41">
        <v>46010.625</v>
      </c>
      <c r="O5848" s="38" t="s">
        <v>123</v>
      </c>
      <c r="P5848" s="38">
        <v>900.0</v>
      </c>
      <c r="Q5848" s="39"/>
      <c r="R5848" s="39"/>
      <c r="S5848" s="39"/>
      <c r="T5848" s="39"/>
      <c r="U5848" s="39"/>
    </row>
    <row r="5849">
      <c r="A5849" s="40">
        <f t="shared" si="1"/>
        <v>46006</v>
      </c>
      <c r="B5849" s="37" t="str">
        <f t="array" ref="B5849">iferror(xlookup($I5849, 'IMPORT VHC Report'!$E:$E, 'IMPORT VHC Report'!$A:$C), )</f>
        <v/>
      </c>
      <c r="C5849" s="37"/>
      <c r="D5849" s="37"/>
      <c r="E5849" s="38" t="s">
        <v>6953</v>
      </c>
      <c r="F5849" s="38" t="s">
        <v>6934</v>
      </c>
      <c r="G5849" s="38">
        <v>3.61731943235E11</v>
      </c>
      <c r="H5849" s="38" t="s">
        <v>6935</v>
      </c>
      <c r="I5849" s="38" t="s">
        <v>6936</v>
      </c>
      <c r="J5849" s="38" t="s">
        <v>132</v>
      </c>
      <c r="K5849" s="38" t="s">
        <v>126</v>
      </c>
      <c r="L5849" s="41">
        <v>46010.645833333336</v>
      </c>
      <c r="M5849" s="38" t="s">
        <v>123</v>
      </c>
      <c r="N5849" s="41">
        <v>46010.6875</v>
      </c>
      <c r="O5849" s="38" t="s">
        <v>123</v>
      </c>
      <c r="P5849" s="38">
        <v>3600.0</v>
      </c>
      <c r="Q5849" s="39"/>
      <c r="R5849" s="39"/>
      <c r="S5849" s="39"/>
      <c r="T5849" s="39"/>
      <c r="U5849" s="39"/>
    </row>
    <row r="5850">
      <c r="A5850" s="40">
        <f t="shared" si="1"/>
        <v>46006</v>
      </c>
      <c r="B5850" s="37" t="str">
        <f t="array" ref="B5850">iferror(xlookup($I5850, 'IMPORT VHC Report'!$E:$E, 'IMPORT VHC Report'!$A:$C), )</f>
        <v/>
      </c>
      <c r="C5850" s="37"/>
      <c r="D5850" s="37"/>
      <c r="E5850" s="38" t="s">
        <v>6954</v>
      </c>
      <c r="F5850" s="38" t="s">
        <v>6934</v>
      </c>
      <c r="G5850" s="38">
        <v>3.61731943235E11</v>
      </c>
      <c r="H5850" s="38" t="s">
        <v>6935</v>
      </c>
      <c r="I5850" s="38" t="s">
        <v>6936</v>
      </c>
      <c r="J5850" s="38" t="s">
        <v>300</v>
      </c>
      <c r="K5850" s="38" t="s">
        <v>63</v>
      </c>
      <c r="L5850" s="41">
        <v>46011.416666666664</v>
      </c>
      <c r="M5850" s="38" t="s">
        <v>123</v>
      </c>
      <c r="N5850" s="41">
        <v>46011.791666666664</v>
      </c>
      <c r="O5850" s="38" t="s">
        <v>123</v>
      </c>
      <c r="P5850" s="38">
        <v>32400.0</v>
      </c>
      <c r="Q5850" s="39"/>
      <c r="R5850" s="39"/>
      <c r="S5850" s="39"/>
      <c r="T5850" s="39"/>
      <c r="U5850" s="39"/>
    </row>
    <row r="5851">
      <c r="A5851" s="40">
        <f t="shared" si="1"/>
        <v>46006</v>
      </c>
      <c r="B5851" s="37" t="str">
        <f t="array" ref="B5851">iferror(xlookup($I5851, 'IMPORT VHC Report'!$E:$E, 'IMPORT VHC Report'!$A:$C), )</f>
        <v/>
      </c>
      <c r="C5851" s="37"/>
      <c r="D5851" s="37"/>
      <c r="E5851" s="38" t="s">
        <v>6955</v>
      </c>
      <c r="F5851" s="38" t="s">
        <v>6934</v>
      </c>
      <c r="G5851" s="38">
        <v>3.61731943235E11</v>
      </c>
      <c r="H5851" s="38" t="s">
        <v>6935</v>
      </c>
      <c r="I5851" s="38" t="s">
        <v>6936</v>
      </c>
      <c r="J5851" s="38" t="s">
        <v>134</v>
      </c>
      <c r="K5851" s="38" t="s">
        <v>126</v>
      </c>
      <c r="L5851" s="41">
        <v>46011.479166666664</v>
      </c>
      <c r="M5851" s="38" t="s">
        <v>123</v>
      </c>
      <c r="N5851" s="41">
        <v>46011.489583333336</v>
      </c>
      <c r="O5851" s="38" t="s">
        <v>123</v>
      </c>
      <c r="P5851" s="38">
        <v>900.0</v>
      </c>
      <c r="Q5851" s="39"/>
      <c r="R5851" s="39"/>
      <c r="S5851" s="39"/>
      <c r="T5851" s="39"/>
      <c r="U5851" s="39"/>
    </row>
    <row r="5852">
      <c r="A5852" s="40">
        <f t="shared" si="1"/>
        <v>46006</v>
      </c>
      <c r="B5852" s="37" t="str">
        <f t="array" ref="B5852">iferror(xlookup($I5852, 'IMPORT VHC Report'!$E:$E, 'IMPORT VHC Report'!$A:$C), )</f>
        <v/>
      </c>
      <c r="C5852" s="37"/>
      <c r="D5852" s="37"/>
      <c r="E5852" s="38" t="s">
        <v>6956</v>
      </c>
      <c r="F5852" s="38" t="s">
        <v>6934</v>
      </c>
      <c r="G5852" s="38">
        <v>3.61731943235E11</v>
      </c>
      <c r="H5852" s="38" t="s">
        <v>6935</v>
      </c>
      <c r="I5852" s="38" t="s">
        <v>6936</v>
      </c>
      <c r="J5852" s="38" t="s">
        <v>134</v>
      </c>
      <c r="K5852" s="38" t="s">
        <v>126</v>
      </c>
      <c r="L5852" s="41">
        <v>46011.552083333336</v>
      </c>
      <c r="M5852" s="38" t="s">
        <v>123</v>
      </c>
      <c r="N5852" s="41">
        <v>46011.5625</v>
      </c>
      <c r="O5852" s="38" t="s">
        <v>123</v>
      </c>
      <c r="P5852" s="38">
        <v>900.0</v>
      </c>
      <c r="Q5852" s="39"/>
      <c r="R5852" s="39"/>
      <c r="S5852" s="39"/>
      <c r="T5852" s="39"/>
      <c r="U5852" s="39"/>
    </row>
    <row r="5853">
      <c r="A5853" s="40">
        <f t="shared" si="1"/>
        <v>46006</v>
      </c>
      <c r="B5853" s="37" t="str">
        <f t="array" ref="B5853">iferror(xlookup($I5853, 'IMPORT VHC Report'!$E:$E, 'IMPORT VHC Report'!$A:$C), )</f>
        <v/>
      </c>
      <c r="C5853" s="37"/>
      <c r="D5853" s="37"/>
      <c r="E5853" s="38" t="s">
        <v>6957</v>
      </c>
      <c r="F5853" s="38" t="s">
        <v>6934</v>
      </c>
      <c r="G5853" s="38">
        <v>3.61731943235E11</v>
      </c>
      <c r="H5853" s="38" t="s">
        <v>6935</v>
      </c>
      <c r="I5853" s="38" t="s">
        <v>6936</v>
      </c>
      <c r="J5853" s="38" t="s">
        <v>132</v>
      </c>
      <c r="K5853" s="38" t="s">
        <v>126</v>
      </c>
      <c r="L5853" s="41">
        <v>46011.708333333336</v>
      </c>
      <c r="M5853" s="38" t="s">
        <v>123</v>
      </c>
      <c r="N5853" s="41">
        <v>46011.75</v>
      </c>
      <c r="O5853" s="38" t="s">
        <v>123</v>
      </c>
      <c r="P5853" s="38">
        <v>3600.0</v>
      </c>
      <c r="Q5853" s="39"/>
      <c r="R5853" s="39"/>
      <c r="S5853" s="39"/>
      <c r="T5853" s="39"/>
      <c r="U5853" s="39"/>
    </row>
    <row r="5854">
      <c r="A5854" s="40">
        <f t="shared" si="1"/>
        <v>46006</v>
      </c>
      <c r="B5854" s="37" t="str">
        <f t="array" ref="B5854">iferror(xlookup($I5854, 'IMPORT VHC Report'!$E:$E, 'IMPORT VHC Report'!$A:$C), )</f>
        <v/>
      </c>
      <c r="C5854" s="37"/>
      <c r="D5854" s="37"/>
      <c r="E5854" s="38" t="s">
        <v>6958</v>
      </c>
      <c r="F5854" s="38" t="s">
        <v>6959</v>
      </c>
      <c r="G5854" s="38">
        <v>5.359189606799E12</v>
      </c>
      <c r="H5854" s="38" t="s">
        <v>6960</v>
      </c>
      <c r="I5854" s="38" t="s">
        <v>6961</v>
      </c>
      <c r="J5854" s="38" t="s">
        <v>330</v>
      </c>
      <c r="K5854" s="38" t="s">
        <v>126</v>
      </c>
      <c r="L5854" s="41">
        <v>46007.5</v>
      </c>
      <c r="M5854" s="38" t="s">
        <v>123</v>
      </c>
      <c r="N5854" s="41">
        <v>46007.506944444445</v>
      </c>
      <c r="O5854" s="38" t="s">
        <v>123</v>
      </c>
      <c r="P5854" s="38">
        <v>600.0</v>
      </c>
      <c r="Q5854" s="39"/>
      <c r="R5854" s="39"/>
      <c r="S5854" s="39"/>
      <c r="T5854" s="39"/>
      <c r="U5854" s="39"/>
    </row>
    <row r="5855">
      <c r="A5855" s="40">
        <f t="shared" si="1"/>
        <v>46006</v>
      </c>
      <c r="B5855" s="37" t="str">
        <f t="array" ref="B5855">iferror(xlookup($I5855, 'IMPORT VHC Report'!$E:$E, 'IMPORT VHC Report'!$A:$C), )</f>
        <v/>
      </c>
      <c r="C5855" s="37"/>
      <c r="D5855" s="37"/>
      <c r="E5855" s="38" t="s">
        <v>6962</v>
      </c>
      <c r="F5855" s="38" t="s">
        <v>6959</v>
      </c>
      <c r="G5855" s="38">
        <v>5.359189606799E12</v>
      </c>
      <c r="H5855" s="38" t="s">
        <v>6960</v>
      </c>
      <c r="I5855" s="38" t="s">
        <v>6961</v>
      </c>
      <c r="J5855" s="38" t="s">
        <v>332</v>
      </c>
      <c r="K5855" s="38" t="s">
        <v>63</v>
      </c>
      <c r="L5855" s="41">
        <v>46007.5</v>
      </c>
      <c r="M5855" s="38" t="s">
        <v>123</v>
      </c>
      <c r="N5855" s="41">
        <v>46007.875</v>
      </c>
      <c r="O5855" s="38" t="s">
        <v>123</v>
      </c>
      <c r="P5855" s="38">
        <v>32400.0</v>
      </c>
      <c r="Q5855" s="39"/>
      <c r="R5855" s="39"/>
      <c r="S5855" s="39"/>
      <c r="T5855" s="39"/>
      <c r="U5855" s="39"/>
    </row>
    <row r="5856">
      <c r="A5856" s="40">
        <f t="shared" si="1"/>
        <v>46006</v>
      </c>
      <c r="B5856" s="37" t="str">
        <f t="array" ref="B5856">iferror(xlookup($I5856, 'IMPORT VHC Report'!$E:$E, 'IMPORT VHC Report'!$A:$C), )</f>
        <v/>
      </c>
      <c r="C5856" s="37"/>
      <c r="D5856" s="37"/>
      <c r="E5856" s="38" t="s">
        <v>6963</v>
      </c>
      <c r="F5856" s="38" t="s">
        <v>6959</v>
      </c>
      <c r="G5856" s="38">
        <v>5.359189606799E12</v>
      </c>
      <c r="H5856" s="38" t="s">
        <v>6960</v>
      </c>
      <c r="I5856" s="38" t="s">
        <v>6961</v>
      </c>
      <c r="J5856" s="38" t="s">
        <v>125</v>
      </c>
      <c r="K5856" s="38" t="s">
        <v>126</v>
      </c>
      <c r="L5856" s="41">
        <v>46007.604166666664</v>
      </c>
      <c r="M5856" s="38" t="s">
        <v>123</v>
      </c>
      <c r="N5856" s="41">
        <v>46007.60763888889</v>
      </c>
      <c r="O5856" s="38" t="s">
        <v>123</v>
      </c>
      <c r="P5856" s="38">
        <v>300.0</v>
      </c>
      <c r="Q5856" s="39"/>
      <c r="R5856" s="39"/>
      <c r="S5856" s="38" t="s">
        <v>394</v>
      </c>
      <c r="T5856" s="39"/>
      <c r="U5856" s="39"/>
    </row>
    <row r="5857">
      <c r="A5857" s="40">
        <f t="shared" si="1"/>
        <v>46006</v>
      </c>
      <c r="B5857" s="37" t="str">
        <f t="array" ref="B5857">iferror(xlookup($I5857, 'IMPORT VHC Report'!$E:$E, 'IMPORT VHC Report'!$A:$C), )</f>
        <v/>
      </c>
      <c r="C5857" s="37"/>
      <c r="D5857" s="37"/>
      <c r="E5857" s="38" t="s">
        <v>6964</v>
      </c>
      <c r="F5857" s="38" t="s">
        <v>6959</v>
      </c>
      <c r="G5857" s="38">
        <v>5.359189606799E12</v>
      </c>
      <c r="H5857" s="38" t="s">
        <v>6960</v>
      </c>
      <c r="I5857" s="38" t="s">
        <v>6961</v>
      </c>
      <c r="J5857" s="38" t="s">
        <v>134</v>
      </c>
      <c r="K5857" s="38" t="s">
        <v>126</v>
      </c>
      <c r="L5857" s="41">
        <v>46007.60763888889</v>
      </c>
      <c r="M5857" s="38" t="s">
        <v>123</v>
      </c>
      <c r="N5857" s="41">
        <v>46007.62847222222</v>
      </c>
      <c r="O5857" s="38" t="s">
        <v>123</v>
      </c>
      <c r="P5857" s="38">
        <v>1800.0</v>
      </c>
      <c r="Q5857" s="39"/>
      <c r="R5857" s="39"/>
      <c r="S5857" s="39"/>
      <c r="T5857" s="39"/>
      <c r="U5857" s="39"/>
    </row>
    <row r="5858">
      <c r="A5858" s="40">
        <f t="shared" si="1"/>
        <v>46006</v>
      </c>
      <c r="B5858" s="37" t="str">
        <f t="array" ref="B5858">iferror(xlookup($I5858, 'IMPORT VHC Report'!$E:$E, 'IMPORT VHC Report'!$A:$C), )</f>
        <v/>
      </c>
      <c r="C5858" s="37"/>
      <c r="D5858" s="37"/>
      <c r="E5858" s="38" t="s">
        <v>6965</v>
      </c>
      <c r="F5858" s="38" t="s">
        <v>6959</v>
      </c>
      <c r="G5858" s="38">
        <v>5.359189606799E12</v>
      </c>
      <c r="H5858" s="38" t="s">
        <v>6960</v>
      </c>
      <c r="I5858" s="38" t="s">
        <v>6961</v>
      </c>
      <c r="J5858" s="38" t="s">
        <v>125</v>
      </c>
      <c r="K5858" s="38" t="s">
        <v>126</v>
      </c>
      <c r="L5858" s="41">
        <v>46007.62847222222</v>
      </c>
      <c r="M5858" s="38" t="s">
        <v>123</v>
      </c>
      <c r="N5858" s="41">
        <v>46007.63958333333</v>
      </c>
      <c r="O5858" s="38" t="s">
        <v>123</v>
      </c>
      <c r="P5858" s="38">
        <v>960.0</v>
      </c>
      <c r="Q5858" s="39"/>
      <c r="R5858" s="39"/>
      <c r="S5858" s="38" t="s">
        <v>6966</v>
      </c>
      <c r="T5858" s="39"/>
      <c r="U5858" s="39"/>
    </row>
    <row r="5859">
      <c r="A5859" s="40">
        <f t="shared" si="1"/>
        <v>46006</v>
      </c>
      <c r="B5859" s="37" t="str">
        <f t="array" ref="B5859">iferror(xlookup($I5859, 'IMPORT VHC Report'!$E:$E, 'IMPORT VHC Report'!$A:$C), )</f>
        <v/>
      </c>
      <c r="C5859" s="37"/>
      <c r="D5859" s="37"/>
      <c r="E5859" s="38" t="s">
        <v>6967</v>
      </c>
      <c r="F5859" s="38" t="s">
        <v>6959</v>
      </c>
      <c r="G5859" s="38">
        <v>5.359189606799E12</v>
      </c>
      <c r="H5859" s="38" t="s">
        <v>6960</v>
      </c>
      <c r="I5859" s="38" t="s">
        <v>6961</v>
      </c>
      <c r="J5859" s="38" t="s">
        <v>132</v>
      </c>
      <c r="K5859" s="38" t="s">
        <v>126</v>
      </c>
      <c r="L5859" s="41">
        <v>46007.760416666664</v>
      </c>
      <c r="M5859" s="38" t="s">
        <v>123</v>
      </c>
      <c r="N5859" s="41">
        <v>46007.802083333336</v>
      </c>
      <c r="O5859" s="38" t="s">
        <v>123</v>
      </c>
      <c r="P5859" s="38">
        <v>3600.0</v>
      </c>
      <c r="Q5859" s="39"/>
      <c r="R5859" s="39"/>
      <c r="S5859" s="39"/>
      <c r="T5859" s="39"/>
      <c r="U5859" s="39"/>
    </row>
    <row r="5860">
      <c r="A5860" s="40">
        <f t="shared" si="1"/>
        <v>46006</v>
      </c>
      <c r="B5860" s="37" t="str">
        <f t="array" ref="B5860">iferror(xlookup($I5860, 'IMPORT VHC Report'!$E:$E, 'IMPORT VHC Report'!$A:$C), )</f>
        <v/>
      </c>
      <c r="C5860" s="37"/>
      <c r="D5860" s="37"/>
      <c r="E5860" s="38" t="s">
        <v>6968</v>
      </c>
      <c r="F5860" s="38" t="s">
        <v>6959</v>
      </c>
      <c r="G5860" s="38">
        <v>5.359189606799E12</v>
      </c>
      <c r="H5860" s="38" t="s">
        <v>6960</v>
      </c>
      <c r="I5860" s="38" t="s">
        <v>6961</v>
      </c>
      <c r="J5860" s="38" t="s">
        <v>330</v>
      </c>
      <c r="K5860" s="38" t="s">
        <v>126</v>
      </c>
      <c r="L5860" s="41">
        <v>46008.5</v>
      </c>
      <c r="M5860" s="38" t="s">
        <v>123</v>
      </c>
      <c r="N5860" s="41">
        <v>46008.506944444445</v>
      </c>
      <c r="O5860" s="38" t="s">
        <v>123</v>
      </c>
      <c r="P5860" s="38">
        <v>600.0</v>
      </c>
      <c r="Q5860" s="39"/>
      <c r="R5860" s="39"/>
      <c r="S5860" s="39"/>
      <c r="T5860" s="39"/>
      <c r="U5860" s="39"/>
    </row>
    <row r="5861">
      <c r="A5861" s="40">
        <f t="shared" si="1"/>
        <v>46006</v>
      </c>
      <c r="B5861" s="37" t="str">
        <f t="array" ref="B5861">iferror(xlookup($I5861, 'IMPORT VHC Report'!$E:$E, 'IMPORT VHC Report'!$A:$C), )</f>
        <v/>
      </c>
      <c r="C5861" s="37"/>
      <c r="D5861" s="37"/>
      <c r="E5861" s="38" t="s">
        <v>6969</v>
      </c>
      <c r="F5861" s="38" t="s">
        <v>6959</v>
      </c>
      <c r="G5861" s="38">
        <v>5.359189606799E12</v>
      </c>
      <c r="H5861" s="38" t="s">
        <v>6960</v>
      </c>
      <c r="I5861" s="38" t="s">
        <v>6961</v>
      </c>
      <c r="J5861" s="38" t="s">
        <v>332</v>
      </c>
      <c r="K5861" s="38" t="s">
        <v>63</v>
      </c>
      <c r="L5861" s="41">
        <v>46008.5</v>
      </c>
      <c r="M5861" s="38" t="s">
        <v>123</v>
      </c>
      <c r="N5861" s="41">
        <v>46008.875</v>
      </c>
      <c r="O5861" s="38" t="s">
        <v>123</v>
      </c>
      <c r="P5861" s="38">
        <v>32400.0</v>
      </c>
      <c r="Q5861" s="39"/>
      <c r="R5861" s="39"/>
      <c r="S5861" s="39"/>
      <c r="T5861" s="39"/>
      <c r="U5861" s="39"/>
    </row>
    <row r="5862">
      <c r="A5862" s="40">
        <f t="shared" si="1"/>
        <v>46006</v>
      </c>
      <c r="B5862" s="37" t="str">
        <f t="array" ref="B5862">iferror(xlookup($I5862, 'IMPORT VHC Report'!$E:$E, 'IMPORT VHC Report'!$A:$C), )</f>
        <v/>
      </c>
      <c r="C5862" s="37"/>
      <c r="D5862" s="37"/>
      <c r="E5862" s="38" t="s">
        <v>6970</v>
      </c>
      <c r="F5862" s="38" t="s">
        <v>6959</v>
      </c>
      <c r="G5862" s="38">
        <v>5.359189606799E12</v>
      </c>
      <c r="H5862" s="38" t="s">
        <v>6960</v>
      </c>
      <c r="I5862" s="38" t="s">
        <v>6961</v>
      </c>
      <c r="J5862" s="38" t="s">
        <v>132</v>
      </c>
      <c r="K5862" s="38" t="s">
        <v>126</v>
      </c>
      <c r="L5862" s="41">
        <v>46008.614583333336</v>
      </c>
      <c r="M5862" s="38" t="s">
        <v>123</v>
      </c>
      <c r="N5862" s="41">
        <v>46008.65625</v>
      </c>
      <c r="O5862" s="38" t="s">
        <v>123</v>
      </c>
      <c r="P5862" s="38">
        <v>3600.0</v>
      </c>
      <c r="Q5862" s="39"/>
      <c r="R5862" s="39"/>
      <c r="S5862" s="39"/>
      <c r="T5862" s="39"/>
      <c r="U5862" s="39"/>
    </row>
    <row r="5863">
      <c r="A5863" s="40">
        <f t="shared" si="1"/>
        <v>46006</v>
      </c>
      <c r="B5863" s="37" t="str">
        <f t="array" ref="B5863">iferror(xlookup($I5863, 'IMPORT VHC Report'!$E:$E, 'IMPORT VHC Report'!$A:$C), )</f>
        <v/>
      </c>
      <c r="C5863" s="37"/>
      <c r="D5863" s="37"/>
      <c r="E5863" s="38" t="s">
        <v>6971</v>
      </c>
      <c r="F5863" s="38" t="s">
        <v>6959</v>
      </c>
      <c r="G5863" s="38">
        <v>5.359189606799E12</v>
      </c>
      <c r="H5863" s="38" t="s">
        <v>6960</v>
      </c>
      <c r="I5863" s="38" t="s">
        <v>6961</v>
      </c>
      <c r="J5863" s="38" t="s">
        <v>4</v>
      </c>
      <c r="K5863" s="38" t="s">
        <v>126</v>
      </c>
      <c r="L5863" s="41">
        <v>46008.65625</v>
      </c>
      <c r="M5863" s="38" t="s">
        <v>123</v>
      </c>
      <c r="N5863" s="41">
        <v>46008.697916666664</v>
      </c>
      <c r="O5863" s="38" t="s">
        <v>123</v>
      </c>
      <c r="P5863" s="38">
        <v>3600.0</v>
      </c>
      <c r="Q5863" s="39"/>
      <c r="R5863" s="39"/>
      <c r="S5863" s="38" t="s">
        <v>336</v>
      </c>
      <c r="T5863" s="39"/>
      <c r="U5863" s="39"/>
    </row>
    <row r="5864">
      <c r="A5864" s="40">
        <f t="shared" si="1"/>
        <v>46006</v>
      </c>
      <c r="B5864" s="37" t="str">
        <f t="array" ref="B5864">iferror(xlookup($I5864, 'IMPORT VHC Report'!$E:$E, 'IMPORT VHC Report'!$A:$C), )</f>
        <v/>
      </c>
      <c r="C5864" s="37"/>
      <c r="D5864" s="37"/>
      <c r="E5864" s="38" t="s">
        <v>6972</v>
      </c>
      <c r="F5864" s="38" t="s">
        <v>6959</v>
      </c>
      <c r="G5864" s="38">
        <v>5.359189606799E12</v>
      </c>
      <c r="H5864" s="38" t="s">
        <v>6960</v>
      </c>
      <c r="I5864" s="38" t="s">
        <v>6961</v>
      </c>
      <c r="J5864" s="38" t="s">
        <v>134</v>
      </c>
      <c r="K5864" s="38" t="s">
        <v>126</v>
      </c>
      <c r="L5864" s="41">
        <v>46008.78125</v>
      </c>
      <c r="M5864" s="38" t="s">
        <v>123</v>
      </c>
      <c r="N5864" s="41">
        <v>46008.802083333336</v>
      </c>
      <c r="O5864" s="38" t="s">
        <v>123</v>
      </c>
      <c r="P5864" s="38">
        <v>1800.0</v>
      </c>
      <c r="Q5864" s="39"/>
      <c r="R5864" s="39"/>
      <c r="S5864" s="39"/>
      <c r="T5864" s="39"/>
      <c r="U5864" s="39"/>
    </row>
    <row r="5865">
      <c r="A5865" s="40">
        <f t="shared" si="1"/>
        <v>46006</v>
      </c>
      <c r="B5865" s="37" t="str">
        <f t="array" ref="B5865">iferror(xlookup($I5865, 'IMPORT VHC Report'!$E:$E, 'IMPORT VHC Report'!$A:$C), )</f>
        <v/>
      </c>
      <c r="C5865" s="37"/>
      <c r="D5865" s="37"/>
      <c r="E5865" s="38" t="s">
        <v>6973</v>
      </c>
      <c r="F5865" s="38" t="s">
        <v>6959</v>
      </c>
      <c r="G5865" s="38">
        <v>5.359189606799E12</v>
      </c>
      <c r="H5865" s="38" t="s">
        <v>6960</v>
      </c>
      <c r="I5865" s="38" t="s">
        <v>6961</v>
      </c>
      <c r="J5865" s="38" t="s">
        <v>330</v>
      </c>
      <c r="K5865" s="38" t="s">
        <v>126</v>
      </c>
      <c r="L5865" s="41">
        <v>46009.5</v>
      </c>
      <c r="M5865" s="38" t="s">
        <v>123</v>
      </c>
      <c r="N5865" s="41">
        <v>46009.506944444445</v>
      </c>
      <c r="O5865" s="38" t="s">
        <v>123</v>
      </c>
      <c r="P5865" s="38">
        <v>600.0</v>
      </c>
      <c r="Q5865" s="39"/>
      <c r="R5865" s="39"/>
      <c r="S5865" s="39"/>
      <c r="T5865" s="39"/>
      <c r="U5865" s="39"/>
    </row>
    <row r="5866">
      <c r="A5866" s="40">
        <f t="shared" si="1"/>
        <v>46006</v>
      </c>
      <c r="B5866" s="37" t="str">
        <f t="array" ref="B5866">iferror(xlookup($I5866, 'IMPORT VHC Report'!$E:$E, 'IMPORT VHC Report'!$A:$C), )</f>
        <v/>
      </c>
      <c r="C5866" s="37"/>
      <c r="D5866" s="37"/>
      <c r="E5866" s="38" t="s">
        <v>6974</v>
      </c>
      <c r="F5866" s="38" t="s">
        <v>6959</v>
      </c>
      <c r="G5866" s="38">
        <v>5.359189606799E12</v>
      </c>
      <c r="H5866" s="38" t="s">
        <v>6960</v>
      </c>
      <c r="I5866" s="38" t="s">
        <v>6961</v>
      </c>
      <c r="J5866" s="38" t="s">
        <v>332</v>
      </c>
      <c r="K5866" s="38" t="s">
        <v>63</v>
      </c>
      <c r="L5866" s="41">
        <v>46009.5</v>
      </c>
      <c r="M5866" s="38" t="s">
        <v>123</v>
      </c>
      <c r="N5866" s="41">
        <v>46009.875</v>
      </c>
      <c r="O5866" s="38" t="s">
        <v>123</v>
      </c>
      <c r="P5866" s="38">
        <v>32400.0</v>
      </c>
      <c r="Q5866" s="39"/>
      <c r="R5866" s="39"/>
      <c r="S5866" s="39"/>
      <c r="T5866" s="39"/>
      <c r="U5866" s="39"/>
    </row>
    <row r="5867">
      <c r="A5867" s="40">
        <f t="shared" si="1"/>
        <v>46006</v>
      </c>
      <c r="B5867" s="37" t="str">
        <f t="array" ref="B5867">iferror(xlookup($I5867, 'IMPORT VHC Report'!$E:$E, 'IMPORT VHC Report'!$A:$C), )</f>
        <v/>
      </c>
      <c r="C5867" s="37"/>
      <c r="D5867" s="37"/>
      <c r="E5867" s="38" t="s">
        <v>6975</v>
      </c>
      <c r="F5867" s="38" t="s">
        <v>6959</v>
      </c>
      <c r="G5867" s="38">
        <v>5.359189606799E12</v>
      </c>
      <c r="H5867" s="38" t="s">
        <v>6960</v>
      </c>
      <c r="I5867" s="38" t="s">
        <v>6961</v>
      </c>
      <c r="J5867" s="38" t="s">
        <v>134</v>
      </c>
      <c r="K5867" s="38" t="s">
        <v>126</v>
      </c>
      <c r="L5867" s="41">
        <v>46009.583333333336</v>
      </c>
      <c r="M5867" s="38" t="s">
        <v>123</v>
      </c>
      <c r="N5867" s="41">
        <v>46009.604166666664</v>
      </c>
      <c r="O5867" s="38" t="s">
        <v>123</v>
      </c>
      <c r="P5867" s="38">
        <v>1800.0</v>
      </c>
      <c r="Q5867" s="39"/>
      <c r="R5867" s="39"/>
      <c r="S5867" s="39"/>
      <c r="T5867" s="39"/>
      <c r="U5867" s="39"/>
    </row>
    <row r="5868">
      <c r="A5868" s="40">
        <f t="shared" si="1"/>
        <v>46006</v>
      </c>
      <c r="B5868" s="37" t="str">
        <f t="array" ref="B5868">iferror(xlookup($I5868, 'IMPORT VHC Report'!$E:$E, 'IMPORT VHC Report'!$A:$C), )</f>
        <v/>
      </c>
      <c r="C5868" s="37"/>
      <c r="D5868" s="37"/>
      <c r="E5868" s="38" t="s">
        <v>6976</v>
      </c>
      <c r="F5868" s="38" t="s">
        <v>6959</v>
      </c>
      <c r="G5868" s="38">
        <v>5.359189606799E12</v>
      </c>
      <c r="H5868" s="38" t="s">
        <v>6960</v>
      </c>
      <c r="I5868" s="38" t="s">
        <v>6961</v>
      </c>
      <c r="J5868" s="38" t="s">
        <v>132</v>
      </c>
      <c r="K5868" s="38" t="s">
        <v>126</v>
      </c>
      <c r="L5868" s="41">
        <v>46009.729166666664</v>
      </c>
      <c r="M5868" s="38" t="s">
        <v>123</v>
      </c>
      <c r="N5868" s="41">
        <v>46009.770833333336</v>
      </c>
      <c r="O5868" s="38" t="s">
        <v>123</v>
      </c>
      <c r="P5868" s="38">
        <v>3600.0</v>
      </c>
      <c r="Q5868" s="39"/>
      <c r="R5868" s="39"/>
      <c r="S5868" s="39"/>
      <c r="T5868" s="39"/>
      <c r="U5868" s="39"/>
    </row>
    <row r="5869">
      <c r="A5869" s="40">
        <f t="shared" si="1"/>
        <v>46006</v>
      </c>
      <c r="B5869" s="37" t="str">
        <f t="array" ref="B5869">iferror(xlookup($I5869, 'IMPORT VHC Report'!$E:$E, 'IMPORT VHC Report'!$A:$C), )</f>
        <v/>
      </c>
      <c r="C5869" s="37"/>
      <c r="D5869" s="37"/>
      <c r="E5869" s="38" t="s">
        <v>6977</v>
      </c>
      <c r="F5869" s="38" t="s">
        <v>6959</v>
      </c>
      <c r="G5869" s="38">
        <v>5.359189606799E12</v>
      </c>
      <c r="H5869" s="38" t="s">
        <v>6960</v>
      </c>
      <c r="I5869" s="38" t="s">
        <v>6961</v>
      </c>
      <c r="J5869" s="38" t="s">
        <v>330</v>
      </c>
      <c r="K5869" s="38" t="s">
        <v>126</v>
      </c>
      <c r="L5869" s="41">
        <v>46010.5</v>
      </c>
      <c r="M5869" s="38" t="s">
        <v>123</v>
      </c>
      <c r="N5869" s="41">
        <v>46010.506944444445</v>
      </c>
      <c r="O5869" s="38" t="s">
        <v>123</v>
      </c>
      <c r="P5869" s="38">
        <v>600.0</v>
      </c>
      <c r="Q5869" s="39"/>
      <c r="R5869" s="39"/>
      <c r="S5869" s="39"/>
      <c r="T5869" s="39"/>
      <c r="U5869" s="39"/>
    </row>
    <row r="5870">
      <c r="A5870" s="40">
        <f t="shared" si="1"/>
        <v>46006</v>
      </c>
      <c r="B5870" s="37" t="str">
        <f t="array" ref="B5870">iferror(xlookup($I5870, 'IMPORT VHC Report'!$E:$E, 'IMPORT VHC Report'!$A:$C), )</f>
        <v/>
      </c>
      <c r="C5870" s="37"/>
      <c r="D5870" s="37"/>
      <c r="E5870" s="38" t="s">
        <v>6978</v>
      </c>
      <c r="F5870" s="38" t="s">
        <v>6959</v>
      </c>
      <c r="G5870" s="38">
        <v>5.359189606799E12</v>
      </c>
      <c r="H5870" s="38" t="s">
        <v>6960</v>
      </c>
      <c r="I5870" s="38" t="s">
        <v>6961</v>
      </c>
      <c r="J5870" s="38" t="s">
        <v>332</v>
      </c>
      <c r="K5870" s="38" t="s">
        <v>63</v>
      </c>
      <c r="L5870" s="41">
        <v>46010.506944444445</v>
      </c>
      <c r="M5870" s="38" t="s">
        <v>123</v>
      </c>
      <c r="N5870" s="41">
        <v>46010.604166666664</v>
      </c>
      <c r="O5870" s="38" t="s">
        <v>123</v>
      </c>
      <c r="P5870" s="38">
        <v>8400.0</v>
      </c>
      <c r="Q5870" s="39"/>
      <c r="R5870" s="39"/>
      <c r="S5870" s="39"/>
      <c r="T5870" s="39"/>
      <c r="U5870" s="39"/>
    </row>
    <row r="5871">
      <c r="A5871" s="40">
        <f t="shared" si="1"/>
        <v>46006</v>
      </c>
      <c r="B5871" s="37" t="str">
        <f t="array" ref="B5871">iferror(xlookup($I5871, 'IMPORT VHC Report'!$E:$E, 'IMPORT VHC Report'!$A:$C), )</f>
        <v/>
      </c>
      <c r="C5871" s="37"/>
      <c r="D5871" s="37"/>
      <c r="E5871" s="38" t="s">
        <v>6979</v>
      </c>
      <c r="F5871" s="38" t="s">
        <v>6959</v>
      </c>
      <c r="G5871" s="38">
        <v>5.359189606799E12</v>
      </c>
      <c r="H5871" s="38" t="s">
        <v>6960</v>
      </c>
      <c r="I5871" s="38" t="s">
        <v>6961</v>
      </c>
      <c r="J5871" s="38" t="s">
        <v>125</v>
      </c>
      <c r="K5871" s="38" t="s">
        <v>126</v>
      </c>
      <c r="L5871" s="41">
        <v>46010.604166666664</v>
      </c>
      <c r="M5871" s="38" t="s">
        <v>123</v>
      </c>
      <c r="N5871" s="41">
        <v>46010.625</v>
      </c>
      <c r="O5871" s="38" t="s">
        <v>123</v>
      </c>
      <c r="P5871" s="38">
        <v>1800.0</v>
      </c>
      <c r="Q5871" s="39"/>
      <c r="R5871" s="39"/>
      <c r="S5871" s="38" t="s">
        <v>6980</v>
      </c>
      <c r="T5871" s="39"/>
      <c r="U5871" s="39"/>
    </row>
    <row r="5872">
      <c r="A5872" s="40">
        <f t="shared" si="1"/>
        <v>46006</v>
      </c>
      <c r="B5872" s="37" t="str">
        <f t="array" ref="B5872">iferror(xlookup($I5872, 'IMPORT VHC Report'!$E:$E, 'IMPORT VHC Report'!$A:$C), )</f>
        <v/>
      </c>
      <c r="C5872" s="37"/>
      <c r="D5872" s="37"/>
      <c r="E5872" s="38" t="s">
        <v>6981</v>
      </c>
      <c r="F5872" s="38" t="s">
        <v>6959</v>
      </c>
      <c r="G5872" s="38">
        <v>5.359189606799E12</v>
      </c>
      <c r="H5872" s="38" t="s">
        <v>6960</v>
      </c>
      <c r="I5872" s="38" t="s">
        <v>6961</v>
      </c>
      <c r="J5872" s="38" t="s">
        <v>132</v>
      </c>
      <c r="K5872" s="38" t="s">
        <v>126</v>
      </c>
      <c r="L5872" s="41">
        <v>46010.625</v>
      </c>
      <c r="M5872" s="38" t="s">
        <v>123</v>
      </c>
      <c r="N5872" s="41">
        <v>46010.666666666664</v>
      </c>
      <c r="O5872" s="38" t="s">
        <v>123</v>
      </c>
      <c r="P5872" s="38">
        <v>3600.0</v>
      </c>
      <c r="Q5872" s="39"/>
      <c r="R5872" s="39"/>
      <c r="S5872" s="39"/>
      <c r="T5872" s="39"/>
      <c r="U5872" s="39"/>
    </row>
    <row r="5873">
      <c r="A5873" s="40">
        <f t="shared" si="1"/>
        <v>46006</v>
      </c>
      <c r="B5873" s="37" t="str">
        <f t="array" ref="B5873">iferror(xlookup($I5873, 'IMPORT VHC Report'!$E:$E, 'IMPORT VHC Report'!$A:$C), )</f>
        <v/>
      </c>
      <c r="C5873" s="37"/>
      <c r="D5873" s="37"/>
      <c r="E5873" s="38" t="s">
        <v>6982</v>
      </c>
      <c r="F5873" s="38" t="s">
        <v>6959</v>
      </c>
      <c r="G5873" s="38">
        <v>5.359189606799E12</v>
      </c>
      <c r="H5873" s="38" t="s">
        <v>6960</v>
      </c>
      <c r="I5873" s="38" t="s">
        <v>6961</v>
      </c>
      <c r="J5873" s="38" t="s">
        <v>136</v>
      </c>
      <c r="K5873" s="38" t="s">
        <v>126</v>
      </c>
      <c r="L5873" s="41">
        <v>46010.666666666664</v>
      </c>
      <c r="M5873" s="38" t="s">
        <v>123</v>
      </c>
      <c r="N5873" s="41">
        <v>46010.729166666664</v>
      </c>
      <c r="O5873" s="38" t="s">
        <v>123</v>
      </c>
      <c r="P5873" s="38">
        <v>5400.0</v>
      </c>
      <c r="Q5873" s="39"/>
      <c r="R5873" s="39"/>
      <c r="S5873" s="38" t="s">
        <v>137</v>
      </c>
      <c r="T5873" s="39"/>
      <c r="U5873" s="39"/>
    </row>
    <row r="5874">
      <c r="A5874" s="40">
        <f t="shared" si="1"/>
        <v>46006</v>
      </c>
      <c r="B5874" s="37" t="str">
        <f t="array" ref="B5874">iferror(xlookup($I5874, 'IMPORT VHC Report'!$E:$E, 'IMPORT VHC Report'!$A:$C), )</f>
        <v/>
      </c>
      <c r="C5874" s="37"/>
      <c r="D5874" s="37"/>
      <c r="E5874" s="38" t="s">
        <v>6983</v>
      </c>
      <c r="F5874" s="38" t="s">
        <v>6959</v>
      </c>
      <c r="G5874" s="38">
        <v>5.359189606799E12</v>
      </c>
      <c r="H5874" s="38" t="s">
        <v>6960</v>
      </c>
      <c r="I5874" s="38" t="s">
        <v>6961</v>
      </c>
      <c r="J5874" s="38" t="s">
        <v>125</v>
      </c>
      <c r="K5874" s="38" t="s">
        <v>126</v>
      </c>
      <c r="L5874" s="41">
        <v>46010.729166666664</v>
      </c>
      <c r="M5874" s="38" t="s">
        <v>123</v>
      </c>
      <c r="N5874" s="41">
        <v>46010.791666666664</v>
      </c>
      <c r="O5874" s="38" t="s">
        <v>123</v>
      </c>
      <c r="P5874" s="38">
        <v>5400.0</v>
      </c>
      <c r="Q5874" s="39"/>
      <c r="R5874" s="39"/>
      <c r="S5874" s="38" t="s">
        <v>6980</v>
      </c>
      <c r="T5874" s="39"/>
      <c r="U5874" s="39"/>
    </row>
    <row r="5875">
      <c r="A5875" s="40">
        <f t="shared" si="1"/>
        <v>46006</v>
      </c>
      <c r="B5875" s="37" t="str">
        <f t="array" ref="B5875">iferror(xlookup($I5875, 'IMPORT VHC Report'!$E:$E, 'IMPORT VHC Report'!$A:$C), )</f>
        <v/>
      </c>
      <c r="C5875" s="37"/>
      <c r="D5875" s="37"/>
      <c r="E5875" s="38" t="s">
        <v>6984</v>
      </c>
      <c r="F5875" s="38" t="s">
        <v>6959</v>
      </c>
      <c r="G5875" s="38">
        <v>5.359189606799E12</v>
      </c>
      <c r="H5875" s="38" t="s">
        <v>6960</v>
      </c>
      <c r="I5875" s="38" t="s">
        <v>6961</v>
      </c>
      <c r="J5875" s="38" t="s">
        <v>134</v>
      </c>
      <c r="K5875" s="38" t="s">
        <v>126</v>
      </c>
      <c r="L5875" s="41">
        <v>46010.791666666664</v>
      </c>
      <c r="M5875" s="38" t="s">
        <v>123</v>
      </c>
      <c r="N5875" s="41">
        <v>46010.8125</v>
      </c>
      <c r="O5875" s="38" t="s">
        <v>123</v>
      </c>
      <c r="P5875" s="38">
        <v>1800.0</v>
      </c>
      <c r="Q5875" s="39"/>
      <c r="R5875" s="39"/>
      <c r="S5875" s="39"/>
      <c r="T5875" s="39"/>
      <c r="U5875" s="39"/>
    </row>
    <row r="5876">
      <c r="A5876" s="40">
        <f t="shared" si="1"/>
        <v>46006</v>
      </c>
      <c r="B5876" s="37" t="str">
        <f t="array" ref="B5876">iferror(xlookup($I5876, 'IMPORT VHC Report'!$E:$E, 'IMPORT VHC Report'!$A:$C), )</f>
        <v/>
      </c>
      <c r="C5876" s="37"/>
      <c r="D5876" s="37"/>
      <c r="E5876" s="38" t="s">
        <v>6985</v>
      </c>
      <c r="F5876" s="38" t="s">
        <v>6959</v>
      </c>
      <c r="G5876" s="38">
        <v>5.359189606799E12</v>
      </c>
      <c r="H5876" s="38" t="s">
        <v>6960</v>
      </c>
      <c r="I5876" s="38" t="s">
        <v>6961</v>
      </c>
      <c r="J5876" s="38" t="s">
        <v>125</v>
      </c>
      <c r="K5876" s="38" t="s">
        <v>126</v>
      </c>
      <c r="L5876" s="41">
        <v>46010.8125</v>
      </c>
      <c r="M5876" s="38" t="s">
        <v>123</v>
      </c>
      <c r="N5876" s="41">
        <v>46010.868055555555</v>
      </c>
      <c r="O5876" s="38" t="s">
        <v>123</v>
      </c>
      <c r="P5876" s="38">
        <v>4800.0</v>
      </c>
      <c r="Q5876" s="39"/>
      <c r="R5876" s="39"/>
      <c r="S5876" s="38" t="s">
        <v>6980</v>
      </c>
      <c r="T5876" s="39"/>
      <c r="U5876" s="39"/>
    </row>
    <row r="5877">
      <c r="A5877" s="40">
        <f t="shared" si="1"/>
        <v>46006</v>
      </c>
      <c r="B5877" s="37" t="str">
        <f t="array" ref="B5877">iferror(xlookup($I5877, 'IMPORT VHC Report'!$E:$E, 'IMPORT VHC Report'!$A:$C), )</f>
        <v/>
      </c>
      <c r="C5877" s="37"/>
      <c r="D5877" s="37"/>
      <c r="E5877" s="38" t="s">
        <v>6986</v>
      </c>
      <c r="F5877" s="38" t="s">
        <v>6959</v>
      </c>
      <c r="G5877" s="38">
        <v>5.359189606799E12</v>
      </c>
      <c r="H5877" s="38" t="s">
        <v>6960</v>
      </c>
      <c r="I5877" s="38" t="s">
        <v>6961</v>
      </c>
      <c r="J5877" s="38" t="s">
        <v>125</v>
      </c>
      <c r="K5877" s="38" t="s">
        <v>126</v>
      </c>
      <c r="L5877" s="41">
        <v>46010.868055555555</v>
      </c>
      <c r="M5877" s="38" t="s">
        <v>123</v>
      </c>
      <c r="N5877" s="41">
        <v>46010.875</v>
      </c>
      <c r="O5877" s="38" t="s">
        <v>123</v>
      </c>
      <c r="P5877" s="38">
        <v>600.0</v>
      </c>
      <c r="Q5877" s="39"/>
      <c r="R5877" s="39"/>
      <c r="S5877" s="38" t="s">
        <v>3682</v>
      </c>
      <c r="T5877" s="39"/>
      <c r="U5877" s="39"/>
    </row>
    <row r="5878">
      <c r="A5878" s="40">
        <f t="shared" si="1"/>
        <v>46006</v>
      </c>
      <c r="B5878" s="37" t="str">
        <f t="array" ref="B5878">iferror(xlookup($I5878, 'IMPORT VHC Report'!$E:$E, 'IMPORT VHC Report'!$A:$C), )</f>
        <v/>
      </c>
      <c r="C5878" s="37"/>
      <c r="D5878" s="37"/>
      <c r="E5878" s="38" t="s">
        <v>6987</v>
      </c>
      <c r="F5878" s="38" t="s">
        <v>6959</v>
      </c>
      <c r="G5878" s="38">
        <v>5.359189606799E12</v>
      </c>
      <c r="H5878" s="38" t="s">
        <v>6960</v>
      </c>
      <c r="I5878" s="38" t="s">
        <v>6961</v>
      </c>
      <c r="J5878" s="38" t="s">
        <v>330</v>
      </c>
      <c r="K5878" s="38" t="s">
        <v>126</v>
      </c>
      <c r="L5878" s="41">
        <v>46011.5</v>
      </c>
      <c r="M5878" s="38" t="s">
        <v>123</v>
      </c>
      <c r="N5878" s="41">
        <v>46011.506944444445</v>
      </c>
      <c r="O5878" s="38" t="s">
        <v>123</v>
      </c>
      <c r="P5878" s="38">
        <v>600.0</v>
      </c>
      <c r="Q5878" s="39"/>
      <c r="R5878" s="39"/>
      <c r="S5878" s="39"/>
      <c r="T5878" s="39"/>
      <c r="U5878" s="39"/>
    </row>
    <row r="5879">
      <c r="A5879" s="40">
        <f t="shared" si="1"/>
        <v>46006</v>
      </c>
      <c r="B5879" s="37" t="str">
        <f t="array" ref="B5879">iferror(xlookup($I5879, 'IMPORT VHC Report'!$E:$E, 'IMPORT VHC Report'!$A:$C), )</f>
        <v/>
      </c>
      <c r="C5879" s="37"/>
      <c r="D5879" s="37"/>
      <c r="E5879" s="38" t="s">
        <v>6988</v>
      </c>
      <c r="F5879" s="38" t="s">
        <v>6959</v>
      </c>
      <c r="G5879" s="38">
        <v>5.359189606799E12</v>
      </c>
      <c r="H5879" s="38" t="s">
        <v>6960</v>
      </c>
      <c r="I5879" s="38" t="s">
        <v>6961</v>
      </c>
      <c r="J5879" s="38" t="s">
        <v>332</v>
      </c>
      <c r="K5879" s="38" t="s">
        <v>63</v>
      </c>
      <c r="L5879" s="41">
        <v>46011.5</v>
      </c>
      <c r="M5879" s="38" t="s">
        <v>123</v>
      </c>
      <c r="N5879" s="41">
        <v>46011.875</v>
      </c>
      <c r="O5879" s="38" t="s">
        <v>123</v>
      </c>
      <c r="P5879" s="38">
        <v>32400.0</v>
      </c>
      <c r="Q5879" s="39"/>
      <c r="R5879" s="39"/>
      <c r="S5879" s="39"/>
      <c r="T5879" s="39"/>
      <c r="U5879" s="39"/>
    </row>
    <row r="5880">
      <c r="A5880" s="40">
        <f t="shared" si="1"/>
        <v>46006</v>
      </c>
      <c r="B5880" s="37" t="str">
        <f t="array" ref="B5880">iferror(xlookup($I5880, 'IMPORT VHC Report'!$E:$E, 'IMPORT VHC Report'!$A:$C), )</f>
        <v/>
      </c>
      <c r="C5880" s="37"/>
      <c r="D5880" s="37"/>
      <c r="E5880" s="38" t="s">
        <v>6989</v>
      </c>
      <c r="F5880" s="38" t="s">
        <v>6959</v>
      </c>
      <c r="G5880" s="38">
        <v>5.359189606799E12</v>
      </c>
      <c r="H5880" s="38" t="s">
        <v>6960</v>
      </c>
      <c r="I5880" s="38" t="s">
        <v>6961</v>
      </c>
      <c r="J5880" s="38" t="s">
        <v>4</v>
      </c>
      <c r="K5880" s="38" t="s">
        <v>126</v>
      </c>
      <c r="L5880" s="41">
        <v>46011.59375</v>
      </c>
      <c r="M5880" s="38" t="s">
        <v>123</v>
      </c>
      <c r="N5880" s="41">
        <v>46011.604166666664</v>
      </c>
      <c r="O5880" s="38" t="s">
        <v>123</v>
      </c>
      <c r="P5880" s="38">
        <v>900.0</v>
      </c>
      <c r="Q5880" s="39"/>
      <c r="R5880" s="39"/>
      <c r="S5880" s="38" t="s">
        <v>3693</v>
      </c>
      <c r="T5880" s="39"/>
      <c r="U5880" s="39"/>
    </row>
    <row r="5881">
      <c r="A5881" s="40">
        <f t="shared" si="1"/>
        <v>46006</v>
      </c>
      <c r="B5881" s="37" t="str">
        <f t="array" ref="B5881">iferror(xlookup($I5881, 'IMPORT VHC Report'!$E:$E, 'IMPORT VHC Report'!$A:$C), )</f>
        <v/>
      </c>
      <c r="C5881" s="37"/>
      <c r="D5881" s="37"/>
      <c r="E5881" s="38" t="s">
        <v>6990</v>
      </c>
      <c r="F5881" s="38" t="s">
        <v>6959</v>
      </c>
      <c r="G5881" s="38">
        <v>5.359189606799E12</v>
      </c>
      <c r="H5881" s="38" t="s">
        <v>6960</v>
      </c>
      <c r="I5881" s="38" t="s">
        <v>6961</v>
      </c>
      <c r="J5881" s="38" t="s">
        <v>4</v>
      </c>
      <c r="K5881" s="38" t="s">
        <v>126</v>
      </c>
      <c r="L5881" s="41">
        <v>46011.604166666664</v>
      </c>
      <c r="M5881" s="38" t="s">
        <v>123</v>
      </c>
      <c r="N5881" s="41">
        <v>46011.645833333336</v>
      </c>
      <c r="O5881" s="38" t="s">
        <v>123</v>
      </c>
      <c r="P5881" s="38">
        <v>3600.0</v>
      </c>
      <c r="Q5881" s="39"/>
      <c r="R5881" s="39"/>
      <c r="S5881" s="38" t="s">
        <v>1038</v>
      </c>
      <c r="T5881" s="39"/>
      <c r="U5881" s="39"/>
    </row>
    <row r="5882">
      <c r="A5882" s="40">
        <f t="shared" si="1"/>
        <v>46006</v>
      </c>
      <c r="B5882" s="37" t="str">
        <f t="array" ref="B5882">iferror(xlookup($I5882, 'IMPORT VHC Report'!$E:$E, 'IMPORT VHC Report'!$A:$C), )</f>
        <v/>
      </c>
      <c r="C5882" s="37"/>
      <c r="D5882" s="37"/>
      <c r="E5882" s="38" t="s">
        <v>6991</v>
      </c>
      <c r="F5882" s="38" t="s">
        <v>6959</v>
      </c>
      <c r="G5882" s="38">
        <v>5.359189606799E12</v>
      </c>
      <c r="H5882" s="38" t="s">
        <v>6960</v>
      </c>
      <c r="I5882" s="38" t="s">
        <v>6961</v>
      </c>
      <c r="J5882" s="38" t="s">
        <v>132</v>
      </c>
      <c r="K5882" s="38" t="s">
        <v>126</v>
      </c>
      <c r="L5882" s="41">
        <v>46011.645833333336</v>
      </c>
      <c r="M5882" s="38" t="s">
        <v>123</v>
      </c>
      <c r="N5882" s="41">
        <v>46011.6875</v>
      </c>
      <c r="O5882" s="38" t="s">
        <v>123</v>
      </c>
      <c r="P5882" s="38">
        <v>3600.0</v>
      </c>
      <c r="Q5882" s="39"/>
      <c r="R5882" s="39"/>
      <c r="S5882" s="39"/>
      <c r="T5882" s="39"/>
      <c r="U5882" s="39"/>
    </row>
    <row r="5883">
      <c r="A5883" s="40">
        <f t="shared" si="1"/>
        <v>46006</v>
      </c>
      <c r="B5883" s="37" t="str">
        <f t="array" ref="B5883">iferror(xlookup($I5883, 'IMPORT VHC Report'!$E:$E, 'IMPORT VHC Report'!$A:$C), )</f>
        <v/>
      </c>
      <c r="C5883" s="37"/>
      <c r="D5883" s="37"/>
      <c r="E5883" s="38" t="s">
        <v>6992</v>
      </c>
      <c r="F5883" s="38" t="s">
        <v>6959</v>
      </c>
      <c r="G5883" s="38">
        <v>5.359189606799E12</v>
      </c>
      <c r="H5883" s="38" t="s">
        <v>6960</v>
      </c>
      <c r="I5883" s="38" t="s">
        <v>6961</v>
      </c>
      <c r="J5883" s="38" t="s">
        <v>330</v>
      </c>
      <c r="K5883" s="38" t="s">
        <v>126</v>
      </c>
      <c r="L5883" s="41">
        <v>46011.708333333336</v>
      </c>
      <c r="M5883" s="38" t="s">
        <v>123</v>
      </c>
      <c r="N5883" s="41">
        <v>46011.788194444445</v>
      </c>
      <c r="O5883" s="38" t="s">
        <v>123</v>
      </c>
      <c r="P5883" s="38">
        <v>6900.0</v>
      </c>
      <c r="Q5883" s="39"/>
      <c r="R5883" s="39"/>
      <c r="S5883" s="39"/>
      <c r="T5883" s="39"/>
      <c r="U5883" s="39"/>
    </row>
    <row r="5884">
      <c r="A5884" s="40">
        <f t="shared" si="1"/>
        <v>46006</v>
      </c>
      <c r="B5884" s="37" t="str">
        <f t="array" ref="B5884">iferror(xlookup($I5884, 'IMPORT VHC Report'!$E:$E, 'IMPORT VHC Report'!$A:$C), )</f>
        <v/>
      </c>
      <c r="C5884" s="37"/>
      <c r="D5884" s="37"/>
      <c r="E5884" s="38" t="s">
        <v>6993</v>
      </c>
      <c r="F5884" s="38" t="s">
        <v>6959</v>
      </c>
      <c r="G5884" s="38">
        <v>5.359189606799E12</v>
      </c>
      <c r="H5884" s="38" t="s">
        <v>6960</v>
      </c>
      <c r="I5884" s="38" t="s">
        <v>6961</v>
      </c>
      <c r="J5884" s="38" t="s">
        <v>134</v>
      </c>
      <c r="K5884" s="38" t="s">
        <v>126</v>
      </c>
      <c r="L5884" s="41">
        <v>46011.8125</v>
      </c>
      <c r="M5884" s="38" t="s">
        <v>123</v>
      </c>
      <c r="N5884" s="41">
        <v>46011.833333333336</v>
      </c>
      <c r="O5884" s="38" t="s">
        <v>123</v>
      </c>
      <c r="P5884" s="38">
        <v>1800.0</v>
      </c>
      <c r="Q5884" s="39"/>
      <c r="R5884" s="39"/>
      <c r="S5884" s="39"/>
      <c r="T5884" s="39"/>
      <c r="U5884" s="39"/>
    </row>
    <row r="5885">
      <c r="A5885" s="40">
        <f t="shared" si="1"/>
        <v>46006</v>
      </c>
      <c r="B5885" s="37" t="str">
        <f t="array" ref="B5885">iferror(xlookup($I5885, 'IMPORT VHC Report'!$E:$E, 'IMPORT VHC Report'!$A:$C), )</f>
        <v/>
      </c>
      <c r="C5885" s="37"/>
      <c r="D5885" s="37"/>
      <c r="E5885" s="38" t="s">
        <v>6994</v>
      </c>
      <c r="F5885" s="38" t="s">
        <v>6995</v>
      </c>
      <c r="G5885" s="39"/>
      <c r="H5885" s="38" t="s">
        <v>6996</v>
      </c>
      <c r="I5885" s="38" t="s">
        <v>6997</v>
      </c>
      <c r="J5885" s="38" t="s">
        <v>125</v>
      </c>
      <c r="K5885" s="38" t="s">
        <v>126</v>
      </c>
      <c r="L5885" s="41">
        <v>46007.5</v>
      </c>
      <c r="M5885" s="38" t="s">
        <v>123</v>
      </c>
      <c r="N5885" s="41">
        <v>46007.510416666664</v>
      </c>
      <c r="O5885" s="38" t="s">
        <v>123</v>
      </c>
      <c r="P5885" s="38">
        <v>900.0</v>
      </c>
      <c r="Q5885" s="39"/>
      <c r="R5885" s="39"/>
      <c r="S5885" s="38" t="s">
        <v>199</v>
      </c>
      <c r="T5885" s="39"/>
      <c r="U5885" s="39"/>
    </row>
    <row r="5886">
      <c r="A5886" s="40">
        <f t="shared" si="1"/>
        <v>46006</v>
      </c>
      <c r="B5886" s="37" t="str">
        <f t="array" ref="B5886">iferror(xlookup($I5886, 'IMPORT VHC Report'!$E:$E, 'IMPORT VHC Report'!$A:$C), )</f>
        <v/>
      </c>
      <c r="C5886" s="37"/>
      <c r="D5886" s="37"/>
      <c r="E5886" s="38" t="s">
        <v>6998</v>
      </c>
      <c r="F5886" s="38" t="s">
        <v>6995</v>
      </c>
      <c r="G5886" s="39"/>
      <c r="H5886" s="38" t="s">
        <v>6996</v>
      </c>
      <c r="I5886" s="38" t="s">
        <v>6997</v>
      </c>
      <c r="J5886" s="38" t="s">
        <v>196</v>
      </c>
      <c r="K5886" s="38" t="s">
        <v>63</v>
      </c>
      <c r="L5886" s="41">
        <v>46007.5</v>
      </c>
      <c r="M5886" s="38" t="s">
        <v>123</v>
      </c>
      <c r="N5886" s="41">
        <v>46007.875</v>
      </c>
      <c r="O5886" s="38" t="s">
        <v>123</v>
      </c>
      <c r="P5886" s="38">
        <v>32400.0</v>
      </c>
      <c r="Q5886" s="39"/>
      <c r="R5886" s="39"/>
      <c r="S5886" s="39"/>
      <c r="T5886" s="39"/>
      <c r="U5886" s="39"/>
    </row>
    <row r="5887">
      <c r="A5887" s="40">
        <f t="shared" si="1"/>
        <v>46006</v>
      </c>
      <c r="B5887" s="37" t="str">
        <f t="array" ref="B5887">iferror(xlookup($I5887, 'IMPORT VHC Report'!$E:$E, 'IMPORT VHC Report'!$A:$C), )</f>
        <v/>
      </c>
      <c r="C5887" s="37"/>
      <c r="D5887" s="37"/>
      <c r="E5887" s="38" t="s">
        <v>6999</v>
      </c>
      <c r="F5887" s="38" t="s">
        <v>6995</v>
      </c>
      <c r="G5887" s="39"/>
      <c r="H5887" s="38" t="s">
        <v>6996</v>
      </c>
      <c r="I5887" s="38" t="s">
        <v>6997</v>
      </c>
      <c r="J5887" s="38" t="s">
        <v>134</v>
      </c>
      <c r="K5887" s="38" t="s">
        <v>126</v>
      </c>
      <c r="L5887" s="41">
        <v>46007.604166666664</v>
      </c>
      <c r="M5887" s="38" t="s">
        <v>123</v>
      </c>
      <c r="N5887" s="41">
        <v>46007.625</v>
      </c>
      <c r="O5887" s="38" t="s">
        <v>123</v>
      </c>
      <c r="P5887" s="38">
        <v>1800.0</v>
      </c>
      <c r="Q5887" s="39"/>
      <c r="R5887" s="39"/>
      <c r="S5887" s="39"/>
      <c r="T5887" s="39"/>
      <c r="U5887" s="39"/>
    </row>
    <row r="5888">
      <c r="A5888" s="40">
        <f t="shared" si="1"/>
        <v>46006</v>
      </c>
      <c r="B5888" s="37" t="str">
        <f t="array" ref="B5888">iferror(xlookup($I5888, 'IMPORT VHC Report'!$E:$E, 'IMPORT VHC Report'!$A:$C), )</f>
        <v/>
      </c>
      <c r="C5888" s="37"/>
      <c r="D5888" s="37"/>
      <c r="E5888" s="38" t="s">
        <v>7000</v>
      </c>
      <c r="F5888" s="38" t="s">
        <v>6995</v>
      </c>
      <c r="G5888" s="39"/>
      <c r="H5888" s="38" t="s">
        <v>6996</v>
      </c>
      <c r="I5888" s="38" t="s">
        <v>6997</v>
      </c>
      <c r="J5888" s="38" t="s">
        <v>132</v>
      </c>
      <c r="K5888" s="38" t="s">
        <v>126</v>
      </c>
      <c r="L5888" s="41">
        <v>46007.729166666664</v>
      </c>
      <c r="M5888" s="38" t="s">
        <v>123</v>
      </c>
      <c r="N5888" s="41">
        <v>46007.770833333336</v>
      </c>
      <c r="O5888" s="38" t="s">
        <v>123</v>
      </c>
      <c r="P5888" s="38">
        <v>3600.0</v>
      </c>
      <c r="Q5888" s="39"/>
      <c r="R5888" s="39"/>
      <c r="S5888" s="39"/>
      <c r="T5888" s="39"/>
      <c r="U5888" s="39"/>
    </row>
    <row r="5889">
      <c r="A5889" s="40">
        <f t="shared" si="1"/>
        <v>46006</v>
      </c>
      <c r="B5889" s="37" t="str">
        <f t="array" ref="B5889">iferror(xlookup($I5889, 'IMPORT VHC Report'!$E:$E, 'IMPORT VHC Report'!$A:$C), )</f>
        <v/>
      </c>
      <c r="C5889" s="37"/>
      <c r="D5889" s="37"/>
      <c r="E5889" s="38" t="s">
        <v>7001</v>
      </c>
      <c r="F5889" s="38" t="s">
        <v>6995</v>
      </c>
      <c r="G5889" s="39"/>
      <c r="H5889" s="38" t="s">
        <v>6996</v>
      </c>
      <c r="I5889" s="38" t="s">
        <v>6997</v>
      </c>
      <c r="J5889" s="38" t="s">
        <v>4</v>
      </c>
      <c r="K5889" s="38" t="s">
        <v>126</v>
      </c>
      <c r="L5889" s="41">
        <v>46007.84722222222</v>
      </c>
      <c r="M5889" s="38" t="s">
        <v>123</v>
      </c>
      <c r="N5889" s="41">
        <v>46007.875</v>
      </c>
      <c r="O5889" s="38" t="s">
        <v>123</v>
      </c>
      <c r="P5889" s="38">
        <v>2400.0</v>
      </c>
      <c r="Q5889" s="39"/>
      <c r="R5889" s="39"/>
      <c r="S5889" s="38" t="s">
        <v>7002</v>
      </c>
      <c r="T5889" s="39"/>
      <c r="U5889" s="39"/>
    </row>
    <row r="5890">
      <c r="A5890" s="40">
        <f t="shared" si="1"/>
        <v>46006</v>
      </c>
      <c r="B5890" s="37" t="str">
        <f t="array" ref="B5890">iferror(xlookup($I5890, 'IMPORT VHC Report'!$E:$E, 'IMPORT VHC Report'!$A:$C), )</f>
        <v/>
      </c>
      <c r="C5890" s="37"/>
      <c r="D5890" s="37"/>
      <c r="E5890" s="38" t="s">
        <v>7003</v>
      </c>
      <c r="F5890" s="38" t="s">
        <v>6995</v>
      </c>
      <c r="G5890" s="39"/>
      <c r="H5890" s="38" t="s">
        <v>6996</v>
      </c>
      <c r="I5890" s="38" t="s">
        <v>6997</v>
      </c>
      <c r="J5890" s="38" t="s">
        <v>125</v>
      </c>
      <c r="K5890" s="38" t="s">
        <v>126</v>
      </c>
      <c r="L5890" s="41">
        <v>46008.5</v>
      </c>
      <c r="M5890" s="38" t="s">
        <v>123</v>
      </c>
      <c r="N5890" s="41">
        <v>46008.510416666664</v>
      </c>
      <c r="O5890" s="38" t="s">
        <v>123</v>
      </c>
      <c r="P5890" s="38">
        <v>900.0</v>
      </c>
      <c r="Q5890" s="39"/>
      <c r="R5890" s="39"/>
      <c r="S5890" s="38" t="s">
        <v>199</v>
      </c>
      <c r="T5890" s="39"/>
      <c r="U5890" s="39"/>
    </row>
    <row r="5891">
      <c r="A5891" s="40">
        <f t="shared" si="1"/>
        <v>46006</v>
      </c>
      <c r="B5891" s="37" t="str">
        <f t="array" ref="B5891">iferror(xlookup($I5891, 'IMPORT VHC Report'!$E:$E, 'IMPORT VHC Report'!$A:$C), )</f>
        <v/>
      </c>
      <c r="C5891" s="37"/>
      <c r="D5891" s="37"/>
      <c r="E5891" s="38" t="s">
        <v>7004</v>
      </c>
      <c r="F5891" s="38" t="s">
        <v>6995</v>
      </c>
      <c r="G5891" s="39"/>
      <c r="H5891" s="38" t="s">
        <v>6996</v>
      </c>
      <c r="I5891" s="38" t="s">
        <v>6997</v>
      </c>
      <c r="J5891" s="38" t="s">
        <v>152</v>
      </c>
      <c r="K5891" s="38" t="s">
        <v>153</v>
      </c>
      <c r="L5891" s="41">
        <v>46008.5</v>
      </c>
      <c r="M5891" s="38" t="s">
        <v>123</v>
      </c>
      <c r="N5891" s="41">
        <v>46008.875</v>
      </c>
      <c r="O5891" s="38" t="s">
        <v>123</v>
      </c>
      <c r="P5891" s="38">
        <v>32400.0</v>
      </c>
      <c r="Q5891" s="38">
        <v>32400.0</v>
      </c>
      <c r="R5891" s="39"/>
      <c r="S5891" s="39"/>
      <c r="T5891" s="39"/>
      <c r="U5891" s="39"/>
    </row>
    <row r="5892">
      <c r="A5892" s="40">
        <f t="shared" si="1"/>
        <v>46006</v>
      </c>
      <c r="B5892" s="37" t="str">
        <f t="array" ref="B5892">iferror(xlookup($I5892, 'IMPORT VHC Report'!$E:$E, 'IMPORT VHC Report'!$A:$C), )</f>
        <v/>
      </c>
      <c r="C5892" s="37"/>
      <c r="D5892" s="37"/>
      <c r="E5892" s="38" t="s">
        <v>7005</v>
      </c>
      <c r="F5892" s="38" t="s">
        <v>6995</v>
      </c>
      <c r="G5892" s="39"/>
      <c r="H5892" s="38" t="s">
        <v>6996</v>
      </c>
      <c r="I5892" s="38" t="s">
        <v>6997</v>
      </c>
      <c r="J5892" s="38" t="s">
        <v>196</v>
      </c>
      <c r="K5892" s="38" t="s">
        <v>63</v>
      </c>
      <c r="L5892" s="41">
        <v>46008.5</v>
      </c>
      <c r="M5892" s="38" t="s">
        <v>123</v>
      </c>
      <c r="N5892" s="41">
        <v>46008.875</v>
      </c>
      <c r="O5892" s="38" t="s">
        <v>123</v>
      </c>
      <c r="P5892" s="38">
        <v>32400.0</v>
      </c>
      <c r="Q5892" s="39"/>
      <c r="R5892" s="39"/>
      <c r="S5892" s="39"/>
      <c r="T5892" s="39"/>
      <c r="U5892" s="39"/>
    </row>
    <row r="5893">
      <c r="A5893" s="40">
        <f t="shared" si="1"/>
        <v>46006</v>
      </c>
      <c r="B5893" s="37" t="str">
        <f t="array" ref="B5893">iferror(xlookup($I5893, 'IMPORT VHC Report'!$E:$E, 'IMPORT VHC Report'!$A:$C), )</f>
        <v/>
      </c>
      <c r="C5893" s="37"/>
      <c r="D5893" s="37"/>
      <c r="E5893" s="38" t="s">
        <v>7006</v>
      </c>
      <c r="F5893" s="38" t="s">
        <v>6995</v>
      </c>
      <c r="G5893" s="39"/>
      <c r="H5893" s="38" t="s">
        <v>6996</v>
      </c>
      <c r="I5893" s="38" t="s">
        <v>6997</v>
      </c>
      <c r="J5893" s="38" t="s">
        <v>132</v>
      </c>
      <c r="K5893" s="38" t="s">
        <v>126</v>
      </c>
      <c r="L5893" s="41">
        <v>46008.604166666664</v>
      </c>
      <c r="M5893" s="38" t="s">
        <v>123</v>
      </c>
      <c r="N5893" s="41">
        <v>46008.645833333336</v>
      </c>
      <c r="O5893" s="38" t="s">
        <v>123</v>
      </c>
      <c r="P5893" s="38">
        <v>3600.0</v>
      </c>
      <c r="Q5893" s="39"/>
      <c r="R5893" s="39"/>
      <c r="S5893" s="39"/>
      <c r="T5893" s="39"/>
      <c r="U5893" s="39"/>
    </row>
    <row r="5894">
      <c r="A5894" s="40">
        <f t="shared" si="1"/>
        <v>46006</v>
      </c>
      <c r="B5894" s="37" t="str">
        <f t="array" ref="B5894">iferror(xlookup($I5894, 'IMPORT VHC Report'!$E:$E, 'IMPORT VHC Report'!$A:$C), )</f>
        <v/>
      </c>
      <c r="C5894" s="37"/>
      <c r="D5894" s="37"/>
      <c r="E5894" s="38" t="s">
        <v>7007</v>
      </c>
      <c r="F5894" s="38" t="s">
        <v>6995</v>
      </c>
      <c r="G5894" s="39"/>
      <c r="H5894" s="38" t="s">
        <v>6996</v>
      </c>
      <c r="I5894" s="38" t="s">
        <v>6997</v>
      </c>
      <c r="J5894" s="38" t="s">
        <v>4</v>
      </c>
      <c r="K5894" s="38" t="s">
        <v>126</v>
      </c>
      <c r="L5894" s="41">
        <v>46008.708333333336</v>
      </c>
      <c r="M5894" s="38" t="s">
        <v>123</v>
      </c>
      <c r="N5894" s="41">
        <v>46008.75</v>
      </c>
      <c r="O5894" s="38" t="s">
        <v>123</v>
      </c>
      <c r="P5894" s="38">
        <v>3600.0</v>
      </c>
      <c r="Q5894" s="39"/>
      <c r="R5894" s="39"/>
      <c r="S5894" s="38" t="s">
        <v>858</v>
      </c>
      <c r="T5894" s="39"/>
      <c r="U5894" s="39"/>
    </row>
    <row r="5895">
      <c r="A5895" s="40">
        <f t="shared" si="1"/>
        <v>46006</v>
      </c>
      <c r="B5895" s="37" t="str">
        <f t="array" ref="B5895">iferror(xlookup($I5895, 'IMPORT VHC Report'!$E:$E, 'IMPORT VHC Report'!$A:$C), )</f>
        <v/>
      </c>
      <c r="C5895" s="37"/>
      <c r="D5895" s="37"/>
      <c r="E5895" s="38" t="s">
        <v>7008</v>
      </c>
      <c r="F5895" s="38" t="s">
        <v>6995</v>
      </c>
      <c r="G5895" s="39"/>
      <c r="H5895" s="38" t="s">
        <v>6996</v>
      </c>
      <c r="I5895" s="38" t="s">
        <v>6997</v>
      </c>
      <c r="J5895" s="38" t="s">
        <v>134</v>
      </c>
      <c r="K5895" s="38" t="s">
        <v>126</v>
      </c>
      <c r="L5895" s="41">
        <v>46008.770833333336</v>
      </c>
      <c r="M5895" s="38" t="s">
        <v>123</v>
      </c>
      <c r="N5895" s="41">
        <v>46008.791666666664</v>
      </c>
      <c r="O5895" s="38" t="s">
        <v>123</v>
      </c>
      <c r="P5895" s="38">
        <v>1800.0</v>
      </c>
      <c r="Q5895" s="39"/>
      <c r="R5895" s="39"/>
      <c r="S5895" s="39"/>
      <c r="T5895" s="39"/>
      <c r="U5895" s="39"/>
    </row>
    <row r="5896">
      <c r="A5896" s="40">
        <f t="shared" si="1"/>
        <v>46006</v>
      </c>
      <c r="B5896" s="37" t="str">
        <f t="array" ref="B5896">iferror(xlookup($I5896, 'IMPORT VHC Report'!$E:$E, 'IMPORT VHC Report'!$A:$C), )</f>
        <v/>
      </c>
      <c r="C5896" s="37"/>
      <c r="D5896" s="37"/>
      <c r="E5896" s="38" t="s">
        <v>7009</v>
      </c>
      <c r="F5896" s="38" t="s">
        <v>6995</v>
      </c>
      <c r="G5896" s="39"/>
      <c r="H5896" s="38" t="s">
        <v>6996</v>
      </c>
      <c r="I5896" s="38" t="s">
        <v>6997</v>
      </c>
      <c r="J5896" s="38" t="s">
        <v>125</v>
      </c>
      <c r="K5896" s="38" t="s">
        <v>126</v>
      </c>
      <c r="L5896" s="41">
        <v>46009.5</v>
      </c>
      <c r="M5896" s="38" t="s">
        <v>123</v>
      </c>
      <c r="N5896" s="41">
        <v>46009.520833333336</v>
      </c>
      <c r="O5896" s="38" t="s">
        <v>123</v>
      </c>
      <c r="P5896" s="38">
        <v>1800.0</v>
      </c>
      <c r="Q5896" s="39"/>
      <c r="R5896" s="39"/>
      <c r="S5896" s="38" t="s">
        <v>7010</v>
      </c>
      <c r="T5896" s="39"/>
      <c r="U5896" s="39"/>
    </row>
    <row r="5897">
      <c r="A5897" s="40">
        <f t="shared" si="1"/>
        <v>46006</v>
      </c>
      <c r="B5897" s="37" t="str">
        <f t="array" ref="B5897">iferror(xlookup($I5897, 'IMPORT VHC Report'!$E:$E, 'IMPORT VHC Report'!$A:$C), )</f>
        <v/>
      </c>
      <c r="C5897" s="37"/>
      <c r="D5897" s="37"/>
      <c r="E5897" s="38" t="s">
        <v>7011</v>
      </c>
      <c r="F5897" s="38" t="s">
        <v>6995</v>
      </c>
      <c r="G5897" s="39"/>
      <c r="H5897" s="38" t="s">
        <v>6996</v>
      </c>
      <c r="I5897" s="38" t="s">
        <v>6997</v>
      </c>
      <c r="J5897" s="38" t="s">
        <v>196</v>
      </c>
      <c r="K5897" s="38" t="s">
        <v>63</v>
      </c>
      <c r="L5897" s="41">
        <v>46009.5</v>
      </c>
      <c r="M5897" s="38" t="s">
        <v>123</v>
      </c>
      <c r="N5897" s="41">
        <v>46009.875</v>
      </c>
      <c r="O5897" s="38" t="s">
        <v>123</v>
      </c>
      <c r="P5897" s="38">
        <v>32400.0</v>
      </c>
      <c r="Q5897" s="39"/>
      <c r="R5897" s="39"/>
      <c r="S5897" s="39"/>
      <c r="T5897" s="39"/>
      <c r="U5897" s="39"/>
    </row>
    <row r="5898">
      <c r="A5898" s="40">
        <f t="shared" si="1"/>
        <v>46006</v>
      </c>
      <c r="B5898" s="37" t="str">
        <f t="array" ref="B5898">iferror(xlookup($I5898, 'IMPORT VHC Report'!$E:$E, 'IMPORT VHC Report'!$A:$C), )</f>
        <v/>
      </c>
      <c r="C5898" s="37"/>
      <c r="D5898" s="37"/>
      <c r="E5898" s="38" t="s">
        <v>7012</v>
      </c>
      <c r="F5898" s="38" t="s">
        <v>6995</v>
      </c>
      <c r="G5898" s="39"/>
      <c r="H5898" s="38" t="s">
        <v>6996</v>
      </c>
      <c r="I5898" s="38" t="s">
        <v>6997</v>
      </c>
      <c r="J5898" s="38" t="s">
        <v>132</v>
      </c>
      <c r="K5898" s="38" t="s">
        <v>126</v>
      </c>
      <c r="L5898" s="41">
        <v>46009.583333333336</v>
      </c>
      <c r="M5898" s="38" t="s">
        <v>123</v>
      </c>
      <c r="N5898" s="41">
        <v>46009.625</v>
      </c>
      <c r="O5898" s="38" t="s">
        <v>123</v>
      </c>
      <c r="P5898" s="38">
        <v>3600.0</v>
      </c>
      <c r="Q5898" s="39"/>
      <c r="R5898" s="39"/>
      <c r="S5898" s="39"/>
      <c r="T5898" s="39"/>
      <c r="U5898" s="39"/>
    </row>
    <row r="5899">
      <c r="A5899" s="40">
        <f t="shared" si="1"/>
        <v>46006</v>
      </c>
      <c r="B5899" s="37" t="str">
        <f t="array" ref="B5899">iferror(xlookup($I5899, 'IMPORT VHC Report'!$E:$E, 'IMPORT VHC Report'!$A:$C), )</f>
        <v/>
      </c>
      <c r="C5899" s="37"/>
      <c r="D5899" s="37"/>
      <c r="E5899" s="38" t="s">
        <v>7013</v>
      </c>
      <c r="F5899" s="38" t="s">
        <v>6995</v>
      </c>
      <c r="G5899" s="39"/>
      <c r="H5899" s="38" t="s">
        <v>6996</v>
      </c>
      <c r="I5899" s="38" t="s">
        <v>6997</v>
      </c>
      <c r="J5899" s="38" t="s">
        <v>134</v>
      </c>
      <c r="K5899" s="38" t="s">
        <v>126</v>
      </c>
      <c r="L5899" s="41">
        <v>46009.760416666664</v>
      </c>
      <c r="M5899" s="38" t="s">
        <v>123</v>
      </c>
      <c r="N5899" s="41">
        <v>46009.78125</v>
      </c>
      <c r="O5899" s="38" t="s">
        <v>123</v>
      </c>
      <c r="P5899" s="38">
        <v>1800.0</v>
      </c>
      <c r="Q5899" s="39"/>
      <c r="R5899" s="39"/>
      <c r="S5899" s="39"/>
      <c r="T5899" s="39"/>
      <c r="U5899" s="39"/>
    </row>
    <row r="5900">
      <c r="A5900" s="40">
        <f t="shared" si="1"/>
        <v>46006</v>
      </c>
      <c r="B5900" s="37" t="str">
        <f t="array" ref="B5900">iferror(xlookup($I5900, 'IMPORT VHC Report'!$E:$E, 'IMPORT VHC Report'!$A:$C), )</f>
        <v/>
      </c>
      <c r="C5900" s="37"/>
      <c r="D5900" s="37"/>
      <c r="E5900" s="38" t="s">
        <v>7014</v>
      </c>
      <c r="F5900" s="38" t="s">
        <v>6995</v>
      </c>
      <c r="G5900" s="39"/>
      <c r="H5900" s="38" t="s">
        <v>6996</v>
      </c>
      <c r="I5900" s="38" t="s">
        <v>6997</v>
      </c>
      <c r="J5900" s="38" t="s">
        <v>4</v>
      </c>
      <c r="K5900" s="38" t="s">
        <v>126</v>
      </c>
      <c r="L5900" s="41">
        <v>46009.833333333336</v>
      </c>
      <c r="M5900" s="38" t="s">
        <v>123</v>
      </c>
      <c r="N5900" s="41">
        <v>46009.875</v>
      </c>
      <c r="O5900" s="38" t="s">
        <v>123</v>
      </c>
      <c r="P5900" s="38">
        <v>3600.0</v>
      </c>
      <c r="Q5900" s="39"/>
      <c r="R5900" s="39"/>
      <c r="S5900" s="38" t="s">
        <v>7015</v>
      </c>
      <c r="T5900" s="39"/>
      <c r="U5900" s="39"/>
    </row>
    <row r="5901">
      <c r="A5901" s="40">
        <f t="shared" si="1"/>
        <v>46006</v>
      </c>
      <c r="B5901" s="37" t="str">
        <f t="array" ref="B5901">iferror(xlookup($I5901, 'IMPORT VHC Report'!$E:$E, 'IMPORT VHC Report'!$A:$C), )</f>
        <v/>
      </c>
      <c r="C5901" s="37"/>
      <c r="D5901" s="37"/>
      <c r="E5901" s="38" t="s">
        <v>7016</v>
      </c>
      <c r="F5901" s="38" t="s">
        <v>6995</v>
      </c>
      <c r="G5901" s="39"/>
      <c r="H5901" s="38" t="s">
        <v>6996</v>
      </c>
      <c r="I5901" s="38" t="s">
        <v>6997</v>
      </c>
      <c r="J5901" s="38" t="s">
        <v>125</v>
      </c>
      <c r="K5901" s="38" t="s">
        <v>126</v>
      </c>
      <c r="L5901" s="41">
        <v>46010.5</v>
      </c>
      <c r="M5901" s="38" t="s">
        <v>123</v>
      </c>
      <c r="N5901" s="41">
        <v>46010.510416666664</v>
      </c>
      <c r="O5901" s="38" t="s">
        <v>123</v>
      </c>
      <c r="P5901" s="38">
        <v>900.0</v>
      </c>
      <c r="Q5901" s="39"/>
      <c r="R5901" s="39"/>
      <c r="S5901" s="38" t="s">
        <v>199</v>
      </c>
      <c r="T5901" s="39"/>
      <c r="U5901" s="39"/>
    </row>
    <row r="5902">
      <c r="A5902" s="40">
        <f t="shared" si="1"/>
        <v>46006</v>
      </c>
      <c r="B5902" s="37" t="str">
        <f t="array" ref="B5902">iferror(xlookup($I5902, 'IMPORT VHC Report'!$E:$E, 'IMPORT VHC Report'!$A:$C), )</f>
        <v/>
      </c>
      <c r="C5902" s="37"/>
      <c r="D5902" s="37"/>
      <c r="E5902" s="38" t="s">
        <v>7017</v>
      </c>
      <c r="F5902" s="38" t="s">
        <v>6995</v>
      </c>
      <c r="G5902" s="39"/>
      <c r="H5902" s="38" t="s">
        <v>6996</v>
      </c>
      <c r="I5902" s="38" t="s">
        <v>6997</v>
      </c>
      <c r="J5902" s="38" t="s">
        <v>196</v>
      </c>
      <c r="K5902" s="38" t="s">
        <v>63</v>
      </c>
      <c r="L5902" s="41">
        <v>46010.5</v>
      </c>
      <c r="M5902" s="38" t="s">
        <v>123</v>
      </c>
      <c r="N5902" s="41">
        <v>46010.875</v>
      </c>
      <c r="O5902" s="38" t="s">
        <v>123</v>
      </c>
      <c r="P5902" s="38">
        <v>32400.0</v>
      </c>
      <c r="Q5902" s="39"/>
      <c r="R5902" s="39"/>
      <c r="S5902" s="39"/>
      <c r="T5902" s="39"/>
      <c r="U5902" s="39"/>
    </row>
    <row r="5903">
      <c r="A5903" s="40">
        <f t="shared" si="1"/>
        <v>46006</v>
      </c>
      <c r="B5903" s="37" t="str">
        <f t="array" ref="B5903">iferror(xlookup($I5903, 'IMPORT VHC Report'!$E:$E, 'IMPORT VHC Report'!$A:$C), )</f>
        <v/>
      </c>
      <c r="C5903" s="37"/>
      <c r="D5903" s="37"/>
      <c r="E5903" s="38" t="s">
        <v>7018</v>
      </c>
      <c r="F5903" s="38" t="s">
        <v>6995</v>
      </c>
      <c r="G5903" s="39"/>
      <c r="H5903" s="38" t="s">
        <v>6996</v>
      </c>
      <c r="I5903" s="38" t="s">
        <v>6997</v>
      </c>
      <c r="J5903" s="38" t="s">
        <v>132</v>
      </c>
      <c r="K5903" s="38" t="s">
        <v>126</v>
      </c>
      <c r="L5903" s="41">
        <v>46010.604166666664</v>
      </c>
      <c r="M5903" s="38" t="s">
        <v>123</v>
      </c>
      <c r="N5903" s="41">
        <v>46010.645833333336</v>
      </c>
      <c r="O5903" s="38" t="s">
        <v>123</v>
      </c>
      <c r="P5903" s="38">
        <v>3600.0</v>
      </c>
      <c r="Q5903" s="39"/>
      <c r="R5903" s="39"/>
      <c r="S5903" s="39"/>
      <c r="T5903" s="39"/>
      <c r="U5903" s="39"/>
    </row>
    <row r="5904">
      <c r="A5904" s="40">
        <f t="shared" si="1"/>
        <v>46006</v>
      </c>
      <c r="B5904" s="37" t="str">
        <f t="array" ref="B5904">iferror(xlookup($I5904, 'IMPORT VHC Report'!$E:$E, 'IMPORT VHC Report'!$A:$C), )</f>
        <v/>
      </c>
      <c r="C5904" s="37"/>
      <c r="D5904" s="37"/>
      <c r="E5904" s="38" t="s">
        <v>7019</v>
      </c>
      <c r="F5904" s="38" t="s">
        <v>6995</v>
      </c>
      <c r="G5904" s="39"/>
      <c r="H5904" s="38" t="s">
        <v>6996</v>
      </c>
      <c r="I5904" s="38" t="s">
        <v>6997</v>
      </c>
      <c r="J5904" s="38" t="s">
        <v>134</v>
      </c>
      <c r="K5904" s="38" t="s">
        <v>126</v>
      </c>
      <c r="L5904" s="41">
        <v>46010.760416666664</v>
      </c>
      <c r="M5904" s="38" t="s">
        <v>123</v>
      </c>
      <c r="N5904" s="41">
        <v>46010.78125</v>
      </c>
      <c r="O5904" s="38" t="s">
        <v>123</v>
      </c>
      <c r="P5904" s="38">
        <v>1800.0</v>
      </c>
      <c r="Q5904" s="39"/>
      <c r="R5904" s="39"/>
      <c r="S5904" s="39"/>
      <c r="T5904" s="39"/>
      <c r="U5904" s="39"/>
    </row>
    <row r="5905">
      <c r="A5905" s="40">
        <f t="shared" si="1"/>
        <v>46006</v>
      </c>
      <c r="B5905" s="37" t="str">
        <f t="array" ref="B5905">iferror(xlookup($I5905, 'IMPORT VHC Report'!$E:$E, 'IMPORT VHC Report'!$A:$C), )</f>
        <v/>
      </c>
      <c r="C5905" s="37"/>
      <c r="D5905" s="37"/>
      <c r="E5905" s="38" t="s">
        <v>7020</v>
      </c>
      <c r="F5905" s="38" t="s">
        <v>6995</v>
      </c>
      <c r="G5905" s="39"/>
      <c r="H5905" s="38" t="s">
        <v>6996</v>
      </c>
      <c r="I5905" s="38" t="s">
        <v>6997</v>
      </c>
      <c r="J5905" s="38" t="s">
        <v>125</v>
      </c>
      <c r="K5905" s="38" t="s">
        <v>126</v>
      </c>
      <c r="L5905" s="41">
        <v>46011.5</v>
      </c>
      <c r="M5905" s="38" t="s">
        <v>123</v>
      </c>
      <c r="N5905" s="41">
        <v>46011.510416666664</v>
      </c>
      <c r="O5905" s="38" t="s">
        <v>123</v>
      </c>
      <c r="P5905" s="38">
        <v>900.0</v>
      </c>
      <c r="Q5905" s="39"/>
      <c r="R5905" s="39"/>
      <c r="S5905" s="38" t="s">
        <v>199</v>
      </c>
      <c r="T5905" s="39"/>
      <c r="U5905" s="39"/>
    </row>
    <row r="5906">
      <c r="A5906" s="40">
        <f t="shared" si="1"/>
        <v>46006</v>
      </c>
      <c r="B5906" s="37" t="str">
        <f t="array" ref="B5906">iferror(xlookup($I5906, 'IMPORT VHC Report'!$E:$E, 'IMPORT VHC Report'!$A:$C), )</f>
        <v/>
      </c>
      <c r="C5906" s="37"/>
      <c r="D5906" s="37"/>
      <c r="E5906" s="38" t="s">
        <v>7021</v>
      </c>
      <c r="F5906" s="38" t="s">
        <v>6995</v>
      </c>
      <c r="G5906" s="39"/>
      <c r="H5906" s="38" t="s">
        <v>6996</v>
      </c>
      <c r="I5906" s="38" t="s">
        <v>6997</v>
      </c>
      <c r="J5906" s="38" t="s">
        <v>196</v>
      </c>
      <c r="K5906" s="38" t="s">
        <v>63</v>
      </c>
      <c r="L5906" s="41">
        <v>46011.5</v>
      </c>
      <c r="M5906" s="38" t="s">
        <v>123</v>
      </c>
      <c r="N5906" s="41">
        <v>46011.875</v>
      </c>
      <c r="O5906" s="38" t="s">
        <v>123</v>
      </c>
      <c r="P5906" s="38">
        <v>32400.0</v>
      </c>
      <c r="Q5906" s="39"/>
      <c r="R5906" s="39"/>
      <c r="S5906" s="39"/>
      <c r="T5906" s="39"/>
      <c r="U5906" s="39"/>
    </row>
    <row r="5907">
      <c r="A5907" s="40">
        <f t="shared" si="1"/>
        <v>46006</v>
      </c>
      <c r="B5907" s="37" t="str">
        <f t="array" ref="B5907">iferror(xlookup($I5907, 'IMPORT VHC Report'!$E:$E, 'IMPORT VHC Report'!$A:$C), )</f>
        <v/>
      </c>
      <c r="C5907" s="37"/>
      <c r="D5907" s="37"/>
      <c r="E5907" s="38" t="s">
        <v>7022</v>
      </c>
      <c r="F5907" s="38" t="s">
        <v>6995</v>
      </c>
      <c r="G5907" s="39"/>
      <c r="H5907" s="38" t="s">
        <v>6996</v>
      </c>
      <c r="I5907" s="38" t="s">
        <v>6997</v>
      </c>
      <c r="J5907" s="38" t="s">
        <v>132</v>
      </c>
      <c r="K5907" s="38" t="s">
        <v>126</v>
      </c>
      <c r="L5907" s="41">
        <v>46011.625</v>
      </c>
      <c r="M5907" s="38" t="s">
        <v>123</v>
      </c>
      <c r="N5907" s="41">
        <v>46011.666666666664</v>
      </c>
      <c r="O5907" s="38" t="s">
        <v>123</v>
      </c>
      <c r="P5907" s="38">
        <v>3600.0</v>
      </c>
      <c r="Q5907" s="39"/>
      <c r="R5907" s="39"/>
      <c r="S5907" s="39"/>
      <c r="T5907" s="39"/>
      <c r="U5907" s="39"/>
    </row>
    <row r="5908">
      <c r="A5908" s="40">
        <f t="shared" si="1"/>
        <v>46006</v>
      </c>
      <c r="B5908" s="37" t="str">
        <f t="array" ref="B5908">iferror(xlookup($I5908, 'IMPORT VHC Report'!$E:$E, 'IMPORT VHC Report'!$A:$C), )</f>
        <v/>
      </c>
      <c r="C5908" s="37"/>
      <c r="D5908" s="37"/>
      <c r="E5908" s="38" t="s">
        <v>7023</v>
      </c>
      <c r="F5908" s="38" t="s">
        <v>6995</v>
      </c>
      <c r="G5908" s="39"/>
      <c r="H5908" s="38" t="s">
        <v>6996</v>
      </c>
      <c r="I5908" s="38" t="s">
        <v>6997</v>
      </c>
      <c r="J5908" s="38" t="s">
        <v>125</v>
      </c>
      <c r="K5908" s="38" t="s">
        <v>126</v>
      </c>
      <c r="L5908" s="41">
        <v>46011.666666666664</v>
      </c>
      <c r="M5908" s="38" t="s">
        <v>123</v>
      </c>
      <c r="N5908" s="41">
        <v>46011.708333333336</v>
      </c>
      <c r="O5908" s="38" t="s">
        <v>123</v>
      </c>
      <c r="P5908" s="38">
        <v>3600.0</v>
      </c>
      <c r="Q5908" s="39"/>
      <c r="R5908" s="39"/>
      <c r="S5908" s="38" t="s">
        <v>7024</v>
      </c>
      <c r="T5908" s="39"/>
      <c r="U5908" s="39"/>
    </row>
    <row r="5909">
      <c r="A5909" s="40">
        <f t="shared" si="1"/>
        <v>46006</v>
      </c>
      <c r="B5909" s="37" t="str">
        <f t="array" ref="B5909">iferror(xlookup($I5909, 'IMPORT VHC Report'!$E:$E, 'IMPORT VHC Report'!$A:$C), )</f>
        <v/>
      </c>
      <c r="C5909" s="37"/>
      <c r="D5909" s="37"/>
      <c r="E5909" s="38" t="s">
        <v>7025</v>
      </c>
      <c r="F5909" s="38" t="s">
        <v>6995</v>
      </c>
      <c r="G5909" s="39"/>
      <c r="H5909" s="38" t="s">
        <v>6996</v>
      </c>
      <c r="I5909" s="38" t="s">
        <v>6997</v>
      </c>
      <c r="J5909" s="38" t="s">
        <v>134</v>
      </c>
      <c r="K5909" s="38" t="s">
        <v>126</v>
      </c>
      <c r="L5909" s="41">
        <v>46011.791666666664</v>
      </c>
      <c r="M5909" s="38" t="s">
        <v>123</v>
      </c>
      <c r="N5909" s="41">
        <v>46011.8125</v>
      </c>
      <c r="O5909" s="38" t="s">
        <v>123</v>
      </c>
      <c r="P5909" s="38">
        <v>1800.0</v>
      </c>
      <c r="Q5909" s="39"/>
      <c r="R5909" s="39"/>
      <c r="S5909" s="39"/>
      <c r="T5909" s="39"/>
      <c r="U5909" s="39"/>
    </row>
    <row r="5910">
      <c r="A5910" s="40">
        <f t="shared" si="1"/>
        <v>46006</v>
      </c>
      <c r="B5910" s="37" t="str">
        <f t="array" ref="B5910">iferror(xlookup($I5910, 'IMPORT VHC Report'!$E:$E, 'IMPORT VHC Report'!$A:$C), )</f>
        <v/>
      </c>
      <c r="C5910" s="37"/>
      <c r="D5910" s="37"/>
      <c r="E5910" s="38" t="s">
        <v>7026</v>
      </c>
      <c r="F5910" s="38" t="s">
        <v>6995</v>
      </c>
      <c r="G5910" s="39"/>
      <c r="H5910" s="38" t="s">
        <v>6996</v>
      </c>
      <c r="I5910" s="38" t="s">
        <v>6997</v>
      </c>
      <c r="J5910" s="38" t="s">
        <v>125</v>
      </c>
      <c r="K5910" s="38" t="s">
        <v>126</v>
      </c>
      <c r="L5910" s="41">
        <v>46011.833333333336</v>
      </c>
      <c r="M5910" s="38" t="s">
        <v>123</v>
      </c>
      <c r="N5910" s="41">
        <v>46011.875</v>
      </c>
      <c r="O5910" s="38" t="s">
        <v>123</v>
      </c>
      <c r="P5910" s="38">
        <v>3600.0</v>
      </c>
      <c r="Q5910" s="39"/>
      <c r="R5910" s="39"/>
      <c r="S5910" s="38" t="s">
        <v>7027</v>
      </c>
      <c r="T5910" s="39"/>
      <c r="U5910" s="39"/>
    </row>
    <row r="5911">
      <c r="A5911" s="40">
        <f t="shared" si="1"/>
        <v>46006</v>
      </c>
      <c r="B5911" s="37" t="str">
        <f t="array" ref="B5911">iferror(xlookup($I5911, 'IMPORT VHC Report'!$E:$E, 'IMPORT VHC Report'!$A:$C), )</f>
        <v/>
      </c>
      <c r="C5911" s="37"/>
      <c r="D5911" s="37"/>
      <c r="E5911" s="38" t="s">
        <v>7028</v>
      </c>
      <c r="F5911" s="38" t="s">
        <v>7029</v>
      </c>
      <c r="G5911" s="38">
        <v>3.61726424916E11</v>
      </c>
      <c r="H5911" s="38" t="s">
        <v>7030</v>
      </c>
      <c r="I5911" s="38" t="s">
        <v>7031</v>
      </c>
      <c r="J5911" s="38" t="s">
        <v>5996</v>
      </c>
      <c r="K5911" s="38" t="s">
        <v>63</v>
      </c>
      <c r="L5911" s="41">
        <v>46007.5</v>
      </c>
      <c r="M5911" s="38" t="s">
        <v>123</v>
      </c>
      <c r="N5911" s="41">
        <v>46007.875</v>
      </c>
      <c r="O5911" s="38" t="s">
        <v>123</v>
      </c>
      <c r="P5911" s="38">
        <v>32400.0</v>
      </c>
      <c r="Q5911" s="39"/>
      <c r="R5911" s="39"/>
      <c r="S5911" s="39"/>
      <c r="T5911" s="39"/>
      <c r="U5911" s="39"/>
    </row>
    <row r="5912">
      <c r="A5912" s="40">
        <f t="shared" si="1"/>
        <v>46006</v>
      </c>
      <c r="B5912" s="37" t="str">
        <f t="array" ref="B5912">iferror(xlookup($I5912, 'IMPORT VHC Report'!$E:$E, 'IMPORT VHC Report'!$A:$C), )</f>
        <v/>
      </c>
      <c r="C5912" s="37"/>
      <c r="D5912" s="37"/>
      <c r="E5912" s="38" t="s">
        <v>7032</v>
      </c>
      <c r="F5912" s="38" t="s">
        <v>7029</v>
      </c>
      <c r="G5912" s="38">
        <v>3.61726424916E11</v>
      </c>
      <c r="H5912" s="38" t="s">
        <v>7030</v>
      </c>
      <c r="I5912" s="38" t="s">
        <v>7031</v>
      </c>
      <c r="J5912" s="38" t="s">
        <v>134</v>
      </c>
      <c r="K5912" s="38" t="s">
        <v>126</v>
      </c>
      <c r="L5912" s="41">
        <v>46007.59375</v>
      </c>
      <c r="M5912" s="38" t="s">
        <v>123</v>
      </c>
      <c r="N5912" s="41">
        <v>46007.604166666664</v>
      </c>
      <c r="O5912" s="38" t="s">
        <v>123</v>
      </c>
      <c r="P5912" s="38">
        <v>900.0</v>
      </c>
      <c r="Q5912" s="39"/>
      <c r="R5912" s="39"/>
      <c r="S5912" s="39"/>
      <c r="T5912" s="39"/>
      <c r="U5912" s="39"/>
    </row>
    <row r="5913">
      <c r="A5913" s="40">
        <f t="shared" si="1"/>
        <v>46006</v>
      </c>
      <c r="B5913" s="37" t="str">
        <f t="array" ref="B5913">iferror(xlookup($I5913, 'IMPORT VHC Report'!$E:$E, 'IMPORT VHC Report'!$A:$C), )</f>
        <v/>
      </c>
      <c r="C5913" s="37"/>
      <c r="D5913" s="37"/>
      <c r="E5913" s="38" t="s">
        <v>7033</v>
      </c>
      <c r="F5913" s="38" t="s">
        <v>7029</v>
      </c>
      <c r="G5913" s="38">
        <v>3.61726424916E11</v>
      </c>
      <c r="H5913" s="38" t="s">
        <v>7030</v>
      </c>
      <c r="I5913" s="38" t="s">
        <v>7031</v>
      </c>
      <c r="J5913" s="38" t="s">
        <v>132</v>
      </c>
      <c r="K5913" s="38" t="s">
        <v>126</v>
      </c>
      <c r="L5913" s="41">
        <v>46007.666666666664</v>
      </c>
      <c r="M5913" s="38" t="s">
        <v>123</v>
      </c>
      <c r="N5913" s="41">
        <v>46007.708333333336</v>
      </c>
      <c r="O5913" s="38" t="s">
        <v>123</v>
      </c>
      <c r="P5913" s="38">
        <v>3600.0</v>
      </c>
      <c r="Q5913" s="39"/>
      <c r="R5913" s="39"/>
      <c r="S5913" s="39"/>
      <c r="T5913" s="39"/>
      <c r="U5913" s="39"/>
    </row>
    <row r="5914">
      <c r="A5914" s="40">
        <f t="shared" si="1"/>
        <v>46006</v>
      </c>
      <c r="B5914" s="37" t="str">
        <f t="array" ref="B5914">iferror(xlookup($I5914, 'IMPORT VHC Report'!$E:$E, 'IMPORT VHC Report'!$A:$C), )</f>
        <v/>
      </c>
      <c r="C5914" s="37"/>
      <c r="D5914" s="37"/>
      <c r="E5914" s="38" t="s">
        <v>7034</v>
      </c>
      <c r="F5914" s="38" t="s">
        <v>7029</v>
      </c>
      <c r="G5914" s="38">
        <v>3.61726424916E11</v>
      </c>
      <c r="H5914" s="38" t="s">
        <v>7030</v>
      </c>
      <c r="I5914" s="38" t="s">
        <v>7031</v>
      </c>
      <c r="J5914" s="38" t="s">
        <v>134</v>
      </c>
      <c r="K5914" s="38" t="s">
        <v>126</v>
      </c>
      <c r="L5914" s="41">
        <v>46007.802083333336</v>
      </c>
      <c r="M5914" s="38" t="s">
        <v>123</v>
      </c>
      <c r="N5914" s="41">
        <v>46007.8125</v>
      </c>
      <c r="O5914" s="38" t="s">
        <v>123</v>
      </c>
      <c r="P5914" s="38">
        <v>900.0</v>
      </c>
      <c r="Q5914" s="39"/>
      <c r="R5914" s="39"/>
      <c r="S5914" s="39"/>
      <c r="T5914" s="39"/>
      <c r="U5914" s="39"/>
    </row>
    <row r="5915">
      <c r="A5915" s="40">
        <f t="shared" si="1"/>
        <v>46006</v>
      </c>
      <c r="B5915" s="37" t="str">
        <f t="array" ref="B5915">iferror(xlookup($I5915, 'IMPORT VHC Report'!$E:$E, 'IMPORT VHC Report'!$A:$C), )</f>
        <v/>
      </c>
      <c r="C5915" s="37"/>
      <c r="D5915" s="37"/>
      <c r="E5915" s="38" t="s">
        <v>7035</v>
      </c>
      <c r="F5915" s="38" t="s">
        <v>7029</v>
      </c>
      <c r="G5915" s="38">
        <v>3.61726424916E11</v>
      </c>
      <c r="H5915" s="38" t="s">
        <v>7030</v>
      </c>
      <c r="I5915" s="38" t="s">
        <v>7031</v>
      </c>
      <c r="J5915" s="38" t="s">
        <v>5996</v>
      </c>
      <c r="K5915" s="38" t="s">
        <v>63</v>
      </c>
      <c r="L5915" s="41">
        <v>46008.5</v>
      </c>
      <c r="M5915" s="38" t="s">
        <v>123</v>
      </c>
      <c r="N5915" s="41">
        <v>46008.875</v>
      </c>
      <c r="O5915" s="38" t="s">
        <v>123</v>
      </c>
      <c r="P5915" s="38">
        <v>32400.0</v>
      </c>
      <c r="Q5915" s="39"/>
      <c r="R5915" s="39"/>
      <c r="S5915" s="39"/>
      <c r="T5915" s="39"/>
      <c r="U5915" s="39"/>
    </row>
    <row r="5916">
      <c r="A5916" s="40">
        <f t="shared" si="1"/>
        <v>46006</v>
      </c>
      <c r="B5916" s="37" t="str">
        <f t="array" ref="B5916">iferror(xlookup($I5916, 'IMPORT VHC Report'!$E:$E, 'IMPORT VHC Report'!$A:$C), )</f>
        <v/>
      </c>
      <c r="C5916" s="37"/>
      <c r="D5916" s="37"/>
      <c r="E5916" s="38" t="s">
        <v>7036</v>
      </c>
      <c r="F5916" s="38" t="s">
        <v>7029</v>
      </c>
      <c r="G5916" s="38">
        <v>3.61726424916E11</v>
      </c>
      <c r="H5916" s="38" t="s">
        <v>7030</v>
      </c>
      <c r="I5916" s="38" t="s">
        <v>7031</v>
      </c>
      <c r="J5916" s="38" t="s">
        <v>134</v>
      </c>
      <c r="K5916" s="38" t="s">
        <v>126</v>
      </c>
      <c r="L5916" s="41">
        <v>46008.614583333336</v>
      </c>
      <c r="M5916" s="38" t="s">
        <v>123</v>
      </c>
      <c r="N5916" s="41">
        <v>46008.625</v>
      </c>
      <c r="O5916" s="38" t="s">
        <v>123</v>
      </c>
      <c r="P5916" s="38">
        <v>900.0</v>
      </c>
      <c r="Q5916" s="39"/>
      <c r="R5916" s="39"/>
      <c r="S5916" s="39"/>
      <c r="T5916" s="39"/>
      <c r="U5916" s="39"/>
    </row>
    <row r="5917">
      <c r="A5917" s="40">
        <f t="shared" si="1"/>
        <v>46006</v>
      </c>
      <c r="B5917" s="37" t="str">
        <f t="array" ref="B5917">iferror(xlookup($I5917, 'IMPORT VHC Report'!$E:$E, 'IMPORT VHC Report'!$A:$C), )</f>
        <v/>
      </c>
      <c r="C5917" s="37"/>
      <c r="D5917" s="37"/>
      <c r="E5917" s="38" t="s">
        <v>7037</v>
      </c>
      <c r="F5917" s="38" t="s">
        <v>7029</v>
      </c>
      <c r="G5917" s="38">
        <v>3.61726424916E11</v>
      </c>
      <c r="H5917" s="38" t="s">
        <v>7030</v>
      </c>
      <c r="I5917" s="38" t="s">
        <v>7031</v>
      </c>
      <c r="J5917" s="38" t="s">
        <v>132</v>
      </c>
      <c r="K5917" s="38" t="s">
        <v>126</v>
      </c>
      <c r="L5917" s="41">
        <v>46008.697916666664</v>
      </c>
      <c r="M5917" s="38" t="s">
        <v>123</v>
      </c>
      <c r="N5917" s="41">
        <v>46008.739583333336</v>
      </c>
      <c r="O5917" s="38" t="s">
        <v>123</v>
      </c>
      <c r="P5917" s="38">
        <v>3600.0</v>
      </c>
      <c r="Q5917" s="39"/>
      <c r="R5917" s="39"/>
      <c r="S5917" s="39"/>
      <c r="T5917" s="39"/>
      <c r="U5917" s="39"/>
    </row>
    <row r="5918">
      <c r="A5918" s="40">
        <f t="shared" si="1"/>
        <v>46006</v>
      </c>
      <c r="B5918" s="37" t="str">
        <f t="array" ref="B5918">iferror(xlookup($I5918, 'IMPORT VHC Report'!$E:$E, 'IMPORT VHC Report'!$A:$C), )</f>
        <v/>
      </c>
      <c r="C5918" s="37"/>
      <c r="D5918" s="37"/>
      <c r="E5918" s="38" t="s">
        <v>7038</v>
      </c>
      <c r="F5918" s="38" t="s">
        <v>7029</v>
      </c>
      <c r="G5918" s="38">
        <v>3.61726424916E11</v>
      </c>
      <c r="H5918" s="38" t="s">
        <v>7030</v>
      </c>
      <c r="I5918" s="38" t="s">
        <v>7031</v>
      </c>
      <c r="J5918" s="38" t="s">
        <v>134</v>
      </c>
      <c r="K5918" s="38" t="s">
        <v>126</v>
      </c>
      <c r="L5918" s="41">
        <v>46008.802083333336</v>
      </c>
      <c r="M5918" s="38" t="s">
        <v>123</v>
      </c>
      <c r="N5918" s="41">
        <v>46008.8125</v>
      </c>
      <c r="O5918" s="38" t="s">
        <v>123</v>
      </c>
      <c r="P5918" s="38">
        <v>900.0</v>
      </c>
      <c r="Q5918" s="39"/>
      <c r="R5918" s="39"/>
      <c r="S5918" s="39"/>
      <c r="T5918" s="39"/>
      <c r="U5918" s="39"/>
    </row>
    <row r="5919">
      <c r="A5919" s="40">
        <f t="shared" si="1"/>
        <v>46006</v>
      </c>
      <c r="B5919" s="37" t="str">
        <f t="array" ref="B5919">iferror(xlookup($I5919, 'IMPORT VHC Report'!$E:$E, 'IMPORT VHC Report'!$A:$C), )</f>
        <v/>
      </c>
      <c r="C5919" s="37"/>
      <c r="D5919" s="37"/>
      <c r="E5919" s="38" t="s">
        <v>7039</v>
      </c>
      <c r="F5919" s="38" t="s">
        <v>7029</v>
      </c>
      <c r="G5919" s="38">
        <v>3.61726424916E11</v>
      </c>
      <c r="H5919" s="38" t="s">
        <v>7030</v>
      </c>
      <c r="I5919" s="38" t="s">
        <v>7031</v>
      </c>
      <c r="J5919" s="38" t="s">
        <v>5996</v>
      </c>
      <c r="K5919" s="38" t="s">
        <v>63</v>
      </c>
      <c r="L5919" s="41">
        <v>46009.5</v>
      </c>
      <c r="M5919" s="38" t="s">
        <v>123</v>
      </c>
      <c r="N5919" s="41">
        <v>46009.875</v>
      </c>
      <c r="O5919" s="38" t="s">
        <v>123</v>
      </c>
      <c r="P5919" s="38">
        <v>32400.0</v>
      </c>
      <c r="Q5919" s="39"/>
      <c r="R5919" s="39"/>
      <c r="S5919" s="39"/>
      <c r="T5919" s="39"/>
      <c r="U5919" s="39"/>
    </row>
    <row r="5920">
      <c r="A5920" s="40">
        <f t="shared" si="1"/>
        <v>46006</v>
      </c>
      <c r="B5920" s="37" t="str">
        <f t="array" ref="B5920">iferror(xlookup($I5920, 'IMPORT VHC Report'!$E:$E, 'IMPORT VHC Report'!$A:$C), )</f>
        <v/>
      </c>
      <c r="C5920" s="37"/>
      <c r="D5920" s="37"/>
      <c r="E5920" s="38" t="s">
        <v>7040</v>
      </c>
      <c r="F5920" s="38" t="s">
        <v>7029</v>
      </c>
      <c r="G5920" s="38">
        <v>3.61726424916E11</v>
      </c>
      <c r="H5920" s="38" t="s">
        <v>7030</v>
      </c>
      <c r="I5920" s="38" t="s">
        <v>7031</v>
      </c>
      <c r="J5920" s="38" t="s">
        <v>134</v>
      </c>
      <c r="K5920" s="38" t="s">
        <v>126</v>
      </c>
      <c r="L5920" s="41">
        <v>46009.5625</v>
      </c>
      <c r="M5920" s="38" t="s">
        <v>123</v>
      </c>
      <c r="N5920" s="41">
        <v>46009.572916666664</v>
      </c>
      <c r="O5920" s="38" t="s">
        <v>123</v>
      </c>
      <c r="P5920" s="38">
        <v>900.0</v>
      </c>
      <c r="Q5920" s="39"/>
      <c r="R5920" s="39"/>
      <c r="S5920" s="39"/>
      <c r="T5920" s="39"/>
      <c r="U5920" s="39"/>
    </row>
    <row r="5921">
      <c r="A5921" s="40">
        <f t="shared" si="1"/>
        <v>46006</v>
      </c>
      <c r="B5921" s="37" t="str">
        <f t="array" ref="B5921">iferror(xlookup($I5921, 'IMPORT VHC Report'!$E:$E, 'IMPORT VHC Report'!$A:$C), )</f>
        <v/>
      </c>
      <c r="C5921" s="37"/>
      <c r="D5921" s="37"/>
      <c r="E5921" s="38" t="s">
        <v>7041</v>
      </c>
      <c r="F5921" s="38" t="s">
        <v>7029</v>
      </c>
      <c r="G5921" s="38">
        <v>3.61726424916E11</v>
      </c>
      <c r="H5921" s="38" t="s">
        <v>7030</v>
      </c>
      <c r="I5921" s="38" t="s">
        <v>7031</v>
      </c>
      <c r="J5921" s="38" t="s">
        <v>132</v>
      </c>
      <c r="K5921" s="38" t="s">
        <v>126</v>
      </c>
      <c r="L5921" s="41">
        <v>46009.635416666664</v>
      </c>
      <c r="M5921" s="38" t="s">
        <v>123</v>
      </c>
      <c r="N5921" s="41">
        <v>46009.677083333336</v>
      </c>
      <c r="O5921" s="38" t="s">
        <v>123</v>
      </c>
      <c r="P5921" s="38">
        <v>3600.0</v>
      </c>
      <c r="Q5921" s="39"/>
      <c r="R5921" s="39"/>
      <c r="S5921" s="39"/>
      <c r="T5921" s="39"/>
      <c r="U5921" s="39"/>
    </row>
    <row r="5922">
      <c r="A5922" s="40">
        <f t="shared" si="1"/>
        <v>46006</v>
      </c>
      <c r="B5922" s="37" t="str">
        <f t="array" ref="B5922">iferror(xlookup($I5922, 'IMPORT VHC Report'!$E:$E, 'IMPORT VHC Report'!$A:$C), )</f>
        <v/>
      </c>
      <c r="C5922" s="37"/>
      <c r="D5922" s="37"/>
      <c r="E5922" s="38" t="s">
        <v>7042</v>
      </c>
      <c r="F5922" s="38" t="s">
        <v>7029</v>
      </c>
      <c r="G5922" s="38">
        <v>3.61726424916E11</v>
      </c>
      <c r="H5922" s="38" t="s">
        <v>7030</v>
      </c>
      <c r="I5922" s="38" t="s">
        <v>7031</v>
      </c>
      <c r="J5922" s="38" t="s">
        <v>134</v>
      </c>
      <c r="K5922" s="38" t="s">
        <v>126</v>
      </c>
      <c r="L5922" s="41">
        <v>46009.78125</v>
      </c>
      <c r="M5922" s="38" t="s">
        <v>123</v>
      </c>
      <c r="N5922" s="41">
        <v>46009.791666666664</v>
      </c>
      <c r="O5922" s="38" t="s">
        <v>123</v>
      </c>
      <c r="P5922" s="38">
        <v>900.0</v>
      </c>
      <c r="Q5922" s="39"/>
      <c r="R5922" s="39"/>
      <c r="S5922" s="39"/>
      <c r="T5922" s="39"/>
      <c r="U5922" s="39"/>
    </row>
    <row r="5923">
      <c r="A5923" s="40">
        <f t="shared" si="1"/>
        <v>46006</v>
      </c>
      <c r="B5923" s="37" t="str">
        <f t="array" ref="B5923">iferror(xlookup($I5923, 'IMPORT VHC Report'!$E:$E, 'IMPORT VHC Report'!$A:$C), )</f>
        <v/>
      </c>
      <c r="C5923" s="37"/>
      <c r="D5923" s="37"/>
      <c r="E5923" s="38" t="s">
        <v>7043</v>
      </c>
      <c r="F5923" s="38" t="s">
        <v>7029</v>
      </c>
      <c r="G5923" s="38">
        <v>3.61726424916E11</v>
      </c>
      <c r="H5923" s="38" t="s">
        <v>7030</v>
      </c>
      <c r="I5923" s="38" t="s">
        <v>7031</v>
      </c>
      <c r="J5923" s="38" t="s">
        <v>5996</v>
      </c>
      <c r="K5923" s="38" t="s">
        <v>63</v>
      </c>
      <c r="L5923" s="41">
        <v>46010.5</v>
      </c>
      <c r="M5923" s="38" t="s">
        <v>123</v>
      </c>
      <c r="N5923" s="41">
        <v>46010.875</v>
      </c>
      <c r="O5923" s="38" t="s">
        <v>123</v>
      </c>
      <c r="P5923" s="38">
        <v>32400.0</v>
      </c>
      <c r="Q5923" s="39"/>
      <c r="R5923" s="39"/>
      <c r="S5923" s="39"/>
      <c r="T5923" s="39"/>
      <c r="U5923" s="39"/>
    </row>
    <row r="5924">
      <c r="A5924" s="40">
        <f t="shared" si="1"/>
        <v>46006</v>
      </c>
      <c r="B5924" s="37" t="str">
        <f t="array" ref="B5924">iferror(xlookup($I5924, 'IMPORT VHC Report'!$E:$E, 'IMPORT VHC Report'!$A:$C), )</f>
        <v/>
      </c>
      <c r="C5924" s="37"/>
      <c r="D5924" s="37"/>
      <c r="E5924" s="38" t="s">
        <v>7044</v>
      </c>
      <c r="F5924" s="38" t="s">
        <v>7029</v>
      </c>
      <c r="G5924" s="38">
        <v>3.61726424916E11</v>
      </c>
      <c r="H5924" s="38" t="s">
        <v>7030</v>
      </c>
      <c r="I5924" s="38" t="s">
        <v>7031</v>
      </c>
      <c r="J5924" s="38" t="s">
        <v>134</v>
      </c>
      <c r="K5924" s="38" t="s">
        <v>126</v>
      </c>
      <c r="L5924" s="41">
        <v>46010.604166666664</v>
      </c>
      <c r="M5924" s="38" t="s">
        <v>123</v>
      </c>
      <c r="N5924" s="41">
        <v>46010.614583333336</v>
      </c>
      <c r="O5924" s="38" t="s">
        <v>123</v>
      </c>
      <c r="P5924" s="38">
        <v>900.0</v>
      </c>
      <c r="Q5924" s="39"/>
      <c r="R5924" s="39"/>
      <c r="S5924" s="39"/>
      <c r="T5924" s="39"/>
      <c r="U5924" s="39"/>
    </row>
    <row r="5925">
      <c r="A5925" s="40">
        <f t="shared" si="1"/>
        <v>46006</v>
      </c>
      <c r="B5925" s="37" t="str">
        <f t="array" ref="B5925">iferror(xlookup($I5925, 'IMPORT VHC Report'!$E:$E, 'IMPORT VHC Report'!$A:$C), )</f>
        <v/>
      </c>
      <c r="C5925" s="37"/>
      <c r="D5925" s="37"/>
      <c r="E5925" s="38" t="s">
        <v>7045</v>
      </c>
      <c r="F5925" s="38" t="s">
        <v>7029</v>
      </c>
      <c r="G5925" s="38">
        <v>3.61726424916E11</v>
      </c>
      <c r="H5925" s="38" t="s">
        <v>7030</v>
      </c>
      <c r="I5925" s="38" t="s">
        <v>7031</v>
      </c>
      <c r="J5925" s="38" t="s">
        <v>132</v>
      </c>
      <c r="K5925" s="38" t="s">
        <v>126</v>
      </c>
      <c r="L5925" s="41">
        <v>46010.677083333336</v>
      </c>
      <c r="M5925" s="38" t="s">
        <v>123</v>
      </c>
      <c r="N5925" s="41">
        <v>46010.71875</v>
      </c>
      <c r="O5925" s="38" t="s">
        <v>123</v>
      </c>
      <c r="P5925" s="38">
        <v>3600.0</v>
      </c>
      <c r="Q5925" s="39"/>
      <c r="R5925" s="39"/>
      <c r="S5925" s="39"/>
      <c r="T5925" s="39"/>
      <c r="U5925" s="39"/>
    </row>
    <row r="5926">
      <c r="A5926" s="40">
        <f t="shared" si="1"/>
        <v>46006</v>
      </c>
      <c r="B5926" s="37" t="str">
        <f t="array" ref="B5926">iferror(xlookup($I5926, 'IMPORT VHC Report'!$E:$E, 'IMPORT VHC Report'!$A:$C), )</f>
        <v/>
      </c>
      <c r="C5926" s="37"/>
      <c r="D5926" s="37"/>
      <c r="E5926" s="38" t="s">
        <v>7046</v>
      </c>
      <c r="F5926" s="38" t="s">
        <v>7029</v>
      </c>
      <c r="G5926" s="38">
        <v>3.61726424916E11</v>
      </c>
      <c r="H5926" s="38" t="s">
        <v>7030</v>
      </c>
      <c r="I5926" s="38" t="s">
        <v>7031</v>
      </c>
      <c r="J5926" s="38" t="s">
        <v>134</v>
      </c>
      <c r="K5926" s="38" t="s">
        <v>126</v>
      </c>
      <c r="L5926" s="41">
        <v>46010.802083333336</v>
      </c>
      <c r="M5926" s="38" t="s">
        <v>123</v>
      </c>
      <c r="N5926" s="41">
        <v>46010.8125</v>
      </c>
      <c r="O5926" s="38" t="s">
        <v>123</v>
      </c>
      <c r="P5926" s="38">
        <v>900.0</v>
      </c>
      <c r="Q5926" s="39"/>
      <c r="R5926" s="39"/>
      <c r="S5926" s="39"/>
      <c r="T5926" s="39"/>
      <c r="U5926" s="39"/>
    </row>
    <row r="5927">
      <c r="A5927" s="40">
        <f t="shared" si="1"/>
        <v>46006</v>
      </c>
      <c r="B5927" s="37" t="str">
        <f t="array" ref="B5927">iferror(xlookup($I5927, 'IMPORT VHC Report'!$E:$E, 'IMPORT VHC Report'!$A:$C), )</f>
        <v/>
      </c>
      <c r="C5927" s="37"/>
      <c r="D5927" s="37"/>
      <c r="E5927" s="38" t="s">
        <v>7047</v>
      </c>
      <c r="F5927" s="38" t="s">
        <v>7029</v>
      </c>
      <c r="G5927" s="38">
        <v>3.61726424916E11</v>
      </c>
      <c r="H5927" s="38" t="s">
        <v>7030</v>
      </c>
      <c r="I5927" s="38" t="s">
        <v>7031</v>
      </c>
      <c r="J5927" s="38" t="s">
        <v>5996</v>
      </c>
      <c r="K5927" s="38" t="s">
        <v>63</v>
      </c>
      <c r="L5927" s="41">
        <v>46011.5</v>
      </c>
      <c r="M5927" s="38" t="s">
        <v>123</v>
      </c>
      <c r="N5927" s="41">
        <v>46011.875</v>
      </c>
      <c r="O5927" s="38" t="s">
        <v>123</v>
      </c>
      <c r="P5927" s="38">
        <v>32400.0</v>
      </c>
      <c r="Q5927" s="39"/>
      <c r="R5927" s="39"/>
      <c r="S5927" s="39"/>
      <c r="T5927" s="39"/>
      <c r="U5927" s="39"/>
    </row>
    <row r="5928">
      <c r="A5928" s="40">
        <f t="shared" si="1"/>
        <v>46006</v>
      </c>
      <c r="B5928" s="37" t="str">
        <f t="array" ref="B5928">iferror(xlookup($I5928, 'IMPORT VHC Report'!$E:$E, 'IMPORT VHC Report'!$A:$C), )</f>
        <v/>
      </c>
      <c r="C5928" s="37"/>
      <c r="D5928" s="37"/>
      <c r="E5928" s="38" t="s">
        <v>7048</v>
      </c>
      <c r="F5928" s="38" t="s">
        <v>7029</v>
      </c>
      <c r="G5928" s="38">
        <v>3.61726424916E11</v>
      </c>
      <c r="H5928" s="38" t="s">
        <v>7030</v>
      </c>
      <c r="I5928" s="38" t="s">
        <v>7031</v>
      </c>
      <c r="J5928" s="38" t="s">
        <v>134</v>
      </c>
      <c r="K5928" s="38" t="s">
        <v>126</v>
      </c>
      <c r="L5928" s="41">
        <v>46011.59375</v>
      </c>
      <c r="M5928" s="38" t="s">
        <v>123</v>
      </c>
      <c r="N5928" s="41">
        <v>46011.604166666664</v>
      </c>
      <c r="O5928" s="38" t="s">
        <v>123</v>
      </c>
      <c r="P5928" s="38">
        <v>900.0</v>
      </c>
      <c r="Q5928" s="39"/>
      <c r="R5928" s="39"/>
      <c r="S5928" s="39"/>
      <c r="T5928" s="39"/>
      <c r="U5928" s="39"/>
    </row>
    <row r="5929">
      <c r="A5929" s="40">
        <f t="shared" si="1"/>
        <v>46006</v>
      </c>
      <c r="B5929" s="37" t="str">
        <f t="array" ref="B5929">iferror(xlookup($I5929, 'IMPORT VHC Report'!$E:$E, 'IMPORT VHC Report'!$A:$C), )</f>
        <v/>
      </c>
      <c r="C5929" s="37"/>
      <c r="D5929" s="37"/>
      <c r="E5929" s="38" t="s">
        <v>7049</v>
      </c>
      <c r="F5929" s="38" t="s">
        <v>7029</v>
      </c>
      <c r="G5929" s="38">
        <v>3.61726424916E11</v>
      </c>
      <c r="H5929" s="38" t="s">
        <v>7030</v>
      </c>
      <c r="I5929" s="38" t="s">
        <v>7031</v>
      </c>
      <c r="J5929" s="38" t="s">
        <v>132</v>
      </c>
      <c r="K5929" s="38" t="s">
        <v>126</v>
      </c>
      <c r="L5929" s="41">
        <v>46011.677083333336</v>
      </c>
      <c r="M5929" s="38" t="s">
        <v>123</v>
      </c>
      <c r="N5929" s="41">
        <v>46011.71875</v>
      </c>
      <c r="O5929" s="38" t="s">
        <v>123</v>
      </c>
      <c r="P5929" s="38">
        <v>3600.0</v>
      </c>
      <c r="Q5929" s="39"/>
      <c r="R5929" s="39"/>
      <c r="S5929" s="39"/>
      <c r="T5929" s="39"/>
      <c r="U5929" s="39"/>
    </row>
    <row r="5930">
      <c r="A5930" s="40">
        <f t="shared" si="1"/>
        <v>46006</v>
      </c>
      <c r="B5930" s="37" t="str">
        <f t="array" ref="B5930">iferror(xlookup($I5930, 'IMPORT VHC Report'!$E:$E, 'IMPORT VHC Report'!$A:$C), )</f>
        <v/>
      </c>
      <c r="C5930" s="37"/>
      <c r="D5930" s="37"/>
      <c r="E5930" s="38" t="s">
        <v>7050</v>
      </c>
      <c r="F5930" s="38" t="s">
        <v>7029</v>
      </c>
      <c r="G5930" s="38">
        <v>3.61726424916E11</v>
      </c>
      <c r="H5930" s="38" t="s">
        <v>7030</v>
      </c>
      <c r="I5930" s="38" t="s">
        <v>7031</v>
      </c>
      <c r="J5930" s="38" t="s">
        <v>134</v>
      </c>
      <c r="K5930" s="38" t="s">
        <v>126</v>
      </c>
      <c r="L5930" s="41">
        <v>46011.791666666664</v>
      </c>
      <c r="M5930" s="38" t="s">
        <v>123</v>
      </c>
      <c r="N5930" s="41">
        <v>46011.802083333336</v>
      </c>
      <c r="O5930" s="38" t="s">
        <v>123</v>
      </c>
      <c r="P5930" s="38">
        <v>900.0</v>
      </c>
      <c r="Q5930" s="39"/>
      <c r="R5930" s="39"/>
      <c r="S5930" s="39"/>
      <c r="T5930" s="39"/>
      <c r="U5930" s="39"/>
    </row>
    <row r="5931">
      <c r="A5931" s="40">
        <f t="shared" si="1"/>
        <v>46006</v>
      </c>
      <c r="B5931" s="37" t="str">
        <f t="array" ref="B5931">iferror(xlookup($I5931, 'IMPORT VHC Report'!$E:$E, 'IMPORT VHC Report'!$A:$C), )</f>
        <v/>
      </c>
      <c r="C5931" s="37"/>
      <c r="D5931" s="37"/>
      <c r="E5931" s="38" t="s">
        <v>7051</v>
      </c>
      <c r="F5931" s="38" t="s">
        <v>7052</v>
      </c>
      <c r="G5931" s="38">
        <v>5.901973624079E12</v>
      </c>
      <c r="H5931" s="38" t="s">
        <v>7053</v>
      </c>
      <c r="I5931" s="38" t="s">
        <v>7054</v>
      </c>
      <c r="J5931" s="38" t="s">
        <v>4</v>
      </c>
      <c r="K5931" s="38" t="s">
        <v>126</v>
      </c>
      <c r="L5931" s="41">
        <v>46007.541666666664</v>
      </c>
      <c r="M5931" s="38" t="s">
        <v>123</v>
      </c>
      <c r="N5931" s="41">
        <v>46007.5625</v>
      </c>
      <c r="O5931" s="38" t="s">
        <v>123</v>
      </c>
      <c r="P5931" s="38">
        <v>1800.0</v>
      </c>
      <c r="Q5931" s="39"/>
      <c r="R5931" s="39"/>
      <c r="S5931" s="39"/>
      <c r="T5931" s="39"/>
      <c r="U5931" s="39"/>
    </row>
    <row r="5932">
      <c r="A5932" s="40">
        <f t="shared" si="1"/>
        <v>46006</v>
      </c>
      <c r="B5932" s="37" t="str">
        <f t="array" ref="B5932">iferror(xlookup($I5932, 'IMPORT VHC Report'!$E:$E, 'IMPORT VHC Report'!$A:$C), )</f>
        <v/>
      </c>
      <c r="C5932" s="37"/>
      <c r="D5932" s="37"/>
      <c r="E5932" s="38" t="s">
        <v>7055</v>
      </c>
      <c r="F5932" s="38" t="s">
        <v>7052</v>
      </c>
      <c r="G5932" s="38">
        <v>5.901973624079E12</v>
      </c>
      <c r="H5932" s="38" t="s">
        <v>7053</v>
      </c>
      <c r="I5932" s="38" t="s">
        <v>7054</v>
      </c>
      <c r="J5932" s="38" t="s">
        <v>530</v>
      </c>
      <c r="K5932" s="38" t="s">
        <v>63</v>
      </c>
      <c r="L5932" s="41">
        <v>46007.541666666664</v>
      </c>
      <c r="M5932" s="38" t="s">
        <v>123</v>
      </c>
      <c r="N5932" s="41">
        <v>46007.916666666664</v>
      </c>
      <c r="O5932" s="38" t="s">
        <v>123</v>
      </c>
      <c r="P5932" s="38">
        <v>32400.0</v>
      </c>
      <c r="Q5932" s="39"/>
      <c r="R5932" s="39"/>
      <c r="S5932" s="39"/>
      <c r="T5932" s="39"/>
      <c r="U5932" s="39"/>
    </row>
    <row r="5933">
      <c r="A5933" s="40">
        <f t="shared" si="1"/>
        <v>46006</v>
      </c>
      <c r="B5933" s="37" t="str">
        <f t="array" ref="B5933">iferror(xlookup($I5933, 'IMPORT VHC Report'!$E:$E, 'IMPORT VHC Report'!$A:$C), )</f>
        <v/>
      </c>
      <c r="C5933" s="37"/>
      <c r="D5933" s="37"/>
      <c r="E5933" s="38" t="s">
        <v>7056</v>
      </c>
      <c r="F5933" s="38" t="s">
        <v>7052</v>
      </c>
      <c r="G5933" s="38">
        <v>5.901973624079E12</v>
      </c>
      <c r="H5933" s="38" t="s">
        <v>7053</v>
      </c>
      <c r="I5933" s="38" t="s">
        <v>7054</v>
      </c>
      <c r="J5933" s="38" t="s">
        <v>134</v>
      </c>
      <c r="K5933" s="38" t="s">
        <v>126</v>
      </c>
      <c r="L5933" s="41">
        <v>46007.666666666664</v>
      </c>
      <c r="M5933" s="38" t="s">
        <v>123</v>
      </c>
      <c r="N5933" s="41">
        <v>46007.6875</v>
      </c>
      <c r="O5933" s="38" t="s">
        <v>123</v>
      </c>
      <c r="P5933" s="38">
        <v>1800.0</v>
      </c>
      <c r="Q5933" s="39"/>
      <c r="R5933" s="39"/>
      <c r="S5933" s="39"/>
      <c r="T5933" s="39"/>
      <c r="U5933" s="39"/>
    </row>
    <row r="5934">
      <c r="A5934" s="40">
        <f t="shared" si="1"/>
        <v>46006</v>
      </c>
      <c r="B5934" s="37" t="str">
        <f t="array" ref="B5934">iferror(xlookup($I5934, 'IMPORT VHC Report'!$E:$E, 'IMPORT VHC Report'!$A:$C), )</f>
        <v/>
      </c>
      <c r="C5934" s="37"/>
      <c r="D5934" s="37"/>
      <c r="E5934" s="38" t="s">
        <v>7057</v>
      </c>
      <c r="F5934" s="38" t="s">
        <v>7052</v>
      </c>
      <c r="G5934" s="38">
        <v>5.901973624079E12</v>
      </c>
      <c r="H5934" s="38" t="s">
        <v>7053</v>
      </c>
      <c r="I5934" s="38" t="s">
        <v>7054</v>
      </c>
      <c r="J5934" s="38" t="s">
        <v>132</v>
      </c>
      <c r="K5934" s="38" t="s">
        <v>126</v>
      </c>
      <c r="L5934" s="41">
        <v>46007.8125</v>
      </c>
      <c r="M5934" s="38" t="s">
        <v>123</v>
      </c>
      <c r="N5934" s="41">
        <v>46007.854166666664</v>
      </c>
      <c r="O5934" s="38" t="s">
        <v>123</v>
      </c>
      <c r="P5934" s="38">
        <v>3600.0</v>
      </c>
      <c r="Q5934" s="39"/>
      <c r="R5934" s="39"/>
      <c r="S5934" s="39"/>
      <c r="T5934" s="39"/>
      <c r="U5934" s="39"/>
    </row>
    <row r="5935">
      <c r="A5935" s="40">
        <f t="shared" si="1"/>
        <v>46006</v>
      </c>
      <c r="B5935" s="37" t="str">
        <f t="array" ref="B5935">iferror(xlookup($I5935, 'IMPORT VHC Report'!$E:$E, 'IMPORT VHC Report'!$A:$C), )</f>
        <v/>
      </c>
      <c r="C5935" s="37"/>
      <c r="D5935" s="37"/>
      <c r="E5935" s="38" t="s">
        <v>7058</v>
      </c>
      <c r="F5935" s="38" t="s">
        <v>7052</v>
      </c>
      <c r="G5935" s="38">
        <v>5.901973624079E12</v>
      </c>
      <c r="H5935" s="38" t="s">
        <v>7053</v>
      </c>
      <c r="I5935" s="38" t="s">
        <v>7054</v>
      </c>
      <c r="J5935" s="38" t="s">
        <v>530</v>
      </c>
      <c r="K5935" s="38" t="s">
        <v>63</v>
      </c>
      <c r="L5935" s="41">
        <v>46008.541666666664</v>
      </c>
      <c r="M5935" s="38" t="s">
        <v>123</v>
      </c>
      <c r="N5935" s="41">
        <v>46008.5625</v>
      </c>
      <c r="O5935" s="38" t="s">
        <v>123</v>
      </c>
      <c r="P5935" s="38">
        <v>1800.0</v>
      </c>
      <c r="Q5935" s="39"/>
      <c r="R5935" s="39"/>
      <c r="S5935" s="39"/>
      <c r="T5935" s="39"/>
      <c r="U5935" s="39"/>
    </row>
    <row r="5936">
      <c r="A5936" s="40">
        <f t="shared" si="1"/>
        <v>46006</v>
      </c>
      <c r="B5936" s="37" t="str">
        <f t="array" ref="B5936">iferror(xlookup($I5936, 'IMPORT VHC Report'!$E:$E, 'IMPORT VHC Report'!$A:$C), )</f>
        <v/>
      </c>
      <c r="C5936" s="37"/>
      <c r="D5936" s="37"/>
      <c r="E5936" s="38" t="s">
        <v>7059</v>
      </c>
      <c r="F5936" s="38" t="s">
        <v>7052</v>
      </c>
      <c r="G5936" s="38">
        <v>5.901973624079E12</v>
      </c>
      <c r="H5936" s="38" t="s">
        <v>7053</v>
      </c>
      <c r="I5936" s="38" t="s">
        <v>7054</v>
      </c>
      <c r="J5936" s="38" t="s">
        <v>4</v>
      </c>
      <c r="K5936" s="38" t="s">
        <v>126</v>
      </c>
      <c r="L5936" s="41">
        <v>46008.541666666664</v>
      </c>
      <c r="M5936" s="38" t="s">
        <v>123</v>
      </c>
      <c r="N5936" s="41">
        <v>46008.5625</v>
      </c>
      <c r="O5936" s="38" t="s">
        <v>123</v>
      </c>
      <c r="P5936" s="38">
        <v>1800.0</v>
      </c>
      <c r="Q5936" s="39"/>
      <c r="R5936" s="39"/>
      <c r="S5936" s="39"/>
      <c r="T5936" s="39"/>
      <c r="U5936" s="39"/>
    </row>
    <row r="5937">
      <c r="A5937" s="40">
        <f t="shared" si="1"/>
        <v>46006</v>
      </c>
      <c r="B5937" s="37" t="str">
        <f t="array" ref="B5937">iferror(xlookup($I5937, 'IMPORT VHC Report'!$E:$E, 'IMPORT VHC Report'!$A:$C), )</f>
        <v/>
      </c>
      <c r="C5937" s="37"/>
      <c r="D5937" s="37"/>
      <c r="E5937" s="38" t="s">
        <v>7060</v>
      </c>
      <c r="F5937" s="38" t="s">
        <v>7052</v>
      </c>
      <c r="G5937" s="38">
        <v>5.901973624079E12</v>
      </c>
      <c r="H5937" s="38" t="s">
        <v>7053</v>
      </c>
      <c r="I5937" s="38" t="s">
        <v>7054</v>
      </c>
      <c r="J5937" s="38" t="s">
        <v>62</v>
      </c>
      <c r="K5937" s="38" t="s">
        <v>63</v>
      </c>
      <c r="L5937" s="41">
        <v>46008.5625</v>
      </c>
      <c r="M5937" s="38" t="s">
        <v>123</v>
      </c>
      <c r="N5937" s="41">
        <v>46008.583333333336</v>
      </c>
      <c r="O5937" s="38" t="s">
        <v>123</v>
      </c>
      <c r="P5937" s="38">
        <v>1800.0</v>
      </c>
      <c r="Q5937" s="39"/>
      <c r="R5937" s="39"/>
      <c r="S5937" s="39"/>
      <c r="T5937" s="39"/>
      <c r="U5937" s="39"/>
    </row>
    <row r="5938">
      <c r="A5938" s="40">
        <f t="shared" si="1"/>
        <v>46006</v>
      </c>
      <c r="B5938" s="37" t="str">
        <f t="array" ref="B5938">iferror(xlookup($I5938, 'IMPORT VHC Report'!$E:$E, 'IMPORT VHC Report'!$A:$C), )</f>
        <v/>
      </c>
      <c r="C5938" s="37"/>
      <c r="D5938" s="37"/>
      <c r="E5938" s="38" t="s">
        <v>7061</v>
      </c>
      <c r="F5938" s="38" t="s">
        <v>7052</v>
      </c>
      <c r="G5938" s="38">
        <v>5.901973624079E12</v>
      </c>
      <c r="H5938" s="38" t="s">
        <v>7053</v>
      </c>
      <c r="I5938" s="38" t="s">
        <v>7054</v>
      </c>
      <c r="J5938" s="38" t="s">
        <v>4</v>
      </c>
      <c r="K5938" s="38" t="s">
        <v>126</v>
      </c>
      <c r="L5938" s="41">
        <v>46008.5625</v>
      </c>
      <c r="M5938" s="38" t="s">
        <v>123</v>
      </c>
      <c r="N5938" s="41">
        <v>46008.604166666664</v>
      </c>
      <c r="O5938" s="38" t="s">
        <v>123</v>
      </c>
      <c r="P5938" s="38">
        <v>3600.0</v>
      </c>
      <c r="Q5938" s="39"/>
      <c r="R5938" s="39"/>
      <c r="S5938" s="38" t="s">
        <v>1209</v>
      </c>
      <c r="T5938" s="39"/>
      <c r="U5938" s="39"/>
    </row>
    <row r="5939">
      <c r="A5939" s="40">
        <f t="shared" si="1"/>
        <v>46006</v>
      </c>
      <c r="B5939" s="37" t="str">
        <f t="array" ref="B5939">iferror(xlookup($I5939, 'IMPORT VHC Report'!$E:$E, 'IMPORT VHC Report'!$A:$C), )</f>
        <v/>
      </c>
      <c r="C5939" s="37"/>
      <c r="D5939" s="37"/>
      <c r="E5939" s="38" t="s">
        <v>7062</v>
      </c>
      <c r="F5939" s="38" t="s">
        <v>7052</v>
      </c>
      <c r="G5939" s="38">
        <v>5.901973624079E12</v>
      </c>
      <c r="H5939" s="38" t="s">
        <v>7053</v>
      </c>
      <c r="I5939" s="38" t="s">
        <v>7054</v>
      </c>
      <c r="J5939" s="38" t="s">
        <v>530</v>
      </c>
      <c r="K5939" s="38" t="s">
        <v>63</v>
      </c>
      <c r="L5939" s="41">
        <v>46008.583333333336</v>
      </c>
      <c r="M5939" s="38" t="s">
        <v>123</v>
      </c>
      <c r="N5939" s="41">
        <v>46008.916666666664</v>
      </c>
      <c r="O5939" s="38" t="s">
        <v>123</v>
      </c>
      <c r="P5939" s="38">
        <v>28800.0</v>
      </c>
      <c r="Q5939" s="39"/>
      <c r="R5939" s="39"/>
      <c r="S5939" s="39"/>
      <c r="T5939" s="39"/>
      <c r="U5939" s="39"/>
    </row>
    <row r="5940">
      <c r="A5940" s="40">
        <f t="shared" si="1"/>
        <v>46006</v>
      </c>
      <c r="B5940" s="37" t="str">
        <f t="array" ref="B5940">iferror(xlookup($I5940, 'IMPORT VHC Report'!$E:$E, 'IMPORT VHC Report'!$A:$C), )</f>
        <v/>
      </c>
      <c r="C5940" s="37"/>
      <c r="D5940" s="37"/>
      <c r="E5940" s="38" t="s">
        <v>7063</v>
      </c>
      <c r="F5940" s="38" t="s">
        <v>7052</v>
      </c>
      <c r="G5940" s="38">
        <v>5.901973624079E12</v>
      </c>
      <c r="H5940" s="38" t="s">
        <v>7053</v>
      </c>
      <c r="I5940" s="38" t="s">
        <v>7054</v>
      </c>
      <c r="J5940" s="38" t="s">
        <v>134</v>
      </c>
      <c r="K5940" s="38" t="s">
        <v>126</v>
      </c>
      <c r="L5940" s="41">
        <v>46008.6875</v>
      </c>
      <c r="M5940" s="38" t="s">
        <v>123</v>
      </c>
      <c r="N5940" s="41">
        <v>46008.708333333336</v>
      </c>
      <c r="O5940" s="38" t="s">
        <v>123</v>
      </c>
      <c r="P5940" s="38">
        <v>1800.0</v>
      </c>
      <c r="Q5940" s="39"/>
      <c r="R5940" s="39"/>
      <c r="S5940" s="39"/>
      <c r="T5940" s="39"/>
      <c r="U5940" s="39"/>
    </row>
    <row r="5941">
      <c r="A5941" s="40">
        <f t="shared" si="1"/>
        <v>46006</v>
      </c>
      <c r="B5941" s="37" t="str">
        <f t="array" ref="B5941">iferror(xlookup($I5941, 'IMPORT VHC Report'!$E:$E, 'IMPORT VHC Report'!$A:$C), )</f>
        <v/>
      </c>
      <c r="C5941" s="37"/>
      <c r="D5941" s="37"/>
      <c r="E5941" s="38" t="s">
        <v>7064</v>
      </c>
      <c r="F5941" s="38" t="s">
        <v>7052</v>
      </c>
      <c r="G5941" s="38">
        <v>5.901973624079E12</v>
      </c>
      <c r="H5941" s="38" t="s">
        <v>7053</v>
      </c>
      <c r="I5941" s="38" t="s">
        <v>7054</v>
      </c>
      <c r="J5941" s="38" t="s">
        <v>132</v>
      </c>
      <c r="K5941" s="38" t="s">
        <v>126</v>
      </c>
      <c r="L5941" s="41">
        <v>46008.8125</v>
      </c>
      <c r="M5941" s="38" t="s">
        <v>123</v>
      </c>
      <c r="N5941" s="41">
        <v>46008.854166666664</v>
      </c>
      <c r="O5941" s="38" t="s">
        <v>123</v>
      </c>
      <c r="P5941" s="38">
        <v>3600.0</v>
      </c>
      <c r="Q5941" s="39"/>
      <c r="R5941" s="39"/>
      <c r="S5941" s="39"/>
      <c r="T5941" s="39"/>
      <c r="U5941" s="39"/>
    </row>
    <row r="5942">
      <c r="A5942" s="40">
        <f t="shared" si="1"/>
        <v>46006</v>
      </c>
      <c r="B5942" s="37" t="str">
        <f t="array" ref="B5942">iferror(xlookup($I5942, 'IMPORT VHC Report'!$E:$E, 'IMPORT VHC Report'!$A:$C), )</f>
        <v/>
      </c>
      <c r="C5942" s="37"/>
      <c r="D5942" s="37"/>
      <c r="E5942" s="38" t="s">
        <v>7065</v>
      </c>
      <c r="F5942" s="38" t="s">
        <v>7052</v>
      </c>
      <c r="G5942" s="38">
        <v>5.901973624079E12</v>
      </c>
      <c r="H5942" s="38" t="s">
        <v>7053</v>
      </c>
      <c r="I5942" s="38" t="s">
        <v>7054</v>
      </c>
      <c r="J5942" s="38" t="s">
        <v>4</v>
      </c>
      <c r="K5942" s="38" t="s">
        <v>126</v>
      </c>
      <c r="L5942" s="41">
        <v>46008.854166666664</v>
      </c>
      <c r="M5942" s="38" t="s">
        <v>123</v>
      </c>
      <c r="N5942" s="41">
        <v>46008.895833333336</v>
      </c>
      <c r="O5942" s="38" t="s">
        <v>123</v>
      </c>
      <c r="P5942" s="38">
        <v>3600.0</v>
      </c>
      <c r="Q5942" s="39"/>
      <c r="R5942" s="39"/>
      <c r="S5942" s="38" t="s">
        <v>858</v>
      </c>
      <c r="T5942" s="39"/>
      <c r="U5942" s="39"/>
    </row>
    <row r="5943">
      <c r="A5943" s="40">
        <f t="shared" si="1"/>
        <v>46006</v>
      </c>
      <c r="B5943" s="37" t="str">
        <f t="array" ref="B5943">iferror(xlookup($I5943, 'IMPORT VHC Report'!$E:$E, 'IMPORT VHC Report'!$A:$C), )</f>
        <v/>
      </c>
      <c r="C5943" s="37"/>
      <c r="D5943" s="37"/>
      <c r="E5943" s="38" t="s">
        <v>7066</v>
      </c>
      <c r="F5943" s="38" t="s">
        <v>7052</v>
      </c>
      <c r="G5943" s="38">
        <v>5.901973624079E12</v>
      </c>
      <c r="H5943" s="38" t="s">
        <v>7053</v>
      </c>
      <c r="I5943" s="38" t="s">
        <v>7054</v>
      </c>
      <c r="J5943" s="38" t="s">
        <v>4</v>
      </c>
      <c r="K5943" s="38" t="s">
        <v>126</v>
      </c>
      <c r="L5943" s="41">
        <v>46009.541666666664</v>
      </c>
      <c r="M5943" s="38" t="s">
        <v>123</v>
      </c>
      <c r="N5943" s="41">
        <v>46009.5625</v>
      </c>
      <c r="O5943" s="38" t="s">
        <v>123</v>
      </c>
      <c r="P5943" s="38">
        <v>1800.0</v>
      </c>
      <c r="Q5943" s="39"/>
      <c r="R5943" s="39"/>
      <c r="S5943" s="39"/>
      <c r="T5943" s="39"/>
      <c r="U5943" s="39"/>
    </row>
    <row r="5944">
      <c r="A5944" s="40">
        <f t="shared" si="1"/>
        <v>46006</v>
      </c>
      <c r="B5944" s="37" t="str">
        <f t="array" ref="B5944">iferror(xlookup($I5944, 'IMPORT VHC Report'!$E:$E, 'IMPORT VHC Report'!$A:$C), )</f>
        <v/>
      </c>
      <c r="C5944" s="37"/>
      <c r="D5944" s="37"/>
      <c r="E5944" s="38" t="s">
        <v>7067</v>
      </c>
      <c r="F5944" s="38" t="s">
        <v>7052</v>
      </c>
      <c r="G5944" s="38">
        <v>5.901973624079E12</v>
      </c>
      <c r="H5944" s="38" t="s">
        <v>7053</v>
      </c>
      <c r="I5944" s="38" t="s">
        <v>7054</v>
      </c>
      <c r="J5944" s="38" t="s">
        <v>530</v>
      </c>
      <c r="K5944" s="38" t="s">
        <v>63</v>
      </c>
      <c r="L5944" s="41">
        <v>46009.541666666664</v>
      </c>
      <c r="M5944" s="38" t="s">
        <v>123</v>
      </c>
      <c r="N5944" s="41">
        <v>46009.916666666664</v>
      </c>
      <c r="O5944" s="38" t="s">
        <v>123</v>
      </c>
      <c r="P5944" s="38">
        <v>32400.0</v>
      </c>
      <c r="Q5944" s="39"/>
      <c r="R5944" s="39"/>
      <c r="S5944" s="39"/>
      <c r="T5944" s="39"/>
      <c r="U5944" s="39"/>
    </row>
    <row r="5945">
      <c r="A5945" s="40">
        <f t="shared" si="1"/>
        <v>46006</v>
      </c>
      <c r="B5945" s="37" t="str">
        <f t="array" ref="B5945">iferror(xlookup($I5945, 'IMPORT VHC Report'!$E:$E, 'IMPORT VHC Report'!$A:$C), )</f>
        <v/>
      </c>
      <c r="C5945" s="37"/>
      <c r="D5945" s="37"/>
      <c r="E5945" s="38" t="s">
        <v>7068</v>
      </c>
      <c r="F5945" s="38" t="s">
        <v>7052</v>
      </c>
      <c r="G5945" s="38">
        <v>5.901973624079E12</v>
      </c>
      <c r="H5945" s="38" t="s">
        <v>7053</v>
      </c>
      <c r="I5945" s="38" t="s">
        <v>7054</v>
      </c>
      <c r="J5945" s="38" t="s">
        <v>134</v>
      </c>
      <c r="K5945" s="38" t="s">
        <v>126</v>
      </c>
      <c r="L5945" s="41">
        <v>46009.6875</v>
      </c>
      <c r="M5945" s="38" t="s">
        <v>123</v>
      </c>
      <c r="N5945" s="41">
        <v>46009.708333333336</v>
      </c>
      <c r="O5945" s="38" t="s">
        <v>123</v>
      </c>
      <c r="P5945" s="38">
        <v>1800.0</v>
      </c>
      <c r="Q5945" s="39"/>
      <c r="R5945" s="39"/>
      <c r="S5945" s="39"/>
      <c r="T5945" s="39"/>
      <c r="U5945" s="39"/>
    </row>
    <row r="5946">
      <c r="A5946" s="40">
        <f t="shared" si="1"/>
        <v>46006</v>
      </c>
      <c r="B5946" s="37" t="str">
        <f t="array" ref="B5946">iferror(xlookup($I5946, 'IMPORT VHC Report'!$E:$E, 'IMPORT VHC Report'!$A:$C), )</f>
        <v/>
      </c>
      <c r="C5946" s="37"/>
      <c r="D5946" s="37"/>
      <c r="E5946" s="38" t="s">
        <v>7069</v>
      </c>
      <c r="F5946" s="38" t="s">
        <v>7052</v>
      </c>
      <c r="G5946" s="38">
        <v>5.901973624079E12</v>
      </c>
      <c r="H5946" s="38" t="s">
        <v>7053</v>
      </c>
      <c r="I5946" s="38" t="s">
        <v>7054</v>
      </c>
      <c r="J5946" s="38" t="s">
        <v>132</v>
      </c>
      <c r="K5946" s="38" t="s">
        <v>126</v>
      </c>
      <c r="L5946" s="41">
        <v>46009.822916666664</v>
      </c>
      <c r="M5946" s="38" t="s">
        <v>123</v>
      </c>
      <c r="N5946" s="41">
        <v>46009.864583333336</v>
      </c>
      <c r="O5946" s="38" t="s">
        <v>123</v>
      </c>
      <c r="P5946" s="38">
        <v>3600.0</v>
      </c>
      <c r="Q5946" s="39"/>
      <c r="R5946" s="39"/>
      <c r="S5946" s="39"/>
      <c r="T5946" s="39"/>
      <c r="U5946" s="39"/>
    </row>
    <row r="5947">
      <c r="A5947" s="40">
        <f t="shared" si="1"/>
        <v>46006</v>
      </c>
      <c r="B5947" s="37" t="str">
        <f t="array" ref="B5947">iferror(xlookup($I5947, 'IMPORT VHC Report'!$E:$E, 'IMPORT VHC Report'!$A:$C), )</f>
        <v/>
      </c>
      <c r="C5947" s="37"/>
      <c r="D5947" s="37"/>
      <c r="E5947" s="38" t="s">
        <v>7070</v>
      </c>
      <c r="F5947" s="38" t="s">
        <v>7052</v>
      </c>
      <c r="G5947" s="38">
        <v>5.901973624079E12</v>
      </c>
      <c r="H5947" s="38" t="s">
        <v>7053</v>
      </c>
      <c r="I5947" s="38" t="s">
        <v>7054</v>
      </c>
      <c r="J5947" s="38" t="s">
        <v>4</v>
      </c>
      <c r="K5947" s="38" t="s">
        <v>126</v>
      </c>
      <c r="L5947" s="41">
        <v>46010.541666666664</v>
      </c>
      <c r="M5947" s="38" t="s">
        <v>123</v>
      </c>
      <c r="N5947" s="41">
        <v>46010.5625</v>
      </c>
      <c r="O5947" s="38" t="s">
        <v>123</v>
      </c>
      <c r="P5947" s="38">
        <v>1800.0</v>
      </c>
      <c r="Q5947" s="39"/>
      <c r="R5947" s="39"/>
      <c r="S5947" s="39"/>
      <c r="T5947" s="39"/>
      <c r="U5947" s="39"/>
    </row>
    <row r="5948">
      <c r="A5948" s="40">
        <f t="shared" si="1"/>
        <v>46006</v>
      </c>
      <c r="B5948" s="37" t="str">
        <f t="array" ref="B5948">iferror(xlookup($I5948, 'IMPORT VHC Report'!$E:$E, 'IMPORT VHC Report'!$A:$C), )</f>
        <v/>
      </c>
      <c r="C5948" s="37"/>
      <c r="D5948" s="37"/>
      <c r="E5948" s="38" t="s">
        <v>7071</v>
      </c>
      <c r="F5948" s="38" t="s">
        <v>7052</v>
      </c>
      <c r="G5948" s="38">
        <v>5.901973624079E12</v>
      </c>
      <c r="H5948" s="38" t="s">
        <v>7053</v>
      </c>
      <c r="I5948" s="38" t="s">
        <v>7054</v>
      </c>
      <c r="J5948" s="38" t="s">
        <v>530</v>
      </c>
      <c r="K5948" s="38" t="s">
        <v>63</v>
      </c>
      <c r="L5948" s="41">
        <v>46010.541666666664</v>
      </c>
      <c r="M5948" s="38" t="s">
        <v>123</v>
      </c>
      <c r="N5948" s="41">
        <v>46010.916666666664</v>
      </c>
      <c r="O5948" s="38" t="s">
        <v>123</v>
      </c>
      <c r="P5948" s="38">
        <v>32400.0</v>
      </c>
      <c r="Q5948" s="39"/>
      <c r="R5948" s="39"/>
      <c r="S5948" s="39"/>
      <c r="T5948" s="39"/>
      <c r="U5948" s="39"/>
    </row>
    <row r="5949">
      <c r="A5949" s="40">
        <f t="shared" si="1"/>
        <v>46006</v>
      </c>
      <c r="B5949" s="37" t="str">
        <f t="array" ref="B5949">iferror(xlookup($I5949, 'IMPORT VHC Report'!$E:$E, 'IMPORT VHC Report'!$A:$C), )</f>
        <v/>
      </c>
      <c r="C5949" s="37"/>
      <c r="D5949" s="37"/>
      <c r="E5949" s="38" t="s">
        <v>7072</v>
      </c>
      <c r="F5949" s="38" t="s">
        <v>7052</v>
      </c>
      <c r="G5949" s="38">
        <v>5.901973624079E12</v>
      </c>
      <c r="H5949" s="38" t="s">
        <v>7053</v>
      </c>
      <c r="I5949" s="38" t="s">
        <v>7054</v>
      </c>
      <c r="J5949" s="38" t="s">
        <v>132</v>
      </c>
      <c r="K5949" s="38" t="s">
        <v>126</v>
      </c>
      <c r="L5949" s="41">
        <v>46010.645833333336</v>
      </c>
      <c r="M5949" s="38" t="s">
        <v>123</v>
      </c>
      <c r="N5949" s="41">
        <v>46010.6875</v>
      </c>
      <c r="O5949" s="38" t="s">
        <v>123</v>
      </c>
      <c r="P5949" s="38">
        <v>3600.0</v>
      </c>
      <c r="Q5949" s="39"/>
      <c r="R5949" s="39"/>
      <c r="S5949" s="39"/>
      <c r="T5949" s="39"/>
      <c r="U5949" s="39"/>
    </row>
    <row r="5950">
      <c r="A5950" s="40">
        <f t="shared" si="1"/>
        <v>46006</v>
      </c>
      <c r="B5950" s="37" t="str">
        <f t="array" ref="B5950">iferror(xlookup($I5950, 'IMPORT VHC Report'!$E:$E, 'IMPORT VHC Report'!$A:$C), )</f>
        <v/>
      </c>
      <c r="C5950" s="37"/>
      <c r="D5950" s="37"/>
      <c r="E5950" s="38" t="s">
        <v>7073</v>
      </c>
      <c r="F5950" s="38" t="s">
        <v>7052</v>
      </c>
      <c r="G5950" s="38">
        <v>5.901973624079E12</v>
      </c>
      <c r="H5950" s="38" t="s">
        <v>7053</v>
      </c>
      <c r="I5950" s="38" t="s">
        <v>7054</v>
      </c>
      <c r="J5950" s="38" t="s">
        <v>134</v>
      </c>
      <c r="K5950" s="38" t="s">
        <v>126</v>
      </c>
      <c r="L5950" s="41">
        <v>46010.8125</v>
      </c>
      <c r="M5950" s="38" t="s">
        <v>123</v>
      </c>
      <c r="N5950" s="41">
        <v>46010.833333333336</v>
      </c>
      <c r="O5950" s="38" t="s">
        <v>123</v>
      </c>
      <c r="P5950" s="38">
        <v>1800.0</v>
      </c>
      <c r="Q5950" s="39"/>
      <c r="R5950" s="39"/>
      <c r="S5950" s="39"/>
      <c r="T5950" s="39"/>
      <c r="U5950" s="39"/>
    </row>
    <row r="5951">
      <c r="A5951" s="40">
        <f t="shared" si="1"/>
        <v>46006</v>
      </c>
      <c r="B5951" s="37" t="str">
        <f t="array" ref="B5951">iferror(xlookup($I5951, 'IMPORT VHC Report'!$E:$E, 'IMPORT VHC Report'!$A:$C), )</f>
        <v/>
      </c>
      <c r="C5951" s="37"/>
      <c r="D5951" s="37"/>
      <c r="E5951" s="38" t="s">
        <v>7074</v>
      </c>
      <c r="F5951" s="38" t="s">
        <v>7052</v>
      </c>
      <c r="G5951" s="38">
        <v>5.901973624079E12</v>
      </c>
      <c r="H5951" s="38" t="s">
        <v>7053</v>
      </c>
      <c r="I5951" s="38" t="s">
        <v>7054</v>
      </c>
      <c r="J5951" s="38" t="s">
        <v>4</v>
      </c>
      <c r="K5951" s="38" t="s">
        <v>126</v>
      </c>
      <c r="L5951" s="41">
        <v>46011.541666666664</v>
      </c>
      <c r="M5951" s="38" t="s">
        <v>123</v>
      </c>
      <c r="N5951" s="41">
        <v>46011.5625</v>
      </c>
      <c r="O5951" s="38" t="s">
        <v>123</v>
      </c>
      <c r="P5951" s="38">
        <v>1800.0</v>
      </c>
      <c r="Q5951" s="39"/>
      <c r="R5951" s="39"/>
      <c r="S5951" s="39"/>
      <c r="T5951" s="39"/>
      <c r="U5951" s="39"/>
    </row>
    <row r="5952">
      <c r="A5952" s="40">
        <f t="shared" si="1"/>
        <v>46006</v>
      </c>
      <c r="B5952" s="37" t="str">
        <f t="array" ref="B5952">iferror(xlookup($I5952, 'IMPORT VHC Report'!$E:$E, 'IMPORT VHC Report'!$A:$C), )</f>
        <v/>
      </c>
      <c r="C5952" s="37"/>
      <c r="D5952" s="37"/>
      <c r="E5952" s="38" t="s">
        <v>7075</v>
      </c>
      <c r="F5952" s="38" t="s">
        <v>7052</v>
      </c>
      <c r="G5952" s="38">
        <v>5.901973624079E12</v>
      </c>
      <c r="H5952" s="38" t="s">
        <v>7053</v>
      </c>
      <c r="I5952" s="38" t="s">
        <v>7054</v>
      </c>
      <c r="J5952" s="38" t="s">
        <v>530</v>
      </c>
      <c r="K5952" s="38" t="s">
        <v>63</v>
      </c>
      <c r="L5952" s="41">
        <v>46011.541666666664</v>
      </c>
      <c r="M5952" s="38" t="s">
        <v>123</v>
      </c>
      <c r="N5952" s="41">
        <v>46011.916666666664</v>
      </c>
      <c r="O5952" s="38" t="s">
        <v>123</v>
      </c>
      <c r="P5952" s="38">
        <v>32400.0</v>
      </c>
      <c r="Q5952" s="39"/>
      <c r="R5952" s="39"/>
      <c r="S5952" s="39"/>
      <c r="T5952" s="39"/>
      <c r="U5952" s="39"/>
    </row>
    <row r="5953">
      <c r="A5953" s="40">
        <f t="shared" si="1"/>
        <v>46006</v>
      </c>
      <c r="B5953" s="37" t="str">
        <f t="array" ref="B5953">iferror(xlookup($I5953, 'IMPORT VHC Report'!$E:$E, 'IMPORT VHC Report'!$A:$C), )</f>
        <v/>
      </c>
      <c r="C5953" s="37"/>
      <c r="D5953" s="37"/>
      <c r="E5953" s="38" t="s">
        <v>7076</v>
      </c>
      <c r="F5953" s="38" t="s">
        <v>7052</v>
      </c>
      <c r="G5953" s="38">
        <v>5.901973624079E12</v>
      </c>
      <c r="H5953" s="38" t="s">
        <v>7053</v>
      </c>
      <c r="I5953" s="38" t="s">
        <v>7054</v>
      </c>
      <c r="J5953" s="38" t="s">
        <v>134</v>
      </c>
      <c r="K5953" s="38" t="s">
        <v>126</v>
      </c>
      <c r="L5953" s="41">
        <v>46011.645833333336</v>
      </c>
      <c r="M5953" s="38" t="s">
        <v>123</v>
      </c>
      <c r="N5953" s="41">
        <v>46011.666666666664</v>
      </c>
      <c r="O5953" s="38" t="s">
        <v>123</v>
      </c>
      <c r="P5953" s="38">
        <v>1800.0</v>
      </c>
      <c r="Q5953" s="39"/>
      <c r="R5953" s="39"/>
      <c r="S5953" s="39"/>
      <c r="T5953" s="39"/>
      <c r="U5953" s="39"/>
    </row>
    <row r="5954">
      <c r="A5954" s="40">
        <f t="shared" si="1"/>
        <v>46006</v>
      </c>
      <c r="B5954" s="37" t="str">
        <f t="array" ref="B5954">iferror(xlookup($I5954, 'IMPORT VHC Report'!$E:$E, 'IMPORT VHC Report'!$A:$C), )</f>
        <v/>
      </c>
      <c r="C5954" s="37"/>
      <c r="D5954" s="37"/>
      <c r="E5954" s="38" t="s">
        <v>7077</v>
      </c>
      <c r="F5954" s="38" t="s">
        <v>7052</v>
      </c>
      <c r="G5954" s="38">
        <v>5.901973624079E12</v>
      </c>
      <c r="H5954" s="38" t="s">
        <v>7053</v>
      </c>
      <c r="I5954" s="38" t="s">
        <v>7054</v>
      </c>
      <c r="J5954" s="38" t="s">
        <v>132</v>
      </c>
      <c r="K5954" s="38" t="s">
        <v>126</v>
      </c>
      <c r="L5954" s="41">
        <v>46011.770833333336</v>
      </c>
      <c r="M5954" s="38" t="s">
        <v>123</v>
      </c>
      <c r="N5954" s="41">
        <v>46011.8125</v>
      </c>
      <c r="O5954" s="38" t="s">
        <v>123</v>
      </c>
      <c r="P5954" s="38">
        <v>3600.0</v>
      </c>
      <c r="Q5954" s="39"/>
      <c r="R5954" s="39"/>
      <c r="S5954" s="39"/>
      <c r="T5954" s="39"/>
      <c r="U5954" s="39"/>
    </row>
    <row r="5955">
      <c r="A5955" s="40">
        <f t="shared" si="1"/>
        <v>46006</v>
      </c>
      <c r="B5955" s="37" t="str">
        <f t="array" ref="B5955">iferror(xlookup($I5955, 'IMPORT VHC Report'!$E:$E, 'IMPORT VHC Report'!$A:$C), )</f>
        <v/>
      </c>
      <c r="C5955" s="37"/>
      <c r="D5955" s="37"/>
      <c r="E5955" s="38" t="s">
        <v>7078</v>
      </c>
      <c r="F5955" s="38" t="s">
        <v>7079</v>
      </c>
      <c r="G5955" s="38">
        <v>3.61732161455E11</v>
      </c>
      <c r="H5955" s="38" t="s">
        <v>7080</v>
      </c>
      <c r="I5955" s="38" t="s">
        <v>7081</v>
      </c>
      <c r="J5955" s="38" t="s">
        <v>4</v>
      </c>
      <c r="K5955" s="38" t="s">
        <v>126</v>
      </c>
      <c r="L5955" s="41">
        <v>46007.541666666664</v>
      </c>
      <c r="M5955" s="38" t="s">
        <v>123</v>
      </c>
      <c r="N5955" s="41">
        <v>46007.5625</v>
      </c>
      <c r="O5955" s="38" t="s">
        <v>123</v>
      </c>
      <c r="P5955" s="38">
        <v>1800.0</v>
      </c>
      <c r="Q5955" s="39"/>
      <c r="R5955" s="39"/>
      <c r="S5955" s="39"/>
      <c r="T5955" s="39"/>
      <c r="U5955" s="39"/>
    </row>
    <row r="5956">
      <c r="A5956" s="40">
        <f t="shared" si="1"/>
        <v>46006</v>
      </c>
      <c r="B5956" s="37" t="str">
        <f t="array" ref="B5956">iferror(xlookup($I5956, 'IMPORT VHC Report'!$E:$E, 'IMPORT VHC Report'!$A:$C), )</f>
        <v/>
      </c>
      <c r="C5956" s="37"/>
      <c r="D5956" s="37"/>
      <c r="E5956" s="38" t="s">
        <v>7082</v>
      </c>
      <c r="F5956" s="38" t="s">
        <v>7079</v>
      </c>
      <c r="G5956" s="38">
        <v>3.61732161455E11</v>
      </c>
      <c r="H5956" s="38" t="s">
        <v>7080</v>
      </c>
      <c r="I5956" s="38" t="s">
        <v>7081</v>
      </c>
      <c r="J5956" s="38" t="s">
        <v>178</v>
      </c>
      <c r="K5956" s="38" t="s">
        <v>153</v>
      </c>
      <c r="L5956" s="41">
        <v>46007.541666666664</v>
      </c>
      <c r="M5956" s="38" t="s">
        <v>123</v>
      </c>
      <c r="N5956" s="41">
        <v>46007.916666666664</v>
      </c>
      <c r="O5956" s="38" t="s">
        <v>123</v>
      </c>
      <c r="P5956" s="38">
        <v>32400.0</v>
      </c>
      <c r="Q5956" s="38">
        <v>28800.0</v>
      </c>
      <c r="R5956" s="38" t="s">
        <v>7083</v>
      </c>
      <c r="S5956" s="39"/>
      <c r="T5956" s="39"/>
      <c r="U5956" s="39"/>
    </row>
    <row r="5957">
      <c r="A5957" s="40">
        <f t="shared" si="1"/>
        <v>46006</v>
      </c>
      <c r="B5957" s="37" t="str">
        <f t="array" ref="B5957">iferror(xlookup($I5957, 'IMPORT VHC Report'!$E:$E, 'IMPORT VHC Report'!$A:$C), )</f>
        <v/>
      </c>
      <c r="C5957" s="37"/>
      <c r="D5957" s="37"/>
      <c r="E5957" s="38" t="s">
        <v>7084</v>
      </c>
      <c r="F5957" s="38" t="s">
        <v>7079</v>
      </c>
      <c r="G5957" s="38">
        <v>3.61732161455E11</v>
      </c>
      <c r="H5957" s="38" t="s">
        <v>7080</v>
      </c>
      <c r="I5957" s="38" t="s">
        <v>7081</v>
      </c>
      <c r="J5957" s="38" t="s">
        <v>530</v>
      </c>
      <c r="K5957" s="38" t="s">
        <v>63</v>
      </c>
      <c r="L5957" s="41">
        <v>46007.541666666664</v>
      </c>
      <c r="M5957" s="38" t="s">
        <v>123</v>
      </c>
      <c r="N5957" s="41">
        <v>46007.916666666664</v>
      </c>
      <c r="O5957" s="38" t="s">
        <v>123</v>
      </c>
      <c r="P5957" s="38">
        <v>32400.0</v>
      </c>
      <c r="Q5957" s="39"/>
      <c r="R5957" s="39"/>
      <c r="S5957" s="39"/>
      <c r="T5957" s="39"/>
      <c r="U5957" s="39"/>
    </row>
    <row r="5958">
      <c r="A5958" s="40">
        <f t="shared" si="1"/>
        <v>46006</v>
      </c>
      <c r="B5958" s="37" t="str">
        <f t="array" ref="B5958">iferror(xlookup($I5958, 'IMPORT VHC Report'!$E:$E, 'IMPORT VHC Report'!$A:$C), )</f>
        <v/>
      </c>
      <c r="C5958" s="37"/>
      <c r="D5958" s="37"/>
      <c r="E5958" s="38" t="s">
        <v>7085</v>
      </c>
      <c r="F5958" s="38" t="s">
        <v>7079</v>
      </c>
      <c r="G5958" s="38">
        <v>3.61732161455E11</v>
      </c>
      <c r="H5958" s="38" t="s">
        <v>7080</v>
      </c>
      <c r="I5958" s="38" t="s">
        <v>7081</v>
      </c>
      <c r="J5958" s="38" t="s">
        <v>132</v>
      </c>
      <c r="K5958" s="38" t="s">
        <v>126</v>
      </c>
      <c r="L5958" s="41">
        <v>46007.677083333336</v>
      </c>
      <c r="M5958" s="38" t="s">
        <v>123</v>
      </c>
      <c r="N5958" s="41">
        <v>46007.71875</v>
      </c>
      <c r="O5958" s="38" t="s">
        <v>123</v>
      </c>
      <c r="P5958" s="38">
        <v>3600.0</v>
      </c>
      <c r="Q5958" s="39"/>
      <c r="R5958" s="39"/>
      <c r="S5958" s="39"/>
      <c r="T5958" s="39"/>
      <c r="U5958" s="39"/>
    </row>
    <row r="5959">
      <c r="A5959" s="40">
        <f t="shared" si="1"/>
        <v>46006</v>
      </c>
      <c r="B5959" s="37" t="str">
        <f t="array" ref="B5959">iferror(xlookup($I5959, 'IMPORT VHC Report'!$E:$E, 'IMPORT VHC Report'!$A:$C), )</f>
        <v/>
      </c>
      <c r="C5959" s="37"/>
      <c r="D5959" s="37"/>
      <c r="E5959" s="38" t="s">
        <v>7086</v>
      </c>
      <c r="F5959" s="38" t="s">
        <v>7079</v>
      </c>
      <c r="G5959" s="38">
        <v>3.61732161455E11</v>
      </c>
      <c r="H5959" s="38" t="s">
        <v>7080</v>
      </c>
      <c r="I5959" s="38" t="s">
        <v>7081</v>
      </c>
      <c r="J5959" s="38" t="s">
        <v>134</v>
      </c>
      <c r="K5959" s="38" t="s">
        <v>126</v>
      </c>
      <c r="L5959" s="41">
        <v>46007.833333333336</v>
      </c>
      <c r="M5959" s="38" t="s">
        <v>123</v>
      </c>
      <c r="N5959" s="41">
        <v>46007.854166666664</v>
      </c>
      <c r="O5959" s="38" t="s">
        <v>123</v>
      </c>
      <c r="P5959" s="38">
        <v>1800.0</v>
      </c>
      <c r="Q5959" s="39"/>
      <c r="R5959" s="39"/>
      <c r="S5959" s="39"/>
      <c r="T5959" s="39"/>
      <c r="U5959" s="39"/>
    </row>
    <row r="5960">
      <c r="A5960" s="40">
        <f t="shared" si="1"/>
        <v>46006</v>
      </c>
      <c r="B5960" s="37" t="str">
        <f t="array" ref="B5960">iferror(xlookup($I5960, 'IMPORT VHC Report'!$E:$E, 'IMPORT VHC Report'!$A:$C), )</f>
        <v/>
      </c>
      <c r="C5960" s="37"/>
      <c r="D5960" s="37"/>
      <c r="E5960" s="38" t="s">
        <v>7087</v>
      </c>
      <c r="F5960" s="38" t="s">
        <v>7079</v>
      </c>
      <c r="G5960" s="38">
        <v>3.61732161455E11</v>
      </c>
      <c r="H5960" s="38" t="s">
        <v>7080</v>
      </c>
      <c r="I5960" s="38" t="s">
        <v>7081</v>
      </c>
      <c r="J5960" s="38" t="s">
        <v>4</v>
      </c>
      <c r="K5960" s="38" t="s">
        <v>126</v>
      </c>
      <c r="L5960" s="41">
        <v>46008.541666666664</v>
      </c>
      <c r="M5960" s="38" t="s">
        <v>123</v>
      </c>
      <c r="N5960" s="41">
        <v>46008.5625</v>
      </c>
      <c r="O5960" s="38" t="s">
        <v>123</v>
      </c>
      <c r="P5960" s="38">
        <v>1800.0</v>
      </c>
      <c r="Q5960" s="39"/>
      <c r="R5960" s="39"/>
      <c r="S5960" s="39"/>
      <c r="T5960" s="39"/>
      <c r="U5960" s="39"/>
    </row>
    <row r="5961">
      <c r="A5961" s="40">
        <f t="shared" si="1"/>
        <v>46006</v>
      </c>
      <c r="B5961" s="37" t="str">
        <f t="array" ref="B5961">iferror(xlookup($I5961, 'IMPORT VHC Report'!$E:$E, 'IMPORT VHC Report'!$A:$C), )</f>
        <v/>
      </c>
      <c r="C5961" s="37"/>
      <c r="D5961" s="37"/>
      <c r="E5961" s="38" t="s">
        <v>7088</v>
      </c>
      <c r="F5961" s="38" t="s">
        <v>7079</v>
      </c>
      <c r="G5961" s="38">
        <v>3.61732161455E11</v>
      </c>
      <c r="H5961" s="38" t="s">
        <v>7080</v>
      </c>
      <c r="I5961" s="38" t="s">
        <v>7081</v>
      </c>
      <c r="J5961" s="38" t="s">
        <v>178</v>
      </c>
      <c r="K5961" s="38" t="s">
        <v>153</v>
      </c>
      <c r="L5961" s="41">
        <v>46008.541666666664</v>
      </c>
      <c r="M5961" s="38" t="s">
        <v>123</v>
      </c>
      <c r="N5961" s="41">
        <v>46008.916666666664</v>
      </c>
      <c r="O5961" s="38" t="s">
        <v>123</v>
      </c>
      <c r="P5961" s="38">
        <v>32400.0</v>
      </c>
      <c r="Q5961" s="38">
        <v>57600.0</v>
      </c>
      <c r="R5961" s="38" t="s">
        <v>7089</v>
      </c>
      <c r="S5961" s="39"/>
      <c r="T5961" s="39"/>
      <c r="U5961" s="39"/>
    </row>
    <row r="5962">
      <c r="A5962" s="40">
        <f t="shared" si="1"/>
        <v>46006</v>
      </c>
      <c r="B5962" s="37" t="str">
        <f t="array" ref="B5962">iferror(xlookup($I5962, 'IMPORT VHC Report'!$E:$E, 'IMPORT VHC Report'!$A:$C), )</f>
        <v/>
      </c>
      <c r="C5962" s="37"/>
      <c r="D5962" s="37"/>
      <c r="E5962" s="38" t="s">
        <v>7090</v>
      </c>
      <c r="F5962" s="38" t="s">
        <v>7079</v>
      </c>
      <c r="G5962" s="38">
        <v>3.61732161455E11</v>
      </c>
      <c r="H5962" s="38" t="s">
        <v>7080</v>
      </c>
      <c r="I5962" s="38" t="s">
        <v>7081</v>
      </c>
      <c r="J5962" s="38" t="s">
        <v>530</v>
      </c>
      <c r="K5962" s="38" t="s">
        <v>63</v>
      </c>
      <c r="L5962" s="41">
        <v>46008.541666666664</v>
      </c>
      <c r="M5962" s="38" t="s">
        <v>123</v>
      </c>
      <c r="N5962" s="41">
        <v>46008.916666666664</v>
      </c>
      <c r="O5962" s="38" t="s">
        <v>123</v>
      </c>
      <c r="P5962" s="38">
        <v>32400.0</v>
      </c>
      <c r="Q5962" s="39"/>
      <c r="R5962" s="39"/>
      <c r="S5962" s="39"/>
      <c r="T5962" s="39"/>
      <c r="U5962" s="39"/>
    </row>
    <row r="5963">
      <c r="A5963" s="40">
        <f t="shared" si="1"/>
        <v>46006</v>
      </c>
      <c r="B5963" s="37" t="str">
        <f t="array" ref="B5963">iferror(xlookup($I5963, 'IMPORT VHC Report'!$E:$E, 'IMPORT VHC Report'!$A:$C), )</f>
        <v/>
      </c>
      <c r="C5963" s="37"/>
      <c r="D5963" s="37"/>
      <c r="E5963" s="38" t="s">
        <v>7091</v>
      </c>
      <c r="F5963" s="38" t="s">
        <v>7079</v>
      </c>
      <c r="G5963" s="38">
        <v>3.61732161455E11</v>
      </c>
      <c r="H5963" s="38" t="s">
        <v>7080</v>
      </c>
      <c r="I5963" s="38" t="s">
        <v>7081</v>
      </c>
      <c r="J5963" s="38" t="s">
        <v>132</v>
      </c>
      <c r="K5963" s="38" t="s">
        <v>126</v>
      </c>
      <c r="L5963" s="41">
        <v>46008.677083333336</v>
      </c>
      <c r="M5963" s="38" t="s">
        <v>123</v>
      </c>
      <c r="N5963" s="41">
        <v>46008.71875</v>
      </c>
      <c r="O5963" s="38" t="s">
        <v>123</v>
      </c>
      <c r="P5963" s="38">
        <v>3600.0</v>
      </c>
      <c r="Q5963" s="39"/>
      <c r="R5963" s="39"/>
      <c r="S5963" s="39"/>
      <c r="T5963" s="39"/>
      <c r="U5963" s="39"/>
    </row>
    <row r="5964">
      <c r="A5964" s="40">
        <f t="shared" si="1"/>
        <v>46006</v>
      </c>
      <c r="B5964" s="37" t="str">
        <f t="array" ref="B5964">iferror(xlookup($I5964, 'IMPORT VHC Report'!$E:$E, 'IMPORT VHC Report'!$A:$C), )</f>
        <v/>
      </c>
      <c r="C5964" s="37"/>
      <c r="D5964" s="37"/>
      <c r="E5964" s="38" t="s">
        <v>7092</v>
      </c>
      <c r="F5964" s="38" t="s">
        <v>7079</v>
      </c>
      <c r="G5964" s="38">
        <v>3.61732161455E11</v>
      </c>
      <c r="H5964" s="38" t="s">
        <v>7080</v>
      </c>
      <c r="I5964" s="38" t="s">
        <v>7081</v>
      </c>
      <c r="J5964" s="38" t="s">
        <v>134</v>
      </c>
      <c r="K5964" s="38" t="s">
        <v>126</v>
      </c>
      <c r="L5964" s="41">
        <v>46008.833333333336</v>
      </c>
      <c r="M5964" s="38" t="s">
        <v>123</v>
      </c>
      <c r="N5964" s="41">
        <v>46008.854166666664</v>
      </c>
      <c r="O5964" s="38" t="s">
        <v>123</v>
      </c>
      <c r="P5964" s="38">
        <v>1800.0</v>
      </c>
      <c r="Q5964" s="39"/>
      <c r="R5964" s="39"/>
      <c r="S5964" s="39"/>
      <c r="T5964" s="39"/>
      <c r="U5964" s="39"/>
    </row>
    <row r="5965">
      <c r="A5965" s="40">
        <f t="shared" si="1"/>
        <v>46006</v>
      </c>
      <c r="B5965" s="37" t="str">
        <f t="array" ref="B5965">iferror(xlookup($I5965, 'IMPORT VHC Report'!$E:$E, 'IMPORT VHC Report'!$A:$C), )</f>
        <v/>
      </c>
      <c r="C5965" s="37"/>
      <c r="D5965" s="37"/>
      <c r="E5965" s="38" t="s">
        <v>7093</v>
      </c>
      <c r="F5965" s="38" t="s">
        <v>7079</v>
      </c>
      <c r="G5965" s="38">
        <v>3.61732161455E11</v>
      </c>
      <c r="H5965" s="38" t="s">
        <v>7080</v>
      </c>
      <c r="I5965" s="38" t="s">
        <v>7081</v>
      </c>
      <c r="J5965" s="38" t="s">
        <v>4</v>
      </c>
      <c r="K5965" s="38" t="s">
        <v>126</v>
      </c>
      <c r="L5965" s="41">
        <v>46009.541666666664</v>
      </c>
      <c r="M5965" s="38" t="s">
        <v>123</v>
      </c>
      <c r="N5965" s="41">
        <v>46009.5625</v>
      </c>
      <c r="O5965" s="38" t="s">
        <v>123</v>
      </c>
      <c r="P5965" s="38">
        <v>1800.0</v>
      </c>
      <c r="Q5965" s="39"/>
      <c r="R5965" s="39"/>
      <c r="S5965" s="39"/>
      <c r="T5965" s="39"/>
      <c r="U5965" s="39"/>
    </row>
    <row r="5966">
      <c r="A5966" s="40">
        <f t="shared" si="1"/>
        <v>46006</v>
      </c>
      <c r="B5966" s="37" t="str">
        <f t="array" ref="B5966">iferror(xlookup($I5966, 'IMPORT VHC Report'!$E:$E, 'IMPORT VHC Report'!$A:$C), )</f>
        <v/>
      </c>
      <c r="C5966" s="37"/>
      <c r="D5966" s="37"/>
      <c r="E5966" s="38" t="s">
        <v>7094</v>
      </c>
      <c r="F5966" s="38" t="s">
        <v>7079</v>
      </c>
      <c r="G5966" s="38">
        <v>3.61732161455E11</v>
      </c>
      <c r="H5966" s="38" t="s">
        <v>7080</v>
      </c>
      <c r="I5966" s="38" t="s">
        <v>7081</v>
      </c>
      <c r="J5966" s="38" t="s">
        <v>530</v>
      </c>
      <c r="K5966" s="38" t="s">
        <v>63</v>
      </c>
      <c r="L5966" s="41">
        <v>46009.541666666664</v>
      </c>
      <c r="M5966" s="38" t="s">
        <v>123</v>
      </c>
      <c r="N5966" s="41">
        <v>46009.916666666664</v>
      </c>
      <c r="O5966" s="38" t="s">
        <v>123</v>
      </c>
      <c r="P5966" s="38">
        <v>32400.0</v>
      </c>
      <c r="Q5966" s="39"/>
      <c r="R5966" s="39"/>
      <c r="S5966" s="39"/>
      <c r="T5966" s="39"/>
      <c r="U5966" s="39"/>
    </row>
    <row r="5967">
      <c r="A5967" s="40">
        <f t="shared" si="1"/>
        <v>46006</v>
      </c>
      <c r="B5967" s="37" t="str">
        <f t="array" ref="B5967">iferror(xlookup($I5967, 'IMPORT VHC Report'!$E:$E, 'IMPORT VHC Report'!$A:$C), )</f>
        <v/>
      </c>
      <c r="C5967" s="37"/>
      <c r="D5967" s="37"/>
      <c r="E5967" s="38" t="s">
        <v>7095</v>
      </c>
      <c r="F5967" s="38" t="s">
        <v>7079</v>
      </c>
      <c r="G5967" s="38">
        <v>3.61732161455E11</v>
      </c>
      <c r="H5967" s="38" t="s">
        <v>7080</v>
      </c>
      <c r="I5967" s="38" t="s">
        <v>7081</v>
      </c>
      <c r="J5967" s="38" t="s">
        <v>178</v>
      </c>
      <c r="K5967" s="38" t="s">
        <v>153</v>
      </c>
      <c r="L5967" s="41">
        <v>46009.541666666664</v>
      </c>
      <c r="M5967" s="38" t="s">
        <v>123</v>
      </c>
      <c r="N5967" s="41">
        <v>46009.916666666664</v>
      </c>
      <c r="O5967" s="38" t="s">
        <v>123</v>
      </c>
      <c r="P5967" s="38">
        <v>32400.0</v>
      </c>
      <c r="Q5967" s="38">
        <v>32400.0</v>
      </c>
      <c r="R5967" s="39"/>
      <c r="S5967" s="39"/>
      <c r="T5967" s="39"/>
      <c r="U5967" s="39"/>
    </row>
    <row r="5968">
      <c r="A5968" s="40">
        <f t="shared" si="1"/>
        <v>46006</v>
      </c>
      <c r="B5968" s="37" t="str">
        <f t="array" ref="B5968">iferror(xlookup($I5968, 'IMPORT VHC Report'!$E:$E, 'IMPORT VHC Report'!$A:$C), )</f>
        <v/>
      </c>
      <c r="C5968" s="37"/>
      <c r="D5968" s="37"/>
      <c r="E5968" s="38" t="s">
        <v>7096</v>
      </c>
      <c r="F5968" s="38" t="s">
        <v>7079</v>
      </c>
      <c r="G5968" s="38">
        <v>3.61732161455E11</v>
      </c>
      <c r="H5968" s="38" t="s">
        <v>7080</v>
      </c>
      <c r="I5968" s="38" t="s">
        <v>7081</v>
      </c>
      <c r="J5968" s="38" t="s">
        <v>132</v>
      </c>
      <c r="K5968" s="38" t="s">
        <v>126</v>
      </c>
      <c r="L5968" s="41">
        <v>46009.677083333336</v>
      </c>
      <c r="M5968" s="38" t="s">
        <v>123</v>
      </c>
      <c r="N5968" s="41">
        <v>46009.71875</v>
      </c>
      <c r="O5968" s="38" t="s">
        <v>123</v>
      </c>
      <c r="P5968" s="38">
        <v>3600.0</v>
      </c>
      <c r="Q5968" s="39"/>
      <c r="R5968" s="39"/>
      <c r="S5968" s="39"/>
      <c r="T5968" s="39"/>
      <c r="U5968" s="39"/>
    </row>
    <row r="5969">
      <c r="A5969" s="40">
        <f t="shared" si="1"/>
        <v>46006</v>
      </c>
      <c r="B5969" s="37" t="str">
        <f t="array" ref="B5969">iferror(xlookup($I5969, 'IMPORT VHC Report'!$E:$E, 'IMPORT VHC Report'!$A:$C), )</f>
        <v/>
      </c>
      <c r="C5969" s="37"/>
      <c r="D5969" s="37"/>
      <c r="E5969" s="38" t="s">
        <v>7097</v>
      </c>
      <c r="F5969" s="38" t="s">
        <v>7079</v>
      </c>
      <c r="G5969" s="38">
        <v>3.61732161455E11</v>
      </c>
      <c r="H5969" s="38" t="s">
        <v>7080</v>
      </c>
      <c r="I5969" s="38" t="s">
        <v>7081</v>
      </c>
      <c r="J5969" s="38" t="s">
        <v>134</v>
      </c>
      <c r="K5969" s="38" t="s">
        <v>126</v>
      </c>
      <c r="L5969" s="41">
        <v>46009.833333333336</v>
      </c>
      <c r="M5969" s="38" t="s">
        <v>123</v>
      </c>
      <c r="N5969" s="41">
        <v>46009.854166666664</v>
      </c>
      <c r="O5969" s="38" t="s">
        <v>123</v>
      </c>
      <c r="P5969" s="38">
        <v>1800.0</v>
      </c>
      <c r="Q5969" s="39"/>
      <c r="R5969" s="39"/>
      <c r="S5969" s="39"/>
      <c r="T5969" s="39"/>
      <c r="U5969" s="39"/>
    </row>
    <row r="5970">
      <c r="A5970" s="40">
        <f t="shared" si="1"/>
        <v>46006</v>
      </c>
      <c r="B5970" s="37" t="str">
        <f t="array" ref="B5970">iferror(xlookup($I5970, 'IMPORT VHC Report'!$E:$E, 'IMPORT VHC Report'!$A:$C), )</f>
        <v/>
      </c>
      <c r="C5970" s="37"/>
      <c r="D5970" s="37"/>
      <c r="E5970" s="38" t="s">
        <v>7098</v>
      </c>
      <c r="F5970" s="38" t="s">
        <v>7079</v>
      </c>
      <c r="G5970" s="38">
        <v>3.61732161455E11</v>
      </c>
      <c r="H5970" s="38" t="s">
        <v>7080</v>
      </c>
      <c r="I5970" s="38" t="s">
        <v>7081</v>
      </c>
      <c r="J5970" s="38" t="s">
        <v>530</v>
      </c>
      <c r="K5970" s="38" t="s">
        <v>63</v>
      </c>
      <c r="L5970" s="41">
        <v>46010.541666666664</v>
      </c>
      <c r="M5970" s="38" t="s">
        <v>123</v>
      </c>
      <c r="N5970" s="41">
        <v>46010.5625</v>
      </c>
      <c r="O5970" s="38" t="s">
        <v>123</v>
      </c>
      <c r="P5970" s="38">
        <v>1800.0</v>
      </c>
      <c r="Q5970" s="39"/>
      <c r="R5970" s="39"/>
      <c r="S5970" s="39"/>
      <c r="T5970" s="39"/>
      <c r="U5970" s="39"/>
    </row>
    <row r="5971">
      <c r="A5971" s="40">
        <f t="shared" si="1"/>
        <v>46006</v>
      </c>
      <c r="B5971" s="37" t="str">
        <f t="array" ref="B5971">iferror(xlookup($I5971, 'IMPORT VHC Report'!$E:$E, 'IMPORT VHC Report'!$A:$C), )</f>
        <v/>
      </c>
      <c r="C5971" s="37"/>
      <c r="D5971" s="37"/>
      <c r="E5971" s="38" t="s">
        <v>7099</v>
      </c>
      <c r="F5971" s="38" t="s">
        <v>7079</v>
      </c>
      <c r="G5971" s="38">
        <v>3.61732161455E11</v>
      </c>
      <c r="H5971" s="38" t="s">
        <v>7080</v>
      </c>
      <c r="I5971" s="38" t="s">
        <v>7081</v>
      </c>
      <c r="J5971" s="38" t="s">
        <v>4</v>
      </c>
      <c r="K5971" s="38" t="s">
        <v>126</v>
      </c>
      <c r="L5971" s="41">
        <v>46010.541666666664</v>
      </c>
      <c r="M5971" s="38" t="s">
        <v>123</v>
      </c>
      <c r="N5971" s="41">
        <v>46010.5625</v>
      </c>
      <c r="O5971" s="38" t="s">
        <v>123</v>
      </c>
      <c r="P5971" s="38">
        <v>1800.0</v>
      </c>
      <c r="Q5971" s="39"/>
      <c r="R5971" s="39"/>
      <c r="S5971" s="39"/>
      <c r="T5971" s="39"/>
      <c r="U5971" s="39"/>
    </row>
    <row r="5972">
      <c r="A5972" s="40">
        <f t="shared" si="1"/>
        <v>46006</v>
      </c>
      <c r="B5972" s="37" t="str">
        <f t="array" ref="B5972">iferror(xlookup($I5972, 'IMPORT VHC Report'!$E:$E, 'IMPORT VHC Report'!$A:$C), )</f>
        <v/>
      </c>
      <c r="C5972" s="37"/>
      <c r="D5972" s="37"/>
      <c r="E5972" s="38" t="s">
        <v>7100</v>
      </c>
      <c r="F5972" s="38" t="s">
        <v>7079</v>
      </c>
      <c r="G5972" s="38">
        <v>3.61732161455E11</v>
      </c>
      <c r="H5972" s="38" t="s">
        <v>7080</v>
      </c>
      <c r="I5972" s="38" t="s">
        <v>7081</v>
      </c>
      <c r="J5972" s="38" t="s">
        <v>178</v>
      </c>
      <c r="K5972" s="38" t="s">
        <v>153</v>
      </c>
      <c r="L5972" s="41">
        <v>46010.541666666664</v>
      </c>
      <c r="M5972" s="38" t="s">
        <v>123</v>
      </c>
      <c r="N5972" s="41">
        <v>46010.916666666664</v>
      </c>
      <c r="O5972" s="38" t="s">
        <v>123</v>
      </c>
      <c r="P5972" s="38">
        <v>32400.0</v>
      </c>
      <c r="Q5972" s="38">
        <v>28800.0</v>
      </c>
      <c r="R5972" s="38" t="s">
        <v>7101</v>
      </c>
      <c r="S5972" s="39"/>
      <c r="T5972" s="39"/>
      <c r="U5972" s="39"/>
    </row>
    <row r="5973">
      <c r="A5973" s="40">
        <f t="shared" si="1"/>
        <v>46006</v>
      </c>
      <c r="B5973" s="37" t="str">
        <f t="array" ref="B5973">iferror(xlookup($I5973, 'IMPORT VHC Report'!$E:$E, 'IMPORT VHC Report'!$A:$C), )</f>
        <v/>
      </c>
      <c r="C5973" s="37"/>
      <c r="D5973" s="37"/>
      <c r="E5973" s="38" t="s">
        <v>7102</v>
      </c>
      <c r="F5973" s="38" t="s">
        <v>7079</v>
      </c>
      <c r="G5973" s="38">
        <v>3.61732161455E11</v>
      </c>
      <c r="H5973" s="38" t="s">
        <v>7080</v>
      </c>
      <c r="I5973" s="38" t="s">
        <v>7081</v>
      </c>
      <c r="J5973" s="38" t="s">
        <v>62</v>
      </c>
      <c r="K5973" s="38" t="s">
        <v>63</v>
      </c>
      <c r="L5973" s="41">
        <v>46010.5625</v>
      </c>
      <c r="M5973" s="38" t="s">
        <v>123</v>
      </c>
      <c r="N5973" s="41">
        <v>46010.583333333336</v>
      </c>
      <c r="O5973" s="38" t="s">
        <v>123</v>
      </c>
      <c r="P5973" s="38">
        <v>1800.0</v>
      </c>
      <c r="Q5973" s="39"/>
      <c r="R5973" s="39"/>
      <c r="S5973" s="39"/>
      <c r="T5973" s="39"/>
      <c r="U5973" s="39"/>
    </row>
    <row r="5974">
      <c r="A5974" s="40">
        <f t="shared" si="1"/>
        <v>46006</v>
      </c>
      <c r="B5974" s="37" t="str">
        <f t="array" ref="B5974">iferror(xlookup($I5974, 'IMPORT VHC Report'!$E:$E, 'IMPORT VHC Report'!$A:$C), )</f>
        <v/>
      </c>
      <c r="C5974" s="37"/>
      <c r="D5974" s="37"/>
      <c r="E5974" s="38" t="s">
        <v>7103</v>
      </c>
      <c r="F5974" s="38" t="s">
        <v>7079</v>
      </c>
      <c r="G5974" s="38">
        <v>3.61732161455E11</v>
      </c>
      <c r="H5974" s="38" t="s">
        <v>7080</v>
      </c>
      <c r="I5974" s="38" t="s">
        <v>7081</v>
      </c>
      <c r="J5974" s="38" t="s">
        <v>530</v>
      </c>
      <c r="K5974" s="38" t="s">
        <v>63</v>
      </c>
      <c r="L5974" s="41">
        <v>46010.583333333336</v>
      </c>
      <c r="M5974" s="38" t="s">
        <v>123</v>
      </c>
      <c r="N5974" s="41">
        <v>46010.916666666664</v>
      </c>
      <c r="O5974" s="38" t="s">
        <v>123</v>
      </c>
      <c r="P5974" s="38">
        <v>28800.0</v>
      </c>
      <c r="Q5974" s="39"/>
      <c r="R5974" s="39"/>
      <c r="S5974" s="39"/>
      <c r="T5974" s="39"/>
      <c r="U5974" s="39"/>
    </row>
    <row r="5975">
      <c r="A5975" s="40">
        <f t="shared" si="1"/>
        <v>46006</v>
      </c>
      <c r="B5975" s="37" t="str">
        <f t="array" ref="B5975">iferror(xlookup($I5975, 'IMPORT VHC Report'!$E:$E, 'IMPORT VHC Report'!$A:$C), )</f>
        <v/>
      </c>
      <c r="C5975" s="37"/>
      <c r="D5975" s="37"/>
      <c r="E5975" s="38" t="s">
        <v>7104</v>
      </c>
      <c r="F5975" s="38" t="s">
        <v>7079</v>
      </c>
      <c r="G5975" s="38">
        <v>3.61732161455E11</v>
      </c>
      <c r="H5975" s="38" t="s">
        <v>7080</v>
      </c>
      <c r="I5975" s="38" t="s">
        <v>7081</v>
      </c>
      <c r="J5975" s="38" t="s">
        <v>132</v>
      </c>
      <c r="K5975" s="38" t="s">
        <v>126</v>
      </c>
      <c r="L5975" s="41">
        <v>46010.6875</v>
      </c>
      <c r="M5975" s="38" t="s">
        <v>123</v>
      </c>
      <c r="N5975" s="41">
        <v>46010.729166666664</v>
      </c>
      <c r="O5975" s="38" t="s">
        <v>123</v>
      </c>
      <c r="P5975" s="38">
        <v>3600.0</v>
      </c>
      <c r="Q5975" s="39"/>
      <c r="R5975" s="39"/>
      <c r="S5975" s="39"/>
      <c r="T5975" s="39"/>
      <c r="U5975" s="39"/>
    </row>
    <row r="5976">
      <c r="A5976" s="40">
        <f t="shared" si="1"/>
        <v>46006</v>
      </c>
      <c r="B5976" s="37" t="str">
        <f t="array" ref="B5976">iferror(xlookup($I5976, 'IMPORT VHC Report'!$E:$E, 'IMPORT VHC Report'!$A:$C), )</f>
        <v/>
      </c>
      <c r="C5976" s="37"/>
      <c r="D5976" s="37"/>
      <c r="E5976" s="38" t="s">
        <v>7105</v>
      </c>
      <c r="F5976" s="38" t="s">
        <v>7079</v>
      </c>
      <c r="G5976" s="38">
        <v>3.61732161455E11</v>
      </c>
      <c r="H5976" s="38" t="s">
        <v>7080</v>
      </c>
      <c r="I5976" s="38" t="s">
        <v>7081</v>
      </c>
      <c r="J5976" s="38" t="s">
        <v>134</v>
      </c>
      <c r="K5976" s="38" t="s">
        <v>126</v>
      </c>
      <c r="L5976" s="41">
        <v>46010.854166666664</v>
      </c>
      <c r="M5976" s="38" t="s">
        <v>123</v>
      </c>
      <c r="N5976" s="41">
        <v>46010.875</v>
      </c>
      <c r="O5976" s="38" t="s">
        <v>123</v>
      </c>
      <c r="P5976" s="38">
        <v>1800.0</v>
      </c>
      <c r="Q5976" s="39"/>
      <c r="R5976" s="39"/>
      <c r="S5976" s="39"/>
      <c r="T5976" s="39"/>
      <c r="U5976" s="39"/>
    </row>
    <row r="5977">
      <c r="A5977" s="40">
        <f t="shared" si="1"/>
        <v>46006</v>
      </c>
      <c r="B5977" s="37" t="str">
        <f t="array" ref="B5977">iferror(xlookup($I5977, 'IMPORT VHC Report'!$E:$E, 'IMPORT VHC Report'!$A:$C), )</f>
        <v/>
      </c>
      <c r="C5977" s="37"/>
      <c r="D5977" s="37"/>
      <c r="E5977" s="38" t="s">
        <v>7106</v>
      </c>
      <c r="F5977" s="38" t="s">
        <v>7079</v>
      </c>
      <c r="G5977" s="38">
        <v>3.61732161455E11</v>
      </c>
      <c r="H5977" s="38" t="s">
        <v>7080</v>
      </c>
      <c r="I5977" s="38" t="s">
        <v>7081</v>
      </c>
      <c r="J5977" s="38" t="s">
        <v>4</v>
      </c>
      <c r="K5977" s="38" t="s">
        <v>126</v>
      </c>
      <c r="L5977" s="41">
        <v>46011.541666666664</v>
      </c>
      <c r="M5977" s="38" t="s">
        <v>123</v>
      </c>
      <c r="N5977" s="41">
        <v>46011.5625</v>
      </c>
      <c r="O5977" s="38" t="s">
        <v>123</v>
      </c>
      <c r="P5977" s="38">
        <v>1800.0</v>
      </c>
      <c r="Q5977" s="39"/>
      <c r="R5977" s="39"/>
      <c r="S5977" s="39"/>
      <c r="T5977" s="39"/>
      <c r="U5977" s="39"/>
    </row>
    <row r="5978">
      <c r="A5978" s="40">
        <f t="shared" si="1"/>
        <v>46006</v>
      </c>
      <c r="B5978" s="37" t="str">
        <f t="array" ref="B5978">iferror(xlookup($I5978, 'IMPORT VHC Report'!$E:$E, 'IMPORT VHC Report'!$A:$C), )</f>
        <v/>
      </c>
      <c r="C5978" s="37"/>
      <c r="D5978" s="37"/>
      <c r="E5978" s="38" t="s">
        <v>7107</v>
      </c>
      <c r="F5978" s="38" t="s">
        <v>7079</v>
      </c>
      <c r="G5978" s="38">
        <v>3.61732161455E11</v>
      </c>
      <c r="H5978" s="38" t="s">
        <v>7080</v>
      </c>
      <c r="I5978" s="38" t="s">
        <v>7081</v>
      </c>
      <c r="J5978" s="38" t="s">
        <v>530</v>
      </c>
      <c r="K5978" s="38" t="s">
        <v>63</v>
      </c>
      <c r="L5978" s="41">
        <v>46011.541666666664</v>
      </c>
      <c r="M5978" s="38" t="s">
        <v>123</v>
      </c>
      <c r="N5978" s="41">
        <v>46011.916666666664</v>
      </c>
      <c r="O5978" s="38" t="s">
        <v>123</v>
      </c>
      <c r="P5978" s="38">
        <v>32400.0</v>
      </c>
      <c r="Q5978" s="39"/>
      <c r="R5978" s="39"/>
      <c r="S5978" s="39"/>
      <c r="T5978" s="39"/>
      <c r="U5978" s="39"/>
    </row>
    <row r="5979">
      <c r="A5979" s="40">
        <f t="shared" si="1"/>
        <v>46006</v>
      </c>
      <c r="B5979" s="37" t="str">
        <f t="array" ref="B5979">iferror(xlookup($I5979, 'IMPORT VHC Report'!$E:$E, 'IMPORT VHC Report'!$A:$C), )</f>
        <v/>
      </c>
      <c r="C5979" s="37"/>
      <c r="D5979" s="37"/>
      <c r="E5979" s="38" t="s">
        <v>7108</v>
      </c>
      <c r="F5979" s="38" t="s">
        <v>7079</v>
      </c>
      <c r="G5979" s="38">
        <v>3.61732161455E11</v>
      </c>
      <c r="H5979" s="38" t="s">
        <v>7080</v>
      </c>
      <c r="I5979" s="38" t="s">
        <v>7081</v>
      </c>
      <c r="J5979" s="38" t="s">
        <v>4</v>
      </c>
      <c r="K5979" s="38" t="s">
        <v>126</v>
      </c>
      <c r="L5979" s="41">
        <v>46011.5625</v>
      </c>
      <c r="M5979" s="38" t="s">
        <v>123</v>
      </c>
      <c r="N5979" s="41">
        <v>46011.604166666664</v>
      </c>
      <c r="O5979" s="38" t="s">
        <v>123</v>
      </c>
      <c r="P5979" s="38">
        <v>3600.0</v>
      </c>
      <c r="Q5979" s="39"/>
      <c r="R5979" s="39"/>
      <c r="S5979" s="38" t="s">
        <v>7109</v>
      </c>
      <c r="T5979" s="39"/>
      <c r="U5979" s="39"/>
    </row>
    <row r="5980">
      <c r="A5980" s="40">
        <f t="shared" si="1"/>
        <v>46006</v>
      </c>
      <c r="B5980" s="37" t="str">
        <f t="array" ref="B5980">iferror(xlookup($I5980, 'IMPORT VHC Report'!$E:$E, 'IMPORT VHC Report'!$A:$C), )</f>
        <v/>
      </c>
      <c r="C5980" s="37"/>
      <c r="D5980" s="37"/>
      <c r="E5980" s="38" t="s">
        <v>7110</v>
      </c>
      <c r="F5980" s="38" t="s">
        <v>7079</v>
      </c>
      <c r="G5980" s="38">
        <v>3.61732161455E11</v>
      </c>
      <c r="H5980" s="38" t="s">
        <v>7080</v>
      </c>
      <c r="I5980" s="38" t="s">
        <v>7081</v>
      </c>
      <c r="J5980" s="38" t="s">
        <v>134</v>
      </c>
      <c r="K5980" s="38" t="s">
        <v>126</v>
      </c>
      <c r="L5980" s="41">
        <v>46011.677083333336</v>
      </c>
      <c r="M5980" s="38" t="s">
        <v>123</v>
      </c>
      <c r="N5980" s="41">
        <v>46011.697916666664</v>
      </c>
      <c r="O5980" s="38" t="s">
        <v>123</v>
      </c>
      <c r="P5980" s="38">
        <v>1800.0</v>
      </c>
      <c r="Q5980" s="39"/>
      <c r="R5980" s="39"/>
      <c r="S5980" s="39"/>
      <c r="T5980" s="39"/>
      <c r="U5980" s="39"/>
    </row>
    <row r="5981">
      <c r="A5981" s="40">
        <f t="shared" si="1"/>
        <v>46006</v>
      </c>
      <c r="B5981" s="37" t="str">
        <f t="array" ref="B5981">iferror(xlookup($I5981, 'IMPORT VHC Report'!$E:$E, 'IMPORT VHC Report'!$A:$C), )</f>
        <v/>
      </c>
      <c r="C5981" s="37"/>
      <c r="D5981" s="37"/>
      <c r="E5981" s="38" t="s">
        <v>7111</v>
      </c>
      <c r="F5981" s="38" t="s">
        <v>7079</v>
      </c>
      <c r="G5981" s="38">
        <v>3.61732161455E11</v>
      </c>
      <c r="H5981" s="38" t="s">
        <v>7080</v>
      </c>
      <c r="I5981" s="38" t="s">
        <v>7081</v>
      </c>
      <c r="J5981" s="38" t="s">
        <v>4</v>
      </c>
      <c r="K5981" s="38" t="s">
        <v>126</v>
      </c>
      <c r="L5981" s="41">
        <v>46011.697916666664</v>
      </c>
      <c r="M5981" s="38" t="s">
        <v>123</v>
      </c>
      <c r="N5981" s="41">
        <v>46011.72222222222</v>
      </c>
      <c r="O5981" s="38" t="s">
        <v>123</v>
      </c>
      <c r="P5981" s="38">
        <v>2100.0</v>
      </c>
      <c r="Q5981" s="39"/>
      <c r="R5981" s="39"/>
      <c r="S5981" s="38" t="s">
        <v>7112</v>
      </c>
      <c r="T5981" s="39"/>
      <c r="U5981" s="39"/>
    </row>
    <row r="5982">
      <c r="A5982" s="40">
        <f t="shared" si="1"/>
        <v>46006</v>
      </c>
      <c r="B5982" s="37" t="str">
        <f t="array" ref="B5982">iferror(xlookup($I5982, 'IMPORT VHC Report'!$E:$E, 'IMPORT VHC Report'!$A:$C), )</f>
        <v/>
      </c>
      <c r="C5982" s="37"/>
      <c r="D5982" s="37"/>
      <c r="E5982" s="38" t="s">
        <v>7113</v>
      </c>
      <c r="F5982" s="38" t="s">
        <v>7079</v>
      </c>
      <c r="G5982" s="38">
        <v>3.61732161455E11</v>
      </c>
      <c r="H5982" s="38" t="s">
        <v>7080</v>
      </c>
      <c r="I5982" s="38" t="s">
        <v>7081</v>
      </c>
      <c r="J5982" s="38" t="s">
        <v>132</v>
      </c>
      <c r="K5982" s="38" t="s">
        <v>126</v>
      </c>
      <c r="L5982" s="41">
        <v>46011.8125</v>
      </c>
      <c r="M5982" s="38" t="s">
        <v>123</v>
      </c>
      <c r="N5982" s="41">
        <v>46011.854166666664</v>
      </c>
      <c r="O5982" s="38" t="s">
        <v>123</v>
      </c>
      <c r="P5982" s="38">
        <v>3600.0</v>
      </c>
      <c r="Q5982" s="39"/>
      <c r="R5982" s="39"/>
      <c r="S5982" s="39"/>
      <c r="T5982" s="39"/>
      <c r="U5982" s="39"/>
    </row>
    <row r="5983">
      <c r="A5983" s="40">
        <f t="shared" si="1"/>
        <v>46006</v>
      </c>
      <c r="B5983" s="37" t="str">
        <f t="array" ref="B5983">iferror(xlookup($I5983, 'IMPORT VHC Report'!$E:$E, 'IMPORT VHC Report'!$A:$C), )</f>
        <v/>
      </c>
      <c r="C5983" s="37"/>
      <c r="D5983" s="37"/>
      <c r="E5983" s="38" t="s">
        <v>7114</v>
      </c>
      <c r="F5983" s="38" t="s">
        <v>7115</v>
      </c>
      <c r="G5983" s="38">
        <v>3.61725261076E11</v>
      </c>
      <c r="H5983" s="38" t="s">
        <v>7116</v>
      </c>
      <c r="I5983" s="38" t="s">
        <v>7117</v>
      </c>
      <c r="J5983" s="38" t="s">
        <v>4</v>
      </c>
      <c r="K5983" s="38" t="s">
        <v>126</v>
      </c>
      <c r="L5983" s="41">
        <v>46007.541666666664</v>
      </c>
      <c r="M5983" s="38" t="s">
        <v>123</v>
      </c>
      <c r="N5983" s="41">
        <v>46007.5625</v>
      </c>
      <c r="O5983" s="38" t="s">
        <v>123</v>
      </c>
      <c r="P5983" s="38">
        <v>1800.0</v>
      </c>
      <c r="Q5983" s="39"/>
      <c r="R5983" s="39"/>
      <c r="S5983" s="39"/>
      <c r="T5983" s="39"/>
      <c r="U5983" s="39"/>
    </row>
    <row r="5984">
      <c r="A5984" s="40">
        <f t="shared" si="1"/>
        <v>46006</v>
      </c>
      <c r="B5984" s="37" t="str">
        <f t="array" ref="B5984">iferror(xlookup($I5984, 'IMPORT VHC Report'!$E:$E, 'IMPORT VHC Report'!$A:$C), )</f>
        <v/>
      </c>
      <c r="C5984" s="37"/>
      <c r="D5984" s="37"/>
      <c r="E5984" s="38" t="s">
        <v>7118</v>
      </c>
      <c r="F5984" s="38" t="s">
        <v>7115</v>
      </c>
      <c r="G5984" s="38">
        <v>3.61725261076E11</v>
      </c>
      <c r="H5984" s="38" t="s">
        <v>7116</v>
      </c>
      <c r="I5984" s="38" t="s">
        <v>7117</v>
      </c>
      <c r="J5984" s="38" t="s">
        <v>530</v>
      </c>
      <c r="K5984" s="38" t="s">
        <v>63</v>
      </c>
      <c r="L5984" s="41">
        <v>46007.541666666664</v>
      </c>
      <c r="M5984" s="38" t="s">
        <v>123</v>
      </c>
      <c r="N5984" s="41">
        <v>46007.635416666664</v>
      </c>
      <c r="O5984" s="38" t="s">
        <v>123</v>
      </c>
      <c r="P5984" s="38">
        <v>8100.0</v>
      </c>
      <c r="Q5984" s="39"/>
      <c r="R5984" s="39"/>
      <c r="S5984" s="39"/>
      <c r="T5984" s="39"/>
      <c r="U5984" s="39"/>
    </row>
    <row r="5985">
      <c r="A5985" s="40">
        <f t="shared" si="1"/>
        <v>46006</v>
      </c>
      <c r="B5985" s="37" t="str">
        <f t="array" ref="B5985">iferror(xlookup($I5985, 'IMPORT VHC Report'!$E:$E, 'IMPORT VHC Report'!$A:$C), )</f>
        <v/>
      </c>
      <c r="C5985" s="37"/>
      <c r="D5985" s="37"/>
      <c r="E5985" s="38" t="s">
        <v>7119</v>
      </c>
      <c r="F5985" s="38" t="s">
        <v>7115</v>
      </c>
      <c r="G5985" s="38">
        <v>3.61725261076E11</v>
      </c>
      <c r="H5985" s="38" t="s">
        <v>7116</v>
      </c>
      <c r="I5985" s="38" t="s">
        <v>7117</v>
      </c>
      <c r="J5985" s="38" t="s">
        <v>4</v>
      </c>
      <c r="K5985" s="38" t="s">
        <v>126</v>
      </c>
      <c r="L5985" s="41">
        <v>46007.583333333336</v>
      </c>
      <c r="M5985" s="38" t="s">
        <v>123</v>
      </c>
      <c r="N5985" s="41">
        <v>46007.625</v>
      </c>
      <c r="O5985" s="38" t="s">
        <v>123</v>
      </c>
      <c r="P5985" s="38">
        <v>3600.0</v>
      </c>
      <c r="Q5985" s="39"/>
      <c r="R5985" s="39"/>
      <c r="S5985" s="38" t="s">
        <v>7120</v>
      </c>
      <c r="T5985" s="39"/>
      <c r="U5985" s="39"/>
    </row>
    <row r="5986">
      <c r="A5986" s="40">
        <f t="shared" si="1"/>
        <v>46006</v>
      </c>
      <c r="B5986" s="37" t="str">
        <f t="array" ref="B5986">iferror(xlookup($I5986, 'IMPORT VHC Report'!$E:$E, 'IMPORT VHC Report'!$A:$C), )</f>
        <v/>
      </c>
      <c r="C5986" s="37"/>
      <c r="D5986" s="37"/>
      <c r="E5986" s="38" t="s">
        <v>7121</v>
      </c>
      <c r="F5986" s="38" t="s">
        <v>7115</v>
      </c>
      <c r="G5986" s="38">
        <v>3.61725261076E11</v>
      </c>
      <c r="H5986" s="38" t="s">
        <v>7116</v>
      </c>
      <c r="I5986" s="38" t="s">
        <v>7117</v>
      </c>
      <c r="J5986" s="38" t="s">
        <v>132</v>
      </c>
      <c r="K5986" s="38" t="s">
        <v>126</v>
      </c>
      <c r="L5986" s="41">
        <v>46007.635416666664</v>
      </c>
      <c r="M5986" s="38" t="s">
        <v>123</v>
      </c>
      <c r="N5986" s="41">
        <v>46007.666666666664</v>
      </c>
      <c r="O5986" s="38" t="s">
        <v>123</v>
      </c>
      <c r="P5986" s="38">
        <v>2700.0</v>
      </c>
      <c r="Q5986" s="39"/>
      <c r="R5986" s="39"/>
      <c r="S5986" s="39"/>
      <c r="T5986" s="39"/>
      <c r="U5986" s="39"/>
    </row>
    <row r="5987">
      <c r="A5987" s="40">
        <f t="shared" si="1"/>
        <v>46006</v>
      </c>
      <c r="B5987" s="37" t="str">
        <f t="array" ref="B5987">iferror(xlookup($I5987, 'IMPORT VHC Report'!$E:$E, 'IMPORT VHC Report'!$A:$C), )</f>
        <v/>
      </c>
      <c r="C5987" s="37"/>
      <c r="D5987" s="37"/>
      <c r="E5987" s="38" t="s">
        <v>7122</v>
      </c>
      <c r="F5987" s="38" t="s">
        <v>7115</v>
      </c>
      <c r="G5987" s="38">
        <v>3.61725261076E11</v>
      </c>
      <c r="H5987" s="38" t="s">
        <v>7116</v>
      </c>
      <c r="I5987" s="38" t="s">
        <v>7117</v>
      </c>
      <c r="J5987" s="38" t="s">
        <v>530</v>
      </c>
      <c r="K5987" s="38" t="s">
        <v>63</v>
      </c>
      <c r="L5987" s="41">
        <v>46007.635416666664</v>
      </c>
      <c r="M5987" s="38" t="s">
        <v>123</v>
      </c>
      <c r="N5987" s="41">
        <v>46007.666666666664</v>
      </c>
      <c r="O5987" s="38" t="s">
        <v>123</v>
      </c>
      <c r="P5987" s="38">
        <v>2700.0</v>
      </c>
      <c r="Q5987" s="39"/>
      <c r="R5987" s="39"/>
      <c r="S5987" s="39"/>
      <c r="T5987" s="39"/>
      <c r="U5987" s="39"/>
    </row>
    <row r="5988">
      <c r="A5988" s="40">
        <f t="shared" si="1"/>
        <v>46006</v>
      </c>
      <c r="B5988" s="37" t="str">
        <f t="array" ref="B5988">iferror(xlookup($I5988, 'IMPORT VHC Report'!$E:$E, 'IMPORT VHC Report'!$A:$C), )</f>
        <v/>
      </c>
      <c r="C5988" s="37"/>
      <c r="D5988" s="37"/>
      <c r="E5988" s="38" t="s">
        <v>7123</v>
      </c>
      <c r="F5988" s="38" t="s">
        <v>7115</v>
      </c>
      <c r="G5988" s="38">
        <v>3.61725261076E11</v>
      </c>
      <c r="H5988" s="38" t="s">
        <v>7116</v>
      </c>
      <c r="I5988" s="38" t="s">
        <v>7117</v>
      </c>
      <c r="J5988" s="38" t="s">
        <v>132</v>
      </c>
      <c r="K5988" s="38" t="s">
        <v>126</v>
      </c>
      <c r="L5988" s="41">
        <v>46007.666666666664</v>
      </c>
      <c r="M5988" s="38" t="s">
        <v>123</v>
      </c>
      <c r="N5988" s="41">
        <v>46007.708333333336</v>
      </c>
      <c r="O5988" s="38" t="s">
        <v>123</v>
      </c>
      <c r="P5988" s="38">
        <v>3600.0</v>
      </c>
      <c r="Q5988" s="39"/>
      <c r="R5988" s="39"/>
      <c r="S5988" s="39"/>
      <c r="T5988" s="39"/>
      <c r="U5988" s="39"/>
    </row>
    <row r="5989">
      <c r="A5989" s="40">
        <f t="shared" si="1"/>
        <v>46006</v>
      </c>
      <c r="B5989" s="37" t="str">
        <f t="array" ref="B5989">iferror(xlookup($I5989, 'IMPORT VHC Report'!$E:$E, 'IMPORT VHC Report'!$A:$C), )</f>
        <v/>
      </c>
      <c r="C5989" s="37"/>
      <c r="D5989" s="37"/>
      <c r="E5989" s="38" t="s">
        <v>7124</v>
      </c>
      <c r="F5989" s="38" t="s">
        <v>7115</v>
      </c>
      <c r="G5989" s="38">
        <v>3.61725261076E11</v>
      </c>
      <c r="H5989" s="38" t="s">
        <v>7116</v>
      </c>
      <c r="I5989" s="38" t="s">
        <v>7117</v>
      </c>
      <c r="J5989" s="38" t="s">
        <v>530</v>
      </c>
      <c r="K5989" s="38" t="s">
        <v>63</v>
      </c>
      <c r="L5989" s="41">
        <v>46007.666666666664</v>
      </c>
      <c r="M5989" s="38" t="s">
        <v>123</v>
      </c>
      <c r="N5989" s="41">
        <v>46007.791666666664</v>
      </c>
      <c r="O5989" s="38" t="s">
        <v>123</v>
      </c>
      <c r="P5989" s="38">
        <v>10800.0</v>
      </c>
      <c r="Q5989" s="39"/>
      <c r="R5989" s="39"/>
      <c r="S5989" s="39"/>
      <c r="T5989" s="39"/>
      <c r="U5989" s="39"/>
    </row>
    <row r="5990">
      <c r="A5990" s="40">
        <f t="shared" si="1"/>
        <v>46006</v>
      </c>
      <c r="B5990" s="37" t="str">
        <f t="array" ref="B5990">iferror(xlookup($I5990, 'IMPORT VHC Report'!$E:$E, 'IMPORT VHC Report'!$A:$C), )</f>
        <v/>
      </c>
      <c r="C5990" s="37"/>
      <c r="D5990" s="37"/>
      <c r="E5990" s="38" t="s">
        <v>7125</v>
      </c>
      <c r="F5990" s="38" t="s">
        <v>7115</v>
      </c>
      <c r="G5990" s="38">
        <v>3.61725261076E11</v>
      </c>
      <c r="H5990" s="38" t="s">
        <v>7116</v>
      </c>
      <c r="I5990" s="38" t="s">
        <v>7117</v>
      </c>
      <c r="J5990" s="38" t="s">
        <v>530</v>
      </c>
      <c r="K5990" s="38" t="s">
        <v>63</v>
      </c>
      <c r="L5990" s="41">
        <v>46007.791666666664</v>
      </c>
      <c r="M5990" s="38" t="s">
        <v>123</v>
      </c>
      <c r="N5990" s="41">
        <v>46007.8125</v>
      </c>
      <c r="O5990" s="38" t="s">
        <v>123</v>
      </c>
      <c r="P5990" s="38">
        <v>1800.0</v>
      </c>
      <c r="Q5990" s="39"/>
      <c r="R5990" s="39"/>
      <c r="S5990" s="39"/>
      <c r="T5990" s="39"/>
      <c r="U5990" s="39"/>
    </row>
    <row r="5991">
      <c r="A5991" s="40">
        <f t="shared" si="1"/>
        <v>46006</v>
      </c>
      <c r="B5991" s="37" t="str">
        <f t="array" ref="B5991">iferror(xlookup($I5991, 'IMPORT VHC Report'!$E:$E, 'IMPORT VHC Report'!$A:$C), )</f>
        <v/>
      </c>
      <c r="C5991" s="37"/>
      <c r="D5991" s="37"/>
      <c r="E5991" s="38" t="s">
        <v>7126</v>
      </c>
      <c r="F5991" s="38" t="s">
        <v>7115</v>
      </c>
      <c r="G5991" s="38">
        <v>3.61725261076E11</v>
      </c>
      <c r="H5991" s="38" t="s">
        <v>7116</v>
      </c>
      <c r="I5991" s="38" t="s">
        <v>7117</v>
      </c>
      <c r="J5991" s="38" t="s">
        <v>134</v>
      </c>
      <c r="K5991" s="38" t="s">
        <v>126</v>
      </c>
      <c r="L5991" s="41">
        <v>46007.791666666664</v>
      </c>
      <c r="M5991" s="38" t="s">
        <v>123</v>
      </c>
      <c r="N5991" s="41">
        <v>46007.8125</v>
      </c>
      <c r="O5991" s="38" t="s">
        <v>123</v>
      </c>
      <c r="P5991" s="38">
        <v>1800.0</v>
      </c>
      <c r="Q5991" s="39"/>
      <c r="R5991" s="39"/>
      <c r="S5991" s="39"/>
      <c r="T5991" s="39"/>
      <c r="U5991" s="39"/>
    </row>
    <row r="5992">
      <c r="A5992" s="40">
        <f t="shared" si="1"/>
        <v>46006</v>
      </c>
      <c r="B5992" s="37" t="str">
        <f t="array" ref="B5992">iferror(xlookup($I5992, 'IMPORT VHC Report'!$E:$E, 'IMPORT VHC Report'!$A:$C), )</f>
        <v/>
      </c>
      <c r="C5992" s="37"/>
      <c r="D5992" s="37"/>
      <c r="E5992" s="38" t="s">
        <v>7127</v>
      </c>
      <c r="F5992" s="38" t="s">
        <v>7115</v>
      </c>
      <c r="G5992" s="38">
        <v>3.61725261076E11</v>
      </c>
      <c r="H5992" s="38" t="s">
        <v>7116</v>
      </c>
      <c r="I5992" s="38" t="s">
        <v>7117</v>
      </c>
      <c r="J5992" s="38" t="s">
        <v>134</v>
      </c>
      <c r="K5992" s="38" t="s">
        <v>126</v>
      </c>
      <c r="L5992" s="41">
        <v>46007.8125</v>
      </c>
      <c r="M5992" s="38" t="s">
        <v>123</v>
      </c>
      <c r="N5992" s="41">
        <v>46007.833333333336</v>
      </c>
      <c r="O5992" s="38" t="s">
        <v>123</v>
      </c>
      <c r="P5992" s="38">
        <v>1800.0</v>
      </c>
      <c r="Q5992" s="39"/>
      <c r="R5992" s="39"/>
      <c r="S5992" s="39"/>
      <c r="T5992" s="39"/>
      <c r="U5992" s="39"/>
    </row>
    <row r="5993">
      <c r="A5993" s="40">
        <f t="shared" si="1"/>
        <v>46006</v>
      </c>
      <c r="B5993" s="37" t="str">
        <f t="array" ref="B5993">iferror(xlookup($I5993, 'IMPORT VHC Report'!$E:$E, 'IMPORT VHC Report'!$A:$C), )</f>
        <v/>
      </c>
      <c r="C5993" s="37"/>
      <c r="D5993" s="37"/>
      <c r="E5993" s="38" t="s">
        <v>7128</v>
      </c>
      <c r="F5993" s="38" t="s">
        <v>7115</v>
      </c>
      <c r="G5993" s="38">
        <v>3.61725261076E11</v>
      </c>
      <c r="H5993" s="38" t="s">
        <v>7116</v>
      </c>
      <c r="I5993" s="38" t="s">
        <v>7117</v>
      </c>
      <c r="J5993" s="38" t="s">
        <v>530</v>
      </c>
      <c r="K5993" s="38" t="s">
        <v>63</v>
      </c>
      <c r="L5993" s="41">
        <v>46007.8125</v>
      </c>
      <c r="M5993" s="38" t="s">
        <v>123</v>
      </c>
      <c r="N5993" s="41">
        <v>46007.916666666664</v>
      </c>
      <c r="O5993" s="38" t="s">
        <v>123</v>
      </c>
      <c r="P5993" s="38">
        <v>9000.0</v>
      </c>
      <c r="Q5993" s="39"/>
      <c r="R5993" s="39"/>
      <c r="S5993" s="39"/>
      <c r="T5993" s="39"/>
      <c r="U5993" s="39"/>
    </row>
    <row r="5994">
      <c r="A5994" s="40">
        <f t="shared" si="1"/>
        <v>46006</v>
      </c>
      <c r="B5994" s="37" t="str">
        <f t="array" ref="B5994">iferror(xlookup($I5994, 'IMPORT VHC Report'!$E:$E, 'IMPORT VHC Report'!$A:$C), )</f>
        <v/>
      </c>
      <c r="C5994" s="37"/>
      <c r="D5994" s="37"/>
      <c r="E5994" s="38" t="s">
        <v>7129</v>
      </c>
      <c r="F5994" s="38" t="s">
        <v>7115</v>
      </c>
      <c r="G5994" s="38">
        <v>3.61725261076E11</v>
      </c>
      <c r="H5994" s="38" t="s">
        <v>7116</v>
      </c>
      <c r="I5994" s="38" t="s">
        <v>7117</v>
      </c>
      <c r="J5994" s="38" t="s">
        <v>4</v>
      </c>
      <c r="K5994" s="38" t="s">
        <v>126</v>
      </c>
      <c r="L5994" s="41">
        <v>46008.541666666664</v>
      </c>
      <c r="M5994" s="38" t="s">
        <v>123</v>
      </c>
      <c r="N5994" s="41">
        <v>46008.5625</v>
      </c>
      <c r="O5994" s="38" t="s">
        <v>123</v>
      </c>
      <c r="P5994" s="38">
        <v>1800.0</v>
      </c>
      <c r="Q5994" s="39"/>
      <c r="R5994" s="39"/>
      <c r="S5994" s="39"/>
      <c r="T5994" s="39"/>
      <c r="U5994" s="39"/>
    </row>
    <row r="5995">
      <c r="A5995" s="40">
        <f t="shared" si="1"/>
        <v>46006</v>
      </c>
      <c r="B5995" s="37" t="str">
        <f t="array" ref="B5995">iferror(xlookup($I5995, 'IMPORT VHC Report'!$E:$E, 'IMPORT VHC Report'!$A:$C), )</f>
        <v/>
      </c>
      <c r="C5995" s="37"/>
      <c r="D5995" s="37"/>
      <c r="E5995" s="38" t="s">
        <v>7130</v>
      </c>
      <c r="F5995" s="38" t="s">
        <v>7115</v>
      </c>
      <c r="G5995" s="38">
        <v>3.61725261076E11</v>
      </c>
      <c r="H5995" s="38" t="s">
        <v>7116</v>
      </c>
      <c r="I5995" s="38" t="s">
        <v>7117</v>
      </c>
      <c r="J5995" s="38" t="s">
        <v>530</v>
      </c>
      <c r="K5995" s="38" t="s">
        <v>63</v>
      </c>
      <c r="L5995" s="41">
        <v>46008.541666666664</v>
      </c>
      <c r="M5995" s="38" t="s">
        <v>123</v>
      </c>
      <c r="N5995" s="41">
        <v>46008.635416666664</v>
      </c>
      <c r="O5995" s="38" t="s">
        <v>123</v>
      </c>
      <c r="P5995" s="38">
        <v>8100.0</v>
      </c>
      <c r="Q5995" s="39"/>
      <c r="R5995" s="39"/>
      <c r="S5995" s="39"/>
      <c r="T5995" s="39"/>
      <c r="U5995" s="39"/>
    </row>
    <row r="5996">
      <c r="A5996" s="40">
        <f t="shared" si="1"/>
        <v>46006</v>
      </c>
      <c r="B5996" s="37" t="str">
        <f t="array" ref="B5996">iferror(xlookup($I5996, 'IMPORT VHC Report'!$E:$E, 'IMPORT VHC Report'!$A:$C), )</f>
        <v/>
      </c>
      <c r="C5996" s="37"/>
      <c r="D5996" s="37"/>
      <c r="E5996" s="38" t="s">
        <v>7131</v>
      </c>
      <c r="F5996" s="38" t="s">
        <v>7115</v>
      </c>
      <c r="G5996" s="38">
        <v>3.61725261076E11</v>
      </c>
      <c r="H5996" s="38" t="s">
        <v>7116</v>
      </c>
      <c r="I5996" s="38" t="s">
        <v>7117</v>
      </c>
      <c r="J5996" s="38" t="s">
        <v>4</v>
      </c>
      <c r="K5996" s="38" t="s">
        <v>126</v>
      </c>
      <c r="L5996" s="41">
        <v>46008.5625</v>
      </c>
      <c r="M5996" s="38" t="s">
        <v>123</v>
      </c>
      <c r="N5996" s="41">
        <v>46008.604166666664</v>
      </c>
      <c r="O5996" s="38" t="s">
        <v>123</v>
      </c>
      <c r="P5996" s="38">
        <v>3600.0</v>
      </c>
      <c r="Q5996" s="39"/>
      <c r="R5996" s="39"/>
      <c r="S5996" s="38" t="s">
        <v>1209</v>
      </c>
      <c r="T5996" s="39"/>
      <c r="U5996" s="39"/>
    </row>
    <row r="5997">
      <c r="A5997" s="40">
        <f t="shared" si="1"/>
        <v>46006</v>
      </c>
      <c r="B5997" s="37" t="str">
        <f t="array" ref="B5997">iferror(xlookup($I5997, 'IMPORT VHC Report'!$E:$E, 'IMPORT VHC Report'!$A:$C), )</f>
        <v/>
      </c>
      <c r="C5997" s="37"/>
      <c r="D5997" s="37"/>
      <c r="E5997" s="38" t="s">
        <v>7132</v>
      </c>
      <c r="F5997" s="38" t="s">
        <v>7115</v>
      </c>
      <c r="G5997" s="38">
        <v>3.61725261076E11</v>
      </c>
      <c r="H5997" s="38" t="s">
        <v>7116</v>
      </c>
      <c r="I5997" s="38" t="s">
        <v>7117</v>
      </c>
      <c r="J5997" s="38" t="s">
        <v>530</v>
      </c>
      <c r="K5997" s="38" t="s">
        <v>63</v>
      </c>
      <c r="L5997" s="41">
        <v>46008.635416666664</v>
      </c>
      <c r="M5997" s="38" t="s">
        <v>123</v>
      </c>
      <c r="N5997" s="41">
        <v>46008.677083333336</v>
      </c>
      <c r="O5997" s="38" t="s">
        <v>123</v>
      </c>
      <c r="P5997" s="38">
        <v>3600.0</v>
      </c>
      <c r="Q5997" s="39"/>
      <c r="R5997" s="39"/>
      <c r="S5997" s="39"/>
      <c r="T5997" s="39"/>
      <c r="U5997" s="39"/>
    </row>
    <row r="5998">
      <c r="A5998" s="40">
        <f t="shared" si="1"/>
        <v>46006</v>
      </c>
      <c r="B5998" s="37" t="str">
        <f t="array" ref="B5998">iferror(xlookup($I5998, 'IMPORT VHC Report'!$E:$E, 'IMPORT VHC Report'!$A:$C), )</f>
        <v/>
      </c>
      <c r="C5998" s="37"/>
      <c r="D5998" s="37"/>
      <c r="E5998" s="38" t="s">
        <v>7133</v>
      </c>
      <c r="F5998" s="38" t="s">
        <v>7115</v>
      </c>
      <c r="G5998" s="38">
        <v>3.61725261076E11</v>
      </c>
      <c r="H5998" s="38" t="s">
        <v>7116</v>
      </c>
      <c r="I5998" s="38" t="s">
        <v>7117</v>
      </c>
      <c r="J5998" s="38" t="s">
        <v>132</v>
      </c>
      <c r="K5998" s="38" t="s">
        <v>126</v>
      </c>
      <c r="L5998" s="41">
        <v>46008.635416666664</v>
      </c>
      <c r="M5998" s="38" t="s">
        <v>123</v>
      </c>
      <c r="N5998" s="41">
        <v>46008.677083333336</v>
      </c>
      <c r="O5998" s="38" t="s">
        <v>123</v>
      </c>
      <c r="P5998" s="38">
        <v>3600.0</v>
      </c>
      <c r="Q5998" s="39"/>
      <c r="R5998" s="39"/>
      <c r="S5998" s="39"/>
      <c r="T5998" s="39"/>
      <c r="U5998" s="39"/>
    </row>
    <row r="5999">
      <c r="A5999" s="40">
        <f t="shared" si="1"/>
        <v>46006</v>
      </c>
      <c r="B5999" s="37" t="str">
        <f t="array" ref="B5999">iferror(xlookup($I5999, 'IMPORT VHC Report'!$E:$E, 'IMPORT VHC Report'!$A:$C), )</f>
        <v/>
      </c>
      <c r="C5999" s="37"/>
      <c r="D5999" s="37"/>
      <c r="E5999" s="38" t="s">
        <v>7134</v>
      </c>
      <c r="F5999" s="38" t="s">
        <v>7115</v>
      </c>
      <c r="G5999" s="38">
        <v>3.61725261076E11</v>
      </c>
      <c r="H5999" s="38" t="s">
        <v>7116</v>
      </c>
      <c r="I5999" s="38" t="s">
        <v>7117</v>
      </c>
      <c r="J5999" s="38" t="s">
        <v>530</v>
      </c>
      <c r="K5999" s="38" t="s">
        <v>63</v>
      </c>
      <c r="L5999" s="41">
        <v>46008.677083333336</v>
      </c>
      <c r="M5999" s="38" t="s">
        <v>123</v>
      </c>
      <c r="N5999" s="41">
        <v>46008.916666666664</v>
      </c>
      <c r="O5999" s="38" t="s">
        <v>123</v>
      </c>
      <c r="P5999" s="38">
        <v>20700.0</v>
      </c>
      <c r="Q5999" s="39"/>
      <c r="R5999" s="39"/>
      <c r="S5999" s="39"/>
      <c r="T5999" s="39"/>
      <c r="U5999" s="39"/>
    </row>
    <row r="6000">
      <c r="A6000" s="40">
        <f t="shared" si="1"/>
        <v>46006</v>
      </c>
      <c r="B6000" s="37" t="str">
        <f t="array" ref="B6000">iferror(xlookup($I6000, 'IMPORT VHC Report'!$E:$E, 'IMPORT VHC Report'!$A:$C), )</f>
        <v/>
      </c>
      <c r="C6000" s="37"/>
      <c r="D6000" s="37"/>
      <c r="E6000" s="38" t="s">
        <v>7135</v>
      </c>
      <c r="F6000" s="38" t="s">
        <v>7115</v>
      </c>
      <c r="G6000" s="38">
        <v>3.61725261076E11</v>
      </c>
      <c r="H6000" s="38" t="s">
        <v>7116</v>
      </c>
      <c r="I6000" s="38" t="s">
        <v>7117</v>
      </c>
      <c r="J6000" s="38" t="s">
        <v>132</v>
      </c>
      <c r="K6000" s="38" t="s">
        <v>126</v>
      </c>
      <c r="L6000" s="41">
        <v>46008.6875</v>
      </c>
      <c r="M6000" s="38" t="s">
        <v>123</v>
      </c>
      <c r="N6000" s="41">
        <v>46008.729166666664</v>
      </c>
      <c r="O6000" s="38" t="s">
        <v>123</v>
      </c>
      <c r="P6000" s="38">
        <v>3600.0</v>
      </c>
      <c r="Q6000" s="39"/>
      <c r="R6000" s="39"/>
      <c r="S6000" s="39"/>
      <c r="T6000" s="39"/>
      <c r="U6000" s="39"/>
    </row>
    <row r="6001">
      <c r="A6001" s="40">
        <f t="shared" si="1"/>
        <v>46006</v>
      </c>
      <c r="B6001" s="37" t="str">
        <f t="array" ref="B6001">iferror(xlookup($I6001, 'IMPORT VHC Report'!$E:$E, 'IMPORT VHC Report'!$A:$C), )</f>
        <v/>
      </c>
      <c r="C6001" s="37"/>
      <c r="D6001" s="37"/>
      <c r="E6001" s="38" t="s">
        <v>7136</v>
      </c>
      <c r="F6001" s="38" t="s">
        <v>7115</v>
      </c>
      <c r="G6001" s="38">
        <v>3.61725261076E11</v>
      </c>
      <c r="H6001" s="38" t="s">
        <v>7116</v>
      </c>
      <c r="I6001" s="38" t="s">
        <v>7117</v>
      </c>
      <c r="J6001" s="38" t="s">
        <v>134</v>
      </c>
      <c r="K6001" s="38" t="s">
        <v>126</v>
      </c>
      <c r="L6001" s="41">
        <v>46008.791666666664</v>
      </c>
      <c r="M6001" s="38" t="s">
        <v>123</v>
      </c>
      <c r="N6001" s="41">
        <v>46008.8125</v>
      </c>
      <c r="O6001" s="38" t="s">
        <v>123</v>
      </c>
      <c r="P6001" s="38">
        <v>1800.0</v>
      </c>
      <c r="Q6001" s="39"/>
      <c r="R6001" s="39"/>
      <c r="S6001" s="39"/>
      <c r="T6001" s="39"/>
      <c r="U6001" s="39"/>
    </row>
    <row r="6002">
      <c r="A6002" s="40">
        <f t="shared" si="1"/>
        <v>46006</v>
      </c>
      <c r="B6002" s="37" t="str">
        <f t="array" ref="B6002">iferror(xlookup($I6002, 'IMPORT VHC Report'!$E:$E, 'IMPORT VHC Report'!$A:$C), )</f>
        <v/>
      </c>
      <c r="C6002" s="37"/>
      <c r="D6002" s="37"/>
      <c r="E6002" s="38" t="s">
        <v>7137</v>
      </c>
      <c r="F6002" s="38" t="s">
        <v>7115</v>
      </c>
      <c r="G6002" s="38">
        <v>3.61725261076E11</v>
      </c>
      <c r="H6002" s="38" t="s">
        <v>7116</v>
      </c>
      <c r="I6002" s="38" t="s">
        <v>7117</v>
      </c>
      <c r="J6002" s="38" t="s">
        <v>4</v>
      </c>
      <c r="K6002" s="38" t="s">
        <v>126</v>
      </c>
      <c r="L6002" s="41">
        <v>46009.541666666664</v>
      </c>
      <c r="M6002" s="38" t="s">
        <v>123</v>
      </c>
      <c r="N6002" s="41">
        <v>46009.604166666664</v>
      </c>
      <c r="O6002" s="38" t="s">
        <v>123</v>
      </c>
      <c r="P6002" s="38">
        <v>5400.0</v>
      </c>
      <c r="Q6002" s="39"/>
      <c r="R6002" s="39"/>
      <c r="S6002" s="38" t="s">
        <v>7138</v>
      </c>
      <c r="T6002" s="39"/>
      <c r="U6002" s="39"/>
    </row>
    <row r="6003">
      <c r="A6003" s="40">
        <f t="shared" si="1"/>
        <v>46006</v>
      </c>
      <c r="B6003" s="37" t="str">
        <f t="array" ref="B6003">iferror(xlookup($I6003, 'IMPORT VHC Report'!$E:$E, 'IMPORT VHC Report'!$A:$C), )</f>
        <v/>
      </c>
      <c r="C6003" s="37"/>
      <c r="D6003" s="37"/>
      <c r="E6003" s="38" t="s">
        <v>7139</v>
      </c>
      <c r="F6003" s="38" t="s">
        <v>7115</v>
      </c>
      <c r="G6003" s="38">
        <v>3.61725261076E11</v>
      </c>
      <c r="H6003" s="38" t="s">
        <v>7116</v>
      </c>
      <c r="I6003" s="38" t="s">
        <v>7117</v>
      </c>
      <c r="J6003" s="38" t="s">
        <v>530</v>
      </c>
      <c r="K6003" s="38" t="s">
        <v>63</v>
      </c>
      <c r="L6003" s="41">
        <v>46009.541666666664</v>
      </c>
      <c r="M6003" s="38" t="s">
        <v>123</v>
      </c>
      <c r="N6003" s="41">
        <v>46009.916666666664</v>
      </c>
      <c r="O6003" s="38" t="s">
        <v>123</v>
      </c>
      <c r="P6003" s="38">
        <v>32400.0</v>
      </c>
      <c r="Q6003" s="39"/>
      <c r="R6003" s="39"/>
      <c r="S6003" s="39"/>
      <c r="T6003" s="39"/>
      <c r="U6003" s="39"/>
    </row>
    <row r="6004">
      <c r="A6004" s="40">
        <f t="shared" si="1"/>
        <v>46006</v>
      </c>
      <c r="B6004" s="37" t="str">
        <f t="array" ref="B6004">iferror(xlookup($I6004, 'IMPORT VHC Report'!$E:$E, 'IMPORT VHC Report'!$A:$C), )</f>
        <v/>
      </c>
      <c r="C6004" s="37"/>
      <c r="D6004" s="37"/>
      <c r="E6004" s="38" t="s">
        <v>7140</v>
      </c>
      <c r="F6004" s="38" t="s">
        <v>7115</v>
      </c>
      <c r="G6004" s="38">
        <v>3.61725261076E11</v>
      </c>
      <c r="H6004" s="38" t="s">
        <v>7116</v>
      </c>
      <c r="I6004" s="38" t="s">
        <v>7117</v>
      </c>
      <c r="J6004" s="38" t="s">
        <v>530</v>
      </c>
      <c r="K6004" s="38" t="s">
        <v>63</v>
      </c>
      <c r="L6004" s="41">
        <v>46009.635416666664</v>
      </c>
      <c r="M6004" s="38" t="s">
        <v>123</v>
      </c>
      <c r="N6004" s="41">
        <v>46009.677083333336</v>
      </c>
      <c r="O6004" s="38" t="s">
        <v>123</v>
      </c>
      <c r="P6004" s="38">
        <v>3600.0</v>
      </c>
      <c r="Q6004" s="39"/>
      <c r="R6004" s="39"/>
      <c r="S6004" s="39"/>
      <c r="T6004" s="39"/>
      <c r="U6004" s="39"/>
    </row>
    <row r="6005">
      <c r="A6005" s="40">
        <f t="shared" si="1"/>
        <v>46006</v>
      </c>
      <c r="B6005" s="37" t="str">
        <f t="array" ref="B6005">iferror(xlookup($I6005, 'IMPORT VHC Report'!$E:$E, 'IMPORT VHC Report'!$A:$C), )</f>
        <v/>
      </c>
      <c r="C6005" s="37"/>
      <c r="D6005" s="37"/>
      <c r="E6005" s="38" t="s">
        <v>7141</v>
      </c>
      <c r="F6005" s="38" t="s">
        <v>7115</v>
      </c>
      <c r="G6005" s="38">
        <v>3.61725261076E11</v>
      </c>
      <c r="H6005" s="38" t="s">
        <v>7116</v>
      </c>
      <c r="I6005" s="38" t="s">
        <v>7117</v>
      </c>
      <c r="J6005" s="38" t="s">
        <v>136</v>
      </c>
      <c r="K6005" s="38" t="s">
        <v>126</v>
      </c>
      <c r="L6005" s="41">
        <v>46009.666666666664</v>
      </c>
      <c r="M6005" s="38" t="s">
        <v>123</v>
      </c>
      <c r="N6005" s="41">
        <v>46009.708333333336</v>
      </c>
      <c r="O6005" s="38" t="s">
        <v>123</v>
      </c>
      <c r="P6005" s="38">
        <v>3600.0</v>
      </c>
      <c r="Q6005" s="39"/>
      <c r="R6005" s="39"/>
      <c r="S6005" s="38" t="s">
        <v>137</v>
      </c>
      <c r="T6005" s="39"/>
      <c r="U6005" s="39"/>
    </row>
    <row r="6006">
      <c r="A6006" s="40">
        <f t="shared" si="1"/>
        <v>46006</v>
      </c>
      <c r="B6006" s="37" t="str">
        <f t="array" ref="B6006">iferror(xlookup($I6006, 'IMPORT VHC Report'!$E:$E, 'IMPORT VHC Report'!$A:$C), )</f>
        <v/>
      </c>
      <c r="C6006" s="37"/>
      <c r="D6006" s="37"/>
      <c r="E6006" s="38" t="s">
        <v>7142</v>
      </c>
      <c r="F6006" s="38" t="s">
        <v>7115</v>
      </c>
      <c r="G6006" s="38">
        <v>3.61725261076E11</v>
      </c>
      <c r="H6006" s="38" t="s">
        <v>7116</v>
      </c>
      <c r="I6006" s="38" t="s">
        <v>7117</v>
      </c>
      <c r="J6006" s="38" t="s">
        <v>4</v>
      </c>
      <c r="K6006" s="38" t="s">
        <v>126</v>
      </c>
      <c r="L6006" s="41">
        <v>46009.708333333336</v>
      </c>
      <c r="M6006" s="38" t="s">
        <v>123</v>
      </c>
      <c r="N6006" s="41">
        <v>46009.75</v>
      </c>
      <c r="O6006" s="38" t="s">
        <v>123</v>
      </c>
      <c r="P6006" s="38">
        <v>3600.0</v>
      </c>
      <c r="Q6006" s="39"/>
      <c r="R6006" s="39"/>
      <c r="S6006" s="38" t="s">
        <v>858</v>
      </c>
      <c r="T6006" s="39"/>
      <c r="U6006" s="39"/>
    </row>
    <row r="6007">
      <c r="A6007" s="40">
        <f t="shared" si="1"/>
        <v>46006</v>
      </c>
      <c r="B6007" s="37" t="str">
        <f t="array" ref="B6007">iferror(xlookup($I6007, 'IMPORT VHC Report'!$E:$E, 'IMPORT VHC Report'!$A:$C), )</f>
        <v/>
      </c>
      <c r="C6007" s="37"/>
      <c r="D6007" s="37"/>
      <c r="E6007" s="38" t="s">
        <v>7143</v>
      </c>
      <c r="F6007" s="38" t="s">
        <v>7115</v>
      </c>
      <c r="G6007" s="38">
        <v>3.61725261076E11</v>
      </c>
      <c r="H6007" s="38" t="s">
        <v>7116</v>
      </c>
      <c r="I6007" s="38" t="s">
        <v>7117</v>
      </c>
      <c r="J6007" s="38" t="s">
        <v>134</v>
      </c>
      <c r="K6007" s="38" t="s">
        <v>126</v>
      </c>
      <c r="L6007" s="41">
        <v>46009.791666666664</v>
      </c>
      <c r="M6007" s="38" t="s">
        <v>123</v>
      </c>
      <c r="N6007" s="41">
        <v>46009.8125</v>
      </c>
      <c r="O6007" s="38" t="s">
        <v>123</v>
      </c>
      <c r="P6007" s="38">
        <v>1800.0</v>
      </c>
      <c r="Q6007" s="39"/>
      <c r="R6007" s="39"/>
      <c r="S6007" s="39"/>
      <c r="T6007" s="39"/>
      <c r="U6007" s="39"/>
    </row>
    <row r="6008">
      <c r="A6008" s="40">
        <f t="shared" si="1"/>
        <v>46006</v>
      </c>
      <c r="B6008" s="37" t="str">
        <f t="array" ref="B6008">iferror(xlookup($I6008, 'IMPORT VHC Report'!$E:$E, 'IMPORT VHC Report'!$A:$C), )</f>
        <v/>
      </c>
      <c r="C6008" s="37"/>
      <c r="D6008" s="37"/>
      <c r="E6008" s="38" t="s">
        <v>7144</v>
      </c>
      <c r="F6008" s="38" t="s">
        <v>7115</v>
      </c>
      <c r="G6008" s="38">
        <v>3.61725261076E11</v>
      </c>
      <c r="H6008" s="38" t="s">
        <v>7116</v>
      </c>
      <c r="I6008" s="38" t="s">
        <v>7117</v>
      </c>
      <c r="J6008" s="38" t="s">
        <v>132</v>
      </c>
      <c r="K6008" s="38" t="s">
        <v>126</v>
      </c>
      <c r="L6008" s="41">
        <v>46009.8125</v>
      </c>
      <c r="M6008" s="38" t="s">
        <v>123</v>
      </c>
      <c r="N6008" s="41">
        <v>46009.854166666664</v>
      </c>
      <c r="O6008" s="38" t="s">
        <v>123</v>
      </c>
      <c r="P6008" s="38">
        <v>3600.0</v>
      </c>
      <c r="Q6008" s="39"/>
      <c r="R6008" s="39"/>
      <c r="S6008" s="39"/>
      <c r="T6008" s="39"/>
      <c r="U6008" s="39"/>
    </row>
    <row r="6009">
      <c r="A6009" s="40">
        <f t="shared" si="1"/>
        <v>46006</v>
      </c>
      <c r="B6009" s="37" t="str">
        <f t="array" ref="B6009">iferror(xlookup($I6009, 'IMPORT VHC Report'!$E:$E, 'IMPORT VHC Report'!$A:$C), )</f>
        <v/>
      </c>
      <c r="C6009" s="37"/>
      <c r="D6009" s="37"/>
      <c r="E6009" s="38" t="s">
        <v>7145</v>
      </c>
      <c r="F6009" s="38" t="s">
        <v>7115</v>
      </c>
      <c r="G6009" s="38">
        <v>3.61725261076E11</v>
      </c>
      <c r="H6009" s="38" t="s">
        <v>7116</v>
      </c>
      <c r="I6009" s="38" t="s">
        <v>7117</v>
      </c>
      <c r="J6009" s="38" t="s">
        <v>4</v>
      </c>
      <c r="K6009" s="38" t="s">
        <v>126</v>
      </c>
      <c r="L6009" s="41">
        <v>46010.541666666664</v>
      </c>
      <c r="M6009" s="38" t="s">
        <v>123</v>
      </c>
      <c r="N6009" s="41">
        <v>46010.5625</v>
      </c>
      <c r="O6009" s="38" t="s">
        <v>123</v>
      </c>
      <c r="P6009" s="38">
        <v>1800.0</v>
      </c>
      <c r="Q6009" s="39"/>
      <c r="R6009" s="39"/>
      <c r="S6009" s="39"/>
      <c r="T6009" s="39"/>
      <c r="U6009" s="39"/>
    </row>
    <row r="6010">
      <c r="A6010" s="40">
        <f t="shared" si="1"/>
        <v>46006</v>
      </c>
      <c r="B6010" s="37" t="str">
        <f t="array" ref="B6010">iferror(xlookup($I6010, 'IMPORT VHC Report'!$E:$E, 'IMPORT VHC Report'!$A:$C), )</f>
        <v/>
      </c>
      <c r="C6010" s="37"/>
      <c r="D6010" s="37"/>
      <c r="E6010" s="38" t="s">
        <v>7146</v>
      </c>
      <c r="F6010" s="38" t="s">
        <v>7115</v>
      </c>
      <c r="G6010" s="38">
        <v>3.61725261076E11</v>
      </c>
      <c r="H6010" s="38" t="s">
        <v>7116</v>
      </c>
      <c r="I6010" s="38" t="s">
        <v>7117</v>
      </c>
      <c r="J6010" s="38" t="s">
        <v>530</v>
      </c>
      <c r="K6010" s="38" t="s">
        <v>63</v>
      </c>
      <c r="L6010" s="41">
        <v>46010.541666666664</v>
      </c>
      <c r="M6010" s="38" t="s">
        <v>123</v>
      </c>
      <c r="N6010" s="41">
        <v>46010.916666666664</v>
      </c>
      <c r="O6010" s="38" t="s">
        <v>123</v>
      </c>
      <c r="P6010" s="38">
        <v>32400.0</v>
      </c>
      <c r="Q6010" s="39"/>
      <c r="R6010" s="39"/>
      <c r="S6010" s="39"/>
      <c r="T6010" s="39"/>
      <c r="U6010" s="39"/>
    </row>
    <row r="6011">
      <c r="A6011" s="40">
        <f t="shared" si="1"/>
        <v>46006</v>
      </c>
      <c r="B6011" s="37" t="str">
        <f t="array" ref="B6011">iferror(xlookup($I6011, 'IMPORT VHC Report'!$E:$E, 'IMPORT VHC Report'!$A:$C), )</f>
        <v/>
      </c>
      <c r="C6011" s="37"/>
      <c r="D6011" s="37"/>
      <c r="E6011" s="38" t="s">
        <v>7147</v>
      </c>
      <c r="F6011" s="38" t="s">
        <v>7115</v>
      </c>
      <c r="G6011" s="38">
        <v>3.61725261076E11</v>
      </c>
      <c r="H6011" s="38" t="s">
        <v>7116</v>
      </c>
      <c r="I6011" s="38" t="s">
        <v>7117</v>
      </c>
      <c r="J6011" s="38" t="s">
        <v>132</v>
      </c>
      <c r="K6011" s="38" t="s">
        <v>126</v>
      </c>
      <c r="L6011" s="41">
        <v>46010.666666666664</v>
      </c>
      <c r="M6011" s="38" t="s">
        <v>123</v>
      </c>
      <c r="N6011" s="41">
        <v>46010.708333333336</v>
      </c>
      <c r="O6011" s="38" t="s">
        <v>123</v>
      </c>
      <c r="P6011" s="38">
        <v>3600.0</v>
      </c>
      <c r="Q6011" s="39"/>
      <c r="R6011" s="39"/>
      <c r="S6011" s="39"/>
      <c r="T6011" s="39"/>
      <c r="U6011" s="39"/>
    </row>
    <row r="6012">
      <c r="A6012" s="40">
        <f t="shared" si="1"/>
        <v>46006</v>
      </c>
      <c r="B6012" s="37" t="str">
        <f t="array" ref="B6012">iferror(xlookup($I6012, 'IMPORT VHC Report'!$E:$E, 'IMPORT VHC Report'!$A:$C), )</f>
        <v/>
      </c>
      <c r="C6012" s="37"/>
      <c r="D6012" s="37"/>
      <c r="E6012" s="38" t="s">
        <v>7148</v>
      </c>
      <c r="F6012" s="38" t="s">
        <v>7115</v>
      </c>
      <c r="G6012" s="38">
        <v>3.61725261076E11</v>
      </c>
      <c r="H6012" s="38" t="s">
        <v>7116</v>
      </c>
      <c r="I6012" s="38" t="s">
        <v>7117</v>
      </c>
      <c r="J6012" s="38" t="s">
        <v>530</v>
      </c>
      <c r="K6012" s="38" t="s">
        <v>63</v>
      </c>
      <c r="L6012" s="41">
        <v>46010.833333333336</v>
      </c>
      <c r="M6012" s="38" t="s">
        <v>123</v>
      </c>
      <c r="N6012" s="41">
        <v>46010.854166666664</v>
      </c>
      <c r="O6012" s="38" t="s">
        <v>123</v>
      </c>
      <c r="P6012" s="38">
        <v>1800.0</v>
      </c>
      <c r="Q6012" s="39"/>
      <c r="R6012" s="39"/>
      <c r="S6012" s="39"/>
      <c r="T6012" s="39"/>
      <c r="U6012" s="39"/>
    </row>
    <row r="6013">
      <c r="A6013" s="40">
        <f t="shared" si="1"/>
        <v>46006</v>
      </c>
      <c r="B6013" s="37" t="str">
        <f t="array" ref="B6013">iferror(xlookup($I6013, 'IMPORT VHC Report'!$E:$E, 'IMPORT VHC Report'!$A:$C), )</f>
        <v/>
      </c>
      <c r="C6013" s="37"/>
      <c r="D6013" s="37"/>
      <c r="E6013" s="38" t="s">
        <v>7149</v>
      </c>
      <c r="F6013" s="38" t="s">
        <v>7115</v>
      </c>
      <c r="G6013" s="38">
        <v>3.61725261076E11</v>
      </c>
      <c r="H6013" s="38" t="s">
        <v>7116</v>
      </c>
      <c r="I6013" s="38" t="s">
        <v>7117</v>
      </c>
      <c r="J6013" s="38" t="s">
        <v>134</v>
      </c>
      <c r="K6013" s="38" t="s">
        <v>126</v>
      </c>
      <c r="L6013" s="41">
        <v>46010.854166666664</v>
      </c>
      <c r="M6013" s="38" t="s">
        <v>123</v>
      </c>
      <c r="N6013" s="41">
        <v>46010.875</v>
      </c>
      <c r="O6013" s="38" t="s">
        <v>123</v>
      </c>
      <c r="P6013" s="38">
        <v>1800.0</v>
      </c>
      <c r="Q6013" s="39"/>
      <c r="R6013" s="39"/>
      <c r="S6013" s="39"/>
      <c r="T6013" s="39"/>
      <c r="U6013" s="39"/>
    </row>
    <row r="6014">
      <c r="A6014" s="40">
        <f t="shared" si="1"/>
        <v>46006</v>
      </c>
      <c r="B6014" s="37" t="str">
        <f t="array" ref="B6014">iferror(xlookup($I6014, 'IMPORT VHC Report'!$E:$E, 'IMPORT VHC Report'!$A:$C), )</f>
        <v/>
      </c>
      <c r="C6014" s="37"/>
      <c r="D6014" s="37"/>
      <c r="E6014" s="38" t="s">
        <v>7150</v>
      </c>
      <c r="F6014" s="38" t="s">
        <v>7115</v>
      </c>
      <c r="G6014" s="38">
        <v>3.61725261076E11</v>
      </c>
      <c r="H6014" s="38" t="s">
        <v>7116</v>
      </c>
      <c r="I6014" s="38" t="s">
        <v>7117</v>
      </c>
      <c r="J6014" s="38" t="s">
        <v>4</v>
      </c>
      <c r="K6014" s="38" t="s">
        <v>126</v>
      </c>
      <c r="L6014" s="41">
        <v>46011.541666666664</v>
      </c>
      <c r="M6014" s="38" t="s">
        <v>123</v>
      </c>
      <c r="N6014" s="41">
        <v>46011.5625</v>
      </c>
      <c r="O6014" s="38" t="s">
        <v>123</v>
      </c>
      <c r="P6014" s="38">
        <v>1800.0</v>
      </c>
      <c r="Q6014" s="39"/>
      <c r="R6014" s="39"/>
      <c r="S6014" s="39"/>
      <c r="T6014" s="39"/>
      <c r="U6014" s="39"/>
    </row>
    <row r="6015">
      <c r="A6015" s="40">
        <f t="shared" si="1"/>
        <v>46006</v>
      </c>
      <c r="B6015" s="37" t="str">
        <f t="array" ref="B6015">iferror(xlookup($I6015, 'IMPORT VHC Report'!$E:$E, 'IMPORT VHC Report'!$A:$C), )</f>
        <v/>
      </c>
      <c r="C6015" s="37"/>
      <c r="D6015" s="37"/>
      <c r="E6015" s="38" t="s">
        <v>7151</v>
      </c>
      <c r="F6015" s="38" t="s">
        <v>7115</v>
      </c>
      <c r="G6015" s="38">
        <v>3.61725261076E11</v>
      </c>
      <c r="H6015" s="38" t="s">
        <v>7116</v>
      </c>
      <c r="I6015" s="38" t="s">
        <v>7117</v>
      </c>
      <c r="J6015" s="38" t="s">
        <v>530</v>
      </c>
      <c r="K6015" s="38" t="s">
        <v>63</v>
      </c>
      <c r="L6015" s="41">
        <v>46011.541666666664</v>
      </c>
      <c r="M6015" s="38" t="s">
        <v>123</v>
      </c>
      <c r="N6015" s="41">
        <v>46011.916666666664</v>
      </c>
      <c r="O6015" s="38" t="s">
        <v>123</v>
      </c>
      <c r="P6015" s="38">
        <v>32400.0</v>
      </c>
      <c r="Q6015" s="39"/>
      <c r="R6015" s="39"/>
      <c r="S6015" s="39"/>
      <c r="T6015" s="39"/>
      <c r="U6015" s="39"/>
    </row>
    <row r="6016">
      <c r="A6016" s="40">
        <f t="shared" si="1"/>
        <v>46006</v>
      </c>
      <c r="B6016" s="37" t="str">
        <f t="array" ref="B6016">iferror(xlookup($I6016, 'IMPORT VHC Report'!$E:$E, 'IMPORT VHC Report'!$A:$C), )</f>
        <v/>
      </c>
      <c r="C6016" s="37"/>
      <c r="D6016" s="37"/>
      <c r="E6016" s="38" t="s">
        <v>7152</v>
      </c>
      <c r="F6016" s="38" t="s">
        <v>7115</v>
      </c>
      <c r="G6016" s="38">
        <v>3.61725261076E11</v>
      </c>
      <c r="H6016" s="38" t="s">
        <v>7116</v>
      </c>
      <c r="I6016" s="38" t="s">
        <v>7117</v>
      </c>
      <c r="J6016" s="38" t="s">
        <v>134</v>
      </c>
      <c r="K6016" s="38" t="s">
        <v>126</v>
      </c>
      <c r="L6016" s="41">
        <v>46011.697916666664</v>
      </c>
      <c r="M6016" s="38" t="s">
        <v>123</v>
      </c>
      <c r="N6016" s="41">
        <v>46011.71875</v>
      </c>
      <c r="O6016" s="38" t="s">
        <v>123</v>
      </c>
      <c r="P6016" s="38">
        <v>1800.0</v>
      </c>
      <c r="Q6016" s="39"/>
      <c r="R6016" s="39"/>
      <c r="S6016" s="39"/>
      <c r="T6016" s="39"/>
      <c r="U6016" s="39"/>
    </row>
    <row r="6017">
      <c r="A6017" s="40">
        <f t="shared" si="1"/>
        <v>46006</v>
      </c>
      <c r="B6017" s="37" t="str">
        <f t="array" ref="B6017">iferror(xlookup($I6017, 'IMPORT VHC Report'!$E:$E, 'IMPORT VHC Report'!$A:$C), )</f>
        <v/>
      </c>
      <c r="C6017" s="37"/>
      <c r="D6017" s="37"/>
      <c r="E6017" s="38" t="s">
        <v>7153</v>
      </c>
      <c r="F6017" s="38" t="s">
        <v>7115</v>
      </c>
      <c r="G6017" s="38">
        <v>3.61725261076E11</v>
      </c>
      <c r="H6017" s="38" t="s">
        <v>7116</v>
      </c>
      <c r="I6017" s="38" t="s">
        <v>7117</v>
      </c>
      <c r="J6017" s="38" t="s">
        <v>132</v>
      </c>
      <c r="K6017" s="38" t="s">
        <v>126</v>
      </c>
      <c r="L6017" s="41">
        <v>46011.822916666664</v>
      </c>
      <c r="M6017" s="38" t="s">
        <v>123</v>
      </c>
      <c r="N6017" s="41">
        <v>46011.864583333336</v>
      </c>
      <c r="O6017" s="38" t="s">
        <v>123</v>
      </c>
      <c r="P6017" s="38">
        <v>3600.0</v>
      </c>
      <c r="Q6017" s="39"/>
      <c r="R6017" s="39"/>
      <c r="S6017" s="39"/>
      <c r="T6017" s="39"/>
      <c r="U6017" s="39"/>
    </row>
    <row r="6018">
      <c r="A6018" s="40">
        <f t="shared" si="1"/>
        <v>46006</v>
      </c>
      <c r="B6018" s="37" t="str">
        <f t="array" ref="B6018">iferror(xlookup($I6018, 'IMPORT VHC Report'!$E:$E, 'IMPORT VHC Report'!$A:$C), )</f>
        <v/>
      </c>
      <c r="C6018" s="37"/>
      <c r="D6018" s="37"/>
      <c r="E6018" s="38" t="s">
        <v>7154</v>
      </c>
      <c r="F6018" s="38" t="s">
        <v>7155</v>
      </c>
      <c r="G6018" s="38">
        <v>3.61725488916E11</v>
      </c>
      <c r="H6018" s="38" t="s">
        <v>7156</v>
      </c>
      <c r="I6018" s="38" t="s">
        <v>7157</v>
      </c>
      <c r="J6018" s="38" t="s">
        <v>4</v>
      </c>
      <c r="K6018" s="38" t="s">
        <v>126</v>
      </c>
      <c r="L6018" s="41">
        <v>46007.541666666664</v>
      </c>
      <c r="M6018" s="38" t="s">
        <v>123</v>
      </c>
      <c r="N6018" s="41">
        <v>46007.5625</v>
      </c>
      <c r="O6018" s="38" t="s">
        <v>123</v>
      </c>
      <c r="P6018" s="38">
        <v>1800.0</v>
      </c>
      <c r="Q6018" s="39"/>
      <c r="R6018" s="39"/>
      <c r="S6018" s="39"/>
      <c r="T6018" s="39"/>
      <c r="U6018" s="39"/>
    </row>
    <row r="6019">
      <c r="A6019" s="40">
        <f t="shared" si="1"/>
        <v>46006</v>
      </c>
      <c r="B6019" s="37" t="str">
        <f t="array" ref="B6019">iferror(xlookup($I6019, 'IMPORT VHC Report'!$E:$E, 'IMPORT VHC Report'!$A:$C), )</f>
        <v/>
      </c>
      <c r="C6019" s="37"/>
      <c r="D6019" s="37"/>
      <c r="E6019" s="38" t="s">
        <v>7158</v>
      </c>
      <c r="F6019" s="38" t="s">
        <v>7155</v>
      </c>
      <c r="G6019" s="38">
        <v>3.61725488916E11</v>
      </c>
      <c r="H6019" s="38" t="s">
        <v>7156</v>
      </c>
      <c r="I6019" s="38" t="s">
        <v>7157</v>
      </c>
      <c r="J6019" s="38" t="s">
        <v>530</v>
      </c>
      <c r="K6019" s="38" t="s">
        <v>63</v>
      </c>
      <c r="L6019" s="41">
        <v>46007.541666666664</v>
      </c>
      <c r="M6019" s="38" t="s">
        <v>123</v>
      </c>
      <c r="N6019" s="41">
        <v>46007.916666666664</v>
      </c>
      <c r="O6019" s="38" t="s">
        <v>123</v>
      </c>
      <c r="P6019" s="38">
        <v>32400.0</v>
      </c>
      <c r="Q6019" s="39"/>
      <c r="R6019" s="39"/>
      <c r="S6019" s="39"/>
      <c r="T6019" s="39"/>
      <c r="U6019" s="39"/>
    </row>
    <row r="6020">
      <c r="A6020" s="40">
        <f t="shared" si="1"/>
        <v>46006</v>
      </c>
      <c r="B6020" s="37" t="str">
        <f t="array" ref="B6020">iferror(xlookup($I6020, 'IMPORT VHC Report'!$E:$E, 'IMPORT VHC Report'!$A:$C), )</f>
        <v/>
      </c>
      <c r="C6020" s="37"/>
      <c r="D6020" s="37"/>
      <c r="E6020" s="38" t="s">
        <v>7159</v>
      </c>
      <c r="F6020" s="38" t="s">
        <v>7155</v>
      </c>
      <c r="G6020" s="38">
        <v>3.61725488916E11</v>
      </c>
      <c r="H6020" s="38" t="s">
        <v>7156</v>
      </c>
      <c r="I6020" s="38" t="s">
        <v>7157</v>
      </c>
      <c r="J6020" s="38" t="s">
        <v>4</v>
      </c>
      <c r="K6020" s="38" t="s">
        <v>126</v>
      </c>
      <c r="L6020" s="41">
        <v>46007.583333333336</v>
      </c>
      <c r="M6020" s="38" t="s">
        <v>123</v>
      </c>
      <c r="N6020" s="41">
        <v>46007.625</v>
      </c>
      <c r="O6020" s="38" t="s">
        <v>123</v>
      </c>
      <c r="P6020" s="38">
        <v>3600.0</v>
      </c>
      <c r="Q6020" s="39"/>
      <c r="R6020" s="39"/>
      <c r="S6020" s="38" t="s">
        <v>1209</v>
      </c>
      <c r="T6020" s="39"/>
      <c r="U6020" s="39"/>
    </row>
    <row r="6021">
      <c r="A6021" s="40">
        <f t="shared" si="1"/>
        <v>46006</v>
      </c>
      <c r="B6021" s="37" t="str">
        <f t="array" ref="B6021">iferror(xlookup($I6021, 'IMPORT VHC Report'!$E:$E, 'IMPORT VHC Report'!$A:$C), )</f>
        <v/>
      </c>
      <c r="C6021" s="37"/>
      <c r="D6021" s="37"/>
      <c r="E6021" s="38" t="s">
        <v>7160</v>
      </c>
      <c r="F6021" s="38" t="s">
        <v>7155</v>
      </c>
      <c r="G6021" s="38">
        <v>3.61725488916E11</v>
      </c>
      <c r="H6021" s="38" t="s">
        <v>7156</v>
      </c>
      <c r="I6021" s="38" t="s">
        <v>7157</v>
      </c>
      <c r="J6021" s="38" t="s">
        <v>134</v>
      </c>
      <c r="K6021" s="38" t="s">
        <v>126</v>
      </c>
      <c r="L6021" s="41">
        <v>46007.677083333336</v>
      </c>
      <c r="M6021" s="38" t="s">
        <v>123</v>
      </c>
      <c r="N6021" s="41">
        <v>46007.697916666664</v>
      </c>
      <c r="O6021" s="38" t="s">
        <v>123</v>
      </c>
      <c r="P6021" s="38">
        <v>1800.0</v>
      </c>
      <c r="Q6021" s="39"/>
      <c r="R6021" s="39"/>
      <c r="S6021" s="39"/>
      <c r="T6021" s="39"/>
      <c r="U6021" s="39"/>
    </row>
    <row r="6022">
      <c r="A6022" s="40">
        <f t="shared" si="1"/>
        <v>46006</v>
      </c>
      <c r="B6022" s="37" t="str">
        <f t="array" ref="B6022">iferror(xlookup($I6022, 'IMPORT VHC Report'!$E:$E, 'IMPORT VHC Report'!$A:$C), )</f>
        <v/>
      </c>
      <c r="C6022" s="37"/>
      <c r="D6022" s="37"/>
      <c r="E6022" s="38" t="s">
        <v>7161</v>
      </c>
      <c r="F6022" s="38" t="s">
        <v>7155</v>
      </c>
      <c r="G6022" s="38">
        <v>3.61725488916E11</v>
      </c>
      <c r="H6022" s="38" t="s">
        <v>7156</v>
      </c>
      <c r="I6022" s="38" t="s">
        <v>7157</v>
      </c>
      <c r="J6022" s="38" t="s">
        <v>132</v>
      </c>
      <c r="K6022" s="38" t="s">
        <v>126</v>
      </c>
      <c r="L6022" s="41">
        <v>46007.8125</v>
      </c>
      <c r="M6022" s="38" t="s">
        <v>123</v>
      </c>
      <c r="N6022" s="41">
        <v>46007.854166666664</v>
      </c>
      <c r="O6022" s="38" t="s">
        <v>123</v>
      </c>
      <c r="P6022" s="38">
        <v>3600.0</v>
      </c>
      <c r="Q6022" s="39"/>
      <c r="R6022" s="39"/>
      <c r="S6022" s="39"/>
      <c r="T6022" s="39"/>
      <c r="U6022" s="39"/>
    </row>
    <row r="6023">
      <c r="A6023" s="40">
        <f t="shared" si="1"/>
        <v>46006</v>
      </c>
      <c r="B6023" s="37" t="str">
        <f t="array" ref="B6023">iferror(xlookup($I6023, 'IMPORT VHC Report'!$E:$E, 'IMPORT VHC Report'!$A:$C), )</f>
        <v/>
      </c>
      <c r="C6023" s="37"/>
      <c r="D6023" s="37"/>
      <c r="E6023" s="38" t="s">
        <v>7162</v>
      </c>
      <c r="F6023" s="38" t="s">
        <v>7155</v>
      </c>
      <c r="G6023" s="38">
        <v>3.61725488916E11</v>
      </c>
      <c r="H6023" s="38" t="s">
        <v>7156</v>
      </c>
      <c r="I6023" s="38" t="s">
        <v>7157</v>
      </c>
      <c r="J6023" s="38" t="s">
        <v>4</v>
      </c>
      <c r="K6023" s="38" t="s">
        <v>126</v>
      </c>
      <c r="L6023" s="41">
        <v>46008.541666666664</v>
      </c>
      <c r="M6023" s="38" t="s">
        <v>123</v>
      </c>
      <c r="N6023" s="41">
        <v>46008.5625</v>
      </c>
      <c r="O6023" s="38" t="s">
        <v>123</v>
      </c>
      <c r="P6023" s="38">
        <v>1800.0</v>
      </c>
      <c r="Q6023" s="39"/>
      <c r="R6023" s="39"/>
      <c r="S6023" s="39"/>
      <c r="T6023" s="39"/>
      <c r="U6023" s="39"/>
    </row>
    <row r="6024">
      <c r="A6024" s="40">
        <f t="shared" si="1"/>
        <v>46006</v>
      </c>
      <c r="B6024" s="37" t="str">
        <f t="array" ref="B6024">iferror(xlookup($I6024, 'IMPORT VHC Report'!$E:$E, 'IMPORT VHC Report'!$A:$C), )</f>
        <v/>
      </c>
      <c r="C6024" s="37"/>
      <c r="D6024" s="37"/>
      <c r="E6024" s="38" t="s">
        <v>7163</v>
      </c>
      <c r="F6024" s="38" t="s">
        <v>7155</v>
      </c>
      <c r="G6024" s="38">
        <v>3.61725488916E11</v>
      </c>
      <c r="H6024" s="38" t="s">
        <v>7156</v>
      </c>
      <c r="I6024" s="38" t="s">
        <v>7157</v>
      </c>
      <c r="J6024" s="38" t="s">
        <v>530</v>
      </c>
      <c r="K6024" s="38" t="s">
        <v>63</v>
      </c>
      <c r="L6024" s="41">
        <v>46008.541666666664</v>
      </c>
      <c r="M6024" s="38" t="s">
        <v>123</v>
      </c>
      <c r="N6024" s="41">
        <v>46008.916666666664</v>
      </c>
      <c r="O6024" s="38" t="s">
        <v>123</v>
      </c>
      <c r="P6024" s="38">
        <v>32400.0</v>
      </c>
      <c r="Q6024" s="39"/>
      <c r="R6024" s="39"/>
      <c r="S6024" s="39"/>
      <c r="T6024" s="39"/>
      <c r="U6024" s="39"/>
    </row>
    <row r="6025">
      <c r="A6025" s="40">
        <f t="shared" si="1"/>
        <v>46006</v>
      </c>
      <c r="B6025" s="37" t="str">
        <f t="array" ref="B6025">iferror(xlookup($I6025, 'IMPORT VHC Report'!$E:$E, 'IMPORT VHC Report'!$A:$C), )</f>
        <v/>
      </c>
      <c r="C6025" s="37"/>
      <c r="D6025" s="37"/>
      <c r="E6025" s="38" t="s">
        <v>7164</v>
      </c>
      <c r="F6025" s="38" t="s">
        <v>7155</v>
      </c>
      <c r="G6025" s="38">
        <v>3.61725488916E11</v>
      </c>
      <c r="H6025" s="38" t="s">
        <v>7156</v>
      </c>
      <c r="I6025" s="38" t="s">
        <v>7157</v>
      </c>
      <c r="J6025" s="38" t="s">
        <v>4</v>
      </c>
      <c r="K6025" s="38" t="s">
        <v>126</v>
      </c>
      <c r="L6025" s="41">
        <v>46008.5625</v>
      </c>
      <c r="M6025" s="38" t="s">
        <v>123</v>
      </c>
      <c r="N6025" s="41">
        <v>46008.604166666664</v>
      </c>
      <c r="O6025" s="38" t="s">
        <v>123</v>
      </c>
      <c r="P6025" s="38">
        <v>3600.0</v>
      </c>
      <c r="Q6025" s="39"/>
      <c r="R6025" s="39"/>
      <c r="S6025" s="38" t="s">
        <v>1209</v>
      </c>
      <c r="T6025" s="39"/>
      <c r="U6025" s="39"/>
    </row>
    <row r="6026">
      <c r="A6026" s="40">
        <f t="shared" si="1"/>
        <v>46006</v>
      </c>
      <c r="B6026" s="37" t="str">
        <f t="array" ref="B6026">iferror(xlookup($I6026, 'IMPORT VHC Report'!$E:$E, 'IMPORT VHC Report'!$A:$C), )</f>
        <v/>
      </c>
      <c r="C6026" s="37"/>
      <c r="D6026" s="37"/>
      <c r="E6026" s="38" t="s">
        <v>7165</v>
      </c>
      <c r="F6026" s="38" t="s">
        <v>7155</v>
      </c>
      <c r="G6026" s="38">
        <v>3.61725488916E11</v>
      </c>
      <c r="H6026" s="38" t="s">
        <v>7156</v>
      </c>
      <c r="I6026" s="38" t="s">
        <v>7157</v>
      </c>
      <c r="J6026" s="38" t="s">
        <v>134</v>
      </c>
      <c r="K6026" s="38" t="s">
        <v>126</v>
      </c>
      <c r="L6026" s="41">
        <v>46008.677083333336</v>
      </c>
      <c r="M6026" s="38" t="s">
        <v>123</v>
      </c>
      <c r="N6026" s="41">
        <v>46008.697916666664</v>
      </c>
      <c r="O6026" s="38" t="s">
        <v>123</v>
      </c>
      <c r="P6026" s="38">
        <v>1800.0</v>
      </c>
      <c r="Q6026" s="39"/>
      <c r="R6026" s="39"/>
      <c r="S6026" s="39"/>
      <c r="T6026" s="39"/>
      <c r="U6026" s="39"/>
    </row>
    <row r="6027">
      <c r="A6027" s="40">
        <f t="shared" si="1"/>
        <v>46006</v>
      </c>
      <c r="B6027" s="37" t="str">
        <f t="array" ref="B6027">iferror(xlookup($I6027, 'IMPORT VHC Report'!$E:$E, 'IMPORT VHC Report'!$A:$C), )</f>
        <v/>
      </c>
      <c r="C6027" s="37"/>
      <c r="D6027" s="37"/>
      <c r="E6027" s="38" t="s">
        <v>7166</v>
      </c>
      <c r="F6027" s="38" t="s">
        <v>7155</v>
      </c>
      <c r="G6027" s="38">
        <v>3.61725488916E11</v>
      </c>
      <c r="H6027" s="38" t="s">
        <v>7156</v>
      </c>
      <c r="I6027" s="38" t="s">
        <v>7157</v>
      </c>
      <c r="J6027" s="38" t="s">
        <v>132</v>
      </c>
      <c r="K6027" s="38" t="s">
        <v>126</v>
      </c>
      <c r="L6027" s="41">
        <v>46008.8125</v>
      </c>
      <c r="M6027" s="38" t="s">
        <v>123</v>
      </c>
      <c r="N6027" s="41">
        <v>46008.854166666664</v>
      </c>
      <c r="O6027" s="38" t="s">
        <v>123</v>
      </c>
      <c r="P6027" s="38">
        <v>3600.0</v>
      </c>
      <c r="Q6027" s="39"/>
      <c r="R6027" s="39"/>
      <c r="S6027" s="39"/>
      <c r="T6027" s="39"/>
      <c r="U6027" s="39"/>
    </row>
    <row r="6028">
      <c r="A6028" s="40">
        <f t="shared" si="1"/>
        <v>46006</v>
      </c>
      <c r="B6028" s="37" t="str">
        <f t="array" ref="B6028">iferror(xlookup($I6028, 'IMPORT VHC Report'!$E:$E, 'IMPORT VHC Report'!$A:$C), )</f>
        <v/>
      </c>
      <c r="C6028" s="37"/>
      <c r="D6028" s="37"/>
      <c r="E6028" s="38" t="s">
        <v>7167</v>
      </c>
      <c r="F6028" s="38" t="s">
        <v>7155</v>
      </c>
      <c r="G6028" s="38">
        <v>3.61725488916E11</v>
      </c>
      <c r="H6028" s="38" t="s">
        <v>7156</v>
      </c>
      <c r="I6028" s="38" t="s">
        <v>7157</v>
      </c>
      <c r="J6028" s="38" t="s">
        <v>4</v>
      </c>
      <c r="K6028" s="38" t="s">
        <v>126</v>
      </c>
      <c r="L6028" s="41">
        <v>46009.541666666664</v>
      </c>
      <c r="M6028" s="38" t="s">
        <v>123</v>
      </c>
      <c r="N6028" s="41">
        <v>46009.5625</v>
      </c>
      <c r="O6028" s="38" t="s">
        <v>123</v>
      </c>
      <c r="P6028" s="38">
        <v>1800.0</v>
      </c>
      <c r="Q6028" s="39"/>
      <c r="R6028" s="39"/>
      <c r="S6028" s="39"/>
      <c r="T6028" s="39"/>
      <c r="U6028" s="39"/>
    </row>
    <row r="6029">
      <c r="A6029" s="40">
        <f t="shared" si="1"/>
        <v>46006</v>
      </c>
      <c r="B6029" s="37" t="str">
        <f t="array" ref="B6029">iferror(xlookup($I6029, 'IMPORT VHC Report'!$E:$E, 'IMPORT VHC Report'!$A:$C), )</f>
        <v/>
      </c>
      <c r="C6029" s="37"/>
      <c r="D6029" s="37"/>
      <c r="E6029" s="38" t="s">
        <v>7168</v>
      </c>
      <c r="F6029" s="38" t="s">
        <v>7155</v>
      </c>
      <c r="G6029" s="38">
        <v>3.61725488916E11</v>
      </c>
      <c r="H6029" s="38" t="s">
        <v>7156</v>
      </c>
      <c r="I6029" s="38" t="s">
        <v>7157</v>
      </c>
      <c r="J6029" s="38" t="s">
        <v>530</v>
      </c>
      <c r="K6029" s="38" t="s">
        <v>63</v>
      </c>
      <c r="L6029" s="41">
        <v>46009.541666666664</v>
      </c>
      <c r="M6029" s="38" t="s">
        <v>123</v>
      </c>
      <c r="N6029" s="41">
        <v>46009.916666666664</v>
      </c>
      <c r="O6029" s="38" t="s">
        <v>123</v>
      </c>
      <c r="P6029" s="38">
        <v>32400.0</v>
      </c>
      <c r="Q6029" s="39"/>
      <c r="R6029" s="39"/>
      <c r="S6029" s="39"/>
      <c r="T6029" s="39"/>
      <c r="U6029" s="39"/>
    </row>
    <row r="6030">
      <c r="A6030" s="40">
        <f t="shared" si="1"/>
        <v>46006</v>
      </c>
      <c r="B6030" s="37" t="str">
        <f t="array" ref="B6030">iferror(xlookup($I6030, 'IMPORT VHC Report'!$E:$E, 'IMPORT VHC Report'!$A:$C), )</f>
        <v/>
      </c>
      <c r="C6030" s="37"/>
      <c r="D6030" s="37"/>
      <c r="E6030" s="38" t="s">
        <v>7169</v>
      </c>
      <c r="F6030" s="38" t="s">
        <v>7155</v>
      </c>
      <c r="G6030" s="38">
        <v>3.61725488916E11</v>
      </c>
      <c r="H6030" s="38" t="s">
        <v>7156</v>
      </c>
      <c r="I6030" s="38" t="s">
        <v>7157</v>
      </c>
      <c r="J6030" s="38" t="s">
        <v>134</v>
      </c>
      <c r="K6030" s="38" t="s">
        <v>126</v>
      </c>
      <c r="L6030" s="41">
        <v>46009.677083333336</v>
      </c>
      <c r="M6030" s="38" t="s">
        <v>123</v>
      </c>
      <c r="N6030" s="41">
        <v>46009.697916666664</v>
      </c>
      <c r="O6030" s="38" t="s">
        <v>123</v>
      </c>
      <c r="P6030" s="38">
        <v>1800.0</v>
      </c>
      <c r="Q6030" s="39"/>
      <c r="R6030" s="39"/>
      <c r="S6030" s="39"/>
      <c r="T6030" s="39"/>
      <c r="U6030" s="39"/>
    </row>
    <row r="6031">
      <c r="A6031" s="40">
        <f t="shared" si="1"/>
        <v>46006</v>
      </c>
      <c r="B6031" s="37" t="str">
        <f t="array" ref="B6031">iferror(xlookup($I6031, 'IMPORT VHC Report'!$E:$E, 'IMPORT VHC Report'!$A:$C), )</f>
        <v/>
      </c>
      <c r="C6031" s="37"/>
      <c r="D6031" s="37"/>
      <c r="E6031" s="38" t="s">
        <v>7170</v>
      </c>
      <c r="F6031" s="38" t="s">
        <v>7155</v>
      </c>
      <c r="G6031" s="38">
        <v>3.61725488916E11</v>
      </c>
      <c r="H6031" s="38" t="s">
        <v>7156</v>
      </c>
      <c r="I6031" s="38" t="s">
        <v>7157</v>
      </c>
      <c r="J6031" s="38" t="s">
        <v>4</v>
      </c>
      <c r="K6031" s="38" t="s">
        <v>126</v>
      </c>
      <c r="L6031" s="41">
        <v>46009.697916666664</v>
      </c>
      <c r="M6031" s="38" t="s">
        <v>123</v>
      </c>
      <c r="N6031" s="41">
        <v>46009.739583333336</v>
      </c>
      <c r="O6031" s="38" t="s">
        <v>123</v>
      </c>
      <c r="P6031" s="38">
        <v>3600.0</v>
      </c>
      <c r="Q6031" s="39"/>
      <c r="R6031" s="39"/>
      <c r="S6031" s="38" t="s">
        <v>858</v>
      </c>
      <c r="T6031" s="39"/>
      <c r="U6031" s="39"/>
    </row>
    <row r="6032">
      <c r="A6032" s="40">
        <f t="shared" si="1"/>
        <v>46006</v>
      </c>
      <c r="B6032" s="37" t="str">
        <f t="array" ref="B6032">iferror(xlookup($I6032, 'IMPORT VHC Report'!$E:$E, 'IMPORT VHC Report'!$A:$C), )</f>
        <v/>
      </c>
      <c r="C6032" s="37"/>
      <c r="D6032" s="37"/>
      <c r="E6032" s="38" t="s">
        <v>7171</v>
      </c>
      <c r="F6032" s="38" t="s">
        <v>7155</v>
      </c>
      <c r="G6032" s="38">
        <v>3.61725488916E11</v>
      </c>
      <c r="H6032" s="38" t="s">
        <v>7156</v>
      </c>
      <c r="I6032" s="38" t="s">
        <v>7157</v>
      </c>
      <c r="J6032" s="38" t="s">
        <v>132</v>
      </c>
      <c r="K6032" s="38" t="s">
        <v>126</v>
      </c>
      <c r="L6032" s="41">
        <v>46009.8125</v>
      </c>
      <c r="M6032" s="38" t="s">
        <v>123</v>
      </c>
      <c r="N6032" s="41">
        <v>46009.854166666664</v>
      </c>
      <c r="O6032" s="38" t="s">
        <v>123</v>
      </c>
      <c r="P6032" s="38">
        <v>3600.0</v>
      </c>
      <c r="Q6032" s="39"/>
      <c r="R6032" s="39"/>
      <c r="S6032" s="39"/>
      <c r="T6032" s="39"/>
      <c r="U6032" s="39"/>
    </row>
    <row r="6033">
      <c r="A6033" s="40">
        <f t="shared" si="1"/>
        <v>46006</v>
      </c>
      <c r="B6033" s="37" t="str">
        <f t="array" ref="B6033">iferror(xlookup($I6033, 'IMPORT VHC Report'!$E:$E, 'IMPORT VHC Report'!$A:$C), )</f>
        <v/>
      </c>
      <c r="C6033" s="37"/>
      <c r="D6033" s="37"/>
      <c r="E6033" s="38" t="s">
        <v>7172</v>
      </c>
      <c r="F6033" s="38" t="s">
        <v>7155</v>
      </c>
      <c r="G6033" s="38">
        <v>3.61725488916E11</v>
      </c>
      <c r="H6033" s="38" t="s">
        <v>7156</v>
      </c>
      <c r="I6033" s="38" t="s">
        <v>7157</v>
      </c>
      <c r="J6033" s="38" t="s">
        <v>4</v>
      </c>
      <c r="K6033" s="38" t="s">
        <v>126</v>
      </c>
      <c r="L6033" s="41">
        <v>46010.541666666664</v>
      </c>
      <c r="M6033" s="38" t="s">
        <v>123</v>
      </c>
      <c r="N6033" s="41">
        <v>46010.5625</v>
      </c>
      <c r="O6033" s="38" t="s">
        <v>123</v>
      </c>
      <c r="P6033" s="38">
        <v>1800.0</v>
      </c>
      <c r="Q6033" s="39"/>
      <c r="R6033" s="39"/>
      <c r="S6033" s="39"/>
      <c r="T6033" s="39"/>
      <c r="U6033" s="39"/>
    </row>
    <row r="6034">
      <c r="A6034" s="40">
        <f t="shared" si="1"/>
        <v>46006</v>
      </c>
      <c r="B6034" s="37" t="str">
        <f t="array" ref="B6034">iferror(xlookup($I6034, 'IMPORT VHC Report'!$E:$E, 'IMPORT VHC Report'!$A:$C), )</f>
        <v/>
      </c>
      <c r="C6034" s="37"/>
      <c r="D6034" s="37"/>
      <c r="E6034" s="38" t="s">
        <v>7173</v>
      </c>
      <c r="F6034" s="38" t="s">
        <v>7155</v>
      </c>
      <c r="G6034" s="38">
        <v>3.61725488916E11</v>
      </c>
      <c r="H6034" s="38" t="s">
        <v>7156</v>
      </c>
      <c r="I6034" s="38" t="s">
        <v>7157</v>
      </c>
      <c r="J6034" s="38" t="s">
        <v>530</v>
      </c>
      <c r="K6034" s="38" t="s">
        <v>63</v>
      </c>
      <c r="L6034" s="41">
        <v>46010.541666666664</v>
      </c>
      <c r="M6034" s="38" t="s">
        <v>123</v>
      </c>
      <c r="N6034" s="41">
        <v>46010.916666666664</v>
      </c>
      <c r="O6034" s="38" t="s">
        <v>123</v>
      </c>
      <c r="P6034" s="38">
        <v>32400.0</v>
      </c>
      <c r="Q6034" s="39"/>
      <c r="R6034" s="39"/>
      <c r="S6034" s="39"/>
      <c r="T6034" s="39"/>
      <c r="U6034" s="39"/>
    </row>
    <row r="6035">
      <c r="A6035" s="40">
        <f t="shared" si="1"/>
        <v>46006</v>
      </c>
      <c r="B6035" s="37" t="str">
        <f t="array" ref="B6035">iferror(xlookup($I6035, 'IMPORT VHC Report'!$E:$E, 'IMPORT VHC Report'!$A:$C), )</f>
        <v/>
      </c>
      <c r="C6035" s="37"/>
      <c r="D6035" s="37"/>
      <c r="E6035" s="38" t="s">
        <v>7174</v>
      </c>
      <c r="F6035" s="38" t="s">
        <v>7155</v>
      </c>
      <c r="G6035" s="38">
        <v>3.61725488916E11</v>
      </c>
      <c r="H6035" s="38" t="s">
        <v>7156</v>
      </c>
      <c r="I6035" s="38" t="s">
        <v>7157</v>
      </c>
      <c r="J6035" s="38" t="s">
        <v>134</v>
      </c>
      <c r="K6035" s="38" t="s">
        <v>126</v>
      </c>
      <c r="L6035" s="41">
        <v>46010.677083333336</v>
      </c>
      <c r="M6035" s="38" t="s">
        <v>123</v>
      </c>
      <c r="N6035" s="41">
        <v>46010.697916666664</v>
      </c>
      <c r="O6035" s="38" t="s">
        <v>123</v>
      </c>
      <c r="P6035" s="38">
        <v>1800.0</v>
      </c>
      <c r="Q6035" s="39"/>
      <c r="R6035" s="39"/>
      <c r="S6035" s="39"/>
      <c r="T6035" s="39"/>
      <c r="U6035" s="39"/>
    </row>
    <row r="6036">
      <c r="A6036" s="40">
        <f t="shared" si="1"/>
        <v>46006</v>
      </c>
      <c r="B6036" s="37" t="str">
        <f t="array" ref="B6036">iferror(xlookup($I6036, 'IMPORT VHC Report'!$E:$E, 'IMPORT VHC Report'!$A:$C), )</f>
        <v/>
      </c>
      <c r="C6036" s="37"/>
      <c r="D6036" s="37"/>
      <c r="E6036" s="38" t="s">
        <v>7175</v>
      </c>
      <c r="F6036" s="38" t="s">
        <v>7155</v>
      </c>
      <c r="G6036" s="38">
        <v>3.61725488916E11</v>
      </c>
      <c r="H6036" s="38" t="s">
        <v>7156</v>
      </c>
      <c r="I6036" s="38" t="s">
        <v>7157</v>
      </c>
      <c r="J6036" s="38" t="s">
        <v>132</v>
      </c>
      <c r="K6036" s="38" t="s">
        <v>126</v>
      </c>
      <c r="L6036" s="41">
        <v>46010.8125</v>
      </c>
      <c r="M6036" s="38" t="s">
        <v>123</v>
      </c>
      <c r="N6036" s="41">
        <v>46010.854166666664</v>
      </c>
      <c r="O6036" s="38" t="s">
        <v>123</v>
      </c>
      <c r="P6036" s="38">
        <v>3600.0</v>
      </c>
      <c r="Q6036" s="39"/>
      <c r="R6036" s="39"/>
      <c r="S6036" s="39"/>
      <c r="T6036" s="39"/>
      <c r="U6036" s="39"/>
    </row>
    <row r="6037">
      <c r="A6037" s="40">
        <f t="shared" si="1"/>
        <v>46006</v>
      </c>
      <c r="B6037" s="37" t="str">
        <f t="array" ref="B6037">iferror(xlookup($I6037, 'IMPORT VHC Report'!$E:$E, 'IMPORT VHC Report'!$A:$C), )</f>
        <v/>
      </c>
      <c r="C6037" s="37"/>
      <c r="D6037" s="37"/>
      <c r="E6037" s="38" t="s">
        <v>7176</v>
      </c>
      <c r="F6037" s="38" t="s">
        <v>7155</v>
      </c>
      <c r="G6037" s="38">
        <v>3.61725488916E11</v>
      </c>
      <c r="H6037" s="38" t="s">
        <v>7156</v>
      </c>
      <c r="I6037" s="38" t="s">
        <v>7157</v>
      </c>
      <c r="J6037" s="38" t="s">
        <v>4</v>
      </c>
      <c r="K6037" s="38" t="s">
        <v>126</v>
      </c>
      <c r="L6037" s="41">
        <v>46011.541666666664</v>
      </c>
      <c r="M6037" s="38" t="s">
        <v>123</v>
      </c>
      <c r="N6037" s="41">
        <v>46011.5625</v>
      </c>
      <c r="O6037" s="38" t="s">
        <v>123</v>
      </c>
      <c r="P6037" s="38">
        <v>1800.0</v>
      </c>
      <c r="Q6037" s="39"/>
      <c r="R6037" s="39"/>
      <c r="S6037" s="39"/>
      <c r="T6037" s="39"/>
      <c r="U6037" s="39"/>
    </row>
    <row r="6038">
      <c r="A6038" s="40">
        <f t="shared" si="1"/>
        <v>46006</v>
      </c>
      <c r="B6038" s="37" t="str">
        <f t="array" ref="B6038">iferror(xlookup($I6038, 'IMPORT VHC Report'!$E:$E, 'IMPORT VHC Report'!$A:$C), )</f>
        <v/>
      </c>
      <c r="C6038" s="37"/>
      <c r="D6038" s="37"/>
      <c r="E6038" s="38" t="s">
        <v>7177</v>
      </c>
      <c r="F6038" s="38" t="s">
        <v>7155</v>
      </c>
      <c r="G6038" s="38">
        <v>3.61725488916E11</v>
      </c>
      <c r="H6038" s="38" t="s">
        <v>7156</v>
      </c>
      <c r="I6038" s="38" t="s">
        <v>7157</v>
      </c>
      <c r="J6038" s="38" t="s">
        <v>530</v>
      </c>
      <c r="K6038" s="38" t="s">
        <v>63</v>
      </c>
      <c r="L6038" s="41">
        <v>46011.541666666664</v>
      </c>
      <c r="M6038" s="38" t="s">
        <v>123</v>
      </c>
      <c r="N6038" s="41">
        <v>46011.916666666664</v>
      </c>
      <c r="O6038" s="38" t="s">
        <v>123</v>
      </c>
      <c r="P6038" s="38">
        <v>32400.0</v>
      </c>
      <c r="Q6038" s="39"/>
      <c r="R6038" s="39"/>
      <c r="S6038" s="39"/>
      <c r="T6038" s="39"/>
      <c r="U6038" s="39"/>
    </row>
    <row r="6039">
      <c r="A6039" s="40">
        <f t="shared" si="1"/>
        <v>46006</v>
      </c>
      <c r="B6039" s="37" t="str">
        <f t="array" ref="B6039">iferror(xlookup($I6039, 'IMPORT VHC Report'!$E:$E, 'IMPORT VHC Report'!$A:$C), )</f>
        <v/>
      </c>
      <c r="C6039" s="37"/>
      <c r="D6039" s="37"/>
      <c r="E6039" s="38" t="s">
        <v>7178</v>
      </c>
      <c r="F6039" s="38" t="s">
        <v>7155</v>
      </c>
      <c r="G6039" s="38">
        <v>3.61725488916E11</v>
      </c>
      <c r="H6039" s="38" t="s">
        <v>7156</v>
      </c>
      <c r="I6039" s="38" t="s">
        <v>7157</v>
      </c>
      <c r="J6039" s="38" t="s">
        <v>178</v>
      </c>
      <c r="K6039" s="38" t="s">
        <v>153</v>
      </c>
      <c r="L6039" s="41">
        <v>46011.541666666664</v>
      </c>
      <c r="M6039" s="38" t="s">
        <v>123</v>
      </c>
      <c r="N6039" s="41">
        <v>46011.916666666664</v>
      </c>
      <c r="O6039" s="38" t="s">
        <v>123</v>
      </c>
      <c r="P6039" s="38">
        <v>32400.0</v>
      </c>
      <c r="Q6039" s="38">
        <v>28800.0</v>
      </c>
      <c r="R6039" s="39"/>
      <c r="S6039" s="39"/>
      <c r="T6039" s="39"/>
      <c r="U6039" s="39"/>
    </row>
    <row r="6040">
      <c r="A6040" s="40">
        <f t="shared" si="1"/>
        <v>46006</v>
      </c>
      <c r="B6040" s="37" t="str">
        <f t="array" ref="B6040">iferror(xlookup($I6040, 'IMPORT VHC Report'!$E:$E, 'IMPORT VHC Report'!$A:$C), )</f>
        <v/>
      </c>
      <c r="C6040" s="37"/>
      <c r="D6040" s="37"/>
      <c r="E6040" s="38" t="s">
        <v>7179</v>
      </c>
      <c r="F6040" s="38" t="s">
        <v>7155</v>
      </c>
      <c r="G6040" s="38">
        <v>3.61725488916E11</v>
      </c>
      <c r="H6040" s="38" t="s">
        <v>7156</v>
      </c>
      <c r="I6040" s="38" t="s">
        <v>7157</v>
      </c>
      <c r="J6040" s="38" t="s">
        <v>134</v>
      </c>
      <c r="K6040" s="38" t="s">
        <v>126</v>
      </c>
      <c r="L6040" s="41">
        <v>46011.677083333336</v>
      </c>
      <c r="M6040" s="38" t="s">
        <v>123</v>
      </c>
      <c r="N6040" s="41">
        <v>46011.697916666664</v>
      </c>
      <c r="O6040" s="38" t="s">
        <v>123</v>
      </c>
      <c r="P6040" s="38">
        <v>1800.0</v>
      </c>
      <c r="Q6040" s="39"/>
      <c r="R6040" s="39"/>
      <c r="S6040" s="39"/>
      <c r="T6040" s="39"/>
      <c r="U6040" s="39"/>
    </row>
    <row r="6041">
      <c r="A6041" s="40">
        <f t="shared" si="1"/>
        <v>46006</v>
      </c>
      <c r="B6041" s="37" t="str">
        <f t="array" ref="B6041">iferror(xlookup($I6041, 'IMPORT VHC Report'!$E:$E, 'IMPORT VHC Report'!$A:$C), )</f>
        <v/>
      </c>
      <c r="C6041" s="37"/>
      <c r="D6041" s="37"/>
      <c r="E6041" s="38" t="s">
        <v>7180</v>
      </c>
      <c r="F6041" s="38" t="s">
        <v>7155</v>
      </c>
      <c r="G6041" s="38">
        <v>3.61725488916E11</v>
      </c>
      <c r="H6041" s="38" t="s">
        <v>7156</v>
      </c>
      <c r="I6041" s="38" t="s">
        <v>7157</v>
      </c>
      <c r="J6041" s="38" t="s">
        <v>132</v>
      </c>
      <c r="K6041" s="38" t="s">
        <v>126</v>
      </c>
      <c r="L6041" s="41">
        <v>46011.8125</v>
      </c>
      <c r="M6041" s="38" t="s">
        <v>123</v>
      </c>
      <c r="N6041" s="41">
        <v>46011.854166666664</v>
      </c>
      <c r="O6041" s="38" t="s">
        <v>123</v>
      </c>
      <c r="P6041" s="38">
        <v>3600.0</v>
      </c>
      <c r="Q6041" s="39"/>
      <c r="R6041" s="39"/>
      <c r="S6041" s="39"/>
      <c r="T6041" s="39"/>
      <c r="U6041" s="39"/>
    </row>
    <row r="6042">
      <c r="A6042" s="40">
        <f t="shared" si="1"/>
        <v>46006</v>
      </c>
      <c r="B6042" s="37" t="str">
        <f t="array" ref="B6042">iferror(xlookup($I6042, 'IMPORT VHC Report'!$E:$E, 'IMPORT VHC Report'!$A:$C), )</f>
        <v/>
      </c>
      <c r="C6042" s="37"/>
      <c r="D6042" s="37"/>
      <c r="E6042" s="38" t="s">
        <v>7181</v>
      </c>
      <c r="F6042" s="38" t="s">
        <v>7182</v>
      </c>
      <c r="G6042" s="38">
        <v>7.235417198991E12</v>
      </c>
      <c r="H6042" s="38" t="s">
        <v>7183</v>
      </c>
      <c r="I6042" s="38" t="s">
        <v>7184</v>
      </c>
      <c r="J6042" s="38" t="s">
        <v>791</v>
      </c>
      <c r="K6042" s="38" t="s">
        <v>63</v>
      </c>
      <c r="L6042" s="41">
        <v>46007.583333333336</v>
      </c>
      <c r="M6042" s="38" t="s">
        <v>123</v>
      </c>
      <c r="N6042" s="41">
        <v>46007.958333333336</v>
      </c>
      <c r="O6042" s="38" t="s">
        <v>123</v>
      </c>
      <c r="P6042" s="38">
        <v>32400.0</v>
      </c>
      <c r="Q6042" s="39"/>
      <c r="R6042" s="39"/>
      <c r="S6042" s="39"/>
      <c r="T6042" s="39"/>
      <c r="U6042" s="39"/>
    </row>
    <row r="6043">
      <c r="A6043" s="40">
        <f t="shared" si="1"/>
        <v>46006</v>
      </c>
      <c r="B6043" s="37" t="str">
        <f t="array" ref="B6043">iferror(xlookup($I6043, 'IMPORT VHC Report'!$E:$E, 'IMPORT VHC Report'!$A:$C), )</f>
        <v/>
      </c>
      <c r="C6043" s="37"/>
      <c r="D6043" s="37"/>
      <c r="E6043" s="38" t="s">
        <v>7185</v>
      </c>
      <c r="F6043" s="38" t="s">
        <v>7182</v>
      </c>
      <c r="G6043" s="38">
        <v>7.235417198991E12</v>
      </c>
      <c r="H6043" s="38" t="s">
        <v>7183</v>
      </c>
      <c r="I6043" s="38" t="s">
        <v>7184</v>
      </c>
      <c r="J6043" s="38" t="s">
        <v>134</v>
      </c>
      <c r="K6043" s="38" t="s">
        <v>126</v>
      </c>
      <c r="L6043" s="41">
        <v>46007.895833333336</v>
      </c>
      <c r="M6043" s="38" t="s">
        <v>123</v>
      </c>
      <c r="N6043" s="41">
        <v>46007.916666666664</v>
      </c>
      <c r="O6043" s="38" t="s">
        <v>123</v>
      </c>
      <c r="P6043" s="38">
        <v>1800.0</v>
      </c>
      <c r="Q6043" s="39"/>
      <c r="R6043" s="39"/>
      <c r="S6043" s="39"/>
      <c r="T6043" s="39"/>
      <c r="U6043" s="39"/>
    </row>
    <row r="6044">
      <c r="A6044" s="40">
        <f t="shared" si="1"/>
        <v>46006</v>
      </c>
      <c r="B6044" s="37" t="str">
        <f t="array" ref="B6044">iferror(xlookup($I6044, 'IMPORT VHC Report'!$E:$E, 'IMPORT VHC Report'!$A:$C), )</f>
        <v/>
      </c>
      <c r="C6044" s="37"/>
      <c r="D6044" s="37"/>
      <c r="E6044" s="38" t="s">
        <v>7186</v>
      </c>
      <c r="F6044" s="38" t="s">
        <v>7182</v>
      </c>
      <c r="G6044" s="38">
        <v>7.235417198991E12</v>
      </c>
      <c r="H6044" s="38" t="s">
        <v>7183</v>
      </c>
      <c r="I6044" s="38" t="s">
        <v>7184</v>
      </c>
      <c r="J6044" s="38" t="s">
        <v>132</v>
      </c>
      <c r="K6044" s="38" t="s">
        <v>126</v>
      </c>
      <c r="L6044" s="41">
        <v>46007.916666666664</v>
      </c>
      <c r="M6044" s="38" t="s">
        <v>123</v>
      </c>
      <c r="N6044" s="41">
        <v>46007.958333333336</v>
      </c>
      <c r="O6044" s="38" t="s">
        <v>123</v>
      </c>
      <c r="P6044" s="38">
        <v>3600.0</v>
      </c>
      <c r="Q6044" s="39"/>
      <c r="R6044" s="39"/>
      <c r="S6044" s="39"/>
      <c r="T6044" s="39"/>
      <c r="U6044" s="39"/>
    </row>
    <row r="6045">
      <c r="A6045" s="40">
        <f t="shared" si="1"/>
        <v>46006</v>
      </c>
      <c r="B6045" s="37" t="str">
        <f t="array" ref="B6045">iferror(xlookup($I6045, 'IMPORT VHC Report'!$E:$E, 'IMPORT VHC Report'!$A:$C), )</f>
        <v/>
      </c>
      <c r="C6045" s="37"/>
      <c r="D6045" s="37"/>
      <c r="E6045" s="38" t="s">
        <v>7187</v>
      </c>
      <c r="F6045" s="38" t="s">
        <v>7182</v>
      </c>
      <c r="G6045" s="38">
        <v>7.235417198991E12</v>
      </c>
      <c r="H6045" s="38" t="s">
        <v>7183</v>
      </c>
      <c r="I6045" s="38" t="s">
        <v>7184</v>
      </c>
      <c r="J6045" s="38" t="s">
        <v>62</v>
      </c>
      <c r="K6045" s="38" t="s">
        <v>63</v>
      </c>
      <c r="L6045" s="41">
        <v>46008.583333333336</v>
      </c>
      <c r="M6045" s="38" t="s">
        <v>123</v>
      </c>
      <c r="N6045" s="41">
        <v>46008.75</v>
      </c>
      <c r="O6045" s="38" t="s">
        <v>123</v>
      </c>
      <c r="P6045" s="38">
        <v>14400.0</v>
      </c>
      <c r="Q6045" s="39"/>
      <c r="R6045" s="39"/>
      <c r="S6045" s="39"/>
      <c r="T6045" s="39"/>
      <c r="U6045" s="39"/>
    </row>
    <row r="6046">
      <c r="A6046" s="40">
        <f t="shared" si="1"/>
        <v>46006</v>
      </c>
      <c r="B6046" s="37" t="str">
        <f t="array" ref="B6046">iferror(xlookup($I6046, 'IMPORT VHC Report'!$E:$E, 'IMPORT VHC Report'!$A:$C), )</f>
        <v/>
      </c>
      <c r="C6046" s="37"/>
      <c r="D6046" s="37"/>
      <c r="E6046" s="38" t="s">
        <v>7188</v>
      </c>
      <c r="F6046" s="38" t="s">
        <v>7182</v>
      </c>
      <c r="G6046" s="38">
        <v>7.235417198991E12</v>
      </c>
      <c r="H6046" s="38" t="s">
        <v>7183</v>
      </c>
      <c r="I6046" s="38" t="s">
        <v>7184</v>
      </c>
      <c r="J6046" s="38" t="s">
        <v>152</v>
      </c>
      <c r="K6046" s="38" t="s">
        <v>153</v>
      </c>
      <c r="L6046" s="41">
        <v>46008.583333333336</v>
      </c>
      <c r="M6046" s="38" t="s">
        <v>123</v>
      </c>
      <c r="N6046" s="41">
        <v>46008.958333333336</v>
      </c>
      <c r="O6046" s="38" t="s">
        <v>123</v>
      </c>
      <c r="P6046" s="38">
        <v>32400.0</v>
      </c>
      <c r="Q6046" s="38">
        <v>28800.0</v>
      </c>
      <c r="R6046" s="39"/>
      <c r="S6046" s="39"/>
      <c r="T6046" s="39"/>
      <c r="U6046" s="39"/>
    </row>
    <row r="6047">
      <c r="A6047" s="40">
        <f t="shared" si="1"/>
        <v>46006</v>
      </c>
      <c r="B6047" s="37" t="str">
        <f t="array" ref="B6047">iferror(xlookup($I6047, 'IMPORT VHC Report'!$E:$E, 'IMPORT VHC Report'!$A:$C), )</f>
        <v/>
      </c>
      <c r="C6047" s="37"/>
      <c r="D6047" s="37"/>
      <c r="E6047" s="38" t="s">
        <v>7189</v>
      </c>
      <c r="F6047" s="38" t="s">
        <v>7182</v>
      </c>
      <c r="G6047" s="38">
        <v>7.235417198991E12</v>
      </c>
      <c r="H6047" s="38" t="s">
        <v>7183</v>
      </c>
      <c r="I6047" s="38" t="s">
        <v>7184</v>
      </c>
      <c r="J6047" s="38" t="s">
        <v>791</v>
      </c>
      <c r="K6047" s="38" t="s">
        <v>63</v>
      </c>
      <c r="L6047" s="41">
        <v>46008.75</v>
      </c>
      <c r="M6047" s="38" t="s">
        <v>123</v>
      </c>
      <c r="N6047" s="41">
        <v>46008.958333333336</v>
      </c>
      <c r="O6047" s="38" t="s">
        <v>123</v>
      </c>
      <c r="P6047" s="38">
        <v>18000.0</v>
      </c>
      <c r="Q6047" s="39"/>
      <c r="R6047" s="39"/>
      <c r="S6047" s="39"/>
      <c r="T6047" s="39"/>
      <c r="U6047" s="39"/>
    </row>
    <row r="6048">
      <c r="A6048" s="40">
        <f t="shared" si="1"/>
        <v>46006</v>
      </c>
      <c r="B6048" s="37" t="str">
        <f t="array" ref="B6048">iferror(xlookup($I6048, 'IMPORT VHC Report'!$E:$E, 'IMPORT VHC Report'!$A:$C), )</f>
        <v/>
      </c>
      <c r="C6048" s="37"/>
      <c r="D6048" s="37"/>
      <c r="E6048" s="38" t="s">
        <v>7190</v>
      </c>
      <c r="F6048" s="38" t="s">
        <v>7182</v>
      </c>
      <c r="G6048" s="38">
        <v>7.235417198991E12</v>
      </c>
      <c r="H6048" s="38" t="s">
        <v>7183</v>
      </c>
      <c r="I6048" s="38" t="s">
        <v>7184</v>
      </c>
      <c r="J6048" s="38" t="s">
        <v>132</v>
      </c>
      <c r="K6048" s="38" t="s">
        <v>126</v>
      </c>
      <c r="L6048" s="41">
        <v>46008.833333333336</v>
      </c>
      <c r="M6048" s="38" t="s">
        <v>123</v>
      </c>
      <c r="N6048" s="41">
        <v>46008.875</v>
      </c>
      <c r="O6048" s="38" t="s">
        <v>123</v>
      </c>
      <c r="P6048" s="38">
        <v>3600.0</v>
      </c>
      <c r="Q6048" s="39"/>
      <c r="R6048" s="39"/>
      <c r="S6048" s="39"/>
      <c r="T6048" s="39"/>
      <c r="U6048" s="39"/>
    </row>
    <row r="6049">
      <c r="A6049" s="40">
        <f t="shared" si="1"/>
        <v>46006</v>
      </c>
      <c r="B6049" s="37" t="str">
        <f t="array" ref="B6049">iferror(xlookup($I6049, 'IMPORT VHC Report'!$E:$E, 'IMPORT VHC Report'!$A:$C), )</f>
        <v/>
      </c>
      <c r="C6049" s="37"/>
      <c r="D6049" s="37"/>
      <c r="E6049" s="38" t="s">
        <v>7191</v>
      </c>
      <c r="F6049" s="38" t="s">
        <v>7182</v>
      </c>
      <c r="G6049" s="38">
        <v>7.235417198991E12</v>
      </c>
      <c r="H6049" s="38" t="s">
        <v>7183</v>
      </c>
      <c r="I6049" s="38" t="s">
        <v>7184</v>
      </c>
      <c r="J6049" s="38" t="s">
        <v>134</v>
      </c>
      <c r="K6049" s="38" t="s">
        <v>126</v>
      </c>
      <c r="L6049" s="41">
        <v>46008.875</v>
      </c>
      <c r="M6049" s="38" t="s">
        <v>123</v>
      </c>
      <c r="N6049" s="41">
        <v>46008.895833333336</v>
      </c>
      <c r="O6049" s="38" t="s">
        <v>123</v>
      </c>
      <c r="P6049" s="38">
        <v>1800.0</v>
      </c>
      <c r="Q6049" s="39"/>
      <c r="R6049" s="39"/>
      <c r="S6049" s="39"/>
      <c r="T6049" s="39"/>
      <c r="U6049" s="39"/>
    </row>
    <row r="6050">
      <c r="A6050" s="40">
        <f t="shared" si="1"/>
        <v>46006</v>
      </c>
      <c r="B6050" s="37" t="str">
        <f t="array" ref="B6050">iferror(xlookup($I6050, 'IMPORT VHC Report'!$E:$E, 'IMPORT VHC Report'!$A:$C), )</f>
        <v/>
      </c>
      <c r="C6050" s="37"/>
      <c r="D6050" s="37"/>
      <c r="E6050" s="38" t="s">
        <v>7192</v>
      </c>
      <c r="F6050" s="38" t="s">
        <v>7182</v>
      </c>
      <c r="G6050" s="38">
        <v>7.235417198991E12</v>
      </c>
      <c r="H6050" s="38" t="s">
        <v>7183</v>
      </c>
      <c r="I6050" s="38" t="s">
        <v>7184</v>
      </c>
      <c r="J6050" s="38" t="s">
        <v>791</v>
      </c>
      <c r="K6050" s="38" t="s">
        <v>63</v>
      </c>
      <c r="L6050" s="41">
        <v>46009.583333333336</v>
      </c>
      <c r="M6050" s="38" t="s">
        <v>123</v>
      </c>
      <c r="N6050" s="41">
        <v>46009.958333333336</v>
      </c>
      <c r="O6050" s="38" t="s">
        <v>123</v>
      </c>
      <c r="P6050" s="38">
        <v>32400.0</v>
      </c>
      <c r="Q6050" s="39"/>
      <c r="R6050" s="39"/>
      <c r="S6050" s="39"/>
      <c r="T6050" s="39"/>
      <c r="U6050" s="39"/>
    </row>
    <row r="6051">
      <c r="A6051" s="40">
        <f t="shared" si="1"/>
        <v>46006</v>
      </c>
      <c r="B6051" s="37" t="str">
        <f t="array" ref="B6051">iferror(xlookup($I6051, 'IMPORT VHC Report'!$E:$E, 'IMPORT VHC Report'!$A:$C), )</f>
        <v/>
      </c>
      <c r="C6051" s="37"/>
      <c r="D6051" s="37"/>
      <c r="E6051" s="38" t="s">
        <v>7193</v>
      </c>
      <c r="F6051" s="38" t="s">
        <v>7182</v>
      </c>
      <c r="G6051" s="38">
        <v>7.235417198991E12</v>
      </c>
      <c r="H6051" s="38" t="s">
        <v>7183</v>
      </c>
      <c r="I6051" s="38" t="s">
        <v>7184</v>
      </c>
      <c r="J6051" s="38" t="s">
        <v>134</v>
      </c>
      <c r="K6051" s="38" t="s">
        <v>126</v>
      </c>
      <c r="L6051" s="41">
        <v>46009.895833333336</v>
      </c>
      <c r="M6051" s="38" t="s">
        <v>123</v>
      </c>
      <c r="N6051" s="41">
        <v>46009.916666666664</v>
      </c>
      <c r="O6051" s="38" t="s">
        <v>123</v>
      </c>
      <c r="P6051" s="38">
        <v>1800.0</v>
      </c>
      <c r="Q6051" s="39"/>
      <c r="R6051" s="39"/>
      <c r="S6051" s="39"/>
      <c r="T6051" s="39"/>
      <c r="U6051" s="39"/>
    </row>
    <row r="6052">
      <c r="A6052" s="40">
        <f t="shared" si="1"/>
        <v>46006</v>
      </c>
      <c r="B6052" s="37" t="str">
        <f t="array" ref="B6052">iferror(xlookup($I6052, 'IMPORT VHC Report'!$E:$E, 'IMPORT VHC Report'!$A:$C), )</f>
        <v/>
      </c>
      <c r="C6052" s="37"/>
      <c r="D6052" s="37"/>
      <c r="E6052" s="38" t="s">
        <v>7194</v>
      </c>
      <c r="F6052" s="38" t="s">
        <v>7182</v>
      </c>
      <c r="G6052" s="38">
        <v>7.235417198991E12</v>
      </c>
      <c r="H6052" s="38" t="s">
        <v>7183</v>
      </c>
      <c r="I6052" s="38" t="s">
        <v>7184</v>
      </c>
      <c r="J6052" s="38" t="s">
        <v>132</v>
      </c>
      <c r="K6052" s="38" t="s">
        <v>126</v>
      </c>
      <c r="L6052" s="41">
        <v>46009.916666666664</v>
      </c>
      <c r="M6052" s="38" t="s">
        <v>123</v>
      </c>
      <c r="N6052" s="41">
        <v>46009.958333333336</v>
      </c>
      <c r="O6052" s="38" t="s">
        <v>123</v>
      </c>
      <c r="P6052" s="38">
        <v>3600.0</v>
      </c>
      <c r="Q6052" s="39"/>
      <c r="R6052" s="39"/>
      <c r="S6052" s="39"/>
      <c r="T6052" s="39"/>
      <c r="U6052" s="39"/>
    </row>
    <row r="6053">
      <c r="A6053" s="40">
        <f t="shared" si="1"/>
        <v>46006</v>
      </c>
      <c r="B6053" s="37" t="str">
        <f t="array" ref="B6053">iferror(xlookup($I6053, 'IMPORT VHC Report'!$E:$E, 'IMPORT VHC Report'!$A:$C), )</f>
        <v/>
      </c>
      <c r="C6053" s="37"/>
      <c r="D6053" s="37"/>
      <c r="E6053" s="38" t="s">
        <v>7195</v>
      </c>
      <c r="F6053" s="38" t="s">
        <v>7182</v>
      </c>
      <c r="G6053" s="38">
        <v>7.235417198991E12</v>
      </c>
      <c r="H6053" s="38" t="s">
        <v>7183</v>
      </c>
      <c r="I6053" s="38" t="s">
        <v>7184</v>
      </c>
      <c r="J6053" s="38" t="s">
        <v>791</v>
      </c>
      <c r="K6053" s="38" t="s">
        <v>63</v>
      </c>
      <c r="L6053" s="41">
        <v>46010.583333333336</v>
      </c>
      <c r="M6053" s="38" t="s">
        <v>123</v>
      </c>
      <c r="N6053" s="41">
        <v>46010.958333333336</v>
      </c>
      <c r="O6053" s="38" t="s">
        <v>123</v>
      </c>
      <c r="P6053" s="38">
        <v>32400.0</v>
      </c>
      <c r="Q6053" s="39"/>
      <c r="R6053" s="39"/>
      <c r="S6053" s="39"/>
      <c r="T6053" s="39"/>
      <c r="U6053" s="39"/>
    </row>
    <row r="6054">
      <c r="A6054" s="40">
        <f t="shared" si="1"/>
        <v>46006</v>
      </c>
      <c r="B6054" s="37" t="str">
        <f t="array" ref="B6054">iferror(xlookup($I6054, 'IMPORT VHC Report'!$E:$E, 'IMPORT VHC Report'!$A:$C), )</f>
        <v/>
      </c>
      <c r="C6054" s="37"/>
      <c r="D6054" s="37"/>
      <c r="E6054" s="38" t="s">
        <v>7196</v>
      </c>
      <c r="F6054" s="38" t="s">
        <v>7182</v>
      </c>
      <c r="G6054" s="38">
        <v>7.235417198991E12</v>
      </c>
      <c r="H6054" s="38" t="s">
        <v>7183</v>
      </c>
      <c r="I6054" s="38" t="s">
        <v>7184</v>
      </c>
      <c r="J6054" s="38" t="s">
        <v>134</v>
      </c>
      <c r="K6054" s="38" t="s">
        <v>126</v>
      </c>
      <c r="L6054" s="41">
        <v>46010.895833333336</v>
      </c>
      <c r="M6054" s="38" t="s">
        <v>123</v>
      </c>
      <c r="N6054" s="41">
        <v>46010.916666666664</v>
      </c>
      <c r="O6054" s="38" t="s">
        <v>123</v>
      </c>
      <c r="P6054" s="38">
        <v>1800.0</v>
      </c>
      <c r="Q6054" s="39"/>
      <c r="R6054" s="39"/>
      <c r="S6054" s="39"/>
      <c r="T6054" s="39"/>
      <c r="U6054" s="39"/>
    </row>
    <row r="6055">
      <c r="A6055" s="40">
        <f t="shared" si="1"/>
        <v>46006</v>
      </c>
      <c r="B6055" s="37" t="str">
        <f t="array" ref="B6055">iferror(xlookup($I6055, 'IMPORT VHC Report'!$E:$E, 'IMPORT VHC Report'!$A:$C), )</f>
        <v/>
      </c>
      <c r="C6055" s="37"/>
      <c r="D6055" s="37"/>
      <c r="E6055" s="38" t="s">
        <v>7197</v>
      </c>
      <c r="F6055" s="38" t="s">
        <v>7182</v>
      </c>
      <c r="G6055" s="38">
        <v>7.235417198991E12</v>
      </c>
      <c r="H6055" s="38" t="s">
        <v>7183</v>
      </c>
      <c r="I6055" s="38" t="s">
        <v>7184</v>
      </c>
      <c r="J6055" s="38" t="s">
        <v>132</v>
      </c>
      <c r="K6055" s="38" t="s">
        <v>126</v>
      </c>
      <c r="L6055" s="41">
        <v>46010.916666666664</v>
      </c>
      <c r="M6055" s="38" t="s">
        <v>123</v>
      </c>
      <c r="N6055" s="41">
        <v>46010.958333333336</v>
      </c>
      <c r="O6055" s="38" t="s">
        <v>123</v>
      </c>
      <c r="P6055" s="38">
        <v>3600.0</v>
      </c>
      <c r="Q6055" s="39"/>
      <c r="R6055" s="39"/>
      <c r="S6055" s="39"/>
      <c r="T6055" s="39"/>
      <c r="U6055" s="39"/>
    </row>
    <row r="6056">
      <c r="A6056" s="40">
        <f t="shared" si="1"/>
        <v>46006</v>
      </c>
      <c r="B6056" s="37" t="str">
        <f t="array" ref="B6056">iferror(xlookup($I6056, 'IMPORT VHC Report'!$E:$E, 'IMPORT VHC Report'!$A:$C), )</f>
        <v/>
      </c>
      <c r="C6056" s="37"/>
      <c r="D6056" s="37"/>
      <c r="E6056" s="38" t="s">
        <v>7198</v>
      </c>
      <c r="F6056" s="38" t="s">
        <v>7182</v>
      </c>
      <c r="G6056" s="38">
        <v>7.235417198991E12</v>
      </c>
      <c r="H6056" s="38" t="s">
        <v>7183</v>
      </c>
      <c r="I6056" s="38" t="s">
        <v>7184</v>
      </c>
      <c r="J6056" s="38" t="s">
        <v>791</v>
      </c>
      <c r="K6056" s="38" t="s">
        <v>63</v>
      </c>
      <c r="L6056" s="41">
        <v>46011.583333333336</v>
      </c>
      <c r="M6056" s="38" t="s">
        <v>123</v>
      </c>
      <c r="N6056" s="41">
        <v>46011.958333333336</v>
      </c>
      <c r="O6056" s="38" t="s">
        <v>123</v>
      </c>
      <c r="P6056" s="38">
        <v>32400.0</v>
      </c>
      <c r="Q6056" s="39"/>
      <c r="R6056" s="39"/>
      <c r="S6056" s="39"/>
      <c r="T6056" s="39"/>
      <c r="U6056" s="39"/>
    </row>
    <row r="6057">
      <c r="A6057" s="40">
        <f t="shared" si="1"/>
        <v>46006</v>
      </c>
      <c r="B6057" s="37" t="str">
        <f t="array" ref="B6057">iferror(xlookup($I6057, 'IMPORT VHC Report'!$E:$E, 'IMPORT VHC Report'!$A:$C), )</f>
        <v/>
      </c>
      <c r="C6057" s="37"/>
      <c r="D6057" s="37"/>
      <c r="E6057" s="38" t="s">
        <v>7199</v>
      </c>
      <c r="F6057" s="38" t="s">
        <v>7182</v>
      </c>
      <c r="G6057" s="38">
        <v>7.235417198991E12</v>
      </c>
      <c r="H6057" s="38" t="s">
        <v>7183</v>
      </c>
      <c r="I6057" s="38" t="s">
        <v>7184</v>
      </c>
      <c r="J6057" s="38" t="s">
        <v>134</v>
      </c>
      <c r="K6057" s="38" t="s">
        <v>126</v>
      </c>
      <c r="L6057" s="41">
        <v>46011.833333333336</v>
      </c>
      <c r="M6057" s="38" t="s">
        <v>123</v>
      </c>
      <c r="N6057" s="41">
        <v>46011.854166666664</v>
      </c>
      <c r="O6057" s="38" t="s">
        <v>123</v>
      </c>
      <c r="P6057" s="38">
        <v>1800.0</v>
      </c>
      <c r="Q6057" s="39"/>
      <c r="R6057" s="39"/>
      <c r="S6057" s="39"/>
      <c r="T6057" s="39"/>
      <c r="U6057" s="39"/>
    </row>
    <row r="6058">
      <c r="A6058" s="40">
        <f t="shared" si="1"/>
        <v>46006</v>
      </c>
      <c r="B6058" s="37" t="str">
        <f t="array" ref="B6058">iferror(xlookup($I6058, 'IMPORT VHC Report'!$E:$E, 'IMPORT VHC Report'!$A:$C), )</f>
        <v/>
      </c>
      <c r="C6058" s="37"/>
      <c r="D6058" s="37"/>
      <c r="E6058" s="38" t="s">
        <v>7200</v>
      </c>
      <c r="F6058" s="38" t="s">
        <v>7182</v>
      </c>
      <c r="G6058" s="38">
        <v>7.235417198991E12</v>
      </c>
      <c r="H6058" s="38" t="s">
        <v>7183</v>
      </c>
      <c r="I6058" s="38" t="s">
        <v>7184</v>
      </c>
      <c r="J6058" s="38" t="s">
        <v>132</v>
      </c>
      <c r="K6058" s="38" t="s">
        <v>126</v>
      </c>
      <c r="L6058" s="41">
        <v>46011.854166666664</v>
      </c>
      <c r="M6058" s="38" t="s">
        <v>123</v>
      </c>
      <c r="N6058" s="41">
        <v>46011.895833333336</v>
      </c>
      <c r="O6058" s="38" t="s">
        <v>123</v>
      </c>
      <c r="P6058" s="38">
        <v>3600.0</v>
      </c>
      <c r="Q6058" s="39"/>
      <c r="R6058" s="39"/>
      <c r="S6058" s="39"/>
      <c r="T6058" s="39"/>
      <c r="U6058" s="39"/>
    </row>
    <row r="6059">
      <c r="A6059" s="40">
        <f t="shared" si="1"/>
        <v>46006</v>
      </c>
      <c r="B6059" s="37" t="str">
        <f t="array" ref="B6059">iferror(xlookup($I6059, 'IMPORT VHC Report'!$E:$E, 'IMPORT VHC Report'!$A:$C), )</f>
        <v/>
      </c>
      <c r="C6059" s="37"/>
      <c r="D6059" s="37"/>
      <c r="E6059" s="38" t="s">
        <v>7201</v>
      </c>
      <c r="F6059" s="38" t="s">
        <v>7202</v>
      </c>
      <c r="G6059" s="38">
        <v>5.566867976335E12</v>
      </c>
      <c r="H6059" s="38" t="s">
        <v>60</v>
      </c>
      <c r="I6059" s="38" t="s">
        <v>61</v>
      </c>
      <c r="J6059" s="38" t="s">
        <v>1670</v>
      </c>
      <c r="K6059" s="38" t="s">
        <v>63</v>
      </c>
      <c r="L6059" s="41">
        <v>46007.583333333336</v>
      </c>
      <c r="M6059" s="38" t="s">
        <v>123</v>
      </c>
      <c r="N6059" s="41">
        <v>46007.958333333336</v>
      </c>
      <c r="O6059" s="38" t="s">
        <v>123</v>
      </c>
      <c r="P6059" s="38">
        <v>32400.0</v>
      </c>
      <c r="Q6059" s="39"/>
      <c r="R6059" s="39"/>
      <c r="S6059" s="39"/>
      <c r="T6059" s="39"/>
      <c r="U6059" s="39"/>
    </row>
    <row r="6060">
      <c r="A6060" s="40">
        <f t="shared" si="1"/>
        <v>46006</v>
      </c>
      <c r="B6060" s="37" t="str">
        <f t="array" ref="B6060">iferror(xlookup($I6060, 'IMPORT VHC Report'!$E:$E, 'IMPORT VHC Report'!$A:$C), )</f>
        <v/>
      </c>
      <c r="C6060" s="37"/>
      <c r="D6060" s="37"/>
      <c r="E6060" s="38" t="s">
        <v>7203</v>
      </c>
      <c r="F6060" s="38" t="s">
        <v>7202</v>
      </c>
      <c r="G6060" s="38">
        <v>5.566867976335E12</v>
      </c>
      <c r="H6060" s="38" t="s">
        <v>60</v>
      </c>
      <c r="I6060" s="38" t="s">
        <v>61</v>
      </c>
      <c r="J6060" s="38" t="s">
        <v>132</v>
      </c>
      <c r="K6060" s="38" t="s">
        <v>126</v>
      </c>
      <c r="L6060" s="41">
        <v>46007.833333333336</v>
      </c>
      <c r="M6060" s="38" t="s">
        <v>123</v>
      </c>
      <c r="N6060" s="41">
        <v>46007.875</v>
      </c>
      <c r="O6060" s="38" t="s">
        <v>123</v>
      </c>
      <c r="P6060" s="38">
        <v>3600.0</v>
      </c>
      <c r="Q6060" s="39"/>
      <c r="R6060" s="39"/>
      <c r="S6060" s="39"/>
      <c r="T6060" s="39"/>
      <c r="U6060" s="39"/>
    </row>
    <row r="6061">
      <c r="A6061" s="40">
        <f t="shared" si="1"/>
        <v>46006</v>
      </c>
      <c r="B6061" s="37" t="str">
        <f t="array" ref="B6061">iferror(xlookup($I6061, 'IMPORT VHC Report'!$E:$E, 'IMPORT VHC Report'!$A:$C), )</f>
        <v/>
      </c>
      <c r="C6061" s="37"/>
      <c r="D6061" s="37"/>
      <c r="E6061" s="38" t="s">
        <v>7204</v>
      </c>
      <c r="F6061" s="38" t="s">
        <v>7202</v>
      </c>
      <c r="G6061" s="38">
        <v>5.566867976335E12</v>
      </c>
      <c r="H6061" s="38" t="s">
        <v>60</v>
      </c>
      <c r="I6061" s="38" t="s">
        <v>61</v>
      </c>
      <c r="J6061" s="38" t="s">
        <v>134</v>
      </c>
      <c r="K6061" s="38" t="s">
        <v>126</v>
      </c>
      <c r="L6061" s="41">
        <v>46007.875</v>
      </c>
      <c r="M6061" s="38" t="s">
        <v>123</v>
      </c>
      <c r="N6061" s="41">
        <v>46007.895833333336</v>
      </c>
      <c r="O6061" s="38" t="s">
        <v>123</v>
      </c>
      <c r="P6061" s="38">
        <v>1800.0</v>
      </c>
      <c r="Q6061" s="39"/>
      <c r="R6061" s="39"/>
      <c r="S6061" s="39"/>
      <c r="T6061" s="39"/>
      <c r="U6061" s="39"/>
    </row>
    <row r="6062">
      <c r="A6062" s="40">
        <f t="shared" si="1"/>
        <v>46006</v>
      </c>
      <c r="B6062" s="37" t="str">
        <f t="array" ref="B6062">iferror(xlookup($I6062, 'IMPORT VHC Report'!$E:$E, 'IMPORT VHC Report'!$A:$C), )</f>
        <v/>
      </c>
      <c r="C6062" s="37"/>
      <c r="D6062" s="37"/>
      <c r="E6062" s="38" t="s">
        <v>7205</v>
      </c>
      <c r="F6062" s="38" t="s">
        <v>7202</v>
      </c>
      <c r="G6062" s="38">
        <v>5.566867976335E12</v>
      </c>
      <c r="H6062" s="38" t="s">
        <v>60</v>
      </c>
      <c r="I6062" s="38" t="s">
        <v>61</v>
      </c>
      <c r="J6062" s="38" t="s">
        <v>136</v>
      </c>
      <c r="K6062" s="38" t="s">
        <v>126</v>
      </c>
      <c r="L6062" s="41">
        <v>46008.583333333336</v>
      </c>
      <c r="M6062" s="38" t="s">
        <v>123</v>
      </c>
      <c r="N6062" s="41">
        <v>46008.63055555556</v>
      </c>
      <c r="O6062" s="38" t="s">
        <v>123</v>
      </c>
      <c r="P6062" s="38">
        <v>4080.0</v>
      </c>
      <c r="Q6062" s="39"/>
      <c r="R6062" s="39"/>
      <c r="S6062" s="38" t="s">
        <v>1680</v>
      </c>
      <c r="T6062" s="39"/>
      <c r="U6062" s="39"/>
    </row>
    <row r="6063">
      <c r="A6063" s="40">
        <f t="shared" si="1"/>
        <v>46006</v>
      </c>
      <c r="B6063" s="37" t="str">
        <f t="array" ref="B6063">iferror(xlookup($I6063, 'IMPORT VHC Report'!$E:$E, 'IMPORT VHC Report'!$A:$C), )</f>
        <v/>
      </c>
      <c r="C6063" s="37"/>
      <c r="D6063" s="37"/>
      <c r="E6063" s="38" t="s">
        <v>7206</v>
      </c>
      <c r="F6063" s="38" t="s">
        <v>7202</v>
      </c>
      <c r="G6063" s="38">
        <v>5.566867976335E12</v>
      </c>
      <c r="H6063" s="38" t="s">
        <v>60</v>
      </c>
      <c r="I6063" s="38" t="s">
        <v>61</v>
      </c>
      <c r="J6063" s="38" t="s">
        <v>1670</v>
      </c>
      <c r="K6063" s="38" t="s">
        <v>63</v>
      </c>
      <c r="L6063" s="41">
        <v>46008.583333333336</v>
      </c>
      <c r="M6063" s="38" t="s">
        <v>123</v>
      </c>
      <c r="N6063" s="41">
        <v>46008.958333333336</v>
      </c>
      <c r="O6063" s="38" t="s">
        <v>123</v>
      </c>
      <c r="P6063" s="38">
        <v>32400.0</v>
      </c>
      <c r="Q6063" s="39"/>
      <c r="R6063" s="39"/>
      <c r="S6063" s="39"/>
      <c r="T6063" s="39"/>
      <c r="U6063" s="39"/>
    </row>
    <row r="6064">
      <c r="A6064" s="40">
        <f t="shared" si="1"/>
        <v>46006</v>
      </c>
      <c r="B6064" s="37" t="str">
        <f t="array" ref="B6064">iferror(xlookup($I6064, 'IMPORT VHC Report'!$E:$E, 'IMPORT VHC Report'!$A:$C), )</f>
        <v/>
      </c>
      <c r="C6064" s="37"/>
      <c r="D6064" s="37"/>
      <c r="E6064" s="38" t="s">
        <v>7207</v>
      </c>
      <c r="F6064" s="38" t="s">
        <v>7202</v>
      </c>
      <c r="G6064" s="38">
        <v>5.566867976335E12</v>
      </c>
      <c r="H6064" s="38" t="s">
        <v>60</v>
      </c>
      <c r="I6064" s="38" t="s">
        <v>61</v>
      </c>
      <c r="J6064" s="38" t="s">
        <v>136</v>
      </c>
      <c r="K6064" s="38" t="s">
        <v>126</v>
      </c>
      <c r="L6064" s="41">
        <v>46008.666666666664</v>
      </c>
      <c r="M6064" s="38" t="s">
        <v>123</v>
      </c>
      <c r="N6064" s="41">
        <v>46008.697916666664</v>
      </c>
      <c r="O6064" s="38" t="s">
        <v>123</v>
      </c>
      <c r="P6064" s="38">
        <v>2700.0</v>
      </c>
      <c r="Q6064" s="39"/>
      <c r="R6064" s="39"/>
      <c r="S6064" s="38" t="s">
        <v>7208</v>
      </c>
      <c r="T6064" s="39"/>
      <c r="U6064" s="39"/>
    </row>
    <row r="6065">
      <c r="A6065" s="40">
        <f t="shared" si="1"/>
        <v>46006</v>
      </c>
      <c r="B6065" s="37" t="str">
        <f t="array" ref="B6065">iferror(xlookup($I6065, 'IMPORT VHC Report'!$E:$E, 'IMPORT VHC Report'!$A:$C), )</f>
        <v/>
      </c>
      <c r="C6065" s="37"/>
      <c r="D6065" s="37"/>
      <c r="E6065" s="38" t="s">
        <v>7209</v>
      </c>
      <c r="F6065" s="38" t="s">
        <v>7202</v>
      </c>
      <c r="G6065" s="38">
        <v>5.566867976335E12</v>
      </c>
      <c r="H6065" s="38" t="s">
        <v>60</v>
      </c>
      <c r="I6065" s="38" t="s">
        <v>61</v>
      </c>
      <c r="J6065" s="38" t="s">
        <v>4</v>
      </c>
      <c r="K6065" s="38" t="s">
        <v>126</v>
      </c>
      <c r="L6065" s="41">
        <v>46008.760416666664</v>
      </c>
      <c r="M6065" s="38" t="s">
        <v>123</v>
      </c>
      <c r="N6065" s="41">
        <v>46008.77777777778</v>
      </c>
      <c r="O6065" s="38" t="s">
        <v>123</v>
      </c>
      <c r="P6065" s="38">
        <v>1500.0</v>
      </c>
      <c r="Q6065" s="39"/>
      <c r="R6065" s="39"/>
      <c r="S6065" s="38" t="s">
        <v>59</v>
      </c>
      <c r="T6065" s="39"/>
      <c r="U6065" s="39"/>
    </row>
    <row r="6066">
      <c r="A6066" s="40">
        <f t="shared" si="1"/>
        <v>46006</v>
      </c>
      <c r="B6066" s="37" t="str">
        <f t="array" ref="B6066">iferror(xlookup($I6066, 'IMPORT VHC Report'!$E:$E, 'IMPORT VHC Report'!$A:$C), )</f>
        <v/>
      </c>
      <c r="C6066" s="37"/>
      <c r="D6066" s="37"/>
      <c r="E6066" s="38" t="s">
        <v>7210</v>
      </c>
      <c r="F6066" s="38" t="s">
        <v>7202</v>
      </c>
      <c r="G6066" s="38">
        <v>5.566867976335E12</v>
      </c>
      <c r="H6066" s="38" t="s">
        <v>60</v>
      </c>
      <c r="I6066" s="38" t="s">
        <v>61</v>
      </c>
      <c r="J6066" s="38" t="s">
        <v>132</v>
      </c>
      <c r="K6066" s="38" t="s">
        <v>126</v>
      </c>
      <c r="L6066" s="41">
        <v>46008.791666666664</v>
      </c>
      <c r="M6066" s="38" t="s">
        <v>123</v>
      </c>
      <c r="N6066" s="41">
        <v>46008.833333333336</v>
      </c>
      <c r="O6066" s="38" t="s">
        <v>123</v>
      </c>
      <c r="P6066" s="38">
        <v>3600.0</v>
      </c>
      <c r="Q6066" s="39"/>
      <c r="R6066" s="39"/>
      <c r="S6066" s="39"/>
      <c r="T6066" s="39"/>
      <c r="U6066" s="39"/>
    </row>
    <row r="6067">
      <c r="A6067" s="40">
        <f t="shared" si="1"/>
        <v>46006</v>
      </c>
      <c r="B6067" s="37" t="str">
        <f t="array" ref="B6067">iferror(xlookup($I6067, 'IMPORT VHC Report'!$E:$E, 'IMPORT VHC Report'!$A:$C), )</f>
        <v/>
      </c>
      <c r="C6067" s="37"/>
      <c r="D6067" s="37"/>
      <c r="E6067" s="38" t="s">
        <v>7211</v>
      </c>
      <c r="F6067" s="38" t="s">
        <v>7202</v>
      </c>
      <c r="G6067" s="38">
        <v>5.566867976335E12</v>
      </c>
      <c r="H6067" s="38" t="s">
        <v>60</v>
      </c>
      <c r="I6067" s="38" t="s">
        <v>61</v>
      </c>
      <c r="J6067" s="38" t="s">
        <v>134</v>
      </c>
      <c r="K6067" s="38" t="s">
        <v>126</v>
      </c>
      <c r="L6067" s="41">
        <v>46008.833333333336</v>
      </c>
      <c r="M6067" s="38" t="s">
        <v>123</v>
      </c>
      <c r="N6067" s="41">
        <v>46008.854166666664</v>
      </c>
      <c r="O6067" s="38" t="s">
        <v>123</v>
      </c>
      <c r="P6067" s="38">
        <v>1800.0</v>
      </c>
      <c r="Q6067" s="39"/>
      <c r="R6067" s="39"/>
      <c r="S6067" s="39"/>
      <c r="T6067" s="39"/>
      <c r="U6067" s="39"/>
    </row>
    <row r="6068">
      <c r="A6068" s="40">
        <f t="shared" si="1"/>
        <v>46006</v>
      </c>
      <c r="B6068" s="37" t="str">
        <f t="array" ref="B6068">iferror(xlookup($I6068, 'IMPORT VHC Report'!$E:$E, 'IMPORT VHC Report'!$A:$C), )</f>
        <v/>
      </c>
      <c r="C6068" s="37"/>
      <c r="D6068" s="37"/>
      <c r="E6068" s="38" t="s">
        <v>7212</v>
      </c>
      <c r="F6068" s="38" t="s">
        <v>7202</v>
      </c>
      <c r="G6068" s="38">
        <v>5.566867976335E12</v>
      </c>
      <c r="H6068" s="38" t="s">
        <v>60</v>
      </c>
      <c r="I6068" s="38" t="s">
        <v>61</v>
      </c>
      <c r="J6068" s="38" t="s">
        <v>1670</v>
      </c>
      <c r="K6068" s="38" t="s">
        <v>63</v>
      </c>
      <c r="L6068" s="41">
        <v>46009.583333333336</v>
      </c>
      <c r="M6068" s="38" t="s">
        <v>123</v>
      </c>
      <c r="N6068" s="41">
        <v>46009.958333333336</v>
      </c>
      <c r="O6068" s="38" t="s">
        <v>123</v>
      </c>
      <c r="P6068" s="38">
        <v>32400.0</v>
      </c>
      <c r="Q6068" s="39"/>
      <c r="R6068" s="39"/>
      <c r="S6068" s="39"/>
      <c r="T6068" s="39"/>
      <c r="U6068" s="39"/>
    </row>
    <row r="6069">
      <c r="A6069" s="40">
        <f t="shared" si="1"/>
        <v>46006</v>
      </c>
      <c r="B6069" s="37" t="str">
        <f t="array" ref="B6069">iferror(xlookup($I6069, 'IMPORT VHC Report'!$E:$E, 'IMPORT VHC Report'!$A:$C), )</f>
        <v/>
      </c>
      <c r="C6069" s="37"/>
      <c r="D6069" s="37"/>
      <c r="E6069" s="38" t="s">
        <v>7213</v>
      </c>
      <c r="F6069" s="38" t="s">
        <v>7202</v>
      </c>
      <c r="G6069" s="38">
        <v>5.566867976335E12</v>
      </c>
      <c r="H6069" s="38" t="s">
        <v>60</v>
      </c>
      <c r="I6069" s="38" t="s">
        <v>61</v>
      </c>
      <c r="J6069" s="38" t="s">
        <v>136</v>
      </c>
      <c r="K6069" s="38" t="s">
        <v>126</v>
      </c>
      <c r="L6069" s="41">
        <v>46009.666666666664</v>
      </c>
      <c r="M6069" s="38" t="s">
        <v>123</v>
      </c>
      <c r="N6069" s="41">
        <v>46009.71041666667</v>
      </c>
      <c r="O6069" s="38" t="s">
        <v>123</v>
      </c>
      <c r="P6069" s="38">
        <v>3780.0</v>
      </c>
      <c r="Q6069" s="39"/>
      <c r="R6069" s="39"/>
      <c r="S6069" s="38" t="s">
        <v>1683</v>
      </c>
      <c r="T6069" s="39"/>
      <c r="U6069" s="39"/>
    </row>
    <row r="6070">
      <c r="A6070" s="40">
        <f t="shared" si="1"/>
        <v>46006</v>
      </c>
      <c r="B6070" s="37" t="str">
        <f t="array" ref="B6070">iferror(xlookup($I6070, 'IMPORT VHC Report'!$E:$E, 'IMPORT VHC Report'!$A:$C), )</f>
        <v/>
      </c>
      <c r="C6070" s="37"/>
      <c r="D6070" s="37"/>
      <c r="E6070" s="38" t="s">
        <v>7214</v>
      </c>
      <c r="F6070" s="38" t="s">
        <v>7202</v>
      </c>
      <c r="G6070" s="38">
        <v>5.566867976335E12</v>
      </c>
      <c r="H6070" s="38" t="s">
        <v>60</v>
      </c>
      <c r="I6070" s="38" t="s">
        <v>61</v>
      </c>
      <c r="J6070" s="38" t="s">
        <v>132</v>
      </c>
      <c r="K6070" s="38" t="s">
        <v>126</v>
      </c>
      <c r="L6070" s="41">
        <v>46009.833333333336</v>
      </c>
      <c r="M6070" s="38" t="s">
        <v>123</v>
      </c>
      <c r="N6070" s="41">
        <v>46009.875</v>
      </c>
      <c r="O6070" s="38" t="s">
        <v>123</v>
      </c>
      <c r="P6070" s="38">
        <v>3600.0</v>
      </c>
      <c r="Q6070" s="39"/>
      <c r="R6070" s="39"/>
      <c r="S6070" s="39"/>
      <c r="T6070" s="39"/>
      <c r="U6070" s="39"/>
    </row>
    <row r="6071">
      <c r="A6071" s="40">
        <f t="shared" si="1"/>
        <v>46006</v>
      </c>
      <c r="B6071" s="37" t="str">
        <f t="array" ref="B6071">iferror(xlookup($I6071, 'IMPORT VHC Report'!$E:$E, 'IMPORT VHC Report'!$A:$C), )</f>
        <v/>
      </c>
      <c r="C6071" s="37"/>
      <c r="D6071" s="37"/>
      <c r="E6071" s="38" t="s">
        <v>7215</v>
      </c>
      <c r="F6071" s="38" t="s">
        <v>7202</v>
      </c>
      <c r="G6071" s="38">
        <v>5.566867976335E12</v>
      </c>
      <c r="H6071" s="38" t="s">
        <v>60</v>
      </c>
      <c r="I6071" s="38" t="s">
        <v>61</v>
      </c>
      <c r="J6071" s="38" t="s">
        <v>134</v>
      </c>
      <c r="K6071" s="38" t="s">
        <v>126</v>
      </c>
      <c r="L6071" s="41">
        <v>46009.875</v>
      </c>
      <c r="M6071" s="38" t="s">
        <v>123</v>
      </c>
      <c r="N6071" s="41">
        <v>46009.895833333336</v>
      </c>
      <c r="O6071" s="38" t="s">
        <v>123</v>
      </c>
      <c r="P6071" s="38">
        <v>1800.0</v>
      </c>
      <c r="Q6071" s="39"/>
      <c r="R6071" s="39"/>
      <c r="S6071" s="39"/>
      <c r="T6071" s="39"/>
      <c r="U6071" s="39"/>
    </row>
    <row r="6072">
      <c r="A6072" s="40">
        <f t="shared" si="1"/>
        <v>46006</v>
      </c>
      <c r="B6072" s="37" t="str">
        <f t="array" ref="B6072">iferror(xlookup($I6072, 'IMPORT VHC Report'!$E:$E, 'IMPORT VHC Report'!$A:$C), )</f>
        <v/>
      </c>
      <c r="C6072" s="37"/>
      <c r="D6072" s="37"/>
      <c r="E6072" s="38" t="s">
        <v>7216</v>
      </c>
      <c r="F6072" s="38" t="s">
        <v>7202</v>
      </c>
      <c r="G6072" s="38">
        <v>5.566867976335E12</v>
      </c>
      <c r="H6072" s="38" t="s">
        <v>60</v>
      </c>
      <c r="I6072" s="38" t="s">
        <v>61</v>
      </c>
      <c r="J6072" s="38" t="s">
        <v>1670</v>
      </c>
      <c r="K6072" s="38" t="s">
        <v>63</v>
      </c>
      <c r="L6072" s="41">
        <v>46010.583333333336</v>
      </c>
      <c r="M6072" s="38" t="s">
        <v>123</v>
      </c>
      <c r="N6072" s="41">
        <v>46010.958333333336</v>
      </c>
      <c r="O6072" s="38" t="s">
        <v>123</v>
      </c>
      <c r="P6072" s="38">
        <v>32400.0</v>
      </c>
      <c r="Q6072" s="39"/>
      <c r="R6072" s="39"/>
      <c r="S6072" s="39"/>
      <c r="T6072" s="39"/>
      <c r="U6072" s="39"/>
    </row>
    <row r="6073">
      <c r="A6073" s="40">
        <f t="shared" si="1"/>
        <v>46006</v>
      </c>
      <c r="B6073" s="37" t="str">
        <f t="array" ref="B6073">iferror(xlookup($I6073, 'IMPORT VHC Report'!$E:$E, 'IMPORT VHC Report'!$A:$C), )</f>
        <v/>
      </c>
      <c r="C6073" s="37"/>
      <c r="D6073" s="37"/>
      <c r="E6073" s="38" t="s">
        <v>7217</v>
      </c>
      <c r="F6073" s="38" t="s">
        <v>7202</v>
      </c>
      <c r="G6073" s="38">
        <v>5.566867976335E12</v>
      </c>
      <c r="H6073" s="38" t="s">
        <v>60</v>
      </c>
      <c r="I6073" s="38" t="s">
        <v>61</v>
      </c>
      <c r="J6073" s="38" t="s">
        <v>134</v>
      </c>
      <c r="K6073" s="38" t="s">
        <v>126</v>
      </c>
      <c r="L6073" s="41">
        <v>46010.833333333336</v>
      </c>
      <c r="M6073" s="38" t="s">
        <v>123</v>
      </c>
      <c r="N6073" s="41">
        <v>46010.854166666664</v>
      </c>
      <c r="O6073" s="38" t="s">
        <v>123</v>
      </c>
      <c r="P6073" s="38">
        <v>1800.0</v>
      </c>
      <c r="Q6073" s="39"/>
      <c r="R6073" s="39"/>
      <c r="S6073" s="39"/>
      <c r="T6073" s="39"/>
      <c r="U6073" s="39"/>
    </row>
    <row r="6074">
      <c r="A6074" s="40">
        <f t="shared" si="1"/>
        <v>46006</v>
      </c>
      <c r="B6074" s="37" t="str">
        <f t="array" ref="B6074">iferror(xlookup($I6074, 'IMPORT VHC Report'!$E:$E, 'IMPORT VHC Report'!$A:$C), )</f>
        <v/>
      </c>
      <c r="C6074" s="37"/>
      <c r="D6074" s="37"/>
      <c r="E6074" s="38" t="s">
        <v>7218</v>
      </c>
      <c r="F6074" s="38" t="s">
        <v>7202</v>
      </c>
      <c r="G6074" s="38">
        <v>5.566867976335E12</v>
      </c>
      <c r="H6074" s="38" t="s">
        <v>60</v>
      </c>
      <c r="I6074" s="38" t="s">
        <v>61</v>
      </c>
      <c r="J6074" s="38" t="s">
        <v>132</v>
      </c>
      <c r="K6074" s="38" t="s">
        <v>126</v>
      </c>
      <c r="L6074" s="41">
        <v>46010.854166666664</v>
      </c>
      <c r="M6074" s="38" t="s">
        <v>123</v>
      </c>
      <c r="N6074" s="41">
        <v>46010.895833333336</v>
      </c>
      <c r="O6074" s="38" t="s">
        <v>123</v>
      </c>
      <c r="P6074" s="38">
        <v>3600.0</v>
      </c>
      <c r="Q6074" s="39"/>
      <c r="R6074" s="39"/>
      <c r="S6074" s="39"/>
      <c r="T6074" s="39"/>
      <c r="U6074" s="39"/>
    </row>
    <row r="6075">
      <c r="A6075" s="40">
        <f t="shared" si="1"/>
        <v>46006</v>
      </c>
      <c r="B6075" s="37" t="str">
        <f t="array" ref="B6075">iferror(xlookup($I6075, 'IMPORT VHC Report'!$E:$E, 'IMPORT VHC Report'!$A:$C), )</f>
        <v/>
      </c>
      <c r="C6075" s="37"/>
      <c r="D6075" s="37"/>
      <c r="E6075" s="38" t="s">
        <v>7219</v>
      </c>
      <c r="F6075" s="38" t="s">
        <v>7202</v>
      </c>
      <c r="G6075" s="38">
        <v>5.566867976335E12</v>
      </c>
      <c r="H6075" s="38" t="s">
        <v>60</v>
      </c>
      <c r="I6075" s="38" t="s">
        <v>61</v>
      </c>
      <c r="J6075" s="38" t="s">
        <v>1670</v>
      </c>
      <c r="K6075" s="38" t="s">
        <v>63</v>
      </c>
      <c r="L6075" s="41">
        <v>46011.583333333336</v>
      </c>
      <c r="M6075" s="38" t="s">
        <v>123</v>
      </c>
      <c r="N6075" s="41">
        <v>46011.958333333336</v>
      </c>
      <c r="O6075" s="38" t="s">
        <v>123</v>
      </c>
      <c r="P6075" s="38">
        <v>32400.0</v>
      </c>
      <c r="Q6075" s="39"/>
      <c r="R6075" s="39"/>
      <c r="S6075" s="39"/>
      <c r="T6075" s="39"/>
      <c r="U6075" s="39"/>
    </row>
    <row r="6076">
      <c r="A6076" s="40">
        <f t="shared" si="1"/>
        <v>46006</v>
      </c>
      <c r="B6076" s="37" t="str">
        <f t="array" ref="B6076">iferror(xlookup($I6076, 'IMPORT VHC Report'!$E:$E, 'IMPORT VHC Report'!$A:$C), )</f>
        <v/>
      </c>
      <c r="C6076" s="37"/>
      <c r="D6076" s="37"/>
      <c r="E6076" s="38" t="s">
        <v>7220</v>
      </c>
      <c r="F6076" s="38" t="s">
        <v>7202</v>
      </c>
      <c r="G6076" s="38">
        <v>5.566867976335E12</v>
      </c>
      <c r="H6076" s="38" t="s">
        <v>60</v>
      </c>
      <c r="I6076" s="38" t="s">
        <v>61</v>
      </c>
      <c r="J6076" s="38" t="s">
        <v>4</v>
      </c>
      <c r="K6076" s="38" t="s">
        <v>126</v>
      </c>
      <c r="L6076" s="41">
        <v>46011.63055555556</v>
      </c>
      <c r="M6076" s="38" t="s">
        <v>123</v>
      </c>
      <c r="N6076" s="41">
        <v>46011.67847222222</v>
      </c>
      <c r="O6076" s="38" t="s">
        <v>123</v>
      </c>
      <c r="P6076" s="38">
        <v>4140.0</v>
      </c>
      <c r="Q6076" s="39"/>
      <c r="R6076" s="39"/>
      <c r="S6076" s="38" t="s">
        <v>79</v>
      </c>
      <c r="T6076" s="39"/>
      <c r="U6076" s="39"/>
    </row>
    <row r="6077">
      <c r="A6077" s="40">
        <f t="shared" si="1"/>
        <v>46006</v>
      </c>
      <c r="B6077" s="37" t="str">
        <f t="array" ref="B6077">iferror(xlookup($I6077, 'IMPORT VHC Report'!$E:$E, 'IMPORT VHC Report'!$A:$C), )</f>
        <v/>
      </c>
      <c r="C6077" s="37"/>
      <c r="D6077" s="37"/>
      <c r="E6077" s="38" t="s">
        <v>7221</v>
      </c>
      <c r="F6077" s="38" t="s">
        <v>7202</v>
      </c>
      <c r="G6077" s="38">
        <v>5.566867976335E12</v>
      </c>
      <c r="H6077" s="38" t="s">
        <v>60</v>
      </c>
      <c r="I6077" s="38" t="s">
        <v>61</v>
      </c>
      <c r="J6077" s="38" t="s">
        <v>4</v>
      </c>
      <c r="K6077" s="38" t="s">
        <v>126</v>
      </c>
      <c r="L6077" s="41">
        <v>46011.69930555556</v>
      </c>
      <c r="M6077" s="38" t="s">
        <v>123</v>
      </c>
      <c r="N6077" s="41">
        <v>46011.72708333333</v>
      </c>
      <c r="O6077" s="38" t="s">
        <v>123</v>
      </c>
      <c r="P6077" s="38">
        <v>2400.0</v>
      </c>
      <c r="Q6077" s="39"/>
      <c r="R6077" s="39"/>
      <c r="S6077" s="38" t="s">
        <v>79</v>
      </c>
      <c r="T6077" s="39"/>
      <c r="U6077" s="39"/>
    </row>
    <row r="6078">
      <c r="A6078" s="40">
        <f t="shared" si="1"/>
        <v>46006</v>
      </c>
      <c r="B6078" s="37" t="str">
        <f t="array" ref="B6078">iferror(xlookup($I6078, 'IMPORT VHC Report'!$E:$E, 'IMPORT VHC Report'!$A:$C), )</f>
        <v/>
      </c>
      <c r="C6078" s="37"/>
      <c r="D6078" s="37"/>
      <c r="E6078" s="38" t="s">
        <v>7222</v>
      </c>
      <c r="F6078" s="38" t="s">
        <v>7202</v>
      </c>
      <c r="G6078" s="38">
        <v>5.566867976335E12</v>
      </c>
      <c r="H6078" s="38" t="s">
        <v>60</v>
      </c>
      <c r="I6078" s="38" t="s">
        <v>61</v>
      </c>
      <c r="J6078" s="38" t="s">
        <v>4</v>
      </c>
      <c r="K6078" s="38" t="s">
        <v>126</v>
      </c>
      <c r="L6078" s="41">
        <v>46011.731944444444</v>
      </c>
      <c r="M6078" s="38" t="s">
        <v>123</v>
      </c>
      <c r="N6078" s="41">
        <v>46011.76875</v>
      </c>
      <c r="O6078" s="38" t="s">
        <v>123</v>
      </c>
      <c r="P6078" s="38">
        <v>3180.0</v>
      </c>
      <c r="Q6078" s="39"/>
      <c r="R6078" s="39"/>
      <c r="S6078" s="38" t="s">
        <v>79</v>
      </c>
      <c r="T6078" s="39"/>
      <c r="U6078" s="39"/>
    </row>
    <row r="6079">
      <c r="A6079" s="40">
        <f t="shared" si="1"/>
        <v>46006</v>
      </c>
      <c r="B6079" s="37" t="str">
        <f t="array" ref="B6079">iferror(xlookup($I6079, 'IMPORT VHC Report'!$E:$E, 'IMPORT VHC Report'!$A:$C), )</f>
        <v/>
      </c>
      <c r="C6079" s="37"/>
      <c r="D6079" s="37"/>
      <c r="E6079" s="38" t="s">
        <v>7223</v>
      </c>
      <c r="F6079" s="38" t="s">
        <v>7202</v>
      </c>
      <c r="G6079" s="38">
        <v>5.566867976335E12</v>
      </c>
      <c r="H6079" s="38" t="s">
        <v>60</v>
      </c>
      <c r="I6079" s="38" t="s">
        <v>61</v>
      </c>
      <c r="J6079" s="38" t="s">
        <v>4</v>
      </c>
      <c r="K6079" s="38" t="s">
        <v>126</v>
      </c>
      <c r="L6079" s="41">
        <v>46011.78402777778</v>
      </c>
      <c r="M6079" s="38" t="s">
        <v>123</v>
      </c>
      <c r="N6079" s="41">
        <v>46011.8125</v>
      </c>
      <c r="O6079" s="38" t="s">
        <v>123</v>
      </c>
      <c r="P6079" s="38">
        <v>2460.0</v>
      </c>
      <c r="Q6079" s="39"/>
      <c r="R6079" s="39"/>
      <c r="S6079" s="38" t="s">
        <v>79</v>
      </c>
      <c r="T6079" s="39"/>
      <c r="U6079" s="39"/>
    </row>
    <row r="6080">
      <c r="A6080" s="40">
        <f t="shared" si="1"/>
        <v>46006</v>
      </c>
      <c r="B6080" s="37" t="str">
        <f t="array" ref="B6080">iferror(xlookup($I6080, 'IMPORT VHC Report'!$E:$E, 'IMPORT VHC Report'!$A:$C), )</f>
        <v/>
      </c>
      <c r="C6080" s="37"/>
      <c r="D6080" s="37"/>
      <c r="E6080" s="38" t="s">
        <v>7224</v>
      </c>
      <c r="F6080" s="38" t="s">
        <v>7202</v>
      </c>
      <c r="G6080" s="38">
        <v>5.566867976335E12</v>
      </c>
      <c r="H6080" s="38" t="s">
        <v>60</v>
      </c>
      <c r="I6080" s="38" t="s">
        <v>61</v>
      </c>
      <c r="J6080" s="38" t="s">
        <v>132</v>
      </c>
      <c r="K6080" s="38" t="s">
        <v>126</v>
      </c>
      <c r="L6080" s="41">
        <v>46011.8125</v>
      </c>
      <c r="M6080" s="38" t="s">
        <v>123</v>
      </c>
      <c r="N6080" s="41">
        <v>46011.854166666664</v>
      </c>
      <c r="O6080" s="38" t="s">
        <v>123</v>
      </c>
      <c r="P6080" s="38">
        <v>3600.0</v>
      </c>
      <c r="Q6080" s="39"/>
      <c r="R6080" s="39"/>
      <c r="S6080" s="39"/>
      <c r="T6080" s="39"/>
      <c r="U6080" s="39"/>
    </row>
    <row r="6081">
      <c r="A6081" s="40">
        <f t="shared" si="1"/>
        <v>46006</v>
      </c>
      <c r="B6081" s="37" t="str">
        <f t="array" ref="B6081">iferror(xlookup($I6081, 'IMPORT VHC Report'!$E:$E, 'IMPORT VHC Report'!$A:$C), )</f>
        <v/>
      </c>
      <c r="C6081" s="37"/>
      <c r="D6081" s="37"/>
      <c r="E6081" s="38" t="s">
        <v>7225</v>
      </c>
      <c r="F6081" s="38" t="s">
        <v>7202</v>
      </c>
      <c r="G6081" s="38">
        <v>5.566867976335E12</v>
      </c>
      <c r="H6081" s="38" t="s">
        <v>60</v>
      </c>
      <c r="I6081" s="38" t="s">
        <v>61</v>
      </c>
      <c r="J6081" s="38" t="s">
        <v>134</v>
      </c>
      <c r="K6081" s="38" t="s">
        <v>126</v>
      </c>
      <c r="L6081" s="41">
        <v>46011.854166666664</v>
      </c>
      <c r="M6081" s="38" t="s">
        <v>123</v>
      </c>
      <c r="N6081" s="41">
        <v>46011.875</v>
      </c>
      <c r="O6081" s="38" t="s">
        <v>123</v>
      </c>
      <c r="P6081" s="38">
        <v>1800.0</v>
      </c>
      <c r="Q6081" s="39"/>
      <c r="R6081" s="39"/>
      <c r="S6081" s="39"/>
      <c r="T6081" s="39"/>
      <c r="U6081" s="39"/>
    </row>
    <row r="6082">
      <c r="A6082" s="40">
        <f t="shared" si="1"/>
        <v>46006</v>
      </c>
      <c r="B6082" s="37" t="str">
        <f t="array" ref="B6082">iferror(xlookup($I6082, 'IMPORT VHC Report'!$E:$E, 'IMPORT VHC Report'!$A:$C), )</f>
        <v/>
      </c>
      <c r="C6082" s="37"/>
      <c r="D6082" s="37"/>
      <c r="E6082" s="38" t="s">
        <v>7226</v>
      </c>
      <c r="F6082" s="38" t="s">
        <v>7227</v>
      </c>
      <c r="G6082" s="38">
        <v>1.3475786244239E13</v>
      </c>
      <c r="H6082" s="38" t="s">
        <v>7228</v>
      </c>
      <c r="I6082" s="38" t="s">
        <v>7229</v>
      </c>
      <c r="J6082" s="38" t="s">
        <v>125</v>
      </c>
      <c r="K6082" s="38" t="s">
        <v>126</v>
      </c>
      <c r="L6082" s="41">
        <v>46007.583333333336</v>
      </c>
      <c r="M6082" s="38" t="s">
        <v>123</v>
      </c>
      <c r="N6082" s="41">
        <v>46007.59027777778</v>
      </c>
      <c r="O6082" s="38" t="s">
        <v>123</v>
      </c>
      <c r="P6082" s="38">
        <v>600.0</v>
      </c>
      <c r="Q6082" s="39"/>
      <c r="R6082" s="39"/>
      <c r="S6082" s="38" t="s">
        <v>127</v>
      </c>
      <c r="T6082" s="39"/>
      <c r="U6082" s="39"/>
    </row>
    <row r="6083">
      <c r="A6083" s="40">
        <f t="shared" si="1"/>
        <v>46006</v>
      </c>
      <c r="B6083" s="37" t="str">
        <f t="array" ref="B6083">iferror(xlookup($I6083, 'IMPORT VHC Report'!$E:$E, 'IMPORT VHC Report'!$A:$C), )</f>
        <v/>
      </c>
      <c r="C6083" s="37"/>
      <c r="D6083" s="37"/>
      <c r="E6083" s="38" t="s">
        <v>7230</v>
      </c>
      <c r="F6083" s="38" t="s">
        <v>7227</v>
      </c>
      <c r="G6083" s="38">
        <v>1.3475786244239E13</v>
      </c>
      <c r="H6083" s="38" t="s">
        <v>7228</v>
      </c>
      <c r="I6083" s="38" t="s">
        <v>7229</v>
      </c>
      <c r="J6083" s="38" t="s">
        <v>122</v>
      </c>
      <c r="K6083" s="38" t="s">
        <v>63</v>
      </c>
      <c r="L6083" s="41">
        <v>46007.583333333336</v>
      </c>
      <c r="M6083" s="38" t="s">
        <v>123</v>
      </c>
      <c r="N6083" s="41">
        <v>46007.958333333336</v>
      </c>
      <c r="O6083" s="38" t="s">
        <v>123</v>
      </c>
      <c r="P6083" s="38">
        <v>32400.0</v>
      </c>
      <c r="Q6083" s="39"/>
      <c r="R6083" s="39"/>
      <c r="S6083" s="39"/>
      <c r="T6083" s="39"/>
      <c r="U6083" s="39"/>
    </row>
    <row r="6084">
      <c r="A6084" s="40">
        <f t="shared" si="1"/>
        <v>46006</v>
      </c>
      <c r="B6084" s="37" t="str">
        <f t="array" ref="B6084">iferror(xlookup($I6084, 'IMPORT VHC Report'!$E:$E, 'IMPORT VHC Report'!$A:$C), )</f>
        <v/>
      </c>
      <c r="C6084" s="37"/>
      <c r="D6084" s="37"/>
      <c r="E6084" s="38" t="s">
        <v>7231</v>
      </c>
      <c r="F6084" s="38" t="s">
        <v>7227</v>
      </c>
      <c r="G6084" s="38">
        <v>1.3475786244239E13</v>
      </c>
      <c r="H6084" s="38" t="s">
        <v>7228</v>
      </c>
      <c r="I6084" s="38" t="s">
        <v>7229</v>
      </c>
      <c r="J6084" s="38" t="s">
        <v>132</v>
      </c>
      <c r="K6084" s="38" t="s">
        <v>126</v>
      </c>
      <c r="L6084" s="41">
        <v>46007.71875</v>
      </c>
      <c r="M6084" s="38" t="s">
        <v>123</v>
      </c>
      <c r="N6084" s="41">
        <v>46007.760416666664</v>
      </c>
      <c r="O6084" s="38" t="s">
        <v>123</v>
      </c>
      <c r="P6084" s="38">
        <v>3600.0</v>
      </c>
      <c r="Q6084" s="39"/>
      <c r="R6084" s="39"/>
      <c r="S6084" s="39"/>
      <c r="T6084" s="39"/>
      <c r="U6084" s="39"/>
    </row>
    <row r="6085">
      <c r="A6085" s="40">
        <f t="shared" si="1"/>
        <v>46006</v>
      </c>
      <c r="B6085" s="37" t="str">
        <f t="array" ref="B6085">iferror(xlookup($I6085, 'IMPORT VHC Report'!$E:$E, 'IMPORT VHC Report'!$A:$C), )</f>
        <v/>
      </c>
      <c r="C6085" s="37"/>
      <c r="D6085" s="37"/>
      <c r="E6085" s="38" t="s">
        <v>7232</v>
      </c>
      <c r="F6085" s="38" t="s">
        <v>7227</v>
      </c>
      <c r="G6085" s="38">
        <v>1.3475786244239E13</v>
      </c>
      <c r="H6085" s="38" t="s">
        <v>7228</v>
      </c>
      <c r="I6085" s="38" t="s">
        <v>7229</v>
      </c>
      <c r="J6085" s="38" t="s">
        <v>134</v>
      </c>
      <c r="K6085" s="38" t="s">
        <v>126</v>
      </c>
      <c r="L6085" s="41">
        <v>46007.854166666664</v>
      </c>
      <c r="M6085" s="38" t="s">
        <v>123</v>
      </c>
      <c r="N6085" s="41">
        <v>46007.875</v>
      </c>
      <c r="O6085" s="38" t="s">
        <v>123</v>
      </c>
      <c r="P6085" s="38">
        <v>1800.0</v>
      </c>
      <c r="Q6085" s="39"/>
      <c r="R6085" s="39"/>
      <c r="S6085" s="39"/>
      <c r="T6085" s="39"/>
      <c r="U6085" s="39"/>
    </row>
    <row r="6086">
      <c r="A6086" s="40">
        <f t="shared" si="1"/>
        <v>46006</v>
      </c>
      <c r="B6086" s="37" t="str">
        <f t="array" ref="B6086">iferror(xlookup($I6086, 'IMPORT VHC Report'!$E:$E, 'IMPORT VHC Report'!$A:$C), )</f>
        <v/>
      </c>
      <c r="C6086" s="37"/>
      <c r="D6086" s="37"/>
      <c r="E6086" s="38" t="s">
        <v>7233</v>
      </c>
      <c r="F6086" s="38" t="s">
        <v>7227</v>
      </c>
      <c r="G6086" s="38">
        <v>1.3475786244239E13</v>
      </c>
      <c r="H6086" s="38" t="s">
        <v>7228</v>
      </c>
      <c r="I6086" s="38" t="s">
        <v>7229</v>
      </c>
      <c r="J6086" s="38" t="s">
        <v>125</v>
      </c>
      <c r="K6086" s="38" t="s">
        <v>126</v>
      </c>
      <c r="L6086" s="41">
        <v>46008.583333333336</v>
      </c>
      <c r="M6086" s="38" t="s">
        <v>123</v>
      </c>
      <c r="N6086" s="41">
        <v>46008.59027777778</v>
      </c>
      <c r="O6086" s="38" t="s">
        <v>123</v>
      </c>
      <c r="P6086" s="38">
        <v>600.0</v>
      </c>
      <c r="Q6086" s="39"/>
      <c r="R6086" s="39"/>
      <c r="S6086" s="38" t="s">
        <v>127</v>
      </c>
      <c r="T6086" s="39"/>
      <c r="U6086" s="39"/>
    </row>
    <row r="6087">
      <c r="A6087" s="40">
        <f t="shared" si="1"/>
        <v>46006</v>
      </c>
      <c r="B6087" s="37" t="str">
        <f t="array" ref="B6087">iferror(xlookup($I6087, 'IMPORT VHC Report'!$E:$E, 'IMPORT VHC Report'!$A:$C), )</f>
        <v/>
      </c>
      <c r="C6087" s="37"/>
      <c r="D6087" s="37"/>
      <c r="E6087" s="38" t="s">
        <v>7234</v>
      </c>
      <c r="F6087" s="38" t="s">
        <v>7227</v>
      </c>
      <c r="G6087" s="38">
        <v>1.3475786244239E13</v>
      </c>
      <c r="H6087" s="38" t="s">
        <v>7228</v>
      </c>
      <c r="I6087" s="38" t="s">
        <v>7229</v>
      </c>
      <c r="J6087" s="38" t="s">
        <v>122</v>
      </c>
      <c r="K6087" s="38" t="s">
        <v>63</v>
      </c>
      <c r="L6087" s="41">
        <v>46008.583333333336</v>
      </c>
      <c r="M6087" s="38" t="s">
        <v>123</v>
      </c>
      <c r="N6087" s="41">
        <v>46008.958333333336</v>
      </c>
      <c r="O6087" s="38" t="s">
        <v>123</v>
      </c>
      <c r="P6087" s="38">
        <v>32400.0</v>
      </c>
      <c r="Q6087" s="39"/>
      <c r="R6087" s="39"/>
      <c r="S6087" s="39"/>
      <c r="T6087" s="39"/>
      <c r="U6087" s="39"/>
    </row>
    <row r="6088">
      <c r="A6088" s="40">
        <f t="shared" si="1"/>
        <v>46006</v>
      </c>
      <c r="B6088" s="37" t="str">
        <f t="array" ref="B6088">iferror(xlookup($I6088, 'IMPORT VHC Report'!$E:$E, 'IMPORT VHC Report'!$A:$C), )</f>
        <v/>
      </c>
      <c r="C6088" s="37"/>
      <c r="D6088" s="37"/>
      <c r="E6088" s="38" t="s">
        <v>7235</v>
      </c>
      <c r="F6088" s="38" t="s">
        <v>7227</v>
      </c>
      <c r="G6088" s="38">
        <v>1.3475786244239E13</v>
      </c>
      <c r="H6088" s="38" t="s">
        <v>7228</v>
      </c>
      <c r="I6088" s="38" t="s">
        <v>7229</v>
      </c>
      <c r="J6088" s="38" t="s">
        <v>134</v>
      </c>
      <c r="K6088" s="38" t="s">
        <v>126</v>
      </c>
      <c r="L6088" s="41">
        <v>46008.645833333336</v>
      </c>
      <c r="M6088" s="38" t="s">
        <v>123</v>
      </c>
      <c r="N6088" s="41">
        <v>46008.666666666664</v>
      </c>
      <c r="O6088" s="38" t="s">
        <v>123</v>
      </c>
      <c r="P6088" s="38">
        <v>1800.0</v>
      </c>
      <c r="Q6088" s="39"/>
      <c r="R6088" s="39"/>
      <c r="S6088" s="39"/>
      <c r="T6088" s="39"/>
      <c r="U6088" s="39"/>
    </row>
    <row r="6089">
      <c r="A6089" s="40">
        <f t="shared" si="1"/>
        <v>46006</v>
      </c>
      <c r="B6089" s="37" t="str">
        <f t="array" ref="B6089">iferror(xlookup($I6089, 'IMPORT VHC Report'!$E:$E, 'IMPORT VHC Report'!$A:$C), )</f>
        <v/>
      </c>
      <c r="C6089" s="37"/>
      <c r="D6089" s="37"/>
      <c r="E6089" s="38" t="s">
        <v>7236</v>
      </c>
      <c r="F6089" s="38" t="s">
        <v>7227</v>
      </c>
      <c r="G6089" s="38">
        <v>1.3475786244239E13</v>
      </c>
      <c r="H6089" s="38" t="s">
        <v>7228</v>
      </c>
      <c r="I6089" s="38" t="s">
        <v>7229</v>
      </c>
      <c r="J6089" s="38" t="s">
        <v>132</v>
      </c>
      <c r="K6089" s="38" t="s">
        <v>126</v>
      </c>
      <c r="L6089" s="41">
        <v>46008.791666666664</v>
      </c>
      <c r="M6089" s="38" t="s">
        <v>123</v>
      </c>
      <c r="N6089" s="41">
        <v>46008.833333333336</v>
      </c>
      <c r="O6089" s="38" t="s">
        <v>123</v>
      </c>
      <c r="P6089" s="38">
        <v>3600.0</v>
      </c>
      <c r="Q6089" s="39"/>
      <c r="R6089" s="39"/>
      <c r="S6089" s="39"/>
      <c r="T6089" s="39"/>
      <c r="U6089" s="39"/>
    </row>
    <row r="6090">
      <c r="A6090" s="40">
        <f t="shared" si="1"/>
        <v>46006</v>
      </c>
      <c r="B6090" s="37" t="str">
        <f t="array" ref="B6090">iferror(xlookup($I6090, 'IMPORT VHC Report'!$E:$E, 'IMPORT VHC Report'!$A:$C), )</f>
        <v/>
      </c>
      <c r="C6090" s="37"/>
      <c r="D6090" s="37"/>
      <c r="E6090" s="38" t="s">
        <v>7237</v>
      </c>
      <c r="F6090" s="38" t="s">
        <v>7227</v>
      </c>
      <c r="G6090" s="38">
        <v>1.3475786244239E13</v>
      </c>
      <c r="H6090" s="38" t="s">
        <v>7228</v>
      </c>
      <c r="I6090" s="38" t="s">
        <v>7229</v>
      </c>
      <c r="J6090" s="38" t="s">
        <v>4</v>
      </c>
      <c r="K6090" s="38" t="s">
        <v>126</v>
      </c>
      <c r="L6090" s="41">
        <v>46008.833333333336</v>
      </c>
      <c r="M6090" s="38" t="s">
        <v>123</v>
      </c>
      <c r="N6090" s="41">
        <v>46008.875</v>
      </c>
      <c r="O6090" s="38" t="s">
        <v>123</v>
      </c>
      <c r="P6090" s="38">
        <v>3600.0</v>
      </c>
      <c r="Q6090" s="39"/>
      <c r="R6090" s="39"/>
      <c r="S6090" s="38" t="s">
        <v>130</v>
      </c>
      <c r="T6090" s="39"/>
      <c r="U6090" s="39"/>
    </row>
    <row r="6091">
      <c r="A6091" s="40">
        <f t="shared" si="1"/>
        <v>46006</v>
      </c>
      <c r="B6091" s="37" t="str">
        <f t="array" ref="B6091">iferror(xlookup($I6091, 'IMPORT VHC Report'!$E:$E, 'IMPORT VHC Report'!$A:$C), )</f>
        <v/>
      </c>
      <c r="C6091" s="37"/>
      <c r="D6091" s="37"/>
      <c r="E6091" s="38" t="s">
        <v>7238</v>
      </c>
      <c r="F6091" s="38" t="s">
        <v>7227</v>
      </c>
      <c r="G6091" s="38">
        <v>1.3475786244239E13</v>
      </c>
      <c r="H6091" s="38" t="s">
        <v>7228</v>
      </c>
      <c r="I6091" s="38" t="s">
        <v>7229</v>
      </c>
      <c r="J6091" s="38" t="s">
        <v>136</v>
      </c>
      <c r="K6091" s="38" t="s">
        <v>126</v>
      </c>
      <c r="L6091" s="41">
        <v>46008.916666666664</v>
      </c>
      <c r="M6091" s="38" t="s">
        <v>123</v>
      </c>
      <c r="N6091" s="41">
        <v>46008.947916666664</v>
      </c>
      <c r="O6091" s="38" t="s">
        <v>123</v>
      </c>
      <c r="P6091" s="38">
        <v>2700.0</v>
      </c>
      <c r="Q6091" s="39"/>
      <c r="R6091" s="39"/>
      <c r="S6091" s="38" t="s">
        <v>137</v>
      </c>
      <c r="T6091" s="39"/>
      <c r="U6091" s="39"/>
    </row>
    <row r="6092">
      <c r="A6092" s="40">
        <f t="shared" si="1"/>
        <v>46006</v>
      </c>
      <c r="B6092" s="37" t="str">
        <f t="array" ref="B6092">iferror(xlookup($I6092, 'IMPORT VHC Report'!$E:$E, 'IMPORT VHC Report'!$A:$C), )</f>
        <v/>
      </c>
      <c r="C6092" s="37"/>
      <c r="D6092" s="37"/>
      <c r="E6092" s="38" t="s">
        <v>7239</v>
      </c>
      <c r="F6092" s="38" t="s">
        <v>7227</v>
      </c>
      <c r="G6092" s="38">
        <v>1.3475786244239E13</v>
      </c>
      <c r="H6092" s="38" t="s">
        <v>7228</v>
      </c>
      <c r="I6092" s="38" t="s">
        <v>7229</v>
      </c>
      <c r="J6092" s="38" t="s">
        <v>125</v>
      </c>
      <c r="K6092" s="38" t="s">
        <v>126</v>
      </c>
      <c r="L6092" s="41">
        <v>46009.583333333336</v>
      </c>
      <c r="M6092" s="38" t="s">
        <v>123</v>
      </c>
      <c r="N6092" s="41">
        <v>46009.59027777778</v>
      </c>
      <c r="O6092" s="38" t="s">
        <v>123</v>
      </c>
      <c r="P6092" s="38">
        <v>600.0</v>
      </c>
      <c r="Q6092" s="39"/>
      <c r="R6092" s="39"/>
      <c r="S6092" s="38" t="s">
        <v>127</v>
      </c>
      <c r="T6092" s="39"/>
      <c r="U6092" s="39"/>
    </row>
    <row r="6093">
      <c r="A6093" s="40">
        <f t="shared" si="1"/>
        <v>46006</v>
      </c>
      <c r="B6093" s="37" t="str">
        <f t="array" ref="B6093">iferror(xlookup($I6093, 'IMPORT VHC Report'!$E:$E, 'IMPORT VHC Report'!$A:$C), )</f>
        <v/>
      </c>
      <c r="C6093" s="37"/>
      <c r="D6093" s="37"/>
      <c r="E6093" s="38" t="s">
        <v>7240</v>
      </c>
      <c r="F6093" s="38" t="s">
        <v>7227</v>
      </c>
      <c r="G6093" s="38">
        <v>1.3475786244239E13</v>
      </c>
      <c r="H6093" s="38" t="s">
        <v>7228</v>
      </c>
      <c r="I6093" s="38" t="s">
        <v>7229</v>
      </c>
      <c r="J6093" s="38" t="s">
        <v>122</v>
      </c>
      <c r="K6093" s="38" t="s">
        <v>63</v>
      </c>
      <c r="L6093" s="41">
        <v>46009.583333333336</v>
      </c>
      <c r="M6093" s="38" t="s">
        <v>123</v>
      </c>
      <c r="N6093" s="41">
        <v>46009.958333333336</v>
      </c>
      <c r="O6093" s="38" t="s">
        <v>123</v>
      </c>
      <c r="P6093" s="38">
        <v>32400.0</v>
      </c>
      <c r="Q6093" s="39"/>
      <c r="R6093" s="39"/>
      <c r="S6093" s="39"/>
      <c r="T6093" s="39"/>
      <c r="U6093" s="39"/>
    </row>
    <row r="6094">
      <c r="A6094" s="40">
        <f t="shared" si="1"/>
        <v>46006</v>
      </c>
      <c r="B6094" s="37" t="str">
        <f t="array" ref="B6094">iferror(xlookup($I6094, 'IMPORT VHC Report'!$E:$E, 'IMPORT VHC Report'!$A:$C), )</f>
        <v/>
      </c>
      <c r="C6094" s="37"/>
      <c r="D6094" s="37"/>
      <c r="E6094" s="38" t="s">
        <v>7241</v>
      </c>
      <c r="F6094" s="38" t="s">
        <v>7227</v>
      </c>
      <c r="G6094" s="38">
        <v>1.3475786244239E13</v>
      </c>
      <c r="H6094" s="38" t="s">
        <v>7228</v>
      </c>
      <c r="I6094" s="38" t="s">
        <v>7229</v>
      </c>
      <c r="J6094" s="38" t="s">
        <v>134</v>
      </c>
      <c r="K6094" s="38" t="s">
        <v>126</v>
      </c>
      <c r="L6094" s="41">
        <v>46009.708333333336</v>
      </c>
      <c r="M6094" s="38" t="s">
        <v>123</v>
      </c>
      <c r="N6094" s="41">
        <v>46009.729166666664</v>
      </c>
      <c r="O6094" s="38" t="s">
        <v>123</v>
      </c>
      <c r="P6094" s="38">
        <v>1800.0</v>
      </c>
      <c r="Q6094" s="39"/>
      <c r="R6094" s="39"/>
      <c r="S6094" s="39"/>
      <c r="T6094" s="39"/>
      <c r="U6094" s="39"/>
    </row>
    <row r="6095">
      <c r="A6095" s="40">
        <f t="shared" si="1"/>
        <v>46006</v>
      </c>
      <c r="B6095" s="37" t="str">
        <f t="array" ref="B6095">iferror(xlookup($I6095, 'IMPORT VHC Report'!$E:$E, 'IMPORT VHC Report'!$A:$C), )</f>
        <v/>
      </c>
      <c r="C6095" s="37"/>
      <c r="D6095" s="37"/>
      <c r="E6095" s="38" t="s">
        <v>7242</v>
      </c>
      <c r="F6095" s="38" t="s">
        <v>7227</v>
      </c>
      <c r="G6095" s="38">
        <v>1.3475786244239E13</v>
      </c>
      <c r="H6095" s="38" t="s">
        <v>7228</v>
      </c>
      <c r="I6095" s="38" t="s">
        <v>7229</v>
      </c>
      <c r="J6095" s="38" t="s">
        <v>132</v>
      </c>
      <c r="K6095" s="38" t="s">
        <v>126</v>
      </c>
      <c r="L6095" s="41">
        <v>46009.791666666664</v>
      </c>
      <c r="M6095" s="38" t="s">
        <v>123</v>
      </c>
      <c r="N6095" s="41">
        <v>46009.833333333336</v>
      </c>
      <c r="O6095" s="38" t="s">
        <v>123</v>
      </c>
      <c r="P6095" s="38">
        <v>3600.0</v>
      </c>
      <c r="Q6095" s="39"/>
      <c r="R6095" s="39"/>
      <c r="S6095" s="39"/>
      <c r="T6095" s="39"/>
      <c r="U6095" s="39"/>
    </row>
    <row r="6096">
      <c r="A6096" s="40">
        <f t="shared" si="1"/>
        <v>46006</v>
      </c>
      <c r="B6096" s="37" t="str">
        <f t="array" ref="B6096">iferror(xlookup($I6096, 'IMPORT VHC Report'!$E:$E, 'IMPORT VHC Report'!$A:$C), )</f>
        <v/>
      </c>
      <c r="C6096" s="37"/>
      <c r="D6096" s="37"/>
      <c r="E6096" s="38" t="s">
        <v>7243</v>
      </c>
      <c r="F6096" s="38" t="s">
        <v>7227</v>
      </c>
      <c r="G6096" s="38">
        <v>1.3475786244239E13</v>
      </c>
      <c r="H6096" s="38" t="s">
        <v>7228</v>
      </c>
      <c r="I6096" s="38" t="s">
        <v>7229</v>
      </c>
      <c r="J6096" s="38" t="s">
        <v>125</v>
      </c>
      <c r="K6096" s="38" t="s">
        <v>126</v>
      </c>
      <c r="L6096" s="41">
        <v>46010.583333333336</v>
      </c>
      <c r="M6096" s="38" t="s">
        <v>123</v>
      </c>
      <c r="N6096" s="41">
        <v>46010.59027777778</v>
      </c>
      <c r="O6096" s="38" t="s">
        <v>123</v>
      </c>
      <c r="P6096" s="38">
        <v>600.0</v>
      </c>
      <c r="Q6096" s="39"/>
      <c r="R6096" s="39"/>
      <c r="S6096" s="38" t="s">
        <v>127</v>
      </c>
      <c r="T6096" s="39"/>
      <c r="U6096" s="39"/>
    </row>
    <row r="6097">
      <c r="A6097" s="40">
        <f t="shared" si="1"/>
        <v>46006</v>
      </c>
      <c r="B6097" s="37" t="str">
        <f t="array" ref="B6097">iferror(xlookup($I6097, 'IMPORT VHC Report'!$E:$E, 'IMPORT VHC Report'!$A:$C), )</f>
        <v/>
      </c>
      <c r="C6097" s="37"/>
      <c r="D6097" s="37"/>
      <c r="E6097" s="38" t="s">
        <v>7244</v>
      </c>
      <c r="F6097" s="38" t="s">
        <v>7227</v>
      </c>
      <c r="G6097" s="38">
        <v>1.3475786244239E13</v>
      </c>
      <c r="H6097" s="38" t="s">
        <v>7228</v>
      </c>
      <c r="I6097" s="38" t="s">
        <v>7229</v>
      </c>
      <c r="J6097" s="38" t="s">
        <v>122</v>
      </c>
      <c r="K6097" s="38" t="s">
        <v>63</v>
      </c>
      <c r="L6097" s="41">
        <v>46010.583333333336</v>
      </c>
      <c r="M6097" s="38" t="s">
        <v>123</v>
      </c>
      <c r="N6097" s="41">
        <v>46010.958333333336</v>
      </c>
      <c r="O6097" s="38" t="s">
        <v>123</v>
      </c>
      <c r="P6097" s="38">
        <v>32400.0</v>
      </c>
      <c r="Q6097" s="39"/>
      <c r="R6097" s="39"/>
      <c r="S6097" s="39"/>
      <c r="T6097" s="39"/>
      <c r="U6097" s="39"/>
    </row>
    <row r="6098">
      <c r="A6098" s="40">
        <f t="shared" si="1"/>
        <v>46006</v>
      </c>
      <c r="B6098" s="37" t="str">
        <f t="array" ref="B6098">iferror(xlookup($I6098, 'IMPORT VHC Report'!$E:$E, 'IMPORT VHC Report'!$A:$C), )</f>
        <v/>
      </c>
      <c r="C6098" s="37"/>
      <c r="D6098" s="37"/>
      <c r="E6098" s="38" t="s">
        <v>7245</v>
      </c>
      <c r="F6098" s="38" t="s">
        <v>7227</v>
      </c>
      <c r="G6098" s="38">
        <v>1.3475786244239E13</v>
      </c>
      <c r="H6098" s="38" t="s">
        <v>7228</v>
      </c>
      <c r="I6098" s="38" t="s">
        <v>7229</v>
      </c>
      <c r="J6098" s="38" t="s">
        <v>134</v>
      </c>
      <c r="K6098" s="38" t="s">
        <v>126</v>
      </c>
      <c r="L6098" s="41">
        <v>46010.666666666664</v>
      </c>
      <c r="M6098" s="38" t="s">
        <v>123</v>
      </c>
      <c r="N6098" s="41">
        <v>46010.6875</v>
      </c>
      <c r="O6098" s="38" t="s">
        <v>123</v>
      </c>
      <c r="P6098" s="38">
        <v>1800.0</v>
      </c>
      <c r="Q6098" s="39"/>
      <c r="R6098" s="39"/>
      <c r="S6098" s="39"/>
      <c r="T6098" s="39"/>
      <c r="U6098" s="39"/>
    </row>
    <row r="6099">
      <c r="A6099" s="40">
        <f t="shared" si="1"/>
        <v>46006</v>
      </c>
      <c r="B6099" s="37" t="str">
        <f t="array" ref="B6099">iferror(xlookup($I6099, 'IMPORT VHC Report'!$E:$E, 'IMPORT VHC Report'!$A:$C), )</f>
        <v/>
      </c>
      <c r="C6099" s="37"/>
      <c r="D6099" s="37"/>
      <c r="E6099" s="38" t="s">
        <v>7246</v>
      </c>
      <c r="F6099" s="38" t="s">
        <v>7227</v>
      </c>
      <c r="G6099" s="38">
        <v>1.3475786244239E13</v>
      </c>
      <c r="H6099" s="38" t="s">
        <v>7228</v>
      </c>
      <c r="I6099" s="38" t="s">
        <v>7229</v>
      </c>
      <c r="J6099" s="38" t="s">
        <v>132</v>
      </c>
      <c r="K6099" s="38" t="s">
        <v>126</v>
      </c>
      <c r="L6099" s="41">
        <v>46010.791666666664</v>
      </c>
      <c r="M6099" s="38" t="s">
        <v>123</v>
      </c>
      <c r="N6099" s="41">
        <v>46010.833333333336</v>
      </c>
      <c r="O6099" s="38" t="s">
        <v>123</v>
      </c>
      <c r="P6099" s="38">
        <v>3600.0</v>
      </c>
      <c r="Q6099" s="39"/>
      <c r="R6099" s="39"/>
      <c r="S6099" s="39"/>
      <c r="T6099" s="39"/>
      <c r="U6099" s="39"/>
    </row>
    <row r="6100">
      <c r="A6100" s="40">
        <f t="shared" si="1"/>
        <v>46006</v>
      </c>
      <c r="B6100" s="37" t="str">
        <f t="array" ref="B6100">iferror(xlookup($I6100, 'IMPORT VHC Report'!$E:$E, 'IMPORT VHC Report'!$A:$C), )</f>
        <v/>
      </c>
      <c r="C6100" s="37"/>
      <c r="D6100" s="37"/>
      <c r="E6100" s="38" t="s">
        <v>7247</v>
      </c>
      <c r="F6100" s="38" t="s">
        <v>7227</v>
      </c>
      <c r="G6100" s="38">
        <v>1.3475786244239E13</v>
      </c>
      <c r="H6100" s="38" t="s">
        <v>7228</v>
      </c>
      <c r="I6100" s="38" t="s">
        <v>7229</v>
      </c>
      <c r="J6100" s="38" t="s">
        <v>125</v>
      </c>
      <c r="K6100" s="38" t="s">
        <v>126</v>
      </c>
      <c r="L6100" s="41">
        <v>46011.583333333336</v>
      </c>
      <c r="M6100" s="38" t="s">
        <v>123</v>
      </c>
      <c r="N6100" s="41">
        <v>46011.59027777778</v>
      </c>
      <c r="O6100" s="38" t="s">
        <v>123</v>
      </c>
      <c r="P6100" s="38">
        <v>600.0</v>
      </c>
      <c r="Q6100" s="39"/>
      <c r="R6100" s="39"/>
      <c r="S6100" s="38" t="s">
        <v>127</v>
      </c>
      <c r="T6100" s="39"/>
      <c r="U6100" s="39"/>
    </row>
    <row r="6101">
      <c r="A6101" s="40">
        <f t="shared" si="1"/>
        <v>46006</v>
      </c>
      <c r="B6101" s="37" t="str">
        <f t="array" ref="B6101">iferror(xlookup($I6101, 'IMPORT VHC Report'!$E:$E, 'IMPORT VHC Report'!$A:$C), )</f>
        <v/>
      </c>
      <c r="C6101" s="37"/>
      <c r="D6101" s="37"/>
      <c r="E6101" s="38" t="s">
        <v>7248</v>
      </c>
      <c r="F6101" s="38" t="s">
        <v>7227</v>
      </c>
      <c r="G6101" s="38">
        <v>1.3475786244239E13</v>
      </c>
      <c r="H6101" s="38" t="s">
        <v>7228</v>
      </c>
      <c r="I6101" s="38" t="s">
        <v>7229</v>
      </c>
      <c r="J6101" s="38" t="s">
        <v>122</v>
      </c>
      <c r="K6101" s="38" t="s">
        <v>63</v>
      </c>
      <c r="L6101" s="41">
        <v>46011.583333333336</v>
      </c>
      <c r="M6101" s="38" t="s">
        <v>123</v>
      </c>
      <c r="N6101" s="41">
        <v>46011.958333333336</v>
      </c>
      <c r="O6101" s="38" t="s">
        <v>123</v>
      </c>
      <c r="P6101" s="38">
        <v>32400.0</v>
      </c>
      <c r="Q6101" s="39"/>
      <c r="R6101" s="39"/>
      <c r="S6101" s="39"/>
      <c r="T6101" s="39"/>
      <c r="U6101" s="39"/>
    </row>
    <row r="6102">
      <c r="A6102" s="40">
        <f t="shared" si="1"/>
        <v>46006</v>
      </c>
      <c r="B6102" s="37" t="str">
        <f t="array" ref="B6102">iferror(xlookup($I6102, 'IMPORT VHC Report'!$E:$E, 'IMPORT VHC Report'!$A:$C), )</f>
        <v/>
      </c>
      <c r="C6102" s="37"/>
      <c r="D6102" s="37"/>
      <c r="E6102" s="38" t="s">
        <v>7249</v>
      </c>
      <c r="F6102" s="38" t="s">
        <v>7227</v>
      </c>
      <c r="G6102" s="38">
        <v>1.3475786244239E13</v>
      </c>
      <c r="H6102" s="38" t="s">
        <v>7228</v>
      </c>
      <c r="I6102" s="38" t="s">
        <v>7229</v>
      </c>
      <c r="J6102" s="38" t="s">
        <v>132</v>
      </c>
      <c r="K6102" s="38" t="s">
        <v>126</v>
      </c>
      <c r="L6102" s="41">
        <v>46011.666666666664</v>
      </c>
      <c r="M6102" s="38" t="s">
        <v>123</v>
      </c>
      <c r="N6102" s="41">
        <v>46011.708333333336</v>
      </c>
      <c r="O6102" s="38" t="s">
        <v>123</v>
      </c>
      <c r="P6102" s="38">
        <v>3600.0</v>
      </c>
      <c r="Q6102" s="39"/>
      <c r="R6102" s="39"/>
      <c r="S6102" s="39"/>
      <c r="T6102" s="39"/>
      <c r="U6102" s="39"/>
    </row>
    <row r="6103">
      <c r="A6103" s="40">
        <f t="shared" si="1"/>
        <v>46006</v>
      </c>
      <c r="B6103" s="37" t="str">
        <f t="array" ref="B6103">iferror(xlookup($I6103, 'IMPORT VHC Report'!$E:$E, 'IMPORT VHC Report'!$A:$C), )</f>
        <v/>
      </c>
      <c r="C6103" s="37"/>
      <c r="D6103" s="37"/>
      <c r="E6103" s="38" t="s">
        <v>7250</v>
      </c>
      <c r="F6103" s="38" t="s">
        <v>7227</v>
      </c>
      <c r="G6103" s="38">
        <v>1.3475786244239E13</v>
      </c>
      <c r="H6103" s="38" t="s">
        <v>7228</v>
      </c>
      <c r="I6103" s="38" t="s">
        <v>7229</v>
      </c>
      <c r="J6103" s="38" t="s">
        <v>134</v>
      </c>
      <c r="K6103" s="38" t="s">
        <v>126</v>
      </c>
      <c r="L6103" s="41">
        <v>46011.84375</v>
      </c>
      <c r="M6103" s="38" t="s">
        <v>123</v>
      </c>
      <c r="N6103" s="41">
        <v>46011.864583333336</v>
      </c>
      <c r="O6103" s="38" t="s">
        <v>123</v>
      </c>
      <c r="P6103" s="38">
        <v>1800.0</v>
      </c>
      <c r="Q6103" s="39"/>
      <c r="R6103" s="39"/>
      <c r="S6103" s="39"/>
      <c r="T6103" s="39"/>
      <c r="U6103" s="39"/>
    </row>
    <row r="6104">
      <c r="A6104" s="40">
        <f t="shared" si="1"/>
        <v>46006</v>
      </c>
      <c r="B6104" s="37" t="str">
        <f t="array" ref="B6104">iferror(xlookup($I6104, 'IMPORT VHC Report'!$E:$E, 'IMPORT VHC Report'!$A:$C), )</f>
        <v/>
      </c>
      <c r="C6104" s="37"/>
      <c r="D6104" s="37"/>
      <c r="E6104" s="38" t="s">
        <v>7251</v>
      </c>
      <c r="F6104" s="38" t="s">
        <v>7252</v>
      </c>
      <c r="G6104" s="38">
        <v>8.409869745551E12</v>
      </c>
      <c r="H6104" s="38" t="s">
        <v>7253</v>
      </c>
      <c r="I6104" s="38" t="s">
        <v>65</v>
      </c>
      <c r="J6104" s="38" t="s">
        <v>791</v>
      </c>
      <c r="K6104" s="38" t="s">
        <v>63</v>
      </c>
      <c r="L6104" s="41">
        <v>46007.583333333336</v>
      </c>
      <c r="M6104" s="38" t="s">
        <v>123</v>
      </c>
      <c r="N6104" s="41">
        <v>46007.958333333336</v>
      </c>
      <c r="O6104" s="38" t="s">
        <v>123</v>
      </c>
      <c r="P6104" s="38">
        <v>32400.0</v>
      </c>
      <c r="Q6104" s="39"/>
      <c r="R6104" s="39"/>
      <c r="S6104" s="39"/>
      <c r="T6104" s="39"/>
      <c r="U6104" s="39"/>
    </row>
    <row r="6105">
      <c r="A6105" s="40">
        <f t="shared" si="1"/>
        <v>46006</v>
      </c>
      <c r="B6105" s="37" t="str">
        <f t="array" ref="B6105">iferror(xlookup($I6105, 'IMPORT VHC Report'!$E:$E, 'IMPORT VHC Report'!$A:$C), )</f>
        <v/>
      </c>
      <c r="C6105" s="37"/>
      <c r="D6105" s="37"/>
      <c r="E6105" s="38" t="s">
        <v>7254</v>
      </c>
      <c r="F6105" s="38" t="s">
        <v>7252</v>
      </c>
      <c r="G6105" s="38">
        <v>8.409869745551E12</v>
      </c>
      <c r="H6105" s="38" t="s">
        <v>7253</v>
      </c>
      <c r="I6105" s="38" t="s">
        <v>65</v>
      </c>
      <c r="J6105" s="38" t="s">
        <v>134</v>
      </c>
      <c r="K6105" s="38" t="s">
        <v>126</v>
      </c>
      <c r="L6105" s="41">
        <v>46007.895833333336</v>
      </c>
      <c r="M6105" s="38" t="s">
        <v>123</v>
      </c>
      <c r="N6105" s="41">
        <v>46007.916666666664</v>
      </c>
      <c r="O6105" s="38" t="s">
        <v>123</v>
      </c>
      <c r="P6105" s="38">
        <v>1800.0</v>
      </c>
      <c r="Q6105" s="39"/>
      <c r="R6105" s="39"/>
      <c r="S6105" s="39"/>
      <c r="T6105" s="39"/>
      <c r="U6105" s="39"/>
    </row>
    <row r="6106">
      <c r="A6106" s="40">
        <f t="shared" si="1"/>
        <v>46006</v>
      </c>
      <c r="B6106" s="37" t="str">
        <f t="array" ref="B6106">iferror(xlookup($I6106, 'IMPORT VHC Report'!$E:$E, 'IMPORT VHC Report'!$A:$C), )</f>
        <v/>
      </c>
      <c r="C6106" s="37"/>
      <c r="D6106" s="37"/>
      <c r="E6106" s="38" t="s">
        <v>7255</v>
      </c>
      <c r="F6106" s="38" t="s">
        <v>7252</v>
      </c>
      <c r="G6106" s="38">
        <v>8.409869745551E12</v>
      </c>
      <c r="H6106" s="38" t="s">
        <v>7253</v>
      </c>
      <c r="I6106" s="38" t="s">
        <v>65</v>
      </c>
      <c r="J6106" s="38" t="s">
        <v>132</v>
      </c>
      <c r="K6106" s="38" t="s">
        <v>126</v>
      </c>
      <c r="L6106" s="41">
        <v>46007.916666666664</v>
      </c>
      <c r="M6106" s="38" t="s">
        <v>123</v>
      </c>
      <c r="N6106" s="41">
        <v>46007.958333333336</v>
      </c>
      <c r="O6106" s="38" t="s">
        <v>123</v>
      </c>
      <c r="P6106" s="38">
        <v>3600.0</v>
      </c>
      <c r="Q6106" s="39"/>
      <c r="R6106" s="39"/>
      <c r="S6106" s="39"/>
      <c r="T6106" s="39"/>
      <c r="U6106" s="39"/>
    </row>
    <row r="6107">
      <c r="A6107" s="40">
        <f t="shared" si="1"/>
        <v>46006</v>
      </c>
      <c r="B6107" s="37" t="str">
        <f t="array" ref="B6107">iferror(xlookup($I6107, 'IMPORT VHC Report'!$E:$E, 'IMPORT VHC Report'!$A:$C), )</f>
        <v/>
      </c>
      <c r="C6107" s="37"/>
      <c r="D6107" s="37"/>
      <c r="E6107" s="38" t="s">
        <v>7256</v>
      </c>
      <c r="F6107" s="38" t="s">
        <v>7252</v>
      </c>
      <c r="G6107" s="38">
        <v>8.409869745551E12</v>
      </c>
      <c r="H6107" s="38" t="s">
        <v>7253</v>
      </c>
      <c r="I6107" s="38" t="s">
        <v>65</v>
      </c>
      <c r="J6107" s="38" t="s">
        <v>62</v>
      </c>
      <c r="K6107" s="38" t="s">
        <v>63</v>
      </c>
      <c r="L6107" s="41">
        <v>46008.583333333336</v>
      </c>
      <c r="M6107" s="38" t="s">
        <v>123</v>
      </c>
      <c r="N6107" s="41">
        <v>46008.75</v>
      </c>
      <c r="O6107" s="38" t="s">
        <v>123</v>
      </c>
      <c r="P6107" s="38">
        <v>14400.0</v>
      </c>
      <c r="Q6107" s="39"/>
      <c r="R6107" s="39"/>
      <c r="S6107" s="39"/>
      <c r="T6107" s="39"/>
      <c r="U6107" s="39"/>
    </row>
    <row r="6108">
      <c r="A6108" s="40">
        <f t="shared" si="1"/>
        <v>46006</v>
      </c>
      <c r="B6108" s="37" t="str">
        <f t="array" ref="B6108">iferror(xlookup($I6108, 'IMPORT VHC Report'!$E:$E, 'IMPORT VHC Report'!$A:$C), )</f>
        <v/>
      </c>
      <c r="C6108" s="37"/>
      <c r="D6108" s="37"/>
      <c r="E6108" s="38" t="s">
        <v>7257</v>
      </c>
      <c r="F6108" s="38" t="s">
        <v>7252</v>
      </c>
      <c r="G6108" s="38">
        <v>8.409869745551E12</v>
      </c>
      <c r="H6108" s="38" t="s">
        <v>7253</v>
      </c>
      <c r="I6108" s="38" t="s">
        <v>65</v>
      </c>
      <c r="J6108" s="38" t="s">
        <v>791</v>
      </c>
      <c r="K6108" s="38" t="s">
        <v>63</v>
      </c>
      <c r="L6108" s="41">
        <v>46008.75</v>
      </c>
      <c r="M6108" s="38" t="s">
        <v>123</v>
      </c>
      <c r="N6108" s="41">
        <v>46008.958333333336</v>
      </c>
      <c r="O6108" s="38" t="s">
        <v>123</v>
      </c>
      <c r="P6108" s="38">
        <v>18000.0</v>
      </c>
      <c r="Q6108" s="39"/>
      <c r="R6108" s="39"/>
      <c r="S6108" s="39"/>
      <c r="T6108" s="39"/>
      <c r="U6108" s="39"/>
    </row>
    <row r="6109">
      <c r="A6109" s="40">
        <f t="shared" si="1"/>
        <v>46006</v>
      </c>
      <c r="B6109" s="37" t="str">
        <f t="array" ref="B6109">iferror(xlookup($I6109, 'IMPORT VHC Report'!$E:$E, 'IMPORT VHC Report'!$A:$C), )</f>
        <v/>
      </c>
      <c r="C6109" s="37"/>
      <c r="D6109" s="37"/>
      <c r="E6109" s="38" t="s">
        <v>7258</v>
      </c>
      <c r="F6109" s="38" t="s">
        <v>7252</v>
      </c>
      <c r="G6109" s="38">
        <v>8.409869745551E12</v>
      </c>
      <c r="H6109" s="38" t="s">
        <v>7253</v>
      </c>
      <c r="I6109" s="38" t="s">
        <v>65</v>
      </c>
      <c r="J6109" s="38" t="s">
        <v>134</v>
      </c>
      <c r="K6109" s="38" t="s">
        <v>126</v>
      </c>
      <c r="L6109" s="41">
        <v>46008.895833333336</v>
      </c>
      <c r="M6109" s="38" t="s">
        <v>123</v>
      </c>
      <c r="N6109" s="41">
        <v>46008.916666666664</v>
      </c>
      <c r="O6109" s="38" t="s">
        <v>123</v>
      </c>
      <c r="P6109" s="38">
        <v>1800.0</v>
      </c>
      <c r="Q6109" s="39"/>
      <c r="R6109" s="39"/>
      <c r="S6109" s="39"/>
      <c r="T6109" s="39"/>
      <c r="U6109" s="39"/>
    </row>
    <row r="6110">
      <c r="A6110" s="40">
        <f t="shared" si="1"/>
        <v>46006</v>
      </c>
      <c r="B6110" s="37" t="str">
        <f t="array" ref="B6110">iferror(xlookup($I6110, 'IMPORT VHC Report'!$E:$E, 'IMPORT VHC Report'!$A:$C), )</f>
        <v/>
      </c>
      <c r="C6110" s="37"/>
      <c r="D6110" s="37"/>
      <c r="E6110" s="38" t="s">
        <v>7259</v>
      </c>
      <c r="F6110" s="38" t="s">
        <v>7252</v>
      </c>
      <c r="G6110" s="38">
        <v>8.409869745551E12</v>
      </c>
      <c r="H6110" s="38" t="s">
        <v>7253</v>
      </c>
      <c r="I6110" s="38" t="s">
        <v>65</v>
      </c>
      <c r="J6110" s="38" t="s">
        <v>132</v>
      </c>
      <c r="K6110" s="38" t="s">
        <v>126</v>
      </c>
      <c r="L6110" s="41">
        <v>46008.916666666664</v>
      </c>
      <c r="M6110" s="38" t="s">
        <v>123</v>
      </c>
      <c r="N6110" s="41">
        <v>46008.958333333336</v>
      </c>
      <c r="O6110" s="38" t="s">
        <v>123</v>
      </c>
      <c r="P6110" s="38">
        <v>3600.0</v>
      </c>
      <c r="Q6110" s="39"/>
      <c r="R6110" s="39"/>
      <c r="S6110" s="39"/>
      <c r="T6110" s="39"/>
      <c r="U6110" s="39"/>
    </row>
    <row r="6111">
      <c r="A6111" s="40">
        <f t="shared" si="1"/>
        <v>46006</v>
      </c>
      <c r="B6111" s="37" t="str">
        <f t="array" ref="B6111">iferror(xlookup($I6111, 'IMPORT VHC Report'!$E:$E, 'IMPORT VHC Report'!$A:$C), )</f>
        <v/>
      </c>
      <c r="C6111" s="37"/>
      <c r="D6111" s="37"/>
      <c r="E6111" s="38" t="s">
        <v>7260</v>
      </c>
      <c r="F6111" s="38" t="s">
        <v>7252</v>
      </c>
      <c r="G6111" s="38">
        <v>8.409869745551E12</v>
      </c>
      <c r="H6111" s="38" t="s">
        <v>7253</v>
      </c>
      <c r="I6111" s="38" t="s">
        <v>65</v>
      </c>
      <c r="J6111" s="38" t="s">
        <v>791</v>
      </c>
      <c r="K6111" s="38" t="s">
        <v>63</v>
      </c>
      <c r="L6111" s="41">
        <v>46009.583333333336</v>
      </c>
      <c r="M6111" s="38" t="s">
        <v>123</v>
      </c>
      <c r="N6111" s="41">
        <v>46009.958333333336</v>
      </c>
      <c r="O6111" s="38" t="s">
        <v>123</v>
      </c>
      <c r="P6111" s="38">
        <v>32400.0</v>
      </c>
      <c r="Q6111" s="39"/>
      <c r="R6111" s="39"/>
      <c r="S6111" s="39"/>
      <c r="T6111" s="39"/>
      <c r="U6111" s="39"/>
    </row>
    <row r="6112">
      <c r="A6112" s="40">
        <f t="shared" si="1"/>
        <v>46006</v>
      </c>
      <c r="B6112" s="37" t="str">
        <f t="array" ref="B6112">iferror(xlookup($I6112, 'IMPORT VHC Report'!$E:$E, 'IMPORT VHC Report'!$A:$C), )</f>
        <v/>
      </c>
      <c r="C6112" s="37"/>
      <c r="D6112" s="37"/>
      <c r="E6112" s="38" t="s">
        <v>7261</v>
      </c>
      <c r="F6112" s="38" t="s">
        <v>7252</v>
      </c>
      <c r="G6112" s="38">
        <v>8.409869745551E12</v>
      </c>
      <c r="H6112" s="38" t="s">
        <v>7253</v>
      </c>
      <c r="I6112" s="38" t="s">
        <v>65</v>
      </c>
      <c r="J6112" s="38" t="s">
        <v>178</v>
      </c>
      <c r="K6112" s="38" t="s">
        <v>153</v>
      </c>
      <c r="L6112" s="41">
        <v>46009.583333333336</v>
      </c>
      <c r="M6112" s="38" t="s">
        <v>123</v>
      </c>
      <c r="N6112" s="41">
        <v>46009.958333333336</v>
      </c>
      <c r="O6112" s="38" t="s">
        <v>123</v>
      </c>
      <c r="P6112" s="38">
        <v>32400.0</v>
      </c>
      <c r="Q6112" s="38">
        <v>14400.0</v>
      </c>
      <c r="R6112" s="39"/>
      <c r="S6112" s="39"/>
      <c r="T6112" s="39"/>
      <c r="U6112" s="39"/>
    </row>
    <row r="6113">
      <c r="A6113" s="40">
        <f t="shared" si="1"/>
        <v>46006</v>
      </c>
      <c r="B6113" s="37" t="str">
        <f t="array" ref="B6113">iferror(xlookup($I6113, 'IMPORT VHC Report'!$E:$E, 'IMPORT VHC Report'!$A:$C), )</f>
        <v/>
      </c>
      <c r="C6113" s="37"/>
      <c r="D6113" s="37"/>
      <c r="E6113" s="38" t="s">
        <v>7262</v>
      </c>
      <c r="F6113" s="38" t="s">
        <v>7252</v>
      </c>
      <c r="G6113" s="38">
        <v>8.409869745551E12</v>
      </c>
      <c r="H6113" s="38" t="s">
        <v>7253</v>
      </c>
      <c r="I6113" s="38" t="s">
        <v>65</v>
      </c>
      <c r="J6113" s="38" t="s">
        <v>132</v>
      </c>
      <c r="K6113" s="38" t="s">
        <v>126</v>
      </c>
      <c r="L6113" s="41">
        <v>46009.833333333336</v>
      </c>
      <c r="M6113" s="38" t="s">
        <v>123</v>
      </c>
      <c r="N6113" s="41">
        <v>46009.875</v>
      </c>
      <c r="O6113" s="38" t="s">
        <v>123</v>
      </c>
      <c r="P6113" s="38">
        <v>3600.0</v>
      </c>
      <c r="Q6113" s="39"/>
      <c r="R6113" s="39"/>
      <c r="S6113" s="39"/>
      <c r="T6113" s="39"/>
      <c r="U6113" s="39"/>
    </row>
    <row r="6114">
      <c r="A6114" s="40">
        <f t="shared" si="1"/>
        <v>46006</v>
      </c>
      <c r="B6114" s="37" t="str">
        <f t="array" ref="B6114">iferror(xlookup($I6114, 'IMPORT VHC Report'!$E:$E, 'IMPORT VHC Report'!$A:$C), )</f>
        <v/>
      </c>
      <c r="C6114" s="37"/>
      <c r="D6114" s="37"/>
      <c r="E6114" s="38" t="s">
        <v>7263</v>
      </c>
      <c r="F6114" s="38" t="s">
        <v>7252</v>
      </c>
      <c r="G6114" s="38">
        <v>8.409869745551E12</v>
      </c>
      <c r="H6114" s="38" t="s">
        <v>7253</v>
      </c>
      <c r="I6114" s="38" t="s">
        <v>65</v>
      </c>
      <c r="J6114" s="38" t="s">
        <v>134</v>
      </c>
      <c r="K6114" s="38" t="s">
        <v>126</v>
      </c>
      <c r="L6114" s="41">
        <v>46009.875</v>
      </c>
      <c r="M6114" s="38" t="s">
        <v>123</v>
      </c>
      <c r="N6114" s="41">
        <v>46009.895833333336</v>
      </c>
      <c r="O6114" s="38" t="s">
        <v>123</v>
      </c>
      <c r="P6114" s="38">
        <v>1800.0</v>
      </c>
      <c r="Q6114" s="39"/>
      <c r="R6114" s="39"/>
      <c r="S6114" s="39"/>
      <c r="T6114" s="39"/>
      <c r="U6114" s="39"/>
    </row>
    <row r="6115">
      <c r="A6115" s="40">
        <f t="shared" si="1"/>
        <v>46006</v>
      </c>
      <c r="B6115" s="37" t="str">
        <f t="array" ref="B6115">iferror(xlookup($I6115, 'IMPORT VHC Report'!$E:$E, 'IMPORT VHC Report'!$A:$C), )</f>
        <v/>
      </c>
      <c r="C6115" s="37"/>
      <c r="D6115" s="37"/>
      <c r="E6115" s="38" t="s">
        <v>7264</v>
      </c>
      <c r="F6115" s="38" t="s">
        <v>7252</v>
      </c>
      <c r="G6115" s="38">
        <v>8.409869745551E12</v>
      </c>
      <c r="H6115" s="38" t="s">
        <v>7253</v>
      </c>
      <c r="I6115" s="38" t="s">
        <v>65</v>
      </c>
      <c r="J6115" s="38" t="s">
        <v>791</v>
      </c>
      <c r="K6115" s="38" t="s">
        <v>63</v>
      </c>
      <c r="L6115" s="41">
        <v>46010.583333333336</v>
      </c>
      <c r="M6115" s="38" t="s">
        <v>123</v>
      </c>
      <c r="N6115" s="41">
        <v>46010.958333333336</v>
      </c>
      <c r="O6115" s="38" t="s">
        <v>123</v>
      </c>
      <c r="P6115" s="38">
        <v>32400.0</v>
      </c>
      <c r="Q6115" s="39"/>
      <c r="R6115" s="39"/>
      <c r="S6115" s="39"/>
      <c r="T6115" s="39"/>
      <c r="U6115" s="39"/>
    </row>
    <row r="6116">
      <c r="A6116" s="40">
        <f t="shared" si="1"/>
        <v>46006</v>
      </c>
      <c r="B6116" s="37" t="str">
        <f t="array" ref="B6116">iferror(xlookup($I6116, 'IMPORT VHC Report'!$E:$E, 'IMPORT VHC Report'!$A:$C), )</f>
        <v/>
      </c>
      <c r="C6116" s="37"/>
      <c r="D6116" s="37"/>
      <c r="E6116" s="38" t="s">
        <v>7265</v>
      </c>
      <c r="F6116" s="38" t="s">
        <v>7252</v>
      </c>
      <c r="G6116" s="38">
        <v>8.409869745551E12</v>
      </c>
      <c r="H6116" s="38" t="s">
        <v>7253</v>
      </c>
      <c r="I6116" s="38" t="s">
        <v>65</v>
      </c>
      <c r="J6116" s="38" t="s">
        <v>132</v>
      </c>
      <c r="K6116" s="38" t="s">
        <v>126</v>
      </c>
      <c r="L6116" s="41">
        <v>46010.833333333336</v>
      </c>
      <c r="M6116" s="38" t="s">
        <v>123</v>
      </c>
      <c r="N6116" s="41">
        <v>46010.875</v>
      </c>
      <c r="O6116" s="38" t="s">
        <v>123</v>
      </c>
      <c r="P6116" s="38">
        <v>3600.0</v>
      </c>
      <c r="Q6116" s="39"/>
      <c r="R6116" s="39"/>
      <c r="S6116" s="39"/>
      <c r="T6116" s="39"/>
      <c r="U6116" s="39"/>
    </row>
    <row r="6117">
      <c r="A6117" s="40">
        <f t="shared" si="1"/>
        <v>46006</v>
      </c>
      <c r="B6117" s="37" t="str">
        <f t="array" ref="B6117">iferror(xlookup($I6117, 'IMPORT VHC Report'!$E:$E, 'IMPORT VHC Report'!$A:$C), )</f>
        <v/>
      </c>
      <c r="C6117" s="37"/>
      <c r="D6117" s="37"/>
      <c r="E6117" s="38" t="s">
        <v>7266</v>
      </c>
      <c r="F6117" s="38" t="s">
        <v>7252</v>
      </c>
      <c r="G6117" s="38">
        <v>8.409869745551E12</v>
      </c>
      <c r="H6117" s="38" t="s">
        <v>7253</v>
      </c>
      <c r="I6117" s="38" t="s">
        <v>65</v>
      </c>
      <c r="J6117" s="38" t="s">
        <v>134</v>
      </c>
      <c r="K6117" s="38" t="s">
        <v>126</v>
      </c>
      <c r="L6117" s="41">
        <v>46010.875</v>
      </c>
      <c r="M6117" s="38" t="s">
        <v>123</v>
      </c>
      <c r="N6117" s="41">
        <v>46010.895833333336</v>
      </c>
      <c r="O6117" s="38" t="s">
        <v>123</v>
      </c>
      <c r="P6117" s="38">
        <v>1800.0</v>
      </c>
      <c r="Q6117" s="39"/>
      <c r="R6117" s="39"/>
      <c r="S6117" s="39"/>
      <c r="T6117" s="39"/>
      <c r="U6117" s="39"/>
    </row>
    <row r="6118">
      <c r="A6118" s="40">
        <f t="shared" si="1"/>
        <v>46006</v>
      </c>
      <c r="B6118" s="37" t="str">
        <f t="array" ref="B6118">iferror(xlookup($I6118, 'IMPORT VHC Report'!$E:$E, 'IMPORT VHC Report'!$A:$C), )</f>
        <v/>
      </c>
      <c r="C6118" s="37"/>
      <c r="D6118" s="37"/>
      <c r="E6118" s="38" t="s">
        <v>7267</v>
      </c>
      <c r="F6118" s="38" t="s">
        <v>7252</v>
      </c>
      <c r="G6118" s="38">
        <v>8.409869745551E12</v>
      </c>
      <c r="H6118" s="38" t="s">
        <v>7253</v>
      </c>
      <c r="I6118" s="38" t="s">
        <v>65</v>
      </c>
      <c r="J6118" s="38" t="s">
        <v>791</v>
      </c>
      <c r="K6118" s="38" t="s">
        <v>63</v>
      </c>
      <c r="L6118" s="41">
        <v>46011.583333333336</v>
      </c>
      <c r="M6118" s="38" t="s">
        <v>123</v>
      </c>
      <c r="N6118" s="41">
        <v>46011.958333333336</v>
      </c>
      <c r="O6118" s="38" t="s">
        <v>123</v>
      </c>
      <c r="P6118" s="38">
        <v>32400.0</v>
      </c>
      <c r="Q6118" s="39"/>
      <c r="R6118" s="39"/>
      <c r="S6118" s="39"/>
      <c r="T6118" s="39"/>
      <c r="U6118" s="39"/>
    </row>
    <row r="6119">
      <c r="A6119" s="40">
        <f t="shared" si="1"/>
        <v>46006</v>
      </c>
      <c r="B6119" s="37" t="str">
        <f t="array" ref="B6119">iferror(xlookup($I6119, 'IMPORT VHC Report'!$E:$E, 'IMPORT VHC Report'!$A:$C), )</f>
        <v/>
      </c>
      <c r="C6119" s="37"/>
      <c r="D6119" s="37"/>
      <c r="E6119" s="38" t="s">
        <v>7268</v>
      </c>
      <c r="F6119" s="38" t="s">
        <v>7252</v>
      </c>
      <c r="G6119" s="38">
        <v>8.409869745551E12</v>
      </c>
      <c r="H6119" s="38" t="s">
        <v>7253</v>
      </c>
      <c r="I6119" s="38" t="s">
        <v>65</v>
      </c>
      <c r="J6119" s="38" t="s">
        <v>132</v>
      </c>
      <c r="K6119" s="38" t="s">
        <v>126</v>
      </c>
      <c r="L6119" s="41">
        <v>46011.833333333336</v>
      </c>
      <c r="M6119" s="38" t="s">
        <v>123</v>
      </c>
      <c r="N6119" s="41">
        <v>46011.875</v>
      </c>
      <c r="O6119" s="38" t="s">
        <v>123</v>
      </c>
      <c r="P6119" s="38">
        <v>3600.0</v>
      </c>
      <c r="Q6119" s="39"/>
      <c r="R6119" s="39"/>
      <c r="S6119" s="39"/>
      <c r="T6119" s="39"/>
      <c r="U6119" s="39"/>
    </row>
    <row r="6120">
      <c r="A6120" s="40">
        <f t="shared" si="1"/>
        <v>46006</v>
      </c>
      <c r="B6120" s="37" t="str">
        <f t="array" ref="B6120">iferror(xlookup($I6120, 'IMPORT VHC Report'!$E:$E, 'IMPORT VHC Report'!$A:$C), )</f>
        <v/>
      </c>
      <c r="C6120" s="37"/>
      <c r="D6120" s="37"/>
      <c r="E6120" s="38" t="s">
        <v>7269</v>
      </c>
      <c r="F6120" s="38" t="s">
        <v>7252</v>
      </c>
      <c r="G6120" s="38">
        <v>8.409869745551E12</v>
      </c>
      <c r="H6120" s="38" t="s">
        <v>7253</v>
      </c>
      <c r="I6120" s="38" t="s">
        <v>65</v>
      </c>
      <c r="J6120" s="38" t="s">
        <v>134</v>
      </c>
      <c r="K6120" s="38" t="s">
        <v>126</v>
      </c>
      <c r="L6120" s="41">
        <v>46011.875</v>
      </c>
      <c r="M6120" s="38" t="s">
        <v>123</v>
      </c>
      <c r="N6120" s="41">
        <v>46011.895833333336</v>
      </c>
      <c r="O6120" s="38" t="s">
        <v>123</v>
      </c>
      <c r="P6120" s="38">
        <v>1800.0</v>
      </c>
      <c r="Q6120" s="39"/>
      <c r="R6120" s="39"/>
      <c r="S6120" s="39"/>
      <c r="T6120" s="39"/>
      <c r="U6120" s="39"/>
    </row>
    <row r="6121">
      <c r="A6121" s="40">
        <f t="shared" si="1"/>
        <v>46006</v>
      </c>
      <c r="B6121" s="37" t="str">
        <f t="array" ref="B6121">iferror(xlookup($I6121, 'IMPORT VHC Report'!$E:$E, 'IMPORT VHC Report'!$A:$C), )</f>
        <v/>
      </c>
      <c r="C6121" s="37"/>
      <c r="D6121" s="37"/>
      <c r="E6121" s="38" t="s">
        <v>7270</v>
      </c>
      <c r="F6121" s="38" t="s">
        <v>7271</v>
      </c>
      <c r="G6121" s="38">
        <v>7.631065796495E12</v>
      </c>
      <c r="H6121" s="38" t="s">
        <v>7272</v>
      </c>
      <c r="I6121" s="38" t="s">
        <v>7273</v>
      </c>
      <c r="J6121" s="38" t="s">
        <v>152</v>
      </c>
      <c r="K6121" s="38" t="s">
        <v>153</v>
      </c>
      <c r="L6121" s="41">
        <v>46007.625</v>
      </c>
      <c r="M6121" s="38" t="s">
        <v>123</v>
      </c>
      <c r="N6121" s="41">
        <v>46008.0</v>
      </c>
      <c r="O6121" s="38" t="s">
        <v>123</v>
      </c>
      <c r="P6121" s="38">
        <v>32400.0</v>
      </c>
      <c r="Q6121" s="38">
        <v>32400.0</v>
      </c>
      <c r="R6121" s="39"/>
      <c r="S6121" s="39"/>
      <c r="T6121" s="39"/>
      <c r="U6121" s="39"/>
    </row>
    <row r="6122">
      <c r="A6122" s="40">
        <f t="shared" si="1"/>
        <v>46006</v>
      </c>
      <c r="B6122" s="37" t="str">
        <f t="array" ref="B6122">iferror(xlookup($I6122, 'IMPORT VHC Report'!$E:$E, 'IMPORT VHC Report'!$A:$C), )</f>
        <v/>
      </c>
      <c r="C6122" s="37"/>
      <c r="D6122" s="37"/>
      <c r="E6122" s="38" t="s">
        <v>7274</v>
      </c>
      <c r="F6122" s="38" t="s">
        <v>7271</v>
      </c>
      <c r="G6122" s="38">
        <v>7.631065796495E12</v>
      </c>
      <c r="H6122" s="38" t="s">
        <v>7272</v>
      </c>
      <c r="I6122" s="38" t="s">
        <v>7273</v>
      </c>
      <c r="J6122" s="38" t="s">
        <v>134</v>
      </c>
      <c r="K6122" s="38" t="s">
        <v>126</v>
      </c>
      <c r="L6122" s="41">
        <v>46007.729166666664</v>
      </c>
      <c r="M6122" s="38" t="s">
        <v>123</v>
      </c>
      <c r="N6122" s="41">
        <v>46007.739583333336</v>
      </c>
      <c r="O6122" s="38" t="s">
        <v>123</v>
      </c>
      <c r="P6122" s="38">
        <v>900.0</v>
      </c>
      <c r="Q6122" s="39"/>
      <c r="R6122" s="39"/>
      <c r="S6122" s="39"/>
      <c r="T6122" s="39"/>
      <c r="U6122" s="39"/>
    </row>
    <row r="6123">
      <c r="A6123" s="40">
        <f t="shared" si="1"/>
        <v>46006</v>
      </c>
      <c r="B6123" s="37" t="str">
        <f t="array" ref="B6123">iferror(xlookup($I6123, 'IMPORT VHC Report'!$E:$E, 'IMPORT VHC Report'!$A:$C), )</f>
        <v/>
      </c>
      <c r="C6123" s="37"/>
      <c r="D6123" s="37"/>
      <c r="E6123" s="38" t="s">
        <v>7275</v>
      </c>
      <c r="F6123" s="38" t="s">
        <v>7271</v>
      </c>
      <c r="G6123" s="38">
        <v>7.631065796495E12</v>
      </c>
      <c r="H6123" s="38" t="s">
        <v>7272</v>
      </c>
      <c r="I6123" s="38" t="s">
        <v>7273</v>
      </c>
      <c r="J6123" s="38" t="s">
        <v>134</v>
      </c>
      <c r="K6123" s="38" t="s">
        <v>126</v>
      </c>
      <c r="L6123" s="41">
        <v>46007.833333333336</v>
      </c>
      <c r="M6123" s="38" t="s">
        <v>123</v>
      </c>
      <c r="N6123" s="41">
        <v>46007.84375</v>
      </c>
      <c r="O6123" s="38" t="s">
        <v>123</v>
      </c>
      <c r="P6123" s="38">
        <v>900.0</v>
      </c>
      <c r="Q6123" s="39"/>
      <c r="R6123" s="39"/>
      <c r="S6123" s="39"/>
      <c r="T6123" s="39"/>
      <c r="U6123" s="39"/>
    </row>
    <row r="6124">
      <c r="A6124" s="40">
        <f t="shared" si="1"/>
        <v>46006</v>
      </c>
      <c r="B6124" s="37" t="str">
        <f t="array" ref="B6124">iferror(xlookup($I6124, 'IMPORT VHC Report'!$E:$E, 'IMPORT VHC Report'!$A:$C), )</f>
        <v/>
      </c>
      <c r="C6124" s="37"/>
      <c r="D6124" s="37"/>
      <c r="E6124" s="38" t="s">
        <v>7276</v>
      </c>
      <c r="F6124" s="38" t="s">
        <v>7271</v>
      </c>
      <c r="G6124" s="38">
        <v>7.631065796495E12</v>
      </c>
      <c r="H6124" s="38" t="s">
        <v>7272</v>
      </c>
      <c r="I6124" s="38" t="s">
        <v>7273</v>
      </c>
      <c r="J6124" s="38" t="s">
        <v>132</v>
      </c>
      <c r="K6124" s="38" t="s">
        <v>126</v>
      </c>
      <c r="L6124" s="41">
        <v>46007.916666666664</v>
      </c>
      <c r="M6124" s="38" t="s">
        <v>123</v>
      </c>
      <c r="N6124" s="41">
        <v>46007.958333333336</v>
      </c>
      <c r="O6124" s="38" t="s">
        <v>123</v>
      </c>
      <c r="P6124" s="38">
        <v>3600.0</v>
      </c>
      <c r="Q6124" s="39"/>
      <c r="R6124" s="39"/>
      <c r="S6124" s="39"/>
      <c r="T6124" s="39"/>
      <c r="U6124" s="39"/>
    </row>
    <row r="6125">
      <c r="A6125" s="40">
        <f t="shared" si="1"/>
        <v>46006</v>
      </c>
      <c r="B6125" s="37" t="str">
        <f t="array" ref="B6125">iferror(xlookup($I6125, 'IMPORT VHC Report'!$E:$E, 'IMPORT VHC Report'!$A:$C), )</f>
        <v/>
      </c>
      <c r="C6125" s="37"/>
      <c r="D6125" s="37"/>
      <c r="E6125" s="38" t="s">
        <v>7277</v>
      </c>
      <c r="F6125" s="38" t="s">
        <v>7271</v>
      </c>
      <c r="G6125" s="38">
        <v>7.631065796495E12</v>
      </c>
      <c r="H6125" s="38" t="s">
        <v>7272</v>
      </c>
      <c r="I6125" s="38" t="s">
        <v>7273</v>
      </c>
      <c r="J6125" s="38" t="s">
        <v>152</v>
      </c>
      <c r="K6125" s="38" t="s">
        <v>153</v>
      </c>
      <c r="L6125" s="41">
        <v>46008.625</v>
      </c>
      <c r="M6125" s="38" t="s">
        <v>123</v>
      </c>
      <c r="N6125" s="41">
        <v>46009.0</v>
      </c>
      <c r="O6125" s="38" t="s">
        <v>123</v>
      </c>
      <c r="P6125" s="38">
        <v>32400.0</v>
      </c>
      <c r="Q6125" s="38">
        <v>32400.0</v>
      </c>
      <c r="R6125" s="38" t="s">
        <v>421</v>
      </c>
      <c r="S6125" s="38" t="s">
        <v>421</v>
      </c>
      <c r="T6125" s="39"/>
      <c r="U6125" s="39"/>
    </row>
    <row r="6126">
      <c r="A6126" s="40">
        <f t="shared" si="1"/>
        <v>46006</v>
      </c>
      <c r="B6126" s="37" t="str">
        <f t="array" ref="B6126">iferror(xlookup($I6126, 'IMPORT VHC Report'!$E:$E, 'IMPORT VHC Report'!$A:$C), )</f>
        <v/>
      </c>
      <c r="C6126" s="37"/>
      <c r="D6126" s="37"/>
      <c r="E6126" s="38" t="s">
        <v>7278</v>
      </c>
      <c r="F6126" s="38" t="s">
        <v>7271</v>
      </c>
      <c r="G6126" s="38">
        <v>7.631065796495E12</v>
      </c>
      <c r="H6126" s="38" t="s">
        <v>7272</v>
      </c>
      <c r="I6126" s="38" t="s">
        <v>7273</v>
      </c>
      <c r="J6126" s="38" t="s">
        <v>134</v>
      </c>
      <c r="K6126" s="38" t="s">
        <v>126</v>
      </c>
      <c r="L6126" s="41">
        <v>46008.729166666664</v>
      </c>
      <c r="M6126" s="38" t="s">
        <v>123</v>
      </c>
      <c r="N6126" s="41">
        <v>46008.739583333336</v>
      </c>
      <c r="O6126" s="38" t="s">
        <v>123</v>
      </c>
      <c r="P6126" s="38">
        <v>900.0</v>
      </c>
      <c r="Q6126" s="39"/>
      <c r="R6126" s="39"/>
      <c r="S6126" s="39"/>
      <c r="T6126" s="39"/>
      <c r="U6126" s="39"/>
    </row>
    <row r="6127">
      <c r="A6127" s="40">
        <f t="shared" si="1"/>
        <v>46006</v>
      </c>
      <c r="B6127" s="37" t="str">
        <f t="array" ref="B6127">iferror(xlookup($I6127, 'IMPORT VHC Report'!$E:$E, 'IMPORT VHC Report'!$A:$C), )</f>
        <v/>
      </c>
      <c r="C6127" s="37"/>
      <c r="D6127" s="37"/>
      <c r="E6127" s="38" t="s">
        <v>7279</v>
      </c>
      <c r="F6127" s="38" t="s">
        <v>7271</v>
      </c>
      <c r="G6127" s="38">
        <v>7.631065796495E12</v>
      </c>
      <c r="H6127" s="38" t="s">
        <v>7272</v>
      </c>
      <c r="I6127" s="38" t="s">
        <v>7273</v>
      </c>
      <c r="J6127" s="38" t="s">
        <v>224</v>
      </c>
      <c r="K6127" s="38" t="s">
        <v>63</v>
      </c>
      <c r="L6127" s="41">
        <v>46008.739583333336</v>
      </c>
      <c r="M6127" s="38" t="s">
        <v>123</v>
      </c>
      <c r="N6127" s="41">
        <v>46008.802083333336</v>
      </c>
      <c r="O6127" s="38" t="s">
        <v>123</v>
      </c>
      <c r="P6127" s="38">
        <v>5400.0</v>
      </c>
      <c r="Q6127" s="39"/>
      <c r="R6127" s="39"/>
      <c r="S6127" s="39"/>
      <c r="T6127" s="39"/>
      <c r="U6127" s="39"/>
    </row>
    <row r="6128">
      <c r="A6128" s="40">
        <f t="shared" si="1"/>
        <v>46006</v>
      </c>
      <c r="B6128" s="37" t="str">
        <f t="array" ref="B6128">iferror(xlookup($I6128, 'IMPORT VHC Report'!$E:$E, 'IMPORT VHC Report'!$A:$C), )</f>
        <v/>
      </c>
      <c r="C6128" s="37"/>
      <c r="D6128" s="37"/>
      <c r="E6128" s="38" t="s">
        <v>7280</v>
      </c>
      <c r="F6128" s="38" t="s">
        <v>7271</v>
      </c>
      <c r="G6128" s="38">
        <v>7.631065796495E12</v>
      </c>
      <c r="H6128" s="38" t="s">
        <v>7272</v>
      </c>
      <c r="I6128" s="38" t="s">
        <v>7273</v>
      </c>
      <c r="J6128" s="38" t="s">
        <v>134</v>
      </c>
      <c r="K6128" s="38" t="s">
        <v>126</v>
      </c>
      <c r="L6128" s="41">
        <v>46008.802083333336</v>
      </c>
      <c r="M6128" s="38" t="s">
        <v>123</v>
      </c>
      <c r="N6128" s="41">
        <v>46008.8125</v>
      </c>
      <c r="O6128" s="38" t="s">
        <v>123</v>
      </c>
      <c r="P6128" s="38">
        <v>900.0</v>
      </c>
      <c r="Q6128" s="39"/>
      <c r="R6128" s="39"/>
      <c r="S6128" s="39"/>
      <c r="T6128" s="39"/>
      <c r="U6128" s="39"/>
    </row>
    <row r="6129">
      <c r="A6129" s="40">
        <f t="shared" si="1"/>
        <v>46006</v>
      </c>
      <c r="B6129" s="37" t="str">
        <f t="array" ref="B6129">iferror(xlookup($I6129, 'IMPORT VHC Report'!$E:$E, 'IMPORT VHC Report'!$A:$C), )</f>
        <v/>
      </c>
      <c r="C6129" s="37"/>
      <c r="D6129" s="37"/>
      <c r="E6129" s="38" t="s">
        <v>7281</v>
      </c>
      <c r="F6129" s="38" t="s">
        <v>7271</v>
      </c>
      <c r="G6129" s="38">
        <v>7.631065796495E12</v>
      </c>
      <c r="H6129" s="38" t="s">
        <v>7272</v>
      </c>
      <c r="I6129" s="38" t="s">
        <v>7273</v>
      </c>
      <c r="J6129" s="38" t="s">
        <v>224</v>
      </c>
      <c r="K6129" s="38" t="s">
        <v>63</v>
      </c>
      <c r="L6129" s="41">
        <v>46008.8125</v>
      </c>
      <c r="M6129" s="38" t="s">
        <v>123</v>
      </c>
      <c r="N6129" s="41">
        <v>46008.895833333336</v>
      </c>
      <c r="O6129" s="38" t="s">
        <v>123</v>
      </c>
      <c r="P6129" s="38">
        <v>7200.0</v>
      </c>
      <c r="Q6129" s="39"/>
      <c r="R6129" s="39"/>
      <c r="S6129" s="39"/>
      <c r="T6129" s="39"/>
      <c r="U6129" s="39"/>
    </row>
    <row r="6130">
      <c r="A6130" s="40">
        <f t="shared" si="1"/>
        <v>46006</v>
      </c>
      <c r="B6130" s="37" t="str">
        <f t="array" ref="B6130">iferror(xlookup($I6130, 'IMPORT VHC Report'!$E:$E, 'IMPORT VHC Report'!$A:$C), )</f>
        <v/>
      </c>
      <c r="C6130" s="37"/>
      <c r="D6130" s="37"/>
      <c r="E6130" s="38" t="s">
        <v>7282</v>
      </c>
      <c r="F6130" s="38" t="s">
        <v>7271</v>
      </c>
      <c r="G6130" s="38">
        <v>7.631065796495E12</v>
      </c>
      <c r="H6130" s="38" t="s">
        <v>7272</v>
      </c>
      <c r="I6130" s="38" t="s">
        <v>7273</v>
      </c>
      <c r="J6130" s="38" t="s">
        <v>132</v>
      </c>
      <c r="K6130" s="38" t="s">
        <v>126</v>
      </c>
      <c r="L6130" s="41">
        <v>46008.895833333336</v>
      </c>
      <c r="M6130" s="38" t="s">
        <v>123</v>
      </c>
      <c r="N6130" s="41">
        <v>46008.9375</v>
      </c>
      <c r="O6130" s="38" t="s">
        <v>123</v>
      </c>
      <c r="P6130" s="38">
        <v>3600.0</v>
      </c>
      <c r="Q6130" s="39"/>
      <c r="R6130" s="39"/>
      <c r="S6130" s="39"/>
      <c r="T6130" s="39"/>
      <c r="U6130" s="39"/>
    </row>
    <row r="6131">
      <c r="A6131" s="40">
        <f t="shared" si="1"/>
        <v>46006</v>
      </c>
      <c r="B6131" s="37" t="str">
        <f t="array" ref="B6131">iferror(xlookup($I6131, 'IMPORT VHC Report'!$E:$E, 'IMPORT VHC Report'!$A:$C), )</f>
        <v/>
      </c>
      <c r="C6131" s="37"/>
      <c r="D6131" s="37"/>
      <c r="E6131" s="38" t="s">
        <v>7283</v>
      </c>
      <c r="F6131" s="38" t="s">
        <v>7271</v>
      </c>
      <c r="G6131" s="38">
        <v>7.631065796495E12</v>
      </c>
      <c r="H6131" s="38" t="s">
        <v>7272</v>
      </c>
      <c r="I6131" s="38" t="s">
        <v>7273</v>
      </c>
      <c r="J6131" s="38" t="s">
        <v>224</v>
      </c>
      <c r="K6131" s="38" t="s">
        <v>63</v>
      </c>
      <c r="L6131" s="41">
        <v>46008.9375</v>
      </c>
      <c r="M6131" s="38" t="s">
        <v>123</v>
      </c>
      <c r="N6131" s="41">
        <v>46009.0</v>
      </c>
      <c r="O6131" s="38" t="s">
        <v>123</v>
      </c>
      <c r="P6131" s="38">
        <v>5400.0</v>
      </c>
      <c r="Q6131" s="39"/>
      <c r="R6131" s="39"/>
      <c r="S6131" s="39"/>
      <c r="T6131" s="39"/>
      <c r="U6131" s="39"/>
    </row>
    <row r="6132">
      <c r="A6132" s="40">
        <f t="shared" si="1"/>
        <v>46006</v>
      </c>
      <c r="B6132" s="37" t="str">
        <f t="array" ref="B6132">iferror(xlookup($I6132, 'IMPORT VHC Report'!$E:$E, 'IMPORT VHC Report'!$A:$C), )</f>
        <v/>
      </c>
      <c r="C6132" s="37"/>
      <c r="D6132" s="37"/>
      <c r="E6132" s="38" t="s">
        <v>7284</v>
      </c>
      <c r="F6132" s="38" t="s">
        <v>7271</v>
      </c>
      <c r="G6132" s="38">
        <v>7.631065796495E12</v>
      </c>
      <c r="H6132" s="38" t="s">
        <v>7272</v>
      </c>
      <c r="I6132" s="38" t="s">
        <v>7273</v>
      </c>
      <c r="J6132" s="38" t="s">
        <v>224</v>
      </c>
      <c r="K6132" s="38" t="s">
        <v>63</v>
      </c>
      <c r="L6132" s="41">
        <v>46009.625</v>
      </c>
      <c r="M6132" s="38" t="s">
        <v>123</v>
      </c>
      <c r="N6132" s="41">
        <v>46009.75</v>
      </c>
      <c r="O6132" s="38" t="s">
        <v>123</v>
      </c>
      <c r="P6132" s="38">
        <v>10800.0</v>
      </c>
      <c r="Q6132" s="39"/>
      <c r="R6132" s="39"/>
      <c r="S6132" s="39"/>
      <c r="T6132" s="39"/>
      <c r="U6132" s="39"/>
    </row>
    <row r="6133">
      <c r="A6133" s="40">
        <f t="shared" si="1"/>
        <v>46006</v>
      </c>
      <c r="B6133" s="37" t="str">
        <f t="array" ref="B6133">iferror(xlookup($I6133, 'IMPORT VHC Report'!$E:$E, 'IMPORT VHC Report'!$A:$C), )</f>
        <v/>
      </c>
      <c r="C6133" s="37"/>
      <c r="D6133" s="37"/>
      <c r="E6133" s="38" t="s">
        <v>7285</v>
      </c>
      <c r="F6133" s="38" t="s">
        <v>7271</v>
      </c>
      <c r="G6133" s="38">
        <v>7.631065796495E12</v>
      </c>
      <c r="H6133" s="38" t="s">
        <v>7272</v>
      </c>
      <c r="I6133" s="38" t="s">
        <v>7273</v>
      </c>
      <c r="J6133" s="38" t="s">
        <v>152</v>
      </c>
      <c r="K6133" s="38" t="s">
        <v>153</v>
      </c>
      <c r="L6133" s="41">
        <v>46009.625</v>
      </c>
      <c r="M6133" s="38" t="s">
        <v>123</v>
      </c>
      <c r="N6133" s="41">
        <v>46010.0</v>
      </c>
      <c r="O6133" s="38" t="s">
        <v>123</v>
      </c>
      <c r="P6133" s="38">
        <v>32400.0</v>
      </c>
      <c r="Q6133" s="38">
        <v>32400.0</v>
      </c>
      <c r="R6133" s="39"/>
      <c r="S6133" s="39"/>
      <c r="T6133" s="39"/>
      <c r="U6133" s="39"/>
    </row>
    <row r="6134">
      <c r="A6134" s="40">
        <f t="shared" si="1"/>
        <v>46006</v>
      </c>
      <c r="B6134" s="37" t="str">
        <f t="array" ref="B6134">iferror(xlookup($I6134, 'IMPORT VHC Report'!$E:$E, 'IMPORT VHC Report'!$A:$C), )</f>
        <v/>
      </c>
      <c r="C6134" s="37"/>
      <c r="D6134" s="37"/>
      <c r="E6134" s="38" t="s">
        <v>7286</v>
      </c>
      <c r="F6134" s="38" t="s">
        <v>7271</v>
      </c>
      <c r="G6134" s="38">
        <v>7.631065796495E12</v>
      </c>
      <c r="H6134" s="38" t="s">
        <v>7272</v>
      </c>
      <c r="I6134" s="38" t="s">
        <v>7273</v>
      </c>
      <c r="J6134" s="38" t="s">
        <v>134</v>
      </c>
      <c r="K6134" s="38" t="s">
        <v>126</v>
      </c>
      <c r="L6134" s="41">
        <v>46009.75</v>
      </c>
      <c r="M6134" s="38" t="s">
        <v>123</v>
      </c>
      <c r="N6134" s="41">
        <v>46009.760416666664</v>
      </c>
      <c r="O6134" s="38" t="s">
        <v>123</v>
      </c>
      <c r="P6134" s="38">
        <v>900.0</v>
      </c>
      <c r="Q6134" s="39"/>
      <c r="R6134" s="39"/>
      <c r="S6134" s="39"/>
      <c r="T6134" s="39"/>
      <c r="U6134" s="39"/>
    </row>
    <row r="6135">
      <c r="A6135" s="40">
        <f t="shared" si="1"/>
        <v>46006</v>
      </c>
      <c r="B6135" s="37" t="str">
        <f t="array" ref="B6135">iferror(xlookup($I6135, 'IMPORT VHC Report'!$E:$E, 'IMPORT VHC Report'!$A:$C), )</f>
        <v/>
      </c>
      <c r="C6135" s="37"/>
      <c r="D6135" s="37"/>
      <c r="E6135" s="38" t="s">
        <v>7287</v>
      </c>
      <c r="F6135" s="38" t="s">
        <v>7271</v>
      </c>
      <c r="G6135" s="38">
        <v>7.631065796495E12</v>
      </c>
      <c r="H6135" s="38" t="s">
        <v>7272</v>
      </c>
      <c r="I6135" s="38" t="s">
        <v>7273</v>
      </c>
      <c r="J6135" s="38" t="s">
        <v>224</v>
      </c>
      <c r="K6135" s="38" t="s">
        <v>63</v>
      </c>
      <c r="L6135" s="41">
        <v>46009.760416666664</v>
      </c>
      <c r="M6135" s="38" t="s">
        <v>123</v>
      </c>
      <c r="N6135" s="41">
        <v>46009.822916666664</v>
      </c>
      <c r="O6135" s="38" t="s">
        <v>123</v>
      </c>
      <c r="P6135" s="38">
        <v>5400.0</v>
      </c>
      <c r="Q6135" s="39"/>
      <c r="R6135" s="39"/>
      <c r="S6135" s="39"/>
      <c r="T6135" s="39"/>
      <c r="U6135" s="39"/>
    </row>
    <row r="6136">
      <c r="A6136" s="40">
        <f t="shared" si="1"/>
        <v>46006</v>
      </c>
      <c r="B6136" s="37" t="str">
        <f t="array" ref="B6136">iferror(xlookup($I6136, 'IMPORT VHC Report'!$E:$E, 'IMPORT VHC Report'!$A:$C), )</f>
        <v/>
      </c>
      <c r="C6136" s="37"/>
      <c r="D6136" s="37"/>
      <c r="E6136" s="38" t="s">
        <v>7288</v>
      </c>
      <c r="F6136" s="38" t="s">
        <v>7271</v>
      </c>
      <c r="G6136" s="38">
        <v>7.631065796495E12</v>
      </c>
      <c r="H6136" s="38" t="s">
        <v>7272</v>
      </c>
      <c r="I6136" s="38" t="s">
        <v>7273</v>
      </c>
      <c r="J6136" s="38" t="s">
        <v>132</v>
      </c>
      <c r="K6136" s="38" t="s">
        <v>126</v>
      </c>
      <c r="L6136" s="41">
        <v>46009.822916666664</v>
      </c>
      <c r="M6136" s="38" t="s">
        <v>123</v>
      </c>
      <c r="N6136" s="41">
        <v>46009.864583333336</v>
      </c>
      <c r="O6136" s="38" t="s">
        <v>123</v>
      </c>
      <c r="P6136" s="38">
        <v>3600.0</v>
      </c>
      <c r="Q6136" s="39"/>
      <c r="R6136" s="39"/>
      <c r="S6136" s="39"/>
      <c r="T6136" s="39"/>
      <c r="U6136" s="39"/>
    </row>
    <row r="6137">
      <c r="A6137" s="40">
        <f t="shared" si="1"/>
        <v>46006</v>
      </c>
      <c r="B6137" s="37" t="str">
        <f t="array" ref="B6137">iferror(xlookup($I6137, 'IMPORT VHC Report'!$E:$E, 'IMPORT VHC Report'!$A:$C), )</f>
        <v/>
      </c>
      <c r="C6137" s="37"/>
      <c r="D6137" s="37"/>
      <c r="E6137" s="38" t="s">
        <v>7289</v>
      </c>
      <c r="F6137" s="38" t="s">
        <v>7271</v>
      </c>
      <c r="G6137" s="38">
        <v>7.631065796495E12</v>
      </c>
      <c r="H6137" s="38" t="s">
        <v>7272</v>
      </c>
      <c r="I6137" s="38" t="s">
        <v>7273</v>
      </c>
      <c r="J6137" s="38" t="s">
        <v>224</v>
      </c>
      <c r="K6137" s="38" t="s">
        <v>63</v>
      </c>
      <c r="L6137" s="41">
        <v>46009.864583333336</v>
      </c>
      <c r="M6137" s="38" t="s">
        <v>123</v>
      </c>
      <c r="N6137" s="41">
        <v>46009.927083333336</v>
      </c>
      <c r="O6137" s="38" t="s">
        <v>123</v>
      </c>
      <c r="P6137" s="38">
        <v>5400.0</v>
      </c>
      <c r="Q6137" s="39"/>
      <c r="R6137" s="39"/>
      <c r="S6137" s="39"/>
      <c r="T6137" s="39"/>
      <c r="U6137" s="39"/>
    </row>
    <row r="6138">
      <c r="A6138" s="40">
        <f t="shared" si="1"/>
        <v>46006</v>
      </c>
      <c r="B6138" s="37" t="str">
        <f t="array" ref="B6138">iferror(xlookup($I6138, 'IMPORT VHC Report'!$E:$E, 'IMPORT VHC Report'!$A:$C), )</f>
        <v/>
      </c>
      <c r="C6138" s="37"/>
      <c r="D6138" s="37"/>
      <c r="E6138" s="38" t="s">
        <v>7290</v>
      </c>
      <c r="F6138" s="38" t="s">
        <v>7271</v>
      </c>
      <c r="G6138" s="38">
        <v>7.631065796495E12</v>
      </c>
      <c r="H6138" s="38" t="s">
        <v>7272</v>
      </c>
      <c r="I6138" s="38" t="s">
        <v>7273</v>
      </c>
      <c r="J6138" s="38" t="s">
        <v>134</v>
      </c>
      <c r="K6138" s="38" t="s">
        <v>126</v>
      </c>
      <c r="L6138" s="41">
        <v>46009.927083333336</v>
      </c>
      <c r="M6138" s="38" t="s">
        <v>123</v>
      </c>
      <c r="N6138" s="41">
        <v>46009.9375</v>
      </c>
      <c r="O6138" s="38" t="s">
        <v>123</v>
      </c>
      <c r="P6138" s="38">
        <v>900.0</v>
      </c>
      <c r="Q6138" s="39"/>
      <c r="R6138" s="39"/>
      <c r="S6138" s="39"/>
      <c r="T6138" s="39"/>
      <c r="U6138" s="39"/>
    </row>
    <row r="6139">
      <c r="A6139" s="40">
        <f t="shared" si="1"/>
        <v>46006</v>
      </c>
      <c r="B6139" s="37" t="str">
        <f t="array" ref="B6139">iferror(xlookup($I6139, 'IMPORT VHC Report'!$E:$E, 'IMPORT VHC Report'!$A:$C), )</f>
        <v/>
      </c>
      <c r="C6139" s="37"/>
      <c r="D6139" s="37"/>
      <c r="E6139" s="38" t="s">
        <v>7291</v>
      </c>
      <c r="F6139" s="38" t="s">
        <v>7271</v>
      </c>
      <c r="G6139" s="38">
        <v>7.631065796495E12</v>
      </c>
      <c r="H6139" s="38" t="s">
        <v>7272</v>
      </c>
      <c r="I6139" s="38" t="s">
        <v>7273</v>
      </c>
      <c r="J6139" s="38" t="s">
        <v>224</v>
      </c>
      <c r="K6139" s="38" t="s">
        <v>63</v>
      </c>
      <c r="L6139" s="41">
        <v>46009.9375</v>
      </c>
      <c r="M6139" s="38" t="s">
        <v>123</v>
      </c>
      <c r="N6139" s="41">
        <v>46010.0</v>
      </c>
      <c r="O6139" s="38" t="s">
        <v>123</v>
      </c>
      <c r="P6139" s="38">
        <v>5400.0</v>
      </c>
      <c r="Q6139" s="39"/>
      <c r="R6139" s="39"/>
      <c r="S6139" s="39"/>
      <c r="T6139" s="39"/>
      <c r="U6139" s="39"/>
    </row>
    <row r="6140">
      <c r="A6140" s="40">
        <f t="shared" si="1"/>
        <v>46006</v>
      </c>
      <c r="B6140" s="37" t="str">
        <f t="array" ref="B6140">iferror(xlookup($I6140, 'IMPORT VHC Report'!$E:$E, 'IMPORT VHC Report'!$A:$C), )</f>
        <v/>
      </c>
      <c r="C6140" s="37"/>
      <c r="D6140" s="37"/>
      <c r="E6140" s="38" t="s">
        <v>7292</v>
      </c>
      <c r="F6140" s="38" t="s">
        <v>7271</v>
      </c>
      <c r="G6140" s="38">
        <v>7.631065796495E12</v>
      </c>
      <c r="H6140" s="38" t="s">
        <v>7272</v>
      </c>
      <c r="I6140" s="38" t="s">
        <v>7273</v>
      </c>
      <c r="J6140" s="38" t="s">
        <v>224</v>
      </c>
      <c r="K6140" s="38" t="s">
        <v>63</v>
      </c>
      <c r="L6140" s="41">
        <v>46010.625</v>
      </c>
      <c r="M6140" s="38" t="s">
        <v>123</v>
      </c>
      <c r="N6140" s="41">
        <v>46010.90625</v>
      </c>
      <c r="O6140" s="38" t="s">
        <v>123</v>
      </c>
      <c r="P6140" s="38">
        <v>24300.0</v>
      </c>
      <c r="Q6140" s="39"/>
      <c r="R6140" s="39"/>
      <c r="S6140" s="39"/>
      <c r="T6140" s="39"/>
      <c r="U6140" s="39"/>
    </row>
    <row r="6141">
      <c r="A6141" s="40">
        <f t="shared" si="1"/>
        <v>46006</v>
      </c>
      <c r="B6141" s="37" t="str">
        <f t="array" ref="B6141">iferror(xlookup($I6141, 'IMPORT VHC Report'!$E:$E, 'IMPORT VHC Report'!$A:$C), )</f>
        <v/>
      </c>
      <c r="C6141" s="37"/>
      <c r="D6141" s="37"/>
      <c r="E6141" s="38" t="s">
        <v>7293</v>
      </c>
      <c r="F6141" s="38" t="s">
        <v>7271</v>
      </c>
      <c r="G6141" s="38">
        <v>7.631065796495E12</v>
      </c>
      <c r="H6141" s="38" t="s">
        <v>7272</v>
      </c>
      <c r="I6141" s="38" t="s">
        <v>7273</v>
      </c>
      <c r="J6141" s="38" t="s">
        <v>152</v>
      </c>
      <c r="K6141" s="38" t="s">
        <v>153</v>
      </c>
      <c r="L6141" s="41">
        <v>46010.625</v>
      </c>
      <c r="M6141" s="38" t="s">
        <v>123</v>
      </c>
      <c r="N6141" s="41">
        <v>46011.0</v>
      </c>
      <c r="O6141" s="38" t="s">
        <v>123</v>
      </c>
      <c r="P6141" s="38">
        <v>32400.0</v>
      </c>
      <c r="Q6141" s="38">
        <v>32400.0</v>
      </c>
      <c r="R6141" s="39"/>
      <c r="S6141" s="39"/>
      <c r="T6141" s="39"/>
      <c r="U6141" s="39"/>
    </row>
    <row r="6142">
      <c r="A6142" s="40">
        <f t="shared" si="1"/>
        <v>46006</v>
      </c>
      <c r="B6142" s="37" t="str">
        <f t="array" ref="B6142">iferror(xlookup($I6142, 'IMPORT VHC Report'!$E:$E, 'IMPORT VHC Report'!$A:$C), )</f>
        <v/>
      </c>
      <c r="C6142" s="37"/>
      <c r="D6142" s="37"/>
      <c r="E6142" s="38" t="s">
        <v>7294</v>
      </c>
      <c r="F6142" s="38" t="s">
        <v>7271</v>
      </c>
      <c r="G6142" s="38">
        <v>7.631065796495E12</v>
      </c>
      <c r="H6142" s="38" t="s">
        <v>7272</v>
      </c>
      <c r="I6142" s="38" t="s">
        <v>7273</v>
      </c>
      <c r="J6142" s="38" t="s">
        <v>132</v>
      </c>
      <c r="K6142" s="38" t="s">
        <v>126</v>
      </c>
      <c r="L6142" s="41">
        <v>46010.729166666664</v>
      </c>
      <c r="M6142" s="38" t="s">
        <v>123</v>
      </c>
      <c r="N6142" s="41">
        <v>46010.770833333336</v>
      </c>
      <c r="O6142" s="38" t="s">
        <v>123</v>
      </c>
      <c r="P6142" s="38">
        <v>3600.0</v>
      </c>
      <c r="Q6142" s="39"/>
      <c r="R6142" s="39"/>
      <c r="S6142" s="39"/>
      <c r="T6142" s="39"/>
      <c r="U6142" s="39"/>
    </row>
    <row r="6143">
      <c r="A6143" s="40">
        <f t="shared" si="1"/>
        <v>46006</v>
      </c>
      <c r="B6143" s="37" t="str">
        <f t="array" ref="B6143">iferror(xlookup($I6143, 'IMPORT VHC Report'!$E:$E, 'IMPORT VHC Report'!$A:$C), )</f>
        <v/>
      </c>
      <c r="C6143" s="37"/>
      <c r="D6143" s="37"/>
      <c r="E6143" s="38" t="s">
        <v>7295</v>
      </c>
      <c r="F6143" s="38" t="s">
        <v>7271</v>
      </c>
      <c r="G6143" s="38">
        <v>7.631065796495E12</v>
      </c>
      <c r="H6143" s="38" t="s">
        <v>7272</v>
      </c>
      <c r="I6143" s="38" t="s">
        <v>7273</v>
      </c>
      <c r="J6143" s="38" t="s">
        <v>134</v>
      </c>
      <c r="K6143" s="38" t="s">
        <v>126</v>
      </c>
      <c r="L6143" s="41">
        <v>46010.854166666664</v>
      </c>
      <c r="M6143" s="38" t="s">
        <v>123</v>
      </c>
      <c r="N6143" s="41">
        <v>46010.864583333336</v>
      </c>
      <c r="O6143" s="38" t="s">
        <v>123</v>
      </c>
      <c r="P6143" s="38">
        <v>900.0</v>
      </c>
      <c r="Q6143" s="39"/>
      <c r="R6143" s="39"/>
      <c r="S6143" s="39"/>
      <c r="T6143" s="39"/>
      <c r="U6143" s="39"/>
    </row>
    <row r="6144">
      <c r="A6144" s="40">
        <f t="shared" si="1"/>
        <v>46006</v>
      </c>
      <c r="B6144" s="37" t="str">
        <f t="array" ref="B6144">iferror(xlookup($I6144, 'IMPORT VHC Report'!$E:$E, 'IMPORT VHC Report'!$A:$C), )</f>
        <v/>
      </c>
      <c r="C6144" s="37"/>
      <c r="D6144" s="37"/>
      <c r="E6144" s="38" t="s">
        <v>7296</v>
      </c>
      <c r="F6144" s="38" t="s">
        <v>7271</v>
      </c>
      <c r="G6144" s="38">
        <v>7.631065796495E12</v>
      </c>
      <c r="H6144" s="38" t="s">
        <v>7272</v>
      </c>
      <c r="I6144" s="38" t="s">
        <v>7273</v>
      </c>
      <c r="J6144" s="38" t="s">
        <v>4</v>
      </c>
      <c r="K6144" s="38" t="s">
        <v>126</v>
      </c>
      <c r="L6144" s="41">
        <v>46010.885416666664</v>
      </c>
      <c r="M6144" s="38" t="s">
        <v>123</v>
      </c>
      <c r="N6144" s="41">
        <v>46010.927083333336</v>
      </c>
      <c r="O6144" s="38" t="s">
        <v>123</v>
      </c>
      <c r="P6144" s="38">
        <v>3600.0</v>
      </c>
      <c r="Q6144" s="39"/>
      <c r="R6144" s="39"/>
      <c r="S6144" s="38" t="s">
        <v>858</v>
      </c>
      <c r="T6144" s="39"/>
      <c r="U6144" s="39"/>
    </row>
    <row r="6145">
      <c r="A6145" s="40">
        <f t="shared" si="1"/>
        <v>46006</v>
      </c>
      <c r="B6145" s="37" t="str">
        <f t="array" ref="B6145">iferror(xlookup($I6145, 'IMPORT VHC Report'!$E:$E, 'IMPORT VHC Report'!$A:$C), )</f>
        <v/>
      </c>
      <c r="C6145" s="37"/>
      <c r="D6145" s="37"/>
      <c r="E6145" s="38" t="s">
        <v>7297</v>
      </c>
      <c r="F6145" s="38" t="s">
        <v>7271</v>
      </c>
      <c r="G6145" s="38">
        <v>7.631065796495E12</v>
      </c>
      <c r="H6145" s="38" t="s">
        <v>7272</v>
      </c>
      <c r="I6145" s="38" t="s">
        <v>7273</v>
      </c>
      <c r="J6145" s="38" t="s">
        <v>62</v>
      </c>
      <c r="K6145" s="38" t="s">
        <v>63</v>
      </c>
      <c r="L6145" s="41">
        <v>46010.90625</v>
      </c>
      <c r="M6145" s="38" t="s">
        <v>123</v>
      </c>
      <c r="N6145" s="41">
        <v>46010.927083333336</v>
      </c>
      <c r="O6145" s="38" t="s">
        <v>123</v>
      </c>
      <c r="P6145" s="38">
        <v>1800.0</v>
      </c>
      <c r="Q6145" s="39"/>
      <c r="R6145" s="39"/>
      <c r="S6145" s="39"/>
      <c r="T6145" s="39"/>
      <c r="U6145" s="39"/>
    </row>
    <row r="6146">
      <c r="A6146" s="40">
        <f t="shared" si="1"/>
        <v>46006</v>
      </c>
      <c r="B6146" s="37" t="str">
        <f t="array" ref="B6146">iferror(xlookup($I6146, 'IMPORT VHC Report'!$E:$E, 'IMPORT VHC Report'!$A:$C), )</f>
        <v/>
      </c>
      <c r="C6146" s="37"/>
      <c r="D6146" s="37"/>
      <c r="E6146" s="38" t="s">
        <v>7298</v>
      </c>
      <c r="F6146" s="38" t="s">
        <v>7271</v>
      </c>
      <c r="G6146" s="38">
        <v>7.631065796495E12</v>
      </c>
      <c r="H6146" s="38" t="s">
        <v>7272</v>
      </c>
      <c r="I6146" s="38" t="s">
        <v>7273</v>
      </c>
      <c r="J6146" s="38" t="s">
        <v>134</v>
      </c>
      <c r="K6146" s="38" t="s">
        <v>126</v>
      </c>
      <c r="L6146" s="41">
        <v>46010.927083333336</v>
      </c>
      <c r="M6146" s="38" t="s">
        <v>123</v>
      </c>
      <c r="N6146" s="41">
        <v>46010.9375</v>
      </c>
      <c r="O6146" s="38" t="s">
        <v>123</v>
      </c>
      <c r="P6146" s="38">
        <v>900.0</v>
      </c>
      <c r="Q6146" s="39"/>
      <c r="R6146" s="39"/>
      <c r="S6146" s="39"/>
      <c r="T6146" s="39"/>
      <c r="U6146" s="39"/>
    </row>
    <row r="6147">
      <c r="A6147" s="40">
        <f t="shared" si="1"/>
        <v>46006</v>
      </c>
      <c r="B6147" s="37" t="str">
        <f t="array" ref="B6147">iferror(xlookup($I6147, 'IMPORT VHC Report'!$E:$E, 'IMPORT VHC Report'!$A:$C), )</f>
        <v/>
      </c>
      <c r="C6147" s="37"/>
      <c r="D6147" s="37"/>
      <c r="E6147" s="38" t="s">
        <v>7299</v>
      </c>
      <c r="F6147" s="38" t="s">
        <v>7271</v>
      </c>
      <c r="G6147" s="38">
        <v>7.631065796495E12</v>
      </c>
      <c r="H6147" s="38" t="s">
        <v>7272</v>
      </c>
      <c r="I6147" s="38" t="s">
        <v>7273</v>
      </c>
      <c r="J6147" s="38" t="s">
        <v>224</v>
      </c>
      <c r="K6147" s="38" t="s">
        <v>63</v>
      </c>
      <c r="L6147" s="41">
        <v>46010.9375</v>
      </c>
      <c r="M6147" s="38" t="s">
        <v>123</v>
      </c>
      <c r="N6147" s="41">
        <v>46011.0</v>
      </c>
      <c r="O6147" s="38" t="s">
        <v>123</v>
      </c>
      <c r="P6147" s="38">
        <v>5400.0</v>
      </c>
      <c r="Q6147" s="39"/>
      <c r="R6147" s="39"/>
      <c r="S6147" s="39"/>
      <c r="T6147" s="39"/>
      <c r="U6147" s="39"/>
    </row>
    <row r="6148">
      <c r="A6148" s="40">
        <f t="shared" si="1"/>
        <v>46006</v>
      </c>
      <c r="B6148" s="37" t="str">
        <f t="array" ref="B6148">iferror(xlookup($I6148, 'IMPORT VHC Report'!$E:$E, 'IMPORT VHC Report'!$A:$C), )</f>
        <v/>
      </c>
      <c r="C6148" s="37"/>
      <c r="D6148" s="37"/>
      <c r="E6148" s="38" t="s">
        <v>7300</v>
      </c>
      <c r="F6148" s="38" t="s">
        <v>7271</v>
      </c>
      <c r="G6148" s="38">
        <v>7.631065796495E12</v>
      </c>
      <c r="H6148" s="38" t="s">
        <v>7272</v>
      </c>
      <c r="I6148" s="38" t="s">
        <v>7273</v>
      </c>
      <c r="J6148" s="38" t="s">
        <v>224</v>
      </c>
      <c r="K6148" s="38" t="s">
        <v>63</v>
      </c>
      <c r="L6148" s="41">
        <v>46011.625</v>
      </c>
      <c r="M6148" s="38" t="s">
        <v>123</v>
      </c>
      <c r="N6148" s="41">
        <v>46012.0</v>
      </c>
      <c r="O6148" s="38" t="s">
        <v>123</v>
      </c>
      <c r="P6148" s="38">
        <v>32400.0</v>
      </c>
      <c r="Q6148" s="39"/>
      <c r="R6148" s="39"/>
      <c r="S6148" s="39"/>
      <c r="T6148" s="39"/>
      <c r="U6148" s="39"/>
    </row>
    <row r="6149">
      <c r="A6149" s="40">
        <f t="shared" si="1"/>
        <v>46006</v>
      </c>
      <c r="B6149" s="37" t="str">
        <f t="array" ref="B6149">iferror(xlookup($I6149, 'IMPORT VHC Report'!$E:$E, 'IMPORT VHC Report'!$A:$C), )</f>
        <v/>
      </c>
      <c r="C6149" s="37"/>
      <c r="D6149" s="37"/>
      <c r="E6149" s="38" t="s">
        <v>7301</v>
      </c>
      <c r="F6149" s="38" t="s">
        <v>7271</v>
      </c>
      <c r="G6149" s="38">
        <v>7.631065796495E12</v>
      </c>
      <c r="H6149" s="38" t="s">
        <v>7272</v>
      </c>
      <c r="I6149" s="38" t="s">
        <v>7273</v>
      </c>
      <c r="J6149" s="38" t="s">
        <v>178</v>
      </c>
      <c r="K6149" s="38" t="s">
        <v>153</v>
      </c>
      <c r="L6149" s="41">
        <v>46011.625</v>
      </c>
      <c r="M6149" s="38" t="s">
        <v>123</v>
      </c>
      <c r="N6149" s="41">
        <v>46012.0</v>
      </c>
      <c r="O6149" s="38" t="s">
        <v>123</v>
      </c>
      <c r="P6149" s="38">
        <v>32400.0</v>
      </c>
      <c r="Q6149" s="38">
        <v>28800.0</v>
      </c>
      <c r="R6149" s="39"/>
      <c r="S6149" s="39"/>
      <c r="T6149" s="39"/>
      <c r="U6149" s="39"/>
    </row>
    <row r="6150">
      <c r="A6150" s="40">
        <f t="shared" si="1"/>
        <v>46006</v>
      </c>
      <c r="B6150" s="37" t="str">
        <f t="array" ref="B6150">iferror(xlookup($I6150, 'IMPORT VHC Report'!$E:$E, 'IMPORT VHC Report'!$A:$C), )</f>
        <v/>
      </c>
      <c r="C6150" s="37"/>
      <c r="D6150" s="37"/>
      <c r="E6150" s="38" t="s">
        <v>7302</v>
      </c>
      <c r="F6150" s="38" t="s">
        <v>7271</v>
      </c>
      <c r="G6150" s="38">
        <v>7.631065796495E12</v>
      </c>
      <c r="H6150" s="38" t="s">
        <v>7272</v>
      </c>
      <c r="I6150" s="38" t="s">
        <v>7273</v>
      </c>
      <c r="J6150" s="38" t="s">
        <v>132</v>
      </c>
      <c r="K6150" s="38" t="s">
        <v>126</v>
      </c>
      <c r="L6150" s="41">
        <v>46011.729166666664</v>
      </c>
      <c r="M6150" s="38" t="s">
        <v>123</v>
      </c>
      <c r="N6150" s="41">
        <v>46011.770833333336</v>
      </c>
      <c r="O6150" s="38" t="s">
        <v>123</v>
      </c>
      <c r="P6150" s="38">
        <v>3600.0</v>
      </c>
      <c r="Q6150" s="39"/>
      <c r="R6150" s="39"/>
      <c r="S6150" s="39"/>
      <c r="T6150" s="39"/>
      <c r="U6150" s="39"/>
    </row>
    <row r="6151">
      <c r="A6151" s="40">
        <f t="shared" si="1"/>
        <v>46006</v>
      </c>
      <c r="B6151" s="37" t="str">
        <f t="array" ref="B6151">iferror(xlookup($I6151, 'IMPORT VHC Report'!$E:$E, 'IMPORT VHC Report'!$A:$C), )</f>
        <v/>
      </c>
      <c r="C6151" s="37"/>
      <c r="D6151" s="37"/>
      <c r="E6151" s="38" t="s">
        <v>7303</v>
      </c>
      <c r="F6151" s="38" t="s">
        <v>7271</v>
      </c>
      <c r="G6151" s="38">
        <v>7.631065796495E12</v>
      </c>
      <c r="H6151" s="38" t="s">
        <v>7272</v>
      </c>
      <c r="I6151" s="38" t="s">
        <v>7273</v>
      </c>
      <c r="J6151" s="38" t="s">
        <v>134</v>
      </c>
      <c r="K6151" s="38" t="s">
        <v>126</v>
      </c>
      <c r="L6151" s="41">
        <v>46011.864583333336</v>
      </c>
      <c r="M6151" s="38" t="s">
        <v>123</v>
      </c>
      <c r="N6151" s="41">
        <v>46011.875</v>
      </c>
      <c r="O6151" s="38" t="s">
        <v>123</v>
      </c>
      <c r="P6151" s="38">
        <v>900.0</v>
      </c>
      <c r="Q6151" s="39"/>
      <c r="R6151" s="39"/>
      <c r="S6151" s="39"/>
      <c r="T6151" s="39"/>
      <c r="U6151" s="39"/>
    </row>
    <row r="6152">
      <c r="A6152" s="40">
        <f t="shared" si="1"/>
        <v>46006</v>
      </c>
      <c r="B6152" s="37" t="str">
        <f t="array" ref="B6152">iferror(xlookup($I6152, 'IMPORT VHC Report'!$E:$E, 'IMPORT VHC Report'!$A:$C), )</f>
        <v/>
      </c>
      <c r="C6152" s="37"/>
      <c r="D6152" s="37"/>
      <c r="E6152" s="38" t="s">
        <v>7304</v>
      </c>
      <c r="F6152" s="38" t="s">
        <v>7271</v>
      </c>
      <c r="G6152" s="38">
        <v>7.631065796495E12</v>
      </c>
      <c r="H6152" s="38" t="s">
        <v>7272</v>
      </c>
      <c r="I6152" s="38" t="s">
        <v>7273</v>
      </c>
      <c r="J6152" s="38" t="s">
        <v>134</v>
      </c>
      <c r="K6152" s="38" t="s">
        <v>126</v>
      </c>
      <c r="L6152" s="41">
        <v>46011.927083333336</v>
      </c>
      <c r="M6152" s="38" t="s">
        <v>123</v>
      </c>
      <c r="N6152" s="41">
        <v>46011.9375</v>
      </c>
      <c r="O6152" s="38" t="s">
        <v>123</v>
      </c>
      <c r="P6152" s="38">
        <v>900.0</v>
      </c>
      <c r="Q6152" s="39"/>
      <c r="R6152" s="39"/>
      <c r="S6152" s="39"/>
      <c r="T6152" s="39"/>
      <c r="U6152" s="39"/>
    </row>
    <row r="6153">
      <c r="A6153" s="40">
        <f t="shared" si="1"/>
        <v>46006</v>
      </c>
      <c r="B6153" s="37" t="str">
        <f t="array" ref="B6153">iferror(xlookup($I6153, 'IMPORT VHC Report'!$E:$E, 'IMPORT VHC Report'!$A:$C), )</f>
        <v/>
      </c>
      <c r="C6153" s="37"/>
      <c r="D6153" s="37"/>
      <c r="E6153" s="38" t="s">
        <v>7305</v>
      </c>
      <c r="F6153" s="38" t="s">
        <v>7306</v>
      </c>
      <c r="G6153" s="38">
        <v>3.61724666876E11</v>
      </c>
      <c r="H6153" s="38" t="s">
        <v>7307</v>
      </c>
      <c r="I6153" s="38" t="s">
        <v>7308</v>
      </c>
      <c r="J6153" s="38" t="s">
        <v>332</v>
      </c>
      <c r="K6153" s="38" t="s">
        <v>63</v>
      </c>
      <c r="L6153" s="41">
        <v>46007.625</v>
      </c>
      <c r="M6153" s="38" t="s">
        <v>123</v>
      </c>
      <c r="N6153" s="41">
        <v>46007.708333333336</v>
      </c>
      <c r="O6153" s="38" t="s">
        <v>123</v>
      </c>
      <c r="P6153" s="38">
        <v>7200.0</v>
      </c>
      <c r="Q6153" s="39"/>
      <c r="R6153" s="39"/>
      <c r="S6153" s="39"/>
      <c r="T6153" s="39"/>
      <c r="U6153" s="39"/>
    </row>
    <row r="6154">
      <c r="A6154" s="40">
        <f t="shared" si="1"/>
        <v>46006</v>
      </c>
      <c r="B6154" s="37" t="str">
        <f t="array" ref="B6154">iferror(xlookup($I6154, 'IMPORT VHC Report'!$E:$E, 'IMPORT VHC Report'!$A:$C), )</f>
        <v/>
      </c>
      <c r="C6154" s="37"/>
      <c r="D6154" s="37"/>
      <c r="E6154" s="38" t="s">
        <v>7309</v>
      </c>
      <c r="F6154" s="38" t="s">
        <v>7306</v>
      </c>
      <c r="G6154" s="38">
        <v>3.61724666876E11</v>
      </c>
      <c r="H6154" s="38" t="s">
        <v>7307</v>
      </c>
      <c r="I6154" s="38" t="s">
        <v>7308</v>
      </c>
      <c r="J6154" s="38" t="s">
        <v>4</v>
      </c>
      <c r="K6154" s="38" t="s">
        <v>126</v>
      </c>
      <c r="L6154" s="41">
        <v>46007.708333333336</v>
      </c>
      <c r="M6154" s="38" t="s">
        <v>123</v>
      </c>
      <c r="N6154" s="41">
        <v>46007.75</v>
      </c>
      <c r="O6154" s="38" t="s">
        <v>123</v>
      </c>
      <c r="P6154" s="38">
        <v>3600.0</v>
      </c>
      <c r="Q6154" s="39"/>
      <c r="R6154" s="39"/>
      <c r="S6154" s="38" t="s">
        <v>130</v>
      </c>
      <c r="T6154" s="39"/>
      <c r="U6154" s="39"/>
    </row>
    <row r="6155">
      <c r="A6155" s="40">
        <f t="shared" si="1"/>
        <v>46006</v>
      </c>
      <c r="B6155" s="37" t="str">
        <f t="array" ref="B6155">iferror(xlookup($I6155, 'IMPORT VHC Report'!$E:$E, 'IMPORT VHC Report'!$A:$C), )</f>
        <v/>
      </c>
      <c r="C6155" s="37"/>
      <c r="D6155" s="37"/>
      <c r="E6155" s="38" t="s">
        <v>7310</v>
      </c>
      <c r="F6155" s="38" t="s">
        <v>7306</v>
      </c>
      <c r="G6155" s="38">
        <v>3.61724666876E11</v>
      </c>
      <c r="H6155" s="38" t="s">
        <v>7307</v>
      </c>
      <c r="I6155" s="38" t="s">
        <v>7308</v>
      </c>
      <c r="J6155" s="38" t="s">
        <v>62</v>
      </c>
      <c r="K6155" s="38" t="s">
        <v>63</v>
      </c>
      <c r="L6155" s="41">
        <v>46007.708333333336</v>
      </c>
      <c r="M6155" s="38" t="s">
        <v>123</v>
      </c>
      <c r="N6155" s="41">
        <v>46007.791666666664</v>
      </c>
      <c r="O6155" s="38" t="s">
        <v>123</v>
      </c>
      <c r="P6155" s="38">
        <v>7200.0</v>
      </c>
      <c r="Q6155" s="39"/>
      <c r="R6155" s="39"/>
      <c r="S6155" s="39"/>
      <c r="T6155" s="39"/>
      <c r="U6155" s="39"/>
    </row>
    <row r="6156">
      <c r="A6156" s="40">
        <f t="shared" si="1"/>
        <v>46006</v>
      </c>
      <c r="B6156" s="37" t="str">
        <f t="array" ref="B6156">iferror(xlookup($I6156, 'IMPORT VHC Report'!$E:$E, 'IMPORT VHC Report'!$A:$C), )</f>
        <v/>
      </c>
      <c r="C6156" s="37"/>
      <c r="D6156" s="37"/>
      <c r="E6156" s="38" t="s">
        <v>7311</v>
      </c>
      <c r="F6156" s="38" t="s">
        <v>7306</v>
      </c>
      <c r="G6156" s="38">
        <v>3.61724666876E11</v>
      </c>
      <c r="H6156" s="38" t="s">
        <v>7307</v>
      </c>
      <c r="I6156" s="38" t="s">
        <v>7308</v>
      </c>
      <c r="J6156" s="38" t="s">
        <v>332</v>
      </c>
      <c r="K6156" s="38" t="s">
        <v>63</v>
      </c>
      <c r="L6156" s="41">
        <v>46007.791666666664</v>
      </c>
      <c r="M6156" s="38" t="s">
        <v>123</v>
      </c>
      <c r="N6156" s="41">
        <v>46008.0</v>
      </c>
      <c r="O6156" s="38" t="s">
        <v>123</v>
      </c>
      <c r="P6156" s="38">
        <v>18000.0</v>
      </c>
      <c r="Q6156" s="39"/>
      <c r="R6156" s="39"/>
      <c r="S6156" s="39"/>
      <c r="T6156" s="39"/>
      <c r="U6156" s="39"/>
    </row>
    <row r="6157">
      <c r="A6157" s="40">
        <f t="shared" si="1"/>
        <v>46006</v>
      </c>
      <c r="B6157" s="37" t="str">
        <f t="array" ref="B6157">iferror(xlookup($I6157, 'IMPORT VHC Report'!$E:$E, 'IMPORT VHC Report'!$A:$C), )</f>
        <v/>
      </c>
      <c r="C6157" s="37"/>
      <c r="D6157" s="37"/>
      <c r="E6157" s="38" t="s">
        <v>7312</v>
      </c>
      <c r="F6157" s="38" t="s">
        <v>7306</v>
      </c>
      <c r="G6157" s="38">
        <v>3.61724666876E11</v>
      </c>
      <c r="H6157" s="38" t="s">
        <v>7307</v>
      </c>
      <c r="I6157" s="38" t="s">
        <v>7308</v>
      </c>
      <c r="J6157" s="38" t="s">
        <v>134</v>
      </c>
      <c r="K6157" s="38" t="s">
        <v>126</v>
      </c>
      <c r="L6157" s="41">
        <v>46007.9375</v>
      </c>
      <c r="M6157" s="38" t="s">
        <v>123</v>
      </c>
      <c r="N6157" s="41">
        <v>46007.958333333336</v>
      </c>
      <c r="O6157" s="38" t="s">
        <v>123</v>
      </c>
      <c r="P6157" s="38">
        <v>1800.0</v>
      </c>
      <c r="Q6157" s="39"/>
      <c r="R6157" s="39"/>
      <c r="S6157" s="39"/>
      <c r="T6157" s="39"/>
      <c r="U6157" s="39"/>
    </row>
    <row r="6158">
      <c r="A6158" s="40">
        <f t="shared" si="1"/>
        <v>46006</v>
      </c>
      <c r="B6158" s="37" t="str">
        <f t="array" ref="B6158">iferror(xlookup($I6158, 'IMPORT VHC Report'!$E:$E, 'IMPORT VHC Report'!$A:$C), )</f>
        <v/>
      </c>
      <c r="C6158" s="37"/>
      <c r="D6158" s="37"/>
      <c r="E6158" s="38" t="s">
        <v>7313</v>
      </c>
      <c r="F6158" s="38" t="s">
        <v>7306</v>
      </c>
      <c r="G6158" s="38">
        <v>3.61724666876E11</v>
      </c>
      <c r="H6158" s="38" t="s">
        <v>7307</v>
      </c>
      <c r="I6158" s="38" t="s">
        <v>7308</v>
      </c>
      <c r="J6158" s="38" t="s">
        <v>132</v>
      </c>
      <c r="K6158" s="38" t="s">
        <v>126</v>
      </c>
      <c r="L6158" s="41">
        <v>46007.958333333336</v>
      </c>
      <c r="M6158" s="38" t="s">
        <v>123</v>
      </c>
      <c r="N6158" s="41">
        <v>46008.0</v>
      </c>
      <c r="O6158" s="38" t="s">
        <v>123</v>
      </c>
      <c r="P6158" s="38">
        <v>3600.0</v>
      </c>
      <c r="Q6158" s="39"/>
      <c r="R6158" s="39"/>
      <c r="S6158" s="39"/>
      <c r="T6158" s="39"/>
      <c r="U6158" s="39"/>
    </row>
    <row r="6159">
      <c r="A6159" s="40">
        <f t="shared" si="1"/>
        <v>46006</v>
      </c>
      <c r="B6159" s="37" t="str">
        <f t="array" ref="B6159">iferror(xlookup($I6159, 'IMPORT VHC Report'!$E:$E, 'IMPORT VHC Report'!$A:$C), )</f>
        <v/>
      </c>
      <c r="C6159" s="37"/>
      <c r="D6159" s="37"/>
      <c r="E6159" s="38" t="s">
        <v>7314</v>
      </c>
      <c r="F6159" s="38" t="s">
        <v>7306</v>
      </c>
      <c r="G6159" s="38">
        <v>3.61724666876E11</v>
      </c>
      <c r="H6159" s="38" t="s">
        <v>7307</v>
      </c>
      <c r="I6159" s="38" t="s">
        <v>7308</v>
      </c>
      <c r="J6159" s="38" t="s">
        <v>136</v>
      </c>
      <c r="K6159" s="38" t="s">
        <v>126</v>
      </c>
      <c r="L6159" s="41">
        <v>46008.666666666664</v>
      </c>
      <c r="M6159" s="38" t="s">
        <v>123</v>
      </c>
      <c r="N6159" s="41">
        <v>46008.833333333336</v>
      </c>
      <c r="O6159" s="38" t="s">
        <v>123</v>
      </c>
      <c r="P6159" s="38">
        <v>14400.0</v>
      </c>
      <c r="Q6159" s="39"/>
      <c r="R6159" s="39"/>
      <c r="S6159" s="38" t="s">
        <v>1098</v>
      </c>
      <c r="T6159" s="39"/>
      <c r="U6159" s="39"/>
    </row>
    <row r="6160">
      <c r="A6160" s="40">
        <f t="shared" si="1"/>
        <v>46006</v>
      </c>
      <c r="B6160" s="37" t="str">
        <f t="array" ref="B6160">iferror(xlookup($I6160, 'IMPORT VHC Report'!$E:$E, 'IMPORT VHC Report'!$A:$C), )</f>
        <v/>
      </c>
      <c r="C6160" s="37"/>
      <c r="D6160" s="37"/>
      <c r="E6160" s="38" t="s">
        <v>7315</v>
      </c>
      <c r="F6160" s="38" t="s">
        <v>7306</v>
      </c>
      <c r="G6160" s="38">
        <v>3.61724666876E11</v>
      </c>
      <c r="H6160" s="38" t="s">
        <v>7307</v>
      </c>
      <c r="I6160" s="38" t="s">
        <v>7308</v>
      </c>
      <c r="J6160" s="38" t="s">
        <v>332</v>
      </c>
      <c r="K6160" s="38" t="s">
        <v>63</v>
      </c>
      <c r="L6160" s="41">
        <v>46008.666666666664</v>
      </c>
      <c r="M6160" s="38" t="s">
        <v>123</v>
      </c>
      <c r="N6160" s="41">
        <v>46009.041666666664</v>
      </c>
      <c r="O6160" s="38" t="s">
        <v>123</v>
      </c>
      <c r="P6160" s="38">
        <v>32400.0</v>
      </c>
      <c r="Q6160" s="39"/>
      <c r="R6160" s="39"/>
      <c r="S6160" s="39"/>
      <c r="T6160" s="39"/>
      <c r="U6160" s="39"/>
    </row>
    <row r="6161">
      <c r="A6161" s="40">
        <f t="shared" si="1"/>
        <v>46006</v>
      </c>
      <c r="B6161" s="37" t="str">
        <f t="array" ref="B6161">iferror(xlookup($I6161, 'IMPORT VHC Report'!$E:$E, 'IMPORT VHC Report'!$A:$C), )</f>
        <v/>
      </c>
      <c r="C6161" s="37"/>
      <c r="D6161" s="37"/>
      <c r="E6161" s="38" t="s">
        <v>7316</v>
      </c>
      <c r="F6161" s="38" t="s">
        <v>7306</v>
      </c>
      <c r="G6161" s="38">
        <v>3.61724666876E11</v>
      </c>
      <c r="H6161" s="38" t="s">
        <v>7307</v>
      </c>
      <c r="I6161" s="38" t="s">
        <v>7308</v>
      </c>
      <c r="J6161" s="38" t="s">
        <v>134</v>
      </c>
      <c r="K6161" s="38" t="s">
        <v>126</v>
      </c>
      <c r="L6161" s="41">
        <v>46008.979166666664</v>
      </c>
      <c r="M6161" s="38" t="s">
        <v>123</v>
      </c>
      <c r="N6161" s="41">
        <v>46009.0</v>
      </c>
      <c r="O6161" s="38" t="s">
        <v>123</v>
      </c>
      <c r="P6161" s="38">
        <v>1800.0</v>
      </c>
      <c r="Q6161" s="39"/>
      <c r="R6161" s="39"/>
      <c r="S6161" s="39"/>
      <c r="T6161" s="39"/>
      <c r="U6161" s="39"/>
    </row>
    <row r="6162">
      <c r="A6162" s="40">
        <f t="shared" si="1"/>
        <v>46006</v>
      </c>
      <c r="B6162" s="37" t="str">
        <f t="array" ref="B6162">iferror(xlookup($I6162, 'IMPORT VHC Report'!$E:$E, 'IMPORT VHC Report'!$A:$C), )</f>
        <v/>
      </c>
      <c r="C6162" s="37"/>
      <c r="D6162" s="37"/>
      <c r="E6162" s="38" t="s">
        <v>7317</v>
      </c>
      <c r="F6162" s="38" t="s">
        <v>7306</v>
      </c>
      <c r="G6162" s="38">
        <v>3.61724666876E11</v>
      </c>
      <c r="H6162" s="38" t="s">
        <v>7307</v>
      </c>
      <c r="I6162" s="38" t="s">
        <v>7308</v>
      </c>
      <c r="J6162" s="38" t="s">
        <v>132</v>
      </c>
      <c r="K6162" s="38" t="s">
        <v>126</v>
      </c>
      <c r="L6162" s="41">
        <v>46009.0</v>
      </c>
      <c r="M6162" s="38" t="s">
        <v>123</v>
      </c>
      <c r="N6162" s="41">
        <v>46009.041666666664</v>
      </c>
      <c r="O6162" s="38" t="s">
        <v>123</v>
      </c>
      <c r="P6162" s="38">
        <v>3600.0</v>
      </c>
      <c r="Q6162" s="39"/>
      <c r="R6162" s="39"/>
      <c r="S6162" s="39"/>
      <c r="T6162" s="39"/>
      <c r="U6162" s="39"/>
    </row>
    <row r="6163">
      <c r="A6163" s="40">
        <f t="shared" si="1"/>
        <v>46006</v>
      </c>
      <c r="B6163" s="37" t="str">
        <f t="array" ref="B6163">iferror(xlookup($I6163, 'IMPORT VHC Report'!$E:$E, 'IMPORT VHC Report'!$A:$C), )</f>
        <v/>
      </c>
      <c r="C6163" s="37"/>
      <c r="D6163" s="37"/>
      <c r="E6163" s="38" t="s">
        <v>7318</v>
      </c>
      <c r="F6163" s="38" t="s">
        <v>7306</v>
      </c>
      <c r="G6163" s="38">
        <v>3.61724666876E11</v>
      </c>
      <c r="H6163" s="38" t="s">
        <v>7307</v>
      </c>
      <c r="I6163" s="38" t="s">
        <v>7308</v>
      </c>
      <c r="J6163" s="38" t="s">
        <v>332</v>
      </c>
      <c r="K6163" s="38" t="s">
        <v>63</v>
      </c>
      <c r="L6163" s="41">
        <v>46009.625</v>
      </c>
      <c r="M6163" s="38" t="s">
        <v>123</v>
      </c>
      <c r="N6163" s="41">
        <v>46010.0</v>
      </c>
      <c r="O6163" s="38" t="s">
        <v>123</v>
      </c>
      <c r="P6163" s="38">
        <v>32400.0</v>
      </c>
      <c r="Q6163" s="39"/>
      <c r="R6163" s="39"/>
      <c r="S6163" s="39"/>
      <c r="T6163" s="39"/>
      <c r="U6163" s="39"/>
    </row>
    <row r="6164">
      <c r="A6164" s="40">
        <f t="shared" si="1"/>
        <v>46006</v>
      </c>
      <c r="B6164" s="37" t="str">
        <f t="array" ref="B6164">iferror(xlookup($I6164, 'IMPORT VHC Report'!$E:$E, 'IMPORT VHC Report'!$A:$C), )</f>
        <v/>
      </c>
      <c r="C6164" s="37"/>
      <c r="D6164" s="37"/>
      <c r="E6164" s="38" t="s">
        <v>7319</v>
      </c>
      <c r="F6164" s="38" t="s">
        <v>7306</v>
      </c>
      <c r="G6164" s="38">
        <v>3.61724666876E11</v>
      </c>
      <c r="H6164" s="38" t="s">
        <v>7307</v>
      </c>
      <c r="I6164" s="38" t="s">
        <v>7308</v>
      </c>
      <c r="J6164" s="38" t="s">
        <v>134</v>
      </c>
      <c r="K6164" s="38" t="s">
        <v>126</v>
      </c>
      <c r="L6164" s="41">
        <v>46009.9375</v>
      </c>
      <c r="M6164" s="38" t="s">
        <v>123</v>
      </c>
      <c r="N6164" s="41">
        <v>46009.958333333336</v>
      </c>
      <c r="O6164" s="38" t="s">
        <v>123</v>
      </c>
      <c r="P6164" s="38">
        <v>1800.0</v>
      </c>
      <c r="Q6164" s="39"/>
      <c r="R6164" s="39"/>
      <c r="S6164" s="39"/>
      <c r="T6164" s="39"/>
      <c r="U6164" s="39"/>
    </row>
    <row r="6165">
      <c r="A6165" s="40">
        <f t="shared" si="1"/>
        <v>46006</v>
      </c>
      <c r="B6165" s="37" t="str">
        <f t="array" ref="B6165">iferror(xlookup($I6165, 'IMPORT VHC Report'!$E:$E, 'IMPORT VHC Report'!$A:$C), )</f>
        <v/>
      </c>
      <c r="C6165" s="37"/>
      <c r="D6165" s="37"/>
      <c r="E6165" s="38" t="s">
        <v>7320</v>
      </c>
      <c r="F6165" s="38" t="s">
        <v>7306</v>
      </c>
      <c r="G6165" s="38">
        <v>3.61724666876E11</v>
      </c>
      <c r="H6165" s="38" t="s">
        <v>7307</v>
      </c>
      <c r="I6165" s="38" t="s">
        <v>7308</v>
      </c>
      <c r="J6165" s="38" t="s">
        <v>132</v>
      </c>
      <c r="K6165" s="38" t="s">
        <v>126</v>
      </c>
      <c r="L6165" s="41">
        <v>46009.958333333336</v>
      </c>
      <c r="M6165" s="38" t="s">
        <v>123</v>
      </c>
      <c r="N6165" s="41">
        <v>46010.0</v>
      </c>
      <c r="O6165" s="38" t="s">
        <v>123</v>
      </c>
      <c r="P6165" s="38">
        <v>3600.0</v>
      </c>
      <c r="Q6165" s="39"/>
      <c r="R6165" s="39"/>
      <c r="S6165" s="39"/>
      <c r="T6165" s="39"/>
      <c r="U6165" s="39"/>
    </row>
    <row r="6166">
      <c r="A6166" s="40">
        <f t="shared" si="1"/>
        <v>46006</v>
      </c>
      <c r="B6166" s="37" t="str">
        <f t="array" ref="B6166">iferror(xlookup($I6166, 'IMPORT VHC Report'!$E:$E, 'IMPORT VHC Report'!$A:$C), )</f>
        <v/>
      </c>
      <c r="C6166" s="37"/>
      <c r="D6166" s="37"/>
      <c r="E6166" s="38" t="s">
        <v>7321</v>
      </c>
      <c r="F6166" s="38" t="s">
        <v>7306</v>
      </c>
      <c r="G6166" s="38">
        <v>3.61724666876E11</v>
      </c>
      <c r="H6166" s="38" t="s">
        <v>7307</v>
      </c>
      <c r="I6166" s="38" t="s">
        <v>7308</v>
      </c>
      <c r="J6166" s="38" t="s">
        <v>332</v>
      </c>
      <c r="K6166" s="38" t="s">
        <v>63</v>
      </c>
      <c r="L6166" s="41">
        <v>46010.625</v>
      </c>
      <c r="M6166" s="38" t="s">
        <v>123</v>
      </c>
      <c r="N6166" s="41">
        <v>46011.0</v>
      </c>
      <c r="O6166" s="38" t="s">
        <v>123</v>
      </c>
      <c r="P6166" s="38">
        <v>32400.0</v>
      </c>
      <c r="Q6166" s="39"/>
      <c r="R6166" s="39"/>
      <c r="S6166" s="39"/>
      <c r="T6166" s="39"/>
      <c r="U6166" s="39"/>
    </row>
    <row r="6167">
      <c r="A6167" s="40">
        <f t="shared" si="1"/>
        <v>46006</v>
      </c>
      <c r="B6167" s="37" t="str">
        <f t="array" ref="B6167">iferror(xlookup($I6167, 'IMPORT VHC Report'!$E:$E, 'IMPORT VHC Report'!$A:$C), )</f>
        <v/>
      </c>
      <c r="C6167" s="37"/>
      <c r="D6167" s="37"/>
      <c r="E6167" s="38" t="s">
        <v>7322</v>
      </c>
      <c r="F6167" s="38" t="s">
        <v>7306</v>
      </c>
      <c r="G6167" s="38">
        <v>3.61724666876E11</v>
      </c>
      <c r="H6167" s="38" t="s">
        <v>7307</v>
      </c>
      <c r="I6167" s="38" t="s">
        <v>7308</v>
      </c>
      <c r="J6167" s="38" t="s">
        <v>134</v>
      </c>
      <c r="K6167" s="38" t="s">
        <v>126</v>
      </c>
      <c r="L6167" s="41">
        <v>46010.9375</v>
      </c>
      <c r="M6167" s="38" t="s">
        <v>123</v>
      </c>
      <c r="N6167" s="41">
        <v>46010.958333333336</v>
      </c>
      <c r="O6167" s="38" t="s">
        <v>123</v>
      </c>
      <c r="P6167" s="38">
        <v>1800.0</v>
      </c>
      <c r="Q6167" s="39"/>
      <c r="R6167" s="39"/>
      <c r="S6167" s="39"/>
      <c r="T6167" s="39"/>
      <c r="U6167" s="39"/>
    </row>
    <row r="6168">
      <c r="A6168" s="40">
        <f t="shared" si="1"/>
        <v>46006</v>
      </c>
      <c r="B6168" s="37" t="str">
        <f t="array" ref="B6168">iferror(xlookup($I6168, 'IMPORT VHC Report'!$E:$E, 'IMPORT VHC Report'!$A:$C), )</f>
        <v/>
      </c>
      <c r="C6168" s="37"/>
      <c r="D6168" s="37"/>
      <c r="E6168" s="38" t="s">
        <v>7323</v>
      </c>
      <c r="F6168" s="38" t="s">
        <v>7306</v>
      </c>
      <c r="G6168" s="38">
        <v>3.61724666876E11</v>
      </c>
      <c r="H6168" s="38" t="s">
        <v>7307</v>
      </c>
      <c r="I6168" s="38" t="s">
        <v>7308</v>
      </c>
      <c r="J6168" s="38" t="s">
        <v>132</v>
      </c>
      <c r="K6168" s="38" t="s">
        <v>126</v>
      </c>
      <c r="L6168" s="41">
        <v>46010.958333333336</v>
      </c>
      <c r="M6168" s="38" t="s">
        <v>123</v>
      </c>
      <c r="N6168" s="41">
        <v>46011.0</v>
      </c>
      <c r="O6168" s="38" t="s">
        <v>123</v>
      </c>
      <c r="P6168" s="38">
        <v>3600.0</v>
      </c>
      <c r="Q6168" s="39"/>
      <c r="R6168" s="39"/>
      <c r="S6168" s="39"/>
      <c r="T6168" s="39"/>
      <c r="U6168" s="39"/>
    </row>
    <row r="6169">
      <c r="A6169" s="40">
        <f t="shared" si="1"/>
        <v>46006</v>
      </c>
      <c r="B6169" s="37" t="str">
        <f t="array" ref="B6169">iferror(xlookup($I6169, 'IMPORT VHC Report'!$E:$E, 'IMPORT VHC Report'!$A:$C), )</f>
        <v/>
      </c>
      <c r="C6169" s="37"/>
      <c r="D6169" s="37"/>
      <c r="E6169" s="38" t="s">
        <v>7324</v>
      </c>
      <c r="F6169" s="38" t="s">
        <v>7306</v>
      </c>
      <c r="G6169" s="38">
        <v>3.61724666876E11</v>
      </c>
      <c r="H6169" s="38" t="s">
        <v>7307</v>
      </c>
      <c r="I6169" s="38" t="s">
        <v>7308</v>
      </c>
      <c r="J6169" s="38" t="s">
        <v>332</v>
      </c>
      <c r="K6169" s="38" t="s">
        <v>63</v>
      </c>
      <c r="L6169" s="41">
        <v>46011.625</v>
      </c>
      <c r="M6169" s="38" t="s">
        <v>123</v>
      </c>
      <c r="N6169" s="41">
        <v>46012.0</v>
      </c>
      <c r="O6169" s="38" t="s">
        <v>123</v>
      </c>
      <c r="P6169" s="38">
        <v>32400.0</v>
      </c>
      <c r="Q6169" s="39"/>
      <c r="R6169" s="39"/>
      <c r="S6169" s="39"/>
      <c r="T6169" s="39"/>
      <c r="U6169" s="39"/>
    </row>
    <row r="6170">
      <c r="A6170" s="40">
        <f t="shared" si="1"/>
        <v>46006</v>
      </c>
      <c r="B6170" s="37" t="str">
        <f t="array" ref="B6170">iferror(xlookup($I6170, 'IMPORT VHC Report'!$E:$E, 'IMPORT VHC Report'!$A:$C), )</f>
        <v/>
      </c>
      <c r="C6170" s="37"/>
      <c r="D6170" s="37"/>
      <c r="E6170" s="38" t="s">
        <v>7325</v>
      </c>
      <c r="F6170" s="38" t="s">
        <v>7306</v>
      </c>
      <c r="G6170" s="38">
        <v>3.61724666876E11</v>
      </c>
      <c r="H6170" s="38" t="s">
        <v>7307</v>
      </c>
      <c r="I6170" s="38" t="s">
        <v>7308</v>
      </c>
      <c r="J6170" s="38" t="s">
        <v>134</v>
      </c>
      <c r="K6170" s="38" t="s">
        <v>126</v>
      </c>
      <c r="L6170" s="41">
        <v>46011.9375</v>
      </c>
      <c r="M6170" s="38" t="s">
        <v>123</v>
      </c>
      <c r="N6170" s="41">
        <v>46011.958333333336</v>
      </c>
      <c r="O6170" s="38" t="s">
        <v>123</v>
      </c>
      <c r="P6170" s="38">
        <v>1800.0</v>
      </c>
      <c r="Q6170" s="39"/>
      <c r="R6170" s="39"/>
      <c r="S6170" s="39"/>
      <c r="T6170" s="39"/>
      <c r="U6170" s="39"/>
    </row>
    <row r="6171">
      <c r="A6171" s="40">
        <f t="shared" si="1"/>
        <v>46006</v>
      </c>
      <c r="B6171" s="37" t="str">
        <f t="array" ref="B6171">iferror(xlookup($I6171, 'IMPORT VHC Report'!$E:$E, 'IMPORT VHC Report'!$A:$C), )</f>
        <v/>
      </c>
      <c r="C6171" s="37"/>
      <c r="D6171" s="37"/>
      <c r="E6171" s="38" t="s">
        <v>7326</v>
      </c>
      <c r="F6171" s="38" t="s">
        <v>7306</v>
      </c>
      <c r="G6171" s="38">
        <v>3.61724666876E11</v>
      </c>
      <c r="H6171" s="38" t="s">
        <v>7307</v>
      </c>
      <c r="I6171" s="38" t="s">
        <v>7308</v>
      </c>
      <c r="J6171" s="38" t="s">
        <v>132</v>
      </c>
      <c r="K6171" s="38" t="s">
        <v>126</v>
      </c>
      <c r="L6171" s="41">
        <v>46011.958333333336</v>
      </c>
      <c r="M6171" s="38" t="s">
        <v>123</v>
      </c>
      <c r="N6171" s="41">
        <v>46012.0</v>
      </c>
      <c r="O6171" s="38" t="s">
        <v>123</v>
      </c>
      <c r="P6171" s="38">
        <v>3600.0</v>
      </c>
      <c r="Q6171" s="39"/>
      <c r="R6171" s="39"/>
      <c r="S6171" s="39"/>
      <c r="T6171" s="39"/>
      <c r="U6171" s="39"/>
    </row>
    <row r="6172">
      <c r="A6172" s="40">
        <f t="shared" si="1"/>
        <v>46006</v>
      </c>
      <c r="B6172" s="37" t="str">
        <f t="array" ref="B6172">iferror(xlookup($I6172, 'IMPORT VHC Report'!$E:$E, 'IMPORT VHC Report'!$A:$C), )</f>
        <v/>
      </c>
      <c r="C6172" s="37"/>
      <c r="D6172" s="37"/>
      <c r="E6172" s="38" t="s">
        <v>7327</v>
      </c>
      <c r="F6172" s="38" t="s">
        <v>7328</v>
      </c>
      <c r="G6172" s="38">
        <v>3.61731944975E11</v>
      </c>
      <c r="H6172" s="38" t="s">
        <v>7329</v>
      </c>
      <c r="I6172" s="38" t="s">
        <v>7330</v>
      </c>
      <c r="J6172" s="38" t="s">
        <v>368</v>
      </c>
      <c r="K6172" s="38" t="s">
        <v>63</v>
      </c>
      <c r="L6172" s="41">
        <v>46007.666666666664</v>
      </c>
      <c r="M6172" s="38" t="s">
        <v>123</v>
      </c>
      <c r="N6172" s="41">
        <v>46008.041666666664</v>
      </c>
      <c r="O6172" s="38" t="s">
        <v>123</v>
      </c>
      <c r="P6172" s="38">
        <v>32400.0</v>
      </c>
      <c r="Q6172" s="39"/>
      <c r="R6172" s="39"/>
      <c r="S6172" s="39"/>
      <c r="T6172" s="39"/>
      <c r="U6172" s="39"/>
    </row>
    <row r="6173">
      <c r="A6173" s="40">
        <f t="shared" si="1"/>
        <v>46006</v>
      </c>
      <c r="B6173" s="37" t="str">
        <f t="array" ref="B6173">iferror(xlookup($I6173, 'IMPORT VHC Report'!$E:$E, 'IMPORT VHC Report'!$A:$C), )</f>
        <v/>
      </c>
      <c r="C6173" s="37"/>
      <c r="D6173" s="37"/>
      <c r="E6173" s="38" t="s">
        <v>7331</v>
      </c>
      <c r="F6173" s="38" t="s">
        <v>7328</v>
      </c>
      <c r="G6173" s="38">
        <v>3.61731944975E11</v>
      </c>
      <c r="H6173" s="38" t="s">
        <v>7329</v>
      </c>
      <c r="I6173" s="38" t="s">
        <v>7330</v>
      </c>
      <c r="J6173" s="38" t="s">
        <v>132</v>
      </c>
      <c r="K6173" s="38" t="s">
        <v>126</v>
      </c>
      <c r="L6173" s="41">
        <v>46007.78125</v>
      </c>
      <c r="M6173" s="38" t="s">
        <v>123</v>
      </c>
      <c r="N6173" s="41">
        <v>46007.822916666664</v>
      </c>
      <c r="O6173" s="38" t="s">
        <v>123</v>
      </c>
      <c r="P6173" s="38">
        <v>3600.0</v>
      </c>
      <c r="Q6173" s="39"/>
      <c r="R6173" s="39"/>
      <c r="S6173" s="39"/>
      <c r="T6173" s="39"/>
      <c r="U6173" s="39"/>
    </row>
    <row r="6174">
      <c r="A6174" s="40">
        <f t="shared" si="1"/>
        <v>46006</v>
      </c>
      <c r="B6174" s="37" t="str">
        <f t="array" ref="B6174">iferror(xlookup($I6174, 'IMPORT VHC Report'!$E:$E, 'IMPORT VHC Report'!$A:$C), )</f>
        <v/>
      </c>
      <c r="C6174" s="37"/>
      <c r="D6174" s="37"/>
      <c r="E6174" s="38" t="s">
        <v>7332</v>
      </c>
      <c r="F6174" s="38" t="s">
        <v>7328</v>
      </c>
      <c r="G6174" s="38">
        <v>3.61731944975E11</v>
      </c>
      <c r="H6174" s="38" t="s">
        <v>7329</v>
      </c>
      <c r="I6174" s="38" t="s">
        <v>7330</v>
      </c>
      <c r="J6174" s="38" t="s">
        <v>4</v>
      </c>
      <c r="K6174" s="38" t="s">
        <v>126</v>
      </c>
      <c r="L6174" s="41">
        <v>46007.875</v>
      </c>
      <c r="M6174" s="38" t="s">
        <v>123</v>
      </c>
      <c r="N6174" s="41">
        <v>46007.9375</v>
      </c>
      <c r="O6174" s="38" t="s">
        <v>123</v>
      </c>
      <c r="P6174" s="38">
        <v>5400.0</v>
      </c>
      <c r="Q6174" s="39"/>
      <c r="R6174" s="39"/>
      <c r="S6174" s="38" t="s">
        <v>458</v>
      </c>
      <c r="T6174" s="39"/>
      <c r="U6174" s="39"/>
    </row>
    <row r="6175">
      <c r="A6175" s="40">
        <f t="shared" si="1"/>
        <v>46006</v>
      </c>
      <c r="B6175" s="37" t="str">
        <f t="array" ref="B6175">iferror(xlookup($I6175, 'IMPORT VHC Report'!$E:$E, 'IMPORT VHC Report'!$A:$C), )</f>
        <v/>
      </c>
      <c r="C6175" s="37"/>
      <c r="D6175" s="37"/>
      <c r="E6175" s="38" t="s">
        <v>7333</v>
      </c>
      <c r="F6175" s="38" t="s">
        <v>7328</v>
      </c>
      <c r="G6175" s="38">
        <v>3.61731944975E11</v>
      </c>
      <c r="H6175" s="38" t="s">
        <v>7329</v>
      </c>
      <c r="I6175" s="38" t="s">
        <v>7330</v>
      </c>
      <c r="J6175" s="38" t="s">
        <v>134</v>
      </c>
      <c r="K6175" s="38" t="s">
        <v>126</v>
      </c>
      <c r="L6175" s="41">
        <v>46008.020833333336</v>
      </c>
      <c r="M6175" s="38" t="s">
        <v>123</v>
      </c>
      <c r="N6175" s="41">
        <v>46008.041666666664</v>
      </c>
      <c r="O6175" s="38" t="s">
        <v>123</v>
      </c>
      <c r="P6175" s="38">
        <v>1800.0</v>
      </c>
      <c r="Q6175" s="39"/>
      <c r="R6175" s="39"/>
      <c r="S6175" s="39"/>
      <c r="T6175" s="39"/>
      <c r="U6175" s="39"/>
    </row>
    <row r="6176">
      <c r="A6176" s="40">
        <f t="shared" si="1"/>
        <v>46006</v>
      </c>
      <c r="B6176" s="37" t="str">
        <f t="array" ref="B6176">iferror(xlookup($I6176, 'IMPORT VHC Report'!$E:$E, 'IMPORT VHC Report'!$A:$C), )</f>
        <v/>
      </c>
      <c r="C6176" s="37"/>
      <c r="D6176" s="37"/>
      <c r="E6176" s="38" t="s">
        <v>7334</v>
      </c>
      <c r="F6176" s="38" t="s">
        <v>7328</v>
      </c>
      <c r="G6176" s="38">
        <v>3.61731944975E11</v>
      </c>
      <c r="H6176" s="38" t="s">
        <v>7329</v>
      </c>
      <c r="I6176" s="38" t="s">
        <v>7330</v>
      </c>
      <c r="J6176" s="38" t="s">
        <v>368</v>
      </c>
      <c r="K6176" s="38" t="s">
        <v>63</v>
      </c>
      <c r="L6176" s="41">
        <v>46008.666666666664</v>
      </c>
      <c r="M6176" s="38" t="s">
        <v>123</v>
      </c>
      <c r="N6176" s="41">
        <v>46009.041666666664</v>
      </c>
      <c r="O6176" s="38" t="s">
        <v>123</v>
      </c>
      <c r="P6176" s="38">
        <v>32400.0</v>
      </c>
      <c r="Q6176" s="39"/>
      <c r="R6176" s="39"/>
      <c r="S6176" s="39"/>
      <c r="T6176" s="39"/>
      <c r="U6176" s="39"/>
    </row>
    <row r="6177">
      <c r="A6177" s="40">
        <f t="shared" si="1"/>
        <v>46006</v>
      </c>
      <c r="B6177" s="37" t="str">
        <f t="array" ref="B6177">iferror(xlookup($I6177, 'IMPORT VHC Report'!$E:$E, 'IMPORT VHC Report'!$A:$C), )</f>
        <v/>
      </c>
      <c r="C6177" s="37"/>
      <c r="D6177" s="37"/>
      <c r="E6177" s="38" t="s">
        <v>7335</v>
      </c>
      <c r="F6177" s="38" t="s">
        <v>7328</v>
      </c>
      <c r="G6177" s="38">
        <v>3.61731944975E11</v>
      </c>
      <c r="H6177" s="38" t="s">
        <v>7329</v>
      </c>
      <c r="I6177" s="38" t="s">
        <v>7330</v>
      </c>
      <c r="J6177" s="38" t="s">
        <v>134</v>
      </c>
      <c r="K6177" s="38" t="s">
        <v>126</v>
      </c>
      <c r="L6177" s="41">
        <v>46008.739583333336</v>
      </c>
      <c r="M6177" s="38" t="s">
        <v>123</v>
      </c>
      <c r="N6177" s="41">
        <v>46008.760416666664</v>
      </c>
      <c r="O6177" s="38" t="s">
        <v>123</v>
      </c>
      <c r="P6177" s="38">
        <v>1800.0</v>
      </c>
      <c r="Q6177" s="39"/>
      <c r="R6177" s="39"/>
      <c r="S6177" s="39"/>
      <c r="T6177" s="39"/>
      <c r="U6177" s="39"/>
    </row>
    <row r="6178">
      <c r="A6178" s="40">
        <f t="shared" si="1"/>
        <v>46006</v>
      </c>
      <c r="B6178" s="37" t="str">
        <f t="array" ref="B6178">iferror(xlookup($I6178, 'IMPORT VHC Report'!$E:$E, 'IMPORT VHC Report'!$A:$C), )</f>
        <v/>
      </c>
      <c r="C6178" s="37"/>
      <c r="D6178" s="37"/>
      <c r="E6178" s="38" t="s">
        <v>7336</v>
      </c>
      <c r="F6178" s="38" t="s">
        <v>7328</v>
      </c>
      <c r="G6178" s="38">
        <v>3.61731944975E11</v>
      </c>
      <c r="H6178" s="38" t="s">
        <v>7329</v>
      </c>
      <c r="I6178" s="38" t="s">
        <v>7330</v>
      </c>
      <c r="J6178" s="38" t="s">
        <v>132</v>
      </c>
      <c r="K6178" s="38" t="s">
        <v>126</v>
      </c>
      <c r="L6178" s="41">
        <v>46008.927083333336</v>
      </c>
      <c r="M6178" s="38" t="s">
        <v>123</v>
      </c>
      <c r="N6178" s="41">
        <v>46008.96875</v>
      </c>
      <c r="O6178" s="38" t="s">
        <v>123</v>
      </c>
      <c r="P6178" s="38">
        <v>3600.0</v>
      </c>
      <c r="Q6178" s="39"/>
      <c r="R6178" s="39"/>
      <c r="S6178" s="39"/>
      <c r="T6178" s="39"/>
      <c r="U6178" s="39"/>
    </row>
    <row r="6179">
      <c r="A6179" s="40">
        <f t="shared" si="1"/>
        <v>46006</v>
      </c>
      <c r="B6179" s="37" t="str">
        <f t="array" ref="B6179">iferror(xlookup($I6179, 'IMPORT VHC Report'!$E:$E, 'IMPORT VHC Report'!$A:$C), )</f>
        <v/>
      </c>
      <c r="C6179" s="37"/>
      <c r="D6179" s="37"/>
      <c r="E6179" s="38" t="s">
        <v>7337</v>
      </c>
      <c r="F6179" s="38" t="s">
        <v>7328</v>
      </c>
      <c r="G6179" s="38">
        <v>3.61731944975E11</v>
      </c>
      <c r="H6179" s="38" t="s">
        <v>7329</v>
      </c>
      <c r="I6179" s="38" t="s">
        <v>7330</v>
      </c>
      <c r="J6179" s="38" t="s">
        <v>4</v>
      </c>
      <c r="K6179" s="38" t="s">
        <v>126</v>
      </c>
      <c r="L6179" s="41">
        <v>46009.666666666664</v>
      </c>
      <c r="M6179" s="38" t="s">
        <v>123</v>
      </c>
      <c r="N6179" s="41">
        <v>46009.8125</v>
      </c>
      <c r="O6179" s="38" t="s">
        <v>123</v>
      </c>
      <c r="P6179" s="38">
        <v>12600.0</v>
      </c>
      <c r="Q6179" s="39"/>
      <c r="R6179" s="39"/>
      <c r="S6179" s="38" t="s">
        <v>7338</v>
      </c>
      <c r="T6179" s="39"/>
      <c r="U6179" s="39"/>
    </row>
    <row r="6180">
      <c r="A6180" s="40">
        <f t="shared" si="1"/>
        <v>46006</v>
      </c>
      <c r="B6180" s="37" t="str">
        <f t="array" ref="B6180">iferror(xlookup($I6180, 'IMPORT VHC Report'!$E:$E, 'IMPORT VHC Report'!$A:$C), )</f>
        <v/>
      </c>
      <c r="C6180" s="37"/>
      <c r="D6180" s="37"/>
      <c r="E6180" s="38" t="s">
        <v>7339</v>
      </c>
      <c r="F6180" s="38" t="s">
        <v>7328</v>
      </c>
      <c r="G6180" s="38">
        <v>3.61731944975E11</v>
      </c>
      <c r="H6180" s="38" t="s">
        <v>7329</v>
      </c>
      <c r="I6180" s="38" t="s">
        <v>7330</v>
      </c>
      <c r="J6180" s="38" t="s">
        <v>368</v>
      </c>
      <c r="K6180" s="38" t="s">
        <v>63</v>
      </c>
      <c r="L6180" s="41">
        <v>46009.666666666664</v>
      </c>
      <c r="M6180" s="38" t="s">
        <v>123</v>
      </c>
      <c r="N6180" s="41">
        <v>46010.041666666664</v>
      </c>
      <c r="O6180" s="38" t="s">
        <v>123</v>
      </c>
      <c r="P6180" s="38">
        <v>32400.0</v>
      </c>
      <c r="Q6180" s="39"/>
      <c r="R6180" s="39"/>
      <c r="S6180" s="39"/>
      <c r="T6180" s="39"/>
      <c r="U6180" s="39"/>
    </row>
    <row r="6181">
      <c r="A6181" s="40">
        <f t="shared" si="1"/>
        <v>46006</v>
      </c>
      <c r="B6181" s="37" t="str">
        <f t="array" ref="B6181">iferror(xlookup($I6181, 'IMPORT VHC Report'!$E:$E, 'IMPORT VHC Report'!$A:$C), )</f>
        <v/>
      </c>
      <c r="C6181" s="37"/>
      <c r="D6181" s="37"/>
      <c r="E6181" s="38" t="s">
        <v>7340</v>
      </c>
      <c r="F6181" s="38" t="s">
        <v>7328</v>
      </c>
      <c r="G6181" s="38">
        <v>3.61731944975E11</v>
      </c>
      <c r="H6181" s="38" t="s">
        <v>7329</v>
      </c>
      <c r="I6181" s="38" t="s">
        <v>7330</v>
      </c>
      <c r="J6181" s="38" t="s">
        <v>134</v>
      </c>
      <c r="K6181" s="38" t="s">
        <v>126</v>
      </c>
      <c r="L6181" s="41">
        <v>46009.854166666664</v>
      </c>
      <c r="M6181" s="38" t="s">
        <v>123</v>
      </c>
      <c r="N6181" s="41">
        <v>46009.875</v>
      </c>
      <c r="O6181" s="38" t="s">
        <v>123</v>
      </c>
      <c r="P6181" s="38">
        <v>1800.0</v>
      </c>
      <c r="Q6181" s="39"/>
      <c r="R6181" s="39"/>
      <c r="S6181" s="39"/>
      <c r="T6181" s="39"/>
      <c r="U6181" s="39"/>
    </row>
    <row r="6182">
      <c r="A6182" s="40">
        <f t="shared" si="1"/>
        <v>46006</v>
      </c>
      <c r="B6182" s="37" t="str">
        <f t="array" ref="B6182">iferror(xlookup($I6182, 'IMPORT VHC Report'!$E:$E, 'IMPORT VHC Report'!$A:$C), )</f>
        <v/>
      </c>
      <c r="C6182" s="37"/>
      <c r="D6182" s="37"/>
      <c r="E6182" s="38" t="s">
        <v>7341</v>
      </c>
      <c r="F6182" s="38" t="s">
        <v>7328</v>
      </c>
      <c r="G6182" s="38">
        <v>3.61731944975E11</v>
      </c>
      <c r="H6182" s="38" t="s">
        <v>7329</v>
      </c>
      <c r="I6182" s="38" t="s">
        <v>7330</v>
      </c>
      <c r="J6182" s="38" t="s">
        <v>132</v>
      </c>
      <c r="K6182" s="38" t="s">
        <v>126</v>
      </c>
      <c r="L6182" s="41">
        <v>46009.958333333336</v>
      </c>
      <c r="M6182" s="38" t="s">
        <v>123</v>
      </c>
      <c r="N6182" s="41">
        <v>46010.0</v>
      </c>
      <c r="O6182" s="38" t="s">
        <v>123</v>
      </c>
      <c r="P6182" s="38">
        <v>3600.0</v>
      </c>
      <c r="Q6182" s="39"/>
      <c r="R6182" s="39"/>
      <c r="S6182" s="39"/>
      <c r="T6182" s="39"/>
      <c r="U6182" s="39"/>
    </row>
    <row r="6183">
      <c r="A6183" s="40">
        <f t="shared" si="1"/>
        <v>46006</v>
      </c>
      <c r="B6183" s="37" t="str">
        <f t="array" ref="B6183">iferror(xlookup($I6183, 'IMPORT VHC Report'!$E:$E, 'IMPORT VHC Report'!$A:$C), )</f>
        <v/>
      </c>
      <c r="C6183" s="37"/>
      <c r="D6183" s="37"/>
      <c r="E6183" s="38" t="s">
        <v>7342</v>
      </c>
      <c r="F6183" s="38" t="s">
        <v>7328</v>
      </c>
      <c r="G6183" s="38">
        <v>3.61731944975E11</v>
      </c>
      <c r="H6183" s="38" t="s">
        <v>7329</v>
      </c>
      <c r="I6183" s="38" t="s">
        <v>7330</v>
      </c>
      <c r="J6183" s="38" t="s">
        <v>4</v>
      </c>
      <c r="K6183" s="38" t="s">
        <v>126</v>
      </c>
      <c r="L6183" s="41">
        <v>46010.666666666664</v>
      </c>
      <c r="M6183" s="38" t="s">
        <v>123</v>
      </c>
      <c r="N6183" s="41">
        <v>46010.833333333336</v>
      </c>
      <c r="O6183" s="38" t="s">
        <v>123</v>
      </c>
      <c r="P6183" s="38">
        <v>14400.0</v>
      </c>
      <c r="Q6183" s="39"/>
      <c r="R6183" s="39"/>
      <c r="S6183" s="38" t="s">
        <v>7343</v>
      </c>
      <c r="T6183" s="39"/>
      <c r="U6183" s="39"/>
    </row>
    <row r="6184">
      <c r="A6184" s="40">
        <f t="shared" si="1"/>
        <v>46006</v>
      </c>
      <c r="B6184" s="37" t="str">
        <f t="array" ref="B6184">iferror(xlookup($I6184, 'IMPORT VHC Report'!$E:$E, 'IMPORT VHC Report'!$A:$C), )</f>
        <v/>
      </c>
      <c r="C6184" s="37"/>
      <c r="D6184" s="37"/>
      <c r="E6184" s="38" t="s">
        <v>7344</v>
      </c>
      <c r="F6184" s="38" t="s">
        <v>7328</v>
      </c>
      <c r="G6184" s="38">
        <v>3.61731944975E11</v>
      </c>
      <c r="H6184" s="38" t="s">
        <v>7329</v>
      </c>
      <c r="I6184" s="38" t="s">
        <v>7330</v>
      </c>
      <c r="J6184" s="38" t="s">
        <v>368</v>
      </c>
      <c r="K6184" s="38" t="s">
        <v>63</v>
      </c>
      <c r="L6184" s="41">
        <v>46010.666666666664</v>
      </c>
      <c r="M6184" s="38" t="s">
        <v>123</v>
      </c>
      <c r="N6184" s="41">
        <v>46011.041666666664</v>
      </c>
      <c r="O6184" s="38" t="s">
        <v>123</v>
      </c>
      <c r="P6184" s="38">
        <v>32400.0</v>
      </c>
      <c r="Q6184" s="39"/>
      <c r="R6184" s="39"/>
      <c r="S6184" s="39"/>
      <c r="T6184" s="39"/>
      <c r="U6184" s="39"/>
    </row>
    <row r="6185">
      <c r="A6185" s="40">
        <f t="shared" si="1"/>
        <v>46006</v>
      </c>
      <c r="B6185" s="37" t="str">
        <f t="array" ref="B6185">iferror(xlookup($I6185, 'IMPORT VHC Report'!$E:$E, 'IMPORT VHC Report'!$A:$C), )</f>
        <v/>
      </c>
      <c r="C6185" s="37"/>
      <c r="D6185" s="37"/>
      <c r="E6185" s="38" t="s">
        <v>7345</v>
      </c>
      <c r="F6185" s="38" t="s">
        <v>7328</v>
      </c>
      <c r="G6185" s="38">
        <v>3.61731944975E11</v>
      </c>
      <c r="H6185" s="38" t="s">
        <v>7329</v>
      </c>
      <c r="I6185" s="38" t="s">
        <v>7330</v>
      </c>
      <c r="J6185" s="38" t="s">
        <v>134</v>
      </c>
      <c r="K6185" s="38" t="s">
        <v>126</v>
      </c>
      <c r="L6185" s="41">
        <v>46010.833333333336</v>
      </c>
      <c r="M6185" s="38" t="s">
        <v>123</v>
      </c>
      <c r="N6185" s="41">
        <v>46010.854166666664</v>
      </c>
      <c r="O6185" s="38" t="s">
        <v>123</v>
      </c>
      <c r="P6185" s="38">
        <v>1800.0</v>
      </c>
      <c r="Q6185" s="39"/>
      <c r="R6185" s="39"/>
      <c r="S6185" s="39"/>
      <c r="T6185" s="39"/>
      <c r="U6185" s="39"/>
    </row>
    <row r="6186">
      <c r="A6186" s="40">
        <f t="shared" si="1"/>
        <v>46006</v>
      </c>
      <c r="B6186" s="37" t="str">
        <f t="array" ref="B6186">iferror(xlookup($I6186, 'IMPORT VHC Report'!$E:$E, 'IMPORT VHC Report'!$A:$C), )</f>
        <v/>
      </c>
      <c r="C6186" s="37"/>
      <c r="D6186" s="37"/>
      <c r="E6186" s="38" t="s">
        <v>7346</v>
      </c>
      <c r="F6186" s="38" t="s">
        <v>7328</v>
      </c>
      <c r="G6186" s="38">
        <v>3.61731944975E11</v>
      </c>
      <c r="H6186" s="38" t="s">
        <v>7329</v>
      </c>
      <c r="I6186" s="38" t="s">
        <v>7330</v>
      </c>
      <c r="J6186" s="38" t="s">
        <v>132</v>
      </c>
      <c r="K6186" s="38" t="s">
        <v>126</v>
      </c>
      <c r="L6186" s="41">
        <v>46010.958333333336</v>
      </c>
      <c r="M6186" s="38" t="s">
        <v>123</v>
      </c>
      <c r="N6186" s="41">
        <v>46011.0</v>
      </c>
      <c r="O6186" s="38" t="s">
        <v>123</v>
      </c>
      <c r="P6186" s="38">
        <v>3600.0</v>
      </c>
      <c r="Q6186" s="39"/>
      <c r="R6186" s="39"/>
      <c r="S6186" s="39"/>
      <c r="T6186" s="39"/>
      <c r="U6186" s="39"/>
    </row>
    <row r="6187">
      <c r="A6187" s="40">
        <f t="shared" si="1"/>
        <v>46006</v>
      </c>
      <c r="B6187" s="37" t="str">
        <f t="array" ref="B6187">iferror(xlookup($I6187, 'IMPORT VHC Report'!$E:$E, 'IMPORT VHC Report'!$A:$C), )</f>
        <v/>
      </c>
      <c r="C6187" s="37"/>
      <c r="D6187" s="37"/>
      <c r="E6187" s="38" t="s">
        <v>7347</v>
      </c>
      <c r="F6187" s="38" t="s">
        <v>7328</v>
      </c>
      <c r="G6187" s="38">
        <v>3.61731944975E11</v>
      </c>
      <c r="H6187" s="38" t="s">
        <v>7329</v>
      </c>
      <c r="I6187" s="38" t="s">
        <v>7330</v>
      </c>
      <c r="J6187" s="38" t="s">
        <v>368</v>
      </c>
      <c r="K6187" s="38" t="s">
        <v>63</v>
      </c>
      <c r="L6187" s="41">
        <v>46011.666666666664</v>
      </c>
      <c r="M6187" s="38" t="s">
        <v>123</v>
      </c>
      <c r="N6187" s="41">
        <v>46012.041666666664</v>
      </c>
      <c r="O6187" s="38" t="s">
        <v>123</v>
      </c>
      <c r="P6187" s="38">
        <v>32400.0</v>
      </c>
      <c r="Q6187" s="39"/>
      <c r="R6187" s="39"/>
      <c r="S6187" s="39"/>
      <c r="T6187" s="39"/>
      <c r="U6187" s="39"/>
    </row>
    <row r="6188">
      <c r="A6188" s="40">
        <f t="shared" si="1"/>
        <v>46006</v>
      </c>
      <c r="B6188" s="37" t="str">
        <f t="array" ref="B6188">iferror(xlookup($I6188, 'IMPORT VHC Report'!$E:$E, 'IMPORT VHC Report'!$A:$C), )</f>
        <v/>
      </c>
      <c r="C6188" s="37"/>
      <c r="D6188" s="37"/>
      <c r="E6188" s="38" t="s">
        <v>7348</v>
      </c>
      <c r="F6188" s="38" t="s">
        <v>7328</v>
      </c>
      <c r="G6188" s="38">
        <v>3.61731944975E11</v>
      </c>
      <c r="H6188" s="38" t="s">
        <v>7329</v>
      </c>
      <c r="I6188" s="38" t="s">
        <v>7330</v>
      </c>
      <c r="J6188" s="38" t="s">
        <v>134</v>
      </c>
      <c r="K6188" s="38" t="s">
        <v>126</v>
      </c>
      <c r="L6188" s="41">
        <v>46011.760416666664</v>
      </c>
      <c r="M6188" s="38" t="s">
        <v>123</v>
      </c>
      <c r="N6188" s="41">
        <v>46011.78125</v>
      </c>
      <c r="O6188" s="38" t="s">
        <v>123</v>
      </c>
      <c r="P6188" s="38">
        <v>1800.0</v>
      </c>
      <c r="Q6188" s="39"/>
      <c r="R6188" s="39"/>
      <c r="S6188" s="39"/>
      <c r="T6188" s="39"/>
      <c r="U6188" s="39"/>
    </row>
    <row r="6189">
      <c r="A6189" s="40">
        <f t="shared" si="1"/>
        <v>46006</v>
      </c>
      <c r="B6189" s="37" t="str">
        <f t="array" ref="B6189">iferror(xlookup($I6189, 'IMPORT VHC Report'!$E:$E, 'IMPORT VHC Report'!$A:$C), )</f>
        <v/>
      </c>
      <c r="C6189" s="37"/>
      <c r="D6189" s="37"/>
      <c r="E6189" s="38" t="s">
        <v>7349</v>
      </c>
      <c r="F6189" s="38" t="s">
        <v>7328</v>
      </c>
      <c r="G6189" s="38">
        <v>3.61731944975E11</v>
      </c>
      <c r="H6189" s="38" t="s">
        <v>7329</v>
      </c>
      <c r="I6189" s="38" t="s">
        <v>7330</v>
      </c>
      <c r="J6189" s="38" t="s">
        <v>4</v>
      </c>
      <c r="K6189" s="38" t="s">
        <v>126</v>
      </c>
      <c r="L6189" s="41">
        <v>46011.822916666664</v>
      </c>
      <c r="M6189" s="38" t="s">
        <v>123</v>
      </c>
      <c r="N6189" s="41">
        <v>46011.854166666664</v>
      </c>
      <c r="O6189" s="38" t="s">
        <v>123</v>
      </c>
      <c r="P6189" s="38">
        <v>2700.0</v>
      </c>
      <c r="Q6189" s="39"/>
      <c r="R6189" s="39"/>
      <c r="S6189" s="38" t="s">
        <v>2478</v>
      </c>
      <c r="T6189" s="39"/>
      <c r="U6189" s="39"/>
    </row>
    <row r="6190">
      <c r="A6190" s="40">
        <f t="shared" si="1"/>
        <v>46006</v>
      </c>
      <c r="B6190" s="37" t="str">
        <f t="array" ref="B6190">iferror(xlookup($I6190, 'IMPORT VHC Report'!$E:$E, 'IMPORT VHC Report'!$A:$C), )</f>
        <v/>
      </c>
      <c r="C6190" s="37"/>
      <c r="D6190" s="37"/>
      <c r="E6190" s="38" t="s">
        <v>7350</v>
      </c>
      <c r="F6190" s="38" t="s">
        <v>7328</v>
      </c>
      <c r="G6190" s="38">
        <v>3.61731944975E11</v>
      </c>
      <c r="H6190" s="38" t="s">
        <v>7329</v>
      </c>
      <c r="I6190" s="38" t="s">
        <v>7330</v>
      </c>
      <c r="J6190" s="38" t="s">
        <v>132</v>
      </c>
      <c r="K6190" s="38" t="s">
        <v>126</v>
      </c>
      <c r="L6190" s="41">
        <v>46011.958333333336</v>
      </c>
      <c r="M6190" s="38" t="s">
        <v>123</v>
      </c>
      <c r="N6190" s="41">
        <v>46012.0</v>
      </c>
      <c r="O6190" s="38" t="s">
        <v>123</v>
      </c>
      <c r="P6190" s="38">
        <v>3600.0</v>
      </c>
      <c r="Q6190" s="39"/>
      <c r="R6190" s="39"/>
      <c r="S6190" s="39"/>
      <c r="T6190" s="39"/>
      <c r="U6190" s="39"/>
    </row>
    <row r="6191">
      <c r="A6191" s="40">
        <f t="shared" si="1"/>
        <v>46006</v>
      </c>
      <c r="B6191" s="37" t="str">
        <f t="array" ref="B6191">iferror(xlookup($I6191, 'IMPORT VHC Report'!$E:$E, 'IMPORT VHC Report'!$A:$C), )</f>
        <v/>
      </c>
      <c r="C6191" s="37"/>
      <c r="D6191" s="37"/>
      <c r="E6191" s="38" t="s">
        <v>7351</v>
      </c>
      <c r="F6191" s="38" t="s">
        <v>7352</v>
      </c>
      <c r="G6191" s="38">
        <v>9.586408606607E12</v>
      </c>
      <c r="H6191" s="38" t="s">
        <v>7353</v>
      </c>
      <c r="I6191" s="38" t="s">
        <v>7354</v>
      </c>
      <c r="J6191" s="38" t="s">
        <v>161</v>
      </c>
      <c r="K6191" s="38" t="s">
        <v>63</v>
      </c>
      <c r="L6191" s="41">
        <v>46007.708333333336</v>
      </c>
      <c r="M6191" s="38" t="s">
        <v>123</v>
      </c>
      <c r="N6191" s="41">
        <v>46008.083333333336</v>
      </c>
      <c r="O6191" s="38" t="s">
        <v>123</v>
      </c>
      <c r="P6191" s="38">
        <v>32400.0</v>
      </c>
      <c r="Q6191" s="39"/>
      <c r="R6191" s="39"/>
      <c r="S6191" s="39"/>
      <c r="T6191" s="39"/>
      <c r="U6191" s="39"/>
    </row>
    <row r="6192">
      <c r="A6192" s="40">
        <f t="shared" si="1"/>
        <v>46006</v>
      </c>
      <c r="B6192" s="37" t="str">
        <f t="array" ref="B6192">iferror(xlookup($I6192, 'IMPORT VHC Report'!$E:$E, 'IMPORT VHC Report'!$A:$C), )</f>
        <v/>
      </c>
      <c r="C6192" s="37"/>
      <c r="D6192" s="37"/>
      <c r="E6192" s="38" t="s">
        <v>7355</v>
      </c>
      <c r="F6192" s="38" t="s">
        <v>7352</v>
      </c>
      <c r="G6192" s="38">
        <v>9.586408606607E12</v>
      </c>
      <c r="H6192" s="38" t="s">
        <v>7353</v>
      </c>
      <c r="I6192" s="38" t="s">
        <v>7354</v>
      </c>
      <c r="J6192" s="38" t="s">
        <v>134</v>
      </c>
      <c r="K6192" s="38" t="s">
        <v>126</v>
      </c>
      <c r="L6192" s="41">
        <v>46007.791666666664</v>
      </c>
      <c r="M6192" s="38" t="s">
        <v>123</v>
      </c>
      <c r="N6192" s="41">
        <v>46007.802083333336</v>
      </c>
      <c r="O6192" s="38" t="s">
        <v>123</v>
      </c>
      <c r="P6192" s="38">
        <v>900.0</v>
      </c>
      <c r="Q6192" s="39"/>
      <c r="R6192" s="39"/>
      <c r="S6192" s="39"/>
      <c r="T6192" s="39"/>
      <c r="U6192" s="39"/>
    </row>
    <row r="6193">
      <c r="A6193" s="40">
        <f t="shared" si="1"/>
        <v>46006</v>
      </c>
      <c r="B6193" s="37" t="str">
        <f t="array" ref="B6193">iferror(xlookup($I6193, 'IMPORT VHC Report'!$E:$E, 'IMPORT VHC Report'!$A:$C), )</f>
        <v/>
      </c>
      <c r="C6193" s="37"/>
      <c r="D6193" s="37"/>
      <c r="E6193" s="38" t="s">
        <v>7356</v>
      </c>
      <c r="F6193" s="38" t="s">
        <v>7352</v>
      </c>
      <c r="G6193" s="38">
        <v>9.586408606607E12</v>
      </c>
      <c r="H6193" s="38" t="s">
        <v>7353</v>
      </c>
      <c r="I6193" s="38" t="s">
        <v>7354</v>
      </c>
      <c r="J6193" s="38" t="s">
        <v>132</v>
      </c>
      <c r="K6193" s="38" t="s">
        <v>126</v>
      </c>
      <c r="L6193" s="41">
        <v>46007.864583333336</v>
      </c>
      <c r="M6193" s="38" t="s">
        <v>123</v>
      </c>
      <c r="N6193" s="41">
        <v>46007.90625</v>
      </c>
      <c r="O6193" s="38" t="s">
        <v>123</v>
      </c>
      <c r="P6193" s="38">
        <v>3600.0</v>
      </c>
      <c r="Q6193" s="39"/>
      <c r="R6193" s="39"/>
      <c r="S6193" s="39"/>
      <c r="T6193" s="39"/>
      <c r="U6193" s="39"/>
    </row>
    <row r="6194">
      <c r="A6194" s="40">
        <f t="shared" si="1"/>
        <v>46006</v>
      </c>
      <c r="B6194" s="37" t="str">
        <f t="array" ref="B6194">iferror(xlookup($I6194, 'IMPORT VHC Report'!$E:$E, 'IMPORT VHC Report'!$A:$C), )</f>
        <v/>
      </c>
      <c r="C6194" s="37"/>
      <c r="D6194" s="37"/>
      <c r="E6194" s="38" t="s">
        <v>7357</v>
      </c>
      <c r="F6194" s="38" t="s">
        <v>7352</v>
      </c>
      <c r="G6194" s="38">
        <v>9.586408606607E12</v>
      </c>
      <c r="H6194" s="38" t="s">
        <v>7353</v>
      </c>
      <c r="I6194" s="38" t="s">
        <v>7354</v>
      </c>
      <c r="J6194" s="38" t="s">
        <v>134</v>
      </c>
      <c r="K6194" s="38" t="s">
        <v>126</v>
      </c>
      <c r="L6194" s="41">
        <v>46007.927083333336</v>
      </c>
      <c r="M6194" s="38" t="s">
        <v>123</v>
      </c>
      <c r="N6194" s="41">
        <v>46007.9375</v>
      </c>
      <c r="O6194" s="38" t="s">
        <v>123</v>
      </c>
      <c r="P6194" s="38">
        <v>900.0</v>
      </c>
      <c r="Q6194" s="39"/>
      <c r="R6194" s="39"/>
      <c r="S6194" s="39"/>
      <c r="T6194" s="39"/>
      <c r="U6194" s="39"/>
    </row>
    <row r="6195">
      <c r="A6195" s="40">
        <f t="shared" si="1"/>
        <v>46006</v>
      </c>
      <c r="B6195" s="37" t="str">
        <f t="array" ref="B6195">iferror(xlookup($I6195, 'IMPORT VHC Report'!$E:$E, 'IMPORT VHC Report'!$A:$C), )</f>
        <v/>
      </c>
      <c r="C6195" s="37"/>
      <c r="D6195" s="37"/>
      <c r="E6195" s="38" t="s">
        <v>7358</v>
      </c>
      <c r="F6195" s="38" t="s">
        <v>7352</v>
      </c>
      <c r="G6195" s="38">
        <v>9.586408606607E12</v>
      </c>
      <c r="H6195" s="38" t="s">
        <v>7353</v>
      </c>
      <c r="I6195" s="38" t="s">
        <v>7354</v>
      </c>
      <c r="J6195" s="38" t="s">
        <v>152</v>
      </c>
      <c r="K6195" s="38" t="s">
        <v>153</v>
      </c>
      <c r="L6195" s="41">
        <v>46008.708333333336</v>
      </c>
      <c r="M6195" s="38" t="s">
        <v>123</v>
      </c>
      <c r="N6195" s="41">
        <v>46008.875</v>
      </c>
      <c r="O6195" s="38" t="s">
        <v>123</v>
      </c>
      <c r="P6195" s="38">
        <v>14400.0</v>
      </c>
      <c r="Q6195" s="38">
        <v>14400.0</v>
      </c>
      <c r="R6195" s="38" t="s">
        <v>4596</v>
      </c>
      <c r="S6195" s="38" t="s">
        <v>4596</v>
      </c>
      <c r="T6195" s="39"/>
      <c r="U6195" s="39"/>
    </row>
    <row r="6196">
      <c r="A6196" s="40">
        <f t="shared" si="1"/>
        <v>46006</v>
      </c>
      <c r="B6196" s="37" t="str">
        <f t="array" ref="B6196">iferror(xlookup($I6196, 'IMPORT VHC Report'!$E:$E, 'IMPORT VHC Report'!$A:$C), )</f>
        <v/>
      </c>
      <c r="C6196" s="37"/>
      <c r="D6196" s="37"/>
      <c r="E6196" s="38" t="s">
        <v>7359</v>
      </c>
      <c r="F6196" s="38" t="s">
        <v>7352</v>
      </c>
      <c r="G6196" s="38">
        <v>9.586408606607E12</v>
      </c>
      <c r="H6196" s="38" t="s">
        <v>7353</v>
      </c>
      <c r="I6196" s="38" t="s">
        <v>7354</v>
      </c>
      <c r="J6196" s="38" t="s">
        <v>134</v>
      </c>
      <c r="K6196" s="38" t="s">
        <v>126</v>
      </c>
      <c r="L6196" s="41">
        <v>46008.822916666664</v>
      </c>
      <c r="M6196" s="38" t="s">
        <v>123</v>
      </c>
      <c r="N6196" s="41">
        <v>46008.833333333336</v>
      </c>
      <c r="O6196" s="38" t="s">
        <v>123</v>
      </c>
      <c r="P6196" s="38">
        <v>900.0</v>
      </c>
      <c r="Q6196" s="39"/>
      <c r="R6196" s="39"/>
      <c r="S6196" s="39"/>
      <c r="T6196" s="39"/>
      <c r="U6196" s="39"/>
    </row>
    <row r="6197">
      <c r="A6197" s="40">
        <f t="shared" si="1"/>
        <v>46006</v>
      </c>
      <c r="B6197" s="37" t="str">
        <f t="array" ref="B6197">iferror(xlookup($I6197, 'IMPORT VHC Report'!$E:$E, 'IMPORT VHC Report'!$A:$C), )</f>
        <v/>
      </c>
      <c r="C6197" s="37"/>
      <c r="D6197" s="37"/>
      <c r="E6197" s="38" t="s">
        <v>7360</v>
      </c>
      <c r="F6197" s="38" t="s">
        <v>7352</v>
      </c>
      <c r="G6197" s="38">
        <v>9.586408606607E12</v>
      </c>
      <c r="H6197" s="38" t="s">
        <v>7353</v>
      </c>
      <c r="I6197" s="38" t="s">
        <v>7354</v>
      </c>
      <c r="J6197" s="38" t="s">
        <v>161</v>
      </c>
      <c r="K6197" s="38" t="s">
        <v>63</v>
      </c>
      <c r="L6197" s="41">
        <v>46008.916666666664</v>
      </c>
      <c r="M6197" s="38" t="s">
        <v>123</v>
      </c>
      <c r="N6197" s="41">
        <v>46009.083333333336</v>
      </c>
      <c r="O6197" s="38" t="s">
        <v>123</v>
      </c>
      <c r="P6197" s="38">
        <v>14400.0</v>
      </c>
      <c r="Q6197" s="39"/>
      <c r="R6197" s="39"/>
      <c r="S6197" s="39"/>
      <c r="T6197" s="39"/>
      <c r="U6197" s="39"/>
    </row>
    <row r="6198">
      <c r="A6198" s="40">
        <f t="shared" si="1"/>
        <v>46006</v>
      </c>
      <c r="B6198" s="37" t="str">
        <f t="array" ref="B6198">iferror(xlookup($I6198, 'IMPORT VHC Report'!$E:$E, 'IMPORT VHC Report'!$A:$C), )</f>
        <v/>
      </c>
      <c r="C6198" s="37"/>
      <c r="D6198" s="37"/>
      <c r="E6198" s="38" t="s">
        <v>7361</v>
      </c>
      <c r="F6198" s="38" t="s">
        <v>7352</v>
      </c>
      <c r="G6198" s="38">
        <v>9.586408606607E12</v>
      </c>
      <c r="H6198" s="38" t="s">
        <v>7353</v>
      </c>
      <c r="I6198" s="38" t="s">
        <v>7354</v>
      </c>
      <c r="J6198" s="38" t="s">
        <v>134</v>
      </c>
      <c r="K6198" s="38" t="s">
        <v>126</v>
      </c>
      <c r="L6198" s="41">
        <v>46009.010416666664</v>
      </c>
      <c r="M6198" s="38" t="s">
        <v>123</v>
      </c>
      <c r="N6198" s="41">
        <v>46009.020833333336</v>
      </c>
      <c r="O6198" s="38" t="s">
        <v>123</v>
      </c>
      <c r="P6198" s="38">
        <v>900.0</v>
      </c>
      <c r="Q6198" s="39"/>
      <c r="R6198" s="39"/>
      <c r="S6198" s="39"/>
      <c r="T6198" s="39"/>
      <c r="U6198" s="39"/>
    </row>
    <row r="6199">
      <c r="A6199" s="40">
        <f t="shared" si="1"/>
        <v>46006</v>
      </c>
      <c r="B6199" s="37" t="str">
        <f t="array" ref="B6199">iferror(xlookup($I6199, 'IMPORT VHC Report'!$E:$E, 'IMPORT VHC Report'!$A:$C), )</f>
        <v/>
      </c>
      <c r="C6199" s="37"/>
      <c r="D6199" s="37"/>
      <c r="E6199" s="38" t="s">
        <v>7362</v>
      </c>
      <c r="F6199" s="38" t="s">
        <v>7352</v>
      </c>
      <c r="G6199" s="38">
        <v>9.586408606607E12</v>
      </c>
      <c r="H6199" s="38" t="s">
        <v>7353</v>
      </c>
      <c r="I6199" s="38" t="s">
        <v>7354</v>
      </c>
      <c r="J6199" s="38" t="s">
        <v>161</v>
      </c>
      <c r="K6199" s="38" t="s">
        <v>63</v>
      </c>
      <c r="L6199" s="41">
        <v>46009.708333333336</v>
      </c>
      <c r="M6199" s="38" t="s">
        <v>123</v>
      </c>
      <c r="N6199" s="41">
        <v>46010.083333333336</v>
      </c>
      <c r="O6199" s="38" t="s">
        <v>123</v>
      </c>
      <c r="P6199" s="38">
        <v>32400.0</v>
      </c>
      <c r="Q6199" s="39"/>
      <c r="R6199" s="39"/>
      <c r="S6199" s="39"/>
      <c r="T6199" s="39"/>
      <c r="U6199" s="39"/>
    </row>
    <row r="6200">
      <c r="A6200" s="40">
        <f t="shared" si="1"/>
        <v>46006</v>
      </c>
      <c r="B6200" s="37" t="str">
        <f t="array" ref="B6200">iferror(xlookup($I6200, 'IMPORT VHC Report'!$E:$E, 'IMPORT VHC Report'!$A:$C), )</f>
        <v/>
      </c>
      <c r="C6200" s="37"/>
      <c r="D6200" s="37"/>
      <c r="E6200" s="38" t="s">
        <v>7363</v>
      </c>
      <c r="F6200" s="38" t="s">
        <v>7352</v>
      </c>
      <c r="G6200" s="38">
        <v>9.586408606607E12</v>
      </c>
      <c r="H6200" s="38" t="s">
        <v>7353</v>
      </c>
      <c r="I6200" s="38" t="s">
        <v>7354</v>
      </c>
      <c r="J6200" s="38" t="s">
        <v>134</v>
      </c>
      <c r="K6200" s="38" t="s">
        <v>126</v>
      </c>
      <c r="L6200" s="41">
        <v>46009.84375</v>
      </c>
      <c r="M6200" s="38" t="s">
        <v>123</v>
      </c>
      <c r="N6200" s="41">
        <v>46009.854166666664</v>
      </c>
      <c r="O6200" s="38" t="s">
        <v>123</v>
      </c>
      <c r="P6200" s="38">
        <v>900.0</v>
      </c>
      <c r="Q6200" s="39"/>
      <c r="R6200" s="39"/>
      <c r="S6200" s="39"/>
      <c r="T6200" s="39"/>
      <c r="U6200" s="39"/>
    </row>
    <row r="6201">
      <c r="A6201" s="40">
        <f t="shared" si="1"/>
        <v>46006</v>
      </c>
      <c r="B6201" s="37" t="str">
        <f t="array" ref="B6201">iferror(xlookup($I6201, 'IMPORT VHC Report'!$E:$E, 'IMPORT VHC Report'!$A:$C), )</f>
        <v/>
      </c>
      <c r="C6201" s="37"/>
      <c r="D6201" s="37"/>
      <c r="E6201" s="38" t="s">
        <v>7364</v>
      </c>
      <c r="F6201" s="38" t="s">
        <v>7352</v>
      </c>
      <c r="G6201" s="38">
        <v>9.586408606607E12</v>
      </c>
      <c r="H6201" s="38" t="s">
        <v>7353</v>
      </c>
      <c r="I6201" s="38" t="s">
        <v>7354</v>
      </c>
      <c r="J6201" s="38" t="s">
        <v>132</v>
      </c>
      <c r="K6201" s="38" t="s">
        <v>126</v>
      </c>
      <c r="L6201" s="41">
        <v>46009.895833333336</v>
      </c>
      <c r="M6201" s="38" t="s">
        <v>123</v>
      </c>
      <c r="N6201" s="41">
        <v>46009.9375</v>
      </c>
      <c r="O6201" s="38" t="s">
        <v>123</v>
      </c>
      <c r="P6201" s="38">
        <v>3600.0</v>
      </c>
      <c r="Q6201" s="39"/>
      <c r="R6201" s="39"/>
      <c r="S6201" s="39"/>
      <c r="T6201" s="39"/>
      <c r="U6201" s="39"/>
    </row>
    <row r="6202">
      <c r="A6202" s="40">
        <f t="shared" si="1"/>
        <v>46006</v>
      </c>
      <c r="B6202" s="37" t="str">
        <f t="array" ref="B6202">iferror(xlookup($I6202, 'IMPORT VHC Report'!$E:$E, 'IMPORT VHC Report'!$A:$C), )</f>
        <v/>
      </c>
      <c r="C6202" s="37"/>
      <c r="D6202" s="37"/>
      <c r="E6202" s="38" t="s">
        <v>7365</v>
      </c>
      <c r="F6202" s="38" t="s">
        <v>7352</v>
      </c>
      <c r="G6202" s="38">
        <v>9.586408606607E12</v>
      </c>
      <c r="H6202" s="38" t="s">
        <v>7353</v>
      </c>
      <c r="I6202" s="38" t="s">
        <v>7354</v>
      </c>
      <c r="J6202" s="38" t="s">
        <v>134</v>
      </c>
      <c r="K6202" s="38" t="s">
        <v>126</v>
      </c>
      <c r="L6202" s="41">
        <v>46010.010416666664</v>
      </c>
      <c r="M6202" s="38" t="s">
        <v>123</v>
      </c>
      <c r="N6202" s="41">
        <v>46010.020833333336</v>
      </c>
      <c r="O6202" s="38" t="s">
        <v>123</v>
      </c>
      <c r="P6202" s="38">
        <v>900.0</v>
      </c>
      <c r="Q6202" s="39"/>
      <c r="R6202" s="39"/>
      <c r="S6202" s="39"/>
      <c r="T6202" s="39"/>
      <c r="U6202" s="39"/>
    </row>
    <row r="6203">
      <c r="A6203" s="40">
        <f t="shared" si="1"/>
        <v>46006</v>
      </c>
      <c r="B6203" s="37" t="str">
        <f t="array" ref="B6203">iferror(xlookup($I6203, 'IMPORT VHC Report'!$E:$E, 'IMPORT VHC Report'!$A:$C), )</f>
        <v/>
      </c>
      <c r="C6203" s="37"/>
      <c r="D6203" s="37"/>
      <c r="E6203" s="38" t="s">
        <v>7366</v>
      </c>
      <c r="F6203" s="38" t="s">
        <v>7352</v>
      </c>
      <c r="G6203" s="38">
        <v>9.586408606607E12</v>
      </c>
      <c r="H6203" s="38" t="s">
        <v>7353</v>
      </c>
      <c r="I6203" s="38" t="s">
        <v>7354</v>
      </c>
      <c r="J6203" s="38" t="s">
        <v>161</v>
      </c>
      <c r="K6203" s="38" t="s">
        <v>63</v>
      </c>
      <c r="L6203" s="41">
        <v>46010.708333333336</v>
      </c>
      <c r="M6203" s="38" t="s">
        <v>123</v>
      </c>
      <c r="N6203" s="41">
        <v>46011.083333333336</v>
      </c>
      <c r="O6203" s="38" t="s">
        <v>123</v>
      </c>
      <c r="P6203" s="38">
        <v>32400.0</v>
      </c>
      <c r="Q6203" s="39"/>
      <c r="R6203" s="39"/>
      <c r="S6203" s="39"/>
      <c r="T6203" s="39"/>
      <c r="U6203" s="39"/>
    </row>
    <row r="6204">
      <c r="A6204" s="40">
        <f t="shared" si="1"/>
        <v>46006</v>
      </c>
      <c r="B6204" s="37" t="str">
        <f t="array" ref="B6204">iferror(xlookup($I6204, 'IMPORT VHC Report'!$E:$E, 'IMPORT VHC Report'!$A:$C), )</f>
        <v/>
      </c>
      <c r="C6204" s="37"/>
      <c r="D6204" s="37"/>
      <c r="E6204" s="38" t="s">
        <v>7367</v>
      </c>
      <c r="F6204" s="38" t="s">
        <v>7352</v>
      </c>
      <c r="G6204" s="38">
        <v>9.586408606607E12</v>
      </c>
      <c r="H6204" s="38" t="s">
        <v>7353</v>
      </c>
      <c r="I6204" s="38" t="s">
        <v>7354</v>
      </c>
      <c r="J6204" s="38" t="s">
        <v>152</v>
      </c>
      <c r="K6204" s="38" t="s">
        <v>153</v>
      </c>
      <c r="L6204" s="41">
        <v>46010.708333333336</v>
      </c>
      <c r="M6204" s="38" t="s">
        <v>123</v>
      </c>
      <c r="N6204" s="41">
        <v>46011.083333333336</v>
      </c>
      <c r="O6204" s="38" t="s">
        <v>123</v>
      </c>
      <c r="P6204" s="38">
        <v>32400.0</v>
      </c>
      <c r="Q6204" s="38">
        <v>32400.0</v>
      </c>
      <c r="R6204" s="39"/>
      <c r="S6204" s="39"/>
      <c r="T6204" s="39"/>
      <c r="U6204" s="39"/>
    </row>
    <row r="6205">
      <c r="A6205" s="40">
        <f t="shared" si="1"/>
        <v>46006</v>
      </c>
      <c r="B6205" s="37" t="str">
        <f t="array" ref="B6205">iferror(xlookup($I6205, 'IMPORT VHC Report'!$E:$E, 'IMPORT VHC Report'!$A:$C), )</f>
        <v/>
      </c>
      <c r="C6205" s="37"/>
      <c r="D6205" s="37"/>
      <c r="E6205" s="38" t="s">
        <v>7368</v>
      </c>
      <c r="F6205" s="38" t="s">
        <v>7352</v>
      </c>
      <c r="G6205" s="38">
        <v>9.586408606607E12</v>
      </c>
      <c r="H6205" s="38" t="s">
        <v>7353</v>
      </c>
      <c r="I6205" s="38" t="s">
        <v>7354</v>
      </c>
      <c r="J6205" s="38" t="s">
        <v>134</v>
      </c>
      <c r="K6205" s="38" t="s">
        <v>126</v>
      </c>
      <c r="L6205" s="41">
        <v>46010.854166666664</v>
      </c>
      <c r="M6205" s="38" t="s">
        <v>123</v>
      </c>
      <c r="N6205" s="41">
        <v>46010.864583333336</v>
      </c>
      <c r="O6205" s="38" t="s">
        <v>123</v>
      </c>
      <c r="P6205" s="38">
        <v>900.0</v>
      </c>
      <c r="Q6205" s="39"/>
      <c r="R6205" s="39"/>
      <c r="S6205" s="39"/>
      <c r="T6205" s="39"/>
      <c r="U6205" s="39"/>
    </row>
    <row r="6206">
      <c r="A6206" s="40">
        <f t="shared" si="1"/>
        <v>46006</v>
      </c>
      <c r="B6206" s="37" t="str">
        <f t="array" ref="B6206">iferror(xlookup($I6206, 'IMPORT VHC Report'!$E:$E, 'IMPORT VHC Report'!$A:$C), )</f>
        <v/>
      </c>
      <c r="C6206" s="37"/>
      <c r="D6206" s="37"/>
      <c r="E6206" s="38" t="s">
        <v>7369</v>
      </c>
      <c r="F6206" s="38" t="s">
        <v>7352</v>
      </c>
      <c r="G6206" s="38">
        <v>9.586408606607E12</v>
      </c>
      <c r="H6206" s="38" t="s">
        <v>7353</v>
      </c>
      <c r="I6206" s="38" t="s">
        <v>7354</v>
      </c>
      <c r="J6206" s="38" t="s">
        <v>132</v>
      </c>
      <c r="K6206" s="38" t="s">
        <v>126</v>
      </c>
      <c r="L6206" s="41">
        <v>46010.927083333336</v>
      </c>
      <c r="M6206" s="38" t="s">
        <v>123</v>
      </c>
      <c r="N6206" s="41">
        <v>46010.96875</v>
      </c>
      <c r="O6206" s="38" t="s">
        <v>123</v>
      </c>
      <c r="P6206" s="38">
        <v>3600.0</v>
      </c>
      <c r="Q6206" s="39"/>
      <c r="R6206" s="39"/>
      <c r="S6206" s="39"/>
      <c r="T6206" s="39"/>
      <c r="U6206" s="39"/>
    </row>
    <row r="6207">
      <c r="A6207" s="40">
        <f t="shared" si="1"/>
        <v>46006</v>
      </c>
      <c r="B6207" s="37" t="str">
        <f t="array" ref="B6207">iferror(xlookup($I6207, 'IMPORT VHC Report'!$E:$E, 'IMPORT VHC Report'!$A:$C), )</f>
        <v/>
      </c>
      <c r="C6207" s="37"/>
      <c r="D6207" s="37"/>
      <c r="E6207" s="38" t="s">
        <v>7370</v>
      </c>
      <c r="F6207" s="38" t="s">
        <v>7352</v>
      </c>
      <c r="G6207" s="38">
        <v>9.586408606607E12</v>
      </c>
      <c r="H6207" s="38" t="s">
        <v>7353</v>
      </c>
      <c r="I6207" s="38" t="s">
        <v>7354</v>
      </c>
      <c r="J6207" s="38" t="s">
        <v>134</v>
      </c>
      <c r="K6207" s="38" t="s">
        <v>126</v>
      </c>
      <c r="L6207" s="41">
        <v>46010.989583333336</v>
      </c>
      <c r="M6207" s="38" t="s">
        <v>123</v>
      </c>
      <c r="N6207" s="41">
        <v>46011.0</v>
      </c>
      <c r="O6207" s="38" t="s">
        <v>123</v>
      </c>
      <c r="P6207" s="38">
        <v>900.0</v>
      </c>
      <c r="Q6207" s="39"/>
      <c r="R6207" s="39"/>
      <c r="S6207" s="39"/>
      <c r="T6207" s="39"/>
      <c r="U6207" s="39"/>
    </row>
    <row r="6208">
      <c r="A6208" s="40">
        <f t="shared" si="1"/>
        <v>46006</v>
      </c>
      <c r="B6208" s="37" t="str">
        <f t="array" ref="B6208">iferror(xlookup($I6208, 'IMPORT VHC Report'!$E:$E, 'IMPORT VHC Report'!$A:$C), )</f>
        <v/>
      </c>
      <c r="C6208" s="37"/>
      <c r="D6208" s="37"/>
      <c r="E6208" s="38" t="s">
        <v>7371</v>
      </c>
      <c r="F6208" s="38" t="s">
        <v>7352</v>
      </c>
      <c r="G6208" s="38">
        <v>9.586408606607E12</v>
      </c>
      <c r="H6208" s="38" t="s">
        <v>7353</v>
      </c>
      <c r="I6208" s="38" t="s">
        <v>7354</v>
      </c>
      <c r="J6208" s="38" t="s">
        <v>4</v>
      </c>
      <c r="K6208" s="38" t="s">
        <v>126</v>
      </c>
      <c r="L6208" s="41">
        <v>46011.708333333336</v>
      </c>
      <c r="M6208" s="38" t="s">
        <v>123</v>
      </c>
      <c r="N6208" s="41">
        <v>46011.75</v>
      </c>
      <c r="O6208" s="38" t="s">
        <v>123</v>
      </c>
      <c r="P6208" s="38">
        <v>3600.0</v>
      </c>
      <c r="Q6208" s="39"/>
      <c r="R6208" s="39"/>
      <c r="S6208" s="38" t="s">
        <v>170</v>
      </c>
      <c r="T6208" s="39"/>
      <c r="U6208" s="39"/>
    </row>
    <row r="6209">
      <c r="A6209" s="40">
        <f t="shared" si="1"/>
        <v>46006</v>
      </c>
      <c r="B6209" s="37" t="str">
        <f t="array" ref="B6209">iferror(xlookup($I6209, 'IMPORT VHC Report'!$E:$E, 'IMPORT VHC Report'!$A:$C), )</f>
        <v/>
      </c>
      <c r="C6209" s="37"/>
      <c r="D6209" s="37"/>
      <c r="E6209" s="38" t="s">
        <v>7372</v>
      </c>
      <c r="F6209" s="38" t="s">
        <v>7352</v>
      </c>
      <c r="G6209" s="38">
        <v>9.586408606607E12</v>
      </c>
      <c r="H6209" s="38" t="s">
        <v>7353</v>
      </c>
      <c r="I6209" s="38" t="s">
        <v>7354</v>
      </c>
      <c r="J6209" s="38" t="s">
        <v>161</v>
      </c>
      <c r="K6209" s="38" t="s">
        <v>63</v>
      </c>
      <c r="L6209" s="41">
        <v>46011.708333333336</v>
      </c>
      <c r="M6209" s="38" t="s">
        <v>123</v>
      </c>
      <c r="N6209" s="41">
        <v>46012.083333333336</v>
      </c>
      <c r="O6209" s="38" t="s">
        <v>123</v>
      </c>
      <c r="P6209" s="38">
        <v>32400.0</v>
      </c>
      <c r="Q6209" s="39"/>
      <c r="R6209" s="39"/>
      <c r="S6209" s="39"/>
      <c r="T6209" s="39"/>
      <c r="U6209" s="39"/>
    </row>
    <row r="6210">
      <c r="A6210" s="40">
        <f t="shared" si="1"/>
        <v>46006</v>
      </c>
      <c r="B6210" s="37" t="str">
        <f t="array" ref="B6210">iferror(xlookup($I6210, 'IMPORT VHC Report'!$E:$E, 'IMPORT VHC Report'!$A:$C), )</f>
        <v/>
      </c>
      <c r="C6210" s="37"/>
      <c r="D6210" s="37"/>
      <c r="E6210" s="38" t="s">
        <v>7373</v>
      </c>
      <c r="F6210" s="38" t="s">
        <v>7352</v>
      </c>
      <c r="G6210" s="38">
        <v>9.586408606607E12</v>
      </c>
      <c r="H6210" s="38" t="s">
        <v>7353</v>
      </c>
      <c r="I6210" s="38" t="s">
        <v>7354</v>
      </c>
      <c r="J6210" s="38" t="s">
        <v>134</v>
      </c>
      <c r="K6210" s="38" t="s">
        <v>126</v>
      </c>
      <c r="L6210" s="41">
        <v>46011.791666666664</v>
      </c>
      <c r="M6210" s="38" t="s">
        <v>123</v>
      </c>
      <c r="N6210" s="41">
        <v>46011.802083333336</v>
      </c>
      <c r="O6210" s="38" t="s">
        <v>123</v>
      </c>
      <c r="P6210" s="38">
        <v>900.0</v>
      </c>
      <c r="Q6210" s="39"/>
      <c r="R6210" s="39"/>
      <c r="S6210" s="39"/>
      <c r="T6210" s="39"/>
      <c r="U6210" s="39"/>
    </row>
    <row r="6211">
      <c r="A6211" s="40">
        <f t="shared" si="1"/>
        <v>46006</v>
      </c>
      <c r="B6211" s="37" t="str">
        <f t="array" ref="B6211">iferror(xlookup($I6211, 'IMPORT VHC Report'!$E:$E, 'IMPORT VHC Report'!$A:$C), )</f>
        <v/>
      </c>
      <c r="C6211" s="37"/>
      <c r="D6211" s="37"/>
      <c r="E6211" s="38" t="s">
        <v>7374</v>
      </c>
      <c r="F6211" s="38" t="s">
        <v>7352</v>
      </c>
      <c r="G6211" s="38">
        <v>9.586408606607E12</v>
      </c>
      <c r="H6211" s="38" t="s">
        <v>7353</v>
      </c>
      <c r="I6211" s="38" t="s">
        <v>7354</v>
      </c>
      <c r="J6211" s="38" t="s">
        <v>132</v>
      </c>
      <c r="K6211" s="38" t="s">
        <v>126</v>
      </c>
      <c r="L6211" s="41">
        <v>46011.875</v>
      </c>
      <c r="M6211" s="38" t="s">
        <v>123</v>
      </c>
      <c r="N6211" s="41">
        <v>46011.916666666664</v>
      </c>
      <c r="O6211" s="38" t="s">
        <v>123</v>
      </c>
      <c r="P6211" s="38">
        <v>3600.0</v>
      </c>
      <c r="Q6211" s="39"/>
      <c r="R6211" s="39"/>
      <c r="S6211" s="39"/>
      <c r="T6211" s="39"/>
      <c r="U6211" s="39"/>
    </row>
    <row r="6212">
      <c r="A6212" s="40">
        <f t="shared" si="1"/>
        <v>46006</v>
      </c>
      <c r="B6212" s="37" t="str">
        <f t="array" ref="B6212">iferror(xlookup($I6212, 'IMPORT VHC Report'!$E:$E, 'IMPORT VHC Report'!$A:$C), )</f>
        <v/>
      </c>
      <c r="C6212" s="37"/>
      <c r="D6212" s="37"/>
      <c r="E6212" s="38" t="s">
        <v>7375</v>
      </c>
      <c r="F6212" s="38" t="s">
        <v>7352</v>
      </c>
      <c r="G6212" s="38">
        <v>9.586408606607E12</v>
      </c>
      <c r="H6212" s="38" t="s">
        <v>7353</v>
      </c>
      <c r="I6212" s="38" t="s">
        <v>7354</v>
      </c>
      <c r="J6212" s="38" t="s">
        <v>152</v>
      </c>
      <c r="K6212" s="38" t="s">
        <v>153</v>
      </c>
      <c r="L6212" s="41">
        <v>46011.916666666664</v>
      </c>
      <c r="M6212" s="38" t="s">
        <v>123</v>
      </c>
      <c r="N6212" s="41">
        <v>46012.083333333336</v>
      </c>
      <c r="O6212" s="38" t="s">
        <v>123</v>
      </c>
      <c r="P6212" s="38">
        <v>14400.0</v>
      </c>
      <c r="Q6212" s="38">
        <v>14400.0</v>
      </c>
      <c r="R6212" s="39"/>
      <c r="S6212" s="39"/>
      <c r="T6212" s="39"/>
      <c r="U6212" s="39"/>
    </row>
    <row r="6213">
      <c r="A6213" s="40">
        <f t="shared" si="1"/>
        <v>46006</v>
      </c>
      <c r="B6213" s="37" t="str">
        <f t="array" ref="B6213">iferror(xlookup($I6213, 'IMPORT VHC Report'!$E:$E, 'IMPORT VHC Report'!$A:$C), )</f>
        <v/>
      </c>
      <c r="C6213" s="37"/>
      <c r="D6213" s="37"/>
      <c r="E6213" s="38" t="s">
        <v>7376</v>
      </c>
      <c r="F6213" s="38" t="s">
        <v>7377</v>
      </c>
      <c r="G6213" s="38">
        <v>5.047314632975E12</v>
      </c>
      <c r="H6213" s="38" t="s">
        <v>7378</v>
      </c>
      <c r="I6213" s="38" t="s">
        <v>7379</v>
      </c>
      <c r="J6213" s="38" t="s">
        <v>178</v>
      </c>
      <c r="K6213" s="38" t="s">
        <v>153</v>
      </c>
      <c r="L6213" s="41">
        <v>46007.708333333336</v>
      </c>
      <c r="M6213" s="38" t="s">
        <v>123</v>
      </c>
      <c r="N6213" s="41">
        <v>46008.083333333336</v>
      </c>
      <c r="O6213" s="38" t="s">
        <v>123</v>
      </c>
      <c r="P6213" s="38">
        <v>32400.0</v>
      </c>
      <c r="Q6213" s="38">
        <v>32400.0</v>
      </c>
      <c r="R6213" s="39"/>
      <c r="S6213" s="39"/>
      <c r="T6213" s="39"/>
      <c r="U6213" s="39"/>
    </row>
    <row r="6214">
      <c r="A6214" s="40">
        <f t="shared" si="1"/>
        <v>46006</v>
      </c>
      <c r="B6214" s="37" t="str">
        <f t="array" ref="B6214">iferror(xlookup($I6214, 'IMPORT VHC Report'!$E:$E, 'IMPORT VHC Report'!$A:$C), )</f>
        <v/>
      </c>
      <c r="C6214" s="37"/>
      <c r="D6214" s="37"/>
      <c r="E6214" s="38" t="s">
        <v>7380</v>
      </c>
      <c r="F6214" s="38" t="s">
        <v>7377</v>
      </c>
      <c r="G6214" s="38">
        <v>5.047314632975E12</v>
      </c>
      <c r="H6214" s="38" t="s">
        <v>7378</v>
      </c>
      <c r="I6214" s="38" t="s">
        <v>7379</v>
      </c>
      <c r="J6214" s="38" t="s">
        <v>161</v>
      </c>
      <c r="K6214" s="38" t="s">
        <v>63</v>
      </c>
      <c r="L6214" s="41">
        <v>46007.708333333336</v>
      </c>
      <c r="M6214" s="38" t="s">
        <v>123</v>
      </c>
      <c r="N6214" s="41">
        <v>46008.083333333336</v>
      </c>
      <c r="O6214" s="38" t="s">
        <v>123</v>
      </c>
      <c r="P6214" s="38">
        <v>32400.0</v>
      </c>
      <c r="Q6214" s="39"/>
      <c r="R6214" s="39"/>
      <c r="S6214" s="39"/>
      <c r="T6214" s="39"/>
      <c r="U6214" s="39"/>
    </row>
    <row r="6215">
      <c r="A6215" s="40">
        <f t="shared" si="1"/>
        <v>46006</v>
      </c>
      <c r="B6215" s="37" t="str">
        <f t="array" ref="B6215">iferror(xlookup($I6215, 'IMPORT VHC Report'!$E:$E, 'IMPORT VHC Report'!$A:$C), )</f>
        <v/>
      </c>
      <c r="C6215" s="37"/>
      <c r="D6215" s="37"/>
      <c r="E6215" s="38" t="s">
        <v>7381</v>
      </c>
      <c r="F6215" s="38" t="s">
        <v>7377</v>
      </c>
      <c r="G6215" s="38">
        <v>5.047314632975E12</v>
      </c>
      <c r="H6215" s="38" t="s">
        <v>7378</v>
      </c>
      <c r="I6215" s="38" t="s">
        <v>7379</v>
      </c>
      <c r="J6215" s="38" t="s">
        <v>134</v>
      </c>
      <c r="K6215" s="38" t="s">
        <v>126</v>
      </c>
      <c r="L6215" s="41">
        <v>46007.854166666664</v>
      </c>
      <c r="M6215" s="38" t="s">
        <v>123</v>
      </c>
      <c r="N6215" s="41">
        <v>46007.864583333336</v>
      </c>
      <c r="O6215" s="38" t="s">
        <v>123</v>
      </c>
      <c r="P6215" s="38">
        <v>900.0</v>
      </c>
      <c r="Q6215" s="39"/>
      <c r="R6215" s="39"/>
      <c r="S6215" s="39"/>
      <c r="T6215" s="39"/>
      <c r="U6215" s="39"/>
    </row>
    <row r="6216">
      <c r="A6216" s="40">
        <f t="shared" si="1"/>
        <v>46006</v>
      </c>
      <c r="B6216" s="37" t="str">
        <f t="array" ref="B6216">iferror(xlookup($I6216, 'IMPORT VHC Report'!$E:$E, 'IMPORT VHC Report'!$A:$C), )</f>
        <v/>
      </c>
      <c r="C6216" s="37"/>
      <c r="D6216" s="37"/>
      <c r="E6216" s="38" t="s">
        <v>7382</v>
      </c>
      <c r="F6216" s="38" t="s">
        <v>7377</v>
      </c>
      <c r="G6216" s="38">
        <v>5.047314632975E12</v>
      </c>
      <c r="H6216" s="38" t="s">
        <v>7378</v>
      </c>
      <c r="I6216" s="38" t="s">
        <v>7379</v>
      </c>
      <c r="J6216" s="38" t="s">
        <v>132</v>
      </c>
      <c r="K6216" s="38" t="s">
        <v>126</v>
      </c>
      <c r="L6216" s="41">
        <v>46007.916666666664</v>
      </c>
      <c r="M6216" s="38" t="s">
        <v>123</v>
      </c>
      <c r="N6216" s="41">
        <v>46007.958333333336</v>
      </c>
      <c r="O6216" s="38" t="s">
        <v>123</v>
      </c>
      <c r="P6216" s="38">
        <v>3600.0</v>
      </c>
      <c r="Q6216" s="39"/>
      <c r="R6216" s="39"/>
      <c r="S6216" s="39"/>
      <c r="T6216" s="39"/>
      <c r="U6216" s="39"/>
    </row>
    <row r="6217">
      <c r="A6217" s="40">
        <f t="shared" si="1"/>
        <v>46006</v>
      </c>
      <c r="B6217" s="37" t="str">
        <f t="array" ref="B6217">iferror(xlookup($I6217, 'IMPORT VHC Report'!$E:$E, 'IMPORT VHC Report'!$A:$C), )</f>
        <v/>
      </c>
      <c r="C6217" s="37"/>
      <c r="D6217" s="37"/>
      <c r="E6217" s="38" t="s">
        <v>7383</v>
      </c>
      <c r="F6217" s="38" t="s">
        <v>7377</v>
      </c>
      <c r="G6217" s="38">
        <v>5.047314632975E12</v>
      </c>
      <c r="H6217" s="38" t="s">
        <v>7378</v>
      </c>
      <c r="I6217" s="38" t="s">
        <v>7379</v>
      </c>
      <c r="J6217" s="38" t="s">
        <v>134</v>
      </c>
      <c r="K6217" s="38" t="s">
        <v>126</v>
      </c>
      <c r="L6217" s="41">
        <v>46007.989583333336</v>
      </c>
      <c r="M6217" s="38" t="s">
        <v>123</v>
      </c>
      <c r="N6217" s="41">
        <v>46008.0</v>
      </c>
      <c r="O6217" s="38" t="s">
        <v>123</v>
      </c>
      <c r="P6217" s="38">
        <v>900.0</v>
      </c>
      <c r="Q6217" s="39"/>
      <c r="R6217" s="39"/>
      <c r="S6217" s="39"/>
      <c r="T6217" s="39"/>
      <c r="U6217" s="39"/>
    </row>
    <row r="6218">
      <c r="A6218" s="40">
        <f t="shared" si="1"/>
        <v>46006</v>
      </c>
      <c r="B6218" s="37" t="str">
        <f t="array" ref="B6218">iferror(xlookup($I6218, 'IMPORT VHC Report'!$E:$E, 'IMPORT VHC Report'!$A:$C), )</f>
        <v/>
      </c>
      <c r="C6218" s="37"/>
      <c r="D6218" s="37"/>
      <c r="E6218" s="38" t="s">
        <v>7384</v>
      </c>
      <c r="F6218" s="38" t="s">
        <v>7377</v>
      </c>
      <c r="G6218" s="38">
        <v>5.047314632975E12</v>
      </c>
      <c r="H6218" s="38" t="s">
        <v>7378</v>
      </c>
      <c r="I6218" s="38" t="s">
        <v>7379</v>
      </c>
      <c r="J6218" s="38" t="s">
        <v>136</v>
      </c>
      <c r="K6218" s="38" t="s">
        <v>126</v>
      </c>
      <c r="L6218" s="41">
        <v>46008.708333333336</v>
      </c>
      <c r="M6218" s="38" t="s">
        <v>123</v>
      </c>
      <c r="N6218" s="41">
        <v>46008.75</v>
      </c>
      <c r="O6218" s="38" t="s">
        <v>123</v>
      </c>
      <c r="P6218" s="38">
        <v>3600.0</v>
      </c>
      <c r="Q6218" s="39"/>
      <c r="R6218" s="39"/>
      <c r="S6218" s="38" t="s">
        <v>175</v>
      </c>
      <c r="T6218" s="39"/>
      <c r="U6218" s="39"/>
    </row>
    <row r="6219">
      <c r="A6219" s="40">
        <f t="shared" si="1"/>
        <v>46006</v>
      </c>
      <c r="B6219" s="37" t="str">
        <f t="array" ref="B6219">iferror(xlookup($I6219, 'IMPORT VHC Report'!$E:$E, 'IMPORT VHC Report'!$A:$C), )</f>
        <v/>
      </c>
      <c r="C6219" s="37"/>
      <c r="D6219" s="37"/>
      <c r="E6219" s="38" t="s">
        <v>7385</v>
      </c>
      <c r="F6219" s="38" t="s">
        <v>7377</v>
      </c>
      <c r="G6219" s="38">
        <v>5.047314632975E12</v>
      </c>
      <c r="H6219" s="38" t="s">
        <v>7378</v>
      </c>
      <c r="I6219" s="38" t="s">
        <v>7379</v>
      </c>
      <c r="J6219" s="38" t="s">
        <v>178</v>
      </c>
      <c r="K6219" s="38" t="s">
        <v>153</v>
      </c>
      <c r="L6219" s="41">
        <v>46008.708333333336</v>
      </c>
      <c r="M6219" s="38" t="s">
        <v>123</v>
      </c>
      <c r="N6219" s="41">
        <v>46009.083333333336</v>
      </c>
      <c r="O6219" s="38" t="s">
        <v>123</v>
      </c>
      <c r="P6219" s="38">
        <v>32400.0</v>
      </c>
      <c r="Q6219" s="38">
        <v>32400.0</v>
      </c>
      <c r="R6219" s="39"/>
      <c r="S6219" s="39"/>
      <c r="T6219" s="39"/>
      <c r="U6219" s="39"/>
    </row>
    <row r="6220">
      <c r="A6220" s="40">
        <f t="shared" si="1"/>
        <v>46006</v>
      </c>
      <c r="B6220" s="37" t="str">
        <f t="array" ref="B6220">iferror(xlookup($I6220, 'IMPORT VHC Report'!$E:$E, 'IMPORT VHC Report'!$A:$C), )</f>
        <v/>
      </c>
      <c r="C6220" s="37"/>
      <c r="D6220" s="37"/>
      <c r="E6220" s="38" t="s">
        <v>7386</v>
      </c>
      <c r="F6220" s="38" t="s">
        <v>7377</v>
      </c>
      <c r="G6220" s="38">
        <v>5.047314632975E12</v>
      </c>
      <c r="H6220" s="38" t="s">
        <v>7378</v>
      </c>
      <c r="I6220" s="38" t="s">
        <v>7379</v>
      </c>
      <c r="J6220" s="38" t="s">
        <v>161</v>
      </c>
      <c r="K6220" s="38" t="s">
        <v>63</v>
      </c>
      <c r="L6220" s="41">
        <v>46008.708333333336</v>
      </c>
      <c r="M6220" s="38" t="s">
        <v>123</v>
      </c>
      <c r="N6220" s="41">
        <v>46009.083333333336</v>
      </c>
      <c r="O6220" s="38" t="s">
        <v>123</v>
      </c>
      <c r="P6220" s="38">
        <v>32400.0</v>
      </c>
      <c r="Q6220" s="39"/>
      <c r="R6220" s="39"/>
      <c r="S6220" s="39"/>
      <c r="T6220" s="39"/>
      <c r="U6220" s="39"/>
    </row>
    <row r="6221">
      <c r="A6221" s="40">
        <f t="shared" si="1"/>
        <v>46006</v>
      </c>
      <c r="B6221" s="37" t="str">
        <f t="array" ref="B6221">iferror(xlookup($I6221, 'IMPORT VHC Report'!$E:$E, 'IMPORT VHC Report'!$A:$C), )</f>
        <v/>
      </c>
      <c r="C6221" s="37"/>
      <c r="D6221" s="37"/>
      <c r="E6221" s="38" t="s">
        <v>7387</v>
      </c>
      <c r="F6221" s="38" t="s">
        <v>7377</v>
      </c>
      <c r="G6221" s="38">
        <v>5.047314632975E12</v>
      </c>
      <c r="H6221" s="38" t="s">
        <v>7378</v>
      </c>
      <c r="I6221" s="38" t="s">
        <v>7379</v>
      </c>
      <c r="J6221" s="38" t="s">
        <v>134</v>
      </c>
      <c r="K6221" s="38" t="s">
        <v>126</v>
      </c>
      <c r="L6221" s="41">
        <v>46008.802083333336</v>
      </c>
      <c r="M6221" s="38" t="s">
        <v>123</v>
      </c>
      <c r="N6221" s="41">
        <v>46008.8125</v>
      </c>
      <c r="O6221" s="38" t="s">
        <v>123</v>
      </c>
      <c r="P6221" s="38">
        <v>900.0</v>
      </c>
      <c r="Q6221" s="39"/>
      <c r="R6221" s="39"/>
      <c r="S6221" s="39"/>
      <c r="T6221" s="39"/>
      <c r="U6221" s="39"/>
    </row>
    <row r="6222">
      <c r="A6222" s="40">
        <f t="shared" si="1"/>
        <v>46006</v>
      </c>
      <c r="B6222" s="37" t="str">
        <f t="array" ref="B6222">iferror(xlookup($I6222, 'IMPORT VHC Report'!$E:$E, 'IMPORT VHC Report'!$A:$C), )</f>
        <v/>
      </c>
      <c r="C6222" s="37"/>
      <c r="D6222" s="37"/>
      <c r="E6222" s="38" t="s">
        <v>7388</v>
      </c>
      <c r="F6222" s="38" t="s">
        <v>7377</v>
      </c>
      <c r="G6222" s="38">
        <v>5.047314632975E12</v>
      </c>
      <c r="H6222" s="38" t="s">
        <v>7378</v>
      </c>
      <c r="I6222" s="38" t="s">
        <v>7379</v>
      </c>
      <c r="J6222" s="38" t="s">
        <v>132</v>
      </c>
      <c r="K6222" s="38" t="s">
        <v>126</v>
      </c>
      <c r="L6222" s="41">
        <v>46008.947916666664</v>
      </c>
      <c r="M6222" s="38" t="s">
        <v>123</v>
      </c>
      <c r="N6222" s="41">
        <v>46008.989583333336</v>
      </c>
      <c r="O6222" s="38" t="s">
        <v>123</v>
      </c>
      <c r="P6222" s="38">
        <v>3600.0</v>
      </c>
      <c r="Q6222" s="39"/>
      <c r="R6222" s="39"/>
      <c r="S6222" s="39"/>
      <c r="T6222" s="39"/>
      <c r="U6222" s="39"/>
    </row>
    <row r="6223">
      <c r="A6223" s="40">
        <f t="shared" si="1"/>
        <v>46006</v>
      </c>
      <c r="B6223" s="37" t="str">
        <f t="array" ref="B6223">iferror(xlookup($I6223, 'IMPORT VHC Report'!$E:$E, 'IMPORT VHC Report'!$A:$C), )</f>
        <v/>
      </c>
      <c r="C6223" s="37"/>
      <c r="D6223" s="37"/>
      <c r="E6223" s="38" t="s">
        <v>7389</v>
      </c>
      <c r="F6223" s="38" t="s">
        <v>7377</v>
      </c>
      <c r="G6223" s="38">
        <v>5.047314632975E12</v>
      </c>
      <c r="H6223" s="38" t="s">
        <v>7378</v>
      </c>
      <c r="I6223" s="38" t="s">
        <v>7379</v>
      </c>
      <c r="J6223" s="38" t="s">
        <v>134</v>
      </c>
      <c r="K6223" s="38" t="s">
        <v>126</v>
      </c>
      <c r="L6223" s="41">
        <v>46009.020833333336</v>
      </c>
      <c r="M6223" s="38" t="s">
        <v>123</v>
      </c>
      <c r="N6223" s="41">
        <v>46009.03125</v>
      </c>
      <c r="O6223" s="38" t="s">
        <v>123</v>
      </c>
      <c r="P6223" s="38">
        <v>900.0</v>
      </c>
      <c r="Q6223" s="39"/>
      <c r="R6223" s="39"/>
      <c r="S6223" s="39"/>
      <c r="T6223" s="39"/>
      <c r="U6223" s="39"/>
    </row>
    <row r="6224">
      <c r="A6224" s="40">
        <f t="shared" si="1"/>
        <v>46006</v>
      </c>
      <c r="B6224" s="37" t="str">
        <f t="array" ref="B6224">iferror(xlookup($I6224, 'IMPORT VHC Report'!$E:$E, 'IMPORT VHC Report'!$A:$C), )</f>
        <v/>
      </c>
      <c r="C6224" s="37"/>
      <c r="D6224" s="37"/>
      <c r="E6224" s="38" t="s">
        <v>7390</v>
      </c>
      <c r="F6224" s="38" t="s">
        <v>7377</v>
      </c>
      <c r="G6224" s="38">
        <v>5.047314632975E12</v>
      </c>
      <c r="H6224" s="38" t="s">
        <v>7378</v>
      </c>
      <c r="I6224" s="38" t="s">
        <v>7379</v>
      </c>
      <c r="J6224" s="38" t="s">
        <v>161</v>
      </c>
      <c r="K6224" s="38" t="s">
        <v>63</v>
      </c>
      <c r="L6224" s="41">
        <v>46009.708333333336</v>
      </c>
      <c r="M6224" s="38" t="s">
        <v>123</v>
      </c>
      <c r="N6224" s="41">
        <v>46010.083333333336</v>
      </c>
      <c r="O6224" s="38" t="s">
        <v>123</v>
      </c>
      <c r="P6224" s="38">
        <v>32400.0</v>
      </c>
      <c r="Q6224" s="39"/>
      <c r="R6224" s="39"/>
      <c r="S6224" s="39"/>
      <c r="T6224" s="39"/>
      <c r="U6224" s="39"/>
    </row>
    <row r="6225">
      <c r="A6225" s="40">
        <f t="shared" si="1"/>
        <v>46006</v>
      </c>
      <c r="B6225" s="37" t="str">
        <f t="array" ref="B6225">iferror(xlookup($I6225, 'IMPORT VHC Report'!$E:$E, 'IMPORT VHC Report'!$A:$C), )</f>
        <v/>
      </c>
      <c r="C6225" s="37"/>
      <c r="D6225" s="37"/>
      <c r="E6225" s="38" t="s">
        <v>7391</v>
      </c>
      <c r="F6225" s="38" t="s">
        <v>7377</v>
      </c>
      <c r="G6225" s="38">
        <v>5.047314632975E12</v>
      </c>
      <c r="H6225" s="38" t="s">
        <v>7378</v>
      </c>
      <c r="I6225" s="38" t="s">
        <v>7379</v>
      </c>
      <c r="J6225" s="38" t="s">
        <v>178</v>
      </c>
      <c r="K6225" s="38" t="s">
        <v>153</v>
      </c>
      <c r="L6225" s="41">
        <v>46009.708333333336</v>
      </c>
      <c r="M6225" s="38" t="s">
        <v>123</v>
      </c>
      <c r="N6225" s="41">
        <v>46010.083333333336</v>
      </c>
      <c r="O6225" s="38" t="s">
        <v>123</v>
      </c>
      <c r="P6225" s="38">
        <v>32400.0</v>
      </c>
      <c r="Q6225" s="38">
        <v>32400.0</v>
      </c>
      <c r="R6225" s="39"/>
      <c r="S6225" s="39"/>
      <c r="T6225" s="39"/>
      <c r="U6225" s="39"/>
    </row>
    <row r="6226">
      <c r="A6226" s="40">
        <f t="shared" si="1"/>
        <v>46006</v>
      </c>
      <c r="B6226" s="37" t="str">
        <f t="array" ref="B6226">iferror(xlookup($I6226, 'IMPORT VHC Report'!$E:$E, 'IMPORT VHC Report'!$A:$C), )</f>
        <v/>
      </c>
      <c r="C6226" s="37"/>
      <c r="D6226" s="37"/>
      <c r="E6226" s="38" t="s">
        <v>7392</v>
      </c>
      <c r="F6226" s="38" t="s">
        <v>7377</v>
      </c>
      <c r="G6226" s="38">
        <v>5.047314632975E12</v>
      </c>
      <c r="H6226" s="38" t="s">
        <v>7378</v>
      </c>
      <c r="I6226" s="38" t="s">
        <v>7379</v>
      </c>
      <c r="J6226" s="38" t="s">
        <v>134</v>
      </c>
      <c r="K6226" s="38" t="s">
        <v>126</v>
      </c>
      <c r="L6226" s="41">
        <v>46009.84375</v>
      </c>
      <c r="M6226" s="38" t="s">
        <v>123</v>
      </c>
      <c r="N6226" s="41">
        <v>46009.854166666664</v>
      </c>
      <c r="O6226" s="38" t="s">
        <v>123</v>
      </c>
      <c r="P6226" s="38">
        <v>900.0</v>
      </c>
      <c r="Q6226" s="39"/>
      <c r="R6226" s="39"/>
      <c r="S6226" s="39"/>
      <c r="T6226" s="39"/>
      <c r="U6226" s="39"/>
    </row>
    <row r="6227">
      <c r="A6227" s="40">
        <f t="shared" si="1"/>
        <v>46006</v>
      </c>
      <c r="B6227" s="37" t="str">
        <f t="array" ref="B6227">iferror(xlookup($I6227, 'IMPORT VHC Report'!$E:$E, 'IMPORT VHC Report'!$A:$C), )</f>
        <v/>
      </c>
      <c r="C6227" s="37"/>
      <c r="D6227" s="37"/>
      <c r="E6227" s="38" t="s">
        <v>7393</v>
      </c>
      <c r="F6227" s="38" t="s">
        <v>7377</v>
      </c>
      <c r="G6227" s="38">
        <v>5.047314632975E12</v>
      </c>
      <c r="H6227" s="38" t="s">
        <v>7378</v>
      </c>
      <c r="I6227" s="38" t="s">
        <v>7379</v>
      </c>
      <c r="J6227" s="38" t="s">
        <v>134</v>
      </c>
      <c r="K6227" s="38" t="s">
        <v>126</v>
      </c>
      <c r="L6227" s="41">
        <v>46009.895833333336</v>
      </c>
      <c r="M6227" s="38" t="s">
        <v>123</v>
      </c>
      <c r="N6227" s="41">
        <v>46009.90625</v>
      </c>
      <c r="O6227" s="38" t="s">
        <v>123</v>
      </c>
      <c r="P6227" s="38">
        <v>900.0</v>
      </c>
      <c r="Q6227" s="39"/>
      <c r="R6227" s="39"/>
      <c r="S6227" s="39"/>
      <c r="T6227" s="39"/>
      <c r="U6227" s="39"/>
    </row>
    <row r="6228">
      <c r="A6228" s="40">
        <f t="shared" si="1"/>
        <v>46006</v>
      </c>
      <c r="B6228" s="37" t="str">
        <f t="array" ref="B6228">iferror(xlookup($I6228, 'IMPORT VHC Report'!$E:$E, 'IMPORT VHC Report'!$A:$C), )</f>
        <v/>
      </c>
      <c r="C6228" s="37"/>
      <c r="D6228" s="37"/>
      <c r="E6228" s="38" t="s">
        <v>7394</v>
      </c>
      <c r="F6228" s="38" t="s">
        <v>7377</v>
      </c>
      <c r="G6228" s="38">
        <v>5.047314632975E12</v>
      </c>
      <c r="H6228" s="38" t="s">
        <v>7378</v>
      </c>
      <c r="I6228" s="38" t="s">
        <v>7379</v>
      </c>
      <c r="J6228" s="38" t="s">
        <v>132</v>
      </c>
      <c r="K6228" s="38" t="s">
        <v>126</v>
      </c>
      <c r="L6228" s="41">
        <v>46009.989583333336</v>
      </c>
      <c r="M6228" s="38" t="s">
        <v>123</v>
      </c>
      <c r="N6228" s="41">
        <v>46010.03125</v>
      </c>
      <c r="O6228" s="38" t="s">
        <v>123</v>
      </c>
      <c r="P6228" s="38">
        <v>3600.0</v>
      </c>
      <c r="Q6228" s="39"/>
      <c r="R6228" s="39"/>
      <c r="S6228" s="39"/>
      <c r="T6228" s="39"/>
      <c r="U6228" s="39"/>
    </row>
    <row r="6229">
      <c r="A6229" s="40">
        <f t="shared" si="1"/>
        <v>46006</v>
      </c>
      <c r="B6229" s="37" t="str">
        <f t="array" ref="B6229">iferror(xlookup($I6229, 'IMPORT VHC Report'!$E:$E, 'IMPORT VHC Report'!$A:$C), )</f>
        <v/>
      </c>
      <c r="C6229" s="37"/>
      <c r="D6229" s="37"/>
      <c r="E6229" s="38" t="s">
        <v>7395</v>
      </c>
      <c r="F6229" s="38" t="s">
        <v>7377</v>
      </c>
      <c r="G6229" s="38">
        <v>5.047314632975E12</v>
      </c>
      <c r="H6229" s="38" t="s">
        <v>7378</v>
      </c>
      <c r="I6229" s="38" t="s">
        <v>7379</v>
      </c>
      <c r="J6229" s="38" t="s">
        <v>161</v>
      </c>
      <c r="K6229" s="38" t="s">
        <v>63</v>
      </c>
      <c r="L6229" s="41">
        <v>46010.708333333336</v>
      </c>
      <c r="M6229" s="38" t="s">
        <v>123</v>
      </c>
      <c r="N6229" s="41">
        <v>46011.083333333336</v>
      </c>
      <c r="O6229" s="38" t="s">
        <v>123</v>
      </c>
      <c r="P6229" s="38">
        <v>32400.0</v>
      </c>
      <c r="Q6229" s="39"/>
      <c r="R6229" s="39"/>
      <c r="S6229" s="39"/>
      <c r="T6229" s="39"/>
      <c r="U6229" s="39"/>
    </row>
    <row r="6230">
      <c r="A6230" s="40">
        <f t="shared" si="1"/>
        <v>46006</v>
      </c>
      <c r="B6230" s="37" t="str">
        <f t="array" ref="B6230">iferror(xlookup($I6230, 'IMPORT VHC Report'!$E:$E, 'IMPORT VHC Report'!$A:$C), )</f>
        <v/>
      </c>
      <c r="C6230" s="37"/>
      <c r="D6230" s="37"/>
      <c r="E6230" s="38" t="s">
        <v>7396</v>
      </c>
      <c r="F6230" s="38" t="s">
        <v>7377</v>
      </c>
      <c r="G6230" s="38">
        <v>5.047314632975E12</v>
      </c>
      <c r="H6230" s="38" t="s">
        <v>7378</v>
      </c>
      <c r="I6230" s="38" t="s">
        <v>7379</v>
      </c>
      <c r="J6230" s="38" t="s">
        <v>178</v>
      </c>
      <c r="K6230" s="38" t="s">
        <v>153</v>
      </c>
      <c r="L6230" s="41">
        <v>46010.708333333336</v>
      </c>
      <c r="M6230" s="38" t="s">
        <v>123</v>
      </c>
      <c r="N6230" s="41">
        <v>46011.083333333336</v>
      </c>
      <c r="O6230" s="38" t="s">
        <v>123</v>
      </c>
      <c r="P6230" s="38">
        <v>32400.0</v>
      </c>
      <c r="Q6230" s="38">
        <v>57600.0</v>
      </c>
      <c r="R6230" s="39"/>
      <c r="S6230" s="39"/>
      <c r="T6230" s="39"/>
      <c r="U6230" s="39"/>
    </row>
    <row r="6231">
      <c r="A6231" s="40">
        <f t="shared" si="1"/>
        <v>46006</v>
      </c>
      <c r="B6231" s="37" t="str">
        <f t="array" ref="B6231">iferror(xlookup($I6231, 'IMPORT VHC Report'!$E:$E, 'IMPORT VHC Report'!$A:$C), )</f>
        <v/>
      </c>
      <c r="C6231" s="37"/>
      <c r="D6231" s="37"/>
      <c r="E6231" s="38" t="s">
        <v>7397</v>
      </c>
      <c r="F6231" s="38" t="s">
        <v>7377</v>
      </c>
      <c r="G6231" s="38">
        <v>5.047314632975E12</v>
      </c>
      <c r="H6231" s="38" t="s">
        <v>7378</v>
      </c>
      <c r="I6231" s="38" t="s">
        <v>7379</v>
      </c>
      <c r="J6231" s="38" t="s">
        <v>134</v>
      </c>
      <c r="K6231" s="38" t="s">
        <v>126</v>
      </c>
      <c r="L6231" s="41">
        <v>46010.802083333336</v>
      </c>
      <c r="M6231" s="38" t="s">
        <v>123</v>
      </c>
      <c r="N6231" s="41">
        <v>46010.8125</v>
      </c>
      <c r="O6231" s="38" t="s">
        <v>123</v>
      </c>
      <c r="P6231" s="38">
        <v>900.0</v>
      </c>
      <c r="Q6231" s="39"/>
      <c r="R6231" s="39"/>
      <c r="S6231" s="39"/>
      <c r="T6231" s="39"/>
      <c r="U6231" s="39"/>
    </row>
    <row r="6232">
      <c r="A6232" s="40">
        <f t="shared" si="1"/>
        <v>46006</v>
      </c>
      <c r="B6232" s="37" t="str">
        <f t="array" ref="B6232">iferror(xlookup($I6232, 'IMPORT VHC Report'!$E:$E, 'IMPORT VHC Report'!$A:$C), )</f>
        <v/>
      </c>
      <c r="C6232" s="37"/>
      <c r="D6232" s="37"/>
      <c r="E6232" s="38" t="s">
        <v>7398</v>
      </c>
      <c r="F6232" s="38" t="s">
        <v>7377</v>
      </c>
      <c r="G6232" s="38">
        <v>5.047314632975E12</v>
      </c>
      <c r="H6232" s="38" t="s">
        <v>7378</v>
      </c>
      <c r="I6232" s="38" t="s">
        <v>7379</v>
      </c>
      <c r="J6232" s="38" t="s">
        <v>134</v>
      </c>
      <c r="K6232" s="38" t="s">
        <v>126</v>
      </c>
      <c r="L6232" s="41">
        <v>46010.854166666664</v>
      </c>
      <c r="M6232" s="38" t="s">
        <v>123</v>
      </c>
      <c r="N6232" s="41">
        <v>46010.864583333336</v>
      </c>
      <c r="O6232" s="38" t="s">
        <v>123</v>
      </c>
      <c r="P6232" s="38">
        <v>900.0</v>
      </c>
      <c r="Q6232" s="39"/>
      <c r="R6232" s="39"/>
      <c r="S6232" s="39"/>
      <c r="T6232" s="39"/>
      <c r="U6232" s="39"/>
    </row>
    <row r="6233">
      <c r="A6233" s="40">
        <f t="shared" si="1"/>
        <v>46006</v>
      </c>
      <c r="B6233" s="37" t="str">
        <f t="array" ref="B6233">iferror(xlookup($I6233, 'IMPORT VHC Report'!$E:$E, 'IMPORT VHC Report'!$A:$C), )</f>
        <v/>
      </c>
      <c r="C6233" s="37"/>
      <c r="D6233" s="37"/>
      <c r="E6233" s="38" t="s">
        <v>7399</v>
      </c>
      <c r="F6233" s="38" t="s">
        <v>7377</v>
      </c>
      <c r="G6233" s="38">
        <v>5.047314632975E12</v>
      </c>
      <c r="H6233" s="38" t="s">
        <v>7378</v>
      </c>
      <c r="I6233" s="38" t="s">
        <v>7379</v>
      </c>
      <c r="J6233" s="38" t="s">
        <v>132</v>
      </c>
      <c r="K6233" s="38" t="s">
        <v>126</v>
      </c>
      <c r="L6233" s="41">
        <v>46010.958333333336</v>
      </c>
      <c r="M6233" s="38" t="s">
        <v>123</v>
      </c>
      <c r="N6233" s="41">
        <v>46011.0</v>
      </c>
      <c r="O6233" s="38" t="s">
        <v>123</v>
      </c>
      <c r="P6233" s="38">
        <v>3600.0</v>
      </c>
      <c r="Q6233" s="39"/>
      <c r="R6233" s="39"/>
      <c r="S6233" s="39"/>
      <c r="T6233" s="39"/>
      <c r="U6233" s="39"/>
    </row>
    <row r="6234">
      <c r="A6234" s="40">
        <f t="shared" si="1"/>
        <v>46006</v>
      </c>
      <c r="B6234" s="37" t="str">
        <f t="array" ref="B6234">iferror(xlookup($I6234, 'IMPORT VHC Report'!$E:$E, 'IMPORT VHC Report'!$A:$C), )</f>
        <v/>
      </c>
      <c r="C6234" s="37"/>
      <c r="D6234" s="37"/>
      <c r="E6234" s="38" t="s">
        <v>7400</v>
      </c>
      <c r="F6234" s="38" t="s">
        <v>7377</v>
      </c>
      <c r="G6234" s="38">
        <v>5.047314632975E12</v>
      </c>
      <c r="H6234" s="38" t="s">
        <v>7378</v>
      </c>
      <c r="I6234" s="38" t="s">
        <v>7379</v>
      </c>
      <c r="J6234" s="38" t="s">
        <v>161</v>
      </c>
      <c r="K6234" s="38" t="s">
        <v>63</v>
      </c>
      <c r="L6234" s="41">
        <v>46011.708333333336</v>
      </c>
      <c r="M6234" s="38" t="s">
        <v>123</v>
      </c>
      <c r="N6234" s="41">
        <v>46012.083333333336</v>
      </c>
      <c r="O6234" s="38" t="s">
        <v>123</v>
      </c>
      <c r="P6234" s="38">
        <v>32400.0</v>
      </c>
      <c r="Q6234" s="39"/>
      <c r="R6234" s="39"/>
      <c r="S6234" s="39"/>
      <c r="T6234" s="39"/>
      <c r="U6234" s="39"/>
    </row>
    <row r="6235">
      <c r="A6235" s="40">
        <f t="shared" si="1"/>
        <v>46006</v>
      </c>
      <c r="B6235" s="37" t="str">
        <f t="array" ref="B6235">iferror(xlookup($I6235, 'IMPORT VHC Report'!$E:$E, 'IMPORT VHC Report'!$A:$C), )</f>
        <v/>
      </c>
      <c r="C6235" s="37"/>
      <c r="D6235" s="37"/>
      <c r="E6235" s="38" t="s">
        <v>7401</v>
      </c>
      <c r="F6235" s="38" t="s">
        <v>7377</v>
      </c>
      <c r="G6235" s="38">
        <v>5.047314632975E12</v>
      </c>
      <c r="H6235" s="38" t="s">
        <v>7378</v>
      </c>
      <c r="I6235" s="38" t="s">
        <v>7379</v>
      </c>
      <c r="J6235" s="38" t="s">
        <v>178</v>
      </c>
      <c r="K6235" s="38" t="s">
        <v>153</v>
      </c>
      <c r="L6235" s="41">
        <v>46011.708333333336</v>
      </c>
      <c r="M6235" s="38" t="s">
        <v>123</v>
      </c>
      <c r="N6235" s="41">
        <v>46012.083333333336</v>
      </c>
      <c r="O6235" s="38" t="s">
        <v>123</v>
      </c>
      <c r="P6235" s="38">
        <v>32400.0</v>
      </c>
      <c r="Q6235" s="38">
        <v>32400.0</v>
      </c>
      <c r="R6235" s="39"/>
      <c r="S6235" s="39"/>
      <c r="T6235" s="39"/>
      <c r="U6235" s="39"/>
    </row>
    <row r="6236">
      <c r="A6236" s="40">
        <f t="shared" si="1"/>
        <v>46006</v>
      </c>
      <c r="B6236" s="37" t="str">
        <f t="array" ref="B6236">iferror(xlookup($I6236, 'IMPORT VHC Report'!$E:$E, 'IMPORT VHC Report'!$A:$C), )</f>
        <v/>
      </c>
      <c r="C6236" s="37"/>
      <c r="D6236" s="37"/>
      <c r="E6236" s="38" t="s">
        <v>7402</v>
      </c>
      <c r="F6236" s="38" t="s">
        <v>7377</v>
      </c>
      <c r="G6236" s="38">
        <v>5.047314632975E12</v>
      </c>
      <c r="H6236" s="38" t="s">
        <v>7378</v>
      </c>
      <c r="I6236" s="38" t="s">
        <v>7379</v>
      </c>
      <c r="J6236" s="38" t="s">
        <v>134</v>
      </c>
      <c r="K6236" s="38" t="s">
        <v>126</v>
      </c>
      <c r="L6236" s="41">
        <v>46011.802083333336</v>
      </c>
      <c r="M6236" s="38" t="s">
        <v>123</v>
      </c>
      <c r="N6236" s="41">
        <v>46011.8125</v>
      </c>
      <c r="O6236" s="38" t="s">
        <v>123</v>
      </c>
      <c r="P6236" s="38">
        <v>900.0</v>
      </c>
      <c r="Q6236" s="39"/>
      <c r="R6236" s="39"/>
      <c r="S6236" s="39"/>
      <c r="T6236" s="39"/>
      <c r="U6236" s="39"/>
    </row>
    <row r="6237">
      <c r="A6237" s="40">
        <f t="shared" si="1"/>
        <v>46006</v>
      </c>
      <c r="B6237" s="37" t="str">
        <f t="array" ref="B6237">iferror(xlookup($I6237, 'IMPORT VHC Report'!$E:$E, 'IMPORT VHC Report'!$A:$C), )</f>
        <v/>
      </c>
      <c r="C6237" s="37"/>
      <c r="D6237" s="37"/>
      <c r="E6237" s="38" t="s">
        <v>7403</v>
      </c>
      <c r="F6237" s="38" t="s">
        <v>7377</v>
      </c>
      <c r="G6237" s="38">
        <v>5.047314632975E12</v>
      </c>
      <c r="H6237" s="38" t="s">
        <v>7378</v>
      </c>
      <c r="I6237" s="38" t="s">
        <v>7379</v>
      </c>
      <c r="J6237" s="38" t="s">
        <v>132</v>
      </c>
      <c r="K6237" s="38" t="s">
        <v>126</v>
      </c>
      <c r="L6237" s="41">
        <v>46011.90625</v>
      </c>
      <c r="M6237" s="38" t="s">
        <v>123</v>
      </c>
      <c r="N6237" s="41">
        <v>46011.947916666664</v>
      </c>
      <c r="O6237" s="38" t="s">
        <v>123</v>
      </c>
      <c r="P6237" s="38">
        <v>3600.0</v>
      </c>
      <c r="Q6237" s="39"/>
      <c r="R6237" s="39"/>
      <c r="S6237" s="39"/>
      <c r="T6237" s="39"/>
      <c r="U6237" s="39"/>
    </row>
    <row r="6238">
      <c r="A6238" s="40">
        <f t="shared" si="1"/>
        <v>46006</v>
      </c>
      <c r="B6238" s="37" t="str">
        <f t="array" ref="B6238">iferror(xlookup($I6238, 'IMPORT VHC Report'!$E:$E, 'IMPORT VHC Report'!$A:$C), )</f>
        <v/>
      </c>
      <c r="C6238" s="37"/>
      <c r="D6238" s="37"/>
      <c r="E6238" s="38" t="s">
        <v>7404</v>
      </c>
      <c r="F6238" s="38" t="s">
        <v>7377</v>
      </c>
      <c r="G6238" s="38">
        <v>5.047314632975E12</v>
      </c>
      <c r="H6238" s="38" t="s">
        <v>7378</v>
      </c>
      <c r="I6238" s="38" t="s">
        <v>7379</v>
      </c>
      <c r="J6238" s="38" t="s">
        <v>134</v>
      </c>
      <c r="K6238" s="38" t="s">
        <v>126</v>
      </c>
      <c r="L6238" s="41">
        <v>46012.010416666664</v>
      </c>
      <c r="M6238" s="38" t="s">
        <v>123</v>
      </c>
      <c r="N6238" s="41">
        <v>46012.020833333336</v>
      </c>
      <c r="O6238" s="38" t="s">
        <v>123</v>
      </c>
      <c r="P6238" s="38">
        <v>900.0</v>
      </c>
      <c r="Q6238" s="39"/>
      <c r="R6238" s="39"/>
      <c r="S6238" s="39"/>
      <c r="T6238" s="39"/>
      <c r="U6238" s="39"/>
    </row>
    <row r="6239">
      <c r="A6239" s="40">
        <f t="shared" si="1"/>
        <v>46006</v>
      </c>
      <c r="B6239" s="37" t="str">
        <f t="array" ref="B6239">iferror(xlookup($I6239, 'IMPORT VHC Report'!$E:$E, 'IMPORT VHC Report'!$A:$C), )</f>
        <v/>
      </c>
      <c r="C6239" s="37"/>
      <c r="D6239" s="37"/>
      <c r="E6239" s="38" t="s">
        <v>7405</v>
      </c>
      <c r="F6239" s="38" t="s">
        <v>7406</v>
      </c>
      <c r="G6239" s="38">
        <v>3.61744044436E11</v>
      </c>
      <c r="H6239" s="38" t="s">
        <v>7407</v>
      </c>
      <c r="I6239" s="38" t="s">
        <v>7408</v>
      </c>
      <c r="J6239" s="38" t="s">
        <v>332</v>
      </c>
      <c r="K6239" s="38" t="s">
        <v>63</v>
      </c>
      <c r="L6239" s="41">
        <v>46007.708333333336</v>
      </c>
      <c r="M6239" s="38" t="s">
        <v>123</v>
      </c>
      <c r="N6239" s="41">
        <v>46008.083333333336</v>
      </c>
      <c r="O6239" s="38" t="s">
        <v>123</v>
      </c>
      <c r="P6239" s="38">
        <v>32400.0</v>
      </c>
      <c r="Q6239" s="39"/>
      <c r="R6239" s="39"/>
      <c r="S6239" s="39"/>
      <c r="T6239" s="39"/>
      <c r="U6239" s="39"/>
    </row>
    <row r="6240">
      <c r="A6240" s="40">
        <f t="shared" si="1"/>
        <v>46006</v>
      </c>
      <c r="B6240" s="37" t="str">
        <f t="array" ref="B6240">iferror(xlookup($I6240, 'IMPORT VHC Report'!$E:$E, 'IMPORT VHC Report'!$A:$C), )</f>
        <v/>
      </c>
      <c r="C6240" s="37"/>
      <c r="D6240" s="37"/>
      <c r="E6240" s="38" t="s">
        <v>7409</v>
      </c>
      <c r="F6240" s="38" t="s">
        <v>7406</v>
      </c>
      <c r="G6240" s="38">
        <v>3.61744044436E11</v>
      </c>
      <c r="H6240" s="38" t="s">
        <v>7407</v>
      </c>
      <c r="I6240" s="38" t="s">
        <v>7408</v>
      </c>
      <c r="J6240" s="38" t="s">
        <v>134</v>
      </c>
      <c r="K6240" s="38" t="s">
        <v>126</v>
      </c>
      <c r="L6240" s="41">
        <v>46008.020833333336</v>
      </c>
      <c r="M6240" s="38" t="s">
        <v>123</v>
      </c>
      <c r="N6240" s="41">
        <v>46008.041666666664</v>
      </c>
      <c r="O6240" s="38" t="s">
        <v>123</v>
      </c>
      <c r="P6240" s="38">
        <v>1800.0</v>
      </c>
      <c r="Q6240" s="39"/>
      <c r="R6240" s="39"/>
      <c r="S6240" s="39"/>
      <c r="T6240" s="39"/>
      <c r="U6240" s="39"/>
    </row>
    <row r="6241">
      <c r="A6241" s="40">
        <f t="shared" si="1"/>
        <v>46006</v>
      </c>
      <c r="B6241" s="37" t="str">
        <f t="array" ref="B6241">iferror(xlookup($I6241, 'IMPORT VHC Report'!$E:$E, 'IMPORT VHC Report'!$A:$C), )</f>
        <v/>
      </c>
      <c r="C6241" s="37"/>
      <c r="D6241" s="37"/>
      <c r="E6241" s="38" t="s">
        <v>7410</v>
      </c>
      <c r="F6241" s="38" t="s">
        <v>7406</v>
      </c>
      <c r="G6241" s="38">
        <v>3.61744044436E11</v>
      </c>
      <c r="H6241" s="38" t="s">
        <v>7407</v>
      </c>
      <c r="I6241" s="38" t="s">
        <v>7408</v>
      </c>
      <c r="J6241" s="38" t="s">
        <v>132</v>
      </c>
      <c r="K6241" s="38" t="s">
        <v>126</v>
      </c>
      <c r="L6241" s="41">
        <v>46008.041666666664</v>
      </c>
      <c r="M6241" s="38" t="s">
        <v>123</v>
      </c>
      <c r="N6241" s="41">
        <v>46008.083333333336</v>
      </c>
      <c r="O6241" s="38" t="s">
        <v>123</v>
      </c>
      <c r="P6241" s="38">
        <v>3600.0</v>
      </c>
      <c r="Q6241" s="39"/>
      <c r="R6241" s="39"/>
      <c r="S6241" s="39"/>
      <c r="T6241" s="39"/>
      <c r="U6241" s="39"/>
    </row>
    <row r="6242">
      <c r="A6242" s="40">
        <f t="shared" si="1"/>
        <v>46006</v>
      </c>
      <c r="B6242" s="37" t="str">
        <f t="array" ref="B6242">iferror(xlookup($I6242, 'IMPORT VHC Report'!$E:$E, 'IMPORT VHC Report'!$A:$C), )</f>
        <v/>
      </c>
      <c r="C6242" s="37"/>
      <c r="D6242" s="37"/>
      <c r="E6242" s="38" t="s">
        <v>7411</v>
      </c>
      <c r="F6242" s="38" t="s">
        <v>7406</v>
      </c>
      <c r="G6242" s="38">
        <v>3.61744044436E11</v>
      </c>
      <c r="H6242" s="38" t="s">
        <v>7407</v>
      </c>
      <c r="I6242" s="38" t="s">
        <v>7408</v>
      </c>
      <c r="J6242" s="38" t="s">
        <v>136</v>
      </c>
      <c r="K6242" s="38" t="s">
        <v>126</v>
      </c>
      <c r="L6242" s="41">
        <v>46008.666666666664</v>
      </c>
      <c r="M6242" s="38" t="s">
        <v>123</v>
      </c>
      <c r="N6242" s="41">
        <v>46008.833333333336</v>
      </c>
      <c r="O6242" s="38" t="s">
        <v>123</v>
      </c>
      <c r="P6242" s="38">
        <v>14400.0</v>
      </c>
      <c r="Q6242" s="39"/>
      <c r="R6242" s="39"/>
      <c r="S6242" s="38" t="s">
        <v>1098</v>
      </c>
      <c r="T6242" s="39"/>
      <c r="U6242" s="39"/>
    </row>
    <row r="6243">
      <c r="A6243" s="40">
        <f t="shared" si="1"/>
        <v>46006</v>
      </c>
      <c r="B6243" s="37" t="str">
        <f t="array" ref="B6243">iferror(xlookup($I6243, 'IMPORT VHC Report'!$E:$E, 'IMPORT VHC Report'!$A:$C), )</f>
        <v/>
      </c>
      <c r="C6243" s="37"/>
      <c r="D6243" s="37"/>
      <c r="E6243" s="38" t="s">
        <v>7412</v>
      </c>
      <c r="F6243" s="38" t="s">
        <v>7406</v>
      </c>
      <c r="G6243" s="38">
        <v>3.61744044436E11</v>
      </c>
      <c r="H6243" s="38" t="s">
        <v>7407</v>
      </c>
      <c r="I6243" s="38" t="s">
        <v>7408</v>
      </c>
      <c r="J6243" s="38" t="s">
        <v>332</v>
      </c>
      <c r="K6243" s="38" t="s">
        <v>63</v>
      </c>
      <c r="L6243" s="41">
        <v>46008.666666666664</v>
      </c>
      <c r="M6243" s="38" t="s">
        <v>123</v>
      </c>
      <c r="N6243" s="41">
        <v>46008.895833333336</v>
      </c>
      <c r="O6243" s="38" t="s">
        <v>123</v>
      </c>
      <c r="P6243" s="38">
        <v>19800.0</v>
      </c>
      <c r="Q6243" s="39"/>
      <c r="R6243" s="39"/>
      <c r="S6243" s="39"/>
      <c r="T6243" s="39"/>
      <c r="U6243" s="39"/>
    </row>
    <row r="6244">
      <c r="A6244" s="40">
        <f t="shared" si="1"/>
        <v>46006</v>
      </c>
      <c r="B6244" s="37" t="str">
        <f t="array" ref="B6244">iferror(xlookup($I6244, 'IMPORT VHC Report'!$E:$E, 'IMPORT VHC Report'!$A:$C), )</f>
        <v/>
      </c>
      <c r="C6244" s="37"/>
      <c r="D6244" s="37"/>
      <c r="E6244" s="38" t="s">
        <v>7413</v>
      </c>
      <c r="F6244" s="38" t="s">
        <v>7406</v>
      </c>
      <c r="G6244" s="38">
        <v>3.61744044436E11</v>
      </c>
      <c r="H6244" s="38" t="s">
        <v>7407</v>
      </c>
      <c r="I6244" s="38" t="s">
        <v>7408</v>
      </c>
      <c r="J6244" s="38" t="s">
        <v>134</v>
      </c>
      <c r="K6244" s="38" t="s">
        <v>126</v>
      </c>
      <c r="L6244" s="41">
        <v>46008.833333333336</v>
      </c>
      <c r="M6244" s="38" t="s">
        <v>123</v>
      </c>
      <c r="N6244" s="41">
        <v>46008.854166666664</v>
      </c>
      <c r="O6244" s="38" t="s">
        <v>123</v>
      </c>
      <c r="P6244" s="38">
        <v>1800.0</v>
      </c>
      <c r="Q6244" s="39"/>
      <c r="R6244" s="39"/>
      <c r="S6244" s="39"/>
      <c r="T6244" s="39"/>
      <c r="U6244" s="39"/>
    </row>
    <row r="6245">
      <c r="A6245" s="40">
        <f t="shared" si="1"/>
        <v>46006</v>
      </c>
      <c r="B6245" s="37" t="str">
        <f t="array" ref="B6245">iferror(xlookup($I6245, 'IMPORT VHC Report'!$E:$E, 'IMPORT VHC Report'!$A:$C), )</f>
        <v/>
      </c>
      <c r="C6245" s="37"/>
      <c r="D6245" s="37"/>
      <c r="E6245" s="38" t="s">
        <v>7414</v>
      </c>
      <c r="F6245" s="38" t="s">
        <v>7406</v>
      </c>
      <c r="G6245" s="38">
        <v>3.61744044436E11</v>
      </c>
      <c r="H6245" s="38" t="s">
        <v>7407</v>
      </c>
      <c r="I6245" s="38" t="s">
        <v>7408</v>
      </c>
      <c r="J6245" s="38" t="s">
        <v>62</v>
      </c>
      <c r="K6245" s="38" t="s">
        <v>63</v>
      </c>
      <c r="L6245" s="41">
        <v>46008.833333333336</v>
      </c>
      <c r="M6245" s="38" t="s">
        <v>123</v>
      </c>
      <c r="N6245" s="41">
        <v>46008.979166666664</v>
      </c>
      <c r="O6245" s="38" t="s">
        <v>123</v>
      </c>
      <c r="P6245" s="38">
        <v>12600.0</v>
      </c>
      <c r="Q6245" s="39"/>
      <c r="R6245" s="39"/>
      <c r="S6245" s="39"/>
      <c r="T6245" s="39"/>
      <c r="U6245" s="39"/>
    </row>
    <row r="6246">
      <c r="A6246" s="40">
        <f t="shared" si="1"/>
        <v>46006</v>
      </c>
      <c r="B6246" s="37" t="str">
        <f t="array" ref="B6246">iferror(xlookup($I6246, 'IMPORT VHC Report'!$E:$E, 'IMPORT VHC Report'!$A:$C), )</f>
        <v/>
      </c>
      <c r="C6246" s="37"/>
      <c r="D6246" s="37"/>
      <c r="E6246" s="38" t="s">
        <v>7415</v>
      </c>
      <c r="F6246" s="38" t="s">
        <v>7406</v>
      </c>
      <c r="G6246" s="38">
        <v>3.61744044436E11</v>
      </c>
      <c r="H6246" s="38" t="s">
        <v>7407</v>
      </c>
      <c r="I6246" s="38" t="s">
        <v>7408</v>
      </c>
      <c r="J6246" s="38" t="s">
        <v>132</v>
      </c>
      <c r="K6246" s="38" t="s">
        <v>126</v>
      </c>
      <c r="L6246" s="41">
        <v>46008.854166666664</v>
      </c>
      <c r="M6246" s="38" t="s">
        <v>123</v>
      </c>
      <c r="N6246" s="41">
        <v>46008.895833333336</v>
      </c>
      <c r="O6246" s="38" t="s">
        <v>123</v>
      </c>
      <c r="P6246" s="38">
        <v>3600.0</v>
      </c>
      <c r="Q6246" s="39"/>
      <c r="R6246" s="39"/>
      <c r="S6246" s="39"/>
      <c r="T6246" s="39"/>
      <c r="U6246" s="39"/>
    </row>
    <row r="6247">
      <c r="A6247" s="40">
        <f t="shared" si="1"/>
        <v>46006</v>
      </c>
      <c r="B6247" s="37" t="str">
        <f t="array" ref="B6247">iferror(xlookup($I6247, 'IMPORT VHC Report'!$E:$E, 'IMPORT VHC Report'!$A:$C), )</f>
        <v/>
      </c>
      <c r="C6247" s="37"/>
      <c r="D6247" s="37"/>
      <c r="E6247" s="38" t="s">
        <v>7416</v>
      </c>
      <c r="F6247" s="38" t="s">
        <v>7406</v>
      </c>
      <c r="G6247" s="38">
        <v>3.61744044436E11</v>
      </c>
      <c r="H6247" s="38" t="s">
        <v>7407</v>
      </c>
      <c r="I6247" s="38" t="s">
        <v>7408</v>
      </c>
      <c r="J6247" s="38" t="s">
        <v>4</v>
      </c>
      <c r="K6247" s="38" t="s">
        <v>126</v>
      </c>
      <c r="L6247" s="41">
        <v>46008.90625</v>
      </c>
      <c r="M6247" s="38" t="s">
        <v>123</v>
      </c>
      <c r="N6247" s="41">
        <v>46008.947916666664</v>
      </c>
      <c r="O6247" s="38" t="s">
        <v>123</v>
      </c>
      <c r="P6247" s="38">
        <v>3600.0</v>
      </c>
      <c r="Q6247" s="39"/>
      <c r="R6247" s="39"/>
      <c r="S6247" s="38" t="s">
        <v>130</v>
      </c>
      <c r="T6247" s="39"/>
      <c r="U6247" s="39"/>
    </row>
    <row r="6248">
      <c r="A6248" s="40">
        <f t="shared" si="1"/>
        <v>46006</v>
      </c>
      <c r="B6248" s="37" t="str">
        <f t="array" ref="B6248">iferror(xlookup($I6248, 'IMPORT VHC Report'!$E:$E, 'IMPORT VHC Report'!$A:$C), )</f>
        <v/>
      </c>
      <c r="C6248" s="37"/>
      <c r="D6248" s="37"/>
      <c r="E6248" s="38" t="s">
        <v>7417</v>
      </c>
      <c r="F6248" s="38" t="s">
        <v>7406</v>
      </c>
      <c r="G6248" s="38">
        <v>3.61744044436E11</v>
      </c>
      <c r="H6248" s="38" t="s">
        <v>7407</v>
      </c>
      <c r="I6248" s="38" t="s">
        <v>7408</v>
      </c>
      <c r="J6248" s="38" t="s">
        <v>332</v>
      </c>
      <c r="K6248" s="38" t="s">
        <v>63</v>
      </c>
      <c r="L6248" s="41">
        <v>46008.979166666664</v>
      </c>
      <c r="M6248" s="38" t="s">
        <v>123</v>
      </c>
      <c r="N6248" s="41">
        <v>46009.041666666664</v>
      </c>
      <c r="O6248" s="38" t="s">
        <v>123</v>
      </c>
      <c r="P6248" s="38">
        <v>5400.0</v>
      </c>
      <c r="Q6248" s="39"/>
      <c r="R6248" s="39"/>
      <c r="S6248" s="39"/>
      <c r="T6248" s="39"/>
      <c r="U6248" s="39"/>
    </row>
    <row r="6249">
      <c r="A6249" s="40">
        <f t="shared" si="1"/>
        <v>46006</v>
      </c>
      <c r="B6249" s="37" t="str">
        <f t="array" ref="B6249">iferror(xlookup($I6249, 'IMPORT VHC Report'!$E:$E, 'IMPORT VHC Report'!$A:$C), )</f>
        <v/>
      </c>
      <c r="C6249" s="37"/>
      <c r="D6249" s="37"/>
      <c r="E6249" s="38" t="s">
        <v>7418</v>
      </c>
      <c r="F6249" s="38" t="s">
        <v>7406</v>
      </c>
      <c r="G6249" s="38">
        <v>3.61744044436E11</v>
      </c>
      <c r="H6249" s="38" t="s">
        <v>7407</v>
      </c>
      <c r="I6249" s="38" t="s">
        <v>7408</v>
      </c>
      <c r="J6249" s="38" t="s">
        <v>332</v>
      </c>
      <c r="K6249" s="38" t="s">
        <v>63</v>
      </c>
      <c r="L6249" s="41">
        <v>46009.708333333336</v>
      </c>
      <c r="M6249" s="38" t="s">
        <v>123</v>
      </c>
      <c r="N6249" s="41">
        <v>46010.083333333336</v>
      </c>
      <c r="O6249" s="38" t="s">
        <v>123</v>
      </c>
      <c r="P6249" s="38">
        <v>32400.0</v>
      </c>
      <c r="Q6249" s="39"/>
      <c r="R6249" s="39"/>
      <c r="S6249" s="39"/>
      <c r="T6249" s="39"/>
      <c r="U6249" s="39"/>
    </row>
    <row r="6250">
      <c r="A6250" s="40">
        <f t="shared" si="1"/>
        <v>46006</v>
      </c>
      <c r="B6250" s="37" t="str">
        <f t="array" ref="B6250">iferror(xlookup($I6250, 'IMPORT VHC Report'!$E:$E, 'IMPORT VHC Report'!$A:$C), )</f>
        <v/>
      </c>
      <c r="C6250" s="37"/>
      <c r="D6250" s="37"/>
      <c r="E6250" s="38" t="s">
        <v>7419</v>
      </c>
      <c r="F6250" s="38" t="s">
        <v>7406</v>
      </c>
      <c r="G6250" s="38">
        <v>3.61744044436E11</v>
      </c>
      <c r="H6250" s="38" t="s">
        <v>7407</v>
      </c>
      <c r="I6250" s="38" t="s">
        <v>7408</v>
      </c>
      <c r="J6250" s="38" t="s">
        <v>134</v>
      </c>
      <c r="K6250" s="38" t="s">
        <v>126</v>
      </c>
      <c r="L6250" s="41">
        <v>46010.020833333336</v>
      </c>
      <c r="M6250" s="38" t="s">
        <v>123</v>
      </c>
      <c r="N6250" s="41">
        <v>46010.041666666664</v>
      </c>
      <c r="O6250" s="38" t="s">
        <v>123</v>
      </c>
      <c r="P6250" s="38">
        <v>1800.0</v>
      </c>
      <c r="Q6250" s="39"/>
      <c r="R6250" s="39"/>
      <c r="S6250" s="39"/>
      <c r="T6250" s="39"/>
      <c r="U6250" s="39"/>
    </row>
    <row r="6251">
      <c r="A6251" s="40">
        <f t="shared" si="1"/>
        <v>46006</v>
      </c>
      <c r="B6251" s="37" t="str">
        <f t="array" ref="B6251">iferror(xlookup($I6251, 'IMPORT VHC Report'!$E:$E, 'IMPORT VHC Report'!$A:$C), )</f>
        <v/>
      </c>
      <c r="C6251" s="37"/>
      <c r="D6251" s="37"/>
      <c r="E6251" s="38" t="s">
        <v>7420</v>
      </c>
      <c r="F6251" s="38" t="s">
        <v>7406</v>
      </c>
      <c r="G6251" s="38">
        <v>3.61744044436E11</v>
      </c>
      <c r="H6251" s="38" t="s">
        <v>7407</v>
      </c>
      <c r="I6251" s="38" t="s">
        <v>7408</v>
      </c>
      <c r="J6251" s="38" t="s">
        <v>132</v>
      </c>
      <c r="K6251" s="38" t="s">
        <v>126</v>
      </c>
      <c r="L6251" s="41">
        <v>46010.041666666664</v>
      </c>
      <c r="M6251" s="38" t="s">
        <v>123</v>
      </c>
      <c r="N6251" s="41">
        <v>46010.083333333336</v>
      </c>
      <c r="O6251" s="38" t="s">
        <v>123</v>
      </c>
      <c r="P6251" s="38">
        <v>3600.0</v>
      </c>
      <c r="Q6251" s="39"/>
      <c r="R6251" s="39"/>
      <c r="S6251" s="39"/>
      <c r="T6251" s="39"/>
      <c r="U6251" s="39"/>
    </row>
    <row r="6252">
      <c r="A6252" s="40">
        <f t="shared" si="1"/>
        <v>46006</v>
      </c>
      <c r="B6252" s="37" t="str">
        <f t="array" ref="B6252">iferror(xlookup($I6252, 'IMPORT VHC Report'!$E:$E, 'IMPORT VHC Report'!$A:$C), )</f>
        <v/>
      </c>
      <c r="C6252" s="37"/>
      <c r="D6252" s="37"/>
      <c r="E6252" s="38" t="s">
        <v>7421</v>
      </c>
      <c r="F6252" s="38" t="s">
        <v>7406</v>
      </c>
      <c r="G6252" s="38">
        <v>3.61744044436E11</v>
      </c>
      <c r="H6252" s="38" t="s">
        <v>7407</v>
      </c>
      <c r="I6252" s="38" t="s">
        <v>7408</v>
      </c>
      <c r="J6252" s="38" t="s">
        <v>332</v>
      </c>
      <c r="K6252" s="38" t="s">
        <v>63</v>
      </c>
      <c r="L6252" s="41">
        <v>46010.708333333336</v>
      </c>
      <c r="M6252" s="38" t="s">
        <v>123</v>
      </c>
      <c r="N6252" s="41">
        <v>46011.083333333336</v>
      </c>
      <c r="O6252" s="38" t="s">
        <v>123</v>
      </c>
      <c r="P6252" s="38">
        <v>32400.0</v>
      </c>
      <c r="Q6252" s="39"/>
      <c r="R6252" s="39"/>
      <c r="S6252" s="39"/>
      <c r="T6252" s="39"/>
      <c r="U6252" s="39"/>
    </row>
    <row r="6253">
      <c r="A6253" s="40">
        <f t="shared" si="1"/>
        <v>46006</v>
      </c>
      <c r="B6253" s="37" t="str">
        <f t="array" ref="B6253">iferror(xlookup($I6253, 'IMPORT VHC Report'!$E:$E, 'IMPORT VHC Report'!$A:$C), )</f>
        <v/>
      </c>
      <c r="C6253" s="37"/>
      <c r="D6253" s="37"/>
      <c r="E6253" s="38" t="s">
        <v>7422</v>
      </c>
      <c r="F6253" s="38" t="s">
        <v>7406</v>
      </c>
      <c r="G6253" s="38">
        <v>3.61744044436E11</v>
      </c>
      <c r="H6253" s="38" t="s">
        <v>7407</v>
      </c>
      <c r="I6253" s="38" t="s">
        <v>7408</v>
      </c>
      <c r="J6253" s="38" t="s">
        <v>134</v>
      </c>
      <c r="K6253" s="38" t="s">
        <v>126</v>
      </c>
      <c r="L6253" s="41">
        <v>46011.020833333336</v>
      </c>
      <c r="M6253" s="38" t="s">
        <v>123</v>
      </c>
      <c r="N6253" s="41">
        <v>46011.041666666664</v>
      </c>
      <c r="O6253" s="38" t="s">
        <v>123</v>
      </c>
      <c r="P6253" s="38">
        <v>1800.0</v>
      </c>
      <c r="Q6253" s="39"/>
      <c r="R6253" s="39"/>
      <c r="S6253" s="39"/>
      <c r="T6253" s="39"/>
      <c r="U6253" s="39"/>
    </row>
    <row r="6254">
      <c r="A6254" s="40">
        <f t="shared" si="1"/>
        <v>46006</v>
      </c>
      <c r="B6254" s="37" t="str">
        <f t="array" ref="B6254">iferror(xlookup($I6254, 'IMPORT VHC Report'!$E:$E, 'IMPORT VHC Report'!$A:$C), )</f>
        <v/>
      </c>
      <c r="C6254" s="37"/>
      <c r="D6254" s="37"/>
      <c r="E6254" s="38" t="s">
        <v>7423</v>
      </c>
      <c r="F6254" s="38" t="s">
        <v>7406</v>
      </c>
      <c r="G6254" s="38">
        <v>3.61744044436E11</v>
      </c>
      <c r="H6254" s="38" t="s">
        <v>7407</v>
      </c>
      <c r="I6254" s="38" t="s">
        <v>7408</v>
      </c>
      <c r="J6254" s="38" t="s">
        <v>132</v>
      </c>
      <c r="K6254" s="38" t="s">
        <v>126</v>
      </c>
      <c r="L6254" s="41">
        <v>46011.041666666664</v>
      </c>
      <c r="M6254" s="38" t="s">
        <v>123</v>
      </c>
      <c r="N6254" s="41">
        <v>46011.083333333336</v>
      </c>
      <c r="O6254" s="38" t="s">
        <v>123</v>
      </c>
      <c r="P6254" s="38">
        <v>3600.0</v>
      </c>
      <c r="Q6254" s="39"/>
      <c r="R6254" s="39"/>
      <c r="S6254" s="39"/>
      <c r="T6254" s="39"/>
      <c r="U6254" s="39"/>
    </row>
    <row r="6255">
      <c r="A6255" s="40">
        <f t="shared" si="1"/>
        <v>46006</v>
      </c>
      <c r="B6255" s="37" t="str">
        <f t="array" ref="B6255">iferror(xlookup($I6255, 'IMPORT VHC Report'!$E:$E, 'IMPORT VHC Report'!$A:$C), )</f>
        <v/>
      </c>
      <c r="C6255" s="37"/>
      <c r="D6255" s="37"/>
      <c r="E6255" s="38" t="s">
        <v>7424</v>
      </c>
      <c r="F6255" s="38" t="s">
        <v>7406</v>
      </c>
      <c r="G6255" s="38">
        <v>3.61744044436E11</v>
      </c>
      <c r="H6255" s="38" t="s">
        <v>7407</v>
      </c>
      <c r="I6255" s="38" t="s">
        <v>7408</v>
      </c>
      <c r="J6255" s="38" t="s">
        <v>332</v>
      </c>
      <c r="K6255" s="38" t="s">
        <v>63</v>
      </c>
      <c r="L6255" s="41">
        <v>46011.708333333336</v>
      </c>
      <c r="M6255" s="38" t="s">
        <v>123</v>
      </c>
      <c r="N6255" s="41">
        <v>46012.083333333336</v>
      </c>
      <c r="O6255" s="38" t="s">
        <v>123</v>
      </c>
      <c r="P6255" s="38">
        <v>32400.0</v>
      </c>
      <c r="Q6255" s="39"/>
      <c r="R6255" s="39"/>
      <c r="S6255" s="39"/>
      <c r="T6255" s="39"/>
      <c r="U6255" s="39"/>
    </row>
    <row r="6256">
      <c r="A6256" s="40">
        <f t="shared" si="1"/>
        <v>46006</v>
      </c>
      <c r="B6256" s="37" t="str">
        <f t="array" ref="B6256">iferror(xlookup($I6256, 'IMPORT VHC Report'!$E:$E, 'IMPORT VHC Report'!$A:$C), )</f>
        <v/>
      </c>
      <c r="C6256" s="37"/>
      <c r="D6256" s="37"/>
      <c r="E6256" s="38" t="s">
        <v>7425</v>
      </c>
      <c r="F6256" s="38" t="s">
        <v>7406</v>
      </c>
      <c r="G6256" s="38">
        <v>3.61744044436E11</v>
      </c>
      <c r="H6256" s="38" t="s">
        <v>7407</v>
      </c>
      <c r="I6256" s="38" t="s">
        <v>7408</v>
      </c>
      <c r="J6256" s="38" t="s">
        <v>134</v>
      </c>
      <c r="K6256" s="38" t="s">
        <v>126</v>
      </c>
      <c r="L6256" s="41">
        <v>46012.020833333336</v>
      </c>
      <c r="M6256" s="38" t="s">
        <v>123</v>
      </c>
      <c r="N6256" s="41">
        <v>46012.041666666664</v>
      </c>
      <c r="O6256" s="38" t="s">
        <v>123</v>
      </c>
      <c r="P6256" s="38">
        <v>1800.0</v>
      </c>
      <c r="Q6256" s="39"/>
      <c r="R6256" s="39"/>
      <c r="S6256" s="39"/>
      <c r="T6256" s="39"/>
      <c r="U6256" s="39"/>
    </row>
    <row r="6257">
      <c r="A6257" s="40">
        <f t="shared" si="1"/>
        <v>46006</v>
      </c>
      <c r="B6257" s="37" t="str">
        <f t="array" ref="B6257">iferror(xlookup($I6257, 'IMPORT VHC Report'!$E:$E, 'IMPORT VHC Report'!$A:$C), )</f>
        <v/>
      </c>
      <c r="C6257" s="37"/>
      <c r="D6257" s="37"/>
      <c r="E6257" s="38" t="s">
        <v>7426</v>
      </c>
      <c r="F6257" s="38" t="s">
        <v>7406</v>
      </c>
      <c r="G6257" s="38">
        <v>3.61744044436E11</v>
      </c>
      <c r="H6257" s="38" t="s">
        <v>7407</v>
      </c>
      <c r="I6257" s="38" t="s">
        <v>7408</v>
      </c>
      <c r="J6257" s="38" t="s">
        <v>132</v>
      </c>
      <c r="K6257" s="38" t="s">
        <v>126</v>
      </c>
      <c r="L6257" s="41">
        <v>46012.041666666664</v>
      </c>
      <c r="M6257" s="38" t="s">
        <v>123</v>
      </c>
      <c r="N6257" s="41">
        <v>46012.083333333336</v>
      </c>
      <c r="O6257" s="38" t="s">
        <v>123</v>
      </c>
      <c r="P6257" s="38">
        <v>3600.0</v>
      </c>
      <c r="Q6257" s="39"/>
      <c r="R6257" s="39"/>
      <c r="S6257" s="39"/>
      <c r="T6257" s="39"/>
      <c r="U6257" s="39"/>
    </row>
    <row r="6258">
      <c r="A6258" s="40">
        <f t="shared" si="1"/>
        <v>46006</v>
      </c>
      <c r="B6258" s="37" t="str">
        <f t="array" ref="B6258">iferror(xlookup($I6258, 'IMPORT VHC Report'!$E:$E, 'IMPORT VHC Report'!$A:$C), )</f>
        <v/>
      </c>
      <c r="C6258" s="37"/>
      <c r="D6258" s="37"/>
      <c r="E6258" s="38" t="s">
        <v>7427</v>
      </c>
      <c r="F6258" s="38" t="s">
        <v>7428</v>
      </c>
      <c r="G6258" s="38">
        <v>3.61731350535E11</v>
      </c>
      <c r="H6258" s="38" t="s">
        <v>7429</v>
      </c>
      <c r="I6258" s="38" t="s">
        <v>7430</v>
      </c>
      <c r="J6258" s="38" t="s">
        <v>125</v>
      </c>
      <c r="K6258" s="38" t="s">
        <v>126</v>
      </c>
      <c r="L6258" s="41">
        <v>46007.833333333336</v>
      </c>
      <c r="M6258" s="38" t="s">
        <v>123</v>
      </c>
      <c r="N6258" s="41">
        <v>46007.84375</v>
      </c>
      <c r="O6258" s="38" t="s">
        <v>123</v>
      </c>
      <c r="P6258" s="38">
        <v>900.0</v>
      </c>
      <c r="Q6258" s="39"/>
      <c r="R6258" s="39"/>
      <c r="S6258" s="38" t="s">
        <v>199</v>
      </c>
      <c r="T6258" s="39"/>
      <c r="U6258" s="39"/>
    </row>
    <row r="6259">
      <c r="A6259" s="40">
        <f t="shared" si="1"/>
        <v>46006</v>
      </c>
      <c r="B6259" s="37" t="str">
        <f t="array" ref="B6259">iferror(xlookup($I6259, 'IMPORT VHC Report'!$E:$E, 'IMPORT VHC Report'!$A:$C), )</f>
        <v/>
      </c>
      <c r="C6259" s="37"/>
      <c r="D6259" s="37"/>
      <c r="E6259" s="38" t="s">
        <v>7431</v>
      </c>
      <c r="F6259" s="38" t="s">
        <v>7428</v>
      </c>
      <c r="G6259" s="38">
        <v>3.61731350535E11</v>
      </c>
      <c r="H6259" s="38" t="s">
        <v>7429</v>
      </c>
      <c r="I6259" s="38" t="s">
        <v>7430</v>
      </c>
      <c r="J6259" s="38" t="s">
        <v>196</v>
      </c>
      <c r="K6259" s="38" t="s">
        <v>63</v>
      </c>
      <c r="L6259" s="41">
        <v>46007.833333333336</v>
      </c>
      <c r="M6259" s="38" t="s">
        <v>123</v>
      </c>
      <c r="N6259" s="41">
        <v>46008.208333333336</v>
      </c>
      <c r="O6259" s="38" t="s">
        <v>123</v>
      </c>
      <c r="P6259" s="38">
        <v>32400.0</v>
      </c>
      <c r="Q6259" s="39"/>
      <c r="R6259" s="39"/>
      <c r="S6259" s="39"/>
      <c r="T6259" s="39"/>
      <c r="U6259" s="39"/>
    </row>
    <row r="6260">
      <c r="A6260" s="40">
        <f t="shared" si="1"/>
        <v>46006</v>
      </c>
      <c r="B6260" s="37" t="str">
        <f t="array" ref="B6260">iferror(xlookup($I6260, 'IMPORT VHC Report'!$E:$E, 'IMPORT VHC Report'!$A:$C), )</f>
        <v/>
      </c>
      <c r="C6260" s="37"/>
      <c r="D6260" s="37"/>
      <c r="E6260" s="38" t="s">
        <v>7432</v>
      </c>
      <c r="F6260" s="38" t="s">
        <v>7428</v>
      </c>
      <c r="G6260" s="38">
        <v>3.61731350535E11</v>
      </c>
      <c r="H6260" s="38" t="s">
        <v>7429</v>
      </c>
      <c r="I6260" s="38" t="s">
        <v>7430</v>
      </c>
      <c r="J6260" s="38" t="s">
        <v>136</v>
      </c>
      <c r="K6260" s="38" t="s">
        <v>126</v>
      </c>
      <c r="L6260" s="41">
        <v>46007.92013888889</v>
      </c>
      <c r="M6260" s="38" t="s">
        <v>123</v>
      </c>
      <c r="N6260" s="41">
        <v>46007.958333333336</v>
      </c>
      <c r="O6260" s="38" t="s">
        <v>123</v>
      </c>
      <c r="P6260" s="38">
        <v>3300.0</v>
      </c>
      <c r="Q6260" s="39"/>
      <c r="R6260" s="39"/>
      <c r="S6260" s="38" t="s">
        <v>1680</v>
      </c>
      <c r="T6260" s="39"/>
      <c r="U6260" s="39"/>
    </row>
    <row r="6261">
      <c r="A6261" s="40">
        <f t="shared" si="1"/>
        <v>46006</v>
      </c>
      <c r="B6261" s="37" t="str">
        <f t="array" ref="B6261">iferror(xlookup($I6261, 'IMPORT VHC Report'!$E:$E, 'IMPORT VHC Report'!$A:$C), )</f>
        <v/>
      </c>
      <c r="C6261" s="37"/>
      <c r="D6261" s="37"/>
      <c r="E6261" s="38" t="s">
        <v>7433</v>
      </c>
      <c r="F6261" s="38" t="s">
        <v>7428</v>
      </c>
      <c r="G6261" s="38">
        <v>3.61731350535E11</v>
      </c>
      <c r="H6261" s="38" t="s">
        <v>7429</v>
      </c>
      <c r="I6261" s="38" t="s">
        <v>7430</v>
      </c>
      <c r="J6261" s="38" t="s">
        <v>134</v>
      </c>
      <c r="K6261" s="38" t="s">
        <v>126</v>
      </c>
      <c r="L6261" s="41">
        <v>46007.958333333336</v>
      </c>
      <c r="M6261" s="38" t="s">
        <v>123</v>
      </c>
      <c r="N6261" s="41">
        <v>46007.979166666664</v>
      </c>
      <c r="O6261" s="38" t="s">
        <v>123</v>
      </c>
      <c r="P6261" s="38">
        <v>1800.0</v>
      </c>
      <c r="Q6261" s="39"/>
      <c r="R6261" s="39"/>
      <c r="S6261" s="38" t="s">
        <v>7434</v>
      </c>
      <c r="T6261" s="39"/>
      <c r="U6261" s="39"/>
    </row>
    <row r="6262">
      <c r="A6262" s="40">
        <f t="shared" si="1"/>
        <v>46006</v>
      </c>
      <c r="B6262" s="37" t="str">
        <f t="array" ref="B6262">iferror(xlookup($I6262, 'IMPORT VHC Report'!$E:$E, 'IMPORT VHC Report'!$A:$C), )</f>
        <v/>
      </c>
      <c r="C6262" s="37"/>
      <c r="D6262" s="37"/>
      <c r="E6262" s="38" t="s">
        <v>7435</v>
      </c>
      <c r="F6262" s="38" t="s">
        <v>7428</v>
      </c>
      <c r="G6262" s="38">
        <v>3.61731350535E11</v>
      </c>
      <c r="H6262" s="38" t="s">
        <v>7429</v>
      </c>
      <c r="I6262" s="38" t="s">
        <v>7430</v>
      </c>
      <c r="J6262" s="38" t="s">
        <v>132</v>
      </c>
      <c r="K6262" s="38" t="s">
        <v>126</v>
      </c>
      <c r="L6262" s="41">
        <v>46008.072916666664</v>
      </c>
      <c r="M6262" s="38" t="s">
        <v>123</v>
      </c>
      <c r="N6262" s="41">
        <v>46008.114583333336</v>
      </c>
      <c r="O6262" s="38" t="s">
        <v>123</v>
      </c>
      <c r="P6262" s="38">
        <v>3600.0</v>
      </c>
      <c r="Q6262" s="39"/>
      <c r="R6262" s="39"/>
      <c r="S6262" s="39"/>
      <c r="T6262" s="39"/>
      <c r="U6262" s="39"/>
    </row>
    <row r="6263">
      <c r="A6263" s="40">
        <f t="shared" si="1"/>
        <v>46006</v>
      </c>
      <c r="B6263" s="37" t="str">
        <f t="array" ref="B6263">iferror(xlookup($I6263, 'IMPORT VHC Report'!$E:$E, 'IMPORT VHC Report'!$A:$C), )</f>
        <v/>
      </c>
      <c r="C6263" s="37"/>
      <c r="D6263" s="37"/>
      <c r="E6263" s="38" t="s">
        <v>7436</v>
      </c>
      <c r="F6263" s="38" t="s">
        <v>7428</v>
      </c>
      <c r="G6263" s="38">
        <v>3.61731350535E11</v>
      </c>
      <c r="H6263" s="38" t="s">
        <v>7429</v>
      </c>
      <c r="I6263" s="38" t="s">
        <v>7430</v>
      </c>
      <c r="J6263" s="38" t="s">
        <v>125</v>
      </c>
      <c r="K6263" s="38" t="s">
        <v>126</v>
      </c>
      <c r="L6263" s="41">
        <v>46008.833333333336</v>
      </c>
      <c r="M6263" s="38" t="s">
        <v>123</v>
      </c>
      <c r="N6263" s="41">
        <v>46008.84375</v>
      </c>
      <c r="O6263" s="38" t="s">
        <v>123</v>
      </c>
      <c r="P6263" s="38">
        <v>900.0</v>
      </c>
      <c r="Q6263" s="39"/>
      <c r="R6263" s="39"/>
      <c r="S6263" s="38" t="s">
        <v>199</v>
      </c>
      <c r="T6263" s="39"/>
      <c r="U6263" s="39"/>
    </row>
    <row r="6264">
      <c r="A6264" s="40">
        <f t="shared" si="1"/>
        <v>46006</v>
      </c>
      <c r="B6264" s="37" t="str">
        <f t="array" ref="B6264">iferror(xlookup($I6264, 'IMPORT VHC Report'!$E:$E, 'IMPORT VHC Report'!$A:$C), )</f>
        <v/>
      </c>
      <c r="C6264" s="37"/>
      <c r="D6264" s="37"/>
      <c r="E6264" s="38" t="s">
        <v>7437</v>
      </c>
      <c r="F6264" s="38" t="s">
        <v>7428</v>
      </c>
      <c r="G6264" s="38">
        <v>3.61731350535E11</v>
      </c>
      <c r="H6264" s="38" t="s">
        <v>7429</v>
      </c>
      <c r="I6264" s="38" t="s">
        <v>7430</v>
      </c>
      <c r="J6264" s="38" t="s">
        <v>196</v>
      </c>
      <c r="K6264" s="38" t="s">
        <v>63</v>
      </c>
      <c r="L6264" s="41">
        <v>46008.833333333336</v>
      </c>
      <c r="M6264" s="38" t="s">
        <v>123</v>
      </c>
      <c r="N6264" s="41">
        <v>46009.208333333336</v>
      </c>
      <c r="O6264" s="38" t="s">
        <v>123</v>
      </c>
      <c r="P6264" s="38">
        <v>32400.0</v>
      </c>
      <c r="Q6264" s="39"/>
      <c r="R6264" s="39"/>
      <c r="S6264" s="39"/>
      <c r="T6264" s="39"/>
      <c r="U6264" s="39"/>
    </row>
    <row r="6265">
      <c r="A6265" s="40">
        <f t="shared" si="1"/>
        <v>46006</v>
      </c>
      <c r="B6265" s="37" t="str">
        <f t="array" ref="B6265">iferror(xlookup($I6265, 'IMPORT VHC Report'!$E:$E, 'IMPORT VHC Report'!$A:$C), )</f>
        <v/>
      </c>
      <c r="C6265" s="37"/>
      <c r="D6265" s="37"/>
      <c r="E6265" s="38" t="s">
        <v>7438</v>
      </c>
      <c r="F6265" s="38" t="s">
        <v>7428</v>
      </c>
      <c r="G6265" s="38">
        <v>3.61731350535E11</v>
      </c>
      <c r="H6265" s="38" t="s">
        <v>7429</v>
      </c>
      <c r="I6265" s="38" t="s">
        <v>7430</v>
      </c>
      <c r="J6265" s="38" t="s">
        <v>134</v>
      </c>
      <c r="K6265" s="38" t="s">
        <v>126</v>
      </c>
      <c r="L6265" s="41">
        <v>46008.947916666664</v>
      </c>
      <c r="M6265" s="38" t="s">
        <v>123</v>
      </c>
      <c r="N6265" s="41">
        <v>46008.96875</v>
      </c>
      <c r="O6265" s="38" t="s">
        <v>123</v>
      </c>
      <c r="P6265" s="38">
        <v>1800.0</v>
      </c>
      <c r="Q6265" s="39"/>
      <c r="R6265" s="39"/>
      <c r="S6265" s="39"/>
      <c r="T6265" s="39"/>
      <c r="U6265" s="39"/>
    </row>
    <row r="6266">
      <c r="A6266" s="40">
        <f t="shared" si="1"/>
        <v>46006</v>
      </c>
      <c r="B6266" s="37" t="str">
        <f t="array" ref="B6266">iferror(xlookup($I6266, 'IMPORT VHC Report'!$E:$E, 'IMPORT VHC Report'!$A:$C), )</f>
        <v/>
      </c>
      <c r="C6266" s="37"/>
      <c r="D6266" s="37"/>
      <c r="E6266" s="38" t="s">
        <v>7439</v>
      </c>
      <c r="F6266" s="38" t="s">
        <v>7428</v>
      </c>
      <c r="G6266" s="38">
        <v>3.61731350535E11</v>
      </c>
      <c r="H6266" s="38" t="s">
        <v>7429</v>
      </c>
      <c r="I6266" s="38" t="s">
        <v>7430</v>
      </c>
      <c r="J6266" s="38" t="s">
        <v>132</v>
      </c>
      <c r="K6266" s="38" t="s">
        <v>126</v>
      </c>
      <c r="L6266" s="41">
        <v>46009.072916666664</v>
      </c>
      <c r="M6266" s="38" t="s">
        <v>123</v>
      </c>
      <c r="N6266" s="41">
        <v>46009.114583333336</v>
      </c>
      <c r="O6266" s="38" t="s">
        <v>123</v>
      </c>
      <c r="P6266" s="38">
        <v>3600.0</v>
      </c>
      <c r="Q6266" s="39"/>
      <c r="R6266" s="39"/>
      <c r="S6266" s="39"/>
      <c r="T6266" s="39"/>
      <c r="U6266" s="39"/>
    </row>
    <row r="6267">
      <c r="A6267" s="40">
        <f t="shared" si="1"/>
        <v>46006</v>
      </c>
      <c r="B6267" s="37" t="str">
        <f t="array" ref="B6267">iferror(xlookup($I6267, 'IMPORT VHC Report'!$E:$E, 'IMPORT VHC Report'!$A:$C), )</f>
        <v/>
      </c>
      <c r="C6267" s="37"/>
      <c r="D6267" s="37"/>
      <c r="E6267" s="38" t="s">
        <v>7440</v>
      </c>
      <c r="F6267" s="38" t="s">
        <v>7428</v>
      </c>
      <c r="G6267" s="38">
        <v>3.61731350535E11</v>
      </c>
      <c r="H6267" s="38" t="s">
        <v>7429</v>
      </c>
      <c r="I6267" s="38" t="s">
        <v>7430</v>
      </c>
      <c r="J6267" s="38" t="s">
        <v>125</v>
      </c>
      <c r="K6267" s="38" t="s">
        <v>126</v>
      </c>
      <c r="L6267" s="41">
        <v>46009.833333333336</v>
      </c>
      <c r="M6267" s="38" t="s">
        <v>123</v>
      </c>
      <c r="N6267" s="41">
        <v>46009.84375</v>
      </c>
      <c r="O6267" s="38" t="s">
        <v>123</v>
      </c>
      <c r="P6267" s="38">
        <v>900.0</v>
      </c>
      <c r="Q6267" s="39"/>
      <c r="R6267" s="39"/>
      <c r="S6267" s="38" t="s">
        <v>199</v>
      </c>
      <c r="T6267" s="39"/>
      <c r="U6267" s="39"/>
    </row>
    <row r="6268">
      <c r="A6268" s="40">
        <f t="shared" si="1"/>
        <v>46006</v>
      </c>
      <c r="B6268" s="37" t="str">
        <f t="array" ref="B6268">iferror(xlookup($I6268, 'IMPORT VHC Report'!$E:$E, 'IMPORT VHC Report'!$A:$C), )</f>
        <v/>
      </c>
      <c r="C6268" s="37"/>
      <c r="D6268" s="37"/>
      <c r="E6268" s="38" t="s">
        <v>7441</v>
      </c>
      <c r="F6268" s="38" t="s">
        <v>7428</v>
      </c>
      <c r="G6268" s="38">
        <v>3.61731350535E11</v>
      </c>
      <c r="H6268" s="38" t="s">
        <v>7429</v>
      </c>
      <c r="I6268" s="38" t="s">
        <v>7430</v>
      </c>
      <c r="J6268" s="38" t="s">
        <v>196</v>
      </c>
      <c r="K6268" s="38" t="s">
        <v>63</v>
      </c>
      <c r="L6268" s="41">
        <v>46009.833333333336</v>
      </c>
      <c r="M6268" s="38" t="s">
        <v>123</v>
      </c>
      <c r="N6268" s="41">
        <v>46010.208333333336</v>
      </c>
      <c r="O6268" s="38" t="s">
        <v>123</v>
      </c>
      <c r="P6268" s="38">
        <v>32400.0</v>
      </c>
      <c r="Q6268" s="39"/>
      <c r="R6268" s="39"/>
      <c r="S6268" s="39"/>
      <c r="T6268" s="39"/>
      <c r="U6268" s="39"/>
    </row>
    <row r="6269">
      <c r="A6269" s="40">
        <f t="shared" si="1"/>
        <v>46006</v>
      </c>
      <c r="B6269" s="37" t="str">
        <f t="array" ref="B6269">iferror(xlookup($I6269, 'IMPORT VHC Report'!$E:$E, 'IMPORT VHC Report'!$A:$C), )</f>
        <v/>
      </c>
      <c r="C6269" s="37"/>
      <c r="D6269" s="37"/>
      <c r="E6269" s="38" t="s">
        <v>7442</v>
      </c>
      <c r="F6269" s="38" t="s">
        <v>7428</v>
      </c>
      <c r="G6269" s="38">
        <v>3.61731350535E11</v>
      </c>
      <c r="H6269" s="38" t="s">
        <v>7429</v>
      </c>
      <c r="I6269" s="38" t="s">
        <v>7430</v>
      </c>
      <c r="J6269" s="38" t="s">
        <v>134</v>
      </c>
      <c r="K6269" s="38" t="s">
        <v>126</v>
      </c>
      <c r="L6269" s="41">
        <v>46009.9375</v>
      </c>
      <c r="M6269" s="38" t="s">
        <v>123</v>
      </c>
      <c r="N6269" s="41">
        <v>46009.958333333336</v>
      </c>
      <c r="O6269" s="38" t="s">
        <v>123</v>
      </c>
      <c r="P6269" s="38">
        <v>1800.0</v>
      </c>
      <c r="Q6269" s="39"/>
      <c r="R6269" s="39"/>
      <c r="S6269" s="39"/>
      <c r="T6269" s="39"/>
      <c r="U6269" s="39"/>
    </row>
    <row r="6270">
      <c r="A6270" s="40">
        <f t="shared" si="1"/>
        <v>46006</v>
      </c>
      <c r="B6270" s="37" t="str">
        <f t="array" ref="B6270">iferror(xlookup($I6270, 'IMPORT VHC Report'!$E:$E, 'IMPORT VHC Report'!$A:$C), )</f>
        <v/>
      </c>
      <c r="C6270" s="37"/>
      <c r="D6270" s="37"/>
      <c r="E6270" s="38" t="s">
        <v>7443</v>
      </c>
      <c r="F6270" s="38" t="s">
        <v>7428</v>
      </c>
      <c r="G6270" s="38">
        <v>3.61731350535E11</v>
      </c>
      <c r="H6270" s="38" t="s">
        <v>7429</v>
      </c>
      <c r="I6270" s="38" t="s">
        <v>7430</v>
      </c>
      <c r="J6270" s="38" t="s">
        <v>132</v>
      </c>
      <c r="K6270" s="38" t="s">
        <v>126</v>
      </c>
      <c r="L6270" s="41">
        <v>46010.083333333336</v>
      </c>
      <c r="M6270" s="38" t="s">
        <v>123</v>
      </c>
      <c r="N6270" s="41">
        <v>46010.125</v>
      </c>
      <c r="O6270" s="38" t="s">
        <v>123</v>
      </c>
      <c r="P6270" s="38">
        <v>3600.0</v>
      </c>
      <c r="Q6270" s="39"/>
      <c r="R6270" s="39"/>
      <c r="S6270" s="39"/>
      <c r="T6270" s="39"/>
      <c r="U6270" s="39"/>
    </row>
    <row r="6271">
      <c r="A6271" s="40">
        <f t="shared" si="1"/>
        <v>46006</v>
      </c>
      <c r="B6271" s="37" t="str">
        <f t="array" ref="B6271">iferror(xlookup($I6271, 'IMPORT VHC Report'!$E:$E, 'IMPORT VHC Report'!$A:$C), )</f>
        <v/>
      </c>
      <c r="C6271" s="37"/>
      <c r="D6271" s="37"/>
      <c r="E6271" s="38" t="s">
        <v>7444</v>
      </c>
      <c r="F6271" s="38" t="s">
        <v>7428</v>
      </c>
      <c r="G6271" s="38">
        <v>3.61731350535E11</v>
      </c>
      <c r="H6271" s="38" t="s">
        <v>7429</v>
      </c>
      <c r="I6271" s="38" t="s">
        <v>7430</v>
      </c>
      <c r="J6271" s="38" t="s">
        <v>125</v>
      </c>
      <c r="K6271" s="38" t="s">
        <v>126</v>
      </c>
      <c r="L6271" s="41">
        <v>46010.833333333336</v>
      </c>
      <c r="M6271" s="38" t="s">
        <v>123</v>
      </c>
      <c r="N6271" s="41">
        <v>46010.84375</v>
      </c>
      <c r="O6271" s="38" t="s">
        <v>123</v>
      </c>
      <c r="P6271" s="38">
        <v>900.0</v>
      </c>
      <c r="Q6271" s="39"/>
      <c r="R6271" s="39"/>
      <c r="S6271" s="38" t="s">
        <v>199</v>
      </c>
      <c r="T6271" s="39"/>
      <c r="U6271" s="39"/>
    </row>
    <row r="6272">
      <c r="A6272" s="40">
        <f t="shared" si="1"/>
        <v>46006</v>
      </c>
      <c r="B6272" s="37" t="str">
        <f t="array" ref="B6272">iferror(xlookup($I6272, 'IMPORT VHC Report'!$E:$E, 'IMPORT VHC Report'!$A:$C), )</f>
        <v/>
      </c>
      <c r="C6272" s="37"/>
      <c r="D6272" s="37"/>
      <c r="E6272" s="38" t="s">
        <v>7445</v>
      </c>
      <c r="F6272" s="38" t="s">
        <v>7428</v>
      </c>
      <c r="G6272" s="38">
        <v>3.61731350535E11</v>
      </c>
      <c r="H6272" s="38" t="s">
        <v>7429</v>
      </c>
      <c r="I6272" s="38" t="s">
        <v>7430</v>
      </c>
      <c r="J6272" s="38" t="s">
        <v>196</v>
      </c>
      <c r="K6272" s="38" t="s">
        <v>63</v>
      </c>
      <c r="L6272" s="41">
        <v>46010.833333333336</v>
      </c>
      <c r="M6272" s="38" t="s">
        <v>123</v>
      </c>
      <c r="N6272" s="41">
        <v>46011.208333333336</v>
      </c>
      <c r="O6272" s="38" t="s">
        <v>123</v>
      </c>
      <c r="P6272" s="38">
        <v>32400.0</v>
      </c>
      <c r="Q6272" s="39"/>
      <c r="R6272" s="39"/>
      <c r="S6272" s="39"/>
      <c r="T6272" s="39"/>
      <c r="U6272" s="39"/>
    </row>
    <row r="6273">
      <c r="A6273" s="40">
        <f t="shared" si="1"/>
        <v>46006</v>
      </c>
      <c r="B6273" s="37" t="str">
        <f t="array" ref="B6273">iferror(xlookup($I6273, 'IMPORT VHC Report'!$E:$E, 'IMPORT VHC Report'!$A:$C), )</f>
        <v/>
      </c>
      <c r="C6273" s="37"/>
      <c r="D6273" s="37"/>
      <c r="E6273" s="38" t="s">
        <v>7446</v>
      </c>
      <c r="F6273" s="38" t="s">
        <v>7428</v>
      </c>
      <c r="G6273" s="38">
        <v>3.61731350535E11</v>
      </c>
      <c r="H6273" s="38" t="s">
        <v>7429</v>
      </c>
      <c r="I6273" s="38" t="s">
        <v>7430</v>
      </c>
      <c r="J6273" s="38" t="s">
        <v>132</v>
      </c>
      <c r="K6273" s="38" t="s">
        <v>126</v>
      </c>
      <c r="L6273" s="41">
        <v>46010.979166666664</v>
      </c>
      <c r="M6273" s="38" t="s">
        <v>123</v>
      </c>
      <c r="N6273" s="41">
        <v>46011.020833333336</v>
      </c>
      <c r="O6273" s="38" t="s">
        <v>123</v>
      </c>
      <c r="P6273" s="38">
        <v>3600.0</v>
      </c>
      <c r="Q6273" s="39"/>
      <c r="R6273" s="39"/>
      <c r="S6273" s="39"/>
      <c r="T6273" s="39"/>
      <c r="U6273" s="39"/>
    </row>
    <row r="6274">
      <c r="A6274" s="40">
        <f t="shared" si="1"/>
        <v>46006</v>
      </c>
      <c r="B6274" s="37" t="str">
        <f t="array" ref="B6274">iferror(xlookup($I6274, 'IMPORT VHC Report'!$E:$E, 'IMPORT VHC Report'!$A:$C), )</f>
        <v/>
      </c>
      <c r="C6274" s="37"/>
      <c r="D6274" s="37"/>
      <c r="E6274" s="38" t="s">
        <v>7447</v>
      </c>
      <c r="F6274" s="38" t="s">
        <v>7428</v>
      </c>
      <c r="G6274" s="38">
        <v>3.61731350535E11</v>
      </c>
      <c r="H6274" s="38" t="s">
        <v>7429</v>
      </c>
      <c r="I6274" s="38" t="s">
        <v>7430</v>
      </c>
      <c r="J6274" s="38" t="s">
        <v>134</v>
      </c>
      <c r="K6274" s="38" t="s">
        <v>126</v>
      </c>
      <c r="L6274" s="41">
        <v>46011.125</v>
      </c>
      <c r="M6274" s="38" t="s">
        <v>123</v>
      </c>
      <c r="N6274" s="41">
        <v>46011.145833333336</v>
      </c>
      <c r="O6274" s="38" t="s">
        <v>123</v>
      </c>
      <c r="P6274" s="38">
        <v>1800.0</v>
      </c>
      <c r="Q6274" s="39"/>
      <c r="R6274" s="39"/>
      <c r="S6274" s="39"/>
      <c r="T6274" s="39"/>
      <c r="U6274" s="39"/>
    </row>
    <row r="6275">
      <c r="A6275" s="40">
        <f t="shared" si="1"/>
        <v>46006</v>
      </c>
      <c r="B6275" s="37" t="str">
        <f t="array" ref="B6275">iferror(xlookup($I6275, 'IMPORT VHC Report'!$E:$E, 'IMPORT VHC Report'!$A:$C), )</f>
        <v/>
      </c>
      <c r="C6275" s="37"/>
      <c r="D6275" s="37"/>
      <c r="E6275" s="38" t="s">
        <v>7448</v>
      </c>
      <c r="F6275" s="38" t="s">
        <v>7428</v>
      </c>
      <c r="G6275" s="38">
        <v>3.61731350535E11</v>
      </c>
      <c r="H6275" s="38" t="s">
        <v>7429</v>
      </c>
      <c r="I6275" s="38" t="s">
        <v>7430</v>
      </c>
      <c r="J6275" s="38" t="s">
        <v>125</v>
      </c>
      <c r="K6275" s="38" t="s">
        <v>126</v>
      </c>
      <c r="L6275" s="41">
        <v>46011.833333333336</v>
      </c>
      <c r="M6275" s="38" t="s">
        <v>123</v>
      </c>
      <c r="N6275" s="41">
        <v>46011.84375</v>
      </c>
      <c r="O6275" s="38" t="s">
        <v>123</v>
      </c>
      <c r="P6275" s="38">
        <v>900.0</v>
      </c>
      <c r="Q6275" s="39"/>
      <c r="R6275" s="39"/>
      <c r="S6275" s="38" t="s">
        <v>199</v>
      </c>
      <c r="T6275" s="39"/>
      <c r="U6275" s="39"/>
    </row>
    <row r="6276">
      <c r="A6276" s="40">
        <f t="shared" si="1"/>
        <v>46006</v>
      </c>
      <c r="B6276" s="37" t="str">
        <f t="array" ref="B6276">iferror(xlookup($I6276, 'IMPORT VHC Report'!$E:$E, 'IMPORT VHC Report'!$A:$C), )</f>
        <v/>
      </c>
      <c r="C6276" s="37"/>
      <c r="D6276" s="37"/>
      <c r="E6276" s="38" t="s">
        <v>7449</v>
      </c>
      <c r="F6276" s="38" t="s">
        <v>7428</v>
      </c>
      <c r="G6276" s="38">
        <v>3.61731350535E11</v>
      </c>
      <c r="H6276" s="38" t="s">
        <v>7429</v>
      </c>
      <c r="I6276" s="38" t="s">
        <v>7430</v>
      </c>
      <c r="J6276" s="38" t="s">
        <v>196</v>
      </c>
      <c r="K6276" s="38" t="s">
        <v>63</v>
      </c>
      <c r="L6276" s="41">
        <v>46011.833333333336</v>
      </c>
      <c r="M6276" s="38" t="s">
        <v>123</v>
      </c>
      <c r="N6276" s="41">
        <v>46012.208333333336</v>
      </c>
      <c r="O6276" s="38" t="s">
        <v>123</v>
      </c>
      <c r="P6276" s="38">
        <v>32400.0</v>
      </c>
      <c r="Q6276" s="39"/>
      <c r="R6276" s="39"/>
      <c r="S6276" s="39"/>
      <c r="T6276" s="39"/>
      <c r="U6276" s="39"/>
    </row>
    <row r="6277">
      <c r="A6277" s="40">
        <f t="shared" si="1"/>
        <v>46006</v>
      </c>
      <c r="B6277" s="37" t="str">
        <f t="array" ref="B6277">iferror(xlookup($I6277, 'IMPORT VHC Report'!$E:$E, 'IMPORT VHC Report'!$A:$C), )</f>
        <v/>
      </c>
      <c r="C6277" s="37"/>
      <c r="D6277" s="37"/>
      <c r="E6277" s="38" t="s">
        <v>7450</v>
      </c>
      <c r="F6277" s="38" t="s">
        <v>7428</v>
      </c>
      <c r="G6277" s="38">
        <v>3.61731350535E11</v>
      </c>
      <c r="H6277" s="38" t="s">
        <v>7429</v>
      </c>
      <c r="I6277" s="38" t="s">
        <v>7430</v>
      </c>
      <c r="J6277" s="38" t="s">
        <v>132</v>
      </c>
      <c r="K6277" s="38" t="s">
        <v>126</v>
      </c>
      <c r="L6277" s="41">
        <v>46011.96875</v>
      </c>
      <c r="M6277" s="38" t="s">
        <v>123</v>
      </c>
      <c r="N6277" s="41">
        <v>46012.010416666664</v>
      </c>
      <c r="O6277" s="38" t="s">
        <v>123</v>
      </c>
      <c r="P6277" s="38">
        <v>3600.0</v>
      </c>
      <c r="Q6277" s="39"/>
      <c r="R6277" s="39"/>
      <c r="S6277" s="39"/>
      <c r="T6277" s="39"/>
      <c r="U6277" s="39"/>
    </row>
    <row r="6278">
      <c r="A6278" s="40">
        <f t="shared" si="1"/>
        <v>46006</v>
      </c>
      <c r="B6278" s="37" t="str">
        <f t="array" ref="B6278">iferror(xlookup($I6278, 'IMPORT VHC Report'!$E:$E, 'IMPORT VHC Report'!$A:$C), )</f>
        <v/>
      </c>
      <c r="C6278" s="37"/>
      <c r="D6278" s="37"/>
      <c r="E6278" s="38" t="s">
        <v>7451</v>
      </c>
      <c r="F6278" s="38" t="s">
        <v>7428</v>
      </c>
      <c r="G6278" s="38">
        <v>3.61731350535E11</v>
      </c>
      <c r="H6278" s="38" t="s">
        <v>7429</v>
      </c>
      <c r="I6278" s="38" t="s">
        <v>7430</v>
      </c>
      <c r="J6278" s="38" t="s">
        <v>134</v>
      </c>
      <c r="K6278" s="38" t="s">
        <v>126</v>
      </c>
      <c r="L6278" s="41">
        <v>46012.104166666664</v>
      </c>
      <c r="M6278" s="38" t="s">
        <v>123</v>
      </c>
      <c r="N6278" s="41">
        <v>46012.125</v>
      </c>
      <c r="O6278" s="38" t="s">
        <v>123</v>
      </c>
      <c r="P6278" s="38">
        <v>1800.0</v>
      </c>
      <c r="Q6278" s="39"/>
      <c r="R6278" s="39"/>
      <c r="S6278" s="39"/>
      <c r="T6278" s="39"/>
      <c r="U6278" s="39"/>
    </row>
    <row r="6279">
      <c r="A6279" s="40">
        <f t="shared" si="1"/>
        <v>46006</v>
      </c>
      <c r="B6279" s="37" t="str">
        <f t="array" ref="B6279">iferror(xlookup($I6279, 'IMPORT VHC Report'!$E:$E, 'IMPORT VHC Report'!$A:$C), )</f>
        <v/>
      </c>
      <c r="C6279" s="37"/>
      <c r="D6279" s="37"/>
      <c r="E6279" s="38" t="s">
        <v>7452</v>
      </c>
      <c r="F6279" s="38" t="s">
        <v>7453</v>
      </c>
      <c r="G6279" s="38">
        <v>5.902016055567E12</v>
      </c>
      <c r="H6279" s="38" t="s">
        <v>7454</v>
      </c>
      <c r="I6279" s="38" t="s">
        <v>7455</v>
      </c>
      <c r="J6279" s="38" t="s">
        <v>332</v>
      </c>
      <c r="K6279" s="38" t="s">
        <v>63</v>
      </c>
      <c r="L6279" s="41">
        <v>46007.875</v>
      </c>
      <c r="M6279" s="38" t="s">
        <v>123</v>
      </c>
      <c r="N6279" s="41">
        <v>46008.25</v>
      </c>
      <c r="O6279" s="38" t="s">
        <v>123</v>
      </c>
      <c r="P6279" s="38">
        <v>32400.0</v>
      </c>
      <c r="Q6279" s="39"/>
      <c r="R6279" s="39"/>
      <c r="S6279" s="39"/>
      <c r="T6279" s="39"/>
      <c r="U6279" s="39"/>
    </row>
    <row r="6280">
      <c r="A6280" s="40">
        <f t="shared" si="1"/>
        <v>46006</v>
      </c>
      <c r="B6280" s="37" t="str">
        <f t="array" ref="B6280">iferror(xlookup($I6280, 'IMPORT VHC Report'!$E:$E, 'IMPORT VHC Report'!$A:$C), )</f>
        <v/>
      </c>
      <c r="C6280" s="37"/>
      <c r="D6280" s="37"/>
      <c r="E6280" s="38" t="s">
        <v>7456</v>
      </c>
      <c r="F6280" s="38" t="s">
        <v>7453</v>
      </c>
      <c r="G6280" s="38">
        <v>5.902016055567E12</v>
      </c>
      <c r="H6280" s="38" t="s">
        <v>7454</v>
      </c>
      <c r="I6280" s="38" t="s">
        <v>7455</v>
      </c>
      <c r="J6280" s="38" t="s">
        <v>134</v>
      </c>
      <c r="K6280" s="38" t="s">
        <v>126</v>
      </c>
      <c r="L6280" s="41">
        <v>46008.1875</v>
      </c>
      <c r="M6280" s="38" t="s">
        <v>123</v>
      </c>
      <c r="N6280" s="41">
        <v>46008.208333333336</v>
      </c>
      <c r="O6280" s="38" t="s">
        <v>123</v>
      </c>
      <c r="P6280" s="38">
        <v>1800.0</v>
      </c>
      <c r="Q6280" s="39"/>
      <c r="R6280" s="39"/>
      <c r="S6280" s="39"/>
      <c r="T6280" s="39"/>
      <c r="U6280" s="39"/>
    </row>
    <row r="6281">
      <c r="A6281" s="40">
        <f t="shared" si="1"/>
        <v>46006</v>
      </c>
      <c r="B6281" s="37" t="str">
        <f t="array" ref="B6281">iferror(xlookup($I6281, 'IMPORT VHC Report'!$E:$E, 'IMPORT VHC Report'!$A:$C), )</f>
        <v/>
      </c>
      <c r="C6281" s="37"/>
      <c r="D6281" s="37"/>
      <c r="E6281" s="38" t="s">
        <v>7457</v>
      </c>
      <c r="F6281" s="38" t="s">
        <v>7453</v>
      </c>
      <c r="G6281" s="38">
        <v>5.902016055567E12</v>
      </c>
      <c r="H6281" s="38" t="s">
        <v>7454</v>
      </c>
      <c r="I6281" s="38" t="s">
        <v>7455</v>
      </c>
      <c r="J6281" s="38" t="s">
        <v>132</v>
      </c>
      <c r="K6281" s="38" t="s">
        <v>126</v>
      </c>
      <c r="L6281" s="41">
        <v>46008.208333333336</v>
      </c>
      <c r="M6281" s="38" t="s">
        <v>123</v>
      </c>
      <c r="N6281" s="41">
        <v>46008.25</v>
      </c>
      <c r="O6281" s="38" t="s">
        <v>123</v>
      </c>
      <c r="P6281" s="38">
        <v>3600.0</v>
      </c>
      <c r="Q6281" s="39"/>
      <c r="R6281" s="39"/>
      <c r="S6281" s="39"/>
      <c r="T6281" s="39"/>
      <c r="U6281" s="39"/>
    </row>
    <row r="6282">
      <c r="A6282" s="40">
        <f t="shared" si="1"/>
        <v>46006</v>
      </c>
      <c r="B6282" s="37" t="str">
        <f t="array" ref="B6282">iferror(xlookup($I6282, 'IMPORT VHC Report'!$E:$E, 'IMPORT VHC Report'!$A:$C), )</f>
        <v/>
      </c>
      <c r="C6282" s="37"/>
      <c r="D6282" s="37"/>
      <c r="E6282" s="38" t="s">
        <v>7458</v>
      </c>
      <c r="F6282" s="38" t="s">
        <v>7453</v>
      </c>
      <c r="G6282" s="38">
        <v>5.902016055567E12</v>
      </c>
      <c r="H6282" s="38" t="s">
        <v>7454</v>
      </c>
      <c r="I6282" s="38" t="s">
        <v>7455</v>
      </c>
      <c r="J6282" s="38" t="s">
        <v>136</v>
      </c>
      <c r="K6282" s="38" t="s">
        <v>126</v>
      </c>
      <c r="L6282" s="41">
        <v>46008.666666666664</v>
      </c>
      <c r="M6282" s="38" t="s">
        <v>123</v>
      </c>
      <c r="N6282" s="41">
        <v>46008.833333333336</v>
      </c>
      <c r="O6282" s="38" t="s">
        <v>123</v>
      </c>
      <c r="P6282" s="38">
        <v>14400.0</v>
      </c>
      <c r="Q6282" s="39"/>
      <c r="R6282" s="39"/>
      <c r="S6282" s="38" t="s">
        <v>1098</v>
      </c>
      <c r="T6282" s="39"/>
      <c r="U6282" s="39"/>
    </row>
    <row r="6283">
      <c r="A6283" s="40">
        <f t="shared" si="1"/>
        <v>46006</v>
      </c>
      <c r="B6283" s="37" t="str">
        <f t="array" ref="B6283">iferror(xlookup($I6283, 'IMPORT VHC Report'!$E:$E, 'IMPORT VHC Report'!$A:$C), )</f>
        <v/>
      </c>
      <c r="C6283" s="37"/>
      <c r="D6283" s="37"/>
      <c r="E6283" s="38" t="s">
        <v>7459</v>
      </c>
      <c r="F6283" s="38" t="s">
        <v>7453</v>
      </c>
      <c r="G6283" s="38">
        <v>5.902016055567E12</v>
      </c>
      <c r="H6283" s="38" t="s">
        <v>7454</v>
      </c>
      <c r="I6283" s="38" t="s">
        <v>7455</v>
      </c>
      <c r="J6283" s="38" t="s">
        <v>332</v>
      </c>
      <c r="K6283" s="38" t="s">
        <v>63</v>
      </c>
      <c r="L6283" s="41">
        <v>46008.666666666664</v>
      </c>
      <c r="M6283" s="38" t="s">
        <v>123</v>
      </c>
      <c r="N6283" s="41">
        <v>46009.041666666664</v>
      </c>
      <c r="O6283" s="38" t="s">
        <v>123</v>
      </c>
      <c r="P6283" s="38">
        <v>32400.0</v>
      </c>
      <c r="Q6283" s="39"/>
      <c r="R6283" s="39"/>
      <c r="S6283" s="39"/>
      <c r="T6283" s="39"/>
      <c r="U6283" s="39"/>
    </row>
    <row r="6284">
      <c r="A6284" s="40">
        <f t="shared" si="1"/>
        <v>46006</v>
      </c>
      <c r="B6284" s="37" t="str">
        <f t="array" ref="B6284">iferror(xlookup($I6284, 'IMPORT VHC Report'!$E:$E, 'IMPORT VHC Report'!$A:$C), )</f>
        <v/>
      </c>
      <c r="C6284" s="37"/>
      <c r="D6284" s="37"/>
      <c r="E6284" s="38" t="s">
        <v>7460</v>
      </c>
      <c r="F6284" s="38" t="s">
        <v>7453</v>
      </c>
      <c r="G6284" s="38">
        <v>5.902016055567E12</v>
      </c>
      <c r="H6284" s="38" t="s">
        <v>7454</v>
      </c>
      <c r="I6284" s="38" t="s">
        <v>7455</v>
      </c>
      <c r="J6284" s="38" t="s">
        <v>134</v>
      </c>
      <c r="K6284" s="38" t="s">
        <v>126</v>
      </c>
      <c r="L6284" s="41">
        <v>46008.979166666664</v>
      </c>
      <c r="M6284" s="38" t="s">
        <v>123</v>
      </c>
      <c r="N6284" s="41">
        <v>46009.0</v>
      </c>
      <c r="O6284" s="38" t="s">
        <v>123</v>
      </c>
      <c r="P6284" s="38">
        <v>1800.0</v>
      </c>
      <c r="Q6284" s="39"/>
      <c r="R6284" s="39"/>
      <c r="S6284" s="39"/>
      <c r="T6284" s="39"/>
      <c r="U6284" s="39"/>
    </row>
    <row r="6285">
      <c r="A6285" s="40">
        <f t="shared" si="1"/>
        <v>46006</v>
      </c>
      <c r="B6285" s="37" t="str">
        <f t="array" ref="B6285">iferror(xlookup($I6285, 'IMPORT VHC Report'!$E:$E, 'IMPORT VHC Report'!$A:$C), )</f>
        <v/>
      </c>
      <c r="C6285" s="37"/>
      <c r="D6285" s="37"/>
      <c r="E6285" s="38" t="s">
        <v>7461</v>
      </c>
      <c r="F6285" s="38" t="s">
        <v>7453</v>
      </c>
      <c r="G6285" s="38">
        <v>5.902016055567E12</v>
      </c>
      <c r="H6285" s="38" t="s">
        <v>7454</v>
      </c>
      <c r="I6285" s="38" t="s">
        <v>7455</v>
      </c>
      <c r="J6285" s="38" t="s">
        <v>132</v>
      </c>
      <c r="K6285" s="38" t="s">
        <v>126</v>
      </c>
      <c r="L6285" s="41">
        <v>46009.0</v>
      </c>
      <c r="M6285" s="38" t="s">
        <v>123</v>
      </c>
      <c r="N6285" s="41">
        <v>46009.041666666664</v>
      </c>
      <c r="O6285" s="38" t="s">
        <v>123</v>
      </c>
      <c r="P6285" s="38">
        <v>3600.0</v>
      </c>
      <c r="Q6285" s="39"/>
      <c r="R6285" s="39"/>
      <c r="S6285" s="39"/>
      <c r="T6285" s="39"/>
      <c r="U6285" s="39"/>
    </row>
    <row r="6286">
      <c r="A6286" s="40">
        <f t="shared" si="1"/>
        <v>46006</v>
      </c>
      <c r="B6286" s="37" t="str">
        <f t="array" ref="B6286">iferror(xlookup($I6286, 'IMPORT VHC Report'!$E:$E, 'IMPORT VHC Report'!$A:$C), )</f>
        <v/>
      </c>
      <c r="C6286" s="37"/>
      <c r="D6286" s="37"/>
      <c r="E6286" s="38" t="s">
        <v>7462</v>
      </c>
      <c r="F6286" s="38" t="s">
        <v>7453</v>
      </c>
      <c r="G6286" s="38">
        <v>5.902016055567E12</v>
      </c>
      <c r="H6286" s="38" t="s">
        <v>7454</v>
      </c>
      <c r="I6286" s="38" t="s">
        <v>7455</v>
      </c>
      <c r="J6286" s="38" t="s">
        <v>332</v>
      </c>
      <c r="K6286" s="38" t="s">
        <v>63</v>
      </c>
      <c r="L6286" s="41">
        <v>46009.875</v>
      </c>
      <c r="M6286" s="38" t="s">
        <v>123</v>
      </c>
      <c r="N6286" s="41">
        <v>46010.25</v>
      </c>
      <c r="O6286" s="38" t="s">
        <v>123</v>
      </c>
      <c r="P6286" s="38">
        <v>32400.0</v>
      </c>
      <c r="Q6286" s="39"/>
      <c r="R6286" s="39"/>
      <c r="S6286" s="39"/>
      <c r="T6286" s="39"/>
      <c r="U6286" s="39"/>
    </row>
    <row r="6287">
      <c r="A6287" s="40">
        <f t="shared" si="1"/>
        <v>46006</v>
      </c>
      <c r="B6287" s="37" t="str">
        <f t="array" ref="B6287">iferror(xlookup($I6287, 'IMPORT VHC Report'!$E:$E, 'IMPORT VHC Report'!$A:$C), )</f>
        <v/>
      </c>
      <c r="C6287" s="37"/>
      <c r="D6287" s="37"/>
      <c r="E6287" s="38" t="s">
        <v>7463</v>
      </c>
      <c r="F6287" s="38" t="s">
        <v>7453</v>
      </c>
      <c r="G6287" s="38">
        <v>5.902016055567E12</v>
      </c>
      <c r="H6287" s="38" t="s">
        <v>7454</v>
      </c>
      <c r="I6287" s="38" t="s">
        <v>7455</v>
      </c>
      <c r="J6287" s="38" t="s">
        <v>134</v>
      </c>
      <c r="K6287" s="38" t="s">
        <v>126</v>
      </c>
      <c r="L6287" s="41">
        <v>46010.1875</v>
      </c>
      <c r="M6287" s="38" t="s">
        <v>123</v>
      </c>
      <c r="N6287" s="41">
        <v>46010.208333333336</v>
      </c>
      <c r="O6287" s="38" t="s">
        <v>123</v>
      </c>
      <c r="P6287" s="38">
        <v>1800.0</v>
      </c>
      <c r="Q6287" s="39"/>
      <c r="R6287" s="39"/>
      <c r="S6287" s="39"/>
      <c r="T6287" s="39"/>
      <c r="U6287" s="39"/>
    </row>
    <row r="6288">
      <c r="A6288" s="40">
        <f t="shared" si="1"/>
        <v>46006</v>
      </c>
      <c r="B6288" s="37" t="str">
        <f t="array" ref="B6288">iferror(xlookup($I6288, 'IMPORT VHC Report'!$E:$E, 'IMPORT VHC Report'!$A:$C), )</f>
        <v/>
      </c>
      <c r="C6288" s="37"/>
      <c r="D6288" s="37"/>
      <c r="E6288" s="38" t="s">
        <v>7464</v>
      </c>
      <c r="F6288" s="38" t="s">
        <v>7453</v>
      </c>
      <c r="G6288" s="38">
        <v>5.902016055567E12</v>
      </c>
      <c r="H6288" s="38" t="s">
        <v>7454</v>
      </c>
      <c r="I6288" s="38" t="s">
        <v>7455</v>
      </c>
      <c r="J6288" s="38" t="s">
        <v>132</v>
      </c>
      <c r="K6288" s="38" t="s">
        <v>126</v>
      </c>
      <c r="L6288" s="41">
        <v>46010.208333333336</v>
      </c>
      <c r="M6288" s="38" t="s">
        <v>123</v>
      </c>
      <c r="N6288" s="41">
        <v>46010.25</v>
      </c>
      <c r="O6288" s="38" t="s">
        <v>123</v>
      </c>
      <c r="P6288" s="38">
        <v>3600.0</v>
      </c>
      <c r="Q6288" s="39"/>
      <c r="R6288" s="39"/>
      <c r="S6288" s="39"/>
      <c r="T6288" s="39"/>
      <c r="U6288" s="39"/>
    </row>
    <row r="6289">
      <c r="A6289" s="40">
        <f t="shared" si="1"/>
        <v>46006</v>
      </c>
      <c r="B6289" s="37" t="str">
        <f t="array" ref="B6289">iferror(xlookup($I6289, 'IMPORT VHC Report'!$E:$E, 'IMPORT VHC Report'!$A:$C), )</f>
        <v/>
      </c>
      <c r="C6289" s="37"/>
      <c r="D6289" s="37"/>
      <c r="E6289" s="38" t="s">
        <v>7465</v>
      </c>
      <c r="F6289" s="38" t="s">
        <v>7453</v>
      </c>
      <c r="G6289" s="38">
        <v>5.902016055567E12</v>
      </c>
      <c r="H6289" s="38" t="s">
        <v>7454</v>
      </c>
      <c r="I6289" s="38" t="s">
        <v>7455</v>
      </c>
      <c r="J6289" s="38" t="s">
        <v>4</v>
      </c>
      <c r="K6289" s="38" t="s">
        <v>126</v>
      </c>
      <c r="L6289" s="41">
        <v>46010.875</v>
      </c>
      <c r="M6289" s="38" t="s">
        <v>123</v>
      </c>
      <c r="N6289" s="41">
        <v>46010.916666666664</v>
      </c>
      <c r="O6289" s="38" t="s">
        <v>123</v>
      </c>
      <c r="P6289" s="38">
        <v>3600.0</v>
      </c>
      <c r="Q6289" s="39"/>
      <c r="R6289" s="39"/>
      <c r="S6289" s="38" t="s">
        <v>130</v>
      </c>
      <c r="T6289" s="39"/>
      <c r="U6289" s="39"/>
    </row>
    <row r="6290">
      <c r="A6290" s="40">
        <f t="shared" si="1"/>
        <v>46006</v>
      </c>
      <c r="B6290" s="37" t="str">
        <f t="array" ref="B6290">iferror(xlookup($I6290, 'IMPORT VHC Report'!$E:$E, 'IMPORT VHC Report'!$A:$C), )</f>
        <v/>
      </c>
      <c r="C6290" s="37"/>
      <c r="D6290" s="37"/>
      <c r="E6290" s="38" t="s">
        <v>7466</v>
      </c>
      <c r="F6290" s="38" t="s">
        <v>7453</v>
      </c>
      <c r="G6290" s="38">
        <v>5.902016055567E12</v>
      </c>
      <c r="H6290" s="38" t="s">
        <v>7454</v>
      </c>
      <c r="I6290" s="38" t="s">
        <v>7455</v>
      </c>
      <c r="J6290" s="38" t="s">
        <v>62</v>
      </c>
      <c r="K6290" s="38" t="s">
        <v>63</v>
      </c>
      <c r="L6290" s="41">
        <v>46010.875</v>
      </c>
      <c r="M6290" s="38" t="s">
        <v>123</v>
      </c>
      <c r="N6290" s="41">
        <v>46010.958333333336</v>
      </c>
      <c r="O6290" s="38" t="s">
        <v>123</v>
      </c>
      <c r="P6290" s="38">
        <v>7200.0</v>
      </c>
      <c r="Q6290" s="39"/>
      <c r="R6290" s="39"/>
      <c r="S6290" s="39"/>
      <c r="T6290" s="39"/>
      <c r="U6290" s="39"/>
    </row>
    <row r="6291">
      <c r="A6291" s="40">
        <f t="shared" si="1"/>
        <v>46006</v>
      </c>
      <c r="B6291" s="37" t="str">
        <f t="array" ref="B6291">iferror(xlookup($I6291, 'IMPORT VHC Report'!$E:$E, 'IMPORT VHC Report'!$A:$C), )</f>
        <v/>
      </c>
      <c r="C6291" s="37"/>
      <c r="D6291" s="37"/>
      <c r="E6291" s="38" t="s">
        <v>7467</v>
      </c>
      <c r="F6291" s="38" t="s">
        <v>7453</v>
      </c>
      <c r="G6291" s="38">
        <v>5.902016055567E12</v>
      </c>
      <c r="H6291" s="38" t="s">
        <v>7454</v>
      </c>
      <c r="I6291" s="38" t="s">
        <v>7455</v>
      </c>
      <c r="J6291" s="38" t="s">
        <v>332</v>
      </c>
      <c r="K6291" s="38" t="s">
        <v>63</v>
      </c>
      <c r="L6291" s="41">
        <v>46010.958333333336</v>
      </c>
      <c r="M6291" s="38" t="s">
        <v>123</v>
      </c>
      <c r="N6291" s="41">
        <v>46011.25</v>
      </c>
      <c r="O6291" s="38" t="s">
        <v>123</v>
      </c>
      <c r="P6291" s="38">
        <v>25200.0</v>
      </c>
      <c r="Q6291" s="39"/>
      <c r="R6291" s="39"/>
      <c r="S6291" s="39"/>
      <c r="T6291" s="39"/>
      <c r="U6291" s="39"/>
    </row>
    <row r="6292">
      <c r="A6292" s="40">
        <f t="shared" si="1"/>
        <v>46006</v>
      </c>
      <c r="B6292" s="37" t="str">
        <f t="array" ref="B6292">iferror(xlookup($I6292, 'IMPORT VHC Report'!$E:$E, 'IMPORT VHC Report'!$A:$C), )</f>
        <v/>
      </c>
      <c r="C6292" s="37"/>
      <c r="D6292" s="37"/>
      <c r="E6292" s="38" t="s">
        <v>7468</v>
      </c>
      <c r="F6292" s="38" t="s">
        <v>7453</v>
      </c>
      <c r="G6292" s="38">
        <v>5.902016055567E12</v>
      </c>
      <c r="H6292" s="38" t="s">
        <v>7454</v>
      </c>
      <c r="I6292" s="38" t="s">
        <v>7455</v>
      </c>
      <c r="J6292" s="38" t="s">
        <v>134</v>
      </c>
      <c r="K6292" s="38" t="s">
        <v>126</v>
      </c>
      <c r="L6292" s="41">
        <v>46011.1875</v>
      </c>
      <c r="M6292" s="38" t="s">
        <v>123</v>
      </c>
      <c r="N6292" s="41">
        <v>46011.208333333336</v>
      </c>
      <c r="O6292" s="38" t="s">
        <v>123</v>
      </c>
      <c r="P6292" s="38">
        <v>1800.0</v>
      </c>
      <c r="Q6292" s="39"/>
      <c r="R6292" s="39"/>
      <c r="S6292" s="39"/>
      <c r="T6292" s="39"/>
      <c r="U6292" s="39"/>
    </row>
    <row r="6293">
      <c r="A6293" s="40">
        <f t="shared" si="1"/>
        <v>46006</v>
      </c>
      <c r="B6293" s="37" t="str">
        <f t="array" ref="B6293">iferror(xlookup($I6293, 'IMPORT VHC Report'!$E:$E, 'IMPORT VHC Report'!$A:$C), )</f>
        <v/>
      </c>
      <c r="C6293" s="37"/>
      <c r="D6293" s="37"/>
      <c r="E6293" s="38" t="s">
        <v>7469</v>
      </c>
      <c r="F6293" s="38" t="s">
        <v>7453</v>
      </c>
      <c r="G6293" s="38">
        <v>5.902016055567E12</v>
      </c>
      <c r="H6293" s="38" t="s">
        <v>7454</v>
      </c>
      <c r="I6293" s="38" t="s">
        <v>7455</v>
      </c>
      <c r="J6293" s="38" t="s">
        <v>132</v>
      </c>
      <c r="K6293" s="38" t="s">
        <v>126</v>
      </c>
      <c r="L6293" s="41">
        <v>46011.208333333336</v>
      </c>
      <c r="M6293" s="38" t="s">
        <v>123</v>
      </c>
      <c r="N6293" s="41">
        <v>46011.25</v>
      </c>
      <c r="O6293" s="38" t="s">
        <v>123</v>
      </c>
      <c r="P6293" s="38">
        <v>3600.0</v>
      </c>
      <c r="Q6293" s="39"/>
      <c r="R6293" s="39"/>
      <c r="S6293" s="39"/>
      <c r="T6293" s="39"/>
      <c r="U6293" s="39"/>
    </row>
    <row r="6294">
      <c r="A6294" s="40">
        <f t="shared" si="1"/>
        <v>46006</v>
      </c>
      <c r="B6294" s="37" t="str">
        <f t="array" ref="B6294">iferror(xlookup($I6294, 'IMPORT VHC Report'!$E:$E, 'IMPORT VHC Report'!$A:$C), )</f>
        <v/>
      </c>
      <c r="C6294" s="37"/>
      <c r="D6294" s="37"/>
      <c r="E6294" s="38" t="s">
        <v>7470</v>
      </c>
      <c r="F6294" s="38" t="s">
        <v>7453</v>
      </c>
      <c r="G6294" s="38">
        <v>5.902016055567E12</v>
      </c>
      <c r="H6294" s="38" t="s">
        <v>7454</v>
      </c>
      <c r="I6294" s="38" t="s">
        <v>7455</v>
      </c>
      <c r="J6294" s="38" t="s">
        <v>332</v>
      </c>
      <c r="K6294" s="38" t="s">
        <v>63</v>
      </c>
      <c r="L6294" s="41">
        <v>46011.875</v>
      </c>
      <c r="M6294" s="38" t="s">
        <v>123</v>
      </c>
      <c r="N6294" s="41">
        <v>46012.25</v>
      </c>
      <c r="O6294" s="38" t="s">
        <v>123</v>
      </c>
      <c r="P6294" s="38">
        <v>32400.0</v>
      </c>
      <c r="Q6294" s="39"/>
      <c r="R6294" s="39"/>
      <c r="S6294" s="39"/>
      <c r="T6294" s="39"/>
      <c r="U6294" s="39"/>
    </row>
    <row r="6295">
      <c r="A6295" s="40">
        <f t="shared" si="1"/>
        <v>46006</v>
      </c>
      <c r="B6295" s="37" t="str">
        <f t="array" ref="B6295">iferror(xlookup($I6295, 'IMPORT VHC Report'!$E:$E, 'IMPORT VHC Report'!$A:$C), )</f>
        <v/>
      </c>
      <c r="C6295" s="37"/>
      <c r="D6295" s="37"/>
      <c r="E6295" s="38" t="s">
        <v>7471</v>
      </c>
      <c r="F6295" s="38" t="s">
        <v>7453</v>
      </c>
      <c r="G6295" s="38">
        <v>5.902016055567E12</v>
      </c>
      <c r="H6295" s="38" t="s">
        <v>7454</v>
      </c>
      <c r="I6295" s="38" t="s">
        <v>7455</v>
      </c>
      <c r="J6295" s="38" t="s">
        <v>134</v>
      </c>
      <c r="K6295" s="38" t="s">
        <v>126</v>
      </c>
      <c r="L6295" s="41">
        <v>46012.1875</v>
      </c>
      <c r="M6295" s="38" t="s">
        <v>123</v>
      </c>
      <c r="N6295" s="41">
        <v>46012.208333333336</v>
      </c>
      <c r="O6295" s="38" t="s">
        <v>123</v>
      </c>
      <c r="P6295" s="38">
        <v>1800.0</v>
      </c>
      <c r="Q6295" s="39"/>
      <c r="R6295" s="39"/>
      <c r="S6295" s="39"/>
      <c r="T6295" s="39"/>
      <c r="U6295" s="39"/>
    </row>
    <row r="6296">
      <c r="A6296" s="40">
        <f t="shared" si="1"/>
        <v>46006</v>
      </c>
      <c r="B6296" s="37" t="str">
        <f t="array" ref="B6296">iferror(xlookup($I6296, 'IMPORT VHC Report'!$E:$E, 'IMPORT VHC Report'!$A:$C), )</f>
        <v/>
      </c>
      <c r="C6296" s="37"/>
      <c r="D6296" s="37"/>
      <c r="E6296" s="38" t="s">
        <v>7472</v>
      </c>
      <c r="F6296" s="38" t="s">
        <v>7453</v>
      </c>
      <c r="G6296" s="38">
        <v>5.902016055567E12</v>
      </c>
      <c r="H6296" s="38" t="s">
        <v>7454</v>
      </c>
      <c r="I6296" s="38" t="s">
        <v>7455</v>
      </c>
      <c r="J6296" s="38" t="s">
        <v>132</v>
      </c>
      <c r="K6296" s="38" t="s">
        <v>126</v>
      </c>
      <c r="L6296" s="41">
        <v>46012.208333333336</v>
      </c>
      <c r="M6296" s="38" t="s">
        <v>123</v>
      </c>
      <c r="N6296" s="41">
        <v>46012.25</v>
      </c>
      <c r="O6296" s="38" t="s">
        <v>123</v>
      </c>
      <c r="P6296" s="38">
        <v>3600.0</v>
      </c>
      <c r="Q6296" s="39"/>
      <c r="R6296" s="39"/>
      <c r="S6296" s="39"/>
      <c r="T6296" s="39"/>
      <c r="U6296" s="39"/>
    </row>
    <row r="6297">
      <c r="A6297" s="40">
        <f t="shared" si="1"/>
        <v>46006</v>
      </c>
      <c r="B6297" s="37" t="str">
        <f t="array" ref="B6297">iferror(xlookup($I6297, 'IMPORT VHC Report'!$E:$E, 'IMPORT VHC Report'!$A:$C), )</f>
        <v/>
      </c>
      <c r="C6297" s="37"/>
      <c r="D6297" s="37"/>
      <c r="E6297" s="38" t="s">
        <v>7473</v>
      </c>
      <c r="F6297" s="38" t="s">
        <v>7474</v>
      </c>
      <c r="G6297" s="38">
        <v>3.61724667256E11</v>
      </c>
      <c r="H6297" s="38" t="s">
        <v>7475</v>
      </c>
      <c r="I6297" s="38" t="s">
        <v>7476</v>
      </c>
      <c r="J6297" s="38" t="s">
        <v>4</v>
      </c>
      <c r="K6297" s="38" t="s">
        <v>126</v>
      </c>
      <c r="L6297" s="41">
        <v>46007.875</v>
      </c>
      <c r="M6297" s="38" t="s">
        <v>123</v>
      </c>
      <c r="N6297" s="41">
        <v>46007.895833333336</v>
      </c>
      <c r="O6297" s="38" t="s">
        <v>123</v>
      </c>
      <c r="P6297" s="38">
        <v>1800.0</v>
      </c>
      <c r="Q6297" s="39"/>
      <c r="R6297" s="39"/>
      <c r="S6297" s="39"/>
      <c r="T6297" s="39"/>
      <c r="U6297" s="39"/>
    </row>
    <row r="6298">
      <c r="A6298" s="40">
        <f t="shared" si="1"/>
        <v>46006</v>
      </c>
      <c r="B6298" s="37" t="str">
        <f t="array" ref="B6298">iferror(xlookup($I6298, 'IMPORT VHC Report'!$E:$E, 'IMPORT VHC Report'!$A:$C), )</f>
        <v/>
      </c>
      <c r="C6298" s="37"/>
      <c r="D6298" s="37"/>
      <c r="E6298" s="38" t="s">
        <v>7477</v>
      </c>
      <c r="F6298" s="38" t="s">
        <v>7474</v>
      </c>
      <c r="G6298" s="38">
        <v>3.61724667256E11</v>
      </c>
      <c r="H6298" s="38" t="s">
        <v>7475</v>
      </c>
      <c r="I6298" s="38" t="s">
        <v>7476</v>
      </c>
      <c r="J6298" s="38" t="s">
        <v>530</v>
      </c>
      <c r="K6298" s="38" t="s">
        <v>63</v>
      </c>
      <c r="L6298" s="41">
        <v>46007.875</v>
      </c>
      <c r="M6298" s="38" t="s">
        <v>123</v>
      </c>
      <c r="N6298" s="41">
        <v>46008.25</v>
      </c>
      <c r="O6298" s="38" t="s">
        <v>123</v>
      </c>
      <c r="P6298" s="38">
        <v>32400.0</v>
      </c>
      <c r="Q6298" s="39"/>
      <c r="R6298" s="39"/>
      <c r="S6298" s="39"/>
      <c r="T6298" s="39"/>
      <c r="U6298" s="39"/>
    </row>
    <row r="6299">
      <c r="A6299" s="40">
        <f t="shared" si="1"/>
        <v>46006</v>
      </c>
      <c r="B6299" s="37" t="str">
        <f t="array" ref="B6299">iferror(xlookup($I6299, 'IMPORT VHC Report'!$E:$E, 'IMPORT VHC Report'!$A:$C), )</f>
        <v/>
      </c>
      <c r="C6299" s="37"/>
      <c r="D6299" s="37"/>
      <c r="E6299" s="38" t="s">
        <v>7478</v>
      </c>
      <c r="F6299" s="38" t="s">
        <v>7474</v>
      </c>
      <c r="G6299" s="38">
        <v>3.61724667256E11</v>
      </c>
      <c r="H6299" s="38" t="s">
        <v>7475</v>
      </c>
      <c r="I6299" s="38" t="s">
        <v>7476</v>
      </c>
      <c r="J6299" s="38" t="s">
        <v>136</v>
      </c>
      <c r="K6299" s="38" t="s">
        <v>126</v>
      </c>
      <c r="L6299" s="41">
        <v>46007.9375</v>
      </c>
      <c r="M6299" s="38" t="s">
        <v>123</v>
      </c>
      <c r="N6299" s="41">
        <v>46007.989583333336</v>
      </c>
      <c r="O6299" s="38" t="s">
        <v>123</v>
      </c>
      <c r="P6299" s="38">
        <v>4500.0</v>
      </c>
      <c r="Q6299" s="39"/>
      <c r="R6299" s="39"/>
      <c r="S6299" s="38" t="s">
        <v>7479</v>
      </c>
      <c r="T6299" s="39"/>
      <c r="U6299" s="39"/>
    </row>
    <row r="6300">
      <c r="A6300" s="40">
        <f t="shared" si="1"/>
        <v>46006</v>
      </c>
      <c r="B6300" s="37" t="str">
        <f t="array" ref="B6300">iferror(xlookup($I6300, 'IMPORT VHC Report'!$E:$E, 'IMPORT VHC Report'!$A:$C), )</f>
        <v/>
      </c>
      <c r="C6300" s="37"/>
      <c r="D6300" s="37"/>
      <c r="E6300" s="38" t="s">
        <v>7480</v>
      </c>
      <c r="F6300" s="38" t="s">
        <v>7474</v>
      </c>
      <c r="G6300" s="38">
        <v>3.61724667256E11</v>
      </c>
      <c r="H6300" s="38" t="s">
        <v>7475</v>
      </c>
      <c r="I6300" s="38" t="s">
        <v>7476</v>
      </c>
      <c r="J6300" s="38" t="s">
        <v>132</v>
      </c>
      <c r="K6300" s="38" t="s">
        <v>126</v>
      </c>
      <c r="L6300" s="41">
        <v>46008.145833333336</v>
      </c>
      <c r="M6300" s="38" t="s">
        <v>123</v>
      </c>
      <c r="N6300" s="41">
        <v>46008.1875</v>
      </c>
      <c r="O6300" s="38" t="s">
        <v>123</v>
      </c>
      <c r="P6300" s="38">
        <v>3600.0</v>
      </c>
      <c r="Q6300" s="39"/>
      <c r="R6300" s="39"/>
      <c r="S6300" s="39"/>
      <c r="T6300" s="39"/>
      <c r="U6300" s="39"/>
    </row>
    <row r="6301">
      <c r="A6301" s="40">
        <f t="shared" si="1"/>
        <v>46006</v>
      </c>
      <c r="B6301" s="37" t="str">
        <f t="array" ref="B6301">iferror(xlookup($I6301, 'IMPORT VHC Report'!$E:$E, 'IMPORT VHC Report'!$A:$C), )</f>
        <v/>
      </c>
      <c r="C6301" s="37"/>
      <c r="D6301" s="37"/>
      <c r="E6301" s="38" t="s">
        <v>7481</v>
      </c>
      <c r="F6301" s="38" t="s">
        <v>7474</v>
      </c>
      <c r="G6301" s="38">
        <v>3.61724667256E11</v>
      </c>
      <c r="H6301" s="38" t="s">
        <v>7475</v>
      </c>
      <c r="I6301" s="38" t="s">
        <v>7476</v>
      </c>
      <c r="J6301" s="38" t="s">
        <v>134</v>
      </c>
      <c r="K6301" s="38" t="s">
        <v>126</v>
      </c>
      <c r="L6301" s="41">
        <v>46008.1875</v>
      </c>
      <c r="M6301" s="38" t="s">
        <v>123</v>
      </c>
      <c r="N6301" s="41">
        <v>46008.208333333336</v>
      </c>
      <c r="O6301" s="38" t="s">
        <v>123</v>
      </c>
      <c r="P6301" s="38">
        <v>1800.0</v>
      </c>
      <c r="Q6301" s="39"/>
      <c r="R6301" s="39"/>
      <c r="S6301" s="39"/>
      <c r="T6301" s="39"/>
      <c r="U6301" s="39"/>
    </row>
    <row r="6302">
      <c r="A6302" s="40">
        <f t="shared" si="1"/>
        <v>46006</v>
      </c>
      <c r="B6302" s="37" t="str">
        <f t="array" ref="B6302">iferror(xlookup($I6302, 'IMPORT VHC Report'!$E:$E, 'IMPORT VHC Report'!$A:$C), )</f>
        <v/>
      </c>
      <c r="C6302" s="37"/>
      <c r="D6302" s="37"/>
      <c r="E6302" s="38" t="s">
        <v>7482</v>
      </c>
      <c r="F6302" s="38" t="s">
        <v>7474</v>
      </c>
      <c r="G6302" s="38">
        <v>3.61724667256E11</v>
      </c>
      <c r="H6302" s="38" t="s">
        <v>7475</v>
      </c>
      <c r="I6302" s="38" t="s">
        <v>7476</v>
      </c>
      <c r="J6302" s="38" t="s">
        <v>4</v>
      </c>
      <c r="K6302" s="38" t="s">
        <v>126</v>
      </c>
      <c r="L6302" s="41">
        <v>46008.208333333336</v>
      </c>
      <c r="M6302" s="38" t="s">
        <v>123</v>
      </c>
      <c r="N6302" s="41">
        <v>46008.25</v>
      </c>
      <c r="O6302" s="38" t="s">
        <v>123</v>
      </c>
      <c r="P6302" s="38">
        <v>3600.0</v>
      </c>
      <c r="Q6302" s="39"/>
      <c r="R6302" s="39"/>
      <c r="S6302" s="38" t="s">
        <v>858</v>
      </c>
      <c r="T6302" s="39"/>
      <c r="U6302" s="39"/>
    </row>
    <row r="6303">
      <c r="A6303" s="40">
        <f t="shared" si="1"/>
        <v>46006</v>
      </c>
      <c r="B6303" s="37" t="str">
        <f t="array" ref="B6303">iferror(xlookup($I6303, 'IMPORT VHC Report'!$E:$E, 'IMPORT VHC Report'!$A:$C), )</f>
        <v/>
      </c>
      <c r="C6303" s="37"/>
      <c r="D6303" s="37"/>
      <c r="E6303" s="38" t="s">
        <v>7483</v>
      </c>
      <c r="F6303" s="38" t="s">
        <v>7474</v>
      </c>
      <c r="G6303" s="38">
        <v>3.61724667256E11</v>
      </c>
      <c r="H6303" s="38" t="s">
        <v>7475</v>
      </c>
      <c r="I6303" s="38" t="s">
        <v>7476</v>
      </c>
      <c r="J6303" s="38" t="s">
        <v>4</v>
      </c>
      <c r="K6303" s="38" t="s">
        <v>126</v>
      </c>
      <c r="L6303" s="41">
        <v>46008.875</v>
      </c>
      <c r="M6303" s="38" t="s">
        <v>123</v>
      </c>
      <c r="N6303" s="41">
        <v>46008.895833333336</v>
      </c>
      <c r="O6303" s="38" t="s">
        <v>123</v>
      </c>
      <c r="P6303" s="38">
        <v>1800.0</v>
      </c>
      <c r="Q6303" s="39"/>
      <c r="R6303" s="39"/>
      <c r="S6303" s="39"/>
      <c r="T6303" s="39"/>
      <c r="U6303" s="39"/>
    </row>
    <row r="6304">
      <c r="A6304" s="40">
        <f t="shared" si="1"/>
        <v>46006</v>
      </c>
      <c r="B6304" s="37" t="str">
        <f t="array" ref="B6304">iferror(xlookup($I6304, 'IMPORT VHC Report'!$E:$E, 'IMPORT VHC Report'!$A:$C), )</f>
        <v/>
      </c>
      <c r="C6304" s="37"/>
      <c r="D6304" s="37"/>
      <c r="E6304" s="38" t="s">
        <v>7484</v>
      </c>
      <c r="F6304" s="38" t="s">
        <v>7474</v>
      </c>
      <c r="G6304" s="38">
        <v>3.61724667256E11</v>
      </c>
      <c r="H6304" s="38" t="s">
        <v>7475</v>
      </c>
      <c r="I6304" s="38" t="s">
        <v>7476</v>
      </c>
      <c r="J6304" s="38" t="s">
        <v>530</v>
      </c>
      <c r="K6304" s="38" t="s">
        <v>63</v>
      </c>
      <c r="L6304" s="41">
        <v>46008.875</v>
      </c>
      <c r="M6304" s="38" t="s">
        <v>123</v>
      </c>
      <c r="N6304" s="41">
        <v>46009.25</v>
      </c>
      <c r="O6304" s="38" t="s">
        <v>123</v>
      </c>
      <c r="P6304" s="38">
        <v>32400.0</v>
      </c>
      <c r="Q6304" s="39"/>
      <c r="R6304" s="39"/>
      <c r="S6304" s="39"/>
      <c r="T6304" s="39"/>
      <c r="U6304" s="39"/>
    </row>
    <row r="6305">
      <c r="A6305" s="40">
        <f t="shared" si="1"/>
        <v>46006</v>
      </c>
      <c r="B6305" s="37" t="str">
        <f t="array" ref="B6305">iferror(xlookup($I6305, 'IMPORT VHC Report'!$E:$E, 'IMPORT VHC Report'!$A:$C), )</f>
        <v/>
      </c>
      <c r="C6305" s="37"/>
      <c r="D6305" s="37"/>
      <c r="E6305" s="38" t="s">
        <v>7485</v>
      </c>
      <c r="F6305" s="38" t="s">
        <v>7474</v>
      </c>
      <c r="G6305" s="38">
        <v>3.61724667256E11</v>
      </c>
      <c r="H6305" s="38" t="s">
        <v>7475</v>
      </c>
      <c r="I6305" s="38" t="s">
        <v>7476</v>
      </c>
      <c r="J6305" s="38" t="s">
        <v>4</v>
      </c>
      <c r="K6305" s="38" t="s">
        <v>126</v>
      </c>
      <c r="L6305" s="41">
        <v>46008.895833333336</v>
      </c>
      <c r="M6305" s="38" t="s">
        <v>123</v>
      </c>
      <c r="N6305" s="41">
        <v>46008.958333333336</v>
      </c>
      <c r="O6305" s="38" t="s">
        <v>123</v>
      </c>
      <c r="P6305" s="38">
        <v>5400.0</v>
      </c>
      <c r="Q6305" s="39"/>
      <c r="R6305" s="39"/>
      <c r="S6305" s="38" t="s">
        <v>1209</v>
      </c>
      <c r="T6305" s="39"/>
      <c r="U6305" s="39"/>
    </row>
    <row r="6306">
      <c r="A6306" s="40">
        <f t="shared" si="1"/>
        <v>46006</v>
      </c>
      <c r="B6306" s="37" t="str">
        <f t="array" ref="B6306">iferror(xlookup($I6306, 'IMPORT VHC Report'!$E:$E, 'IMPORT VHC Report'!$A:$C), )</f>
        <v/>
      </c>
      <c r="C6306" s="37"/>
      <c r="D6306" s="37"/>
      <c r="E6306" s="38" t="s">
        <v>7486</v>
      </c>
      <c r="F6306" s="38" t="s">
        <v>7474</v>
      </c>
      <c r="G6306" s="38">
        <v>3.61724667256E11</v>
      </c>
      <c r="H6306" s="38" t="s">
        <v>7475</v>
      </c>
      <c r="I6306" s="38" t="s">
        <v>7476</v>
      </c>
      <c r="J6306" s="38" t="s">
        <v>132</v>
      </c>
      <c r="K6306" s="38" t="s">
        <v>126</v>
      </c>
      <c r="L6306" s="41">
        <v>46009.0</v>
      </c>
      <c r="M6306" s="38" t="s">
        <v>123</v>
      </c>
      <c r="N6306" s="41">
        <v>46009.041666666664</v>
      </c>
      <c r="O6306" s="38" t="s">
        <v>123</v>
      </c>
      <c r="P6306" s="38">
        <v>3600.0</v>
      </c>
      <c r="Q6306" s="39"/>
      <c r="R6306" s="39"/>
      <c r="S6306" s="39"/>
      <c r="T6306" s="39"/>
      <c r="U6306" s="39"/>
    </row>
    <row r="6307">
      <c r="A6307" s="40">
        <f t="shared" si="1"/>
        <v>46006</v>
      </c>
      <c r="B6307" s="37" t="str">
        <f t="array" ref="B6307">iferror(xlookup($I6307, 'IMPORT VHC Report'!$E:$E, 'IMPORT VHC Report'!$A:$C), )</f>
        <v/>
      </c>
      <c r="C6307" s="37"/>
      <c r="D6307" s="37"/>
      <c r="E6307" s="38" t="s">
        <v>7487</v>
      </c>
      <c r="F6307" s="38" t="s">
        <v>7474</v>
      </c>
      <c r="G6307" s="38">
        <v>3.61724667256E11</v>
      </c>
      <c r="H6307" s="38" t="s">
        <v>7475</v>
      </c>
      <c r="I6307" s="38" t="s">
        <v>7476</v>
      </c>
      <c r="J6307" s="38" t="s">
        <v>134</v>
      </c>
      <c r="K6307" s="38" t="s">
        <v>126</v>
      </c>
      <c r="L6307" s="41">
        <v>46009.177083333336</v>
      </c>
      <c r="M6307" s="38" t="s">
        <v>123</v>
      </c>
      <c r="N6307" s="41">
        <v>46009.197916666664</v>
      </c>
      <c r="O6307" s="38" t="s">
        <v>123</v>
      </c>
      <c r="P6307" s="38">
        <v>1800.0</v>
      </c>
      <c r="Q6307" s="39"/>
      <c r="R6307" s="39"/>
      <c r="S6307" s="39"/>
      <c r="T6307" s="39"/>
      <c r="U6307" s="39"/>
    </row>
    <row r="6308">
      <c r="A6308" s="40">
        <f t="shared" si="1"/>
        <v>46006</v>
      </c>
      <c r="B6308" s="37" t="str">
        <f t="array" ref="B6308">iferror(xlookup($I6308, 'IMPORT VHC Report'!$E:$E, 'IMPORT VHC Report'!$A:$C), )</f>
        <v/>
      </c>
      <c r="C6308" s="37"/>
      <c r="D6308" s="37"/>
      <c r="E6308" s="38" t="s">
        <v>7488</v>
      </c>
      <c r="F6308" s="38" t="s">
        <v>7474</v>
      </c>
      <c r="G6308" s="38">
        <v>3.61724667256E11</v>
      </c>
      <c r="H6308" s="38" t="s">
        <v>7475</v>
      </c>
      <c r="I6308" s="38" t="s">
        <v>7476</v>
      </c>
      <c r="J6308" s="38" t="s">
        <v>4</v>
      </c>
      <c r="K6308" s="38" t="s">
        <v>126</v>
      </c>
      <c r="L6308" s="41">
        <v>46009.875</v>
      </c>
      <c r="M6308" s="38" t="s">
        <v>123</v>
      </c>
      <c r="N6308" s="41">
        <v>46009.895833333336</v>
      </c>
      <c r="O6308" s="38" t="s">
        <v>123</v>
      </c>
      <c r="P6308" s="38">
        <v>1800.0</v>
      </c>
      <c r="Q6308" s="39"/>
      <c r="R6308" s="39"/>
      <c r="S6308" s="39"/>
      <c r="T6308" s="39"/>
      <c r="U6308" s="39"/>
    </row>
    <row r="6309">
      <c r="A6309" s="40">
        <f t="shared" si="1"/>
        <v>46006</v>
      </c>
      <c r="B6309" s="37" t="str">
        <f t="array" ref="B6309">iferror(xlookup($I6309, 'IMPORT VHC Report'!$E:$E, 'IMPORT VHC Report'!$A:$C), )</f>
        <v/>
      </c>
      <c r="C6309" s="37"/>
      <c r="D6309" s="37"/>
      <c r="E6309" s="38" t="s">
        <v>7489</v>
      </c>
      <c r="F6309" s="38" t="s">
        <v>7474</v>
      </c>
      <c r="G6309" s="38">
        <v>3.61724667256E11</v>
      </c>
      <c r="H6309" s="38" t="s">
        <v>7475</v>
      </c>
      <c r="I6309" s="38" t="s">
        <v>7476</v>
      </c>
      <c r="J6309" s="38" t="s">
        <v>530</v>
      </c>
      <c r="K6309" s="38" t="s">
        <v>63</v>
      </c>
      <c r="L6309" s="41">
        <v>46009.875</v>
      </c>
      <c r="M6309" s="38" t="s">
        <v>123</v>
      </c>
      <c r="N6309" s="41">
        <v>46010.25</v>
      </c>
      <c r="O6309" s="38" t="s">
        <v>123</v>
      </c>
      <c r="P6309" s="38">
        <v>32400.0</v>
      </c>
      <c r="Q6309" s="39"/>
      <c r="R6309" s="39"/>
      <c r="S6309" s="39"/>
      <c r="T6309" s="39"/>
      <c r="U6309" s="39"/>
    </row>
    <row r="6310">
      <c r="A6310" s="40">
        <f t="shared" si="1"/>
        <v>46006</v>
      </c>
      <c r="B6310" s="37" t="str">
        <f t="array" ref="B6310">iferror(xlookup($I6310, 'IMPORT VHC Report'!$E:$E, 'IMPORT VHC Report'!$A:$C), )</f>
        <v/>
      </c>
      <c r="C6310" s="37"/>
      <c r="D6310" s="37"/>
      <c r="E6310" s="38" t="s">
        <v>7490</v>
      </c>
      <c r="F6310" s="38" t="s">
        <v>7474</v>
      </c>
      <c r="G6310" s="38">
        <v>3.61724667256E11</v>
      </c>
      <c r="H6310" s="38" t="s">
        <v>7475</v>
      </c>
      <c r="I6310" s="38" t="s">
        <v>7476</v>
      </c>
      <c r="J6310" s="38" t="s">
        <v>136</v>
      </c>
      <c r="K6310" s="38" t="s">
        <v>126</v>
      </c>
      <c r="L6310" s="41">
        <v>46009.916666666664</v>
      </c>
      <c r="M6310" s="38" t="s">
        <v>123</v>
      </c>
      <c r="N6310" s="41">
        <v>46009.958333333336</v>
      </c>
      <c r="O6310" s="38" t="s">
        <v>123</v>
      </c>
      <c r="P6310" s="38">
        <v>3600.0</v>
      </c>
      <c r="Q6310" s="39"/>
      <c r="R6310" s="39"/>
      <c r="S6310" s="38" t="s">
        <v>7491</v>
      </c>
      <c r="T6310" s="39"/>
      <c r="U6310" s="39"/>
    </row>
    <row r="6311">
      <c r="A6311" s="40">
        <f t="shared" si="1"/>
        <v>46006</v>
      </c>
      <c r="B6311" s="37" t="str">
        <f t="array" ref="B6311">iferror(xlookup($I6311, 'IMPORT VHC Report'!$E:$E, 'IMPORT VHC Report'!$A:$C), )</f>
        <v/>
      </c>
      <c r="C6311" s="37"/>
      <c r="D6311" s="37"/>
      <c r="E6311" s="38" t="s">
        <v>7492</v>
      </c>
      <c r="F6311" s="38" t="s">
        <v>7474</v>
      </c>
      <c r="G6311" s="38">
        <v>3.61724667256E11</v>
      </c>
      <c r="H6311" s="38" t="s">
        <v>7475</v>
      </c>
      <c r="I6311" s="38" t="s">
        <v>7476</v>
      </c>
      <c r="J6311" s="38" t="s">
        <v>132</v>
      </c>
      <c r="K6311" s="38" t="s">
        <v>126</v>
      </c>
      <c r="L6311" s="41">
        <v>46010.125</v>
      </c>
      <c r="M6311" s="38" t="s">
        <v>123</v>
      </c>
      <c r="N6311" s="41">
        <v>46010.166666666664</v>
      </c>
      <c r="O6311" s="38" t="s">
        <v>123</v>
      </c>
      <c r="P6311" s="38">
        <v>3600.0</v>
      </c>
      <c r="Q6311" s="39"/>
      <c r="R6311" s="39"/>
      <c r="S6311" s="39"/>
      <c r="T6311" s="39"/>
      <c r="U6311" s="39"/>
    </row>
    <row r="6312">
      <c r="A6312" s="40">
        <f t="shared" si="1"/>
        <v>46006</v>
      </c>
      <c r="B6312" s="37" t="str">
        <f t="array" ref="B6312">iferror(xlookup($I6312, 'IMPORT VHC Report'!$E:$E, 'IMPORT VHC Report'!$A:$C), )</f>
        <v/>
      </c>
      <c r="C6312" s="37"/>
      <c r="D6312" s="37"/>
      <c r="E6312" s="38" t="s">
        <v>7493</v>
      </c>
      <c r="F6312" s="38" t="s">
        <v>7474</v>
      </c>
      <c r="G6312" s="38">
        <v>3.61724667256E11</v>
      </c>
      <c r="H6312" s="38" t="s">
        <v>7475</v>
      </c>
      <c r="I6312" s="38" t="s">
        <v>7476</v>
      </c>
      <c r="J6312" s="38" t="s">
        <v>134</v>
      </c>
      <c r="K6312" s="38" t="s">
        <v>126</v>
      </c>
      <c r="L6312" s="41">
        <v>46010.166666666664</v>
      </c>
      <c r="M6312" s="38" t="s">
        <v>123</v>
      </c>
      <c r="N6312" s="41">
        <v>46010.1875</v>
      </c>
      <c r="O6312" s="38" t="s">
        <v>123</v>
      </c>
      <c r="P6312" s="38">
        <v>1800.0</v>
      </c>
      <c r="Q6312" s="39"/>
      <c r="R6312" s="39"/>
      <c r="S6312" s="39"/>
      <c r="T6312" s="39"/>
      <c r="U6312" s="39"/>
    </row>
    <row r="6313">
      <c r="A6313" s="40">
        <f t="shared" si="1"/>
        <v>46006</v>
      </c>
      <c r="B6313" s="37" t="str">
        <f t="array" ref="B6313">iferror(xlookup($I6313, 'IMPORT VHC Report'!$E:$E, 'IMPORT VHC Report'!$A:$C), )</f>
        <v/>
      </c>
      <c r="C6313" s="37"/>
      <c r="D6313" s="37"/>
      <c r="E6313" s="38" t="s">
        <v>7494</v>
      </c>
      <c r="F6313" s="38" t="s">
        <v>7474</v>
      </c>
      <c r="G6313" s="38">
        <v>3.61724667256E11</v>
      </c>
      <c r="H6313" s="38" t="s">
        <v>7475</v>
      </c>
      <c r="I6313" s="38" t="s">
        <v>7476</v>
      </c>
      <c r="J6313" s="38" t="s">
        <v>4</v>
      </c>
      <c r="K6313" s="38" t="s">
        <v>126</v>
      </c>
      <c r="L6313" s="41">
        <v>46010.875</v>
      </c>
      <c r="M6313" s="38" t="s">
        <v>123</v>
      </c>
      <c r="N6313" s="41">
        <v>46010.895833333336</v>
      </c>
      <c r="O6313" s="38" t="s">
        <v>123</v>
      </c>
      <c r="P6313" s="38">
        <v>1800.0</v>
      </c>
      <c r="Q6313" s="39"/>
      <c r="R6313" s="39"/>
      <c r="S6313" s="39"/>
      <c r="T6313" s="39"/>
      <c r="U6313" s="39"/>
    </row>
    <row r="6314">
      <c r="A6314" s="40">
        <f t="shared" si="1"/>
        <v>46006</v>
      </c>
      <c r="B6314" s="37" t="str">
        <f t="array" ref="B6314">iferror(xlookup($I6314, 'IMPORT VHC Report'!$E:$E, 'IMPORT VHC Report'!$A:$C), )</f>
        <v/>
      </c>
      <c r="C6314" s="37"/>
      <c r="D6314" s="37"/>
      <c r="E6314" s="38" t="s">
        <v>7495</v>
      </c>
      <c r="F6314" s="38" t="s">
        <v>7474</v>
      </c>
      <c r="G6314" s="38">
        <v>3.61724667256E11</v>
      </c>
      <c r="H6314" s="38" t="s">
        <v>7475</v>
      </c>
      <c r="I6314" s="38" t="s">
        <v>7476</v>
      </c>
      <c r="J6314" s="38" t="s">
        <v>530</v>
      </c>
      <c r="K6314" s="38" t="s">
        <v>63</v>
      </c>
      <c r="L6314" s="41">
        <v>46010.875</v>
      </c>
      <c r="M6314" s="38" t="s">
        <v>123</v>
      </c>
      <c r="N6314" s="41">
        <v>46011.25</v>
      </c>
      <c r="O6314" s="38" t="s">
        <v>123</v>
      </c>
      <c r="P6314" s="38">
        <v>32400.0</v>
      </c>
      <c r="Q6314" s="39"/>
      <c r="R6314" s="39"/>
      <c r="S6314" s="39"/>
      <c r="T6314" s="39"/>
      <c r="U6314" s="39"/>
    </row>
    <row r="6315">
      <c r="A6315" s="40">
        <f t="shared" si="1"/>
        <v>46006</v>
      </c>
      <c r="B6315" s="37" t="str">
        <f t="array" ref="B6315">iferror(xlookup($I6315, 'IMPORT VHC Report'!$E:$E, 'IMPORT VHC Report'!$A:$C), )</f>
        <v/>
      </c>
      <c r="C6315" s="37"/>
      <c r="D6315" s="37"/>
      <c r="E6315" s="38" t="s">
        <v>7496</v>
      </c>
      <c r="F6315" s="38" t="s">
        <v>7474</v>
      </c>
      <c r="G6315" s="38">
        <v>3.61724667256E11</v>
      </c>
      <c r="H6315" s="38" t="s">
        <v>7475</v>
      </c>
      <c r="I6315" s="38" t="s">
        <v>7476</v>
      </c>
      <c r="J6315" s="38" t="s">
        <v>132</v>
      </c>
      <c r="K6315" s="38" t="s">
        <v>126</v>
      </c>
      <c r="L6315" s="41">
        <v>46011.0</v>
      </c>
      <c r="M6315" s="38" t="s">
        <v>123</v>
      </c>
      <c r="N6315" s="41">
        <v>46011.041666666664</v>
      </c>
      <c r="O6315" s="38" t="s">
        <v>123</v>
      </c>
      <c r="P6315" s="38">
        <v>3600.0</v>
      </c>
      <c r="Q6315" s="39"/>
      <c r="R6315" s="39"/>
      <c r="S6315" s="39"/>
      <c r="T6315" s="39"/>
      <c r="U6315" s="39"/>
    </row>
    <row r="6316">
      <c r="A6316" s="40">
        <f t="shared" si="1"/>
        <v>46006</v>
      </c>
      <c r="B6316" s="37" t="str">
        <f t="array" ref="B6316">iferror(xlookup($I6316, 'IMPORT VHC Report'!$E:$E, 'IMPORT VHC Report'!$A:$C), )</f>
        <v/>
      </c>
      <c r="C6316" s="37"/>
      <c r="D6316" s="37"/>
      <c r="E6316" s="38" t="s">
        <v>7497</v>
      </c>
      <c r="F6316" s="38" t="s">
        <v>7474</v>
      </c>
      <c r="G6316" s="38">
        <v>3.61724667256E11</v>
      </c>
      <c r="H6316" s="38" t="s">
        <v>7475</v>
      </c>
      <c r="I6316" s="38" t="s">
        <v>7476</v>
      </c>
      <c r="J6316" s="38" t="s">
        <v>134</v>
      </c>
      <c r="K6316" s="38" t="s">
        <v>126</v>
      </c>
      <c r="L6316" s="41">
        <v>46011.177083333336</v>
      </c>
      <c r="M6316" s="38" t="s">
        <v>123</v>
      </c>
      <c r="N6316" s="41">
        <v>46011.197916666664</v>
      </c>
      <c r="O6316" s="38" t="s">
        <v>123</v>
      </c>
      <c r="P6316" s="38">
        <v>1800.0</v>
      </c>
      <c r="Q6316" s="39"/>
      <c r="R6316" s="39"/>
      <c r="S6316" s="39"/>
      <c r="T6316" s="39"/>
      <c r="U6316" s="39"/>
    </row>
    <row r="6317">
      <c r="A6317" s="40">
        <f t="shared" si="1"/>
        <v>46006</v>
      </c>
      <c r="B6317" s="37" t="str">
        <f t="array" ref="B6317">iferror(xlookup($I6317, 'IMPORT VHC Report'!$E:$E, 'IMPORT VHC Report'!$A:$C), )</f>
        <v/>
      </c>
      <c r="C6317" s="37"/>
      <c r="D6317" s="37"/>
      <c r="E6317" s="38" t="s">
        <v>7498</v>
      </c>
      <c r="F6317" s="38" t="s">
        <v>7474</v>
      </c>
      <c r="G6317" s="38">
        <v>3.61724667256E11</v>
      </c>
      <c r="H6317" s="38" t="s">
        <v>7475</v>
      </c>
      <c r="I6317" s="38" t="s">
        <v>7476</v>
      </c>
      <c r="J6317" s="38" t="s">
        <v>4</v>
      </c>
      <c r="K6317" s="38" t="s">
        <v>126</v>
      </c>
      <c r="L6317" s="41">
        <v>46011.875</v>
      </c>
      <c r="M6317" s="38" t="s">
        <v>123</v>
      </c>
      <c r="N6317" s="41">
        <v>46011.895833333336</v>
      </c>
      <c r="O6317" s="38" t="s">
        <v>123</v>
      </c>
      <c r="P6317" s="38">
        <v>1800.0</v>
      </c>
      <c r="Q6317" s="39"/>
      <c r="R6317" s="39"/>
      <c r="S6317" s="39"/>
      <c r="T6317" s="39"/>
      <c r="U6317" s="39"/>
    </row>
    <row r="6318">
      <c r="A6318" s="40">
        <f t="shared" si="1"/>
        <v>46006</v>
      </c>
      <c r="B6318" s="37" t="str">
        <f t="array" ref="B6318">iferror(xlookup($I6318, 'IMPORT VHC Report'!$E:$E, 'IMPORT VHC Report'!$A:$C), )</f>
        <v/>
      </c>
      <c r="C6318" s="37"/>
      <c r="D6318" s="37"/>
      <c r="E6318" s="38" t="s">
        <v>7499</v>
      </c>
      <c r="F6318" s="38" t="s">
        <v>7474</v>
      </c>
      <c r="G6318" s="38">
        <v>3.61724667256E11</v>
      </c>
      <c r="H6318" s="38" t="s">
        <v>7475</v>
      </c>
      <c r="I6318" s="38" t="s">
        <v>7476</v>
      </c>
      <c r="J6318" s="38" t="s">
        <v>530</v>
      </c>
      <c r="K6318" s="38" t="s">
        <v>63</v>
      </c>
      <c r="L6318" s="41">
        <v>46011.875</v>
      </c>
      <c r="M6318" s="38" t="s">
        <v>123</v>
      </c>
      <c r="N6318" s="41">
        <v>46012.25</v>
      </c>
      <c r="O6318" s="38" t="s">
        <v>123</v>
      </c>
      <c r="P6318" s="38">
        <v>32400.0</v>
      </c>
      <c r="Q6318" s="39"/>
      <c r="R6318" s="39"/>
      <c r="S6318" s="39"/>
      <c r="T6318" s="39"/>
      <c r="U6318" s="39"/>
    </row>
    <row r="6319">
      <c r="A6319" s="40">
        <f t="shared" si="1"/>
        <v>46006</v>
      </c>
      <c r="B6319" s="37" t="str">
        <f t="array" ref="B6319">iferror(xlookup($I6319, 'IMPORT VHC Report'!$E:$E, 'IMPORT VHC Report'!$A:$C), )</f>
        <v/>
      </c>
      <c r="C6319" s="37"/>
      <c r="D6319" s="37"/>
      <c r="E6319" s="38" t="s">
        <v>7500</v>
      </c>
      <c r="F6319" s="38" t="s">
        <v>7474</v>
      </c>
      <c r="G6319" s="38">
        <v>3.61724667256E11</v>
      </c>
      <c r="H6319" s="38" t="s">
        <v>7475</v>
      </c>
      <c r="I6319" s="38" t="s">
        <v>7476</v>
      </c>
      <c r="J6319" s="38" t="s">
        <v>134</v>
      </c>
      <c r="K6319" s="38" t="s">
        <v>126</v>
      </c>
      <c r="L6319" s="41">
        <v>46011.958333333336</v>
      </c>
      <c r="M6319" s="38" t="s">
        <v>123</v>
      </c>
      <c r="N6319" s="41">
        <v>46011.979166666664</v>
      </c>
      <c r="O6319" s="38" t="s">
        <v>123</v>
      </c>
      <c r="P6319" s="38">
        <v>1800.0</v>
      </c>
      <c r="Q6319" s="39"/>
      <c r="R6319" s="39"/>
      <c r="S6319" s="39"/>
      <c r="T6319" s="39"/>
      <c r="U6319" s="39"/>
    </row>
    <row r="6320">
      <c r="A6320" s="40">
        <f t="shared" si="1"/>
        <v>46006</v>
      </c>
      <c r="B6320" s="37" t="str">
        <f t="array" ref="B6320">iferror(xlookup($I6320, 'IMPORT VHC Report'!$E:$E, 'IMPORT VHC Report'!$A:$C), )</f>
        <v/>
      </c>
      <c r="C6320" s="37"/>
      <c r="D6320" s="37"/>
      <c r="E6320" s="38" t="s">
        <v>7501</v>
      </c>
      <c r="F6320" s="38" t="s">
        <v>7474</v>
      </c>
      <c r="G6320" s="38">
        <v>3.61724667256E11</v>
      </c>
      <c r="H6320" s="38" t="s">
        <v>7475</v>
      </c>
      <c r="I6320" s="38" t="s">
        <v>7476</v>
      </c>
      <c r="J6320" s="38" t="s">
        <v>132</v>
      </c>
      <c r="K6320" s="38" t="s">
        <v>126</v>
      </c>
      <c r="L6320" s="41">
        <v>46012.114583333336</v>
      </c>
      <c r="M6320" s="38" t="s">
        <v>123</v>
      </c>
      <c r="N6320" s="41">
        <v>46012.15625</v>
      </c>
      <c r="O6320" s="38" t="s">
        <v>123</v>
      </c>
      <c r="P6320" s="38">
        <v>3600.0</v>
      </c>
      <c r="Q6320" s="39"/>
      <c r="R6320" s="39"/>
      <c r="S6320" s="39"/>
      <c r="T6320" s="39"/>
      <c r="U6320" s="39"/>
    </row>
    <row r="6321">
      <c r="A6321" s="40">
        <f t="shared" si="1"/>
        <v>46006</v>
      </c>
      <c r="B6321" s="37" t="str">
        <f t="array" ref="B6321">iferror(xlookup($I6321, 'IMPORT VHC Report'!$E:$E, 'IMPORT VHC Report'!$A:$C), )</f>
        <v/>
      </c>
      <c r="C6321" s="37"/>
      <c r="D6321" s="37"/>
      <c r="E6321" s="38" t="s">
        <v>7502</v>
      </c>
      <c r="F6321" s="38" t="s">
        <v>7503</v>
      </c>
      <c r="G6321" s="38">
        <v>4.502607605263E12</v>
      </c>
      <c r="H6321" s="38" t="s">
        <v>7504</v>
      </c>
      <c r="I6321" s="38" t="s">
        <v>7505</v>
      </c>
      <c r="J6321" s="38" t="s">
        <v>4</v>
      </c>
      <c r="K6321" s="38" t="s">
        <v>126</v>
      </c>
      <c r="L6321" s="41">
        <v>46007.875</v>
      </c>
      <c r="M6321" s="38" t="s">
        <v>123</v>
      </c>
      <c r="N6321" s="41">
        <v>46007.895833333336</v>
      </c>
      <c r="O6321" s="38" t="s">
        <v>123</v>
      </c>
      <c r="P6321" s="38">
        <v>1800.0</v>
      </c>
      <c r="Q6321" s="39"/>
      <c r="R6321" s="39"/>
      <c r="S6321" s="39"/>
      <c r="T6321" s="39"/>
      <c r="U6321" s="39"/>
    </row>
    <row r="6322">
      <c r="A6322" s="40">
        <f t="shared" si="1"/>
        <v>46006</v>
      </c>
      <c r="B6322" s="37" t="str">
        <f t="array" ref="B6322">iferror(xlookup($I6322, 'IMPORT VHC Report'!$E:$E, 'IMPORT VHC Report'!$A:$C), )</f>
        <v/>
      </c>
      <c r="C6322" s="37"/>
      <c r="D6322" s="37"/>
      <c r="E6322" s="38" t="s">
        <v>7506</v>
      </c>
      <c r="F6322" s="38" t="s">
        <v>7503</v>
      </c>
      <c r="G6322" s="38">
        <v>4.502607605263E12</v>
      </c>
      <c r="H6322" s="38" t="s">
        <v>7504</v>
      </c>
      <c r="I6322" s="38" t="s">
        <v>7505</v>
      </c>
      <c r="J6322" s="38" t="s">
        <v>530</v>
      </c>
      <c r="K6322" s="38" t="s">
        <v>63</v>
      </c>
      <c r="L6322" s="41">
        <v>46007.875</v>
      </c>
      <c r="M6322" s="38" t="s">
        <v>123</v>
      </c>
      <c r="N6322" s="41">
        <v>46008.083333333336</v>
      </c>
      <c r="O6322" s="38" t="s">
        <v>123</v>
      </c>
      <c r="P6322" s="38">
        <v>18000.0</v>
      </c>
      <c r="Q6322" s="39"/>
      <c r="R6322" s="39"/>
      <c r="S6322" s="39"/>
      <c r="T6322" s="39"/>
      <c r="U6322" s="39"/>
    </row>
    <row r="6323">
      <c r="A6323" s="40">
        <f t="shared" si="1"/>
        <v>46006</v>
      </c>
      <c r="B6323" s="37" t="str">
        <f t="array" ref="B6323">iferror(xlookup($I6323, 'IMPORT VHC Report'!$E:$E, 'IMPORT VHC Report'!$A:$C), )</f>
        <v/>
      </c>
      <c r="C6323" s="37"/>
      <c r="D6323" s="37"/>
      <c r="E6323" s="38" t="s">
        <v>7507</v>
      </c>
      <c r="F6323" s="38" t="s">
        <v>7503</v>
      </c>
      <c r="G6323" s="38">
        <v>4.502607605263E12</v>
      </c>
      <c r="H6323" s="38" t="s">
        <v>7504</v>
      </c>
      <c r="I6323" s="38" t="s">
        <v>7505</v>
      </c>
      <c r="J6323" s="38" t="s">
        <v>4</v>
      </c>
      <c r="K6323" s="38" t="s">
        <v>126</v>
      </c>
      <c r="L6323" s="41">
        <v>46007.9375</v>
      </c>
      <c r="M6323" s="38" t="s">
        <v>123</v>
      </c>
      <c r="N6323" s="41">
        <v>46007.989583333336</v>
      </c>
      <c r="O6323" s="38" t="s">
        <v>123</v>
      </c>
      <c r="P6323" s="38">
        <v>4500.0</v>
      </c>
      <c r="Q6323" s="39"/>
      <c r="R6323" s="39"/>
      <c r="S6323" s="38" t="s">
        <v>7508</v>
      </c>
      <c r="T6323" s="39"/>
      <c r="U6323" s="39"/>
    </row>
    <row r="6324">
      <c r="A6324" s="40">
        <f t="shared" si="1"/>
        <v>46006</v>
      </c>
      <c r="B6324" s="37" t="str">
        <f t="array" ref="B6324">iferror(xlookup($I6324, 'IMPORT VHC Report'!$E:$E, 'IMPORT VHC Report'!$A:$C), )</f>
        <v/>
      </c>
      <c r="C6324" s="37"/>
      <c r="D6324" s="37"/>
      <c r="E6324" s="38" t="s">
        <v>7509</v>
      </c>
      <c r="F6324" s="38" t="s">
        <v>7503</v>
      </c>
      <c r="G6324" s="38">
        <v>4.502607605263E12</v>
      </c>
      <c r="H6324" s="38" t="s">
        <v>7504</v>
      </c>
      <c r="I6324" s="38" t="s">
        <v>7505</v>
      </c>
      <c r="J6324" s="38" t="s">
        <v>134</v>
      </c>
      <c r="K6324" s="38" t="s">
        <v>126</v>
      </c>
      <c r="L6324" s="41">
        <v>46008.03125</v>
      </c>
      <c r="M6324" s="38" t="s">
        <v>123</v>
      </c>
      <c r="N6324" s="41">
        <v>46008.041666666664</v>
      </c>
      <c r="O6324" s="38" t="s">
        <v>123</v>
      </c>
      <c r="P6324" s="38">
        <v>900.0</v>
      </c>
      <c r="Q6324" s="39"/>
      <c r="R6324" s="39"/>
      <c r="S6324" s="39"/>
      <c r="T6324" s="39"/>
      <c r="U6324" s="39"/>
    </row>
    <row r="6325">
      <c r="A6325" s="40">
        <f t="shared" si="1"/>
        <v>46006</v>
      </c>
      <c r="B6325" s="37" t="str">
        <f t="array" ref="B6325">iferror(xlookup($I6325, 'IMPORT VHC Report'!$E:$E, 'IMPORT VHC Report'!$A:$C), )</f>
        <v/>
      </c>
      <c r="C6325" s="37"/>
      <c r="D6325" s="37"/>
      <c r="E6325" s="38" t="s">
        <v>7510</v>
      </c>
      <c r="F6325" s="38" t="s">
        <v>7503</v>
      </c>
      <c r="G6325" s="38">
        <v>4.502607605263E12</v>
      </c>
      <c r="H6325" s="38" t="s">
        <v>7504</v>
      </c>
      <c r="I6325" s="38" t="s">
        <v>7505</v>
      </c>
      <c r="J6325" s="38" t="s">
        <v>132</v>
      </c>
      <c r="K6325" s="38" t="s">
        <v>126</v>
      </c>
      <c r="L6325" s="41">
        <v>46008.041666666664</v>
      </c>
      <c r="M6325" s="38" t="s">
        <v>123</v>
      </c>
      <c r="N6325" s="41">
        <v>46008.083333333336</v>
      </c>
      <c r="O6325" s="38" t="s">
        <v>123</v>
      </c>
      <c r="P6325" s="38">
        <v>3600.0</v>
      </c>
      <c r="Q6325" s="39"/>
      <c r="R6325" s="39"/>
      <c r="S6325" s="39"/>
      <c r="T6325" s="39"/>
      <c r="U6325" s="39"/>
    </row>
    <row r="6326">
      <c r="A6326" s="40">
        <f t="shared" si="1"/>
        <v>46006</v>
      </c>
      <c r="B6326" s="37" t="str">
        <f t="array" ref="B6326">iferror(xlookup($I6326, 'IMPORT VHC Report'!$E:$E, 'IMPORT VHC Report'!$A:$C), )</f>
        <v/>
      </c>
      <c r="C6326" s="37"/>
      <c r="D6326" s="37"/>
      <c r="E6326" s="38" t="s">
        <v>7511</v>
      </c>
      <c r="F6326" s="38" t="s">
        <v>7503</v>
      </c>
      <c r="G6326" s="38">
        <v>4.502607605263E12</v>
      </c>
      <c r="H6326" s="38" t="s">
        <v>7504</v>
      </c>
      <c r="I6326" s="38" t="s">
        <v>7505</v>
      </c>
      <c r="J6326" s="38" t="s">
        <v>152</v>
      </c>
      <c r="K6326" s="38" t="s">
        <v>153</v>
      </c>
      <c r="L6326" s="41">
        <v>46008.083333333336</v>
      </c>
      <c r="M6326" s="38" t="s">
        <v>123</v>
      </c>
      <c r="N6326" s="41">
        <v>46008.25</v>
      </c>
      <c r="O6326" s="38" t="s">
        <v>123</v>
      </c>
      <c r="P6326" s="38">
        <v>14400.0</v>
      </c>
      <c r="Q6326" s="38">
        <v>14400.0</v>
      </c>
      <c r="R6326" s="38" t="s">
        <v>7512</v>
      </c>
      <c r="S6326" s="39"/>
      <c r="T6326" s="39"/>
      <c r="U6326" s="39"/>
    </row>
    <row r="6327">
      <c r="A6327" s="40">
        <f t="shared" si="1"/>
        <v>46006</v>
      </c>
      <c r="B6327" s="37" t="str">
        <f t="array" ref="B6327">iferror(xlookup($I6327, 'IMPORT VHC Report'!$E:$E, 'IMPORT VHC Report'!$A:$C), )</f>
        <v/>
      </c>
      <c r="C6327" s="37"/>
      <c r="D6327" s="37"/>
      <c r="E6327" s="38" t="s">
        <v>7513</v>
      </c>
      <c r="F6327" s="38" t="s">
        <v>7503</v>
      </c>
      <c r="G6327" s="38">
        <v>4.502607605263E12</v>
      </c>
      <c r="H6327" s="38" t="s">
        <v>7504</v>
      </c>
      <c r="I6327" s="38" t="s">
        <v>7505</v>
      </c>
      <c r="J6327" s="38" t="s">
        <v>4</v>
      </c>
      <c r="K6327" s="38" t="s">
        <v>126</v>
      </c>
      <c r="L6327" s="41">
        <v>46008.875</v>
      </c>
      <c r="M6327" s="38" t="s">
        <v>123</v>
      </c>
      <c r="N6327" s="41">
        <v>46008.895833333336</v>
      </c>
      <c r="O6327" s="38" t="s">
        <v>123</v>
      </c>
      <c r="P6327" s="38">
        <v>1800.0</v>
      </c>
      <c r="Q6327" s="39"/>
      <c r="R6327" s="39"/>
      <c r="S6327" s="39"/>
      <c r="T6327" s="39"/>
      <c r="U6327" s="39"/>
    </row>
    <row r="6328">
      <c r="A6328" s="40">
        <f t="shared" si="1"/>
        <v>46006</v>
      </c>
      <c r="B6328" s="37" t="str">
        <f t="array" ref="B6328">iferror(xlookup($I6328, 'IMPORT VHC Report'!$E:$E, 'IMPORT VHC Report'!$A:$C), )</f>
        <v/>
      </c>
      <c r="C6328" s="37"/>
      <c r="D6328" s="37"/>
      <c r="E6328" s="38" t="s">
        <v>7514</v>
      </c>
      <c r="F6328" s="38" t="s">
        <v>7503</v>
      </c>
      <c r="G6328" s="38">
        <v>4.502607605263E12</v>
      </c>
      <c r="H6328" s="38" t="s">
        <v>7504</v>
      </c>
      <c r="I6328" s="38" t="s">
        <v>7505</v>
      </c>
      <c r="J6328" s="38" t="s">
        <v>530</v>
      </c>
      <c r="K6328" s="38" t="s">
        <v>63</v>
      </c>
      <c r="L6328" s="41">
        <v>46008.875</v>
      </c>
      <c r="M6328" s="38" t="s">
        <v>123</v>
      </c>
      <c r="N6328" s="41">
        <v>46009.25</v>
      </c>
      <c r="O6328" s="38" t="s">
        <v>123</v>
      </c>
      <c r="P6328" s="38">
        <v>32400.0</v>
      </c>
      <c r="Q6328" s="39"/>
      <c r="R6328" s="39"/>
      <c r="S6328" s="39"/>
      <c r="T6328" s="39"/>
      <c r="U6328" s="39"/>
    </row>
    <row r="6329">
      <c r="A6329" s="40">
        <f t="shared" si="1"/>
        <v>46006</v>
      </c>
      <c r="B6329" s="37" t="str">
        <f t="array" ref="B6329">iferror(xlookup($I6329, 'IMPORT VHC Report'!$E:$E, 'IMPORT VHC Report'!$A:$C), )</f>
        <v/>
      </c>
      <c r="C6329" s="37"/>
      <c r="D6329" s="37"/>
      <c r="E6329" s="38" t="s">
        <v>7515</v>
      </c>
      <c r="F6329" s="38" t="s">
        <v>7503</v>
      </c>
      <c r="G6329" s="38">
        <v>4.502607605263E12</v>
      </c>
      <c r="H6329" s="38" t="s">
        <v>7504</v>
      </c>
      <c r="I6329" s="38" t="s">
        <v>7505</v>
      </c>
      <c r="J6329" s="38" t="s">
        <v>4</v>
      </c>
      <c r="K6329" s="38" t="s">
        <v>126</v>
      </c>
      <c r="L6329" s="41">
        <v>46008.895833333336</v>
      </c>
      <c r="M6329" s="38" t="s">
        <v>123</v>
      </c>
      <c r="N6329" s="41">
        <v>46008.958333333336</v>
      </c>
      <c r="O6329" s="38" t="s">
        <v>123</v>
      </c>
      <c r="P6329" s="38">
        <v>5400.0</v>
      </c>
      <c r="Q6329" s="39"/>
      <c r="R6329" s="39"/>
      <c r="S6329" s="38" t="s">
        <v>1209</v>
      </c>
      <c r="T6329" s="39"/>
      <c r="U6329" s="39"/>
    </row>
    <row r="6330">
      <c r="A6330" s="40">
        <f t="shared" si="1"/>
        <v>46006</v>
      </c>
      <c r="B6330" s="37" t="str">
        <f t="array" ref="B6330">iferror(xlookup($I6330, 'IMPORT VHC Report'!$E:$E, 'IMPORT VHC Report'!$A:$C), )</f>
        <v/>
      </c>
      <c r="C6330" s="37"/>
      <c r="D6330" s="37"/>
      <c r="E6330" s="38" t="s">
        <v>7516</v>
      </c>
      <c r="F6330" s="38" t="s">
        <v>7503</v>
      </c>
      <c r="G6330" s="38">
        <v>4.502607605263E12</v>
      </c>
      <c r="H6330" s="38" t="s">
        <v>7504</v>
      </c>
      <c r="I6330" s="38" t="s">
        <v>7505</v>
      </c>
      <c r="J6330" s="38" t="s">
        <v>132</v>
      </c>
      <c r="K6330" s="38" t="s">
        <v>126</v>
      </c>
      <c r="L6330" s="41">
        <v>46008.979166666664</v>
      </c>
      <c r="M6330" s="38" t="s">
        <v>123</v>
      </c>
      <c r="N6330" s="41">
        <v>46009.020833333336</v>
      </c>
      <c r="O6330" s="38" t="s">
        <v>123</v>
      </c>
      <c r="P6330" s="38">
        <v>3600.0</v>
      </c>
      <c r="Q6330" s="39"/>
      <c r="R6330" s="39"/>
      <c r="S6330" s="39"/>
      <c r="T6330" s="39"/>
      <c r="U6330" s="39"/>
    </row>
    <row r="6331">
      <c r="A6331" s="40">
        <f t="shared" si="1"/>
        <v>46006</v>
      </c>
      <c r="B6331" s="37" t="str">
        <f t="array" ref="B6331">iferror(xlookup($I6331, 'IMPORT VHC Report'!$E:$E, 'IMPORT VHC Report'!$A:$C), )</f>
        <v/>
      </c>
      <c r="C6331" s="37"/>
      <c r="D6331" s="37"/>
      <c r="E6331" s="38" t="s">
        <v>7517</v>
      </c>
      <c r="F6331" s="38" t="s">
        <v>7503</v>
      </c>
      <c r="G6331" s="38">
        <v>4.502607605263E12</v>
      </c>
      <c r="H6331" s="38" t="s">
        <v>7504</v>
      </c>
      <c r="I6331" s="38" t="s">
        <v>7505</v>
      </c>
      <c r="J6331" s="38" t="s">
        <v>134</v>
      </c>
      <c r="K6331" s="38" t="s">
        <v>126</v>
      </c>
      <c r="L6331" s="41">
        <v>46009.020833333336</v>
      </c>
      <c r="M6331" s="38" t="s">
        <v>123</v>
      </c>
      <c r="N6331" s="41">
        <v>46009.041666666664</v>
      </c>
      <c r="O6331" s="38" t="s">
        <v>123</v>
      </c>
      <c r="P6331" s="38">
        <v>1800.0</v>
      </c>
      <c r="Q6331" s="39"/>
      <c r="R6331" s="39"/>
      <c r="S6331" s="39"/>
      <c r="T6331" s="39"/>
      <c r="U6331" s="39"/>
    </row>
    <row r="6332">
      <c r="A6332" s="40">
        <f t="shared" si="1"/>
        <v>46006</v>
      </c>
      <c r="B6332" s="37" t="str">
        <f t="array" ref="B6332">iferror(xlookup($I6332, 'IMPORT VHC Report'!$E:$E, 'IMPORT VHC Report'!$A:$C), )</f>
        <v/>
      </c>
      <c r="C6332" s="37"/>
      <c r="D6332" s="37"/>
      <c r="E6332" s="38" t="s">
        <v>7518</v>
      </c>
      <c r="F6332" s="38" t="s">
        <v>7503</v>
      </c>
      <c r="G6332" s="38">
        <v>4.502607605263E12</v>
      </c>
      <c r="H6332" s="38" t="s">
        <v>7504</v>
      </c>
      <c r="I6332" s="38" t="s">
        <v>7505</v>
      </c>
      <c r="J6332" s="38" t="s">
        <v>4</v>
      </c>
      <c r="K6332" s="38" t="s">
        <v>126</v>
      </c>
      <c r="L6332" s="41">
        <v>46009.875</v>
      </c>
      <c r="M6332" s="38" t="s">
        <v>123</v>
      </c>
      <c r="N6332" s="41">
        <v>46009.895833333336</v>
      </c>
      <c r="O6332" s="38" t="s">
        <v>123</v>
      </c>
      <c r="P6332" s="38">
        <v>1800.0</v>
      </c>
      <c r="Q6332" s="39"/>
      <c r="R6332" s="39"/>
      <c r="S6332" s="39"/>
      <c r="T6332" s="39"/>
      <c r="U6332" s="39"/>
    </row>
    <row r="6333">
      <c r="A6333" s="40">
        <f t="shared" si="1"/>
        <v>46006</v>
      </c>
      <c r="B6333" s="37" t="str">
        <f t="array" ref="B6333">iferror(xlookup($I6333, 'IMPORT VHC Report'!$E:$E, 'IMPORT VHC Report'!$A:$C), )</f>
        <v/>
      </c>
      <c r="C6333" s="37"/>
      <c r="D6333" s="37"/>
      <c r="E6333" s="38" t="s">
        <v>7519</v>
      </c>
      <c r="F6333" s="38" t="s">
        <v>7503</v>
      </c>
      <c r="G6333" s="38">
        <v>4.502607605263E12</v>
      </c>
      <c r="H6333" s="38" t="s">
        <v>7504</v>
      </c>
      <c r="I6333" s="38" t="s">
        <v>7505</v>
      </c>
      <c r="J6333" s="38" t="s">
        <v>530</v>
      </c>
      <c r="K6333" s="38" t="s">
        <v>63</v>
      </c>
      <c r="L6333" s="41">
        <v>46009.875</v>
      </c>
      <c r="M6333" s="38" t="s">
        <v>123</v>
      </c>
      <c r="N6333" s="41">
        <v>46010.25</v>
      </c>
      <c r="O6333" s="38" t="s">
        <v>123</v>
      </c>
      <c r="P6333" s="38">
        <v>32400.0</v>
      </c>
      <c r="Q6333" s="39"/>
      <c r="R6333" s="39"/>
      <c r="S6333" s="39"/>
      <c r="T6333" s="39"/>
      <c r="U6333" s="39"/>
    </row>
    <row r="6334">
      <c r="A6334" s="40">
        <f t="shared" si="1"/>
        <v>46006</v>
      </c>
      <c r="B6334" s="37" t="str">
        <f t="array" ref="B6334">iferror(xlookup($I6334, 'IMPORT VHC Report'!$E:$E, 'IMPORT VHC Report'!$A:$C), )</f>
        <v/>
      </c>
      <c r="C6334" s="37"/>
      <c r="D6334" s="37"/>
      <c r="E6334" s="38" t="s">
        <v>7520</v>
      </c>
      <c r="F6334" s="38" t="s">
        <v>7503</v>
      </c>
      <c r="G6334" s="38">
        <v>4.502607605263E12</v>
      </c>
      <c r="H6334" s="38" t="s">
        <v>7504</v>
      </c>
      <c r="I6334" s="38" t="s">
        <v>7505</v>
      </c>
      <c r="J6334" s="38" t="s">
        <v>134</v>
      </c>
      <c r="K6334" s="38" t="s">
        <v>126</v>
      </c>
      <c r="L6334" s="41">
        <v>46009.895833333336</v>
      </c>
      <c r="M6334" s="38" t="s">
        <v>123</v>
      </c>
      <c r="N6334" s="41">
        <v>46009.916666666664</v>
      </c>
      <c r="O6334" s="38" t="s">
        <v>123</v>
      </c>
      <c r="P6334" s="38">
        <v>1800.0</v>
      </c>
      <c r="Q6334" s="39"/>
      <c r="R6334" s="39"/>
      <c r="S6334" s="39"/>
      <c r="T6334" s="39"/>
      <c r="U6334" s="39"/>
    </row>
    <row r="6335">
      <c r="A6335" s="40">
        <f t="shared" si="1"/>
        <v>46006</v>
      </c>
      <c r="B6335" s="37" t="str">
        <f t="array" ref="B6335">iferror(xlookup($I6335, 'IMPORT VHC Report'!$E:$E, 'IMPORT VHC Report'!$A:$C), )</f>
        <v/>
      </c>
      <c r="C6335" s="37"/>
      <c r="D6335" s="37"/>
      <c r="E6335" s="38" t="s">
        <v>7521</v>
      </c>
      <c r="F6335" s="38" t="s">
        <v>7503</v>
      </c>
      <c r="G6335" s="38">
        <v>4.502607605263E12</v>
      </c>
      <c r="H6335" s="38" t="s">
        <v>7504</v>
      </c>
      <c r="I6335" s="38" t="s">
        <v>7505</v>
      </c>
      <c r="J6335" s="38" t="s">
        <v>136</v>
      </c>
      <c r="K6335" s="38" t="s">
        <v>126</v>
      </c>
      <c r="L6335" s="41">
        <v>46009.916666666664</v>
      </c>
      <c r="M6335" s="38" t="s">
        <v>123</v>
      </c>
      <c r="N6335" s="41">
        <v>46009.958333333336</v>
      </c>
      <c r="O6335" s="38" t="s">
        <v>123</v>
      </c>
      <c r="P6335" s="38">
        <v>3600.0</v>
      </c>
      <c r="Q6335" s="39"/>
      <c r="R6335" s="39"/>
      <c r="S6335" s="38" t="s">
        <v>4256</v>
      </c>
      <c r="T6335" s="39"/>
      <c r="U6335" s="39"/>
    </row>
    <row r="6336">
      <c r="A6336" s="40">
        <f t="shared" si="1"/>
        <v>46006</v>
      </c>
      <c r="B6336" s="37" t="str">
        <f t="array" ref="B6336">iferror(xlookup($I6336, 'IMPORT VHC Report'!$E:$E, 'IMPORT VHC Report'!$A:$C), )</f>
        <v/>
      </c>
      <c r="C6336" s="37"/>
      <c r="D6336" s="37"/>
      <c r="E6336" s="38" t="s">
        <v>7522</v>
      </c>
      <c r="F6336" s="38" t="s">
        <v>7503</v>
      </c>
      <c r="G6336" s="38">
        <v>4.502607605263E12</v>
      </c>
      <c r="H6336" s="38" t="s">
        <v>7504</v>
      </c>
      <c r="I6336" s="38" t="s">
        <v>7505</v>
      </c>
      <c r="J6336" s="38" t="s">
        <v>4</v>
      </c>
      <c r="K6336" s="38" t="s">
        <v>126</v>
      </c>
      <c r="L6336" s="41">
        <v>46009.958333333336</v>
      </c>
      <c r="M6336" s="38" t="s">
        <v>123</v>
      </c>
      <c r="N6336" s="41">
        <v>46010.041666666664</v>
      </c>
      <c r="O6336" s="38" t="s">
        <v>123</v>
      </c>
      <c r="P6336" s="38">
        <v>7200.0</v>
      </c>
      <c r="Q6336" s="39"/>
      <c r="R6336" s="39"/>
      <c r="S6336" s="38" t="s">
        <v>7523</v>
      </c>
      <c r="T6336" s="39"/>
      <c r="U6336" s="39"/>
    </row>
    <row r="6337">
      <c r="A6337" s="40">
        <f t="shared" si="1"/>
        <v>46006</v>
      </c>
      <c r="B6337" s="37" t="str">
        <f t="array" ref="B6337">iferror(xlookup($I6337, 'IMPORT VHC Report'!$E:$E, 'IMPORT VHC Report'!$A:$C), )</f>
        <v/>
      </c>
      <c r="C6337" s="37"/>
      <c r="D6337" s="37"/>
      <c r="E6337" s="38" t="s">
        <v>7524</v>
      </c>
      <c r="F6337" s="38" t="s">
        <v>7503</v>
      </c>
      <c r="G6337" s="38">
        <v>4.502607605263E12</v>
      </c>
      <c r="H6337" s="38" t="s">
        <v>7504</v>
      </c>
      <c r="I6337" s="38" t="s">
        <v>7505</v>
      </c>
      <c r="J6337" s="38" t="s">
        <v>132</v>
      </c>
      <c r="K6337" s="38" t="s">
        <v>126</v>
      </c>
      <c r="L6337" s="41">
        <v>46010.041666666664</v>
      </c>
      <c r="M6337" s="38" t="s">
        <v>123</v>
      </c>
      <c r="N6337" s="41">
        <v>46010.083333333336</v>
      </c>
      <c r="O6337" s="38" t="s">
        <v>123</v>
      </c>
      <c r="P6337" s="38">
        <v>3600.0</v>
      </c>
      <c r="Q6337" s="39"/>
      <c r="R6337" s="39"/>
      <c r="S6337" s="39"/>
      <c r="T6337" s="39"/>
      <c r="U6337" s="39"/>
    </row>
    <row r="6338">
      <c r="A6338" s="40">
        <f t="shared" si="1"/>
        <v>46006</v>
      </c>
      <c r="B6338" s="37" t="str">
        <f t="array" ref="B6338">iferror(xlookup($I6338, 'IMPORT VHC Report'!$E:$E, 'IMPORT VHC Report'!$A:$C), )</f>
        <v/>
      </c>
      <c r="C6338" s="37"/>
      <c r="D6338" s="37"/>
      <c r="E6338" s="38" t="s">
        <v>7525</v>
      </c>
      <c r="F6338" s="38" t="s">
        <v>7503</v>
      </c>
      <c r="G6338" s="38">
        <v>4.502607605263E12</v>
      </c>
      <c r="H6338" s="38" t="s">
        <v>7504</v>
      </c>
      <c r="I6338" s="38" t="s">
        <v>7505</v>
      </c>
      <c r="J6338" s="38" t="s">
        <v>4</v>
      </c>
      <c r="K6338" s="38" t="s">
        <v>126</v>
      </c>
      <c r="L6338" s="41">
        <v>46010.875</v>
      </c>
      <c r="M6338" s="38" t="s">
        <v>123</v>
      </c>
      <c r="N6338" s="41">
        <v>46010.895833333336</v>
      </c>
      <c r="O6338" s="38" t="s">
        <v>123</v>
      </c>
      <c r="P6338" s="38">
        <v>1800.0</v>
      </c>
      <c r="Q6338" s="39"/>
      <c r="R6338" s="39"/>
      <c r="S6338" s="39"/>
      <c r="T6338" s="39"/>
      <c r="U6338" s="39"/>
    </row>
    <row r="6339">
      <c r="A6339" s="40">
        <f t="shared" si="1"/>
        <v>46006</v>
      </c>
      <c r="B6339" s="37" t="str">
        <f t="array" ref="B6339">iferror(xlookup($I6339, 'IMPORT VHC Report'!$E:$E, 'IMPORT VHC Report'!$A:$C), )</f>
        <v/>
      </c>
      <c r="C6339" s="37"/>
      <c r="D6339" s="37"/>
      <c r="E6339" s="38" t="s">
        <v>7526</v>
      </c>
      <c r="F6339" s="38" t="s">
        <v>7503</v>
      </c>
      <c r="G6339" s="38">
        <v>4.502607605263E12</v>
      </c>
      <c r="H6339" s="38" t="s">
        <v>7504</v>
      </c>
      <c r="I6339" s="38" t="s">
        <v>7505</v>
      </c>
      <c r="J6339" s="38" t="s">
        <v>530</v>
      </c>
      <c r="K6339" s="38" t="s">
        <v>63</v>
      </c>
      <c r="L6339" s="41">
        <v>46010.875</v>
      </c>
      <c r="M6339" s="38" t="s">
        <v>123</v>
      </c>
      <c r="N6339" s="41">
        <v>46011.25</v>
      </c>
      <c r="O6339" s="38" t="s">
        <v>123</v>
      </c>
      <c r="P6339" s="38">
        <v>32400.0</v>
      </c>
      <c r="Q6339" s="39"/>
      <c r="R6339" s="39"/>
      <c r="S6339" s="39"/>
      <c r="T6339" s="39"/>
      <c r="U6339" s="39"/>
    </row>
    <row r="6340">
      <c r="A6340" s="40">
        <f t="shared" si="1"/>
        <v>46006</v>
      </c>
      <c r="B6340" s="37" t="str">
        <f t="array" ref="B6340">iferror(xlookup($I6340, 'IMPORT VHC Report'!$E:$E, 'IMPORT VHC Report'!$A:$C), )</f>
        <v/>
      </c>
      <c r="C6340" s="37"/>
      <c r="D6340" s="37"/>
      <c r="E6340" s="38" t="s">
        <v>7527</v>
      </c>
      <c r="F6340" s="38" t="s">
        <v>7503</v>
      </c>
      <c r="G6340" s="38">
        <v>4.502607605263E12</v>
      </c>
      <c r="H6340" s="38" t="s">
        <v>7504</v>
      </c>
      <c r="I6340" s="38" t="s">
        <v>7505</v>
      </c>
      <c r="J6340" s="38" t="s">
        <v>134</v>
      </c>
      <c r="K6340" s="38" t="s">
        <v>126</v>
      </c>
      <c r="L6340" s="41">
        <v>46010.958333333336</v>
      </c>
      <c r="M6340" s="38" t="s">
        <v>123</v>
      </c>
      <c r="N6340" s="41">
        <v>46010.979166666664</v>
      </c>
      <c r="O6340" s="38" t="s">
        <v>123</v>
      </c>
      <c r="P6340" s="38">
        <v>1800.0</v>
      </c>
      <c r="Q6340" s="39"/>
      <c r="R6340" s="39"/>
      <c r="S6340" s="39"/>
      <c r="T6340" s="39"/>
      <c r="U6340" s="39"/>
    </row>
    <row r="6341">
      <c r="A6341" s="40">
        <f t="shared" si="1"/>
        <v>46006</v>
      </c>
      <c r="B6341" s="37" t="str">
        <f t="array" ref="B6341">iferror(xlookup($I6341, 'IMPORT VHC Report'!$E:$E, 'IMPORT VHC Report'!$A:$C), )</f>
        <v/>
      </c>
      <c r="C6341" s="37"/>
      <c r="D6341" s="37"/>
      <c r="E6341" s="38" t="s">
        <v>7528</v>
      </c>
      <c r="F6341" s="38" t="s">
        <v>7503</v>
      </c>
      <c r="G6341" s="38">
        <v>4.502607605263E12</v>
      </c>
      <c r="H6341" s="38" t="s">
        <v>7504</v>
      </c>
      <c r="I6341" s="38" t="s">
        <v>7505</v>
      </c>
      <c r="J6341" s="38" t="s">
        <v>132</v>
      </c>
      <c r="K6341" s="38" t="s">
        <v>126</v>
      </c>
      <c r="L6341" s="41">
        <v>46011.09375</v>
      </c>
      <c r="M6341" s="38" t="s">
        <v>123</v>
      </c>
      <c r="N6341" s="41">
        <v>46011.135416666664</v>
      </c>
      <c r="O6341" s="38" t="s">
        <v>123</v>
      </c>
      <c r="P6341" s="38">
        <v>3600.0</v>
      </c>
      <c r="Q6341" s="39"/>
      <c r="R6341" s="39"/>
      <c r="S6341" s="39"/>
      <c r="T6341" s="39"/>
      <c r="U6341" s="39"/>
    </row>
    <row r="6342">
      <c r="A6342" s="40">
        <f t="shared" si="1"/>
        <v>46006</v>
      </c>
      <c r="B6342" s="37" t="str">
        <f t="array" ref="B6342">iferror(xlookup($I6342, 'IMPORT VHC Report'!$E:$E, 'IMPORT VHC Report'!$A:$C), )</f>
        <v/>
      </c>
      <c r="C6342" s="37"/>
      <c r="D6342" s="37"/>
      <c r="E6342" s="38" t="s">
        <v>7529</v>
      </c>
      <c r="F6342" s="38" t="s">
        <v>7503</v>
      </c>
      <c r="G6342" s="38">
        <v>4.502607605263E12</v>
      </c>
      <c r="H6342" s="38" t="s">
        <v>7504</v>
      </c>
      <c r="I6342" s="38" t="s">
        <v>7505</v>
      </c>
      <c r="J6342" s="38" t="s">
        <v>4</v>
      </c>
      <c r="K6342" s="38" t="s">
        <v>126</v>
      </c>
      <c r="L6342" s="41">
        <v>46011.875</v>
      </c>
      <c r="M6342" s="38" t="s">
        <v>123</v>
      </c>
      <c r="N6342" s="41">
        <v>46011.895833333336</v>
      </c>
      <c r="O6342" s="38" t="s">
        <v>123</v>
      </c>
      <c r="P6342" s="38">
        <v>1800.0</v>
      </c>
      <c r="Q6342" s="39"/>
      <c r="R6342" s="39"/>
      <c r="S6342" s="39"/>
      <c r="T6342" s="39"/>
      <c r="U6342" s="39"/>
    </row>
    <row r="6343">
      <c r="A6343" s="40">
        <f t="shared" si="1"/>
        <v>46006</v>
      </c>
      <c r="B6343" s="37" t="str">
        <f t="array" ref="B6343">iferror(xlookup($I6343, 'IMPORT VHC Report'!$E:$E, 'IMPORT VHC Report'!$A:$C), )</f>
        <v/>
      </c>
      <c r="C6343" s="37"/>
      <c r="D6343" s="37"/>
      <c r="E6343" s="38" t="s">
        <v>7530</v>
      </c>
      <c r="F6343" s="38" t="s">
        <v>7503</v>
      </c>
      <c r="G6343" s="38">
        <v>4.502607605263E12</v>
      </c>
      <c r="H6343" s="38" t="s">
        <v>7504</v>
      </c>
      <c r="I6343" s="38" t="s">
        <v>7505</v>
      </c>
      <c r="J6343" s="38" t="s">
        <v>530</v>
      </c>
      <c r="K6343" s="38" t="s">
        <v>63</v>
      </c>
      <c r="L6343" s="41">
        <v>46011.875</v>
      </c>
      <c r="M6343" s="38" t="s">
        <v>123</v>
      </c>
      <c r="N6343" s="41">
        <v>46012.25</v>
      </c>
      <c r="O6343" s="38" t="s">
        <v>123</v>
      </c>
      <c r="P6343" s="38">
        <v>32400.0</v>
      </c>
      <c r="Q6343" s="39"/>
      <c r="R6343" s="39"/>
      <c r="S6343" s="39"/>
      <c r="T6343" s="39"/>
      <c r="U6343" s="39"/>
    </row>
    <row r="6344">
      <c r="A6344" s="40">
        <f t="shared" si="1"/>
        <v>46006</v>
      </c>
      <c r="B6344" s="37" t="str">
        <f t="array" ref="B6344">iferror(xlookup($I6344, 'IMPORT VHC Report'!$E:$E, 'IMPORT VHC Report'!$A:$C), )</f>
        <v/>
      </c>
      <c r="C6344" s="37"/>
      <c r="D6344" s="37"/>
      <c r="E6344" s="38" t="s">
        <v>7531</v>
      </c>
      <c r="F6344" s="38" t="s">
        <v>7503</v>
      </c>
      <c r="G6344" s="38">
        <v>4.502607605263E12</v>
      </c>
      <c r="H6344" s="38" t="s">
        <v>7504</v>
      </c>
      <c r="I6344" s="38" t="s">
        <v>7505</v>
      </c>
      <c r="J6344" s="38" t="s">
        <v>134</v>
      </c>
      <c r="K6344" s="38" t="s">
        <v>126</v>
      </c>
      <c r="L6344" s="41">
        <v>46011.979166666664</v>
      </c>
      <c r="M6344" s="38" t="s">
        <v>123</v>
      </c>
      <c r="N6344" s="41">
        <v>46012.0</v>
      </c>
      <c r="O6344" s="38" t="s">
        <v>123</v>
      </c>
      <c r="P6344" s="38">
        <v>1800.0</v>
      </c>
      <c r="Q6344" s="39"/>
      <c r="R6344" s="39"/>
      <c r="S6344" s="39"/>
      <c r="T6344" s="39"/>
      <c r="U6344" s="39"/>
    </row>
    <row r="6345">
      <c r="A6345" s="40">
        <f t="shared" si="1"/>
        <v>46006</v>
      </c>
      <c r="B6345" s="37" t="str">
        <f t="array" ref="B6345">iferror(xlookup($I6345, 'IMPORT VHC Report'!$E:$E, 'IMPORT VHC Report'!$A:$C), )</f>
        <v/>
      </c>
      <c r="C6345" s="37"/>
      <c r="D6345" s="37"/>
      <c r="E6345" s="38" t="s">
        <v>7532</v>
      </c>
      <c r="F6345" s="38" t="s">
        <v>7503</v>
      </c>
      <c r="G6345" s="38">
        <v>4.502607605263E12</v>
      </c>
      <c r="H6345" s="38" t="s">
        <v>7504</v>
      </c>
      <c r="I6345" s="38" t="s">
        <v>7505</v>
      </c>
      <c r="J6345" s="38" t="s">
        <v>132</v>
      </c>
      <c r="K6345" s="38" t="s">
        <v>126</v>
      </c>
      <c r="L6345" s="41">
        <v>46012.083333333336</v>
      </c>
      <c r="M6345" s="38" t="s">
        <v>123</v>
      </c>
      <c r="N6345" s="41">
        <v>46012.125</v>
      </c>
      <c r="O6345" s="38" t="s">
        <v>123</v>
      </c>
      <c r="P6345" s="38">
        <v>3600.0</v>
      </c>
      <c r="Q6345" s="39"/>
      <c r="R6345" s="39"/>
      <c r="S6345" s="39"/>
      <c r="T6345" s="39"/>
      <c r="U6345" s="39"/>
    </row>
    <row r="6346">
      <c r="A6346" s="40">
        <f t="shared" si="1"/>
        <v>46006</v>
      </c>
      <c r="B6346" s="37" t="str">
        <f t="array" ref="B6346">iferror(xlookup($I6346, 'IMPORT VHC Report'!$E:$E, 'IMPORT VHC Report'!$A:$C), )</f>
        <v/>
      </c>
      <c r="C6346" s="37"/>
      <c r="D6346" s="37"/>
      <c r="E6346" s="38" t="s">
        <v>7533</v>
      </c>
      <c r="F6346" s="38" t="s">
        <v>7534</v>
      </c>
      <c r="G6346" s="38">
        <v>1.0333033796879E13</v>
      </c>
      <c r="H6346" s="38" t="s">
        <v>7535</v>
      </c>
      <c r="I6346" s="38" t="s">
        <v>7536</v>
      </c>
      <c r="J6346" s="38" t="s">
        <v>125</v>
      </c>
      <c r="K6346" s="38" t="s">
        <v>126</v>
      </c>
      <c r="L6346" s="41">
        <v>46007.875</v>
      </c>
      <c r="M6346" s="38" t="s">
        <v>123</v>
      </c>
      <c r="N6346" s="41">
        <v>46007.885416666664</v>
      </c>
      <c r="O6346" s="38" t="s">
        <v>123</v>
      </c>
      <c r="P6346" s="38">
        <v>900.0</v>
      </c>
      <c r="Q6346" s="39"/>
      <c r="R6346" s="39"/>
      <c r="S6346" s="38" t="s">
        <v>199</v>
      </c>
      <c r="T6346" s="39"/>
      <c r="U6346" s="39"/>
    </row>
    <row r="6347">
      <c r="A6347" s="40">
        <f t="shared" si="1"/>
        <v>46006</v>
      </c>
      <c r="B6347" s="37" t="str">
        <f t="array" ref="B6347">iferror(xlookup($I6347, 'IMPORT VHC Report'!$E:$E, 'IMPORT VHC Report'!$A:$C), )</f>
        <v/>
      </c>
      <c r="C6347" s="37"/>
      <c r="D6347" s="37"/>
      <c r="E6347" s="38" t="s">
        <v>7537</v>
      </c>
      <c r="F6347" s="38" t="s">
        <v>7534</v>
      </c>
      <c r="G6347" s="38">
        <v>1.0333033796879E13</v>
      </c>
      <c r="H6347" s="38" t="s">
        <v>7535</v>
      </c>
      <c r="I6347" s="38" t="s">
        <v>7536</v>
      </c>
      <c r="J6347" s="38" t="s">
        <v>196</v>
      </c>
      <c r="K6347" s="38" t="s">
        <v>63</v>
      </c>
      <c r="L6347" s="41">
        <v>46007.875</v>
      </c>
      <c r="M6347" s="38" t="s">
        <v>123</v>
      </c>
      <c r="N6347" s="41">
        <v>46008.25</v>
      </c>
      <c r="O6347" s="38" t="s">
        <v>123</v>
      </c>
      <c r="P6347" s="38">
        <v>32400.0</v>
      </c>
      <c r="Q6347" s="39"/>
      <c r="R6347" s="39"/>
      <c r="S6347" s="39"/>
      <c r="T6347" s="39"/>
      <c r="U6347" s="39"/>
    </row>
    <row r="6348">
      <c r="A6348" s="40">
        <f t="shared" si="1"/>
        <v>46006</v>
      </c>
      <c r="B6348" s="37" t="str">
        <f t="array" ref="B6348">iferror(xlookup($I6348, 'IMPORT VHC Report'!$E:$E, 'IMPORT VHC Report'!$A:$C), )</f>
        <v/>
      </c>
      <c r="C6348" s="37"/>
      <c r="D6348" s="37"/>
      <c r="E6348" s="38" t="s">
        <v>7538</v>
      </c>
      <c r="F6348" s="38" t="s">
        <v>7534</v>
      </c>
      <c r="G6348" s="38">
        <v>1.0333033796879E13</v>
      </c>
      <c r="H6348" s="38" t="s">
        <v>7535</v>
      </c>
      <c r="I6348" s="38" t="s">
        <v>7536</v>
      </c>
      <c r="J6348" s="38" t="s">
        <v>4</v>
      </c>
      <c r="K6348" s="38" t="s">
        <v>126</v>
      </c>
      <c r="L6348" s="41">
        <v>46007.947916666664</v>
      </c>
      <c r="M6348" s="38" t="s">
        <v>123</v>
      </c>
      <c r="N6348" s="41">
        <v>46007.989583333336</v>
      </c>
      <c r="O6348" s="38" t="s">
        <v>123</v>
      </c>
      <c r="P6348" s="38">
        <v>3600.0</v>
      </c>
      <c r="Q6348" s="39"/>
      <c r="R6348" s="39"/>
      <c r="S6348" s="38" t="s">
        <v>858</v>
      </c>
      <c r="T6348" s="39"/>
      <c r="U6348" s="39"/>
    </row>
    <row r="6349">
      <c r="A6349" s="40">
        <f t="shared" si="1"/>
        <v>46006</v>
      </c>
      <c r="B6349" s="37" t="str">
        <f t="array" ref="B6349">iferror(xlookup($I6349, 'IMPORT VHC Report'!$E:$E, 'IMPORT VHC Report'!$A:$C), )</f>
        <v/>
      </c>
      <c r="C6349" s="37"/>
      <c r="D6349" s="37"/>
      <c r="E6349" s="38" t="s">
        <v>7539</v>
      </c>
      <c r="F6349" s="38" t="s">
        <v>7534</v>
      </c>
      <c r="G6349" s="38">
        <v>1.0333033796879E13</v>
      </c>
      <c r="H6349" s="38" t="s">
        <v>7535</v>
      </c>
      <c r="I6349" s="38" t="s">
        <v>7536</v>
      </c>
      <c r="J6349" s="38" t="s">
        <v>134</v>
      </c>
      <c r="K6349" s="38" t="s">
        <v>126</v>
      </c>
      <c r="L6349" s="41">
        <v>46007.989583333336</v>
      </c>
      <c r="M6349" s="38" t="s">
        <v>123</v>
      </c>
      <c r="N6349" s="41">
        <v>46008.010416666664</v>
      </c>
      <c r="O6349" s="38" t="s">
        <v>123</v>
      </c>
      <c r="P6349" s="38">
        <v>1800.0</v>
      </c>
      <c r="Q6349" s="39"/>
      <c r="R6349" s="39"/>
      <c r="S6349" s="39"/>
      <c r="T6349" s="39"/>
      <c r="U6349" s="39"/>
    </row>
    <row r="6350">
      <c r="A6350" s="40">
        <f t="shared" si="1"/>
        <v>46006</v>
      </c>
      <c r="B6350" s="37" t="str">
        <f t="array" ref="B6350">iferror(xlookup($I6350, 'IMPORT VHC Report'!$E:$E, 'IMPORT VHC Report'!$A:$C), )</f>
        <v/>
      </c>
      <c r="C6350" s="37"/>
      <c r="D6350" s="37"/>
      <c r="E6350" s="38" t="s">
        <v>7540</v>
      </c>
      <c r="F6350" s="38" t="s">
        <v>7534</v>
      </c>
      <c r="G6350" s="38">
        <v>1.0333033796879E13</v>
      </c>
      <c r="H6350" s="38" t="s">
        <v>7535</v>
      </c>
      <c r="I6350" s="38" t="s">
        <v>7536</v>
      </c>
      <c r="J6350" s="38" t="s">
        <v>132</v>
      </c>
      <c r="K6350" s="38" t="s">
        <v>126</v>
      </c>
      <c r="L6350" s="41">
        <v>46008.135416666664</v>
      </c>
      <c r="M6350" s="38" t="s">
        <v>123</v>
      </c>
      <c r="N6350" s="41">
        <v>46008.177083333336</v>
      </c>
      <c r="O6350" s="38" t="s">
        <v>123</v>
      </c>
      <c r="P6350" s="38">
        <v>3600.0</v>
      </c>
      <c r="Q6350" s="39"/>
      <c r="R6350" s="39"/>
      <c r="S6350" s="39"/>
      <c r="T6350" s="39"/>
      <c r="U6350" s="39"/>
    </row>
    <row r="6351">
      <c r="A6351" s="40">
        <f t="shared" si="1"/>
        <v>46006</v>
      </c>
      <c r="B6351" s="37" t="str">
        <f t="array" ref="B6351">iferror(xlookup($I6351, 'IMPORT VHC Report'!$E:$E, 'IMPORT VHC Report'!$A:$C), )</f>
        <v/>
      </c>
      <c r="C6351" s="37"/>
      <c r="D6351" s="37"/>
      <c r="E6351" s="38" t="s">
        <v>7541</v>
      </c>
      <c r="F6351" s="38" t="s">
        <v>7534</v>
      </c>
      <c r="G6351" s="38">
        <v>1.0333033796879E13</v>
      </c>
      <c r="H6351" s="38" t="s">
        <v>7535</v>
      </c>
      <c r="I6351" s="38" t="s">
        <v>7536</v>
      </c>
      <c r="J6351" s="38" t="s">
        <v>125</v>
      </c>
      <c r="K6351" s="38" t="s">
        <v>126</v>
      </c>
      <c r="L6351" s="41">
        <v>46008.875</v>
      </c>
      <c r="M6351" s="38" t="s">
        <v>123</v>
      </c>
      <c r="N6351" s="41">
        <v>46008.885416666664</v>
      </c>
      <c r="O6351" s="38" t="s">
        <v>123</v>
      </c>
      <c r="P6351" s="38">
        <v>900.0</v>
      </c>
      <c r="Q6351" s="39"/>
      <c r="R6351" s="39"/>
      <c r="S6351" s="38" t="s">
        <v>199</v>
      </c>
      <c r="T6351" s="39"/>
      <c r="U6351" s="39"/>
    </row>
    <row r="6352">
      <c r="A6352" s="40">
        <f t="shared" si="1"/>
        <v>46006</v>
      </c>
      <c r="B6352" s="37" t="str">
        <f t="array" ref="B6352">iferror(xlookup($I6352, 'IMPORT VHC Report'!$E:$E, 'IMPORT VHC Report'!$A:$C), )</f>
        <v/>
      </c>
      <c r="C6352" s="37"/>
      <c r="D6352" s="37"/>
      <c r="E6352" s="38" t="s">
        <v>7542</v>
      </c>
      <c r="F6352" s="38" t="s">
        <v>7534</v>
      </c>
      <c r="G6352" s="38">
        <v>1.0333033796879E13</v>
      </c>
      <c r="H6352" s="38" t="s">
        <v>7535</v>
      </c>
      <c r="I6352" s="38" t="s">
        <v>7536</v>
      </c>
      <c r="J6352" s="38" t="s">
        <v>196</v>
      </c>
      <c r="K6352" s="38" t="s">
        <v>63</v>
      </c>
      <c r="L6352" s="41">
        <v>46008.875</v>
      </c>
      <c r="M6352" s="38" t="s">
        <v>123</v>
      </c>
      <c r="N6352" s="41">
        <v>46009.25</v>
      </c>
      <c r="O6352" s="38" t="s">
        <v>123</v>
      </c>
      <c r="P6352" s="38">
        <v>32400.0</v>
      </c>
      <c r="Q6352" s="39"/>
      <c r="R6352" s="39"/>
      <c r="S6352" s="39"/>
      <c r="T6352" s="39"/>
      <c r="U6352" s="39"/>
    </row>
    <row r="6353">
      <c r="A6353" s="40">
        <f t="shared" si="1"/>
        <v>46006</v>
      </c>
      <c r="B6353" s="37" t="str">
        <f t="array" ref="B6353">iferror(xlookup($I6353, 'IMPORT VHC Report'!$E:$E, 'IMPORT VHC Report'!$A:$C), )</f>
        <v/>
      </c>
      <c r="C6353" s="37"/>
      <c r="D6353" s="37"/>
      <c r="E6353" s="38" t="s">
        <v>7543</v>
      </c>
      <c r="F6353" s="38" t="s">
        <v>7534</v>
      </c>
      <c r="G6353" s="38">
        <v>1.0333033796879E13</v>
      </c>
      <c r="H6353" s="38" t="s">
        <v>7535</v>
      </c>
      <c r="I6353" s="38" t="s">
        <v>7536</v>
      </c>
      <c r="J6353" s="38" t="s">
        <v>132</v>
      </c>
      <c r="K6353" s="38" t="s">
        <v>126</v>
      </c>
      <c r="L6353" s="41">
        <v>46008.979166666664</v>
      </c>
      <c r="M6353" s="38" t="s">
        <v>123</v>
      </c>
      <c r="N6353" s="41">
        <v>46009.020833333336</v>
      </c>
      <c r="O6353" s="38" t="s">
        <v>123</v>
      </c>
      <c r="P6353" s="38">
        <v>3600.0</v>
      </c>
      <c r="Q6353" s="39"/>
      <c r="R6353" s="39"/>
      <c r="S6353" s="39"/>
      <c r="T6353" s="39"/>
      <c r="U6353" s="39"/>
    </row>
    <row r="6354">
      <c r="A6354" s="40">
        <f t="shared" si="1"/>
        <v>46006</v>
      </c>
      <c r="B6354" s="37" t="str">
        <f t="array" ref="B6354">iferror(xlookup($I6354, 'IMPORT VHC Report'!$E:$E, 'IMPORT VHC Report'!$A:$C), )</f>
        <v/>
      </c>
      <c r="C6354" s="37"/>
      <c r="D6354" s="37"/>
      <c r="E6354" s="38" t="s">
        <v>7544</v>
      </c>
      <c r="F6354" s="38" t="s">
        <v>7534</v>
      </c>
      <c r="G6354" s="38">
        <v>1.0333033796879E13</v>
      </c>
      <c r="H6354" s="38" t="s">
        <v>7535</v>
      </c>
      <c r="I6354" s="38" t="s">
        <v>7536</v>
      </c>
      <c r="J6354" s="38" t="s">
        <v>134</v>
      </c>
      <c r="K6354" s="38" t="s">
        <v>126</v>
      </c>
      <c r="L6354" s="41">
        <v>46009.145833333336</v>
      </c>
      <c r="M6354" s="38" t="s">
        <v>123</v>
      </c>
      <c r="N6354" s="41">
        <v>46009.166666666664</v>
      </c>
      <c r="O6354" s="38" t="s">
        <v>123</v>
      </c>
      <c r="P6354" s="38">
        <v>1800.0</v>
      </c>
      <c r="Q6354" s="39"/>
      <c r="R6354" s="39"/>
      <c r="S6354" s="39"/>
      <c r="T6354" s="39"/>
      <c r="U6354" s="39"/>
    </row>
    <row r="6355">
      <c r="A6355" s="40">
        <f t="shared" si="1"/>
        <v>46006</v>
      </c>
      <c r="B6355" s="37" t="str">
        <f t="array" ref="B6355">iferror(xlookup($I6355, 'IMPORT VHC Report'!$E:$E, 'IMPORT VHC Report'!$A:$C), )</f>
        <v/>
      </c>
      <c r="C6355" s="37"/>
      <c r="D6355" s="37"/>
      <c r="E6355" s="38" t="s">
        <v>7545</v>
      </c>
      <c r="F6355" s="38" t="s">
        <v>7534</v>
      </c>
      <c r="G6355" s="38">
        <v>1.0333033796879E13</v>
      </c>
      <c r="H6355" s="38" t="s">
        <v>7535</v>
      </c>
      <c r="I6355" s="38" t="s">
        <v>7536</v>
      </c>
      <c r="J6355" s="38" t="s">
        <v>125</v>
      </c>
      <c r="K6355" s="38" t="s">
        <v>126</v>
      </c>
      <c r="L6355" s="41">
        <v>46009.875</v>
      </c>
      <c r="M6355" s="38" t="s">
        <v>123</v>
      </c>
      <c r="N6355" s="41">
        <v>46009.885416666664</v>
      </c>
      <c r="O6355" s="38" t="s">
        <v>123</v>
      </c>
      <c r="P6355" s="38">
        <v>900.0</v>
      </c>
      <c r="Q6355" s="39"/>
      <c r="R6355" s="39"/>
      <c r="S6355" s="38" t="s">
        <v>199</v>
      </c>
      <c r="T6355" s="39"/>
      <c r="U6355" s="39"/>
    </row>
    <row r="6356">
      <c r="A6356" s="40">
        <f t="shared" si="1"/>
        <v>46006</v>
      </c>
      <c r="B6356" s="37" t="str">
        <f t="array" ref="B6356">iferror(xlookup($I6356, 'IMPORT VHC Report'!$E:$E, 'IMPORT VHC Report'!$A:$C), )</f>
        <v/>
      </c>
      <c r="C6356" s="37"/>
      <c r="D6356" s="37"/>
      <c r="E6356" s="38" t="s">
        <v>7546</v>
      </c>
      <c r="F6356" s="38" t="s">
        <v>7534</v>
      </c>
      <c r="G6356" s="38">
        <v>1.0333033796879E13</v>
      </c>
      <c r="H6356" s="38" t="s">
        <v>7535</v>
      </c>
      <c r="I6356" s="38" t="s">
        <v>7536</v>
      </c>
      <c r="J6356" s="38" t="s">
        <v>196</v>
      </c>
      <c r="K6356" s="38" t="s">
        <v>63</v>
      </c>
      <c r="L6356" s="41">
        <v>46009.875</v>
      </c>
      <c r="M6356" s="38" t="s">
        <v>123</v>
      </c>
      <c r="N6356" s="41">
        <v>46010.25</v>
      </c>
      <c r="O6356" s="38" t="s">
        <v>123</v>
      </c>
      <c r="P6356" s="38">
        <v>32400.0</v>
      </c>
      <c r="Q6356" s="39"/>
      <c r="R6356" s="39"/>
      <c r="S6356" s="39"/>
      <c r="T6356" s="39"/>
      <c r="U6356" s="39"/>
    </row>
    <row r="6357">
      <c r="A6357" s="40">
        <f t="shared" si="1"/>
        <v>46006</v>
      </c>
      <c r="B6357" s="37" t="str">
        <f t="array" ref="B6357">iferror(xlookup($I6357, 'IMPORT VHC Report'!$E:$E, 'IMPORT VHC Report'!$A:$C), )</f>
        <v/>
      </c>
      <c r="C6357" s="37"/>
      <c r="D6357" s="37"/>
      <c r="E6357" s="38" t="s">
        <v>7547</v>
      </c>
      <c r="F6357" s="38" t="s">
        <v>7534</v>
      </c>
      <c r="G6357" s="38">
        <v>1.0333033796879E13</v>
      </c>
      <c r="H6357" s="38" t="s">
        <v>7535</v>
      </c>
      <c r="I6357" s="38" t="s">
        <v>7536</v>
      </c>
      <c r="J6357" s="38" t="s">
        <v>134</v>
      </c>
      <c r="K6357" s="38" t="s">
        <v>126</v>
      </c>
      <c r="L6357" s="41">
        <v>46009.979166666664</v>
      </c>
      <c r="M6357" s="38" t="s">
        <v>123</v>
      </c>
      <c r="N6357" s="41">
        <v>46010.0</v>
      </c>
      <c r="O6357" s="38" t="s">
        <v>123</v>
      </c>
      <c r="P6357" s="38">
        <v>1800.0</v>
      </c>
      <c r="Q6357" s="39"/>
      <c r="R6357" s="39"/>
      <c r="S6357" s="39"/>
      <c r="T6357" s="39"/>
      <c r="U6357" s="39"/>
    </row>
    <row r="6358">
      <c r="A6358" s="40">
        <f t="shared" si="1"/>
        <v>46006</v>
      </c>
      <c r="B6358" s="37" t="str">
        <f t="array" ref="B6358">iferror(xlookup($I6358, 'IMPORT VHC Report'!$E:$E, 'IMPORT VHC Report'!$A:$C), )</f>
        <v/>
      </c>
      <c r="C6358" s="37"/>
      <c r="D6358" s="37"/>
      <c r="E6358" s="38" t="s">
        <v>7548</v>
      </c>
      <c r="F6358" s="38" t="s">
        <v>7534</v>
      </c>
      <c r="G6358" s="38">
        <v>1.0333033796879E13</v>
      </c>
      <c r="H6358" s="38" t="s">
        <v>7535</v>
      </c>
      <c r="I6358" s="38" t="s">
        <v>7536</v>
      </c>
      <c r="J6358" s="38" t="s">
        <v>132</v>
      </c>
      <c r="K6358" s="38" t="s">
        <v>126</v>
      </c>
      <c r="L6358" s="41">
        <v>46010.104166666664</v>
      </c>
      <c r="M6358" s="38" t="s">
        <v>123</v>
      </c>
      <c r="N6358" s="41">
        <v>46010.145833333336</v>
      </c>
      <c r="O6358" s="38" t="s">
        <v>123</v>
      </c>
      <c r="P6358" s="38">
        <v>3600.0</v>
      </c>
      <c r="Q6358" s="39"/>
      <c r="R6358" s="39"/>
      <c r="S6358" s="39"/>
      <c r="T6358" s="39"/>
      <c r="U6358" s="39"/>
    </row>
    <row r="6359">
      <c r="A6359" s="40">
        <f t="shared" si="1"/>
        <v>46006</v>
      </c>
      <c r="B6359" s="37" t="str">
        <f t="array" ref="B6359">iferror(xlookup($I6359, 'IMPORT VHC Report'!$E:$E, 'IMPORT VHC Report'!$A:$C), )</f>
        <v/>
      </c>
      <c r="C6359" s="37"/>
      <c r="D6359" s="37"/>
      <c r="E6359" s="38" t="s">
        <v>7549</v>
      </c>
      <c r="F6359" s="38" t="s">
        <v>7534</v>
      </c>
      <c r="G6359" s="38">
        <v>1.0333033796879E13</v>
      </c>
      <c r="H6359" s="38" t="s">
        <v>7535</v>
      </c>
      <c r="I6359" s="38" t="s">
        <v>7536</v>
      </c>
      <c r="J6359" s="38" t="s">
        <v>125</v>
      </c>
      <c r="K6359" s="38" t="s">
        <v>126</v>
      </c>
      <c r="L6359" s="41">
        <v>46010.875</v>
      </c>
      <c r="M6359" s="38" t="s">
        <v>123</v>
      </c>
      <c r="N6359" s="41">
        <v>46010.885416666664</v>
      </c>
      <c r="O6359" s="38" t="s">
        <v>123</v>
      </c>
      <c r="P6359" s="38">
        <v>900.0</v>
      </c>
      <c r="Q6359" s="39"/>
      <c r="R6359" s="39"/>
      <c r="S6359" s="38" t="s">
        <v>199</v>
      </c>
      <c r="T6359" s="39"/>
      <c r="U6359" s="39"/>
    </row>
    <row r="6360">
      <c r="A6360" s="40">
        <f t="shared" si="1"/>
        <v>46006</v>
      </c>
      <c r="B6360" s="37" t="str">
        <f t="array" ref="B6360">iferror(xlookup($I6360, 'IMPORT VHC Report'!$E:$E, 'IMPORT VHC Report'!$A:$C), )</f>
        <v/>
      </c>
      <c r="C6360" s="37"/>
      <c r="D6360" s="37"/>
      <c r="E6360" s="38" t="s">
        <v>7550</v>
      </c>
      <c r="F6360" s="38" t="s">
        <v>7534</v>
      </c>
      <c r="G6360" s="38">
        <v>1.0333033796879E13</v>
      </c>
      <c r="H6360" s="38" t="s">
        <v>7535</v>
      </c>
      <c r="I6360" s="38" t="s">
        <v>7536</v>
      </c>
      <c r="J6360" s="38" t="s">
        <v>196</v>
      </c>
      <c r="K6360" s="38" t="s">
        <v>63</v>
      </c>
      <c r="L6360" s="41">
        <v>46010.875</v>
      </c>
      <c r="M6360" s="38" t="s">
        <v>123</v>
      </c>
      <c r="N6360" s="41">
        <v>46011.25</v>
      </c>
      <c r="O6360" s="38" t="s">
        <v>123</v>
      </c>
      <c r="P6360" s="38">
        <v>32400.0</v>
      </c>
      <c r="Q6360" s="39"/>
      <c r="R6360" s="39"/>
      <c r="S6360" s="39"/>
      <c r="T6360" s="39"/>
      <c r="U6360" s="39"/>
    </row>
    <row r="6361">
      <c r="A6361" s="40">
        <f t="shared" si="1"/>
        <v>46006</v>
      </c>
      <c r="B6361" s="37" t="str">
        <f t="array" ref="B6361">iferror(xlookup($I6361, 'IMPORT VHC Report'!$E:$E, 'IMPORT VHC Report'!$A:$C), )</f>
        <v/>
      </c>
      <c r="C6361" s="37"/>
      <c r="D6361" s="37"/>
      <c r="E6361" s="38" t="s">
        <v>7551</v>
      </c>
      <c r="F6361" s="38" t="s">
        <v>7534</v>
      </c>
      <c r="G6361" s="38">
        <v>1.0333033796879E13</v>
      </c>
      <c r="H6361" s="38" t="s">
        <v>7535</v>
      </c>
      <c r="I6361" s="38" t="s">
        <v>7536</v>
      </c>
      <c r="J6361" s="38" t="s">
        <v>134</v>
      </c>
      <c r="K6361" s="38" t="s">
        <v>126</v>
      </c>
      <c r="L6361" s="41">
        <v>46011.010416666664</v>
      </c>
      <c r="M6361" s="38" t="s">
        <v>123</v>
      </c>
      <c r="N6361" s="41">
        <v>46011.03125</v>
      </c>
      <c r="O6361" s="38" t="s">
        <v>123</v>
      </c>
      <c r="P6361" s="38">
        <v>1800.0</v>
      </c>
      <c r="Q6361" s="39"/>
      <c r="R6361" s="39"/>
      <c r="S6361" s="39"/>
      <c r="T6361" s="39"/>
      <c r="U6361" s="39"/>
    </row>
    <row r="6362">
      <c r="A6362" s="40">
        <f t="shared" si="1"/>
        <v>46006</v>
      </c>
      <c r="B6362" s="37" t="str">
        <f t="array" ref="B6362">iferror(xlookup($I6362, 'IMPORT VHC Report'!$E:$E, 'IMPORT VHC Report'!$A:$C), )</f>
        <v/>
      </c>
      <c r="C6362" s="37"/>
      <c r="D6362" s="37"/>
      <c r="E6362" s="38" t="s">
        <v>7552</v>
      </c>
      <c r="F6362" s="38" t="s">
        <v>7534</v>
      </c>
      <c r="G6362" s="38">
        <v>1.0333033796879E13</v>
      </c>
      <c r="H6362" s="38" t="s">
        <v>7535</v>
      </c>
      <c r="I6362" s="38" t="s">
        <v>7536</v>
      </c>
      <c r="J6362" s="38" t="s">
        <v>132</v>
      </c>
      <c r="K6362" s="38" t="s">
        <v>126</v>
      </c>
      <c r="L6362" s="41">
        <v>46011.145833333336</v>
      </c>
      <c r="M6362" s="38" t="s">
        <v>123</v>
      </c>
      <c r="N6362" s="41">
        <v>46011.1875</v>
      </c>
      <c r="O6362" s="38" t="s">
        <v>123</v>
      </c>
      <c r="P6362" s="38">
        <v>3600.0</v>
      </c>
      <c r="Q6362" s="39"/>
      <c r="R6362" s="39"/>
      <c r="S6362" s="39"/>
      <c r="T6362" s="39"/>
      <c r="U6362" s="39"/>
    </row>
    <row r="6363">
      <c r="A6363" s="40">
        <f t="shared" si="1"/>
        <v>46006</v>
      </c>
      <c r="B6363" s="37" t="str">
        <f t="array" ref="B6363">iferror(xlookup($I6363, 'IMPORT VHC Report'!$E:$E, 'IMPORT VHC Report'!$A:$C), )</f>
        <v/>
      </c>
      <c r="C6363" s="37"/>
      <c r="D6363" s="37"/>
      <c r="E6363" s="38" t="s">
        <v>7553</v>
      </c>
      <c r="F6363" s="38" t="s">
        <v>7534</v>
      </c>
      <c r="G6363" s="38">
        <v>1.0333033796879E13</v>
      </c>
      <c r="H6363" s="38" t="s">
        <v>7535</v>
      </c>
      <c r="I6363" s="38" t="s">
        <v>7536</v>
      </c>
      <c r="J6363" s="38" t="s">
        <v>125</v>
      </c>
      <c r="K6363" s="38" t="s">
        <v>126</v>
      </c>
      <c r="L6363" s="41">
        <v>46011.875</v>
      </c>
      <c r="M6363" s="38" t="s">
        <v>123</v>
      </c>
      <c r="N6363" s="41">
        <v>46011.885416666664</v>
      </c>
      <c r="O6363" s="38" t="s">
        <v>123</v>
      </c>
      <c r="P6363" s="38">
        <v>900.0</v>
      </c>
      <c r="Q6363" s="39"/>
      <c r="R6363" s="39"/>
      <c r="S6363" s="38" t="s">
        <v>199</v>
      </c>
      <c r="T6363" s="39"/>
      <c r="U6363" s="39"/>
    </row>
    <row r="6364">
      <c r="A6364" s="40">
        <f t="shared" si="1"/>
        <v>46006</v>
      </c>
      <c r="B6364" s="37" t="str">
        <f t="array" ref="B6364">iferror(xlookup($I6364, 'IMPORT VHC Report'!$E:$E, 'IMPORT VHC Report'!$A:$C), )</f>
        <v/>
      </c>
      <c r="C6364" s="37"/>
      <c r="D6364" s="37"/>
      <c r="E6364" s="38" t="s">
        <v>7554</v>
      </c>
      <c r="F6364" s="38" t="s">
        <v>7534</v>
      </c>
      <c r="G6364" s="38">
        <v>1.0333033796879E13</v>
      </c>
      <c r="H6364" s="38" t="s">
        <v>7535</v>
      </c>
      <c r="I6364" s="38" t="s">
        <v>7536</v>
      </c>
      <c r="J6364" s="38" t="s">
        <v>196</v>
      </c>
      <c r="K6364" s="38" t="s">
        <v>63</v>
      </c>
      <c r="L6364" s="41">
        <v>46011.875</v>
      </c>
      <c r="M6364" s="38" t="s">
        <v>123</v>
      </c>
      <c r="N6364" s="41">
        <v>46012.25</v>
      </c>
      <c r="O6364" s="38" t="s">
        <v>123</v>
      </c>
      <c r="P6364" s="38">
        <v>32400.0</v>
      </c>
      <c r="Q6364" s="39"/>
      <c r="R6364" s="39"/>
      <c r="S6364" s="39"/>
      <c r="T6364" s="39"/>
      <c r="U6364" s="39"/>
    </row>
    <row r="6365">
      <c r="A6365" s="40">
        <f t="shared" si="1"/>
        <v>46006</v>
      </c>
      <c r="B6365" s="37" t="str">
        <f t="array" ref="B6365">iferror(xlookup($I6365, 'IMPORT VHC Report'!$E:$E, 'IMPORT VHC Report'!$A:$C), )</f>
        <v/>
      </c>
      <c r="C6365" s="37"/>
      <c r="D6365" s="37"/>
      <c r="E6365" s="38" t="s">
        <v>7555</v>
      </c>
      <c r="F6365" s="38" t="s">
        <v>7534</v>
      </c>
      <c r="G6365" s="38">
        <v>1.0333033796879E13</v>
      </c>
      <c r="H6365" s="38" t="s">
        <v>7535</v>
      </c>
      <c r="I6365" s="38" t="s">
        <v>7536</v>
      </c>
      <c r="J6365" s="38" t="s">
        <v>134</v>
      </c>
      <c r="K6365" s="38" t="s">
        <v>126</v>
      </c>
      <c r="L6365" s="41">
        <v>46011.979166666664</v>
      </c>
      <c r="M6365" s="38" t="s">
        <v>123</v>
      </c>
      <c r="N6365" s="41">
        <v>46012.0</v>
      </c>
      <c r="O6365" s="38" t="s">
        <v>123</v>
      </c>
      <c r="P6365" s="38">
        <v>1800.0</v>
      </c>
      <c r="Q6365" s="39"/>
      <c r="R6365" s="39"/>
      <c r="S6365" s="39"/>
      <c r="T6365" s="39"/>
      <c r="U6365" s="39"/>
    </row>
    <row r="6366">
      <c r="A6366" s="40">
        <f t="shared" si="1"/>
        <v>46006</v>
      </c>
      <c r="B6366" s="37" t="str">
        <f t="array" ref="B6366">iferror(xlookup($I6366, 'IMPORT VHC Report'!$E:$E, 'IMPORT VHC Report'!$A:$C), )</f>
        <v/>
      </c>
      <c r="C6366" s="37"/>
      <c r="D6366" s="37"/>
      <c r="E6366" s="38" t="s">
        <v>7556</v>
      </c>
      <c r="F6366" s="38" t="s">
        <v>7534</v>
      </c>
      <c r="G6366" s="38">
        <v>1.0333033796879E13</v>
      </c>
      <c r="H6366" s="38" t="s">
        <v>7535</v>
      </c>
      <c r="I6366" s="38" t="s">
        <v>7536</v>
      </c>
      <c r="J6366" s="38" t="s">
        <v>132</v>
      </c>
      <c r="K6366" s="38" t="s">
        <v>126</v>
      </c>
      <c r="L6366" s="41">
        <v>46012.114583333336</v>
      </c>
      <c r="M6366" s="38" t="s">
        <v>123</v>
      </c>
      <c r="N6366" s="41">
        <v>46012.15625</v>
      </c>
      <c r="O6366" s="38" t="s">
        <v>123</v>
      </c>
      <c r="P6366" s="38">
        <v>3600.0</v>
      </c>
      <c r="Q6366" s="39"/>
      <c r="R6366" s="39"/>
      <c r="S6366" s="39"/>
      <c r="T6366" s="39"/>
      <c r="U6366" s="39"/>
    </row>
    <row r="6367">
      <c r="A6367" s="40">
        <f t="shared" si="1"/>
        <v>46006</v>
      </c>
      <c r="B6367" s="37" t="str">
        <f t="array" ref="B6367">iferror(xlookup($I6367, 'IMPORT VHC Report'!$E:$E, 'IMPORT VHC Report'!$A:$C), )</f>
        <v/>
      </c>
      <c r="C6367" s="37"/>
      <c r="D6367" s="37"/>
      <c r="E6367" s="38" t="s">
        <v>7557</v>
      </c>
      <c r="F6367" s="38" t="s">
        <v>7558</v>
      </c>
      <c r="G6367" s="38">
        <v>6.839679630095E12</v>
      </c>
      <c r="H6367" s="38" t="s">
        <v>7559</v>
      </c>
      <c r="I6367" s="38" t="s">
        <v>7560</v>
      </c>
      <c r="J6367" s="38" t="s">
        <v>224</v>
      </c>
      <c r="K6367" s="38" t="s">
        <v>63</v>
      </c>
      <c r="L6367" s="41">
        <v>46007.875</v>
      </c>
      <c r="M6367" s="38" t="s">
        <v>123</v>
      </c>
      <c r="N6367" s="41">
        <v>46008.208333333336</v>
      </c>
      <c r="O6367" s="38" t="s">
        <v>123</v>
      </c>
      <c r="P6367" s="38">
        <v>28800.0</v>
      </c>
      <c r="Q6367" s="39"/>
      <c r="R6367" s="39"/>
      <c r="S6367" s="39"/>
      <c r="T6367" s="39"/>
      <c r="U6367" s="39"/>
    </row>
    <row r="6368">
      <c r="A6368" s="40">
        <f t="shared" si="1"/>
        <v>46006</v>
      </c>
      <c r="B6368" s="37" t="str">
        <f t="array" ref="B6368">iferror(xlookup($I6368, 'IMPORT VHC Report'!$E:$E, 'IMPORT VHC Report'!$A:$C), )</f>
        <v/>
      </c>
      <c r="C6368" s="37"/>
      <c r="D6368" s="37"/>
      <c r="E6368" s="38" t="s">
        <v>7561</v>
      </c>
      <c r="F6368" s="38" t="s">
        <v>7558</v>
      </c>
      <c r="G6368" s="38">
        <v>6.839679630095E12</v>
      </c>
      <c r="H6368" s="38" t="s">
        <v>7559</v>
      </c>
      <c r="I6368" s="38" t="s">
        <v>7560</v>
      </c>
      <c r="J6368" s="38" t="s">
        <v>178</v>
      </c>
      <c r="K6368" s="38" t="s">
        <v>153</v>
      </c>
      <c r="L6368" s="41">
        <v>46007.875</v>
      </c>
      <c r="M6368" s="38" t="s">
        <v>123</v>
      </c>
      <c r="N6368" s="41">
        <v>46008.25</v>
      </c>
      <c r="O6368" s="38" t="s">
        <v>123</v>
      </c>
      <c r="P6368" s="38">
        <v>32400.0</v>
      </c>
      <c r="Q6368" s="38">
        <v>115200.0</v>
      </c>
      <c r="R6368" s="38" t="s">
        <v>550</v>
      </c>
      <c r="S6368" s="39"/>
      <c r="T6368" s="39"/>
      <c r="U6368" s="39"/>
    </row>
    <row r="6369">
      <c r="A6369" s="40">
        <f t="shared" si="1"/>
        <v>46006</v>
      </c>
      <c r="B6369" s="37" t="str">
        <f t="array" ref="B6369">iferror(xlookup($I6369, 'IMPORT VHC Report'!$E:$E, 'IMPORT VHC Report'!$A:$C), )</f>
        <v/>
      </c>
      <c r="C6369" s="37"/>
      <c r="D6369" s="37"/>
      <c r="E6369" s="38" t="s">
        <v>7562</v>
      </c>
      <c r="F6369" s="38" t="s">
        <v>7558</v>
      </c>
      <c r="G6369" s="38">
        <v>6.839679630095E12</v>
      </c>
      <c r="H6369" s="38" t="s">
        <v>7559</v>
      </c>
      <c r="I6369" s="38" t="s">
        <v>7560</v>
      </c>
      <c r="J6369" s="38" t="s">
        <v>178</v>
      </c>
      <c r="K6369" s="38" t="s">
        <v>153</v>
      </c>
      <c r="L6369" s="41">
        <v>46008.875</v>
      </c>
      <c r="M6369" s="38" t="s">
        <v>123</v>
      </c>
      <c r="N6369" s="41">
        <v>46009.25</v>
      </c>
      <c r="O6369" s="38" t="s">
        <v>123</v>
      </c>
      <c r="P6369" s="38">
        <v>32400.0</v>
      </c>
      <c r="Q6369" s="38">
        <v>32400.0</v>
      </c>
      <c r="R6369" s="39"/>
      <c r="S6369" s="39"/>
      <c r="T6369" s="39"/>
      <c r="U6369" s="39"/>
    </row>
    <row r="6370">
      <c r="A6370" s="40">
        <f t="shared" si="1"/>
        <v>46006</v>
      </c>
      <c r="B6370" s="37" t="str">
        <f t="array" ref="B6370">iferror(xlookup($I6370, 'IMPORT VHC Report'!$E:$E, 'IMPORT VHC Report'!$A:$C), )</f>
        <v/>
      </c>
      <c r="C6370" s="37"/>
      <c r="D6370" s="37"/>
      <c r="E6370" s="38" t="s">
        <v>7563</v>
      </c>
      <c r="F6370" s="38" t="s">
        <v>7558</v>
      </c>
      <c r="G6370" s="38">
        <v>6.839679630095E12</v>
      </c>
      <c r="H6370" s="38" t="s">
        <v>7559</v>
      </c>
      <c r="I6370" s="38" t="s">
        <v>7560</v>
      </c>
      <c r="J6370" s="38" t="s">
        <v>178</v>
      </c>
      <c r="K6370" s="38" t="s">
        <v>153</v>
      </c>
      <c r="L6370" s="41">
        <v>46009.875</v>
      </c>
      <c r="M6370" s="38" t="s">
        <v>123</v>
      </c>
      <c r="N6370" s="41">
        <v>46010.25</v>
      </c>
      <c r="O6370" s="38" t="s">
        <v>123</v>
      </c>
      <c r="P6370" s="38">
        <v>32400.0</v>
      </c>
      <c r="Q6370" s="38">
        <v>32400.0</v>
      </c>
      <c r="R6370" s="39"/>
      <c r="S6370" s="39"/>
      <c r="T6370" s="39"/>
      <c r="U6370" s="39"/>
    </row>
    <row r="6371">
      <c r="A6371" s="40">
        <f t="shared" si="1"/>
        <v>46006</v>
      </c>
      <c r="B6371" s="37" t="str">
        <f t="array" ref="B6371">iferror(xlookup($I6371, 'IMPORT VHC Report'!$E:$E, 'IMPORT VHC Report'!$A:$C), )</f>
        <v/>
      </c>
      <c r="C6371" s="37"/>
      <c r="D6371" s="37"/>
      <c r="E6371" s="38" t="s">
        <v>7564</v>
      </c>
      <c r="F6371" s="38" t="s">
        <v>7558</v>
      </c>
      <c r="G6371" s="38">
        <v>6.839679630095E12</v>
      </c>
      <c r="H6371" s="38" t="s">
        <v>7559</v>
      </c>
      <c r="I6371" s="38" t="s">
        <v>7560</v>
      </c>
      <c r="J6371" s="38" t="s">
        <v>178</v>
      </c>
      <c r="K6371" s="38" t="s">
        <v>153</v>
      </c>
      <c r="L6371" s="41">
        <v>46010.875</v>
      </c>
      <c r="M6371" s="38" t="s">
        <v>123</v>
      </c>
      <c r="N6371" s="41">
        <v>46011.25</v>
      </c>
      <c r="O6371" s="38" t="s">
        <v>123</v>
      </c>
      <c r="P6371" s="38">
        <v>32400.0</v>
      </c>
      <c r="Q6371" s="38">
        <v>32400.0</v>
      </c>
      <c r="R6371" s="39"/>
      <c r="S6371" s="39"/>
      <c r="T6371" s="39"/>
      <c r="U6371" s="39"/>
    </row>
    <row r="6372">
      <c r="A6372" s="40">
        <f t="shared" si="1"/>
        <v>46006</v>
      </c>
      <c r="B6372" s="37" t="str">
        <f t="array" ref="B6372">iferror(xlookup($I6372, 'IMPORT VHC Report'!$E:$E, 'IMPORT VHC Report'!$A:$C), )</f>
        <v/>
      </c>
      <c r="C6372" s="37"/>
      <c r="D6372" s="37"/>
      <c r="E6372" s="38" t="s">
        <v>7565</v>
      </c>
      <c r="F6372" s="38" t="s">
        <v>7558</v>
      </c>
      <c r="G6372" s="38">
        <v>6.839679630095E12</v>
      </c>
      <c r="H6372" s="38" t="s">
        <v>7559</v>
      </c>
      <c r="I6372" s="38" t="s">
        <v>7560</v>
      </c>
      <c r="J6372" s="38" t="s">
        <v>224</v>
      </c>
      <c r="K6372" s="38" t="s">
        <v>63</v>
      </c>
      <c r="L6372" s="41">
        <v>46011.875</v>
      </c>
      <c r="M6372" s="38" t="s">
        <v>123</v>
      </c>
      <c r="N6372" s="41">
        <v>46011.96875</v>
      </c>
      <c r="O6372" s="38" t="s">
        <v>123</v>
      </c>
      <c r="P6372" s="38">
        <v>8100.0</v>
      </c>
      <c r="Q6372" s="39"/>
      <c r="R6372" s="39"/>
      <c r="S6372" s="39"/>
      <c r="T6372" s="39"/>
      <c r="U6372" s="39"/>
    </row>
    <row r="6373">
      <c r="A6373" s="40">
        <f t="shared" si="1"/>
        <v>46006</v>
      </c>
      <c r="B6373" s="37" t="str">
        <f t="array" ref="B6373">iferror(xlookup($I6373, 'IMPORT VHC Report'!$E:$E, 'IMPORT VHC Report'!$A:$C), )</f>
        <v/>
      </c>
      <c r="C6373" s="37"/>
      <c r="D6373" s="37"/>
      <c r="E6373" s="38" t="s">
        <v>7566</v>
      </c>
      <c r="F6373" s="38" t="s">
        <v>7558</v>
      </c>
      <c r="G6373" s="38">
        <v>6.839679630095E12</v>
      </c>
      <c r="H6373" s="38" t="s">
        <v>7559</v>
      </c>
      <c r="I6373" s="38" t="s">
        <v>7560</v>
      </c>
      <c r="J6373" s="38" t="s">
        <v>125</v>
      </c>
      <c r="K6373" s="38" t="s">
        <v>126</v>
      </c>
      <c r="L6373" s="41">
        <v>46011.89375</v>
      </c>
      <c r="M6373" s="38" t="s">
        <v>123</v>
      </c>
      <c r="N6373" s="41">
        <v>46011.9</v>
      </c>
      <c r="O6373" s="38" t="s">
        <v>123</v>
      </c>
      <c r="P6373" s="38">
        <v>540.0</v>
      </c>
      <c r="Q6373" s="39"/>
      <c r="R6373" s="39"/>
      <c r="S6373" s="38" t="s">
        <v>1793</v>
      </c>
      <c r="T6373" s="39"/>
      <c r="U6373" s="39"/>
    </row>
    <row r="6374">
      <c r="A6374" s="40">
        <f t="shared" si="1"/>
        <v>46006</v>
      </c>
      <c r="B6374" s="37" t="str">
        <f t="array" ref="B6374">iferror(xlookup($I6374, 'IMPORT VHC Report'!$E:$E, 'IMPORT VHC Report'!$A:$C), )</f>
        <v/>
      </c>
      <c r="C6374" s="37"/>
      <c r="D6374" s="37"/>
      <c r="E6374" s="38" t="s">
        <v>7567</v>
      </c>
      <c r="F6374" s="38" t="s">
        <v>7558</v>
      </c>
      <c r="G6374" s="38">
        <v>6.839679630095E12</v>
      </c>
      <c r="H6374" s="38" t="s">
        <v>7559</v>
      </c>
      <c r="I6374" s="38" t="s">
        <v>7560</v>
      </c>
      <c r="J6374" s="38" t="s">
        <v>134</v>
      </c>
      <c r="K6374" s="38" t="s">
        <v>126</v>
      </c>
      <c r="L6374" s="41">
        <v>46011.96875</v>
      </c>
      <c r="M6374" s="38" t="s">
        <v>123</v>
      </c>
      <c r="N6374" s="41">
        <v>46011.979166666664</v>
      </c>
      <c r="O6374" s="38" t="s">
        <v>123</v>
      </c>
      <c r="P6374" s="38">
        <v>900.0</v>
      </c>
      <c r="Q6374" s="39"/>
      <c r="R6374" s="39"/>
      <c r="S6374" s="39"/>
      <c r="T6374" s="39"/>
      <c r="U6374" s="39"/>
    </row>
    <row r="6375">
      <c r="A6375" s="40">
        <f t="shared" si="1"/>
        <v>46006</v>
      </c>
      <c r="B6375" s="37" t="str">
        <f t="array" ref="B6375">iferror(xlookup($I6375, 'IMPORT VHC Report'!$E:$E, 'IMPORT VHC Report'!$A:$C), )</f>
        <v/>
      </c>
      <c r="C6375" s="37"/>
      <c r="D6375" s="37"/>
      <c r="E6375" s="38" t="s">
        <v>7568</v>
      </c>
      <c r="F6375" s="38" t="s">
        <v>7558</v>
      </c>
      <c r="G6375" s="38">
        <v>6.839679630095E12</v>
      </c>
      <c r="H6375" s="38" t="s">
        <v>7559</v>
      </c>
      <c r="I6375" s="38" t="s">
        <v>7560</v>
      </c>
      <c r="J6375" s="38" t="s">
        <v>224</v>
      </c>
      <c r="K6375" s="38" t="s">
        <v>63</v>
      </c>
      <c r="L6375" s="41">
        <v>46011.979166666664</v>
      </c>
      <c r="M6375" s="38" t="s">
        <v>123</v>
      </c>
      <c r="N6375" s="41">
        <v>46012.041666666664</v>
      </c>
      <c r="O6375" s="38" t="s">
        <v>123</v>
      </c>
      <c r="P6375" s="38">
        <v>5400.0</v>
      </c>
      <c r="Q6375" s="39"/>
      <c r="R6375" s="39"/>
      <c r="S6375" s="39"/>
      <c r="T6375" s="39"/>
      <c r="U6375" s="39"/>
    </row>
    <row r="6376">
      <c r="A6376" s="40">
        <f t="shared" si="1"/>
        <v>46006</v>
      </c>
      <c r="B6376" s="37" t="str">
        <f t="array" ref="B6376">iferror(xlookup($I6376, 'IMPORT VHC Report'!$E:$E, 'IMPORT VHC Report'!$A:$C), )</f>
        <v/>
      </c>
      <c r="C6376" s="37"/>
      <c r="D6376" s="37"/>
      <c r="E6376" s="38" t="s">
        <v>7569</v>
      </c>
      <c r="F6376" s="38" t="s">
        <v>7558</v>
      </c>
      <c r="G6376" s="38">
        <v>6.839679630095E12</v>
      </c>
      <c r="H6376" s="38" t="s">
        <v>7559</v>
      </c>
      <c r="I6376" s="38" t="s">
        <v>7560</v>
      </c>
      <c r="J6376" s="38" t="s">
        <v>134</v>
      </c>
      <c r="K6376" s="38" t="s">
        <v>126</v>
      </c>
      <c r="L6376" s="41">
        <v>46012.041666666664</v>
      </c>
      <c r="M6376" s="38" t="s">
        <v>123</v>
      </c>
      <c r="N6376" s="41">
        <v>46012.052083333336</v>
      </c>
      <c r="O6376" s="38" t="s">
        <v>123</v>
      </c>
      <c r="P6376" s="38">
        <v>900.0</v>
      </c>
      <c r="Q6376" s="39"/>
      <c r="R6376" s="39"/>
      <c r="S6376" s="39"/>
      <c r="T6376" s="39"/>
      <c r="U6376" s="39"/>
    </row>
    <row r="6377">
      <c r="A6377" s="40">
        <f t="shared" si="1"/>
        <v>46006</v>
      </c>
      <c r="B6377" s="37" t="str">
        <f t="array" ref="B6377">iferror(xlookup($I6377, 'IMPORT VHC Report'!$E:$E, 'IMPORT VHC Report'!$A:$C), )</f>
        <v/>
      </c>
      <c r="C6377" s="37"/>
      <c r="D6377" s="37"/>
      <c r="E6377" s="38" t="s">
        <v>7570</v>
      </c>
      <c r="F6377" s="38" t="s">
        <v>7558</v>
      </c>
      <c r="G6377" s="38">
        <v>6.839679630095E12</v>
      </c>
      <c r="H6377" s="38" t="s">
        <v>7559</v>
      </c>
      <c r="I6377" s="38" t="s">
        <v>7560</v>
      </c>
      <c r="J6377" s="38" t="s">
        <v>224</v>
      </c>
      <c r="K6377" s="38" t="s">
        <v>63</v>
      </c>
      <c r="L6377" s="41">
        <v>46012.052083333336</v>
      </c>
      <c r="M6377" s="38" t="s">
        <v>123</v>
      </c>
      <c r="N6377" s="41">
        <v>46012.135416666664</v>
      </c>
      <c r="O6377" s="38" t="s">
        <v>123</v>
      </c>
      <c r="P6377" s="38">
        <v>7200.0</v>
      </c>
      <c r="Q6377" s="39"/>
      <c r="R6377" s="39"/>
      <c r="S6377" s="39"/>
      <c r="T6377" s="39"/>
      <c r="U6377" s="39"/>
    </row>
    <row r="6378">
      <c r="A6378" s="40">
        <f t="shared" si="1"/>
        <v>46006</v>
      </c>
      <c r="B6378" s="37" t="str">
        <f t="array" ref="B6378">iferror(xlookup($I6378, 'IMPORT VHC Report'!$E:$E, 'IMPORT VHC Report'!$A:$C), )</f>
        <v/>
      </c>
      <c r="C6378" s="37"/>
      <c r="D6378" s="37"/>
      <c r="E6378" s="38" t="s">
        <v>7571</v>
      </c>
      <c r="F6378" s="38" t="s">
        <v>7558</v>
      </c>
      <c r="G6378" s="38">
        <v>6.839679630095E12</v>
      </c>
      <c r="H6378" s="38" t="s">
        <v>7559</v>
      </c>
      <c r="I6378" s="38" t="s">
        <v>7560</v>
      </c>
      <c r="J6378" s="38" t="s">
        <v>132</v>
      </c>
      <c r="K6378" s="38" t="s">
        <v>126</v>
      </c>
      <c r="L6378" s="41">
        <v>46012.135416666664</v>
      </c>
      <c r="M6378" s="38" t="s">
        <v>123</v>
      </c>
      <c r="N6378" s="41">
        <v>46012.177083333336</v>
      </c>
      <c r="O6378" s="38" t="s">
        <v>123</v>
      </c>
      <c r="P6378" s="38">
        <v>3600.0</v>
      </c>
      <c r="Q6378" s="39"/>
      <c r="R6378" s="39"/>
      <c r="S6378" s="39"/>
      <c r="T6378" s="39"/>
      <c r="U6378" s="39"/>
    </row>
    <row r="6379">
      <c r="A6379" s="40">
        <f t="shared" si="1"/>
        <v>46006</v>
      </c>
      <c r="B6379" s="37" t="str">
        <f t="array" ref="B6379">iferror(xlookup($I6379, 'IMPORT VHC Report'!$E:$E, 'IMPORT VHC Report'!$A:$C), )</f>
        <v/>
      </c>
      <c r="C6379" s="37"/>
      <c r="D6379" s="37"/>
      <c r="E6379" s="38" t="s">
        <v>7572</v>
      </c>
      <c r="F6379" s="38" t="s">
        <v>7558</v>
      </c>
      <c r="G6379" s="38">
        <v>6.839679630095E12</v>
      </c>
      <c r="H6379" s="38" t="s">
        <v>7559</v>
      </c>
      <c r="I6379" s="38" t="s">
        <v>7560</v>
      </c>
      <c r="J6379" s="38" t="s">
        <v>224</v>
      </c>
      <c r="K6379" s="38" t="s">
        <v>63</v>
      </c>
      <c r="L6379" s="41">
        <v>46012.177083333336</v>
      </c>
      <c r="M6379" s="38" t="s">
        <v>123</v>
      </c>
      <c r="N6379" s="41">
        <v>46012.25</v>
      </c>
      <c r="O6379" s="38" t="s">
        <v>123</v>
      </c>
      <c r="P6379" s="38">
        <v>6300.0</v>
      </c>
      <c r="Q6379" s="39"/>
      <c r="R6379" s="39"/>
      <c r="S6379" s="39"/>
      <c r="T6379" s="39"/>
      <c r="U6379" s="39"/>
    </row>
    <row r="6380">
      <c r="A6380" s="40">
        <f t="shared" si="1"/>
        <v>46006</v>
      </c>
      <c r="B6380" s="37" t="str">
        <f t="array" ref="B6380">iferror(xlookup($I6380, 'IMPORT VHC Report'!$E:$E, 'IMPORT VHC Report'!$A:$C), )</f>
        <v/>
      </c>
      <c r="C6380" s="37"/>
      <c r="D6380" s="37"/>
      <c r="E6380" s="38" t="s">
        <v>7573</v>
      </c>
      <c r="F6380" s="38" t="s">
        <v>7574</v>
      </c>
      <c r="G6380" s="38">
        <v>3.61725260976E11</v>
      </c>
      <c r="H6380" s="38" t="s">
        <v>86</v>
      </c>
      <c r="I6380" s="38" t="s">
        <v>87</v>
      </c>
      <c r="J6380" s="38" t="s">
        <v>62</v>
      </c>
      <c r="K6380" s="38" t="s">
        <v>63</v>
      </c>
      <c r="L6380" s="41">
        <v>46007.916666666664</v>
      </c>
      <c r="M6380" s="38" t="s">
        <v>123</v>
      </c>
      <c r="N6380" s="41">
        <v>46008.083333333336</v>
      </c>
      <c r="O6380" s="38" t="s">
        <v>123</v>
      </c>
      <c r="P6380" s="38">
        <v>14400.0</v>
      </c>
      <c r="Q6380" s="39"/>
      <c r="R6380" s="39"/>
      <c r="S6380" s="39"/>
      <c r="T6380" s="39"/>
      <c r="U6380" s="39"/>
    </row>
    <row r="6381">
      <c r="A6381" s="40">
        <f t="shared" si="1"/>
        <v>46006</v>
      </c>
      <c r="B6381" s="37" t="str">
        <f t="array" ref="B6381">iferror(xlookup($I6381, 'IMPORT VHC Report'!$E:$E, 'IMPORT VHC Report'!$A:$C), )</f>
        <v/>
      </c>
      <c r="C6381" s="37"/>
      <c r="D6381" s="37"/>
      <c r="E6381" s="38" t="s">
        <v>7575</v>
      </c>
      <c r="F6381" s="38" t="s">
        <v>7574</v>
      </c>
      <c r="G6381" s="38">
        <v>3.61725260976E11</v>
      </c>
      <c r="H6381" s="38" t="s">
        <v>86</v>
      </c>
      <c r="I6381" s="38" t="s">
        <v>87</v>
      </c>
      <c r="J6381" s="38" t="s">
        <v>791</v>
      </c>
      <c r="K6381" s="38" t="s">
        <v>63</v>
      </c>
      <c r="L6381" s="41">
        <v>46008.083333333336</v>
      </c>
      <c r="M6381" s="38" t="s">
        <v>123</v>
      </c>
      <c r="N6381" s="41">
        <v>46008.291666666664</v>
      </c>
      <c r="O6381" s="38" t="s">
        <v>123</v>
      </c>
      <c r="P6381" s="38">
        <v>18000.0</v>
      </c>
      <c r="Q6381" s="39"/>
      <c r="R6381" s="39"/>
      <c r="S6381" s="39"/>
      <c r="T6381" s="39"/>
      <c r="U6381" s="39"/>
    </row>
    <row r="6382">
      <c r="A6382" s="40">
        <f t="shared" si="1"/>
        <v>46006</v>
      </c>
      <c r="B6382" s="37" t="str">
        <f t="array" ref="B6382">iferror(xlookup($I6382, 'IMPORT VHC Report'!$E:$E, 'IMPORT VHC Report'!$A:$C), )</f>
        <v/>
      </c>
      <c r="C6382" s="37"/>
      <c r="D6382" s="37"/>
      <c r="E6382" s="38" t="s">
        <v>7576</v>
      </c>
      <c r="F6382" s="38" t="s">
        <v>7574</v>
      </c>
      <c r="G6382" s="38">
        <v>3.61725260976E11</v>
      </c>
      <c r="H6382" s="38" t="s">
        <v>86</v>
      </c>
      <c r="I6382" s="38" t="s">
        <v>87</v>
      </c>
      <c r="J6382" s="38" t="s">
        <v>134</v>
      </c>
      <c r="K6382" s="38" t="s">
        <v>126</v>
      </c>
      <c r="L6382" s="41">
        <v>46008.229166666664</v>
      </c>
      <c r="M6382" s="38" t="s">
        <v>123</v>
      </c>
      <c r="N6382" s="41">
        <v>46008.25</v>
      </c>
      <c r="O6382" s="38" t="s">
        <v>123</v>
      </c>
      <c r="P6382" s="38">
        <v>1800.0</v>
      </c>
      <c r="Q6382" s="39"/>
      <c r="R6382" s="39"/>
      <c r="S6382" s="39"/>
      <c r="T6382" s="39"/>
      <c r="U6382" s="39"/>
    </row>
    <row r="6383">
      <c r="A6383" s="40">
        <f t="shared" si="1"/>
        <v>46006</v>
      </c>
      <c r="B6383" s="37" t="str">
        <f t="array" ref="B6383">iferror(xlookup($I6383, 'IMPORT VHC Report'!$E:$E, 'IMPORT VHC Report'!$A:$C), )</f>
        <v/>
      </c>
      <c r="C6383" s="37"/>
      <c r="D6383" s="37"/>
      <c r="E6383" s="38" t="s">
        <v>7577</v>
      </c>
      <c r="F6383" s="38" t="s">
        <v>7574</v>
      </c>
      <c r="G6383" s="38">
        <v>3.61725260976E11</v>
      </c>
      <c r="H6383" s="38" t="s">
        <v>86</v>
      </c>
      <c r="I6383" s="38" t="s">
        <v>87</v>
      </c>
      <c r="J6383" s="38" t="s">
        <v>132</v>
      </c>
      <c r="K6383" s="38" t="s">
        <v>126</v>
      </c>
      <c r="L6383" s="41">
        <v>46008.25</v>
      </c>
      <c r="M6383" s="38" t="s">
        <v>123</v>
      </c>
      <c r="N6383" s="41">
        <v>46008.291666666664</v>
      </c>
      <c r="O6383" s="38" t="s">
        <v>123</v>
      </c>
      <c r="P6383" s="38">
        <v>3600.0</v>
      </c>
      <c r="Q6383" s="39"/>
      <c r="R6383" s="39"/>
      <c r="S6383" s="39"/>
      <c r="T6383" s="39"/>
      <c r="U6383" s="39"/>
    </row>
    <row r="6384">
      <c r="A6384" s="40">
        <f t="shared" si="1"/>
        <v>46006</v>
      </c>
      <c r="B6384" s="37" t="str">
        <f t="array" ref="B6384">iferror(xlookup($I6384, 'IMPORT VHC Report'!$E:$E, 'IMPORT VHC Report'!$A:$C), )</f>
        <v/>
      </c>
      <c r="C6384" s="37"/>
      <c r="D6384" s="37"/>
      <c r="E6384" s="38" t="s">
        <v>7578</v>
      </c>
      <c r="F6384" s="38" t="s">
        <v>7574</v>
      </c>
      <c r="G6384" s="38">
        <v>3.61725260976E11</v>
      </c>
      <c r="H6384" s="38" t="s">
        <v>86</v>
      </c>
      <c r="I6384" s="38" t="s">
        <v>87</v>
      </c>
      <c r="J6384" s="38" t="s">
        <v>791</v>
      </c>
      <c r="K6384" s="38" t="s">
        <v>63</v>
      </c>
      <c r="L6384" s="41">
        <v>46008.916666666664</v>
      </c>
      <c r="M6384" s="38" t="s">
        <v>123</v>
      </c>
      <c r="N6384" s="41">
        <v>46009.291666666664</v>
      </c>
      <c r="O6384" s="38" t="s">
        <v>123</v>
      </c>
      <c r="P6384" s="38">
        <v>32400.0</v>
      </c>
      <c r="Q6384" s="39"/>
      <c r="R6384" s="39"/>
      <c r="S6384" s="39"/>
      <c r="T6384" s="39"/>
      <c r="U6384" s="39"/>
    </row>
    <row r="6385">
      <c r="A6385" s="40">
        <f t="shared" si="1"/>
        <v>46006</v>
      </c>
      <c r="B6385" s="37" t="str">
        <f t="array" ref="B6385">iferror(xlookup($I6385, 'IMPORT VHC Report'!$E:$E, 'IMPORT VHC Report'!$A:$C), )</f>
        <v/>
      </c>
      <c r="C6385" s="37"/>
      <c r="D6385" s="37"/>
      <c r="E6385" s="38" t="s">
        <v>7579</v>
      </c>
      <c r="F6385" s="38" t="s">
        <v>7574</v>
      </c>
      <c r="G6385" s="38">
        <v>3.61725260976E11</v>
      </c>
      <c r="H6385" s="38" t="s">
        <v>86</v>
      </c>
      <c r="I6385" s="38" t="s">
        <v>87</v>
      </c>
      <c r="J6385" s="38" t="s">
        <v>136</v>
      </c>
      <c r="K6385" s="38" t="s">
        <v>126</v>
      </c>
      <c r="L6385" s="41">
        <v>46008.958333333336</v>
      </c>
      <c r="M6385" s="38" t="s">
        <v>123</v>
      </c>
      <c r="N6385" s="41">
        <v>46009.0</v>
      </c>
      <c r="O6385" s="38" t="s">
        <v>123</v>
      </c>
      <c r="P6385" s="38">
        <v>3600.0</v>
      </c>
      <c r="Q6385" s="39"/>
      <c r="R6385" s="39"/>
      <c r="S6385" s="38" t="s">
        <v>137</v>
      </c>
      <c r="T6385" s="39"/>
      <c r="U6385" s="39"/>
    </row>
    <row r="6386">
      <c r="A6386" s="40">
        <f t="shared" si="1"/>
        <v>46006</v>
      </c>
      <c r="B6386" s="37" t="str">
        <f t="array" ref="B6386">iferror(xlookup($I6386, 'IMPORT VHC Report'!$E:$E, 'IMPORT VHC Report'!$A:$C), )</f>
        <v/>
      </c>
      <c r="C6386" s="37"/>
      <c r="D6386" s="37"/>
      <c r="E6386" s="38" t="s">
        <v>7580</v>
      </c>
      <c r="F6386" s="38" t="s">
        <v>7574</v>
      </c>
      <c r="G6386" s="38">
        <v>3.61725260976E11</v>
      </c>
      <c r="H6386" s="38" t="s">
        <v>86</v>
      </c>
      <c r="I6386" s="38" t="s">
        <v>87</v>
      </c>
      <c r="J6386" s="38" t="s">
        <v>132</v>
      </c>
      <c r="K6386" s="38" t="s">
        <v>126</v>
      </c>
      <c r="L6386" s="41">
        <v>46009.166666666664</v>
      </c>
      <c r="M6386" s="38" t="s">
        <v>123</v>
      </c>
      <c r="N6386" s="41">
        <v>46009.208333333336</v>
      </c>
      <c r="O6386" s="38" t="s">
        <v>123</v>
      </c>
      <c r="P6386" s="38">
        <v>3600.0</v>
      </c>
      <c r="Q6386" s="39"/>
      <c r="R6386" s="39"/>
      <c r="S6386" s="39"/>
      <c r="T6386" s="39"/>
      <c r="U6386" s="39"/>
    </row>
    <row r="6387">
      <c r="A6387" s="40">
        <f t="shared" si="1"/>
        <v>46006</v>
      </c>
      <c r="B6387" s="37" t="str">
        <f t="array" ref="B6387">iferror(xlookup($I6387, 'IMPORT VHC Report'!$E:$E, 'IMPORT VHC Report'!$A:$C), )</f>
        <v/>
      </c>
      <c r="C6387" s="37"/>
      <c r="D6387" s="37"/>
      <c r="E6387" s="38" t="s">
        <v>7581</v>
      </c>
      <c r="F6387" s="38" t="s">
        <v>7574</v>
      </c>
      <c r="G6387" s="38">
        <v>3.61725260976E11</v>
      </c>
      <c r="H6387" s="38" t="s">
        <v>86</v>
      </c>
      <c r="I6387" s="38" t="s">
        <v>87</v>
      </c>
      <c r="J6387" s="38" t="s">
        <v>134</v>
      </c>
      <c r="K6387" s="38" t="s">
        <v>126</v>
      </c>
      <c r="L6387" s="41">
        <v>46009.208333333336</v>
      </c>
      <c r="M6387" s="38" t="s">
        <v>123</v>
      </c>
      <c r="N6387" s="41">
        <v>46009.229166666664</v>
      </c>
      <c r="O6387" s="38" t="s">
        <v>123</v>
      </c>
      <c r="P6387" s="38">
        <v>1800.0</v>
      </c>
      <c r="Q6387" s="39"/>
      <c r="R6387" s="39"/>
      <c r="S6387" s="39"/>
      <c r="T6387" s="39"/>
      <c r="U6387" s="39"/>
    </row>
    <row r="6388">
      <c r="A6388" s="40">
        <f t="shared" si="1"/>
        <v>46006</v>
      </c>
      <c r="B6388" s="37" t="str">
        <f t="array" ref="B6388">iferror(xlookup($I6388, 'IMPORT VHC Report'!$E:$E, 'IMPORT VHC Report'!$A:$C), )</f>
        <v/>
      </c>
      <c r="C6388" s="37"/>
      <c r="D6388" s="37"/>
      <c r="E6388" s="38" t="s">
        <v>7582</v>
      </c>
      <c r="F6388" s="38" t="s">
        <v>7574</v>
      </c>
      <c r="G6388" s="38">
        <v>3.61725260976E11</v>
      </c>
      <c r="H6388" s="38" t="s">
        <v>86</v>
      </c>
      <c r="I6388" s="38" t="s">
        <v>87</v>
      </c>
      <c r="J6388" s="38" t="s">
        <v>791</v>
      </c>
      <c r="K6388" s="38" t="s">
        <v>63</v>
      </c>
      <c r="L6388" s="41">
        <v>46009.916666666664</v>
      </c>
      <c r="M6388" s="38" t="s">
        <v>123</v>
      </c>
      <c r="N6388" s="41">
        <v>46010.291666666664</v>
      </c>
      <c r="O6388" s="38" t="s">
        <v>123</v>
      </c>
      <c r="P6388" s="38">
        <v>32400.0</v>
      </c>
      <c r="Q6388" s="39"/>
      <c r="R6388" s="39"/>
      <c r="S6388" s="39"/>
      <c r="T6388" s="39"/>
      <c r="U6388" s="39"/>
    </row>
    <row r="6389">
      <c r="A6389" s="40">
        <f t="shared" si="1"/>
        <v>46006</v>
      </c>
      <c r="B6389" s="37" t="str">
        <f t="array" ref="B6389">iferror(xlookup($I6389, 'IMPORT VHC Report'!$E:$E, 'IMPORT VHC Report'!$A:$C), )</f>
        <v/>
      </c>
      <c r="C6389" s="37"/>
      <c r="D6389" s="37"/>
      <c r="E6389" s="38" t="s">
        <v>7583</v>
      </c>
      <c r="F6389" s="38" t="s">
        <v>7574</v>
      </c>
      <c r="G6389" s="38">
        <v>3.61725260976E11</v>
      </c>
      <c r="H6389" s="38" t="s">
        <v>86</v>
      </c>
      <c r="I6389" s="38" t="s">
        <v>87</v>
      </c>
      <c r="J6389" s="38" t="s">
        <v>134</v>
      </c>
      <c r="K6389" s="38" t="s">
        <v>126</v>
      </c>
      <c r="L6389" s="41">
        <v>46010.229166666664</v>
      </c>
      <c r="M6389" s="38" t="s">
        <v>123</v>
      </c>
      <c r="N6389" s="41">
        <v>46010.25</v>
      </c>
      <c r="O6389" s="38" t="s">
        <v>123</v>
      </c>
      <c r="P6389" s="38">
        <v>1800.0</v>
      </c>
      <c r="Q6389" s="39"/>
      <c r="R6389" s="39"/>
      <c r="S6389" s="39"/>
      <c r="T6389" s="39"/>
      <c r="U6389" s="39"/>
    </row>
    <row r="6390">
      <c r="A6390" s="40">
        <f t="shared" si="1"/>
        <v>46006</v>
      </c>
      <c r="B6390" s="37" t="str">
        <f t="array" ref="B6390">iferror(xlookup($I6390, 'IMPORT VHC Report'!$E:$E, 'IMPORT VHC Report'!$A:$C), )</f>
        <v/>
      </c>
      <c r="C6390" s="37"/>
      <c r="D6390" s="37"/>
      <c r="E6390" s="38" t="s">
        <v>7584</v>
      </c>
      <c r="F6390" s="38" t="s">
        <v>7574</v>
      </c>
      <c r="G6390" s="38">
        <v>3.61725260976E11</v>
      </c>
      <c r="H6390" s="38" t="s">
        <v>86</v>
      </c>
      <c r="I6390" s="38" t="s">
        <v>87</v>
      </c>
      <c r="J6390" s="38" t="s">
        <v>132</v>
      </c>
      <c r="K6390" s="38" t="s">
        <v>126</v>
      </c>
      <c r="L6390" s="41">
        <v>46010.25</v>
      </c>
      <c r="M6390" s="38" t="s">
        <v>123</v>
      </c>
      <c r="N6390" s="41">
        <v>46010.291666666664</v>
      </c>
      <c r="O6390" s="38" t="s">
        <v>123</v>
      </c>
      <c r="P6390" s="38">
        <v>3600.0</v>
      </c>
      <c r="Q6390" s="39"/>
      <c r="R6390" s="39"/>
      <c r="S6390" s="39"/>
      <c r="T6390" s="39"/>
      <c r="U6390" s="39"/>
    </row>
    <row r="6391">
      <c r="A6391" s="40">
        <f t="shared" si="1"/>
        <v>46006</v>
      </c>
      <c r="B6391" s="37" t="str">
        <f t="array" ref="B6391">iferror(xlookup($I6391, 'IMPORT VHC Report'!$E:$E, 'IMPORT VHC Report'!$A:$C), )</f>
        <v/>
      </c>
      <c r="C6391" s="37"/>
      <c r="D6391" s="37"/>
      <c r="E6391" s="38" t="s">
        <v>7585</v>
      </c>
      <c r="F6391" s="38" t="s">
        <v>7574</v>
      </c>
      <c r="G6391" s="38">
        <v>3.61725260976E11</v>
      </c>
      <c r="H6391" s="38" t="s">
        <v>86</v>
      </c>
      <c r="I6391" s="38" t="s">
        <v>87</v>
      </c>
      <c r="J6391" s="38" t="s">
        <v>791</v>
      </c>
      <c r="K6391" s="38" t="s">
        <v>63</v>
      </c>
      <c r="L6391" s="41">
        <v>46010.916666666664</v>
      </c>
      <c r="M6391" s="38" t="s">
        <v>123</v>
      </c>
      <c r="N6391" s="41">
        <v>46011.291666666664</v>
      </c>
      <c r="O6391" s="38" t="s">
        <v>123</v>
      </c>
      <c r="P6391" s="38">
        <v>32400.0</v>
      </c>
      <c r="Q6391" s="39"/>
      <c r="R6391" s="39"/>
      <c r="S6391" s="39"/>
      <c r="T6391" s="39"/>
      <c r="U6391" s="39"/>
    </row>
    <row r="6392">
      <c r="A6392" s="40">
        <f t="shared" si="1"/>
        <v>46006</v>
      </c>
      <c r="B6392" s="37" t="str">
        <f t="array" ref="B6392">iferror(xlookup($I6392, 'IMPORT VHC Report'!$E:$E, 'IMPORT VHC Report'!$A:$C), )</f>
        <v/>
      </c>
      <c r="C6392" s="37"/>
      <c r="D6392" s="37"/>
      <c r="E6392" s="38" t="s">
        <v>7586</v>
      </c>
      <c r="F6392" s="38" t="s">
        <v>7574</v>
      </c>
      <c r="G6392" s="38">
        <v>3.61725260976E11</v>
      </c>
      <c r="H6392" s="38" t="s">
        <v>86</v>
      </c>
      <c r="I6392" s="38" t="s">
        <v>87</v>
      </c>
      <c r="J6392" s="38" t="s">
        <v>134</v>
      </c>
      <c r="K6392" s="38" t="s">
        <v>126</v>
      </c>
      <c r="L6392" s="41">
        <v>46011.166666666664</v>
      </c>
      <c r="M6392" s="38" t="s">
        <v>123</v>
      </c>
      <c r="N6392" s="41">
        <v>46011.1875</v>
      </c>
      <c r="O6392" s="38" t="s">
        <v>123</v>
      </c>
      <c r="P6392" s="38">
        <v>1800.0</v>
      </c>
      <c r="Q6392" s="39"/>
      <c r="R6392" s="39"/>
      <c r="S6392" s="39"/>
      <c r="T6392" s="39"/>
      <c r="U6392" s="39"/>
    </row>
    <row r="6393">
      <c r="A6393" s="40">
        <f t="shared" si="1"/>
        <v>46006</v>
      </c>
      <c r="B6393" s="37" t="str">
        <f t="array" ref="B6393">iferror(xlookup($I6393, 'IMPORT VHC Report'!$E:$E, 'IMPORT VHC Report'!$A:$C), )</f>
        <v/>
      </c>
      <c r="C6393" s="37"/>
      <c r="D6393" s="37"/>
      <c r="E6393" s="38" t="s">
        <v>7587</v>
      </c>
      <c r="F6393" s="38" t="s">
        <v>7574</v>
      </c>
      <c r="G6393" s="38">
        <v>3.61725260976E11</v>
      </c>
      <c r="H6393" s="38" t="s">
        <v>86</v>
      </c>
      <c r="I6393" s="38" t="s">
        <v>87</v>
      </c>
      <c r="J6393" s="38" t="s">
        <v>132</v>
      </c>
      <c r="K6393" s="38" t="s">
        <v>126</v>
      </c>
      <c r="L6393" s="41">
        <v>46011.1875</v>
      </c>
      <c r="M6393" s="38" t="s">
        <v>123</v>
      </c>
      <c r="N6393" s="41">
        <v>46011.229166666664</v>
      </c>
      <c r="O6393" s="38" t="s">
        <v>123</v>
      </c>
      <c r="P6393" s="38">
        <v>3600.0</v>
      </c>
      <c r="Q6393" s="39"/>
      <c r="R6393" s="39"/>
      <c r="S6393" s="39"/>
      <c r="T6393" s="39"/>
      <c r="U6393" s="39"/>
    </row>
    <row r="6394">
      <c r="A6394" s="40">
        <f t="shared" si="1"/>
        <v>46006</v>
      </c>
      <c r="B6394" s="37" t="str">
        <f t="array" ref="B6394">iferror(xlookup($I6394, 'IMPORT VHC Report'!$E:$E, 'IMPORT VHC Report'!$A:$C), )</f>
        <v/>
      </c>
      <c r="C6394" s="37"/>
      <c r="D6394" s="37"/>
      <c r="E6394" s="38" t="s">
        <v>7588</v>
      </c>
      <c r="F6394" s="38" t="s">
        <v>7574</v>
      </c>
      <c r="G6394" s="38">
        <v>3.61725260976E11</v>
      </c>
      <c r="H6394" s="38" t="s">
        <v>86</v>
      </c>
      <c r="I6394" s="38" t="s">
        <v>87</v>
      </c>
      <c r="J6394" s="38" t="s">
        <v>791</v>
      </c>
      <c r="K6394" s="38" t="s">
        <v>63</v>
      </c>
      <c r="L6394" s="41">
        <v>46011.916666666664</v>
      </c>
      <c r="M6394" s="38" t="s">
        <v>123</v>
      </c>
      <c r="N6394" s="41">
        <v>46012.291666666664</v>
      </c>
      <c r="O6394" s="38" t="s">
        <v>123</v>
      </c>
      <c r="P6394" s="38">
        <v>32400.0</v>
      </c>
      <c r="Q6394" s="39"/>
      <c r="R6394" s="39"/>
      <c r="S6394" s="39"/>
      <c r="T6394" s="39"/>
      <c r="U6394" s="39"/>
    </row>
    <row r="6395">
      <c r="A6395" s="40">
        <f t="shared" si="1"/>
        <v>46006</v>
      </c>
      <c r="B6395" s="37" t="str">
        <f t="array" ref="B6395">iferror(xlookup($I6395, 'IMPORT VHC Report'!$E:$E, 'IMPORT VHC Report'!$A:$C), )</f>
        <v/>
      </c>
      <c r="C6395" s="37"/>
      <c r="D6395" s="37"/>
      <c r="E6395" s="38" t="s">
        <v>7589</v>
      </c>
      <c r="F6395" s="38" t="s">
        <v>7574</v>
      </c>
      <c r="G6395" s="38">
        <v>3.61725260976E11</v>
      </c>
      <c r="H6395" s="38" t="s">
        <v>86</v>
      </c>
      <c r="I6395" s="38" t="s">
        <v>87</v>
      </c>
      <c r="J6395" s="38" t="s">
        <v>134</v>
      </c>
      <c r="K6395" s="38" t="s">
        <v>126</v>
      </c>
      <c r="L6395" s="41">
        <v>46012.229166666664</v>
      </c>
      <c r="M6395" s="38" t="s">
        <v>123</v>
      </c>
      <c r="N6395" s="41">
        <v>46012.25</v>
      </c>
      <c r="O6395" s="38" t="s">
        <v>123</v>
      </c>
      <c r="P6395" s="38">
        <v>1800.0</v>
      </c>
      <c r="Q6395" s="39"/>
      <c r="R6395" s="39"/>
      <c r="S6395" s="39"/>
      <c r="T6395" s="39"/>
      <c r="U6395" s="39"/>
    </row>
    <row r="6396">
      <c r="A6396" s="40">
        <f t="shared" si="1"/>
        <v>46006</v>
      </c>
      <c r="B6396" s="37" t="str">
        <f t="array" ref="B6396">iferror(xlookup($I6396, 'IMPORT VHC Report'!$E:$E, 'IMPORT VHC Report'!$A:$C), )</f>
        <v/>
      </c>
      <c r="C6396" s="37"/>
      <c r="D6396" s="37"/>
      <c r="E6396" s="38" t="s">
        <v>7590</v>
      </c>
      <c r="F6396" s="38" t="s">
        <v>7574</v>
      </c>
      <c r="G6396" s="38">
        <v>3.61725260976E11</v>
      </c>
      <c r="H6396" s="38" t="s">
        <v>86</v>
      </c>
      <c r="I6396" s="38" t="s">
        <v>87</v>
      </c>
      <c r="J6396" s="38" t="s">
        <v>132</v>
      </c>
      <c r="K6396" s="38" t="s">
        <v>126</v>
      </c>
      <c r="L6396" s="41">
        <v>46012.25</v>
      </c>
      <c r="M6396" s="38" t="s">
        <v>123</v>
      </c>
      <c r="N6396" s="41">
        <v>46012.291666666664</v>
      </c>
      <c r="O6396" s="38" t="s">
        <v>123</v>
      </c>
      <c r="P6396" s="38">
        <v>3600.0</v>
      </c>
      <c r="Q6396" s="39"/>
      <c r="R6396" s="39"/>
      <c r="S6396" s="39"/>
      <c r="T6396" s="39"/>
      <c r="U6396" s="39"/>
    </row>
    <row r="6397">
      <c r="A6397" s="40">
        <f t="shared" si="1"/>
        <v>46006</v>
      </c>
      <c r="B6397" s="37" t="str">
        <f t="array" ref="B6397">iferror(xlookup($I6397, 'IMPORT VHC Report'!$E:$E, 'IMPORT VHC Report'!$A:$C), )</f>
        <v/>
      </c>
      <c r="C6397" s="37"/>
      <c r="D6397" s="37"/>
      <c r="E6397" s="38" t="s">
        <v>7591</v>
      </c>
      <c r="F6397" s="38" t="s">
        <v>7592</v>
      </c>
      <c r="G6397" s="39"/>
      <c r="H6397" s="38" t="s">
        <v>7593</v>
      </c>
      <c r="I6397" s="38" t="s">
        <v>7594</v>
      </c>
      <c r="J6397" s="38" t="s">
        <v>125</v>
      </c>
      <c r="K6397" s="38" t="s">
        <v>126</v>
      </c>
      <c r="L6397" s="41">
        <v>46007.916666666664</v>
      </c>
      <c r="M6397" s="38" t="s">
        <v>123</v>
      </c>
      <c r="N6397" s="41">
        <v>46007.92361111111</v>
      </c>
      <c r="O6397" s="38" t="s">
        <v>123</v>
      </c>
      <c r="P6397" s="38">
        <v>600.0</v>
      </c>
      <c r="Q6397" s="39"/>
      <c r="R6397" s="39"/>
      <c r="S6397" s="38" t="s">
        <v>127</v>
      </c>
      <c r="T6397" s="39"/>
      <c r="U6397" s="39"/>
    </row>
    <row r="6398">
      <c r="A6398" s="40">
        <f t="shared" si="1"/>
        <v>46006</v>
      </c>
      <c r="B6398" s="37" t="str">
        <f t="array" ref="B6398">iferror(xlookup($I6398, 'IMPORT VHC Report'!$E:$E, 'IMPORT VHC Report'!$A:$C), )</f>
        <v/>
      </c>
      <c r="C6398" s="37"/>
      <c r="D6398" s="37"/>
      <c r="E6398" s="38" t="s">
        <v>7595</v>
      </c>
      <c r="F6398" s="38" t="s">
        <v>7592</v>
      </c>
      <c r="G6398" s="39"/>
      <c r="H6398" s="38" t="s">
        <v>7593</v>
      </c>
      <c r="I6398" s="38" t="s">
        <v>7594</v>
      </c>
      <c r="J6398" s="38" t="s">
        <v>122</v>
      </c>
      <c r="K6398" s="38" t="s">
        <v>63</v>
      </c>
      <c r="L6398" s="41">
        <v>46007.916666666664</v>
      </c>
      <c r="M6398" s="38" t="s">
        <v>123</v>
      </c>
      <c r="N6398" s="41">
        <v>46008.291666666664</v>
      </c>
      <c r="O6398" s="38" t="s">
        <v>123</v>
      </c>
      <c r="P6398" s="38">
        <v>32400.0</v>
      </c>
      <c r="Q6398" s="39"/>
      <c r="R6398" s="39"/>
      <c r="S6398" s="39"/>
      <c r="T6398" s="39"/>
      <c r="U6398" s="39"/>
    </row>
    <row r="6399">
      <c r="A6399" s="40">
        <f t="shared" si="1"/>
        <v>46006</v>
      </c>
      <c r="B6399" s="37" t="str">
        <f t="array" ref="B6399">iferror(xlookup($I6399, 'IMPORT VHC Report'!$E:$E, 'IMPORT VHC Report'!$A:$C), )</f>
        <v/>
      </c>
      <c r="C6399" s="37"/>
      <c r="D6399" s="37"/>
      <c r="E6399" s="38" t="s">
        <v>7596</v>
      </c>
      <c r="F6399" s="38" t="s">
        <v>7592</v>
      </c>
      <c r="G6399" s="39"/>
      <c r="H6399" s="38" t="s">
        <v>7593</v>
      </c>
      <c r="I6399" s="38" t="s">
        <v>7594</v>
      </c>
      <c r="J6399" s="38" t="s">
        <v>134</v>
      </c>
      <c r="K6399" s="38" t="s">
        <v>126</v>
      </c>
      <c r="L6399" s="41">
        <v>46008.052083333336</v>
      </c>
      <c r="M6399" s="38" t="s">
        <v>123</v>
      </c>
      <c r="N6399" s="41">
        <v>46008.072916666664</v>
      </c>
      <c r="O6399" s="38" t="s">
        <v>123</v>
      </c>
      <c r="P6399" s="38">
        <v>1800.0</v>
      </c>
      <c r="Q6399" s="39"/>
      <c r="R6399" s="39"/>
      <c r="S6399" s="39"/>
      <c r="T6399" s="39"/>
      <c r="U6399" s="39"/>
    </row>
    <row r="6400">
      <c r="A6400" s="40">
        <f t="shared" si="1"/>
        <v>46006</v>
      </c>
      <c r="B6400" s="37" t="str">
        <f t="array" ref="B6400">iferror(xlookup($I6400, 'IMPORT VHC Report'!$E:$E, 'IMPORT VHC Report'!$A:$C), )</f>
        <v/>
      </c>
      <c r="C6400" s="37"/>
      <c r="D6400" s="37"/>
      <c r="E6400" s="38" t="s">
        <v>7597</v>
      </c>
      <c r="F6400" s="38" t="s">
        <v>7592</v>
      </c>
      <c r="G6400" s="39"/>
      <c r="H6400" s="38" t="s">
        <v>7593</v>
      </c>
      <c r="I6400" s="38" t="s">
        <v>7594</v>
      </c>
      <c r="J6400" s="38" t="s">
        <v>4</v>
      </c>
      <c r="K6400" s="38" t="s">
        <v>126</v>
      </c>
      <c r="L6400" s="41">
        <v>46008.072916666664</v>
      </c>
      <c r="M6400" s="38" t="s">
        <v>123</v>
      </c>
      <c r="N6400" s="41">
        <v>46008.114583333336</v>
      </c>
      <c r="O6400" s="38" t="s">
        <v>123</v>
      </c>
      <c r="P6400" s="38">
        <v>3600.0</v>
      </c>
      <c r="Q6400" s="39"/>
      <c r="R6400" s="39"/>
      <c r="S6400" s="38" t="s">
        <v>130</v>
      </c>
      <c r="T6400" s="39"/>
      <c r="U6400" s="39"/>
    </row>
    <row r="6401">
      <c r="A6401" s="40">
        <f t="shared" si="1"/>
        <v>46006</v>
      </c>
      <c r="B6401" s="37" t="str">
        <f t="array" ref="B6401">iferror(xlookup($I6401, 'IMPORT VHC Report'!$E:$E, 'IMPORT VHC Report'!$A:$C), )</f>
        <v/>
      </c>
      <c r="C6401" s="37"/>
      <c r="D6401" s="37"/>
      <c r="E6401" s="38" t="s">
        <v>7598</v>
      </c>
      <c r="F6401" s="38" t="s">
        <v>7592</v>
      </c>
      <c r="G6401" s="39"/>
      <c r="H6401" s="38" t="s">
        <v>7593</v>
      </c>
      <c r="I6401" s="38" t="s">
        <v>7594</v>
      </c>
      <c r="J6401" s="38" t="s">
        <v>132</v>
      </c>
      <c r="K6401" s="38" t="s">
        <v>126</v>
      </c>
      <c r="L6401" s="41">
        <v>46008.25</v>
      </c>
      <c r="M6401" s="38" t="s">
        <v>123</v>
      </c>
      <c r="N6401" s="41">
        <v>46008.291666666664</v>
      </c>
      <c r="O6401" s="38" t="s">
        <v>123</v>
      </c>
      <c r="P6401" s="38">
        <v>3600.0</v>
      </c>
      <c r="Q6401" s="39"/>
      <c r="R6401" s="39"/>
      <c r="S6401" s="39"/>
      <c r="T6401" s="39"/>
      <c r="U6401" s="39"/>
    </row>
    <row r="6402">
      <c r="A6402" s="40">
        <f t="shared" si="1"/>
        <v>46006</v>
      </c>
      <c r="B6402" s="37" t="str">
        <f t="array" ref="B6402">iferror(xlookup($I6402, 'IMPORT VHC Report'!$E:$E, 'IMPORT VHC Report'!$A:$C), )</f>
        <v/>
      </c>
      <c r="C6402" s="37"/>
      <c r="D6402" s="37"/>
      <c r="E6402" s="38" t="s">
        <v>7599</v>
      </c>
      <c r="F6402" s="38" t="s">
        <v>7592</v>
      </c>
      <c r="G6402" s="39"/>
      <c r="H6402" s="38" t="s">
        <v>7593</v>
      </c>
      <c r="I6402" s="38" t="s">
        <v>7594</v>
      </c>
      <c r="J6402" s="38" t="s">
        <v>136</v>
      </c>
      <c r="K6402" s="38" t="s">
        <v>126</v>
      </c>
      <c r="L6402" s="41">
        <v>46008.916666666664</v>
      </c>
      <c r="M6402" s="38" t="s">
        <v>123</v>
      </c>
      <c r="N6402" s="41">
        <v>46008.947916666664</v>
      </c>
      <c r="O6402" s="38" t="s">
        <v>123</v>
      </c>
      <c r="P6402" s="38">
        <v>2700.0</v>
      </c>
      <c r="Q6402" s="39"/>
      <c r="R6402" s="39"/>
      <c r="S6402" s="38" t="s">
        <v>137</v>
      </c>
      <c r="T6402" s="39"/>
      <c r="U6402" s="39"/>
    </row>
    <row r="6403">
      <c r="A6403" s="40">
        <f t="shared" si="1"/>
        <v>46006</v>
      </c>
      <c r="B6403" s="37" t="str">
        <f t="array" ref="B6403">iferror(xlookup($I6403, 'IMPORT VHC Report'!$E:$E, 'IMPORT VHC Report'!$A:$C), )</f>
        <v/>
      </c>
      <c r="C6403" s="37"/>
      <c r="D6403" s="37"/>
      <c r="E6403" s="38" t="s">
        <v>7600</v>
      </c>
      <c r="F6403" s="38" t="s">
        <v>7592</v>
      </c>
      <c r="G6403" s="39"/>
      <c r="H6403" s="38" t="s">
        <v>7593</v>
      </c>
      <c r="I6403" s="38" t="s">
        <v>7594</v>
      </c>
      <c r="J6403" s="38" t="s">
        <v>122</v>
      </c>
      <c r="K6403" s="38" t="s">
        <v>63</v>
      </c>
      <c r="L6403" s="41">
        <v>46008.916666666664</v>
      </c>
      <c r="M6403" s="38" t="s">
        <v>123</v>
      </c>
      <c r="N6403" s="41">
        <v>46009.291666666664</v>
      </c>
      <c r="O6403" s="38" t="s">
        <v>123</v>
      </c>
      <c r="P6403" s="38">
        <v>32400.0</v>
      </c>
      <c r="Q6403" s="39"/>
      <c r="R6403" s="39"/>
      <c r="S6403" s="39"/>
      <c r="T6403" s="39"/>
      <c r="U6403" s="39"/>
    </row>
    <row r="6404">
      <c r="A6404" s="40">
        <f t="shared" si="1"/>
        <v>46006</v>
      </c>
      <c r="B6404" s="37" t="str">
        <f t="array" ref="B6404">iferror(xlookup($I6404, 'IMPORT VHC Report'!$E:$E, 'IMPORT VHC Report'!$A:$C), )</f>
        <v/>
      </c>
      <c r="C6404" s="37"/>
      <c r="D6404" s="37"/>
      <c r="E6404" s="38" t="s">
        <v>7601</v>
      </c>
      <c r="F6404" s="38" t="s">
        <v>7592</v>
      </c>
      <c r="G6404" s="39"/>
      <c r="H6404" s="38" t="s">
        <v>7593</v>
      </c>
      <c r="I6404" s="38" t="s">
        <v>7594</v>
      </c>
      <c r="J6404" s="38" t="s">
        <v>125</v>
      </c>
      <c r="K6404" s="38" t="s">
        <v>126</v>
      </c>
      <c r="L6404" s="41">
        <v>46008.947916666664</v>
      </c>
      <c r="M6404" s="38" t="s">
        <v>123</v>
      </c>
      <c r="N6404" s="41">
        <v>46008.95486111111</v>
      </c>
      <c r="O6404" s="38" t="s">
        <v>123</v>
      </c>
      <c r="P6404" s="38">
        <v>600.0</v>
      </c>
      <c r="Q6404" s="39"/>
      <c r="R6404" s="39"/>
      <c r="S6404" s="38" t="s">
        <v>127</v>
      </c>
      <c r="T6404" s="39"/>
      <c r="U6404" s="39"/>
    </row>
    <row r="6405">
      <c r="A6405" s="40">
        <f t="shared" si="1"/>
        <v>46006</v>
      </c>
      <c r="B6405" s="37" t="str">
        <f t="array" ref="B6405">iferror(xlookup($I6405, 'IMPORT VHC Report'!$E:$E, 'IMPORT VHC Report'!$A:$C), )</f>
        <v/>
      </c>
      <c r="C6405" s="37"/>
      <c r="D6405" s="37"/>
      <c r="E6405" s="38" t="s">
        <v>7602</v>
      </c>
      <c r="F6405" s="38" t="s">
        <v>7592</v>
      </c>
      <c r="G6405" s="39"/>
      <c r="H6405" s="38" t="s">
        <v>7593</v>
      </c>
      <c r="I6405" s="38" t="s">
        <v>7594</v>
      </c>
      <c r="J6405" s="38" t="s">
        <v>134</v>
      </c>
      <c r="K6405" s="38" t="s">
        <v>126</v>
      </c>
      <c r="L6405" s="41">
        <v>46009.083333333336</v>
      </c>
      <c r="M6405" s="38" t="s">
        <v>123</v>
      </c>
      <c r="N6405" s="41">
        <v>46009.104166666664</v>
      </c>
      <c r="O6405" s="38" t="s">
        <v>123</v>
      </c>
      <c r="P6405" s="38">
        <v>1800.0</v>
      </c>
      <c r="Q6405" s="39"/>
      <c r="R6405" s="39"/>
      <c r="S6405" s="39"/>
      <c r="T6405" s="39"/>
      <c r="U6405" s="39"/>
    </row>
    <row r="6406">
      <c r="A6406" s="40">
        <f t="shared" si="1"/>
        <v>46006</v>
      </c>
      <c r="B6406" s="37" t="str">
        <f t="array" ref="B6406">iferror(xlookup($I6406, 'IMPORT VHC Report'!$E:$E, 'IMPORT VHC Report'!$A:$C), )</f>
        <v/>
      </c>
      <c r="C6406" s="37"/>
      <c r="D6406" s="37"/>
      <c r="E6406" s="38" t="s">
        <v>7603</v>
      </c>
      <c r="F6406" s="38" t="s">
        <v>7592</v>
      </c>
      <c r="G6406" s="39"/>
      <c r="H6406" s="38" t="s">
        <v>7593</v>
      </c>
      <c r="I6406" s="38" t="s">
        <v>7594</v>
      </c>
      <c r="J6406" s="38" t="s">
        <v>132</v>
      </c>
      <c r="K6406" s="38" t="s">
        <v>126</v>
      </c>
      <c r="L6406" s="41">
        <v>46009.25</v>
      </c>
      <c r="M6406" s="38" t="s">
        <v>123</v>
      </c>
      <c r="N6406" s="41">
        <v>46009.291666666664</v>
      </c>
      <c r="O6406" s="38" t="s">
        <v>123</v>
      </c>
      <c r="P6406" s="38">
        <v>3600.0</v>
      </c>
      <c r="Q6406" s="39"/>
      <c r="R6406" s="39"/>
      <c r="S6406" s="39"/>
      <c r="T6406" s="39"/>
      <c r="U6406" s="39"/>
    </row>
    <row r="6407">
      <c r="A6407" s="40">
        <f t="shared" si="1"/>
        <v>46006</v>
      </c>
      <c r="B6407" s="37" t="str">
        <f t="array" ref="B6407">iferror(xlookup($I6407, 'IMPORT VHC Report'!$E:$E, 'IMPORT VHC Report'!$A:$C), )</f>
        <v/>
      </c>
      <c r="C6407" s="37"/>
      <c r="D6407" s="37"/>
      <c r="E6407" s="38" t="s">
        <v>7604</v>
      </c>
      <c r="F6407" s="38" t="s">
        <v>7592</v>
      </c>
      <c r="G6407" s="39"/>
      <c r="H6407" s="38" t="s">
        <v>7593</v>
      </c>
      <c r="I6407" s="38" t="s">
        <v>7594</v>
      </c>
      <c r="J6407" s="38" t="s">
        <v>125</v>
      </c>
      <c r="K6407" s="38" t="s">
        <v>126</v>
      </c>
      <c r="L6407" s="41">
        <v>46009.916666666664</v>
      </c>
      <c r="M6407" s="38" t="s">
        <v>123</v>
      </c>
      <c r="N6407" s="41">
        <v>46009.92361111111</v>
      </c>
      <c r="O6407" s="38" t="s">
        <v>123</v>
      </c>
      <c r="P6407" s="38">
        <v>600.0</v>
      </c>
      <c r="Q6407" s="39"/>
      <c r="R6407" s="39"/>
      <c r="S6407" s="38" t="s">
        <v>127</v>
      </c>
      <c r="T6407" s="39"/>
      <c r="U6407" s="39"/>
    </row>
    <row r="6408">
      <c r="A6408" s="40">
        <f t="shared" si="1"/>
        <v>46006</v>
      </c>
      <c r="B6408" s="37" t="str">
        <f t="array" ref="B6408">iferror(xlookup($I6408, 'IMPORT VHC Report'!$E:$E, 'IMPORT VHC Report'!$A:$C), )</f>
        <v/>
      </c>
      <c r="C6408" s="37"/>
      <c r="D6408" s="37"/>
      <c r="E6408" s="38" t="s">
        <v>7605</v>
      </c>
      <c r="F6408" s="38" t="s">
        <v>7592</v>
      </c>
      <c r="G6408" s="39"/>
      <c r="H6408" s="38" t="s">
        <v>7593</v>
      </c>
      <c r="I6408" s="38" t="s">
        <v>7594</v>
      </c>
      <c r="J6408" s="38" t="s">
        <v>122</v>
      </c>
      <c r="K6408" s="38" t="s">
        <v>63</v>
      </c>
      <c r="L6408" s="41">
        <v>46009.916666666664</v>
      </c>
      <c r="M6408" s="38" t="s">
        <v>123</v>
      </c>
      <c r="N6408" s="41">
        <v>46010.291666666664</v>
      </c>
      <c r="O6408" s="38" t="s">
        <v>123</v>
      </c>
      <c r="P6408" s="38">
        <v>32400.0</v>
      </c>
      <c r="Q6408" s="39"/>
      <c r="R6408" s="39"/>
      <c r="S6408" s="39"/>
      <c r="T6408" s="39"/>
      <c r="U6408" s="39"/>
    </row>
    <row r="6409">
      <c r="A6409" s="40">
        <f t="shared" si="1"/>
        <v>46006</v>
      </c>
      <c r="B6409" s="37" t="str">
        <f t="array" ref="B6409">iferror(xlookup($I6409, 'IMPORT VHC Report'!$E:$E, 'IMPORT VHC Report'!$A:$C), )</f>
        <v/>
      </c>
      <c r="C6409" s="37"/>
      <c r="D6409" s="37"/>
      <c r="E6409" s="38" t="s">
        <v>7606</v>
      </c>
      <c r="F6409" s="38" t="s">
        <v>7592</v>
      </c>
      <c r="G6409" s="39"/>
      <c r="H6409" s="38" t="s">
        <v>7593</v>
      </c>
      <c r="I6409" s="38" t="s">
        <v>7594</v>
      </c>
      <c r="J6409" s="38" t="s">
        <v>134</v>
      </c>
      <c r="K6409" s="38" t="s">
        <v>126</v>
      </c>
      <c r="L6409" s="41">
        <v>46010.083333333336</v>
      </c>
      <c r="M6409" s="38" t="s">
        <v>123</v>
      </c>
      <c r="N6409" s="41">
        <v>46010.104166666664</v>
      </c>
      <c r="O6409" s="38" t="s">
        <v>123</v>
      </c>
      <c r="P6409" s="38">
        <v>1800.0</v>
      </c>
      <c r="Q6409" s="39"/>
      <c r="R6409" s="39"/>
      <c r="S6409" s="39"/>
      <c r="T6409" s="39"/>
      <c r="U6409" s="39"/>
    </row>
    <row r="6410">
      <c r="A6410" s="40">
        <f t="shared" si="1"/>
        <v>46006</v>
      </c>
      <c r="B6410" s="37" t="str">
        <f t="array" ref="B6410">iferror(xlookup($I6410, 'IMPORT VHC Report'!$E:$E, 'IMPORT VHC Report'!$A:$C), )</f>
        <v/>
      </c>
      <c r="C6410" s="37"/>
      <c r="D6410" s="37"/>
      <c r="E6410" s="38" t="s">
        <v>7607</v>
      </c>
      <c r="F6410" s="38" t="s">
        <v>7592</v>
      </c>
      <c r="G6410" s="39"/>
      <c r="H6410" s="38" t="s">
        <v>7593</v>
      </c>
      <c r="I6410" s="38" t="s">
        <v>7594</v>
      </c>
      <c r="J6410" s="38" t="s">
        <v>132</v>
      </c>
      <c r="K6410" s="38" t="s">
        <v>126</v>
      </c>
      <c r="L6410" s="41">
        <v>46010.25</v>
      </c>
      <c r="M6410" s="38" t="s">
        <v>123</v>
      </c>
      <c r="N6410" s="41">
        <v>46010.291666666664</v>
      </c>
      <c r="O6410" s="38" t="s">
        <v>123</v>
      </c>
      <c r="P6410" s="38">
        <v>3600.0</v>
      </c>
      <c r="Q6410" s="39"/>
      <c r="R6410" s="39"/>
      <c r="S6410" s="39"/>
      <c r="T6410" s="39"/>
      <c r="U6410" s="39"/>
    </row>
    <row r="6411">
      <c r="A6411" s="40">
        <f t="shared" si="1"/>
        <v>46006</v>
      </c>
      <c r="B6411" s="37" t="str">
        <f t="array" ref="B6411">iferror(xlookup($I6411, 'IMPORT VHC Report'!$E:$E, 'IMPORT VHC Report'!$A:$C), )</f>
        <v/>
      </c>
      <c r="C6411" s="37"/>
      <c r="D6411" s="37"/>
      <c r="E6411" s="38" t="s">
        <v>7608</v>
      </c>
      <c r="F6411" s="38" t="s">
        <v>7592</v>
      </c>
      <c r="G6411" s="39"/>
      <c r="H6411" s="38" t="s">
        <v>7593</v>
      </c>
      <c r="I6411" s="38" t="s">
        <v>7594</v>
      </c>
      <c r="J6411" s="38" t="s">
        <v>125</v>
      </c>
      <c r="K6411" s="38" t="s">
        <v>126</v>
      </c>
      <c r="L6411" s="41">
        <v>46010.916666666664</v>
      </c>
      <c r="M6411" s="38" t="s">
        <v>123</v>
      </c>
      <c r="N6411" s="41">
        <v>46010.92361111111</v>
      </c>
      <c r="O6411" s="38" t="s">
        <v>123</v>
      </c>
      <c r="P6411" s="38">
        <v>600.0</v>
      </c>
      <c r="Q6411" s="39"/>
      <c r="R6411" s="39"/>
      <c r="S6411" s="38" t="s">
        <v>127</v>
      </c>
      <c r="T6411" s="39"/>
      <c r="U6411" s="39"/>
    </row>
    <row r="6412">
      <c r="A6412" s="40">
        <f t="shared" si="1"/>
        <v>46006</v>
      </c>
      <c r="B6412" s="37" t="str">
        <f t="array" ref="B6412">iferror(xlookup($I6412, 'IMPORT VHC Report'!$E:$E, 'IMPORT VHC Report'!$A:$C), )</f>
        <v/>
      </c>
      <c r="C6412" s="37"/>
      <c r="D6412" s="37"/>
      <c r="E6412" s="38" t="s">
        <v>7609</v>
      </c>
      <c r="F6412" s="38" t="s">
        <v>7592</v>
      </c>
      <c r="G6412" s="39"/>
      <c r="H6412" s="38" t="s">
        <v>7593</v>
      </c>
      <c r="I6412" s="38" t="s">
        <v>7594</v>
      </c>
      <c r="J6412" s="38" t="s">
        <v>122</v>
      </c>
      <c r="K6412" s="38" t="s">
        <v>63</v>
      </c>
      <c r="L6412" s="41">
        <v>46010.916666666664</v>
      </c>
      <c r="M6412" s="38" t="s">
        <v>123</v>
      </c>
      <c r="N6412" s="41">
        <v>46011.291666666664</v>
      </c>
      <c r="O6412" s="38" t="s">
        <v>123</v>
      </c>
      <c r="P6412" s="38">
        <v>32400.0</v>
      </c>
      <c r="Q6412" s="39"/>
      <c r="R6412" s="39"/>
      <c r="S6412" s="39"/>
      <c r="T6412" s="39"/>
      <c r="U6412" s="39"/>
    </row>
    <row r="6413">
      <c r="A6413" s="40">
        <f t="shared" si="1"/>
        <v>46006</v>
      </c>
      <c r="B6413" s="37" t="str">
        <f t="array" ref="B6413">iferror(xlookup($I6413, 'IMPORT VHC Report'!$E:$E, 'IMPORT VHC Report'!$A:$C), )</f>
        <v/>
      </c>
      <c r="C6413" s="37"/>
      <c r="D6413" s="37"/>
      <c r="E6413" s="38" t="s">
        <v>7610</v>
      </c>
      <c r="F6413" s="38" t="s">
        <v>7592</v>
      </c>
      <c r="G6413" s="39"/>
      <c r="H6413" s="38" t="s">
        <v>7593</v>
      </c>
      <c r="I6413" s="38" t="s">
        <v>7594</v>
      </c>
      <c r="J6413" s="38" t="s">
        <v>134</v>
      </c>
      <c r="K6413" s="38" t="s">
        <v>126</v>
      </c>
      <c r="L6413" s="41">
        <v>46011.083333333336</v>
      </c>
      <c r="M6413" s="38" t="s">
        <v>123</v>
      </c>
      <c r="N6413" s="41">
        <v>46011.104166666664</v>
      </c>
      <c r="O6413" s="38" t="s">
        <v>123</v>
      </c>
      <c r="P6413" s="38">
        <v>1800.0</v>
      </c>
      <c r="Q6413" s="39"/>
      <c r="R6413" s="39"/>
      <c r="S6413" s="39"/>
      <c r="T6413" s="39"/>
      <c r="U6413" s="39"/>
    </row>
    <row r="6414">
      <c r="A6414" s="40">
        <f t="shared" si="1"/>
        <v>46006</v>
      </c>
      <c r="B6414" s="37" t="str">
        <f t="array" ref="B6414">iferror(xlookup($I6414, 'IMPORT VHC Report'!$E:$E, 'IMPORT VHC Report'!$A:$C), )</f>
        <v/>
      </c>
      <c r="C6414" s="37"/>
      <c r="D6414" s="37"/>
      <c r="E6414" s="38" t="s">
        <v>7611</v>
      </c>
      <c r="F6414" s="38" t="s">
        <v>7592</v>
      </c>
      <c r="G6414" s="39"/>
      <c r="H6414" s="38" t="s">
        <v>7593</v>
      </c>
      <c r="I6414" s="38" t="s">
        <v>7594</v>
      </c>
      <c r="J6414" s="38" t="s">
        <v>132</v>
      </c>
      <c r="K6414" s="38" t="s">
        <v>126</v>
      </c>
      <c r="L6414" s="41">
        <v>46011.25</v>
      </c>
      <c r="M6414" s="38" t="s">
        <v>123</v>
      </c>
      <c r="N6414" s="41">
        <v>46011.291666666664</v>
      </c>
      <c r="O6414" s="38" t="s">
        <v>123</v>
      </c>
      <c r="P6414" s="38">
        <v>3600.0</v>
      </c>
      <c r="Q6414" s="39"/>
      <c r="R6414" s="39"/>
      <c r="S6414" s="39"/>
      <c r="T6414" s="39"/>
      <c r="U6414" s="39"/>
    </row>
    <row r="6415">
      <c r="A6415" s="40">
        <f t="shared" si="1"/>
        <v>46006</v>
      </c>
      <c r="B6415" s="37" t="str">
        <f t="array" ref="B6415">iferror(xlookup($I6415, 'IMPORT VHC Report'!$E:$E, 'IMPORT VHC Report'!$A:$C), )</f>
        <v/>
      </c>
      <c r="C6415" s="37"/>
      <c r="D6415" s="37"/>
      <c r="E6415" s="38" t="s">
        <v>7612</v>
      </c>
      <c r="F6415" s="38" t="s">
        <v>7592</v>
      </c>
      <c r="G6415" s="39"/>
      <c r="H6415" s="38" t="s">
        <v>7593</v>
      </c>
      <c r="I6415" s="38" t="s">
        <v>7594</v>
      </c>
      <c r="J6415" s="38" t="s">
        <v>125</v>
      </c>
      <c r="K6415" s="38" t="s">
        <v>126</v>
      </c>
      <c r="L6415" s="41">
        <v>46011.916666666664</v>
      </c>
      <c r="M6415" s="38" t="s">
        <v>123</v>
      </c>
      <c r="N6415" s="41">
        <v>46011.92361111111</v>
      </c>
      <c r="O6415" s="38" t="s">
        <v>123</v>
      </c>
      <c r="P6415" s="38">
        <v>600.0</v>
      </c>
      <c r="Q6415" s="39"/>
      <c r="R6415" s="39"/>
      <c r="S6415" s="38" t="s">
        <v>127</v>
      </c>
      <c r="T6415" s="39"/>
      <c r="U6415" s="39"/>
    </row>
    <row r="6416">
      <c r="A6416" s="40">
        <f t="shared" si="1"/>
        <v>46006</v>
      </c>
      <c r="B6416" s="37" t="str">
        <f t="array" ref="B6416">iferror(xlookup($I6416, 'IMPORT VHC Report'!$E:$E, 'IMPORT VHC Report'!$A:$C), )</f>
        <v/>
      </c>
      <c r="C6416" s="37"/>
      <c r="D6416" s="37"/>
      <c r="E6416" s="38" t="s">
        <v>7613</v>
      </c>
      <c r="F6416" s="38" t="s">
        <v>7592</v>
      </c>
      <c r="G6416" s="39"/>
      <c r="H6416" s="38" t="s">
        <v>7593</v>
      </c>
      <c r="I6416" s="38" t="s">
        <v>7594</v>
      </c>
      <c r="J6416" s="38" t="s">
        <v>122</v>
      </c>
      <c r="K6416" s="38" t="s">
        <v>63</v>
      </c>
      <c r="L6416" s="41">
        <v>46011.916666666664</v>
      </c>
      <c r="M6416" s="38" t="s">
        <v>123</v>
      </c>
      <c r="N6416" s="41">
        <v>46012.291666666664</v>
      </c>
      <c r="O6416" s="38" t="s">
        <v>123</v>
      </c>
      <c r="P6416" s="38">
        <v>32400.0</v>
      </c>
      <c r="Q6416" s="39"/>
      <c r="R6416" s="39"/>
      <c r="S6416" s="39"/>
      <c r="T6416" s="39"/>
      <c r="U6416" s="39"/>
    </row>
    <row r="6417">
      <c r="A6417" s="40">
        <f t="shared" si="1"/>
        <v>46006</v>
      </c>
      <c r="B6417" s="37" t="str">
        <f t="array" ref="B6417">iferror(xlookup($I6417, 'IMPORT VHC Report'!$E:$E, 'IMPORT VHC Report'!$A:$C), )</f>
        <v/>
      </c>
      <c r="C6417" s="37"/>
      <c r="D6417" s="37"/>
      <c r="E6417" s="38" t="s">
        <v>7614</v>
      </c>
      <c r="F6417" s="38" t="s">
        <v>7592</v>
      </c>
      <c r="G6417" s="39"/>
      <c r="H6417" s="38" t="s">
        <v>7593</v>
      </c>
      <c r="I6417" s="38" t="s">
        <v>7594</v>
      </c>
      <c r="J6417" s="38" t="s">
        <v>134</v>
      </c>
      <c r="K6417" s="38" t="s">
        <v>126</v>
      </c>
      <c r="L6417" s="41">
        <v>46012.083333333336</v>
      </c>
      <c r="M6417" s="38" t="s">
        <v>123</v>
      </c>
      <c r="N6417" s="41">
        <v>46012.104166666664</v>
      </c>
      <c r="O6417" s="38" t="s">
        <v>123</v>
      </c>
      <c r="P6417" s="38">
        <v>1800.0</v>
      </c>
      <c r="Q6417" s="39"/>
      <c r="R6417" s="39"/>
      <c r="S6417" s="39"/>
      <c r="T6417" s="39"/>
      <c r="U6417" s="39"/>
    </row>
    <row r="6418">
      <c r="A6418" s="40">
        <f t="shared" si="1"/>
        <v>46006</v>
      </c>
      <c r="B6418" s="37" t="str">
        <f t="array" ref="B6418">iferror(xlookup($I6418, 'IMPORT VHC Report'!$E:$E, 'IMPORT VHC Report'!$A:$C), )</f>
        <v/>
      </c>
      <c r="C6418" s="37"/>
      <c r="D6418" s="37"/>
      <c r="E6418" s="38" t="s">
        <v>7615</v>
      </c>
      <c r="F6418" s="38" t="s">
        <v>7592</v>
      </c>
      <c r="G6418" s="39"/>
      <c r="H6418" s="38" t="s">
        <v>7593</v>
      </c>
      <c r="I6418" s="38" t="s">
        <v>7594</v>
      </c>
      <c r="J6418" s="38" t="s">
        <v>132</v>
      </c>
      <c r="K6418" s="38" t="s">
        <v>126</v>
      </c>
      <c r="L6418" s="41">
        <v>46012.25</v>
      </c>
      <c r="M6418" s="38" t="s">
        <v>123</v>
      </c>
      <c r="N6418" s="41">
        <v>46012.291666666664</v>
      </c>
      <c r="O6418" s="38" t="s">
        <v>123</v>
      </c>
      <c r="P6418" s="38">
        <v>3600.0</v>
      </c>
      <c r="Q6418" s="39"/>
      <c r="R6418" s="39"/>
      <c r="S6418" s="39"/>
      <c r="T6418" s="39"/>
      <c r="U6418" s="39"/>
    </row>
    <row r="6419">
      <c r="A6419" s="40">
        <f t="shared" si="1"/>
        <v>46006</v>
      </c>
      <c r="B6419" s="37" t="str">
        <f t="array" ref="B6419">iferror(xlookup($I6419, 'IMPORT VHC Report'!$E:$E, 'IMPORT VHC Report'!$A:$C), )</f>
        <v/>
      </c>
      <c r="C6419" s="37"/>
      <c r="D6419" s="37"/>
      <c r="E6419" s="38" t="s">
        <v>7616</v>
      </c>
      <c r="F6419" s="38" t="s">
        <v>7617</v>
      </c>
      <c r="G6419" s="38">
        <v>9.795905277839E12</v>
      </c>
      <c r="H6419" s="38" t="s">
        <v>7618</v>
      </c>
      <c r="I6419" s="38" t="s">
        <v>7619</v>
      </c>
      <c r="J6419" s="38" t="s">
        <v>1670</v>
      </c>
      <c r="K6419" s="38" t="s">
        <v>63</v>
      </c>
      <c r="L6419" s="41">
        <v>46007.958333333336</v>
      </c>
      <c r="M6419" s="38" t="s">
        <v>123</v>
      </c>
      <c r="N6419" s="41">
        <v>46007.967361111114</v>
      </c>
      <c r="O6419" s="38" t="s">
        <v>123</v>
      </c>
      <c r="P6419" s="38">
        <v>780.0</v>
      </c>
      <c r="Q6419" s="39"/>
      <c r="R6419" s="39"/>
      <c r="S6419" s="39"/>
      <c r="T6419" s="39"/>
      <c r="U6419" s="39"/>
    </row>
    <row r="6420">
      <c r="A6420" s="40">
        <f t="shared" si="1"/>
        <v>46006</v>
      </c>
      <c r="B6420" s="37" t="str">
        <f t="array" ref="B6420">iferror(xlookup($I6420, 'IMPORT VHC Report'!$E:$E, 'IMPORT VHC Report'!$A:$C), )</f>
        <v/>
      </c>
      <c r="C6420" s="37"/>
      <c r="D6420" s="37"/>
      <c r="E6420" s="38" t="s">
        <v>7620</v>
      </c>
      <c r="F6420" s="38" t="s">
        <v>7617</v>
      </c>
      <c r="G6420" s="38">
        <v>9.795905277839E12</v>
      </c>
      <c r="H6420" s="38" t="s">
        <v>7618</v>
      </c>
      <c r="I6420" s="38" t="s">
        <v>7619</v>
      </c>
      <c r="J6420" s="38" t="s">
        <v>791</v>
      </c>
      <c r="K6420" s="38" t="s">
        <v>63</v>
      </c>
      <c r="L6420" s="41">
        <v>46007.967361111114</v>
      </c>
      <c r="M6420" s="38" t="s">
        <v>123</v>
      </c>
      <c r="N6420" s="41">
        <v>46008.06875</v>
      </c>
      <c r="O6420" s="38" t="s">
        <v>123</v>
      </c>
      <c r="P6420" s="38">
        <v>8760.0</v>
      </c>
      <c r="Q6420" s="39"/>
      <c r="R6420" s="39"/>
      <c r="S6420" s="39"/>
      <c r="T6420" s="39"/>
      <c r="U6420" s="39"/>
    </row>
    <row r="6421">
      <c r="A6421" s="40">
        <f t="shared" si="1"/>
        <v>46006</v>
      </c>
      <c r="B6421" s="37" t="str">
        <f t="array" ref="B6421">iferror(xlookup($I6421, 'IMPORT VHC Report'!$E:$E, 'IMPORT VHC Report'!$A:$C), )</f>
        <v/>
      </c>
      <c r="C6421" s="37"/>
      <c r="D6421" s="37"/>
      <c r="E6421" s="38" t="s">
        <v>7621</v>
      </c>
      <c r="F6421" s="38" t="s">
        <v>7617</v>
      </c>
      <c r="G6421" s="38">
        <v>9.795905277839E12</v>
      </c>
      <c r="H6421" s="38" t="s">
        <v>7618</v>
      </c>
      <c r="I6421" s="38" t="s">
        <v>7619</v>
      </c>
      <c r="J6421" s="38" t="s">
        <v>1670</v>
      </c>
      <c r="K6421" s="38" t="s">
        <v>63</v>
      </c>
      <c r="L6421" s="41">
        <v>46008.06875</v>
      </c>
      <c r="M6421" s="38" t="s">
        <v>123</v>
      </c>
      <c r="N6421" s="41">
        <v>46008.1</v>
      </c>
      <c r="O6421" s="38" t="s">
        <v>123</v>
      </c>
      <c r="P6421" s="38">
        <v>2700.0</v>
      </c>
      <c r="Q6421" s="39"/>
      <c r="R6421" s="39"/>
      <c r="S6421" s="39"/>
      <c r="T6421" s="39"/>
      <c r="U6421" s="39"/>
    </row>
    <row r="6422">
      <c r="A6422" s="40">
        <f t="shared" si="1"/>
        <v>46006</v>
      </c>
      <c r="B6422" s="37" t="str">
        <f t="array" ref="B6422">iferror(xlookup($I6422, 'IMPORT VHC Report'!$E:$E, 'IMPORT VHC Report'!$A:$C), )</f>
        <v/>
      </c>
      <c r="C6422" s="37"/>
      <c r="D6422" s="37"/>
      <c r="E6422" s="38" t="s">
        <v>7622</v>
      </c>
      <c r="F6422" s="38" t="s">
        <v>7617</v>
      </c>
      <c r="G6422" s="38">
        <v>9.795905277839E12</v>
      </c>
      <c r="H6422" s="38" t="s">
        <v>7618</v>
      </c>
      <c r="I6422" s="38" t="s">
        <v>7619</v>
      </c>
      <c r="J6422" s="38" t="s">
        <v>791</v>
      </c>
      <c r="K6422" s="38" t="s">
        <v>63</v>
      </c>
      <c r="L6422" s="41">
        <v>46008.1</v>
      </c>
      <c r="M6422" s="38" t="s">
        <v>123</v>
      </c>
      <c r="N6422" s="41">
        <v>46008.106944444444</v>
      </c>
      <c r="O6422" s="38" t="s">
        <v>123</v>
      </c>
      <c r="P6422" s="38">
        <v>600.0</v>
      </c>
      <c r="Q6422" s="39"/>
      <c r="R6422" s="39"/>
      <c r="S6422" s="39"/>
      <c r="T6422" s="39"/>
      <c r="U6422" s="39"/>
    </row>
    <row r="6423">
      <c r="A6423" s="40">
        <f t="shared" si="1"/>
        <v>46006</v>
      </c>
      <c r="B6423" s="37" t="str">
        <f t="array" ref="B6423">iferror(xlookup($I6423, 'IMPORT VHC Report'!$E:$E, 'IMPORT VHC Report'!$A:$C), )</f>
        <v/>
      </c>
      <c r="C6423" s="37"/>
      <c r="D6423" s="37"/>
      <c r="E6423" s="38" t="s">
        <v>7623</v>
      </c>
      <c r="F6423" s="38" t="s">
        <v>7617</v>
      </c>
      <c r="G6423" s="38">
        <v>9.795905277839E12</v>
      </c>
      <c r="H6423" s="38" t="s">
        <v>7618</v>
      </c>
      <c r="I6423" s="38" t="s">
        <v>7619</v>
      </c>
      <c r="J6423" s="38" t="s">
        <v>1670</v>
      </c>
      <c r="K6423" s="38" t="s">
        <v>63</v>
      </c>
      <c r="L6423" s="41">
        <v>46008.106944444444</v>
      </c>
      <c r="M6423" s="38" t="s">
        <v>123</v>
      </c>
      <c r="N6423" s="41">
        <v>46008.208333333336</v>
      </c>
      <c r="O6423" s="38" t="s">
        <v>123</v>
      </c>
      <c r="P6423" s="38">
        <v>8760.0</v>
      </c>
      <c r="Q6423" s="39"/>
      <c r="R6423" s="39"/>
      <c r="S6423" s="39"/>
      <c r="T6423" s="39"/>
      <c r="U6423" s="39"/>
    </row>
    <row r="6424">
      <c r="A6424" s="40">
        <f t="shared" si="1"/>
        <v>46006</v>
      </c>
      <c r="B6424" s="37" t="str">
        <f t="array" ref="B6424">iferror(xlookup($I6424, 'IMPORT VHC Report'!$E:$E, 'IMPORT VHC Report'!$A:$C), )</f>
        <v/>
      </c>
      <c r="C6424" s="37"/>
      <c r="D6424" s="37"/>
      <c r="E6424" s="38" t="s">
        <v>7624</v>
      </c>
      <c r="F6424" s="38" t="s">
        <v>7617</v>
      </c>
      <c r="G6424" s="38">
        <v>9.795905277839E12</v>
      </c>
      <c r="H6424" s="38" t="s">
        <v>7618</v>
      </c>
      <c r="I6424" s="38" t="s">
        <v>7619</v>
      </c>
      <c r="J6424" s="38" t="s">
        <v>132</v>
      </c>
      <c r="K6424" s="38" t="s">
        <v>126</v>
      </c>
      <c r="L6424" s="41">
        <v>46008.145833333336</v>
      </c>
      <c r="M6424" s="38" t="s">
        <v>123</v>
      </c>
      <c r="N6424" s="41">
        <v>46008.1875</v>
      </c>
      <c r="O6424" s="38" t="s">
        <v>123</v>
      </c>
      <c r="P6424" s="38">
        <v>3600.0</v>
      </c>
      <c r="Q6424" s="39"/>
      <c r="R6424" s="39"/>
      <c r="S6424" s="39"/>
      <c r="T6424" s="39"/>
      <c r="U6424" s="39"/>
    </row>
    <row r="6425">
      <c r="A6425" s="40">
        <f t="shared" si="1"/>
        <v>46006</v>
      </c>
      <c r="B6425" s="37" t="str">
        <f t="array" ref="B6425">iferror(xlookup($I6425, 'IMPORT VHC Report'!$E:$E, 'IMPORT VHC Report'!$A:$C), )</f>
        <v/>
      </c>
      <c r="C6425" s="37"/>
      <c r="D6425" s="37"/>
      <c r="E6425" s="38" t="s">
        <v>7625</v>
      </c>
      <c r="F6425" s="38" t="s">
        <v>7617</v>
      </c>
      <c r="G6425" s="38">
        <v>9.795905277839E12</v>
      </c>
      <c r="H6425" s="38" t="s">
        <v>7618</v>
      </c>
      <c r="I6425" s="38" t="s">
        <v>7619</v>
      </c>
      <c r="J6425" s="38" t="s">
        <v>134</v>
      </c>
      <c r="K6425" s="38" t="s">
        <v>126</v>
      </c>
      <c r="L6425" s="41">
        <v>46008.1875</v>
      </c>
      <c r="M6425" s="38" t="s">
        <v>123</v>
      </c>
      <c r="N6425" s="41">
        <v>46008.208333333336</v>
      </c>
      <c r="O6425" s="38" t="s">
        <v>123</v>
      </c>
      <c r="P6425" s="38">
        <v>1800.0</v>
      </c>
      <c r="Q6425" s="39"/>
      <c r="R6425" s="39"/>
      <c r="S6425" s="39"/>
      <c r="T6425" s="39"/>
      <c r="U6425" s="39"/>
    </row>
    <row r="6426">
      <c r="A6426" s="40">
        <f t="shared" si="1"/>
        <v>46006</v>
      </c>
      <c r="B6426" s="37" t="str">
        <f t="array" ref="B6426">iferror(xlookup($I6426, 'IMPORT VHC Report'!$E:$E, 'IMPORT VHC Report'!$A:$C), )</f>
        <v/>
      </c>
      <c r="C6426" s="37"/>
      <c r="D6426" s="37"/>
      <c r="E6426" s="38" t="s">
        <v>7626</v>
      </c>
      <c r="F6426" s="38" t="s">
        <v>7617</v>
      </c>
      <c r="G6426" s="38">
        <v>9.795905277839E12</v>
      </c>
      <c r="H6426" s="38" t="s">
        <v>7618</v>
      </c>
      <c r="I6426" s="38" t="s">
        <v>7619</v>
      </c>
      <c r="J6426" s="38" t="s">
        <v>791</v>
      </c>
      <c r="K6426" s="38" t="s">
        <v>63</v>
      </c>
      <c r="L6426" s="41">
        <v>46008.208333333336</v>
      </c>
      <c r="M6426" s="38" t="s">
        <v>123</v>
      </c>
      <c r="N6426" s="41">
        <v>46008.26666666667</v>
      </c>
      <c r="O6426" s="38" t="s">
        <v>123</v>
      </c>
      <c r="P6426" s="38">
        <v>5040.0</v>
      </c>
      <c r="Q6426" s="39"/>
      <c r="R6426" s="39"/>
      <c r="S6426" s="39"/>
      <c r="T6426" s="39"/>
      <c r="U6426" s="39"/>
    </row>
    <row r="6427">
      <c r="A6427" s="40">
        <f t="shared" si="1"/>
        <v>46006</v>
      </c>
      <c r="B6427" s="37" t="str">
        <f t="array" ref="B6427">iferror(xlookup($I6427, 'IMPORT VHC Report'!$E:$E, 'IMPORT VHC Report'!$A:$C), )</f>
        <v/>
      </c>
      <c r="C6427" s="37"/>
      <c r="D6427" s="37"/>
      <c r="E6427" s="38" t="s">
        <v>7627</v>
      </c>
      <c r="F6427" s="38" t="s">
        <v>7617</v>
      </c>
      <c r="G6427" s="38">
        <v>9.795905277839E12</v>
      </c>
      <c r="H6427" s="38" t="s">
        <v>7618</v>
      </c>
      <c r="I6427" s="38" t="s">
        <v>7619</v>
      </c>
      <c r="J6427" s="38" t="s">
        <v>1670</v>
      </c>
      <c r="K6427" s="38" t="s">
        <v>63</v>
      </c>
      <c r="L6427" s="41">
        <v>46008.26666666667</v>
      </c>
      <c r="M6427" s="38" t="s">
        <v>123</v>
      </c>
      <c r="N6427" s="41">
        <v>46008.333333333336</v>
      </c>
      <c r="O6427" s="38" t="s">
        <v>123</v>
      </c>
      <c r="P6427" s="38">
        <v>5760.0</v>
      </c>
      <c r="Q6427" s="39"/>
      <c r="R6427" s="39"/>
      <c r="S6427" s="39"/>
      <c r="T6427" s="39"/>
      <c r="U6427" s="39"/>
    </row>
    <row r="6428">
      <c r="A6428" s="40">
        <f t="shared" si="1"/>
        <v>46006</v>
      </c>
      <c r="B6428" s="37" t="str">
        <f t="array" ref="B6428">iferror(xlookup($I6428, 'IMPORT VHC Report'!$E:$E, 'IMPORT VHC Report'!$A:$C), )</f>
        <v/>
      </c>
      <c r="C6428" s="37"/>
      <c r="D6428" s="37"/>
      <c r="E6428" s="38" t="s">
        <v>7628</v>
      </c>
      <c r="F6428" s="38" t="s">
        <v>7617</v>
      </c>
      <c r="G6428" s="38">
        <v>9.795905277839E12</v>
      </c>
      <c r="H6428" s="38" t="s">
        <v>7618</v>
      </c>
      <c r="I6428" s="38" t="s">
        <v>7619</v>
      </c>
      <c r="J6428" s="38" t="s">
        <v>136</v>
      </c>
      <c r="K6428" s="38" t="s">
        <v>126</v>
      </c>
      <c r="L6428" s="41">
        <v>46008.291666666664</v>
      </c>
      <c r="M6428" s="38" t="s">
        <v>123</v>
      </c>
      <c r="N6428" s="41">
        <v>46008.333333333336</v>
      </c>
      <c r="O6428" s="38" t="s">
        <v>123</v>
      </c>
      <c r="P6428" s="38">
        <v>3600.0</v>
      </c>
      <c r="Q6428" s="39"/>
      <c r="R6428" s="39"/>
      <c r="S6428" s="38" t="s">
        <v>1680</v>
      </c>
      <c r="T6428" s="39"/>
      <c r="U6428" s="39"/>
    </row>
    <row r="6429">
      <c r="A6429" s="40">
        <f t="shared" si="1"/>
        <v>46006</v>
      </c>
      <c r="B6429" s="37" t="str">
        <f t="array" ref="B6429">iferror(xlookup($I6429, 'IMPORT VHC Report'!$E:$E, 'IMPORT VHC Report'!$A:$C), )</f>
        <v/>
      </c>
      <c r="C6429" s="37"/>
      <c r="D6429" s="37"/>
      <c r="E6429" s="38" t="s">
        <v>7629</v>
      </c>
      <c r="F6429" s="38" t="s">
        <v>7617</v>
      </c>
      <c r="G6429" s="38">
        <v>9.795905277839E12</v>
      </c>
      <c r="H6429" s="38" t="s">
        <v>7618</v>
      </c>
      <c r="I6429" s="38" t="s">
        <v>7619</v>
      </c>
      <c r="J6429" s="38" t="s">
        <v>791</v>
      </c>
      <c r="K6429" s="38" t="s">
        <v>63</v>
      </c>
      <c r="L6429" s="41">
        <v>46008.958333333336</v>
      </c>
      <c r="M6429" s="38" t="s">
        <v>123</v>
      </c>
      <c r="N6429" s="41">
        <v>46008.972916666666</v>
      </c>
      <c r="O6429" s="38" t="s">
        <v>123</v>
      </c>
      <c r="P6429" s="38">
        <v>1260.0</v>
      </c>
      <c r="Q6429" s="39"/>
      <c r="R6429" s="39"/>
      <c r="S6429" s="39"/>
      <c r="T6429" s="39"/>
      <c r="U6429" s="39"/>
    </row>
    <row r="6430">
      <c r="A6430" s="40">
        <f t="shared" si="1"/>
        <v>46006</v>
      </c>
      <c r="B6430" s="37" t="str">
        <f t="array" ref="B6430">iferror(xlookup($I6430, 'IMPORT VHC Report'!$E:$E, 'IMPORT VHC Report'!$A:$C), )</f>
        <v/>
      </c>
      <c r="C6430" s="37"/>
      <c r="D6430" s="37"/>
      <c r="E6430" s="38" t="s">
        <v>7630</v>
      </c>
      <c r="F6430" s="38" t="s">
        <v>7617</v>
      </c>
      <c r="G6430" s="38">
        <v>9.795905277839E12</v>
      </c>
      <c r="H6430" s="38" t="s">
        <v>7618</v>
      </c>
      <c r="I6430" s="38" t="s">
        <v>7619</v>
      </c>
      <c r="J6430" s="38" t="s">
        <v>1670</v>
      </c>
      <c r="K6430" s="38" t="s">
        <v>63</v>
      </c>
      <c r="L6430" s="41">
        <v>46008.972916666666</v>
      </c>
      <c r="M6430" s="38" t="s">
        <v>123</v>
      </c>
      <c r="N6430" s="41">
        <v>46009.018055555556</v>
      </c>
      <c r="O6430" s="38" t="s">
        <v>123</v>
      </c>
      <c r="P6430" s="38">
        <v>3900.0</v>
      </c>
      <c r="Q6430" s="39"/>
      <c r="R6430" s="39"/>
      <c r="S6430" s="39"/>
      <c r="T6430" s="39"/>
      <c r="U6430" s="39"/>
    </row>
    <row r="6431">
      <c r="A6431" s="40">
        <f t="shared" si="1"/>
        <v>46006</v>
      </c>
      <c r="B6431" s="37" t="str">
        <f t="array" ref="B6431">iferror(xlookup($I6431, 'IMPORT VHC Report'!$E:$E, 'IMPORT VHC Report'!$A:$C), )</f>
        <v/>
      </c>
      <c r="C6431" s="37"/>
      <c r="D6431" s="37"/>
      <c r="E6431" s="38" t="s">
        <v>7631</v>
      </c>
      <c r="F6431" s="38" t="s">
        <v>7617</v>
      </c>
      <c r="G6431" s="38">
        <v>9.795905277839E12</v>
      </c>
      <c r="H6431" s="38" t="s">
        <v>7618</v>
      </c>
      <c r="I6431" s="38" t="s">
        <v>7619</v>
      </c>
      <c r="J6431" s="38" t="s">
        <v>791</v>
      </c>
      <c r="K6431" s="38" t="s">
        <v>63</v>
      </c>
      <c r="L6431" s="41">
        <v>46009.018055555556</v>
      </c>
      <c r="M6431" s="38" t="s">
        <v>123</v>
      </c>
      <c r="N6431" s="41">
        <v>46009.029861111114</v>
      </c>
      <c r="O6431" s="38" t="s">
        <v>123</v>
      </c>
      <c r="P6431" s="38">
        <v>1020.0</v>
      </c>
      <c r="Q6431" s="39"/>
      <c r="R6431" s="39"/>
      <c r="S6431" s="39"/>
      <c r="T6431" s="39"/>
      <c r="U6431" s="39"/>
    </row>
    <row r="6432">
      <c r="A6432" s="40">
        <f t="shared" si="1"/>
        <v>46006</v>
      </c>
      <c r="B6432" s="37" t="str">
        <f t="array" ref="B6432">iferror(xlookup($I6432, 'IMPORT VHC Report'!$E:$E, 'IMPORT VHC Report'!$A:$C), )</f>
        <v/>
      </c>
      <c r="C6432" s="37"/>
      <c r="D6432" s="37"/>
      <c r="E6432" s="38" t="s">
        <v>7632</v>
      </c>
      <c r="F6432" s="38" t="s">
        <v>7617</v>
      </c>
      <c r="G6432" s="38">
        <v>9.795905277839E12</v>
      </c>
      <c r="H6432" s="38" t="s">
        <v>7618</v>
      </c>
      <c r="I6432" s="38" t="s">
        <v>7619</v>
      </c>
      <c r="J6432" s="38" t="s">
        <v>1670</v>
      </c>
      <c r="K6432" s="38" t="s">
        <v>63</v>
      </c>
      <c r="L6432" s="41">
        <v>46009.029861111114</v>
      </c>
      <c r="M6432" s="38" t="s">
        <v>123</v>
      </c>
      <c r="N6432" s="41">
        <v>46009.072222222225</v>
      </c>
      <c r="O6432" s="38" t="s">
        <v>123</v>
      </c>
      <c r="P6432" s="38">
        <v>3660.0</v>
      </c>
      <c r="Q6432" s="39"/>
      <c r="R6432" s="39"/>
      <c r="S6432" s="39"/>
      <c r="T6432" s="39"/>
      <c r="U6432" s="39"/>
    </row>
    <row r="6433">
      <c r="A6433" s="40">
        <f t="shared" si="1"/>
        <v>46006</v>
      </c>
      <c r="B6433" s="37" t="str">
        <f t="array" ref="B6433">iferror(xlookup($I6433, 'IMPORT VHC Report'!$E:$E, 'IMPORT VHC Report'!$A:$C), )</f>
        <v/>
      </c>
      <c r="C6433" s="37"/>
      <c r="D6433" s="37"/>
      <c r="E6433" s="38" t="s">
        <v>7633</v>
      </c>
      <c r="F6433" s="38" t="s">
        <v>7617</v>
      </c>
      <c r="G6433" s="38">
        <v>9.795905277839E12</v>
      </c>
      <c r="H6433" s="38" t="s">
        <v>7618</v>
      </c>
      <c r="I6433" s="38" t="s">
        <v>7619</v>
      </c>
      <c r="J6433" s="38" t="s">
        <v>791</v>
      </c>
      <c r="K6433" s="38" t="s">
        <v>63</v>
      </c>
      <c r="L6433" s="41">
        <v>46009.072222222225</v>
      </c>
      <c r="M6433" s="38" t="s">
        <v>123</v>
      </c>
      <c r="N6433" s="41">
        <v>46009.09583333333</v>
      </c>
      <c r="O6433" s="38" t="s">
        <v>123</v>
      </c>
      <c r="P6433" s="38">
        <v>2040.0</v>
      </c>
      <c r="Q6433" s="39"/>
      <c r="R6433" s="39"/>
      <c r="S6433" s="39"/>
      <c r="T6433" s="39"/>
      <c r="U6433" s="39"/>
    </row>
    <row r="6434">
      <c r="A6434" s="40">
        <f t="shared" si="1"/>
        <v>46006</v>
      </c>
      <c r="B6434" s="37" t="str">
        <f t="array" ref="B6434">iferror(xlookup($I6434, 'IMPORT VHC Report'!$E:$E, 'IMPORT VHC Report'!$A:$C), )</f>
        <v/>
      </c>
      <c r="C6434" s="37"/>
      <c r="D6434" s="37"/>
      <c r="E6434" s="38" t="s">
        <v>7634</v>
      </c>
      <c r="F6434" s="38" t="s">
        <v>7617</v>
      </c>
      <c r="G6434" s="38">
        <v>9.795905277839E12</v>
      </c>
      <c r="H6434" s="38" t="s">
        <v>7618</v>
      </c>
      <c r="I6434" s="38" t="s">
        <v>7619</v>
      </c>
      <c r="J6434" s="38" t="s">
        <v>1670</v>
      </c>
      <c r="K6434" s="38" t="s">
        <v>63</v>
      </c>
      <c r="L6434" s="41">
        <v>46009.09583333333</v>
      </c>
      <c r="M6434" s="38" t="s">
        <v>123</v>
      </c>
      <c r="N6434" s="41">
        <v>46009.154861111114</v>
      </c>
      <c r="O6434" s="38" t="s">
        <v>123</v>
      </c>
      <c r="P6434" s="38">
        <v>5100.0</v>
      </c>
      <c r="Q6434" s="39"/>
      <c r="R6434" s="39"/>
      <c r="S6434" s="39"/>
      <c r="T6434" s="39"/>
      <c r="U6434" s="39"/>
    </row>
    <row r="6435">
      <c r="A6435" s="40">
        <f t="shared" si="1"/>
        <v>46006</v>
      </c>
      <c r="B6435" s="37" t="str">
        <f t="array" ref="B6435">iferror(xlookup($I6435, 'IMPORT VHC Report'!$E:$E, 'IMPORT VHC Report'!$A:$C), )</f>
        <v/>
      </c>
      <c r="C6435" s="37"/>
      <c r="D6435" s="37"/>
      <c r="E6435" s="38" t="s">
        <v>7635</v>
      </c>
      <c r="F6435" s="38" t="s">
        <v>7617</v>
      </c>
      <c r="G6435" s="38">
        <v>9.795905277839E12</v>
      </c>
      <c r="H6435" s="38" t="s">
        <v>7618</v>
      </c>
      <c r="I6435" s="38" t="s">
        <v>7619</v>
      </c>
      <c r="J6435" s="38" t="s">
        <v>134</v>
      </c>
      <c r="K6435" s="38" t="s">
        <v>126</v>
      </c>
      <c r="L6435" s="41">
        <v>46009.131944444445</v>
      </c>
      <c r="M6435" s="38" t="s">
        <v>123</v>
      </c>
      <c r="N6435" s="41">
        <v>46009.15277777778</v>
      </c>
      <c r="O6435" s="38" t="s">
        <v>123</v>
      </c>
      <c r="P6435" s="38">
        <v>1800.0</v>
      </c>
      <c r="Q6435" s="39"/>
      <c r="R6435" s="39"/>
      <c r="S6435" s="39"/>
      <c r="T6435" s="39"/>
      <c r="U6435" s="39"/>
    </row>
    <row r="6436">
      <c r="A6436" s="40">
        <f t="shared" si="1"/>
        <v>46006</v>
      </c>
      <c r="B6436" s="37" t="str">
        <f t="array" ref="B6436">iferror(xlookup($I6436, 'IMPORT VHC Report'!$E:$E, 'IMPORT VHC Report'!$A:$C), )</f>
        <v/>
      </c>
      <c r="C6436" s="37"/>
      <c r="D6436" s="37"/>
      <c r="E6436" s="38" t="s">
        <v>7636</v>
      </c>
      <c r="F6436" s="38" t="s">
        <v>7617</v>
      </c>
      <c r="G6436" s="38">
        <v>9.795905277839E12</v>
      </c>
      <c r="H6436" s="38" t="s">
        <v>7618</v>
      </c>
      <c r="I6436" s="38" t="s">
        <v>7619</v>
      </c>
      <c r="J6436" s="38" t="s">
        <v>791</v>
      </c>
      <c r="K6436" s="38" t="s">
        <v>63</v>
      </c>
      <c r="L6436" s="41">
        <v>46009.154861111114</v>
      </c>
      <c r="M6436" s="38" t="s">
        <v>123</v>
      </c>
      <c r="N6436" s="41">
        <v>46009.163194444445</v>
      </c>
      <c r="O6436" s="38" t="s">
        <v>123</v>
      </c>
      <c r="P6436" s="38">
        <v>720.0</v>
      </c>
      <c r="Q6436" s="39"/>
      <c r="R6436" s="39"/>
      <c r="S6436" s="39"/>
      <c r="T6436" s="39"/>
      <c r="U6436" s="39"/>
    </row>
    <row r="6437">
      <c r="A6437" s="40">
        <f t="shared" si="1"/>
        <v>46006</v>
      </c>
      <c r="B6437" s="37" t="str">
        <f t="array" ref="B6437">iferror(xlookup($I6437, 'IMPORT VHC Report'!$E:$E, 'IMPORT VHC Report'!$A:$C), )</f>
        <v/>
      </c>
      <c r="C6437" s="37"/>
      <c r="D6437" s="37"/>
      <c r="E6437" s="38" t="s">
        <v>7637</v>
      </c>
      <c r="F6437" s="38" t="s">
        <v>7617</v>
      </c>
      <c r="G6437" s="38">
        <v>9.795905277839E12</v>
      </c>
      <c r="H6437" s="38" t="s">
        <v>7618</v>
      </c>
      <c r="I6437" s="38" t="s">
        <v>7619</v>
      </c>
      <c r="J6437" s="38" t="s">
        <v>1670</v>
      </c>
      <c r="K6437" s="38" t="s">
        <v>63</v>
      </c>
      <c r="L6437" s="41">
        <v>46009.163194444445</v>
      </c>
      <c r="M6437" s="38" t="s">
        <v>123</v>
      </c>
      <c r="N6437" s="41">
        <v>46009.27361111111</v>
      </c>
      <c r="O6437" s="38" t="s">
        <v>123</v>
      </c>
      <c r="P6437" s="38">
        <v>9540.0</v>
      </c>
      <c r="Q6437" s="39"/>
      <c r="R6437" s="39"/>
      <c r="S6437" s="39"/>
      <c r="T6437" s="39"/>
      <c r="U6437" s="39"/>
    </row>
    <row r="6438">
      <c r="A6438" s="40">
        <f t="shared" si="1"/>
        <v>46006</v>
      </c>
      <c r="B6438" s="37" t="str">
        <f t="array" ref="B6438">iferror(xlookup($I6438, 'IMPORT VHC Report'!$E:$E, 'IMPORT VHC Report'!$A:$C), )</f>
        <v/>
      </c>
      <c r="C6438" s="37"/>
      <c r="D6438" s="37"/>
      <c r="E6438" s="38" t="s">
        <v>7638</v>
      </c>
      <c r="F6438" s="38" t="s">
        <v>7617</v>
      </c>
      <c r="G6438" s="38">
        <v>9.795905277839E12</v>
      </c>
      <c r="H6438" s="38" t="s">
        <v>7618</v>
      </c>
      <c r="I6438" s="38" t="s">
        <v>7619</v>
      </c>
      <c r="J6438" s="38" t="s">
        <v>136</v>
      </c>
      <c r="K6438" s="38" t="s">
        <v>126</v>
      </c>
      <c r="L6438" s="41">
        <v>46009.166666666664</v>
      </c>
      <c r="M6438" s="38" t="s">
        <v>123</v>
      </c>
      <c r="N6438" s="41">
        <v>46009.208333333336</v>
      </c>
      <c r="O6438" s="38" t="s">
        <v>123</v>
      </c>
      <c r="P6438" s="38">
        <v>3600.0</v>
      </c>
      <c r="Q6438" s="39"/>
      <c r="R6438" s="39"/>
      <c r="S6438" s="38" t="s">
        <v>1683</v>
      </c>
      <c r="T6438" s="39"/>
      <c r="U6438" s="39"/>
    </row>
    <row r="6439">
      <c r="A6439" s="40">
        <f t="shared" si="1"/>
        <v>46006</v>
      </c>
      <c r="B6439" s="37" t="str">
        <f t="array" ref="B6439">iferror(xlookup($I6439, 'IMPORT VHC Report'!$E:$E, 'IMPORT VHC Report'!$A:$C), )</f>
        <v/>
      </c>
      <c r="C6439" s="37"/>
      <c r="D6439" s="37"/>
      <c r="E6439" s="38" t="s">
        <v>7639</v>
      </c>
      <c r="F6439" s="38" t="s">
        <v>7617</v>
      </c>
      <c r="G6439" s="38">
        <v>9.795905277839E12</v>
      </c>
      <c r="H6439" s="38" t="s">
        <v>7618</v>
      </c>
      <c r="I6439" s="38" t="s">
        <v>7619</v>
      </c>
      <c r="J6439" s="38" t="s">
        <v>132</v>
      </c>
      <c r="K6439" s="38" t="s">
        <v>126</v>
      </c>
      <c r="L6439" s="41">
        <v>46009.229166666664</v>
      </c>
      <c r="M6439" s="38" t="s">
        <v>123</v>
      </c>
      <c r="N6439" s="41">
        <v>46009.270833333336</v>
      </c>
      <c r="O6439" s="38" t="s">
        <v>123</v>
      </c>
      <c r="P6439" s="38">
        <v>3600.0</v>
      </c>
      <c r="Q6439" s="39"/>
      <c r="R6439" s="39"/>
      <c r="S6439" s="39"/>
      <c r="T6439" s="39"/>
      <c r="U6439" s="39"/>
    </row>
    <row r="6440">
      <c r="A6440" s="40">
        <f t="shared" si="1"/>
        <v>46006</v>
      </c>
      <c r="B6440" s="37" t="str">
        <f t="array" ref="B6440">iferror(xlookup($I6440, 'IMPORT VHC Report'!$E:$E, 'IMPORT VHC Report'!$A:$C), )</f>
        <v/>
      </c>
      <c r="C6440" s="37"/>
      <c r="D6440" s="37"/>
      <c r="E6440" s="38" t="s">
        <v>7640</v>
      </c>
      <c r="F6440" s="38" t="s">
        <v>7617</v>
      </c>
      <c r="G6440" s="38">
        <v>9.795905277839E12</v>
      </c>
      <c r="H6440" s="38" t="s">
        <v>7618</v>
      </c>
      <c r="I6440" s="38" t="s">
        <v>7619</v>
      </c>
      <c r="J6440" s="38" t="s">
        <v>791</v>
      </c>
      <c r="K6440" s="38" t="s">
        <v>63</v>
      </c>
      <c r="L6440" s="41">
        <v>46009.27361111111</v>
      </c>
      <c r="M6440" s="38" t="s">
        <v>123</v>
      </c>
      <c r="N6440" s="41">
        <v>46009.30694444444</v>
      </c>
      <c r="O6440" s="38" t="s">
        <v>123</v>
      </c>
      <c r="P6440" s="38">
        <v>2880.0</v>
      </c>
      <c r="Q6440" s="39"/>
      <c r="R6440" s="39"/>
      <c r="S6440" s="39"/>
      <c r="T6440" s="39"/>
      <c r="U6440" s="39"/>
    </row>
    <row r="6441">
      <c r="A6441" s="40">
        <f t="shared" si="1"/>
        <v>46006</v>
      </c>
      <c r="B6441" s="37" t="str">
        <f t="array" ref="B6441">iferror(xlookup($I6441, 'IMPORT VHC Report'!$E:$E, 'IMPORT VHC Report'!$A:$C), )</f>
        <v/>
      </c>
      <c r="C6441" s="37"/>
      <c r="D6441" s="37"/>
      <c r="E6441" s="38" t="s">
        <v>7641</v>
      </c>
      <c r="F6441" s="38" t="s">
        <v>7617</v>
      </c>
      <c r="G6441" s="38">
        <v>9.795905277839E12</v>
      </c>
      <c r="H6441" s="38" t="s">
        <v>7618</v>
      </c>
      <c r="I6441" s="38" t="s">
        <v>7619</v>
      </c>
      <c r="J6441" s="38" t="s">
        <v>1670</v>
      </c>
      <c r="K6441" s="38" t="s">
        <v>63</v>
      </c>
      <c r="L6441" s="41">
        <v>46009.30694444444</v>
      </c>
      <c r="M6441" s="38" t="s">
        <v>123</v>
      </c>
      <c r="N6441" s="41">
        <v>46009.32013888889</v>
      </c>
      <c r="O6441" s="38" t="s">
        <v>123</v>
      </c>
      <c r="P6441" s="38">
        <v>1140.0</v>
      </c>
      <c r="Q6441" s="39"/>
      <c r="R6441" s="39"/>
      <c r="S6441" s="39"/>
      <c r="T6441" s="39"/>
      <c r="U6441" s="39"/>
    </row>
    <row r="6442">
      <c r="A6442" s="40">
        <f t="shared" si="1"/>
        <v>46006</v>
      </c>
      <c r="B6442" s="37" t="str">
        <f t="array" ref="B6442">iferror(xlookup($I6442, 'IMPORT VHC Report'!$E:$E, 'IMPORT VHC Report'!$A:$C), )</f>
        <v/>
      </c>
      <c r="C6442" s="37"/>
      <c r="D6442" s="37"/>
      <c r="E6442" s="38" t="s">
        <v>7642</v>
      </c>
      <c r="F6442" s="38" t="s">
        <v>7617</v>
      </c>
      <c r="G6442" s="38">
        <v>9.795905277839E12</v>
      </c>
      <c r="H6442" s="38" t="s">
        <v>7618</v>
      </c>
      <c r="I6442" s="38" t="s">
        <v>7619</v>
      </c>
      <c r="J6442" s="38" t="s">
        <v>791</v>
      </c>
      <c r="K6442" s="38" t="s">
        <v>63</v>
      </c>
      <c r="L6442" s="41">
        <v>46009.32013888889</v>
      </c>
      <c r="M6442" s="38" t="s">
        <v>123</v>
      </c>
      <c r="N6442" s="41">
        <v>46009.333333333336</v>
      </c>
      <c r="O6442" s="38" t="s">
        <v>123</v>
      </c>
      <c r="P6442" s="38">
        <v>1140.0</v>
      </c>
      <c r="Q6442" s="39"/>
      <c r="R6442" s="39"/>
      <c r="S6442" s="39"/>
      <c r="T6442" s="39"/>
      <c r="U6442" s="39"/>
    </row>
    <row r="6443">
      <c r="A6443" s="40">
        <f t="shared" si="1"/>
        <v>46006</v>
      </c>
      <c r="B6443" s="37" t="str">
        <f t="array" ref="B6443">iferror(xlookup($I6443, 'IMPORT VHC Report'!$E:$E, 'IMPORT VHC Report'!$A:$C), )</f>
        <v/>
      </c>
      <c r="C6443" s="37"/>
      <c r="D6443" s="37"/>
      <c r="E6443" s="38" t="s">
        <v>7643</v>
      </c>
      <c r="F6443" s="38" t="s">
        <v>7617</v>
      </c>
      <c r="G6443" s="38">
        <v>9.795905277839E12</v>
      </c>
      <c r="H6443" s="38" t="s">
        <v>7618</v>
      </c>
      <c r="I6443" s="38" t="s">
        <v>7619</v>
      </c>
      <c r="J6443" s="38" t="s">
        <v>1670</v>
      </c>
      <c r="K6443" s="38" t="s">
        <v>63</v>
      </c>
      <c r="L6443" s="41">
        <v>46009.958333333336</v>
      </c>
      <c r="M6443" s="38" t="s">
        <v>123</v>
      </c>
      <c r="N6443" s="41">
        <v>46010.0</v>
      </c>
      <c r="O6443" s="38" t="s">
        <v>123</v>
      </c>
      <c r="P6443" s="38">
        <v>3600.0</v>
      </c>
      <c r="Q6443" s="39"/>
      <c r="R6443" s="39"/>
      <c r="S6443" s="39"/>
      <c r="T6443" s="39"/>
      <c r="U6443" s="39"/>
    </row>
    <row r="6444">
      <c r="A6444" s="40">
        <f t="shared" si="1"/>
        <v>46006</v>
      </c>
      <c r="B6444" s="37" t="str">
        <f t="array" ref="B6444">iferror(xlookup($I6444, 'IMPORT VHC Report'!$E:$E, 'IMPORT VHC Report'!$A:$C), )</f>
        <v/>
      </c>
      <c r="C6444" s="37"/>
      <c r="D6444" s="37"/>
      <c r="E6444" s="38" t="s">
        <v>7644</v>
      </c>
      <c r="F6444" s="38" t="s">
        <v>7617</v>
      </c>
      <c r="G6444" s="38">
        <v>9.795905277839E12</v>
      </c>
      <c r="H6444" s="38" t="s">
        <v>7618</v>
      </c>
      <c r="I6444" s="38" t="s">
        <v>7619</v>
      </c>
      <c r="J6444" s="38" t="s">
        <v>791</v>
      </c>
      <c r="K6444" s="38" t="s">
        <v>63</v>
      </c>
      <c r="L6444" s="41">
        <v>46010.0</v>
      </c>
      <c r="M6444" s="38" t="s">
        <v>123</v>
      </c>
      <c r="N6444" s="41">
        <v>46010.035416666666</v>
      </c>
      <c r="O6444" s="38" t="s">
        <v>123</v>
      </c>
      <c r="P6444" s="38">
        <v>3060.0</v>
      </c>
      <c r="Q6444" s="39"/>
      <c r="R6444" s="39"/>
      <c r="S6444" s="39"/>
      <c r="T6444" s="39"/>
      <c r="U6444" s="39"/>
    </row>
    <row r="6445">
      <c r="A6445" s="40">
        <f t="shared" si="1"/>
        <v>46006</v>
      </c>
      <c r="B6445" s="37" t="str">
        <f t="array" ref="B6445">iferror(xlookup($I6445, 'IMPORT VHC Report'!$E:$E, 'IMPORT VHC Report'!$A:$C), )</f>
        <v/>
      </c>
      <c r="C6445" s="37"/>
      <c r="D6445" s="37"/>
      <c r="E6445" s="38" t="s">
        <v>7645</v>
      </c>
      <c r="F6445" s="38" t="s">
        <v>7617</v>
      </c>
      <c r="G6445" s="38">
        <v>9.795905277839E12</v>
      </c>
      <c r="H6445" s="38" t="s">
        <v>7618</v>
      </c>
      <c r="I6445" s="38" t="s">
        <v>7619</v>
      </c>
      <c r="J6445" s="38" t="s">
        <v>1670</v>
      </c>
      <c r="K6445" s="38" t="s">
        <v>63</v>
      </c>
      <c r="L6445" s="41">
        <v>46010.035416666666</v>
      </c>
      <c r="M6445" s="38" t="s">
        <v>123</v>
      </c>
      <c r="N6445" s="41">
        <v>46010.05972222222</v>
      </c>
      <c r="O6445" s="38" t="s">
        <v>123</v>
      </c>
      <c r="P6445" s="38">
        <v>2100.0</v>
      </c>
      <c r="Q6445" s="39"/>
      <c r="R6445" s="39"/>
      <c r="S6445" s="39"/>
      <c r="T6445" s="39"/>
      <c r="U6445" s="39"/>
    </row>
    <row r="6446">
      <c r="A6446" s="40">
        <f t="shared" si="1"/>
        <v>46006</v>
      </c>
      <c r="B6446" s="37" t="str">
        <f t="array" ref="B6446">iferror(xlookup($I6446, 'IMPORT VHC Report'!$E:$E, 'IMPORT VHC Report'!$A:$C), )</f>
        <v/>
      </c>
      <c r="C6446" s="37"/>
      <c r="D6446" s="37"/>
      <c r="E6446" s="38" t="s">
        <v>7646</v>
      </c>
      <c r="F6446" s="38" t="s">
        <v>7617</v>
      </c>
      <c r="G6446" s="38">
        <v>9.795905277839E12</v>
      </c>
      <c r="H6446" s="38" t="s">
        <v>7618</v>
      </c>
      <c r="I6446" s="38" t="s">
        <v>7619</v>
      </c>
      <c r="J6446" s="38" t="s">
        <v>791</v>
      </c>
      <c r="K6446" s="38" t="s">
        <v>63</v>
      </c>
      <c r="L6446" s="41">
        <v>46010.05972222222</v>
      </c>
      <c r="M6446" s="38" t="s">
        <v>123</v>
      </c>
      <c r="N6446" s="41">
        <v>46010.07430555556</v>
      </c>
      <c r="O6446" s="38" t="s">
        <v>123</v>
      </c>
      <c r="P6446" s="38">
        <v>1260.0</v>
      </c>
      <c r="Q6446" s="39"/>
      <c r="R6446" s="39"/>
      <c r="S6446" s="39"/>
      <c r="T6446" s="39"/>
      <c r="U6446" s="39"/>
    </row>
    <row r="6447">
      <c r="A6447" s="40">
        <f t="shared" si="1"/>
        <v>46006</v>
      </c>
      <c r="B6447" s="37" t="str">
        <f t="array" ref="B6447">iferror(xlookup($I6447, 'IMPORT VHC Report'!$E:$E, 'IMPORT VHC Report'!$A:$C), )</f>
        <v/>
      </c>
      <c r="C6447" s="37"/>
      <c r="D6447" s="37"/>
      <c r="E6447" s="38" t="s">
        <v>7647</v>
      </c>
      <c r="F6447" s="38" t="s">
        <v>7617</v>
      </c>
      <c r="G6447" s="38">
        <v>9.795905277839E12</v>
      </c>
      <c r="H6447" s="38" t="s">
        <v>7618</v>
      </c>
      <c r="I6447" s="38" t="s">
        <v>7619</v>
      </c>
      <c r="J6447" s="38" t="s">
        <v>1670</v>
      </c>
      <c r="K6447" s="38" t="s">
        <v>63</v>
      </c>
      <c r="L6447" s="41">
        <v>46010.07430555556</v>
      </c>
      <c r="M6447" s="38" t="s">
        <v>123</v>
      </c>
      <c r="N6447" s="41">
        <v>46010.08263888889</v>
      </c>
      <c r="O6447" s="38" t="s">
        <v>123</v>
      </c>
      <c r="P6447" s="38">
        <v>720.0</v>
      </c>
      <c r="Q6447" s="39"/>
      <c r="R6447" s="39"/>
      <c r="S6447" s="39"/>
      <c r="T6447" s="39"/>
      <c r="U6447" s="39"/>
    </row>
    <row r="6448">
      <c r="A6448" s="40">
        <f t="shared" si="1"/>
        <v>46006</v>
      </c>
      <c r="B6448" s="37" t="str">
        <f t="array" ref="B6448">iferror(xlookup($I6448, 'IMPORT VHC Report'!$E:$E, 'IMPORT VHC Report'!$A:$C), )</f>
        <v/>
      </c>
      <c r="C6448" s="37"/>
      <c r="D6448" s="37"/>
      <c r="E6448" s="38" t="s">
        <v>7648</v>
      </c>
      <c r="F6448" s="38" t="s">
        <v>7617</v>
      </c>
      <c r="G6448" s="38">
        <v>9.795905277839E12</v>
      </c>
      <c r="H6448" s="38" t="s">
        <v>7618</v>
      </c>
      <c r="I6448" s="38" t="s">
        <v>7619</v>
      </c>
      <c r="J6448" s="38" t="s">
        <v>791</v>
      </c>
      <c r="K6448" s="38" t="s">
        <v>63</v>
      </c>
      <c r="L6448" s="41">
        <v>46010.08263888889</v>
      </c>
      <c r="M6448" s="38" t="s">
        <v>123</v>
      </c>
      <c r="N6448" s="41">
        <v>46010.10555555556</v>
      </c>
      <c r="O6448" s="38" t="s">
        <v>123</v>
      </c>
      <c r="P6448" s="38">
        <v>1980.0</v>
      </c>
      <c r="Q6448" s="39"/>
      <c r="R6448" s="39"/>
      <c r="S6448" s="39"/>
      <c r="T6448" s="39"/>
      <c r="U6448" s="39"/>
    </row>
    <row r="6449">
      <c r="A6449" s="40">
        <f t="shared" si="1"/>
        <v>46006</v>
      </c>
      <c r="B6449" s="37" t="str">
        <f t="array" ref="B6449">iferror(xlookup($I6449, 'IMPORT VHC Report'!$E:$E, 'IMPORT VHC Report'!$A:$C), )</f>
        <v/>
      </c>
      <c r="C6449" s="37"/>
      <c r="D6449" s="37"/>
      <c r="E6449" s="38" t="s">
        <v>7649</v>
      </c>
      <c r="F6449" s="38" t="s">
        <v>7617</v>
      </c>
      <c r="G6449" s="38">
        <v>9.795905277839E12</v>
      </c>
      <c r="H6449" s="38" t="s">
        <v>7618</v>
      </c>
      <c r="I6449" s="38" t="s">
        <v>7619</v>
      </c>
      <c r="J6449" s="38" t="s">
        <v>1670</v>
      </c>
      <c r="K6449" s="38" t="s">
        <v>63</v>
      </c>
      <c r="L6449" s="41">
        <v>46010.10555555556</v>
      </c>
      <c r="M6449" s="38" t="s">
        <v>123</v>
      </c>
      <c r="N6449" s="41">
        <v>46010.118055555555</v>
      </c>
      <c r="O6449" s="38" t="s">
        <v>123</v>
      </c>
      <c r="P6449" s="38">
        <v>1080.0</v>
      </c>
      <c r="Q6449" s="39"/>
      <c r="R6449" s="39"/>
      <c r="S6449" s="39"/>
      <c r="T6449" s="39"/>
      <c r="U6449" s="39"/>
    </row>
    <row r="6450">
      <c r="A6450" s="40">
        <f t="shared" si="1"/>
        <v>46006</v>
      </c>
      <c r="B6450" s="37" t="str">
        <f t="array" ref="B6450">iferror(xlookup($I6450, 'IMPORT VHC Report'!$E:$E, 'IMPORT VHC Report'!$A:$C), )</f>
        <v/>
      </c>
      <c r="C6450" s="37"/>
      <c r="D6450" s="37"/>
      <c r="E6450" s="38" t="s">
        <v>7650</v>
      </c>
      <c r="F6450" s="38" t="s">
        <v>7617</v>
      </c>
      <c r="G6450" s="38">
        <v>9.795905277839E12</v>
      </c>
      <c r="H6450" s="38" t="s">
        <v>7618</v>
      </c>
      <c r="I6450" s="38" t="s">
        <v>7619</v>
      </c>
      <c r="J6450" s="38" t="s">
        <v>791</v>
      </c>
      <c r="K6450" s="38" t="s">
        <v>63</v>
      </c>
      <c r="L6450" s="41">
        <v>46010.118055555555</v>
      </c>
      <c r="M6450" s="38" t="s">
        <v>123</v>
      </c>
      <c r="N6450" s="41">
        <v>46010.12430555555</v>
      </c>
      <c r="O6450" s="38" t="s">
        <v>123</v>
      </c>
      <c r="P6450" s="38">
        <v>540.0</v>
      </c>
      <c r="Q6450" s="39"/>
      <c r="R6450" s="39"/>
      <c r="S6450" s="39"/>
      <c r="T6450" s="39"/>
      <c r="U6450" s="39"/>
    </row>
    <row r="6451">
      <c r="A6451" s="40">
        <f t="shared" si="1"/>
        <v>46006</v>
      </c>
      <c r="B6451" s="37" t="str">
        <f t="array" ref="B6451">iferror(xlookup($I6451, 'IMPORT VHC Report'!$E:$E, 'IMPORT VHC Report'!$A:$C), )</f>
        <v/>
      </c>
      <c r="C6451" s="37"/>
      <c r="D6451" s="37"/>
      <c r="E6451" s="38" t="s">
        <v>7651</v>
      </c>
      <c r="F6451" s="38" t="s">
        <v>7617</v>
      </c>
      <c r="G6451" s="38">
        <v>9.795905277839E12</v>
      </c>
      <c r="H6451" s="38" t="s">
        <v>7618</v>
      </c>
      <c r="I6451" s="38" t="s">
        <v>7619</v>
      </c>
      <c r="J6451" s="38" t="s">
        <v>1670</v>
      </c>
      <c r="K6451" s="38" t="s">
        <v>63</v>
      </c>
      <c r="L6451" s="41">
        <v>46010.12430555555</v>
      </c>
      <c r="M6451" s="38" t="s">
        <v>123</v>
      </c>
      <c r="N6451" s="41">
        <v>46010.13125</v>
      </c>
      <c r="O6451" s="38" t="s">
        <v>123</v>
      </c>
      <c r="P6451" s="38">
        <v>600.0</v>
      </c>
      <c r="Q6451" s="39"/>
      <c r="R6451" s="39"/>
      <c r="S6451" s="39"/>
      <c r="T6451" s="39"/>
      <c r="U6451" s="39"/>
    </row>
    <row r="6452">
      <c r="A6452" s="40">
        <f t="shared" si="1"/>
        <v>46006</v>
      </c>
      <c r="B6452" s="37" t="str">
        <f t="array" ref="B6452">iferror(xlookup($I6452, 'IMPORT VHC Report'!$E:$E, 'IMPORT VHC Report'!$A:$C), )</f>
        <v/>
      </c>
      <c r="C6452" s="37"/>
      <c r="D6452" s="37"/>
      <c r="E6452" s="38" t="s">
        <v>7652</v>
      </c>
      <c r="F6452" s="38" t="s">
        <v>7617</v>
      </c>
      <c r="G6452" s="38">
        <v>9.795905277839E12</v>
      </c>
      <c r="H6452" s="38" t="s">
        <v>7618</v>
      </c>
      <c r="I6452" s="38" t="s">
        <v>7619</v>
      </c>
      <c r="J6452" s="38" t="s">
        <v>791</v>
      </c>
      <c r="K6452" s="38" t="s">
        <v>63</v>
      </c>
      <c r="L6452" s="41">
        <v>46010.13125</v>
      </c>
      <c r="M6452" s="38" t="s">
        <v>123</v>
      </c>
      <c r="N6452" s="41">
        <v>46010.145833333336</v>
      </c>
      <c r="O6452" s="38" t="s">
        <v>123</v>
      </c>
      <c r="P6452" s="38">
        <v>1260.0</v>
      </c>
      <c r="Q6452" s="39"/>
      <c r="R6452" s="39"/>
      <c r="S6452" s="39"/>
      <c r="T6452" s="39"/>
      <c r="U6452" s="39"/>
    </row>
    <row r="6453">
      <c r="A6453" s="40">
        <f t="shared" si="1"/>
        <v>46006</v>
      </c>
      <c r="B6453" s="37" t="str">
        <f t="array" ref="B6453">iferror(xlookup($I6453, 'IMPORT VHC Report'!$E:$E, 'IMPORT VHC Report'!$A:$C), )</f>
        <v/>
      </c>
      <c r="C6453" s="37"/>
      <c r="D6453" s="37"/>
      <c r="E6453" s="38" t="s">
        <v>7653</v>
      </c>
      <c r="F6453" s="38" t="s">
        <v>7617</v>
      </c>
      <c r="G6453" s="38">
        <v>9.795905277839E12</v>
      </c>
      <c r="H6453" s="38" t="s">
        <v>7618</v>
      </c>
      <c r="I6453" s="38" t="s">
        <v>7619</v>
      </c>
      <c r="J6453" s="38" t="s">
        <v>132</v>
      </c>
      <c r="K6453" s="38" t="s">
        <v>126</v>
      </c>
      <c r="L6453" s="41">
        <v>46010.145833333336</v>
      </c>
      <c r="M6453" s="38" t="s">
        <v>123</v>
      </c>
      <c r="N6453" s="41">
        <v>46010.1875</v>
      </c>
      <c r="O6453" s="38" t="s">
        <v>123</v>
      </c>
      <c r="P6453" s="38">
        <v>3600.0</v>
      </c>
      <c r="Q6453" s="39"/>
      <c r="R6453" s="39"/>
      <c r="S6453" s="39"/>
      <c r="T6453" s="39"/>
      <c r="U6453" s="39"/>
    </row>
    <row r="6454">
      <c r="A6454" s="40">
        <f t="shared" si="1"/>
        <v>46006</v>
      </c>
      <c r="B6454" s="37" t="str">
        <f t="array" ref="B6454">iferror(xlookup($I6454, 'IMPORT VHC Report'!$E:$E, 'IMPORT VHC Report'!$A:$C), )</f>
        <v/>
      </c>
      <c r="C6454" s="37"/>
      <c r="D6454" s="37"/>
      <c r="E6454" s="38" t="s">
        <v>7654</v>
      </c>
      <c r="F6454" s="38" t="s">
        <v>7617</v>
      </c>
      <c r="G6454" s="38">
        <v>9.795905277839E12</v>
      </c>
      <c r="H6454" s="38" t="s">
        <v>7618</v>
      </c>
      <c r="I6454" s="38" t="s">
        <v>7619</v>
      </c>
      <c r="J6454" s="38" t="s">
        <v>1670</v>
      </c>
      <c r="K6454" s="38" t="s">
        <v>63</v>
      </c>
      <c r="L6454" s="41">
        <v>46010.145833333336</v>
      </c>
      <c r="M6454" s="38" t="s">
        <v>123</v>
      </c>
      <c r="N6454" s="41">
        <v>46010.24097222222</v>
      </c>
      <c r="O6454" s="38" t="s">
        <v>123</v>
      </c>
      <c r="P6454" s="38">
        <v>8220.0</v>
      </c>
      <c r="Q6454" s="39"/>
      <c r="R6454" s="39"/>
      <c r="S6454" s="39"/>
      <c r="T6454" s="39"/>
      <c r="U6454" s="39"/>
    </row>
    <row r="6455">
      <c r="A6455" s="40">
        <f t="shared" si="1"/>
        <v>46006</v>
      </c>
      <c r="B6455" s="37" t="str">
        <f t="array" ref="B6455">iferror(xlookup($I6455, 'IMPORT VHC Report'!$E:$E, 'IMPORT VHC Report'!$A:$C), )</f>
        <v/>
      </c>
      <c r="C6455" s="37"/>
      <c r="D6455" s="37"/>
      <c r="E6455" s="38" t="s">
        <v>7655</v>
      </c>
      <c r="F6455" s="38" t="s">
        <v>7617</v>
      </c>
      <c r="G6455" s="38">
        <v>9.795905277839E12</v>
      </c>
      <c r="H6455" s="38" t="s">
        <v>7618</v>
      </c>
      <c r="I6455" s="38" t="s">
        <v>7619</v>
      </c>
      <c r="J6455" s="38" t="s">
        <v>134</v>
      </c>
      <c r="K6455" s="38" t="s">
        <v>126</v>
      </c>
      <c r="L6455" s="41">
        <v>46010.1875</v>
      </c>
      <c r="M6455" s="38" t="s">
        <v>123</v>
      </c>
      <c r="N6455" s="41">
        <v>46010.208333333336</v>
      </c>
      <c r="O6455" s="38" t="s">
        <v>123</v>
      </c>
      <c r="P6455" s="38">
        <v>1800.0</v>
      </c>
      <c r="Q6455" s="39"/>
      <c r="R6455" s="39"/>
      <c r="S6455" s="39"/>
      <c r="T6455" s="39"/>
      <c r="U6455" s="39"/>
    </row>
    <row r="6456">
      <c r="A6456" s="40">
        <f t="shared" si="1"/>
        <v>46006</v>
      </c>
      <c r="B6456" s="37" t="str">
        <f t="array" ref="B6456">iferror(xlookup($I6456, 'IMPORT VHC Report'!$E:$E, 'IMPORT VHC Report'!$A:$C), )</f>
        <v/>
      </c>
      <c r="C6456" s="37"/>
      <c r="D6456" s="37"/>
      <c r="E6456" s="38" t="s">
        <v>7656</v>
      </c>
      <c r="F6456" s="38" t="s">
        <v>7617</v>
      </c>
      <c r="G6456" s="38">
        <v>9.795905277839E12</v>
      </c>
      <c r="H6456" s="38" t="s">
        <v>7618</v>
      </c>
      <c r="I6456" s="38" t="s">
        <v>7619</v>
      </c>
      <c r="J6456" s="38" t="s">
        <v>791</v>
      </c>
      <c r="K6456" s="38" t="s">
        <v>63</v>
      </c>
      <c r="L6456" s="41">
        <v>46010.24097222222</v>
      </c>
      <c r="M6456" s="38" t="s">
        <v>123</v>
      </c>
      <c r="N6456" s="41">
        <v>46010.333333333336</v>
      </c>
      <c r="O6456" s="38" t="s">
        <v>123</v>
      </c>
      <c r="P6456" s="38">
        <v>7980.0</v>
      </c>
      <c r="Q6456" s="39"/>
      <c r="R6456" s="39"/>
      <c r="S6456" s="39"/>
      <c r="T6456" s="39"/>
      <c r="U6456" s="39"/>
    </row>
    <row r="6457">
      <c r="A6457" s="40">
        <f t="shared" si="1"/>
        <v>46006</v>
      </c>
      <c r="B6457" s="37" t="str">
        <f t="array" ref="B6457">iferror(xlookup($I6457, 'IMPORT VHC Report'!$E:$E, 'IMPORT VHC Report'!$A:$C), )</f>
        <v/>
      </c>
      <c r="C6457" s="37"/>
      <c r="D6457" s="37"/>
      <c r="E6457" s="38" t="s">
        <v>7657</v>
      </c>
      <c r="F6457" s="38" t="s">
        <v>7617</v>
      </c>
      <c r="G6457" s="38">
        <v>9.795905277839E12</v>
      </c>
      <c r="H6457" s="38" t="s">
        <v>7618</v>
      </c>
      <c r="I6457" s="38" t="s">
        <v>7619</v>
      </c>
      <c r="J6457" s="38" t="s">
        <v>1670</v>
      </c>
      <c r="K6457" s="38" t="s">
        <v>63</v>
      </c>
      <c r="L6457" s="41">
        <v>46010.958333333336</v>
      </c>
      <c r="M6457" s="38" t="s">
        <v>123</v>
      </c>
      <c r="N6457" s="41">
        <v>46011.01527777778</v>
      </c>
      <c r="O6457" s="38" t="s">
        <v>123</v>
      </c>
      <c r="P6457" s="38">
        <v>4920.0</v>
      </c>
      <c r="Q6457" s="39"/>
      <c r="R6457" s="39"/>
      <c r="S6457" s="39"/>
      <c r="T6457" s="39"/>
      <c r="U6457" s="39"/>
    </row>
    <row r="6458">
      <c r="A6458" s="40">
        <f t="shared" si="1"/>
        <v>46006</v>
      </c>
      <c r="B6458" s="37" t="str">
        <f t="array" ref="B6458">iferror(xlookup($I6458, 'IMPORT VHC Report'!$E:$E, 'IMPORT VHC Report'!$A:$C), )</f>
        <v/>
      </c>
      <c r="C6458" s="37"/>
      <c r="D6458" s="37"/>
      <c r="E6458" s="38" t="s">
        <v>7658</v>
      </c>
      <c r="F6458" s="38" t="s">
        <v>7617</v>
      </c>
      <c r="G6458" s="38">
        <v>9.795905277839E12</v>
      </c>
      <c r="H6458" s="38" t="s">
        <v>7618</v>
      </c>
      <c r="I6458" s="38" t="s">
        <v>7619</v>
      </c>
      <c r="J6458" s="38" t="s">
        <v>791</v>
      </c>
      <c r="K6458" s="38" t="s">
        <v>63</v>
      </c>
      <c r="L6458" s="41">
        <v>46011.01527777778</v>
      </c>
      <c r="M6458" s="38" t="s">
        <v>123</v>
      </c>
      <c r="N6458" s="41">
        <v>46011.04583333333</v>
      </c>
      <c r="O6458" s="38" t="s">
        <v>123</v>
      </c>
      <c r="P6458" s="38">
        <v>2640.0</v>
      </c>
      <c r="Q6458" s="39"/>
      <c r="R6458" s="39"/>
      <c r="S6458" s="39"/>
      <c r="T6458" s="39"/>
      <c r="U6458" s="39"/>
    </row>
    <row r="6459">
      <c r="A6459" s="40">
        <f t="shared" si="1"/>
        <v>46006</v>
      </c>
      <c r="B6459" s="37" t="str">
        <f t="array" ref="B6459">iferror(xlookup($I6459, 'IMPORT VHC Report'!$E:$E, 'IMPORT VHC Report'!$A:$C), )</f>
        <v/>
      </c>
      <c r="C6459" s="37"/>
      <c r="D6459" s="37"/>
      <c r="E6459" s="38" t="s">
        <v>7659</v>
      </c>
      <c r="F6459" s="38" t="s">
        <v>7617</v>
      </c>
      <c r="G6459" s="38">
        <v>9.795905277839E12</v>
      </c>
      <c r="H6459" s="38" t="s">
        <v>7618</v>
      </c>
      <c r="I6459" s="38" t="s">
        <v>7619</v>
      </c>
      <c r="J6459" s="38" t="s">
        <v>1670</v>
      </c>
      <c r="K6459" s="38" t="s">
        <v>63</v>
      </c>
      <c r="L6459" s="41">
        <v>46011.04583333333</v>
      </c>
      <c r="M6459" s="38" t="s">
        <v>123</v>
      </c>
      <c r="N6459" s="41">
        <v>46011.06458333333</v>
      </c>
      <c r="O6459" s="38" t="s">
        <v>123</v>
      </c>
      <c r="P6459" s="38">
        <v>1620.0</v>
      </c>
      <c r="Q6459" s="39"/>
      <c r="R6459" s="39"/>
      <c r="S6459" s="39"/>
      <c r="T6459" s="39"/>
      <c r="U6459" s="39"/>
    </row>
    <row r="6460">
      <c r="A6460" s="40">
        <f t="shared" si="1"/>
        <v>46006</v>
      </c>
      <c r="B6460" s="37" t="str">
        <f t="array" ref="B6460">iferror(xlookup($I6460, 'IMPORT VHC Report'!$E:$E, 'IMPORT VHC Report'!$A:$C), )</f>
        <v/>
      </c>
      <c r="C6460" s="37"/>
      <c r="D6460" s="37"/>
      <c r="E6460" s="38" t="s">
        <v>7660</v>
      </c>
      <c r="F6460" s="38" t="s">
        <v>7617</v>
      </c>
      <c r="G6460" s="38">
        <v>9.795905277839E12</v>
      </c>
      <c r="H6460" s="38" t="s">
        <v>7618</v>
      </c>
      <c r="I6460" s="38" t="s">
        <v>7619</v>
      </c>
      <c r="J6460" s="38" t="s">
        <v>791</v>
      </c>
      <c r="K6460" s="38" t="s">
        <v>63</v>
      </c>
      <c r="L6460" s="41">
        <v>46011.06458333333</v>
      </c>
      <c r="M6460" s="38" t="s">
        <v>123</v>
      </c>
      <c r="N6460" s="41">
        <v>46011.131944444445</v>
      </c>
      <c r="O6460" s="38" t="s">
        <v>123</v>
      </c>
      <c r="P6460" s="38">
        <v>5820.0</v>
      </c>
      <c r="Q6460" s="39"/>
      <c r="R6460" s="39"/>
      <c r="S6460" s="39"/>
      <c r="T6460" s="39"/>
      <c r="U6460" s="39"/>
    </row>
    <row r="6461">
      <c r="A6461" s="40">
        <f t="shared" si="1"/>
        <v>46006</v>
      </c>
      <c r="B6461" s="37" t="str">
        <f t="array" ref="B6461">iferror(xlookup($I6461, 'IMPORT VHC Report'!$E:$E, 'IMPORT VHC Report'!$A:$C), )</f>
        <v/>
      </c>
      <c r="C6461" s="37"/>
      <c r="D6461" s="37"/>
      <c r="E6461" s="38" t="s">
        <v>7661</v>
      </c>
      <c r="F6461" s="38" t="s">
        <v>7617</v>
      </c>
      <c r="G6461" s="38">
        <v>9.795905277839E12</v>
      </c>
      <c r="H6461" s="38" t="s">
        <v>7618</v>
      </c>
      <c r="I6461" s="38" t="s">
        <v>7619</v>
      </c>
      <c r="J6461" s="38" t="s">
        <v>1670</v>
      </c>
      <c r="K6461" s="38" t="s">
        <v>63</v>
      </c>
      <c r="L6461" s="41">
        <v>46011.131944444445</v>
      </c>
      <c r="M6461" s="38" t="s">
        <v>123</v>
      </c>
      <c r="N6461" s="41">
        <v>46011.14791666667</v>
      </c>
      <c r="O6461" s="38" t="s">
        <v>123</v>
      </c>
      <c r="P6461" s="38">
        <v>1380.0</v>
      </c>
      <c r="Q6461" s="39"/>
      <c r="R6461" s="39"/>
      <c r="S6461" s="39"/>
      <c r="T6461" s="39"/>
      <c r="U6461" s="39"/>
    </row>
    <row r="6462">
      <c r="A6462" s="40">
        <f t="shared" si="1"/>
        <v>46006</v>
      </c>
      <c r="B6462" s="37" t="str">
        <f t="array" ref="B6462">iferror(xlookup($I6462, 'IMPORT VHC Report'!$E:$E, 'IMPORT VHC Report'!$A:$C), )</f>
        <v/>
      </c>
      <c r="C6462" s="37"/>
      <c r="D6462" s="37"/>
      <c r="E6462" s="38" t="s">
        <v>7662</v>
      </c>
      <c r="F6462" s="38" t="s">
        <v>7617</v>
      </c>
      <c r="G6462" s="38">
        <v>9.795905277839E12</v>
      </c>
      <c r="H6462" s="38" t="s">
        <v>7618</v>
      </c>
      <c r="I6462" s="38" t="s">
        <v>7619</v>
      </c>
      <c r="J6462" s="38" t="s">
        <v>791</v>
      </c>
      <c r="K6462" s="38" t="s">
        <v>63</v>
      </c>
      <c r="L6462" s="41">
        <v>46011.14791666667</v>
      </c>
      <c r="M6462" s="38" t="s">
        <v>123</v>
      </c>
      <c r="N6462" s="41">
        <v>46011.17291666667</v>
      </c>
      <c r="O6462" s="38" t="s">
        <v>123</v>
      </c>
      <c r="P6462" s="38">
        <v>2160.0</v>
      </c>
      <c r="Q6462" s="39"/>
      <c r="R6462" s="39"/>
      <c r="S6462" s="39"/>
      <c r="T6462" s="39"/>
      <c r="U6462" s="39"/>
    </row>
    <row r="6463">
      <c r="A6463" s="40">
        <f t="shared" si="1"/>
        <v>46006</v>
      </c>
      <c r="B6463" s="37" t="str">
        <f t="array" ref="B6463">iferror(xlookup($I6463, 'IMPORT VHC Report'!$E:$E, 'IMPORT VHC Report'!$A:$C), )</f>
        <v/>
      </c>
      <c r="C6463" s="37"/>
      <c r="D6463" s="37"/>
      <c r="E6463" s="38" t="s">
        <v>7663</v>
      </c>
      <c r="F6463" s="38" t="s">
        <v>7617</v>
      </c>
      <c r="G6463" s="38">
        <v>9.795905277839E12</v>
      </c>
      <c r="H6463" s="38" t="s">
        <v>7618</v>
      </c>
      <c r="I6463" s="38" t="s">
        <v>7619</v>
      </c>
      <c r="J6463" s="38" t="s">
        <v>1670</v>
      </c>
      <c r="K6463" s="38" t="s">
        <v>63</v>
      </c>
      <c r="L6463" s="41">
        <v>46011.17291666667</v>
      </c>
      <c r="M6463" s="38" t="s">
        <v>123</v>
      </c>
      <c r="N6463" s="41">
        <v>46011.180555555555</v>
      </c>
      <c r="O6463" s="38" t="s">
        <v>123</v>
      </c>
      <c r="P6463" s="38">
        <v>660.0</v>
      </c>
      <c r="Q6463" s="39"/>
      <c r="R6463" s="39"/>
      <c r="S6463" s="39"/>
      <c r="T6463" s="39"/>
      <c r="U6463" s="39"/>
    </row>
    <row r="6464">
      <c r="A6464" s="40">
        <f t="shared" si="1"/>
        <v>46006</v>
      </c>
      <c r="B6464" s="37" t="str">
        <f t="array" ref="B6464">iferror(xlookup($I6464, 'IMPORT VHC Report'!$E:$E, 'IMPORT VHC Report'!$A:$C), )</f>
        <v/>
      </c>
      <c r="C6464" s="37"/>
      <c r="D6464" s="37"/>
      <c r="E6464" s="38" t="s">
        <v>7664</v>
      </c>
      <c r="F6464" s="38" t="s">
        <v>7617</v>
      </c>
      <c r="G6464" s="38">
        <v>9.795905277839E12</v>
      </c>
      <c r="H6464" s="38" t="s">
        <v>7618</v>
      </c>
      <c r="I6464" s="38" t="s">
        <v>7619</v>
      </c>
      <c r="J6464" s="38" t="s">
        <v>791</v>
      </c>
      <c r="K6464" s="38" t="s">
        <v>63</v>
      </c>
      <c r="L6464" s="41">
        <v>46011.180555555555</v>
      </c>
      <c r="M6464" s="38" t="s">
        <v>123</v>
      </c>
      <c r="N6464" s="41">
        <v>46011.20625</v>
      </c>
      <c r="O6464" s="38" t="s">
        <v>123</v>
      </c>
      <c r="P6464" s="38">
        <v>2220.0</v>
      </c>
      <c r="Q6464" s="39"/>
      <c r="R6464" s="39"/>
      <c r="S6464" s="39"/>
      <c r="T6464" s="39"/>
      <c r="U6464" s="39"/>
    </row>
    <row r="6465">
      <c r="A6465" s="40">
        <f t="shared" si="1"/>
        <v>46006</v>
      </c>
      <c r="B6465" s="37" t="str">
        <f t="array" ref="B6465">iferror(xlookup($I6465, 'IMPORT VHC Report'!$E:$E, 'IMPORT VHC Report'!$A:$C), )</f>
        <v/>
      </c>
      <c r="C6465" s="37"/>
      <c r="D6465" s="37"/>
      <c r="E6465" s="38" t="s">
        <v>7665</v>
      </c>
      <c r="F6465" s="38" t="s">
        <v>7617</v>
      </c>
      <c r="G6465" s="38">
        <v>9.795905277839E12</v>
      </c>
      <c r="H6465" s="38" t="s">
        <v>7618</v>
      </c>
      <c r="I6465" s="38" t="s">
        <v>7619</v>
      </c>
      <c r="J6465" s="38" t="s">
        <v>1670</v>
      </c>
      <c r="K6465" s="38" t="s">
        <v>63</v>
      </c>
      <c r="L6465" s="41">
        <v>46011.20625</v>
      </c>
      <c r="M6465" s="38" t="s">
        <v>123</v>
      </c>
      <c r="N6465" s="41">
        <v>46011.254166666666</v>
      </c>
      <c r="O6465" s="38" t="s">
        <v>123</v>
      </c>
      <c r="P6465" s="38">
        <v>4140.0</v>
      </c>
      <c r="Q6465" s="39"/>
      <c r="R6465" s="39"/>
      <c r="S6465" s="39"/>
      <c r="T6465" s="39"/>
      <c r="U6465" s="39"/>
    </row>
    <row r="6466">
      <c r="A6466" s="40">
        <f t="shared" si="1"/>
        <v>46006</v>
      </c>
      <c r="B6466" s="37" t="str">
        <f t="array" ref="B6466">iferror(xlookup($I6466, 'IMPORT VHC Report'!$E:$E, 'IMPORT VHC Report'!$A:$C), )</f>
        <v/>
      </c>
      <c r="C6466" s="37"/>
      <c r="D6466" s="37"/>
      <c r="E6466" s="38" t="s">
        <v>7666</v>
      </c>
      <c r="F6466" s="38" t="s">
        <v>7617</v>
      </c>
      <c r="G6466" s="38">
        <v>9.795905277839E12</v>
      </c>
      <c r="H6466" s="38" t="s">
        <v>7618</v>
      </c>
      <c r="I6466" s="38" t="s">
        <v>7619</v>
      </c>
      <c r="J6466" s="38" t="s">
        <v>791</v>
      </c>
      <c r="K6466" s="38" t="s">
        <v>63</v>
      </c>
      <c r="L6466" s="41">
        <v>46011.254166666666</v>
      </c>
      <c r="M6466" s="38" t="s">
        <v>123</v>
      </c>
      <c r="N6466" s="41">
        <v>46011.270833333336</v>
      </c>
      <c r="O6466" s="38" t="s">
        <v>123</v>
      </c>
      <c r="P6466" s="38">
        <v>1440.0</v>
      </c>
      <c r="Q6466" s="39"/>
      <c r="R6466" s="39"/>
      <c r="S6466" s="39"/>
      <c r="T6466" s="39"/>
      <c r="U6466" s="39"/>
    </row>
    <row r="6467">
      <c r="A6467" s="40">
        <f t="shared" si="1"/>
        <v>46006</v>
      </c>
      <c r="B6467" s="37" t="str">
        <f t="array" ref="B6467">iferror(xlookup($I6467, 'IMPORT VHC Report'!$E:$E, 'IMPORT VHC Report'!$A:$C), )</f>
        <v/>
      </c>
      <c r="C6467" s="37"/>
      <c r="D6467" s="37"/>
      <c r="E6467" s="38" t="s">
        <v>7667</v>
      </c>
      <c r="F6467" s="38" t="s">
        <v>7617</v>
      </c>
      <c r="G6467" s="38">
        <v>9.795905277839E12</v>
      </c>
      <c r="H6467" s="38" t="s">
        <v>7618</v>
      </c>
      <c r="I6467" s="38" t="s">
        <v>7619</v>
      </c>
      <c r="J6467" s="38" t="s">
        <v>132</v>
      </c>
      <c r="K6467" s="38" t="s">
        <v>126</v>
      </c>
      <c r="L6467" s="41">
        <v>46011.270833333336</v>
      </c>
      <c r="M6467" s="38" t="s">
        <v>123</v>
      </c>
      <c r="N6467" s="41">
        <v>46011.3125</v>
      </c>
      <c r="O6467" s="38" t="s">
        <v>123</v>
      </c>
      <c r="P6467" s="38">
        <v>3600.0</v>
      </c>
      <c r="Q6467" s="39"/>
      <c r="R6467" s="39"/>
      <c r="S6467" s="39"/>
      <c r="T6467" s="39"/>
      <c r="U6467" s="39"/>
    </row>
    <row r="6468">
      <c r="A6468" s="40">
        <f t="shared" si="1"/>
        <v>46006</v>
      </c>
      <c r="B6468" s="37" t="str">
        <f t="array" ref="B6468">iferror(xlookup($I6468, 'IMPORT VHC Report'!$E:$E, 'IMPORT VHC Report'!$A:$C), )</f>
        <v/>
      </c>
      <c r="C6468" s="37"/>
      <c r="D6468" s="37"/>
      <c r="E6468" s="38" t="s">
        <v>7668</v>
      </c>
      <c r="F6468" s="38" t="s">
        <v>7617</v>
      </c>
      <c r="G6468" s="38">
        <v>9.795905277839E12</v>
      </c>
      <c r="H6468" s="38" t="s">
        <v>7618</v>
      </c>
      <c r="I6468" s="38" t="s">
        <v>7619</v>
      </c>
      <c r="J6468" s="38" t="s">
        <v>1670</v>
      </c>
      <c r="K6468" s="38" t="s">
        <v>63</v>
      </c>
      <c r="L6468" s="41">
        <v>46011.270833333336</v>
      </c>
      <c r="M6468" s="38" t="s">
        <v>123</v>
      </c>
      <c r="N6468" s="41">
        <v>46011.333333333336</v>
      </c>
      <c r="O6468" s="38" t="s">
        <v>123</v>
      </c>
      <c r="P6468" s="38">
        <v>5400.0</v>
      </c>
      <c r="Q6468" s="39"/>
      <c r="R6468" s="39"/>
      <c r="S6468" s="39"/>
      <c r="T6468" s="39"/>
      <c r="U6468" s="39"/>
    </row>
    <row r="6469">
      <c r="A6469" s="40">
        <f t="shared" si="1"/>
        <v>46006</v>
      </c>
      <c r="B6469" s="37" t="str">
        <f t="array" ref="B6469">iferror(xlookup($I6469, 'IMPORT VHC Report'!$E:$E, 'IMPORT VHC Report'!$A:$C), )</f>
        <v/>
      </c>
      <c r="C6469" s="37"/>
      <c r="D6469" s="37"/>
      <c r="E6469" s="38" t="s">
        <v>7669</v>
      </c>
      <c r="F6469" s="38" t="s">
        <v>7617</v>
      </c>
      <c r="G6469" s="38">
        <v>9.795905277839E12</v>
      </c>
      <c r="H6469" s="38" t="s">
        <v>7618</v>
      </c>
      <c r="I6469" s="38" t="s">
        <v>7619</v>
      </c>
      <c r="J6469" s="38" t="s">
        <v>134</v>
      </c>
      <c r="K6469" s="38" t="s">
        <v>126</v>
      </c>
      <c r="L6469" s="41">
        <v>46011.3125</v>
      </c>
      <c r="M6469" s="38" t="s">
        <v>123</v>
      </c>
      <c r="N6469" s="41">
        <v>46011.333333333336</v>
      </c>
      <c r="O6469" s="38" t="s">
        <v>123</v>
      </c>
      <c r="P6469" s="38">
        <v>1800.0</v>
      </c>
      <c r="Q6469" s="39"/>
      <c r="R6469" s="39"/>
      <c r="S6469" s="39"/>
      <c r="T6469" s="39"/>
      <c r="U6469" s="39"/>
    </row>
    <row r="6470">
      <c r="A6470" s="40">
        <f t="shared" si="1"/>
        <v>46006</v>
      </c>
      <c r="B6470" s="37" t="str">
        <f t="array" ref="B6470">iferror(xlookup($I6470, 'IMPORT VHC Report'!$E:$E, 'IMPORT VHC Report'!$A:$C), )</f>
        <v/>
      </c>
      <c r="C6470" s="37"/>
      <c r="D6470" s="37"/>
      <c r="E6470" s="38" t="s">
        <v>7670</v>
      </c>
      <c r="F6470" s="38" t="s">
        <v>7617</v>
      </c>
      <c r="G6470" s="38">
        <v>9.795905277839E12</v>
      </c>
      <c r="H6470" s="38" t="s">
        <v>7618</v>
      </c>
      <c r="I6470" s="38" t="s">
        <v>7619</v>
      </c>
      <c r="J6470" s="38" t="s">
        <v>1670</v>
      </c>
      <c r="K6470" s="38" t="s">
        <v>63</v>
      </c>
      <c r="L6470" s="41">
        <v>46011.958333333336</v>
      </c>
      <c r="M6470" s="38" t="s">
        <v>123</v>
      </c>
      <c r="N6470" s="41">
        <v>46012.06527777778</v>
      </c>
      <c r="O6470" s="38" t="s">
        <v>123</v>
      </c>
      <c r="P6470" s="38">
        <v>9240.0</v>
      </c>
      <c r="Q6470" s="39"/>
      <c r="R6470" s="39"/>
      <c r="S6470" s="39"/>
      <c r="T6470" s="39"/>
      <c r="U6470" s="39"/>
    </row>
    <row r="6471">
      <c r="A6471" s="40">
        <f t="shared" si="1"/>
        <v>46006</v>
      </c>
      <c r="B6471" s="37" t="str">
        <f t="array" ref="B6471">iferror(xlookup($I6471, 'IMPORT VHC Report'!$E:$E, 'IMPORT VHC Report'!$A:$C), )</f>
        <v/>
      </c>
      <c r="C6471" s="37"/>
      <c r="D6471" s="37"/>
      <c r="E6471" s="38" t="s">
        <v>7671</v>
      </c>
      <c r="F6471" s="38" t="s">
        <v>7617</v>
      </c>
      <c r="G6471" s="38">
        <v>9.795905277839E12</v>
      </c>
      <c r="H6471" s="38" t="s">
        <v>7618</v>
      </c>
      <c r="I6471" s="38" t="s">
        <v>7619</v>
      </c>
      <c r="J6471" s="38" t="s">
        <v>791</v>
      </c>
      <c r="K6471" s="38" t="s">
        <v>63</v>
      </c>
      <c r="L6471" s="41">
        <v>46012.06527777778</v>
      </c>
      <c r="M6471" s="38" t="s">
        <v>123</v>
      </c>
      <c r="N6471" s="41">
        <v>46012.07708333333</v>
      </c>
      <c r="O6471" s="38" t="s">
        <v>123</v>
      </c>
      <c r="P6471" s="38">
        <v>1020.0</v>
      </c>
      <c r="Q6471" s="39"/>
      <c r="R6471" s="39"/>
      <c r="S6471" s="39"/>
      <c r="T6471" s="39"/>
      <c r="U6471" s="39"/>
    </row>
    <row r="6472">
      <c r="A6472" s="40">
        <f t="shared" si="1"/>
        <v>46006</v>
      </c>
      <c r="B6472" s="37" t="str">
        <f t="array" ref="B6472">iferror(xlookup($I6472, 'IMPORT VHC Report'!$E:$E, 'IMPORT VHC Report'!$A:$C), )</f>
        <v/>
      </c>
      <c r="C6472" s="37"/>
      <c r="D6472" s="37"/>
      <c r="E6472" s="38" t="s">
        <v>7672</v>
      </c>
      <c r="F6472" s="38" t="s">
        <v>7617</v>
      </c>
      <c r="G6472" s="38">
        <v>9.795905277839E12</v>
      </c>
      <c r="H6472" s="38" t="s">
        <v>7618</v>
      </c>
      <c r="I6472" s="38" t="s">
        <v>7619</v>
      </c>
      <c r="J6472" s="38" t="s">
        <v>1670</v>
      </c>
      <c r="K6472" s="38" t="s">
        <v>63</v>
      </c>
      <c r="L6472" s="41">
        <v>46012.07708333333</v>
      </c>
      <c r="M6472" s="38" t="s">
        <v>123</v>
      </c>
      <c r="N6472" s="41">
        <v>46012.25</v>
      </c>
      <c r="O6472" s="38" t="s">
        <v>123</v>
      </c>
      <c r="P6472" s="38">
        <v>14940.0</v>
      </c>
      <c r="Q6472" s="39"/>
      <c r="R6472" s="39"/>
      <c r="S6472" s="39"/>
      <c r="T6472" s="39"/>
      <c r="U6472" s="39"/>
    </row>
    <row r="6473">
      <c r="A6473" s="40">
        <f t="shared" si="1"/>
        <v>46006</v>
      </c>
      <c r="B6473" s="37" t="str">
        <f t="array" ref="B6473">iferror(xlookup($I6473, 'IMPORT VHC Report'!$E:$E, 'IMPORT VHC Report'!$A:$C), )</f>
        <v/>
      </c>
      <c r="C6473" s="37"/>
      <c r="D6473" s="37"/>
      <c r="E6473" s="38" t="s">
        <v>7673</v>
      </c>
      <c r="F6473" s="38" t="s">
        <v>7617</v>
      </c>
      <c r="G6473" s="38">
        <v>9.795905277839E12</v>
      </c>
      <c r="H6473" s="38" t="s">
        <v>7618</v>
      </c>
      <c r="I6473" s="38" t="s">
        <v>7619</v>
      </c>
      <c r="J6473" s="38" t="s">
        <v>132</v>
      </c>
      <c r="K6473" s="38" t="s">
        <v>126</v>
      </c>
      <c r="L6473" s="41">
        <v>46012.1875</v>
      </c>
      <c r="M6473" s="38" t="s">
        <v>123</v>
      </c>
      <c r="N6473" s="41">
        <v>46012.229166666664</v>
      </c>
      <c r="O6473" s="38" t="s">
        <v>123</v>
      </c>
      <c r="P6473" s="38">
        <v>3600.0</v>
      </c>
      <c r="Q6473" s="39"/>
      <c r="R6473" s="39"/>
      <c r="S6473" s="39"/>
      <c r="T6473" s="39"/>
      <c r="U6473" s="39"/>
    </row>
    <row r="6474">
      <c r="A6474" s="40">
        <f t="shared" si="1"/>
        <v>46006</v>
      </c>
      <c r="B6474" s="37" t="str">
        <f t="array" ref="B6474">iferror(xlookup($I6474, 'IMPORT VHC Report'!$E:$E, 'IMPORT VHC Report'!$A:$C), )</f>
        <v/>
      </c>
      <c r="C6474" s="37"/>
      <c r="D6474" s="37"/>
      <c r="E6474" s="38" t="s">
        <v>7674</v>
      </c>
      <c r="F6474" s="38" t="s">
        <v>7617</v>
      </c>
      <c r="G6474" s="38">
        <v>9.795905277839E12</v>
      </c>
      <c r="H6474" s="38" t="s">
        <v>7618</v>
      </c>
      <c r="I6474" s="38" t="s">
        <v>7619</v>
      </c>
      <c r="J6474" s="38" t="s">
        <v>134</v>
      </c>
      <c r="K6474" s="38" t="s">
        <v>126</v>
      </c>
      <c r="L6474" s="41">
        <v>46012.229166666664</v>
      </c>
      <c r="M6474" s="38" t="s">
        <v>123</v>
      </c>
      <c r="N6474" s="41">
        <v>46012.25</v>
      </c>
      <c r="O6474" s="38" t="s">
        <v>123</v>
      </c>
      <c r="P6474" s="38">
        <v>1800.0</v>
      </c>
      <c r="Q6474" s="39"/>
      <c r="R6474" s="39"/>
      <c r="S6474" s="39"/>
      <c r="T6474" s="39"/>
      <c r="U6474" s="39"/>
    </row>
    <row r="6475">
      <c r="A6475" s="40">
        <f t="shared" si="1"/>
        <v>46006</v>
      </c>
      <c r="B6475" s="37" t="str">
        <f t="array" ref="B6475">iferror(xlookup($I6475, 'IMPORT VHC Report'!$E:$E, 'IMPORT VHC Report'!$A:$C), )</f>
        <v/>
      </c>
      <c r="C6475" s="37"/>
      <c r="D6475" s="37"/>
      <c r="E6475" s="38" t="s">
        <v>7675</v>
      </c>
      <c r="F6475" s="38" t="s">
        <v>7617</v>
      </c>
      <c r="G6475" s="38">
        <v>9.795905277839E12</v>
      </c>
      <c r="H6475" s="38" t="s">
        <v>7618</v>
      </c>
      <c r="I6475" s="38" t="s">
        <v>7619</v>
      </c>
      <c r="J6475" s="38" t="s">
        <v>791</v>
      </c>
      <c r="K6475" s="38" t="s">
        <v>63</v>
      </c>
      <c r="L6475" s="41">
        <v>46012.25</v>
      </c>
      <c r="M6475" s="38" t="s">
        <v>123</v>
      </c>
      <c r="N6475" s="41">
        <v>46012.27361111111</v>
      </c>
      <c r="O6475" s="38" t="s">
        <v>123</v>
      </c>
      <c r="P6475" s="38">
        <v>2040.0</v>
      </c>
      <c r="Q6475" s="39"/>
      <c r="R6475" s="39"/>
      <c r="S6475" s="39"/>
      <c r="T6475" s="39"/>
      <c r="U6475" s="39"/>
    </row>
    <row r="6476">
      <c r="A6476" s="40">
        <f t="shared" si="1"/>
        <v>46006</v>
      </c>
      <c r="B6476" s="37" t="str">
        <f t="array" ref="B6476">iferror(xlookup($I6476, 'IMPORT VHC Report'!$E:$E, 'IMPORT VHC Report'!$A:$C), )</f>
        <v/>
      </c>
      <c r="C6476" s="37"/>
      <c r="D6476" s="37"/>
      <c r="E6476" s="38" t="s">
        <v>7676</v>
      </c>
      <c r="F6476" s="38" t="s">
        <v>7617</v>
      </c>
      <c r="G6476" s="38">
        <v>9.795905277839E12</v>
      </c>
      <c r="H6476" s="38" t="s">
        <v>7618</v>
      </c>
      <c r="I6476" s="38" t="s">
        <v>7619</v>
      </c>
      <c r="J6476" s="38" t="s">
        <v>1670</v>
      </c>
      <c r="K6476" s="38" t="s">
        <v>63</v>
      </c>
      <c r="L6476" s="41">
        <v>46012.27361111111</v>
      </c>
      <c r="M6476" s="38" t="s">
        <v>123</v>
      </c>
      <c r="N6476" s="41">
        <v>46012.333333333336</v>
      </c>
      <c r="O6476" s="38" t="s">
        <v>123</v>
      </c>
      <c r="P6476" s="38">
        <v>5160.0</v>
      </c>
      <c r="Q6476" s="39"/>
      <c r="R6476" s="39"/>
      <c r="S6476" s="39"/>
      <c r="T6476" s="39"/>
      <c r="U6476" s="39"/>
    </row>
    <row r="6477">
      <c r="A6477" s="40">
        <f t="shared" si="1"/>
        <v>46006</v>
      </c>
      <c r="B6477" s="37" t="str">
        <f t="array" ref="B6477">iferror(xlookup($I6477, 'IMPORT VHC Report'!$E:$E, 'IMPORT VHC Report'!$A:$C), )</f>
        <v/>
      </c>
      <c r="C6477" s="37"/>
      <c r="D6477" s="37"/>
      <c r="E6477" s="38" t="s">
        <v>7677</v>
      </c>
      <c r="F6477" s="38" t="s">
        <v>7678</v>
      </c>
      <c r="G6477" s="38">
        <v>3.61861298295E11</v>
      </c>
      <c r="H6477" s="38" t="s">
        <v>7679</v>
      </c>
      <c r="I6477" s="38" t="s">
        <v>7680</v>
      </c>
      <c r="J6477" s="38" t="s">
        <v>4</v>
      </c>
      <c r="K6477" s="38" t="s">
        <v>126</v>
      </c>
      <c r="L6477" s="41">
        <v>46008.0</v>
      </c>
      <c r="M6477" s="38" t="s">
        <v>123</v>
      </c>
      <c r="N6477" s="41">
        <v>46008.020833333336</v>
      </c>
      <c r="O6477" s="38" t="s">
        <v>123</v>
      </c>
      <c r="P6477" s="38">
        <v>1800.0</v>
      </c>
      <c r="Q6477" s="39"/>
      <c r="R6477" s="39"/>
      <c r="S6477" s="38" t="s">
        <v>2237</v>
      </c>
      <c r="T6477" s="39"/>
      <c r="U6477" s="39"/>
    </row>
    <row r="6478">
      <c r="A6478" s="40">
        <f t="shared" si="1"/>
        <v>46006</v>
      </c>
      <c r="B6478" s="37" t="str">
        <f t="array" ref="B6478">iferror(xlookup($I6478, 'IMPORT VHC Report'!$E:$E, 'IMPORT VHC Report'!$A:$C), )</f>
        <v/>
      </c>
      <c r="C6478" s="37"/>
      <c r="D6478" s="37"/>
      <c r="E6478" s="38" t="s">
        <v>7681</v>
      </c>
      <c r="F6478" s="38" t="s">
        <v>7678</v>
      </c>
      <c r="G6478" s="38">
        <v>3.61861298295E11</v>
      </c>
      <c r="H6478" s="38" t="s">
        <v>7679</v>
      </c>
      <c r="I6478" s="38" t="s">
        <v>7680</v>
      </c>
      <c r="J6478" s="38" t="s">
        <v>530</v>
      </c>
      <c r="K6478" s="38" t="s">
        <v>63</v>
      </c>
      <c r="L6478" s="41">
        <v>46008.0</v>
      </c>
      <c r="M6478" s="38" t="s">
        <v>123</v>
      </c>
      <c r="N6478" s="41">
        <v>46008.375</v>
      </c>
      <c r="O6478" s="38" t="s">
        <v>123</v>
      </c>
      <c r="P6478" s="38">
        <v>32400.0</v>
      </c>
      <c r="Q6478" s="39"/>
      <c r="R6478" s="39"/>
      <c r="S6478" s="39"/>
      <c r="T6478" s="39"/>
      <c r="U6478" s="39"/>
    </row>
    <row r="6479">
      <c r="A6479" s="40">
        <f t="shared" si="1"/>
        <v>46006</v>
      </c>
      <c r="B6479" s="37" t="str">
        <f t="array" ref="B6479">iferror(xlookup($I6479, 'IMPORT VHC Report'!$E:$E, 'IMPORT VHC Report'!$A:$C), )</f>
        <v/>
      </c>
      <c r="C6479" s="37"/>
      <c r="D6479" s="37"/>
      <c r="E6479" s="38" t="s">
        <v>7682</v>
      </c>
      <c r="F6479" s="38" t="s">
        <v>7678</v>
      </c>
      <c r="G6479" s="38">
        <v>3.61861298295E11</v>
      </c>
      <c r="H6479" s="38" t="s">
        <v>7679</v>
      </c>
      <c r="I6479" s="38" t="s">
        <v>7680</v>
      </c>
      <c r="J6479" s="38" t="s">
        <v>132</v>
      </c>
      <c r="K6479" s="38" t="s">
        <v>126</v>
      </c>
      <c r="L6479" s="41">
        <v>46008.3125</v>
      </c>
      <c r="M6479" s="38" t="s">
        <v>123</v>
      </c>
      <c r="N6479" s="41">
        <v>46008.354166666664</v>
      </c>
      <c r="O6479" s="38" t="s">
        <v>123</v>
      </c>
      <c r="P6479" s="38">
        <v>3600.0</v>
      </c>
      <c r="Q6479" s="39"/>
      <c r="R6479" s="39"/>
      <c r="S6479" s="39"/>
      <c r="T6479" s="39"/>
      <c r="U6479" s="39"/>
    </row>
    <row r="6480">
      <c r="A6480" s="40">
        <f t="shared" si="1"/>
        <v>46006</v>
      </c>
      <c r="B6480" s="37" t="str">
        <f t="array" ref="B6480">iferror(xlookup($I6480, 'IMPORT VHC Report'!$E:$E, 'IMPORT VHC Report'!$A:$C), )</f>
        <v/>
      </c>
      <c r="C6480" s="37"/>
      <c r="D6480" s="37"/>
      <c r="E6480" s="38" t="s">
        <v>7683</v>
      </c>
      <c r="F6480" s="38" t="s">
        <v>7678</v>
      </c>
      <c r="G6480" s="38">
        <v>3.61861298295E11</v>
      </c>
      <c r="H6480" s="38" t="s">
        <v>7679</v>
      </c>
      <c r="I6480" s="38" t="s">
        <v>7680</v>
      </c>
      <c r="J6480" s="38" t="s">
        <v>134</v>
      </c>
      <c r="K6480" s="38" t="s">
        <v>126</v>
      </c>
      <c r="L6480" s="41">
        <v>46008.354166666664</v>
      </c>
      <c r="M6480" s="38" t="s">
        <v>123</v>
      </c>
      <c r="N6480" s="41">
        <v>46008.375</v>
      </c>
      <c r="O6480" s="38" t="s">
        <v>123</v>
      </c>
      <c r="P6480" s="38">
        <v>1800.0</v>
      </c>
      <c r="Q6480" s="39"/>
      <c r="R6480" s="39"/>
      <c r="S6480" s="39"/>
      <c r="T6480" s="39"/>
      <c r="U6480" s="39"/>
    </row>
    <row r="6481">
      <c r="A6481" s="40">
        <f t="shared" si="1"/>
        <v>46006</v>
      </c>
      <c r="B6481" s="37" t="str">
        <f t="array" ref="B6481">iferror(xlookup($I6481, 'IMPORT VHC Report'!$E:$E, 'IMPORT VHC Report'!$A:$C), )</f>
        <v/>
      </c>
      <c r="C6481" s="37"/>
      <c r="D6481" s="37"/>
      <c r="E6481" s="38" t="s">
        <v>7684</v>
      </c>
      <c r="F6481" s="38" t="s">
        <v>7678</v>
      </c>
      <c r="G6481" s="38">
        <v>3.61861298295E11</v>
      </c>
      <c r="H6481" s="38" t="s">
        <v>7679</v>
      </c>
      <c r="I6481" s="38" t="s">
        <v>7680</v>
      </c>
      <c r="J6481" s="38" t="s">
        <v>4</v>
      </c>
      <c r="K6481" s="38" t="s">
        <v>126</v>
      </c>
      <c r="L6481" s="41">
        <v>46008.875</v>
      </c>
      <c r="M6481" s="38" t="s">
        <v>123</v>
      </c>
      <c r="N6481" s="41">
        <v>46008.895833333336</v>
      </c>
      <c r="O6481" s="38" t="s">
        <v>123</v>
      </c>
      <c r="P6481" s="38">
        <v>1800.0</v>
      </c>
      <c r="Q6481" s="39"/>
      <c r="R6481" s="39"/>
      <c r="S6481" s="39"/>
      <c r="T6481" s="39"/>
      <c r="U6481" s="39"/>
    </row>
    <row r="6482">
      <c r="A6482" s="40">
        <f t="shared" si="1"/>
        <v>46006</v>
      </c>
      <c r="B6482" s="37" t="str">
        <f t="array" ref="B6482">iferror(xlookup($I6482, 'IMPORT VHC Report'!$E:$E, 'IMPORT VHC Report'!$A:$C), )</f>
        <v/>
      </c>
      <c r="C6482" s="37"/>
      <c r="D6482" s="37"/>
      <c r="E6482" s="38" t="s">
        <v>7685</v>
      </c>
      <c r="F6482" s="38" t="s">
        <v>7678</v>
      </c>
      <c r="G6482" s="38">
        <v>3.61861298295E11</v>
      </c>
      <c r="H6482" s="38" t="s">
        <v>7679</v>
      </c>
      <c r="I6482" s="38" t="s">
        <v>7680</v>
      </c>
      <c r="J6482" s="38" t="s">
        <v>530</v>
      </c>
      <c r="K6482" s="38" t="s">
        <v>63</v>
      </c>
      <c r="L6482" s="41">
        <v>46008.875</v>
      </c>
      <c r="M6482" s="38" t="s">
        <v>123</v>
      </c>
      <c r="N6482" s="41">
        <v>46009.25</v>
      </c>
      <c r="O6482" s="38" t="s">
        <v>123</v>
      </c>
      <c r="P6482" s="38">
        <v>32400.0</v>
      </c>
      <c r="Q6482" s="39"/>
      <c r="R6482" s="39"/>
      <c r="S6482" s="39"/>
      <c r="T6482" s="39"/>
      <c r="U6482" s="39"/>
    </row>
    <row r="6483">
      <c r="A6483" s="40">
        <f t="shared" si="1"/>
        <v>46006</v>
      </c>
      <c r="B6483" s="37" t="str">
        <f t="array" ref="B6483">iferror(xlookup($I6483, 'IMPORT VHC Report'!$E:$E, 'IMPORT VHC Report'!$A:$C), )</f>
        <v/>
      </c>
      <c r="C6483" s="37"/>
      <c r="D6483" s="37"/>
      <c r="E6483" s="38" t="s">
        <v>7686</v>
      </c>
      <c r="F6483" s="38" t="s">
        <v>7678</v>
      </c>
      <c r="G6483" s="38">
        <v>3.61861298295E11</v>
      </c>
      <c r="H6483" s="38" t="s">
        <v>7679</v>
      </c>
      <c r="I6483" s="38" t="s">
        <v>7680</v>
      </c>
      <c r="J6483" s="38" t="s">
        <v>4</v>
      </c>
      <c r="K6483" s="38" t="s">
        <v>126</v>
      </c>
      <c r="L6483" s="41">
        <v>46008.895833333336</v>
      </c>
      <c r="M6483" s="38" t="s">
        <v>123</v>
      </c>
      <c r="N6483" s="41">
        <v>46008.958333333336</v>
      </c>
      <c r="O6483" s="38" t="s">
        <v>123</v>
      </c>
      <c r="P6483" s="38">
        <v>5400.0</v>
      </c>
      <c r="Q6483" s="39"/>
      <c r="R6483" s="39"/>
      <c r="S6483" s="38" t="s">
        <v>1209</v>
      </c>
      <c r="T6483" s="39"/>
      <c r="U6483" s="39"/>
    </row>
    <row r="6484">
      <c r="A6484" s="40">
        <f t="shared" si="1"/>
        <v>46006</v>
      </c>
      <c r="B6484" s="37" t="str">
        <f t="array" ref="B6484">iferror(xlookup($I6484, 'IMPORT VHC Report'!$E:$E, 'IMPORT VHC Report'!$A:$C), )</f>
        <v/>
      </c>
      <c r="C6484" s="37"/>
      <c r="D6484" s="37"/>
      <c r="E6484" s="38" t="s">
        <v>7687</v>
      </c>
      <c r="F6484" s="38" t="s">
        <v>7678</v>
      </c>
      <c r="G6484" s="38">
        <v>3.61861298295E11</v>
      </c>
      <c r="H6484" s="38" t="s">
        <v>7679</v>
      </c>
      <c r="I6484" s="38" t="s">
        <v>7680</v>
      </c>
      <c r="J6484" s="38" t="s">
        <v>134</v>
      </c>
      <c r="K6484" s="38" t="s">
        <v>126</v>
      </c>
      <c r="L6484" s="41">
        <v>46008.96875</v>
      </c>
      <c r="M6484" s="38" t="s">
        <v>123</v>
      </c>
      <c r="N6484" s="41">
        <v>46008.989583333336</v>
      </c>
      <c r="O6484" s="38" t="s">
        <v>123</v>
      </c>
      <c r="P6484" s="38">
        <v>1800.0</v>
      </c>
      <c r="Q6484" s="39"/>
      <c r="R6484" s="39"/>
      <c r="S6484" s="39"/>
      <c r="T6484" s="39"/>
      <c r="U6484" s="39"/>
    </row>
    <row r="6485">
      <c r="A6485" s="40">
        <f t="shared" si="1"/>
        <v>46006</v>
      </c>
      <c r="B6485" s="37" t="str">
        <f t="array" ref="B6485">iferror(xlookup($I6485, 'IMPORT VHC Report'!$E:$E, 'IMPORT VHC Report'!$A:$C), )</f>
        <v/>
      </c>
      <c r="C6485" s="37"/>
      <c r="D6485" s="37"/>
      <c r="E6485" s="38" t="s">
        <v>7688</v>
      </c>
      <c r="F6485" s="38" t="s">
        <v>7678</v>
      </c>
      <c r="G6485" s="38">
        <v>3.61861298295E11</v>
      </c>
      <c r="H6485" s="38" t="s">
        <v>7679</v>
      </c>
      <c r="I6485" s="38" t="s">
        <v>7680</v>
      </c>
      <c r="J6485" s="38" t="s">
        <v>132</v>
      </c>
      <c r="K6485" s="38" t="s">
        <v>126</v>
      </c>
      <c r="L6485" s="41">
        <v>46009.125</v>
      </c>
      <c r="M6485" s="38" t="s">
        <v>123</v>
      </c>
      <c r="N6485" s="41">
        <v>46009.166666666664</v>
      </c>
      <c r="O6485" s="38" t="s">
        <v>123</v>
      </c>
      <c r="P6485" s="38">
        <v>3600.0</v>
      </c>
      <c r="Q6485" s="39"/>
      <c r="R6485" s="39"/>
      <c r="S6485" s="39"/>
      <c r="T6485" s="39"/>
      <c r="U6485" s="39"/>
    </row>
    <row r="6486">
      <c r="A6486" s="40">
        <f t="shared" si="1"/>
        <v>46006</v>
      </c>
      <c r="B6486" s="37" t="str">
        <f t="array" ref="B6486">iferror(xlookup($I6486, 'IMPORT VHC Report'!$E:$E, 'IMPORT VHC Report'!$A:$C), )</f>
        <v/>
      </c>
      <c r="C6486" s="37"/>
      <c r="D6486" s="37"/>
      <c r="E6486" s="38" t="s">
        <v>7689</v>
      </c>
      <c r="F6486" s="38" t="s">
        <v>7678</v>
      </c>
      <c r="G6486" s="38">
        <v>3.61861298295E11</v>
      </c>
      <c r="H6486" s="38" t="s">
        <v>7679</v>
      </c>
      <c r="I6486" s="38" t="s">
        <v>7680</v>
      </c>
      <c r="J6486" s="38" t="s">
        <v>4</v>
      </c>
      <c r="K6486" s="38" t="s">
        <v>126</v>
      </c>
      <c r="L6486" s="41">
        <v>46009.208333333336</v>
      </c>
      <c r="M6486" s="38" t="s">
        <v>123</v>
      </c>
      <c r="N6486" s="41">
        <v>46009.25</v>
      </c>
      <c r="O6486" s="38" t="s">
        <v>123</v>
      </c>
      <c r="P6486" s="38">
        <v>3600.0</v>
      </c>
      <c r="Q6486" s="39"/>
      <c r="R6486" s="39"/>
      <c r="S6486" s="38" t="s">
        <v>858</v>
      </c>
      <c r="T6486" s="39"/>
      <c r="U6486" s="39"/>
    </row>
    <row r="6487">
      <c r="A6487" s="40">
        <f t="shared" si="1"/>
        <v>46006</v>
      </c>
      <c r="B6487" s="37" t="str">
        <f t="array" ref="B6487">iferror(xlookup($I6487, 'IMPORT VHC Report'!$E:$E, 'IMPORT VHC Report'!$A:$C), )</f>
        <v/>
      </c>
      <c r="C6487" s="37"/>
      <c r="D6487" s="37"/>
      <c r="E6487" s="38" t="s">
        <v>7690</v>
      </c>
      <c r="F6487" s="38" t="s">
        <v>7678</v>
      </c>
      <c r="G6487" s="38">
        <v>3.61861298295E11</v>
      </c>
      <c r="H6487" s="38" t="s">
        <v>7679</v>
      </c>
      <c r="I6487" s="38" t="s">
        <v>7680</v>
      </c>
      <c r="J6487" s="38" t="s">
        <v>4</v>
      </c>
      <c r="K6487" s="38" t="s">
        <v>126</v>
      </c>
      <c r="L6487" s="41">
        <v>46009.875</v>
      </c>
      <c r="M6487" s="38" t="s">
        <v>123</v>
      </c>
      <c r="N6487" s="41">
        <v>46009.895833333336</v>
      </c>
      <c r="O6487" s="38" t="s">
        <v>123</v>
      </c>
      <c r="P6487" s="38">
        <v>1800.0</v>
      </c>
      <c r="Q6487" s="39"/>
      <c r="R6487" s="39"/>
      <c r="S6487" s="39"/>
      <c r="T6487" s="39"/>
      <c r="U6487" s="39"/>
    </row>
    <row r="6488">
      <c r="A6488" s="40">
        <f t="shared" si="1"/>
        <v>46006</v>
      </c>
      <c r="B6488" s="37" t="str">
        <f t="array" ref="B6488">iferror(xlookup($I6488, 'IMPORT VHC Report'!$E:$E, 'IMPORT VHC Report'!$A:$C), )</f>
        <v/>
      </c>
      <c r="C6488" s="37"/>
      <c r="D6488" s="37"/>
      <c r="E6488" s="38" t="s">
        <v>7691</v>
      </c>
      <c r="F6488" s="38" t="s">
        <v>7678</v>
      </c>
      <c r="G6488" s="38">
        <v>3.61861298295E11</v>
      </c>
      <c r="H6488" s="38" t="s">
        <v>7679</v>
      </c>
      <c r="I6488" s="38" t="s">
        <v>7680</v>
      </c>
      <c r="J6488" s="38" t="s">
        <v>530</v>
      </c>
      <c r="K6488" s="38" t="s">
        <v>63</v>
      </c>
      <c r="L6488" s="41">
        <v>46009.875</v>
      </c>
      <c r="M6488" s="38" t="s">
        <v>123</v>
      </c>
      <c r="N6488" s="41">
        <v>46010.25</v>
      </c>
      <c r="O6488" s="38" t="s">
        <v>123</v>
      </c>
      <c r="P6488" s="38">
        <v>32400.0</v>
      </c>
      <c r="Q6488" s="39"/>
      <c r="R6488" s="39"/>
      <c r="S6488" s="39"/>
      <c r="T6488" s="39"/>
      <c r="U6488" s="39"/>
    </row>
    <row r="6489">
      <c r="A6489" s="40">
        <f t="shared" si="1"/>
        <v>46006</v>
      </c>
      <c r="B6489" s="37" t="str">
        <f t="array" ref="B6489">iferror(xlookup($I6489, 'IMPORT VHC Report'!$E:$E, 'IMPORT VHC Report'!$A:$C), )</f>
        <v/>
      </c>
      <c r="C6489" s="37"/>
      <c r="D6489" s="37"/>
      <c r="E6489" s="38" t="s">
        <v>7692</v>
      </c>
      <c r="F6489" s="38" t="s">
        <v>7678</v>
      </c>
      <c r="G6489" s="38">
        <v>3.61861298295E11</v>
      </c>
      <c r="H6489" s="38" t="s">
        <v>7679</v>
      </c>
      <c r="I6489" s="38" t="s">
        <v>7680</v>
      </c>
      <c r="J6489" s="38" t="s">
        <v>132</v>
      </c>
      <c r="K6489" s="38" t="s">
        <v>126</v>
      </c>
      <c r="L6489" s="41">
        <v>46010.1875</v>
      </c>
      <c r="M6489" s="38" t="s">
        <v>123</v>
      </c>
      <c r="N6489" s="41">
        <v>46010.229166666664</v>
      </c>
      <c r="O6489" s="38" t="s">
        <v>123</v>
      </c>
      <c r="P6489" s="38">
        <v>3600.0</v>
      </c>
      <c r="Q6489" s="39"/>
      <c r="R6489" s="39"/>
      <c r="S6489" s="39"/>
      <c r="T6489" s="39"/>
      <c r="U6489" s="39"/>
    </row>
    <row r="6490">
      <c r="A6490" s="40">
        <f t="shared" si="1"/>
        <v>46006</v>
      </c>
      <c r="B6490" s="37" t="str">
        <f t="array" ref="B6490">iferror(xlookup($I6490, 'IMPORT VHC Report'!$E:$E, 'IMPORT VHC Report'!$A:$C), )</f>
        <v/>
      </c>
      <c r="C6490" s="37"/>
      <c r="D6490" s="37"/>
      <c r="E6490" s="38" t="s">
        <v>7693</v>
      </c>
      <c r="F6490" s="38" t="s">
        <v>7678</v>
      </c>
      <c r="G6490" s="38">
        <v>3.61861298295E11</v>
      </c>
      <c r="H6490" s="38" t="s">
        <v>7679</v>
      </c>
      <c r="I6490" s="38" t="s">
        <v>7680</v>
      </c>
      <c r="J6490" s="38" t="s">
        <v>134</v>
      </c>
      <c r="K6490" s="38" t="s">
        <v>126</v>
      </c>
      <c r="L6490" s="41">
        <v>46010.229166666664</v>
      </c>
      <c r="M6490" s="38" t="s">
        <v>123</v>
      </c>
      <c r="N6490" s="41">
        <v>46010.25</v>
      </c>
      <c r="O6490" s="38" t="s">
        <v>123</v>
      </c>
      <c r="P6490" s="38">
        <v>1800.0</v>
      </c>
      <c r="Q6490" s="39"/>
      <c r="R6490" s="39"/>
      <c r="S6490" s="39"/>
      <c r="T6490" s="39"/>
      <c r="U6490" s="39"/>
    </row>
    <row r="6491">
      <c r="A6491" s="40">
        <f t="shared" si="1"/>
        <v>46006</v>
      </c>
      <c r="B6491" s="37" t="str">
        <f t="array" ref="B6491">iferror(xlookup($I6491, 'IMPORT VHC Report'!$E:$E, 'IMPORT VHC Report'!$A:$C), )</f>
        <v/>
      </c>
      <c r="C6491" s="37"/>
      <c r="D6491" s="37"/>
      <c r="E6491" s="38" t="s">
        <v>7694</v>
      </c>
      <c r="F6491" s="38" t="s">
        <v>7678</v>
      </c>
      <c r="G6491" s="38">
        <v>3.61861298295E11</v>
      </c>
      <c r="H6491" s="38" t="s">
        <v>7679</v>
      </c>
      <c r="I6491" s="38" t="s">
        <v>7680</v>
      </c>
      <c r="J6491" s="38" t="s">
        <v>4</v>
      </c>
      <c r="K6491" s="38" t="s">
        <v>126</v>
      </c>
      <c r="L6491" s="41">
        <v>46010.875</v>
      </c>
      <c r="M6491" s="38" t="s">
        <v>123</v>
      </c>
      <c r="N6491" s="41">
        <v>46010.895833333336</v>
      </c>
      <c r="O6491" s="38" t="s">
        <v>123</v>
      </c>
      <c r="P6491" s="38">
        <v>1800.0</v>
      </c>
      <c r="Q6491" s="39"/>
      <c r="R6491" s="39"/>
      <c r="S6491" s="39"/>
      <c r="T6491" s="39"/>
      <c r="U6491" s="39"/>
    </row>
    <row r="6492">
      <c r="A6492" s="40">
        <f t="shared" si="1"/>
        <v>46006</v>
      </c>
      <c r="B6492" s="37" t="str">
        <f t="array" ref="B6492">iferror(xlookup($I6492, 'IMPORT VHC Report'!$E:$E, 'IMPORT VHC Report'!$A:$C), )</f>
        <v/>
      </c>
      <c r="C6492" s="37"/>
      <c r="D6492" s="37"/>
      <c r="E6492" s="38" t="s">
        <v>7695</v>
      </c>
      <c r="F6492" s="38" t="s">
        <v>7678</v>
      </c>
      <c r="G6492" s="38">
        <v>3.61861298295E11</v>
      </c>
      <c r="H6492" s="38" t="s">
        <v>7679</v>
      </c>
      <c r="I6492" s="38" t="s">
        <v>7680</v>
      </c>
      <c r="J6492" s="38" t="s">
        <v>530</v>
      </c>
      <c r="K6492" s="38" t="s">
        <v>63</v>
      </c>
      <c r="L6492" s="41">
        <v>46010.875</v>
      </c>
      <c r="M6492" s="38" t="s">
        <v>123</v>
      </c>
      <c r="N6492" s="41">
        <v>46011.25</v>
      </c>
      <c r="O6492" s="38" t="s">
        <v>123</v>
      </c>
      <c r="P6492" s="38">
        <v>32400.0</v>
      </c>
      <c r="Q6492" s="39"/>
      <c r="R6492" s="39"/>
      <c r="S6492" s="39"/>
      <c r="T6492" s="39"/>
      <c r="U6492" s="39"/>
    </row>
    <row r="6493">
      <c r="A6493" s="40">
        <f t="shared" si="1"/>
        <v>46006</v>
      </c>
      <c r="B6493" s="37" t="str">
        <f t="array" ref="B6493">iferror(xlookup($I6493, 'IMPORT VHC Report'!$E:$E, 'IMPORT VHC Report'!$A:$C), )</f>
        <v/>
      </c>
      <c r="C6493" s="37"/>
      <c r="D6493" s="37"/>
      <c r="E6493" s="38" t="s">
        <v>7696</v>
      </c>
      <c r="F6493" s="38" t="s">
        <v>7678</v>
      </c>
      <c r="G6493" s="38">
        <v>3.61861298295E11</v>
      </c>
      <c r="H6493" s="38" t="s">
        <v>7679</v>
      </c>
      <c r="I6493" s="38" t="s">
        <v>7680</v>
      </c>
      <c r="J6493" s="38" t="s">
        <v>134</v>
      </c>
      <c r="K6493" s="38" t="s">
        <v>126</v>
      </c>
      <c r="L6493" s="41">
        <v>46010.979166666664</v>
      </c>
      <c r="M6493" s="38" t="s">
        <v>123</v>
      </c>
      <c r="N6493" s="41">
        <v>46011.0</v>
      </c>
      <c r="O6493" s="38" t="s">
        <v>123</v>
      </c>
      <c r="P6493" s="38">
        <v>1800.0</v>
      </c>
      <c r="Q6493" s="39"/>
      <c r="R6493" s="39"/>
      <c r="S6493" s="39"/>
      <c r="T6493" s="39"/>
      <c r="U6493" s="39"/>
    </row>
    <row r="6494">
      <c r="A6494" s="40">
        <f t="shared" si="1"/>
        <v>46006</v>
      </c>
      <c r="B6494" s="37" t="str">
        <f t="array" ref="B6494">iferror(xlookup($I6494, 'IMPORT VHC Report'!$E:$E, 'IMPORT VHC Report'!$A:$C), )</f>
        <v/>
      </c>
      <c r="C6494" s="37"/>
      <c r="D6494" s="37"/>
      <c r="E6494" s="38" t="s">
        <v>7697</v>
      </c>
      <c r="F6494" s="38" t="s">
        <v>7678</v>
      </c>
      <c r="G6494" s="38">
        <v>3.61861298295E11</v>
      </c>
      <c r="H6494" s="38" t="s">
        <v>7679</v>
      </c>
      <c r="I6494" s="38" t="s">
        <v>7680</v>
      </c>
      <c r="J6494" s="38" t="s">
        <v>132</v>
      </c>
      <c r="K6494" s="38" t="s">
        <v>126</v>
      </c>
      <c r="L6494" s="41">
        <v>46011.135416666664</v>
      </c>
      <c r="M6494" s="38" t="s">
        <v>123</v>
      </c>
      <c r="N6494" s="41">
        <v>46011.177083333336</v>
      </c>
      <c r="O6494" s="38" t="s">
        <v>123</v>
      </c>
      <c r="P6494" s="38">
        <v>3600.0</v>
      </c>
      <c r="Q6494" s="39"/>
      <c r="R6494" s="39"/>
      <c r="S6494" s="39"/>
      <c r="T6494" s="39"/>
      <c r="U6494" s="39"/>
    </row>
    <row r="6495">
      <c r="A6495" s="40">
        <f t="shared" si="1"/>
        <v>46006</v>
      </c>
      <c r="B6495" s="37" t="str">
        <f t="array" ref="B6495">iferror(xlookup($I6495, 'IMPORT VHC Report'!$E:$E, 'IMPORT VHC Report'!$A:$C), )</f>
        <v/>
      </c>
      <c r="C6495" s="37"/>
      <c r="D6495" s="37"/>
      <c r="E6495" s="38" t="s">
        <v>7698</v>
      </c>
      <c r="F6495" s="38" t="s">
        <v>7678</v>
      </c>
      <c r="G6495" s="38">
        <v>3.61861298295E11</v>
      </c>
      <c r="H6495" s="38" t="s">
        <v>7679</v>
      </c>
      <c r="I6495" s="38" t="s">
        <v>7680</v>
      </c>
      <c r="J6495" s="38" t="s">
        <v>4</v>
      </c>
      <c r="K6495" s="38" t="s">
        <v>126</v>
      </c>
      <c r="L6495" s="41">
        <v>46011.875</v>
      </c>
      <c r="M6495" s="38" t="s">
        <v>123</v>
      </c>
      <c r="N6495" s="41">
        <v>46011.895833333336</v>
      </c>
      <c r="O6495" s="38" t="s">
        <v>123</v>
      </c>
      <c r="P6495" s="38">
        <v>1800.0</v>
      </c>
      <c r="Q6495" s="39"/>
      <c r="R6495" s="39"/>
      <c r="S6495" s="39"/>
      <c r="T6495" s="39"/>
      <c r="U6495" s="39"/>
    </row>
    <row r="6496">
      <c r="A6496" s="40">
        <f t="shared" si="1"/>
        <v>46006</v>
      </c>
      <c r="B6496" s="37" t="str">
        <f t="array" ref="B6496">iferror(xlookup($I6496, 'IMPORT VHC Report'!$E:$E, 'IMPORT VHC Report'!$A:$C), )</f>
        <v/>
      </c>
      <c r="C6496" s="37"/>
      <c r="D6496" s="37"/>
      <c r="E6496" s="38" t="s">
        <v>7699</v>
      </c>
      <c r="F6496" s="38" t="s">
        <v>7678</v>
      </c>
      <c r="G6496" s="38">
        <v>3.61861298295E11</v>
      </c>
      <c r="H6496" s="38" t="s">
        <v>7679</v>
      </c>
      <c r="I6496" s="38" t="s">
        <v>7680</v>
      </c>
      <c r="J6496" s="38" t="s">
        <v>530</v>
      </c>
      <c r="K6496" s="38" t="s">
        <v>63</v>
      </c>
      <c r="L6496" s="41">
        <v>46011.875</v>
      </c>
      <c r="M6496" s="38" t="s">
        <v>123</v>
      </c>
      <c r="N6496" s="41">
        <v>46012.25</v>
      </c>
      <c r="O6496" s="38" t="s">
        <v>123</v>
      </c>
      <c r="P6496" s="38">
        <v>32400.0</v>
      </c>
      <c r="Q6496" s="39"/>
      <c r="R6496" s="39"/>
      <c r="S6496" s="39"/>
      <c r="T6496" s="39"/>
      <c r="U6496" s="39"/>
    </row>
    <row r="6497">
      <c r="A6497" s="40">
        <f t="shared" si="1"/>
        <v>46006</v>
      </c>
      <c r="B6497" s="37" t="str">
        <f t="array" ref="B6497">iferror(xlookup($I6497, 'IMPORT VHC Report'!$E:$E, 'IMPORT VHC Report'!$A:$C), )</f>
        <v/>
      </c>
      <c r="C6497" s="37"/>
      <c r="D6497" s="37"/>
      <c r="E6497" s="38" t="s">
        <v>7700</v>
      </c>
      <c r="F6497" s="38" t="s">
        <v>7678</v>
      </c>
      <c r="G6497" s="38">
        <v>3.61861298295E11</v>
      </c>
      <c r="H6497" s="38" t="s">
        <v>7679</v>
      </c>
      <c r="I6497" s="38" t="s">
        <v>7680</v>
      </c>
      <c r="J6497" s="38" t="s">
        <v>132</v>
      </c>
      <c r="K6497" s="38" t="s">
        <v>126</v>
      </c>
      <c r="L6497" s="41">
        <v>46012.0</v>
      </c>
      <c r="M6497" s="38" t="s">
        <v>123</v>
      </c>
      <c r="N6497" s="41">
        <v>46012.041666666664</v>
      </c>
      <c r="O6497" s="38" t="s">
        <v>123</v>
      </c>
      <c r="P6497" s="38">
        <v>3600.0</v>
      </c>
      <c r="Q6497" s="39"/>
      <c r="R6497" s="39"/>
      <c r="S6497" s="39"/>
      <c r="T6497" s="39"/>
      <c r="U6497" s="39"/>
    </row>
    <row r="6498">
      <c r="A6498" s="40">
        <f t="shared" si="1"/>
        <v>46006</v>
      </c>
      <c r="B6498" s="37" t="str">
        <f t="array" ref="B6498">iferror(xlookup($I6498, 'IMPORT VHC Report'!$E:$E, 'IMPORT VHC Report'!$A:$C), )</f>
        <v/>
      </c>
      <c r="C6498" s="37"/>
      <c r="D6498" s="37"/>
      <c r="E6498" s="38" t="s">
        <v>7701</v>
      </c>
      <c r="F6498" s="38" t="s">
        <v>7678</v>
      </c>
      <c r="G6498" s="38">
        <v>3.61861298295E11</v>
      </c>
      <c r="H6498" s="38" t="s">
        <v>7679</v>
      </c>
      <c r="I6498" s="38" t="s">
        <v>7680</v>
      </c>
      <c r="J6498" s="38" t="s">
        <v>134</v>
      </c>
      <c r="K6498" s="38" t="s">
        <v>126</v>
      </c>
      <c r="L6498" s="41">
        <v>46012.15625</v>
      </c>
      <c r="M6498" s="38" t="s">
        <v>123</v>
      </c>
      <c r="N6498" s="41">
        <v>46012.177083333336</v>
      </c>
      <c r="O6498" s="38" t="s">
        <v>123</v>
      </c>
      <c r="P6498" s="38">
        <v>1800.0</v>
      </c>
      <c r="Q6498" s="39"/>
      <c r="R6498" s="39"/>
      <c r="S6498" s="39"/>
      <c r="T6498" s="39"/>
      <c r="U6498" s="39"/>
    </row>
    <row r="6499">
      <c r="A6499" s="40">
        <f t="shared" si="1"/>
        <v>46006</v>
      </c>
      <c r="B6499" s="37" t="str">
        <f t="array" ref="B6499">iferror(xlookup($I6499, 'IMPORT VHC Report'!$E:$E, 'IMPORT VHC Report'!$A:$C), )</f>
        <v/>
      </c>
      <c r="C6499" s="37"/>
      <c r="D6499" s="37"/>
      <c r="E6499" s="38" t="s">
        <v>7702</v>
      </c>
      <c r="F6499" s="38" t="s">
        <v>7703</v>
      </c>
      <c r="G6499" s="38">
        <v>6.839674714895E12</v>
      </c>
      <c r="H6499" s="38" t="s">
        <v>7704</v>
      </c>
      <c r="I6499" s="38" t="s">
        <v>7705</v>
      </c>
      <c r="J6499" s="38" t="s">
        <v>125</v>
      </c>
      <c r="K6499" s="38" t="s">
        <v>126</v>
      </c>
      <c r="L6499" s="41">
        <v>46008.041666666664</v>
      </c>
      <c r="M6499" s="38" t="s">
        <v>123</v>
      </c>
      <c r="N6499" s="41">
        <v>46008.04861111111</v>
      </c>
      <c r="O6499" s="38" t="s">
        <v>123</v>
      </c>
      <c r="P6499" s="38">
        <v>600.0</v>
      </c>
      <c r="Q6499" s="39"/>
      <c r="R6499" s="39"/>
      <c r="S6499" s="38" t="s">
        <v>127</v>
      </c>
      <c r="T6499" s="39"/>
      <c r="U6499" s="39"/>
    </row>
    <row r="6500">
      <c r="A6500" s="40">
        <f t="shared" si="1"/>
        <v>46006</v>
      </c>
      <c r="B6500" s="37" t="str">
        <f t="array" ref="B6500">iferror(xlookup($I6500, 'IMPORT VHC Report'!$E:$E, 'IMPORT VHC Report'!$A:$C), )</f>
        <v/>
      </c>
      <c r="C6500" s="37"/>
      <c r="D6500" s="37"/>
      <c r="E6500" s="38" t="s">
        <v>7706</v>
      </c>
      <c r="F6500" s="38" t="s">
        <v>7703</v>
      </c>
      <c r="G6500" s="38">
        <v>6.839674714895E12</v>
      </c>
      <c r="H6500" s="38" t="s">
        <v>7704</v>
      </c>
      <c r="I6500" s="38" t="s">
        <v>7705</v>
      </c>
      <c r="J6500" s="38" t="s">
        <v>122</v>
      </c>
      <c r="K6500" s="38" t="s">
        <v>63</v>
      </c>
      <c r="L6500" s="41">
        <v>46008.041666666664</v>
      </c>
      <c r="M6500" s="38" t="s">
        <v>123</v>
      </c>
      <c r="N6500" s="41">
        <v>46008.416666666664</v>
      </c>
      <c r="O6500" s="38" t="s">
        <v>123</v>
      </c>
      <c r="P6500" s="38">
        <v>32400.0</v>
      </c>
      <c r="Q6500" s="39"/>
      <c r="R6500" s="39"/>
      <c r="S6500" s="39"/>
      <c r="T6500" s="39"/>
      <c r="U6500" s="39"/>
    </row>
    <row r="6501">
      <c r="A6501" s="40">
        <f t="shared" si="1"/>
        <v>46006</v>
      </c>
      <c r="B6501" s="37" t="str">
        <f t="array" ref="B6501">iferror(xlookup($I6501, 'IMPORT VHC Report'!$E:$E, 'IMPORT VHC Report'!$A:$C), )</f>
        <v/>
      </c>
      <c r="C6501" s="37"/>
      <c r="D6501" s="37"/>
      <c r="E6501" s="38" t="s">
        <v>7707</v>
      </c>
      <c r="F6501" s="38" t="s">
        <v>7703</v>
      </c>
      <c r="G6501" s="38">
        <v>6.839674714895E12</v>
      </c>
      <c r="H6501" s="38" t="s">
        <v>7704</v>
      </c>
      <c r="I6501" s="38" t="s">
        <v>7705</v>
      </c>
      <c r="J6501" s="38" t="s">
        <v>134</v>
      </c>
      <c r="K6501" s="38" t="s">
        <v>126</v>
      </c>
      <c r="L6501" s="41">
        <v>46008.125</v>
      </c>
      <c r="M6501" s="38" t="s">
        <v>123</v>
      </c>
      <c r="N6501" s="41">
        <v>46008.145833333336</v>
      </c>
      <c r="O6501" s="38" t="s">
        <v>123</v>
      </c>
      <c r="P6501" s="38">
        <v>1800.0</v>
      </c>
      <c r="Q6501" s="39"/>
      <c r="R6501" s="39"/>
      <c r="S6501" s="39"/>
      <c r="T6501" s="39"/>
      <c r="U6501" s="39"/>
    </row>
    <row r="6502">
      <c r="A6502" s="40">
        <f t="shared" si="1"/>
        <v>46006</v>
      </c>
      <c r="B6502" s="37" t="str">
        <f t="array" ref="B6502">iferror(xlookup($I6502, 'IMPORT VHC Report'!$E:$E, 'IMPORT VHC Report'!$A:$C), )</f>
        <v/>
      </c>
      <c r="C6502" s="37"/>
      <c r="D6502" s="37"/>
      <c r="E6502" s="38" t="s">
        <v>7708</v>
      </c>
      <c r="F6502" s="38" t="s">
        <v>7703</v>
      </c>
      <c r="G6502" s="38">
        <v>6.839674714895E12</v>
      </c>
      <c r="H6502" s="38" t="s">
        <v>7704</v>
      </c>
      <c r="I6502" s="38" t="s">
        <v>7705</v>
      </c>
      <c r="J6502" s="38" t="s">
        <v>132</v>
      </c>
      <c r="K6502" s="38" t="s">
        <v>126</v>
      </c>
      <c r="L6502" s="41">
        <v>46008.270833333336</v>
      </c>
      <c r="M6502" s="38" t="s">
        <v>123</v>
      </c>
      <c r="N6502" s="41">
        <v>46008.3125</v>
      </c>
      <c r="O6502" s="38" t="s">
        <v>123</v>
      </c>
      <c r="P6502" s="38">
        <v>3600.0</v>
      </c>
      <c r="Q6502" s="39"/>
      <c r="R6502" s="39"/>
      <c r="S6502" s="39"/>
      <c r="T6502" s="39"/>
      <c r="U6502" s="39"/>
    </row>
    <row r="6503">
      <c r="A6503" s="40">
        <f t="shared" si="1"/>
        <v>46006</v>
      </c>
      <c r="B6503" s="37" t="str">
        <f t="array" ref="B6503">iferror(xlookup($I6503, 'IMPORT VHC Report'!$E:$E, 'IMPORT VHC Report'!$A:$C), )</f>
        <v/>
      </c>
      <c r="C6503" s="37"/>
      <c r="D6503" s="37"/>
      <c r="E6503" s="38" t="s">
        <v>7709</v>
      </c>
      <c r="F6503" s="38" t="s">
        <v>7703</v>
      </c>
      <c r="G6503" s="38">
        <v>6.839674714895E12</v>
      </c>
      <c r="H6503" s="38" t="s">
        <v>7704</v>
      </c>
      <c r="I6503" s="38" t="s">
        <v>7705</v>
      </c>
      <c r="J6503" s="38" t="s">
        <v>4</v>
      </c>
      <c r="K6503" s="38" t="s">
        <v>126</v>
      </c>
      <c r="L6503" s="41">
        <v>46008.3125</v>
      </c>
      <c r="M6503" s="38" t="s">
        <v>123</v>
      </c>
      <c r="N6503" s="41">
        <v>46008.354166666664</v>
      </c>
      <c r="O6503" s="38" t="s">
        <v>123</v>
      </c>
      <c r="P6503" s="38">
        <v>3600.0</v>
      </c>
      <c r="Q6503" s="39"/>
      <c r="R6503" s="39"/>
      <c r="S6503" s="38" t="s">
        <v>130</v>
      </c>
      <c r="T6503" s="39"/>
      <c r="U6503" s="39"/>
    </row>
    <row r="6504">
      <c r="A6504" s="40">
        <f t="shared" si="1"/>
        <v>46006</v>
      </c>
      <c r="B6504" s="37" t="str">
        <f t="array" ref="B6504">iferror(xlookup($I6504, 'IMPORT VHC Report'!$E:$E, 'IMPORT VHC Report'!$A:$C), )</f>
        <v/>
      </c>
      <c r="C6504" s="37"/>
      <c r="D6504" s="37"/>
      <c r="E6504" s="38" t="s">
        <v>7710</v>
      </c>
      <c r="F6504" s="38" t="s">
        <v>7703</v>
      </c>
      <c r="G6504" s="38">
        <v>6.839674714895E12</v>
      </c>
      <c r="H6504" s="38" t="s">
        <v>7704</v>
      </c>
      <c r="I6504" s="38" t="s">
        <v>7705</v>
      </c>
      <c r="J6504" s="38" t="s">
        <v>125</v>
      </c>
      <c r="K6504" s="38" t="s">
        <v>126</v>
      </c>
      <c r="L6504" s="41">
        <v>46009.041666666664</v>
      </c>
      <c r="M6504" s="38" t="s">
        <v>123</v>
      </c>
      <c r="N6504" s="41">
        <v>46009.04861111111</v>
      </c>
      <c r="O6504" s="38" t="s">
        <v>123</v>
      </c>
      <c r="P6504" s="38">
        <v>600.0</v>
      </c>
      <c r="Q6504" s="39"/>
      <c r="R6504" s="39"/>
      <c r="S6504" s="38" t="s">
        <v>127</v>
      </c>
      <c r="T6504" s="39"/>
      <c r="U6504" s="39"/>
    </row>
    <row r="6505">
      <c r="A6505" s="40">
        <f t="shared" si="1"/>
        <v>46006</v>
      </c>
      <c r="B6505" s="37" t="str">
        <f t="array" ref="B6505">iferror(xlookup($I6505, 'IMPORT VHC Report'!$E:$E, 'IMPORT VHC Report'!$A:$C), )</f>
        <v/>
      </c>
      <c r="C6505" s="37"/>
      <c r="D6505" s="37"/>
      <c r="E6505" s="38" t="s">
        <v>7711</v>
      </c>
      <c r="F6505" s="38" t="s">
        <v>7703</v>
      </c>
      <c r="G6505" s="38">
        <v>6.839674714895E12</v>
      </c>
      <c r="H6505" s="38" t="s">
        <v>7704</v>
      </c>
      <c r="I6505" s="38" t="s">
        <v>7705</v>
      </c>
      <c r="J6505" s="38" t="s">
        <v>122</v>
      </c>
      <c r="K6505" s="38" t="s">
        <v>63</v>
      </c>
      <c r="L6505" s="41">
        <v>46009.041666666664</v>
      </c>
      <c r="M6505" s="38" t="s">
        <v>123</v>
      </c>
      <c r="N6505" s="41">
        <v>46009.416666666664</v>
      </c>
      <c r="O6505" s="38" t="s">
        <v>123</v>
      </c>
      <c r="P6505" s="38">
        <v>32400.0</v>
      </c>
      <c r="Q6505" s="39"/>
      <c r="R6505" s="39"/>
      <c r="S6505" s="39"/>
      <c r="T6505" s="39"/>
      <c r="U6505" s="39"/>
    </row>
    <row r="6506">
      <c r="A6506" s="40">
        <f t="shared" si="1"/>
        <v>46006</v>
      </c>
      <c r="B6506" s="37" t="str">
        <f t="array" ref="B6506">iferror(xlookup($I6506, 'IMPORT VHC Report'!$E:$E, 'IMPORT VHC Report'!$A:$C), )</f>
        <v/>
      </c>
      <c r="C6506" s="37"/>
      <c r="D6506" s="37"/>
      <c r="E6506" s="38" t="s">
        <v>7712</v>
      </c>
      <c r="F6506" s="38" t="s">
        <v>7703</v>
      </c>
      <c r="G6506" s="38">
        <v>6.839674714895E12</v>
      </c>
      <c r="H6506" s="38" t="s">
        <v>7704</v>
      </c>
      <c r="I6506" s="38" t="s">
        <v>7705</v>
      </c>
      <c r="J6506" s="38" t="s">
        <v>134</v>
      </c>
      <c r="K6506" s="38" t="s">
        <v>126</v>
      </c>
      <c r="L6506" s="41">
        <v>46009.125</v>
      </c>
      <c r="M6506" s="38" t="s">
        <v>123</v>
      </c>
      <c r="N6506" s="41">
        <v>46009.145833333336</v>
      </c>
      <c r="O6506" s="38" t="s">
        <v>123</v>
      </c>
      <c r="P6506" s="38">
        <v>1800.0</v>
      </c>
      <c r="Q6506" s="39"/>
      <c r="R6506" s="39"/>
      <c r="S6506" s="39"/>
      <c r="T6506" s="39"/>
      <c r="U6506" s="39"/>
    </row>
    <row r="6507">
      <c r="A6507" s="40">
        <f t="shared" si="1"/>
        <v>46006</v>
      </c>
      <c r="B6507" s="37" t="str">
        <f t="array" ref="B6507">iferror(xlookup($I6507, 'IMPORT VHC Report'!$E:$E, 'IMPORT VHC Report'!$A:$C), )</f>
        <v/>
      </c>
      <c r="C6507" s="37"/>
      <c r="D6507" s="37"/>
      <c r="E6507" s="38" t="s">
        <v>7713</v>
      </c>
      <c r="F6507" s="38" t="s">
        <v>7703</v>
      </c>
      <c r="G6507" s="38">
        <v>6.839674714895E12</v>
      </c>
      <c r="H6507" s="38" t="s">
        <v>7704</v>
      </c>
      <c r="I6507" s="38" t="s">
        <v>7705</v>
      </c>
      <c r="J6507" s="38" t="s">
        <v>132</v>
      </c>
      <c r="K6507" s="38" t="s">
        <v>126</v>
      </c>
      <c r="L6507" s="41">
        <v>46009.291666666664</v>
      </c>
      <c r="M6507" s="38" t="s">
        <v>123</v>
      </c>
      <c r="N6507" s="41">
        <v>46009.333333333336</v>
      </c>
      <c r="O6507" s="38" t="s">
        <v>123</v>
      </c>
      <c r="P6507" s="38">
        <v>3600.0</v>
      </c>
      <c r="Q6507" s="39"/>
      <c r="R6507" s="39"/>
      <c r="S6507" s="39"/>
      <c r="T6507" s="39"/>
      <c r="U6507" s="39"/>
    </row>
    <row r="6508">
      <c r="A6508" s="40">
        <f t="shared" si="1"/>
        <v>46006</v>
      </c>
      <c r="B6508" s="37" t="str">
        <f t="array" ref="B6508">iferror(xlookup($I6508, 'IMPORT VHC Report'!$E:$E, 'IMPORT VHC Report'!$A:$C), )</f>
        <v/>
      </c>
      <c r="C6508" s="37"/>
      <c r="D6508" s="37"/>
      <c r="E6508" s="38" t="s">
        <v>7714</v>
      </c>
      <c r="F6508" s="38" t="s">
        <v>7703</v>
      </c>
      <c r="G6508" s="38">
        <v>6.839674714895E12</v>
      </c>
      <c r="H6508" s="38" t="s">
        <v>7704</v>
      </c>
      <c r="I6508" s="38" t="s">
        <v>7705</v>
      </c>
      <c r="J6508" s="38" t="s">
        <v>125</v>
      </c>
      <c r="K6508" s="38" t="s">
        <v>126</v>
      </c>
      <c r="L6508" s="41">
        <v>46010.041666666664</v>
      </c>
      <c r="M6508" s="38" t="s">
        <v>123</v>
      </c>
      <c r="N6508" s="41">
        <v>46010.04861111111</v>
      </c>
      <c r="O6508" s="38" t="s">
        <v>123</v>
      </c>
      <c r="P6508" s="38">
        <v>600.0</v>
      </c>
      <c r="Q6508" s="39"/>
      <c r="R6508" s="39"/>
      <c r="S6508" s="38" t="s">
        <v>127</v>
      </c>
      <c r="T6508" s="39"/>
      <c r="U6508" s="39"/>
    </row>
    <row r="6509">
      <c r="A6509" s="40">
        <f t="shared" si="1"/>
        <v>46006</v>
      </c>
      <c r="B6509" s="37" t="str">
        <f t="array" ref="B6509">iferror(xlookup($I6509, 'IMPORT VHC Report'!$E:$E, 'IMPORT VHC Report'!$A:$C), )</f>
        <v/>
      </c>
      <c r="C6509" s="37"/>
      <c r="D6509" s="37"/>
      <c r="E6509" s="38" t="s">
        <v>7715</v>
      </c>
      <c r="F6509" s="38" t="s">
        <v>7703</v>
      </c>
      <c r="G6509" s="38">
        <v>6.839674714895E12</v>
      </c>
      <c r="H6509" s="38" t="s">
        <v>7704</v>
      </c>
      <c r="I6509" s="38" t="s">
        <v>7705</v>
      </c>
      <c r="J6509" s="38" t="s">
        <v>122</v>
      </c>
      <c r="K6509" s="38" t="s">
        <v>63</v>
      </c>
      <c r="L6509" s="41">
        <v>46010.041666666664</v>
      </c>
      <c r="M6509" s="38" t="s">
        <v>123</v>
      </c>
      <c r="N6509" s="41">
        <v>46010.416666666664</v>
      </c>
      <c r="O6509" s="38" t="s">
        <v>123</v>
      </c>
      <c r="P6509" s="38">
        <v>32400.0</v>
      </c>
      <c r="Q6509" s="39"/>
      <c r="R6509" s="39"/>
      <c r="S6509" s="39"/>
      <c r="T6509" s="39"/>
      <c r="U6509" s="39"/>
    </row>
    <row r="6510">
      <c r="A6510" s="40">
        <f t="shared" si="1"/>
        <v>46006</v>
      </c>
      <c r="B6510" s="37" t="str">
        <f t="array" ref="B6510">iferror(xlookup($I6510, 'IMPORT VHC Report'!$E:$E, 'IMPORT VHC Report'!$A:$C), )</f>
        <v/>
      </c>
      <c r="C6510" s="37"/>
      <c r="D6510" s="37"/>
      <c r="E6510" s="38" t="s">
        <v>7716</v>
      </c>
      <c r="F6510" s="38" t="s">
        <v>7703</v>
      </c>
      <c r="G6510" s="38">
        <v>6.839674714895E12</v>
      </c>
      <c r="H6510" s="38" t="s">
        <v>7704</v>
      </c>
      <c r="I6510" s="38" t="s">
        <v>7705</v>
      </c>
      <c r="J6510" s="38" t="s">
        <v>134</v>
      </c>
      <c r="K6510" s="38" t="s">
        <v>126</v>
      </c>
      <c r="L6510" s="41">
        <v>46010.166666666664</v>
      </c>
      <c r="M6510" s="38" t="s">
        <v>123</v>
      </c>
      <c r="N6510" s="41">
        <v>46010.1875</v>
      </c>
      <c r="O6510" s="38" t="s">
        <v>123</v>
      </c>
      <c r="P6510" s="38">
        <v>1800.0</v>
      </c>
      <c r="Q6510" s="39"/>
      <c r="R6510" s="39"/>
      <c r="S6510" s="39"/>
      <c r="T6510" s="39"/>
      <c r="U6510" s="39"/>
    </row>
    <row r="6511">
      <c r="A6511" s="40">
        <f t="shared" si="1"/>
        <v>46006</v>
      </c>
      <c r="B6511" s="37" t="str">
        <f t="array" ref="B6511">iferror(xlookup($I6511, 'IMPORT VHC Report'!$E:$E, 'IMPORT VHC Report'!$A:$C), )</f>
        <v/>
      </c>
      <c r="C6511" s="37"/>
      <c r="D6511" s="37"/>
      <c r="E6511" s="38" t="s">
        <v>7717</v>
      </c>
      <c r="F6511" s="38" t="s">
        <v>7703</v>
      </c>
      <c r="G6511" s="38">
        <v>6.839674714895E12</v>
      </c>
      <c r="H6511" s="38" t="s">
        <v>7704</v>
      </c>
      <c r="I6511" s="38" t="s">
        <v>7705</v>
      </c>
      <c r="J6511" s="38" t="s">
        <v>132</v>
      </c>
      <c r="K6511" s="38" t="s">
        <v>126</v>
      </c>
      <c r="L6511" s="41">
        <v>46010.291666666664</v>
      </c>
      <c r="M6511" s="38" t="s">
        <v>123</v>
      </c>
      <c r="N6511" s="41">
        <v>46010.333333333336</v>
      </c>
      <c r="O6511" s="38" t="s">
        <v>123</v>
      </c>
      <c r="P6511" s="38">
        <v>3600.0</v>
      </c>
      <c r="Q6511" s="39"/>
      <c r="R6511" s="39"/>
      <c r="S6511" s="39"/>
      <c r="T6511" s="39"/>
      <c r="U6511" s="39"/>
    </row>
    <row r="6512">
      <c r="A6512" s="40">
        <f t="shared" si="1"/>
        <v>46006</v>
      </c>
      <c r="B6512" s="37" t="str">
        <f t="array" ref="B6512">iferror(xlookup($I6512, 'IMPORT VHC Report'!$E:$E, 'IMPORT VHC Report'!$A:$C), )</f>
        <v/>
      </c>
      <c r="C6512" s="37"/>
      <c r="D6512" s="37"/>
      <c r="E6512" s="38" t="s">
        <v>7718</v>
      </c>
      <c r="F6512" s="38" t="s">
        <v>7703</v>
      </c>
      <c r="G6512" s="38">
        <v>6.839674714895E12</v>
      </c>
      <c r="H6512" s="38" t="s">
        <v>7704</v>
      </c>
      <c r="I6512" s="38" t="s">
        <v>7705</v>
      </c>
      <c r="J6512" s="38" t="s">
        <v>125</v>
      </c>
      <c r="K6512" s="38" t="s">
        <v>126</v>
      </c>
      <c r="L6512" s="41">
        <v>46011.041666666664</v>
      </c>
      <c r="M6512" s="38" t="s">
        <v>123</v>
      </c>
      <c r="N6512" s="41">
        <v>46011.04861111111</v>
      </c>
      <c r="O6512" s="38" t="s">
        <v>123</v>
      </c>
      <c r="P6512" s="38">
        <v>600.0</v>
      </c>
      <c r="Q6512" s="39"/>
      <c r="R6512" s="39"/>
      <c r="S6512" s="38" t="s">
        <v>127</v>
      </c>
      <c r="T6512" s="39"/>
      <c r="U6512" s="39"/>
    </row>
    <row r="6513">
      <c r="A6513" s="40">
        <f t="shared" si="1"/>
        <v>46006</v>
      </c>
      <c r="B6513" s="37" t="str">
        <f t="array" ref="B6513">iferror(xlookup($I6513, 'IMPORT VHC Report'!$E:$E, 'IMPORT VHC Report'!$A:$C), )</f>
        <v/>
      </c>
      <c r="C6513" s="37"/>
      <c r="D6513" s="37"/>
      <c r="E6513" s="38" t="s">
        <v>7719</v>
      </c>
      <c r="F6513" s="38" t="s">
        <v>7703</v>
      </c>
      <c r="G6513" s="38">
        <v>6.839674714895E12</v>
      </c>
      <c r="H6513" s="38" t="s">
        <v>7704</v>
      </c>
      <c r="I6513" s="38" t="s">
        <v>7705</v>
      </c>
      <c r="J6513" s="38" t="s">
        <v>122</v>
      </c>
      <c r="K6513" s="38" t="s">
        <v>63</v>
      </c>
      <c r="L6513" s="41">
        <v>46011.041666666664</v>
      </c>
      <c r="M6513" s="38" t="s">
        <v>123</v>
      </c>
      <c r="N6513" s="41">
        <v>46011.416666666664</v>
      </c>
      <c r="O6513" s="38" t="s">
        <v>123</v>
      </c>
      <c r="P6513" s="38">
        <v>32400.0</v>
      </c>
      <c r="Q6513" s="39"/>
      <c r="R6513" s="39"/>
      <c r="S6513" s="39"/>
      <c r="T6513" s="39"/>
      <c r="U6513" s="39"/>
    </row>
    <row r="6514">
      <c r="A6514" s="40">
        <f t="shared" si="1"/>
        <v>46006</v>
      </c>
      <c r="B6514" s="37" t="str">
        <f t="array" ref="B6514">iferror(xlookup($I6514, 'IMPORT VHC Report'!$E:$E, 'IMPORT VHC Report'!$A:$C), )</f>
        <v/>
      </c>
      <c r="C6514" s="37"/>
      <c r="D6514" s="37"/>
      <c r="E6514" s="38" t="s">
        <v>7720</v>
      </c>
      <c r="F6514" s="38" t="s">
        <v>7703</v>
      </c>
      <c r="G6514" s="38">
        <v>6.839674714895E12</v>
      </c>
      <c r="H6514" s="38" t="s">
        <v>7704</v>
      </c>
      <c r="I6514" s="38" t="s">
        <v>7705</v>
      </c>
      <c r="J6514" s="38" t="s">
        <v>132</v>
      </c>
      <c r="K6514" s="38" t="s">
        <v>126</v>
      </c>
      <c r="L6514" s="41">
        <v>46011.10763888889</v>
      </c>
      <c r="M6514" s="38" t="s">
        <v>123</v>
      </c>
      <c r="N6514" s="41">
        <v>46011.149305555555</v>
      </c>
      <c r="O6514" s="38" t="s">
        <v>123</v>
      </c>
      <c r="P6514" s="38">
        <v>3600.0</v>
      </c>
      <c r="Q6514" s="39"/>
      <c r="R6514" s="39"/>
      <c r="S6514" s="39"/>
      <c r="T6514" s="39"/>
      <c r="U6514" s="39"/>
    </row>
    <row r="6515">
      <c r="A6515" s="40">
        <f t="shared" si="1"/>
        <v>46006</v>
      </c>
      <c r="B6515" s="37" t="str">
        <f t="array" ref="B6515">iferror(xlookup($I6515, 'IMPORT VHC Report'!$E:$E, 'IMPORT VHC Report'!$A:$C), )</f>
        <v/>
      </c>
      <c r="C6515" s="37"/>
      <c r="D6515" s="37"/>
      <c r="E6515" s="38" t="s">
        <v>7721</v>
      </c>
      <c r="F6515" s="38" t="s">
        <v>7703</v>
      </c>
      <c r="G6515" s="38">
        <v>6.839674714895E12</v>
      </c>
      <c r="H6515" s="38" t="s">
        <v>7704</v>
      </c>
      <c r="I6515" s="38" t="s">
        <v>7705</v>
      </c>
      <c r="J6515" s="38" t="s">
        <v>134</v>
      </c>
      <c r="K6515" s="38" t="s">
        <v>126</v>
      </c>
      <c r="L6515" s="41">
        <v>46011.3125</v>
      </c>
      <c r="M6515" s="38" t="s">
        <v>123</v>
      </c>
      <c r="N6515" s="41">
        <v>46011.333333333336</v>
      </c>
      <c r="O6515" s="38" t="s">
        <v>123</v>
      </c>
      <c r="P6515" s="38">
        <v>1800.0</v>
      </c>
      <c r="Q6515" s="39"/>
      <c r="R6515" s="39"/>
      <c r="S6515" s="39"/>
      <c r="T6515" s="39"/>
      <c r="U6515" s="39"/>
    </row>
    <row r="6516">
      <c r="A6516" s="40">
        <f t="shared" si="1"/>
        <v>46006</v>
      </c>
      <c r="B6516" s="37" t="str">
        <f t="array" ref="B6516">iferror(xlookup($I6516, 'IMPORT VHC Report'!$E:$E, 'IMPORT VHC Report'!$A:$C), )</f>
        <v/>
      </c>
      <c r="C6516" s="37"/>
      <c r="D6516" s="37"/>
      <c r="E6516" s="38" t="s">
        <v>7722</v>
      </c>
      <c r="F6516" s="38" t="s">
        <v>7703</v>
      </c>
      <c r="G6516" s="38">
        <v>6.839674714895E12</v>
      </c>
      <c r="H6516" s="38" t="s">
        <v>7704</v>
      </c>
      <c r="I6516" s="38" t="s">
        <v>7705</v>
      </c>
      <c r="J6516" s="38" t="s">
        <v>125</v>
      </c>
      <c r="K6516" s="38" t="s">
        <v>126</v>
      </c>
      <c r="L6516" s="41">
        <v>46012.041666666664</v>
      </c>
      <c r="M6516" s="38" t="s">
        <v>123</v>
      </c>
      <c r="N6516" s="41">
        <v>46012.04861111111</v>
      </c>
      <c r="O6516" s="38" t="s">
        <v>123</v>
      </c>
      <c r="P6516" s="38">
        <v>600.0</v>
      </c>
      <c r="Q6516" s="39"/>
      <c r="R6516" s="39"/>
      <c r="S6516" s="38" t="s">
        <v>127</v>
      </c>
      <c r="T6516" s="39"/>
      <c r="U6516" s="39"/>
    </row>
    <row r="6517">
      <c r="A6517" s="40">
        <f t="shared" si="1"/>
        <v>46006</v>
      </c>
      <c r="B6517" s="37" t="str">
        <f t="array" ref="B6517">iferror(xlookup($I6517, 'IMPORT VHC Report'!$E:$E, 'IMPORT VHC Report'!$A:$C), )</f>
        <v/>
      </c>
      <c r="C6517" s="37"/>
      <c r="D6517" s="37"/>
      <c r="E6517" s="38" t="s">
        <v>7723</v>
      </c>
      <c r="F6517" s="38" t="s">
        <v>7703</v>
      </c>
      <c r="G6517" s="38">
        <v>6.839674714895E12</v>
      </c>
      <c r="H6517" s="38" t="s">
        <v>7704</v>
      </c>
      <c r="I6517" s="38" t="s">
        <v>7705</v>
      </c>
      <c r="J6517" s="38" t="s">
        <v>122</v>
      </c>
      <c r="K6517" s="38" t="s">
        <v>63</v>
      </c>
      <c r="L6517" s="41">
        <v>46012.041666666664</v>
      </c>
      <c r="M6517" s="38" t="s">
        <v>123</v>
      </c>
      <c r="N6517" s="41">
        <v>46012.416666666664</v>
      </c>
      <c r="O6517" s="38" t="s">
        <v>123</v>
      </c>
      <c r="P6517" s="38">
        <v>32400.0</v>
      </c>
      <c r="Q6517" s="39"/>
      <c r="R6517" s="39"/>
      <c r="S6517" s="39"/>
      <c r="T6517" s="39"/>
      <c r="U6517" s="39"/>
    </row>
    <row r="6518">
      <c r="A6518" s="40">
        <f t="shared" si="1"/>
        <v>46006</v>
      </c>
      <c r="B6518" s="37" t="str">
        <f t="array" ref="B6518">iferror(xlookup($I6518, 'IMPORT VHC Report'!$E:$E, 'IMPORT VHC Report'!$A:$C), )</f>
        <v/>
      </c>
      <c r="C6518" s="37"/>
      <c r="D6518" s="37"/>
      <c r="E6518" s="38" t="s">
        <v>7724</v>
      </c>
      <c r="F6518" s="38" t="s">
        <v>7703</v>
      </c>
      <c r="G6518" s="38">
        <v>6.839674714895E12</v>
      </c>
      <c r="H6518" s="38" t="s">
        <v>7704</v>
      </c>
      <c r="I6518" s="38" t="s">
        <v>7705</v>
      </c>
      <c r="J6518" s="38" t="s">
        <v>330</v>
      </c>
      <c r="K6518" s="38" t="s">
        <v>126</v>
      </c>
      <c r="L6518" s="41">
        <v>46012.114583333336</v>
      </c>
      <c r="M6518" s="38" t="s">
        <v>123</v>
      </c>
      <c r="N6518" s="41">
        <v>46012.135416666664</v>
      </c>
      <c r="O6518" s="38" t="s">
        <v>123</v>
      </c>
      <c r="P6518" s="38">
        <v>1800.0</v>
      </c>
      <c r="Q6518" s="39"/>
      <c r="R6518" s="39"/>
      <c r="S6518" s="39"/>
      <c r="T6518" s="39"/>
      <c r="U6518" s="39"/>
    </row>
    <row r="6519">
      <c r="A6519" s="40">
        <f t="shared" si="1"/>
        <v>46006</v>
      </c>
      <c r="B6519" s="37" t="str">
        <f t="array" ref="B6519">iferror(xlookup($I6519, 'IMPORT VHC Report'!$E:$E, 'IMPORT VHC Report'!$A:$C), )</f>
        <v/>
      </c>
      <c r="C6519" s="37"/>
      <c r="D6519" s="37"/>
      <c r="E6519" s="38" t="s">
        <v>7725</v>
      </c>
      <c r="F6519" s="38" t="s">
        <v>7703</v>
      </c>
      <c r="G6519" s="38">
        <v>6.839674714895E12</v>
      </c>
      <c r="H6519" s="38" t="s">
        <v>7704</v>
      </c>
      <c r="I6519" s="38" t="s">
        <v>7705</v>
      </c>
      <c r="J6519" s="38" t="s">
        <v>132</v>
      </c>
      <c r="K6519" s="38" t="s">
        <v>126</v>
      </c>
      <c r="L6519" s="41">
        <v>46012.135416666664</v>
      </c>
      <c r="M6519" s="38" t="s">
        <v>123</v>
      </c>
      <c r="N6519" s="41">
        <v>46012.177083333336</v>
      </c>
      <c r="O6519" s="38" t="s">
        <v>123</v>
      </c>
      <c r="P6519" s="38">
        <v>3600.0</v>
      </c>
      <c r="Q6519" s="39"/>
      <c r="R6519" s="39"/>
      <c r="S6519" s="39"/>
      <c r="T6519" s="39"/>
      <c r="U6519" s="39"/>
    </row>
    <row r="6520">
      <c r="A6520" s="40">
        <f t="shared" si="1"/>
        <v>46006</v>
      </c>
      <c r="B6520" s="37" t="str">
        <f t="array" ref="B6520">iferror(xlookup($I6520, 'IMPORT VHC Report'!$E:$E, 'IMPORT VHC Report'!$A:$C), )</f>
        <v/>
      </c>
      <c r="C6520" s="37"/>
      <c r="D6520" s="37"/>
      <c r="E6520" s="38" t="s">
        <v>7726</v>
      </c>
      <c r="F6520" s="38" t="s">
        <v>7703</v>
      </c>
      <c r="G6520" s="38">
        <v>6.839674714895E12</v>
      </c>
      <c r="H6520" s="38" t="s">
        <v>7704</v>
      </c>
      <c r="I6520" s="38" t="s">
        <v>7705</v>
      </c>
      <c r="J6520" s="38" t="s">
        <v>134</v>
      </c>
      <c r="K6520" s="38" t="s">
        <v>126</v>
      </c>
      <c r="L6520" s="41">
        <v>46012.270833333336</v>
      </c>
      <c r="M6520" s="38" t="s">
        <v>123</v>
      </c>
      <c r="N6520" s="41">
        <v>46012.291666666664</v>
      </c>
      <c r="O6520" s="38" t="s">
        <v>123</v>
      </c>
      <c r="P6520" s="38">
        <v>1800.0</v>
      </c>
      <c r="Q6520" s="39"/>
      <c r="R6520" s="39"/>
      <c r="S6520" s="39"/>
      <c r="T6520" s="39"/>
      <c r="U6520" s="39"/>
    </row>
    <row r="6521">
      <c r="A6521" s="40">
        <f t="shared" si="1"/>
        <v>46006</v>
      </c>
      <c r="B6521" s="37" t="str">
        <f t="array" ref="B6521">iferror(xlookup($I6521, 'IMPORT VHC Report'!$E:$E, 'IMPORT VHC Report'!$A:$C), )</f>
        <v/>
      </c>
      <c r="C6521" s="37"/>
      <c r="D6521" s="37"/>
      <c r="E6521" s="38" t="s">
        <v>7727</v>
      </c>
      <c r="F6521" s="38" t="s">
        <v>7728</v>
      </c>
      <c r="G6521" s="38">
        <v>3.61733077175E11</v>
      </c>
      <c r="H6521" s="38" t="s">
        <v>7729</v>
      </c>
      <c r="I6521" s="38" t="s">
        <v>7730</v>
      </c>
      <c r="J6521" s="38" t="s">
        <v>330</v>
      </c>
      <c r="K6521" s="38" t="s">
        <v>126</v>
      </c>
      <c r="L6521" s="41">
        <v>46008.166666666664</v>
      </c>
      <c r="M6521" s="38" t="s">
        <v>123</v>
      </c>
      <c r="N6521" s="41">
        <v>46008.17361111111</v>
      </c>
      <c r="O6521" s="38" t="s">
        <v>123</v>
      </c>
      <c r="P6521" s="38">
        <v>600.0</v>
      </c>
      <c r="Q6521" s="39"/>
      <c r="R6521" s="39"/>
      <c r="S6521" s="39"/>
      <c r="T6521" s="39"/>
      <c r="U6521" s="39"/>
    </row>
    <row r="6522">
      <c r="A6522" s="40">
        <f t="shared" si="1"/>
        <v>46006</v>
      </c>
      <c r="B6522" s="37" t="str">
        <f t="array" ref="B6522">iferror(xlookup($I6522, 'IMPORT VHC Report'!$E:$E, 'IMPORT VHC Report'!$A:$C), )</f>
        <v/>
      </c>
      <c r="C6522" s="37"/>
      <c r="D6522" s="37"/>
      <c r="E6522" s="38" t="s">
        <v>7731</v>
      </c>
      <c r="F6522" s="38" t="s">
        <v>7728</v>
      </c>
      <c r="G6522" s="38">
        <v>3.61733077175E11</v>
      </c>
      <c r="H6522" s="38" t="s">
        <v>7729</v>
      </c>
      <c r="I6522" s="38" t="s">
        <v>7730</v>
      </c>
      <c r="J6522" s="38" t="s">
        <v>332</v>
      </c>
      <c r="K6522" s="38" t="s">
        <v>63</v>
      </c>
      <c r="L6522" s="41">
        <v>46008.166666666664</v>
      </c>
      <c r="M6522" s="38" t="s">
        <v>123</v>
      </c>
      <c r="N6522" s="41">
        <v>46008.541666666664</v>
      </c>
      <c r="O6522" s="38" t="s">
        <v>123</v>
      </c>
      <c r="P6522" s="38">
        <v>32400.0</v>
      </c>
      <c r="Q6522" s="39"/>
      <c r="R6522" s="39"/>
      <c r="S6522" s="39"/>
      <c r="T6522" s="39"/>
      <c r="U6522" s="39"/>
    </row>
    <row r="6523">
      <c r="A6523" s="40">
        <f t="shared" si="1"/>
        <v>46006</v>
      </c>
      <c r="B6523" s="37" t="str">
        <f t="array" ref="B6523">iferror(xlookup($I6523, 'IMPORT VHC Report'!$E:$E, 'IMPORT VHC Report'!$A:$C), )</f>
        <v/>
      </c>
      <c r="C6523" s="37"/>
      <c r="D6523" s="37"/>
      <c r="E6523" s="38" t="s">
        <v>7732</v>
      </c>
      <c r="F6523" s="38" t="s">
        <v>7728</v>
      </c>
      <c r="G6523" s="38">
        <v>3.61733077175E11</v>
      </c>
      <c r="H6523" s="38" t="s">
        <v>7729</v>
      </c>
      <c r="I6523" s="38" t="s">
        <v>7730</v>
      </c>
      <c r="J6523" s="38" t="s">
        <v>136</v>
      </c>
      <c r="K6523" s="38" t="s">
        <v>126</v>
      </c>
      <c r="L6523" s="41">
        <v>46008.208333333336</v>
      </c>
      <c r="M6523" s="38" t="s">
        <v>123</v>
      </c>
      <c r="N6523" s="41">
        <v>46008.25</v>
      </c>
      <c r="O6523" s="38" t="s">
        <v>123</v>
      </c>
      <c r="P6523" s="38">
        <v>3600.0</v>
      </c>
      <c r="Q6523" s="39"/>
      <c r="R6523" s="39"/>
      <c r="S6523" s="38" t="s">
        <v>137</v>
      </c>
      <c r="T6523" s="39"/>
      <c r="U6523" s="39"/>
    </row>
    <row r="6524">
      <c r="A6524" s="40">
        <f t="shared" si="1"/>
        <v>46006</v>
      </c>
      <c r="B6524" s="37" t="str">
        <f t="array" ref="B6524">iferror(xlookup($I6524, 'IMPORT VHC Report'!$E:$E, 'IMPORT VHC Report'!$A:$C), )</f>
        <v/>
      </c>
      <c r="C6524" s="37"/>
      <c r="D6524" s="37"/>
      <c r="E6524" s="38" t="s">
        <v>7733</v>
      </c>
      <c r="F6524" s="38" t="s">
        <v>7728</v>
      </c>
      <c r="G6524" s="38">
        <v>3.61733077175E11</v>
      </c>
      <c r="H6524" s="38" t="s">
        <v>7729</v>
      </c>
      <c r="I6524" s="38" t="s">
        <v>7730</v>
      </c>
      <c r="J6524" s="38" t="s">
        <v>134</v>
      </c>
      <c r="K6524" s="38" t="s">
        <v>126</v>
      </c>
      <c r="L6524" s="41">
        <v>46008.25</v>
      </c>
      <c r="M6524" s="38" t="s">
        <v>123</v>
      </c>
      <c r="N6524" s="41">
        <v>46008.270833333336</v>
      </c>
      <c r="O6524" s="38" t="s">
        <v>123</v>
      </c>
      <c r="P6524" s="38">
        <v>1800.0</v>
      </c>
      <c r="Q6524" s="39"/>
      <c r="R6524" s="39"/>
      <c r="S6524" s="39"/>
      <c r="T6524" s="39"/>
      <c r="U6524" s="39"/>
    </row>
    <row r="6525">
      <c r="A6525" s="40">
        <f t="shared" si="1"/>
        <v>46006</v>
      </c>
      <c r="B6525" s="37" t="str">
        <f t="array" ref="B6525">iferror(xlookup($I6525, 'IMPORT VHC Report'!$E:$E, 'IMPORT VHC Report'!$A:$C), )</f>
        <v/>
      </c>
      <c r="C6525" s="37"/>
      <c r="D6525" s="37"/>
      <c r="E6525" s="38" t="s">
        <v>7734</v>
      </c>
      <c r="F6525" s="38" t="s">
        <v>7728</v>
      </c>
      <c r="G6525" s="38">
        <v>3.61733077175E11</v>
      </c>
      <c r="H6525" s="38" t="s">
        <v>7729</v>
      </c>
      <c r="I6525" s="38" t="s">
        <v>7730</v>
      </c>
      <c r="J6525" s="38" t="s">
        <v>132</v>
      </c>
      <c r="K6525" s="38" t="s">
        <v>126</v>
      </c>
      <c r="L6525" s="41">
        <v>46008.3875</v>
      </c>
      <c r="M6525" s="38" t="s">
        <v>123</v>
      </c>
      <c r="N6525" s="41">
        <v>46008.42916666667</v>
      </c>
      <c r="O6525" s="38" t="s">
        <v>123</v>
      </c>
      <c r="P6525" s="38">
        <v>3600.0</v>
      </c>
      <c r="Q6525" s="39"/>
      <c r="R6525" s="39"/>
      <c r="S6525" s="39"/>
      <c r="T6525" s="39"/>
      <c r="U6525" s="39"/>
    </row>
    <row r="6526">
      <c r="A6526" s="40">
        <f t="shared" si="1"/>
        <v>46006</v>
      </c>
      <c r="B6526" s="37" t="str">
        <f t="array" ref="B6526">iferror(xlookup($I6526, 'IMPORT VHC Report'!$E:$E, 'IMPORT VHC Report'!$A:$C), )</f>
        <v/>
      </c>
      <c r="C6526" s="37"/>
      <c r="D6526" s="37"/>
      <c r="E6526" s="38" t="s">
        <v>7735</v>
      </c>
      <c r="F6526" s="38" t="s">
        <v>7728</v>
      </c>
      <c r="G6526" s="38">
        <v>3.61733077175E11</v>
      </c>
      <c r="H6526" s="38" t="s">
        <v>7729</v>
      </c>
      <c r="I6526" s="38" t="s">
        <v>7730</v>
      </c>
      <c r="J6526" s="38" t="s">
        <v>330</v>
      </c>
      <c r="K6526" s="38" t="s">
        <v>126</v>
      </c>
      <c r="L6526" s="41">
        <v>46009.166666666664</v>
      </c>
      <c r="M6526" s="38" t="s">
        <v>123</v>
      </c>
      <c r="N6526" s="41">
        <v>46009.17361111111</v>
      </c>
      <c r="O6526" s="38" t="s">
        <v>123</v>
      </c>
      <c r="P6526" s="38">
        <v>600.0</v>
      </c>
      <c r="Q6526" s="39"/>
      <c r="R6526" s="39"/>
      <c r="S6526" s="39"/>
      <c r="T6526" s="39"/>
      <c r="U6526" s="39"/>
    </row>
    <row r="6527">
      <c r="A6527" s="40">
        <f t="shared" si="1"/>
        <v>46006</v>
      </c>
      <c r="B6527" s="37" t="str">
        <f t="array" ref="B6527">iferror(xlookup($I6527, 'IMPORT VHC Report'!$E:$E, 'IMPORT VHC Report'!$A:$C), )</f>
        <v/>
      </c>
      <c r="C6527" s="37"/>
      <c r="D6527" s="37"/>
      <c r="E6527" s="38" t="s">
        <v>7736</v>
      </c>
      <c r="F6527" s="38" t="s">
        <v>7728</v>
      </c>
      <c r="G6527" s="38">
        <v>3.61733077175E11</v>
      </c>
      <c r="H6527" s="38" t="s">
        <v>7729</v>
      </c>
      <c r="I6527" s="38" t="s">
        <v>7730</v>
      </c>
      <c r="J6527" s="38" t="s">
        <v>332</v>
      </c>
      <c r="K6527" s="38" t="s">
        <v>63</v>
      </c>
      <c r="L6527" s="41">
        <v>46009.166666666664</v>
      </c>
      <c r="M6527" s="38" t="s">
        <v>123</v>
      </c>
      <c r="N6527" s="41">
        <v>46009.541666666664</v>
      </c>
      <c r="O6527" s="38" t="s">
        <v>123</v>
      </c>
      <c r="P6527" s="38">
        <v>32400.0</v>
      </c>
      <c r="Q6527" s="39"/>
      <c r="R6527" s="39"/>
      <c r="S6527" s="39"/>
      <c r="T6527" s="39"/>
      <c r="U6527" s="39"/>
    </row>
    <row r="6528">
      <c r="A6528" s="40">
        <f t="shared" si="1"/>
        <v>46006</v>
      </c>
      <c r="B6528" s="37" t="str">
        <f t="array" ref="B6528">iferror(xlookup($I6528, 'IMPORT VHC Report'!$E:$E, 'IMPORT VHC Report'!$A:$C), )</f>
        <v/>
      </c>
      <c r="C6528" s="37"/>
      <c r="D6528" s="37"/>
      <c r="E6528" s="38" t="s">
        <v>7737</v>
      </c>
      <c r="F6528" s="38" t="s">
        <v>7728</v>
      </c>
      <c r="G6528" s="38">
        <v>3.61733077175E11</v>
      </c>
      <c r="H6528" s="38" t="s">
        <v>7729</v>
      </c>
      <c r="I6528" s="38" t="s">
        <v>7730</v>
      </c>
      <c r="J6528" s="38" t="s">
        <v>4</v>
      </c>
      <c r="K6528" s="38" t="s">
        <v>126</v>
      </c>
      <c r="L6528" s="41">
        <v>46009.208333333336</v>
      </c>
      <c r="M6528" s="38" t="s">
        <v>123</v>
      </c>
      <c r="N6528" s="41">
        <v>46009.25</v>
      </c>
      <c r="O6528" s="38" t="s">
        <v>123</v>
      </c>
      <c r="P6528" s="38">
        <v>3600.0</v>
      </c>
      <c r="Q6528" s="39"/>
      <c r="R6528" s="39"/>
      <c r="S6528" s="38" t="s">
        <v>336</v>
      </c>
      <c r="T6528" s="39"/>
      <c r="U6528" s="39"/>
    </row>
    <row r="6529">
      <c r="A6529" s="40">
        <f t="shared" si="1"/>
        <v>46006</v>
      </c>
      <c r="B6529" s="37" t="str">
        <f t="array" ref="B6529">iferror(xlookup($I6529, 'IMPORT VHC Report'!$E:$E, 'IMPORT VHC Report'!$A:$C), )</f>
        <v/>
      </c>
      <c r="C6529" s="37"/>
      <c r="D6529" s="37"/>
      <c r="E6529" s="38" t="s">
        <v>7738</v>
      </c>
      <c r="F6529" s="38" t="s">
        <v>7728</v>
      </c>
      <c r="G6529" s="38">
        <v>3.61733077175E11</v>
      </c>
      <c r="H6529" s="38" t="s">
        <v>7729</v>
      </c>
      <c r="I6529" s="38" t="s">
        <v>7730</v>
      </c>
      <c r="J6529" s="38" t="s">
        <v>134</v>
      </c>
      <c r="K6529" s="38" t="s">
        <v>126</v>
      </c>
      <c r="L6529" s="41">
        <v>46009.270833333336</v>
      </c>
      <c r="M6529" s="38" t="s">
        <v>123</v>
      </c>
      <c r="N6529" s="41">
        <v>46009.291666666664</v>
      </c>
      <c r="O6529" s="38" t="s">
        <v>123</v>
      </c>
      <c r="P6529" s="38">
        <v>1800.0</v>
      </c>
      <c r="Q6529" s="39"/>
      <c r="R6529" s="39"/>
      <c r="S6529" s="39"/>
      <c r="T6529" s="39"/>
      <c r="U6529" s="39"/>
    </row>
    <row r="6530">
      <c r="A6530" s="40">
        <f t="shared" si="1"/>
        <v>46006</v>
      </c>
      <c r="B6530" s="37" t="str">
        <f t="array" ref="B6530">iferror(xlookup($I6530, 'IMPORT VHC Report'!$E:$E, 'IMPORT VHC Report'!$A:$C), )</f>
        <v/>
      </c>
      <c r="C6530" s="37"/>
      <c r="D6530" s="37"/>
      <c r="E6530" s="38" t="s">
        <v>7739</v>
      </c>
      <c r="F6530" s="38" t="s">
        <v>7728</v>
      </c>
      <c r="G6530" s="38">
        <v>3.61733077175E11</v>
      </c>
      <c r="H6530" s="38" t="s">
        <v>7729</v>
      </c>
      <c r="I6530" s="38" t="s">
        <v>7730</v>
      </c>
      <c r="J6530" s="38" t="s">
        <v>132</v>
      </c>
      <c r="K6530" s="38" t="s">
        <v>126</v>
      </c>
      <c r="L6530" s="41">
        <v>46009.458333333336</v>
      </c>
      <c r="M6530" s="38" t="s">
        <v>123</v>
      </c>
      <c r="N6530" s="41">
        <v>46009.5</v>
      </c>
      <c r="O6530" s="38" t="s">
        <v>123</v>
      </c>
      <c r="P6530" s="38">
        <v>3600.0</v>
      </c>
      <c r="Q6530" s="39"/>
      <c r="R6530" s="39"/>
      <c r="S6530" s="39"/>
      <c r="T6530" s="39"/>
      <c r="U6530" s="39"/>
    </row>
    <row r="6531">
      <c r="A6531" s="40">
        <f t="shared" si="1"/>
        <v>46006</v>
      </c>
      <c r="B6531" s="37" t="str">
        <f t="array" ref="B6531">iferror(xlookup($I6531, 'IMPORT VHC Report'!$E:$E, 'IMPORT VHC Report'!$A:$C), )</f>
        <v/>
      </c>
      <c r="C6531" s="37"/>
      <c r="D6531" s="37"/>
      <c r="E6531" s="38" t="s">
        <v>7740</v>
      </c>
      <c r="F6531" s="38" t="s">
        <v>7728</v>
      </c>
      <c r="G6531" s="38">
        <v>3.61733077175E11</v>
      </c>
      <c r="H6531" s="38" t="s">
        <v>7729</v>
      </c>
      <c r="I6531" s="38" t="s">
        <v>7730</v>
      </c>
      <c r="J6531" s="38" t="s">
        <v>330</v>
      </c>
      <c r="K6531" s="38" t="s">
        <v>126</v>
      </c>
      <c r="L6531" s="41">
        <v>46010.166666666664</v>
      </c>
      <c r="M6531" s="38" t="s">
        <v>123</v>
      </c>
      <c r="N6531" s="41">
        <v>46010.17361111111</v>
      </c>
      <c r="O6531" s="38" t="s">
        <v>123</v>
      </c>
      <c r="P6531" s="38">
        <v>600.0</v>
      </c>
      <c r="Q6531" s="39"/>
      <c r="R6531" s="39"/>
      <c r="S6531" s="39"/>
      <c r="T6531" s="39"/>
      <c r="U6531" s="39"/>
    </row>
    <row r="6532">
      <c r="A6532" s="40">
        <f t="shared" si="1"/>
        <v>46006</v>
      </c>
      <c r="B6532" s="37" t="str">
        <f t="array" ref="B6532">iferror(xlookup($I6532, 'IMPORT VHC Report'!$E:$E, 'IMPORT VHC Report'!$A:$C), )</f>
        <v/>
      </c>
      <c r="C6532" s="37"/>
      <c r="D6532" s="37"/>
      <c r="E6532" s="38" t="s">
        <v>7741</v>
      </c>
      <c r="F6532" s="38" t="s">
        <v>7728</v>
      </c>
      <c r="G6532" s="38">
        <v>3.61733077175E11</v>
      </c>
      <c r="H6532" s="38" t="s">
        <v>7729</v>
      </c>
      <c r="I6532" s="38" t="s">
        <v>7730</v>
      </c>
      <c r="J6532" s="38" t="s">
        <v>332</v>
      </c>
      <c r="K6532" s="38" t="s">
        <v>63</v>
      </c>
      <c r="L6532" s="41">
        <v>46010.166666666664</v>
      </c>
      <c r="M6532" s="38" t="s">
        <v>123</v>
      </c>
      <c r="N6532" s="41">
        <v>46010.541666666664</v>
      </c>
      <c r="O6532" s="38" t="s">
        <v>123</v>
      </c>
      <c r="P6532" s="38">
        <v>32400.0</v>
      </c>
      <c r="Q6532" s="39"/>
      <c r="R6532" s="39"/>
      <c r="S6532" s="39"/>
      <c r="T6532" s="39"/>
      <c r="U6532" s="39"/>
    </row>
    <row r="6533">
      <c r="A6533" s="40">
        <f t="shared" si="1"/>
        <v>46006</v>
      </c>
      <c r="B6533" s="37" t="str">
        <f t="array" ref="B6533">iferror(xlookup($I6533, 'IMPORT VHC Report'!$E:$E, 'IMPORT VHC Report'!$A:$C), )</f>
        <v/>
      </c>
      <c r="C6533" s="37"/>
      <c r="D6533" s="37"/>
      <c r="E6533" s="38" t="s">
        <v>7742</v>
      </c>
      <c r="F6533" s="38" t="s">
        <v>7728</v>
      </c>
      <c r="G6533" s="38">
        <v>3.61733077175E11</v>
      </c>
      <c r="H6533" s="38" t="s">
        <v>7729</v>
      </c>
      <c r="I6533" s="38" t="s">
        <v>7730</v>
      </c>
      <c r="J6533" s="38" t="s">
        <v>132</v>
      </c>
      <c r="K6533" s="38" t="s">
        <v>126</v>
      </c>
      <c r="L6533" s="41">
        <v>46010.270833333336</v>
      </c>
      <c r="M6533" s="38" t="s">
        <v>123</v>
      </c>
      <c r="N6533" s="41">
        <v>46010.3125</v>
      </c>
      <c r="O6533" s="38" t="s">
        <v>123</v>
      </c>
      <c r="P6533" s="38">
        <v>3600.0</v>
      </c>
      <c r="Q6533" s="39"/>
      <c r="R6533" s="39"/>
      <c r="S6533" s="39"/>
      <c r="T6533" s="39"/>
      <c r="U6533" s="39"/>
    </row>
    <row r="6534">
      <c r="A6534" s="40">
        <f t="shared" si="1"/>
        <v>46006</v>
      </c>
      <c r="B6534" s="37" t="str">
        <f t="array" ref="B6534">iferror(xlookup($I6534, 'IMPORT VHC Report'!$E:$E, 'IMPORT VHC Report'!$A:$C), )</f>
        <v/>
      </c>
      <c r="C6534" s="37"/>
      <c r="D6534" s="37"/>
      <c r="E6534" s="38" t="s">
        <v>7743</v>
      </c>
      <c r="F6534" s="38" t="s">
        <v>7728</v>
      </c>
      <c r="G6534" s="38">
        <v>3.61733077175E11</v>
      </c>
      <c r="H6534" s="38" t="s">
        <v>7729</v>
      </c>
      <c r="I6534" s="38" t="s">
        <v>7730</v>
      </c>
      <c r="J6534" s="38" t="s">
        <v>134</v>
      </c>
      <c r="K6534" s="38" t="s">
        <v>126</v>
      </c>
      <c r="L6534" s="41">
        <v>46010.42083333333</v>
      </c>
      <c r="M6534" s="38" t="s">
        <v>123</v>
      </c>
      <c r="N6534" s="41">
        <v>46010.441666666666</v>
      </c>
      <c r="O6534" s="38" t="s">
        <v>123</v>
      </c>
      <c r="P6534" s="38">
        <v>1800.0</v>
      </c>
      <c r="Q6534" s="39"/>
      <c r="R6534" s="39"/>
      <c r="S6534" s="39"/>
      <c r="T6534" s="39"/>
      <c r="U6534" s="39"/>
    </row>
    <row r="6535">
      <c r="A6535" s="40">
        <f t="shared" si="1"/>
        <v>46006</v>
      </c>
      <c r="B6535" s="37" t="str">
        <f t="array" ref="B6535">iferror(xlookup($I6535, 'IMPORT VHC Report'!$E:$E, 'IMPORT VHC Report'!$A:$C), )</f>
        <v/>
      </c>
      <c r="C6535" s="37"/>
      <c r="D6535" s="37"/>
      <c r="E6535" s="38" t="s">
        <v>7744</v>
      </c>
      <c r="F6535" s="38" t="s">
        <v>7728</v>
      </c>
      <c r="G6535" s="38">
        <v>3.61733077175E11</v>
      </c>
      <c r="H6535" s="38" t="s">
        <v>7729</v>
      </c>
      <c r="I6535" s="38" t="s">
        <v>7730</v>
      </c>
      <c r="J6535" s="38" t="s">
        <v>330</v>
      </c>
      <c r="K6535" s="38" t="s">
        <v>126</v>
      </c>
      <c r="L6535" s="41">
        <v>46011.166666666664</v>
      </c>
      <c r="M6535" s="38" t="s">
        <v>123</v>
      </c>
      <c r="N6535" s="41">
        <v>46011.17361111111</v>
      </c>
      <c r="O6535" s="38" t="s">
        <v>123</v>
      </c>
      <c r="P6535" s="38">
        <v>600.0</v>
      </c>
      <c r="Q6535" s="39"/>
      <c r="R6535" s="39"/>
      <c r="S6535" s="39"/>
      <c r="T6535" s="39"/>
      <c r="U6535" s="39"/>
    </row>
    <row r="6536">
      <c r="A6536" s="40">
        <f t="shared" si="1"/>
        <v>46006</v>
      </c>
      <c r="B6536" s="37" t="str">
        <f t="array" ref="B6536">iferror(xlookup($I6536, 'IMPORT VHC Report'!$E:$E, 'IMPORT VHC Report'!$A:$C), )</f>
        <v/>
      </c>
      <c r="C6536" s="37"/>
      <c r="D6536" s="37"/>
      <c r="E6536" s="38" t="s">
        <v>7745</v>
      </c>
      <c r="F6536" s="38" t="s">
        <v>7728</v>
      </c>
      <c r="G6536" s="38">
        <v>3.61733077175E11</v>
      </c>
      <c r="H6536" s="38" t="s">
        <v>7729</v>
      </c>
      <c r="I6536" s="38" t="s">
        <v>7730</v>
      </c>
      <c r="J6536" s="38" t="s">
        <v>332</v>
      </c>
      <c r="K6536" s="38" t="s">
        <v>63</v>
      </c>
      <c r="L6536" s="41">
        <v>46011.166666666664</v>
      </c>
      <c r="M6536" s="38" t="s">
        <v>123</v>
      </c>
      <c r="N6536" s="41">
        <v>46011.541666666664</v>
      </c>
      <c r="O6536" s="38" t="s">
        <v>123</v>
      </c>
      <c r="P6536" s="38">
        <v>32400.0</v>
      </c>
      <c r="Q6536" s="39"/>
      <c r="R6536" s="39"/>
      <c r="S6536" s="39"/>
      <c r="T6536" s="39"/>
      <c r="U6536" s="39"/>
    </row>
    <row r="6537">
      <c r="A6537" s="40">
        <f t="shared" si="1"/>
        <v>46006</v>
      </c>
      <c r="B6537" s="37" t="str">
        <f t="array" ref="B6537">iferror(xlookup($I6537, 'IMPORT VHC Report'!$E:$E, 'IMPORT VHC Report'!$A:$C), )</f>
        <v/>
      </c>
      <c r="C6537" s="37"/>
      <c r="D6537" s="37"/>
      <c r="E6537" s="38" t="s">
        <v>7746</v>
      </c>
      <c r="F6537" s="38" t="s">
        <v>7728</v>
      </c>
      <c r="G6537" s="38">
        <v>3.61733077175E11</v>
      </c>
      <c r="H6537" s="38" t="s">
        <v>7729</v>
      </c>
      <c r="I6537" s="38" t="s">
        <v>7730</v>
      </c>
      <c r="J6537" s="38" t="s">
        <v>134</v>
      </c>
      <c r="K6537" s="38" t="s">
        <v>126</v>
      </c>
      <c r="L6537" s="41">
        <v>46011.29652777778</v>
      </c>
      <c r="M6537" s="38" t="s">
        <v>123</v>
      </c>
      <c r="N6537" s="41">
        <v>46011.31736111111</v>
      </c>
      <c r="O6537" s="38" t="s">
        <v>123</v>
      </c>
      <c r="P6537" s="38">
        <v>1800.0</v>
      </c>
      <c r="Q6537" s="39"/>
      <c r="R6537" s="39"/>
      <c r="S6537" s="39"/>
      <c r="T6537" s="39"/>
      <c r="U6537" s="39"/>
    </row>
    <row r="6538">
      <c r="A6538" s="40">
        <f t="shared" si="1"/>
        <v>46006</v>
      </c>
      <c r="B6538" s="37" t="str">
        <f t="array" ref="B6538">iferror(xlookup($I6538, 'IMPORT VHC Report'!$E:$E, 'IMPORT VHC Report'!$A:$C), )</f>
        <v/>
      </c>
      <c r="C6538" s="37"/>
      <c r="D6538" s="37"/>
      <c r="E6538" s="38" t="s">
        <v>7747</v>
      </c>
      <c r="F6538" s="38" t="s">
        <v>7728</v>
      </c>
      <c r="G6538" s="38">
        <v>3.61733077175E11</v>
      </c>
      <c r="H6538" s="38" t="s">
        <v>7729</v>
      </c>
      <c r="I6538" s="38" t="s">
        <v>7730</v>
      </c>
      <c r="J6538" s="38" t="s">
        <v>132</v>
      </c>
      <c r="K6538" s="38" t="s">
        <v>126</v>
      </c>
      <c r="L6538" s="41">
        <v>46011.447916666664</v>
      </c>
      <c r="M6538" s="38" t="s">
        <v>123</v>
      </c>
      <c r="N6538" s="41">
        <v>46011.489583333336</v>
      </c>
      <c r="O6538" s="38" t="s">
        <v>123</v>
      </c>
      <c r="P6538" s="38">
        <v>3600.0</v>
      </c>
      <c r="Q6538" s="39"/>
      <c r="R6538" s="39"/>
      <c r="S6538" s="39"/>
      <c r="T6538" s="39"/>
      <c r="U6538" s="39"/>
    </row>
    <row r="6539">
      <c r="A6539" s="40">
        <f t="shared" si="1"/>
        <v>46006</v>
      </c>
      <c r="B6539" s="37" t="str">
        <f t="array" ref="B6539">iferror(xlookup($I6539, 'IMPORT VHC Report'!$E:$E, 'IMPORT VHC Report'!$A:$C), )</f>
        <v/>
      </c>
      <c r="C6539" s="37"/>
      <c r="D6539" s="37"/>
      <c r="E6539" s="38" t="s">
        <v>7748</v>
      </c>
      <c r="F6539" s="38" t="s">
        <v>7728</v>
      </c>
      <c r="G6539" s="38">
        <v>3.61733077175E11</v>
      </c>
      <c r="H6539" s="38" t="s">
        <v>7729</v>
      </c>
      <c r="I6539" s="38" t="s">
        <v>7730</v>
      </c>
      <c r="J6539" s="38" t="s">
        <v>330</v>
      </c>
      <c r="K6539" s="38" t="s">
        <v>126</v>
      </c>
      <c r="L6539" s="41">
        <v>46012.166666666664</v>
      </c>
      <c r="M6539" s="38" t="s">
        <v>123</v>
      </c>
      <c r="N6539" s="41">
        <v>46012.17361111111</v>
      </c>
      <c r="O6539" s="38" t="s">
        <v>123</v>
      </c>
      <c r="P6539" s="38">
        <v>600.0</v>
      </c>
      <c r="Q6539" s="39"/>
      <c r="R6539" s="39"/>
      <c r="S6539" s="39"/>
      <c r="T6539" s="39"/>
      <c r="U6539" s="39"/>
    </row>
    <row r="6540">
      <c r="A6540" s="40">
        <f t="shared" si="1"/>
        <v>46006</v>
      </c>
      <c r="B6540" s="37" t="str">
        <f t="array" ref="B6540">iferror(xlookup($I6540, 'IMPORT VHC Report'!$E:$E, 'IMPORT VHC Report'!$A:$C), )</f>
        <v/>
      </c>
      <c r="C6540" s="37"/>
      <c r="D6540" s="37"/>
      <c r="E6540" s="38" t="s">
        <v>7749</v>
      </c>
      <c r="F6540" s="38" t="s">
        <v>7728</v>
      </c>
      <c r="G6540" s="38">
        <v>3.61733077175E11</v>
      </c>
      <c r="H6540" s="38" t="s">
        <v>7729</v>
      </c>
      <c r="I6540" s="38" t="s">
        <v>7730</v>
      </c>
      <c r="J6540" s="38" t="s">
        <v>332</v>
      </c>
      <c r="K6540" s="38" t="s">
        <v>63</v>
      </c>
      <c r="L6540" s="41">
        <v>46012.166666666664</v>
      </c>
      <c r="M6540" s="38" t="s">
        <v>123</v>
      </c>
      <c r="N6540" s="41">
        <v>46012.541666666664</v>
      </c>
      <c r="O6540" s="38" t="s">
        <v>123</v>
      </c>
      <c r="P6540" s="38">
        <v>32400.0</v>
      </c>
      <c r="Q6540" s="39"/>
      <c r="R6540" s="39"/>
      <c r="S6540" s="39"/>
      <c r="T6540" s="39"/>
      <c r="U6540" s="39"/>
    </row>
    <row r="6541">
      <c r="A6541" s="40">
        <f t="shared" si="1"/>
        <v>46006</v>
      </c>
      <c r="B6541" s="37" t="str">
        <f t="array" ref="B6541">iferror(xlookup($I6541, 'IMPORT VHC Report'!$E:$E, 'IMPORT VHC Report'!$A:$C), )</f>
        <v/>
      </c>
      <c r="C6541" s="37"/>
      <c r="D6541" s="37"/>
      <c r="E6541" s="38" t="s">
        <v>7750</v>
      </c>
      <c r="F6541" s="38" t="s">
        <v>7728</v>
      </c>
      <c r="G6541" s="38">
        <v>3.61733077175E11</v>
      </c>
      <c r="H6541" s="38" t="s">
        <v>7729</v>
      </c>
      <c r="I6541" s="38" t="s">
        <v>7730</v>
      </c>
      <c r="J6541" s="38" t="s">
        <v>132</v>
      </c>
      <c r="K6541" s="38" t="s">
        <v>126</v>
      </c>
      <c r="L6541" s="41">
        <v>46012.291666666664</v>
      </c>
      <c r="M6541" s="38" t="s">
        <v>123</v>
      </c>
      <c r="N6541" s="41">
        <v>46012.333333333336</v>
      </c>
      <c r="O6541" s="38" t="s">
        <v>123</v>
      </c>
      <c r="P6541" s="38">
        <v>3600.0</v>
      </c>
      <c r="Q6541" s="39"/>
      <c r="R6541" s="39"/>
      <c r="S6541" s="39"/>
      <c r="T6541" s="39"/>
      <c r="U6541" s="39"/>
    </row>
    <row r="6542">
      <c r="A6542" s="40">
        <f t="shared" si="1"/>
        <v>46006</v>
      </c>
      <c r="B6542" s="37" t="str">
        <f t="array" ref="B6542">iferror(xlookup($I6542, 'IMPORT VHC Report'!$E:$E, 'IMPORT VHC Report'!$A:$C), )</f>
        <v/>
      </c>
      <c r="C6542" s="37"/>
      <c r="D6542" s="37"/>
      <c r="E6542" s="38" t="s">
        <v>7751</v>
      </c>
      <c r="F6542" s="38" t="s">
        <v>7728</v>
      </c>
      <c r="G6542" s="38">
        <v>3.61733077175E11</v>
      </c>
      <c r="H6542" s="38" t="s">
        <v>7729</v>
      </c>
      <c r="I6542" s="38" t="s">
        <v>7730</v>
      </c>
      <c r="J6542" s="38" t="s">
        <v>134</v>
      </c>
      <c r="K6542" s="38" t="s">
        <v>126</v>
      </c>
      <c r="L6542" s="41">
        <v>46012.458333333336</v>
      </c>
      <c r="M6542" s="38" t="s">
        <v>123</v>
      </c>
      <c r="N6542" s="41">
        <v>46012.479166666664</v>
      </c>
      <c r="O6542" s="38" t="s">
        <v>123</v>
      </c>
      <c r="P6542" s="38">
        <v>1800.0</v>
      </c>
      <c r="Q6542" s="39"/>
      <c r="R6542" s="39"/>
      <c r="S6542" s="39"/>
      <c r="T6542" s="39"/>
      <c r="U6542" s="39"/>
    </row>
    <row r="6543">
      <c r="A6543" s="40">
        <f t="shared" si="1"/>
        <v>46006</v>
      </c>
      <c r="B6543" s="37" t="str">
        <f t="array" ref="B6543">iferror(xlookup($I6543, 'IMPORT VHC Report'!$E:$E, 'IMPORT VHC Report'!$A:$C), )</f>
        <v/>
      </c>
      <c r="C6543" s="37"/>
      <c r="D6543" s="37"/>
      <c r="E6543" s="38" t="s">
        <v>7752</v>
      </c>
      <c r="F6543" s="38" t="s">
        <v>7728</v>
      </c>
      <c r="G6543" s="38">
        <v>3.61733077175E11</v>
      </c>
      <c r="H6543" s="38" t="s">
        <v>7729</v>
      </c>
      <c r="I6543" s="38" t="s">
        <v>7730</v>
      </c>
      <c r="J6543" s="38" t="s">
        <v>4</v>
      </c>
      <c r="K6543" s="38" t="s">
        <v>126</v>
      </c>
      <c r="L6543" s="41">
        <v>46012.489583333336</v>
      </c>
      <c r="M6543" s="38" t="s">
        <v>123</v>
      </c>
      <c r="N6543" s="41">
        <v>46012.53125</v>
      </c>
      <c r="O6543" s="38" t="s">
        <v>123</v>
      </c>
      <c r="P6543" s="38">
        <v>3600.0</v>
      </c>
      <c r="Q6543" s="39"/>
      <c r="R6543" s="39"/>
      <c r="S6543" s="38" t="s">
        <v>7753</v>
      </c>
      <c r="T6543" s="39"/>
      <c r="U6543" s="39"/>
    </row>
    <row r="6544">
      <c r="A6544" s="40">
        <f t="shared" si="1"/>
        <v>46006</v>
      </c>
      <c r="B6544" s="37" t="str">
        <f t="array" ref="B6544">iferror(xlookup($I6544, 'IMPORT VHC Report'!$E:$E, 'IMPORT VHC Report'!$A:$C), )</f>
        <v/>
      </c>
      <c r="C6544" s="37"/>
      <c r="D6544" s="37"/>
      <c r="E6544" s="38" t="s">
        <v>7754</v>
      </c>
      <c r="F6544" s="38" t="s">
        <v>7755</v>
      </c>
      <c r="G6544" s="38">
        <v>3.61724667376E11</v>
      </c>
      <c r="H6544" s="38" t="s">
        <v>7756</v>
      </c>
      <c r="I6544" s="38" t="s">
        <v>7757</v>
      </c>
      <c r="J6544" s="38" t="s">
        <v>136</v>
      </c>
      <c r="K6544" s="38" t="s">
        <v>126</v>
      </c>
      <c r="L6544" s="41">
        <v>46008.208333333336</v>
      </c>
      <c r="M6544" s="38" t="s">
        <v>123</v>
      </c>
      <c r="N6544" s="41">
        <v>46008.25</v>
      </c>
      <c r="O6544" s="38" t="s">
        <v>123</v>
      </c>
      <c r="P6544" s="38">
        <v>3600.0</v>
      </c>
      <c r="Q6544" s="39"/>
      <c r="R6544" s="39"/>
      <c r="S6544" s="38" t="s">
        <v>137</v>
      </c>
      <c r="T6544" s="39"/>
      <c r="U6544" s="39"/>
    </row>
    <row r="6545">
      <c r="A6545" s="40">
        <f t="shared" si="1"/>
        <v>46006</v>
      </c>
      <c r="B6545" s="37" t="str">
        <f t="array" ref="B6545">iferror(xlookup($I6545, 'IMPORT VHC Report'!$E:$E, 'IMPORT VHC Report'!$A:$C), )</f>
        <v/>
      </c>
      <c r="C6545" s="37"/>
      <c r="D6545" s="37"/>
      <c r="E6545" s="38" t="s">
        <v>7758</v>
      </c>
      <c r="F6545" s="38" t="s">
        <v>7755</v>
      </c>
      <c r="G6545" s="38">
        <v>3.61724667376E11</v>
      </c>
      <c r="H6545" s="38" t="s">
        <v>7756</v>
      </c>
      <c r="I6545" s="38" t="s">
        <v>7757</v>
      </c>
      <c r="J6545" s="38" t="s">
        <v>332</v>
      </c>
      <c r="K6545" s="38" t="s">
        <v>63</v>
      </c>
      <c r="L6545" s="41">
        <v>46008.208333333336</v>
      </c>
      <c r="M6545" s="38" t="s">
        <v>123</v>
      </c>
      <c r="N6545" s="41">
        <v>46008.583333333336</v>
      </c>
      <c r="O6545" s="38" t="s">
        <v>123</v>
      </c>
      <c r="P6545" s="38">
        <v>32400.0</v>
      </c>
      <c r="Q6545" s="39"/>
      <c r="R6545" s="39"/>
      <c r="S6545" s="39"/>
      <c r="T6545" s="39"/>
      <c r="U6545" s="39"/>
    </row>
    <row r="6546">
      <c r="A6546" s="40">
        <f t="shared" si="1"/>
        <v>46006</v>
      </c>
      <c r="B6546" s="37" t="str">
        <f t="array" ref="B6546">iferror(xlookup($I6546, 'IMPORT VHC Report'!$E:$E, 'IMPORT VHC Report'!$A:$C), )</f>
        <v/>
      </c>
      <c r="C6546" s="37"/>
      <c r="D6546" s="37"/>
      <c r="E6546" s="38" t="s">
        <v>7759</v>
      </c>
      <c r="F6546" s="38" t="s">
        <v>7755</v>
      </c>
      <c r="G6546" s="38">
        <v>3.61724667376E11</v>
      </c>
      <c r="H6546" s="38" t="s">
        <v>7756</v>
      </c>
      <c r="I6546" s="38" t="s">
        <v>7757</v>
      </c>
      <c r="J6546" s="38" t="s">
        <v>330</v>
      </c>
      <c r="K6546" s="38" t="s">
        <v>126</v>
      </c>
      <c r="L6546" s="41">
        <v>46008.25</v>
      </c>
      <c r="M6546" s="38" t="s">
        <v>123</v>
      </c>
      <c r="N6546" s="41">
        <v>46008.256944444445</v>
      </c>
      <c r="O6546" s="38" t="s">
        <v>123</v>
      </c>
      <c r="P6546" s="38">
        <v>600.0</v>
      </c>
      <c r="Q6546" s="39"/>
      <c r="R6546" s="39"/>
      <c r="S6546" s="39"/>
      <c r="T6546" s="39"/>
      <c r="U6546" s="39"/>
    </row>
    <row r="6547">
      <c r="A6547" s="40">
        <f t="shared" si="1"/>
        <v>46006</v>
      </c>
      <c r="B6547" s="37" t="str">
        <f t="array" ref="B6547">iferror(xlookup($I6547, 'IMPORT VHC Report'!$E:$E, 'IMPORT VHC Report'!$A:$C), )</f>
        <v/>
      </c>
      <c r="C6547" s="37"/>
      <c r="D6547" s="37"/>
      <c r="E6547" s="38" t="s">
        <v>7760</v>
      </c>
      <c r="F6547" s="38" t="s">
        <v>7755</v>
      </c>
      <c r="G6547" s="38">
        <v>3.61724667376E11</v>
      </c>
      <c r="H6547" s="38" t="s">
        <v>7756</v>
      </c>
      <c r="I6547" s="38" t="s">
        <v>7757</v>
      </c>
      <c r="J6547" s="38" t="s">
        <v>4</v>
      </c>
      <c r="K6547" s="38" t="s">
        <v>126</v>
      </c>
      <c r="L6547" s="41">
        <v>46008.291666666664</v>
      </c>
      <c r="M6547" s="38" t="s">
        <v>123</v>
      </c>
      <c r="N6547" s="41">
        <v>46008.333333333336</v>
      </c>
      <c r="O6547" s="38" t="s">
        <v>123</v>
      </c>
      <c r="P6547" s="38">
        <v>3600.0</v>
      </c>
      <c r="Q6547" s="39"/>
      <c r="R6547" s="39"/>
      <c r="S6547" s="38" t="s">
        <v>130</v>
      </c>
      <c r="T6547" s="39"/>
      <c r="U6547" s="39"/>
    </row>
    <row r="6548">
      <c r="A6548" s="40">
        <f t="shared" si="1"/>
        <v>46006</v>
      </c>
      <c r="B6548" s="37" t="str">
        <f t="array" ref="B6548">iferror(xlookup($I6548, 'IMPORT VHC Report'!$E:$E, 'IMPORT VHC Report'!$A:$C), )</f>
        <v/>
      </c>
      <c r="C6548" s="37"/>
      <c r="D6548" s="37"/>
      <c r="E6548" s="38" t="s">
        <v>7761</v>
      </c>
      <c r="F6548" s="38" t="s">
        <v>7755</v>
      </c>
      <c r="G6548" s="38">
        <v>3.61724667376E11</v>
      </c>
      <c r="H6548" s="38" t="s">
        <v>7756</v>
      </c>
      <c r="I6548" s="38" t="s">
        <v>7757</v>
      </c>
      <c r="J6548" s="38" t="s">
        <v>132</v>
      </c>
      <c r="K6548" s="38" t="s">
        <v>126</v>
      </c>
      <c r="L6548" s="41">
        <v>46008.354166666664</v>
      </c>
      <c r="M6548" s="38" t="s">
        <v>123</v>
      </c>
      <c r="N6548" s="41">
        <v>46008.395833333336</v>
      </c>
      <c r="O6548" s="38" t="s">
        <v>123</v>
      </c>
      <c r="P6548" s="38">
        <v>3600.0</v>
      </c>
      <c r="Q6548" s="39"/>
      <c r="R6548" s="39"/>
      <c r="S6548" s="39"/>
      <c r="T6548" s="39"/>
      <c r="U6548" s="39"/>
    </row>
    <row r="6549">
      <c r="A6549" s="40">
        <f t="shared" si="1"/>
        <v>46006</v>
      </c>
      <c r="B6549" s="37" t="str">
        <f t="array" ref="B6549">iferror(xlookup($I6549, 'IMPORT VHC Report'!$E:$E, 'IMPORT VHC Report'!$A:$C), )</f>
        <v/>
      </c>
      <c r="C6549" s="37"/>
      <c r="D6549" s="37"/>
      <c r="E6549" s="38" t="s">
        <v>7762</v>
      </c>
      <c r="F6549" s="38" t="s">
        <v>7755</v>
      </c>
      <c r="G6549" s="38">
        <v>3.61724667376E11</v>
      </c>
      <c r="H6549" s="38" t="s">
        <v>7756</v>
      </c>
      <c r="I6549" s="38" t="s">
        <v>7757</v>
      </c>
      <c r="J6549" s="38" t="s">
        <v>134</v>
      </c>
      <c r="K6549" s="38" t="s">
        <v>126</v>
      </c>
      <c r="L6549" s="41">
        <v>46008.489583333336</v>
      </c>
      <c r="M6549" s="38" t="s">
        <v>123</v>
      </c>
      <c r="N6549" s="41">
        <v>46008.510416666664</v>
      </c>
      <c r="O6549" s="38" t="s">
        <v>123</v>
      </c>
      <c r="P6549" s="38">
        <v>1800.0</v>
      </c>
      <c r="Q6549" s="39"/>
      <c r="R6549" s="39"/>
      <c r="S6549" s="39"/>
      <c r="T6549" s="39"/>
      <c r="U6549" s="39"/>
    </row>
    <row r="6550">
      <c r="A6550" s="40">
        <f t="shared" si="1"/>
        <v>46006</v>
      </c>
      <c r="B6550" s="37" t="str">
        <f t="array" ref="B6550">iferror(xlookup($I6550, 'IMPORT VHC Report'!$E:$E, 'IMPORT VHC Report'!$A:$C), )</f>
        <v/>
      </c>
      <c r="C6550" s="37"/>
      <c r="D6550" s="37"/>
      <c r="E6550" s="38" t="s">
        <v>7763</v>
      </c>
      <c r="F6550" s="38" t="s">
        <v>7755</v>
      </c>
      <c r="G6550" s="38">
        <v>3.61724667376E11</v>
      </c>
      <c r="H6550" s="38" t="s">
        <v>7756</v>
      </c>
      <c r="I6550" s="38" t="s">
        <v>7757</v>
      </c>
      <c r="J6550" s="38" t="s">
        <v>330</v>
      </c>
      <c r="K6550" s="38" t="s">
        <v>126</v>
      </c>
      <c r="L6550" s="41">
        <v>46009.208333333336</v>
      </c>
      <c r="M6550" s="38" t="s">
        <v>123</v>
      </c>
      <c r="N6550" s="41">
        <v>46009.21527777778</v>
      </c>
      <c r="O6550" s="38" t="s">
        <v>123</v>
      </c>
      <c r="P6550" s="38">
        <v>600.0</v>
      </c>
      <c r="Q6550" s="39"/>
      <c r="R6550" s="39"/>
      <c r="S6550" s="39"/>
      <c r="T6550" s="39"/>
      <c r="U6550" s="39"/>
    </row>
    <row r="6551">
      <c r="A6551" s="40">
        <f t="shared" si="1"/>
        <v>46006</v>
      </c>
      <c r="B6551" s="37" t="str">
        <f t="array" ref="B6551">iferror(xlookup($I6551, 'IMPORT VHC Report'!$E:$E, 'IMPORT VHC Report'!$A:$C), )</f>
        <v/>
      </c>
      <c r="C6551" s="37"/>
      <c r="D6551" s="37"/>
      <c r="E6551" s="38" t="s">
        <v>7764</v>
      </c>
      <c r="F6551" s="38" t="s">
        <v>7755</v>
      </c>
      <c r="G6551" s="38">
        <v>3.61724667376E11</v>
      </c>
      <c r="H6551" s="38" t="s">
        <v>7756</v>
      </c>
      <c r="I6551" s="38" t="s">
        <v>7757</v>
      </c>
      <c r="J6551" s="38" t="s">
        <v>332</v>
      </c>
      <c r="K6551" s="38" t="s">
        <v>63</v>
      </c>
      <c r="L6551" s="41">
        <v>46009.208333333336</v>
      </c>
      <c r="M6551" s="38" t="s">
        <v>123</v>
      </c>
      <c r="N6551" s="41">
        <v>46009.583333333336</v>
      </c>
      <c r="O6551" s="38" t="s">
        <v>123</v>
      </c>
      <c r="P6551" s="38">
        <v>32400.0</v>
      </c>
      <c r="Q6551" s="39"/>
      <c r="R6551" s="39"/>
      <c r="S6551" s="39"/>
      <c r="T6551" s="39"/>
      <c r="U6551" s="39"/>
    </row>
    <row r="6552">
      <c r="A6552" s="40">
        <f t="shared" si="1"/>
        <v>46006</v>
      </c>
      <c r="B6552" s="37" t="str">
        <f t="array" ref="B6552">iferror(xlookup($I6552, 'IMPORT VHC Report'!$E:$E, 'IMPORT VHC Report'!$A:$C), )</f>
        <v/>
      </c>
      <c r="C6552" s="37"/>
      <c r="D6552" s="37"/>
      <c r="E6552" s="38" t="s">
        <v>7765</v>
      </c>
      <c r="F6552" s="38" t="s">
        <v>7755</v>
      </c>
      <c r="G6552" s="38">
        <v>3.61724667376E11</v>
      </c>
      <c r="H6552" s="38" t="s">
        <v>7756</v>
      </c>
      <c r="I6552" s="38" t="s">
        <v>7757</v>
      </c>
      <c r="J6552" s="38" t="s">
        <v>132</v>
      </c>
      <c r="K6552" s="38" t="s">
        <v>126</v>
      </c>
      <c r="L6552" s="41">
        <v>46009.3125</v>
      </c>
      <c r="M6552" s="38" t="s">
        <v>123</v>
      </c>
      <c r="N6552" s="41">
        <v>46009.354166666664</v>
      </c>
      <c r="O6552" s="38" t="s">
        <v>123</v>
      </c>
      <c r="P6552" s="38">
        <v>3600.0</v>
      </c>
      <c r="Q6552" s="39"/>
      <c r="R6552" s="39"/>
      <c r="S6552" s="39"/>
      <c r="T6552" s="39"/>
      <c r="U6552" s="39"/>
    </row>
    <row r="6553">
      <c r="A6553" s="40">
        <f t="shared" si="1"/>
        <v>46006</v>
      </c>
      <c r="B6553" s="37" t="str">
        <f t="array" ref="B6553">iferror(xlookup($I6553, 'IMPORT VHC Report'!$E:$E, 'IMPORT VHC Report'!$A:$C), )</f>
        <v/>
      </c>
      <c r="C6553" s="37"/>
      <c r="D6553" s="37"/>
      <c r="E6553" s="38" t="s">
        <v>7766</v>
      </c>
      <c r="F6553" s="38" t="s">
        <v>7755</v>
      </c>
      <c r="G6553" s="38">
        <v>3.61724667376E11</v>
      </c>
      <c r="H6553" s="38" t="s">
        <v>7756</v>
      </c>
      <c r="I6553" s="38" t="s">
        <v>7757</v>
      </c>
      <c r="J6553" s="38" t="s">
        <v>134</v>
      </c>
      <c r="K6553" s="38" t="s">
        <v>126</v>
      </c>
      <c r="L6553" s="41">
        <v>46009.4375</v>
      </c>
      <c r="M6553" s="38" t="s">
        <v>123</v>
      </c>
      <c r="N6553" s="41">
        <v>46009.458333333336</v>
      </c>
      <c r="O6553" s="38" t="s">
        <v>123</v>
      </c>
      <c r="P6553" s="38">
        <v>1800.0</v>
      </c>
      <c r="Q6553" s="39"/>
      <c r="R6553" s="39"/>
      <c r="S6553" s="39"/>
      <c r="T6553" s="39"/>
      <c r="U6553" s="39"/>
    </row>
    <row r="6554">
      <c r="A6554" s="40">
        <f t="shared" si="1"/>
        <v>46006</v>
      </c>
      <c r="B6554" s="37" t="str">
        <f t="array" ref="B6554">iferror(xlookup($I6554, 'IMPORT VHC Report'!$E:$E, 'IMPORT VHC Report'!$A:$C), )</f>
        <v/>
      </c>
      <c r="C6554" s="37"/>
      <c r="D6554" s="37"/>
      <c r="E6554" s="38" t="s">
        <v>7767</v>
      </c>
      <c r="F6554" s="38" t="s">
        <v>7755</v>
      </c>
      <c r="G6554" s="38">
        <v>3.61724667376E11</v>
      </c>
      <c r="H6554" s="38" t="s">
        <v>7756</v>
      </c>
      <c r="I6554" s="38" t="s">
        <v>7757</v>
      </c>
      <c r="J6554" s="38" t="s">
        <v>152</v>
      </c>
      <c r="K6554" s="38" t="s">
        <v>153</v>
      </c>
      <c r="L6554" s="41">
        <v>46010.208333333336</v>
      </c>
      <c r="M6554" s="38" t="s">
        <v>123</v>
      </c>
      <c r="N6554" s="41">
        <v>46010.541666666664</v>
      </c>
      <c r="O6554" s="38" t="s">
        <v>123</v>
      </c>
      <c r="P6554" s="38">
        <v>28800.0</v>
      </c>
      <c r="Q6554" s="38">
        <v>28800.0</v>
      </c>
      <c r="R6554" s="38" t="s">
        <v>351</v>
      </c>
      <c r="S6554" s="38" t="s">
        <v>351</v>
      </c>
      <c r="T6554" s="39"/>
      <c r="U6554" s="39"/>
    </row>
    <row r="6555">
      <c r="A6555" s="40">
        <f t="shared" si="1"/>
        <v>46006</v>
      </c>
      <c r="B6555" s="37" t="str">
        <f t="array" ref="B6555">iferror(xlookup($I6555, 'IMPORT VHC Report'!$E:$E, 'IMPORT VHC Report'!$A:$C), )</f>
        <v/>
      </c>
      <c r="C6555" s="37"/>
      <c r="D6555" s="37"/>
      <c r="E6555" s="38" t="s">
        <v>7768</v>
      </c>
      <c r="F6555" s="38" t="s">
        <v>7755</v>
      </c>
      <c r="G6555" s="38">
        <v>3.61724667376E11</v>
      </c>
      <c r="H6555" s="38" t="s">
        <v>7756</v>
      </c>
      <c r="I6555" s="38" t="s">
        <v>7757</v>
      </c>
      <c r="J6555" s="38" t="s">
        <v>132</v>
      </c>
      <c r="K6555" s="38" t="s">
        <v>126</v>
      </c>
      <c r="L6555" s="41">
        <v>46010.34375</v>
      </c>
      <c r="M6555" s="38" t="s">
        <v>123</v>
      </c>
      <c r="N6555" s="41">
        <v>46010.385416666664</v>
      </c>
      <c r="O6555" s="38" t="s">
        <v>123</v>
      </c>
      <c r="P6555" s="38">
        <v>3600.0</v>
      </c>
      <c r="Q6555" s="39"/>
      <c r="R6555" s="39"/>
      <c r="S6555" s="39"/>
      <c r="T6555" s="39"/>
      <c r="U6555" s="39"/>
    </row>
    <row r="6556">
      <c r="A6556" s="40">
        <f t="shared" si="1"/>
        <v>46006</v>
      </c>
      <c r="B6556" s="37" t="str">
        <f t="array" ref="B6556">iferror(xlookup($I6556, 'IMPORT VHC Report'!$E:$E, 'IMPORT VHC Report'!$A:$C), )</f>
        <v/>
      </c>
      <c r="C6556" s="37"/>
      <c r="D6556" s="37"/>
      <c r="E6556" s="38" t="s">
        <v>7769</v>
      </c>
      <c r="F6556" s="38" t="s">
        <v>7755</v>
      </c>
      <c r="G6556" s="38">
        <v>3.61724667376E11</v>
      </c>
      <c r="H6556" s="38" t="s">
        <v>7756</v>
      </c>
      <c r="I6556" s="38" t="s">
        <v>7757</v>
      </c>
      <c r="J6556" s="38" t="s">
        <v>134</v>
      </c>
      <c r="K6556" s="38" t="s">
        <v>126</v>
      </c>
      <c r="L6556" s="41">
        <v>46010.479166666664</v>
      </c>
      <c r="M6556" s="38" t="s">
        <v>123</v>
      </c>
      <c r="N6556" s="41">
        <v>46010.5</v>
      </c>
      <c r="O6556" s="38" t="s">
        <v>123</v>
      </c>
      <c r="P6556" s="38">
        <v>1800.0</v>
      </c>
      <c r="Q6556" s="39"/>
      <c r="R6556" s="39"/>
      <c r="S6556" s="39"/>
      <c r="T6556" s="39"/>
      <c r="U6556" s="39"/>
    </row>
    <row r="6557">
      <c r="A6557" s="40">
        <f t="shared" si="1"/>
        <v>46006</v>
      </c>
      <c r="B6557" s="37" t="str">
        <f t="array" ref="B6557">iferror(xlookup($I6557, 'IMPORT VHC Report'!$E:$E, 'IMPORT VHC Report'!$A:$C), )</f>
        <v/>
      </c>
      <c r="C6557" s="37"/>
      <c r="D6557" s="37"/>
      <c r="E6557" s="38" t="s">
        <v>7770</v>
      </c>
      <c r="F6557" s="38" t="s">
        <v>7755</v>
      </c>
      <c r="G6557" s="38">
        <v>3.61724667376E11</v>
      </c>
      <c r="H6557" s="38" t="s">
        <v>7756</v>
      </c>
      <c r="I6557" s="38" t="s">
        <v>7757</v>
      </c>
      <c r="J6557" s="38" t="s">
        <v>330</v>
      </c>
      <c r="K6557" s="38" t="s">
        <v>126</v>
      </c>
      <c r="L6557" s="41">
        <v>46011.208333333336</v>
      </c>
      <c r="M6557" s="38" t="s">
        <v>123</v>
      </c>
      <c r="N6557" s="41">
        <v>46011.21527777778</v>
      </c>
      <c r="O6557" s="38" t="s">
        <v>123</v>
      </c>
      <c r="P6557" s="38">
        <v>600.0</v>
      </c>
      <c r="Q6557" s="39"/>
      <c r="R6557" s="39"/>
      <c r="S6557" s="39"/>
      <c r="T6557" s="39"/>
      <c r="U6557" s="39"/>
    </row>
    <row r="6558">
      <c r="A6558" s="40">
        <f t="shared" si="1"/>
        <v>46006</v>
      </c>
      <c r="B6558" s="37" t="str">
        <f t="array" ref="B6558">iferror(xlookup($I6558, 'IMPORT VHC Report'!$E:$E, 'IMPORT VHC Report'!$A:$C), )</f>
        <v/>
      </c>
      <c r="C6558" s="37"/>
      <c r="D6558" s="37"/>
      <c r="E6558" s="38" t="s">
        <v>7771</v>
      </c>
      <c r="F6558" s="38" t="s">
        <v>7755</v>
      </c>
      <c r="G6558" s="38">
        <v>3.61724667376E11</v>
      </c>
      <c r="H6558" s="38" t="s">
        <v>7756</v>
      </c>
      <c r="I6558" s="38" t="s">
        <v>7757</v>
      </c>
      <c r="J6558" s="38" t="s">
        <v>332</v>
      </c>
      <c r="K6558" s="38" t="s">
        <v>63</v>
      </c>
      <c r="L6558" s="41">
        <v>46011.208333333336</v>
      </c>
      <c r="M6558" s="38" t="s">
        <v>123</v>
      </c>
      <c r="N6558" s="41">
        <v>46011.583333333336</v>
      </c>
      <c r="O6558" s="38" t="s">
        <v>123</v>
      </c>
      <c r="P6558" s="38">
        <v>32400.0</v>
      </c>
      <c r="Q6558" s="39"/>
      <c r="R6558" s="39"/>
      <c r="S6558" s="39"/>
      <c r="T6558" s="39"/>
      <c r="U6558" s="39"/>
    </row>
    <row r="6559">
      <c r="A6559" s="40">
        <f t="shared" si="1"/>
        <v>46006</v>
      </c>
      <c r="B6559" s="37" t="str">
        <f t="array" ref="B6559">iferror(xlookup($I6559, 'IMPORT VHC Report'!$E:$E, 'IMPORT VHC Report'!$A:$C), )</f>
        <v/>
      </c>
      <c r="C6559" s="37"/>
      <c r="D6559" s="37"/>
      <c r="E6559" s="38" t="s">
        <v>7772</v>
      </c>
      <c r="F6559" s="38" t="s">
        <v>7755</v>
      </c>
      <c r="G6559" s="38">
        <v>3.61724667376E11</v>
      </c>
      <c r="H6559" s="38" t="s">
        <v>7756</v>
      </c>
      <c r="I6559" s="38" t="s">
        <v>7757</v>
      </c>
      <c r="J6559" s="38" t="s">
        <v>132</v>
      </c>
      <c r="K6559" s="38" t="s">
        <v>126</v>
      </c>
      <c r="L6559" s="41">
        <v>46011.322916666664</v>
      </c>
      <c r="M6559" s="38" t="s">
        <v>123</v>
      </c>
      <c r="N6559" s="41">
        <v>46011.364583333336</v>
      </c>
      <c r="O6559" s="38" t="s">
        <v>123</v>
      </c>
      <c r="P6559" s="38">
        <v>3600.0</v>
      </c>
      <c r="Q6559" s="39"/>
      <c r="R6559" s="39"/>
      <c r="S6559" s="39"/>
      <c r="T6559" s="39"/>
      <c r="U6559" s="39"/>
    </row>
    <row r="6560">
      <c r="A6560" s="40">
        <f t="shared" si="1"/>
        <v>46006</v>
      </c>
      <c r="B6560" s="37" t="str">
        <f t="array" ref="B6560">iferror(xlookup($I6560, 'IMPORT VHC Report'!$E:$E, 'IMPORT VHC Report'!$A:$C), )</f>
        <v/>
      </c>
      <c r="C6560" s="37"/>
      <c r="D6560" s="37"/>
      <c r="E6560" s="38" t="s">
        <v>7773</v>
      </c>
      <c r="F6560" s="38" t="s">
        <v>7755</v>
      </c>
      <c r="G6560" s="38">
        <v>3.61724667376E11</v>
      </c>
      <c r="H6560" s="38" t="s">
        <v>7756</v>
      </c>
      <c r="I6560" s="38" t="s">
        <v>7757</v>
      </c>
      <c r="J6560" s="38" t="s">
        <v>134</v>
      </c>
      <c r="K6560" s="38" t="s">
        <v>126</v>
      </c>
      <c r="L6560" s="41">
        <v>46011.447916666664</v>
      </c>
      <c r="M6560" s="38" t="s">
        <v>123</v>
      </c>
      <c r="N6560" s="41">
        <v>46011.46875</v>
      </c>
      <c r="O6560" s="38" t="s">
        <v>123</v>
      </c>
      <c r="P6560" s="38">
        <v>1800.0</v>
      </c>
      <c r="Q6560" s="39"/>
      <c r="R6560" s="39"/>
      <c r="S6560" s="39"/>
      <c r="T6560" s="39"/>
      <c r="U6560" s="39"/>
    </row>
    <row r="6561">
      <c r="A6561" s="40">
        <f t="shared" si="1"/>
        <v>46006</v>
      </c>
      <c r="B6561" s="37" t="str">
        <f t="array" ref="B6561">iferror(xlookup($I6561, 'IMPORT VHC Report'!$E:$E, 'IMPORT VHC Report'!$A:$C), )</f>
        <v/>
      </c>
      <c r="C6561" s="37"/>
      <c r="D6561" s="37"/>
      <c r="E6561" s="38" t="s">
        <v>7774</v>
      </c>
      <c r="F6561" s="38" t="s">
        <v>7755</v>
      </c>
      <c r="G6561" s="38">
        <v>3.61724667376E11</v>
      </c>
      <c r="H6561" s="38" t="s">
        <v>7756</v>
      </c>
      <c r="I6561" s="38" t="s">
        <v>7757</v>
      </c>
      <c r="J6561" s="38" t="s">
        <v>330</v>
      </c>
      <c r="K6561" s="38" t="s">
        <v>126</v>
      </c>
      <c r="L6561" s="41">
        <v>46012.208333333336</v>
      </c>
      <c r="M6561" s="38" t="s">
        <v>123</v>
      </c>
      <c r="N6561" s="41">
        <v>46012.21527777778</v>
      </c>
      <c r="O6561" s="38" t="s">
        <v>123</v>
      </c>
      <c r="P6561" s="38">
        <v>600.0</v>
      </c>
      <c r="Q6561" s="39"/>
      <c r="R6561" s="39"/>
      <c r="S6561" s="39"/>
      <c r="T6561" s="39"/>
      <c r="U6561" s="39"/>
    </row>
    <row r="6562">
      <c r="A6562" s="40">
        <f t="shared" si="1"/>
        <v>46006</v>
      </c>
      <c r="B6562" s="37" t="str">
        <f t="array" ref="B6562">iferror(xlookup($I6562, 'IMPORT VHC Report'!$E:$E, 'IMPORT VHC Report'!$A:$C), )</f>
        <v/>
      </c>
      <c r="C6562" s="37"/>
      <c r="D6562" s="37"/>
      <c r="E6562" s="38" t="s">
        <v>7775</v>
      </c>
      <c r="F6562" s="38" t="s">
        <v>7755</v>
      </c>
      <c r="G6562" s="38">
        <v>3.61724667376E11</v>
      </c>
      <c r="H6562" s="38" t="s">
        <v>7756</v>
      </c>
      <c r="I6562" s="38" t="s">
        <v>7757</v>
      </c>
      <c r="J6562" s="38" t="s">
        <v>332</v>
      </c>
      <c r="K6562" s="38" t="s">
        <v>63</v>
      </c>
      <c r="L6562" s="41">
        <v>46012.208333333336</v>
      </c>
      <c r="M6562" s="38" t="s">
        <v>123</v>
      </c>
      <c r="N6562" s="41">
        <v>46012.583333333336</v>
      </c>
      <c r="O6562" s="38" t="s">
        <v>123</v>
      </c>
      <c r="P6562" s="38">
        <v>32400.0</v>
      </c>
      <c r="Q6562" s="39"/>
      <c r="R6562" s="39"/>
      <c r="S6562" s="39"/>
      <c r="T6562" s="39"/>
      <c r="U6562" s="39"/>
    </row>
    <row r="6563">
      <c r="A6563" s="40">
        <f t="shared" si="1"/>
        <v>46006</v>
      </c>
      <c r="B6563" s="37" t="str">
        <f t="array" ref="B6563">iferror(xlookup($I6563, 'IMPORT VHC Report'!$E:$E, 'IMPORT VHC Report'!$A:$C), )</f>
        <v/>
      </c>
      <c r="C6563" s="37"/>
      <c r="D6563" s="37"/>
      <c r="E6563" s="38" t="s">
        <v>7776</v>
      </c>
      <c r="F6563" s="38" t="s">
        <v>7755</v>
      </c>
      <c r="G6563" s="38">
        <v>3.61724667376E11</v>
      </c>
      <c r="H6563" s="38" t="s">
        <v>7756</v>
      </c>
      <c r="I6563" s="38" t="s">
        <v>7757</v>
      </c>
      <c r="J6563" s="38" t="s">
        <v>132</v>
      </c>
      <c r="K6563" s="38" t="s">
        <v>126</v>
      </c>
      <c r="L6563" s="41">
        <v>46012.34375</v>
      </c>
      <c r="M6563" s="38" t="s">
        <v>123</v>
      </c>
      <c r="N6563" s="41">
        <v>46012.385416666664</v>
      </c>
      <c r="O6563" s="38" t="s">
        <v>123</v>
      </c>
      <c r="P6563" s="38">
        <v>3600.0</v>
      </c>
      <c r="Q6563" s="39"/>
      <c r="R6563" s="39"/>
      <c r="S6563" s="39"/>
      <c r="T6563" s="39"/>
      <c r="U6563" s="39"/>
    </row>
    <row r="6564">
      <c r="A6564" s="40">
        <f t="shared" si="1"/>
        <v>46006</v>
      </c>
      <c r="B6564" s="37" t="str">
        <f t="array" ref="B6564">iferror(xlookup($I6564, 'IMPORT VHC Report'!$E:$E, 'IMPORT VHC Report'!$A:$C), )</f>
        <v/>
      </c>
      <c r="C6564" s="37"/>
      <c r="D6564" s="37"/>
      <c r="E6564" s="38" t="s">
        <v>7777</v>
      </c>
      <c r="F6564" s="38" t="s">
        <v>7755</v>
      </c>
      <c r="G6564" s="38">
        <v>3.61724667376E11</v>
      </c>
      <c r="H6564" s="38" t="s">
        <v>7756</v>
      </c>
      <c r="I6564" s="38" t="s">
        <v>7757</v>
      </c>
      <c r="J6564" s="38" t="s">
        <v>134</v>
      </c>
      <c r="K6564" s="38" t="s">
        <v>126</v>
      </c>
      <c r="L6564" s="41">
        <v>46012.479166666664</v>
      </c>
      <c r="M6564" s="38" t="s">
        <v>123</v>
      </c>
      <c r="N6564" s="41">
        <v>46012.5</v>
      </c>
      <c r="O6564" s="38" t="s">
        <v>123</v>
      </c>
      <c r="P6564" s="38">
        <v>1800.0</v>
      </c>
      <c r="Q6564" s="39"/>
      <c r="R6564" s="39"/>
      <c r="S6564" s="39"/>
      <c r="T6564" s="39"/>
      <c r="U6564" s="39"/>
    </row>
    <row r="6565">
      <c r="A6565" s="40">
        <f t="shared" si="1"/>
        <v>46006</v>
      </c>
      <c r="B6565" s="37" t="str">
        <f t="array" ref="B6565">iferror(xlookup($I6565, 'IMPORT VHC Report'!$E:$E, 'IMPORT VHC Report'!$A:$C), )</f>
        <v/>
      </c>
      <c r="C6565" s="37"/>
      <c r="D6565" s="37"/>
      <c r="E6565" s="38" t="s">
        <v>7778</v>
      </c>
      <c r="F6565" s="38" t="s">
        <v>7779</v>
      </c>
      <c r="G6565" s="38">
        <v>3.61732164295E11</v>
      </c>
      <c r="H6565" s="38" t="s">
        <v>7780</v>
      </c>
      <c r="I6565" s="38" t="s">
        <v>7781</v>
      </c>
      <c r="J6565" s="38" t="s">
        <v>368</v>
      </c>
      <c r="K6565" s="38" t="s">
        <v>63</v>
      </c>
      <c r="L6565" s="41">
        <v>46008.5</v>
      </c>
      <c r="M6565" s="38" t="s">
        <v>123</v>
      </c>
      <c r="N6565" s="41">
        <v>46008.875</v>
      </c>
      <c r="O6565" s="38" t="s">
        <v>123</v>
      </c>
      <c r="P6565" s="38">
        <v>32400.0</v>
      </c>
      <c r="Q6565" s="39"/>
      <c r="R6565" s="39"/>
      <c r="S6565" s="39"/>
      <c r="T6565" s="39"/>
      <c r="U6565" s="39"/>
    </row>
    <row r="6566">
      <c r="A6566" s="40">
        <f t="shared" si="1"/>
        <v>46006</v>
      </c>
      <c r="B6566" s="37" t="str">
        <f t="array" ref="B6566">iferror(xlookup($I6566, 'IMPORT VHC Report'!$E:$E, 'IMPORT VHC Report'!$A:$C), )</f>
        <v/>
      </c>
      <c r="C6566" s="37"/>
      <c r="D6566" s="37"/>
      <c r="E6566" s="38" t="s">
        <v>7782</v>
      </c>
      <c r="F6566" s="38" t="s">
        <v>7779</v>
      </c>
      <c r="G6566" s="38">
        <v>3.61732164295E11</v>
      </c>
      <c r="H6566" s="38" t="s">
        <v>7780</v>
      </c>
      <c r="I6566" s="38" t="s">
        <v>7781</v>
      </c>
      <c r="J6566" s="38" t="s">
        <v>134</v>
      </c>
      <c r="K6566" s="38" t="s">
        <v>126</v>
      </c>
      <c r="L6566" s="41">
        <v>46008.59375</v>
      </c>
      <c r="M6566" s="38" t="s">
        <v>123</v>
      </c>
      <c r="N6566" s="41">
        <v>46008.614583333336</v>
      </c>
      <c r="O6566" s="38" t="s">
        <v>123</v>
      </c>
      <c r="P6566" s="38">
        <v>1800.0</v>
      </c>
      <c r="Q6566" s="39"/>
      <c r="R6566" s="39"/>
      <c r="S6566" s="39"/>
      <c r="T6566" s="39"/>
      <c r="U6566" s="39"/>
    </row>
    <row r="6567">
      <c r="A6567" s="40">
        <f t="shared" si="1"/>
        <v>46006</v>
      </c>
      <c r="B6567" s="37" t="str">
        <f t="array" ref="B6567">iferror(xlookup($I6567, 'IMPORT VHC Report'!$E:$E, 'IMPORT VHC Report'!$A:$C), )</f>
        <v/>
      </c>
      <c r="C6567" s="37"/>
      <c r="D6567" s="37"/>
      <c r="E6567" s="38" t="s">
        <v>7783</v>
      </c>
      <c r="F6567" s="38" t="s">
        <v>7779</v>
      </c>
      <c r="G6567" s="38">
        <v>3.61732164295E11</v>
      </c>
      <c r="H6567" s="38" t="s">
        <v>7780</v>
      </c>
      <c r="I6567" s="38" t="s">
        <v>7781</v>
      </c>
      <c r="J6567" s="38" t="s">
        <v>132</v>
      </c>
      <c r="K6567" s="38" t="s">
        <v>126</v>
      </c>
      <c r="L6567" s="41">
        <v>46008.729166666664</v>
      </c>
      <c r="M6567" s="38" t="s">
        <v>123</v>
      </c>
      <c r="N6567" s="41">
        <v>46008.770833333336</v>
      </c>
      <c r="O6567" s="38" t="s">
        <v>123</v>
      </c>
      <c r="P6567" s="38">
        <v>3600.0</v>
      </c>
      <c r="Q6567" s="39"/>
      <c r="R6567" s="39"/>
      <c r="S6567" s="39"/>
      <c r="T6567" s="39"/>
      <c r="U6567" s="39"/>
    </row>
    <row r="6568">
      <c r="A6568" s="40">
        <f t="shared" si="1"/>
        <v>46006</v>
      </c>
      <c r="B6568" s="37" t="str">
        <f t="array" ref="B6568">iferror(xlookup($I6568, 'IMPORT VHC Report'!$E:$E, 'IMPORT VHC Report'!$A:$C), )</f>
        <v/>
      </c>
      <c r="C6568" s="37"/>
      <c r="D6568" s="37"/>
      <c r="E6568" s="38" t="s">
        <v>7784</v>
      </c>
      <c r="F6568" s="38" t="s">
        <v>7779</v>
      </c>
      <c r="G6568" s="38">
        <v>3.61732164295E11</v>
      </c>
      <c r="H6568" s="38" t="s">
        <v>7780</v>
      </c>
      <c r="I6568" s="38" t="s">
        <v>7781</v>
      </c>
      <c r="J6568" s="38" t="s">
        <v>368</v>
      </c>
      <c r="K6568" s="38" t="s">
        <v>63</v>
      </c>
      <c r="L6568" s="41">
        <v>46009.5</v>
      </c>
      <c r="M6568" s="38" t="s">
        <v>123</v>
      </c>
      <c r="N6568" s="41">
        <v>46009.875</v>
      </c>
      <c r="O6568" s="38" t="s">
        <v>123</v>
      </c>
      <c r="P6568" s="38">
        <v>32400.0</v>
      </c>
      <c r="Q6568" s="39"/>
      <c r="R6568" s="39"/>
      <c r="S6568" s="39"/>
      <c r="T6568" s="39"/>
      <c r="U6568" s="39"/>
    </row>
    <row r="6569">
      <c r="A6569" s="40">
        <f t="shared" si="1"/>
        <v>46006</v>
      </c>
      <c r="B6569" s="37" t="str">
        <f t="array" ref="B6569">iferror(xlookup($I6569, 'IMPORT VHC Report'!$E:$E, 'IMPORT VHC Report'!$A:$C), )</f>
        <v/>
      </c>
      <c r="C6569" s="37"/>
      <c r="D6569" s="37"/>
      <c r="E6569" s="38" t="s">
        <v>7785</v>
      </c>
      <c r="F6569" s="38" t="s">
        <v>7779</v>
      </c>
      <c r="G6569" s="38">
        <v>3.61732164295E11</v>
      </c>
      <c r="H6569" s="38" t="s">
        <v>7780</v>
      </c>
      <c r="I6569" s="38" t="s">
        <v>7781</v>
      </c>
      <c r="J6569" s="38" t="s">
        <v>4</v>
      </c>
      <c r="K6569" s="38" t="s">
        <v>126</v>
      </c>
      <c r="L6569" s="41">
        <v>46009.666666666664</v>
      </c>
      <c r="M6569" s="38" t="s">
        <v>123</v>
      </c>
      <c r="N6569" s="41">
        <v>46009.8125</v>
      </c>
      <c r="O6569" s="38" t="s">
        <v>123</v>
      </c>
      <c r="P6569" s="38">
        <v>12600.0</v>
      </c>
      <c r="Q6569" s="39"/>
      <c r="R6569" s="39"/>
      <c r="S6569" s="38" t="s">
        <v>7338</v>
      </c>
      <c r="T6569" s="39"/>
      <c r="U6569" s="39"/>
    </row>
    <row r="6570">
      <c r="A6570" s="40">
        <f t="shared" si="1"/>
        <v>46006</v>
      </c>
      <c r="B6570" s="37" t="str">
        <f t="array" ref="B6570">iferror(xlookup($I6570, 'IMPORT VHC Report'!$E:$E, 'IMPORT VHC Report'!$A:$C), )</f>
        <v/>
      </c>
      <c r="C6570" s="37"/>
      <c r="D6570" s="37"/>
      <c r="E6570" s="38" t="s">
        <v>7786</v>
      </c>
      <c r="F6570" s="38" t="s">
        <v>7779</v>
      </c>
      <c r="G6570" s="38">
        <v>3.61732164295E11</v>
      </c>
      <c r="H6570" s="38" t="s">
        <v>7780</v>
      </c>
      <c r="I6570" s="38" t="s">
        <v>7781</v>
      </c>
      <c r="J6570" s="38" t="s">
        <v>132</v>
      </c>
      <c r="K6570" s="38" t="s">
        <v>126</v>
      </c>
      <c r="L6570" s="41">
        <v>46009.8125</v>
      </c>
      <c r="M6570" s="38" t="s">
        <v>123</v>
      </c>
      <c r="N6570" s="41">
        <v>46009.854166666664</v>
      </c>
      <c r="O6570" s="38" t="s">
        <v>123</v>
      </c>
      <c r="P6570" s="38">
        <v>3600.0</v>
      </c>
      <c r="Q6570" s="39"/>
      <c r="R6570" s="39"/>
      <c r="S6570" s="39"/>
      <c r="T6570" s="39"/>
      <c r="U6570" s="39"/>
    </row>
    <row r="6571">
      <c r="A6571" s="40">
        <f t="shared" si="1"/>
        <v>46006</v>
      </c>
      <c r="B6571" s="37" t="str">
        <f t="array" ref="B6571">iferror(xlookup($I6571, 'IMPORT VHC Report'!$E:$E, 'IMPORT VHC Report'!$A:$C), )</f>
        <v/>
      </c>
      <c r="C6571" s="37"/>
      <c r="D6571" s="37"/>
      <c r="E6571" s="38" t="s">
        <v>7787</v>
      </c>
      <c r="F6571" s="38" t="s">
        <v>7779</v>
      </c>
      <c r="G6571" s="38">
        <v>3.61732164295E11</v>
      </c>
      <c r="H6571" s="38" t="s">
        <v>7780</v>
      </c>
      <c r="I6571" s="38" t="s">
        <v>7781</v>
      </c>
      <c r="J6571" s="38" t="s">
        <v>134</v>
      </c>
      <c r="K6571" s="38" t="s">
        <v>126</v>
      </c>
      <c r="L6571" s="41">
        <v>46009.854166666664</v>
      </c>
      <c r="M6571" s="38" t="s">
        <v>123</v>
      </c>
      <c r="N6571" s="41">
        <v>46009.875</v>
      </c>
      <c r="O6571" s="38" t="s">
        <v>123</v>
      </c>
      <c r="P6571" s="38">
        <v>1800.0</v>
      </c>
      <c r="Q6571" s="39"/>
      <c r="R6571" s="39"/>
      <c r="S6571" s="39"/>
      <c r="T6571" s="39"/>
      <c r="U6571" s="39"/>
    </row>
    <row r="6572">
      <c r="A6572" s="40">
        <f t="shared" si="1"/>
        <v>46006</v>
      </c>
      <c r="B6572" s="37" t="str">
        <f t="array" ref="B6572">iferror(xlookup($I6572, 'IMPORT VHC Report'!$E:$E, 'IMPORT VHC Report'!$A:$C), )</f>
        <v/>
      </c>
      <c r="C6572" s="37"/>
      <c r="D6572" s="37"/>
      <c r="E6572" s="38" t="s">
        <v>7788</v>
      </c>
      <c r="F6572" s="38" t="s">
        <v>7779</v>
      </c>
      <c r="G6572" s="38">
        <v>3.61732164295E11</v>
      </c>
      <c r="H6572" s="38" t="s">
        <v>7780</v>
      </c>
      <c r="I6572" s="38" t="s">
        <v>7781</v>
      </c>
      <c r="J6572" s="38" t="s">
        <v>368</v>
      </c>
      <c r="K6572" s="38" t="s">
        <v>63</v>
      </c>
      <c r="L6572" s="41">
        <v>46010.5</v>
      </c>
      <c r="M6572" s="38" t="s">
        <v>123</v>
      </c>
      <c r="N6572" s="41">
        <v>46010.875</v>
      </c>
      <c r="O6572" s="38" t="s">
        <v>123</v>
      </c>
      <c r="P6572" s="38">
        <v>32400.0</v>
      </c>
      <c r="Q6572" s="39"/>
      <c r="R6572" s="39"/>
      <c r="S6572" s="39"/>
      <c r="T6572" s="39"/>
      <c r="U6572" s="39"/>
    </row>
    <row r="6573">
      <c r="A6573" s="40">
        <f t="shared" si="1"/>
        <v>46006</v>
      </c>
      <c r="B6573" s="37" t="str">
        <f t="array" ref="B6573">iferror(xlookup($I6573, 'IMPORT VHC Report'!$E:$E, 'IMPORT VHC Report'!$A:$C), )</f>
        <v/>
      </c>
      <c r="C6573" s="37"/>
      <c r="D6573" s="37"/>
      <c r="E6573" s="38" t="s">
        <v>7789</v>
      </c>
      <c r="F6573" s="38" t="s">
        <v>7779</v>
      </c>
      <c r="G6573" s="38">
        <v>3.61732164295E11</v>
      </c>
      <c r="H6573" s="38" t="s">
        <v>7780</v>
      </c>
      <c r="I6573" s="38" t="s">
        <v>7781</v>
      </c>
      <c r="J6573" s="38" t="s">
        <v>132</v>
      </c>
      <c r="K6573" s="38" t="s">
        <v>126</v>
      </c>
      <c r="L6573" s="41">
        <v>46010.625</v>
      </c>
      <c r="M6573" s="38" t="s">
        <v>123</v>
      </c>
      <c r="N6573" s="41">
        <v>46010.666666666664</v>
      </c>
      <c r="O6573" s="38" t="s">
        <v>123</v>
      </c>
      <c r="P6573" s="38">
        <v>3600.0</v>
      </c>
      <c r="Q6573" s="39"/>
      <c r="R6573" s="39"/>
      <c r="S6573" s="39"/>
      <c r="T6573" s="39"/>
      <c r="U6573" s="39"/>
    </row>
    <row r="6574">
      <c r="A6574" s="40">
        <f t="shared" si="1"/>
        <v>46006</v>
      </c>
      <c r="B6574" s="37" t="str">
        <f t="array" ref="B6574">iferror(xlookup($I6574, 'IMPORT VHC Report'!$E:$E, 'IMPORT VHC Report'!$A:$C), )</f>
        <v/>
      </c>
      <c r="C6574" s="37"/>
      <c r="D6574" s="37"/>
      <c r="E6574" s="38" t="s">
        <v>7790</v>
      </c>
      <c r="F6574" s="38" t="s">
        <v>7779</v>
      </c>
      <c r="G6574" s="38">
        <v>3.61732164295E11</v>
      </c>
      <c r="H6574" s="38" t="s">
        <v>7780</v>
      </c>
      <c r="I6574" s="38" t="s">
        <v>7781</v>
      </c>
      <c r="J6574" s="38" t="s">
        <v>4</v>
      </c>
      <c r="K6574" s="38" t="s">
        <v>126</v>
      </c>
      <c r="L6574" s="41">
        <v>46010.666666666664</v>
      </c>
      <c r="M6574" s="38" t="s">
        <v>123</v>
      </c>
      <c r="N6574" s="41">
        <v>46010.833333333336</v>
      </c>
      <c r="O6574" s="38" t="s">
        <v>123</v>
      </c>
      <c r="P6574" s="38">
        <v>14400.0</v>
      </c>
      <c r="Q6574" s="39"/>
      <c r="R6574" s="39"/>
      <c r="S6574" s="38" t="s">
        <v>7343</v>
      </c>
      <c r="T6574" s="39"/>
      <c r="U6574" s="39"/>
    </row>
    <row r="6575">
      <c r="A6575" s="40">
        <f t="shared" si="1"/>
        <v>46006</v>
      </c>
      <c r="B6575" s="37" t="str">
        <f t="array" ref="B6575">iferror(xlookup($I6575, 'IMPORT VHC Report'!$E:$E, 'IMPORT VHC Report'!$A:$C), )</f>
        <v/>
      </c>
      <c r="C6575" s="37"/>
      <c r="D6575" s="37"/>
      <c r="E6575" s="38" t="s">
        <v>7791</v>
      </c>
      <c r="F6575" s="38" t="s">
        <v>7779</v>
      </c>
      <c r="G6575" s="38">
        <v>3.61732164295E11</v>
      </c>
      <c r="H6575" s="38" t="s">
        <v>7780</v>
      </c>
      <c r="I6575" s="38" t="s">
        <v>7781</v>
      </c>
      <c r="J6575" s="38" t="s">
        <v>134</v>
      </c>
      <c r="K6575" s="38" t="s">
        <v>126</v>
      </c>
      <c r="L6575" s="41">
        <v>46010.854166666664</v>
      </c>
      <c r="M6575" s="38" t="s">
        <v>123</v>
      </c>
      <c r="N6575" s="41">
        <v>46010.875</v>
      </c>
      <c r="O6575" s="38" t="s">
        <v>123</v>
      </c>
      <c r="P6575" s="38">
        <v>1800.0</v>
      </c>
      <c r="Q6575" s="39"/>
      <c r="R6575" s="39"/>
      <c r="S6575" s="39"/>
      <c r="T6575" s="39"/>
      <c r="U6575" s="39"/>
    </row>
    <row r="6576">
      <c r="A6576" s="40">
        <f t="shared" si="1"/>
        <v>46006</v>
      </c>
      <c r="B6576" s="37" t="str">
        <f t="array" ref="B6576">iferror(xlookup($I6576, 'IMPORT VHC Report'!$E:$E, 'IMPORT VHC Report'!$A:$C), )</f>
        <v/>
      </c>
      <c r="C6576" s="37"/>
      <c r="D6576" s="37"/>
      <c r="E6576" s="38" t="s">
        <v>7792</v>
      </c>
      <c r="F6576" s="38" t="s">
        <v>7779</v>
      </c>
      <c r="G6576" s="38">
        <v>3.61732164295E11</v>
      </c>
      <c r="H6576" s="38" t="s">
        <v>7780</v>
      </c>
      <c r="I6576" s="38" t="s">
        <v>7781</v>
      </c>
      <c r="J6576" s="38" t="s">
        <v>368</v>
      </c>
      <c r="K6576" s="38" t="s">
        <v>63</v>
      </c>
      <c r="L6576" s="41">
        <v>46011.5</v>
      </c>
      <c r="M6576" s="38" t="s">
        <v>123</v>
      </c>
      <c r="N6576" s="41">
        <v>46011.875</v>
      </c>
      <c r="O6576" s="38" t="s">
        <v>123</v>
      </c>
      <c r="P6576" s="38">
        <v>32400.0</v>
      </c>
      <c r="Q6576" s="39"/>
      <c r="R6576" s="39"/>
      <c r="S6576" s="39"/>
      <c r="T6576" s="39"/>
      <c r="U6576" s="39"/>
    </row>
    <row r="6577">
      <c r="A6577" s="40">
        <f t="shared" si="1"/>
        <v>46006</v>
      </c>
      <c r="B6577" s="37" t="str">
        <f t="array" ref="B6577">iferror(xlookup($I6577, 'IMPORT VHC Report'!$E:$E, 'IMPORT VHC Report'!$A:$C), )</f>
        <v/>
      </c>
      <c r="C6577" s="37"/>
      <c r="D6577" s="37"/>
      <c r="E6577" s="38" t="s">
        <v>7793</v>
      </c>
      <c r="F6577" s="38" t="s">
        <v>7779</v>
      </c>
      <c r="G6577" s="38">
        <v>3.61732164295E11</v>
      </c>
      <c r="H6577" s="38" t="s">
        <v>7780</v>
      </c>
      <c r="I6577" s="38" t="s">
        <v>7781</v>
      </c>
      <c r="J6577" s="38" t="s">
        <v>134</v>
      </c>
      <c r="K6577" s="38" t="s">
        <v>126</v>
      </c>
      <c r="L6577" s="41">
        <v>46011.666666666664</v>
      </c>
      <c r="M6577" s="38" t="s">
        <v>123</v>
      </c>
      <c r="N6577" s="41">
        <v>46011.6875</v>
      </c>
      <c r="O6577" s="38" t="s">
        <v>123</v>
      </c>
      <c r="P6577" s="38">
        <v>1800.0</v>
      </c>
      <c r="Q6577" s="39"/>
      <c r="R6577" s="39"/>
      <c r="S6577" s="39"/>
      <c r="T6577" s="39"/>
      <c r="U6577" s="39"/>
    </row>
    <row r="6578">
      <c r="A6578" s="40">
        <f t="shared" si="1"/>
        <v>46006</v>
      </c>
      <c r="B6578" s="37" t="str">
        <f t="array" ref="B6578">iferror(xlookup($I6578, 'IMPORT VHC Report'!$E:$E, 'IMPORT VHC Report'!$A:$C), )</f>
        <v/>
      </c>
      <c r="C6578" s="37"/>
      <c r="D6578" s="37"/>
      <c r="E6578" s="38" t="s">
        <v>7794</v>
      </c>
      <c r="F6578" s="38" t="s">
        <v>7779</v>
      </c>
      <c r="G6578" s="38">
        <v>3.61732164295E11</v>
      </c>
      <c r="H6578" s="38" t="s">
        <v>7780</v>
      </c>
      <c r="I6578" s="38" t="s">
        <v>7781</v>
      </c>
      <c r="J6578" s="38" t="s">
        <v>4</v>
      </c>
      <c r="K6578" s="38" t="s">
        <v>126</v>
      </c>
      <c r="L6578" s="41">
        <v>46011.6875</v>
      </c>
      <c r="M6578" s="38" t="s">
        <v>123</v>
      </c>
      <c r="N6578" s="41">
        <v>46011.71875</v>
      </c>
      <c r="O6578" s="38" t="s">
        <v>123</v>
      </c>
      <c r="P6578" s="38">
        <v>2700.0</v>
      </c>
      <c r="Q6578" s="39"/>
      <c r="R6578" s="39"/>
      <c r="S6578" s="38" t="s">
        <v>2478</v>
      </c>
      <c r="T6578" s="39"/>
      <c r="U6578" s="39"/>
    </row>
    <row r="6579">
      <c r="A6579" s="40">
        <f t="shared" si="1"/>
        <v>46006</v>
      </c>
      <c r="B6579" s="37" t="str">
        <f t="array" ref="B6579">iferror(xlookup($I6579, 'IMPORT VHC Report'!$E:$E, 'IMPORT VHC Report'!$A:$C), )</f>
        <v/>
      </c>
      <c r="C6579" s="37"/>
      <c r="D6579" s="37"/>
      <c r="E6579" s="38" t="s">
        <v>7795</v>
      </c>
      <c r="F6579" s="38" t="s">
        <v>7779</v>
      </c>
      <c r="G6579" s="38">
        <v>3.61732164295E11</v>
      </c>
      <c r="H6579" s="38" t="s">
        <v>7780</v>
      </c>
      <c r="I6579" s="38" t="s">
        <v>7781</v>
      </c>
      <c r="J6579" s="38" t="s">
        <v>132</v>
      </c>
      <c r="K6579" s="38" t="s">
        <v>126</v>
      </c>
      <c r="L6579" s="41">
        <v>46011.78125</v>
      </c>
      <c r="M6579" s="38" t="s">
        <v>123</v>
      </c>
      <c r="N6579" s="41">
        <v>46011.822916666664</v>
      </c>
      <c r="O6579" s="38" t="s">
        <v>123</v>
      </c>
      <c r="P6579" s="38">
        <v>3600.0</v>
      </c>
      <c r="Q6579" s="39"/>
      <c r="R6579" s="39"/>
      <c r="S6579" s="39"/>
      <c r="T6579" s="39"/>
      <c r="U6579" s="39"/>
    </row>
    <row r="6580">
      <c r="A6580" s="40">
        <f t="shared" si="1"/>
        <v>46006</v>
      </c>
      <c r="B6580" s="37" t="str">
        <f t="array" ref="B6580">iferror(xlookup($I6580, 'IMPORT VHC Report'!$E:$E, 'IMPORT VHC Report'!$A:$C), )</f>
        <v/>
      </c>
      <c r="C6580" s="37"/>
      <c r="D6580" s="37"/>
      <c r="E6580" s="38" t="s">
        <v>7796</v>
      </c>
      <c r="F6580" s="38" t="s">
        <v>7779</v>
      </c>
      <c r="G6580" s="38">
        <v>3.61732164295E11</v>
      </c>
      <c r="H6580" s="38" t="s">
        <v>7780</v>
      </c>
      <c r="I6580" s="38" t="s">
        <v>7781</v>
      </c>
      <c r="J6580" s="38" t="s">
        <v>368</v>
      </c>
      <c r="K6580" s="38" t="s">
        <v>63</v>
      </c>
      <c r="L6580" s="41">
        <v>46012.5</v>
      </c>
      <c r="M6580" s="38" t="s">
        <v>123</v>
      </c>
      <c r="N6580" s="41">
        <v>46012.875</v>
      </c>
      <c r="O6580" s="38" t="s">
        <v>123</v>
      </c>
      <c r="P6580" s="38">
        <v>32400.0</v>
      </c>
      <c r="Q6580" s="39"/>
      <c r="R6580" s="39"/>
      <c r="S6580" s="39"/>
      <c r="T6580" s="39"/>
      <c r="U6580" s="39"/>
    </row>
    <row r="6581">
      <c r="A6581" s="40">
        <f t="shared" si="1"/>
        <v>46006</v>
      </c>
      <c r="B6581" s="37" t="str">
        <f t="array" ref="B6581">iferror(xlookup($I6581, 'IMPORT VHC Report'!$E:$E, 'IMPORT VHC Report'!$A:$C), )</f>
        <v/>
      </c>
      <c r="C6581" s="37"/>
      <c r="D6581" s="37"/>
      <c r="E6581" s="38" t="s">
        <v>7797</v>
      </c>
      <c r="F6581" s="38" t="s">
        <v>7779</v>
      </c>
      <c r="G6581" s="38">
        <v>3.61732164295E11</v>
      </c>
      <c r="H6581" s="38" t="s">
        <v>7780</v>
      </c>
      <c r="I6581" s="38" t="s">
        <v>7781</v>
      </c>
      <c r="J6581" s="38" t="s">
        <v>134</v>
      </c>
      <c r="K6581" s="38" t="s">
        <v>126</v>
      </c>
      <c r="L6581" s="41">
        <v>46012.583333333336</v>
      </c>
      <c r="M6581" s="38" t="s">
        <v>123</v>
      </c>
      <c r="N6581" s="41">
        <v>46012.604166666664</v>
      </c>
      <c r="O6581" s="38" t="s">
        <v>123</v>
      </c>
      <c r="P6581" s="38">
        <v>1800.0</v>
      </c>
      <c r="Q6581" s="39"/>
      <c r="R6581" s="39"/>
      <c r="S6581" s="39"/>
      <c r="T6581" s="39"/>
      <c r="U6581" s="39"/>
    </row>
    <row r="6582">
      <c r="A6582" s="40">
        <f t="shared" si="1"/>
        <v>46006</v>
      </c>
      <c r="B6582" s="37" t="str">
        <f t="array" ref="B6582">iferror(xlookup($I6582, 'IMPORT VHC Report'!$E:$E, 'IMPORT VHC Report'!$A:$C), )</f>
        <v/>
      </c>
      <c r="C6582" s="37"/>
      <c r="D6582" s="37"/>
      <c r="E6582" s="38" t="s">
        <v>7798</v>
      </c>
      <c r="F6582" s="38" t="s">
        <v>7779</v>
      </c>
      <c r="G6582" s="38">
        <v>3.61732164295E11</v>
      </c>
      <c r="H6582" s="38" t="s">
        <v>7780</v>
      </c>
      <c r="I6582" s="38" t="s">
        <v>7781</v>
      </c>
      <c r="J6582" s="38" t="s">
        <v>132</v>
      </c>
      <c r="K6582" s="38" t="s">
        <v>126</v>
      </c>
      <c r="L6582" s="41">
        <v>46012.791666666664</v>
      </c>
      <c r="M6582" s="38" t="s">
        <v>123</v>
      </c>
      <c r="N6582" s="41">
        <v>46012.833333333336</v>
      </c>
      <c r="O6582" s="38" t="s">
        <v>123</v>
      </c>
      <c r="P6582" s="38">
        <v>3600.0</v>
      </c>
      <c r="Q6582" s="39"/>
      <c r="R6582" s="39"/>
      <c r="S6582" s="39"/>
      <c r="T6582" s="39"/>
      <c r="U6582" s="39"/>
    </row>
    <row r="6583">
      <c r="A6583" s="40">
        <f t="shared" si="1"/>
        <v>46006</v>
      </c>
      <c r="B6583" s="37" t="str">
        <f t="array" ref="B6583">iferror(xlookup($I6583, 'IMPORT VHC Report'!$E:$E, 'IMPORT VHC Report'!$A:$C), )</f>
        <v/>
      </c>
      <c r="C6583" s="37"/>
      <c r="D6583" s="37"/>
      <c r="E6583" s="38" t="s">
        <v>7799</v>
      </c>
      <c r="F6583" s="38" t="s">
        <v>7800</v>
      </c>
      <c r="G6583" s="38">
        <v>5.566843775631E12</v>
      </c>
      <c r="H6583" s="38" t="s">
        <v>7801</v>
      </c>
      <c r="I6583" s="38" t="s">
        <v>7802</v>
      </c>
      <c r="J6583" s="38" t="s">
        <v>330</v>
      </c>
      <c r="K6583" s="38" t="s">
        <v>126</v>
      </c>
      <c r="L6583" s="41">
        <v>46008.583333333336</v>
      </c>
      <c r="M6583" s="38" t="s">
        <v>123</v>
      </c>
      <c r="N6583" s="41">
        <v>46008.59027777778</v>
      </c>
      <c r="O6583" s="38" t="s">
        <v>123</v>
      </c>
      <c r="P6583" s="38">
        <v>600.0</v>
      </c>
      <c r="Q6583" s="39"/>
      <c r="R6583" s="39"/>
      <c r="S6583" s="39"/>
      <c r="T6583" s="39"/>
      <c r="U6583" s="39"/>
    </row>
    <row r="6584">
      <c r="A6584" s="40">
        <f t="shared" si="1"/>
        <v>46006</v>
      </c>
      <c r="B6584" s="37" t="str">
        <f t="array" ref="B6584">iferror(xlookup($I6584, 'IMPORT VHC Report'!$E:$E, 'IMPORT VHC Report'!$A:$C), )</f>
        <v/>
      </c>
      <c r="C6584" s="37"/>
      <c r="D6584" s="37"/>
      <c r="E6584" s="38" t="s">
        <v>7803</v>
      </c>
      <c r="F6584" s="38" t="s">
        <v>7800</v>
      </c>
      <c r="G6584" s="38">
        <v>5.566843775631E12</v>
      </c>
      <c r="H6584" s="38" t="s">
        <v>7801</v>
      </c>
      <c r="I6584" s="38" t="s">
        <v>7802</v>
      </c>
      <c r="J6584" s="38" t="s">
        <v>332</v>
      </c>
      <c r="K6584" s="38" t="s">
        <v>63</v>
      </c>
      <c r="L6584" s="41">
        <v>46008.583333333336</v>
      </c>
      <c r="M6584" s="38" t="s">
        <v>123</v>
      </c>
      <c r="N6584" s="41">
        <v>46008.958333333336</v>
      </c>
      <c r="O6584" s="38" t="s">
        <v>123</v>
      </c>
      <c r="P6584" s="38">
        <v>32400.0</v>
      </c>
      <c r="Q6584" s="39"/>
      <c r="R6584" s="39"/>
      <c r="S6584" s="39"/>
      <c r="T6584" s="39"/>
      <c r="U6584" s="39"/>
    </row>
    <row r="6585">
      <c r="A6585" s="40">
        <f t="shared" si="1"/>
        <v>46006</v>
      </c>
      <c r="B6585" s="37" t="str">
        <f t="array" ref="B6585">iferror(xlookup($I6585, 'IMPORT VHC Report'!$E:$E, 'IMPORT VHC Report'!$A:$C), )</f>
        <v/>
      </c>
      <c r="C6585" s="37"/>
      <c r="D6585" s="37"/>
      <c r="E6585" s="38" t="s">
        <v>7804</v>
      </c>
      <c r="F6585" s="38" t="s">
        <v>7800</v>
      </c>
      <c r="G6585" s="38">
        <v>5.566843775631E12</v>
      </c>
      <c r="H6585" s="38" t="s">
        <v>7801</v>
      </c>
      <c r="I6585" s="38" t="s">
        <v>7802</v>
      </c>
      <c r="J6585" s="38" t="s">
        <v>4</v>
      </c>
      <c r="K6585" s="38" t="s">
        <v>126</v>
      </c>
      <c r="L6585" s="41">
        <v>46008.625</v>
      </c>
      <c r="M6585" s="38" t="s">
        <v>123</v>
      </c>
      <c r="N6585" s="41">
        <v>46008.666666666664</v>
      </c>
      <c r="O6585" s="38" t="s">
        <v>123</v>
      </c>
      <c r="P6585" s="38">
        <v>3600.0</v>
      </c>
      <c r="Q6585" s="39"/>
      <c r="R6585" s="39"/>
      <c r="S6585" s="38" t="s">
        <v>130</v>
      </c>
      <c r="T6585" s="39"/>
      <c r="U6585" s="39"/>
    </row>
    <row r="6586">
      <c r="A6586" s="40">
        <f t="shared" si="1"/>
        <v>46006</v>
      </c>
      <c r="B6586" s="37" t="str">
        <f t="array" ref="B6586">iferror(xlookup($I6586, 'IMPORT VHC Report'!$E:$E, 'IMPORT VHC Report'!$A:$C), )</f>
        <v/>
      </c>
      <c r="C6586" s="37"/>
      <c r="D6586" s="37"/>
      <c r="E6586" s="38" t="s">
        <v>7805</v>
      </c>
      <c r="F6586" s="38" t="s">
        <v>7800</v>
      </c>
      <c r="G6586" s="38">
        <v>5.566843775631E12</v>
      </c>
      <c r="H6586" s="38" t="s">
        <v>7801</v>
      </c>
      <c r="I6586" s="38" t="s">
        <v>7802</v>
      </c>
      <c r="J6586" s="38" t="s">
        <v>132</v>
      </c>
      <c r="K6586" s="38" t="s">
        <v>126</v>
      </c>
      <c r="L6586" s="41">
        <v>46008.6875</v>
      </c>
      <c r="M6586" s="38" t="s">
        <v>123</v>
      </c>
      <c r="N6586" s="41">
        <v>46008.729166666664</v>
      </c>
      <c r="O6586" s="38" t="s">
        <v>123</v>
      </c>
      <c r="P6586" s="38">
        <v>3600.0</v>
      </c>
      <c r="Q6586" s="39"/>
      <c r="R6586" s="39"/>
      <c r="S6586" s="39"/>
      <c r="T6586" s="39"/>
      <c r="U6586" s="39"/>
    </row>
    <row r="6587">
      <c r="A6587" s="40">
        <f t="shared" si="1"/>
        <v>46006</v>
      </c>
      <c r="B6587" s="37" t="str">
        <f t="array" ref="B6587">iferror(xlookup($I6587, 'IMPORT VHC Report'!$E:$E, 'IMPORT VHC Report'!$A:$C), )</f>
        <v/>
      </c>
      <c r="C6587" s="37"/>
      <c r="D6587" s="37"/>
      <c r="E6587" s="38" t="s">
        <v>7806</v>
      </c>
      <c r="F6587" s="38" t="s">
        <v>7800</v>
      </c>
      <c r="G6587" s="38">
        <v>5.566843775631E12</v>
      </c>
      <c r="H6587" s="38" t="s">
        <v>7801</v>
      </c>
      <c r="I6587" s="38" t="s">
        <v>7802</v>
      </c>
      <c r="J6587" s="38" t="s">
        <v>125</v>
      </c>
      <c r="K6587" s="38" t="s">
        <v>126</v>
      </c>
      <c r="L6587" s="41">
        <v>46008.79513888889</v>
      </c>
      <c r="M6587" s="38" t="s">
        <v>123</v>
      </c>
      <c r="N6587" s="41">
        <v>46008.805555555555</v>
      </c>
      <c r="O6587" s="38" t="s">
        <v>123</v>
      </c>
      <c r="P6587" s="38">
        <v>900.0</v>
      </c>
      <c r="Q6587" s="39"/>
      <c r="R6587" s="39"/>
      <c r="S6587" s="38" t="s">
        <v>7807</v>
      </c>
      <c r="T6587" s="39"/>
      <c r="U6587" s="39"/>
    </row>
    <row r="6588">
      <c r="A6588" s="40">
        <f t="shared" si="1"/>
        <v>46006</v>
      </c>
      <c r="B6588" s="37" t="str">
        <f t="array" ref="B6588">iferror(xlookup($I6588, 'IMPORT VHC Report'!$E:$E, 'IMPORT VHC Report'!$A:$C), )</f>
        <v/>
      </c>
      <c r="C6588" s="37"/>
      <c r="D6588" s="37"/>
      <c r="E6588" s="38" t="s">
        <v>7808</v>
      </c>
      <c r="F6588" s="38" t="s">
        <v>7800</v>
      </c>
      <c r="G6588" s="38">
        <v>5.566843775631E12</v>
      </c>
      <c r="H6588" s="38" t="s">
        <v>7801</v>
      </c>
      <c r="I6588" s="38" t="s">
        <v>7802</v>
      </c>
      <c r="J6588" s="38" t="s">
        <v>134</v>
      </c>
      <c r="K6588" s="38" t="s">
        <v>126</v>
      </c>
      <c r="L6588" s="41">
        <v>46008.8125</v>
      </c>
      <c r="M6588" s="38" t="s">
        <v>123</v>
      </c>
      <c r="N6588" s="41">
        <v>46008.833333333336</v>
      </c>
      <c r="O6588" s="38" t="s">
        <v>123</v>
      </c>
      <c r="P6588" s="38">
        <v>1800.0</v>
      </c>
      <c r="Q6588" s="39"/>
      <c r="R6588" s="39"/>
      <c r="S6588" s="39"/>
      <c r="T6588" s="39"/>
      <c r="U6588" s="39"/>
    </row>
    <row r="6589">
      <c r="A6589" s="40">
        <f t="shared" si="1"/>
        <v>46006</v>
      </c>
      <c r="B6589" s="37" t="str">
        <f t="array" ref="B6589">iferror(xlookup($I6589, 'IMPORT VHC Report'!$E:$E, 'IMPORT VHC Report'!$A:$C), )</f>
        <v/>
      </c>
      <c r="C6589" s="37"/>
      <c r="D6589" s="37"/>
      <c r="E6589" s="38" t="s">
        <v>7809</v>
      </c>
      <c r="F6589" s="38" t="s">
        <v>7800</v>
      </c>
      <c r="G6589" s="38">
        <v>5.566843775631E12</v>
      </c>
      <c r="H6589" s="38" t="s">
        <v>7801</v>
      </c>
      <c r="I6589" s="38" t="s">
        <v>7802</v>
      </c>
      <c r="J6589" s="38" t="s">
        <v>330</v>
      </c>
      <c r="K6589" s="38" t="s">
        <v>126</v>
      </c>
      <c r="L6589" s="41">
        <v>46009.583333333336</v>
      </c>
      <c r="M6589" s="38" t="s">
        <v>123</v>
      </c>
      <c r="N6589" s="41">
        <v>46009.59027777778</v>
      </c>
      <c r="O6589" s="38" t="s">
        <v>123</v>
      </c>
      <c r="P6589" s="38">
        <v>600.0</v>
      </c>
      <c r="Q6589" s="39"/>
      <c r="R6589" s="39"/>
      <c r="S6589" s="39"/>
      <c r="T6589" s="39"/>
      <c r="U6589" s="39"/>
    </row>
    <row r="6590">
      <c r="A6590" s="40">
        <f t="shared" si="1"/>
        <v>46006</v>
      </c>
      <c r="B6590" s="37" t="str">
        <f t="array" ref="B6590">iferror(xlookup($I6590, 'IMPORT VHC Report'!$E:$E, 'IMPORT VHC Report'!$A:$C), )</f>
        <v/>
      </c>
      <c r="C6590" s="37"/>
      <c r="D6590" s="37"/>
      <c r="E6590" s="38" t="s">
        <v>7810</v>
      </c>
      <c r="F6590" s="38" t="s">
        <v>7800</v>
      </c>
      <c r="G6590" s="38">
        <v>5.566843775631E12</v>
      </c>
      <c r="H6590" s="38" t="s">
        <v>7801</v>
      </c>
      <c r="I6590" s="38" t="s">
        <v>7802</v>
      </c>
      <c r="J6590" s="38" t="s">
        <v>332</v>
      </c>
      <c r="K6590" s="38" t="s">
        <v>63</v>
      </c>
      <c r="L6590" s="41">
        <v>46009.583333333336</v>
      </c>
      <c r="M6590" s="38" t="s">
        <v>123</v>
      </c>
      <c r="N6590" s="41">
        <v>46009.958333333336</v>
      </c>
      <c r="O6590" s="38" t="s">
        <v>123</v>
      </c>
      <c r="P6590" s="38">
        <v>32400.0</v>
      </c>
      <c r="Q6590" s="39"/>
      <c r="R6590" s="39"/>
      <c r="S6590" s="39"/>
      <c r="T6590" s="39"/>
      <c r="U6590" s="39"/>
    </row>
    <row r="6591">
      <c r="A6591" s="40">
        <f t="shared" si="1"/>
        <v>46006</v>
      </c>
      <c r="B6591" s="37" t="str">
        <f t="array" ref="B6591">iferror(xlookup($I6591, 'IMPORT VHC Report'!$E:$E, 'IMPORT VHC Report'!$A:$C), )</f>
        <v/>
      </c>
      <c r="C6591" s="37"/>
      <c r="D6591" s="37"/>
      <c r="E6591" s="38" t="s">
        <v>7811</v>
      </c>
      <c r="F6591" s="38" t="s">
        <v>7800</v>
      </c>
      <c r="G6591" s="38">
        <v>5.566843775631E12</v>
      </c>
      <c r="H6591" s="38" t="s">
        <v>7801</v>
      </c>
      <c r="I6591" s="38" t="s">
        <v>7802</v>
      </c>
      <c r="J6591" s="38" t="s">
        <v>132</v>
      </c>
      <c r="K6591" s="38" t="s">
        <v>126</v>
      </c>
      <c r="L6591" s="41">
        <v>46009.6875</v>
      </c>
      <c r="M6591" s="38" t="s">
        <v>123</v>
      </c>
      <c r="N6591" s="41">
        <v>46009.729166666664</v>
      </c>
      <c r="O6591" s="38" t="s">
        <v>123</v>
      </c>
      <c r="P6591" s="38">
        <v>3600.0</v>
      </c>
      <c r="Q6591" s="39"/>
      <c r="R6591" s="39"/>
      <c r="S6591" s="39"/>
      <c r="T6591" s="39"/>
      <c r="U6591" s="39"/>
    </row>
    <row r="6592">
      <c r="A6592" s="40">
        <f t="shared" si="1"/>
        <v>46006</v>
      </c>
      <c r="B6592" s="37" t="str">
        <f t="array" ref="B6592">iferror(xlookup($I6592, 'IMPORT VHC Report'!$E:$E, 'IMPORT VHC Report'!$A:$C), )</f>
        <v/>
      </c>
      <c r="C6592" s="37"/>
      <c r="D6592" s="37"/>
      <c r="E6592" s="38" t="s">
        <v>7812</v>
      </c>
      <c r="F6592" s="38" t="s">
        <v>7800</v>
      </c>
      <c r="G6592" s="38">
        <v>5.566843775631E12</v>
      </c>
      <c r="H6592" s="38" t="s">
        <v>7801</v>
      </c>
      <c r="I6592" s="38" t="s">
        <v>7802</v>
      </c>
      <c r="J6592" s="38" t="s">
        <v>134</v>
      </c>
      <c r="K6592" s="38" t="s">
        <v>126</v>
      </c>
      <c r="L6592" s="41">
        <v>46009.8125</v>
      </c>
      <c r="M6592" s="38" t="s">
        <v>123</v>
      </c>
      <c r="N6592" s="41">
        <v>46009.833333333336</v>
      </c>
      <c r="O6592" s="38" t="s">
        <v>123</v>
      </c>
      <c r="P6592" s="38">
        <v>1800.0</v>
      </c>
      <c r="Q6592" s="39"/>
      <c r="R6592" s="39"/>
      <c r="S6592" s="39"/>
      <c r="T6592" s="39"/>
      <c r="U6592" s="39"/>
    </row>
    <row r="6593">
      <c r="A6593" s="40">
        <f t="shared" si="1"/>
        <v>46006</v>
      </c>
      <c r="B6593" s="37" t="str">
        <f t="array" ref="B6593">iferror(xlookup($I6593, 'IMPORT VHC Report'!$E:$E, 'IMPORT VHC Report'!$A:$C), )</f>
        <v/>
      </c>
      <c r="C6593" s="37"/>
      <c r="D6593" s="37"/>
      <c r="E6593" s="38" t="s">
        <v>7813</v>
      </c>
      <c r="F6593" s="38" t="s">
        <v>7800</v>
      </c>
      <c r="G6593" s="38">
        <v>5.566843775631E12</v>
      </c>
      <c r="H6593" s="38" t="s">
        <v>7801</v>
      </c>
      <c r="I6593" s="38" t="s">
        <v>7802</v>
      </c>
      <c r="J6593" s="38" t="s">
        <v>330</v>
      </c>
      <c r="K6593" s="38" t="s">
        <v>126</v>
      </c>
      <c r="L6593" s="41">
        <v>46010.583333333336</v>
      </c>
      <c r="M6593" s="38" t="s">
        <v>123</v>
      </c>
      <c r="N6593" s="41">
        <v>46010.59027777778</v>
      </c>
      <c r="O6593" s="38" t="s">
        <v>123</v>
      </c>
      <c r="P6593" s="38">
        <v>600.0</v>
      </c>
      <c r="Q6593" s="39"/>
      <c r="R6593" s="39"/>
      <c r="S6593" s="39"/>
      <c r="T6593" s="39"/>
      <c r="U6593" s="39"/>
    </row>
    <row r="6594">
      <c r="A6594" s="40">
        <f t="shared" si="1"/>
        <v>46006</v>
      </c>
      <c r="B6594" s="37" t="str">
        <f t="array" ref="B6594">iferror(xlookup($I6594, 'IMPORT VHC Report'!$E:$E, 'IMPORT VHC Report'!$A:$C), )</f>
        <v/>
      </c>
      <c r="C6594" s="37"/>
      <c r="D6594" s="37"/>
      <c r="E6594" s="38" t="s">
        <v>7814</v>
      </c>
      <c r="F6594" s="38" t="s">
        <v>7800</v>
      </c>
      <c r="G6594" s="38">
        <v>5.566843775631E12</v>
      </c>
      <c r="H6594" s="38" t="s">
        <v>7801</v>
      </c>
      <c r="I6594" s="38" t="s">
        <v>7802</v>
      </c>
      <c r="J6594" s="38" t="s">
        <v>332</v>
      </c>
      <c r="K6594" s="38" t="s">
        <v>63</v>
      </c>
      <c r="L6594" s="41">
        <v>46010.583333333336</v>
      </c>
      <c r="M6594" s="38" t="s">
        <v>123</v>
      </c>
      <c r="N6594" s="41">
        <v>46010.958333333336</v>
      </c>
      <c r="O6594" s="38" t="s">
        <v>123</v>
      </c>
      <c r="P6594" s="38">
        <v>32400.0</v>
      </c>
      <c r="Q6594" s="39"/>
      <c r="R6594" s="39"/>
      <c r="S6594" s="39"/>
      <c r="T6594" s="39"/>
      <c r="U6594" s="39"/>
    </row>
    <row r="6595">
      <c r="A6595" s="40">
        <f t="shared" si="1"/>
        <v>46006</v>
      </c>
      <c r="B6595" s="37" t="str">
        <f t="array" ref="B6595">iferror(xlookup($I6595, 'IMPORT VHC Report'!$E:$E, 'IMPORT VHC Report'!$A:$C), )</f>
        <v/>
      </c>
      <c r="C6595" s="37"/>
      <c r="D6595" s="37"/>
      <c r="E6595" s="38" t="s">
        <v>7815</v>
      </c>
      <c r="F6595" s="38" t="s">
        <v>7800</v>
      </c>
      <c r="G6595" s="38">
        <v>5.566843775631E12</v>
      </c>
      <c r="H6595" s="38" t="s">
        <v>7801</v>
      </c>
      <c r="I6595" s="38" t="s">
        <v>7802</v>
      </c>
      <c r="J6595" s="38" t="s">
        <v>136</v>
      </c>
      <c r="K6595" s="38" t="s">
        <v>126</v>
      </c>
      <c r="L6595" s="41">
        <v>46010.666666666664</v>
      </c>
      <c r="M6595" s="38" t="s">
        <v>123</v>
      </c>
      <c r="N6595" s="41">
        <v>46010.729166666664</v>
      </c>
      <c r="O6595" s="38" t="s">
        <v>123</v>
      </c>
      <c r="P6595" s="38">
        <v>5400.0</v>
      </c>
      <c r="Q6595" s="39"/>
      <c r="R6595" s="39"/>
      <c r="S6595" s="38" t="s">
        <v>137</v>
      </c>
      <c r="T6595" s="39"/>
      <c r="U6595" s="39"/>
    </row>
    <row r="6596">
      <c r="A6596" s="40">
        <f t="shared" si="1"/>
        <v>46006</v>
      </c>
      <c r="B6596" s="37" t="str">
        <f t="array" ref="B6596">iferror(xlookup($I6596, 'IMPORT VHC Report'!$E:$E, 'IMPORT VHC Report'!$A:$C), )</f>
        <v/>
      </c>
      <c r="C6596" s="37"/>
      <c r="D6596" s="37"/>
      <c r="E6596" s="38" t="s">
        <v>7816</v>
      </c>
      <c r="F6596" s="38" t="s">
        <v>7800</v>
      </c>
      <c r="G6596" s="38">
        <v>5.566843775631E12</v>
      </c>
      <c r="H6596" s="38" t="s">
        <v>7801</v>
      </c>
      <c r="I6596" s="38" t="s">
        <v>7802</v>
      </c>
      <c r="J6596" s="38" t="s">
        <v>132</v>
      </c>
      <c r="K6596" s="38" t="s">
        <v>126</v>
      </c>
      <c r="L6596" s="41">
        <v>46010.729166666664</v>
      </c>
      <c r="M6596" s="38" t="s">
        <v>123</v>
      </c>
      <c r="N6596" s="41">
        <v>46010.770833333336</v>
      </c>
      <c r="O6596" s="38" t="s">
        <v>123</v>
      </c>
      <c r="P6596" s="38">
        <v>3600.0</v>
      </c>
      <c r="Q6596" s="39"/>
      <c r="R6596" s="39"/>
      <c r="S6596" s="39"/>
      <c r="T6596" s="39"/>
      <c r="U6596" s="39"/>
    </row>
    <row r="6597">
      <c r="A6597" s="40">
        <f t="shared" si="1"/>
        <v>46006</v>
      </c>
      <c r="B6597" s="37" t="str">
        <f t="array" ref="B6597">iferror(xlookup($I6597, 'IMPORT VHC Report'!$E:$E, 'IMPORT VHC Report'!$A:$C), )</f>
        <v/>
      </c>
      <c r="C6597" s="37"/>
      <c r="D6597" s="37"/>
      <c r="E6597" s="38" t="s">
        <v>7817</v>
      </c>
      <c r="F6597" s="38" t="s">
        <v>7800</v>
      </c>
      <c r="G6597" s="38">
        <v>5.566843775631E12</v>
      </c>
      <c r="H6597" s="38" t="s">
        <v>7801</v>
      </c>
      <c r="I6597" s="38" t="s">
        <v>7802</v>
      </c>
      <c r="J6597" s="38" t="s">
        <v>125</v>
      </c>
      <c r="K6597" s="38" t="s">
        <v>126</v>
      </c>
      <c r="L6597" s="41">
        <v>46010.770833333336</v>
      </c>
      <c r="M6597" s="38" t="s">
        <v>123</v>
      </c>
      <c r="N6597" s="41">
        <v>46010.77777777778</v>
      </c>
      <c r="O6597" s="38" t="s">
        <v>123</v>
      </c>
      <c r="P6597" s="38">
        <v>600.0</v>
      </c>
      <c r="Q6597" s="39"/>
      <c r="R6597" s="39"/>
      <c r="S6597" s="38" t="s">
        <v>3682</v>
      </c>
      <c r="T6597" s="39"/>
      <c r="U6597" s="39"/>
    </row>
    <row r="6598">
      <c r="A6598" s="40">
        <f t="shared" si="1"/>
        <v>46006</v>
      </c>
      <c r="B6598" s="37" t="str">
        <f t="array" ref="B6598">iferror(xlookup($I6598, 'IMPORT VHC Report'!$E:$E, 'IMPORT VHC Report'!$A:$C), )</f>
        <v/>
      </c>
      <c r="C6598" s="37"/>
      <c r="D6598" s="37"/>
      <c r="E6598" s="38" t="s">
        <v>7818</v>
      </c>
      <c r="F6598" s="38" t="s">
        <v>7800</v>
      </c>
      <c r="G6598" s="38">
        <v>5.566843775631E12</v>
      </c>
      <c r="H6598" s="38" t="s">
        <v>7801</v>
      </c>
      <c r="I6598" s="38" t="s">
        <v>7802</v>
      </c>
      <c r="J6598" s="38" t="s">
        <v>134</v>
      </c>
      <c r="K6598" s="38" t="s">
        <v>126</v>
      </c>
      <c r="L6598" s="41">
        <v>46010.854166666664</v>
      </c>
      <c r="M6598" s="38" t="s">
        <v>123</v>
      </c>
      <c r="N6598" s="41">
        <v>46010.875</v>
      </c>
      <c r="O6598" s="38" t="s">
        <v>123</v>
      </c>
      <c r="P6598" s="38">
        <v>1800.0</v>
      </c>
      <c r="Q6598" s="39"/>
      <c r="R6598" s="39"/>
      <c r="S6598" s="39"/>
      <c r="T6598" s="39"/>
      <c r="U6598" s="39"/>
    </row>
    <row r="6599">
      <c r="A6599" s="40">
        <f t="shared" si="1"/>
        <v>46006</v>
      </c>
      <c r="B6599" s="37" t="str">
        <f t="array" ref="B6599">iferror(xlookup($I6599, 'IMPORT VHC Report'!$E:$E, 'IMPORT VHC Report'!$A:$C), )</f>
        <v/>
      </c>
      <c r="C6599" s="37"/>
      <c r="D6599" s="37"/>
      <c r="E6599" s="38" t="s">
        <v>7819</v>
      </c>
      <c r="F6599" s="38" t="s">
        <v>7800</v>
      </c>
      <c r="G6599" s="38">
        <v>5.566843775631E12</v>
      </c>
      <c r="H6599" s="38" t="s">
        <v>7801</v>
      </c>
      <c r="I6599" s="38" t="s">
        <v>7802</v>
      </c>
      <c r="J6599" s="38" t="s">
        <v>330</v>
      </c>
      <c r="K6599" s="38" t="s">
        <v>126</v>
      </c>
      <c r="L6599" s="41">
        <v>46011.583333333336</v>
      </c>
      <c r="M6599" s="38" t="s">
        <v>123</v>
      </c>
      <c r="N6599" s="41">
        <v>46011.59027777778</v>
      </c>
      <c r="O6599" s="38" t="s">
        <v>123</v>
      </c>
      <c r="P6599" s="38">
        <v>600.0</v>
      </c>
      <c r="Q6599" s="39"/>
      <c r="R6599" s="39"/>
      <c r="S6599" s="39"/>
      <c r="T6599" s="39"/>
      <c r="U6599" s="39"/>
    </row>
    <row r="6600">
      <c r="A6600" s="40">
        <f t="shared" si="1"/>
        <v>46006</v>
      </c>
      <c r="B6600" s="37" t="str">
        <f t="array" ref="B6600">iferror(xlookup($I6600, 'IMPORT VHC Report'!$E:$E, 'IMPORT VHC Report'!$A:$C), )</f>
        <v/>
      </c>
      <c r="C6600" s="37"/>
      <c r="D6600" s="37"/>
      <c r="E6600" s="38" t="s">
        <v>7820</v>
      </c>
      <c r="F6600" s="38" t="s">
        <v>7800</v>
      </c>
      <c r="G6600" s="38">
        <v>5.566843775631E12</v>
      </c>
      <c r="H6600" s="38" t="s">
        <v>7801</v>
      </c>
      <c r="I6600" s="38" t="s">
        <v>7802</v>
      </c>
      <c r="J6600" s="38" t="s">
        <v>152</v>
      </c>
      <c r="K6600" s="38" t="s">
        <v>153</v>
      </c>
      <c r="L6600" s="41">
        <v>46011.583333333336</v>
      </c>
      <c r="M6600" s="38" t="s">
        <v>123</v>
      </c>
      <c r="N6600" s="41">
        <v>46011.958333333336</v>
      </c>
      <c r="O6600" s="38" t="s">
        <v>123</v>
      </c>
      <c r="P6600" s="38">
        <v>32400.0</v>
      </c>
      <c r="Q6600" s="38">
        <v>32400.0</v>
      </c>
      <c r="R6600" s="39"/>
      <c r="S6600" s="39"/>
      <c r="T6600" s="39"/>
      <c r="U6600" s="39"/>
    </row>
    <row r="6601">
      <c r="A6601" s="40">
        <f t="shared" si="1"/>
        <v>46006</v>
      </c>
      <c r="B6601" s="37" t="str">
        <f t="array" ref="B6601">iferror(xlookup($I6601, 'IMPORT VHC Report'!$E:$E, 'IMPORT VHC Report'!$A:$C), )</f>
        <v/>
      </c>
      <c r="C6601" s="37"/>
      <c r="D6601" s="37"/>
      <c r="E6601" s="38" t="s">
        <v>7821</v>
      </c>
      <c r="F6601" s="38" t="s">
        <v>7800</v>
      </c>
      <c r="G6601" s="38">
        <v>5.566843775631E12</v>
      </c>
      <c r="H6601" s="38" t="s">
        <v>7801</v>
      </c>
      <c r="I6601" s="38" t="s">
        <v>7802</v>
      </c>
      <c r="J6601" s="38" t="s">
        <v>132</v>
      </c>
      <c r="K6601" s="38" t="s">
        <v>126</v>
      </c>
      <c r="L6601" s="41">
        <v>46011.71875</v>
      </c>
      <c r="M6601" s="38" t="s">
        <v>123</v>
      </c>
      <c r="N6601" s="41">
        <v>46011.760416666664</v>
      </c>
      <c r="O6601" s="38" t="s">
        <v>123</v>
      </c>
      <c r="P6601" s="38">
        <v>3600.0</v>
      </c>
      <c r="Q6601" s="39"/>
      <c r="R6601" s="39"/>
      <c r="S6601" s="39"/>
      <c r="T6601" s="39"/>
      <c r="U6601" s="39"/>
    </row>
    <row r="6602">
      <c r="A6602" s="40">
        <f t="shared" si="1"/>
        <v>46006</v>
      </c>
      <c r="B6602" s="37" t="str">
        <f t="array" ref="B6602">iferror(xlookup($I6602, 'IMPORT VHC Report'!$E:$E, 'IMPORT VHC Report'!$A:$C), )</f>
        <v/>
      </c>
      <c r="C6602" s="37"/>
      <c r="D6602" s="37"/>
      <c r="E6602" s="38" t="s">
        <v>7822</v>
      </c>
      <c r="F6602" s="38" t="s">
        <v>7800</v>
      </c>
      <c r="G6602" s="38">
        <v>5.566843775631E12</v>
      </c>
      <c r="H6602" s="38" t="s">
        <v>7801</v>
      </c>
      <c r="I6602" s="38" t="s">
        <v>7802</v>
      </c>
      <c r="J6602" s="38" t="s">
        <v>134</v>
      </c>
      <c r="K6602" s="38" t="s">
        <v>126</v>
      </c>
      <c r="L6602" s="41">
        <v>46011.84375</v>
      </c>
      <c r="M6602" s="38" t="s">
        <v>123</v>
      </c>
      <c r="N6602" s="41">
        <v>46011.864583333336</v>
      </c>
      <c r="O6602" s="38" t="s">
        <v>123</v>
      </c>
      <c r="P6602" s="38">
        <v>1800.0</v>
      </c>
      <c r="Q6602" s="39"/>
      <c r="R6602" s="39"/>
      <c r="S6602" s="39"/>
      <c r="T6602" s="39"/>
      <c r="U6602" s="39"/>
    </row>
    <row r="6603">
      <c r="A6603" s="40">
        <f t="shared" si="1"/>
        <v>46006</v>
      </c>
      <c r="B6603" s="37" t="str">
        <f t="array" ref="B6603">iferror(xlookup($I6603, 'IMPORT VHC Report'!$E:$E, 'IMPORT VHC Report'!$A:$C), )</f>
        <v/>
      </c>
      <c r="C6603" s="37"/>
      <c r="D6603" s="37"/>
      <c r="E6603" s="38" t="s">
        <v>7823</v>
      </c>
      <c r="F6603" s="38" t="s">
        <v>7800</v>
      </c>
      <c r="G6603" s="38">
        <v>5.566843775631E12</v>
      </c>
      <c r="H6603" s="38" t="s">
        <v>7801</v>
      </c>
      <c r="I6603" s="38" t="s">
        <v>7802</v>
      </c>
      <c r="J6603" s="38" t="s">
        <v>330</v>
      </c>
      <c r="K6603" s="38" t="s">
        <v>126</v>
      </c>
      <c r="L6603" s="41">
        <v>46012.583333333336</v>
      </c>
      <c r="M6603" s="38" t="s">
        <v>123</v>
      </c>
      <c r="N6603" s="41">
        <v>46012.59027777778</v>
      </c>
      <c r="O6603" s="38" t="s">
        <v>123</v>
      </c>
      <c r="P6603" s="38">
        <v>600.0</v>
      </c>
      <c r="Q6603" s="39"/>
      <c r="R6603" s="39"/>
      <c r="S6603" s="39"/>
      <c r="T6603" s="39"/>
      <c r="U6603" s="39"/>
    </row>
    <row r="6604">
      <c r="A6604" s="40">
        <f t="shared" si="1"/>
        <v>46006</v>
      </c>
      <c r="B6604" s="37" t="str">
        <f t="array" ref="B6604">iferror(xlookup($I6604, 'IMPORT VHC Report'!$E:$E, 'IMPORT VHC Report'!$A:$C), )</f>
        <v/>
      </c>
      <c r="C6604" s="37"/>
      <c r="D6604" s="37"/>
      <c r="E6604" s="38" t="s">
        <v>7824</v>
      </c>
      <c r="F6604" s="38" t="s">
        <v>7800</v>
      </c>
      <c r="G6604" s="38">
        <v>5.566843775631E12</v>
      </c>
      <c r="H6604" s="38" t="s">
        <v>7801</v>
      </c>
      <c r="I6604" s="38" t="s">
        <v>7802</v>
      </c>
      <c r="J6604" s="38" t="s">
        <v>332</v>
      </c>
      <c r="K6604" s="38" t="s">
        <v>63</v>
      </c>
      <c r="L6604" s="41">
        <v>46012.583333333336</v>
      </c>
      <c r="M6604" s="38" t="s">
        <v>123</v>
      </c>
      <c r="N6604" s="41">
        <v>46012.958333333336</v>
      </c>
      <c r="O6604" s="38" t="s">
        <v>123</v>
      </c>
      <c r="P6604" s="38">
        <v>32400.0</v>
      </c>
      <c r="Q6604" s="39"/>
      <c r="R6604" s="39"/>
      <c r="S6604" s="39"/>
      <c r="T6604" s="39"/>
      <c r="U6604" s="39"/>
    </row>
    <row r="6605">
      <c r="A6605" s="40">
        <f t="shared" si="1"/>
        <v>46006</v>
      </c>
      <c r="B6605" s="37" t="str">
        <f t="array" ref="B6605">iferror(xlookup($I6605, 'IMPORT VHC Report'!$E:$E, 'IMPORT VHC Report'!$A:$C), )</f>
        <v/>
      </c>
      <c r="C6605" s="37"/>
      <c r="D6605" s="37"/>
      <c r="E6605" s="38" t="s">
        <v>7825</v>
      </c>
      <c r="F6605" s="38" t="s">
        <v>7800</v>
      </c>
      <c r="G6605" s="38">
        <v>5.566843775631E12</v>
      </c>
      <c r="H6605" s="38" t="s">
        <v>7801</v>
      </c>
      <c r="I6605" s="38" t="s">
        <v>7802</v>
      </c>
      <c r="J6605" s="38" t="s">
        <v>4</v>
      </c>
      <c r="K6605" s="38" t="s">
        <v>126</v>
      </c>
      <c r="L6605" s="41">
        <v>46012.625</v>
      </c>
      <c r="M6605" s="38" t="s">
        <v>123</v>
      </c>
      <c r="N6605" s="41">
        <v>46012.666666666664</v>
      </c>
      <c r="O6605" s="38" t="s">
        <v>123</v>
      </c>
      <c r="P6605" s="38">
        <v>3600.0</v>
      </c>
      <c r="Q6605" s="39"/>
      <c r="R6605" s="39"/>
      <c r="S6605" s="38" t="s">
        <v>3696</v>
      </c>
      <c r="T6605" s="39"/>
      <c r="U6605" s="39"/>
    </row>
    <row r="6606">
      <c r="A6606" s="40">
        <f t="shared" si="1"/>
        <v>46006</v>
      </c>
      <c r="B6606" s="37" t="str">
        <f t="array" ref="B6606">iferror(xlookup($I6606, 'IMPORT VHC Report'!$E:$E, 'IMPORT VHC Report'!$A:$C), )</f>
        <v/>
      </c>
      <c r="C6606" s="37"/>
      <c r="D6606" s="37"/>
      <c r="E6606" s="38" t="s">
        <v>7826</v>
      </c>
      <c r="F6606" s="38" t="s">
        <v>7800</v>
      </c>
      <c r="G6606" s="38">
        <v>5.566843775631E12</v>
      </c>
      <c r="H6606" s="38" t="s">
        <v>7801</v>
      </c>
      <c r="I6606" s="38" t="s">
        <v>7802</v>
      </c>
      <c r="J6606" s="38" t="s">
        <v>132</v>
      </c>
      <c r="K6606" s="38" t="s">
        <v>126</v>
      </c>
      <c r="L6606" s="41">
        <v>46012.70486111111</v>
      </c>
      <c r="M6606" s="38" t="s">
        <v>123</v>
      </c>
      <c r="N6606" s="41">
        <v>46012.74652777778</v>
      </c>
      <c r="O6606" s="38" t="s">
        <v>123</v>
      </c>
      <c r="P6606" s="38">
        <v>3600.0</v>
      </c>
      <c r="Q6606" s="39"/>
      <c r="R6606" s="39"/>
      <c r="S6606" s="39"/>
      <c r="T6606" s="39"/>
      <c r="U6606" s="39"/>
    </row>
    <row r="6607">
      <c r="A6607" s="40">
        <f t="shared" si="1"/>
        <v>46006</v>
      </c>
      <c r="B6607" s="37" t="str">
        <f t="array" ref="B6607">iferror(xlookup($I6607, 'IMPORT VHC Report'!$E:$E, 'IMPORT VHC Report'!$A:$C), )</f>
        <v/>
      </c>
      <c r="C6607" s="37"/>
      <c r="D6607" s="37"/>
      <c r="E6607" s="38" t="s">
        <v>7827</v>
      </c>
      <c r="F6607" s="38" t="s">
        <v>7800</v>
      </c>
      <c r="G6607" s="38">
        <v>5.566843775631E12</v>
      </c>
      <c r="H6607" s="38" t="s">
        <v>7801</v>
      </c>
      <c r="I6607" s="38" t="s">
        <v>7802</v>
      </c>
      <c r="J6607" s="38" t="s">
        <v>134</v>
      </c>
      <c r="K6607" s="38" t="s">
        <v>126</v>
      </c>
      <c r="L6607" s="41">
        <v>46012.833333333336</v>
      </c>
      <c r="M6607" s="38" t="s">
        <v>123</v>
      </c>
      <c r="N6607" s="41">
        <v>46012.854166666664</v>
      </c>
      <c r="O6607" s="38" t="s">
        <v>123</v>
      </c>
      <c r="P6607" s="38">
        <v>1800.0</v>
      </c>
      <c r="Q6607" s="39"/>
      <c r="R6607" s="39"/>
      <c r="S6607" s="39"/>
      <c r="T6607" s="39"/>
      <c r="U6607" s="39"/>
    </row>
    <row r="6608">
      <c r="A6608" s="40">
        <f t="shared" si="1"/>
        <v>46006</v>
      </c>
      <c r="B6608" s="37" t="str">
        <f t="array" ref="B6608">iferror(xlookup($I6608, 'IMPORT VHC Report'!$E:$E, 'IMPORT VHC Report'!$A:$C), )</f>
        <v/>
      </c>
      <c r="C6608" s="37"/>
      <c r="D6608" s="37"/>
      <c r="E6608" s="38" t="s">
        <v>7828</v>
      </c>
      <c r="F6608" s="38" t="s">
        <v>7800</v>
      </c>
      <c r="G6608" s="38">
        <v>5.566843775631E12</v>
      </c>
      <c r="H6608" s="38" t="s">
        <v>7801</v>
      </c>
      <c r="I6608" s="38" t="s">
        <v>7802</v>
      </c>
      <c r="J6608" s="38" t="s">
        <v>4</v>
      </c>
      <c r="K6608" s="38" t="s">
        <v>126</v>
      </c>
      <c r="L6608" s="41">
        <v>46012.854166666664</v>
      </c>
      <c r="M6608" s="38" t="s">
        <v>123</v>
      </c>
      <c r="N6608" s="41">
        <v>46012.864583333336</v>
      </c>
      <c r="O6608" s="38" t="s">
        <v>123</v>
      </c>
      <c r="P6608" s="38">
        <v>900.0</v>
      </c>
      <c r="Q6608" s="39"/>
      <c r="R6608" s="39"/>
      <c r="S6608" s="38" t="s">
        <v>3693</v>
      </c>
      <c r="T6608" s="39"/>
      <c r="U6608" s="39"/>
    </row>
    <row r="6609">
      <c r="A6609" s="40">
        <f t="shared" si="1"/>
        <v>46006</v>
      </c>
      <c r="B6609" s="37" t="str">
        <f t="array" ref="B6609">iferror(xlookup($I6609, 'IMPORT VHC Report'!$E:$E, 'IMPORT VHC Report'!$A:$C), )</f>
        <v/>
      </c>
      <c r="C6609" s="37"/>
      <c r="D6609" s="37"/>
      <c r="E6609" s="38" t="s">
        <v>7829</v>
      </c>
      <c r="F6609" s="38" t="s">
        <v>7830</v>
      </c>
      <c r="G6609" s="38">
        <v>1.1401981299343E13</v>
      </c>
      <c r="H6609" s="38" t="s">
        <v>7831</v>
      </c>
      <c r="I6609" s="38" t="s">
        <v>7832</v>
      </c>
      <c r="J6609" s="38" t="s">
        <v>178</v>
      </c>
      <c r="K6609" s="38" t="s">
        <v>153</v>
      </c>
      <c r="L6609" s="41">
        <v>46008.625</v>
      </c>
      <c r="M6609" s="38" t="s">
        <v>123</v>
      </c>
      <c r="N6609" s="41">
        <v>46008.791666666664</v>
      </c>
      <c r="O6609" s="38" t="s">
        <v>123</v>
      </c>
      <c r="P6609" s="38">
        <v>14400.0</v>
      </c>
      <c r="Q6609" s="38">
        <v>14400.0</v>
      </c>
      <c r="R6609" s="38" t="s">
        <v>7833</v>
      </c>
      <c r="S6609" s="39"/>
      <c r="T6609" s="39"/>
      <c r="U6609" s="39"/>
    </row>
    <row r="6610">
      <c r="A6610" s="40">
        <f t="shared" si="1"/>
        <v>46006</v>
      </c>
      <c r="B6610" s="37" t="str">
        <f t="array" ref="B6610">iferror(xlookup($I6610, 'IMPORT VHC Report'!$E:$E, 'IMPORT VHC Report'!$A:$C), )</f>
        <v/>
      </c>
      <c r="C6610" s="37"/>
      <c r="D6610" s="37"/>
      <c r="E6610" s="38" t="s">
        <v>7834</v>
      </c>
      <c r="F6610" s="38" t="s">
        <v>7830</v>
      </c>
      <c r="G6610" s="38">
        <v>1.1401981299343E13</v>
      </c>
      <c r="H6610" s="38" t="s">
        <v>7831</v>
      </c>
      <c r="I6610" s="38" t="s">
        <v>7832</v>
      </c>
      <c r="J6610" s="38" t="s">
        <v>300</v>
      </c>
      <c r="K6610" s="38" t="s">
        <v>63</v>
      </c>
      <c r="L6610" s="41">
        <v>46008.625</v>
      </c>
      <c r="M6610" s="38" t="s">
        <v>123</v>
      </c>
      <c r="N6610" s="41">
        <v>46009.0</v>
      </c>
      <c r="O6610" s="38" t="s">
        <v>123</v>
      </c>
      <c r="P6610" s="38">
        <v>32400.0</v>
      </c>
      <c r="Q6610" s="39"/>
      <c r="R6610" s="39"/>
      <c r="S6610" s="39"/>
      <c r="T6610" s="39"/>
      <c r="U6610" s="39"/>
    </row>
    <row r="6611">
      <c r="A6611" s="40">
        <f t="shared" si="1"/>
        <v>46006</v>
      </c>
      <c r="B6611" s="37" t="str">
        <f t="array" ref="B6611">iferror(xlookup($I6611, 'IMPORT VHC Report'!$E:$E, 'IMPORT VHC Report'!$A:$C), )</f>
        <v/>
      </c>
      <c r="C6611" s="37"/>
      <c r="D6611" s="37"/>
      <c r="E6611" s="38" t="s">
        <v>7835</v>
      </c>
      <c r="F6611" s="38" t="s">
        <v>7830</v>
      </c>
      <c r="G6611" s="38">
        <v>1.1401981299343E13</v>
      </c>
      <c r="H6611" s="38" t="s">
        <v>7831</v>
      </c>
      <c r="I6611" s="38" t="s">
        <v>7832</v>
      </c>
      <c r="J6611" s="38" t="s">
        <v>134</v>
      </c>
      <c r="K6611" s="38" t="s">
        <v>126</v>
      </c>
      <c r="L6611" s="41">
        <v>46008.739583333336</v>
      </c>
      <c r="M6611" s="38" t="s">
        <v>123</v>
      </c>
      <c r="N6611" s="41">
        <v>46008.75</v>
      </c>
      <c r="O6611" s="38" t="s">
        <v>123</v>
      </c>
      <c r="P6611" s="38">
        <v>900.0</v>
      </c>
      <c r="Q6611" s="39"/>
      <c r="R6611" s="39"/>
      <c r="S6611" s="39"/>
      <c r="T6611" s="39"/>
      <c r="U6611" s="39"/>
    </row>
    <row r="6612">
      <c r="A6612" s="40">
        <f t="shared" si="1"/>
        <v>46006</v>
      </c>
      <c r="B6612" s="37" t="str">
        <f t="array" ref="B6612">iferror(xlookup($I6612, 'IMPORT VHC Report'!$E:$E, 'IMPORT VHC Report'!$A:$C), )</f>
        <v/>
      </c>
      <c r="C6612" s="37"/>
      <c r="D6612" s="37"/>
      <c r="E6612" s="38" t="s">
        <v>7836</v>
      </c>
      <c r="F6612" s="38" t="s">
        <v>7830</v>
      </c>
      <c r="G6612" s="38">
        <v>1.1401981299343E13</v>
      </c>
      <c r="H6612" s="38" t="s">
        <v>7831</v>
      </c>
      <c r="I6612" s="38" t="s">
        <v>7832</v>
      </c>
      <c r="J6612" s="38" t="s">
        <v>132</v>
      </c>
      <c r="K6612" s="38" t="s">
        <v>126</v>
      </c>
      <c r="L6612" s="41">
        <v>46008.791666666664</v>
      </c>
      <c r="M6612" s="38" t="s">
        <v>123</v>
      </c>
      <c r="N6612" s="41">
        <v>46008.833333333336</v>
      </c>
      <c r="O6612" s="38" t="s">
        <v>123</v>
      </c>
      <c r="P6612" s="38">
        <v>3600.0</v>
      </c>
      <c r="Q6612" s="39"/>
      <c r="R6612" s="39"/>
      <c r="S6612" s="39"/>
      <c r="T6612" s="39"/>
      <c r="U6612" s="39"/>
    </row>
    <row r="6613">
      <c r="A6613" s="40">
        <f t="shared" si="1"/>
        <v>46006</v>
      </c>
      <c r="B6613" s="37" t="str">
        <f t="array" ref="B6613">iferror(xlookup($I6613, 'IMPORT VHC Report'!$E:$E, 'IMPORT VHC Report'!$A:$C), )</f>
        <v/>
      </c>
      <c r="C6613" s="37"/>
      <c r="D6613" s="37"/>
      <c r="E6613" s="38" t="s">
        <v>7837</v>
      </c>
      <c r="F6613" s="38" t="s">
        <v>7830</v>
      </c>
      <c r="G6613" s="38">
        <v>1.1401981299343E13</v>
      </c>
      <c r="H6613" s="38" t="s">
        <v>7831</v>
      </c>
      <c r="I6613" s="38" t="s">
        <v>7832</v>
      </c>
      <c r="J6613" s="38" t="s">
        <v>134</v>
      </c>
      <c r="K6613" s="38" t="s">
        <v>126</v>
      </c>
      <c r="L6613" s="41">
        <v>46008.927083333336</v>
      </c>
      <c r="M6613" s="38" t="s">
        <v>123</v>
      </c>
      <c r="N6613" s="41">
        <v>46008.9375</v>
      </c>
      <c r="O6613" s="38" t="s">
        <v>123</v>
      </c>
      <c r="P6613" s="38">
        <v>900.0</v>
      </c>
      <c r="Q6613" s="39"/>
      <c r="R6613" s="39"/>
      <c r="S6613" s="39"/>
      <c r="T6613" s="39"/>
      <c r="U6613" s="39"/>
    </row>
    <row r="6614">
      <c r="A6614" s="40">
        <f t="shared" si="1"/>
        <v>46006</v>
      </c>
      <c r="B6614" s="37" t="str">
        <f t="array" ref="B6614">iferror(xlookup($I6614, 'IMPORT VHC Report'!$E:$E, 'IMPORT VHC Report'!$A:$C), )</f>
        <v/>
      </c>
      <c r="C6614" s="37"/>
      <c r="D6614" s="37"/>
      <c r="E6614" s="38" t="s">
        <v>7838</v>
      </c>
      <c r="F6614" s="38" t="s">
        <v>7830</v>
      </c>
      <c r="G6614" s="38">
        <v>1.1401981299343E13</v>
      </c>
      <c r="H6614" s="38" t="s">
        <v>7831</v>
      </c>
      <c r="I6614" s="38" t="s">
        <v>7832</v>
      </c>
      <c r="J6614" s="38" t="s">
        <v>300</v>
      </c>
      <c r="K6614" s="38" t="s">
        <v>63</v>
      </c>
      <c r="L6614" s="41">
        <v>46009.625</v>
      </c>
      <c r="M6614" s="38" t="s">
        <v>123</v>
      </c>
      <c r="N6614" s="41">
        <v>46010.0</v>
      </c>
      <c r="O6614" s="38" t="s">
        <v>123</v>
      </c>
      <c r="P6614" s="38">
        <v>32400.0</v>
      </c>
      <c r="Q6614" s="39"/>
      <c r="R6614" s="39"/>
      <c r="S6614" s="39"/>
      <c r="T6614" s="39"/>
      <c r="U6614" s="39"/>
    </row>
    <row r="6615">
      <c r="A6615" s="40">
        <f t="shared" si="1"/>
        <v>46006</v>
      </c>
      <c r="B6615" s="37" t="str">
        <f t="array" ref="B6615">iferror(xlookup($I6615, 'IMPORT VHC Report'!$E:$E, 'IMPORT VHC Report'!$A:$C), )</f>
        <v/>
      </c>
      <c r="C6615" s="37"/>
      <c r="D6615" s="37"/>
      <c r="E6615" s="38" t="s">
        <v>7839</v>
      </c>
      <c r="F6615" s="38" t="s">
        <v>7830</v>
      </c>
      <c r="G6615" s="38">
        <v>1.1401981299343E13</v>
      </c>
      <c r="H6615" s="38" t="s">
        <v>7831</v>
      </c>
      <c r="I6615" s="38" t="s">
        <v>7832</v>
      </c>
      <c r="J6615" s="38" t="s">
        <v>134</v>
      </c>
      <c r="K6615" s="38" t="s">
        <v>126</v>
      </c>
      <c r="L6615" s="41">
        <v>46009.729166666664</v>
      </c>
      <c r="M6615" s="38" t="s">
        <v>123</v>
      </c>
      <c r="N6615" s="41">
        <v>46009.739583333336</v>
      </c>
      <c r="O6615" s="38" t="s">
        <v>123</v>
      </c>
      <c r="P6615" s="38">
        <v>900.0</v>
      </c>
      <c r="Q6615" s="39"/>
      <c r="R6615" s="39"/>
      <c r="S6615" s="39"/>
      <c r="T6615" s="39"/>
      <c r="U6615" s="39"/>
    </row>
    <row r="6616">
      <c r="A6616" s="40">
        <f t="shared" si="1"/>
        <v>46006</v>
      </c>
      <c r="B6616" s="37" t="str">
        <f t="array" ref="B6616">iferror(xlookup($I6616, 'IMPORT VHC Report'!$E:$E, 'IMPORT VHC Report'!$A:$C), )</f>
        <v/>
      </c>
      <c r="C6616" s="37"/>
      <c r="D6616" s="37"/>
      <c r="E6616" s="38" t="s">
        <v>7840</v>
      </c>
      <c r="F6616" s="38" t="s">
        <v>7830</v>
      </c>
      <c r="G6616" s="38">
        <v>1.1401981299343E13</v>
      </c>
      <c r="H6616" s="38" t="s">
        <v>7831</v>
      </c>
      <c r="I6616" s="38" t="s">
        <v>7832</v>
      </c>
      <c r="J6616" s="38" t="s">
        <v>134</v>
      </c>
      <c r="K6616" s="38" t="s">
        <v>126</v>
      </c>
      <c r="L6616" s="41">
        <v>46009.833333333336</v>
      </c>
      <c r="M6616" s="38" t="s">
        <v>123</v>
      </c>
      <c r="N6616" s="41">
        <v>46009.84375</v>
      </c>
      <c r="O6616" s="38" t="s">
        <v>123</v>
      </c>
      <c r="P6616" s="38">
        <v>900.0</v>
      </c>
      <c r="Q6616" s="39"/>
      <c r="R6616" s="39"/>
      <c r="S6616" s="39"/>
      <c r="T6616" s="39"/>
      <c r="U6616" s="39"/>
    </row>
    <row r="6617">
      <c r="A6617" s="40">
        <f t="shared" si="1"/>
        <v>46006</v>
      </c>
      <c r="B6617" s="37" t="str">
        <f t="array" ref="B6617">iferror(xlookup($I6617, 'IMPORT VHC Report'!$E:$E, 'IMPORT VHC Report'!$A:$C), )</f>
        <v/>
      </c>
      <c r="C6617" s="37"/>
      <c r="D6617" s="37"/>
      <c r="E6617" s="38" t="s">
        <v>7841</v>
      </c>
      <c r="F6617" s="38" t="s">
        <v>7830</v>
      </c>
      <c r="G6617" s="38">
        <v>1.1401981299343E13</v>
      </c>
      <c r="H6617" s="38" t="s">
        <v>7831</v>
      </c>
      <c r="I6617" s="38" t="s">
        <v>7832</v>
      </c>
      <c r="J6617" s="38" t="s">
        <v>132</v>
      </c>
      <c r="K6617" s="38" t="s">
        <v>126</v>
      </c>
      <c r="L6617" s="41">
        <v>46009.947916666664</v>
      </c>
      <c r="M6617" s="38" t="s">
        <v>123</v>
      </c>
      <c r="N6617" s="41">
        <v>46009.989583333336</v>
      </c>
      <c r="O6617" s="38" t="s">
        <v>123</v>
      </c>
      <c r="P6617" s="38">
        <v>3600.0</v>
      </c>
      <c r="Q6617" s="39"/>
      <c r="R6617" s="39"/>
      <c r="S6617" s="39"/>
      <c r="T6617" s="39"/>
      <c r="U6617" s="39"/>
    </row>
    <row r="6618">
      <c r="A6618" s="40">
        <f t="shared" si="1"/>
        <v>46006</v>
      </c>
      <c r="B6618" s="37" t="str">
        <f t="array" ref="B6618">iferror(xlookup($I6618, 'IMPORT VHC Report'!$E:$E, 'IMPORT VHC Report'!$A:$C), )</f>
        <v/>
      </c>
      <c r="C6618" s="37"/>
      <c r="D6618" s="37"/>
      <c r="E6618" s="38" t="s">
        <v>7842</v>
      </c>
      <c r="F6618" s="38" t="s">
        <v>7830</v>
      </c>
      <c r="G6618" s="38">
        <v>1.1401981299343E13</v>
      </c>
      <c r="H6618" s="38" t="s">
        <v>7831</v>
      </c>
      <c r="I6618" s="38" t="s">
        <v>7832</v>
      </c>
      <c r="J6618" s="38" t="s">
        <v>300</v>
      </c>
      <c r="K6618" s="38" t="s">
        <v>63</v>
      </c>
      <c r="L6618" s="41">
        <v>46010.625</v>
      </c>
      <c r="M6618" s="38" t="s">
        <v>123</v>
      </c>
      <c r="N6618" s="41">
        <v>46011.0</v>
      </c>
      <c r="O6618" s="38" t="s">
        <v>123</v>
      </c>
      <c r="P6618" s="38">
        <v>32400.0</v>
      </c>
      <c r="Q6618" s="39"/>
      <c r="R6618" s="39"/>
      <c r="S6618" s="39"/>
      <c r="T6618" s="39"/>
      <c r="U6618" s="39"/>
    </row>
    <row r="6619">
      <c r="A6619" s="40">
        <f t="shared" si="1"/>
        <v>46006</v>
      </c>
      <c r="B6619" s="37" t="str">
        <f t="array" ref="B6619">iferror(xlookup($I6619, 'IMPORT VHC Report'!$E:$E, 'IMPORT VHC Report'!$A:$C), )</f>
        <v/>
      </c>
      <c r="C6619" s="37"/>
      <c r="D6619" s="37"/>
      <c r="E6619" s="38" t="s">
        <v>7843</v>
      </c>
      <c r="F6619" s="38" t="s">
        <v>7830</v>
      </c>
      <c r="G6619" s="38">
        <v>1.1401981299343E13</v>
      </c>
      <c r="H6619" s="38" t="s">
        <v>7831</v>
      </c>
      <c r="I6619" s="38" t="s">
        <v>7832</v>
      </c>
      <c r="J6619" s="38" t="s">
        <v>134</v>
      </c>
      <c r="K6619" s="38" t="s">
        <v>126</v>
      </c>
      <c r="L6619" s="41">
        <v>46010.71875</v>
      </c>
      <c r="M6619" s="38" t="s">
        <v>123</v>
      </c>
      <c r="N6619" s="41">
        <v>46010.729166666664</v>
      </c>
      <c r="O6619" s="38" t="s">
        <v>123</v>
      </c>
      <c r="P6619" s="38">
        <v>900.0</v>
      </c>
      <c r="Q6619" s="39"/>
      <c r="R6619" s="39"/>
      <c r="S6619" s="39"/>
      <c r="T6619" s="39"/>
      <c r="U6619" s="39"/>
    </row>
    <row r="6620">
      <c r="A6620" s="40">
        <f t="shared" si="1"/>
        <v>46006</v>
      </c>
      <c r="B6620" s="37" t="str">
        <f t="array" ref="B6620">iferror(xlookup($I6620, 'IMPORT VHC Report'!$E:$E, 'IMPORT VHC Report'!$A:$C), )</f>
        <v/>
      </c>
      <c r="C6620" s="37"/>
      <c r="D6620" s="37"/>
      <c r="E6620" s="38" t="s">
        <v>7844</v>
      </c>
      <c r="F6620" s="38" t="s">
        <v>7830</v>
      </c>
      <c r="G6620" s="38">
        <v>1.1401981299343E13</v>
      </c>
      <c r="H6620" s="38" t="s">
        <v>7831</v>
      </c>
      <c r="I6620" s="38" t="s">
        <v>7832</v>
      </c>
      <c r="J6620" s="38" t="s">
        <v>134</v>
      </c>
      <c r="K6620" s="38" t="s">
        <v>126</v>
      </c>
      <c r="L6620" s="41">
        <v>46010.78125</v>
      </c>
      <c r="M6620" s="38" t="s">
        <v>123</v>
      </c>
      <c r="N6620" s="41">
        <v>46010.791666666664</v>
      </c>
      <c r="O6620" s="38" t="s">
        <v>123</v>
      </c>
      <c r="P6620" s="38">
        <v>900.0</v>
      </c>
      <c r="Q6620" s="39"/>
      <c r="R6620" s="39"/>
      <c r="S6620" s="39"/>
      <c r="T6620" s="39"/>
      <c r="U6620" s="39"/>
    </row>
    <row r="6621">
      <c r="A6621" s="40">
        <f t="shared" si="1"/>
        <v>46006</v>
      </c>
      <c r="B6621" s="37" t="str">
        <f t="array" ref="B6621">iferror(xlookup($I6621, 'IMPORT VHC Report'!$E:$E, 'IMPORT VHC Report'!$A:$C), )</f>
        <v/>
      </c>
      <c r="C6621" s="37"/>
      <c r="D6621" s="37"/>
      <c r="E6621" s="38" t="s">
        <v>7845</v>
      </c>
      <c r="F6621" s="38" t="s">
        <v>7830</v>
      </c>
      <c r="G6621" s="38">
        <v>1.1401981299343E13</v>
      </c>
      <c r="H6621" s="38" t="s">
        <v>7831</v>
      </c>
      <c r="I6621" s="38" t="s">
        <v>7832</v>
      </c>
      <c r="J6621" s="38" t="s">
        <v>132</v>
      </c>
      <c r="K6621" s="38" t="s">
        <v>126</v>
      </c>
      <c r="L6621" s="41">
        <v>46010.8125</v>
      </c>
      <c r="M6621" s="38" t="s">
        <v>123</v>
      </c>
      <c r="N6621" s="41">
        <v>46010.854166666664</v>
      </c>
      <c r="O6621" s="38" t="s">
        <v>123</v>
      </c>
      <c r="P6621" s="38">
        <v>3600.0</v>
      </c>
      <c r="Q6621" s="39"/>
      <c r="R6621" s="39"/>
      <c r="S6621" s="39"/>
      <c r="T6621" s="39"/>
      <c r="U6621" s="39"/>
    </row>
    <row r="6622">
      <c r="A6622" s="40">
        <f t="shared" si="1"/>
        <v>46006</v>
      </c>
      <c r="B6622" s="37" t="str">
        <f t="array" ref="B6622">iferror(xlookup($I6622, 'IMPORT VHC Report'!$E:$E, 'IMPORT VHC Report'!$A:$C), )</f>
        <v/>
      </c>
      <c r="C6622" s="37"/>
      <c r="D6622" s="37"/>
      <c r="E6622" s="38" t="s">
        <v>7846</v>
      </c>
      <c r="F6622" s="38" t="s">
        <v>7830</v>
      </c>
      <c r="G6622" s="38">
        <v>1.1401981299343E13</v>
      </c>
      <c r="H6622" s="38" t="s">
        <v>7831</v>
      </c>
      <c r="I6622" s="38" t="s">
        <v>7832</v>
      </c>
      <c r="J6622" s="38" t="s">
        <v>300</v>
      </c>
      <c r="K6622" s="38" t="s">
        <v>63</v>
      </c>
      <c r="L6622" s="41">
        <v>46011.625</v>
      </c>
      <c r="M6622" s="38" t="s">
        <v>123</v>
      </c>
      <c r="N6622" s="41">
        <v>46012.0</v>
      </c>
      <c r="O6622" s="38" t="s">
        <v>123</v>
      </c>
      <c r="P6622" s="38">
        <v>32400.0</v>
      </c>
      <c r="Q6622" s="39"/>
      <c r="R6622" s="39"/>
      <c r="S6622" s="39"/>
      <c r="T6622" s="39"/>
      <c r="U6622" s="39"/>
    </row>
    <row r="6623">
      <c r="A6623" s="40">
        <f t="shared" si="1"/>
        <v>46006</v>
      </c>
      <c r="B6623" s="37" t="str">
        <f t="array" ref="B6623">iferror(xlookup($I6623, 'IMPORT VHC Report'!$E:$E, 'IMPORT VHC Report'!$A:$C), )</f>
        <v/>
      </c>
      <c r="C6623" s="37"/>
      <c r="D6623" s="37"/>
      <c r="E6623" s="38" t="s">
        <v>7847</v>
      </c>
      <c r="F6623" s="38" t="s">
        <v>7830</v>
      </c>
      <c r="G6623" s="38">
        <v>1.1401981299343E13</v>
      </c>
      <c r="H6623" s="38" t="s">
        <v>7831</v>
      </c>
      <c r="I6623" s="38" t="s">
        <v>7832</v>
      </c>
      <c r="J6623" s="38" t="s">
        <v>134</v>
      </c>
      <c r="K6623" s="38" t="s">
        <v>126</v>
      </c>
      <c r="L6623" s="41">
        <v>46011.71875</v>
      </c>
      <c r="M6623" s="38" t="s">
        <v>123</v>
      </c>
      <c r="N6623" s="41">
        <v>46011.729166666664</v>
      </c>
      <c r="O6623" s="38" t="s">
        <v>123</v>
      </c>
      <c r="P6623" s="38">
        <v>900.0</v>
      </c>
      <c r="Q6623" s="39"/>
      <c r="R6623" s="39"/>
      <c r="S6623" s="39"/>
      <c r="T6623" s="39"/>
      <c r="U6623" s="39"/>
    </row>
    <row r="6624">
      <c r="A6624" s="40">
        <f t="shared" si="1"/>
        <v>46006</v>
      </c>
      <c r="B6624" s="37" t="str">
        <f t="array" ref="B6624">iferror(xlookup($I6624, 'IMPORT VHC Report'!$E:$E, 'IMPORT VHC Report'!$A:$C), )</f>
        <v/>
      </c>
      <c r="C6624" s="37"/>
      <c r="D6624" s="37"/>
      <c r="E6624" s="38" t="s">
        <v>7848</v>
      </c>
      <c r="F6624" s="38" t="s">
        <v>7830</v>
      </c>
      <c r="G6624" s="38">
        <v>1.1401981299343E13</v>
      </c>
      <c r="H6624" s="38" t="s">
        <v>7831</v>
      </c>
      <c r="I6624" s="38" t="s">
        <v>7832</v>
      </c>
      <c r="J6624" s="38" t="s">
        <v>132</v>
      </c>
      <c r="K6624" s="38" t="s">
        <v>126</v>
      </c>
      <c r="L6624" s="41">
        <v>46011.8125</v>
      </c>
      <c r="M6624" s="38" t="s">
        <v>123</v>
      </c>
      <c r="N6624" s="41">
        <v>46011.854166666664</v>
      </c>
      <c r="O6624" s="38" t="s">
        <v>123</v>
      </c>
      <c r="P6624" s="38">
        <v>3600.0</v>
      </c>
      <c r="Q6624" s="39"/>
      <c r="R6624" s="39"/>
      <c r="S6624" s="39"/>
      <c r="T6624" s="39"/>
      <c r="U6624" s="39"/>
    </row>
    <row r="6625">
      <c r="A6625" s="40">
        <f t="shared" si="1"/>
        <v>46006</v>
      </c>
      <c r="B6625" s="37" t="str">
        <f t="array" ref="B6625">iferror(xlookup($I6625, 'IMPORT VHC Report'!$E:$E, 'IMPORT VHC Report'!$A:$C), )</f>
        <v/>
      </c>
      <c r="C6625" s="37"/>
      <c r="D6625" s="37"/>
      <c r="E6625" s="38" t="s">
        <v>7849</v>
      </c>
      <c r="F6625" s="38" t="s">
        <v>7830</v>
      </c>
      <c r="G6625" s="38">
        <v>1.1401981299343E13</v>
      </c>
      <c r="H6625" s="38" t="s">
        <v>7831</v>
      </c>
      <c r="I6625" s="38" t="s">
        <v>7832</v>
      </c>
      <c r="J6625" s="38" t="s">
        <v>134</v>
      </c>
      <c r="K6625" s="38" t="s">
        <v>126</v>
      </c>
      <c r="L6625" s="41">
        <v>46011.875</v>
      </c>
      <c r="M6625" s="38" t="s">
        <v>123</v>
      </c>
      <c r="N6625" s="41">
        <v>46011.885416666664</v>
      </c>
      <c r="O6625" s="38" t="s">
        <v>123</v>
      </c>
      <c r="P6625" s="38">
        <v>900.0</v>
      </c>
      <c r="Q6625" s="39"/>
      <c r="R6625" s="39"/>
      <c r="S6625" s="39"/>
      <c r="T6625" s="39"/>
      <c r="U6625" s="39"/>
    </row>
    <row r="6626">
      <c r="A6626" s="40">
        <f t="shared" si="1"/>
        <v>46006</v>
      </c>
      <c r="B6626" s="37" t="str">
        <f t="array" ref="B6626">iferror(xlookup($I6626, 'IMPORT VHC Report'!$E:$E, 'IMPORT VHC Report'!$A:$C), )</f>
        <v/>
      </c>
      <c r="C6626" s="37"/>
      <c r="D6626" s="37"/>
      <c r="E6626" s="38" t="s">
        <v>7850</v>
      </c>
      <c r="F6626" s="38" t="s">
        <v>7830</v>
      </c>
      <c r="G6626" s="38">
        <v>1.1401981299343E13</v>
      </c>
      <c r="H6626" s="38" t="s">
        <v>7831</v>
      </c>
      <c r="I6626" s="38" t="s">
        <v>7832</v>
      </c>
      <c r="J6626" s="38" t="s">
        <v>4</v>
      </c>
      <c r="K6626" s="38" t="s">
        <v>126</v>
      </c>
      <c r="L6626" s="41">
        <v>46012.625</v>
      </c>
      <c r="M6626" s="38" t="s">
        <v>123</v>
      </c>
      <c r="N6626" s="41">
        <v>46012.666666666664</v>
      </c>
      <c r="O6626" s="38" t="s">
        <v>123</v>
      </c>
      <c r="P6626" s="38">
        <v>3600.0</v>
      </c>
      <c r="Q6626" s="39"/>
      <c r="R6626" s="39"/>
      <c r="S6626" s="38" t="s">
        <v>305</v>
      </c>
      <c r="T6626" s="39"/>
      <c r="U6626" s="39"/>
    </row>
    <row r="6627">
      <c r="A6627" s="40">
        <f t="shared" si="1"/>
        <v>46006</v>
      </c>
      <c r="B6627" s="37" t="str">
        <f t="array" ref="B6627">iferror(xlookup($I6627, 'IMPORT VHC Report'!$E:$E, 'IMPORT VHC Report'!$A:$C), )</f>
        <v/>
      </c>
      <c r="C6627" s="37"/>
      <c r="D6627" s="37"/>
      <c r="E6627" s="38" t="s">
        <v>7851</v>
      </c>
      <c r="F6627" s="38" t="s">
        <v>7830</v>
      </c>
      <c r="G6627" s="38">
        <v>1.1401981299343E13</v>
      </c>
      <c r="H6627" s="38" t="s">
        <v>7831</v>
      </c>
      <c r="I6627" s="38" t="s">
        <v>7832</v>
      </c>
      <c r="J6627" s="38" t="s">
        <v>300</v>
      </c>
      <c r="K6627" s="38" t="s">
        <v>63</v>
      </c>
      <c r="L6627" s="41">
        <v>46012.625</v>
      </c>
      <c r="M6627" s="38" t="s">
        <v>123</v>
      </c>
      <c r="N6627" s="41">
        <v>46013.0</v>
      </c>
      <c r="O6627" s="38" t="s">
        <v>123</v>
      </c>
      <c r="P6627" s="38">
        <v>32400.0</v>
      </c>
      <c r="Q6627" s="39"/>
      <c r="R6627" s="39"/>
      <c r="S6627" s="39"/>
      <c r="T6627" s="39"/>
      <c r="U6627" s="39"/>
    </row>
    <row r="6628">
      <c r="A6628" s="40">
        <f t="shared" si="1"/>
        <v>46006</v>
      </c>
      <c r="B6628" s="37" t="str">
        <f t="array" ref="B6628">iferror(xlookup($I6628, 'IMPORT VHC Report'!$E:$E, 'IMPORT VHC Report'!$A:$C), )</f>
        <v/>
      </c>
      <c r="C6628" s="37"/>
      <c r="D6628" s="37"/>
      <c r="E6628" s="38" t="s">
        <v>7852</v>
      </c>
      <c r="F6628" s="38" t="s">
        <v>7830</v>
      </c>
      <c r="G6628" s="38">
        <v>1.1401981299343E13</v>
      </c>
      <c r="H6628" s="38" t="s">
        <v>7831</v>
      </c>
      <c r="I6628" s="38" t="s">
        <v>7832</v>
      </c>
      <c r="J6628" s="38" t="s">
        <v>134</v>
      </c>
      <c r="K6628" s="38" t="s">
        <v>126</v>
      </c>
      <c r="L6628" s="41">
        <v>46012.71875</v>
      </c>
      <c r="M6628" s="38" t="s">
        <v>123</v>
      </c>
      <c r="N6628" s="41">
        <v>46012.729166666664</v>
      </c>
      <c r="O6628" s="38" t="s">
        <v>123</v>
      </c>
      <c r="P6628" s="38">
        <v>900.0</v>
      </c>
      <c r="Q6628" s="39"/>
      <c r="R6628" s="39"/>
      <c r="S6628" s="39"/>
      <c r="T6628" s="39"/>
      <c r="U6628" s="39"/>
    </row>
    <row r="6629">
      <c r="A6629" s="40">
        <f t="shared" si="1"/>
        <v>46006</v>
      </c>
      <c r="B6629" s="37" t="str">
        <f t="array" ref="B6629">iferror(xlookup($I6629, 'IMPORT VHC Report'!$E:$E, 'IMPORT VHC Report'!$A:$C), )</f>
        <v/>
      </c>
      <c r="C6629" s="37"/>
      <c r="D6629" s="37"/>
      <c r="E6629" s="38" t="s">
        <v>7853</v>
      </c>
      <c r="F6629" s="38" t="s">
        <v>7830</v>
      </c>
      <c r="G6629" s="38">
        <v>1.1401981299343E13</v>
      </c>
      <c r="H6629" s="38" t="s">
        <v>7831</v>
      </c>
      <c r="I6629" s="38" t="s">
        <v>7832</v>
      </c>
      <c r="J6629" s="38" t="s">
        <v>134</v>
      </c>
      <c r="K6629" s="38" t="s">
        <v>126</v>
      </c>
      <c r="L6629" s="41">
        <v>46012.8125</v>
      </c>
      <c r="M6629" s="38" t="s">
        <v>123</v>
      </c>
      <c r="N6629" s="41">
        <v>46012.822916666664</v>
      </c>
      <c r="O6629" s="38" t="s">
        <v>123</v>
      </c>
      <c r="P6629" s="38">
        <v>900.0</v>
      </c>
      <c r="Q6629" s="39"/>
      <c r="R6629" s="39"/>
      <c r="S6629" s="39"/>
      <c r="T6629" s="39"/>
      <c r="U6629" s="39"/>
    </row>
    <row r="6630">
      <c r="A6630" s="40">
        <f t="shared" si="1"/>
        <v>46006</v>
      </c>
      <c r="B6630" s="37" t="str">
        <f t="array" ref="B6630">iferror(xlookup($I6630, 'IMPORT VHC Report'!$E:$E, 'IMPORT VHC Report'!$A:$C), )</f>
        <v/>
      </c>
      <c r="C6630" s="37"/>
      <c r="D6630" s="37"/>
      <c r="E6630" s="38" t="s">
        <v>7854</v>
      </c>
      <c r="F6630" s="38" t="s">
        <v>7830</v>
      </c>
      <c r="G6630" s="38">
        <v>1.1401981299343E13</v>
      </c>
      <c r="H6630" s="38" t="s">
        <v>7831</v>
      </c>
      <c r="I6630" s="38" t="s">
        <v>7832</v>
      </c>
      <c r="J6630" s="38" t="s">
        <v>132</v>
      </c>
      <c r="K6630" s="38" t="s">
        <v>126</v>
      </c>
      <c r="L6630" s="41">
        <v>46012.90625</v>
      </c>
      <c r="M6630" s="38" t="s">
        <v>123</v>
      </c>
      <c r="N6630" s="41">
        <v>46012.947916666664</v>
      </c>
      <c r="O6630" s="38" t="s">
        <v>123</v>
      </c>
      <c r="P6630" s="38">
        <v>3600.0</v>
      </c>
      <c r="Q6630" s="39"/>
      <c r="R6630" s="39"/>
      <c r="S6630" s="39"/>
      <c r="T6630" s="39"/>
      <c r="U6630" s="39"/>
    </row>
    <row r="6631">
      <c r="A6631" s="40">
        <f t="shared" si="1"/>
        <v>46006</v>
      </c>
      <c r="B6631" s="37" t="str">
        <f t="array" ref="B6631">iferror(xlookup($I6631, 'IMPORT VHC Report'!$E:$E, 'IMPORT VHC Report'!$A:$C), )</f>
        <v/>
      </c>
      <c r="C6631" s="37"/>
      <c r="D6631" s="37"/>
      <c r="E6631" s="38" t="s">
        <v>7855</v>
      </c>
      <c r="F6631" s="38" t="s">
        <v>7856</v>
      </c>
      <c r="G6631" s="38">
        <v>5.359144633743E12</v>
      </c>
      <c r="H6631" s="38" t="s">
        <v>7857</v>
      </c>
      <c r="I6631" s="38" t="s">
        <v>7858</v>
      </c>
      <c r="J6631" s="38" t="s">
        <v>161</v>
      </c>
      <c r="K6631" s="38" t="s">
        <v>63</v>
      </c>
      <c r="L6631" s="41">
        <v>46008.625</v>
      </c>
      <c r="M6631" s="38" t="s">
        <v>123</v>
      </c>
      <c r="N6631" s="41">
        <v>46009.0</v>
      </c>
      <c r="O6631" s="38" t="s">
        <v>123</v>
      </c>
      <c r="P6631" s="38">
        <v>32400.0</v>
      </c>
      <c r="Q6631" s="39"/>
      <c r="R6631" s="39"/>
      <c r="S6631" s="39"/>
      <c r="T6631" s="39"/>
      <c r="U6631" s="39"/>
    </row>
    <row r="6632">
      <c r="A6632" s="40">
        <f t="shared" si="1"/>
        <v>46006</v>
      </c>
      <c r="B6632" s="37" t="str">
        <f t="array" ref="B6632">iferror(xlookup($I6632, 'IMPORT VHC Report'!$E:$E, 'IMPORT VHC Report'!$A:$C), )</f>
        <v/>
      </c>
      <c r="C6632" s="37"/>
      <c r="D6632" s="37"/>
      <c r="E6632" s="38" t="s">
        <v>7859</v>
      </c>
      <c r="F6632" s="38" t="s">
        <v>7856</v>
      </c>
      <c r="G6632" s="38">
        <v>5.359144633743E12</v>
      </c>
      <c r="H6632" s="38" t="s">
        <v>7857</v>
      </c>
      <c r="I6632" s="38" t="s">
        <v>7858</v>
      </c>
      <c r="J6632" s="38" t="s">
        <v>134</v>
      </c>
      <c r="K6632" s="38" t="s">
        <v>126</v>
      </c>
      <c r="L6632" s="41">
        <v>46008.6875</v>
      </c>
      <c r="M6632" s="38" t="s">
        <v>123</v>
      </c>
      <c r="N6632" s="41">
        <v>46008.697916666664</v>
      </c>
      <c r="O6632" s="38" t="s">
        <v>123</v>
      </c>
      <c r="P6632" s="38">
        <v>900.0</v>
      </c>
      <c r="Q6632" s="39"/>
      <c r="R6632" s="39"/>
      <c r="S6632" s="39"/>
      <c r="T6632" s="39"/>
      <c r="U6632" s="39"/>
    </row>
    <row r="6633">
      <c r="A6633" s="40">
        <f t="shared" si="1"/>
        <v>46006</v>
      </c>
      <c r="B6633" s="37" t="str">
        <f t="array" ref="B6633">iferror(xlookup($I6633, 'IMPORT VHC Report'!$E:$E, 'IMPORT VHC Report'!$A:$C), )</f>
        <v/>
      </c>
      <c r="C6633" s="37"/>
      <c r="D6633" s="37"/>
      <c r="E6633" s="38" t="s">
        <v>7860</v>
      </c>
      <c r="F6633" s="38" t="s">
        <v>7856</v>
      </c>
      <c r="G6633" s="38">
        <v>5.359144633743E12</v>
      </c>
      <c r="H6633" s="38" t="s">
        <v>7857</v>
      </c>
      <c r="I6633" s="38" t="s">
        <v>7858</v>
      </c>
      <c r="J6633" s="38" t="s">
        <v>4</v>
      </c>
      <c r="K6633" s="38" t="s">
        <v>126</v>
      </c>
      <c r="L6633" s="41">
        <v>46008.833333333336</v>
      </c>
      <c r="M6633" s="38" t="s">
        <v>123</v>
      </c>
      <c r="N6633" s="41">
        <v>46008.875</v>
      </c>
      <c r="O6633" s="38" t="s">
        <v>123</v>
      </c>
      <c r="P6633" s="38">
        <v>3600.0</v>
      </c>
      <c r="Q6633" s="39"/>
      <c r="R6633" s="39"/>
      <c r="S6633" s="38" t="s">
        <v>170</v>
      </c>
      <c r="T6633" s="39"/>
      <c r="U6633" s="39"/>
    </row>
    <row r="6634">
      <c r="A6634" s="40">
        <f t="shared" si="1"/>
        <v>46006</v>
      </c>
      <c r="B6634" s="37" t="str">
        <f t="array" ref="B6634">iferror(xlookup($I6634, 'IMPORT VHC Report'!$E:$E, 'IMPORT VHC Report'!$A:$C), )</f>
        <v/>
      </c>
      <c r="C6634" s="37"/>
      <c r="D6634" s="37"/>
      <c r="E6634" s="38" t="s">
        <v>7861</v>
      </c>
      <c r="F6634" s="38" t="s">
        <v>7856</v>
      </c>
      <c r="G6634" s="38">
        <v>5.359144633743E12</v>
      </c>
      <c r="H6634" s="38" t="s">
        <v>7857</v>
      </c>
      <c r="I6634" s="38" t="s">
        <v>7858</v>
      </c>
      <c r="J6634" s="38" t="s">
        <v>132</v>
      </c>
      <c r="K6634" s="38" t="s">
        <v>126</v>
      </c>
      <c r="L6634" s="41">
        <v>46008.875</v>
      </c>
      <c r="M6634" s="38" t="s">
        <v>123</v>
      </c>
      <c r="N6634" s="41">
        <v>46008.916666666664</v>
      </c>
      <c r="O6634" s="38" t="s">
        <v>123</v>
      </c>
      <c r="P6634" s="38">
        <v>3600.0</v>
      </c>
      <c r="Q6634" s="39"/>
      <c r="R6634" s="39"/>
      <c r="S6634" s="39"/>
      <c r="T6634" s="39"/>
      <c r="U6634" s="39"/>
    </row>
    <row r="6635">
      <c r="A6635" s="40">
        <f t="shared" si="1"/>
        <v>46006</v>
      </c>
      <c r="B6635" s="37" t="str">
        <f t="array" ref="B6635">iferror(xlookup($I6635, 'IMPORT VHC Report'!$E:$E, 'IMPORT VHC Report'!$A:$C), )</f>
        <v/>
      </c>
      <c r="C6635" s="37"/>
      <c r="D6635" s="37"/>
      <c r="E6635" s="38" t="s">
        <v>7862</v>
      </c>
      <c r="F6635" s="38" t="s">
        <v>7856</v>
      </c>
      <c r="G6635" s="38">
        <v>5.359144633743E12</v>
      </c>
      <c r="H6635" s="38" t="s">
        <v>7857</v>
      </c>
      <c r="I6635" s="38" t="s">
        <v>7858</v>
      </c>
      <c r="J6635" s="38" t="s">
        <v>134</v>
      </c>
      <c r="K6635" s="38" t="s">
        <v>126</v>
      </c>
      <c r="L6635" s="41">
        <v>46008.947916666664</v>
      </c>
      <c r="M6635" s="38" t="s">
        <v>123</v>
      </c>
      <c r="N6635" s="41">
        <v>46008.958333333336</v>
      </c>
      <c r="O6635" s="38" t="s">
        <v>123</v>
      </c>
      <c r="P6635" s="38">
        <v>900.0</v>
      </c>
      <c r="Q6635" s="39"/>
      <c r="R6635" s="39"/>
      <c r="S6635" s="39"/>
      <c r="T6635" s="39"/>
      <c r="U6635" s="39"/>
    </row>
    <row r="6636">
      <c r="A6636" s="40">
        <f t="shared" si="1"/>
        <v>46006</v>
      </c>
      <c r="B6636" s="37" t="str">
        <f t="array" ref="B6636">iferror(xlookup($I6636, 'IMPORT VHC Report'!$E:$E, 'IMPORT VHC Report'!$A:$C), )</f>
        <v/>
      </c>
      <c r="C6636" s="37"/>
      <c r="D6636" s="37"/>
      <c r="E6636" s="38" t="s">
        <v>7863</v>
      </c>
      <c r="F6636" s="38" t="s">
        <v>7856</v>
      </c>
      <c r="G6636" s="38">
        <v>5.359144633743E12</v>
      </c>
      <c r="H6636" s="38" t="s">
        <v>7857</v>
      </c>
      <c r="I6636" s="38" t="s">
        <v>7858</v>
      </c>
      <c r="J6636" s="38" t="s">
        <v>161</v>
      </c>
      <c r="K6636" s="38" t="s">
        <v>63</v>
      </c>
      <c r="L6636" s="41">
        <v>46009.625</v>
      </c>
      <c r="M6636" s="38" t="s">
        <v>123</v>
      </c>
      <c r="N6636" s="41">
        <v>46010.0</v>
      </c>
      <c r="O6636" s="38" t="s">
        <v>123</v>
      </c>
      <c r="P6636" s="38">
        <v>32400.0</v>
      </c>
      <c r="Q6636" s="39"/>
      <c r="R6636" s="39"/>
      <c r="S6636" s="39"/>
      <c r="T6636" s="39"/>
      <c r="U6636" s="39"/>
    </row>
    <row r="6637">
      <c r="A6637" s="40">
        <f t="shared" si="1"/>
        <v>46006</v>
      </c>
      <c r="B6637" s="37" t="str">
        <f t="array" ref="B6637">iferror(xlookup($I6637, 'IMPORT VHC Report'!$E:$E, 'IMPORT VHC Report'!$A:$C), )</f>
        <v/>
      </c>
      <c r="C6637" s="37"/>
      <c r="D6637" s="37"/>
      <c r="E6637" s="38" t="s">
        <v>7864</v>
      </c>
      <c r="F6637" s="38" t="s">
        <v>7856</v>
      </c>
      <c r="G6637" s="38">
        <v>5.359144633743E12</v>
      </c>
      <c r="H6637" s="38" t="s">
        <v>7857</v>
      </c>
      <c r="I6637" s="38" t="s">
        <v>7858</v>
      </c>
      <c r="J6637" s="38" t="s">
        <v>134</v>
      </c>
      <c r="K6637" s="38" t="s">
        <v>126</v>
      </c>
      <c r="L6637" s="41">
        <v>46009.729166666664</v>
      </c>
      <c r="M6637" s="38" t="s">
        <v>123</v>
      </c>
      <c r="N6637" s="41">
        <v>46009.739583333336</v>
      </c>
      <c r="O6637" s="38" t="s">
        <v>123</v>
      </c>
      <c r="P6637" s="38">
        <v>900.0</v>
      </c>
      <c r="Q6637" s="39"/>
      <c r="R6637" s="39"/>
      <c r="S6637" s="39"/>
      <c r="T6637" s="39"/>
      <c r="U6637" s="39"/>
    </row>
    <row r="6638">
      <c r="A6638" s="40">
        <f t="shared" si="1"/>
        <v>46006</v>
      </c>
      <c r="B6638" s="37" t="str">
        <f t="array" ref="B6638">iferror(xlookup($I6638, 'IMPORT VHC Report'!$E:$E, 'IMPORT VHC Report'!$A:$C), )</f>
        <v/>
      </c>
      <c r="C6638" s="37"/>
      <c r="D6638" s="37"/>
      <c r="E6638" s="38" t="s">
        <v>7865</v>
      </c>
      <c r="F6638" s="38" t="s">
        <v>7856</v>
      </c>
      <c r="G6638" s="38">
        <v>5.359144633743E12</v>
      </c>
      <c r="H6638" s="38" t="s">
        <v>7857</v>
      </c>
      <c r="I6638" s="38" t="s">
        <v>7858</v>
      </c>
      <c r="J6638" s="38" t="s">
        <v>132</v>
      </c>
      <c r="K6638" s="38" t="s">
        <v>126</v>
      </c>
      <c r="L6638" s="41">
        <v>46009.854166666664</v>
      </c>
      <c r="M6638" s="38" t="s">
        <v>123</v>
      </c>
      <c r="N6638" s="41">
        <v>46009.895833333336</v>
      </c>
      <c r="O6638" s="38" t="s">
        <v>123</v>
      </c>
      <c r="P6638" s="38">
        <v>3600.0</v>
      </c>
      <c r="Q6638" s="39"/>
      <c r="R6638" s="39"/>
      <c r="S6638" s="39"/>
      <c r="T6638" s="39"/>
      <c r="U6638" s="39"/>
    </row>
    <row r="6639">
      <c r="A6639" s="40">
        <f t="shared" si="1"/>
        <v>46006</v>
      </c>
      <c r="B6639" s="37" t="str">
        <f t="array" ref="B6639">iferror(xlookup($I6639, 'IMPORT VHC Report'!$E:$E, 'IMPORT VHC Report'!$A:$C), )</f>
        <v/>
      </c>
      <c r="C6639" s="37"/>
      <c r="D6639" s="37"/>
      <c r="E6639" s="38" t="s">
        <v>7866</v>
      </c>
      <c r="F6639" s="38" t="s">
        <v>7856</v>
      </c>
      <c r="G6639" s="38">
        <v>5.359144633743E12</v>
      </c>
      <c r="H6639" s="38" t="s">
        <v>7857</v>
      </c>
      <c r="I6639" s="38" t="s">
        <v>7858</v>
      </c>
      <c r="J6639" s="38" t="s">
        <v>134</v>
      </c>
      <c r="K6639" s="38" t="s">
        <v>126</v>
      </c>
      <c r="L6639" s="41">
        <v>46009.9375</v>
      </c>
      <c r="M6639" s="38" t="s">
        <v>123</v>
      </c>
      <c r="N6639" s="41">
        <v>46009.947916666664</v>
      </c>
      <c r="O6639" s="38" t="s">
        <v>123</v>
      </c>
      <c r="P6639" s="38">
        <v>900.0</v>
      </c>
      <c r="Q6639" s="39"/>
      <c r="R6639" s="39"/>
      <c r="S6639" s="39"/>
      <c r="T6639" s="39"/>
      <c r="U6639" s="39"/>
    </row>
    <row r="6640">
      <c r="A6640" s="40">
        <f t="shared" si="1"/>
        <v>46006</v>
      </c>
      <c r="B6640" s="37" t="str">
        <f t="array" ref="B6640">iferror(xlookup($I6640, 'IMPORT VHC Report'!$E:$E, 'IMPORT VHC Report'!$A:$C), )</f>
        <v/>
      </c>
      <c r="C6640" s="37"/>
      <c r="D6640" s="37"/>
      <c r="E6640" s="38" t="s">
        <v>7867</v>
      </c>
      <c r="F6640" s="38" t="s">
        <v>7856</v>
      </c>
      <c r="G6640" s="38">
        <v>5.359144633743E12</v>
      </c>
      <c r="H6640" s="38" t="s">
        <v>7857</v>
      </c>
      <c r="I6640" s="38" t="s">
        <v>7858</v>
      </c>
      <c r="J6640" s="38" t="s">
        <v>134</v>
      </c>
      <c r="K6640" s="38" t="s">
        <v>126</v>
      </c>
      <c r="L6640" s="41">
        <v>46010.625</v>
      </c>
      <c r="M6640" s="38" t="s">
        <v>123</v>
      </c>
      <c r="N6640" s="41">
        <v>46010.645833333336</v>
      </c>
      <c r="O6640" s="38" t="s">
        <v>123</v>
      </c>
      <c r="P6640" s="38">
        <v>1800.0</v>
      </c>
      <c r="Q6640" s="39"/>
      <c r="R6640" s="39"/>
      <c r="S6640" s="39"/>
      <c r="T6640" s="39"/>
      <c r="U6640" s="39"/>
    </row>
    <row r="6641">
      <c r="A6641" s="40">
        <f t="shared" si="1"/>
        <v>46006</v>
      </c>
      <c r="B6641" s="37" t="str">
        <f t="array" ref="B6641">iferror(xlookup($I6641, 'IMPORT VHC Report'!$E:$E, 'IMPORT VHC Report'!$A:$C), )</f>
        <v/>
      </c>
      <c r="C6641" s="37"/>
      <c r="D6641" s="37"/>
      <c r="E6641" s="38" t="s">
        <v>7868</v>
      </c>
      <c r="F6641" s="38" t="s">
        <v>7856</v>
      </c>
      <c r="G6641" s="38">
        <v>5.359144633743E12</v>
      </c>
      <c r="H6641" s="38" t="s">
        <v>7857</v>
      </c>
      <c r="I6641" s="38" t="s">
        <v>7858</v>
      </c>
      <c r="J6641" s="38" t="s">
        <v>161</v>
      </c>
      <c r="K6641" s="38" t="s">
        <v>63</v>
      </c>
      <c r="L6641" s="41">
        <v>46010.625</v>
      </c>
      <c r="M6641" s="38" t="s">
        <v>123</v>
      </c>
      <c r="N6641" s="41">
        <v>46011.0</v>
      </c>
      <c r="O6641" s="38" t="s">
        <v>123</v>
      </c>
      <c r="P6641" s="38">
        <v>32400.0</v>
      </c>
      <c r="Q6641" s="39"/>
      <c r="R6641" s="39"/>
      <c r="S6641" s="39"/>
      <c r="T6641" s="39"/>
      <c r="U6641" s="39"/>
    </row>
    <row r="6642">
      <c r="A6642" s="40">
        <f t="shared" si="1"/>
        <v>46006</v>
      </c>
      <c r="B6642" s="37" t="str">
        <f t="array" ref="B6642">iferror(xlookup($I6642, 'IMPORT VHC Report'!$E:$E, 'IMPORT VHC Report'!$A:$C), )</f>
        <v/>
      </c>
      <c r="C6642" s="37"/>
      <c r="D6642" s="37"/>
      <c r="E6642" s="38" t="s">
        <v>7869</v>
      </c>
      <c r="F6642" s="38" t="s">
        <v>7856</v>
      </c>
      <c r="G6642" s="38">
        <v>5.359144633743E12</v>
      </c>
      <c r="H6642" s="38" t="s">
        <v>7857</v>
      </c>
      <c r="I6642" s="38" t="s">
        <v>7858</v>
      </c>
      <c r="J6642" s="38" t="s">
        <v>132</v>
      </c>
      <c r="K6642" s="38" t="s">
        <v>126</v>
      </c>
      <c r="L6642" s="41">
        <v>46010.84375</v>
      </c>
      <c r="M6642" s="38" t="s">
        <v>123</v>
      </c>
      <c r="N6642" s="41">
        <v>46010.885416666664</v>
      </c>
      <c r="O6642" s="38" t="s">
        <v>123</v>
      </c>
      <c r="P6642" s="38">
        <v>3600.0</v>
      </c>
      <c r="Q6642" s="39"/>
      <c r="R6642" s="39"/>
      <c r="S6642" s="39"/>
      <c r="T6642" s="39"/>
      <c r="U6642" s="39"/>
    </row>
    <row r="6643">
      <c r="A6643" s="40">
        <f t="shared" si="1"/>
        <v>46006</v>
      </c>
      <c r="B6643" s="37" t="str">
        <f t="array" ref="B6643">iferror(xlookup($I6643, 'IMPORT VHC Report'!$E:$E, 'IMPORT VHC Report'!$A:$C), )</f>
        <v/>
      </c>
      <c r="C6643" s="37"/>
      <c r="D6643" s="37"/>
      <c r="E6643" s="38" t="s">
        <v>7870</v>
      </c>
      <c r="F6643" s="38" t="s">
        <v>7856</v>
      </c>
      <c r="G6643" s="38">
        <v>5.359144633743E12</v>
      </c>
      <c r="H6643" s="38" t="s">
        <v>7857</v>
      </c>
      <c r="I6643" s="38" t="s">
        <v>7858</v>
      </c>
      <c r="J6643" s="38" t="s">
        <v>161</v>
      </c>
      <c r="K6643" s="38" t="s">
        <v>63</v>
      </c>
      <c r="L6643" s="41">
        <v>46011.625</v>
      </c>
      <c r="M6643" s="38" t="s">
        <v>123</v>
      </c>
      <c r="N6643" s="41">
        <v>46012.0</v>
      </c>
      <c r="O6643" s="38" t="s">
        <v>123</v>
      </c>
      <c r="P6643" s="38">
        <v>32400.0</v>
      </c>
      <c r="Q6643" s="39"/>
      <c r="R6643" s="39"/>
      <c r="S6643" s="39"/>
      <c r="T6643" s="39"/>
      <c r="U6643" s="39"/>
    </row>
    <row r="6644">
      <c r="A6644" s="40">
        <f t="shared" si="1"/>
        <v>46006</v>
      </c>
      <c r="B6644" s="37" t="str">
        <f t="array" ref="B6644">iferror(xlookup($I6644, 'IMPORT VHC Report'!$E:$E, 'IMPORT VHC Report'!$A:$C), )</f>
        <v/>
      </c>
      <c r="C6644" s="37"/>
      <c r="D6644" s="37"/>
      <c r="E6644" s="38" t="s">
        <v>7871</v>
      </c>
      <c r="F6644" s="38" t="s">
        <v>7856</v>
      </c>
      <c r="G6644" s="38">
        <v>5.359144633743E12</v>
      </c>
      <c r="H6644" s="38" t="s">
        <v>7857</v>
      </c>
      <c r="I6644" s="38" t="s">
        <v>7858</v>
      </c>
      <c r="J6644" s="38" t="s">
        <v>132</v>
      </c>
      <c r="K6644" s="38" t="s">
        <v>126</v>
      </c>
      <c r="L6644" s="41">
        <v>46011.666666666664</v>
      </c>
      <c r="M6644" s="38" t="s">
        <v>123</v>
      </c>
      <c r="N6644" s="41">
        <v>46011.708333333336</v>
      </c>
      <c r="O6644" s="38" t="s">
        <v>123</v>
      </c>
      <c r="P6644" s="38">
        <v>3600.0</v>
      </c>
      <c r="Q6644" s="39"/>
      <c r="R6644" s="39"/>
      <c r="S6644" s="39"/>
      <c r="T6644" s="39"/>
      <c r="U6644" s="39"/>
    </row>
    <row r="6645">
      <c r="A6645" s="40">
        <f t="shared" si="1"/>
        <v>46006</v>
      </c>
      <c r="B6645" s="37" t="str">
        <f t="array" ref="B6645">iferror(xlookup($I6645, 'IMPORT VHC Report'!$E:$E, 'IMPORT VHC Report'!$A:$C), )</f>
        <v/>
      </c>
      <c r="C6645" s="37"/>
      <c r="D6645" s="37"/>
      <c r="E6645" s="38" t="s">
        <v>7872</v>
      </c>
      <c r="F6645" s="38" t="s">
        <v>7856</v>
      </c>
      <c r="G6645" s="38">
        <v>5.359144633743E12</v>
      </c>
      <c r="H6645" s="38" t="s">
        <v>7857</v>
      </c>
      <c r="I6645" s="38" t="s">
        <v>7858</v>
      </c>
      <c r="J6645" s="38" t="s">
        <v>134</v>
      </c>
      <c r="K6645" s="38" t="s">
        <v>126</v>
      </c>
      <c r="L6645" s="41">
        <v>46011.75347222222</v>
      </c>
      <c r="M6645" s="38" t="s">
        <v>123</v>
      </c>
      <c r="N6645" s="41">
        <v>46011.76388888889</v>
      </c>
      <c r="O6645" s="38" t="s">
        <v>123</v>
      </c>
      <c r="P6645" s="38">
        <v>900.0</v>
      </c>
      <c r="Q6645" s="39"/>
      <c r="R6645" s="39"/>
      <c r="S6645" s="39"/>
      <c r="T6645" s="39"/>
      <c r="U6645" s="39"/>
    </row>
    <row r="6646">
      <c r="A6646" s="40">
        <f t="shared" si="1"/>
        <v>46006</v>
      </c>
      <c r="B6646" s="37" t="str">
        <f t="array" ref="B6646">iferror(xlookup($I6646, 'IMPORT VHC Report'!$E:$E, 'IMPORT VHC Report'!$A:$C), )</f>
        <v/>
      </c>
      <c r="C6646" s="37"/>
      <c r="D6646" s="37"/>
      <c r="E6646" s="38" t="s">
        <v>7873</v>
      </c>
      <c r="F6646" s="38" t="s">
        <v>7856</v>
      </c>
      <c r="G6646" s="38">
        <v>5.359144633743E12</v>
      </c>
      <c r="H6646" s="38" t="s">
        <v>7857</v>
      </c>
      <c r="I6646" s="38" t="s">
        <v>7858</v>
      </c>
      <c r="J6646" s="38" t="s">
        <v>178</v>
      </c>
      <c r="K6646" s="38" t="s">
        <v>153</v>
      </c>
      <c r="L6646" s="41">
        <v>46012.625</v>
      </c>
      <c r="M6646" s="38" t="s">
        <v>123</v>
      </c>
      <c r="N6646" s="41">
        <v>46013.0</v>
      </c>
      <c r="O6646" s="38" t="s">
        <v>123</v>
      </c>
      <c r="P6646" s="38">
        <v>32400.0</v>
      </c>
      <c r="Q6646" s="38">
        <v>32400.0</v>
      </c>
      <c r="R6646" s="39"/>
      <c r="S6646" s="39"/>
      <c r="T6646" s="39"/>
      <c r="U6646" s="39"/>
    </row>
    <row r="6647">
      <c r="A6647" s="40">
        <f t="shared" si="1"/>
        <v>46006</v>
      </c>
      <c r="B6647" s="37" t="str">
        <f t="array" ref="B6647">iferror(xlookup($I6647, 'IMPORT VHC Report'!$E:$E, 'IMPORT VHC Report'!$A:$C), )</f>
        <v/>
      </c>
      <c r="C6647" s="37"/>
      <c r="D6647" s="37"/>
      <c r="E6647" s="38" t="s">
        <v>7874</v>
      </c>
      <c r="F6647" s="38" t="s">
        <v>7856</v>
      </c>
      <c r="G6647" s="38">
        <v>5.359144633743E12</v>
      </c>
      <c r="H6647" s="38" t="s">
        <v>7857</v>
      </c>
      <c r="I6647" s="38" t="s">
        <v>7858</v>
      </c>
      <c r="J6647" s="38" t="s">
        <v>161</v>
      </c>
      <c r="K6647" s="38" t="s">
        <v>63</v>
      </c>
      <c r="L6647" s="41">
        <v>46012.625</v>
      </c>
      <c r="M6647" s="38" t="s">
        <v>123</v>
      </c>
      <c r="N6647" s="41">
        <v>46013.0</v>
      </c>
      <c r="O6647" s="38" t="s">
        <v>123</v>
      </c>
      <c r="P6647" s="38">
        <v>32400.0</v>
      </c>
      <c r="Q6647" s="39"/>
      <c r="R6647" s="39"/>
      <c r="S6647" s="39"/>
      <c r="T6647" s="39"/>
      <c r="U6647" s="39"/>
    </row>
    <row r="6648">
      <c r="A6648" s="40">
        <f t="shared" si="1"/>
        <v>46006</v>
      </c>
      <c r="B6648" s="37" t="str">
        <f t="array" ref="B6648">iferror(xlookup($I6648, 'IMPORT VHC Report'!$E:$E, 'IMPORT VHC Report'!$A:$C), )</f>
        <v/>
      </c>
      <c r="C6648" s="37"/>
      <c r="D6648" s="37"/>
      <c r="E6648" s="38" t="s">
        <v>7875</v>
      </c>
      <c r="F6648" s="38" t="s">
        <v>7856</v>
      </c>
      <c r="G6648" s="38">
        <v>5.359144633743E12</v>
      </c>
      <c r="H6648" s="38" t="s">
        <v>7857</v>
      </c>
      <c r="I6648" s="38" t="s">
        <v>7858</v>
      </c>
      <c r="J6648" s="38" t="s">
        <v>134</v>
      </c>
      <c r="K6648" s="38" t="s">
        <v>126</v>
      </c>
      <c r="L6648" s="41">
        <v>46012.760416666664</v>
      </c>
      <c r="M6648" s="38" t="s">
        <v>123</v>
      </c>
      <c r="N6648" s="41">
        <v>46012.770833333336</v>
      </c>
      <c r="O6648" s="38" t="s">
        <v>123</v>
      </c>
      <c r="P6648" s="38">
        <v>900.0</v>
      </c>
      <c r="Q6648" s="39"/>
      <c r="R6648" s="39"/>
      <c r="S6648" s="39"/>
      <c r="T6648" s="39"/>
      <c r="U6648" s="39"/>
    </row>
    <row r="6649">
      <c r="A6649" s="40">
        <f t="shared" si="1"/>
        <v>46006</v>
      </c>
      <c r="B6649" s="37" t="str">
        <f t="array" ref="B6649">iferror(xlookup($I6649, 'IMPORT VHC Report'!$E:$E, 'IMPORT VHC Report'!$A:$C), )</f>
        <v/>
      </c>
      <c r="C6649" s="37"/>
      <c r="D6649" s="37"/>
      <c r="E6649" s="38" t="s">
        <v>7876</v>
      </c>
      <c r="F6649" s="38" t="s">
        <v>7856</v>
      </c>
      <c r="G6649" s="38">
        <v>5.359144633743E12</v>
      </c>
      <c r="H6649" s="38" t="s">
        <v>7857</v>
      </c>
      <c r="I6649" s="38" t="s">
        <v>7858</v>
      </c>
      <c r="J6649" s="38" t="s">
        <v>132</v>
      </c>
      <c r="K6649" s="38" t="s">
        <v>126</v>
      </c>
      <c r="L6649" s="41">
        <v>46012.833333333336</v>
      </c>
      <c r="M6649" s="38" t="s">
        <v>123</v>
      </c>
      <c r="N6649" s="41">
        <v>46012.875</v>
      </c>
      <c r="O6649" s="38" t="s">
        <v>123</v>
      </c>
      <c r="P6649" s="38">
        <v>3600.0</v>
      </c>
      <c r="Q6649" s="39"/>
      <c r="R6649" s="39"/>
      <c r="S6649" s="39"/>
      <c r="T6649" s="39"/>
      <c r="U6649" s="39"/>
    </row>
    <row r="6650">
      <c r="A6650" s="40">
        <f t="shared" si="1"/>
        <v>46006</v>
      </c>
      <c r="B6650" s="37" t="str">
        <f t="array" ref="B6650">iferror(xlookup($I6650, 'IMPORT VHC Report'!$E:$E, 'IMPORT VHC Report'!$A:$C), )</f>
        <v/>
      </c>
      <c r="C6650" s="37"/>
      <c r="D6650" s="37"/>
      <c r="E6650" s="38" t="s">
        <v>7877</v>
      </c>
      <c r="F6650" s="38" t="s">
        <v>7856</v>
      </c>
      <c r="G6650" s="38">
        <v>5.359144633743E12</v>
      </c>
      <c r="H6650" s="38" t="s">
        <v>7857</v>
      </c>
      <c r="I6650" s="38" t="s">
        <v>7858</v>
      </c>
      <c r="J6650" s="38" t="s">
        <v>134</v>
      </c>
      <c r="K6650" s="38" t="s">
        <v>126</v>
      </c>
      <c r="L6650" s="41">
        <v>46012.927083333336</v>
      </c>
      <c r="M6650" s="38" t="s">
        <v>123</v>
      </c>
      <c r="N6650" s="41">
        <v>46012.9375</v>
      </c>
      <c r="O6650" s="38" t="s">
        <v>123</v>
      </c>
      <c r="P6650" s="38">
        <v>900.0</v>
      </c>
      <c r="Q6650" s="39"/>
      <c r="R6650" s="39"/>
      <c r="S6650" s="39"/>
      <c r="T6650" s="39"/>
      <c r="U6650" s="39"/>
    </row>
    <row r="6651">
      <c r="A6651" s="40" t="str">
        <f t="shared" si="1"/>
        <v/>
      </c>
      <c r="B6651" s="37" t="str">
        <f t="array" ref="B6651">iferror(xlookup($I6651, 'IMPORT VHC Report'!$E:$E, 'IMPORT VHC Report'!$A:$C), )</f>
        <v/>
      </c>
      <c r="C6651" s="44"/>
      <c r="D6651" s="44"/>
      <c r="E6651" s="38"/>
      <c r="F6651" s="38"/>
      <c r="G6651" s="38"/>
      <c r="H6651" s="38"/>
      <c r="I6651" s="38"/>
      <c r="J6651" s="38"/>
      <c r="K6651" s="38"/>
      <c r="L6651" s="41"/>
      <c r="M6651" s="38"/>
      <c r="N6651" s="41"/>
      <c r="O6651" s="38"/>
      <c r="P6651" s="38"/>
      <c r="Q6651" s="39"/>
      <c r="R6651" s="39"/>
      <c r="S6651" s="39"/>
      <c r="T6651" s="39"/>
      <c r="U6651" s="39"/>
    </row>
    <row r="6652">
      <c r="A6652" s="40" t="str">
        <f t="shared" si="1"/>
        <v/>
      </c>
      <c r="B6652" s="37" t="str">
        <f t="array" ref="B6652">iferror(xlookup($I6652, 'IMPORT VHC Report'!$E:$E, 'IMPORT VHC Report'!$A:$C), )</f>
        <v/>
      </c>
      <c r="C6652" s="44"/>
      <c r="D6652" s="44"/>
      <c r="E6652" s="38"/>
      <c r="F6652" s="38"/>
      <c r="G6652" s="38"/>
      <c r="H6652" s="38"/>
      <c r="I6652" s="38"/>
      <c r="J6652" s="38"/>
      <c r="K6652" s="38"/>
      <c r="L6652" s="41"/>
      <c r="M6652" s="38"/>
      <c r="N6652" s="41"/>
      <c r="O6652" s="38"/>
      <c r="P6652" s="38"/>
      <c r="Q6652" s="39"/>
      <c r="R6652" s="39"/>
      <c r="S6652" s="39"/>
      <c r="T6652" s="39"/>
      <c r="U6652" s="39"/>
    </row>
    <row r="6653">
      <c r="A6653" s="40" t="str">
        <f t="shared" si="1"/>
        <v/>
      </c>
      <c r="B6653" s="37" t="str">
        <f t="array" ref="B6653">iferror(xlookup($I6653, 'IMPORT VHC Report'!$E:$E, 'IMPORT VHC Report'!$A:$C), )</f>
        <v/>
      </c>
      <c r="C6653" s="44"/>
      <c r="D6653" s="44"/>
      <c r="E6653" s="38"/>
      <c r="F6653" s="38"/>
      <c r="G6653" s="38"/>
      <c r="H6653" s="38"/>
      <c r="I6653" s="38"/>
      <c r="J6653" s="38"/>
      <c r="K6653" s="38"/>
      <c r="L6653" s="41"/>
      <c r="M6653" s="38"/>
      <c r="N6653" s="41"/>
      <c r="O6653" s="38"/>
      <c r="P6653" s="38"/>
      <c r="Q6653" s="39"/>
      <c r="R6653" s="39"/>
      <c r="S6653" s="39"/>
      <c r="T6653" s="39"/>
      <c r="U6653" s="39"/>
    </row>
    <row r="6654">
      <c r="A6654" s="40" t="str">
        <f t="shared" si="1"/>
        <v/>
      </c>
      <c r="B6654" s="37" t="str">
        <f t="array" ref="B6654">iferror(xlookup($I6654, 'IMPORT VHC Report'!$E:$E, 'IMPORT VHC Report'!$A:$C), )</f>
        <v/>
      </c>
      <c r="C6654" s="44"/>
      <c r="D6654" s="44"/>
      <c r="E6654" s="38"/>
      <c r="F6654" s="38"/>
      <c r="G6654" s="38"/>
      <c r="H6654" s="38"/>
      <c r="I6654" s="38"/>
      <c r="J6654" s="38"/>
      <c r="K6654" s="38"/>
      <c r="L6654" s="41"/>
      <c r="M6654" s="38"/>
      <c r="N6654" s="41"/>
      <c r="O6654" s="38"/>
      <c r="P6654" s="38"/>
      <c r="Q6654" s="39"/>
      <c r="R6654" s="39"/>
      <c r="S6654" s="39"/>
      <c r="T6654" s="39"/>
      <c r="U6654" s="39"/>
    </row>
    <row r="6655">
      <c r="A6655" s="40" t="str">
        <f t="shared" si="1"/>
        <v/>
      </c>
      <c r="B6655" s="37" t="str">
        <f t="array" ref="B6655">iferror(xlookup($I6655, 'IMPORT VHC Report'!$E:$E, 'IMPORT VHC Report'!$A:$C), )</f>
        <v/>
      </c>
      <c r="C6655" s="44"/>
      <c r="D6655" s="44"/>
      <c r="E6655" s="38"/>
      <c r="F6655" s="38"/>
      <c r="G6655" s="38"/>
      <c r="H6655" s="38"/>
      <c r="I6655" s="38"/>
      <c r="J6655" s="38"/>
      <c r="K6655" s="38"/>
      <c r="L6655" s="41"/>
      <c r="M6655" s="38"/>
      <c r="N6655" s="41"/>
      <c r="O6655" s="38"/>
      <c r="P6655" s="38"/>
      <c r="Q6655" s="39"/>
      <c r="R6655" s="39"/>
      <c r="S6655" s="39"/>
      <c r="T6655" s="39"/>
      <c r="U6655" s="39"/>
    </row>
    <row r="6656">
      <c r="A6656" s="40" t="str">
        <f t="shared" si="1"/>
        <v/>
      </c>
      <c r="B6656" s="37" t="str">
        <f t="array" ref="B6656">iferror(xlookup($I6656, 'IMPORT VHC Report'!$E:$E, 'IMPORT VHC Report'!$A:$C), )</f>
        <v/>
      </c>
      <c r="C6656" s="44"/>
      <c r="D6656" s="44"/>
      <c r="E6656" s="38"/>
      <c r="F6656" s="38"/>
      <c r="G6656" s="38"/>
      <c r="H6656" s="38"/>
      <c r="I6656" s="38"/>
      <c r="J6656" s="38"/>
      <c r="K6656" s="38"/>
      <c r="L6656" s="41"/>
      <c r="M6656" s="38"/>
      <c r="N6656" s="41"/>
      <c r="O6656" s="38"/>
      <c r="P6656" s="38"/>
      <c r="Q6656" s="39"/>
      <c r="R6656" s="39"/>
      <c r="S6656" s="39"/>
      <c r="T6656" s="39"/>
      <c r="U6656" s="39"/>
    </row>
    <row r="6657">
      <c r="A6657" s="40" t="str">
        <f t="shared" si="1"/>
        <v/>
      </c>
      <c r="B6657" s="37" t="str">
        <f t="array" ref="B6657">iferror(xlookup($I6657, 'IMPORT VHC Report'!$E:$E, 'IMPORT VHC Report'!$A:$C), )</f>
        <v/>
      </c>
      <c r="C6657" s="44"/>
      <c r="D6657" s="44"/>
      <c r="E6657" s="38"/>
      <c r="F6657" s="38"/>
      <c r="G6657" s="38"/>
      <c r="H6657" s="38"/>
      <c r="I6657" s="38"/>
      <c r="J6657" s="38"/>
      <c r="K6657" s="38"/>
      <c r="L6657" s="41"/>
      <c r="M6657" s="38"/>
      <c r="N6657" s="41"/>
      <c r="O6657" s="38"/>
      <c r="P6657" s="38"/>
      <c r="Q6657" s="38"/>
      <c r="R6657" s="38"/>
      <c r="S6657" s="38"/>
      <c r="T6657" s="39"/>
      <c r="U6657" s="39"/>
    </row>
    <row r="6658">
      <c r="A6658" s="40" t="str">
        <f t="shared" si="1"/>
        <v/>
      </c>
      <c r="B6658" s="37" t="str">
        <f t="array" ref="B6658">iferror(xlookup($I6658, 'IMPORT VHC Report'!$E:$E, 'IMPORT VHC Report'!$A:$C), )</f>
        <v/>
      </c>
      <c r="C6658" s="44"/>
      <c r="D6658" s="44"/>
      <c r="E6658" s="38"/>
      <c r="F6658" s="38"/>
      <c r="G6658" s="38"/>
      <c r="H6658" s="38"/>
      <c r="I6658" s="38"/>
      <c r="J6658" s="38"/>
      <c r="K6658" s="38"/>
      <c r="L6658" s="41"/>
      <c r="M6658" s="38"/>
      <c r="N6658" s="41"/>
      <c r="O6658" s="38"/>
      <c r="P6658" s="38"/>
      <c r="Q6658" s="38"/>
      <c r="R6658" s="38"/>
      <c r="S6658" s="38"/>
      <c r="T6658" s="39"/>
      <c r="U6658" s="39"/>
    </row>
    <row r="6659">
      <c r="A6659" s="40" t="str">
        <f t="shared" si="1"/>
        <v/>
      </c>
      <c r="B6659" s="37" t="str">
        <f t="array" ref="B6659">iferror(xlookup($I6659, 'IMPORT VHC Report'!$E:$E, 'IMPORT VHC Report'!$A:$C), )</f>
        <v/>
      </c>
      <c r="C6659" s="44"/>
      <c r="D6659" s="44"/>
      <c r="E6659" s="38"/>
      <c r="F6659" s="38"/>
      <c r="G6659" s="38"/>
      <c r="H6659" s="38"/>
      <c r="I6659" s="38"/>
      <c r="J6659" s="38"/>
      <c r="K6659" s="38"/>
      <c r="L6659" s="41"/>
      <c r="M6659" s="38"/>
      <c r="N6659" s="41"/>
      <c r="O6659" s="38"/>
      <c r="P6659" s="38"/>
      <c r="Q6659" s="39"/>
      <c r="R6659" s="39"/>
      <c r="S6659" s="39"/>
      <c r="T6659" s="39"/>
      <c r="U6659" s="39"/>
    </row>
    <row r="6660">
      <c r="A6660" s="40" t="str">
        <f t="shared" si="1"/>
        <v/>
      </c>
      <c r="B6660" s="37" t="str">
        <f t="array" ref="B6660">iferror(xlookup($I6660, 'IMPORT VHC Report'!$E:$E, 'IMPORT VHC Report'!$A:$C), )</f>
        <v/>
      </c>
      <c r="C6660" s="44"/>
      <c r="D6660" s="44"/>
      <c r="E6660" s="38"/>
      <c r="F6660" s="38"/>
      <c r="G6660" s="38"/>
      <c r="H6660" s="38"/>
      <c r="I6660" s="38"/>
      <c r="J6660" s="38"/>
      <c r="K6660" s="38"/>
      <c r="L6660" s="41"/>
      <c r="M6660" s="38"/>
      <c r="N6660" s="41"/>
      <c r="O6660" s="38"/>
      <c r="P6660" s="38"/>
      <c r="Q6660" s="39"/>
      <c r="R6660" s="39"/>
      <c r="S6660" s="39"/>
      <c r="T6660" s="39"/>
      <c r="U6660" s="39"/>
    </row>
    <row r="6661">
      <c r="A6661" s="40" t="str">
        <f t="shared" si="1"/>
        <v/>
      </c>
      <c r="B6661" s="37" t="str">
        <f t="array" ref="B6661">iferror(xlookup($I6661, 'IMPORT VHC Report'!$E:$E, 'IMPORT VHC Report'!$A:$C), )</f>
        <v/>
      </c>
      <c r="C6661" s="44"/>
      <c r="D6661" s="44"/>
      <c r="E6661" s="38"/>
      <c r="F6661" s="38"/>
      <c r="G6661" s="38"/>
      <c r="H6661" s="38"/>
      <c r="I6661" s="38"/>
      <c r="J6661" s="38"/>
      <c r="K6661" s="38"/>
      <c r="L6661" s="41"/>
      <c r="M6661" s="38"/>
      <c r="N6661" s="41"/>
      <c r="O6661" s="38"/>
      <c r="P6661" s="38"/>
      <c r="Q6661" s="39"/>
      <c r="R6661" s="39"/>
      <c r="S6661" s="39"/>
      <c r="T6661" s="39"/>
      <c r="U6661" s="39"/>
    </row>
    <row r="6662">
      <c r="A6662" s="40" t="str">
        <f t="shared" si="1"/>
        <v/>
      </c>
      <c r="B6662" s="37" t="str">
        <f t="array" ref="B6662">iferror(xlookup($I6662, 'IMPORT VHC Report'!$E:$E, 'IMPORT VHC Report'!$A:$C), )</f>
        <v/>
      </c>
      <c r="C6662" s="44"/>
      <c r="D6662" s="44"/>
      <c r="E6662" s="38"/>
      <c r="F6662" s="38"/>
      <c r="G6662" s="38"/>
      <c r="H6662" s="38"/>
      <c r="I6662" s="38"/>
      <c r="J6662" s="38"/>
      <c r="K6662" s="38"/>
      <c r="L6662" s="41"/>
      <c r="M6662" s="38"/>
      <c r="N6662" s="41"/>
      <c r="O6662" s="38"/>
      <c r="P6662" s="38"/>
      <c r="Q6662" s="39"/>
      <c r="R6662" s="39"/>
      <c r="S6662" s="39"/>
      <c r="T6662" s="39"/>
      <c r="U6662" s="39"/>
    </row>
    <row r="6663">
      <c r="A6663" s="40" t="str">
        <f t="shared" si="1"/>
        <v/>
      </c>
      <c r="B6663" s="37" t="str">
        <f t="array" ref="B6663">iferror(xlookup($I6663, 'IMPORT VHC Report'!$E:$E, 'IMPORT VHC Report'!$A:$C), )</f>
        <v/>
      </c>
      <c r="C6663" s="44"/>
      <c r="D6663" s="44"/>
      <c r="E6663" s="38"/>
      <c r="F6663" s="38"/>
      <c r="G6663" s="38"/>
      <c r="H6663" s="38"/>
      <c r="I6663" s="38"/>
      <c r="J6663" s="38"/>
      <c r="K6663" s="38"/>
      <c r="L6663" s="41"/>
      <c r="M6663" s="38"/>
      <c r="N6663" s="41"/>
      <c r="O6663" s="38"/>
      <c r="P6663" s="38"/>
      <c r="Q6663" s="39"/>
      <c r="R6663" s="39"/>
      <c r="S6663" s="39"/>
      <c r="T6663" s="39"/>
      <c r="U6663" s="39"/>
    </row>
    <row r="6664">
      <c r="A6664" s="40" t="str">
        <f t="shared" si="1"/>
        <v/>
      </c>
      <c r="B6664" s="37" t="str">
        <f t="array" ref="B6664">iferror(xlookup($I6664, 'IMPORT VHC Report'!$E:$E, 'IMPORT VHC Report'!$A:$C), )</f>
        <v/>
      </c>
      <c r="C6664" s="44"/>
      <c r="D6664" s="44"/>
      <c r="E6664" s="38"/>
      <c r="F6664" s="38"/>
      <c r="G6664" s="38"/>
      <c r="H6664" s="38"/>
      <c r="I6664" s="38"/>
      <c r="J6664" s="38"/>
      <c r="K6664" s="38"/>
      <c r="L6664" s="41"/>
      <c r="M6664" s="38"/>
      <c r="N6664" s="41"/>
      <c r="O6664" s="38"/>
      <c r="P6664" s="38"/>
      <c r="Q6664" s="39"/>
      <c r="R6664" s="39"/>
      <c r="S6664" s="39"/>
      <c r="T6664" s="39"/>
      <c r="U6664" s="39"/>
    </row>
    <row r="6665">
      <c r="A6665" s="40" t="str">
        <f t="shared" si="1"/>
        <v/>
      </c>
      <c r="B6665" s="37" t="str">
        <f t="array" ref="B6665">iferror(xlookup($I6665, 'IMPORT VHC Report'!$E:$E, 'IMPORT VHC Report'!$A:$C), )</f>
        <v/>
      </c>
      <c r="C6665" s="44"/>
      <c r="D6665" s="44"/>
      <c r="E6665" s="38"/>
      <c r="F6665" s="38"/>
      <c r="G6665" s="38"/>
      <c r="H6665" s="38"/>
      <c r="I6665" s="38"/>
      <c r="J6665" s="38"/>
      <c r="K6665" s="38"/>
      <c r="L6665" s="41"/>
      <c r="M6665" s="38"/>
      <c r="N6665" s="41"/>
      <c r="O6665" s="38"/>
      <c r="P6665" s="38"/>
      <c r="Q6665" s="39"/>
      <c r="R6665" s="39"/>
      <c r="S6665" s="39"/>
      <c r="T6665" s="39"/>
      <c r="U6665" s="39"/>
    </row>
    <row r="6666">
      <c r="A6666" s="40" t="str">
        <f t="shared" si="1"/>
        <v/>
      </c>
      <c r="B6666" s="37" t="str">
        <f t="array" ref="B6666">iferror(xlookup($I6666, 'IMPORT VHC Report'!$E:$E, 'IMPORT VHC Report'!$A:$C), )</f>
        <v/>
      </c>
      <c r="C6666" s="44"/>
      <c r="D6666" s="44"/>
      <c r="E6666" s="38"/>
      <c r="F6666" s="38"/>
      <c r="G6666" s="38"/>
      <c r="H6666" s="38"/>
      <c r="I6666" s="38"/>
      <c r="J6666" s="38"/>
      <c r="K6666" s="38"/>
      <c r="L6666" s="41"/>
      <c r="M6666" s="38"/>
      <c r="N6666" s="41"/>
      <c r="O6666" s="38"/>
      <c r="P6666" s="38"/>
      <c r="Q6666" s="39"/>
      <c r="R6666" s="39"/>
      <c r="S6666" s="39"/>
      <c r="T6666" s="39"/>
      <c r="U6666" s="39"/>
    </row>
    <row r="6667">
      <c r="A6667" s="40" t="str">
        <f t="shared" si="1"/>
        <v/>
      </c>
      <c r="B6667" s="37" t="str">
        <f t="array" ref="B6667">iferror(xlookup($I6667, 'IMPORT VHC Report'!$E:$E, 'IMPORT VHC Report'!$A:$C), )</f>
        <v/>
      </c>
      <c r="C6667" s="44"/>
      <c r="D6667" s="44"/>
      <c r="E6667" s="38"/>
      <c r="F6667" s="38"/>
      <c r="G6667" s="38"/>
      <c r="H6667" s="38"/>
      <c r="I6667" s="38"/>
      <c r="J6667" s="38"/>
      <c r="K6667" s="38"/>
      <c r="L6667" s="41"/>
      <c r="M6667" s="38"/>
      <c r="N6667" s="41"/>
      <c r="O6667" s="38"/>
      <c r="P6667" s="38"/>
      <c r="Q6667" s="39"/>
      <c r="R6667" s="39"/>
      <c r="S6667" s="39"/>
      <c r="T6667" s="39"/>
      <c r="U6667" s="39"/>
    </row>
    <row r="6668">
      <c r="A6668" s="40" t="str">
        <f t="shared" si="1"/>
        <v/>
      </c>
      <c r="B6668" s="37" t="str">
        <f t="array" ref="B6668">iferror(xlookup($I6668, 'IMPORT VHC Report'!$E:$E, 'IMPORT VHC Report'!$A:$C), )</f>
        <v/>
      </c>
      <c r="C6668" s="44"/>
      <c r="D6668" s="44"/>
      <c r="E6668" s="38"/>
      <c r="F6668" s="38"/>
      <c r="G6668" s="38"/>
      <c r="H6668" s="38"/>
      <c r="I6668" s="38"/>
      <c r="J6668" s="38"/>
      <c r="K6668" s="38"/>
      <c r="L6668" s="41"/>
      <c r="M6668" s="38"/>
      <c r="N6668" s="41"/>
      <c r="O6668" s="38"/>
      <c r="P6668" s="38"/>
      <c r="Q6668" s="39"/>
      <c r="R6668" s="39"/>
      <c r="S6668" s="39"/>
      <c r="T6668" s="39"/>
      <c r="U6668" s="39"/>
    </row>
    <row r="6669">
      <c r="A6669" s="40" t="str">
        <f t="shared" si="1"/>
        <v/>
      </c>
      <c r="B6669" s="37" t="str">
        <f t="array" ref="B6669">iferror(xlookup($I6669, 'IMPORT VHC Report'!$E:$E, 'IMPORT VHC Report'!$A:$C), )</f>
        <v/>
      </c>
      <c r="C6669" s="44"/>
      <c r="D6669" s="44"/>
      <c r="E6669" s="38"/>
      <c r="F6669" s="38"/>
      <c r="G6669" s="38"/>
      <c r="H6669" s="38"/>
      <c r="I6669" s="38"/>
      <c r="J6669" s="38"/>
      <c r="K6669" s="38"/>
      <c r="L6669" s="41"/>
      <c r="M6669" s="38"/>
      <c r="N6669" s="41"/>
      <c r="O6669" s="38"/>
      <c r="P6669" s="38"/>
      <c r="Q6669" s="39"/>
      <c r="R6669" s="39"/>
      <c r="S6669" s="39"/>
      <c r="T6669" s="39"/>
      <c r="U6669" s="39"/>
    </row>
    <row r="6670">
      <c r="A6670" s="40" t="str">
        <f t="shared" si="1"/>
        <v/>
      </c>
      <c r="B6670" s="37" t="str">
        <f t="array" ref="B6670">iferror(xlookup($I6670, 'IMPORT VHC Report'!$E:$E, 'IMPORT VHC Report'!$A:$C), )</f>
        <v/>
      </c>
      <c r="C6670" s="44"/>
      <c r="D6670" s="44"/>
      <c r="E6670" s="38"/>
      <c r="F6670" s="38"/>
      <c r="G6670" s="38"/>
      <c r="H6670" s="38"/>
      <c r="I6670" s="38"/>
      <c r="J6670" s="38"/>
      <c r="K6670" s="38"/>
      <c r="L6670" s="41"/>
      <c r="M6670" s="38"/>
      <c r="N6670" s="41"/>
      <c r="O6670" s="38"/>
      <c r="P6670" s="38"/>
      <c r="Q6670" s="39"/>
      <c r="R6670" s="39"/>
      <c r="S6670" s="39"/>
      <c r="T6670" s="39"/>
      <c r="U6670" s="39"/>
    </row>
    <row r="6671">
      <c r="A6671" s="40" t="str">
        <f t="shared" si="1"/>
        <v/>
      </c>
      <c r="B6671" s="37" t="str">
        <f t="array" ref="B6671">iferror(xlookup($I6671, 'IMPORT VHC Report'!$E:$E, 'IMPORT VHC Report'!$A:$C), )</f>
        <v/>
      </c>
      <c r="C6671" s="44"/>
      <c r="D6671" s="44"/>
      <c r="E6671" s="38"/>
      <c r="F6671" s="38"/>
      <c r="G6671" s="38"/>
      <c r="H6671" s="38"/>
      <c r="I6671" s="38"/>
      <c r="J6671" s="38"/>
      <c r="K6671" s="38"/>
      <c r="L6671" s="41"/>
      <c r="M6671" s="38"/>
      <c r="N6671" s="41"/>
      <c r="O6671" s="38"/>
      <c r="P6671" s="38"/>
      <c r="Q6671" s="39"/>
      <c r="R6671" s="39"/>
      <c r="S6671" s="39"/>
      <c r="T6671" s="39"/>
      <c r="U6671" s="39"/>
    </row>
    <row r="6672">
      <c r="A6672" s="40" t="str">
        <f t="shared" si="1"/>
        <v/>
      </c>
      <c r="B6672" s="37" t="str">
        <f t="array" ref="B6672">iferror(xlookup($I6672, 'IMPORT VHC Report'!$E:$E, 'IMPORT VHC Report'!$A:$C), )</f>
        <v/>
      </c>
      <c r="C6672" s="44"/>
      <c r="D6672" s="44"/>
      <c r="E6672" s="38"/>
      <c r="F6672" s="38"/>
      <c r="G6672" s="38"/>
      <c r="H6672" s="38"/>
      <c r="I6672" s="38"/>
      <c r="J6672" s="38"/>
      <c r="K6672" s="38"/>
      <c r="L6672" s="41"/>
      <c r="M6672" s="38"/>
      <c r="N6672" s="41"/>
      <c r="O6672" s="38"/>
      <c r="P6672" s="38"/>
      <c r="Q6672" s="39"/>
      <c r="R6672" s="39"/>
      <c r="S6672" s="39"/>
      <c r="T6672" s="39"/>
      <c r="U6672" s="39"/>
    </row>
    <row r="6673">
      <c r="A6673" s="40" t="str">
        <f t="shared" si="1"/>
        <v/>
      </c>
      <c r="B6673" s="37" t="str">
        <f t="array" ref="B6673">iferror(xlookup($I6673, 'IMPORT VHC Report'!$E:$E, 'IMPORT VHC Report'!$A:$C), )</f>
        <v/>
      </c>
      <c r="C6673" s="44"/>
      <c r="D6673" s="44"/>
      <c r="E6673" s="38"/>
      <c r="F6673" s="38"/>
      <c r="G6673" s="38"/>
      <c r="H6673" s="38"/>
      <c r="I6673" s="38"/>
      <c r="J6673" s="38"/>
      <c r="K6673" s="38"/>
      <c r="L6673" s="41"/>
      <c r="M6673" s="38"/>
      <c r="N6673" s="41"/>
      <c r="O6673" s="38"/>
      <c r="P6673" s="38"/>
      <c r="Q6673" s="39"/>
      <c r="R6673" s="39"/>
      <c r="S6673" s="39"/>
      <c r="T6673" s="39"/>
      <c r="U6673" s="39"/>
    </row>
    <row r="6674">
      <c r="A6674" s="40" t="str">
        <f t="shared" si="1"/>
        <v/>
      </c>
      <c r="B6674" s="37" t="str">
        <f t="array" ref="B6674">iferror(xlookup($I6674, 'IMPORT VHC Report'!$E:$E, 'IMPORT VHC Report'!$A:$C), )</f>
        <v/>
      </c>
      <c r="C6674" s="44"/>
      <c r="D6674" s="44"/>
      <c r="E6674" s="38"/>
      <c r="F6674" s="38"/>
      <c r="G6674" s="38"/>
      <c r="H6674" s="38"/>
      <c r="I6674" s="38"/>
      <c r="J6674" s="38"/>
      <c r="K6674" s="38"/>
      <c r="L6674" s="41"/>
      <c r="M6674" s="38"/>
      <c r="N6674" s="41"/>
      <c r="O6674" s="38"/>
      <c r="P6674" s="38"/>
      <c r="Q6674" s="39"/>
      <c r="R6674" s="39"/>
      <c r="S6674" s="39"/>
      <c r="T6674" s="39"/>
      <c r="U6674" s="39"/>
    </row>
    <row r="6675">
      <c r="A6675" s="40" t="str">
        <f t="shared" si="1"/>
        <v/>
      </c>
      <c r="B6675" s="37" t="str">
        <f t="array" ref="B6675">iferror(xlookup($I6675, 'IMPORT VHC Report'!$E:$E, 'IMPORT VHC Report'!$A:$C), )</f>
        <v/>
      </c>
      <c r="C6675" s="44"/>
      <c r="D6675" s="44"/>
      <c r="E6675" s="38"/>
      <c r="F6675" s="38"/>
      <c r="G6675" s="38"/>
      <c r="H6675" s="38"/>
      <c r="I6675" s="38"/>
      <c r="J6675" s="38"/>
      <c r="K6675" s="38"/>
      <c r="L6675" s="41"/>
      <c r="M6675" s="38"/>
      <c r="N6675" s="41"/>
      <c r="O6675" s="38"/>
      <c r="P6675" s="38"/>
      <c r="Q6675" s="39"/>
      <c r="R6675" s="39"/>
      <c r="S6675" s="39"/>
      <c r="T6675" s="39"/>
      <c r="U6675" s="39"/>
    </row>
    <row r="6676">
      <c r="A6676" s="40" t="str">
        <f t="shared" si="1"/>
        <v/>
      </c>
      <c r="B6676" s="37" t="str">
        <f t="array" ref="B6676">iferror(xlookup($I6676, 'IMPORT VHC Report'!$E:$E, 'IMPORT VHC Report'!$A:$C), )</f>
        <v/>
      </c>
      <c r="C6676" s="44"/>
      <c r="D6676" s="44"/>
      <c r="E6676" s="38"/>
      <c r="F6676" s="38"/>
      <c r="G6676" s="38"/>
      <c r="H6676" s="38"/>
      <c r="I6676" s="38"/>
      <c r="J6676" s="38"/>
      <c r="K6676" s="38"/>
      <c r="L6676" s="41"/>
      <c r="M6676" s="38"/>
      <c r="N6676" s="41"/>
      <c r="O6676" s="38"/>
      <c r="P6676" s="38"/>
      <c r="Q6676" s="39"/>
      <c r="R6676" s="39"/>
      <c r="S6676" s="39"/>
      <c r="T6676" s="39"/>
      <c r="U6676" s="39"/>
    </row>
    <row r="6677">
      <c r="A6677" s="40" t="str">
        <f t="shared" si="1"/>
        <v/>
      </c>
      <c r="B6677" s="37" t="str">
        <f t="array" ref="B6677">iferror(xlookup($I6677, 'IMPORT VHC Report'!$E:$E, 'IMPORT VHC Report'!$A:$C), )</f>
        <v/>
      </c>
      <c r="C6677" s="44"/>
      <c r="D6677" s="44"/>
      <c r="E6677" s="38"/>
      <c r="F6677" s="38"/>
      <c r="G6677" s="38"/>
      <c r="H6677" s="38"/>
      <c r="I6677" s="38"/>
      <c r="J6677" s="38"/>
      <c r="K6677" s="38"/>
      <c r="L6677" s="41"/>
      <c r="M6677" s="38"/>
      <c r="N6677" s="41"/>
      <c r="O6677" s="38"/>
      <c r="P6677" s="38"/>
      <c r="Q6677" s="39"/>
      <c r="R6677" s="39"/>
      <c r="S6677" s="39"/>
      <c r="T6677" s="39"/>
      <c r="U6677" s="39"/>
    </row>
    <row r="6678">
      <c r="A6678" s="40" t="str">
        <f t="shared" si="1"/>
        <v/>
      </c>
      <c r="B6678" s="37" t="str">
        <f t="array" ref="B6678">iferror(xlookup($I6678, 'IMPORT VHC Report'!$E:$E, 'IMPORT VHC Report'!$A:$C), )</f>
        <v/>
      </c>
      <c r="C6678" s="44"/>
      <c r="D6678" s="44"/>
      <c r="E6678" s="38"/>
      <c r="F6678" s="38"/>
      <c r="G6678" s="38"/>
      <c r="H6678" s="38"/>
      <c r="I6678" s="38"/>
      <c r="J6678" s="38"/>
      <c r="K6678" s="38"/>
      <c r="L6678" s="41"/>
      <c r="M6678" s="38"/>
      <c r="N6678" s="41"/>
      <c r="O6678" s="38"/>
      <c r="P6678" s="38"/>
      <c r="Q6678" s="39"/>
      <c r="R6678" s="39"/>
      <c r="S6678" s="39"/>
      <c r="T6678" s="39"/>
      <c r="U6678" s="39"/>
    </row>
    <row r="6679">
      <c r="A6679" s="40" t="str">
        <f t="shared" si="1"/>
        <v/>
      </c>
      <c r="B6679" s="37" t="str">
        <f t="array" ref="B6679">iferror(xlookup($I6679, 'IMPORT VHC Report'!$E:$E, 'IMPORT VHC Report'!$A:$C), )</f>
        <v/>
      </c>
      <c r="C6679" s="44"/>
      <c r="D6679" s="44"/>
      <c r="E6679" s="38"/>
      <c r="F6679" s="38"/>
      <c r="G6679" s="38"/>
      <c r="H6679" s="38"/>
      <c r="I6679" s="38"/>
      <c r="J6679" s="38"/>
      <c r="K6679" s="38"/>
      <c r="L6679" s="41"/>
      <c r="M6679" s="38"/>
      <c r="N6679" s="41"/>
      <c r="O6679" s="38"/>
      <c r="P6679" s="38"/>
      <c r="Q6679" s="39"/>
      <c r="R6679" s="39"/>
      <c r="S6679" s="39"/>
      <c r="T6679" s="39"/>
      <c r="U6679" s="39"/>
    </row>
    <row r="6680">
      <c r="A6680" s="40" t="str">
        <f t="shared" si="1"/>
        <v/>
      </c>
      <c r="B6680" s="37" t="str">
        <f t="array" ref="B6680">iferror(xlookup($I6680, 'IMPORT VHC Report'!$E:$E, 'IMPORT VHC Report'!$A:$C), )</f>
        <v/>
      </c>
      <c r="C6680" s="44"/>
      <c r="D6680" s="44"/>
      <c r="E6680" s="38"/>
      <c r="F6680" s="38"/>
      <c r="G6680" s="38"/>
      <c r="H6680" s="38"/>
      <c r="I6680" s="38"/>
      <c r="J6680" s="38"/>
      <c r="K6680" s="38"/>
      <c r="L6680" s="41"/>
      <c r="M6680" s="38"/>
      <c r="N6680" s="41"/>
      <c r="O6680" s="38"/>
      <c r="P6680" s="38"/>
      <c r="Q6680" s="39"/>
      <c r="R6680" s="39"/>
      <c r="S6680" s="39"/>
      <c r="T6680" s="39"/>
      <c r="U6680" s="39"/>
    </row>
    <row r="6681">
      <c r="A6681" s="40" t="str">
        <f t="shared" si="1"/>
        <v/>
      </c>
      <c r="B6681" s="37" t="str">
        <f t="array" ref="B6681">iferror(xlookup($I6681, 'IMPORT VHC Report'!$E:$E, 'IMPORT VHC Report'!$A:$C), )</f>
        <v/>
      </c>
      <c r="C6681" s="44"/>
      <c r="D6681" s="44"/>
      <c r="E6681" s="38"/>
      <c r="F6681" s="38"/>
      <c r="G6681" s="38"/>
      <c r="H6681" s="38"/>
      <c r="I6681" s="38"/>
      <c r="J6681" s="38"/>
      <c r="K6681" s="38"/>
      <c r="L6681" s="41"/>
      <c r="M6681" s="38"/>
      <c r="N6681" s="41"/>
      <c r="O6681" s="38"/>
      <c r="P6681" s="38"/>
      <c r="Q6681" s="39"/>
      <c r="R6681" s="39"/>
      <c r="S6681" s="39"/>
      <c r="T6681" s="39"/>
      <c r="U6681" s="39"/>
    </row>
    <row r="6682">
      <c r="A6682" s="40" t="str">
        <f t="shared" si="1"/>
        <v/>
      </c>
      <c r="B6682" s="37" t="str">
        <f t="array" ref="B6682">iferror(xlookup($I6682, 'IMPORT VHC Report'!$E:$E, 'IMPORT VHC Report'!$A:$C), )</f>
        <v/>
      </c>
      <c r="C6682" s="44"/>
      <c r="D6682" s="44"/>
      <c r="E6682" s="38"/>
      <c r="F6682" s="38"/>
      <c r="G6682" s="38"/>
      <c r="H6682" s="38"/>
      <c r="I6682" s="38"/>
      <c r="J6682" s="38"/>
      <c r="K6682" s="38"/>
      <c r="L6682" s="41"/>
      <c r="M6682" s="38"/>
      <c r="N6682" s="41"/>
      <c r="O6682" s="38"/>
      <c r="P6682" s="38"/>
      <c r="Q6682" s="39"/>
      <c r="R6682" s="39"/>
      <c r="S6682" s="39"/>
      <c r="T6682" s="39"/>
      <c r="U6682" s="39"/>
    </row>
    <row r="6683">
      <c r="A6683" s="40" t="str">
        <f t="shared" si="1"/>
        <v/>
      </c>
      <c r="B6683" s="37" t="str">
        <f t="array" ref="B6683">iferror(xlookup($I6683, 'IMPORT VHC Report'!$E:$E, 'IMPORT VHC Report'!$A:$C), )</f>
        <v/>
      </c>
      <c r="C6683" s="44"/>
      <c r="D6683" s="44"/>
      <c r="E6683" s="38"/>
      <c r="F6683" s="38"/>
      <c r="G6683" s="38"/>
      <c r="H6683" s="38"/>
      <c r="I6683" s="38"/>
      <c r="J6683" s="38"/>
      <c r="K6683" s="38"/>
      <c r="L6683" s="41"/>
      <c r="M6683" s="38"/>
      <c r="N6683" s="41"/>
      <c r="O6683" s="38"/>
      <c r="P6683" s="38"/>
      <c r="Q6683" s="39"/>
      <c r="R6683" s="39"/>
      <c r="S6683" s="39"/>
      <c r="T6683" s="39"/>
      <c r="U6683" s="39"/>
    </row>
    <row r="6684">
      <c r="A6684" s="40" t="str">
        <f t="shared" si="1"/>
        <v/>
      </c>
      <c r="B6684" s="37" t="str">
        <f t="array" ref="B6684">iferror(xlookup($I6684, 'IMPORT VHC Report'!$E:$E, 'IMPORT VHC Report'!$A:$C), )</f>
        <v/>
      </c>
      <c r="C6684" s="44"/>
      <c r="D6684" s="44"/>
      <c r="E6684" s="38"/>
      <c r="F6684" s="38"/>
      <c r="G6684" s="38"/>
      <c r="H6684" s="38"/>
      <c r="I6684" s="38"/>
      <c r="J6684" s="38"/>
      <c r="K6684" s="38"/>
      <c r="L6684" s="41"/>
      <c r="M6684" s="38"/>
      <c r="N6684" s="41"/>
      <c r="O6684" s="38"/>
      <c r="P6684" s="38"/>
      <c r="Q6684" s="39"/>
      <c r="R6684" s="39"/>
      <c r="S6684" s="39"/>
      <c r="T6684" s="39"/>
      <c r="U6684" s="39"/>
    </row>
    <row r="6685">
      <c r="A6685" s="40" t="str">
        <f t="shared" si="1"/>
        <v/>
      </c>
      <c r="B6685" s="37" t="str">
        <f t="array" ref="B6685">iferror(xlookup($I6685, 'IMPORT VHC Report'!$E:$E, 'IMPORT VHC Report'!$A:$C), )</f>
        <v/>
      </c>
      <c r="C6685" s="44"/>
      <c r="D6685" s="44"/>
      <c r="E6685" s="38"/>
      <c r="F6685" s="38"/>
      <c r="G6685" s="38"/>
      <c r="H6685" s="38"/>
      <c r="I6685" s="38"/>
      <c r="J6685" s="38"/>
      <c r="K6685" s="38"/>
      <c r="L6685" s="41"/>
      <c r="M6685" s="38"/>
      <c r="N6685" s="41"/>
      <c r="O6685" s="38"/>
      <c r="P6685" s="38"/>
      <c r="Q6685" s="39"/>
      <c r="R6685" s="39"/>
      <c r="S6685" s="39"/>
      <c r="T6685" s="39"/>
      <c r="U6685" s="39"/>
    </row>
    <row r="6686">
      <c r="A6686" s="40" t="str">
        <f t="shared" si="1"/>
        <v/>
      </c>
      <c r="B6686" s="37" t="str">
        <f t="array" ref="B6686">iferror(xlookup($I6686, 'IMPORT VHC Report'!$E:$E, 'IMPORT VHC Report'!$A:$C), )</f>
        <v/>
      </c>
      <c r="C6686" s="44"/>
      <c r="D6686" s="44"/>
      <c r="E6686" s="38"/>
      <c r="F6686" s="38"/>
      <c r="G6686" s="38"/>
      <c r="H6686" s="38"/>
      <c r="I6686" s="38"/>
      <c r="J6686" s="38"/>
      <c r="K6686" s="38"/>
      <c r="L6686" s="41"/>
      <c r="M6686" s="38"/>
      <c r="N6686" s="41"/>
      <c r="O6686" s="38"/>
      <c r="P6686" s="38"/>
      <c r="Q6686" s="39"/>
      <c r="R6686" s="39"/>
      <c r="S6686" s="39"/>
      <c r="T6686" s="39"/>
      <c r="U6686" s="39"/>
    </row>
    <row r="6687">
      <c r="A6687" s="40" t="str">
        <f t="shared" si="1"/>
        <v/>
      </c>
      <c r="B6687" s="37" t="str">
        <f t="array" ref="B6687">iferror(xlookup($I6687, 'IMPORT VHC Report'!$E:$E, 'IMPORT VHC Report'!$A:$C), )</f>
        <v/>
      </c>
      <c r="C6687" s="44"/>
      <c r="D6687" s="44"/>
      <c r="E6687" s="38"/>
      <c r="F6687" s="38"/>
      <c r="G6687" s="38"/>
      <c r="H6687" s="38"/>
      <c r="I6687" s="38"/>
      <c r="J6687" s="38"/>
      <c r="K6687" s="38"/>
      <c r="L6687" s="41"/>
      <c r="M6687" s="38"/>
      <c r="N6687" s="41"/>
      <c r="O6687" s="38"/>
      <c r="P6687" s="38"/>
      <c r="Q6687" s="39"/>
      <c r="R6687" s="39"/>
      <c r="S6687" s="39"/>
      <c r="T6687" s="39"/>
      <c r="U6687" s="39"/>
    </row>
    <row r="6688">
      <c r="A6688" s="40" t="str">
        <f t="shared" si="1"/>
        <v/>
      </c>
      <c r="B6688" s="37" t="str">
        <f t="array" ref="B6688">iferror(xlookup($I6688, 'IMPORT VHC Report'!$E:$E, 'IMPORT VHC Report'!$A:$C), )</f>
        <v/>
      </c>
      <c r="C6688" s="44"/>
      <c r="D6688" s="44"/>
      <c r="E6688" s="38"/>
      <c r="F6688" s="38"/>
      <c r="G6688" s="38"/>
      <c r="H6688" s="38"/>
      <c r="I6688" s="38"/>
      <c r="J6688" s="38"/>
      <c r="K6688" s="38"/>
      <c r="L6688" s="41"/>
      <c r="M6688" s="38"/>
      <c r="N6688" s="41"/>
      <c r="O6688" s="38"/>
      <c r="P6688" s="38"/>
      <c r="Q6688" s="39"/>
      <c r="R6688" s="39"/>
      <c r="S6688" s="39"/>
      <c r="T6688" s="39"/>
      <c r="U6688" s="39"/>
    </row>
    <row r="6689">
      <c r="A6689" s="40" t="str">
        <f t="shared" si="1"/>
        <v/>
      </c>
      <c r="B6689" s="37" t="str">
        <f t="array" ref="B6689">iferror(xlookup($I6689, 'IMPORT VHC Report'!$E:$E, 'IMPORT VHC Report'!$A:$C), )</f>
        <v/>
      </c>
      <c r="C6689" s="44"/>
      <c r="D6689" s="44"/>
      <c r="E6689" s="38"/>
      <c r="F6689" s="38"/>
      <c r="G6689" s="38"/>
      <c r="H6689" s="38"/>
      <c r="I6689" s="38"/>
      <c r="J6689" s="38"/>
      <c r="K6689" s="38"/>
      <c r="L6689" s="41"/>
      <c r="M6689" s="38"/>
      <c r="N6689" s="41"/>
      <c r="O6689" s="38"/>
      <c r="P6689" s="38"/>
      <c r="Q6689" s="39"/>
      <c r="R6689" s="39"/>
      <c r="S6689" s="39"/>
      <c r="T6689" s="39"/>
      <c r="U6689" s="39"/>
    </row>
    <row r="6690">
      <c r="A6690" s="40" t="str">
        <f t="shared" si="1"/>
        <v/>
      </c>
      <c r="B6690" s="37" t="str">
        <f t="array" ref="B6690">iferror(xlookup($I6690, 'IMPORT VHC Report'!$E:$E, 'IMPORT VHC Report'!$A:$C), )</f>
        <v/>
      </c>
      <c r="C6690" s="44"/>
      <c r="D6690" s="44"/>
      <c r="E6690" s="38"/>
      <c r="F6690" s="38"/>
      <c r="G6690" s="38"/>
      <c r="H6690" s="38"/>
      <c r="I6690" s="38"/>
      <c r="J6690" s="38"/>
      <c r="K6690" s="38"/>
      <c r="L6690" s="41"/>
      <c r="M6690" s="38"/>
      <c r="N6690" s="41"/>
      <c r="O6690" s="38"/>
      <c r="P6690" s="38"/>
      <c r="Q6690" s="39"/>
      <c r="R6690" s="39"/>
      <c r="S6690" s="39"/>
      <c r="T6690" s="39"/>
      <c r="U6690" s="39"/>
    </row>
    <row r="6691">
      <c r="A6691" s="40" t="str">
        <f t="shared" si="1"/>
        <v/>
      </c>
      <c r="B6691" s="37" t="str">
        <f t="array" ref="B6691">iferror(xlookup($I6691, 'IMPORT VHC Report'!$E:$E, 'IMPORT VHC Report'!$A:$C), )</f>
        <v/>
      </c>
      <c r="C6691" s="44"/>
      <c r="D6691" s="44"/>
      <c r="E6691" s="38"/>
      <c r="F6691" s="38"/>
      <c r="G6691" s="38"/>
      <c r="H6691" s="38"/>
      <c r="I6691" s="38"/>
      <c r="J6691" s="38"/>
      <c r="K6691" s="38"/>
      <c r="L6691" s="41"/>
      <c r="M6691" s="38"/>
      <c r="N6691" s="41"/>
      <c r="O6691" s="38"/>
      <c r="P6691" s="38"/>
      <c r="Q6691" s="39"/>
      <c r="R6691" s="39"/>
      <c r="S6691" s="39"/>
      <c r="T6691" s="39"/>
      <c r="U6691" s="39"/>
    </row>
    <row r="6692">
      <c r="A6692" s="40" t="str">
        <f t="shared" si="1"/>
        <v/>
      </c>
      <c r="B6692" s="37" t="str">
        <f t="array" ref="B6692">iferror(xlookup($I6692, 'IMPORT VHC Report'!$E:$E, 'IMPORT VHC Report'!$A:$C), )</f>
        <v/>
      </c>
      <c r="C6692" s="44"/>
      <c r="D6692" s="44"/>
      <c r="E6692" s="38"/>
      <c r="F6692" s="38"/>
      <c r="G6692" s="38"/>
      <c r="H6692" s="38"/>
      <c r="I6692" s="38"/>
      <c r="J6692" s="38"/>
      <c r="K6692" s="38"/>
      <c r="L6692" s="41"/>
      <c r="M6692" s="38"/>
      <c r="N6692" s="41"/>
      <c r="O6692" s="38"/>
      <c r="P6692" s="38"/>
      <c r="Q6692" s="39"/>
      <c r="R6692" s="39"/>
      <c r="S6692" s="39"/>
      <c r="T6692" s="39"/>
      <c r="U6692" s="39"/>
    </row>
    <row r="6693">
      <c r="A6693" s="40" t="str">
        <f t="shared" si="1"/>
        <v/>
      </c>
      <c r="B6693" s="37" t="str">
        <f t="array" ref="B6693">iferror(xlookup($I6693, 'IMPORT VHC Report'!$E:$E, 'IMPORT VHC Report'!$A:$C), )</f>
        <v/>
      </c>
      <c r="C6693" s="44"/>
      <c r="D6693" s="44"/>
      <c r="E6693" s="38"/>
      <c r="F6693" s="38"/>
      <c r="G6693" s="38"/>
      <c r="H6693" s="38"/>
      <c r="I6693" s="38"/>
      <c r="J6693" s="38"/>
      <c r="K6693" s="38"/>
      <c r="L6693" s="41"/>
      <c r="M6693" s="38"/>
      <c r="N6693" s="41"/>
      <c r="O6693" s="38"/>
      <c r="P6693" s="38"/>
      <c r="Q6693" s="39"/>
      <c r="R6693" s="39"/>
      <c r="S6693" s="39"/>
      <c r="T6693" s="39"/>
      <c r="U6693" s="39"/>
    </row>
    <row r="6694">
      <c r="A6694" s="40" t="str">
        <f t="shared" si="1"/>
        <v/>
      </c>
      <c r="B6694" s="37" t="str">
        <f t="array" ref="B6694">iferror(xlookup($I6694, 'IMPORT VHC Report'!$E:$E, 'IMPORT VHC Report'!$A:$C), )</f>
        <v/>
      </c>
      <c r="C6694" s="44"/>
      <c r="D6694" s="44"/>
      <c r="E6694" s="38"/>
      <c r="F6694" s="38"/>
      <c r="G6694" s="38"/>
      <c r="H6694" s="38"/>
      <c r="I6694" s="38"/>
      <c r="J6694" s="38"/>
      <c r="K6694" s="38"/>
      <c r="L6694" s="41"/>
      <c r="M6694" s="38"/>
      <c r="N6694" s="41"/>
      <c r="O6694" s="38"/>
      <c r="P6694" s="38"/>
      <c r="Q6694" s="39"/>
      <c r="R6694" s="39"/>
      <c r="S6694" s="39"/>
      <c r="T6694" s="39"/>
      <c r="U6694" s="39"/>
    </row>
    <row r="6695">
      <c r="A6695" s="40" t="str">
        <f t="shared" si="1"/>
        <v/>
      </c>
      <c r="B6695" s="37" t="str">
        <f t="array" ref="B6695">iferror(xlookup($I6695, 'IMPORT VHC Report'!$E:$E, 'IMPORT VHC Report'!$A:$C), )</f>
        <v/>
      </c>
      <c r="C6695" s="44"/>
      <c r="D6695" s="44"/>
      <c r="E6695" s="38"/>
      <c r="F6695" s="38"/>
      <c r="G6695" s="38"/>
      <c r="H6695" s="38"/>
      <c r="I6695" s="38"/>
      <c r="J6695" s="38"/>
      <c r="K6695" s="38"/>
      <c r="L6695" s="41"/>
      <c r="M6695" s="38"/>
      <c r="N6695" s="41"/>
      <c r="O6695" s="38"/>
      <c r="P6695" s="38"/>
      <c r="Q6695" s="39"/>
      <c r="R6695" s="39"/>
      <c r="S6695" s="39"/>
      <c r="T6695" s="39"/>
      <c r="U6695" s="39"/>
    </row>
    <row r="6696">
      <c r="A6696" s="40" t="str">
        <f t="shared" si="1"/>
        <v/>
      </c>
      <c r="B6696" s="37" t="str">
        <f t="array" ref="B6696">iferror(xlookup($I6696, 'IMPORT VHC Report'!$E:$E, 'IMPORT VHC Report'!$A:$C), )</f>
        <v/>
      </c>
      <c r="C6696" s="44"/>
      <c r="D6696" s="44"/>
      <c r="E6696" s="38"/>
      <c r="F6696" s="38"/>
      <c r="G6696" s="38"/>
      <c r="H6696" s="38"/>
      <c r="I6696" s="38"/>
      <c r="J6696" s="38"/>
      <c r="K6696" s="38"/>
      <c r="L6696" s="41"/>
      <c r="M6696" s="38"/>
      <c r="N6696" s="41"/>
      <c r="O6696" s="38"/>
      <c r="P6696" s="38"/>
      <c r="Q6696" s="39"/>
      <c r="R6696" s="39"/>
      <c r="S6696" s="39"/>
      <c r="T6696" s="39"/>
      <c r="U6696" s="39"/>
    </row>
    <row r="6697">
      <c r="A6697" s="40" t="str">
        <f t="shared" si="1"/>
        <v/>
      </c>
      <c r="B6697" s="37" t="str">
        <f t="array" ref="B6697">iferror(xlookup($I6697, 'IMPORT VHC Report'!$E:$E, 'IMPORT VHC Report'!$A:$C), )</f>
        <v/>
      </c>
      <c r="C6697" s="44"/>
      <c r="D6697" s="44"/>
      <c r="E6697" s="38"/>
      <c r="F6697" s="38"/>
      <c r="G6697" s="38"/>
      <c r="H6697" s="38"/>
      <c r="I6697" s="38"/>
      <c r="J6697" s="38"/>
      <c r="K6697" s="38"/>
      <c r="L6697" s="41"/>
      <c r="M6697" s="38"/>
      <c r="N6697" s="41"/>
      <c r="O6697" s="38"/>
      <c r="P6697" s="38"/>
      <c r="Q6697" s="39"/>
      <c r="R6697" s="39"/>
      <c r="S6697" s="39"/>
      <c r="T6697" s="39"/>
      <c r="U6697" s="39"/>
    </row>
    <row r="6698">
      <c r="A6698" s="40" t="str">
        <f t="shared" si="1"/>
        <v/>
      </c>
      <c r="B6698" s="37" t="str">
        <f t="array" ref="B6698">iferror(xlookup($I6698, 'IMPORT VHC Report'!$E:$E, 'IMPORT VHC Report'!$A:$C), )</f>
        <v/>
      </c>
      <c r="C6698" s="44"/>
      <c r="D6698" s="44"/>
      <c r="E6698" s="38"/>
      <c r="F6698" s="38"/>
      <c r="G6698" s="38"/>
      <c r="H6698" s="38"/>
      <c r="I6698" s="38"/>
      <c r="J6698" s="38"/>
      <c r="K6698" s="38"/>
      <c r="L6698" s="41"/>
      <c r="M6698" s="38"/>
      <c r="N6698" s="41"/>
      <c r="O6698" s="38"/>
      <c r="P6698" s="38"/>
      <c r="Q6698" s="39"/>
      <c r="R6698" s="39"/>
      <c r="S6698" s="39"/>
      <c r="T6698" s="39"/>
      <c r="U6698" s="39"/>
    </row>
    <row r="6699">
      <c r="A6699" s="40" t="str">
        <f t="shared" si="1"/>
        <v/>
      </c>
      <c r="B6699" s="37" t="str">
        <f t="array" ref="B6699">iferror(xlookup($I6699, 'IMPORT VHC Report'!$E:$E, 'IMPORT VHC Report'!$A:$C), )</f>
        <v/>
      </c>
      <c r="C6699" s="44"/>
      <c r="D6699" s="44"/>
      <c r="E6699" s="38"/>
      <c r="F6699" s="38"/>
      <c r="G6699" s="38"/>
      <c r="H6699" s="38"/>
      <c r="I6699" s="38"/>
      <c r="J6699" s="38"/>
      <c r="K6699" s="38"/>
      <c r="L6699" s="41"/>
      <c r="M6699" s="38"/>
      <c r="N6699" s="41"/>
      <c r="O6699" s="38"/>
      <c r="P6699" s="38"/>
      <c r="Q6699" s="39"/>
      <c r="R6699" s="39"/>
      <c r="S6699" s="39"/>
      <c r="T6699" s="39"/>
      <c r="U6699" s="39"/>
    </row>
    <row r="6700">
      <c r="A6700" s="40" t="str">
        <f t="shared" si="1"/>
        <v/>
      </c>
      <c r="B6700" s="37" t="str">
        <f t="array" ref="B6700">iferror(xlookup($I6700, 'IMPORT VHC Report'!$E:$E, 'IMPORT VHC Report'!$A:$C), )</f>
        <v/>
      </c>
      <c r="C6700" s="44"/>
      <c r="D6700" s="44"/>
      <c r="E6700" s="38"/>
      <c r="F6700" s="38"/>
      <c r="G6700" s="38"/>
      <c r="H6700" s="38"/>
      <c r="I6700" s="38"/>
      <c r="J6700" s="38"/>
      <c r="K6700" s="38"/>
      <c r="L6700" s="41"/>
      <c r="M6700" s="38"/>
      <c r="N6700" s="41"/>
      <c r="O6700" s="38"/>
      <c r="P6700" s="38"/>
      <c r="Q6700" s="39"/>
      <c r="R6700" s="39"/>
      <c r="S6700" s="39"/>
      <c r="T6700" s="39"/>
      <c r="U6700" s="39"/>
    </row>
    <row r="6701">
      <c r="A6701" s="40" t="str">
        <f t="shared" si="1"/>
        <v/>
      </c>
      <c r="B6701" s="37" t="str">
        <f t="array" ref="B6701">iferror(xlookup($I6701, 'IMPORT VHC Report'!$E:$E, 'IMPORT VHC Report'!$A:$C), )</f>
        <v/>
      </c>
      <c r="C6701" s="44"/>
      <c r="D6701" s="44"/>
      <c r="E6701" s="38"/>
      <c r="F6701" s="38"/>
      <c r="G6701" s="38"/>
      <c r="H6701" s="38"/>
      <c r="I6701" s="38"/>
      <c r="J6701" s="38"/>
      <c r="K6701" s="38"/>
      <c r="L6701" s="41"/>
      <c r="M6701" s="38"/>
      <c r="N6701" s="41"/>
      <c r="O6701" s="38"/>
      <c r="P6701" s="38"/>
      <c r="Q6701" s="39"/>
      <c r="R6701" s="39"/>
      <c r="S6701" s="39"/>
      <c r="T6701" s="39"/>
      <c r="U6701" s="39"/>
    </row>
    <row r="6702">
      <c r="A6702" s="40" t="str">
        <f t="shared" si="1"/>
        <v/>
      </c>
      <c r="B6702" s="37" t="str">
        <f t="array" ref="B6702">iferror(xlookup($I6702, 'IMPORT VHC Report'!$E:$E, 'IMPORT VHC Report'!$A:$C), )</f>
        <v/>
      </c>
      <c r="C6702" s="44"/>
      <c r="D6702" s="44"/>
      <c r="E6702" s="38"/>
      <c r="F6702" s="38"/>
      <c r="G6702" s="38"/>
      <c r="H6702" s="38"/>
      <c r="I6702" s="38"/>
      <c r="J6702" s="38"/>
      <c r="K6702" s="38"/>
      <c r="L6702" s="41"/>
      <c r="M6702" s="38"/>
      <c r="N6702" s="41"/>
      <c r="O6702" s="38"/>
      <c r="P6702" s="38"/>
      <c r="Q6702" s="39"/>
      <c r="R6702" s="39"/>
      <c r="S6702" s="39"/>
      <c r="T6702" s="39"/>
      <c r="U6702" s="39"/>
    </row>
    <row r="6703">
      <c r="A6703" s="40" t="str">
        <f t="shared" si="1"/>
        <v/>
      </c>
      <c r="B6703" s="37" t="str">
        <f t="array" ref="B6703">iferror(xlookup($I6703, 'IMPORT VHC Report'!$E:$E, 'IMPORT VHC Report'!$A:$C), )</f>
        <v/>
      </c>
      <c r="C6703" s="44"/>
      <c r="D6703" s="44"/>
      <c r="E6703" s="38"/>
      <c r="F6703" s="38"/>
      <c r="G6703" s="38"/>
      <c r="H6703" s="38"/>
      <c r="I6703" s="38"/>
      <c r="J6703" s="38"/>
      <c r="K6703" s="38"/>
      <c r="L6703" s="41"/>
      <c r="M6703" s="38"/>
      <c r="N6703" s="41"/>
      <c r="O6703" s="38"/>
      <c r="P6703" s="38"/>
      <c r="Q6703" s="39"/>
      <c r="R6703" s="39"/>
      <c r="S6703" s="39"/>
      <c r="T6703" s="39"/>
      <c r="U6703" s="39"/>
    </row>
    <row r="6704">
      <c r="A6704" s="40" t="str">
        <f t="shared" si="1"/>
        <v/>
      </c>
      <c r="B6704" s="37" t="str">
        <f t="array" ref="B6704">iferror(xlookup($I6704, 'IMPORT VHC Report'!$E:$E, 'IMPORT VHC Report'!$A:$C), )</f>
        <v/>
      </c>
      <c r="C6704" s="44"/>
      <c r="D6704" s="44"/>
      <c r="E6704" s="38"/>
      <c r="F6704" s="38"/>
      <c r="G6704" s="38"/>
      <c r="H6704" s="38"/>
      <c r="I6704" s="38"/>
      <c r="J6704" s="38"/>
      <c r="K6704" s="38"/>
      <c r="L6704" s="41"/>
      <c r="M6704" s="38"/>
      <c r="N6704" s="41"/>
      <c r="O6704" s="38"/>
      <c r="P6704" s="38"/>
      <c r="Q6704" s="39"/>
      <c r="R6704" s="39"/>
      <c r="S6704" s="39"/>
      <c r="T6704" s="39"/>
      <c r="U6704" s="39"/>
    </row>
    <row r="6705">
      <c r="A6705" s="40" t="str">
        <f t="shared" si="1"/>
        <v/>
      </c>
      <c r="B6705" s="37" t="str">
        <f t="array" ref="B6705">iferror(xlookup($I6705, 'IMPORT VHC Report'!$E:$E, 'IMPORT VHC Report'!$A:$C), )</f>
        <v/>
      </c>
      <c r="C6705" s="44"/>
      <c r="D6705" s="44"/>
      <c r="E6705" s="38"/>
      <c r="F6705" s="38"/>
      <c r="G6705" s="38"/>
      <c r="H6705" s="38"/>
      <c r="I6705" s="38"/>
      <c r="J6705" s="38"/>
      <c r="K6705" s="38"/>
      <c r="L6705" s="41"/>
      <c r="M6705" s="38"/>
      <c r="N6705" s="41"/>
      <c r="O6705" s="38"/>
      <c r="P6705" s="38"/>
      <c r="Q6705" s="39"/>
      <c r="R6705" s="39"/>
      <c r="S6705" s="39"/>
      <c r="T6705" s="39"/>
      <c r="U6705" s="39"/>
    </row>
    <row r="6706">
      <c r="A6706" s="40" t="str">
        <f t="shared" si="1"/>
        <v/>
      </c>
      <c r="B6706" s="37" t="str">
        <f t="array" ref="B6706">iferror(xlookup($I6706, 'IMPORT VHC Report'!$E:$E, 'IMPORT VHC Report'!$A:$C), )</f>
        <v/>
      </c>
      <c r="C6706" s="44"/>
      <c r="D6706" s="44"/>
      <c r="E6706" s="38"/>
      <c r="F6706" s="38"/>
      <c r="G6706" s="38"/>
      <c r="H6706" s="38"/>
      <c r="I6706" s="38"/>
      <c r="J6706" s="38"/>
      <c r="K6706" s="38"/>
      <c r="L6706" s="41"/>
      <c r="M6706" s="38"/>
      <c r="N6706" s="41"/>
      <c r="O6706" s="38"/>
      <c r="P6706" s="38"/>
      <c r="Q6706" s="39"/>
      <c r="R6706" s="39"/>
      <c r="S6706" s="39"/>
      <c r="T6706" s="39"/>
      <c r="U6706" s="39"/>
    </row>
    <row r="6707">
      <c r="A6707" s="40" t="str">
        <f t="shared" si="1"/>
        <v/>
      </c>
      <c r="B6707" s="37" t="str">
        <f t="array" ref="B6707">iferror(xlookup($I6707, 'IMPORT VHC Report'!$E:$E, 'IMPORT VHC Report'!$A:$C), )</f>
        <v/>
      </c>
      <c r="C6707" s="44"/>
      <c r="D6707" s="44"/>
      <c r="E6707" s="38"/>
      <c r="F6707" s="38"/>
      <c r="G6707" s="38"/>
      <c r="H6707" s="38"/>
      <c r="I6707" s="38"/>
      <c r="J6707" s="38"/>
      <c r="K6707" s="38"/>
      <c r="L6707" s="41"/>
      <c r="M6707" s="38"/>
      <c r="N6707" s="41"/>
      <c r="O6707" s="38"/>
      <c r="P6707" s="38"/>
      <c r="Q6707" s="39"/>
      <c r="R6707" s="39"/>
      <c r="S6707" s="39"/>
      <c r="T6707" s="39"/>
      <c r="U6707" s="39"/>
    </row>
    <row r="6708">
      <c r="A6708" s="40" t="str">
        <f t="shared" si="1"/>
        <v/>
      </c>
      <c r="B6708" s="37" t="str">
        <f t="array" ref="B6708">iferror(xlookup($I6708, 'IMPORT VHC Report'!$E:$E, 'IMPORT VHC Report'!$A:$C), )</f>
        <v/>
      </c>
      <c r="C6708" s="44"/>
      <c r="D6708" s="44"/>
      <c r="E6708" s="38"/>
      <c r="F6708" s="38"/>
      <c r="G6708" s="38"/>
      <c r="H6708" s="38"/>
      <c r="I6708" s="38"/>
      <c r="J6708" s="38"/>
      <c r="K6708" s="38"/>
      <c r="L6708" s="41"/>
      <c r="M6708" s="38"/>
      <c r="N6708" s="41"/>
      <c r="O6708" s="38"/>
      <c r="P6708" s="38"/>
      <c r="Q6708" s="39"/>
      <c r="R6708" s="39"/>
      <c r="S6708" s="39"/>
      <c r="T6708" s="39"/>
      <c r="U6708" s="39"/>
    </row>
    <row r="6709">
      <c r="A6709" s="40" t="str">
        <f t="shared" si="1"/>
        <v/>
      </c>
      <c r="B6709" s="37" t="str">
        <f t="array" ref="B6709">iferror(xlookup($I6709, 'IMPORT VHC Report'!$E:$E, 'IMPORT VHC Report'!$A:$C), )</f>
        <v/>
      </c>
      <c r="C6709" s="44"/>
      <c r="D6709" s="44"/>
      <c r="E6709" s="38"/>
      <c r="F6709" s="38"/>
      <c r="G6709" s="38"/>
      <c r="H6709" s="38"/>
      <c r="I6709" s="38"/>
      <c r="J6709" s="38"/>
      <c r="K6709" s="38"/>
      <c r="L6709" s="41"/>
      <c r="M6709" s="38"/>
      <c r="N6709" s="41"/>
      <c r="O6709" s="38"/>
      <c r="P6709" s="38"/>
      <c r="Q6709" s="39"/>
      <c r="R6709" s="39"/>
      <c r="S6709" s="39"/>
      <c r="T6709" s="39"/>
      <c r="U6709" s="39"/>
    </row>
    <row r="6710">
      <c r="A6710" s="40" t="str">
        <f t="shared" si="1"/>
        <v/>
      </c>
      <c r="B6710" s="37" t="str">
        <f t="array" ref="B6710">iferror(xlookup($I6710, 'IMPORT VHC Report'!$E:$E, 'IMPORT VHC Report'!$A:$C), )</f>
        <v/>
      </c>
      <c r="C6710" s="44"/>
      <c r="D6710" s="44"/>
      <c r="E6710" s="38"/>
      <c r="F6710" s="38"/>
      <c r="G6710" s="38"/>
      <c r="H6710" s="38"/>
      <c r="I6710" s="38"/>
      <c r="J6710" s="38"/>
      <c r="K6710" s="38"/>
      <c r="L6710" s="41"/>
      <c r="M6710" s="38"/>
      <c r="N6710" s="41"/>
      <c r="O6710" s="38"/>
      <c r="P6710" s="38"/>
      <c r="Q6710" s="39"/>
      <c r="R6710" s="39"/>
      <c r="S6710" s="39"/>
      <c r="T6710" s="39"/>
      <c r="U6710" s="39"/>
    </row>
    <row r="6711">
      <c r="A6711" s="40" t="str">
        <f t="shared" si="1"/>
        <v/>
      </c>
      <c r="B6711" s="37" t="str">
        <f t="array" ref="B6711">iferror(xlookup($I6711, 'IMPORT VHC Report'!$E:$E, 'IMPORT VHC Report'!$A:$C), )</f>
        <v/>
      </c>
      <c r="C6711" s="44"/>
      <c r="D6711" s="44"/>
      <c r="E6711" s="38"/>
      <c r="F6711" s="38"/>
      <c r="G6711" s="38"/>
      <c r="H6711" s="38"/>
      <c r="I6711" s="38"/>
      <c r="J6711" s="38"/>
      <c r="K6711" s="38"/>
      <c r="L6711" s="41"/>
      <c r="M6711" s="38"/>
      <c r="N6711" s="41"/>
      <c r="O6711" s="38"/>
      <c r="P6711" s="38"/>
      <c r="Q6711" s="39"/>
      <c r="R6711" s="39"/>
      <c r="S6711" s="39"/>
      <c r="T6711" s="39"/>
      <c r="U6711" s="39"/>
    </row>
    <row r="6712">
      <c r="A6712" s="40" t="str">
        <f t="shared" si="1"/>
        <v/>
      </c>
      <c r="B6712" s="37" t="str">
        <f t="array" ref="B6712">iferror(xlookup($I6712, 'IMPORT VHC Report'!$E:$E, 'IMPORT VHC Report'!$A:$C), )</f>
        <v/>
      </c>
      <c r="C6712" s="44"/>
      <c r="D6712" s="44"/>
      <c r="E6712" s="38"/>
      <c r="F6712" s="38"/>
      <c r="G6712" s="38"/>
      <c r="H6712" s="38"/>
      <c r="I6712" s="38"/>
      <c r="J6712" s="38"/>
      <c r="K6712" s="38"/>
      <c r="L6712" s="41"/>
      <c r="M6712" s="38"/>
      <c r="N6712" s="41"/>
      <c r="O6712" s="38"/>
      <c r="P6712" s="38"/>
      <c r="Q6712" s="39"/>
      <c r="R6712" s="39"/>
      <c r="S6712" s="39"/>
      <c r="T6712" s="39"/>
      <c r="U6712" s="39"/>
    </row>
    <row r="6713">
      <c r="A6713" s="40" t="str">
        <f t="shared" si="1"/>
        <v/>
      </c>
      <c r="B6713" s="37" t="str">
        <f t="array" ref="B6713">iferror(xlookup($I6713, 'IMPORT VHC Report'!$E:$E, 'IMPORT VHC Report'!$A:$C), )</f>
        <v/>
      </c>
      <c r="C6713" s="44"/>
      <c r="D6713" s="44"/>
      <c r="E6713" s="38"/>
      <c r="F6713" s="38"/>
      <c r="G6713" s="38"/>
      <c r="H6713" s="38"/>
      <c r="I6713" s="38"/>
      <c r="J6713" s="38"/>
      <c r="K6713" s="38"/>
      <c r="L6713" s="41"/>
      <c r="M6713" s="38"/>
      <c r="N6713" s="41"/>
      <c r="O6713" s="38"/>
      <c r="P6713" s="38"/>
      <c r="Q6713" s="39"/>
      <c r="R6713" s="39"/>
      <c r="S6713" s="39"/>
      <c r="T6713" s="39"/>
      <c r="U6713" s="39"/>
    </row>
    <row r="6714">
      <c r="A6714" s="40" t="str">
        <f t="shared" si="1"/>
        <v/>
      </c>
      <c r="B6714" s="37" t="str">
        <f t="array" ref="B6714">iferror(xlookup($I6714, 'IMPORT VHC Report'!$E:$E, 'IMPORT VHC Report'!$A:$C), )</f>
        <v/>
      </c>
      <c r="C6714" s="44"/>
      <c r="D6714" s="44"/>
      <c r="E6714" s="38"/>
      <c r="F6714" s="38"/>
      <c r="G6714" s="38"/>
      <c r="H6714" s="38"/>
      <c r="I6714" s="38"/>
      <c r="J6714" s="38"/>
      <c r="K6714" s="38"/>
      <c r="L6714" s="41"/>
      <c r="M6714" s="38"/>
      <c r="N6714" s="41"/>
      <c r="O6714" s="38"/>
      <c r="P6714" s="38"/>
      <c r="Q6714" s="39"/>
      <c r="R6714" s="39"/>
      <c r="S6714" s="39"/>
      <c r="T6714" s="39"/>
      <c r="U6714" s="39"/>
    </row>
    <row r="6715">
      <c r="A6715" s="40" t="str">
        <f t="shared" si="1"/>
        <v/>
      </c>
      <c r="B6715" s="37" t="str">
        <f t="array" ref="B6715">iferror(xlookup($I6715, 'IMPORT VHC Report'!$E:$E, 'IMPORT VHC Report'!$A:$C), )</f>
        <v/>
      </c>
      <c r="C6715" s="44"/>
      <c r="D6715" s="44"/>
      <c r="E6715" s="38"/>
      <c r="F6715" s="38"/>
      <c r="G6715" s="38"/>
      <c r="H6715" s="38"/>
      <c r="I6715" s="38"/>
      <c r="J6715" s="38"/>
      <c r="K6715" s="38"/>
      <c r="L6715" s="41"/>
      <c r="M6715" s="38"/>
      <c r="N6715" s="41"/>
      <c r="O6715" s="38"/>
      <c r="P6715" s="38"/>
      <c r="Q6715" s="39"/>
      <c r="R6715" s="39"/>
      <c r="S6715" s="39"/>
      <c r="T6715" s="39"/>
      <c r="U6715" s="39"/>
    </row>
    <row r="6716">
      <c r="A6716" s="40" t="str">
        <f t="shared" si="1"/>
        <v/>
      </c>
      <c r="B6716" s="37" t="str">
        <f t="array" ref="B6716">iferror(xlookup($I6716, 'IMPORT VHC Report'!$E:$E, 'IMPORT VHC Report'!$A:$C), )</f>
        <v/>
      </c>
      <c r="C6716" s="44"/>
      <c r="D6716" s="44"/>
      <c r="E6716" s="38"/>
      <c r="F6716" s="38"/>
      <c r="G6716" s="38"/>
      <c r="H6716" s="38"/>
      <c r="I6716" s="38"/>
      <c r="J6716" s="38"/>
      <c r="K6716" s="38"/>
      <c r="L6716" s="41"/>
      <c r="M6716" s="38"/>
      <c r="N6716" s="41"/>
      <c r="O6716" s="38"/>
      <c r="P6716" s="38"/>
      <c r="Q6716" s="39"/>
      <c r="R6716" s="39"/>
      <c r="S6716" s="39"/>
      <c r="T6716" s="39"/>
      <c r="U6716" s="39"/>
    </row>
    <row r="6717">
      <c r="A6717" s="40" t="str">
        <f t="shared" si="1"/>
        <v/>
      </c>
      <c r="B6717" s="37" t="str">
        <f t="array" ref="B6717">iferror(xlookup($I6717, 'IMPORT VHC Report'!$E:$E, 'IMPORT VHC Report'!$A:$C), )</f>
        <v/>
      </c>
      <c r="C6717" s="44"/>
      <c r="D6717" s="44"/>
      <c r="E6717" s="38"/>
      <c r="F6717" s="38"/>
      <c r="G6717" s="38"/>
      <c r="H6717" s="38"/>
      <c r="I6717" s="38"/>
      <c r="J6717" s="38"/>
      <c r="K6717" s="38"/>
      <c r="L6717" s="41"/>
      <c r="M6717" s="38"/>
      <c r="N6717" s="41"/>
      <c r="O6717" s="38"/>
      <c r="P6717" s="38"/>
      <c r="Q6717" s="39"/>
      <c r="R6717" s="39"/>
      <c r="S6717" s="39"/>
      <c r="T6717" s="39"/>
      <c r="U6717" s="39"/>
    </row>
    <row r="6718">
      <c r="A6718" s="40" t="str">
        <f t="shared" si="1"/>
        <v/>
      </c>
      <c r="B6718" s="37" t="str">
        <f t="array" ref="B6718">iferror(xlookup($I6718, 'IMPORT VHC Report'!$E:$E, 'IMPORT VHC Report'!$A:$C), )</f>
        <v/>
      </c>
      <c r="C6718" s="44"/>
      <c r="D6718" s="44"/>
      <c r="E6718" s="38"/>
      <c r="F6718" s="38"/>
      <c r="G6718" s="38"/>
      <c r="H6718" s="38"/>
      <c r="I6718" s="38"/>
      <c r="J6718" s="38"/>
      <c r="K6718" s="38"/>
      <c r="L6718" s="41"/>
      <c r="M6718" s="38"/>
      <c r="N6718" s="41"/>
      <c r="O6718" s="38"/>
      <c r="P6718" s="38"/>
      <c r="Q6718" s="39"/>
      <c r="R6718" s="39"/>
      <c r="S6718" s="39"/>
      <c r="T6718" s="39"/>
      <c r="U6718" s="39"/>
    </row>
    <row r="6719">
      <c r="A6719" s="40" t="str">
        <f t="shared" si="1"/>
        <v/>
      </c>
      <c r="B6719" s="37" t="str">
        <f t="array" ref="B6719">iferror(xlookup($I6719, 'IMPORT VHC Report'!$E:$E, 'IMPORT VHC Report'!$A:$C), )</f>
        <v/>
      </c>
      <c r="C6719" s="44"/>
      <c r="D6719" s="44"/>
      <c r="E6719" s="38"/>
      <c r="F6719" s="38"/>
      <c r="G6719" s="38"/>
      <c r="H6719" s="38"/>
      <c r="I6719" s="38"/>
      <c r="J6719" s="38"/>
      <c r="K6719" s="38"/>
      <c r="L6719" s="41"/>
      <c r="M6719" s="38"/>
      <c r="N6719" s="41"/>
      <c r="O6719" s="38"/>
      <c r="P6719" s="38"/>
      <c r="Q6719" s="39"/>
      <c r="R6719" s="39"/>
      <c r="S6719" s="39"/>
      <c r="T6719" s="39"/>
      <c r="U6719" s="39"/>
    </row>
    <row r="6720">
      <c r="A6720" s="40" t="str">
        <f t="shared" si="1"/>
        <v/>
      </c>
      <c r="B6720" s="37" t="str">
        <f t="array" ref="B6720">iferror(xlookup($I6720, 'IMPORT VHC Report'!$E:$E, 'IMPORT VHC Report'!$A:$C), )</f>
        <v/>
      </c>
      <c r="C6720" s="44"/>
      <c r="D6720" s="44"/>
      <c r="E6720" s="38"/>
      <c r="F6720" s="38"/>
      <c r="G6720" s="38"/>
      <c r="H6720" s="38"/>
      <c r="I6720" s="38"/>
      <c r="J6720" s="38"/>
      <c r="K6720" s="38"/>
      <c r="L6720" s="41"/>
      <c r="M6720" s="38"/>
      <c r="N6720" s="41"/>
      <c r="O6720" s="38"/>
      <c r="P6720" s="38"/>
      <c r="Q6720" s="39"/>
      <c r="R6720" s="39"/>
      <c r="S6720" s="39"/>
      <c r="T6720" s="39"/>
      <c r="U6720" s="39"/>
    </row>
    <row r="6721">
      <c r="A6721" s="40" t="str">
        <f t="shared" si="1"/>
        <v/>
      </c>
      <c r="B6721" s="37" t="str">
        <f t="array" ref="B6721">iferror(xlookup($I6721, 'IMPORT VHC Report'!$E:$E, 'IMPORT VHC Report'!$A:$C), )</f>
        <v/>
      </c>
      <c r="C6721" s="44"/>
      <c r="D6721" s="44"/>
      <c r="E6721" s="38"/>
      <c r="F6721" s="38"/>
      <c r="G6721" s="38"/>
      <c r="H6721" s="38"/>
      <c r="I6721" s="38"/>
      <c r="J6721" s="38"/>
      <c r="K6721" s="38"/>
      <c r="L6721" s="41"/>
      <c r="M6721" s="38"/>
      <c r="N6721" s="41"/>
      <c r="O6721" s="38"/>
      <c r="P6721" s="38"/>
      <c r="Q6721" s="39"/>
      <c r="R6721" s="39"/>
      <c r="S6721" s="39"/>
      <c r="T6721" s="39"/>
      <c r="U6721" s="39"/>
    </row>
    <row r="6722">
      <c r="A6722" s="40" t="str">
        <f t="shared" si="1"/>
        <v/>
      </c>
      <c r="B6722" s="37" t="str">
        <f t="array" ref="B6722">iferror(xlookup($I6722, 'IMPORT VHC Report'!$E:$E, 'IMPORT VHC Report'!$A:$C), )</f>
        <v/>
      </c>
      <c r="C6722" s="44"/>
      <c r="D6722" s="44"/>
      <c r="E6722" s="38"/>
      <c r="F6722" s="38"/>
      <c r="G6722" s="38"/>
      <c r="H6722" s="38"/>
      <c r="I6722" s="38"/>
      <c r="J6722" s="38"/>
      <c r="K6722" s="38"/>
      <c r="L6722" s="41"/>
      <c r="M6722" s="38"/>
      <c r="N6722" s="41"/>
      <c r="O6722" s="38"/>
      <c r="P6722" s="38"/>
      <c r="Q6722" s="39"/>
      <c r="R6722" s="39"/>
      <c r="S6722" s="39"/>
      <c r="T6722" s="39"/>
      <c r="U6722" s="39"/>
    </row>
    <row r="6723">
      <c r="A6723" s="40" t="str">
        <f t="shared" si="1"/>
        <v/>
      </c>
      <c r="B6723" s="37" t="str">
        <f t="array" ref="B6723">iferror(xlookup($I6723, 'IMPORT VHC Report'!$E:$E, 'IMPORT VHC Report'!$A:$C), )</f>
        <v/>
      </c>
      <c r="C6723" s="44"/>
      <c r="D6723" s="44"/>
      <c r="E6723" s="38"/>
      <c r="F6723" s="38"/>
      <c r="G6723" s="38"/>
      <c r="H6723" s="38"/>
      <c r="I6723" s="38"/>
      <c r="J6723" s="38"/>
      <c r="K6723" s="38"/>
      <c r="L6723" s="41"/>
      <c r="M6723" s="38"/>
      <c r="N6723" s="41"/>
      <c r="O6723" s="38"/>
      <c r="P6723" s="38"/>
      <c r="Q6723" s="39"/>
      <c r="R6723" s="39"/>
      <c r="S6723" s="39"/>
      <c r="T6723" s="39"/>
      <c r="U6723" s="39"/>
    </row>
    <row r="6724">
      <c r="A6724" s="40" t="str">
        <f t="shared" si="1"/>
        <v/>
      </c>
      <c r="B6724" s="37" t="str">
        <f t="array" ref="B6724">iferror(xlookup($I6724, 'IMPORT VHC Report'!$E:$E, 'IMPORT VHC Report'!$A:$C), )</f>
        <v/>
      </c>
      <c r="C6724" s="44"/>
      <c r="D6724" s="44"/>
      <c r="E6724" s="38"/>
      <c r="F6724" s="38"/>
      <c r="G6724" s="38"/>
      <c r="H6724" s="38"/>
      <c r="I6724" s="38"/>
      <c r="J6724" s="38"/>
      <c r="K6724" s="38"/>
      <c r="L6724" s="41"/>
      <c r="M6724" s="38"/>
      <c r="N6724" s="41"/>
      <c r="O6724" s="38"/>
      <c r="P6724" s="38"/>
      <c r="Q6724" s="39"/>
      <c r="R6724" s="39"/>
      <c r="S6724" s="39"/>
      <c r="T6724" s="39"/>
      <c r="U6724" s="39"/>
    </row>
    <row r="6725">
      <c r="A6725" s="40" t="str">
        <f t="shared" si="1"/>
        <v/>
      </c>
      <c r="B6725" s="37" t="str">
        <f t="array" ref="B6725">iferror(xlookup($I6725, 'IMPORT VHC Report'!$E:$E, 'IMPORT VHC Report'!$A:$C), )</f>
        <v/>
      </c>
      <c r="C6725" s="44"/>
      <c r="D6725" s="44"/>
      <c r="E6725" s="38"/>
      <c r="F6725" s="38"/>
      <c r="G6725" s="38"/>
      <c r="H6725" s="38"/>
      <c r="I6725" s="38"/>
      <c r="J6725" s="38"/>
      <c r="K6725" s="38"/>
      <c r="L6725" s="41"/>
      <c r="M6725" s="38"/>
      <c r="N6725" s="41"/>
      <c r="O6725" s="38"/>
      <c r="P6725" s="38"/>
      <c r="Q6725" s="39"/>
      <c r="R6725" s="39"/>
      <c r="S6725" s="39"/>
      <c r="T6725" s="39"/>
      <c r="U6725" s="39"/>
    </row>
    <row r="6726">
      <c r="A6726" s="40" t="str">
        <f t="shared" si="1"/>
        <v/>
      </c>
      <c r="B6726" s="37" t="str">
        <f t="array" ref="B6726">iferror(xlookup($I6726, 'IMPORT VHC Report'!$E:$E, 'IMPORT VHC Report'!$A:$C), )</f>
        <v/>
      </c>
      <c r="C6726" s="44"/>
      <c r="D6726" s="44"/>
      <c r="E6726" s="38"/>
      <c r="F6726" s="38"/>
      <c r="G6726" s="38"/>
      <c r="H6726" s="38"/>
      <c r="I6726" s="38"/>
      <c r="J6726" s="38"/>
      <c r="K6726" s="38"/>
      <c r="L6726" s="41"/>
      <c r="M6726" s="38"/>
      <c r="N6726" s="41"/>
      <c r="O6726" s="38"/>
      <c r="P6726" s="38"/>
      <c r="Q6726" s="39"/>
      <c r="R6726" s="39"/>
      <c r="S6726" s="39"/>
      <c r="T6726" s="39"/>
      <c r="U6726" s="39"/>
    </row>
    <row r="6727">
      <c r="A6727" s="40" t="str">
        <f t="shared" si="1"/>
        <v/>
      </c>
      <c r="B6727" s="37" t="str">
        <f t="array" ref="B6727">iferror(xlookup($I6727, 'IMPORT VHC Report'!$E:$E, 'IMPORT VHC Report'!$A:$C), )</f>
        <v/>
      </c>
      <c r="C6727" s="44"/>
      <c r="D6727" s="44"/>
      <c r="E6727" s="38"/>
      <c r="F6727" s="38"/>
      <c r="G6727" s="38"/>
      <c r="H6727" s="38"/>
      <c r="I6727" s="38"/>
      <c r="J6727" s="38"/>
      <c r="K6727" s="38"/>
      <c r="L6727" s="41"/>
      <c r="M6727" s="38"/>
      <c r="N6727" s="41"/>
      <c r="O6727" s="38"/>
      <c r="P6727" s="38"/>
      <c r="Q6727" s="39"/>
      <c r="R6727" s="39"/>
      <c r="S6727" s="39"/>
      <c r="T6727" s="39"/>
      <c r="U6727" s="39"/>
    </row>
    <row r="6728">
      <c r="A6728" s="40" t="str">
        <f t="shared" si="1"/>
        <v/>
      </c>
      <c r="B6728" s="37" t="str">
        <f t="array" ref="B6728">iferror(xlookup($I6728, 'IMPORT VHC Report'!$E:$E, 'IMPORT VHC Report'!$A:$C), )</f>
        <v/>
      </c>
      <c r="C6728" s="44"/>
      <c r="D6728" s="44"/>
      <c r="E6728" s="38"/>
      <c r="F6728" s="38"/>
      <c r="G6728" s="38"/>
      <c r="H6728" s="38"/>
      <c r="I6728" s="38"/>
      <c r="J6728" s="38"/>
      <c r="K6728" s="38"/>
      <c r="L6728" s="41"/>
      <c r="M6728" s="38"/>
      <c r="N6728" s="41"/>
      <c r="O6728" s="38"/>
      <c r="P6728" s="38"/>
      <c r="Q6728" s="39"/>
      <c r="R6728" s="39"/>
      <c r="S6728" s="39"/>
      <c r="T6728" s="39"/>
      <c r="U6728" s="39"/>
    </row>
    <row r="6729">
      <c r="A6729" s="40" t="str">
        <f t="shared" si="1"/>
        <v/>
      </c>
      <c r="B6729" s="37" t="str">
        <f t="array" ref="B6729">iferror(xlookup($I6729, 'IMPORT VHC Report'!$E:$E, 'IMPORT VHC Report'!$A:$C), )</f>
        <v/>
      </c>
      <c r="C6729" s="44"/>
      <c r="D6729" s="44"/>
      <c r="E6729" s="38"/>
      <c r="F6729" s="38"/>
      <c r="G6729" s="38"/>
      <c r="H6729" s="38"/>
      <c r="I6729" s="38"/>
      <c r="J6729" s="38"/>
      <c r="K6729" s="38"/>
      <c r="L6729" s="41"/>
      <c r="M6729" s="38"/>
      <c r="N6729" s="41"/>
      <c r="O6729" s="38"/>
      <c r="P6729" s="38"/>
      <c r="Q6729" s="39"/>
      <c r="R6729" s="39"/>
      <c r="S6729" s="39"/>
      <c r="T6729" s="39"/>
      <c r="U6729" s="39"/>
    </row>
    <row r="6730">
      <c r="A6730" s="40" t="str">
        <f t="shared" si="1"/>
        <v/>
      </c>
      <c r="B6730" s="37" t="str">
        <f t="array" ref="B6730">iferror(xlookup($I6730, 'IMPORT VHC Report'!$E:$E, 'IMPORT VHC Report'!$A:$C), )</f>
        <v/>
      </c>
      <c r="C6730" s="44"/>
      <c r="D6730" s="44"/>
      <c r="E6730" s="38"/>
      <c r="F6730" s="38"/>
      <c r="G6730" s="38"/>
      <c r="H6730" s="38"/>
      <c r="I6730" s="38"/>
      <c r="J6730" s="38"/>
      <c r="K6730" s="38"/>
      <c r="L6730" s="41"/>
      <c r="M6730" s="38"/>
      <c r="N6730" s="41"/>
      <c r="O6730" s="38"/>
      <c r="P6730" s="38"/>
      <c r="Q6730" s="39"/>
      <c r="R6730" s="39"/>
      <c r="S6730" s="39"/>
      <c r="T6730" s="39"/>
      <c r="U6730" s="39"/>
    </row>
    <row r="6731">
      <c r="A6731" s="40" t="str">
        <f t="shared" si="1"/>
        <v/>
      </c>
      <c r="B6731" s="37" t="str">
        <f t="array" ref="B6731">iferror(xlookup($I6731, 'IMPORT VHC Report'!$E:$E, 'IMPORT VHC Report'!$A:$C), )</f>
        <v/>
      </c>
      <c r="C6731" s="44"/>
      <c r="D6731" s="44"/>
      <c r="E6731" s="38"/>
      <c r="F6731" s="38"/>
      <c r="G6731" s="38"/>
      <c r="H6731" s="38"/>
      <c r="I6731" s="38"/>
      <c r="J6731" s="38"/>
      <c r="K6731" s="38"/>
      <c r="L6731" s="41"/>
      <c r="M6731" s="38"/>
      <c r="N6731" s="41"/>
      <c r="O6731" s="38"/>
      <c r="P6731" s="38"/>
      <c r="Q6731" s="39"/>
      <c r="R6731" s="39"/>
      <c r="S6731" s="39"/>
      <c r="T6731" s="39"/>
      <c r="U6731" s="39"/>
    </row>
    <row r="6732">
      <c r="A6732" s="40" t="str">
        <f t="shared" si="1"/>
        <v/>
      </c>
      <c r="B6732" s="37" t="str">
        <f t="array" ref="B6732">iferror(xlookup($I6732, 'IMPORT VHC Report'!$E:$E, 'IMPORT VHC Report'!$A:$C), )</f>
        <v/>
      </c>
      <c r="C6732" s="44"/>
      <c r="D6732" s="44"/>
      <c r="E6732" s="38"/>
      <c r="F6732" s="38"/>
      <c r="G6732" s="38"/>
      <c r="H6732" s="38"/>
      <c r="I6732" s="38"/>
      <c r="J6732" s="38"/>
      <c r="K6732" s="38"/>
      <c r="L6732" s="41"/>
      <c r="M6732" s="38"/>
      <c r="N6732" s="41"/>
      <c r="O6732" s="38"/>
      <c r="P6732" s="38"/>
      <c r="Q6732" s="39"/>
      <c r="R6732" s="39"/>
      <c r="S6732" s="39"/>
      <c r="T6732" s="39"/>
      <c r="U6732" s="39"/>
    </row>
    <row r="6733">
      <c r="A6733" s="40" t="str">
        <f t="shared" si="1"/>
        <v/>
      </c>
      <c r="B6733" s="37" t="str">
        <f t="array" ref="B6733">iferror(xlookup($I6733, 'IMPORT VHC Report'!$E:$E, 'IMPORT VHC Report'!$A:$C), )</f>
        <v/>
      </c>
      <c r="C6733" s="44"/>
      <c r="D6733" s="44"/>
      <c r="E6733" s="38"/>
      <c r="F6733" s="38"/>
      <c r="G6733" s="38"/>
      <c r="H6733" s="38"/>
      <c r="I6733" s="38"/>
      <c r="J6733" s="38"/>
      <c r="K6733" s="38"/>
      <c r="L6733" s="41"/>
      <c r="M6733" s="38"/>
      <c r="N6733" s="41"/>
      <c r="O6733" s="38"/>
      <c r="P6733" s="38"/>
      <c r="Q6733" s="39"/>
      <c r="R6733" s="39"/>
      <c r="S6733" s="39"/>
      <c r="T6733" s="39"/>
      <c r="U6733" s="39"/>
    </row>
    <row r="6734">
      <c r="A6734" s="40" t="str">
        <f t="shared" si="1"/>
        <v/>
      </c>
      <c r="B6734" s="37" t="str">
        <f t="array" ref="B6734">iferror(xlookup($I6734, 'IMPORT VHC Report'!$E:$E, 'IMPORT VHC Report'!$A:$C), )</f>
        <v/>
      </c>
      <c r="C6734" s="44"/>
      <c r="D6734" s="44"/>
      <c r="E6734" s="38"/>
      <c r="F6734" s="38"/>
      <c r="G6734" s="38"/>
      <c r="H6734" s="38"/>
      <c r="I6734" s="38"/>
      <c r="J6734" s="38"/>
      <c r="K6734" s="38"/>
      <c r="L6734" s="41"/>
      <c r="M6734" s="38"/>
      <c r="N6734" s="41"/>
      <c r="O6734" s="38"/>
      <c r="P6734" s="38"/>
      <c r="Q6734" s="39"/>
      <c r="R6734" s="39"/>
      <c r="S6734" s="39"/>
      <c r="T6734" s="39"/>
      <c r="U6734" s="39"/>
    </row>
    <row r="6735">
      <c r="A6735" s="40" t="str">
        <f t="shared" si="1"/>
        <v/>
      </c>
      <c r="B6735" s="37" t="str">
        <f t="array" ref="B6735">iferror(xlookup($I6735, 'IMPORT VHC Report'!$E:$E, 'IMPORT VHC Report'!$A:$C), )</f>
        <v/>
      </c>
      <c r="C6735" s="44"/>
      <c r="D6735" s="44"/>
      <c r="E6735" s="38"/>
      <c r="F6735" s="38"/>
      <c r="G6735" s="38"/>
      <c r="H6735" s="38"/>
      <c r="I6735" s="38"/>
      <c r="J6735" s="38"/>
      <c r="K6735" s="38"/>
      <c r="L6735" s="41"/>
      <c r="M6735" s="38"/>
      <c r="N6735" s="41"/>
      <c r="O6735" s="38"/>
      <c r="P6735" s="38"/>
      <c r="Q6735" s="39"/>
      <c r="R6735" s="39"/>
      <c r="S6735" s="39"/>
      <c r="T6735" s="39"/>
      <c r="U6735" s="39"/>
    </row>
    <row r="6736">
      <c r="A6736" s="40" t="str">
        <f t="shared" si="1"/>
        <v/>
      </c>
      <c r="B6736" s="37" t="str">
        <f t="array" ref="B6736">iferror(xlookup($I6736, 'IMPORT VHC Report'!$E:$E, 'IMPORT VHC Report'!$A:$C), )</f>
        <v/>
      </c>
      <c r="C6736" s="44"/>
      <c r="D6736" s="44"/>
      <c r="E6736" s="38"/>
      <c r="F6736" s="38"/>
      <c r="G6736" s="38"/>
      <c r="H6736" s="38"/>
      <c r="I6736" s="38"/>
      <c r="J6736" s="38"/>
      <c r="K6736" s="38"/>
      <c r="L6736" s="41"/>
      <c r="M6736" s="38"/>
      <c r="N6736" s="41"/>
      <c r="O6736" s="38"/>
      <c r="P6736" s="38"/>
      <c r="Q6736" s="39"/>
      <c r="R6736" s="39"/>
      <c r="S6736" s="39"/>
      <c r="T6736" s="39"/>
      <c r="U6736" s="39"/>
    </row>
    <row r="6737">
      <c r="A6737" s="40" t="str">
        <f t="shared" si="1"/>
        <v/>
      </c>
      <c r="B6737" s="37" t="str">
        <f t="array" ref="B6737">iferror(xlookup($I6737, 'IMPORT VHC Report'!$E:$E, 'IMPORT VHC Report'!$A:$C), )</f>
        <v/>
      </c>
      <c r="C6737" s="44"/>
      <c r="D6737" s="44"/>
      <c r="E6737" s="38"/>
      <c r="F6737" s="38"/>
      <c r="G6737" s="38"/>
      <c r="H6737" s="38"/>
      <c r="I6737" s="38"/>
      <c r="J6737" s="38"/>
      <c r="K6737" s="38"/>
      <c r="L6737" s="41"/>
      <c r="M6737" s="38"/>
      <c r="N6737" s="41"/>
      <c r="O6737" s="38"/>
      <c r="P6737" s="38"/>
      <c r="Q6737" s="39"/>
      <c r="R6737" s="39"/>
      <c r="S6737" s="39"/>
      <c r="T6737" s="39"/>
      <c r="U6737" s="39"/>
    </row>
    <row r="6738">
      <c r="A6738" s="40" t="str">
        <f t="shared" si="1"/>
        <v/>
      </c>
      <c r="B6738" s="37" t="str">
        <f t="array" ref="B6738">iferror(xlookup($I6738, 'IMPORT VHC Report'!$E:$E, 'IMPORT VHC Report'!$A:$C), )</f>
        <v/>
      </c>
      <c r="C6738" s="44"/>
      <c r="D6738" s="44"/>
      <c r="E6738" s="38"/>
      <c r="F6738" s="38"/>
      <c r="G6738" s="38"/>
      <c r="H6738" s="38"/>
      <c r="I6738" s="38"/>
      <c r="J6738" s="38"/>
      <c r="K6738" s="38"/>
      <c r="L6738" s="41"/>
      <c r="M6738" s="38"/>
      <c r="N6738" s="41"/>
      <c r="O6738" s="38"/>
      <c r="P6738" s="38"/>
      <c r="Q6738" s="39"/>
      <c r="R6738" s="39"/>
      <c r="S6738" s="39"/>
      <c r="T6738" s="39"/>
      <c r="U6738" s="39"/>
    </row>
    <row r="6739">
      <c r="A6739" s="40" t="str">
        <f t="shared" si="1"/>
        <v/>
      </c>
      <c r="B6739" s="37" t="str">
        <f t="array" ref="B6739">iferror(xlookup($I6739, 'IMPORT VHC Report'!$E:$E, 'IMPORT VHC Report'!$A:$C), )</f>
        <v/>
      </c>
      <c r="C6739" s="44"/>
      <c r="D6739" s="44"/>
      <c r="E6739" s="38"/>
      <c r="F6739" s="38"/>
      <c r="G6739" s="38"/>
      <c r="H6739" s="38"/>
      <c r="I6739" s="38"/>
      <c r="J6739" s="38"/>
      <c r="K6739" s="38"/>
      <c r="L6739" s="41"/>
      <c r="M6739" s="38"/>
      <c r="N6739" s="41"/>
      <c r="O6739" s="38"/>
      <c r="P6739" s="38"/>
      <c r="Q6739" s="39"/>
      <c r="R6739" s="39"/>
      <c r="S6739" s="39"/>
      <c r="T6739" s="39"/>
      <c r="U6739" s="39"/>
    </row>
    <row r="6740">
      <c r="A6740" s="40" t="str">
        <f t="shared" si="1"/>
        <v/>
      </c>
      <c r="B6740" s="37" t="str">
        <f t="array" ref="B6740">iferror(xlookup($I6740, 'IMPORT VHC Report'!$E:$E, 'IMPORT VHC Report'!$A:$C), )</f>
        <v/>
      </c>
      <c r="C6740" s="44"/>
      <c r="D6740" s="44"/>
      <c r="E6740" s="38"/>
      <c r="F6740" s="38"/>
      <c r="G6740" s="38"/>
      <c r="H6740" s="38"/>
      <c r="I6740" s="38"/>
      <c r="J6740" s="38"/>
      <c r="K6740" s="38"/>
      <c r="L6740" s="41"/>
      <c r="M6740" s="38"/>
      <c r="N6740" s="41"/>
      <c r="O6740" s="38"/>
      <c r="P6740" s="38"/>
      <c r="Q6740" s="39"/>
      <c r="R6740" s="39"/>
      <c r="S6740" s="39"/>
      <c r="T6740" s="39"/>
      <c r="U6740" s="39"/>
    </row>
    <row r="6741">
      <c r="A6741" s="40" t="str">
        <f t="shared" si="1"/>
        <v/>
      </c>
      <c r="B6741" s="37" t="str">
        <f t="array" ref="B6741">iferror(xlookup($I6741, 'IMPORT VHC Report'!$E:$E, 'IMPORT VHC Report'!$A:$C), )</f>
        <v/>
      </c>
      <c r="C6741" s="44"/>
      <c r="D6741" s="44"/>
      <c r="E6741" s="38"/>
      <c r="F6741" s="38"/>
      <c r="G6741" s="38"/>
      <c r="H6741" s="38"/>
      <c r="I6741" s="38"/>
      <c r="J6741" s="38"/>
      <c r="K6741" s="38"/>
      <c r="L6741" s="41"/>
      <c r="M6741" s="38"/>
      <c r="N6741" s="41"/>
      <c r="O6741" s="38"/>
      <c r="P6741" s="38"/>
      <c r="Q6741" s="39"/>
      <c r="R6741" s="39"/>
      <c r="S6741" s="39"/>
      <c r="T6741" s="39"/>
      <c r="U6741" s="39"/>
    </row>
    <row r="6742">
      <c r="A6742" s="40" t="str">
        <f t="shared" si="1"/>
        <v/>
      </c>
      <c r="B6742" s="37" t="str">
        <f t="array" ref="B6742">iferror(xlookup($I6742, 'IMPORT VHC Report'!$E:$E, 'IMPORT VHC Report'!$A:$C), )</f>
        <v/>
      </c>
      <c r="C6742" s="44"/>
      <c r="D6742" s="44"/>
      <c r="E6742" s="38"/>
      <c r="F6742" s="38"/>
      <c r="G6742" s="38"/>
      <c r="H6742" s="38"/>
      <c r="I6742" s="38"/>
      <c r="J6742" s="38"/>
      <c r="K6742" s="38"/>
      <c r="L6742" s="41"/>
      <c r="M6742" s="38"/>
      <c r="N6742" s="41"/>
      <c r="O6742" s="38"/>
      <c r="P6742" s="38"/>
      <c r="Q6742" s="39"/>
      <c r="R6742" s="39"/>
      <c r="S6742" s="39"/>
      <c r="T6742" s="39"/>
      <c r="U6742" s="39"/>
    </row>
    <row r="6743">
      <c r="A6743" s="40" t="str">
        <f t="shared" si="1"/>
        <v/>
      </c>
      <c r="B6743" s="37" t="str">
        <f t="array" ref="B6743">iferror(xlookup($I6743, 'IMPORT VHC Report'!$E:$E, 'IMPORT VHC Report'!$A:$C), )</f>
        <v/>
      </c>
      <c r="C6743" s="44"/>
      <c r="D6743" s="44"/>
      <c r="E6743" s="38"/>
      <c r="F6743" s="38"/>
      <c r="G6743" s="38"/>
      <c r="H6743" s="38"/>
      <c r="I6743" s="38"/>
      <c r="J6743" s="38"/>
      <c r="K6743" s="38"/>
      <c r="L6743" s="41"/>
      <c r="M6743" s="38"/>
      <c r="N6743" s="41"/>
      <c r="O6743" s="38"/>
      <c r="P6743" s="38"/>
      <c r="Q6743" s="39"/>
      <c r="R6743" s="39"/>
      <c r="S6743" s="39"/>
      <c r="T6743" s="39"/>
      <c r="U6743" s="39"/>
    </row>
    <row r="6744">
      <c r="A6744" s="40" t="str">
        <f t="shared" si="1"/>
        <v/>
      </c>
      <c r="B6744" s="37" t="str">
        <f t="array" ref="B6744">iferror(xlookup($I6744, 'IMPORT VHC Report'!$E:$E, 'IMPORT VHC Report'!$A:$C), )</f>
        <v/>
      </c>
      <c r="C6744" s="44"/>
      <c r="D6744" s="44"/>
      <c r="E6744" s="38"/>
      <c r="F6744" s="38"/>
      <c r="G6744" s="38"/>
      <c r="H6744" s="38"/>
      <c r="I6744" s="38"/>
      <c r="J6744" s="38"/>
      <c r="K6744" s="38"/>
      <c r="L6744" s="41"/>
      <c r="M6744" s="38"/>
      <c r="N6744" s="41"/>
      <c r="O6744" s="38"/>
      <c r="P6744" s="38"/>
      <c r="Q6744" s="39"/>
      <c r="R6744" s="39"/>
      <c r="S6744" s="39"/>
      <c r="T6744" s="39"/>
      <c r="U6744" s="39"/>
    </row>
    <row r="6745">
      <c r="A6745" s="40" t="str">
        <f t="shared" si="1"/>
        <v/>
      </c>
      <c r="B6745" s="37" t="str">
        <f t="array" ref="B6745">iferror(xlookup($I6745, 'IMPORT VHC Report'!$E:$E, 'IMPORT VHC Report'!$A:$C), )</f>
        <v/>
      </c>
      <c r="C6745" s="44"/>
      <c r="D6745" s="44"/>
      <c r="E6745" s="38"/>
      <c r="F6745" s="38"/>
      <c r="G6745" s="38"/>
      <c r="H6745" s="38"/>
      <c r="I6745" s="38"/>
      <c r="J6745" s="38"/>
      <c r="K6745" s="38"/>
      <c r="L6745" s="41"/>
      <c r="M6745" s="38"/>
      <c r="N6745" s="41"/>
      <c r="O6745" s="38"/>
      <c r="P6745" s="38"/>
      <c r="Q6745" s="38"/>
      <c r="R6745" s="39"/>
      <c r="S6745" s="39"/>
      <c r="T6745" s="39"/>
      <c r="U6745" s="39"/>
    </row>
    <row r="6746">
      <c r="A6746" s="40" t="str">
        <f t="shared" si="1"/>
        <v/>
      </c>
      <c r="B6746" s="37" t="str">
        <f t="array" ref="B6746">iferror(xlookup($I6746, 'IMPORT VHC Report'!$E:$E, 'IMPORT VHC Report'!$A:$C), )</f>
        <v/>
      </c>
      <c r="C6746" s="44"/>
      <c r="D6746" s="44"/>
      <c r="E6746" s="38"/>
      <c r="F6746" s="38"/>
      <c r="G6746" s="38"/>
      <c r="H6746" s="38"/>
      <c r="I6746" s="38"/>
      <c r="J6746" s="38"/>
      <c r="K6746" s="38"/>
      <c r="L6746" s="41"/>
      <c r="M6746" s="38"/>
      <c r="N6746" s="41"/>
      <c r="O6746" s="38"/>
      <c r="P6746" s="38"/>
      <c r="Q6746" s="39"/>
      <c r="R6746" s="39"/>
      <c r="S6746" s="39"/>
      <c r="T6746" s="39"/>
      <c r="U6746" s="39"/>
    </row>
    <row r="6747">
      <c r="A6747" s="40" t="str">
        <f t="shared" si="1"/>
        <v/>
      </c>
      <c r="B6747" s="37" t="str">
        <f t="array" ref="B6747">iferror(xlookup($I6747, 'IMPORT VHC Report'!$E:$E, 'IMPORT VHC Report'!$A:$C), )</f>
        <v/>
      </c>
      <c r="C6747" s="44"/>
      <c r="D6747" s="44"/>
      <c r="E6747" s="38"/>
      <c r="F6747" s="38"/>
      <c r="G6747" s="38"/>
      <c r="H6747" s="38"/>
      <c r="I6747" s="38"/>
      <c r="J6747" s="38"/>
      <c r="K6747" s="38"/>
      <c r="L6747" s="41"/>
      <c r="M6747" s="38"/>
      <c r="N6747" s="41"/>
      <c r="O6747" s="38"/>
      <c r="P6747" s="38"/>
      <c r="Q6747" s="39"/>
      <c r="R6747" s="39"/>
      <c r="S6747" s="39"/>
      <c r="T6747" s="39"/>
      <c r="U6747" s="39"/>
    </row>
    <row r="6748">
      <c r="A6748" s="40" t="str">
        <f t="shared" si="1"/>
        <v/>
      </c>
      <c r="B6748" s="37" t="str">
        <f t="array" ref="B6748">iferror(xlookup($I6748, 'IMPORT VHC Report'!$E:$E, 'IMPORT VHC Report'!$A:$C), )</f>
        <v/>
      </c>
      <c r="C6748" s="44"/>
      <c r="D6748" s="44"/>
      <c r="E6748" s="38"/>
      <c r="F6748" s="38"/>
      <c r="G6748" s="38"/>
      <c r="H6748" s="38"/>
      <c r="I6748" s="38"/>
      <c r="J6748" s="38"/>
      <c r="K6748" s="38"/>
      <c r="L6748" s="41"/>
      <c r="M6748" s="38"/>
      <c r="N6748" s="41"/>
      <c r="O6748" s="38"/>
      <c r="P6748" s="38"/>
      <c r="Q6748" s="39"/>
      <c r="R6748" s="39"/>
      <c r="S6748" s="39"/>
      <c r="T6748" s="39"/>
      <c r="U6748" s="39"/>
    </row>
    <row r="6749">
      <c r="A6749" s="40" t="str">
        <f t="shared" si="1"/>
        <v/>
      </c>
      <c r="B6749" s="37" t="str">
        <f t="array" ref="B6749">iferror(xlookup($I6749, 'IMPORT VHC Report'!$E:$E, 'IMPORT VHC Report'!$A:$C), )</f>
        <v/>
      </c>
      <c r="C6749" s="44"/>
      <c r="D6749" s="44"/>
      <c r="E6749" s="38"/>
      <c r="F6749" s="38"/>
      <c r="G6749" s="38"/>
      <c r="H6749" s="38"/>
      <c r="I6749" s="38"/>
      <c r="J6749" s="38"/>
      <c r="K6749" s="38"/>
      <c r="L6749" s="41"/>
      <c r="M6749" s="38"/>
      <c r="N6749" s="41"/>
      <c r="O6749" s="38"/>
      <c r="P6749" s="38"/>
      <c r="Q6749" s="39"/>
      <c r="R6749" s="39"/>
      <c r="S6749" s="39"/>
      <c r="T6749" s="39"/>
      <c r="U6749" s="39"/>
    </row>
    <row r="6750">
      <c r="A6750" s="40" t="str">
        <f t="shared" si="1"/>
        <v/>
      </c>
      <c r="B6750" s="37" t="str">
        <f t="array" ref="B6750">iferror(xlookup($I6750, 'IMPORT VHC Report'!$E:$E, 'IMPORT VHC Report'!$A:$C), )</f>
        <v/>
      </c>
      <c r="C6750" s="44"/>
      <c r="D6750" s="44"/>
      <c r="E6750" s="38"/>
      <c r="F6750" s="38"/>
      <c r="G6750" s="38"/>
      <c r="H6750" s="38"/>
      <c r="I6750" s="38"/>
      <c r="J6750" s="38"/>
      <c r="K6750" s="38"/>
      <c r="L6750" s="41"/>
      <c r="M6750" s="38"/>
      <c r="N6750" s="41"/>
      <c r="O6750" s="38"/>
      <c r="P6750" s="38"/>
      <c r="Q6750" s="39"/>
      <c r="R6750" s="39"/>
      <c r="S6750" s="39"/>
      <c r="T6750" s="39"/>
      <c r="U6750" s="39"/>
    </row>
    <row r="6751">
      <c r="A6751" s="40" t="str">
        <f t="shared" si="1"/>
        <v/>
      </c>
      <c r="B6751" s="37" t="str">
        <f t="array" ref="B6751">iferror(xlookup($I6751, 'IMPORT VHC Report'!$E:$E, 'IMPORT VHC Report'!$A:$C), )</f>
        <v/>
      </c>
      <c r="C6751" s="44"/>
      <c r="D6751" s="44"/>
      <c r="E6751" s="38"/>
      <c r="F6751" s="38"/>
      <c r="G6751" s="38"/>
      <c r="H6751" s="38"/>
      <c r="I6751" s="38"/>
      <c r="J6751" s="38"/>
      <c r="K6751" s="38"/>
      <c r="L6751" s="41"/>
      <c r="M6751" s="38"/>
      <c r="N6751" s="41"/>
      <c r="O6751" s="38"/>
      <c r="P6751" s="38"/>
      <c r="Q6751" s="39"/>
      <c r="R6751" s="39"/>
      <c r="S6751" s="39"/>
      <c r="T6751" s="39"/>
      <c r="U6751" s="39"/>
    </row>
    <row r="6752">
      <c r="A6752" s="40" t="str">
        <f t="shared" si="1"/>
        <v/>
      </c>
      <c r="B6752" s="37" t="str">
        <f t="array" ref="B6752">iferror(xlookup($I6752, 'IMPORT VHC Report'!$E:$E, 'IMPORT VHC Report'!$A:$C), )</f>
        <v/>
      </c>
      <c r="C6752" s="44"/>
      <c r="D6752" s="44"/>
      <c r="E6752" s="38"/>
      <c r="F6752" s="38"/>
      <c r="G6752" s="38"/>
      <c r="H6752" s="38"/>
      <c r="I6752" s="38"/>
      <c r="J6752" s="38"/>
      <c r="K6752" s="38"/>
      <c r="L6752" s="41"/>
      <c r="M6752" s="38"/>
      <c r="N6752" s="41"/>
      <c r="O6752" s="38"/>
      <c r="P6752" s="38"/>
      <c r="Q6752" s="39"/>
      <c r="R6752" s="39"/>
      <c r="S6752" s="39"/>
      <c r="T6752" s="39"/>
      <c r="U6752" s="39"/>
    </row>
    <row r="6753">
      <c r="A6753" s="40" t="str">
        <f t="shared" si="1"/>
        <v/>
      </c>
      <c r="B6753" s="37" t="str">
        <f t="array" ref="B6753">iferror(xlookup($I6753, 'IMPORT VHC Report'!$E:$E, 'IMPORT VHC Report'!$A:$C), )</f>
        <v/>
      </c>
      <c r="C6753" s="44"/>
      <c r="D6753" s="44"/>
      <c r="E6753" s="38"/>
      <c r="F6753" s="38"/>
      <c r="G6753" s="38"/>
      <c r="H6753" s="38"/>
      <c r="I6753" s="38"/>
      <c r="J6753" s="38"/>
      <c r="K6753" s="38"/>
      <c r="L6753" s="41"/>
      <c r="M6753" s="38"/>
      <c r="N6753" s="41"/>
      <c r="O6753" s="38"/>
      <c r="P6753" s="38"/>
      <c r="Q6753" s="39"/>
      <c r="R6753" s="39"/>
      <c r="S6753" s="39"/>
      <c r="T6753" s="39"/>
      <c r="U6753" s="39"/>
    </row>
    <row r="6754">
      <c r="A6754" s="40" t="str">
        <f t="shared" si="1"/>
        <v/>
      </c>
      <c r="B6754" s="37" t="str">
        <f t="array" ref="B6754">iferror(xlookup($I6754, 'IMPORT VHC Report'!$E:$E, 'IMPORT VHC Report'!$A:$C), )</f>
        <v/>
      </c>
      <c r="C6754" s="44"/>
      <c r="D6754" s="44"/>
      <c r="E6754" s="38"/>
      <c r="F6754" s="38"/>
      <c r="G6754" s="38"/>
      <c r="H6754" s="38"/>
      <c r="I6754" s="38"/>
      <c r="J6754" s="38"/>
      <c r="K6754" s="38"/>
      <c r="L6754" s="41"/>
      <c r="M6754" s="38"/>
      <c r="N6754" s="41"/>
      <c r="O6754" s="38"/>
      <c r="P6754" s="38"/>
      <c r="Q6754" s="39"/>
      <c r="R6754" s="39"/>
      <c r="S6754" s="39"/>
      <c r="T6754" s="39"/>
      <c r="U6754" s="39"/>
    </row>
    <row r="6755">
      <c r="A6755" s="40" t="str">
        <f t="shared" si="1"/>
        <v/>
      </c>
      <c r="B6755" s="37" t="str">
        <f t="array" ref="B6755">iferror(xlookup($I6755, 'IMPORT VHC Report'!$E:$E, 'IMPORT VHC Report'!$A:$C), )</f>
        <v/>
      </c>
      <c r="C6755" s="44"/>
      <c r="D6755" s="44"/>
      <c r="E6755" s="38"/>
      <c r="F6755" s="38"/>
      <c r="G6755" s="38"/>
      <c r="H6755" s="38"/>
      <c r="I6755" s="38"/>
      <c r="J6755" s="38"/>
      <c r="K6755" s="38"/>
      <c r="L6755" s="41"/>
      <c r="M6755" s="38"/>
      <c r="N6755" s="41"/>
      <c r="O6755" s="38"/>
      <c r="P6755" s="38"/>
      <c r="Q6755" s="39"/>
      <c r="R6755" s="39"/>
      <c r="S6755" s="39"/>
      <c r="T6755" s="39"/>
      <c r="U6755" s="39"/>
    </row>
    <row r="6756">
      <c r="A6756" s="40" t="str">
        <f t="shared" si="1"/>
        <v/>
      </c>
      <c r="B6756" s="37" t="str">
        <f t="array" ref="B6756">iferror(xlookup($I6756, 'IMPORT VHC Report'!$E:$E, 'IMPORT VHC Report'!$A:$C), )</f>
        <v/>
      </c>
      <c r="C6756" s="44"/>
      <c r="D6756" s="44"/>
      <c r="E6756" s="38"/>
      <c r="F6756" s="38"/>
      <c r="G6756" s="38"/>
      <c r="H6756" s="38"/>
      <c r="I6756" s="38"/>
      <c r="J6756" s="38"/>
      <c r="K6756" s="38"/>
      <c r="L6756" s="41"/>
      <c r="M6756" s="38"/>
      <c r="N6756" s="41"/>
      <c r="O6756" s="38"/>
      <c r="P6756" s="38"/>
      <c r="Q6756" s="39"/>
      <c r="R6756" s="39"/>
      <c r="S6756" s="39"/>
      <c r="T6756" s="39"/>
      <c r="U6756" s="39"/>
    </row>
    <row r="6757">
      <c r="A6757" s="40" t="str">
        <f t="shared" si="1"/>
        <v/>
      </c>
      <c r="B6757" s="37" t="str">
        <f t="array" ref="B6757">iferror(xlookup($I6757, 'IMPORT VHC Report'!$E:$E, 'IMPORT VHC Report'!$A:$C), )</f>
        <v/>
      </c>
      <c r="C6757" s="44"/>
      <c r="D6757" s="44"/>
      <c r="E6757" s="38"/>
      <c r="F6757" s="38"/>
      <c r="G6757" s="38"/>
      <c r="H6757" s="38"/>
      <c r="I6757" s="38"/>
      <c r="J6757" s="38"/>
      <c r="K6757" s="38"/>
      <c r="L6757" s="41"/>
      <c r="M6757" s="38"/>
      <c r="N6757" s="41"/>
      <c r="O6757" s="38"/>
      <c r="P6757" s="38"/>
      <c r="Q6757" s="39"/>
      <c r="R6757" s="39"/>
      <c r="S6757" s="39"/>
      <c r="T6757" s="39"/>
      <c r="U6757" s="39"/>
    </row>
    <row r="6758">
      <c r="A6758" s="40" t="str">
        <f t="shared" si="1"/>
        <v/>
      </c>
      <c r="B6758" s="37" t="str">
        <f t="array" ref="B6758">iferror(xlookup($I6758, 'IMPORT VHC Report'!$E:$E, 'IMPORT VHC Report'!$A:$C), )</f>
        <v/>
      </c>
      <c r="C6758" s="44"/>
      <c r="D6758" s="44"/>
      <c r="E6758" s="38"/>
      <c r="F6758" s="38"/>
      <c r="G6758" s="38"/>
      <c r="H6758" s="38"/>
      <c r="I6758" s="38"/>
      <c r="J6758" s="38"/>
      <c r="K6758" s="38"/>
      <c r="L6758" s="41"/>
      <c r="M6758" s="38"/>
      <c r="N6758" s="41"/>
      <c r="O6758" s="38"/>
      <c r="P6758" s="38"/>
      <c r="Q6758" s="38"/>
      <c r="R6758" s="39"/>
      <c r="S6758" s="39"/>
      <c r="T6758" s="39"/>
      <c r="U6758" s="39"/>
    </row>
    <row r="6759">
      <c r="A6759" s="40" t="str">
        <f t="shared" si="1"/>
        <v/>
      </c>
      <c r="B6759" s="37" t="str">
        <f t="array" ref="B6759">iferror(xlookup($I6759, 'IMPORT VHC Report'!$E:$E, 'IMPORT VHC Report'!$A:$C), )</f>
        <v/>
      </c>
      <c r="C6759" s="44"/>
      <c r="D6759" s="44"/>
      <c r="E6759" s="38"/>
      <c r="F6759" s="38"/>
      <c r="G6759" s="38"/>
      <c r="H6759" s="38"/>
      <c r="I6759" s="38"/>
      <c r="J6759" s="38"/>
      <c r="K6759" s="38"/>
      <c r="L6759" s="41"/>
      <c r="M6759" s="38"/>
      <c r="N6759" s="41"/>
      <c r="O6759" s="38"/>
      <c r="P6759" s="38"/>
      <c r="Q6759" s="39"/>
      <c r="R6759" s="39"/>
      <c r="S6759" s="39"/>
      <c r="T6759" s="39"/>
      <c r="U6759" s="39"/>
    </row>
    <row r="6760">
      <c r="A6760" s="40" t="str">
        <f t="shared" si="1"/>
        <v/>
      </c>
      <c r="B6760" s="37" t="str">
        <f t="array" ref="B6760">iferror(xlookup($I6760, 'IMPORT VHC Report'!$E:$E, 'IMPORT VHC Report'!$A:$C), )</f>
        <v/>
      </c>
      <c r="C6760" s="44"/>
      <c r="D6760" s="44"/>
      <c r="E6760" s="38"/>
      <c r="F6760" s="38"/>
      <c r="G6760" s="38"/>
      <c r="H6760" s="38"/>
      <c r="I6760" s="38"/>
      <c r="J6760" s="38"/>
      <c r="K6760" s="38"/>
      <c r="L6760" s="41"/>
      <c r="M6760" s="38"/>
      <c r="N6760" s="41"/>
      <c r="O6760" s="38"/>
      <c r="P6760" s="38"/>
      <c r="Q6760" s="39"/>
      <c r="R6760" s="39"/>
      <c r="S6760" s="39"/>
      <c r="T6760" s="39"/>
      <c r="U6760" s="39"/>
    </row>
    <row r="6761">
      <c r="A6761" s="40" t="str">
        <f t="shared" si="1"/>
        <v/>
      </c>
      <c r="B6761" s="37" t="str">
        <f t="array" ref="B6761">iferror(xlookup($I6761, 'IMPORT VHC Report'!$E:$E, 'IMPORT VHC Report'!$A:$C), )</f>
        <v/>
      </c>
      <c r="C6761" s="44"/>
      <c r="D6761" s="44"/>
      <c r="E6761" s="38"/>
      <c r="F6761" s="38"/>
      <c r="G6761" s="38"/>
      <c r="H6761" s="38"/>
      <c r="I6761" s="38"/>
      <c r="J6761" s="38"/>
      <c r="K6761" s="38"/>
      <c r="L6761" s="41"/>
      <c r="M6761" s="38"/>
      <c r="N6761" s="41"/>
      <c r="O6761" s="38"/>
      <c r="P6761" s="38"/>
      <c r="Q6761" s="39"/>
      <c r="R6761" s="39"/>
      <c r="S6761" s="39"/>
      <c r="T6761" s="39"/>
      <c r="U6761" s="39"/>
    </row>
    <row r="6762">
      <c r="A6762" s="40" t="str">
        <f t="shared" si="1"/>
        <v/>
      </c>
      <c r="B6762" s="37" t="str">
        <f t="array" ref="B6762">iferror(xlookup($I6762, 'IMPORT VHC Report'!$E:$E, 'IMPORT VHC Report'!$A:$C), )</f>
        <v/>
      </c>
      <c r="C6762" s="44"/>
      <c r="D6762" s="44"/>
      <c r="E6762" s="38"/>
      <c r="F6762" s="38"/>
      <c r="G6762" s="38"/>
      <c r="H6762" s="38"/>
      <c r="I6762" s="38"/>
      <c r="J6762" s="38"/>
      <c r="K6762" s="38"/>
      <c r="L6762" s="41"/>
      <c r="M6762" s="38"/>
      <c r="N6762" s="41"/>
      <c r="O6762" s="38"/>
      <c r="P6762" s="38"/>
      <c r="Q6762" s="39"/>
      <c r="R6762" s="39"/>
      <c r="S6762" s="38"/>
      <c r="T6762" s="39"/>
      <c r="U6762" s="39"/>
    </row>
    <row r="6763">
      <c r="A6763" s="40" t="str">
        <f t="shared" si="1"/>
        <v/>
      </c>
      <c r="B6763" s="37" t="str">
        <f t="array" ref="B6763">iferror(xlookup($I6763, 'IMPORT VHC Report'!$E:$E, 'IMPORT VHC Report'!$A:$C), )</f>
        <v/>
      </c>
      <c r="C6763" s="44"/>
      <c r="D6763" s="44"/>
      <c r="E6763" s="38"/>
      <c r="F6763" s="38"/>
      <c r="G6763" s="38"/>
      <c r="H6763" s="38"/>
      <c r="I6763" s="38"/>
      <c r="J6763" s="38"/>
      <c r="K6763" s="38"/>
      <c r="L6763" s="41"/>
      <c r="M6763" s="38"/>
      <c r="N6763" s="41"/>
      <c r="O6763" s="38"/>
      <c r="P6763" s="38"/>
      <c r="Q6763" s="39"/>
      <c r="R6763" s="39"/>
      <c r="S6763" s="38"/>
      <c r="T6763" s="39"/>
      <c r="U6763" s="39"/>
    </row>
    <row r="6764">
      <c r="A6764" s="40" t="str">
        <f t="shared" si="1"/>
        <v/>
      </c>
      <c r="B6764" s="37" t="str">
        <f t="array" ref="B6764">iferror(xlookup($I6764, 'IMPORT VHC Report'!$E:$E, 'IMPORT VHC Report'!$A:$C), )</f>
        <v/>
      </c>
      <c r="C6764" s="44"/>
      <c r="D6764" s="44"/>
      <c r="E6764" s="38"/>
      <c r="F6764" s="38"/>
      <c r="G6764" s="38"/>
      <c r="H6764" s="38"/>
      <c r="I6764" s="38"/>
      <c r="J6764" s="38"/>
      <c r="K6764" s="38"/>
      <c r="L6764" s="41"/>
      <c r="M6764" s="38"/>
      <c r="N6764" s="41"/>
      <c r="O6764" s="38"/>
      <c r="P6764" s="38"/>
      <c r="Q6764" s="39"/>
      <c r="R6764" s="39"/>
      <c r="S6764" s="39"/>
      <c r="T6764" s="39"/>
      <c r="U6764" s="39"/>
    </row>
    <row r="6765">
      <c r="A6765" s="40" t="str">
        <f t="shared" si="1"/>
        <v/>
      </c>
      <c r="B6765" s="37" t="str">
        <f t="array" ref="B6765">iferror(xlookup($I6765, 'IMPORT VHC Report'!$E:$E, 'IMPORT VHC Report'!$A:$C), )</f>
        <v/>
      </c>
      <c r="C6765" s="44"/>
      <c r="D6765" s="44"/>
      <c r="E6765" s="38"/>
      <c r="F6765" s="38"/>
      <c r="G6765" s="38"/>
      <c r="H6765" s="38"/>
      <c r="I6765" s="38"/>
      <c r="J6765" s="38"/>
      <c r="K6765" s="38"/>
      <c r="L6765" s="41"/>
      <c r="M6765" s="38"/>
      <c r="N6765" s="41"/>
      <c r="O6765" s="38"/>
      <c r="P6765" s="38"/>
      <c r="Q6765" s="39"/>
      <c r="R6765" s="39"/>
      <c r="S6765" s="39"/>
      <c r="T6765" s="39"/>
      <c r="U6765" s="39"/>
    </row>
    <row r="6766">
      <c r="A6766" s="40" t="str">
        <f t="shared" si="1"/>
        <v/>
      </c>
      <c r="B6766" s="37" t="str">
        <f t="array" ref="B6766">iferror(xlookup($I6766, 'IMPORT VHC Report'!$E:$E, 'IMPORT VHC Report'!$A:$C), )</f>
        <v/>
      </c>
      <c r="C6766" s="44"/>
      <c r="D6766" s="44"/>
      <c r="E6766" s="38"/>
      <c r="F6766" s="38"/>
      <c r="G6766" s="38"/>
      <c r="H6766" s="38"/>
      <c r="I6766" s="38"/>
      <c r="J6766" s="38"/>
      <c r="K6766" s="38"/>
      <c r="L6766" s="41"/>
      <c r="M6766" s="38"/>
      <c r="N6766" s="41"/>
      <c r="O6766" s="38"/>
      <c r="P6766" s="38"/>
      <c r="Q6766" s="39"/>
      <c r="R6766" s="39"/>
      <c r="S6766" s="38"/>
      <c r="T6766" s="39"/>
      <c r="U6766" s="39"/>
    </row>
    <row r="6767">
      <c r="A6767" s="40" t="str">
        <f t="shared" si="1"/>
        <v/>
      </c>
      <c r="B6767" s="37" t="str">
        <f t="array" ref="B6767">iferror(xlookup($I6767, 'IMPORT VHC Report'!$E:$E, 'IMPORT VHC Report'!$A:$C), )</f>
        <v/>
      </c>
      <c r="C6767" s="44"/>
      <c r="D6767" s="44"/>
      <c r="E6767" s="38"/>
      <c r="F6767" s="38"/>
      <c r="G6767" s="38"/>
      <c r="H6767" s="38"/>
      <c r="I6767" s="38"/>
      <c r="J6767" s="38"/>
      <c r="K6767" s="38"/>
      <c r="L6767" s="41"/>
      <c r="M6767" s="38"/>
      <c r="N6767" s="41"/>
      <c r="O6767" s="38"/>
      <c r="P6767" s="38"/>
      <c r="Q6767" s="38"/>
      <c r="R6767" s="39"/>
      <c r="S6767" s="39"/>
      <c r="T6767" s="39"/>
      <c r="U6767" s="39"/>
    </row>
    <row r="6768">
      <c r="A6768" s="40" t="str">
        <f t="shared" si="1"/>
        <v/>
      </c>
      <c r="B6768" s="37" t="str">
        <f t="array" ref="B6768">iferror(xlookup($I6768, 'IMPORT VHC Report'!$E:$E, 'IMPORT VHC Report'!$A:$C), )</f>
        <v/>
      </c>
      <c r="C6768" s="44"/>
      <c r="D6768" s="44"/>
      <c r="E6768" s="38"/>
      <c r="F6768" s="38"/>
      <c r="G6768" s="38"/>
      <c r="H6768" s="38"/>
      <c r="I6768" s="38"/>
      <c r="J6768" s="38"/>
      <c r="K6768" s="38"/>
      <c r="L6768" s="41"/>
      <c r="M6768" s="38"/>
      <c r="N6768" s="41"/>
      <c r="O6768" s="38"/>
      <c r="P6768" s="38"/>
      <c r="Q6768" s="39"/>
      <c r="R6768" s="39"/>
      <c r="S6768" s="39"/>
      <c r="T6768" s="39"/>
      <c r="U6768" s="39"/>
    </row>
    <row r="6769">
      <c r="A6769" s="40" t="str">
        <f t="shared" si="1"/>
        <v/>
      </c>
      <c r="B6769" s="37" t="str">
        <f t="array" ref="B6769">iferror(xlookup($I6769, 'IMPORT VHC Report'!$E:$E, 'IMPORT VHC Report'!$A:$C), )</f>
        <v/>
      </c>
      <c r="C6769" s="44"/>
      <c r="D6769" s="44"/>
      <c r="E6769" s="38"/>
      <c r="F6769" s="38"/>
      <c r="G6769" s="38"/>
      <c r="H6769" s="38"/>
      <c r="I6769" s="38"/>
      <c r="J6769" s="38"/>
      <c r="K6769" s="38"/>
      <c r="L6769" s="41"/>
      <c r="M6769" s="38"/>
      <c r="N6769" s="41"/>
      <c r="O6769" s="38"/>
      <c r="P6769" s="38"/>
      <c r="Q6769" s="39"/>
      <c r="R6769" s="39"/>
      <c r="S6769" s="39"/>
      <c r="T6769" s="39"/>
      <c r="U6769" s="39"/>
    </row>
    <row r="6770">
      <c r="A6770" s="40" t="str">
        <f t="shared" si="1"/>
        <v/>
      </c>
      <c r="B6770" s="37" t="str">
        <f t="array" ref="B6770">iferror(xlookup($I6770, 'IMPORT VHC Report'!$E:$E, 'IMPORT VHC Report'!$A:$C), )</f>
        <v/>
      </c>
      <c r="C6770" s="44"/>
      <c r="D6770" s="44"/>
      <c r="E6770" s="38"/>
      <c r="F6770" s="38"/>
      <c r="G6770" s="38"/>
      <c r="H6770" s="38"/>
      <c r="I6770" s="38"/>
      <c r="J6770" s="38"/>
      <c r="K6770" s="38"/>
      <c r="L6770" s="41"/>
      <c r="M6770" s="38"/>
      <c r="N6770" s="41"/>
      <c r="O6770" s="38"/>
      <c r="P6770" s="38"/>
      <c r="Q6770" s="39"/>
      <c r="R6770" s="39"/>
      <c r="S6770" s="39"/>
      <c r="T6770" s="39"/>
      <c r="U6770" s="39"/>
    </row>
    <row r="6771">
      <c r="A6771" s="40" t="str">
        <f t="shared" si="1"/>
        <v/>
      </c>
      <c r="B6771" s="37" t="str">
        <f t="array" ref="B6771">iferror(xlookup($I6771, 'IMPORT VHC Report'!$E:$E, 'IMPORT VHC Report'!$A:$C), )</f>
        <v/>
      </c>
      <c r="C6771" s="44"/>
      <c r="D6771" s="44"/>
      <c r="E6771" s="38"/>
      <c r="F6771" s="38"/>
      <c r="G6771" s="38"/>
      <c r="H6771" s="38"/>
      <c r="I6771" s="38"/>
      <c r="J6771" s="38"/>
      <c r="K6771" s="38"/>
      <c r="L6771" s="41"/>
      <c r="M6771" s="38"/>
      <c r="N6771" s="41"/>
      <c r="O6771" s="38"/>
      <c r="P6771" s="38"/>
      <c r="Q6771" s="39"/>
      <c r="R6771" s="39"/>
      <c r="S6771" s="38"/>
      <c r="T6771" s="39"/>
      <c r="U6771" s="39"/>
    </row>
    <row r="6772">
      <c r="A6772" s="40" t="str">
        <f t="shared" si="1"/>
        <v/>
      </c>
      <c r="B6772" s="37" t="str">
        <f t="array" ref="B6772">iferror(xlookup($I6772, 'IMPORT VHC Report'!$E:$E, 'IMPORT VHC Report'!$A:$C), )</f>
        <v/>
      </c>
      <c r="C6772" s="44"/>
      <c r="D6772" s="44"/>
      <c r="E6772" s="38"/>
      <c r="F6772" s="38"/>
      <c r="G6772" s="38"/>
      <c r="H6772" s="38"/>
      <c r="I6772" s="38"/>
      <c r="J6772" s="38"/>
      <c r="K6772" s="38"/>
      <c r="L6772" s="41"/>
      <c r="M6772" s="38"/>
      <c r="N6772" s="41"/>
      <c r="O6772" s="38"/>
      <c r="P6772" s="38"/>
      <c r="Q6772" s="39"/>
      <c r="R6772" s="39"/>
      <c r="S6772" s="39"/>
      <c r="T6772" s="39"/>
      <c r="U6772" s="39"/>
    </row>
    <row r="6773">
      <c r="A6773" s="40" t="str">
        <f t="shared" si="1"/>
        <v/>
      </c>
      <c r="B6773" s="37" t="str">
        <f t="array" ref="B6773">iferror(xlookup($I6773, 'IMPORT VHC Report'!$E:$E, 'IMPORT VHC Report'!$A:$C), )</f>
        <v/>
      </c>
      <c r="C6773" s="44"/>
      <c r="D6773" s="44"/>
      <c r="E6773" s="38"/>
      <c r="F6773" s="38"/>
      <c r="G6773" s="38"/>
      <c r="H6773" s="38"/>
      <c r="I6773" s="38"/>
      <c r="J6773" s="38"/>
      <c r="K6773" s="38"/>
      <c r="L6773" s="41"/>
      <c r="M6773" s="38"/>
      <c r="N6773" s="41"/>
      <c r="O6773" s="38"/>
      <c r="P6773" s="38"/>
      <c r="Q6773" s="38"/>
      <c r="R6773" s="39"/>
      <c r="S6773" s="39"/>
      <c r="T6773" s="39"/>
      <c r="U6773" s="39"/>
    </row>
    <row r="6774">
      <c r="A6774" s="40" t="str">
        <f t="shared" si="1"/>
        <v/>
      </c>
      <c r="B6774" s="37" t="str">
        <f t="array" ref="B6774">iferror(xlookup($I6774, 'IMPORT VHC Report'!$E:$E, 'IMPORT VHC Report'!$A:$C), )</f>
        <v/>
      </c>
      <c r="C6774" s="44"/>
      <c r="D6774" s="44"/>
      <c r="E6774" s="38"/>
      <c r="F6774" s="38"/>
      <c r="G6774" s="38"/>
      <c r="H6774" s="38"/>
      <c r="I6774" s="38"/>
      <c r="J6774" s="38"/>
      <c r="K6774" s="38"/>
      <c r="L6774" s="41"/>
      <c r="M6774" s="38"/>
      <c r="N6774" s="41"/>
      <c r="O6774" s="38"/>
      <c r="P6774" s="38"/>
      <c r="Q6774" s="39"/>
      <c r="R6774" s="39"/>
      <c r="S6774" s="39"/>
      <c r="T6774" s="39"/>
      <c r="U6774" s="39"/>
    </row>
    <row r="6775">
      <c r="A6775" s="40" t="str">
        <f t="shared" si="1"/>
        <v/>
      </c>
      <c r="B6775" s="37" t="str">
        <f t="array" ref="B6775">iferror(xlookup($I6775, 'IMPORT VHC Report'!$E:$E, 'IMPORT VHC Report'!$A:$C), )</f>
        <v/>
      </c>
      <c r="C6775" s="44"/>
      <c r="D6775" s="44"/>
      <c r="E6775" s="38"/>
      <c r="F6775" s="38"/>
      <c r="G6775" s="38"/>
      <c r="H6775" s="38"/>
      <c r="I6775" s="38"/>
      <c r="J6775" s="38"/>
      <c r="K6775" s="38"/>
      <c r="L6775" s="41"/>
      <c r="M6775" s="38"/>
      <c r="N6775" s="41"/>
      <c r="O6775" s="38"/>
      <c r="P6775" s="38"/>
      <c r="Q6775" s="39"/>
      <c r="R6775" s="39"/>
      <c r="S6775" s="39"/>
      <c r="T6775" s="39"/>
      <c r="U6775" s="39"/>
    </row>
    <row r="6776">
      <c r="A6776" s="40" t="str">
        <f t="shared" si="1"/>
        <v/>
      </c>
      <c r="B6776" s="37" t="str">
        <f t="array" ref="B6776">iferror(xlookup($I6776, 'IMPORT VHC Report'!$E:$E, 'IMPORT VHC Report'!$A:$C), )</f>
        <v/>
      </c>
      <c r="C6776" s="44"/>
      <c r="D6776" s="44"/>
      <c r="E6776" s="38"/>
      <c r="F6776" s="38"/>
      <c r="G6776" s="38"/>
      <c r="H6776" s="38"/>
      <c r="I6776" s="38"/>
      <c r="J6776" s="38"/>
      <c r="K6776" s="38"/>
      <c r="L6776" s="41"/>
      <c r="M6776" s="38"/>
      <c r="N6776" s="41"/>
      <c r="O6776" s="38"/>
      <c r="P6776" s="38"/>
      <c r="Q6776" s="39"/>
      <c r="R6776" s="39"/>
      <c r="S6776" s="38"/>
      <c r="T6776" s="39"/>
      <c r="U6776" s="39"/>
    </row>
    <row r="6777">
      <c r="A6777" s="40" t="str">
        <f t="shared" si="1"/>
        <v/>
      </c>
      <c r="B6777" s="37" t="str">
        <f t="array" ref="B6777">iferror(xlookup($I6777, 'IMPORT VHC Report'!$E:$E, 'IMPORT VHC Report'!$A:$C), )</f>
        <v/>
      </c>
      <c r="C6777" s="44"/>
      <c r="D6777" s="44"/>
      <c r="E6777" s="38"/>
      <c r="F6777" s="38"/>
      <c r="G6777" s="38"/>
      <c r="H6777" s="38"/>
      <c r="I6777" s="38"/>
      <c r="J6777" s="38"/>
      <c r="K6777" s="38"/>
      <c r="L6777" s="41"/>
      <c r="M6777" s="38"/>
      <c r="N6777" s="41"/>
      <c r="O6777" s="38"/>
      <c r="P6777" s="38"/>
      <c r="Q6777" s="39"/>
      <c r="R6777" s="39"/>
      <c r="S6777" s="39"/>
      <c r="T6777" s="39"/>
      <c r="U6777" s="39"/>
    </row>
    <row r="6778">
      <c r="A6778" s="40" t="str">
        <f t="shared" si="1"/>
        <v/>
      </c>
      <c r="B6778" s="37" t="str">
        <f t="array" ref="B6778">iferror(xlookup($I6778, 'IMPORT VHC Report'!$E:$E, 'IMPORT VHC Report'!$A:$C), )</f>
        <v/>
      </c>
      <c r="C6778" s="44"/>
      <c r="D6778" s="44"/>
      <c r="E6778" s="38"/>
      <c r="F6778" s="38"/>
      <c r="G6778" s="38"/>
      <c r="H6778" s="38"/>
      <c r="I6778" s="38"/>
      <c r="J6778" s="38"/>
      <c r="K6778" s="38"/>
      <c r="L6778" s="41"/>
      <c r="M6778" s="38"/>
      <c r="N6778" s="41"/>
      <c r="O6778" s="38"/>
      <c r="P6778" s="38"/>
      <c r="Q6778" s="38"/>
      <c r="R6778" s="39"/>
      <c r="S6778" s="39"/>
      <c r="T6778" s="39"/>
      <c r="U6778" s="39"/>
    </row>
    <row r="6779">
      <c r="A6779" s="40" t="str">
        <f t="shared" si="1"/>
        <v/>
      </c>
      <c r="B6779" s="37" t="str">
        <f t="array" ref="B6779">iferror(xlookup($I6779, 'IMPORT VHC Report'!$E:$E, 'IMPORT VHC Report'!$A:$C), )</f>
        <v/>
      </c>
      <c r="C6779" s="44"/>
      <c r="D6779" s="44"/>
      <c r="E6779" s="38"/>
      <c r="F6779" s="38"/>
      <c r="G6779" s="38"/>
      <c r="H6779" s="38"/>
      <c r="I6779" s="38"/>
      <c r="J6779" s="38"/>
      <c r="K6779" s="38"/>
      <c r="L6779" s="41"/>
      <c r="M6779" s="38"/>
      <c r="N6779" s="41"/>
      <c r="O6779" s="38"/>
      <c r="P6779" s="38"/>
      <c r="Q6779" s="39"/>
      <c r="R6779" s="39"/>
      <c r="S6779" s="39"/>
      <c r="T6779" s="39"/>
      <c r="U6779" s="39"/>
    </row>
    <row r="6780">
      <c r="A6780" s="40" t="str">
        <f t="shared" si="1"/>
        <v/>
      </c>
      <c r="B6780" s="37" t="str">
        <f t="array" ref="B6780">iferror(xlookup($I6780, 'IMPORT VHC Report'!$E:$E, 'IMPORT VHC Report'!$A:$C), )</f>
        <v/>
      </c>
      <c r="C6780" s="44"/>
      <c r="D6780" s="44"/>
      <c r="E6780" s="38"/>
      <c r="F6780" s="38"/>
      <c r="G6780" s="38"/>
      <c r="H6780" s="38"/>
      <c r="I6780" s="38"/>
      <c r="J6780" s="38"/>
      <c r="K6780" s="38"/>
      <c r="L6780" s="41"/>
      <c r="M6780" s="38"/>
      <c r="N6780" s="41"/>
      <c r="O6780" s="38"/>
      <c r="P6780" s="38"/>
      <c r="Q6780" s="39"/>
      <c r="R6780" s="39"/>
      <c r="S6780" s="39"/>
      <c r="T6780" s="39"/>
      <c r="U6780" s="39"/>
    </row>
    <row r="6781">
      <c r="A6781" s="40" t="str">
        <f t="shared" si="1"/>
        <v/>
      </c>
      <c r="B6781" s="37" t="str">
        <f t="array" ref="B6781">iferror(xlookup($I6781, 'IMPORT VHC Report'!$E:$E, 'IMPORT VHC Report'!$A:$C), )</f>
        <v/>
      </c>
      <c r="C6781" s="44"/>
      <c r="D6781" s="44"/>
      <c r="E6781" s="38"/>
      <c r="F6781" s="38"/>
      <c r="G6781" s="38"/>
      <c r="H6781" s="38"/>
      <c r="I6781" s="38"/>
      <c r="J6781" s="38"/>
      <c r="K6781" s="38"/>
      <c r="L6781" s="41"/>
      <c r="M6781" s="38"/>
      <c r="N6781" s="41"/>
      <c r="O6781" s="38"/>
      <c r="P6781" s="38"/>
      <c r="Q6781" s="39"/>
      <c r="R6781" s="39"/>
      <c r="S6781" s="38"/>
      <c r="T6781" s="39"/>
      <c r="U6781" s="39"/>
    </row>
    <row r="6782">
      <c r="A6782" s="40" t="str">
        <f t="shared" si="1"/>
        <v/>
      </c>
      <c r="B6782" s="37" t="str">
        <f t="array" ref="B6782">iferror(xlookup($I6782, 'IMPORT VHC Report'!$E:$E, 'IMPORT VHC Report'!$A:$C), )</f>
        <v/>
      </c>
      <c r="C6782" s="44"/>
      <c r="D6782" s="44"/>
      <c r="E6782" s="38"/>
      <c r="F6782" s="38"/>
      <c r="G6782" s="38"/>
      <c r="H6782" s="38"/>
      <c r="I6782" s="38"/>
      <c r="J6782" s="38"/>
      <c r="K6782" s="38"/>
      <c r="L6782" s="41"/>
      <c r="M6782" s="38"/>
      <c r="N6782" s="41"/>
      <c r="O6782" s="38"/>
      <c r="P6782" s="38"/>
      <c r="Q6782" s="39"/>
      <c r="R6782" s="39"/>
      <c r="S6782" s="39"/>
      <c r="T6782" s="39"/>
      <c r="U6782" s="39"/>
    </row>
    <row r="6783">
      <c r="A6783" s="40" t="str">
        <f t="shared" si="1"/>
        <v/>
      </c>
      <c r="B6783" s="37" t="str">
        <f t="array" ref="B6783">iferror(xlookup($I6783, 'IMPORT VHC Report'!$E:$E, 'IMPORT VHC Report'!$A:$C), )</f>
        <v/>
      </c>
      <c r="C6783" s="44"/>
      <c r="D6783" s="44"/>
      <c r="E6783" s="38"/>
      <c r="F6783" s="38"/>
      <c r="G6783" s="38"/>
      <c r="H6783" s="38"/>
      <c r="I6783" s="38"/>
      <c r="J6783" s="38"/>
      <c r="K6783" s="38"/>
      <c r="L6783" s="41"/>
      <c r="M6783" s="38"/>
      <c r="N6783" s="41"/>
      <c r="O6783" s="38"/>
      <c r="P6783" s="38"/>
      <c r="Q6783" s="39"/>
      <c r="R6783" s="39"/>
      <c r="S6783" s="39"/>
      <c r="T6783" s="39"/>
      <c r="U6783" s="39"/>
    </row>
    <row r="6784">
      <c r="A6784" s="40" t="str">
        <f t="shared" si="1"/>
        <v/>
      </c>
      <c r="B6784" s="37" t="str">
        <f t="array" ref="B6784">iferror(xlookup($I6784, 'IMPORT VHC Report'!$E:$E, 'IMPORT VHC Report'!$A:$C), )</f>
        <v/>
      </c>
      <c r="C6784" s="44"/>
      <c r="D6784" s="44"/>
      <c r="E6784" s="38"/>
      <c r="F6784" s="38"/>
      <c r="G6784" s="38"/>
      <c r="H6784" s="38"/>
      <c r="I6784" s="38"/>
      <c r="J6784" s="38"/>
      <c r="K6784" s="38"/>
      <c r="L6784" s="41"/>
      <c r="M6784" s="38"/>
      <c r="N6784" s="41"/>
      <c r="O6784" s="38"/>
      <c r="P6784" s="38"/>
      <c r="Q6784" s="39"/>
      <c r="R6784" s="39"/>
      <c r="S6784" s="39"/>
      <c r="T6784" s="39"/>
      <c r="U6784" s="39"/>
    </row>
    <row r="6785">
      <c r="A6785" s="40" t="str">
        <f t="shared" si="1"/>
        <v/>
      </c>
      <c r="B6785" s="37" t="str">
        <f t="array" ref="B6785">iferror(xlookup($I6785, 'IMPORT VHC Report'!$E:$E, 'IMPORT VHC Report'!$A:$C), )</f>
        <v/>
      </c>
      <c r="C6785" s="44"/>
      <c r="D6785" s="44"/>
      <c r="E6785" s="38"/>
      <c r="F6785" s="38"/>
      <c r="G6785" s="38"/>
      <c r="H6785" s="38"/>
      <c r="I6785" s="38"/>
      <c r="J6785" s="38"/>
      <c r="K6785" s="38"/>
      <c r="L6785" s="41"/>
      <c r="M6785" s="38"/>
      <c r="N6785" s="41"/>
      <c r="O6785" s="38"/>
      <c r="P6785" s="38"/>
      <c r="Q6785" s="39"/>
      <c r="R6785" s="39"/>
      <c r="S6785" s="38"/>
      <c r="T6785" s="39"/>
      <c r="U6785" s="39"/>
    </row>
    <row r="6786">
      <c r="A6786" s="40" t="str">
        <f t="shared" si="1"/>
        <v/>
      </c>
      <c r="B6786" s="37" t="str">
        <f t="array" ref="B6786">iferror(xlookup($I6786, 'IMPORT VHC Report'!$E:$E, 'IMPORT VHC Report'!$A:$C), )</f>
        <v/>
      </c>
      <c r="C6786" s="44"/>
      <c r="D6786" s="44"/>
      <c r="E6786" s="38"/>
      <c r="F6786" s="38"/>
      <c r="G6786" s="38"/>
      <c r="H6786" s="38"/>
      <c r="I6786" s="38"/>
      <c r="J6786" s="38"/>
      <c r="K6786" s="38"/>
      <c r="L6786" s="41"/>
      <c r="M6786" s="38"/>
      <c r="N6786" s="41"/>
      <c r="O6786" s="38"/>
      <c r="P6786" s="38"/>
      <c r="Q6786" s="39"/>
      <c r="R6786" s="39"/>
      <c r="S6786" s="39"/>
      <c r="T6786" s="39"/>
      <c r="U6786" s="39"/>
    </row>
    <row r="6787">
      <c r="A6787" s="40" t="str">
        <f t="shared" si="1"/>
        <v/>
      </c>
      <c r="B6787" s="37" t="str">
        <f t="array" ref="B6787">iferror(xlookup($I6787, 'IMPORT VHC Report'!$E:$E, 'IMPORT VHC Report'!$A:$C), )</f>
        <v/>
      </c>
      <c r="C6787" s="44"/>
      <c r="D6787" s="44"/>
      <c r="E6787" s="38"/>
      <c r="F6787" s="38"/>
      <c r="G6787" s="38"/>
      <c r="H6787" s="38"/>
      <c r="I6787" s="38"/>
      <c r="J6787" s="38"/>
      <c r="K6787" s="38"/>
      <c r="L6787" s="41"/>
      <c r="M6787" s="38"/>
      <c r="N6787" s="41"/>
      <c r="O6787" s="38"/>
      <c r="P6787" s="38"/>
      <c r="Q6787" s="39"/>
      <c r="R6787" s="39"/>
      <c r="S6787" s="38"/>
      <c r="T6787" s="39"/>
      <c r="U6787" s="39"/>
    </row>
    <row r="6788">
      <c r="A6788" s="40" t="str">
        <f t="shared" si="1"/>
        <v/>
      </c>
      <c r="B6788" s="37" t="str">
        <f t="array" ref="B6788">iferror(xlookup($I6788, 'IMPORT VHC Report'!$E:$E, 'IMPORT VHC Report'!$A:$C), )</f>
        <v/>
      </c>
      <c r="C6788" s="44"/>
      <c r="D6788" s="44"/>
      <c r="E6788" s="38"/>
      <c r="F6788" s="38"/>
      <c r="G6788" s="38"/>
      <c r="H6788" s="38"/>
      <c r="I6788" s="38"/>
      <c r="J6788" s="38"/>
      <c r="K6788" s="38"/>
      <c r="L6788" s="41"/>
      <c r="M6788" s="38"/>
      <c r="N6788" s="41"/>
      <c r="O6788" s="38"/>
      <c r="P6788" s="38"/>
      <c r="Q6788" s="39"/>
      <c r="R6788" s="39"/>
      <c r="S6788" s="39"/>
      <c r="T6788" s="39"/>
      <c r="U6788" s="39"/>
    </row>
    <row r="6789">
      <c r="A6789" s="40" t="str">
        <f t="shared" si="1"/>
        <v/>
      </c>
      <c r="B6789" s="37" t="str">
        <f t="array" ref="B6789">iferror(xlookup($I6789, 'IMPORT VHC Report'!$E:$E, 'IMPORT VHC Report'!$A:$C), )</f>
        <v/>
      </c>
      <c r="C6789" s="44"/>
      <c r="D6789" s="44"/>
      <c r="E6789" s="38"/>
      <c r="F6789" s="38"/>
      <c r="G6789" s="38"/>
      <c r="H6789" s="38"/>
      <c r="I6789" s="38"/>
      <c r="J6789" s="38"/>
      <c r="K6789" s="38"/>
      <c r="L6789" s="41"/>
      <c r="M6789" s="38"/>
      <c r="N6789" s="41"/>
      <c r="O6789" s="38"/>
      <c r="P6789" s="38"/>
      <c r="Q6789" s="39"/>
      <c r="R6789" s="39"/>
      <c r="S6789" s="39"/>
      <c r="T6789" s="39"/>
      <c r="U6789" s="39"/>
    </row>
    <row r="6790">
      <c r="A6790" s="40" t="str">
        <f t="shared" si="1"/>
        <v/>
      </c>
      <c r="B6790" s="37" t="str">
        <f t="array" ref="B6790">iferror(xlookup($I6790, 'IMPORT VHC Report'!$E:$E, 'IMPORT VHC Report'!$A:$C), )</f>
        <v/>
      </c>
      <c r="C6790" s="44"/>
      <c r="D6790" s="44"/>
      <c r="E6790" s="38"/>
      <c r="F6790" s="38"/>
      <c r="G6790" s="38"/>
      <c r="H6790" s="38"/>
      <c r="I6790" s="38"/>
      <c r="J6790" s="38"/>
      <c r="K6790" s="38"/>
      <c r="L6790" s="41"/>
      <c r="M6790" s="38"/>
      <c r="N6790" s="41"/>
      <c r="O6790" s="38"/>
      <c r="P6790" s="38"/>
      <c r="Q6790" s="39"/>
      <c r="R6790" s="39"/>
      <c r="S6790" s="39"/>
      <c r="T6790" s="39"/>
      <c r="U6790" s="39"/>
    </row>
    <row r="6791">
      <c r="A6791" s="40" t="str">
        <f t="shared" si="1"/>
        <v/>
      </c>
      <c r="B6791" s="37" t="str">
        <f t="array" ref="B6791">iferror(xlookup($I6791, 'IMPORT VHC Report'!$E:$E, 'IMPORT VHC Report'!$A:$C), )</f>
        <v/>
      </c>
      <c r="C6791" s="44"/>
      <c r="D6791" s="44"/>
      <c r="E6791" s="38"/>
      <c r="F6791" s="38"/>
      <c r="G6791" s="38"/>
      <c r="H6791" s="38"/>
      <c r="I6791" s="38"/>
      <c r="J6791" s="38"/>
      <c r="K6791" s="38"/>
      <c r="L6791" s="41"/>
      <c r="M6791" s="38"/>
      <c r="N6791" s="41"/>
      <c r="O6791" s="38"/>
      <c r="P6791" s="38"/>
      <c r="Q6791" s="39"/>
      <c r="R6791" s="39"/>
      <c r="S6791" s="38"/>
      <c r="T6791" s="39"/>
      <c r="U6791" s="39"/>
    </row>
    <row r="6792">
      <c r="A6792" s="40" t="str">
        <f t="shared" si="1"/>
        <v/>
      </c>
      <c r="B6792" s="37" t="str">
        <f t="array" ref="B6792">iferror(xlookup($I6792, 'IMPORT VHC Report'!$E:$E, 'IMPORT VHC Report'!$A:$C), )</f>
        <v/>
      </c>
      <c r="C6792" s="44"/>
      <c r="D6792" s="44"/>
      <c r="E6792" s="38"/>
      <c r="F6792" s="38"/>
      <c r="G6792" s="38"/>
      <c r="H6792" s="38"/>
      <c r="I6792" s="38"/>
      <c r="J6792" s="38"/>
      <c r="K6792" s="38"/>
      <c r="L6792" s="41"/>
      <c r="M6792" s="38"/>
      <c r="N6792" s="41"/>
      <c r="O6792" s="38"/>
      <c r="P6792" s="38"/>
      <c r="Q6792" s="39"/>
      <c r="R6792" s="39"/>
      <c r="S6792" s="39"/>
      <c r="T6792" s="39"/>
      <c r="U6792" s="39"/>
    </row>
    <row r="6793">
      <c r="A6793" s="40" t="str">
        <f t="shared" si="1"/>
        <v/>
      </c>
      <c r="B6793" s="37" t="str">
        <f t="array" ref="B6793">iferror(xlookup($I6793, 'IMPORT VHC Report'!$E:$E, 'IMPORT VHC Report'!$A:$C), )</f>
        <v/>
      </c>
      <c r="C6793" s="44"/>
      <c r="D6793" s="44"/>
      <c r="E6793" s="38"/>
      <c r="F6793" s="38"/>
      <c r="G6793" s="38"/>
      <c r="H6793" s="38"/>
      <c r="I6793" s="38"/>
      <c r="J6793" s="38"/>
      <c r="K6793" s="38"/>
      <c r="L6793" s="41"/>
      <c r="M6793" s="38"/>
      <c r="N6793" s="41"/>
      <c r="O6793" s="38"/>
      <c r="P6793" s="38"/>
      <c r="Q6793" s="39"/>
      <c r="R6793" s="39"/>
      <c r="S6793" s="38"/>
      <c r="T6793" s="39"/>
      <c r="U6793" s="39"/>
    </row>
    <row r="6794">
      <c r="A6794" s="40" t="str">
        <f t="shared" si="1"/>
        <v/>
      </c>
      <c r="B6794" s="37" t="str">
        <f t="array" ref="B6794">iferror(xlookup($I6794, 'IMPORT VHC Report'!$E:$E, 'IMPORT VHC Report'!$A:$C), )</f>
        <v/>
      </c>
      <c r="C6794" s="44"/>
      <c r="D6794" s="44"/>
      <c r="E6794" s="38"/>
      <c r="F6794" s="38"/>
      <c r="G6794" s="38"/>
      <c r="H6794" s="38"/>
      <c r="I6794" s="38"/>
      <c r="J6794" s="38"/>
      <c r="K6794" s="38"/>
      <c r="L6794" s="41"/>
      <c r="M6794" s="38"/>
      <c r="N6794" s="41"/>
      <c r="O6794" s="38"/>
      <c r="P6794" s="38"/>
      <c r="Q6794" s="39"/>
      <c r="R6794" s="39"/>
      <c r="S6794" s="39"/>
      <c r="T6794" s="39"/>
      <c r="U6794" s="39"/>
    </row>
    <row r="6795">
      <c r="A6795" s="40" t="str">
        <f t="shared" si="1"/>
        <v/>
      </c>
      <c r="B6795" s="37" t="str">
        <f t="array" ref="B6795">iferror(xlookup($I6795, 'IMPORT VHC Report'!$E:$E, 'IMPORT VHC Report'!$A:$C), )</f>
        <v/>
      </c>
      <c r="C6795" s="44"/>
      <c r="D6795" s="44"/>
      <c r="E6795" s="38"/>
      <c r="F6795" s="38"/>
      <c r="G6795" s="38"/>
      <c r="H6795" s="38"/>
      <c r="I6795" s="38"/>
      <c r="J6795" s="38"/>
      <c r="K6795" s="38"/>
      <c r="L6795" s="41"/>
      <c r="M6795" s="38"/>
      <c r="N6795" s="41"/>
      <c r="O6795" s="38"/>
      <c r="P6795" s="38"/>
      <c r="Q6795" s="39"/>
      <c r="R6795" s="39"/>
      <c r="S6795" s="39"/>
      <c r="T6795" s="39"/>
      <c r="U6795" s="39"/>
    </row>
    <row r="6796">
      <c r="A6796" s="40" t="str">
        <f t="shared" si="1"/>
        <v/>
      </c>
      <c r="B6796" s="37" t="str">
        <f t="array" ref="B6796">iferror(xlookup($I6796, 'IMPORT VHC Report'!$E:$E, 'IMPORT VHC Report'!$A:$C), )</f>
        <v/>
      </c>
      <c r="C6796" s="44"/>
      <c r="D6796" s="44"/>
      <c r="E6796" s="38"/>
      <c r="F6796" s="38"/>
      <c r="G6796" s="38"/>
      <c r="H6796" s="38"/>
      <c r="I6796" s="38"/>
      <c r="J6796" s="38"/>
      <c r="K6796" s="38"/>
      <c r="L6796" s="41"/>
      <c r="M6796" s="38"/>
      <c r="N6796" s="41"/>
      <c r="O6796" s="38"/>
      <c r="P6796" s="38"/>
      <c r="Q6796" s="39"/>
      <c r="R6796" s="39"/>
      <c r="S6796" s="39"/>
      <c r="T6796" s="39"/>
      <c r="U6796" s="39"/>
    </row>
    <row r="6797">
      <c r="A6797" s="40" t="str">
        <f t="shared" si="1"/>
        <v/>
      </c>
      <c r="B6797" s="37" t="str">
        <f t="array" ref="B6797">iferror(xlookup($I6797, 'IMPORT VHC Report'!$E:$E, 'IMPORT VHC Report'!$A:$C), )</f>
        <v/>
      </c>
      <c r="C6797" s="44"/>
      <c r="D6797" s="44"/>
      <c r="E6797" s="38"/>
      <c r="F6797" s="38"/>
      <c r="G6797" s="38"/>
      <c r="H6797" s="38"/>
      <c r="I6797" s="38"/>
      <c r="J6797" s="38"/>
      <c r="K6797" s="38"/>
      <c r="L6797" s="41"/>
      <c r="M6797" s="38"/>
      <c r="N6797" s="41"/>
      <c r="O6797" s="38"/>
      <c r="P6797" s="38"/>
      <c r="Q6797" s="39"/>
      <c r="R6797" s="39"/>
      <c r="S6797" s="39"/>
      <c r="T6797" s="39"/>
      <c r="U6797" s="39"/>
    </row>
    <row r="6798">
      <c r="A6798" s="40" t="str">
        <f t="shared" si="1"/>
        <v/>
      </c>
      <c r="B6798" s="37" t="str">
        <f t="array" ref="B6798">iferror(xlookup($I6798, 'IMPORT VHC Report'!$E:$E, 'IMPORT VHC Report'!$A:$C), )</f>
        <v/>
      </c>
      <c r="C6798" s="44"/>
      <c r="D6798" s="44"/>
      <c r="E6798" s="38"/>
      <c r="F6798" s="38"/>
      <c r="G6798" s="38"/>
      <c r="H6798" s="38"/>
      <c r="I6798" s="38"/>
      <c r="J6798" s="38"/>
      <c r="K6798" s="38"/>
      <c r="L6798" s="41"/>
      <c r="M6798" s="38"/>
      <c r="N6798" s="41"/>
      <c r="O6798" s="38"/>
      <c r="P6798" s="38"/>
      <c r="Q6798" s="38"/>
      <c r="R6798" s="39"/>
      <c r="S6798" s="39"/>
      <c r="T6798" s="39"/>
      <c r="U6798" s="39"/>
    </row>
    <row r="6799">
      <c r="A6799" s="40" t="str">
        <f t="shared" si="1"/>
        <v/>
      </c>
      <c r="B6799" s="37" t="str">
        <f t="array" ref="B6799">iferror(xlookup($I6799, 'IMPORT VHC Report'!$E:$E, 'IMPORT VHC Report'!$A:$C), )</f>
        <v/>
      </c>
      <c r="C6799" s="44"/>
      <c r="D6799" s="44"/>
      <c r="E6799" s="38"/>
      <c r="F6799" s="38"/>
      <c r="G6799" s="38"/>
      <c r="H6799" s="38"/>
      <c r="I6799" s="38"/>
      <c r="J6799" s="38"/>
      <c r="K6799" s="38"/>
      <c r="L6799" s="41"/>
      <c r="M6799" s="38"/>
      <c r="N6799" s="41"/>
      <c r="O6799" s="38"/>
      <c r="P6799" s="38"/>
      <c r="Q6799" s="39"/>
      <c r="R6799" s="39"/>
      <c r="S6799" s="39"/>
      <c r="T6799" s="39"/>
      <c r="U6799" s="39"/>
    </row>
    <row r="6800">
      <c r="A6800" s="40" t="str">
        <f t="shared" si="1"/>
        <v/>
      </c>
      <c r="B6800" s="37" t="str">
        <f t="array" ref="B6800">iferror(xlookup($I6800, 'IMPORT VHC Report'!$E:$E, 'IMPORT VHC Report'!$A:$C), )</f>
        <v/>
      </c>
      <c r="C6800" s="44"/>
      <c r="D6800" s="44"/>
      <c r="E6800" s="38"/>
      <c r="F6800" s="38"/>
      <c r="G6800" s="38"/>
      <c r="H6800" s="38"/>
      <c r="I6800" s="38"/>
      <c r="J6800" s="38"/>
      <c r="K6800" s="38"/>
      <c r="L6800" s="41"/>
      <c r="M6800" s="38"/>
      <c r="N6800" s="41"/>
      <c r="O6800" s="38"/>
      <c r="P6800" s="38"/>
      <c r="Q6800" s="39"/>
      <c r="R6800" s="39"/>
      <c r="S6800" s="39"/>
      <c r="T6800" s="39"/>
      <c r="U6800" s="39"/>
    </row>
    <row r="6801">
      <c r="A6801" s="40" t="str">
        <f t="shared" si="1"/>
        <v/>
      </c>
      <c r="B6801" s="37" t="str">
        <f t="array" ref="B6801">iferror(xlookup($I6801, 'IMPORT VHC Report'!$E:$E, 'IMPORT VHC Report'!$A:$C), )</f>
        <v/>
      </c>
      <c r="C6801" s="44"/>
      <c r="D6801" s="44"/>
      <c r="E6801" s="38"/>
      <c r="F6801" s="38"/>
      <c r="G6801" s="38"/>
      <c r="H6801" s="38"/>
      <c r="I6801" s="38"/>
      <c r="J6801" s="38"/>
      <c r="K6801" s="38"/>
      <c r="L6801" s="41"/>
      <c r="M6801" s="38"/>
      <c r="N6801" s="41"/>
      <c r="O6801" s="38"/>
      <c r="P6801" s="38"/>
      <c r="Q6801" s="39"/>
      <c r="R6801" s="39"/>
      <c r="S6801" s="39"/>
      <c r="T6801" s="39"/>
      <c r="U6801" s="39"/>
    </row>
    <row r="6802">
      <c r="A6802" s="40" t="str">
        <f t="shared" si="1"/>
        <v/>
      </c>
      <c r="B6802" s="37" t="str">
        <f t="array" ref="B6802">iferror(xlookup($I6802, 'IMPORT VHC Report'!$E:$E, 'IMPORT VHC Report'!$A:$C), )</f>
        <v/>
      </c>
      <c r="C6802" s="44"/>
      <c r="D6802" s="44"/>
      <c r="E6802" s="38"/>
      <c r="F6802" s="38"/>
      <c r="G6802" s="38"/>
      <c r="H6802" s="38"/>
      <c r="I6802" s="38"/>
      <c r="J6802" s="38"/>
      <c r="K6802" s="38"/>
      <c r="L6802" s="41"/>
      <c r="M6802" s="38"/>
      <c r="N6802" s="41"/>
      <c r="O6802" s="38"/>
      <c r="P6802" s="38"/>
      <c r="Q6802" s="39"/>
      <c r="R6802" s="39"/>
      <c r="S6802" s="39"/>
      <c r="T6802" s="39"/>
      <c r="U6802" s="39"/>
    </row>
    <row r="6803">
      <c r="A6803" s="40" t="str">
        <f t="shared" si="1"/>
        <v/>
      </c>
      <c r="B6803" s="37" t="str">
        <f t="array" ref="B6803">iferror(xlookup($I6803, 'IMPORT VHC Report'!$E:$E, 'IMPORT VHC Report'!$A:$C), )</f>
        <v/>
      </c>
      <c r="C6803" s="44"/>
      <c r="D6803" s="44"/>
      <c r="E6803" s="38"/>
      <c r="F6803" s="38"/>
      <c r="G6803" s="38"/>
      <c r="H6803" s="38"/>
      <c r="I6803" s="38"/>
      <c r="J6803" s="38"/>
      <c r="K6803" s="38"/>
      <c r="L6803" s="41"/>
      <c r="M6803" s="38"/>
      <c r="N6803" s="41"/>
      <c r="O6803" s="38"/>
      <c r="P6803" s="38"/>
      <c r="Q6803" s="39"/>
      <c r="R6803" s="39"/>
      <c r="S6803" s="39"/>
      <c r="T6803" s="39"/>
      <c r="U6803" s="39"/>
    </row>
    <row r="6804">
      <c r="A6804" s="40" t="str">
        <f t="shared" si="1"/>
        <v/>
      </c>
      <c r="B6804" s="37" t="str">
        <f t="array" ref="B6804">iferror(xlookup($I6804, 'IMPORT VHC Report'!$E:$E, 'IMPORT VHC Report'!$A:$C), )</f>
        <v/>
      </c>
      <c r="C6804" s="44"/>
      <c r="D6804" s="44"/>
      <c r="E6804" s="38"/>
      <c r="F6804" s="38"/>
      <c r="G6804" s="38"/>
      <c r="H6804" s="38"/>
      <c r="I6804" s="38"/>
      <c r="J6804" s="38"/>
      <c r="K6804" s="38"/>
      <c r="L6804" s="41"/>
      <c r="M6804" s="38"/>
      <c r="N6804" s="41"/>
      <c r="O6804" s="38"/>
      <c r="P6804" s="38"/>
      <c r="Q6804" s="39"/>
      <c r="R6804" s="39"/>
      <c r="S6804" s="39"/>
      <c r="T6804" s="39"/>
      <c r="U6804" s="39"/>
    </row>
    <row r="6805">
      <c r="A6805" s="40" t="str">
        <f t="shared" si="1"/>
        <v/>
      </c>
      <c r="B6805" s="37" t="str">
        <f t="array" ref="B6805">iferror(xlookup($I6805, 'IMPORT VHC Report'!$E:$E, 'IMPORT VHC Report'!$A:$C), )</f>
        <v/>
      </c>
      <c r="C6805" s="44"/>
      <c r="D6805" s="44"/>
      <c r="E6805" s="38"/>
      <c r="F6805" s="38"/>
      <c r="G6805" s="38"/>
      <c r="H6805" s="38"/>
      <c r="I6805" s="38"/>
      <c r="J6805" s="38"/>
      <c r="K6805" s="38"/>
      <c r="L6805" s="41"/>
      <c r="M6805" s="38"/>
      <c r="N6805" s="41"/>
      <c r="O6805" s="38"/>
      <c r="P6805" s="38"/>
      <c r="Q6805" s="39"/>
      <c r="R6805" s="39"/>
      <c r="S6805" s="38"/>
      <c r="T6805" s="39"/>
      <c r="U6805" s="39"/>
    </row>
    <row r="6806">
      <c r="A6806" s="40" t="str">
        <f t="shared" si="1"/>
        <v/>
      </c>
      <c r="B6806" s="37" t="str">
        <f t="array" ref="B6806">iferror(xlookup($I6806, 'IMPORT VHC Report'!$E:$E, 'IMPORT VHC Report'!$A:$C), )</f>
        <v/>
      </c>
      <c r="C6806" s="44"/>
      <c r="D6806" s="44"/>
      <c r="E6806" s="38"/>
      <c r="F6806" s="38"/>
      <c r="G6806" s="38"/>
      <c r="H6806" s="38"/>
      <c r="I6806" s="38"/>
      <c r="J6806" s="38"/>
      <c r="K6806" s="38"/>
      <c r="L6806" s="41"/>
      <c r="M6806" s="38"/>
      <c r="N6806" s="41"/>
      <c r="O6806" s="38"/>
      <c r="P6806" s="38"/>
      <c r="Q6806" s="39"/>
      <c r="R6806" s="39"/>
      <c r="S6806" s="39"/>
      <c r="T6806" s="39"/>
      <c r="U6806" s="39"/>
    </row>
    <row r="6807">
      <c r="A6807" s="40" t="str">
        <f t="shared" si="1"/>
        <v/>
      </c>
      <c r="B6807" s="37" t="str">
        <f t="array" ref="B6807">iferror(xlookup($I6807, 'IMPORT VHC Report'!$E:$E, 'IMPORT VHC Report'!$A:$C), )</f>
        <v/>
      </c>
      <c r="C6807" s="44"/>
      <c r="D6807" s="44"/>
      <c r="E6807" s="38"/>
      <c r="F6807" s="38"/>
      <c r="G6807" s="38"/>
      <c r="H6807" s="38"/>
      <c r="I6807" s="38"/>
      <c r="J6807" s="38"/>
      <c r="K6807" s="38"/>
      <c r="L6807" s="41"/>
      <c r="M6807" s="38"/>
      <c r="N6807" s="41"/>
      <c r="O6807" s="38"/>
      <c r="P6807" s="38"/>
      <c r="Q6807" s="39"/>
      <c r="R6807" s="39"/>
      <c r="S6807" s="39"/>
      <c r="T6807" s="39"/>
      <c r="U6807" s="39"/>
    </row>
    <row r="6808">
      <c r="A6808" s="40" t="str">
        <f t="shared" si="1"/>
        <v/>
      </c>
      <c r="B6808" s="37" t="str">
        <f t="array" ref="B6808">iferror(xlookup($I6808, 'IMPORT VHC Report'!$E:$E, 'IMPORT VHC Report'!$A:$C), )</f>
        <v/>
      </c>
      <c r="C6808" s="44"/>
      <c r="D6808" s="44"/>
      <c r="E6808" s="38"/>
      <c r="F6808" s="38"/>
      <c r="G6808" s="38"/>
      <c r="H6808" s="38"/>
      <c r="I6808" s="38"/>
      <c r="J6808" s="38"/>
      <c r="K6808" s="38"/>
      <c r="L6808" s="41"/>
      <c r="M6808" s="38"/>
      <c r="N6808" s="41"/>
      <c r="O6808" s="38"/>
      <c r="P6808" s="38"/>
      <c r="Q6808" s="39"/>
      <c r="R6808" s="39"/>
      <c r="S6808" s="39"/>
      <c r="T6808" s="39"/>
      <c r="U6808" s="39"/>
    </row>
    <row r="6809">
      <c r="A6809" s="40" t="str">
        <f t="shared" si="1"/>
        <v/>
      </c>
      <c r="B6809" s="37" t="str">
        <f t="array" ref="B6809">iferror(xlookup($I6809, 'IMPORT VHC Report'!$E:$E, 'IMPORT VHC Report'!$A:$C), )</f>
        <v/>
      </c>
      <c r="C6809" s="44"/>
      <c r="D6809" s="44"/>
      <c r="E6809" s="38"/>
      <c r="F6809" s="38"/>
      <c r="G6809" s="38"/>
      <c r="H6809" s="38"/>
      <c r="I6809" s="38"/>
      <c r="J6809" s="38"/>
      <c r="K6809" s="38"/>
      <c r="L6809" s="41"/>
      <c r="M6809" s="38"/>
      <c r="N6809" s="41"/>
      <c r="O6809" s="38"/>
      <c r="P6809" s="38"/>
      <c r="Q6809" s="39"/>
      <c r="R6809" s="39"/>
      <c r="S6809" s="38"/>
      <c r="T6809" s="39"/>
      <c r="U6809" s="39"/>
    </row>
    <row r="6810">
      <c r="A6810" s="40" t="str">
        <f t="shared" si="1"/>
        <v/>
      </c>
      <c r="B6810" s="37" t="str">
        <f t="array" ref="B6810">iferror(xlookup($I6810, 'IMPORT VHC Report'!$E:$E, 'IMPORT VHC Report'!$A:$C), )</f>
        <v/>
      </c>
      <c r="C6810" s="44"/>
      <c r="D6810" s="44"/>
      <c r="E6810" s="38"/>
      <c r="F6810" s="38"/>
      <c r="G6810" s="38"/>
      <c r="H6810" s="38"/>
      <c r="I6810" s="38"/>
      <c r="J6810" s="38"/>
      <c r="K6810" s="38"/>
      <c r="L6810" s="41"/>
      <c r="M6810" s="38"/>
      <c r="N6810" s="41"/>
      <c r="O6810" s="38"/>
      <c r="P6810" s="38"/>
      <c r="Q6810" s="39"/>
      <c r="R6810" s="39"/>
      <c r="S6810" s="39"/>
      <c r="T6810" s="39"/>
      <c r="U6810" s="39"/>
    </row>
    <row r="6811">
      <c r="A6811" s="40" t="str">
        <f t="shared" si="1"/>
        <v/>
      </c>
      <c r="B6811" s="37" t="str">
        <f t="array" ref="B6811">iferror(xlookup($I6811, 'IMPORT VHC Report'!$E:$E, 'IMPORT VHC Report'!$A:$C), )</f>
        <v/>
      </c>
      <c r="C6811" s="44"/>
      <c r="D6811" s="44"/>
      <c r="E6811" s="38"/>
      <c r="F6811" s="38"/>
      <c r="G6811" s="38"/>
      <c r="H6811" s="38"/>
      <c r="I6811" s="38"/>
      <c r="J6811" s="38"/>
      <c r="K6811" s="38"/>
      <c r="L6811" s="41"/>
      <c r="M6811" s="38"/>
      <c r="N6811" s="41"/>
      <c r="O6811" s="38"/>
      <c r="P6811" s="38"/>
      <c r="Q6811" s="39"/>
      <c r="R6811" s="39"/>
      <c r="S6811" s="38"/>
      <c r="T6811" s="39"/>
      <c r="U6811" s="39"/>
    </row>
    <row r="6812">
      <c r="A6812" s="40" t="str">
        <f t="shared" si="1"/>
        <v/>
      </c>
      <c r="B6812" s="37" t="str">
        <f t="array" ref="B6812">iferror(xlookup($I6812, 'IMPORT VHC Report'!$E:$E, 'IMPORT VHC Report'!$A:$C), )</f>
        <v/>
      </c>
      <c r="C6812" s="44"/>
      <c r="D6812" s="44"/>
      <c r="E6812" s="38"/>
      <c r="F6812" s="38"/>
      <c r="G6812" s="38"/>
      <c r="H6812" s="38"/>
      <c r="I6812" s="38"/>
      <c r="J6812" s="38"/>
      <c r="K6812" s="38"/>
      <c r="L6812" s="41"/>
      <c r="M6812" s="38"/>
      <c r="N6812" s="41"/>
      <c r="O6812" s="38"/>
      <c r="P6812" s="38"/>
      <c r="Q6812" s="39"/>
      <c r="R6812" s="39"/>
      <c r="S6812" s="38"/>
      <c r="T6812" s="39"/>
      <c r="U6812" s="39"/>
    </row>
    <row r="6813">
      <c r="A6813" s="40" t="str">
        <f t="shared" si="1"/>
        <v/>
      </c>
      <c r="B6813" s="37" t="str">
        <f t="array" ref="B6813">iferror(xlookup($I6813, 'IMPORT VHC Report'!$E:$E, 'IMPORT VHC Report'!$A:$C), )</f>
        <v/>
      </c>
      <c r="C6813" s="44"/>
      <c r="D6813" s="44"/>
      <c r="E6813" s="38"/>
      <c r="F6813" s="38"/>
      <c r="G6813" s="38"/>
      <c r="H6813" s="38"/>
      <c r="I6813" s="38"/>
      <c r="J6813" s="38"/>
      <c r="K6813" s="38"/>
      <c r="L6813" s="41"/>
      <c r="M6813" s="38"/>
      <c r="N6813" s="41"/>
      <c r="O6813" s="38"/>
      <c r="P6813" s="38"/>
      <c r="Q6813" s="39"/>
      <c r="R6813" s="39"/>
      <c r="S6813" s="39"/>
      <c r="T6813" s="39"/>
      <c r="U6813" s="39"/>
    </row>
    <row r="6814">
      <c r="A6814" s="40" t="str">
        <f t="shared" si="1"/>
        <v/>
      </c>
      <c r="B6814" s="37" t="str">
        <f t="array" ref="B6814">iferror(xlookup($I6814, 'IMPORT VHC Report'!$E:$E, 'IMPORT VHC Report'!$A:$C), )</f>
        <v/>
      </c>
      <c r="C6814" s="44"/>
      <c r="D6814" s="44"/>
      <c r="E6814" s="38"/>
      <c r="F6814" s="38"/>
      <c r="G6814" s="38"/>
      <c r="H6814" s="38"/>
      <c r="I6814" s="38"/>
      <c r="J6814" s="38"/>
      <c r="K6814" s="38"/>
      <c r="L6814" s="41"/>
      <c r="M6814" s="38"/>
      <c r="N6814" s="41"/>
      <c r="O6814" s="38"/>
      <c r="P6814" s="38"/>
      <c r="Q6814" s="39"/>
      <c r="R6814" s="39"/>
      <c r="S6814" s="38"/>
      <c r="T6814" s="39"/>
      <c r="U6814" s="39"/>
    </row>
    <row r="6815">
      <c r="A6815" s="40" t="str">
        <f t="shared" si="1"/>
        <v/>
      </c>
      <c r="B6815" s="37" t="str">
        <f t="array" ref="B6815">iferror(xlookup($I6815, 'IMPORT VHC Report'!$E:$E, 'IMPORT VHC Report'!$A:$C), )</f>
        <v/>
      </c>
      <c r="C6815" s="44"/>
      <c r="D6815" s="44"/>
      <c r="E6815" s="38"/>
      <c r="F6815" s="38"/>
      <c r="G6815" s="38"/>
      <c r="H6815" s="38"/>
      <c r="I6815" s="38"/>
      <c r="J6815" s="38"/>
      <c r="K6815" s="38"/>
      <c r="L6815" s="41"/>
      <c r="M6815" s="38"/>
      <c r="N6815" s="41"/>
      <c r="O6815" s="38"/>
      <c r="P6815" s="38"/>
      <c r="Q6815" s="39"/>
      <c r="R6815" s="39"/>
      <c r="S6815" s="39"/>
      <c r="T6815" s="39"/>
      <c r="U6815" s="39"/>
    </row>
    <row r="6816">
      <c r="A6816" s="40" t="str">
        <f t="shared" si="1"/>
        <v/>
      </c>
      <c r="B6816" s="37" t="str">
        <f t="array" ref="B6816">iferror(xlookup($I6816, 'IMPORT VHC Report'!$E:$E, 'IMPORT VHC Report'!$A:$C), )</f>
        <v/>
      </c>
      <c r="C6816" s="44"/>
      <c r="D6816" s="44"/>
      <c r="E6816" s="38"/>
      <c r="F6816" s="38"/>
      <c r="G6816" s="38"/>
      <c r="H6816" s="38"/>
      <c r="I6816" s="38"/>
      <c r="J6816" s="38"/>
      <c r="K6816" s="38"/>
      <c r="L6816" s="41"/>
      <c r="M6816" s="38"/>
      <c r="N6816" s="41"/>
      <c r="O6816" s="38"/>
      <c r="P6816" s="38"/>
      <c r="Q6816" s="38"/>
      <c r="R6816" s="39"/>
      <c r="S6816" s="39"/>
      <c r="T6816" s="39"/>
      <c r="U6816" s="39"/>
    </row>
    <row r="6817">
      <c r="A6817" s="40" t="str">
        <f t="shared" si="1"/>
        <v/>
      </c>
      <c r="B6817" s="37" t="str">
        <f t="array" ref="B6817">iferror(xlookup($I6817, 'IMPORT VHC Report'!$E:$E, 'IMPORT VHC Report'!$A:$C), )</f>
        <v/>
      </c>
      <c r="C6817" s="44"/>
      <c r="D6817" s="44"/>
      <c r="E6817" s="38"/>
      <c r="F6817" s="38"/>
      <c r="G6817" s="38"/>
      <c r="H6817" s="38"/>
      <c r="I6817" s="38"/>
      <c r="J6817" s="38"/>
      <c r="K6817" s="38"/>
      <c r="L6817" s="41"/>
      <c r="M6817" s="38"/>
      <c r="N6817" s="41"/>
      <c r="O6817" s="38"/>
      <c r="P6817" s="38"/>
      <c r="Q6817" s="38"/>
      <c r="R6817" s="39"/>
      <c r="S6817" s="39"/>
      <c r="T6817" s="39"/>
      <c r="U6817" s="39"/>
    </row>
    <row r="6818">
      <c r="A6818" s="40" t="str">
        <f t="shared" si="1"/>
        <v/>
      </c>
      <c r="B6818" s="37" t="str">
        <f t="array" ref="B6818">iferror(xlookup($I6818, 'IMPORT VHC Report'!$E:$E, 'IMPORT VHC Report'!$A:$C), )</f>
        <v/>
      </c>
      <c r="C6818" s="44"/>
      <c r="D6818" s="44"/>
      <c r="E6818" s="38"/>
      <c r="F6818" s="38"/>
      <c r="G6818" s="38"/>
      <c r="H6818" s="38"/>
      <c r="I6818" s="38"/>
      <c r="J6818" s="38"/>
      <c r="K6818" s="38"/>
      <c r="L6818" s="41"/>
      <c r="M6818" s="38"/>
      <c r="N6818" s="41"/>
      <c r="O6818" s="38"/>
      <c r="P6818" s="38"/>
      <c r="Q6818" s="39"/>
      <c r="R6818" s="39"/>
      <c r="S6818" s="39"/>
      <c r="T6818" s="39"/>
      <c r="U6818" s="39"/>
    </row>
    <row r="6819">
      <c r="A6819" s="40" t="str">
        <f t="shared" si="1"/>
        <v/>
      </c>
      <c r="B6819" s="37" t="str">
        <f t="array" ref="B6819">iferror(xlookup($I6819, 'IMPORT VHC Report'!$E:$E, 'IMPORT VHC Report'!$A:$C), )</f>
        <v/>
      </c>
      <c r="C6819" s="44"/>
      <c r="D6819" s="44"/>
      <c r="E6819" s="38"/>
      <c r="F6819" s="38"/>
      <c r="G6819" s="38"/>
      <c r="H6819" s="38"/>
      <c r="I6819" s="38"/>
      <c r="J6819" s="38"/>
      <c r="K6819" s="38"/>
      <c r="L6819" s="41"/>
      <c r="M6819" s="38"/>
      <c r="N6819" s="41"/>
      <c r="O6819" s="38"/>
      <c r="P6819" s="38"/>
      <c r="Q6819" s="39"/>
      <c r="R6819" s="39"/>
      <c r="S6819" s="39"/>
      <c r="T6819" s="39"/>
      <c r="U6819" s="39"/>
    </row>
    <row r="6820">
      <c r="A6820" s="40" t="str">
        <f t="shared" si="1"/>
        <v/>
      </c>
      <c r="B6820" s="37" t="str">
        <f t="array" ref="B6820">iferror(xlookup($I6820, 'IMPORT VHC Report'!$E:$E, 'IMPORT VHC Report'!$A:$C), )</f>
        <v/>
      </c>
      <c r="C6820" s="44"/>
      <c r="D6820" s="44"/>
      <c r="E6820" s="38"/>
      <c r="F6820" s="38"/>
      <c r="G6820" s="38"/>
      <c r="H6820" s="38"/>
      <c r="I6820" s="38"/>
      <c r="J6820" s="38"/>
      <c r="K6820" s="38"/>
      <c r="L6820" s="41"/>
      <c r="M6820" s="38"/>
      <c r="N6820" s="41"/>
      <c r="O6820" s="38"/>
      <c r="P6820" s="38"/>
      <c r="Q6820" s="38"/>
      <c r="R6820" s="39"/>
      <c r="S6820" s="39"/>
      <c r="T6820" s="39"/>
      <c r="U6820" s="39"/>
    </row>
    <row r="6821">
      <c r="A6821" s="40" t="str">
        <f t="shared" si="1"/>
        <v/>
      </c>
      <c r="B6821" s="37" t="str">
        <f t="array" ref="B6821">iferror(xlookup($I6821, 'IMPORT VHC Report'!$E:$E, 'IMPORT VHC Report'!$A:$C), )</f>
        <v/>
      </c>
      <c r="C6821" s="44"/>
      <c r="D6821" s="44"/>
      <c r="E6821" s="38"/>
      <c r="F6821" s="38"/>
      <c r="G6821" s="38"/>
      <c r="H6821" s="38"/>
      <c r="I6821" s="38"/>
      <c r="J6821" s="38"/>
      <c r="K6821" s="38"/>
      <c r="L6821" s="41"/>
      <c r="M6821" s="38"/>
      <c r="N6821" s="41"/>
      <c r="O6821" s="38"/>
      <c r="P6821" s="38"/>
      <c r="Q6821" s="39"/>
      <c r="R6821" s="39"/>
      <c r="S6821" s="39"/>
      <c r="T6821" s="39"/>
      <c r="U6821" s="39"/>
    </row>
    <row r="6822">
      <c r="A6822" s="40" t="str">
        <f t="shared" si="1"/>
        <v/>
      </c>
      <c r="B6822" s="37" t="str">
        <f t="array" ref="B6822">iferror(xlookup($I6822, 'IMPORT VHC Report'!$E:$E, 'IMPORT VHC Report'!$A:$C), )</f>
        <v/>
      </c>
      <c r="C6822" s="44"/>
      <c r="D6822" s="44"/>
      <c r="E6822" s="38"/>
      <c r="F6822" s="38"/>
      <c r="G6822" s="38"/>
      <c r="H6822" s="38"/>
      <c r="I6822" s="38"/>
      <c r="J6822" s="38"/>
      <c r="K6822" s="38"/>
      <c r="L6822" s="41"/>
      <c r="M6822" s="38"/>
      <c r="N6822" s="41"/>
      <c r="O6822" s="38"/>
      <c r="P6822" s="38"/>
      <c r="Q6822" s="39"/>
      <c r="R6822" s="39"/>
      <c r="S6822" s="38"/>
      <c r="T6822" s="39"/>
      <c r="U6822" s="39"/>
    </row>
    <row r="6823">
      <c r="A6823" s="40" t="str">
        <f t="shared" si="1"/>
        <v/>
      </c>
      <c r="B6823" s="37" t="str">
        <f t="array" ref="B6823">iferror(xlookup($I6823, 'IMPORT VHC Report'!$E:$E, 'IMPORT VHC Report'!$A:$C), )</f>
        <v/>
      </c>
      <c r="C6823" s="44"/>
      <c r="D6823" s="44"/>
      <c r="E6823" s="38"/>
      <c r="F6823" s="38"/>
      <c r="G6823" s="38"/>
      <c r="H6823" s="38"/>
      <c r="I6823" s="38"/>
      <c r="J6823" s="38"/>
      <c r="K6823" s="38"/>
      <c r="L6823" s="41"/>
      <c r="M6823" s="38"/>
      <c r="N6823" s="41"/>
      <c r="O6823" s="38"/>
      <c r="P6823" s="38"/>
      <c r="Q6823" s="39"/>
      <c r="R6823" s="39"/>
      <c r="S6823" s="39"/>
      <c r="T6823" s="39"/>
      <c r="U6823" s="39"/>
    </row>
    <row r="6824">
      <c r="A6824" s="40" t="str">
        <f t="shared" si="1"/>
        <v/>
      </c>
      <c r="B6824" s="37" t="str">
        <f t="array" ref="B6824">iferror(xlookup($I6824, 'IMPORT VHC Report'!$E:$E, 'IMPORT VHC Report'!$A:$C), )</f>
        <v/>
      </c>
      <c r="C6824" s="44"/>
      <c r="D6824" s="44"/>
      <c r="E6824" s="38"/>
      <c r="F6824" s="38"/>
      <c r="G6824" s="38"/>
      <c r="H6824" s="38"/>
      <c r="I6824" s="38"/>
      <c r="J6824" s="38"/>
      <c r="K6824" s="38"/>
      <c r="L6824" s="41"/>
      <c r="M6824" s="38"/>
      <c r="N6824" s="41"/>
      <c r="O6824" s="38"/>
      <c r="P6824" s="38"/>
      <c r="Q6824" s="39"/>
      <c r="R6824" s="39"/>
      <c r="S6824" s="39"/>
      <c r="T6824" s="39"/>
      <c r="U6824" s="39"/>
    </row>
    <row r="6825">
      <c r="A6825" s="40" t="str">
        <f t="shared" si="1"/>
        <v/>
      </c>
      <c r="B6825" s="37" t="str">
        <f t="array" ref="B6825">iferror(xlookup($I6825, 'IMPORT VHC Report'!$E:$E, 'IMPORT VHC Report'!$A:$C), )</f>
        <v/>
      </c>
      <c r="C6825" s="44"/>
      <c r="D6825" s="44"/>
      <c r="E6825" s="38"/>
      <c r="F6825" s="38"/>
      <c r="G6825" s="38"/>
      <c r="H6825" s="38"/>
      <c r="I6825" s="38"/>
      <c r="J6825" s="38"/>
      <c r="K6825" s="38"/>
      <c r="L6825" s="41"/>
      <c r="M6825" s="38"/>
      <c r="N6825" s="41"/>
      <c r="O6825" s="38"/>
      <c r="P6825" s="38"/>
      <c r="Q6825" s="39"/>
      <c r="R6825" s="39"/>
      <c r="S6825" s="39"/>
      <c r="T6825" s="39"/>
      <c r="U6825" s="39"/>
    </row>
    <row r="6826">
      <c r="A6826" s="40" t="str">
        <f t="shared" si="1"/>
        <v/>
      </c>
      <c r="B6826" s="37" t="str">
        <f t="array" ref="B6826">iferror(xlookup($I6826, 'IMPORT VHC Report'!$E:$E, 'IMPORT VHC Report'!$A:$C), )</f>
        <v/>
      </c>
      <c r="C6826" s="44"/>
      <c r="D6826" s="44"/>
      <c r="E6826" s="38"/>
      <c r="F6826" s="38"/>
      <c r="G6826" s="38"/>
      <c r="H6826" s="38"/>
      <c r="I6826" s="38"/>
      <c r="J6826" s="38"/>
      <c r="K6826" s="38"/>
      <c r="L6826" s="41"/>
      <c r="M6826" s="38"/>
      <c r="N6826" s="41"/>
      <c r="O6826" s="38"/>
      <c r="P6826" s="38"/>
      <c r="Q6826" s="39"/>
      <c r="R6826" s="39"/>
      <c r="S6826" s="38"/>
      <c r="T6826" s="39"/>
      <c r="U6826" s="39"/>
    </row>
    <row r="6827">
      <c r="A6827" s="40" t="str">
        <f t="shared" si="1"/>
        <v/>
      </c>
      <c r="B6827" s="37" t="str">
        <f t="array" ref="B6827">iferror(xlookup($I6827, 'IMPORT VHC Report'!$E:$E, 'IMPORT VHC Report'!$A:$C), )</f>
        <v/>
      </c>
      <c r="C6827" s="44"/>
      <c r="D6827" s="44"/>
      <c r="E6827" s="38"/>
      <c r="F6827" s="38"/>
      <c r="G6827" s="38"/>
      <c r="H6827" s="38"/>
      <c r="I6827" s="38"/>
      <c r="J6827" s="38"/>
      <c r="K6827" s="38"/>
      <c r="L6827" s="41"/>
      <c r="M6827" s="38"/>
      <c r="N6827" s="41"/>
      <c r="O6827" s="38"/>
      <c r="P6827" s="38"/>
      <c r="Q6827" s="39"/>
      <c r="R6827" s="39"/>
      <c r="S6827" s="39"/>
      <c r="T6827" s="39"/>
      <c r="U6827" s="39"/>
    </row>
    <row r="6828">
      <c r="A6828" s="40" t="str">
        <f t="shared" si="1"/>
        <v/>
      </c>
      <c r="B6828" s="37" t="str">
        <f t="array" ref="B6828">iferror(xlookup($I6828, 'IMPORT VHC Report'!$E:$E, 'IMPORT VHC Report'!$A:$C), )</f>
        <v/>
      </c>
      <c r="C6828" s="44"/>
      <c r="D6828" s="44"/>
      <c r="E6828" s="38"/>
      <c r="F6828" s="38"/>
      <c r="G6828" s="38"/>
      <c r="H6828" s="38"/>
      <c r="I6828" s="38"/>
      <c r="J6828" s="38"/>
      <c r="K6828" s="38"/>
      <c r="L6828" s="41"/>
      <c r="M6828" s="38"/>
      <c r="N6828" s="41"/>
      <c r="O6828" s="38"/>
      <c r="P6828" s="38"/>
      <c r="Q6828" s="39"/>
      <c r="R6828" s="39"/>
      <c r="S6828" s="38"/>
      <c r="T6828" s="39"/>
      <c r="U6828" s="39"/>
    </row>
    <row r="6829">
      <c r="A6829" s="40" t="str">
        <f t="shared" si="1"/>
        <v/>
      </c>
      <c r="B6829" s="37" t="str">
        <f t="array" ref="B6829">iferror(xlookup($I6829, 'IMPORT VHC Report'!$E:$E, 'IMPORT VHC Report'!$A:$C), )</f>
        <v/>
      </c>
      <c r="C6829" s="44"/>
      <c r="D6829" s="44"/>
      <c r="E6829" s="38"/>
      <c r="F6829" s="38"/>
      <c r="G6829" s="38"/>
      <c r="H6829" s="38"/>
      <c r="I6829" s="38"/>
      <c r="J6829" s="38"/>
      <c r="K6829" s="38"/>
      <c r="L6829" s="41"/>
      <c r="M6829" s="38"/>
      <c r="N6829" s="41"/>
      <c r="O6829" s="38"/>
      <c r="P6829" s="38"/>
      <c r="Q6829" s="39"/>
      <c r="R6829" s="39"/>
      <c r="S6829" s="39"/>
      <c r="T6829" s="39"/>
      <c r="U6829" s="39"/>
    </row>
    <row r="6830">
      <c r="A6830" s="40" t="str">
        <f t="shared" si="1"/>
        <v/>
      </c>
      <c r="B6830" s="37" t="str">
        <f t="array" ref="B6830">iferror(xlookup($I6830, 'IMPORT VHC Report'!$E:$E, 'IMPORT VHC Report'!$A:$C), )</f>
        <v/>
      </c>
      <c r="C6830" s="44"/>
      <c r="D6830" s="44"/>
      <c r="E6830" s="38"/>
      <c r="F6830" s="38"/>
      <c r="G6830" s="38"/>
      <c r="H6830" s="38"/>
      <c r="I6830" s="38"/>
      <c r="J6830" s="38"/>
      <c r="K6830" s="38"/>
      <c r="L6830" s="41"/>
      <c r="M6830" s="38"/>
      <c r="N6830" s="41"/>
      <c r="O6830" s="38"/>
      <c r="P6830" s="38"/>
      <c r="Q6830" s="39"/>
      <c r="R6830" s="39"/>
      <c r="S6830" s="39"/>
      <c r="T6830" s="39"/>
      <c r="U6830" s="39"/>
    </row>
    <row r="6831">
      <c r="A6831" s="40" t="str">
        <f t="shared" si="1"/>
        <v/>
      </c>
      <c r="B6831" s="37" t="str">
        <f t="array" ref="B6831">iferror(xlookup($I6831, 'IMPORT VHC Report'!$E:$E, 'IMPORT VHC Report'!$A:$C), )</f>
        <v/>
      </c>
      <c r="C6831" s="44"/>
      <c r="D6831" s="44"/>
      <c r="E6831" s="38"/>
      <c r="F6831" s="38"/>
      <c r="G6831" s="38"/>
      <c r="H6831" s="38"/>
      <c r="I6831" s="38"/>
      <c r="J6831" s="38"/>
      <c r="K6831" s="38"/>
      <c r="L6831" s="41"/>
      <c r="M6831" s="38"/>
      <c r="N6831" s="41"/>
      <c r="O6831" s="38"/>
      <c r="P6831" s="38"/>
      <c r="Q6831" s="39"/>
      <c r="R6831" s="39"/>
      <c r="S6831" s="39"/>
      <c r="T6831" s="39"/>
      <c r="U6831" s="39"/>
    </row>
    <row r="6832">
      <c r="A6832" s="40" t="str">
        <f t="shared" si="1"/>
        <v/>
      </c>
      <c r="B6832" s="37" t="str">
        <f t="array" ref="B6832">iferror(xlookup($I6832, 'IMPORT VHC Report'!$E:$E, 'IMPORT VHC Report'!$A:$C), )</f>
        <v/>
      </c>
      <c r="C6832" s="44"/>
      <c r="D6832" s="44"/>
      <c r="E6832" s="38"/>
      <c r="F6832" s="38"/>
      <c r="G6832" s="38"/>
      <c r="H6832" s="38"/>
      <c r="I6832" s="38"/>
      <c r="J6832" s="38"/>
      <c r="K6832" s="38"/>
      <c r="L6832" s="41"/>
      <c r="M6832" s="38"/>
      <c r="N6832" s="41"/>
      <c r="O6832" s="38"/>
      <c r="P6832" s="38"/>
      <c r="Q6832" s="39"/>
      <c r="R6832" s="39"/>
      <c r="S6832" s="39"/>
      <c r="T6832" s="39"/>
      <c r="U6832" s="39"/>
    </row>
    <row r="6833">
      <c r="A6833" s="40" t="str">
        <f t="shared" si="1"/>
        <v/>
      </c>
      <c r="B6833" s="37" t="str">
        <f t="array" ref="B6833">iferror(xlookup($I6833, 'IMPORT VHC Report'!$E:$E, 'IMPORT VHC Report'!$A:$C), )</f>
        <v/>
      </c>
      <c r="C6833" s="44"/>
      <c r="D6833" s="44"/>
      <c r="E6833" s="38"/>
      <c r="F6833" s="38"/>
      <c r="G6833" s="38"/>
      <c r="H6833" s="38"/>
      <c r="I6833" s="38"/>
      <c r="J6833" s="38"/>
      <c r="K6833" s="38"/>
      <c r="L6833" s="41"/>
      <c r="M6833" s="38"/>
      <c r="N6833" s="41"/>
      <c r="O6833" s="38"/>
      <c r="P6833" s="38"/>
      <c r="Q6833" s="39"/>
      <c r="R6833" s="39"/>
      <c r="S6833" s="39"/>
      <c r="T6833" s="39"/>
      <c r="U6833" s="39"/>
    </row>
    <row r="6834">
      <c r="A6834" s="40" t="str">
        <f t="shared" si="1"/>
        <v/>
      </c>
      <c r="B6834" s="37" t="str">
        <f t="array" ref="B6834">iferror(xlookup($I6834, 'IMPORT VHC Report'!$E:$E, 'IMPORT VHC Report'!$A:$C), )</f>
        <v/>
      </c>
      <c r="C6834" s="44"/>
      <c r="D6834" s="44"/>
      <c r="E6834" s="38"/>
      <c r="F6834" s="38"/>
      <c r="G6834" s="38"/>
      <c r="H6834" s="38"/>
      <c r="I6834" s="38"/>
      <c r="J6834" s="38"/>
      <c r="K6834" s="38"/>
      <c r="L6834" s="41"/>
      <c r="M6834" s="38"/>
      <c r="N6834" s="41"/>
      <c r="O6834" s="38"/>
      <c r="P6834" s="38"/>
      <c r="Q6834" s="39"/>
      <c r="R6834" s="39"/>
      <c r="S6834" s="39"/>
      <c r="T6834" s="39"/>
      <c r="U6834" s="39"/>
    </row>
    <row r="6835">
      <c r="A6835" s="40" t="str">
        <f t="shared" si="1"/>
        <v/>
      </c>
      <c r="B6835" s="37" t="str">
        <f t="array" ref="B6835">iferror(xlookup($I6835, 'IMPORT VHC Report'!$E:$E, 'IMPORT VHC Report'!$A:$C), )</f>
        <v/>
      </c>
      <c r="C6835" s="44"/>
      <c r="D6835" s="44"/>
      <c r="E6835" s="38"/>
      <c r="F6835" s="38"/>
      <c r="G6835" s="38"/>
      <c r="H6835" s="38"/>
      <c r="I6835" s="38"/>
      <c r="J6835" s="38"/>
      <c r="K6835" s="38"/>
      <c r="L6835" s="41"/>
      <c r="M6835" s="38"/>
      <c r="N6835" s="41"/>
      <c r="O6835" s="38"/>
      <c r="P6835" s="38"/>
      <c r="Q6835" s="39"/>
      <c r="R6835" s="39"/>
      <c r="S6835" s="39"/>
      <c r="T6835" s="39"/>
      <c r="U6835" s="39"/>
    </row>
    <row r="6836">
      <c r="A6836" s="40" t="str">
        <f t="shared" si="1"/>
        <v/>
      </c>
      <c r="B6836" s="37" t="str">
        <f t="array" ref="B6836">iferror(xlookup($I6836, 'IMPORT VHC Report'!$E:$E, 'IMPORT VHC Report'!$A:$C), )</f>
        <v/>
      </c>
      <c r="C6836" s="44"/>
      <c r="D6836" s="44"/>
      <c r="E6836" s="38"/>
      <c r="F6836" s="38"/>
      <c r="G6836" s="38"/>
      <c r="H6836" s="38"/>
      <c r="I6836" s="38"/>
      <c r="J6836" s="38"/>
      <c r="K6836" s="38"/>
      <c r="L6836" s="41"/>
      <c r="M6836" s="38"/>
      <c r="N6836" s="41"/>
      <c r="O6836" s="38"/>
      <c r="P6836" s="38"/>
      <c r="Q6836" s="39"/>
      <c r="R6836" s="39"/>
      <c r="S6836" s="39"/>
      <c r="T6836" s="39"/>
      <c r="U6836" s="39"/>
    </row>
    <row r="6837">
      <c r="A6837" s="40" t="str">
        <f t="shared" si="1"/>
        <v/>
      </c>
      <c r="B6837" s="37" t="str">
        <f t="array" ref="B6837">iferror(xlookup($I6837, 'IMPORT VHC Report'!$E:$E, 'IMPORT VHC Report'!$A:$C), )</f>
        <v/>
      </c>
      <c r="C6837" s="44"/>
      <c r="D6837" s="44"/>
      <c r="E6837" s="38"/>
      <c r="F6837" s="38"/>
      <c r="G6837" s="38"/>
      <c r="H6837" s="38"/>
      <c r="I6837" s="38"/>
      <c r="J6837" s="38"/>
      <c r="K6837" s="38"/>
      <c r="L6837" s="41"/>
      <c r="M6837" s="38"/>
      <c r="N6837" s="41"/>
      <c r="O6837" s="38"/>
      <c r="P6837" s="38"/>
      <c r="Q6837" s="39"/>
      <c r="R6837" s="39"/>
      <c r="S6837" s="39"/>
      <c r="T6837" s="39"/>
      <c r="U6837" s="39"/>
    </row>
    <row r="6838">
      <c r="A6838" s="40" t="str">
        <f t="shared" si="1"/>
        <v/>
      </c>
      <c r="B6838" s="37" t="str">
        <f t="array" ref="B6838">iferror(xlookup($I6838, 'IMPORT VHC Report'!$E:$E, 'IMPORT VHC Report'!$A:$C), )</f>
        <v/>
      </c>
      <c r="C6838" s="44"/>
      <c r="D6838" s="44"/>
      <c r="E6838" s="38"/>
      <c r="F6838" s="38"/>
      <c r="G6838" s="38"/>
      <c r="H6838" s="38"/>
      <c r="I6838" s="38"/>
      <c r="J6838" s="38"/>
      <c r="K6838" s="38"/>
      <c r="L6838" s="41"/>
      <c r="M6838" s="38"/>
      <c r="N6838" s="41"/>
      <c r="O6838" s="38"/>
      <c r="P6838" s="38"/>
      <c r="Q6838" s="39"/>
      <c r="R6838" s="39"/>
      <c r="S6838" s="39"/>
      <c r="T6838" s="39"/>
      <c r="U6838" s="39"/>
    </row>
    <row r="6839">
      <c r="A6839" s="40" t="str">
        <f t="shared" si="1"/>
        <v/>
      </c>
      <c r="B6839" s="37" t="str">
        <f t="array" ref="B6839">iferror(xlookup($I6839, 'IMPORT VHC Report'!$E:$E, 'IMPORT VHC Report'!$A:$C), )</f>
        <v/>
      </c>
      <c r="C6839" s="44"/>
      <c r="D6839" s="44"/>
      <c r="E6839" s="38"/>
      <c r="F6839" s="38"/>
      <c r="G6839" s="38"/>
      <c r="H6839" s="38"/>
      <c r="I6839" s="38"/>
      <c r="J6839" s="38"/>
      <c r="K6839" s="38"/>
      <c r="L6839" s="41"/>
      <c r="M6839" s="38"/>
      <c r="N6839" s="41"/>
      <c r="O6839" s="38"/>
      <c r="P6839" s="38"/>
      <c r="Q6839" s="39"/>
      <c r="R6839" s="39"/>
      <c r="S6839" s="39"/>
      <c r="T6839" s="39"/>
      <c r="U6839" s="39"/>
    </row>
    <row r="6840">
      <c r="A6840" s="40" t="str">
        <f t="shared" si="1"/>
        <v/>
      </c>
      <c r="B6840" s="37" t="str">
        <f t="array" ref="B6840">iferror(xlookup($I6840, 'IMPORT VHC Report'!$E:$E, 'IMPORT VHC Report'!$A:$C), )</f>
        <v/>
      </c>
      <c r="C6840" s="44"/>
      <c r="D6840" s="44"/>
      <c r="E6840" s="38"/>
      <c r="F6840" s="38"/>
      <c r="G6840" s="38"/>
      <c r="H6840" s="38"/>
      <c r="I6840" s="38"/>
      <c r="J6840" s="38"/>
      <c r="K6840" s="38"/>
      <c r="L6840" s="41"/>
      <c r="M6840" s="38"/>
      <c r="N6840" s="41"/>
      <c r="O6840" s="38"/>
      <c r="P6840" s="38"/>
      <c r="Q6840" s="39"/>
      <c r="R6840" s="39"/>
      <c r="S6840" s="39"/>
      <c r="T6840" s="39"/>
      <c r="U6840" s="39"/>
    </row>
    <row r="6841">
      <c r="A6841" s="40" t="str">
        <f t="shared" si="1"/>
        <v/>
      </c>
      <c r="B6841" s="37" t="str">
        <f t="array" ref="B6841">iferror(xlookup($I6841, 'IMPORT VHC Report'!$E:$E, 'IMPORT VHC Report'!$A:$C), )</f>
        <v/>
      </c>
      <c r="C6841" s="44"/>
      <c r="D6841" s="44"/>
      <c r="E6841" s="38"/>
      <c r="F6841" s="38"/>
      <c r="G6841" s="38"/>
      <c r="H6841" s="38"/>
      <c r="I6841" s="38"/>
      <c r="J6841" s="38"/>
      <c r="K6841" s="38"/>
      <c r="L6841" s="41"/>
      <c r="M6841" s="38"/>
      <c r="N6841" s="41"/>
      <c r="O6841" s="38"/>
      <c r="P6841" s="38"/>
      <c r="Q6841" s="39"/>
      <c r="R6841" s="39"/>
      <c r="S6841" s="39"/>
      <c r="T6841" s="39"/>
      <c r="U6841" s="39"/>
    </row>
    <row r="6842">
      <c r="A6842" s="40" t="str">
        <f t="shared" si="1"/>
        <v/>
      </c>
      <c r="B6842" s="37" t="str">
        <f t="array" ref="B6842">iferror(xlookup($I6842, 'IMPORT VHC Report'!$E:$E, 'IMPORT VHC Report'!$A:$C), )</f>
        <v/>
      </c>
      <c r="C6842" s="44"/>
      <c r="D6842" s="44"/>
      <c r="E6842" s="38"/>
      <c r="F6842" s="38"/>
      <c r="G6842" s="38"/>
      <c r="H6842" s="38"/>
      <c r="I6842" s="38"/>
      <c r="J6842" s="38"/>
      <c r="K6842" s="38"/>
      <c r="L6842" s="41"/>
      <c r="M6842" s="38"/>
      <c r="N6842" s="41"/>
      <c r="O6842" s="38"/>
      <c r="P6842" s="38"/>
      <c r="Q6842" s="39"/>
      <c r="R6842" s="39"/>
      <c r="S6842" s="39"/>
      <c r="T6842" s="39"/>
      <c r="U6842" s="39"/>
    </row>
    <row r="6843">
      <c r="A6843" s="40" t="str">
        <f t="shared" si="1"/>
        <v/>
      </c>
      <c r="B6843" s="37" t="str">
        <f t="array" ref="B6843">iferror(xlookup($I6843, 'IMPORT VHC Report'!$E:$E, 'IMPORT VHC Report'!$A:$C), )</f>
        <v/>
      </c>
      <c r="C6843" s="44"/>
      <c r="D6843" s="44"/>
      <c r="E6843" s="38"/>
      <c r="F6843" s="38"/>
      <c r="G6843" s="38"/>
      <c r="H6843" s="38"/>
      <c r="I6843" s="38"/>
      <c r="J6843" s="38"/>
      <c r="K6843" s="38"/>
      <c r="L6843" s="41"/>
      <c r="M6843" s="38"/>
      <c r="N6843" s="41"/>
      <c r="O6843" s="38"/>
      <c r="P6843" s="38"/>
      <c r="Q6843" s="39"/>
      <c r="R6843" s="39"/>
      <c r="S6843" s="39"/>
      <c r="T6843" s="39"/>
      <c r="U6843" s="39"/>
    </row>
    <row r="6844">
      <c r="A6844" s="40" t="str">
        <f t="shared" si="1"/>
        <v/>
      </c>
      <c r="B6844" s="37" t="str">
        <f t="array" ref="B6844">iferror(xlookup($I6844, 'IMPORT VHC Report'!$E:$E, 'IMPORT VHC Report'!$A:$C), )</f>
        <v/>
      </c>
      <c r="C6844" s="44"/>
      <c r="D6844" s="44"/>
      <c r="E6844" s="38"/>
      <c r="F6844" s="38"/>
      <c r="G6844" s="38"/>
      <c r="H6844" s="38"/>
      <c r="I6844" s="38"/>
      <c r="J6844" s="38"/>
      <c r="K6844" s="38"/>
      <c r="L6844" s="41"/>
      <c r="M6844" s="38"/>
      <c r="N6844" s="41"/>
      <c r="O6844" s="38"/>
      <c r="P6844" s="38"/>
      <c r="Q6844" s="39"/>
      <c r="R6844" s="39"/>
      <c r="S6844" s="39"/>
      <c r="T6844" s="39"/>
      <c r="U6844" s="39"/>
    </row>
    <row r="6845">
      <c r="A6845" s="40" t="str">
        <f t="shared" si="1"/>
        <v/>
      </c>
      <c r="B6845" s="37" t="str">
        <f t="array" ref="B6845">iferror(xlookup($I6845, 'IMPORT VHC Report'!$E:$E, 'IMPORT VHC Report'!$A:$C), )</f>
        <v/>
      </c>
      <c r="C6845" s="44"/>
      <c r="D6845" s="44"/>
      <c r="E6845" s="38"/>
      <c r="F6845" s="38"/>
      <c r="G6845" s="38"/>
      <c r="H6845" s="38"/>
      <c r="I6845" s="38"/>
      <c r="J6845" s="38"/>
      <c r="K6845" s="38"/>
      <c r="L6845" s="41"/>
      <c r="M6845" s="38"/>
      <c r="N6845" s="41"/>
      <c r="O6845" s="38"/>
      <c r="P6845" s="38"/>
      <c r="Q6845" s="39"/>
      <c r="R6845" s="39"/>
      <c r="S6845" s="39"/>
      <c r="T6845" s="39"/>
      <c r="U6845" s="39"/>
    </row>
    <row r="6846">
      <c r="A6846" s="40" t="str">
        <f t="shared" si="1"/>
        <v/>
      </c>
      <c r="B6846" s="37" t="str">
        <f t="array" ref="B6846">iferror(xlookup($I6846, 'IMPORT VHC Report'!$E:$E, 'IMPORT VHC Report'!$A:$C), )</f>
        <v/>
      </c>
      <c r="C6846" s="44"/>
      <c r="D6846" s="44"/>
      <c r="E6846" s="38"/>
      <c r="F6846" s="38"/>
      <c r="G6846" s="38"/>
      <c r="H6846" s="38"/>
      <c r="I6846" s="38"/>
      <c r="J6846" s="38"/>
      <c r="K6846" s="38"/>
      <c r="L6846" s="41"/>
      <c r="M6846" s="38"/>
      <c r="N6846" s="41"/>
      <c r="O6846" s="38"/>
      <c r="P6846" s="38"/>
      <c r="Q6846" s="39"/>
      <c r="R6846" s="39"/>
      <c r="S6846" s="39"/>
      <c r="T6846" s="39"/>
      <c r="U6846" s="39"/>
    </row>
    <row r="6847">
      <c r="A6847" s="40" t="str">
        <f t="shared" si="1"/>
        <v/>
      </c>
      <c r="B6847" s="37" t="str">
        <f t="array" ref="B6847">iferror(xlookup($I6847, 'IMPORT VHC Report'!$E:$E, 'IMPORT VHC Report'!$A:$C), )</f>
        <v/>
      </c>
      <c r="C6847" s="44"/>
      <c r="D6847" s="44"/>
      <c r="E6847" s="38"/>
      <c r="F6847" s="38"/>
      <c r="G6847" s="38"/>
      <c r="H6847" s="38"/>
      <c r="I6847" s="38"/>
      <c r="J6847" s="38"/>
      <c r="K6847" s="38"/>
      <c r="L6847" s="41"/>
      <c r="M6847" s="38"/>
      <c r="N6847" s="41"/>
      <c r="O6847" s="38"/>
      <c r="P6847" s="38"/>
      <c r="Q6847" s="39"/>
      <c r="R6847" s="39"/>
      <c r="S6847" s="39"/>
      <c r="T6847" s="39"/>
      <c r="U6847" s="39"/>
    </row>
    <row r="6848">
      <c r="A6848" s="40" t="str">
        <f t="shared" si="1"/>
        <v/>
      </c>
      <c r="B6848" s="37" t="str">
        <f t="array" ref="B6848">iferror(xlookup($I6848, 'IMPORT VHC Report'!$E:$E, 'IMPORT VHC Report'!$A:$C), )</f>
        <v/>
      </c>
      <c r="C6848" s="44"/>
      <c r="D6848" s="44"/>
      <c r="E6848" s="38"/>
      <c r="F6848" s="38"/>
      <c r="G6848" s="38"/>
      <c r="H6848" s="38"/>
      <c r="I6848" s="38"/>
      <c r="J6848" s="38"/>
      <c r="K6848" s="38"/>
      <c r="L6848" s="41"/>
      <c r="M6848" s="38"/>
      <c r="N6848" s="41"/>
      <c r="O6848" s="38"/>
      <c r="P6848" s="38"/>
      <c r="Q6848" s="38"/>
      <c r="R6848" s="39"/>
      <c r="S6848" s="39"/>
      <c r="T6848" s="39"/>
      <c r="U6848" s="39"/>
    </row>
    <row r="6849">
      <c r="A6849" s="40" t="str">
        <f t="shared" si="1"/>
        <v/>
      </c>
      <c r="B6849" s="37" t="str">
        <f t="array" ref="B6849">iferror(xlookup($I6849, 'IMPORT VHC Report'!$E:$E, 'IMPORT VHC Report'!$A:$C), )</f>
        <v/>
      </c>
      <c r="C6849" s="44"/>
      <c r="D6849" s="44"/>
      <c r="E6849" s="38"/>
      <c r="F6849" s="38"/>
      <c r="G6849" s="38"/>
      <c r="H6849" s="38"/>
      <c r="I6849" s="38"/>
      <c r="J6849" s="38"/>
      <c r="K6849" s="38"/>
      <c r="L6849" s="41"/>
      <c r="M6849" s="38"/>
      <c r="N6849" s="41"/>
      <c r="O6849" s="38"/>
      <c r="P6849" s="38"/>
      <c r="Q6849" s="39"/>
      <c r="R6849" s="39"/>
      <c r="S6849" s="39"/>
      <c r="T6849" s="39"/>
      <c r="U6849" s="39"/>
    </row>
    <row r="6850">
      <c r="A6850" s="40" t="str">
        <f t="shared" si="1"/>
        <v/>
      </c>
      <c r="B6850" s="37" t="str">
        <f t="array" ref="B6850">iferror(xlookup($I6850, 'IMPORT VHC Report'!$E:$E, 'IMPORT VHC Report'!$A:$C), )</f>
        <v/>
      </c>
      <c r="C6850" s="44"/>
      <c r="D6850" s="44"/>
      <c r="E6850" s="38"/>
      <c r="F6850" s="38"/>
      <c r="G6850" s="38"/>
      <c r="H6850" s="38"/>
      <c r="I6850" s="38"/>
      <c r="J6850" s="38"/>
      <c r="K6850" s="38"/>
      <c r="L6850" s="41"/>
      <c r="M6850" s="38"/>
      <c r="N6850" s="41"/>
      <c r="O6850" s="38"/>
      <c r="P6850" s="38"/>
      <c r="Q6850" s="39"/>
      <c r="R6850" s="39"/>
      <c r="S6850" s="39"/>
      <c r="T6850" s="39"/>
      <c r="U6850" s="39"/>
    </row>
    <row r="6851">
      <c r="A6851" s="40" t="str">
        <f t="shared" si="1"/>
        <v/>
      </c>
      <c r="B6851" s="37" t="str">
        <f t="array" ref="B6851">iferror(xlookup($I6851, 'IMPORT VHC Report'!$E:$E, 'IMPORT VHC Report'!$A:$C), )</f>
        <v/>
      </c>
      <c r="C6851" s="44"/>
      <c r="D6851" s="44"/>
      <c r="E6851" s="38"/>
      <c r="F6851" s="38"/>
      <c r="G6851" s="38"/>
      <c r="H6851" s="38"/>
      <c r="I6851" s="38"/>
      <c r="J6851" s="38"/>
      <c r="K6851" s="38"/>
      <c r="L6851" s="41"/>
      <c r="M6851" s="38"/>
      <c r="N6851" s="41"/>
      <c r="O6851" s="38"/>
      <c r="P6851" s="38"/>
      <c r="Q6851" s="39"/>
      <c r="R6851" s="39"/>
      <c r="S6851" s="39"/>
      <c r="T6851" s="39"/>
      <c r="U6851" s="39"/>
    </row>
    <row r="6852">
      <c r="A6852" s="40" t="str">
        <f t="shared" si="1"/>
        <v/>
      </c>
      <c r="B6852" s="37" t="str">
        <f t="array" ref="B6852">iferror(xlookup($I6852, 'IMPORT VHC Report'!$E:$E, 'IMPORT VHC Report'!$A:$C), )</f>
        <v/>
      </c>
      <c r="C6852" s="44"/>
      <c r="D6852" s="44"/>
      <c r="E6852" s="38"/>
      <c r="F6852" s="38"/>
      <c r="G6852" s="38"/>
      <c r="H6852" s="38"/>
      <c r="I6852" s="38"/>
      <c r="J6852" s="38"/>
      <c r="K6852" s="38"/>
      <c r="L6852" s="41"/>
      <c r="M6852" s="38"/>
      <c r="N6852" s="41"/>
      <c r="O6852" s="38"/>
      <c r="P6852" s="38"/>
      <c r="Q6852" s="38"/>
      <c r="R6852" s="38"/>
      <c r="S6852" s="38"/>
      <c r="T6852" s="39"/>
      <c r="U6852" s="39"/>
    </row>
    <row r="6853">
      <c r="A6853" s="40" t="str">
        <f t="shared" si="1"/>
        <v/>
      </c>
      <c r="B6853" s="37" t="str">
        <f t="array" ref="B6853">iferror(xlookup($I6853, 'IMPORT VHC Report'!$E:$E, 'IMPORT VHC Report'!$A:$C), )</f>
        <v/>
      </c>
      <c r="C6853" s="44"/>
      <c r="D6853" s="44"/>
      <c r="E6853" s="38"/>
      <c r="F6853" s="38"/>
      <c r="G6853" s="38"/>
      <c r="H6853" s="38"/>
      <c r="I6853" s="38"/>
      <c r="J6853" s="38"/>
      <c r="K6853" s="38"/>
      <c r="L6853" s="41"/>
      <c r="M6853" s="38"/>
      <c r="N6853" s="41"/>
      <c r="O6853" s="38"/>
      <c r="P6853" s="38"/>
      <c r="Q6853" s="39"/>
      <c r="R6853" s="39"/>
      <c r="S6853" s="38"/>
      <c r="T6853" s="39"/>
      <c r="U6853" s="39"/>
    </row>
    <row r="6854">
      <c r="A6854" s="40" t="str">
        <f t="shared" si="1"/>
        <v/>
      </c>
      <c r="B6854" s="37" t="str">
        <f t="array" ref="B6854">iferror(xlookup($I6854, 'IMPORT VHC Report'!$E:$E, 'IMPORT VHC Report'!$A:$C), )</f>
        <v/>
      </c>
      <c r="C6854" s="44"/>
      <c r="D6854" s="44"/>
      <c r="E6854" s="38"/>
      <c r="F6854" s="38"/>
      <c r="G6854" s="38"/>
      <c r="H6854" s="38"/>
      <c r="I6854" s="38"/>
      <c r="J6854" s="38"/>
      <c r="K6854" s="38"/>
      <c r="L6854" s="41"/>
      <c r="M6854" s="38"/>
      <c r="N6854" s="41"/>
      <c r="O6854" s="38"/>
      <c r="P6854" s="38"/>
      <c r="Q6854" s="38"/>
      <c r="R6854" s="38"/>
      <c r="S6854" s="38"/>
      <c r="T6854" s="39"/>
      <c r="U6854" s="39"/>
    </row>
    <row r="6855">
      <c r="A6855" s="40" t="str">
        <f t="shared" si="1"/>
        <v/>
      </c>
      <c r="B6855" s="37" t="str">
        <f t="array" ref="B6855">iferror(xlookup($I6855, 'IMPORT VHC Report'!$E:$E, 'IMPORT VHC Report'!$A:$C), )</f>
        <v/>
      </c>
      <c r="C6855" s="44"/>
      <c r="D6855" s="44"/>
      <c r="E6855" s="38"/>
      <c r="F6855" s="38"/>
      <c r="G6855" s="38"/>
      <c r="H6855" s="38"/>
      <c r="I6855" s="38"/>
      <c r="J6855" s="38"/>
      <c r="K6855" s="38"/>
      <c r="L6855" s="41"/>
      <c r="M6855" s="38"/>
      <c r="N6855" s="41"/>
      <c r="O6855" s="38"/>
      <c r="P6855" s="38"/>
      <c r="Q6855" s="39"/>
      <c r="R6855" s="39"/>
      <c r="S6855" s="38"/>
      <c r="T6855" s="39"/>
      <c r="U6855" s="39"/>
    </row>
    <row r="6856">
      <c r="A6856" s="40" t="str">
        <f t="shared" si="1"/>
        <v/>
      </c>
      <c r="B6856" s="37" t="str">
        <f t="array" ref="B6856">iferror(xlookup($I6856, 'IMPORT VHC Report'!$E:$E, 'IMPORT VHC Report'!$A:$C), )</f>
        <v/>
      </c>
      <c r="C6856" s="44"/>
      <c r="D6856" s="44"/>
      <c r="E6856" s="38"/>
      <c r="F6856" s="38"/>
      <c r="G6856" s="38"/>
      <c r="H6856" s="38"/>
      <c r="I6856" s="38"/>
      <c r="J6856" s="38"/>
      <c r="K6856" s="38"/>
      <c r="L6856" s="41"/>
      <c r="M6856" s="38"/>
      <c r="N6856" s="41"/>
      <c r="O6856" s="38"/>
      <c r="P6856" s="38"/>
      <c r="Q6856" s="39"/>
      <c r="R6856" s="39"/>
      <c r="S6856" s="39"/>
      <c r="T6856" s="39"/>
      <c r="U6856" s="39"/>
    </row>
    <row r="6857">
      <c r="A6857" s="40" t="str">
        <f t="shared" si="1"/>
        <v/>
      </c>
      <c r="B6857" s="37" t="str">
        <f t="array" ref="B6857">iferror(xlookup($I6857, 'IMPORT VHC Report'!$E:$E, 'IMPORT VHC Report'!$A:$C), )</f>
        <v/>
      </c>
      <c r="C6857" s="44"/>
      <c r="D6857" s="44"/>
      <c r="E6857" s="38"/>
      <c r="F6857" s="38"/>
      <c r="G6857" s="38"/>
      <c r="H6857" s="38"/>
      <c r="I6857" s="38"/>
      <c r="J6857" s="38"/>
      <c r="K6857" s="38"/>
      <c r="L6857" s="41"/>
      <c r="M6857" s="38"/>
      <c r="N6857" s="41"/>
      <c r="O6857" s="38"/>
      <c r="P6857" s="38"/>
      <c r="Q6857" s="38"/>
      <c r="R6857" s="39"/>
      <c r="S6857" s="39"/>
      <c r="T6857" s="39"/>
      <c r="U6857" s="39"/>
    </row>
    <row r="6858">
      <c r="A6858" s="40" t="str">
        <f t="shared" si="1"/>
        <v/>
      </c>
      <c r="B6858" s="37" t="str">
        <f t="array" ref="B6858">iferror(xlookup($I6858, 'IMPORT VHC Report'!$E:$E, 'IMPORT VHC Report'!$A:$C), )</f>
        <v/>
      </c>
      <c r="C6858" s="44"/>
      <c r="D6858" s="44"/>
      <c r="E6858" s="38"/>
      <c r="F6858" s="38"/>
      <c r="G6858" s="38"/>
      <c r="H6858" s="38"/>
      <c r="I6858" s="38"/>
      <c r="J6858" s="38"/>
      <c r="K6858" s="38"/>
      <c r="L6858" s="41"/>
      <c r="M6858" s="38"/>
      <c r="N6858" s="41"/>
      <c r="O6858" s="38"/>
      <c r="P6858" s="38"/>
      <c r="Q6858" s="39"/>
      <c r="R6858" s="39"/>
      <c r="S6858" s="39"/>
      <c r="T6858" s="39"/>
      <c r="U6858" s="39"/>
    </row>
    <row r="6859">
      <c r="A6859" s="40" t="str">
        <f t="shared" si="1"/>
        <v/>
      </c>
      <c r="B6859" s="37" t="str">
        <f t="array" ref="B6859">iferror(xlookup($I6859, 'IMPORT VHC Report'!$E:$E, 'IMPORT VHC Report'!$A:$C), )</f>
        <v/>
      </c>
      <c r="C6859" s="44"/>
      <c r="D6859" s="44"/>
      <c r="E6859" s="38"/>
      <c r="F6859" s="38"/>
      <c r="G6859" s="38"/>
      <c r="H6859" s="38"/>
      <c r="I6859" s="38"/>
      <c r="J6859" s="38"/>
      <c r="K6859" s="38"/>
      <c r="L6859" s="41"/>
      <c r="M6859" s="38"/>
      <c r="N6859" s="41"/>
      <c r="O6859" s="38"/>
      <c r="P6859" s="38"/>
      <c r="Q6859" s="39"/>
      <c r="R6859" s="39"/>
      <c r="S6859" s="39"/>
      <c r="T6859" s="39"/>
      <c r="U6859" s="39"/>
    </row>
    <row r="6860">
      <c r="A6860" s="40" t="str">
        <f t="shared" si="1"/>
        <v/>
      </c>
      <c r="B6860" s="37" t="str">
        <f t="array" ref="B6860">iferror(xlookup($I6860, 'IMPORT VHC Report'!$E:$E, 'IMPORT VHC Report'!$A:$C), )</f>
        <v/>
      </c>
      <c r="C6860" s="44"/>
      <c r="D6860" s="44"/>
      <c r="E6860" s="38"/>
      <c r="F6860" s="38"/>
      <c r="G6860" s="38"/>
      <c r="H6860" s="38"/>
      <c r="I6860" s="38"/>
      <c r="J6860" s="38"/>
      <c r="K6860" s="38"/>
      <c r="L6860" s="41"/>
      <c r="M6860" s="38"/>
      <c r="N6860" s="41"/>
      <c r="O6860" s="38"/>
      <c r="P6860" s="38"/>
      <c r="Q6860" s="39"/>
      <c r="R6860" s="39"/>
      <c r="S6860" s="38"/>
      <c r="T6860" s="39"/>
      <c r="U6860" s="39"/>
    </row>
    <row r="6861">
      <c r="A6861" s="40" t="str">
        <f t="shared" si="1"/>
        <v/>
      </c>
      <c r="B6861" s="37" t="str">
        <f t="array" ref="B6861">iferror(xlookup($I6861, 'IMPORT VHC Report'!$E:$E, 'IMPORT VHC Report'!$A:$C), )</f>
        <v/>
      </c>
      <c r="C6861" s="44"/>
      <c r="D6861" s="44"/>
      <c r="E6861" s="38"/>
      <c r="F6861" s="38"/>
      <c r="G6861" s="38"/>
      <c r="H6861" s="38"/>
      <c r="I6861" s="38"/>
      <c r="J6861" s="38"/>
      <c r="K6861" s="38"/>
      <c r="L6861" s="41"/>
      <c r="M6861" s="38"/>
      <c r="N6861" s="41"/>
      <c r="O6861" s="38"/>
      <c r="P6861" s="38"/>
      <c r="Q6861" s="39"/>
      <c r="R6861" s="39"/>
      <c r="S6861" s="39"/>
      <c r="T6861" s="39"/>
      <c r="U6861" s="39"/>
    </row>
    <row r="6862">
      <c r="A6862" s="40" t="str">
        <f t="shared" si="1"/>
        <v/>
      </c>
      <c r="B6862" s="37" t="str">
        <f t="array" ref="B6862">iferror(xlookup($I6862, 'IMPORT VHC Report'!$E:$E, 'IMPORT VHC Report'!$A:$C), )</f>
        <v/>
      </c>
      <c r="C6862" s="44"/>
      <c r="D6862" s="44"/>
      <c r="E6862" s="38"/>
      <c r="F6862" s="38"/>
      <c r="G6862" s="38"/>
      <c r="H6862" s="38"/>
      <c r="I6862" s="38"/>
      <c r="J6862" s="38"/>
      <c r="K6862" s="38"/>
      <c r="L6862" s="41"/>
      <c r="M6862" s="38"/>
      <c r="N6862" s="41"/>
      <c r="O6862" s="38"/>
      <c r="P6862" s="38"/>
      <c r="Q6862" s="38"/>
      <c r="R6862" s="39"/>
      <c r="S6862" s="39"/>
      <c r="T6862" s="39"/>
      <c r="U6862" s="39"/>
    </row>
    <row r="6863">
      <c r="A6863" s="40" t="str">
        <f t="shared" si="1"/>
        <v/>
      </c>
      <c r="B6863" s="37" t="str">
        <f t="array" ref="B6863">iferror(xlookup($I6863, 'IMPORT VHC Report'!$E:$E, 'IMPORT VHC Report'!$A:$C), )</f>
        <v/>
      </c>
      <c r="C6863" s="44"/>
      <c r="D6863" s="44"/>
      <c r="E6863" s="38"/>
      <c r="F6863" s="38"/>
      <c r="G6863" s="38"/>
      <c r="H6863" s="38"/>
      <c r="I6863" s="38"/>
      <c r="J6863" s="38"/>
      <c r="K6863" s="38"/>
      <c r="L6863" s="41"/>
      <c r="M6863" s="38"/>
      <c r="N6863" s="41"/>
      <c r="O6863" s="38"/>
      <c r="P6863" s="38"/>
      <c r="Q6863" s="39"/>
      <c r="R6863" s="39"/>
      <c r="S6863" s="39"/>
      <c r="T6863" s="39"/>
      <c r="U6863" s="39"/>
    </row>
    <row r="6864">
      <c r="A6864" s="40" t="str">
        <f t="shared" si="1"/>
        <v/>
      </c>
      <c r="B6864" s="37" t="str">
        <f t="array" ref="B6864">iferror(xlookup($I6864, 'IMPORT VHC Report'!$E:$E, 'IMPORT VHC Report'!$A:$C), )</f>
        <v/>
      </c>
      <c r="C6864" s="44"/>
      <c r="D6864" s="44"/>
      <c r="E6864" s="38"/>
      <c r="F6864" s="38"/>
      <c r="G6864" s="38"/>
      <c r="H6864" s="38"/>
      <c r="I6864" s="38"/>
      <c r="J6864" s="38"/>
      <c r="K6864" s="38"/>
      <c r="L6864" s="41"/>
      <c r="M6864" s="38"/>
      <c r="N6864" s="41"/>
      <c r="O6864" s="38"/>
      <c r="P6864" s="38"/>
      <c r="Q6864" s="39"/>
      <c r="R6864" s="39"/>
      <c r="S6864" s="39"/>
      <c r="T6864" s="39"/>
      <c r="U6864" s="39"/>
    </row>
    <row r="6865">
      <c r="A6865" s="40" t="str">
        <f t="shared" si="1"/>
        <v/>
      </c>
      <c r="B6865" s="37" t="str">
        <f t="array" ref="B6865">iferror(xlookup($I6865, 'IMPORT VHC Report'!$E:$E, 'IMPORT VHC Report'!$A:$C), )</f>
        <v/>
      </c>
      <c r="C6865" s="44"/>
      <c r="D6865" s="44"/>
      <c r="E6865" s="38"/>
      <c r="F6865" s="38"/>
      <c r="G6865" s="38"/>
      <c r="H6865" s="38"/>
      <c r="I6865" s="38"/>
      <c r="J6865" s="38"/>
      <c r="K6865" s="38"/>
      <c r="L6865" s="41"/>
      <c r="M6865" s="38"/>
      <c r="N6865" s="41"/>
      <c r="O6865" s="38"/>
      <c r="P6865" s="38"/>
      <c r="Q6865" s="39"/>
      <c r="R6865" s="39"/>
      <c r="S6865" s="38"/>
      <c r="T6865" s="39"/>
      <c r="U6865" s="39"/>
    </row>
    <row r="6866">
      <c r="A6866" s="40" t="str">
        <f t="shared" si="1"/>
        <v/>
      </c>
      <c r="B6866" s="37" t="str">
        <f t="array" ref="B6866">iferror(xlookup($I6866, 'IMPORT VHC Report'!$E:$E, 'IMPORT VHC Report'!$A:$C), )</f>
        <v/>
      </c>
      <c r="C6866" s="44"/>
      <c r="D6866" s="44"/>
      <c r="E6866" s="38"/>
      <c r="F6866" s="38"/>
      <c r="G6866" s="38"/>
      <c r="H6866" s="38"/>
      <c r="I6866" s="38"/>
      <c r="J6866" s="38"/>
      <c r="K6866" s="38"/>
      <c r="L6866" s="41"/>
      <c r="M6866" s="38"/>
      <c r="N6866" s="41"/>
      <c r="O6866" s="38"/>
      <c r="P6866" s="38"/>
      <c r="Q6866" s="39"/>
      <c r="R6866" s="39"/>
      <c r="S6866" s="39"/>
      <c r="T6866" s="39"/>
      <c r="U6866" s="39"/>
    </row>
    <row r="6867">
      <c r="A6867" s="40" t="str">
        <f t="shared" si="1"/>
        <v/>
      </c>
      <c r="B6867" s="37" t="str">
        <f t="array" ref="B6867">iferror(xlookup($I6867, 'IMPORT VHC Report'!$E:$E, 'IMPORT VHC Report'!$A:$C), )</f>
        <v/>
      </c>
      <c r="C6867" s="44"/>
      <c r="D6867" s="44"/>
      <c r="E6867" s="38"/>
      <c r="F6867" s="38"/>
      <c r="G6867" s="38"/>
      <c r="H6867" s="38"/>
      <c r="I6867" s="38"/>
      <c r="J6867" s="38"/>
      <c r="K6867" s="38"/>
      <c r="L6867" s="41"/>
      <c r="M6867" s="38"/>
      <c r="N6867" s="41"/>
      <c r="O6867" s="38"/>
      <c r="P6867" s="38"/>
      <c r="Q6867" s="38"/>
      <c r="R6867" s="39"/>
      <c r="S6867" s="39"/>
      <c r="T6867" s="39"/>
      <c r="U6867" s="39"/>
    </row>
    <row r="6868">
      <c r="A6868" s="40" t="str">
        <f t="shared" si="1"/>
        <v/>
      </c>
      <c r="B6868" s="37" t="str">
        <f t="array" ref="B6868">iferror(xlookup($I6868, 'IMPORT VHC Report'!$E:$E, 'IMPORT VHC Report'!$A:$C), )</f>
        <v/>
      </c>
      <c r="C6868" s="44"/>
      <c r="D6868" s="44"/>
      <c r="E6868" s="38"/>
      <c r="F6868" s="38"/>
      <c r="G6868" s="38"/>
      <c r="H6868" s="38"/>
      <c r="I6868" s="38"/>
      <c r="J6868" s="38"/>
      <c r="K6868" s="38"/>
      <c r="L6868" s="41"/>
      <c r="M6868" s="38"/>
      <c r="N6868" s="41"/>
      <c r="O6868" s="38"/>
      <c r="P6868" s="38"/>
      <c r="Q6868" s="39"/>
      <c r="R6868" s="39"/>
      <c r="S6868" s="39"/>
      <c r="T6868" s="39"/>
      <c r="U6868" s="39"/>
    </row>
    <row r="6869">
      <c r="A6869" s="40" t="str">
        <f t="shared" si="1"/>
        <v/>
      </c>
      <c r="B6869" s="37" t="str">
        <f t="array" ref="B6869">iferror(xlookup($I6869, 'IMPORT VHC Report'!$E:$E, 'IMPORT VHC Report'!$A:$C), )</f>
        <v/>
      </c>
      <c r="C6869" s="44"/>
      <c r="D6869" s="44"/>
      <c r="E6869" s="38"/>
      <c r="F6869" s="38"/>
      <c r="G6869" s="38"/>
      <c r="H6869" s="38"/>
      <c r="I6869" s="38"/>
      <c r="J6869" s="38"/>
      <c r="K6869" s="38"/>
      <c r="L6869" s="41"/>
      <c r="M6869" s="38"/>
      <c r="N6869" s="41"/>
      <c r="O6869" s="38"/>
      <c r="P6869" s="38"/>
      <c r="Q6869" s="39"/>
      <c r="R6869" s="39"/>
      <c r="S6869" s="39"/>
      <c r="T6869" s="39"/>
      <c r="U6869" s="39"/>
    </row>
    <row r="6870">
      <c r="A6870" s="40" t="str">
        <f t="shared" si="1"/>
        <v/>
      </c>
      <c r="B6870" s="37" t="str">
        <f t="array" ref="B6870">iferror(xlookup($I6870, 'IMPORT VHC Report'!$E:$E, 'IMPORT VHC Report'!$A:$C), )</f>
        <v/>
      </c>
      <c r="C6870" s="44"/>
      <c r="D6870" s="44"/>
      <c r="E6870" s="38"/>
      <c r="F6870" s="38"/>
      <c r="G6870" s="38"/>
      <c r="H6870" s="38"/>
      <c r="I6870" s="38"/>
      <c r="J6870" s="38"/>
      <c r="K6870" s="38"/>
      <c r="L6870" s="41"/>
      <c r="M6870" s="38"/>
      <c r="N6870" s="41"/>
      <c r="O6870" s="38"/>
      <c r="P6870" s="38"/>
      <c r="Q6870" s="39"/>
      <c r="R6870" s="39"/>
      <c r="S6870" s="38"/>
      <c r="T6870" s="39"/>
      <c r="U6870" s="39"/>
    </row>
    <row r="6871">
      <c r="A6871" s="40" t="str">
        <f t="shared" si="1"/>
        <v/>
      </c>
      <c r="B6871" s="37" t="str">
        <f t="array" ref="B6871">iferror(xlookup($I6871, 'IMPORT VHC Report'!$E:$E, 'IMPORT VHC Report'!$A:$C), )</f>
        <v/>
      </c>
      <c r="C6871" s="44"/>
      <c r="D6871" s="44"/>
      <c r="E6871" s="38"/>
      <c r="F6871" s="38"/>
      <c r="G6871" s="38"/>
      <c r="H6871" s="38"/>
      <c r="I6871" s="38"/>
      <c r="J6871" s="38"/>
      <c r="K6871" s="38"/>
      <c r="L6871" s="41"/>
      <c r="M6871" s="38"/>
      <c r="N6871" s="41"/>
      <c r="O6871" s="38"/>
      <c r="P6871" s="38"/>
      <c r="Q6871" s="39"/>
      <c r="R6871" s="39"/>
      <c r="S6871" s="39"/>
      <c r="T6871" s="39"/>
      <c r="U6871" s="39"/>
    </row>
    <row r="6872">
      <c r="A6872" s="40" t="str">
        <f t="shared" si="1"/>
        <v/>
      </c>
      <c r="B6872" s="37" t="str">
        <f t="array" ref="B6872">iferror(xlookup($I6872, 'IMPORT VHC Report'!$E:$E, 'IMPORT VHC Report'!$A:$C), )</f>
        <v/>
      </c>
      <c r="C6872" s="44"/>
      <c r="D6872" s="44"/>
      <c r="E6872" s="38"/>
      <c r="F6872" s="38"/>
      <c r="G6872" s="38"/>
      <c r="H6872" s="38"/>
      <c r="I6872" s="38"/>
      <c r="J6872" s="38"/>
      <c r="K6872" s="38"/>
      <c r="L6872" s="41"/>
      <c r="M6872" s="38"/>
      <c r="N6872" s="41"/>
      <c r="O6872" s="38"/>
      <c r="P6872" s="38"/>
      <c r="Q6872" s="38"/>
      <c r="R6872" s="38"/>
      <c r="S6872" s="38"/>
      <c r="T6872" s="39"/>
      <c r="U6872" s="39"/>
    </row>
    <row r="6873">
      <c r="A6873" s="40" t="str">
        <f t="shared" si="1"/>
        <v/>
      </c>
      <c r="B6873" s="37" t="str">
        <f t="array" ref="B6873">iferror(xlookup($I6873, 'IMPORT VHC Report'!$E:$E, 'IMPORT VHC Report'!$A:$C), )</f>
        <v/>
      </c>
      <c r="C6873" s="44"/>
      <c r="D6873" s="44"/>
      <c r="E6873" s="38"/>
      <c r="F6873" s="38"/>
      <c r="G6873" s="38"/>
      <c r="H6873" s="38"/>
      <c r="I6873" s="38"/>
      <c r="J6873" s="38"/>
      <c r="K6873" s="38"/>
      <c r="L6873" s="41"/>
      <c r="M6873" s="38"/>
      <c r="N6873" s="41"/>
      <c r="O6873" s="38"/>
      <c r="P6873" s="38"/>
      <c r="Q6873" s="39"/>
      <c r="R6873" s="39"/>
      <c r="S6873" s="39"/>
      <c r="T6873" s="39"/>
      <c r="U6873" s="39"/>
    </row>
    <row r="6874">
      <c r="A6874" s="40" t="str">
        <f t="shared" si="1"/>
        <v/>
      </c>
      <c r="B6874" s="37" t="str">
        <f t="array" ref="B6874">iferror(xlookup($I6874, 'IMPORT VHC Report'!$E:$E, 'IMPORT VHC Report'!$A:$C), )</f>
        <v/>
      </c>
      <c r="C6874" s="44"/>
      <c r="D6874" s="44"/>
      <c r="E6874" s="38"/>
      <c r="F6874" s="38"/>
      <c r="G6874" s="38"/>
      <c r="H6874" s="38"/>
      <c r="I6874" s="38"/>
      <c r="J6874" s="38"/>
      <c r="K6874" s="38"/>
      <c r="L6874" s="41"/>
      <c r="M6874" s="38"/>
      <c r="N6874" s="41"/>
      <c r="O6874" s="38"/>
      <c r="P6874" s="38"/>
      <c r="Q6874" s="39"/>
      <c r="R6874" s="39"/>
      <c r="S6874" s="39"/>
      <c r="T6874" s="39"/>
      <c r="U6874" s="39"/>
    </row>
    <row r="6875">
      <c r="A6875" s="40" t="str">
        <f t="shared" si="1"/>
        <v/>
      </c>
      <c r="B6875" s="37" t="str">
        <f t="array" ref="B6875">iferror(xlookup($I6875, 'IMPORT VHC Report'!$E:$E, 'IMPORT VHC Report'!$A:$C), )</f>
        <v/>
      </c>
      <c r="C6875" s="44"/>
      <c r="D6875" s="44"/>
      <c r="E6875" s="38"/>
      <c r="F6875" s="38"/>
      <c r="G6875" s="38"/>
      <c r="H6875" s="38"/>
      <c r="I6875" s="38"/>
      <c r="J6875" s="38"/>
      <c r="K6875" s="38"/>
      <c r="L6875" s="41"/>
      <c r="M6875" s="38"/>
      <c r="N6875" s="41"/>
      <c r="O6875" s="38"/>
      <c r="P6875" s="38"/>
      <c r="Q6875" s="39"/>
      <c r="R6875" s="39"/>
      <c r="S6875" s="38"/>
      <c r="T6875" s="39"/>
      <c r="U6875" s="39"/>
    </row>
    <row r="6876">
      <c r="A6876" s="40" t="str">
        <f t="shared" si="1"/>
        <v/>
      </c>
      <c r="B6876" s="37" t="str">
        <f t="array" ref="B6876">iferror(xlookup($I6876, 'IMPORT VHC Report'!$E:$E, 'IMPORT VHC Report'!$A:$C), )</f>
        <v/>
      </c>
      <c r="C6876" s="44"/>
      <c r="D6876" s="44"/>
      <c r="E6876" s="38"/>
      <c r="F6876" s="38"/>
      <c r="G6876" s="38"/>
      <c r="H6876" s="38"/>
      <c r="I6876" s="38"/>
      <c r="J6876" s="38"/>
      <c r="K6876" s="38"/>
      <c r="L6876" s="41"/>
      <c r="M6876" s="38"/>
      <c r="N6876" s="41"/>
      <c r="O6876" s="38"/>
      <c r="P6876" s="38"/>
      <c r="Q6876" s="39"/>
      <c r="R6876" s="39"/>
      <c r="S6876" s="39"/>
      <c r="T6876" s="39"/>
      <c r="U6876" s="39"/>
    </row>
    <row r="6877">
      <c r="A6877" s="40" t="str">
        <f t="shared" si="1"/>
        <v/>
      </c>
      <c r="B6877" s="37" t="str">
        <f t="array" ref="B6877">iferror(xlookup($I6877, 'IMPORT VHC Report'!$E:$E, 'IMPORT VHC Report'!$A:$C), )</f>
        <v/>
      </c>
      <c r="C6877" s="44"/>
      <c r="D6877" s="44"/>
      <c r="E6877" s="38"/>
      <c r="F6877" s="38"/>
      <c r="G6877" s="38"/>
      <c r="H6877" s="38"/>
      <c r="I6877" s="38"/>
      <c r="J6877" s="38"/>
      <c r="K6877" s="38"/>
      <c r="L6877" s="41"/>
      <c r="M6877" s="38"/>
      <c r="N6877" s="41"/>
      <c r="O6877" s="38"/>
      <c r="P6877" s="38"/>
      <c r="Q6877" s="38"/>
      <c r="R6877" s="38"/>
      <c r="S6877" s="38"/>
      <c r="T6877" s="39"/>
      <c r="U6877" s="39"/>
    </row>
    <row r="6878">
      <c r="A6878" s="40" t="str">
        <f t="shared" si="1"/>
        <v/>
      </c>
      <c r="B6878" s="37" t="str">
        <f t="array" ref="B6878">iferror(xlookup($I6878, 'IMPORT VHC Report'!$E:$E, 'IMPORT VHC Report'!$A:$C), )</f>
        <v/>
      </c>
      <c r="C6878" s="44"/>
      <c r="D6878" s="44"/>
      <c r="E6878" s="38"/>
      <c r="F6878" s="38"/>
      <c r="G6878" s="38"/>
      <c r="H6878" s="38"/>
      <c r="I6878" s="38"/>
      <c r="J6878" s="38"/>
      <c r="K6878" s="38"/>
      <c r="L6878" s="41"/>
      <c r="M6878" s="38"/>
      <c r="N6878" s="41"/>
      <c r="O6878" s="38"/>
      <c r="P6878" s="38"/>
      <c r="Q6878" s="39"/>
      <c r="R6878" s="39"/>
      <c r="S6878" s="39"/>
      <c r="T6878" s="39"/>
      <c r="U6878" s="39"/>
    </row>
    <row r="6879">
      <c r="A6879" s="40" t="str">
        <f t="shared" si="1"/>
        <v/>
      </c>
      <c r="B6879" s="37" t="str">
        <f t="array" ref="B6879">iferror(xlookup($I6879, 'IMPORT VHC Report'!$E:$E, 'IMPORT VHC Report'!$A:$C), )</f>
        <v/>
      </c>
      <c r="C6879" s="44"/>
      <c r="D6879" s="44"/>
      <c r="E6879" s="38"/>
      <c r="F6879" s="38"/>
      <c r="G6879" s="38"/>
      <c r="H6879" s="38"/>
      <c r="I6879" s="38"/>
      <c r="J6879" s="38"/>
      <c r="K6879" s="38"/>
      <c r="L6879" s="41"/>
      <c r="M6879" s="38"/>
      <c r="N6879" s="41"/>
      <c r="O6879" s="38"/>
      <c r="P6879" s="38"/>
      <c r="Q6879" s="39"/>
      <c r="R6879" s="39"/>
      <c r="S6879" s="39"/>
      <c r="T6879" s="39"/>
      <c r="U6879" s="39"/>
    </row>
    <row r="6880">
      <c r="A6880" s="40" t="str">
        <f t="shared" si="1"/>
        <v/>
      </c>
      <c r="B6880" s="37" t="str">
        <f t="array" ref="B6880">iferror(xlookup($I6880, 'IMPORT VHC Report'!$E:$E, 'IMPORT VHC Report'!$A:$C), )</f>
        <v/>
      </c>
      <c r="C6880" s="44"/>
      <c r="D6880" s="44"/>
      <c r="E6880" s="38"/>
      <c r="F6880" s="38"/>
      <c r="G6880" s="38"/>
      <c r="H6880" s="38"/>
      <c r="I6880" s="38"/>
      <c r="J6880" s="38"/>
      <c r="K6880" s="38"/>
      <c r="L6880" s="41"/>
      <c r="M6880" s="38"/>
      <c r="N6880" s="41"/>
      <c r="O6880" s="38"/>
      <c r="P6880" s="38"/>
      <c r="Q6880" s="39"/>
      <c r="R6880" s="39"/>
      <c r="S6880" s="38"/>
      <c r="T6880" s="39"/>
      <c r="U6880" s="39"/>
    </row>
    <row r="6881">
      <c r="A6881" s="40" t="str">
        <f t="shared" si="1"/>
        <v/>
      </c>
      <c r="B6881" s="37" t="str">
        <f t="array" ref="B6881">iferror(xlookup($I6881, 'IMPORT VHC Report'!$E:$E, 'IMPORT VHC Report'!$A:$C), )</f>
        <v/>
      </c>
      <c r="C6881" s="44"/>
      <c r="D6881" s="44"/>
      <c r="E6881" s="38"/>
      <c r="F6881" s="38"/>
      <c r="G6881" s="38"/>
      <c r="H6881" s="38"/>
      <c r="I6881" s="38"/>
      <c r="J6881" s="38"/>
      <c r="K6881" s="38"/>
      <c r="L6881" s="41"/>
      <c r="M6881" s="38"/>
      <c r="N6881" s="41"/>
      <c r="O6881" s="38"/>
      <c r="P6881" s="38"/>
      <c r="Q6881" s="39"/>
      <c r="R6881" s="39"/>
      <c r="S6881" s="39"/>
      <c r="T6881" s="39"/>
      <c r="U6881" s="39"/>
    </row>
    <row r="6882">
      <c r="A6882" s="40" t="str">
        <f t="shared" si="1"/>
        <v/>
      </c>
      <c r="B6882" s="37" t="str">
        <f t="array" ref="B6882">iferror(xlookup($I6882, 'IMPORT VHC Report'!$E:$E, 'IMPORT VHC Report'!$A:$C), )</f>
        <v/>
      </c>
      <c r="C6882" s="44"/>
      <c r="D6882" s="44"/>
      <c r="E6882" s="38"/>
      <c r="F6882" s="38"/>
      <c r="G6882" s="38"/>
      <c r="H6882" s="38"/>
      <c r="I6882" s="38"/>
      <c r="J6882" s="38"/>
      <c r="K6882" s="38"/>
      <c r="L6882" s="41"/>
      <c r="M6882" s="38"/>
      <c r="N6882" s="41"/>
      <c r="O6882" s="38"/>
      <c r="P6882" s="38"/>
      <c r="Q6882" s="39"/>
      <c r="R6882" s="39"/>
      <c r="S6882" s="39"/>
      <c r="T6882" s="39"/>
      <c r="U6882" s="39"/>
    </row>
    <row r="6883">
      <c r="A6883" s="40" t="str">
        <f t="shared" si="1"/>
        <v/>
      </c>
      <c r="B6883" s="37" t="str">
        <f t="array" ref="B6883">iferror(xlookup($I6883, 'IMPORT VHC Report'!$E:$E, 'IMPORT VHC Report'!$A:$C), )</f>
        <v/>
      </c>
      <c r="C6883" s="44"/>
      <c r="D6883" s="44"/>
      <c r="E6883" s="38"/>
      <c r="F6883" s="38"/>
      <c r="G6883" s="38"/>
      <c r="H6883" s="38"/>
      <c r="I6883" s="38"/>
      <c r="J6883" s="38"/>
      <c r="K6883" s="38"/>
      <c r="L6883" s="41"/>
      <c r="M6883" s="38"/>
      <c r="N6883" s="41"/>
      <c r="O6883" s="38"/>
      <c r="P6883" s="38"/>
      <c r="Q6883" s="39"/>
      <c r="R6883" s="39"/>
      <c r="S6883" s="38"/>
      <c r="T6883" s="39"/>
      <c r="U6883" s="39"/>
    </row>
    <row r="6884">
      <c r="A6884" s="40" t="str">
        <f t="shared" si="1"/>
        <v/>
      </c>
      <c r="B6884" s="37" t="str">
        <f t="array" ref="B6884">iferror(xlookup($I6884, 'IMPORT VHC Report'!$E:$E, 'IMPORT VHC Report'!$A:$C), )</f>
        <v/>
      </c>
      <c r="C6884" s="44"/>
      <c r="D6884" s="44"/>
      <c r="E6884" s="38"/>
      <c r="F6884" s="38"/>
      <c r="G6884" s="38"/>
      <c r="H6884" s="38"/>
      <c r="I6884" s="38"/>
      <c r="J6884" s="38"/>
      <c r="K6884" s="38"/>
      <c r="L6884" s="41"/>
      <c r="M6884" s="38"/>
      <c r="N6884" s="41"/>
      <c r="O6884" s="38"/>
      <c r="P6884" s="38"/>
      <c r="Q6884" s="39"/>
      <c r="R6884" s="39"/>
      <c r="S6884" s="39"/>
      <c r="T6884" s="39"/>
      <c r="U6884" s="39"/>
    </row>
    <row r="6885">
      <c r="A6885" s="40" t="str">
        <f t="shared" si="1"/>
        <v/>
      </c>
      <c r="B6885" s="37" t="str">
        <f t="array" ref="B6885">iferror(xlookup($I6885, 'IMPORT VHC Report'!$E:$E, 'IMPORT VHC Report'!$A:$C), )</f>
        <v/>
      </c>
      <c r="C6885" s="44"/>
      <c r="D6885" s="44"/>
      <c r="E6885" s="38"/>
      <c r="F6885" s="38"/>
      <c r="G6885" s="38"/>
      <c r="H6885" s="38"/>
      <c r="I6885" s="38"/>
      <c r="J6885" s="38"/>
      <c r="K6885" s="38"/>
      <c r="L6885" s="41"/>
      <c r="M6885" s="38"/>
      <c r="N6885" s="41"/>
      <c r="O6885" s="38"/>
      <c r="P6885" s="38"/>
      <c r="Q6885" s="39"/>
      <c r="R6885" s="39"/>
      <c r="S6885" s="39"/>
      <c r="T6885" s="39"/>
      <c r="U6885" s="39"/>
    </row>
    <row r="6886">
      <c r="A6886" s="40" t="str">
        <f t="shared" si="1"/>
        <v/>
      </c>
      <c r="B6886" s="37" t="str">
        <f t="array" ref="B6886">iferror(xlookup($I6886, 'IMPORT VHC Report'!$E:$E, 'IMPORT VHC Report'!$A:$C), )</f>
        <v/>
      </c>
      <c r="C6886" s="44"/>
      <c r="D6886" s="44"/>
      <c r="E6886" s="38"/>
      <c r="F6886" s="38"/>
      <c r="G6886" s="38"/>
      <c r="H6886" s="38"/>
      <c r="I6886" s="38"/>
      <c r="J6886" s="38"/>
      <c r="K6886" s="38"/>
      <c r="L6886" s="41"/>
      <c r="M6886" s="38"/>
      <c r="N6886" s="41"/>
      <c r="O6886" s="38"/>
      <c r="P6886" s="38"/>
      <c r="Q6886" s="39"/>
      <c r="R6886" s="39"/>
      <c r="S6886" s="38"/>
      <c r="T6886" s="39"/>
      <c r="U6886" s="39"/>
    </row>
    <row r="6887">
      <c r="A6887" s="40" t="str">
        <f t="shared" si="1"/>
        <v/>
      </c>
      <c r="B6887" s="37" t="str">
        <f t="array" ref="B6887">iferror(xlookup($I6887, 'IMPORT VHC Report'!$E:$E, 'IMPORT VHC Report'!$A:$C), )</f>
        <v/>
      </c>
      <c r="C6887" s="44"/>
      <c r="D6887" s="44"/>
      <c r="E6887" s="38"/>
      <c r="F6887" s="38"/>
      <c r="G6887" s="38"/>
      <c r="H6887" s="38"/>
      <c r="I6887" s="38"/>
      <c r="J6887" s="38"/>
      <c r="K6887" s="38"/>
      <c r="L6887" s="41"/>
      <c r="M6887" s="38"/>
      <c r="N6887" s="41"/>
      <c r="O6887" s="38"/>
      <c r="P6887" s="38"/>
      <c r="Q6887" s="39"/>
      <c r="R6887" s="39"/>
      <c r="S6887" s="39"/>
      <c r="T6887" s="39"/>
      <c r="U6887" s="39"/>
    </row>
    <row r="6888">
      <c r="A6888" s="40" t="str">
        <f t="shared" si="1"/>
        <v/>
      </c>
      <c r="B6888" s="37" t="str">
        <f t="array" ref="B6888">iferror(xlookup($I6888, 'IMPORT VHC Report'!$E:$E, 'IMPORT VHC Report'!$A:$C), )</f>
        <v/>
      </c>
      <c r="C6888" s="44"/>
      <c r="D6888" s="44"/>
      <c r="E6888" s="38"/>
      <c r="F6888" s="38"/>
      <c r="G6888" s="38"/>
      <c r="H6888" s="38"/>
      <c r="I6888" s="38"/>
      <c r="J6888" s="38"/>
      <c r="K6888" s="38"/>
      <c r="L6888" s="41"/>
      <c r="M6888" s="38"/>
      <c r="N6888" s="41"/>
      <c r="O6888" s="38"/>
      <c r="P6888" s="38"/>
      <c r="Q6888" s="38"/>
      <c r="R6888" s="38"/>
      <c r="S6888" s="38"/>
      <c r="T6888" s="39"/>
      <c r="U6888" s="39"/>
    </row>
    <row r="6889">
      <c r="A6889" s="40" t="str">
        <f t="shared" si="1"/>
        <v/>
      </c>
      <c r="B6889" s="37" t="str">
        <f t="array" ref="B6889">iferror(xlookup($I6889, 'IMPORT VHC Report'!$E:$E, 'IMPORT VHC Report'!$A:$C), )</f>
        <v/>
      </c>
      <c r="C6889" s="44"/>
      <c r="D6889" s="44"/>
      <c r="E6889" s="38"/>
      <c r="F6889" s="38"/>
      <c r="G6889" s="38"/>
      <c r="H6889" s="38"/>
      <c r="I6889" s="38"/>
      <c r="J6889" s="38"/>
      <c r="K6889" s="38"/>
      <c r="L6889" s="41"/>
      <c r="M6889" s="38"/>
      <c r="N6889" s="41"/>
      <c r="O6889" s="38"/>
      <c r="P6889" s="38"/>
      <c r="Q6889" s="39"/>
      <c r="R6889" s="39"/>
      <c r="S6889" s="39"/>
      <c r="T6889" s="39"/>
      <c r="U6889" s="39"/>
    </row>
    <row r="6890">
      <c r="A6890" s="40" t="str">
        <f t="shared" si="1"/>
        <v/>
      </c>
      <c r="B6890" s="37" t="str">
        <f t="array" ref="B6890">iferror(xlookup($I6890, 'IMPORT VHC Report'!$E:$E, 'IMPORT VHC Report'!$A:$C), )</f>
        <v/>
      </c>
      <c r="C6890" s="44"/>
      <c r="D6890" s="44"/>
      <c r="E6890" s="38"/>
      <c r="F6890" s="38"/>
      <c r="G6890" s="38"/>
      <c r="H6890" s="38"/>
      <c r="I6890" s="38"/>
      <c r="J6890" s="38"/>
      <c r="K6890" s="38"/>
      <c r="L6890" s="41"/>
      <c r="M6890" s="38"/>
      <c r="N6890" s="41"/>
      <c r="O6890" s="38"/>
      <c r="P6890" s="38"/>
      <c r="Q6890" s="39"/>
      <c r="R6890" s="39"/>
      <c r="S6890" s="39"/>
      <c r="T6890" s="39"/>
      <c r="U6890" s="39"/>
    </row>
    <row r="6891">
      <c r="A6891" s="40" t="str">
        <f t="shared" si="1"/>
        <v/>
      </c>
      <c r="B6891" s="37" t="str">
        <f t="array" ref="B6891">iferror(xlookup($I6891, 'IMPORT VHC Report'!$E:$E, 'IMPORT VHC Report'!$A:$C), )</f>
        <v/>
      </c>
      <c r="C6891" s="44"/>
      <c r="D6891" s="44"/>
      <c r="E6891" s="38"/>
      <c r="F6891" s="38"/>
      <c r="G6891" s="38"/>
      <c r="H6891" s="38"/>
      <c r="I6891" s="38"/>
      <c r="J6891" s="38"/>
      <c r="K6891" s="38"/>
      <c r="L6891" s="41"/>
      <c r="M6891" s="38"/>
      <c r="N6891" s="41"/>
      <c r="O6891" s="38"/>
      <c r="P6891" s="38"/>
      <c r="Q6891" s="39"/>
      <c r="R6891" s="39"/>
      <c r="S6891" s="38"/>
      <c r="T6891" s="39"/>
      <c r="U6891" s="39"/>
    </row>
    <row r="6892">
      <c r="A6892" s="40" t="str">
        <f t="shared" si="1"/>
        <v/>
      </c>
      <c r="B6892" s="37" t="str">
        <f t="array" ref="B6892">iferror(xlookup($I6892, 'IMPORT VHC Report'!$E:$E, 'IMPORT VHC Report'!$A:$C), )</f>
        <v/>
      </c>
      <c r="C6892" s="44"/>
      <c r="D6892" s="44"/>
      <c r="E6892" s="38"/>
      <c r="F6892" s="38"/>
      <c r="G6892" s="38"/>
      <c r="H6892" s="38"/>
      <c r="I6892" s="38"/>
      <c r="J6892" s="38"/>
      <c r="K6892" s="38"/>
      <c r="L6892" s="41"/>
      <c r="M6892" s="38"/>
      <c r="N6892" s="41"/>
      <c r="O6892" s="38"/>
      <c r="P6892" s="38"/>
      <c r="Q6892" s="39"/>
      <c r="R6892" s="39"/>
      <c r="S6892" s="38"/>
      <c r="T6892" s="39"/>
      <c r="U6892" s="39"/>
    </row>
    <row r="6893">
      <c r="A6893" s="40" t="str">
        <f t="shared" si="1"/>
        <v/>
      </c>
      <c r="B6893" s="37" t="str">
        <f t="array" ref="B6893">iferror(xlookup($I6893, 'IMPORT VHC Report'!$E:$E, 'IMPORT VHC Report'!$A:$C), )</f>
        <v/>
      </c>
      <c r="C6893" s="44"/>
      <c r="D6893" s="44"/>
      <c r="E6893" s="38"/>
      <c r="F6893" s="38"/>
      <c r="G6893" s="38"/>
      <c r="H6893" s="38"/>
      <c r="I6893" s="38"/>
      <c r="J6893" s="38"/>
      <c r="K6893" s="38"/>
      <c r="L6893" s="41"/>
      <c r="M6893" s="38"/>
      <c r="N6893" s="41"/>
      <c r="O6893" s="38"/>
      <c r="P6893" s="38"/>
      <c r="Q6893" s="39"/>
      <c r="R6893" s="39"/>
      <c r="S6893" s="39"/>
      <c r="T6893" s="39"/>
      <c r="U6893" s="39"/>
    </row>
    <row r="6894">
      <c r="A6894" s="40" t="str">
        <f t="shared" si="1"/>
        <v/>
      </c>
      <c r="B6894" s="37" t="str">
        <f t="array" ref="B6894">iferror(xlookup($I6894, 'IMPORT VHC Report'!$E:$E, 'IMPORT VHC Report'!$A:$C), )</f>
        <v/>
      </c>
      <c r="C6894" s="44"/>
      <c r="D6894" s="44"/>
      <c r="E6894" s="38"/>
      <c r="F6894" s="38"/>
      <c r="G6894" s="38"/>
      <c r="H6894" s="38"/>
      <c r="I6894" s="38"/>
      <c r="J6894" s="38"/>
      <c r="K6894" s="38"/>
      <c r="L6894" s="41"/>
      <c r="M6894" s="38"/>
      <c r="N6894" s="41"/>
      <c r="O6894" s="38"/>
      <c r="P6894" s="38"/>
      <c r="Q6894" s="38"/>
      <c r="R6894" s="38"/>
      <c r="S6894" s="38"/>
      <c r="T6894" s="39"/>
      <c r="U6894" s="39"/>
    </row>
    <row r="6895">
      <c r="A6895" s="40" t="str">
        <f t="shared" si="1"/>
        <v/>
      </c>
      <c r="B6895" s="37" t="str">
        <f t="array" ref="B6895">iferror(xlookup($I6895, 'IMPORT VHC Report'!$E:$E, 'IMPORT VHC Report'!$A:$C), )</f>
        <v/>
      </c>
      <c r="C6895" s="44"/>
      <c r="D6895" s="44"/>
      <c r="E6895" s="38"/>
      <c r="F6895" s="38"/>
      <c r="G6895" s="38"/>
      <c r="H6895" s="38"/>
      <c r="I6895" s="38"/>
      <c r="J6895" s="38"/>
      <c r="K6895" s="38"/>
      <c r="L6895" s="41"/>
      <c r="M6895" s="38"/>
      <c r="N6895" s="41"/>
      <c r="O6895" s="38"/>
      <c r="P6895" s="38"/>
      <c r="Q6895" s="39"/>
      <c r="R6895" s="39"/>
      <c r="S6895" s="39"/>
      <c r="T6895" s="39"/>
      <c r="U6895" s="39"/>
    </row>
    <row r="6896">
      <c r="A6896" s="40" t="str">
        <f t="shared" si="1"/>
        <v/>
      </c>
      <c r="B6896" s="37" t="str">
        <f t="array" ref="B6896">iferror(xlookup($I6896, 'IMPORT VHC Report'!$E:$E, 'IMPORT VHC Report'!$A:$C), )</f>
        <v/>
      </c>
      <c r="C6896" s="44"/>
      <c r="D6896" s="44"/>
      <c r="E6896" s="38"/>
      <c r="F6896" s="38"/>
      <c r="G6896" s="38"/>
      <c r="H6896" s="38"/>
      <c r="I6896" s="38"/>
      <c r="J6896" s="38"/>
      <c r="K6896" s="38"/>
      <c r="L6896" s="41"/>
      <c r="M6896" s="38"/>
      <c r="N6896" s="41"/>
      <c r="O6896" s="38"/>
      <c r="P6896" s="38"/>
      <c r="Q6896" s="39"/>
      <c r="R6896" s="39"/>
      <c r="S6896" s="39"/>
      <c r="T6896" s="39"/>
      <c r="U6896" s="39"/>
    </row>
    <row r="6897">
      <c r="A6897" s="40" t="str">
        <f t="shared" si="1"/>
        <v/>
      </c>
      <c r="B6897" s="37" t="str">
        <f t="array" ref="B6897">iferror(xlookup($I6897, 'IMPORT VHC Report'!$E:$E, 'IMPORT VHC Report'!$A:$C), )</f>
        <v/>
      </c>
      <c r="C6897" s="44"/>
      <c r="D6897" s="44"/>
      <c r="E6897" s="38"/>
      <c r="F6897" s="38"/>
      <c r="G6897" s="38"/>
      <c r="H6897" s="38"/>
      <c r="I6897" s="38"/>
      <c r="J6897" s="38"/>
      <c r="K6897" s="38"/>
      <c r="L6897" s="41"/>
      <c r="M6897" s="38"/>
      <c r="N6897" s="41"/>
      <c r="O6897" s="38"/>
      <c r="P6897" s="38"/>
      <c r="Q6897" s="39"/>
      <c r="R6897" s="39"/>
      <c r="S6897" s="39"/>
      <c r="T6897" s="39"/>
      <c r="U6897" s="39"/>
    </row>
    <row r="6898">
      <c r="A6898" s="40" t="str">
        <f t="shared" si="1"/>
        <v/>
      </c>
      <c r="B6898" s="37" t="str">
        <f t="array" ref="B6898">iferror(xlookup($I6898, 'IMPORT VHC Report'!$E:$E, 'IMPORT VHC Report'!$A:$C), )</f>
        <v/>
      </c>
      <c r="C6898" s="44"/>
      <c r="D6898" s="44"/>
      <c r="E6898" s="38"/>
      <c r="F6898" s="38"/>
      <c r="G6898" s="38"/>
      <c r="H6898" s="38"/>
      <c r="I6898" s="38"/>
      <c r="J6898" s="38"/>
      <c r="K6898" s="38"/>
      <c r="L6898" s="41"/>
      <c r="M6898" s="38"/>
      <c r="N6898" s="41"/>
      <c r="O6898" s="38"/>
      <c r="P6898" s="38"/>
      <c r="Q6898" s="39"/>
      <c r="R6898" s="39"/>
      <c r="S6898" s="39"/>
      <c r="T6898" s="39"/>
      <c r="U6898" s="39"/>
    </row>
    <row r="6899">
      <c r="A6899" s="40" t="str">
        <f t="shared" si="1"/>
        <v/>
      </c>
      <c r="B6899" s="37" t="str">
        <f t="array" ref="B6899">iferror(xlookup($I6899, 'IMPORT VHC Report'!$E:$E, 'IMPORT VHC Report'!$A:$C), )</f>
        <v/>
      </c>
      <c r="C6899" s="44"/>
      <c r="D6899" s="44"/>
      <c r="E6899" s="38"/>
      <c r="F6899" s="38"/>
      <c r="G6899" s="38"/>
      <c r="H6899" s="38"/>
      <c r="I6899" s="38"/>
      <c r="J6899" s="38"/>
      <c r="K6899" s="38"/>
      <c r="L6899" s="41"/>
      <c r="M6899" s="38"/>
      <c r="N6899" s="41"/>
      <c r="O6899" s="38"/>
      <c r="P6899" s="38"/>
      <c r="Q6899" s="39"/>
      <c r="R6899" s="39"/>
      <c r="S6899" s="38"/>
      <c r="T6899" s="39"/>
      <c r="U6899" s="39"/>
    </row>
    <row r="6900">
      <c r="A6900" s="40" t="str">
        <f t="shared" si="1"/>
        <v/>
      </c>
      <c r="B6900" s="37" t="str">
        <f t="array" ref="B6900">iferror(xlookup($I6900, 'IMPORT VHC Report'!$E:$E, 'IMPORT VHC Report'!$A:$C), )</f>
        <v/>
      </c>
      <c r="C6900" s="44"/>
      <c r="D6900" s="44"/>
      <c r="E6900" s="38"/>
      <c r="F6900" s="38"/>
      <c r="G6900" s="38"/>
      <c r="H6900" s="38"/>
      <c r="I6900" s="38"/>
      <c r="J6900" s="38"/>
      <c r="K6900" s="38"/>
      <c r="L6900" s="41"/>
      <c r="M6900" s="38"/>
      <c r="N6900" s="41"/>
      <c r="O6900" s="38"/>
      <c r="P6900" s="38"/>
      <c r="Q6900" s="39"/>
      <c r="R6900" s="39"/>
      <c r="S6900" s="39"/>
      <c r="T6900" s="39"/>
      <c r="U6900" s="39"/>
    </row>
    <row r="6901">
      <c r="A6901" s="40" t="str">
        <f t="shared" si="1"/>
        <v/>
      </c>
      <c r="B6901" s="37" t="str">
        <f t="array" ref="B6901">iferror(xlookup($I6901, 'IMPORT VHC Report'!$E:$E, 'IMPORT VHC Report'!$A:$C), )</f>
        <v/>
      </c>
      <c r="C6901" s="44"/>
      <c r="D6901" s="44"/>
      <c r="E6901" s="38"/>
      <c r="F6901" s="38"/>
      <c r="G6901" s="38"/>
      <c r="H6901" s="38"/>
      <c r="I6901" s="38"/>
      <c r="J6901" s="38"/>
      <c r="K6901" s="38"/>
      <c r="L6901" s="41"/>
      <c r="M6901" s="38"/>
      <c r="N6901" s="41"/>
      <c r="O6901" s="38"/>
      <c r="P6901" s="38"/>
      <c r="Q6901" s="38"/>
      <c r="R6901" s="38"/>
      <c r="S6901" s="38"/>
      <c r="T6901" s="39"/>
      <c r="U6901" s="39"/>
    </row>
    <row r="6902">
      <c r="A6902" s="40" t="str">
        <f t="shared" si="1"/>
        <v/>
      </c>
      <c r="B6902" s="37" t="str">
        <f t="array" ref="B6902">iferror(xlookup($I6902, 'IMPORT VHC Report'!$E:$E, 'IMPORT VHC Report'!$A:$C), )</f>
        <v/>
      </c>
      <c r="C6902" s="44"/>
      <c r="D6902" s="44"/>
      <c r="E6902" s="38"/>
      <c r="F6902" s="38"/>
      <c r="G6902" s="38"/>
      <c r="H6902" s="38"/>
      <c r="I6902" s="38"/>
      <c r="J6902" s="38"/>
      <c r="K6902" s="38"/>
      <c r="L6902" s="41"/>
      <c r="M6902" s="38"/>
      <c r="N6902" s="41"/>
      <c r="O6902" s="38"/>
      <c r="P6902" s="38"/>
      <c r="Q6902" s="39"/>
      <c r="R6902" s="39"/>
      <c r="S6902" s="39"/>
      <c r="T6902" s="39"/>
      <c r="U6902" s="39"/>
    </row>
    <row r="6903">
      <c r="A6903" s="40" t="str">
        <f t="shared" si="1"/>
        <v/>
      </c>
      <c r="B6903" s="37" t="str">
        <f t="array" ref="B6903">iferror(xlookup($I6903, 'IMPORT VHC Report'!$E:$E, 'IMPORT VHC Report'!$A:$C), )</f>
        <v/>
      </c>
      <c r="C6903" s="44"/>
      <c r="D6903" s="44"/>
      <c r="E6903" s="38"/>
      <c r="F6903" s="38"/>
      <c r="G6903" s="38"/>
      <c r="H6903" s="38"/>
      <c r="I6903" s="38"/>
      <c r="J6903" s="38"/>
      <c r="K6903" s="38"/>
      <c r="L6903" s="41"/>
      <c r="M6903" s="38"/>
      <c r="N6903" s="41"/>
      <c r="O6903" s="38"/>
      <c r="P6903" s="38"/>
      <c r="Q6903" s="39"/>
      <c r="R6903" s="39"/>
      <c r="S6903" s="38"/>
      <c r="T6903" s="39"/>
      <c r="U6903" s="39"/>
    </row>
    <row r="6904">
      <c r="A6904" s="40" t="str">
        <f t="shared" si="1"/>
        <v/>
      </c>
      <c r="B6904" s="37" t="str">
        <f t="array" ref="B6904">iferror(xlookup($I6904, 'IMPORT VHC Report'!$E:$E, 'IMPORT VHC Report'!$A:$C), )</f>
        <v/>
      </c>
      <c r="C6904" s="44"/>
      <c r="D6904" s="44"/>
      <c r="E6904" s="38"/>
      <c r="F6904" s="38"/>
      <c r="G6904" s="38"/>
      <c r="H6904" s="38"/>
      <c r="I6904" s="38"/>
      <c r="J6904" s="38"/>
      <c r="K6904" s="38"/>
      <c r="L6904" s="41"/>
      <c r="M6904" s="38"/>
      <c r="N6904" s="41"/>
      <c r="O6904" s="38"/>
      <c r="P6904" s="38"/>
      <c r="Q6904" s="39"/>
      <c r="R6904" s="39"/>
      <c r="S6904" s="39"/>
      <c r="T6904" s="39"/>
      <c r="U6904" s="39"/>
    </row>
    <row r="6905">
      <c r="A6905" s="40" t="str">
        <f t="shared" si="1"/>
        <v/>
      </c>
      <c r="B6905" s="37" t="str">
        <f t="array" ref="B6905">iferror(xlookup($I6905, 'IMPORT VHC Report'!$E:$E, 'IMPORT VHC Report'!$A:$C), )</f>
        <v/>
      </c>
      <c r="C6905" s="44"/>
      <c r="D6905" s="44"/>
      <c r="E6905" s="38"/>
      <c r="F6905" s="38"/>
      <c r="G6905" s="38"/>
      <c r="H6905" s="38"/>
      <c r="I6905" s="38"/>
      <c r="J6905" s="38"/>
      <c r="K6905" s="38"/>
      <c r="L6905" s="41"/>
      <c r="M6905" s="38"/>
      <c r="N6905" s="41"/>
      <c r="O6905" s="38"/>
      <c r="P6905" s="38"/>
      <c r="Q6905" s="39"/>
      <c r="R6905" s="39"/>
      <c r="S6905" s="39"/>
      <c r="T6905" s="39"/>
      <c r="U6905" s="39"/>
    </row>
    <row r="6906">
      <c r="A6906" s="40" t="str">
        <f t="shared" si="1"/>
        <v/>
      </c>
      <c r="B6906" s="37" t="str">
        <f t="array" ref="B6906">iferror(xlookup($I6906, 'IMPORT VHC Report'!$E:$E, 'IMPORT VHC Report'!$A:$C), )</f>
        <v/>
      </c>
      <c r="C6906" s="44"/>
      <c r="D6906" s="44"/>
      <c r="E6906" s="38"/>
      <c r="F6906" s="38"/>
      <c r="G6906" s="38"/>
      <c r="H6906" s="38"/>
      <c r="I6906" s="38"/>
      <c r="J6906" s="38"/>
      <c r="K6906" s="38"/>
      <c r="L6906" s="41"/>
      <c r="M6906" s="38"/>
      <c r="N6906" s="41"/>
      <c r="O6906" s="38"/>
      <c r="P6906" s="38"/>
      <c r="Q6906" s="39"/>
      <c r="R6906" s="39"/>
      <c r="S6906" s="39"/>
      <c r="T6906" s="39"/>
      <c r="U6906" s="39"/>
    </row>
    <row r="6907">
      <c r="A6907" s="40" t="str">
        <f t="shared" si="1"/>
        <v/>
      </c>
      <c r="B6907" s="37" t="str">
        <f t="array" ref="B6907">iferror(xlookup($I6907, 'IMPORT VHC Report'!$E:$E, 'IMPORT VHC Report'!$A:$C), )</f>
        <v/>
      </c>
      <c r="C6907" s="44"/>
      <c r="D6907" s="44"/>
      <c r="E6907" s="38"/>
      <c r="F6907" s="38"/>
      <c r="G6907" s="38"/>
      <c r="H6907" s="38"/>
      <c r="I6907" s="38"/>
      <c r="J6907" s="38"/>
      <c r="K6907" s="38"/>
      <c r="L6907" s="41"/>
      <c r="M6907" s="38"/>
      <c r="N6907" s="41"/>
      <c r="O6907" s="38"/>
      <c r="P6907" s="38"/>
      <c r="Q6907" s="39"/>
      <c r="R6907" s="39"/>
      <c r="S6907" s="39"/>
      <c r="T6907" s="39"/>
      <c r="U6907" s="39"/>
    </row>
    <row r="6908">
      <c r="A6908" s="40" t="str">
        <f t="shared" si="1"/>
        <v/>
      </c>
      <c r="B6908" s="37" t="str">
        <f t="array" ref="B6908">iferror(xlookup($I6908, 'IMPORT VHC Report'!$E:$E, 'IMPORT VHC Report'!$A:$C), )</f>
        <v/>
      </c>
      <c r="C6908" s="44"/>
      <c r="D6908" s="44"/>
      <c r="E6908" s="38"/>
      <c r="F6908" s="38"/>
      <c r="G6908" s="38"/>
      <c r="H6908" s="38"/>
      <c r="I6908" s="38"/>
      <c r="J6908" s="38"/>
      <c r="K6908" s="38"/>
      <c r="L6908" s="41"/>
      <c r="M6908" s="38"/>
      <c r="N6908" s="41"/>
      <c r="O6908" s="38"/>
      <c r="P6908" s="38"/>
      <c r="Q6908" s="39"/>
      <c r="R6908" s="39"/>
      <c r="S6908" s="39"/>
      <c r="T6908" s="39"/>
      <c r="U6908" s="39"/>
    </row>
    <row r="6909">
      <c r="A6909" s="40" t="str">
        <f t="shared" si="1"/>
        <v/>
      </c>
      <c r="B6909" s="37" t="str">
        <f t="array" ref="B6909">iferror(xlookup($I6909, 'IMPORT VHC Report'!$E:$E, 'IMPORT VHC Report'!$A:$C), )</f>
        <v/>
      </c>
      <c r="C6909" s="44"/>
      <c r="D6909" s="44"/>
      <c r="E6909" s="38"/>
      <c r="F6909" s="38"/>
      <c r="G6909" s="38"/>
      <c r="H6909" s="38"/>
      <c r="I6909" s="38"/>
      <c r="J6909" s="38"/>
      <c r="K6909" s="38"/>
      <c r="L6909" s="41"/>
      <c r="M6909" s="38"/>
      <c r="N6909" s="41"/>
      <c r="O6909" s="38"/>
      <c r="P6909" s="38"/>
      <c r="Q6909" s="38"/>
      <c r="R6909" s="38"/>
      <c r="S6909" s="38"/>
      <c r="T6909" s="39"/>
      <c r="U6909" s="39"/>
    </row>
    <row r="6910">
      <c r="A6910" s="40" t="str">
        <f t="shared" si="1"/>
        <v/>
      </c>
      <c r="B6910" s="37" t="str">
        <f t="array" ref="B6910">iferror(xlookup($I6910, 'IMPORT VHC Report'!$E:$E, 'IMPORT VHC Report'!$A:$C), )</f>
        <v/>
      </c>
      <c r="C6910" s="44"/>
      <c r="D6910" s="44"/>
      <c r="E6910" s="38"/>
      <c r="F6910" s="38"/>
      <c r="G6910" s="38"/>
      <c r="H6910" s="38"/>
      <c r="I6910" s="38"/>
      <c r="J6910" s="38"/>
      <c r="K6910" s="38"/>
      <c r="L6910" s="41"/>
      <c r="M6910" s="38"/>
      <c r="N6910" s="41"/>
      <c r="O6910" s="38"/>
      <c r="P6910" s="38"/>
      <c r="Q6910" s="39"/>
      <c r="R6910" s="39"/>
      <c r="S6910" s="38"/>
      <c r="T6910" s="39"/>
      <c r="U6910" s="39"/>
    </row>
    <row r="6911">
      <c r="A6911" s="40" t="str">
        <f t="shared" si="1"/>
        <v/>
      </c>
      <c r="B6911" s="37" t="str">
        <f t="array" ref="B6911">iferror(xlookup($I6911, 'IMPORT VHC Report'!$E:$E, 'IMPORT VHC Report'!$A:$C), )</f>
        <v/>
      </c>
      <c r="C6911" s="44"/>
      <c r="D6911" s="44"/>
      <c r="E6911" s="38"/>
      <c r="F6911" s="38"/>
      <c r="G6911" s="38"/>
      <c r="H6911" s="38"/>
      <c r="I6911" s="38"/>
      <c r="J6911" s="38"/>
      <c r="K6911" s="38"/>
      <c r="L6911" s="41"/>
      <c r="M6911" s="38"/>
      <c r="N6911" s="41"/>
      <c r="O6911" s="38"/>
      <c r="P6911" s="38"/>
      <c r="Q6911" s="39"/>
      <c r="R6911" s="39"/>
      <c r="S6911" s="39"/>
      <c r="T6911" s="39"/>
      <c r="U6911" s="39"/>
    </row>
    <row r="6912">
      <c r="A6912" s="40" t="str">
        <f t="shared" si="1"/>
        <v/>
      </c>
      <c r="B6912" s="37" t="str">
        <f t="array" ref="B6912">iferror(xlookup($I6912, 'IMPORT VHC Report'!$E:$E, 'IMPORT VHC Report'!$A:$C), )</f>
        <v/>
      </c>
      <c r="C6912" s="44"/>
      <c r="D6912" s="44"/>
      <c r="E6912" s="38"/>
      <c r="F6912" s="38"/>
      <c r="G6912" s="38"/>
      <c r="H6912" s="38"/>
      <c r="I6912" s="38"/>
      <c r="J6912" s="38"/>
      <c r="K6912" s="38"/>
      <c r="L6912" s="41"/>
      <c r="M6912" s="38"/>
      <c r="N6912" s="41"/>
      <c r="O6912" s="38"/>
      <c r="P6912" s="38"/>
      <c r="Q6912" s="39"/>
      <c r="R6912" s="39"/>
      <c r="S6912" s="39"/>
      <c r="T6912" s="39"/>
      <c r="U6912" s="39"/>
    </row>
    <row r="6913">
      <c r="A6913" s="40" t="str">
        <f t="shared" si="1"/>
        <v/>
      </c>
      <c r="B6913" s="37" t="str">
        <f t="array" ref="B6913">iferror(xlookup($I6913, 'IMPORT VHC Report'!$E:$E, 'IMPORT VHC Report'!$A:$C), )</f>
        <v/>
      </c>
      <c r="C6913" s="44"/>
      <c r="D6913" s="44"/>
      <c r="E6913" s="38"/>
      <c r="F6913" s="38"/>
      <c r="G6913" s="38"/>
      <c r="H6913" s="38"/>
      <c r="I6913" s="38"/>
      <c r="J6913" s="38"/>
      <c r="K6913" s="38"/>
      <c r="L6913" s="41"/>
      <c r="M6913" s="38"/>
      <c r="N6913" s="41"/>
      <c r="O6913" s="38"/>
      <c r="P6913" s="38"/>
      <c r="Q6913" s="39"/>
      <c r="R6913" s="39"/>
      <c r="S6913" s="39"/>
      <c r="T6913" s="39"/>
      <c r="U6913" s="39"/>
    </row>
    <row r="6914">
      <c r="A6914" s="40" t="str">
        <f t="shared" si="1"/>
        <v/>
      </c>
      <c r="B6914" s="37" t="str">
        <f t="array" ref="B6914">iferror(xlookup($I6914, 'IMPORT VHC Report'!$E:$E, 'IMPORT VHC Report'!$A:$C), )</f>
        <v/>
      </c>
      <c r="C6914" s="44"/>
      <c r="D6914" s="44"/>
      <c r="E6914" s="38"/>
      <c r="F6914" s="38"/>
      <c r="G6914" s="38"/>
      <c r="H6914" s="38"/>
      <c r="I6914" s="38"/>
      <c r="J6914" s="38"/>
      <c r="K6914" s="38"/>
      <c r="L6914" s="41"/>
      <c r="M6914" s="38"/>
      <c r="N6914" s="41"/>
      <c r="O6914" s="38"/>
      <c r="P6914" s="38"/>
      <c r="Q6914" s="39"/>
      <c r="R6914" s="39"/>
      <c r="S6914" s="39"/>
      <c r="T6914" s="39"/>
      <c r="U6914" s="39"/>
    </row>
    <row r="6915">
      <c r="A6915" s="40" t="str">
        <f t="shared" si="1"/>
        <v/>
      </c>
      <c r="B6915" s="37" t="str">
        <f t="array" ref="B6915">iferror(xlookup($I6915, 'IMPORT VHC Report'!$E:$E, 'IMPORT VHC Report'!$A:$C), )</f>
        <v/>
      </c>
      <c r="C6915" s="44"/>
      <c r="D6915" s="44"/>
      <c r="E6915" s="38"/>
      <c r="F6915" s="38"/>
      <c r="G6915" s="38"/>
      <c r="H6915" s="38"/>
      <c r="I6915" s="38"/>
      <c r="J6915" s="38"/>
      <c r="K6915" s="38"/>
      <c r="L6915" s="41"/>
      <c r="M6915" s="38"/>
      <c r="N6915" s="41"/>
      <c r="O6915" s="38"/>
      <c r="P6915" s="38"/>
      <c r="Q6915" s="38"/>
      <c r="R6915" s="38"/>
      <c r="S6915" s="38"/>
      <c r="T6915" s="39"/>
      <c r="U6915" s="39"/>
    </row>
    <row r="6916">
      <c r="A6916" s="40" t="str">
        <f t="shared" si="1"/>
        <v/>
      </c>
      <c r="B6916" s="37" t="str">
        <f t="array" ref="B6916">iferror(xlookup($I6916, 'IMPORT VHC Report'!$E:$E, 'IMPORT VHC Report'!$A:$C), )</f>
        <v/>
      </c>
      <c r="C6916" s="44"/>
      <c r="D6916" s="44"/>
      <c r="E6916" s="38"/>
      <c r="F6916" s="38"/>
      <c r="G6916" s="38"/>
      <c r="H6916" s="38"/>
      <c r="I6916" s="38"/>
      <c r="J6916" s="38"/>
      <c r="K6916" s="38"/>
      <c r="L6916" s="41"/>
      <c r="M6916" s="38"/>
      <c r="N6916" s="41"/>
      <c r="O6916" s="38"/>
      <c r="P6916" s="38"/>
      <c r="Q6916" s="39"/>
      <c r="R6916" s="39"/>
      <c r="S6916" s="38"/>
      <c r="T6916" s="39"/>
      <c r="U6916" s="39"/>
    </row>
    <row r="6917">
      <c r="A6917" s="40" t="str">
        <f t="shared" si="1"/>
        <v/>
      </c>
      <c r="B6917" s="37" t="str">
        <f t="array" ref="B6917">iferror(xlookup($I6917, 'IMPORT VHC Report'!$E:$E, 'IMPORT VHC Report'!$A:$C), )</f>
        <v/>
      </c>
      <c r="C6917" s="44"/>
      <c r="D6917" s="44"/>
      <c r="E6917" s="38"/>
      <c r="F6917" s="38"/>
      <c r="G6917" s="38"/>
      <c r="H6917" s="38"/>
      <c r="I6917" s="38"/>
      <c r="J6917" s="38"/>
      <c r="K6917" s="38"/>
      <c r="L6917" s="41"/>
      <c r="M6917" s="38"/>
      <c r="N6917" s="41"/>
      <c r="O6917" s="38"/>
      <c r="P6917" s="38"/>
      <c r="Q6917" s="39"/>
      <c r="R6917" s="39"/>
      <c r="S6917" s="39"/>
      <c r="T6917" s="39"/>
      <c r="U6917" s="39"/>
    </row>
    <row r="6918">
      <c r="A6918" s="40" t="str">
        <f t="shared" si="1"/>
        <v/>
      </c>
      <c r="B6918" s="37" t="str">
        <f t="array" ref="B6918">iferror(xlookup($I6918, 'IMPORT VHC Report'!$E:$E, 'IMPORT VHC Report'!$A:$C), )</f>
        <v/>
      </c>
      <c r="C6918" s="44"/>
      <c r="D6918" s="44"/>
      <c r="E6918" s="38"/>
      <c r="F6918" s="38"/>
      <c r="G6918" s="38"/>
      <c r="H6918" s="38"/>
      <c r="I6918" s="38"/>
      <c r="J6918" s="38"/>
      <c r="K6918" s="38"/>
      <c r="L6918" s="41"/>
      <c r="M6918" s="38"/>
      <c r="N6918" s="41"/>
      <c r="O6918" s="38"/>
      <c r="P6918" s="38"/>
      <c r="Q6918" s="38"/>
      <c r="R6918" s="38"/>
      <c r="S6918" s="38"/>
      <c r="T6918" s="39"/>
      <c r="U6918" s="39"/>
    </row>
    <row r="6919">
      <c r="A6919" s="40" t="str">
        <f t="shared" si="1"/>
        <v/>
      </c>
      <c r="B6919" s="37" t="str">
        <f t="array" ref="B6919">iferror(xlookup($I6919, 'IMPORT VHC Report'!$E:$E, 'IMPORT VHC Report'!$A:$C), )</f>
        <v/>
      </c>
      <c r="C6919" s="44"/>
      <c r="D6919" s="44"/>
      <c r="E6919" s="38"/>
      <c r="F6919" s="38"/>
      <c r="G6919" s="38"/>
      <c r="H6919" s="38"/>
      <c r="I6919" s="38"/>
      <c r="J6919" s="38"/>
      <c r="K6919" s="38"/>
      <c r="L6919" s="41"/>
      <c r="M6919" s="38"/>
      <c r="N6919" s="41"/>
      <c r="O6919" s="38"/>
      <c r="P6919" s="38"/>
      <c r="Q6919" s="39"/>
      <c r="R6919" s="39"/>
      <c r="S6919" s="39"/>
      <c r="T6919" s="39"/>
      <c r="U6919" s="39"/>
    </row>
    <row r="6920">
      <c r="A6920" s="40" t="str">
        <f t="shared" si="1"/>
        <v/>
      </c>
      <c r="B6920" s="37" t="str">
        <f t="array" ref="B6920">iferror(xlookup($I6920, 'IMPORT VHC Report'!$E:$E, 'IMPORT VHC Report'!$A:$C), )</f>
        <v/>
      </c>
      <c r="C6920" s="44"/>
      <c r="D6920" s="44"/>
      <c r="E6920" s="38"/>
      <c r="F6920" s="38"/>
      <c r="G6920" s="38"/>
      <c r="H6920" s="38"/>
      <c r="I6920" s="38"/>
      <c r="J6920" s="38"/>
      <c r="K6920" s="38"/>
      <c r="L6920" s="41"/>
      <c r="M6920" s="38"/>
      <c r="N6920" s="41"/>
      <c r="O6920" s="38"/>
      <c r="P6920" s="38"/>
      <c r="Q6920" s="39"/>
      <c r="R6920" s="39"/>
      <c r="S6920" s="39"/>
      <c r="T6920" s="39"/>
      <c r="U6920" s="39"/>
    </row>
    <row r="6921">
      <c r="A6921" s="40" t="str">
        <f t="shared" si="1"/>
        <v/>
      </c>
      <c r="B6921" s="37" t="str">
        <f t="array" ref="B6921">iferror(xlookup($I6921, 'IMPORT VHC Report'!$E:$E, 'IMPORT VHC Report'!$A:$C), )</f>
        <v/>
      </c>
      <c r="C6921" s="44"/>
      <c r="D6921" s="44"/>
      <c r="E6921" s="38"/>
      <c r="F6921" s="38"/>
      <c r="G6921" s="38"/>
      <c r="H6921" s="38"/>
      <c r="I6921" s="38"/>
      <c r="J6921" s="38"/>
      <c r="K6921" s="38"/>
      <c r="L6921" s="41"/>
      <c r="M6921" s="38"/>
      <c r="N6921" s="41"/>
      <c r="O6921" s="38"/>
      <c r="P6921" s="38"/>
      <c r="Q6921" s="39"/>
      <c r="R6921" s="39"/>
      <c r="S6921" s="39"/>
      <c r="T6921" s="39"/>
      <c r="U6921" s="39"/>
    </row>
    <row r="6922">
      <c r="A6922" s="40" t="str">
        <f t="shared" si="1"/>
        <v/>
      </c>
      <c r="B6922" s="37" t="str">
        <f t="array" ref="B6922">iferror(xlookup($I6922, 'IMPORT VHC Report'!$E:$E, 'IMPORT VHC Report'!$A:$C), )</f>
        <v/>
      </c>
      <c r="C6922" s="44"/>
      <c r="D6922" s="44"/>
      <c r="E6922" s="38"/>
      <c r="F6922" s="38"/>
      <c r="G6922" s="38"/>
      <c r="H6922" s="38"/>
      <c r="I6922" s="38"/>
      <c r="J6922" s="38"/>
      <c r="K6922" s="38"/>
      <c r="L6922" s="41"/>
      <c r="M6922" s="38"/>
      <c r="N6922" s="41"/>
      <c r="O6922" s="38"/>
      <c r="P6922" s="38"/>
      <c r="Q6922" s="39"/>
      <c r="R6922" s="39"/>
      <c r="S6922" s="39"/>
      <c r="T6922" s="39"/>
      <c r="U6922" s="39"/>
    </row>
    <row r="6923">
      <c r="A6923" s="40" t="str">
        <f t="shared" si="1"/>
        <v/>
      </c>
      <c r="B6923" s="37" t="str">
        <f t="array" ref="B6923">iferror(xlookup($I6923, 'IMPORT VHC Report'!$E:$E, 'IMPORT VHC Report'!$A:$C), )</f>
        <v/>
      </c>
      <c r="C6923" s="44"/>
      <c r="D6923" s="44"/>
      <c r="E6923" s="38"/>
      <c r="F6923" s="38"/>
      <c r="G6923" s="38"/>
      <c r="H6923" s="38"/>
      <c r="I6923" s="38"/>
      <c r="J6923" s="38"/>
      <c r="K6923" s="38"/>
      <c r="L6923" s="41"/>
      <c r="M6923" s="38"/>
      <c r="N6923" s="41"/>
      <c r="O6923" s="38"/>
      <c r="P6923" s="38"/>
      <c r="Q6923" s="39"/>
      <c r="R6923" s="39"/>
      <c r="S6923" s="39"/>
      <c r="T6923" s="39"/>
      <c r="U6923" s="39"/>
    </row>
    <row r="6924">
      <c r="A6924" s="40" t="str">
        <f t="shared" si="1"/>
        <v/>
      </c>
      <c r="B6924" s="37" t="str">
        <f t="array" ref="B6924">iferror(xlookup($I6924, 'IMPORT VHC Report'!$E:$E, 'IMPORT VHC Report'!$A:$C), )</f>
        <v/>
      </c>
      <c r="C6924" s="44"/>
      <c r="D6924" s="44"/>
      <c r="E6924" s="38"/>
      <c r="F6924" s="38"/>
      <c r="G6924" s="38"/>
      <c r="H6924" s="38"/>
      <c r="I6924" s="38"/>
      <c r="J6924" s="38"/>
      <c r="K6924" s="38"/>
      <c r="L6924" s="41"/>
      <c r="M6924" s="38"/>
      <c r="N6924" s="41"/>
      <c r="O6924" s="38"/>
      <c r="P6924" s="38"/>
      <c r="Q6924" s="39"/>
      <c r="R6924" s="39"/>
      <c r="S6924" s="38"/>
      <c r="T6924" s="39"/>
      <c r="U6924" s="39"/>
    </row>
    <row r="6925">
      <c r="A6925" s="40" t="str">
        <f t="shared" si="1"/>
        <v/>
      </c>
      <c r="B6925" s="37" t="str">
        <f t="array" ref="B6925">iferror(xlookup($I6925, 'IMPORT VHC Report'!$E:$E, 'IMPORT VHC Report'!$A:$C), )</f>
        <v/>
      </c>
      <c r="C6925" s="44"/>
      <c r="D6925" s="44"/>
      <c r="E6925" s="38"/>
      <c r="F6925" s="38"/>
      <c r="G6925" s="38"/>
      <c r="H6925" s="38"/>
      <c r="I6925" s="38"/>
      <c r="J6925" s="38"/>
      <c r="K6925" s="38"/>
      <c r="L6925" s="41"/>
      <c r="M6925" s="38"/>
      <c r="N6925" s="41"/>
      <c r="O6925" s="38"/>
      <c r="P6925" s="38"/>
      <c r="Q6925" s="39"/>
      <c r="R6925" s="39"/>
      <c r="S6925" s="39"/>
      <c r="T6925" s="39"/>
      <c r="U6925" s="39"/>
    </row>
    <row r="6926">
      <c r="A6926" s="40" t="str">
        <f t="shared" si="1"/>
        <v/>
      </c>
      <c r="B6926" s="37" t="str">
        <f t="array" ref="B6926">iferror(xlookup($I6926, 'IMPORT VHC Report'!$E:$E, 'IMPORT VHC Report'!$A:$C), )</f>
        <v/>
      </c>
      <c r="C6926" s="44"/>
      <c r="D6926" s="44"/>
      <c r="E6926" s="38"/>
      <c r="F6926" s="38"/>
      <c r="G6926" s="38"/>
      <c r="H6926" s="38"/>
      <c r="I6926" s="38"/>
      <c r="J6926" s="38"/>
      <c r="K6926" s="38"/>
      <c r="L6926" s="41"/>
      <c r="M6926" s="38"/>
      <c r="N6926" s="41"/>
      <c r="O6926" s="38"/>
      <c r="P6926" s="38"/>
      <c r="Q6926" s="39"/>
      <c r="R6926" s="39"/>
      <c r="S6926" s="39"/>
      <c r="T6926" s="39"/>
      <c r="U6926" s="39"/>
    </row>
    <row r="6927">
      <c r="A6927" s="40" t="str">
        <f t="shared" si="1"/>
        <v/>
      </c>
      <c r="B6927" s="37" t="str">
        <f t="array" ref="B6927">iferror(xlookup($I6927, 'IMPORT VHC Report'!$E:$E, 'IMPORT VHC Report'!$A:$C), )</f>
        <v/>
      </c>
      <c r="C6927" s="44"/>
      <c r="D6927" s="44"/>
      <c r="E6927" s="38"/>
      <c r="F6927" s="38"/>
      <c r="G6927" s="38"/>
      <c r="H6927" s="38"/>
      <c r="I6927" s="38"/>
      <c r="J6927" s="38"/>
      <c r="K6927" s="38"/>
      <c r="L6927" s="41"/>
      <c r="M6927" s="38"/>
      <c r="N6927" s="41"/>
      <c r="O6927" s="38"/>
      <c r="P6927" s="38"/>
      <c r="Q6927" s="39"/>
      <c r="R6927" s="39"/>
      <c r="S6927" s="39"/>
      <c r="T6927" s="39"/>
      <c r="U6927" s="39"/>
    </row>
    <row r="6928">
      <c r="A6928" s="40" t="str">
        <f t="shared" si="1"/>
        <v/>
      </c>
      <c r="B6928" s="37" t="str">
        <f t="array" ref="B6928">iferror(xlookup($I6928, 'IMPORT VHC Report'!$E:$E, 'IMPORT VHC Report'!$A:$C), )</f>
        <v/>
      </c>
      <c r="C6928" s="44"/>
      <c r="D6928" s="44"/>
      <c r="E6928" s="38"/>
      <c r="F6928" s="38"/>
      <c r="G6928" s="38"/>
      <c r="H6928" s="38"/>
      <c r="I6928" s="38"/>
      <c r="J6928" s="38"/>
      <c r="K6928" s="38"/>
      <c r="L6928" s="41"/>
      <c r="M6928" s="38"/>
      <c r="N6928" s="41"/>
      <c r="O6928" s="38"/>
      <c r="P6928" s="38"/>
      <c r="Q6928" s="38"/>
      <c r="R6928" s="38"/>
      <c r="S6928" s="38"/>
      <c r="T6928" s="39"/>
      <c r="U6928" s="39"/>
    </row>
    <row r="6929">
      <c r="A6929" s="40" t="str">
        <f t="shared" si="1"/>
        <v/>
      </c>
      <c r="B6929" s="37" t="str">
        <f t="array" ref="B6929">iferror(xlookup($I6929, 'IMPORT VHC Report'!$E:$E, 'IMPORT VHC Report'!$A:$C), )</f>
        <v/>
      </c>
      <c r="C6929" s="44"/>
      <c r="D6929" s="44"/>
      <c r="E6929" s="38"/>
      <c r="F6929" s="38"/>
      <c r="G6929" s="38"/>
      <c r="H6929" s="38"/>
      <c r="I6929" s="38"/>
      <c r="J6929" s="38"/>
      <c r="K6929" s="38"/>
      <c r="L6929" s="41"/>
      <c r="M6929" s="38"/>
      <c r="N6929" s="41"/>
      <c r="O6929" s="38"/>
      <c r="P6929" s="38"/>
      <c r="Q6929" s="38"/>
      <c r="R6929" s="38"/>
      <c r="S6929" s="38"/>
      <c r="T6929" s="39"/>
      <c r="U6929" s="39"/>
    </row>
    <row r="6930">
      <c r="A6930" s="40" t="str">
        <f t="shared" si="1"/>
        <v/>
      </c>
      <c r="B6930" s="37" t="str">
        <f t="array" ref="B6930">iferror(xlookup($I6930, 'IMPORT VHC Report'!$E:$E, 'IMPORT VHC Report'!$A:$C), )</f>
        <v/>
      </c>
      <c r="C6930" s="44"/>
      <c r="D6930" s="44"/>
      <c r="E6930" s="38"/>
      <c r="F6930" s="38"/>
      <c r="G6930" s="38"/>
      <c r="H6930" s="38"/>
      <c r="I6930" s="38"/>
      <c r="J6930" s="38"/>
      <c r="K6930" s="38"/>
      <c r="L6930" s="41"/>
      <c r="M6930" s="38"/>
      <c r="N6930" s="41"/>
      <c r="O6930" s="38"/>
      <c r="P6930" s="38"/>
      <c r="Q6930" s="38"/>
      <c r="R6930" s="38"/>
      <c r="S6930" s="38"/>
      <c r="T6930" s="39"/>
      <c r="U6930" s="39"/>
    </row>
    <row r="6931">
      <c r="A6931" s="40" t="str">
        <f t="shared" si="1"/>
        <v/>
      </c>
      <c r="B6931" s="37" t="str">
        <f t="array" ref="B6931">iferror(xlookup($I6931, 'IMPORT VHC Report'!$E:$E, 'IMPORT VHC Report'!$A:$C), )</f>
        <v/>
      </c>
      <c r="C6931" s="44"/>
      <c r="D6931" s="44"/>
      <c r="E6931" s="38"/>
      <c r="F6931" s="38"/>
      <c r="G6931" s="38"/>
      <c r="H6931" s="38"/>
      <c r="I6931" s="38"/>
      <c r="J6931" s="38"/>
      <c r="K6931" s="38"/>
      <c r="L6931" s="41"/>
      <c r="M6931" s="38"/>
      <c r="N6931" s="41"/>
      <c r="O6931" s="38"/>
      <c r="P6931" s="38"/>
      <c r="Q6931" s="39"/>
      <c r="R6931" s="39"/>
      <c r="S6931" s="39"/>
      <c r="T6931" s="39"/>
      <c r="U6931" s="39"/>
    </row>
    <row r="6932">
      <c r="A6932" s="40" t="str">
        <f t="shared" si="1"/>
        <v/>
      </c>
      <c r="B6932" s="37" t="str">
        <f t="array" ref="B6932">iferror(xlookup($I6932, 'IMPORT VHC Report'!$E:$E, 'IMPORT VHC Report'!$A:$C), )</f>
        <v/>
      </c>
      <c r="C6932" s="44"/>
      <c r="D6932" s="44"/>
      <c r="E6932" s="38"/>
      <c r="F6932" s="38"/>
      <c r="G6932" s="38"/>
      <c r="H6932" s="38"/>
      <c r="I6932" s="38"/>
      <c r="J6932" s="38"/>
      <c r="K6932" s="38"/>
      <c r="L6932" s="41"/>
      <c r="M6932" s="38"/>
      <c r="N6932" s="41"/>
      <c r="O6932" s="38"/>
      <c r="P6932" s="38"/>
      <c r="Q6932" s="39"/>
      <c r="R6932" s="39"/>
      <c r="S6932" s="39"/>
      <c r="T6932" s="39"/>
      <c r="U6932" s="39"/>
    </row>
    <row r="6933">
      <c r="A6933" s="40" t="str">
        <f t="shared" si="1"/>
        <v/>
      </c>
      <c r="B6933" s="37" t="str">
        <f t="array" ref="B6933">iferror(xlookup($I6933, 'IMPORT VHC Report'!$E:$E, 'IMPORT VHC Report'!$A:$C), )</f>
        <v/>
      </c>
      <c r="C6933" s="44"/>
      <c r="D6933" s="44"/>
      <c r="E6933" s="38"/>
      <c r="F6933" s="38"/>
      <c r="G6933" s="38"/>
      <c r="H6933" s="38"/>
      <c r="I6933" s="38"/>
      <c r="J6933" s="38"/>
      <c r="K6933" s="38"/>
      <c r="L6933" s="41"/>
      <c r="M6933" s="38"/>
      <c r="N6933" s="41"/>
      <c r="O6933" s="38"/>
      <c r="P6933" s="38"/>
      <c r="Q6933" s="39"/>
      <c r="R6933" s="39"/>
      <c r="S6933" s="39"/>
      <c r="T6933" s="39"/>
      <c r="U6933" s="39"/>
    </row>
    <row r="6934">
      <c r="A6934" s="40" t="str">
        <f t="shared" si="1"/>
        <v/>
      </c>
      <c r="B6934" s="37" t="str">
        <f t="array" ref="B6934">iferror(xlookup($I6934, 'IMPORT VHC Report'!$E:$E, 'IMPORT VHC Report'!$A:$C), )</f>
        <v/>
      </c>
      <c r="C6934" s="44"/>
      <c r="D6934" s="44"/>
      <c r="E6934" s="38"/>
      <c r="F6934" s="38"/>
      <c r="G6934" s="38"/>
      <c r="H6934" s="38"/>
      <c r="I6934" s="38"/>
      <c r="J6934" s="38"/>
      <c r="K6934" s="38"/>
      <c r="L6934" s="41"/>
      <c r="M6934" s="38"/>
      <c r="N6934" s="41"/>
      <c r="O6934" s="38"/>
      <c r="P6934" s="38"/>
      <c r="Q6934" s="39"/>
      <c r="R6934" s="39"/>
      <c r="S6934" s="39"/>
      <c r="T6934" s="39"/>
      <c r="U6934" s="39"/>
    </row>
    <row r="6935">
      <c r="A6935" s="40" t="str">
        <f t="shared" si="1"/>
        <v/>
      </c>
      <c r="B6935" s="37" t="str">
        <f t="array" ref="B6935">iferror(xlookup($I6935, 'IMPORT VHC Report'!$E:$E, 'IMPORT VHC Report'!$A:$C), )</f>
        <v/>
      </c>
      <c r="C6935" s="44"/>
      <c r="D6935" s="44"/>
      <c r="E6935" s="38"/>
      <c r="F6935" s="38"/>
      <c r="G6935" s="38"/>
      <c r="H6935" s="38"/>
      <c r="I6935" s="38"/>
      <c r="J6935" s="38"/>
      <c r="K6935" s="38"/>
      <c r="L6935" s="41"/>
      <c r="M6935" s="38"/>
      <c r="N6935" s="41"/>
      <c r="O6935" s="38"/>
      <c r="P6935" s="38"/>
      <c r="Q6935" s="39"/>
      <c r="R6935" s="39"/>
      <c r="S6935" s="39"/>
      <c r="T6935" s="39"/>
      <c r="U6935" s="39"/>
    </row>
    <row r="6936">
      <c r="A6936" s="40" t="str">
        <f t="shared" si="1"/>
        <v/>
      </c>
      <c r="B6936" s="37" t="str">
        <f t="array" ref="B6936">iferror(xlookup($I6936, 'IMPORT VHC Report'!$E:$E, 'IMPORT VHC Report'!$A:$C), )</f>
        <v/>
      </c>
      <c r="C6936" s="44"/>
      <c r="D6936" s="44"/>
      <c r="E6936" s="38"/>
      <c r="F6936" s="38"/>
      <c r="G6936" s="38"/>
      <c r="H6936" s="38"/>
      <c r="I6936" s="38"/>
      <c r="J6936" s="38"/>
      <c r="K6936" s="38"/>
      <c r="L6936" s="41"/>
      <c r="M6936" s="38"/>
      <c r="N6936" s="41"/>
      <c r="O6936" s="38"/>
      <c r="P6936" s="38"/>
      <c r="Q6936" s="39"/>
      <c r="R6936" s="39"/>
      <c r="S6936" s="39"/>
      <c r="T6936" s="39"/>
      <c r="U6936" s="39"/>
    </row>
    <row r="6937">
      <c r="A6937" s="40" t="str">
        <f t="shared" si="1"/>
        <v/>
      </c>
      <c r="B6937" s="37" t="str">
        <f t="array" ref="B6937">iferror(xlookup($I6937, 'IMPORT VHC Report'!$E:$E, 'IMPORT VHC Report'!$A:$C), )</f>
        <v/>
      </c>
      <c r="C6937" s="44"/>
      <c r="D6937" s="44"/>
      <c r="E6937" s="38"/>
      <c r="F6937" s="38"/>
      <c r="G6937" s="38"/>
      <c r="H6937" s="38"/>
      <c r="I6937" s="38"/>
      <c r="J6937" s="38"/>
      <c r="K6937" s="38"/>
      <c r="L6937" s="41"/>
      <c r="M6937" s="38"/>
      <c r="N6937" s="41"/>
      <c r="O6937" s="38"/>
      <c r="P6937" s="38"/>
      <c r="Q6937" s="38"/>
      <c r="R6937" s="38"/>
      <c r="S6937" s="38"/>
      <c r="T6937" s="39"/>
      <c r="U6937" s="39"/>
    </row>
    <row r="6938">
      <c r="A6938" s="40" t="str">
        <f t="shared" si="1"/>
        <v/>
      </c>
      <c r="B6938" s="37" t="str">
        <f t="array" ref="B6938">iferror(xlookup($I6938, 'IMPORT VHC Report'!$E:$E, 'IMPORT VHC Report'!$A:$C), )</f>
        <v/>
      </c>
      <c r="C6938" s="44"/>
      <c r="D6938" s="44"/>
      <c r="E6938" s="38"/>
      <c r="F6938" s="38"/>
      <c r="G6938" s="38"/>
      <c r="H6938" s="38"/>
      <c r="I6938" s="38"/>
      <c r="J6938" s="38"/>
      <c r="K6938" s="38"/>
      <c r="L6938" s="41"/>
      <c r="M6938" s="38"/>
      <c r="N6938" s="41"/>
      <c r="O6938" s="38"/>
      <c r="P6938" s="38"/>
      <c r="Q6938" s="38"/>
      <c r="R6938" s="38"/>
      <c r="S6938" s="38"/>
      <c r="T6938" s="39"/>
      <c r="U6938" s="39"/>
    </row>
    <row r="6939">
      <c r="A6939" s="40" t="str">
        <f t="shared" si="1"/>
        <v/>
      </c>
      <c r="B6939" s="37" t="str">
        <f t="array" ref="B6939">iferror(xlookup($I6939, 'IMPORT VHC Report'!$E:$E, 'IMPORT VHC Report'!$A:$C), )</f>
        <v/>
      </c>
      <c r="C6939" s="44"/>
      <c r="D6939" s="44"/>
      <c r="E6939" s="38"/>
      <c r="F6939" s="38"/>
      <c r="G6939" s="38"/>
      <c r="H6939" s="38"/>
      <c r="I6939" s="38"/>
      <c r="J6939" s="38"/>
      <c r="K6939" s="38"/>
      <c r="L6939" s="41"/>
      <c r="M6939" s="38"/>
      <c r="N6939" s="41"/>
      <c r="O6939" s="38"/>
      <c r="P6939" s="38"/>
      <c r="Q6939" s="38"/>
      <c r="R6939" s="38"/>
      <c r="S6939" s="38"/>
      <c r="T6939" s="39"/>
      <c r="U6939" s="39"/>
    </row>
    <row r="6940">
      <c r="A6940" s="40">
        <f t="shared" si="1"/>
        <v>46006</v>
      </c>
      <c r="B6940" s="37" t="str">
        <f t="array" ref="B6940">iferror(xlookup($I6940, 'IMPORT VHC Report'!$E:$E, 'IMPORT VHC Report'!$A:$C), )</f>
        <v/>
      </c>
      <c r="C6940" s="44"/>
      <c r="D6940" s="44"/>
      <c r="E6940" s="38" t="s">
        <v>657</v>
      </c>
      <c r="F6940" s="38" t="s">
        <v>627</v>
      </c>
      <c r="G6940" s="38">
        <v>3.61724830696E11</v>
      </c>
      <c r="H6940" s="38" t="s">
        <v>628</v>
      </c>
      <c r="I6940" s="38" t="s">
        <v>629</v>
      </c>
      <c r="J6940" s="38" t="s">
        <v>368</v>
      </c>
      <c r="K6940" s="38" t="s">
        <v>63</v>
      </c>
      <c r="L6940" s="41">
        <v>46012.791666666664</v>
      </c>
      <c r="M6940" s="38" t="s">
        <v>123</v>
      </c>
      <c r="N6940" s="41">
        <v>46013.166666666664</v>
      </c>
      <c r="O6940" s="38" t="s">
        <v>123</v>
      </c>
      <c r="P6940" s="38">
        <v>32400.0</v>
      </c>
      <c r="Q6940" s="39"/>
      <c r="R6940" s="39"/>
      <c r="S6940" s="39"/>
      <c r="T6940" s="39"/>
      <c r="U6940" s="39"/>
    </row>
    <row r="6941">
      <c r="A6941" s="40" t="str">
        <f t="shared" si="1"/>
        <v/>
      </c>
      <c r="B6941" s="37" t="str">
        <f t="array" ref="B6941">iferror(xlookup($I6941, 'IMPORT VHC Report'!$E:$E, 'IMPORT VHC Report'!$A:$C), )</f>
        <v/>
      </c>
      <c r="C6941" s="44"/>
      <c r="D6941" s="44"/>
      <c r="E6941" s="38"/>
      <c r="F6941" s="38"/>
      <c r="G6941" s="38"/>
      <c r="H6941" s="38"/>
      <c r="I6941" s="38"/>
      <c r="J6941" s="38"/>
      <c r="K6941" s="38"/>
      <c r="L6941" s="41"/>
      <c r="M6941" s="38"/>
      <c r="N6941" s="41"/>
      <c r="O6941" s="38"/>
      <c r="P6941" s="38"/>
      <c r="Q6941" s="39"/>
      <c r="R6941" s="39"/>
      <c r="S6941" s="39"/>
      <c r="T6941" s="39"/>
      <c r="U6941" s="39"/>
    </row>
    <row r="6942">
      <c r="A6942" s="40" t="str">
        <f t="shared" si="1"/>
        <v/>
      </c>
      <c r="B6942" s="37" t="str">
        <f t="array" ref="B6942">iferror(xlookup($I6942, 'IMPORT VHC Report'!$E:$E, 'IMPORT VHC Report'!$A:$C), )</f>
        <v/>
      </c>
      <c r="C6942" s="44"/>
      <c r="D6942" s="44"/>
      <c r="E6942" s="38"/>
      <c r="F6942" s="38"/>
      <c r="G6942" s="38"/>
      <c r="H6942" s="38"/>
      <c r="I6942" s="38"/>
      <c r="J6942" s="38"/>
      <c r="K6942" s="38"/>
      <c r="L6942" s="41"/>
      <c r="M6942" s="38"/>
      <c r="N6942" s="41"/>
      <c r="O6942" s="38"/>
      <c r="P6942" s="38"/>
      <c r="Q6942" s="38"/>
      <c r="R6942" s="39"/>
      <c r="S6942" s="39"/>
      <c r="T6942" s="39"/>
      <c r="U6942" s="39"/>
    </row>
    <row r="6943">
      <c r="A6943" s="40" t="str">
        <f t="shared" si="1"/>
        <v/>
      </c>
      <c r="B6943" s="37" t="str">
        <f t="array" ref="B6943">iferror(xlookup($I6943, 'IMPORT VHC Report'!$E:$E, 'IMPORT VHC Report'!$A:$C), )</f>
        <v/>
      </c>
      <c r="C6943" s="44"/>
      <c r="D6943" s="44"/>
      <c r="E6943" s="38"/>
      <c r="F6943" s="38"/>
      <c r="G6943" s="38"/>
      <c r="H6943" s="38"/>
      <c r="I6943" s="38"/>
      <c r="J6943" s="38"/>
      <c r="K6943" s="38"/>
      <c r="L6943" s="41"/>
      <c r="M6943" s="38"/>
      <c r="N6943" s="41"/>
      <c r="O6943" s="38"/>
      <c r="P6943" s="38"/>
      <c r="Q6943" s="39"/>
      <c r="R6943" s="39"/>
      <c r="S6943" s="39"/>
      <c r="T6943" s="39"/>
      <c r="U6943" s="39"/>
    </row>
    <row r="6944">
      <c r="A6944" s="40" t="str">
        <f t="shared" si="1"/>
        <v/>
      </c>
      <c r="B6944" s="37" t="str">
        <f t="array" ref="B6944">iferror(xlookup($I6944, 'IMPORT VHC Report'!$E:$E, 'IMPORT VHC Report'!$A:$C), )</f>
        <v/>
      </c>
      <c r="C6944" s="44"/>
      <c r="D6944" s="44"/>
      <c r="E6944" s="38"/>
      <c r="F6944" s="38"/>
      <c r="G6944" s="38"/>
      <c r="H6944" s="38"/>
      <c r="I6944" s="38"/>
      <c r="J6944" s="38"/>
      <c r="K6944" s="38"/>
      <c r="L6944" s="41"/>
      <c r="M6944" s="38"/>
      <c r="N6944" s="41"/>
      <c r="O6944" s="38"/>
      <c r="P6944" s="38"/>
      <c r="Q6944" s="39"/>
      <c r="R6944" s="39"/>
      <c r="S6944" s="39"/>
      <c r="T6944" s="39"/>
      <c r="U6944" s="39"/>
    </row>
    <row r="6945">
      <c r="A6945" s="40" t="str">
        <f t="shared" si="1"/>
        <v/>
      </c>
      <c r="B6945" s="37" t="str">
        <f t="array" ref="B6945">iferror(xlookup($I6945, 'IMPORT VHC Report'!$E:$E, 'IMPORT VHC Report'!$A:$C), )</f>
        <v/>
      </c>
      <c r="C6945" s="44"/>
      <c r="D6945" s="44"/>
      <c r="E6945" s="38"/>
      <c r="F6945" s="38"/>
      <c r="G6945" s="38"/>
      <c r="H6945" s="38"/>
      <c r="I6945" s="38"/>
      <c r="J6945" s="38"/>
      <c r="K6945" s="38"/>
      <c r="L6945" s="41"/>
      <c r="M6945" s="38"/>
      <c r="N6945" s="41"/>
      <c r="O6945" s="38"/>
      <c r="P6945" s="38"/>
      <c r="Q6945" s="39"/>
      <c r="R6945" s="39"/>
      <c r="S6945" s="39"/>
      <c r="T6945" s="39"/>
      <c r="U6945" s="39"/>
    </row>
    <row r="6946">
      <c r="A6946" s="40" t="str">
        <f t="shared" si="1"/>
        <v/>
      </c>
      <c r="B6946" s="37" t="str">
        <f t="array" ref="B6946">iferror(xlookup($I6946, 'IMPORT VHC Report'!$E:$E, 'IMPORT VHC Report'!$A:$C), )</f>
        <v/>
      </c>
      <c r="C6946" s="44"/>
      <c r="D6946" s="44"/>
      <c r="E6946" s="38"/>
      <c r="F6946" s="38"/>
      <c r="G6946" s="38"/>
      <c r="H6946" s="38"/>
      <c r="I6946" s="38"/>
      <c r="J6946" s="38"/>
      <c r="K6946" s="38"/>
      <c r="L6946" s="41"/>
      <c r="M6946" s="38"/>
      <c r="N6946" s="41"/>
      <c r="O6946" s="38"/>
      <c r="P6946" s="38"/>
      <c r="Q6946" s="39"/>
      <c r="R6946" s="39"/>
      <c r="S6946" s="39"/>
      <c r="T6946" s="39"/>
      <c r="U6946" s="39"/>
    </row>
    <row r="6947">
      <c r="A6947" s="40" t="str">
        <f t="shared" si="1"/>
        <v/>
      </c>
      <c r="B6947" s="37" t="str">
        <f t="array" ref="B6947">iferror(xlookup($I6947, 'IMPORT VHC Report'!$E:$E, 'IMPORT VHC Report'!$A:$C), )</f>
        <v/>
      </c>
      <c r="C6947" s="44"/>
      <c r="D6947" s="44"/>
      <c r="E6947" s="38"/>
      <c r="F6947" s="38"/>
      <c r="G6947" s="38"/>
      <c r="H6947" s="38"/>
      <c r="I6947" s="38"/>
      <c r="J6947" s="38"/>
      <c r="K6947" s="38"/>
      <c r="L6947" s="41"/>
      <c r="M6947" s="38"/>
      <c r="N6947" s="41"/>
      <c r="O6947" s="38"/>
      <c r="P6947" s="38"/>
      <c r="Q6947" s="39"/>
      <c r="R6947" s="39"/>
      <c r="S6947" s="39"/>
      <c r="T6947" s="39"/>
      <c r="U6947" s="39"/>
    </row>
    <row r="6948">
      <c r="A6948" s="40" t="str">
        <f t="shared" si="1"/>
        <v/>
      </c>
      <c r="B6948" s="37" t="str">
        <f t="array" ref="B6948">iferror(xlookup($I6948, 'IMPORT VHC Report'!$E:$E, 'IMPORT VHC Report'!$A:$C), )</f>
        <v/>
      </c>
      <c r="C6948" s="44"/>
      <c r="D6948" s="44"/>
      <c r="E6948" s="38"/>
      <c r="F6948" s="38"/>
      <c r="G6948" s="38"/>
      <c r="H6948" s="38"/>
      <c r="I6948" s="38"/>
      <c r="J6948" s="38"/>
      <c r="K6948" s="38"/>
      <c r="L6948" s="41"/>
      <c r="M6948" s="38"/>
      <c r="N6948" s="41"/>
      <c r="O6948" s="38"/>
      <c r="P6948" s="38"/>
      <c r="Q6948" s="39"/>
      <c r="R6948" s="39"/>
      <c r="S6948" s="39"/>
      <c r="T6948" s="39"/>
      <c r="U6948" s="39"/>
    </row>
    <row r="6949">
      <c r="A6949" s="40" t="str">
        <f t="shared" si="1"/>
        <v/>
      </c>
      <c r="B6949" s="37" t="str">
        <f t="array" ref="B6949">iferror(xlookup($I6949, 'IMPORT VHC Report'!$E:$E, 'IMPORT VHC Report'!$A:$C), )</f>
        <v/>
      </c>
      <c r="C6949" s="44"/>
      <c r="D6949" s="44"/>
      <c r="E6949" s="38"/>
      <c r="F6949" s="38"/>
      <c r="G6949" s="38"/>
      <c r="H6949" s="38"/>
      <c r="I6949" s="38"/>
      <c r="J6949" s="38"/>
      <c r="K6949" s="38"/>
      <c r="L6949" s="41"/>
      <c r="M6949" s="38"/>
      <c r="N6949" s="41"/>
      <c r="O6949" s="38"/>
      <c r="P6949" s="38"/>
      <c r="Q6949" s="39"/>
      <c r="R6949" s="39"/>
      <c r="S6949" s="39"/>
      <c r="T6949" s="39"/>
      <c r="U6949" s="39"/>
    </row>
    <row r="6950">
      <c r="A6950" s="40" t="str">
        <f t="shared" si="1"/>
        <v/>
      </c>
      <c r="B6950" s="37" t="str">
        <f t="array" ref="B6950">iferror(xlookup($I6950, 'IMPORT VHC Report'!$E:$E, 'IMPORT VHC Report'!$A:$C), )</f>
        <v/>
      </c>
      <c r="C6950" s="44"/>
      <c r="D6950" s="44"/>
      <c r="E6950" s="38"/>
      <c r="F6950" s="38"/>
      <c r="G6950" s="38"/>
      <c r="H6950" s="38"/>
      <c r="I6950" s="38"/>
      <c r="J6950" s="38"/>
      <c r="K6950" s="38"/>
      <c r="L6950" s="41"/>
      <c r="M6950" s="38"/>
      <c r="N6950" s="41"/>
      <c r="O6950" s="38"/>
      <c r="P6950" s="38"/>
      <c r="Q6950" s="39"/>
      <c r="R6950" s="39"/>
      <c r="S6950" s="39"/>
      <c r="T6950" s="39"/>
      <c r="U6950" s="39"/>
    </row>
    <row r="6951">
      <c r="A6951" s="40" t="str">
        <f t="shared" si="1"/>
        <v/>
      </c>
      <c r="B6951" s="37" t="str">
        <f t="array" ref="B6951">iferror(xlookup($I6951, 'IMPORT VHC Report'!$E:$E, 'IMPORT VHC Report'!$A:$C), )</f>
        <v/>
      </c>
      <c r="C6951" s="44"/>
      <c r="D6951" s="44"/>
      <c r="E6951" s="38"/>
      <c r="F6951" s="38"/>
      <c r="G6951" s="38"/>
      <c r="H6951" s="38"/>
      <c r="I6951" s="38"/>
      <c r="J6951" s="38"/>
      <c r="K6951" s="38"/>
      <c r="L6951" s="41"/>
      <c r="M6951" s="38"/>
      <c r="N6951" s="41"/>
      <c r="O6951" s="38"/>
      <c r="P6951" s="38"/>
      <c r="Q6951" s="39"/>
      <c r="R6951" s="39"/>
      <c r="S6951" s="39"/>
      <c r="T6951" s="39"/>
      <c r="U6951" s="39"/>
    </row>
    <row r="6952">
      <c r="A6952" s="40" t="str">
        <f t="shared" si="1"/>
        <v/>
      </c>
      <c r="B6952" s="37" t="str">
        <f t="array" ref="B6952">iferror(xlookup($I6952, 'IMPORT VHC Report'!$E:$E, 'IMPORT VHC Report'!$A:$C), )</f>
        <v/>
      </c>
      <c r="C6952" s="44"/>
      <c r="D6952" s="44"/>
      <c r="E6952" s="38"/>
      <c r="F6952" s="38"/>
      <c r="G6952" s="38"/>
      <c r="H6952" s="38"/>
      <c r="I6952" s="38"/>
      <c r="J6952" s="38"/>
      <c r="K6952" s="38"/>
      <c r="L6952" s="41"/>
      <c r="M6952" s="38"/>
      <c r="N6952" s="41"/>
      <c r="O6952" s="38"/>
      <c r="P6952" s="38"/>
      <c r="Q6952" s="39"/>
      <c r="R6952" s="39"/>
      <c r="S6952" s="39"/>
      <c r="T6952" s="39"/>
      <c r="U6952" s="39"/>
    </row>
    <row r="6953">
      <c r="A6953" s="40" t="str">
        <f t="shared" si="1"/>
        <v/>
      </c>
      <c r="B6953" s="37" t="str">
        <f t="array" ref="B6953">iferror(xlookup($I6953, 'IMPORT VHC Report'!$E:$E, 'IMPORT VHC Report'!$A:$C), )</f>
        <v/>
      </c>
      <c r="C6953" s="44"/>
      <c r="D6953" s="44"/>
      <c r="E6953" s="38"/>
      <c r="F6953" s="38"/>
      <c r="G6953" s="38"/>
      <c r="H6953" s="38"/>
      <c r="I6953" s="38"/>
      <c r="J6953" s="38"/>
      <c r="K6953" s="38"/>
      <c r="L6953" s="41"/>
      <c r="M6953" s="38"/>
      <c r="N6953" s="41"/>
      <c r="O6953" s="38"/>
      <c r="P6953" s="38"/>
      <c r="Q6953" s="39"/>
      <c r="R6953" s="39"/>
      <c r="S6953" s="39"/>
      <c r="T6953" s="39"/>
      <c r="U6953" s="39"/>
    </row>
    <row r="6954">
      <c r="A6954" s="40" t="str">
        <f t="shared" si="1"/>
        <v/>
      </c>
      <c r="B6954" s="37" t="str">
        <f t="array" ref="B6954">iferror(xlookup($I6954, 'IMPORT VHC Report'!$E:$E, 'IMPORT VHC Report'!$A:$C), )</f>
        <v/>
      </c>
      <c r="C6954" s="44"/>
      <c r="D6954" s="44"/>
      <c r="E6954" s="38"/>
      <c r="F6954" s="38"/>
      <c r="G6954" s="38"/>
      <c r="H6954" s="38"/>
      <c r="I6954" s="38"/>
      <c r="J6954" s="38"/>
      <c r="K6954" s="38"/>
      <c r="L6954" s="41"/>
      <c r="M6954" s="38"/>
      <c r="N6954" s="41"/>
      <c r="O6954" s="38"/>
      <c r="P6954" s="38"/>
      <c r="Q6954" s="39"/>
      <c r="R6954" s="39"/>
      <c r="S6954" s="39"/>
      <c r="T6954" s="39"/>
      <c r="U6954" s="39"/>
    </row>
    <row r="6955">
      <c r="A6955" s="40" t="str">
        <f t="shared" si="1"/>
        <v/>
      </c>
      <c r="B6955" s="37" t="str">
        <f t="array" ref="B6955">iferror(xlookup($I6955, 'IMPORT VHC Report'!$E:$E, 'IMPORT VHC Report'!$A:$C), )</f>
        <v/>
      </c>
      <c r="C6955" s="44"/>
      <c r="D6955" s="44"/>
      <c r="E6955" s="38"/>
      <c r="F6955" s="38"/>
      <c r="G6955" s="38"/>
      <c r="H6955" s="38"/>
      <c r="I6955" s="38"/>
      <c r="J6955" s="38"/>
      <c r="K6955" s="38"/>
      <c r="L6955" s="41"/>
      <c r="M6955" s="38"/>
      <c r="N6955" s="41"/>
      <c r="O6955" s="38"/>
      <c r="P6955" s="38"/>
      <c r="Q6955" s="39"/>
      <c r="R6955" s="39"/>
      <c r="S6955" s="39"/>
      <c r="T6955" s="39"/>
      <c r="U6955" s="39"/>
    </row>
    <row r="6956">
      <c r="A6956" s="40" t="str">
        <f t="shared" si="1"/>
        <v/>
      </c>
      <c r="B6956" s="37" t="str">
        <f t="array" ref="B6956">iferror(xlookup($I6956, 'IMPORT VHC Report'!$E:$E, 'IMPORT VHC Report'!$A:$C), )</f>
        <v/>
      </c>
      <c r="C6956" s="44"/>
      <c r="D6956" s="44"/>
      <c r="E6956" s="38"/>
      <c r="F6956" s="38"/>
      <c r="G6956" s="38"/>
      <c r="H6956" s="38"/>
      <c r="I6956" s="38"/>
      <c r="J6956" s="38"/>
      <c r="K6956" s="38"/>
      <c r="L6956" s="41"/>
      <c r="M6956" s="38"/>
      <c r="N6956" s="41"/>
      <c r="O6956" s="38"/>
      <c r="P6956" s="38"/>
      <c r="Q6956" s="39"/>
      <c r="R6956" s="39"/>
      <c r="S6956" s="39"/>
      <c r="T6956" s="39"/>
      <c r="U6956" s="39"/>
    </row>
    <row r="6957">
      <c r="A6957" s="40">
        <f t="shared" si="1"/>
        <v>46006</v>
      </c>
      <c r="B6957" s="37" t="str">
        <f t="array" ref="B6957">iferror(xlookup($I6957, 'IMPORT VHC Report'!$E:$E, 'IMPORT VHC Report'!$A:$C), )</f>
        <v/>
      </c>
      <c r="C6957" s="44"/>
      <c r="D6957" s="44"/>
      <c r="E6957" s="38" t="s">
        <v>382</v>
      </c>
      <c r="F6957" s="38" t="s">
        <v>358</v>
      </c>
      <c r="G6957" s="38">
        <v>3.61725374416E11</v>
      </c>
      <c r="H6957" s="38" t="s">
        <v>359</v>
      </c>
      <c r="I6957" s="38" t="s">
        <v>360</v>
      </c>
      <c r="J6957" s="38" t="s">
        <v>178</v>
      </c>
      <c r="K6957" s="38" t="s">
        <v>153</v>
      </c>
      <c r="L6957" s="41">
        <v>46012.833333333336</v>
      </c>
      <c r="M6957" s="38" t="s">
        <v>123</v>
      </c>
      <c r="N6957" s="41">
        <v>46013.208333333336</v>
      </c>
      <c r="O6957" s="38" t="s">
        <v>123</v>
      </c>
      <c r="P6957" s="38">
        <v>32400.0</v>
      </c>
      <c r="Q6957" s="38">
        <v>32400.0</v>
      </c>
      <c r="R6957" s="38" t="s">
        <v>361</v>
      </c>
      <c r="S6957" s="38" t="s">
        <v>361</v>
      </c>
      <c r="T6957" s="39"/>
      <c r="U6957" s="39"/>
    </row>
    <row r="6958">
      <c r="A6958" s="40">
        <f t="shared" si="1"/>
        <v>46006</v>
      </c>
      <c r="B6958" s="37" t="str">
        <f t="array" ref="B6958">iferror(xlookup($I6958, 'IMPORT VHC Report'!$E:$E, 'IMPORT VHC Report'!$A:$C), )</f>
        <v/>
      </c>
      <c r="C6958" s="44"/>
      <c r="D6958" s="44"/>
      <c r="E6958" s="38" t="s">
        <v>383</v>
      </c>
      <c r="F6958" s="38" t="s">
        <v>358</v>
      </c>
      <c r="G6958" s="38">
        <v>3.61725374416E11</v>
      </c>
      <c r="H6958" s="38" t="s">
        <v>359</v>
      </c>
      <c r="I6958" s="38" t="s">
        <v>360</v>
      </c>
      <c r="J6958" s="38" t="s">
        <v>368</v>
      </c>
      <c r="K6958" s="38" t="s">
        <v>63</v>
      </c>
      <c r="L6958" s="41">
        <v>46012.833333333336</v>
      </c>
      <c r="M6958" s="38" t="s">
        <v>123</v>
      </c>
      <c r="N6958" s="41">
        <v>46013.208333333336</v>
      </c>
      <c r="O6958" s="38" t="s">
        <v>123</v>
      </c>
      <c r="P6958" s="38">
        <v>32400.0</v>
      </c>
      <c r="Q6958" s="39"/>
      <c r="R6958" s="39"/>
      <c r="S6958" s="39"/>
      <c r="T6958" s="39"/>
      <c r="U6958" s="39"/>
    </row>
    <row r="6959">
      <c r="A6959" s="40" t="str">
        <f t="shared" si="1"/>
        <v/>
      </c>
      <c r="B6959" s="37" t="str">
        <f t="array" ref="B6959">iferror(xlookup($I6959, 'IMPORT VHC Report'!$E:$E, 'IMPORT VHC Report'!$A:$C), )</f>
        <v/>
      </c>
      <c r="C6959" s="44"/>
      <c r="D6959" s="44"/>
      <c r="E6959" s="38"/>
      <c r="F6959" s="38"/>
      <c r="G6959" s="38"/>
      <c r="H6959" s="38"/>
      <c r="I6959" s="38"/>
      <c r="J6959" s="38"/>
      <c r="K6959" s="38"/>
      <c r="L6959" s="41"/>
      <c r="M6959" s="38"/>
      <c r="N6959" s="41"/>
      <c r="O6959" s="38"/>
      <c r="P6959" s="38"/>
      <c r="Q6959" s="39"/>
      <c r="R6959" s="39"/>
      <c r="S6959" s="39"/>
      <c r="T6959" s="39"/>
      <c r="U6959" s="39"/>
    </row>
    <row r="6960">
      <c r="A6960" s="40" t="str">
        <f t="shared" si="1"/>
        <v/>
      </c>
      <c r="B6960" s="37" t="str">
        <f t="array" ref="B6960">iferror(xlookup($I6960, 'IMPORT VHC Report'!$E:$E, 'IMPORT VHC Report'!$A:$C), )</f>
        <v/>
      </c>
      <c r="C6960" s="44"/>
      <c r="D6960" s="44"/>
      <c r="E6960" s="38"/>
      <c r="F6960" s="38"/>
      <c r="G6960" s="38"/>
      <c r="H6960" s="38"/>
      <c r="I6960" s="38"/>
      <c r="J6960" s="38"/>
      <c r="K6960" s="38"/>
      <c r="L6960" s="41"/>
      <c r="M6960" s="38"/>
      <c r="N6960" s="41"/>
      <c r="O6960" s="38"/>
      <c r="P6960" s="38"/>
      <c r="Q6960" s="38"/>
      <c r="R6960" s="38"/>
      <c r="S6960" s="38"/>
      <c r="T6960" s="39"/>
      <c r="U6960" s="39"/>
    </row>
    <row r="6961">
      <c r="A6961" s="40" t="str">
        <f t="shared" si="1"/>
        <v/>
      </c>
      <c r="B6961" s="37" t="str">
        <f t="array" ref="B6961">iferror(xlookup($I6961, 'IMPORT VHC Report'!$E:$E, 'IMPORT VHC Report'!$A:$C), )</f>
        <v/>
      </c>
      <c r="C6961" s="44"/>
      <c r="D6961" s="44"/>
      <c r="E6961" s="38"/>
      <c r="F6961" s="38"/>
      <c r="G6961" s="38"/>
      <c r="H6961" s="38"/>
      <c r="I6961" s="38"/>
      <c r="J6961" s="38"/>
      <c r="K6961" s="38"/>
      <c r="L6961" s="41"/>
      <c r="M6961" s="38"/>
      <c r="N6961" s="41"/>
      <c r="O6961" s="38"/>
      <c r="P6961" s="38"/>
      <c r="Q6961" s="39"/>
      <c r="R6961" s="39"/>
      <c r="S6961" s="39"/>
      <c r="T6961" s="39"/>
      <c r="U6961" s="39"/>
    </row>
    <row r="6962">
      <c r="A6962" s="40" t="str">
        <f t="shared" si="1"/>
        <v/>
      </c>
      <c r="B6962" s="37" t="str">
        <f t="array" ref="B6962">iferror(xlookup($I6962, 'IMPORT VHC Report'!$E:$E, 'IMPORT VHC Report'!$A:$C), )</f>
        <v/>
      </c>
      <c r="C6962" s="44"/>
      <c r="D6962" s="44"/>
      <c r="E6962" s="38"/>
      <c r="F6962" s="38"/>
      <c r="G6962" s="38"/>
      <c r="H6962" s="38"/>
      <c r="I6962" s="38"/>
      <c r="J6962" s="38"/>
      <c r="K6962" s="38"/>
      <c r="L6962" s="41"/>
      <c r="M6962" s="38"/>
      <c r="N6962" s="41"/>
      <c r="O6962" s="38"/>
      <c r="P6962" s="38"/>
      <c r="Q6962" s="39"/>
      <c r="R6962" s="39"/>
      <c r="S6962" s="39"/>
      <c r="T6962" s="39"/>
      <c r="U6962" s="39"/>
    </row>
    <row r="6963">
      <c r="A6963" s="40" t="str">
        <f t="shared" si="1"/>
        <v/>
      </c>
      <c r="B6963" s="37" t="str">
        <f t="array" ref="B6963">iferror(xlookup($I6963, 'IMPORT VHC Report'!$E:$E, 'IMPORT VHC Report'!$A:$C), )</f>
        <v/>
      </c>
      <c r="C6963" s="44"/>
      <c r="D6963" s="44"/>
      <c r="E6963" s="38"/>
      <c r="F6963" s="38"/>
      <c r="G6963" s="38"/>
      <c r="H6963" s="38"/>
      <c r="I6963" s="38"/>
      <c r="J6963" s="38"/>
      <c r="K6963" s="38"/>
      <c r="L6963" s="41"/>
      <c r="M6963" s="38"/>
      <c r="N6963" s="41"/>
      <c r="O6963" s="38"/>
      <c r="P6963" s="38"/>
      <c r="Q6963" s="38"/>
      <c r="R6963" s="38"/>
      <c r="S6963" s="38"/>
      <c r="T6963" s="39"/>
      <c r="U6963" s="39"/>
    </row>
    <row r="6964">
      <c r="A6964" s="40" t="str">
        <f t="shared" si="1"/>
        <v/>
      </c>
      <c r="B6964" s="37" t="str">
        <f t="array" ref="B6964">iferror(xlookup($I6964, 'IMPORT VHC Report'!$E:$E, 'IMPORT VHC Report'!$A:$C), )</f>
        <v/>
      </c>
      <c r="C6964" s="44"/>
      <c r="D6964" s="44"/>
      <c r="E6964" s="38"/>
      <c r="F6964" s="38"/>
      <c r="G6964" s="38"/>
      <c r="H6964" s="38"/>
      <c r="I6964" s="38"/>
      <c r="J6964" s="38"/>
      <c r="K6964" s="38"/>
      <c r="L6964" s="41"/>
      <c r="M6964" s="38"/>
      <c r="N6964" s="41"/>
      <c r="O6964" s="38"/>
      <c r="P6964" s="38"/>
      <c r="Q6964" s="39"/>
      <c r="R6964" s="39"/>
      <c r="S6964" s="39"/>
      <c r="T6964" s="39"/>
      <c r="U6964" s="39"/>
    </row>
    <row r="6965">
      <c r="A6965" s="40" t="str">
        <f t="shared" si="1"/>
        <v/>
      </c>
      <c r="B6965" s="37" t="str">
        <f t="array" ref="B6965">iferror(xlookup($I6965, 'IMPORT VHC Report'!$E:$E, 'IMPORT VHC Report'!$A:$C), )</f>
        <v/>
      </c>
      <c r="C6965" s="44"/>
      <c r="D6965" s="44"/>
      <c r="E6965" s="38"/>
      <c r="F6965" s="38"/>
      <c r="G6965" s="38"/>
      <c r="H6965" s="38"/>
      <c r="I6965" s="38"/>
      <c r="J6965" s="38"/>
      <c r="K6965" s="38"/>
      <c r="L6965" s="41"/>
      <c r="M6965" s="38"/>
      <c r="N6965" s="41"/>
      <c r="O6965" s="38"/>
      <c r="P6965" s="38"/>
      <c r="Q6965" s="39"/>
      <c r="R6965" s="39"/>
      <c r="S6965" s="39"/>
      <c r="T6965" s="39"/>
      <c r="U6965" s="39"/>
    </row>
    <row r="6966">
      <c r="A6966" s="40" t="str">
        <f t="shared" si="1"/>
        <v/>
      </c>
      <c r="B6966" s="37" t="str">
        <f t="array" ref="B6966">iferror(xlookup($I6966, 'IMPORT VHC Report'!$E:$E, 'IMPORT VHC Report'!$A:$C), )</f>
        <v/>
      </c>
      <c r="C6966" s="44"/>
      <c r="D6966" s="44"/>
      <c r="E6966" s="38"/>
      <c r="F6966" s="38"/>
      <c r="G6966" s="38"/>
      <c r="H6966" s="38"/>
      <c r="I6966" s="38"/>
      <c r="J6966" s="38"/>
      <c r="K6966" s="38"/>
      <c r="L6966" s="41"/>
      <c r="M6966" s="38"/>
      <c r="N6966" s="41"/>
      <c r="O6966" s="38"/>
      <c r="P6966" s="38"/>
      <c r="Q6966" s="38"/>
      <c r="R6966" s="38"/>
      <c r="S6966" s="38"/>
      <c r="T6966" s="39"/>
      <c r="U6966" s="39"/>
    </row>
    <row r="6967">
      <c r="A6967" s="40" t="str">
        <f t="shared" si="1"/>
        <v/>
      </c>
      <c r="B6967" s="37" t="str">
        <f t="array" ref="B6967">iferror(xlookup($I6967, 'IMPORT VHC Report'!$E:$E, 'IMPORT VHC Report'!$A:$C), )</f>
        <v/>
      </c>
      <c r="C6967" s="44"/>
      <c r="D6967" s="44"/>
      <c r="E6967" s="38"/>
      <c r="F6967" s="38"/>
      <c r="G6967" s="38"/>
      <c r="H6967" s="38"/>
      <c r="I6967" s="38"/>
      <c r="J6967" s="38"/>
      <c r="K6967" s="38"/>
      <c r="L6967" s="41"/>
      <c r="M6967" s="38"/>
      <c r="N6967" s="41"/>
      <c r="O6967" s="38"/>
      <c r="P6967" s="38"/>
      <c r="Q6967" s="39"/>
      <c r="R6967" s="39"/>
      <c r="S6967" s="39"/>
      <c r="T6967" s="39"/>
      <c r="U6967" s="39"/>
    </row>
    <row r="6968">
      <c r="A6968" s="40" t="str">
        <f t="shared" si="1"/>
        <v/>
      </c>
      <c r="B6968" s="37" t="str">
        <f t="array" ref="B6968">iferror(xlookup($I6968, 'IMPORT VHC Report'!$E:$E, 'IMPORT VHC Report'!$A:$C), )</f>
        <v/>
      </c>
      <c r="C6968" s="44"/>
      <c r="D6968" s="44"/>
      <c r="E6968" s="38"/>
      <c r="F6968" s="38"/>
      <c r="G6968" s="38"/>
      <c r="H6968" s="38"/>
      <c r="I6968" s="38"/>
      <c r="J6968" s="38"/>
      <c r="K6968" s="38"/>
      <c r="L6968" s="41"/>
      <c r="M6968" s="38"/>
      <c r="N6968" s="41"/>
      <c r="O6968" s="38"/>
      <c r="P6968" s="38"/>
      <c r="Q6968" s="39"/>
      <c r="R6968" s="39"/>
      <c r="S6968" s="39"/>
      <c r="T6968" s="39"/>
      <c r="U6968" s="39"/>
    </row>
    <row r="6969">
      <c r="A6969" s="40" t="str">
        <f t="shared" si="1"/>
        <v/>
      </c>
      <c r="B6969" s="37" t="str">
        <f t="array" ref="B6969">iferror(xlookup($I6969, 'IMPORT VHC Report'!$E:$E, 'IMPORT VHC Report'!$A:$C), )</f>
        <v/>
      </c>
      <c r="C6969" s="44"/>
      <c r="D6969" s="44"/>
      <c r="E6969" s="38"/>
      <c r="F6969" s="38"/>
      <c r="G6969" s="38"/>
      <c r="H6969" s="38"/>
      <c r="I6969" s="38"/>
      <c r="J6969" s="38"/>
      <c r="K6969" s="38"/>
      <c r="L6969" s="41"/>
      <c r="M6969" s="38"/>
      <c r="N6969" s="41"/>
      <c r="O6969" s="38"/>
      <c r="P6969" s="38"/>
      <c r="Q6969" s="38"/>
      <c r="R6969" s="38"/>
      <c r="S6969" s="38"/>
      <c r="T6969" s="39"/>
      <c r="U6969" s="39"/>
    </row>
    <row r="6970">
      <c r="A6970" s="40" t="str">
        <f t="shared" si="1"/>
        <v/>
      </c>
      <c r="B6970" s="37" t="str">
        <f t="array" ref="B6970">iferror(xlookup($I6970, 'IMPORT VHC Report'!$E:$E, 'IMPORT VHC Report'!$A:$C), )</f>
        <v/>
      </c>
      <c r="C6970" s="44"/>
      <c r="D6970" s="44"/>
      <c r="E6970" s="38"/>
      <c r="F6970" s="38"/>
      <c r="G6970" s="38"/>
      <c r="H6970" s="38"/>
      <c r="I6970" s="38"/>
      <c r="J6970" s="38"/>
      <c r="K6970" s="38"/>
      <c r="L6970" s="41"/>
      <c r="M6970" s="38"/>
      <c r="N6970" s="41"/>
      <c r="O6970" s="38"/>
      <c r="P6970" s="38"/>
      <c r="Q6970" s="39"/>
      <c r="R6970" s="39"/>
      <c r="S6970" s="39"/>
      <c r="T6970" s="39"/>
      <c r="U6970" s="39"/>
    </row>
    <row r="6971">
      <c r="A6971" s="40" t="str">
        <f t="shared" si="1"/>
        <v/>
      </c>
      <c r="B6971" s="37" t="str">
        <f t="array" ref="B6971">iferror(xlookup($I6971, 'IMPORT VHC Report'!$E:$E, 'IMPORT VHC Report'!$A:$C), )</f>
        <v/>
      </c>
      <c r="C6971" s="44"/>
      <c r="D6971" s="44"/>
      <c r="E6971" s="38"/>
      <c r="F6971" s="38"/>
      <c r="G6971" s="38"/>
      <c r="H6971" s="38"/>
      <c r="I6971" s="38"/>
      <c r="J6971" s="38"/>
      <c r="K6971" s="38"/>
      <c r="L6971" s="41"/>
      <c r="M6971" s="38"/>
      <c r="N6971" s="41"/>
      <c r="O6971" s="38"/>
      <c r="P6971" s="38"/>
      <c r="Q6971" s="39"/>
      <c r="R6971" s="39"/>
      <c r="S6971" s="39"/>
      <c r="T6971" s="39"/>
      <c r="U6971" s="39"/>
    </row>
    <row r="6972">
      <c r="A6972" s="40" t="str">
        <f t="shared" si="1"/>
        <v/>
      </c>
      <c r="B6972" s="37" t="str">
        <f t="array" ref="B6972">iferror(xlookup($I6972, 'IMPORT VHC Report'!$E:$E, 'IMPORT VHC Report'!$A:$C), )</f>
        <v/>
      </c>
      <c r="C6972" s="44"/>
      <c r="D6972" s="44"/>
      <c r="E6972" s="38"/>
      <c r="F6972" s="38"/>
      <c r="G6972" s="38"/>
      <c r="H6972" s="38"/>
      <c r="I6972" s="38"/>
      <c r="J6972" s="38"/>
      <c r="K6972" s="38"/>
      <c r="L6972" s="41"/>
      <c r="M6972" s="38"/>
      <c r="N6972" s="41"/>
      <c r="O6972" s="38"/>
      <c r="P6972" s="38"/>
      <c r="Q6972" s="38"/>
      <c r="R6972" s="38"/>
      <c r="S6972" s="38"/>
      <c r="T6972" s="39"/>
      <c r="U6972" s="39"/>
    </row>
    <row r="6973">
      <c r="A6973" s="40">
        <f t="shared" si="1"/>
        <v>46006</v>
      </c>
      <c r="B6973" s="37" t="str">
        <f t="array" ref="B6973">iferror(xlookup($I6973, 'IMPORT VHC Report'!$E:$E, 'IMPORT VHC Report'!$A:$C), )</f>
        <v/>
      </c>
      <c r="C6973" s="44"/>
      <c r="D6973" s="44"/>
      <c r="E6973" s="38" t="s">
        <v>468</v>
      </c>
      <c r="F6973" s="38" t="s">
        <v>448</v>
      </c>
      <c r="G6973" s="38">
        <v>3.61733077235E11</v>
      </c>
      <c r="H6973" s="38" t="s">
        <v>449</v>
      </c>
      <c r="I6973" s="38" t="s">
        <v>450</v>
      </c>
      <c r="J6973" s="38" t="s">
        <v>368</v>
      </c>
      <c r="K6973" s="38" t="s">
        <v>63</v>
      </c>
      <c r="L6973" s="41">
        <v>46012.875</v>
      </c>
      <c r="M6973" s="38" t="s">
        <v>123</v>
      </c>
      <c r="N6973" s="41">
        <v>46013.25</v>
      </c>
      <c r="O6973" s="38" t="s">
        <v>123</v>
      </c>
      <c r="P6973" s="38">
        <v>32400.0</v>
      </c>
      <c r="Q6973" s="39"/>
      <c r="R6973" s="39"/>
      <c r="S6973" s="39"/>
      <c r="T6973" s="39"/>
      <c r="U6973" s="39"/>
    </row>
    <row r="6974">
      <c r="A6974" s="40" t="str">
        <f t="shared" si="1"/>
        <v/>
      </c>
      <c r="B6974" s="37" t="str">
        <f t="array" ref="B6974">iferror(xlookup($I6974, 'IMPORT VHC Report'!$E:$E, 'IMPORT VHC Report'!$A:$C), )</f>
        <v/>
      </c>
      <c r="C6974" s="44"/>
      <c r="D6974" s="44"/>
      <c r="E6974" s="38"/>
      <c r="F6974" s="38"/>
      <c r="G6974" s="38"/>
      <c r="H6974" s="38"/>
      <c r="I6974" s="38"/>
      <c r="J6974" s="38"/>
      <c r="K6974" s="38"/>
      <c r="L6974" s="41"/>
      <c r="M6974" s="38"/>
      <c r="N6974" s="41"/>
      <c r="O6974" s="38"/>
      <c r="P6974" s="38"/>
      <c r="Q6974" s="39"/>
      <c r="R6974" s="39"/>
      <c r="S6974" s="39"/>
      <c r="T6974" s="39"/>
      <c r="U6974" s="39"/>
    </row>
    <row r="6975">
      <c r="A6975" s="40" t="str">
        <f t="shared" si="1"/>
        <v/>
      </c>
      <c r="B6975" s="37" t="str">
        <f t="array" ref="B6975">iferror(xlookup($I6975, 'IMPORT VHC Report'!$E:$E, 'IMPORT VHC Report'!$A:$C), )</f>
        <v/>
      </c>
      <c r="C6975" s="44"/>
      <c r="D6975" s="44"/>
      <c r="E6975" s="38"/>
      <c r="F6975" s="38"/>
      <c r="G6975" s="38"/>
      <c r="H6975" s="38"/>
      <c r="I6975" s="38"/>
      <c r="J6975" s="38"/>
      <c r="K6975" s="38"/>
      <c r="L6975" s="41"/>
      <c r="M6975" s="38"/>
      <c r="N6975" s="41"/>
      <c r="O6975" s="38"/>
      <c r="P6975" s="38"/>
      <c r="Q6975" s="39"/>
      <c r="R6975" s="39"/>
      <c r="S6975" s="39"/>
      <c r="T6975" s="39"/>
      <c r="U6975" s="39"/>
    </row>
    <row r="6976">
      <c r="A6976" s="40" t="str">
        <f t="shared" si="1"/>
        <v/>
      </c>
      <c r="B6976" s="37" t="str">
        <f t="array" ref="B6976">iferror(xlookup($I6976, 'IMPORT VHC Report'!$E:$E, 'IMPORT VHC Report'!$A:$C), )</f>
        <v/>
      </c>
      <c r="C6976" s="44"/>
      <c r="D6976" s="44"/>
      <c r="E6976" s="38"/>
      <c r="F6976" s="38"/>
      <c r="G6976" s="38"/>
      <c r="H6976" s="38"/>
      <c r="I6976" s="38"/>
      <c r="J6976" s="38"/>
      <c r="K6976" s="38"/>
      <c r="L6976" s="41"/>
      <c r="M6976" s="38"/>
      <c r="N6976" s="41"/>
      <c r="O6976" s="38"/>
      <c r="P6976" s="38"/>
      <c r="Q6976" s="39"/>
      <c r="R6976" s="39"/>
      <c r="S6976" s="39"/>
      <c r="T6976" s="39"/>
      <c r="U6976" s="39"/>
    </row>
    <row r="6977">
      <c r="A6977" s="40" t="str">
        <f t="shared" si="1"/>
        <v/>
      </c>
      <c r="B6977" s="37" t="str">
        <f t="array" ref="B6977">iferror(xlookup($I6977, 'IMPORT VHC Report'!$E:$E, 'IMPORT VHC Report'!$A:$C), )</f>
        <v/>
      </c>
      <c r="C6977" s="44"/>
      <c r="D6977" s="44"/>
      <c r="E6977" s="38"/>
      <c r="F6977" s="38"/>
      <c r="G6977" s="38"/>
      <c r="H6977" s="38"/>
      <c r="I6977" s="38"/>
      <c r="J6977" s="38"/>
      <c r="K6977" s="38"/>
      <c r="L6977" s="41"/>
      <c r="M6977" s="38"/>
      <c r="N6977" s="41"/>
      <c r="O6977" s="38"/>
      <c r="P6977" s="38"/>
      <c r="Q6977" s="39"/>
      <c r="R6977" s="39"/>
      <c r="S6977" s="39"/>
      <c r="T6977" s="39"/>
      <c r="U6977" s="39"/>
    </row>
    <row r="6978">
      <c r="A6978" s="40" t="str">
        <f t="shared" si="1"/>
        <v/>
      </c>
      <c r="B6978" s="37" t="str">
        <f t="array" ref="B6978">iferror(xlookup($I6978, 'IMPORT VHC Report'!$E:$E, 'IMPORT VHC Report'!$A:$C), )</f>
        <v/>
      </c>
      <c r="C6978" s="44"/>
      <c r="D6978" s="44"/>
      <c r="E6978" s="38"/>
      <c r="F6978" s="38"/>
      <c r="G6978" s="38"/>
      <c r="H6978" s="38"/>
      <c r="I6978" s="38"/>
      <c r="J6978" s="38"/>
      <c r="K6978" s="38"/>
      <c r="L6978" s="41"/>
      <c r="M6978" s="38"/>
      <c r="N6978" s="41"/>
      <c r="O6978" s="38"/>
      <c r="P6978" s="38"/>
      <c r="Q6978" s="39"/>
      <c r="R6978" s="39"/>
      <c r="S6978" s="39"/>
      <c r="T6978" s="39"/>
      <c r="U6978" s="39"/>
    </row>
    <row r="6979">
      <c r="A6979" s="40" t="str">
        <f t="shared" si="1"/>
        <v/>
      </c>
      <c r="B6979" s="37" t="str">
        <f t="array" ref="B6979">iferror(xlookup($I6979, 'IMPORT VHC Report'!$E:$E, 'IMPORT VHC Report'!$A:$C), )</f>
        <v/>
      </c>
      <c r="C6979" s="44"/>
      <c r="D6979" s="44"/>
      <c r="E6979" s="38"/>
      <c r="F6979" s="38"/>
      <c r="G6979" s="38"/>
      <c r="H6979" s="38"/>
      <c r="I6979" s="38"/>
      <c r="J6979" s="38"/>
      <c r="K6979" s="38"/>
      <c r="L6979" s="41"/>
      <c r="M6979" s="38"/>
      <c r="N6979" s="41"/>
      <c r="O6979" s="38"/>
      <c r="P6979" s="38"/>
      <c r="Q6979" s="39"/>
      <c r="R6979" s="39"/>
      <c r="S6979" s="39"/>
      <c r="T6979" s="39"/>
      <c r="U6979" s="39"/>
    </row>
    <row r="6980">
      <c r="A6980" s="40" t="str">
        <f t="shared" si="1"/>
        <v/>
      </c>
      <c r="B6980" s="37" t="str">
        <f t="array" ref="B6980">iferror(xlookup($I6980, 'IMPORT VHC Report'!$E:$E, 'IMPORT VHC Report'!$A:$C), )</f>
        <v/>
      </c>
      <c r="C6980" s="44"/>
      <c r="D6980" s="44"/>
      <c r="E6980" s="38"/>
      <c r="F6980" s="38"/>
      <c r="G6980" s="38"/>
      <c r="H6980" s="38"/>
      <c r="I6980" s="38"/>
      <c r="J6980" s="38"/>
      <c r="K6980" s="38"/>
      <c r="L6980" s="41"/>
      <c r="M6980" s="38"/>
      <c r="N6980" s="41"/>
      <c r="O6980" s="38"/>
      <c r="P6980" s="38"/>
      <c r="Q6980" s="39"/>
      <c r="R6980" s="39"/>
      <c r="S6980" s="39"/>
      <c r="T6980" s="39"/>
      <c r="U6980" s="39"/>
    </row>
    <row r="6981">
      <c r="A6981" s="40" t="str">
        <f t="shared" si="1"/>
        <v/>
      </c>
      <c r="B6981" s="37" t="str">
        <f t="array" ref="B6981">iferror(xlookup($I6981, 'IMPORT VHC Report'!$E:$E, 'IMPORT VHC Report'!$A:$C), )</f>
        <v/>
      </c>
      <c r="C6981" s="44"/>
      <c r="D6981" s="44"/>
      <c r="E6981" s="38"/>
      <c r="F6981" s="38"/>
      <c r="G6981" s="38"/>
      <c r="H6981" s="38"/>
      <c r="I6981" s="38"/>
      <c r="J6981" s="38"/>
      <c r="K6981" s="38"/>
      <c r="L6981" s="41"/>
      <c r="M6981" s="38"/>
      <c r="N6981" s="41"/>
      <c r="O6981" s="38"/>
      <c r="P6981" s="38"/>
      <c r="Q6981" s="39"/>
      <c r="R6981" s="39"/>
      <c r="S6981" s="39"/>
      <c r="T6981" s="39"/>
      <c r="U6981" s="39"/>
    </row>
    <row r="6982">
      <c r="A6982" s="40" t="str">
        <f t="shared" si="1"/>
        <v/>
      </c>
      <c r="B6982" s="37" t="str">
        <f t="array" ref="B6982">iferror(xlookup($I6982, 'IMPORT VHC Report'!$E:$E, 'IMPORT VHC Report'!$A:$C), )</f>
        <v/>
      </c>
      <c r="C6982" s="44"/>
      <c r="D6982" s="44"/>
      <c r="E6982" s="38"/>
      <c r="F6982" s="38"/>
      <c r="G6982" s="38"/>
      <c r="H6982" s="38"/>
      <c r="I6982" s="38"/>
      <c r="J6982" s="38"/>
      <c r="K6982" s="38"/>
      <c r="L6982" s="41"/>
      <c r="M6982" s="38"/>
      <c r="N6982" s="41"/>
      <c r="O6982" s="38"/>
      <c r="P6982" s="38"/>
      <c r="Q6982" s="39"/>
      <c r="R6982" s="39"/>
      <c r="S6982" s="39"/>
      <c r="T6982" s="39"/>
      <c r="U6982" s="39"/>
    </row>
    <row r="6983">
      <c r="A6983" s="40" t="str">
        <f t="shared" si="1"/>
        <v/>
      </c>
      <c r="B6983" s="37" t="str">
        <f t="array" ref="B6983">iferror(xlookup($I6983, 'IMPORT VHC Report'!$E:$E, 'IMPORT VHC Report'!$A:$C), )</f>
        <v/>
      </c>
      <c r="C6983" s="44"/>
      <c r="D6983" s="44"/>
      <c r="E6983" s="38"/>
      <c r="F6983" s="38"/>
      <c r="G6983" s="38"/>
      <c r="H6983" s="38"/>
      <c r="I6983" s="38"/>
      <c r="J6983" s="38"/>
      <c r="K6983" s="38"/>
      <c r="L6983" s="41"/>
      <c r="M6983" s="38"/>
      <c r="N6983" s="41"/>
      <c r="O6983" s="38"/>
      <c r="P6983" s="38"/>
      <c r="Q6983" s="39"/>
      <c r="R6983" s="39"/>
      <c r="S6983" s="39"/>
      <c r="T6983" s="39"/>
      <c r="U6983" s="39"/>
    </row>
    <row r="6984">
      <c r="A6984" s="40" t="str">
        <f t="shared" si="1"/>
        <v/>
      </c>
      <c r="B6984" s="37" t="str">
        <f t="array" ref="B6984">iferror(xlookup($I6984, 'IMPORT VHC Report'!$E:$E, 'IMPORT VHC Report'!$A:$C), )</f>
        <v/>
      </c>
      <c r="C6984" s="44"/>
      <c r="D6984" s="44"/>
      <c r="E6984" s="38"/>
      <c r="F6984" s="38"/>
      <c r="G6984" s="38"/>
      <c r="H6984" s="38"/>
      <c r="I6984" s="38"/>
      <c r="J6984" s="38"/>
      <c r="K6984" s="38"/>
      <c r="L6984" s="41"/>
      <c r="M6984" s="38"/>
      <c r="N6984" s="41"/>
      <c r="O6984" s="38"/>
      <c r="P6984" s="38"/>
      <c r="Q6984" s="39"/>
      <c r="R6984" s="39"/>
      <c r="S6984" s="39"/>
      <c r="T6984" s="39"/>
      <c r="U6984" s="39"/>
    </row>
    <row r="6985">
      <c r="A6985" s="40" t="str">
        <f t="shared" si="1"/>
        <v/>
      </c>
      <c r="B6985" s="37" t="str">
        <f t="array" ref="B6985">iferror(xlookup($I6985, 'IMPORT VHC Report'!$E:$E, 'IMPORT VHC Report'!$A:$C), )</f>
        <v/>
      </c>
      <c r="C6985" s="44"/>
      <c r="D6985" s="44"/>
      <c r="E6985" s="38"/>
      <c r="F6985" s="38"/>
      <c r="G6985" s="38"/>
      <c r="H6985" s="38"/>
      <c r="I6985" s="38"/>
      <c r="J6985" s="38"/>
      <c r="K6985" s="38"/>
      <c r="L6985" s="41"/>
      <c r="M6985" s="38"/>
      <c r="N6985" s="41"/>
      <c r="O6985" s="38"/>
      <c r="P6985" s="38"/>
      <c r="Q6985" s="39"/>
      <c r="R6985" s="39"/>
      <c r="S6985" s="39"/>
      <c r="T6985" s="39"/>
      <c r="U6985" s="39"/>
    </row>
    <row r="6986">
      <c r="A6986" s="40" t="str">
        <f t="shared" si="1"/>
        <v/>
      </c>
      <c r="B6986" s="37" t="str">
        <f t="array" ref="B6986">iferror(xlookup($I6986, 'IMPORT VHC Report'!$E:$E, 'IMPORT VHC Report'!$A:$C), )</f>
        <v/>
      </c>
      <c r="C6986" s="44"/>
      <c r="D6986" s="44"/>
      <c r="E6986" s="38"/>
      <c r="F6986" s="38"/>
      <c r="G6986" s="38"/>
      <c r="H6986" s="38"/>
      <c r="I6986" s="38"/>
      <c r="J6986" s="38"/>
      <c r="K6986" s="38"/>
      <c r="L6986" s="41"/>
      <c r="M6986" s="38"/>
      <c r="N6986" s="41"/>
      <c r="O6986" s="38"/>
      <c r="P6986" s="38"/>
      <c r="Q6986" s="39"/>
      <c r="R6986" s="39"/>
      <c r="S6986" s="39"/>
      <c r="T6986" s="39"/>
      <c r="U6986" s="39"/>
    </row>
    <row r="6987">
      <c r="A6987" s="40" t="str">
        <f t="shared" si="1"/>
        <v/>
      </c>
      <c r="B6987" s="37" t="str">
        <f t="array" ref="B6987">iferror(xlookup($I6987, 'IMPORT VHC Report'!$E:$E, 'IMPORT VHC Report'!$A:$C), )</f>
        <v/>
      </c>
      <c r="C6987" s="44"/>
      <c r="D6987" s="44"/>
      <c r="E6987" s="38"/>
      <c r="F6987" s="38"/>
      <c r="G6987" s="38"/>
      <c r="H6987" s="38"/>
      <c r="I6987" s="38"/>
      <c r="J6987" s="38"/>
      <c r="K6987" s="38"/>
      <c r="L6987" s="41"/>
      <c r="M6987" s="38"/>
      <c r="N6987" s="41"/>
      <c r="O6987" s="38"/>
      <c r="P6987" s="38"/>
      <c r="Q6987" s="39"/>
      <c r="R6987" s="39"/>
      <c r="S6987" s="39"/>
      <c r="T6987" s="39"/>
      <c r="U6987" s="39"/>
    </row>
    <row r="6988">
      <c r="A6988" s="40" t="str">
        <f t="shared" si="1"/>
        <v/>
      </c>
      <c r="B6988" s="37" t="str">
        <f t="array" ref="B6988">iferror(xlookup($I6988, 'IMPORT VHC Report'!$E:$E, 'IMPORT VHC Report'!$A:$C), )</f>
        <v/>
      </c>
      <c r="C6988" s="44"/>
      <c r="D6988" s="44"/>
      <c r="E6988" s="38"/>
      <c r="F6988" s="38"/>
      <c r="G6988" s="38"/>
      <c r="H6988" s="38"/>
      <c r="I6988" s="38"/>
      <c r="J6988" s="38"/>
      <c r="K6988" s="38"/>
      <c r="L6988" s="41"/>
      <c r="M6988" s="38"/>
      <c r="N6988" s="41"/>
      <c r="O6988" s="38"/>
      <c r="P6988" s="38"/>
      <c r="Q6988" s="39"/>
      <c r="R6988" s="39"/>
      <c r="S6988" s="39"/>
      <c r="T6988" s="39"/>
      <c r="U6988" s="39"/>
    </row>
    <row r="6989">
      <c r="A6989" s="40" t="str">
        <f t="shared" si="1"/>
        <v/>
      </c>
      <c r="B6989" s="37" t="str">
        <f t="array" ref="B6989">iferror(xlookup($I6989, 'IMPORT VHC Report'!$E:$E, 'IMPORT VHC Report'!$A:$C), )</f>
        <v/>
      </c>
      <c r="C6989" s="44"/>
      <c r="D6989" s="44"/>
      <c r="E6989" s="38"/>
      <c r="F6989" s="38"/>
      <c r="G6989" s="38"/>
      <c r="H6989" s="38"/>
      <c r="I6989" s="38"/>
      <c r="J6989" s="38"/>
      <c r="K6989" s="38"/>
      <c r="L6989" s="41"/>
      <c r="M6989" s="38"/>
      <c r="N6989" s="41"/>
      <c r="O6989" s="38"/>
      <c r="P6989" s="38"/>
      <c r="Q6989" s="39"/>
      <c r="R6989" s="39"/>
      <c r="S6989" s="39"/>
      <c r="T6989" s="39"/>
      <c r="U6989" s="39"/>
    </row>
    <row r="6990">
      <c r="A6990" s="40" t="str">
        <f t="shared" si="1"/>
        <v/>
      </c>
      <c r="B6990" s="37" t="str">
        <f t="array" ref="B6990">iferror(xlookup($I6990, 'IMPORT VHC Report'!$E:$E, 'IMPORT VHC Report'!$A:$C), )</f>
        <v/>
      </c>
      <c r="C6990" s="44"/>
      <c r="D6990" s="44"/>
      <c r="E6990" s="38"/>
      <c r="F6990" s="38"/>
      <c r="G6990" s="38"/>
      <c r="H6990" s="38"/>
      <c r="I6990" s="38"/>
      <c r="J6990" s="38"/>
      <c r="K6990" s="38"/>
      <c r="L6990" s="41"/>
      <c r="M6990" s="38"/>
      <c r="N6990" s="41"/>
      <c r="O6990" s="38"/>
      <c r="P6990" s="38"/>
      <c r="Q6990" s="39"/>
      <c r="R6990" s="39"/>
      <c r="S6990" s="39"/>
      <c r="T6990" s="39"/>
      <c r="U6990" s="39"/>
    </row>
    <row r="6991">
      <c r="A6991" s="40" t="str">
        <f t="shared" si="1"/>
        <v/>
      </c>
      <c r="B6991" s="37" t="str">
        <f t="array" ref="B6991">iferror(xlookup($I6991, 'IMPORT VHC Report'!$E:$E, 'IMPORT VHC Report'!$A:$C), )</f>
        <v/>
      </c>
      <c r="C6991" s="44"/>
      <c r="D6991" s="44"/>
      <c r="E6991" s="38"/>
      <c r="F6991" s="38"/>
      <c r="G6991" s="38"/>
      <c r="H6991" s="38"/>
      <c r="I6991" s="38"/>
      <c r="J6991" s="38"/>
      <c r="K6991" s="38"/>
      <c r="L6991" s="41"/>
      <c r="M6991" s="38"/>
      <c r="N6991" s="41"/>
      <c r="O6991" s="38"/>
      <c r="P6991" s="38"/>
      <c r="Q6991" s="39"/>
      <c r="R6991" s="39"/>
      <c r="S6991" s="39"/>
      <c r="T6991" s="39"/>
      <c r="U6991" s="39"/>
    </row>
    <row r="6992">
      <c r="A6992" s="40" t="str">
        <f t="shared" si="1"/>
        <v/>
      </c>
      <c r="B6992" s="37" t="str">
        <f t="array" ref="B6992">iferror(xlookup($I6992, 'IMPORT VHC Report'!$E:$E, 'IMPORT VHC Report'!$A:$C), )</f>
        <v/>
      </c>
      <c r="C6992" s="44"/>
      <c r="D6992" s="44"/>
      <c r="E6992" s="38"/>
      <c r="F6992" s="38"/>
      <c r="G6992" s="38"/>
      <c r="H6992" s="38"/>
      <c r="I6992" s="38"/>
      <c r="J6992" s="38"/>
      <c r="K6992" s="38"/>
      <c r="L6992" s="41"/>
      <c r="M6992" s="38"/>
      <c r="N6992" s="41"/>
      <c r="O6992" s="38"/>
      <c r="P6992" s="38"/>
      <c r="Q6992" s="39"/>
      <c r="R6992" s="39"/>
      <c r="S6992" s="39"/>
      <c r="T6992" s="39"/>
      <c r="U6992" s="39"/>
    </row>
    <row r="6993">
      <c r="A6993" s="40" t="str">
        <f t="shared" si="1"/>
        <v/>
      </c>
      <c r="B6993" s="37" t="str">
        <f t="array" ref="B6993">iferror(xlookup($I6993, 'IMPORT VHC Report'!$E:$E, 'IMPORT VHC Report'!$A:$C), )</f>
        <v/>
      </c>
      <c r="C6993" s="44"/>
      <c r="D6993" s="44"/>
      <c r="E6993" s="38"/>
      <c r="F6993" s="38"/>
      <c r="G6993" s="38"/>
      <c r="H6993" s="38"/>
      <c r="I6993" s="38"/>
      <c r="J6993" s="38"/>
      <c r="K6993" s="38"/>
      <c r="L6993" s="41"/>
      <c r="M6993" s="38"/>
      <c r="N6993" s="41"/>
      <c r="O6993" s="38"/>
      <c r="P6993" s="38"/>
      <c r="Q6993" s="39"/>
      <c r="R6993" s="39"/>
      <c r="S6993" s="39"/>
      <c r="T6993" s="39"/>
      <c r="U6993" s="39"/>
    </row>
    <row r="6994">
      <c r="A6994" s="40" t="str">
        <f t="shared" si="1"/>
        <v/>
      </c>
      <c r="B6994" s="37" t="str">
        <f t="array" ref="B6994">iferror(xlookup($I6994, 'IMPORT VHC Report'!$E:$E, 'IMPORT VHC Report'!$A:$C), )</f>
        <v/>
      </c>
      <c r="C6994" s="44"/>
      <c r="D6994" s="44"/>
      <c r="E6994" s="38"/>
      <c r="F6994" s="38"/>
      <c r="G6994" s="38"/>
      <c r="H6994" s="38"/>
      <c r="I6994" s="38"/>
      <c r="J6994" s="38"/>
      <c r="K6994" s="38"/>
      <c r="L6994" s="41"/>
      <c r="M6994" s="38"/>
      <c r="N6994" s="41"/>
      <c r="O6994" s="38"/>
      <c r="P6994" s="38"/>
      <c r="Q6994" s="39"/>
      <c r="R6994" s="39"/>
      <c r="S6994" s="39"/>
      <c r="T6994" s="39"/>
      <c r="U6994" s="39"/>
    </row>
    <row r="6995">
      <c r="A6995" s="40" t="str">
        <f t="shared" si="1"/>
        <v/>
      </c>
      <c r="B6995" s="37" t="str">
        <f t="array" ref="B6995">iferror(xlookup($I6995, 'IMPORT VHC Report'!$E:$E, 'IMPORT VHC Report'!$A:$C), )</f>
        <v/>
      </c>
      <c r="C6995" s="44"/>
      <c r="D6995" s="44"/>
      <c r="E6995" s="38"/>
      <c r="F6995" s="38"/>
      <c r="G6995" s="38"/>
      <c r="H6995" s="38"/>
      <c r="I6995" s="38"/>
      <c r="J6995" s="38"/>
      <c r="K6995" s="38"/>
      <c r="L6995" s="41"/>
      <c r="M6995" s="38"/>
      <c r="N6995" s="41"/>
      <c r="O6995" s="38"/>
      <c r="P6995" s="38"/>
      <c r="Q6995" s="39"/>
      <c r="R6995" s="39"/>
      <c r="S6995" s="39"/>
      <c r="T6995" s="39"/>
      <c r="U6995" s="39"/>
    </row>
    <row r="6996">
      <c r="A6996" s="40" t="str">
        <f t="shared" si="1"/>
        <v/>
      </c>
      <c r="B6996" s="37" t="str">
        <f t="array" ref="B6996">iferror(xlookup($I6996, 'IMPORT VHC Report'!$E:$E, 'IMPORT VHC Report'!$A:$C), )</f>
        <v/>
      </c>
      <c r="C6996" s="44"/>
      <c r="D6996" s="44"/>
      <c r="E6996" s="38"/>
      <c r="F6996" s="38"/>
      <c r="G6996" s="38"/>
      <c r="H6996" s="38"/>
      <c r="I6996" s="38"/>
      <c r="J6996" s="38"/>
      <c r="K6996" s="38"/>
      <c r="L6996" s="41"/>
      <c r="M6996" s="38"/>
      <c r="N6996" s="41"/>
      <c r="O6996" s="38"/>
      <c r="P6996" s="38"/>
      <c r="Q6996" s="39"/>
      <c r="R6996" s="39"/>
      <c r="S6996" s="39"/>
      <c r="T6996" s="39"/>
      <c r="U6996" s="39"/>
    </row>
    <row r="6997">
      <c r="A6997" s="40" t="str">
        <f t="shared" si="1"/>
        <v/>
      </c>
      <c r="B6997" s="37" t="str">
        <f t="array" ref="B6997">iferror(xlookup($I6997, 'IMPORT VHC Report'!$E:$E, 'IMPORT VHC Report'!$A:$C), )</f>
        <v/>
      </c>
      <c r="C6997" s="44"/>
      <c r="D6997" s="44"/>
      <c r="E6997" s="38"/>
      <c r="F6997" s="38"/>
      <c r="G6997" s="38"/>
      <c r="H6997" s="38"/>
      <c r="I6997" s="38"/>
      <c r="J6997" s="38"/>
      <c r="K6997" s="38"/>
      <c r="L6997" s="41"/>
      <c r="M6997" s="38"/>
      <c r="N6997" s="41"/>
      <c r="O6997" s="38"/>
      <c r="P6997" s="38"/>
      <c r="Q6997" s="39"/>
      <c r="R6997" s="39"/>
      <c r="S6997" s="39"/>
      <c r="T6997" s="39"/>
      <c r="U6997" s="39"/>
    </row>
    <row r="6998">
      <c r="A6998" s="40" t="str">
        <f t="shared" si="1"/>
        <v/>
      </c>
      <c r="B6998" s="37" t="str">
        <f t="array" ref="B6998">iferror(xlookup($I6998, 'IMPORT VHC Report'!$E:$E, 'IMPORT VHC Report'!$A:$C), )</f>
        <v/>
      </c>
      <c r="C6998" s="44"/>
      <c r="D6998" s="44"/>
      <c r="E6998" s="38"/>
      <c r="F6998" s="38"/>
      <c r="G6998" s="38"/>
      <c r="H6998" s="38"/>
      <c r="I6998" s="38"/>
      <c r="J6998" s="38"/>
      <c r="K6998" s="38"/>
      <c r="L6998" s="41"/>
      <c r="M6998" s="38"/>
      <c r="N6998" s="41"/>
      <c r="O6998" s="38"/>
      <c r="P6998" s="38"/>
      <c r="Q6998" s="39"/>
      <c r="R6998" s="39"/>
      <c r="S6998" s="39"/>
      <c r="T6998" s="39"/>
      <c r="U6998" s="39"/>
    </row>
    <row r="6999">
      <c r="A6999" s="40" t="str">
        <f t="shared" si="1"/>
        <v/>
      </c>
      <c r="B6999" s="37" t="str">
        <f t="array" ref="B6999">iferror(xlookup($I6999, 'IMPORT VHC Report'!$E:$E, 'IMPORT VHC Report'!$A:$C), )</f>
        <v/>
      </c>
      <c r="C6999" s="44"/>
      <c r="D6999" s="44"/>
      <c r="E6999" s="38"/>
      <c r="F6999" s="38"/>
      <c r="G6999" s="38"/>
      <c r="H6999" s="38"/>
      <c r="I6999" s="38"/>
      <c r="J6999" s="38"/>
      <c r="K6999" s="38"/>
      <c r="L6999" s="41"/>
      <c r="M6999" s="38"/>
      <c r="N6999" s="41"/>
      <c r="O6999" s="38"/>
      <c r="P6999" s="38"/>
      <c r="Q6999" s="39"/>
      <c r="R6999" s="39"/>
      <c r="S6999" s="39"/>
      <c r="T6999" s="39"/>
      <c r="U6999" s="39"/>
    </row>
    <row r="7000">
      <c r="A7000" s="40" t="str">
        <f t="shared" si="1"/>
        <v/>
      </c>
      <c r="B7000" s="37" t="str">
        <f t="array" ref="B7000">iferror(xlookup($I7000, 'IMPORT VHC Report'!$E:$E, 'IMPORT VHC Report'!$A:$C), )</f>
        <v/>
      </c>
      <c r="C7000" s="44"/>
      <c r="D7000" s="44"/>
      <c r="E7000" s="38"/>
      <c r="F7000" s="38"/>
      <c r="G7000" s="38"/>
      <c r="H7000" s="38"/>
      <c r="I7000" s="38"/>
      <c r="J7000" s="38"/>
      <c r="K7000" s="38"/>
      <c r="L7000" s="41"/>
      <c r="M7000" s="38"/>
      <c r="N7000" s="41"/>
      <c r="O7000" s="38"/>
      <c r="P7000" s="38"/>
      <c r="Q7000" s="39"/>
      <c r="R7000" s="39"/>
      <c r="S7000" s="39"/>
      <c r="T7000" s="39"/>
      <c r="U7000" s="39"/>
    </row>
    <row r="7001">
      <c r="A7001" s="40" t="str">
        <f t="shared" si="1"/>
        <v/>
      </c>
      <c r="B7001" s="37" t="str">
        <f t="array" ref="B7001">iferror(xlookup($I7001, 'IMPORT VHC Report'!$E:$E, 'IMPORT VHC Report'!$A:$C), )</f>
        <v/>
      </c>
      <c r="C7001" s="44"/>
      <c r="D7001" s="44"/>
      <c r="E7001" s="38"/>
      <c r="F7001" s="38"/>
      <c r="G7001" s="38"/>
      <c r="H7001" s="38"/>
      <c r="I7001" s="38"/>
      <c r="J7001" s="38"/>
      <c r="K7001" s="38"/>
      <c r="L7001" s="41"/>
      <c r="M7001" s="38"/>
      <c r="N7001" s="41"/>
      <c r="O7001" s="38"/>
      <c r="P7001" s="38"/>
      <c r="Q7001" s="39"/>
      <c r="R7001" s="39"/>
      <c r="S7001" s="39"/>
      <c r="T7001" s="39"/>
      <c r="U7001" s="39"/>
    </row>
    <row r="7002">
      <c r="A7002" s="40" t="str">
        <f t="shared" si="1"/>
        <v/>
      </c>
      <c r="B7002" s="37" t="str">
        <f t="array" ref="B7002">iferror(xlookup($I7002, 'IMPORT VHC Report'!$E:$E, 'IMPORT VHC Report'!$A:$C), )</f>
        <v/>
      </c>
      <c r="C7002" s="44"/>
      <c r="D7002" s="44"/>
      <c r="E7002" s="38"/>
      <c r="F7002" s="38"/>
      <c r="G7002" s="38"/>
      <c r="H7002" s="38"/>
      <c r="I7002" s="38"/>
      <c r="J7002" s="38"/>
      <c r="K7002" s="38"/>
      <c r="L7002" s="41"/>
      <c r="M7002" s="38"/>
      <c r="N7002" s="41"/>
      <c r="O7002" s="38"/>
      <c r="P7002" s="38"/>
      <c r="Q7002" s="39"/>
      <c r="R7002" s="39"/>
      <c r="S7002" s="39"/>
      <c r="T7002" s="39"/>
      <c r="U7002" s="39"/>
    </row>
    <row r="7003">
      <c r="A7003" s="40" t="str">
        <f t="shared" si="1"/>
        <v/>
      </c>
      <c r="B7003" s="37" t="str">
        <f t="array" ref="B7003">iferror(xlookup($I7003, 'IMPORT VHC Report'!$E:$E, 'IMPORT VHC Report'!$A:$C), )</f>
        <v/>
      </c>
      <c r="C7003" s="44"/>
      <c r="D7003" s="44"/>
      <c r="E7003" s="38"/>
      <c r="F7003" s="38"/>
      <c r="G7003" s="38"/>
      <c r="H7003" s="38"/>
      <c r="I7003" s="38"/>
      <c r="J7003" s="38"/>
      <c r="K7003" s="38"/>
      <c r="L7003" s="41"/>
      <c r="M7003" s="38"/>
      <c r="N7003" s="41"/>
      <c r="O7003" s="38"/>
      <c r="P7003" s="38"/>
      <c r="Q7003" s="39"/>
      <c r="R7003" s="39"/>
      <c r="S7003" s="39"/>
      <c r="T7003" s="39"/>
      <c r="U7003" s="39"/>
    </row>
    <row r="7004">
      <c r="A7004" s="40" t="str">
        <f t="shared" si="1"/>
        <v/>
      </c>
      <c r="B7004" s="37" t="str">
        <f t="array" ref="B7004">iferror(xlookup($I7004, 'IMPORT VHC Report'!$E:$E, 'IMPORT VHC Report'!$A:$C), )</f>
        <v/>
      </c>
      <c r="C7004" s="44"/>
      <c r="D7004" s="44"/>
      <c r="E7004" s="38"/>
      <c r="F7004" s="38"/>
      <c r="G7004" s="38"/>
      <c r="H7004" s="38"/>
      <c r="I7004" s="38"/>
      <c r="J7004" s="38"/>
      <c r="K7004" s="38"/>
      <c r="L7004" s="41"/>
      <c r="M7004" s="38"/>
      <c r="N7004" s="41"/>
      <c r="O7004" s="38"/>
      <c r="P7004" s="38"/>
      <c r="Q7004" s="39"/>
      <c r="R7004" s="39"/>
      <c r="S7004" s="39"/>
      <c r="T7004" s="39"/>
      <c r="U7004" s="39"/>
    </row>
    <row r="7005">
      <c r="A7005" s="40" t="str">
        <f t="shared" si="1"/>
        <v/>
      </c>
      <c r="B7005" s="37" t="str">
        <f t="array" ref="B7005">iferror(xlookup($I7005, 'IMPORT VHC Report'!$E:$E, 'IMPORT VHC Report'!$A:$C), )</f>
        <v/>
      </c>
      <c r="C7005" s="44"/>
      <c r="D7005" s="44"/>
      <c r="E7005" s="38"/>
      <c r="F7005" s="38"/>
      <c r="G7005" s="38"/>
      <c r="H7005" s="38"/>
      <c r="I7005" s="38"/>
      <c r="J7005" s="38"/>
      <c r="K7005" s="38"/>
      <c r="L7005" s="41"/>
      <c r="M7005" s="38"/>
      <c r="N7005" s="41"/>
      <c r="O7005" s="38"/>
      <c r="P7005" s="38"/>
      <c r="Q7005" s="39"/>
      <c r="R7005" s="39"/>
      <c r="S7005" s="39"/>
      <c r="T7005" s="39"/>
      <c r="U7005" s="39"/>
    </row>
    <row r="7006">
      <c r="A7006" s="40" t="str">
        <f t="shared" si="1"/>
        <v/>
      </c>
      <c r="B7006" s="37" t="str">
        <f t="array" ref="B7006">iferror(xlookup($I7006, 'IMPORT VHC Report'!$E:$E, 'IMPORT VHC Report'!$A:$C), )</f>
        <v/>
      </c>
      <c r="C7006" s="44"/>
      <c r="D7006" s="44"/>
      <c r="E7006" s="38"/>
      <c r="F7006" s="38"/>
      <c r="G7006" s="38"/>
      <c r="H7006" s="38"/>
      <c r="I7006" s="38"/>
      <c r="J7006" s="38"/>
      <c r="K7006" s="38"/>
      <c r="L7006" s="41"/>
      <c r="M7006" s="38"/>
      <c r="N7006" s="41"/>
      <c r="O7006" s="38"/>
      <c r="P7006" s="38"/>
      <c r="Q7006" s="39"/>
      <c r="R7006" s="39"/>
      <c r="S7006" s="38"/>
      <c r="T7006" s="39"/>
      <c r="U7006" s="39"/>
    </row>
    <row r="7007">
      <c r="A7007" s="40" t="str">
        <f t="shared" si="1"/>
        <v/>
      </c>
      <c r="B7007" s="37" t="str">
        <f t="array" ref="B7007">iferror(xlookup($I7007, 'IMPORT VHC Report'!$E:$E, 'IMPORT VHC Report'!$A:$C), )</f>
        <v/>
      </c>
      <c r="C7007" s="44"/>
      <c r="D7007" s="44"/>
      <c r="E7007" s="38"/>
      <c r="F7007" s="38"/>
      <c r="G7007" s="38"/>
      <c r="H7007" s="38"/>
      <c r="I7007" s="38"/>
      <c r="J7007" s="38"/>
      <c r="K7007" s="38"/>
      <c r="L7007" s="41"/>
      <c r="M7007" s="38"/>
      <c r="N7007" s="41"/>
      <c r="O7007" s="38"/>
      <c r="P7007" s="38"/>
      <c r="Q7007" s="39"/>
      <c r="R7007" s="39"/>
      <c r="S7007" s="39"/>
      <c r="T7007" s="39"/>
      <c r="U7007" s="39"/>
    </row>
    <row r="7008">
      <c r="A7008" s="40" t="str">
        <f t="shared" si="1"/>
        <v/>
      </c>
      <c r="B7008" s="37" t="str">
        <f t="array" ref="B7008">iferror(xlookup($I7008, 'IMPORT VHC Report'!$E:$E, 'IMPORT VHC Report'!$A:$C), )</f>
        <v/>
      </c>
      <c r="C7008" s="44"/>
      <c r="D7008" s="44"/>
      <c r="E7008" s="38"/>
      <c r="F7008" s="38"/>
      <c r="G7008" s="38"/>
      <c r="H7008" s="38"/>
      <c r="I7008" s="38"/>
      <c r="J7008" s="38"/>
      <c r="K7008" s="38"/>
      <c r="L7008" s="41"/>
      <c r="M7008" s="38"/>
      <c r="N7008" s="41"/>
      <c r="O7008" s="38"/>
      <c r="P7008" s="38"/>
      <c r="Q7008" s="38"/>
      <c r="R7008" s="39"/>
      <c r="S7008" s="39"/>
      <c r="T7008" s="39"/>
      <c r="U7008" s="39"/>
    </row>
    <row r="7009">
      <c r="A7009" s="40" t="str">
        <f t="shared" si="1"/>
        <v/>
      </c>
      <c r="B7009" s="37" t="str">
        <f t="array" ref="B7009">iferror(xlookup($I7009, 'IMPORT VHC Report'!$E:$E, 'IMPORT VHC Report'!$A:$C), )</f>
        <v/>
      </c>
      <c r="C7009" s="44"/>
      <c r="D7009" s="44"/>
      <c r="E7009" s="38"/>
      <c r="F7009" s="38"/>
      <c r="G7009" s="38"/>
      <c r="H7009" s="38"/>
      <c r="I7009" s="38"/>
      <c r="J7009" s="38"/>
      <c r="K7009" s="38"/>
      <c r="L7009" s="41"/>
      <c r="M7009" s="38"/>
      <c r="N7009" s="41"/>
      <c r="O7009" s="38"/>
      <c r="P7009" s="38"/>
      <c r="Q7009" s="39"/>
      <c r="R7009" s="39"/>
      <c r="S7009" s="39"/>
      <c r="T7009" s="39"/>
      <c r="U7009" s="39"/>
    </row>
    <row r="7010">
      <c r="A7010" s="40" t="str">
        <f t="shared" si="1"/>
        <v/>
      </c>
      <c r="B7010" s="37" t="str">
        <f t="array" ref="B7010">iferror(xlookup($I7010, 'IMPORT VHC Report'!$E:$E, 'IMPORT VHC Report'!$A:$C), )</f>
        <v/>
      </c>
      <c r="C7010" s="44"/>
      <c r="D7010" s="44"/>
      <c r="E7010" s="38"/>
      <c r="F7010" s="38"/>
      <c r="G7010" s="38"/>
      <c r="H7010" s="38"/>
      <c r="I7010" s="38"/>
      <c r="J7010" s="38"/>
      <c r="K7010" s="38"/>
      <c r="L7010" s="41"/>
      <c r="M7010" s="38"/>
      <c r="N7010" s="41"/>
      <c r="O7010" s="38"/>
      <c r="P7010" s="38"/>
      <c r="Q7010" s="39"/>
      <c r="R7010" s="39"/>
      <c r="S7010" s="38"/>
      <c r="T7010" s="39"/>
      <c r="U7010" s="39"/>
    </row>
    <row r="7011">
      <c r="A7011" s="40" t="str">
        <f t="shared" si="1"/>
        <v/>
      </c>
      <c r="B7011" s="37" t="str">
        <f t="array" ref="B7011">iferror(xlookup($I7011, 'IMPORT VHC Report'!$E:$E, 'IMPORT VHC Report'!$A:$C), )</f>
        <v/>
      </c>
      <c r="C7011" s="44"/>
      <c r="D7011" s="44"/>
      <c r="E7011" s="38"/>
      <c r="F7011" s="38"/>
      <c r="G7011" s="38"/>
      <c r="H7011" s="38"/>
      <c r="I7011" s="38"/>
      <c r="J7011" s="38"/>
      <c r="K7011" s="38"/>
      <c r="L7011" s="41"/>
      <c r="M7011" s="38"/>
      <c r="N7011" s="41"/>
      <c r="O7011" s="38"/>
      <c r="P7011" s="38"/>
      <c r="Q7011" s="39"/>
      <c r="R7011" s="39"/>
      <c r="S7011" s="39"/>
      <c r="T7011" s="39"/>
      <c r="U7011" s="39"/>
    </row>
    <row r="7012">
      <c r="A7012" s="40" t="str">
        <f t="shared" si="1"/>
        <v/>
      </c>
      <c r="B7012" s="37" t="str">
        <f t="array" ref="B7012">iferror(xlookup($I7012, 'IMPORT VHC Report'!$E:$E, 'IMPORT VHC Report'!$A:$C), )</f>
        <v/>
      </c>
      <c r="C7012" s="44"/>
      <c r="D7012" s="44"/>
      <c r="E7012" s="38"/>
      <c r="F7012" s="38"/>
      <c r="G7012" s="38"/>
      <c r="H7012" s="38"/>
      <c r="I7012" s="38"/>
      <c r="J7012" s="38"/>
      <c r="K7012" s="38"/>
      <c r="L7012" s="41"/>
      <c r="M7012" s="38"/>
      <c r="N7012" s="41"/>
      <c r="O7012" s="38"/>
      <c r="P7012" s="38"/>
      <c r="Q7012" s="39"/>
      <c r="R7012" s="39"/>
      <c r="S7012" s="39"/>
      <c r="T7012" s="39"/>
      <c r="U7012" s="39"/>
    </row>
    <row r="7013">
      <c r="A7013" s="40" t="str">
        <f t="shared" si="1"/>
        <v/>
      </c>
      <c r="B7013" s="37" t="str">
        <f t="array" ref="B7013">iferror(xlookup($I7013, 'IMPORT VHC Report'!$E:$E, 'IMPORT VHC Report'!$A:$C), )</f>
        <v/>
      </c>
      <c r="C7013" s="44"/>
      <c r="D7013" s="44"/>
      <c r="E7013" s="38"/>
      <c r="F7013" s="38"/>
      <c r="G7013" s="38"/>
      <c r="H7013" s="38"/>
      <c r="I7013" s="38"/>
      <c r="J7013" s="38"/>
      <c r="K7013" s="38"/>
      <c r="L7013" s="41"/>
      <c r="M7013" s="38"/>
      <c r="N7013" s="41"/>
      <c r="O7013" s="38"/>
      <c r="P7013" s="38"/>
      <c r="Q7013" s="39"/>
      <c r="R7013" s="39"/>
      <c r="S7013" s="39"/>
      <c r="T7013" s="39"/>
      <c r="U7013" s="39"/>
    </row>
    <row r="7014">
      <c r="A7014" s="40" t="str">
        <f t="shared" si="1"/>
        <v/>
      </c>
      <c r="B7014" s="37" t="str">
        <f t="array" ref="B7014">iferror(xlookup($I7014, 'IMPORT VHC Report'!$E:$E, 'IMPORT VHC Report'!$A:$C), )</f>
        <v/>
      </c>
      <c r="C7014" s="44"/>
      <c r="D7014" s="44"/>
      <c r="E7014" s="38"/>
      <c r="F7014" s="38"/>
      <c r="G7014" s="38"/>
      <c r="H7014" s="38"/>
      <c r="I7014" s="38"/>
      <c r="J7014" s="38"/>
      <c r="K7014" s="38"/>
      <c r="L7014" s="41"/>
      <c r="M7014" s="38"/>
      <c r="N7014" s="41"/>
      <c r="O7014" s="38"/>
      <c r="P7014" s="38"/>
      <c r="Q7014" s="39"/>
      <c r="R7014" s="39"/>
      <c r="S7014" s="39"/>
      <c r="T7014" s="39"/>
      <c r="U7014" s="39"/>
    </row>
    <row r="7015">
      <c r="A7015" s="40" t="str">
        <f t="shared" si="1"/>
        <v/>
      </c>
      <c r="B7015" s="37" t="str">
        <f t="array" ref="B7015">iferror(xlookup($I7015, 'IMPORT VHC Report'!$E:$E, 'IMPORT VHC Report'!$A:$C), )</f>
        <v/>
      </c>
      <c r="C7015" s="44"/>
      <c r="D7015" s="44"/>
      <c r="E7015" s="38"/>
      <c r="F7015" s="38"/>
      <c r="G7015" s="38"/>
      <c r="H7015" s="38"/>
      <c r="I7015" s="38"/>
      <c r="J7015" s="38"/>
      <c r="K7015" s="38"/>
      <c r="L7015" s="41"/>
      <c r="M7015" s="38"/>
      <c r="N7015" s="41"/>
      <c r="O7015" s="38"/>
      <c r="P7015" s="38"/>
      <c r="Q7015" s="39"/>
      <c r="R7015" s="39"/>
      <c r="S7015" s="39"/>
      <c r="T7015" s="39"/>
      <c r="U7015" s="39"/>
    </row>
    <row r="7016">
      <c r="A7016" s="40" t="str">
        <f t="shared" si="1"/>
        <v/>
      </c>
      <c r="B7016" s="37" t="str">
        <f t="array" ref="B7016">iferror(xlookup($I7016, 'IMPORT VHC Report'!$E:$E, 'IMPORT VHC Report'!$A:$C), )</f>
        <v/>
      </c>
      <c r="C7016" s="44"/>
      <c r="D7016" s="44"/>
      <c r="E7016" s="38"/>
      <c r="F7016" s="38"/>
      <c r="G7016" s="38"/>
      <c r="H7016" s="38"/>
      <c r="I7016" s="38"/>
      <c r="J7016" s="38"/>
      <c r="K7016" s="38"/>
      <c r="L7016" s="41"/>
      <c r="M7016" s="38"/>
      <c r="N7016" s="41"/>
      <c r="O7016" s="38"/>
      <c r="P7016" s="38"/>
      <c r="Q7016" s="39"/>
      <c r="R7016" s="39"/>
      <c r="S7016" s="39"/>
      <c r="T7016" s="39"/>
      <c r="U7016" s="39"/>
    </row>
    <row r="7017">
      <c r="A7017" s="40" t="str">
        <f t="shared" si="1"/>
        <v/>
      </c>
      <c r="B7017" s="37" t="str">
        <f t="array" ref="B7017">iferror(xlookup($I7017, 'IMPORT VHC Report'!$E:$E, 'IMPORT VHC Report'!$A:$C), )</f>
        <v/>
      </c>
      <c r="C7017" s="44"/>
      <c r="D7017" s="44"/>
      <c r="E7017" s="38"/>
      <c r="F7017" s="38"/>
      <c r="G7017" s="38"/>
      <c r="H7017" s="38"/>
      <c r="I7017" s="38"/>
      <c r="J7017" s="38"/>
      <c r="K7017" s="38"/>
      <c r="L7017" s="41"/>
      <c r="M7017" s="38"/>
      <c r="N7017" s="41"/>
      <c r="O7017" s="38"/>
      <c r="P7017" s="38"/>
      <c r="Q7017" s="39"/>
      <c r="R7017" s="39"/>
      <c r="S7017" s="39"/>
      <c r="T7017" s="39"/>
      <c r="U7017" s="39"/>
    </row>
    <row r="7018">
      <c r="A7018" s="40" t="str">
        <f t="shared" si="1"/>
        <v/>
      </c>
      <c r="B7018" s="37" t="str">
        <f t="array" ref="B7018">iferror(xlookup($I7018, 'IMPORT VHC Report'!$E:$E, 'IMPORT VHC Report'!$A:$C), )</f>
        <v/>
      </c>
      <c r="C7018" s="44"/>
      <c r="D7018" s="44"/>
      <c r="E7018" s="38"/>
      <c r="F7018" s="38"/>
      <c r="G7018" s="38"/>
      <c r="H7018" s="38"/>
      <c r="I7018" s="38"/>
      <c r="J7018" s="38"/>
      <c r="K7018" s="38"/>
      <c r="L7018" s="41"/>
      <c r="M7018" s="38"/>
      <c r="N7018" s="41"/>
      <c r="O7018" s="38"/>
      <c r="P7018" s="38"/>
      <c r="Q7018" s="39"/>
      <c r="R7018" s="39"/>
      <c r="S7018" s="39"/>
      <c r="T7018" s="39"/>
      <c r="U7018" s="39"/>
    </row>
    <row r="7019">
      <c r="A7019" s="40" t="str">
        <f t="shared" si="1"/>
        <v/>
      </c>
      <c r="B7019" s="37" t="str">
        <f t="array" ref="B7019">iferror(xlookup($I7019, 'IMPORT VHC Report'!$E:$E, 'IMPORT VHC Report'!$A:$C), )</f>
        <v/>
      </c>
      <c r="C7019" s="44"/>
      <c r="D7019" s="44"/>
      <c r="E7019" s="38"/>
      <c r="F7019" s="38"/>
      <c r="G7019" s="38"/>
      <c r="H7019" s="38"/>
      <c r="I7019" s="38"/>
      <c r="J7019" s="38"/>
      <c r="K7019" s="38"/>
      <c r="L7019" s="41"/>
      <c r="M7019" s="38"/>
      <c r="N7019" s="41"/>
      <c r="O7019" s="38"/>
      <c r="P7019" s="38"/>
      <c r="Q7019" s="39"/>
      <c r="R7019" s="39"/>
      <c r="S7019" s="39"/>
      <c r="T7019" s="39"/>
      <c r="U7019" s="39"/>
    </row>
    <row r="7020">
      <c r="A7020" s="40" t="str">
        <f t="shared" si="1"/>
        <v/>
      </c>
      <c r="B7020" s="37" t="str">
        <f t="array" ref="B7020">iferror(xlookup($I7020, 'IMPORT VHC Report'!$E:$E, 'IMPORT VHC Report'!$A:$C), )</f>
        <v/>
      </c>
      <c r="C7020" s="44"/>
      <c r="D7020" s="44"/>
      <c r="E7020" s="38"/>
      <c r="F7020" s="38"/>
      <c r="G7020" s="38"/>
      <c r="H7020" s="38"/>
      <c r="I7020" s="38"/>
      <c r="J7020" s="38"/>
      <c r="K7020" s="38"/>
      <c r="L7020" s="41"/>
      <c r="M7020" s="38"/>
      <c r="N7020" s="41"/>
      <c r="O7020" s="38"/>
      <c r="P7020" s="38"/>
      <c r="Q7020" s="39"/>
      <c r="R7020" s="39"/>
      <c r="S7020" s="39"/>
      <c r="T7020" s="39"/>
      <c r="U7020" s="39"/>
    </row>
    <row r="7021">
      <c r="A7021" s="40" t="str">
        <f t="shared" si="1"/>
        <v/>
      </c>
      <c r="B7021" s="37" t="str">
        <f t="array" ref="B7021">iferror(xlookup($I7021, 'IMPORT VHC Report'!$E:$E, 'IMPORT VHC Report'!$A:$C), )</f>
        <v/>
      </c>
      <c r="C7021" s="44"/>
      <c r="D7021" s="44"/>
      <c r="E7021" s="38"/>
      <c r="F7021" s="38"/>
      <c r="G7021" s="38"/>
      <c r="H7021" s="38"/>
      <c r="I7021" s="38"/>
      <c r="J7021" s="38"/>
      <c r="K7021" s="38"/>
      <c r="L7021" s="41"/>
      <c r="M7021" s="38"/>
      <c r="N7021" s="41"/>
      <c r="O7021" s="38"/>
      <c r="P7021" s="38"/>
      <c r="Q7021" s="39"/>
      <c r="R7021" s="39"/>
      <c r="S7021" s="39"/>
      <c r="T7021" s="39"/>
      <c r="U7021" s="39"/>
    </row>
    <row r="7022">
      <c r="A7022" s="40" t="str">
        <f t="shared" si="1"/>
        <v/>
      </c>
      <c r="B7022" s="37" t="str">
        <f t="array" ref="B7022">iferror(xlookup($I7022, 'IMPORT VHC Report'!$E:$E, 'IMPORT VHC Report'!$A:$C), )</f>
        <v/>
      </c>
      <c r="C7022" s="44"/>
      <c r="D7022" s="44"/>
      <c r="E7022" s="38"/>
      <c r="F7022" s="38"/>
      <c r="G7022" s="38"/>
      <c r="H7022" s="38"/>
      <c r="I7022" s="38"/>
      <c r="J7022" s="38"/>
      <c r="K7022" s="38"/>
      <c r="L7022" s="41"/>
      <c r="M7022" s="38"/>
      <c r="N7022" s="41"/>
      <c r="O7022" s="38"/>
      <c r="P7022" s="38"/>
      <c r="Q7022" s="39"/>
      <c r="R7022" s="39"/>
      <c r="S7022" s="39"/>
      <c r="T7022" s="39"/>
      <c r="U7022" s="39"/>
    </row>
    <row r="7023">
      <c r="A7023" s="40" t="str">
        <f t="shared" si="1"/>
        <v/>
      </c>
      <c r="B7023" s="37" t="str">
        <f t="array" ref="B7023">iferror(xlookup($I7023, 'IMPORT VHC Report'!$E:$E, 'IMPORT VHC Report'!$A:$C), )</f>
        <v/>
      </c>
      <c r="C7023" s="44"/>
      <c r="D7023" s="44"/>
      <c r="E7023" s="38"/>
      <c r="F7023" s="38"/>
      <c r="G7023" s="38"/>
      <c r="H7023" s="38"/>
      <c r="I7023" s="38"/>
      <c r="J7023" s="38"/>
      <c r="K7023" s="38"/>
      <c r="L7023" s="41"/>
      <c r="M7023" s="38"/>
      <c r="N7023" s="41"/>
      <c r="O7023" s="38"/>
      <c r="P7023" s="38"/>
      <c r="Q7023" s="39"/>
      <c r="R7023" s="39"/>
      <c r="S7023" s="39"/>
      <c r="T7023" s="39"/>
      <c r="U7023" s="39"/>
    </row>
    <row r="7024">
      <c r="A7024" s="40" t="str">
        <f t="shared" si="1"/>
        <v/>
      </c>
      <c r="B7024" s="37" t="str">
        <f t="array" ref="B7024">iferror(xlookup($I7024, 'IMPORT VHC Report'!$E:$E, 'IMPORT VHC Report'!$A:$C), )</f>
        <v/>
      </c>
      <c r="C7024" s="44"/>
      <c r="D7024" s="44"/>
      <c r="E7024" s="38"/>
      <c r="F7024" s="38"/>
      <c r="G7024" s="38"/>
      <c r="H7024" s="38"/>
      <c r="I7024" s="38"/>
      <c r="J7024" s="38"/>
      <c r="K7024" s="38"/>
      <c r="L7024" s="41"/>
      <c r="M7024" s="38"/>
      <c r="N7024" s="41"/>
      <c r="O7024" s="38"/>
      <c r="P7024" s="38"/>
      <c r="Q7024" s="38"/>
      <c r="R7024" s="39"/>
      <c r="S7024" s="39"/>
      <c r="T7024" s="39"/>
      <c r="U7024" s="39"/>
    </row>
    <row r="7025">
      <c r="A7025" s="40" t="str">
        <f t="shared" si="1"/>
        <v/>
      </c>
      <c r="B7025" s="37" t="str">
        <f t="array" ref="B7025">iferror(xlookup($I7025, 'IMPORT VHC Report'!$E:$E, 'IMPORT VHC Report'!$A:$C), )</f>
        <v/>
      </c>
      <c r="C7025" s="44"/>
      <c r="D7025" s="44"/>
      <c r="E7025" s="38"/>
      <c r="F7025" s="38"/>
      <c r="G7025" s="38"/>
      <c r="H7025" s="38"/>
      <c r="I7025" s="38"/>
      <c r="J7025" s="38"/>
      <c r="K7025" s="38"/>
      <c r="L7025" s="41"/>
      <c r="M7025" s="38"/>
      <c r="N7025" s="41"/>
      <c r="O7025" s="38"/>
      <c r="P7025" s="38"/>
      <c r="Q7025" s="39"/>
      <c r="R7025" s="39"/>
      <c r="S7025" s="39"/>
      <c r="T7025" s="39"/>
      <c r="U7025" s="39"/>
    </row>
    <row r="7026">
      <c r="A7026" s="40" t="str">
        <f t="shared" si="1"/>
        <v/>
      </c>
      <c r="B7026" s="37" t="str">
        <f t="array" ref="B7026">iferror(xlookup($I7026, 'IMPORT VHC Report'!$E:$E, 'IMPORT VHC Report'!$A:$C), )</f>
        <v/>
      </c>
      <c r="C7026" s="44"/>
      <c r="D7026" s="44"/>
      <c r="E7026" s="38"/>
      <c r="F7026" s="38"/>
      <c r="G7026" s="38"/>
      <c r="H7026" s="38"/>
      <c r="I7026" s="38"/>
      <c r="J7026" s="38"/>
      <c r="K7026" s="38"/>
      <c r="L7026" s="41"/>
      <c r="M7026" s="38"/>
      <c r="N7026" s="41"/>
      <c r="O7026" s="38"/>
      <c r="P7026" s="38"/>
      <c r="Q7026" s="39"/>
      <c r="R7026" s="39"/>
      <c r="S7026" s="39"/>
      <c r="T7026" s="39"/>
      <c r="U7026" s="39"/>
    </row>
    <row r="7027">
      <c r="A7027" s="40" t="str">
        <f t="shared" si="1"/>
        <v/>
      </c>
      <c r="B7027" s="37" t="str">
        <f t="array" ref="B7027">iferror(xlookup($I7027, 'IMPORT VHC Report'!$E:$E, 'IMPORT VHC Report'!$A:$C), )</f>
        <v/>
      </c>
      <c r="C7027" s="44"/>
      <c r="D7027" s="44"/>
      <c r="E7027" s="38"/>
      <c r="F7027" s="38"/>
      <c r="G7027" s="38"/>
      <c r="H7027" s="38"/>
      <c r="I7027" s="38"/>
      <c r="J7027" s="38"/>
      <c r="K7027" s="38"/>
      <c r="L7027" s="41"/>
      <c r="M7027" s="38"/>
      <c r="N7027" s="41"/>
      <c r="O7027" s="38"/>
      <c r="P7027" s="38"/>
      <c r="Q7027" s="39"/>
      <c r="R7027" s="39"/>
      <c r="S7027" s="39"/>
      <c r="T7027" s="39"/>
      <c r="U7027" s="39"/>
    </row>
    <row r="7028">
      <c r="A7028" s="40" t="str">
        <f t="shared" si="1"/>
        <v/>
      </c>
      <c r="B7028" s="37" t="str">
        <f t="array" ref="B7028">iferror(xlookup($I7028, 'IMPORT VHC Report'!$E:$E, 'IMPORT VHC Report'!$A:$C), )</f>
        <v/>
      </c>
      <c r="C7028" s="44"/>
      <c r="D7028" s="44"/>
      <c r="E7028" s="38"/>
      <c r="F7028" s="38"/>
      <c r="G7028" s="38"/>
      <c r="H7028" s="38"/>
      <c r="I7028" s="38"/>
      <c r="J7028" s="38"/>
      <c r="K7028" s="38"/>
      <c r="L7028" s="41"/>
      <c r="M7028" s="38"/>
      <c r="N7028" s="41"/>
      <c r="O7028" s="38"/>
      <c r="P7028" s="38"/>
      <c r="Q7028" s="39"/>
      <c r="R7028" s="39"/>
      <c r="S7028" s="39"/>
      <c r="T7028" s="39"/>
      <c r="U7028" s="39"/>
    </row>
    <row r="7029">
      <c r="A7029" s="40" t="str">
        <f t="shared" si="1"/>
        <v/>
      </c>
      <c r="B7029" s="37" t="str">
        <f t="array" ref="B7029">iferror(xlookup($I7029, 'IMPORT VHC Report'!$E:$E, 'IMPORT VHC Report'!$A:$C), )</f>
        <v/>
      </c>
      <c r="C7029" s="44"/>
      <c r="D7029" s="44"/>
      <c r="E7029" s="38"/>
      <c r="F7029" s="38"/>
      <c r="G7029" s="38"/>
      <c r="H7029" s="38"/>
      <c r="I7029" s="38"/>
      <c r="J7029" s="38"/>
      <c r="K7029" s="38"/>
      <c r="L7029" s="41"/>
      <c r="M7029" s="38"/>
      <c r="N7029" s="41"/>
      <c r="O7029" s="38"/>
      <c r="P7029" s="38"/>
      <c r="Q7029" s="39"/>
      <c r="R7029" s="39"/>
      <c r="S7029" s="39"/>
      <c r="T7029" s="39"/>
      <c r="U7029" s="39"/>
    </row>
    <row r="7030">
      <c r="A7030" s="40" t="str">
        <f t="shared" si="1"/>
        <v/>
      </c>
      <c r="B7030" s="37" t="str">
        <f t="array" ref="B7030">iferror(xlookup($I7030, 'IMPORT VHC Report'!$E:$E, 'IMPORT VHC Report'!$A:$C), )</f>
        <v/>
      </c>
      <c r="C7030" s="44"/>
      <c r="D7030" s="44"/>
      <c r="E7030" s="38"/>
      <c r="F7030" s="38"/>
      <c r="G7030" s="38"/>
      <c r="H7030" s="38"/>
      <c r="I7030" s="38"/>
      <c r="J7030" s="38"/>
      <c r="K7030" s="38"/>
      <c r="L7030" s="41"/>
      <c r="M7030" s="38"/>
      <c r="N7030" s="41"/>
      <c r="O7030" s="38"/>
      <c r="P7030" s="38"/>
      <c r="Q7030" s="39"/>
      <c r="R7030" s="39"/>
      <c r="S7030" s="39"/>
      <c r="T7030" s="39"/>
      <c r="U7030" s="39"/>
    </row>
    <row r="7031">
      <c r="A7031" s="40" t="str">
        <f t="shared" si="1"/>
        <v/>
      </c>
      <c r="B7031" s="37" t="str">
        <f t="array" ref="B7031">iferror(xlookup($I7031, 'IMPORT VHC Report'!$E:$E, 'IMPORT VHC Report'!$A:$C), )</f>
        <v/>
      </c>
      <c r="C7031" s="44"/>
      <c r="D7031" s="44"/>
      <c r="E7031" s="38"/>
      <c r="F7031" s="38"/>
      <c r="G7031" s="38"/>
      <c r="H7031" s="38"/>
      <c r="I7031" s="38"/>
      <c r="J7031" s="38"/>
      <c r="K7031" s="38"/>
      <c r="L7031" s="41"/>
      <c r="M7031" s="38"/>
      <c r="N7031" s="41"/>
      <c r="O7031" s="38"/>
      <c r="P7031" s="38"/>
      <c r="Q7031" s="39"/>
      <c r="R7031" s="39"/>
      <c r="S7031" s="39"/>
      <c r="T7031" s="39"/>
      <c r="U7031" s="39"/>
    </row>
    <row r="7032">
      <c r="A7032" s="40" t="str">
        <f t="shared" si="1"/>
        <v/>
      </c>
      <c r="B7032" s="37" t="str">
        <f t="array" ref="B7032">iferror(xlookup($I7032, 'IMPORT VHC Report'!$E:$E, 'IMPORT VHC Report'!$A:$C), )</f>
        <v/>
      </c>
      <c r="C7032" s="44"/>
      <c r="D7032" s="44"/>
      <c r="E7032" s="38"/>
      <c r="F7032" s="38"/>
      <c r="G7032" s="38"/>
      <c r="H7032" s="38"/>
      <c r="I7032" s="38"/>
      <c r="J7032" s="38"/>
      <c r="K7032" s="38"/>
      <c r="L7032" s="41"/>
      <c r="M7032" s="38"/>
      <c r="N7032" s="41"/>
      <c r="O7032" s="38"/>
      <c r="P7032" s="38"/>
      <c r="Q7032" s="39"/>
      <c r="R7032" s="39"/>
      <c r="S7032" s="39"/>
      <c r="T7032" s="39"/>
      <c r="U7032" s="39"/>
    </row>
    <row r="7033">
      <c r="A7033" s="40" t="str">
        <f t="shared" si="1"/>
        <v/>
      </c>
      <c r="B7033" s="37" t="str">
        <f t="array" ref="B7033">iferror(xlookup($I7033, 'IMPORT VHC Report'!$E:$E, 'IMPORT VHC Report'!$A:$C), )</f>
        <v/>
      </c>
      <c r="C7033" s="44"/>
      <c r="D7033" s="44"/>
      <c r="E7033" s="38"/>
      <c r="F7033" s="38"/>
      <c r="G7033" s="38"/>
      <c r="H7033" s="38"/>
      <c r="I7033" s="38"/>
      <c r="J7033" s="38"/>
      <c r="K7033" s="38"/>
      <c r="L7033" s="41"/>
      <c r="M7033" s="38"/>
      <c r="N7033" s="41"/>
      <c r="O7033" s="38"/>
      <c r="P7033" s="38"/>
      <c r="Q7033" s="39"/>
      <c r="R7033" s="39"/>
      <c r="S7033" s="39"/>
      <c r="T7033" s="39"/>
      <c r="U7033" s="39"/>
    </row>
    <row r="7034">
      <c r="A7034" s="40" t="str">
        <f t="shared" si="1"/>
        <v/>
      </c>
      <c r="B7034" s="37" t="str">
        <f t="array" ref="B7034">iferror(xlookup($I7034, 'IMPORT VHC Report'!$E:$E, 'IMPORT VHC Report'!$A:$C), )</f>
        <v/>
      </c>
      <c r="C7034" s="44"/>
      <c r="D7034" s="44"/>
      <c r="E7034" s="38"/>
      <c r="F7034" s="38"/>
      <c r="G7034" s="38"/>
      <c r="H7034" s="38"/>
      <c r="I7034" s="38"/>
      <c r="J7034" s="38"/>
      <c r="K7034" s="38"/>
      <c r="L7034" s="41"/>
      <c r="M7034" s="38"/>
      <c r="N7034" s="41"/>
      <c r="O7034" s="38"/>
      <c r="P7034" s="38"/>
      <c r="Q7034" s="39"/>
      <c r="R7034" s="39"/>
      <c r="S7034" s="39"/>
      <c r="T7034" s="39"/>
      <c r="U7034" s="39"/>
    </row>
    <row r="7035">
      <c r="A7035" s="40" t="str">
        <f t="shared" si="1"/>
        <v/>
      </c>
      <c r="B7035" s="37" t="str">
        <f t="array" ref="B7035">iferror(xlookup($I7035, 'IMPORT VHC Report'!$E:$E, 'IMPORT VHC Report'!$A:$C), )</f>
        <v/>
      </c>
      <c r="C7035" s="44"/>
      <c r="D7035" s="44"/>
      <c r="E7035" s="38"/>
      <c r="F7035" s="38"/>
      <c r="G7035" s="38"/>
      <c r="H7035" s="38"/>
      <c r="I7035" s="38"/>
      <c r="J7035" s="38"/>
      <c r="K7035" s="38"/>
      <c r="L7035" s="41"/>
      <c r="M7035" s="38"/>
      <c r="N7035" s="41"/>
      <c r="O7035" s="38"/>
      <c r="P7035" s="38"/>
      <c r="Q7035" s="39"/>
      <c r="R7035" s="39"/>
      <c r="S7035" s="39"/>
      <c r="T7035" s="39"/>
      <c r="U7035" s="39"/>
    </row>
    <row r="7036">
      <c r="A7036" s="40" t="str">
        <f t="shared" si="1"/>
        <v/>
      </c>
      <c r="B7036" s="37" t="str">
        <f t="array" ref="B7036">iferror(xlookup($I7036, 'IMPORT VHC Report'!$E:$E, 'IMPORT VHC Report'!$A:$C), )</f>
        <v/>
      </c>
      <c r="C7036" s="44"/>
      <c r="D7036" s="44"/>
      <c r="E7036" s="38"/>
      <c r="F7036" s="38"/>
      <c r="G7036" s="38"/>
      <c r="H7036" s="38"/>
      <c r="I7036" s="38"/>
      <c r="J7036" s="38"/>
      <c r="K7036" s="38"/>
      <c r="L7036" s="41"/>
      <c r="M7036" s="38"/>
      <c r="N7036" s="41"/>
      <c r="O7036" s="38"/>
      <c r="P7036" s="38"/>
      <c r="Q7036" s="39"/>
      <c r="R7036" s="39"/>
      <c r="S7036" s="39"/>
      <c r="T7036" s="39"/>
      <c r="U7036" s="39"/>
    </row>
    <row r="7037">
      <c r="A7037" s="40" t="str">
        <f t="shared" si="1"/>
        <v/>
      </c>
      <c r="B7037" s="37" t="str">
        <f t="array" ref="B7037">iferror(xlookup($I7037, 'IMPORT VHC Report'!$E:$E, 'IMPORT VHC Report'!$A:$C), )</f>
        <v/>
      </c>
      <c r="C7037" s="44"/>
      <c r="D7037" s="44"/>
      <c r="E7037" s="38"/>
      <c r="F7037" s="38"/>
      <c r="G7037" s="38"/>
      <c r="H7037" s="38"/>
      <c r="I7037" s="38"/>
      <c r="J7037" s="38"/>
      <c r="K7037" s="38"/>
      <c r="L7037" s="41"/>
      <c r="M7037" s="38"/>
      <c r="N7037" s="41"/>
      <c r="O7037" s="38"/>
      <c r="P7037" s="38"/>
      <c r="Q7037" s="39"/>
      <c r="R7037" s="39"/>
      <c r="S7037" s="39"/>
      <c r="T7037" s="39"/>
      <c r="U7037" s="39"/>
    </row>
    <row r="7038">
      <c r="A7038" s="40" t="str">
        <f t="shared" si="1"/>
        <v/>
      </c>
      <c r="B7038" s="37" t="str">
        <f t="array" ref="B7038">iferror(xlookup($I7038, 'IMPORT VHC Report'!$E:$E, 'IMPORT VHC Report'!$A:$C), )</f>
        <v/>
      </c>
      <c r="C7038" s="44"/>
      <c r="D7038" s="44"/>
      <c r="E7038" s="38"/>
      <c r="F7038" s="38"/>
      <c r="G7038" s="38"/>
      <c r="H7038" s="38"/>
      <c r="I7038" s="38"/>
      <c r="J7038" s="38"/>
      <c r="K7038" s="38"/>
      <c r="L7038" s="41"/>
      <c r="M7038" s="38"/>
      <c r="N7038" s="41"/>
      <c r="O7038" s="38"/>
      <c r="P7038" s="38"/>
      <c r="Q7038" s="38"/>
      <c r="R7038" s="39"/>
      <c r="S7038" s="39"/>
      <c r="T7038" s="39"/>
      <c r="U7038" s="39"/>
    </row>
    <row r="7039">
      <c r="A7039" s="40" t="str">
        <f t="shared" si="1"/>
        <v/>
      </c>
      <c r="B7039" s="37" t="str">
        <f t="array" ref="B7039">iferror(xlookup($I7039, 'IMPORT VHC Report'!$E:$E, 'IMPORT VHC Report'!$A:$C), )</f>
        <v/>
      </c>
      <c r="C7039" s="44"/>
      <c r="D7039" s="44"/>
      <c r="E7039" s="38"/>
      <c r="F7039" s="38"/>
      <c r="G7039" s="38"/>
      <c r="H7039" s="38"/>
      <c r="I7039" s="38"/>
      <c r="J7039" s="38"/>
      <c r="K7039" s="38"/>
      <c r="L7039" s="41"/>
      <c r="M7039" s="38"/>
      <c r="N7039" s="41"/>
      <c r="O7039" s="38"/>
      <c r="P7039" s="38"/>
      <c r="Q7039" s="39"/>
      <c r="R7039" s="39"/>
      <c r="S7039" s="39"/>
      <c r="T7039" s="39"/>
      <c r="U7039" s="39"/>
    </row>
    <row r="7040">
      <c r="A7040" s="40" t="str">
        <f t="shared" si="1"/>
        <v/>
      </c>
      <c r="B7040" s="37" t="str">
        <f t="array" ref="B7040">iferror(xlookup($I7040, 'IMPORT VHC Report'!$E:$E, 'IMPORT VHC Report'!$A:$C), )</f>
        <v/>
      </c>
      <c r="C7040" s="44"/>
      <c r="D7040" s="44"/>
      <c r="E7040" s="38"/>
      <c r="F7040" s="38"/>
      <c r="G7040" s="38"/>
      <c r="H7040" s="38"/>
      <c r="I7040" s="38"/>
      <c r="J7040" s="38"/>
      <c r="K7040" s="38"/>
      <c r="L7040" s="41"/>
      <c r="M7040" s="38"/>
      <c r="N7040" s="41"/>
      <c r="O7040" s="38"/>
      <c r="P7040" s="38"/>
      <c r="Q7040" s="39"/>
      <c r="R7040" s="39"/>
      <c r="S7040" s="39"/>
      <c r="T7040" s="39"/>
      <c r="U7040" s="39"/>
    </row>
    <row r="7041">
      <c r="A7041" s="40" t="str">
        <f t="shared" si="1"/>
        <v/>
      </c>
      <c r="B7041" s="37" t="str">
        <f t="array" ref="B7041">iferror(xlookup($I7041, 'IMPORT VHC Report'!$E:$E, 'IMPORT VHC Report'!$A:$C), )</f>
        <v/>
      </c>
      <c r="C7041" s="44"/>
      <c r="D7041" s="44"/>
      <c r="E7041" s="38"/>
      <c r="F7041" s="38"/>
      <c r="G7041" s="38"/>
      <c r="H7041" s="38"/>
      <c r="I7041" s="38"/>
      <c r="J7041" s="38"/>
      <c r="K7041" s="38"/>
      <c r="L7041" s="41"/>
      <c r="M7041" s="38"/>
      <c r="N7041" s="41"/>
      <c r="O7041" s="38"/>
      <c r="P7041" s="38"/>
      <c r="Q7041" s="39"/>
      <c r="R7041" s="39"/>
      <c r="S7041" s="38"/>
      <c r="T7041" s="39"/>
      <c r="U7041" s="39"/>
    </row>
    <row r="7042">
      <c r="A7042" s="40" t="str">
        <f t="shared" si="1"/>
        <v/>
      </c>
      <c r="B7042" s="37" t="str">
        <f t="array" ref="B7042">iferror(xlookup($I7042, 'IMPORT VHC Report'!$E:$E, 'IMPORT VHC Report'!$A:$C), )</f>
        <v/>
      </c>
      <c r="C7042" s="44"/>
      <c r="D7042" s="44"/>
      <c r="E7042" s="38"/>
      <c r="F7042" s="38"/>
      <c r="G7042" s="38"/>
      <c r="H7042" s="38"/>
      <c r="I7042" s="38"/>
      <c r="J7042" s="38"/>
      <c r="K7042" s="38"/>
      <c r="L7042" s="41"/>
      <c r="M7042" s="38"/>
      <c r="N7042" s="41"/>
      <c r="O7042" s="38"/>
      <c r="P7042" s="38"/>
      <c r="Q7042" s="39"/>
      <c r="R7042" s="39"/>
      <c r="S7042" s="39"/>
      <c r="T7042" s="39"/>
      <c r="U7042" s="39"/>
    </row>
    <row r="7043">
      <c r="A7043" s="40" t="str">
        <f t="shared" si="1"/>
        <v/>
      </c>
      <c r="B7043" s="37" t="str">
        <f t="array" ref="B7043">iferror(xlookup($I7043, 'IMPORT VHC Report'!$E:$E, 'IMPORT VHC Report'!$A:$C), )</f>
        <v/>
      </c>
      <c r="C7043" s="44"/>
      <c r="D7043" s="44"/>
      <c r="E7043" s="38"/>
      <c r="F7043" s="38"/>
      <c r="G7043" s="38"/>
      <c r="H7043" s="38"/>
      <c r="I7043" s="38"/>
      <c r="J7043" s="38"/>
      <c r="K7043" s="38"/>
      <c r="L7043" s="41"/>
      <c r="M7043" s="38"/>
      <c r="N7043" s="41"/>
      <c r="O7043" s="38"/>
      <c r="P7043" s="38"/>
      <c r="Q7043" s="39"/>
      <c r="R7043" s="39"/>
      <c r="S7043" s="38"/>
      <c r="T7043" s="39"/>
      <c r="U7043" s="39"/>
    </row>
    <row r="7044">
      <c r="A7044" s="40" t="str">
        <f t="shared" si="1"/>
        <v/>
      </c>
      <c r="B7044" s="37" t="str">
        <f t="array" ref="B7044">iferror(xlookup($I7044, 'IMPORT VHC Report'!$E:$E, 'IMPORT VHC Report'!$A:$C), )</f>
        <v/>
      </c>
      <c r="C7044" s="44"/>
      <c r="D7044" s="44"/>
      <c r="E7044" s="38"/>
      <c r="F7044" s="38"/>
      <c r="G7044" s="38"/>
      <c r="H7044" s="38"/>
      <c r="I7044" s="38"/>
      <c r="J7044" s="38"/>
      <c r="K7044" s="38"/>
      <c r="L7044" s="41"/>
      <c r="M7044" s="38"/>
      <c r="N7044" s="41"/>
      <c r="O7044" s="38"/>
      <c r="P7044" s="38"/>
      <c r="Q7044" s="39"/>
      <c r="R7044" s="39"/>
      <c r="S7044" s="39"/>
      <c r="T7044" s="39"/>
      <c r="U7044" s="39"/>
    </row>
    <row r="7045">
      <c r="A7045" s="40" t="str">
        <f t="shared" si="1"/>
        <v/>
      </c>
      <c r="B7045" s="37" t="str">
        <f t="array" ref="B7045">iferror(xlookup($I7045, 'IMPORT VHC Report'!$E:$E, 'IMPORT VHC Report'!$A:$C), )</f>
        <v/>
      </c>
      <c r="C7045" s="44"/>
      <c r="D7045" s="44"/>
      <c r="E7045" s="38"/>
      <c r="F7045" s="38"/>
      <c r="G7045" s="38"/>
      <c r="H7045" s="38"/>
      <c r="I7045" s="38"/>
      <c r="J7045" s="38"/>
      <c r="K7045" s="38"/>
      <c r="L7045" s="41"/>
      <c r="M7045" s="38"/>
      <c r="N7045" s="41"/>
      <c r="O7045" s="38"/>
      <c r="P7045" s="38"/>
      <c r="Q7045" s="39"/>
      <c r="R7045" s="39"/>
      <c r="S7045" s="39"/>
      <c r="T7045" s="39"/>
      <c r="U7045" s="39"/>
    </row>
    <row r="7046">
      <c r="A7046" s="40" t="str">
        <f t="shared" si="1"/>
        <v/>
      </c>
      <c r="B7046" s="37" t="str">
        <f t="array" ref="B7046">iferror(xlookup($I7046, 'IMPORT VHC Report'!$E:$E, 'IMPORT VHC Report'!$A:$C), )</f>
        <v/>
      </c>
      <c r="C7046" s="44"/>
      <c r="D7046" s="44"/>
      <c r="E7046" s="38"/>
      <c r="F7046" s="38"/>
      <c r="G7046" s="38"/>
      <c r="H7046" s="38"/>
      <c r="I7046" s="38"/>
      <c r="J7046" s="38"/>
      <c r="K7046" s="38"/>
      <c r="L7046" s="41"/>
      <c r="M7046" s="38"/>
      <c r="N7046" s="41"/>
      <c r="O7046" s="38"/>
      <c r="P7046" s="38"/>
      <c r="Q7046" s="39"/>
      <c r="R7046" s="39"/>
      <c r="S7046" s="39"/>
      <c r="T7046" s="39"/>
      <c r="U7046" s="39"/>
    </row>
    <row r="7047">
      <c r="A7047" s="40" t="str">
        <f t="shared" si="1"/>
        <v/>
      </c>
      <c r="B7047" s="37" t="str">
        <f t="array" ref="B7047">iferror(xlookup($I7047, 'IMPORT VHC Report'!$E:$E, 'IMPORT VHC Report'!$A:$C), )</f>
        <v/>
      </c>
      <c r="C7047" s="44"/>
      <c r="D7047" s="44"/>
      <c r="E7047" s="38"/>
      <c r="F7047" s="38"/>
      <c r="G7047" s="38"/>
      <c r="H7047" s="38"/>
      <c r="I7047" s="38"/>
      <c r="J7047" s="38"/>
      <c r="K7047" s="38"/>
      <c r="L7047" s="41"/>
      <c r="M7047" s="38"/>
      <c r="N7047" s="41"/>
      <c r="O7047" s="38"/>
      <c r="P7047" s="38"/>
      <c r="Q7047" s="39"/>
      <c r="R7047" s="39"/>
      <c r="S7047" s="39"/>
      <c r="T7047" s="39"/>
      <c r="U7047" s="39"/>
    </row>
    <row r="7048">
      <c r="A7048" s="40" t="str">
        <f t="shared" si="1"/>
        <v/>
      </c>
      <c r="B7048" s="37" t="str">
        <f t="array" ref="B7048">iferror(xlookup($I7048, 'IMPORT VHC Report'!$E:$E, 'IMPORT VHC Report'!$A:$C), )</f>
        <v/>
      </c>
      <c r="C7048" s="44"/>
      <c r="D7048" s="44"/>
      <c r="E7048" s="38"/>
      <c r="F7048" s="38"/>
      <c r="G7048" s="38"/>
      <c r="H7048" s="38"/>
      <c r="I7048" s="38"/>
      <c r="J7048" s="38"/>
      <c r="K7048" s="38"/>
      <c r="L7048" s="41"/>
      <c r="M7048" s="38"/>
      <c r="N7048" s="41"/>
      <c r="O7048" s="38"/>
      <c r="P7048" s="38"/>
      <c r="Q7048" s="39"/>
      <c r="R7048" s="39"/>
      <c r="S7048" s="39"/>
      <c r="T7048" s="39"/>
      <c r="U7048" s="39"/>
    </row>
    <row r="7049">
      <c r="A7049" s="40" t="str">
        <f t="shared" si="1"/>
        <v/>
      </c>
      <c r="B7049" s="37" t="str">
        <f t="array" ref="B7049">iferror(xlookup($I7049, 'IMPORT VHC Report'!$E:$E, 'IMPORT VHC Report'!$A:$C), )</f>
        <v/>
      </c>
      <c r="C7049" s="44"/>
      <c r="D7049" s="44"/>
      <c r="E7049" s="38"/>
      <c r="F7049" s="38"/>
      <c r="G7049" s="38"/>
      <c r="H7049" s="38"/>
      <c r="I7049" s="38"/>
      <c r="J7049" s="38"/>
      <c r="K7049" s="38"/>
      <c r="L7049" s="41"/>
      <c r="M7049" s="38"/>
      <c r="N7049" s="41"/>
      <c r="O7049" s="38"/>
      <c r="P7049" s="38"/>
      <c r="Q7049" s="39"/>
      <c r="R7049" s="39"/>
      <c r="S7049" s="39"/>
      <c r="T7049" s="39"/>
      <c r="U7049" s="39"/>
    </row>
    <row r="7050">
      <c r="A7050" s="40" t="str">
        <f t="shared" si="1"/>
        <v/>
      </c>
      <c r="B7050" s="37" t="str">
        <f t="array" ref="B7050">iferror(xlookup($I7050, 'IMPORT VHC Report'!$E:$E, 'IMPORT VHC Report'!$A:$C), )</f>
        <v/>
      </c>
      <c r="C7050" s="44"/>
      <c r="D7050" s="44"/>
      <c r="E7050" s="38"/>
      <c r="F7050" s="38"/>
      <c r="G7050" s="38"/>
      <c r="H7050" s="38"/>
      <c r="I7050" s="38"/>
      <c r="J7050" s="38"/>
      <c r="K7050" s="38"/>
      <c r="L7050" s="41"/>
      <c r="M7050" s="38"/>
      <c r="N7050" s="41"/>
      <c r="O7050" s="38"/>
      <c r="P7050" s="38"/>
      <c r="Q7050" s="39"/>
      <c r="R7050" s="39"/>
      <c r="S7050" s="39"/>
      <c r="T7050" s="39"/>
      <c r="U7050" s="39"/>
    </row>
    <row r="7051">
      <c r="A7051" s="40" t="str">
        <f t="shared" si="1"/>
        <v/>
      </c>
      <c r="B7051" s="37" t="str">
        <f t="array" ref="B7051">iferror(xlookup($I7051, 'IMPORT VHC Report'!$E:$E, 'IMPORT VHC Report'!$A:$C), )</f>
        <v/>
      </c>
      <c r="C7051" s="44"/>
      <c r="D7051" s="44"/>
      <c r="E7051" s="38"/>
      <c r="F7051" s="38"/>
      <c r="G7051" s="38"/>
      <c r="H7051" s="38"/>
      <c r="I7051" s="38"/>
      <c r="J7051" s="38"/>
      <c r="K7051" s="38"/>
      <c r="L7051" s="41"/>
      <c r="M7051" s="38"/>
      <c r="N7051" s="41"/>
      <c r="O7051" s="38"/>
      <c r="P7051" s="38"/>
      <c r="Q7051" s="39"/>
      <c r="R7051" s="39"/>
      <c r="S7051" s="39"/>
      <c r="T7051" s="39"/>
      <c r="U7051" s="39"/>
    </row>
    <row r="7052">
      <c r="A7052" s="40" t="str">
        <f t="shared" si="1"/>
        <v/>
      </c>
      <c r="B7052" s="37" t="str">
        <f t="array" ref="B7052">iferror(xlookup($I7052, 'IMPORT VHC Report'!$E:$E, 'IMPORT VHC Report'!$A:$C), )</f>
        <v/>
      </c>
      <c r="C7052" s="44"/>
      <c r="D7052" s="44"/>
      <c r="E7052" s="38"/>
      <c r="F7052" s="38"/>
      <c r="G7052" s="38"/>
      <c r="H7052" s="38"/>
      <c r="I7052" s="38"/>
      <c r="J7052" s="38"/>
      <c r="K7052" s="38"/>
      <c r="L7052" s="41"/>
      <c r="M7052" s="38"/>
      <c r="N7052" s="41"/>
      <c r="O7052" s="38"/>
      <c r="P7052" s="38"/>
      <c r="Q7052" s="39"/>
      <c r="R7052" s="39"/>
      <c r="S7052" s="39"/>
      <c r="T7052" s="39"/>
      <c r="U7052" s="39"/>
    </row>
    <row r="7053">
      <c r="A7053" s="40" t="str">
        <f t="shared" si="1"/>
        <v/>
      </c>
      <c r="B7053" s="37" t="str">
        <f t="array" ref="B7053">iferror(xlookup($I7053, 'IMPORT VHC Report'!$E:$E, 'IMPORT VHC Report'!$A:$C), )</f>
        <v/>
      </c>
      <c r="C7053" s="44"/>
      <c r="D7053" s="44"/>
      <c r="E7053" s="38"/>
      <c r="F7053" s="38"/>
      <c r="G7053" s="38"/>
      <c r="H7053" s="38"/>
      <c r="I7053" s="38"/>
      <c r="J7053" s="38"/>
      <c r="K7053" s="38"/>
      <c r="L7053" s="41"/>
      <c r="M7053" s="38"/>
      <c r="N7053" s="41"/>
      <c r="O7053" s="38"/>
      <c r="P7053" s="38"/>
      <c r="Q7053" s="39"/>
      <c r="R7053" s="39"/>
      <c r="S7053" s="39"/>
      <c r="T7053" s="39"/>
      <c r="U7053" s="39"/>
    </row>
    <row r="7054">
      <c r="A7054" s="40" t="str">
        <f t="shared" si="1"/>
        <v/>
      </c>
      <c r="B7054" s="37" t="str">
        <f t="array" ref="B7054">iferror(xlookup($I7054, 'IMPORT VHC Report'!$E:$E, 'IMPORT VHC Report'!$A:$C), )</f>
        <v/>
      </c>
      <c r="C7054" s="44"/>
      <c r="D7054" s="44"/>
      <c r="E7054" s="38"/>
      <c r="F7054" s="38"/>
      <c r="G7054" s="38"/>
      <c r="H7054" s="38"/>
      <c r="I7054" s="38"/>
      <c r="J7054" s="38"/>
      <c r="K7054" s="38"/>
      <c r="L7054" s="41"/>
      <c r="M7054" s="38"/>
      <c r="N7054" s="41"/>
      <c r="O7054" s="38"/>
      <c r="P7054" s="38"/>
      <c r="Q7054" s="39"/>
      <c r="R7054" s="39"/>
      <c r="S7054" s="39"/>
      <c r="T7054" s="39"/>
      <c r="U7054" s="39"/>
    </row>
    <row r="7055">
      <c r="A7055" s="40" t="str">
        <f t="shared" si="1"/>
        <v/>
      </c>
      <c r="B7055" s="37" t="str">
        <f t="array" ref="B7055">iferror(xlookup($I7055, 'IMPORT VHC Report'!$E:$E, 'IMPORT VHC Report'!$A:$C), )</f>
        <v/>
      </c>
      <c r="C7055" s="44"/>
      <c r="D7055" s="44"/>
      <c r="E7055" s="38"/>
      <c r="F7055" s="38"/>
      <c r="G7055" s="38"/>
      <c r="H7055" s="38"/>
      <c r="I7055" s="38"/>
      <c r="J7055" s="38"/>
      <c r="K7055" s="38"/>
      <c r="L7055" s="41"/>
      <c r="M7055" s="38"/>
      <c r="N7055" s="41"/>
      <c r="O7055" s="38"/>
      <c r="P7055" s="38"/>
      <c r="Q7055" s="39"/>
      <c r="R7055" s="39"/>
      <c r="S7055" s="39"/>
      <c r="T7055" s="39"/>
      <c r="U7055" s="39"/>
    </row>
    <row r="7056">
      <c r="A7056" s="40" t="str">
        <f t="shared" si="1"/>
        <v/>
      </c>
      <c r="B7056" s="37" t="str">
        <f t="array" ref="B7056">iferror(xlookup($I7056, 'IMPORT VHC Report'!$E:$E, 'IMPORT VHC Report'!$A:$C), )</f>
        <v/>
      </c>
      <c r="C7056" s="44"/>
      <c r="D7056" s="44"/>
      <c r="E7056" s="38"/>
      <c r="F7056" s="38"/>
      <c r="G7056" s="38"/>
      <c r="H7056" s="38"/>
      <c r="I7056" s="38"/>
      <c r="J7056" s="38"/>
      <c r="K7056" s="38"/>
      <c r="L7056" s="41"/>
      <c r="M7056" s="38"/>
      <c r="N7056" s="41"/>
      <c r="O7056" s="38"/>
      <c r="P7056" s="38"/>
      <c r="Q7056" s="39"/>
      <c r="R7056" s="39"/>
      <c r="S7056" s="39"/>
      <c r="T7056" s="39"/>
      <c r="U7056" s="39"/>
    </row>
    <row r="7057">
      <c r="A7057" s="40" t="str">
        <f t="shared" si="1"/>
        <v/>
      </c>
      <c r="B7057" s="37" t="str">
        <f t="array" ref="B7057">iferror(xlookup($I7057, 'IMPORT VHC Report'!$E:$E, 'IMPORT VHC Report'!$A:$C), )</f>
        <v/>
      </c>
      <c r="C7057" s="44"/>
      <c r="D7057" s="44"/>
      <c r="E7057" s="38"/>
      <c r="F7057" s="38"/>
      <c r="G7057" s="38"/>
      <c r="H7057" s="38"/>
      <c r="I7057" s="38"/>
      <c r="J7057" s="38"/>
      <c r="K7057" s="38"/>
      <c r="L7057" s="41"/>
      <c r="M7057" s="38"/>
      <c r="N7057" s="41"/>
      <c r="O7057" s="38"/>
      <c r="P7057" s="38"/>
      <c r="Q7057" s="39"/>
      <c r="R7057" s="39"/>
      <c r="S7057" s="39"/>
      <c r="T7057" s="39"/>
      <c r="U7057" s="39"/>
    </row>
    <row r="7058">
      <c r="A7058" s="40" t="str">
        <f t="shared" si="1"/>
        <v/>
      </c>
      <c r="B7058" s="37" t="str">
        <f t="array" ref="B7058">iferror(xlookup($I7058, 'IMPORT VHC Report'!$E:$E, 'IMPORT VHC Report'!$A:$C), )</f>
        <v/>
      </c>
      <c r="C7058" s="44"/>
      <c r="D7058" s="44"/>
      <c r="E7058" s="38"/>
      <c r="F7058" s="38"/>
      <c r="G7058" s="38"/>
      <c r="H7058" s="38"/>
      <c r="I7058" s="38"/>
      <c r="J7058" s="38"/>
      <c r="K7058" s="38"/>
      <c r="L7058" s="41"/>
      <c r="M7058" s="38"/>
      <c r="N7058" s="41"/>
      <c r="O7058" s="38"/>
      <c r="P7058" s="38"/>
      <c r="Q7058" s="39"/>
      <c r="R7058" s="39"/>
      <c r="S7058" s="39"/>
      <c r="T7058" s="39"/>
      <c r="U7058" s="39"/>
    </row>
    <row r="7059">
      <c r="A7059" s="40" t="str">
        <f t="shared" si="1"/>
        <v/>
      </c>
      <c r="B7059" s="37" t="str">
        <f t="array" ref="B7059">iferror(xlookup($I7059, 'IMPORT VHC Report'!$E:$E, 'IMPORT VHC Report'!$A:$C), )</f>
        <v/>
      </c>
      <c r="C7059" s="44"/>
      <c r="D7059" s="44"/>
      <c r="E7059" s="38"/>
      <c r="F7059" s="38"/>
      <c r="G7059" s="38"/>
      <c r="H7059" s="38"/>
      <c r="I7059" s="38"/>
      <c r="J7059" s="38"/>
      <c r="K7059" s="38"/>
      <c r="L7059" s="41"/>
      <c r="M7059" s="38"/>
      <c r="N7059" s="41"/>
      <c r="O7059" s="38"/>
      <c r="P7059" s="38"/>
      <c r="Q7059" s="39"/>
      <c r="R7059" s="39"/>
      <c r="S7059" s="39"/>
      <c r="T7059" s="39"/>
      <c r="U7059" s="39"/>
    </row>
    <row r="7060">
      <c r="A7060" s="40" t="str">
        <f t="shared" si="1"/>
        <v/>
      </c>
      <c r="B7060" s="37" t="str">
        <f t="array" ref="B7060">iferror(xlookup($I7060, 'IMPORT VHC Report'!$E:$E, 'IMPORT VHC Report'!$A:$C), )</f>
        <v/>
      </c>
      <c r="C7060" s="44"/>
      <c r="D7060" s="44"/>
      <c r="E7060" s="38"/>
      <c r="F7060" s="38"/>
      <c r="G7060" s="38"/>
      <c r="H7060" s="38"/>
      <c r="I7060" s="38"/>
      <c r="J7060" s="38"/>
      <c r="K7060" s="38"/>
      <c r="L7060" s="41"/>
      <c r="M7060" s="38"/>
      <c r="N7060" s="41"/>
      <c r="O7060" s="38"/>
      <c r="P7060" s="38"/>
      <c r="Q7060" s="39"/>
      <c r="R7060" s="39"/>
      <c r="S7060" s="39"/>
      <c r="T7060" s="39"/>
      <c r="U7060" s="39"/>
    </row>
    <row r="7061">
      <c r="A7061" s="40" t="str">
        <f t="shared" si="1"/>
        <v/>
      </c>
      <c r="B7061" s="37" t="str">
        <f t="array" ref="B7061">iferror(xlookup($I7061, 'IMPORT VHC Report'!$E:$E, 'IMPORT VHC Report'!$A:$C), )</f>
        <v/>
      </c>
      <c r="C7061" s="44"/>
      <c r="D7061" s="44"/>
      <c r="E7061" s="38"/>
      <c r="F7061" s="38"/>
      <c r="G7061" s="38"/>
      <c r="H7061" s="38"/>
      <c r="I7061" s="38"/>
      <c r="J7061" s="38"/>
      <c r="K7061" s="38"/>
      <c r="L7061" s="41"/>
      <c r="M7061" s="38"/>
      <c r="N7061" s="41"/>
      <c r="O7061" s="38"/>
      <c r="P7061" s="38"/>
      <c r="Q7061" s="39"/>
      <c r="R7061" s="39"/>
      <c r="S7061" s="39"/>
      <c r="T7061" s="39"/>
      <c r="U7061" s="39"/>
    </row>
    <row r="7062">
      <c r="A7062" s="40" t="str">
        <f t="shared" si="1"/>
        <v/>
      </c>
      <c r="B7062" s="37" t="str">
        <f t="array" ref="B7062">iferror(xlookup($I7062, 'IMPORT VHC Report'!$E:$E, 'IMPORT VHC Report'!$A:$C), )</f>
        <v/>
      </c>
      <c r="C7062" s="44"/>
      <c r="D7062" s="44"/>
      <c r="E7062" s="38"/>
      <c r="F7062" s="38"/>
      <c r="G7062" s="38"/>
      <c r="H7062" s="38"/>
      <c r="I7062" s="38"/>
      <c r="J7062" s="38"/>
      <c r="K7062" s="38"/>
      <c r="L7062" s="41"/>
      <c r="M7062" s="38"/>
      <c r="N7062" s="41"/>
      <c r="O7062" s="38"/>
      <c r="P7062" s="38"/>
      <c r="Q7062" s="39"/>
      <c r="R7062" s="39"/>
      <c r="S7062" s="39"/>
      <c r="T7062" s="39"/>
      <c r="U7062" s="39"/>
    </row>
    <row r="7063">
      <c r="A7063" s="40" t="str">
        <f t="shared" si="1"/>
        <v/>
      </c>
      <c r="B7063" s="37" t="str">
        <f t="array" ref="B7063">iferror(xlookup($I7063, 'IMPORT VHC Report'!$E:$E, 'IMPORT VHC Report'!$A:$C), )</f>
        <v/>
      </c>
      <c r="C7063" s="44"/>
      <c r="D7063" s="44"/>
      <c r="E7063" s="38"/>
      <c r="F7063" s="38"/>
      <c r="G7063" s="38"/>
      <c r="H7063" s="38"/>
      <c r="I7063" s="38"/>
      <c r="J7063" s="38"/>
      <c r="K7063" s="38"/>
      <c r="L7063" s="41"/>
      <c r="M7063" s="38"/>
      <c r="N7063" s="41"/>
      <c r="O7063" s="38"/>
      <c r="P7063" s="38"/>
      <c r="Q7063" s="39"/>
      <c r="R7063" s="39"/>
      <c r="S7063" s="39"/>
      <c r="T7063" s="39"/>
      <c r="U7063" s="39"/>
    </row>
    <row r="7064">
      <c r="A7064" s="40" t="str">
        <f t="shared" si="1"/>
        <v/>
      </c>
      <c r="B7064" s="37" t="str">
        <f t="array" ref="B7064">iferror(xlookup($I7064, 'IMPORT VHC Report'!$E:$E, 'IMPORT VHC Report'!$A:$C), )</f>
        <v/>
      </c>
      <c r="C7064" s="44"/>
      <c r="D7064" s="44"/>
      <c r="E7064" s="38"/>
      <c r="F7064" s="38"/>
      <c r="G7064" s="38"/>
      <c r="H7064" s="38"/>
      <c r="I7064" s="38"/>
      <c r="J7064" s="38"/>
      <c r="K7064" s="38"/>
      <c r="L7064" s="41"/>
      <c r="M7064" s="38"/>
      <c r="N7064" s="41"/>
      <c r="O7064" s="38"/>
      <c r="P7064" s="38"/>
      <c r="Q7064" s="39"/>
      <c r="R7064" s="39"/>
      <c r="S7064" s="39"/>
      <c r="T7064" s="39"/>
      <c r="U7064" s="39"/>
    </row>
    <row r="7065">
      <c r="A7065" s="40" t="str">
        <f t="shared" si="1"/>
        <v/>
      </c>
      <c r="B7065" s="37" t="str">
        <f t="array" ref="B7065">iferror(xlookup($I7065, 'IMPORT VHC Report'!$E:$E, 'IMPORT VHC Report'!$A:$C), )</f>
        <v/>
      </c>
      <c r="C7065" s="44"/>
      <c r="D7065" s="44"/>
      <c r="E7065" s="38"/>
      <c r="F7065" s="38"/>
      <c r="G7065" s="38"/>
      <c r="H7065" s="38"/>
      <c r="I7065" s="38"/>
      <c r="J7065" s="38"/>
      <c r="K7065" s="38"/>
      <c r="L7065" s="41"/>
      <c r="M7065" s="38"/>
      <c r="N7065" s="41"/>
      <c r="O7065" s="38"/>
      <c r="P7065" s="38"/>
      <c r="Q7065" s="39"/>
      <c r="R7065" s="39"/>
      <c r="S7065" s="39"/>
      <c r="T7065" s="39"/>
      <c r="U7065" s="39"/>
    </row>
    <row r="7066">
      <c r="A7066" s="40" t="str">
        <f t="shared" si="1"/>
        <v/>
      </c>
      <c r="B7066" s="37" t="str">
        <f t="array" ref="B7066">iferror(xlookup($I7066, 'IMPORT VHC Report'!$E:$E, 'IMPORT VHC Report'!$A:$C), )</f>
        <v/>
      </c>
      <c r="C7066" s="44"/>
      <c r="D7066" s="44"/>
      <c r="E7066" s="38"/>
      <c r="F7066" s="38"/>
      <c r="G7066" s="38"/>
      <c r="H7066" s="38"/>
      <c r="I7066" s="38"/>
      <c r="J7066" s="38"/>
      <c r="K7066" s="38"/>
      <c r="L7066" s="41"/>
      <c r="M7066" s="38"/>
      <c r="N7066" s="41"/>
      <c r="O7066" s="38"/>
      <c r="P7066" s="38"/>
      <c r="Q7066" s="39"/>
      <c r="R7066" s="39"/>
      <c r="S7066" s="39"/>
      <c r="T7066" s="39"/>
      <c r="U7066" s="39"/>
    </row>
    <row r="7067">
      <c r="A7067" s="40" t="str">
        <f t="shared" si="1"/>
        <v/>
      </c>
      <c r="B7067" s="37" t="str">
        <f t="array" ref="B7067">iferror(xlookup($I7067, 'IMPORT VHC Report'!$E:$E, 'IMPORT VHC Report'!$A:$C), )</f>
        <v/>
      </c>
      <c r="C7067" s="44"/>
      <c r="D7067" s="44"/>
      <c r="E7067" s="38"/>
      <c r="F7067" s="38"/>
      <c r="G7067" s="38"/>
      <c r="H7067" s="38"/>
      <c r="I7067" s="38"/>
      <c r="J7067" s="38"/>
      <c r="K7067" s="38"/>
      <c r="L7067" s="41"/>
      <c r="M7067" s="38"/>
      <c r="N7067" s="41"/>
      <c r="O7067" s="38"/>
      <c r="P7067" s="38"/>
      <c r="Q7067" s="39"/>
      <c r="R7067" s="39"/>
      <c r="S7067" s="38"/>
      <c r="T7067" s="39"/>
      <c r="U7067" s="39"/>
    </row>
    <row r="7068">
      <c r="A7068" s="40" t="str">
        <f t="shared" si="1"/>
        <v/>
      </c>
      <c r="B7068" s="37" t="str">
        <f t="array" ref="B7068">iferror(xlookup($I7068, 'IMPORT VHC Report'!$E:$E, 'IMPORT VHC Report'!$A:$C), )</f>
        <v/>
      </c>
      <c r="C7068" s="44"/>
      <c r="D7068" s="44"/>
      <c r="E7068" s="38"/>
      <c r="F7068" s="38"/>
      <c r="G7068" s="38"/>
      <c r="H7068" s="38"/>
      <c r="I7068" s="38"/>
      <c r="J7068" s="38"/>
      <c r="K7068" s="38"/>
      <c r="L7068" s="41"/>
      <c r="M7068" s="38"/>
      <c r="N7068" s="41"/>
      <c r="O7068" s="38"/>
      <c r="P7068" s="38"/>
      <c r="Q7068" s="39"/>
      <c r="R7068" s="39"/>
      <c r="S7068" s="39"/>
      <c r="T7068" s="39"/>
      <c r="U7068" s="39"/>
    </row>
    <row r="7069">
      <c r="A7069" s="40" t="str">
        <f t="shared" si="1"/>
        <v/>
      </c>
      <c r="B7069" s="37" t="str">
        <f t="array" ref="B7069">iferror(xlookup($I7069, 'IMPORT VHC Report'!$E:$E, 'IMPORT VHC Report'!$A:$C), )</f>
        <v/>
      </c>
      <c r="C7069" s="44"/>
      <c r="D7069" s="44"/>
      <c r="E7069" s="38"/>
      <c r="F7069" s="38"/>
      <c r="G7069" s="38"/>
      <c r="H7069" s="38"/>
      <c r="I7069" s="38"/>
      <c r="J7069" s="38"/>
      <c r="K7069" s="38"/>
      <c r="L7069" s="41"/>
      <c r="M7069" s="38"/>
      <c r="N7069" s="41"/>
      <c r="O7069" s="38"/>
      <c r="P7069" s="38"/>
      <c r="Q7069" s="39"/>
      <c r="R7069" s="39"/>
      <c r="S7069" s="39"/>
      <c r="T7069" s="39"/>
      <c r="U7069" s="39"/>
    </row>
    <row r="7070">
      <c r="A7070" s="40" t="str">
        <f t="shared" si="1"/>
        <v/>
      </c>
      <c r="B7070" s="37" t="str">
        <f t="array" ref="B7070">iferror(xlookup($I7070, 'IMPORT VHC Report'!$E:$E, 'IMPORT VHC Report'!$A:$C), )</f>
        <v/>
      </c>
      <c r="C7070" s="44"/>
      <c r="D7070" s="44"/>
      <c r="E7070" s="38"/>
      <c r="F7070" s="38"/>
      <c r="G7070" s="38"/>
      <c r="H7070" s="38"/>
      <c r="I7070" s="38"/>
      <c r="J7070" s="38"/>
      <c r="K7070" s="38"/>
      <c r="L7070" s="41"/>
      <c r="M7070" s="38"/>
      <c r="N7070" s="41"/>
      <c r="O7070" s="38"/>
      <c r="P7070" s="38"/>
      <c r="Q7070" s="39"/>
      <c r="R7070" s="39"/>
      <c r="S7070" s="39"/>
      <c r="T7070" s="39"/>
      <c r="U7070" s="39"/>
    </row>
    <row r="7071">
      <c r="A7071" s="40" t="str">
        <f t="shared" si="1"/>
        <v/>
      </c>
      <c r="B7071" s="37" t="str">
        <f t="array" ref="B7071">iferror(xlookup($I7071, 'IMPORT VHC Report'!$E:$E, 'IMPORT VHC Report'!$A:$C), )</f>
        <v/>
      </c>
      <c r="C7071" s="44"/>
      <c r="D7071" s="44"/>
      <c r="E7071" s="38"/>
      <c r="F7071" s="38"/>
      <c r="G7071" s="38"/>
      <c r="H7071" s="38"/>
      <c r="I7071" s="38"/>
      <c r="J7071" s="38"/>
      <c r="K7071" s="38"/>
      <c r="L7071" s="41"/>
      <c r="M7071" s="38"/>
      <c r="N7071" s="41"/>
      <c r="O7071" s="38"/>
      <c r="P7071" s="38"/>
      <c r="Q7071" s="39"/>
      <c r="R7071" s="39"/>
      <c r="S7071" s="39"/>
      <c r="T7071" s="39"/>
      <c r="U7071" s="39"/>
    </row>
    <row r="7072">
      <c r="A7072" s="40" t="str">
        <f t="shared" si="1"/>
        <v/>
      </c>
      <c r="B7072" s="37" t="str">
        <f t="array" ref="B7072">iferror(xlookup($I7072, 'IMPORT VHC Report'!$E:$E, 'IMPORT VHC Report'!$A:$C), )</f>
        <v/>
      </c>
      <c r="C7072" s="44"/>
      <c r="D7072" s="44"/>
      <c r="E7072" s="38"/>
      <c r="F7072" s="38"/>
      <c r="G7072" s="38"/>
      <c r="H7072" s="38"/>
      <c r="I7072" s="38"/>
      <c r="J7072" s="38"/>
      <c r="K7072" s="38"/>
      <c r="L7072" s="41"/>
      <c r="M7072" s="38"/>
      <c r="N7072" s="41"/>
      <c r="O7072" s="38"/>
      <c r="P7072" s="38"/>
      <c r="Q7072" s="39"/>
      <c r="R7072" s="39"/>
      <c r="S7072" s="39"/>
      <c r="T7072" s="39"/>
      <c r="U7072" s="39"/>
    </row>
    <row r="7073">
      <c r="A7073" s="40" t="str">
        <f t="shared" si="1"/>
        <v/>
      </c>
      <c r="B7073" s="37" t="str">
        <f t="array" ref="B7073">iferror(xlookup($I7073, 'IMPORT VHC Report'!$E:$E, 'IMPORT VHC Report'!$A:$C), )</f>
        <v/>
      </c>
      <c r="C7073" s="44"/>
      <c r="D7073" s="44"/>
      <c r="E7073" s="38"/>
      <c r="F7073" s="38"/>
      <c r="G7073" s="38"/>
      <c r="H7073" s="38"/>
      <c r="I7073" s="38"/>
      <c r="J7073" s="38"/>
      <c r="K7073" s="38"/>
      <c r="L7073" s="41"/>
      <c r="M7073" s="38"/>
      <c r="N7073" s="41"/>
      <c r="O7073" s="38"/>
      <c r="P7073" s="38"/>
      <c r="Q7073" s="39"/>
      <c r="R7073" s="39"/>
      <c r="S7073" s="39"/>
      <c r="T7073" s="39"/>
      <c r="U7073" s="39"/>
    </row>
    <row r="7074">
      <c r="A7074" s="40" t="str">
        <f t="shared" si="1"/>
        <v/>
      </c>
      <c r="B7074" s="37" t="str">
        <f t="array" ref="B7074">iferror(xlookup($I7074, 'IMPORT VHC Report'!$E:$E, 'IMPORT VHC Report'!$A:$C), )</f>
        <v/>
      </c>
      <c r="C7074" s="44"/>
      <c r="D7074" s="44"/>
      <c r="E7074" s="38"/>
      <c r="F7074" s="38"/>
      <c r="G7074" s="38"/>
      <c r="H7074" s="38"/>
      <c r="I7074" s="38"/>
      <c r="J7074" s="38"/>
      <c r="K7074" s="38"/>
      <c r="L7074" s="41"/>
      <c r="M7074" s="38"/>
      <c r="N7074" s="41"/>
      <c r="O7074" s="38"/>
      <c r="P7074" s="38"/>
      <c r="Q7074" s="39"/>
      <c r="R7074" s="39"/>
      <c r="S7074" s="39"/>
      <c r="T7074" s="39"/>
      <c r="U7074" s="39"/>
    </row>
    <row r="7075">
      <c r="A7075" s="40" t="str">
        <f t="shared" si="1"/>
        <v/>
      </c>
      <c r="B7075" s="37" t="str">
        <f t="array" ref="B7075">iferror(xlookup($I7075, 'IMPORT VHC Report'!$E:$E, 'IMPORT VHC Report'!$A:$C), )</f>
        <v/>
      </c>
      <c r="C7075" s="44"/>
      <c r="D7075" s="44"/>
      <c r="E7075" s="38"/>
      <c r="F7075" s="38"/>
      <c r="G7075" s="38"/>
      <c r="H7075" s="38"/>
      <c r="I7075" s="38"/>
      <c r="J7075" s="38"/>
      <c r="K7075" s="38"/>
      <c r="L7075" s="41"/>
      <c r="M7075" s="38"/>
      <c r="N7075" s="41"/>
      <c r="O7075" s="38"/>
      <c r="P7075" s="38"/>
      <c r="Q7075" s="39"/>
      <c r="R7075" s="39"/>
      <c r="S7075" s="39"/>
      <c r="T7075" s="39"/>
      <c r="U7075" s="39"/>
    </row>
    <row r="7076">
      <c r="A7076" s="40" t="str">
        <f t="shared" si="1"/>
        <v/>
      </c>
      <c r="B7076" s="37" t="str">
        <f t="array" ref="B7076">iferror(xlookup($I7076, 'IMPORT VHC Report'!$E:$E, 'IMPORT VHC Report'!$A:$C), )</f>
        <v/>
      </c>
      <c r="C7076" s="44"/>
      <c r="D7076" s="44"/>
      <c r="E7076" s="38"/>
      <c r="F7076" s="38"/>
      <c r="G7076" s="38"/>
      <c r="H7076" s="38"/>
      <c r="I7076" s="38"/>
      <c r="J7076" s="38"/>
      <c r="K7076" s="38"/>
      <c r="L7076" s="41"/>
      <c r="M7076" s="38"/>
      <c r="N7076" s="41"/>
      <c r="O7076" s="38"/>
      <c r="P7076" s="38"/>
      <c r="Q7076" s="39"/>
      <c r="R7076" s="39"/>
      <c r="S7076" s="39"/>
      <c r="T7076" s="39"/>
      <c r="U7076" s="39"/>
    </row>
    <row r="7077">
      <c r="A7077" s="40" t="str">
        <f t="shared" si="1"/>
        <v/>
      </c>
      <c r="B7077" s="37" t="str">
        <f t="array" ref="B7077">iferror(xlookup($I7077, 'IMPORT VHC Report'!$E:$E, 'IMPORT VHC Report'!$A:$C), )</f>
        <v/>
      </c>
      <c r="C7077" s="44"/>
      <c r="D7077" s="44"/>
      <c r="E7077" s="38"/>
      <c r="F7077" s="38"/>
      <c r="G7077" s="38"/>
      <c r="H7077" s="38"/>
      <c r="I7077" s="38"/>
      <c r="J7077" s="38"/>
      <c r="K7077" s="38"/>
      <c r="L7077" s="41"/>
      <c r="M7077" s="38"/>
      <c r="N7077" s="41"/>
      <c r="O7077" s="38"/>
      <c r="P7077" s="38"/>
      <c r="Q7077" s="39"/>
      <c r="R7077" s="39"/>
      <c r="S7077" s="39"/>
      <c r="T7077" s="39"/>
      <c r="U7077" s="39"/>
    </row>
    <row r="7078">
      <c r="A7078" s="40" t="str">
        <f t="shared" si="1"/>
        <v/>
      </c>
      <c r="B7078" s="37" t="str">
        <f t="array" ref="B7078">iferror(xlookup($I7078, 'IMPORT VHC Report'!$E:$E, 'IMPORT VHC Report'!$A:$C), )</f>
        <v/>
      </c>
      <c r="C7078" s="44"/>
      <c r="D7078" s="44"/>
      <c r="E7078" s="38"/>
      <c r="F7078" s="38"/>
      <c r="G7078" s="38"/>
      <c r="H7078" s="38"/>
      <c r="I7078" s="38"/>
      <c r="J7078" s="38"/>
      <c r="K7078" s="38"/>
      <c r="L7078" s="41"/>
      <c r="M7078" s="38"/>
      <c r="N7078" s="41"/>
      <c r="O7078" s="38"/>
      <c r="P7078" s="38"/>
      <c r="Q7078" s="39"/>
      <c r="R7078" s="39"/>
      <c r="S7078" s="39"/>
      <c r="T7078" s="39"/>
      <c r="U7078" s="39"/>
    </row>
    <row r="7079">
      <c r="A7079" s="40" t="str">
        <f t="shared" si="1"/>
        <v/>
      </c>
      <c r="B7079" s="37" t="str">
        <f t="array" ref="B7079">iferror(xlookup($I7079, 'IMPORT VHC Report'!$E:$E, 'IMPORT VHC Report'!$A:$C), )</f>
        <v/>
      </c>
      <c r="C7079" s="44"/>
      <c r="D7079" s="44"/>
      <c r="E7079" s="38"/>
      <c r="F7079" s="38"/>
      <c r="G7079" s="38"/>
      <c r="H7079" s="38"/>
      <c r="I7079" s="38"/>
      <c r="J7079" s="38"/>
      <c r="K7079" s="38"/>
      <c r="L7079" s="41"/>
      <c r="M7079" s="38"/>
      <c r="N7079" s="41"/>
      <c r="O7079" s="38"/>
      <c r="P7079" s="38"/>
      <c r="Q7079" s="39"/>
      <c r="R7079" s="39"/>
      <c r="S7079" s="39"/>
      <c r="T7079" s="39"/>
      <c r="U7079" s="39"/>
    </row>
    <row r="7080">
      <c r="A7080" s="40" t="str">
        <f t="shared" si="1"/>
        <v/>
      </c>
      <c r="B7080" s="37" t="str">
        <f t="array" ref="B7080">iferror(xlookup($I7080, 'IMPORT VHC Report'!$E:$E, 'IMPORT VHC Report'!$A:$C), )</f>
        <v/>
      </c>
      <c r="C7080" s="44"/>
      <c r="D7080" s="44"/>
      <c r="E7080" s="38"/>
      <c r="F7080" s="38"/>
      <c r="G7080" s="38"/>
      <c r="H7080" s="38"/>
      <c r="I7080" s="38"/>
      <c r="J7080" s="38"/>
      <c r="K7080" s="38"/>
      <c r="L7080" s="41"/>
      <c r="M7080" s="38"/>
      <c r="N7080" s="41"/>
      <c r="O7080" s="38"/>
      <c r="P7080" s="38"/>
      <c r="Q7080" s="39"/>
      <c r="R7080" s="39"/>
      <c r="S7080" s="39"/>
      <c r="T7080" s="39"/>
      <c r="U7080" s="39"/>
    </row>
    <row r="7081">
      <c r="A7081" s="40" t="str">
        <f t="shared" si="1"/>
        <v/>
      </c>
      <c r="B7081" s="37" t="str">
        <f t="array" ref="B7081">iferror(xlookup($I7081, 'IMPORT VHC Report'!$E:$E, 'IMPORT VHC Report'!$A:$C), )</f>
        <v/>
      </c>
      <c r="C7081" s="44"/>
      <c r="D7081" s="44"/>
      <c r="E7081" s="38"/>
      <c r="F7081" s="38"/>
      <c r="G7081" s="38"/>
      <c r="H7081" s="38"/>
      <c r="I7081" s="38"/>
      <c r="J7081" s="38"/>
      <c r="K7081" s="38"/>
      <c r="L7081" s="41"/>
      <c r="M7081" s="38"/>
      <c r="N7081" s="41"/>
      <c r="O7081" s="38"/>
      <c r="P7081" s="38"/>
      <c r="Q7081" s="39"/>
      <c r="R7081" s="39"/>
      <c r="S7081" s="39"/>
      <c r="T7081" s="39"/>
      <c r="U7081" s="39"/>
    </row>
    <row r="7082">
      <c r="A7082" s="40" t="str">
        <f t="shared" si="1"/>
        <v/>
      </c>
      <c r="B7082" s="37" t="str">
        <f t="array" ref="B7082">iferror(xlookup($I7082, 'IMPORT VHC Report'!$E:$E, 'IMPORT VHC Report'!$A:$C), )</f>
        <v/>
      </c>
      <c r="C7082" s="44"/>
      <c r="D7082" s="44"/>
      <c r="E7082" s="38"/>
      <c r="F7082" s="38"/>
      <c r="G7082" s="38"/>
      <c r="H7082" s="38"/>
      <c r="I7082" s="38"/>
      <c r="J7082" s="38"/>
      <c r="K7082" s="38"/>
      <c r="L7082" s="41"/>
      <c r="M7082" s="38"/>
      <c r="N7082" s="41"/>
      <c r="O7082" s="38"/>
      <c r="P7082" s="38"/>
      <c r="Q7082" s="39"/>
      <c r="R7082" s="39"/>
      <c r="S7082" s="39"/>
      <c r="T7082" s="39"/>
      <c r="U7082" s="39"/>
    </row>
    <row r="7083">
      <c r="A7083" s="40" t="str">
        <f t="shared" si="1"/>
        <v/>
      </c>
      <c r="B7083" s="37" t="str">
        <f t="array" ref="B7083">iferror(xlookup($I7083, 'IMPORT VHC Report'!$E:$E, 'IMPORT VHC Report'!$A:$C), )</f>
        <v/>
      </c>
      <c r="C7083" s="44"/>
      <c r="D7083" s="44"/>
      <c r="E7083" s="38"/>
      <c r="F7083" s="38"/>
      <c r="G7083" s="38"/>
      <c r="H7083" s="38"/>
      <c r="I7083" s="38"/>
      <c r="J7083" s="38"/>
      <c r="K7083" s="38"/>
      <c r="L7083" s="41"/>
      <c r="M7083" s="38"/>
      <c r="N7083" s="41"/>
      <c r="O7083" s="38"/>
      <c r="P7083" s="38"/>
      <c r="Q7083" s="39"/>
      <c r="R7083" s="39"/>
      <c r="S7083" s="39"/>
      <c r="T7083" s="39"/>
      <c r="U7083" s="39"/>
    </row>
    <row r="7084">
      <c r="A7084" s="40" t="str">
        <f t="shared" si="1"/>
        <v/>
      </c>
      <c r="B7084" s="37" t="str">
        <f t="array" ref="B7084">iferror(xlookup($I7084, 'IMPORT VHC Report'!$E:$E, 'IMPORT VHC Report'!$A:$C), )</f>
        <v/>
      </c>
      <c r="C7084" s="44"/>
      <c r="D7084" s="44"/>
      <c r="E7084" s="38"/>
      <c r="F7084" s="38"/>
      <c r="G7084" s="38"/>
      <c r="H7084" s="38"/>
      <c r="I7084" s="38"/>
      <c r="J7084" s="38"/>
      <c r="K7084" s="38"/>
      <c r="L7084" s="41"/>
      <c r="M7084" s="38"/>
      <c r="N7084" s="41"/>
      <c r="O7084" s="38"/>
      <c r="P7084" s="38"/>
      <c r="Q7084" s="39"/>
      <c r="R7084" s="39"/>
      <c r="S7084" s="39"/>
      <c r="T7084" s="39"/>
      <c r="U7084" s="39"/>
    </row>
    <row r="7085">
      <c r="A7085" s="40" t="str">
        <f t="shared" si="1"/>
        <v/>
      </c>
      <c r="B7085" s="37" t="str">
        <f t="array" ref="B7085">iferror(xlookup($I7085, 'IMPORT VHC Report'!$E:$E, 'IMPORT VHC Report'!$A:$C), )</f>
        <v/>
      </c>
      <c r="C7085" s="44"/>
      <c r="D7085" s="44"/>
      <c r="E7085" s="38"/>
      <c r="F7085" s="38"/>
      <c r="G7085" s="38"/>
      <c r="H7085" s="38"/>
      <c r="I7085" s="38"/>
      <c r="J7085" s="38"/>
      <c r="K7085" s="38"/>
      <c r="L7085" s="41"/>
      <c r="M7085" s="38"/>
      <c r="N7085" s="41"/>
      <c r="O7085" s="38"/>
      <c r="P7085" s="38"/>
      <c r="Q7085" s="39"/>
      <c r="R7085" s="39"/>
      <c r="S7085" s="39"/>
      <c r="T7085" s="39"/>
      <c r="U7085" s="39"/>
    </row>
    <row r="7086">
      <c r="A7086" s="40" t="str">
        <f t="shared" si="1"/>
        <v/>
      </c>
      <c r="B7086" s="37" t="str">
        <f t="array" ref="B7086">iferror(xlookup($I7086, 'IMPORT VHC Report'!$E:$E, 'IMPORT VHC Report'!$A:$C), )</f>
        <v/>
      </c>
      <c r="C7086" s="44"/>
      <c r="D7086" s="44"/>
      <c r="E7086" s="38"/>
      <c r="F7086" s="38"/>
      <c r="G7086" s="38"/>
      <c r="H7086" s="38"/>
      <c r="I7086" s="38"/>
      <c r="J7086" s="38"/>
      <c r="K7086" s="38"/>
      <c r="L7086" s="41"/>
      <c r="M7086" s="38"/>
      <c r="N7086" s="41"/>
      <c r="O7086" s="38"/>
      <c r="P7086" s="38"/>
      <c r="Q7086" s="39"/>
      <c r="R7086" s="39"/>
      <c r="S7086" s="39"/>
      <c r="T7086" s="39"/>
      <c r="U7086" s="39"/>
    </row>
    <row r="7087">
      <c r="A7087" s="40" t="str">
        <f t="shared" si="1"/>
        <v/>
      </c>
      <c r="B7087" s="37" t="str">
        <f t="array" ref="B7087">iferror(xlookup($I7087, 'IMPORT VHC Report'!$E:$E, 'IMPORT VHC Report'!$A:$C), )</f>
        <v/>
      </c>
      <c r="C7087" s="44"/>
      <c r="D7087" s="44"/>
      <c r="E7087" s="38"/>
      <c r="F7087" s="38"/>
      <c r="G7087" s="38"/>
      <c r="H7087" s="38"/>
      <c r="I7087" s="38"/>
      <c r="J7087" s="38"/>
      <c r="K7087" s="38"/>
      <c r="L7087" s="41"/>
      <c r="M7087" s="38"/>
      <c r="N7087" s="41"/>
      <c r="O7087" s="38"/>
      <c r="P7087" s="38"/>
      <c r="Q7087" s="39"/>
      <c r="R7087" s="39"/>
      <c r="S7087" s="39"/>
      <c r="T7087" s="39"/>
      <c r="U7087" s="39"/>
    </row>
    <row r="7088">
      <c r="A7088" s="40" t="str">
        <f t="shared" si="1"/>
        <v/>
      </c>
      <c r="B7088" s="37" t="str">
        <f t="array" ref="B7088">iferror(xlookup($I7088, 'IMPORT VHC Report'!$E:$E, 'IMPORT VHC Report'!$A:$C), )</f>
        <v/>
      </c>
      <c r="C7088" s="44"/>
      <c r="D7088" s="44"/>
      <c r="E7088" s="38"/>
      <c r="F7088" s="38"/>
      <c r="G7088" s="38"/>
      <c r="H7088" s="38"/>
      <c r="I7088" s="38"/>
      <c r="J7088" s="38"/>
      <c r="K7088" s="38"/>
      <c r="L7088" s="41"/>
      <c r="M7088" s="38"/>
      <c r="N7088" s="41"/>
      <c r="O7088" s="38"/>
      <c r="P7088" s="38"/>
      <c r="Q7088" s="39"/>
      <c r="R7088" s="39"/>
      <c r="S7088" s="39"/>
      <c r="T7088" s="39"/>
      <c r="U7088" s="39"/>
    </row>
    <row r="7089">
      <c r="A7089" s="40" t="str">
        <f t="shared" si="1"/>
        <v/>
      </c>
      <c r="B7089" s="37" t="str">
        <f t="array" ref="B7089">iferror(xlookup($I7089, 'IMPORT VHC Report'!$E:$E, 'IMPORT VHC Report'!$A:$C), )</f>
        <v/>
      </c>
      <c r="C7089" s="44"/>
      <c r="D7089" s="44"/>
      <c r="E7089" s="38"/>
      <c r="F7089" s="38"/>
      <c r="G7089" s="38"/>
      <c r="H7089" s="38"/>
      <c r="I7089" s="38"/>
      <c r="J7089" s="38"/>
      <c r="K7089" s="38"/>
      <c r="L7089" s="41"/>
      <c r="M7089" s="38"/>
      <c r="N7089" s="41"/>
      <c r="O7089" s="38"/>
      <c r="P7089" s="38"/>
      <c r="Q7089" s="39"/>
      <c r="R7089" s="39"/>
      <c r="S7089" s="39"/>
      <c r="T7089" s="39"/>
      <c r="U7089" s="39"/>
    </row>
    <row r="7090">
      <c r="A7090" s="40" t="str">
        <f t="shared" si="1"/>
        <v/>
      </c>
      <c r="B7090" s="37" t="str">
        <f t="array" ref="B7090">iferror(xlookup($I7090, 'IMPORT VHC Report'!$E:$E, 'IMPORT VHC Report'!$A:$C), )</f>
        <v/>
      </c>
      <c r="C7090" s="44"/>
      <c r="D7090" s="44"/>
      <c r="E7090" s="38"/>
      <c r="F7090" s="38"/>
      <c r="G7090" s="38"/>
      <c r="H7090" s="38"/>
      <c r="I7090" s="38"/>
      <c r="J7090" s="38"/>
      <c r="K7090" s="38"/>
      <c r="L7090" s="41"/>
      <c r="M7090" s="38"/>
      <c r="N7090" s="41"/>
      <c r="O7090" s="38"/>
      <c r="P7090" s="38"/>
      <c r="Q7090" s="39"/>
      <c r="R7090" s="39"/>
      <c r="S7090" s="39"/>
      <c r="T7090" s="39"/>
      <c r="U7090" s="39"/>
    </row>
    <row r="7091">
      <c r="A7091" s="40" t="str">
        <f t="shared" si="1"/>
        <v/>
      </c>
      <c r="B7091" s="37" t="str">
        <f t="array" ref="B7091">iferror(xlookup($I7091, 'IMPORT VHC Report'!$E:$E, 'IMPORT VHC Report'!$A:$C), )</f>
        <v/>
      </c>
      <c r="C7091" s="44"/>
      <c r="D7091" s="44"/>
      <c r="E7091" s="38"/>
      <c r="F7091" s="38"/>
      <c r="G7091" s="38"/>
      <c r="H7091" s="38"/>
      <c r="I7091" s="38"/>
      <c r="J7091" s="38"/>
      <c r="K7091" s="38"/>
      <c r="L7091" s="41"/>
      <c r="M7091" s="38"/>
      <c r="N7091" s="41"/>
      <c r="O7091" s="38"/>
      <c r="P7091" s="38"/>
      <c r="Q7091" s="39"/>
      <c r="R7091" s="39"/>
      <c r="S7091" s="39"/>
      <c r="T7091" s="39"/>
      <c r="U7091" s="39"/>
    </row>
    <row r="7092">
      <c r="A7092" s="40" t="str">
        <f t="shared" si="1"/>
        <v/>
      </c>
      <c r="B7092" s="37" t="str">
        <f t="array" ref="B7092">iferror(xlookup($I7092, 'IMPORT VHC Report'!$E:$E, 'IMPORT VHC Report'!$A:$C), )</f>
        <v/>
      </c>
      <c r="C7092" s="44"/>
      <c r="D7092" s="44"/>
      <c r="E7092" s="38"/>
      <c r="F7092" s="38"/>
      <c r="G7092" s="38"/>
      <c r="H7092" s="38"/>
      <c r="I7092" s="38"/>
      <c r="J7092" s="38"/>
      <c r="K7092" s="38"/>
      <c r="L7092" s="41"/>
      <c r="M7092" s="38"/>
      <c r="N7092" s="41"/>
      <c r="O7092" s="38"/>
      <c r="P7092" s="38"/>
      <c r="Q7092" s="39"/>
      <c r="R7092" s="39"/>
      <c r="S7092" s="39"/>
      <c r="T7092" s="39"/>
      <c r="U7092" s="39"/>
    </row>
    <row r="7093">
      <c r="A7093" s="40" t="str">
        <f t="shared" si="1"/>
        <v/>
      </c>
      <c r="B7093" s="37" t="str">
        <f t="array" ref="B7093">iferror(xlookup($I7093, 'IMPORT VHC Report'!$E:$E, 'IMPORT VHC Report'!$A:$C), )</f>
        <v/>
      </c>
      <c r="C7093" s="44"/>
      <c r="D7093" s="44"/>
      <c r="E7093" s="38"/>
      <c r="F7093" s="38"/>
      <c r="G7093" s="38"/>
      <c r="H7093" s="38"/>
      <c r="I7093" s="38"/>
      <c r="J7093" s="38"/>
      <c r="K7093" s="38"/>
      <c r="L7093" s="41"/>
      <c r="M7093" s="38"/>
      <c r="N7093" s="41"/>
      <c r="O7093" s="38"/>
      <c r="P7093" s="38"/>
      <c r="Q7093" s="39"/>
      <c r="R7093" s="39"/>
      <c r="S7093" s="39"/>
      <c r="T7093" s="39"/>
      <c r="U7093" s="39"/>
    </row>
    <row r="7094">
      <c r="A7094" s="40" t="str">
        <f t="shared" si="1"/>
        <v/>
      </c>
      <c r="B7094" s="37" t="str">
        <f t="array" ref="B7094">iferror(xlookup($I7094, 'IMPORT VHC Report'!$E:$E, 'IMPORT VHC Report'!$A:$C), )</f>
        <v/>
      </c>
      <c r="C7094" s="44"/>
      <c r="D7094" s="44"/>
      <c r="E7094" s="38"/>
      <c r="F7094" s="38"/>
      <c r="G7094" s="38"/>
      <c r="H7094" s="38"/>
      <c r="I7094" s="38"/>
      <c r="J7094" s="38"/>
      <c r="K7094" s="38"/>
      <c r="L7094" s="41"/>
      <c r="M7094" s="38"/>
      <c r="N7094" s="41"/>
      <c r="O7094" s="38"/>
      <c r="P7094" s="38"/>
      <c r="Q7094" s="39"/>
      <c r="R7094" s="39"/>
      <c r="S7094" s="39"/>
      <c r="T7094" s="39"/>
      <c r="U7094" s="39"/>
    </row>
    <row r="7095">
      <c r="A7095" s="40" t="str">
        <f t="shared" si="1"/>
        <v/>
      </c>
      <c r="B7095" s="37" t="str">
        <f t="array" ref="B7095">iferror(xlookup($I7095, 'IMPORT VHC Report'!$E:$E, 'IMPORT VHC Report'!$A:$C), )</f>
        <v/>
      </c>
      <c r="C7095" s="44"/>
      <c r="D7095" s="44"/>
      <c r="E7095" s="38"/>
      <c r="F7095" s="38"/>
      <c r="G7095" s="38"/>
      <c r="H7095" s="38"/>
      <c r="I7095" s="38"/>
      <c r="J7095" s="38"/>
      <c r="K7095" s="38"/>
      <c r="L7095" s="41"/>
      <c r="M7095" s="38"/>
      <c r="N7095" s="41"/>
      <c r="O7095" s="38"/>
      <c r="P7095" s="38"/>
      <c r="Q7095" s="39"/>
      <c r="R7095" s="39"/>
      <c r="S7095" s="39"/>
      <c r="T7095" s="39"/>
      <c r="U7095" s="39"/>
    </row>
    <row r="7096">
      <c r="A7096" s="40" t="str">
        <f t="shared" si="1"/>
        <v/>
      </c>
      <c r="B7096" s="37" t="str">
        <f t="array" ref="B7096">iferror(xlookup($I7096, 'IMPORT VHC Report'!$E:$E, 'IMPORT VHC Report'!$A:$C), )</f>
        <v/>
      </c>
      <c r="C7096" s="44"/>
      <c r="D7096" s="44"/>
      <c r="E7096" s="38"/>
      <c r="F7096" s="38"/>
      <c r="G7096" s="38"/>
      <c r="H7096" s="38"/>
      <c r="I7096" s="38"/>
      <c r="J7096" s="38"/>
      <c r="K7096" s="38"/>
      <c r="L7096" s="41"/>
      <c r="M7096" s="38"/>
      <c r="N7096" s="41"/>
      <c r="O7096" s="38"/>
      <c r="P7096" s="38"/>
      <c r="Q7096" s="39"/>
      <c r="R7096" s="39"/>
      <c r="S7096" s="38"/>
      <c r="T7096" s="39"/>
      <c r="U7096" s="39"/>
    </row>
    <row r="7097">
      <c r="A7097" s="40" t="str">
        <f t="shared" si="1"/>
        <v/>
      </c>
      <c r="B7097" s="37" t="str">
        <f t="array" ref="B7097">iferror(xlookup($I7097, 'IMPORT VHC Report'!$E:$E, 'IMPORT VHC Report'!$A:$C), )</f>
        <v/>
      </c>
      <c r="C7097" s="44"/>
      <c r="D7097" s="44"/>
      <c r="E7097" s="38"/>
      <c r="F7097" s="38"/>
      <c r="G7097" s="38"/>
      <c r="H7097" s="38"/>
      <c r="I7097" s="38"/>
      <c r="J7097" s="38"/>
      <c r="K7097" s="38"/>
      <c r="L7097" s="41"/>
      <c r="M7097" s="38"/>
      <c r="N7097" s="41"/>
      <c r="O7097" s="38"/>
      <c r="P7097" s="38"/>
      <c r="Q7097" s="39"/>
      <c r="R7097" s="39"/>
      <c r="S7097" s="39"/>
      <c r="T7097" s="39"/>
      <c r="U7097" s="39"/>
    </row>
    <row r="7098">
      <c r="A7098" s="40" t="str">
        <f t="shared" si="1"/>
        <v/>
      </c>
      <c r="B7098" s="37" t="str">
        <f t="array" ref="B7098">iferror(xlookup($I7098, 'IMPORT VHC Report'!$E:$E, 'IMPORT VHC Report'!$A:$C), )</f>
        <v/>
      </c>
      <c r="C7098" s="44"/>
      <c r="D7098" s="44"/>
      <c r="E7098" s="38"/>
      <c r="F7098" s="38"/>
      <c r="G7098" s="38"/>
      <c r="H7098" s="38"/>
      <c r="I7098" s="38"/>
      <c r="J7098" s="38"/>
      <c r="K7098" s="38"/>
      <c r="L7098" s="41"/>
      <c r="M7098" s="38"/>
      <c r="N7098" s="41"/>
      <c r="O7098" s="38"/>
      <c r="P7098" s="38"/>
      <c r="Q7098" s="39"/>
      <c r="R7098" s="39"/>
      <c r="S7098" s="39"/>
      <c r="T7098" s="39"/>
      <c r="U7098" s="39"/>
    </row>
    <row r="7099">
      <c r="A7099" s="40" t="str">
        <f t="shared" si="1"/>
        <v/>
      </c>
      <c r="B7099" s="37" t="str">
        <f t="array" ref="B7099">iferror(xlookup($I7099, 'IMPORT VHC Report'!$E:$E, 'IMPORT VHC Report'!$A:$C), )</f>
        <v/>
      </c>
      <c r="C7099" s="44"/>
      <c r="D7099" s="44"/>
      <c r="E7099" s="38"/>
      <c r="F7099" s="38"/>
      <c r="G7099" s="38"/>
      <c r="H7099" s="38"/>
      <c r="I7099" s="38"/>
      <c r="J7099" s="38"/>
      <c r="K7099" s="38"/>
      <c r="L7099" s="41"/>
      <c r="M7099" s="38"/>
      <c r="N7099" s="41"/>
      <c r="O7099" s="38"/>
      <c r="P7099" s="38"/>
      <c r="Q7099" s="39"/>
      <c r="R7099" s="39"/>
      <c r="S7099" s="39"/>
      <c r="T7099" s="39"/>
      <c r="U7099" s="39"/>
    </row>
    <row r="7100">
      <c r="A7100" s="40" t="str">
        <f t="shared" si="1"/>
        <v/>
      </c>
      <c r="B7100" s="37" t="str">
        <f t="array" ref="B7100">iferror(xlookup($I7100, 'IMPORT VHC Report'!$E:$E, 'IMPORT VHC Report'!$A:$C), )</f>
        <v/>
      </c>
      <c r="C7100" s="44"/>
      <c r="D7100" s="44"/>
      <c r="E7100" s="38"/>
      <c r="F7100" s="38"/>
      <c r="G7100" s="38"/>
      <c r="H7100" s="38"/>
      <c r="I7100" s="38"/>
      <c r="J7100" s="38"/>
      <c r="K7100" s="38"/>
      <c r="L7100" s="41"/>
      <c r="M7100" s="38"/>
      <c r="N7100" s="41"/>
      <c r="O7100" s="38"/>
      <c r="P7100" s="38"/>
      <c r="Q7100" s="39"/>
      <c r="R7100" s="39"/>
      <c r="S7100" s="39"/>
      <c r="T7100" s="39"/>
      <c r="U7100" s="39"/>
    </row>
    <row r="7101">
      <c r="A7101" s="40" t="str">
        <f t="shared" si="1"/>
        <v/>
      </c>
      <c r="B7101" s="37" t="str">
        <f t="array" ref="B7101">iferror(xlookup($I7101, 'IMPORT VHC Report'!$E:$E, 'IMPORT VHC Report'!$A:$C), )</f>
        <v/>
      </c>
      <c r="C7101" s="44"/>
      <c r="D7101" s="44"/>
      <c r="E7101" s="38"/>
      <c r="F7101" s="38"/>
      <c r="G7101" s="38"/>
      <c r="H7101" s="38"/>
      <c r="I7101" s="38"/>
      <c r="J7101" s="38"/>
      <c r="K7101" s="38"/>
      <c r="L7101" s="41"/>
      <c r="M7101" s="38"/>
      <c r="N7101" s="41"/>
      <c r="O7101" s="38"/>
      <c r="P7101" s="38"/>
      <c r="Q7101" s="39"/>
      <c r="R7101" s="39"/>
      <c r="S7101" s="39"/>
      <c r="T7101" s="39"/>
      <c r="U7101" s="39"/>
    </row>
    <row r="7102">
      <c r="A7102" s="40" t="str">
        <f t="shared" si="1"/>
        <v/>
      </c>
      <c r="B7102" s="37" t="str">
        <f t="array" ref="B7102">iferror(xlookup($I7102, 'IMPORT VHC Report'!$E:$E, 'IMPORT VHC Report'!$A:$C), )</f>
        <v/>
      </c>
      <c r="C7102" s="44"/>
      <c r="D7102" s="44"/>
      <c r="E7102" s="38"/>
      <c r="F7102" s="38"/>
      <c r="G7102" s="38"/>
      <c r="H7102" s="38"/>
      <c r="I7102" s="38"/>
      <c r="J7102" s="38"/>
      <c r="K7102" s="38"/>
      <c r="L7102" s="41"/>
      <c r="M7102" s="38"/>
      <c r="N7102" s="41"/>
      <c r="O7102" s="38"/>
      <c r="P7102" s="38"/>
      <c r="Q7102" s="39"/>
      <c r="R7102" s="39"/>
      <c r="S7102" s="39"/>
      <c r="T7102" s="39"/>
      <c r="U7102" s="39"/>
    </row>
    <row r="7103">
      <c r="A7103" s="40" t="str">
        <f t="shared" si="1"/>
        <v/>
      </c>
      <c r="B7103" s="37" t="str">
        <f t="array" ref="B7103">iferror(xlookup($I7103, 'IMPORT VHC Report'!$E:$E, 'IMPORT VHC Report'!$A:$C), )</f>
        <v/>
      </c>
      <c r="C7103" s="44"/>
      <c r="D7103" s="44"/>
      <c r="E7103" s="38"/>
      <c r="F7103" s="38"/>
      <c r="G7103" s="38"/>
      <c r="H7103" s="38"/>
      <c r="I7103" s="38"/>
      <c r="J7103" s="38"/>
      <c r="K7103" s="38"/>
      <c r="L7103" s="41"/>
      <c r="M7103" s="38"/>
      <c r="N7103" s="41"/>
      <c r="O7103" s="38"/>
      <c r="P7103" s="38"/>
      <c r="Q7103" s="38"/>
      <c r="R7103" s="39"/>
      <c r="S7103" s="39"/>
      <c r="T7103" s="39"/>
      <c r="U7103" s="39"/>
    </row>
    <row r="7104">
      <c r="A7104" s="40" t="str">
        <f t="shared" si="1"/>
        <v/>
      </c>
      <c r="B7104" s="37" t="str">
        <f t="array" ref="B7104">iferror(xlookup($I7104, 'IMPORT VHC Report'!$E:$E, 'IMPORT VHC Report'!$A:$C), )</f>
        <v/>
      </c>
      <c r="C7104" s="44"/>
      <c r="D7104" s="44"/>
      <c r="E7104" s="38"/>
      <c r="F7104" s="38"/>
      <c r="G7104" s="38"/>
      <c r="H7104" s="38"/>
      <c r="I7104" s="38"/>
      <c r="J7104" s="38"/>
      <c r="K7104" s="38"/>
      <c r="L7104" s="41"/>
      <c r="M7104" s="38"/>
      <c r="N7104" s="41"/>
      <c r="O7104" s="38"/>
      <c r="P7104" s="38"/>
      <c r="Q7104" s="39"/>
      <c r="R7104" s="39"/>
      <c r="S7104" s="39"/>
      <c r="T7104" s="39"/>
      <c r="U7104" s="39"/>
    </row>
    <row r="7105">
      <c r="A7105" s="40" t="str">
        <f t="shared" si="1"/>
        <v/>
      </c>
      <c r="B7105" s="37" t="str">
        <f t="array" ref="B7105">iferror(xlookup($I7105, 'IMPORT VHC Report'!$E:$E, 'IMPORT VHC Report'!$A:$C), )</f>
        <v/>
      </c>
      <c r="C7105" s="44"/>
      <c r="D7105" s="44"/>
      <c r="E7105" s="38"/>
      <c r="F7105" s="38"/>
      <c r="G7105" s="38"/>
      <c r="H7105" s="38"/>
      <c r="I7105" s="38"/>
      <c r="J7105" s="38"/>
      <c r="K7105" s="38"/>
      <c r="L7105" s="41"/>
      <c r="M7105" s="38"/>
      <c r="N7105" s="41"/>
      <c r="O7105" s="38"/>
      <c r="P7105" s="38"/>
      <c r="Q7105" s="39"/>
      <c r="R7105" s="39"/>
      <c r="S7105" s="39"/>
      <c r="T7105" s="39"/>
      <c r="U7105" s="39"/>
    </row>
    <row r="7106">
      <c r="A7106" s="40" t="str">
        <f t="shared" si="1"/>
        <v/>
      </c>
      <c r="B7106" s="37" t="str">
        <f t="array" ref="B7106">iferror(xlookup($I7106, 'IMPORT VHC Report'!$E:$E, 'IMPORT VHC Report'!$A:$C), )</f>
        <v/>
      </c>
      <c r="C7106" s="44"/>
      <c r="D7106" s="44"/>
      <c r="E7106" s="38"/>
      <c r="F7106" s="38"/>
      <c r="G7106" s="38"/>
      <c r="H7106" s="38"/>
      <c r="I7106" s="38"/>
      <c r="J7106" s="38"/>
      <c r="K7106" s="38"/>
      <c r="L7106" s="41"/>
      <c r="M7106" s="38"/>
      <c r="N7106" s="41"/>
      <c r="O7106" s="38"/>
      <c r="P7106" s="38"/>
      <c r="Q7106" s="38"/>
      <c r="R7106" s="39"/>
      <c r="S7106" s="39"/>
      <c r="T7106" s="39"/>
      <c r="U7106" s="39"/>
    </row>
    <row r="7107">
      <c r="A7107" s="40" t="str">
        <f t="shared" si="1"/>
        <v/>
      </c>
      <c r="B7107" s="37" t="str">
        <f t="array" ref="B7107">iferror(xlookup($I7107, 'IMPORT VHC Report'!$E:$E, 'IMPORT VHC Report'!$A:$C), )</f>
        <v/>
      </c>
      <c r="C7107" s="44"/>
      <c r="D7107" s="44"/>
      <c r="E7107" s="38"/>
      <c r="F7107" s="38"/>
      <c r="G7107" s="38"/>
      <c r="H7107" s="38"/>
      <c r="I7107" s="38"/>
      <c r="J7107" s="38"/>
      <c r="K7107" s="38"/>
      <c r="L7107" s="41"/>
      <c r="M7107" s="38"/>
      <c r="N7107" s="41"/>
      <c r="O7107" s="38"/>
      <c r="P7107" s="38"/>
      <c r="Q7107" s="39"/>
      <c r="R7107" s="39"/>
      <c r="S7107" s="39"/>
      <c r="T7107" s="39"/>
      <c r="U7107" s="39"/>
    </row>
    <row r="7108">
      <c r="A7108" s="40" t="str">
        <f t="shared" si="1"/>
        <v/>
      </c>
      <c r="B7108" s="37" t="str">
        <f t="array" ref="B7108">iferror(xlookup($I7108, 'IMPORT VHC Report'!$E:$E, 'IMPORT VHC Report'!$A:$C), )</f>
        <v/>
      </c>
      <c r="C7108" s="44"/>
      <c r="D7108" s="44"/>
      <c r="E7108" s="38"/>
      <c r="F7108" s="38"/>
      <c r="G7108" s="38"/>
      <c r="H7108" s="38"/>
      <c r="I7108" s="38"/>
      <c r="J7108" s="38"/>
      <c r="K7108" s="38"/>
      <c r="L7108" s="41"/>
      <c r="M7108" s="38"/>
      <c r="N7108" s="41"/>
      <c r="O7108" s="38"/>
      <c r="P7108" s="38"/>
      <c r="Q7108" s="39"/>
      <c r="R7108" s="39"/>
      <c r="S7108" s="39"/>
      <c r="T7108" s="39"/>
      <c r="U7108" s="39"/>
    </row>
    <row r="7109">
      <c r="A7109" s="40" t="str">
        <f t="shared" si="1"/>
        <v/>
      </c>
      <c r="B7109" s="37" t="str">
        <f t="array" ref="B7109">iferror(xlookup($I7109, 'IMPORT VHC Report'!$E:$E, 'IMPORT VHC Report'!$A:$C), )</f>
        <v/>
      </c>
      <c r="C7109" s="44"/>
      <c r="D7109" s="44"/>
      <c r="E7109" s="38"/>
      <c r="F7109" s="38"/>
      <c r="G7109" s="38"/>
      <c r="H7109" s="38"/>
      <c r="I7109" s="38"/>
      <c r="J7109" s="38"/>
      <c r="K7109" s="38"/>
      <c r="L7109" s="41"/>
      <c r="M7109" s="38"/>
      <c r="N7109" s="41"/>
      <c r="O7109" s="38"/>
      <c r="P7109" s="38"/>
      <c r="Q7109" s="39"/>
      <c r="R7109" s="39"/>
      <c r="S7109" s="39"/>
      <c r="T7109" s="39"/>
      <c r="U7109" s="39"/>
    </row>
    <row r="7110">
      <c r="A7110" s="40" t="str">
        <f t="shared" si="1"/>
        <v/>
      </c>
      <c r="B7110" s="37" t="str">
        <f t="array" ref="B7110">iferror(xlookup($I7110, 'IMPORT VHC Report'!$E:$E, 'IMPORT VHC Report'!$A:$C), )</f>
        <v/>
      </c>
      <c r="C7110" s="44"/>
      <c r="D7110" s="44"/>
      <c r="E7110" s="38"/>
      <c r="F7110" s="38"/>
      <c r="G7110" s="38"/>
      <c r="H7110" s="38"/>
      <c r="I7110" s="38"/>
      <c r="J7110" s="38"/>
      <c r="K7110" s="38"/>
      <c r="L7110" s="41"/>
      <c r="M7110" s="38"/>
      <c r="N7110" s="41"/>
      <c r="O7110" s="38"/>
      <c r="P7110" s="38"/>
      <c r="Q7110" s="38"/>
      <c r="R7110" s="39"/>
      <c r="S7110" s="39"/>
      <c r="T7110" s="39"/>
      <c r="U7110" s="39"/>
    </row>
    <row r="7111">
      <c r="A7111" s="40" t="str">
        <f t="shared" si="1"/>
        <v/>
      </c>
      <c r="B7111" s="37" t="str">
        <f t="array" ref="B7111">iferror(xlookup($I7111, 'IMPORT VHC Report'!$E:$E, 'IMPORT VHC Report'!$A:$C), )</f>
        <v/>
      </c>
      <c r="C7111" s="44"/>
      <c r="D7111" s="44"/>
      <c r="E7111" s="38"/>
      <c r="F7111" s="38"/>
      <c r="G7111" s="38"/>
      <c r="H7111" s="38"/>
      <c r="I7111" s="38"/>
      <c r="J7111" s="38"/>
      <c r="K7111" s="38"/>
      <c r="L7111" s="41"/>
      <c r="M7111" s="38"/>
      <c r="N7111" s="41"/>
      <c r="O7111" s="38"/>
      <c r="P7111" s="38"/>
      <c r="Q7111" s="39"/>
      <c r="R7111" s="39"/>
      <c r="S7111" s="39"/>
      <c r="T7111" s="39"/>
      <c r="U7111" s="39"/>
    </row>
    <row r="7112">
      <c r="A7112" s="40" t="str">
        <f t="shared" si="1"/>
        <v/>
      </c>
      <c r="B7112" s="37" t="str">
        <f t="array" ref="B7112">iferror(xlookup($I7112, 'IMPORT VHC Report'!$E:$E, 'IMPORT VHC Report'!$A:$C), )</f>
        <v/>
      </c>
      <c r="C7112" s="44"/>
      <c r="D7112" s="44"/>
      <c r="E7112" s="38"/>
      <c r="F7112" s="38"/>
      <c r="G7112" s="38"/>
      <c r="H7112" s="38"/>
      <c r="I7112" s="38"/>
      <c r="J7112" s="38"/>
      <c r="K7112" s="38"/>
      <c r="L7112" s="41"/>
      <c r="M7112" s="38"/>
      <c r="N7112" s="41"/>
      <c r="O7112" s="38"/>
      <c r="P7112" s="38"/>
      <c r="Q7112" s="39"/>
      <c r="R7112" s="39"/>
      <c r="S7112" s="39"/>
      <c r="T7112" s="39"/>
      <c r="U7112" s="39"/>
    </row>
    <row r="7113">
      <c r="A7113" s="40" t="str">
        <f t="shared" si="1"/>
        <v/>
      </c>
      <c r="B7113" s="37" t="str">
        <f t="array" ref="B7113">iferror(xlookup($I7113, 'IMPORT VHC Report'!$E:$E, 'IMPORT VHC Report'!$A:$C), )</f>
        <v/>
      </c>
      <c r="C7113" s="44"/>
      <c r="D7113" s="44"/>
      <c r="E7113" s="38"/>
      <c r="F7113" s="38"/>
      <c r="G7113" s="38"/>
      <c r="H7113" s="38"/>
      <c r="I7113" s="38"/>
      <c r="J7113" s="38"/>
      <c r="K7113" s="38"/>
      <c r="L7113" s="41"/>
      <c r="M7113" s="38"/>
      <c r="N7113" s="41"/>
      <c r="O7113" s="38"/>
      <c r="P7113" s="38"/>
      <c r="Q7113" s="39"/>
      <c r="R7113" s="39"/>
      <c r="S7113" s="39"/>
      <c r="T7113" s="39"/>
      <c r="U7113" s="39"/>
    </row>
    <row r="7114">
      <c r="A7114" s="40" t="str">
        <f t="shared" si="1"/>
        <v/>
      </c>
      <c r="B7114" s="37" t="str">
        <f t="array" ref="B7114">iferror(xlookup($I7114, 'IMPORT VHC Report'!$E:$E, 'IMPORT VHC Report'!$A:$C), )</f>
        <v/>
      </c>
      <c r="C7114" s="44"/>
      <c r="D7114" s="44"/>
      <c r="E7114" s="38"/>
      <c r="F7114" s="38"/>
      <c r="G7114" s="38"/>
      <c r="H7114" s="38"/>
      <c r="I7114" s="38"/>
      <c r="J7114" s="38"/>
      <c r="K7114" s="38"/>
      <c r="L7114" s="41"/>
      <c r="M7114" s="38"/>
      <c r="N7114" s="41"/>
      <c r="O7114" s="38"/>
      <c r="P7114" s="38"/>
      <c r="Q7114" s="39"/>
      <c r="R7114" s="39"/>
      <c r="S7114" s="39"/>
      <c r="T7114" s="39"/>
      <c r="U7114" s="39"/>
    </row>
    <row r="7115">
      <c r="A7115" s="40" t="str">
        <f t="shared" si="1"/>
        <v/>
      </c>
      <c r="B7115" s="37" t="str">
        <f t="array" ref="B7115">iferror(xlookup($I7115, 'IMPORT VHC Report'!$E:$E, 'IMPORT VHC Report'!$A:$C), )</f>
        <v/>
      </c>
      <c r="C7115" s="44"/>
      <c r="D7115" s="44"/>
      <c r="E7115" s="38"/>
      <c r="F7115" s="38"/>
      <c r="G7115" s="38"/>
      <c r="H7115" s="38"/>
      <c r="I7115" s="38"/>
      <c r="J7115" s="38"/>
      <c r="K7115" s="38"/>
      <c r="L7115" s="41"/>
      <c r="M7115" s="38"/>
      <c r="N7115" s="41"/>
      <c r="O7115" s="38"/>
      <c r="P7115" s="38"/>
      <c r="Q7115" s="39"/>
      <c r="R7115" s="39"/>
      <c r="S7115" s="39"/>
      <c r="T7115" s="39"/>
      <c r="U7115" s="39"/>
    </row>
    <row r="7116">
      <c r="A7116" s="40" t="str">
        <f t="shared" si="1"/>
        <v/>
      </c>
      <c r="B7116" s="37" t="str">
        <f t="array" ref="B7116">iferror(xlookup($I7116, 'IMPORT VHC Report'!$E:$E, 'IMPORT VHC Report'!$A:$C), )</f>
        <v/>
      </c>
      <c r="C7116" s="44"/>
      <c r="D7116" s="44"/>
      <c r="E7116" s="38"/>
      <c r="F7116" s="38"/>
      <c r="G7116" s="38"/>
      <c r="H7116" s="38"/>
      <c r="I7116" s="38"/>
      <c r="J7116" s="38"/>
      <c r="K7116" s="38"/>
      <c r="L7116" s="41"/>
      <c r="M7116" s="38"/>
      <c r="N7116" s="41"/>
      <c r="O7116" s="38"/>
      <c r="P7116" s="38"/>
      <c r="Q7116" s="39"/>
      <c r="R7116" s="39"/>
      <c r="S7116" s="39"/>
      <c r="T7116" s="39"/>
      <c r="U7116" s="39"/>
    </row>
    <row r="7117">
      <c r="A7117" s="40" t="str">
        <f t="shared" si="1"/>
        <v/>
      </c>
      <c r="B7117" s="37" t="str">
        <f t="array" ref="B7117">iferror(xlookup($I7117, 'IMPORT VHC Report'!$E:$E, 'IMPORT VHC Report'!$A:$C), )</f>
        <v/>
      </c>
      <c r="C7117" s="44"/>
      <c r="D7117" s="44"/>
      <c r="E7117" s="38"/>
      <c r="F7117" s="38"/>
      <c r="G7117" s="38"/>
      <c r="H7117" s="38"/>
      <c r="I7117" s="38"/>
      <c r="J7117" s="38"/>
      <c r="K7117" s="38"/>
      <c r="L7117" s="41"/>
      <c r="M7117" s="38"/>
      <c r="N7117" s="41"/>
      <c r="O7117" s="38"/>
      <c r="P7117" s="38"/>
      <c r="Q7117" s="39"/>
      <c r="R7117" s="39"/>
      <c r="S7117" s="39"/>
      <c r="T7117" s="39"/>
      <c r="U7117" s="39"/>
    </row>
    <row r="7118">
      <c r="A7118" s="40" t="str">
        <f t="shared" si="1"/>
        <v/>
      </c>
      <c r="B7118" s="37" t="str">
        <f t="array" ref="B7118">iferror(xlookup($I7118, 'IMPORT VHC Report'!$E:$E, 'IMPORT VHC Report'!$A:$C), )</f>
        <v/>
      </c>
      <c r="C7118" s="44"/>
      <c r="D7118" s="44"/>
      <c r="E7118" s="38"/>
      <c r="F7118" s="38"/>
      <c r="G7118" s="38"/>
      <c r="H7118" s="38"/>
      <c r="I7118" s="38"/>
      <c r="J7118" s="38"/>
      <c r="K7118" s="38"/>
      <c r="L7118" s="41"/>
      <c r="M7118" s="38"/>
      <c r="N7118" s="41"/>
      <c r="O7118" s="38"/>
      <c r="P7118" s="38"/>
      <c r="Q7118" s="39"/>
      <c r="R7118" s="39"/>
      <c r="S7118" s="39"/>
      <c r="T7118" s="39"/>
      <c r="U7118" s="39"/>
    </row>
    <row r="7119">
      <c r="A7119" s="40" t="str">
        <f t="shared" si="1"/>
        <v/>
      </c>
      <c r="B7119" s="37" t="str">
        <f t="array" ref="B7119">iferror(xlookup($I7119, 'IMPORT VHC Report'!$E:$E, 'IMPORT VHC Report'!$A:$C), )</f>
        <v/>
      </c>
      <c r="C7119" s="44"/>
      <c r="D7119" s="44"/>
      <c r="E7119" s="38"/>
      <c r="F7119" s="38"/>
      <c r="G7119" s="38"/>
      <c r="H7119" s="38"/>
      <c r="I7119" s="38"/>
      <c r="J7119" s="38"/>
      <c r="K7119" s="38"/>
      <c r="L7119" s="41"/>
      <c r="M7119" s="38"/>
      <c r="N7119" s="41"/>
      <c r="O7119" s="38"/>
      <c r="P7119" s="38"/>
      <c r="Q7119" s="38"/>
      <c r="R7119" s="39"/>
      <c r="S7119" s="39"/>
      <c r="T7119" s="39"/>
      <c r="U7119" s="39"/>
    </row>
    <row r="7120">
      <c r="A7120" s="40" t="str">
        <f t="shared" si="1"/>
        <v/>
      </c>
      <c r="B7120" s="37" t="str">
        <f t="array" ref="B7120">iferror(xlookup($I7120, 'IMPORT VHC Report'!$E:$E, 'IMPORT VHC Report'!$A:$C), )</f>
        <v/>
      </c>
      <c r="C7120" s="44"/>
      <c r="D7120" s="44"/>
      <c r="E7120" s="38"/>
      <c r="F7120" s="38"/>
      <c r="G7120" s="38"/>
      <c r="H7120" s="38"/>
      <c r="I7120" s="38"/>
      <c r="J7120" s="38"/>
      <c r="K7120" s="38"/>
      <c r="L7120" s="41"/>
      <c r="M7120" s="38"/>
      <c r="N7120" s="41"/>
      <c r="O7120" s="38"/>
      <c r="P7120" s="38"/>
      <c r="Q7120" s="39"/>
      <c r="R7120" s="39"/>
      <c r="S7120" s="39"/>
      <c r="T7120" s="39"/>
      <c r="U7120" s="39"/>
    </row>
    <row r="7121">
      <c r="A7121" s="40" t="str">
        <f t="shared" si="1"/>
        <v/>
      </c>
      <c r="B7121" s="37" t="str">
        <f t="array" ref="B7121">iferror(xlookup($I7121, 'IMPORT VHC Report'!$E:$E, 'IMPORT VHC Report'!$A:$C), )</f>
        <v/>
      </c>
      <c r="C7121" s="44"/>
      <c r="D7121" s="44"/>
      <c r="E7121" s="38"/>
      <c r="F7121" s="38"/>
      <c r="G7121" s="38"/>
      <c r="H7121" s="38"/>
      <c r="I7121" s="38"/>
      <c r="J7121" s="38"/>
      <c r="K7121" s="38"/>
      <c r="L7121" s="41"/>
      <c r="M7121" s="38"/>
      <c r="N7121" s="41"/>
      <c r="O7121" s="38"/>
      <c r="P7121" s="38"/>
      <c r="Q7121" s="39"/>
      <c r="R7121" s="39"/>
      <c r="S7121" s="38"/>
      <c r="T7121" s="39"/>
      <c r="U7121" s="39"/>
    </row>
    <row r="7122">
      <c r="A7122" s="40" t="str">
        <f t="shared" si="1"/>
        <v/>
      </c>
      <c r="B7122" s="37" t="str">
        <f t="array" ref="B7122">iferror(xlookup($I7122, 'IMPORT VHC Report'!$E:$E, 'IMPORT VHC Report'!$A:$C), )</f>
        <v/>
      </c>
      <c r="C7122" s="44"/>
      <c r="D7122" s="44"/>
      <c r="E7122" s="38"/>
      <c r="F7122" s="38"/>
      <c r="G7122" s="38"/>
      <c r="H7122" s="38"/>
      <c r="I7122" s="38"/>
      <c r="J7122" s="38"/>
      <c r="K7122" s="38"/>
      <c r="L7122" s="41"/>
      <c r="M7122" s="38"/>
      <c r="N7122" s="41"/>
      <c r="O7122" s="38"/>
      <c r="P7122" s="38"/>
      <c r="Q7122" s="39"/>
      <c r="R7122" s="39"/>
      <c r="S7122" s="39"/>
      <c r="T7122" s="39"/>
      <c r="U7122" s="39"/>
    </row>
    <row r="7123">
      <c r="A7123" s="40" t="str">
        <f t="shared" si="1"/>
        <v/>
      </c>
      <c r="B7123" s="37" t="str">
        <f t="array" ref="B7123">iferror(xlookup($I7123, 'IMPORT VHC Report'!$E:$E, 'IMPORT VHC Report'!$A:$C), )</f>
        <v/>
      </c>
      <c r="C7123" s="44"/>
      <c r="D7123" s="44"/>
      <c r="E7123" s="38"/>
      <c r="F7123" s="38"/>
      <c r="G7123" s="38"/>
      <c r="H7123" s="38"/>
      <c r="I7123" s="38"/>
      <c r="J7123" s="38"/>
      <c r="K7123" s="38"/>
      <c r="L7123" s="41"/>
      <c r="M7123" s="38"/>
      <c r="N7123" s="41"/>
      <c r="O7123" s="38"/>
      <c r="P7123" s="38"/>
      <c r="Q7123" s="39"/>
      <c r="R7123" s="39"/>
      <c r="S7123" s="39"/>
      <c r="T7123" s="39"/>
      <c r="U7123" s="39"/>
    </row>
    <row r="7124">
      <c r="A7124" s="40" t="str">
        <f t="shared" si="1"/>
        <v/>
      </c>
      <c r="B7124" s="37" t="str">
        <f t="array" ref="B7124">iferror(xlookup($I7124, 'IMPORT VHC Report'!$E:$E, 'IMPORT VHC Report'!$A:$C), )</f>
        <v/>
      </c>
      <c r="C7124" s="44"/>
      <c r="D7124" s="44"/>
      <c r="E7124" s="38"/>
      <c r="F7124" s="38"/>
      <c r="G7124" s="38"/>
      <c r="H7124" s="38"/>
      <c r="I7124" s="38"/>
      <c r="J7124" s="38"/>
      <c r="K7124" s="38"/>
      <c r="L7124" s="41"/>
      <c r="M7124" s="38"/>
      <c r="N7124" s="41"/>
      <c r="O7124" s="38"/>
      <c r="P7124" s="38"/>
      <c r="Q7124" s="39"/>
      <c r="R7124" s="39"/>
      <c r="S7124" s="39"/>
      <c r="T7124" s="39"/>
      <c r="U7124" s="39"/>
    </row>
    <row r="7125">
      <c r="A7125" s="40" t="str">
        <f t="shared" si="1"/>
        <v/>
      </c>
      <c r="B7125" s="37" t="str">
        <f t="array" ref="B7125">iferror(xlookup($I7125, 'IMPORT VHC Report'!$E:$E, 'IMPORT VHC Report'!$A:$C), )</f>
        <v/>
      </c>
      <c r="C7125" s="44"/>
      <c r="D7125" s="44"/>
      <c r="E7125" s="38"/>
      <c r="F7125" s="38"/>
      <c r="G7125" s="38"/>
      <c r="H7125" s="38"/>
      <c r="I7125" s="38"/>
      <c r="J7125" s="38"/>
      <c r="K7125" s="38"/>
      <c r="L7125" s="41"/>
      <c r="M7125" s="38"/>
      <c r="N7125" s="41"/>
      <c r="O7125" s="38"/>
      <c r="P7125" s="38"/>
      <c r="Q7125" s="39"/>
      <c r="R7125" s="39"/>
      <c r="S7125" s="39"/>
      <c r="T7125" s="39"/>
      <c r="U7125" s="39"/>
    </row>
    <row r="7126">
      <c r="A7126" s="40" t="str">
        <f t="shared" si="1"/>
        <v/>
      </c>
      <c r="B7126" s="37" t="str">
        <f t="array" ref="B7126">iferror(xlookup($I7126, 'IMPORT VHC Report'!$E:$E, 'IMPORT VHC Report'!$A:$C), )</f>
        <v/>
      </c>
      <c r="C7126" s="44"/>
      <c r="D7126" s="44"/>
      <c r="E7126" s="38"/>
      <c r="F7126" s="38"/>
      <c r="G7126" s="38"/>
      <c r="H7126" s="38"/>
      <c r="I7126" s="38"/>
      <c r="J7126" s="38"/>
      <c r="K7126" s="38"/>
      <c r="L7126" s="41"/>
      <c r="M7126" s="38"/>
      <c r="N7126" s="41"/>
      <c r="O7126" s="38"/>
      <c r="P7126" s="38"/>
      <c r="Q7126" s="39"/>
      <c r="R7126" s="39"/>
      <c r="S7126" s="39"/>
      <c r="T7126" s="39"/>
      <c r="U7126" s="39"/>
    </row>
    <row r="7127">
      <c r="A7127" s="40" t="str">
        <f t="shared" si="1"/>
        <v/>
      </c>
      <c r="B7127" s="37" t="str">
        <f t="array" ref="B7127">iferror(xlookup($I7127, 'IMPORT VHC Report'!$E:$E, 'IMPORT VHC Report'!$A:$C), )</f>
        <v/>
      </c>
      <c r="C7127" s="44"/>
      <c r="D7127" s="44"/>
      <c r="E7127" s="38"/>
      <c r="F7127" s="38"/>
      <c r="G7127" s="38"/>
      <c r="H7127" s="38"/>
      <c r="I7127" s="38"/>
      <c r="J7127" s="38"/>
      <c r="K7127" s="38"/>
      <c r="L7127" s="41"/>
      <c r="M7127" s="38"/>
      <c r="N7127" s="41"/>
      <c r="O7127" s="38"/>
      <c r="P7127" s="38"/>
      <c r="Q7127" s="39"/>
      <c r="R7127" s="39"/>
      <c r="S7127" s="39"/>
      <c r="T7127" s="39"/>
      <c r="U7127" s="39"/>
    </row>
    <row r="7128">
      <c r="A7128" s="40" t="str">
        <f t="shared" si="1"/>
        <v/>
      </c>
      <c r="B7128" s="37" t="str">
        <f t="array" ref="B7128">iferror(xlookup($I7128, 'IMPORT VHC Report'!$E:$E, 'IMPORT VHC Report'!$A:$C), )</f>
        <v/>
      </c>
      <c r="C7128" s="44"/>
      <c r="D7128" s="44"/>
      <c r="E7128" s="38"/>
      <c r="F7128" s="38"/>
      <c r="G7128" s="38"/>
      <c r="H7128" s="38"/>
      <c r="I7128" s="38"/>
      <c r="J7128" s="38"/>
      <c r="K7128" s="38"/>
      <c r="L7128" s="41"/>
      <c r="M7128" s="38"/>
      <c r="N7128" s="41"/>
      <c r="O7128" s="38"/>
      <c r="P7128" s="38"/>
      <c r="Q7128" s="39"/>
      <c r="R7128" s="39"/>
      <c r="S7128" s="39"/>
      <c r="T7128" s="39"/>
      <c r="U7128" s="39"/>
    </row>
    <row r="7129">
      <c r="A7129" s="40" t="str">
        <f t="shared" si="1"/>
        <v/>
      </c>
      <c r="B7129" s="37" t="str">
        <f t="array" ref="B7129">iferror(xlookup($I7129, 'IMPORT VHC Report'!$E:$E, 'IMPORT VHC Report'!$A:$C), )</f>
        <v/>
      </c>
      <c r="C7129" s="44"/>
      <c r="D7129" s="44"/>
      <c r="E7129" s="38"/>
      <c r="F7129" s="38"/>
      <c r="G7129" s="38"/>
      <c r="H7129" s="38"/>
      <c r="I7129" s="38"/>
      <c r="J7129" s="38"/>
      <c r="K7129" s="38"/>
      <c r="L7129" s="41"/>
      <c r="M7129" s="38"/>
      <c r="N7129" s="41"/>
      <c r="O7129" s="38"/>
      <c r="P7129" s="38"/>
      <c r="Q7129" s="39"/>
      <c r="R7129" s="39"/>
      <c r="S7129" s="39"/>
      <c r="T7129" s="39"/>
      <c r="U7129" s="39"/>
    </row>
    <row r="7130">
      <c r="A7130" s="40" t="str">
        <f t="shared" si="1"/>
        <v/>
      </c>
      <c r="B7130" s="37" t="str">
        <f t="array" ref="B7130">iferror(xlookup($I7130, 'IMPORT VHC Report'!$E:$E, 'IMPORT VHC Report'!$A:$C), )</f>
        <v/>
      </c>
      <c r="C7130" s="44"/>
      <c r="D7130" s="44"/>
      <c r="E7130" s="38"/>
      <c r="F7130" s="38"/>
      <c r="G7130" s="38"/>
      <c r="H7130" s="38"/>
      <c r="I7130" s="38"/>
      <c r="J7130" s="38"/>
      <c r="K7130" s="38"/>
      <c r="L7130" s="41"/>
      <c r="M7130" s="38"/>
      <c r="N7130" s="41"/>
      <c r="O7130" s="38"/>
      <c r="P7130" s="38"/>
      <c r="Q7130" s="39"/>
      <c r="R7130" s="39"/>
      <c r="S7130" s="39"/>
      <c r="T7130" s="39"/>
      <c r="U7130" s="39"/>
    </row>
    <row r="7131">
      <c r="A7131" s="40" t="str">
        <f t="shared" si="1"/>
        <v/>
      </c>
      <c r="B7131" s="37" t="str">
        <f t="array" ref="B7131">iferror(xlookup($I7131, 'IMPORT VHC Report'!$E:$E, 'IMPORT VHC Report'!$A:$C), )</f>
        <v/>
      </c>
      <c r="C7131" s="44"/>
      <c r="D7131" s="44"/>
      <c r="E7131" s="38"/>
      <c r="F7131" s="38"/>
      <c r="G7131" s="38"/>
      <c r="H7131" s="38"/>
      <c r="I7131" s="38"/>
      <c r="J7131" s="38"/>
      <c r="K7131" s="38"/>
      <c r="L7131" s="41"/>
      <c r="M7131" s="38"/>
      <c r="N7131" s="41"/>
      <c r="O7131" s="38"/>
      <c r="P7131" s="38"/>
      <c r="Q7131" s="39"/>
      <c r="R7131" s="39"/>
      <c r="S7131" s="39"/>
      <c r="T7131" s="39"/>
      <c r="U7131" s="39"/>
    </row>
    <row r="7132">
      <c r="A7132" s="40" t="str">
        <f t="shared" si="1"/>
        <v/>
      </c>
      <c r="B7132" s="37" t="str">
        <f t="array" ref="B7132">iferror(xlookup($I7132, 'IMPORT VHC Report'!$E:$E, 'IMPORT VHC Report'!$A:$C), )</f>
        <v/>
      </c>
      <c r="C7132" s="44"/>
      <c r="D7132" s="44"/>
      <c r="E7132" s="38"/>
      <c r="F7132" s="38"/>
      <c r="G7132" s="38"/>
      <c r="H7132" s="38"/>
      <c r="I7132" s="38"/>
      <c r="J7132" s="38"/>
      <c r="K7132" s="38"/>
      <c r="L7132" s="41"/>
      <c r="M7132" s="38"/>
      <c r="N7132" s="41"/>
      <c r="O7132" s="38"/>
      <c r="P7132" s="38"/>
      <c r="Q7132" s="39"/>
      <c r="R7132" s="39"/>
      <c r="S7132" s="38"/>
      <c r="T7132" s="39"/>
      <c r="U7132" s="39"/>
    </row>
    <row r="7133">
      <c r="A7133" s="40" t="str">
        <f t="shared" si="1"/>
        <v/>
      </c>
      <c r="B7133" s="37" t="str">
        <f t="array" ref="B7133">iferror(xlookup($I7133, 'IMPORT VHC Report'!$E:$E, 'IMPORT VHC Report'!$A:$C), )</f>
        <v/>
      </c>
      <c r="C7133" s="44"/>
      <c r="D7133" s="44"/>
      <c r="E7133" s="38"/>
      <c r="F7133" s="38"/>
      <c r="G7133" s="38"/>
      <c r="H7133" s="38"/>
      <c r="I7133" s="38"/>
      <c r="J7133" s="38"/>
      <c r="K7133" s="38"/>
      <c r="L7133" s="41"/>
      <c r="M7133" s="38"/>
      <c r="N7133" s="41"/>
      <c r="O7133" s="38"/>
      <c r="P7133" s="38"/>
      <c r="Q7133" s="39"/>
      <c r="R7133" s="39"/>
      <c r="S7133" s="39"/>
      <c r="T7133" s="39"/>
      <c r="U7133" s="39"/>
    </row>
    <row r="7134">
      <c r="A7134" s="40" t="str">
        <f t="shared" si="1"/>
        <v/>
      </c>
      <c r="B7134" s="37" t="str">
        <f t="array" ref="B7134">iferror(xlookup($I7134, 'IMPORT VHC Report'!$E:$E, 'IMPORT VHC Report'!$A:$C), )</f>
        <v/>
      </c>
      <c r="C7134" s="44"/>
      <c r="D7134" s="44"/>
      <c r="E7134" s="38"/>
      <c r="F7134" s="38"/>
      <c r="G7134" s="38"/>
      <c r="H7134" s="38"/>
      <c r="I7134" s="38"/>
      <c r="J7134" s="38"/>
      <c r="K7134" s="38"/>
      <c r="L7134" s="41"/>
      <c r="M7134" s="38"/>
      <c r="N7134" s="41"/>
      <c r="O7134" s="38"/>
      <c r="P7134" s="38"/>
      <c r="Q7134" s="39"/>
      <c r="R7134" s="39"/>
      <c r="S7134" s="39"/>
      <c r="T7134" s="39"/>
      <c r="U7134" s="39"/>
    </row>
    <row r="7135">
      <c r="A7135" s="40" t="str">
        <f t="shared" si="1"/>
        <v/>
      </c>
      <c r="B7135" s="37" t="str">
        <f t="array" ref="B7135">iferror(xlookup($I7135, 'IMPORT VHC Report'!$E:$E, 'IMPORT VHC Report'!$A:$C), )</f>
        <v/>
      </c>
      <c r="C7135" s="44"/>
      <c r="D7135" s="44"/>
      <c r="E7135" s="38"/>
      <c r="F7135" s="38"/>
      <c r="G7135" s="38"/>
      <c r="H7135" s="38"/>
      <c r="I7135" s="38"/>
      <c r="J7135" s="38"/>
      <c r="K7135" s="38"/>
      <c r="L7135" s="41"/>
      <c r="M7135" s="38"/>
      <c r="N7135" s="41"/>
      <c r="O7135" s="38"/>
      <c r="P7135" s="38"/>
      <c r="Q7135" s="39"/>
      <c r="R7135" s="39"/>
      <c r="S7135" s="39"/>
      <c r="T7135" s="39"/>
      <c r="U7135" s="39"/>
    </row>
    <row r="7136">
      <c r="A7136" s="40" t="str">
        <f t="shared" si="1"/>
        <v/>
      </c>
      <c r="B7136" s="37" t="str">
        <f t="array" ref="B7136">iferror(xlookup($I7136, 'IMPORT VHC Report'!$E:$E, 'IMPORT VHC Report'!$A:$C), )</f>
        <v/>
      </c>
      <c r="C7136" s="44"/>
      <c r="D7136" s="44"/>
      <c r="E7136" s="38"/>
      <c r="F7136" s="38"/>
      <c r="G7136" s="38"/>
      <c r="H7136" s="38"/>
      <c r="I7136" s="38"/>
      <c r="J7136" s="38"/>
      <c r="K7136" s="38"/>
      <c r="L7136" s="41"/>
      <c r="M7136" s="38"/>
      <c r="N7136" s="41"/>
      <c r="O7136" s="38"/>
      <c r="P7136" s="38"/>
      <c r="Q7136" s="39"/>
      <c r="R7136" s="39"/>
      <c r="S7136" s="39"/>
      <c r="T7136" s="39"/>
      <c r="U7136" s="39"/>
    </row>
    <row r="7137">
      <c r="A7137" s="40" t="str">
        <f t="shared" si="1"/>
        <v/>
      </c>
      <c r="B7137" s="37" t="str">
        <f t="array" ref="B7137">iferror(xlookup($I7137, 'IMPORT VHC Report'!$E:$E, 'IMPORT VHC Report'!$A:$C), )</f>
        <v/>
      </c>
      <c r="C7137" s="44"/>
      <c r="D7137" s="44"/>
      <c r="E7137" s="38"/>
      <c r="F7137" s="38"/>
      <c r="G7137" s="38"/>
      <c r="H7137" s="38"/>
      <c r="I7137" s="38"/>
      <c r="J7137" s="38"/>
      <c r="K7137" s="38"/>
      <c r="L7137" s="41"/>
      <c r="M7137" s="38"/>
      <c r="N7137" s="41"/>
      <c r="O7137" s="38"/>
      <c r="P7137" s="38"/>
      <c r="Q7137" s="39"/>
      <c r="R7137" s="39"/>
      <c r="S7137" s="39"/>
      <c r="T7137" s="39"/>
      <c r="U7137" s="39"/>
    </row>
    <row r="7138">
      <c r="A7138" s="40" t="str">
        <f t="shared" si="1"/>
        <v/>
      </c>
      <c r="B7138" s="37" t="str">
        <f t="array" ref="B7138">iferror(xlookup($I7138, 'IMPORT VHC Report'!$E:$E, 'IMPORT VHC Report'!$A:$C), )</f>
        <v/>
      </c>
      <c r="C7138" s="44"/>
      <c r="D7138" s="44"/>
      <c r="E7138" s="38"/>
      <c r="F7138" s="38"/>
      <c r="G7138" s="38"/>
      <c r="H7138" s="38"/>
      <c r="I7138" s="38"/>
      <c r="J7138" s="38"/>
      <c r="K7138" s="38"/>
      <c r="L7138" s="41"/>
      <c r="M7138" s="38"/>
      <c r="N7138" s="41"/>
      <c r="O7138" s="38"/>
      <c r="P7138" s="38"/>
      <c r="Q7138" s="38"/>
      <c r="R7138" s="39"/>
      <c r="S7138" s="39"/>
      <c r="T7138" s="39"/>
      <c r="U7138" s="39"/>
    </row>
    <row r="7139">
      <c r="A7139" s="40" t="str">
        <f t="shared" si="1"/>
        <v/>
      </c>
      <c r="B7139" s="37" t="str">
        <f t="array" ref="B7139">iferror(xlookup($I7139, 'IMPORT VHC Report'!$E:$E, 'IMPORT VHC Report'!$A:$C), )</f>
        <v/>
      </c>
      <c r="C7139" s="44"/>
      <c r="D7139" s="44"/>
      <c r="E7139" s="38"/>
      <c r="F7139" s="38"/>
      <c r="G7139" s="38"/>
      <c r="H7139" s="38"/>
      <c r="I7139" s="38"/>
      <c r="J7139" s="38"/>
      <c r="K7139" s="38"/>
      <c r="L7139" s="41"/>
      <c r="M7139" s="38"/>
      <c r="N7139" s="41"/>
      <c r="O7139" s="38"/>
      <c r="P7139" s="38"/>
      <c r="Q7139" s="39"/>
      <c r="R7139" s="39"/>
      <c r="S7139" s="39"/>
      <c r="T7139" s="39"/>
      <c r="U7139" s="39"/>
    </row>
    <row r="7140">
      <c r="A7140" s="40" t="str">
        <f t="shared" si="1"/>
        <v/>
      </c>
      <c r="B7140" s="37" t="str">
        <f t="array" ref="B7140">iferror(xlookup($I7140, 'IMPORT VHC Report'!$E:$E, 'IMPORT VHC Report'!$A:$C), )</f>
        <v/>
      </c>
      <c r="C7140" s="44"/>
      <c r="D7140" s="44"/>
      <c r="E7140" s="38"/>
      <c r="F7140" s="38"/>
      <c r="G7140" s="38"/>
      <c r="H7140" s="38"/>
      <c r="I7140" s="38"/>
      <c r="J7140" s="38"/>
      <c r="K7140" s="38"/>
      <c r="L7140" s="41"/>
      <c r="M7140" s="38"/>
      <c r="N7140" s="41"/>
      <c r="O7140" s="38"/>
      <c r="P7140" s="38"/>
      <c r="Q7140" s="39"/>
      <c r="R7140" s="39"/>
      <c r="S7140" s="38"/>
      <c r="T7140" s="39"/>
      <c r="U7140" s="39"/>
    </row>
    <row r="7141">
      <c r="A7141" s="40" t="str">
        <f t="shared" si="1"/>
        <v/>
      </c>
      <c r="B7141" s="37" t="str">
        <f t="array" ref="B7141">iferror(xlookup($I7141, 'IMPORT VHC Report'!$E:$E, 'IMPORT VHC Report'!$A:$C), )</f>
        <v/>
      </c>
      <c r="C7141" s="44"/>
      <c r="D7141" s="44"/>
      <c r="E7141" s="38"/>
      <c r="F7141" s="38"/>
      <c r="G7141" s="38"/>
      <c r="H7141" s="38"/>
      <c r="I7141" s="38"/>
      <c r="J7141" s="38"/>
      <c r="K7141" s="38"/>
      <c r="L7141" s="41"/>
      <c r="M7141" s="38"/>
      <c r="N7141" s="41"/>
      <c r="O7141" s="38"/>
      <c r="P7141" s="38"/>
      <c r="Q7141" s="39"/>
      <c r="R7141" s="39"/>
      <c r="S7141" s="39"/>
      <c r="T7141" s="39"/>
      <c r="U7141" s="39"/>
    </row>
    <row r="7142">
      <c r="A7142" s="40" t="str">
        <f t="shared" si="1"/>
        <v/>
      </c>
      <c r="B7142" s="37" t="str">
        <f t="array" ref="B7142">iferror(xlookup($I7142, 'IMPORT VHC Report'!$E:$E, 'IMPORT VHC Report'!$A:$C), )</f>
        <v/>
      </c>
      <c r="C7142" s="44"/>
      <c r="D7142" s="44"/>
      <c r="E7142" s="38"/>
      <c r="F7142" s="38"/>
      <c r="G7142" s="38"/>
      <c r="H7142" s="38"/>
      <c r="I7142" s="38"/>
      <c r="J7142" s="38"/>
      <c r="K7142" s="38"/>
      <c r="L7142" s="41"/>
      <c r="M7142" s="38"/>
      <c r="N7142" s="41"/>
      <c r="O7142" s="38"/>
      <c r="P7142" s="38"/>
      <c r="Q7142" s="39"/>
      <c r="R7142" s="39"/>
      <c r="S7142" s="39"/>
      <c r="T7142" s="39"/>
      <c r="U7142" s="39"/>
    </row>
    <row r="7143">
      <c r="A7143" s="40" t="str">
        <f t="shared" si="1"/>
        <v/>
      </c>
      <c r="B7143" s="37" t="str">
        <f t="array" ref="B7143">iferror(xlookup($I7143, 'IMPORT VHC Report'!$E:$E, 'IMPORT VHC Report'!$A:$C), )</f>
        <v/>
      </c>
      <c r="C7143" s="44"/>
      <c r="D7143" s="44"/>
      <c r="E7143" s="38"/>
      <c r="F7143" s="38"/>
      <c r="G7143" s="38"/>
      <c r="H7143" s="38"/>
      <c r="I7143" s="38"/>
      <c r="J7143" s="38"/>
      <c r="K7143" s="38"/>
      <c r="L7143" s="41"/>
      <c r="M7143" s="38"/>
      <c r="N7143" s="41"/>
      <c r="O7143" s="38"/>
      <c r="P7143" s="38"/>
      <c r="Q7143" s="39"/>
      <c r="R7143" s="39"/>
      <c r="S7143" s="39"/>
      <c r="T7143" s="39"/>
      <c r="U7143" s="39"/>
    </row>
    <row r="7144">
      <c r="A7144" s="40" t="str">
        <f t="shared" si="1"/>
        <v/>
      </c>
      <c r="B7144" s="37" t="str">
        <f t="array" ref="B7144">iferror(xlookup($I7144, 'IMPORT VHC Report'!$E:$E, 'IMPORT VHC Report'!$A:$C), )</f>
        <v/>
      </c>
      <c r="C7144" s="44"/>
      <c r="D7144" s="44"/>
      <c r="E7144" s="38"/>
      <c r="F7144" s="38"/>
      <c r="G7144" s="38"/>
      <c r="H7144" s="38"/>
      <c r="I7144" s="38"/>
      <c r="J7144" s="38"/>
      <c r="K7144" s="38"/>
      <c r="L7144" s="41"/>
      <c r="M7144" s="38"/>
      <c r="N7144" s="41"/>
      <c r="O7144" s="38"/>
      <c r="P7144" s="38"/>
      <c r="Q7144" s="39"/>
      <c r="R7144" s="39"/>
      <c r="S7144" s="39"/>
      <c r="T7144" s="39"/>
      <c r="U7144" s="39"/>
    </row>
    <row r="7145">
      <c r="A7145" s="40" t="str">
        <f t="shared" si="1"/>
        <v/>
      </c>
      <c r="B7145" s="37" t="str">
        <f t="array" ref="B7145">iferror(xlookup($I7145, 'IMPORT VHC Report'!$E:$E, 'IMPORT VHC Report'!$A:$C), )</f>
        <v/>
      </c>
      <c r="C7145" s="44"/>
      <c r="D7145" s="44"/>
      <c r="E7145" s="38"/>
      <c r="F7145" s="38"/>
      <c r="G7145" s="38"/>
      <c r="H7145" s="38"/>
      <c r="I7145" s="38"/>
      <c r="J7145" s="38"/>
      <c r="K7145" s="38"/>
      <c r="L7145" s="41"/>
      <c r="M7145" s="38"/>
      <c r="N7145" s="41"/>
      <c r="O7145" s="38"/>
      <c r="P7145" s="38"/>
      <c r="Q7145" s="39"/>
      <c r="R7145" s="39"/>
      <c r="S7145" s="39"/>
      <c r="T7145" s="39"/>
      <c r="U7145" s="39"/>
    </row>
    <row r="7146">
      <c r="A7146" s="40" t="str">
        <f t="shared" si="1"/>
        <v/>
      </c>
      <c r="B7146" s="37" t="str">
        <f t="array" ref="B7146">iferror(xlookup($I7146, 'IMPORT VHC Report'!$E:$E, 'IMPORT VHC Report'!$A:$C), )</f>
        <v/>
      </c>
      <c r="C7146" s="44"/>
      <c r="D7146" s="44"/>
      <c r="E7146" s="38"/>
      <c r="F7146" s="38"/>
      <c r="G7146" s="38"/>
      <c r="H7146" s="38"/>
      <c r="I7146" s="38"/>
      <c r="J7146" s="38"/>
      <c r="K7146" s="38"/>
      <c r="L7146" s="41"/>
      <c r="M7146" s="38"/>
      <c r="N7146" s="41"/>
      <c r="O7146" s="38"/>
      <c r="P7146" s="38"/>
      <c r="Q7146" s="39"/>
      <c r="R7146" s="39"/>
      <c r="S7146" s="39"/>
      <c r="T7146" s="39"/>
      <c r="U7146" s="39"/>
    </row>
    <row r="7147">
      <c r="A7147" s="40" t="str">
        <f t="shared" si="1"/>
        <v/>
      </c>
      <c r="B7147" s="37" t="str">
        <f t="array" ref="B7147">iferror(xlookup($I7147, 'IMPORT VHC Report'!$E:$E, 'IMPORT VHC Report'!$A:$C), )</f>
        <v/>
      </c>
      <c r="C7147" s="44"/>
      <c r="D7147" s="44"/>
      <c r="E7147" s="38"/>
      <c r="F7147" s="38"/>
      <c r="G7147" s="38"/>
      <c r="H7147" s="38"/>
      <c r="I7147" s="38"/>
      <c r="J7147" s="38"/>
      <c r="K7147" s="38"/>
      <c r="L7147" s="41"/>
      <c r="M7147" s="38"/>
      <c r="N7147" s="41"/>
      <c r="O7147" s="38"/>
      <c r="P7147" s="38"/>
      <c r="Q7147" s="39"/>
      <c r="R7147" s="39"/>
      <c r="S7147" s="39"/>
      <c r="T7147" s="39"/>
      <c r="U7147" s="39"/>
    </row>
    <row r="7148">
      <c r="A7148" s="40" t="str">
        <f t="shared" si="1"/>
        <v/>
      </c>
      <c r="B7148" s="37" t="str">
        <f t="array" ref="B7148">iferror(xlookup($I7148, 'IMPORT VHC Report'!$E:$E, 'IMPORT VHC Report'!$A:$C), )</f>
        <v/>
      </c>
      <c r="C7148" s="44"/>
      <c r="D7148" s="44"/>
      <c r="E7148" s="38"/>
      <c r="F7148" s="38"/>
      <c r="G7148" s="38"/>
      <c r="H7148" s="38"/>
      <c r="I7148" s="38"/>
      <c r="J7148" s="38"/>
      <c r="K7148" s="38"/>
      <c r="L7148" s="41"/>
      <c r="M7148" s="38"/>
      <c r="N7148" s="41"/>
      <c r="O7148" s="38"/>
      <c r="P7148" s="38"/>
      <c r="Q7148" s="39"/>
      <c r="R7148" s="39"/>
      <c r="S7148" s="39"/>
      <c r="T7148" s="39"/>
      <c r="U7148" s="39"/>
    </row>
    <row r="7149">
      <c r="A7149" s="40" t="str">
        <f t="shared" si="1"/>
        <v/>
      </c>
      <c r="B7149" s="37" t="str">
        <f t="array" ref="B7149">iferror(xlookup($I7149, 'IMPORT VHC Report'!$E:$E, 'IMPORT VHC Report'!$A:$C), )</f>
        <v/>
      </c>
      <c r="C7149" s="44"/>
      <c r="D7149" s="44"/>
      <c r="E7149" s="38"/>
      <c r="F7149" s="38"/>
      <c r="G7149" s="38"/>
      <c r="H7149" s="38"/>
      <c r="I7149" s="38"/>
      <c r="J7149" s="38"/>
      <c r="K7149" s="38"/>
      <c r="L7149" s="41"/>
      <c r="M7149" s="38"/>
      <c r="N7149" s="41"/>
      <c r="O7149" s="38"/>
      <c r="P7149" s="38"/>
      <c r="Q7149" s="38"/>
      <c r="R7149" s="39"/>
      <c r="S7149" s="39"/>
      <c r="T7149" s="39"/>
      <c r="U7149" s="39"/>
    </row>
    <row r="7150">
      <c r="A7150" s="40" t="str">
        <f t="shared" si="1"/>
        <v/>
      </c>
      <c r="B7150" s="37" t="str">
        <f t="array" ref="B7150">iferror(xlookup($I7150, 'IMPORT VHC Report'!$E:$E, 'IMPORT VHC Report'!$A:$C), )</f>
        <v/>
      </c>
      <c r="C7150" s="44"/>
      <c r="D7150" s="44"/>
      <c r="E7150" s="38"/>
      <c r="F7150" s="38"/>
      <c r="G7150" s="38"/>
      <c r="H7150" s="38"/>
      <c r="I7150" s="38"/>
      <c r="J7150" s="38"/>
      <c r="K7150" s="38"/>
      <c r="L7150" s="41"/>
      <c r="M7150" s="38"/>
      <c r="N7150" s="41"/>
      <c r="O7150" s="38"/>
      <c r="P7150" s="38"/>
      <c r="Q7150" s="39"/>
      <c r="R7150" s="39"/>
      <c r="S7150" s="39"/>
      <c r="T7150" s="39"/>
      <c r="U7150" s="39"/>
    </row>
    <row r="7151">
      <c r="A7151" s="40" t="str">
        <f t="shared" si="1"/>
        <v/>
      </c>
      <c r="B7151" s="37" t="str">
        <f t="array" ref="B7151">iferror(xlookup($I7151, 'IMPORT VHC Report'!$E:$E, 'IMPORT VHC Report'!$A:$C), )</f>
        <v/>
      </c>
      <c r="C7151" s="44"/>
      <c r="D7151" s="44"/>
      <c r="E7151" s="38"/>
      <c r="F7151" s="38"/>
      <c r="G7151" s="38"/>
      <c r="H7151" s="38"/>
      <c r="I7151" s="38"/>
      <c r="J7151" s="38"/>
      <c r="K7151" s="38"/>
      <c r="L7151" s="41"/>
      <c r="M7151" s="38"/>
      <c r="N7151" s="41"/>
      <c r="O7151" s="38"/>
      <c r="P7151" s="38"/>
      <c r="Q7151" s="39"/>
      <c r="R7151" s="39"/>
      <c r="S7151" s="39"/>
      <c r="T7151" s="39"/>
      <c r="U7151" s="39"/>
    </row>
    <row r="7152">
      <c r="A7152" s="40" t="str">
        <f t="shared" si="1"/>
        <v/>
      </c>
      <c r="B7152" s="37" t="str">
        <f t="array" ref="B7152">iferror(xlookup($I7152, 'IMPORT VHC Report'!$E:$E, 'IMPORT VHC Report'!$A:$C), )</f>
        <v/>
      </c>
      <c r="C7152" s="44"/>
      <c r="D7152" s="44"/>
      <c r="E7152" s="38"/>
      <c r="F7152" s="38"/>
      <c r="G7152" s="38"/>
      <c r="H7152" s="38"/>
      <c r="I7152" s="38"/>
      <c r="J7152" s="38"/>
      <c r="K7152" s="38"/>
      <c r="L7152" s="41"/>
      <c r="M7152" s="38"/>
      <c r="N7152" s="41"/>
      <c r="O7152" s="38"/>
      <c r="P7152" s="38"/>
      <c r="Q7152" s="39"/>
      <c r="R7152" s="39"/>
      <c r="S7152" s="39"/>
      <c r="T7152" s="39"/>
      <c r="U7152" s="39"/>
    </row>
    <row r="7153">
      <c r="A7153" s="40" t="str">
        <f t="shared" si="1"/>
        <v/>
      </c>
      <c r="B7153" s="37" t="str">
        <f t="array" ref="B7153">iferror(xlookup($I7153, 'IMPORT VHC Report'!$E:$E, 'IMPORT VHC Report'!$A:$C), )</f>
        <v/>
      </c>
      <c r="C7153" s="44"/>
      <c r="D7153" s="44"/>
      <c r="E7153" s="38"/>
      <c r="F7153" s="38"/>
      <c r="G7153" s="38"/>
      <c r="H7153" s="38"/>
      <c r="I7153" s="38"/>
      <c r="J7153" s="38"/>
      <c r="K7153" s="38"/>
      <c r="L7153" s="41"/>
      <c r="M7153" s="38"/>
      <c r="N7153" s="41"/>
      <c r="O7153" s="38"/>
      <c r="P7153" s="38"/>
      <c r="Q7153" s="39"/>
      <c r="R7153" s="39"/>
      <c r="S7153" s="39"/>
      <c r="T7153" s="39"/>
      <c r="U7153" s="39"/>
    </row>
    <row r="7154">
      <c r="A7154" s="40" t="str">
        <f t="shared" si="1"/>
        <v/>
      </c>
      <c r="B7154" s="37" t="str">
        <f t="array" ref="B7154">iferror(xlookup($I7154, 'IMPORT VHC Report'!$E:$E, 'IMPORT VHC Report'!$A:$C), )</f>
        <v/>
      </c>
      <c r="C7154" s="44"/>
      <c r="D7154" s="44"/>
      <c r="E7154" s="38"/>
      <c r="F7154" s="38"/>
      <c r="G7154" s="38"/>
      <c r="H7154" s="38"/>
      <c r="I7154" s="38"/>
      <c r="J7154" s="38"/>
      <c r="K7154" s="38"/>
      <c r="L7154" s="41"/>
      <c r="M7154" s="38"/>
      <c r="N7154" s="41"/>
      <c r="O7154" s="38"/>
      <c r="P7154" s="38"/>
      <c r="Q7154" s="39"/>
      <c r="R7154" s="39"/>
      <c r="S7154" s="39"/>
      <c r="T7154" s="39"/>
      <c r="U7154" s="39"/>
    </row>
    <row r="7155">
      <c r="A7155" s="40" t="str">
        <f t="shared" si="1"/>
        <v/>
      </c>
      <c r="B7155" s="37" t="str">
        <f t="array" ref="B7155">iferror(xlookup($I7155, 'IMPORT VHC Report'!$E:$E, 'IMPORT VHC Report'!$A:$C), )</f>
        <v/>
      </c>
      <c r="C7155" s="44"/>
      <c r="D7155" s="44"/>
      <c r="E7155" s="38"/>
      <c r="F7155" s="38"/>
      <c r="G7155" s="38"/>
      <c r="H7155" s="38"/>
      <c r="I7155" s="38"/>
      <c r="J7155" s="38"/>
      <c r="K7155" s="38"/>
      <c r="L7155" s="41"/>
      <c r="M7155" s="38"/>
      <c r="N7155" s="41"/>
      <c r="O7155" s="38"/>
      <c r="P7155" s="38"/>
      <c r="Q7155" s="39"/>
      <c r="R7155" s="39"/>
      <c r="S7155" s="39"/>
      <c r="T7155" s="39"/>
      <c r="U7155" s="39"/>
    </row>
    <row r="7156">
      <c r="A7156" s="40" t="str">
        <f t="shared" si="1"/>
        <v/>
      </c>
      <c r="B7156" s="37" t="str">
        <f t="array" ref="B7156">iferror(xlookup($I7156, 'IMPORT VHC Report'!$E:$E, 'IMPORT VHC Report'!$A:$C), )</f>
        <v/>
      </c>
      <c r="C7156" s="44"/>
      <c r="D7156" s="44"/>
      <c r="E7156" s="38"/>
      <c r="F7156" s="38"/>
      <c r="G7156" s="38"/>
      <c r="H7156" s="38"/>
      <c r="I7156" s="38"/>
      <c r="J7156" s="38"/>
      <c r="K7156" s="38"/>
      <c r="L7156" s="41"/>
      <c r="M7156" s="38"/>
      <c r="N7156" s="41"/>
      <c r="O7156" s="38"/>
      <c r="P7156" s="38"/>
      <c r="Q7156" s="39"/>
      <c r="R7156" s="39"/>
      <c r="S7156" s="39"/>
      <c r="T7156" s="39"/>
      <c r="U7156" s="39"/>
    </row>
    <row r="7157">
      <c r="A7157" s="40" t="str">
        <f t="shared" si="1"/>
        <v/>
      </c>
      <c r="B7157" s="37" t="str">
        <f t="array" ref="B7157">iferror(xlookup($I7157, 'IMPORT VHC Report'!$E:$E, 'IMPORT VHC Report'!$A:$C), )</f>
        <v/>
      </c>
      <c r="C7157" s="44"/>
      <c r="D7157" s="44"/>
      <c r="E7157" s="38"/>
      <c r="F7157" s="38"/>
      <c r="G7157" s="38"/>
      <c r="H7157" s="38"/>
      <c r="I7157" s="38"/>
      <c r="J7157" s="38"/>
      <c r="K7157" s="38"/>
      <c r="L7157" s="41"/>
      <c r="M7157" s="38"/>
      <c r="N7157" s="41"/>
      <c r="O7157" s="38"/>
      <c r="P7157" s="38"/>
      <c r="Q7157" s="39"/>
      <c r="R7157" s="39"/>
      <c r="S7157" s="39"/>
      <c r="T7157" s="39"/>
      <c r="U7157" s="39"/>
    </row>
    <row r="7158">
      <c r="A7158" s="40" t="str">
        <f t="shared" si="1"/>
        <v/>
      </c>
      <c r="B7158" s="37" t="str">
        <f t="array" ref="B7158">iferror(xlookup($I7158, 'IMPORT VHC Report'!$E:$E, 'IMPORT VHC Report'!$A:$C), )</f>
        <v/>
      </c>
      <c r="C7158" s="44"/>
      <c r="D7158" s="44"/>
      <c r="E7158" s="38"/>
      <c r="F7158" s="38"/>
      <c r="G7158" s="38"/>
      <c r="H7158" s="38"/>
      <c r="I7158" s="38"/>
      <c r="J7158" s="38"/>
      <c r="K7158" s="38"/>
      <c r="L7158" s="41"/>
      <c r="M7158" s="38"/>
      <c r="N7158" s="41"/>
      <c r="O7158" s="38"/>
      <c r="P7158" s="38"/>
      <c r="Q7158" s="39"/>
      <c r="R7158" s="39"/>
      <c r="S7158" s="39"/>
      <c r="T7158" s="39"/>
      <c r="U7158" s="39"/>
    </row>
    <row r="7159">
      <c r="A7159" s="40" t="str">
        <f t="shared" si="1"/>
        <v/>
      </c>
      <c r="B7159" s="37" t="str">
        <f t="array" ref="B7159">iferror(xlookup($I7159, 'IMPORT VHC Report'!$E:$E, 'IMPORT VHC Report'!$A:$C), )</f>
        <v/>
      </c>
      <c r="C7159" s="44"/>
      <c r="D7159" s="44"/>
      <c r="E7159" s="38"/>
      <c r="F7159" s="38"/>
      <c r="G7159" s="38"/>
      <c r="H7159" s="38"/>
      <c r="I7159" s="38"/>
      <c r="J7159" s="38"/>
      <c r="K7159" s="38"/>
      <c r="L7159" s="41"/>
      <c r="M7159" s="38"/>
      <c r="N7159" s="41"/>
      <c r="O7159" s="38"/>
      <c r="P7159" s="38"/>
      <c r="Q7159" s="39"/>
      <c r="R7159" s="39"/>
      <c r="S7159" s="39"/>
      <c r="T7159" s="39"/>
      <c r="U7159" s="39"/>
    </row>
    <row r="7160">
      <c r="A7160" s="40" t="str">
        <f t="shared" si="1"/>
        <v/>
      </c>
      <c r="B7160" s="37" t="str">
        <f t="array" ref="B7160">iferror(xlookup($I7160, 'IMPORT VHC Report'!$E:$E, 'IMPORT VHC Report'!$A:$C), )</f>
        <v/>
      </c>
      <c r="C7160" s="44"/>
      <c r="D7160" s="44"/>
      <c r="E7160" s="38"/>
      <c r="F7160" s="38"/>
      <c r="G7160" s="38"/>
      <c r="H7160" s="38"/>
      <c r="I7160" s="38"/>
      <c r="J7160" s="38"/>
      <c r="K7160" s="38"/>
      <c r="L7160" s="41"/>
      <c r="M7160" s="38"/>
      <c r="N7160" s="41"/>
      <c r="O7160" s="38"/>
      <c r="P7160" s="38"/>
      <c r="Q7160" s="39"/>
      <c r="R7160" s="39"/>
      <c r="S7160" s="39"/>
      <c r="T7160" s="39"/>
      <c r="U7160" s="39"/>
    </row>
    <row r="7161">
      <c r="A7161" s="40" t="str">
        <f t="shared" si="1"/>
        <v/>
      </c>
      <c r="B7161" s="37" t="str">
        <f t="array" ref="B7161">iferror(xlookup($I7161, 'IMPORT VHC Report'!$E:$E, 'IMPORT VHC Report'!$A:$C), )</f>
        <v/>
      </c>
      <c r="C7161" s="44"/>
      <c r="D7161" s="44"/>
      <c r="E7161" s="38"/>
      <c r="F7161" s="38"/>
      <c r="G7161" s="38"/>
      <c r="H7161" s="38"/>
      <c r="I7161" s="38"/>
      <c r="J7161" s="38"/>
      <c r="K7161" s="38"/>
      <c r="L7161" s="41"/>
      <c r="M7161" s="38"/>
      <c r="N7161" s="41"/>
      <c r="O7161" s="38"/>
      <c r="P7161" s="38"/>
      <c r="Q7161" s="39"/>
      <c r="R7161" s="39"/>
      <c r="S7161" s="39"/>
      <c r="T7161" s="39"/>
      <c r="U7161" s="39"/>
    </row>
    <row r="7162">
      <c r="A7162" s="40" t="str">
        <f t="shared" si="1"/>
        <v/>
      </c>
      <c r="B7162" s="37" t="str">
        <f t="array" ref="B7162">iferror(xlookup($I7162, 'IMPORT VHC Report'!$E:$E, 'IMPORT VHC Report'!$A:$C), )</f>
        <v/>
      </c>
      <c r="C7162" s="44"/>
      <c r="D7162" s="44"/>
      <c r="E7162" s="38"/>
      <c r="F7162" s="38"/>
      <c r="G7162" s="38"/>
      <c r="H7162" s="38"/>
      <c r="I7162" s="38"/>
      <c r="J7162" s="38"/>
      <c r="K7162" s="38"/>
      <c r="L7162" s="41"/>
      <c r="M7162" s="38"/>
      <c r="N7162" s="41"/>
      <c r="O7162" s="38"/>
      <c r="P7162" s="38"/>
      <c r="Q7162" s="39"/>
      <c r="R7162" s="39"/>
      <c r="S7162" s="39"/>
      <c r="T7162" s="39"/>
      <c r="U7162" s="39"/>
    </row>
    <row r="7163">
      <c r="A7163" s="40" t="str">
        <f t="shared" si="1"/>
        <v/>
      </c>
      <c r="B7163" s="37" t="str">
        <f t="array" ref="B7163">iferror(xlookup($I7163, 'IMPORT VHC Report'!$E:$E, 'IMPORT VHC Report'!$A:$C), )</f>
        <v/>
      </c>
      <c r="C7163" s="44"/>
      <c r="D7163" s="44"/>
      <c r="E7163" s="38"/>
      <c r="F7163" s="38"/>
      <c r="G7163" s="38"/>
      <c r="H7163" s="38"/>
      <c r="I7163" s="38"/>
      <c r="J7163" s="38"/>
      <c r="K7163" s="38"/>
      <c r="L7163" s="41"/>
      <c r="M7163" s="38"/>
      <c r="N7163" s="41"/>
      <c r="O7163" s="38"/>
      <c r="P7163" s="38"/>
      <c r="Q7163" s="39"/>
      <c r="R7163" s="39"/>
      <c r="S7163" s="39"/>
      <c r="T7163" s="39"/>
      <c r="U7163" s="39"/>
    </row>
    <row r="7164">
      <c r="A7164" s="40" t="str">
        <f t="shared" si="1"/>
        <v/>
      </c>
      <c r="B7164" s="37" t="str">
        <f t="array" ref="B7164">iferror(xlookup($I7164, 'IMPORT VHC Report'!$E:$E, 'IMPORT VHC Report'!$A:$C), )</f>
        <v/>
      </c>
      <c r="C7164" s="44"/>
      <c r="D7164" s="44"/>
      <c r="E7164" s="38"/>
      <c r="F7164" s="38"/>
      <c r="G7164" s="38"/>
      <c r="H7164" s="38"/>
      <c r="I7164" s="38"/>
      <c r="J7164" s="38"/>
      <c r="K7164" s="38"/>
      <c r="L7164" s="41"/>
      <c r="M7164" s="38"/>
      <c r="N7164" s="41"/>
      <c r="O7164" s="38"/>
      <c r="P7164" s="38"/>
      <c r="Q7164" s="39"/>
      <c r="R7164" s="39"/>
      <c r="S7164" s="39"/>
      <c r="T7164" s="39"/>
      <c r="U7164" s="39"/>
    </row>
    <row r="7165">
      <c r="A7165" s="40" t="str">
        <f t="shared" si="1"/>
        <v/>
      </c>
      <c r="B7165" s="37" t="str">
        <f t="array" ref="B7165">iferror(xlookup($I7165, 'IMPORT VHC Report'!$E:$E, 'IMPORT VHC Report'!$A:$C), )</f>
        <v/>
      </c>
      <c r="C7165" s="44"/>
      <c r="D7165" s="44"/>
      <c r="E7165" s="38"/>
      <c r="F7165" s="38"/>
      <c r="G7165" s="38"/>
      <c r="H7165" s="38"/>
      <c r="I7165" s="38"/>
      <c r="J7165" s="38"/>
      <c r="K7165" s="38"/>
      <c r="L7165" s="41"/>
      <c r="M7165" s="38"/>
      <c r="N7165" s="41"/>
      <c r="O7165" s="38"/>
      <c r="P7165" s="38"/>
      <c r="Q7165" s="39"/>
      <c r="R7165" s="39"/>
      <c r="S7165" s="39"/>
      <c r="T7165" s="39"/>
      <c r="U7165" s="39"/>
    </row>
    <row r="7166">
      <c r="A7166" s="40" t="str">
        <f t="shared" si="1"/>
        <v/>
      </c>
      <c r="B7166" s="37" t="str">
        <f t="array" ref="B7166">iferror(xlookup($I7166, 'IMPORT VHC Report'!$E:$E, 'IMPORT VHC Report'!$A:$C), )</f>
        <v/>
      </c>
      <c r="C7166" s="44"/>
      <c r="D7166" s="44"/>
      <c r="E7166" s="38"/>
      <c r="F7166" s="38"/>
      <c r="G7166" s="38"/>
      <c r="H7166" s="38"/>
      <c r="I7166" s="38"/>
      <c r="J7166" s="38"/>
      <c r="K7166" s="38"/>
      <c r="L7166" s="41"/>
      <c r="M7166" s="38"/>
      <c r="N7166" s="41"/>
      <c r="O7166" s="38"/>
      <c r="P7166" s="38"/>
      <c r="Q7166" s="39"/>
      <c r="R7166" s="39"/>
      <c r="S7166" s="39"/>
      <c r="T7166" s="39"/>
      <c r="U7166" s="39"/>
    </row>
    <row r="7167">
      <c r="A7167" s="40" t="str">
        <f t="shared" si="1"/>
        <v/>
      </c>
      <c r="B7167" s="37" t="str">
        <f t="array" ref="B7167">iferror(xlookup($I7167, 'IMPORT VHC Report'!$E:$E, 'IMPORT VHC Report'!$A:$C), )</f>
        <v/>
      </c>
      <c r="C7167" s="44"/>
      <c r="D7167" s="44"/>
      <c r="E7167" s="38"/>
      <c r="F7167" s="38"/>
      <c r="G7167" s="38"/>
      <c r="H7167" s="38"/>
      <c r="I7167" s="38"/>
      <c r="J7167" s="38"/>
      <c r="K7167" s="38"/>
      <c r="L7167" s="41"/>
      <c r="M7167" s="38"/>
      <c r="N7167" s="41"/>
      <c r="O7167" s="38"/>
      <c r="P7167" s="38"/>
      <c r="Q7167" s="39"/>
      <c r="R7167" s="39"/>
      <c r="S7167" s="38"/>
      <c r="T7167" s="39"/>
      <c r="U7167" s="39"/>
    </row>
    <row r="7168">
      <c r="A7168" s="40" t="str">
        <f t="shared" si="1"/>
        <v/>
      </c>
      <c r="B7168" s="37" t="str">
        <f t="array" ref="B7168">iferror(xlookup($I7168, 'IMPORT VHC Report'!$E:$E, 'IMPORT VHC Report'!$A:$C), )</f>
        <v/>
      </c>
      <c r="C7168" s="44"/>
      <c r="D7168" s="44"/>
      <c r="E7168" s="38"/>
      <c r="F7168" s="38"/>
      <c r="G7168" s="38"/>
      <c r="H7168" s="38"/>
      <c r="I7168" s="38"/>
      <c r="J7168" s="38"/>
      <c r="K7168" s="38"/>
      <c r="L7168" s="41"/>
      <c r="M7168" s="38"/>
      <c r="N7168" s="41"/>
      <c r="O7168" s="38"/>
      <c r="P7168" s="38"/>
      <c r="Q7168" s="38"/>
      <c r="R7168" s="39"/>
      <c r="S7168" s="39"/>
      <c r="T7168" s="39"/>
      <c r="U7168" s="39"/>
    </row>
    <row r="7169">
      <c r="A7169" s="40" t="str">
        <f t="shared" si="1"/>
        <v/>
      </c>
      <c r="B7169" s="37" t="str">
        <f t="array" ref="B7169">iferror(xlookup($I7169, 'IMPORT VHC Report'!$E:$E, 'IMPORT VHC Report'!$A:$C), )</f>
        <v/>
      </c>
      <c r="C7169" s="44"/>
      <c r="D7169" s="44"/>
      <c r="E7169" s="38"/>
      <c r="F7169" s="38"/>
      <c r="G7169" s="38"/>
      <c r="H7169" s="38"/>
      <c r="I7169" s="38"/>
      <c r="J7169" s="38"/>
      <c r="K7169" s="38"/>
      <c r="L7169" s="41"/>
      <c r="M7169" s="38"/>
      <c r="N7169" s="41"/>
      <c r="O7169" s="38"/>
      <c r="P7169" s="38"/>
      <c r="Q7169" s="39"/>
      <c r="R7169" s="39"/>
      <c r="S7169" s="39"/>
      <c r="T7169" s="39"/>
      <c r="U7169" s="39"/>
    </row>
    <row r="7170">
      <c r="A7170" s="40" t="str">
        <f t="shared" si="1"/>
        <v/>
      </c>
      <c r="B7170" s="37" t="str">
        <f t="array" ref="B7170">iferror(xlookup($I7170, 'IMPORT VHC Report'!$E:$E, 'IMPORT VHC Report'!$A:$C), )</f>
        <v/>
      </c>
      <c r="C7170" s="44"/>
      <c r="D7170" s="44"/>
      <c r="E7170" s="38"/>
      <c r="F7170" s="38"/>
      <c r="G7170" s="38"/>
      <c r="H7170" s="38"/>
      <c r="I7170" s="38"/>
      <c r="J7170" s="38"/>
      <c r="K7170" s="38"/>
      <c r="L7170" s="41"/>
      <c r="M7170" s="38"/>
      <c r="N7170" s="41"/>
      <c r="O7170" s="38"/>
      <c r="P7170" s="38"/>
      <c r="Q7170" s="39"/>
      <c r="R7170" s="39"/>
      <c r="S7170" s="39"/>
      <c r="T7170" s="39"/>
      <c r="U7170" s="39"/>
    </row>
    <row r="7171">
      <c r="A7171" s="40" t="str">
        <f t="shared" si="1"/>
        <v/>
      </c>
      <c r="B7171" s="37" t="str">
        <f t="array" ref="B7171">iferror(xlookup($I7171, 'IMPORT VHC Report'!$E:$E, 'IMPORT VHC Report'!$A:$C), )</f>
        <v/>
      </c>
      <c r="C7171" s="44"/>
      <c r="D7171" s="44"/>
      <c r="E7171" s="38"/>
      <c r="F7171" s="38"/>
      <c r="G7171" s="38"/>
      <c r="H7171" s="38"/>
      <c r="I7171" s="38"/>
      <c r="J7171" s="38"/>
      <c r="K7171" s="38"/>
      <c r="L7171" s="41"/>
      <c r="M7171" s="38"/>
      <c r="N7171" s="41"/>
      <c r="O7171" s="38"/>
      <c r="P7171" s="38"/>
      <c r="Q7171" s="39"/>
      <c r="R7171" s="39"/>
      <c r="S7171" s="39"/>
      <c r="T7171" s="39"/>
      <c r="U7171" s="39"/>
    </row>
    <row r="7172">
      <c r="A7172" s="40" t="str">
        <f t="shared" si="1"/>
        <v/>
      </c>
      <c r="B7172" s="37" t="str">
        <f t="array" ref="B7172">iferror(xlookup($I7172, 'IMPORT VHC Report'!$E:$E, 'IMPORT VHC Report'!$A:$C), )</f>
        <v/>
      </c>
      <c r="C7172" s="44"/>
      <c r="D7172" s="44"/>
      <c r="E7172" s="38"/>
      <c r="F7172" s="38"/>
      <c r="G7172" s="38"/>
      <c r="H7172" s="38"/>
      <c r="I7172" s="38"/>
      <c r="J7172" s="38"/>
      <c r="K7172" s="38"/>
      <c r="L7172" s="41"/>
      <c r="M7172" s="38"/>
      <c r="N7172" s="41"/>
      <c r="O7172" s="38"/>
      <c r="P7172" s="38"/>
      <c r="Q7172" s="39"/>
      <c r="R7172" s="39"/>
      <c r="S7172" s="38"/>
      <c r="T7172" s="39"/>
      <c r="U7172" s="39"/>
    </row>
    <row r="7173">
      <c r="A7173" s="40" t="str">
        <f t="shared" si="1"/>
        <v/>
      </c>
      <c r="B7173" s="37" t="str">
        <f t="array" ref="B7173">iferror(xlookup($I7173, 'IMPORT VHC Report'!$E:$E, 'IMPORT VHC Report'!$A:$C), )</f>
        <v/>
      </c>
      <c r="C7173" s="44"/>
      <c r="D7173" s="44"/>
      <c r="E7173" s="38"/>
      <c r="F7173" s="38"/>
      <c r="G7173" s="38"/>
      <c r="H7173" s="38"/>
      <c r="I7173" s="38"/>
      <c r="J7173" s="38"/>
      <c r="K7173" s="38"/>
      <c r="L7173" s="41"/>
      <c r="M7173" s="38"/>
      <c r="N7173" s="41"/>
      <c r="O7173" s="38"/>
      <c r="P7173" s="38"/>
      <c r="Q7173" s="38"/>
      <c r="R7173" s="38"/>
      <c r="S7173" s="38"/>
      <c r="T7173" s="39"/>
      <c r="U7173" s="39"/>
    </row>
    <row r="7174">
      <c r="A7174" s="40" t="str">
        <f t="shared" si="1"/>
        <v/>
      </c>
      <c r="B7174" s="37" t="str">
        <f t="array" ref="B7174">iferror(xlookup($I7174, 'IMPORT VHC Report'!$E:$E, 'IMPORT VHC Report'!$A:$C), )</f>
        <v/>
      </c>
      <c r="C7174" s="44"/>
      <c r="D7174" s="44"/>
      <c r="E7174" s="38"/>
      <c r="F7174" s="38"/>
      <c r="G7174" s="38"/>
      <c r="H7174" s="38"/>
      <c r="I7174" s="38"/>
      <c r="J7174" s="38"/>
      <c r="K7174" s="38"/>
      <c r="L7174" s="41"/>
      <c r="M7174" s="38"/>
      <c r="N7174" s="41"/>
      <c r="O7174" s="38"/>
      <c r="P7174" s="38"/>
      <c r="Q7174" s="39"/>
      <c r="R7174" s="39"/>
      <c r="S7174" s="39"/>
      <c r="T7174" s="39"/>
      <c r="U7174" s="39"/>
    </row>
    <row r="7175">
      <c r="A7175" s="40" t="str">
        <f t="shared" si="1"/>
        <v/>
      </c>
      <c r="B7175" s="37" t="str">
        <f t="array" ref="B7175">iferror(xlookup($I7175, 'IMPORT VHC Report'!$E:$E, 'IMPORT VHC Report'!$A:$C), )</f>
        <v/>
      </c>
      <c r="C7175" s="44"/>
      <c r="D7175" s="44"/>
      <c r="E7175" s="38"/>
      <c r="F7175" s="38"/>
      <c r="G7175" s="38"/>
      <c r="H7175" s="38"/>
      <c r="I7175" s="38"/>
      <c r="J7175" s="38"/>
      <c r="K7175" s="38"/>
      <c r="L7175" s="41"/>
      <c r="M7175" s="38"/>
      <c r="N7175" s="41"/>
      <c r="O7175" s="38"/>
      <c r="P7175" s="38"/>
      <c r="Q7175" s="39"/>
      <c r="R7175" s="39"/>
      <c r="S7175" s="39"/>
      <c r="T7175" s="39"/>
      <c r="U7175" s="39"/>
    </row>
    <row r="7176">
      <c r="A7176" s="40" t="str">
        <f t="shared" si="1"/>
        <v/>
      </c>
      <c r="B7176" s="37" t="str">
        <f t="array" ref="B7176">iferror(xlookup($I7176, 'IMPORT VHC Report'!$E:$E, 'IMPORT VHC Report'!$A:$C), )</f>
        <v/>
      </c>
      <c r="C7176" s="44"/>
      <c r="D7176" s="44"/>
      <c r="E7176" s="38"/>
      <c r="F7176" s="38"/>
      <c r="G7176" s="38"/>
      <c r="H7176" s="38"/>
      <c r="I7176" s="38"/>
      <c r="J7176" s="38"/>
      <c r="K7176" s="38"/>
      <c r="L7176" s="41"/>
      <c r="M7176" s="38"/>
      <c r="N7176" s="41"/>
      <c r="O7176" s="38"/>
      <c r="P7176" s="38"/>
      <c r="Q7176" s="39"/>
      <c r="R7176" s="39"/>
      <c r="S7176" s="38"/>
      <c r="T7176" s="39"/>
      <c r="U7176" s="39"/>
    </row>
    <row r="7177">
      <c r="A7177" s="40" t="str">
        <f t="shared" si="1"/>
        <v/>
      </c>
      <c r="B7177" s="37" t="str">
        <f t="array" ref="B7177">iferror(xlookup($I7177, 'IMPORT VHC Report'!$E:$E, 'IMPORT VHC Report'!$A:$C), )</f>
        <v/>
      </c>
      <c r="C7177" s="44"/>
      <c r="D7177" s="44"/>
      <c r="E7177" s="38"/>
      <c r="F7177" s="38"/>
      <c r="G7177" s="38"/>
      <c r="H7177" s="38"/>
      <c r="I7177" s="38"/>
      <c r="J7177" s="38"/>
      <c r="K7177" s="38"/>
      <c r="L7177" s="41"/>
      <c r="M7177" s="38"/>
      <c r="N7177" s="41"/>
      <c r="O7177" s="38"/>
      <c r="P7177" s="38"/>
      <c r="Q7177" s="38"/>
      <c r="R7177" s="39"/>
      <c r="S7177" s="39"/>
      <c r="T7177" s="39"/>
      <c r="U7177" s="39"/>
    </row>
    <row r="7178">
      <c r="A7178" s="40" t="str">
        <f t="shared" si="1"/>
        <v/>
      </c>
      <c r="B7178" s="37" t="str">
        <f t="array" ref="B7178">iferror(xlookup($I7178, 'IMPORT VHC Report'!$E:$E, 'IMPORT VHC Report'!$A:$C), )</f>
        <v/>
      </c>
      <c r="C7178" s="44"/>
      <c r="D7178" s="44"/>
      <c r="E7178" s="38"/>
      <c r="F7178" s="38"/>
      <c r="G7178" s="38"/>
      <c r="H7178" s="38"/>
      <c r="I7178" s="38"/>
      <c r="J7178" s="38"/>
      <c r="K7178" s="38"/>
      <c r="L7178" s="41"/>
      <c r="M7178" s="38"/>
      <c r="N7178" s="41"/>
      <c r="O7178" s="38"/>
      <c r="P7178" s="38"/>
      <c r="Q7178" s="39"/>
      <c r="R7178" s="39"/>
      <c r="S7178" s="39"/>
      <c r="T7178" s="39"/>
      <c r="U7178" s="39"/>
    </row>
    <row r="7179">
      <c r="A7179" s="40" t="str">
        <f t="shared" si="1"/>
        <v/>
      </c>
      <c r="B7179" s="37" t="str">
        <f t="array" ref="B7179">iferror(xlookup($I7179, 'IMPORT VHC Report'!$E:$E, 'IMPORT VHC Report'!$A:$C), )</f>
        <v/>
      </c>
      <c r="C7179" s="44"/>
      <c r="D7179" s="44"/>
      <c r="E7179" s="38"/>
      <c r="F7179" s="38"/>
      <c r="G7179" s="38"/>
      <c r="H7179" s="38"/>
      <c r="I7179" s="38"/>
      <c r="J7179" s="38"/>
      <c r="K7179" s="38"/>
      <c r="L7179" s="41"/>
      <c r="M7179" s="38"/>
      <c r="N7179" s="41"/>
      <c r="O7179" s="38"/>
      <c r="P7179" s="38"/>
      <c r="Q7179" s="39"/>
      <c r="R7179" s="39"/>
      <c r="S7179" s="39"/>
      <c r="T7179" s="39"/>
      <c r="U7179" s="39"/>
    </row>
    <row r="7180">
      <c r="A7180" s="40" t="str">
        <f t="shared" si="1"/>
        <v/>
      </c>
      <c r="B7180" s="37" t="str">
        <f t="array" ref="B7180">iferror(xlookup($I7180, 'IMPORT VHC Report'!$E:$E, 'IMPORT VHC Report'!$A:$C), )</f>
        <v/>
      </c>
      <c r="C7180" s="44"/>
      <c r="D7180" s="44"/>
      <c r="E7180" s="38"/>
      <c r="F7180" s="38"/>
      <c r="G7180" s="38"/>
      <c r="H7180" s="38"/>
      <c r="I7180" s="38"/>
      <c r="J7180" s="38"/>
      <c r="K7180" s="38"/>
      <c r="L7180" s="41"/>
      <c r="M7180" s="38"/>
      <c r="N7180" s="41"/>
      <c r="O7180" s="38"/>
      <c r="P7180" s="38"/>
      <c r="Q7180" s="39"/>
      <c r="R7180" s="39"/>
      <c r="S7180" s="39"/>
      <c r="T7180" s="39"/>
      <c r="U7180" s="39"/>
    </row>
    <row r="7181">
      <c r="A7181" s="40" t="str">
        <f t="shared" si="1"/>
        <v/>
      </c>
      <c r="B7181" s="37" t="str">
        <f t="array" ref="B7181">iferror(xlookup($I7181, 'IMPORT VHC Report'!$E:$E, 'IMPORT VHC Report'!$A:$C), )</f>
        <v/>
      </c>
      <c r="C7181" s="44"/>
      <c r="D7181" s="44"/>
      <c r="E7181" s="38"/>
      <c r="F7181" s="38"/>
      <c r="G7181" s="38"/>
      <c r="H7181" s="38"/>
      <c r="I7181" s="38"/>
      <c r="J7181" s="38"/>
      <c r="K7181" s="38"/>
      <c r="L7181" s="41"/>
      <c r="M7181" s="38"/>
      <c r="N7181" s="41"/>
      <c r="O7181" s="38"/>
      <c r="P7181" s="38"/>
      <c r="Q7181" s="39"/>
      <c r="R7181" s="39"/>
      <c r="S7181" s="38"/>
      <c r="T7181" s="39"/>
      <c r="U7181" s="39"/>
    </row>
    <row r="7182">
      <c r="A7182" s="40" t="str">
        <f t="shared" si="1"/>
        <v/>
      </c>
      <c r="B7182" s="37" t="str">
        <f t="array" ref="B7182">iferror(xlookup($I7182, 'IMPORT VHC Report'!$E:$E, 'IMPORT VHC Report'!$A:$C), )</f>
        <v/>
      </c>
      <c r="C7182" s="44"/>
      <c r="D7182" s="44"/>
      <c r="E7182" s="38"/>
      <c r="F7182" s="38"/>
      <c r="G7182" s="38"/>
      <c r="H7182" s="38"/>
      <c r="I7182" s="38"/>
      <c r="J7182" s="38"/>
      <c r="K7182" s="38"/>
      <c r="L7182" s="41"/>
      <c r="M7182" s="38"/>
      <c r="N7182" s="41"/>
      <c r="O7182" s="38"/>
      <c r="P7182" s="38"/>
      <c r="Q7182" s="39"/>
      <c r="R7182" s="39"/>
      <c r="S7182" s="39"/>
      <c r="T7182" s="39"/>
      <c r="U7182" s="39"/>
    </row>
    <row r="7183">
      <c r="A7183" s="40" t="str">
        <f t="shared" si="1"/>
        <v/>
      </c>
      <c r="B7183" s="37" t="str">
        <f t="array" ref="B7183">iferror(xlookup($I7183, 'IMPORT VHC Report'!$E:$E, 'IMPORT VHC Report'!$A:$C), )</f>
        <v/>
      </c>
      <c r="C7183" s="44"/>
      <c r="D7183" s="44"/>
      <c r="E7183" s="38"/>
      <c r="F7183" s="38"/>
      <c r="G7183" s="38"/>
      <c r="H7183" s="38"/>
      <c r="I7183" s="38"/>
      <c r="J7183" s="38"/>
      <c r="K7183" s="38"/>
      <c r="L7183" s="41"/>
      <c r="M7183" s="38"/>
      <c r="N7183" s="41"/>
      <c r="O7183" s="38"/>
      <c r="P7183" s="38"/>
      <c r="Q7183" s="39"/>
      <c r="R7183" s="39"/>
      <c r="S7183" s="39"/>
      <c r="T7183" s="39"/>
      <c r="U7183" s="39"/>
    </row>
    <row r="7184">
      <c r="A7184" s="40" t="str">
        <f t="shared" si="1"/>
        <v/>
      </c>
      <c r="B7184" s="37" t="str">
        <f t="array" ref="B7184">iferror(xlookup($I7184, 'IMPORT VHC Report'!$E:$E, 'IMPORT VHC Report'!$A:$C), )</f>
        <v/>
      </c>
      <c r="C7184" s="44"/>
      <c r="D7184" s="44"/>
      <c r="E7184" s="38"/>
      <c r="F7184" s="38"/>
      <c r="G7184" s="38"/>
      <c r="H7184" s="38"/>
      <c r="I7184" s="38"/>
      <c r="J7184" s="38"/>
      <c r="K7184" s="38"/>
      <c r="L7184" s="41"/>
      <c r="M7184" s="38"/>
      <c r="N7184" s="41"/>
      <c r="O7184" s="38"/>
      <c r="P7184" s="38"/>
      <c r="Q7184" s="39"/>
      <c r="R7184" s="39"/>
      <c r="S7184" s="39"/>
      <c r="T7184" s="39"/>
      <c r="U7184" s="39"/>
    </row>
    <row r="7185">
      <c r="A7185" s="40" t="str">
        <f t="shared" si="1"/>
        <v/>
      </c>
      <c r="B7185" s="37" t="str">
        <f t="array" ref="B7185">iferror(xlookup($I7185, 'IMPORT VHC Report'!$E:$E, 'IMPORT VHC Report'!$A:$C), )</f>
        <v/>
      </c>
      <c r="C7185" s="44"/>
      <c r="D7185" s="44"/>
      <c r="E7185" s="38"/>
      <c r="F7185" s="38"/>
      <c r="G7185" s="38"/>
      <c r="H7185" s="38"/>
      <c r="I7185" s="38"/>
      <c r="J7185" s="38"/>
      <c r="K7185" s="38"/>
      <c r="L7185" s="41"/>
      <c r="M7185" s="38"/>
      <c r="N7185" s="41"/>
      <c r="O7185" s="38"/>
      <c r="P7185" s="38"/>
      <c r="Q7185" s="39"/>
      <c r="R7185" s="39"/>
      <c r="S7185" s="38"/>
      <c r="T7185" s="39"/>
      <c r="U7185" s="39"/>
    </row>
    <row r="7186">
      <c r="A7186" s="40" t="str">
        <f t="shared" si="1"/>
        <v/>
      </c>
      <c r="B7186" s="37" t="str">
        <f t="array" ref="B7186">iferror(xlookup($I7186, 'IMPORT VHC Report'!$E:$E, 'IMPORT VHC Report'!$A:$C), )</f>
        <v/>
      </c>
      <c r="C7186" s="44"/>
      <c r="D7186" s="44"/>
      <c r="E7186" s="38"/>
      <c r="F7186" s="38"/>
      <c r="G7186" s="38"/>
      <c r="H7186" s="38"/>
      <c r="I7186" s="38"/>
      <c r="J7186" s="38"/>
      <c r="K7186" s="38"/>
      <c r="L7186" s="41"/>
      <c r="M7186" s="38"/>
      <c r="N7186" s="41"/>
      <c r="O7186" s="38"/>
      <c r="P7186" s="38"/>
      <c r="Q7186" s="38"/>
      <c r="R7186" s="39"/>
      <c r="S7186" s="39"/>
      <c r="T7186" s="39"/>
      <c r="U7186" s="39"/>
    </row>
    <row r="7187">
      <c r="A7187" s="40" t="str">
        <f t="shared" si="1"/>
        <v/>
      </c>
      <c r="B7187" s="37" t="str">
        <f t="array" ref="B7187">iferror(xlookup($I7187, 'IMPORT VHC Report'!$E:$E, 'IMPORT VHC Report'!$A:$C), )</f>
        <v/>
      </c>
      <c r="C7187" s="44"/>
      <c r="D7187" s="44"/>
      <c r="E7187" s="38"/>
      <c r="F7187" s="38"/>
      <c r="G7187" s="38"/>
      <c r="H7187" s="38"/>
      <c r="I7187" s="38"/>
      <c r="J7187" s="38"/>
      <c r="K7187" s="38"/>
      <c r="L7187" s="41"/>
      <c r="M7187" s="38"/>
      <c r="N7187" s="41"/>
      <c r="O7187" s="38"/>
      <c r="P7187" s="38"/>
      <c r="Q7187" s="39"/>
      <c r="R7187" s="39"/>
      <c r="S7187" s="39"/>
      <c r="T7187" s="39"/>
      <c r="U7187" s="39"/>
    </row>
    <row r="7188">
      <c r="A7188" s="40" t="str">
        <f t="shared" si="1"/>
        <v/>
      </c>
      <c r="B7188" s="37" t="str">
        <f t="array" ref="B7188">iferror(xlookup($I7188, 'IMPORT VHC Report'!$E:$E, 'IMPORT VHC Report'!$A:$C), )</f>
        <v/>
      </c>
      <c r="C7188" s="44"/>
      <c r="D7188" s="44"/>
      <c r="E7188" s="38"/>
      <c r="F7188" s="38"/>
      <c r="G7188" s="38"/>
      <c r="H7188" s="38"/>
      <c r="I7188" s="38"/>
      <c r="J7188" s="38"/>
      <c r="K7188" s="38"/>
      <c r="L7188" s="41"/>
      <c r="M7188" s="38"/>
      <c r="N7188" s="41"/>
      <c r="O7188" s="38"/>
      <c r="P7188" s="38"/>
      <c r="Q7188" s="39"/>
      <c r="R7188" s="39"/>
      <c r="S7188" s="39"/>
      <c r="T7188" s="39"/>
      <c r="U7188" s="39"/>
    </row>
    <row r="7189">
      <c r="A7189" s="40" t="str">
        <f t="shared" si="1"/>
        <v/>
      </c>
      <c r="B7189" s="37" t="str">
        <f t="array" ref="B7189">iferror(xlookup($I7189, 'IMPORT VHC Report'!$E:$E, 'IMPORT VHC Report'!$A:$C), )</f>
        <v/>
      </c>
      <c r="C7189" s="44"/>
      <c r="D7189" s="44"/>
      <c r="E7189" s="38"/>
      <c r="F7189" s="38"/>
      <c r="G7189" s="38"/>
      <c r="H7189" s="38"/>
      <c r="I7189" s="38"/>
      <c r="J7189" s="38"/>
      <c r="K7189" s="38"/>
      <c r="L7189" s="41"/>
      <c r="M7189" s="38"/>
      <c r="N7189" s="41"/>
      <c r="O7189" s="38"/>
      <c r="P7189" s="38"/>
      <c r="Q7189" s="39"/>
      <c r="R7189" s="39"/>
      <c r="S7189" s="39"/>
      <c r="T7189" s="39"/>
      <c r="U7189" s="39"/>
    </row>
    <row r="7190">
      <c r="A7190" s="40" t="str">
        <f t="shared" si="1"/>
        <v/>
      </c>
      <c r="B7190" s="37" t="str">
        <f t="array" ref="B7190">iferror(xlookup($I7190, 'IMPORT VHC Report'!$E:$E, 'IMPORT VHC Report'!$A:$C), )</f>
        <v/>
      </c>
      <c r="C7190" s="44"/>
      <c r="D7190" s="44"/>
      <c r="E7190" s="38"/>
      <c r="F7190" s="38"/>
      <c r="G7190" s="38"/>
      <c r="H7190" s="38"/>
      <c r="I7190" s="38"/>
      <c r="J7190" s="38"/>
      <c r="K7190" s="38"/>
      <c r="L7190" s="41"/>
      <c r="M7190" s="38"/>
      <c r="N7190" s="41"/>
      <c r="O7190" s="38"/>
      <c r="P7190" s="38"/>
      <c r="Q7190" s="39"/>
      <c r="R7190" s="39"/>
      <c r="S7190" s="38"/>
      <c r="T7190" s="39"/>
      <c r="U7190" s="39"/>
    </row>
    <row r="7191">
      <c r="A7191" s="40" t="str">
        <f t="shared" si="1"/>
        <v/>
      </c>
      <c r="B7191" s="37" t="str">
        <f t="array" ref="B7191">iferror(xlookup($I7191, 'IMPORT VHC Report'!$E:$E, 'IMPORT VHC Report'!$A:$C), )</f>
        <v/>
      </c>
      <c r="C7191" s="44"/>
      <c r="D7191" s="44"/>
      <c r="E7191" s="38"/>
      <c r="F7191" s="38"/>
      <c r="G7191" s="38"/>
      <c r="H7191" s="38"/>
      <c r="I7191" s="38"/>
      <c r="J7191" s="38"/>
      <c r="K7191" s="38"/>
      <c r="L7191" s="41"/>
      <c r="M7191" s="38"/>
      <c r="N7191" s="41"/>
      <c r="O7191" s="38"/>
      <c r="P7191" s="38"/>
      <c r="Q7191" s="39"/>
      <c r="R7191" s="39"/>
      <c r="S7191" s="39"/>
      <c r="T7191" s="39"/>
      <c r="U7191" s="39"/>
    </row>
    <row r="7192">
      <c r="A7192" s="40" t="str">
        <f t="shared" si="1"/>
        <v/>
      </c>
      <c r="B7192" s="37" t="str">
        <f t="array" ref="B7192">iferror(xlookup($I7192, 'IMPORT VHC Report'!$E:$E, 'IMPORT VHC Report'!$A:$C), )</f>
        <v/>
      </c>
      <c r="C7192" s="44"/>
      <c r="D7192" s="44"/>
      <c r="E7192" s="38"/>
      <c r="F7192" s="38"/>
      <c r="G7192" s="38"/>
      <c r="H7192" s="38"/>
      <c r="I7192" s="38"/>
      <c r="J7192" s="38"/>
      <c r="K7192" s="38"/>
      <c r="L7192" s="41"/>
      <c r="M7192" s="38"/>
      <c r="N7192" s="41"/>
      <c r="O7192" s="38"/>
      <c r="P7192" s="38"/>
      <c r="Q7192" s="39"/>
      <c r="R7192" s="39"/>
      <c r="S7192" s="39"/>
      <c r="T7192" s="39"/>
      <c r="U7192" s="39"/>
    </row>
    <row r="7193">
      <c r="A7193" s="40" t="str">
        <f t="shared" si="1"/>
        <v/>
      </c>
      <c r="B7193" s="37" t="str">
        <f t="array" ref="B7193">iferror(xlookup($I7193, 'IMPORT VHC Report'!$E:$E, 'IMPORT VHC Report'!$A:$C), )</f>
        <v/>
      </c>
      <c r="C7193" s="44"/>
      <c r="D7193" s="44"/>
      <c r="E7193" s="38"/>
      <c r="F7193" s="38"/>
      <c r="G7193" s="38"/>
      <c r="H7193" s="38"/>
      <c r="I7193" s="38"/>
      <c r="J7193" s="38"/>
      <c r="K7193" s="38"/>
      <c r="L7193" s="41"/>
      <c r="M7193" s="38"/>
      <c r="N7193" s="41"/>
      <c r="O7193" s="38"/>
      <c r="P7193" s="38"/>
      <c r="Q7193" s="39"/>
      <c r="R7193" s="39"/>
      <c r="S7193" s="39"/>
      <c r="T7193" s="39"/>
      <c r="U7193" s="39"/>
    </row>
    <row r="7194">
      <c r="A7194" s="40" t="str">
        <f t="shared" si="1"/>
        <v/>
      </c>
      <c r="B7194" s="37" t="str">
        <f t="array" ref="B7194">iferror(xlookup($I7194, 'IMPORT VHC Report'!$E:$E, 'IMPORT VHC Report'!$A:$C), )</f>
        <v/>
      </c>
      <c r="C7194" s="44"/>
      <c r="D7194" s="44"/>
      <c r="E7194" s="38"/>
      <c r="F7194" s="38"/>
      <c r="G7194" s="38"/>
      <c r="H7194" s="38"/>
      <c r="I7194" s="38"/>
      <c r="J7194" s="38"/>
      <c r="K7194" s="38"/>
      <c r="L7194" s="41"/>
      <c r="M7194" s="38"/>
      <c r="N7194" s="41"/>
      <c r="O7194" s="38"/>
      <c r="P7194" s="38"/>
      <c r="Q7194" s="39"/>
      <c r="R7194" s="39"/>
      <c r="S7194" s="39"/>
      <c r="T7194" s="39"/>
      <c r="U7194" s="39"/>
    </row>
    <row r="7195">
      <c r="A7195" s="40" t="str">
        <f t="shared" si="1"/>
        <v/>
      </c>
      <c r="B7195" s="37" t="str">
        <f t="array" ref="B7195">iferror(xlookup($I7195, 'IMPORT VHC Report'!$E:$E, 'IMPORT VHC Report'!$A:$C), )</f>
        <v/>
      </c>
      <c r="C7195" s="44"/>
      <c r="D7195" s="44"/>
      <c r="E7195" s="38"/>
      <c r="F7195" s="38"/>
      <c r="G7195" s="38"/>
      <c r="H7195" s="38"/>
      <c r="I7195" s="38"/>
      <c r="J7195" s="38"/>
      <c r="K7195" s="38"/>
      <c r="L7195" s="41"/>
      <c r="M7195" s="38"/>
      <c r="N7195" s="41"/>
      <c r="O7195" s="38"/>
      <c r="P7195" s="38"/>
      <c r="Q7195" s="39"/>
      <c r="R7195" s="39"/>
      <c r="S7195" s="39"/>
      <c r="T7195" s="39"/>
      <c r="U7195" s="39"/>
    </row>
    <row r="7196">
      <c r="A7196" s="40" t="str">
        <f t="shared" si="1"/>
        <v/>
      </c>
      <c r="B7196" s="37" t="str">
        <f t="array" ref="B7196">iferror(xlookup($I7196, 'IMPORT VHC Report'!$E:$E, 'IMPORT VHC Report'!$A:$C), )</f>
        <v/>
      </c>
      <c r="C7196" s="44"/>
      <c r="D7196" s="44"/>
      <c r="E7196" s="38"/>
      <c r="F7196" s="38"/>
      <c r="G7196" s="38"/>
      <c r="H7196" s="38"/>
      <c r="I7196" s="38"/>
      <c r="J7196" s="38"/>
      <c r="K7196" s="38"/>
      <c r="L7196" s="41"/>
      <c r="M7196" s="38"/>
      <c r="N7196" s="41"/>
      <c r="O7196" s="38"/>
      <c r="P7196" s="38"/>
      <c r="Q7196" s="39"/>
      <c r="R7196" s="39"/>
      <c r="S7196" s="39"/>
      <c r="T7196" s="39"/>
      <c r="U7196" s="39"/>
    </row>
    <row r="7197">
      <c r="A7197" s="40" t="str">
        <f t="shared" si="1"/>
        <v/>
      </c>
      <c r="B7197" s="37" t="str">
        <f t="array" ref="B7197">iferror(xlookup($I7197, 'IMPORT VHC Report'!$E:$E, 'IMPORT VHC Report'!$A:$C), )</f>
        <v/>
      </c>
      <c r="C7197" s="44"/>
      <c r="D7197" s="44"/>
      <c r="E7197" s="38"/>
      <c r="F7197" s="38"/>
      <c r="G7197" s="38"/>
      <c r="H7197" s="38"/>
      <c r="I7197" s="38"/>
      <c r="J7197" s="38"/>
      <c r="K7197" s="38"/>
      <c r="L7197" s="41"/>
      <c r="M7197" s="38"/>
      <c r="N7197" s="41"/>
      <c r="O7197" s="38"/>
      <c r="P7197" s="38"/>
      <c r="Q7197" s="39"/>
      <c r="R7197" s="39"/>
      <c r="S7197" s="39"/>
      <c r="T7197" s="39"/>
      <c r="U7197" s="39"/>
    </row>
    <row r="7198">
      <c r="A7198" s="40" t="str">
        <f t="shared" si="1"/>
        <v/>
      </c>
      <c r="B7198" s="37" t="str">
        <f t="array" ref="B7198">iferror(xlookup($I7198, 'IMPORT VHC Report'!$E:$E, 'IMPORT VHC Report'!$A:$C), )</f>
        <v/>
      </c>
      <c r="C7198" s="44"/>
      <c r="D7198" s="44"/>
      <c r="E7198" s="38"/>
      <c r="F7198" s="38"/>
      <c r="G7198" s="38"/>
      <c r="H7198" s="38"/>
      <c r="I7198" s="38"/>
      <c r="J7198" s="38"/>
      <c r="K7198" s="38"/>
      <c r="L7198" s="41"/>
      <c r="M7198" s="38"/>
      <c r="N7198" s="41"/>
      <c r="O7198" s="38"/>
      <c r="P7198" s="38"/>
      <c r="Q7198" s="39"/>
      <c r="R7198" s="39"/>
      <c r="S7198" s="39"/>
      <c r="T7198" s="39"/>
      <c r="U7198" s="39"/>
    </row>
    <row r="7199">
      <c r="A7199" s="40" t="str">
        <f t="shared" si="1"/>
        <v/>
      </c>
      <c r="B7199" s="37" t="str">
        <f t="array" ref="B7199">iferror(xlookup($I7199, 'IMPORT VHC Report'!$E:$E, 'IMPORT VHC Report'!$A:$C), )</f>
        <v/>
      </c>
      <c r="C7199" s="44"/>
      <c r="D7199" s="44"/>
      <c r="E7199" s="38"/>
      <c r="F7199" s="38"/>
      <c r="G7199" s="38"/>
      <c r="H7199" s="38"/>
      <c r="I7199" s="38"/>
      <c r="J7199" s="38"/>
      <c r="K7199" s="38"/>
      <c r="L7199" s="41"/>
      <c r="M7199" s="38"/>
      <c r="N7199" s="41"/>
      <c r="O7199" s="38"/>
      <c r="P7199" s="38"/>
      <c r="Q7199" s="38"/>
      <c r="R7199" s="39"/>
      <c r="S7199" s="39"/>
      <c r="T7199" s="39"/>
      <c r="U7199" s="39"/>
    </row>
    <row r="7200">
      <c r="A7200" s="40" t="str">
        <f t="shared" si="1"/>
        <v/>
      </c>
      <c r="B7200" s="37" t="str">
        <f t="array" ref="B7200">iferror(xlookup($I7200, 'IMPORT VHC Report'!$E:$E, 'IMPORT VHC Report'!$A:$C), )</f>
        <v/>
      </c>
      <c r="C7200" s="44"/>
      <c r="D7200" s="44"/>
      <c r="E7200" s="38"/>
      <c r="F7200" s="38"/>
      <c r="G7200" s="38"/>
      <c r="H7200" s="38"/>
      <c r="I7200" s="38"/>
      <c r="J7200" s="38"/>
      <c r="K7200" s="38"/>
      <c r="L7200" s="41"/>
      <c r="M7200" s="38"/>
      <c r="N7200" s="41"/>
      <c r="O7200" s="38"/>
      <c r="P7200" s="38"/>
      <c r="Q7200" s="39"/>
      <c r="R7200" s="39"/>
      <c r="S7200" s="39"/>
      <c r="T7200" s="39"/>
      <c r="U7200" s="39"/>
    </row>
    <row r="7201">
      <c r="A7201" s="40" t="str">
        <f t="shared" si="1"/>
        <v/>
      </c>
      <c r="B7201" s="37" t="str">
        <f t="array" ref="B7201">iferror(xlookup($I7201, 'IMPORT VHC Report'!$E:$E, 'IMPORT VHC Report'!$A:$C), )</f>
        <v/>
      </c>
      <c r="C7201" s="44"/>
      <c r="D7201" s="44"/>
      <c r="E7201" s="38"/>
      <c r="F7201" s="38"/>
      <c r="G7201" s="38"/>
      <c r="H7201" s="38"/>
      <c r="I7201" s="38"/>
      <c r="J7201" s="38"/>
      <c r="K7201" s="38"/>
      <c r="L7201" s="41"/>
      <c r="M7201" s="38"/>
      <c r="N7201" s="41"/>
      <c r="O7201" s="38"/>
      <c r="P7201" s="38"/>
      <c r="Q7201" s="39"/>
      <c r="R7201" s="39"/>
      <c r="S7201" s="39"/>
      <c r="T7201" s="39"/>
      <c r="U7201" s="39"/>
    </row>
    <row r="7202">
      <c r="A7202" s="40" t="str">
        <f t="shared" si="1"/>
        <v/>
      </c>
      <c r="B7202" s="37" t="str">
        <f t="array" ref="B7202">iferror(xlookup($I7202, 'IMPORT VHC Report'!$E:$E, 'IMPORT VHC Report'!$A:$C), )</f>
        <v/>
      </c>
      <c r="C7202" s="44"/>
      <c r="D7202" s="44"/>
      <c r="E7202" s="38"/>
      <c r="F7202" s="38"/>
      <c r="G7202" s="38"/>
      <c r="H7202" s="38"/>
      <c r="I7202" s="38"/>
      <c r="J7202" s="38"/>
      <c r="K7202" s="38"/>
      <c r="L7202" s="41"/>
      <c r="M7202" s="38"/>
      <c r="N7202" s="41"/>
      <c r="O7202" s="38"/>
      <c r="P7202" s="38"/>
      <c r="Q7202" s="39"/>
      <c r="R7202" s="39"/>
      <c r="S7202" s="39"/>
      <c r="T7202" s="39"/>
      <c r="U7202" s="39"/>
    </row>
    <row r="7203">
      <c r="A7203" s="40" t="str">
        <f t="shared" si="1"/>
        <v/>
      </c>
      <c r="B7203" s="37" t="str">
        <f t="array" ref="B7203">iferror(xlookup($I7203, 'IMPORT VHC Report'!$E:$E, 'IMPORT VHC Report'!$A:$C), )</f>
        <v/>
      </c>
      <c r="C7203" s="44"/>
      <c r="D7203" s="44"/>
      <c r="E7203" s="38"/>
      <c r="F7203" s="38"/>
      <c r="G7203" s="38"/>
      <c r="H7203" s="38"/>
      <c r="I7203" s="38"/>
      <c r="J7203" s="38"/>
      <c r="K7203" s="38"/>
      <c r="L7203" s="41"/>
      <c r="M7203" s="38"/>
      <c r="N7203" s="41"/>
      <c r="O7203" s="38"/>
      <c r="P7203" s="38"/>
      <c r="Q7203" s="38"/>
      <c r="R7203" s="39"/>
      <c r="S7203" s="39"/>
      <c r="T7203" s="39"/>
      <c r="U7203" s="39"/>
    </row>
    <row r="7204">
      <c r="A7204" s="40" t="str">
        <f t="shared" si="1"/>
        <v/>
      </c>
      <c r="B7204" s="37" t="str">
        <f t="array" ref="B7204">iferror(xlookup($I7204, 'IMPORT VHC Report'!$E:$E, 'IMPORT VHC Report'!$A:$C), )</f>
        <v/>
      </c>
      <c r="C7204" s="44"/>
      <c r="D7204" s="44"/>
      <c r="E7204" s="38"/>
      <c r="F7204" s="38"/>
      <c r="G7204" s="38"/>
      <c r="H7204" s="38"/>
      <c r="I7204" s="38"/>
      <c r="J7204" s="38"/>
      <c r="K7204" s="38"/>
      <c r="L7204" s="41"/>
      <c r="M7204" s="38"/>
      <c r="N7204" s="41"/>
      <c r="O7204" s="38"/>
      <c r="P7204" s="38"/>
      <c r="Q7204" s="39"/>
      <c r="R7204" s="39"/>
      <c r="S7204" s="39"/>
      <c r="T7204" s="39"/>
      <c r="U7204" s="39"/>
    </row>
    <row r="7205">
      <c r="A7205" s="40" t="str">
        <f t="shared" si="1"/>
        <v/>
      </c>
      <c r="B7205" s="37" t="str">
        <f t="array" ref="B7205">iferror(xlookup($I7205, 'IMPORT VHC Report'!$E:$E, 'IMPORT VHC Report'!$A:$C), )</f>
        <v/>
      </c>
      <c r="C7205" s="44"/>
      <c r="D7205" s="44"/>
      <c r="E7205" s="38"/>
      <c r="F7205" s="38"/>
      <c r="G7205" s="38"/>
      <c r="H7205" s="38"/>
      <c r="I7205" s="38"/>
      <c r="J7205" s="38"/>
      <c r="K7205" s="38"/>
      <c r="L7205" s="41"/>
      <c r="M7205" s="38"/>
      <c r="N7205" s="41"/>
      <c r="O7205" s="38"/>
      <c r="P7205" s="38"/>
      <c r="Q7205" s="39"/>
      <c r="R7205" s="39"/>
      <c r="S7205" s="39"/>
      <c r="T7205" s="39"/>
      <c r="U7205" s="39"/>
    </row>
    <row r="7206">
      <c r="A7206" s="40" t="str">
        <f t="shared" si="1"/>
        <v/>
      </c>
      <c r="B7206" s="37" t="str">
        <f t="array" ref="B7206">iferror(xlookup($I7206, 'IMPORT VHC Report'!$E:$E, 'IMPORT VHC Report'!$A:$C), )</f>
        <v/>
      </c>
      <c r="C7206" s="44"/>
      <c r="D7206" s="44"/>
      <c r="E7206" s="38"/>
      <c r="F7206" s="38"/>
      <c r="G7206" s="38"/>
      <c r="H7206" s="38"/>
      <c r="I7206" s="38"/>
      <c r="J7206" s="38"/>
      <c r="K7206" s="38"/>
      <c r="L7206" s="41"/>
      <c r="M7206" s="38"/>
      <c r="N7206" s="41"/>
      <c r="O7206" s="38"/>
      <c r="P7206" s="38"/>
      <c r="Q7206" s="39"/>
      <c r="R7206" s="39"/>
      <c r="S7206" s="39"/>
      <c r="T7206" s="39"/>
      <c r="U7206" s="39"/>
    </row>
    <row r="7207">
      <c r="A7207" s="40" t="str">
        <f t="shared" si="1"/>
        <v/>
      </c>
      <c r="B7207" s="37" t="str">
        <f t="array" ref="B7207">iferror(xlookup($I7207, 'IMPORT VHC Report'!$E:$E, 'IMPORT VHC Report'!$A:$C), )</f>
        <v/>
      </c>
      <c r="C7207" s="44"/>
      <c r="D7207" s="44"/>
      <c r="E7207" s="38"/>
      <c r="F7207" s="38"/>
      <c r="G7207" s="38"/>
      <c r="H7207" s="38"/>
      <c r="I7207" s="38"/>
      <c r="J7207" s="38"/>
      <c r="K7207" s="38"/>
      <c r="L7207" s="41"/>
      <c r="M7207" s="38"/>
      <c r="N7207" s="41"/>
      <c r="O7207" s="38"/>
      <c r="P7207" s="38"/>
      <c r="Q7207" s="38"/>
      <c r="R7207" s="39"/>
      <c r="S7207" s="39"/>
      <c r="T7207" s="39"/>
      <c r="U7207" s="39"/>
    </row>
    <row r="7208">
      <c r="A7208" s="40" t="str">
        <f t="shared" si="1"/>
        <v/>
      </c>
      <c r="B7208" s="37" t="str">
        <f t="array" ref="B7208">iferror(xlookup($I7208, 'IMPORT VHC Report'!$E:$E, 'IMPORT VHC Report'!$A:$C), )</f>
        <v/>
      </c>
      <c r="C7208" s="44"/>
      <c r="D7208" s="44"/>
      <c r="E7208" s="38"/>
      <c r="F7208" s="38"/>
      <c r="G7208" s="38"/>
      <c r="H7208" s="38"/>
      <c r="I7208" s="38"/>
      <c r="J7208" s="38"/>
      <c r="K7208" s="38"/>
      <c r="L7208" s="41"/>
      <c r="M7208" s="38"/>
      <c r="N7208" s="41"/>
      <c r="O7208" s="38"/>
      <c r="P7208" s="38"/>
      <c r="Q7208" s="39"/>
      <c r="R7208" s="39"/>
      <c r="S7208" s="39"/>
      <c r="T7208" s="39"/>
      <c r="U7208" s="39"/>
    </row>
    <row r="7209">
      <c r="A7209" s="40" t="str">
        <f t="shared" si="1"/>
        <v/>
      </c>
      <c r="B7209" s="37" t="str">
        <f t="array" ref="B7209">iferror(xlookup($I7209, 'IMPORT VHC Report'!$E:$E, 'IMPORT VHC Report'!$A:$C), )</f>
        <v/>
      </c>
      <c r="C7209" s="44"/>
      <c r="D7209" s="44"/>
      <c r="E7209" s="38"/>
      <c r="F7209" s="38"/>
      <c r="G7209" s="38"/>
      <c r="H7209" s="38"/>
      <c r="I7209" s="38"/>
      <c r="J7209" s="38"/>
      <c r="K7209" s="38"/>
      <c r="L7209" s="41"/>
      <c r="M7209" s="38"/>
      <c r="N7209" s="41"/>
      <c r="O7209" s="38"/>
      <c r="P7209" s="38"/>
      <c r="Q7209" s="39"/>
      <c r="R7209" s="39"/>
      <c r="S7209" s="39"/>
      <c r="T7209" s="39"/>
      <c r="U7209" s="39"/>
    </row>
    <row r="7210">
      <c r="A7210" s="40" t="str">
        <f t="shared" si="1"/>
        <v/>
      </c>
      <c r="B7210" s="37" t="str">
        <f t="array" ref="B7210">iferror(xlookup($I7210, 'IMPORT VHC Report'!$E:$E, 'IMPORT VHC Report'!$A:$C), )</f>
        <v/>
      </c>
      <c r="C7210" s="44"/>
      <c r="D7210" s="44"/>
      <c r="E7210" s="38"/>
      <c r="F7210" s="38"/>
      <c r="G7210" s="38"/>
      <c r="H7210" s="38"/>
      <c r="I7210" s="38"/>
      <c r="J7210" s="38"/>
      <c r="K7210" s="38"/>
      <c r="L7210" s="41"/>
      <c r="M7210" s="38"/>
      <c r="N7210" s="41"/>
      <c r="O7210" s="38"/>
      <c r="P7210" s="38"/>
      <c r="Q7210" s="39"/>
      <c r="R7210" s="39"/>
      <c r="S7210" s="39"/>
      <c r="T7210" s="39"/>
      <c r="U7210" s="39"/>
    </row>
    <row r="7211">
      <c r="A7211" s="40" t="str">
        <f t="shared" si="1"/>
        <v/>
      </c>
      <c r="B7211" s="37" t="str">
        <f t="array" ref="B7211">iferror(xlookup($I7211, 'IMPORT VHC Report'!$E:$E, 'IMPORT VHC Report'!$A:$C), )</f>
        <v/>
      </c>
      <c r="C7211" s="44"/>
      <c r="D7211" s="44"/>
      <c r="E7211" s="38"/>
      <c r="F7211" s="38"/>
      <c r="G7211" s="38"/>
      <c r="H7211" s="38"/>
      <c r="I7211" s="38"/>
      <c r="J7211" s="38"/>
      <c r="K7211" s="38"/>
      <c r="L7211" s="41"/>
      <c r="M7211" s="38"/>
      <c r="N7211" s="41"/>
      <c r="O7211" s="38"/>
      <c r="P7211" s="38"/>
      <c r="Q7211" s="39"/>
      <c r="R7211" s="39"/>
      <c r="S7211" s="39"/>
      <c r="T7211" s="39"/>
      <c r="U7211" s="39"/>
    </row>
    <row r="7212">
      <c r="A7212" s="40" t="str">
        <f t="shared" si="1"/>
        <v/>
      </c>
      <c r="B7212" s="37" t="str">
        <f t="array" ref="B7212">iferror(xlookup($I7212, 'IMPORT VHC Report'!$E:$E, 'IMPORT VHC Report'!$A:$C), )</f>
        <v/>
      </c>
      <c r="C7212" s="44"/>
      <c r="D7212" s="44"/>
      <c r="E7212" s="38"/>
      <c r="F7212" s="38"/>
      <c r="G7212" s="38"/>
      <c r="H7212" s="38"/>
      <c r="I7212" s="38"/>
      <c r="J7212" s="38"/>
      <c r="K7212" s="38"/>
      <c r="L7212" s="41"/>
      <c r="M7212" s="38"/>
      <c r="N7212" s="41"/>
      <c r="O7212" s="38"/>
      <c r="P7212" s="38"/>
      <c r="Q7212" s="39"/>
      <c r="R7212" s="39"/>
      <c r="S7212" s="39"/>
      <c r="T7212" s="39"/>
      <c r="U7212" s="39"/>
    </row>
    <row r="7213">
      <c r="A7213" s="40" t="str">
        <f t="shared" si="1"/>
        <v/>
      </c>
      <c r="B7213" s="37" t="str">
        <f t="array" ref="B7213">iferror(xlookup($I7213, 'IMPORT VHC Report'!$E:$E, 'IMPORT VHC Report'!$A:$C), )</f>
        <v/>
      </c>
      <c r="C7213" s="44"/>
      <c r="D7213" s="44"/>
      <c r="E7213" s="38"/>
      <c r="F7213" s="38"/>
      <c r="G7213" s="38"/>
      <c r="H7213" s="38"/>
      <c r="I7213" s="38"/>
      <c r="J7213" s="38"/>
      <c r="K7213" s="38"/>
      <c r="L7213" s="41"/>
      <c r="M7213" s="38"/>
      <c r="N7213" s="41"/>
      <c r="O7213" s="38"/>
      <c r="P7213" s="38"/>
      <c r="Q7213" s="39"/>
      <c r="R7213" s="39"/>
      <c r="S7213" s="39"/>
      <c r="T7213" s="39"/>
      <c r="U7213" s="39"/>
    </row>
    <row r="7214">
      <c r="A7214" s="40" t="str">
        <f t="shared" si="1"/>
        <v/>
      </c>
      <c r="B7214" s="37" t="str">
        <f t="array" ref="B7214">iferror(xlookup($I7214, 'IMPORT VHC Report'!$E:$E, 'IMPORT VHC Report'!$A:$C), )</f>
        <v/>
      </c>
      <c r="C7214" s="44"/>
      <c r="D7214" s="44"/>
      <c r="E7214" s="38"/>
      <c r="F7214" s="38"/>
      <c r="G7214" s="38"/>
      <c r="H7214" s="38"/>
      <c r="I7214" s="38"/>
      <c r="J7214" s="38"/>
      <c r="K7214" s="38"/>
      <c r="L7214" s="41"/>
      <c r="M7214" s="38"/>
      <c r="N7214" s="41"/>
      <c r="O7214" s="38"/>
      <c r="P7214" s="38"/>
      <c r="Q7214" s="39"/>
      <c r="R7214" s="39"/>
      <c r="S7214" s="39"/>
      <c r="T7214" s="39"/>
      <c r="U7214" s="39"/>
    </row>
    <row r="7215">
      <c r="A7215" s="40" t="str">
        <f t="shared" si="1"/>
        <v/>
      </c>
      <c r="B7215" s="37" t="str">
        <f t="array" ref="B7215">iferror(xlookup($I7215, 'IMPORT VHC Report'!$E:$E, 'IMPORT VHC Report'!$A:$C), )</f>
        <v/>
      </c>
      <c r="C7215" s="44"/>
      <c r="D7215" s="44"/>
      <c r="E7215" s="38"/>
      <c r="F7215" s="38"/>
      <c r="G7215" s="38"/>
      <c r="H7215" s="38"/>
      <c r="I7215" s="38"/>
      <c r="J7215" s="38"/>
      <c r="K7215" s="38"/>
      <c r="L7215" s="41"/>
      <c r="M7215" s="38"/>
      <c r="N7215" s="41"/>
      <c r="O7215" s="38"/>
      <c r="P7215" s="38"/>
      <c r="Q7215" s="39"/>
      <c r="R7215" s="39"/>
      <c r="S7215" s="39"/>
      <c r="T7215" s="39"/>
      <c r="U7215" s="39"/>
    </row>
    <row r="7216">
      <c r="A7216" s="40" t="str">
        <f t="shared" si="1"/>
        <v/>
      </c>
      <c r="B7216" s="37" t="str">
        <f t="array" ref="B7216">iferror(xlookup($I7216, 'IMPORT VHC Report'!$E:$E, 'IMPORT VHC Report'!$A:$C), )</f>
        <v/>
      </c>
      <c r="C7216" s="44"/>
      <c r="D7216" s="44"/>
      <c r="E7216" s="38"/>
      <c r="F7216" s="38"/>
      <c r="G7216" s="38"/>
      <c r="H7216" s="38"/>
      <c r="I7216" s="38"/>
      <c r="J7216" s="38"/>
      <c r="K7216" s="38"/>
      <c r="L7216" s="41"/>
      <c r="M7216" s="38"/>
      <c r="N7216" s="41"/>
      <c r="O7216" s="38"/>
      <c r="P7216" s="38"/>
      <c r="Q7216" s="39"/>
      <c r="R7216" s="39"/>
      <c r="S7216" s="39"/>
      <c r="T7216" s="39"/>
      <c r="U7216" s="39"/>
    </row>
    <row r="7217">
      <c r="A7217" s="40" t="str">
        <f t="shared" si="1"/>
        <v/>
      </c>
      <c r="B7217" s="37" t="str">
        <f t="array" ref="B7217">iferror(xlookup($I7217, 'IMPORT VHC Report'!$E:$E, 'IMPORT VHC Report'!$A:$C), )</f>
        <v/>
      </c>
      <c r="C7217" s="44"/>
      <c r="D7217" s="44"/>
      <c r="E7217" s="38"/>
      <c r="F7217" s="38"/>
      <c r="G7217" s="38"/>
      <c r="H7217" s="38"/>
      <c r="I7217" s="38"/>
      <c r="J7217" s="38"/>
      <c r="K7217" s="38"/>
      <c r="L7217" s="41"/>
      <c r="M7217" s="38"/>
      <c r="N7217" s="41"/>
      <c r="O7217" s="38"/>
      <c r="P7217" s="38"/>
      <c r="Q7217" s="39"/>
      <c r="R7217" s="39"/>
      <c r="S7217" s="39"/>
      <c r="T7217" s="39"/>
      <c r="U7217" s="39"/>
    </row>
    <row r="7218">
      <c r="A7218" s="40" t="str">
        <f t="shared" si="1"/>
        <v/>
      </c>
      <c r="B7218" s="37" t="str">
        <f t="array" ref="B7218">iferror(xlookup($I7218, 'IMPORT VHC Report'!$E:$E, 'IMPORT VHC Report'!$A:$C), )</f>
        <v/>
      </c>
      <c r="C7218" s="44"/>
      <c r="D7218" s="44"/>
      <c r="E7218" s="38"/>
      <c r="F7218" s="38"/>
      <c r="G7218" s="38"/>
      <c r="H7218" s="38"/>
      <c r="I7218" s="38"/>
      <c r="J7218" s="38"/>
      <c r="K7218" s="38"/>
      <c r="L7218" s="41"/>
      <c r="M7218" s="38"/>
      <c r="N7218" s="41"/>
      <c r="O7218" s="38"/>
      <c r="P7218" s="38"/>
      <c r="Q7218" s="39"/>
      <c r="R7218" s="39"/>
      <c r="S7218" s="39"/>
      <c r="T7218" s="39"/>
      <c r="U7218" s="39"/>
    </row>
    <row r="7219">
      <c r="A7219" s="40" t="str">
        <f t="shared" si="1"/>
        <v/>
      </c>
      <c r="B7219" s="37" t="str">
        <f t="array" ref="B7219">iferror(xlookup($I7219, 'IMPORT VHC Report'!$E:$E, 'IMPORT VHC Report'!$A:$C), )</f>
        <v/>
      </c>
      <c r="C7219" s="44"/>
      <c r="D7219" s="44"/>
      <c r="E7219" s="38"/>
      <c r="F7219" s="38"/>
      <c r="G7219" s="38"/>
      <c r="H7219" s="38"/>
      <c r="I7219" s="38"/>
      <c r="J7219" s="38"/>
      <c r="K7219" s="38"/>
      <c r="L7219" s="41"/>
      <c r="M7219" s="38"/>
      <c r="N7219" s="41"/>
      <c r="O7219" s="38"/>
      <c r="P7219" s="38"/>
      <c r="Q7219" s="39"/>
      <c r="R7219" s="39"/>
      <c r="S7219" s="39"/>
      <c r="T7219" s="39"/>
      <c r="U7219" s="39"/>
    </row>
    <row r="7220">
      <c r="A7220" s="40" t="str">
        <f t="shared" si="1"/>
        <v/>
      </c>
      <c r="B7220" s="37" t="str">
        <f t="array" ref="B7220">iferror(xlookup($I7220, 'IMPORT VHC Report'!$E:$E, 'IMPORT VHC Report'!$A:$C), )</f>
        <v/>
      </c>
      <c r="C7220" s="44"/>
      <c r="D7220" s="44"/>
      <c r="E7220" s="38"/>
      <c r="F7220" s="38"/>
      <c r="G7220" s="38"/>
      <c r="H7220" s="38"/>
      <c r="I7220" s="38"/>
      <c r="J7220" s="38"/>
      <c r="K7220" s="38"/>
      <c r="L7220" s="41"/>
      <c r="M7220" s="38"/>
      <c r="N7220" s="41"/>
      <c r="O7220" s="38"/>
      <c r="P7220" s="38"/>
      <c r="Q7220" s="39"/>
      <c r="R7220" s="39"/>
      <c r="S7220" s="39"/>
      <c r="T7220" s="39"/>
      <c r="U7220" s="39"/>
    </row>
    <row r="7221">
      <c r="A7221" s="40" t="str">
        <f t="shared" si="1"/>
        <v/>
      </c>
      <c r="B7221" s="37" t="str">
        <f t="array" ref="B7221">iferror(xlookup($I7221, 'IMPORT VHC Report'!$E:$E, 'IMPORT VHC Report'!$A:$C), )</f>
        <v/>
      </c>
      <c r="C7221" s="44"/>
      <c r="D7221" s="44"/>
      <c r="E7221" s="38"/>
      <c r="F7221" s="38"/>
      <c r="G7221" s="38"/>
      <c r="H7221" s="38"/>
      <c r="I7221" s="38"/>
      <c r="J7221" s="38"/>
      <c r="K7221" s="38"/>
      <c r="L7221" s="41"/>
      <c r="M7221" s="38"/>
      <c r="N7221" s="41"/>
      <c r="O7221" s="38"/>
      <c r="P7221" s="38"/>
      <c r="Q7221" s="39"/>
      <c r="R7221" s="39"/>
      <c r="S7221" s="39"/>
      <c r="T7221" s="39"/>
      <c r="U7221" s="39"/>
    </row>
    <row r="7222">
      <c r="A7222" s="40" t="str">
        <f t="shared" si="1"/>
        <v/>
      </c>
      <c r="B7222" s="37" t="str">
        <f t="array" ref="B7222">iferror(xlookup($I7222, 'IMPORT VHC Report'!$E:$E, 'IMPORT VHC Report'!$A:$C), )</f>
        <v/>
      </c>
      <c r="C7222" s="44"/>
      <c r="D7222" s="44"/>
      <c r="E7222" s="38"/>
      <c r="F7222" s="38"/>
      <c r="G7222" s="38"/>
      <c r="H7222" s="38"/>
      <c r="I7222" s="38"/>
      <c r="J7222" s="38"/>
      <c r="K7222" s="38"/>
      <c r="L7222" s="41"/>
      <c r="M7222" s="38"/>
      <c r="N7222" s="41"/>
      <c r="O7222" s="38"/>
      <c r="P7222" s="38"/>
      <c r="Q7222" s="39"/>
      <c r="R7222" s="39"/>
      <c r="S7222" s="39"/>
      <c r="T7222" s="39"/>
      <c r="U7222" s="39"/>
    </row>
    <row r="7223">
      <c r="A7223" s="40" t="str">
        <f t="shared" si="1"/>
        <v/>
      </c>
      <c r="B7223" s="37" t="str">
        <f t="array" ref="B7223">iferror(xlookup($I7223, 'IMPORT VHC Report'!$E:$E, 'IMPORT VHC Report'!$A:$C), )</f>
        <v/>
      </c>
      <c r="C7223" s="44"/>
      <c r="D7223" s="44"/>
      <c r="E7223" s="38"/>
      <c r="F7223" s="38"/>
      <c r="G7223" s="38"/>
      <c r="H7223" s="38"/>
      <c r="I7223" s="38"/>
      <c r="J7223" s="38"/>
      <c r="K7223" s="38"/>
      <c r="L7223" s="41"/>
      <c r="M7223" s="38"/>
      <c r="N7223" s="41"/>
      <c r="O7223" s="38"/>
      <c r="P7223" s="38"/>
      <c r="Q7223" s="39"/>
      <c r="R7223" s="39"/>
      <c r="S7223" s="39"/>
      <c r="T7223" s="39"/>
      <c r="U7223" s="39"/>
    </row>
    <row r="7224">
      <c r="A7224" s="40" t="str">
        <f t="shared" si="1"/>
        <v/>
      </c>
      <c r="B7224" s="37" t="str">
        <f t="array" ref="B7224">iferror(xlookup($I7224, 'IMPORT VHC Report'!$E:$E, 'IMPORT VHC Report'!$A:$C), )</f>
        <v/>
      </c>
      <c r="C7224" s="44"/>
      <c r="D7224" s="44"/>
      <c r="E7224" s="38"/>
      <c r="F7224" s="38"/>
      <c r="G7224" s="38"/>
      <c r="H7224" s="38"/>
      <c r="I7224" s="38"/>
      <c r="J7224" s="38"/>
      <c r="K7224" s="38"/>
      <c r="L7224" s="41"/>
      <c r="M7224" s="38"/>
      <c r="N7224" s="41"/>
      <c r="O7224" s="38"/>
      <c r="P7224" s="38"/>
      <c r="Q7224" s="39"/>
      <c r="R7224" s="39"/>
      <c r="S7224" s="39"/>
      <c r="T7224" s="39"/>
      <c r="U7224" s="39"/>
    </row>
    <row r="7225">
      <c r="A7225" s="40" t="str">
        <f t="shared" si="1"/>
        <v/>
      </c>
      <c r="B7225" s="37" t="str">
        <f t="array" ref="B7225">iferror(xlookup($I7225, 'IMPORT VHC Report'!$E:$E, 'IMPORT VHC Report'!$A:$C), )</f>
        <v/>
      </c>
      <c r="C7225" s="44"/>
      <c r="D7225" s="44"/>
      <c r="E7225" s="38"/>
      <c r="F7225" s="38"/>
      <c r="G7225" s="38"/>
      <c r="H7225" s="38"/>
      <c r="I7225" s="38"/>
      <c r="J7225" s="38"/>
      <c r="K7225" s="38"/>
      <c r="L7225" s="41"/>
      <c r="M7225" s="38"/>
      <c r="N7225" s="41"/>
      <c r="O7225" s="38"/>
      <c r="P7225" s="38"/>
      <c r="Q7225" s="39"/>
      <c r="R7225" s="39"/>
      <c r="S7225" s="39"/>
      <c r="T7225" s="39"/>
      <c r="U7225" s="39"/>
    </row>
    <row r="7226">
      <c r="A7226" s="40" t="str">
        <f t="shared" si="1"/>
        <v/>
      </c>
      <c r="B7226" s="37" t="str">
        <f t="array" ref="B7226">iferror(xlookup($I7226, 'IMPORT VHC Report'!$E:$E, 'IMPORT VHC Report'!$A:$C), )</f>
        <v/>
      </c>
      <c r="C7226" s="44"/>
      <c r="D7226" s="44"/>
      <c r="E7226" s="38"/>
      <c r="F7226" s="38"/>
      <c r="G7226" s="38"/>
      <c r="H7226" s="38"/>
      <c r="I7226" s="38"/>
      <c r="J7226" s="38"/>
      <c r="K7226" s="38"/>
      <c r="L7226" s="41"/>
      <c r="M7226" s="38"/>
      <c r="N7226" s="41"/>
      <c r="O7226" s="38"/>
      <c r="P7226" s="38"/>
      <c r="Q7226" s="39"/>
      <c r="R7226" s="39"/>
      <c r="S7226" s="39"/>
      <c r="T7226" s="39"/>
      <c r="U7226" s="39"/>
    </row>
    <row r="7227">
      <c r="A7227" s="40" t="str">
        <f t="shared" si="1"/>
        <v/>
      </c>
      <c r="B7227" s="37" t="str">
        <f t="array" ref="B7227">iferror(xlookup($I7227, 'IMPORT VHC Report'!$E:$E, 'IMPORT VHC Report'!$A:$C), )</f>
        <v/>
      </c>
      <c r="C7227" s="44"/>
      <c r="D7227" s="44"/>
      <c r="E7227" s="38"/>
      <c r="F7227" s="38"/>
      <c r="G7227" s="38"/>
      <c r="H7227" s="38"/>
      <c r="I7227" s="38"/>
      <c r="J7227" s="38"/>
      <c r="K7227" s="38"/>
      <c r="L7227" s="41"/>
      <c r="M7227" s="38"/>
      <c r="N7227" s="41"/>
      <c r="O7227" s="38"/>
      <c r="P7227" s="38"/>
      <c r="Q7227" s="39"/>
      <c r="R7227" s="39"/>
      <c r="S7227" s="39"/>
      <c r="T7227" s="39"/>
      <c r="U7227" s="39"/>
    </row>
    <row r="7228">
      <c r="A7228" s="40" t="str">
        <f t="shared" si="1"/>
        <v/>
      </c>
      <c r="B7228" s="37" t="str">
        <f t="array" ref="B7228">iferror(xlookup($I7228, 'IMPORT VHC Report'!$E:$E, 'IMPORT VHC Report'!$A:$C), )</f>
        <v/>
      </c>
      <c r="C7228" s="44"/>
      <c r="D7228" s="44"/>
      <c r="E7228" s="38"/>
      <c r="F7228" s="38"/>
      <c r="G7228" s="38"/>
      <c r="H7228" s="38"/>
      <c r="I7228" s="38"/>
      <c r="J7228" s="38"/>
      <c r="K7228" s="38"/>
      <c r="L7228" s="41"/>
      <c r="M7228" s="38"/>
      <c r="N7228" s="41"/>
      <c r="O7228" s="38"/>
      <c r="P7228" s="38"/>
      <c r="Q7228" s="39"/>
      <c r="R7228" s="39"/>
      <c r="S7228" s="39"/>
      <c r="T7228" s="39"/>
      <c r="U7228" s="39"/>
    </row>
    <row r="7229">
      <c r="A7229" s="40" t="str">
        <f t="shared" si="1"/>
        <v/>
      </c>
      <c r="B7229" s="37" t="str">
        <f t="array" ref="B7229">iferror(xlookup($I7229, 'IMPORT VHC Report'!$E:$E, 'IMPORT VHC Report'!$A:$C), )</f>
        <v/>
      </c>
      <c r="C7229" s="44"/>
      <c r="D7229" s="44"/>
      <c r="E7229" s="38"/>
      <c r="F7229" s="38"/>
      <c r="G7229" s="38"/>
      <c r="H7229" s="38"/>
      <c r="I7229" s="38"/>
      <c r="J7229" s="38"/>
      <c r="K7229" s="38"/>
      <c r="L7229" s="41"/>
      <c r="M7229" s="38"/>
      <c r="N7229" s="41"/>
      <c r="O7229" s="38"/>
      <c r="P7229" s="38"/>
      <c r="Q7229" s="39"/>
      <c r="R7229" s="39"/>
      <c r="S7229" s="39"/>
      <c r="T7229" s="39"/>
      <c r="U7229" s="39"/>
    </row>
    <row r="7230">
      <c r="A7230" s="40" t="str">
        <f t="shared" si="1"/>
        <v/>
      </c>
      <c r="B7230" s="37" t="str">
        <f t="array" ref="B7230">iferror(xlookup($I7230, 'IMPORT VHC Report'!$E:$E, 'IMPORT VHC Report'!$A:$C), )</f>
        <v/>
      </c>
      <c r="C7230" s="44"/>
      <c r="D7230" s="44"/>
      <c r="E7230" s="38"/>
      <c r="F7230" s="38"/>
      <c r="G7230" s="38"/>
      <c r="H7230" s="38"/>
      <c r="I7230" s="38"/>
      <c r="J7230" s="38"/>
      <c r="K7230" s="38"/>
      <c r="L7230" s="41"/>
      <c r="M7230" s="38"/>
      <c r="N7230" s="41"/>
      <c r="O7230" s="38"/>
      <c r="P7230" s="38"/>
      <c r="Q7230" s="38"/>
      <c r="R7230" s="38"/>
      <c r="S7230" s="38"/>
      <c r="T7230" s="39"/>
      <c r="U7230" s="39"/>
    </row>
    <row r="7231">
      <c r="A7231" s="40" t="str">
        <f t="shared" si="1"/>
        <v/>
      </c>
      <c r="B7231" s="37" t="str">
        <f t="array" ref="B7231">iferror(xlookup($I7231, 'IMPORT VHC Report'!$E:$E, 'IMPORT VHC Report'!$A:$C), )</f>
        <v/>
      </c>
      <c r="C7231" s="44"/>
      <c r="D7231" s="44"/>
      <c r="E7231" s="38"/>
      <c r="F7231" s="38"/>
      <c r="G7231" s="38"/>
      <c r="H7231" s="38"/>
      <c r="I7231" s="38"/>
      <c r="J7231" s="38"/>
      <c r="K7231" s="38"/>
      <c r="L7231" s="41"/>
      <c r="M7231" s="38"/>
      <c r="N7231" s="41"/>
      <c r="O7231" s="38"/>
      <c r="P7231" s="38"/>
      <c r="Q7231" s="39"/>
      <c r="R7231" s="39"/>
      <c r="S7231" s="39"/>
      <c r="T7231" s="39"/>
      <c r="U7231" s="39"/>
    </row>
    <row r="7232">
      <c r="A7232" s="40" t="str">
        <f t="shared" si="1"/>
        <v/>
      </c>
      <c r="B7232" s="37" t="str">
        <f t="array" ref="B7232">iferror(xlookup($I7232, 'IMPORT VHC Report'!$E:$E, 'IMPORT VHC Report'!$A:$C), )</f>
        <v/>
      </c>
      <c r="C7232" s="44"/>
      <c r="D7232" s="44"/>
      <c r="E7232" s="38"/>
      <c r="F7232" s="38"/>
      <c r="G7232" s="38"/>
      <c r="H7232" s="38"/>
      <c r="I7232" s="38"/>
      <c r="J7232" s="38"/>
      <c r="K7232" s="38"/>
      <c r="L7232" s="41"/>
      <c r="M7232" s="38"/>
      <c r="N7232" s="41"/>
      <c r="O7232" s="38"/>
      <c r="P7232" s="38"/>
      <c r="Q7232" s="39"/>
      <c r="R7232" s="39"/>
      <c r="S7232" s="39"/>
      <c r="T7232" s="39"/>
      <c r="U7232" s="39"/>
    </row>
    <row r="7233">
      <c r="A7233" s="40" t="str">
        <f t="shared" si="1"/>
        <v/>
      </c>
      <c r="B7233" s="37" t="str">
        <f t="array" ref="B7233">iferror(xlookup($I7233, 'IMPORT VHC Report'!$E:$E, 'IMPORT VHC Report'!$A:$C), )</f>
        <v/>
      </c>
      <c r="C7233" s="44"/>
      <c r="D7233" s="44"/>
      <c r="E7233" s="38"/>
      <c r="F7233" s="38"/>
      <c r="G7233" s="38"/>
      <c r="H7233" s="38"/>
      <c r="I7233" s="38"/>
      <c r="J7233" s="38"/>
      <c r="K7233" s="38"/>
      <c r="L7233" s="41"/>
      <c r="M7233" s="38"/>
      <c r="N7233" s="41"/>
      <c r="O7233" s="38"/>
      <c r="P7233" s="38"/>
      <c r="Q7233" s="39"/>
      <c r="R7233" s="39"/>
      <c r="S7233" s="39"/>
      <c r="T7233" s="39"/>
      <c r="U7233" s="39"/>
    </row>
    <row r="7234">
      <c r="A7234" s="40" t="str">
        <f t="shared" si="1"/>
        <v/>
      </c>
      <c r="B7234" s="37" t="str">
        <f t="array" ref="B7234">iferror(xlookup($I7234, 'IMPORT VHC Report'!$E:$E, 'IMPORT VHC Report'!$A:$C), )</f>
        <v/>
      </c>
      <c r="C7234" s="44"/>
      <c r="D7234" s="44"/>
      <c r="E7234" s="38"/>
      <c r="F7234" s="38"/>
      <c r="G7234" s="38"/>
      <c r="H7234" s="38"/>
      <c r="I7234" s="38"/>
      <c r="J7234" s="38"/>
      <c r="K7234" s="38"/>
      <c r="L7234" s="41"/>
      <c r="M7234" s="38"/>
      <c r="N7234" s="41"/>
      <c r="O7234" s="38"/>
      <c r="P7234" s="38"/>
      <c r="Q7234" s="39"/>
      <c r="R7234" s="39"/>
      <c r="S7234" s="39"/>
      <c r="T7234" s="39"/>
      <c r="U7234" s="39"/>
    </row>
    <row r="7235">
      <c r="A7235" s="40" t="str">
        <f t="shared" si="1"/>
        <v/>
      </c>
      <c r="B7235" s="37" t="str">
        <f t="array" ref="B7235">iferror(xlookup($I7235, 'IMPORT VHC Report'!$E:$E, 'IMPORT VHC Report'!$A:$C), )</f>
        <v/>
      </c>
      <c r="C7235" s="44"/>
      <c r="D7235" s="44"/>
      <c r="E7235" s="38"/>
      <c r="F7235" s="38"/>
      <c r="G7235" s="38"/>
      <c r="H7235" s="38"/>
      <c r="I7235" s="38"/>
      <c r="J7235" s="38"/>
      <c r="K7235" s="38"/>
      <c r="L7235" s="41"/>
      <c r="M7235" s="38"/>
      <c r="N7235" s="41"/>
      <c r="O7235" s="38"/>
      <c r="P7235" s="38"/>
      <c r="Q7235" s="39"/>
      <c r="R7235" s="39"/>
      <c r="S7235" s="39"/>
      <c r="T7235" s="39"/>
      <c r="U7235" s="39"/>
    </row>
    <row r="7236">
      <c r="A7236" s="40" t="str">
        <f t="shared" si="1"/>
        <v/>
      </c>
      <c r="B7236" s="37" t="str">
        <f t="array" ref="B7236">iferror(xlookup($I7236, 'IMPORT VHC Report'!$E:$E, 'IMPORT VHC Report'!$A:$C), )</f>
        <v/>
      </c>
      <c r="C7236" s="44"/>
      <c r="D7236" s="44"/>
      <c r="E7236" s="38"/>
      <c r="F7236" s="38"/>
      <c r="G7236" s="38"/>
      <c r="H7236" s="38"/>
      <c r="I7236" s="38"/>
      <c r="J7236" s="38"/>
      <c r="K7236" s="38"/>
      <c r="L7236" s="41"/>
      <c r="M7236" s="38"/>
      <c r="N7236" s="41"/>
      <c r="O7236" s="38"/>
      <c r="P7236" s="38"/>
      <c r="Q7236" s="39"/>
      <c r="R7236" s="39"/>
      <c r="S7236" s="39"/>
      <c r="T7236" s="39"/>
      <c r="U7236" s="39"/>
    </row>
    <row r="7237">
      <c r="A7237" s="40" t="str">
        <f t="shared" si="1"/>
        <v/>
      </c>
      <c r="B7237" s="37" t="str">
        <f t="array" ref="B7237">iferror(xlookup($I7237, 'IMPORT VHC Report'!$E:$E, 'IMPORT VHC Report'!$A:$C), )</f>
        <v/>
      </c>
      <c r="C7237" s="44"/>
      <c r="D7237" s="44"/>
      <c r="E7237" s="38"/>
      <c r="F7237" s="38"/>
      <c r="G7237" s="38"/>
      <c r="H7237" s="38"/>
      <c r="I7237" s="38"/>
      <c r="J7237" s="38"/>
      <c r="K7237" s="38"/>
      <c r="L7237" s="41"/>
      <c r="M7237" s="38"/>
      <c r="N7237" s="41"/>
      <c r="O7237" s="38"/>
      <c r="P7237" s="38"/>
      <c r="Q7237" s="39"/>
      <c r="R7237" s="39"/>
      <c r="S7237" s="39"/>
      <c r="T7237" s="39"/>
      <c r="U7237" s="39"/>
    </row>
    <row r="7238">
      <c r="A7238" s="40" t="str">
        <f t="shared" si="1"/>
        <v/>
      </c>
      <c r="B7238" s="37" t="str">
        <f t="array" ref="B7238">iferror(xlookup($I7238, 'IMPORT VHC Report'!$E:$E, 'IMPORT VHC Report'!$A:$C), )</f>
        <v/>
      </c>
      <c r="C7238" s="44"/>
      <c r="D7238" s="44"/>
      <c r="E7238" s="38"/>
      <c r="F7238" s="38"/>
      <c r="G7238" s="38"/>
      <c r="H7238" s="38"/>
      <c r="I7238" s="38"/>
      <c r="J7238" s="38"/>
      <c r="K7238" s="38"/>
      <c r="L7238" s="41"/>
      <c r="M7238" s="38"/>
      <c r="N7238" s="41"/>
      <c r="O7238" s="38"/>
      <c r="P7238" s="38"/>
      <c r="Q7238" s="39"/>
      <c r="R7238" s="39"/>
      <c r="S7238" s="39"/>
      <c r="T7238" s="39"/>
      <c r="U7238" s="39"/>
    </row>
    <row r="7239">
      <c r="A7239" s="40" t="str">
        <f t="shared" si="1"/>
        <v/>
      </c>
      <c r="B7239" s="37" t="str">
        <f t="array" ref="B7239">iferror(xlookup($I7239, 'IMPORT VHC Report'!$E:$E, 'IMPORT VHC Report'!$A:$C), )</f>
        <v/>
      </c>
      <c r="C7239" s="44"/>
      <c r="D7239" s="44"/>
      <c r="E7239" s="38"/>
      <c r="F7239" s="38"/>
      <c r="G7239" s="38"/>
      <c r="H7239" s="38"/>
      <c r="I7239" s="38"/>
      <c r="J7239" s="38"/>
      <c r="K7239" s="38"/>
      <c r="L7239" s="41"/>
      <c r="M7239" s="38"/>
      <c r="N7239" s="41"/>
      <c r="O7239" s="38"/>
      <c r="P7239" s="38"/>
      <c r="Q7239" s="39"/>
      <c r="R7239" s="39"/>
      <c r="S7239" s="39"/>
      <c r="T7239" s="39"/>
      <c r="U7239" s="39"/>
    </row>
    <row r="7240">
      <c r="A7240" s="40" t="str">
        <f t="shared" si="1"/>
        <v/>
      </c>
      <c r="B7240" s="37" t="str">
        <f t="array" ref="B7240">iferror(xlookup($I7240, 'IMPORT VHC Report'!$E:$E, 'IMPORT VHC Report'!$A:$C), )</f>
        <v/>
      </c>
      <c r="C7240" s="44"/>
      <c r="D7240" s="44"/>
      <c r="E7240" s="38"/>
      <c r="F7240" s="38"/>
      <c r="G7240" s="38"/>
      <c r="H7240" s="38"/>
      <c r="I7240" s="38"/>
      <c r="J7240" s="38"/>
      <c r="K7240" s="38"/>
      <c r="L7240" s="41"/>
      <c r="M7240" s="38"/>
      <c r="N7240" s="41"/>
      <c r="O7240" s="38"/>
      <c r="P7240" s="38"/>
      <c r="Q7240" s="39"/>
      <c r="R7240" s="39"/>
      <c r="S7240" s="39"/>
      <c r="T7240" s="39"/>
      <c r="U7240" s="39"/>
    </row>
    <row r="7241">
      <c r="A7241" s="40" t="str">
        <f t="shared" si="1"/>
        <v/>
      </c>
      <c r="B7241" s="37" t="str">
        <f t="array" ref="B7241">iferror(xlookup($I7241, 'IMPORT VHC Report'!$E:$E, 'IMPORT VHC Report'!$A:$C), )</f>
        <v/>
      </c>
      <c r="C7241" s="44"/>
      <c r="D7241" s="44"/>
      <c r="E7241" s="38"/>
      <c r="F7241" s="38"/>
      <c r="G7241" s="38"/>
      <c r="H7241" s="38"/>
      <c r="I7241" s="38"/>
      <c r="J7241" s="38"/>
      <c r="K7241" s="38"/>
      <c r="L7241" s="41"/>
      <c r="M7241" s="38"/>
      <c r="N7241" s="41"/>
      <c r="O7241" s="38"/>
      <c r="P7241" s="38"/>
      <c r="Q7241" s="39"/>
      <c r="R7241" s="39"/>
      <c r="S7241" s="39"/>
      <c r="T7241" s="39"/>
      <c r="U7241" s="39"/>
    </row>
    <row r="7242">
      <c r="A7242" s="40" t="str">
        <f t="shared" si="1"/>
        <v/>
      </c>
      <c r="B7242" s="37" t="str">
        <f t="array" ref="B7242">iferror(xlookup($I7242, 'IMPORT VHC Report'!$E:$E, 'IMPORT VHC Report'!$A:$C), )</f>
        <v/>
      </c>
      <c r="C7242" s="44"/>
      <c r="D7242" s="44"/>
      <c r="E7242" s="38"/>
      <c r="F7242" s="38"/>
      <c r="G7242" s="38"/>
      <c r="H7242" s="38"/>
      <c r="I7242" s="38"/>
      <c r="J7242" s="38"/>
      <c r="K7242" s="38"/>
      <c r="L7242" s="41"/>
      <c r="M7242" s="38"/>
      <c r="N7242" s="41"/>
      <c r="O7242" s="38"/>
      <c r="P7242" s="38"/>
      <c r="Q7242" s="39"/>
      <c r="R7242" s="39"/>
      <c r="S7242" s="39"/>
      <c r="T7242" s="39"/>
      <c r="U7242" s="39"/>
    </row>
    <row r="7243">
      <c r="A7243" s="40" t="str">
        <f t="shared" si="1"/>
        <v/>
      </c>
      <c r="B7243" s="37" t="str">
        <f t="array" ref="B7243">iferror(xlookup($I7243, 'IMPORT VHC Report'!$E:$E, 'IMPORT VHC Report'!$A:$C), )</f>
        <v/>
      </c>
      <c r="C7243" s="44"/>
      <c r="D7243" s="44"/>
      <c r="E7243" s="38"/>
      <c r="F7243" s="38"/>
      <c r="G7243" s="38"/>
      <c r="H7243" s="38"/>
      <c r="I7243" s="38"/>
      <c r="J7243" s="38"/>
      <c r="K7243" s="38"/>
      <c r="L7243" s="41"/>
      <c r="M7243" s="38"/>
      <c r="N7243" s="41"/>
      <c r="O7243" s="38"/>
      <c r="P7243" s="38"/>
      <c r="Q7243" s="39"/>
      <c r="R7243" s="39"/>
      <c r="S7243" s="39"/>
      <c r="T7243" s="39"/>
      <c r="U7243" s="39"/>
    </row>
    <row r="7244">
      <c r="A7244" s="40" t="str">
        <f t="shared" si="1"/>
        <v/>
      </c>
      <c r="B7244" s="37" t="str">
        <f t="array" ref="B7244">iferror(xlookup($I7244, 'IMPORT VHC Report'!$E:$E, 'IMPORT VHC Report'!$A:$C), )</f>
        <v/>
      </c>
      <c r="C7244" s="44"/>
      <c r="D7244" s="44"/>
      <c r="E7244" s="38"/>
      <c r="F7244" s="38"/>
      <c r="G7244" s="38"/>
      <c r="H7244" s="38"/>
      <c r="I7244" s="38"/>
      <c r="J7244" s="38"/>
      <c r="K7244" s="38"/>
      <c r="L7244" s="41"/>
      <c r="M7244" s="38"/>
      <c r="N7244" s="41"/>
      <c r="O7244" s="38"/>
      <c r="P7244" s="38"/>
      <c r="Q7244" s="39"/>
      <c r="R7244" s="39"/>
      <c r="S7244" s="39"/>
      <c r="T7244" s="39"/>
      <c r="U7244" s="39"/>
    </row>
    <row r="7245">
      <c r="A7245" s="40" t="str">
        <f t="shared" si="1"/>
        <v/>
      </c>
      <c r="B7245" s="37" t="str">
        <f t="array" ref="B7245">iferror(xlookup($I7245, 'IMPORT VHC Report'!$E:$E, 'IMPORT VHC Report'!$A:$C), )</f>
        <v/>
      </c>
      <c r="C7245" s="44"/>
      <c r="D7245" s="44"/>
      <c r="E7245" s="38"/>
      <c r="F7245" s="38"/>
      <c r="G7245" s="38"/>
      <c r="H7245" s="38"/>
      <c r="I7245" s="38"/>
      <c r="J7245" s="38"/>
      <c r="K7245" s="38"/>
      <c r="L7245" s="41"/>
      <c r="M7245" s="38"/>
      <c r="N7245" s="41"/>
      <c r="O7245" s="38"/>
      <c r="P7245" s="38"/>
      <c r="Q7245" s="39"/>
      <c r="R7245" s="39"/>
      <c r="S7245" s="38"/>
      <c r="T7245" s="39"/>
      <c r="U7245" s="39"/>
    </row>
    <row r="7246">
      <c r="A7246" s="40" t="str">
        <f t="shared" si="1"/>
        <v/>
      </c>
      <c r="B7246" s="37" t="str">
        <f t="array" ref="B7246">iferror(xlookup($I7246, 'IMPORT VHC Report'!$E:$E, 'IMPORT VHC Report'!$A:$C), )</f>
        <v/>
      </c>
      <c r="C7246" s="44"/>
      <c r="D7246" s="44"/>
      <c r="E7246" s="38"/>
      <c r="F7246" s="38"/>
      <c r="G7246" s="38"/>
      <c r="H7246" s="38"/>
      <c r="I7246" s="38"/>
      <c r="J7246" s="38"/>
      <c r="K7246" s="38"/>
      <c r="L7246" s="41"/>
      <c r="M7246" s="38"/>
      <c r="N7246" s="41"/>
      <c r="O7246" s="38"/>
      <c r="P7246" s="38"/>
      <c r="Q7246" s="39"/>
      <c r="R7246" s="39"/>
      <c r="S7246" s="39"/>
      <c r="T7246" s="39"/>
      <c r="U7246" s="39"/>
    </row>
    <row r="7247">
      <c r="A7247" s="40" t="str">
        <f t="shared" si="1"/>
        <v/>
      </c>
      <c r="B7247" s="37" t="str">
        <f t="array" ref="B7247">iferror(xlookup($I7247, 'IMPORT VHC Report'!$E:$E, 'IMPORT VHC Report'!$A:$C), )</f>
        <v/>
      </c>
      <c r="C7247" s="44"/>
      <c r="D7247" s="44"/>
      <c r="E7247" s="38"/>
      <c r="F7247" s="38"/>
      <c r="G7247" s="38"/>
      <c r="H7247" s="38"/>
      <c r="I7247" s="38"/>
      <c r="J7247" s="38"/>
      <c r="K7247" s="38"/>
      <c r="L7247" s="41"/>
      <c r="M7247" s="38"/>
      <c r="N7247" s="41"/>
      <c r="O7247" s="38"/>
      <c r="P7247" s="38"/>
      <c r="Q7247" s="39"/>
      <c r="R7247" s="39"/>
      <c r="S7247" s="39"/>
      <c r="T7247" s="39"/>
      <c r="U7247" s="39"/>
    </row>
    <row r="7248">
      <c r="A7248" s="40" t="str">
        <f t="shared" si="1"/>
        <v/>
      </c>
      <c r="B7248" s="37" t="str">
        <f t="array" ref="B7248">iferror(xlookup($I7248, 'IMPORT VHC Report'!$E:$E, 'IMPORT VHC Report'!$A:$C), )</f>
        <v/>
      </c>
      <c r="C7248" s="44"/>
      <c r="D7248" s="44"/>
      <c r="E7248" s="38"/>
      <c r="F7248" s="38"/>
      <c r="G7248" s="38"/>
      <c r="H7248" s="38"/>
      <c r="I7248" s="38"/>
      <c r="J7248" s="38"/>
      <c r="K7248" s="38"/>
      <c r="L7248" s="41"/>
      <c r="M7248" s="38"/>
      <c r="N7248" s="41"/>
      <c r="O7248" s="38"/>
      <c r="P7248" s="38"/>
      <c r="Q7248" s="39"/>
      <c r="R7248" s="39"/>
      <c r="S7248" s="39"/>
      <c r="T7248" s="39"/>
      <c r="U7248" s="39"/>
    </row>
    <row r="7249">
      <c r="A7249" s="40" t="str">
        <f t="shared" si="1"/>
        <v/>
      </c>
      <c r="B7249" s="37" t="str">
        <f t="array" ref="B7249">iferror(xlookup($I7249, 'IMPORT VHC Report'!$E:$E, 'IMPORT VHC Report'!$A:$C), )</f>
        <v/>
      </c>
      <c r="C7249" s="44"/>
      <c r="D7249" s="44"/>
      <c r="E7249" s="38"/>
      <c r="F7249" s="38"/>
      <c r="G7249" s="38"/>
      <c r="H7249" s="38"/>
      <c r="I7249" s="38"/>
      <c r="J7249" s="38"/>
      <c r="K7249" s="38"/>
      <c r="L7249" s="41"/>
      <c r="M7249" s="38"/>
      <c r="N7249" s="41"/>
      <c r="O7249" s="38"/>
      <c r="P7249" s="38"/>
      <c r="Q7249" s="39"/>
      <c r="R7249" s="39"/>
      <c r="S7249" s="38"/>
      <c r="T7249" s="39"/>
      <c r="U7249" s="39"/>
    </row>
    <row r="7250">
      <c r="A7250" s="40" t="str">
        <f t="shared" si="1"/>
        <v/>
      </c>
      <c r="B7250" s="37" t="str">
        <f t="array" ref="B7250">iferror(xlookup($I7250, 'IMPORT VHC Report'!$E:$E, 'IMPORT VHC Report'!$A:$C), )</f>
        <v/>
      </c>
      <c r="C7250" s="44"/>
      <c r="D7250" s="44"/>
      <c r="E7250" s="38"/>
      <c r="F7250" s="38"/>
      <c r="G7250" s="38"/>
      <c r="H7250" s="38"/>
      <c r="I7250" s="38"/>
      <c r="J7250" s="38"/>
      <c r="K7250" s="38"/>
      <c r="L7250" s="41"/>
      <c r="M7250" s="38"/>
      <c r="N7250" s="41"/>
      <c r="O7250" s="38"/>
      <c r="P7250" s="38"/>
      <c r="Q7250" s="38"/>
      <c r="R7250" s="38"/>
      <c r="S7250" s="38"/>
      <c r="T7250" s="39"/>
      <c r="U7250" s="39"/>
    </row>
    <row r="7251">
      <c r="A7251" s="40" t="str">
        <f t="shared" si="1"/>
        <v/>
      </c>
      <c r="B7251" s="37" t="str">
        <f t="array" ref="B7251">iferror(xlookup($I7251, 'IMPORT VHC Report'!$E:$E, 'IMPORT VHC Report'!$A:$C), )</f>
        <v/>
      </c>
      <c r="C7251" s="44"/>
      <c r="D7251" s="44"/>
      <c r="E7251" s="38"/>
      <c r="F7251" s="38"/>
      <c r="G7251" s="38"/>
      <c r="H7251" s="38"/>
      <c r="I7251" s="38"/>
      <c r="J7251" s="38"/>
      <c r="K7251" s="38"/>
      <c r="L7251" s="41"/>
      <c r="M7251" s="38"/>
      <c r="N7251" s="41"/>
      <c r="O7251" s="38"/>
      <c r="P7251" s="38"/>
      <c r="Q7251" s="39"/>
      <c r="R7251" s="39"/>
      <c r="S7251" s="39"/>
      <c r="T7251" s="39"/>
      <c r="U7251" s="39"/>
    </row>
    <row r="7252">
      <c r="A7252" s="40" t="str">
        <f t="shared" si="1"/>
        <v/>
      </c>
      <c r="B7252" s="37" t="str">
        <f t="array" ref="B7252">iferror(xlookup($I7252, 'IMPORT VHC Report'!$E:$E, 'IMPORT VHC Report'!$A:$C), )</f>
        <v/>
      </c>
      <c r="C7252" s="44"/>
      <c r="D7252" s="44"/>
      <c r="E7252" s="38"/>
      <c r="F7252" s="38"/>
      <c r="G7252" s="38"/>
      <c r="H7252" s="38"/>
      <c r="I7252" s="38"/>
      <c r="J7252" s="38"/>
      <c r="K7252" s="38"/>
      <c r="L7252" s="41"/>
      <c r="M7252" s="38"/>
      <c r="N7252" s="41"/>
      <c r="O7252" s="38"/>
      <c r="P7252" s="38"/>
      <c r="Q7252" s="39"/>
      <c r="R7252" s="39"/>
      <c r="S7252" s="39"/>
      <c r="T7252" s="39"/>
      <c r="U7252" s="39"/>
    </row>
    <row r="7253">
      <c r="A7253" s="40" t="str">
        <f t="shared" si="1"/>
        <v/>
      </c>
      <c r="B7253" s="37" t="str">
        <f t="array" ref="B7253">iferror(xlookup($I7253, 'IMPORT VHC Report'!$E:$E, 'IMPORT VHC Report'!$A:$C), )</f>
        <v/>
      </c>
      <c r="C7253" s="44"/>
      <c r="D7253" s="44"/>
      <c r="E7253" s="38"/>
      <c r="F7253" s="38"/>
      <c r="G7253" s="38"/>
      <c r="H7253" s="38"/>
      <c r="I7253" s="38"/>
      <c r="J7253" s="38"/>
      <c r="K7253" s="38"/>
      <c r="L7253" s="41"/>
      <c r="M7253" s="38"/>
      <c r="N7253" s="41"/>
      <c r="O7253" s="38"/>
      <c r="P7253" s="38"/>
      <c r="Q7253" s="39"/>
      <c r="R7253" s="39"/>
      <c r="S7253" s="39"/>
      <c r="T7253" s="39"/>
      <c r="U7253" s="39"/>
    </row>
    <row r="7254">
      <c r="A7254" s="40" t="str">
        <f t="shared" si="1"/>
        <v/>
      </c>
      <c r="B7254" s="37" t="str">
        <f t="array" ref="B7254">iferror(xlookup($I7254, 'IMPORT VHC Report'!$E:$E, 'IMPORT VHC Report'!$A:$C), )</f>
        <v/>
      </c>
      <c r="C7254" s="44"/>
      <c r="D7254" s="44"/>
      <c r="E7254" s="38"/>
      <c r="F7254" s="38"/>
      <c r="G7254" s="38"/>
      <c r="H7254" s="38"/>
      <c r="I7254" s="38"/>
      <c r="J7254" s="38"/>
      <c r="K7254" s="38"/>
      <c r="L7254" s="41"/>
      <c r="M7254" s="38"/>
      <c r="N7254" s="41"/>
      <c r="O7254" s="38"/>
      <c r="P7254" s="38"/>
      <c r="Q7254" s="39"/>
      <c r="R7254" s="39"/>
      <c r="S7254" s="38"/>
      <c r="T7254" s="39"/>
      <c r="U7254" s="39"/>
    </row>
    <row r="7255">
      <c r="A7255" s="40" t="str">
        <f t="shared" si="1"/>
        <v/>
      </c>
      <c r="B7255" s="37" t="str">
        <f t="array" ref="B7255">iferror(xlookup($I7255, 'IMPORT VHC Report'!$E:$E, 'IMPORT VHC Report'!$A:$C), )</f>
        <v/>
      </c>
      <c r="C7255" s="44"/>
      <c r="D7255" s="44"/>
      <c r="E7255" s="38"/>
      <c r="F7255" s="38"/>
      <c r="G7255" s="38"/>
      <c r="H7255" s="38"/>
      <c r="I7255" s="38"/>
      <c r="J7255" s="38"/>
      <c r="K7255" s="38"/>
      <c r="L7255" s="41"/>
      <c r="M7255" s="38"/>
      <c r="N7255" s="41"/>
      <c r="O7255" s="38"/>
      <c r="P7255" s="38"/>
      <c r="Q7255" s="38"/>
      <c r="R7255" s="38"/>
      <c r="S7255" s="38"/>
      <c r="T7255" s="39"/>
      <c r="U7255" s="39"/>
    </row>
    <row r="7256">
      <c r="A7256" s="40" t="str">
        <f t="shared" si="1"/>
        <v/>
      </c>
      <c r="B7256" s="37" t="str">
        <f t="array" ref="B7256">iferror(xlookup($I7256, 'IMPORT VHC Report'!$E:$E, 'IMPORT VHC Report'!$A:$C), )</f>
        <v/>
      </c>
      <c r="C7256" s="44"/>
      <c r="D7256" s="44"/>
      <c r="E7256" s="38"/>
      <c r="F7256" s="38"/>
      <c r="G7256" s="38"/>
      <c r="H7256" s="38"/>
      <c r="I7256" s="38"/>
      <c r="J7256" s="38"/>
      <c r="K7256" s="38"/>
      <c r="L7256" s="41"/>
      <c r="M7256" s="38"/>
      <c r="N7256" s="41"/>
      <c r="O7256" s="38"/>
      <c r="P7256" s="38"/>
      <c r="Q7256" s="39"/>
      <c r="R7256" s="39"/>
      <c r="S7256" s="39"/>
      <c r="T7256" s="39"/>
      <c r="U7256" s="39"/>
    </row>
    <row r="7257">
      <c r="A7257" s="40" t="str">
        <f t="shared" si="1"/>
        <v/>
      </c>
      <c r="B7257" s="37" t="str">
        <f t="array" ref="B7257">iferror(xlookup($I7257, 'IMPORT VHC Report'!$E:$E, 'IMPORT VHC Report'!$A:$C), )</f>
        <v/>
      </c>
      <c r="C7257" s="44"/>
      <c r="D7257" s="44"/>
      <c r="E7257" s="38"/>
      <c r="F7257" s="38"/>
      <c r="G7257" s="38"/>
      <c r="H7257" s="38"/>
      <c r="I7257" s="38"/>
      <c r="J7257" s="38"/>
      <c r="K7257" s="38"/>
      <c r="L7257" s="41"/>
      <c r="M7257" s="38"/>
      <c r="N7257" s="41"/>
      <c r="O7257" s="38"/>
      <c r="P7257" s="38"/>
      <c r="Q7257" s="39"/>
      <c r="R7257" s="39"/>
      <c r="S7257" s="39"/>
      <c r="T7257" s="39"/>
      <c r="U7257" s="39"/>
    </row>
    <row r="7258">
      <c r="A7258" s="40" t="str">
        <f t="shared" si="1"/>
        <v/>
      </c>
      <c r="B7258" s="37" t="str">
        <f t="array" ref="B7258">iferror(xlookup($I7258, 'IMPORT VHC Report'!$E:$E, 'IMPORT VHC Report'!$A:$C), )</f>
        <v/>
      </c>
      <c r="C7258" s="44"/>
      <c r="D7258" s="44"/>
      <c r="E7258" s="38"/>
      <c r="F7258" s="38"/>
      <c r="G7258" s="38"/>
      <c r="H7258" s="38"/>
      <c r="I7258" s="38"/>
      <c r="J7258" s="38"/>
      <c r="K7258" s="38"/>
      <c r="L7258" s="41"/>
      <c r="M7258" s="38"/>
      <c r="N7258" s="41"/>
      <c r="O7258" s="38"/>
      <c r="P7258" s="38"/>
      <c r="Q7258" s="39"/>
      <c r="R7258" s="39"/>
      <c r="S7258" s="38"/>
      <c r="T7258" s="39"/>
      <c r="U7258" s="39"/>
    </row>
    <row r="7259">
      <c r="A7259" s="40" t="str">
        <f t="shared" si="1"/>
        <v/>
      </c>
      <c r="B7259" s="37" t="str">
        <f t="array" ref="B7259">iferror(xlookup($I7259, 'IMPORT VHC Report'!$E:$E, 'IMPORT VHC Report'!$A:$C), )</f>
        <v/>
      </c>
      <c r="C7259" s="44"/>
      <c r="D7259" s="44"/>
      <c r="E7259" s="38"/>
      <c r="F7259" s="38"/>
      <c r="G7259" s="38"/>
      <c r="H7259" s="38"/>
      <c r="I7259" s="38"/>
      <c r="J7259" s="38"/>
      <c r="K7259" s="38"/>
      <c r="L7259" s="41"/>
      <c r="M7259" s="38"/>
      <c r="N7259" s="41"/>
      <c r="O7259" s="38"/>
      <c r="P7259" s="38"/>
      <c r="Q7259" s="38"/>
      <c r="R7259" s="38"/>
      <c r="S7259" s="38"/>
      <c r="T7259" s="39"/>
      <c r="U7259" s="39"/>
    </row>
    <row r="7260">
      <c r="A7260" s="40" t="str">
        <f t="shared" si="1"/>
        <v/>
      </c>
      <c r="B7260" s="37" t="str">
        <f t="array" ref="B7260">iferror(xlookup($I7260, 'IMPORT VHC Report'!$E:$E, 'IMPORT VHC Report'!$A:$C), )</f>
        <v/>
      </c>
      <c r="C7260" s="44"/>
      <c r="D7260" s="44"/>
      <c r="E7260" s="38"/>
      <c r="F7260" s="38"/>
      <c r="G7260" s="38"/>
      <c r="H7260" s="38"/>
      <c r="I7260" s="38"/>
      <c r="J7260" s="38"/>
      <c r="K7260" s="38"/>
      <c r="L7260" s="41"/>
      <c r="M7260" s="38"/>
      <c r="N7260" s="41"/>
      <c r="O7260" s="38"/>
      <c r="P7260" s="38"/>
      <c r="Q7260" s="39"/>
      <c r="R7260" s="39"/>
      <c r="S7260" s="39"/>
      <c r="T7260" s="39"/>
      <c r="U7260" s="39"/>
    </row>
    <row r="7261">
      <c r="A7261" s="40" t="str">
        <f t="shared" si="1"/>
        <v/>
      </c>
      <c r="B7261" s="37" t="str">
        <f t="array" ref="B7261">iferror(xlookup($I7261, 'IMPORT VHC Report'!$E:$E, 'IMPORT VHC Report'!$A:$C), )</f>
        <v/>
      </c>
      <c r="C7261" s="44"/>
      <c r="D7261" s="44"/>
      <c r="E7261" s="38"/>
      <c r="F7261" s="38"/>
      <c r="G7261" s="38"/>
      <c r="H7261" s="38"/>
      <c r="I7261" s="38"/>
      <c r="J7261" s="38"/>
      <c r="K7261" s="38"/>
      <c r="L7261" s="41"/>
      <c r="M7261" s="38"/>
      <c r="N7261" s="41"/>
      <c r="O7261" s="38"/>
      <c r="P7261" s="38"/>
      <c r="Q7261" s="39"/>
      <c r="R7261" s="39"/>
      <c r="S7261" s="39"/>
      <c r="T7261" s="39"/>
      <c r="U7261" s="39"/>
    </row>
    <row r="7262">
      <c r="A7262" s="40" t="str">
        <f t="shared" si="1"/>
        <v/>
      </c>
      <c r="B7262" s="37" t="str">
        <f t="array" ref="B7262">iferror(xlookup($I7262, 'IMPORT VHC Report'!$E:$E, 'IMPORT VHC Report'!$A:$C), )</f>
        <v/>
      </c>
      <c r="C7262" s="44"/>
      <c r="D7262" s="44"/>
      <c r="E7262" s="38"/>
      <c r="F7262" s="38"/>
      <c r="G7262" s="38"/>
      <c r="H7262" s="38"/>
      <c r="I7262" s="38"/>
      <c r="J7262" s="38"/>
      <c r="K7262" s="38"/>
      <c r="L7262" s="41"/>
      <c r="M7262" s="38"/>
      <c r="N7262" s="41"/>
      <c r="O7262" s="38"/>
      <c r="P7262" s="38"/>
      <c r="Q7262" s="39"/>
      <c r="R7262" s="39"/>
      <c r="S7262" s="39"/>
      <c r="T7262" s="39"/>
      <c r="U7262" s="39"/>
    </row>
    <row r="7263">
      <c r="A7263" s="40" t="str">
        <f t="shared" si="1"/>
        <v/>
      </c>
      <c r="B7263" s="37" t="str">
        <f t="array" ref="B7263">iferror(xlookup($I7263, 'IMPORT VHC Report'!$E:$E, 'IMPORT VHC Report'!$A:$C), )</f>
        <v/>
      </c>
      <c r="C7263" s="44"/>
      <c r="D7263" s="44"/>
      <c r="E7263" s="38"/>
      <c r="F7263" s="38"/>
      <c r="G7263" s="38"/>
      <c r="H7263" s="38"/>
      <c r="I7263" s="38"/>
      <c r="J7263" s="38"/>
      <c r="K7263" s="38"/>
      <c r="L7263" s="41"/>
      <c r="M7263" s="38"/>
      <c r="N7263" s="41"/>
      <c r="O7263" s="38"/>
      <c r="P7263" s="38"/>
      <c r="Q7263" s="39"/>
      <c r="R7263" s="39"/>
      <c r="S7263" s="38"/>
      <c r="T7263" s="39"/>
      <c r="U7263" s="39"/>
    </row>
    <row r="7264">
      <c r="A7264" s="40" t="str">
        <f t="shared" si="1"/>
        <v/>
      </c>
      <c r="B7264" s="37" t="str">
        <f t="array" ref="B7264">iferror(xlookup($I7264, 'IMPORT VHC Report'!$E:$E, 'IMPORT VHC Report'!$A:$C), )</f>
        <v/>
      </c>
      <c r="C7264" s="44"/>
      <c r="D7264" s="44"/>
      <c r="E7264" s="38"/>
      <c r="F7264" s="38"/>
      <c r="G7264" s="38"/>
      <c r="H7264" s="38"/>
      <c r="I7264" s="38"/>
      <c r="J7264" s="38"/>
      <c r="K7264" s="38"/>
      <c r="L7264" s="41"/>
      <c r="M7264" s="38"/>
      <c r="N7264" s="41"/>
      <c r="O7264" s="38"/>
      <c r="P7264" s="38"/>
      <c r="Q7264" s="38"/>
      <c r="R7264" s="39"/>
      <c r="S7264" s="39"/>
      <c r="T7264" s="39"/>
      <c r="U7264" s="39"/>
    </row>
    <row r="7265">
      <c r="A7265" s="40" t="str">
        <f t="shared" si="1"/>
        <v/>
      </c>
      <c r="B7265" s="37" t="str">
        <f t="array" ref="B7265">iferror(xlookup($I7265, 'IMPORT VHC Report'!$E:$E, 'IMPORT VHC Report'!$A:$C), )</f>
        <v/>
      </c>
      <c r="C7265" s="44"/>
      <c r="D7265" s="44"/>
      <c r="E7265" s="38"/>
      <c r="F7265" s="38"/>
      <c r="G7265" s="38"/>
      <c r="H7265" s="38"/>
      <c r="I7265" s="38"/>
      <c r="J7265" s="38"/>
      <c r="K7265" s="38"/>
      <c r="L7265" s="41"/>
      <c r="M7265" s="38"/>
      <c r="N7265" s="41"/>
      <c r="O7265" s="38"/>
      <c r="P7265" s="38"/>
      <c r="Q7265" s="39"/>
      <c r="R7265" s="39"/>
      <c r="S7265" s="39"/>
      <c r="T7265" s="39"/>
      <c r="U7265" s="39"/>
    </row>
    <row r="7266">
      <c r="A7266" s="40" t="str">
        <f t="shared" si="1"/>
        <v/>
      </c>
      <c r="B7266" s="37" t="str">
        <f t="array" ref="B7266">iferror(xlookup($I7266, 'IMPORT VHC Report'!$E:$E, 'IMPORT VHC Report'!$A:$C), )</f>
        <v/>
      </c>
      <c r="C7266" s="44"/>
      <c r="D7266" s="44"/>
      <c r="E7266" s="38"/>
      <c r="F7266" s="38"/>
      <c r="G7266" s="38"/>
      <c r="H7266" s="38"/>
      <c r="I7266" s="38"/>
      <c r="J7266" s="38"/>
      <c r="K7266" s="38"/>
      <c r="L7266" s="41"/>
      <c r="M7266" s="38"/>
      <c r="N7266" s="41"/>
      <c r="O7266" s="38"/>
      <c r="P7266" s="38"/>
      <c r="Q7266" s="39"/>
      <c r="R7266" s="39"/>
      <c r="S7266" s="39"/>
      <c r="T7266" s="39"/>
      <c r="U7266" s="39"/>
    </row>
    <row r="7267">
      <c r="A7267" s="40" t="str">
        <f t="shared" si="1"/>
        <v/>
      </c>
      <c r="B7267" s="37" t="str">
        <f t="array" ref="B7267">iferror(xlookup($I7267, 'IMPORT VHC Report'!$E:$E, 'IMPORT VHC Report'!$A:$C), )</f>
        <v/>
      </c>
      <c r="C7267" s="44"/>
      <c r="D7267" s="44"/>
      <c r="E7267" s="38"/>
      <c r="F7267" s="38"/>
      <c r="G7267" s="38"/>
      <c r="H7267" s="38"/>
      <c r="I7267" s="38"/>
      <c r="J7267" s="38"/>
      <c r="K7267" s="38"/>
      <c r="L7267" s="41"/>
      <c r="M7267" s="38"/>
      <c r="N7267" s="41"/>
      <c r="O7267" s="38"/>
      <c r="P7267" s="38"/>
      <c r="Q7267" s="38"/>
      <c r="R7267" s="39"/>
      <c r="S7267" s="39"/>
      <c r="T7267" s="39"/>
      <c r="U7267" s="39"/>
    </row>
    <row r="7268">
      <c r="A7268" s="40" t="str">
        <f t="shared" si="1"/>
        <v/>
      </c>
      <c r="B7268" s="37" t="str">
        <f t="array" ref="B7268">iferror(xlookup($I7268, 'IMPORT VHC Report'!$E:$E, 'IMPORT VHC Report'!$A:$C), )</f>
        <v/>
      </c>
      <c r="C7268" s="44"/>
      <c r="D7268" s="44"/>
      <c r="E7268" s="38"/>
      <c r="F7268" s="38"/>
      <c r="G7268" s="38"/>
      <c r="H7268" s="38"/>
      <c r="I7268" s="38"/>
      <c r="J7268" s="38"/>
      <c r="K7268" s="38"/>
      <c r="L7268" s="41"/>
      <c r="M7268" s="38"/>
      <c r="N7268" s="41"/>
      <c r="O7268" s="38"/>
      <c r="P7268" s="38"/>
      <c r="Q7268" s="39"/>
      <c r="R7268" s="39"/>
      <c r="S7268" s="39"/>
      <c r="T7268" s="39"/>
      <c r="U7268" s="39"/>
    </row>
    <row r="7269">
      <c r="A7269" s="40" t="str">
        <f t="shared" si="1"/>
        <v/>
      </c>
      <c r="B7269" s="37" t="str">
        <f t="array" ref="B7269">iferror(xlookup($I7269, 'IMPORT VHC Report'!$E:$E, 'IMPORT VHC Report'!$A:$C), )</f>
        <v/>
      </c>
      <c r="C7269" s="44"/>
      <c r="D7269" s="44"/>
      <c r="E7269" s="38"/>
      <c r="F7269" s="38"/>
      <c r="G7269" s="38"/>
      <c r="H7269" s="38"/>
      <c r="I7269" s="38"/>
      <c r="J7269" s="38"/>
      <c r="K7269" s="38"/>
      <c r="L7269" s="41"/>
      <c r="M7269" s="38"/>
      <c r="N7269" s="41"/>
      <c r="O7269" s="38"/>
      <c r="P7269" s="38"/>
      <c r="Q7269" s="39"/>
      <c r="R7269" s="39"/>
      <c r="S7269" s="39"/>
      <c r="T7269" s="39"/>
      <c r="U7269" s="39"/>
    </row>
    <row r="7270">
      <c r="A7270" s="40" t="str">
        <f t="shared" si="1"/>
        <v/>
      </c>
      <c r="B7270" s="37" t="str">
        <f t="array" ref="B7270">iferror(xlookup($I7270, 'IMPORT VHC Report'!$E:$E, 'IMPORT VHC Report'!$A:$C), )</f>
        <v/>
      </c>
      <c r="C7270" s="44"/>
      <c r="D7270" s="44"/>
      <c r="E7270" s="38"/>
      <c r="F7270" s="38"/>
      <c r="G7270" s="38"/>
      <c r="H7270" s="38"/>
      <c r="I7270" s="38"/>
      <c r="J7270" s="38"/>
      <c r="K7270" s="38"/>
      <c r="L7270" s="41"/>
      <c r="M7270" s="38"/>
      <c r="N7270" s="41"/>
      <c r="O7270" s="38"/>
      <c r="P7270" s="38"/>
      <c r="Q7270" s="39"/>
      <c r="R7270" s="39"/>
      <c r="S7270" s="39"/>
      <c r="T7270" s="39"/>
      <c r="U7270" s="39"/>
    </row>
    <row r="7271">
      <c r="A7271" s="40" t="str">
        <f t="shared" si="1"/>
        <v/>
      </c>
      <c r="B7271" s="37" t="str">
        <f t="array" ref="B7271">iferror(xlookup($I7271, 'IMPORT VHC Report'!$E:$E, 'IMPORT VHC Report'!$A:$C), )</f>
        <v/>
      </c>
      <c r="C7271" s="44"/>
      <c r="D7271" s="44"/>
      <c r="E7271" s="38"/>
      <c r="F7271" s="38"/>
      <c r="G7271" s="38"/>
      <c r="H7271" s="38"/>
      <c r="I7271" s="38"/>
      <c r="J7271" s="38"/>
      <c r="K7271" s="38"/>
      <c r="L7271" s="41"/>
      <c r="M7271" s="38"/>
      <c r="N7271" s="41"/>
      <c r="O7271" s="38"/>
      <c r="P7271" s="38"/>
      <c r="Q7271" s="39"/>
      <c r="R7271" s="39"/>
      <c r="S7271" s="39"/>
      <c r="T7271" s="39"/>
      <c r="U7271" s="39"/>
    </row>
    <row r="7272">
      <c r="A7272" s="40" t="str">
        <f t="shared" si="1"/>
        <v/>
      </c>
      <c r="B7272" s="37" t="str">
        <f t="array" ref="B7272">iferror(xlookup($I7272, 'IMPORT VHC Report'!$E:$E, 'IMPORT VHC Report'!$A:$C), )</f>
        <v/>
      </c>
      <c r="C7272" s="44"/>
      <c r="D7272" s="44"/>
      <c r="E7272" s="38"/>
      <c r="F7272" s="38"/>
      <c r="G7272" s="38"/>
      <c r="H7272" s="38"/>
      <c r="I7272" s="38"/>
      <c r="J7272" s="38"/>
      <c r="K7272" s="38"/>
      <c r="L7272" s="41"/>
      <c r="M7272" s="38"/>
      <c r="N7272" s="41"/>
      <c r="O7272" s="38"/>
      <c r="P7272" s="38"/>
      <c r="Q7272" s="39"/>
      <c r="R7272" s="39"/>
      <c r="S7272" s="39"/>
      <c r="T7272" s="39"/>
      <c r="U7272" s="39"/>
    </row>
    <row r="7273">
      <c r="A7273" s="40" t="str">
        <f t="shared" si="1"/>
        <v/>
      </c>
      <c r="B7273" s="37" t="str">
        <f t="array" ref="B7273">iferror(xlookup($I7273, 'IMPORT VHC Report'!$E:$E, 'IMPORT VHC Report'!$A:$C), )</f>
        <v/>
      </c>
      <c r="C7273" s="44"/>
      <c r="D7273" s="44"/>
      <c r="E7273" s="38"/>
      <c r="F7273" s="38"/>
      <c r="G7273" s="38"/>
      <c r="H7273" s="38"/>
      <c r="I7273" s="38"/>
      <c r="J7273" s="38"/>
      <c r="K7273" s="38"/>
      <c r="L7273" s="41"/>
      <c r="M7273" s="38"/>
      <c r="N7273" s="41"/>
      <c r="O7273" s="38"/>
      <c r="P7273" s="38"/>
      <c r="Q7273" s="39"/>
      <c r="R7273" s="39"/>
      <c r="S7273" s="39"/>
      <c r="T7273" s="39"/>
      <c r="U7273" s="39"/>
    </row>
    <row r="7274">
      <c r="A7274" s="40" t="str">
        <f t="shared" si="1"/>
        <v/>
      </c>
      <c r="B7274" s="37" t="str">
        <f t="array" ref="B7274">iferror(xlookup($I7274, 'IMPORT VHC Report'!$E:$E, 'IMPORT VHC Report'!$A:$C), )</f>
        <v/>
      </c>
      <c r="C7274" s="44"/>
      <c r="D7274" s="44"/>
      <c r="E7274" s="38"/>
      <c r="F7274" s="38"/>
      <c r="G7274" s="38"/>
      <c r="H7274" s="38"/>
      <c r="I7274" s="38"/>
      <c r="J7274" s="38"/>
      <c r="K7274" s="38"/>
      <c r="L7274" s="41"/>
      <c r="M7274" s="38"/>
      <c r="N7274" s="41"/>
      <c r="O7274" s="38"/>
      <c r="P7274" s="38"/>
      <c r="Q7274" s="39"/>
      <c r="R7274" s="39"/>
      <c r="S7274" s="39"/>
      <c r="T7274" s="39"/>
      <c r="U7274" s="39"/>
    </row>
    <row r="7275">
      <c r="A7275" s="40" t="str">
        <f t="shared" si="1"/>
        <v/>
      </c>
      <c r="B7275" s="37" t="str">
        <f t="array" ref="B7275">iferror(xlookup($I7275, 'IMPORT VHC Report'!$E:$E, 'IMPORT VHC Report'!$A:$C), )</f>
        <v/>
      </c>
      <c r="C7275" s="44"/>
      <c r="D7275" s="44"/>
      <c r="E7275" s="38"/>
      <c r="F7275" s="38"/>
      <c r="G7275" s="38"/>
      <c r="H7275" s="38"/>
      <c r="I7275" s="38"/>
      <c r="J7275" s="38"/>
      <c r="K7275" s="38"/>
      <c r="L7275" s="41"/>
      <c r="M7275" s="38"/>
      <c r="N7275" s="41"/>
      <c r="O7275" s="38"/>
      <c r="P7275" s="38"/>
      <c r="Q7275" s="39"/>
      <c r="R7275" s="39"/>
      <c r="S7275" s="39"/>
      <c r="T7275" s="39"/>
      <c r="U7275" s="39"/>
    </row>
    <row r="7276">
      <c r="A7276" s="40" t="str">
        <f t="shared" si="1"/>
        <v/>
      </c>
      <c r="B7276" s="37" t="str">
        <f t="array" ref="B7276">iferror(xlookup($I7276, 'IMPORT VHC Report'!$E:$E, 'IMPORT VHC Report'!$A:$C), )</f>
        <v/>
      </c>
      <c r="C7276" s="44"/>
      <c r="D7276" s="44"/>
      <c r="E7276" s="38"/>
      <c r="F7276" s="38"/>
      <c r="G7276" s="38"/>
      <c r="H7276" s="38"/>
      <c r="I7276" s="38"/>
      <c r="J7276" s="38"/>
      <c r="K7276" s="38"/>
      <c r="L7276" s="41"/>
      <c r="M7276" s="38"/>
      <c r="N7276" s="41"/>
      <c r="O7276" s="38"/>
      <c r="P7276" s="38"/>
      <c r="Q7276" s="39"/>
      <c r="R7276" s="39"/>
      <c r="S7276" s="39"/>
      <c r="T7276" s="39"/>
      <c r="U7276" s="39"/>
    </row>
    <row r="7277">
      <c r="A7277" s="40" t="str">
        <f t="shared" si="1"/>
        <v/>
      </c>
      <c r="B7277" s="37" t="str">
        <f t="array" ref="B7277">iferror(xlookup($I7277, 'IMPORT VHC Report'!$E:$E, 'IMPORT VHC Report'!$A:$C), )</f>
        <v/>
      </c>
      <c r="C7277" s="44"/>
      <c r="D7277" s="44"/>
      <c r="E7277" s="38"/>
      <c r="F7277" s="38"/>
      <c r="G7277" s="38"/>
      <c r="H7277" s="38"/>
      <c r="I7277" s="38"/>
      <c r="J7277" s="38"/>
      <c r="K7277" s="38"/>
      <c r="L7277" s="41"/>
      <c r="M7277" s="38"/>
      <c r="N7277" s="41"/>
      <c r="O7277" s="38"/>
      <c r="P7277" s="38"/>
      <c r="Q7277" s="39"/>
      <c r="R7277" s="39"/>
      <c r="S7277" s="39"/>
      <c r="T7277" s="39"/>
      <c r="U7277" s="39"/>
    </row>
    <row r="7278">
      <c r="A7278" s="40" t="str">
        <f t="shared" si="1"/>
        <v/>
      </c>
      <c r="B7278" s="37" t="str">
        <f t="array" ref="B7278">iferror(xlookup($I7278, 'IMPORT VHC Report'!$E:$E, 'IMPORT VHC Report'!$A:$C), )</f>
        <v/>
      </c>
      <c r="C7278" s="44"/>
      <c r="D7278" s="44"/>
      <c r="E7278" s="38"/>
      <c r="F7278" s="38"/>
      <c r="G7278" s="38"/>
      <c r="H7278" s="38"/>
      <c r="I7278" s="38"/>
      <c r="J7278" s="38"/>
      <c r="K7278" s="38"/>
      <c r="L7278" s="41"/>
      <c r="M7278" s="38"/>
      <c r="N7278" s="41"/>
      <c r="O7278" s="38"/>
      <c r="P7278" s="38"/>
      <c r="Q7278" s="39"/>
      <c r="R7278" s="39"/>
      <c r="S7278" s="39"/>
      <c r="T7278" s="39"/>
      <c r="U7278" s="39"/>
    </row>
    <row r="7279">
      <c r="A7279" s="40" t="str">
        <f t="shared" si="1"/>
        <v/>
      </c>
      <c r="B7279" s="37" t="str">
        <f t="array" ref="B7279">iferror(xlookup($I7279, 'IMPORT VHC Report'!$E:$E, 'IMPORT VHC Report'!$A:$C), )</f>
        <v/>
      </c>
      <c r="C7279" s="44"/>
      <c r="D7279" s="44"/>
      <c r="E7279" s="38"/>
      <c r="F7279" s="38"/>
      <c r="G7279" s="38"/>
      <c r="H7279" s="38"/>
      <c r="I7279" s="38"/>
      <c r="J7279" s="38"/>
      <c r="K7279" s="38"/>
      <c r="L7279" s="41"/>
      <c r="M7279" s="38"/>
      <c r="N7279" s="41"/>
      <c r="O7279" s="38"/>
      <c r="P7279" s="38"/>
      <c r="Q7279" s="39"/>
      <c r="R7279" s="39"/>
      <c r="S7279" s="39"/>
      <c r="T7279" s="39"/>
      <c r="U7279" s="39"/>
    </row>
    <row r="7280">
      <c r="A7280" s="40" t="str">
        <f t="shared" si="1"/>
        <v/>
      </c>
      <c r="B7280" s="37" t="str">
        <f t="array" ref="B7280">iferror(xlookup($I7280, 'IMPORT VHC Report'!$E:$E, 'IMPORT VHC Report'!$A:$C), )</f>
        <v/>
      </c>
      <c r="C7280" s="44"/>
      <c r="D7280" s="44"/>
      <c r="E7280" s="38"/>
      <c r="F7280" s="38"/>
      <c r="G7280" s="38"/>
      <c r="H7280" s="38"/>
      <c r="I7280" s="38"/>
      <c r="J7280" s="38"/>
      <c r="K7280" s="38"/>
      <c r="L7280" s="41"/>
      <c r="M7280" s="38"/>
      <c r="N7280" s="41"/>
      <c r="O7280" s="38"/>
      <c r="P7280" s="38"/>
      <c r="Q7280" s="39"/>
      <c r="R7280" s="39"/>
      <c r="S7280" s="39"/>
      <c r="T7280" s="39"/>
      <c r="U7280" s="39"/>
    </row>
    <row r="7281">
      <c r="A7281" s="40" t="str">
        <f t="shared" si="1"/>
        <v/>
      </c>
      <c r="B7281" s="37" t="str">
        <f t="array" ref="B7281">iferror(xlookup($I7281, 'IMPORT VHC Report'!$E:$E, 'IMPORT VHC Report'!$A:$C), )</f>
        <v/>
      </c>
      <c r="C7281" s="44"/>
      <c r="D7281" s="44"/>
      <c r="E7281" s="38"/>
      <c r="F7281" s="38"/>
      <c r="G7281" s="38"/>
      <c r="H7281" s="38"/>
      <c r="I7281" s="38"/>
      <c r="J7281" s="38"/>
      <c r="K7281" s="38"/>
      <c r="L7281" s="41"/>
      <c r="M7281" s="38"/>
      <c r="N7281" s="41"/>
      <c r="O7281" s="38"/>
      <c r="P7281" s="38"/>
      <c r="Q7281" s="39"/>
      <c r="R7281" s="39"/>
      <c r="S7281" s="39"/>
      <c r="T7281" s="39"/>
      <c r="U7281" s="39"/>
    </row>
    <row r="7282">
      <c r="A7282" s="40" t="str">
        <f t="shared" si="1"/>
        <v/>
      </c>
      <c r="B7282" s="37" t="str">
        <f t="array" ref="B7282">iferror(xlookup($I7282, 'IMPORT VHC Report'!$E:$E, 'IMPORT VHC Report'!$A:$C), )</f>
        <v/>
      </c>
      <c r="C7282" s="44"/>
      <c r="D7282" s="44"/>
      <c r="E7282" s="38"/>
      <c r="F7282" s="38"/>
      <c r="G7282" s="38"/>
      <c r="H7282" s="38"/>
      <c r="I7282" s="38"/>
      <c r="J7282" s="38"/>
      <c r="K7282" s="38"/>
      <c r="L7282" s="41"/>
      <c r="M7282" s="38"/>
      <c r="N7282" s="41"/>
      <c r="O7282" s="38"/>
      <c r="P7282" s="38"/>
      <c r="Q7282" s="39"/>
      <c r="R7282" s="39"/>
      <c r="S7282" s="39"/>
      <c r="T7282" s="39"/>
      <c r="U7282" s="39"/>
    </row>
    <row r="7283">
      <c r="A7283" s="40" t="str">
        <f t="shared" si="1"/>
        <v/>
      </c>
      <c r="B7283" s="37" t="str">
        <f t="array" ref="B7283">iferror(xlookup($I7283, 'IMPORT VHC Report'!$E:$E, 'IMPORT VHC Report'!$A:$C), )</f>
        <v/>
      </c>
      <c r="C7283" s="44"/>
      <c r="D7283" s="44"/>
      <c r="E7283" s="38"/>
      <c r="F7283" s="38"/>
      <c r="G7283" s="38"/>
      <c r="H7283" s="38"/>
      <c r="I7283" s="38"/>
      <c r="J7283" s="38"/>
      <c r="K7283" s="38"/>
      <c r="L7283" s="41"/>
      <c r="M7283" s="38"/>
      <c r="N7283" s="41"/>
      <c r="O7283" s="38"/>
      <c r="P7283" s="38"/>
      <c r="Q7283" s="39"/>
      <c r="R7283" s="39"/>
      <c r="S7283" s="39"/>
      <c r="T7283" s="39"/>
      <c r="U7283" s="39"/>
    </row>
    <row r="7284">
      <c r="A7284" s="40" t="str">
        <f t="shared" si="1"/>
        <v/>
      </c>
      <c r="B7284" s="37" t="str">
        <f t="array" ref="B7284">iferror(xlookup($I7284, 'IMPORT VHC Report'!$E:$E, 'IMPORT VHC Report'!$A:$C), )</f>
        <v/>
      </c>
      <c r="C7284" s="44"/>
      <c r="D7284" s="44"/>
      <c r="E7284" s="38"/>
      <c r="F7284" s="38"/>
      <c r="G7284" s="38"/>
      <c r="H7284" s="38"/>
      <c r="I7284" s="38"/>
      <c r="J7284" s="38"/>
      <c r="K7284" s="38"/>
      <c r="L7284" s="41"/>
      <c r="M7284" s="38"/>
      <c r="N7284" s="41"/>
      <c r="O7284" s="38"/>
      <c r="P7284" s="38"/>
      <c r="Q7284" s="39"/>
      <c r="R7284" s="39"/>
      <c r="S7284" s="39"/>
      <c r="T7284" s="39"/>
      <c r="U7284" s="39"/>
    </row>
    <row r="7285">
      <c r="A7285" s="40" t="str">
        <f t="shared" si="1"/>
        <v/>
      </c>
      <c r="B7285" s="37" t="str">
        <f t="array" ref="B7285">iferror(xlookup($I7285, 'IMPORT VHC Report'!$E:$E, 'IMPORT VHC Report'!$A:$C), )</f>
        <v/>
      </c>
      <c r="C7285" s="44"/>
      <c r="D7285" s="44"/>
      <c r="E7285" s="38"/>
      <c r="F7285" s="38"/>
      <c r="G7285" s="38"/>
      <c r="H7285" s="38"/>
      <c r="I7285" s="38"/>
      <c r="J7285" s="38"/>
      <c r="K7285" s="38"/>
      <c r="L7285" s="41"/>
      <c r="M7285" s="38"/>
      <c r="N7285" s="41"/>
      <c r="O7285" s="38"/>
      <c r="P7285" s="38"/>
      <c r="Q7285" s="39"/>
      <c r="R7285" s="39"/>
      <c r="S7285" s="39"/>
      <c r="T7285" s="39"/>
      <c r="U7285" s="39"/>
    </row>
    <row r="7286">
      <c r="A7286" s="40" t="str">
        <f t="shared" si="1"/>
        <v/>
      </c>
      <c r="B7286" s="37" t="str">
        <f t="array" ref="B7286">iferror(xlookup($I7286, 'IMPORT VHC Report'!$E:$E, 'IMPORT VHC Report'!$A:$C), )</f>
        <v/>
      </c>
      <c r="C7286" s="44"/>
      <c r="D7286" s="44"/>
      <c r="E7286" s="38"/>
      <c r="F7286" s="38"/>
      <c r="G7286" s="38"/>
      <c r="H7286" s="38"/>
      <c r="I7286" s="38"/>
      <c r="J7286" s="38"/>
      <c r="K7286" s="38"/>
      <c r="L7286" s="41"/>
      <c r="M7286" s="38"/>
      <c r="N7286" s="41"/>
      <c r="O7286" s="38"/>
      <c r="P7286" s="38"/>
      <c r="Q7286" s="38"/>
      <c r="R7286" s="38"/>
      <c r="S7286" s="39"/>
      <c r="T7286" s="39"/>
      <c r="U7286" s="39"/>
    </row>
    <row r="7287">
      <c r="A7287" s="40" t="str">
        <f t="shared" si="1"/>
        <v/>
      </c>
      <c r="B7287" s="37" t="str">
        <f t="array" ref="B7287">iferror(xlookup($I7287, 'IMPORT VHC Report'!$E:$E, 'IMPORT VHC Report'!$A:$C), )</f>
        <v/>
      </c>
      <c r="C7287" s="44"/>
      <c r="D7287" s="44"/>
      <c r="E7287" s="38"/>
      <c r="F7287" s="38"/>
      <c r="G7287" s="38"/>
      <c r="H7287" s="38"/>
      <c r="I7287" s="38"/>
      <c r="J7287" s="38"/>
      <c r="K7287" s="38"/>
      <c r="L7287" s="41"/>
      <c r="M7287" s="38"/>
      <c r="N7287" s="41"/>
      <c r="O7287" s="38"/>
      <c r="P7287" s="38"/>
      <c r="Q7287" s="39"/>
      <c r="R7287" s="39"/>
      <c r="S7287" s="39"/>
      <c r="T7287" s="39"/>
      <c r="U7287" s="39"/>
    </row>
    <row r="7288">
      <c r="A7288" s="40" t="str">
        <f t="shared" si="1"/>
        <v/>
      </c>
      <c r="B7288" s="37" t="str">
        <f t="array" ref="B7288">iferror(xlookup($I7288, 'IMPORT VHC Report'!$E:$E, 'IMPORT VHC Report'!$A:$C), )</f>
        <v/>
      </c>
      <c r="C7288" s="44"/>
      <c r="D7288" s="44"/>
      <c r="E7288" s="38"/>
      <c r="F7288" s="38"/>
      <c r="G7288" s="38"/>
      <c r="H7288" s="38"/>
      <c r="I7288" s="38"/>
      <c r="J7288" s="38"/>
      <c r="K7288" s="38"/>
      <c r="L7288" s="41"/>
      <c r="M7288" s="38"/>
      <c r="N7288" s="41"/>
      <c r="O7288" s="38"/>
      <c r="P7288" s="38"/>
      <c r="Q7288" s="39"/>
      <c r="R7288" s="39"/>
      <c r="S7288" s="39"/>
      <c r="T7288" s="39"/>
      <c r="U7288" s="39"/>
    </row>
    <row r="7289">
      <c r="A7289" s="40" t="str">
        <f t="shared" si="1"/>
        <v/>
      </c>
      <c r="B7289" s="37" t="str">
        <f t="array" ref="B7289">iferror(xlookup($I7289, 'IMPORT VHC Report'!$E:$E, 'IMPORT VHC Report'!$A:$C), )</f>
        <v/>
      </c>
      <c r="C7289" s="44"/>
      <c r="D7289" s="44"/>
      <c r="E7289" s="38"/>
      <c r="F7289" s="38"/>
      <c r="G7289" s="38"/>
      <c r="H7289" s="38"/>
      <c r="I7289" s="38"/>
      <c r="J7289" s="38"/>
      <c r="K7289" s="38"/>
      <c r="L7289" s="41"/>
      <c r="M7289" s="38"/>
      <c r="N7289" s="41"/>
      <c r="O7289" s="38"/>
      <c r="P7289" s="38"/>
      <c r="Q7289" s="39"/>
      <c r="R7289" s="39"/>
      <c r="S7289" s="39"/>
      <c r="T7289" s="39"/>
      <c r="U7289" s="39"/>
    </row>
    <row r="7290">
      <c r="A7290" s="40" t="str">
        <f t="shared" si="1"/>
        <v/>
      </c>
      <c r="B7290" s="37" t="str">
        <f t="array" ref="B7290">iferror(xlookup($I7290, 'IMPORT VHC Report'!$E:$E, 'IMPORT VHC Report'!$A:$C), )</f>
        <v/>
      </c>
      <c r="C7290" s="44"/>
      <c r="D7290" s="44"/>
      <c r="E7290" s="38"/>
      <c r="F7290" s="38"/>
      <c r="G7290" s="38"/>
      <c r="H7290" s="38"/>
      <c r="I7290" s="38"/>
      <c r="J7290" s="38"/>
      <c r="K7290" s="38"/>
      <c r="L7290" s="41"/>
      <c r="M7290" s="38"/>
      <c r="N7290" s="41"/>
      <c r="O7290" s="38"/>
      <c r="P7290" s="38"/>
      <c r="Q7290" s="39"/>
      <c r="R7290" s="39"/>
      <c r="S7290" s="39"/>
      <c r="T7290" s="39"/>
      <c r="U7290" s="39"/>
    </row>
    <row r="7291">
      <c r="A7291" s="40" t="str">
        <f t="shared" si="1"/>
        <v/>
      </c>
      <c r="B7291" s="37" t="str">
        <f t="array" ref="B7291">iferror(xlookup($I7291, 'IMPORT VHC Report'!$E:$E, 'IMPORT VHC Report'!$A:$C), )</f>
        <v/>
      </c>
      <c r="C7291" s="44"/>
      <c r="D7291" s="44"/>
      <c r="E7291" s="38"/>
      <c r="F7291" s="38"/>
      <c r="G7291" s="38"/>
      <c r="H7291" s="38"/>
      <c r="I7291" s="38"/>
      <c r="J7291" s="38"/>
      <c r="K7291" s="38"/>
      <c r="L7291" s="41"/>
      <c r="M7291" s="38"/>
      <c r="N7291" s="41"/>
      <c r="O7291" s="38"/>
      <c r="P7291" s="38"/>
      <c r="Q7291" s="39"/>
      <c r="R7291" s="39"/>
      <c r="S7291" s="39"/>
      <c r="T7291" s="39"/>
      <c r="U7291" s="39"/>
    </row>
    <row r="7292">
      <c r="A7292" s="40" t="str">
        <f t="shared" si="1"/>
        <v/>
      </c>
      <c r="B7292" s="37" t="str">
        <f t="array" ref="B7292">iferror(xlookup($I7292, 'IMPORT VHC Report'!$E:$E, 'IMPORT VHC Report'!$A:$C), )</f>
        <v/>
      </c>
      <c r="C7292" s="44"/>
      <c r="D7292" s="44"/>
      <c r="E7292" s="38"/>
      <c r="F7292" s="38"/>
      <c r="G7292" s="38"/>
      <c r="H7292" s="38"/>
      <c r="I7292" s="38"/>
      <c r="J7292" s="38"/>
      <c r="K7292" s="38"/>
      <c r="L7292" s="41"/>
      <c r="M7292" s="38"/>
      <c r="N7292" s="41"/>
      <c r="O7292" s="38"/>
      <c r="P7292" s="38"/>
      <c r="Q7292" s="39"/>
      <c r="R7292" s="39"/>
      <c r="S7292" s="39"/>
      <c r="T7292" s="39"/>
      <c r="U7292" s="39"/>
    </row>
    <row r="7293">
      <c r="A7293" s="40" t="str">
        <f t="shared" si="1"/>
        <v/>
      </c>
      <c r="B7293" s="37" t="str">
        <f t="array" ref="B7293">iferror(xlookup($I7293, 'IMPORT VHC Report'!$E:$E, 'IMPORT VHC Report'!$A:$C), )</f>
        <v/>
      </c>
      <c r="C7293" s="44"/>
      <c r="D7293" s="44"/>
      <c r="E7293" s="38"/>
      <c r="F7293" s="38"/>
      <c r="G7293" s="38"/>
      <c r="H7293" s="38"/>
      <c r="I7293" s="38"/>
      <c r="J7293" s="38"/>
      <c r="K7293" s="38"/>
      <c r="L7293" s="41"/>
      <c r="M7293" s="38"/>
      <c r="N7293" s="41"/>
      <c r="O7293" s="38"/>
      <c r="P7293" s="38"/>
      <c r="Q7293" s="39"/>
      <c r="R7293" s="39"/>
      <c r="S7293" s="39"/>
      <c r="T7293" s="39"/>
      <c r="U7293" s="39"/>
    </row>
    <row r="7294">
      <c r="A7294" s="40" t="str">
        <f t="shared" si="1"/>
        <v/>
      </c>
      <c r="B7294" s="37" t="str">
        <f t="array" ref="B7294">iferror(xlookup($I7294, 'IMPORT VHC Report'!$E:$E, 'IMPORT VHC Report'!$A:$C), )</f>
        <v/>
      </c>
      <c r="C7294" s="44"/>
      <c r="D7294" s="44"/>
      <c r="E7294" s="38"/>
      <c r="F7294" s="38"/>
      <c r="G7294" s="38"/>
      <c r="H7294" s="38"/>
      <c r="I7294" s="38"/>
      <c r="J7294" s="38"/>
      <c r="K7294" s="38"/>
      <c r="L7294" s="41"/>
      <c r="M7294" s="38"/>
      <c r="N7294" s="41"/>
      <c r="O7294" s="38"/>
      <c r="P7294" s="38"/>
      <c r="Q7294" s="39"/>
      <c r="R7294" s="39"/>
      <c r="S7294" s="39"/>
      <c r="T7294" s="39"/>
      <c r="U7294" s="39"/>
    </row>
    <row r="7295">
      <c r="A7295" s="40" t="str">
        <f t="shared" si="1"/>
        <v/>
      </c>
      <c r="B7295" s="37" t="str">
        <f t="array" ref="B7295">iferror(xlookup($I7295, 'IMPORT VHC Report'!$E:$E, 'IMPORT VHC Report'!$A:$C), )</f>
        <v/>
      </c>
      <c r="C7295" s="44"/>
      <c r="D7295" s="44"/>
      <c r="E7295" s="38"/>
      <c r="F7295" s="38"/>
      <c r="G7295" s="38"/>
      <c r="H7295" s="38"/>
      <c r="I7295" s="38"/>
      <c r="J7295" s="38"/>
      <c r="K7295" s="38"/>
      <c r="L7295" s="41"/>
      <c r="M7295" s="38"/>
      <c r="N7295" s="41"/>
      <c r="O7295" s="38"/>
      <c r="P7295" s="38"/>
      <c r="Q7295" s="39"/>
      <c r="R7295" s="39"/>
      <c r="S7295" s="39"/>
      <c r="T7295" s="39"/>
      <c r="U7295" s="39"/>
    </row>
    <row r="7296">
      <c r="A7296" s="40" t="str">
        <f t="shared" si="1"/>
        <v/>
      </c>
      <c r="B7296" s="37" t="str">
        <f t="array" ref="B7296">iferror(xlookup($I7296, 'IMPORT VHC Report'!$E:$E, 'IMPORT VHC Report'!$A:$C), )</f>
        <v/>
      </c>
      <c r="C7296" s="44"/>
      <c r="D7296" s="44"/>
      <c r="E7296" s="38"/>
      <c r="F7296" s="38"/>
      <c r="G7296" s="38"/>
      <c r="H7296" s="38"/>
      <c r="I7296" s="38"/>
      <c r="J7296" s="38"/>
      <c r="K7296" s="38"/>
      <c r="L7296" s="41"/>
      <c r="M7296" s="38"/>
      <c r="N7296" s="41"/>
      <c r="O7296" s="38"/>
      <c r="P7296" s="38"/>
      <c r="Q7296" s="39"/>
      <c r="R7296" s="39"/>
      <c r="S7296" s="39"/>
      <c r="T7296" s="39"/>
      <c r="U7296" s="39"/>
    </row>
    <row r="7297">
      <c r="A7297" s="40" t="str">
        <f t="shared" si="1"/>
        <v/>
      </c>
      <c r="B7297" s="37" t="str">
        <f t="array" ref="B7297">iferror(xlookup($I7297, 'IMPORT VHC Report'!$E:$E, 'IMPORT VHC Report'!$A:$C), )</f>
        <v/>
      </c>
      <c r="C7297" s="44"/>
      <c r="D7297" s="44"/>
      <c r="E7297" s="38"/>
      <c r="F7297" s="38"/>
      <c r="G7297" s="38"/>
      <c r="H7297" s="38"/>
      <c r="I7297" s="38"/>
      <c r="J7297" s="38"/>
      <c r="K7297" s="38"/>
      <c r="L7297" s="41"/>
      <c r="M7297" s="38"/>
      <c r="N7297" s="41"/>
      <c r="O7297" s="38"/>
      <c r="P7297" s="38"/>
      <c r="Q7297" s="39"/>
      <c r="R7297" s="39"/>
      <c r="S7297" s="38"/>
      <c r="T7297" s="39"/>
      <c r="U7297" s="39"/>
    </row>
    <row r="7298">
      <c r="A7298" s="40" t="str">
        <f t="shared" si="1"/>
        <v/>
      </c>
      <c r="B7298" s="37" t="str">
        <f t="array" ref="B7298">iferror(xlookup($I7298, 'IMPORT VHC Report'!$E:$E, 'IMPORT VHC Report'!$A:$C), )</f>
        <v/>
      </c>
      <c r="C7298" s="44"/>
      <c r="D7298" s="44"/>
      <c r="E7298" s="38"/>
      <c r="F7298" s="38"/>
      <c r="G7298" s="38"/>
      <c r="H7298" s="38"/>
      <c r="I7298" s="38"/>
      <c r="J7298" s="38"/>
      <c r="K7298" s="38"/>
      <c r="L7298" s="41"/>
      <c r="M7298" s="38"/>
      <c r="N7298" s="41"/>
      <c r="O7298" s="38"/>
      <c r="P7298" s="38"/>
      <c r="Q7298" s="39"/>
      <c r="R7298" s="39"/>
      <c r="S7298" s="39"/>
      <c r="T7298" s="39"/>
      <c r="U7298" s="39"/>
    </row>
    <row r="7299">
      <c r="A7299" s="40" t="str">
        <f t="shared" si="1"/>
        <v/>
      </c>
      <c r="B7299" s="37" t="str">
        <f t="array" ref="B7299">iferror(xlookup($I7299, 'IMPORT VHC Report'!$E:$E, 'IMPORT VHC Report'!$A:$C), )</f>
        <v/>
      </c>
      <c r="C7299" s="44"/>
      <c r="D7299" s="44"/>
      <c r="E7299" s="38"/>
      <c r="F7299" s="38"/>
      <c r="G7299" s="38"/>
      <c r="H7299" s="38"/>
      <c r="I7299" s="38"/>
      <c r="J7299" s="38"/>
      <c r="K7299" s="38"/>
      <c r="L7299" s="41"/>
      <c r="M7299" s="38"/>
      <c r="N7299" s="41"/>
      <c r="O7299" s="38"/>
      <c r="P7299" s="38"/>
      <c r="Q7299" s="38"/>
      <c r="R7299" s="38"/>
      <c r="S7299" s="39"/>
      <c r="T7299" s="39"/>
      <c r="U7299" s="39"/>
    </row>
    <row r="7300">
      <c r="A7300" s="40" t="str">
        <f t="shared" si="1"/>
        <v/>
      </c>
      <c r="B7300" s="37" t="str">
        <f t="array" ref="B7300">iferror(xlookup($I7300, 'IMPORT VHC Report'!$E:$E, 'IMPORT VHC Report'!$A:$C), )</f>
        <v/>
      </c>
      <c r="C7300" s="44"/>
      <c r="D7300" s="44"/>
      <c r="E7300" s="38"/>
      <c r="F7300" s="38"/>
      <c r="G7300" s="38"/>
      <c r="H7300" s="38"/>
      <c r="I7300" s="38"/>
      <c r="J7300" s="38"/>
      <c r="K7300" s="38"/>
      <c r="L7300" s="41"/>
      <c r="M7300" s="38"/>
      <c r="N7300" s="41"/>
      <c r="O7300" s="38"/>
      <c r="P7300" s="38"/>
      <c r="Q7300" s="39"/>
      <c r="R7300" s="39"/>
      <c r="S7300" s="39"/>
      <c r="T7300" s="39"/>
      <c r="U7300" s="39"/>
    </row>
    <row r="7301">
      <c r="A7301" s="40" t="str">
        <f t="shared" si="1"/>
        <v/>
      </c>
      <c r="B7301" s="37" t="str">
        <f t="array" ref="B7301">iferror(xlookup($I7301, 'IMPORT VHC Report'!$E:$E, 'IMPORT VHC Report'!$A:$C), )</f>
        <v/>
      </c>
      <c r="C7301" s="44"/>
      <c r="D7301" s="44"/>
      <c r="E7301" s="38"/>
      <c r="F7301" s="38"/>
      <c r="G7301" s="38"/>
      <c r="H7301" s="38"/>
      <c r="I7301" s="38"/>
      <c r="J7301" s="38"/>
      <c r="K7301" s="38"/>
      <c r="L7301" s="41"/>
      <c r="M7301" s="38"/>
      <c r="N7301" s="41"/>
      <c r="O7301" s="38"/>
      <c r="P7301" s="38"/>
      <c r="Q7301" s="39"/>
      <c r="R7301" s="39"/>
      <c r="S7301" s="39"/>
      <c r="T7301" s="39"/>
      <c r="U7301" s="39"/>
    </row>
    <row r="7302">
      <c r="A7302" s="40" t="str">
        <f t="shared" si="1"/>
        <v/>
      </c>
      <c r="B7302" s="37" t="str">
        <f t="array" ref="B7302">iferror(xlookup($I7302, 'IMPORT VHC Report'!$E:$E, 'IMPORT VHC Report'!$A:$C), )</f>
        <v/>
      </c>
      <c r="C7302" s="44"/>
      <c r="D7302" s="44"/>
      <c r="E7302" s="38"/>
      <c r="F7302" s="38"/>
      <c r="G7302" s="38"/>
      <c r="H7302" s="38"/>
      <c r="I7302" s="38"/>
      <c r="J7302" s="38"/>
      <c r="K7302" s="38"/>
      <c r="L7302" s="41"/>
      <c r="M7302" s="38"/>
      <c r="N7302" s="41"/>
      <c r="O7302" s="38"/>
      <c r="P7302" s="38"/>
      <c r="Q7302" s="39"/>
      <c r="R7302" s="39"/>
      <c r="S7302" s="39"/>
      <c r="T7302" s="39"/>
      <c r="U7302" s="39"/>
    </row>
    <row r="7303">
      <c r="A7303" s="40" t="str">
        <f t="shared" si="1"/>
        <v/>
      </c>
      <c r="B7303" s="37" t="str">
        <f t="array" ref="B7303">iferror(xlookup($I7303, 'IMPORT VHC Report'!$E:$E, 'IMPORT VHC Report'!$A:$C), )</f>
        <v/>
      </c>
      <c r="C7303" s="44"/>
      <c r="D7303" s="44"/>
      <c r="E7303" s="38"/>
      <c r="F7303" s="38"/>
      <c r="G7303" s="38"/>
      <c r="H7303" s="38"/>
      <c r="I7303" s="38"/>
      <c r="J7303" s="38"/>
      <c r="K7303" s="38"/>
      <c r="L7303" s="41"/>
      <c r="M7303" s="38"/>
      <c r="N7303" s="41"/>
      <c r="O7303" s="38"/>
      <c r="P7303" s="38"/>
      <c r="Q7303" s="39"/>
      <c r="R7303" s="39"/>
      <c r="S7303" s="39"/>
      <c r="T7303" s="39"/>
      <c r="U7303" s="39"/>
    </row>
    <row r="7304">
      <c r="A7304" s="40" t="str">
        <f t="shared" si="1"/>
        <v/>
      </c>
      <c r="B7304" s="37" t="str">
        <f t="array" ref="B7304">iferror(xlookup($I7304, 'IMPORT VHC Report'!$E:$E, 'IMPORT VHC Report'!$A:$C), )</f>
        <v/>
      </c>
      <c r="C7304" s="44"/>
      <c r="D7304" s="44"/>
      <c r="E7304" s="38"/>
      <c r="F7304" s="38"/>
      <c r="G7304" s="38"/>
      <c r="H7304" s="38"/>
      <c r="I7304" s="38"/>
      <c r="J7304" s="38"/>
      <c r="K7304" s="38"/>
      <c r="L7304" s="41"/>
      <c r="M7304" s="38"/>
      <c r="N7304" s="41"/>
      <c r="O7304" s="38"/>
      <c r="P7304" s="38"/>
      <c r="Q7304" s="39"/>
      <c r="R7304" s="39"/>
      <c r="S7304" s="39"/>
      <c r="T7304" s="39"/>
      <c r="U7304" s="39"/>
    </row>
    <row r="7305">
      <c r="A7305" s="40" t="str">
        <f t="shared" si="1"/>
        <v/>
      </c>
      <c r="B7305" s="37" t="str">
        <f t="array" ref="B7305">iferror(xlookup($I7305, 'IMPORT VHC Report'!$E:$E, 'IMPORT VHC Report'!$A:$C), )</f>
        <v/>
      </c>
      <c r="C7305" s="44"/>
      <c r="D7305" s="44"/>
      <c r="E7305" s="38"/>
      <c r="F7305" s="38"/>
      <c r="G7305" s="38"/>
      <c r="H7305" s="38"/>
      <c r="I7305" s="38"/>
      <c r="J7305" s="38"/>
      <c r="K7305" s="38"/>
      <c r="L7305" s="41"/>
      <c r="M7305" s="38"/>
      <c r="N7305" s="41"/>
      <c r="O7305" s="38"/>
      <c r="P7305" s="38"/>
      <c r="Q7305" s="39"/>
      <c r="R7305" s="39"/>
      <c r="S7305" s="39"/>
      <c r="T7305" s="39"/>
      <c r="U7305" s="39"/>
    </row>
    <row r="7306">
      <c r="A7306" s="40" t="str">
        <f t="shared" si="1"/>
        <v/>
      </c>
      <c r="B7306" s="37" t="str">
        <f t="array" ref="B7306">iferror(xlookup($I7306, 'IMPORT VHC Report'!$E:$E, 'IMPORT VHC Report'!$A:$C), )</f>
        <v/>
      </c>
      <c r="C7306" s="44"/>
      <c r="D7306" s="44"/>
      <c r="E7306" s="38"/>
      <c r="F7306" s="38"/>
      <c r="G7306" s="38"/>
      <c r="H7306" s="38"/>
      <c r="I7306" s="38"/>
      <c r="J7306" s="38"/>
      <c r="K7306" s="38"/>
      <c r="L7306" s="41"/>
      <c r="M7306" s="38"/>
      <c r="N7306" s="41"/>
      <c r="O7306" s="38"/>
      <c r="P7306" s="38"/>
      <c r="Q7306" s="39"/>
      <c r="R7306" s="39"/>
      <c r="S7306" s="39"/>
      <c r="T7306" s="39"/>
      <c r="U7306" s="39"/>
    </row>
    <row r="7307">
      <c r="A7307" s="40" t="str">
        <f t="shared" si="1"/>
        <v/>
      </c>
      <c r="B7307" s="37" t="str">
        <f t="array" ref="B7307">iferror(xlookup($I7307, 'IMPORT VHC Report'!$E:$E, 'IMPORT VHC Report'!$A:$C), )</f>
        <v/>
      </c>
      <c r="C7307" s="44"/>
      <c r="D7307" s="44"/>
      <c r="E7307" s="38"/>
      <c r="F7307" s="38"/>
      <c r="G7307" s="38"/>
      <c r="H7307" s="38"/>
      <c r="I7307" s="38"/>
      <c r="J7307" s="38"/>
      <c r="K7307" s="38"/>
      <c r="L7307" s="41"/>
      <c r="M7307" s="38"/>
      <c r="N7307" s="41"/>
      <c r="O7307" s="38"/>
      <c r="P7307" s="38"/>
      <c r="Q7307" s="39"/>
      <c r="R7307" s="39"/>
      <c r="S7307" s="39"/>
      <c r="T7307" s="39"/>
      <c r="U7307" s="39"/>
    </row>
    <row r="7308">
      <c r="A7308" s="40" t="str">
        <f t="shared" si="1"/>
        <v/>
      </c>
      <c r="B7308" s="37" t="str">
        <f t="array" ref="B7308">iferror(xlookup($I7308, 'IMPORT VHC Report'!$E:$E, 'IMPORT VHC Report'!$A:$C), )</f>
        <v/>
      </c>
      <c r="C7308" s="44"/>
      <c r="D7308" s="44"/>
      <c r="E7308" s="38"/>
      <c r="F7308" s="38"/>
      <c r="G7308" s="38"/>
      <c r="H7308" s="38"/>
      <c r="I7308" s="38"/>
      <c r="J7308" s="38"/>
      <c r="K7308" s="38"/>
      <c r="L7308" s="41"/>
      <c r="M7308" s="38"/>
      <c r="N7308" s="41"/>
      <c r="O7308" s="38"/>
      <c r="P7308" s="38"/>
      <c r="Q7308" s="39"/>
      <c r="R7308" s="39"/>
      <c r="S7308" s="39"/>
      <c r="T7308" s="39"/>
      <c r="U7308" s="39"/>
    </row>
    <row r="7309">
      <c r="A7309" s="40" t="str">
        <f t="shared" si="1"/>
        <v/>
      </c>
      <c r="B7309" s="37" t="str">
        <f t="array" ref="B7309">iferror(xlookup($I7309, 'IMPORT VHC Report'!$E:$E, 'IMPORT VHC Report'!$A:$C), )</f>
        <v/>
      </c>
      <c r="C7309" s="44"/>
      <c r="D7309" s="44"/>
      <c r="E7309" s="38"/>
      <c r="F7309" s="38"/>
      <c r="G7309" s="38"/>
      <c r="H7309" s="38"/>
      <c r="I7309" s="38"/>
      <c r="J7309" s="38"/>
      <c r="K7309" s="38"/>
      <c r="L7309" s="41"/>
      <c r="M7309" s="38"/>
      <c r="N7309" s="41"/>
      <c r="O7309" s="38"/>
      <c r="P7309" s="38"/>
      <c r="Q7309" s="39"/>
      <c r="R7309" s="39"/>
      <c r="S7309" s="39"/>
      <c r="T7309" s="39"/>
      <c r="U7309" s="39"/>
    </row>
    <row r="7310">
      <c r="A7310" s="40" t="str">
        <f t="shared" si="1"/>
        <v/>
      </c>
      <c r="B7310" s="37" t="str">
        <f t="array" ref="B7310">iferror(xlookup($I7310, 'IMPORT VHC Report'!$E:$E, 'IMPORT VHC Report'!$A:$C), )</f>
        <v/>
      </c>
      <c r="C7310" s="44"/>
      <c r="D7310" s="44"/>
      <c r="E7310" s="38"/>
      <c r="F7310" s="38"/>
      <c r="G7310" s="38"/>
      <c r="H7310" s="38"/>
      <c r="I7310" s="38"/>
      <c r="J7310" s="38"/>
      <c r="K7310" s="38"/>
      <c r="L7310" s="41"/>
      <c r="M7310" s="38"/>
      <c r="N7310" s="41"/>
      <c r="O7310" s="38"/>
      <c r="P7310" s="38"/>
      <c r="Q7310" s="39"/>
      <c r="R7310" s="39"/>
      <c r="S7310" s="39"/>
      <c r="T7310" s="39"/>
      <c r="U7310" s="39"/>
    </row>
    <row r="7311">
      <c r="A7311" s="40" t="str">
        <f t="shared" si="1"/>
        <v/>
      </c>
      <c r="B7311" s="37" t="str">
        <f t="array" ref="B7311">iferror(xlookup($I7311, 'IMPORT VHC Report'!$E:$E, 'IMPORT VHC Report'!$A:$C), )</f>
        <v/>
      </c>
      <c r="C7311" s="44"/>
      <c r="D7311" s="44"/>
      <c r="E7311" s="38"/>
      <c r="F7311" s="38"/>
      <c r="G7311" s="38"/>
      <c r="H7311" s="38"/>
      <c r="I7311" s="38"/>
      <c r="J7311" s="38"/>
      <c r="K7311" s="38"/>
      <c r="L7311" s="41"/>
      <c r="M7311" s="38"/>
      <c r="N7311" s="41"/>
      <c r="O7311" s="38"/>
      <c r="P7311" s="38"/>
      <c r="Q7311" s="39"/>
      <c r="R7311" s="39"/>
      <c r="S7311" s="39"/>
      <c r="T7311" s="39"/>
      <c r="U7311" s="39"/>
    </row>
    <row r="7312">
      <c r="A7312" s="40" t="str">
        <f t="shared" si="1"/>
        <v/>
      </c>
      <c r="B7312" s="37" t="str">
        <f t="array" ref="B7312">iferror(xlookup($I7312, 'IMPORT VHC Report'!$E:$E, 'IMPORT VHC Report'!$A:$C), )</f>
        <v/>
      </c>
      <c r="C7312" s="44"/>
      <c r="D7312" s="44"/>
      <c r="E7312" s="38"/>
      <c r="F7312" s="38"/>
      <c r="G7312" s="38"/>
      <c r="H7312" s="38"/>
      <c r="I7312" s="38"/>
      <c r="J7312" s="38"/>
      <c r="K7312" s="38"/>
      <c r="L7312" s="41"/>
      <c r="M7312" s="38"/>
      <c r="N7312" s="41"/>
      <c r="O7312" s="38"/>
      <c r="P7312" s="38"/>
      <c r="Q7312" s="39"/>
      <c r="R7312" s="39"/>
      <c r="S7312" s="39"/>
      <c r="T7312" s="39"/>
      <c r="U7312" s="39"/>
    </row>
    <row r="7313">
      <c r="A7313" s="40" t="str">
        <f t="shared" si="1"/>
        <v/>
      </c>
      <c r="B7313" s="37" t="str">
        <f t="array" ref="B7313">iferror(xlookup($I7313, 'IMPORT VHC Report'!$E:$E, 'IMPORT VHC Report'!$A:$C), )</f>
        <v/>
      </c>
      <c r="C7313" s="44"/>
      <c r="D7313" s="44"/>
      <c r="E7313" s="38"/>
      <c r="F7313" s="38"/>
      <c r="G7313" s="38"/>
      <c r="H7313" s="38"/>
      <c r="I7313" s="38"/>
      <c r="J7313" s="38"/>
      <c r="K7313" s="38"/>
      <c r="L7313" s="41"/>
      <c r="M7313" s="38"/>
      <c r="N7313" s="41"/>
      <c r="O7313" s="38"/>
      <c r="P7313" s="38"/>
      <c r="Q7313" s="39"/>
      <c r="R7313" s="39"/>
      <c r="S7313" s="39"/>
      <c r="T7313" s="39"/>
      <c r="U7313" s="39"/>
    </row>
    <row r="7314">
      <c r="A7314" s="40" t="str">
        <f t="shared" si="1"/>
        <v/>
      </c>
      <c r="B7314" s="37" t="str">
        <f t="array" ref="B7314">iferror(xlookup($I7314, 'IMPORT VHC Report'!$E:$E, 'IMPORT VHC Report'!$A:$C), )</f>
        <v/>
      </c>
      <c r="C7314" s="44"/>
      <c r="D7314" s="44"/>
      <c r="E7314" s="38"/>
      <c r="F7314" s="38"/>
      <c r="G7314" s="38"/>
      <c r="H7314" s="38"/>
      <c r="I7314" s="38"/>
      <c r="J7314" s="38"/>
      <c r="K7314" s="38"/>
      <c r="L7314" s="41"/>
      <c r="M7314" s="38"/>
      <c r="N7314" s="41"/>
      <c r="O7314" s="38"/>
      <c r="P7314" s="38"/>
      <c r="Q7314" s="39"/>
      <c r="R7314" s="39"/>
      <c r="S7314" s="39"/>
      <c r="T7314" s="39"/>
      <c r="U7314" s="39"/>
    </row>
    <row r="7315">
      <c r="A7315" s="40" t="str">
        <f t="shared" si="1"/>
        <v/>
      </c>
      <c r="B7315" s="37" t="str">
        <f t="array" ref="B7315">iferror(xlookup($I7315, 'IMPORT VHC Report'!$E:$E, 'IMPORT VHC Report'!$A:$C), )</f>
        <v/>
      </c>
      <c r="C7315" s="44"/>
      <c r="D7315" s="44"/>
      <c r="E7315" s="38"/>
      <c r="F7315" s="38"/>
      <c r="G7315" s="38"/>
      <c r="H7315" s="38"/>
      <c r="I7315" s="38"/>
      <c r="J7315" s="38"/>
      <c r="K7315" s="38"/>
      <c r="L7315" s="41"/>
      <c r="M7315" s="38"/>
      <c r="N7315" s="41"/>
      <c r="O7315" s="38"/>
      <c r="P7315" s="38"/>
      <c r="Q7315" s="39"/>
      <c r="R7315" s="39"/>
      <c r="S7315" s="39"/>
      <c r="T7315" s="39"/>
      <c r="U7315" s="39"/>
    </row>
    <row r="7316">
      <c r="A7316" s="40" t="str">
        <f t="shared" si="1"/>
        <v/>
      </c>
      <c r="B7316" s="37" t="str">
        <f t="array" ref="B7316">iferror(xlookup($I7316, 'IMPORT VHC Report'!$E:$E, 'IMPORT VHC Report'!$A:$C), )</f>
        <v/>
      </c>
      <c r="C7316" s="44"/>
      <c r="D7316" s="44"/>
      <c r="E7316" s="38"/>
      <c r="F7316" s="38"/>
      <c r="G7316" s="38"/>
      <c r="H7316" s="38"/>
      <c r="I7316" s="38"/>
      <c r="J7316" s="38"/>
      <c r="K7316" s="38"/>
      <c r="L7316" s="41"/>
      <c r="M7316" s="38"/>
      <c r="N7316" s="41"/>
      <c r="O7316" s="38"/>
      <c r="P7316" s="38"/>
      <c r="Q7316" s="39"/>
      <c r="R7316" s="39"/>
      <c r="S7316" s="39"/>
      <c r="T7316" s="39"/>
      <c r="U7316" s="39"/>
    </row>
    <row r="7317">
      <c r="A7317" s="40" t="str">
        <f t="shared" si="1"/>
        <v/>
      </c>
      <c r="B7317" s="37" t="str">
        <f t="array" ref="B7317">iferror(xlookup($I7317, 'IMPORT VHC Report'!$E:$E, 'IMPORT VHC Report'!$A:$C), )</f>
        <v/>
      </c>
      <c r="C7317" s="44"/>
      <c r="D7317" s="44"/>
      <c r="E7317" s="38"/>
      <c r="F7317" s="38"/>
      <c r="G7317" s="38"/>
      <c r="H7317" s="38"/>
      <c r="I7317" s="38"/>
      <c r="J7317" s="38"/>
      <c r="K7317" s="38"/>
      <c r="L7317" s="41"/>
      <c r="M7317" s="38"/>
      <c r="N7317" s="41"/>
      <c r="O7317" s="38"/>
      <c r="P7317" s="38"/>
      <c r="Q7317" s="38"/>
      <c r="R7317" s="38"/>
      <c r="S7317" s="38"/>
      <c r="T7317" s="39"/>
      <c r="U7317" s="39"/>
    </row>
    <row r="7318">
      <c r="A7318" s="40" t="str">
        <f t="shared" si="1"/>
        <v/>
      </c>
      <c r="B7318" s="37" t="str">
        <f t="array" ref="B7318">iferror(xlookup($I7318, 'IMPORT VHC Report'!$E:$E, 'IMPORT VHC Report'!$A:$C), )</f>
        <v/>
      </c>
      <c r="C7318" s="44"/>
      <c r="D7318" s="44"/>
      <c r="E7318" s="38"/>
      <c r="F7318" s="38"/>
      <c r="G7318" s="38"/>
      <c r="H7318" s="38"/>
      <c r="I7318" s="38"/>
      <c r="J7318" s="38"/>
      <c r="K7318" s="38"/>
      <c r="L7318" s="41"/>
      <c r="M7318" s="38"/>
      <c r="N7318" s="41"/>
      <c r="O7318" s="38"/>
      <c r="P7318" s="38"/>
      <c r="Q7318" s="39"/>
      <c r="R7318" s="39"/>
      <c r="S7318" s="39"/>
      <c r="T7318" s="39"/>
      <c r="U7318" s="39"/>
    </row>
    <row r="7319">
      <c r="A7319" s="40" t="str">
        <f t="shared" si="1"/>
        <v/>
      </c>
      <c r="B7319" s="37" t="str">
        <f t="array" ref="B7319">iferror(xlookup($I7319, 'IMPORT VHC Report'!$E:$E, 'IMPORT VHC Report'!$A:$C), )</f>
        <v/>
      </c>
      <c r="C7319" s="44"/>
      <c r="D7319" s="44"/>
      <c r="E7319" s="38"/>
      <c r="F7319" s="38"/>
      <c r="G7319" s="38"/>
      <c r="H7319" s="38"/>
      <c r="I7319" s="38"/>
      <c r="J7319" s="38"/>
      <c r="K7319" s="38"/>
      <c r="L7319" s="41"/>
      <c r="M7319" s="38"/>
      <c r="N7319" s="41"/>
      <c r="O7319" s="38"/>
      <c r="P7319" s="38"/>
      <c r="Q7319" s="39"/>
      <c r="R7319" s="39"/>
      <c r="S7319" s="39"/>
      <c r="T7319" s="39"/>
      <c r="U7319" s="39"/>
    </row>
    <row r="7320">
      <c r="A7320" s="40" t="str">
        <f t="shared" si="1"/>
        <v/>
      </c>
      <c r="B7320" s="37" t="str">
        <f t="array" ref="B7320">iferror(xlookup($I7320, 'IMPORT VHC Report'!$E:$E, 'IMPORT VHC Report'!$A:$C), )</f>
        <v/>
      </c>
      <c r="C7320" s="44"/>
      <c r="D7320" s="44"/>
      <c r="E7320" s="38"/>
      <c r="F7320" s="38"/>
      <c r="G7320" s="38"/>
      <c r="H7320" s="38"/>
      <c r="I7320" s="38"/>
      <c r="J7320" s="38"/>
      <c r="K7320" s="38"/>
      <c r="L7320" s="41"/>
      <c r="M7320" s="38"/>
      <c r="N7320" s="41"/>
      <c r="O7320" s="38"/>
      <c r="P7320" s="38"/>
      <c r="Q7320" s="38"/>
      <c r="R7320" s="38"/>
      <c r="S7320" s="38"/>
      <c r="T7320" s="39"/>
      <c r="U7320" s="39"/>
    </row>
    <row r="7321">
      <c r="A7321" s="40" t="str">
        <f t="shared" si="1"/>
        <v/>
      </c>
      <c r="B7321" s="37" t="str">
        <f t="array" ref="B7321">iferror(xlookup($I7321, 'IMPORT VHC Report'!$E:$E, 'IMPORT VHC Report'!$A:$C), )</f>
        <v/>
      </c>
      <c r="C7321" s="44"/>
      <c r="D7321" s="44"/>
      <c r="E7321" s="38"/>
      <c r="F7321" s="38"/>
      <c r="G7321" s="38"/>
      <c r="H7321" s="38"/>
      <c r="I7321" s="38"/>
      <c r="J7321" s="38"/>
      <c r="K7321" s="38"/>
      <c r="L7321" s="41"/>
      <c r="M7321" s="38"/>
      <c r="N7321" s="41"/>
      <c r="O7321" s="38"/>
      <c r="P7321" s="38"/>
      <c r="Q7321" s="39"/>
      <c r="R7321" s="39"/>
      <c r="S7321" s="39"/>
      <c r="T7321" s="39"/>
      <c r="U7321" s="39"/>
    </row>
    <row r="7322">
      <c r="A7322" s="40" t="str">
        <f t="shared" si="1"/>
        <v/>
      </c>
      <c r="B7322" s="37" t="str">
        <f t="array" ref="B7322">iferror(xlookup($I7322, 'IMPORT VHC Report'!$E:$E, 'IMPORT VHC Report'!$A:$C), )</f>
        <v/>
      </c>
      <c r="C7322" s="44"/>
      <c r="D7322" s="44"/>
      <c r="E7322" s="38"/>
      <c r="F7322" s="38"/>
      <c r="G7322" s="38"/>
      <c r="H7322" s="38"/>
      <c r="I7322" s="38"/>
      <c r="J7322" s="38"/>
      <c r="K7322" s="38"/>
      <c r="L7322" s="41"/>
      <c r="M7322" s="38"/>
      <c r="N7322" s="41"/>
      <c r="O7322" s="38"/>
      <c r="P7322" s="38"/>
      <c r="Q7322" s="39"/>
      <c r="R7322" s="39"/>
      <c r="S7322" s="39"/>
      <c r="T7322" s="39"/>
      <c r="U7322" s="39"/>
    </row>
    <row r="7323">
      <c r="A7323" s="40" t="str">
        <f t="shared" si="1"/>
        <v/>
      </c>
      <c r="B7323" s="37" t="str">
        <f t="array" ref="B7323">iferror(xlookup($I7323, 'IMPORT VHC Report'!$E:$E, 'IMPORT VHC Report'!$A:$C), )</f>
        <v/>
      </c>
      <c r="C7323" s="44"/>
      <c r="D7323" s="44"/>
      <c r="E7323" s="38"/>
      <c r="F7323" s="38"/>
      <c r="G7323" s="38"/>
      <c r="H7323" s="38"/>
      <c r="I7323" s="38"/>
      <c r="J7323" s="38"/>
      <c r="K7323" s="38"/>
      <c r="L7323" s="41"/>
      <c r="M7323" s="38"/>
      <c r="N7323" s="41"/>
      <c r="O7323" s="38"/>
      <c r="P7323" s="38"/>
      <c r="Q7323" s="39"/>
      <c r="R7323" s="39"/>
      <c r="S7323" s="39"/>
      <c r="T7323" s="39"/>
      <c r="U7323" s="39"/>
    </row>
    <row r="7324">
      <c r="A7324" s="40" t="str">
        <f t="shared" si="1"/>
        <v/>
      </c>
      <c r="B7324" s="37" t="str">
        <f t="array" ref="B7324">iferror(xlookup($I7324, 'IMPORT VHC Report'!$E:$E, 'IMPORT VHC Report'!$A:$C), )</f>
        <v/>
      </c>
      <c r="C7324" s="44"/>
      <c r="D7324" s="44"/>
      <c r="E7324" s="38"/>
      <c r="F7324" s="38"/>
      <c r="G7324" s="38"/>
      <c r="H7324" s="38"/>
      <c r="I7324" s="38"/>
      <c r="J7324" s="38"/>
      <c r="K7324" s="38"/>
      <c r="L7324" s="41"/>
      <c r="M7324" s="38"/>
      <c r="N7324" s="41"/>
      <c r="O7324" s="38"/>
      <c r="P7324" s="38"/>
      <c r="Q7324" s="39"/>
      <c r="R7324" s="39"/>
      <c r="S7324" s="39"/>
      <c r="T7324" s="39"/>
      <c r="U7324" s="39"/>
    </row>
    <row r="7325">
      <c r="A7325" s="40" t="str">
        <f t="shared" si="1"/>
        <v/>
      </c>
      <c r="B7325" s="37" t="str">
        <f t="array" ref="B7325">iferror(xlookup($I7325, 'IMPORT VHC Report'!$E:$E, 'IMPORT VHC Report'!$A:$C), )</f>
        <v/>
      </c>
      <c r="C7325" s="44"/>
      <c r="D7325" s="44"/>
      <c r="E7325" s="38"/>
      <c r="F7325" s="38"/>
      <c r="G7325" s="38"/>
      <c r="H7325" s="38"/>
      <c r="I7325" s="38"/>
      <c r="J7325" s="38"/>
      <c r="K7325" s="38"/>
      <c r="L7325" s="41"/>
      <c r="M7325" s="38"/>
      <c r="N7325" s="41"/>
      <c r="O7325" s="38"/>
      <c r="P7325" s="38"/>
      <c r="Q7325" s="38"/>
      <c r="R7325" s="38"/>
      <c r="S7325" s="38"/>
      <c r="T7325" s="39"/>
      <c r="U7325" s="39"/>
    </row>
    <row r="7326">
      <c r="A7326" s="40" t="str">
        <f t="shared" si="1"/>
        <v/>
      </c>
      <c r="B7326" s="37" t="str">
        <f t="array" ref="B7326">iferror(xlookup($I7326, 'IMPORT VHC Report'!$E:$E, 'IMPORT VHC Report'!$A:$C), )</f>
        <v/>
      </c>
      <c r="C7326" s="44"/>
      <c r="D7326" s="44"/>
      <c r="E7326" s="38"/>
      <c r="F7326" s="38"/>
      <c r="G7326" s="38"/>
      <c r="H7326" s="38"/>
      <c r="I7326" s="38"/>
      <c r="J7326" s="38"/>
      <c r="K7326" s="38"/>
      <c r="L7326" s="41"/>
      <c r="M7326" s="38"/>
      <c r="N7326" s="41"/>
      <c r="O7326" s="38"/>
      <c r="P7326" s="38"/>
      <c r="Q7326" s="39"/>
      <c r="R7326" s="39"/>
      <c r="S7326" s="39"/>
      <c r="T7326" s="39"/>
      <c r="U7326" s="39"/>
    </row>
    <row r="7327">
      <c r="A7327" s="40" t="str">
        <f t="shared" si="1"/>
        <v/>
      </c>
      <c r="B7327" s="37" t="str">
        <f t="array" ref="B7327">iferror(xlookup($I7327, 'IMPORT VHC Report'!$E:$E, 'IMPORT VHC Report'!$A:$C), )</f>
        <v/>
      </c>
      <c r="C7327" s="44"/>
      <c r="D7327" s="44"/>
      <c r="E7327" s="38"/>
      <c r="F7327" s="38"/>
      <c r="G7327" s="38"/>
      <c r="H7327" s="38"/>
      <c r="I7327" s="38"/>
      <c r="J7327" s="38"/>
      <c r="K7327" s="38"/>
      <c r="L7327" s="41"/>
      <c r="M7327" s="38"/>
      <c r="N7327" s="41"/>
      <c r="O7327" s="38"/>
      <c r="P7327" s="38"/>
      <c r="Q7327" s="39"/>
      <c r="R7327" s="39"/>
      <c r="S7327" s="39"/>
      <c r="T7327" s="39"/>
      <c r="U7327" s="39"/>
    </row>
    <row r="7328">
      <c r="A7328" s="40" t="str">
        <f t="shared" si="1"/>
        <v/>
      </c>
      <c r="B7328" s="37" t="str">
        <f t="array" ref="B7328">iferror(xlookup($I7328, 'IMPORT VHC Report'!$E:$E, 'IMPORT VHC Report'!$A:$C), )</f>
        <v/>
      </c>
      <c r="C7328" s="44"/>
      <c r="D7328" s="44"/>
      <c r="E7328" s="38"/>
      <c r="F7328" s="38"/>
      <c r="G7328" s="38"/>
      <c r="H7328" s="38"/>
      <c r="I7328" s="38"/>
      <c r="J7328" s="38"/>
      <c r="K7328" s="38"/>
      <c r="L7328" s="41"/>
      <c r="M7328" s="38"/>
      <c r="N7328" s="41"/>
      <c r="O7328" s="38"/>
      <c r="P7328" s="38"/>
      <c r="Q7328" s="38"/>
      <c r="R7328" s="38"/>
      <c r="S7328" s="38"/>
      <c r="T7328" s="39"/>
      <c r="U7328" s="39"/>
    </row>
    <row r="7329">
      <c r="A7329" s="40" t="str">
        <f t="shared" si="1"/>
        <v/>
      </c>
      <c r="B7329" s="37" t="str">
        <f t="array" ref="B7329">iferror(xlookup($I7329, 'IMPORT VHC Report'!$E:$E, 'IMPORT VHC Report'!$A:$C), )</f>
        <v/>
      </c>
      <c r="C7329" s="44"/>
      <c r="D7329" s="44"/>
      <c r="E7329" s="38"/>
      <c r="F7329" s="38"/>
      <c r="G7329" s="38"/>
      <c r="H7329" s="38"/>
      <c r="I7329" s="38"/>
      <c r="J7329" s="38"/>
      <c r="K7329" s="38"/>
      <c r="L7329" s="41"/>
      <c r="M7329" s="38"/>
      <c r="N7329" s="41"/>
      <c r="O7329" s="38"/>
      <c r="P7329" s="38"/>
      <c r="Q7329" s="39"/>
      <c r="R7329" s="39"/>
      <c r="S7329" s="39"/>
      <c r="T7329" s="39"/>
      <c r="U7329" s="39"/>
    </row>
    <row r="7330">
      <c r="A7330" s="40" t="str">
        <f t="shared" si="1"/>
        <v/>
      </c>
      <c r="B7330" s="37" t="str">
        <f t="array" ref="B7330">iferror(xlookup($I7330, 'IMPORT VHC Report'!$E:$E, 'IMPORT VHC Report'!$A:$C), )</f>
        <v/>
      </c>
      <c r="C7330" s="44"/>
      <c r="D7330" s="44"/>
      <c r="E7330" s="38"/>
      <c r="F7330" s="38"/>
      <c r="G7330" s="38"/>
      <c r="H7330" s="38"/>
      <c r="I7330" s="38"/>
      <c r="J7330" s="38"/>
      <c r="K7330" s="38"/>
      <c r="L7330" s="41"/>
      <c r="M7330" s="38"/>
      <c r="N7330" s="41"/>
      <c r="O7330" s="38"/>
      <c r="P7330" s="38"/>
      <c r="Q7330" s="39"/>
      <c r="R7330" s="39"/>
      <c r="S7330" s="39"/>
      <c r="T7330" s="39"/>
      <c r="U7330" s="39"/>
    </row>
    <row r="7331">
      <c r="A7331" s="40" t="str">
        <f t="shared" si="1"/>
        <v/>
      </c>
      <c r="B7331" s="37" t="str">
        <f t="array" ref="B7331">iferror(xlookup($I7331, 'IMPORT VHC Report'!$E:$E, 'IMPORT VHC Report'!$A:$C), )</f>
        <v/>
      </c>
      <c r="C7331" s="44"/>
      <c r="D7331" s="44"/>
      <c r="E7331" s="38"/>
      <c r="F7331" s="38"/>
      <c r="G7331" s="38"/>
      <c r="H7331" s="38"/>
      <c r="I7331" s="38"/>
      <c r="J7331" s="38"/>
      <c r="K7331" s="38"/>
      <c r="L7331" s="41"/>
      <c r="M7331" s="38"/>
      <c r="N7331" s="41"/>
      <c r="O7331" s="38"/>
      <c r="P7331" s="38"/>
      <c r="Q7331" s="39"/>
      <c r="R7331" s="39"/>
      <c r="S7331" s="39"/>
      <c r="T7331" s="39"/>
      <c r="U7331" s="39"/>
    </row>
    <row r="7332">
      <c r="A7332" s="40" t="str">
        <f t="shared" si="1"/>
        <v/>
      </c>
      <c r="B7332" s="37" t="str">
        <f t="array" ref="B7332">iferror(xlookup($I7332, 'IMPORT VHC Report'!$E:$E, 'IMPORT VHC Report'!$A:$C), )</f>
        <v/>
      </c>
      <c r="C7332" s="44"/>
      <c r="D7332" s="44"/>
      <c r="E7332" s="38"/>
      <c r="F7332" s="38"/>
      <c r="G7332" s="38"/>
      <c r="H7332" s="38"/>
      <c r="I7332" s="38"/>
      <c r="J7332" s="38"/>
      <c r="K7332" s="38"/>
      <c r="L7332" s="41"/>
      <c r="M7332" s="38"/>
      <c r="N7332" s="41"/>
      <c r="O7332" s="38"/>
      <c r="P7332" s="38"/>
      <c r="Q7332" s="39"/>
      <c r="R7332" s="39"/>
      <c r="S7332" s="39"/>
      <c r="T7332" s="39"/>
      <c r="U7332" s="39"/>
    </row>
    <row r="7333">
      <c r="A7333" s="40" t="str">
        <f t="shared" si="1"/>
        <v/>
      </c>
      <c r="B7333" s="37" t="str">
        <f t="array" ref="B7333">iferror(xlookup($I7333, 'IMPORT VHC Report'!$E:$E, 'IMPORT VHC Report'!$A:$C), )</f>
        <v/>
      </c>
      <c r="C7333" s="44"/>
      <c r="D7333" s="44"/>
      <c r="E7333" s="38"/>
      <c r="F7333" s="38"/>
      <c r="G7333" s="38"/>
      <c r="H7333" s="38"/>
      <c r="I7333" s="38"/>
      <c r="J7333" s="38"/>
      <c r="K7333" s="38"/>
      <c r="L7333" s="41"/>
      <c r="M7333" s="38"/>
      <c r="N7333" s="41"/>
      <c r="O7333" s="38"/>
      <c r="P7333" s="38"/>
      <c r="Q7333" s="38"/>
      <c r="R7333" s="38"/>
      <c r="S7333" s="38"/>
      <c r="T7333" s="39"/>
      <c r="U7333" s="39"/>
    </row>
    <row r="7334">
      <c r="A7334" s="40" t="str">
        <f t="shared" si="1"/>
        <v/>
      </c>
      <c r="B7334" s="37" t="str">
        <f t="array" ref="B7334">iferror(xlookup($I7334, 'IMPORT VHC Report'!$E:$E, 'IMPORT VHC Report'!$A:$C), )</f>
        <v/>
      </c>
      <c r="C7334" s="44"/>
      <c r="D7334" s="44"/>
      <c r="E7334" s="38"/>
      <c r="F7334" s="38"/>
      <c r="G7334" s="38"/>
      <c r="H7334" s="38"/>
      <c r="I7334" s="38"/>
      <c r="J7334" s="38"/>
      <c r="K7334" s="38"/>
      <c r="L7334" s="41"/>
      <c r="M7334" s="38"/>
      <c r="N7334" s="41"/>
      <c r="O7334" s="38"/>
      <c r="P7334" s="38"/>
      <c r="Q7334" s="39"/>
      <c r="R7334" s="39"/>
      <c r="S7334" s="39"/>
      <c r="T7334" s="39"/>
      <c r="U7334" s="39"/>
    </row>
    <row r="7335">
      <c r="A7335" s="40" t="str">
        <f t="shared" si="1"/>
        <v/>
      </c>
      <c r="B7335" s="37" t="str">
        <f t="array" ref="B7335">iferror(xlookup($I7335, 'IMPORT VHC Report'!$E:$E, 'IMPORT VHC Report'!$A:$C), )</f>
        <v/>
      </c>
      <c r="C7335" s="44"/>
      <c r="D7335" s="44"/>
      <c r="E7335" s="38"/>
      <c r="F7335" s="38"/>
      <c r="G7335" s="38"/>
      <c r="H7335" s="38"/>
      <c r="I7335" s="38"/>
      <c r="J7335" s="38"/>
      <c r="K7335" s="38"/>
      <c r="L7335" s="41"/>
      <c r="M7335" s="38"/>
      <c r="N7335" s="41"/>
      <c r="O7335" s="38"/>
      <c r="P7335" s="38"/>
      <c r="Q7335" s="39"/>
      <c r="R7335" s="39"/>
      <c r="S7335" s="39"/>
      <c r="T7335" s="39"/>
      <c r="U7335" s="39"/>
    </row>
    <row r="7336">
      <c r="A7336" s="40" t="str">
        <f t="shared" si="1"/>
        <v/>
      </c>
      <c r="B7336" s="37" t="str">
        <f t="array" ref="B7336">iferror(xlookup($I7336, 'IMPORT VHC Report'!$E:$E, 'IMPORT VHC Report'!$A:$C), )</f>
        <v/>
      </c>
      <c r="C7336" s="44"/>
      <c r="D7336" s="44"/>
      <c r="E7336" s="38"/>
      <c r="F7336" s="38"/>
      <c r="G7336" s="38"/>
      <c r="H7336" s="38"/>
      <c r="I7336" s="38"/>
      <c r="J7336" s="38"/>
      <c r="K7336" s="38"/>
      <c r="L7336" s="41"/>
      <c r="M7336" s="38"/>
      <c r="N7336" s="41"/>
      <c r="O7336" s="38"/>
      <c r="P7336" s="38"/>
      <c r="Q7336" s="39"/>
      <c r="R7336" s="39"/>
      <c r="S7336" s="39"/>
      <c r="T7336" s="39"/>
      <c r="U7336" s="39"/>
    </row>
    <row r="7337">
      <c r="A7337" s="40" t="str">
        <f t="shared" si="1"/>
        <v/>
      </c>
      <c r="B7337" s="37" t="str">
        <f t="array" ref="B7337">iferror(xlookup($I7337, 'IMPORT VHC Report'!$E:$E, 'IMPORT VHC Report'!$A:$C), )</f>
        <v/>
      </c>
      <c r="C7337" s="44"/>
      <c r="D7337" s="44"/>
      <c r="E7337" s="38"/>
      <c r="F7337" s="38"/>
      <c r="G7337" s="38"/>
      <c r="H7337" s="38"/>
      <c r="I7337" s="38"/>
      <c r="J7337" s="38"/>
      <c r="K7337" s="38"/>
      <c r="L7337" s="41"/>
      <c r="M7337" s="38"/>
      <c r="N7337" s="41"/>
      <c r="O7337" s="38"/>
      <c r="P7337" s="38"/>
      <c r="Q7337" s="39"/>
      <c r="R7337" s="39"/>
      <c r="S7337" s="39"/>
      <c r="T7337" s="39"/>
      <c r="U7337" s="39"/>
    </row>
    <row r="7338">
      <c r="A7338" s="40" t="str">
        <f t="shared" si="1"/>
        <v/>
      </c>
      <c r="B7338" s="37" t="str">
        <f t="array" ref="B7338">iferror(xlookup($I7338, 'IMPORT VHC Report'!$E:$E, 'IMPORT VHC Report'!$A:$C), )</f>
        <v/>
      </c>
      <c r="C7338" s="44"/>
      <c r="D7338" s="44"/>
      <c r="E7338" s="38"/>
      <c r="F7338" s="38"/>
      <c r="G7338" s="38"/>
      <c r="H7338" s="38"/>
      <c r="I7338" s="38"/>
      <c r="J7338" s="38"/>
      <c r="K7338" s="38"/>
      <c r="L7338" s="41"/>
      <c r="M7338" s="38"/>
      <c r="N7338" s="41"/>
      <c r="O7338" s="38"/>
      <c r="P7338" s="38"/>
      <c r="Q7338" s="39"/>
      <c r="R7338" s="39"/>
      <c r="S7338" s="39"/>
      <c r="T7338" s="39"/>
      <c r="U7338" s="39"/>
    </row>
    <row r="7339">
      <c r="A7339" s="40" t="str">
        <f t="shared" si="1"/>
        <v/>
      </c>
      <c r="B7339" s="37" t="str">
        <f t="array" ref="B7339">iferror(xlookup($I7339, 'IMPORT VHC Report'!$E:$E, 'IMPORT VHC Report'!$A:$C), )</f>
        <v/>
      </c>
      <c r="C7339" s="44"/>
      <c r="D7339" s="44"/>
      <c r="E7339" s="38"/>
      <c r="F7339" s="38"/>
      <c r="G7339" s="38"/>
      <c r="H7339" s="38"/>
      <c r="I7339" s="38"/>
      <c r="J7339" s="38"/>
      <c r="K7339" s="38"/>
      <c r="L7339" s="41"/>
      <c r="M7339" s="38"/>
      <c r="N7339" s="41"/>
      <c r="O7339" s="38"/>
      <c r="P7339" s="38"/>
      <c r="Q7339" s="39"/>
      <c r="R7339" s="39"/>
      <c r="S7339" s="39"/>
      <c r="T7339" s="39"/>
      <c r="U7339" s="39"/>
    </row>
    <row r="7340">
      <c r="A7340" s="40" t="str">
        <f t="shared" si="1"/>
        <v/>
      </c>
      <c r="B7340" s="37" t="str">
        <f t="array" ref="B7340">iferror(xlookup($I7340, 'IMPORT VHC Report'!$E:$E, 'IMPORT VHC Report'!$A:$C), )</f>
        <v/>
      </c>
      <c r="C7340" s="44"/>
      <c r="D7340" s="44"/>
      <c r="E7340" s="38"/>
      <c r="F7340" s="38"/>
      <c r="G7340" s="38"/>
      <c r="H7340" s="38"/>
      <c r="I7340" s="38"/>
      <c r="J7340" s="38"/>
      <c r="K7340" s="38"/>
      <c r="L7340" s="41"/>
      <c r="M7340" s="38"/>
      <c r="N7340" s="41"/>
      <c r="O7340" s="38"/>
      <c r="P7340" s="38"/>
      <c r="Q7340" s="39"/>
      <c r="R7340" s="39"/>
      <c r="S7340" s="39"/>
      <c r="T7340" s="39"/>
      <c r="U7340" s="39"/>
    </row>
    <row r="7341">
      <c r="A7341" s="40" t="str">
        <f t="shared" si="1"/>
        <v/>
      </c>
      <c r="B7341" s="37" t="str">
        <f t="array" ref="B7341">iferror(xlookup($I7341, 'IMPORT VHC Report'!$E:$E, 'IMPORT VHC Report'!$A:$C), )</f>
        <v/>
      </c>
      <c r="C7341" s="44"/>
      <c r="D7341" s="44"/>
      <c r="E7341" s="38"/>
      <c r="F7341" s="38"/>
      <c r="G7341" s="38"/>
      <c r="H7341" s="38"/>
      <c r="I7341" s="38"/>
      <c r="J7341" s="38"/>
      <c r="K7341" s="38"/>
      <c r="L7341" s="41"/>
      <c r="M7341" s="38"/>
      <c r="N7341" s="41"/>
      <c r="O7341" s="38"/>
      <c r="P7341" s="38"/>
      <c r="Q7341" s="39"/>
      <c r="R7341" s="39"/>
      <c r="S7341" s="39"/>
      <c r="T7341" s="39"/>
      <c r="U7341" s="39"/>
    </row>
    <row r="7342">
      <c r="A7342" s="40" t="str">
        <f t="shared" si="1"/>
        <v/>
      </c>
      <c r="B7342" s="37" t="str">
        <f t="array" ref="B7342">iferror(xlookup($I7342, 'IMPORT VHC Report'!$E:$E, 'IMPORT VHC Report'!$A:$C), )</f>
        <v/>
      </c>
      <c r="C7342" s="44"/>
      <c r="D7342" s="44"/>
      <c r="E7342" s="38"/>
      <c r="F7342" s="38"/>
      <c r="G7342" s="38"/>
      <c r="H7342" s="38"/>
      <c r="I7342" s="38"/>
      <c r="J7342" s="38"/>
      <c r="K7342" s="38"/>
      <c r="L7342" s="41"/>
      <c r="M7342" s="38"/>
      <c r="N7342" s="41"/>
      <c r="O7342" s="38"/>
      <c r="P7342" s="38"/>
      <c r="Q7342" s="39"/>
      <c r="R7342" s="39"/>
      <c r="S7342" s="39"/>
      <c r="T7342" s="39"/>
      <c r="U7342" s="39"/>
    </row>
    <row r="7343">
      <c r="A7343" s="40" t="str">
        <f t="shared" si="1"/>
        <v/>
      </c>
      <c r="B7343" s="37" t="str">
        <f t="array" ref="B7343">iferror(xlookup($I7343, 'IMPORT VHC Report'!$E:$E, 'IMPORT VHC Report'!$A:$C), )</f>
        <v/>
      </c>
      <c r="C7343" s="44"/>
      <c r="D7343" s="44"/>
      <c r="E7343" s="38"/>
      <c r="F7343" s="38"/>
      <c r="G7343" s="38"/>
      <c r="H7343" s="38"/>
      <c r="I7343" s="38"/>
      <c r="J7343" s="38"/>
      <c r="K7343" s="38"/>
      <c r="L7343" s="41"/>
      <c r="M7343" s="38"/>
      <c r="N7343" s="41"/>
      <c r="O7343" s="38"/>
      <c r="P7343" s="38"/>
      <c r="Q7343" s="38"/>
      <c r="R7343" s="39"/>
      <c r="S7343" s="39"/>
      <c r="T7343" s="39"/>
      <c r="U7343" s="39"/>
    </row>
    <row r="7344">
      <c r="A7344" s="40" t="str">
        <f t="shared" si="1"/>
        <v/>
      </c>
      <c r="B7344" s="37" t="str">
        <f t="array" ref="B7344">iferror(xlookup($I7344, 'IMPORT VHC Report'!$E:$E, 'IMPORT VHC Report'!$A:$C), )</f>
        <v/>
      </c>
      <c r="C7344" s="44"/>
      <c r="D7344" s="44"/>
      <c r="E7344" s="38"/>
      <c r="F7344" s="38"/>
      <c r="G7344" s="38"/>
      <c r="H7344" s="38"/>
      <c r="I7344" s="38"/>
      <c r="J7344" s="38"/>
      <c r="K7344" s="38"/>
      <c r="L7344" s="41"/>
      <c r="M7344" s="38"/>
      <c r="N7344" s="41"/>
      <c r="O7344" s="38"/>
      <c r="P7344" s="38"/>
      <c r="Q7344" s="39"/>
      <c r="R7344" s="39"/>
      <c r="S7344" s="39"/>
      <c r="T7344" s="39"/>
      <c r="U7344" s="39"/>
    </row>
    <row r="7345">
      <c r="A7345" s="40" t="str">
        <f t="shared" si="1"/>
        <v/>
      </c>
      <c r="B7345" s="37" t="str">
        <f t="array" ref="B7345">iferror(xlookup($I7345, 'IMPORT VHC Report'!$E:$E, 'IMPORT VHC Report'!$A:$C), )</f>
        <v/>
      </c>
      <c r="C7345" s="44"/>
      <c r="D7345" s="44"/>
      <c r="E7345" s="38"/>
      <c r="F7345" s="38"/>
      <c r="G7345" s="38"/>
      <c r="H7345" s="38"/>
      <c r="I7345" s="38"/>
      <c r="J7345" s="38"/>
      <c r="K7345" s="38"/>
      <c r="L7345" s="41"/>
      <c r="M7345" s="38"/>
      <c r="N7345" s="41"/>
      <c r="O7345" s="38"/>
      <c r="P7345" s="38"/>
      <c r="Q7345" s="39"/>
      <c r="R7345" s="39"/>
      <c r="S7345" s="39"/>
      <c r="T7345" s="39"/>
      <c r="U7345" s="39"/>
    </row>
    <row r="7346">
      <c r="A7346" s="40" t="str">
        <f t="shared" si="1"/>
        <v/>
      </c>
      <c r="B7346" s="37" t="str">
        <f t="array" ref="B7346">iferror(xlookup($I7346, 'IMPORT VHC Report'!$E:$E, 'IMPORT VHC Report'!$A:$C), )</f>
        <v/>
      </c>
      <c r="C7346" s="44"/>
      <c r="D7346" s="44"/>
      <c r="E7346" s="38"/>
      <c r="F7346" s="38"/>
      <c r="G7346" s="38"/>
      <c r="H7346" s="38"/>
      <c r="I7346" s="38"/>
      <c r="J7346" s="38"/>
      <c r="K7346" s="38"/>
      <c r="L7346" s="41"/>
      <c r="M7346" s="38"/>
      <c r="N7346" s="41"/>
      <c r="O7346" s="38"/>
      <c r="P7346" s="38"/>
      <c r="Q7346" s="39"/>
      <c r="R7346" s="39"/>
      <c r="S7346" s="39"/>
      <c r="T7346" s="39"/>
      <c r="U7346" s="39"/>
    </row>
    <row r="7347">
      <c r="A7347" s="40" t="str">
        <f t="shared" si="1"/>
        <v/>
      </c>
      <c r="B7347" s="37" t="str">
        <f t="array" ref="B7347">iferror(xlookup($I7347, 'IMPORT VHC Report'!$E:$E, 'IMPORT VHC Report'!$A:$C), )</f>
        <v/>
      </c>
      <c r="C7347" s="44"/>
      <c r="D7347" s="44"/>
      <c r="E7347" s="38"/>
      <c r="F7347" s="38"/>
      <c r="G7347" s="38"/>
      <c r="H7347" s="38"/>
      <c r="I7347" s="38"/>
      <c r="J7347" s="38"/>
      <c r="K7347" s="38"/>
      <c r="L7347" s="41"/>
      <c r="M7347" s="38"/>
      <c r="N7347" s="41"/>
      <c r="O7347" s="38"/>
      <c r="P7347" s="38"/>
      <c r="Q7347" s="38"/>
      <c r="R7347" s="39"/>
      <c r="S7347" s="39"/>
      <c r="T7347" s="39"/>
      <c r="U7347" s="39"/>
    </row>
    <row r="7348">
      <c r="A7348" s="40" t="str">
        <f t="shared" si="1"/>
        <v/>
      </c>
      <c r="B7348" s="37" t="str">
        <f t="array" ref="B7348">iferror(xlookup($I7348, 'IMPORT VHC Report'!$E:$E, 'IMPORT VHC Report'!$A:$C), )</f>
        <v/>
      </c>
      <c r="C7348" s="44"/>
      <c r="D7348" s="44"/>
      <c r="E7348" s="38"/>
      <c r="F7348" s="38"/>
      <c r="G7348" s="38"/>
      <c r="H7348" s="38"/>
      <c r="I7348" s="38"/>
      <c r="J7348" s="38"/>
      <c r="K7348" s="38"/>
      <c r="L7348" s="41"/>
      <c r="M7348" s="38"/>
      <c r="N7348" s="41"/>
      <c r="O7348" s="38"/>
      <c r="P7348" s="38"/>
      <c r="Q7348" s="39"/>
      <c r="R7348" s="39"/>
      <c r="S7348" s="39"/>
      <c r="T7348" s="39"/>
      <c r="U7348" s="39"/>
    </row>
    <row r="7349">
      <c r="A7349" s="40" t="str">
        <f t="shared" si="1"/>
        <v/>
      </c>
      <c r="B7349" s="37" t="str">
        <f t="array" ref="B7349">iferror(xlookup($I7349, 'IMPORT VHC Report'!$E:$E, 'IMPORT VHC Report'!$A:$C), )</f>
        <v/>
      </c>
      <c r="C7349" s="44"/>
      <c r="D7349" s="44"/>
      <c r="E7349" s="38"/>
      <c r="F7349" s="38"/>
      <c r="G7349" s="38"/>
      <c r="H7349" s="38"/>
      <c r="I7349" s="38"/>
      <c r="J7349" s="38"/>
      <c r="K7349" s="38"/>
      <c r="L7349" s="41"/>
      <c r="M7349" s="38"/>
      <c r="N7349" s="41"/>
      <c r="O7349" s="38"/>
      <c r="P7349" s="38"/>
      <c r="Q7349" s="39"/>
      <c r="R7349" s="39"/>
      <c r="S7349" s="39"/>
      <c r="T7349" s="39"/>
      <c r="U7349" s="39"/>
    </row>
    <row r="7350">
      <c r="A7350" s="40" t="str">
        <f t="shared" si="1"/>
        <v/>
      </c>
      <c r="B7350" s="37" t="str">
        <f t="array" ref="B7350">iferror(xlookup($I7350, 'IMPORT VHC Report'!$E:$E, 'IMPORT VHC Report'!$A:$C), )</f>
        <v/>
      </c>
      <c r="C7350" s="44"/>
      <c r="D7350" s="44"/>
      <c r="E7350" s="38"/>
      <c r="F7350" s="38"/>
      <c r="G7350" s="38"/>
      <c r="H7350" s="38"/>
      <c r="I7350" s="38"/>
      <c r="J7350" s="38"/>
      <c r="K7350" s="38"/>
      <c r="L7350" s="41"/>
      <c r="M7350" s="38"/>
      <c r="N7350" s="41"/>
      <c r="O7350" s="38"/>
      <c r="P7350" s="38"/>
      <c r="Q7350" s="39"/>
      <c r="R7350" s="39"/>
      <c r="S7350" s="39"/>
      <c r="T7350" s="39"/>
      <c r="U7350" s="39"/>
    </row>
    <row r="7351">
      <c r="A7351" s="40" t="str">
        <f t="shared" si="1"/>
        <v/>
      </c>
      <c r="B7351" s="37" t="str">
        <f t="array" ref="B7351">iferror(xlookup($I7351, 'IMPORT VHC Report'!$E:$E, 'IMPORT VHC Report'!$A:$C), )</f>
        <v/>
      </c>
      <c r="C7351" s="44"/>
      <c r="D7351" s="44"/>
      <c r="E7351" s="38"/>
      <c r="F7351" s="38"/>
      <c r="G7351" s="38"/>
      <c r="H7351" s="38"/>
      <c r="I7351" s="38"/>
      <c r="J7351" s="38"/>
      <c r="K7351" s="38"/>
      <c r="L7351" s="41"/>
      <c r="M7351" s="38"/>
      <c r="N7351" s="41"/>
      <c r="O7351" s="38"/>
      <c r="P7351" s="38"/>
      <c r="Q7351" s="38"/>
      <c r="R7351" s="39"/>
      <c r="S7351" s="39"/>
      <c r="T7351" s="39"/>
      <c r="U7351" s="39"/>
    </row>
    <row r="7352">
      <c r="A7352" s="40" t="str">
        <f t="shared" si="1"/>
        <v/>
      </c>
      <c r="B7352" s="37" t="str">
        <f t="array" ref="B7352">iferror(xlookup($I7352, 'IMPORT VHC Report'!$E:$E, 'IMPORT VHC Report'!$A:$C), )</f>
        <v/>
      </c>
      <c r="C7352" s="44"/>
      <c r="D7352" s="44"/>
      <c r="E7352" s="38"/>
      <c r="F7352" s="38"/>
      <c r="G7352" s="38"/>
      <c r="H7352" s="38"/>
      <c r="I7352" s="38"/>
      <c r="J7352" s="38"/>
      <c r="K7352" s="38"/>
      <c r="L7352" s="41"/>
      <c r="M7352" s="38"/>
      <c r="N7352" s="41"/>
      <c r="O7352" s="38"/>
      <c r="P7352" s="38"/>
      <c r="Q7352" s="39"/>
      <c r="R7352" s="39"/>
      <c r="S7352" s="39"/>
      <c r="T7352" s="39"/>
      <c r="U7352" s="39"/>
    </row>
    <row r="7353">
      <c r="A7353" s="40" t="str">
        <f t="shared" si="1"/>
        <v/>
      </c>
      <c r="B7353" s="37" t="str">
        <f t="array" ref="B7353">iferror(xlookup($I7353, 'IMPORT VHC Report'!$E:$E, 'IMPORT VHC Report'!$A:$C), )</f>
        <v/>
      </c>
      <c r="C7353" s="44"/>
      <c r="D7353" s="44"/>
      <c r="E7353" s="38"/>
      <c r="F7353" s="38"/>
      <c r="G7353" s="38"/>
      <c r="H7353" s="38"/>
      <c r="I7353" s="38"/>
      <c r="J7353" s="38"/>
      <c r="K7353" s="38"/>
      <c r="L7353" s="41"/>
      <c r="M7353" s="38"/>
      <c r="N7353" s="41"/>
      <c r="O7353" s="38"/>
      <c r="P7353" s="38"/>
      <c r="Q7353" s="39"/>
      <c r="R7353" s="39"/>
      <c r="S7353" s="39"/>
      <c r="T7353" s="39"/>
      <c r="U7353" s="39"/>
    </row>
    <row r="7354">
      <c r="A7354" s="40" t="str">
        <f t="shared" si="1"/>
        <v/>
      </c>
      <c r="B7354" s="37" t="str">
        <f t="array" ref="B7354">iferror(xlookup($I7354, 'IMPORT VHC Report'!$E:$E, 'IMPORT VHC Report'!$A:$C), )</f>
        <v/>
      </c>
      <c r="C7354" s="44"/>
      <c r="D7354" s="44"/>
      <c r="E7354" s="38"/>
      <c r="F7354" s="38"/>
      <c r="G7354" s="38"/>
      <c r="H7354" s="38"/>
      <c r="I7354" s="38"/>
      <c r="J7354" s="38"/>
      <c r="K7354" s="38"/>
      <c r="L7354" s="41"/>
      <c r="M7354" s="38"/>
      <c r="N7354" s="41"/>
      <c r="O7354" s="38"/>
      <c r="P7354" s="38"/>
      <c r="Q7354" s="38"/>
      <c r="R7354" s="39"/>
      <c r="S7354" s="39"/>
      <c r="T7354" s="39"/>
      <c r="U7354" s="39"/>
    </row>
    <row r="7355">
      <c r="A7355" s="40" t="str">
        <f t="shared" si="1"/>
        <v/>
      </c>
      <c r="B7355" s="37" t="str">
        <f t="array" ref="B7355">iferror(xlookup($I7355, 'IMPORT VHC Report'!$E:$E, 'IMPORT VHC Report'!$A:$C), )</f>
        <v/>
      </c>
      <c r="C7355" s="44"/>
      <c r="D7355" s="44"/>
      <c r="E7355" s="38"/>
      <c r="F7355" s="38"/>
      <c r="G7355" s="38"/>
      <c r="H7355" s="38"/>
      <c r="I7355" s="38"/>
      <c r="J7355" s="38"/>
      <c r="K7355" s="38"/>
      <c r="L7355" s="41"/>
      <c r="M7355" s="38"/>
      <c r="N7355" s="41"/>
      <c r="O7355" s="38"/>
      <c r="P7355" s="38"/>
      <c r="Q7355" s="39"/>
      <c r="R7355" s="39"/>
      <c r="S7355" s="39"/>
      <c r="T7355" s="39"/>
      <c r="U7355" s="39"/>
    </row>
    <row r="7356">
      <c r="A7356" s="40" t="str">
        <f t="shared" si="1"/>
        <v/>
      </c>
      <c r="B7356" s="37" t="str">
        <f t="array" ref="B7356">iferror(xlookup($I7356, 'IMPORT VHC Report'!$E:$E, 'IMPORT VHC Report'!$A:$C), )</f>
        <v/>
      </c>
      <c r="C7356" s="44"/>
      <c r="D7356" s="44"/>
      <c r="E7356" s="38"/>
      <c r="F7356" s="38"/>
      <c r="G7356" s="38"/>
      <c r="H7356" s="38"/>
      <c r="I7356" s="38"/>
      <c r="J7356" s="38"/>
      <c r="K7356" s="38"/>
      <c r="L7356" s="41"/>
      <c r="M7356" s="38"/>
      <c r="N7356" s="41"/>
      <c r="O7356" s="38"/>
      <c r="P7356" s="38"/>
      <c r="Q7356" s="39"/>
      <c r="R7356" s="39"/>
      <c r="S7356" s="39"/>
      <c r="T7356" s="39"/>
      <c r="U7356" s="39"/>
    </row>
    <row r="7357">
      <c r="A7357" s="40" t="str">
        <f t="shared" si="1"/>
        <v/>
      </c>
      <c r="B7357" s="37" t="str">
        <f t="array" ref="B7357">iferror(xlookup($I7357, 'IMPORT VHC Report'!$E:$E, 'IMPORT VHC Report'!$A:$C), )</f>
        <v/>
      </c>
      <c r="C7357" s="44"/>
      <c r="D7357" s="44"/>
      <c r="E7357" s="38"/>
      <c r="F7357" s="38"/>
      <c r="G7357" s="38"/>
      <c r="H7357" s="38"/>
      <c r="I7357" s="38"/>
      <c r="J7357" s="38"/>
      <c r="K7357" s="38"/>
      <c r="L7357" s="41"/>
      <c r="M7357" s="38"/>
      <c r="N7357" s="41"/>
      <c r="O7357" s="38"/>
      <c r="P7357" s="38"/>
      <c r="Q7357" s="39"/>
      <c r="R7357" s="39"/>
      <c r="S7357" s="39"/>
      <c r="T7357" s="39"/>
      <c r="U7357" s="39"/>
    </row>
    <row r="7358">
      <c r="A7358" s="40" t="str">
        <f t="shared" si="1"/>
        <v/>
      </c>
      <c r="B7358" s="37" t="str">
        <f t="array" ref="B7358">iferror(xlookup($I7358, 'IMPORT VHC Report'!$E:$E, 'IMPORT VHC Report'!$A:$C), )</f>
        <v/>
      </c>
      <c r="C7358" s="44"/>
      <c r="D7358" s="44"/>
      <c r="E7358" s="38"/>
      <c r="F7358" s="38"/>
      <c r="G7358" s="38"/>
      <c r="H7358" s="38"/>
      <c r="I7358" s="38"/>
      <c r="J7358" s="38"/>
      <c r="K7358" s="38"/>
      <c r="L7358" s="41"/>
      <c r="M7358" s="38"/>
      <c r="N7358" s="41"/>
      <c r="O7358" s="38"/>
      <c r="P7358" s="38"/>
      <c r="Q7358" s="39"/>
      <c r="R7358" s="39"/>
      <c r="S7358" s="39"/>
      <c r="T7358" s="39"/>
      <c r="U7358" s="39"/>
    </row>
    <row r="7359">
      <c r="A7359" s="40" t="str">
        <f t="shared" si="1"/>
        <v/>
      </c>
      <c r="B7359" s="37" t="str">
        <f t="array" ref="B7359">iferror(xlookup($I7359, 'IMPORT VHC Report'!$E:$E, 'IMPORT VHC Report'!$A:$C), )</f>
        <v/>
      </c>
      <c r="C7359" s="44"/>
      <c r="D7359" s="44"/>
      <c r="E7359" s="38"/>
      <c r="F7359" s="38"/>
      <c r="G7359" s="38"/>
      <c r="H7359" s="38"/>
      <c r="I7359" s="38"/>
      <c r="J7359" s="38"/>
      <c r="K7359" s="38"/>
      <c r="L7359" s="41"/>
      <c r="M7359" s="38"/>
      <c r="N7359" s="41"/>
      <c r="O7359" s="38"/>
      <c r="P7359" s="38"/>
      <c r="Q7359" s="38"/>
      <c r="R7359" s="39"/>
      <c r="S7359" s="39"/>
      <c r="T7359" s="39"/>
      <c r="U7359" s="39"/>
    </row>
    <row r="7360">
      <c r="A7360" s="40" t="str">
        <f t="shared" si="1"/>
        <v/>
      </c>
      <c r="B7360" s="37" t="str">
        <f t="array" ref="B7360">iferror(xlookup($I7360, 'IMPORT VHC Report'!$E:$E, 'IMPORT VHC Report'!$A:$C), )</f>
        <v/>
      </c>
      <c r="C7360" s="44"/>
      <c r="D7360" s="44"/>
      <c r="E7360" s="38"/>
      <c r="F7360" s="38"/>
      <c r="G7360" s="38"/>
      <c r="H7360" s="38"/>
      <c r="I7360" s="38"/>
      <c r="J7360" s="38"/>
      <c r="K7360" s="38"/>
      <c r="L7360" s="41"/>
      <c r="M7360" s="38"/>
      <c r="N7360" s="41"/>
      <c r="O7360" s="38"/>
      <c r="P7360" s="38"/>
      <c r="Q7360" s="39"/>
      <c r="R7360" s="39"/>
      <c r="S7360" s="39"/>
      <c r="T7360" s="39"/>
      <c r="U7360" s="39"/>
    </row>
    <row r="7361">
      <c r="A7361" s="40" t="str">
        <f t="shared" si="1"/>
        <v/>
      </c>
      <c r="B7361" s="37" t="str">
        <f t="array" ref="B7361">iferror(xlookup($I7361, 'IMPORT VHC Report'!$E:$E, 'IMPORT VHC Report'!$A:$C), )</f>
        <v/>
      </c>
      <c r="C7361" s="44"/>
      <c r="D7361" s="44"/>
      <c r="E7361" s="38"/>
      <c r="F7361" s="38"/>
      <c r="G7361" s="38"/>
      <c r="H7361" s="38"/>
      <c r="I7361" s="38"/>
      <c r="J7361" s="38"/>
      <c r="K7361" s="38"/>
      <c r="L7361" s="41"/>
      <c r="M7361" s="38"/>
      <c r="N7361" s="41"/>
      <c r="O7361" s="38"/>
      <c r="P7361" s="38"/>
      <c r="Q7361" s="39"/>
      <c r="R7361" s="39"/>
      <c r="S7361" s="39"/>
      <c r="T7361" s="39"/>
      <c r="U7361" s="39"/>
    </row>
    <row r="7362">
      <c r="A7362" s="40" t="str">
        <f t="shared" si="1"/>
        <v/>
      </c>
      <c r="B7362" s="37" t="str">
        <f t="array" ref="B7362">iferror(xlookup($I7362, 'IMPORT VHC Report'!$E:$E, 'IMPORT VHC Report'!$A:$C), )</f>
        <v/>
      </c>
      <c r="C7362" s="44"/>
      <c r="D7362" s="44"/>
      <c r="E7362" s="38"/>
      <c r="F7362" s="38"/>
      <c r="G7362" s="38"/>
      <c r="H7362" s="38"/>
      <c r="I7362" s="38"/>
      <c r="J7362" s="38"/>
      <c r="K7362" s="38"/>
      <c r="L7362" s="41"/>
      <c r="M7362" s="38"/>
      <c r="N7362" s="41"/>
      <c r="O7362" s="38"/>
      <c r="P7362" s="38"/>
      <c r="Q7362" s="38"/>
      <c r="R7362" s="39"/>
      <c r="S7362" s="39"/>
      <c r="T7362" s="39"/>
      <c r="U7362" s="39"/>
    </row>
    <row r="7363">
      <c r="A7363" s="40" t="str">
        <f t="shared" si="1"/>
        <v/>
      </c>
      <c r="B7363" s="37" t="str">
        <f t="array" ref="B7363">iferror(xlookup($I7363, 'IMPORT VHC Report'!$E:$E, 'IMPORT VHC Report'!$A:$C), )</f>
        <v/>
      </c>
      <c r="C7363" s="44"/>
      <c r="D7363" s="44"/>
      <c r="E7363" s="38"/>
      <c r="F7363" s="38"/>
      <c r="G7363" s="38"/>
      <c r="H7363" s="38"/>
      <c r="I7363" s="38"/>
      <c r="J7363" s="38"/>
      <c r="K7363" s="38"/>
      <c r="L7363" s="41"/>
      <c r="M7363" s="38"/>
      <c r="N7363" s="41"/>
      <c r="O7363" s="38"/>
      <c r="P7363" s="38"/>
      <c r="Q7363" s="39"/>
      <c r="R7363" s="39"/>
      <c r="S7363" s="39"/>
      <c r="T7363" s="39"/>
      <c r="U7363" s="39"/>
    </row>
    <row r="7364">
      <c r="A7364" s="40" t="str">
        <f t="shared" si="1"/>
        <v/>
      </c>
      <c r="B7364" s="37" t="str">
        <f t="array" ref="B7364">iferror(xlookup($I7364, 'IMPORT VHC Report'!$E:$E, 'IMPORT VHC Report'!$A:$C), )</f>
        <v/>
      </c>
      <c r="C7364" s="44"/>
      <c r="D7364" s="44"/>
      <c r="E7364" s="38"/>
      <c r="F7364" s="38"/>
      <c r="G7364" s="38"/>
      <c r="H7364" s="38"/>
      <c r="I7364" s="38"/>
      <c r="J7364" s="38"/>
      <c r="K7364" s="38"/>
      <c r="L7364" s="41"/>
      <c r="M7364" s="38"/>
      <c r="N7364" s="41"/>
      <c r="O7364" s="38"/>
      <c r="P7364" s="38"/>
      <c r="Q7364" s="39"/>
      <c r="R7364" s="39"/>
      <c r="S7364" s="39"/>
      <c r="T7364" s="39"/>
      <c r="U7364" s="39"/>
    </row>
    <row r="7365">
      <c r="A7365" s="40" t="str">
        <f t="shared" si="1"/>
        <v/>
      </c>
      <c r="B7365" s="37" t="str">
        <f t="array" ref="B7365">iferror(xlookup($I7365, 'IMPORT VHC Report'!$E:$E, 'IMPORT VHC Report'!$A:$C), )</f>
        <v/>
      </c>
      <c r="C7365" s="44"/>
      <c r="D7365" s="44"/>
      <c r="E7365" s="38"/>
      <c r="F7365" s="38"/>
      <c r="G7365" s="38"/>
      <c r="H7365" s="38"/>
      <c r="I7365" s="38"/>
      <c r="J7365" s="38"/>
      <c r="K7365" s="38"/>
      <c r="L7365" s="41"/>
      <c r="M7365" s="38"/>
      <c r="N7365" s="41"/>
      <c r="O7365" s="38"/>
      <c r="P7365" s="38"/>
      <c r="Q7365" s="39"/>
      <c r="R7365" s="39"/>
      <c r="S7365" s="39"/>
      <c r="T7365" s="39"/>
      <c r="U7365" s="39"/>
    </row>
    <row r="7366">
      <c r="A7366" s="40" t="str">
        <f t="shared" si="1"/>
        <v/>
      </c>
      <c r="B7366" s="37" t="str">
        <f t="array" ref="B7366">iferror(xlookup($I7366, 'IMPORT VHC Report'!$E:$E, 'IMPORT VHC Report'!$A:$C), )</f>
        <v/>
      </c>
      <c r="C7366" s="44"/>
      <c r="D7366" s="44"/>
      <c r="E7366" s="38"/>
      <c r="F7366" s="38"/>
      <c r="G7366" s="38"/>
      <c r="H7366" s="38"/>
      <c r="I7366" s="38"/>
      <c r="J7366" s="38"/>
      <c r="K7366" s="38"/>
      <c r="L7366" s="41"/>
      <c r="M7366" s="38"/>
      <c r="N7366" s="41"/>
      <c r="O7366" s="38"/>
      <c r="P7366" s="38"/>
      <c r="Q7366" s="39"/>
      <c r="R7366" s="39"/>
      <c r="S7366" s="39"/>
      <c r="T7366" s="39"/>
      <c r="U7366" s="39"/>
    </row>
    <row r="7367">
      <c r="A7367" s="40" t="str">
        <f t="shared" si="1"/>
        <v/>
      </c>
      <c r="B7367" s="37" t="str">
        <f t="array" ref="B7367">iferror(xlookup($I7367, 'IMPORT VHC Report'!$E:$E, 'IMPORT VHC Report'!$A:$C), )</f>
        <v/>
      </c>
      <c r="C7367" s="44"/>
      <c r="D7367" s="44"/>
      <c r="E7367" s="38"/>
      <c r="F7367" s="38"/>
      <c r="G7367" s="38"/>
      <c r="H7367" s="38"/>
      <c r="I7367" s="38"/>
      <c r="J7367" s="38"/>
      <c r="K7367" s="38"/>
      <c r="L7367" s="41"/>
      <c r="M7367" s="38"/>
      <c r="N7367" s="41"/>
      <c r="O7367" s="38"/>
      <c r="P7367" s="38"/>
      <c r="Q7367" s="39"/>
      <c r="R7367" s="39"/>
      <c r="S7367" s="39"/>
      <c r="T7367" s="39"/>
      <c r="U7367" s="39"/>
    </row>
    <row r="7368">
      <c r="A7368" s="40" t="str">
        <f t="shared" si="1"/>
        <v/>
      </c>
      <c r="B7368" s="37" t="str">
        <f t="array" ref="B7368">iferror(xlookup($I7368, 'IMPORT VHC Report'!$E:$E, 'IMPORT VHC Report'!$A:$C), )</f>
        <v/>
      </c>
      <c r="C7368" s="44"/>
      <c r="D7368" s="44"/>
      <c r="E7368" s="38"/>
      <c r="F7368" s="38"/>
      <c r="G7368" s="38"/>
      <c r="H7368" s="38"/>
      <c r="I7368" s="38"/>
      <c r="J7368" s="38"/>
      <c r="K7368" s="38"/>
      <c r="L7368" s="41"/>
      <c r="M7368" s="38"/>
      <c r="N7368" s="41"/>
      <c r="O7368" s="38"/>
      <c r="P7368" s="38"/>
      <c r="Q7368" s="39"/>
      <c r="R7368" s="39"/>
      <c r="S7368" s="39"/>
      <c r="T7368" s="39"/>
      <c r="U7368" s="39"/>
    </row>
    <row r="7369">
      <c r="A7369" s="40" t="str">
        <f t="shared" si="1"/>
        <v/>
      </c>
      <c r="B7369" s="37" t="str">
        <f t="array" ref="B7369">iferror(xlookup($I7369, 'IMPORT VHC Report'!$E:$E, 'IMPORT VHC Report'!$A:$C), )</f>
        <v/>
      </c>
      <c r="C7369" s="44"/>
      <c r="D7369" s="44"/>
      <c r="E7369" s="38"/>
      <c r="F7369" s="38"/>
      <c r="G7369" s="38"/>
      <c r="H7369" s="38"/>
      <c r="I7369" s="38"/>
      <c r="J7369" s="38"/>
      <c r="K7369" s="38"/>
      <c r="L7369" s="41"/>
      <c r="M7369" s="38"/>
      <c r="N7369" s="41"/>
      <c r="O7369" s="38"/>
      <c r="P7369" s="38"/>
      <c r="Q7369" s="39"/>
      <c r="R7369" s="39"/>
      <c r="S7369" s="39"/>
      <c r="T7369" s="39"/>
      <c r="U7369" s="39"/>
    </row>
    <row r="7370">
      <c r="A7370" s="40" t="str">
        <f t="shared" si="1"/>
        <v/>
      </c>
      <c r="B7370" s="37" t="str">
        <f t="array" ref="B7370">iferror(xlookup($I7370, 'IMPORT VHC Report'!$E:$E, 'IMPORT VHC Report'!$A:$C), )</f>
        <v/>
      </c>
      <c r="C7370" s="44"/>
      <c r="D7370" s="44"/>
      <c r="E7370" s="38"/>
      <c r="F7370" s="38"/>
      <c r="G7370" s="38"/>
      <c r="H7370" s="38"/>
      <c r="I7370" s="38"/>
      <c r="J7370" s="38"/>
      <c r="K7370" s="38"/>
      <c r="L7370" s="41"/>
      <c r="M7370" s="38"/>
      <c r="N7370" s="41"/>
      <c r="O7370" s="38"/>
      <c r="P7370" s="38"/>
      <c r="Q7370" s="39"/>
      <c r="R7370" s="39"/>
      <c r="S7370" s="39"/>
      <c r="T7370" s="39"/>
      <c r="U7370" s="39"/>
    </row>
    <row r="7371">
      <c r="A7371" s="40" t="str">
        <f t="shared" si="1"/>
        <v/>
      </c>
      <c r="B7371" s="37" t="str">
        <f t="array" ref="B7371">iferror(xlookup($I7371, 'IMPORT VHC Report'!$E:$E, 'IMPORT VHC Report'!$A:$C), )</f>
        <v/>
      </c>
      <c r="C7371" s="44"/>
      <c r="D7371" s="44"/>
      <c r="E7371" s="38"/>
      <c r="F7371" s="38"/>
      <c r="G7371" s="38"/>
      <c r="H7371" s="38"/>
      <c r="I7371" s="38"/>
      <c r="J7371" s="38"/>
      <c r="K7371" s="38"/>
      <c r="L7371" s="41"/>
      <c r="M7371" s="38"/>
      <c r="N7371" s="41"/>
      <c r="O7371" s="38"/>
      <c r="P7371" s="38"/>
      <c r="Q7371" s="39"/>
      <c r="R7371" s="39"/>
      <c r="S7371" s="39"/>
      <c r="T7371" s="39"/>
      <c r="U7371" s="39"/>
    </row>
    <row r="7372">
      <c r="A7372" s="40" t="str">
        <f t="shared" si="1"/>
        <v/>
      </c>
      <c r="B7372" s="37" t="str">
        <f t="array" ref="B7372">iferror(xlookup($I7372, 'IMPORT VHC Report'!$E:$E, 'IMPORT VHC Report'!$A:$C), )</f>
        <v/>
      </c>
      <c r="C7372" s="44"/>
      <c r="D7372" s="44"/>
      <c r="E7372" s="38"/>
      <c r="F7372" s="38"/>
      <c r="G7372" s="38"/>
      <c r="H7372" s="38"/>
      <c r="I7372" s="38"/>
      <c r="J7372" s="38"/>
      <c r="K7372" s="38"/>
      <c r="L7372" s="41"/>
      <c r="M7372" s="38"/>
      <c r="N7372" s="41"/>
      <c r="O7372" s="38"/>
      <c r="P7372" s="38"/>
      <c r="Q7372" s="39"/>
      <c r="R7372" s="39"/>
      <c r="S7372" s="39"/>
      <c r="T7372" s="39"/>
      <c r="U7372" s="39"/>
    </row>
    <row r="7373">
      <c r="A7373" s="40" t="str">
        <f t="shared" si="1"/>
        <v/>
      </c>
      <c r="B7373" s="37" t="str">
        <f t="array" ref="B7373">iferror(xlookup($I7373, 'IMPORT VHC Report'!$E:$E, 'IMPORT VHC Report'!$A:$C), )</f>
        <v/>
      </c>
      <c r="C7373" s="44"/>
      <c r="D7373" s="44"/>
      <c r="E7373" s="38"/>
      <c r="F7373" s="38"/>
      <c r="G7373" s="38"/>
      <c r="H7373" s="38"/>
      <c r="I7373" s="38"/>
      <c r="J7373" s="38"/>
      <c r="K7373" s="38"/>
      <c r="L7373" s="41"/>
      <c r="M7373" s="38"/>
      <c r="N7373" s="41"/>
      <c r="O7373" s="38"/>
      <c r="P7373" s="38"/>
      <c r="Q7373" s="39"/>
      <c r="R7373" s="39"/>
      <c r="S7373" s="39"/>
      <c r="T7373" s="39"/>
      <c r="U7373" s="39"/>
    </row>
    <row r="7374">
      <c r="A7374" s="40" t="str">
        <f t="shared" si="1"/>
        <v/>
      </c>
      <c r="B7374" s="37" t="str">
        <f t="array" ref="B7374">iferror(xlookup($I7374, 'IMPORT VHC Report'!$E:$E, 'IMPORT VHC Report'!$A:$C), )</f>
        <v/>
      </c>
      <c r="C7374" s="44"/>
      <c r="D7374" s="44"/>
      <c r="E7374" s="38"/>
      <c r="F7374" s="38"/>
      <c r="G7374" s="38"/>
      <c r="H7374" s="38"/>
      <c r="I7374" s="38"/>
      <c r="J7374" s="38"/>
      <c r="K7374" s="38"/>
      <c r="L7374" s="41"/>
      <c r="M7374" s="38"/>
      <c r="N7374" s="41"/>
      <c r="O7374" s="38"/>
      <c r="P7374" s="38"/>
      <c r="Q7374" s="39"/>
      <c r="R7374" s="39"/>
      <c r="S7374" s="39"/>
      <c r="T7374" s="39"/>
      <c r="U7374" s="39"/>
    </row>
    <row r="7375">
      <c r="A7375" s="40" t="str">
        <f t="shared" si="1"/>
        <v/>
      </c>
      <c r="B7375" s="37" t="str">
        <f t="array" ref="B7375">iferror(xlookup($I7375, 'IMPORT VHC Report'!$E:$E, 'IMPORT VHC Report'!$A:$C), )</f>
        <v/>
      </c>
      <c r="C7375" s="44"/>
      <c r="D7375" s="44"/>
      <c r="E7375" s="38"/>
      <c r="F7375" s="38"/>
      <c r="G7375" s="38"/>
      <c r="H7375" s="38"/>
      <c r="I7375" s="38"/>
      <c r="J7375" s="38"/>
      <c r="K7375" s="38"/>
      <c r="L7375" s="41"/>
      <c r="M7375" s="38"/>
      <c r="N7375" s="41"/>
      <c r="O7375" s="38"/>
      <c r="P7375" s="38"/>
      <c r="Q7375" s="39"/>
      <c r="R7375" s="39"/>
      <c r="S7375" s="39"/>
      <c r="T7375" s="39"/>
      <c r="U7375" s="39"/>
    </row>
    <row r="7376">
      <c r="A7376" s="40" t="str">
        <f t="shared" si="1"/>
        <v/>
      </c>
      <c r="B7376" s="37" t="str">
        <f t="array" ref="B7376">iferror(xlookup($I7376, 'IMPORT VHC Report'!$E:$E, 'IMPORT VHC Report'!$A:$C), )</f>
        <v/>
      </c>
      <c r="C7376" s="44"/>
      <c r="D7376" s="44"/>
      <c r="E7376" s="38"/>
      <c r="F7376" s="38"/>
      <c r="G7376" s="38"/>
      <c r="H7376" s="38"/>
      <c r="I7376" s="38"/>
      <c r="J7376" s="38"/>
      <c r="K7376" s="38"/>
      <c r="L7376" s="41"/>
      <c r="M7376" s="38"/>
      <c r="N7376" s="41"/>
      <c r="O7376" s="38"/>
      <c r="P7376" s="38"/>
      <c r="Q7376" s="39"/>
      <c r="R7376" s="39"/>
      <c r="S7376" s="39"/>
      <c r="T7376" s="39"/>
      <c r="U7376" s="39"/>
    </row>
    <row r="7377">
      <c r="A7377" s="40" t="str">
        <f t="shared" si="1"/>
        <v/>
      </c>
      <c r="B7377" s="37" t="str">
        <f t="array" ref="B7377">iferror(xlookup($I7377, 'IMPORT VHC Report'!$E:$E, 'IMPORT VHC Report'!$A:$C), )</f>
        <v/>
      </c>
      <c r="C7377" s="44"/>
      <c r="D7377" s="44"/>
      <c r="E7377" s="38"/>
      <c r="F7377" s="38"/>
      <c r="G7377" s="38"/>
      <c r="H7377" s="38"/>
      <c r="I7377" s="38"/>
      <c r="J7377" s="38"/>
      <c r="K7377" s="38"/>
      <c r="L7377" s="41"/>
      <c r="M7377" s="38"/>
      <c r="N7377" s="41"/>
      <c r="O7377" s="38"/>
      <c r="P7377" s="38"/>
      <c r="Q7377" s="39"/>
      <c r="R7377" s="39"/>
      <c r="S7377" s="39"/>
      <c r="T7377" s="39"/>
      <c r="U7377" s="39"/>
    </row>
    <row r="7378">
      <c r="A7378" s="40" t="str">
        <f t="shared" si="1"/>
        <v/>
      </c>
      <c r="B7378" s="37" t="str">
        <f t="array" ref="B7378">iferror(xlookup($I7378, 'IMPORT VHC Report'!$E:$E, 'IMPORT VHC Report'!$A:$C), )</f>
        <v/>
      </c>
      <c r="C7378" s="44"/>
      <c r="D7378" s="44"/>
      <c r="E7378" s="38"/>
      <c r="F7378" s="38"/>
      <c r="G7378" s="38"/>
      <c r="H7378" s="38"/>
      <c r="I7378" s="38"/>
      <c r="J7378" s="38"/>
      <c r="K7378" s="38"/>
      <c r="L7378" s="41"/>
      <c r="M7378" s="38"/>
      <c r="N7378" s="41"/>
      <c r="O7378" s="38"/>
      <c r="P7378" s="38"/>
      <c r="Q7378" s="39"/>
      <c r="R7378" s="39"/>
      <c r="S7378" s="39"/>
      <c r="T7378" s="39"/>
      <c r="U7378" s="39"/>
    </row>
    <row r="7379">
      <c r="A7379" s="40" t="str">
        <f t="shared" si="1"/>
        <v/>
      </c>
      <c r="B7379" s="37" t="str">
        <f t="array" ref="B7379">iferror(xlookup($I7379, 'IMPORT VHC Report'!$E:$E, 'IMPORT VHC Report'!$A:$C), )</f>
        <v/>
      </c>
      <c r="C7379" s="44"/>
      <c r="D7379" s="44"/>
      <c r="E7379" s="38"/>
      <c r="F7379" s="38"/>
      <c r="G7379" s="38"/>
      <c r="H7379" s="38"/>
      <c r="I7379" s="38"/>
      <c r="J7379" s="38"/>
      <c r="K7379" s="38"/>
      <c r="L7379" s="41"/>
      <c r="M7379" s="38"/>
      <c r="N7379" s="41"/>
      <c r="O7379" s="38"/>
      <c r="P7379" s="38"/>
      <c r="Q7379" s="39"/>
      <c r="R7379" s="39"/>
      <c r="S7379" s="39"/>
      <c r="T7379" s="39"/>
      <c r="U7379" s="39"/>
    </row>
    <row r="7380">
      <c r="A7380" s="40" t="str">
        <f t="shared" si="1"/>
        <v/>
      </c>
      <c r="B7380" s="37" t="str">
        <f t="array" ref="B7380">iferror(xlookup($I7380, 'IMPORT VHC Report'!$E:$E, 'IMPORT VHC Report'!$A:$C), )</f>
        <v/>
      </c>
      <c r="C7380" s="44"/>
      <c r="D7380" s="44"/>
      <c r="E7380" s="38"/>
      <c r="F7380" s="38"/>
      <c r="G7380" s="38"/>
      <c r="H7380" s="38"/>
      <c r="I7380" s="38"/>
      <c r="J7380" s="38"/>
      <c r="K7380" s="38"/>
      <c r="L7380" s="41"/>
      <c r="M7380" s="38"/>
      <c r="N7380" s="41"/>
      <c r="O7380" s="38"/>
      <c r="P7380" s="38"/>
      <c r="Q7380" s="39"/>
      <c r="R7380" s="39"/>
      <c r="S7380" s="39"/>
      <c r="T7380" s="39"/>
      <c r="U7380" s="39"/>
    </row>
    <row r="7381">
      <c r="A7381" s="40" t="str">
        <f t="shared" si="1"/>
        <v/>
      </c>
      <c r="B7381" s="37" t="str">
        <f t="array" ref="B7381">iferror(xlookup($I7381, 'IMPORT VHC Report'!$E:$E, 'IMPORT VHC Report'!$A:$C), )</f>
        <v/>
      </c>
      <c r="C7381" s="44"/>
      <c r="D7381" s="44"/>
      <c r="E7381" s="38"/>
      <c r="F7381" s="38"/>
      <c r="G7381" s="38"/>
      <c r="H7381" s="38"/>
      <c r="I7381" s="38"/>
      <c r="J7381" s="38"/>
      <c r="K7381" s="38"/>
      <c r="L7381" s="41"/>
      <c r="M7381" s="38"/>
      <c r="N7381" s="41"/>
      <c r="O7381" s="38"/>
      <c r="P7381" s="38"/>
      <c r="Q7381" s="39"/>
      <c r="R7381" s="39"/>
      <c r="S7381" s="39"/>
      <c r="T7381" s="39"/>
      <c r="U7381" s="39"/>
    </row>
    <row r="7382">
      <c r="A7382" s="40" t="str">
        <f t="shared" si="1"/>
        <v/>
      </c>
      <c r="B7382" s="37" t="str">
        <f t="array" ref="B7382">iferror(xlookup($I7382, 'IMPORT VHC Report'!$E:$E, 'IMPORT VHC Report'!$A:$C), )</f>
        <v/>
      </c>
      <c r="C7382" s="44"/>
      <c r="D7382" s="44"/>
      <c r="E7382" s="38"/>
      <c r="F7382" s="38"/>
      <c r="G7382" s="38"/>
      <c r="H7382" s="38"/>
      <c r="I7382" s="38"/>
      <c r="J7382" s="38"/>
      <c r="K7382" s="38"/>
      <c r="L7382" s="41"/>
      <c r="M7382" s="38"/>
      <c r="N7382" s="41"/>
      <c r="O7382" s="38"/>
      <c r="P7382" s="38"/>
      <c r="Q7382" s="39"/>
      <c r="R7382" s="39"/>
      <c r="S7382" s="39"/>
      <c r="T7382" s="39"/>
      <c r="U7382" s="39"/>
    </row>
    <row r="7383">
      <c r="A7383" s="40" t="str">
        <f t="shared" si="1"/>
        <v/>
      </c>
      <c r="B7383" s="37" t="str">
        <f t="array" ref="B7383">iferror(xlookup($I7383, 'IMPORT VHC Report'!$E:$E, 'IMPORT VHC Report'!$A:$C), )</f>
        <v/>
      </c>
      <c r="C7383" s="44"/>
      <c r="D7383" s="44"/>
      <c r="E7383" s="38"/>
      <c r="F7383" s="38"/>
      <c r="G7383" s="38"/>
      <c r="H7383" s="38"/>
      <c r="I7383" s="38"/>
      <c r="J7383" s="38"/>
      <c r="K7383" s="38"/>
      <c r="L7383" s="41"/>
      <c r="M7383" s="38"/>
      <c r="N7383" s="41"/>
      <c r="O7383" s="38"/>
      <c r="P7383" s="38"/>
      <c r="Q7383" s="39"/>
      <c r="R7383" s="39"/>
      <c r="S7383" s="39"/>
      <c r="T7383" s="39"/>
      <c r="U7383" s="39"/>
    </row>
    <row r="7384">
      <c r="A7384" s="40" t="str">
        <f t="shared" si="1"/>
        <v/>
      </c>
      <c r="B7384" s="37" t="str">
        <f t="array" ref="B7384">iferror(xlookup($I7384, 'IMPORT VHC Report'!$E:$E, 'IMPORT VHC Report'!$A:$C), )</f>
        <v/>
      </c>
      <c r="C7384" s="44"/>
      <c r="D7384" s="44"/>
      <c r="E7384" s="38"/>
      <c r="F7384" s="38"/>
      <c r="G7384" s="38"/>
      <c r="H7384" s="38"/>
      <c r="I7384" s="38"/>
      <c r="J7384" s="38"/>
      <c r="K7384" s="38"/>
      <c r="L7384" s="41"/>
      <c r="M7384" s="38"/>
      <c r="N7384" s="41"/>
      <c r="O7384" s="38"/>
      <c r="P7384" s="38"/>
      <c r="Q7384" s="39"/>
      <c r="R7384" s="39"/>
      <c r="S7384" s="39"/>
      <c r="T7384" s="39"/>
      <c r="U7384" s="39"/>
    </row>
    <row r="7385">
      <c r="A7385" s="40" t="str">
        <f t="shared" si="1"/>
        <v/>
      </c>
      <c r="B7385" s="37" t="str">
        <f t="array" ref="B7385">iferror(xlookup($I7385, 'IMPORT VHC Report'!$E:$E, 'IMPORT VHC Report'!$A:$C), )</f>
        <v/>
      </c>
      <c r="C7385" s="44"/>
      <c r="D7385" s="44"/>
      <c r="E7385" s="38"/>
      <c r="F7385" s="38"/>
      <c r="G7385" s="38"/>
      <c r="H7385" s="38"/>
      <c r="I7385" s="38"/>
      <c r="J7385" s="38"/>
      <c r="K7385" s="38"/>
      <c r="L7385" s="41"/>
      <c r="M7385" s="38"/>
      <c r="N7385" s="41"/>
      <c r="O7385" s="38"/>
      <c r="P7385" s="38"/>
      <c r="Q7385" s="39"/>
      <c r="R7385" s="39"/>
      <c r="S7385" s="39"/>
      <c r="T7385" s="39"/>
      <c r="U7385" s="39"/>
    </row>
    <row r="7386">
      <c r="A7386" s="40" t="str">
        <f t="shared" si="1"/>
        <v/>
      </c>
      <c r="B7386" s="37" t="str">
        <f t="array" ref="B7386">iferror(xlookup($I7386, 'IMPORT VHC Report'!$E:$E, 'IMPORT VHC Report'!$A:$C), )</f>
        <v/>
      </c>
      <c r="C7386" s="44"/>
      <c r="D7386" s="44"/>
      <c r="E7386" s="38"/>
      <c r="F7386" s="38"/>
      <c r="G7386" s="38"/>
      <c r="H7386" s="38"/>
      <c r="I7386" s="38"/>
      <c r="J7386" s="38"/>
      <c r="K7386" s="38"/>
      <c r="L7386" s="41"/>
      <c r="M7386" s="38"/>
      <c r="N7386" s="41"/>
      <c r="O7386" s="38"/>
      <c r="P7386" s="38"/>
      <c r="Q7386" s="39"/>
      <c r="R7386" s="39"/>
      <c r="S7386" s="39"/>
      <c r="T7386" s="39"/>
      <c r="U7386" s="39"/>
    </row>
    <row r="7387">
      <c r="A7387" s="40">
        <f t="shared" si="1"/>
        <v>46006</v>
      </c>
      <c r="B7387" s="37" t="str">
        <f t="array" ref="B7387">iferror(xlookup($I7387, 'IMPORT VHC Report'!$E:$E, 'IMPORT VHC Report'!$A:$C), )</f>
        <v/>
      </c>
      <c r="C7387" s="44"/>
      <c r="D7387" s="44"/>
      <c r="E7387" s="38" t="s">
        <v>1184</v>
      </c>
      <c r="F7387" s="38" t="s">
        <v>1132</v>
      </c>
      <c r="G7387" s="38">
        <v>3.61964324516E11</v>
      </c>
      <c r="H7387" s="38" t="s">
        <v>1133</v>
      </c>
      <c r="I7387" s="38" t="s">
        <v>1134</v>
      </c>
      <c r="J7387" s="38" t="s">
        <v>178</v>
      </c>
      <c r="K7387" s="38" t="s">
        <v>153</v>
      </c>
      <c r="L7387" s="41">
        <v>46012.833333333336</v>
      </c>
      <c r="M7387" s="38" t="s">
        <v>123</v>
      </c>
      <c r="N7387" s="41">
        <v>46013.208333333336</v>
      </c>
      <c r="O7387" s="38" t="s">
        <v>123</v>
      </c>
      <c r="P7387" s="38">
        <v>32400.0</v>
      </c>
      <c r="Q7387" s="38">
        <v>28800.0</v>
      </c>
      <c r="R7387" s="38" t="s">
        <v>1185</v>
      </c>
      <c r="S7387" s="39"/>
      <c r="T7387" s="39"/>
      <c r="U7387" s="39"/>
    </row>
    <row r="7388">
      <c r="A7388" s="40" t="str">
        <f t="shared" si="1"/>
        <v/>
      </c>
      <c r="B7388" s="37" t="str">
        <f t="array" ref="B7388">iferror(xlookup($I7388, 'IMPORT VHC Report'!$E:$E, 'IMPORT VHC Report'!$A:$C), )</f>
        <v/>
      </c>
      <c r="C7388" s="44"/>
      <c r="D7388" s="44"/>
      <c r="E7388" s="38"/>
      <c r="F7388" s="38"/>
      <c r="G7388" s="38"/>
      <c r="H7388" s="38"/>
      <c r="I7388" s="38"/>
      <c r="J7388" s="38"/>
      <c r="K7388" s="38"/>
      <c r="L7388" s="41"/>
      <c r="M7388" s="38"/>
      <c r="N7388" s="41"/>
      <c r="O7388" s="38"/>
      <c r="P7388" s="38"/>
      <c r="Q7388" s="39"/>
      <c r="R7388" s="39"/>
      <c r="S7388" s="39"/>
      <c r="T7388" s="39"/>
      <c r="U7388" s="39"/>
    </row>
    <row r="7389">
      <c r="A7389" s="40" t="str">
        <f t="shared" si="1"/>
        <v/>
      </c>
      <c r="B7389" s="37" t="str">
        <f t="array" ref="B7389">iferror(xlookup($I7389, 'IMPORT VHC Report'!$E:$E, 'IMPORT VHC Report'!$A:$C), )</f>
        <v/>
      </c>
      <c r="C7389" s="44"/>
      <c r="D7389" s="44"/>
      <c r="E7389" s="38"/>
      <c r="F7389" s="38"/>
      <c r="G7389" s="38"/>
      <c r="H7389" s="38"/>
      <c r="I7389" s="38"/>
      <c r="J7389" s="38"/>
      <c r="K7389" s="38"/>
      <c r="L7389" s="41"/>
      <c r="M7389" s="38"/>
      <c r="N7389" s="41"/>
      <c r="O7389" s="38"/>
      <c r="P7389" s="38"/>
      <c r="Q7389" s="39"/>
      <c r="R7389" s="39"/>
      <c r="S7389" s="39"/>
      <c r="T7389" s="39"/>
      <c r="U7389" s="39"/>
    </row>
    <row r="7390">
      <c r="A7390" s="40" t="str">
        <f t="shared" si="1"/>
        <v/>
      </c>
      <c r="B7390" s="37" t="str">
        <f t="array" ref="B7390">iferror(xlookup($I7390, 'IMPORT VHC Report'!$E:$E, 'IMPORT VHC Report'!$A:$C), )</f>
        <v/>
      </c>
      <c r="C7390" s="44"/>
      <c r="D7390" s="44"/>
      <c r="E7390" s="38"/>
      <c r="F7390" s="38"/>
      <c r="G7390" s="38"/>
      <c r="H7390" s="38"/>
      <c r="I7390" s="38"/>
      <c r="J7390" s="38"/>
      <c r="K7390" s="38"/>
      <c r="L7390" s="41"/>
      <c r="M7390" s="38"/>
      <c r="N7390" s="41"/>
      <c r="O7390" s="38"/>
      <c r="P7390" s="38"/>
      <c r="Q7390" s="39"/>
      <c r="R7390" s="39"/>
      <c r="S7390" s="39"/>
      <c r="T7390" s="39"/>
      <c r="U7390" s="39"/>
    </row>
    <row r="7391">
      <c r="A7391" s="40" t="str">
        <f t="shared" si="1"/>
        <v/>
      </c>
      <c r="B7391" s="37" t="str">
        <f t="array" ref="B7391">iferror(xlookup($I7391, 'IMPORT VHC Report'!$E:$E, 'IMPORT VHC Report'!$A:$C), )</f>
        <v/>
      </c>
      <c r="C7391" s="44"/>
      <c r="D7391" s="44"/>
      <c r="E7391" s="38"/>
      <c r="F7391" s="38"/>
      <c r="G7391" s="38"/>
      <c r="H7391" s="38"/>
      <c r="I7391" s="38"/>
      <c r="J7391" s="38"/>
      <c r="K7391" s="38"/>
      <c r="L7391" s="41"/>
      <c r="M7391" s="38"/>
      <c r="N7391" s="41"/>
      <c r="O7391" s="38"/>
      <c r="P7391" s="38"/>
      <c r="Q7391" s="39"/>
      <c r="R7391" s="39"/>
      <c r="S7391" s="38"/>
      <c r="T7391" s="39"/>
      <c r="U7391" s="39"/>
    </row>
    <row r="7392">
      <c r="A7392" s="40" t="str">
        <f t="shared" si="1"/>
        <v/>
      </c>
      <c r="B7392" s="37" t="str">
        <f t="array" ref="B7392">iferror(xlookup($I7392, 'IMPORT VHC Report'!$E:$E, 'IMPORT VHC Report'!$A:$C), )</f>
        <v/>
      </c>
      <c r="C7392" s="44"/>
      <c r="D7392" s="44"/>
      <c r="E7392" s="38"/>
      <c r="F7392" s="38"/>
      <c r="G7392" s="38"/>
      <c r="H7392" s="38"/>
      <c r="I7392" s="38"/>
      <c r="J7392" s="38"/>
      <c r="K7392" s="38"/>
      <c r="L7392" s="41"/>
      <c r="M7392" s="38"/>
      <c r="N7392" s="41"/>
      <c r="O7392" s="38"/>
      <c r="P7392" s="38"/>
      <c r="Q7392" s="39"/>
      <c r="R7392" s="39"/>
      <c r="S7392" s="39"/>
      <c r="T7392" s="39"/>
      <c r="U7392" s="39"/>
    </row>
    <row r="7393">
      <c r="A7393" s="40" t="str">
        <f t="shared" si="1"/>
        <v/>
      </c>
      <c r="B7393" s="37" t="str">
        <f t="array" ref="B7393">iferror(xlookup($I7393, 'IMPORT VHC Report'!$E:$E, 'IMPORT VHC Report'!$A:$C), )</f>
        <v/>
      </c>
      <c r="C7393" s="44"/>
      <c r="D7393" s="44"/>
      <c r="E7393" s="38"/>
      <c r="F7393" s="38"/>
      <c r="G7393" s="38"/>
      <c r="H7393" s="38"/>
      <c r="I7393" s="38"/>
      <c r="J7393" s="38"/>
      <c r="K7393" s="38"/>
      <c r="L7393" s="41"/>
      <c r="M7393" s="38"/>
      <c r="N7393" s="41"/>
      <c r="O7393" s="38"/>
      <c r="P7393" s="38"/>
      <c r="Q7393" s="39"/>
      <c r="R7393" s="39"/>
      <c r="S7393" s="39"/>
      <c r="T7393" s="39"/>
      <c r="U7393" s="39"/>
    </row>
    <row r="7394">
      <c r="A7394" s="40" t="str">
        <f t="shared" si="1"/>
        <v/>
      </c>
      <c r="B7394" s="37" t="str">
        <f t="array" ref="B7394">iferror(xlookup($I7394, 'IMPORT VHC Report'!$E:$E, 'IMPORT VHC Report'!$A:$C), )</f>
        <v/>
      </c>
      <c r="C7394" s="44"/>
      <c r="D7394" s="44"/>
      <c r="E7394" s="38"/>
      <c r="F7394" s="38"/>
      <c r="G7394" s="38"/>
      <c r="H7394" s="38"/>
      <c r="I7394" s="38"/>
      <c r="J7394" s="38"/>
      <c r="K7394" s="38"/>
      <c r="L7394" s="41"/>
      <c r="M7394" s="38"/>
      <c r="N7394" s="41"/>
      <c r="O7394" s="38"/>
      <c r="P7394" s="38"/>
      <c r="Q7394" s="39"/>
      <c r="R7394" s="39"/>
      <c r="S7394" s="39"/>
      <c r="T7394" s="39"/>
      <c r="U7394" s="39"/>
    </row>
    <row r="7395">
      <c r="A7395" s="40" t="str">
        <f t="shared" si="1"/>
        <v/>
      </c>
      <c r="B7395" s="37" t="str">
        <f t="array" ref="B7395">iferror(xlookup($I7395, 'IMPORT VHC Report'!$E:$E, 'IMPORT VHC Report'!$A:$C), )</f>
        <v/>
      </c>
      <c r="C7395" s="44"/>
      <c r="D7395" s="44"/>
      <c r="E7395" s="38"/>
      <c r="F7395" s="38"/>
      <c r="G7395" s="38"/>
      <c r="H7395" s="38"/>
      <c r="I7395" s="38"/>
      <c r="J7395" s="38"/>
      <c r="K7395" s="38"/>
      <c r="L7395" s="41"/>
      <c r="M7395" s="38"/>
      <c r="N7395" s="41"/>
      <c r="O7395" s="38"/>
      <c r="P7395" s="38"/>
      <c r="Q7395" s="39"/>
      <c r="R7395" s="39"/>
      <c r="S7395" s="39"/>
      <c r="T7395" s="39"/>
      <c r="U7395" s="39"/>
    </row>
    <row r="7396">
      <c r="A7396" s="40" t="str">
        <f t="shared" si="1"/>
        <v/>
      </c>
      <c r="B7396" s="37" t="str">
        <f t="array" ref="B7396">iferror(xlookup($I7396, 'IMPORT VHC Report'!$E:$E, 'IMPORT VHC Report'!$A:$C), )</f>
        <v/>
      </c>
      <c r="C7396" s="44"/>
      <c r="D7396" s="44"/>
      <c r="E7396" s="38"/>
      <c r="F7396" s="38"/>
      <c r="G7396" s="38"/>
      <c r="H7396" s="38"/>
      <c r="I7396" s="38"/>
      <c r="J7396" s="38"/>
      <c r="K7396" s="38"/>
      <c r="L7396" s="41"/>
      <c r="M7396" s="38"/>
      <c r="N7396" s="41"/>
      <c r="O7396" s="38"/>
      <c r="P7396" s="38"/>
      <c r="Q7396" s="39"/>
      <c r="R7396" s="39"/>
      <c r="S7396" s="39"/>
      <c r="T7396" s="39"/>
      <c r="U7396" s="39"/>
    </row>
    <row r="7397">
      <c r="A7397" s="40" t="str">
        <f t="shared" si="1"/>
        <v/>
      </c>
      <c r="B7397" s="37" t="str">
        <f t="array" ref="B7397">iferror(xlookup($I7397, 'IMPORT VHC Report'!$E:$E, 'IMPORT VHC Report'!$A:$C), )</f>
        <v/>
      </c>
      <c r="C7397" s="44"/>
      <c r="D7397" s="44"/>
      <c r="E7397" s="38"/>
      <c r="F7397" s="38"/>
      <c r="G7397" s="38"/>
      <c r="H7397" s="38"/>
      <c r="I7397" s="38"/>
      <c r="J7397" s="38"/>
      <c r="K7397" s="38"/>
      <c r="L7397" s="41"/>
      <c r="M7397" s="38"/>
      <c r="N7397" s="41"/>
      <c r="O7397" s="38"/>
      <c r="P7397" s="38"/>
      <c r="Q7397" s="39"/>
      <c r="R7397" s="39"/>
      <c r="S7397" s="39"/>
      <c r="T7397" s="39"/>
      <c r="U7397" s="39"/>
    </row>
    <row r="7398">
      <c r="A7398" s="40" t="str">
        <f t="shared" si="1"/>
        <v/>
      </c>
      <c r="B7398" s="37" t="str">
        <f t="array" ref="B7398">iferror(xlookup($I7398, 'IMPORT VHC Report'!$E:$E, 'IMPORT VHC Report'!$A:$C), )</f>
        <v/>
      </c>
      <c r="C7398" s="44"/>
      <c r="D7398" s="44"/>
      <c r="E7398" s="38"/>
      <c r="F7398" s="38"/>
      <c r="G7398" s="38"/>
      <c r="H7398" s="38"/>
      <c r="I7398" s="38"/>
      <c r="J7398" s="38"/>
      <c r="K7398" s="38"/>
      <c r="L7398" s="41"/>
      <c r="M7398" s="38"/>
      <c r="N7398" s="41"/>
      <c r="O7398" s="38"/>
      <c r="P7398" s="38"/>
      <c r="Q7398" s="39"/>
      <c r="R7398" s="39"/>
      <c r="S7398" s="39"/>
      <c r="T7398" s="39"/>
      <c r="U7398" s="39"/>
    </row>
    <row r="7399">
      <c r="A7399" s="40" t="str">
        <f t="shared" si="1"/>
        <v/>
      </c>
      <c r="B7399" s="37" t="str">
        <f t="array" ref="B7399">iferror(xlookup($I7399, 'IMPORT VHC Report'!$E:$E, 'IMPORT VHC Report'!$A:$C), )</f>
        <v/>
      </c>
      <c r="C7399" s="44"/>
      <c r="D7399" s="44"/>
      <c r="E7399" s="38"/>
      <c r="F7399" s="38"/>
      <c r="G7399" s="38"/>
      <c r="H7399" s="38"/>
      <c r="I7399" s="38"/>
      <c r="J7399" s="38"/>
      <c r="K7399" s="38"/>
      <c r="L7399" s="41"/>
      <c r="M7399" s="38"/>
      <c r="N7399" s="41"/>
      <c r="O7399" s="38"/>
      <c r="P7399" s="38"/>
      <c r="Q7399" s="39"/>
      <c r="R7399" s="39"/>
      <c r="S7399" s="39"/>
      <c r="T7399" s="39"/>
      <c r="U7399" s="39"/>
    </row>
    <row r="7400">
      <c r="A7400" s="40" t="str">
        <f t="shared" si="1"/>
        <v/>
      </c>
      <c r="B7400" s="37" t="str">
        <f t="array" ref="B7400">iferror(xlookup($I7400, 'IMPORT VHC Report'!$E:$E, 'IMPORT VHC Report'!$A:$C), )</f>
        <v/>
      </c>
      <c r="C7400" s="44"/>
      <c r="D7400" s="44"/>
      <c r="E7400" s="38"/>
      <c r="F7400" s="38"/>
      <c r="G7400" s="38"/>
      <c r="H7400" s="38"/>
      <c r="I7400" s="38"/>
      <c r="J7400" s="38"/>
      <c r="K7400" s="38"/>
      <c r="L7400" s="41"/>
      <c r="M7400" s="38"/>
      <c r="N7400" s="41"/>
      <c r="O7400" s="38"/>
      <c r="P7400" s="38"/>
      <c r="Q7400" s="39"/>
      <c r="R7400" s="39"/>
      <c r="S7400" s="39"/>
      <c r="T7400" s="39"/>
      <c r="U7400" s="39"/>
    </row>
    <row r="7401">
      <c r="A7401" s="40" t="str">
        <f t="shared" si="1"/>
        <v/>
      </c>
      <c r="B7401" s="37" t="str">
        <f t="array" ref="B7401">iferror(xlookup($I7401, 'IMPORT VHC Report'!$E:$E, 'IMPORT VHC Report'!$A:$C), )</f>
        <v/>
      </c>
      <c r="C7401" s="44"/>
      <c r="D7401" s="44"/>
      <c r="E7401" s="38"/>
      <c r="F7401" s="38"/>
      <c r="G7401" s="38"/>
      <c r="H7401" s="38"/>
      <c r="I7401" s="38"/>
      <c r="J7401" s="38"/>
      <c r="K7401" s="38"/>
      <c r="L7401" s="41"/>
      <c r="M7401" s="38"/>
      <c r="N7401" s="41"/>
      <c r="O7401" s="38"/>
      <c r="P7401" s="38"/>
      <c r="Q7401" s="39"/>
      <c r="R7401" s="39"/>
      <c r="S7401" s="39"/>
      <c r="T7401" s="39"/>
      <c r="U7401" s="39"/>
    </row>
    <row r="7402">
      <c r="A7402" s="40" t="str">
        <f t="shared" si="1"/>
        <v/>
      </c>
      <c r="B7402" s="37" t="str">
        <f t="array" ref="B7402">iferror(xlookup($I7402, 'IMPORT VHC Report'!$E:$E, 'IMPORT VHC Report'!$A:$C), )</f>
        <v/>
      </c>
      <c r="C7402" s="44"/>
      <c r="D7402" s="44"/>
      <c r="E7402" s="38"/>
      <c r="F7402" s="38"/>
      <c r="G7402" s="38"/>
      <c r="H7402" s="38"/>
      <c r="I7402" s="38"/>
      <c r="J7402" s="38"/>
      <c r="K7402" s="38"/>
      <c r="L7402" s="41"/>
      <c r="M7402" s="38"/>
      <c r="N7402" s="41"/>
      <c r="O7402" s="38"/>
      <c r="P7402" s="38"/>
      <c r="Q7402" s="39"/>
      <c r="R7402" s="39"/>
      <c r="S7402" s="39"/>
      <c r="T7402" s="39"/>
      <c r="U7402" s="39"/>
    </row>
    <row r="7403">
      <c r="A7403" s="40" t="str">
        <f t="shared" si="1"/>
        <v/>
      </c>
      <c r="B7403" s="37" t="str">
        <f t="array" ref="B7403">iferror(xlookup($I7403, 'IMPORT VHC Report'!$E:$E, 'IMPORT VHC Report'!$A:$C), )</f>
        <v/>
      </c>
      <c r="C7403" s="44"/>
      <c r="D7403" s="44"/>
      <c r="E7403" s="38"/>
      <c r="F7403" s="38"/>
      <c r="G7403" s="38"/>
      <c r="H7403" s="38"/>
      <c r="I7403" s="38"/>
      <c r="J7403" s="38"/>
      <c r="K7403" s="38"/>
      <c r="L7403" s="41"/>
      <c r="M7403" s="38"/>
      <c r="N7403" s="41"/>
      <c r="O7403" s="38"/>
      <c r="P7403" s="38"/>
      <c r="Q7403" s="39"/>
      <c r="R7403" s="39"/>
      <c r="S7403" s="39"/>
      <c r="T7403" s="39"/>
      <c r="U7403" s="39"/>
    </row>
    <row r="7404">
      <c r="A7404" s="40" t="str">
        <f t="shared" si="1"/>
        <v/>
      </c>
      <c r="B7404" s="37" t="str">
        <f t="array" ref="B7404">iferror(xlookup($I7404, 'IMPORT VHC Report'!$E:$E, 'IMPORT VHC Report'!$A:$C), )</f>
        <v/>
      </c>
      <c r="C7404" s="44"/>
      <c r="D7404" s="44"/>
      <c r="E7404" s="38"/>
      <c r="F7404" s="38"/>
      <c r="G7404" s="38"/>
      <c r="H7404" s="38"/>
      <c r="I7404" s="38"/>
      <c r="J7404" s="38"/>
      <c r="K7404" s="38"/>
      <c r="L7404" s="41"/>
      <c r="M7404" s="38"/>
      <c r="N7404" s="41"/>
      <c r="O7404" s="38"/>
      <c r="P7404" s="38"/>
      <c r="Q7404" s="39"/>
      <c r="R7404" s="39"/>
      <c r="S7404" s="39"/>
      <c r="T7404" s="39"/>
      <c r="U7404" s="39"/>
    </row>
    <row r="7405">
      <c r="A7405" s="40" t="str">
        <f t="shared" si="1"/>
        <v/>
      </c>
      <c r="B7405" s="37" t="str">
        <f t="array" ref="B7405">iferror(xlookup($I7405, 'IMPORT VHC Report'!$E:$E, 'IMPORT VHC Report'!$A:$C), )</f>
        <v/>
      </c>
      <c r="C7405" s="44"/>
      <c r="D7405" s="44"/>
      <c r="E7405" s="38"/>
      <c r="F7405" s="38"/>
      <c r="G7405" s="38"/>
      <c r="H7405" s="38"/>
      <c r="I7405" s="38"/>
      <c r="J7405" s="38"/>
      <c r="K7405" s="38"/>
      <c r="L7405" s="41"/>
      <c r="M7405" s="38"/>
      <c r="N7405" s="41"/>
      <c r="O7405" s="38"/>
      <c r="P7405" s="38"/>
      <c r="Q7405" s="39"/>
      <c r="R7405" s="39"/>
      <c r="S7405" s="39"/>
      <c r="T7405" s="39"/>
      <c r="U7405" s="39"/>
    </row>
    <row r="7406">
      <c r="A7406" s="40" t="str">
        <f t="shared" si="1"/>
        <v/>
      </c>
      <c r="B7406" s="37" t="str">
        <f t="array" ref="B7406">iferror(xlookup($I7406, 'IMPORT VHC Report'!$E:$E, 'IMPORT VHC Report'!$A:$C), )</f>
        <v/>
      </c>
      <c r="C7406" s="44"/>
      <c r="D7406" s="44"/>
      <c r="E7406" s="38"/>
      <c r="F7406" s="38"/>
      <c r="G7406" s="38"/>
      <c r="H7406" s="38"/>
      <c r="I7406" s="38"/>
      <c r="J7406" s="38"/>
      <c r="K7406" s="38"/>
      <c r="L7406" s="41"/>
      <c r="M7406" s="38"/>
      <c r="N7406" s="41"/>
      <c r="O7406" s="38"/>
      <c r="P7406" s="38"/>
      <c r="Q7406" s="39"/>
      <c r="R7406" s="39"/>
      <c r="S7406" s="39"/>
      <c r="T7406" s="39"/>
      <c r="U7406" s="39"/>
    </row>
    <row r="7407">
      <c r="A7407" s="40" t="str">
        <f t="shared" si="1"/>
        <v/>
      </c>
      <c r="B7407" s="37" t="str">
        <f t="array" ref="B7407">iferror(xlookup($I7407, 'IMPORT VHC Report'!$E:$E, 'IMPORT VHC Report'!$A:$C), )</f>
        <v/>
      </c>
      <c r="C7407" s="44"/>
      <c r="D7407" s="44"/>
      <c r="E7407" s="38"/>
      <c r="F7407" s="38"/>
      <c r="G7407" s="38"/>
      <c r="H7407" s="38"/>
      <c r="I7407" s="38"/>
      <c r="J7407" s="38"/>
      <c r="K7407" s="38"/>
      <c r="L7407" s="41"/>
      <c r="M7407" s="38"/>
      <c r="N7407" s="41"/>
      <c r="O7407" s="38"/>
      <c r="P7407" s="38"/>
      <c r="Q7407" s="39"/>
      <c r="R7407" s="39"/>
      <c r="S7407" s="39"/>
      <c r="T7407" s="39"/>
      <c r="U7407" s="39"/>
    </row>
    <row r="7408">
      <c r="A7408" s="40" t="str">
        <f t="shared" si="1"/>
        <v/>
      </c>
      <c r="B7408" s="37" t="str">
        <f t="array" ref="B7408">iferror(xlookup($I7408, 'IMPORT VHC Report'!$E:$E, 'IMPORT VHC Report'!$A:$C), )</f>
        <v/>
      </c>
      <c r="C7408" s="44"/>
      <c r="D7408" s="44"/>
      <c r="E7408" s="38"/>
      <c r="F7408" s="38"/>
      <c r="G7408" s="38"/>
      <c r="H7408" s="38"/>
      <c r="I7408" s="38"/>
      <c r="J7408" s="38"/>
      <c r="K7408" s="38"/>
      <c r="L7408" s="41"/>
      <c r="M7408" s="38"/>
      <c r="N7408" s="41"/>
      <c r="O7408" s="38"/>
      <c r="P7408" s="38"/>
      <c r="Q7408" s="39"/>
      <c r="R7408" s="39"/>
      <c r="S7408" s="39"/>
      <c r="T7408" s="39"/>
      <c r="U7408" s="39"/>
    </row>
    <row r="7409">
      <c r="A7409" s="40" t="str">
        <f t="shared" si="1"/>
        <v/>
      </c>
      <c r="B7409" s="37" t="str">
        <f t="array" ref="B7409">iferror(xlookup($I7409, 'IMPORT VHC Report'!$E:$E, 'IMPORT VHC Report'!$A:$C), )</f>
        <v/>
      </c>
      <c r="C7409" s="44"/>
      <c r="D7409" s="44"/>
      <c r="E7409" s="38"/>
      <c r="F7409" s="38"/>
      <c r="G7409" s="38"/>
      <c r="H7409" s="38"/>
      <c r="I7409" s="38"/>
      <c r="J7409" s="38"/>
      <c r="K7409" s="38"/>
      <c r="L7409" s="41"/>
      <c r="M7409" s="38"/>
      <c r="N7409" s="41"/>
      <c r="O7409" s="38"/>
      <c r="P7409" s="38"/>
      <c r="Q7409" s="39"/>
      <c r="R7409" s="39"/>
      <c r="S7409" s="39"/>
      <c r="T7409" s="39"/>
      <c r="U7409" s="39"/>
    </row>
    <row r="7410">
      <c r="A7410" s="40" t="str">
        <f t="shared" si="1"/>
        <v/>
      </c>
      <c r="B7410" s="37" t="str">
        <f t="array" ref="B7410">iferror(xlookup($I7410, 'IMPORT VHC Report'!$E:$E, 'IMPORT VHC Report'!$A:$C), )</f>
        <v/>
      </c>
      <c r="C7410" s="44"/>
      <c r="D7410" s="44"/>
      <c r="E7410" s="38"/>
      <c r="F7410" s="38"/>
      <c r="G7410" s="38"/>
      <c r="H7410" s="38"/>
      <c r="I7410" s="38"/>
      <c r="J7410" s="38"/>
      <c r="K7410" s="38"/>
      <c r="L7410" s="41"/>
      <c r="M7410" s="38"/>
      <c r="N7410" s="41"/>
      <c r="O7410" s="38"/>
      <c r="P7410" s="38"/>
      <c r="Q7410" s="39"/>
      <c r="R7410" s="39"/>
      <c r="S7410" s="39"/>
      <c r="T7410" s="39"/>
      <c r="U7410" s="39"/>
    </row>
    <row r="7411">
      <c r="A7411" s="40" t="str">
        <f t="shared" si="1"/>
        <v/>
      </c>
      <c r="B7411" s="37" t="str">
        <f t="array" ref="B7411">iferror(xlookup($I7411, 'IMPORT VHC Report'!$E:$E, 'IMPORT VHC Report'!$A:$C), )</f>
        <v/>
      </c>
      <c r="C7411" s="44"/>
      <c r="D7411" s="44"/>
      <c r="E7411" s="38"/>
      <c r="F7411" s="38"/>
      <c r="G7411" s="38"/>
      <c r="H7411" s="38"/>
      <c r="I7411" s="38"/>
      <c r="J7411" s="38"/>
      <c r="K7411" s="38"/>
      <c r="L7411" s="41"/>
      <c r="M7411" s="38"/>
      <c r="N7411" s="41"/>
      <c r="O7411" s="38"/>
      <c r="P7411" s="38"/>
      <c r="Q7411" s="38"/>
      <c r="R7411" s="39"/>
      <c r="S7411" s="39"/>
      <c r="T7411" s="39"/>
      <c r="U7411" s="39"/>
    </row>
    <row r="7412">
      <c r="A7412" s="40" t="str">
        <f t="shared" si="1"/>
        <v/>
      </c>
      <c r="B7412" s="37" t="str">
        <f t="array" ref="B7412">iferror(xlookup($I7412, 'IMPORT VHC Report'!$E:$E, 'IMPORT VHC Report'!$A:$C), )</f>
        <v/>
      </c>
      <c r="C7412" s="44"/>
      <c r="D7412" s="44"/>
      <c r="E7412" s="38"/>
      <c r="F7412" s="38"/>
      <c r="G7412" s="38"/>
      <c r="H7412" s="38"/>
      <c r="I7412" s="38"/>
      <c r="J7412" s="38"/>
      <c r="K7412" s="38"/>
      <c r="L7412" s="41"/>
      <c r="M7412" s="38"/>
      <c r="N7412" s="41"/>
      <c r="O7412" s="38"/>
      <c r="P7412" s="38"/>
      <c r="Q7412" s="39"/>
      <c r="R7412" s="39"/>
      <c r="S7412" s="39"/>
      <c r="T7412" s="39"/>
      <c r="U7412" s="39"/>
    </row>
    <row r="7413">
      <c r="A7413" s="40" t="str">
        <f t="shared" si="1"/>
        <v/>
      </c>
      <c r="B7413" s="37" t="str">
        <f t="array" ref="B7413">iferror(xlookup($I7413, 'IMPORT VHC Report'!$E:$E, 'IMPORT VHC Report'!$A:$C), )</f>
        <v/>
      </c>
      <c r="C7413" s="44"/>
      <c r="D7413" s="44"/>
      <c r="E7413" s="38"/>
      <c r="F7413" s="38"/>
      <c r="G7413" s="38"/>
      <c r="H7413" s="38"/>
      <c r="I7413" s="38"/>
      <c r="J7413" s="38"/>
      <c r="K7413" s="38"/>
      <c r="L7413" s="41"/>
      <c r="M7413" s="38"/>
      <c r="N7413" s="41"/>
      <c r="O7413" s="38"/>
      <c r="P7413" s="38"/>
      <c r="Q7413" s="39"/>
      <c r="R7413" s="39"/>
      <c r="S7413" s="39"/>
      <c r="T7413" s="39"/>
      <c r="U7413" s="39"/>
    </row>
    <row r="7414">
      <c r="A7414" s="40" t="str">
        <f t="shared" si="1"/>
        <v/>
      </c>
      <c r="B7414" s="37" t="str">
        <f t="array" ref="B7414">iferror(xlookup($I7414, 'IMPORT VHC Report'!$E:$E, 'IMPORT VHC Report'!$A:$C), )</f>
        <v/>
      </c>
      <c r="C7414" s="44"/>
      <c r="D7414" s="44"/>
      <c r="E7414" s="38"/>
      <c r="F7414" s="38"/>
      <c r="G7414" s="38"/>
      <c r="H7414" s="38"/>
      <c r="I7414" s="38"/>
      <c r="J7414" s="38"/>
      <c r="K7414" s="38"/>
      <c r="L7414" s="41"/>
      <c r="M7414" s="38"/>
      <c r="N7414" s="41"/>
      <c r="O7414" s="38"/>
      <c r="P7414" s="38"/>
      <c r="Q7414" s="39"/>
      <c r="R7414" s="39"/>
      <c r="S7414" s="39"/>
      <c r="T7414" s="39"/>
      <c r="U7414" s="39"/>
    </row>
    <row r="7415">
      <c r="A7415" s="40" t="str">
        <f t="shared" si="1"/>
        <v/>
      </c>
      <c r="B7415" s="37" t="str">
        <f t="array" ref="B7415">iferror(xlookup($I7415, 'IMPORT VHC Report'!$E:$E, 'IMPORT VHC Report'!$A:$C), )</f>
        <v/>
      </c>
      <c r="C7415" s="44"/>
      <c r="D7415" s="44"/>
      <c r="E7415" s="38"/>
      <c r="F7415" s="38"/>
      <c r="G7415" s="38"/>
      <c r="H7415" s="38"/>
      <c r="I7415" s="38"/>
      <c r="J7415" s="38"/>
      <c r="K7415" s="38"/>
      <c r="L7415" s="41"/>
      <c r="M7415" s="38"/>
      <c r="N7415" s="41"/>
      <c r="O7415" s="38"/>
      <c r="P7415" s="38"/>
      <c r="Q7415" s="38"/>
      <c r="R7415" s="39"/>
      <c r="S7415" s="39"/>
      <c r="T7415" s="39"/>
      <c r="U7415" s="39"/>
    </row>
    <row r="7416">
      <c r="A7416" s="40" t="str">
        <f t="shared" si="1"/>
        <v/>
      </c>
      <c r="B7416" s="37" t="str">
        <f t="array" ref="B7416">iferror(xlookup($I7416, 'IMPORT VHC Report'!$E:$E, 'IMPORT VHC Report'!$A:$C), )</f>
        <v/>
      </c>
      <c r="C7416" s="44"/>
      <c r="D7416" s="44"/>
      <c r="E7416" s="38"/>
      <c r="F7416" s="38"/>
      <c r="G7416" s="38"/>
      <c r="H7416" s="38"/>
      <c r="I7416" s="38"/>
      <c r="J7416" s="38"/>
      <c r="K7416" s="38"/>
      <c r="L7416" s="41"/>
      <c r="M7416" s="38"/>
      <c r="N7416" s="41"/>
      <c r="O7416" s="38"/>
      <c r="P7416" s="38"/>
      <c r="Q7416" s="39"/>
      <c r="R7416" s="39"/>
      <c r="S7416" s="39"/>
      <c r="T7416" s="39"/>
      <c r="U7416" s="39"/>
    </row>
    <row r="7417">
      <c r="A7417" s="40" t="str">
        <f t="shared" si="1"/>
        <v/>
      </c>
      <c r="B7417" s="37" t="str">
        <f t="array" ref="B7417">iferror(xlookup($I7417, 'IMPORT VHC Report'!$E:$E, 'IMPORT VHC Report'!$A:$C), )</f>
        <v/>
      </c>
      <c r="C7417" s="44"/>
      <c r="D7417" s="44"/>
      <c r="E7417" s="38"/>
      <c r="F7417" s="38"/>
      <c r="G7417" s="38"/>
      <c r="H7417" s="38"/>
      <c r="I7417" s="38"/>
      <c r="J7417" s="38"/>
      <c r="K7417" s="38"/>
      <c r="L7417" s="41"/>
      <c r="M7417" s="38"/>
      <c r="N7417" s="41"/>
      <c r="O7417" s="38"/>
      <c r="P7417" s="38"/>
      <c r="Q7417" s="39"/>
      <c r="R7417" s="39"/>
      <c r="S7417" s="39"/>
      <c r="T7417" s="39"/>
      <c r="U7417" s="39"/>
    </row>
    <row r="7418">
      <c r="A7418" s="40" t="str">
        <f t="shared" si="1"/>
        <v/>
      </c>
      <c r="B7418" s="37" t="str">
        <f t="array" ref="B7418">iferror(xlookup($I7418, 'IMPORT VHC Report'!$E:$E, 'IMPORT VHC Report'!$A:$C), )</f>
        <v/>
      </c>
      <c r="C7418" s="44"/>
      <c r="D7418" s="44"/>
      <c r="E7418" s="38"/>
      <c r="F7418" s="38"/>
      <c r="G7418" s="38"/>
      <c r="H7418" s="38"/>
      <c r="I7418" s="38"/>
      <c r="J7418" s="38"/>
      <c r="K7418" s="38"/>
      <c r="L7418" s="41"/>
      <c r="M7418" s="38"/>
      <c r="N7418" s="41"/>
      <c r="O7418" s="38"/>
      <c r="P7418" s="38"/>
      <c r="Q7418" s="39"/>
      <c r="R7418" s="39"/>
      <c r="S7418" s="39"/>
      <c r="T7418" s="39"/>
      <c r="U7418" s="39"/>
    </row>
    <row r="7419">
      <c r="A7419" s="40" t="str">
        <f t="shared" si="1"/>
        <v/>
      </c>
      <c r="B7419" s="37" t="str">
        <f t="array" ref="B7419">iferror(xlookup($I7419, 'IMPORT VHC Report'!$E:$E, 'IMPORT VHC Report'!$A:$C), )</f>
        <v/>
      </c>
      <c r="C7419" s="44"/>
      <c r="D7419" s="44"/>
      <c r="E7419" s="38"/>
      <c r="F7419" s="38"/>
      <c r="G7419" s="38"/>
      <c r="H7419" s="38"/>
      <c r="I7419" s="38"/>
      <c r="J7419" s="38"/>
      <c r="K7419" s="38"/>
      <c r="L7419" s="41"/>
      <c r="M7419" s="38"/>
      <c r="N7419" s="41"/>
      <c r="O7419" s="38"/>
      <c r="P7419" s="38"/>
      <c r="Q7419" s="39"/>
      <c r="R7419" s="39"/>
      <c r="S7419" s="39"/>
      <c r="T7419" s="39"/>
      <c r="U7419" s="39"/>
    </row>
    <row r="7420">
      <c r="A7420" s="40" t="str">
        <f t="shared" si="1"/>
        <v/>
      </c>
      <c r="B7420" s="37" t="str">
        <f t="array" ref="B7420">iferror(xlookup($I7420, 'IMPORT VHC Report'!$E:$E, 'IMPORT VHC Report'!$A:$C), )</f>
        <v/>
      </c>
      <c r="C7420" s="44"/>
      <c r="D7420" s="44"/>
      <c r="E7420" s="38"/>
      <c r="F7420" s="38"/>
      <c r="G7420" s="38"/>
      <c r="H7420" s="38"/>
      <c r="I7420" s="38"/>
      <c r="J7420" s="38"/>
      <c r="K7420" s="38"/>
      <c r="L7420" s="41"/>
      <c r="M7420" s="38"/>
      <c r="N7420" s="41"/>
      <c r="O7420" s="38"/>
      <c r="P7420" s="38"/>
      <c r="Q7420" s="39"/>
      <c r="R7420" s="39"/>
      <c r="S7420" s="39"/>
      <c r="T7420" s="39"/>
      <c r="U7420" s="39"/>
    </row>
    <row r="7421">
      <c r="A7421" s="40" t="str">
        <f t="shared" si="1"/>
        <v/>
      </c>
      <c r="B7421" s="37" t="str">
        <f t="array" ref="B7421">iferror(xlookup($I7421, 'IMPORT VHC Report'!$E:$E, 'IMPORT VHC Report'!$A:$C), )</f>
        <v/>
      </c>
      <c r="C7421" s="44"/>
      <c r="D7421" s="44"/>
      <c r="E7421" s="38"/>
      <c r="F7421" s="38"/>
      <c r="G7421" s="38"/>
      <c r="H7421" s="38"/>
      <c r="I7421" s="38"/>
      <c r="J7421" s="38"/>
      <c r="K7421" s="38"/>
      <c r="L7421" s="41"/>
      <c r="M7421" s="38"/>
      <c r="N7421" s="41"/>
      <c r="O7421" s="38"/>
      <c r="P7421" s="38"/>
      <c r="Q7421" s="39"/>
      <c r="R7421" s="39"/>
      <c r="S7421" s="39"/>
      <c r="T7421" s="39"/>
      <c r="U7421" s="39"/>
    </row>
    <row r="7422">
      <c r="A7422" s="40" t="str">
        <f t="shared" si="1"/>
        <v/>
      </c>
      <c r="B7422" s="37" t="str">
        <f t="array" ref="B7422">iferror(xlookup($I7422, 'IMPORT VHC Report'!$E:$E, 'IMPORT VHC Report'!$A:$C), )</f>
        <v/>
      </c>
      <c r="C7422" s="44"/>
      <c r="D7422" s="44"/>
      <c r="E7422" s="38"/>
      <c r="F7422" s="38"/>
      <c r="G7422" s="38"/>
      <c r="H7422" s="38"/>
      <c r="I7422" s="38"/>
      <c r="J7422" s="38"/>
      <c r="K7422" s="38"/>
      <c r="L7422" s="41"/>
      <c r="M7422" s="38"/>
      <c r="N7422" s="41"/>
      <c r="O7422" s="38"/>
      <c r="P7422" s="38"/>
      <c r="Q7422" s="39"/>
      <c r="R7422" s="39"/>
      <c r="S7422" s="39"/>
      <c r="T7422" s="39"/>
      <c r="U7422" s="39"/>
    </row>
    <row r="7423">
      <c r="A7423" s="40" t="str">
        <f t="shared" si="1"/>
        <v/>
      </c>
      <c r="B7423" s="37" t="str">
        <f t="array" ref="B7423">iferror(xlookup($I7423, 'IMPORT VHC Report'!$E:$E, 'IMPORT VHC Report'!$A:$C), )</f>
        <v/>
      </c>
      <c r="C7423" s="44"/>
      <c r="D7423" s="44"/>
      <c r="E7423" s="38"/>
      <c r="F7423" s="38"/>
      <c r="G7423" s="38"/>
      <c r="H7423" s="38"/>
      <c r="I7423" s="38"/>
      <c r="J7423" s="38"/>
      <c r="K7423" s="38"/>
      <c r="L7423" s="41"/>
      <c r="M7423" s="38"/>
      <c r="N7423" s="41"/>
      <c r="O7423" s="38"/>
      <c r="P7423" s="38"/>
      <c r="Q7423" s="39"/>
      <c r="R7423" s="39"/>
      <c r="S7423" s="39"/>
      <c r="T7423" s="39"/>
      <c r="U7423" s="39"/>
    </row>
    <row r="7424">
      <c r="A7424" s="40" t="str">
        <f t="shared" si="1"/>
        <v/>
      </c>
      <c r="B7424" s="37" t="str">
        <f t="array" ref="B7424">iferror(xlookup($I7424, 'IMPORT VHC Report'!$E:$E, 'IMPORT VHC Report'!$A:$C), )</f>
        <v/>
      </c>
      <c r="C7424" s="44"/>
      <c r="D7424" s="44"/>
      <c r="E7424" s="38"/>
      <c r="F7424" s="38"/>
      <c r="G7424" s="38"/>
      <c r="H7424" s="38"/>
      <c r="I7424" s="38"/>
      <c r="J7424" s="38"/>
      <c r="K7424" s="38"/>
      <c r="L7424" s="41"/>
      <c r="M7424" s="38"/>
      <c r="N7424" s="41"/>
      <c r="O7424" s="38"/>
      <c r="P7424" s="38"/>
      <c r="Q7424" s="39"/>
      <c r="R7424" s="39"/>
      <c r="S7424" s="39"/>
      <c r="T7424" s="39"/>
      <c r="U7424" s="39"/>
    </row>
    <row r="7425">
      <c r="A7425" s="40" t="str">
        <f t="shared" si="1"/>
        <v/>
      </c>
      <c r="B7425" s="37" t="str">
        <f t="array" ref="B7425">iferror(xlookup($I7425, 'IMPORT VHC Report'!$E:$E, 'IMPORT VHC Report'!$A:$C), )</f>
        <v/>
      </c>
      <c r="C7425" s="44"/>
      <c r="D7425" s="44"/>
      <c r="E7425" s="38"/>
      <c r="F7425" s="38"/>
      <c r="G7425" s="38"/>
      <c r="H7425" s="38"/>
      <c r="I7425" s="38"/>
      <c r="J7425" s="38"/>
      <c r="K7425" s="38"/>
      <c r="L7425" s="41"/>
      <c r="M7425" s="38"/>
      <c r="N7425" s="41"/>
      <c r="O7425" s="38"/>
      <c r="P7425" s="38"/>
      <c r="Q7425" s="39"/>
      <c r="R7425" s="39"/>
      <c r="S7425" s="39"/>
      <c r="T7425" s="39"/>
      <c r="U7425" s="39"/>
    </row>
    <row r="7426">
      <c r="A7426" s="40" t="str">
        <f t="shared" si="1"/>
        <v/>
      </c>
      <c r="B7426" s="37" t="str">
        <f t="array" ref="B7426">iferror(xlookup($I7426, 'IMPORT VHC Report'!$E:$E, 'IMPORT VHC Report'!$A:$C), )</f>
        <v/>
      </c>
      <c r="C7426" s="44"/>
      <c r="D7426" s="44"/>
      <c r="E7426" s="38"/>
      <c r="F7426" s="38"/>
      <c r="G7426" s="38"/>
      <c r="H7426" s="38"/>
      <c r="I7426" s="38"/>
      <c r="J7426" s="38"/>
      <c r="K7426" s="38"/>
      <c r="L7426" s="41"/>
      <c r="M7426" s="38"/>
      <c r="N7426" s="41"/>
      <c r="O7426" s="38"/>
      <c r="P7426" s="38"/>
      <c r="Q7426" s="39"/>
      <c r="R7426" s="39"/>
      <c r="S7426" s="39"/>
      <c r="T7426" s="39"/>
      <c r="U7426" s="39"/>
    </row>
    <row r="7427">
      <c r="A7427" s="40" t="str">
        <f t="shared" si="1"/>
        <v/>
      </c>
      <c r="B7427" s="37" t="str">
        <f t="array" ref="B7427">iferror(xlookup($I7427, 'IMPORT VHC Report'!$E:$E, 'IMPORT VHC Report'!$A:$C), )</f>
        <v/>
      </c>
      <c r="C7427" s="44"/>
      <c r="D7427" s="44"/>
      <c r="E7427" s="38"/>
      <c r="F7427" s="38"/>
      <c r="G7427" s="38"/>
      <c r="H7427" s="38"/>
      <c r="I7427" s="38"/>
      <c r="J7427" s="38"/>
      <c r="K7427" s="38"/>
      <c r="L7427" s="41"/>
      <c r="M7427" s="38"/>
      <c r="N7427" s="41"/>
      <c r="O7427" s="38"/>
      <c r="P7427" s="38"/>
      <c r="Q7427" s="39"/>
      <c r="R7427" s="39"/>
      <c r="S7427" s="39"/>
      <c r="T7427" s="39"/>
      <c r="U7427" s="39"/>
    </row>
    <row r="7428">
      <c r="A7428" s="40">
        <f t="shared" si="1"/>
        <v>46006</v>
      </c>
      <c r="B7428" s="37" t="str">
        <f t="array" ref="B7428">iferror(xlookup($I7428, 'IMPORT VHC Report'!$E:$E, 'IMPORT VHC Report'!$A:$C), )</f>
        <v/>
      </c>
      <c r="C7428" s="44"/>
      <c r="D7428" s="44"/>
      <c r="E7428" s="38" t="s">
        <v>878</v>
      </c>
      <c r="F7428" s="38" t="s">
        <v>837</v>
      </c>
      <c r="G7428" s="38">
        <v>7.235417174415E12</v>
      </c>
      <c r="H7428" s="38" t="s">
        <v>838</v>
      </c>
      <c r="I7428" s="38" t="s">
        <v>839</v>
      </c>
      <c r="J7428" s="38" t="s">
        <v>224</v>
      </c>
      <c r="K7428" s="38" t="s">
        <v>63</v>
      </c>
      <c r="L7428" s="41">
        <v>46012.916666666664</v>
      </c>
      <c r="M7428" s="38" t="s">
        <v>123</v>
      </c>
      <c r="N7428" s="41">
        <v>46013.291666666664</v>
      </c>
      <c r="O7428" s="38" t="s">
        <v>123</v>
      </c>
      <c r="P7428" s="38">
        <v>32400.0</v>
      </c>
      <c r="Q7428" s="39"/>
      <c r="R7428" s="39"/>
      <c r="S7428" s="39"/>
      <c r="T7428" s="39"/>
      <c r="U7428" s="39"/>
    </row>
    <row r="7429">
      <c r="A7429" s="40" t="str">
        <f t="shared" si="1"/>
        <v/>
      </c>
      <c r="B7429" s="37" t="str">
        <f t="array" ref="B7429">iferror(xlookup($I7429, 'IMPORT VHC Report'!$E:$E, 'IMPORT VHC Report'!$A:$C), )</f>
        <v/>
      </c>
      <c r="C7429" s="44"/>
      <c r="D7429" s="44"/>
      <c r="E7429" s="38"/>
      <c r="F7429" s="38"/>
      <c r="G7429" s="38"/>
      <c r="H7429" s="38"/>
      <c r="I7429" s="38"/>
      <c r="J7429" s="38"/>
      <c r="K7429" s="38"/>
      <c r="L7429" s="41"/>
      <c r="M7429" s="38"/>
      <c r="N7429" s="41"/>
      <c r="O7429" s="38"/>
      <c r="P7429" s="38"/>
      <c r="Q7429" s="39"/>
      <c r="R7429" s="39"/>
      <c r="S7429" s="39"/>
      <c r="T7429" s="39"/>
      <c r="U7429" s="39"/>
    </row>
    <row r="7430">
      <c r="A7430" s="40" t="str">
        <f t="shared" si="1"/>
        <v/>
      </c>
      <c r="B7430" s="37" t="str">
        <f t="array" ref="B7430">iferror(xlookup($I7430, 'IMPORT VHC Report'!$E:$E, 'IMPORT VHC Report'!$A:$C), )</f>
        <v/>
      </c>
      <c r="C7430" s="44"/>
      <c r="D7430" s="44"/>
      <c r="E7430" s="38"/>
      <c r="F7430" s="38"/>
      <c r="G7430" s="38"/>
      <c r="H7430" s="38"/>
      <c r="I7430" s="38"/>
      <c r="J7430" s="38"/>
      <c r="K7430" s="38"/>
      <c r="L7430" s="41"/>
      <c r="M7430" s="38"/>
      <c r="N7430" s="41"/>
      <c r="O7430" s="38"/>
      <c r="P7430" s="38"/>
      <c r="Q7430" s="39"/>
      <c r="R7430" s="39"/>
      <c r="S7430" s="39"/>
      <c r="T7430" s="39"/>
      <c r="U7430" s="39"/>
    </row>
    <row r="7431">
      <c r="A7431" s="40" t="str">
        <f t="shared" si="1"/>
        <v/>
      </c>
      <c r="B7431" s="37" t="str">
        <f t="array" ref="B7431">iferror(xlookup($I7431, 'IMPORT VHC Report'!$E:$E, 'IMPORT VHC Report'!$A:$C), )</f>
        <v/>
      </c>
      <c r="C7431" s="44"/>
      <c r="D7431" s="44"/>
      <c r="E7431" s="38"/>
      <c r="F7431" s="38"/>
      <c r="G7431" s="38"/>
      <c r="H7431" s="38"/>
      <c r="I7431" s="38"/>
      <c r="J7431" s="38"/>
      <c r="K7431" s="38"/>
      <c r="L7431" s="41"/>
      <c r="M7431" s="38"/>
      <c r="N7431" s="41"/>
      <c r="O7431" s="38"/>
      <c r="P7431" s="38"/>
      <c r="Q7431" s="39"/>
      <c r="R7431" s="39"/>
      <c r="S7431" s="39"/>
      <c r="T7431" s="39"/>
      <c r="U7431" s="39"/>
    </row>
    <row r="7432">
      <c r="A7432" s="40" t="str">
        <f t="shared" si="1"/>
        <v/>
      </c>
      <c r="B7432" s="37" t="str">
        <f t="array" ref="B7432">iferror(xlookup($I7432, 'IMPORT VHC Report'!$E:$E, 'IMPORT VHC Report'!$A:$C), )</f>
        <v/>
      </c>
      <c r="C7432" s="44"/>
      <c r="D7432" s="44"/>
      <c r="E7432" s="38"/>
      <c r="F7432" s="38"/>
      <c r="G7432" s="38"/>
      <c r="H7432" s="38"/>
      <c r="I7432" s="38"/>
      <c r="J7432" s="38"/>
      <c r="K7432" s="38"/>
      <c r="L7432" s="41"/>
      <c r="M7432" s="38"/>
      <c r="N7432" s="41"/>
      <c r="O7432" s="38"/>
      <c r="P7432" s="38"/>
      <c r="Q7432" s="39"/>
      <c r="R7432" s="39"/>
      <c r="S7432" s="39"/>
      <c r="T7432" s="39"/>
      <c r="U7432" s="39"/>
    </row>
    <row r="7433">
      <c r="A7433" s="40" t="str">
        <f t="shared" si="1"/>
        <v/>
      </c>
      <c r="B7433" s="37" t="str">
        <f t="array" ref="B7433">iferror(xlookup($I7433, 'IMPORT VHC Report'!$E:$E, 'IMPORT VHC Report'!$A:$C), )</f>
        <v/>
      </c>
      <c r="C7433" s="44"/>
      <c r="D7433" s="44"/>
      <c r="E7433" s="38"/>
      <c r="F7433" s="38"/>
      <c r="G7433" s="38"/>
      <c r="H7433" s="38"/>
      <c r="I7433" s="38"/>
      <c r="J7433" s="38"/>
      <c r="K7433" s="38"/>
      <c r="L7433" s="41"/>
      <c r="M7433" s="38"/>
      <c r="N7433" s="41"/>
      <c r="O7433" s="38"/>
      <c r="P7433" s="38"/>
      <c r="Q7433" s="39"/>
      <c r="R7433" s="39"/>
      <c r="S7433" s="39"/>
      <c r="T7433" s="39"/>
      <c r="U7433" s="39"/>
    </row>
    <row r="7434">
      <c r="A7434" s="40" t="str">
        <f t="shared" si="1"/>
        <v/>
      </c>
      <c r="B7434" s="37" t="str">
        <f t="array" ref="B7434">iferror(xlookup($I7434, 'IMPORT VHC Report'!$E:$E, 'IMPORT VHC Report'!$A:$C), )</f>
        <v/>
      </c>
      <c r="C7434" s="44"/>
      <c r="D7434" s="44"/>
      <c r="E7434" s="38"/>
      <c r="F7434" s="38"/>
      <c r="G7434" s="38"/>
      <c r="H7434" s="38"/>
      <c r="I7434" s="38"/>
      <c r="J7434" s="38"/>
      <c r="K7434" s="38"/>
      <c r="L7434" s="41"/>
      <c r="M7434" s="38"/>
      <c r="N7434" s="41"/>
      <c r="O7434" s="38"/>
      <c r="P7434" s="38"/>
      <c r="Q7434" s="39"/>
      <c r="R7434" s="39"/>
      <c r="S7434" s="39"/>
      <c r="T7434" s="39"/>
      <c r="U7434" s="39"/>
    </row>
    <row r="7435">
      <c r="A7435" s="40" t="str">
        <f t="shared" si="1"/>
        <v/>
      </c>
      <c r="B7435" s="37" t="str">
        <f t="array" ref="B7435">iferror(xlookup($I7435, 'IMPORT VHC Report'!$E:$E, 'IMPORT VHC Report'!$A:$C), )</f>
        <v/>
      </c>
      <c r="C7435" s="44"/>
      <c r="D7435" s="44"/>
      <c r="E7435" s="38"/>
      <c r="F7435" s="38"/>
      <c r="G7435" s="38"/>
      <c r="H7435" s="38"/>
      <c r="I7435" s="38"/>
      <c r="J7435" s="38"/>
      <c r="K7435" s="38"/>
      <c r="L7435" s="41"/>
      <c r="M7435" s="38"/>
      <c r="N7435" s="41"/>
      <c r="O7435" s="38"/>
      <c r="P7435" s="38"/>
      <c r="Q7435" s="39"/>
      <c r="R7435" s="39"/>
      <c r="S7435" s="39"/>
      <c r="T7435" s="39"/>
      <c r="U7435" s="39"/>
    </row>
    <row r="7436">
      <c r="A7436" s="40" t="str">
        <f t="shared" si="1"/>
        <v/>
      </c>
      <c r="B7436" s="37" t="str">
        <f t="array" ref="B7436">iferror(xlookup($I7436, 'IMPORT VHC Report'!$E:$E, 'IMPORT VHC Report'!$A:$C), )</f>
        <v/>
      </c>
      <c r="C7436" s="44"/>
      <c r="D7436" s="44"/>
      <c r="E7436" s="38"/>
      <c r="F7436" s="38"/>
      <c r="G7436" s="38"/>
      <c r="H7436" s="38"/>
      <c r="I7436" s="38"/>
      <c r="J7436" s="38"/>
      <c r="K7436" s="38"/>
      <c r="L7436" s="41"/>
      <c r="M7436" s="38"/>
      <c r="N7436" s="41"/>
      <c r="O7436" s="38"/>
      <c r="P7436" s="38"/>
      <c r="Q7436" s="39"/>
      <c r="R7436" s="39"/>
      <c r="S7436" s="38"/>
      <c r="T7436" s="39"/>
      <c r="U7436" s="39"/>
    </row>
    <row r="7437">
      <c r="A7437" s="40" t="str">
        <f t="shared" si="1"/>
        <v/>
      </c>
      <c r="B7437" s="37" t="str">
        <f t="array" ref="B7437">iferror(xlookup($I7437, 'IMPORT VHC Report'!$E:$E, 'IMPORT VHC Report'!$A:$C), )</f>
        <v/>
      </c>
      <c r="C7437" s="44"/>
      <c r="D7437" s="44"/>
      <c r="E7437" s="38"/>
      <c r="F7437" s="38"/>
      <c r="G7437" s="38"/>
      <c r="H7437" s="38"/>
      <c r="I7437" s="38"/>
      <c r="J7437" s="38"/>
      <c r="K7437" s="38"/>
      <c r="L7437" s="41"/>
      <c r="M7437" s="38"/>
      <c r="N7437" s="41"/>
      <c r="O7437" s="38"/>
      <c r="P7437" s="38"/>
      <c r="Q7437" s="39"/>
      <c r="R7437" s="39"/>
      <c r="S7437" s="39"/>
      <c r="T7437" s="39"/>
      <c r="U7437" s="39"/>
    </row>
    <row r="7438">
      <c r="A7438" s="40" t="str">
        <f t="shared" si="1"/>
        <v/>
      </c>
      <c r="B7438" s="37" t="str">
        <f t="array" ref="B7438">iferror(xlookup($I7438, 'IMPORT VHC Report'!$E:$E, 'IMPORT VHC Report'!$A:$C), )</f>
        <v/>
      </c>
      <c r="C7438" s="44"/>
      <c r="D7438" s="44"/>
      <c r="E7438" s="38"/>
      <c r="F7438" s="38"/>
      <c r="G7438" s="38"/>
      <c r="H7438" s="38"/>
      <c r="I7438" s="38"/>
      <c r="J7438" s="38"/>
      <c r="K7438" s="38"/>
      <c r="L7438" s="41"/>
      <c r="M7438" s="38"/>
      <c r="N7438" s="41"/>
      <c r="O7438" s="38"/>
      <c r="P7438" s="38"/>
      <c r="Q7438" s="39"/>
      <c r="R7438" s="39"/>
      <c r="S7438" s="39"/>
      <c r="T7438" s="39"/>
      <c r="U7438" s="39"/>
    </row>
    <row r="7439">
      <c r="A7439" s="40" t="str">
        <f t="shared" si="1"/>
        <v/>
      </c>
      <c r="B7439" s="37" t="str">
        <f t="array" ref="B7439">iferror(xlookup($I7439, 'IMPORT VHC Report'!$E:$E, 'IMPORT VHC Report'!$A:$C), )</f>
        <v/>
      </c>
      <c r="C7439" s="44"/>
      <c r="D7439" s="44"/>
      <c r="E7439" s="38"/>
      <c r="F7439" s="38"/>
      <c r="G7439" s="38"/>
      <c r="H7439" s="38"/>
      <c r="I7439" s="38"/>
      <c r="J7439" s="38"/>
      <c r="K7439" s="38"/>
      <c r="L7439" s="41"/>
      <c r="M7439" s="38"/>
      <c r="N7439" s="41"/>
      <c r="O7439" s="38"/>
      <c r="P7439" s="38"/>
      <c r="Q7439" s="39"/>
      <c r="R7439" s="39"/>
      <c r="S7439" s="39"/>
      <c r="T7439" s="39"/>
      <c r="U7439" s="39"/>
    </row>
    <row r="7440">
      <c r="A7440" s="40" t="str">
        <f t="shared" si="1"/>
        <v/>
      </c>
      <c r="B7440" s="37" t="str">
        <f t="array" ref="B7440">iferror(xlookup($I7440, 'IMPORT VHC Report'!$E:$E, 'IMPORT VHC Report'!$A:$C), )</f>
        <v/>
      </c>
      <c r="C7440" s="44"/>
      <c r="D7440" s="44"/>
      <c r="E7440" s="38"/>
      <c r="F7440" s="38"/>
      <c r="G7440" s="38"/>
      <c r="H7440" s="38"/>
      <c r="I7440" s="38"/>
      <c r="J7440" s="38"/>
      <c r="K7440" s="38"/>
      <c r="L7440" s="41"/>
      <c r="M7440" s="38"/>
      <c r="N7440" s="41"/>
      <c r="O7440" s="38"/>
      <c r="P7440" s="38"/>
      <c r="Q7440" s="39"/>
      <c r="R7440" s="39"/>
      <c r="S7440" s="39"/>
      <c r="T7440" s="39"/>
      <c r="U7440" s="39"/>
    </row>
    <row r="7441">
      <c r="A7441" s="40" t="str">
        <f t="shared" si="1"/>
        <v/>
      </c>
      <c r="B7441" s="37" t="str">
        <f t="array" ref="B7441">iferror(xlookup($I7441, 'IMPORT VHC Report'!$E:$E, 'IMPORT VHC Report'!$A:$C), )</f>
        <v/>
      </c>
      <c r="C7441" s="44"/>
      <c r="D7441" s="44"/>
      <c r="E7441" s="38"/>
      <c r="F7441" s="38"/>
      <c r="G7441" s="38"/>
      <c r="H7441" s="38"/>
      <c r="I7441" s="38"/>
      <c r="J7441" s="38"/>
      <c r="K7441" s="38"/>
      <c r="L7441" s="41"/>
      <c r="M7441" s="38"/>
      <c r="N7441" s="41"/>
      <c r="O7441" s="38"/>
      <c r="P7441" s="38"/>
      <c r="Q7441" s="39"/>
      <c r="R7441" s="39"/>
      <c r="S7441" s="39"/>
      <c r="T7441" s="39"/>
      <c r="U7441" s="39"/>
    </row>
    <row r="7442">
      <c r="A7442" s="40" t="str">
        <f t="shared" si="1"/>
        <v/>
      </c>
      <c r="B7442" s="37" t="str">
        <f t="array" ref="B7442">iferror(xlookup($I7442, 'IMPORT VHC Report'!$E:$E, 'IMPORT VHC Report'!$A:$C), )</f>
        <v/>
      </c>
      <c r="C7442" s="44"/>
      <c r="D7442" s="44"/>
      <c r="E7442" s="38"/>
      <c r="F7442" s="38"/>
      <c r="G7442" s="38"/>
      <c r="H7442" s="38"/>
      <c r="I7442" s="38"/>
      <c r="J7442" s="38"/>
      <c r="K7442" s="38"/>
      <c r="L7442" s="41"/>
      <c r="M7442" s="38"/>
      <c r="N7442" s="41"/>
      <c r="O7442" s="38"/>
      <c r="P7442" s="38"/>
      <c r="Q7442" s="39"/>
      <c r="R7442" s="39"/>
      <c r="S7442" s="39"/>
      <c r="T7442" s="39"/>
      <c r="U7442" s="39"/>
    </row>
    <row r="7443">
      <c r="A7443" s="40" t="str">
        <f t="shared" si="1"/>
        <v/>
      </c>
      <c r="B7443" s="37" t="str">
        <f t="array" ref="B7443">iferror(xlookup($I7443, 'IMPORT VHC Report'!$E:$E, 'IMPORT VHC Report'!$A:$C), )</f>
        <v/>
      </c>
      <c r="C7443" s="44"/>
      <c r="D7443" s="44"/>
      <c r="E7443" s="38"/>
      <c r="F7443" s="38"/>
      <c r="G7443" s="38"/>
      <c r="H7443" s="38"/>
      <c r="I7443" s="38"/>
      <c r="J7443" s="38"/>
      <c r="K7443" s="38"/>
      <c r="L7443" s="41"/>
      <c r="M7443" s="38"/>
      <c r="N7443" s="41"/>
      <c r="O7443" s="38"/>
      <c r="P7443" s="38"/>
      <c r="Q7443" s="39"/>
      <c r="R7443" s="39"/>
      <c r="S7443" s="39"/>
      <c r="T7443" s="39"/>
      <c r="U7443" s="39"/>
    </row>
    <row r="7444">
      <c r="A7444" s="40" t="str">
        <f t="shared" si="1"/>
        <v/>
      </c>
      <c r="B7444" s="37" t="str">
        <f t="array" ref="B7444">iferror(xlookup($I7444, 'IMPORT VHC Report'!$E:$E, 'IMPORT VHC Report'!$A:$C), )</f>
        <v/>
      </c>
      <c r="C7444" s="44"/>
      <c r="D7444" s="44"/>
      <c r="E7444" s="38"/>
      <c r="F7444" s="38"/>
      <c r="G7444" s="38"/>
      <c r="H7444" s="38"/>
      <c r="I7444" s="38"/>
      <c r="J7444" s="38"/>
      <c r="K7444" s="38"/>
      <c r="L7444" s="41"/>
      <c r="M7444" s="38"/>
      <c r="N7444" s="41"/>
      <c r="O7444" s="38"/>
      <c r="P7444" s="38"/>
      <c r="Q7444" s="39"/>
      <c r="R7444" s="39"/>
      <c r="S7444" s="39"/>
      <c r="T7444" s="39"/>
      <c r="U7444" s="39"/>
    </row>
    <row r="7445">
      <c r="A7445" s="40" t="str">
        <f t="shared" si="1"/>
        <v/>
      </c>
      <c r="B7445" s="37" t="str">
        <f t="array" ref="B7445">iferror(xlookup($I7445, 'IMPORT VHC Report'!$E:$E, 'IMPORT VHC Report'!$A:$C), )</f>
        <v/>
      </c>
      <c r="C7445" s="44"/>
      <c r="D7445" s="44"/>
      <c r="E7445" s="38"/>
      <c r="F7445" s="38"/>
      <c r="G7445" s="38"/>
      <c r="H7445" s="38"/>
      <c r="I7445" s="38"/>
      <c r="J7445" s="38"/>
      <c r="K7445" s="38"/>
      <c r="L7445" s="41"/>
      <c r="M7445" s="38"/>
      <c r="N7445" s="41"/>
      <c r="O7445" s="38"/>
      <c r="P7445" s="38"/>
      <c r="Q7445" s="39"/>
      <c r="R7445" s="39"/>
      <c r="S7445" s="39"/>
      <c r="T7445" s="39"/>
      <c r="U7445" s="39"/>
    </row>
    <row r="7446">
      <c r="A7446" s="40" t="str">
        <f t="shared" si="1"/>
        <v/>
      </c>
      <c r="B7446" s="37" t="str">
        <f t="array" ref="B7446">iferror(xlookup($I7446, 'IMPORT VHC Report'!$E:$E, 'IMPORT VHC Report'!$A:$C), )</f>
        <v/>
      </c>
      <c r="C7446" s="44"/>
      <c r="D7446" s="44"/>
      <c r="E7446" s="38"/>
      <c r="F7446" s="38"/>
      <c r="G7446" s="38"/>
      <c r="H7446" s="38"/>
      <c r="I7446" s="38"/>
      <c r="J7446" s="38"/>
      <c r="K7446" s="38"/>
      <c r="L7446" s="41"/>
      <c r="M7446" s="38"/>
      <c r="N7446" s="41"/>
      <c r="O7446" s="38"/>
      <c r="P7446" s="38"/>
      <c r="Q7446" s="39"/>
      <c r="R7446" s="39"/>
      <c r="S7446" s="39"/>
      <c r="T7446" s="39"/>
      <c r="U7446" s="39"/>
    </row>
    <row r="7447">
      <c r="A7447" s="40" t="str">
        <f t="shared" si="1"/>
        <v/>
      </c>
      <c r="B7447" s="37" t="str">
        <f t="array" ref="B7447">iferror(xlookup($I7447, 'IMPORT VHC Report'!$E:$E, 'IMPORT VHC Report'!$A:$C), )</f>
        <v/>
      </c>
      <c r="C7447" s="44"/>
      <c r="D7447" s="44"/>
      <c r="E7447" s="38"/>
      <c r="F7447" s="38"/>
      <c r="G7447" s="38"/>
      <c r="H7447" s="38"/>
      <c r="I7447" s="38"/>
      <c r="J7447" s="38"/>
      <c r="K7447" s="38"/>
      <c r="L7447" s="41"/>
      <c r="M7447" s="38"/>
      <c r="N7447" s="41"/>
      <c r="O7447" s="38"/>
      <c r="P7447" s="38"/>
      <c r="Q7447" s="39"/>
      <c r="R7447" s="39"/>
      <c r="S7447" s="39"/>
      <c r="T7447" s="39"/>
      <c r="U7447" s="39"/>
    </row>
    <row r="7448">
      <c r="A7448" s="40" t="str">
        <f t="shared" si="1"/>
        <v/>
      </c>
      <c r="B7448" s="37" t="str">
        <f t="array" ref="B7448">iferror(xlookup($I7448, 'IMPORT VHC Report'!$E:$E, 'IMPORT VHC Report'!$A:$C), )</f>
        <v/>
      </c>
      <c r="C7448" s="44"/>
      <c r="D7448" s="44"/>
      <c r="E7448" s="38"/>
      <c r="F7448" s="38"/>
      <c r="G7448" s="38"/>
      <c r="H7448" s="38"/>
      <c r="I7448" s="38"/>
      <c r="J7448" s="38"/>
      <c r="K7448" s="38"/>
      <c r="L7448" s="41"/>
      <c r="M7448" s="38"/>
      <c r="N7448" s="41"/>
      <c r="O7448" s="38"/>
      <c r="P7448" s="38"/>
      <c r="Q7448" s="39"/>
      <c r="R7448" s="39"/>
      <c r="S7448" s="38"/>
      <c r="T7448" s="39"/>
      <c r="U7448" s="39"/>
    </row>
    <row r="7449">
      <c r="A7449" s="40" t="str">
        <f t="shared" si="1"/>
        <v/>
      </c>
      <c r="B7449" s="37" t="str">
        <f t="array" ref="B7449">iferror(xlookup($I7449, 'IMPORT VHC Report'!$E:$E, 'IMPORT VHC Report'!$A:$C), )</f>
        <v/>
      </c>
      <c r="C7449" s="44"/>
      <c r="D7449" s="44"/>
      <c r="E7449" s="38"/>
      <c r="F7449" s="38"/>
      <c r="G7449" s="38"/>
      <c r="H7449" s="38"/>
      <c r="I7449" s="38"/>
      <c r="J7449" s="38"/>
      <c r="K7449" s="38"/>
      <c r="L7449" s="41"/>
      <c r="M7449" s="38"/>
      <c r="N7449" s="41"/>
      <c r="O7449" s="38"/>
      <c r="P7449" s="38"/>
      <c r="Q7449" s="39"/>
      <c r="R7449" s="39"/>
      <c r="S7449" s="38"/>
      <c r="T7449" s="39"/>
      <c r="U7449" s="39"/>
    </row>
    <row r="7450">
      <c r="A7450" s="40" t="str">
        <f t="shared" si="1"/>
        <v/>
      </c>
      <c r="B7450" s="37" t="str">
        <f t="array" ref="B7450">iferror(xlookup($I7450, 'IMPORT VHC Report'!$E:$E, 'IMPORT VHC Report'!$A:$C), )</f>
        <v/>
      </c>
      <c r="C7450" s="44"/>
      <c r="D7450" s="44"/>
      <c r="E7450" s="38"/>
      <c r="F7450" s="38"/>
      <c r="G7450" s="38"/>
      <c r="H7450" s="38"/>
      <c r="I7450" s="38"/>
      <c r="J7450" s="38"/>
      <c r="K7450" s="38"/>
      <c r="L7450" s="41"/>
      <c r="M7450" s="38"/>
      <c r="N7450" s="41"/>
      <c r="O7450" s="38"/>
      <c r="P7450" s="38"/>
      <c r="Q7450" s="39"/>
      <c r="R7450" s="39"/>
      <c r="S7450" s="38"/>
      <c r="T7450" s="39"/>
      <c r="U7450" s="39"/>
    </row>
    <row r="7451">
      <c r="A7451" s="40" t="str">
        <f t="shared" si="1"/>
        <v/>
      </c>
      <c r="B7451" s="37" t="str">
        <f t="array" ref="B7451">iferror(xlookup($I7451, 'IMPORT VHC Report'!$E:$E, 'IMPORT VHC Report'!$A:$C), )</f>
        <v/>
      </c>
      <c r="C7451" s="44"/>
      <c r="D7451" s="44"/>
      <c r="E7451" s="38"/>
      <c r="F7451" s="38"/>
      <c r="G7451" s="38"/>
      <c r="H7451" s="38"/>
      <c r="I7451" s="38"/>
      <c r="J7451" s="38"/>
      <c r="K7451" s="38"/>
      <c r="L7451" s="41"/>
      <c r="M7451" s="38"/>
      <c r="N7451" s="41"/>
      <c r="O7451" s="38"/>
      <c r="P7451" s="38"/>
      <c r="Q7451" s="39"/>
      <c r="R7451" s="39"/>
      <c r="S7451" s="39"/>
      <c r="T7451" s="39"/>
      <c r="U7451" s="39"/>
    </row>
    <row r="7452">
      <c r="A7452" s="40" t="str">
        <f t="shared" si="1"/>
        <v/>
      </c>
      <c r="B7452" s="37" t="str">
        <f t="array" ref="B7452">iferror(xlookup($I7452, 'IMPORT VHC Report'!$E:$E, 'IMPORT VHC Report'!$A:$C), )</f>
        <v/>
      </c>
      <c r="C7452" s="44"/>
      <c r="D7452" s="44"/>
      <c r="E7452" s="38"/>
      <c r="F7452" s="38"/>
      <c r="G7452" s="38"/>
      <c r="H7452" s="38"/>
      <c r="I7452" s="38"/>
      <c r="J7452" s="38"/>
      <c r="K7452" s="38"/>
      <c r="L7452" s="41"/>
      <c r="M7452" s="38"/>
      <c r="N7452" s="41"/>
      <c r="O7452" s="38"/>
      <c r="P7452" s="38"/>
      <c r="Q7452" s="39"/>
      <c r="R7452" s="39"/>
      <c r="S7452" s="39"/>
      <c r="T7452" s="39"/>
      <c r="U7452" s="39"/>
    </row>
    <row r="7453">
      <c r="A7453" s="40" t="str">
        <f t="shared" si="1"/>
        <v/>
      </c>
      <c r="B7453" s="37" t="str">
        <f t="array" ref="B7453">iferror(xlookup($I7453, 'IMPORT VHC Report'!$E:$E, 'IMPORT VHC Report'!$A:$C), )</f>
        <v/>
      </c>
      <c r="C7453" s="44"/>
      <c r="D7453" s="44"/>
      <c r="E7453" s="38"/>
      <c r="F7453" s="38"/>
      <c r="G7453" s="38"/>
      <c r="H7453" s="38"/>
      <c r="I7453" s="38"/>
      <c r="J7453" s="38"/>
      <c r="K7453" s="38"/>
      <c r="L7453" s="41"/>
      <c r="M7453" s="38"/>
      <c r="N7453" s="41"/>
      <c r="O7453" s="38"/>
      <c r="P7453" s="38"/>
      <c r="Q7453" s="39"/>
      <c r="R7453" s="39"/>
      <c r="S7453" s="39"/>
      <c r="T7453" s="39"/>
      <c r="U7453" s="39"/>
    </row>
    <row r="7454">
      <c r="A7454" s="40" t="str">
        <f t="shared" si="1"/>
        <v/>
      </c>
      <c r="B7454" s="37" t="str">
        <f t="array" ref="B7454">iferror(xlookup($I7454, 'IMPORT VHC Report'!$E:$E, 'IMPORT VHC Report'!$A:$C), )</f>
        <v/>
      </c>
      <c r="C7454" s="44"/>
      <c r="D7454" s="44"/>
      <c r="E7454" s="38"/>
      <c r="F7454" s="38"/>
      <c r="G7454" s="38"/>
      <c r="H7454" s="38"/>
      <c r="I7454" s="38"/>
      <c r="J7454" s="38"/>
      <c r="K7454" s="38"/>
      <c r="L7454" s="41"/>
      <c r="M7454" s="38"/>
      <c r="N7454" s="41"/>
      <c r="O7454" s="38"/>
      <c r="P7454" s="38"/>
      <c r="Q7454" s="39"/>
      <c r="R7454" s="39"/>
      <c r="S7454" s="39"/>
      <c r="T7454" s="39"/>
      <c r="U7454" s="39"/>
    </row>
    <row r="7455">
      <c r="A7455" s="40" t="str">
        <f t="shared" si="1"/>
        <v/>
      </c>
      <c r="B7455" s="37" t="str">
        <f t="array" ref="B7455">iferror(xlookup($I7455, 'IMPORT VHC Report'!$E:$E, 'IMPORT VHC Report'!$A:$C), )</f>
        <v/>
      </c>
      <c r="C7455" s="44"/>
      <c r="D7455" s="44"/>
      <c r="E7455" s="38"/>
      <c r="F7455" s="38"/>
      <c r="G7455" s="38"/>
      <c r="H7455" s="38"/>
      <c r="I7455" s="38"/>
      <c r="J7455" s="38"/>
      <c r="K7455" s="38"/>
      <c r="L7455" s="41"/>
      <c r="M7455" s="38"/>
      <c r="N7455" s="41"/>
      <c r="O7455" s="38"/>
      <c r="P7455" s="38"/>
      <c r="Q7455" s="39"/>
      <c r="R7455" s="39"/>
      <c r="S7455" s="39"/>
      <c r="T7455" s="39"/>
      <c r="U7455" s="39"/>
    </row>
    <row r="7456">
      <c r="A7456" s="40" t="str">
        <f t="shared" si="1"/>
        <v/>
      </c>
      <c r="B7456" s="37" t="str">
        <f t="array" ref="B7456">iferror(xlookup($I7456, 'IMPORT VHC Report'!$E:$E, 'IMPORT VHC Report'!$A:$C), )</f>
        <v/>
      </c>
      <c r="C7456" s="44"/>
      <c r="D7456" s="44"/>
      <c r="E7456" s="38"/>
      <c r="F7456" s="38"/>
      <c r="G7456" s="38"/>
      <c r="H7456" s="38"/>
      <c r="I7456" s="38"/>
      <c r="J7456" s="38"/>
      <c r="K7456" s="38"/>
      <c r="L7456" s="41"/>
      <c r="M7456" s="38"/>
      <c r="N7456" s="41"/>
      <c r="O7456" s="38"/>
      <c r="P7456" s="38"/>
      <c r="Q7456" s="39"/>
      <c r="R7456" s="39"/>
      <c r="S7456" s="39"/>
      <c r="T7456" s="39"/>
      <c r="U7456" s="39"/>
    </row>
    <row r="7457">
      <c r="A7457" s="40">
        <f t="shared" si="1"/>
        <v>46006</v>
      </c>
      <c r="B7457" s="37" t="str">
        <f t="array" ref="B7457">iferror(xlookup($I7457, 'IMPORT VHC Report'!$E:$E, 'IMPORT VHC Report'!$A:$C), )</f>
        <v/>
      </c>
      <c r="C7457" s="44"/>
      <c r="D7457" s="44"/>
      <c r="E7457" s="38" t="s">
        <v>788</v>
      </c>
      <c r="F7457" s="38" t="s">
        <v>753</v>
      </c>
      <c r="G7457" s="38">
        <v>8.904494781967E12</v>
      </c>
      <c r="H7457" s="38" t="s">
        <v>754</v>
      </c>
      <c r="I7457" s="38" t="s">
        <v>755</v>
      </c>
      <c r="J7457" s="38" t="s">
        <v>224</v>
      </c>
      <c r="K7457" s="38" t="s">
        <v>63</v>
      </c>
      <c r="L7457" s="41">
        <v>46012.927083333336</v>
      </c>
      <c r="M7457" s="38" t="s">
        <v>123</v>
      </c>
      <c r="N7457" s="41">
        <v>46013.291666666664</v>
      </c>
      <c r="O7457" s="38" t="s">
        <v>123</v>
      </c>
      <c r="P7457" s="38">
        <v>31500.0</v>
      </c>
      <c r="Q7457" s="39"/>
      <c r="R7457" s="39"/>
      <c r="S7457" s="39"/>
      <c r="T7457" s="39"/>
      <c r="U7457" s="39"/>
    </row>
    <row r="7458">
      <c r="A7458" s="40" t="str">
        <f t="shared" si="1"/>
        <v/>
      </c>
      <c r="B7458" s="37" t="str">
        <f t="array" ref="B7458">iferror(xlookup($I7458, 'IMPORT VHC Report'!$E:$E, 'IMPORT VHC Report'!$A:$C), )</f>
        <v/>
      </c>
      <c r="C7458" s="44"/>
      <c r="D7458" s="44"/>
      <c r="E7458" s="38"/>
      <c r="F7458" s="38"/>
      <c r="G7458" s="38"/>
      <c r="H7458" s="38"/>
      <c r="I7458" s="38"/>
      <c r="J7458" s="38"/>
      <c r="K7458" s="38"/>
      <c r="L7458" s="41"/>
      <c r="M7458" s="38"/>
      <c r="N7458" s="41"/>
      <c r="O7458" s="38"/>
      <c r="P7458" s="38"/>
      <c r="Q7458" s="39"/>
      <c r="R7458" s="39"/>
      <c r="S7458" s="39"/>
      <c r="T7458" s="39"/>
      <c r="U7458" s="39"/>
    </row>
    <row r="7459">
      <c r="A7459" s="40" t="str">
        <f t="shared" si="1"/>
        <v/>
      </c>
      <c r="B7459" s="37" t="str">
        <f t="array" ref="B7459">iferror(xlookup($I7459, 'IMPORT VHC Report'!$E:$E, 'IMPORT VHC Report'!$A:$C), )</f>
        <v/>
      </c>
      <c r="C7459" s="44"/>
      <c r="D7459" s="44"/>
      <c r="E7459" s="38"/>
      <c r="F7459" s="38"/>
      <c r="G7459" s="38"/>
      <c r="H7459" s="38"/>
      <c r="I7459" s="38"/>
      <c r="J7459" s="38"/>
      <c r="K7459" s="38"/>
      <c r="L7459" s="41"/>
      <c r="M7459" s="38"/>
      <c r="N7459" s="41"/>
      <c r="O7459" s="38"/>
      <c r="P7459" s="38"/>
      <c r="Q7459" s="39"/>
      <c r="R7459" s="39"/>
      <c r="S7459" s="39"/>
      <c r="T7459" s="39"/>
      <c r="U7459" s="39"/>
    </row>
    <row r="7460">
      <c r="A7460" s="40" t="str">
        <f t="shared" si="1"/>
        <v/>
      </c>
      <c r="B7460" s="37" t="str">
        <f t="array" ref="B7460">iferror(xlookup($I7460, 'IMPORT VHC Report'!$E:$E, 'IMPORT VHC Report'!$A:$C), )</f>
        <v/>
      </c>
      <c r="C7460" s="44"/>
      <c r="D7460" s="44"/>
      <c r="E7460" s="38"/>
      <c r="F7460" s="38"/>
      <c r="G7460" s="38"/>
      <c r="H7460" s="38"/>
      <c r="I7460" s="38"/>
      <c r="J7460" s="38"/>
      <c r="K7460" s="38"/>
      <c r="L7460" s="41"/>
      <c r="M7460" s="38"/>
      <c r="N7460" s="41"/>
      <c r="O7460" s="38"/>
      <c r="P7460" s="38"/>
      <c r="Q7460" s="39"/>
      <c r="R7460" s="39"/>
      <c r="S7460" s="39"/>
      <c r="T7460" s="39"/>
      <c r="U7460" s="39"/>
    </row>
    <row r="7461">
      <c r="A7461" s="40" t="str">
        <f t="shared" si="1"/>
        <v/>
      </c>
      <c r="B7461" s="37" t="str">
        <f t="array" ref="B7461">iferror(xlookup($I7461, 'IMPORT VHC Report'!$E:$E, 'IMPORT VHC Report'!$A:$C), )</f>
        <v/>
      </c>
      <c r="C7461" s="44"/>
      <c r="D7461" s="44"/>
      <c r="E7461" s="38"/>
      <c r="F7461" s="38"/>
      <c r="G7461" s="38"/>
      <c r="H7461" s="38"/>
      <c r="I7461" s="38"/>
      <c r="J7461" s="38"/>
      <c r="K7461" s="38"/>
      <c r="L7461" s="41"/>
      <c r="M7461" s="38"/>
      <c r="N7461" s="41"/>
      <c r="O7461" s="38"/>
      <c r="P7461" s="38"/>
      <c r="Q7461" s="39"/>
      <c r="R7461" s="39"/>
      <c r="S7461" s="39"/>
      <c r="T7461" s="39"/>
      <c r="U7461" s="39"/>
    </row>
    <row r="7462">
      <c r="A7462" s="40" t="str">
        <f t="shared" si="1"/>
        <v/>
      </c>
      <c r="B7462" s="37" t="str">
        <f t="array" ref="B7462">iferror(xlookup($I7462, 'IMPORT VHC Report'!$E:$E, 'IMPORT VHC Report'!$A:$C), )</f>
        <v/>
      </c>
      <c r="C7462" s="44"/>
      <c r="D7462" s="44"/>
      <c r="E7462" s="38"/>
      <c r="F7462" s="38"/>
      <c r="G7462" s="38"/>
      <c r="H7462" s="38"/>
      <c r="I7462" s="38"/>
      <c r="J7462" s="38"/>
      <c r="K7462" s="38"/>
      <c r="L7462" s="41"/>
      <c r="M7462" s="38"/>
      <c r="N7462" s="41"/>
      <c r="O7462" s="38"/>
      <c r="P7462" s="38"/>
      <c r="Q7462" s="39"/>
      <c r="R7462" s="39"/>
      <c r="S7462" s="39"/>
      <c r="T7462" s="39"/>
      <c r="U7462" s="39"/>
    </row>
    <row r="7463">
      <c r="A7463" s="40" t="str">
        <f t="shared" si="1"/>
        <v/>
      </c>
      <c r="B7463" s="37" t="str">
        <f t="array" ref="B7463">iferror(xlookup($I7463, 'IMPORT VHC Report'!$E:$E, 'IMPORT VHC Report'!$A:$C), )</f>
        <v/>
      </c>
      <c r="C7463" s="44"/>
      <c r="D7463" s="44"/>
      <c r="E7463" s="38"/>
      <c r="F7463" s="38"/>
      <c r="G7463" s="38"/>
      <c r="H7463" s="38"/>
      <c r="I7463" s="38"/>
      <c r="J7463" s="38"/>
      <c r="K7463" s="38"/>
      <c r="L7463" s="41"/>
      <c r="M7463" s="38"/>
      <c r="N7463" s="41"/>
      <c r="O7463" s="38"/>
      <c r="P7463" s="38"/>
      <c r="Q7463" s="39"/>
      <c r="R7463" s="39"/>
      <c r="S7463" s="39"/>
      <c r="T7463" s="39"/>
      <c r="U7463" s="39"/>
    </row>
    <row r="7464">
      <c r="A7464" s="40" t="str">
        <f t="shared" si="1"/>
        <v/>
      </c>
      <c r="B7464" s="37" t="str">
        <f t="array" ref="B7464">iferror(xlookup($I7464, 'IMPORT VHC Report'!$E:$E, 'IMPORT VHC Report'!$A:$C), )</f>
        <v/>
      </c>
      <c r="C7464" s="44"/>
      <c r="D7464" s="44"/>
      <c r="E7464" s="38"/>
      <c r="F7464" s="38"/>
      <c r="G7464" s="38"/>
      <c r="H7464" s="38"/>
      <c r="I7464" s="38"/>
      <c r="J7464" s="38"/>
      <c r="K7464" s="38"/>
      <c r="L7464" s="41"/>
      <c r="M7464" s="38"/>
      <c r="N7464" s="41"/>
      <c r="O7464" s="38"/>
      <c r="P7464" s="38"/>
      <c r="Q7464" s="39"/>
      <c r="R7464" s="39"/>
      <c r="S7464" s="39"/>
      <c r="T7464" s="39"/>
      <c r="U7464" s="39"/>
    </row>
    <row r="7465">
      <c r="A7465" s="40" t="str">
        <f t="shared" si="1"/>
        <v/>
      </c>
      <c r="B7465" s="37" t="str">
        <f t="array" ref="B7465">iferror(xlookup($I7465, 'IMPORT VHC Report'!$E:$E, 'IMPORT VHC Report'!$A:$C), )</f>
        <v/>
      </c>
      <c r="C7465" s="44"/>
      <c r="D7465" s="44"/>
      <c r="E7465" s="38"/>
      <c r="F7465" s="38"/>
      <c r="G7465" s="38"/>
      <c r="H7465" s="38"/>
      <c r="I7465" s="38"/>
      <c r="J7465" s="38"/>
      <c r="K7465" s="38"/>
      <c r="L7465" s="41"/>
      <c r="M7465" s="38"/>
      <c r="N7465" s="41"/>
      <c r="O7465" s="38"/>
      <c r="P7465" s="38"/>
      <c r="Q7465" s="39"/>
      <c r="R7465" s="39"/>
      <c r="S7465" s="38"/>
      <c r="T7465" s="39"/>
      <c r="U7465" s="39"/>
    </row>
    <row r="7466">
      <c r="A7466" s="40" t="str">
        <f t="shared" si="1"/>
        <v/>
      </c>
      <c r="B7466" s="37" t="str">
        <f t="array" ref="B7466">iferror(xlookup($I7466, 'IMPORT VHC Report'!$E:$E, 'IMPORT VHC Report'!$A:$C), )</f>
        <v/>
      </c>
      <c r="C7466" s="44"/>
      <c r="D7466" s="44"/>
      <c r="E7466" s="38"/>
      <c r="F7466" s="38"/>
      <c r="G7466" s="38"/>
      <c r="H7466" s="38"/>
      <c r="I7466" s="38"/>
      <c r="J7466" s="38"/>
      <c r="K7466" s="38"/>
      <c r="L7466" s="41"/>
      <c r="M7466" s="38"/>
      <c r="N7466" s="41"/>
      <c r="O7466" s="38"/>
      <c r="P7466" s="38"/>
      <c r="Q7466" s="39"/>
      <c r="R7466" s="39"/>
      <c r="S7466" s="39"/>
      <c r="T7466" s="39"/>
      <c r="U7466" s="39"/>
    </row>
    <row r="7467">
      <c r="A7467" s="40" t="str">
        <f t="shared" si="1"/>
        <v/>
      </c>
      <c r="B7467" s="37" t="str">
        <f t="array" ref="B7467">iferror(xlookup($I7467, 'IMPORT VHC Report'!$E:$E, 'IMPORT VHC Report'!$A:$C), )</f>
        <v/>
      </c>
      <c r="C7467" s="44"/>
      <c r="D7467" s="44"/>
      <c r="E7467" s="38"/>
      <c r="F7467" s="38"/>
      <c r="G7467" s="38"/>
      <c r="H7467" s="38"/>
      <c r="I7467" s="38"/>
      <c r="J7467" s="38"/>
      <c r="K7467" s="38"/>
      <c r="L7467" s="41"/>
      <c r="M7467" s="38"/>
      <c r="N7467" s="41"/>
      <c r="O7467" s="38"/>
      <c r="P7467" s="38"/>
      <c r="Q7467" s="39"/>
      <c r="R7467" s="39"/>
      <c r="S7467" s="39"/>
      <c r="T7467" s="39"/>
      <c r="U7467" s="39"/>
    </row>
    <row r="7468">
      <c r="A7468" s="40" t="str">
        <f t="shared" si="1"/>
        <v/>
      </c>
      <c r="B7468" s="37" t="str">
        <f t="array" ref="B7468">iferror(xlookup($I7468, 'IMPORT VHC Report'!$E:$E, 'IMPORT VHC Report'!$A:$C), )</f>
        <v/>
      </c>
      <c r="C7468" s="44"/>
      <c r="D7468" s="44"/>
      <c r="E7468" s="38"/>
      <c r="F7468" s="38"/>
      <c r="G7468" s="38"/>
      <c r="H7468" s="38"/>
      <c r="I7468" s="38"/>
      <c r="J7468" s="38"/>
      <c r="K7468" s="38"/>
      <c r="L7468" s="41"/>
      <c r="M7468" s="38"/>
      <c r="N7468" s="41"/>
      <c r="O7468" s="38"/>
      <c r="P7468" s="38"/>
      <c r="Q7468" s="39"/>
      <c r="R7468" s="39"/>
      <c r="S7468" s="39"/>
      <c r="T7468" s="39"/>
      <c r="U7468" s="39"/>
    </row>
    <row r="7469">
      <c r="A7469" s="40" t="str">
        <f t="shared" si="1"/>
        <v/>
      </c>
      <c r="B7469" s="37" t="str">
        <f t="array" ref="B7469">iferror(xlookup($I7469, 'IMPORT VHC Report'!$E:$E, 'IMPORT VHC Report'!$A:$C), )</f>
        <v/>
      </c>
      <c r="C7469" s="44"/>
      <c r="D7469" s="44"/>
      <c r="E7469" s="38"/>
      <c r="F7469" s="38"/>
      <c r="G7469" s="38"/>
      <c r="H7469" s="38"/>
      <c r="I7469" s="38"/>
      <c r="J7469" s="38"/>
      <c r="K7469" s="38"/>
      <c r="L7469" s="41"/>
      <c r="M7469" s="38"/>
      <c r="N7469" s="41"/>
      <c r="O7469" s="38"/>
      <c r="P7469" s="38"/>
      <c r="Q7469" s="39"/>
      <c r="R7469" s="39"/>
      <c r="S7469" s="39"/>
      <c r="T7469" s="39"/>
      <c r="U7469" s="39"/>
    </row>
    <row r="7470">
      <c r="A7470" s="40" t="str">
        <f t="shared" si="1"/>
        <v/>
      </c>
      <c r="B7470" s="37" t="str">
        <f t="array" ref="B7470">iferror(xlookup($I7470, 'IMPORT VHC Report'!$E:$E, 'IMPORT VHC Report'!$A:$C), )</f>
        <v/>
      </c>
      <c r="C7470" s="44"/>
      <c r="D7470" s="44"/>
      <c r="E7470" s="38"/>
      <c r="F7470" s="38"/>
      <c r="G7470" s="38"/>
      <c r="H7470" s="38"/>
      <c r="I7470" s="38"/>
      <c r="J7470" s="38"/>
      <c r="K7470" s="38"/>
      <c r="L7470" s="41"/>
      <c r="M7470" s="38"/>
      <c r="N7470" s="41"/>
      <c r="O7470" s="38"/>
      <c r="P7470" s="38"/>
      <c r="Q7470" s="39"/>
      <c r="R7470" s="39"/>
      <c r="S7470" s="39"/>
      <c r="T7470" s="39"/>
      <c r="U7470" s="39"/>
    </row>
    <row r="7471">
      <c r="A7471" s="40" t="str">
        <f t="shared" si="1"/>
        <v/>
      </c>
      <c r="B7471" s="37" t="str">
        <f t="array" ref="B7471">iferror(xlookup($I7471, 'IMPORT VHC Report'!$E:$E, 'IMPORT VHC Report'!$A:$C), )</f>
        <v/>
      </c>
      <c r="C7471" s="44"/>
      <c r="D7471" s="44"/>
      <c r="E7471" s="38"/>
      <c r="F7471" s="38"/>
      <c r="G7471" s="38"/>
      <c r="H7471" s="38"/>
      <c r="I7471" s="38"/>
      <c r="J7471" s="38"/>
      <c r="K7471" s="38"/>
      <c r="L7471" s="41"/>
      <c r="M7471" s="38"/>
      <c r="N7471" s="41"/>
      <c r="O7471" s="38"/>
      <c r="P7471" s="38"/>
      <c r="Q7471" s="39"/>
      <c r="R7471" s="39"/>
      <c r="S7471" s="39"/>
      <c r="T7471" s="39"/>
      <c r="U7471" s="39"/>
    </row>
    <row r="7472">
      <c r="A7472" s="40" t="str">
        <f t="shared" si="1"/>
        <v/>
      </c>
      <c r="B7472" s="37" t="str">
        <f t="array" ref="B7472">iferror(xlookup($I7472, 'IMPORT VHC Report'!$E:$E, 'IMPORT VHC Report'!$A:$C), )</f>
        <v/>
      </c>
      <c r="C7472" s="44"/>
      <c r="D7472" s="44"/>
      <c r="E7472" s="38"/>
      <c r="F7472" s="38"/>
      <c r="G7472" s="38"/>
      <c r="H7472" s="38"/>
      <c r="I7472" s="38"/>
      <c r="J7472" s="38"/>
      <c r="K7472" s="38"/>
      <c r="L7472" s="41"/>
      <c r="M7472" s="38"/>
      <c r="N7472" s="41"/>
      <c r="O7472" s="38"/>
      <c r="P7472" s="38"/>
      <c r="Q7472" s="39"/>
      <c r="R7472" s="39"/>
      <c r="S7472" s="39"/>
      <c r="T7472" s="39"/>
      <c r="U7472" s="39"/>
    </row>
    <row r="7473">
      <c r="A7473" s="40" t="str">
        <f t="shared" si="1"/>
        <v/>
      </c>
      <c r="B7473" s="37" t="str">
        <f t="array" ref="B7473">iferror(xlookup($I7473, 'IMPORT VHC Report'!$E:$E, 'IMPORT VHC Report'!$A:$C), )</f>
        <v/>
      </c>
      <c r="C7473" s="44"/>
      <c r="D7473" s="44"/>
      <c r="E7473" s="38"/>
      <c r="F7473" s="38"/>
      <c r="G7473" s="38"/>
      <c r="H7473" s="38"/>
      <c r="I7473" s="38"/>
      <c r="J7473" s="38"/>
      <c r="K7473" s="38"/>
      <c r="L7473" s="41"/>
      <c r="M7473" s="38"/>
      <c r="N7473" s="41"/>
      <c r="O7473" s="38"/>
      <c r="P7473" s="38"/>
      <c r="Q7473" s="38"/>
      <c r="R7473" s="39"/>
      <c r="S7473" s="39"/>
      <c r="T7473" s="39"/>
      <c r="U7473" s="39"/>
    </row>
    <row r="7474">
      <c r="A7474" s="40" t="str">
        <f t="shared" si="1"/>
        <v/>
      </c>
      <c r="B7474" s="37" t="str">
        <f t="array" ref="B7474">iferror(xlookup($I7474, 'IMPORT VHC Report'!$E:$E, 'IMPORT VHC Report'!$A:$C), )</f>
        <v/>
      </c>
      <c r="C7474" s="44"/>
      <c r="D7474" s="44"/>
      <c r="E7474" s="38"/>
      <c r="F7474" s="38"/>
      <c r="G7474" s="38"/>
      <c r="H7474" s="38"/>
      <c r="I7474" s="38"/>
      <c r="J7474" s="38"/>
      <c r="K7474" s="38"/>
      <c r="L7474" s="41"/>
      <c r="M7474" s="38"/>
      <c r="N7474" s="41"/>
      <c r="O7474" s="38"/>
      <c r="P7474" s="38"/>
      <c r="Q7474" s="39"/>
      <c r="R7474" s="39"/>
      <c r="S7474" s="39"/>
      <c r="T7474" s="39"/>
      <c r="U7474" s="39"/>
    </row>
    <row r="7475">
      <c r="A7475" s="40" t="str">
        <f t="shared" si="1"/>
        <v/>
      </c>
      <c r="B7475" s="37" t="str">
        <f t="array" ref="B7475">iferror(xlookup($I7475, 'IMPORT VHC Report'!$E:$E, 'IMPORT VHC Report'!$A:$C), )</f>
        <v/>
      </c>
      <c r="C7475" s="44"/>
      <c r="D7475" s="44"/>
      <c r="E7475" s="38"/>
      <c r="F7475" s="38"/>
      <c r="G7475" s="38"/>
      <c r="H7475" s="38"/>
      <c r="I7475" s="38"/>
      <c r="J7475" s="38"/>
      <c r="K7475" s="38"/>
      <c r="L7475" s="41"/>
      <c r="M7475" s="38"/>
      <c r="N7475" s="41"/>
      <c r="O7475" s="38"/>
      <c r="P7475" s="38"/>
      <c r="Q7475" s="39"/>
      <c r="R7475" s="39"/>
      <c r="S7475" s="39"/>
      <c r="T7475" s="39"/>
      <c r="U7475" s="39"/>
    </row>
    <row r="7476">
      <c r="A7476" s="40" t="str">
        <f t="shared" si="1"/>
        <v/>
      </c>
      <c r="B7476" s="37" t="str">
        <f t="array" ref="B7476">iferror(xlookup($I7476, 'IMPORT VHC Report'!$E:$E, 'IMPORT VHC Report'!$A:$C), )</f>
        <v/>
      </c>
      <c r="C7476" s="44"/>
      <c r="D7476" s="44"/>
      <c r="E7476" s="38"/>
      <c r="F7476" s="38"/>
      <c r="G7476" s="38"/>
      <c r="H7476" s="38"/>
      <c r="I7476" s="38"/>
      <c r="J7476" s="38"/>
      <c r="K7476" s="38"/>
      <c r="L7476" s="41"/>
      <c r="M7476" s="38"/>
      <c r="N7476" s="41"/>
      <c r="O7476" s="38"/>
      <c r="P7476" s="38"/>
      <c r="Q7476" s="39"/>
      <c r="R7476" s="39"/>
      <c r="S7476" s="39"/>
      <c r="T7476" s="39"/>
      <c r="U7476" s="39"/>
    </row>
    <row r="7477">
      <c r="A7477" s="40" t="str">
        <f t="shared" si="1"/>
        <v/>
      </c>
      <c r="B7477" s="37" t="str">
        <f t="array" ref="B7477">iferror(xlookup($I7477, 'IMPORT VHC Report'!$E:$E, 'IMPORT VHC Report'!$A:$C), )</f>
        <v/>
      </c>
      <c r="C7477" s="44"/>
      <c r="D7477" s="44"/>
      <c r="E7477" s="38"/>
      <c r="F7477" s="38"/>
      <c r="G7477" s="38"/>
      <c r="H7477" s="38"/>
      <c r="I7477" s="38"/>
      <c r="J7477" s="38"/>
      <c r="K7477" s="38"/>
      <c r="L7477" s="41"/>
      <c r="M7477" s="38"/>
      <c r="N7477" s="41"/>
      <c r="O7477" s="38"/>
      <c r="P7477" s="38"/>
      <c r="Q7477" s="39"/>
      <c r="R7477" s="39"/>
      <c r="S7477" s="39"/>
      <c r="T7477" s="39"/>
      <c r="U7477" s="39"/>
    </row>
    <row r="7478">
      <c r="A7478" s="40" t="str">
        <f t="shared" si="1"/>
        <v/>
      </c>
      <c r="B7478" s="37" t="str">
        <f t="array" ref="B7478">iferror(xlookup($I7478, 'IMPORT VHC Report'!$E:$E, 'IMPORT VHC Report'!$A:$C), )</f>
        <v/>
      </c>
      <c r="C7478" s="44"/>
      <c r="D7478" s="44"/>
      <c r="E7478" s="38"/>
      <c r="F7478" s="38"/>
      <c r="G7478" s="38"/>
      <c r="H7478" s="38"/>
      <c r="I7478" s="38"/>
      <c r="J7478" s="38"/>
      <c r="K7478" s="38"/>
      <c r="L7478" s="41"/>
      <c r="M7478" s="38"/>
      <c r="N7478" s="41"/>
      <c r="O7478" s="38"/>
      <c r="P7478" s="38"/>
      <c r="Q7478" s="39"/>
      <c r="R7478" s="39"/>
      <c r="S7478" s="39"/>
      <c r="T7478" s="39"/>
      <c r="U7478" s="39"/>
    </row>
    <row r="7479">
      <c r="A7479" s="40" t="str">
        <f t="shared" si="1"/>
        <v/>
      </c>
      <c r="B7479" s="37" t="str">
        <f t="array" ref="B7479">iferror(xlookup($I7479, 'IMPORT VHC Report'!$E:$E, 'IMPORT VHC Report'!$A:$C), )</f>
        <v/>
      </c>
      <c r="C7479" s="44"/>
      <c r="D7479" s="44"/>
      <c r="E7479" s="38"/>
      <c r="F7479" s="38"/>
      <c r="G7479" s="38"/>
      <c r="H7479" s="38"/>
      <c r="I7479" s="38"/>
      <c r="J7479" s="38"/>
      <c r="K7479" s="38"/>
      <c r="L7479" s="41"/>
      <c r="M7479" s="38"/>
      <c r="N7479" s="41"/>
      <c r="O7479" s="38"/>
      <c r="P7479" s="38"/>
      <c r="Q7479" s="39"/>
      <c r="R7479" s="39"/>
      <c r="S7479" s="39"/>
      <c r="T7479" s="39"/>
      <c r="U7479" s="39"/>
    </row>
    <row r="7480">
      <c r="A7480" s="40" t="str">
        <f t="shared" si="1"/>
        <v/>
      </c>
      <c r="B7480" s="37" t="str">
        <f t="array" ref="B7480">iferror(xlookup($I7480, 'IMPORT VHC Report'!$E:$E, 'IMPORT VHC Report'!$A:$C), )</f>
        <v/>
      </c>
      <c r="C7480" s="44"/>
      <c r="D7480" s="44"/>
      <c r="E7480" s="38"/>
      <c r="F7480" s="38"/>
      <c r="G7480" s="38"/>
      <c r="H7480" s="38"/>
      <c r="I7480" s="38"/>
      <c r="J7480" s="38"/>
      <c r="K7480" s="38"/>
      <c r="L7480" s="41"/>
      <c r="M7480" s="38"/>
      <c r="N7480" s="41"/>
      <c r="O7480" s="38"/>
      <c r="P7480" s="38"/>
      <c r="Q7480" s="39"/>
      <c r="R7480" s="39"/>
      <c r="S7480" s="38"/>
      <c r="T7480" s="39"/>
      <c r="U7480" s="39"/>
    </row>
    <row r="7481">
      <c r="A7481" s="40" t="str">
        <f t="shared" si="1"/>
        <v/>
      </c>
      <c r="B7481" s="37" t="str">
        <f t="array" ref="B7481">iferror(xlookup($I7481, 'IMPORT VHC Report'!$E:$E, 'IMPORT VHC Report'!$A:$C), )</f>
        <v/>
      </c>
      <c r="C7481" s="44"/>
      <c r="D7481" s="44"/>
      <c r="E7481" s="38"/>
      <c r="F7481" s="38"/>
      <c r="G7481" s="38"/>
      <c r="H7481" s="38"/>
      <c r="I7481" s="38"/>
      <c r="J7481" s="38"/>
      <c r="K7481" s="38"/>
      <c r="L7481" s="41"/>
      <c r="M7481" s="38"/>
      <c r="N7481" s="41"/>
      <c r="O7481" s="38"/>
      <c r="P7481" s="38"/>
      <c r="Q7481" s="39"/>
      <c r="R7481" s="39"/>
      <c r="S7481" s="39"/>
      <c r="T7481" s="39"/>
      <c r="U7481" s="39"/>
    </row>
    <row r="7482">
      <c r="A7482" s="40" t="str">
        <f t="shared" si="1"/>
        <v/>
      </c>
      <c r="B7482" s="37" t="str">
        <f t="array" ref="B7482">iferror(xlookup($I7482, 'IMPORT VHC Report'!$E:$E, 'IMPORT VHC Report'!$A:$C), )</f>
        <v/>
      </c>
      <c r="C7482" s="44"/>
      <c r="D7482" s="44"/>
      <c r="E7482" s="38"/>
      <c r="F7482" s="38"/>
      <c r="G7482" s="38"/>
      <c r="H7482" s="38"/>
      <c r="I7482" s="38"/>
      <c r="J7482" s="38"/>
      <c r="K7482" s="38"/>
      <c r="L7482" s="41"/>
      <c r="M7482" s="38"/>
      <c r="N7482" s="41"/>
      <c r="O7482" s="38"/>
      <c r="P7482" s="38"/>
      <c r="Q7482" s="39"/>
      <c r="R7482" s="39"/>
      <c r="S7482" s="39"/>
      <c r="T7482" s="39"/>
      <c r="U7482" s="39"/>
    </row>
    <row r="7483">
      <c r="A7483" s="40" t="str">
        <f t="shared" si="1"/>
        <v/>
      </c>
      <c r="B7483" s="37" t="str">
        <f t="array" ref="B7483">iferror(xlookup($I7483, 'IMPORT VHC Report'!$E:$E, 'IMPORT VHC Report'!$A:$C), )</f>
        <v/>
      </c>
      <c r="C7483" s="44"/>
      <c r="D7483" s="44"/>
      <c r="E7483" s="38"/>
      <c r="F7483" s="38"/>
      <c r="G7483" s="38"/>
      <c r="H7483" s="38"/>
      <c r="I7483" s="38"/>
      <c r="J7483" s="38"/>
      <c r="K7483" s="38"/>
      <c r="L7483" s="41"/>
      <c r="M7483" s="38"/>
      <c r="N7483" s="41"/>
      <c r="O7483" s="38"/>
      <c r="P7483" s="38"/>
      <c r="Q7483" s="39"/>
      <c r="R7483" s="39"/>
      <c r="S7483" s="39"/>
      <c r="T7483" s="39"/>
      <c r="U7483" s="39"/>
    </row>
    <row r="7484">
      <c r="A7484" s="40" t="str">
        <f t="shared" si="1"/>
        <v/>
      </c>
      <c r="B7484" s="37" t="str">
        <f t="array" ref="B7484">iferror(xlookup($I7484, 'IMPORT VHC Report'!$E:$E, 'IMPORT VHC Report'!$A:$C), )</f>
        <v/>
      </c>
      <c r="C7484" s="44"/>
      <c r="D7484" s="44"/>
      <c r="E7484" s="38"/>
      <c r="F7484" s="38"/>
      <c r="G7484" s="38"/>
      <c r="H7484" s="38"/>
      <c r="I7484" s="38"/>
      <c r="J7484" s="38"/>
      <c r="K7484" s="38"/>
      <c r="L7484" s="41"/>
      <c r="M7484" s="38"/>
      <c r="N7484" s="41"/>
      <c r="O7484" s="38"/>
      <c r="P7484" s="38"/>
      <c r="Q7484" s="38"/>
      <c r="R7484" s="39"/>
      <c r="S7484" s="39"/>
      <c r="T7484" s="39"/>
      <c r="U7484" s="39"/>
    </row>
    <row r="7485">
      <c r="A7485" s="40" t="str">
        <f t="shared" si="1"/>
        <v/>
      </c>
      <c r="B7485" s="37" t="str">
        <f t="array" ref="B7485">iferror(xlookup($I7485, 'IMPORT VHC Report'!$E:$E, 'IMPORT VHC Report'!$A:$C), )</f>
        <v/>
      </c>
      <c r="C7485" s="44"/>
      <c r="D7485" s="44"/>
      <c r="E7485" s="38"/>
      <c r="F7485" s="38"/>
      <c r="G7485" s="38"/>
      <c r="H7485" s="38"/>
      <c r="I7485" s="38"/>
      <c r="J7485" s="38"/>
      <c r="K7485" s="38"/>
      <c r="L7485" s="41"/>
      <c r="M7485" s="38"/>
      <c r="N7485" s="41"/>
      <c r="O7485" s="38"/>
      <c r="P7485" s="38"/>
      <c r="Q7485" s="39"/>
      <c r="R7485" s="39"/>
      <c r="S7485" s="39"/>
      <c r="T7485" s="39"/>
      <c r="U7485" s="39"/>
    </row>
    <row r="7486">
      <c r="A7486" s="40">
        <f t="shared" si="1"/>
        <v>46006</v>
      </c>
      <c r="B7486" s="37" t="str">
        <f t="array" ref="B7486">iferror(xlookup($I7486, 'IMPORT VHC Report'!$E:$E, 'IMPORT VHC Report'!$A:$C), )</f>
        <v/>
      </c>
      <c r="C7486" s="44"/>
      <c r="D7486" s="44"/>
      <c r="E7486" s="38" t="s">
        <v>5829</v>
      </c>
      <c r="F7486" s="38" t="s">
        <v>5795</v>
      </c>
      <c r="G7486" s="38">
        <v>3.61732054935E11</v>
      </c>
      <c r="H7486" s="38" t="s">
        <v>5796</v>
      </c>
      <c r="I7486" s="38" t="s">
        <v>5797</v>
      </c>
      <c r="J7486" s="38" t="s">
        <v>224</v>
      </c>
      <c r="K7486" s="38" t="s">
        <v>63</v>
      </c>
      <c r="L7486" s="41">
        <v>46012.927083333336</v>
      </c>
      <c r="M7486" s="38" t="s">
        <v>123</v>
      </c>
      <c r="N7486" s="41">
        <v>46013.010416666664</v>
      </c>
      <c r="O7486" s="38" t="s">
        <v>123</v>
      </c>
      <c r="P7486" s="38">
        <v>7200.0</v>
      </c>
      <c r="Q7486" s="39"/>
      <c r="R7486" s="39"/>
      <c r="S7486" s="39"/>
      <c r="T7486" s="39"/>
      <c r="U7486" s="39"/>
    </row>
    <row r="7487">
      <c r="A7487" s="40" t="str">
        <f t="shared" si="1"/>
        <v/>
      </c>
      <c r="B7487" s="37" t="str">
        <f t="array" ref="B7487">iferror(xlookup($I7487, 'IMPORT VHC Report'!$E:$E, 'IMPORT VHC Report'!$A:$C), )</f>
        <v/>
      </c>
      <c r="C7487" s="44"/>
      <c r="D7487" s="44"/>
      <c r="E7487" s="38"/>
      <c r="F7487" s="38"/>
      <c r="G7487" s="38"/>
      <c r="H7487" s="38"/>
      <c r="I7487" s="38"/>
      <c r="J7487" s="38"/>
      <c r="K7487" s="38"/>
      <c r="L7487" s="41"/>
      <c r="M7487" s="38"/>
      <c r="N7487" s="41"/>
      <c r="O7487" s="38"/>
      <c r="P7487" s="38"/>
      <c r="Q7487" s="39"/>
      <c r="R7487" s="39"/>
      <c r="S7487" s="39"/>
      <c r="T7487" s="39"/>
      <c r="U7487" s="39"/>
    </row>
    <row r="7488">
      <c r="A7488" s="40" t="str">
        <f t="shared" si="1"/>
        <v/>
      </c>
      <c r="B7488" s="37" t="str">
        <f t="array" ref="B7488">iferror(xlookup($I7488, 'IMPORT VHC Report'!$E:$E, 'IMPORT VHC Report'!$A:$C), )</f>
        <v/>
      </c>
      <c r="C7488" s="44"/>
      <c r="D7488" s="44"/>
      <c r="E7488" s="38"/>
      <c r="F7488" s="38"/>
      <c r="G7488" s="38"/>
      <c r="H7488" s="38"/>
      <c r="I7488" s="38"/>
      <c r="J7488" s="38"/>
      <c r="K7488" s="38"/>
      <c r="L7488" s="41"/>
      <c r="M7488" s="38"/>
      <c r="N7488" s="41"/>
      <c r="O7488" s="38"/>
      <c r="P7488" s="38"/>
      <c r="Q7488" s="39"/>
      <c r="R7488" s="39"/>
      <c r="S7488" s="38"/>
      <c r="T7488" s="39"/>
      <c r="U7488" s="39"/>
    </row>
    <row r="7489">
      <c r="A7489" s="40" t="str">
        <f t="shared" si="1"/>
        <v/>
      </c>
      <c r="B7489" s="37" t="str">
        <f t="array" ref="B7489">iferror(xlookup($I7489, 'IMPORT VHC Report'!$E:$E, 'IMPORT VHC Report'!$A:$C), )</f>
        <v/>
      </c>
      <c r="C7489" s="44"/>
      <c r="D7489" s="44"/>
      <c r="E7489" s="38"/>
      <c r="F7489" s="38"/>
      <c r="G7489" s="38"/>
      <c r="H7489" s="38"/>
      <c r="I7489" s="38"/>
      <c r="J7489" s="38"/>
      <c r="K7489" s="38"/>
      <c r="L7489" s="41"/>
      <c r="M7489" s="38"/>
      <c r="N7489" s="41"/>
      <c r="O7489" s="38"/>
      <c r="P7489" s="38"/>
      <c r="Q7489" s="39"/>
      <c r="R7489" s="39"/>
      <c r="S7489" s="38"/>
      <c r="T7489" s="39"/>
      <c r="U7489" s="39"/>
    </row>
    <row r="7490">
      <c r="A7490" s="40" t="str">
        <f t="shared" si="1"/>
        <v/>
      </c>
      <c r="B7490" s="37" t="str">
        <f t="array" ref="B7490">iferror(xlookup($I7490, 'IMPORT VHC Report'!$E:$E, 'IMPORT VHC Report'!$A:$C), )</f>
        <v/>
      </c>
      <c r="C7490" s="44"/>
      <c r="D7490" s="44"/>
      <c r="E7490" s="38"/>
      <c r="F7490" s="38"/>
      <c r="G7490" s="38"/>
      <c r="H7490" s="38"/>
      <c r="I7490" s="38"/>
      <c r="J7490" s="38"/>
      <c r="K7490" s="38"/>
      <c r="L7490" s="41"/>
      <c r="M7490" s="38"/>
      <c r="N7490" s="41"/>
      <c r="O7490" s="38"/>
      <c r="P7490" s="38"/>
      <c r="Q7490" s="39"/>
      <c r="R7490" s="39"/>
      <c r="S7490" s="39"/>
      <c r="T7490" s="39"/>
      <c r="U7490" s="39"/>
    </row>
    <row r="7491">
      <c r="A7491" s="40" t="str">
        <f t="shared" si="1"/>
        <v/>
      </c>
      <c r="B7491" s="37" t="str">
        <f t="array" ref="B7491">iferror(xlookup($I7491, 'IMPORT VHC Report'!$E:$E, 'IMPORT VHC Report'!$A:$C), )</f>
        <v/>
      </c>
      <c r="C7491" s="44"/>
      <c r="D7491" s="44"/>
      <c r="E7491" s="38"/>
      <c r="F7491" s="38"/>
      <c r="G7491" s="38"/>
      <c r="H7491" s="38"/>
      <c r="I7491" s="38"/>
      <c r="J7491" s="38"/>
      <c r="K7491" s="38"/>
      <c r="L7491" s="41"/>
      <c r="M7491" s="38"/>
      <c r="N7491" s="41"/>
      <c r="O7491" s="38"/>
      <c r="P7491" s="38"/>
      <c r="Q7491" s="39"/>
      <c r="R7491" s="39"/>
      <c r="S7491" s="39"/>
      <c r="T7491" s="39"/>
      <c r="U7491" s="39"/>
    </row>
    <row r="7492">
      <c r="A7492" s="40" t="str">
        <f t="shared" si="1"/>
        <v/>
      </c>
      <c r="B7492" s="37" t="str">
        <f t="array" ref="B7492">iferror(xlookup($I7492, 'IMPORT VHC Report'!$E:$E, 'IMPORT VHC Report'!$A:$C), )</f>
        <v/>
      </c>
      <c r="C7492" s="44"/>
      <c r="D7492" s="44"/>
      <c r="E7492" s="38"/>
      <c r="F7492" s="38"/>
      <c r="G7492" s="38"/>
      <c r="H7492" s="38"/>
      <c r="I7492" s="38"/>
      <c r="J7492" s="38"/>
      <c r="K7492" s="38"/>
      <c r="L7492" s="41"/>
      <c r="M7492" s="38"/>
      <c r="N7492" s="41"/>
      <c r="O7492" s="38"/>
      <c r="P7492" s="38"/>
      <c r="Q7492" s="39"/>
      <c r="R7492" s="39"/>
      <c r="S7492" s="38"/>
      <c r="T7492" s="39"/>
      <c r="U7492" s="39"/>
    </row>
    <row r="7493">
      <c r="A7493" s="40" t="str">
        <f t="shared" si="1"/>
        <v/>
      </c>
      <c r="B7493" s="37" t="str">
        <f t="array" ref="B7493">iferror(xlookup($I7493, 'IMPORT VHC Report'!$E:$E, 'IMPORT VHC Report'!$A:$C), )</f>
        <v/>
      </c>
      <c r="C7493" s="44"/>
      <c r="D7493" s="44"/>
      <c r="E7493" s="38"/>
      <c r="F7493" s="38"/>
      <c r="G7493" s="38"/>
      <c r="H7493" s="38"/>
      <c r="I7493" s="38"/>
      <c r="J7493" s="38"/>
      <c r="K7493" s="38"/>
      <c r="L7493" s="41"/>
      <c r="M7493" s="38"/>
      <c r="N7493" s="41"/>
      <c r="O7493" s="38"/>
      <c r="P7493" s="38"/>
      <c r="Q7493" s="39"/>
      <c r="R7493" s="39"/>
      <c r="S7493" s="39"/>
      <c r="T7493" s="39"/>
      <c r="U7493" s="39"/>
    </row>
    <row r="7494">
      <c r="A7494" s="40" t="str">
        <f t="shared" si="1"/>
        <v/>
      </c>
      <c r="B7494" s="37" t="str">
        <f t="array" ref="B7494">iferror(xlookup($I7494, 'IMPORT VHC Report'!$E:$E, 'IMPORT VHC Report'!$A:$C), )</f>
        <v/>
      </c>
      <c r="C7494" s="44"/>
      <c r="D7494" s="44"/>
      <c r="E7494" s="38"/>
      <c r="F7494" s="38"/>
      <c r="G7494" s="38"/>
      <c r="H7494" s="38"/>
      <c r="I7494" s="38"/>
      <c r="J7494" s="38"/>
      <c r="K7494" s="38"/>
      <c r="L7494" s="41"/>
      <c r="M7494" s="38"/>
      <c r="N7494" s="41"/>
      <c r="O7494" s="38"/>
      <c r="P7494" s="38"/>
      <c r="Q7494" s="39"/>
      <c r="R7494" s="39"/>
      <c r="S7494" s="39"/>
      <c r="T7494" s="39"/>
      <c r="U7494" s="39"/>
    </row>
    <row r="7495">
      <c r="A7495" s="40" t="str">
        <f t="shared" si="1"/>
        <v/>
      </c>
      <c r="B7495" s="37" t="str">
        <f t="array" ref="B7495">iferror(xlookup($I7495, 'IMPORT VHC Report'!$E:$E, 'IMPORT VHC Report'!$A:$C), )</f>
        <v/>
      </c>
      <c r="C7495" s="44"/>
      <c r="D7495" s="44"/>
      <c r="E7495" s="38"/>
      <c r="F7495" s="38"/>
      <c r="G7495" s="38"/>
      <c r="H7495" s="38"/>
      <c r="I7495" s="38"/>
      <c r="J7495" s="38"/>
      <c r="K7495" s="38"/>
      <c r="L7495" s="41"/>
      <c r="M7495" s="38"/>
      <c r="N7495" s="41"/>
      <c r="O7495" s="38"/>
      <c r="P7495" s="38"/>
      <c r="Q7495" s="39"/>
      <c r="R7495" s="39"/>
      <c r="S7495" s="39"/>
      <c r="T7495" s="39"/>
      <c r="U7495" s="39"/>
    </row>
    <row r="7496">
      <c r="A7496" s="40" t="str">
        <f t="shared" si="1"/>
        <v/>
      </c>
      <c r="B7496" s="37" t="str">
        <f t="array" ref="B7496">iferror(xlookup($I7496, 'IMPORT VHC Report'!$E:$E, 'IMPORT VHC Report'!$A:$C), )</f>
        <v/>
      </c>
      <c r="C7496" s="44"/>
      <c r="D7496" s="44"/>
      <c r="E7496" s="38"/>
      <c r="F7496" s="38"/>
      <c r="G7496" s="38"/>
      <c r="H7496" s="38"/>
      <c r="I7496" s="38"/>
      <c r="J7496" s="38"/>
      <c r="K7496" s="38"/>
      <c r="L7496" s="41"/>
      <c r="M7496" s="38"/>
      <c r="N7496" s="41"/>
      <c r="O7496" s="38"/>
      <c r="P7496" s="38"/>
      <c r="Q7496" s="39"/>
      <c r="R7496" s="39"/>
      <c r="S7496" s="38"/>
      <c r="T7496" s="39"/>
      <c r="U7496" s="39"/>
    </row>
    <row r="7497">
      <c r="A7497" s="40" t="str">
        <f t="shared" si="1"/>
        <v/>
      </c>
      <c r="B7497" s="37" t="str">
        <f t="array" ref="B7497">iferror(xlookup($I7497, 'IMPORT VHC Report'!$E:$E, 'IMPORT VHC Report'!$A:$C), )</f>
        <v/>
      </c>
      <c r="C7497" s="44"/>
      <c r="D7497" s="44"/>
      <c r="E7497" s="38"/>
      <c r="F7497" s="38"/>
      <c r="G7497" s="38"/>
      <c r="H7497" s="38"/>
      <c r="I7497" s="38"/>
      <c r="J7497" s="38"/>
      <c r="K7497" s="38"/>
      <c r="L7497" s="41"/>
      <c r="M7497" s="38"/>
      <c r="N7497" s="41"/>
      <c r="O7497" s="38"/>
      <c r="P7497" s="38"/>
      <c r="Q7497" s="39"/>
      <c r="R7497" s="39"/>
      <c r="S7497" s="39"/>
      <c r="T7497" s="39"/>
      <c r="U7497" s="39"/>
    </row>
    <row r="7498">
      <c r="A7498" s="40" t="str">
        <f t="shared" si="1"/>
        <v/>
      </c>
      <c r="B7498" s="37" t="str">
        <f t="array" ref="B7498">iferror(xlookup($I7498, 'IMPORT VHC Report'!$E:$E, 'IMPORT VHC Report'!$A:$C), )</f>
        <v/>
      </c>
      <c r="C7498" s="44"/>
      <c r="D7498" s="44"/>
      <c r="E7498" s="38"/>
      <c r="F7498" s="38"/>
      <c r="G7498" s="38"/>
      <c r="H7498" s="38"/>
      <c r="I7498" s="38"/>
      <c r="J7498" s="38"/>
      <c r="K7498" s="38"/>
      <c r="L7498" s="41"/>
      <c r="M7498" s="38"/>
      <c r="N7498" s="41"/>
      <c r="O7498" s="38"/>
      <c r="P7498" s="38"/>
      <c r="Q7498" s="39"/>
      <c r="R7498" s="39"/>
      <c r="S7498" s="39"/>
      <c r="T7498" s="39"/>
      <c r="U7498" s="39"/>
    </row>
    <row r="7499">
      <c r="A7499" s="40" t="str">
        <f t="shared" si="1"/>
        <v/>
      </c>
      <c r="B7499" s="37" t="str">
        <f t="array" ref="B7499">iferror(xlookup($I7499, 'IMPORT VHC Report'!$E:$E, 'IMPORT VHC Report'!$A:$C), )</f>
        <v/>
      </c>
      <c r="C7499" s="44"/>
      <c r="D7499" s="44"/>
      <c r="E7499" s="38"/>
      <c r="F7499" s="38"/>
      <c r="G7499" s="38"/>
      <c r="H7499" s="38"/>
      <c r="I7499" s="38"/>
      <c r="J7499" s="38"/>
      <c r="K7499" s="38"/>
      <c r="L7499" s="41"/>
      <c r="M7499" s="38"/>
      <c r="N7499" s="41"/>
      <c r="O7499" s="38"/>
      <c r="P7499" s="38"/>
      <c r="Q7499" s="39"/>
      <c r="R7499" s="39"/>
      <c r="S7499" s="39"/>
      <c r="T7499" s="39"/>
      <c r="U7499" s="39"/>
    </row>
    <row r="7500">
      <c r="A7500" s="40" t="str">
        <f t="shared" si="1"/>
        <v/>
      </c>
      <c r="B7500" s="37" t="str">
        <f t="array" ref="B7500">iferror(xlookup($I7500, 'IMPORT VHC Report'!$E:$E, 'IMPORT VHC Report'!$A:$C), )</f>
        <v/>
      </c>
      <c r="C7500" s="44"/>
      <c r="D7500" s="44"/>
      <c r="E7500" s="38"/>
      <c r="F7500" s="38"/>
      <c r="G7500" s="38"/>
      <c r="H7500" s="38"/>
      <c r="I7500" s="38"/>
      <c r="J7500" s="38"/>
      <c r="K7500" s="38"/>
      <c r="L7500" s="41"/>
      <c r="M7500" s="38"/>
      <c r="N7500" s="41"/>
      <c r="O7500" s="38"/>
      <c r="P7500" s="38"/>
      <c r="Q7500" s="39"/>
      <c r="R7500" s="39"/>
      <c r="S7500" s="38"/>
      <c r="T7500" s="39"/>
      <c r="U7500" s="39"/>
    </row>
    <row r="7501">
      <c r="A7501" s="40" t="str">
        <f t="shared" si="1"/>
        <v/>
      </c>
      <c r="B7501" s="37" t="str">
        <f t="array" ref="B7501">iferror(xlookup($I7501, 'IMPORT VHC Report'!$E:$E, 'IMPORT VHC Report'!$A:$C), )</f>
        <v/>
      </c>
      <c r="C7501" s="44"/>
      <c r="D7501" s="44"/>
      <c r="E7501" s="38"/>
      <c r="F7501" s="38"/>
      <c r="G7501" s="38"/>
      <c r="H7501" s="38"/>
      <c r="I7501" s="38"/>
      <c r="J7501" s="38"/>
      <c r="K7501" s="38"/>
      <c r="L7501" s="41"/>
      <c r="M7501" s="38"/>
      <c r="N7501" s="41"/>
      <c r="O7501" s="38"/>
      <c r="P7501" s="38"/>
      <c r="Q7501" s="39"/>
      <c r="R7501" s="39"/>
      <c r="S7501" s="39"/>
      <c r="T7501" s="39"/>
      <c r="U7501" s="39"/>
    </row>
    <row r="7502">
      <c r="A7502" s="40" t="str">
        <f t="shared" si="1"/>
        <v/>
      </c>
      <c r="B7502" s="37" t="str">
        <f t="array" ref="B7502">iferror(xlookup($I7502, 'IMPORT VHC Report'!$E:$E, 'IMPORT VHC Report'!$A:$C), )</f>
        <v/>
      </c>
      <c r="C7502" s="44"/>
      <c r="D7502" s="44"/>
      <c r="E7502" s="38"/>
      <c r="F7502" s="38"/>
      <c r="G7502" s="38"/>
      <c r="H7502" s="38"/>
      <c r="I7502" s="38"/>
      <c r="J7502" s="38"/>
      <c r="K7502" s="38"/>
      <c r="L7502" s="41"/>
      <c r="M7502" s="38"/>
      <c r="N7502" s="41"/>
      <c r="O7502" s="38"/>
      <c r="P7502" s="38"/>
      <c r="Q7502" s="39"/>
      <c r="R7502" s="39"/>
      <c r="S7502" s="39"/>
      <c r="T7502" s="39"/>
      <c r="U7502" s="39"/>
    </row>
    <row r="7503">
      <c r="A7503" s="40" t="str">
        <f t="shared" si="1"/>
        <v/>
      </c>
      <c r="B7503" s="37" t="str">
        <f t="array" ref="B7503">iferror(xlookup($I7503, 'IMPORT VHC Report'!$E:$E, 'IMPORT VHC Report'!$A:$C), )</f>
        <v/>
      </c>
      <c r="C7503" s="44"/>
      <c r="D7503" s="44"/>
      <c r="E7503" s="38"/>
      <c r="F7503" s="38"/>
      <c r="G7503" s="38"/>
      <c r="H7503" s="38"/>
      <c r="I7503" s="38"/>
      <c r="J7503" s="38"/>
      <c r="K7503" s="38"/>
      <c r="L7503" s="41"/>
      <c r="M7503" s="38"/>
      <c r="N7503" s="41"/>
      <c r="O7503" s="38"/>
      <c r="P7503" s="38"/>
      <c r="Q7503" s="39"/>
      <c r="R7503" s="39"/>
      <c r="S7503" s="39"/>
      <c r="T7503" s="39"/>
      <c r="U7503" s="39"/>
    </row>
    <row r="7504">
      <c r="A7504" s="40" t="str">
        <f t="shared" si="1"/>
        <v/>
      </c>
      <c r="B7504" s="37" t="str">
        <f t="array" ref="B7504">iferror(xlookup($I7504, 'IMPORT VHC Report'!$E:$E, 'IMPORT VHC Report'!$A:$C), )</f>
        <v/>
      </c>
      <c r="C7504" s="44"/>
      <c r="D7504" s="44"/>
      <c r="E7504" s="38"/>
      <c r="F7504" s="38"/>
      <c r="G7504" s="38"/>
      <c r="H7504" s="38"/>
      <c r="I7504" s="38"/>
      <c r="J7504" s="38"/>
      <c r="K7504" s="38"/>
      <c r="L7504" s="41"/>
      <c r="M7504" s="38"/>
      <c r="N7504" s="41"/>
      <c r="O7504" s="38"/>
      <c r="P7504" s="38"/>
      <c r="Q7504" s="39"/>
      <c r="R7504" s="39"/>
      <c r="S7504" s="39"/>
      <c r="T7504" s="39"/>
      <c r="U7504" s="39"/>
    </row>
    <row r="7505">
      <c r="A7505" s="40" t="str">
        <f t="shared" si="1"/>
        <v/>
      </c>
      <c r="B7505" s="37" t="str">
        <f t="array" ref="B7505">iferror(xlookup($I7505, 'IMPORT VHC Report'!$E:$E, 'IMPORT VHC Report'!$A:$C), )</f>
        <v/>
      </c>
      <c r="C7505" s="44"/>
      <c r="D7505" s="44"/>
      <c r="E7505" s="38"/>
      <c r="F7505" s="38"/>
      <c r="G7505" s="38"/>
      <c r="H7505" s="38"/>
      <c r="I7505" s="38"/>
      <c r="J7505" s="38"/>
      <c r="K7505" s="38"/>
      <c r="L7505" s="41"/>
      <c r="M7505" s="38"/>
      <c r="N7505" s="41"/>
      <c r="O7505" s="38"/>
      <c r="P7505" s="38"/>
      <c r="Q7505" s="39"/>
      <c r="R7505" s="39"/>
      <c r="S7505" s="38"/>
      <c r="T7505" s="39"/>
      <c r="U7505" s="39"/>
    </row>
    <row r="7506">
      <c r="A7506" s="40" t="str">
        <f t="shared" si="1"/>
        <v/>
      </c>
      <c r="B7506" s="37" t="str">
        <f t="array" ref="B7506">iferror(xlookup($I7506, 'IMPORT VHC Report'!$E:$E, 'IMPORT VHC Report'!$A:$C), )</f>
        <v/>
      </c>
      <c r="C7506" s="44"/>
      <c r="D7506" s="44"/>
      <c r="E7506" s="38"/>
      <c r="F7506" s="38"/>
      <c r="G7506" s="38"/>
      <c r="H7506" s="38"/>
      <c r="I7506" s="38"/>
      <c r="J7506" s="38"/>
      <c r="K7506" s="38"/>
      <c r="L7506" s="41"/>
      <c r="M7506" s="38"/>
      <c r="N7506" s="41"/>
      <c r="O7506" s="38"/>
      <c r="P7506" s="38"/>
      <c r="Q7506" s="39"/>
      <c r="R7506" s="39"/>
      <c r="S7506" s="38"/>
      <c r="T7506" s="39"/>
      <c r="U7506" s="39"/>
    </row>
    <row r="7507">
      <c r="A7507" s="40" t="str">
        <f t="shared" si="1"/>
        <v/>
      </c>
      <c r="B7507" s="37" t="str">
        <f t="array" ref="B7507">iferror(xlookup($I7507, 'IMPORT VHC Report'!$E:$E, 'IMPORT VHC Report'!$A:$C), )</f>
        <v/>
      </c>
      <c r="C7507" s="44"/>
      <c r="D7507" s="44"/>
      <c r="E7507" s="38"/>
      <c r="F7507" s="38"/>
      <c r="G7507" s="38"/>
      <c r="H7507" s="38"/>
      <c r="I7507" s="38"/>
      <c r="J7507" s="38"/>
      <c r="K7507" s="38"/>
      <c r="L7507" s="41"/>
      <c r="M7507" s="38"/>
      <c r="N7507" s="41"/>
      <c r="O7507" s="38"/>
      <c r="P7507" s="38"/>
      <c r="Q7507" s="39"/>
      <c r="R7507" s="39"/>
      <c r="S7507" s="39"/>
      <c r="T7507" s="39"/>
      <c r="U7507" s="39"/>
    </row>
    <row r="7508">
      <c r="A7508" s="40" t="str">
        <f t="shared" si="1"/>
        <v/>
      </c>
      <c r="B7508" s="37" t="str">
        <f t="array" ref="B7508">iferror(xlookup($I7508, 'IMPORT VHC Report'!$E:$E, 'IMPORT VHC Report'!$A:$C), )</f>
        <v/>
      </c>
      <c r="C7508" s="44"/>
      <c r="D7508" s="44"/>
      <c r="E7508" s="38"/>
      <c r="F7508" s="38"/>
      <c r="G7508" s="38"/>
      <c r="H7508" s="38"/>
      <c r="I7508" s="38"/>
      <c r="J7508" s="38"/>
      <c r="K7508" s="38"/>
      <c r="L7508" s="41"/>
      <c r="M7508" s="38"/>
      <c r="N7508" s="41"/>
      <c r="O7508" s="38"/>
      <c r="P7508" s="38"/>
      <c r="Q7508" s="39"/>
      <c r="R7508" s="39"/>
      <c r="S7508" s="39"/>
      <c r="T7508" s="39"/>
      <c r="U7508" s="39"/>
    </row>
    <row r="7509">
      <c r="A7509" s="40" t="str">
        <f t="shared" si="1"/>
        <v/>
      </c>
      <c r="B7509" s="37" t="str">
        <f t="array" ref="B7509">iferror(xlookup($I7509, 'IMPORT VHC Report'!$E:$E, 'IMPORT VHC Report'!$A:$C), )</f>
        <v/>
      </c>
      <c r="C7509" s="44"/>
      <c r="D7509" s="44"/>
      <c r="E7509" s="38"/>
      <c r="F7509" s="38"/>
      <c r="G7509" s="38"/>
      <c r="H7509" s="38"/>
      <c r="I7509" s="38"/>
      <c r="J7509" s="38"/>
      <c r="K7509" s="38"/>
      <c r="L7509" s="41"/>
      <c r="M7509" s="38"/>
      <c r="N7509" s="41"/>
      <c r="O7509" s="38"/>
      <c r="P7509" s="38"/>
      <c r="Q7509" s="39"/>
      <c r="R7509" s="39"/>
      <c r="S7509" s="38"/>
      <c r="T7509" s="39"/>
      <c r="U7509" s="39"/>
    </row>
    <row r="7510">
      <c r="A7510" s="40" t="str">
        <f t="shared" si="1"/>
        <v/>
      </c>
      <c r="B7510" s="37" t="str">
        <f t="array" ref="B7510">iferror(xlookup($I7510, 'IMPORT VHC Report'!$E:$E, 'IMPORT VHC Report'!$A:$C), )</f>
        <v/>
      </c>
      <c r="C7510" s="44"/>
      <c r="D7510" s="44"/>
      <c r="E7510" s="38"/>
      <c r="F7510" s="38"/>
      <c r="G7510" s="38"/>
      <c r="H7510" s="38"/>
      <c r="I7510" s="38"/>
      <c r="J7510" s="38"/>
      <c r="K7510" s="38"/>
      <c r="L7510" s="41"/>
      <c r="M7510" s="38"/>
      <c r="N7510" s="41"/>
      <c r="O7510" s="38"/>
      <c r="P7510" s="38"/>
      <c r="Q7510" s="39"/>
      <c r="R7510" s="39"/>
      <c r="S7510" s="39"/>
      <c r="T7510" s="39"/>
      <c r="U7510" s="39"/>
    </row>
    <row r="7511">
      <c r="A7511" s="40" t="str">
        <f t="shared" si="1"/>
        <v/>
      </c>
      <c r="B7511" s="37" t="str">
        <f t="array" ref="B7511">iferror(xlookup($I7511, 'IMPORT VHC Report'!$E:$E, 'IMPORT VHC Report'!$A:$C), )</f>
        <v/>
      </c>
      <c r="C7511" s="44"/>
      <c r="D7511" s="44"/>
      <c r="E7511" s="38"/>
      <c r="F7511" s="38"/>
      <c r="G7511" s="38"/>
      <c r="H7511" s="38"/>
      <c r="I7511" s="38"/>
      <c r="J7511" s="38"/>
      <c r="K7511" s="38"/>
      <c r="L7511" s="41"/>
      <c r="M7511" s="38"/>
      <c r="N7511" s="41"/>
      <c r="O7511" s="38"/>
      <c r="P7511" s="38"/>
      <c r="Q7511" s="39"/>
      <c r="R7511" s="39"/>
      <c r="S7511" s="38"/>
      <c r="T7511" s="39"/>
      <c r="U7511" s="39"/>
    </row>
    <row r="7512">
      <c r="A7512" s="40" t="str">
        <f t="shared" si="1"/>
        <v/>
      </c>
      <c r="B7512" s="37" t="str">
        <f t="array" ref="B7512">iferror(xlookup($I7512, 'IMPORT VHC Report'!$E:$E, 'IMPORT VHC Report'!$A:$C), )</f>
        <v/>
      </c>
      <c r="C7512" s="44"/>
      <c r="D7512" s="44"/>
      <c r="E7512" s="38"/>
      <c r="F7512" s="38"/>
      <c r="G7512" s="38"/>
      <c r="H7512" s="38"/>
      <c r="I7512" s="38"/>
      <c r="J7512" s="38"/>
      <c r="K7512" s="38"/>
      <c r="L7512" s="41"/>
      <c r="M7512" s="38"/>
      <c r="N7512" s="41"/>
      <c r="O7512" s="38"/>
      <c r="P7512" s="38"/>
      <c r="Q7512" s="39"/>
      <c r="R7512" s="39"/>
      <c r="S7512" s="39"/>
      <c r="T7512" s="39"/>
      <c r="U7512" s="39"/>
    </row>
    <row r="7513">
      <c r="A7513" s="40" t="str">
        <f t="shared" si="1"/>
        <v/>
      </c>
      <c r="B7513" s="37" t="str">
        <f t="array" ref="B7513">iferror(xlookup($I7513, 'IMPORT VHC Report'!$E:$E, 'IMPORT VHC Report'!$A:$C), )</f>
        <v/>
      </c>
      <c r="C7513" s="44"/>
      <c r="D7513" s="44"/>
      <c r="E7513" s="38"/>
      <c r="F7513" s="38"/>
      <c r="G7513" s="38"/>
      <c r="H7513" s="38"/>
      <c r="I7513" s="38"/>
      <c r="J7513" s="38"/>
      <c r="K7513" s="38"/>
      <c r="L7513" s="41"/>
      <c r="M7513" s="38"/>
      <c r="N7513" s="41"/>
      <c r="O7513" s="38"/>
      <c r="P7513" s="38"/>
      <c r="Q7513" s="39"/>
      <c r="R7513" s="39"/>
      <c r="S7513" s="39"/>
      <c r="T7513" s="39"/>
      <c r="U7513" s="39"/>
    </row>
    <row r="7514">
      <c r="A7514" s="40">
        <f t="shared" si="1"/>
        <v>46006</v>
      </c>
      <c r="B7514" s="37" t="str">
        <f t="array" ref="B7514">iferror(xlookup($I7514, 'IMPORT VHC Report'!$E:$E, 'IMPORT VHC Report'!$A:$C), )</f>
        <v/>
      </c>
      <c r="C7514" s="44"/>
      <c r="D7514" s="44"/>
      <c r="E7514" s="38" t="s">
        <v>260</v>
      </c>
      <c r="F7514" s="38" t="s">
        <v>221</v>
      </c>
      <c r="G7514" s="38">
        <v>1.1035371839887E13</v>
      </c>
      <c r="H7514" s="38" t="s">
        <v>222</v>
      </c>
      <c r="I7514" s="38" t="s">
        <v>223</v>
      </c>
      <c r="J7514" s="38" t="s">
        <v>132</v>
      </c>
      <c r="K7514" s="38" t="s">
        <v>126</v>
      </c>
      <c r="L7514" s="41">
        <v>46012.979166666664</v>
      </c>
      <c r="M7514" s="38" t="s">
        <v>123</v>
      </c>
      <c r="N7514" s="41">
        <v>46013.020833333336</v>
      </c>
      <c r="O7514" s="38" t="s">
        <v>123</v>
      </c>
      <c r="P7514" s="38">
        <v>3600.0</v>
      </c>
      <c r="Q7514" s="39"/>
      <c r="R7514" s="39"/>
      <c r="S7514" s="39"/>
      <c r="T7514" s="39"/>
      <c r="U7514" s="39"/>
    </row>
    <row r="7515">
      <c r="A7515" s="40">
        <f t="shared" si="1"/>
        <v>46006</v>
      </c>
      <c r="B7515" s="37" t="str">
        <f t="array" ref="B7515">iferror(xlookup($I7515, 'IMPORT VHC Report'!$E:$E, 'IMPORT VHC Report'!$A:$C), )</f>
        <v/>
      </c>
      <c r="C7515" s="44"/>
      <c r="D7515" s="44"/>
      <c r="E7515" s="38" t="s">
        <v>261</v>
      </c>
      <c r="F7515" s="38" t="s">
        <v>221</v>
      </c>
      <c r="G7515" s="38">
        <v>1.1035371839887E13</v>
      </c>
      <c r="H7515" s="38" t="s">
        <v>222</v>
      </c>
      <c r="I7515" s="38" t="s">
        <v>223</v>
      </c>
      <c r="J7515" s="38" t="s">
        <v>224</v>
      </c>
      <c r="K7515" s="38" t="s">
        <v>63</v>
      </c>
      <c r="L7515" s="41">
        <v>46012.979166666664</v>
      </c>
      <c r="M7515" s="38" t="s">
        <v>123</v>
      </c>
      <c r="N7515" s="41">
        <v>46013.166666666664</v>
      </c>
      <c r="O7515" s="38" t="s">
        <v>123</v>
      </c>
      <c r="P7515" s="38">
        <v>16200.0</v>
      </c>
      <c r="Q7515" s="39"/>
      <c r="R7515" s="39"/>
      <c r="S7515" s="39"/>
      <c r="T7515" s="39"/>
      <c r="U7515" s="39"/>
    </row>
    <row r="7516">
      <c r="A7516" s="40" t="str">
        <f t="shared" si="1"/>
        <v/>
      </c>
      <c r="B7516" s="37" t="str">
        <f t="array" ref="B7516">iferror(xlookup($I7516, 'IMPORT VHC Report'!$E:$E, 'IMPORT VHC Report'!$A:$C), )</f>
        <v/>
      </c>
      <c r="C7516" s="44"/>
      <c r="D7516" s="44"/>
      <c r="E7516" s="38"/>
      <c r="F7516" s="38"/>
      <c r="G7516" s="38"/>
      <c r="H7516" s="38"/>
      <c r="I7516" s="38"/>
      <c r="J7516" s="38"/>
      <c r="K7516" s="38"/>
      <c r="L7516" s="41"/>
      <c r="M7516" s="38"/>
      <c r="N7516" s="41"/>
      <c r="O7516" s="38"/>
      <c r="P7516" s="38"/>
      <c r="Q7516" s="39"/>
      <c r="R7516" s="39"/>
      <c r="S7516" s="39"/>
      <c r="T7516" s="39"/>
      <c r="U7516" s="39"/>
    </row>
    <row r="7517">
      <c r="A7517" s="40" t="str">
        <f t="shared" si="1"/>
        <v/>
      </c>
      <c r="B7517" s="37" t="str">
        <f t="array" ref="B7517">iferror(xlookup($I7517, 'IMPORT VHC Report'!$E:$E, 'IMPORT VHC Report'!$A:$C), )</f>
        <v/>
      </c>
      <c r="C7517" s="44"/>
      <c r="D7517" s="44"/>
      <c r="E7517" s="38"/>
      <c r="F7517" s="38"/>
      <c r="G7517" s="38"/>
      <c r="H7517" s="38"/>
      <c r="I7517" s="38"/>
      <c r="J7517" s="38"/>
      <c r="K7517" s="38"/>
      <c r="L7517" s="41"/>
      <c r="M7517" s="38"/>
      <c r="N7517" s="41"/>
      <c r="O7517" s="38"/>
      <c r="P7517" s="38"/>
      <c r="Q7517" s="39"/>
      <c r="R7517" s="39"/>
      <c r="S7517" s="38"/>
      <c r="T7517" s="39"/>
      <c r="U7517" s="39"/>
    </row>
    <row r="7518">
      <c r="A7518" s="40" t="str">
        <f t="shared" si="1"/>
        <v/>
      </c>
      <c r="B7518" s="37" t="str">
        <f t="array" ref="B7518">iferror(xlookup($I7518, 'IMPORT VHC Report'!$E:$E, 'IMPORT VHC Report'!$A:$C), )</f>
        <v/>
      </c>
      <c r="C7518" s="44"/>
      <c r="D7518" s="44"/>
      <c r="E7518" s="38"/>
      <c r="F7518" s="38"/>
      <c r="G7518" s="38"/>
      <c r="H7518" s="38"/>
      <c r="I7518" s="38"/>
      <c r="J7518" s="38"/>
      <c r="K7518" s="38"/>
      <c r="L7518" s="41"/>
      <c r="M7518" s="38"/>
      <c r="N7518" s="41"/>
      <c r="O7518" s="38"/>
      <c r="P7518" s="38"/>
      <c r="Q7518" s="39"/>
      <c r="R7518" s="39"/>
      <c r="S7518" s="39"/>
      <c r="T7518" s="39"/>
      <c r="U7518" s="39"/>
    </row>
    <row r="7519">
      <c r="A7519" s="40" t="str">
        <f t="shared" si="1"/>
        <v/>
      </c>
      <c r="B7519" s="37" t="str">
        <f t="array" ref="B7519">iferror(xlookup($I7519, 'IMPORT VHC Report'!$E:$E, 'IMPORT VHC Report'!$A:$C), )</f>
        <v/>
      </c>
      <c r="C7519" s="44"/>
      <c r="D7519" s="44"/>
      <c r="E7519" s="38"/>
      <c r="F7519" s="38"/>
      <c r="G7519" s="38"/>
      <c r="H7519" s="38"/>
      <c r="I7519" s="38"/>
      <c r="J7519" s="38"/>
      <c r="K7519" s="38"/>
      <c r="L7519" s="41"/>
      <c r="M7519" s="38"/>
      <c r="N7519" s="41"/>
      <c r="O7519" s="38"/>
      <c r="P7519" s="38"/>
      <c r="Q7519" s="39"/>
      <c r="R7519" s="39"/>
      <c r="S7519" s="39"/>
      <c r="T7519" s="39"/>
      <c r="U7519" s="39"/>
    </row>
    <row r="7520">
      <c r="A7520" s="40" t="str">
        <f t="shared" si="1"/>
        <v/>
      </c>
      <c r="B7520" s="37" t="str">
        <f t="array" ref="B7520">iferror(xlookup($I7520, 'IMPORT VHC Report'!$E:$E, 'IMPORT VHC Report'!$A:$C), )</f>
        <v/>
      </c>
      <c r="C7520" s="44"/>
      <c r="D7520" s="44"/>
      <c r="E7520" s="38"/>
      <c r="F7520" s="38"/>
      <c r="G7520" s="38"/>
      <c r="H7520" s="38"/>
      <c r="I7520" s="38"/>
      <c r="J7520" s="38"/>
      <c r="K7520" s="38"/>
      <c r="L7520" s="41"/>
      <c r="M7520" s="38"/>
      <c r="N7520" s="41"/>
      <c r="O7520" s="38"/>
      <c r="P7520" s="38"/>
      <c r="Q7520" s="39"/>
      <c r="R7520" s="39"/>
      <c r="S7520" s="39"/>
      <c r="T7520" s="39"/>
      <c r="U7520" s="39"/>
    </row>
    <row r="7521">
      <c r="A7521" s="40" t="str">
        <f t="shared" si="1"/>
        <v/>
      </c>
      <c r="B7521" s="37" t="str">
        <f t="array" ref="B7521">iferror(xlookup($I7521, 'IMPORT VHC Report'!$E:$E, 'IMPORT VHC Report'!$A:$C), )</f>
        <v/>
      </c>
      <c r="C7521" s="44"/>
      <c r="D7521" s="44"/>
      <c r="E7521" s="38"/>
      <c r="F7521" s="38"/>
      <c r="G7521" s="38"/>
      <c r="H7521" s="38"/>
      <c r="I7521" s="38"/>
      <c r="J7521" s="38"/>
      <c r="K7521" s="38"/>
      <c r="L7521" s="41"/>
      <c r="M7521" s="38"/>
      <c r="N7521" s="41"/>
      <c r="O7521" s="38"/>
      <c r="P7521" s="38"/>
      <c r="Q7521" s="39"/>
      <c r="R7521" s="39"/>
      <c r="S7521" s="39"/>
      <c r="T7521" s="39"/>
      <c r="U7521" s="39"/>
    </row>
    <row r="7522">
      <c r="A7522" s="40" t="str">
        <f t="shared" si="1"/>
        <v/>
      </c>
      <c r="B7522" s="37" t="str">
        <f t="array" ref="B7522">iferror(xlookup($I7522, 'IMPORT VHC Report'!$E:$E, 'IMPORT VHC Report'!$A:$C), )</f>
        <v/>
      </c>
      <c r="C7522" s="44"/>
      <c r="D7522" s="44"/>
      <c r="E7522" s="38"/>
      <c r="F7522" s="38"/>
      <c r="G7522" s="38"/>
      <c r="H7522" s="38"/>
      <c r="I7522" s="38"/>
      <c r="J7522" s="38"/>
      <c r="K7522" s="38"/>
      <c r="L7522" s="41"/>
      <c r="M7522" s="38"/>
      <c r="N7522" s="41"/>
      <c r="O7522" s="38"/>
      <c r="P7522" s="38"/>
      <c r="Q7522" s="39"/>
      <c r="R7522" s="39"/>
      <c r="S7522" s="39"/>
      <c r="T7522" s="39"/>
      <c r="U7522" s="39"/>
    </row>
    <row r="7523">
      <c r="A7523" s="40" t="str">
        <f t="shared" si="1"/>
        <v/>
      </c>
      <c r="B7523" s="37" t="str">
        <f t="array" ref="B7523">iferror(xlookup($I7523, 'IMPORT VHC Report'!$E:$E, 'IMPORT VHC Report'!$A:$C), )</f>
        <v/>
      </c>
      <c r="C7523" s="44"/>
      <c r="D7523" s="44"/>
      <c r="E7523" s="38"/>
      <c r="F7523" s="38"/>
      <c r="G7523" s="38"/>
      <c r="H7523" s="38"/>
      <c r="I7523" s="38"/>
      <c r="J7523" s="38"/>
      <c r="K7523" s="38"/>
      <c r="L7523" s="41"/>
      <c r="M7523" s="38"/>
      <c r="N7523" s="41"/>
      <c r="O7523" s="38"/>
      <c r="P7523" s="38"/>
      <c r="Q7523" s="39"/>
      <c r="R7523" s="39"/>
      <c r="S7523" s="38"/>
      <c r="T7523" s="39"/>
      <c r="U7523" s="39"/>
    </row>
    <row r="7524">
      <c r="A7524" s="40" t="str">
        <f t="shared" si="1"/>
        <v/>
      </c>
      <c r="B7524" s="37" t="str">
        <f t="array" ref="B7524">iferror(xlookup($I7524, 'IMPORT VHC Report'!$E:$E, 'IMPORT VHC Report'!$A:$C), )</f>
        <v/>
      </c>
      <c r="C7524" s="44"/>
      <c r="D7524" s="44"/>
      <c r="E7524" s="38"/>
      <c r="F7524" s="38"/>
      <c r="G7524" s="38"/>
      <c r="H7524" s="38"/>
      <c r="I7524" s="38"/>
      <c r="J7524" s="38"/>
      <c r="K7524" s="38"/>
      <c r="L7524" s="41"/>
      <c r="M7524" s="38"/>
      <c r="N7524" s="41"/>
      <c r="O7524" s="38"/>
      <c r="P7524" s="38"/>
      <c r="Q7524" s="39"/>
      <c r="R7524" s="39"/>
      <c r="S7524" s="39"/>
      <c r="T7524" s="39"/>
      <c r="U7524" s="39"/>
    </row>
    <row r="7525">
      <c r="A7525" s="40" t="str">
        <f t="shared" si="1"/>
        <v/>
      </c>
      <c r="B7525" s="37" t="str">
        <f t="array" ref="B7525">iferror(xlookup($I7525, 'IMPORT VHC Report'!$E:$E, 'IMPORT VHC Report'!$A:$C), )</f>
        <v/>
      </c>
      <c r="C7525" s="44"/>
      <c r="D7525" s="44"/>
      <c r="E7525" s="38"/>
      <c r="F7525" s="38"/>
      <c r="G7525" s="38"/>
      <c r="H7525" s="38"/>
      <c r="I7525" s="38"/>
      <c r="J7525" s="38"/>
      <c r="K7525" s="38"/>
      <c r="L7525" s="41"/>
      <c r="M7525" s="38"/>
      <c r="N7525" s="41"/>
      <c r="O7525" s="38"/>
      <c r="P7525" s="38"/>
      <c r="Q7525" s="39"/>
      <c r="R7525" s="39"/>
      <c r="S7525" s="39"/>
      <c r="T7525" s="39"/>
      <c r="U7525" s="39"/>
    </row>
    <row r="7526">
      <c r="A7526" s="40" t="str">
        <f t="shared" si="1"/>
        <v/>
      </c>
      <c r="B7526" s="37" t="str">
        <f t="array" ref="B7526">iferror(xlookup($I7526, 'IMPORT VHC Report'!$E:$E, 'IMPORT VHC Report'!$A:$C), )</f>
        <v/>
      </c>
      <c r="C7526" s="44"/>
      <c r="D7526" s="44"/>
      <c r="E7526" s="38"/>
      <c r="F7526" s="38"/>
      <c r="G7526" s="38"/>
      <c r="H7526" s="38"/>
      <c r="I7526" s="38"/>
      <c r="J7526" s="38"/>
      <c r="K7526" s="38"/>
      <c r="L7526" s="41"/>
      <c r="M7526" s="38"/>
      <c r="N7526" s="41"/>
      <c r="O7526" s="38"/>
      <c r="P7526" s="38"/>
      <c r="Q7526" s="39"/>
      <c r="R7526" s="39"/>
      <c r="S7526" s="39"/>
      <c r="T7526" s="39"/>
      <c r="U7526" s="39"/>
    </row>
    <row r="7527">
      <c r="A7527" s="40" t="str">
        <f t="shared" si="1"/>
        <v/>
      </c>
      <c r="B7527" s="37" t="str">
        <f t="array" ref="B7527">iferror(xlookup($I7527, 'IMPORT VHC Report'!$E:$E, 'IMPORT VHC Report'!$A:$C), )</f>
        <v/>
      </c>
      <c r="C7527" s="44"/>
      <c r="D7527" s="44"/>
      <c r="E7527" s="38"/>
      <c r="F7527" s="38"/>
      <c r="G7527" s="38"/>
      <c r="H7527" s="38"/>
      <c r="I7527" s="38"/>
      <c r="J7527" s="38"/>
      <c r="K7527" s="38"/>
      <c r="L7527" s="41"/>
      <c r="M7527" s="38"/>
      <c r="N7527" s="41"/>
      <c r="O7527" s="38"/>
      <c r="P7527" s="38"/>
      <c r="Q7527" s="39"/>
      <c r="R7527" s="39"/>
      <c r="S7527" s="39"/>
      <c r="T7527" s="39"/>
      <c r="U7527" s="39"/>
    </row>
    <row r="7528">
      <c r="A7528" s="40" t="str">
        <f t="shared" si="1"/>
        <v/>
      </c>
      <c r="B7528" s="37" t="str">
        <f t="array" ref="B7528">iferror(xlookup($I7528, 'IMPORT VHC Report'!$E:$E, 'IMPORT VHC Report'!$A:$C), )</f>
        <v/>
      </c>
      <c r="C7528" s="44"/>
      <c r="D7528" s="44"/>
      <c r="E7528" s="38"/>
      <c r="F7528" s="38"/>
      <c r="G7528" s="38"/>
      <c r="H7528" s="38"/>
      <c r="I7528" s="38"/>
      <c r="J7528" s="38"/>
      <c r="K7528" s="38"/>
      <c r="L7528" s="41"/>
      <c r="M7528" s="38"/>
      <c r="N7528" s="41"/>
      <c r="O7528" s="38"/>
      <c r="P7528" s="38"/>
      <c r="Q7528" s="39"/>
      <c r="R7528" s="39"/>
      <c r="S7528" s="39"/>
      <c r="T7528" s="39"/>
      <c r="U7528" s="39"/>
    </row>
    <row r="7529">
      <c r="A7529" s="40" t="str">
        <f t="shared" si="1"/>
        <v/>
      </c>
      <c r="B7529" s="37" t="str">
        <f t="array" ref="B7529">iferror(xlookup($I7529, 'IMPORT VHC Report'!$E:$E, 'IMPORT VHC Report'!$A:$C), )</f>
        <v/>
      </c>
      <c r="C7529" s="44"/>
      <c r="D7529" s="44"/>
      <c r="E7529" s="38"/>
      <c r="F7529" s="38"/>
      <c r="G7529" s="38"/>
      <c r="H7529" s="38"/>
      <c r="I7529" s="38"/>
      <c r="J7529" s="38"/>
      <c r="K7529" s="38"/>
      <c r="L7529" s="41"/>
      <c r="M7529" s="38"/>
      <c r="N7529" s="41"/>
      <c r="O7529" s="38"/>
      <c r="P7529" s="38"/>
      <c r="Q7529" s="39"/>
      <c r="R7529" s="39"/>
      <c r="S7529" s="39"/>
      <c r="T7529" s="39"/>
      <c r="U7529" s="39"/>
    </row>
    <row r="7530">
      <c r="A7530" s="40" t="str">
        <f t="shared" si="1"/>
        <v/>
      </c>
      <c r="B7530" s="37" t="str">
        <f t="array" ref="B7530">iferror(xlookup($I7530, 'IMPORT VHC Report'!$E:$E, 'IMPORT VHC Report'!$A:$C), )</f>
        <v/>
      </c>
      <c r="C7530" s="44"/>
      <c r="D7530" s="44"/>
      <c r="E7530" s="38"/>
      <c r="F7530" s="38"/>
      <c r="G7530" s="38"/>
      <c r="H7530" s="38"/>
      <c r="I7530" s="38"/>
      <c r="J7530" s="38"/>
      <c r="K7530" s="38"/>
      <c r="L7530" s="41"/>
      <c r="M7530" s="38"/>
      <c r="N7530" s="41"/>
      <c r="O7530" s="38"/>
      <c r="P7530" s="38"/>
      <c r="Q7530" s="39"/>
      <c r="R7530" s="39"/>
      <c r="S7530" s="39"/>
      <c r="T7530" s="39"/>
      <c r="U7530" s="39"/>
    </row>
    <row r="7531">
      <c r="A7531" s="40" t="str">
        <f t="shared" si="1"/>
        <v/>
      </c>
      <c r="B7531" s="37" t="str">
        <f t="array" ref="B7531">iferror(xlookup($I7531, 'IMPORT VHC Report'!$E:$E, 'IMPORT VHC Report'!$A:$C), )</f>
        <v/>
      </c>
      <c r="C7531" s="44"/>
      <c r="D7531" s="44"/>
      <c r="E7531" s="38"/>
      <c r="F7531" s="38"/>
      <c r="G7531" s="38"/>
      <c r="H7531" s="38"/>
      <c r="I7531" s="38"/>
      <c r="J7531" s="38"/>
      <c r="K7531" s="38"/>
      <c r="L7531" s="41"/>
      <c r="M7531" s="38"/>
      <c r="N7531" s="41"/>
      <c r="O7531" s="38"/>
      <c r="P7531" s="38"/>
      <c r="Q7531" s="39"/>
      <c r="R7531" s="39"/>
      <c r="S7531" s="39"/>
      <c r="T7531" s="39"/>
      <c r="U7531" s="39"/>
    </row>
    <row r="7532">
      <c r="A7532" s="40" t="str">
        <f t="shared" si="1"/>
        <v/>
      </c>
      <c r="B7532" s="37" t="str">
        <f t="array" ref="B7532">iferror(xlookup($I7532, 'IMPORT VHC Report'!$E:$E, 'IMPORT VHC Report'!$A:$C), )</f>
        <v/>
      </c>
      <c r="C7532" s="44"/>
      <c r="D7532" s="44"/>
      <c r="E7532" s="38"/>
      <c r="F7532" s="38"/>
      <c r="G7532" s="38"/>
      <c r="H7532" s="38"/>
      <c r="I7532" s="38"/>
      <c r="J7532" s="38"/>
      <c r="K7532" s="38"/>
      <c r="L7532" s="41"/>
      <c r="M7532" s="38"/>
      <c r="N7532" s="41"/>
      <c r="O7532" s="38"/>
      <c r="P7532" s="38"/>
      <c r="Q7532" s="39"/>
      <c r="R7532" s="39"/>
      <c r="S7532" s="39"/>
      <c r="T7532" s="39"/>
      <c r="U7532" s="39"/>
    </row>
    <row r="7533">
      <c r="A7533" s="40" t="str">
        <f t="shared" si="1"/>
        <v/>
      </c>
      <c r="B7533" s="37" t="str">
        <f t="array" ref="B7533">iferror(xlookup($I7533, 'IMPORT VHC Report'!$E:$E, 'IMPORT VHC Report'!$A:$C), )</f>
        <v/>
      </c>
      <c r="C7533" s="44"/>
      <c r="D7533" s="44"/>
      <c r="E7533" s="38"/>
      <c r="F7533" s="38"/>
      <c r="G7533" s="38"/>
      <c r="H7533" s="38"/>
      <c r="I7533" s="38"/>
      <c r="J7533" s="38"/>
      <c r="K7533" s="38"/>
      <c r="L7533" s="41"/>
      <c r="M7533" s="38"/>
      <c r="N7533" s="41"/>
      <c r="O7533" s="38"/>
      <c r="P7533" s="38"/>
      <c r="Q7533" s="38"/>
      <c r="R7533" s="39"/>
      <c r="S7533" s="39"/>
      <c r="T7533" s="39"/>
      <c r="U7533" s="39"/>
    </row>
    <row r="7534">
      <c r="A7534" s="40" t="str">
        <f t="shared" si="1"/>
        <v/>
      </c>
      <c r="B7534" s="37" t="str">
        <f t="array" ref="B7534">iferror(xlookup($I7534, 'IMPORT VHC Report'!$E:$E, 'IMPORT VHC Report'!$A:$C), )</f>
        <v/>
      </c>
      <c r="C7534" s="44"/>
      <c r="D7534" s="44"/>
      <c r="E7534" s="38"/>
      <c r="F7534" s="38"/>
      <c r="G7534" s="38"/>
      <c r="H7534" s="38"/>
      <c r="I7534" s="38"/>
      <c r="J7534" s="38"/>
      <c r="K7534" s="38"/>
      <c r="L7534" s="41"/>
      <c r="M7534" s="38"/>
      <c r="N7534" s="41"/>
      <c r="O7534" s="38"/>
      <c r="P7534" s="38"/>
      <c r="Q7534" s="39"/>
      <c r="R7534" s="39"/>
      <c r="S7534" s="39"/>
      <c r="T7534" s="39"/>
      <c r="U7534" s="39"/>
    </row>
    <row r="7535">
      <c r="A7535" s="40" t="str">
        <f t="shared" si="1"/>
        <v/>
      </c>
      <c r="B7535" s="37" t="str">
        <f t="array" ref="B7535">iferror(xlookup($I7535, 'IMPORT VHC Report'!$E:$E, 'IMPORT VHC Report'!$A:$C), )</f>
        <v/>
      </c>
      <c r="C7535" s="44"/>
      <c r="D7535" s="44"/>
      <c r="E7535" s="38"/>
      <c r="F7535" s="38"/>
      <c r="G7535" s="38"/>
      <c r="H7535" s="38"/>
      <c r="I7535" s="38"/>
      <c r="J7535" s="38"/>
      <c r="K7535" s="38"/>
      <c r="L7535" s="41"/>
      <c r="M7535" s="38"/>
      <c r="N7535" s="41"/>
      <c r="O7535" s="38"/>
      <c r="P7535" s="38"/>
      <c r="Q7535" s="39"/>
      <c r="R7535" s="39"/>
      <c r="S7535" s="39"/>
      <c r="T7535" s="39"/>
      <c r="U7535" s="39"/>
    </row>
    <row r="7536">
      <c r="A7536" s="40" t="str">
        <f t="shared" si="1"/>
        <v/>
      </c>
      <c r="B7536" s="37" t="str">
        <f t="array" ref="B7536">iferror(xlookup($I7536, 'IMPORT VHC Report'!$E:$E, 'IMPORT VHC Report'!$A:$C), )</f>
        <v/>
      </c>
      <c r="C7536" s="44"/>
      <c r="D7536" s="44"/>
      <c r="E7536" s="38"/>
      <c r="F7536" s="38"/>
      <c r="G7536" s="38"/>
      <c r="H7536" s="38"/>
      <c r="I7536" s="38"/>
      <c r="J7536" s="38"/>
      <c r="K7536" s="38"/>
      <c r="L7536" s="41"/>
      <c r="M7536" s="38"/>
      <c r="N7536" s="41"/>
      <c r="O7536" s="38"/>
      <c r="P7536" s="38"/>
      <c r="Q7536" s="39"/>
      <c r="R7536" s="39"/>
      <c r="S7536" s="39"/>
      <c r="T7536" s="39"/>
      <c r="U7536" s="39"/>
    </row>
    <row r="7537">
      <c r="A7537" s="40" t="str">
        <f t="shared" si="1"/>
        <v/>
      </c>
      <c r="B7537" s="37" t="str">
        <f t="array" ref="B7537">iferror(xlookup($I7537, 'IMPORT VHC Report'!$E:$E, 'IMPORT VHC Report'!$A:$C), )</f>
        <v/>
      </c>
      <c r="C7537" s="44"/>
      <c r="D7537" s="44"/>
      <c r="E7537" s="38"/>
      <c r="F7537" s="38"/>
      <c r="G7537" s="38"/>
      <c r="H7537" s="38"/>
      <c r="I7537" s="38"/>
      <c r="J7537" s="38"/>
      <c r="K7537" s="38"/>
      <c r="L7537" s="41"/>
      <c r="M7537" s="38"/>
      <c r="N7537" s="41"/>
      <c r="O7537" s="38"/>
      <c r="P7537" s="38"/>
      <c r="Q7537" s="39"/>
      <c r="R7537" s="39"/>
      <c r="S7537" s="39"/>
      <c r="T7537" s="39"/>
      <c r="U7537" s="39"/>
    </row>
    <row r="7538">
      <c r="A7538" s="40" t="str">
        <f t="shared" si="1"/>
        <v/>
      </c>
      <c r="B7538" s="37" t="str">
        <f t="array" ref="B7538">iferror(xlookup($I7538, 'IMPORT VHC Report'!$E:$E, 'IMPORT VHC Report'!$A:$C), )</f>
        <v/>
      </c>
      <c r="C7538" s="44"/>
      <c r="D7538" s="44"/>
      <c r="E7538" s="38"/>
      <c r="F7538" s="38"/>
      <c r="G7538" s="38"/>
      <c r="H7538" s="38"/>
      <c r="I7538" s="38"/>
      <c r="J7538" s="38"/>
      <c r="K7538" s="38"/>
      <c r="L7538" s="41"/>
      <c r="M7538" s="38"/>
      <c r="N7538" s="41"/>
      <c r="O7538" s="38"/>
      <c r="P7538" s="38"/>
      <c r="Q7538" s="39"/>
      <c r="R7538" s="39"/>
      <c r="S7538" s="39"/>
      <c r="T7538" s="39"/>
      <c r="U7538" s="39"/>
    </row>
    <row r="7539">
      <c r="A7539" s="40" t="str">
        <f t="shared" si="1"/>
        <v/>
      </c>
      <c r="B7539" s="37" t="str">
        <f t="array" ref="B7539">iferror(xlookup($I7539, 'IMPORT VHC Report'!$E:$E, 'IMPORT VHC Report'!$A:$C), )</f>
        <v/>
      </c>
      <c r="C7539" s="44"/>
      <c r="D7539" s="44"/>
      <c r="E7539" s="38"/>
      <c r="F7539" s="38"/>
      <c r="G7539" s="38"/>
      <c r="H7539" s="38"/>
      <c r="I7539" s="38"/>
      <c r="J7539" s="38"/>
      <c r="K7539" s="38"/>
      <c r="L7539" s="41"/>
      <c r="M7539" s="38"/>
      <c r="N7539" s="41"/>
      <c r="O7539" s="38"/>
      <c r="P7539" s="38"/>
      <c r="Q7539" s="39"/>
      <c r="R7539" s="39"/>
      <c r="S7539" s="39"/>
      <c r="T7539" s="39"/>
      <c r="U7539" s="39"/>
    </row>
    <row r="7540">
      <c r="A7540" s="40" t="str">
        <f t="shared" si="1"/>
        <v/>
      </c>
      <c r="B7540" s="37" t="str">
        <f t="array" ref="B7540">iferror(xlookup($I7540, 'IMPORT VHC Report'!$E:$E, 'IMPORT VHC Report'!$A:$C), )</f>
        <v/>
      </c>
      <c r="C7540" s="44"/>
      <c r="D7540" s="44"/>
      <c r="E7540" s="38"/>
      <c r="F7540" s="38"/>
      <c r="G7540" s="38"/>
      <c r="H7540" s="38"/>
      <c r="I7540" s="38"/>
      <c r="J7540" s="38"/>
      <c r="K7540" s="38"/>
      <c r="L7540" s="41"/>
      <c r="M7540" s="38"/>
      <c r="N7540" s="41"/>
      <c r="O7540" s="38"/>
      <c r="P7540" s="38"/>
      <c r="Q7540" s="39"/>
      <c r="R7540" s="39"/>
      <c r="S7540" s="39"/>
      <c r="T7540" s="39"/>
      <c r="U7540" s="39"/>
    </row>
    <row r="7541">
      <c r="A7541" s="40" t="str">
        <f t="shared" si="1"/>
        <v/>
      </c>
      <c r="B7541" s="37" t="str">
        <f t="array" ref="B7541">iferror(xlookup($I7541, 'IMPORT VHC Report'!$E:$E, 'IMPORT VHC Report'!$A:$C), )</f>
        <v/>
      </c>
      <c r="C7541" s="44"/>
      <c r="D7541" s="44"/>
      <c r="E7541" s="38"/>
      <c r="F7541" s="38"/>
      <c r="G7541" s="38"/>
      <c r="H7541" s="38"/>
      <c r="I7541" s="38"/>
      <c r="J7541" s="38"/>
      <c r="K7541" s="38"/>
      <c r="L7541" s="41"/>
      <c r="M7541" s="38"/>
      <c r="N7541" s="41"/>
      <c r="O7541" s="38"/>
      <c r="P7541" s="38"/>
      <c r="Q7541" s="39"/>
      <c r="R7541" s="39"/>
      <c r="S7541" s="39"/>
      <c r="T7541" s="39"/>
      <c r="U7541" s="39"/>
    </row>
    <row r="7542">
      <c r="A7542" s="40" t="str">
        <f t="shared" si="1"/>
        <v/>
      </c>
      <c r="B7542" s="37" t="str">
        <f t="array" ref="B7542">iferror(xlookup($I7542, 'IMPORT VHC Report'!$E:$E, 'IMPORT VHC Report'!$A:$C), )</f>
        <v/>
      </c>
      <c r="C7542" s="44"/>
      <c r="D7542" s="44"/>
      <c r="E7542" s="38"/>
      <c r="F7542" s="38"/>
      <c r="G7542" s="38"/>
      <c r="H7542" s="38"/>
      <c r="I7542" s="38"/>
      <c r="J7542" s="38"/>
      <c r="K7542" s="38"/>
      <c r="L7542" s="41"/>
      <c r="M7542" s="38"/>
      <c r="N7542" s="41"/>
      <c r="O7542" s="38"/>
      <c r="P7542" s="38"/>
      <c r="Q7542" s="39"/>
      <c r="R7542" s="39"/>
      <c r="S7542" s="39"/>
      <c r="T7542" s="39"/>
      <c r="U7542" s="39"/>
    </row>
    <row r="7543">
      <c r="A7543" s="40">
        <f t="shared" si="1"/>
        <v>46006</v>
      </c>
      <c r="B7543" s="37" t="str">
        <f t="array" ref="B7543">iferror(xlookup($I7543, 'IMPORT VHC Report'!$E:$E, 'IMPORT VHC Report'!$A:$C), )</f>
        <v/>
      </c>
      <c r="C7543" s="44"/>
      <c r="D7543" s="44"/>
      <c r="E7543" s="38" t="s">
        <v>945</v>
      </c>
      <c r="F7543" s="38" t="s">
        <v>901</v>
      </c>
      <c r="G7543" s="38">
        <v>8.904451015951E12</v>
      </c>
      <c r="H7543" s="38" t="s">
        <v>902</v>
      </c>
      <c r="I7543" s="38" t="s">
        <v>903</v>
      </c>
      <c r="J7543" s="38" t="s">
        <v>224</v>
      </c>
      <c r="K7543" s="38" t="s">
        <v>63</v>
      </c>
      <c r="L7543" s="41">
        <v>46012.989583333336</v>
      </c>
      <c r="M7543" s="38" t="s">
        <v>123</v>
      </c>
      <c r="N7543" s="41">
        <v>46013.21875</v>
      </c>
      <c r="O7543" s="38" t="s">
        <v>123</v>
      </c>
      <c r="P7543" s="38">
        <v>19800.0</v>
      </c>
      <c r="Q7543" s="39"/>
      <c r="R7543" s="39"/>
      <c r="S7543" s="39"/>
      <c r="T7543" s="39"/>
      <c r="U7543" s="39"/>
    </row>
    <row r="7544">
      <c r="A7544" s="40" t="str">
        <f t="shared" si="1"/>
        <v/>
      </c>
      <c r="B7544" s="37" t="str">
        <f t="array" ref="B7544">iferror(xlookup($I7544, 'IMPORT VHC Report'!$E:$E, 'IMPORT VHC Report'!$A:$C), )</f>
        <v/>
      </c>
      <c r="C7544" s="44"/>
      <c r="D7544" s="44"/>
      <c r="E7544" s="38"/>
      <c r="F7544" s="38"/>
      <c r="G7544" s="38"/>
      <c r="H7544" s="38"/>
      <c r="I7544" s="38"/>
      <c r="J7544" s="38"/>
      <c r="K7544" s="38"/>
      <c r="L7544" s="41"/>
      <c r="M7544" s="38"/>
      <c r="N7544" s="41"/>
      <c r="O7544" s="38"/>
      <c r="P7544" s="38"/>
      <c r="Q7544" s="39"/>
      <c r="R7544" s="39"/>
      <c r="S7544" s="39"/>
      <c r="T7544" s="39"/>
      <c r="U7544" s="39"/>
    </row>
    <row r="7545">
      <c r="A7545" s="40" t="str">
        <f t="shared" si="1"/>
        <v/>
      </c>
      <c r="B7545" s="37" t="str">
        <f t="array" ref="B7545">iferror(xlookup($I7545, 'IMPORT VHC Report'!$E:$E, 'IMPORT VHC Report'!$A:$C), )</f>
        <v/>
      </c>
      <c r="C7545" s="44"/>
      <c r="D7545" s="44"/>
      <c r="E7545" s="38"/>
      <c r="F7545" s="38"/>
      <c r="G7545" s="38"/>
      <c r="H7545" s="38"/>
      <c r="I7545" s="38"/>
      <c r="J7545" s="38"/>
      <c r="K7545" s="38"/>
      <c r="L7545" s="41"/>
      <c r="M7545" s="38"/>
      <c r="N7545" s="41"/>
      <c r="O7545" s="38"/>
      <c r="P7545" s="38"/>
      <c r="Q7545" s="39"/>
      <c r="R7545" s="39"/>
      <c r="S7545" s="39"/>
      <c r="T7545" s="39"/>
      <c r="U7545" s="39"/>
    </row>
    <row r="7546">
      <c r="A7546" s="40" t="str">
        <f t="shared" si="1"/>
        <v/>
      </c>
      <c r="B7546" s="37" t="str">
        <f t="array" ref="B7546">iferror(xlookup($I7546, 'IMPORT VHC Report'!$E:$E, 'IMPORT VHC Report'!$A:$C), )</f>
        <v/>
      </c>
      <c r="C7546" s="44"/>
      <c r="D7546" s="44"/>
      <c r="E7546" s="38"/>
      <c r="F7546" s="38"/>
      <c r="G7546" s="38"/>
      <c r="H7546" s="38"/>
      <c r="I7546" s="38"/>
      <c r="J7546" s="38"/>
      <c r="K7546" s="38"/>
      <c r="L7546" s="41"/>
      <c r="M7546" s="38"/>
      <c r="N7546" s="41"/>
      <c r="O7546" s="38"/>
      <c r="P7546" s="38"/>
      <c r="Q7546" s="39"/>
      <c r="R7546" s="39"/>
      <c r="S7546" s="39"/>
      <c r="T7546" s="39"/>
      <c r="U7546" s="39"/>
    </row>
    <row r="7547">
      <c r="A7547" s="40" t="str">
        <f t="shared" si="1"/>
        <v/>
      </c>
      <c r="B7547" s="37" t="str">
        <f t="array" ref="B7547">iferror(xlookup($I7547, 'IMPORT VHC Report'!$E:$E, 'IMPORT VHC Report'!$A:$C), )</f>
        <v/>
      </c>
      <c r="C7547" s="44"/>
      <c r="D7547" s="44"/>
      <c r="E7547" s="38"/>
      <c r="F7547" s="38"/>
      <c r="G7547" s="38"/>
      <c r="H7547" s="38"/>
      <c r="I7547" s="38"/>
      <c r="J7547" s="38"/>
      <c r="K7547" s="38"/>
      <c r="L7547" s="41"/>
      <c r="M7547" s="38"/>
      <c r="N7547" s="41"/>
      <c r="O7547" s="38"/>
      <c r="P7547" s="38"/>
      <c r="Q7547" s="39"/>
      <c r="R7547" s="39"/>
      <c r="S7547" s="39"/>
      <c r="T7547" s="39"/>
      <c r="U7547" s="39"/>
    </row>
    <row r="7548">
      <c r="A7548" s="40" t="str">
        <f t="shared" si="1"/>
        <v/>
      </c>
      <c r="B7548" s="37" t="str">
        <f t="array" ref="B7548">iferror(xlookup($I7548, 'IMPORT VHC Report'!$E:$E, 'IMPORT VHC Report'!$A:$C), )</f>
        <v/>
      </c>
      <c r="C7548" s="44"/>
      <c r="D7548" s="44"/>
      <c r="E7548" s="38"/>
      <c r="F7548" s="38"/>
      <c r="G7548" s="38"/>
      <c r="H7548" s="38"/>
      <c r="I7548" s="38"/>
      <c r="J7548" s="38"/>
      <c r="K7548" s="38"/>
      <c r="L7548" s="41"/>
      <c r="M7548" s="38"/>
      <c r="N7548" s="41"/>
      <c r="O7548" s="38"/>
      <c r="P7548" s="38"/>
      <c r="Q7548" s="39"/>
      <c r="R7548" s="39"/>
      <c r="S7548" s="39"/>
      <c r="T7548" s="39"/>
      <c r="U7548" s="39"/>
    </row>
    <row r="7549">
      <c r="A7549" s="40" t="str">
        <f t="shared" si="1"/>
        <v/>
      </c>
      <c r="B7549" s="37" t="str">
        <f t="array" ref="B7549">iferror(xlookup($I7549, 'IMPORT VHC Report'!$E:$E, 'IMPORT VHC Report'!$A:$C), )</f>
        <v/>
      </c>
      <c r="C7549" s="44"/>
      <c r="D7549" s="44"/>
      <c r="E7549" s="38"/>
      <c r="F7549" s="38"/>
      <c r="G7549" s="38"/>
      <c r="H7549" s="38"/>
      <c r="I7549" s="38"/>
      <c r="J7549" s="38"/>
      <c r="K7549" s="38"/>
      <c r="L7549" s="41"/>
      <c r="M7549" s="38"/>
      <c r="N7549" s="41"/>
      <c r="O7549" s="38"/>
      <c r="P7549" s="38"/>
      <c r="Q7549" s="39"/>
      <c r="R7549" s="39"/>
      <c r="S7549" s="39"/>
      <c r="T7549" s="39"/>
      <c r="U7549" s="39"/>
    </row>
    <row r="7550">
      <c r="A7550" s="40" t="str">
        <f t="shared" si="1"/>
        <v/>
      </c>
      <c r="B7550" s="37" t="str">
        <f t="array" ref="B7550">iferror(xlookup($I7550, 'IMPORT VHC Report'!$E:$E, 'IMPORT VHC Report'!$A:$C), )</f>
        <v/>
      </c>
      <c r="C7550" s="44"/>
      <c r="D7550" s="44"/>
      <c r="E7550" s="38"/>
      <c r="F7550" s="38"/>
      <c r="G7550" s="38"/>
      <c r="H7550" s="38"/>
      <c r="I7550" s="38"/>
      <c r="J7550" s="38"/>
      <c r="K7550" s="38"/>
      <c r="L7550" s="41"/>
      <c r="M7550" s="38"/>
      <c r="N7550" s="41"/>
      <c r="O7550" s="38"/>
      <c r="P7550" s="38"/>
      <c r="Q7550" s="39"/>
      <c r="R7550" s="39"/>
      <c r="S7550" s="39"/>
      <c r="T7550" s="39"/>
      <c r="U7550" s="39"/>
    </row>
    <row r="7551">
      <c r="A7551" s="40" t="str">
        <f t="shared" si="1"/>
        <v/>
      </c>
      <c r="B7551" s="37" t="str">
        <f t="array" ref="B7551">iferror(xlookup($I7551, 'IMPORT VHC Report'!$E:$E, 'IMPORT VHC Report'!$A:$C), )</f>
        <v/>
      </c>
      <c r="C7551" s="44"/>
      <c r="D7551" s="44"/>
      <c r="E7551" s="38"/>
      <c r="F7551" s="38"/>
      <c r="G7551" s="38"/>
      <c r="H7551" s="38"/>
      <c r="I7551" s="38"/>
      <c r="J7551" s="38"/>
      <c r="K7551" s="38"/>
      <c r="L7551" s="41"/>
      <c r="M7551" s="38"/>
      <c r="N7551" s="41"/>
      <c r="O7551" s="38"/>
      <c r="P7551" s="38"/>
      <c r="Q7551" s="39"/>
      <c r="R7551" s="39"/>
      <c r="S7551" s="39"/>
      <c r="T7551" s="39"/>
      <c r="U7551" s="39"/>
    </row>
    <row r="7552">
      <c r="A7552" s="40" t="str">
        <f t="shared" si="1"/>
        <v/>
      </c>
      <c r="B7552" s="37" t="str">
        <f t="array" ref="B7552">iferror(xlookup($I7552, 'IMPORT VHC Report'!$E:$E, 'IMPORT VHC Report'!$A:$C), )</f>
        <v/>
      </c>
      <c r="C7552" s="44"/>
      <c r="D7552" s="44"/>
      <c r="E7552" s="38"/>
      <c r="F7552" s="38"/>
      <c r="G7552" s="38"/>
      <c r="H7552" s="38"/>
      <c r="I7552" s="38"/>
      <c r="J7552" s="38"/>
      <c r="K7552" s="38"/>
      <c r="L7552" s="41"/>
      <c r="M7552" s="38"/>
      <c r="N7552" s="41"/>
      <c r="O7552" s="38"/>
      <c r="P7552" s="38"/>
      <c r="Q7552" s="39"/>
      <c r="R7552" s="39"/>
      <c r="S7552" s="38"/>
      <c r="T7552" s="39"/>
      <c r="U7552" s="39"/>
    </row>
    <row r="7553">
      <c r="A7553" s="40" t="str">
        <f t="shared" si="1"/>
        <v/>
      </c>
      <c r="B7553" s="37" t="str">
        <f t="array" ref="B7553">iferror(xlookup($I7553, 'IMPORT VHC Report'!$E:$E, 'IMPORT VHC Report'!$A:$C), )</f>
        <v/>
      </c>
      <c r="C7553" s="44"/>
      <c r="D7553" s="44"/>
      <c r="E7553" s="38"/>
      <c r="F7553" s="38"/>
      <c r="G7553" s="38"/>
      <c r="H7553" s="38"/>
      <c r="I7553" s="38"/>
      <c r="J7553" s="38"/>
      <c r="K7553" s="38"/>
      <c r="L7553" s="41"/>
      <c r="M7553" s="38"/>
      <c r="N7553" s="41"/>
      <c r="O7553" s="38"/>
      <c r="P7553" s="38"/>
      <c r="Q7553" s="39"/>
      <c r="R7553" s="39"/>
      <c r="S7553" s="39"/>
      <c r="T7553" s="39"/>
      <c r="U7553" s="39"/>
    </row>
    <row r="7554">
      <c r="A7554" s="40" t="str">
        <f t="shared" si="1"/>
        <v/>
      </c>
      <c r="B7554" s="37" t="str">
        <f t="array" ref="B7554">iferror(xlookup($I7554, 'IMPORT VHC Report'!$E:$E, 'IMPORT VHC Report'!$A:$C), )</f>
        <v/>
      </c>
      <c r="C7554" s="44"/>
      <c r="D7554" s="44"/>
      <c r="E7554" s="38"/>
      <c r="F7554" s="38"/>
      <c r="G7554" s="38"/>
      <c r="H7554" s="38"/>
      <c r="I7554" s="38"/>
      <c r="J7554" s="38"/>
      <c r="K7554" s="38"/>
      <c r="L7554" s="41"/>
      <c r="M7554" s="38"/>
      <c r="N7554" s="41"/>
      <c r="O7554" s="38"/>
      <c r="P7554" s="38"/>
      <c r="Q7554" s="39"/>
      <c r="R7554" s="39"/>
      <c r="S7554" s="39"/>
      <c r="T7554" s="39"/>
      <c r="U7554" s="39"/>
    </row>
    <row r="7555">
      <c r="A7555" s="40" t="str">
        <f t="shared" si="1"/>
        <v/>
      </c>
      <c r="B7555" s="37" t="str">
        <f t="array" ref="B7555">iferror(xlookup($I7555, 'IMPORT VHC Report'!$E:$E, 'IMPORT VHC Report'!$A:$C), )</f>
        <v/>
      </c>
      <c r="C7555" s="44"/>
      <c r="D7555" s="44"/>
      <c r="E7555" s="38"/>
      <c r="F7555" s="38"/>
      <c r="G7555" s="38"/>
      <c r="H7555" s="38"/>
      <c r="I7555" s="38"/>
      <c r="J7555" s="38"/>
      <c r="K7555" s="38"/>
      <c r="L7555" s="41"/>
      <c r="M7555" s="38"/>
      <c r="N7555" s="41"/>
      <c r="O7555" s="38"/>
      <c r="P7555" s="38"/>
      <c r="Q7555" s="39"/>
      <c r="R7555" s="39"/>
      <c r="S7555" s="39"/>
      <c r="T7555" s="39"/>
      <c r="U7555" s="39"/>
    </row>
    <row r="7556">
      <c r="A7556" s="40" t="str">
        <f t="shared" si="1"/>
        <v/>
      </c>
      <c r="B7556" s="37" t="str">
        <f t="array" ref="B7556">iferror(xlookup($I7556, 'IMPORT VHC Report'!$E:$E, 'IMPORT VHC Report'!$A:$C), )</f>
        <v/>
      </c>
      <c r="C7556" s="44"/>
      <c r="D7556" s="44"/>
      <c r="E7556" s="38"/>
      <c r="F7556" s="38"/>
      <c r="G7556" s="38"/>
      <c r="H7556" s="38"/>
      <c r="I7556" s="38"/>
      <c r="J7556" s="38"/>
      <c r="K7556" s="38"/>
      <c r="L7556" s="41"/>
      <c r="M7556" s="38"/>
      <c r="N7556" s="41"/>
      <c r="O7556" s="38"/>
      <c r="P7556" s="38"/>
      <c r="Q7556" s="39"/>
      <c r="R7556" s="39"/>
      <c r="S7556" s="39"/>
      <c r="T7556" s="39"/>
      <c r="U7556" s="39"/>
    </row>
    <row r="7557">
      <c r="A7557" s="40" t="str">
        <f t="shared" si="1"/>
        <v/>
      </c>
      <c r="B7557" s="37" t="str">
        <f t="array" ref="B7557">iferror(xlookup($I7557, 'IMPORT VHC Report'!$E:$E, 'IMPORT VHC Report'!$A:$C), )</f>
        <v/>
      </c>
      <c r="C7557" s="44"/>
      <c r="D7557" s="44"/>
      <c r="E7557" s="38"/>
      <c r="F7557" s="38"/>
      <c r="G7557" s="38"/>
      <c r="H7557" s="38"/>
      <c r="I7557" s="38"/>
      <c r="J7557" s="38"/>
      <c r="K7557" s="38"/>
      <c r="L7557" s="41"/>
      <c r="M7557" s="38"/>
      <c r="N7557" s="41"/>
      <c r="O7557" s="38"/>
      <c r="P7557" s="38"/>
      <c r="Q7557" s="39"/>
      <c r="R7557" s="39"/>
      <c r="S7557" s="39"/>
      <c r="T7557" s="39"/>
      <c r="U7557" s="39"/>
    </row>
    <row r="7558">
      <c r="A7558" s="40" t="str">
        <f t="shared" si="1"/>
        <v/>
      </c>
      <c r="B7558" s="37" t="str">
        <f t="array" ref="B7558">iferror(xlookup($I7558, 'IMPORT VHC Report'!$E:$E, 'IMPORT VHC Report'!$A:$C), )</f>
        <v/>
      </c>
      <c r="C7558" s="44"/>
      <c r="D7558" s="44"/>
      <c r="E7558" s="38"/>
      <c r="F7558" s="38"/>
      <c r="G7558" s="38"/>
      <c r="H7558" s="38"/>
      <c r="I7558" s="38"/>
      <c r="J7558" s="38"/>
      <c r="K7558" s="38"/>
      <c r="L7558" s="41"/>
      <c r="M7558" s="38"/>
      <c r="N7558" s="41"/>
      <c r="O7558" s="38"/>
      <c r="P7558" s="38"/>
      <c r="Q7558" s="39"/>
      <c r="R7558" s="39"/>
      <c r="S7558" s="39"/>
      <c r="T7558" s="39"/>
      <c r="U7558" s="39"/>
    </row>
    <row r="7559">
      <c r="A7559" s="40" t="str">
        <f t="shared" si="1"/>
        <v/>
      </c>
      <c r="B7559" s="37" t="str">
        <f t="array" ref="B7559">iferror(xlookup($I7559, 'IMPORT VHC Report'!$E:$E, 'IMPORT VHC Report'!$A:$C), )</f>
        <v/>
      </c>
      <c r="C7559" s="44"/>
      <c r="D7559" s="44"/>
      <c r="E7559" s="38"/>
      <c r="F7559" s="38"/>
      <c r="G7559" s="38"/>
      <c r="H7559" s="38"/>
      <c r="I7559" s="38"/>
      <c r="J7559" s="38"/>
      <c r="K7559" s="38"/>
      <c r="L7559" s="41"/>
      <c r="M7559" s="38"/>
      <c r="N7559" s="41"/>
      <c r="O7559" s="38"/>
      <c r="P7559" s="38"/>
      <c r="Q7559" s="38"/>
      <c r="R7559" s="39"/>
      <c r="S7559" s="39"/>
      <c r="T7559" s="39"/>
      <c r="U7559" s="39"/>
    </row>
    <row r="7560">
      <c r="A7560" s="40" t="str">
        <f t="shared" si="1"/>
        <v/>
      </c>
      <c r="B7560" s="37" t="str">
        <f t="array" ref="B7560">iferror(xlookup($I7560, 'IMPORT VHC Report'!$E:$E, 'IMPORT VHC Report'!$A:$C), )</f>
        <v/>
      </c>
      <c r="C7560" s="44"/>
      <c r="D7560" s="44"/>
      <c r="E7560" s="38"/>
      <c r="F7560" s="38"/>
      <c r="G7560" s="38"/>
      <c r="H7560" s="38"/>
      <c r="I7560" s="38"/>
      <c r="J7560" s="38"/>
      <c r="K7560" s="38"/>
      <c r="L7560" s="41"/>
      <c r="M7560" s="38"/>
      <c r="N7560" s="41"/>
      <c r="O7560" s="38"/>
      <c r="P7560" s="38"/>
      <c r="Q7560" s="39"/>
      <c r="R7560" s="39"/>
      <c r="S7560" s="39"/>
      <c r="T7560" s="39"/>
      <c r="U7560" s="39"/>
    </row>
    <row r="7561">
      <c r="A7561" s="40" t="str">
        <f t="shared" si="1"/>
        <v/>
      </c>
      <c r="B7561" s="37" t="str">
        <f t="array" ref="B7561">iferror(xlookup($I7561, 'IMPORT VHC Report'!$E:$E, 'IMPORT VHC Report'!$A:$C), )</f>
        <v/>
      </c>
      <c r="C7561" s="44"/>
      <c r="D7561" s="44"/>
      <c r="E7561" s="38"/>
      <c r="F7561" s="38"/>
      <c r="G7561" s="38"/>
      <c r="H7561" s="38"/>
      <c r="I7561" s="38"/>
      <c r="J7561" s="38"/>
      <c r="K7561" s="38"/>
      <c r="L7561" s="41"/>
      <c r="M7561" s="38"/>
      <c r="N7561" s="41"/>
      <c r="O7561" s="38"/>
      <c r="P7561" s="38"/>
      <c r="Q7561" s="39"/>
      <c r="R7561" s="39"/>
      <c r="S7561" s="39"/>
      <c r="T7561" s="39"/>
      <c r="U7561" s="39"/>
    </row>
    <row r="7562">
      <c r="A7562" s="40" t="str">
        <f t="shared" si="1"/>
        <v/>
      </c>
      <c r="B7562" s="37" t="str">
        <f t="array" ref="B7562">iferror(xlookup($I7562, 'IMPORT VHC Report'!$E:$E, 'IMPORT VHC Report'!$A:$C), )</f>
        <v/>
      </c>
      <c r="C7562" s="44"/>
      <c r="D7562" s="44"/>
      <c r="E7562" s="38"/>
      <c r="F7562" s="38"/>
      <c r="G7562" s="38"/>
      <c r="H7562" s="38"/>
      <c r="I7562" s="38"/>
      <c r="J7562" s="38"/>
      <c r="K7562" s="38"/>
      <c r="L7562" s="41"/>
      <c r="M7562" s="38"/>
      <c r="N7562" s="41"/>
      <c r="O7562" s="38"/>
      <c r="P7562" s="38"/>
      <c r="Q7562" s="39"/>
      <c r="R7562" s="39"/>
      <c r="S7562" s="39"/>
      <c r="T7562" s="39"/>
      <c r="U7562" s="39"/>
    </row>
    <row r="7563">
      <c r="A7563" s="40" t="str">
        <f t="shared" si="1"/>
        <v/>
      </c>
      <c r="B7563" s="37" t="str">
        <f t="array" ref="B7563">iferror(xlookup($I7563, 'IMPORT VHC Report'!$E:$E, 'IMPORT VHC Report'!$A:$C), )</f>
        <v/>
      </c>
      <c r="C7563" s="44"/>
      <c r="D7563" s="44"/>
      <c r="E7563" s="38"/>
      <c r="F7563" s="38"/>
      <c r="G7563" s="38"/>
      <c r="H7563" s="38"/>
      <c r="I7563" s="38"/>
      <c r="J7563" s="38"/>
      <c r="K7563" s="38"/>
      <c r="L7563" s="41"/>
      <c r="M7563" s="38"/>
      <c r="N7563" s="41"/>
      <c r="O7563" s="38"/>
      <c r="P7563" s="38"/>
      <c r="Q7563" s="39"/>
      <c r="R7563" s="39"/>
      <c r="S7563" s="39"/>
      <c r="T7563" s="39"/>
      <c r="U7563" s="39"/>
    </row>
    <row r="7564">
      <c r="A7564" s="40" t="str">
        <f t="shared" si="1"/>
        <v/>
      </c>
      <c r="B7564" s="37" t="str">
        <f t="array" ref="B7564">iferror(xlookup($I7564, 'IMPORT VHC Report'!$E:$E, 'IMPORT VHC Report'!$A:$C), )</f>
        <v/>
      </c>
      <c r="C7564" s="44"/>
      <c r="D7564" s="44"/>
      <c r="E7564" s="38"/>
      <c r="F7564" s="38"/>
      <c r="G7564" s="38"/>
      <c r="H7564" s="38"/>
      <c r="I7564" s="38"/>
      <c r="J7564" s="38"/>
      <c r="K7564" s="38"/>
      <c r="L7564" s="41"/>
      <c r="M7564" s="38"/>
      <c r="N7564" s="41"/>
      <c r="O7564" s="38"/>
      <c r="P7564" s="38"/>
      <c r="Q7564" s="39"/>
      <c r="R7564" s="39"/>
      <c r="S7564" s="39"/>
      <c r="T7564" s="39"/>
      <c r="U7564" s="39"/>
    </row>
    <row r="7565">
      <c r="A7565" s="40" t="str">
        <f t="shared" si="1"/>
        <v/>
      </c>
      <c r="B7565" s="37" t="str">
        <f t="array" ref="B7565">iferror(xlookup($I7565, 'IMPORT VHC Report'!$E:$E, 'IMPORT VHC Report'!$A:$C), )</f>
        <v/>
      </c>
      <c r="C7565" s="44"/>
      <c r="D7565" s="44"/>
      <c r="E7565" s="38"/>
      <c r="F7565" s="38"/>
      <c r="G7565" s="38"/>
      <c r="H7565" s="38"/>
      <c r="I7565" s="38"/>
      <c r="J7565" s="38"/>
      <c r="K7565" s="38"/>
      <c r="L7565" s="41"/>
      <c r="M7565" s="38"/>
      <c r="N7565" s="41"/>
      <c r="O7565" s="38"/>
      <c r="P7565" s="38"/>
      <c r="Q7565" s="39"/>
      <c r="R7565" s="39"/>
      <c r="S7565" s="38"/>
      <c r="T7565" s="39"/>
      <c r="U7565" s="39"/>
    </row>
    <row r="7566">
      <c r="A7566" s="40" t="str">
        <f t="shared" si="1"/>
        <v/>
      </c>
      <c r="B7566" s="37" t="str">
        <f t="array" ref="B7566">iferror(xlookup($I7566, 'IMPORT VHC Report'!$E:$E, 'IMPORT VHC Report'!$A:$C), )</f>
        <v/>
      </c>
      <c r="C7566" s="44"/>
      <c r="D7566" s="44"/>
      <c r="E7566" s="38"/>
      <c r="F7566" s="38"/>
      <c r="G7566" s="38"/>
      <c r="H7566" s="38"/>
      <c r="I7566" s="38"/>
      <c r="J7566" s="38"/>
      <c r="K7566" s="38"/>
      <c r="L7566" s="41"/>
      <c r="M7566" s="38"/>
      <c r="N7566" s="41"/>
      <c r="O7566" s="38"/>
      <c r="P7566" s="38"/>
      <c r="Q7566" s="39"/>
      <c r="R7566" s="39"/>
      <c r="S7566" s="39"/>
      <c r="T7566" s="39"/>
      <c r="U7566" s="39"/>
    </row>
    <row r="7567">
      <c r="A7567" s="40" t="str">
        <f t="shared" si="1"/>
        <v/>
      </c>
      <c r="B7567" s="37" t="str">
        <f t="array" ref="B7567">iferror(xlookup($I7567, 'IMPORT VHC Report'!$E:$E, 'IMPORT VHC Report'!$A:$C), )</f>
        <v/>
      </c>
      <c r="C7567" s="44"/>
      <c r="D7567" s="44"/>
      <c r="E7567" s="38"/>
      <c r="F7567" s="38"/>
      <c r="G7567" s="38"/>
      <c r="H7567" s="38"/>
      <c r="I7567" s="38"/>
      <c r="J7567" s="38"/>
      <c r="K7567" s="38"/>
      <c r="L7567" s="41"/>
      <c r="M7567" s="38"/>
      <c r="N7567" s="41"/>
      <c r="O7567" s="38"/>
      <c r="P7567" s="38"/>
      <c r="Q7567" s="39"/>
      <c r="R7567" s="39"/>
      <c r="S7567" s="39"/>
      <c r="T7567" s="39"/>
      <c r="U7567" s="39"/>
    </row>
    <row r="7568">
      <c r="A7568" s="40" t="str">
        <f t="shared" si="1"/>
        <v/>
      </c>
      <c r="B7568" s="37" t="str">
        <f t="array" ref="B7568">iferror(xlookup($I7568, 'IMPORT VHC Report'!$E:$E, 'IMPORT VHC Report'!$A:$C), )</f>
        <v/>
      </c>
      <c r="C7568" s="44"/>
      <c r="D7568" s="44"/>
      <c r="E7568" s="38"/>
      <c r="F7568" s="38"/>
      <c r="G7568" s="38"/>
      <c r="H7568" s="38"/>
      <c r="I7568" s="38"/>
      <c r="J7568" s="38"/>
      <c r="K7568" s="38"/>
      <c r="L7568" s="41"/>
      <c r="M7568" s="38"/>
      <c r="N7568" s="41"/>
      <c r="O7568" s="38"/>
      <c r="P7568" s="38"/>
      <c r="Q7568" s="39"/>
      <c r="R7568" s="39"/>
      <c r="S7568" s="39"/>
      <c r="T7568" s="39"/>
      <c r="U7568" s="39"/>
    </row>
    <row r="7569">
      <c r="A7569" s="40" t="str">
        <f t="shared" si="1"/>
        <v/>
      </c>
      <c r="B7569" s="37" t="str">
        <f t="array" ref="B7569">iferror(xlookup($I7569, 'IMPORT VHC Report'!$E:$E, 'IMPORT VHC Report'!$A:$C), )</f>
        <v/>
      </c>
      <c r="C7569" s="44"/>
      <c r="D7569" s="44"/>
      <c r="E7569" s="38"/>
      <c r="F7569" s="38"/>
      <c r="G7569" s="38"/>
      <c r="H7569" s="38"/>
      <c r="I7569" s="38"/>
      <c r="J7569" s="38"/>
      <c r="K7569" s="38"/>
      <c r="L7569" s="41"/>
      <c r="M7569" s="38"/>
      <c r="N7569" s="41"/>
      <c r="O7569" s="38"/>
      <c r="P7569" s="38"/>
      <c r="Q7569" s="39"/>
      <c r="R7569" s="39"/>
      <c r="S7569" s="39"/>
      <c r="T7569" s="39"/>
      <c r="U7569" s="39"/>
    </row>
    <row r="7570">
      <c r="A7570" s="40" t="str">
        <f t="shared" si="1"/>
        <v/>
      </c>
      <c r="B7570" s="37" t="str">
        <f t="array" ref="B7570">iferror(xlookup($I7570, 'IMPORT VHC Report'!$E:$E, 'IMPORT VHC Report'!$A:$C), )</f>
        <v/>
      </c>
      <c r="C7570" s="44"/>
      <c r="D7570" s="44"/>
      <c r="E7570" s="38"/>
      <c r="F7570" s="38"/>
      <c r="G7570" s="38"/>
      <c r="H7570" s="38"/>
      <c r="I7570" s="38"/>
      <c r="J7570" s="38"/>
      <c r="K7570" s="38"/>
      <c r="L7570" s="41"/>
      <c r="M7570" s="38"/>
      <c r="N7570" s="41"/>
      <c r="O7570" s="38"/>
      <c r="P7570" s="38"/>
      <c r="Q7570" s="39"/>
      <c r="R7570" s="39"/>
      <c r="S7570" s="39"/>
      <c r="T7570" s="39"/>
      <c r="U7570" s="39"/>
    </row>
    <row r="7571">
      <c r="A7571" s="40" t="str">
        <f t="shared" si="1"/>
        <v/>
      </c>
      <c r="B7571" s="37" t="str">
        <f t="array" ref="B7571">iferror(xlookup($I7571, 'IMPORT VHC Report'!$E:$E, 'IMPORT VHC Report'!$A:$C), )</f>
        <v/>
      </c>
      <c r="C7571" s="44"/>
      <c r="D7571" s="44"/>
      <c r="E7571" s="38"/>
      <c r="F7571" s="38"/>
      <c r="G7571" s="39"/>
      <c r="H7571" s="38"/>
      <c r="I7571" s="38"/>
      <c r="J7571" s="38"/>
      <c r="K7571" s="38"/>
      <c r="L7571" s="41"/>
      <c r="M7571" s="38"/>
      <c r="N7571" s="41"/>
      <c r="O7571" s="38"/>
      <c r="P7571" s="38"/>
      <c r="Q7571" s="39"/>
      <c r="R7571" s="39"/>
      <c r="S7571" s="39"/>
      <c r="T7571" s="39"/>
      <c r="U7571" s="39"/>
    </row>
    <row r="7572">
      <c r="A7572" s="40" t="str">
        <f t="shared" si="1"/>
        <v/>
      </c>
      <c r="B7572" s="37" t="str">
        <f t="array" ref="B7572">iferror(xlookup($I7572, 'IMPORT VHC Report'!$E:$E, 'IMPORT VHC Report'!$A:$C), )</f>
        <v/>
      </c>
      <c r="C7572" s="44"/>
      <c r="D7572" s="44"/>
      <c r="E7572" s="38"/>
      <c r="F7572" s="38"/>
      <c r="G7572" s="39"/>
      <c r="H7572" s="38"/>
      <c r="I7572" s="38"/>
      <c r="J7572" s="38"/>
      <c r="K7572" s="38"/>
      <c r="L7572" s="41"/>
      <c r="M7572" s="38"/>
      <c r="N7572" s="41"/>
      <c r="O7572" s="38"/>
      <c r="P7572" s="38"/>
      <c r="Q7572" s="39"/>
      <c r="R7572" s="39"/>
      <c r="S7572" s="39"/>
      <c r="T7572" s="39"/>
      <c r="U7572" s="39"/>
    </row>
    <row r="7573">
      <c r="A7573" s="40" t="str">
        <f t="shared" si="1"/>
        <v/>
      </c>
      <c r="B7573" s="37" t="str">
        <f t="array" ref="B7573">iferror(xlookup($I7573, 'IMPORT VHC Report'!$E:$E, 'IMPORT VHC Report'!$A:$C), )</f>
        <v/>
      </c>
      <c r="C7573" s="44"/>
      <c r="D7573" s="44"/>
      <c r="E7573" s="38"/>
      <c r="F7573" s="38"/>
      <c r="G7573" s="39"/>
      <c r="H7573" s="38"/>
      <c r="I7573" s="38"/>
      <c r="J7573" s="38"/>
      <c r="K7573" s="38"/>
      <c r="L7573" s="41"/>
      <c r="M7573" s="38"/>
      <c r="N7573" s="41"/>
      <c r="O7573" s="38"/>
      <c r="P7573" s="38"/>
      <c r="Q7573" s="39"/>
      <c r="R7573" s="39"/>
      <c r="S7573" s="39"/>
      <c r="T7573" s="39"/>
      <c r="U7573" s="39"/>
    </row>
    <row r="7574">
      <c r="A7574" s="40" t="str">
        <f t="shared" si="1"/>
        <v/>
      </c>
      <c r="B7574" s="37" t="str">
        <f t="array" ref="B7574">iferror(xlookup($I7574, 'IMPORT VHC Report'!$E:$E, 'IMPORT VHC Report'!$A:$C), )</f>
        <v/>
      </c>
      <c r="C7574" s="44"/>
      <c r="D7574" s="44"/>
      <c r="E7574" s="38"/>
      <c r="F7574" s="38"/>
      <c r="G7574" s="39"/>
      <c r="H7574" s="38"/>
      <c r="I7574" s="38"/>
      <c r="J7574" s="38"/>
      <c r="K7574" s="38"/>
      <c r="L7574" s="41"/>
      <c r="M7574" s="38"/>
      <c r="N7574" s="41"/>
      <c r="O7574" s="38"/>
      <c r="P7574" s="38"/>
      <c r="Q7574" s="39"/>
      <c r="R7574" s="39"/>
      <c r="S7574" s="39"/>
      <c r="T7574" s="39"/>
      <c r="U7574" s="39"/>
    </row>
    <row r="7575">
      <c r="A7575" s="40" t="str">
        <f t="shared" si="1"/>
        <v/>
      </c>
      <c r="B7575" s="37" t="str">
        <f t="array" ref="B7575">iferror(xlookup($I7575, 'IMPORT VHC Report'!$E:$E, 'IMPORT VHC Report'!$A:$C), )</f>
        <v/>
      </c>
      <c r="C7575" s="44"/>
      <c r="D7575" s="44"/>
      <c r="E7575" s="38"/>
      <c r="F7575" s="38"/>
      <c r="G7575" s="39"/>
      <c r="H7575" s="38"/>
      <c r="I7575" s="38"/>
      <c r="J7575" s="38"/>
      <c r="K7575" s="38"/>
      <c r="L7575" s="41"/>
      <c r="M7575" s="38"/>
      <c r="N7575" s="41"/>
      <c r="O7575" s="38"/>
      <c r="P7575" s="38"/>
      <c r="Q7575" s="39"/>
      <c r="R7575" s="39"/>
      <c r="S7575" s="39"/>
      <c r="T7575" s="39"/>
      <c r="U7575" s="39"/>
    </row>
    <row r="7576">
      <c r="A7576" s="40" t="str">
        <f t="shared" si="1"/>
        <v/>
      </c>
      <c r="B7576" s="37" t="str">
        <f t="array" ref="B7576">iferror(xlookup($I7576, 'IMPORT VHC Report'!$E:$E, 'IMPORT VHC Report'!$A:$C), )</f>
        <v/>
      </c>
      <c r="C7576" s="44"/>
      <c r="D7576" s="44"/>
      <c r="E7576" s="38"/>
      <c r="F7576" s="38"/>
      <c r="G7576" s="39"/>
      <c r="H7576" s="38"/>
      <c r="I7576" s="38"/>
      <c r="J7576" s="38"/>
      <c r="K7576" s="38"/>
      <c r="L7576" s="41"/>
      <c r="M7576" s="38"/>
      <c r="N7576" s="41"/>
      <c r="O7576" s="38"/>
      <c r="P7576" s="38"/>
      <c r="Q7576" s="39"/>
      <c r="R7576" s="39"/>
      <c r="S7576" s="39"/>
      <c r="T7576" s="39"/>
      <c r="U7576" s="39"/>
    </row>
    <row r="7577">
      <c r="A7577" s="40" t="str">
        <f t="shared" si="1"/>
        <v/>
      </c>
      <c r="B7577" s="37" t="str">
        <f t="array" ref="B7577">iferror(xlookup($I7577, 'IMPORT VHC Report'!$E:$E, 'IMPORT VHC Report'!$A:$C), )</f>
        <v/>
      </c>
      <c r="C7577" s="44"/>
      <c r="D7577" s="44"/>
      <c r="E7577" s="38"/>
      <c r="F7577" s="38"/>
      <c r="G7577" s="39"/>
      <c r="H7577" s="38"/>
      <c r="I7577" s="38"/>
      <c r="J7577" s="38"/>
      <c r="K7577" s="38"/>
      <c r="L7577" s="41"/>
      <c r="M7577" s="38"/>
      <c r="N7577" s="41"/>
      <c r="O7577" s="38"/>
      <c r="P7577" s="38"/>
      <c r="Q7577" s="39"/>
      <c r="R7577" s="39"/>
      <c r="S7577" s="39"/>
      <c r="T7577" s="39"/>
      <c r="U7577" s="39"/>
    </row>
    <row r="7578">
      <c r="A7578" s="40" t="str">
        <f t="shared" si="1"/>
        <v/>
      </c>
      <c r="B7578" s="37" t="str">
        <f t="array" ref="B7578">iferror(xlookup($I7578, 'IMPORT VHC Report'!$E:$E, 'IMPORT VHC Report'!$A:$C), )</f>
        <v/>
      </c>
      <c r="C7578" s="44"/>
      <c r="D7578" s="44"/>
      <c r="E7578" s="38"/>
      <c r="F7578" s="38"/>
      <c r="G7578" s="39"/>
      <c r="H7578" s="38"/>
      <c r="I7578" s="38"/>
      <c r="J7578" s="38"/>
      <c r="K7578" s="38"/>
      <c r="L7578" s="41"/>
      <c r="M7578" s="38"/>
      <c r="N7578" s="41"/>
      <c r="O7578" s="38"/>
      <c r="P7578" s="38"/>
      <c r="Q7578" s="39"/>
      <c r="R7578" s="39"/>
      <c r="S7578" s="39"/>
      <c r="T7578" s="39"/>
      <c r="U7578" s="39"/>
    </row>
    <row r="7579">
      <c r="A7579" s="40" t="str">
        <f t="shared" si="1"/>
        <v/>
      </c>
      <c r="B7579" s="37" t="str">
        <f t="array" ref="B7579">iferror(xlookup($I7579, 'IMPORT VHC Report'!$E:$E, 'IMPORT VHC Report'!$A:$C), )</f>
        <v/>
      </c>
      <c r="C7579" s="44"/>
      <c r="D7579" s="44"/>
      <c r="E7579" s="38"/>
      <c r="F7579" s="38"/>
      <c r="G7579" s="39"/>
      <c r="H7579" s="38"/>
      <c r="I7579" s="38"/>
      <c r="J7579" s="38"/>
      <c r="K7579" s="38"/>
      <c r="L7579" s="41"/>
      <c r="M7579" s="38"/>
      <c r="N7579" s="41"/>
      <c r="O7579" s="38"/>
      <c r="P7579" s="38"/>
      <c r="Q7579" s="39"/>
      <c r="R7579" s="39"/>
      <c r="S7579" s="39"/>
      <c r="T7579" s="39"/>
      <c r="U7579" s="39"/>
    </row>
    <row r="7580">
      <c r="A7580" s="40" t="str">
        <f t="shared" si="1"/>
        <v/>
      </c>
      <c r="B7580" s="37" t="str">
        <f t="array" ref="B7580">iferror(xlookup($I7580, 'IMPORT VHC Report'!$E:$E, 'IMPORT VHC Report'!$A:$C), )</f>
        <v/>
      </c>
      <c r="C7580" s="44"/>
      <c r="D7580" s="44"/>
      <c r="E7580" s="38"/>
      <c r="F7580" s="38"/>
      <c r="G7580" s="39"/>
      <c r="H7580" s="38"/>
      <c r="I7580" s="38"/>
      <c r="J7580" s="38"/>
      <c r="K7580" s="38"/>
      <c r="L7580" s="41"/>
      <c r="M7580" s="38"/>
      <c r="N7580" s="41"/>
      <c r="O7580" s="38"/>
      <c r="P7580" s="38"/>
      <c r="Q7580" s="39"/>
      <c r="R7580" s="39"/>
      <c r="S7580" s="39"/>
      <c r="T7580" s="39"/>
      <c r="U7580" s="39"/>
    </row>
    <row r="7581">
      <c r="A7581" s="40" t="str">
        <f t="shared" si="1"/>
        <v/>
      </c>
      <c r="B7581" s="37" t="str">
        <f t="array" ref="B7581">iferror(xlookup($I7581, 'IMPORT VHC Report'!$E:$E, 'IMPORT VHC Report'!$A:$C), )</f>
        <v/>
      </c>
      <c r="C7581" s="44"/>
      <c r="D7581" s="44"/>
      <c r="E7581" s="38"/>
      <c r="F7581" s="38"/>
      <c r="G7581" s="39"/>
      <c r="H7581" s="38"/>
      <c r="I7581" s="38"/>
      <c r="J7581" s="38"/>
      <c r="K7581" s="38"/>
      <c r="L7581" s="41"/>
      <c r="M7581" s="38"/>
      <c r="N7581" s="41"/>
      <c r="O7581" s="38"/>
      <c r="P7581" s="38"/>
      <c r="Q7581" s="39"/>
      <c r="R7581" s="39"/>
      <c r="S7581" s="39"/>
      <c r="T7581" s="39"/>
      <c r="U7581" s="39"/>
    </row>
    <row r="7582">
      <c r="A7582" s="40" t="str">
        <f t="shared" si="1"/>
        <v/>
      </c>
      <c r="B7582" s="37" t="str">
        <f t="array" ref="B7582">iferror(xlookup($I7582, 'IMPORT VHC Report'!$E:$E, 'IMPORT VHC Report'!$A:$C), )</f>
        <v/>
      </c>
      <c r="C7582" s="44"/>
      <c r="D7582" s="44"/>
      <c r="E7582" s="38"/>
      <c r="F7582" s="38"/>
      <c r="G7582" s="39"/>
      <c r="H7582" s="38"/>
      <c r="I7582" s="38"/>
      <c r="J7582" s="38"/>
      <c r="K7582" s="38"/>
      <c r="L7582" s="41"/>
      <c r="M7582" s="38"/>
      <c r="N7582" s="41"/>
      <c r="O7582" s="38"/>
      <c r="P7582" s="38"/>
      <c r="Q7582" s="39"/>
      <c r="R7582" s="39"/>
      <c r="S7582" s="38"/>
      <c r="T7582" s="39"/>
      <c r="U7582" s="39"/>
    </row>
    <row r="7583">
      <c r="A7583" s="40" t="str">
        <f t="shared" si="1"/>
        <v/>
      </c>
      <c r="B7583" s="37" t="str">
        <f t="array" ref="B7583">iferror(xlookup($I7583, 'IMPORT VHC Report'!$E:$E, 'IMPORT VHC Report'!$A:$C), )</f>
        <v/>
      </c>
      <c r="C7583" s="44"/>
      <c r="D7583" s="44"/>
      <c r="E7583" s="38"/>
      <c r="F7583" s="38"/>
      <c r="G7583" s="39"/>
      <c r="H7583" s="38"/>
      <c r="I7583" s="38"/>
      <c r="J7583" s="38"/>
      <c r="K7583" s="38"/>
      <c r="L7583" s="41"/>
      <c r="M7583" s="38"/>
      <c r="N7583" s="41"/>
      <c r="O7583" s="38"/>
      <c r="P7583" s="38"/>
      <c r="Q7583" s="39"/>
      <c r="R7583" s="39"/>
      <c r="S7583" s="39"/>
      <c r="T7583" s="39"/>
      <c r="U7583" s="39"/>
    </row>
    <row r="7584">
      <c r="A7584" s="40" t="str">
        <f t="shared" si="1"/>
        <v/>
      </c>
      <c r="B7584" s="37" t="str">
        <f t="array" ref="B7584">iferror(xlookup($I7584, 'IMPORT VHC Report'!$E:$E, 'IMPORT VHC Report'!$A:$C), )</f>
        <v/>
      </c>
      <c r="C7584" s="44"/>
      <c r="D7584" s="44"/>
      <c r="E7584" s="38"/>
      <c r="F7584" s="38"/>
      <c r="G7584" s="39"/>
      <c r="H7584" s="38"/>
      <c r="I7584" s="38"/>
      <c r="J7584" s="38"/>
      <c r="K7584" s="38"/>
      <c r="L7584" s="41"/>
      <c r="M7584" s="38"/>
      <c r="N7584" s="41"/>
      <c r="O7584" s="38"/>
      <c r="P7584" s="38"/>
      <c r="Q7584" s="39"/>
      <c r="R7584" s="39"/>
      <c r="S7584" s="38"/>
      <c r="T7584" s="39"/>
      <c r="U7584" s="39"/>
    </row>
    <row r="7585">
      <c r="A7585" s="40" t="str">
        <f t="shared" si="1"/>
        <v/>
      </c>
      <c r="B7585" s="37" t="str">
        <f t="array" ref="B7585">iferror(xlookup($I7585, 'IMPORT VHC Report'!$E:$E, 'IMPORT VHC Report'!$A:$C), )</f>
        <v/>
      </c>
      <c r="C7585" s="44"/>
      <c r="D7585" s="44"/>
      <c r="E7585" s="38"/>
      <c r="F7585" s="38"/>
      <c r="G7585" s="39"/>
      <c r="H7585" s="38"/>
      <c r="I7585" s="38"/>
      <c r="J7585" s="38"/>
      <c r="K7585" s="38"/>
      <c r="L7585" s="41"/>
      <c r="M7585" s="38"/>
      <c r="N7585" s="41"/>
      <c r="O7585" s="38"/>
      <c r="P7585" s="38"/>
      <c r="Q7585" s="39"/>
      <c r="R7585" s="39"/>
      <c r="S7585" s="38"/>
      <c r="T7585" s="39"/>
      <c r="U7585" s="39"/>
    </row>
    <row r="7586">
      <c r="A7586" s="40" t="str">
        <f t="shared" si="1"/>
        <v/>
      </c>
      <c r="B7586" s="37" t="str">
        <f t="array" ref="B7586">iferror(xlookup($I7586, 'IMPORT VHC Report'!$E:$E, 'IMPORT VHC Report'!$A:$C), )</f>
        <v/>
      </c>
      <c r="C7586" s="44"/>
      <c r="D7586" s="44"/>
      <c r="E7586" s="38"/>
      <c r="F7586" s="38"/>
      <c r="G7586" s="39"/>
      <c r="H7586" s="38"/>
      <c r="I7586" s="38"/>
      <c r="J7586" s="38"/>
      <c r="K7586" s="38"/>
      <c r="L7586" s="41"/>
      <c r="M7586" s="38"/>
      <c r="N7586" s="41"/>
      <c r="O7586" s="38"/>
      <c r="P7586" s="38"/>
      <c r="Q7586" s="39"/>
      <c r="R7586" s="39"/>
      <c r="S7586" s="39"/>
      <c r="T7586" s="39"/>
      <c r="U7586" s="39"/>
    </row>
    <row r="7587">
      <c r="A7587" s="40" t="str">
        <f t="shared" si="1"/>
        <v/>
      </c>
      <c r="B7587" s="37" t="str">
        <f t="array" ref="B7587">iferror(xlookup($I7587, 'IMPORT VHC Report'!$E:$E, 'IMPORT VHC Report'!$A:$C), )</f>
        <v/>
      </c>
      <c r="C7587" s="44"/>
      <c r="D7587" s="44"/>
      <c r="E7587" s="38"/>
      <c r="F7587" s="38"/>
      <c r="G7587" s="39"/>
      <c r="H7587" s="38"/>
      <c r="I7587" s="38"/>
      <c r="J7587" s="38"/>
      <c r="K7587" s="38"/>
      <c r="L7587" s="41"/>
      <c r="M7587" s="38"/>
      <c r="N7587" s="41"/>
      <c r="O7587" s="38"/>
      <c r="P7587" s="38"/>
      <c r="Q7587" s="38"/>
      <c r="R7587" s="39"/>
      <c r="S7587" s="39"/>
      <c r="T7587" s="39"/>
      <c r="U7587" s="39"/>
    </row>
    <row r="7588">
      <c r="A7588" s="40" t="str">
        <f t="shared" si="1"/>
        <v/>
      </c>
      <c r="B7588" s="37" t="str">
        <f t="array" ref="B7588">iferror(xlookup($I7588, 'IMPORT VHC Report'!$E:$E, 'IMPORT VHC Report'!$A:$C), )</f>
        <v/>
      </c>
      <c r="C7588" s="44"/>
      <c r="D7588" s="44"/>
      <c r="E7588" s="38"/>
      <c r="F7588" s="38"/>
      <c r="G7588" s="39"/>
      <c r="H7588" s="38"/>
      <c r="I7588" s="38"/>
      <c r="J7588" s="38"/>
      <c r="K7588" s="38"/>
      <c r="L7588" s="41"/>
      <c r="M7588" s="38"/>
      <c r="N7588" s="41"/>
      <c r="O7588" s="38"/>
      <c r="P7588" s="38"/>
      <c r="Q7588" s="38"/>
      <c r="R7588" s="39"/>
      <c r="S7588" s="39"/>
      <c r="T7588" s="39"/>
      <c r="U7588" s="39"/>
    </row>
    <row r="7589">
      <c r="A7589" s="40" t="str">
        <f t="shared" si="1"/>
        <v/>
      </c>
      <c r="B7589" s="37" t="str">
        <f t="array" ref="B7589">iferror(xlookup($I7589, 'IMPORT VHC Report'!$E:$E, 'IMPORT VHC Report'!$A:$C), )</f>
        <v/>
      </c>
      <c r="C7589" s="44"/>
      <c r="D7589" s="44"/>
      <c r="E7589" s="38"/>
      <c r="F7589" s="38"/>
      <c r="G7589" s="38"/>
      <c r="H7589" s="38"/>
      <c r="I7589" s="38"/>
      <c r="J7589" s="38"/>
      <c r="K7589" s="38"/>
      <c r="L7589" s="41"/>
      <c r="M7589" s="38"/>
      <c r="N7589" s="41"/>
      <c r="O7589" s="38"/>
      <c r="P7589" s="38"/>
      <c r="Q7589" s="39"/>
      <c r="R7589" s="39"/>
      <c r="S7589" s="39"/>
      <c r="T7589" s="39"/>
      <c r="U7589" s="39"/>
    </row>
    <row r="7590">
      <c r="A7590" s="40" t="str">
        <f t="shared" si="1"/>
        <v/>
      </c>
      <c r="B7590" s="37" t="str">
        <f t="array" ref="B7590">iferror(xlookup($I7590, 'IMPORT VHC Report'!$E:$E, 'IMPORT VHC Report'!$A:$C), )</f>
        <v/>
      </c>
      <c r="C7590" s="44"/>
      <c r="D7590" s="44"/>
      <c r="E7590" s="38"/>
      <c r="F7590" s="38"/>
      <c r="G7590" s="38"/>
      <c r="H7590" s="38"/>
      <c r="I7590" s="38"/>
      <c r="J7590" s="38"/>
      <c r="K7590" s="38"/>
      <c r="L7590" s="41"/>
      <c r="M7590" s="38"/>
      <c r="N7590" s="41"/>
      <c r="O7590" s="38"/>
      <c r="P7590" s="38"/>
      <c r="Q7590" s="39"/>
      <c r="R7590" s="39"/>
      <c r="S7590" s="39"/>
      <c r="T7590" s="39"/>
      <c r="U7590" s="39"/>
    </row>
    <row r="7591">
      <c r="A7591" s="40" t="str">
        <f t="shared" si="1"/>
        <v/>
      </c>
      <c r="B7591" s="37" t="str">
        <f t="array" ref="B7591">iferror(xlookup($I7591, 'IMPORT VHC Report'!$E:$E, 'IMPORT VHC Report'!$A:$C), )</f>
        <v/>
      </c>
      <c r="C7591" s="44"/>
      <c r="D7591" s="44"/>
      <c r="E7591" s="38"/>
      <c r="F7591" s="38"/>
      <c r="G7591" s="38"/>
      <c r="H7591" s="38"/>
      <c r="I7591" s="38"/>
      <c r="J7591" s="38"/>
      <c r="K7591" s="38"/>
      <c r="L7591" s="41"/>
      <c r="M7591" s="38"/>
      <c r="N7591" s="41"/>
      <c r="O7591" s="38"/>
      <c r="P7591" s="38"/>
      <c r="Q7591" s="39"/>
      <c r="R7591" s="39"/>
      <c r="S7591" s="39"/>
      <c r="T7591" s="39"/>
      <c r="U7591" s="39"/>
    </row>
    <row r="7592">
      <c r="A7592" s="40" t="str">
        <f t="shared" si="1"/>
        <v/>
      </c>
      <c r="B7592" s="37" t="str">
        <f t="array" ref="B7592">iferror(xlookup($I7592, 'IMPORT VHC Report'!$E:$E, 'IMPORT VHC Report'!$A:$C), )</f>
        <v/>
      </c>
      <c r="C7592" s="44"/>
      <c r="D7592" s="44"/>
      <c r="E7592" s="38"/>
      <c r="F7592" s="38"/>
      <c r="G7592" s="38"/>
      <c r="H7592" s="38"/>
      <c r="I7592" s="38"/>
      <c r="J7592" s="38"/>
      <c r="K7592" s="38"/>
      <c r="L7592" s="41"/>
      <c r="M7592" s="38"/>
      <c r="N7592" s="41"/>
      <c r="O7592" s="38"/>
      <c r="P7592" s="38"/>
      <c r="Q7592" s="39"/>
      <c r="R7592" s="39"/>
      <c r="S7592" s="39"/>
      <c r="T7592" s="39"/>
      <c r="U7592" s="39"/>
    </row>
    <row r="7593">
      <c r="A7593" s="40" t="str">
        <f t="shared" si="1"/>
        <v/>
      </c>
      <c r="B7593" s="37" t="str">
        <f t="array" ref="B7593">iferror(xlookup($I7593, 'IMPORT VHC Report'!$E:$E, 'IMPORT VHC Report'!$A:$C), )</f>
        <v/>
      </c>
      <c r="C7593" s="44"/>
      <c r="D7593" s="44"/>
      <c r="E7593" s="38"/>
      <c r="F7593" s="38"/>
      <c r="G7593" s="38"/>
      <c r="H7593" s="38"/>
      <c r="I7593" s="38"/>
      <c r="J7593" s="38"/>
      <c r="K7593" s="38"/>
      <c r="L7593" s="41"/>
      <c r="M7593" s="38"/>
      <c r="N7593" s="41"/>
      <c r="O7593" s="38"/>
      <c r="P7593" s="38"/>
      <c r="Q7593" s="39"/>
      <c r="R7593" s="39"/>
      <c r="S7593" s="39"/>
      <c r="T7593" s="39"/>
      <c r="U7593" s="39"/>
    </row>
    <row r="7594">
      <c r="A7594" s="40" t="str">
        <f t="shared" si="1"/>
        <v/>
      </c>
      <c r="B7594" s="37" t="str">
        <f t="array" ref="B7594">iferror(xlookup($I7594, 'IMPORT VHC Report'!$E:$E, 'IMPORT VHC Report'!$A:$C), )</f>
        <v/>
      </c>
      <c r="C7594" s="44"/>
      <c r="D7594" s="44"/>
      <c r="E7594" s="38"/>
      <c r="F7594" s="38"/>
      <c r="G7594" s="38"/>
      <c r="H7594" s="38"/>
      <c r="I7594" s="38"/>
      <c r="J7594" s="38"/>
      <c r="K7594" s="38"/>
      <c r="L7594" s="41"/>
      <c r="M7594" s="38"/>
      <c r="N7594" s="41"/>
      <c r="O7594" s="38"/>
      <c r="P7594" s="38"/>
      <c r="Q7594" s="39"/>
      <c r="R7594" s="39"/>
      <c r="S7594" s="39"/>
      <c r="T7594" s="39"/>
      <c r="U7594" s="39"/>
    </row>
    <row r="7595">
      <c r="A7595" s="40" t="str">
        <f t="shared" si="1"/>
        <v/>
      </c>
      <c r="B7595" s="37" t="str">
        <f t="array" ref="B7595">iferror(xlookup($I7595, 'IMPORT VHC Report'!$E:$E, 'IMPORT VHC Report'!$A:$C), )</f>
        <v/>
      </c>
      <c r="C7595" s="44"/>
      <c r="D7595" s="44"/>
      <c r="E7595" s="38"/>
      <c r="F7595" s="38"/>
      <c r="G7595" s="38"/>
      <c r="H7595" s="38"/>
      <c r="I7595" s="38"/>
      <c r="J7595" s="38"/>
      <c r="K7595" s="38"/>
      <c r="L7595" s="41"/>
      <c r="M7595" s="38"/>
      <c r="N7595" s="41"/>
      <c r="O7595" s="38"/>
      <c r="P7595" s="38"/>
      <c r="Q7595" s="39"/>
      <c r="R7595" s="39"/>
      <c r="S7595" s="38"/>
      <c r="T7595" s="39"/>
      <c r="U7595" s="39"/>
    </row>
    <row r="7596">
      <c r="A7596" s="40" t="str">
        <f t="shared" si="1"/>
        <v/>
      </c>
      <c r="B7596" s="37" t="str">
        <f t="array" ref="B7596">iferror(xlookup($I7596, 'IMPORT VHC Report'!$E:$E, 'IMPORT VHC Report'!$A:$C), )</f>
        <v/>
      </c>
      <c r="C7596" s="44"/>
      <c r="D7596" s="44"/>
      <c r="E7596" s="38"/>
      <c r="F7596" s="38"/>
      <c r="G7596" s="38"/>
      <c r="H7596" s="38"/>
      <c r="I7596" s="38"/>
      <c r="J7596" s="38"/>
      <c r="K7596" s="38"/>
      <c r="L7596" s="41"/>
      <c r="M7596" s="38"/>
      <c r="N7596" s="41"/>
      <c r="O7596" s="38"/>
      <c r="P7596" s="38"/>
      <c r="Q7596" s="39"/>
      <c r="R7596" s="39"/>
      <c r="S7596" s="39"/>
      <c r="T7596" s="39"/>
      <c r="U7596" s="39"/>
    </row>
    <row r="7597">
      <c r="A7597" s="40" t="str">
        <f t="shared" si="1"/>
        <v/>
      </c>
      <c r="B7597" s="37" t="str">
        <f t="array" ref="B7597">iferror(xlookup($I7597, 'IMPORT VHC Report'!$E:$E, 'IMPORT VHC Report'!$A:$C), )</f>
        <v/>
      </c>
      <c r="C7597" s="44"/>
      <c r="D7597" s="44"/>
      <c r="E7597" s="38"/>
      <c r="F7597" s="38"/>
      <c r="G7597" s="38"/>
      <c r="H7597" s="38"/>
      <c r="I7597" s="38"/>
      <c r="J7597" s="38"/>
      <c r="K7597" s="38"/>
      <c r="L7597" s="41"/>
      <c r="M7597" s="38"/>
      <c r="N7597" s="41"/>
      <c r="O7597" s="38"/>
      <c r="P7597" s="38"/>
      <c r="Q7597" s="39"/>
      <c r="R7597" s="39"/>
      <c r="S7597" s="39"/>
      <c r="T7597" s="39"/>
      <c r="U7597" s="39"/>
    </row>
    <row r="7598">
      <c r="A7598" s="40" t="str">
        <f t="shared" si="1"/>
        <v/>
      </c>
      <c r="B7598" s="37" t="str">
        <f t="array" ref="B7598">iferror(xlookup($I7598, 'IMPORT VHC Report'!$E:$E, 'IMPORT VHC Report'!$A:$C), )</f>
        <v/>
      </c>
      <c r="C7598" s="44"/>
      <c r="D7598" s="44"/>
      <c r="E7598" s="38"/>
      <c r="F7598" s="38"/>
      <c r="G7598" s="38"/>
      <c r="H7598" s="38"/>
      <c r="I7598" s="38"/>
      <c r="J7598" s="38"/>
      <c r="K7598" s="38"/>
      <c r="L7598" s="41"/>
      <c r="M7598" s="38"/>
      <c r="N7598" s="41"/>
      <c r="O7598" s="38"/>
      <c r="P7598" s="38"/>
      <c r="Q7598" s="39"/>
      <c r="R7598" s="39"/>
      <c r="S7598" s="39"/>
      <c r="T7598" s="39"/>
      <c r="U7598" s="39"/>
    </row>
    <row r="7599">
      <c r="A7599" s="40" t="str">
        <f t="shared" si="1"/>
        <v/>
      </c>
      <c r="B7599" s="37" t="str">
        <f t="array" ref="B7599">iferror(xlookup($I7599, 'IMPORT VHC Report'!$E:$E, 'IMPORT VHC Report'!$A:$C), )</f>
        <v/>
      </c>
      <c r="C7599" s="44"/>
      <c r="D7599" s="44"/>
      <c r="E7599" s="38"/>
      <c r="F7599" s="38"/>
      <c r="G7599" s="38"/>
      <c r="H7599" s="38"/>
      <c r="I7599" s="38"/>
      <c r="J7599" s="38"/>
      <c r="K7599" s="38"/>
      <c r="L7599" s="41"/>
      <c r="M7599" s="38"/>
      <c r="N7599" s="41"/>
      <c r="O7599" s="38"/>
      <c r="P7599" s="38"/>
      <c r="Q7599" s="39"/>
      <c r="R7599" s="39"/>
      <c r="S7599" s="38"/>
      <c r="T7599" s="39"/>
      <c r="U7599" s="39"/>
    </row>
    <row r="7600">
      <c r="A7600" s="40" t="str">
        <f t="shared" si="1"/>
        <v/>
      </c>
      <c r="B7600" s="37" t="str">
        <f t="array" ref="B7600">iferror(xlookup($I7600, 'IMPORT VHC Report'!$E:$E, 'IMPORT VHC Report'!$A:$C), )</f>
        <v/>
      </c>
      <c r="C7600" s="44"/>
      <c r="D7600" s="44"/>
      <c r="E7600" s="38"/>
      <c r="F7600" s="38"/>
      <c r="G7600" s="38"/>
      <c r="H7600" s="38"/>
      <c r="I7600" s="38"/>
      <c r="J7600" s="38"/>
      <c r="K7600" s="38"/>
      <c r="L7600" s="41"/>
      <c r="M7600" s="38"/>
      <c r="N7600" s="41"/>
      <c r="O7600" s="38"/>
      <c r="P7600" s="38"/>
      <c r="Q7600" s="39"/>
      <c r="R7600" s="39"/>
      <c r="S7600" s="39"/>
      <c r="T7600" s="39"/>
      <c r="U7600" s="39"/>
    </row>
    <row r="7601">
      <c r="A7601" s="40" t="str">
        <f t="shared" si="1"/>
        <v/>
      </c>
      <c r="B7601" s="37" t="str">
        <f t="array" ref="B7601">iferror(xlookup($I7601, 'IMPORT VHC Report'!$E:$E, 'IMPORT VHC Report'!$A:$C), )</f>
        <v/>
      </c>
      <c r="C7601" s="44"/>
      <c r="D7601" s="44"/>
      <c r="E7601" s="38"/>
      <c r="F7601" s="38"/>
      <c r="G7601" s="38"/>
      <c r="H7601" s="38"/>
      <c r="I7601" s="38"/>
      <c r="J7601" s="38"/>
      <c r="K7601" s="38"/>
      <c r="L7601" s="41"/>
      <c r="M7601" s="38"/>
      <c r="N7601" s="41"/>
      <c r="O7601" s="38"/>
      <c r="P7601" s="38"/>
      <c r="Q7601" s="39"/>
      <c r="R7601" s="39"/>
      <c r="S7601" s="39"/>
      <c r="T7601" s="39"/>
      <c r="U7601" s="39"/>
    </row>
    <row r="7602">
      <c r="A7602" s="40" t="str">
        <f t="shared" si="1"/>
        <v/>
      </c>
      <c r="B7602" s="37" t="str">
        <f t="array" ref="B7602">iferror(xlookup($I7602, 'IMPORT VHC Report'!$E:$E, 'IMPORT VHC Report'!$A:$C), )</f>
        <v/>
      </c>
      <c r="C7602" s="44"/>
      <c r="D7602" s="44"/>
      <c r="E7602" s="38"/>
      <c r="F7602" s="38"/>
      <c r="G7602" s="38"/>
      <c r="H7602" s="38"/>
      <c r="I7602" s="38"/>
      <c r="J7602" s="38"/>
      <c r="K7602" s="38"/>
      <c r="L7602" s="41"/>
      <c r="M7602" s="38"/>
      <c r="N7602" s="41"/>
      <c r="O7602" s="38"/>
      <c r="P7602" s="38"/>
      <c r="Q7602" s="39"/>
      <c r="R7602" s="39"/>
      <c r="S7602" s="39"/>
      <c r="T7602" s="39"/>
      <c r="U7602" s="39"/>
    </row>
    <row r="7603">
      <c r="A7603" s="40" t="str">
        <f t="shared" si="1"/>
        <v/>
      </c>
      <c r="B7603" s="37" t="str">
        <f t="array" ref="B7603">iferror(xlookup($I7603, 'IMPORT VHC Report'!$E:$E, 'IMPORT VHC Report'!$A:$C), )</f>
        <v/>
      </c>
      <c r="C7603" s="44"/>
      <c r="D7603" s="44"/>
      <c r="E7603" s="38"/>
      <c r="F7603" s="38"/>
      <c r="G7603" s="38"/>
      <c r="H7603" s="38"/>
      <c r="I7603" s="38"/>
      <c r="J7603" s="38"/>
      <c r="K7603" s="38"/>
      <c r="L7603" s="41"/>
      <c r="M7603" s="38"/>
      <c r="N7603" s="41"/>
      <c r="O7603" s="38"/>
      <c r="P7603" s="38"/>
      <c r="Q7603" s="39"/>
      <c r="R7603" s="39"/>
      <c r="S7603" s="39"/>
      <c r="T7603" s="39"/>
      <c r="U7603" s="39"/>
    </row>
    <row r="7604">
      <c r="A7604" s="40" t="str">
        <f t="shared" si="1"/>
        <v/>
      </c>
      <c r="B7604" s="37" t="str">
        <f t="array" ref="B7604">iferror(xlookup($I7604, 'IMPORT VHC Report'!$E:$E, 'IMPORT VHC Report'!$A:$C), )</f>
        <v/>
      </c>
      <c r="C7604" s="44"/>
      <c r="D7604" s="44"/>
      <c r="E7604" s="38"/>
      <c r="F7604" s="38"/>
      <c r="G7604" s="38"/>
      <c r="H7604" s="38"/>
      <c r="I7604" s="38"/>
      <c r="J7604" s="38"/>
      <c r="K7604" s="38"/>
      <c r="L7604" s="41"/>
      <c r="M7604" s="38"/>
      <c r="N7604" s="41"/>
      <c r="O7604" s="38"/>
      <c r="P7604" s="38"/>
      <c r="Q7604" s="39"/>
      <c r="R7604" s="39"/>
      <c r="S7604" s="39"/>
      <c r="T7604" s="39"/>
      <c r="U7604" s="39"/>
    </row>
    <row r="7605">
      <c r="A7605" s="40" t="str">
        <f t="shared" si="1"/>
        <v/>
      </c>
      <c r="B7605" s="37" t="str">
        <f t="array" ref="B7605">iferror(xlookup($I7605, 'IMPORT VHC Report'!$E:$E, 'IMPORT VHC Report'!$A:$C), )</f>
        <v/>
      </c>
      <c r="C7605" s="44"/>
      <c r="D7605" s="44"/>
      <c r="E7605" s="38"/>
      <c r="F7605" s="38"/>
      <c r="G7605" s="38"/>
      <c r="H7605" s="38"/>
      <c r="I7605" s="38"/>
      <c r="J7605" s="38"/>
      <c r="K7605" s="38"/>
      <c r="L7605" s="41"/>
      <c r="M7605" s="38"/>
      <c r="N7605" s="41"/>
      <c r="O7605" s="38"/>
      <c r="P7605" s="38"/>
      <c r="Q7605" s="39"/>
      <c r="R7605" s="39"/>
      <c r="S7605" s="39"/>
      <c r="T7605" s="39"/>
      <c r="U7605" s="39"/>
    </row>
    <row r="7606">
      <c r="A7606" s="40" t="str">
        <f t="shared" si="1"/>
        <v/>
      </c>
      <c r="B7606" s="37" t="str">
        <f t="array" ref="B7606">iferror(xlookup($I7606, 'IMPORT VHC Report'!$E:$E, 'IMPORT VHC Report'!$A:$C), )</f>
        <v/>
      </c>
      <c r="C7606" s="44"/>
      <c r="D7606" s="44"/>
      <c r="E7606" s="38"/>
      <c r="F7606" s="38"/>
      <c r="G7606" s="38"/>
      <c r="H7606" s="38"/>
      <c r="I7606" s="38"/>
      <c r="J7606" s="38"/>
      <c r="K7606" s="38"/>
      <c r="L7606" s="41"/>
      <c r="M7606" s="38"/>
      <c r="N7606" s="41"/>
      <c r="O7606" s="38"/>
      <c r="P7606" s="38"/>
      <c r="Q7606" s="39"/>
      <c r="R7606" s="39"/>
      <c r="S7606" s="39"/>
      <c r="T7606" s="39"/>
      <c r="U7606" s="39"/>
    </row>
    <row r="7607">
      <c r="A7607" s="40" t="str">
        <f t="shared" si="1"/>
        <v/>
      </c>
      <c r="B7607" s="37" t="str">
        <f t="array" ref="B7607">iferror(xlookup($I7607, 'IMPORT VHC Report'!$E:$E, 'IMPORT VHC Report'!$A:$C), )</f>
        <v/>
      </c>
      <c r="C7607" s="44"/>
      <c r="D7607" s="44"/>
      <c r="E7607" s="38"/>
      <c r="F7607" s="38"/>
      <c r="G7607" s="38"/>
      <c r="H7607" s="38"/>
      <c r="I7607" s="38"/>
      <c r="J7607" s="38"/>
      <c r="K7607" s="38"/>
      <c r="L7607" s="41"/>
      <c r="M7607" s="38"/>
      <c r="N7607" s="41"/>
      <c r="O7607" s="38"/>
      <c r="P7607" s="38"/>
      <c r="Q7607" s="39"/>
      <c r="R7607" s="39"/>
      <c r="S7607" s="39"/>
      <c r="T7607" s="39"/>
      <c r="U7607" s="39"/>
    </row>
    <row r="7608">
      <c r="A7608" s="40" t="str">
        <f t="shared" si="1"/>
        <v/>
      </c>
      <c r="B7608" s="37" t="str">
        <f t="array" ref="B7608">iferror(xlookup($I7608, 'IMPORT VHC Report'!$E:$E, 'IMPORT VHC Report'!$A:$C), )</f>
        <v/>
      </c>
      <c r="C7608" s="44"/>
      <c r="D7608" s="44"/>
      <c r="E7608" s="38"/>
      <c r="F7608" s="38"/>
      <c r="G7608" s="38"/>
      <c r="H7608" s="38"/>
      <c r="I7608" s="38"/>
      <c r="J7608" s="38"/>
      <c r="K7608" s="38"/>
      <c r="L7608" s="41"/>
      <c r="M7608" s="38"/>
      <c r="N7608" s="41"/>
      <c r="O7608" s="38"/>
      <c r="P7608" s="38"/>
      <c r="Q7608" s="39"/>
      <c r="R7608" s="39"/>
      <c r="S7608" s="39"/>
      <c r="T7608" s="39"/>
      <c r="U7608" s="39"/>
    </row>
    <row r="7609">
      <c r="A7609" s="40" t="str">
        <f t="shared" si="1"/>
        <v/>
      </c>
      <c r="B7609" s="37" t="str">
        <f t="array" ref="B7609">iferror(xlookup($I7609, 'IMPORT VHC Report'!$E:$E, 'IMPORT VHC Report'!$A:$C), )</f>
        <v/>
      </c>
      <c r="C7609" s="44"/>
      <c r="D7609" s="44"/>
      <c r="E7609" s="38"/>
      <c r="F7609" s="38"/>
      <c r="G7609" s="38"/>
      <c r="H7609" s="38"/>
      <c r="I7609" s="38"/>
      <c r="J7609" s="38"/>
      <c r="K7609" s="38"/>
      <c r="L7609" s="41"/>
      <c r="M7609" s="38"/>
      <c r="N7609" s="41"/>
      <c r="O7609" s="38"/>
      <c r="P7609" s="38"/>
      <c r="Q7609" s="39"/>
      <c r="R7609" s="39"/>
      <c r="S7609" s="39"/>
      <c r="T7609" s="39"/>
      <c r="U7609" s="39"/>
    </row>
    <row r="7610">
      <c r="A7610" s="40" t="str">
        <f t="shared" si="1"/>
        <v/>
      </c>
      <c r="B7610" s="37" t="str">
        <f t="array" ref="B7610">iferror(xlookup($I7610, 'IMPORT VHC Report'!$E:$E, 'IMPORT VHC Report'!$A:$C), )</f>
        <v/>
      </c>
      <c r="C7610" s="44"/>
      <c r="D7610" s="44"/>
      <c r="E7610" s="38"/>
      <c r="F7610" s="38"/>
      <c r="G7610" s="38"/>
      <c r="H7610" s="38"/>
      <c r="I7610" s="38"/>
      <c r="J7610" s="38"/>
      <c r="K7610" s="38"/>
      <c r="L7610" s="41"/>
      <c r="M7610" s="38"/>
      <c r="N7610" s="41"/>
      <c r="O7610" s="38"/>
      <c r="P7610" s="38"/>
      <c r="Q7610" s="38"/>
      <c r="R7610" s="39"/>
      <c r="S7610" s="39"/>
      <c r="T7610" s="39"/>
      <c r="U7610" s="39"/>
    </row>
    <row r="7611">
      <c r="A7611" s="40" t="str">
        <f t="shared" si="1"/>
        <v/>
      </c>
      <c r="B7611" s="37" t="str">
        <f t="array" ref="B7611">iferror(xlookup($I7611, 'IMPORT VHC Report'!$E:$E, 'IMPORT VHC Report'!$A:$C), )</f>
        <v/>
      </c>
      <c r="C7611" s="44"/>
      <c r="D7611" s="44"/>
      <c r="E7611" s="38"/>
      <c r="F7611" s="38"/>
      <c r="G7611" s="38"/>
      <c r="H7611" s="38"/>
      <c r="I7611" s="38"/>
      <c r="J7611" s="38"/>
      <c r="K7611" s="38"/>
      <c r="L7611" s="41"/>
      <c r="M7611" s="38"/>
      <c r="N7611" s="41"/>
      <c r="O7611" s="38"/>
      <c r="P7611" s="38"/>
      <c r="Q7611" s="39"/>
      <c r="R7611" s="39"/>
      <c r="S7611" s="39"/>
      <c r="T7611" s="39"/>
      <c r="U7611" s="39"/>
    </row>
    <row r="7612">
      <c r="A7612" s="40" t="str">
        <f t="shared" si="1"/>
        <v/>
      </c>
      <c r="B7612" s="37" t="str">
        <f t="array" ref="B7612">iferror(xlookup($I7612, 'IMPORT VHC Report'!$E:$E, 'IMPORT VHC Report'!$A:$C), )</f>
        <v/>
      </c>
      <c r="C7612" s="44"/>
      <c r="D7612" s="44"/>
      <c r="E7612" s="38"/>
      <c r="F7612" s="38"/>
      <c r="G7612" s="38"/>
      <c r="H7612" s="38"/>
      <c r="I7612" s="38"/>
      <c r="J7612" s="38"/>
      <c r="K7612" s="38"/>
      <c r="L7612" s="41"/>
      <c r="M7612" s="38"/>
      <c r="N7612" s="41"/>
      <c r="O7612" s="38"/>
      <c r="P7612" s="38"/>
      <c r="Q7612" s="39"/>
      <c r="R7612" s="39"/>
      <c r="S7612" s="39"/>
      <c r="T7612" s="39"/>
      <c r="U7612" s="39"/>
    </row>
    <row r="7613">
      <c r="A7613" s="40" t="str">
        <f t="shared" si="1"/>
        <v/>
      </c>
      <c r="B7613" s="37" t="str">
        <f t="array" ref="B7613">iferror(xlookup($I7613, 'IMPORT VHC Report'!$E:$E, 'IMPORT VHC Report'!$A:$C), )</f>
        <v/>
      </c>
      <c r="C7613" s="44"/>
      <c r="D7613" s="44"/>
      <c r="E7613" s="38"/>
      <c r="F7613" s="38"/>
      <c r="G7613" s="38"/>
      <c r="H7613" s="38"/>
      <c r="I7613" s="38"/>
      <c r="J7613" s="38"/>
      <c r="K7613" s="38"/>
      <c r="L7613" s="41"/>
      <c r="M7613" s="38"/>
      <c r="N7613" s="41"/>
      <c r="O7613" s="38"/>
      <c r="P7613" s="38"/>
      <c r="Q7613" s="39"/>
      <c r="R7613" s="39"/>
      <c r="S7613" s="39"/>
      <c r="T7613" s="39"/>
      <c r="U7613" s="39"/>
    </row>
    <row r="7614">
      <c r="A7614" s="40" t="str">
        <f t="shared" si="1"/>
        <v/>
      </c>
      <c r="B7614" s="37" t="str">
        <f t="array" ref="B7614">iferror(xlookup($I7614, 'IMPORT VHC Report'!$E:$E, 'IMPORT VHC Report'!$A:$C), )</f>
        <v/>
      </c>
      <c r="C7614" s="44"/>
      <c r="D7614" s="44"/>
      <c r="E7614" s="38"/>
      <c r="F7614" s="38"/>
      <c r="G7614" s="38"/>
      <c r="H7614" s="38"/>
      <c r="I7614" s="38"/>
      <c r="J7614" s="38"/>
      <c r="K7614" s="38"/>
      <c r="L7614" s="41"/>
      <c r="M7614" s="38"/>
      <c r="N7614" s="41"/>
      <c r="O7614" s="38"/>
      <c r="P7614" s="38"/>
      <c r="Q7614" s="39"/>
      <c r="R7614" s="39"/>
      <c r="S7614" s="39"/>
      <c r="T7614" s="39"/>
      <c r="U7614" s="39"/>
    </row>
    <row r="7615">
      <c r="A7615" s="40" t="str">
        <f t="shared" si="1"/>
        <v/>
      </c>
      <c r="B7615" s="37" t="str">
        <f t="array" ref="B7615">iferror(xlookup($I7615, 'IMPORT VHC Report'!$E:$E, 'IMPORT VHC Report'!$A:$C), )</f>
        <v/>
      </c>
      <c r="C7615" s="44"/>
      <c r="D7615" s="44"/>
      <c r="E7615" s="38"/>
      <c r="F7615" s="38"/>
      <c r="G7615" s="38"/>
      <c r="H7615" s="38"/>
      <c r="I7615" s="38"/>
      <c r="J7615" s="38"/>
      <c r="K7615" s="38"/>
      <c r="L7615" s="41"/>
      <c r="M7615" s="38"/>
      <c r="N7615" s="41"/>
      <c r="O7615" s="38"/>
      <c r="P7615" s="38"/>
      <c r="Q7615" s="39"/>
      <c r="R7615" s="39"/>
      <c r="S7615" s="39"/>
      <c r="T7615" s="39"/>
      <c r="U7615" s="39"/>
    </row>
    <row r="7616">
      <c r="A7616" s="40" t="str">
        <f t="shared" si="1"/>
        <v/>
      </c>
      <c r="B7616" s="37" t="str">
        <f t="array" ref="B7616">iferror(xlookup($I7616, 'IMPORT VHC Report'!$E:$E, 'IMPORT VHC Report'!$A:$C), )</f>
        <v/>
      </c>
      <c r="C7616" s="44"/>
      <c r="D7616" s="44"/>
      <c r="E7616" s="38"/>
      <c r="F7616" s="38"/>
      <c r="G7616" s="38"/>
      <c r="H7616" s="38"/>
      <c r="I7616" s="38"/>
      <c r="J7616" s="38"/>
      <c r="K7616" s="38"/>
      <c r="L7616" s="41"/>
      <c r="M7616" s="38"/>
      <c r="N7616" s="41"/>
      <c r="O7616" s="38"/>
      <c r="P7616" s="38"/>
      <c r="Q7616" s="39"/>
      <c r="R7616" s="39"/>
      <c r="S7616" s="39"/>
      <c r="T7616" s="39"/>
      <c r="U7616" s="39"/>
    </row>
    <row r="7617">
      <c r="A7617" s="40" t="str">
        <f t="shared" si="1"/>
        <v/>
      </c>
      <c r="B7617" s="37" t="str">
        <f t="array" ref="B7617">iferror(xlookup($I7617, 'IMPORT VHC Report'!$E:$E, 'IMPORT VHC Report'!$A:$C), )</f>
        <v/>
      </c>
      <c r="C7617" s="44"/>
      <c r="D7617" s="44"/>
      <c r="E7617" s="38"/>
      <c r="F7617" s="38"/>
      <c r="G7617" s="38"/>
      <c r="H7617" s="38"/>
      <c r="I7617" s="38"/>
      <c r="J7617" s="38"/>
      <c r="K7617" s="38"/>
      <c r="L7617" s="41"/>
      <c r="M7617" s="38"/>
      <c r="N7617" s="41"/>
      <c r="O7617" s="38"/>
      <c r="P7617" s="38"/>
      <c r="Q7617" s="39"/>
      <c r="R7617" s="39"/>
      <c r="S7617" s="39"/>
      <c r="T7617" s="39"/>
      <c r="U7617" s="39"/>
    </row>
    <row r="7618">
      <c r="A7618" s="40" t="str">
        <f t="shared" si="1"/>
        <v/>
      </c>
      <c r="B7618" s="37" t="str">
        <f t="array" ref="B7618">iferror(xlookup($I7618, 'IMPORT VHC Report'!$E:$E, 'IMPORT VHC Report'!$A:$C), )</f>
        <v/>
      </c>
      <c r="C7618" s="44"/>
      <c r="D7618" s="44"/>
      <c r="E7618" s="38"/>
      <c r="F7618" s="38"/>
      <c r="G7618" s="38"/>
      <c r="H7618" s="38"/>
      <c r="I7618" s="38"/>
      <c r="J7618" s="38"/>
      <c r="K7618" s="38"/>
      <c r="L7618" s="41"/>
      <c r="M7618" s="38"/>
      <c r="N7618" s="41"/>
      <c r="O7618" s="38"/>
      <c r="P7618" s="38"/>
      <c r="Q7618" s="39"/>
      <c r="R7618" s="39"/>
      <c r="S7618" s="39"/>
      <c r="T7618" s="39"/>
      <c r="U7618" s="39"/>
    </row>
    <row r="7619">
      <c r="A7619" s="40" t="str">
        <f t="shared" si="1"/>
        <v/>
      </c>
      <c r="B7619" s="37" t="str">
        <f t="array" ref="B7619">iferror(xlookup($I7619, 'IMPORT VHC Report'!$E:$E, 'IMPORT VHC Report'!$A:$C), )</f>
        <v/>
      </c>
      <c r="C7619" s="44"/>
      <c r="D7619" s="44"/>
      <c r="E7619" s="38"/>
      <c r="F7619" s="38"/>
      <c r="G7619" s="38"/>
      <c r="H7619" s="38"/>
      <c r="I7619" s="38"/>
      <c r="J7619" s="38"/>
      <c r="K7619" s="38"/>
      <c r="L7619" s="41"/>
      <c r="M7619" s="38"/>
      <c r="N7619" s="41"/>
      <c r="O7619" s="38"/>
      <c r="P7619" s="38"/>
      <c r="Q7619" s="39"/>
      <c r="R7619" s="39"/>
      <c r="S7619" s="39"/>
      <c r="T7619" s="39"/>
      <c r="U7619" s="39"/>
    </row>
    <row r="7620">
      <c r="A7620" s="40" t="str">
        <f t="shared" si="1"/>
        <v/>
      </c>
      <c r="B7620" s="37" t="str">
        <f t="array" ref="B7620">iferror(xlookup($I7620, 'IMPORT VHC Report'!$E:$E, 'IMPORT VHC Report'!$A:$C), )</f>
        <v/>
      </c>
      <c r="C7620" s="44"/>
      <c r="D7620" s="44"/>
      <c r="E7620" s="38"/>
      <c r="F7620" s="38"/>
      <c r="G7620" s="38"/>
      <c r="H7620" s="38"/>
      <c r="I7620" s="38"/>
      <c r="J7620" s="38"/>
      <c r="K7620" s="38"/>
      <c r="L7620" s="41"/>
      <c r="M7620" s="38"/>
      <c r="N7620" s="41"/>
      <c r="O7620" s="38"/>
      <c r="P7620" s="38"/>
      <c r="Q7620" s="39"/>
      <c r="R7620" s="39"/>
      <c r="S7620" s="39"/>
      <c r="T7620" s="39"/>
      <c r="U7620" s="39"/>
    </row>
    <row r="7621">
      <c r="A7621" s="40" t="str">
        <f t="shared" si="1"/>
        <v/>
      </c>
      <c r="B7621" s="37" t="str">
        <f t="array" ref="B7621">iferror(xlookup($I7621, 'IMPORT VHC Report'!$E:$E, 'IMPORT VHC Report'!$A:$C), )</f>
        <v/>
      </c>
      <c r="C7621" s="44"/>
      <c r="D7621" s="44"/>
      <c r="E7621" s="38"/>
      <c r="F7621" s="38"/>
      <c r="G7621" s="38"/>
      <c r="H7621" s="38"/>
      <c r="I7621" s="38"/>
      <c r="J7621" s="38"/>
      <c r="K7621" s="38"/>
      <c r="L7621" s="41"/>
      <c r="M7621" s="38"/>
      <c r="N7621" s="41"/>
      <c r="O7621" s="38"/>
      <c r="P7621" s="38"/>
      <c r="Q7621" s="39"/>
      <c r="R7621" s="39"/>
      <c r="S7621" s="39"/>
      <c r="T7621" s="39"/>
      <c r="U7621" s="39"/>
    </row>
    <row r="7622">
      <c r="A7622" s="40" t="str">
        <f t="shared" si="1"/>
        <v/>
      </c>
      <c r="B7622" s="37" t="str">
        <f t="array" ref="B7622">iferror(xlookup($I7622, 'IMPORT VHC Report'!$E:$E, 'IMPORT VHC Report'!$A:$C), )</f>
        <v/>
      </c>
      <c r="C7622" s="44"/>
      <c r="D7622" s="44"/>
      <c r="E7622" s="38"/>
      <c r="F7622" s="38"/>
      <c r="G7622" s="38"/>
      <c r="H7622" s="38"/>
      <c r="I7622" s="38"/>
      <c r="J7622" s="38"/>
      <c r="K7622" s="38"/>
      <c r="L7622" s="41"/>
      <c r="M7622" s="38"/>
      <c r="N7622" s="41"/>
      <c r="O7622" s="38"/>
      <c r="P7622" s="38"/>
      <c r="Q7622" s="39"/>
      <c r="R7622" s="39"/>
      <c r="S7622" s="39"/>
      <c r="T7622" s="39"/>
      <c r="U7622" s="39"/>
    </row>
    <row r="7623">
      <c r="A7623" s="40" t="str">
        <f t="shared" si="1"/>
        <v/>
      </c>
      <c r="B7623" s="37" t="str">
        <f t="array" ref="B7623">iferror(xlookup($I7623, 'IMPORT VHC Report'!$E:$E, 'IMPORT VHC Report'!$A:$C), )</f>
        <v/>
      </c>
      <c r="C7623" s="44"/>
      <c r="D7623" s="44"/>
      <c r="E7623" s="38"/>
      <c r="F7623" s="38"/>
      <c r="G7623" s="38"/>
      <c r="H7623" s="38"/>
      <c r="I7623" s="38"/>
      <c r="J7623" s="38"/>
      <c r="K7623" s="38"/>
      <c r="L7623" s="41"/>
      <c r="M7623" s="38"/>
      <c r="N7623" s="41"/>
      <c r="O7623" s="38"/>
      <c r="P7623" s="38"/>
      <c r="Q7623" s="39"/>
      <c r="R7623" s="39"/>
      <c r="S7623" s="38"/>
      <c r="T7623" s="39"/>
      <c r="U7623" s="39"/>
    </row>
    <row r="7624">
      <c r="A7624" s="40" t="str">
        <f t="shared" si="1"/>
        <v/>
      </c>
      <c r="B7624" s="37" t="str">
        <f t="array" ref="B7624">iferror(xlookup($I7624, 'IMPORT VHC Report'!$E:$E, 'IMPORT VHC Report'!$A:$C), )</f>
        <v/>
      </c>
      <c r="C7624" s="44"/>
      <c r="D7624" s="44"/>
      <c r="E7624" s="38"/>
      <c r="F7624" s="38"/>
      <c r="G7624" s="38"/>
      <c r="H7624" s="38"/>
      <c r="I7624" s="38"/>
      <c r="J7624" s="38"/>
      <c r="K7624" s="38"/>
      <c r="L7624" s="41"/>
      <c r="M7624" s="38"/>
      <c r="N7624" s="41"/>
      <c r="O7624" s="38"/>
      <c r="P7624" s="38"/>
      <c r="Q7624" s="39"/>
      <c r="R7624" s="39"/>
      <c r="S7624" s="39"/>
      <c r="T7624" s="39"/>
      <c r="U7624" s="39"/>
    </row>
    <row r="7625">
      <c r="A7625" s="40" t="str">
        <f t="shared" si="1"/>
        <v/>
      </c>
      <c r="B7625" s="37" t="str">
        <f t="array" ref="B7625">iferror(xlookup($I7625, 'IMPORT VHC Report'!$E:$E, 'IMPORT VHC Report'!$A:$C), )</f>
        <v/>
      </c>
      <c r="C7625" s="44"/>
      <c r="D7625" s="44"/>
      <c r="E7625" s="38"/>
      <c r="F7625" s="38"/>
      <c r="G7625" s="38"/>
      <c r="H7625" s="38"/>
      <c r="I7625" s="38"/>
      <c r="J7625" s="38"/>
      <c r="K7625" s="38"/>
      <c r="L7625" s="41"/>
      <c r="M7625" s="38"/>
      <c r="N7625" s="41"/>
      <c r="O7625" s="38"/>
      <c r="P7625" s="38"/>
      <c r="Q7625" s="39"/>
      <c r="R7625" s="39"/>
      <c r="S7625" s="39"/>
      <c r="T7625" s="39"/>
      <c r="U7625" s="39"/>
    </row>
    <row r="7626">
      <c r="A7626" s="40" t="str">
        <f t="shared" si="1"/>
        <v/>
      </c>
      <c r="B7626" s="37" t="str">
        <f t="array" ref="B7626">iferror(xlookup($I7626, 'IMPORT VHC Report'!$E:$E, 'IMPORT VHC Report'!$A:$C), )</f>
        <v/>
      </c>
      <c r="C7626" s="44"/>
      <c r="D7626" s="44"/>
      <c r="E7626" s="38"/>
      <c r="F7626" s="38"/>
      <c r="G7626" s="38"/>
      <c r="H7626" s="38"/>
      <c r="I7626" s="38"/>
      <c r="J7626" s="38"/>
      <c r="K7626" s="38"/>
      <c r="L7626" s="41"/>
      <c r="M7626" s="38"/>
      <c r="N7626" s="41"/>
      <c r="O7626" s="38"/>
      <c r="P7626" s="38"/>
      <c r="Q7626" s="39"/>
      <c r="R7626" s="39"/>
      <c r="S7626" s="38"/>
      <c r="T7626" s="39"/>
      <c r="U7626" s="39"/>
    </row>
    <row r="7627">
      <c r="A7627" s="40" t="str">
        <f t="shared" si="1"/>
        <v/>
      </c>
      <c r="B7627" s="37" t="str">
        <f t="array" ref="B7627">iferror(xlookup($I7627, 'IMPORT VHC Report'!$E:$E, 'IMPORT VHC Report'!$A:$C), )</f>
        <v/>
      </c>
      <c r="C7627" s="44"/>
      <c r="D7627" s="44"/>
      <c r="E7627" s="38"/>
      <c r="F7627" s="38"/>
      <c r="G7627" s="38"/>
      <c r="H7627" s="38"/>
      <c r="I7627" s="38"/>
      <c r="J7627" s="38"/>
      <c r="K7627" s="38"/>
      <c r="L7627" s="41"/>
      <c r="M7627" s="38"/>
      <c r="N7627" s="41"/>
      <c r="O7627" s="38"/>
      <c r="P7627" s="38"/>
      <c r="Q7627" s="39"/>
      <c r="R7627" s="39"/>
      <c r="S7627" s="39"/>
      <c r="T7627" s="39"/>
      <c r="U7627" s="39"/>
    </row>
    <row r="7628">
      <c r="A7628" s="40" t="str">
        <f t="shared" si="1"/>
        <v/>
      </c>
      <c r="B7628" s="37" t="str">
        <f t="array" ref="B7628">iferror(xlookup($I7628, 'IMPORT VHC Report'!$E:$E, 'IMPORT VHC Report'!$A:$C), )</f>
        <v/>
      </c>
      <c r="C7628" s="44"/>
      <c r="D7628" s="44"/>
      <c r="E7628" s="38"/>
      <c r="F7628" s="38"/>
      <c r="G7628" s="38"/>
      <c r="H7628" s="38"/>
      <c r="I7628" s="38"/>
      <c r="J7628" s="38"/>
      <c r="K7628" s="38"/>
      <c r="L7628" s="41"/>
      <c r="M7628" s="38"/>
      <c r="N7628" s="41"/>
      <c r="O7628" s="38"/>
      <c r="P7628" s="38"/>
      <c r="Q7628" s="39"/>
      <c r="R7628" s="39"/>
      <c r="S7628" s="39"/>
      <c r="T7628" s="39"/>
      <c r="U7628" s="39"/>
    </row>
    <row r="7629">
      <c r="A7629" s="40" t="str">
        <f t="shared" si="1"/>
        <v/>
      </c>
      <c r="B7629" s="37" t="str">
        <f t="array" ref="B7629">iferror(xlookup($I7629, 'IMPORT VHC Report'!$E:$E, 'IMPORT VHC Report'!$A:$C), )</f>
        <v/>
      </c>
      <c r="C7629" s="44"/>
      <c r="D7629" s="44"/>
      <c r="E7629" s="38"/>
      <c r="F7629" s="38"/>
      <c r="G7629" s="38"/>
      <c r="H7629" s="38"/>
      <c r="I7629" s="38"/>
      <c r="J7629" s="38"/>
      <c r="K7629" s="38"/>
      <c r="L7629" s="41"/>
      <c r="M7629" s="38"/>
      <c r="N7629" s="41"/>
      <c r="O7629" s="38"/>
      <c r="P7629" s="38"/>
      <c r="Q7629" s="39"/>
      <c r="R7629" s="39"/>
      <c r="S7629" s="39"/>
      <c r="T7629" s="39"/>
      <c r="U7629" s="39"/>
    </row>
    <row r="7630">
      <c r="A7630" s="40" t="str">
        <f t="shared" si="1"/>
        <v/>
      </c>
      <c r="B7630" s="37" t="str">
        <f t="array" ref="B7630">iferror(xlookup($I7630, 'IMPORT VHC Report'!$E:$E, 'IMPORT VHC Report'!$A:$C), )</f>
        <v/>
      </c>
      <c r="C7630" s="44"/>
      <c r="D7630" s="44"/>
      <c r="E7630" s="38"/>
      <c r="F7630" s="38"/>
      <c r="G7630" s="38"/>
      <c r="H7630" s="38"/>
      <c r="I7630" s="38"/>
      <c r="J7630" s="38"/>
      <c r="K7630" s="38"/>
      <c r="L7630" s="41"/>
      <c r="M7630" s="38"/>
      <c r="N7630" s="41"/>
      <c r="O7630" s="38"/>
      <c r="P7630" s="38"/>
      <c r="Q7630" s="39"/>
      <c r="R7630" s="39"/>
      <c r="S7630" s="39"/>
      <c r="T7630" s="39"/>
      <c r="U7630" s="39"/>
    </row>
    <row r="7631">
      <c r="A7631" s="40" t="str">
        <f t="shared" si="1"/>
        <v/>
      </c>
      <c r="B7631" s="37" t="str">
        <f t="array" ref="B7631">iferror(xlookup($I7631, 'IMPORT VHC Report'!$E:$E, 'IMPORT VHC Report'!$A:$C), )</f>
        <v/>
      </c>
      <c r="C7631" s="44"/>
      <c r="D7631" s="44"/>
      <c r="E7631" s="38"/>
      <c r="F7631" s="38"/>
      <c r="G7631" s="38"/>
      <c r="H7631" s="38"/>
      <c r="I7631" s="38"/>
      <c r="J7631" s="38"/>
      <c r="K7631" s="38"/>
      <c r="L7631" s="41"/>
      <c r="M7631" s="38"/>
      <c r="N7631" s="41"/>
      <c r="O7631" s="38"/>
      <c r="P7631" s="38"/>
      <c r="Q7631" s="39"/>
      <c r="R7631" s="39"/>
      <c r="S7631" s="38"/>
      <c r="T7631" s="39"/>
      <c r="U7631" s="39"/>
    </row>
    <row r="7632">
      <c r="A7632" s="40" t="str">
        <f t="shared" si="1"/>
        <v/>
      </c>
      <c r="B7632" s="37" t="str">
        <f t="array" ref="B7632">iferror(xlookup($I7632, 'IMPORT VHC Report'!$E:$E, 'IMPORT VHC Report'!$A:$C), )</f>
        <v/>
      </c>
      <c r="C7632" s="44"/>
      <c r="D7632" s="44"/>
      <c r="E7632" s="38"/>
      <c r="F7632" s="38"/>
      <c r="G7632" s="38"/>
      <c r="H7632" s="38"/>
      <c r="I7632" s="38"/>
      <c r="J7632" s="38"/>
      <c r="K7632" s="38"/>
      <c r="L7632" s="41"/>
      <c r="M7632" s="38"/>
      <c r="N7632" s="41"/>
      <c r="O7632" s="38"/>
      <c r="P7632" s="38"/>
      <c r="Q7632" s="39"/>
      <c r="R7632" s="39"/>
      <c r="S7632" s="39"/>
      <c r="T7632" s="39"/>
      <c r="U7632" s="39"/>
    </row>
    <row r="7633">
      <c r="A7633" s="40" t="str">
        <f t="shared" si="1"/>
        <v/>
      </c>
      <c r="B7633" s="37" t="str">
        <f t="array" ref="B7633">iferror(xlookup($I7633, 'IMPORT VHC Report'!$E:$E, 'IMPORT VHC Report'!$A:$C), )</f>
        <v/>
      </c>
      <c r="C7633" s="44"/>
      <c r="D7633" s="44"/>
      <c r="E7633" s="38"/>
      <c r="F7633" s="38"/>
      <c r="G7633" s="38"/>
      <c r="H7633" s="38"/>
      <c r="I7633" s="38"/>
      <c r="J7633" s="38"/>
      <c r="K7633" s="38"/>
      <c r="L7633" s="41"/>
      <c r="M7633" s="38"/>
      <c r="N7633" s="41"/>
      <c r="O7633" s="38"/>
      <c r="P7633" s="38"/>
      <c r="Q7633" s="39"/>
      <c r="R7633" s="39"/>
      <c r="S7633" s="38"/>
      <c r="T7633" s="39"/>
      <c r="U7633" s="39"/>
    </row>
    <row r="7634">
      <c r="A7634" s="40" t="str">
        <f t="shared" si="1"/>
        <v/>
      </c>
      <c r="B7634" s="37" t="str">
        <f t="array" ref="B7634">iferror(xlookup($I7634, 'IMPORT VHC Report'!$E:$E, 'IMPORT VHC Report'!$A:$C), )</f>
        <v/>
      </c>
      <c r="C7634" s="44"/>
      <c r="D7634" s="44"/>
      <c r="E7634" s="38"/>
      <c r="F7634" s="38"/>
      <c r="G7634" s="38"/>
      <c r="H7634" s="38"/>
      <c r="I7634" s="38"/>
      <c r="J7634" s="38"/>
      <c r="K7634" s="38"/>
      <c r="L7634" s="41"/>
      <c r="M7634" s="38"/>
      <c r="N7634" s="41"/>
      <c r="O7634" s="38"/>
      <c r="P7634" s="38"/>
      <c r="Q7634" s="39"/>
      <c r="R7634" s="39"/>
      <c r="S7634" s="38"/>
      <c r="T7634" s="39"/>
      <c r="U7634" s="39"/>
    </row>
    <row r="7635">
      <c r="A7635" s="40" t="str">
        <f t="shared" si="1"/>
        <v/>
      </c>
      <c r="B7635" s="37" t="str">
        <f t="array" ref="B7635">iferror(xlookup($I7635, 'IMPORT VHC Report'!$E:$E, 'IMPORT VHC Report'!$A:$C), )</f>
        <v/>
      </c>
      <c r="C7635" s="44"/>
      <c r="D7635" s="44"/>
      <c r="E7635" s="38"/>
      <c r="F7635" s="38"/>
      <c r="G7635" s="38"/>
      <c r="H7635" s="38"/>
      <c r="I7635" s="38"/>
      <c r="J7635" s="38"/>
      <c r="K7635" s="38"/>
      <c r="L7635" s="41"/>
      <c r="M7635" s="38"/>
      <c r="N7635" s="41"/>
      <c r="O7635" s="38"/>
      <c r="P7635" s="38"/>
      <c r="Q7635" s="39"/>
      <c r="R7635" s="39"/>
      <c r="S7635" s="39"/>
      <c r="T7635" s="39"/>
      <c r="U7635" s="39"/>
    </row>
    <row r="7636">
      <c r="A7636" s="40" t="str">
        <f t="shared" si="1"/>
        <v/>
      </c>
      <c r="B7636" s="37" t="str">
        <f t="array" ref="B7636">iferror(xlookup($I7636, 'IMPORT VHC Report'!$E:$E, 'IMPORT VHC Report'!$A:$C), )</f>
        <v/>
      </c>
      <c r="C7636" s="44"/>
      <c r="D7636" s="44"/>
      <c r="E7636" s="38"/>
      <c r="F7636" s="38"/>
      <c r="G7636" s="38"/>
      <c r="H7636" s="38"/>
      <c r="I7636" s="38"/>
      <c r="J7636" s="38"/>
      <c r="K7636" s="38"/>
      <c r="L7636" s="41"/>
      <c r="M7636" s="38"/>
      <c r="N7636" s="41"/>
      <c r="O7636" s="38"/>
      <c r="P7636" s="38"/>
      <c r="Q7636" s="39"/>
      <c r="R7636" s="39"/>
      <c r="S7636" s="39"/>
      <c r="T7636" s="39"/>
      <c r="U7636" s="39"/>
    </row>
    <row r="7637">
      <c r="A7637" s="40" t="str">
        <f t="shared" si="1"/>
        <v/>
      </c>
      <c r="B7637" s="37" t="str">
        <f t="array" ref="B7637">iferror(xlookup($I7637, 'IMPORT VHC Report'!$E:$E, 'IMPORT VHC Report'!$A:$C), )</f>
        <v/>
      </c>
      <c r="C7637" s="44"/>
      <c r="D7637" s="44"/>
      <c r="E7637" s="38"/>
      <c r="F7637" s="38"/>
      <c r="G7637" s="38"/>
      <c r="H7637" s="38"/>
      <c r="I7637" s="38"/>
      <c r="J7637" s="38"/>
      <c r="K7637" s="38"/>
      <c r="L7637" s="41"/>
      <c r="M7637" s="38"/>
      <c r="N7637" s="41"/>
      <c r="O7637" s="38"/>
      <c r="P7637" s="38"/>
      <c r="Q7637" s="39"/>
      <c r="R7637" s="39"/>
      <c r="S7637" s="39"/>
      <c r="T7637" s="39"/>
      <c r="U7637" s="39"/>
    </row>
    <row r="7638">
      <c r="A7638" s="40" t="str">
        <f t="shared" si="1"/>
        <v/>
      </c>
      <c r="B7638" s="37" t="str">
        <f t="array" ref="B7638">iferror(xlookup($I7638, 'IMPORT VHC Report'!$E:$E, 'IMPORT VHC Report'!$A:$C), )</f>
        <v/>
      </c>
      <c r="C7638" s="44"/>
      <c r="D7638" s="44"/>
      <c r="E7638" s="38"/>
      <c r="F7638" s="38"/>
      <c r="G7638" s="38"/>
      <c r="H7638" s="38"/>
      <c r="I7638" s="38"/>
      <c r="J7638" s="38"/>
      <c r="K7638" s="38"/>
      <c r="L7638" s="41"/>
      <c r="M7638" s="38"/>
      <c r="N7638" s="41"/>
      <c r="O7638" s="38"/>
      <c r="P7638" s="38"/>
      <c r="Q7638" s="39"/>
      <c r="R7638" s="39"/>
      <c r="S7638" s="39"/>
      <c r="T7638" s="39"/>
      <c r="U7638" s="39"/>
    </row>
    <row r="7639">
      <c r="A7639" s="40" t="str">
        <f t="shared" si="1"/>
        <v/>
      </c>
      <c r="B7639" s="37" t="str">
        <f t="array" ref="B7639">iferror(xlookup($I7639, 'IMPORT VHC Report'!$E:$E, 'IMPORT VHC Report'!$A:$C), )</f>
        <v/>
      </c>
      <c r="C7639" s="44"/>
      <c r="D7639" s="44"/>
      <c r="E7639" s="38"/>
      <c r="F7639" s="38"/>
      <c r="G7639" s="38"/>
      <c r="H7639" s="38"/>
      <c r="I7639" s="38"/>
      <c r="J7639" s="38"/>
      <c r="K7639" s="38"/>
      <c r="L7639" s="41"/>
      <c r="M7639" s="38"/>
      <c r="N7639" s="41"/>
      <c r="O7639" s="38"/>
      <c r="P7639" s="38"/>
      <c r="Q7639" s="39"/>
      <c r="R7639" s="39"/>
      <c r="S7639" s="39"/>
      <c r="T7639" s="39"/>
      <c r="U7639" s="39"/>
    </row>
    <row r="7640">
      <c r="A7640" s="40" t="str">
        <f t="shared" si="1"/>
        <v/>
      </c>
      <c r="B7640" s="37" t="str">
        <f t="array" ref="B7640">iferror(xlookup($I7640, 'IMPORT VHC Report'!$E:$E, 'IMPORT VHC Report'!$A:$C), )</f>
        <v/>
      </c>
      <c r="C7640" s="44"/>
      <c r="D7640" s="44"/>
      <c r="E7640" s="38"/>
      <c r="F7640" s="38"/>
      <c r="G7640" s="38"/>
      <c r="H7640" s="38"/>
      <c r="I7640" s="38"/>
      <c r="J7640" s="38"/>
      <c r="K7640" s="38"/>
      <c r="L7640" s="41"/>
      <c r="M7640" s="38"/>
      <c r="N7640" s="41"/>
      <c r="O7640" s="38"/>
      <c r="P7640" s="38"/>
      <c r="Q7640" s="39"/>
      <c r="R7640" s="39"/>
      <c r="S7640" s="39"/>
      <c r="T7640" s="39"/>
      <c r="U7640" s="39"/>
    </row>
    <row r="7641">
      <c r="A7641" s="40" t="str">
        <f t="shared" si="1"/>
        <v/>
      </c>
      <c r="B7641" s="37" t="str">
        <f t="array" ref="B7641">iferror(xlookup($I7641, 'IMPORT VHC Report'!$E:$E, 'IMPORT VHC Report'!$A:$C), )</f>
        <v/>
      </c>
      <c r="C7641" s="44"/>
      <c r="D7641" s="44"/>
      <c r="E7641" s="38"/>
      <c r="F7641" s="38"/>
      <c r="G7641" s="38"/>
      <c r="H7641" s="38"/>
      <c r="I7641" s="38"/>
      <c r="J7641" s="38"/>
      <c r="K7641" s="38"/>
      <c r="L7641" s="41"/>
      <c r="M7641" s="38"/>
      <c r="N7641" s="41"/>
      <c r="O7641" s="38"/>
      <c r="P7641" s="38"/>
      <c r="Q7641" s="39"/>
      <c r="R7641" s="39"/>
      <c r="S7641" s="39"/>
      <c r="T7641" s="39"/>
      <c r="U7641" s="39"/>
    </row>
    <row r="7642">
      <c r="A7642" s="40" t="str">
        <f t="shared" si="1"/>
        <v/>
      </c>
      <c r="B7642" s="37" t="str">
        <f t="array" ref="B7642">iferror(xlookup($I7642, 'IMPORT VHC Report'!$E:$E, 'IMPORT VHC Report'!$A:$C), )</f>
        <v/>
      </c>
      <c r="C7642" s="44"/>
      <c r="D7642" s="44"/>
      <c r="E7642" s="38"/>
      <c r="F7642" s="38"/>
      <c r="G7642" s="38"/>
      <c r="H7642" s="38"/>
      <c r="I7642" s="38"/>
      <c r="J7642" s="38"/>
      <c r="K7642" s="38"/>
      <c r="L7642" s="41"/>
      <c r="M7642" s="38"/>
      <c r="N7642" s="41"/>
      <c r="O7642" s="38"/>
      <c r="P7642" s="38"/>
      <c r="Q7642" s="39"/>
      <c r="R7642" s="39"/>
      <c r="S7642" s="39"/>
      <c r="T7642" s="39"/>
      <c r="U7642" s="39"/>
    </row>
    <row r="7643">
      <c r="A7643" s="40" t="str">
        <f t="shared" si="1"/>
        <v/>
      </c>
      <c r="B7643" s="37" t="str">
        <f t="array" ref="B7643">iferror(xlookup($I7643, 'IMPORT VHC Report'!$E:$E, 'IMPORT VHC Report'!$A:$C), )</f>
        <v/>
      </c>
      <c r="C7643" s="44"/>
      <c r="D7643" s="44"/>
      <c r="E7643" s="38"/>
      <c r="F7643" s="38"/>
      <c r="G7643" s="38"/>
      <c r="H7643" s="38"/>
      <c r="I7643" s="38"/>
      <c r="J7643" s="38"/>
      <c r="K7643" s="38"/>
      <c r="L7643" s="41"/>
      <c r="M7643" s="38"/>
      <c r="N7643" s="41"/>
      <c r="O7643" s="38"/>
      <c r="P7643" s="38"/>
      <c r="Q7643" s="39"/>
      <c r="R7643" s="39"/>
      <c r="S7643" s="39"/>
      <c r="T7643" s="39"/>
      <c r="U7643" s="39"/>
    </row>
    <row r="7644">
      <c r="A7644" s="40" t="str">
        <f t="shared" si="1"/>
        <v/>
      </c>
      <c r="B7644" s="37" t="str">
        <f t="array" ref="B7644">iferror(xlookup($I7644, 'IMPORT VHC Report'!$E:$E, 'IMPORT VHC Report'!$A:$C), )</f>
        <v/>
      </c>
      <c r="C7644" s="44"/>
      <c r="D7644" s="44"/>
      <c r="E7644" s="38"/>
      <c r="F7644" s="38"/>
      <c r="G7644" s="38"/>
      <c r="H7644" s="38"/>
      <c r="I7644" s="38"/>
      <c r="J7644" s="38"/>
      <c r="K7644" s="38"/>
      <c r="L7644" s="41"/>
      <c r="M7644" s="38"/>
      <c r="N7644" s="41"/>
      <c r="O7644" s="38"/>
      <c r="P7644" s="38"/>
      <c r="Q7644" s="39"/>
      <c r="R7644" s="39"/>
      <c r="S7644" s="39"/>
      <c r="T7644" s="39"/>
      <c r="U7644" s="39"/>
    </row>
    <row r="7645">
      <c r="A7645" s="40" t="str">
        <f t="shared" si="1"/>
        <v/>
      </c>
      <c r="B7645" s="37" t="str">
        <f t="array" ref="B7645">iferror(xlookup($I7645, 'IMPORT VHC Report'!$E:$E, 'IMPORT VHC Report'!$A:$C), )</f>
        <v/>
      </c>
      <c r="C7645" s="44"/>
      <c r="D7645" s="44"/>
      <c r="E7645" s="38"/>
      <c r="F7645" s="38"/>
      <c r="G7645" s="38"/>
      <c r="H7645" s="38"/>
      <c r="I7645" s="38"/>
      <c r="J7645" s="38"/>
      <c r="K7645" s="38"/>
      <c r="L7645" s="41"/>
      <c r="M7645" s="38"/>
      <c r="N7645" s="41"/>
      <c r="O7645" s="38"/>
      <c r="P7645" s="38"/>
      <c r="Q7645" s="39"/>
      <c r="R7645" s="39"/>
      <c r="S7645" s="39"/>
      <c r="T7645" s="39"/>
      <c r="U7645" s="39"/>
    </row>
    <row r="7646">
      <c r="A7646" s="40" t="str">
        <f t="shared" si="1"/>
        <v/>
      </c>
      <c r="B7646" s="37" t="str">
        <f t="array" ref="B7646">iferror(xlookup($I7646, 'IMPORT VHC Report'!$E:$E, 'IMPORT VHC Report'!$A:$C), )</f>
        <v/>
      </c>
      <c r="C7646" s="44"/>
      <c r="D7646" s="44"/>
      <c r="E7646" s="38"/>
      <c r="F7646" s="38"/>
      <c r="G7646" s="38"/>
      <c r="H7646" s="38"/>
      <c r="I7646" s="38"/>
      <c r="J7646" s="38"/>
      <c r="K7646" s="38"/>
      <c r="L7646" s="41"/>
      <c r="M7646" s="38"/>
      <c r="N7646" s="41"/>
      <c r="O7646" s="38"/>
      <c r="P7646" s="38"/>
      <c r="Q7646" s="39"/>
      <c r="R7646" s="39"/>
      <c r="S7646" s="39"/>
      <c r="T7646" s="39"/>
      <c r="U7646" s="39"/>
    </row>
    <row r="7647">
      <c r="A7647" s="40" t="str">
        <f t="shared" si="1"/>
        <v/>
      </c>
      <c r="B7647" s="37" t="str">
        <f t="array" ref="B7647">iferror(xlookup($I7647, 'IMPORT VHC Report'!$E:$E, 'IMPORT VHC Report'!$A:$C), )</f>
        <v/>
      </c>
      <c r="C7647" s="44"/>
      <c r="D7647" s="44"/>
      <c r="E7647" s="38"/>
      <c r="F7647" s="38"/>
      <c r="G7647" s="38"/>
      <c r="H7647" s="38"/>
      <c r="I7647" s="38"/>
      <c r="J7647" s="38"/>
      <c r="K7647" s="38"/>
      <c r="L7647" s="41"/>
      <c r="M7647" s="38"/>
      <c r="N7647" s="41"/>
      <c r="O7647" s="38"/>
      <c r="P7647" s="38"/>
      <c r="Q7647" s="39"/>
      <c r="R7647" s="39"/>
      <c r="S7647" s="39"/>
      <c r="T7647" s="39"/>
      <c r="U7647" s="39"/>
    </row>
    <row r="7648">
      <c r="A7648" s="40" t="str">
        <f t="shared" si="1"/>
        <v/>
      </c>
      <c r="B7648" s="37" t="str">
        <f t="array" ref="B7648">iferror(xlookup($I7648, 'IMPORT VHC Report'!$E:$E, 'IMPORT VHC Report'!$A:$C), )</f>
        <v/>
      </c>
      <c r="C7648" s="44"/>
      <c r="D7648" s="44"/>
      <c r="E7648" s="38"/>
      <c r="F7648" s="38"/>
      <c r="G7648" s="38"/>
      <c r="H7648" s="38"/>
      <c r="I7648" s="38"/>
      <c r="J7648" s="38"/>
      <c r="K7648" s="38"/>
      <c r="L7648" s="41"/>
      <c r="M7648" s="38"/>
      <c r="N7648" s="41"/>
      <c r="O7648" s="38"/>
      <c r="P7648" s="38"/>
      <c r="Q7648" s="39"/>
      <c r="R7648" s="39"/>
      <c r="S7648" s="39"/>
      <c r="T7648" s="39"/>
      <c r="U7648" s="39"/>
    </row>
    <row r="7649">
      <c r="A7649" s="40" t="str">
        <f t="shared" si="1"/>
        <v/>
      </c>
      <c r="B7649" s="37" t="str">
        <f t="array" ref="B7649">iferror(xlookup($I7649, 'IMPORT VHC Report'!$E:$E, 'IMPORT VHC Report'!$A:$C), )</f>
        <v/>
      </c>
      <c r="C7649" s="44"/>
      <c r="D7649" s="44"/>
      <c r="E7649" s="38"/>
      <c r="F7649" s="38"/>
      <c r="G7649" s="38"/>
      <c r="H7649" s="38"/>
      <c r="I7649" s="38"/>
      <c r="J7649" s="38"/>
      <c r="K7649" s="38"/>
      <c r="L7649" s="41"/>
      <c r="M7649" s="38"/>
      <c r="N7649" s="41"/>
      <c r="O7649" s="38"/>
      <c r="P7649" s="38"/>
      <c r="Q7649" s="39"/>
      <c r="R7649" s="39"/>
      <c r="S7649" s="39"/>
      <c r="T7649" s="39"/>
      <c r="U7649" s="39"/>
    </row>
    <row r="7650">
      <c r="A7650" s="40" t="str">
        <f t="shared" si="1"/>
        <v/>
      </c>
      <c r="B7650" s="37" t="str">
        <f t="array" ref="B7650">iferror(xlookup($I7650, 'IMPORT VHC Report'!$E:$E, 'IMPORT VHC Report'!$A:$C), )</f>
        <v/>
      </c>
      <c r="C7650" s="44"/>
      <c r="D7650" s="44"/>
      <c r="E7650" s="38"/>
      <c r="F7650" s="38"/>
      <c r="G7650" s="38"/>
      <c r="H7650" s="38"/>
      <c r="I7650" s="38"/>
      <c r="J7650" s="38"/>
      <c r="K7650" s="38"/>
      <c r="L7650" s="41"/>
      <c r="M7650" s="38"/>
      <c r="N7650" s="41"/>
      <c r="O7650" s="38"/>
      <c r="P7650" s="38"/>
      <c r="Q7650" s="39"/>
      <c r="R7650" s="39"/>
      <c r="S7650" s="39"/>
      <c r="T7650" s="39"/>
      <c r="U7650" s="39"/>
    </row>
    <row r="7651">
      <c r="A7651" s="40" t="str">
        <f t="shared" si="1"/>
        <v/>
      </c>
      <c r="B7651" s="37" t="str">
        <f t="array" ref="B7651">iferror(xlookup($I7651, 'IMPORT VHC Report'!$E:$E, 'IMPORT VHC Report'!$A:$C), )</f>
        <v/>
      </c>
      <c r="C7651" s="44"/>
      <c r="D7651" s="44"/>
      <c r="E7651" s="38"/>
      <c r="F7651" s="38"/>
      <c r="G7651" s="38"/>
      <c r="H7651" s="38"/>
      <c r="I7651" s="38"/>
      <c r="J7651" s="38"/>
      <c r="K7651" s="38"/>
      <c r="L7651" s="41"/>
      <c r="M7651" s="38"/>
      <c r="N7651" s="41"/>
      <c r="O7651" s="38"/>
      <c r="P7651" s="38"/>
      <c r="Q7651" s="39"/>
      <c r="R7651" s="39"/>
      <c r="S7651" s="39"/>
      <c r="T7651" s="39"/>
      <c r="U7651" s="39"/>
    </row>
    <row r="7652">
      <c r="A7652" s="40" t="str">
        <f t="shared" si="1"/>
        <v/>
      </c>
      <c r="B7652" s="37" t="str">
        <f t="array" ref="B7652">iferror(xlookup($I7652, 'IMPORT VHC Report'!$E:$E, 'IMPORT VHC Report'!$A:$C), )</f>
        <v/>
      </c>
      <c r="C7652" s="44"/>
      <c r="D7652" s="44"/>
      <c r="L7652" s="45"/>
      <c r="N7652" s="45"/>
    </row>
    <row r="7653">
      <c r="A7653" s="40" t="str">
        <f t="shared" si="1"/>
        <v/>
      </c>
      <c r="B7653" s="37" t="str">
        <f t="array" ref="B7653">iferror(xlookup($I7653, 'IMPORT VHC Report'!$E:$E, 'IMPORT VHC Report'!$A:$C), )</f>
        <v/>
      </c>
      <c r="C7653" s="44"/>
      <c r="D7653" s="44"/>
      <c r="L7653" s="45"/>
      <c r="N7653" s="45"/>
    </row>
    <row r="7654">
      <c r="A7654" s="40" t="str">
        <f t="shared" si="1"/>
        <v/>
      </c>
      <c r="B7654" s="37" t="str">
        <f t="array" ref="B7654">iferror(xlookup($I7654, 'IMPORT VHC Report'!$E:$E, 'IMPORT VHC Report'!$A:$C), )</f>
        <v/>
      </c>
      <c r="C7654" s="44"/>
      <c r="D7654" s="44"/>
      <c r="L7654" s="45"/>
      <c r="N7654" s="45"/>
    </row>
    <row r="7655">
      <c r="A7655" s="40" t="str">
        <f t="shared" si="1"/>
        <v/>
      </c>
      <c r="B7655" s="37" t="str">
        <f t="array" ref="B7655">iferror(xlookup($I7655, 'IMPORT VHC Report'!$E:$E, 'IMPORT VHC Report'!$A:$C), )</f>
        <v/>
      </c>
      <c r="C7655" s="44"/>
      <c r="D7655" s="44"/>
      <c r="L7655" s="45"/>
      <c r="N7655" s="45"/>
    </row>
    <row r="7656">
      <c r="A7656" s="40" t="str">
        <f t="shared" si="1"/>
        <v/>
      </c>
      <c r="B7656" s="37" t="str">
        <f t="array" ref="B7656">iferror(xlookup($I7656, 'IMPORT VHC Report'!$E:$E, 'IMPORT VHC Report'!$A:$C), )</f>
        <v/>
      </c>
      <c r="C7656" s="44"/>
      <c r="D7656" s="44"/>
      <c r="L7656" s="45"/>
      <c r="N7656" s="45"/>
    </row>
    <row r="7657">
      <c r="A7657" s="40" t="str">
        <f t="shared" si="1"/>
        <v/>
      </c>
      <c r="B7657" s="37" t="str">
        <f t="array" ref="B7657">iferror(xlookup($I7657, 'IMPORT VHC Report'!$E:$E, 'IMPORT VHC Report'!$A:$C), )</f>
        <v/>
      </c>
      <c r="C7657" s="44"/>
      <c r="D7657" s="44"/>
      <c r="L7657" s="45"/>
      <c r="N7657" s="45"/>
    </row>
    <row r="7658">
      <c r="A7658" s="40" t="str">
        <f t="shared" si="1"/>
        <v/>
      </c>
      <c r="B7658" s="37" t="str">
        <f t="array" ref="B7658">iferror(xlookup($I7658, 'IMPORT VHC Report'!$E:$E, 'IMPORT VHC Report'!$A:$C), )</f>
        <v/>
      </c>
      <c r="C7658" s="44"/>
      <c r="D7658" s="44"/>
      <c r="L7658" s="45"/>
      <c r="N7658" s="45"/>
    </row>
    <row r="7659">
      <c r="A7659" s="40" t="str">
        <f t="shared" si="1"/>
        <v/>
      </c>
      <c r="B7659" s="37" t="str">
        <f t="array" ref="B7659">iferror(xlookup($I7659, 'IMPORT VHC Report'!$E:$E, 'IMPORT VHC Report'!$A:$C), )</f>
        <v/>
      </c>
      <c r="C7659" s="44"/>
      <c r="D7659" s="44"/>
      <c r="L7659" s="45"/>
      <c r="N7659" s="45"/>
    </row>
    <row r="7660">
      <c r="A7660" s="40" t="str">
        <f t="shared" si="1"/>
        <v/>
      </c>
      <c r="B7660" s="37" t="str">
        <f t="array" ref="B7660">iferror(xlookup($I7660, 'IMPORT VHC Report'!$E:$E, 'IMPORT VHC Report'!$A:$C), )</f>
        <v/>
      </c>
      <c r="C7660" s="44"/>
      <c r="D7660" s="44"/>
      <c r="L7660" s="45"/>
      <c r="N7660" s="45"/>
    </row>
    <row r="7661">
      <c r="A7661" s="40" t="str">
        <f t="shared" si="1"/>
        <v/>
      </c>
      <c r="B7661" s="37" t="str">
        <f t="array" ref="B7661">iferror(xlookup($I7661, 'IMPORT VHC Report'!$E:$E, 'IMPORT VHC Report'!$A:$C), )</f>
        <v/>
      </c>
      <c r="C7661" s="44"/>
      <c r="D7661" s="44"/>
      <c r="L7661" s="45"/>
      <c r="N7661" s="45"/>
    </row>
    <row r="7662">
      <c r="A7662" s="40" t="str">
        <f t="shared" si="1"/>
        <v/>
      </c>
      <c r="B7662" s="37" t="str">
        <f t="array" ref="B7662">iferror(xlookup($I7662, 'IMPORT VHC Report'!$E:$E, 'IMPORT VHC Report'!$A:$C), )</f>
        <v/>
      </c>
      <c r="C7662" s="44"/>
      <c r="D7662" s="44"/>
      <c r="L7662" s="45"/>
      <c r="N7662" s="45"/>
    </row>
    <row r="7663">
      <c r="A7663" s="40" t="str">
        <f t="shared" si="1"/>
        <v/>
      </c>
      <c r="B7663" s="37" t="str">
        <f t="array" ref="B7663">iferror(xlookup($I7663, 'IMPORT VHC Report'!$E:$E, 'IMPORT VHC Report'!$A:$C), )</f>
        <v/>
      </c>
      <c r="C7663" s="44"/>
      <c r="D7663" s="44"/>
      <c r="L7663" s="45"/>
      <c r="N7663" s="45"/>
    </row>
    <row r="7664">
      <c r="A7664" s="40" t="str">
        <f t="shared" si="1"/>
        <v/>
      </c>
      <c r="B7664" s="37" t="str">
        <f t="array" ref="B7664">iferror(xlookup($I7664, 'IMPORT VHC Report'!$E:$E, 'IMPORT VHC Report'!$A:$C), )</f>
        <v/>
      </c>
      <c r="C7664" s="44"/>
      <c r="D7664" s="44"/>
      <c r="L7664" s="45"/>
      <c r="N7664" s="45"/>
    </row>
    <row r="7665">
      <c r="A7665" s="40" t="str">
        <f t="shared" si="1"/>
        <v/>
      </c>
      <c r="B7665" s="37" t="str">
        <f t="array" ref="B7665">iferror(xlookup($I7665, 'IMPORT VHC Report'!$E:$E, 'IMPORT VHC Report'!$A:$C), )</f>
        <v/>
      </c>
      <c r="C7665" s="44"/>
      <c r="D7665" s="44"/>
      <c r="L7665" s="45"/>
      <c r="N7665" s="45"/>
    </row>
    <row r="7666">
      <c r="A7666" s="40" t="str">
        <f t="shared" si="1"/>
        <v/>
      </c>
      <c r="B7666" s="37" t="str">
        <f t="array" ref="B7666">iferror(xlookup($I7666, 'IMPORT VHC Report'!$E:$E, 'IMPORT VHC Report'!$A:$C), )</f>
        <v/>
      </c>
      <c r="C7666" s="44"/>
      <c r="D7666" s="44"/>
      <c r="L7666" s="45"/>
      <c r="N7666" s="45"/>
    </row>
    <row r="7667">
      <c r="A7667" s="40" t="str">
        <f t="shared" si="1"/>
        <v/>
      </c>
      <c r="B7667" s="37" t="str">
        <f t="array" ref="B7667">iferror(xlookup($I7667, 'IMPORT VHC Report'!$E:$E, 'IMPORT VHC Report'!$A:$C), )</f>
        <v/>
      </c>
      <c r="C7667" s="44"/>
      <c r="D7667" s="44"/>
      <c r="L7667" s="45"/>
      <c r="N7667" s="45"/>
    </row>
    <row r="7668">
      <c r="A7668" s="40" t="str">
        <f t="shared" si="1"/>
        <v/>
      </c>
      <c r="B7668" s="37" t="str">
        <f t="array" ref="B7668">iferror(xlookup($I7668, 'IMPORT VHC Report'!$E:$E, 'IMPORT VHC Report'!$A:$C), )</f>
        <v/>
      </c>
      <c r="C7668" s="44"/>
      <c r="D7668" s="44"/>
      <c r="L7668" s="45"/>
      <c r="N7668" s="45"/>
    </row>
    <row r="7669">
      <c r="A7669" s="40" t="str">
        <f t="shared" si="1"/>
        <v/>
      </c>
      <c r="B7669" s="37" t="str">
        <f t="array" ref="B7669">iferror(xlookup($I7669, 'IMPORT VHC Report'!$E:$E, 'IMPORT VHC Report'!$A:$C), )</f>
        <v/>
      </c>
      <c r="C7669" s="44"/>
      <c r="D7669" s="44"/>
      <c r="L7669" s="45"/>
      <c r="N7669" s="45"/>
    </row>
    <row r="7670">
      <c r="A7670" s="40" t="str">
        <f t="shared" si="1"/>
        <v/>
      </c>
      <c r="B7670" s="37" t="str">
        <f t="array" ref="B7670">iferror(xlookup($I7670, 'IMPORT VHC Report'!$E:$E, 'IMPORT VHC Report'!$A:$C), )</f>
        <v/>
      </c>
      <c r="C7670" s="44"/>
      <c r="D7670" s="44"/>
      <c r="L7670" s="45"/>
      <c r="N7670" s="45"/>
    </row>
    <row r="7671">
      <c r="A7671" s="40" t="str">
        <f t="shared" si="1"/>
        <v/>
      </c>
      <c r="B7671" s="37" t="str">
        <f t="array" ref="B7671">iferror(xlookup($I7671, 'IMPORT VHC Report'!$E:$E, 'IMPORT VHC Report'!$A:$C), )</f>
        <v/>
      </c>
      <c r="C7671" s="44"/>
      <c r="D7671" s="44"/>
      <c r="L7671" s="45"/>
      <c r="N7671" s="45"/>
    </row>
    <row r="7672">
      <c r="A7672" s="40" t="str">
        <f t="shared" si="1"/>
        <v/>
      </c>
      <c r="B7672" s="37" t="str">
        <f t="array" ref="B7672">iferror(xlookup($I7672, 'IMPORT VHC Report'!$E:$E, 'IMPORT VHC Report'!$A:$C), )</f>
        <v/>
      </c>
      <c r="C7672" s="44"/>
      <c r="D7672" s="44"/>
      <c r="L7672" s="45"/>
      <c r="N7672" s="45"/>
    </row>
    <row r="7673">
      <c r="A7673" s="40" t="str">
        <f t="shared" si="1"/>
        <v/>
      </c>
      <c r="B7673" s="37" t="str">
        <f t="array" ref="B7673">iferror(xlookup($I7673, 'IMPORT VHC Report'!$E:$E, 'IMPORT VHC Report'!$A:$C), )</f>
        <v/>
      </c>
      <c r="C7673" s="44"/>
      <c r="D7673" s="44"/>
      <c r="L7673" s="45"/>
      <c r="N7673" s="45"/>
    </row>
    <row r="7674">
      <c r="A7674" s="40" t="str">
        <f t="shared" si="1"/>
        <v/>
      </c>
      <c r="B7674" s="37" t="str">
        <f t="array" ref="B7674">iferror(xlookup($I7674, 'IMPORT VHC Report'!$E:$E, 'IMPORT VHC Report'!$A:$C), )</f>
        <v/>
      </c>
      <c r="C7674" s="44"/>
      <c r="D7674" s="44"/>
      <c r="L7674" s="45"/>
      <c r="N7674" s="45"/>
    </row>
    <row r="7675">
      <c r="A7675" s="40" t="str">
        <f t="shared" si="1"/>
        <v/>
      </c>
      <c r="B7675" s="37" t="str">
        <f t="array" ref="B7675">iferror(xlookup($I7675, 'IMPORT VHC Report'!$E:$E, 'IMPORT VHC Report'!$A:$C), )</f>
        <v/>
      </c>
      <c r="C7675" s="44"/>
      <c r="D7675" s="44"/>
      <c r="L7675" s="45"/>
      <c r="N7675" s="45"/>
    </row>
    <row r="7676">
      <c r="A7676" s="40" t="str">
        <f t="shared" si="1"/>
        <v/>
      </c>
      <c r="B7676" s="37" t="str">
        <f t="array" ref="B7676">iferror(xlookup($I7676, 'IMPORT VHC Report'!$E:$E, 'IMPORT VHC Report'!$A:$C), )</f>
        <v/>
      </c>
      <c r="C7676" s="44"/>
      <c r="D7676" s="44"/>
      <c r="L7676" s="45"/>
      <c r="N7676" s="45"/>
    </row>
    <row r="7677">
      <c r="A7677" s="40" t="str">
        <f t="shared" si="1"/>
        <v/>
      </c>
      <c r="B7677" s="37" t="str">
        <f t="array" ref="B7677">iferror(xlookup($I7677, 'IMPORT VHC Report'!$E:$E, 'IMPORT VHC Report'!$A:$C), )</f>
        <v/>
      </c>
      <c r="C7677" s="44"/>
      <c r="D7677" s="44"/>
      <c r="L7677" s="45"/>
      <c r="N7677" s="45"/>
    </row>
    <row r="7678">
      <c r="A7678" s="40" t="str">
        <f t="shared" si="1"/>
        <v/>
      </c>
      <c r="B7678" s="37" t="str">
        <f t="array" ref="B7678">iferror(xlookup($I7678, 'IMPORT VHC Report'!$E:$E, 'IMPORT VHC Report'!$A:$C), )</f>
        <v/>
      </c>
      <c r="C7678" s="44"/>
      <c r="D7678" s="44"/>
      <c r="L7678" s="45"/>
      <c r="N7678" s="45"/>
    </row>
    <row r="7679">
      <c r="A7679" s="40" t="str">
        <f t="shared" si="1"/>
        <v/>
      </c>
      <c r="B7679" s="37" t="str">
        <f t="array" ref="B7679">iferror(xlookup($I7679, 'IMPORT VHC Report'!$E:$E, 'IMPORT VHC Report'!$A:$C), )</f>
        <v/>
      </c>
      <c r="C7679" s="44"/>
      <c r="D7679" s="44"/>
      <c r="L7679" s="45"/>
      <c r="N7679" s="45"/>
    </row>
    <row r="7680">
      <c r="A7680" s="40" t="str">
        <f t="shared" si="1"/>
        <v/>
      </c>
      <c r="B7680" s="37" t="str">
        <f t="array" ref="B7680">iferror(xlookup($I7680, 'IMPORT VHC Report'!$E:$E, 'IMPORT VHC Report'!$A:$C), )</f>
        <v/>
      </c>
      <c r="C7680" s="44"/>
      <c r="D7680" s="44"/>
      <c r="L7680" s="45"/>
      <c r="N7680" s="45"/>
    </row>
    <row r="7681">
      <c r="A7681" s="40" t="str">
        <f t="shared" si="1"/>
        <v/>
      </c>
      <c r="B7681" s="37" t="str">
        <f t="array" ref="B7681">iferror(xlookup($I7681, 'IMPORT VHC Report'!$E:$E, 'IMPORT VHC Report'!$A:$C), )</f>
        <v/>
      </c>
      <c r="C7681" s="44"/>
      <c r="D7681" s="44"/>
      <c r="L7681" s="45"/>
      <c r="N7681" s="45"/>
    </row>
    <row r="7682">
      <c r="A7682" s="40" t="str">
        <f t="shared" si="1"/>
        <v/>
      </c>
      <c r="B7682" s="37" t="str">
        <f t="array" ref="B7682">iferror(xlookup($I7682, 'IMPORT VHC Report'!$E:$E, 'IMPORT VHC Report'!$A:$C), )</f>
        <v/>
      </c>
      <c r="C7682" s="44"/>
      <c r="D7682" s="44"/>
      <c r="L7682" s="45"/>
      <c r="N7682" s="45"/>
    </row>
    <row r="7683">
      <c r="A7683" s="40" t="str">
        <f t="shared" si="1"/>
        <v/>
      </c>
      <c r="B7683" s="37" t="str">
        <f t="array" ref="B7683">iferror(xlookup($I7683, 'IMPORT VHC Report'!$E:$E, 'IMPORT VHC Report'!$A:$C), )</f>
        <v/>
      </c>
      <c r="C7683" s="44"/>
      <c r="D7683" s="44"/>
      <c r="L7683" s="45"/>
      <c r="N7683" s="45"/>
    </row>
    <row r="7684">
      <c r="A7684" s="40" t="str">
        <f t="shared" si="1"/>
        <v/>
      </c>
      <c r="B7684" s="37" t="str">
        <f t="array" ref="B7684">iferror(xlookup($I7684, 'IMPORT VHC Report'!$E:$E, 'IMPORT VHC Report'!$A:$C), )</f>
        <v/>
      </c>
      <c r="C7684" s="44"/>
      <c r="D7684" s="44"/>
      <c r="L7684" s="45"/>
      <c r="N7684" s="45"/>
    </row>
    <row r="7685">
      <c r="A7685" s="40" t="str">
        <f t="shared" si="1"/>
        <v/>
      </c>
      <c r="B7685" s="37" t="str">
        <f t="array" ref="B7685">iferror(xlookup($I7685, 'IMPORT VHC Report'!$E:$E, 'IMPORT VHC Report'!$A:$C), )</f>
        <v/>
      </c>
      <c r="C7685" s="44"/>
      <c r="D7685" s="44"/>
      <c r="L7685" s="45"/>
      <c r="N7685" s="45"/>
    </row>
    <row r="7686">
      <c r="A7686" s="40" t="str">
        <f t="shared" si="1"/>
        <v/>
      </c>
      <c r="B7686" s="37" t="str">
        <f t="array" ref="B7686">iferror(xlookup($I7686, 'IMPORT VHC Report'!$E:$E, 'IMPORT VHC Report'!$A:$C), )</f>
        <v/>
      </c>
      <c r="C7686" s="44"/>
      <c r="D7686" s="44"/>
      <c r="L7686" s="45"/>
      <c r="N7686" s="45"/>
    </row>
    <row r="7687">
      <c r="A7687" s="40" t="str">
        <f t="shared" si="1"/>
        <v/>
      </c>
      <c r="B7687" s="37" t="str">
        <f t="array" ref="B7687">iferror(xlookup($I7687, 'IMPORT VHC Report'!$E:$E, 'IMPORT VHC Report'!$A:$C), )</f>
        <v/>
      </c>
      <c r="C7687" s="44"/>
      <c r="D7687" s="44"/>
      <c r="L7687" s="45"/>
      <c r="N7687" s="45"/>
    </row>
    <row r="7688">
      <c r="A7688" s="40" t="str">
        <f t="shared" si="1"/>
        <v/>
      </c>
      <c r="B7688" s="37" t="str">
        <f t="array" ref="B7688">iferror(xlookup($I7688, 'IMPORT VHC Report'!$E:$E, 'IMPORT VHC Report'!$A:$C), )</f>
        <v/>
      </c>
      <c r="C7688" s="44"/>
      <c r="D7688" s="44"/>
      <c r="L7688" s="45"/>
      <c r="N7688" s="45"/>
    </row>
    <row r="7689">
      <c r="A7689" s="40" t="str">
        <f t="shared" si="1"/>
        <v/>
      </c>
      <c r="B7689" s="37" t="str">
        <f t="array" ref="B7689">iferror(xlookup($I7689, 'IMPORT VHC Report'!$E:$E, 'IMPORT VHC Report'!$A:$C), )</f>
        <v/>
      </c>
      <c r="C7689" s="44"/>
      <c r="D7689" s="44"/>
      <c r="L7689" s="45"/>
      <c r="N7689" s="45"/>
    </row>
    <row r="7690">
      <c r="A7690" s="40" t="str">
        <f t="shared" si="1"/>
        <v/>
      </c>
      <c r="B7690" s="37" t="str">
        <f t="array" ref="B7690">iferror(xlookup($I7690, 'IMPORT VHC Report'!$E:$E, 'IMPORT VHC Report'!$A:$C), )</f>
        <v/>
      </c>
      <c r="C7690" s="44"/>
      <c r="D7690" s="44"/>
      <c r="L7690" s="45"/>
      <c r="N7690" s="45"/>
    </row>
    <row r="7691">
      <c r="A7691" s="40" t="str">
        <f t="shared" si="1"/>
        <v/>
      </c>
      <c r="B7691" s="37" t="str">
        <f t="array" ref="B7691">iferror(xlookup($I7691, 'IMPORT VHC Report'!$E:$E, 'IMPORT VHC Report'!$A:$C), )</f>
        <v/>
      </c>
      <c r="C7691" s="44"/>
      <c r="D7691" s="44"/>
      <c r="L7691" s="45"/>
      <c r="N7691" s="45"/>
    </row>
    <row r="7692">
      <c r="A7692" s="40" t="str">
        <f t="shared" si="1"/>
        <v/>
      </c>
      <c r="B7692" s="37" t="str">
        <f t="array" ref="B7692">iferror(xlookup($I7692, 'IMPORT VHC Report'!$E:$E, 'IMPORT VHC Report'!$A:$C), )</f>
        <v/>
      </c>
      <c r="C7692" s="44"/>
      <c r="D7692" s="44"/>
      <c r="L7692" s="45"/>
      <c r="N7692" s="45"/>
    </row>
    <row r="7693">
      <c r="A7693" s="40" t="str">
        <f t="shared" si="1"/>
        <v/>
      </c>
      <c r="B7693" s="37" t="str">
        <f t="array" ref="B7693">iferror(xlookup($I7693, 'IMPORT VHC Report'!$E:$E, 'IMPORT VHC Report'!$A:$C), )</f>
        <v/>
      </c>
      <c r="C7693" s="44"/>
      <c r="D7693" s="44"/>
      <c r="L7693" s="45"/>
      <c r="N7693" s="45"/>
    </row>
    <row r="7694">
      <c r="A7694" s="40" t="str">
        <f t="shared" si="1"/>
        <v/>
      </c>
      <c r="B7694" s="37" t="str">
        <f t="array" ref="B7694">iferror(xlookup($I7694, 'IMPORT VHC Report'!$E:$E, 'IMPORT VHC Report'!$A:$C), )</f>
        <v/>
      </c>
      <c r="C7694" s="44"/>
      <c r="D7694" s="44"/>
      <c r="L7694" s="45"/>
      <c r="N7694" s="45"/>
    </row>
    <row r="7695">
      <c r="A7695" s="40" t="str">
        <f t="shared" si="1"/>
        <v/>
      </c>
      <c r="B7695" s="37" t="str">
        <f t="array" ref="B7695">iferror(xlookup($I7695, 'IMPORT VHC Report'!$E:$E, 'IMPORT VHC Report'!$A:$C), )</f>
        <v/>
      </c>
      <c r="C7695" s="44"/>
      <c r="D7695" s="44"/>
      <c r="L7695" s="45"/>
      <c r="N7695" s="45"/>
    </row>
    <row r="7696">
      <c r="A7696" s="40" t="str">
        <f t="shared" si="1"/>
        <v/>
      </c>
      <c r="B7696" s="37" t="str">
        <f t="array" ref="B7696">iferror(xlookup($I7696, 'IMPORT VHC Report'!$E:$E, 'IMPORT VHC Report'!$A:$C), )</f>
        <v/>
      </c>
      <c r="C7696" s="44"/>
      <c r="D7696" s="44"/>
      <c r="L7696" s="45"/>
      <c r="N7696" s="45"/>
    </row>
    <row r="7697">
      <c r="A7697" s="40" t="str">
        <f t="shared" si="1"/>
        <v/>
      </c>
      <c r="B7697" s="37" t="str">
        <f t="array" ref="B7697">iferror(xlookup($I7697, 'IMPORT VHC Report'!$E:$E, 'IMPORT VHC Report'!$A:$C), )</f>
        <v/>
      </c>
      <c r="C7697" s="44"/>
      <c r="D7697" s="44"/>
      <c r="L7697" s="45"/>
      <c r="N7697" s="45"/>
    </row>
    <row r="7698">
      <c r="A7698" s="40" t="str">
        <f t="shared" si="1"/>
        <v/>
      </c>
      <c r="B7698" s="37" t="str">
        <f t="array" ref="B7698">iferror(xlookup($I7698, 'IMPORT VHC Report'!$E:$E, 'IMPORT VHC Report'!$A:$C), )</f>
        <v/>
      </c>
      <c r="C7698" s="44"/>
      <c r="D7698" s="44"/>
      <c r="L7698" s="45"/>
      <c r="N7698" s="45"/>
    </row>
    <row r="7699">
      <c r="A7699" s="40" t="str">
        <f t="shared" si="1"/>
        <v/>
      </c>
      <c r="B7699" s="37" t="str">
        <f t="array" ref="B7699">iferror(xlookup($I7699, 'IMPORT VHC Report'!$E:$E, 'IMPORT VHC Report'!$A:$C), )</f>
        <v/>
      </c>
      <c r="C7699" s="44"/>
      <c r="D7699" s="44"/>
      <c r="L7699" s="45"/>
      <c r="N7699" s="45"/>
    </row>
    <row r="7700">
      <c r="A7700" s="40" t="str">
        <f t="shared" si="1"/>
        <v/>
      </c>
      <c r="B7700" s="37" t="str">
        <f t="array" ref="B7700">iferror(xlookup($I7700, 'IMPORT VHC Report'!$E:$E, 'IMPORT VHC Report'!$A:$C), )</f>
        <v/>
      </c>
      <c r="C7700" s="44"/>
      <c r="D7700" s="44"/>
      <c r="L7700" s="45"/>
      <c r="N7700" s="45"/>
    </row>
    <row r="7701">
      <c r="A7701" s="40" t="str">
        <f t="shared" si="1"/>
        <v/>
      </c>
      <c r="B7701" s="37" t="str">
        <f t="array" ref="B7701">iferror(xlookup($I7701, 'IMPORT VHC Report'!$E:$E, 'IMPORT VHC Report'!$A:$C), )</f>
        <v/>
      </c>
      <c r="C7701" s="44"/>
      <c r="D7701" s="44"/>
      <c r="L7701" s="45"/>
      <c r="N7701" s="45"/>
    </row>
    <row r="7702">
      <c r="A7702" s="40" t="str">
        <f t="shared" si="1"/>
        <v/>
      </c>
      <c r="B7702" s="37" t="str">
        <f t="array" ref="B7702">iferror(xlookup($I7702, 'IMPORT VHC Report'!$E:$E, 'IMPORT VHC Report'!$A:$C), )</f>
        <v/>
      </c>
      <c r="C7702" s="44"/>
      <c r="D7702" s="44"/>
      <c r="L7702" s="45"/>
      <c r="N7702" s="45"/>
    </row>
    <row r="7703">
      <c r="A7703" s="40" t="str">
        <f t="shared" si="1"/>
        <v/>
      </c>
      <c r="B7703" s="37" t="str">
        <f t="array" ref="B7703">iferror(xlookup($I7703, 'IMPORT VHC Report'!$E:$E, 'IMPORT VHC Report'!$A:$C), )</f>
        <v/>
      </c>
      <c r="C7703" s="44"/>
      <c r="D7703" s="44"/>
      <c r="L7703" s="45"/>
      <c r="N7703" s="45"/>
    </row>
    <row r="7704">
      <c r="A7704" s="40" t="str">
        <f t="shared" si="1"/>
        <v/>
      </c>
      <c r="B7704" s="37" t="str">
        <f t="array" ref="B7704">iferror(xlookup($I7704, 'IMPORT VHC Report'!$E:$E, 'IMPORT VHC Report'!$A:$C), )</f>
        <v/>
      </c>
      <c r="C7704" s="44"/>
      <c r="D7704" s="44"/>
      <c r="L7704" s="45"/>
      <c r="N7704" s="45"/>
    </row>
    <row r="7705">
      <c r="A7705" s="40" t="str">
        <f t="shared" si="1"/>
        <v/>
      </c>
      <c r="B7705" s="37" t="str">
        <f t="array" ref="B7705">iferror(xlookup($I7705, 'IMPORT VHC Report'!$E:$E, 'IMPORT VHC Report'!$A:$C), )</f>
        <v/>
      </c>
      <c r="C7705" s="44"/>
      <c r="D7705" s="44"/>
      <c r="L7705" s="45"/>
      <c r="N7705" s="45"/>
    </row>
    <row r="7706">
      <c r="A7706" s="40" t="str">
        <f t="shared" si="1"/>
        <v/>
      </c>
      <c r="B7706" s="37" t="str">
        <f t="array" ref="B7706">iferror(xlookup($I7706, 'IMPORT VHC Report'!$E:$E, 'IMPORT VHC Report'!$A:$C), )</f>
        <v/>
      </c>
      <c r="C7706" s="44"/>
      <c r="D7706" s="44"/>
      <c r="L7706" s="45"/>
      <c r="N7706" s="45"/>
    </row>
    <row r="7707">
      <c r="A7707" s="40" t="str">
        <f t="shared" si="1"/>
        <v/>
      </c>
      <c r="B7707" s="37" t="str">
        <f t="array" ref="B7707">iferror(xlookup($I7707, 'IMPORT VHC Report'!$E:$E, 'IMPORT VHC Report'!$A:$C), )</f>
        <v/>
      </c>
      <c r="C7707" s="44"/>
      <c r="D7707" s="44"/>
      <c r="L7707" s="45"/>
      <c r="N7707" s="45"/>
    </row>
    <row r="7708">
      <c r="A7708" s="40" t="str">
        <f t="shared" si="1"/>
        <v/>
      </c>
      <c r="B7708" s="37" t="str">
        <f t="array" ref="B7708">iferror(xlookup($I7708, 'IMPORT VHC Report'!$E:$E, 'IMPORT VHC Report'!$A:$C), )</f>
        <v/>
      </c>
      <c r="C7708" s="44"/>
      <c r="D7708" s="44"/>
      <c r="L7708" s="45"/>
      <c r="N7708" s="45"/>
    </row>
    <row r="7709">
      <c r="A7709" s="40" t="str">
        <f t="shared" si="1"/>
        <v/>
      </c>
      <c r="B7709" s="37" t="str">
        <f t="array" ref="B7709">iferror(xlookup($I7709, 'IMPORT VHC Report'!$E:$E, 'IMPORT VHC Report'!$A:$C), )</f>
        <v/>
      </c>
      <c r="C7709" s="44"/>
      <c r="D7709" s="44"/>
      <c r="L7709" s="45"/>
      <c r="N7709" s="45"/>
    </row>
    <row r="7710">
      <c r="A7710" s="40" t="str">
        <f t="shared" si="1"/>
        <v/>
      </c>
      <c r="B7710" s="37" t="str">
        <f t="array" ref="B7710">iferror(xlookup($I7710, 'IMPORT VHC Report'!$E:$E, 'IMPORT VHC Report'!$A:$C), )</f>
        <v/>
      </c>
      <c r="C7710" s="44"/>
      <c r="D7710" s="44"/>
      <c r="L7710" s="45"/>
      <c r="N7710" s="45"/>
    </row>
    <row r="7711">
      <c r="A7711" s="40" t="str">
        <f t="shared" si="1"/>
        <v/>
      </c>
      <c r="B7711" s="37" t="str">
        <f t="array" ref="B7711">iferror(xlookup($I7711, 'IMPORT VHC Report'!$E:$E, 'IMPORT VHC Report'!$A:$C), )</f>
        <v/>
      </c>
      <c r="C7711" s="44"/>
      <c r="D7711" s="44"/>
      <c r="L7711" s="45"/>
      <c r="N7711" s="45"/>
    </row>
    <row r="7712">
      <c r="A7712" s="40" t="str">
        <f t="shared" si="1"/>
        <v/>
      </c>
      <c r="B7712" s="37" t="str">
        <f t="array" ref="B7712">iferror(xlookup($I7712, 'IMPORT VHC Report'!$E:$E, 'IMPORT VHC Report'!$A:$C), )</f>
        <v/>
      </c>
      <c r="C7712" s="44"/>
      <c r="D7712" s="44"/>
      <c r="L7712" s="45"/>
      <c r="N7712" s="45"/>
    </row>
    <row r="7713">
      <c r="A7713" s="40" t="str">
        <f t="shared" si="1"/>
        <v/>
      </c>
      <c r="B7713" s="37" t="str">
        <f t="array" ref="B7713">iferror(xlookup($I7713, 'IMPORT VHC Report'!$E:$E, 'IMPORT VHC Report'!$A:$C), )</f>
        <v/>
      </c>
      <c r="C7713" s="44"/>
      <c r="D7713" s="44"/>
      <c r="L7713" s="45"/>
      <c r="N7713" s="45"/>
    </row>
    <row r="7714">
      <c r="A7714" s="40" t="str">
        <f t="shared" si="1"/>
        <v/>
      </c>
      <c r="B7714" s="37" t="str">
        <f t="array" ref="B7714">iferror(xlookup($I7714, 'IMPORT VHC Report'!$E:$E, 'IMPORT VHC Report'!$A:$C), )</f>
        <v/>
      </c>
      <c r="C7714" s="44"/>
      <c r="D7714" s="44"/>
      <c r="L7714" s="45"/>
      <c r="N7714" s="45"/>
    </row>
    <row r="7715">
      <c r="A7715" s="40" t="str">
        <f t="shared" si="1"/>
        <v/>
      </c>
      <c r="B7715" s="37" t="str">
        <f t="array" ref="B7715">iferror(xlookup($I7715, 'IMPORT VHC Report'!$E:$E, 'IMPORT VHC Report'!$A:$C), )</f>
        <v/>
      </c>
      <c r="C7715" s="44"/>
      <c r="D7715" s="44"/>
      <c r="L7715" s="45"/>
      <c r="N7715" s="45"/>
    </row>
    <row r="7716">
      <c r="A7716" s="40" t="str">
        <f t="shared" si="1"/>
        <v/>
      </c>
      <c r="B7716" s="37" t="str">
        <f t="array" ref="B7716">iferror(xlookup($I7716, 'IMPORT VHC Report'!$E:$E, 'IMPORT VHC Report'!$A:$C), )</f>
        <v/>
      </c>
      <c r="C7716" s="44"/>
      <c r="D7716" s="44"/>
      <c r="L7716" s="45"/>
      <c r="N7716" s="45"/>
    </row>
    <row r="7717">
      <c r="A7717" s="40" t="str">
        <f t="shared" si="1"/>
        <v/>
      </c>
      <c r="B7717" s="37" t="str">
        <f t="array" ref="B7717">iferror(xlookup($I7717, 'IMPORT VHC Report'!$E:$E, 'IMPORT VHC Report'!$A:$C), )</f>
        <v/>
      </c>
      <c r="C7717" s="44"/>
      <c r="D7717" s="44"/>
      <c r="L7717" s="45"/>
      <c r="N7717" s="45"/>
    </row>
    <row r="7718">
      <c r="A7718" s="40" t="str">
        <f t="shared" si="1"/>
        <v/>
      </c>
      <c r="B7718" s="37" t="str">
        <f t="array" ref="B7718">iferror(xlookup($I7718, 'IMPORT VHC Report'!$E:$E, 'IMPORT VHC Report'!$A:$C), )</f>
        <v/>
      </c>
      <c r="C7718" s="44"/>
      <c r="D7718" s="44"/>
      <c r="L7718" s="45"/>
      <c r="N7718" s="45"/>
    </row>
    <row r="7719">
      <c r="A7719" s="40" t="str">
        <f t="shared" si="1"/>
        <v/>
      </c>
      <c r="B7719" s="37" t="str">
        <f t="array" ref="B7719">iferror(xlookup($I7719, 'IMPORT VHC Report'!$E:$E, 'IMPORT VHC Report'!$A:$C), )</f>
        <v/>
      </c>
      <c r="C7719" s="44"/>
      <c r="D7719" s="44"/>
      <c r="L7719" s="45"/>
      <c r="N7719" s="45"/>
    </row>
    <row r="7720">
      <c r="A7720" s="40" t="str">
        <f t="shared" si="1"/>
        <v/>
      </c>
      <c r="B7720" s="37" t="str">
        <f t="array" ref="B7720">iferror(xlookup($I7720, 'IMPORT VHC Report'!$E:$E, 'IMPORT VHC Report'!$A:$C), )</f>
        <v/>
      </c>
      <c r="C7720" s="44"/>
      <c r="D7720" s="44"/>
      <c r="L7720" s="45"/>
      <c r="N7720" s="45"/>
    </row>
    <row r="7721">
      <c r="A7721" s="40" t="str">
        <f t="shared" si="1"/>
        <v/>
      </c>
      <c r="B7721" s="37" t="str">
        <f t="array" ref="B7721">iferror(xlookup($I7721, 'IMPORT VHC Report'!$E:$E, 'IMPORT VHC Report'!$A:$C), )</f>
        <v/>
      </c>
      <c r="C7721" s="44"/>
      <c r="D7721" s="44"/>
      <c r="L7721" s="45"/>
      <c r="N7721" s="45"/>
    </row>
    <row r="7722">
      <c r="A7722" s="40" t="str">
        <f t="shared" si="1"/>
        <v/>
      </c>
      <c r="B7722" s="37" t="str">
        <f t="array" ref="B7722">iferror(xlookup($I7722, 'IMPORT VHC Report'!$E:$E, 'IMPORT VHC Report'!$A:$C), )</f>
        <v/>
      </c>
      <c r="C7722" s="44"/>
      <c r="D7722" s="44"/>
      <c r="L7722" s="45"/>
      <c r="N7722" s="45"/>
    </row>
    <row r="7723">
      <c r="A7723" s="40" t="str">
        <f t="shared" si="1"/>
        <v/>
      </c>
      <c r="B7723" s="37" t="str">
        <f t="array" ref="B7723">iferror(xlookup($I7723, 'IMPORT VHC Report'!$E:$E, 'IMPORT VHC Report'!$A:$C), )</f>
        <v/>
      </c>
      <c r="C7723" s="44"/>
      <c r="D7723" s="44"/>
      <c r="L7723" s="45"/>
      <c r="N7723" s="45"/>
    </row>
    <row r="7724">
      <c r="A7724" s="40" t="str">
        <f t="shared" si="1"/>
        <v/>
      </c>
      <c r="B7724" s="37" t="str">
        <f t="array" ref="B7724">iferror(xlookup($I7724, 'IMPORT VHC Report'!$E:$E, 'IMPORT VHC Report'!$A:$C), )</f>
        <v/>
      </c>
      <c r="C7724" s="44"/>
      <c r="D7724" s="44"/>
      <c r="L7724" s="45"/>
      <c r="N7724" s="45"/>
    </row>
    <row r="7725">
      <c r="A7725" s="40" t="str">
        <f t="shared" si="1"/>
        <v/>
      </c>
      <c r="B7725" s="37" t="str">
        <f t="array" ref="B7725">iferror(xlookup($I7725, 'IMPORT VHC Report'!$E:$E, 'IMPORT VHC Report'!$A:$C), )</f>
        <v/>
      </c>
      <c r="C7725" s="44"/>
      <c r="D7725" s="44"/>
      <c r="L7725" s="45"/>
      <c r="N7725" s="45"/>
    </row>
    <row r="7726">
      <c r="A7726" s="40" t="str">
        <f t="shared" si="1"/>
        <v/>
      </c>
      <c r="B7726" s="37" t="str">
        <f t="array" ref="B7726">iferror(xlookup($I7726, 'IMPORT VHC Report'!$E:$E, 'IMPORT VHC Report'!$A:$C), )</f>
        <v/>
      </c>
      <c r="C7726" s="44"/>
      <c r="D7726" s="44"/>
      <c r="L7726" s="45"/>
      <c r="N7726" s="45"/>
    </row>
    <row r="7727">
      <c r="A7727" s="40" t="str">
        <f t="shared" si="1"/>
        <v/>
      </c>
      <c r="B7727" s="37" t="str">
        <f t="array" ref="B7727">iferror(xlookup($I7727, 'IMPORT VHC Report'!$E:$E, 'IMPORT VHC Report'!$A:$C), )</f>
        <v/>
      </c>
      <c r="C7727" s="44"/>
      <c r="D7727" s="44"/>
      <c r="L7727" s="45"/>
      <c r="N7727" s="45"/>
    </row>
    <row r="7728">
      <c r="A7728" s="40" t="str">
        <f t="shared" si="1"/>
        <v/>
      </c>
      <c r="B7728" s="37" t="str">
        <f t="array" ref="B7728">iferror(xlookup($I7728, 'IMPORT VHC Report'!$E:$E, 'IMPORT VHC Report'!$A:$C), )</f>
        <v/>
      </c>
      <c r="C7728" s="44"/>
      <c r="D7728" s="44"/>
      <c r="L7728" s="45"/>
      <c r="N7728" s="45"/>
    </row>
    <row r="7729">
      <c r="A7729" s="40" t="str">
        <f t="shared" si="1"/>
        <v/>
      </c>
      <c r="B7729" s="37" t="str">
        <f t="array" ref="B7729">iferror(xlookup($I7729, 'IMPORT VHC Report'!$E:$E, 'IMPORT VHC Report'!$A:$C), )</f>
        <v/>
      </c>
      <c r="C7729" s="44"/>
      <c r="D7729" s="44"/>
      <c r="L7729" s="45"/>
      <c r="N7729" s="45"/>
    </row>
    <row r="7730">
      <c r="A7730" s="40" t="str">
        <f t="shared" si="1"/>
        <v/>
      </c>
      <c r="B7730" s="37" t="str">
        <f t="array" ref="B7730">iferror(xlookup($I7730, 'IMPORT VHC Report'!$E:$E, 'IMPORT VHC Report'!$A:$C), )</f>
        <v/>
      </c>
      <c r="C7730" s="44"/>
      <c r="D7730" s="44"/>
      <c r="L7730" s="45"/>
      <c r="N7730" s="45"/>
    </row>
    <row r="7731">
      <c r="A7731" s="40" t="str">
        <f t="shared" si="1"/>
        <v/>
      </c>
      <c r="B7731" s="37" t="str">
        <f t="array" ref="B7731">iferror(xlookup($I7731, 'IMPORT VHC Report'!$E:$E, 'IMPORT VHC Report'!$A:$C), )</f>
        <v/>
      </c>
      <c r="C7731" s="44"/>
      <c r="D7731" s="44"/>
      <c r="L7731" s="45"/>
      <c r="N7731" s="45"/>
    </row>
    <row r="7732">
      <c r="A7732" s="40" t="str">
        <f t="shared" si="1"/>
        <v/>
      </c>
      <c r="B7732" s="37" t="str">
        <f t="array" ref="B7732">iferror(xlookup($I7732, 'IMPORT VHC Report'!$E:$E, 'IMPORT VHC Report'!$A:$C), )</f>
        <v/>
      </c>
      <c r="C7732" s="44"/>
      <c r="D7732" s="44"/>
      <c r="L7732" s="45"/>
      <c r="N7732" s="45"/>
    </row>
    <row r="7733">
      <c r="A7733" s="40" t="str">
        <f t="shared" si="1"/>
        <v/>
      </c>
      <c r="B7733" s="37" t="str">
        <f t="array" ref="B7733">iferror(xlookup($I7733, 'IMPORT VHC Report'!$E:$E, 'IMPORT VHC Report'!$A:$C), )</f>
        <v/>
      </c>
      <c r="C7733" s="44"/>
      <c r="D7733" s="44"/>
      <c r="L7733" s="45"/>
      <c r="N7733" s="45"/>
    </row>
    <row r="7734">
      <c r="A7734" s="40" t="str">
        <f t="shared" si="1"/>
        <v/>
      </c>
      <c r="B7734" s="37" t="str">
        <f t="array" ref="B7734">iferror(xlookup($I7734, 'IMPORT VHC Report'!$E:$E, 'IMPORT VHC Report'!$A:$C), )</f>
        <v/>
      </c>
      <c r="C7734" s="44"/>
      <c r="D7734" s="44"/>
      <c r="L7734" s="45"/>
      <c r="N7734" s="45"/>
    </row>
    <row r="7735">
      <c r="A7735" s="40" t="str">
        <f t="shared" si="1"/>
        <v/>
      </c>
      <c r="B7735" s="37" t="str">
        <f t="array" ref="B7735">iferror(xlookup($I7735, 'IMPORT VHC Report'!$E:$E, 'IMPORT VHC Report'!$A:$C), )</f>
        <v/>
      </c>
      <c r="C7735" s="44"/>
      <c r="D7735" s="44"/>
      <c r="L7735" s="45"/>
      <c r="N7735" s="45"/>
    </row>
    <row r="7736">
      <c r="A7736" s="40" t="str">
        <f t="shared" si="1"/>
        <v/>
      </c>
      <c r="B7736" s="37" t="str">
        <f t="array" ref="B7736">iferror(xlookup($I7736, 'IMPORT VHC Report'!$E:$E, 'IMPORT VHC Report'!$A:$C), )</f>
        <v/>
      </c>
      <c r="C7736" s="44"/>
      <c r="D7736" s="44"/>
      <c r="L7736" s="45"/>
      <c r="N7736" s="45"/>
    </row>
    <row r="7737">
      <c r="A7737" s="40" t="str">
        <f t="shared" si="1"/>
        <v/>
      </c>
      <c r="B7737" s="37" t="str">
        <f t="array" ref="B7737">iferror(xlookup($I7737, 'IMPORT VHC Report'!$E:$E, 'IMPORT VHC Report'!$A:$C), )</f>
        <v/>
      </c>
      <c r="C7737" s="44"/>
      <c r="D7737" s="44"/>
      <c r="L7737" s="45"/>
      <c r="N7737" s="45"/>
    </row>
    <row r="7738">
      <c r="A7738" s="40" t="str">
        <f t="shared" si="1"/>
        <v/>
      </c>
      <c r="B7738" s="37" t="str">
        <f t="array" ref="B7738">iferror(xlookup($I7738, 'IMPORT VHC Report'!$E:$E, 'IMPORT VHC Report'!$A:$C), )</f>
        <v/>
      </c>
      <c r="C7738" s="44"/>
      <c r="D7738" s="44"/>
      <c r="L7738" s="45"/>
      <c r="N7738" s="45"/>
    </row>
    <row r="7739">
      <c r="A7739" s="40" t="str">
        <f t="shared" si="1"/>
        <v/>
      </c>
      <c r="B7739" s="37" t="str">
        <f t="array" ref="B7739">iferror(xlookup($I7739, 'IMPORT VHC Report'!$E:$E, 'IMPORT VHC Report'!$A:$C), )</f>
        <v/>
      </c>
      <c r="C7739" s="44"/>
      <c r="D7739" s="44"/>
      <c r="L7739" s="45"/>
      <c r="N7739" s="45"/>
    </row>
    <row r="7740">
      <c r="A7740" s="40" t="str">
        <f t="shared" si="1"/>
        <v/>
      </c>
      <c r="B7740" s="37" t="str">
        <f t="array" ref="B7740">iferror(xlookup($I7740, 'IMPORT VHC Report'!$E:$E, 'IMPORT VHC Report'!$A:$C), )</f>
        <v/>
      </c>
      <c r="C7740" s="44"/>
      <c r="D7740" s="44"/>
      <c r="L7740" s="45"/>
      <c r="N7740" s="45"/>
    </row>
    <row r="7741">
      <c r="A7741" s="40" t="str">
        <f t="shared" si="1"/>
        <v/>
      </c>
      <c r="B7741" s="37" t="str">
        <f t="array" ref="B7741">iferror(xlookup($I7741, 'IMPORT VHC Report'!$E:$E, 'IMPORT VHC Report'!$A:$C), )</f>
        <v/>
      </c>
      <c r="C7741" s="44"/>
      <c r="D7741" s="44"/>
      <c r="L7741" s="45"/>
      <c r="N7741" s="45"/>
    </row>
    <row r="7742">
      <c r="A7742" s="40" t="str">
        <f t="shared" si="1"/>
        <v/>
      </c>
      <c r="B7742" s="37" t="str">
        <f t="array" ref="B7742">iferror(xlookup($I7742, 'IMPORT VHC Report'!$E:$E, 'IMPORT VHC Report'!$A:$C), )</f>
        <v/>
      </c>
      <c r="C7742" s="44"/>
      <c r="D7742" s="44"/>
      <c r="L7742" s="45"/>
      <c r="N7742" s="45"/>
    </row>
    <row r="7743">
      <c r="A7743" s="40" t="str">
        <f t="shared" si="1"/>
        <v/>
      </c>
      <c r="B7743" s="37" t="str">
        <f t="array" ref="B7743">iferror(xlookup($I7743, 'IMPORT VHC Report'!$E:$E, 'IMPORT VHC Report'!$A:$C), )</f>
        <v/>
      </c>
      <c r="C7743" s="44"/>
      <c r="D7743" s="44"/>
      <c r="L7743" s="45"/>
      <c r="N7743" s="45"/>
    </row>
    <row r="7744">
      <c r="A7744" s="40" t="str">
        <f t="shared" si="1"/>
        <v/>
      </c>
      <c r="B7744" s="37" t="str">
        <f t="array" ref="B7744">iferror(xlookup($I7744, 'IMPORT VHC Report'!$E:$E, 'IMPORT VHC Report'!$A:$C), )</f>
        <v/>
      </c>
      <c r="C7744" s="44"/>
      <c r="D7744" s="44"/>
      <c r="L7744" s="45"/>
      <c r="N7744" s="45"/>
    </row>
    <row r="7745">
      <c r="A7745" s="40" t="str">
        <f t="shared" si="1"/>
        <v/>
      </c>
      <c r="B7745" s="37" t="str">
        <f t="array" ref="B7745">iferror(xlookup($I7745, 'IMPORT VHC Report'!$E:$E, 'IMPORT VHC Report'!$A:$C), )</f>
        <v/>
      </c>
      <c r="C7745" s="44"/>
      <c r="D7745" s="44"/>
      <c r="L7745" s="45"/>
      <c r="N7745" s="45"/>
    </row>
    <row r="7746">
      <c r="A7746" s="40" t="str">
        <f t="shared" si="1"/>
        <v/>
      </c>
      <c r="B7746" s="37" t="str">
        <f t="array" ref="B7746">iferror(xlookup($I7746, 'IMPORT VHC Report'!$E:$E, 'IMPORT VHC Report'!$A:$C), )</f>
        <v/>
      </c>
      <c r="C7746" s="44"/>
      <c r="D7746" s="44"/>
      <c r="L7746" s="45"/>
      <c r="N7746" s="45"/>
    </row>
    <row r="7747">
      <c r="A7747" s="40" t="str">
        <f t="shared" si="1"/>
        <v/>
      </c>
      <c r="B7747" s="37" t="str">
        <f t="array" ref="B7747">iferror(xlookup($I7747, 'IMPORT VHC Report'!$E:$E, 'IMPORT VHC Report'!$A:$C), )</f>
        <v/>
      </c>
      <c r="C7747" s="44"/>
      <c r="D7747" s="44"/>
      <c r="L7747" s="45"/>
      <c r="N7747" s="45"/>
    </row>
    <row r="7748">
      <c r="A7748" s="40" t="str">
        <f t="shared" si="1"/>
        <v/>
      </c>
      <c r="B7748" s="37" t="str">
        <f t="array" ref="B7748">iferror(xlookup($I7748, 'IMPORT VHC Report'!$E:$E, 'IMPORT VHC Report'!$A:$C), )</f>
        <v/>
      </c>
      <c r="C7748" s="44"/>
      <c r="D7748" s="44"/>
      <c r="L7748" s="45"/>
      <c r="N7748" s="45"/>
    </row>
    <row r="7749">
      <c r="A7749" s="40" t="str">
        <f t="shared" si="1"/>
        <v/>
      </c>
      <c r="B7749" s="37" t="str">
        <f t="array" ref="B7749">iferror(xlookup($I7749, 'IMPORT VHC Report'!$E:$E, 'IMPORT VHC Report'!$A:$C), )</f>
        <v/>
      </c>
      <c r="C7749" s="44"/>
      <c r="D7749" s="44"/>
      <c r="L7749" s="45"/>
      <c r="N7749" s="45"/>
    </row>
    <row r="7750">
      <c r="A7750" s="40" t="str">
        <f t="shared" si="1"/>
        <v/>
      </c>
      <c r="B7750" s="37" t="str">
        <f t="array" ref="B7750">iferror(xlookup($I7750, 'IMPORT VHC Report'!$E:$E, 'IMPORT VHC Report'!$A:$C), )</f>
        <v/>
      </c>
      <c r="C7750" s="44"/>
      <c r="D7750" s="44"/>
      <c r="L7750" s="45"/>
      <c r="N7750" s="45"/>
    </row>
    <row r="7751">
      <c r="A7751" s="40" t="str">
        <f t="shared" si="1"/>
        <v/>
      </c>
      <c r="B7751" s="37" t="str">
        <f t="array" ref="B7751">iferror(xlookup($I7751, 'IMPORT VHC Report'!$E:$E, 'IMPORT VHC Report'!$A:$C), )</f>
        <v/>
      </c>
      <c r="C7751" s="44"/>
      <c r="D7751" s="44"/>
      <c r="L7751" s="45"/>
      <c r="N7751" s="45"/>
    </row>
    <row r="7752">
      <c r="A7752" s="40" t="str">
        <f t="shared" si="1"/>
        <v/>
      </c>
      <c r="B7752" s="37" t="str">
        <f t="array" ref="B7752">iferror(xlookup($I7752, 'IMPORT VHC Report'!$E:$E, 'IMPORT VHC Report'!$A:$C), )</f>
        <v/>
      </c>
      <c r="C7752" s="44"/>
      <c r="D7752" s="44"/>
      <c r="L7752" s="45"/>
      <c r="N7752" s="45"/>
    </row>
    <row r="7753">
      <c r="A7753" s="40" t="str">
        <f t="shared" si="1"/>
        <v/>
      </c>
      <c r="B7753" s="37" t="str">
        <f t="array" ref="B7753">iferror(xlookup($I7753, 'IMPORT VHC Report'!$E:$E, 'IMPORT VHC Report'!$A:$C), )</f>
        <v/>
      </c>
      <c r="C7753" s="44"/>
      <c r="D7753" s="44"/>
      <c r="L7753" s="45"/>
      <c r="N7753" s="45"/>
    </row>
    <row r="7754">
      <c r="A7754" s="40" t="str">
        <f t="shared" si="1"/>
        <v/>
      </c>
      <c r="B7754" s="37" t="str">
        <f t="array" ref="B7754">iferror(xlookup($I7754, 'IMPORT VHC Report'!$E:$E, 'IMPORT VHC Report'!$A:$C), )</f>
        <v/>
      </c>
      <c r="C7754" s="44"/>
      <c r="D7754" s="44"/>
      <c r="L7754" s="45"/>
      <c r="N7754" s="45"/>
    </row>
    <row r="7755">
      <c r="A7755" s="40" t="str">
        <f t="shared" si="1"/>
        <v/>
      </c>
      <c r="B7755" s="37" t="str">
        <f t="array" ref="B7755">iferror(xlookup($I7755, 'IMPORT VHC Report'!$E:$E, 'IMPORT VHC Report'!$A:$C), )</f>
        <v/>
      </c>
      <c r="C7755" s="44"/>
      <c r="D7755" s="44"/>
      <c r="L7755" s="45"/>
      <c r="N7755" s="45"/>
    </row>
    <row r="7756">
      <c r="A7756" s="40" t="str">
        <f t="shared" si="1"/>
        <v/>
      </c>
      <c r="B7756" s="37" t="str">
        <f t="array" ref="B7756">iferror(xlookup($I7756, 'IMPORT VHC Report'!$E:$E, 'IMPORT VHC Report'!$A:$C), )</f>
        <v/>
      </c>
      <c r="C7756" s="44"/>
      <c r="D7756" s="44"/>
      <c r="L7756" s="45"/>
      <c r="N7756" s="45"/>
    </row>
    <row r="7757">
      <c r="A7757" s="40" t="str">
        <f t="shared" si="1"/>
        <v/>
      </c>
      <c r="B7757" s="37" t="str">
        <f t="array" ref="B7757">iferror(xlookup($I7757, 'IMPORT VHC Report'!$E:$E, 'IMPORT VHC Report'!$A:$C), )</f>
        <v/>
      </c>
      <c r="C7757" s="44"/>
      <c r="D7757" s="44"/>
      <c r="L7757" s="45"/>
      <c r="N7757" s="45"/>
    </row>
    <row r="7758">
      <c r="A7758" s="40" t="str">
        <f t="shared" si="1"/>
        <v/>
      </c>
      <c r="B7758" s="37" t="str">
        <f t="array" ref="B7758">iferror(xlookup($I7758, 'IMPORT VHC Report'!$E:$E, 'IMPORT VHC Report'!$A:$C), )</f>
        <v/>
      </c>
      <c r="C7758" s="44"/>
      <c r="D7758" s="44"/>
      <c r="L7758" s="45"/>
      <c r="N7758" s="45"/>
    </row>
    <row r="7759">
      <c r="A7759" s="40" t="str">
        <f t="shared" si="1"/>
        <v/>
      </c>
      <c r="B7759" s="37" t="str">
        <f t="array" ref="B7759">iferror(xlookup($I7759, 'IMPORT VHC Report'!$E:$E, 'IMPORT VHC Report'!$A:$C), )</f>
        <v/>
      </c>
      <c r="C7759" s="44"/>
      <c r="D7759" s="44"/>
      <c r="L7759" s="45"/>
      <c r="N7759" s="45"/>
    </row>
    <row r="7760">
      <c r="A7760" s="40" t="str">
        <f t="shared" si="1"/>
        <v/>
      </c>
      <c r="B7760" s="37" t="str">
        <f t="array" ref="B7760">iferror(xlookup($I7760, 'IMPORT VHC Report'!$E:$E, 'IMPORT VHC Report'!$A:$C), )</f>
        <v/>
      </c>
      <c r="C7760" s="44"/>
      <c r="D7760" s="44"/>
      <c r="L7760" s="45"/>
      <c r="N7760" s="45"/>
    </row>
    <row r="7761">
      <c r="A7761" s="40" t="str">
        <f t="shared" si="1"/>
        <v/>
      </c>
      <c r="B7761" s="37" t="str">
        <f t="array" ref="B7761">iferror(xlookup($I7761, 'IMPORT VHC Report'!$E:$E, 'IMPORT VHC Report'!$A:$C), )</f>
        <v/>
      </c>
      <c r="C7761" s="44"/>
      <c r="D7761" s="44"/>
      <c r="L7761" s="45"/>
      <c r="N7761" s="45"/>
    </row>
    <row r="7762">
      <c r="A7762" s="40" t="str">
        <f t="shared" si="1"/>
        <v/>
      </c>
      <c r="B7762" s="37" t="str">
        <f t="array" ref="B7762">iferror(xlookup($I7762, 'IMPORT VHC Report'!$E:$E, 'IMPORT VHC Report'!$A:$C), )</f>
        <v/>
      </c>
      <c r="C7762" s="44"/>
      <c r="D7762" s="44"/>
      <c r="L7762" s="45"/>
      <c r="N7762" s="45"/>
    </row>
    <row r="7763">
      <c r="A7763" s="40" t="str">
        <f t="shared" si="1"/>
        <v/>
      </c>
      <c r="B7763" s="37" t="str">
        <f t="array" ref="B7763">iferror(xlookup($I7763, 'IMPORT VHC Report'!$E:$E, 'IMPORT VHC Report'!$A:$C), )</f>
        <v/>
      </c>
      <c r="C7763" s="44"/>
      <c r="D7763" s="44"/>
      <c r="L7763" s="45"/>
      <c r="N7763" s="45"/>
    </row>
    <row r="7764">
      <c r="A7764" s="40" t="str">
        <f t="shared" si="1"/>
        <v/>
      </c>
      <c r="B7764" s="37" t="str">
        <f t="array" ref="B7764">iferror(xlookup($I7764, 'IMPORT VHC Report'!$E:$E, 'IMPORT VHC Report'!$A:$C), )</f>
        <v/>
      </c>
      <c r="C7764" s="44"/>
      <c r="D7764" s="44"/>
      <c r="L7764" s="45"/>
      <c r="N7764" s="45"/>
    </row>
    <row r="7765">
      <c r="A7765" s="40" t="str">
        <f t="shared" si="1"/>
        <v/>
      </c>
      <c r="B7765" s="37" t="str">
        <f t="array" ref="B7765">iferror(xlookup($I7765, 'IMPORT VHC Report'!$E:$E, 'IMPORT VHC Report'!$A:$C), )</f>
        <v/>
      </c>
      <c r="C7765" s="44"/>
      <c r="D7765" s="44"/>
      <c r="L7765" s="45"/>
      <c r="N7765" s="45"/>
    </row>
    <row r="7766">
      <c r="A7766" s="40" t="str">
        <f t="shared" si="1"/>
        <v/>
      </c>
      <c r="B7766" s="37" t="str">
        <f t="array" ref="B7766">iferror(xlookup($I7766, 'IMPORT VHC Report'!$E:$E, 'IMPORT VHC Report'!$A:$C), )</f>
        <v/>
      </c>
      <c r="C7766" s="44"/>
      <c r="D7766" s="44"/>
      <c r="L7766" s="45"/>
      <c r="N7766" s="45"/>
    </row>
    <row r="7767">
      <c r="A7767" s="40" t="str">
        <f t="shared" si="1"/>
        <v/>
      </c>
      <c r="B7767" s="37" t="str">
        <f t="array" ref="B7767">iferror(xlookup($I7767, 'IMPORT VHC Report'!$E:$E, 'IMPORT VHC Report'!$A:$C), )</f>
        <v/>
      </c>
      <c r="C7767" s="44"/>
      <c r="D7767" s="44"/>
      <c r="L7767" s="45"/>
      <c r="N7767" s="45"/>
    </row>
    <row r="7768">
      <c r="A7768" s="40" t="str">
        <f t="shared" si="1"/>
        <v/>
      </c>
      <c r="B7768" s="37" t="str">
        <f t="array" ref="B7768">iferror(xlookup($I7768, 'IMPORT VHC Report'!$E:$E, 'IMPORT VHC Report'!$A:$C), )</f>
        <v/>
      </c>
      <c r="C7768" s="44"/>
      <c r="D7768" s="44"/>
      <c r="L7768" s="45"/>
      <c r="N7768" s="45"/>
    </row>
    <row r="7769">
      <c r="A7769" s="40" t="str">
        <f t="shared" si="1"/>
        <v/>
      </c>
      <c r="B7769" s="37" t="str">
        <f t="array" ref="B7769">iferror(xlookup($I7769, 'IMPORT VHC Report'!$E:$E, 'IMPORT VHC Report'!$A:$C), )</f>
        <v/>
      </c>
      <c r="C7769" s="44"/>
      <c r="D7769" s="44"/>
      <c r="L7769" s="45"/>
      <c r="N7769" s="45"/>
    </row>
    <row r="7770">
      <c r="A7770" s="40" t="str">
        <f t="shared" si="1"/>
        <v/>
      </c>
      <c r="B7770" s="37" t="str">
        <f t="array" ref="B7770">iferror(xlookup($I7770, 'IMPORT VHC Report'!$E:$E, 'IMPORT VHC Report'!$A:$C), )</f>
        <v/>
      </c>
      <c r="C7770" s="44"/>
      <c r="D7770" s="44"/>
      <c r="L7770" s="45"/>
      <c r="N7770" s="45"/>
    </row>
    <row r="7771">
      <c r="A7771" s="40" t="str">
        <f t="shared" si="1"/>
        <v/>
      </c>
      <c r="B7771" s="37" t="str">
        <f t="array" ref="B7771">iferror(xlookup($I7771, 'IMPORT VHC Report'!$E:$E, 'IMPORT VHC Report'!$A:$C), )</f>
        <v/>
      </c>
      <c r="C7771" s="44"/>
      <c r="D7771" s="44"/>
      <c r="L7771" s="45"/>
      <c r="N7771" s="45"/>
    </row>
    <row r="7772">
      <c r="A7772" s="40" t="str">
        <f t="shared" si="1"/>
        <v/>
      </c>
      <c r="B7772" s="37" t="str">
        <f t="array" ref="B7772">iferror(xlookup($I7772, 'IMPORT VHC Report'!$E:$E, 'IMPORT VHC Report'!$A:$C), )</f>
        <v/>
      </c>
      <c r="C7772" s="44"/>
      <c r="D7772" s="44"/>
      <c r="L7772" s="45"/>
      <c r="N7772" s="45"/>
    </row>
    <row r="7773">
      <c r="A7773" s="40" t="str">
        <f t="shared" si="1"/>
        <v/>
      </c>
      <c r="B7773" s="37" t="str">
        <f t="array" ref="B7773">iferror(xlookup($I7773, 'IMPORT VHC Report'!$E:$E, 'IMPORT VHC Report'!$A:$C), )</f>
        <v/>
      </c>
      <c r="C7773" s="44"/>
      <c r="D7773" s="44"/>
      <c r="L7773" s="45"/>
      <c r="N7773" s="45"/>
    </row>
    <row r="7774">
      <c r="A7774" s="40" t="str">
        <f t="shared" si="1"/>
        <v/>
      </c>
      <c r="B7774" s="37" t="str">
        <f t="array" ref="B7774">iferror(xlookup($I7774, 'IMPORT VHC Report'!$E:$E, 'IMPORT VHC Report'!$A:$C), )</f>
        <v/>
      </c>
      <c r="C7774" s="44"/>
      <c r="D7774" s="44"/>
      <c r="L7774" s="45"/>
      <c r="N7774" s="45"/>
    </row>
    <row r="7775">
      <c r="A7775" s="40" t="str">
        <f t="shared" si="1"/>
        <v/>
      </c>
      <c r="B7775" s="37" t="str">
        <f t="array" ref="B7775">iferror(xlookup($I7775, 'IMPORT VHC Report'!$E:$E, 'IMPORT VHC Report'!$A:$C), )</f>
        <v/>
      </c>
      <c r="C7775" s="44"/>
      <c r="D7775" s="44"/>
      <c r="L7775" s="45"/>
      <c r="N7775" s="45"/>
    </row>
    <row r="7776">
      <c r="A7776" s="40" t="str">
        <f t="shared" si="1"/>
        <v/>
      </c>
      <c r="B7776" s="37" t="str">
        <f t="array" ref="B7776">iferror(xlookup($I7776, 'IMPORT VHC Report'!$E:$E, 'IMPORT VHC Report'!$A:$C), )</f>
        <v/>
      </c>
      <c r="C7776" s="44"/>
      <c r="D7776" s="44"/>
      <c r="L7776" s="45"/>
      <c r="N7776" s="45"/>
    </row>
    <row r="7777">
      <c r="A7777" s="40" t="str">
        <f t="shared" si="1"/>
        <v/>
      </c>
      <c r="B7777" s="37" t="str">
        <f t="array" ref="B7777">iferror(xlookup($I7777, 'IMPORT VHC Report'!$E:$E, 'IMPORT VHC Report'!$A:$C), )</f>
        <v/>
      </c>
      <c r="C7777" s="44"/>
      <c r="D7777" s="44"/>
      <c r="L7777" s="45"/>
      <c r="N7777" s="45"/>
    </row>
    <row r="7778">
      <c r="A7778" s="40" t="str">
        <f t="shared" si="1"/>
        <v/>
      </c>
      <c r="B7778" s="37" t="str">
        <f t="array" ref="B7778">iferror(xlookup($I7778, 'IMPORT VHC Report'!$E:$E, 'IMPORT VHC Report'!$A:$C), )</f>
        <v/>
      </c>
      <c r="C7778" s="44"/>
      <c r="D7778" s="44"/>
      <c r="L7778" s="45"/>
      <c r="N7778" s="45"/>
    </row>
    <row r="7779">
      <c r="A7779" s="40" t="str">
        <f t="shared" si="1"/>
        <v/>
      </c>
      <c r="B7779" s="37" t="str">
        <f t="array" ref="B7779">iferror(xlookup($I7779, 'IMPORT VHC Report'!$E:$E, 'IMPORT VHC Report'!$A:$C), )</f>
        <v/>
      </c>
      <c r="C7779" s="44"/>
      <c r="D7779" s="44"/>
      <c r="L7779" s="45"/>
      <c r="N7779" s="45"/>
    </row>
    <row r="7780">
      <c r="A7780" s="40" t="str">
        <f t="shared" si="1"/>
        <v/>
      </c>
      <c r="B7780" s="37" t="str">
        <f t="array" ref="B7780">iferror(xlookup($I7780, 'IMPORT VHC Report'!$E:$E, 'IMPORT VHC Report'!$A:$C), )</f>
        <v/>
      </c>
      <c r="C7780" s="44"/>
      <c r="D7780" s="44"/>
      <c r="L7780" s="45"/>
      <c r="N7780" s="45"/>
    </row>
    <row r="7781">
      <c r="A7781" s="40" t="str">
        <f t="shared" si="1"/>
        <v/>
      </c>
      <c r="B7781" s="37" t="str">
        <f t="array" ref="B7781">iferror(xlookup($I7781, 'IMPORT VHC Report'!$E:$E, 'IMPORT VHC Report'!$A:$C), )</f>
        <v/>
      </c>
      <c r="C7781" s="44"/>
      <c r="D7781" s="44"/>
      <c r="L7781" s="45"/>
      <c r="N7781" s="45"/>
    </row>
    <row r="7782">
      <c r="A7782" s="40" t="str">
        <f t="shared" si="1"/>
        <v/>
      </c>
      <c r="B7782" s="37" t="str">
        <f t="array" ref="B7782">iferror(xlookup($I7782, 'IMPORT VHC Report'!$E:$E, 'IMPORT VHC Report'!$A:$C), )</f>
        <v/>
      </c>
      <c r="C7782" s="44"/>
      <c r="D7782" s="44"/>
      <c r="L7782" s="45"/>
      <c r="N7782" s="45"/>
    </row>
    <row r="7783">
      <c r="A7783" s="40" t="str">
        <f t="shared" si="1"/>
        <v/>
      </c>
      <c r="B7783" s="37" t="str">
        <f t="array" ref="B7783">iferror(xlookup($I7783, 'IMPORT VHC Report'!$E:$E, 'IMPORT VHC Report'!$A:$C), )</f>
        <v/>
      </c>
      <c r="C7783" s="44"/>
      <c r="D7783" s="44"/>
      <c r="L7783" s="45"/>
      <c r="N7783" s="45"/>
    </row>
    <row r="7784">
      <c r="A7784" s="40" t="str">
        <f t="shared" si="1"/>
        <v/>
      </c>
      <c r="B7784" s="37" t="str">
        <f t="array" ref="B7784">iferror(xlookup($I7784, 'IMPORT VHC Report'!$E:$E, 'IMPORT VHC Report'!$A:$C), )</f>
        <v/>
      </c>
      <c r="C7784" s="44"/>
      <c r="D7784" s="44"/>
      <c r="L7784" s="45"/>
      <c r="N7784" s="45"/>
    </row>
    <row r="7785">
      <c r="A7785" s="40" t="str">
        <f t="shared" si="1"/>
        <v/>
      </c>
      <c r="B7785" s="37" t="str">
        <f t="array" ref="B7785">iferror(xlookup($I7785, 'IMPORT VHC Report'!$E:$E, 'IMPORT VHC Report'!$A:$C), )</f>
        <v/>
      </c>
      <c r="C7785" s="44"/>
      <c r="D7785" s="44"/>
      <c r="L7785" s="45"/>
      <c r="N7785" s="45"/>
    </row>
    <row r="7786">
      <c r="A7786" s="40" t="str">
        <f t="shared" si="1"/>
        <v/>
      </c>
      <c r="B7786" s="37" t="str">
        <f t="array" ref="B7786">iferror(xlookup($I7786, 'IMPORT VHC Report'!$E:$E, 'IMPORT VHC Report'!$A:$C), )</f>
        <v/>
      </c>
      <c r="C7786" s="44"/>
      <c r="D7786" s="44"/>
      <c r="L7786" s="45"/>
      <c r="N7786" s="45"/>
    </row>
    <row r="7787">
      <c r="A7787" s="40" t="str">
        <f t="shared" si="1"/>
        <v/>
      </c>
      <c r="B7787" s="37" t="str">
        <f t="array" ref="B7787">iferror(xlookup($I7787, 'IMPORT VHC Report'!$E:$E, 'IMPORT VHC Report'!$A:$C), )</f>
        <v/>
      </c>
      <c r="C7787" s="44"/>
      <c r="D7787" s="44"/>
      <c r="L7787" s="45"/>
      <c r="N7787" s="45"/>
    </row>
    <row r="7788">
      <c r="A7788" s="40" t="str">
        <f t="shared" si="1"/>
        <v/>
      </c>
      <c r="B7788" s="37" t="str">
        <f t="array" ref="B7788">iferror(xlookup($I7788, 'IMPORT VHC Report'!$E:$E, 'IMPORT VHC Report'!$A:$C), )</f>
        <v/>
      </c>
      <c r="C7788" s="44"/>
      <c r="D7788" s="44"/>
      <c r="L7788" s="45"/>
      <c r="N7788" s="45"/>
    </row>
    <row r="7789">
      <c r="A7789" s="40" t="str">
        <f t="shared" si="1"/>
        <v/>
      </c>
      <c r="B7789" s="37" t="str">
        <f t="array" ref="B7789">iferror(xlookup($I7789, 'IMPORT VHC Report'!$E:$E, 'IMPORT VHC Report'!$A:$C), )</f>
        <v/>
      </c>
      <c r="C7789" s="44"/>
      <c r="D7789" s="44"/>
      <c r="L7789" s="45"/>
      <c r="N7789" s="45"/>
    </row>
    <row r="7790">
      <c r="A7790" s="40" t="str">
        <f t="shared" si="1"/>
        <v/>
      </c>
      <c r="B7790" s="37" t="str">
        <f t="array" ref="B7790">iferror(xlookup($I7790, 'IMPORT VHC Report'!$E:$E, 'IMPORT VHC Report'!$A:$C), )</f>
        <v/>
      </c>
      <c r="C7790" s="44"/>
      <c r="D7790" s="44"/>
      <c r="L7790" s="45"/>
      <c r="N7790" s="45"/>
    </row>
    <row r="7791">
      <c r="A7791" s="40" t="str">
        <f t="shared" si="1"/>
        <v/>
      </c>
      <c r="B7791" s="37" t="str">
        <f t="array" ref="B7791">iferror(xlookup($I7791, 'IMPORT VHC Report'!$E:$E, 'IMPORT VHC Report'!$A:$C), )</f>
        <v/>
      </c>
      <c r="C7791" s="44"/>
      <c r="D7791" s="44"/>
      <c r="L7791" s="45"/>
      <c r="N7791" s="45"/>
    </row>
    <row r="7792">
      <c r="A7792" s="40" t="str">
        <f t="shared" si="1"/>
        <v/>
      </c>
      <c r="B7792" s="37" t="str">
        <f t="array" ref="B7792">iferror(xlookup($I7792, 'IMPORT VHC Report'!$E:$E, 'IMPORT VHC Report'!$A:$C), )</f>
        <v/>
      </c>
      <c r="C7792" s="44"/>
      <c r="D7792" s="44"/>
      <c r="L7792" s="45"/>
      <c r="N7792" s="45"/>
    </row>
    <row r="7793">
      <c r="A7793" s="40" t="str">
        <f t="shared" si="1"/>
        <v/>
      </c>
      <c r="B7793" s="37" t="str">
        <f t="array" ref="B7793">iferror(xlookup($I7793, 'IMPORT VHC Report'!$E:$E, 'IMPORT VHC Report'!$A:$C), )</f>
        <v/>
      </c>
      <c r="C7793" s="44"/>
      <c r="D7793" s="44"/>
      <c r="L7793" s="45"/>
      <c r="N7793" s="45"/>
    </row>
    <row r="7794">
      <c r="A7794" s="40" t="str">
        <f t="shared" si="1"/>
        <v/>
      </c>
      <c r="B7794" s="37" t="str">
        <f t="array" ref="B7794">iferror(xlookup($I7794, 'IMPORT VHC Report'!$E:$E, 'IMPORT VHC Report'!$A:$C), )</f>
        <v/>
      </c>
      <c r="C7794" s="44"/>
      <c r="D7794" s="44"/>
      <c r="L7794" s="45"/>
      <c r="N7794" s="45"/>
    </row>
    <row r="7795">
      <c r="A7795" s="40" t="str">
        <f t="shared" si="1"/>
        <v/>
      </c>
      <c r="B7795" s="37" t="str">
        <f t="array" ref="B7795">iferror(xlookup($I7795, 'IMPORT VHC Report'!$E:$E, 'IMPORT VHC Report'!$A:$C), )</f>
        <v/>
      </c>
      <c r="C7795" s="44"/>
      <c r="D7795" s="44"/>
      <c r="L7795" s="45"/>
      <c r="N7795" s="45"/>
    </row>
    <row r="7796">
      <c r="A7796" s="40" t="str">
        <f t="shared" si="1"/>
        <v/>
      </c>
      <c r="B7796" s="37" t="str">
        <f t="array" ref="B7796">iferror(xlookup($I7796, 'IMPORT VHC Report'!$E:$E, 'IMPORT VHC Report'!$A:$C), )</f>
        <v/>
      </c>
      <c r="C7796" s="44"/>
      <c r="D7796" s="44"/>
      <c r="L7796" s="45"/>
      <c r="N7796" s="45"/>
    </row>
    <row r="7797">
      <c r="A7797" s="40" t="str">
        <f t="shared" si="1"/>
        <v/>
      </c>
      <c r="B7797" s="37" t="str">
        <f t="array" ref="B7797">iferror(xlookup($I7797, 'IMPORT VHC Report'!$E:$E, 'IMPORT VHC Report'!$A:$C), )</f>
        <v/>
      </c>
      <c r="C7797" s="44"/>
      <c r="D7797" s="44"/>
      <c r="L7797" s="45"/>
      <c r="N7797" s="45"/>
    </row>
    <row r="7798">
      <c r="A7798" s="40" t="str">
        <f t="shared" si="1"/>
        <v/>
      </c>
      <c r="B7798" s="37" t="str">
        <f t="array" ref="B7798">iferror(xlookup($I7798, 'IMPORT VHC Report'!$E:$E, 'IMPORT VHC Report'!$A:$C), )</f>
        <v/>
      </c>
      <c r="C7798" s="44"/>
      <c r="D7798" s="44"/>
      <c r="L7798" s="45"/>
      <c r="N7798" s="45"/>
    </row>
    <row r="7799">
      <c r="A7799" s="40" t="str">
        <f t="shared" si="1"/>
        <v/>
      </c>
      <c r="B7799" s="37" t="str">
        <f t="array" ref="B7799">iferror(xlookup($I7799, 'IMPORT VHC Report'!$E:$E, 'IMPORT VHC Report'!$A:$C), )</f>
        <v/>
      </c>
      <c r="C7799" s="44"/>
      <c r="D7799" s="44"/>
      <c r="L7799" s="45"/>
      <c r="N7799" s="45"/>
    </row>
    <row r="7800">
      <c r="A7800" s="40" t="str">
        <f t="shared" si="1"/>
        <v/>
      </c>
      <c r="B7800" s="37" t="str">
        <f t="array" ref="B7800">iferror(xlookup($I7800, 'IMPORT VHC Report'!$E:$E, 'IMPORT VHC Report'!$A:$C), )</f>
        <v/>
      </c>
      <c r="C7800" s="44"/>
      <c r="D7800" s="44"/>
      <c r="L7800" s="45"/>
      <c r="N7800" s="45"/>
    </row>
    <row r="7801">
      <c r="A7801" s="40" t="str">
        <f t="shared" si="1"/>
        <v/>
      </c>
      <c r="B7801" s="37" t="str">
        <f t="array" ref="B7801">iferror(xlookup($I7801, 'IMPORT VHC Report'!$E:$E, 'IMPORT VHC Report'!$A:$C), )</f>
        <v/>
      </c>
      <c r="C7801" s="44"/>
      <c r="D7801" s="44"/>
      <c r="L7801" s="45"/>
      <c r="N7801" s="45"/>
    </row>
    <row r="7802">
      <c r="A7802" s="40" t="str">
        <f t="shared" si="1"/>
        <v/>
      </c>
      <c r="B7802" s="37" t="str">
        <f t="array" ref="B7802">iferror(xlookup($I7802, 'IMPORT VHC Report'!$E:$E, 'IMPORT VHC Report'!$A:$C), )</f>
        <v/>
      </c>
      <c r="C7802" s="44"/>
      <c r="D7802" s="44"/>
      <c r="L7802" s="45"/>
      <c r="N7802" s="45"/>
    </row>
    <row r="7803">
      <c r="A7803" s="40" t="str">
        <f t="shared" si="1"/>
        <v/>
      </c>
      <c r="B7803" s="37" t="str">
        <f t="array" ref="B7803">iferror(xlookup($I7803, 'IMPORT VHC Report'!$E:$E, 'IMPORT VHC Report'!$A:$C), )</f>
        <v/>
      </c>
      <c r="C7803" s="44"/>
      <c r="D7803" s="44"/>
      <c r="L7803" s="45"/>
      <c r="N7803" s="45"/>
    </row>
    <row r="7804">
      <c r="A7804" s="40" t="str">
        <f t="shared" si="1"/>
        <v/>
      </c>
      <c r="B7804" s="37" t="str">
        <f t="array" ref="B7804">iferror(xlookup($I7804, 'IMPORT VHC Report'!$E:$E, 'IMPORT VHC Report'!$A:$C), )</f>
        <v/>
      </c>
      <c r="C7804" s="44"/>
      <c r="D7804" s="44"/>
      <c r="L7804" s="45"/>
      <c r="N7804" s="45"/>
    </row>
    <row r="7805">
      <c r="A7805" s="40" t="str">
        <f t="shared" si="1"/>
        <v/>
      </c>
      <c r="B7805" s="37" t="str">
        <f t="array" ref="B7805">iferror(xlookup($I7805, 'IMPORT VHC Report'!$E:$E, 'IMPORT VHC Report'!$A:$C), )</f>
        <v/>
      </c>
      <c r="C7805" s="44"/>
      <c r="D7805" s="44"/>
      <c r="L7805" s="45"/>
      <c r="N7805" s="45"/>
    </row>
    <row r="7806">
      <c r="A7806" s="40" t="str">
        <f t="shared" si="1"/>
        <v/>
      </c>
      <c r="B7806" s="37" t="str">
        <f t="array" ref="B7806">iferror(xlookup($I7806, 'IMPORT VHC Report'!$E:$E, 'IMPORT VHC Report'!$A:$C), )</f>
        <v/>
      </c>
      <c r="C7806" s="44"/>
      <c r="D7806" s="44"/>
      <c r="L7806" s="45"/>
      <c r="N7806" s="45"/>
    </row>
    <row r="7807">
      <c r="A7807" s="40" t="str">
        <f t="shared" si="1"/>
        <v/>
      </c>
      <c r="B7807" s="37" t="str">
        <f t="array" ref="B7807">iferror(xlookup($I7807, 'IMPORT VHC Report'!$E:$E, 'IMPORT VHC Report'!$A:$C), )</f>
        <v/>
      </c>
      <c r="C7807" s="44"/>
      <c r="D7807" s="44"/>
      <c r="L7807" s="45"/>
      <c r="N7807" s="45"/>
    </row>
    <row r="7808">
      <c r="A7808" s="40" t="str">
        <f t="shared" si="1"/>
        <v/>
      </c>
      <c r="B7808" s="37" t="str">
        <f t="array" ref="B7808">iferror(xlookup($I7808, 'IMPORT VHC Report'!$E:$E, 'IMPORT VHC Report'!$A:$C), )</f>
        <v/>
      </c>
      <c r="C7808" s="44"/>
      <c r="D7808" s="44"/>
      <c r="L7808" s="45"/>
      <c r="N7808" s="45"/>
    </row>
    <row r="7809">
      <c r="A7809" s="40" t="str">
        <f t="shared" si="1"/>
        <v/>
      </c>
      <c r="B7809" s="37" t="str">
        <f t="array" ref="B7809">iferror(xlookup($I7809, 'IMPORT VHC Report'!$E:$E, 'IMPORT VHC Report'!$A:$C), )</f>
        <v/>
      </c>
      <c r="C7809" s="44"/>
      <c r="D7809" s="44"/>
      <c r="L7809" s="45"/>
      <c r="N7809" s="45"/>
    </row>
    <row r="7810">
      <c r="A7810" s="40" t="str">
        <f t="shared" si="1"/>
        <v/>
      </c>
      <c r="B7810" s="37" t="str">
        <f t="array" ref="B7810">iferror(xlookup($I7810, 'IMPORT VHC Report'!$E:$E, 'IMPORT VHC Report'!$A:$C), )</f>
        <v/>
      </c>
      <c r="C7810" s="44"/>
      <c r="D7810" s="44"/>
      <c r="L7810" s="45"/>
      <c r="N7810" s="45"/>
    </row>
    <row r="7811">
      <c r="A7811" s="40" t="str">
        <f t="shared" si="1"/>
        <v/>
      </c>
      <c r="B7811" s="37" t="str">
        <f t="array" ref="B7811">iferror(xlookup($I7811, 'IMPORT VHC Report'!$E:$E, 'IMPORT VHC Report'!$A:$C), )</f>
        <v/>
      </c>
      <c r="C7811" s="44"/>
      <c r="D7811" s="44"/>
      <c r="L7811" s="45"/>
      <c r="N7811" s="45"/>
    </row>
    <row r="7812">
      <c r="A7812" s="40" t="str">
        <f t="shared" si="1"/>
        <v/>
      </c>
      <c r="B7812" s="37" t="str">
        <f t="array" ref="B7812">iferror(xlookup($I7812, 'IMPORT VHC Report'!$E:$E, 'IMPORT VHC Report'!$A:$C), )</f>
        <v/>
      </c>
      <c r="C7812" s="44"/>
      <c r="D7812" s="44"/>
      <c r="L7812" s="45"/>
      <c r="N7812" s="45"/>
    </row>
    <row r="7813">
      <c r="A7813" s="40" t="str">
        <f t="shared" si="1"/>
        <v/>
      </c>
      <c r="B7813" s="37" t="str">
        <f t="array" ref="B7813">iferror(xlookup($I7813, 'IMPORT VHC Report'!$E:$E, 'IMPORT VHC Report'!$A:$C), )</f>
        <v/>
      </c>
      <c r="C7813" s="44"/>
      <c r="D7813" s="44"/>
      <c r="L7813" s="45"/>
      <c r="N7813" s="45"/>
    </row>
    <row r="7814">
      <c r="A7814" s="40" t="str">
        <f t="shared" si="1"/>
        <v/>
      </c>
      <c r="B7814" s="37" t="str">
        <f t="array" ref="B7814">iferror(xlookup($I7814, 'IMPORT VHC Report'!$E:$E, 'IMPORT VHC Report'!$A:$C), )</f>
        <v/>
      </c>
      <c r="C7814" s="44"/>
      <c r="D7814" s="44"/>
      <c r="L7814" s="45"/>
      <c r="N7814" s="45"/>
    </row>
    <row r="7815">
      <c r="A7815" s="40" t="str">
        <f t="shared" si="1"/>
        <v/>
      </c>
      <c r="B7815" s="37" t="str">
        <f t="array" ref="B7815">iferror(xlookup($I7815, 'IMPORT VHC Report'!$E:$E, 'IMPORT VHC Report'!$A:$C), )</f>
        <v/>
      </c>
      <c r="C7815" s="44"/>
      <c r="D7815" s="44"/>
      <c r="L7815" s="45"/>
      <c r="N7815" s="45"/>
    </row>
    <row r="7816">
      <c r="A7816" s="40" t="str">
        <f t="shared" si="1"/>
        <v/>
      </c>
      <c r="B7816" s="37" t="str">
        <f t="array" ref="B7816">iferror(xlookup($I7816, 'IMPORT VHC Report'!$E:$E, 'IMPORT VHC Report'!$A:$C), )</f>
        <v/>
      </c>
      <c r="C7816" s="44"/>
      <c r="D7816" s="44"/>
      <c r="L7816" s="45"/>
      <c r="N7816" s="45"/>
    </row>
    <row r="7817">
      <c r="A7817" s="40" t="str">
        <f t="shared" si="1"/>
        <v/>
      </c>
      <c r="B7817" s="37" t="str">
        <f t="array" ref="B7817">iferror(xlookup($I7817, 'IMPORT VHC Report'!$E:$E, 'IMPORT VHC Report'!$A:$C), )</f>
        <v/>
      </c>
      <c r="C7817" s="44"/>
      <c r="D7817" s="44"/>
      <c r="L7817" s="45"/>
      <c r="N7817" s="45"/>
    </row>
    <row r="7818">
      <c r="A7818" s="40" t="str">
        <f t="shared" si="1"/>
        <v/>
      </c>
      <c r="B7818" s="37" t="str">
        <f t="array" ref="B7818">iferror(xlookup($I7818, 'IMPORT VHC Report'!$E:$E, 'IMPORT VHC Report'!$A:$C), )</f>
        <v/>
      </c>
      <c r="C7818" s="44"/>
      <c r="D7818" s="44"/>
      <c r="L7818" s="45"/>
      <c r="N7818" s="45"/>
    </row>
    <row r="7819">
      <c r="A7819" s="40" t="str">
        <f t="shared" si="1"/>
        <v/>
      </c>
      <c r="B7819" s="37" t="str">
        <f t="array" ref="B7819">iferror(xlookup($I7819, 'IMPORT VHC Report'!$E:$E, 'IMPORT VHC Report'!$A:$C), )</f>
        <v/>
      </c>
      <c r="C7819" s="44"/>
      <c r="D7819" s="44"/>
      <c r="L7819" s="45"/>
      <c r="N7819" s="45"/>
    </row>
    <row r="7820">
      <c r="A7820" s="40" t="str">
        <f t="shared" si="1"/>
        <v/>
      </c>
      <c r="B7820" s="37" t="str">
        <f t="array" ref="B7820">iferror(xlookup($I7820, 'IMPORT VHC Report'!$E:$E, 'IMPORT VHC Report'!$A:$C), )</f>
        <v/>
      </c>
      <c r="C7820" s="44"/>
      <c r="D7820" s="44"/>
      <c r="L7820" s="45"/>
      <c r="N7820" s="45"/>
    </row>
    <row r="7821">
      <c r="A7821" s="40" t="str">
        <f t="shared" si="1"/>
        <v/>
      </c>
      <c r="B7821" s="37" t="str">
        <f t="array" ref="B7821">iferror(xlookup($I7821, 'IMPORT VHC Report'!$E:$E, 'IMPORT VHC Report'!$A:$C), )</f>
        <v/>
      </c>
      <c r="C7821" s="44"/>
      <c r="D7821" s="44"/>
      <c r="L7821" s="45"/>
      <c r="N7821" s="45"/>
    </row>
    <row r="7822">
      <c r="A7822" s="40" t="str">
        <f t="shared" si="1"/>
        <v/>
      </c>
      <c r="B7822" s="37" t="str">
        <f t="array" ref="B7822">iferror(xlookup($I7822, 'IMPORT VHC Report'!$E:$E, 'IMPORT VHC Report'!$A:$C), )</f>
        <v/>
      </c>
      <c r="C7822" s="44"/>
      <c r="D7822" s="44"/>
      <c r="L7822" s="45"/>
      <c r="N7822" s="45"/>
    </row>
    <row r="7823">
      <c r="A7823" s="40" t="str">
        <f t="shared" si="1"/>
        <v/>
      </c>
      <c r="B7823" s="37" t="str">
        <f t="array" ref="B7823">iferror(xlookup($I7823, 'IMPORT VHC Report'!$E:$E, 'IMPORT VHC Report'!$A:$C), )</f>
        <v/>
      </c>
      <c r="C7823" s="44"/>
      <c r="D7823" s="44"/>
      <c r="L7823" s="45"/>
      <c r="N7823" s="45"/>
    </row>
    <row r="7824">
      <c r="A7824" s="40" t="str">
        <f t="shared" si="1"/>
        <v/>
      </c>
      <c r="B7824" s="37" t="str">
        <f t="array" ref="B7824">iferror(xlookup($I7824, 'IMPORT VHC Report'!$E:$E, 'IMPORT VHC Report'!$A:$C), )</f>
        <v/>
      </c>
      <c r="C7824" s="44"/>
      <c r="D7824" s="44"/>
      <c r="L7824" s="45"/>
      <c r="N7824" s="45"/>
    </row>
    <row r="7825">
      <c r="A7825" s="40" t="str">
        <f t="shared" si="1"/>
        <v/>
      </c>
      <c r="B7825" s="37" t="str">
        <f t="array" ref="B7825">iferror(xlookup($I7825, 'IMPORT VHC Report'!$E:$E, 'IMPORT VHC Report'!$A:$C), )</f>
        <v/>
      </c>
      <c r="C7825" s="44"/>
      <c r="D7825" s="44"/>
      <c r="L7825" s="45"/>
      <c r="N7825" s="45"/>
    </row>
    <row r="7826">
      <c r="A7826" s="40" t="str">
        <f t="shared" si="1"/>
        <v/>
      </c>
      <c r="B7826" s="37" t="str">
        <f t="array" ref="B7826">iferror(xlookup($I7826, 'IMPORT VHC Report'!$E:$E, 'IMPORT VHC Report'!$A:$C), )</f>
        <v/>
      </c>
      <c r="C7826" s="44"/>
      <c r="D7826" s="44"/>
      <c r="L7826" s="45"/>
      <c r="N7826" s="45"/>
    </row>
    <row r="7827">
      <c r="A7827" s="40" t="str">
        <f t="shared" si="1"/>
        <v/>
      </c>
      <c r="B7827" s="37" t="str">
        <f t="array" ref="B7827">iferror(xlookup($I7827, 'IMPORT VHC Report'!$E:$E, 'IMPORT VHC Report'!$A:$C), )</f>
        <v/>
      </c>
      <c r="C7827" s="44"/>
      <c r="D7827" s="44"/>
      <c r="L7827" s="45"/>
      <c r="N7827" s="45"/>
    </row>
    <row r="7828">
      <c r="A7828" s="40" t="str">
        <f t="shared" si="1"/>
        <v/>
      </c>
      <c r="B7828" s="37" t="str">
        <f t="array" ref="B7828">iferror(xlookup($I7828, 'IMPORT VHC Report'!$E:$E, 'IMPORT VHC Report'!$A:$C), )</f>
        <v/>
      </c>
      <c r="C7828" s="44"/>
      <c r="D7828" s="44"/>
      <c r="L7828" s="45"/>
      <c r="N7828" s="45"/>
    </row>
    <row r="7829">
      <c r="A7829" s="40" t="str">
        <f t="shared" si="1"/>
        <v/>
      </c>
      <c r="B7829" s="37" t="str">
        <f t="array" ref="B7829">iferror(xlookup($I7829, 'IMPORT VHC Report'!$E:$E, 'IMPORT VHC Report'!$A:$C), )</f>
        <v/>
      </c>
      <c r="C7829" s="44"/>
      <c r="D7829" s="44"/>
      <c r="L7829" s="45"/>
      <c r="N7829" s="45"/>
    </row>
    <row r="7830">
      <c r="A7830" s="40" t="str">
        <f t="shared" si="1"/>
        <v/>
      </c>
      <c r="B7830" s="37" t="str">
        <f t="array" ref="B7830">iferror(xlookup($I7830, 'IMPORT VHC Report'!$E:$E, 'IMPORT VHC Report'!$A:$C), )</f>
        <v/>
      </c>
      <c r="C7830" s="44"/>
      <c r="D7830" s="44"/>
      <c r="L7830" s="45"/>
      <c r="N7830" s="45"/>
    </row>
    <row r="7831">
      <c r="A7831" s="40" t="str">
        <f t="shared" si="1"/>
        <v/>
      </c>
      <c r="B7831" s="37" t="str">
        <f t="array" ref="B7831">iferror(xlookup($I7831, 'IMPORT VHC Report'!$E:$E, 'IMPORT VHC Report'!$A:$C), )</f>
        <v/>
      </c>
      <c r="C7831" s="44"/>
      <c r="D7831" s="44"/>
      <c r="L7831" s="45"/>
      <c r="N7831" s="45"/>
    </row>
    <row r="7832">
      <c r="A7832" s="40" t="str">
        <f t="shared" si="1"/>
        <v/>
      </c>
      <c r="B7832" s="37" t="str">
        <f t="array" ref="B7832">iferror(xlookup($I7832, 'IMPORT VHC Report'!$E:$E, 'IMPORT VHC Report'!$A:$C), )</f>
        <v/>
      </c>
      <c r="C7832" s="44"/>
      <c r="D7832" s="44"/>
      <c r="L7832" s="45"/>
      <c r="N7832" s="45"/>
    </row>
    <row r="7833">
      <c r="A7833" s="40" t="str">
        <f t="shared" si="1"/>
        <v/>
      </c>
      <c r="B7833" s="37" t="str">
        <f t="array" ref="B7833">iferror(xlookup($I7833, 'IMPORT VHC Report'!$E:$E, 'IMPORT VHC Report'!$A:$C), )</f>
        <v/>
      </c>
      <c r="C7833" s="44"/>
      <c r="D7833" s="44"/>
      <c r="L7833" s="45"/>
      <c r="N7833" s="45"/>
    </row>
    <row r="7834">
      <c r="A7834" s="40" t="str">
        <f t="shared" si="1"/>
        <v/>
      </c>
      <c r="B7834" s="37" t="str">
        <f t="array" ref="B7834">iferror(xlookup($I7834, 'IMPORT VHC Report'!$E:$E, 'IMPORT VHC Report'!$A:$C), )</f>
        <v/>
      </c>
      <c r="C7834" s="44"/>
      <c r="D7834" s="44"/>
      <c r="L7834" s="45"/>
      <c r="N7834" s="45"/>
    </row>
    <row r="7835">
      <c r="A7835" s="40" t="str">
        <f t="shared" si="1"/>
        <v/>
      </c>
      <c r="B7835" s="37" t="str">
        <f t="array" ref="B7835">iferror(xlookup($I7835, 'IMPORT VHC Report'!$E:$E, 'IMPORT VHC Report'!$A:$C), )</f>
        <v/>
      </c>
      <c r="C7835" s="44"/>
      <c r="D7835" s="44"/>
      <c r="L7835" s="45"/>
      <c r="N7835" s="45"/>
    </row>
    <row r="7836">
      <c r="A7836" s="40" t="str">
        <f t="shared" si="1"/>
        <v/>
      </c>
      <c r="B7836" s="37" t="str">
        <f t="array" ref="B7836">iferror(xlookup($I7836, 'IMPORT VHC Report'!$E:$E, 'IMPORT VHC Report'!$A:$C), )</f>
        <v/>
      </c>
      <c r="C7836" s="44"/>
      <c r="D7836" s="44"/>
      <c r="L7836" s="45"/>
      <c r="N7836" s="45"/>
    </row>
    <row r="7837">
      <c r="A7837" s="40" t="str">
        <f t="shared" si="1"/>
        <v/>
      </c>
      <c r="B7837" s="37" t="str">
        <f t="array" ref="B7837">iferror(xlookup($I7837, 'IMPORT VHC Report'!$E:$E, 'IMPORT VHC Report'!$A:$C), )</f>
        <v/>
      </c>
      <c r="C7837" s="44"/>
      <c r="D7837" s="44"/>
      <c r="L7837" s="45"/>
      <c r="N7837" s="45"/>
    </row>
    <row r="7838">
      <c r="A7838" s="40" t="str">
        <f t="shared" si="1"/>
        <v/>
      </c>
      <c r="B7838" s="37" t="str">
        <f t="array" ref="B7838">iferror(xlookup($I7838, 'IMPORT VHC Report'!$E:$E, 'IMPORT VHC Report'!$A:$C), )</f>
        <v/>
      </c>
      <c r="C7838" s="44"/>
      <c r="D7838" s="44"/>
      <c r="L7838" s="45"/>
      <c r="N7838" s="45"/>
    </row>
    <row r="7839">
      <c r="A7839" s="40" t="str">
        <f t="shared" si="1"/>
        <v/>
      </c>
      <c r="B7839" s="37" t="str">
        <f t="array" ref="B7839">iferror(xlookup($I7839, 'IMPORT VHC Report'!$E:$E, 'IMPORT VHC Report'!$A:$C), )</f>
        <v/>
      </c>
      <c r="C7839" s="44"/>
      <c r="D7839" s="44"/>
      <c r="L7839" s="45"/>
      <c r="N7839" s="45"/>
    </row>
    <row r="7840">
      <c r="A7840" s="40" t="str">
        <f t="shared" si="1"/>
        <v/>
      </c>
      <c r="B7840" s="37" t="str">
        <f t="array" ref="B7840">iferror(xlookup($I7840, 'IMPORT VHC Report'!$E:$E, 'IMPORT VHC Report'!$A:$C), )</f>
        <v/>
      </c>
      <c r="C7840" s="44"/>
      <c r="D7840" s="44"/>
      <c r="L7840" s="45"/>
      <c r="N7840" s="45"/>
    </row>
    <row r="7841">
      <c r="A7841" s="40" t="str">
        <f t="shared" si="1"/>
        <v/>
      </c>
      <c r="B7841" s="37" t="str">
        <f t="array" ref="B7841">iferror(xlookup($I7841, 'IMPORT VHC Report'!$E:$E, 'IMPORT VHC Report'!$A:$C), )</f>
        <v/>
      </c>
      <c r="C7841" s="44"/>
      <c r="D7841" s="44"/>
      <c r="L7841" s="45"/>
      <c r="N7841" s="45"/>
    </row>
    <row r="7842">
      <c r="A7842" s="40" t="str">
        <f t="shared" si="1"/>
        <v/>
      </c>
      <c r="B7842" s="37" t="str">
        <f t="array" ref="B7842">iferror(xlookup($I7842, 'IMPORT VHC Report'!$E:$E, 'IMPORT VHC Report'!$A:$C), )</f>
        <v/>
      </c>
      <c r="C7842" s="44"/>
      <c r="D7842" s="44"/>
      <c r="L7842" s="45"/>
      <c r="N7842" s="45"/>
    </row>
    <row r="7843">
      <c r="A7843" s="40" t="str">
        <f t="shared" si="1"/>
        <v/>
      </c>
      <c r="B7843" s="37" t="str">
        <f t="array" ref="B7843">iferror(xlookup($I7843, 'IMPORT VHC Report'!$E:$E, 'IMPORT VHC Report'!$A:$C), )</f>
        <v/>
      </c>
      <c r="C7843" s="44"/>
      <c r="D7843" s="44"/>
      <c r="L7843" s="45"/>
      <c r="N7843" s="45"/>
    </row>
    <row r="7844">
      <c r="A7844" s="40" t="str">
        <f t="shared" si="1"/>
        <v/>
      </c>
      <c r="B7844" s="37" t="str">
        <f t="array" ref="B7844">iferror(xlookup($I7844, 'IMPORT VHC Report'!$E:$E, 'IMPORT VHC Report'!$A:$C), )</f>
        <v/>
      </c>
      <c r="C7844" s="44"/>
      <c r="D7844" s="44"/>
      <c r="L7844" s="45"/>
      <c r="N7844" s="45"/>
    </row>
    <row r="7845">
      <c r="A7845" s="40" t="str">
        <f t="shared" si="1"/>
        <v/>
      </c>
      <c r="B7845" s="37" t="str">
        <f t="array" ref="B7845">iferror(xlookup($I7845, 'IMPORT VHC Report'!$E:$E, 'IMPORT VHC Report'!$A:$C), )</f>
        <v/>
      </c>
      <c r="C7845" s="44"/>
      <c r="D7845" s="44"/>
      <c r="L7845" s="45"/>
      <c r="N7845" s="45"/>
    </row>
    <row r="7846">
      <c r="A7846" s="40" t="str">
        <f t="shared" si="1"/>
        <v/>
      </c>
      <c r="B7846" s="37" t="str">
        <f t="array" ref="B7846">iferror(xlookup($I7846, 'IMPORT VHC Report'!$E:$E, 'IMPORT VHC Report'!$A:$C), )</f>
        <v/>
      </c>
      <c r="C7846" s="44"/>
      <c r="D7846" s="44"/>
      <c r="L7846" s="45"/>
      <c r="N7846" s="45"/>
    </row>
    <row r="7847">
      <c r="A7847" s="40" t="str">
        <f t="shared" si="1"/>
        <v/>
      </c>
      <c r="B7847" s="37" t="str">
        <f t="array" ref="B7847">iferror(xlookup($I7847, 'IMPORT VHC Report'!$E:$E, 'IMPORT VHC Report'!$A:$C), )</f>
        <v/>
      </c>
      <c r="C7847" s="44"/>
      <c r="D7847" s="44"/>
      <c r="L7847" s="45"/>
      <c r="N7847" s="45"/>
    </row>
    <row r="7848">
      <c r="A7848" s="40" t="str">
        <f t="shared" si="1"/>
        <v/>
      </c>
      <c r="B7848" s="37" t="str">
        <f t="array" ref="B7848">iferror(xlookup($I7848, 'IMPORT VHC Report'!$E:$E, 'IMPORT VHC Report'!$A:$C), )</f>
        <v/>
      </c>
      <c r="C7848" s="44"/>
      <c r="D7848" s="44"/>
      <c r="L7848" s="45"/>
      <c r="N7848" s="45"/>
    </row>
    <row r="7849">
      <c r="A7849" s="40" t="str">
        <f t="shared" si="1"/>
        <v/>
      </c>
      <c r="B7849" s="37" t="str">
        <f t="array" ref="B7849">iferror(xlookup($I7849, 'IMPORT VHC Report'!$E:$E, 'IMPORT VHC Report'!$A:$C), )</f>
        <v/>
      </c>
      <c r="C7849" s="44"/>
      <c r="D7849" s="44"/>
      <c r="L7849" s="45"/>
      <c r="N7849" s="45"/>
    </row>
    <row r="7850">
      <c r="A7850" s="40" t="str">
        <f t="shared" si="1"/>
        <v/>
      </c>
      <c r="B7850" s="37" t="str">
        <f t="array" ref="B7850">iferror(xlookup($I7850, 'IMPORT VHC Report'!$E:$E, 'IMPORT VHC Report'!$A:$C), )</f>
        <v/>
      </c>
      <c r="C7850" s="44"/>
      <c r="D7850" s="44"/>
      <c r="L7850" s="45"/>
      <c r="N7850" s="45"/>
    </row>
    <row r="7851">
      <c r="A7851" s="40" t="str">
        <f t="shared" si="1"/>
        <v/>
      </c>
      <c r="B7851" s="37" t="str">
        <f t="array" ref="B7851">iferror(xlookup($I7851, 'IMPORT VHC Report'!$E:$E, 'IMPORT VHC Report'!$A:$C), )</f>
        <v/>
      </c>
      <c r="C7851" s="44"/>
      <c r="D7851" s="44"/>
      <c r="L7851" s="45"/>
      <c r="N7851" s="45"/>
    </row>
    <row r="7852">
      <c r="A7852" s="40" t="str">
        <f t="shared" si="1"/>
        <v/>
      </c>
      <c r="B7852" s="37" t="str">
        <f t="array" ref="B7852">iferror(xlookup($I7852, 'IMPORT VHC Report'!$E:$E, 'IMPORT VHC Report'!$A:$C), )</f>
        <v/>
      </c>
      <c r="C7852" s="44"/>
      <c r="D7852" s="44"/>
      <c r="L7852" s="45"/>
      <c r="N7852" s="45"/>
    </row>
    <row r="7853">
      <c r="A7853" s="40" t="str">
        <f t="shared" si="1"/>
        <v/>
      </c>
      <c r="B7853" s="37" t="str">
        <f t="array" ref="B7853">iferror(xlookup($I7853, 'IMPORT VHC Report'!$E:$E, 'IMPORT VHC Report'!$A:$C), )</f>
        <v/>
      </c>
      <c r="C7853" s="44"/>
      <c r="D7853" s="44"/>
      <c r="L7853" s="45"/>
      <c r="N7853" s="45"/>
    </row>
    <row r="7854">
      <c r="A7854" s="40" t="str">
        <f t="shared" si="1"/>
        <v/>
      </c>
      <c r="B7854" s="37" t="str">
        <f t="array" ref="B7854">iferror(xlookup($I7854, 'IMPORT VHC Report'!$E:$E, 'IMPORT VHC Report'!$A:$C), )</f>
        <v/>
      </c>
      <c r="C7854" s="44"/>
      <c r="D7854" s="44"/>
      <c r="L7854" s="45"/>
      <c r="N7854" s="45"/>
    </row>
    <row r="7855">
      <c r="A7855" s="40" t="str">
        <f t="shared" si="1"/>
        <v/>
      </c>
      <c r="B7855" s="37" t="str">
        <f t="array" ref="B7855">iferror(xlookup($I7855, 'IMPORT VHC Report'!$E:$E, 'IMPORT VHC Report'!$A:$C), )</f>
        <v/>
      </c>
      <c r="C7855" s="44"/>
      <c r="D7855" s="44"/>
      <c r="L7855" s="45"/>
      <c r="N7855" s="45"/>
    </row>
    <row r="7856">
      <c r="A7856" s="40" t="str">
        <f t="shared" si="1"/>
        <v/>
      </c>
      <c r="B7856" s="37" t="str">
        <f t="array" ref="B7856">iferror(xlookup($I7856, 'IMPORT VHC Report'!$E:$E, 'IMPORT VHC Report'!$A:$C), )</f>
        <v/>
      </c>
      <c r="C7856" s="44"/>
      <c r="D7856" s="44"/>
      <c r="L7856" s="45"/>
      <c r="N7856" s="45"/>
    </row>
    <row r="7857">
      <c r="A7857" s="40" t="str">
        <f t="shared" si="1"/>
        <v/>
      </c>
      <c r="B7857" s="37" t="str">
        <f t="array" ref="B7857">iferror(xlookup($I7857, 'IMPORT VHC Report'!$E:$E, 'IMPORT VHC Report'!$A:$C), )</f>
        <v/>
      </c>
      <c r="C7857" s="44"/>
      <c r="D7857" s="44"/>
      <c r="L7857" s="45"/>
      <c r="N7857" s="45"/>
    </row>
    <row r="7858">
      <c r="A7858" s="40" t="str">
        <f t="shared" si="1"/>
        <v/>
      </c>
      <c r="B7858" s="37" t="str">
        <f t="array" ref="B7858">iferror(xlookup($I7858, 'IMPORT VHC Report'!$E:$E, 'IMPORT VHC Report'!$A:$C), )</f>
        <v/>
      </c>
      <c r="C7858" s="44"/>
      <c r="D7858" s="44"/>
      <c r="L7858" s="45"/>
      <c r="N7858" s="45"/>
    </row>
    <row r="7859">
      <c r="A7859" s="40" t="str">
        <f t="shared" si="1"/>
        <v/>
      </c>
      <c r="B7859" s="37" t="str">
        <f t="array" ref="B7859">iferror(xlookup($I7859, 'IMPORT VHC Report'!$E:$E, 'IMPORT VHC Report'!$A:$C), )</f>
        <v/>
      </c>
      <c r="C7859" s="44"/>
      <c r="D7859" s="44"/>
      <c r="L7859" s="45"/>
      <c r="N7859" s="45"/>
    </row>
    <row r="7860">
      <c r="A7860" s="40" t="str">
        <f t="shared" si="1"/>
        <v/>
      </c>
      <c r="B7860" s="37" t="str">
        <f t="array" ref="B7860">iferror(xlookup($I7860, 'IMPORT VHC Report'!$E:$E, 'IMPORT VHC Report'!$A:$C), )</f>
        <v/>
      </c>
      <c r="C7860" s="44"/>
      <c r="D7860" s="44"/>
      <c r="L7860" s="45"/>
      <c r="N7860" s="45"/>
    </row>
    <row r="7861">
      <c r="A7861" s="40" t="str">
        <f t="shared" si="1"/>
        <v/>
      </c>
      <c r="B7861" s="37" t="str">
        <f t="array" ref="B7861">iferror(xlookup($I7861, 'IMPORT VHC Report'!$E:$E, 'IMPORT VHC Report'!$A:$C), )</f>
        <v/>
      </c>
      <c r="C7861" s="44"/>
      <c r="D7861" s="44"/>
      <c r="L7861" s="45"/>
      <c r="N7861" s="45"/>
    </row>
    <row r="7862">
      <c r="A7862" s="40" t="str">
        <f t="shared" si="1"/>
        <v/>
      </c>
      <c r="B7862" s="37" t="str">
        <f t="array" ref="B7862">iferror(xlookup($I7862, 'IMPORT VHC Report'!$E:$E, 'IMPORT VHC Report'!$A:$C), )</f>
        <v/>
      </c>
      <c r="C7862" s="44"/>
      <c r="D7862" s="44"/>
      <c r="L7862" s="45"/>
      <c r="N7862" s="45"/>
    </row>
    <row r="7863">
      <c r="A7863" s="40" t="str">
        <f t="shared" si="1"/>
        <v/>
      </c>
      <c r="B7863" s="37" t="str">
        <f t="array" ref="B7863">iferror(xlookup($I7863, 'IMPORT VHC Report'!$E:$E, 'IMPORT VHC Report'!$A:$C), )</f>
        <v/>
      </c>
      <c r="C7863" s="44"/>
      <c r="D7863" s="44"/>
      <c r="L7863" s="45"/>
      <c r="N7863" s="45"/>
    </row>
    <row r="7864">
      <c r="A7864" s="40" t="str">
        <f t="shared" si="1"/>
        <v/>
      </c>
      <c r="B7864" s="37" t="str">
        <f t="array" ref="B7864">iferror(xlookup($I7864, 'IMPORT VHC Report'!$E:$E, 'IMPORT VHC Report'!$A:$C), )</f>
        <v/>
      </c>
      <c r="C7864" s="44"/>
      <c r="D7864" s="44"/>
      <c r="L7864" s="45"/>
      <c r="N7864" s="45"/>
    </row>
    <row r="7865">
      <c r="A7865" s="40" t="str">
        <f t="shared" si="1"/>
        <v/>
      </c>
      <c r="B7865" s="37" t="str">
        <f t="array" ref="B7865">iferror(xlookup($I7865, 'IMPORT VHC Report'!$E:$E, 'IMPORT VHC Report'!$A:$C), )</f>
        <v/>
      </c>
      <c r="C7865" s="44"/>
      <c r="D7865" s="44"/>
      <c r="L7865" s="45"/>
      <c r="N7865" s="45"/>
    </row>
    <row r="7866">
      <c r="A7866" s="40" t="str">
        <f t="shared" si="1"/>
        <v/>
      </c>
      <c r="B7866" s="37" t="str">
        <f t="array" ref="B7866">iferror(xlookup($I7866, 'IMPORT VHC Report'!$E:$E, 'IMPORT VHC Report'!$A:$C), )</f>
        <v/>
      </c>
      <c r="C7866" s="44"/>
      <c r="D7866" s="44"/>
      <c r="L7866" s="45"/>
      <c r="N7866" s="45"/>
    </row>
    <row r="7867">
      <c r="A7867" s="40" t="str">
        <f t="shared" si="1"/>
        <v/>
      </c>
      <c r="B7867" s="37" t="str">
        <f t="array" ref="B7867">iferror(xlookup($I7867, 'IMPORT VHC Report'!$E:$E, 'IMPORT VHC Report'!$A:$C), )</f>
        <v/>
      </c>
      <c r="C7867" s="44"/>
      <c r="D7867" s="44"/>
      <c r="L7867" s="45"/>
      <c r="N7867" s="45"/>
    </row>
    <row r="7868">
      <c r="A7868" s="40" t="str">
        <f t="shared" si="1"/>
        <v/>
      </c>
      <c r="B7868" s="37" t="str">
        <f t="array" ref="B7868">iferror(xlookup($I7868, 'IMPORT VHC Report'!$E:$E, 'IMPORT VHC Report'!$A:$C), )</f>
        <v/>
      </c>
      <c r="C7868" s="44"/>
      <c r="D7868" s="44"/>
      <c r="L7868" s="45"/>
      <c r="N7868" s="45"/>
    </row>
    <row r="7869">
      <c r="A7869" s="40" t="str">
        <f t="shared" si="1"/>
        <v/>
      </c>
      <c r="B7869" s="37" t="str">
        <f t="array" ref="B7869">iferror(xlookup($I7869, 'IMPORT VHC Report'!$E:$E, 'IMPORT VHC Report'!$A:$C), )</f>
        <v/>
      </c>
      <c r="C7869" s="44"/>
      <c r="D7869" s="44"/>
      <c r="L7869" s="45"/>
      <c r="N7869" s="45"/>
    </row>
    <row r="7870">
      <c r="A7870" s="40" t="str">
        <f t="shared" si="1"/>
        <v/>
      </c>
      <c r="B7870" s="37" t="str">
        <f t="array" ref="B7870">iferror(xlookup($I7870, 'IMPORT VHC Report'!$E:$E, 'IMPORT VHC Report'!$A:$C), )</f>
        <v/>
      </c>
      <c r="C7870" s="44"/>
      <c r="D7870" s="44"/>
      <c r="L7870" s="45"/>
      <c r="N7870" s="45"/>
    </row>
    <row r="7871">
      <c r="A7871" s="40" t="str">
        <f t="shared" si="1"/>
        <v/>
      </c>
      <c r="B7871" s="37" t="str">
        <f t="array" ref="B7871">iferror(xlookup($I7871, 'IMPORT VHC Report'!$E:$E, 'IMPORT VHC Report'!$A:$C), )</f>
        <v/>
      </c>
      <c r="C7871" s="44"/>
      <c r="D7871" s="44"/>
      <c r="L7871" s="45"/>
      <c r="N7871" s="45"/>
    </row>
    <row r="7872">
      <c r="A7872" s="40" t="str">
        <f t="shared" si="1"/>
        <v/>
      </c>
      <c r="B7872" s="37" t="str">
        <f t="array" ref="B7872">iferror(xlookup($I7872, 'IMPORT VHC Report'!$E:$E, 'IMPORT VHC Report'!$A:$C), )</f>
        <v/>
      </c>
      <c r="C7872" s="44"/>
      <c r="D7872" s="44"/>
      <c r="L7872" s="45"/>
      <c r="N7872" s="45"/>
    </row>
    <row r="7873">
      <c r="A7873" s="40" t="str">
        <f t="shared" si="1"/>
        <v/>
      </c>
      <c r="B7873" s="37" t="str">
        <f t="array" ref="B7873">iferror(xlookup($I7873, 'IMPORT VHC Report'!$E:$E, 'IMPORT VHC Report'!$A:$C), )</f>
        <v/>
      </c>
      <c r="C7873" s="44"/>
      <c r="D7873" s="44"/>
      <c r="L7873" s="45"/>
      <c r="N7873" s="45"/>
    </row>
    <row r="7874">
      <c r="A7874" s="40" t="str">
        <f t="shared" si="1"/>
        <v/>
      </c>
      <c r="B7874" s="37" t="str">
        <f t="array" ref="B7874">iferror(xlookup($I7874, 'IMPORT VHC Report'!$E:$E, 'IMPORT VHC Report'!$A:$C), )</f>
        <v/>
      </c>
      <c r="C7874" s="44"/>
      <c r="D7874" s="44"/>
      <c r="L7874" s="45"/>
      <c r="N7874" s="45"/>
    </row>
    <row r="7875">
      <c r="A7875" s="40" t="str">
        <f t="shared" si="1"/>
        <v/>
      </c>
      <c r="B7875" s="37" t="str">
        <f t="array" ref="B7875">iferror(xlookup($I7875, 'IMPORT VHC Report'!$E:$E, 'IMPORT VHC Report'!$A:$C), )</f>
        <v/>
      </c>
      <c r="C7875" s="44"/>
      <c r="D7875" s="44"/>
      <c r="L7875" s="45"/>
      <c r="N7875" s="45"/>
    </row>
    <row r="7876">
      <c r="A7876" s="40" t="str">
        <f t="shared" si="1"/>
        <v/>
      </c>
      <c r="B7876" s="37" t="str">
        <f t="array" ref="B7876">iferror(xlookup($I7876, 'IMPORT VHC Report'!$E:$E, 'IMPORT VHC Report'!$A:$C), )</f>
        <v/>
      </c>
      <c r="C7876" s="44"/>
      <c r="D7876" s="44"/>
      <c r="L7876" s="45"/>
      <c r="N7876" s="45"/>
    </row>
    <row r="7877">
      <c r="A7877" s="40" t="str">
        <f t="shared" si="1"/>
        <v/>
      </c>
      <c r="B7877" s="37" t="str">
        <f t="array" ref="B7877">iferror(xlookup($I7877, 'IMPORT VHC Report'!$E:$E, 'IMPORT VHC Report'!$A:$C), )</f>
        <v/>
      </c>
      <c r="C7877" s="44"/>
      <c r="D7877" s="44"/>
      <c r="L7877" s="45"/>
      <c r="N7877" s="45"/>
    </row>
    <row r="7878">
      <c r="A7878" s="40" t="str">
        <f t="shared" si="1"/>
        <v/>
      </c>
      <c r="B7878" s="37" t="str">
        <f t="array" ref="B7878">iferror(xlookup($I7878, 'IMPORT VHC Report'!$E:$E, 'IMPORT VHC Report'!$A:$C), )</f>
        <v/>
      </c>
      <c r="C7878" s="44"/>
      <c r="D7878" s="44"/>
      <c r="L7878" s="45"/>
      <c r="N7878" s="45"/>
    </row>
    <row r="7879">
      <c r="A7879" s="40" t="str">
        <f t="shared" si="1"/>
        <v/>
      </c>
      <c r="B7879" s="37" t="str">
        <f t="array" ref="B7879">iferror(xlookup($I7879, 'IMPORT VHC Report'!$E:$E, 'IMPORT VHC Report'!$A:$C), )</f>
        <v/>
      </c>
      <c r="C7879" s="44"/>
      <c r="D7879" s="44"/>
      <c r="L7879" s="45"/>
      <c r="N7879" s="45"/>
    </row>
    <row r="7880">
      <c r="A7880" s="40" t="str">
        <f t="shared" si="1"/>
        <v/>
      </c>
      <c r="B7880" s="37" t="str">
        <f t="array" ref="B7880">iferror(xlookup($I7880, 'IMPORT VHC Report'!$E:$E, 'IMPORT VHC Report'!$A:$C), )</f>
        <v/>
      </c>
      <c r="C7880" s="44"/>
      <c r="D7880" s="44"/>
      <c r="L7880" s="45"/>
      <c r="N7880" s="45"/>
    </row>
    <row r="7881">
      <c r="A7881" s="40" t="str">
        <f t="shared" si="1"/>
        <v/>
      </c>
      <c r="B7881" s="37" t="str">
        <f t="array" ref="B7881">iferror(xlookup($I7881, 'IMPORT VHC Report'!$E:$E, 'IMPORT VHC Report'!$A:$C), )</f>
        <v/>
      </c>
      <c r="C7881" s="44"/>
      <c r="D7881" s="44"/>
      <c r="L7881" s="45"/>
      <c r="N7881" s="45"/>
    </row>
    <row r="7882">
      <c r="A7882" s="40" t="str">
        <f t="shared" si="1"/>
        <v/>
      </c>
      <c r="B7882" s="37" t="str">
        <f t="array" ref="B7882">iferror(xlookup($I7882, 'IMPORT VHC Report'!$E:$E, 'IMPORT VHC Report'!$A:$C), )</f>
        <v/>
      </c>
      <c r="C7882" s="44"/>
      <c r="D7882" s="44"/>
      <c r="L7882" s="45"/>
      <c r="N7882" s="45"/>
    </row>
    <row r="7883">
      <c r="A7883" s="40" t="str">
        <f t="shared" si="1"/>
        <v/>
      </c>
      <c r="B7883" s="37" t="str">
        <f t="array" ref="B7883">iferror(xlookup($I7883, 'IMPORT VHC Report'!$E:$E, 'IMPORT VHC Report'!$A:$C), )</f>
        <v/>
      </c>
      <c r="C7883" s="44"/>
      <c r="D7883" s="44"/>
      <c r="L7883" s="45"/>
      <c r="N7883" s="45"/>
    </row>
    <row r="7884">
      <c r="A7884" s="40" t="str">
        <f t="shared" si="1"/>
        <v/>
      </c>
      <c r="B7884" s="37" t="str">
        <f t="array" ref="B7884">iferror(xlookup($I7884, 'IMPORT VHC Report'!$E:$E, 'IMPORT VHC Report'!$A:$C), )</f>
        <v/>
      </c>
      <c r="C7884" s="44"/>
      <c r="D7884" s="44"/>
      <c r="L7884" s="45"/>
      <c r="N7884" s="45"/>
    </row>
    <row r="7885">
      <c r="A7885" s="40" t="str">
        <f t="shared" si="1"/>
        <v/>
      </c>
      <c r="B7885" s="37" t="str">
        <f t="array" ref="B7885">iferror(xlookup($I7885, 'IMPORT VHC Report'!$E:$E, 'IMPORT VHC Report'!$A:$C), )</f>
        <v/>
      </c>
      <c r="C7885" s="44"/>
      <c r="D7885" s="44"/>
      <c r="L7885" s="45"/>
      <c r="N7885" s="45"/>
    </row>
    <row r="7886">
      <c r="A7886" s="40" t="str">
        <f t="shared" si="1"/>
        <v/>
      </c>
      <c r="B7886" s="37" t="str">
        <f t="array" ref="B7886">iferror(xlookup($I7886, 'IMPORT VHC Report'!$E:$E, 'IMPORT VHC Report'!$A:$C), )</f>
        <v/>
      </c>
      <c r="C7886" s="44"/>
      <c r="D7886" s="44"/>
      <c r="L7886" s="45"/>
      <c r="N7886" s="45"/>
    </row>
    <row r="7887">
      <c r="A7887" s="40" t="str">
        <f t="shared" si="1"/>
        <v/>
      </c>
      <c r="B7887" s="37" t="str">
        <f t="array" ref="B7887">iferror(xlookup($I7887, 'IMPORT VHC Report'!$E:$E, 'IMPORT VHC Report'!$A:$C), )</f>
        <v/>
      </c>
      <c r="C7887" s="44"/>
      <c r="D7887" s="44"/>
      <c r="L7887" s="45"/>
      <c r="N7887" s="45"/>
    </row>
    <row r="7888">
      <c r="A7888" s="40" t="str">
        <f t="shared" si="1"/>
        <v/>
      </c>
      <c r="B7888" s="37" t="str">
        <f t="array" ref="B7888">iferror(xlookup($I7888, 'IMPORT VHC Report'!$E:$E, 'IMPORT VHC Report'!$A:$C), )</f>
        <v/>
      </c>
      <c r="C7888" s="44"/>
      <c r="D7888" s="44"/>
      <c r="L7888" s="45"/>
      <c r="N7888" s="45"/>
    </row>
    <row r="7889">
      <c r="A7889" s="40" t="str">
        <f t="shared" si="1"/>
        <v/>
      </c>
      <c r="B7889" s="37" t="str">
        <f t="array" ref="B7889">iferror(xlookup($I7889, 'IMPORT VHC Report'!$E:$E, 'IMPORT VHC Report'!$A:$C), )</f>
        <v/>
      </c>
      <c r="C7889" s="44"/>
      <c r="D7889" s="44"/>
      <c r="L7889" s="45"/>
      <c r="N7889" s="45"/>
    </row>
    <row r="7890">
      <c r="A7890" s="40" t="str">
        <f t="shared" si="1"/>
        <v/>
      </c>
      <c r="B7890" s="37" t="str">
        <f t="array" ref="B7890">iferror(xlookup($I7890, 'IMPORT VHC Report'!$E:$E, 'IMPORT VHC Report'!$A:$C), )</f>
        <v/>
      </c>
      <c r="C7890" s="44"/>
      <c r="D7890" s="44"/>
      <c r="L7890" s="45"/>
      <c r="N7890" s="45"/>
    </row>
    <row r="7891">
      <c r="A7891" s="40" t="str">
        <f t="shared" si="1"/>
        <v/>
      </c>
      <c r="B7891" s="37" t="str">
        <f t="array" ref="B7891">iferror(xlookup($I7891, 'IMPORT VHC Report'!$E:$E, 'IMPORT VHC Report'!$A:$C), )</f>
        <v/>
      </c>
      <c r="C7891" s="44"/>
      <c r="D7891" s="44"/>
      <c r="L7891" s="45"/>
      <c r="N7891" s="45"/>
    </row>
    <row r="7892">
      <c r="A7892" s="40" t="str">
        <f t="shared" si="1"/>
        <v/>
      </c>
      <c r="B7892" s="37" t="str">
        <f t="array" ref="B7892">iferror(xlookup($I7892, 'IMPORT VHC Report'!$E:$E, 'IMPORT VHC Report'!$A:$C), )</f>
        <v/>
      </c>
      <c r="C7892" s="44"/>
      <c r="D7892" s="44"/>
      <c r="L7892" s="45"/>
      <c r="N7892" s="45"/>
    </row>
    <row r="7893">
      <c r="A7893" s="40" t="str">
        <f t="shared" si="1"/>
        <v/>
      </c>
      <c r="B7893" s="37" t="str">
        <f t="array" ref="B7893">iferror(xlookup($I7893, 'IMPORT VHC Report'!$E:$E, 'IMPORT VHC Report'!$A:$C), )</f>
        <v/>
      </c>
      <c r="C7893" s="44"/>
      <c r="D7893" s="44"/>
      <c r="L7893" s="45"/>
      <c r="N7893" s="45"/>
    </row>
    <row r="7894">
      <c r="A7894" s="40" t="str">
        <f t="shared" si="1"/>
        <v/>
      </c>
      <c r="B7894" s="37" t="str">
        <f t="array" ref="B7894">iferror(xlookup($I7894, 'IMPORT VHC Report'!$E:$E, 'IMPORT VHC Report'!$A:$C), )</f>
        <v/>
      </c>
      <c r="C7894" s="44"/>
      <c r="D7894" s="44"/>
      <c r="L7894" s="45"/>
      <c r="N7894" s="45"/>
    </row>
    <row r="7895">
      <c r="A7895" s="40" t="str">
        <f t="shared" si="1"/>
        <v/>
      </c>
      <c r="B7895" s="37" t="str">
        <f t="array" ref="B7895">iferror(xlookup($I7895, 'IMPORT VHC Report'!$E:$E, 'IMPORT VHC Report'!$A:$C), )</f>
        <v/>
      </c>
      <c r="C7895" s="44"/>
      <c r="D7895" s="44"/>
      <c r="L7895" s="45"/>
      <c r="N7895" s="45"/>
    </row>
    <row r="7896">
      <c r="A7896" s="40" t="str">
        <f t="shared" si="1"/>
        <v/>
      </c>
      <c r="B7896" s="37" t="str">
        <f t="array" ref="B7896">iferror(xlookup($I7896, 'IMPORT VHC Report'!$E:$E, 'IMPORT VHC Report'!$A:$C), )</f>
        <v/>
      </c>
      <c r="C7896" s="44"/>
      <c r="D7896" s="44"/>
      <c r="L7896" s="45"/>
      <c r="N7896" s="45"/>
    </row>
    <row r="7897">
      <c r="A7897" s="40" t="str">
        <f t="shared" si="1"/>
        <v/>
      </c>
      <c r="B7897" s="37" t="str">
        <f t="array" ref="B7897">iferror(xlookup($I7897, 'IMPORT VHC Report'!$E:$E, 'IMPORT VHC Report'!$A:$C), )</f>
        <v/>
      </c>
      <c r="C7897" s="44"/>
      <c r="D7897" s="44"/>
      <c r="L7897" s="45"/>
      <c r="N7897" s="45"/>
    </row>
    <row r="7898">
      <c r="A7898" s="40" t="str">
        <f t="shared" si="1"/>
        <v/>
      </c>
      <c r="B7898" s="37" t="str">
        <f t="array" ref="B7898">iferror(xlookup($I7898, 'IMPORT VHC Report'!$E:$E, 'IMPORT VHC Report'!$A:$C), )</f>
        <v/>
      </c>
      <c r="C7898" s="44"/>
      <c r="D7898" s="44"/>
      <c r="L7898" s="45"/>
      <c r="N7898" s="45"/>
    </row>
    <row r="7899">
      <c r="A7899" s="40" t="str">
        <f t="shared" si="1"/>
        <v/>
      </c>
      <c r="B7899" s="37" t="str">
        <f t="array" ref="B7899">iferror(xlookup($I7899, 'IMPORT VHC Report'!$E:$E, 'IMPORT VHC Report'!$A:$C), )</f>
        <v/>
      </c>
      <c r="C7899" s="44"/>
      <c r="D7899" s="44"/>
      <c r="L7899" s="45"/>
      <c r="N7899" s="45"/>
    </row>
    <row r="7900">
      <c r="A7900" s="40" t="str">
        <f t="shared" si="1"/>
        <v/>
      </c>
      <c r="B7900" s="37" t="str">
        <f t="array" ref="B7900">iferror(xlookup($I7900, 'IMPORT VHC Report'!$E:$E, 'IMPORT VHC Report'!$A:$C), )</f>
        <v/>
      </c>
      <c r="C7900" s="44"/>
      <c r="D7900" s="44"/>
      <c r="L7900" s="45"/>
      <c r="N7900" s="45"/>
    </row>
    <row r="7901">
      <c r="A7901" s="40" t="str">
        <f t="shared" si="1"/>
        <v/>
      </c>
      <c r="B7901" s="37" t="str">
        <f t="array" ref="B7901">iferror(xlookup($I7901, 'IMPORT VHC Report'!$E:$E, 'IMPORT VHC Report'!$A:$C), )</f>
        <v/>
      </c>
      <c r="C7901" s="44"/>
      <c r="D7901" s="44"/>
      <c r="L7901" s="45"/>
      <c r="N7901" s="45"/>
    </row>
    <row r="7902">
      <c r="A7902" s="40" t="str">
        <f t="shared" si="1"/>
        <v/>
      </c>
      <c r="B7902" s="37" t="str">
        <f t="array" ref="B7902">iferror(xlookup($I7902, 'IMPORT VHC Report'!$E:$E, 'IMPORT VHC Report'!$A:$C), )</f>
        <v/>
      </c>
      <c r="C7902" s="44"/>
      <c r="D7902" s="44"/>
      <c r="L7902" s="45"/>
      <c r="N7902" s="45"/>
    </row>
    <row r="7903">
      <c r="A7903" s="40" t="str">
        <f t="shared" si="1"/>
        <v/>
      </c>
      <c r="B7903" s="37" t="str">
        <f t="array" ref="B7903">iferror(xlookup($I7903, 'IMPORT VHC Report'!$E:$E, 'IMPORT VHC Report'!$A:$C), )</f>
        <v/>
      </c>
      <c r="C7903" s="44"/>
      <c r="D7903" s="44"/>
      <c r="L7903" s="45"/>
      <c r="N7903" s="45"/>
    </row>
    <row r="7904">
      <c r="A7904" s="40" t="str">
        <f t="shared" si="1"/>
        <v/>
      </c>
      <c r="B7904" s="37" t="str">
        <f t="array" ref="B7904">iferror(xlookup($I7904, 'IMPORT VHC Report'!$E:$E, 'IMPORT VHC Report'!$A:$C), )</f>
        <v/>
      </c>
      <c r="C7904" s="44"/>
      <c r="D7904" s="44"/>
      <c r="L7904" s="45"/>
      <c r="N7904" s="45"/>
    </row>
    <row r="7905">
      <c r="A7905" s="40" t="str">
        <f t="shared" si="1"/>
        <v/>
      </c>
      <c r="B7905" s="37" t="str">
        <f t="array" ref="B7905">iferror(xlookup($I7905, 'IMPORT VHC Report'!$E:$E, 'IMPORT VHC Report'!$A:$C), )</f>
        <v/>
      </c>
      <c r="C7905" s="44"/>
      <c r="D7905" s="44"/>
      <c r="L7905" s="45"/>
      <c r="N7905" s="45"/>
    </row>
    <row r="7906">
      <c r="A7906" s="40" t="str">
        <f t="shared" si="1"/>
        <v/>
      </c>
      <c r="B7906" s="37" t="str">
        <f t="array" ref="B7906">iferror(xlookup($I7906, 'IMPORT VHC Report'!$E:$E, 'IMPORT VHC Report'!$A:$C), )</f>
        <v/>
      </c>
      <c r="C7906" s="44"/>
      <c r="D7906" s="44"/>
      <c r="L7906" s="45"/>
      <c r="N7906" s="45"/>
    </row>
    <row r="7907">
      <c r="A7907" s="40" t="str">
        <f t="shared" si="1"/>
        <v/>
      </c>
      <c r="B7907" s="37" t="str">
        <f t="array" ref="B7907">iferror(xlookup($I7907, 'IMPORT VHC Report'!$E:$E, 'IMPORT VHC Report'!$A:$C), )</f>
        <v/>
      </c>
      <c r="C7907" s="44"/>
      <c r="D7907" s="44"/>
      <c r="L7907" s="45"/>
      <c r="N7907" s="45"/>
    </row>
    <row r="7908">
      <c r="A7908" s="40" t="str">
        <f t="shared" si="1"/>
        <v/>
      </c>
      <c r="B7908" s="37" t="str">
        <f t="array" ref="B7908">iferror(xlookup($I7908, 'IMPORT VHC Report'!$E:$E, 'IMPORT VHC Report'!$A:$C), )</f>
        <v/>
      </c>
      <c r="C7908" s="44"/>
      <c r="D7908" s="44"/>
      <c r="L7908" s="45"/>
      <c r="N7908" s="45"/>
    </row>
    <row r="7909">
      <c r="A7909" s="40" t="str">
        <f t="shared" si="1"/>
        <v/>
      </c>
      <c r="B7909" s="37" t="str">
        <f t="array" ref="B7909">iferror(xlookup($I7909, 'IMPORT VHC Report'!$E:$E, 'IMPORT VHC Report'!$A:$C), )</f>
        <v/>
      </c>
      <c r="C7909" s="44"/>
      <c r="D7909" s="44"/>
      <c r="L7909" s="45"/>
      <c r="N7909" s="45"/>
    </row>
    <row r="7910">
      <c r="A7910" s="40" t="str">
        <f t="shared" si="1"/>
        <v/>
      </c>
      <c r="B7910" s="37" t="str">
        <f t="array" ref="B7910">iferror(xlookup($I7910, 'IMPORT VHC Report'!$E:$E, 'IMPORT VHC Report'!$A:$C), )</f>
        <v/>
      </c>
      <c r="C7910" s="44"/>
      <c r="D7910" s="44"/>
      <c r="L7910" s="45"/>
      <c r="N7910" s="45"/>
    </row>
    <row r="7911">
      <c r="A7911" s="40" t="str">
        <f t="shared" si="1"/>
        <v/>
      </c>
      <c r="B7911" s="37" t="str">
        <f t="array" ref="B7911">iferror(xlookup($I7911, 'IMPORT VHC Report'!$E:$E, 'IMPORT VHC Report'!$A:$C), )</f>
        <v/>
      </c>
      <c r="C7911" s="44"/>
      <c r="D7911" s="44"/>
      <c r="L7911" s="45"/>
      <c r="N7911" s="45"/>
    </row>
    <row r="7912">
      <c r="A7912" s="40" t="str">
        <f t="shared" si="1"/>
        <v/>
      </c>
      <c r="B7912" s="37" t="str">
        <f t="array" ref="B7912">iferror(xlookup($I7912, 'IMPORT VHC Report'!$E:$E, 'IMPORT VHC Report'!$A:$C), )</f>
        <v/>
      </c>
      <c r="C7912" s="44"/>
      <c r="D7912" s="44"/>
      <c r="L7912" s="45"/>
      <c r="N7912" s="45"/>
    </row>
    <row r="7913">
      <c r="A7913" s="40" t="str">
        <f t="shared" si="1"/>
        <v/>
      </c>
      <c r="B7913" s="37" t="str">
        <f t="array" ref="B7913">iferror(xlookup($I7913, 'IMPORT VHC Report'!$E:$E, 'IMPORT VHC Report'!$A:$C), )</f>
        <v/>
      </c>
      <c r="C7913" s="44"/>
      <c r="D7913" s="44"/>
      <c r="L7913" s="45"/>
      <c r="N7913" s="45"/>
    </row>
    <row r="7914">
      <c r="A7914" s="40" t="str">
        <f t="shared" si="1"/>
        <v/>
      </c>
      <c r="B7914" s="37" t="str">
        <f t="array" ref="B7914">iferror(xlookup($I7914, 'IMPORT VHC Report'!$E:$E, 'IMPORT VHC Report'!$A:$C), )</f>
        <v/>
      </c>
      <c r="C7914" s="44"/>
      <c r="D7914" s="44"/>
      <c r="L7914" s="45"/>
      <c r="N7914" s="45"/>
    </row>
    <row r="7915">
      <c r="A7915" s="40" t="str">
        <f t="shared" si="1"/>
        <v/>
      </c>
      <c r="B7915" s="37" t="str">
        <f t="array" ref="B7915">iferror(xlookup($I7915, 'IMPORT VHC Report'!$E:$E, 'IMPORT VHC Report'!$A:$C), )</f>
        <v/>
      </c>
      <c r="C7915" s="44"/>
      <c r="D7915" s="44"/>
      <c r="L7915" s="45"/>
      <c r="N7915" s="45"/>
    </row>
    <row r="7916">
      <c r="A7916" s="40" t="str">
        <f t="shared" si="1"/>
        <v/>
      </c>
      <c r="B7916" s="37" t="str">
        <f t="array" ref="B7916">iferror(xlookup($I7916, 'IMPORT VHC Report'!$E:$E, 'IMPORT VHC Report'!$A:$C), )</f>
        <v/>
      </c>
      <c r="C7916" s="44"/>
      <c r="D7916" s="44"/>
      <c r="L7916" s="45"/>
      <c r="N7916" s="45"/>
    </row>
    <row r="7917">
      <c r="A7917" s="40" t="str">
        <f t="shared" si="1"/>
        <v/>
      </c>
      <c r="B7917" s="37" t="str">
        <f t="array" ref="B7917">iferror(xlookup($I7917, 'IMPORT VHC Report'!$E:$E, 'IMPORT VHC Report'!$A:$C), )</f>
        <v/>
      </c>
      <c r="C7917" s="44"/>
      <c r="D7917" s="44"/>
      <c r="L7917" s="45"/>
      <c r="N7917" s="45"/>
    </row>
    <row r="7918">
      <c r="A7918" s="40" t="str">
        <f t="shared" si="1"/>
        <v/>
      </c>
      <c r="B7918" s="37" t="str">
        <f t="array" ref="B7918">iferror(xlookup($I7918, 'IMPORT VHC Report'!$E:$E, 'IMPORT VHC Report'!$A:$C), )</f>
        <v/>
      </c>
      <c r="C7918" s="44"/>
      <c r="D7918" s="44"/>
      <c r="L7918" s="45"/>
      <c r="N7918" s="45"/>
    </row>
    <row r="7919">
      <c r="A7919" s="40" t="str">
        <f t="shared" si="1"/>
        <v/>
      </c>
      <c r="B7919" s="37" t="str">
        <f t="array" ref="B7919">iferror(xlookup($I7919, 'IMPORT VHC Report'!$E:$E, 'IMPORT VHC Report'!$A:$C), )</f>
        <v/>
      </c>
      <c r="C7919" s="44"/>
      <c r="D7919" s="44"/>
      <c r="L7919" s="45"/>
      <c r="N7919" s="45"/>
    </row>
    <row r="7920">
      <c r="A7920" s="40" t="str">
        <f t="shared" si="1"/>
        <v/>
      </c>
      <c r="B7920" s="37" t="str">
        <f t="array" ref="B7920">iferror(xlookup($I7920, 'IMPORT VHC Report'!$E:$E, 'IMPORT VHC Report'!$A:$C), )</f>
        <v/>
      </c>
      <c r="C7920" s="44"/>
      <c r="D7920" s="44"/>
      <c r="L7920" s="45"/>
      <c r="N7920" s="45"/>
    </row>
    <row r="7921">
      <c r="A7921" s="40" t="str">
        <f t="shared" si="1"/>
        <v/>
      </c>
      <c r="B7921" s="37" t="str">
        <f t="array" ref="B7921">iferror(xlookup($I7921, 'IMPORT VHC Report'!$E:$E, 'IMPORT VHC Report'!$A:$C), )</f>
        <v/>
      </c>
      <c r="C7921" s="44"/>
      <c r="D7921" s="44"/>
      <c r="L7921" s="45"/>
      <c r="N7921" s="45"/>
    </row>
    <row r="7922">
      <c r="A7922" s="40" t="str">
        <f t="shared" si="1"/>
        <v/>
      </c>
      <c r="B7922" s="37" t="str">
        <f t="array" ref="B7922">iferror(xlookup($I7922, 'IMPORT VHC Report'!$E:$E, 'IMPORT VHC Report'!$A:$C), )</f>
        <v/>
      </c>
      <c r="C7922" s="44"/>
      <c r="D7922" s="44"/>
      <c r="L7922" s="45"/>
      <c r="N7922" s="45"/>
    </row>
    <row r="7923">
      <c r="A7923" s="40" t="str">
        <f t="shared" si="1"/>
        <v/>
      </c>
      <c r="B7923" s="37" t="str">
        <f t="array" ref="B7923">iferror(xlookup($I7923, 'IMPORT VHC Report'!$E:$E, 'IMPORT VHC Report'!$A:$C), )</f>
        <v/>
      </c>
      <c r="C7923" s="44"/>
      <c r="D7923" s="44"/>
      <c r="L7923" s="45"/>
      <c r="N7923" s="45"/>
    </row>
    <row r="7924">
      <c r="A7924" s="40" t="str">
        <f t="shared" si="1"/>
        <v/>
      </c>
      <c r="B7924" s="37" t="str">
        <f t="array" ref="B7924">iferror(xlookup($I7924, 'IMPORT VHC Report'!$E:$E, 'IMPORT VHC Report'!$A:$C), )</f>
        <v/>
      </c>
      <c r="C7924" s="44"/>
      <c r="D7924" s="44"/>
      <c r="L7924" s="45"/>
      <c r="N7924" s="45"/>
    </row>
    <row r="7925">
      <c r="A7925" s="40" t="str">
        <f t="shared" si="1"/>
        <v/>
      </c>
      <c r="B7925" s="37" t="str">
        <f t="array" ref="B7925">iferror(xlookup($I7925, 'IMPORT VHC Report'!$E:$E, 'IMPORT VHC Report'!$A:$C), )</f>
        <v/>
      </c>
      <c r="C7925" s="44"/>
      <c r="D7925" s="44"/>
      <c r="L7925" s="45"/>
      <c r="N7925" s="45"/>
    </row>
    <row r="7926">
      <c r="A7926" s="40" t="str">
        <f t="shared" si="1"/>
        <v/>
      </c>
      <c r="B7926" s="37" t="str">
        <f t="array" ref="B7926">iferror(xlookup($I7926, 'IMPORT VHC Report'!$E:$E, 'IMPORT VHC Report'!$A:$C), )</f>
        <v/>
      </c>
      <c r="C7926" s="44"/>
      <c r="D7926" s="44"/>
      <c r="L7926" s="45"/>
      <c r="N7926" s="45"/>
    </row>
    <row r="7927">
      <c r="A7927" s="40" t="str">
        <f t="shared" si="1"/>
        <v/>
      </c>
      <c r="B7927" s="37" t="str">
        <f t="array" ref="B7927">iferror(xlookup($I7927, 'IMPORT VHC Report'!$E:$E, 'IMPORT VHC Report'!$A:$C), )</f>
        <v/>
      </c>
      <c r="C7927" s="44"/>
      <c r="D7927" s="44"/>
      <c r="L7927" s="45"/>
      <c r="N7927" s="45"/>
    </row>
    <row r="7928">
      <c r="A7928" s="40" t="str">
        <f t="shared" si="1"/>
        <v/>
      </c>
      <c r="B7928" s="37" t="str">
        <f t="array" ref="B7928">iferror(xlookup($I7928, 'IMPORT VHC Report'!$E:$E, 'IMPORT VHC Report'!$A:$C), )</f>
        <v/>
      </c>
      <c r="C7928" s="44"/>
      <c r="D7928" s="44"/>
      <c r="L7928" s="45"/>
      <c r="N7928" s="45"/>
    </row>
    <row r="7929">
      <c r="A7929" s="40" t="str">
        <f t="shared" si="1"/>
        <v/>
      </c>
      <c r="B7929" s="37" t="str">
        <f t="array" ref="B7929">iferror(xlookup($I7929, 'IMPORT VHC Report'!$E:$E, 'IMPORT VHC Report'!$A:$C), )</f>
        <v/>
      </c>
      <c r="C7929" s="44"/>
      <c r="D7929" s="44"/>
      <c r="L7929" s="45"/>
      <c r="N7929" s="45"/>
    </row>
    <row r="7930">
      <c r="A7930" s="40" t="str">
        <f t="shared" si="1"/>
        <v/>
      </c>
      <c r="B7930" s="37" t="str">
        <f t="array" ref="B7930">iferror(xlookup($I7930, 'IMPORT VHC Report'!$E:$E, 'IMPORT VHC Report'!$A:$C), )</f>
        <v/>
      </c>
      <c r="C7930" s="44"/>
      <c r="D7930" s="44"/>
      <c r="L7930" s="45"/>
      <c r="N7930" s="45"/>
    </row>
    <row r="7931">
      <c r="A7931" s="40" t="str">
        <f t="shared" si="1"/>
        <v/>
      </c>
      <c r="B7931" s="37" t="str">
        <f t="array" ref="B7931">iferror(xlookup($I7931, 'IMPORT VHC Report'!$E:$E, 'IMPORT VHC Report'!$A:$C), )</f>
        <v/>
      </c>
      <c r="C7931" s="44"/>
      <c r="D7931" s="44"/>
      <c r="L7931" s="45"/>
      <c r="N7931" s="45"/>
    </row>
    <row r="7932">
      <c r="A7932" s="40" t="str">
        <f t="shared" si="1"/>
        <v/>
      </c>
      <c r="B7932" s="37" t="str">
        <f t="array" ref="B7932">iferror(xlookup($I7932, 'IMPORT VHC Report'!$E:$E, 'IMPORT VHC Report'!$A:$C), )</f>
        <v/>
      </c>
      <c r="C7932" s="44"/>
      <c r="D7932" s="44"/>
      <c r="L7932" s="45"/>
      <c r="N7932" s="45"/>
    </row>
    <row r="7933">
      <c r="A7933" s="40" t="str">
        <f t="shared" si="1"/>
        <v/>
      </c>
      <c r="B7933" s="37" t="str">
        <f t="array" ref="B7933">iferror(xlookup($I7933, 'IMPORT VHC Report'!$E:$E, 'IMPORT VHC Report'!$A:$C), )</f>
        <v/>
      </c>
      <c r="C7933" s="44"/>
      <c r="D7933" s="44"/>
      <c r="L7933" s="45"/>
      <c r="N7933" s="45"/>
    </row>
    <row r="7934">
      <c r="A7934" s="40" t="str">
        <f t="shared" si="1"/>
        <v/>
      </c>
      <c r="B7934" s="37" t="str">
        <f t="array" ref="B7934">iferror(xlookup($I7934, 'IMPORT VHC Report'!$E:$E, 'IMPORT VHC Report'!$A:$C), )</f>
        <v/>
      </c>
      <c r="C7934" s="44"/>
      <c r="D7934" s="44"/>
      <c r="L7934" s="45"/>
      <c r="N7934" s="45"/>
    </row>
    <row r="7935">
      <c r="A7935" s="40" t="str">
        <f t="shared" si="1"/>
        <v/>
      </c>
      <c r="B7935" s="37" t="str">
        <f t="array" ref="B7935">iferror(xlookup($I7935, 'IMPORT VHC Report'!$E:$E, 'IMPORT VHC Report'!$A:$C), )</f>
        <v/>
      </c>
      <c r="C7935" s="44"/>
      <c r="D7935" s="44"/>
      <c r="L7935" s="45"/>
      <c r="N7935" s="45"/>
    </row>
    <row r="7936">
      <c r="A7936" s="40" t="str">
        <f t="shared" si="1"/>
        <v/>
      </c>
      <c r="B7936" s="37" t="str">
        <f t="array" ref="B7936">iferror(xlookup($I7936, 'IMPORT VHC Report'!$E:$E, 'IMPORT VHC Report'!$A:$C), )</f>
        <v/>
      </c>
      <c r="C7936" s="44"/>
      <c r="D7936" s="44"/>
      <c r="L7936" s="45"/>
      <c r="N7936" s="45"/>
    </row>
    <row r="7937">
      <c r="A7937" s="40" t="str">
        <f t="shared" si="1"/>
        <v/>
      </c>
      <c r="B7937" s="37" t="str">
        <f t="array" ref="B7937">iferror(xlookup($I7937, 'IMPORT VHC Report'!$E:$E, 'IMPORT VHC Report'!$A:$C), )</f>
        <v/>
      </c>
      <c r="C7937" s="44"/>
      <c r="D7937" s="44"/>
      <c r="L7937" s="45"/>
      <c r="N7937" s="45"/>
    </row>
    <row r="7938">
      <c r="A7938" s="40" t="str">
        <f t="shared" si="1"/>
        <v/>
      </c>
      <c r="B7938" s="37" t="str">
        <f t="array" ref="B7938">iferror(xlookup($I7938, 'IMPORT VHC Report'!$E:$E, 'IMPORT VHC Report'!$A:$C), )</f>
        <v/>
      </c>
      <c r="C7938" s="44"/>
      <c r="D7938" s="44"/>
      <c r="L7938" s="45"/>
      <c r="N7938" s="45"/>
    </row>
    <row r="7939">
      <c r="A7939" s="40" t="str">
        <f t="shared" si="1"/>
        <v/>
      </c>
      <c r="B7939" s="37" t="str">
        <f t="array" ref="B7939">iferror(xlookup($I7939, 'IMPORT VHC Report'!$E:$E, 'IMPORT VHC Report'!$A:$C), )</f>
        <v/>
      </c>
      <c r="C7939" s="44"/>
      <c r="D7939" s="44"/>
      <c r="L7939" s="45"/>
      <c r="N7939" s="45"/>
    </row>
    <row r="7940">
      <c r="A7940" s="40" t="str">
        <f t="shared" si="1"/>
        <v/>
      </c>
      <c r="B7940" s="37" t="str">
        <f t="array" ref="B7940">iferror(xlookup($I7940, 'IMPORT VHC Report'!$E:$E, 'IMPORT VHC Report'!$A:$C), )</f>
        <v/>
      </c>
      <c r="C7940" s="44"/>
      <c r="D7940" s="44"/>
      <c r="L7940" s="45"/>
      <c r="N7940" s="45"/>
    </row>
    <row r="7941">
      <c r="A7941" s="40" t="str">
        <f t="shared" si="1"/>
        <v/>
      </c>
      <c r="B7941" s="37" t="str">
        <f t="array" ref="B7941">iferror(xlookup($I7941, 'IMPORT VHC Report'!$E:$E, 'IMPORT VHC Report'!$A:$C), )</f>
        <v/>
      </c>
      <c r="C7941" s="44"/>
      <c r="D7941" s="44"/>
      <c r="L7941" s="45"/>
      <c r="N7941" s="45"/>
    </row>
    <row r="7942">
      <c r="A7942" s="40" t="str">
        <f t="shared" si="1"/>
        <v/>
      </c>
      <c r="B7942" s="37" t="str">
        <f t="array" ref="B7942">iferror(xlookup($I7942, 'IMPORT VHC Report'!$E:$E, 'IMPORT VHC Report'!$A:$C), )</f>
        <v/>
      </c>
      <c r="C7942" s="44"/>
      <c r="D7942" s="44"/>
      <c r="L7942" s="45"/>
      <c r="N7942" s="45"/>
    </row>
    <row r="7943">
      <c r="A7943" s="40" t="str">
        <f t="shared" si="1"/>
        <v/>
      </c>
      <c r="B7943" s="37" t="str">
        <f t="array" ref="B7943">iferror(xlookup($I7943, 'IMPORT VHC Report'!$E:$E, 'IMPORT VHC Report'!$A:$C), )</f>
        <v/>
      </c>
      <c r="C7943" s="44"/>
      <c r="D7943" s="44"/>
      <c r="L7943" s="45"/>
      <c r="N7943" s="45"/>
    </row>
    <row r="7944">
      <c r="A7944" s="40" t="str">
        <f t="shared" si="1"/>
        <v/>
      </c>
      <c r="B7944" s="37" t="str">
        <f t="array" ref="B7944">iferror(xlookup($I7944, 'IMPORT VHC Report'!$E:$E, 'IMPORT VHC Report'!$A:$C), )</f>
        <v/>
      </c>
      <c r="C7944" s="44"/>
      <c r="D7944" s="44"/>
      <c r="L7944" s="45"/>
      <c r="N7944" s="45"/>
    </row>
    <row r="7945">
      <c r="A7945" s="40" t="str">
        <f t="shared" si="1"/>
        <v/>
      </c>
      <c r="B7945" s="37" t="str">
        <f t="array" ref="B7945">iferror(xlookup($I7945, 'IMPORT VHC Report'!$E:$E, 'IMPORT VHC Report'!$A:$C), )</f>
        <v/>
      </c>
      <c r="C7945" s="44"/>
      <c r="D7945" s="44"/>
      <c r="L7945" s="45"/>
      <c r="N7945" s="45"/>
    </row>
    <row r="7946">
      <c r="A7946" s="40" t="str">
        <f t="shared" si="1"/>
        <v/>
      </c>
      <c r="B7946" s="37" t="str">
        <f t="array" ref="B7946">iferror(xlookup($I7946, 'IMPORT VHC Report'!$E:$E, 'IMPORT VHC Report'!$A:$C), )</f>
        <v/>
      </c>
      <c r="C7946" s="44"/>
      <c r="D7946" s="44"/>
      <c r="L7946" s="45"/>
      <c r="N7946" s="45"/>
    </row>
    <row r="7947">
      <c r="A7947" s="40" t="str">
        <f t="shared" si="1"/>
        <v/>
      </c>
      <c r="B7947" s="37" t="str">
        <f t="array" ref="B7947">iferror(xlookup($I7947, 'IMPORT VHC Report'!$E:$E, 'IMPORT VHC Report'!$A:$C), )</f>
        <v/>
      </c>
      <c r="C7947" s="44"/>
      <c r="D7947" s="44"/>
      <c r="L7947" s="45"/>
      <c r="N7947" s="45"/>
    </row>
    <row r="7948">
      <c r="A7948" s="40" t="str">
        <f t="shared" si="1"/>
        <v/>
      </c>
      <c r="B7948" s="37" t="str">
        <f t="array" ref="B7948">iferror(xlookup($I7948, 'IMPORT VHC Report'!$E:$E, 'IMPORT VHC Report'!$A:$C), )</f>
        <v/>
      </c>
      <c r="C7948" s="44"/>
      <c r="D7948" s="44"/>
      <c r="L7948" s="45"/>
      <c r="N7948" s="45"/>
    </row>
    <row r="7949">
      <c r="A7949" s="40" t="str">
        <f t="shared" si="1"/>
        <v/>
      </c>
      <c r="B7949" s="37" t="str">
        <f t="array" ref="B7949">iferror(xlookup($I7949, 'IMPORT VHC Report'!$E:$E, 'IMPORT VHC Report'!$A:$C), )</f>
        <v/>
      </c>
      <c r="C7949" s="44"/>
      <c r="D7949" s="44"/>
      <c r="L7949" s="45"/>
      <c r="N7949" s="45"/>
    </row>
    <row r="7950">
      <c r="A7950" s="40" t="str">
        <f t="shared" si="1"/>
        <v/>
      </c>
      <c r="B7950" s="37" t="str">
        <f t="array" ref="B7950">iferror(xlookup($I7950, 'IMPORT VHC Report'!$E:$E, 'IMPORT VHC Report'!$A:$C), )</f>
        <v/>
      </c>
      <c r="C7950" s="44"/>
      <c r="D7950" s="44"/>
      <c r="L7950" s="45"/>
      <c r="N7950" s="45"/>
    </row>
    <row r="7951">
      <c r="A7951" s="40" t="str">
        <f t="shared" si="1"/>
        <v/>
      </c>
      <c r="B7951" s="37" t="str">
        <f t="array" ref="B7951">iferror(xlookup($I7951, 'IMPORT VHC Report'!$E:$E, 'IMPORT VHC Report'!$A:$C), )</f>
        <v/>
      </c>
      <c r="C7951" s="44"/>
      <c r="D7951" s="44"/>
      <c r="L7951" s="45"/>
      <c r="N7951" s="45"/>
    </row>
    <row r="7952">
      <c r="A7952" s="40" t="str">
        <f t="shared" si="1"/>
        <v/>
      </c>
      <c r="B7952" s="37" t="str">
        <f t="array" ref="B7952">iferror(xlookup($I7952, 'IMPORT VHC Report'!$E:$E, 'IMPORT VHC Report'!$A:$C), )</f>
        <v/>
      </c>
      <c r="C7952" s="44"/>
      <c r="D7952" s="44"/>
      <c r="L7952" s="45"/>
      <c r="N7952" s="45"/>
    </row>
    <row r="7953">
      <c r="A7953" s="40" t="str">
        <f t="shared" si="1"/>
        <v/>
      </c>
      <c r="B7953" s="37" t="str">
        <f t="array" ref="B7953">iferror(xlookup($I7953, 'IMPORT VHC Report'!$E:$E, 'IMPORT VHC Report'!$A:$C), )</f>
        <v/>
      </c>
      <c r="C7953" s="44"/>
      <c r="D7953" s="44"/>
      <c r="L7953" s="45"/>
      <c r="N7953" s="45"/>
    </row>
    <row r="7954">
      <c r="A7954" s="40" t="str">
        <f t="shared" si="1"/>
        <v/>
      </c>
      <c r="B7954" s="37" t="str">
        <f t="array" ref="B7954">iferror(xlookup($I7954, 'IMPORT VHC Report'!$E:$E, 'IMPORT VHC Report'!$A:$C), )</f>
        <v/>
      </c>
      <c r="C7954" s="44"/>
      <c r="D7954" s="44"/>
      <c r="L7954" s="45"/>
      <c r="N7954" s="45"/>
    </row>
    <row r="7955">
      <c r="A7955" s="40" t="str">
        <f t="shared" si="1"/>
        <v/>
      </c>
      <c r="B7955" s="37" t="str">
        <f t="array" ref="B7955">iferror(xlookup($I7955, 'IMPORT VHC Report'!$E:$E, 'IMPORT VHC Report'!$A:$C), )</f>
        <v/>
      </c>
      <c r="C7955" s="44"/>
      <c r="D7955" s="44"/>
      <c r="L7955" s="45"/>
      <c r="N7955" s="45"/>
    </row>
    <row r="7956">
      <c r="A7956" s="40" t="str">
        <f t="shared" si="1"/>
        <v/>
      </c>
      <c r="B7956" s="37" t="str">
        <f t="array" ref="B7956">iferror(xlookup($I7956, 'IMPORT VHC Report'!$E:$E, 'IMPORT VHC Report'!$A:$C), )</f>
        <v/>
      </c>
      <c r="C7956" s="44"/>
      <c r="D7956" s="44"/>
      <c r="L7956" s="45"/>
      <c r="N7956" s="45"/>
    </row>
    <row r="7957">
      <c r="A7957" s="40" t="str">
        <f t="shared" si="1"/>
        <v/>
      </c>
      <c r="B7957" s="37" t="str">
        <f t="array" ref="B7957">iferror(xlookup($I7957, 'IMPORT VHC Report'!$E:$E, 'IMPORT VHC Report'!$A:$C), )</f>
        <v/>
      </c>
      <c r="C7957" s="44"/>
      <c r="D7957" s="44"/>
      <c r="L7957" s="45"/>
      <c r="N7957" s="45"/>
    </row>
    <row r="7958">
      <c r="A7958" s="40" t="str">
        <f t="shared" si="1"/>
        <v/>
      </c>
      <c r="B7958" s="37" t="str">
        <f t="array" ref="B7958">iferror(xlookup($I7958, 'IMPORT VHC Report'!$E:$E, 'IMPORT VHC Report'!$A:$C), )</f>
        <v/>
      </c>
      <c r="C7958" s="44"/>
      <c r="D7958" s="44"/>
      <c r="L7958" s="45"/>
      <c r="N7958" s="45"/>
    </row>
    <row r="7959">
      <c r="A7959" s="40" t="str">
        <f t="shared" si="1"/>
        <v/>
      </c>
      <c r="B7959" s="37" t="str">
        <f t="array" ref="B7959">iferror(xlookup($I7959, 'IMPORT VHC Report'!$E:$E, 'IMPORT VHC Report'!$A:$C), )</f>
        <v/>
      </c>
      <c r="C7959" s="44"/>
      <c r="D7959" s="44"/>
      <c r="L7959" s="45"/>
      <c r="N7959" s="45"/>
    </row>
    <row r="7960">
      <c r="A7960" s="40" t="str">
        <f t="shared" si="1"/>
        <v/>
      </c>
      <c r="B7960" s="37" t="str">
        <f t="array" ref="B7960">iferror(xlookup($I7960, 'IMPORT VHC Report'!$E:$E, 'IMPORT VHC Report'!$A:$C), )</f>
        <v/>
      </c>
      <c r="C7960" s="44"/>
      <c r="D7960" s="44"/>
      <c r="L7960" s="45"/>
      <c r="N7960" s="45"/>
    </row>
    <row r="7961">
      <c r="A7961" s="40" t="str">
        <f t="shared" si="1"/>
        <v/>
      </c>
      <c r="B7961" s="37" t="str">
        <f t="array" ref="B7961">iferror(xlookup($I7961, 'IMPORT VHC Report'!$E:$E, 'IMPORT VHC Report'!$A:$C), )</f>
        <v/>
      </c>
      <c r="C7961" s="44"/>
      <c r="D7961" s="44"/>
      <c r="L7961" s="45"/>
      <c r="N7961" s="45"/>
    </row>
    <row r="7962">
      <c r="A7962" s="40" t="str">
        <f t="shared" si="1"/>
        <v/>
      </c>
      <c r="B7962" s="37" t="str">
        <f t="array" ref="B7962">iferror(xlookup($I7962, 'IMPORT VHC Report'!$E:$E, 'IMPORT VHC Report'!$A:$C), )</f>
        <v/>
      </c>
      <c r="C7962" s="44"/>
      <c r="D7962" s="44"/>
      <c r="L7962" s="45"/>
      <c r="N7962" s="45"/>
    </row>
    <row r="7963">
      <c r="A7963" s="40" t="str">
        <f t="shared" si="1"/>
        <v/>
      </c>
      <c r="B7963" s="37" t="str">
        <f t="array" ref="B7963">iferror(xlookup($I7963, 'IMPORT VHC Report'!$E:$E, 'IMPORT VHC Report'!$A:$C), )</f>
        <v/>
      </c>
      <c r="C7963" s="44"/>
      <c r="D7963" s="44"/>
      <c r="L7963" s="45"/>
      <c r="N7963" s="45"/>
    </row>
    <row r="7964">
      <c r="A7964" s="40" t="str">
        <f t="shared" si="1"/>
        <v/>
      </c>
      <c r="B7964" s="37" t="str">
        <f t="array" ref="B7964">iferror(xlookup($I7964, 'IMPORT VHC Report'!$E:$E, 'IMPORT VHC Report'!$A:$C), )</f>
        <v/>
      </c>
      <c r="C7964" s="44"/>
      <c r="D7964" s="44"/>
      <c r="L7964" s="45"/>
      <c r="N7964" s="45"/>
    </row>
    <row r="7965">
      <c r="A7965" s="40" t="str">
        <f t="shared" si="1"/>
        <v/>
      </c>
      <c r="B7965" s="37" t="str">
        <f t="array" ref="B7965">iferror(xlookup($I7965, 'IMPORT VHC Report'!$E:$E, 'IMPORT VHC Report'!$A:$C), )</f>
        <v/>
      </c>
      <c r="C7965" s="44"/>
      <c r="D7965" s="44"/>
      <c r="L7965" s="45"/>
      <c r="N7965" s="45"/>
    </row>
    <row r="7966">
      <c r="A7966" s="40" t="str">
        <f t="shared" si="1"/>
        <v/>
      </c>
      <c r="B7966" s="37" t="str">
        <f t="array" ref="B7966">iferror(xlookup($I7966, 'IMPORT VHC Report'!$E:$E, 'IMPORT VHC Report'!$A:$C), )</f>
        <v/>
      </c>
      <c r="C7966" s="44"/>
      <c r="D7966" s="44"/>
      <c r="L7966" s="45"/>
      <c r="N7966" s="45"/>
    </row>
    <row r="7967">
      <c r="A7967" s="40" t="str">
        <f t="shared" si="1"/>
        <v/>
      </c>
      <c r="B7967" s="37" t="str">
        <f t="array" ref="B7967">iferror(xlookup($I7967, 'IMPORT VHC Report'!$E:$E, 'IMPORT VHC Report'!$A:$C), )</f>
        <v/>
      </c>
      <c r="C7967" s="44"/>
      <c r="D7967" s="44"/>
      <c r="L7967" s="45"/>
      <c r="N7967" s="45"/>
    </row>
    <row r="7968">
      <c r="A7968" s="40" t="str">
        <f t="shared" si="1"/>
        <v/>
      </c>
      <c r="B7968" s="37" t="str">
        <f t="array" ref="B7968">iferror(xlookup($I7968, 'IMPORT VHC Report'!$E:$E, 'IMPORT VHC Report'!$A:$C), )</f>
        <v/>
      </c>
      <c r="C7968" s="44"/>
      <c r="D7968" s="44"/>
      <c r="L7968" s="45"/>
      <c r="N7968" s="45"/>
    </row>
    <row r="7969">
      <c r="A7969" s="40" t="str">
        <f t="shared" si="1"/>
        <v/>
      </c>
      <c r="B7969" s="37" t="str">
        <f t="array" ref="B7969">iferror(xlookup($I7969, 'IMPORT VHC Report'!$E:$E, 'IMPORT VHC Report'!$A:$C), )</f>
        <v/>
      </c>
      <c r="C7969" s="44"/>
      <c r="D7969" s="44"/>
      <c r="L7969" s="45"/>
      <c r="N7969" s="45"/>
    </row>
    <row r="7970">
      <c r="A7970" s="40" t="str">
        <f t="shared" si="1"/>
        <v/>
      </c>
      <c r="B7970" s="37" t="str">
        <f t="array" ref="B7970">iferror(xlookup($I7970, 'IMPORT VHC Report'!$E:$E, 'IMPORT VHC Report'!$A:$C), )</f>
        <v/>
      </c>
      <c r="C7970" s="44"/>
      <c r="D7970" s="44"/>
      <c r="L7970" s="45"/>
      <c r="N7970" s="45"/>
    </row>
    <row r="7971">
      <c r="A7971" s="40" t="str">
        <f t="shared" si="1"/>
        <v/>
      </c>
      <c r="B7971" s="37" t="str">
        <f t="array" ref="B7971">iferror(xlookup($I7971, 'IMPORT VHC Report'!$E:$E, 'IMPORT VHC Report'!$A:$C), )</f>
        <v/>
      </c>
      <c r="C7971" s="44"/>
      <c r="D7971" s="44"/>
      <c r="L7971" s="45"/>
      <c r="N7971" s="45"/>
    </row>
    <row r="7972">
      <c r="A7972" s="40" t="str">
        <f t="shared" si="1"/>
        <v/>
      </c>
      <c r="B7972" s="37" t="str">
        <f t="array" ref="B7972">iferror(xlookup($I7972, 'IMPORT VHC Report'!$E:$E, 'IMPORT VHC Report'!$A:$C), )</f>
        <v/>
      </c>
      <c r="C7972" s="44"/>
      <c r="D7972" s="44"/>
      <c r="L7972" s="45"/>
      <c r="N7972" s="45"/>
    </row>
    <row r="7973">
      <c r="A7973" s="40" t="str">
        <f t="shared" si="1"/>
        <v/>
      </c>
      <c r="B7973" s="37" t="str">
        <f t="array" ref="B7973">iferror(xlookup($I7973, 'IMPORT VHC Report'!$E:$E, 'IMPORT VHC Report'!$A:$C), )</f>
        <v/>
      </c>
      <c r="C7973" s="44"/>
      <c r="D7973" s="44"/>
      <c r="L7973" s="45"/>
      <c r="N7973" s="45"/>
    </row>
    <row r="7974">
      <c r="A7974" s="40" t="str">
        <f t="shared" si="1"/>
        <v/>
      </c>
      <c r="B7974" s="37" t="str">
        <f t="array" ref="B7974">iferror(xlookup($I7974, 'IMPORT VHC Report'!$E:$E, 'IMPORT VHC Report'!$A:$C), )</f>
        <v/>
      </c>
      <c r="C7974" s="44"/>
      <c r="D7974" s="44"/>
      <c r="L7974" s="45"/>
      <c r="N7974" s="45"/>
    </row>
    <row r="7975">
      <c r="A7975" s="40" t="str">
        <f t="shared" si="1"/>
        <v/>
      </c>
      <c r="B7975" s="37" t="str">
        <f t="array" ref="B7975">iferror(xlookup($I7975, 'IMPORT VHC Report'!$E:$E, 'IMPORT VHC Report'!$A:$C), )</f>
        <v/>
      </c>
      <c r="C7975" s="44"/>
      <c r="D7975" s="44"/>
      <c r="L7975" s="45"/>
      <c r="N7975" s="45"/>
    </row>
    <row r="7976">
      <c r="A7976" s="40" t="str">
        <f t="shared" si="1"/>
        <v/>
      </c>
      <c r="B7976" s="37" t="str">
        <f t="array" ref="B7976">iferror(xlookup($I7976, 'IMPORT VHC Report'!$E:$E, 'IMPORT VHC Report'!$A:$C), )</f>
        <v/>
      </c>
      <c r="C7976" s="44"/>
      <c r="D7976" s="44"/>
      <c r="L7976" s="45"/>
      <c r="N7976" s="45"/>
    </row>
    <row r="7977">
      <c r="A7977" s="40" t="str">
        <f t="shared" si="1"/>
        <v/>
      </c>
      <c r="B7977" s="37" t="str">
        <f t="array" ref="B7977">iferror(xlookup($I7977, 'IMPORT VHC Report'!$E:$E, 'IMPORT VHC Report'!$A:$C), )</f>
        <v/>
      </c>
      <c r="C7977" s="44"/>
      <c r="D7977" s="44"/>
      <c r="L7977" s="45"/>
      <c r="N7977" s="45"/>
    </row>
    <row r="7978">
      <c r="A7978" s="40" t="str">
        <f t="shared" si="1"/>
        <v/>
      </c>
      <c r="B7978" s="37" t="str">
        <f t="array" ref="B7978">iferror(xlookup($I7978, 'IMPORT VHC Report'!$E:$E, 'IMPORT VHC Report'!$A:$C), )</f>
        <v/>
      </c>
      <c r="C7978" s="44"/>
      <c r="D7978" s="44"/>
      <c r="L7978" s="45"/>
      <c r="N7978" s="45"/>
    </row>
    <row r="7979">
      <c r="A7979" s="40" t="str">
        <f t="shared" si="1"/>
        <v/>
      </c>
      <c r="B7979" s="37" t="str">
        <f t="array" ref="B7979">iferror(xlookup($I7979, 'IMPORT VHC Report'!$E:$E, 'IMPORT VHC Report'!$A:$C), )</f>
        <v/>
      </c>
      <c r="C7979" s="44"/>
      <c r="D7979" s="44"/>
      <c r="L7979" s="45"/>
      <c r="N7979" s="45"/>
    </row>
    <row r="7980">
      <c r="A7980" s="40" t="str">
        <f t="shared" si="1"/>
        <v/>
      </c>
      <c r="B7980" s="37" t="str">
        <f t="array" ref="B7980">iferror(xlookup($I7980, 'IMPORT VHC Report'!$E:$E, 'IMPORT VHC Report'!$A:$C), )</f>
        <v/>
      </c>
      <c r="C7980" s="44"/>
      <c r="D7980" s="44"/>
      <c r="L7980" s="45"/>
      <c r="N7980" s="45"/>
    </row>
    <row r="7981">
      <c r="A7981" s="40" t="str">
        <f t="shared" si="1"/>
        <v/>
      </c>
      <c r="B7981" s="37" t="str">
        <f t="array" ref="B7981">iferror(xlookup($I7981, 'IMPORT VHC Report'!$E:$E, 'IMPORT VHC Report'!$A:$C), )</f>
        <v/>
      </c>
      <c r="C7981" s="44"/>
      <c r="D7981" s="44"/>
      <c r="L7981" s="45"/>
      <c r="N7981" s="45"/>
    </row>
    <row r="7982">
      <c r="A7982" s="40" t="str">
        <f t="shared" si="1"/>
        <v/>
      </c>
      <c r="B7982" s="37" t="str">
        <f t="array" ref="B7982">iferror(xlookup($I7982, 'IMPORT VHC Report'!$E:$E, 'IMPORT VHC Report'!$A:$C), )</f>
        <v/>
      </c>
      <c r="C7982" s="44"/>
      <c r="D7982" s="44"/>
      <c r="L7982" s="45"/>
      <c r="N7982" s="45"/>
    </row>
    <row r="7983">
      <c r="A7983" s="40" t="str">
        <f t="shared" si="1"/>
        <v/>
      </c>
      <c r="B7983" s="37" t="str">
        <f t="array" ref="B7983">iferror(xlookup($I7983, 'IMPORT VHC Report'!$E:$E, 'IMPORT VHC Report'!$A:$C), )</f>
        <v/>
      </c>
      <c r="C7983" s="44"/>
      <c r="D7983" s="44"/>
      <c r="L7983" s="45"/>
      <c r="N7983" s="45"/>
    </row>
    <row r="7984">
      <c r="A7984" s="40" t="str">
        <f t="shared" si="1"/>
        <v/>
      </c>
      <c r="B7984" s="37" t="str">
        <f t="array" ref="B7984">iferror(xlookup($I7984, 'IMPORT VHC Report'!$E:$E, 'IMPORT VHC Report'!$A:$C), )</f>
        <v/>
      </c>
      <c r="C7984" s="44"/>
      <c r="D7984" s="44"/>
      <c r="L7984" s="45"/>
      <c r="N7984" s="45"/>
    </row>
    <row r="7985">
      <c r="A7985" s="40" t="str">
        <f t="shared" si="1"/>
        <v/>
      </c>
      <c r="B7985" s="37" t="str">
        <f t="array" ref="B7985">iferror(xlookup($I7985, 'IMPORT VHC Report'!$E:$E, 'IMPORT VHC Report'!$A:$C), )</f>
        <v/>
      </c>
      <c r="C7985" s="44"/>
      <c r="D7985" s="44"/>
      <c r="L7985" s="45"/>
      <c r="N7985" s="45"/>
    </row>
    <row r="7986">
      <c r="A7986" s="40" t="str">
        <f t="shared" si="1"/>
        <v/>
      </c>
      <c r="B7986" s="37" t="str">
        <f t="array" ref="B7986">iferror(xlookup($I7986, 'IMPORT VHC Report'!$E:$E, 'IMPORT VHC Report'!$A:$C), )</f>
        <v/>
      </c>
      <c r="C7986" s="44"/>
      <c r="D7986" s="44"/>
      <c r="L7986" s="45"/>
      <c r="N7986" s="45"/>
    </row>
    <row r="7987">
      <c r="A7987" s="40" t="str">
        <f t="shared" si="1"/>
        <v/>
      </c>
      <c r="B7987" s="37" t="str">
        <f t="array" ref="B7987">iferror(xlookup($I7987, 'IMPORT VHC Report'!$E:$E, 'IMPORT VHC Report'!$A:$C), )</f>
        <v/>
      </c>
      <c r="C7987" s="44"/>
      <c r="D7987" s="44"/>
      <c r="L7987" s="45"/>
      <c r="N7987" s="45"/>
    </row>
    <row r="7988">
      <c r="A7988" s="40" t="str">
        <f t="shared" si="1"/>
        <v/>
      </c>
      <c r="B7988" s="37" t="str">
        <f t="array" ref="B7988">iferror(xlookup($I7988, 'IMPORT VHC Report'!$E:$E, 'IMPORT VHC Report'!$A:$C), )</f>
        <v/>
      </c>
      <c r="C7988" s="44"/>
      <c r="D7988" s="44"/>
      <c r="L7988" s="45"/>
      <c r="N7988" s="45"/>
    </row>
    <row r="7989">
      <c r="A7989" s="40" t="str">
        <f t="shared" si="1"/>
        <v/>
      </c>
      <c r="B7989" s="37" t="str">
        <f t="array" ref="B7989">iferror(xlookup($I7989, 'IMPORT VHC Report'!$E:$E, 'IMPORT VHC Report'!$A:$C), )</f>
        <v/>
      </c>
      <c r="C7989" s="44"/>
      <c r="D7989" s="44"/>
      <c r="L7989" s="45"/>
      <c r="N7989" s="45"/>
    </row>
    <row r="7990">
      <c r="A7990" s="40" t="str">
        <f t="shared" si="1"/>
        <v/>
      </c>
      <c r="B7990" s="37" t="str">
        <f t="array" ref="B7990">iferror(xlookup($I7990, 'IMPORT VHC Report'!$E:$E, 'IMPORT VHC Report'!$A:$C), )</f>
        <v/>
      </c>
      <c r="C7990" s="44"/>
      <c r="D7990" s="44"/>
      <c r="L7990" s="45"/>
      <c r="N7990" s="45"/>
    </row>
    <row r="7991">
      <c r="A7991" s="40" t="str">
        <f t="shared" si="1"/>
        <v/>
      </c>
      <c r="B7991" s="37" t="str">
        <f t="array" ref="B7991">iferror(xlookup($I7991, 'IMPORT VHC Report'!$E:$E, 'IMPORT VHC Report'!$A:$C), )</f>
        <v/>
      </c>
      <c r="C7991" s="44"/>
      <c r="D7991" s="44"/>
      <c r="L7991" s="45"/>
      <c r="N7991" s="45"/>
    </row>
    <row r="7992">
      <c r="A7992" s="40" t="str">
        <f t="shared" si="1"/>
        <v/>
      </c>
      <c r="B7992" s="37" t="str">
        <f t="array" ref="B7992">iferror(xlookup($I7992, 'IMPORT VHC Report'!$E:$E, 'IMPORT VHC Report'!$A:$C), )</f>
        <v/>
      </c>
      <c r="C7992" s="44"/>
      <c r="D7992" s="44"/>
      <c r="L7992" s="45"/>
      <c r="N7992" s="45"/>
    </row>
    <row r="7993">
      <c r="A7993" s="40" t="str">
        <f t="shared" si="1"/>
        <v/>
      </c>
      <c r="B7993" s="37" t="str">
        <f t="array" ref="B7993">iferror(xlookup($I7993, 'IMPORT VHC Report'!$E:$E, 'IMPORT VHC Report'!$A:$C), )</f>
        <v/>
      </c>
      <c r="C7993" s="44"/>
      <c r="D7993" s="44"/>
      <c r="L7993" s="45"/>
      <c r="N7993" s="45"/>
    </row>
    <row r="7994">
      <c r="A7994" s="40" t="str">
        <f t="shared" si="1"/>
        <v/>
      </c>
      <c r="B7994" s="37" t="str">
        <f t="array" ref="B7994">iferror(xlookup($I7994, 'IMPORT VHC Report'!$E:$E, 'IMPORT VHC Report'!$A:$C), )</f>
        <v/>
      </c>
      <c r="C7994" s="44"/>
      <c r="D7994" s="44"/>
      <c r="L7994" s="45"/>
      <c r="N7994" s="45"/>
    </row>
    <row r="7995">
      <c r="A7995" s="40" t="str">
        <f t="shared" si="1"/>
        <v/>
      </c>
      <c r="B7995" s="37" t="str">
        <f t="array" ref="B7995">iferror(xlookup($I7995, 'IMPORT VHC Report'!$E:$E, 'IMPORT VHC Report'!$A:$C), )</f>
        <v/>
      </c>
      <c r="C7995" s="44"/>
      <c r="D7995" s="44"/>
      <c r="L7995" s="45"/>
      <c r="N7995" s="45"/>
    </row>
    <row r="7996">
      <c r="A7996" s="40" t="str">
        <f t="shared" si="1"/>
        <v/>
      </c>
      <c r="B7996" s="37" t="str">
        <f t="array" ref="B7996">iferror(xlookup($I7996, 'IMPORT VHC Report'!$E:$E, 'IMPORT VHC Report'!$A:$C), )</f>
        <v/>
      </c>
      <c r="C7996" s="44"/>
      <c r="D7996" s="44"/>
      <c r="L7996" s="45"/>
      <c r="N7996" s="45"/>
    </row>
    <row r="7997">
      <c r="A7997" s="40" t="str">
        <f t="shared" si="1"/>
        <v/>
      </c>
      <c r="B7997" s="37" t="str">
        <f t="array" ref="B7997">iferror(xlookup($I7997, 'IMPORT VHC Report'!$E:$E, 'IMPORT VHC Report'!$A:$C), )</f>
        <v/>
      </c>
      <c r="C7997" s="44"/>
      <c r="D7997" s="44"/>
      <c r="L7997" s="45"/>
      <c r="N7997" s="45"/>
    </row>
    <row r="7998">
      <c r="A7998" s="40" t="str">
        <f t="shared" si="1"/>
        <v/>
      </c>
      <c r="B7998" s="37" t="str">
        <f t="array" ref="B7998">iferror(xlookup($I7998, 'IMPORT VHC Report'!$E:$E, 'IMPORT VHC Report'!$A:$C), )</f>
        <v/>
      </c>
      <c r="C7998" s="44"/>
      <c r="D7998" s="44"/>
      <c r="L7998" s="45"/>
      <c r="N7998" s="45"/>
    </row>
    <row r="7999">
      <c r="A7999" s="40" t="str">
        <f t="shared" si="1"/>
        <v/>
      </c>
      <c r="B7999" s="37" t="str">
        <f t="array" ref="B7999">iferror(xlookup($I7999, 'IMPORT VHC Report'!$E:$E, 'IMPORT VHC Report'!$A:$C), )</f>
        <v/>
      </c>
      <c r="C7999" s="44"/>
      <c r="D7999" s="44"/>
      <c r="L7999" s="45"/>
      <c r="N7999" s="45"/>
    </row>
    <row r="8000">
      <c r="A8000" s="40" t="str">
        <f t="shared" si="1"/>
        <v/>
      </c>
      <c r="B8000" s="37" t="str">
        <f t="array" ref="B8000">iferror(xlookup($I8000, 'IMPORT VHC Report'!$E:$E, 'IMPORT VHC Report'!$A:$C), )</f>
        <v/>
      </c>
      <c r="C8000" s="44"/>
      <c r="D8000" s="44"/>
      <c r="L8000" s="45"/>
      <c r="N8000" s="45"/>
    </row>
    <row r="8001">
      <c r="A8001" s="40" t="str">
        <f t="shared" si="1"/>
        <v/>
      </c>
      <c r="B8001" s="37" t="str">
        <f t="array" ref="B8001">iferror(xlookup($I8001, 'IMPORT VHC Report'!$E:$E, 'IMPORT VHC Report'!$A:$C), )</f>
        <v/>
      </c>
      <c r="C8001" s="44"/>
      <c r="D8001" s="44"/>
      <c r="L8001" s="45"/>
      <c r="N8001" s="45"/>
    </row>
    <row r="8002">
      <c r="A8002" s="40" t="str">
        <f t="shared" si="1"/>
        <v/>
      </c>
      <c r="B8002" s="37" t="str">
        <f t="array" ref="B8002">iferror(xlookup($I8002, 'IMPORT VHC Report'!$E:$E, 'IMPORT VHC Report'!$A:$C), )</f>
        <v/>
      </c>
      <c r="C8002" s="44"/>
      <c r="D8002" s="44"/>
      <c r="L8002" s="45"/>
      <c r="N8002" s="45"/>
    </row>
    <row r="8003">
      <c r="A8003" s="40" t="str">
        <f t="shared" si="1"/>
        <v/>
      </c>
      <c r="B8003" s="37" t="str">
        <f t="array" ref="B8003">iferror(xlookup($I8003, 'IMPORT VHC Report'!$E:$E, 'IMPORT VHC Report'!$A:$C), )</f>
        <v/>
      </c>
      <c r="C8003" s="44"/>
      <c r="D8003" s="44"/>
      <c r="L8003" s="45"/>
      <c r="N8003" s="45"/>
    </row>
    <row r="8004">
      <c r="A8004" s="40" t="str">
        <f t="shared" si="1"/>
        <v/>
      </c>
      <c r="B8004" s="37" t="str">
        <f t="array" ref="B8004">iferror(xlookup($I8004, 'IMPORT VHC Report'!$E:$E, 'IMPORT VHC Report'!$A:$C), )</f>
        <v/>
      </c>
      <c r="C8004" s="44"/>
      <c r="D8004" s="44"/>
      <c r="L8004" s="45"/>
      <c r="N8004" s="45"/>
    </row>
    <row r="8005">
      <c r="A8005" s="40" t="str">
        <f t="shared" si="1"/>
        <v/>
      </c>
      <c r="B8005" s="37" t="str">
        <f t="array" ref="B8005">iferror(xlookup($I8005, 'IMPORT VHC Report'!$E:$E, 'IMPORT VHC Report'!$A:$C), )</f>
        <v/>
      </c>
      <c r="C8005" s="44"/>
      <c r="D8005" s="44"/>
      <c r="L8005" s="45"/>
      <c r="N8005" s="45"/>
    </row>
    <row r="8006">
      <c r="A8006" s="40" t="str">
        <f t="shared" si="1"/>
        <v/>
      </c>
      <c r="B8006" s="37" t="str">
        <f t="array" ref="B8006">iferror(xlookup($I8006, 'IMPORT VHC Report'!$E:$E, 'IMPORT VHC Report'!$A:$C), )</f>
        <v/>
      </c>
      <c r="C8006" s="44"/>
      <c r="D8006" s="44"/>
      <c r="L8006" s="45"/>
      <c r="N8006" s="45"/>
    </row>
    <row r="8007">
      <c r="A8007" s="40" t="str">
        <f t="shared" si="1"/>
        <v/>
      </c>
      <c r="B8007" s="37" t="str">
        <f t="array" ref="B8007">iferror(xlookup($I8007, 'IMPORT VHC Report'!$E:$E, 'IMPORT VHC Report'!$A:$C), )</f>
        <v/>
      </c>
      <c r="C8007" s="44"/>
      <c r="D8007" s="44"/>
      <c r="L8007" s="45"/>
      <c r="N8007" s="45"/>
    </row>
    <row r="8008">
      <c r="A8008" s="40" t="str">
        <f t="shared" si="1"/>
        <v/>
      </c>
      <c r="B8008" s="37" t="str">
        <f t="array" ref="B8008">iferror(xlookup($I8008, 'IMPORT VHC Report'!$E:$E, 'IMPORT VHC Report'!$A:$C), )</f>
        <v/>
      </c>
      <c r="C8008" s="44"/>
      <c r="D8008" s="44"/>
      <c r="L8008" s="45"/>
      <c r="N8008" s="45"/>
    </row>
    <row r="8009">
      <c r="A8009" s="40" t="str">
        <f t="shared" si="1"/>
        <v/>
      </c>
      <c r="B8009" s="37" t="str">
        <f t="array" ref="B8009">iferror(xlookup($I8009, 'IMPORT VHC Report'!$E:$E, 'IMPORT VHC Report'!$A:$C), )</f>
        <v/>
      </c>
      <c r="C8009" s="44"/>
      <c r="D8009" s="44"/>
      <c r="L8009" s="45"/>
      <c r="N8009" s="45"/>
    </row>
    <row r="8010">
      <c r="A8010" s="40" t="str">
        <f t="shared" si="1"/>
        <v/>
      </c>
      <c r="B8010" s="37" t="str">
        <f t="array" ref="B8010">iferror(xlookup($I8010, 'IMPORT VHC Report'!$E:$E, 'IMPORT VHC Report'!$A:$C), )</f>
        <v/>
      </c>
      <c r="C8010" s="44"/>
      <c r="D8010" s="44"/>
      <c r="L8010" s="45"/>
      <c r="N8010" s="45"/>
    </row>
    <row r="8011">
      <c r="A8011" s="40" t="str">
        <f t="shared" si="1"/>
        <v/>
      </c>
      <c r="B8011" s="37" t="str">
        <f t="array" ref="B8011">iferror(xlookup($I8011, 'IMPORT VHC Report'!$E:$E, 'IMPORT VHC Report'!$A:$C), )</f>
        <v/>
      </c>
      <c r="C8011" s="44"/>
      <c r="D8011" s="44"/>
      <c r="L8011" s="45"/>
      <c r="N8011" s="45"/>
    </row>
    <row r="8012">
      <c r="A8012" s="40" t="str">
        <f t="shared" si="1"/>
        <v/>
      </c>
      <c r="B8012" s="37" t="str">
        <f t="array" ref="B8012">iferror(xlookup($I8012, 'IMPORT VHC Report'!$E:$E, 'IMPORT VHC Report'!$A:$C), )</f>
        <v/>
      </c>
      <c r="C8012" s="44"/>
      <c r="D8012" s="44"/>
      <c r="L8012" s="45"/>
      <c r="N8012" s="45"/>
    </row>
    <row r="8013">
      <c r="A8013" s="40" t="str">
        <f t="shared" si="1"/>
        <v/>
      </c>
      <c r="B8013" s="37" t="str">
        <f t="array" ref="B8013">iferror(xlookup($I8013, 'IMPORT VHC Report'!$E:$E, 'IMPORT VHC Report'!$A:$C), )</f>
        <v/>
      </c>
      <c r="C8013" s="44"/>
      <c r="D8013" s="44"/>
      <c r="L8013" s="45"/>
      <c r="N8013" s="45"/>
    </row>
    <row r="8014">
      <c r="A8014" s="40" t="str">
        <f t="shared" si="1"/>
        <v/>
      </c>
      <c r="B8014" s="37" t="str">
        <f t="array" ref="B8014">iferror(xlookup($I8014, 'IMPORT VHC Report'!$E:$E, 'IMPORT VHC Report'!$A:$C), )</f>
        <v/>
      </c>
      <c r="C8014" s="44"/>
      <c r="D8014" s="44"/>
      <c r="L8014" s="45"/>
      <c r="N8014" s="45"/>
    </row>
    <row r="8015">
      <c r="A8015" s="40" t="str">
        <f t="shared" si="1"/>
        <v/>
      </c>
      <c r="B8015" s="37" t="str">
        <f t="array" ref="B8015">iferror(xlookup($I8015, 'IMPORT VHC Report'!$E:$E, 'IMPORT VHC Report'!$A:$C), )</f>
        <v/>
      </c>
      <c r="C8015" s="44"/>
      <c r="D8015" s="44"/>
      <c r="L8015" s="45"/>
      <c r="N8015" s="45"/>
    </row>
    <row r="8016">
      <c r="A8016" s="40" t="str">
        <f t="shared" si="1"/>
        <v/>
      </c>
      <c r="B8016" s="37" t="str">
        <f t="array" ref="B8016">iferror(xlookup($I8016, 'IMPORT VHC Report'!$E:$E, 'IMPORT VHC Report'!$A:$C), )</f>
        <v/>
      </c>
      <c r="C8016" s="44"/>
      <c r="D8016" s="44"/>
      <c r="L8016" s="45"/>
      <c r="N8016" s="45"/>
    </row>
    <row r="8017">
      <c r="A8017" s="40" t="str">
        <f t="shared" si="1"/>
        <v/>
      </c>
      <c r="B8017" s="37" t="str">
        <f t="array" ref="B8017">iferror(xlookup($I8017, 'IMPORT VHC Report'!$E:$E, 'IMPORT VHC Report'!$A:$C), )</f>
        <v/>
      </c>
      <c r="C8017" s="44"/>
      <c r="D8017" s="44"/>
      <c r="L8017" s="45"/>
      <c r="N8017" s="45"/>
    </row>
    <row r="8018">
      <c r="A8018" s="40" t="str">
        <f t="shared" si="1"/>
        <v/>
      </c>
      <c r="B8018" s="37" t="str">
        <f t="array" ref="B8018">iferror(xlookup($I8018, 'IMPORT VHC Report'!$E:$E, 'IMPORT VHC Report'!$A:$C), )</f>
        <v/>
      </c>
      <c r="C8018" s="44"/>
      <c r="D8018" s="44"/>
      <c r="L8018" s="45"/>
      <c r="N8018" s="45"/>
    </row>
    <row r="8019">
      <c r="A8019" s="40" t="str">
        <f t="shared" si="1"/>
        <v/>
      </c>
      <c r="B8019" s="37" t="str">
        <f t="array" ref="B8019">iferror(xlookup($I8019, 'IMPORT VHC Report'!$E:$E, 'IMPORT VHC Report'!$A:$C), )</f>
        <v/>
      </c>
      <c r="C8019" s="44"/>
      <c r="D8019" s="44"/>
      <c r="L8019" s="45"/>
      <c r="N8019" s="45"/>
    </row>
    <row r="8020">
      <c r="A8020" s="40" t="str">
        <f t="shared" si="1"/>
        <v/>
      </c>
      <c r="B8020" s="37" t="str">
        <f t="array" ref="B8020">iferror(xlookup($I8020, 'IMPORT VHC Report'!$E:$E, 'IMPORT VHC Report'!$A:$C), )</f>
        <v/>
      </c>
      <c r="C8020" s="44"/>
      <c r="D8020" s="44"/>
      <c r="L8020" s="45"/>
      <c r="N8020" s="45"/>
    </row>
    <row r="8021">
      <c r="A8021" s="40" t="str">
        <f t="shared" si="1"/>
        <v/>
      </c>
      <c r="B8021" s="37" t="str">
        <f t="array" ref="B8021">iferror(xlookup($I8021, 'IMPORT VHC Report'!$E:$E, 'IMPORT VHC Report'!$A:$C), )</f>
        <v/>
      </c>
      <c r="C8021" s="44"/>
      <c r="D8021" s="44"/>
      <c r="L8021" s="45"/>
      <c r="N8021" s="45"/>
    </row>
    <row r="8022">
      <c r="A8022" s="40" t="str">
        <f t="shared" si="1"/>
        <v/>
      </c>
      <c r="B8022" s="37" t="str">
        <f t="array" ref="B8022">iferror(xlookup($I8022, 'IMPORT VHC Report'!$E:$E, 'IMPORT VHC Report'!$A:$C), )</f>
        <v/>
      </c>
      <c r="C8022" s="44"/>
      <c r="D8022" s="44"/>
      <c r="L8022" s="45"/>
      <c r="N8022" s="45"/>
    </row>
    <row r="8023">
      <c r="A8023" s="40" t="str">
        <f t="shared" si="1"/>
        <v/>
      </c>
      <c r="B8023" s="37" t="str">
        <f t="array" ref="B8023">iferror(xlookup($I8023, 'IMPORT VHC Report'!$E:$E, 'IMPORT VHC Report'!$A:$C), )</f>
        <v/>
      </c>
      <c r="C8023" s="44"/>
      <c r="D8023" s="44"/>
      <c r="L8023" s="45"/>
      <c r="N8023" s="45"/>
    </row>
    <row r="8024">
      <c r="A8024" s="40" t="str">
        <f t="shared" si="1"/>
        <v/>
      </c>
      <c r="B8024" s="37" t="str">
        <f t="array" ref="B8024">iferror(xlookup($I8024, 'IMPORT VHC Report'!$E:$E, 'IMPORT VHC Report'!$A:$C), )</f>
        <v/>
      </c>
      <c r="C8024" s="44"/>
      <c r="D8024" s="44"/>
      <c r="L8024" s="45"/>
      <c r="N8024" s="45"/>
    </row>
    <row r="8025">
      <c r="A8025" s="40" t="str">
        <f t="shared" si="1"/>
        <v/>
      </c>
      <c r="B8025" s="37" t="str">
        <f t="array" ref="B8025">iferror(xlookup($I8025, 'IMPORT VHC Report'!$E:$E, 'IMPORT VHC Report'!$A:$C), )</f>
        <v/>
      </c>
      <c r="C8025" s="44"/>
      <c r="D8025" s="44"/>
      <c r="L8025" s="45"/>
      <c r="N8025" s="45"/>
    </row>
    <row r="8026">
      <c r="A8026" s="40" t="str">
        <f t="shared" si="1"/>
        <v/>
      </c>
      <c r="B8026" s="37" t="str">
        <f t="array" ref="B8026">iferror(xlookup($I8026, 'IMPORT VHC Report'!$E:$E, 'IMPORT VHC Report'!$A:$C), )</f>
        <v/>
      </c>
      <c r="C8026" s="44"/>
      <c r="D8026" s="44"/>
      <c r="L8026" s="45"/>
      <c r="N8026" s="45"/>
    </row>
    <row r="8027">
      <c r="A8027" s="40" t="str">
        <f t="shared" si="1"/>
        <v/>
      </c>
      <c r="B8027" s="37" t="str">
        <f t="array" ref="B8027">iferror(xlookup($I8027, 'IMPORT VHC Report'!$E:$E, 'IMPORT VHC Report'!$A:$C), )</f>
        <v/>
      </c>
      <c r="C8027" s="44"/>
      <c r="D8027" s="44"/>
      <c r="L8027" s="45"/>
      <c r="N8027" s="45"/>
    </row>
    <row r="8028">
      <c r="A8028" s="40" t="str">
        <f t="shared" si="1"/>
        <v/>
      </c>
      <c r="B8028" s="37" t="str">
        <f t="array" ref="B8028">iferror(xlookup($I8028, 'IMPORT VHC Report'!$E:$E, 'IMPORT VHC Report'!$A:$C), )</f>
        <v/>
      </c>
      <c r="C8028" s="44"/>
      <c r="D8028" s="44"/>
      <c r="L8028" s="45"/>
      <c r="N8028" s="45"/>
    </row>
    <row r="8029">
      <c r="A8029" s="40" t="str">
        <f t="shared" si="1"/>
        <v/>
      </c>
      <c r="B8029" s="37" t="str">
        <f t="array" ref="B8029">iferror(xlookup($I8029, 'IMPORT VHC Report'!$E:$E, 'IMPORT VHC Report'!$A:$C), )</f>
        <v/>
      </c>
      <c r="C8029" s="44"/>
      <c r="D8029" s="44"/>
      <c r="L8029" s="45"/>
      <c r="N8029" s="45"/>
    </row>
    <row r="8030">
      <c r="A8030" s="40" t="str">
        <f t="shared" si="1"/>
        <v/>
      </c>
      <c r="B8030" s="37" t="str">
        <f t="array" ref="B8030">iferror(xlookup($I8030, 'IMPORT VHC Report'!$E:$E, 'IMPORT VHC Report'!$A:$C), )</f>
        <v/>
      </c>
      <c r="C8030" s="44"/>
      <c r="D8030" s="44"/>
      <c r="L8030" s="45"/>
      <c r="N8030" s="45"/>
    </row>
    <row r="8031">
      <c r="A8031" s="40" t="str">
        <f t="shared" si="1"/>
        <v/>
      </c>
      <c r="B8031" s="37" t="str">
        <f t="array" ref="B8031">iferror(xlookup($I8031, 'IMPORT VHC Report'!$E:$E, 'IMPORT VHC Report'!$A:$C), )</f>
        <v/>
      </c>
      <c r="C8031" s="44"/>
      <c r="D8031" s="44"/>
      <c r="L8031" s="45"/>
      <c r="N8031" s="45"/>
    </row>
    <row r="8032">
      <c r="A8032" s="40" t="str">
        <f t="shared" si="1"/>
        <v/>
      </c>
      <c r="B8032" s="37" t="str">
        <f t="array" ref="B8032">iferror(xlookup($I8032, 'IMPORT VHC Report'!$E:$E, 'IMPORT VHC Report'!$A:$C), )</f>
        <v/>
      </c>
      <c r="C8032" s="44"/>
      <c r="D8032" s="44"/>
      <c r="L8032" s="45"/>
      <c r="N8032" s="45"/>
    </row>
    <row r="8033">
      <c r="A8033" s="40" t="str">
        <f t="shared" si="1"/>
        <v/>
      </c>
      <c r="B8033" s="37" t="str">
        <f t="array" ref="B8033">iferror(xlookup($I8033, 'IMPORT VHC Report'!$E:$E, 'IMPORT VHC Report'!$A:$C), )</f>
        <v/>
      </c>
      <c r="C8033" s="44"/>
      <c r="D8033" s="44"/>
      <c r="L8033" s="45"/>
      <c r="N8033" s="45"/>
    </row>
    <row r="8034">
      <c r="A8034" s="40" t="str">
        <f t="shared" si="1"/>
        <v/>
      </c>
      <c r="B8034" s="37" t="str">
        <f t="array" ref="B8034">iferror(xlookup($I8034, 'IMPORT VHC Report'!$E:$E, 'IMPORT VHC Report'!$A:$C), )</f>
        <v/>
      </c>
      <c r="C8034" s="44"/>
      <c r="D8034" s="44"/>
      <c r="L8034" s="45"/>
      <c r="N8034" s="45"/>
    </row>
    <row r="8035">
      <c r="A8035" s="40" t="str">
        <f t="shared" si="1"/>
        <v/>
      </c>
      <c r="B8035" s="37" t="str">
        <f t="array" ref="B8035">iferror(xlookup($I8035, 'IMPORT VHC Report'!$E:$E, 'IMPORT VHC Report'!$A:$C), )</f>
        <v/>
      </c>
      <c r="C8035" s="44"/>
      <c r="D8035" s="44"/>
      <c r="L8035" s="45"/>
      <c r="N8035" s="45"/>
    </row>
    <row r="8036">
      <c r="A8036" s="40" t="str">
        <f t="shared" si="1"/>
        <v/>
      </c>
      <c r="B8036" s="37" t="str">
        <f t="array" ref="B8036">iferror(xlookup($I8036, 'IMPORT VHC Report'!$E:$E, 'IMPORT VHC Report'!$A:$C), )</f>
        <v/>
      </c>
      <c r="C8036" s="44"/>
      <c r="D8036" s="44"/>
      <c r="L8036" s="45"/>
      <c r="N8036" s="45"/>
    </row>
    <row r="8037">
      <c r="A8037" s="40" t="str">
        <f t="shared" si="1"/>
        <v/>
      </c>
      <c r="B8037" s="37" t="str">
        <f t="array" ref="B8037">iferror(xlookup($I8037, 'IMPORT VHC Report'!$E:$E, 'IMPORT VHC Report'!$A:$C), )</f>
        <v/>
      </c>
      <c r="C8037" s="44"/>
      <c r="D8037" s="44"/>
      <c r="L8037" s="45"/>
      <c r="N8037" s="45"/>
    </row>
    <row r="8038">
      <c r="A8038" s="40" t="str">
        <f t="shared" si="1"/>
        <v/>
      </c>
      <c r="B8038" s="37" t="str">
        <f t="array" ref="B8038">iferror(xlookup($I8038, 'IMPORT VHC Report'!$E:$E, 'IMPORT VHC Report'!$A:$C), )</f>
        <v/>
      </c>
      <c r="C8038" s="44"/>
      <c r="D8038" s="44"/>
      <c r="L8038" s="45"/>
      <c r="N8038" s="45"/>
    </row>
    <row r="8039">
      <c r="A8039" s="40" t="str">
        <f t="shared" si="1"/>
        <v/>
      </c>
      <c r="B8039" s="37" t="str">
        <f t="array" ref="B8039">iferror(xlookup($I8039, 'IMPORT VHC Report'!$E:$E, 'IMPORT VHC Report'!$A:$C), )</f>
        <v/>
      </c>
      <c r="C8039" s="44"/>
      <c r="D8039" s="44"/>
      <c r="L8039" s="45"/>
      <c r="N8039" s="45"/>
    </row>
    <row r="8040">
      <c r="A8040" s="40" t="str">
        <f t="shared" si="1"/>
        <v/>
      </c>
      <c r="B8040" s="37" t="str">
        <f t="array" ref="B8040">iferror(xlookup($I8040, 'IMPORT VHC Report'!$E:$E, 'IMPORT VHC Report'!$A:$C), )</f>
        <v/>
      </c>
      <c r="C8040" s="44"/>
      <c r="D8040" s="44"/>
      <c r="L8040" s="45"/>
      <c r="N8040" s="45"/>
    </row>
    <row r="8041">
      <c r="A8041" s="40" t="str">
        <f t="shared" si="1"/>
        <v/>
      </c>
      <c r="B8041" s="37" t="str">
        <f t="array" ref="B8041">iferror(xlookup($I8041, 'IMPORT VHC Report'!$E:$E, 'IMPORT VHC Report'!$A:$C), )</f>
        <v/>
      </c>
      <c r="C8041" s="44"/>
      <c r="D8041" s="44"/>
      <c r="L8041" s="45"/>
      <c r="N8041" s="45"/>
    </row>
    <row r="8042">
      <c r="A8042" s="40" t="str">
        <f t="shared" si="1"/>
        <v/>
      </c>
      <c r="B8042" s="37" t="str">
        <f t="array" ref="B8042">iferror(xlookup($I8042, 'IMPORT VHC Report'!$E:$E, 'IMPORT VHC Report'!$A:$C), )</f>
        <v/>
      </c>
      <c r="C8042" s="44"/>
      <c r="D8042" s="44"/>
      <c r="L8042" s="45"/>
      <c r="N8042" s="45"/>
    </row>
    <row r="8043">
      <c r="A8043" s="40" t="str">
        <f t="shared" si="1"/>
        <v/>
      </c>
      <c r="B8043" s="37" t="str">
        <f t="array" ref="B8043">iferror(xlookup($I8043, 'IMPORT VHC Report'!$E:$E, 'IMPORT VHC Report'!$A:$C), )</f>
        <v/>
      </c>
      <c r="C8043" s="44"/>
      <c r="D8043" s="44"/>
      <c r="L8043" s="45"/>
      <c r="N8043" s="45"/>
    </row>
    <row r="8044">
      <c r="A8044" s="40" t="str">
        <f t="shared" si="1"/>
        <v/>
      </c>
      <c r="B8044" s="37" t="str">
        <f t="array" ref="B8044">iferror(xlookup($I8044, 'IMPORT VHC Report'!$E:$E, 'IMPORT VHC Report'!$A:$C), )</f>
        <v/>
      </c>
      <c r="C8044" s="44"/>
      <c r="D8044" s="44"/>
      <c r="L8044" s="45"/>
      <c r="N8044" s="45"/>
    </row>
    <row r="8045">
      <c r="A8045" s="40" t="str">
        <f t="shared" si="1"/>
        <v/>
      </c>
      <c r="B8045" s="37" t="str">
        <f t="array" ref="B8045">iferror(xlookup($I8045, 'IMPORT VHC Report'!$E:$E, 'IMPORT VHC Report'!$A:$C), )</f>
        <v/>
      </c>
      <c r="C8045" s="44"/>
      <c r="D8045" s="44"/>
      <c r="L8045" s="45"/>
      <c r="N8045" s="45"/>
    </row>
    <row r="8046">
      <c r="A8046" s="40" t="str">
        <f t="shared" si="1"/>
        <v/>
      </c>
      <c r="B8046" s="37" t="str">
        <f t="array" ref="B8046">iferror(xlookup($I8046, 'IMPORT VHC Report'!$E:$E, 'IMPORT VHC Report'!$A:$C), )</f>
        <v/>
      </c>
      <c r="C8046" s="44"/>
      <c r="D8046" s="44"/>
      <c r="L8046" s="45"/>
      <c r="N8046" s="45"/>
    </row>
    <row r="8047">
      <c r="A8047" s="40" t="str">
        <f t="shared" si="1"/>
        <v/>
      </c>
      <c r="B8047" s="37" t="str">
        <f t="array" ref="B8047">iferror(xlookup($I8047, 'IMPORT VHC Report'!$E:$E, 'IMPORT VHC Report'!$A:$C), )</f>
        <v/>
      </c>
      <c r="C8047" s="44"/>
      <c r="D8047" s="44"/>
      <c r="L8047" s="45"/>
      <c r="N8047" s="45"/>
    </row>
    <row r="8048">
      <c r="A8048" s="40" t="str">
        <f t="shared" si="1"/>
        <v/>
      </c>
      <c r="B8048" s="37" t="str">
        <f t="array" ref="B8048">iferror(xlookup($I8048, 'IMPORT VHC Report'!$E:$E, 'IMPORT VHC Report'!$A:$C), )</f>
        <v/>
      </c>
      <c r="C8048" s="44"/>
      <c r="D8048" s="44"/>
      <c r="L8048" s="45"/>
      <c r="N8048" s="45"/>
    </row>
    <row r="8049">
      <c r="A8049" s="40" t="str">
        <f t="shared" si="1"/>
        <v/>
      </c>
      <c r="B8049" s="37" t="str">
        <f t="array" ref="B8049">iferror(xlookup($I8049, 'IMPORT VHC Report'!$E:$E, 'IMPORT VHC Report'!$A:$C), )</f>
        <v/>
      </c>
      <c r="C8049" s="44"/>
      <c r="D8049" s="44"/>
      <c r="L8049" s="45"/>
      <c r="N8049" s="45"/>
    </row>
    <row r="8050">
      <c r="A8050" s="40" t="str">
        <f t="shared" si="1"/>
        <v/>
      </c>
      <c r="B8050" s="37" t="str">
        <f t="array" ref="B8050">iferror(xlookup($I8050, 'IMPORT VHC Report'!$E:$E, 'IMPORT VHC Report'!$A:$C), )</f>
        <v/>
      </c>
      <c r="C8050" s="44"/>
      <c r="D8050" s="44"/>
      <c r="L8050" s="45"/>
      <c r="N8050" s="45"/>
    </row>
    <row r="8051">
      <c r="A8051" s="40" t="str">
        <f t="shared" si="1"/>
        <v/>
      </c>
      <c r="B8051" s="37" t="str">
        <f t="array" ref="B8051">iferror(xlookup($I8051, 'IMPORT VHC Report'!$E:$E, 'IMPORT VHC Report'!$A:$C), )</f>
        <v/>
      </c>
      <c r="C8051" s="44"/>
      <c r="D8051" s="44"/>
      <c r="L8051" s="45"/>
      <c r="N8051" s="45"/>
    </row>
    <row r="8052">
      <c r="A8052" s="40" t="str">
        <f t="shared" si="1"/>
        <v/>
      </c>
      <c r="B8052" s="37" t="str">
        <f t="array" ref="B8052">iferror(xlookup($I8052, 'IMPORT VHC Report'!$E:$E, 'IMPORT VHC Report'!$A:$C), )</f>
        <v/>
      </c>
      <c r="C8052" s="44"/>
      <c r="D8052" s="44"/>
      <c r="L8052" s="45"/>
      <c r="N8052" s="45"/>
    </row>
    <row r="8053">
      <c r="A8053" s="40" t="str">
        <f t="shared" si="1"/>
        <v/>
      </c>
      <c r="B8053" s="37" t="str">
        <f t="array" ref="B8053">iferror(xlookup($I8053, 'IMPORT VHC Report'!$E:$E, 'IMPORT VHC Report'!$A:$C), )</f>
        <v/>
      </c>
      <c r="C8053" s="44"/>
      <c r="D8053" s="44"/>
      <c r="L8053" s="45"/>
      <c r="N8053" s="45"/>
    </row>
    <row r="8054">
      <c r="A8054" s="40" t="str">
        <f t="shared" si="1"/>
        <v/>
      </c>
      <c r="B8054" s="37" t="str">
        <f t="array" ref="B8054">iferror(xlookup($I8054, 'IMPORT VHC Report'!$E:$E, 'IMPORT VHC Report'!$A:$C), )</f>
        <v/>
      </c>
      <c r="C8054" s="44"/>
      <c r="D8054" s="44"/>
      <c r="L8054" s="45"/>
      <c r="N8054" s="45"/>
    </row>
    <row r="8055">
      <c r="A8055" s="40" t="str">
        <f t="shared" si="1"/>
        <v/>
      </c>
      <c r="B8055" s="37" t="str">
        <f t="array" ref="B8055">iferror(xlookup($I8055, 'IMPORT VHC Report'!$E:$E, 'IMPORT VHC Report'!$A:$C), )</f>
        <v/>
      </c>
      <c r="C8055" s="44"/>
      <c r="D8055" s="44"/>
      <c r="L8055" s="45"/>
      <c r="N8055" s="45"/>
    </row>
    <row r="8056">
      <c r="A8056" s="40" t="str">
        <f t="shared" si="1"/>
        <v/>
      </c>
      <c r="B8056" s="37" t="str">
        <f t="array" ref="B8056">iferror(xlookup($I8056, 'IMPORT VHC Report'!$E:$E, 'IMPORT VHC Report'!$A:$C), )</f>
        <v/>
      </c>
      <c r="C8056" s="44"/>
      <c r="D8056" s="44"/>
      <c r="L8056" s="45"/>
      <c r="N8056" s="45"/>
    </row>
    <row r="8057">
      <c r="A8057" s="40" t="str">
        <f t="shared" si="1"/>
        <v/>
      </c>
      <c r="B8057" s="37" t="str">
        <f t="array" ref="B8057">iferror(xlookup($I8057, 'IMPORT VHC Report'!$E:$E, 'IMPORT VHC Report'!$A:$C), )</f>
        <v/>
      </c>
      <c r="C8057" s="44"/>
      <c r="D8057" s="44"/>
      <c r="L8057" s="45"/>
      <c r="N8057" s="45"/>
    </row>
    <row r="8058">
      <c r="A8058" s="40" t="str">
        <f t="shared" si="1"/>
        <v/>
      </c>
      <c r="B8058" s="37" t="str">
        <f t="array" ref="B8058">iferror(xlookup($I8058, 'IMPORT VHC Report'!$E:$E, 'IMPORT VHC Report'!$A:$C), )</f>
        <v/>
      </c>
      <c r="C8058" s="44"/>
      <c r="D8058" s="44"/>
      <c r="L8058" s="45"/>
      <c r="N8058" s="45"/>
    </row>
    <row r="8059">
      <c r="A8059" s="40" t="str">
        <f t="shared" si="1"/>
        <v/>
      </c>
      <c r="B8059" s="37" t="str">
        <f t="array" ref="B8059">iferror(xlookup($I8059, 'IMPORT VHC Report'!$E:$E, 'IMPORT VHC Report'!$A:$C), )</f>
        <v/>
      </c>
      <c r="C8059" s="44"/>
      <c r="D8059" s="44"/>
      <c r="L8059" s="45"/>
      <c r="N8059" s="45"/>
    </row>
    <row r="8060">
      <c r="A8060" s="40" t="str">
        <f t="shared" si="1"/>
        <v/>
      </c>
      <c r="B8060" s="37" t="str">
        <f t="array" ref="B8060">iferror(xlookup($I8060, 'IMPORT VHC Report'!$E:$E, 'IMPORT VHC Report'!$A:$C), )</f>
        <v/>
      </c>
      <c r="C8060" s="44"/>
      <c r="D8060" s="44"/>
      <c r="L8060" s="45"/>
      <c r="N8060" s="45"/>
    </row>
    <row r="8061">
      <c r="A8061" s="40" t="str">
        <f t="shared" si="1"/>
        <v/>
      </c>
      <c r="B8061" s="37" t="str">
        <f t="array" ref="B8061">iferror(xlookup($I8061, 'IMPORT VHC Report'!$E:$E, 'IMPORT VHC Report'!$A:$C), )</f>
        <v/>
      </c>
      <c r="C8061" s="44"/>
      <c r="D8061" s="44"/>
      <c r="L8061" s="45"/>
      <c r="N8061" s="45"/>
    </row>
    <row r="8062">
      <c r="A8062" s="40" t="str">
        <f t="shared" si="1"/>
        <v/>
      </c>
      <c r="B8062" s="37" t="str">
        <f t="array" ref="B8062">iferror(xlookup($I8062, 'IMPORT VHC Report'!$E:$E, 'IMPORT VHC Report'!$A:$C), )</f>
        <v/>
      </c>
      <c r="C8062" s="44"/>
      <c r="D8062" s="44"/>
      <c r="L8062" s="45"/>
      <c r="N8062" s="45"/>
    </row>
    <row r="8063">
      <c r="A8063" s="40" t="str">
        <f t="shared" si="1"/>
        <v/>
      </c>
      <c r="B8063" s="37" t="str">
        <f t="array" ref="B8063">iferror(xlookup($I8063, 'IMPORT VHC Report'!$E:$E, 'IMPORT VHC Report'!$A:$C), )</f>
        <v/>
      </c>
      <c r="C8063" s="44"/>
      <c r="D8063" s="44"/>
      <c r="L8063" s="45"/>
      <c r="N8063" s="45"/>
    </row>
    <row r="8064">
      <c r="A8064" s="40" t="str">
        <f t="shared" si="1"/>
        <v/>
      </c>
      <c r="B8064" s="37" t="str">
        <f t="array" ref="B8064">iferror(xlookup($I8064, 'IMPORT VHC Report'!$E:$E, 'IMPORT VHC Report'!$A:$C), )</f>
        <v/>
      </c>
      <c r="C8064" s="44"/>
      <c r="D8064" s="44"/>
      <c r="L8064" s="45"/>
      <c r="N8064" s="45"/>
    </row>
    <row r="8065">
      <c r="A8065" s="40" t="str">
        <f t="shared" si="1"/>
        <v/>
      </c>
      <c r="B8065" s="37" t="str">
        <f t="array" ref="B8065">iferror(xlookup($I8065, 'IMPORT VHC Report'!$E:$E, 'IMPORT VHC Report'!$A:$C), )</f>
        <v/>
      </c>
      <c r="C8065" s="44"/>
      <c r="D8065" s="44"/>
      <c r="L8065" s="45"/>
      <c r="N8065" s="45"/>
    </row>
    <row r="8066">
      <c r="A8066" s="40" t="str">
        <f t="shared" si="1"/>
        <v/>
      </c>
      <c r="B8066" s="37" t="str">
        <f t="array" ref="B8066">iferror(xlookup($I8066, 'IMPORT VHC Report'!$E:$E, 'IMPORT VHC Report'!$A:$C), )</f>
        <v/>
      </c>
      <c r="C8066" s="44"/>
      <c r="D8066" s="44"/>
      <c r="L8066" s="45"/>
      <c r="N8066" s="45"/>
    </row>
    <row r="8067">
      <c r="A8067" s="40" t="str">
        <f t="shared" si="1"/>
        <v/>
      </c>
      <c r="B8067" s="37" t="str">
        <f t="array" ref="B8067">iferror(xlookup($I8067, 'IMPORT VHC Report'!$E:$E, 'IMPORT VHC Report'!$A:$C), )</f>
        <v/>
      </c>
      <c r="C8067" s="44"/>
      <c r="D8067" s="44"/>
      <c r="L8067" s="45"/>
      <c r="N8067" s="45"/>
    </row>
    <row r="8068">
      <c r="A8068" s="40" t="str">
        <f t="shared" si="1"/>
        <v/>
      </c>
      <c r="B8068" s="37" t="str">
        <f t="array" ref="B8068">iferror(xlookup($I8068, 'IMPORT VHC Report'!$E:$E, 'IMPORT VHC Report'!$A:$C), )</f>
        <v/>
      </c>
      <c r="C8068" s="44"/>
      <c r="D8068" s="44"/>
      <c r="L8068" s="45"/>
      <c r="N8068" s="45"/>
    </row>
    <row r="8069">
      <c r="A8069" s="40" t="str">
        <f t="shared" si="1"/>
        <v/>
      </c>
      <c r="B8069" s="37" t="str">
        <f t="array" ref="B8069">iferror(xlookup($I8069, 'IMPORT VHC Report'!$E:$E, 'IMPORT VHC Report'!$A:$C), )</f>
        <v/>
      </c>
      <c r="C8069" s="44"/>
      <c r="D8069" s="44"/>
      <c r="L8069" s="45"/>
      <c r="N8069" s="45"/>
    </row>
    <row r="8070">
      <c r="A8070" s="40" t="str">
        <f t="shared" si="1"/>
        <v/>
      </c>
      <c r="B8070" s="37" t="str">
        <f t="array" ref="B8070">iferror(xlookup($I8070, 'IMPORT VHC Report'!$E:$E, 'IMPORT VHC Report'!$A:$C), )</f>
        <v/>
      </c>
      <c r="C8070" s="44"/>
      <c r="D8070" s="44"/>
      <c r="L8070" s="45"/>
      <c r="N8070" s="45"/>
    </row>
    <row r="8071">
      <c r="A8071" s="40" t="str">
        <f t="shared" si="1"/>
        <v/>
      </c>
      <c r="B8071" s="37" t="str">
        <f t="array" ref="B8071">iferror(xlookup($I8071, 'IMPORT VHC Report'!$E:$E, 'IMPORT VHC Report'!$A:$C), )</f>
        <v/>
      </c>
      <c r="C8071" s="44"/>
      <c r="D8071" s="44"/>
      <c r="L8071" s="45"/>
      <c r="N8071" s="45"/>
    </row>
    <row r="8072">
      <c r="A8072" s="40" t="str">
        <f t="shared" si="1"/>
        <v/>
      </c>
      <c r="B8072" s="37" t="str">
        <f t="array" ref="B8072">iferror(xlookup($I8072, 'IMPORT VHC Report'!$E:$E, 'IMPORT VHC Report'!$A:$C), )</f>
        <v/>
      </c>
      <c r="C8072" s="44"/>
      <c r="D8072" s="44"/>
      <c r="L8072" s="45"/>
      <c r="N8072" s="45"/>
    </row>
    <row r="8073">
      <c r="A8073" s="40" t="str">
        <f t="shared" si="1"/>
        <v/>
      </c>
      <c r="B8073" s="37" t="str">
        <f t="array" ref="B8073">iferror(xlookup($I8073, 'IMPORT VHC Report'!$E:$E, 'IMPORT VHC Report'!$A:$C), )</f>
        <v/>
      </c>
      <c r="C8073" s="44"/>
      <c r="D8073" s="44"/>
      <c r="L8073" s="45"/>
      <c r="N8073" s="45"/>
    </row>
    <row r="8074">
      <c r="A8074" s="40" t="str">
        <f t="shared" si="1"/>
        <v/>
      </c>
      <c r="B8074" s="37" t="str">
        <f t="array" ref="B8074">iferror(xlookup($I8074, 'IMPORT VHC Report'!$E:$E, 'IMPORT VHC Report'!$A:$C), )</f>
        <v/>
      </c>
      <c r="C8074" s="44"/>
      <c r="D8074" s="44"/>
      <c r="L8074" s="45"/>
      <c r="N8074" s="45"/>
    </row>
    <row r="8075">
      <c r="A8075" s="40" t="str">
        <f t="shared" si="1"/>
        <v/>
      </c>
      <c r="B8075" s="37" t="str">
        <f t="array" ref="B8075">iferror(xlookup($I8075, 'IMPORT VHC Report'!$E:$E, 'IMPORT VHC Report'!$A:$C), )</f>
        <v/>
      </c>
      <c r="C8075" s="44"/>
      <c r="D8075" s="44"/>
      <c r="L8075" s="45"/>
      <c r="N8075" s="45"/>
    </row>
    <row r="8076">
      <c r="A8076" s="40" t="str">
        <f t="shared" si="1"/>
        <v/>
      </c>
      <c r="B8076" s="37" t="str">
        <f t="array" ref="B8076">iferror(xlookup($I8076, 'IMPORT VHC Report'!$E:$E, 'IMPORT VHC Report'!$A:$C), )</f>
        <v/>
      </c>
      <c r="C8076" s="44"/>
      <c r="D8076" s="44"/>
      <c r="L8076" s="45"/>
      <c r="N8076" s="45"/>
    </row>
    <row r="8077">
      <c r="A8077" s="40" t="str">
        <f t="shared" si="1"/>
        <v/>
      </c>
      <c r="B8077" s="37" t="str">
        <f t="array" ref="B8077">iferror(xlookup($I8077, 'IMPORT VHC Report'!$E:$E, 'IMPORT VHC Report'!$A:$C), )</f>
        <v/>
      </c>
      <c r="C8077" s="44"/>
      <c r="D8077" s="44"/>
      <c r="L8077" s="45"/>
      <c r="N8077" s="45"/>
    </row>
    <row r="8078">
      <c r="A8078" s="40" t="str">
        <f t="shared" si="1"/>
        <v/>
      </c>
      <c r="B8078" s="37" t="str">
        <f t="array" ref="B8078">iferror(xlookup($I8078, 'IMPORT VHC Report'!$E:$E, 'IMPORT VHC Report'!$A:$C), )</f>
        <v/>
      </c>
      <c r="C8078" s="44"/>
      <c r="D8078" s="44"/>
      <c r="L8078" s="45"/>
      <c r="N8078" s="45"/>
    </row>
    <row r="8079">
      <c r="A8079" s="40" t="str">
        <f t="shared" si="1"/>
        <v/>
      </c>
      <c r="B8079" s="37" t="str">
        <f t="array" ref="B8079">iferror(xlookup($I8079, 'IMPORT VHC Report'!$E:$E, 'IMPORT VHC Report'!$A:$C), )</f>
        <v/>
      </c>
      <c r="C8079" s="44"/>
      <c r="D8079" s="44"/>
      <c r="L8079" s="45"/>
      <c r="N8079" s="45"/>
    </row>
    <row r="8080">
      <c r="A8080" s="40" t="str">
        <f t="shared" si="1"/>
        <v/>
      </c>
      <c r="B8080" s="37" t="str">
        <f t="array" ref="B8080">iferror(xlookup($I8080, 'IMPORT VHC Report'!$E:$E, 'IMPORT VHC Report'!$A:$C), )</f>
        <v/>
      </c>
      <c r="C8080" s="44"/>
      <c r="D8080" s="44"/>
      <c r="L8080" s="45"/>
      <c r="N8080" s="45"/>
    </row>
    <row r="8081">
      <c r="A8081" s="40" t="str">
        <f t="shared" si="1"/>
        <v/>
      </c>
      <c r="B8081" s="37" t="str">
        <f t="array" ref="B8081">iferror(xlookup($I8081, 'IMPORT VHC Report'!$E:$E, 'IMPORT VHC Report'!$A:$C), )</f>
        <v/>
      </c>
      <c r="C8081" s="44"/>
      <c r="D8081" s="44"/>
      <c r="L8081" s="45"/>
      <c r="N8081" s="45"/>
    </row>
    <row r="8082">
      <c r="A8082" s="40" t="str">
        <f t="shared" si="1"/>
        <v/>
      </c>
      <c r="B8082" s="37" t="str">
        <f t="array" ref="B8082">iferror(xlookup($I8082, 'IMPORT VHC Report'!$E:$E, 'IMPORT VHC Report'!$A:$C), )</f>
        <v/>
      </c>
      <c r="C8082" s="44"/>
      <c r="D8082" s="44"/>
      <c r="L8082" s="45"/>
      <c r="N8082" s="45"/>
    </row>
    <row r="8083">
      <c r="A8083" s="40" t="str">
        <f t="shared" si="1"/>
        <v/>
      </c>
      <c r="B8083" s="37" t="str">
        <f t="array" ref="B8083">iferror(xlookup($I8083, 'IMPORT VHC Report'!$E:$E, 'IMPORT VHC Report'!$A:$C), )</f>
        <v/>
      </c>
      <c r="C8083" s="44"/>
      <c r="D8083" s="44"/>
      <c r="L8083" s="45"/>
      <c r="N8083" s="45"/>
    </row>
    <row r="8084">
      <c r="A8084" s="40" t="str">
        <f t="shared" si="1"/>
        <v/>
      </c>
      <c r="B8084" s="37" t="str">
        <f t="array" ref="B8084">iferror(xlookup($I8084, 'IMPORT VHC Report'!$E:$E, 'IMPORT VHC Report'!$A:$C), )</f>
        <v/>
      </c>
      <c r="C8084" s="44"/>
      <c r="D8084" s="44"/>
      <c r="L8084" s="45"/>
      <c r="N8084" s="45"/>
    </row>
    <row r="8085">
      <c r="A8085" s="40" t="str">
        <f t="shared" si="1"/>
        <v/>
      </c>
      <c r="B8085" s="37" t="str">
        <f t="array" ref="B8085">iferror(xlookup($I8085, 'IMPORT VHC Report'!$E:$E, 'IMPORT VHC Report'!$A:$C), )</f>
        <v/>
      </c>
      <c r="C8085" s="44"/>
      <c r="D8085" s="44"/>
      <c r="L8085" s="45"/>
      <c r="N8085" s="45"/>
    </row>
    <row r="8086">
      <c r="A8086" s="40" t="str">
        <f t="shared" si="1"/>
        <v/>
      </c>
      <c r="B8086" s="37" t="str">
        <f t="array" ref="B8086">iferror(xlookup($I8086, 'IMPORT VHC Report'!$E:$E, 'IMPORT VHC Report'!$A:$C), )</f>
        <v/>
      </c>
      <c r="C8086" s="44"/>
      <c r="D8086" s="44"/>
      <c r="L8086" s="45"/>
      <c r="N8086" s="45"/>
    </row>
    <row r="8087">
      <c r="A8087" s="40" t="str">
        <f t="shared" si="1"/>
        <v/>
      </c>
      <c r="B8087" s="37" t="str">
        <f t="array" ref="B8087">iferror(xlookup($I8087, 'IMPORT VHC Report'!$E:$E, 'IMPORT VHC Report'!$A:$C), )</f>
        <v/>
      </c>
      <c r="C8087" s="44"/>
      <c r="D8087" s="44"/>
      <c r="L8087" s="45"/>
      <c r="N8087" s="45"/>
    </row>
    <row r="8088">
      <c r="A8088" s="40" t="str">
        <f t="shared" si="1"/>
        <v/>
      </c>
      <c r="B8088" s="37" t="str">
        <f t="array" ref="B8088">iferror(xlookup($I8088, 'IMPORT VHC Report'!$E:$E, 'IMPORT VHC Report'!$A:$C), )</f>
        <v/>
      </c>
      <c r="C8088" s="44"/>
      <c r="D8088" s="44"/>
      <c r="L8088" s="45"/>
      <c r="N8088" s="45"/>
    </row>
    <row r="8089">
      <c r="A8089" s="40" t="str">
        <f t="shared" si="1"/>
        <v/>
      </c>
      <c r="B8089" s="37" t="str">
        <f t="array" ref="B8089">iferror(xlookup($I8089, 'IMPORT VHC Report'!$E:$E, 'IMPORT VHC Report'!$A:$C), )</f>
        <v/>
      </c>
      <c r="C8089" s="44"/>
      <c r="D8089" s="44"/>
      <c r="L8089" s="45"/>
      <c r="N8089" s="45"/>
    </row>
    <row r="8090">
      <c r="A8090" s="40" t="str">
        <f t="shared" si="1"/>
        <v/>
      </c>
      <c r="B8090" s="37" t="str">
        <f t="array" ref="B8090">iferror(xlookup($I8090, 'IMPORT VHC Report'!$E:$E, 'IMPORT VHC Report'!$A:$C), )</f>
        <v/>
      </c>
      <c r="C8090" s="44"/>
      <c r="D8090" s="44"/>
      <c r="L8090" s="45"/>
      <c r="N8090" s="45"/>
    </row>
    <row r="8091">
      <c r="A8091" s="40" t="str">
        <f t="shared" si="1"/>
        <v/>
      </c>
      <c r="B8091" s="37" t="str">
        <f t="array" ref="B8091">iferror(xlookup($I8091, 'IMPORT VHC Report'!$E:$E, 'IMPORT VHC Report'!$A:$C), )</f>
        <v/>
      </c>
      <c r="C8091" s="44"/>
      <c r="D8091" s="44"/>
      <c r="L8091" s="45"/>
      <c r="N8091" s="45"/>
    </row>
    <row r="8092">
      <c r="A8092" s="40" t="str">
        <f t="shared" si="1"/>
        <v/>
      </c>
      <c r="B8092" s="37" t="str">
        <f t="array" ref="B8092">iferror(xlookup($I8092, 'IMPORT VHC Report'!$E:$E, 'IMPORT VHC Report'!$A:$C), )</f>
        <v/>
      </c>
      <c r="C8092" s="44"/>
      <c r="D8092" s="44"/>
      <c r="L8092" s="45"/>
      <c r="N8092" s="45"/>
    </row>
    <row r="8093">
      <c r="A8093" s="40" t="str">
        <f t="shared" si="1"/>
        <v/>
      </c>
      <c r="B8093" s="37" t="str">
        <f t="array" ref="B8093">iferror(xlookup($I8093, 'IMPORT VHC Report'!$E:$E, 'IMPORT VHC Report'!$A:$C), )</f>
        <v/>
      </c>
      <c r="C8093" s="44"/>
      <c r="D8093" s="44"/>
      <c r="L8093" s="45"/>
      <c r="N8093" s="45"/>
    </row>
    <row r="8094">
      <c r="A8094" s="40" t="str">
        <f t="shared" si="1"/>
        <v/>
      </c>
      <c r="B8094" s="37" t="str">
        <f t="array" ref="B8094">iferror(xlookup($I8094, 'IMPORT VHC Report'!$E:$E, 'IMPORT VHC Report'!$A:$C), )</f>
        <v/>
      </c>
      <c r="C8094" s="44"/>
      <c r="D8094" s="44"/>
      <c r="L8094" s="45"/>
      <c r="N8094" s="45"/>
    </row>
    <row r="8095">
      <c r="A8095" s="40" t="str">
        <f t="shared" si="1"/>
        <v/>
      </c>
      <c r="B8095" s="37" t="str">
        <f t="array" ref="B8095">iferror(xlookup($I8095, 'IMPORT VHC Report'!$E:$E, 'IMPORT VHC Report'!$A:$C), )</f>
        <v/>
      </c>
      <c r="C8095" s="44"/>
      <c r="D8095" s="44"/>
      <c r="L8095" s="45"/>
      <c r="N8095" s="45"/>
    </row>
    <row r="8096">
      <c r="A8096" s="40" t="str">
        <f t="shared" si="1"/>
        <v/>
      </c>
      <c r="B8096" s="37" t="str">
        <f t="array" ref="B8096">iferror(xlookup($I8096, 'IMPORT VHC Report'!$E:$E, 'IMPORT VHC Report'!$A:$C), )</f>
        <v/>
      </c>
      <c r="C8096" s="44"/>
      <c r="D8096" s="44"/>
      <c r="L8096" s="45"/>
      <c r="N8096" s="45"/>
    </row>
    <row r="8097">
      <c r="A8097" s="40" t="str">
        <f t="shared" si="1"/>
        <v/>
      </c>
      <c r="B8097" s="37" t="str">
        <f t="array" ref="B8097">iferror(xlookup($I8097, 'IMPORT VHC Report'!$E:$E, 'IMPORT VHC Report'!$A:$C), )</f>
        <v/>
      </c>
      <c r="C8097" s="44"/>
      <c r="D8097" s="44"/>
      <c r="L8097" s="45"/>
      <c r="N8097" s="45"/>
    </row>
    <row r="8098">
      <c r="A8098" s="40" t="str">
        <f t="shared" si="1"/>
        <v/>
      </c>
      <c r="B8098" s="37" t="str">
        <f t="array" ref="B8098">iferror(xlookup($I8098, 'IMPORT VHC Report'!$E:$E, 'IMPORT VHC Report'!$A:$C), )</f>
        <v/>
      </c>
      <c r="C8098" s="44"/>
      <c r="D8098" s="44"/>
      <c r="L8098" s="45"/>
      <c r="N8098" s="45"/>
    </row>
    <row r="8099">
      <c r="A8099" s="40" t="str">
        <f t="shared" si="1"/>
        <v/>
      </c>
      <c r="B8099" s="37" t="str">
        <f t="array" ref="B8099">iferror(xlookup($I8099, 'IMPORT VHC Report'!$E:$E, 'IMPORT VHC Report'!$A:$C), )</f>
        <v/>
      </c>
      <c r="C8099" s="44"/>
      <c r="D8099" s="44"/>
      <c r="L8099" s="45"/>
      <c r="N8099" s="45"/>
    </row>
    <row r="8100">
      <c r="A8100" s="40" t="str">
        <f t="shared" si="1"/>
        <v/>
      </c>
      <c r="B8100" s="37" t="str">
        <f t="array" ref="B8100">iferror(xlookup($I8100, 'IMPORT VHC Report'!$E:$E, 'IMPORT VHC Report'!$A:$C), )</f>
        <v/>
      </c>
      <c r="C8100" s="44"/>
      <c r="D8100" s="44"/>
      <c r="L8100" s="45"/>
      <c r="N8100" s="45"/>
    </row>
    <row r="8101">
      <c r="A8101" s="40" t="str">
        <f t="shared" si="1"/>
        <v/>
      </c>
      <c r="B8101" s="37" t="str">
        <f t="array" ref="B8101">iferror(xlookup($I8101, 'IMPORT VHC Report'!$E:$E, 'IMPORT VHC Report'!$A:$C), )</f>
        <v/>
      </c>
      <c r="C8101" s="44"/>
      <c r="D8101" s="44"/>
      <c r="L8101" s="45"/>
      <c r="N8101" s="45"/>
    </row>
    <row r="8102">
      <c r="A8102" s="40" t="str">
        <f t="shared" si="1"/>
        <v/>
      </c>
      <c r="B8102" s="37" t="str">
        <f t="array" ref="B8102">iferror(xlookup($I8102, 'IMPORT VHC Report'!$E:$E, 'IMPORT VHC Report'!$A:$C), )</f>
        <v/>
      </c>
      <c r="C8102" s="44"/>
      <c r="D8102" s="44"/>
      <c r="L8102" s="45"/>
      <c r="N8102" s="45"/>
    </row>
    <row r="8103">
      <c r="A8103" s="40" t="str">
        <f t="shared" si="1"/>
        <v/>
      </c>
      <c r="B8103" s="37" t="str">
        <f t="array" ref="B8103">iferror(xlookup($I8103, 'IMPORT VHC Report'!$E:$E, 'IMPORT VHC Report'!$A:$C), )</f>
        <v/>
      </c>
      <c r="C8103" s="44"/>
      <c r="D8103" s="44"/>
      <c r="L8103" s="45"/>
      <c r="N8103" s="45"/>
    </row>
    <row r="8104">
      <c r="A8104" s="40" t="str">
        <f t="shared" si="1"/>
        <v/>
      </c>
      <c r="B8104" s="37" t="str">
        <f t="array" ref="B8104">iferror(xlookup($I8104, 'IMPORT VHC Report'!$E:$E, 'IMPORT VHC Report'!$A:$C), )</f>
        <v/>
      </c>
      <c r="C8104" s="44"/>
      <c r="D8104" s="44"/>
      <c r="L8104" s="45"/>
      <c r="N8104" s="45"/>
    </row>
    <row r="8105">
      <c r="A8105" s="40" t="str">
        <f t="shared" si="1"/>
        <v/>
      </c>
      <c r="B8105" s="37" t="str">
        <f t="array" ref="B8105">iferror(xlookup($I8105, 'IMPORT VHC Report'!$E:$E, 'IMPORT VHC Report'!$A:$C), )</f>
        <v/>
      </c>
      <c r="C8105" s="44"/>
      <c r="D8105" s="44"/>
      <c r="L8105" s="45"/>
      <c r="N8105" s="45"/>
    </row>
    <row r="8106">
      <c r="A8106" s="40" t="str">
        <f t="shared" si="1"/>
        <v/>
      </c>
      <c r="B8106" s="37" t="str">
        <f t="array" ref="B8106">iferror(xlookup($I8106, 'IMPORT VHC Report'!$E:$E, 'IMPORT VHC Report'!$A:$C), )</f>
        <v/>
      </c>
      <c r="C8106" s="44"/>
      <c r="D8106" s="44"/>
      <c r="L8106" s="45"/>
      <c r="N8106" s="45"/>
    </row>
    <row r="8107">
      <c r="A8107" s="40" t="str">
        <f t="shared" si="1"/>
        <v/>
      </c>
      <c r="B8107" s="37" t="str">
        <f t="array" ref="B8107">iferror(xlookup($I8107, 'IMPORT VHC Report'!$E:$E, 'IMPORT VHC Report'!$A:$C), )</f>
        <v/>
      </c>
      <c r="C8107" s="44"/>
      <c r="D8107" s="44"/>
      <c r="L8107" s="45"/>
      <c r="N8107" s="45"/>
    </row>
    <row r="8108">
      <c r="A8108" s="40" t="str">
        <f t="shared" si="1"/>
        <v/>
      </c>
      <c r="B8108" s="37" t="str">
        <f t="array" ref="B8108">iferror(xlookup($I8108, 'IMPORT VHC Report'!$E:$E, 'IMPORT VHC Report'!$A:$C), )</f>
        <v/>
      </c>
      <c r="C8108" s="44"/>
      <c r="D8108" s="44"/>
      <c r="L8108" s="45"/>
      <c r="N8108" s="45"/>
    </row>
    <row r="8109">
      <c r="A8109" s="40" t="str">
        <f t="shared" si="1"/>
        <v/>
      </c>
      <c r="B8109" s="37" t="str">
        <f t="array" ref="B8109">iferror(xlookup($I8109, 'IMPORT VHC Report'!$E:$E, 'IMPORT VHC Report'!$A:$C), )</f>
        <v/>
      </c>
      <c r="C8109" s="44"/>
      <c r="D8109" s="44"/>
      <c r="L8109" s="45"/>
      <c r="N8109" s="45"/>
    </row>
    <row r="8110">
      <c r="A8110" s="40" t="str">
        <f t="shared" si="1"/>
        <v/>
      </c>
      <c r="B8110" s="37" t="str">
        <f t="array" ref="B8110">iferror(xlookup($I8110, 'IMPORT VHC Report'!$E:$E, 'IMPORT VHC Report'!$A:$C), )</f>
        <v/>
      </c>
      <c r="C8110" s="44"/>
      <c r="D8110" s="44"/>
      <c r="L8110" s="45"/>
      <c r="N8110" s="45"/>
    </row>
    <row r="8111">
      <c r="A8111" s="40" t="str">
        <f t="shared" si="1"/>
        <v/>
      </c>
      <c r="B8111" s="37" t="str">
        <f t="array" ref="B8111">iferror(xlookup($I8111, 'IMPORT VHC Report'!$E:$E, 'IMPORT VHC Report'!$A:$C), )</f>
        <v/>
      </c>
      <c r="C8111" s="44"/>
      <c r="D8111" s="44"/>
      <c r="L8111" s="45"/>
      <c r="N8111" s="45"/>
    </row>
    <row r="8112">
      <c r="A8112" s="40" t="str">
        <f t="shared" si="1"/>
        <v/>
      </c>
      <c r="B8112" s="37" t="str">
        <f t="array" ref="B8112">iferror(xlookup($I8112, 'IMPORT VHC Report'!$E:$E, 'IMPORT VHC Report'!$A:$C), )</f>
        <v/>
      </c>
      <c r="C8112" s="44"/>
      <c r="D8112" s="44"/>
      <c r="L8112" s="45"/>
      <c r="N8112" s="45"/>
    </row>
    <row r="8113">
      <c r="A8113" s="40" t="str">
        <f t="shared" si="1"/>
        <v/>
      </c>
      <c r="B8113" s="37" t="str">
        <f t="array" ref="B8113">iferror(xlookup($I8113, 'IMPORT VHC Report'!$E:$E, 'IMPORT VHC Report'!$A:$C), )</f>
        <v/>
      </c>
      <c r="C8113" s="44"/>
      <c r="D8113" s="44"/>
      <c r="L8113" s="45"/>
      <c r="N8113" s="45"/>
    </row>
    <row r="8114">
      <c r="A8114" s="40" t="str">
        <f t="shared" si="1"/>
        <v/>
      </c>
      <c r="B8114" s="37" t="str">
        <f t="array" ref="B8114">iferror(xlookup($I8114, 'IMPORT VHC Report'!$E:$E, 'IMPORT VHC Report'!$A:$C), )</f>
        <v/>
      </c>
      <c r="C8114" s="44"/>
      <c r="D8114" s="44"/>
      <c r="L8114" s="45"/>
      <c r="N8114" s="45"/>
    </row>
    <row r="8115">
      <c r="A8115" s="40" t="str">
        <f t="shared" si="1"/>
        <v/>
      </c>
      <c r="B8115" s="37" t="str">
        <f t="array" ref="B8115">iferror(xlookup($I8115, 'IMPORT VHC Report'!$E:$E, 'IMPORT VHC Report'!$A:$C), )</f>
        <v/>
      </c>
      <c r="C8115" s="44"/>
      <c r="D8115" s="44"/>
      <c r="L8115" s="45"/>
      <c r="N8115" s="45"/>
    </row>
    <row r="8116">
      <c r="A8116" s="40" t="str">
        <f t="shared" si="1"/>
        <v/>
      </c>
      <c r="B8116" s="37" t="str">
        <f t="array" ref="B8116">iferror(xlookup($I8116, 'IMPORT VHC Report'!$E:$E, 'IMPORT VHC Report'!$A:$C), )</f>
        <v/>
      </c>
      <c r="C8116" s="44"/>
      <c r="D8116" s="44"/>
      <c r="L8116" s="45"/>
      <c r="N8116" s="45"/>
    </row>
    <row r="8117">
      <c r="A8117" s="40" t="str">
        <f t="shared" si="1"/>
        <v/>
      </c>
      <c r="B8117" s="37" t="str">
        <f t="array" ref="B8117">iferror(xlookup($I8117, 'IMPORT VHC Report'!$E:$E, 'IMPORT VHC Report'!$A:$C), )</f>
        <v/>
      </c>
      <c r="C8117" s="44"/>
      <c r="D8117" s="44"/>
      <c r="L8117" s="45"/>
      <c r="N8117" s="45"/>
    </row>
    <row r="8118">
      <c r="A8118" s="40" t="str">
        <f t="shared" si="1"/>
        <v/>
      </c>
      <c r="B8118" s="37" t="str">
        <f t="array" ref="B8118">iferror(xlookup($I8118, 'IMPORT VHC Report'!$E:$E, 'IMPORT VHC Report'!$A:$C), )</f>
        <v/>
      </c>
      <c r="C8118" s="44"/>
      <c r="D8118" s="44"/>
      <c r="L8118" s="45"/>
      <c r="N8118" s="45"/>
    </row>
    <row r="8119">
      <c r="A8119" s="40" t="str">
        <f t="shared" si="1"/>
        <v/>
      </c>
      <c r="B8119" s="37" t="str">
        <f t="array" ref="B8119">iferror(xlookup($I8119, 'IMPORT VHC Report'!$E:$E, 'IMPORT VHC Report'!$A:$C), )</f>
        <v/>
      </c>
      <c r="C8119" s="44"/>
      <c r="D8119" s="44"/>
      <c r="L8119" s="45"/>
      <c r="N8119" s="45"/>
    </row>
    <row r="8120">
      <c r="A8120" s="40" t="str">
        <f t="shared" si="1"/>
        <v/>
      </c>
      <c r="B8120" s="37" t="str">
        <f t="array" ref="B8120">iferror(xlookup($I8120, 'IMPORT VHC Report'!$E:$E, 'IMPORT VHC Report'!$A:$C), )</f>
        <v/>
      </c>
      <c r="C8120" s="44"/>
      <c r="D8120" s="44"/>
      <c r="L8120" s="45"/>
      <c r="N8120" s="45"/>
    </row>
    <row r="8121">
      <c r="A8121" s="40" t="str">
        <f t="shared" si="1"/>
        <v/>
      </c>
      <c r="B8121" s="37" t="str">
        <f t="array" ref="B8121">iferror(xlookup($I8121, 'IMPORT VHC Report'!$E:$E, 'IMPORT VHC Report'!$A:$C), )</f>
        <v/>
      </c>
      <c r="C8121" s="44"/>
      <c r="D8121" s="44"/>
      <c r="L8121" s="45"/>
      <c r="N8121" s="45"/>
    </row>
    <row r="8122">
      <c r="A8122" s="40" t="str">
        <f t="shared" si="1"/>
        <v/>
      </c>
      <c r="B8122" s="37" t="str">
        <f t="array" ref="B8122">iferror(xlookup($I8122, 'IMPORT VHC Report'!$E:$E, 'IMPORT VHC Report'!$A:$C), )</f>
        <v/>
      </c>
      <c r="C8122" s="44"/>
      <c r="D8122" s="44"/>
      <c r="L8122" s="45"/>
      <c r="N8122" s="45"/>
    </row>
    <row r="8123">
      <c r="A8123" s="40" t="str">
        <f t="shared" si="1"/>
        <v/>
      </c>
      <c r="B8123" s="37" t="str">
        <f t="array" ref="B8123">iferror(xlookup($I8123, 'IMPORT VHC Report'!$E:$E, 'IMPORT VHC Report'!$A:$C), )</f>
        <v/>
      </c>
      <c r="C8123" s="44"/>
      <c r="D8123" s="44"/>
      <c r="L8123" s="45"/>
      <c r="N8123" s="45"/>
    </row>
    <row r="8124">
      <c r="A8124" s="40" t="str">
        <f t="shared" si="1"/>
        <v/>
      </c>
      <c r="B8124" s="37" t="str">
        <f t="array" ref="B8124">iferror(xlookup($I8124, 'IMPORT VHC Report'!$E:$E, 'IMPORT VHC Report'!$A:$C), )</f>
        <v/>
      </c>
      <c r="C8124" s="44"/>
      <c r="D8124" s="44"/>
      <c r="L8124" s="45"/>
      <c r="N8124" s="45"/>
    </row>
    <row r="8125">
      <c r="A8125" s="40" t="str">
        <f t="shared" si="1"/>
        <v/>
      </c>
      <c r="B8125" s="37" t="str">
        <f t="array" ref="B8125">iferror(xlookup($I8125, 'IMPORT VHC Report'!$E:$E, 'IMPORT VHC Report'!$A:$C), )</f>
        <v/>
      </c>
      <c r="C8125" s="44"/>
      <c r="D8125" s="44"/>
      <c r="L8125" s="45"/>
      <c r="N8125" s="45"/>
    </row>
    <row r="8126">
      <c r="A8126" s="40" t="str">
        <f t="shared" si="1"/>
        <v/>
      </c>
      <c r="B8126" s="37" t="str">
        <f t="array" ref="B8126">iferror(xlookup($I8126, 'IMPORT VHC Report'!$E:$E, 'IMPORT VHC Report'!$A:$C), )</f>
        <v/>
      </c>
      <c r="C8126" s="44"/>
      <c r="D8126" s="44"/>
      <c r="L8126" s="45"/>
      <c r="N8126" s="45"/>
    </row>
    <row r="8127">
      <c r="A8127" s="40" t="str">
        <f t="shared" si="1"/>
        <v/>
      </c>
      <c r="B8127" s="37" t="str">
        <f t="array" ref="B8127">iferror(xlookup($I8127, 'IMPORT VHC Report'!$E:$E, 'IMPORT VHC Report'!$A:$C), )</f>
        <v/>
      </c>
      <c r="C8127" s="44"/>
      <c r="D8127" s="44"/>
      <c r="L8127" s="45"/>
      <c r="N8127" s="45"/>
    </row>
    <row r="8128">
      <c r="A8128" s="40" t="str">
        <f t="shared" si="1"/>
        <v/>
      </c>
      <c r="B8128" s="37" t="str">
        <f t="array" ref="B8128">iferror(xlookup($I8128, 'IMPORT VHC Report'!$E:$E, 'IMPORT VHC Report'!$A:$C), )</f>
        <v/>
      </c>
      <c r="C8128" s="44"/>
      <c r="D8128" s="44"/>
      <c r="L8128" s="45"/>
      <c r="N8128" s="45"/>
    </row>
    <row r="8129">
      <c r="A8129" s="40" t="str">
        <f t="shared" si="1"/>
        <v/>
      </c>
      <c r="B8129" s="37" t="str">
        <f t="array" ref="B8129">iferror(xlookup($I8129, 'IMPORT VHC Report'!$E:$E, 'IMPORT VHC Report'!$A:$C), )</f>
        <v/>
      </c>
      <c r="C8129" s="44"/>
      <c r="D8129" s="44"/>
      <c r="L8129" s="45"/>
      <c r="N8129" s="45"/>
    </row>
    <row r="8130">
      <c r="A8130" s="40" t="str">
        <f t="shared" si="1"/>
        <v/>
      </c>
      <c r="B8130" s="37" t="str">
        <f t="array" ref="B8130">iferror(xlookup($I8130, 'IMPORT VHC Report'!$E:$E, 'IMPORT VHC Report'!$A:$C), )</f>
        <v/>
      </c>
      <c r="C8130" s="44"/>
      <c r="D8130" s="44"/>
      <c r="L8130" s="45"/>
      <c r="N8130" s="45"/>
    </row>
    <row r="8131">
      <c r="A8131" s="40" t="str">
        <f t="shared" si="1"/>
        <v/>
      </c>
      <c r="B8131" s="37" t="str">
        <f t="array" ref="B8131">iferror(xlookup($I8131, 'IMPORT VHC Report'!$E:$E, 'IMPORT VHC Report'!$A:$C), )</f>
        <v/>
      </c>
      <c r="C8131" s="44"/>
      <c r="D8131" s="44"/>
      <c r="L8131" s="45"/>
      <c r="N8131" s="45"/>
    </row>
    <row r="8132">
      <c r="A8132" s="40" t="str">
        <f t="shared" si="1"/>
        <v/>
      </c>
      <c r="B8132" s="37" t="str">
        <f t="array" ref="B8132">iferror(xlookup($I8132, 'IMPORT VHC Report'!$E:$E, 'IMPORT VHC Report'!$A:$C), )</f>
        <v/>
      </c>
      <c r="C8132" s="44"/>
      <c r="D8132" s="44"/>
      <c r="L8132" s="45"/>
      <c r="N8132" s="45"/>
    </row>
    <row r="8133">
      <c r="A8133" s="40" t="str">
        <f t="shared" si="1"/>
        <v/>
      </c>
      <c r="B8133" s="37" t="str">
        <f t="array" ref="B8133">iferror(xlookup($I8133, 'IMPORT VHC Report'!$E:$E, 'IMPORT VHC Report'!$A:$C), )</f>
        <v/>
      </c>
      <c r="C8133" s="44"/>
      <c r="D8133" s="44"/>
      <c r="L8133" s="45"/>
      <c r="N8133" s="45"/>
    </row>
    <row r="8134">
      <c r="A8134" s="40" t="str">
        <f t="shared" si="1"/>
        <v/>
      </c>
      <c r="B8134" s="37" t="str">
        <f t="array" ref="B8134">iferror(xlookup($I8134, 'IMPORT VHC Report'!$E:$E, 'IMPORT VHC Report'!$A:$C), )</f>
        <v/>
      </c>
      <c r="C8134" s="44"/>
      <c r="D8134" s="44"/>
      <c r="L8134" s="45"/>
      <c r="N8134" s="45"/>
    </row>
    <row r="8135">
      <c r="A8135" s="40" t="str">
        <f t="shared" si="1"/>
        <v/>
      </c>
      <c r="B8135" s="37" t="str">
        <f t="array" ref="B8135">iferror(xlookup($I8135, 'IMPORT VHC Report'!$E:$E, 'IMPORT VHC Report'!$A:$C), )</f>
        <v/>
      </c>
      <c r="C8135" s="44"/>
      <c r="D8135" s="44"/>
      <c r="L8135" s="45"/>
      <c r="N8135" s="45"/>
    </row>
    <row r="8136">
      <c r="A8136" s="40" t="str">
        <f t="shared" si="1"/>
        <v/>
      </c>
      <c r="B8136" s="37" t="str">
        <f t="array" ref="B8136">iferror(xlookup($I8136, 'IMPORT VHC Report'!$E:$E, 'IMPORT VHC Report'!$A:$C), )</f>
        <v/>
      </c>
      <c r="C8136" s="44"/>
      <c r="D8136" s="44"/>
      <c r="L8136" s="45"/>
      <c r="N8136" s="45"/>
    </row>
    <row r="8137">
      <c r="A8137" s="40" t="str">
        <f t="shared" si="1"/>
        <v/>
      </c>
      <c r="B8137" s="37" t="str">
        <f t="array" ref="B8137">iferror(xlookup($I8137, 'IMPORT VHC Report'!$E:$E, 'IMPORT VHC Report'!$A:$C), )</f>
        <v/>
      </c>
      <c r="C8137" s="44"/>
      <c r="D8137" s="44"/>
      <c r="L8137" s="45"/>
      <c r="N8137" s="45"/>
    </row>
    <row r="8138">
      <c r="A8138" s="40" t="str">
        <f t="shared" si="1"/>
        <v/>
      </c>
      <c r="B8138" s="37" t="str">
        <f t="array" ref="B8138">iferror(xlookup($I8138, 'IMPORT VHC Report'!$E:$E, 'IMPORT VHC Report'!$A:$C), )</f>
        <v/>
      </c>
      <c r="C8138" s="44"/>
      <c r="D8138" s="44"/>
      <c r="L8138" s="45"/>
      <c r="N8138" s="45"/>
    </row>
    <row r="8139">
      <c r="A8139" s="40" t="str">
        <f t="shared" si="1"/>
        <v/>
      </c>
      <c r="B8139" s="37" t="str">
        <f t="array" ref="B8139">iferror(xlookup($I8139, 'IMPORT VHC Report'!$E:$E, 'IMPORT VHC Report'!$A:$C), )</f>
        <v/>
      </c>
      <c r="C8139" s="44"/>
      <c r="D8139" s="44"/>
      <c r="L8139" s="45"/>
      <c r="N8139" s="45"/>
    </row>
    <row r="8140">
      <c r="A8140" s="40" t="str">
        <f t="shared" si="1"/>
        <v/>
      </c>
      <c r="B8140" s="37" t="str">
        <f t="array" ref="B8140">iferror(xlookup($I8140, 'IMPORT VHC Report'!$E:$E, 'IMPORT VHC Report'!$A:$C), )</f>
        <v/>
      </c>
      <c r="C8140" s="44"/>
      <c r="D8140" s="44"/>
      <c r="L8140" s="45"/>
      <c r="N8140" s="45"/>
    </row>
    <row r="8141">
      <c r="A8141" s="40" t="str">
        <f t="shared" si="1"/>
        <v/>
      </c>
      <c r="B8141" s="37" t="str">
        <f t="array" ref="B8141">iferror(xlookup($I8141, 'IMPORT VHC Report'!$E:$E, 'IMPORT VHC Report'!$A:$C), )</f>
        <v/>
      </c>
      <c r="C8141" s="44"/>
      <c r="D8141" s="44"/>
      <c r="L8141" s="45"/>
      <c r="N8141" s="45"/>
    </row>
    <row r="8142">
      <c r="A8142" s="40" t="str">
        <f t="shared" si="1"/>
        <v/>
      </c>
      <c r="B8142" s="37" t="str">
        <f t="array" ref="B8142">iferror(xlookup($I8142, 'IMPORT VHC Report'!$E:$E, 'IMPORT VHC Report'!$A:$C), )</f>
        <v/>
      </c>
      <c r="C8142" s="44"/>
      <c r="D8142" s="44"/>
      <c r="L8142" s="45"/>
      <c r="N8142" s="45"/>
    </row>
    <row r="8143">
      <c r="A8143" s="40" t="str">
        <f t="shared" si="1"/>
        <v/>
      </c>
      <c r="B8143" s="37" t="str">
        <f t="array" ref="B8143">iferror(xlookup($I8143, 'IMPORT VHC Report'!$E:$E, 'IMPORT VHC Report'!$A:$C), )</f>
        <v/>
      </c>
      <c r="C8143" s="44"/>
      <c r="D8143" s="44"/>
      <c r="L8143" s="45"/>
      <c r="N8143" s="45"/>
    </row>
    <row r="8144">
      <c r="A8144" s="40" t="str">
        <f t="shared" si="1"/>
        <v/>
      </c>
      <c r="B8144" s="37" t="str">
        <f t="array" ref="B8144">iferror(xlookup($I8144, 'IMPORT VHC Report'!$E:$E, 'IMPORT VHC Report'!$A:$C), )</f>
        <v/>
      </c>
      <c r="C8144" s="44"/>
      <c r="D8144" s="44"/>
      <c r="L8144" s="45"/>
      <c r="N8144" s="45"/>
    </row>
    <row r="8145">
      <c r="A8145" s="40" t="str">
        <f t="shared" si="1"/>
        <v/>
      </c>
      <c r="B8145" s="37" t="str">
        <f t="array" ref="B8145">iferror(xlookup($I8145, 'IMPORT VHC Report'!$E:$E, 'IMPORT VHC Report'!$A:$C), )</f>
        <v/>
      </c>
      <c r="C8145" s="44"/>
      <c r="D8145" s="44"/>
      <c r="L8145" s="45"/>
      <c r="N8145" s="45"/>
    </row>
    <row r="8146">
      <c r="A8146" s="40" t="str">
        <f t="shared" si="1"/>
        <v/>
      </c>
      <c r="B8146" s="37" t="str">
        <f t="array" ref="B8146">iferror(xlookup($I8146, 'IMPORT VHC Report'!$E:$E, 'IMPORT VHC Report'!$A:$C), )</f>
        <v/>
      </c>
      <c r="C8146" s="44"/>
      <c r="D8146" s="44"/>
      <c r="L8146" s="45"/>
      <c r="N8146" s="45"/>
    </row>
    <row r="8147">
      <c r="A8147" s="40" t="str">
        <f t="shared" si="1"/>
        <v/>
      </c>
      <c r="B8147" s="37" t="str">
        <f t="array" ref="B8147">iferror(xlookup($I8147, 'IMPORT VHC Report'!$E:$E, 'IMPORT VHC Report'!$A:$C), )</f>
        <v/>
      </c>
      <c r="C8147" s="44"/>
      <c r="D8147" s="44"/>
      <c r="L8147" s="45"/>
      <c r="N8147" s="45"/>
    </row>
    <row r="8148">
      <c r="A8148" s="40" t="str">
        <f t="shared" si="1"/>
        <v/>
      </c>
      <c r="B8148" s="37" t="str">
        <f t="array" ref="B8148">iferror(xlookup($I8148, 'IMPORT VHC Report'!$E:$E, 'IMPORT VHC Report'!$A:$C), )</f>
        <v/>
      </c>
      <c r="C8148" s="44"/>
      <c r="D8148" s="44"/>
      <c r="L8148" s="45"/>
      <c r="N8148" s="45"/>
    </row>
    <row r="8149">
      <c r="A8149" s="40" t="str">
        <f t="shared" si="1"/>
        <v/>
      </c>
      <c r="B8149" s="37" t="str">
        <f t="array" ref="B8149">iferror(xlookup($I8149, 'IMPORT VHC Report'!$E:$E, 'IMPORT VHC Report'!$A:$C), )</f>
        <v/>
      </c>
      <c r="C8149" s="44"/>
      <c r="D8149" s="44"/>
      <c r="L8149" s="45"/>
      <c r="N8149" s="45"/>
    </row>
    <row r="8150">
      <c r="A8150" s="40" t="str">
        <f t="shared" si="1"/>
        <v/>
      </c>
      <c r="B8150" s="37" t="str">
        <f t="array" ref="B8150">iferror(xlookup($I8150, 'IMPORT VHC Report'!$E:$E, 'IMPORT VHC Report'!$A:$C), )</f>
        <v/>
      </c>
      <c r="C8150" s="44"/>
      <c r="D8150" s="44"/>
      <c r="L8150" s="45"/>
      <c r="N8150" s="45"/>
    </row>
    <row r="8151">
      <c r="A8151" s="40" t="str">
        <f t="shared" si="1"/>
        <v/>
      </c>
      <c r="B8151" s="37" t="str">
        <f t="array" ref="B8151">iferror(xlookup($I8151, 'IMPORT VHC Report'!$E:$E, 'IMPORT VHC Report'!$A:$C), )</f>
        <v/>
      </c>
      <c r="C8151" s="44"/>
      <c r="D8151" s="44"/>
      <c r="L8151" s="45"/>
      <c r="N8151" s="45"/>
    </row>
    <row r="8152">
      <c r="A8152" s="40" t="str">
        <f t="shared" si="1"/>
        <v/>
      </c>
      <c r="B8152" s="37" t="str">
        <f t="array" ref="B8152">iferror(xlookup($I8152, 'IMPORT VHC Report'!$E:$E, 'IMPORT VHC Report'!$A:$C), )</f>
        <v/>
      </c>
      <c r="C8152" s="44"/>
      <c r="D8152" s="44"/>
      <c r="L8152" s="45"/>
      <c r="N8152" s="45"/>
    </row>
    <row r="8153">
      <c r="A8153" s="40" t="str">
        <f t="shared" si="1"/>
        <v/>
      </c>
      <c r="B8153" s="37" t="str">
        <f t="array" ref="B8153">iferror(xlookup($I8153, 'IMPORT VHC Report'!$E:$E, 'IMPORT VHC Report'!$A:$C), )</f>
        <v/>
      </c>
      <c r="C8153" s="44"/>
      <c r="D8153" s="44"/>
      <c r="L8153" s="45"/>
      <c r="N8153" s="45"/>
    </row>
    <row r="8154">
      <c r="A8154" s="40" t="str">
        <f t="shared" si="1"/>
        <v/>
      </c>
      <c r="B8154" s="37" t="str">
        <f t="array" ref="B8154">iferror(xlookup($I8154, 'IMPORT VHC Report'!$E:$E, 'IMPORT VHC Report'!$A:$C), )</f>
        <v/>
      </c>
      <c r="C8154" s="44"/>
      <c r="D8154" s="44"/>
      <c r="L8154" s="45"/>
      <c r="N8154" s="45"/>
    </row>
    <row r="8155">
      <c r="A8155" s="40" t="str">
        <f t="shared" si="1"/>
        <v/>
      </c>
      <c r="B8155" s="37" t="str">
        <f t="array" ref="B8155">iferror(xlookup($I8155, 'IMPORT VHC Report'!$E:$E, 'IMPORT VHC Report'!$A:$C), )</f>
        <v/>
      </c>
      <c r="C8155" s="44"/>
      <c r="D8155" s="44"/>
      <c r="L8155" s="45"/>
      <c r="N8155" s="45"/>
    </row>
    <row r="8156">
      <c r="A8156" s="40" t="str">
        <f t="shared" si="1"/>
        <v/>
      </c>
      <c r="B8156" s="37" t="str">
        <f t="array" ref="B8156">iferror(xlookup($I8156, 'IMPORT VHC Report'!$E:$E, 'IMPORT VHC Report'!$A:$C), )</f>
        <v/>
      </c>
      <c r="C8156" s="44"/>
      <c r="D8156" s="44"/>
      <c r="L8156" s="45"/>
      <c r="N8156" s="45"/>
    </row>
    <row r="8157">
      <c r="A8157" s="40" t="str">
        <f t="shared" si="1"/>
        <v/>
      </c>
      <c r="B8157" s="37" t="str">
        <f t="array" ref="B8157">iferror(xlookup($I8157, 'IMPORT VHC Report'!$E:$E, 'IMPORT VHC Report'!$A:$C), )</f>
        <v/>
      </c>
      <c r="C8157" s="44"/>
      <c r="D8157" s="44"/>
      <c r="L8157" s="45"/>
      <c r="N8157" s="45"/>
    </row>
    <row r="8158">
      <c r="A8158" s="40" t="str">
        <f t="shared" si="1"/>
        <v/>
      </c>
      <c r="B8158" s="37" t="str">
        <f t="array" ref="B8158">iferror(xlookup($I8158, 'IMPORT VHC Report'!$E:$E, 'IMPORT VHC Report'!$A:$C), )</f>
        <v/>
      </c>
      <c r="C8158" s="44"/>
      <c r="D8158" s="44"/>
      <c r="L8158" s="45"/>
      <c r="N8158" s="45"/>
    </row>
    <row r="8159">
      <c r="A8159" s="40" t="str">
        <f t="shared" si="1"/>
        <v/>
      </c>
      <c r="B8159" s="37" t="str">
        <f t="array" ref="B8159">iferror(xlookup($I8159, 'IMPORT VHC Report'!$E:$E, 'IMPORT VHC Report'!$A:$C), )</f>
        <v/>
      </c>
      <c r="C8159" s="44"/>
      <c r="D8159" s="44"/>
      <c r="L8159" s="45"/>
      <c r="N8159" s="45"/>
    </row>
    <row r="8160">
      <c r="A8160" s="40" t="str">
        <f t="shared" si="1"/>
        <v/>
      </c>
      <c r="B8160" s="37" t="str">
        <f t="array" ref="B8160">iferror(xlookup($I8160, 'IMPORT VHC Report'!$E:$E, 'IMPORT VHC Report'!$A:$C), )</f>
        <v/>
      </c>
      <c r="C8160" s="44"/>
      <c r="D8160" s="44"/>
      <c r="L8160" s="45"/>
      <c r="N8160" s="45"/>
    </row>
    <row r="8161">
      <c r="A8161" s="40" t="str">
        <f t="shared" si="1"/>
        <v/>
      </c>
      <c r="B8161" s="37" t="str">
        <f t="array" ref="B8161">iferror(xlookup($I8161, 'IMPORT VHC Report'!$E:$E, 'IMPORT VHC Report'!$A:$C), )</f>
        <v/>
      </c>
      <c r="C8161" s="44"/>
      <c r="D8161" s="44"/>
      <c r="L8161" s="45"/>
      <c r="N8161" s="45"/>
    </row>
    <row r="8162">
      <c r="A8162" s="40" t="str">
        <f t="shared" si="1"/>
        <v/>
      </c>
      <c r="B8162" s="37" t="str">
        <f t="array" ref="B8162">iferror(xlookup($I8162, 'IMPORT VHC Report'!$E:$E, 'IMPORT VHC Report'!$A:$C), )</f>
        <v/>
      </c>
      <c r="C8162" s="44"/>
      <c r="D8162" s="44"/>
      <c r="L8162" s="45"/>
      <c r="N8162" s="45"/>
    </row>
    <row r="8163">
      <c r="A8163" s="40" t="str">
        <f t="shared" si="1"/>
        <v/>
      </c>
      <c r="B8163" s="37" t="str">
        <f t="array" ref="B8163">iferror(xlookup($I8163, 'IMPORT VHC Report'!$E:$E, 'IMPORT VHC Report'!$A:$C), )</f>
        <v/>
      </c>
      <c r="C8163" s="44"/>
      <c r="D8163" s="44"/>
      <c r="L8163" s="45"/>
      <c r="N8163" s="45"/>
    </row>
    <row r="8164">
      <c r="A8164" s="40" t="str">
        <f t="shared" si="1"/>
        <v/>
      </c>
      <c r="B8164" s="37" t="str">
        <f t="array" ref="B8164">iferror(xlookup($I8164, 'IMPORT VHC Report'!$E:$E, 'IMPORT VHC Report'!$A:$C), )</f>
        <v/>
      </c>
      <c r="C8164" s="44"/>
      <c r="D8164" s="44"/>
      <c r="L8164" s="45"/>
      <c r="N8164" s="45"/>
    </row>
    <row r="8165">
      <c r="A8165" s="40" t="str">
        <f t="shared" si="1"/>
        <v/>
      </c>
      <c r="B8165" s="37" t="str">
        <f t="array" ref="B8165">iferror(xlookup($I8165, 'IMPORT VHC Report'!$E:$E, 'IMPORT VHC Report'!$A:$C), )</f>
        <v/>
      </c>
      <c r="C8165" s="44"/>
      <c r="D8165" s="44"/>
      <c r="L8165" s="45"/>
      <c r="N8165" s="45"/>
    </row>
    <row r="8166">
      <c r="A8166" s="40" t="str">
        <f t="shared" si="1"/>
        <v/>
      </c>
      <c r="B8166" s="37" t="str">
        <f t="array" ref="B8166">iferror(xlookup($I8166, 'IMPORT VHC Report'!$E:$E, 'IMPORT VHC Report'!$A:$C), )</f>
        <v/>
      </c>
      <c r="C8166" s="44"/>
      <c r="D8166" s="44"/>
      <c r="L8166" s="45"/>
      <c r="N8166" s="45"/>
    </row>
    <row r="8167">
      <c r="A8167" s="40" t="str">
        <f t="shared" si="1"/>
        <v/>
      </c>
      <c r="B8167" s="37" t="str">
        <f t="array" ref="B8167">iferror(xlookup($I8167, 'IMPORT VHC Report'!$E:$E, 'IMPORT VHC Report'!$A:$C), )</f>
        <v/>
      </c>
      <c r="C8167" s="44"/>
      <c r="D8167" s="44"/>
      <c r="L8167" s="45"/>
      <c r="N8167" s="45"/>
    </row>
    <row r="8168">
      <c r="A8168" s="40" t="str">
        <f t="shared" si="1"/>
        <v/>
      </c>
      <c r="B8168" s="37" t="str">
        <f t="array" ref="B8168">iferror(xlookup($I8168, 'IMPORT VHC Report'!$E:$E, 'IMPORT VHC Report'!$A:$C), )</f>
        <v/>
      </c>
      <c r="C8168" s="44"/>
      <c r="D8168" s="44"/>
      <c r="L8168" s="45"/>
      <c r="N8168" s="45"/>
    </row>
    <row r="8169">
      <c r="A8169" s="40" t="str">
        <f t="shared" si="1"/>
        <v/>
      </c>
      <c r="B8169" s="37" t="str">
        <f t="array" ref="B8169">iferror(xlookup($I8169, 'IMPORT VHC Report'!$E:$E, 'IMPORT VHC Report'!$A:$C), )</f>
        <v/>
      </c>
      <c r="C8169" s="44"/>
      <c r="D8169" s="44"/>
      <c r="L8169" s="45"/>
      <c r="N8169" s="45"/>
    </row>
    <row r="8170">
      <c r="A8170" s="40" t="str">
        <f t="shared" si="1"/>
        <v/>
      </c>
      <c r="B8170" s="37" t="str">
        <f t="array" ref="B8170">iferror(xlookup($I8170, 'IMPORT VHC Report'!$E:$E, 'IMPORT VHC Report'!$A:$C), )</f>
        <v/>
      </c>
      <c r="C8170" s="44"/>
      <c r="D8170" s="44"/>
      <c r="L8170" s="45"/>
      <c r="N8170" s="45"/>
    </row>
    <row r="8171">
      <c r="A8171" s="40" t="str">
        <f t="shared" si="1"/>
        <v/>
      </c>
      <c r="B8171" s="37" t="str">
        <f t="array" ref="B8171">iferror(xlookup($I8171, 'IMPORT VHC Report'!$E:$E, 'IMPORT VHC Report'!$A:$C), )</f>
        <v/>
      </c>
      <c r="C8171" s="44"/>
      <c r="D8171" s="44"/>
      <c r="L8171" s="45"/>
      <c r="N8171" s="45"/>
    </row>
    <row r="8172">
      <c r="A8172" s="40" t="str">
        <f t="shared" si="1"/>
        <v/>
      </c>
      <c r="B8172" s="37" t="str">
        <f t="array" ref="B8172">iferror(xlookup($I8172, 'IMPORT VHC Report'!$E:$E, 'IMPORT VHC Report'!$A:$C), )</f>
        <v/>
      </c>
      <c r="C8172" s="44"/>
      <c r="D8172" s="44"/>
      <c r="L8172" s="45"/>
      <c r="N8172" s="45"/>
    </row>
    <row r="8173">
      <c r="A8173" s="40" t="str">
        <f t="shared" si="1"/>
        <v/>
      </c>
      <c r="B8173" s="37" t="str">
        <f t="array" ref="B8173">iferror(xlookup($I8173, 'IMPORT VHC Report'!$E:$E, 'IMPORT VHC Report'!$A:$C), )</f>
        <v/>
      </c>
      <c r="C8173" s="44"/>
      <c r="D8173" s="44"/>
      <c r="L8173" s="45"/>
      <c r="N8173" s="45"/>
    </row>
    <row r="8174">
      <c r="A8174" s="40" t="str">
        <f t="shared" si="1"/>
        <v/>
      </c>
      <c r="B8174" s="37" t="str">
        <f t="array" ref="B8174">iferror(xlookup($I8174, 'IMPORT VHC Report'!$E:$E, 'IMPORT VHC Report'!$A:$C), )</f>
        <v/>
      </c>
      <c r="C8174" s="44"/>
      <c r="D8174" s="44"/>
      <c r="L8174" s="45"/>
      <c r="N8174" s="45"/>
    </row>
    <row r="8175">
      <c r="A8175" s="40" t="str">
        <f t="shared" si="1"/>
        <v/>
      </c>
      <c r="B8175" s="37" t="str">
        <f t="array" ref="B8175">iferror(xlookup($I8175, 'IMPORT VHC Report'!$E:$E, 'IMPORT VHC Report'!$A:$C), )</f>
        <v/>
      </c>
      <c r="C8175" s="44"/>
      <c r="D8175" s="44"/>
      <c r="L8175" s="45"/>
      <c r="N8175" s="45"/>
    </row>
    <row r="8176">
      <c r="A8176" s="40" t="str">
        <f t="shared" si="1"/>
        <v/>
      </c>
      <c r="B8176" s="37" t="str">
        <f t="array" ref="B8176">iferror(xlookup($I8176, 'IMPORT VHC Report'!$E:$E, 'IMPORT VHC Report'!$A:$C), )</f>
        <v/>
      </c>
      <c r="C8176" s="44"/>
      <c r="D8176" s="44"/>
      <c r="L8176" s="45"/>
      <c r="N8176" s="45"/>
    </row>
    <row r="8177">
      <c r="A8177" s="40" t="str">
        <f t="shared" si="1"/>
        <v/>
      </c>
      <c r="B8177" s="37" t="str">
        <f t="array" ref="B8177">iferror(xlookup($I8177, 'IMPORT VHC Report'!$E:$E, 'IMPORT VHC Report'!$A:$C), )</f>
        <v/>
      </c>
      <c r="C8177" s="44"/>
      <c r="D8177" s="44"/>
      <c r="L8177" s="45"/>
      <c r="N8177" s="45"/>
    </row>
    <row r="8178">
      <c r="A8178" s="40" t="str">
        <f t="shared" si="1"/>
        <v/>
      </c>
      <c r="B8178" s="37" t="str">
        <f t="array" ref="B8178">iferror(xlookup($I8178, 'IMPORT VHC Report'!$E:$E, 'IMPORT VHC Report'!$A:$C), )</f>
        <v/>
      </c>
      <c r="C8178" s="44"/>
      <c r="D8178" s="44"/>
      <c r="L8178" s="45"/>
      <c r="N8178" s="45"/>
    </row>
    <row r="8179">
      <c r="A8179" s="40" t="str">
        <f t="shared" si="1"/>
        <v/>
      </c>
      <c r="B8179" s="37" t="str">
        <f t="array" ref="B8179">iferror(xlookup($I8179, 'IMPORT VHC Report'!$E:$E, 'IMPORT VHC Report'!$A:$C), )</f>
        <v/>
      </c>
      <c r="C8179" s="44"/>
      <c r="D8179" s="44"/>
      <c r="L8179" s="45"/>
      <c r="N8179" s="45"/>
    </row>
    <row r="8180">
      <c r="A8180" s="40" t="str">
        <f t="shared" si="1"/>
        <v/>
      </c>
      <c r="B8180" s="37" t="str">
        <f t="array" ref="B8180">iferror(xlookup($I8180, 'IMPORT VHC Report'!$E:$E, 'IMPORT VHC Report'!$A:$C), )</f>
        <v/>
      </c>
      <c r="C8180" s="44"/>
      <c r="D8180" s="44"/>
      <c r="L8180" s="45"/>
      <c r="N8180" s="45"/>
    </row>
    <row r="8181">
      <c r="A8181" s="40" t="str">
        <f t="shared" si="1"/>
        <v/>
      </c>
      <c r="B8181" s="37" t="str">
        <f t="array" ref="B8181">iferror(xlookup($I8181, 'IMPORT VHC Report'!$E:$E, 'IMPORT VHC Report'!$A:$C), )</f>
        <v/>
      </c>
      <c r="C8181" s="44"/>
      <c r="D8181" s="44"/>
      <c r="L8181" s="45"/>
      <c r="N8181" s="45"/>
    </row>
    <row r="8182">
      <c r="A8182" s="40" t="str">
        <f t="shared" si="1"/>
        <v/>
      </c>
      <c r="B8182" s="37" t="str">
        <f t="array" ref="B8182">iferror(xlookup($I8182, 'IMPORT VHC Report'!$E:$E, 'IMPORT VHC Report'!$A:$C), )</f>
        <v/>
      </c>
      <c r="C8182" s="44"/>
      <c r="D8182" s="44"/>
      <c r="L8182" s="45"/>
      <c r="N8182" s="45"/>
    </row>
    <row r="8183">
      <c r="A8183" s="40" t="str">
        <f t="shared" si="1"/>
        <v/>
      </c>
      <c r="B8183" s="37" t="str">
        <f t="array" ref="B8183">iferror(xlookup($I8183, 'IMPORT VHC Report'!$E:$E, 'IMPORT VHC Report'!$A:$C), )</f>
        <v/>
      </c>
      <c r="C8183" s="44"/>
      <c r="D8183" s="44"/>
      <c r="L8183" s="45"/>
      <c r="N8183" s="45"/>
    </row>
    <row r="8184">
      <c r="A8184" s="40" t="str">
        <f t="shared" si="1"/>
        <v/>
      </c>
      <c r="B8184" s="37" t="str">
        <f t="array" ref="B8184">iferror(xlookup($I8184, 'IMPORT VHC Report'!$E:$E, 'IMPORT VHC Report'!$A:$C), )</f>
        <v/>
      </c>
      <c r="C8184" s="44"/>
      <c r="D8184" s="44"/>
      <c r="L8184" s="45"/>
      <c r="N8184" s="45"/>
    </row>
    <row r="8185">
      <c r="A8185" s="40" t="str">
        <f t="shared" si="1"/>
        <v/>
      </c>
      <c r="B8185" s="37" t="str">
        <f t="array" ref="B8185">iferror(xlookup($I8185, 'IMPORT VHC Report'!$E:$E, 'IMPORT VHC Report'!$A:$C), )</f>
        <v/>
      </c>
      <c r="C8185" s="44"/>
      <c r="D8185" s="44"/>
      <c r="L8185" s="45"/>
      <c r="N8185" s="45"/>
    </row>
    <row r="8186">
      <c r="A8186" s="40" t="str">
        <f t="shared" si="1"/>
        <v/>
      </c>
      <c r="B8186" s="37" t="str">
        <f t="array" ref="B8186">iferror(xlookup($I8186, 'IMPORT VHC Report'!$E:$E, 'IMPORT VHC Report'!$A:$C), )</f>
        <v/>
      </c>
      <c r="C8186" s="44"/>
      <c r="D8186" s="44"/>
      <c r="L8186" s="45"/>
      <c r="N8186" s="45"/>
    </row>
    <row r="8187">
      <c r="A8187" s="40" t="str">
        <f t="shared" si="1"/>
        <v/>
      </c>
      <c r="B8187" s="37" t="str">
        <f t="array" ref="B8187">iferror(xlookup($I8187, 'IMPORT VHC Report'!$E:$E, 'IMPORT VHC Report'!$A:$C), )</f>
        <v/>
      </c>
      <c r="C8187" s="44"/>
      <c r="D8187" s="44"/>
      <c r="L8187" s="45"/>
      <c r="N8187" s="45"/>
    </row>
    <row r="8188">
      <c r="A8188" s="40" t="str">
        <f t="shared" si="1"/>
        <v/>
      </c>
      <c r="B8188" s="37" t="str">
        <f t="array" ref="B8188">iferror(xlookup($I8188, 'IMPORT VHC Report'!$E:$E, 'IMPORT VHC Report'!$A:$C), )</f>
        <v/>
      </c>
      <c r="C8188" s="44"/>
      <c r="D8188" s="44"/>
      <c r="L8188" s="45"/>
      <c r="N8188" s="45"/>
    </row>
    <row r="8189">
      <c r="A8189" s="40" t="str">
        <f t="shared" si="1"/>
        <v/>
      </c>
      <c r="B8189" s="37" t="str">
        <f t="array" ref="B8189">iferror(xlookup($I8189, 'IMPORT VHC Report'!$E:$E, 'IMPORT VHC Report'!$A:$C), )</f>
        <v/>
      </c>
      <c r="C8189" s="44"/>
      <c r="D8189" s="44"/>
      <c r="L8189" s="45"/>
      <c r="N8189" s="45"/>
    </row>
    <row r="8190">
      <c r="A8190" s="40" t="str">
        <f t="shared" si="1"/>
        <v/>
      </c>
      <c r="B8190" s="37" t="str">
        <f t="array" ref="B8190">iferror(xlookup($I8190, 'IMPORT VHC Report'!$E:$E, 'IMPORT VHC Report'!$A:$C), )</f>
        <v/>
      </c>
      <c r="C8190" s="44"/>
      <c r="D8190" s="44"/>
      <c r="L8190" s="45"/>
      <c r="N8190" s="45"/>
    </row>
    <row r="8191">
      <c r="A8191" s="40" t="str">
        <f t="shared" si="1"/>
        <v/>
      </c>
      <c r="B8191" s="37" t="str">
        <f t="array" ref="B8191">iferror(xlookup($I8191, 'IMPORT VHC Report'!$E:$E, 'IMPORT VHC Report'!$A:$C), )</f>
        <v/>
      </c>
      <c r="C8191" s="44"/>
      <c r="D8191" s="44"/>
      <c r="L8191" s="45"/>
      <c r="N8191" s="45"/>
    </row>
    <row r="8192">
      <c r="A8192" s="40" t="str">
        <f t="shared" si="1"/>
        <v/>
      </c>
      <c r="B8192" s="37" t="str">
        <f t="array" ref="B8192">iferror(xlookup($I8192, 'IMPORT VHC Report'!$E:$E, 'IMPORT VHC Report'!$A:$C), )</f>
        <v/>
      </c>
      <c r="C8192" s="44"/>
      <c r="D8192" s="44"/>
      <c r="L8192" s="45"/>
      <c r="N8192" s="45"/>
    </row>
    <row r="8193">
      <c r="A8193" s="40" t="str">
        <f t="shared" si="1"/>
        <v/>
      </c>
      <c r="B8193" s="37" t="str">
        <f t="array" ref="B8193">iferror(xlookup($I8193, 'IMPORT VHC Report'!$E:$E, 'IMPORT VHC Report'!$A:$C), )</f>
        <v/>
      </c>
      <c r="C8193" s="44"/>
      <c r="D8193" s="44"/>
      <c r="L8193" s="45"/>
      <c r="N8193" s="45"/>
    </row>
    <row r="8194">
      <c r="A8194" s="40" t="str">
        <f t="shared" si="1"/>
        <v/>
      </c>
      <c r="B8194" s="37" t="str">
        <f t="array" ref="B8194">iferror(xlookup($I8194, 'IMPORT VHC Report'!$E:$E, 'IMPORT VHC Report'!$A:$C), )</f>
        <v/>
      </c>
      <c r="C8194" s="44"/>
      <c r="D8194" s="44"/>
      <c r="L8194" s="45"/>
      <c r="N8194" s="45"/>
    </row>
    <row r="8195">
      <c r="A8195" s="40" t="str">
        <f t="shared" si="1"/>
        <v/>
      </c>
      <c r="B8195" s="37" t="str">
        <f t="array" ref="B8195">iferror(xlookup($I8195, 'IMPORT VHC Report'!$E:$E, 'IMPORT VHC Report'!$A:$C), )</f>
        <v/>
      </c>
      <c r="C8195" s="44"/>
      <c r="D8195" s="44"/>
      <c r="L8195" s="45"/>
      <c r="N8195" s="45"/>
    </row>
    <row r="8196">
      <c r="A8196" s="40" t="str">
        <f t="shared" si="1"/>
        <v/>
      </c>
      <c r="B8196" s="37" t="str">
        <f t="array" ref="B8196">iferror(xlookup($I8196, 'IMPORT VHC Report'!$E:$E, 'IMPORT VHC Report'!$A:$C), )</f>
        <v/>
      </c>
      <c r="C8196" s="44"/>
      <c r="D8196" s="44"/>
      <c r="L8196" s="45"/>
      <c r="N8196" s="45"/>
    </row>
    <row r="8197">
      <c r="A8197" s="40" t="str">
        <f t="shared" si="1"/>
        <v/>
      </c>
      <c r="B8197" s="37" t="str">
        <f t="array" ref="B8197">iferror(xlookup($I8197, 'IMPORT VHC Report'!$E:$E, 'IMPORT VHC Report'!$A:$C), )</f>
        <v/>
      </c>
      <c r="C8197" s="44"/>
      <c r="D8197" s="44"/>
      <c r="L8197" s="45"/>
      <c r="N8197" s="45"/>
    </row>
    <row r="8198">
      <c r="A8198" s="40" t="str">
        <f t="shared" si="1"/>
        <v/>
      </c>
      <c r="B8198" s="37" t="str">
        <f t="array" ref="B8198">iferror(xlookup($I8198, 'IMPORT VHC Report'!$E:$E, 'IMPORT VHC Report'!$A:$C), )</f>
        <v/>
      </c>
      <c r="C8198" s="44"/>
      <c r="D8198" s="44"/>
      <c r="L8198" s="45"/>
      <c r="N8198" s="45"/>
    </row>
    <row r="8199">
      <c r="A8199" s="40" t="str">
        <f t="shared" si="1"/>
        <v/>
      </c>
      <c r="B8199" s="37" t="str">
        <f t="array" ref="B8199">iferror(xlookup($I8199, 'IMPORT VHC Report'!$E:$E, 'IMPORT VHC Report'!$A:$C), )</f>
        <v/>
      </c>
      <c r="C8199" s="44"/>
      <c r="D8199" s="44"/>
      <c r="L8199" s="45"/>
      <c r="N8199" s="45"/>
    </row>
    <row r="8200">
      <c r="A8200" s="40" t="str">
        <f t="shared" si="1"/>
        <v/>
      </c>
      <c r="B8200" s="37" t="str">
        <f t="array" ref="B8200">iferror(xlookup($I8200, 'IMPORT VHC Report'!$E:$E, 'IMPORT VHC Report'!$A:$C), )</f>
        <v/>
      </c>
      <c r="C8200" s="44"/>
      <c r="D8200" s="44"/>
      <c r="L8200" s="45"/>
      <c r="N8200" s="45"/>
    </row>
    <row r="8201">
      <c r="A8201" s="40" t="str">
        <f t="shared" si="1"/>
        <v/>
      </c>
      <c r="B8201" s="37" t="str">
        <f t="array" ref="B8201">iferror(xlookup($I8201, 'IMPORT VHC Report'!$E:$E, 'IMPORT VHC Report'!$A:$C), )</f>
        <v/>
      </c>
      <c r="C8201" s="44"/>
      <c r="D8201" s="44"/>
      <c r="L8201" s="45"/>
      <c r="N8201" s="45"/>
    </row>
    <row r="8202">
      <c r="A8202" s="40" t="str">
        <f t="shared" si="1"/>
        <v/>
      </c>
      <c r="B8202" s="37" t="str">
        <f t="array" ref="B8202">iferror(xlookup($I8202, 'IMPORT VHC Report'!$E:$E, 'IMPORT VHC Report'!$A:$C), )</f>
        <v/>
      </c>
      <c r="C8202" s="44"/>
      <c r="D8202" s="44"/>
      <c r="L8202" s="45"/>
      <c r="N8202" s="45"/>
    </row>
    <row r="8203">
      <c r="A8203" s="40" t="str">
        <f t="shared" si="1"/>
        <v/>
      </c>
      <c r="B8203" s="37" t="str">
        <f t="array" ref="B8203">iferror(xlookup($I8203, 'IMPORT VHC Report'!$E:$E, 'IMPORT VHC Report'!$A:$C), )</f>
        <v/>
      </c>
      <c r="C8203" s="44"/>
      <c r="D8203" s="44"/>
      <c r="L8203" s="45"/>
      <c r="N8203" s="45"/>
    </row>
    <row r="8204">
      <c r="A8204" s="40" t="str">
        <f t="shared" si="1"/>
        <v/>
      </c>
      <c r="B8204" s="37" t="str">
        <f t="array" ref="B8204">iferror(xlookup($I8204, 'IMPORT VHC Report'!$E:$E, 'IMPORT VHC Report'!$A:$C), )</f>
        <v/>
      </c>
      <c r="C8204" s="44"/>
      <c r="D8204" s="44"/>
      <c r="L8204" s="45"/>
      <c r="N8204" s="45"/>
    </row>
    <row r="8205">
      <c r="A8205" s="40" t="str">
        <f t="shared" si="1"/>
        <v/>
      </c>
      <c r="B8205" s="37" t="str">
        <f t="array" ref="B8205">iferror(xlookup($I8205, 'IMPORT VHC Report'!$E:$E, 'IMPORT VHC Report'!$A:$C), )</f>
        <v/>
      </c>
      <c r="C8205" s="44"/>
      <c r="D8205" s="44"/>
      <c r="L8205" s="45"/>
      <c r="N8205" s="45"/>
    </row>
    <row r="8206">
      <c r="A8206" s="40" t="str">
        <f t="shared" si="1"/>
        <v/>
      </c>
      <c r="B8206" s="37" t="str">
        <f t="array" ref="B8206">iferror(xlookup($I8206, 'IMPORT VHC Report'!$E:$E, 'IMPORT VHC Report'!$A:$C), )</f>
        <v/>
      </c>
      <c r="C8206" s="44"/>
      <c r="D8206" s="44"/>
      <c r="L8206" s="45"/>
      <c r="N8206" s="45"/>
    </row>
    <row r="8207">
      <c r="A8207" s="40" t="str">
        <f t="shared" si="1"/>
        <v/>
      </c>
      <c r="B8207" s="37" t="str">
        <f t="array" ref="B8207">iferror(xlookup($I8207, 'IMPORT VHC Report'!$E:$E, 'IMPORT VHC Report'!$A:$C), )</f>
        <v/>
      </c>
      <c r="C8207" s="44"/>
      <c r="D8207" s="44"/>
      <c r="L8207" s="45"/>
      <c r="N8207" s="45"/>
    </row>
    <row r="8208">
      <c r="A8208" s="40" t="str">
        <f t="shared" si="1"/>
        <v/>
      </c>
      <c r="B8208" s="37" t="str">
        <f t="array" ref="B8208">iferror(xlookup($I8208, 'IMPORT VHC Report'!$E:$E, 'IMPORT VHC Report'!$A:$C), )</f>
        <v/>
      </c>
      <c r="C8208" s="44"/>
      <c r="D8208" s="44"/>
      <c r="L8208" s="45"/>
      <c r="N8208" s="45"/>
    </row>
    <row r="8209">
      <c r="A8209" s="40" t="str">
        <f t="shared" si="1"/>
        <v/>
      </c>
      <c r="B8209" s="37" t="str">
        <f t="array" ref="B8209">iferror(xlookup($I8209, 'IMPORT VHC Report'!$E:$E, 'IMPORT VHC Report'!$A:$C), )</f>
        <v/>
      </c>
      <c r="C8209" s="44"/>
      <c r="D8209" s="44"/>
      <c r="L8209" s="45"/>
      <c r="N8209" s="45"/>
    </row>
    <row r="8210">
      <c r="A8210" s="40" t="str">
        <f t="shared" si="1"/>
        <v/>
      </c>
      <c r="B8210" s="37" t="str">
        <f t="array" ref="B8210">iferror(xlookup($I8210, 'IMPORT VHC Report'!$E:$E, 'IMPORT VHC Report'!$A:$C), )</f>
        <v/>
      </c>
      <c r="C8210" s="44"/>
      <c r="D8210" s="44"/>
      <c r="L8210" s="45"/>
      <c r="N8210" s="45"/>
    </row>
    <row r="8211">
      <c r="A8211" s="40" t="str">
        <f t="shared" si="1"/>
        <v/>
      </c>
      <c r="B8211" s="37" t="str">
        <f t="array" ref="B8211">iferror(xlookup($I8211, 'IMPORT VHC Report'!$E:$E, 'IMPORT VHC Report'!$A:$C), )</f>
        <v/>
      </c>
      <c r="C8211" s="44"/>
      <c r="D8211" s="44"/>
      <c r="L8211" s="45"/>
      <c r="N8211" s="45"/>
    </row>
    <row r="8212">
      <c r="A8212" s="40" t="str">
        <f t="shared" si="1"/>
        <v/>
      </c>
      <c r="B8212" s="37" t="str">
        <f t="array" ref="B8212">iferror(xlookup($I8212, 'IMPORT VHC Report'!$E:$E, 'IMPORT VHC Report'!$A:$C), )</f>
        <v/>
      </c>
      <c r="C8212" s="44"/>
      <c r="D8212" s="44"/>
      <c r="L8212" s="45"/>
      <c r="N8212" s="45"/>
    </row>
    <row r="8213">
      <c r="A8213" s="40" t="str">
        <f t="shared" si="1"/>
        <v/>
      </c>
      <c r="B8213" s="37" t="str">
        <f t="array" ref="B8213">iferror(xlookup($I8213, 'IMPORT VHC Report'!$E:$E, 'IMPORT VHC Report'!$A:$C), )</f>
        <v/>
      </c>
      <c r="C8213" s="44"/>
      <c r="D8213" s="44"/>
      <c r="L8213" s="45"/>
      <c r="N8213" s="45"/>
    </row>
    <row r="8214">
      <c r="A8214" s="40" t="str">
        <f t="shared" si="1"/>
        <v/>
      </c>
      <c r="B8214" s="37" t="str">
        <f t="array" ref="B8214">iferror(xlookup($I8214, 'IMPORT VHC Report'!$E:$E, 'IMPORT VHC Report'!$A:$C), )</f>
        <v/>
      </c>
      <c r="C8214" s="44"/>
      <c r="D8214" s="44"/>
      <c r="L8214" s="45"/>
      <c r="N8214" s="45"/>
    </row>
    <row r="8215">
      <c r="A8215" s="40" t="str">
        <f t="shared" si="1"/>
        <v/>
      </c>
      <c r="B8215" s="37" t="str">
        <f t="array" ref="B8215">iferror(xlookup($I8215, 'IMPORT VHC Report'!$E:$E, 'IMPORT VHC Report'!$A:$C), )</f>
        <v/>
      </c>
      <c r="C8215" s="44"/>
      <c r="D8215" s="44"/>
      <c r="L8215" s="45"/>
      <c r="N8215" s="45"/>
    </row>
    <row r="8216">
      <c r="A8216" s="40" t="str">
        <f t="shared" si="1"/>
        <v/>
      </c>
      <c r="B8216" s="37" t="str">
        <f t="array" ref="B8216">iferror(xlookup($I8216, 'IMPORT VHC Report'!$E:$E, 'IMPORT VHC Report'!$A:$C), )</f>
        <v/>
      </c>
      <c r="C8216" s="44"/>
      <c r="D8216" s="44"/>
      <c r="L8216" s="45"/>
      <c r="N8216" s="45"/>
    </row>
    <row r="8217">
      <c r="A8217" s="40" t="str">
        <f t="shared" si="1"/>
        <v/>
      </c>
      <c r="B8217" s="37" t="str">
        <f t="array" ref="B8217">iferror(xlookup($I8217, 'IMPORT VHC Report'!$E:$E, 'IMPORT VHC Report'!$A:$C), )</f>
        <v/>
      </c>
      <c r="C8217" s="44"/>
      <c r="D8217" s="44"/>
      <c r="L8217" s="45"/>
      <c r="N8217" s="45"/>
    </row>
    <row r="8218">
      <c r="A8218" s="40" t="str">
        <f t="shared" si="1"/>
        <v/>
      </c>
      <c r="B8218" s="37" t="str">
        <f t="array" ref="B8218">iferror(xlookup($I8218, 'IMPORT VHC Report'!$E:$E, 'IMPORT VHC Report'!$A:$C), )</f>
        <v/>
      </c>
      <c r="C8218" s="44"/>
      <c r="D8218" s="44"/>
      <c r="L8218" s="45"/>
      <c r="N8218" s="45"/>
    </row>
    <row r="8219">
      <c r="A8219" s="40" t="str">
        <f t="shared" si="1"/>
        <v/>
      </c>
      <c r="B8219" s="37" t="str">
        <f t="array" ref="B8219">iferror(xlookup($I8219, 'IMPORT VHC Report'!$E:$E, 'IMPORT VHC Report'!$A:$C), )</f>
        <v/>
      </c>
      <c r="C8219" s="44"/>
      <c r="D8219" s="44"/>
      <c r="L8219" s="45"/>
      <c r="N8219" s="45"/>
    </row>
    <row r="8220">
      <c r="A8220" s="40" t="str">
        <f t="shared" si="1"/>
        <v/>
      </c>
      <c r="B8220" s="37" t="str">
        <f t="array" ref="B8220">iferror(xlookup($I8220, 'IMPORT VHC Report'!$E:$E, 'IMPORT VHC Report'!$A:$C), )</f>
        <v/>
      </c>
      <c r="C8220" s="44"/>
      <c r="D8220" s="44"/>
      <c r="L8220" s="45"/>
      <c r="N8220" s="45"/>
    </row>
    <row r="8221">
      <c r="A8221" s="40" t="str">
        <f t="shared" si="1"/>
        <v/>
      </c>
      <c r="B8221" s="37" t="str">
        <f t="array" ref="B8221">iferror(xlookup($I8221, 'IMPORT VHC Report'!$E:$E, 'IMPORT VHC Report'!$A:$C), )</f>
        <v/>
      </c>
      <c r="C8221" s="44"/>
      <c r="D8221" s="44"/>
      <c r="L8221" s="45"/>
      <c r="N8221" s="45"/>
    </row>
    <row r="8222">
      <c r="A8222" s="40" t="str">
        <f t="shared" si="1"/>
        <v/>
      </c>
      <c r="B8222" s="37" t="str">
        <f t="array" ref="B8222">iferror(xlookup($I8222, 'IMPORT VHC Report'!$E:$E, 'IMPORT VHC Report'!$A:$C), )</f>
        <v/>
      </c>
      <c r="C8222" s="44"/>
      <c r="D8222" s="44"/>
      <c r="L8222" s="45"/>
      <c r="N8222" s="45"/>
    </row>
    <row r="8223">
      <c r="A8223" s="40" t="str">
        <f t="shared" si="1"/>
        <v/>
      </c>
      <c r="B8223" s="37" t="str">
        <f t="array" ref="B8223">iferror(xlookup($I8223, 'IMPORT VHC Report'!$E:$E, 'IMPORT VHC Report'!$A:$C), )</f>
        <v/>
      </c>
      <c r="C8223" s="44"/>
      <c r="D8223" s="44"/>
      <c r="L8223" s="45"/>
      <c r="N8223" s="45"/>
    </row>
    <row r="8224">
      <c r="A8224" s="40" t="str">
        <f t="shared" si="1"/>
        <v/>
      </c>
      <c r="B8224" s="37" t="str">
        <f t="array" ref="B8224">iferror(xlookup($I8224, 'IMPORT VHC Report'!$E:$E, 'IMPORT VHC Report'!$A:$C), )</f>
        <v/>
      </c>
      <c r="C8224" s="44"/>
      <c r="D8224" s="44"/>
      <c r="L8224" s="45"/>
      <c r="N8224" s="45"/>
    </row>
    <row r="8225">
      <c r="A8225" s="40" t="str">
        <f t="shared" si="1"/>
        <v/>
      </c>
      <c r="B8225" s="37" t="str">
        <f t="array" ref="B8225">iferror(xlookup($I8225, 'IMPORT VHC Report'!$E:$E, 'IMPORT VHC Report'!$A:$C), )</f>
        <v/>
      </c>
      <c r="C8225" s="44"/>
      <c r="D8225" s="44"/>
      <c r="L8225" s="45"/>
      <c r="N8225" s="45"/>
    </row>
    <row r="8226">
      <c r="A8226" s="40" t="str">
        <f t="shared" si="1"/>
        <v/>
      </c>
      <c r="B8226" s="37" t="str">
        <f t="array" ref="B8226">iferror(xlookup($I8226, 'IMPORT VHC Report'!$E:$E, 'IMPORT VHC Report'!$A:$C), )</f>
        <v/>
      </c>
      <c r="C8226" s="44"/>
      <c r="D8226" s="44"/>
      <c r="L8226" s="45"/>
      <c r="N8226" s="45"/>
    </row>
    <row r="8227">
      <c r="A8227" s="40" t="str">
        <f t="shared" si="1"/>
        <v/>
      </c>
      <c r="B8227" s="37" t="str">
        <f t="array" ref="B8227">iferror(xlookup($I8227, 'IMPORT VHC Report'!$E:$E, 'IMPORT VHC Report'!$A:$C), )</f>
        <v/>
      </c>
      <c r="C8227" s="44"/>
      <c r="D8227" s="44"/>
      <c r="L8227" s="45"/>
      <c r="N8227" s="45"/>
    </row>
    <row r="8228">
      <c r="A8228" s="40" t="str">
        <f t="shared" si="1"/>
        <v/>
      </c>
      <c r="B8228" s="37" t="str">
        <f t="array" ref="B8228">iferror(xlookup($I8228, 'IMPORT VHC Report'!$E:$E, 'IMPORT VHC Report'!$A:$C), )</f>
        <v/>
      </c>
      <c r="C8228" s="44"/>
      <c r="D8228" s="44"/>
      <c r="L8228" s="45"/>
      <c r="N8228" s="45"/>
    </row>
    <row r="8229">
      <c r="A8229" s="40" t="str">
        <f t="shared" si="1"/>
        <v/>
      </c>
      <c r="B8229" s="37" t="str">
        <f t="array" ref="B8229">iferror(xlookup($I8229, 'IMPORT VHC Report'!$E:$E, 'IMPORT VHC Report'!$A:$C), )</f>
        <v/>
      </c>
      <c r="C8229" s="44"/>
      <c r="D8229" s="44"/>
      <c r="L8229" s="45"/>
      <c r="N8229" s="45"/>
    </row>
    <row r="8230">
      <c r="A8230" s="40" t="str">
        <f t="shared" si="1"/>
        <v/>
      </c>
      <c r="B8230" s="37" t="str">
        <f t="array" ref="B8230">iferror(xlookup($I8230, 'IMPORT VHC Report'!$E:$E, 'IMPORT VHC Report'!$A:$C), )</f>
        <v/>
      </c>
      <c r="C8230" s="44"/>
      <c r="D8230" s="44"/>
      <c r="L8230" s="45"/>
      <c r="N8230" s="45"/>
    </row>
    <row r="8231">
      <c r="A8231" s="40" t="str">
        <f t="shared" si="1"/>
        <v/>
      </c>
      <c r="B8231" s="37" t="str">
        <f t="array" ref="B8231">iferror(xlookup($I8231, 'IMPORT VHC Report'!$E:$E, 'IMPORT VHC Report'!$A:$C), )</f>
        <v/>
      </c>
      <c r="C8231" s="44"/>
      <c r="D8231" s="44"/>
      <c r="L8231" s="45"/>
      <c r="N8231" s="45"/>
    </row>
    <row r="8232">
      <c r="A8232" s="40" t="str">
        <f t="shared" si="1"/>
        <v/>
      </c>
      <c r="B8232" s="37" t="str">
        <f t="array" ref="B8232">iferror(xlookup($I8232, 'IMPORT VHC Report'!$E:$E, 'IMPORT VHC Report'!$A:$C), )</f>
        <v/>
      </c>
      <c r="C8232" s="44"/>
      <c r="D8232" s="44"/>
      <c r="L8232" s="45"/>
      <c r="N8232" s="45"/>
    </row>
    <row r="8233">
      <c r="A8233" s="40" t="str">
        <f t="shared" si="1"/>
        <v/>
      </c>
      <c r="B8233" s="37" t="str">
        <f t="array" ref="B8233">iferror(xlookup($I8233, 'IMPORT VHC Report'!$E:$E, 'IMPORT VHC Report'!$A:$C), )</f>
        <v/>
      </c>
      <c r="C8233" s="44"/>
      <c r="D8233" s="44"/>
      <c r="L8233" s="45"/>
      <c r="N8233" s="45"/>
    </row>
    <row r="8234">
      <c r="A8234" s="40" t="str">
        <f t="shared" si="1"/>
        <v/>
      </c>
      <c r="B8234" s="37" t="str">
        <f t="array" ref="B8234">iferror(xlookup($I8234, 'IMPORT VHC Report'!$E:$E, 'IMPORT VHC Report'!$A:$C), )</f>
        <v/>
      </c>
      <c r="C8234" s="44"/>
      <c r="D8234" s="44"/>
      <c r="L8234" s="45"/>
      <c r="N8234" s="45"/>
    </row>
    <row r="8235">
      <c r="A8235" s="40" t="str">
        <f t="shared" si="1"/>
        <v/>
      </c>
      <c r="B8235" s="37" t="str">
        <f t="array" ref="B8235">iferror(xlookup($I8235, 'IMPORT VHC Report'!$E:$E, 'IMPORT VHC Report'!$A:$C), )</f>
        <v/>
      </c>
      <c r="C8235" s="44"/>
      <c r="D8235" s="44"/>
      <c r="L8235" s="45"/>
      <c r="N8235" s="45"/>
    </row>
    <row r="8236">
      <c r="A8236" s="40" t="str">
        <f t="shared" si="1"/>
        <v/>
      </c>
      <c r="B8236" s="37" t="str">
        <f t="array" ref="B8236">iferror(xlookup($I8236, 'IMPORT VHC Report'!$E:$E, 'IMPORT VHC Report'!$A:$C), )</f>
        <v/>
      </c>
      <c r="C8236" s="44"/>
      <c r="D8236" s="44"/>
      <c r="L8236" s="45"/>
      <c r="N8236" s="45"/>
    </row>
    <row r="8237">
      <c r="A8237" s="40" t="str">
        <f t="shared" si="1"/>
        <v/>
      </c>
      <c r="B8237" s="37" t="str">
        <f t="array" ref="B8237">iferror(xlookup($I8237, 'IMPORT VHC Report'!$E:$E, 'IMPORT VHC Report'!$A:$C), )</f>
        <v/>
      </c>
      <c r="C8237" s="44"/>
      <c r="D8237" s="44"/>
      <c r="L8237" s="45"/>
      <c r="N8237" s="45"/>
    </row>
    <row r="8238">
      <c r="A8238" s="40" t="str">
        <f t="shared" si="1"/>
        <v/>
      </c>
      <c r="B8238" s="37" t="str">
        <f t="array" ref="B8238">iferror(xlookup($I8238, 'IMPORT VHC Report'!$E:$E, 'IMPORT VHC Report'!$A:$C), )</f>
        <v/>
      </c>
      <c r="C8238" s="44"/>
      <c r="D8238" s="44"/>
      <c r="L8238" s="45"/>
      <c r="N8238" s="45"/>
    </row>
    <row r="8239">
      <c r="A8239" s="40" t="str">
        <f t="shared" si="1"/>
        <v/>
      </c>
      <c r="B8239" s="37" t="str">
        <f t="array" ref="B8239">iferror(xlookup($I8239, 'IMPORT VHC Report'!$E:$E, 'IMPORT VHC Report'!$A:$C), )</f>
        <v/>
      </c>
      <c r="C8239" s="44"/>
      <c r="D8239" s="44"/>
      <c r="L8239" s="45"/>
      <c r="N8239" s="45"/>
    </row>
    <row r="8240">
      <c r="A8240" s="40" t="str">
        <f t="shared" si="1"/>
        <v/>
      </c>
      <c r="B8240" s="37" t="str">
        <f t="array" ref="B8240">iferror(xlookup($I8240, 'IMPORT VHC Report'!$E:$E, 'IMPORT VHC Report'!$A:$C), )</f>
        <v/>
      </c>
      <c r="C8240" s="44"/>
      <c r="D8240" s="44"/>
      <c r="L8240" s="45"/>
      <c r="N8240" s="45"/>
    </row>
    <row r="8241">
      <c r="A8241" s="40" t="str">
        <f t="shared" si="1"/>
        <v/>
      </c>
      <c r="B8241" s="37" t="str">
        <f t="array" ref="B8241">iferror(xlookup($I8241, 'IMPORT VHC Report'!$E:$E, 'IMPORT VHC Report'!$A:$C), )</f>
        <v/>
      </c>
      <c r="C8241" s="44"/>
      <c r="D8241" s="44"/>
      <c r="L8241" s="45"/>
      <c r="N8241" s="45"/>
    </row>
    <row r="8242">
      <c r="A8242" s="40" t="str">
        <f t="shared" si="1"/>
        <v/>
      </c>
      <c r="B8242" s="37" t="str">
        <f t="array" ref="B8242">iferror(xlookup($I8242, 'IMPORT VHC Report'!$E:$E, 'IMPORT VHC Report'!$A:$C), )</f>
        <v/>
      </c>
      <c r="C8242" s="44"/>
      <c r="D8242" s="44"/>
      <c r="L8242" s="45"/>
      <c r="N8242" s="45"/>
    </row>
    <row r="8243">
      <c r="A8243" s="40" t="str">
        <f t="shared" si="1"/>
        <v/>
      </c>
      <c r="B8243" s="37" t="str">
        <f t="array" ref="B8243">iferror(xlookup($I8243, 'IMPORT VHC Report'!$E:$E, 'IMPORT VHC Report'!$A:$C), )</f>
        <v/>
      </c>
      <c r="C8243" s="44"/>
      <c r="D8243" s="44"/>
      <c r="L8243" s="45"/>
      <c r="N8243" s="45"/>
    </row>
    <row r="8244">
      <c r="A8244" s="40" t="str">
        <f t="shared" si="1"/>
        <v/>
      </c>
      <c r="B8244" s="37" t="str">
        <f t="array" ref="B8244">iferror(xlookup($I8244, 'IMPORT VHC Report'!$E:$E, 'IMPORT VHC Report'!$A:$C), )</f>
        <v/>
      </c>
      <c r="C8244" s="44"/>
      <c r="D8244" s="44"/>
      <c r="L8244" s="45"/>
      <c r="N8244" s="45"/>
    </row>
    <row r="8245">
      <c r="A8245" s="40" t="str">
        <f t="shared" si="1"/>
        <v/>
      </c>
      <c r="B8245" s="37" t="str">
        <f t="array" ref="B8245">iferror(xlookup($I8245, 'IMPORT VHC Report'!$E:$E, 'IMPORT VHC Report'!$A:$C), )</f>
        <v/>
      </c>
      <c r="C8245" s="44"/>
      <c r="D8245" s="44"/>
      <c r="L8245" s="45"/>
      <c r="N8245" s="45"/>
    </row>
    <row r="8246">
      <c r="A8246" s="40" t="str">
        <f t="shared" si="1"/>
        <v/>
      </c>
      <c r="B8246" s="37" t="str">
        <f t="array" ref="B8246">iferror(xlookup($I8246, 'IMPORT VHC Report'!$E:$E, 'IMPORT VHC Report'!$A:$C), )</f>
        <v/>
      </c>
      <c r="C8246" s="44"/>
      <c r="D8246" s="44"/>
      <c r="L8246" s="45"/>
      <c r="N8246" s="45"/>
    </row>
    <row r="8247">
      <c r="A8247" s="40" t="str">
        <f t="shared" si="1"/>
        <v/>
      </c>
      <c r="B8247" s="37" t="str">
        <f t="array" ref="B8247">iferror(xlookup($I8247, 'IMPORT VHC Report'!$E:$E, 'IMPORT VHC Report'!$A:$C), )</f>
        <v/>
      </c>
      <c r="C8247" s="44"/>
      <c r="D8247" s="44"/>
      <c r="L8247" s="45"/>
      <c r="N8247" s="45"/>
    </row>
    <row r="8248">
      <c r="A8248" s="40" t="str">
        <f t="shared" si="1"/>
        <v/>
      </c>
      <c r="B8248" s="37" t="str">
        <f t="array" ref="B8248">iferror(xlookup($I8248, 'IMPORT VHC Report'!$E:$E, 'IMPORT VHC Report'!$A:$C), )</f>
        <v/>
      </c>
      <c r="C8248" s="44"/>
      <c r="D8248" s="44"/>
      <c r="L8248" s="45"/>
      <c r="N8248" s="45"/>
    </row>
    <row r="8249">
      <c r="A8249" s="40" t="str">
        <f t="shared" si="1"/>
        <v/>
      </c>
      <c r="B8249" s="37" t="str">
        <f t="array" ref="B8249">iferror(xlookup($I8249, 'IMPORT VHC Report'!$E:$E, 'IMPORT VHC Report'!$A:$C), )</f>
        <v/>
      </c>
      <c r="C8249" s="44"/>
      <c r="D8249" s="44"/>
      <c r="L8249" s="45"/>
      <c r="N8249" s="45"/>
    </row>
    <row r="8250">
      <c r="A8250" s="40" t="str">
        <f t="shared" si="1"/>
        <v/>
      </c>
      <c r="B8250" s="37" t="str">
        <f t="array" ref="B8250">iferror(xlookup($I8250, 'IMPORT VHC Report'!$E:$E, 'IMPORT VHC Report'!$A:$C), )</f>
        <v/>
      </c>
      <c r="C8250" s="44"/>
      <c r="D8250" s="44"/>
      <c r="L8250" s="45"/>
      <c r="N8250" s="45"/>
    </row>
    <row r="8251">
      <c r="A8251" s="40" t="str">
        <f t="shared" si="1"/>
        <v/>
      </c>
      <c r="B8251" s="37" t="str">
        <f t="array" ref="B8251">iferror(xlookup($I8251, 'IMPORT VHC Report'!$E:$E, 'IMPORT VHC Report'!$A:$C), )</f>
        <v/>
      </c>
      <c r="C8251" s="44"/>
      <c r="D8251" s="44"/>
      <c r="L8251" s="45"/>
      <c r="N8251" s="45"/>
    </row>
    <row r="8252">
      <c r="A8252" s="40" t="str">
        <f t="shared" si="1"/>
        <v/>
      </c>
      <c r="B8252" s="37" t="str">
        <f t="array" ref="B8252">iferror(xlookup($I8252, 'IMPORT VHC Report'!$E:$E, 'IMPORT VHC Report'!$A:$C), )</f>
        <v/>
      </c>
      <c r="C8252" s="44"/>
      <c r="D8252" s="44"/>
      <c r="L8252" s="45"/>
      <c r="N8252" s="45"/>
    </row>
    <row r="8253">
      <c r="A8253" s="40" t="str">
        <f t="shared" si="1"/>
        <v/>
      </c>
      <c r="B8253" s="37" t="str">
        <f t="array" ref="B8253">iferror(xlookup($I8253, 'IMPORT VHC Report'!$E:$E, 'IMPORT VHC Report'!$A:$C), )</f>
        <v/>
      </c>
      <c r="C8253" s="44"/>
      <c r="D8253" s="44"/>
      <c r="L8253" s="45"/>
      <c r="N8253" s="45"/>
    </row>
    <row r="8254">
      <c r="A8254" s="40" t="str">
        <f t="shared" si="1"/>
        <v/>
      </c>
      <c r="B8254" s="37" t="str">
        <f t="array" ref="B8254">iferror(xlookup($I8254, 'IMPORT VHC Report'!$E:$E, 'IMPORT VHC Report'!$A:$C), )</f>
        <v/>
      </c>
      <c r="C8254" s="44"/>
      <c r="D8254" s="44"/>
      <c r="L8254" s="45"/>
      <c r="N8254" s="45"/>
    </row>
    <row r="8255">
      <c r="A8255" s="40" t="str">
        <f t="shared" si="1"/>
        <v/>
      </c>
      <c r="B8255" s="37" t="str">
        <f t="array" ref="B8255">iferror(xlookup($I8255, 'IMPORT VHC Report'!$E:$E, 'IMPORT VHC Report'!$A:$C), )</f>
        <v/>
      </c>
      <c r="C8255" s="44"/>
      <c r="D8255" s="44"/>
      <c r="L8255" s="45"/>
      <c r="N8255" s="45"/>
    </row>
    <row r="8256">
      <c r="A8256" s="40" t="str">
        <f t="shared" si="1"/>
        <v/>
      </c>
      <c r="B8256" s="37" t="str">
        <f t="array" ref="B8256">iferror(xlookup($I8256, 'IMPORT VHC Report'!$E:$E, 'IMPORT VHC Report'!$A:$C), )</f>
        <v/>
      </c>
      <c r="C8256" s="44"/>
      <c r="D8256" s="44"/>
      <c r="L8256" s="45"/>
      <c r="N8256" s="45"/>
    </row>
    <row r="8257">
      <c r="A8257" s="40" t="str">
        <f t="shared" si="1"/>
        <v/>
      </c>
      <c r="B8257" s="37" t="str">
        <f t="array" ref="B8257">iferror(xlookup($I8257, 'IMPORT VHC Report'!$E:$E, 'IMPORT VHC Report'!$A:$C), )</f>
        <v/>
      </c>
      <c r="C8257" s="44"/>
      <c r="D8257" s="44"/>
      <c r="L8257" s="45"/>
      <c r="N8257" s="45"/>
    </row>
    <row r="8258">
      <c r="A8258" s="40" t="str">
        <f t="shared" si="1"/>
        <v/>
      </c>
      <c r="B8258" s="37" t="str">
        <f t="array" ref="B8258">iferror(xlookup($I8258, 'IMPORT VHC Report'!$E:$E, 'IMPORT VHC Report'!$A:$C), )</f>
        <v/>
      </c>
      <c r="C8258" s="44"/>
      <c r="D8258" s="44"/>
      <c r="L8258" s="45"/>
      <c r="N8258" s="45"/>
    </row>
    <row r="8259">
      <c r="A8259" s="40" t="str">
        <f t="shared" si="1"/>
        <v/>
      </c>
      <c r="B8259" s="37" t="str">
        <f t="array" ref="B8259">iferror(xlookup($I8259, 'IMPORT VHC Report'!$E:$E, 'IMPORT VHC Report'!$A:$C), )</f>
        <v/>
      </c>
      <c r="C8259" s="44"/>
      <c r="D8259" s="44"/>
      <c r="L8259" s="45"/>
      <c r="N8259" s="45"/>
    </row>
    <row r="8260">
      <c r="A8260" s="40" t="str">
        <f t="shared" si="1"/>
        <v/>
      </c>
      <c r="B8260" s="37" t="str">
        <f t="array" ref="B8260">iferror(xlookup($I8260, 'IMPORT VHC Report'!$E:$E, 'IMPORT VHC Report'!$A:$C), )</f>
        <v/>
      </c>
      <c r="C8260" s="44"/>
      <c r="D8260" s="44"/>
      <c r="L8260" s="45"/>
      <c r="N8260" s="45"/>
    </row>
    <row r="8261">
      <c r="A8261" s="40" t="str">
        <f t="shared" si="1"/>
        <v/>
      </c>
      <c r="B8261" s="37" t="str">
        <f t="array" ref="B8261">iferror(xlookup($I8261, 'IMPORT VHC Report'!$E:$E, 'IMPORT VHC Report'!$A:$C), )</f>
        <v/>
      </c>
      <c r="C8261" s="44"/>
      <c r="D8261" s="44"/>
      <c r="L8261" s="45"/>
      <c r="N8261" s="45"/>
    </row>
    <row r="8262">
      <c r="A8262" s="40" t="str">
        <f t="shared" si="1"/>
        <v/>
      </c>
      <c r="B8262" s="37" t="str">
        <f t="array" ref="B8262">iferror(xlookup($I8262, 'IMPORT VHC Report'!$E:$E, 'IMPORT VHC Report'!$A:$C), )</f>
        <v/>
      </c>
      <c r="C8262" s="44"/>
      <c r="D8262" s="44"/>
      <c r="L8262" s="45"/>
      <c r="N8262" s="45"/>
    </row>
    <row r="8263">
      <c r="A8263" s="40" t="str">
        <f t="shared" si="1"/>
        <v/>
      </c>
      <c r="B8263" s="37" t="str">
        <f t="array" ref="B8263">iferror(xlookup($I8263, 'IMPORT VHC Report'!$E:$E, 'IMPORT VHC Report'!$A:$C), )</f>
        <v/>
      </c>
      <c r="C8263" s="44"/>
      <c r="D8263" s="44"/>
      <c r="L8263" s="45"/>
      <c r="N8263" s="45"/>
    </row>
    <row r="8264">
      <c r="A8264" s="40" t="str">
        <f t="shared" si="1"/>
        <v/>
      </c>
      <c r="B8264" s="37" t="str">
        <f t="array" ref="B8264">iferror(xlookup($I8264, 'IMPORT VHC Report'!$E:$E, 'IMPORT VHC Report'!$A:$C), )</f>
        <v/>
      </c>
      <c r="C8264" s="44"/>
      <c r="D8264" s="44"/>
      <c r="L8264" s="45"/>
      <c r="N8264" s="45"/>
    </row>
    <row r="8265">
      <c r="A8265" s="40" t="str">
        <f t="shared" si="1"/>
        <v/>
      </c>
      <c r="B8265" s="37" t="str">
        <f t="array" ref="B8265">iferror(xlookup($I8265, 'IMPORT VHC Report'!$E:$E, 'IMPORT VHC Report'!$A:$C), )</f>
        <v/>
      </c>
      <c r="C8265" s="44"/>
      <c r="D8265" s="44"/>
      <c r="L8265" s="45"/>
      <c r="N8265" s="45"/>
    </row>
    <row r="8266">
      <c r="A8266" s="40" t="str">
        <f t="shared" si="1"/>
        <v/>
      </c>
      <c r="B8266" s="37" t="str">
        <f t="array" ref="B8266">iferror(xlookup($I8266, 'IMPORT VHC Report'!$E:$E, 'IMPORT VHC Report'!$A:$C), )</f>
        <v/>
      </c>
      <c r="C8266" s="44"/>
      <c r="D8266" s="44"/>
      <c r="L8266" s="45"/>
      <c r="N8266" s="45"/>
    </row>
    <row r="8267">
      <c r="A8267" s="40" t="str">
        <f t="shared" si="1"/>
        <v/>
      </c>
      <c r="B8267" s="37" t="str">
        <f t="array" ref="B8267">iferror(xlookup($I8267, 'IMPORT VHC Report'!$E:$E, 'IMPORT VHC Report'!$A:$C), )</f>
        <v/>
      </c>
      <c r="C8267" s="44"/>
      <c r="D8267" s="44"/>
      <c r="L8267" s="45"/>
      <c r="N8267" s="45"/>
    </row>
    <row r="8268">
      <c r="A8268" s="40" t="str">
        <f t="shared" si="1"/>
        <v/>
      </c>
      <c r="B8268" s="37" t="str">
        <f t="array" ref="B8268">iferror(xlookup($I8268, 'IMPORT VHC Report'!$E:$E, 'IMPORT VHC Report'!$A:$C), )</f>
        <v/>
      </c>
      <c r="C8268" s="44"/>
      <c r="D8268" s="44"/>
      <c r="L8268" s="45"/>
      <c r="N8268" s="45"/>
    </row>
    <row r="8269">
      <c r="A8269" s="40" t="str">
        <f t="shared" si="1"/>
        <v/>
      </c>
      <c r="B8269" s="37" t="str">
        <f t="array" ref="B8269">iferror(xlookup($I8269, 'IMPORT VHC Report'!$E:$E, 'IMPORT VHC Report'!$A:$C), )</f>
        <v/>
      </c>
      <c r="C8269" s="44"/>
      <c r="D8269" s="44"/>
      <c r="L8269" s="45"/>
      <c r="N8269" s="45"/>
    </row>
    <row r="8270">
      <c r="A8270" s="40" t="str">
        <f t="shared" si="1"/>
        <v/>
      </c>
      <c r="B8270" s="37" t="str">
        <f t="array" ref="B8270">iferror(xlookup($I8270, 'IMPORT VHC Report'!$E:$E, 'IMPORT VHC Report'!$A:$C), )</f>
        <v/>
      </c>
      <c r="C8270" s="44"/>
      <c r="D8270" s="44"/>
      <c r="L8270" s="45"/>
      <c r="N8270" s="45"/>
    </row>
    <row r="8271">
      <c r="A8271" s="40" t="str">
        <f t="shared" si="1"/>
        <v/>
      </c>
      <c r="B8271" s="37" t="str">
        <f t="array" ref="B8271">iferror(xlookup($I8271, 'IMPORT VHC Report'!$E:$E, 'IMPORT VHC Report'!$A:$C), )</f>
        <v/>
      </c>
      <c r="C8271" s="44"/>
      <c r="D8271" s="44"/>
      <c r="L8271" s="45"/>
      <c r="N8271" s="45"/>
    </row>
    <row r="8272">
      <c r="A8272" s="40" t="str">
        <f t="shared" si="1"/>
        <v/>
      </c>
      <c r="B8272" s="37" t="str">
        <f t="array" ref="B8272">iferror(xlookup($I8272, 'IMPORT VHC Report'!$E:$E, 'IMPORT VHC Report'!$A:$C), )</f>
        <v/>
      </c>
      <c r="C8272" s="44"/>
      <c r="D8272" s="44"/>
      <c r="L8272" s="45"/>
      <c r="N8272" s="45"/>
    </row>
    <row r="8273">
      <c r="A8273" s="40" t="str">
        <f t="shared" si="1"/>
        <v/>
      </c>
      <c r="B8273" s="37" t="str">
        <f t="array" ref="B8273">iferror(xlookup($I8273, 'IMPORT VHC Report'!$E:$E, 'IMPORT VHC Report'!$A:$C), )</f>
        <v/>
      </c>
      <c r="C8273" s="44"/>
      <c r="D8273" s="44"/>
      <c r="L8273" s="45"/>
      <c r="N8273" s="45"/>
    </row>
    <row r="8274">
      <c r="A8274" s="40" t="str">
        <f t="shared" si="1"/>
        <v/>
      </c>
      <c r="B8274" s="37" t="str">
        <f t="array" ref="B8274">iferror(xlookup($I8274, 'IMPORT VHC Report'!$E:$E, 'IMPORT VHC Report'!$A:$C), )</f>
        <v/>
      </c>
      <c r="C8274" s="44"/>
      <c r="D8274" s="44"/>
      <c r="L8274" s="45"/>
      <c r="N8274" s="45"/>
    </row>
    <row r="8275">
      <c r="A8275" s="40" t="str">
        <f t="shared" si="1"/>
        <v/>
      </c>
      <c r="B8275" s="37" t="str">
        <f t="array" ref="B8275">iferror(xlookup($I8275, 'IMPORT VHC Report'!$E:$E, 'IMPORT VHC Report'!$A:$C), )</f>
        <v/>
      </c>
      <c r="C8275" s="44"/>
      <c r="D8275" s="44"/>
      <c r="L8275" s="45"/>
      <c r="N8275" s="45"/>
    </row>
    <row r="8276">
      <c r="A8276" s="40" t="str">
        <f t="shared" si="1"/>
        <v/>
      </c>
      <c r="B8276" s="37" t="str">
        <f t="array" ref="B8276">iferror(xlookup($I8276, 'IMPORT VHC Report'!$E:$E, 'IMPORT VHC Report'!$A:$C), )</f>
        <v/>
      </c>
      <c r="C8276" s="44"/>
      <c r="D8276" s="44"/>
      <c r="L8276" s="45"/>
      <c r="N8276" s="45"/>
    </row>
    <row r="8277">
      <c r="A8277" s="40" t="str">
        <f t="shared" si="1"/>
        <v/>
      </c>
      <c r="B8277" s="37" t="str">
        <f t="array" ref="B8277">iferror(xlookup($I8277, 'IMPORT VHC Report'!$E:$E, 'IMPORT VHC Report'!$A:$C), )</f>
        <v/>
      </c>
      <c r="C8277" s="44"/>
      <c r="D8277" s="44"/>
      <c r="L8277" s="45"/>
      <c r="N8277" s="45"/>
    </row>
    <row r="8278">
      <c r="A8278" s="40" t="str">
        <f t="shared" si="1"/>
        <v/>
      </c>
      <c r="B8278" s="37" t="str">
        <f t="array" ref="B8278">iferror(xlookup($I8278, 'IMPORT VHC Report'!$E:$E, 'IMPORT VHC Report'!$A:$C), )</f>
        <v/>
      </c>
      <c r="C8278" s="44"/>
      <c r="D8278" s="44"/>
      <c r="L8278" s="45"/>
      <c r="N8278" s="45"/>
    </row>
    <row r="8279">
      <c r="A8279" s="40" t="str">
        <f t="shared" si="1"/>
        <v/>
      </c>
      <c r="B8279" s="37" t="str">
        <f t="array" ref="B8279">iferror(xlookup($I8279, 'IMPORT VHC Report'!$E:$E, 'IMPORT VHC Report'!$A:$C), )</f>
        <v/>
      </c>
      <c r="C8279" s="44"/>
      <c r="D8279" s="44"/>
      <c r="L8279" s="45"/>
      <c r="N8279" s="45"/>
    </row>
    <row r="8280">
      <c r="A8280" s="40" t="str">
        <f t="shared" si="1"/>
        <v/>
      </c>
      <c r="B8280" s="37" t="str">
        <f t="array" ref="B8280">iferror(xlookup($I8280, 'IMPORT VHC Report'!$E:$E, 'IMPORT VHC Report'!$A:$C), )</f>
        <v/>
      </c>
      <c r="C8280" s="44"/>
      <c r="D8280" s="44"/>
      <c r="L8280" s="45"/>
      <c r="N8280" s="45"/>
    </row>
    <row r="8281">
      <c r="A8281" s="40" t="str">
        <f t="shared" si="1"/>
        <v/>
      </c>
      <c r="B8281" s="37" t="str">
        <f t="array" ref="B8281">iferror(xlookup($I8281, 'IMPORT VHC Report'!$E:$E, 'IMPORT VHC Report'!$A:$C), )</f>
        <v/>
      </c>
      <c r="C8281" s="44"/>
      <c r="D8281" s="44"/>
      <c r="L8281" s="45"/>
      <c r="N8281" s="45"/>
    </row>
    <row r="8282">
      <c r="A8282" s="40" t="str">
        <f t="shared" si="1"/>
        <v/>
      </c>
      <c r="B8282" s="37" t="str">
        <f t="array" ref="B8282">iferror(xlookup($I8282, 'IMPORT VHC Report'!$E:$E, 'IMPORT VHC Report'!$A:$C), )</f>
        <v/>
      </c>
      <c r="C8282" s="44"/>
      <c r="D8282" s="44"/>
      <c r="L8282" s="45"/>
      <c r="N8282" s="45"/>
    </row>
    <row r="8283">
      <c r="A8283" s="40" t="str">
        <f t="shared" si="1"/>
        <v/>
      </c>
      <c r="B8283" s="37" t="str">
        <f t="array" ref="B8283">iferror(xlookup($I8283, 'IMPORT VHC Report'!$E:$E, 'IMPORT VHC Report'!$A:$C), )</f>
        <v/>
      </c>
      <c r="C8283" s="44"/>
      <c r="D8283" s="44"/>
      <c r="L8283" s="45"/>
      <c r="N8283" s="45"/>
    </row>
    <row r="8284">
      <c r="A8284" s="40" t="str">
        <f t="shared" si="1"/>
        <v/>
      </c>
      <c r="B8284" s="37" t="str">
        <f t="array" ref="B8284">iferror(xlookup($I8284, 'IMPORT VHC Report'!$E:$E, 'IMPORT VHC Report'!$A:$C), )</f>
        <v/>
      </c>
      <c r="C8284" s="44"/>
      <c r="D8284" s="44"/>
      <c r="L8284" s="45"/>
      <c r="N8284" s="45"/>
    </row>
    <row r="8285">
      <c r="A8285" s="40" t="str">
        <f t="shared" si="1"/>
        <v/>
      </c>
      <c r="B8285" s="37" t="str">
        <f t="array" ref="B8285">iferror(xlookup($I8285, 'IMPORT VHC Report'!$E:$E, 'IMPORT VHC Report'!$A:$C), )</f>
        <v/>
      </c>
      <c r="C8285" s="44"/>
      <c r="D8285" s="44"/>
      <c r="L8285" s="45"/>
      <c r="N8285" s="45"/>
    </row>
    <row r="8286">
      <c r="A8286" s="40" t="str">
        <f t="shared" si="1"/>
        <v/>
      </c>
      <c r="B8286" s="37" t="str">
        <f t="array" ref="B8286">iferror(xlookup($I8286, 'IMPORT VHC Report'!$E:$E, 'IMPORT VHC Report'!$A:$C), )</f>
        <v/>
      </c>
      <c r="C8286" s="44"/>
      <c r="D8286" s="44"/>
      <c r="L8286" s="45"/>
      <c r="N8286" s="45"/>
    </row>
    <row r="8287">
      <c r="A8287" s="40" t="str">
        <f t="shared" si="1"/>
        <v/>
      </c>
      <c r="B8287" s="37" t="str">
        <f t="array" ref="B8287">iferror(xlookup($I8287, 'IMPORT VHC Report'!$E:$E, 'IMPORT VHC Report'!$A:$C), )</f>
        <v/>
      </c>
      <c r="C8287" s="44"/>
      <c r="D8287" s="44"/>
      <c r="L8287" s="45"/>
      <c r="N8287" s="45"/>
    </row>
    <row r="8288">
      <c r="A8288" s="40" t="str">
        <f t="shared" si="1"/>
        <v/>
      </c>
      <c r="B8288" s="37" t="str">
        <f t="array" ref="B8288">iferror(xlookup($I8288, 'IMPORT VHC Report'!$E:$E, 'IMPORT VHC Report'!$A:$C), )</f>
        <v/>
      </c>
      <c r="C8288" s="44"/>
      <c r="D8288" s="44"/>
      <c r="L8288" s="45"/>
      <c r="N8288" s="45"/>
    </row>
    <row r="8289">
      <c r="A8289" s="40" t="str">
        <f t="shared" si="1"/>
        <v/>
      </c>
      <c r="B8289" s="37" t="str">
        <f t="array" ref="B8289">iferror(xlookup($I8289, 'IMPORT VHC Report'!$E:$E, 'IMPORT VHC Report'!$A:$C), )</f>
        <v/>
      </c>
      <c r="C8289" s="44"/>
      <c r="D8289" s="44"/>
      <c r="L8289" s="45"/>
      <c r="N8289" s="45"/>
    </row>
    <row r="8290">
      <c r="A8290" s="40" t="str">
        <f t="shared" si="1"/>
        <v/>
      </c>
      <c r="B8290" s="37" t="str">
        <f t="array" ref="B8290">iferror(xlookup($I8290, 'IMPORT VHC Report'!$E:$E, 'IMPORT VHC Report'!$A:$C), )</f>
        <v/>
      </c>
      <c r="C8290" s="44"/>
      <c r="D8290" s="44"/>
      <c r="L8290" s="45"/>
      <c r="N8290" s="45"/>
    </row>
    <row r="8291">
      <c r="A8291" s="40" t="str">
        <f t="shared" si="1"/>
        <v/>
      </c>
      <c r="B8291" s="37" t="str">
        <f t="array" ref="B8291">iferror(xlookup($I8291, 'IMPORT VHC Report'!$E:$E, 'IMPORT VHC Report'!$A:$C), )</f>
        <v/>
      </c>
      <c r="C8291" s="44"/>
      <c r="D8291" s="44"/>
      <c r="L8291" s="45"/>
      <c r="N8291" s="45"/>
    </row>
    <row r="8292">
      <c r="A8292" s="40" t="str">
        <f t="shared" si="1"/>
        <v/>
      </c>
      <c r="B8292" s="37" t="str">
        <f t="array" ref="B8292">iferror(xlookup($I8292, 'IMPORT VHC Report'!$E:$E, 'IMPORT VHC Report'!$A:$C), )</f>
        <v/>
      </c>
      <c r="C8292" s="44"/>
      <c r="D8292" s="44"/>
      <c r="L8292" s="45"/>
      <c r="N8292" s="45"/>
    </row>
    <row r="8293">
      <c r="A8293" s="40" t="str">
        <f t="shared" si="1"/>
        <v/>
      </c>
      <c r="B8293" s="37" t="str">
        <f t="array" ref="B8293">iferror(xlookup($I8293, 'IMPORT VHC Report'!$E:$E, 'IMPORT VHC Report'!$A:$C), )</f>
        <v/>
      </c>
      <c r="C8293" s="44"/>
      <c r="D8293" s="44"/>
      <c r="L8293" s="45"/>
      <c r="N8293" s="45"/>
    </row>
    <row r="8294">
      <c r="A8294" s="40" t="str">
        <f t="shared" si="1"/>
        <v/>
      </c>
      <c r="B8294" s="37" t="str">
        <f t="array" ref="B8294">iferror(xlookup($I8294, 'IMPORT VHC Report'!$E:$E, 'IMPORT VHC Report'!$A:$C), )</f>
        <v/>
      </c>
      <c r="C8294" s="44"/>
      <c r="D8294" s="44"/>
      <c r="L8294" s="45"/>
      <c r="N8294" s="45"/>
    </row>
    <row r="8295">
      <c r="A8295" s="40" t="str">
        <f t="shared" si="1"/>
        <v/>
      </c>
      <c r="B8295" s="37" t="str">
        <f t="array" ref="B8295">iferror(xlookup($I8295, 'IMPORT VHC Report'!$E:$E, 'IMPORT VHC Report'!$A:$C), )</f>
        <v/>
      </c>
      <c r="C8295" s="44"/>
      <c r="D8295" s="44"/>
      <c r="L8295" s="45"/>
      <c r="N8295" s="45"/>
    </row>
    <row r="8296">
      <c r="A8296" s="40" t="str">
        <f t="shared" si="1"/>
        <v/>
      </c>
      <c r="B8296" s="37" t="str">
        <f t="array" ref="B8296">iferror(xlookup($I8296, 'IMPORT VHC Report'!$E:$E, 'IMPORT VHC Report'!$A:$C), )</f>
        <v/>
      </c>
      <c r="C8296" s="44"/>
      <c r="D8296" s="44"/>
      <c r="L8296" s="45"/>
      <c r="N8296" s="45"/>
    </row>
    <row r="8297">
      <c r="A8297" s="40" t="str">
        <f t="shared" si="1"/>
        <v/>
      </c>
      <c r="B8297" s="37" t="str">
        <f t="array" ref="B8297">iferror(xlookup($I8297, 'IMPORT VHC Report'!$E:$E, 'IMPORT VHC Report'!$A:$C), )</f>
        <v/>
      </c>
      <c r="C8297" s="44"/>
      <c r="D8297" s="44"/>
      <c r="L8297" s="45"/>
      <c r="N8297" s="45"/>
    </row>
    <row r="8298">
      <c r="A8298" s="40" t="str">
        <f t="shared" si="1"/>
        <v/>
      </c>
      <c r="B8298" s="37" t="str">
        <f t="array" ref="B8298">iferror(xlookup($I8298, 'IMPORT VHC Report'!$E:$E, 'IMPORT VHC Report'!$A:$C), )</f>
        <v/>
      </c>
      <c r="C8298" s="44"/>
      <c r="D8298" s="44"/>
      <c r="L8298" s="45"/>
      <c r="N8298" s="45"/>
    </row>
    <row r="8299">
      <c r="A8299" s="40" t="str">
        <f t="shared" si="1"/>
        <v/>
      </c>
      <c r="B8299" s="37" t="str">
        <f t="array" ref="B8299">iferror(xlookup($I8299, 'IMPORT VHC Report'!$E:$E, 'IMPORT VHC Report'!$A:$C), )</f>
        <v/>
      </c>
      <c r="C8299" s="44"/>
      <c r="D8299" s="44"/>
      <c r="L8299" s="45"/>
      <c r="N8299" s="45"/>
    </row>
    <row r="8300">
      <c r="A8300" s="40" t="str">
        <f t="shared" si="1"/>
        <v/>
      </c>
      <c r="B8300" s="37" t="str">
        <f t="array" ref="B8300">iferror(xlookup($I8300, 'IMPORT VHC Report'!$E:$E, 'IMPORT VHC Report'!$A:$C), )</f>
        <v/>
      </c>
      <c r="C8300" s="44"/>
      <c r="D8300" s="44"/>
      <c r="L8300" s="45"/>
      <c r="N8300" s="45"/>
    </row>
    <row r="8301">
      <c r="A8301" s="40" t="str">
        <f t="shared" si="1"/>
        <v/>
      </c>
      <c r="B8301" s="37" t="str">
        <f t="array" ref="B8301">iferror(xlookup($I8301, 'IMPORT VHC Report'!$E:$E, 'IMPORT VHC Report'!$A:$C), )</f>
        <v/>
      </c>
      <c r="C8301" s="44"/>
      <c r="D8301" s="44"/>
      <c r="L8301" s="45"/>
      <c r="N8301" s="45"/>
    </row>
    <row r="8302">
      <c r="A8302" s="40" t="str">
        <f t="shared" si="1"/>
        <v/>
      </c>
      <c r="B8302" s="37" t="str">
        <f t="array" ref="B8302">iferror(xlookup($I8302, 'IMPORT VHC Report'!$E:$E, 'IMPORT VHC Report'!$A:$C), )</f>
        <v/>
      </c>
      <c r="C8302" s="44"/>
      <c r="D8302" s="44"/>
      <c r="L8302" s="45"/>
      <c r="N8302" s="45"/>
    </row>
    <row r="8303">
      <c r="A8303" s="40" t="str">
        <f t="shared" si="1"/>
        <v/>
      </c>
      <c r="B8303" s="37" t="str">
        <f t="array" ref="B8303">iferror(xlookup($I8303, 'IMPORT VHC Report'!$E:$E, 'IMPORT VHC Report'!$A:$C), )</f>
        <v/>
      </c>
      <c r="C8303" s="44"/>
      <c r="D8303" s="44"/>
      <c r="L8303" s="45"/>
      <c r="N8303" s="45"/>
    </row>
    <row r="8304">
      <c r="A8304" s="40" t="str">
        <f t="shared" si="1"/>
        <v/>
      </c>
      <c r="B8304" s="37" t="str">
        <f t="array" ref="B8304">iferror(xlookup($I8304, 'IMPORT VHC Report'!$E:$E, 'IMPORT VHC Report'!$A:$C), )</f>
        <v/>
      </c>
      <c r="C8304" s="44"/>
      <c r="D8304" s="44"/>
      <c r="L8304" s="45"/>
      <c r="N8304" s="45"/>
    </row>
    <row r="8305">
      <c r="A8305" s="40" t="str">
        <f t="shared" si="1"/>
        <v/>
      </c>
      <c r="B8305" s="37" t="str">
        <f t="array" ref="B8305">iferror(xlookup($I8305, 'IMPORT VHC Report'!$E:$E, 'IMPORT VHC Report'!$A:$C), )</f>
        <v/>
      </c>
      <c r="C8305" s="44"/>
      <c r="D8305" s="44"/>
      <c r="L8305" s="45"/>
      <c r="N8305" s="45"/>
    </row>
    <row r="8306">
      <c r="A8306" s="40" t="str">
        <f t="shared" si="1"/>
        <v/>
      </c>
      <c r="B8306" s="37" t="str">
        <f t="array" ref="B8306">iferror(xlookup($I8306, 'IMPORT VHC Report'!$E:$E, 'IMPORT VHC Report'!$A:$C), )</f>
        <v/>
      </c>
      <c r="C8306" s="44"/>
      <c r="D8306" s="44"/>
      <c r="L8306" s="45"/>
      <c r="N8306" s="45"/>
    </row>
    <row r="8307">
      <c r="A8307" s="40" t="str">
        <f t="shared" si="1"/>
        <v/>
      </c>
      <c r="B8307" s="37" t="str">
        <f t="array" ref="B8307">iferror(xlookup($I8307, 'IMPORT VHC Report'!$E:$E, 'IMPORT VHC Report'!$A:$C), )</f>
        <v/>
      </c>
      <c r="C8307" s="44"/>
      <c r="D8307" s="44"/>
      <c r="L8307" s="45"/>
      <c r="N8307" s="45"/>
    </row>
    <row r="8308">
      <c r="A8308" s="40" t="str">
        <f t="shared" si="1"/>
        <v/>
      </c>
      <c r="B8308" s="37" t="str">
        <f t="array" ref="B8308">iferror(xlookup($I8308, 'IMPORT VHC Report'!$E:$E, 'IMPORT VHC Report'!$A:$C), )</f>
        <v/>
      </c>
      <c r="C8308" s="44"/>
      <c r="D8308" s="44"/>
      <c r="L8308" s="45"/>
      <c r="N8308" s="45"/>
    </row>
    <row r="8309">
      <c r="A8309" s="40" t="str">
        <f t="shared" si="1"/>
        <v/>
      </c>
      <c r="B8309" s="37" t="str">
        <f t="array" ref="B8309">iferror(xlookup($I8309, 'IMPORT VHC Report'!$E:$E, 'IMPORT VHC Report'!$A:$C), )</f>
        <v/>
      </c>
      <c r="C8309" s="44"/>
      <c r="D8309" s="44"/>
      <c r="L8309" s="45"/>
      <c r="N8309" s="45"/>
    </row>
    <row r="8310">
      <c r="A8310" s="40" t="str">
        <f t="shared" si="1"/>
        <v/>
      </c>
      <c r="B8310" s="37" t="str">
        <f t="array" ref="B8310">iferror(xlookup($I8310, 'IMPORT VHC Report'!$E:$E, 'IMPORT VHC Report'!$A:$C), )</f>
        <v/>
      </c>
      <c r="C8310" s="44"/>
      <c r="D8310" s="44"/>
      <c r="L8310" s="45"/>
      <c r="N8310" s="45"/>
    </row>
    <row r="8311">
      <c r="A8311" s="40" t="str">
        <f t="shared" si="1"/>
        <v/>
      </c>
      <c r="B8311" s="37" t="str">
        <f t="array" ref="B8311">iferror(xlookup($I8311, 'IMPORT VHC Report'!$E:$E, 'IMPORT VHC Report'!$A:$C), )</f>
        <v/>
      </c>
      <c r="C8311" s="44"/>
      <c r="D8311" s="44"/>
      <c r="L8311" s="45"/>
      <c r="N8311" s="45"/>
    </row>
    <row r="8312">
      <c r="A8312" s="40" t="str">
        <f t="shared" si="1"/>
        <v/>
      </c>
      <c r="B8312" s="37" t="str">
        <f t="array" ref="B8312">iferror(xlookup($I8312, 'IMPORT VHC Report'!$E:$E, 'IMPORT VHC Report'!$A:$C), )</f>
        <v/>
      </c>
      <c r="C8312" s="44"/>
      <c r="D8312" s="44"/>
      <c r="L8312" s="45"/>
      <c r="N8312" s="45"/>
    </row>
    <row r="8313">
      <c r="A8313" s="40" t="str">
        <f t="shared" si="1"/>
        <v/>
      </c>
      <c r="B8313" s="37" t="str">
        <f t="array" ref="B8313">iferror(xlookup($I8313, 'IMPORT VHC Report'!$E:$E, 'IMPORT VHC Report'!$A:$C), )</f>
        <v/>
      </c>
      <c r="C8313" s="44"/>
      <c r="D8313" s="44"/>
      <c r="L8313" s="45"/>
      <c r="N8313" s="45"/>
    </row>
    <row r="8314">
      <c r="A8314" s="40" t="str">
        <f t="shared" si="1"/>
        <v/>
      </c>
      <c r="B8314" s="37" t="str">
        <f t="array" ref="B8314">iferror(xlookup($I8314, 'IMPORT VHC Report'!$E:$E, 'IMPORT VHC Report'!$A:$C), )</f>
        <v/>
      </c>
      <c r="C8314" s="44"/>
      <c r="D8314" s="44"/>
      <c r="L8314" s="45"/>
      <c r="N8314" s="45"/>
    </row>
    <row r="8315">
      <c r="A8315" s="40" t="str">
        <f t="shared" si="1"/>
        <v/>
      </c>
      <c r="B8315" s="37" t="str">
        <f t="array" ref="B8315">iferror(xlookup($I8315, 'IMPORT VHC Report'!$E:$E, 'IMPORT VHC Report'!$A:$C), )</f>
        <v/>
      </c>
      <c r="C8315" s="44"/>
      <c r="D8315" s="44"/>
      <c r="L8315" s="45"/>
      <c r="N8315" s="45"/>
    </row>
    <row r="8316">
      <c r="A8316" s="40" t="str">
        <f t="shared" si="1"/>
        <v/>
      </c>
      <c r="B8316" s="37" t="str">
        <f t="array" ref="B8316">iferror(xlookup($I8316, 'IMPORT VHC Report'!$E:$E, 'IMPORT VHC Report'!$A:$C), )</f>
        <v/>
      </c>
      <c r="C8316" s="44"/>
      <c r="D8316" s="44"/>
      <c r="L8316" s="45"/>
      <c r="N8316" s="45"/>
    </row>
    <row r="8317">
      <c r="A8317" s="40" t="str">
        <f t="shared" si="1"/>
        <v/>
      </c>
      <c r="B8317" s="37" t="str">
        <f t="array" ref="B8317">iferror(xlookup($I8317, 'IMPORT VHC Report'!$E:$E, 'IMPORT VHC Report'!$A:$C), )</f>
        <v/>
      </c>
      <c r="C8317" s="44"/>
      <c r="D8317" s="44"/>
      <c r="L8317" s="45"/>
      <c r="N8317" s="45"/>
    </row>
    <row r="8318">
      <c r="A8318" s="40" t="str">
        <f t="shared" si="1"/>
        <v/>
      </c>
      <c r="B8318" s="37" t="str">
        <f t="array" ref="B8318">iferror(xlookup($I8318, 'IMPORT VHC Report'!$E:$E, 'IMPORT VHC Report'!$A:$C), )</f>
        <v/>
      </c>
      <c r="C8318" s="44"/>
      <c r="D8318" s="44"/>
      <c r="L8318" s="45"/>
      <c r="N8318" s="45"/>
    </row>
    <row r="8319">
      <c r="A8319" s="40" t="str">
        <f t="shared" si="1"/>
        <v/>
      </c>
      <c r="B8319" s="37" t="str">
        <f t="array" ref="B8319">iferror(xlookup($I8319, 'IMPORT VHC Report'!$E:$E, 'IMPORT VHC Report'!$A:$C), )</f>
        <v/>
      </c>
      <c r="C8319" s="44"/>
      <c r="D8319" s="44"/>
      <c r="L8319" s="45"/>
      <c r="N8319" s="45"/>
    </row>
    <row r="8320">
      <c r="A8320" s="40" t="str">
        <f t="shared" si="1"/>
        <v/>
      </c>
      <c r="B8320" s="37" t="str">
        <f t="array" ref="B8320">iferror(xlookup($I8320, 'IMPORT VHC Report'!$E:$E, 'IMPORT VHC Report'!$A:$C), )</f>
        <v/>
      </c>
      <c r="C8320" s="44"/>
      <c r="D8320" s="44"/>
      <c r="L8320" s="45"/>
      <c r="N8320" s="45"/>
    </row>
    <row r="8321">
      <c r="A8321" s="40" t="str">
        <f t="shared" si="1"/>
        <v/>
      </c>
      <c r="B8321" s="37" t="str">
        <f t="array" ref="B8321">iferror(xlookup($I8321, 'IMPORT VHC Report'!$E:$E, 'IMPORT VHC Report'!$A:$C), )</f>
        <v/>
      </c>
      <c r="C8321" s="44"/>
      <c r="D8321" s="44"/>
      <c r="L8321" s="45"/>
      <c r="N8321" s="45"/>
    </row>
    <row r="8322">
      <c r="A8322" s="40" t="str">
        <f t="shared" si="1"/>
        <v/>
      </c>
      <c r="B8322" s="37" t="str">
        <f t="array" ref="B8322">iferror(xlookup($I8322, 'IMPORT VHC Report'!$E:$E, 'IMPORT VHC Report'!$A:$C), )</f>
        <v/>
      </c>
      <c r="C8322" s="44"/>
      <c r="D8322" s="44"/>
      <c r="L8322" s="45"/>
      <c r="N8322" s="45"/>
    </row>
    <row r="8323">
      <c r="A8323" s="40" t="str">
        <f t="shared" si="1"/>
        <v/>
      </c>
      <c r="B8323" s="37" t="str">
        <f t="array" ref="B8323">iferror(xlookup($I8323, 'IMPORT VHC Report'!$E:$E, 'IMPORT VHC Report'!$A:$C), )</f>
        <v/>
      </c>
      <c r="C8323" s="44"/>
      <c r="D8323" s="44"/>
      <c r="L8323" s="45"/>
      <c r="N8323" s="45"/>
    </row>
    <row r="8324">
      <c r="A8324" s="40" t="str">
        <f t="shared" si="1"/>
        <v/>
      </c>
      <c r="B8324" s="37" t="str">
        <f t="array" ref="B8324">iferror(xlookup($I8324, 'IMPORT VHC Report'!$E:$E, 'IMPORT VHC Report'!$A:$C), )</f>
        <v/>
      </c>
      <c r="C8324" s="44"/>
      <c r="D8324" s="44"/>
      <c r="L8324" s="45"/>
      <c r="N8324" s="45"/>
    </row>
    <row r="8325">
      <c r="A8325" s="40" t="str">
        <f t="shared" si="1"/>
        <v/>
      </c>
      <c r="B8325" s="37" t="str">
        <f t="array" ref="B8325">iferror(xlookup($I8325, 'IMPORT VHC Report'!$E:$E, 'IMPORT VHC Report'!$A:$C), )</f>
        <v/>
      </c>
      <c r="C8325" s="44"/>
      <c r="D8325" s="44"/>
      <c r="L8325" s="45"/>
      <c r="N8325" s="45"/>
    </row>
    <row r="8326">
      <c r="A8326" s="40" t="str">
        <f t="shared" si="1"/>
        <v/>
      </c>
      <c r="B8326" s="37" t="str">
        <f t="array" ref="B8326">iferror(xlookup($I8326, 'IMPORT VHC Report'!$E:$E, 'IMPORT VHC Report'!$A:$C), )</f>
        <v/>
      </c>
      <c r="C8326" s="44"/>
      <c r="D8326" s="44"/>
      <c r="L8326" s="45"/>
      <c r="N8326" s="45"/>
    </row>
    <row r="8327">
      <c r="A8327" s="40" t="str">
        <f t="shared" si="1"/>
        <v/>
      </c>
      <c r="B8327" s="37" t="str">
        <f t="array" ref="B8327">iferror(xlookup($I8327, 'IMPORT VHC Report'!$E:$E, 'IMPORT VHC Report'!$A:$C), )</f>
        <v/>
      </c>
      <c r="C8327" s="44"/>
      <c r="D8327" s="44"/>
      <c r="L8327" s="45"/>
      <c r="N8327" s="45"/>
    </row>
    <row r="8328">
      <c r="A8328" s="40" t="str">
        <f t="shared" si="1"/>
        <v/>
      </c>
      <c r="B8328" s="37" t="str">
        <f t="array" ref="B8328">iferror(xlookup($I8328, 'IMPORT VHC Report'!$E:$E, 'IMPORT VHC Report'!$A:$C), )</f>
        <v/>
      </c>
      <c r="C8328" s="44"/>
      <c r="D8328" s="44"/>
      <c r="L8328" s="45"/>
      <c r="N8328" s="45"/>
    </row>
    <row r="8329">
      <c r="A8329" s="40" t="str">
        <f t="shared" si="1"/>
        <v/>
      </c>
      <c r="B8329" s="37" t="str">
        <f t="array" ref="B8329">iferror(xlookup($I8329, 'IMPORT VHC Report'!$E:$E, 'IMPORT VHC Report'!$A:$C), )</f>
        <v/>
      </c>
      <c r="C8329" s="44"/>
      <c r="D8329" s="44"/>
      <c r="L8329" s="45"/>
      <c r="N8329" s="45"/>
    </row>
    <row r="8330">
      <c r="A8330" s="40" t="str">
        <f t="shared" si="1"/>
        <v/>
      </c>
      <c r="B8330" s="37" t="str">
        <f t="array" ref="B8330">iferror(xlookup($I8330, 'IMPORT VHC Report'!$E:$E, 'IMPORT VHC Report'!$A:$C), )</f>
        <v/>
      </c>
      <c r="C8330" s="44"/>
      <c r="D8330" s="44"/>
      <c r="L8330" s="45"/>
      <c r="N8330" s="45"/>
    </row>
    <row r="8331">
      <c r="A8331" s="40" t="str">
        <f t="shared" si="1"/>
        <v/>
      </c>
      <c r="B8331" s="37" t="str">
        <f t="array" ref="B8331">iferror(xlookup($I8331, 'IMPORT VHC Report'!$E:$E, 'IMPORT VHC Report'!$A:$C), )</f>
        <v/>
      </c>
      <c r="C8331" s="44"/>
      <c r="D8331" s="44"/>
      <c r="L8331" s="45"/>
      <c r="N8331" s="45"/>
    </row>
    <row r="8332">
      <c r="A8332" s="40" t="str">
        <f t="shared" si="1"/>
        <v/>
      </c>
      <c r="B8332" s="37" t="str">
        <f t="array" ref="B8332">iferror(xlookup($I8332, 'IMPORT VHC Report'!$E:$E, 'IMPORT VHC Report'!$A:$C), )</f>
        <v/>
      </c>
      <c r="C8332" s="44"/>
      <c r="D8332" s="44"/>
      <c r="L8332" s="45"/>
      <c r="N8332" s="45"/>
    </row>
    <row r="8333">
      <c r="A8333" s="40" t="str">
        <f t="shared" si="1"/>
        <v/>
      </c>
      <c r="B8333" s="37" t="str">
        <f t="array" ref="B8333">iferror(xlookup($I8333, 'IMPORT VHC Report'!$E:$E, 'IMPORT VHC Report'!$A:$C), )</f>
        <v/>
      </c>
      <c r="C8333" s="44"/>
      <c r="D8333" s="44"/>
      <c r="L8333" s="45"/>
      <c r="N8333" s="45"/>
    </row>
    <row r="8334">
      <c r="A8334" s="40" t="str">
        <f t="shared" si="1"/>
        <v/>
      </c>
      <c r="B8334" s="37" t="str">
        <f t="array" ref="B8334">iferror(xlookup($I8334, 'IMPORT VHC Report'!$E:$E, 'IMPORT VHC Report'!$A:$C), )</f>
        <v/>
      </c>
      <c r="C8334" s="44"/>
      <c r="D8334" s="44"/>
      <c r="L8334" s="45"/>
      <c r="N8334" s="45"/>
    </row>
    <row r="8335">
      <c r="A8335" s="40" t="str">
        <f t="shared" si="1"/>
        <v/>
      </c>
      <c r="B8335" s="37" t="str">
        <f t="array" ref="B8335">iferror(xlookup($I8335, 'IMPORT VHC Report'!$E:$E, 'IMPORT VHC Report'!$A:$C), )</f>
        <v/>
      </c>
      <c r="C8335" s="44"/>
      <c r="D8335" s="44"/>
      <c r="L8335" s="45"/>
      <c r="N8335" s="45"/>
    </row>
    <row r="8336">
      <c r="A8336" s="40" t="str">
        <f t="shared" si="1"/>
        <v/>
      </c>
      <c r="B8336" s="37" t="str">
        <f t="array" ref="B8336">iferror(xlookup($I8336, 'IMPORT VHC Report'!$E:$E, 'IMPORT VHC Report'!$A:$C), )</f>
        <v/>
      </c>
      <c r="C8336" s="44"/>
      <c r="D8336" s="44"/>
      <c r="L8336" s="45"/>
      <c r="N8336" s="45"/>
    </row>
    <row r="8337">
      <c r="A8337" s="40" t="str">
        <f t="shared" si="1"/>
        <v/>
      </c>
      <c r="B8337" s="37" t="str">
        <f t="array" ref="B8337">iferror(xlookup($I8337, 'IMPORT VHC Report'!$E:$E, 'IMPORT VHC Report'!$A:$C), )</f>
        <v/>
      </c>
      <c r="C8337" s="44"/>
      <c r="D8337" s="44"/>
      <c r="L8337" s="45"/>
      <c r="N8337" s="45"/>
    </row>
    <row r="8338">
      <c r="A8338" s="40" t="str">
        <f t="shared" si="1"/>
        <v/>
      </c>
      <c r="B8338" s="37" t="str">
        <f t="array" ref="B8338">iferror(xlookup($I8338, 'IMPORT VHC Report'!$E:$E, 'IMPORT VHC Report'!$A:$C), )</f>
        <v/>
      </c>
      <c r="C8338" s="44"/>
      <c r="D8338" s="44"/>
      <c r="L8338" s="45"/>
      <c r="N8338" s="45"/>
    </row>
    <row r="8339">
      <c r="A8339" s="40" t="str">
        <f t="shared" si="1"/>
        <v/>
      </c>
      <c r="B8339" s="37" t="str">
        <f t="array" ref="B8339">iferror(xlookup($I8339, 'IMPORT VHC Report'!$E:$E, 'IMPORT VHC Report'!$A:$C), )</f>
        <v/>
      </c>
      <c r="C8339" s="44"/>
      <c r="D8339" s="44"/>
      <c r="L8339" s="45"/>
      <c r="N8339" s="45"/>
    </row>
    <row r="8340">
      <c r="A8340" s="40" t="str">
        <f t="shared" si="1"/>
        <v/>
      </c>
      <c r="B8340" s="37" t="str">
        <f t="array" ref="B8340">iferror(xlookup($I8340, 'IMPORT VHC Report'!$E:$E, 'IMPORT VHC Report'!$A:$C), )</f>
        <v/>
      </c>
      <c r="C8340" s="44"/>
      <c r="D8340" s="44"/>
      <c r="L8340" s="45"/>
      <c r="N8340" s="45"/>
    </row>
    <row r="8341">
      <c r="A8341" s="40" t="str">
        <f t="shared" si="1"/>
        <v/>
      </c>
      <c r="B8341" s="37" t="str">
        <f t="array" ref="B8341">iferror(xlookup($I8341, 'IMPORT VHC Report'!$E:$E, 'IMPORT VHC Report'!$A:$C), )</f>
        <v/>
      </c>
      <c r="C8341" s="44"/>
      <c r="D8341" s="44"/>
      <c r="L8341" s="45"/>
      <c r="N8341" s="45"/>
    </row>
    <row r="8342">
      <c r="A8342" s="40" t="str">
        <f t="shared" si="1"/>
        <v/>
      </c>
      <c r="B8342" s="37" t="str">
        <f t="array" ref="B8342">iferror(xlookup($I8342, 'IMPORT VHC Report'!$E:$E, 'IMPORT VHC Report'!$A:$C), )</f>
        <v/>
      </c>
      <c r="C8342" s="44"/>
      <c r="D8342" s="44"/>
      <c r="L8342" s="45"/>
      <c r="N8342" s="45"/>
    </row>
    <row r="8343">
      <c r="A8343" s="40" t="str">
        <f t="shared" si="1"/>
        <v/>
      </c>
      <c r="B8343" s="37" t="str">
        <f t="array" ref="B8343">iferror(xlookup($I8343, 'IMPORT VHC Report'!$E:$E, 'IMPORT VHC Report'!$A:$C), )</f>
        <v/>
      </c>
      <c r="C8343" s="44"/>
      <c r="D8343" s="44"/>
      <c r="L8343" s="45"/>
      <c r="N8343" s="45"/>
    </row>
    <row r="8344">
      <c r="A8344" s="40" t="str">
        <f t="shared" si="1"/>
        <v/>
      </c>
      <c r="B8344" s="37" t="str">
        <f t="array" ref="B8344">iferror(xlookup($I8344, 'IMPORT VHC Report'!$E:$E, 'IMPORT VHC Report'!$A:$C), )</f>
        <v/>
      </c>
      <c r="C8344" s="44"/>
      <c r="D8344" s="44"/>
      <c r="L8344" s="45"/>
      <c r="N8344" s="45"/>
    </row>
    <row r="8345">
      <c r="A8345" s="40" t="str">
        <f t="shared" si="1"/>
        <v/>
      </c>
      <c r="B8345" s="37" t="str">
        <f t="array" ref="B8345">iferror(xlookup($I8345, 'IMPORT VHC Report'!$E:$E, 'IMPORT VHC Report'!$A:$C), )</f>
        <v/>
      </c>
      <c r="C8345" s="44"/>
      <c r="D8345" s="44"/>
      <c r="L8345" s="45"/>
      <c r="N8345" s="45"/>
    </row>
    <row r="8346">
      <c r="A8346" s="40" t="str">
        <f t="shared" si="1"/>
        <v/>
      </c>
      <c r="B8346" s="37" t="str">
        <f t="array" ref="B8346">iferror(xlookup($I8346, 'IMPORT VHC Report'!$E:$E, 'IMPORT VHC Report'!$A:$C), )</f>
        <v/>
      </c>
      <c r="C8346" s="44"/>
      <c r="D8346" s="44"/>
      <c r="L8346" s="45"/>
      <c r="N8346" s="45"/>
    </row>
    <row r="8347">
      <c r="A8347" s="40" t="str">
        <f t="shared" si="1"/>
        <v/>
      </c>
      <c r="B8347" s="37" t="str">
        <f t="array" ref="B8347">iferror(xlookup($I8347, 'IMPORT VHC Report'!$E:$E, 'IMPORT VHC Report'!$A:$C), )</f>
        <v/>
      </c>
      <c r="C8347" s="44"/>
      <c r="D8347" s="44"/>
      <c r="L8347" s="45"/>
      <c r="N8347" s="45"/>
    </row>
    <row r="8348">
      <c r="A8348" s="40" t="str">
        <f t="shared" si="1"/>
        <v/>
      </c>
      <c r="B8348" s="37" t="str">
        <f t="array" ref="B8348">iferror(xlookup($I8348, 'IMPORT VHC Report'!$E:$E, 'IMPORT VHC Report'!$A:$C), )</f>
        <v/>
      </c>
      <c r="C8348" s="44"/>
      <c r="D8348" s="44"/>
      <c r="L8348" s="45"/>
      <c r="N8348" s="45"/>
    </row>
    <row r="8349">
      <c r="A8349" s="40" t="str">
        <f t="shared" si="1"/>
        <v/>
      </c>
      <c r="B8349" s="37" t="str">
        <f t="array" ref="B8349">iferror(xlookup($I8349, 'IMPORT VHC Report'!$E:$E, 'IMPORT VHC Report'!$A:$C), )</f>
        <v/>
      </c>
      <c r="C8349" s="44"/>
      <c r="D8349" s="44"/>
      <c r="L8349" s="45"/>
      <c r="N8349" s="45"/>
    </row>
    <row r="8350">
      <c r="A8350" s="40" t="str">
        <f t="shared" si="1"/>
        <v/>
      </c>
      <c r="B8350" s="37" t="str">
        <f t="array" ref="B8350">iferror(xlookup($I8350, 'IMPORT VHC Report'!$E:$E, 'IMPORT VHC Report'!$A:$C), )</f>
        <v/>
      </c>
      <c r="C8350" s="44"/>
      <c r="D8350" s="44"/>
      <c r="L8350" s="45"/>
      <c r="N8350" s="45"/>
    </row>
    <row r="8351">
      <c r="A8351" s="40" t="str">
        <f t="shared" si="1"/>
        <v/>
      </c>
      <c r="B8351" s="37" t="str">
        <f t="array" ref="B8351">iferror(xlookup($I8351, 'IMPORT VHC Report'!$E:$E, 'IMPORT VHC Report'!$A:$C), )</f>
        <v/>
      </c>
      <c r="C8351" s="44"/>
      <c r="D8351" s="44"/>
      <c r="L8351" s="45"/>
      <c r="N8351" s="45"/>
    </row>
    <row r="8352">
      <c r="A8352" s="40" t="str">
        <f t="shared" si="1"/>
        <v/>
      </c>
      <c r="B8352" s="37" t="str">
        <f t="array" ref="B8352">iferror(xlookup($I8352, 'IMPORT VHC Report'!$E:$E, 'IMPORT VHC Report'!$A:$C), )</f>
        <v/>
      </c>
      <c r="C8352" s="44"/>
      <c r="D8352" s="44"/>
      <c r="L8352" s="45"/>
      <c r="N8352" s="45"/>
    </row>
    <row r="8353">
      <c r="A8353" s="40" t="str">
        <f t="shared" si="1"/>
        <v/>
      </c>
      <c r="B8353" s="37" t="str">
        <f t="array" ref="B8353">iferror(xlookup($I8353, 'IMPORT VHC Report'!$E:$E, 'IMPORT VHC Report'!$A:$C), )</f>
        <v/>
      </c>
      <c r="C8353" s="44"/>
      <c r="D8353" s="44"/>
      <c r="L8353" s="45"/>
      <c r="N8353" s="45"/>
    </row>
    <row r="8354">
      <c r="A8354" s="40" t="str">
        <f t="shared" si="1"/>
        <v/>
      </c>
      <c r="B8354" s="37" t="str">
        <f t="array" ref="B8354">iferror(xlookup($I8354, 'IMPORT VHC Report'!$E:$E, 'IMPORT VHC Report'!$A:$C), )</f>
        <v/>
      </c>
      <c r="C8354" s="44"/>
      <c r="D8354" s="44"/>
      <c r="L8354" s="45"/>
      <c r="N8354" s="45"/>
    </row>
    <row r="8355">
      <c r="A8355" s="40" t="str">
        <f t="shared" si="1"/>
        <v/>
      </c>
      <c r="B8355" s="37" t="str">
        <f t="array" ref="B8355">iferror(xlookup($I8355, 'IMPORT VHC Report'!$E:$E, 'IMPORT VHC Report'!$A:$C), )</f>
        <v/>
      </c>
      <c r="C8355" s="44"/>
      <c r="D8355" s="44"/>
      <c r="L8355" s="45"/>
      <c r="N8355" s="45"/>
    </row>
    <row r="8356">
      <c r="A8356" s="40" t="str">
        <f t="shared" si="1"/>
        <v/>
      </c>
      <c r="B8356" s="37" t="str">
        <f t="array" ref="B8356">iferror(xlookup($I8356, 'IMPORT VHC Report'!$E:$E, 'IMPORT VHC Report'!$A:$C), )</f>
        <v/>
      </c>
      <c r="C8356" s="44"/>
      <c r="D8356" s="44"/>
      <c r="L8356" s="45"/>
      <c r="N8356" s="45"/>
    </row>
    <row r="8357">
      <c r="A8357" s="40" t="str">
        <f t="shared" si="1"/>
        <v/>
      </c>
      <c r="B8357" s="37" t="str">
        <f t="array" ref="B8357">iferror(xlookup($I8357, 'IMPORT VHC Report'!$E:$E, 'IMPORT VHC Report'!$A:$C), )</f>
        <v/>
      </c>
      <c r="C8357" s="44"/>
      <c r="D8357" s="44"/>
      <c r="L8357" s="45"/>
      <c r="N8357" s="45"/>
    </row>
    <row r="8358">
      <c r="A8358" s="40" t="str">
        <f t="shared" si="1"/>
        <v/>
      </c>
      <c r="B8358" s="37" t="str">
        <f t="array" ref="B8358">iferror(xlookup($I8358, 'IMPORT VHC Report'!$E:$E, 'IMPORT VHC Report'!$A:$C), )</f>
        <v/>
      </c>
      <c r="C8358" s="44"/>
      <c r="D8358" s="44"/>
      <c r="L8358" s="45"/>
      <c r="N8358" s="45"/>
    </row>
    <row r="8359">
      <c r="A8359" s="40" t="str">
        <f t="shared" si="1"/>
        <v/>
      </c>
      <c r="B8359" s="37" t="str">
        <f t="array" ref="B8359">iferror(xlookup($I8359, 'IMPORT VHC Report'!$E:$E, 'IMPORT VHC Report'!$A:$C), )</f>
        <v/>
      </c>
      <c r="C8359" s="44"/>
      <c r="D8359" s="44"/>
      <c r="L8359" s="45"/>
      <c r="N8359" s="45"/>
    </row>
    <row r="8360">
      <c r="A8360" s="40" t="str">
        <f t="shared" si="1"/>
        <v/>
      </c>
      <c r="B8360" s="37" t="str">
        <f t="array" ref="B8360">iferror(xlookup($I8360, 'IMPORT VHC Report'!$E:$E, 'IMPORT VHC Report'!$A:$C), )</f>
        <v/>
      </c>
      <c r="C8360" s="44"/>
      <c r="D8360" s="44"/>
      <c r="L8360" s="45"/>
      <c r="N8360" s="45"/>
    </row>
    <row r="8361">
      <c r="A8361" s="40" t="str">
        <f t="shared" si="1"/>
        <v/>
      </c>
      <c r="B8361" s="37" t="str">
        <f t="array" ref="B8361">iferror(xlookup($I8361, 'IMPORT VHC Report'!$E:$E, 'IMPORT VHC Report'!$A:$C), )</f>
        <v/>
      </c>
      <c r="C8361" s="44"/>
      <c r="D8361" s="44"/>
      <c r="L8361" s="45"/>
      <c r="N8361" s="45"/>
    </row>
    <row r="8362">
      <c r="A8362" s="40" t="str">
        <f t="shared" si="1"/>
        <v/>
      </c>
      <c r="B8362" s="37" t="str">
        <f t="array" ref="B8362">iferror(xlookup($I8362, 'IMPORT VHC Report'!$E:$E, 'IMPORT VHC Report'!$A:$C), )</f>
        <v/>
      </c>
      <c r="C8362" s="44"/>
      <c r="D8362" s="44"/>
      <c r="L8362" s="45"/>
      <c r="N8362" s="45"/>
    </row>
    <row r="8363">
      <c r="A8363" s="40" t="str">
        <f t="shared" si="1"/>
        <v/>
      </c>
      <c r="B8363" s="37" t="str">
        <f t="array" ref="B8363">iferror(xlookup($I8363, 'IMPORT VHC Report'!$E:$E, 'IMPORT VHC Report'!$A:$C), )</f>
        <v/>
      </c>
      <c r="C8363" s="44"/>
      <c r="D8363" s="44"/>
      <c r="L8363" s="45"/>
      <c r="N8363" s="45"/>
    </row>
    <row r="8364">
      <c r="A8364" s="40" t="str">
        <f t="shared" si="1"/>
        <v/>
      </c>
      <c r="B8364" s="37" t="str">
        <f t="array" ref="B8364">iferror(xlookup($I8364, 'IMPORT VHC Report'!$E:$E, 'IMPORT VHC Report'!$A:$C), )</f>
        <v/>
      </c>
      <c r="C8364" s="44"/>
      <c r="D8364" s="44"/>
      <c r="L8364" s="45"/>
      <c r="N8364" s="45"/>
    </row>
    <row r="8365">
      <c r="A8365" s="40" t="str">
        <f t="shared" si="1"/>
        <v/>
      </c>
      <c r="B8365" s="37" t="str">
        <f t="array" ref="B8365">iferror(xlookup($I8365, 'IMPORT VHC Report'!$E:$E, 'IMPORT VHC Report'!$A:$C), )</f>
        <v/>
      </c>
      <c r="C8365" s="44"/>
      <c r="D8365" s="44"/>
      <c r="L8365" s="45"/>
      <c r="N8365" s="45"/>
    </row>
    <row r="8366">
      <c r="A8366" s="40" t="str">
        <f t="shared" si="1"/>
        <v/>
      </c>
      <c r="B8366" s="37" t="str">
        <f t="array" ref="B8366">iferror(xlookup($I8366, 'IMPORT VHC Report'!$E:$E, 'IMPORT VHC Report'!$A:$C), )</f>
        <v/>
      </c>
      <c r="C8366" s="44"/>
      <c r="D8366" s="44"/>
      <c r="L8366" s="45"/>
      <c r="N8366" s="45"/>
    </row>
    <row r="8367">
      <c r="A8367" s="40" t="str">
        <f t="shared" si="1"/>
        <v/>
      </c>
      <c r="B8367" s="37" t="str">
        <f t="array" ref="B8367">iferror(xlookup($I8367, 'IMPORT VHC Report'!$E:$E, 'IMPORT VHC Report'!$A:$C), )</f>
        <v/>
      </c>
      <c r="C8367" s="44"/>
      <c r="D8367" s="44"/>
      <c r="L8367" s="45"/>
      <c r="N8367" s="45"/>
    </row>
    <row r="8368">
      <c r="A8368" s="40" t="str">
        <f t="shared" si="1"/>
        <v/>
      </c>
      <c r="B8368" s="37" t="str">
        <f t="array" ref="B8368">iferror(xlookup($I8368, 'IMPORT VHC Report'!$E:$E, 'IMPORT VHC Report'!$A:$C), )</f>
        <v/>
      </c>
      <c r="C8368" s="44"/>
      <c r="D8368" s="44"/>
      <c r="L8368" s="45"/>
      <c r="N8368" s="45"/>
    </row>
    <row r="8369">
      <c r="A8369" s="40" t="str">
        <f t="shared" si="1"/>
        <v/>
      </c>
      <c r="B8369" s="37" t="str">
        <f t="array" ref="B8369">iferror(xlookup($I8369, 'IMPORT VHC Report'!$E:$E, 'IMPORT VHC Report'!$A:$C), )</f>
        <v/>
      </c>
      <c r="C8369" s="44"/>
      <c r="D8369" s="44"/>
      <c r="L8369" s="45"/>
      <c r="N8369" s="45"/>
    </row>
    <row r="8370">
      <c r="A8370" s="40" t="str">
        <f t="shared" si="1"/>
        <v/>
      </c>
      <c r="B8370" s="37" t="str">
        <f t="array" ref="B8370">iferror(xlookup($I8370, 'IMPORT VHC Report'!$E:$E, 'IMPORT VHC Report'!$A:$C), )</f>
        <v/>
      </c>
      <c r="C8370" s="44"/>
      <c r="D8370" s="44"/>
      <c r="L8370" s="45"/>
      <c r="N8370" s="45"/>
    </row>
    <row r="8371">
      <c r="A8371" s="40" t="str">
        <f t="shared" si="1"/>
        <v/>
      </c>
      <c r="B8371" s="37" t="str">
        <f t="array" ref="B8371">iferror(xlookup($I8371, 'IMPORT VHC Report'!$E:$E, 'IMPORT VHC Report'!$A:$C), )</f>
        <v/>
      </c>
      <c r="C8371" s="44"/>
      <c r="D8371" s="44"/>
      <c r="L8371" s="45"/>
      <c r="N8371" s="45"/>
    </row>
    <row r="8372">
      <c r="A8372" s="40" t="str">
        <f t="shared" si="1"/>
        <v/>
      </c>
      <c r="B8372" s="37" t="str">
        <f t="array" ref="B8372">iferror(xlookup($I8372, 'IMPORT VHC Report'!$E:$E, 'IMPORT VHC Report'!$A:$C), )</f>
        <v/>
      </c>
      <c r="C8372" s="44"/>
      <c r="D8372" s="44"/>
      <c r="L8372" s="45"/>
      <c r="N8372" s="45"/>
    </row>
    <row r="8373">
      <c r="A8373" s="40" t="str">
        <f t="shared" si="1"/>
        <v/>
      </c>
      <c r="B8373" s="37" t="str">
        <f t="array" ref="B8373">iferror(xlookup($I8373, 'IMPORT VHC Report'!$E:$E, 'IMPORT VHC Report'!$A:$C), )</f>
        <v/>
      </c>
      <c r="C8373" s="44"/>
      <c r="D8373" s="44"/>
      <c r="L8373" s="45"/>
      <c r="N8373" s="45"/>
    </row>
    <row r="8374">
      <c r="A8374" s="40" t="str">
        <f t="shared" si="1"/>
        <v/>
      </c>
      <c r="B8374" s="37" t="str">
        <f t="array" ref="B8374">iferror(xlookup($I8374, 'IMPORT VHC Report'!$E:$E, 'IMPORT VHC Report'!$A:$C), )</f>
        <v/>
      </c>
      <c r="C8374" s="44"/>
      <c r="D8374" s="44"/>
      <c r="L8374" s="45"/>
      <c r="N8374" s="45"/>
    </row>
    <row r="8375">
      <c r="A8375" s="40" t="str">
        <f t="shared" si="1"/>
        <v/>
      </c>
      <c r="B8375" s="37" t="str">
        <f t="array" ref="B8375">iferror(xlookup($I8375, 'IMPORT VHC Report'!$E:$E, 'IMPORT VHC Report'!$A:$C), )</f>
        <v/>
      </c>
      <c r="C8375" s="44"/>
      <c r="D8375" s="44"/>
      <c r="L8375" s="45"/>
      <c r="N8375" s="45"/>
    </row>
    <row r="8376">
      <c r="A8376" s="40" t="str">
        <f t="shared" si="1"/>
        <v/>
      </c>
      <c r="B8376" s="37" t="str">
        <f t="array" ref="B8376">iferror(xlookup($I8376, 'IMPORT VHC Report'!$E:$E, 'IMPORT VHC Report'!$A:$C), )</f>
        <v/>
      </c>
      <c r="C8376" s="44"/>
      <c r="D8376" s="44"/>
      <c r="L8376" s="45"/>
      <c r="N8376" s="45"/>
    </row>
    <row r="8377">
      <c r="A8377" s="40" t="str">
        <f t="shared" si="1"/>
        <v/>
      </c>
      <c r="B8377" s="37" t="str">
        <f t="array" ref="B8377">iferror(xlookup($I8377, 'IMPORT VHC Report'!$E:$E, 'IMPORT VHC Report'!$A:$C), )</f>
        <v/>
      </c>
      <c r="C8377" s="44"/>
      <c r="D8377" s="44"/>
      <c r="L8377" s="45"/>
      <c r="N8377" s="45"/>
    </row>
    <row r="8378">
      <c r="A8378" s="40" t="str">
        <f t="shared" si="1"/>
        <v/>
      </c>
      <c r="B8378" s="37" t="str">
        <f t="array" ref="B8378">iferror(xlookup($I8378, 'IMPORT VHC Report'!$E:$E, 'IMPORT VHC Report'!$A:$C), )</f>
        <v/>
      </c>
      <c r="C8378" s="44"/>
      <c r="D8378" s="44"/>
      <c r="L8378" s="45"/>
      <c r="N8378" s="45"/>
    </row>
    <row r="8379">
      <c r="A8379" s="40" t="str">
        <f t="shared" si="1"/>
        <v/>
      </c>
      <c r="B8379" s="37" t="str">
        <f t="array" ref="B8379">iferror(xlookup($I8379, 'IMPORT VHC Report'!$E:$E, 'IMPORT VHC Report'!$A:$C), )</f>
        <v/>
      </c>
      <c r="C8379" s="44"/>
      <c r="D8379" s="44"/>
      <c r="L8379" s="45"/>
      <c r="N8379" s="45"/>
    </row>
    <row r="8380">
      <c r="A8380" s="40" t="str">
        <f t="shared" si="1"/>
        <v/>
      </c>
      <c r="B8380" s="37" t="str">
        <f t="array" ref="B8380">iferror(xlookup($I8380, 'IMPORT VHC Report'!$E:$E, 'IMPORT VHC Report'!$A:$C), )</f>
        <v/>
      </c>
      <c r="C8380" s="44"/>
      <c r="D8380" s="44"/>
      <c r="L8380" s="45"/>
      <c r="N8380" s="45"/>
    </row>
    <row r="8381">
      <c r="A8381" s="40" t="str">
        <f t="shared" si="1"/>
        <v/>
      </c>
      <c r="B8381" s="37" t="str">
        <f t="array" ref="B8381">iferror(xlookup($I8381, 'IMPORT VHC Report'!$E:$E, 'IMPORT VHC Report'!$A:$C), )</f>
        <v/>
      </c>
      <c r="C8381" s="44"/>
      <c r="D8381" s="44"/>
      <c r="L8381" s="45"/>
      <c r="N8381" s="45"/>
    </row>
    <row r="8382">
      <c r="A8382" s="40" t="str">
        <f t="shared" si="1"/>
        <v/>
      </c>
      <c r="B8382" s="37" t="str">
        <f t="array" ref="B8382">iferror(xlookup($I8382, 'IMPORT VHC Report'!$E:$E, 'IMPORT VHC Report'!$A:$C), )</f>
        <v/>
      </c>
      <c r="C8382" s="44"/>
      <c r="D8382" s="44"/>
      <c r="L8382" s="45"/>
      <c r="N8382" s="45"/>
    </row>
    <row r="8383">
      <c r="A8383" s="40" t="str">
        <f t="shared" si="1"/>
        <v/>
      </c>
      <c r="B8383" s="37" t="str">
        <f t="array" ref="B8383">iferror(xlookup($I8383, 'IMPORT VHC Report'!$E:$E, 'IMPORT VHC Report'!$A:$C), )</f>
        <v/>
      </c>
      <c r="C8383" s="44"/>
      <c r="D8383" s="44"/>
      <c r="L8383" s="45"/>
      <c r="N8383" s="45"/>
    </row>
    <row r="8384">
      <c r="A8384" s="40" t="str">
        <f t="shared" si="1"/>
        <v/>
      </c>
      <c r="B8384" s="37" t="str">
        <f t="array" ref="B8384">iferror(xlookup($I8384, 'IMPORT VHC Report'!$E:$E, 'IMPORT VHC Report'!$A:$C), )</f>
        <v/>
      </c>
      <c r="C8384" s="44"/>
      <c r="D8384" s="44"/>
      <c r="L8384" s="45"/>
      <c r="N8384" s="45"/>
    </row>
    <row r="8385">
      <c r="A8385" s="40" t="str">
        <f t="shared" si="1"/>
        <v/>
      </c>
      <c r="B8385" s="37" t="str">
        <f t="array" ref="B8385">iferror(xlookup($I8385, 'IMPORT VHC Report'!$E:$E, 'IMPORT VHC Report'!$A:$C), )</f>
        <v/>
      </c>
      <c r="C8385" s="44"/>
      <c r="D8385" s="44"/>
      <c r="L8385" s="45"/>
      <c r="N8385" s="45"/>
    </row>
    <row r="8386">
      <c r="A8386" s="40" t="str">
        <f t="shared" si="1"/>
        <v/>
      </c>
      <c r="B8386" s="37" t="str">
        <f t="array" ref="B8386">iferror(xlookup($I8386, 'IMPORT VHC Report'!$E:$E, 'IMPORT VHC Report'!$A:$C), )</f>
        <v/>
      </c>
      <c r="C8386" s="44"/>
      <c r="D8386" s="44"/>
      <c r="L8386" s="45"/>
      <c r="N8386" s="45"/>
    </row>
    <row r="8387">
      <c r="A8387" s="40" t="str">
        <f t="shared" si="1"/>
        <v/>
      </c>
      <c r="B8387" s="37" t="str">
        <f t="array" ref="B8387">iferror(xlookup($I8387, 'IMPORT VHC Report'!$E:$E, 'IMPORT VHC Report'!$A:$C), )</f>
        <v/>
      </c>
      <c r="C8387" s="44"/>
      <c r="D8387" s="44"/>
      <c r="L8387" s="45"/>
      <c r="N8387" s="45"/>
    </row>
    <row r="8388">
      <c r="A8388" s="40" t="str">
        <f t="shared" si="1"/>
        <v/>
      </c>
      <c r="B8388" s="37" t="str">
        <f t="array" ref="B8388">iferror(xlookup($I8388, 'IMPORT VHC Report'!$E:$E, 'IMPORT VHC Report'!$A:$C), )</f>
        <v/>
      </c>
      <c r="C8388" s="44"/>
      <c r="D8388" s="44"/>
      <c r="L8388" s="45"/>
      <c r="N8388" s="45"/>
    </row>
    <row r="8389">
      <c r="A8389" s="40" t="str">
        <f t="shared" si="1"/>
        <v/>
      </c>
      <c r="B8389" s="37" t="str">
        <f t="array" ref="B8389">iferror(xlookup($I8389, 'IMPORT VHC Report'!$E:$E, 'IMPORT VHC Report'!$A:$C), )</f>
        <v/>
      </c>
      <c r="C8389" s="44"/>
      <c r="D8389" s="44"/>
      <c r="L8389" s="45"/>
      <c r="N8389" s="45"/>
    </row>
    <row r="8390">
      <c r="A8390" s="40" t="str">
        <f t="shared" si="1"/>
        <v/>
      </c>
      <c r="B8390" s="37" t="str">
        <f t="array" ref="B8390">iferror(xlookup($I8390, 'IMPORT VHC Report'!$E:$E, 'IMPORT VHC Report'!$A:$C), )</f>
        <v/>
      </c>
      <c r="C8390" s="44"/>
      <c r="D8390" s="44"/>
      <c r="L8390" s="45"/>
      <c r="N8390" s="45"/>
    </row>
    <row r="8391">
      <c r="A8391" s="40" t="str">
        <f t="shared" si="1"/>
        <v/>
      </c>
      <c r="B8391" s="37" t="str">
        <f t="array" ref="B8391">iferror(xlookup($I8391, 'IMPORT VHC Report'!$E:$E, 'IMPORT VHC Report'!$A:$C), )</f>
        <v/>
      </c>
      <c r="C8391" s="44"/>
      <c r="D8391" s="44"/>
      <c r="L8391" s="45"/>
      <c r="N8391" s="45"/>
    </row>
    <row r="8392">
      <c r="A8392" s="40" t="str">
        <f t="shared" si="1"/>
        <v/>
      </c>
      <c r="B8392" s="37" t="str">
        <f t="array" ref="B8392">iferror(xlookup($I8392, 'IMPORT VHC Report'!$E:$E, 'IMPORT VHC Report'!$A:$C), )</f>
        <v/>
      </c>
      <c r="C8392" s="44"/>
      <c r="D8392" s="44"/>
      <c r="L8392" s="45"/>
      <c r="N8392" s="45"/>
    </row>
    <row r="8393">
      <c r="A8393" s="40" t="str">
        <f t="shared" si="1"/>
        <v/>
      </c>
      <c r="B8393" s="37" t="str">
        <f t="array" ref="B8393">iferror(xlookup($I8393, 'IMPORT VHC Report'!$E:$E, 'IMPORT VHC Report'!$A:$C), )</f>
        <v/>
      </c>
      <c r="C8393" s="44"/>
      <c r="D8393" s="44"/>
      <c r="L8393" s="45"/>
      <c r="N8393" s="45"/>
    </row>
    <row r="8394">
      <c r="A8394" s="40" t="str">
        <f t="shared" si="1"/>
        <v/>
      </c>
      <c r="B8394" s="37" t="str">
        <f t="array" ref="B8394">iferror(xlookup($I8394, 'IMPORT VHC Report'!$E:$E, 'IMPORT VHC Report'!$A:$C), )</f>
        <v/>
      </c>
      <c r="C8394" s="44"/>
      <c r="D8394" s="44"/>
      <c r="L8394" s="45"/>
      <c r="N8394" s="45"/>
    </row>
    <row r="8395">
      <c r="A8395" s="40" t="str">
        <f t="shared" si="1"/>
        <v/>
      </c>
      <c r="B8395" s="37" t="str">
        <f t="array" ref="B8395">iferror(xlookup($I8395, 'IMPORT VHC Report'!$E:$E, 'IMPORT VHC Report'!$A:$C), )</f>
        <v/>
      </c>
      <c r="C8395" s="44"/>
      <c r="D8395" s="44"/>
      <c r="L8395" s="45"/>
      <c r="N8395" s="45"/>
    </row>
    <row r="8396">
      <c r="A8396" s="40" t="str">
        <f t="shared" si="1"/>
        <v/>
      </c>
      <c r="B8396" s="37" t="str">
        <f t="array" ref="B8396">iferror(xlookup($I8396, 'IMPORT VHC Report'!$E:$E, 'IMPORT VHC Report'!$A:$C), )</f>
        <v/>
      </c>
      <c r="C8396" s="44"/>
      <c r="D8396" s="44"/>
      <c r="L8396" s="45"/>
      <c r="N8396" s="45"/>
    </row>
    <row r="8397">
      <c r="A8397" s="40" t="str">
        <f t="shared" si="1"/>
        <v/>
      </c>
      <c r="B8397" s="37" t="str">
        <f t="array" ref="B8397">iferror(xlookup($I8397, 'IMPORT VHC Report'!$E:$E, 'IMPORT VHC Report'!$A:$C), )</f>
        <v/>
      </c>
      <c r="C8397" s="44"/>
      <c r="D8397" s="44"/>
      <c r="L8397" s="45"/>
      <c r="N8397" s="45"/>
    </row>
    <row r="8398">
      <c r="A8398" s="40" t="str">
        <f t="shared" si="1"/>
        <v/>
      </c>
      <c r="B8398" s="37" t="str">
        <f t="array" ref="B8398">iferror(xlookup($I8398, 'IMPORT VHC Report'!$E:$E, 'IMPORT VHC Report'!$A:$C), )</f>
        <v/>
      </c>
      <c r="C8398" s="44"/>
      <c r="D8398" s="44"/>
      <c r="L8398" s="45"/>
      <c r="N8398" s="45"/>
    </row>
    <row r="8399">
      <c r="A8399" s="40" t="str">
        <f t="shared" si="1"/>
        <v/>
      </c>
      <c r="B8399" s="37" t="str">
        <f t="array" ref="B8399">iferror(xlookup($I8399, 'IMPORT VHC Report'!$E:$E, 'IMPORT VHC Report'!$A:$C), )</f>
        <v/>
      </c>
      <c r="C8399" s="44"/>
      <c r="D8399" s="44"/>
      <c r="L8399" s="45"/>
      <c r="N8399" s="45"/>
    </row>
    <row r="8400">
      <c r="A8400" s="40" t="str">
        <f t="shared" si="1"/>
        <v/>
      </c>
      <c r="B8400" s="37" t="str">
        <f t="array" ref="B8400">iferror(xlookup($I8400, 'IMPORT VHC Report'!$E:$E, 'IMPORT VHC Report'!$A:$C), )</f>
        <v/>
      </c>
      <c r="C8400" s="44"/>
      <c r="D8400" s="44"/>
      <c r="L8400" s="45"/>
      <c r="N8400" s="45"/>
    </row>
    <row r="8401">
      <c r="A8401" s="40" t="str">
        <f t="shared" si="1"/>
        <v/>
      </c>
      <c r="B8401" s="37" t="str">
        <f t="array" ref="B8401">iferror(xlookup($I8401, 'IMPORT VHC Report'!$E:$E, 'IMPORT VHC Report'!$A:$C), )</f>
        <v/>
      </c>
      <c r="C8401" s="44"/>
      <c r="D8401" s="44"/>
      <c r="L8401" s="45"/>
      <c r="N8401" s="45"/>
    </row>
    <row r="8402">
      <c r="A8402" s="40" t="str">
        <f t="shared" si="1"/>
        <v/>
      </c>
      <c r="B8402" s="37" t="str">
        <f t="array" ref="B8402">iferror(xlookup($I8402, 'IMPORT VHC Report'!$E:$E, 'IMPORT VHC Report'!$A:$C), )</f>
        <v/>
      </c>
      <c r="C8402" s="44"/>
      <c r="D8402" s="44"/>
      <c r="L8402" s="45"/>
      <c r="N8402" s="45"/>
    </row>
    <row r="8403">
      <c r="A8403" s="40" t="str">
        <f t="shared" si="1"/>
        <v/>
      </c>
      <c r="B8403" s="37" t="str">
        <f t="array" ref="B8403">iferror(xlookup($I8403, 'IMPORT VHC Report'!$E:$E, 'IMPORT VHC Report'!$A:$C), )</f>
        <v/>
      </c>
      <c r="C8403" s="44"/>
      <c r="D8403" s="44"/>
      <c r="L8403" s="45"/>
      <c r="N8403" s="45"/>
    </row>
    <row r="8404">
      <c r="A8404" s="40" t="str">
        <f t="shared" si="1"/>
        <v/>
      </c>
      <c r="B8404" s="37" t="str">
        <f t="array" ref="B8404">iferror(xlookup($I8404, 'IMPORT VHC Report'!$E:$E, 'IMPORT VHC Report'!$A:$C), )</f>
        <v/>
      </c>
      <c r="C8404" s="44"/>
      <c r="D8404" s="44"/>
      <c r="L8404" s="45"/>
      <c r="N8404" s="45"/>
    </row>
    <row r="8405">
      <c r="A8405" s="40" t="str">
        <f t="shared" si="1"/>
        <v/>
      </c>
      <c r="B8405" s="37" t="str">
        <f t="array" ref="B8405">iferror(xlookup($I8405, 'IMPORT VHC Report'!$E:$E, 'IMPORT VHC Report'!$A:$C), )</f>
        <v/>
      </c>
      <c r="C8405" s="44"/>
      <c r="D8405" s="44"/>
      <c r="L8405" s="45"/>
      <c r="N8405" s="45"/>
    </row>
    <row r="8406">
      <c r="A8406" s="40" t="str">
        <f t="shared" si="1"/>
        <v/>
      </c>
      <c r="B8406" s="37" t="str">
        <f t="array" ref="B8406">iferror(xlookup($I8406, 'IMPORT VHC Report'!$E:$E, 'IMPORT VHC Report'!$A:$C), )</f>
        <v/>
      </c>
      <c r="C8406" s="44"/>
      <c r="D8406" s="44"/>
      <c r="L8406" s="45"/>
      <c r="N8406" s="45"/>
    </row>
    <row r="8407">
      <c r="A8407" s="40" t="str">
        <f t="shared" si="1"/>
        <v/>
      </c>
      <c r="B8407" s="37" t="str">
        <f t="array" ref="B8407">iferror(xlookup($I8407, 'IMPORT VHC Report'!$E:$E, 'IMPORT VHC Report'!$A:$C), )</f>
        <v/>
      </c>
      <c r="C8407" s="44"/>
      <c r="D8407" s="44"/>
      <c r="L8407" s="45"/>
      <c r="N8407" s="45"/>
    </row>
    <row r="8408">
      <c r="A8408" s="40" t="str">
        <f t="shared" si="1"/>
        <v/>
      </c>
      <c r="B8408" s="37" t="str">
        <f t="array" ref="B8408">iferror(xlookup($I8408, 'IMPORT VHC Report'!$E:$E, 'IMPORT VHC Report'!$A:$C), )</f>
        <v/>
      </c>
      <c r="C8408" s="44"/>
      <c r="D8408" s="44"/>
      <c r="L8408" s="45"/>
      <c r="N8408" s="45"/>
    </row>
    <row r="8409">
      <c r="A8409" s="40" t="str">
        <f t="shared" si="1"/>
        <v/>
      </c>
      <c r="B8409" s="37" t="str">
        <f t="array" ref="B8409">iferror(xlookup($I8409, 'IMPORT VHC Report'!$E:$E, 'IMPORT VHC Report'!$A:$C), )</f>
        <v/>
      </c>
      <c r="C8409" s="44"/>
      <c r="D8409" s="44"/>
      <c r="L8409" s="45"/>
      <c r="N8409" s="45"/>
    </row>
    <row r="8410">
      <c r="A8410" s="40" t="str">
        <f t="shared" si="1"/>
        <v/>
      </c>
      <c r="B8410" s="37" t="str">
        <f t="array" ref="B8410">iferror(xlookup($I8410, 'IMPORT VHC Report'!$E:$E, 'IMPORT VHC Report'!$A:$C), )</f>
        <v/>
      </c>
      <c r="C8410" s="44"/>
      <c r="D8410" s="44"/>
      <c r="L8410" s="45"/>
      <c r="N8410" s="45"/>
    </row>
    <row r="8411">
      <c r="A8411" s="40" t="str">
        <f t="shared" si="1"/>
        <v/>
      </c>
      <c r="B8411" s="37" t="str">
        <f t="array" ref="B8411">iferror(xlookup($I8411, 'IMPORT VHC Report'!$E:$E, 'IMPORT VHC Report'!$A:$C), )</f>
        <v/>
      </c>
      <c r="C8411" s="44"/>
      <c r="D8411" s="44"/>
      <c r="L8411" s="45"/>
      <c r="N8411" s="45"/>
    </row>
    <row r="8412">
      <c r="A8412" s="40" t="str">
        <f t="shared" si="1"/>
        <v/>
      </c>
      <c r="B8412" s="37" t="str">
        <f t="array" ref="B8412">iferror(xlookup($I8412, 'IMPORT VHC Report'!$E:$E, 'IMPORT VHC Report'!$A:$C), )</f>
        <v/>
      </c>
      <c r="C8412" s="44"/>
      <c r="D8412" s="44"/>
      <c r="L8412" s="45"/>
      <c r="N8412" s="45"/>
    </row>
    <row r="8413">
      <c r="A8413" s="40" t="str">
        <f t="shared" si="1"/>
        <v/>
      </c>
      <c r="B8413" s="37" t="str">
        <f t="array" ref="B8413">iferror(xlookup($I8413, 'IMPORT VHC Report'!$E:$E, 'IMPORT VHC Report'!$A:$C), )</f>
        <v/>
      </c>
      <c r="C8413" s="44"/>
      <c r="D8413" s="44"/>
      <c r="L8413" s="45"/>
      <c r="N8413" s="45"/>
    </row>
    <row r="8414">
      <c r="A8414" s="40" t="str">
        <f t="shared" si="1"/>
        <v/>
      </c>
      <c r="B8414" s="37" t="str">
        <f t="array" ref="B8414">iferror(xlookup($I8414, 'IMPORT VHC Report'!$E:$E, 'IMPORT VHC Report'!$A:$C), )</f>
        <v/>
      </c>
      <c r="C8414" s="44"/>
      <c r="D8414" s="44"/>
      <c r="L8414" s="45"/>
      <c r="N8414" s="45"/>
    </row>
    <row r="8415">
      <c r="A8415" s="40" t="str">
        <f t="shared" si="1"/>
        <v/>
      </c>
      <c r="B8415" s="37" t="str">
        <f t="array" ref="B8415">iferror(xlookup($I8415, 'IMPORT VHC Report'!$E:$E, 'IMPORT VHC Report'!$A:$C), )</f>
        <v/>
      </c>
      <c r="C8415" s="44"/>
      <c r="D8415" s="44"/>
      <c r="L8415" s="45"/>
      <c r="N8415" s="45"/>
    </row>
    <row r="8416">
      <c r="A8416" s="40" t="str">
        <f t="shared" si="1"/>
        <v/>
      </c>
      <c r="B8416" s="37" t="str">
        <f t="array" ref="B8416">iferror(xlookup($I8416, 'IMPORT VHC Report'!$E:$E, 'IMPORT VHC Report'!$A:$C), )</f>
        <v/>
      </c>
      <c r="C8416" s="44"/>
      <c r="D8416" s="44"/>
      <c r="L8416" s="45"/>
      <c r="N8416" s="45"/>
    </row>
    <row r="8417">
      <c r="A8417" s="40" t="str">
        <f t="shared" si="1"/>
        <v/>
      </c>
      <c r="B8417" s="37" t="str">
        <f t="array" ref="B8417">iferror(xlookup($I8417, 'IMPORT VHC Report'!$E:$E, 'IMPORT VHC Report'!$A:$C), )</f>
        <v/>
      </c>
      <c r="C8417" s="44"/>
      <c r="D8417" s="44"/>
      <c r="L8417" s="45"/>
      <c r="N8417" s="45"/>
    </row>
    <row r="8418">
      <c r="A8418" s="40" t="str">
        <f t="shared" si="1"/>
        <v/>
      </c>
      <c r="B8418" s="37" t="str">
        <f t="array" ref="B8418">iferror(xlookup($I8418, 'IMPORT VHC Report'!$E:$E, 'IMPORT VHC Report'!$A:$C), )</f>
        <v/>
      </c>
      <c r="C8418" s="44"/>
      <c r="D8418" s="44"/>
      <c r="L8418" s="45"/>
      <c r="N8418" s="45"/>
    </row>
    <row r="8419">
      <c r="A8419" s="40" t="str">
        <f t="shared" si="1"/>
        <v/>
      </c>
      <c r="B8419" s="37" t="str">
        <f t="array" ref="B8419">iferror(xlookup($I8419, 'IMPORT VHC Report'!$E:$E, 'IMPORT VHC Report'!$A:$C), )</f>
        <v/>
      </c>
      <c r="C8419" s="44"/>
      <c r="D8419" s="44"/>
      <c r="L8419" s="45"/>
      <c r="N8419" s="45"/>
    </row>
    <row r="8420">
      <c r="A8420" s="40" t="str">
        <f t="shared" si="1"/>
        <v/>
      </c>
      <c r="B8420" s="37" t="str">
        <f t="array" ref="B8420">iferror(xlookup($I8420, 'IMPORT VHC Report'!$E:$E, 'IMPORT VHC Report'!$A:$C), )</f>
        <v/>
      </c>
      <c r="C8420" s="44"/>
      <c r="D8420" s="44"/>
      <c r="L8420" s="45"/>
      <c r="N8420" s="45"/>
    </row>
    <row r="8421">
      <c r="A8421" s="40" t="str">
        <f t="shared" si="1"/>
        <v/>
      </c>
      <c r="B8421" s="37" t="str">
        <f t="array" ref="B8421">iferror(xlookup($I8421, 'IMPORT VHC Report'!$E:$E, 'IMPORT VHC Report'!$A:$C), )</f>
        <v/>
      </c>
      <c r="C8421" s="44"/>
      <c r="D8421" s="44"/>
      <c r="L8421" s="45"/>
      <c r="N8421" s="45"/>
    </row>
    <row r="8422">
      <c r="A8422" s="40" t="str">
        <f t="shared" si="1"/>
        <v/>
      </c>
      <c r="B8422" s="37" t="str">
        <f t="array" ref="B8422">iferror(xlookup($I8422, 'IMPORT VHC Report'!$E:$E, 'IMPORT VHC Report'!$A:$C), )</f>
        <v/>
      </c>
      <c r="C8422" s="44"/>
      <c r="D8422" s="44"/>
      <c r="L8422" s="45"/>
      <c r="N8422" s="45"/>
    </row>
    <row r="8423">
      <c r="A8423" s="40" t="str">
        <f t="shared" si="1"/>
        <v/>
      </c>
      <c r="B8423" s="37" t="str">
        <f t="array" ref="B8423">iferror(xlookup($I8423, 'IMPORT VHC Report'!$E:$E, 'IMPORT VHC Report'!$A:$C), )</f>
        <v/>
      </c>
      <c r="C8423" s="44"/>
      <c r="D8423" s="44"/>
      <c r="L8423" s="45"/>
      <c r="N8423" s="45"/>
    </row>
    <row r="8424">
      <c r="A8424" s="40" t="str">
        <f t="shared" si="1"/>
        <v/>
      </c>
      <c r="B8424" s="37" t="str">
        <f t="array" ref="B8424">iferror(xlookup($I8424, 'IMPORT VHC Report'!$E:$E, 'IMPORT VHC Report'!$A:$C), )</f>
        <v/>
      </c>
      <c r="C8424" s="44"/>
      <c r="D8424" s="44"/>
      <c r="L8424" s="45"/>
      <c r="N8424" s="45"/>
    </row>
    <row r="8425">
      <c r="A8425" s="40" t="str">
        <f t="shared" si="1"/>
        <v/>
      </c>
      <c r="B8425" s="37" t="str">
        <f t="array" ref="B8425">iferror(xlookup($I8425, 'IMPORT VHC Report'!$E:$E, 'IMPORT VHC Report'!$A:$C), )</f>
        <v/>
      </c>
      <c r="C8425" s="44"/>
      <c r="D8425" s="44"/>
      <c r="L8425" s="45"/>
      <c r="N8425" s="45"/>
    </row>
    <row r="8426">
      <c r="A8426" s="40" t="str">
        <f t="shared" si="1"/>
        <v/>
      </c>
      <c r="B8426" s="37" t="str">
        <f t="array" ref="B8426">iferror(xlookup($I8426, 'IMPORT VHC Report'!$E:$E, 'IMPORT VHC Report'!$A:$C), )</f>
        <v/>
      </c>
      <c r="C8426" s="44"/>
      <c r="D8426" s="44"/>
      <c r="L8426" s="45"/>
      <c r="N8426" s="45"/>
    </row>
    <row r="8427">
      <c r="A8427" s="40" t="str">
        <f t="shared" si="1"/>
        <v/>
      </c>
      <c r="B8427" s="37" t="str">
        <f t="array" ref="B8427">iferror(xlookup($I8427, 'IMPORT VHC Report'!$E:$E, 'IMPORT VHC Report'!$A:$C), )</f>
        <v/>
      </c>
      <c r="C8427" s="44"/>
      <c r="D8427" s="44"/>
      <c r="L8427" s="45"/>
      <c r="N8427" s="45"/>
    </row>
    <row r="8428">
      <c r="A8428" s="40" t="str">
        <f t="shared" si="1"/>
        <v/>
      </c>
      <c r="B8428" s="37" t="str">
        <f t="array" ref="B8428">iferror(xlookup($I8428, 'IMPORT VHC Report'!$E:$E, 'IMPORT VHC Report'!$A:$C), )</f>
        <v/>
      </c>
      <c r="C8428" s="44"/>
      <c r="D8428" s="44"/>
      <c r="L8428" s="45"/>
      <c r="N8428" s="45"/>
    </row>
    <row r="8429">
      <c r="A8429" s="40" t="str">
        <f t="shared" si="1"/>
        <v/>
      </c>
      <c r="B8429" s="37" t="str">
        <f t="array" ref="B8429">iferror(xlookup($I8429, 'IMPORT VHC Report'!$E:$E, 'IMPORT VHC Report'!$A:$C), )</f>
        <v/>
      </c>
      <c r="C8429" s="44"/>
      <c r="D8429" s="44"/>
      <c r="L8429" s="45"/>
      <c r="N8429" s="45"/>
    </row>
    <row r="8430">
      <c r="A8430" s="40" t="str">
        <f t="shared" si="1"/>
        <v/>
      </c>
      <c r="B8430" s="37" t="str">
        <f t="array" ref="B8430">iferror(xlookup($I8430, 'IMPORT VHC Report'!$E:$E, 'IMPORT VHC Report'!$A:$C), )</f>
        <v/>
      </c>
      <c r="C8430" s="44"/>
      <c r="D8430" s="44"/>
      <c r="L8430" s="45"/>
      <c r="N8430" s="45"/>
    </row>
    <row r="8431">
      <c r="A8431" s="40" t="str">
        <f t="shared" si="1"/>
        <v/>
      </c>
      <c r="B8431" s="37" t="str">
        <f t="array" ref="B8431">iferror(xlookup($I8431, 'IMPORT VHC Report'!$E:$E, 'IMPORT VHC Report'!$A:$C), )</f>
        <v/>
      </c>
      <c r="C8431" s="44"/>
      <c r="D8431" s="44"/>
      <c r="L8431" s="45"/>
      <c r="N8431" s="45"/>
    </row>
    <row r="8432">
      <c r="A8432" s="40" t="str">
        <f t="shared" si="1"/>
        <v/>
      </c>
      <c r="B8432" s="37" t="str">
        <f t="array" ref="B8432">iferror(xlookup($I8432, 'IMPORT VHC Report'!$E:$E, 'IMPORT VHC Report'!$A:$C), )</f>
        <v/>
      </c>
      <c r="C8432" s="44"/>
      <c r="D8432" s="44"/>
      <c r="L8432" s="45"/>
      <c r="N8432" s="45"/>
    </row>
    <row r="8433">
      <c r="A8433" s="40" t="str">
        <f t="shared" si="1"/>
        <v/>
      </c>
      <c r="B8433" s="37" t="str">
        <f t="array" ref="B8433">iferror(xlookup($I8433, 'IMPORT VHC Report'!$E:$E, 'IMPORT VHC Report'!$A:$C), )</f>
        <v/>
      </c>
      <c r="C8433" s="44"/>
      <c r="D8433" s="44"/>
      <c r="L8433" s="45"/>
      <c r="N8433" s="45"/>
    </row>
    <row r="8434">
      <c r="A8434" s="40" t="str">
        <f t="shared" si="1"/>
        <v/>
      </c>
      <c r="B8434" s="37" t="str">
        <f t="array" ref="B8434">iferror(xlookup($I8434, 'IMPORT VHC Report'!$E:$E, 'IMPORT VHC Report'!$A:$C), )</f>
        <v/>
      </c>
      <c r="C8434" s="44"/>
      <c r="D8434" s="44"/>
      <c r="L8434" s="45"/>
      <c r="N8434" s="45"/>
    </row>
    <row r="8435">
      <c r="A8435" s="40" t="str">
        <f t="shared" si="1"/>
        <v/>
      </c>
      <c r="B8435" s="37" t="str">
        <f t="array" ref="B8435">iferror(xlookup($I8435, 'IMPORT VHC Report'!$E:$E, 'IMPORT VHC Report'!$A:$C), )</f>
        <v/>
      </c>
      <c r="C8435" s="44"/>
      <c r="D8435" s="44"/>
      <c r="L8435" s="45"/>
      <c r="N8435" s="45"/>
    </row>
    <row r="8436">
      <c r="A8436" s="40" t="str">
        <f t="shared" si="1"/>
        <v/>
      </c>
      <c r="B8436" s="37" t="str">
        <f t="array" ref="B8436">iferror(xlookup($I8436, 'IMPORT VHC Report'!$E:$E, 'IMPORT VHC Report'!$A:$C), )</f>
        <v/>
      </c>
      <c r="C8436" s="44"/>
      <c r="D8436" s="44"/>
      <c r="L8436" s="45"/>
      <c r="N8436" s="45"/>
    </row>
    <row r="8437">
      <c r="A8437" s="40" t="str">
        <f t="shared" si="1"/>
        <v/>
      </c>
      <c r="B8437" s="37" t="str">
        <f t="array" ref="B8437">iferror(xlookup($I8437, 'IMPORT VHC Report'!$E:$E, 'IMPORT VHC Report'!$A:$C), )</f>
        <v/>
      </c>
      <c r="C8437" s="44"/>
      <c r="D8437" s="44"/>
      <c r="L8437" s="45"/>
      <c r="N8437" s="45"/>
    </row>
    <row r="8438">
      <c r="A8438" s="40" t="str">
        <f t="shared" si="1"/>
        <v/>
      </c>
      <c r="B8438" s="37" t="str">
        <f t="array" ref="B8438">iferror(xlookup($I8438, 'IMPORT VHC Report'!$E:$E, 'IMPORT VHC Report'!$A:$C), )</f>
        <v/>
      </c>
      <c r="C8438" s="44"/>
      <c r="D8438" s="44"/>
      <c r="L8438" s="45"/>
      <c r="N8438" s="45"/>
    </row>
    <row r="8439">
      <c r="A8439" s="40" t="str">
        <f t="shared" si="1"/>
        <v/>
      </c>
      <c r="B8439" s="37" t="str">
        <f t="array" ref="B8439">iferror(xlookup($I8439, 'IMPORT VHC Report'!$E:$E, 'IMPORT VHC Report'!$A:$C), )</f>
        <v/>
      </c>
      <c r="C8439" s="44"/>
      <c r="D8439" s="44"/>
      <c r="L8439" s="45"/>
      <c r="N8439" s="45"/>
    </row>
    <row r="8440">
      <c r="A8440" s="40" t="str">
        <f t="shared" si="1"/>
        <v/>
      </c>
      <c r="B8440" s="37" t="str">
        <f t="array" ref="B8440">iferror(xlookup($I8440, 'IMPORT VHC Report'!$E:$E, 'IMPORT VHC Report'!$A:$C), )</f>
        <v/>
      </c>
      <c r="C8440" s="44"/>
      <c r="D8440" s="44"/>
      <c r="L8440" s="45"/>
      <c r="N8440" s="45"/>
    </row>
    <row r="8441">
      <c r="A8441" s="40" t="str">
        <f t="shared" si="1"/>
        <v/>
      </c>
      <c r="B8441" s="37" t="str">
        <f t="array" ref="B8441">iferror(xlookup($I8441, 'IMPORT VHC Report'!$E:$E, 'IMPORT VHC Report'!$A:$C), )</f>
        <v/>
      </c>
      <c r="C8441" s="44"/>
      <c r="D8441" s="44"/>
      <c r="L8441" s="45"/>
      <c r="N8441" s="45"/>
    </row>
    <row r="8442">
      <c r="A8442" s="40" t="str">
        <f t="shared" si="1"/>
        <v/>
      </c>
      <c r="B8442" s="37" t="str">
        <f t="array" ref="B8442">iferror(xlookup($I8442, 'IMPORT VHC Report'!$E:$E, 'IMPORT VHC Report'!$A:$C), )</f>
        <v/>
      </c>
      <c r="C8442" s="44"/>
      <c r="D8442" s="44"/>
      <c r="L8442" s="45"/>
      <c r="N8442" s="45"/>
    </row>
    <row r="8443">
      <c r="A8443" s="40" t="str">
        <f t="shared" si="1"/>
        <v/>
      </c>
      <c r="B8443" s="37" t="str">
        <f t="array" ref="B8443">iferror(xlookup($I8443, 'IMPORT VHC Report'!$E:$E, 'IMPORT VHC Report'!$A:$C), )</f>
        <v/>
      </c>
      <c r="C8443" s="44"/>
      <c r="D8443" s="44"/>
      <c r="L8443" s="45"/>
      <c r="N8443" s="45"/>
    </row>
    <row r="8444">
      <c r="A8444" s="40" t="str">
        <f t="shared" si="1"/>
        <v/>
      </c>
      <c r="B8444" s="37" t="str">
        <f t="array" ref="B8444">iferror(xlookup($I8444, 'IMPORT VHC Report'!$E:$E, 'IMPORT VHC Report'!$A:$C), )</f>
        <v/>
      </c>
      <c r="C8444" s="44"/>
      <c r="D8444" s="44"/>
      <c r="L8444" s="45"/>
      <c r="N8444" s="45"/>
    </row>
    <row r="8445">
      <c r="A8445" s="40" t="str">
        <f t="shared" si="1"/>
        <v/>
      </c>
      <c r="B8445" s="37" t="str">
        <f t="array" ref="B8445">iferror(xlookup($I8445, 'IMPORT VHC Report'!$E:$E, 'IMPORT VHC Report'!$A:$C), )</f>
        <v/>
      </c>
      <c r="C8445" s="44"/>
      <c r="D8445" s="44"/>
      <c r="L8445" s="45"/>
      <c r="N8445" s="45"/>
    </row>
    <row r="8446">
      <c r="A8446" s="40" t="str">
        <f t="shared" si="1"/>
        <v/>
      </c>
      <c r="B8446" s="37" t="str">
        <f t="array" ref="B8446">iferror(xlookup($I8446, 'IMPORT VHC Report'!$E:$E, 'IMPORT VHC Report'!$A:$C), )</f>
        <v/>
      </c>
      <c r="C8446" s="44"/>
      <c r="D8446" s="44"/>
      <c r="L8446" s="45"/>
      <c r="N8446" s="45"/>
    </row>
    <row r="8447">
      <c r="A8447" s="40" t="str">
        <f t="shared" si="1"/>
        <v/>
      </c>
      <c r="B8447" s="37" t="str">
        <f t="array" ref="B8447">iferror(xlookup($I8447, 'IMPORT VHC Report'!$E:$E, 'IMPORT VHC Report'!$A:$C), )</f>
        <v/>
      </c>
      <c r="C8447" s="44"/>
      <c r="D8447" s="44"/>
      <c r="L8447" s="45"/>
      <c r="N8447" s="45"/>
    </row>
    <row r="8448">
      <c r="A8448" s="40" t="str">
        <f t="shared" si="1"/>
        <v/>
      </c>
      <c r="B8448" s="37" t="str">
        <f t="array" ref="B8448">iferror(xlookup($I8448, 'IMPORT VHC Report'!$E:$E, 'IMPORT VHC Report'!$A:$C), )</f>
        <v/>
      </c>
      <c r="C8448" s="44"/>
      <c r="D8448" s="44"/>
      <c r="L8448" s="45"/>
      <c r="N8448" s="45"/>
    </row>
    <row r="8449">
      <c r="A8449" s="40" t="str">
        <f t="shared" si="1"/>
        <v/>
      </c>
      <c r="B8449" s="37" t="str">
        <f t="array" ref="B8449">iferror(xlookup($I8449, 'IMPORT VHC Report'!$E:$E, 'IMPORT VHC Report'!$A:$C), )</f>
        <v/>
      </c>
      <c r="C8449" s="44"/>
      <c r="D8449" s="44"/>
      <c r="L8449" s="45"/>
      <c r="N8449" s="45"/>
    </row>
    <row r="8450">
      <c r="A8450" s="40" t="str">
        <f t="shared" si="1"/>
        <v/>
      </c>
      <c r="B8450" s="37" t="str">
        <f t="array" ref="B8450">iferror(xlookup($I8450, 'IMPORT VHC Report'!$E:$E, 'IMPORT VHC Report'!$A:$C), )</f>
        <v/>
      </c>
      <c r="C8450" s="44"/>
      <c r="D8450" s="44"/>
      <c r="L8450" s="45"/>
      <c r="N8450" s="45"/>
    </row>
    <row r="8451">
      <c r="A8451" s="40" t="str">
        <f t="shared" si="1"/>
        <v/>
      </c>
      <c r="B8451" s="37" t="str">
        <f t="array" ref="B8451">iferror(xlookup($I8451, 'IMPORT VHC Report'!$E:$E, 'IMPORT VHC Report'!$A:$C), )</f>
        <v/>
      </c>
      <c r="C8451" s="44"/>
      <c r="D8451" s="44"/>
      <c r="L8451" s="45"/>
      <c r="N8451" s="45"/>
    </row>
    <row r="8452">
      <c r="A8452" s="40" t="str">
        <f t="shared" si="1"/>
        <v/>
      </c>
      <c r="B8452" s="37" t="str">
        <f t="array" ref="B8452">iferror(xlookup($I8452, 'IMPORT VHC Report'!$E:$E, 'IMPORT VHC Report'!$A:$C), )</f>
        <v/>
      </c>
      <c r="C8452" s="44"/>
      <c r="D8452" s="44"/>
      <c r="L8452" s="45"/>
      <c r="N8452" s="45"/>
    </row>
    <row r="8453">
      <c r="A8453" s="40" t="str">
        <f t="shared" si="1"/>
        <v/>
      </c>
      <c r="B8453" s="37" t="str">
        <f t="array" ref="B8453">iferror(xlookup($I8453, 'IMPORT VHC Report'!$E:$E, 'IMPORT VHC Report'!$A:$C), )</f>
        <v/>
      </c>
      <c r="C8453" s="44"/>
      <c r="D8453" s="44"/>
      <c r="L8453" s="45"/>
      <c r="N8453" s="45"/>
    </row>
    <row r="8454">
      <c r="A8454" s="40" t="str">
        <f t="shared" si="1"/>
        <v/>
      </c>
      <c r="B8454" s="37" t="str">
        <f t="array" ref="B8454">iferror(xlookup($I8454, 'IMPORT VHC Report'!$E:$E, 'IMPORT VHC Report'!$A:$C), )</f>
        <v/>
      </c>
      <c r="C8454" s="44"/>
      <c r="D8454" s="44"/>
      <c r="L8454" s="45"/>
      <c r="N8454" s="45"/>
    </row>
    <row r="8455">
      <c r="A8455" s="40" t="str">
        <f t="shared" si="1"/>
        <v/>
      </c>
      <c r="B8455" s="37" t="str">
        <f t="array" ref="B8455">iferror(xlookup($I8455, 'IMPORT VHC Report'!$E:$E, 'IMPORT VHC Report'!$A:$C), )</f>
        <v/>
      </c>
      <c r="C8455" s="44"/>
      <c r="D8455" s="44"/>
      <c r="L8455" s="45"/>
      <c r="N8455" s="45"/>
    </row>
    <row r="8456">
      <c r="A8456" s="40" t="str">
        <f t="shared" si="1"/>
        <v/>
      </c>
      <c r="B8456" s="37" t="str">
        <f t="array" ref="B8456">iferror(xlookup($I8456, 'IMPORT VHC Report'!$E:$E, 'IMPORT VHC Report'!$A:$C), )</f>
        <v/>
      </c>
      <c r="C8456" s="44"/>
      <c r="D8456" s="44"/>
      <c r="L8456" s="45"/>
      <c r="N8456" s="45"/>
    </row>
    <row r="8457">
      <c r="A8457" s="40" t="str">
        <f t="shared" si="1"/>
        <v/>
      </c>
      <c r="B8457" s="37" t="str">
        <f t="array" ref="B8457">iferror(xlookup($I8457, 'IMPORT VHC Report'!$E:$E, 'IMPORT VHC Report'!$A:$C), )</f>
        <v/>
      </c>
      <c r="C8457" s="44"/>
      <c r="D8457" s="44"/>
      <c r="L8457" s="45"/>
      <c r="N8457" s="45"/>
    </row>
    <row r="8458">
      <c r="A8458" s="40" t="str">
        <f t="shared" si="1"/>
        <v/>
      </c>
      <c r="B8458" s="37" t="str">
        <f t="array" ref="B8458">iferror(xlookup($I8458, 'IMPORT VHC Report'!$E:$E, 'IMPORT VHC Report'!$A:$C), )</f>
        <v/>
      </c>
      <c r="C8458" s="44"/>
      <c r="D8458" s="44"/>
      <c r="L8458" s="45"/>
      <c r="N8458" s="45"/>
    </row>
    <row r="8459">
      <c r="A8459" s="40" t="str">
        <f t="shared" si="1"/>
        <v/>
      </c>
      <c r="B8459" s="37" t="str">
        <f t="array" ref="B8459">iferror(xlookup($I8459, 'IMPORT VHC Report'!$E:$E, 'IMPORT VHC Report'!$A:$C), )</f>
        <v/>
      </c>
      <c r="C8459" s="44"/>
      <c r="D8459" s="44"/>
      <c r="L8459" s="45"/>
      <c r="N8459" s="45"/>
    </row>
    <row r="8460">
      <c r="A8460" s="40" t="str">
        <f t="shared" si="1"/>
        <v/>
      </c>
      <c r="B8460" s="37" t="str">
        <f t="array" ref="B8460">iferror(xlookup($I8460, 'IMPORT VHC Report'!$E:$E, 'IMPORT VHC Report'!$A:$C), )</f>
        <v/>
      </c>
      <c r="C8460" s="44"/>
      <c r="D8460" s="44"/>
      <c r="L8460" s="45"/>
      <c r="N8460" s="45"/>
    </row>
    <row r="8461">
      <c r="A8461" s="40" t="str">
        <f t="shared" si="1"/>
        <v/>
      </c>
      <c r="B8461" s="37" t="str">
        <f t="array" ref="B8461">iferror(xlookup($I8461, 'IMPORT VHC Report'!$E:$E, 'IMPORT VHC Report'!$A:$C), )</f>
        <v/>
      </c>
      <c r="C8461" s="44"/>
      <c r="D8461" s="44"/>
      <c r="L8461" s="45"/>
      <c r="N8461" s="45"/>
    </row>
    <row r="8462">
      <c r="A8462" s="40" t="str">
        <f t="shared" si="1"/>
        <v/>
      </c>
      <c r="B8462" s="37" t="str">
        <f t="array" ref="B8462">iferror(xlookup($I8462, 'IMPORT VHC Report'!$E:$E, 'IMPORT VHC Report'!$A:$C), )</f>
        <v/>
      </c>
      <c r="C8462" s="44"/>
      <c r="D8462" s="44"/>
      <c r="L8462" s="45"/>
      <c r="N8462" s="45"/>
    </row>
    <row r="8463">
      <c r="A8463" s="40" t="str">
        <f t="shared" si="1"/>
        <v/>
      </c>
      <c r="B8463" s="37" t="str">
        <f t="array" ref="B8463">iferror(xlookup($I8463, 'IMPORT VHC Report'!$E:$E, 'IMPORT VHC Report'!$A:$C), )</f>
        <v/>
      </c>
      <c r="C8463" s="44"/>
      <c r="D8463" s="44"/>
      <c r="L8463" s="45"/>
      <c r="N8463" s="45"/>
    </row>
    <row r="8464">
      <c r="A8464" s="40" t="str">
        <f t="shared" si="1"/>
        <v/>
      </c>
      <c r="B8464" s="37" t="str">
        <f t="array" ref="B8464">iferror(xlookup($I8464, 'IMPORT VHC Report'!$E:$E, 'IMPORT VHC Report'!$A:$C), )</f>
        <v/>
      </c>
      <c r="C8464" s="44"/>
      <c r="D8464" s="44"/>
      <c r="L8464" s="45"/>
      <c r="N8464" s="45"/>
    </row>
    <row r="8465">
      <c r="A8465" s="40" t="str">
        <f t="shared" si="1"/>
        <v/>
      </c>
      <c r="B8465" s="37" t="str">
        <f t="array" ref="B8465">iferror(xlookup($I8465, 'IMPORT VHC Report'!$E:$E, 'IMPORT VHC Report'!$A:$C), )</f>
        <v/>
      </c>
      <c r="C8465" s="44"/>
      <c r="D8465" s="44"/>
      <c r="L8465" s="45"/>
      <c r="N8465" s="45"/>
    </row>
    <row r="8466">
      <c r="A8466" s="40" t="str">
        <f t="shared" si="1"/>
        <v/>
      </c>
      <c r="B8466" s="37" t="str">
        <f t="array" ref="B8466">iferror(xlookup($I8466, 'IMPORT VHC Report'!$E:$E, 'IMPORT VHC Report'!$A:$C), )</f>
        <v/>
      </c>
      <c r="C8466" s="44"/>
      <c r="D8466" s="44"/>
      <c r="L8466" s="45"/>
      <c r="N8466" s="45"/>
    </row>
    <row r="8467">
      <c r="A8467" s="40" t="str">
        <f t="shared" si="1"/>
        <v/>
      </c>
      <c r="B8467" s="37" t="str">
        <f t="array" ref="B8467">iferror(xlookup($I8467, 'IMPORT VHC Report'!$E:$E, 'IMPORT VHC Report'!$A:$C), )</f>
        <v/>
      </c>
      <c r="C8467" s="44"/>
      <c r="D8467" s="44"/>
      <c r="L8467" s="45"/>
      <c r="N8467" s="45"/>
    </row>
    <row r="8468">
      <c r="A8468" s="40" t="str">
        <f t="shared" si="1"/>
        <v/>
      </c>
      <c r="B8468" s="37" t="str">
        <f t="array" ref="B8468">iferror(xlookup($I8468, 'IMPORT VHC Report'!$E:$E, 'IMPORT VHC Report'!$A:$C), )</f>
        <v/>
      </c>
      <c r="C8468" s="44"/>
      <c r="D8468" s="44"/>
      <c r="L8468" s="45"/>
      <c r="N8468" s="45"/>
    </row>
    <row r="8469">
      <c r="A8469" s="40" t="str">
        <f t="shared" si="1"/>
        <v/>
      </c>
      <c r="B8469" s="37" t="str">
        <f t="array" ref="B8469">iferror(xlookup($I8469, 'IMPORT VHC Report'!$E:$E, 'IMPORT VHC Report'!$A:$C), )</f>
        <v/>
      </c>
      <c r="C8469" s="44"/>
      <c r="D8469" s="44"/>
      <c r="L8469" s="45"/>
      <c r="N8469" s="45"/>
    </row>
    <row r="8470">
      <c r="A8470" s="40" t="str">
        <f t="shared" si="1"/>
        <v/>
      </c>
      <c r="B8470" s="37" t="str">
        <f t="array" ref="B8470">iferror(xlookup($I8470, 'IMPORT VHC Report'!$E:$E, 'IMPORT VHC Report'!$A:$C), )</f>
        <v/>
      </c>
      <c r="C8470" s="44"/>
      <c r="D8470" s="44"/>
      <c r="L8470" s="45"/>
      <c r="N8470" s="45"/>
    </row>
    <row r="8471">
      <c r="A8471" s="40" t="str">
        <f t="shared" si="1"/>
        <v/>
      </c>
      <c r="B8471" s="37" t="str">
        <f t="array" ref="B8471">iferror(xlookup($I8471, 'IMPORT VHC Report'!$E:$E, 'IMPORT VHC Report'!$A:$C), )</f>
        <v/>
      </c>
      <c r="C8471" s="44"/>
      <c r="D8471" s="44"/>
      <c r="L8471" s="45"/>
      <c r="N8471" s="45"/>
    </row>
    <row r="8472">
      <c r="A8472" s="40" t="str">
        <f t="shared" si="1"/>
        <v/>
      </c>
      <c r="B8472" s="37" t="str">
        <f t="array" ref="B8472">iferror(xlookup($I8472, 'IMPORT VHC Report'!$E:$E, 'IMPORT VHC Report'!$A:$C), )</f>
        <v/>
      </c>
      <c r="C8472" s="44"/>
      <c r="D8472" s="44"/>
      <c r="L8472" s="45"/>
      <c r="N8472" s="45"/>
    </row>
    <row r="8473">
      <c r="A8473" s="40" t="str">
        <f t="shared" si="1"/>
        <v/>
      </c>
      <c r="B8473" s="37" t="str">
        <f t="array" ref="B8473">iferror(xlookup($I8473, 'IMPORT VHC Report'!$E:$E, 'IMPORT VHC Report'!$A:$C), )</f>
        <v/>
      </c>
      <c r="C8473" s="44"/>
      <c r="D8473" s="44"/>
      <c r="L8473" s="45"/>
      <c r="N8473" s="45"/>
    </row>
    <row r="8474">
      <c r="A8474" s="40" t="str">
        <f t="shared" si="1"/>
        <v/>
      </c>
      <c r="B8474" s="37" t="str">
        <f t="array" ref="B8474">iferror(xlookup($I8474, 'IMPORT VHC Report'!$E:$E, 'IMPORT VHC Report'!$A:$C), )</f>
        <v/>
      </c>
      <c r="C8474" s="44"/>
      <c r="D8474" s="44"/>
      <c r="L8474" s="45"/>
      <c r="N8474" s="45"/>
    </row>
    <row r="8475">
      <c r="A8475" s="40" t="str">
        <f t="shared" si="1"/>
        <v/>
      </c>
      <c r="B8475" s="37" t="str">
        <f t="array" ref="B8475">iferror(xlookup($I8475, 'IMPORT VHC Report'!$E:$E, 'IMPORT VHC Report'!$A:$C), )</f>
        <v/>
      </c>
      <c r="C8475" s="44"/>
      <c r="D8475" s="44"/>
      <c r="L8475" s="45"/>
      <c r="N8475" s="45"/>
    </row>
    <row r="8476">
      <c r="A8476" s="40" t="str">
        <f t="shared" si="1"/>
        <v/>
      </c>
      <c r="B8476" s="37" t="str">
        <f t="array" ref="B8476">iferror(xlookup($I8476, 'IMPORT VHC Report'!$E:$E, 'IMPORT VHC Report'!$A:$C), )</f>
        <v/>
      </c>
      <c r="C8476" s="44"/>
      <c r="D8476" s="44"/>
      <c r="L8476" s="45"/>
      <c r="N8476" s="45"/>
    </row>
    <row r="8477">
      <c r="A8477" s="40" t="str">
        <f t="shared" si="1"/>
        <v/>
      </c>
      <c r="B8477" s="37" t="str">
        <f t="array" ref="B8477">iferror(xlookup($I8477, 'IMPORT VHC Report'!$E:$E, 'IMPORT VHC Report'!$A:$C), )</f>
        <v/>
      </c>
      <c r="C8477" s="44"/>
      <c r="D8477" s="44"/>
      <c r="L8477" s="45"/>
      <c r="N8477" s="45"/>
    </row>
    <row r="8478">
      <c r="A8478" s="40" t="str">
        <f t="shared" si="1"/>
        <v/>
      </c>
      <c r="B8478" s="37" t="str">
        <f t="array" ref="B8478">iferror(xlookup($I8478, 'IMPORT VHC Report'!$E:$E, 'IMPORT VHC Report'!$A:$C), )</f>
        <v/>
      </c>
      <c r="C8478" s="44"/>
      <c r="D8478" s="44"/>
      <c r="L8478" s="45"/>
      <c r="N8478" s="45"/>
    </row>
    <row r="8479">
      <c r="A8479" s="40" t="str">
        <f t="shared" si="1"/>
        <v/>
      </c>
      <c r="B8479" s="37" t="str">
        <f t="array" ref="B8479">iferror(xlookup($I8479, 'IMPORT VHC Report'!$E:$E, 'IMPORT VHC Report'!$A:$C), )</f>
        <v/>
      </c>
      <c r="C8479" s="44"/>
      <c r="D8479" s="44"/>
      <c r="L8479" s="45"/>
      <c r="N8479" s="45"/>
    </row>
    <row r="8480">
      <c r="A8480" s="40" t="str">
        <f t="shared" si="1"/>
        <v/>
      </c>
      <c r="B8480" s="37" t="str">
        <f t="array" ref="B8480">iferror(xlookup($I8480, 'IMPORT VHC Report'!$E:$E, 'IMPORT VHC Report'!$A:$C), )</f>
        <v/>
      </c>
      <c r="C8480" s="44"/>
      <c r="D8480" s="44"/>
      <c r="L8480" s="45"/>
      <c r="N8480" s="45"/>
    </row>
    <row r="8481">
      <c r="A8481" s="40" t="str">
        <f t="shared" si="1"/>
        <v/>
      </c>
      <c r="B8481" s="37" t="str">
        <f t="array" ref="B8481">iferror(xlookup($I8481, 'IMPORT VHC Report'!$E:$E, 'IMPORT VHC Report'!$A:$C), )</f>
        <v/>
      </c>
      <c r="C8481" s="44"/>
      <c r="D8481" s="44"/>
      <c r="L8481" s="45"/>
      <c r="N8481" s="45"/>
    </row>
    <row r="8482">
      <c r="A8482" s="40" t="str">
        <f t="shared" si="1"/>
        <v/>
      </c>
      <c r="B8482" s="37" t="str">
        <f t="array" ref="B8482">iferror(xlookup($I8482, 'IMPORT VHC Report'!$E:$E, 'IMPORT VHC Report'!$A:$C), )</f>
        <v/>
      </c>
      <c r="C8482" s="44"/>
      <c r="D8482" s="44"/>
      <c r="L8482" s="45"/>
      <c r="N8482" s="45"/>
    </row>
    <row r="8483">
      <c r="A8483" s="40" t="str">
        <f t="shared" si="1"/>
        <v/>
      </c>
      <c r="B8483" s="37" t="str">
        <f t="array" ref="B8483">iferror(xlookup($I8483, 'IMPORT VHC Report'!$E:$E, 'IMPORT VHC Report'!$A:$C), )</f>
        <v/>
      </c>
      <c r="C8483" s="44"/>
      <c r="D8483" s="44"/>
      <c r="L8483" s="45"/>
      <c r="N8483" s="45"/>
    </row>
    <row r="8484">
      <c r="A8484" s="40" t="str">
        <f t="shared" si="1"/>
        <v/>
      </c>
      <c r="B8484" s="37" t="str">
        <f t="array" ref="B8484">iferror(xlookup($I8484, 'IMPORT VHC Report'!$E:$E, 'IMPORT VHC Report'!$A:$C), )</f>
        <v/>
      </c>
      <c r="C8484" s="44"/>
      <c r="D8484" s="44"/>
      <c r="L8484" s="45"/>
      <c r="N8484" s="45"/>
    </row>
    <row r="8485">
      <c r="A8485" s="40" t="str">
        <f t="shared" si="1"/>
        <v/>
      </c>
      <c r="B8485" s="37" t="str">
        <f t="array" ref="B8485">iferror(xlookup($I8485, 'IMPORT VHC Report'!$E:$E, 'IMPORT VHC Report'!$A:$C), )</f>
        <v/>
      </c>
      <c r="C8485" s="44"/>
      <c r="D8485" s="44"/>
      <c r="L8485" s="45"/>
      <c r="N8485" s="45"/>
    </row>
    <row r="8486">
      <c r="A8486" s="40" t="str">
        <f t="shared" si="1"/>
        <v/>
      </c>
      <c r="B8486" s="37" t="str">
        <f t="array" ref="B8486">iferror(xlookup($I8486, 'IMPORT VHC Report'!$E:$E, 'IMPORT VHC Report'!$A:$C), )</f>
        <v/>
      </c>
      <c r="C8486" s="44"/>
      <c r="D8486" s="44"/>
      <c r="L8486" s="45"/>
      <c r="N8486" s="45"/>
    </row>
    <row r="8487">
      <c r="A8487" s="40" t="str">
        <f t="shared" si="1"/>
        <v/>
      </c>
      <c r="B8487" s="37" t="str">
        <f t="array" ref="B8487">iferror(xlookup($I8487, 'IMPORT VHC Report'!$E:$E, 'IMPORT VHC Report'!$A:$C), )</f>
        <v/>
      </c>
      <c r="C8487" s="44"/>
      <c r="D8487" s="44"/>
      <c r="L8487" s="45"/>
      <c r="N8487" s="45"/>
    </row>
    <row r="8488">
      <c r="A8488" s="40" t="str">
        <f t="shared" si="1"/>
        <v/>
      </c>
      <c r="B8488" s="37" t="str">
        <f t="array" ref="B8488">iferror(xlookup($I8488, 'IMPORT VHC Report'!$E:$E, 'IMPORT VHC Report'!$A:$C), )</f>
        <v/>
      </c>
      <c r="C8488" s="44"/>
      <c r="D8488" s="44"/>
      <c r="L8488" s="45"/>
      <c r="N8488" s="45"/>
    </row>
    <row r="8489">
      <c r="A8489" s="40" t="str">
        <f t="shared" si="1"/>
        <v/>
      </c>
      <c r="B8489" s="37" t="str">
        <f t="array" ref="B8489">iferror(xlookup($I8489, 'IMPORT VHC Report'!$E:$E, 'IMPORT VHC Report'!$A:$C), )</f>
        <v/>
      </c>
      <c r="C8489" s="44"/>
      <c r="D8489" s="44"/>
      <c r="L8489" s="45"/>
      <c r="N8489" s="45"/>
    </row>
    <row r="8490">
      <c r="A8490" s="40" t="str">
        <f t="shared" si="1"/>
        <v/>
      </c>
      <c r="B8490" s="37" t="str">
        <f t="array" ref="B8490">iferror(xlookup($I8490, 'IMPORT VHC Report'!$E:$E, 'IMPORT VHC Report'!$A:$C), )</f>
        <v/>
      </c>
      <c r="C8490" s="44"/>
      <c r="D8490" s="44"/>
      <c r="L8490" s="45"/>
      <c r="N8490" s="45"/>
    </row>
    <row r="8491">
      <c r="A8491" s="40" t="str">
        <f t="shared" si="1"/>
        <v/>
      </c>
      <c r="B8491" s="37" t="str">
        <f t="array" ref="B8491">iferror(xlookup($I8491, 'IMPORT VHC Report'!$E:$E, 'IMPORT VHC Report'!$A:$C), )</f>
        <v/>
      </c>
      <c r="C8491" s="44"/>
      <c r="D8491" s="44"/>
      <c r="L8491" s="45"/>
      <c r="N8491" s="45"/>
    </row>
    <row r="8492">
      <c r="A8492" s="40" t="str">
        <f t="shared" si="1"/>
        <v/>
      </c>
      <c r="B8492" s="37" t="str">
        <f t="array" ref="B8492">iferror(xlookup($I8492, 'IMPORT VHC Report'!$E:$E, 'IMPORT VHC Report'!$A:$C), )</f>
        <v/>
      </c>
      <c r="C8492" s="44"/>
      <c r="D8492" s="44"/>
      <c r="L8492" s="45"/>
      <c r="N8492" s="45"/>
    </row>
    <row r="8493">
      <c r="A8493" s="40" t="str">
        <f t="shared" si="1"/>
        <v/>
      </c>
      <c r="B8493" s="37" t="str">
        <f t="array" ref="B8493">iferror(xlookup($I8493, 'IMPORT VHC Report'!$E:$E, 'IMPORT VHC Report'!$A:$C), )</f>
        <v/>
      </c>
      <c r="C8493" s="44"/>
      <c r="D8493" s="44"/>
      <c r="L8493" s="45"/>
      <c r="N8493" s="45"/>
    </row>
    <row r="8494">
      <c r="A8494" s="40" t="str">
        <f t="shared" si="1"/>
        <v/>
      </c>
      <c r="B8494" s="37" t="str">
        <f t="array" ref="B8494">iferror(xlookup($I8494, 'IMPORT VHC Report'!$E:$E, 'IMPORT VHC Report'!$A:$C), )</f>
        <v/>
      </c>
      <c r="C8494" s="44"/>
      <c r="D8494" s="44"/>
      <c r="L8494" s="45"/>
      <c r="N8494" s="45"/>
    </row>
    <row r="8495">
      <c r="A8495" s="40" t="str">
        <f t="shared" si="1"/>
        <v/>
      </c>
      <c r="B8495" s="37" t="str">
        <f t="array" ref="B8495">iferror(xlookup($I8495, 'IMPORT VHC Report'!$E:$E, 'IMPORT VHC Report'!$A:$C), )</f>
        <v/>
      </c>
      <c r="C8495" s="44"/>
      <c r="D8495" s="44"/>
      <c r="L8495" s="45"/>
      <c r="N8495" s="45"/>
    </row>
    <row r="8496">
      <c r="A8496" s="40" t="str">
        <f t="shared" si="1"/>
        <v/>
      </c>
      <c r="B8496" s="37" t="str">
        <f t="array" ref="B8496">iferror(xlookup($I8496, 'IMPORT VHC Report'!$E:$E, 'IMPORT VHC Report'!$A:$C), )</f>
        <v/>
      </c>
      <c r="C8496" s="44"/>
      <c r="D8496" s="44"/>
      <c r="L8496" s="45"/>
      <c r="N8496" s="45"/>
    </row>
    <row r="8497">
      <c r="A8497" s="40" t="str">
        <f t="shared" si="1"/>
        <v/>
      </c>
      <c r="B8497" s="37" t="str">
        <f t="array" ref="B8497">iferror(xlookup($I8497, 'IMPORT VHC Report'!$E:$E, 'IMPORT VHC Report'!$A:$C), )</f>
        <v/>
      </c>
      <c r="C8497" s="44"/>
      <c r="D8497" s="44"/>
      <c r="L8497" s="45"/>
      <c r="N8497" s="45"/>
    </row>
    <row r="8498">
      <c r="A8498" s="40" t="str">
        <f t="shared" si="1"/>
        <v/>
      </c>
      <c r="B8498" s="37" t="str">
        <f t="array" ref="B8498">iferror(xlookup($I8498, 'IMPORT VHC Report'!$E:$E, 'IMPORT VHC Report'!$A:$C), )</f>
        <v/>
      </c>
      <c r="C8498" s="44"/>
      <c r="D8498" s="44"/>
      <c r="L8498" s="45"/>
      <c r="N8498" s="45"/>
    </row>
    <row r="8499">
      <c r="A8499" s="40" t="str">
        <f t="shared" si="1"/>
        <v/>
      </c>
      <c r="B8499" s="37" t="str">
        <f t="array" ref="B8499">iferror(xlookup($I8499, 'IMPORT VHC Report'!$E:$E, 'IMPORT VHC Report'!$A:$C), )</f>
        <v/>
      </c>
      <c r="C8499" s="44"/>
      <c r="D8499" s="44"/>
      <c r="L8499" s="45"/>
      <c r="N8499" s="45"/>
    </row>
    <row r="8500">
      <c r="A8500" s="40" t="str">
        <f t="shared" si="1"/>
        <v/>
      </c>
      <c r="B8500" s="37" t="str">
        <f t="array" ref="B8500">iferror(xlookup($I8500, 'IMPORT VHC Report'!$E:$E, 'IMPORT VHC Report'!$A:$C), )</f>
        <v/>
      </c>
      <c r="C8500" s="44"/>
      <c r="D8500" s="44"/>
      <c r="L8500" s="45"/>
      <c r="N8500" s="45"/>
    </row>
    <row r="8501">
      <c r="A8501" s="40" t="str">
        <f t="shared" si="1"/>
        <v/>
      </c>
      <c r="B8501" s="37" t="str">
        <f t="array" ref="B8501">iferror(xlookup($I8501, 'IMPORT VHC Report'!$E:$E, 'IMPORT VHC Report'!$A:$C), )</f>
        <v/>
      </c>
      <c r="C8501" s="44"/>
      <c r="D8501" s="44"/>
      <c r="L8501" s="45"/>
      <c r="N8501" s="45"/>
    </row>
    <row r="8502">
      <c r="A8502" s="40" t="str">
        <f t="shared" si="1"/>
        <v/>
      </c>
      <c r="B8502" s="37" t="str">
        <f t="array" ref="B8502">iferror(xlookup($I8502, 'IMPORT VHC Report'!$E:$E, 'IMPORT VHC Report'!$A:$C), )</f>
        <v/>
      </c>
      <c r="C8502" s="44"/>
      <c r="D8502" s="44"/>
      <c r="L8502" s="45"/>
      <c r="N8502" s="45"/>
    </row>
    <row r="8503">
      <c r="A8503" s="40" t="str">
        <f t="shared" si="1"/>
        <v/>
      </c>
      <c r="B8503" s="37" t="str">
        <f t="array" ref="B8503">iferror(xlookup($I8503, 'IMPORT VHC Report'!$E:$E, 'IMPORT VHC Report'!$A:$C), )</f>
        <v/>
      </c>
      <c r="C8503" s="44"/>
      <c r="D8503" s="44"/>
      <c r="L8503" s="45"/>
      <c r="N8503" s="45"/>
    </row>
    <row r="8504">
      <c r="A8504" s="40" t="str">
        <f t="shared" si="1"/>
        <v/>
      </c>
      <c r="B8504" s="37" t="str">
        <f t="array" ref="B8504">iferror(xlookup($I8504, 'IMPORT VHC Report'!$E:$E, 'IMPORT VHC Report'!$A:$C), )</f>
        <v/>
      </c>
      <c r="C8504" s="44"/>
      <c r="D8504" s="44"/>
      <c r="L8504" s="45"/>
      <c r="N8504" s="45"/>
    </row>
    <row r="8505">
      <c r="A8505" s="40" t="str">
        <f t="shared" si="1"/>
        <v/>
      </c>
      <c r="B8505" s="37" t="str">
        <f t="array" ref="B8505">iferror(xlookup($I8505, 'IMPORT VHC Report'!$E:$E, 'IMPORT VHC Report'!$A:$C), )</f>
        <v/>
      </c>
      <c r="C8505" s="44"/>
      <c r="D8505" s="44"/>
      <c r="L8505" s="45"/>
      <c r="N8505" s="45"/>
    </row>
    <row r="8506">
      <c r="A8506" s="40" t="str">
        <f t="shared" si="1"/>
        <v/>
      </c>
      <c r="B8506" s="37" t="str">
        <f t="array" ref="B8506">iferror(xlookup($I8506, 'IMPORT VHC Report'!$E:$E, 'IMPORT VHC Report'!$A:$C), )</f>
        <v/>
      </c>
      <c r="C8506" s="44"/>
      <c r="D8506" s="44"/>
      <c r="L8506" s="45"/>
      <c r="N8506" s="45"/>
    </row>
    <row r="8507">
      <c r="A8507" s="40" t="str">
        <f t="shared" si="1"/>
        <v/>
      </c>
      <c r="B8507" s="37" t="str">
        <f t="array" ref="B8507">iferror(xlookup($I8507, 'IMPORT VHC Report'!$E:$E, 'IMPORT VHC Report'!$A:$C), )</f>
        <v/>
      </c>
      <c r="C8507" s="44"/>
      <c r="D8507" s="44"/>
      <c r="L8507" s="45"/>
      <c r="N8507" s="45"/>
    </row>
    <row r="8508">
      <c r="A8508" s="40" t="str">
        <f t="shared" si="1"/>
        <v/>
      </c>
      <c r="B8508" s="37" t="str">
        <f t="array" ref="B8508">iferror(xlookup($I8508, 'IMPORT VHC Report'!$E:$E, 'IMPORT VHC Report'!$A:$C), )</f>
        <v/>
      </c>
      <c r="C8508" s="44"/>
      <c r="D8508" s="44"/>
      <c r="L8508" s="45"/>
      <c r="N8508" s="45"/>
    </row>
    <row r="8509">
      <c r="A8509" s="40" t="str">
        <f t="shared" si="1"/>
        <v/>
      </c>
      <c r="B8509" s="37" t="str">
        <f t="array" ref="B8509">iferror(xlookup($I8509, 'IMPORT VHC Report'!$E:$E, 'IMPORT VHC Report'!$A:$C), )</f>
        <v/>
      </c>
      <c r="C8509" s="44"/>
      <c r="D8509" s="44"/>
      <c r="L8509" s="45"/>
      <c r="N8509" s="45"/>
    </row>
    <row r="8510">
      <c r="A8510" s="40" t="str">
        <f t="shared" si="1"/>
        <v/>
      </c>
      <c r="B8510" s="37" t="str">
        <f t="array" ref="B8510">iferror(xlookup($I8510, 'IMPORT VHC Report'!$E:$E, 'IMPORT VHC Report'!$A:$C), )</f>
        <v/>
      </c>
      <c r="C8510" s="44"/>
      <c r="D8510" s="44"/>
      <c r="L8510" s="45"/>
      <c r="N8510" s="45"/>
    </row>
    <row r="8511">
      <c r="A8511" s="40" t="str">
        <f t="shared" si="1"/>
        <v/>
      </c>
      <c r="B8511" s="37" t="str">
        <f t="array" ref="B8511">iferror(xlookup($I8511, 'IMPORT VHC Report'!$E:$E, 'IMPORT VHC Report'!$A:$C), )</f>
        <v/>
      </c>
      <c r="C8511" s="44"/>
      <c r="D8511" s="44"/>
      <c r="L8511" s="45"/>
      <c r="N8511" s="45"/>
    </row>
    <row r="8512">
      <c r="A8512" s="40" t="str">
        <f t="shared" si="1"/>
        <v/>
      </c>
      <c r="B8512" s="37" t="str">
        <f t="array" ref="B8512">iferror(xlookup($I8512, 'IMPORT VHC Report'!$E:$E, 'IMPORT VHC Report'!$A:$C), )</f>
        <v/>
      </c>
      <c r="C8512" s="44"/>
      <c r="D8512" s="44"/>
      <c r="L8512" s="45"/>
      <c r="N8512" s="45"/>
    </row>
    <row r="8513">
      <c r="A8513" s="40" t="str">
        <f t="shared" si="1"/>
        <v/>
      </c>
      <c r="B8513" s="37" t="str">
        <f t="array" ref="B8513">iferror(xlookup($I8513, 'IMPORT VHC Report'!$E:$E, 'IMPORT VHC Report'!$A:$C), )</f>
        <v/>
      </c>
      <c r="C8513" s="44"/>
      <c r="D8513" s="44"/>
      <c r="L8513" s="45"/>
      <c r="N8513" s="45"/>
    </row>
    <row r="8514">
      <c r="A8514" s="40" t="str">
        <f t="shared" si="1"/>
        <v/>
      </c>
      <c r="B8514" s="37" t="str">
        <f t="array" ref="B8514">iferror(xlookup($I8514, 'IMPORT VHC Report'!$E:$E, 'IMPORT VHC Report'!$A:$C), )</f>
        <v/>
      </c>
      <c r="C8514" s="44"/>
      <c r="D8514" s="44"/>
      <c r="L8514" s="45"/>
      <c r="N8514" s="45"/>
    </row>
    <row r="8515">
      <c r="A8515" s="40" t="str">
        <f t="shared" si="1"/>
        <v/>
      </c>
      <c r="B8515" s="37" t="str">
        <f t="array" ref="B8515">iferror(xlookup($I8515, 'IMPORT VHC Report'!$E:$E, 'IMPORT VHC Report'!$A:$C), )</f>
        <v/>
      </c>
      <c r="C8515" s="44"/>
      <c r="D8515" s="44"/>
      <c r="L8515" s="45"/>
      <c r="N8515" s="45"/>
    </row>
    <row r="8516">
      <c r="A8516" s="40" t="str">
        <f t="shared" si="1"/>
        <v/>
      </c>
      <c r="B8516" s="37" t="str">
        <f t="array" ref="B8516">iferror(xlookup($I8516, 'IMPORT VHC Report'!$E:$E, 'IMPORT VHC Report'!$A:$C), )</f>
        <v/>
      </c>
      <c r="C8516" s="44"/>
      <c r="D8516" s="44"/>
      <c r="L8516" s="45"/>
      <c r="N8516" s="45"/>
    </row>
    <row r="8517">
      <c r="A8517" s="40" t="str">
        <f t="shared" si="1"/>
        <v/>
      </c>
      <c r="B8517" s="37" t="str">
        <f t="array" ref="B8517">iferror(xlookup($I8517, 'IMPORT VHC Report'!$E:$E, 'IMPORT VHC Report'!$A:$C), )</f>
        <v/>
      </c>
      <c r="C8517" s="44"/>
      <c r="D8517" s="44"/>
      <c r="L8517" s="45"/>
      <c r="N8517" s="45"/>
    </row>
    <row r="8518">
      <c r="A8518" s="40" t="str">
        <f t="shared" si="1"/>
        <v/>
      </c>
      <c r="B8518" s="37" t="str">
        <f t="array" ref="B8518">iferror(xlookup($I8518, 'IMPORT VHC Report'!$E:$E, 'IMPORT VHC Report'!$A:$C), )</f>
        <v/>
      </c>
      <c r="C8518" s="44"/>
      <c r="D8518" s="44"/>
      <c r="L8518" s="45"/>
      <c r="N8518" s="45"/>
    </row>
    <row r="8519">
      <c r="A8519" s="40" t="str">
        <f t="shared" si="1"/>
        <v/>
      </c>
      <c r="B8519" s="37" t="str">
        <f t="array" ref="B8519">iferror(xlookup($I8519, 'IMPORT VHC Report'!$E:$E, 'IMPORT VHC Report'!$A:$C), )</f>
        <v/>
      </c>
      <c r="C8519" s="44"/>
      <c r="D8519" s="44"/>
      <c r="L8519" s="45"/>
      <c r="N8519" s="45"/>
    </row>
    <row r="8520">
      <c r="A8520" s="40" t="str">
        <f t="shared" si="1"/>
        <v/>
      </c>
      <c r="B8520" s="37" t="str">
        <f t="array" ref="B8520">iferror(xlookup($I8520, 'IMPORT VHC Report'!$E:$E, 'IMPORT VHC Report'!$A:$C), )</f>
        <v/>
      </c>
      <c r="C8520" s="44"/>
      <c r="D8520" s="44"/>
      <c r="L8520" s="45"/>
      <c r="N8520" s="45"/>
    </row>
    <row r="8521">
      <c r="A8521" s="40" t="str">
        <f t="shared" si="1"/>
        <v/>
      </c>
      <c r="B8521" s="37" t="str">
        <f t="array" ref="B8521">iferror(xlookup($I8521, 'IMPORT VHC Report'!$E:$E, 'IMPORT VHC Report'!$A:$C), )</f>
        <v/>
      </c>
      <c r="C8521" s="44"/>
      <c r="D8521" s="44"/>
      <c r="L8521" s="45"/>
      <c r="N8521" s="45"/>
    </row>
    <row r="8522">
      <c r="A8522" s="40" t="str">
        <f t="shared" si="1"/>
        <v/>
      </c>
      <c r="B8522" s="37" t="str">
        <f t="array" ref="B8522">iferror(xlookup($I8522, 'IMPORT VHC Report'!$E:$E, 'IMPORT VHC Report'!$A:$C), )</f>
        <v/>
      </c>
      <c r="C8522" s="44"/>
      <c r="D8522" s="44"/>
      <c r="L8522" s="45"/>
      <c r="N8522" s="45"/>
    </row>
    <row r="8523">
      <c r="A8523" s="40" t="str">
        <f t="shared" si="1"/>
        <v/>
      </c>
      <c r="B8523" s="37" t="str">
        <f t="array" ref="B8523">iferror(xlookup($I8523, 'IMPORT VHC Report'!$E:$E, 'IMPORT VHC Report'!$A:$C), )</f>
        <v/>
      </c>
      <c r="C8523" s="44"/>
      <c r="D8523" s="44"/>
      <c r="L8523" s="45"/>
      <c r="N8523" s="45"/>
    </row>
    <row r="8524">
      <c r="A8524" s="40" t="str">
        <f t="shared" si="1"/>
        <v/>
      </c>
      <c r="B8524" s="37" t="str">
        <f t="array" ref="B8524">iferror(xlookup($I8524, 'IMPORT VHC Report'!$E:$E, 'IMPORT VHC Report'!$A:$C), )</f>
        <v/>
      </c>
      <c r="C8524" s="44"/>
      <c r="D8524" s="44"/>
      <c r="L8524" s="45"/>
      <c r="N8524" s="45"/>
    </row>
    <row r="8525">
      <c r="A8525" s="40" t="str">
        <f t="shared" si="1"/>
        <v/>
      </c>
      <c r="B8525" s="37" t="str">
        <f t="array" ref="B8525">iferror(xlookup($I8525, 'IMPORT VHC Report'!$E:$E, 'IMPORT VHC Report'!$A:$C), )</f>
        <v/>
      </c>
      <c r="C8525" s="44"/>
      <c r="D8525" s="44"/>
      <c r="L8525" s="45"/>
      <c r="N8525" s="45"/>
    </row>
    <row r="8526">
      <c r="A8526" s="40" t="str">
        <f t="shared" si="1"/>
        <v/>
      </c>
      <c r="B8526" s="37" t="str">
        <f t="array" ref="B8526">iferror(xlookup($I8526, 'IMPORT VHC Report'!$E:$E, 'IMPORT VHC Report'!$A:$C), )</f>
        <v/>
      </c>
      <c r="C8526" s="44"/>
      <c r="D8526" s="44"/>
      <c r="L8526" s="45"/>
      <c r="N8526" s="45"/>
    </row>
    <row r="8527">
      <c r="A8527" s="40" t="str">
        <f t="shared" si="1"/>
        <v/>
      </c>
      <c r="B8527" s="37" t="str">
        <f t="array" ref="B8527">iferror(xlookup($I8527, 'IMPORT VHC Report'!$E:$E, 'IMPORT VHC Report'!$A:$C), )</f>
        <v/>
      </c>
      <c r="C8527" s="44"/>
      <c r="D8527" s="44"/>
      <c r="L8527" s="45"/>
      <c r="N8527" s="45"/>
    </row>
    <row r="8528">
      <c r="A8528" s="40" t="str">
        <f t="shared" si="1"/>
        <v/>
      </c>
      <c r="B8528" s="37" t="str">
        <f t="array" ref="B8528">iferror(xlookup($I8528, 'IMPORT VHC Report'!$E:$E, 'IMPORT VHC Report'!$A:$C), )</f>
        <v/>
      </c>
      <c r="C8528" s="44"/>
      <c r="D8528" s="44"/>
      <c r="L8528" s="45"/>
      <c r="N8528" s="45"/>
    </row>
    <row r="8529">
      <c r="A8529" s="40" t="str">
        <f t="shared" si="1"/>
        <v/>
      </c>
      <c r="B8529" s="37" t="str">
        <f t="array" ref="B8529">iferror(xlookup($I8529, 'IMPORT VHC Report'!$E:$E, 'IMPORT VHC Report'!$A:$C), )</f>
        <v/>
      </c>
      <c r="C8529" s="44"/>
      <c r="D8529" s="44"/>
      <c r="L8529" s="45"/>
      <c r="N8529" s="45"/>
    </row>
    <row r="8530">
      <c r="A8530" s="40" t="str">
        <f t="shared" si="1"/>
        <v/>
      </c>
      <c r="B8530" s="37" t="str">
        <f t="array" ref="B8530">iferror(xlookup($I8530, 'IMPORT VHC Report'!$E:$E, 'IMPORT VHC Report'!$A:$C), )</f>
        <v/>
      </c>
      <c r="C8530" s="44"/>
      <c r="D8530" s="44"/>
      <c r="L8530" s="45"/>
      <c r="N8530" s="45"/>
    </row>
    <row r="8531">
      <c r="A8531" s="40" t="str">
        <f t="shared" si="1"/>
        <v/>
      </c>
      <c r="B8531" s="37" t="str">
        <f t="array" ref="B8531">iferror(xlookup($I8531, 'IMPORT VHC Report'!$E:$E, 'IMPORT VHC Report'!$A:$C), )</f>
        <v/>
      </c>
      <c r="C8531" s="44"/>
      <c r="D8531" s="44"/>
      <c r="L8531" s="45"/>
      <c r="N8531" s="45"/>
    </row>
    <row r="8532">
      <c r="A8532" s="40" t="str">
        <f t="shared" si="1"/>
        <v/>
      </c>
      <c r="B8532" s="37" t="str">
        <f t="array" ref="B8532">iferror(xlookup($I8532, 'IMPORT VHC Report'!$E:$E, 'IMPORT VHC Report'!$A:$C), )</f>
        <v/>
      </c>
      <c r="C8532" s="44"/>
      <c r="D8532" s="44"/>
      <c r="L8532" s="45"/>
      <c r="N8532" s="45"/>
    </row>
    <row r="8533">
      <c r="A8533" s="40" t="str">
        <f t="shared" si="1"/>
        <v/>
      </c>
      <c r="B8533" s="37" t="str">
        <f t="array" ref="B8533">iferror(xlookup($I8533, 'IMPORT VHC Report'!$E:$E, 'IMPORT VHC Report'!$A:$C), )</f>
        <v/>
      </c>
      <c r="C8533" s="44"/>
      <c r="D8533" s="44"/>
      <c r="L8533" s="45"/>
      <c r="N8533" s="45"/>
    </row>
    <row r="8534">
      <c r="A8534" s="40" t="str">
        <f t="shared" si="1"/>
        <v/>
      </c>
      <c r="B8534" s="37" t="str">
        <f t="array" ref="B8534">iferror(xlookup($I8534, 'IMPORT VHC Report'!$E:$E, 'IMPORT VHC Report'!$A:$C), )</f>
        <v/>
      </c>
      <c r="C8534" s="44"/>
      <c r="D8534" s="44"/>
      <c r="L8534" s="45"/>
      <c r="N8534" s="45"/>
    </row>
    <row r="8535">
      <c r="A8535" s="40" t="str">
        <f t="shared" si="1"/>
        <v/>
      </c>
      <c r="B8535" s="37" t="str">
        <f t="array" ref="B8535">iferror(xlookup($I8535, 'IMPORT VHC Report'!$E:$E, 'IMPORT VHC Report'!$A:$C), )</f>
        <v/>
      </c>
      <c r="C8535" s="44"/>
      <c r="D8535" s="44"/>
      <c r="L8535" s="45"/>
      <c r="N8535" s="45"/>
    </row>
    <row r="8536">
      <c r="A8536" s="40" t="str">
        <f t="shared" si="1"/>
        <v/>
      </c>
      <c r="B8536" s="37" t="str">
        <f t="array" ref="B8536">iferror(xlookup($I8536, 'IMPORT VHC Report'!$E:$E, 'IMPORT VHC Report'!$A:$C), )</f>
        <v/>
      </c>
      <c r="C8536" s="44"/>
      <c r="D8536" s="44"/>
      <c r="L8536" s="45"/>
      <c r="N8536" s="45"/>
    </row>
    <row r="8537">
      <c r="A8537" s="40" t="str">
        <f t="shared" si="1"/>
        <v/>
      </c>
      <c r="B8537" s="37" t="str">
        <f t="array" ref="B8537">iferror(xlookup($I8537, 'IMPORT VHC Report'!$E:$E, 'IMPORT VHC Report'!$A:$C), )</f>
        <v/>
      </c>
      <c r="C8537" s="44"/>
      <c r="D8537" s="44"/>
      <c r="L8537" s="45"/>
      <c r="N8537" s="45"/>
    </row>
    <row r="8538">
      <c r="A8538" s="40" t="str">
        <f t="shared" si="1"/>
        <v/>
      </c>
      <c r="B8538" s="37" t="str">
        <f t="array" ref="B8538">iferror(xlookup($I8538, 'IMPORT VHC Report'!$E:$E, 'IMPORT VHC Report'!$A:$C), )</f>
        <v/>
      </c>
      <c r="C8538" s="44"/>
      <c r="D8538" s="44"/>
      <c r="L8538" s="45"/>
      <c r="N8538" s="45"/>
    </row>
    <row r="8539">
      <c r="A8539" s="40" t="str">
        <f t="shared" si="1"/>
        <v/>
      </c>
      <c r="B8539" s="37" t="str">
        <f t="array" ref="B8539">iferror(xlookup($I8539, 'IMPORT VHC Report'!$E:$E, 'IMPORT VHC Report'!$A:$C), )</f>
        <v/>
      </c>
      <c r="C8539" s="44"/>
      <c r="D8539" s="44"/>
      <c r="L8539" s="45"/>
      <c r="N8539" s="45"/>
    </row>
    <row r="8540">
      <c r="A8540" s="40" t="str">
        <f t="shared" si="1"/>
        <v/>
      </c>
      <c r="B8540" s="37" t="str">
        <f t="array" ref="B8540">iferror(xlookup($I8540, 'IMPORT VHC Report'!$E:$E, 'IMPORT VHC Report'!$A:$C), )</f>
        <v/>
      </c>
      <c r="C8540" s="44"/>
      <c r="D8540" s="44"/>
      <c r="L8540" s="45"/>
      <c r="N8540" s="45"/>
    </row>
    <row r="8541">
      <c r="A8541" s="40" t="str">
        <f t="shared" si="1"/>
        <v/>
      </c>
      <c r="B8541" s="37" t="str">
        <f t="array" ref="B8541">iferror(xlookup($I8541, 'IMPORT VHC Report'!$E:$E, 'IMPORT VHC Report'!$A:$C), )</f>
        <v/>
      </c>
      <c r="C8541" s="44"/>
      <c r="D8541" s="44"/>
      <c r="L8541" s="45"/>
      <c r="N8541" s="45"/>
    </row>
    <row r="8542">
      <c r="A8542" s="40" t="str">
        <f t="shared" si="1"/>
        <v/>
      </c>
      <c r="B8542" s="37" t="str">
        <f t="array" ref="B8542">iferror(xlookup($I8542, 'IMPORT VHC Report'!$E:$E, 'IMPORT VHC Report'!$A:$C), )</f>
        <v/>
      </c>
      <c r="C8542" s="44"/>
      <c r="D8542" s="44"/>
      <c r="L8542" s="45"/>
      <c r="N8542" s="45"/>
    </row>
    <row r="8543">
      <c r="A8543" s="40" t="str">
        <f t="shared" si="1"/>
        <v/>
      </c>
      <c r="B8543" s="37" t="str">
        <f t="array" ref="B8543">iferror(xlookup($I8543, 'IMPORT VHC Report'!$E:$E, 'IMPORT VHC Report'!$A:$C), )</f>
        <v/>
      </c>
      <c r="C8543" s="44"/>
      <c r="D8543" s="44"/>
      <c r="L8543" s="45"/>
      <c r="N8543" s="45"/>
    </row>
    <row r="8544">
      <c r="A8544" s="40" t="str">
        <f t="shared" si="1"/>
        <v/>
      </c>
      <c r="B8544" s="37" t="str">
        <f t="array" ref="B8544">iferror(xlookup($I8544, 'IMPORT VHC Report'!$E:$E, 'IMPORT VHC Report'!$A:$C), )</f>
        <v/>
      </c>
      <c r="C8544" s="44"/>
      <c r="D8544" s="44"/>
      <c r="L8544" s="45"/>
      <c r="N8544" s="45"/>
    </row>
    <row r="8545">
      <c r="A8545" s="40" t="str">
        <f t="shared" si="1"/>
        <v/>
      </c>
      <c r="B8545" s="37" t="str">
        <f t="array" ref="B8545">iferror(xlookup($I8545, 'IMPORT VHC Report'!$E:$E, 'IMPORT VHC Report'!$A:$C), )</f>
        <v/>
      </c>
      <c r="C8545" s="44"/>
      <c r="D8545" s="44"/>
      <c r="L8545" s="45"/>
      <c r="N8545" s="45"/>
    </row>
    <row r="8546">
      <c r="A8546" s="40" t="str">
        <f t="shared" si="1"/>
        <v/>
      </c>
      <c r="B8546" s="37" t="str">
        <f t="array" ref="B8546">iferror(xlookup($I8546, 'IMPORT VHC Report'!$E:$E, 'IMPORT VHC Report'!$A:$C), )</f>
        <v/>
      </c>
      <c r="C8546" s="44"/>
      <c r="D8546" s="44"/>
      <c r="L8546" s="45"/>
      <c r="N8546" s="45"/>
    </row>
    <row r="8547">
      <c r="A8547" s="40" t="str">
        <f t="shared" si="1"/>
        <v/>
      </c>
      <c r="B8547" s="37" t="str">
        <f t="array" ref="B8547">iferror(xlookup($I8547, 'IMPORT VHC Report'!$E:$E, 'IMPORT VHC Report'!$A:$C), )</f>
        <v/>
      </c>
      <c r="C8547" s="44"/>
      <c r="D8547" s="44"/>
      <c r="L8547" s="45"/>
      <c r="N8547" s="45"/>
    </row>
    <row r="8548">
      <c r="A8548" s="40" t="str">
        <f t="shared" si="1"/>
        <v/>
      </c>
      <c r="B8548" s="37" t="str">
        <f t="array" ref="B8548">iferror(xlookup($I8548, 'IMPORT VHC Report'!$E:$E, 'IMPORT VHC Report'!$A:$C), )</f>
        <v/>
      </c>
      <c r="C8548" s="44"/>
      <c r="D8548" s="44"/>
      <c r="L8548" s="45"/>
      <c r="N8548" s="45"/>
    </row>
    <row r="8549">
      <c r="A8549" s="40" t="str">
        <f t="shared" si="1"/>
        <v/>
      </c>
      <c r="B8549" s="37" t="str">
        <f t="array" ref="B8549">iferror(xlookup($I8549, 'IMPORT VHC Report'!$E:$E, 'IMPORT VHC Report'!$A:$C), )</f>
        <v/>
      </c>
      <c r="C8549" s="44"/>
      <c r="D8549" s="44"/>
      <c r="L8549" s="45"/>
      <c r="N8549" s="45"/>
    </row>
    <row r="8550">
      <c r="A8550" s="40" t="str">
        <f t="shared" si="1"/>
        <v/>
      </c>
      <c r="B8550" s="37" t="str">
        <f t="array" ref="B8550">iferror(xlookup($I8550, 'IMPORT VHC Report'!$E:$E, 'IMPORT VHC Report'!$A:$C), )</f>
        <v/>
      </c>
      <c r="C8550" s="44"/>
      <c r="D8550" s="44"/>
      <c r="L8550" s="45"/>
      <c r="N8550" s="45"/>
    </row>
    <row r="8551">
      <c r="A8551" s="40" t="str">
        <f t="shared" si="1"/>
        <v/>
      </c>
      <c r="B8551" s="37" t="str">
        <f t="array" ref="B8551">iferror(xlookup($I8551, 'IMPORT VHC Report'!$E:$E, 'IMPORT VHC Report'!$A:$C), )</f>
        <v/>
      </c>
      <c r="C8551" s="44"/>
      <c r="D8551" s="44"/>
      <c r="L8551" s="45"/>
      <c r="N8551" s="45"/>
    </row>
    <row r="8552">
      <c r="A8552" s="40" t="str">
        <f t="shared" si="1"/>
        <v/>
      </c>
      <c r="B8552" s="37" t="str">
        <f t="array" ref="B8552">iferror(xlookup($I8552, 'IMPORT VHC Report'!$E:$E, 'IMPORT VHC Report'!$A:$C), )</f>
        <v/>
      </c>
      <c r="C8552" s="44"/>
      <c r="D8552" s="44"/>
      <c r="L8552" s="45"/>
      <c r="N8552" s="45"/>
    </row>
    <row r="8553">
      <c r="A8553" s="40" t="str">
        <f t="shared" si="1"/>
        <v/>
      </c>
      <c r="B8553" s="37" t="str">
        <f t="array" ref="B8553">iferror(xlookup($I8553, 'IMPORT VHC Report'!$E:$E, 'IMPORT VHC Report'!$A:$C), )</f>
        <v/>
      </c>
      <c r="C8553" s="44"/>
      <c r="D8553" s="44"/>
      <c r="L8553" s="45"/>
      <c r="N8553" s="45"/>
    </row>
    <row r="8554">
      <c r="A8554" s="40" t="str">
        <f t="shared" si="1"/>
        <v/>
      </c>
      <c r="B8554" s="37" t="str">
        <f t="array" ref="B8554">iferror(xlookup($I8554, 'IMPORT VHC Report'!$E:$E, 'IMPORT VHC Report'!$A:$C), )</f>
        <v/>
      </c>
      <c r="C8554" s="44"/>
      <c r="D8554" s="44"/>
      <c r="L8554" s="45"/>
      <c r="N8554" s="45"/>
    </row>
    <row r="8555">
      <c r="A8555" s="40" t="str">
        <f t="shared" si="1"/>
        <v/>
      </c>
      <c r="B8555" s="37" t="str">
        <f t="array" ref="B8555">iferror(xlookup($I8555, 'IMPORT VHC Report'!$E:$E, 'IMPORT VHC Report'!$A:$C), )</f>
        <v/>
      </c>
      <c r="C8555" s="44"/>
      <c r="D8555" s="44"/>
      <c r="L8555" s="45"/>
      <c r="N8555" s="45"/>
    </row>
    <row r="8556">
      <c r="A8556" s="40" t="str">
        <f t="shared" si="1"/>
        <v/>
      </c>
      <c r="B8556" s="37" t="str">
        <f t="array" ref="B8556">iferror(xlookup($I8556, 'IMPORT VHC Report'!$E:$E, 'IMPORT VHC Report'!$A:$C), )</f>
        <v/>
      </c>
      <c r="C8556" s="44"/>
      <c r="D8556" s="44"/>
      <c r="L8556" s="45"/>
      <c r="N8556" s="45"/>
    </row>
    <row r="8557">
      <c r="A8557" s="40" t="str">
        <f t="shared" si="1"/>
        <v/>
      </c>
      <c r="B8557" s="37" t="str">
        <f t="array" ref="B8557">iferror(xlookup($I8557, 'IMPORT VHC Report'!$E:$E, 'IMPORT VHC Report'!$A:$C), )</f>
        <v/>
      </c>
      <c r="C8557" s="44"/>
      <c r="D8557" s="44"/>
      <c r="L8557" s="45"/>
      <c r="N8557" s="45"/>
    </row>
    <row r="8558">
      <c r="A8558" s="40" t="str">
        <f t="shared" si="1"/>
        <v/>
      </c>
      <c r="B8558" s="37" t="str">
        <f t="array" ref="B8558">iferror(xlookup($I8558, 'IMPORT VHC Report'!$E:$E, 'IMPORT VHC Report'!$A:$C), )</f>
        <v/>
      </c>
      <c r="C8558" s="44"/>
      <c r="D8558" s="44"/>
      <c r="L8558" s="45"/>
      <c r="N8558" s="45"/>
    </row>
    <row r="8559">
      <c r="A8559" s="40" t="str">
        <f t="shared" si="1"/>
        <v/>
      </c>
      <c r="B8559" s="37" t="str">
        <f t="array" ref="B8559">iferror(xlookup($I8559, 'IMPORT VHC Report'!$E:$E, 'IMPORT VHC Report'!$A:$C), )</f>
        <v/>
      </c>
      <c r="C8559" s="44"/>
      <c r="D8559" s="44"/>
      <c r="L8559" s="45"/>
      <c r="N8559" s="45"/>
    </row>
    <row r="8560">
      <c r="A8560" s="40" t="str">
        <f t="shared" si="1"/>
        <v/>
      </c>
      <c r="B8560" s="37" t="str">
        <f t="array" ref="B8560">iferror(xlookup($I8560, 'IMPORT VHC Report'!$E:$E, 'IMPORT VHC Report'!$A:$C), )</f>
        <v/>
      </c>
      <c r="C8560" s="44"/>
      <c r="D8560" s="44"/>
      <c r="L8560" s="45"/>
      <c r="N8560" s="45"/>
    </row>
    <row r="8561">
      <c r="A8561" s="40" t="str">
        <f t="shared" si="1"/>
        <v/>
      </c>
      <c r="B8561" s="37" t="str">
        <f t="array" ref="B8561">iferror(xlookup($I8561, 'IMPORT VHC Report'!$E:$E, 'IMPORT VHC Report'!$A:$C), )</f>
        <v/>
      </c>
      <c r="C8561" s="44"/>
      <c r="D8561" s="44"/>
      <c r="L8561" s="45"/>
      <c r="N8561" s="45"/>
    </row>
    <row r="8562">
      <c r="A8562" s="40" t="str">
        <f t="shared" si="1"/>
        <v/>
      </c>
      <c r="B8562" s="37" t="str">
        <f t="array" ref="B8562">iferror(xlookup($I8562, 'IMPORT VHC Report'!$E:$E, 'IMPORT VHC Report'!$A:$C), )</f>
        <v/>
      </c>
      <c r="C8562" s="44"/>
      <c r="D8562" s="44"/>
      <c r="L8562" s="45"/>
      <c r="N8562" s="45"/>
    </row>
    <row r="8563">
      <c r="A8563" s="40" t="str">
        <f t="shared" si="1"/>
        <v/>
      </c>
      <c r="B8563" s="37" t="str">
        <f t="array" ref="B8563">iferror(xlookup($I8563, 'IMPORT VHC Report'!$E:$E, 'IMPORT VHC Report'!$A:$C), )</f>
        <v/>
      </c>
      <c r="C8563" s="44"/>
      <c r="D8563" s="44"/>
      <c r="L8563" s="45"/>
      <c r="N8563" s="45"/>
    </row>
    <row r="8564">
      <c r="A8564" s="40" t="str">
        <f t="shared" si="1"/>
        <v/>
      </c>
      <c r="B8564" s="37" t="str">
        <f t="array" ref="B8564">iferror(xlookup($I8564, 'IMPORT VHC Report'!$E:$E, 'IMPORT VHC Report'!$A:$C), )</f>
        <v/>
      </c>
      <c r="C8564" s="44"/>
      <c r="D8564" s="44"/>
      <c r="L8564" s="45"/>
      <c r="N8564" s="45"/>
    </row>
    <row r="8565">
      <c r="A8565" s="40" t="str">
        <f t="shared" si="1"/>
        <v/>
      </c>
      <c r="B8565" s="37" t="str">
        <f t="array" ref="B8565">iferror(xlookup($I8565, 'IMPORT VHC Report'!$E:$E, 'IMPORT VHC Report'!$A:$C), )</f>
        <v/>
      </c>
      <c r="C8565" s="44"/>
      <c r="D8565" s="44"/>
      <c r="L8565" s="45"/>
      <c r="N8565" s="45"/>
    </row>
    <row r="8566">
      <c r="A8566" s="40" t="str">
        <f t="shared" si="1"/>
        <v/>
      </c>
      <c r="B8566" s="37" t="str">
        <f t="array" ref="B8566">iferror(xlookup($I8566, 'IMPORT VHC Report'!$E:$E, 'IMPORT VHC Report'!$A:$C), )</f>
        <v/>
      </c>
      <c r="C8566" s="44"/>
      <c r="D8566" s="44"/>
      <c r="L8566" s="45"/>
      <c r="N8566" s="45"/>
    </row>
    <row r="8567">
      <c r="A8567" s="40" t="str">
        <f t="shared" si="1"/>
        <v/>
      </c>
      <c r="B8567" s="37" t="str">
        <f t="array" ref="B8567">iferror(xlookup($I8567, 'IMPORT VHC Report'!$E:$E, 'IMPORT VHC Report'!$A:$C), )</f>
        <v/>
      </c>
      <c r="C8567" s="44"/>
      <c r="D8567" s="44"/>
      <c r="L8567" s="45"/>
      <c r="N8567" s="45"/>
    </row>
    <row r="8568">
      <c r="A8568" s="40" t="str">
        <f t="shared" si="1"/>
        <v/>
      </c>
      <c r="B8568" s="37" t="str">
        <f t="array" ref="B8568">iferror(xlookup($I8568, 'IMPORT VHC Report'!$E:$E, 'IMPORT VHC Report'!$A:$C), )</f>
        <v/>
      </c>
      <c r="C8568" s="44"/>
      <c r="D8568" s="44"/>
      <c r="L8568" s="45"/>
      <c r="N8568" s="45"/>
    </row>
    <row r="8569">
      <c r="A8569" s="40" t="str">
        <f t="shared" si="1"/>
        <v/>
      </c>
      <c r="B8569" s="37" t="str">
        <f t="array" ref="B8569">iferror(xlookup($I8569, 'IMPORT VHC Report'!$E:$E, 'IMPORT VHC Report'!$A:$C), )</f>
        <v/>
      </c>
      <c r="C8569" s="44"/>
      <c r="D8569" s="44"/>
      <c r="L8569" s="45"/>
      <c r="N8569" s="45"/>
    </row>
    <row r="8570">
      <c r="A8570" s="40" t="str">
        <f t="shared" si="1"/>
        <v/>
      </c>
      <c r="B8570" s="37" t="str">
        <f t="array" ref="B8570">iferror(xlookup($I8570, 'IMPORT VHC Report'!$E:$E, 'IMPORT VHC Report'!$A:$C), )</f>
        <v/>
      </c>
      <c r="C8570" s="44"/>
      <c r="D8570" s="44"/>
      <c r="L8570" s="45"/>
      <c r="N8570" s="45"/>
    </row>
    <row r="8571">
      <c r="A8571" s="40" t="str">
        <f t="shared" si="1"/>
        <v/>
      </c>
      <c r="B8571" s="37" t="str">
        <f t="array" ref="B8571">iferror(xlookup($I8571, 'IMPORT VHC Report'!$E:$E, 'IMPORT VHC Report'!$A:$C), )</f>
        <v/>
      </c>
      <c r="C8571" s="44"/>
      <c r="D8571" s="44"/>
      <c r="L8571" s="45"/>
      <c r="N8571" s="45"/>
    </row>
    <row r="8572">
      <c r="A8572" s="40" t="str">
        <f t="shared" si="1"/>
        <v/>
      </c>
      <c r="B8572" s="37" t="str">
        <f t="array" ref="B8572">iferror(xlookup($I8572, 'IMPORT VHC Report'!$E:$E, 'IMPORT VHC Report'!$A:$C), )</f>
        <v/>
      </c>
      <c r="C8572" s="44"/>
      <c r="D8572" s="44"/>
      <c r="L8572" s="45"/>
      <c r="N8572" s="45"/>
    </row>
    <row r="8573">
      <c r="A8573" s="40" t="str">
        <f t="shared" si="1"/>
        <v/>
      </c>
      <c r="B8573" s="37" t="str">
        <f t="array" ref="B8573">iferror(xlookup($I8573, 'IMPORT VHC Report'!$E:$E, 'IMPORT VHC Report'!$A:$C), )</f>
        <v/>
      </c>
      <c r="C8573" s="44"/>
      <c r="D8573" s="44"/>
      <c r="L8573" s="45"/>
      <c r="N8573" s="45"/>
    </row>
    <row r="8574">
      <c r="A8574" s="40" t="str">
        <f t="shared" si="1"/>
        <v/>
      </c>
      <c r="B8574" s="37" t="str">
        <f t="array" ref="B8574">iferror(xlookup($I8574, 'IMPORT VHC Report'!$E:$E, 'IMPORT VHC Report'!$A:$C), )</f>
        <v/>
      </c>
      <c r="C8574" s="44"/>
      <c r="D8574" s="44"/>
      <c r="L8574" s="45"/>
      <c r="N8574" s="45"/>
    </row>
    <row r="8575">
      <c r="A8575" s="40" t="str">
        <f t="shared" si="1"/>
        <v/>
      </c>
      <c r="B8575" s="37" t="str">
        <f t="array" ref="B8575">iferror(xlookup($I8575, 'IMPORT VHC Report'!$E:$E, 'IMPORT VHC Report'!$A:$C), )</f>
        <v/>
      </c>
      <c r="C8575" s="44"/>
      <c r="D8575" s="44"/>
      <c r="L8575" s="45"/>
      <c r="N8575" s="45"/>
    </row>
    <row r="8576">
      <c r="A8576" s="40" t="str">
        <f t="shared" si="1"/>
        <v/>
      </c>
      <c r="B8576" s="37" t="str">
        <f t="array" ref="B8576">iferror(xlookup($I8576, 'IMPORT VHC Report'!$E:$E, 'IMPORT VHC Report'!$A:$C), )</f>
        <v/>
      </c>
      <c r="C8576" s="44"/>
      <c r="D8576" s="44"/>
      <c r="L8576" s="45"/>
      <c r="N8576" s="45"/>
    </row>
    <row r="8577">
      <c r="A8577" s="40" t="str">
        <f t="shared" si="1"/>
        <v/>
      </c>
      <c r="B8577" s="37" t="str">
        <f t="array" ref="B8577">iferror(xlookup($I8577, 'IMPORT VHC Report'!$E:$E, 'IMPORT VHC Report'!$A:$C), )</f>
        <v/>
      </c>
      <c r="C8577" s="44"/>
      <c r="D8577" s="44"/>
      <c r="L8577" s="45"/>
      <c r="N8577" s="45"/>
    </row>
    <row r="8578">
      <c r="A8578" s="40" t="str">
        <f t="shared" si="1"/>
        <v/>
      </c>
      <c r="B8578" s="37" t="str">
        <f t="array" ref="B8578">iferror(xlookup($I8578, 'IMPORT VHC Report'!$E:$E, 'IMPORT VHC Report'!$A:$C), )</f>
        <v/>
      </c>
      <c r="C8578" s="44"/>
      <c r="D8578" s="44"/>
      <c r="L8578" s="45"/>
      <c r="N8578" s="45"/>
    </row>
    <row r="8579">
      <c r="A8579" s="40" t="str">
        <f t="shared" si="1"/>
        <v/>
      </c>
      <c r="B8579" s="37" t="str">
        <f t="array" ref="B8579">iferror(xlookup($I8579, 'IMPORT VHC Report'!$E:$E, 'IMPORT VHC Report'!$A:$C), )</f>
        <v/>
      </c>
      <c r="C8579" s="44"/>
      <c r="D8579" s="44"/>
      <c r="L8579" s="45"/>
      <c r="N8579" s="45"/>
    </row>
    <row r="8580">
      <c r="A8580" s="40" t="str">
        <f t="shared" si="1"/>
        <v/>
      </c>
      <c r="B8580" s="37" t="str">
        <f t="array" ref="B8580">iferror(xlookup($I8580, 'IMPORT VHC Report'!$E:$E, 'IMPORT VHC Report'!$A:$C), )</f>
        <v/>
      </c>
      <c r="C8580" s="44"/>
      <c r="D8580" s="44"/>
      <c r="L8580" s="45"/>
      <c r="N8580" s="45"/>
    </row>
    <row r="8581">
      <c r="A8581" s="40" t="str">
        <f t="shared" si="1"/>
        <v/>
      </c>
      <c r="B8581" s="37" t="str">
        <f t="array" ref="B8581">iferror(xlookup($I8581, 'IMPORT VHC Report'!$E:$E, 'IMPORT VHC Report'!$A:$C), )</f>
        <v/>
      </c>
      <c r="C8581" s="44"/>
      <c r="D8581" s="44"/>
      <c r="L8581" s="45"/>
      <c r="N8581" s="45"/>
    </row>
    <row r="8582">
      <c r="A8582" s="40" t="str">
        <f t="shared" si="1"/>
        <v/>
      </c>
      <c r="B8582" s="37" t="str">
        <f t="array" ref="B8582">iferror(xlookup($I8582, 'IMPORT VHC Report'!$E:$E, 'IMPORT VHC Report'!$A:$C), )</f>
        <v/>
      </c>
      <c r="C8582" s="44"/>
      <c r="D8582" s="44"/>
      <c r="L8582" s="45"/>
      <c r="N8582" s="45"/>
    </row>
    <row r="8583">
      <c r="A8583" s="40" t="str">
        <f t="shared" si="1"/>
        <v/>
      </c>
      <c r="B8583" s="37" t="str">
        <f t="array" ref="B8583">iferror(xlookup($I8583, 'IMPORT VHC Report'!$E:$E, 'IMPORT VHC Report'!$A:$C), )</f>
        <v/>
      </c>
      <c r="C8583" s="44"/>
      <c r="D8583" s="44"/>
      <c r="L8583" s="45"/>
      <c r="N8583" s="45"/>
    </row>
    <row r="8584">
      <c r="A8584" s="40" t="str">
        <f t="shared" si="1"/>
        <v/>
      </c>
      <c r="B8584" s="37" t="str">
        <f t="array" ref="B8584">iferror(xlookup($I8584, 'IMPORT VHC Report'!$E:$E, 'IMPORT VHC Report'!$A:$C), )</f>
        <v/>
      </c>
      <c r="C8584" s="44"/>
      <c r="D8584" s="44"/>
      <c r="L8584" s="45"/>
      <c r="N8584" s="45"/>
    </row>
    <row r="8585">
      <c r="A8585" s="40" t="str">
        <f t="shared" si="1"/>
        <v/>
      </c>
      <c r="B8585" s="37" t="str">
        <f t="array" ref="B8585">iferror(xlookup($I8585, 'IMPORT VHC Report'!$E:$E, 'IMPORT VHC Report'!$A:$C), )</f>
        <v/>
      </c>
      <c r="C8585" s="44"/>
      <c r="D8585" s="44"/>
      <c r="L8585" s="45"/>
      <c r="N8585" s="45"/>
    </row>
    <row r="8586">
      <c r="A8586" s="40" t="str">
        <f t="shared" si="1"/>
        <v/>
      </c>
      <c r="B8586" s="37" t="str">
        <f t="array" ref="B8586">iferror(xlookup($I8586, 'IMPORT VHC Report'!$E:$E, 'IMPORT VHC Report'!$A:$C), )</f>
        <v/>
      </c>
      <c r="C8586" s="44"/>
      <c r="D8586" s="44"/>
      <c r="L8586" s="45"/>
      <c r="N8586" s="45"/>
    </row>
    <row r="8587">
      <c r="A8587" s="40" t="str">
        <f t="shared" si="1"/>
        <v/>
      </c>
      <c r="B8587" s="37" t="str">
        <f t="array" ref="B8587">iferror(xlookup($I8587, 'IMPORT VHC Report'!$E:$E, 'IMPORT VHC Report'!$A:$C), )</f>
        <v/>
      </c>
      <c r="C8587" s="44"/>
      <c r="D8587" s="44"/>
      <c r="L8587" s="45"/>
      <c r="N8587" s="45"/>
    </row>
    <row r="8588">
      <c r="A8588" s="40" t="str">
        <f t="shared" si="1"/>
        <v/>
      </c>
      <c r="B8588" s="37" t="str">
        <f t="array" ref="B8588">iferror(xlookup($I8588, 'IMPORT VHC Report'!$E:$E, 'IMPORT VHC Report'!$A:$C), )</f>
        <v/>
      </c>
      <c r="C8588" s="44"/>
      <c r="D8588" s="44"/>
      <c r="L8588" s="45"/>
      <c r="N8588" s="45"/>
    </row>
    <row r="8589">
      <c r="A8589" s="40" t="str">
        <f t="shared" si="1"/>
        <v/>
      </c>
      <c r="B8589" s="37" t="str">
        <f t="array" ref="B8589">iferror(xlookup($I8589, 'IMPORT VHC Report'!$E:$E, 'IMPORT VHC Report'!$A:$C), )</f>
        <v/>
      </c>
      <c r="C8589" s="44"/>
      <c r="D8589" s="44"/>
      <c r="L8589" s="45"/>
      <c r="N8589" s="45"/>
    </row>
    <row r="8590">
      <c r="A8590" s="40" t="str">
        <f t="shared" si="1"/>
        <v/>
      </c>
      <c r="B8590" s="37" t="str">
        <f t="array" ref="B8590">iferror(xlookup($I8590, 'IMPORT VHC Report'!$E:$E, 'IMPORT VHC Report'!$A:$C), )</f>
        <v/>
      </c>
      <c r="C8590" s="44"/>
      <c r="D8590" s="44"/>
      <c r="L8590" s="45"/>
      <c r="N8590" s="45"/>
    </row>
    <row r="8591">
      <c r="A8591" s="40" t="str">
        <f t="shared" si="1"/>
        <v/>
      </c>
      <c r="B8591" s="37" t="str">
        <f t="array" ref="B8591">iferror(xlookup($I8591, 'IMPORT VHC Report'!$E:$E, 'IMPORT VHC Report'!$A:$C), )</f>
        <v/>
      </c>
      <c r="C8591" s="44"/>
      <c r="D8591" s="44"/>
      <c r="L8591" s="45"/>
      <c r="N8591" s="45"/>
    </row>
    <row r="8592">
      <c r="A8592" s="40" t="str">
        <f t="shared" si="1"/>
        <v/>
      </c>
      <c r="B8592" s="37" t="str">
        <f t="array" ref="B8592">iferror(xlookup($I8592, 'IMPORT VHC Report'!$E:$E, 'IMPORT VHC Report'!$A:$C), )</f>
        <v/>
      </c>
      <c r="C8592" s="44"/>
      <c r="D8592" s="44"/>
      <c r="L8592" s="45"/>
      <c r="N8592" s="45"/>
    </row>
    <row r="8593">
      <c r="A8593" s="40" t="str">
        <f t="shared" si="1"/>
        <v/>
      </c>
      <c r="B8593" s="37" t="str">
        <f t="array" ref="B8593">iferror(xlookup($I8593, 'IMPORT VHC Report'!$E:$E, 'IMPORT VHC Report'!$A:$C), )</f>
        <v/>
      </c>
      <c r="C8593" s="44"/>
      <c r="D8593" s="44"/>
      <c r="L8593" s="45"/>
      <c r="N8593" s="45"/>
    </row>
    <row r="8594">
      <c r="A8594" s="40" t="str">
        <f t="shared" si="1"/>
        <v/>
      </c>
      <c r="B8594" s="37" t="str">
        <f t="array" ref="B8594">iferror(xlookup($I8594, 'IMPORT VHC Report'!$E:$E, 'IMPORT VHC Report'!$A:$C), )</f>
        <v/>
      </c>
      <c r="C8594" s="44"/>
      <c r="D8594" s="44"/>
      <c r="L8594" s="45"/>
      <c r="N8594" s="45"/>
    </row>
    <row r="8595">
      <c r="A8595" s="40" t="str">
        <f t="shared" si="1"/>
        <v/>
      </c>
      <c r="B8595" s="37" t="str">
        <f t="array" ref="B8595">iferror(xlookup($I8595, 'IMPORT VHC Report'!$E:$E, 'IMPORT VHC Report'!$A:$C), )</f>
        <v/>
      </c>
      <c r="C8595" s="44"/>
      <c r="D8595" s="44"/>
      <c r="L8595" s="45"/>
      <c r="N8595" s="45"/>
    </row>
    <row r="8596">
      <c r="A8596" s="40" t="str">
        <f t="shared" si="1"/>
        <v/>
      </c>
      <c r="B8596" s="37" t="str">
        <f t="array" ref="B8596">iferror(xlookup($I8596, 'IMPORT VHC Report'!$E:$E, 'IMPORT VHC Report'!$A:$C), )</f>
        <v/>
      </c>
      <c r="C8596" s="44"/>
      <c r="D8596" s="44"/>
      <c r="L8596" s="45"/>
      <c r="N8596" s="45"/>
    </row>
    <row r="8597">
      <c r="A8597" s="40" t="str">
        <f t="shared" si="1"/>
        <v/>
      </c>
      <c r="B8597" s="37" t="str">
        <f t="array" ref="B8597">iferror(xlookup($I8597, 'IMPORT VHC Report'!$E:$E, 'IMPORT VHC Report'!$A:$C), )</f>
        <v/>
      </c>
      <c r="C8597" s="44"/>
      <c r="D8597" s="44"/>
      <c r="L8597" s="45"/>
      <c r="N8597" s="45"/>
    </row>
    <row r="8598">
      <c r="A8598" s="40" t="str">
        <f t="shared" si="1"/>
        <v/>
      </c>
      <c r="B8598" s="37" t="str">
        <f t="array" ref="B8598">iferror(xlookup($I8598, 'IMPORT VHC Report'!$E:$E, 'IMPORT VHC Report'!$A:$C), )</f>
        <v/>
      </c>
      <c r="C8598" s="44"/>
      <c r="D8598" s="44"/>
      <c r="L8598" s="45"/>
      <c r="N8598" s="45"/>
    </row>
    <row r="8599">
      <c r="A8599" s="40" t="str">
        <f t="shared" si="1"/>
        <v/>
      </c>
      <c r="B8599" s="37" t="str">
        <f t="array" ref="B8599">iferror(xlookup($I8599, 'IMPORT VHC Report'!$E:$E, 'IMPORT VHC Report'!$A:$C), )</f>
        <v/>
      </c>
      <c r="C8599" s="44"/>
      <c r="D8599" s="44"/>
      <c r="L8599" s="45"/>
      <c r="N8599" s="45"/>
    </row>
    <row r="8600">
      <c r="A8600" s="40" t="str">
        <f t="shared" si="1"/>
        <v/>
      </c>
      <c r="B8600" s="37" t="str">
        <f t="array" ref="B8600">iferror(xlookup($I8600, 'IMPORT VHC Report'!$E:$E, 'IMPORT VHC Report'!$A:$C), )</f>
        <v/>
      </c>
      <c r="C8600" s="44"/>
      <c r="D8600" s="44"/>
      <c r="L8600" s="45"/>
      <c r="N8600" s="45"/>
    </row>
    <row r="8601">
      <c r="A8601" s="40" t="str">
        <f t="shared" si="1"/>
        <v/>
      </c>
      <c r="B8601" s="37" t="str">
        <f t="array" ref="B8601">iferror(xlookup($I8601, 'IMPORT VHC Report'!$E:$E, 'IMPORT VHC Report'!$A:$C), )</f>
        <v/>
      </c>
      <c r="C8601" s="44"/>
      <c r="D8601" s="44"/>
      <c r="L8601" s="45"/>
      <c r="N8601" s="45"/>
    </row>
    <row r="8602">
      <c r="A8602" s="40" t="str">
        <f t="shared" si="1"/>
        <v/>
      </c>
      <c r="B8602" s="37" t="str">
        <f t="array" ref="B8602">iferror(xlookup($I8602, 'IMPORT VHC Report'!$E:$E, 'IMPORT VHC Report'!$A:$C), )</f>
        <v/>
      </c>
      <c r="C8602" s="44"/>
      <c r="D8602" s="44"/>
      <c r="L8602" s="45"/>
      <c r="N8602" s="45"/>
    </row>
    <row r="8603">
      <c r="A8603" s="40" t="str">
        <f t="shared" si="1"/>
        <v/>
      </c>
      <c r="B8603" s="37" t="str">
        <f t="array" ref="B8603">iferror(xlookup($I8603, 'IMPORT VHC Report'!$E:$E, 'IMPORT VHC Report'!$A:$C), )</f>
        <v/>
      </c>
      <c r="C8603" s="44"/>
      <c r="D8603" s="44"/>
      <c r="L8603" s="45"/>
      <c r="N8603" s="45"/>
    </row>
    <row r="8604">
      <c r="A8604" s="40" t="str">
        <f t="shared" si="1"/>
        <v/>
      </c>
      <c r="B8604" s="37" t="str">
        <f t="array" ref="B8604">iferror(xlookup($I8604, 'IMPORT VHC Report'!$E:$E, 'IMPORT VHC Report'!$A:$C), )</f>
        <v/>
      </c>
      <c r="C8604" s="44"/>
      <c r="D8604" s="44"/>
      <c r="L8604" s="45"/>
      <c r="N8604" s="45"/>
    </row>
    <row r="8605">
      <c r="A8605" s="40" t="str">
        <f t="shared" si="1"/>
        <v/>
      </c>
      <c r="B8605" s="37" t="str">
        <f t="array" ref="B8605">iferror(xlookup($I8605, 'IMPORT VHC Report'!$E:$E, 'IMPORT VHC Report'!$A:$C), )</f>
        <v/>
      </c>
      <c r="C8605" s="44"/>
      <c r="D8605" s="44"/>
      <c r="L8605" s="45"/>
      <c r="N8605" s="45"/>
    </row>
    <row r="8606">
      <c r="A8606" s="40" t="str">
        <f t="shared" si="1"/>
        <v/>
      </c>
      <c r="B8606" s="37" t="str">
        <f t="array" ref="B8606">iferror(xlookup($I8606, 'IMPORT VHC Report'!$E:$E, 'IMPORT VHC Report'!$A:$C), )</f>
        <v/>
      </c>
      <c r="C8606" s="44"/>
      <c r="D8606" s="44"/>
      <c r="L8606" s="45"/>
      <c r="N8606" s="45"/>
    </row>
    <row r="8607">
      <c r="A8607" s="40" t="str">
        <f t="shared" si="1"/>
        <v/>
      </c>
      <c r="B8607" s="37" t="str">
        <f t="array" ref="B8607">iferror(xlookup($I8607, 'IMPORT VHC Report'!$E:$E, 'IMPORT VHC Report'!$A:$C), )</f>
        <v/>
      </c>
      <c r="C8607" s="44"/>
      <c r="D8607" s="44"/>
      <c r="L8607" s="45"/>
      <c r="N8607" s="45"/>
    </row>
    <row r="8608">
      <c r="A8608" s="40" t="str">
        <f t="shared" si="1"/>
        <v/>
      </c>
      <c r="B8608" s="37" t="str">
        <f t="array" ref="B8608">iferror(xlookup($I8608, 'IMPORT VHC Report'!$E:$E, 'IMPORT VHC Report'!$A:$C), )</f>
        <v/>
      </c>
      <c r="C8608" s="44"/>
      <c r="D8608" s="44"/>
      <c r="L8608" s="45"/>
      <c r="N8608" s="45"/>
    </row>
    <row r="8609">
      <c r="A8609" s="40" t="str">
        <f t="shared" si="1"/>
        <v/>
      </c>
      <c r="B8609" s="37" t="str">
        <f t="array" ref="B8609">iferror(xlookup($I8609, 'IMPORT VHC Report'!$E:$E, 'IMPORT VHC Report'!$A:$C), )</f>
        <v/>
      </c>
      <c r="C8609" s="44"/>
      <c r="D8609" s="44"/>
      <c r="L8609" s="45"/>
      <c r="N8609" s="45"/>
    </row>
    <row r="8610">
      <c r="A8610" s="40" t="str">
        <f t="shared" si="1"/>
        <v/>
      </c>
      <c r="B8610" s="37" t="str">
        <f t="array" ref="B8610">iferror(xlookup($I8610, 'IMPORT VHC Report'!$E:$E, 'IMPORT VHC Report'!$A:$C), )</f>
        <v/>
      </c>
      <c r="C8610" s="44"/>
      <c r="D8610" s="44"/>
      <c r="L8610" s="45"/>
      <c r="N8610" s="45"/>
    </row>
    <row r="8611">
      <c r="A8611" s="40" t="str">
        <f t="shared" si="1"/>
        <v/>
      </c>
      <c r="B8611" s="37" t="str">
        <f t="array" ref="B8611">iferror(xlookup($I8611, 'IMPORT VHC Report'!$E:$E, 'IMPORT VHC Report'!$A:$C), )</f>
        <v/>
      </c>
      <c r="C8611" s="44"/>
      <c r="D8611" s="44"/>
      <c r="L8611" s="45"/>
      <c r="N8611" s="45"/>
    </row>
    <row r="8612">
      <c r="A8612" s="40" t="str">
        <f t="shared" si="1"/>
        <v/>
      </c>
      <c r="B8612" s="37" t="str">
        <f t="array" ref="B8612">iferror(xlookup($I8612, 'IMPORT VHC Report'!$E:$E, 'IMPORT VHC Report'!$A:$C), )</f>
        <v/>
      </c>
      <c r="C8612" s="44"/>
      <c r="D8612" s="44"/>
      <c r="L8612" s="45"/>
      <c r="N8612" s="45"/>
    </row>
    <row r="8613">
      <c r="A8613" s="40" t="str">
        <f t="shared" si="1"/>
        <v/>
      </c>
      <c r="B8613" s="37" t="str">
        <f t="array" ref="B8613">iferror(xlookup($I8613, 'IMPORT VHC Report'!$E:$E, 'IMPORT VHC Report'!$A:$C), )</f>
        <v/>
      </c>
      <c r="C8613" s="44"/>
      <c r="D8613" s="44"/>
      <c r="L8613" s="45"/>
      <c r="N8613" s="45"/>
    </row>
    <row r="8614">
      <c r="A8614" s="40" t="str">
        <f t="shared" si="1"/>
        <v/>
      </c>
      <c r="B8614" s="37" t="str">
        <f t="array" ref="B8614">iferror(xlookup($I8614, 'IMPORT VHC Report'!$E:$E, 'IMPORT VHC Report'!$A:$C), )</f>
        <v/>
      </c>
      <c r="C8614" s="44"/>
      <c r="D8614" s="44"/>
      <c r="L8614" s="45"/>
      <c r="N8614" s="45"/>
    </row>
    <row r="8615">
      <c r="A8615" s="40" t="str">
        <f t="shared" si="1"/>
        <v/>
      </c>
      <c r="B8615" s="37" t="str">
        <f t="array" ref="B8615">iferror(xlookup($I8615, 'IMPORT VHC Report'!$E:$E, 'IMPORT VHC Report'!$A:$C), )</f>
        <v/>
      </c>
      <c r="C8615" s="44"/>
      <c r="D8615" s="44"/>
      <c r="L8615" s="45"/>
      <c r="N8615" s="45"/>
    </row>
    <row r="8616">
      <c r="A8616" s="40" t="str">
        <f t="shared" si="1"/>
        <v/>
      </c>
      <c r="B8616" s="37" t="str">
        <f t="array" ref="B8616">iferror(xlookup($I8616, 'IMPORT VHC Report'!$E:$E, 'IMPORT VHC Report'!$A:$C), )</f>
        <v/>
      </c>
      <c r="C8616" s="44"/>
      <c r="D8616" s="44"/>
      <c r="L8616" s="45"/>
      <c r="N8616" s="45"/>
    </row>
    <row r="8617">
      <c r="A8617" s="40" t="str">
        <f t="shared" si="1"/>
        <v/>
      </c>
      <c r="B8617" s="37" t="str">
        <f t="array" ref="B8617">iferror(xlookup($I8617, 'IMPORT VHC Report'!$E:$E, 'IMPORT VHC Report'!$A:$C), )</f>
        <v/>
      </c>
      <c r="C8617" s="44"/>
      <c r="D8617" s="44"/>
      <c r="L8617" s="45"/>
      <c r="N8617" s="45"/>
    </row>
    <row r="8618">
      <c r="A8618" s="40" t="str">
        <f t="shared" si="1"/>
        <v/>
      </c>
      <c r="B8618" s="37" t="str">
        <f t="array" ref="B8618">iferror(xlookup($I8618, 'IMPORT VHC Report'!$E:$E, 'IMPORT VHC Report'!$A:$C), )</f>
        <v/>
      </c>
      <c r="C8618" s="44"/>
      <c r="D8618" s="44"/>
      <c r="L8618" s="45"/>
      <c r="N8618" s="45"/>
    </row>
    <row r="8619">
      <c r="A8619" s="40" t="str">
        <f t="shared" si="1"/>
        <v/>
      </c>
      <c r="B8619" s="37" t="str">
        <f t="array" ref="B8619">iferror(xlookup($I8619, 'IMPORT VHC Report'!$E:$E, 'IMPORT VHC Report'!$A:$C), )</f>
        <v/>
      </c>
      <c r="C8619" s="44"/>
      <c r="D8619" s="44"/>
      <c r="L8619" s="45"/>
      <c r="N8619" s="45"/>
    </row>
    <row r="8620">
      <c r="A8620" s="40" t="str">
        <f t="shared" si="1"/>
        <v/>
      </c>
      <c r="B8620" s="37" t="str">
        <f t="array" ref="B8620">iferror(xlookup($I8620, 'IMPORT VHC Report'!$E:$E, 'IMPORT VHC Report'!$A:$C), )</f>
        <v/>
      </c>
      <c r="C8620" s="44"/>
      <c r="D8620" s="44"/>
      <c r="L8620" s="45"/>
      <c r="N8620" s="45"/>
    </row>
    <row r="8621">
      <c r="A8621" s="40" t="str">
        <f t="shared" si="1"/>
        <v/>
      </c>
      <c r="B8621" s="37" t="str">
        <f t="array" ref="B8621">iferror(xlookup($I8621, 'IMPORT VHC Report'!$E:$E, 'IMPORT VHC Report'!$A:$C), )</f>
        <v/>
      </c>
      <c r="C8621" s="44"/>
      <c r="D8621" s="44"/>
      <c r="L8621" s="45"/>
      <c r="N8621" s="45"/>
    </row>
    <row r="8622">
      <c r="A8622" s="40" t="str">
        <f t="shared" si="1"/>
        <v/>
      </c>
      <c r="B8622" s="37" t="str">
        <f t="array" ref="B8622">iferror(xlookup($I8622, 'IMPORT VHC Report'!$E:$E, 'IMPORT VHC Report'!$A:$C), )</f>
        <v/>
      </c>
      <c r="C8622" s="44"/>
      <c r="D8622" s="44"/>
      <c r="L8622" s="45"/>
      <c r="N8622" s="45"/>
    </row>
    <row r="8623">
      <c r="A8623" s="40" t="str">
        <f t="shared" si="1"/>
        <v/>
      </c>
      <c r="B8623" s="37" t="str">
        <f t="array" ref="B8623">iferror(xlookup($I8623, 'IMPORT VHC Report'!$E:$E, 'IMPORT VHC Report'!$A:$C), )</f>
        <v/>
      </c>
      <c r="C8623" s="44"/>
      <c r="D8623" s="44"/>
      <c r="L8623" s="45"/>
      <c r="N8623" s="45"/>
    </row>
    <row r="8624">
      <c r="A8624" s="40" t="str">
        <f t="shared" si="1"/>
        <v/>
      </c>
      <c r="B8624" s="37" t="str">
        <f t="array" ref="B8624">iferror(xlookup($I8624, 'IMPORT VHC Report'!$E:$E, 'IMPORT VHC Report'!$A:$C), )</f>
        <v/>
      </c>
      <c r="C8624" s="44"/>
      <c r="D8624" s="44"/>
      <c r="L8624" s="45"/>
      <c r="N8624" s="45"/>
    </row>
    <row r="8625">
      <c r="A8625" s="40" t="str">
        <f t="shared" si="1"/>
        <v/>
      </c>
      <c r="B8625" s="37" t="str">
        <f t="array" ref="B8625">iferror(xlookup($I8625, 'IMPORT VHC Report'!$E:$E, 'IMPORT VHC Report'!$A:$C), )</f>
        <v/>
      </c>
      <c r="C8625" s="44"/>
      <c r="D8625" s="44"/>
      <c r="L8625" s="45"/>
      <c r="N8625" s="45"/>
    </row>
    <row r="8626">
      <c r="A8626" s="40" t="str">
        <f t="shared" si="1"/>
        <v/>
      </c>
      <c r="B8626" s="37" t="str">
        <f t="array" ref="B8626">iferror(xlookup($I8626, 'IMPORT VHC Report'!$E:$E, 'IMPORT VHC Report'!$A:$C), )</f>
        <v/>
      </c>
      <c r="C8626" s="44"/>
      <c r="D8626" s="44"/>
      <c r="L8626" s="45"/>
      <c r="N8626" s="45"/>
    </row>
    <row r="8627">
      <c r="A8627" s="40" t="str">
        <f t="shared" si="1"/>
        <v/>
      </c>
      <c r="B8627" s="37" t="str">
        <f t="array" ref="B8627">iferror(xlookup($I8627, 'IMPORT VHC Report'!$E:$E, 'IMPORT VHC Report'!$A:$C), )</f>
        <v/>
      </c>
      <c r="C8627" s="44"/>
      <c r="D8627" s="44"/>
      <c r="L8627" s="45"/>
      <c r="N8627" s="45"/>
    </row>
    <row r="8628">
      <c r="A8628" s="40" t="str">
        <f t="shared" si="1"/>
        <v/>
      </c>
      <c r="B8628" s="37" t="str">
        <f t="array" ref="B8628">iferror(xlookup($I8628, 'IMPORT VHC Report'!$E:$E, 'IMPORT VHC Report'!$A:$C), )</f>
        <v/>
      </c>
      <c r="C8628" s="44"/>
      <c r="D8628" s="44"/>
      <c r="L8628" s="45"/>
      <c r="N8628" s="45"/>
    </row>
    <row r="8629">
      <c r="A8629" s="40" t="str">
        <f t="shared" si="1"/>
        <v/>
      </c>
      <c r="B8629" s="37" t="str">
        <f t="array" ref="B8629">iferror(xlookup($I8629, 'IMPORT VHC Report'!$E:$E, 'IMPORT VHC Report'!$A:$C), )</f>
        <v/>
      </c>
      <c r="C8629" s="44"/>
      <c r="D8629" s="44"/>
      <c r="L8629" s="45"/>
      <c r="N8629" s="45"/>
    </row>
    <row r="8630">
      <c r="A8630" s="40" t="str">
        <f t="shared" si="1"/>
        <v/>
      </c>
      <c r="B8630" s="37" t="str">
        <f t="array" ref="B8630">iferror(xlookup($I8630, 'IMPORT VHC Report'!$E:$E, 'IMPORT VHC Report'!$A:$C), )</f>
        <v/>
      </c>
      <c r="C8630" s="44"/>
      <c r="D8630" s="44"/>
      <c r="L8630" s="45"/>
      <c r="N8630" s="45"/>
    </row>
    <row r="8631">
      <c r="A8631" s="40" t="str">
        <f t="shared" si="1"/>
        <v/>
      </c>
      <c r="B8631" s="37" t="str">
        <f t="array" ref="B8631">iferror(xlookup($I8631, 'IMPORT VHC Report'!$E:$E, 'IMPORT VHC Report'!$A:$C), )</f>
        <v/>
      </c>
      <c r="C8631" s="44"/>
      <c r="D8631" s="44"/>
      <c r="L8631" s="45"/>
      <c r="N8631" s="45"/>
    </row>
    <row r="8632">
      <c r="A8632" s="40" t="str">
        <f t="shared" si="1"/>
        <v/>
      </c>
      <c r="B8632" s="37" t="str">
        <f t="array" ref="B8632">iferror(xlookup($I8632, 'IMPORT VHC Report'!$E:$E, 'IMPORT VHC Report'!$A:$C), )</f>
        <v/>
      </c>
      <c r="C8632" s="44"/>
      <c r="D8632" s="44"/>
      <c r="L8632" s="45"/>
      <c r="N8632" s="45"/>
    </row>
    <row r="8633">
      <c r="A8633" s="40" t="str">
        <f t="shared" si="1"/>
        <v/>
      </c>
      <c r="B8633" s="37" t="str">
        <f t="array" ref="B8633">iferror(xlookup($I8633, 'IMPORT VHC Report'!$E:$E, 'IMPORT VHC Report'!$A:$C), )</f>
        <v/>
      </c>
      <c r="C8633" s="44"/>
      <c r="D8633" s="44"/>
      <c r="L8633" s="45"/>
      <c r="N8633" s="45"/>
    </row>
    <row r="8634">
      <c r="A8634" s="40" t="str">
        <f t="shared" si="1"/>
        <v/>
      </c>
      <c r="B8634" s="37" t="str">
        <f t="array" ref="B8634">iferror(xlookup($I8634, 'IMPORT VHC Report'!$E:$E, 'IMPORT VHC Report'!$A:$C), )</f>
        <v/>
      </c>
      <c r="C8634" s="44"/>
      <c r="D8634" s="44"/>
      <c r="L8634" s="45"/>
      <c r="N8634" s="45"/>
    </row>
    <row r="8635">
      <c r="A8635" s="40" t="str">
        <f t="shared" si="1"/>
        <v/>
      </c>
      <c r="B8635" s="37" t="str">
        <f t="array" ref="B8635">iferror(xlookup($I8635, 'IMPORT VHC Report'!$E:$E, 'IMPORT VHC Report'!$A:$C), )</f>
        <v/>
      </c>
      <c r="C8635" s="44"/>
      <c r="D8635" s="44"/>
      <c r="L8635" s="45"/>
      <c r="N8635" s="45"/>
    </row>
    <row r="8636">
      <c r="A8636" s="40" t="str">
        <f t="shared" si="1"/>
        <v/>
      </c>
      <c r="B8636" s="37" t="str">
        <f t="array" ref="B8636">iferror(xlookup($I8636, 'IMPORT VHC Report'!$E:$E, 'IMPORT VHC Report'!$A:$C), )</f>
        <v/>
      </c>
      <c r="C8636" s="44"/>
      <c r="D8636" s="44"/>
      <c r="L8636" s="45"/>
      <c r="N8636" s="45"/>
    </row>
    <row r="8637">
      <c r="A8637" s="40" t="str">
        <f t="shared" si="1"/>
        <v/>
      </c>
      <c r="B8637" s="37" t="str">
        <f t="array" ref="B8637">iferror(xlookup($I8637, 'IMPORT VHC Report'!$E:$E, 'IMPORT VHC Report'!$A:$C), )</f>
        <v/>
      </c>
      <c r="C8637" s="44"/>
      <c r="D8637" s="44"/>
      <c r="L8637" s="45"/>
      <c r="N8637" s="45"/>
    </row>
    <row r="8638">
      <c r="A8638" s="40" t="str">
        <f t="shared" si="1"/>
        <v/>
      </c>
      <c r="B8638" s="37" t="str">
        <f t="array" ref="B8638">iferror(xlookup($I8638, 'IMPORT VHC Report'!$E:$E, 'IMPORT VHC Report'!$A:$C), )</f>
        <v/>
      </c>
      <c r="C8638" s="44"/>
      <c r="D8638" s="44"/>
      <c r="L8638" s="45"/>
      <c r="N8638" s="45"/>
    </row>
    <row r="8639">
      <c r="A8639" s="40" t="str">
        <f t="shared" si="1"/>
        <v/>
      </c>
      <c r="B8639" s="37" t="str">
        <f t="array" ref="B8639">iferror(xlookup($I8639, 'IMPORT VHC Report'!$E:$E, 'IMPORT VHC Report'!$A:$C), )</f>
        <v/>
      </c>
      <c r="C8639" s="44"/>
      <c r="D8639" s="44"/>
      <c r="L8639" s="45"/>
      <c r="N8639" s="45"/>
    </row>
    <row r="8640">
      <c r="A8640" s="40" t="str">
        <f t="shared" si="1"/>
        <v/>
      </c>
      <c r="B8640" s="37" t="str">
        <f t="array" ref="B8640">iferror(xlookup($I8640, 'IMPORT VHC Report'!$E:$E, 'IMPORT VHC Report'!$A:$C), )</f>
        <v/>
      </c>
      <c r="C8640" s="44"/>
      <c r="D8640" s="44"/>
      <c r="L8640" s="45"/>
      <c r="N8640" s="45"/>
    </row>
    <row r="8641">
      <c r="A8641" s="40" t="str">
        <f t="shared" si="1"/>
        <v/>
      </c>
      <c r="B8641" s="37" t="str">
        <f t="array" ref="B8641">iferror(xlookup($I8641, 'IMPORT VHC Report'!$E:$E, 'IMPORT VHC Report'!$A:$C), )</f>
        <v/>
      </c>
      <c r="C8641" s="44"/>
      <c r="D8641" s="44"/>
      <c r="L8641" s="45"/>
      <c r="N8641" s="45"/>
    </row>
    <row r="8642">
      <c r="A8642" s="40" t="str">
        <f t="shared" si="1"/>
        <v/>
      </c>
      <c r="B8642" s="37" t="str">
        <f t="array" ref="B8642">iferror(xlookup($I8642, 'IMPORT VHC Report'!$E:$E, 'IMPORT VHC Report'!$A:$C), )</f>
        <v/>
      </c>
      <c r="C8642" s="44"/>
      <c r="D8642" s="44"/>
      <c r="L8642" s="45"/>
      <c r="N8642" s="45"/>
    </row>
    <row r="8643">
      <c r="A8643" s="40" t="str">
        <f t="shared" si="1"/>
        <v/>
      </c>
      <c r="B8643" s="37" t="str">
        <f t="array" ref="B8643">iferror(xlookup($I8643, 'IMPORT VHC Report'!$E:$E, 'IMPORT VHC Report'!$A:$C), )</f>
        <v/>
      </c>
      <c r="C8643" s="44"/>
      <c r="D8643" s="44"/>
      <c r="L8643" s="45"/>
      <c r="N8643" s="45"/>
    </row>
    <row r="8644">
      <c r="A8644" s="40" t="str">
        <f t="shared" si="1"/>
        <v/>
      </c>
      <c r="B8644" s="37" t="str">
        <f t="array" ref="B8644">iferror(xlookup($I8644, 'IMPORT VHC Report'!$E:$E, 'IMPORT VHC Report'!$A:$C), )</f>
        <v/>
      </c>
      <c r="C8644" s="44"/>
      <c r="D8644" s="44"/>
      <c r="L8644" s="45"/>
      <c r="N8644" s="45"/>
    </row>
    <row r="8645">
      <c r="A8645" s="40" t="str">
        <f t="shared" si="1"/>
        <v/>
      </c>
      <c r="B8645" s="37" t="str">
        <f t="array" ref="B8645">iferror(xlookup($I8645, 'IMPORT VHC Report'!$E:$E, 'IMPORT VHC Report'!$A:$C), )</f>
        <v/>
      </c>
      <c r="C8645" s="44"/>
      <c r="D8645" s="44"/>
      <c r="L8645" s="45"/>
      <c r="N8645" s="45"/>
    </row>
    <row r="8646">
      <c r="A8646" s="40" t="str">
        <f t="shared" si="1"/>
        <v/>
      </c>
      <c r="B8646" s="37" t="str">
        <f t="array" ref="B8646">iferror(xlookup($I8646, 'IMPORT VHC Report'!$E:$E, 'IMPORT VHC Report'!$A:$C), )</f>
        <v/>
      </c>
      <c r="C8646" s="44"/>
      <c r="D8646" s="44"/>
      <c r="L8646" s="45"/>
      <c r="N8646" s="45"/>
    </row>
    <row r="8647">
      <c r="A8647" s="40" t="str">
        <f t="shared" si="1"/>
        <v/>
      </c>
      <c r="B8647" s="37" t="str">
        <f t="array" ref="B8647">iferror(xlookup($I8647, 'IMPORT VHC Report'!$E:$E, 'IMPORT VHC Report'!$A:$C), )</f>
        <v/>
      </c>
      <c r="C8647" s="44"/>
      <c r="D8647" s="44"/>
      <c r="L8647" s="45"/>
      <c r="N8647" s="45"/>
    </row>
    <row r="8648">
      <c r="A8648" s="40" t="str">
        <f t="shared" si="1"/>
        <v/>
      </c>
      <c r="B8648" s="37" t="str">
        <f t="array" ref="B8648">iferror(xlookup($I8648, 'IMPORT VHC Report'!$E:$E, 'IMPORT VHC Report'!$A:$C), )</f>
        <v/>
      </c>
      <c r="C8648" s="44"/>
      <c r="D8648" s="44"/>
      <c r="L8648" s="45"/>
      <c r="N8648" s="45"/>
    </row>
    <row r="8649">
      <c r="A8649" s="40" t="str">
        <f t="shared" si="1"/>
        <v/>
      </c>
      <c r="B8649" s="37" t="str">
        <f t="array" ref="B8649">iferror(xlookup($I8649, 'IMPORT VHC Report'!$E:$E, 'IMPORT VHC Report'!$A:$C), )</f>
        <v/>
      </c>
      <c r="C8649" s="44"/>
      <c r="D8649" s="44"/>
      <c r="L8649" s="45"/>
      <c r="N8649" s="45"/>
    </row>
    <row r="8650">
      <c r="A8650" s="40" t="str">
        <f t="shared" si="1"/>
        <v/>
      </c>
      <c r="B8650" s="37" t="str">
        <f t="array" ref="B8650">iferror(xlookup($I8650, 'IMPORT VHC Report'!$E:$E, 'IMPORT VHC Report'!$A:$C), )</f>
        <v/>
      </c>
      <c r="C8650" s="44"/>
      <c r="D8650" s="44"/>
      <c r="L8650" s="45"/>
      <c r="N8650" s="45"/>
    </row>
    <row r="8651">
      <c r="A8651" s="40" t="str">
        <f t="shared" si="1"/>
        <v/>
      </c>
      <c r="B8651" s="37" t="str">
        <f t="array" ref="B8651">iferror(xlookup($I8651, 'IMPORT VHC Report'!$E:$E, 'IMPORT VHC Report'!$A:$C), )</f>
        <v/>
      </c>
      <c r="C8651" s="44"/>
      <c r="D8651" s="44"/>
      <c r="L8651" s="45"/>
      <c r="N8651" s="45"/>
    </row>
    <row r="8652">
      <c r="A8652" s="40" t="str">
        <f t="shared" si="1"/>
        <v/>
      </c>
      <c r="B8652" s="37" t="str">
        <f t="array" ref="B8652">iferror(xlookup($I8652, 'IMPORT VHC Report'!$E:$E, 'IMPORT VHC Report'!$A:$C), )</f>
        <v/>
      </c>
      <c r="C8652" s="44"/>
      <c r="D8652" s="44"/>
      <c r="L8652" s="45"/>
      <c r="N8652" s="45"/>
    </row>
    <row r="8653">
      <c r="A8653" s="40" t="str">
        <f t="shared" si="1"/>
        <v/>
      </c>
      <c r="B8653" s="37" t="str">
        <f t="array" ref="B8653">iferror(xlookup($I8653, 'IMPORT VHC Report'!$E:$E, 'IMPORT VHC Report'!$A:$C), )</f>
        <v/>
      </c>
      <c r="C8653" s="44"/>
      <c r="D8653" s="44"/>
      <c r="L8653" s="45"/>
      <c r="N8653" s="45"/>
    </row>
    <row r="8654">
      <c r="A8654" s="40" t="str">
        <f t="shared" si="1"/>
        <v/>
      </c>
      <c r="B8654" s="37" t="str">
        <f t="array" ref="B8654">iferror(xlookup($I8654, 'IMPORT VHC Report'!$E:$E, 'IMPORT VHC Report'!$A:$C), )</f>
        <v/>
      </c>
      <c r="C8654" s="44"/>
      <c r="D8654" s="44"/>
      <c r="L8654" s="45"/>
      <c r="N8654" s="45"/>
    </row>
    <row r="8655">
      <c r="A8655" s="40" t="str">
        <f t="shared" si="1"/>
        <v/>
      </c>
      <c r="B8655" s="37" t="str">
        <f t="array" ref="B8655">iferror(xlookup($I8655, 'IMPORT VHC Report'!$E:$E, 'IMPORT VHC Report'!$A:$C), )</f>
        <v/>
      </c>
      <c r="C8655" s="44"/>
      <c r="D8655" s="44"/>
      <c r="L8655" s="45"/>
      <c r="N8655" s="45"/>
    </row>
    <row r="8656">
      <c r="A8656" s="40" t="str">
        <f t="shared" si="1"/>
        <v/>
      </c>
      <c r="B8656" s="37" t="str">
        <f t="array" ref="B8656">iferror(xlookup($I8656, 'IMPORT VHC Report'!$E:$E, 'IMPORT VHC Report'!$A:$C), )</f>
        <v/>
      </c>
      <c r="C8656" s="44"/>
      <c r="D8656" s="44"/>
      <c r="L8656" s="45"/>
      <c r="N8656" s="45"/>
    </row>
    <row r="8657">
      <c r="A8657" s="40" t="str">
        <f t="shared" si="1"/>
        <v/>
      </c>
      <c r="B8657" s="37" t="str">
        <f t="array" ref="B8657">iferror(xlookup($I8657, 'IMPORT VHC Report'!$E:$E, 'IMPORT VHC Report'!$A:$C), )</f>
        <v/>
      </c>
      <c r="C8657" s="44"/>
      <c r="D8657" s="44"/>
      <c r="L8657" s="45"/>
      <c r="N8657" s="45"/>
    </row>
    <row r="8658">
      <c r="A8658" s="40" t="str">
        <f t="shared" si="1"/>
        <v/>
      </c>
      <c r="B8658" s="37" t="str">
        <f t="array" ref="B8658">iferror(xlookup($I8658, 'IMPORT VHC Report'!$E:$E, 'IMPORT VHC Report'!$A:$C), )</f>
        <v/>
      </c>
      <c r="C8658" s="44"/>
      <c r="D8658" s="44"/>
      <c r="L8658" s="45"/>
      <c r="N8658" s="45"/>
    </row>
    <row r="8659">
      <c r="A8659" s="40" t="str">
        <f t="shared" si="1"/>
        <v/>
      </c>
      <c r="B8659" s="37" t="str">
        <f t="array" ref="B8659">iferror(xlookup($I8659, 'IMPORT VHC Report'!$E:$E, 'IMPORT VHC Report'!$A:$C), )</f>
        <v/>
      </c>
      <c r="C8659" s="44"/>
      <c r="D8659" s="44"/>
      <c r="L8659" s="45"/>
      <c r="N8659" s="45"/>
    </row>
    <row r="8660">
      <c r="A8660" s="40" t="str">
        <f t="shared" si="1"/>
        <v/>
      </c>
      <c r="B8660" s="37" t="str">
        <f t="array" ref="B8660">iferror(xlookup($I8660, 'IMPORT VHC Report'!$E:$E, 'IMPORT VHC Report'!$A:$C), )</f>
        <v/>
      </c>
      <c r="C8660" s="44"/>
      <c r="D8660" s="44"/>
      <c r="L8660" s="45"/>
      <c r="N8660" s="45"/>
    </row>
    <row r="8661">
      <c r="A8661" s="40" t="str">
        <f t="shared" si="1"/>
        <v/>
      </c>
      <c r="B8661" s="37" t="str">
        <f t="array" ref="B8661">iferror(xlookup($I8661, 'IMPORT VHC Report'!$E:$E, 'IMPORT VHC Report'!$A:$C), )</f>
        <v/>
      </c>
      <c r="C8661" s="44"/>
      <c r="D8661" s="44"/>
      <c r="L8661" s="45"/>
      <c r="N8661" s="45"/>
    </row>
    <row r="8662">
      <c r="A8662" s="40" t="str">
        <f t="shared" si="1"/>
        <v/>
      </c>
      <c r="B8662" s="37" t="str">
        <f t="array" ref="B8662">iferror(xlookup($I8662, 'IMPORT VHC Report'!$E:$E, 'IMPORT VHC Report'!$A:$C), )</f>
        <v/>
      </c>
      <c r="C8662" s="44"/>
      <c r="D8662" s="44"/>
      <c r="L8662" s="45"/>
      <c r="N8662" s="45"/>
    </row>
    <row r="8663">
      <c r="A8663" s="40" t="str">
        <f t="shared" si="1"/>
        <v/>
      </c>
      <c r="B8663" s="37" t="str">
        <f t="array" ref="B8663">iferror(xlookup($I8663, 'IMPORT VHC Report'!$E:$E, 'IMPORT VHC Report'!$A:$C), )</f>
        <v/>
      </c>
      <c r="C8663" s="44"/>
      <c r="D8663" s="44"/>
      <c r="L8663" s="45"/>
      <c r="N8663" s="45"/>
    </row>
    <row r="8664">
      <c r="A8664" s="40" t="str">
        <f t="shared" si="1"/>
        <v/>
      </c>
      <c r="B8664" s="37" t="str">
        <f t="array" ref="B8664">iferror(xlookup($I8664, 'IMPORT VHC Report'!$E:$E, 'IMPORT VHC Report'!$A:$C), )</f>
        <v/>
      </c>
      <c r="C8664" s="44"/>
      <c r="D8664" s="44"/>
      <c r="L8664" s="45"/>
      <c r="N8664" s="45"/>
    </row>
    <row r="8665">
      <c r="A8665" s="40" t="str">
        <f t="shared" si="1"/>
        <v/>
      </c>
      <c r="B8665" s="37" t="str">
        <f t="array" ref="B8665">iferror(xlookup($I8665, 'IMPORT VHC Report'!$E:$E, 'IMPORT VHC Report'!$A:$C), )</f>
        <v/>
      </c>
      <c r="C8665" s="44"/>
      <c r="D8665" s="44"/>
      <c r="L8665" s="45"/>
      <c r="N8665" s="45"/>
    </row>
    <row r="8666">
      <c r="A8666" s="40" t="str">
        <f t="shared" si="1"/>
        <v/>
      </c>
      <c r="B8666" s="37" t="str">
        <f t="array" ref="B8666">iferror(xlookup($I8666, 'IMPORT VHC Report'!$E:$E, 'IMPORT VHC Report'!$A:$C), )</f>
        <v/>
      </c>
      <c r="C8666" s="44"/>
      <c r="D8666" s="44"/>
      <c r="L8666" s="45"/>
      <c r="N8666" s="45"/>
    </row>
    <row r="8667">
      <c r="A8667" s="40" t="str">
        <f t="shared" si="1"/>
        <v/>
      </c>
      <c r="B8667" s="37" t="str">
        <f t="array" ref="B8667">iferror(xlookup($I8667, 'IMPORT VHC Report'!$E:$E, 'IMPORT VHC Report'!$A:$C), )</f>
        <v/>
      </c>
      <c r="C8667" s="44"/>
      <c r="D8667" s="44"/>
      <c r="L8667" s="45"/>
      <c r="N8667" s="45"/>
    </row>
    <row r="8668">
      <c r="A8668" s="40" t="str">
        <f t="shared" si="1"/>
        <v/>
      </c>
      <c r="B8668" s="37" t="str">
        <f t="array" ref="B8668">iferror(xlookup($I8668, 'IMPORT VHC Report'!$E:$E, 'IMPORT VHC Report'!$A:$C), )</f>
        <v/>
      </c>
      <c r="C8668" s="44"/>
      <c r="D8668" s="44"/>
      <c r="L8668" s="45"/>
      <c r="N8668" s="45"/>
    </row>
    <row r="8669">
      <c r="A8669" s="40" t="str">
        <f t="shared" si="1"/>
        <v/>
      </c>
      <c r="B8669" s="37" t="str">
        <f t="array" ref="B8669">iferror(xlookup($I8669, 'IMPORT VHC Report'!$E:$E, 'IMPORT VHC Report'!$A:$C), )</f>
        <v/>
      </c>
      <c r="C8669" s="44"/>
      <c r="D8669" s="44"/>
      <c r="L8669" s="45"/>
      <c r="N8669" s="45"/>
    </row>
    <row r="8670">
      <c r="A8670" s="40" t="str">
        <f t="shared" si="1"/>
        <v/>
      </c>
      <c r="B8670" s="37" t="str">
        <f t="array" ref="B8670">iferror(xlookup($I8670, 'IMPORT VHC Report'!$E:$E, 'IMPORT VHC Report'!$A:$C), )</f>
        <v/>
      </c>
      <c r="C8670" s="44"/>
      <c r="D8670" s="44"/>
      <c r="L8670" s="45"/>
      <c r="N8670" s="45"/>
    </row>
    <row r="8671">
      <c r="A8671" s="40" t="str">
        <f t="shared" si="1"/>
        <v/>
      </c>
      <c r="B8671" s="37" t="str">
        <f t="array" ref="B8671">iferror(xlookup($I8671, 'IMPORT VHC Report'!$E:$E, 'IMPORT VHC Report'!$A:$C), )</f>
        <v/>
      </c>
      <c r="C8671" s="44"/>
      <c r="D8671" s="44"/>
      <c r="L8671" s="45"/>
      <c r="N8671" s="45"/>
    </row>
    <row r="8672">
      <c r="A8672" s="40" t="str">
        <f t="shared" si="1"/>
        <v/>
      </c>
      <c r="B8672" s="37" t="str">
        <f t="array" ref="B8672">iferror(xlookup($I8672, 'IMPORT VHC Report'!$E:$E, 'IMPORT VHC Report'!$A:$C), )</f>
        <v/>
      </c>
      <c r="C8672" s="44"/>
      <c r="D8672" s="44"/>
      <c r="L8672" s="45"/>
      <c r="N8672" s="45"/>
    </row>
    <row r="8673">
      <c r="A8673" s="40" t="str">
        <f t="shared" si="1"/>
        <v/>
      </c>
      <c r="B8673" s="37" t="str">
        <f t="array" ref="B8673">iferror(xlookup($I8673, 'IMPORT VHC Report'!$E:$E, 'IMPORT VHC Report'!$A:$C), )</f>
        <v/>
      </c>
      <c r="C8673" s="44"/>
      <c r="D8673" s="44"/>
      <c r="L8673" s="45"/>
      <c r="N8673" s="45"/>
    </row>
    <row r="8674">
      <c r="A8674" s="40" t="str">
        <f t="shared" si="1"/>
        <v/>
      </c>
      <c r="B8674" s="37" t="str">
        <f t="array" ref="B8674">iferror(xlookup($I8674, 'IMPORT VHC Report'!$E:$E, 'IMPORT VHC Report'!$A:$C), )</f>
        <v/>
      </c>
      <c r="C8674" s="44"/>
      <c r="D8674" s="44"/>
      <c r="L8674" s="45"/>
      <c r="N8674" s="45"/>
    </row>
    <row r="8675">
      <c r="A8675" s="40" t="str">
        <f t="shared" si="1"/>
        <v/>
      </c>
      <c r="B8675" s="37" t="str">
        <f t="array" ref="B8675">iferror(xlookup($I8675, 'IMPORT VHC Report'!$E:$E, 'IMPORT VHC Report'!$A:$C), )</f>
        <v/>
      </c>
      <c r="C8675" s="44"/>
      <c r="D8675" s="44"/>
      <c r="L8675" s="45"/>
      <c r="N8675" s="45"/>
    </row>
    <row r="8676">
      <c r="A8676" s="40" t="str">
        <f t="shared" si="1"/>
        <v/>
      </c>
      <c r="B8676" s="37" t="str">
        <f t="array" ref="B8676">iferror(xlookup($I8676, 'IMPORT VHC Report'!$E:$E, 'IMPORT VHC Report'!$A:$C), )</f>
        <v/>
      </c>
      <c r="C8676" s="44"/>
      <c r="D8676" s="44"/>
      <c r="L8676" s="45"/>
      <c r="N8676" s="45"/>
    </row>
    <row r="8677">
      <c r="A8677" s="40" t="str">
        <f t="shared" si="1"/>
        <v/>
      </c>
      <c r="B8677" s="37" t="str">
        <f t="array" ref="B8677">iferror(xlookup($I8677, 'IMPORT VHC Report'!$E:$E, 'IMPORT VHC Report'!$A:$C), )</f>
        <v/>
      </c>
      <c r="C8677" s="44"/>
      <c r="D8677" s="44"/>
      <c r="L8677" s="45"/>
      <c r="N8677" s="45"/>
    </row>
    <row r="8678">
      <c r="A8678" s="40" t="str">
        <f t="shared" si="1"/>
        <v/>
      </c>
      <c r="B8678" s="37" t="str">
        <f t="array" ref="B8678">iferror(xlookup($I8678, 'IMPORT VHC Report'!$E:$E, 'IMPORT VHC Report'!$A:$C), )</f>
        <v/>
      </c>
      <c r="C8678" s="44"/>
      <c r="D8678" s="44"/>
      <c r="L8678" s="45"/>
      <c r="N8678" s="45"/>
    </row>
    <row r="8679">
      <c r="A8679" s="40" t="str">
        <f t="shared" si="1"/>
        <v/>
      </c>
      <c r="B8679" s="37" t="str">
        <f t="array" ref="B8679">iferror(xlookup($I8679, 'IMPORT VHC Report'!$E:$E, 'IMPORT VHC Report'!$A:$C), )</f>
        <v/>
      </c>
      <c r="C8679" s="44"/>
      <c r="D8679" s="44"/>
      <c r="L8679" s="45"/>
      <c r="N8679" s="45"/>
    </row>
    <row r="8680">
      <c r="A8680" s="40" t="str">
        <f t="shared" si="1"/>
        <v/>
      </c>
      <c r="B8680" s="37" t="str">
        <f t="array" ref="B8680">iferror(xlookup($I8680, 'IMPORT VHC Report'!$E:$E, 'IMPORT VHC Report'!$A:$C), )</f>
        <v/>
      </c>
      <c r="C8680" s="44"/>
      <c r="D8680" s="44"/>
      <c r="L8680" s="45"/>
      <c r="N8680" s="45"/>
    </row>
    <row r="8681">
      <c r="A8681" s="40" t="str">
        <f t="shared" si="1"/>
        <v/>
      </c>
      <c r="B8681" s="37" t="str">
        <f t="array" ref="B8681">iferror(xlookup($I8681, 'IMPORT VHC Report'!$E:$E, 'IMPORT VHC Report'!$A:$C), )</f>
        <v/>
      </c>
      <c r="C8681" s="44"/>
      <c r="D8681" s="44"/>
      <c r="L8681" s="45"/>
      <c r="N8681" s="45"/>
    </row>
    <row r="8682">
      <c r="A8682" s="40" t="str">
        <f t="shared" si="1"/>
        <v/>
      </c>
      <c r="B8682" s="37" t="str">
        <f t="array" ref="B8682">iferror(xlookup($I8682, 'IMPORT VHC Report'!$E:$E, 'IMPORT VHC Report'!$A:$C), )</f>
        <v/>
      </c>
      <c r="C8682" s="44"/>
      <c r="D8682" s="44"/>
      <c r="L8682" s="45"/>
      <c r="N8682" s="45"/>
    </row>
    <row r="8683">
      <c r="A8683" s="40" t="str">
        <f t="shared" si="1"/>
        <v/>
      </c>
      <c r="B8683" s="37" t="str">
        <f t="array" ref="B8683">iferror(xlookup($I8683, 'IMPORT VHC Report'!$E:$E, 'IMPORT VHC Report'!$A:$C), )</f>
        <v/>
      </c>
      <c r="C8683" s="44"/>
      <c r="D8683" s="44"/>
      <c r="L8683" s="45"/>
      <c r="N8683" s="45"/>
    </row>
    <row r="8684">
      <c r="A8684" s="40" t="str">
        <f t="shared" si="1"/>
        <v/>
      </c>
      <c r="B8684" s="37" t="str">
        <f t="array" ref="B8684">iferror(xlookup($I8684, 'IMPORT VHC Report'!$E:$E, 'IMPORT VHC Report'!$A:$C), )</f>
        <v/>
      </c>
      <c r="C8684" s="44"/>
      <c r="D8684" s="44"/>
      <c r="L8684" s="45"/>
      <c r="N8684" s="45"/>
    </row>
    <row r="8685">
      <c r="A8685" s="40" t="str">
        <f t="shared" si="1"/>
        <v/>
      </c>
      <c r="B8685" s="37" t="str">
        <f t="array" ref="B8685">iferror(xlookup($I8685, 'IMPORT VHC Report'!$E:$E, 'IMPORT VHC Report'!$A:$C), )</f>
        <v/>
      </c>
      <c r="C8685" s="44"/>
      <c r="D8685" s="44"/>
      <c r="L8685" s="45"/>
      <c r="N8685" s="45"/>
    </row>
    <row r="8686">
      <c r="A8686" s="40" t="str">
        <f t="shared" si="1"/>
        <v/>
      </c>
      <c r="B8686" s="37" t="str">
        <f t="array" ref="B8686">iferror(xlookup($I8686, 'IMPORT VHC Report'!$E:$E, 'IMPORT VHC Report'!$A:$C), )</f>
        <v/>
      </c>
      <c r="C8686" s="44"/>
      <c r="D8686" s="44"/>
      <c r="L8686" s="45"/>
      <c r="N8686" s="45"/>
    </row>
    <row r="8687">
      <c r="A8687" s="40" t="str">
        <f t="shared" si="1"/>
        <v/>
      </c>
      <c r="B8687" s="37" t="str">
        <f t="array" ref="B8687">iferror(xlookup($I8687, 'IMPORT VHC Report'!$E:$E, 'IMPORT VHC Report'!$A:$C), )</f>
        <v/>
      </c>
      <c r="C8687" s="44"/>
      <c r="D8687" s="44"/>
      <c r="L8687" s="45"/>
      <c r="N8687" s="45"/>
    </row>
    <row r="8688">
      <c r="A8688" s="40" t="str">
        <f t="shared" si="1"/>
        <v/>
      </c>
      <c r="B8688" s="37" t="str">
        <f t="array" ref="B8688">iferror(xlookup($I8688, 'IMPORT VHC Report'!$E:$E, 'IMPORT VHC Report'!$A:$C), )</f>
        <v/>
      </c>
      <c r="C8688" s="44"/>
      <c r="D8688" s="44"/>
      <c r="L8688" s="45"/>
      <c r="N8688" s="45"/>
    </row>
    <row r="8689">
      <c r="A8689" s="40" t="str">
        <f t="shared" si="1"/>
        <v/>
      </c>
      <c r="B8689" s="37" t="str">
        <f t="array" ref="B8689">iferror(xlookup($I8689, 'IMPORT VHC Report'!$E:$E, 'IMPORT VHC Report'!$A:$C), )</f>
        <v/>
      </c>
      <c r="C8689" s="44"/>
      <c r="D8689" s="44"/>
      <c r="L8689" s="45"/>
      <c r="N8689" s="45"/>
    </row>
    <row r="8690">
      <c r="A8690" s="40" t="str">
        <f t="shared" si="1"/>
        <v/>
      </c>
      <c r="B8690" s="37" t="str">
        <f t="array" ref="B8690">iferror(xlookup($I8690, 'IMPORT VHC Report'!$E:$E, 'IMPORT VHC Report'!$A:$C), )</f>
        <v/>
      </c>
      <c r="C8690" s="44"/>
      <c r="D8690" s="44"/>
      <c r="L8690" s="45"/>
      <c r="N8690" s="45"/>
    </row>
    <row r="8691">
      <c r="A8691" s="40" t="str">
        <f t="shared" si="1"/>
        <v/>
      </c>
      <c r="B8691" s="37" t="str">
        <f t="array" ref="B8691">iferror(xlookup($I8691, 'IMPORT VHC Report'!$E:$E, 'IMPORT VHC Report'!$A:$C), )</f>
        <v/>
      </c>
      <c r="C8691" s="44"/>
      <c r="D8691" s="44"/>
      <c r="L8691" s="45"/>
      <c r="N8691" s="45"/>
    </row>
    <row r="8692">
      <c r="A8692" s="40" t="str">
        <f t="shared" si="1"/>
        <v/>
      </c>
      <c r="B8692" s="37" t="str">
        <f t="array" ref="B8692">iferror(xlookup($I8692, 'IMPORT VHC Report'!$E:$E, 'IMPORT VHC Report'!$A:$C), )</f>
        <v/>
      </c>
      <c r="C8692" s="44"/>
      <c r="D8692" s="44"/>
      <c r="L8692" s="45"/>
      <c r="N8692" s="45"/>
    </row>
    <row r="8693">
      <c r="A8693" s="40" t="str">
        <f t="shared" si="1"/>
        <v/>
      </c>
      <c r="B8693" s="37" t="str">
        <f t="array" ref="B8693">iferror(xlookup($I8693, 'IMPORT VHC Report'!$E:$E, 'IMPORT VHC Report'!$A:$C), )</f>
        <v/>
      </c>
      <c r="C8693" s="44"/>
      <c r="D8693" s="44"/>
      <c r="L8693" s="45"/>
      <c r="N8693" s="45"/>
    </row>
    <row r="8694">
      <c r="A8694" s="40" t="str">
        <f t="shared" si="1"/>
        <v/>
      </c>
      <c r="B8694" s="37" t="str">
        <f t="array" ref="B8694">iferror(xlookup($I8694, 'IMPORT VHC Report'!$E:$E, 'IMPORT VHC Report'!$A:$C), )</f>
        <v/>
      </c>
      <c r="C8694" s="44"/>
      <c r="D8694" s="44"/>
      <c r="L8694" s="45"/>
      <c r="N8694" s="45"/>
    </row>
    <row r="8695">
      <c r="A8695" s="40" t="str">
        <f t="shared" si="1"/>
        <v/>
      </c>
      <c r="B8695" s="37" t="str">
        <f t="array" ref="B8695">iferror(xlookup($I8695, 'IMPORT VHC Report'!$E:$E, 'IMPORT VHC Report'!$A:$C), )</f>
        <v/>
      </c>
      <c r="C8695" s="44"/>
      <c r="D8695" s="44"/>
      <c r="L8695" s="45"/>
      <c r="N8695" s="45"/>
    </row>
    <row r="8696">
      <c r="A8696" s="40" t="str">
        <f t="shared" si="1"/>
        <v/>
      </c>
      <c r="B8696" s="37" t="str">
        <f t="array" ref="B8696">iferror(xlookup($I8696, 'IMPORT VHC Report'!$E:$E, 'IMPORT VHC Report'!$A:$C), )</f>
        <v/>
      </c>
      <c r="C8696" s="44"/>
      <c r="D8696" s="44"/>
      <c r="L8696" s="45"/>
      <c r="N8696" s="45"/>
    </row>
    <row r="8697">
      <c r="A8697" s="40" t="str">
        <f t="shared" si="1"/>
        <v/>
      </c>
      <c r="B8697" s="37" t="str">
        <f t="array" ref="B8697">iferror(xlookup($I8697, 'IMPORT VHC Report'!$E:$E, 'IMPORT VHC Report'!$A:$C), )</f>
        <v/>
      </c>
      <c r="C8697" s="44"/>
      <c r="D8697" s="44"/>
      <c r="L8697" s="45"/>
      <c r="N8697" s="45"/>
    </row>
    <row r="8698">
      <c r="A8698" s="40" t="str">
        <f t="shared" si="1"/>
        <v/>
      </c>
      <c r="B8698" s="37" t="str">
        <f t="array" ref="B8698">iferror(xlookup($I8698, 'IMPORT VHC Report'!$E:$E, 'IMPORT VHC Report'!$A:$C), )</f>
        <v/>
      </c>
      <c r="C8698" s="44"/>
      <c r="D8698" s="44"/>
      <c r="L8698" s="45"/>
      <c r="N8698" s="45"/>
    </row>
    <row r="8699">
      <c r="A8699" s="40" t="str">
        <f t="shared" si="1"/>
        <v/>
      </c>
      <c r="B8699" s="37" t="str">
        <f t="array" ref="B8699">iferror(xlookup($I8699, 'IMPORT VHC Report'!$E:$E, 'IMPORT VHC Report'!$A:$C), )</f>
        <v/>
      </c>
      <c r="C8699" s="44"/>
      <c r="D8699" s="44"/>
      <c r="L8699" s="45"/>
      <c r="N8699" s="45"/>
    </row>
    <row r="8700">
      <c r="A8700" s="40" t="str">
        <f t="shared" si="1"/>
        <v/>
      </c>
      <c r="B8700" s="37" t="str">
        <f t="array" ref="B8700">iferror(xlookup($I8700, 'IMPORT VHC Report'!$E:$E, 'IMPORT VHC Report'!$A:$C), )</f>
        <v/>
      </c>
      <c r="C8700" s="44"/>
      <c r="D8700" s="44"/>
      <c r="L8700" s="45"/>
      <c r="N8700" s="45"/>
    </row>
    <row r="8701">
      <c r="A8701" s="40" t="str">
        <f t="shared" si="1"/>
        <v/>
      </c>
      <c r="B8701" s="37" t="str">
        <f t="array" ref="B8701">iferror(xlookup($I8701, 'IMPORT VHC Report'!$E:$E, 'IMPORT VHC Report'!$A:$C), )</f>
        <v/>
      </c>
      <c r="C8701" s="44"/>
      <c r="D8701" s="44"/>
      <c r="L8701" s="45"/>
      <c r="N8701" s="45"/>
    </row>
    <row r="8702">
      <c r="A8702" s="40" t="str">
        <f t="shared" si="1"/>
        <v/>
      </c>
      <c r="B8702" s="37" t="str">
        <f t="array" ref="B8702">iferror(xlookup($I8702, 'IMPORT VHC Report'!$E:$E, 'IMPORT VHC Report'!$A:$C), )</f>
        <v/>
      </c>
      <c r="C8702" s="44"/>
      <c r="D8702" s="44"/>
      <c r="L8702" s="45"/>
      <c r="N8702" s="45"/>
    </row>
    <row r="8703">
      <c r="A8703" s="40" t="str">
        <f t="shared" si="1"/>
        <v/>
      </c>
      <c r="B8703" s="37" t="str">
        <f t="array" ref="B8703">iferror(xlookup($I8703, 'IMPORT VHC Report'!$E:$E, 'IMPORT VHC Report'!$A:$C), )</f>
        <v/>
      </c>
      <c r="C8703" s="44"/>
      <c r="D8703" s="44"/>
      <c r="L8703" s="45"/>
      <c r="N8703" s="45"/>
    </row>
    <row r="8704">
      <c r="A8704" s="40" t="str">
        <f t="shared" si="1"/>
        <v/>
      </c>
      <c r="B8704" s="37" t="str">
        <f t="array" ref="B8704">iferror(xlookup($I8704, 'IMPORT VHC Report'!$E:$E, 'IMPORT VHC Report'!$A:$C), )</f>
        <v/>
      </c>
      <c r="C8704" s="44"/>
      <c r="D8704" s="44"/>
      <c r="L8704" s="45"/>
      <c r="N8704" s="45"/>
    </row>
    <row r="8705">
      <c r="A8705" s="40" t="str">
        <f t="shared" si="1"/>
        <v/>
      </c>
      <c r="B8705" s="37" t="str">
        <f t="array" ref="B8705">iferror(xlookup($I8705, 'IMPORT VHC Report'!$E:$E, 'IMPORT VHC Report'!$A:$C), )</f>
        <v/>
      </c>
      <c r="C8705" s="44"/>
      <c r="D8705" s="44"/>
      <c r="L8705" s="45"/>
      <c r="N8705" s="45"/>
    </row>
    <row r="8706">
      <c r="A8706" s="40" t="str">
        <f t="shared" si="1"/>
        <v/>
      </c>
      <c r="B8706" s="37" t="str">
        <f t="array" ref="B8706">iferror(xlookup($I8706, 'IMPORT VHC Report'!$E:$E, 'IMPORT VHC Report'!$A:$C), )</f>
        <v/>
      </c>
      <c r="C8706" s="44"/>
      <c r="D8706" s="44"/>
      <c r="L8706" s="45"/>
      <c r="N8706" s="45"/>
    </row>
    <row r="8707">
      <c r="A8707" s="40" t="str">
        <f t="shared" si="1"/>
        <v/>
      </c>
      <c r="B8707" s="37" t="str">
        <f t="array" ref="B8707">iferror(xlookup($I8707, 'IMPORT VHC Report'!$E:$E, 'IMPORT VHC Report'!$A:$C), )</f>
        <v/>
      </c>
      <c r="C8707" s="44"/>
      <c r="D8707" s="44"/>
      <c r="L8707" s="45"/>
      <c r="N8707" s="45"/>
    </row>
    <row r="8708">
      <c r="A8708" s="40" t="str">
        <f t="shared" si="1"/>
        <v/>
      </c>
      <c r="B8708" s="37" t="str">
        <f t="array" ref="B8708">iferror(xlookup($I8708, 'IMPORT VHC Report'!$E:$E, 'IMPORT VHC Report'!$A:$C), )</f>
        <v/>
      </c>
      <c r="C8708" s="44"/>
      <c r="D8708" s="44"/>
      <c r="L8708" s="45"/>
      <c r="N8708" s="45"/>
    </row>
    <row r="8709">
      <c r="A8709" s="40" t="str">
        <f t="shared" si="1"/>
        <v/>
      </c>
      <c r="B8709" s="37" t="str">
        <f t="array" ref="B8709">iferror(xlookup($I8709, 'IMPORT VHC Report'!$E:$E, 'IMPORT VHC Report'!$A:$C), )</f>
        <v/>
      </c>
      <c r="C8709" s="44"/>
      <c r="D8709" s="44"/>
      <c r="L8709" s="45"/>
      <c r="N8709" s="45"/>
    </row>
    <row r="8710">
      <c r="A8710" s="40" t="str">
        <f t="shared" si="1"/>
        <v/>
      </c>
      <c r="B8710" s="37" t="str">
        <f t="array" ref="B8710">iferror(xlookup($I8710, 'IMPORT VHC Report'!$E:$E, 'IMPORT VHC Report'!$A:$C), )</f>
        <v/>
      </c>
      <c r="C8710" s="44"/>
      <c r="D8710" s="44"/>
      <c r="L8710" s="45"/>
      <c r="N8710" s="45"/>
    </row>
    <row r="8711">
      <c r="A8711" s="40" t="str">
        <f t="shared" si="1"/>
        <v/>
      </c>
      <c r="B8711" s="37" t="str">
        <f t="array" ref="B8711">iferror(xlookup($I8711, 'IMPORT VHC Report'!$E:$E, 'IMPORT VHC Report'!$A:$C), )</f>
        <v/>
      </c>
      <c r="C8711" s="44"/>
      <c r="D8711" s="44"/>
      <c r="L8711" s="45"/>
      <c r="N8711" s="45"/>
    </row>
    <row r="8712">
      <c r="A8712" s="40" t="str">
        <f t="shared" si="1"/>
        <v/>
      </c>
      <c r="B8712" s="37" t="str">
        <f t="array" ref="B8712">iferror(xlookup($I8712, 'IMPORT VHC Report'!$E:$E, 'IMPORT VHC Report'!$A:$C), )</f>
        <v/>
      </c>
      <c r="C8712" s="44"/>
      <c r="D8712" s="44"/>
      <c r="L8712" s="45"/>
      <c r="N8712" s="45"/>
    </row>
    <row r="8713">
      <c r="A8713" s="40" t="str">
        <f t="shared" si="1"/>
        <v/>
      </c>
      <c r="B8713" s="37" t="str">
        <f t="array" ref="B8713">iferror(xlookup($I8713, 'IMPORT VHC Report'!$E:$E, 'IMPORT VHC Report'!$A:$C), )</f>
        <v/>
      </c>
      <c r="C8713" s="44"/>
      <c r="D8713" s="44"/>
      <c r="L8713" s="45"/>
      <c r="N8713" s="45"/>
    </row>
    <row r="8714">
      <c r="A8714" s="40" t="str">
        <f t="shared" si="1"/>
        <v/>
      </c>
      <c r="B8714" s="37" t="str">
        <f t="array" ref="B8714">iferror(xlookup($I8714, 'IMPORT VHC Report'!$E:$E, 'IMPORT VHC Report'!$A:$C), )</f>
        <v/>
      </c>
      <c r="C8714" s="44"/>
      <c r="D8714" s="44"/>
      <c r="L8714" s="45"/>
      <c r="N8714" s="45"/>
    </row>
    <row r="8715">
      <c r="A8715" s="40" t="str">
        <f t="shared" si="1"/>
        <v/>
      </c>
      <c r="B8715" s="37" t="str">
        <f t="array" ref="B8715">iferror(xlookup($I8715, 'IMPORT VHC Report'!$E:$E, 'IMPORT VHC Report'!$A:$C), )</f>
        <v/>
      </c>
      <c r="C8715" s="44"/>
      <c r="D8715" s="44"/>
      <c r="L8715" s="45"/>
      <c r="N8715" s="45"/>
    </row>
    <row r="8716">
      <c r="A8716" s="40" t="str">
        <f t="shared" si="1"/>
        <v/>
      </c>
      <c r="B8716" s="37" t="str">
        <f t="array" ref="B8716">iferror(xlookup($I8716, 'IMPORT VHC Report'!$E:$E, 'IMPORT VHC Report'!$A:$C), )</f>
        <v/>
      </c>
      <c r="C8716" s="44"/>
      <c r="D8716" s="44"/>
      <c r="L8716" s="45"/>
      <c r="N8716" s="45"/>
    </row>
    <row r="8717">
      <c r="A8717" s="40" t="str">
        <f t="shared" si="1"/>
        <v/>
      </c>
      <c r="B8717" s="37" t="str">
        <f t="array" ref="B8717">iferror(xlookup($I8717, 'IMPORT VHC Report'!$E:$E, 'IMPORT VHC Report'!$A:$C), )</f>
        <v/>
      </c>
      <c r="C8717" s="44"/>
      <c r="D8717" s="44"/>
      <c r="L8717" s="45"/>
      <c r="N8717" s="45"/>
    </row>
    <row r="8718">
      <c r="A8718" s="40" t="str">
        <f t="shared" si="1"/>
        <v/>
      </c>
      <c r="B8718" s="37" t="str">
        <f t="array" ref="B8718">iferror(xlookup($I8718, 'IMPORT VHC Report'!$E:$E, 'IMPORT VHC Report'!$A:$C), )</f>
        <v/>
      </c>
      <c r="C8718" s="44"/>
      <c r="D8718" s="44"/>
      <c r="L8718" s="45"/>
      <c r="N8718" s="45"/>
    </row>
    <row r="8719">
      <c r="A8719" s="40" t="str">
        <f t="shared" si="1"/>
        <v/>
      </c>
      <c r="B8719" s="37" t="str">
        <f t="array" ref="B8719">iferror(xlookup($I8719, 'IMPORT VHC Report'!$E:$E, 'IMPORT VHC Report'!$A:$C), )</f>
        <v/>
      </c>
      <c r="C8719" s="44"/>
      <c r="D8719" s="44"/>
      <c r="L8719" s="45"/>
      <c r="N8719" s="45"/>
    </row>
    <row r="8720">
      <c r="A8720" s="40" t="str">
        <f t="shared" si="1"/>
        <v/>
      </c>
      <c r="B8720" s="37" t="str">
        <f t="array" ref="B8720">iferror(xlookup($I8720, 'IMPORT VHC Report'!$E:$E, 'IMPORT VHC Report'!$A:$C), )</f>
        <v/>
      </c>
      <c r="C8720" s="44"/>
      <c r="D8720" s="44"/>
      <c r="L8720" s="45"/>
      <c r="N8720" s="45"/>
    </row>
    <row r="8721">
      <c r="A8721" s="40" t="str">
        <f t="shared" si="1"/>
        <v/>
      </c>
      <c r="B8721" s="37" t="str">
        <f t="array" ref="B8721">iferror(xlookup($I8721, 'IMPORT VHC Report'!$E:$E, 'IMPORT VHC Report'!$A:$C), )</f>
        <v/>
      </c>
      <c r="C8721" s="44"/>
      <c r="D8721" s="44"/>
      <c r="L8721" s="45"/>
      <c r="N8721" s="45"/>
    </row>
    <row r="8722">
      <c r="A8722" s="40" t="str">
        <f t="shared" si="1"/>
        <v/>
      </c>
      <c r="B8722" s="37" t="str">
        <f t="array" ref="B8722">iferror(xlookup($I8722, 'IMPORT VHC Report'!$E:$E, 'IMPORT VHC Report'!$A:$C), )</f>
        <v/>
      </c>
      <c r="C8722" s="44"/>
      <c r="D8722" s="44"/>
      <c r="L8722" s="45"/>
      <c r="N8722" s="45"/>
    </row>
    <row r="8723">
      <c r="A8723" s="40" t="str">
        <f t="shared" si="1"/>
        <v/>
      </c>
      <c r="B8723" s="37" t="str">
        <f t="array" ref="B8723">iferror(xlookup($I8723, 'IMPORT VHC Report'!$E:$E, 'IMPORT VHC Report'!$A:$C), )</f>
        <v/>
      </c>
      <c r="C8723" s="44"/>
      <c r="D8723" s="44"/>
      <c r="L8723" s="45"/>
      <c r="N8723" s="45"/>
    </row>
    <row r="8724">
      <c r="A8724" s="40" t="str">
        <f t="shared" si="1"/>
        <v/>
      </c>
      <c r="B8724" s="37" t="str">
        <f t="array" ref="B8724">iferror(xlookup($I8724, 'IMPORT VHC Report'!$E:$E, 'IMPORT VHC Report'!$A:$C), )</f>
        <v/>
      </c>
      <c r="C8724" s="44"/>
      <c r="D8724" s="44"/>
      <c r="L8724" s="45"/>
      <c r="N8724" s="45"/>
    </row>
    <row r="8725">
      <c r="A8725" s="40" t="str">
        <f t="shared" si="1"/>
        <v/>
      </c>
      <c r="B8725" s="37" t="str">
        <f t="array" ref="B8725">iferror(xlookup($I8725, 'IMPORT VHC Report'!$E:$E, 'IMPORT VHC Report'!$A:$C), )</f>
        <v/>
      </c>
      <c r="C8725" s="44"/>
      <c r="D8725" s="44"/>
      <c r="L8725" s="45"/>
      <c r="N8725" s="45"/>
    </row>
    <row r="8726">
      <c r="A8726" s="40" t="str">
        <f t="shared" si="1"/>
        <v/>
      </c>
      <c r="B8726" s="37" t="str">
        <f t="array" ref="B8726">iferror(xlookup($I8726, 'IMPORT VHC Report'!$E:$E, 'IMPORT VHC Report'!$A:$C), )</f>
        <v/>
      </c>
      <c r="C8726" s="44"/>
      <c r="D8726" s="44"/>
      <c r="L8726" s="45"/>
      <c r="N8726" s="45"/>
    </row>
    <row r="8727">
      <c r="A8727" s="40" t="str">
        <f t="shared" si="1"/>
        <v/>
      </c>
      <c r="B8727" s="37" t="str">
        <f t="array" ref="B8727">iferror(xlookup($I8727, 'IMPORT VHC Report'!$E:$E, 'IMPORT VHC Report'!$A:$C), )</f>
        <v/>
      </c>
      <c r="C8727" s="44"/>
      <c r="D8727" s="44"/>
      <c r="L8727" s="45"/>
      <c r="N8727" s="45"/>
    </row>
    <row r="8728">
      <c r="A8728" s="40" t="str">
        <f t="shared" si="1"/>
        <v/>
      </c>
      <c r="B8728" s="37" t="str">
        <f t="array" ref="B8728">iferror(xlookup($I8728, 'IMPORT VHC Report'!$E:$E, 'IMPORT VHC Report'!$A:$C), )</f>
        <v/>
      </c>
      <c r="C8728" s="44"/>
      <c r="D8728" s="44"/>
      <c r="L8728" s="45"/>
      <c r="N8728" s="45"/>
    </row>
    <row r="8729">
      <c r="A8729" s="40" t="str">
        <f t="shared" si="1"/>
        <v/>
      </c>
      <c r="B8729" s="37" t="str">
        <f t="array" ref="B8729">iferror(xlookup($I8729, 'IMPORT VHC Report'!$E:$E, 'IMPORT VHC Report'!$A:$C), )</f>
        <v/>
      </c>
      <c r="C8729" s="44"/>
      <c r="D8729" s="44"/>
      <c r="L8729" s="45"/>
      <c r="N8729" s="45"/>
    </row>
    <row r="8730">
      <c r="A8730" s="40" t="str">
        <f t="shared" si="1"/>
        <v/>
      </c>
      <c r="B8730" s="37" t="str">
        <f t="array" ref="B8730">iferror(xlookup($I8730, 'IMPORT VHC Report'!$E:$E, 'IMPORT VHC Report'!$A:$C), )</f>
        <v/>
      </c>
      <c r="C8730" s="44"/>
      <c r="D8730" s="44"/>
      <c r="L8730" s="45"/>
      <c r="N8730" s="45"/>
    </row>
    <row r="8731">
      <c r="A8731" s="40" t="str">
        <f t="shared" si="1"/>
        <v/>
      </c>
      <c r="B8731" s="37" t="str">
        <f t="array" ref="B8731">iferror(xlookup($I8731, 'IMPORT VHC Report'!$E:$E, 'IMPORT VHC Report'!$A:$C), )</f>
        <v/>
      </c>
      <c r="C8731" s="44"/>
      <c r="D8731" s="44"/>
      <c r="L8731" s="45"/>
      <c r="N8731" s="45"/>
    </row>
    <row r="8732">
      <c r="A8732" s="40" t="str">
        <f t="shared" si="1"/>
        <v/>
      </c>
      <c r="B8732" s="37" t="str">
        <f t="array" ref="B8732">iferror(xlookup($I8732, 'IMPORT VHC Report'!$E:$E, 'IMPORT VHC Report'!$A:$C), )</f>
        <v/>
      </c>
      <c r="C8732" s="44"/>
      <c r="D8732" s="44"/>
      <c r="L8732" s="45"/>
      <c r="N8732" s="45"/>
    </row>
    <row r="8733">
      <c r="A8733" s="40" t="str">
        <f t="shared" si="1"/>
        <v/>
      </c>
      <c r="B8733" s="37" t="str">
        <f t="array" ref="B8733">iferror(xlookup($I8733, 'IMPORT VHC Report'!$E:$E, 'IMPORT VHC Report'!$A:$C), )</f>
        <v/>
      </c>
      <c r="C8733" s="44"/>
      <c r="D8733" s="44"/>
      <c r="L8733" s="45"/>
      <c r="N8733" s="45"/>
    </row>
    <row r="8734">
      <c r="A8734" s="40" t="str">
        <f t="shared" si="1"/>
        <v/>
      </c>
      <c r="B8734" s="37" t="str">
        <f t="array" ref="B8734">iferror(xlookup($I8734, 'IMPORT VHC Report'!$E:$E, 'IMPORT VHC Report'!$A:$C), )</f>
        <v/>
      </c>
      <c r="C8734" s="44"/>
      <c r="D8734" s="44"/>
      <c r="L8734" s="45"/>
      <c r="N8734" s="45"/>
    </row>
    <row r="8735">
      <c r="A8735" s="40" t="str">
        <f t="shared" si="1"/>
        <v/>
      </c>
      <c r="B8735" s="37" t="str">
        <f t="array" ref="B8735">iferror(xlookup($I8735, 'IMPORT VHC Report'!$E:$E, 'IMPORT VHC Report'!$A:$C), )</f>
        <v/>
      </c>
      <c r="C8735" s="44"/>
      <c r="D8735" s="44"/>
      <c r="L8735" s="45"/>
      <c r="N8735" s="45"/>
    </row>
    <row r="8736">
      <c r="A8736" s="40" t="str">
        <f t="shared" si="1"/>
        <v/>
      </c>
      <c r="B8736" s="37" t="str">
        <f t="array" ref="B8736">iferror(xlookup($I8736, 'IMPORT VHC Report'!$E:$E, 'IMPORT VHC Report'!$A:$C), )</f>
        <v/>
      </c>
      <c r="C8736" s="44"/>
      <c r="D8736" s="44"/>
      <c r="L8736" s="45"/>
      <c r="N8736" s="45"/>
    </row>
    <row r="8737">
      <c r="A8737" s="40" t="str">
        <f t="shared" si="1"/>
        <v/>
      </c>
      <c r="B8737" s="37" t="str">
        <f t="array" ref="B8737">iferror(xlookup($I8737, 'IMPORT VHC Report'!$E:$E, 'IMPORT VHC Report'!$A:$C), )</f>
        <v/>
      </c>
      <c r="C8737" s="44"/>
      <c r="D8737" s="44"/>
      <c r="L8737" s="45"/>
      <c r="N8737" s="45"/>
    </row>
    <row r="8738">
      <c r="A8738" s="40" t="str">
        <f t="shared" si="1"/>
        <v/>
      </c>
      <c r="B8738" s="37" t="str">
        <f t="array" ref="B8738">iferror(xlookup($I8738, 'IMPORT VHC Report'!$E:$E, 'IMPORT VHC Report'!$A:$C), )</f>
        <v/>
      </c>
      <c r="C8738" s="44"/>
      <c r="D8738" s="44"/>
      <c r="L8738" s="45"/>
      <c r="N8738" s="45"/>
    </row>
    <row r="8739">
      <c r="A8739" s="40" t="str">
        <f t="shared" si="1"/>
        <v/>
      </c>
      <c r="B8739" s="37" t="str">
        <f t="array" ref="B8739">iferror(xlookup($I8739, 'IMPORT VHC Report'!$E:$E, 'IMPORT VHC Report'!$A:$C), )</f>
        <v/>
      </c>
      <c r="C8739" s="44"/>
      <c r="D8739" s="44"/>
      <c r="L8739" s="45"/>
      <c r="N8739" s="45"/>
    </row>
    <row r="8740">
      <c r="A8740" s="40" t="str">
        <f t="shared" si="1"/>
        <v/>
      </c>
      <c r="B8740" s="37" t="str">
        <f t="array" ref="B8740">iferror(xlookup($I8740, 'IMPORT VHC Report'!$E:$E, 'IMPORT VHC Report'!$A:$C), )</f>
        <v/>
      </c>
      <c r="C8740" s="44"/>
      <c r="D8740" s="44"/>
      <c r="L8740" s="45"/>
      <c r="N8740" s="45"/>
    </row>
    <row r="8741">
      <c r="A8741" s="40" t="str">
        <f t="shared" si="1"/>
        <v/>
      </c>
      <c r="B8741" s="37" t="str">
        <f t="array" ref="B8741">iferror(xlookup($I8741, 'IMPORT VHC Report'!$E:$E, 'IMPORT VHC Report'!$A:$C), )</f>
        <v/>
      </c>
      <c r="C8741" s="44"/>
      <c r="D8741" s="44"/>
      <c r="L8741" s="45"/>
      <c r="N8741" s="45"/>
    </row>
    <row r="8742">
      <c r="A8742" s="40" t="str">
        <f t="shared" si="1"/>
        <v/>
      </c>
      <c r="B8742" s="37" t="str">
        <f t="array" ref="B8742">iferror(xlookup($I8742, 'IMPORT VHC Report'!$E:$E, 'IMPORT VHC Report'!$A:$C), )</f>
        <v/>
      </c>
      <c r="C8742" s="44"/>
      <c r="D8742" s="44"/>
      <c r="L8742" s="45"/>
      <c r="N8742" s="45"/>
    </row>
    <row r="8743">
      <c r="A8743" s="40" t="str">
        <f t="shared" si="1"/>
        <v/>
      </c>
      <c r="B8743" s="37" t="str">
        <f t="array" ref="B8743">iferror(xlookup($I8743, 'IMPORT VHC Report'!$E:$E, 'IMPORT VHC Report'!$A:$C), )</f>
        <v/>
      </c>
      <c r="C8743" s="44"/>
      <c r="D8743" s="44"/>
      <c r="L8743" s="45"/>
      <c r="N8743" s="45"/>
    </row>
    <row r="8744">
      <c r="A8744" s="40" t="str">
        <f t="shared" si="1"/>
        <v/>
      </c>
      <c r="B8744" s="37" t="str">
        <f t="array" ref="B8744">iferror(xlookup($I8744, 'IMPORT VHC Report'!$E:$E, 'IMPORT VHC Report'!$A:$C), )</f>
        <v/>
      </c>
      <c r="C8744" s="44"/>
      <c r="D8744" s="44"/>
      <c r="L8744" s="45"/>
      <c r="N8744" s="45"/>
    </row>
    <row r="8745">
      <c r="A8745" s="40" t="str">
        <f t="shared" si="1"/>
        <v/>
      </c>
      <c r="B8745" s="37" t="str">
        <f t="array" ref="B8745">iferror(xlookup($I8745, 'IMPORT VHC Report'!$E:$E, 'IMPORT VHC Report'!$A:$C), )</f>
        <v/>
      </c>
      <c r="C8745" s="44"/>
      <c r="D8745" s="44"/>
      <c r="L8745" s="45"/>
      <c r="N8745" s="45"/>
    </row>
    <row r="8746">
      <c r="A8746" s="40" t="str">
        <f t="shared" si="1"/>
        <v/>
      </c>
      <c r="B8746" s="37" t="str">
        <f t="array" ref="B8746">iferror(xlookup($I8746, 'IMPORT VHC Report'!$E:$E, 'IMPORT VHC Report'!$A:$C), )</f>
        <v/>
      </c>
      <c r="C8746" s="44"/>
      <c r="D8746" s="44"/>
      <c r="L8746" s="45"/>
      <c r="N8746" s="45"/>
    </row>
    <row r="8747">
      <c r="A8747" s="40" t="str">
        <f t="shared" si="1"/>
        <v/>
      </c>
      <c r="B8747" s="37" t="str">
        <f t="array" ref="B8747">iferror(xlookup($I8747, 'IMPORT VHC Report'!$E:$E, 'IMPORT VHC Report'!$A:$C), )</f>
        <v/>
      </c>
      <c r="C8747" s="44"/>
      <c r="D8747" s="44"/>
      <c r="L8747" s="45"/>
      <c r="N8747" s="45"/>
    </row>
    <row r="8748">
      <c r="A8748" s="40" t="str">
        <f t="shared" si="1"/>
        <v/>
      </c>
      <c r="B8748" s="37" t="str">
        <f t="array" ref="B8748">iferror(xlookup($I8748, 'IMPORT VHC Report'!$E:$E, 'IMPORT VHC Report'!$A:$C), )</f>
        <v/>
      </c>
      <c r="C8748" s="44"/>
      <c r="D8748" s="44"/>
      <c r="L8748" s="45"/>
      <c r="N8748" s="45"/>
    </row>
    <row r="8749">
      <c r="A8749" s="40" t="str">
        <f t="shared" si="1"/>
        <v/>
      </c>
      <c r="B8749" s="37" t="str">
        <f t="array" ref="B8749">iferror(xlookup($I8749, 'IMPORT VHC Report'!$E:$E, 'IMPORT VHC Report'!$A:$C), )</f>
        <v/>
      </c>
      <c r="C8749" s="44"/>
      <c r="D8749" s="44"/>
      <c r="L8749" s="45"/>
      <c r="N8749" s="45"/>
    </row>
    <row r="8750">
      <c r="A8750" s="40" t="str">
        <f t="shared" si="1"/>
        <v/>
      </c>
      <c r="B8750" s="37" t="str">
        <f t="array" ref="B8750">iferror(xlookup($I8750, 'IMPORT VHC Report'!$E:$E, 'IMPORT VHC Report'!$A:$C), )</f>
        <v/>
      </c>
      <c r="C8750" s="44"/>
      <c r="D8750" s="44"/>
      <c r="L8750" s="45"/>
      <c r="N8750" s="45"/>
    </row>
    <row r="8751">
      <c r="A8751" s="40" t="str">
        <f t="shared" si="1"/>
        <v/>
      </c>
      <c r="B8751" s="37" t="str">
        <f t="array" ref="B8751">iferror(xlookup($I8751, 'IMPORT VHC Report'!$E:$E, 'IMPORT VHC Report'!$A:$C), )</f>
        <v/>
      </c>
      <c r="C8751" s="44"/>
      <c r="D8751" s="44"/>
      <c r="L8751" s="45"/>
      <c r="N8751" s="45"/>
    </row>
    <row r="8752">
      <c r="A8752" s="40" t="str">
        <f t="shared" si="1"/>
        <v/>
      </c>
      <c r="B8752" s="37" t="str">
        <f t="array" ref="B8752">iferror(xlookup($I8752, 'IMPORT VHC Report'!$E:$E, 'IMPORT VHC Report'!$A:$C), )</f>
        <v/>
      </c>
      <c r="C8752" s="44"/>
      <c r="D8752" s="44"/>
      <c r="L8752" s="45"/>
      <c r="N8752" s="45"/>
    </row>
    <row r="8753">
      <c r="A8753" s="40" t="str">
        <f t="shared" si="1"/>
        <v/>
      </c>
      <c r="B8753" s="37" t="str">
        <f t="array" ref="B8753">iferror(xlookup($I8753, 'IMPORT VHC Report'!$E:$E, 'IMPORT VHC Report'!$A:$C), )</f>
        <v/>
      </c>
      <c r="C8753" s="44"/>
      <c r="D8753" s="44"/>
      <c r="L8753" s="45"/>
      <c r="N8753" s="45"/>
    </row>
    <row r="8754">
      <c r="A8754" s="40" t="str">
        <f t="shared" si="1"/>
        <v/>
      </c>
      <c r="B8754" s="37" t="str">
        <f t="array" ref="B8754">iferror(xlookup($I8754, 'IMPORT VHC Report'!$E:$E, 'IMPORT VHC Report'!$A:$C), )</f>
        <v/>
      </c>
      <c r="C8754" s="44"/>
      <c r="D8754" s="44"/>
      <c r="L8754" s="45"/>
      <c r="N8754" s="45"/>
    </row>
    <row r="8755">
      <c r="A8755" s="40" t="str">
        <f t="shared" si="1"/>
        <v/>
      </c>
      <c r="B8755" s="37" t="str">
        <f t="array" ref="B8755">iferror(xlookup($I8755, 'IMPORT VHC Report'!$E:$E, 'IMPORT VHC Report'!$A:$C), )</f>
        <v/>
      </c>
      <c r="C8755" s="44"/>
      <c r="D8755" s="44"/>
      <c r="L8755" s="45"/>
      <c r="N8755" s="45"/>
    </row>
    <row r="8756">
      <c r="A8756" s="40" t="str">
        <f t="shared" si="1"/>
        <v/>
      </c>
      <c r="B8756" s="37" t="str">
        <f t="array" ref="B8756">iferror(xlookup($I8756, 'IMPORT VHC Report'!$E:$E, 'IMPORT VHC Report'!$A:$C), )</f>
        <v/>
      </c>
      <c r="C8756" s="44"/>
      <c r="D8756" s="44"/>
      <c r="L8756" s="45"/>
      <c r="N8756" s="45"/>
    </row>
    <row r="8757">
      <c r="A8757" s="40" t="str">
        <f t="shared" si="1"/>
        <v/>
      </c>
      <c r="B8757" s="37" t="str">
        <f t="array" ref="B8757">iferror(xlookup($I8757, 'IMPORT VHC Report'!$E:$E, 'IMPORT VHC Report'!$A:$C), )</f>
        <v/>
      </c>
      <c r="C8757" s="44"/>
      <c r="D8757" s="44"/>
      <c r="L8757" s="45"/>
      <c r="N8757" s="45"/>
    </row>
    <row r="8758">
      <c r="A8758" s="40" t="str">
        <f t="shared" si="1"/>
        <v/>
      </c>
      <c r="B8758" s="37" t="str">
        <f t="array" ref="B8758">iferror(xlookup($I8758, 'IMPORT VHC Report'!$E:$E, 'IMPORT VHC Report'!$A:$C), )</f>
        <v/>
      </c>
      <c r="C8758" s="44"/>
      <c r="D8758" s="44"/>
      <c r="L8758" s="45"/>
      <c r="N8758" s="45"/>
    </row>
    <row r="8759">
      <c r="A8759" s="40" t="str">
        <f t="shared" si="1"/>
        <v/>
      </c>
      <c r="B8759" s="37" t="str">
        <f t="array" ref="B8759">iferror(xlookup($I8759, 'IMPORT VHC Report'!$E:$E, 'IMPORT VHC Report'!$A:$C), )</f>
        <v/>
      </c>
      <c r="C8759" s="44"/>
      <c r="D8759" s="44"/>
      <c r="L8759" s="45"/>
      <c r="N8759" s="45"/>
    </row>
    <row r="8760">
      <c r="A8760" s="40" t="str">
        <f t="shared" si="1"/>
        <v/>
      </c>
      <c r="B8760" s="37" t="str">
        <f t="array" ref="B8760">iferror(xlookup($I8760, 'IMPORT VHC Report'!$E:$E, 'IMPORT VHC Report'!$A:$C), )</f>
        <v/>
      </c>
      <c r="C8760" s="44"/>
      <c r="D8760" s="44"/>
      <c r="L8760" s="45"/>
      <c r="N8760" s="45"/>
    </row>
    <row r="8761">
      <c r="A8761" s="40" t="str">
        <f t="shared" si="1"/>
        <v/>
      </c>
      <c r="B8761" s="37" t="str">
        <f t="array" ref="B8761">iferror(xlookup($I8761, 'IMPORT VHC Report'!$E:$E, 'IMPORT VHC Report'!$A:$C), )</f>
        <v/>
      </c>
      <c r="C8761" s="44"/>
      <c r="D8761" s="44"/>
      <c r="L8761" s="45"/>
      <c r="N8761" s="45"/>
    </row>
    <row r="8762">
      <c r="A8762" s="40" t="str">
        <f t="shared" si="1"/>
        <v/>
      </c>
      <c r="B8762" s="37" t="str">
        <f t="array" ref="B8762">iferror(xlookup($I8762, 'IMPORT VHC Report'!$E:$E, 'IMPORT VHC Report'!$A:$C), )</f>
        <v/>
      </c>
      <c r="C8762" s="44"/>
      <c r="D8762" s="44"/>
      <c r="L8762" s="45"/>
      <c r="N8762" s="45"/>
    </row>
    <row r="8763">
      <c r="A8763" s="40" t="str">
        <f t="shared" si="1"/>
        <v/>
      </c>
      <c r="B8763" s="37" t="str">
        <f t="array" ref="B8763">iferror(xlookup($I8763, 'IMPORT VHC Report'!$E:$E, 'IMPORT VHC Report'!$A:$C), )</f>
        <v/>
      </c>
      <c r="C8763" s="44"/>
      <c r="D8763" s="44"/>
      <c r="L8763" s="45"/>
      <c r="N8763" s="45"/>
    </row>
    <row r="8764">
      <c r="A8764" s="40" t="str">
        <f t="shared" si="1"/>
        <v/>
      </c>
      <c r="B8764" s="37" t="str">
        <f t="array" ref="B8764">iferror(xlookup($I8764, 'IMPORT VHC Report'!$E:$E, 'IMPORT VHC Report'!$A:$C), )</f>
        <v/>
      </c>
      <c r="C8764" s="44"/>
      <c r="D8764" s="44"/>
      <c r="L8764" s="45"/>
      <c r="N8764" s="45"/>
    </row>
    <row r="8765">
      <c r="A8765" s="40" t="str">
        <f t="shared" si="1"/>
        <v/>
      </c>
      <c r="B8765" s="37" t="str">
        <f t="array" ref="B8765">iferror(xlookup($I8765, 'IMPORT VHC Report'!$E:$E, 'IMPORT VHC Report'!$A:$C), )</f>
        <v/>
      </c>
      <c r="C8765" s="44"/>
      <c r="D8765" s="44"/>
      <c r="L8765" s="45"/>
      <c r="N8765" s="45"/>
    </row>
    <row r="8766">
      <c r="A8766" s="40" t="str">
        <f t="shared" si="1"/>
        <v/>
      </c>
      <c r="B8766" s="37" t="str">
        <f t="array" ref="B8766">iferror(xlookup($I8766, 'IMPORT VHC Report'!$E:$E, 'IMPORT VHC Report'!$A:$C), )</f>
        <v/>
      </c>
      <c r="C8766" s="44"/>
      <c r="D8766" s="44"/>
      <c r="L8766" s="45"/>
      <c r="N8766" s="45"/>
    </row>
    <row r="8767">
      <c r="A8767" s="40" t="str">
        <f t="shared" si="1"/>
        <v/>
      </c>
      <c r="B8767" s="37" t="str">
        <f t="array" ref="B8767">iferror(xlookup($I8767, 'IMPORT VHC Report'!$E:$E, 'IMPORT VHC Report'!$A:$C), )</f>
        <v/>
      </c>
      <c r="C8767" s="44"/>
      <c r="D8767" s="44"/>
      <c r="L8767" s="45"/>
      <c r="N8767" s="45"/>
    </row>
    <row r="8768">
      <c r="A8768" s="40" t="str">
        <f t="shared" si="1"/>
        <v/>
      </c>
      <c r="B8768" s="37" t="str">
        <f t="array" ref="B8768">iferror(xlookup($I8768, 'IMPORT VHC Report'!$E:$E, 'IMPORT VHC Report'!$A:$C), )</f>
        <v/>
      </c>
      <c r="C8768" s="44"/>
      <c r="D8768" s="44"/>
      <c r="L8768" s="45"/>
      <c r="N8768" s="45"/>
    </row>
    <row r="8769">
      <c r="A8769" s="40" t="str">
        <f t="shared" si="1"/>
        <v/>
      </c>
      <c r="B8769" s="37" t="str">
        <f t="array" ref="B8769">iferror(xlookup($I8769, 'IMPORT VHC Report'!$E:$E, 'IMPORT VHC Report'!$A:$C), )</f>
        <v/>
      </c>
      <c r="C8769" s="44"/>
      <c r="D8769" s="44"/>
      <c r="L8769" s="45"/>
      <c r="N8769" s="45"/>
    </row>
    <row r="8770">
      <c r="A8770" s="40" t="str">
        <f t="shared" si="1"/>
        <v/>
      </c>
      <c r="B8770" s="37" t="str">
        <f t="array" ref="B8770">iferror(xlookup($I8770, 'IMPORT VHC Report'!$E:$E, 'IMPORT VHC Report'!$A:$C), )</f>
        <v/>
      </c>
      <c r="C8770" s="44"/>
      <c r="D8770" s="44"/>
      <c r="L8770" s="45"/>
      <c r="N8770" s="45"/>
    </row>
    <row r="8771">
      <c r="A8771" s="40" t="str">
        <f t="shared" si="1"/>
        <v/>
      </c>
      <c r="B8771" s="37" t="str">
        <f t="array" ref="B8771">iferror(xlookup($I8771, 'IMPORT VHC Report'!$E:$E, 'IMPORT VHC Report'!$A:$C), )</f>
        <v/>
      </c>
      <c r="C8771" s="44"/>
      <c r="D8771" s="44"/>
      <c r="L8771" s="45"/>
      <c r="N8771" s="45"/>
    </row>
    <row r="8772">
      <c r="A8772" s="40" t="str">
        <f t="shared" si="1"/>
        <v/>
      </c>
      <c r="B8772" s="37" t="str">
        <f t="array" ref="B8772">iferror(xlookup($I8772, 'IMPORT VHC Report'!$E:$E, 'IMPORT VHC Report'!$A:$C), )</f>
        <v/>
      </c>
      <c r="C8772" s="44"/>
      <c r="D8772" s="44"/>
      <c r="L8772" s="45"/>
      <c r="N8772" s="45"/>
    </row>
    <row r="8773">
      <c r="A8773" s="40" t="str">
        <f t="shared" si="1"/>
        <v/>
      </c>
      <c r="B8773" s="37" t="str">
        <f t="array" ref="B8773">iferror(xlookup($I8773, 'IMPORT VHC Report'!$E:$E, 'IMPORT VHC Report'!$A:$C), )</f>
        <v/>
      </c>
      <c r="C8773" s="44"/>
      <c r="D8773" s="44"/>
      <c r="L8773" s="45"/>
      <c r="N8773" s="45"/>
    </row>
    <row r="8774">
      <c r="A8774" s="40" t="str">
        <f t="shared" si="1"/>
        <v/>
      </c>
      <c r="B8774" s="37" t="str">
        <f t="array" ref="B8774">iferror(xlookup($I8774, 'IMPORT VHC Report'!$E:$E, 'IMPORT VHC Report'!$A:$C), )</f>
        <v/>
      </c>
      <c r="C8774" s="44"/>
      <c r="D8774" s="44"/>
      <c r="L8774" s="45"/>
      <c r="N8774" s="45"/>
    </row>
    <row r="8775">
      <c r="A8775" s="40" t="str">
        <f t="shared" si="1"/>
        <v/>
      </c>
      <c r="B8775" s="37" t="str">
        <f t="array" ref="B8775">iferror(xlookup($I8775, 'IMPORT VHC Report'!$E:$E, 'IMPORT VHC Report'!$A:$C), )</f>
        <v/>
      </c>
      <c r="C8775" s="44"/>
      <c r="D8775" s="44"/>
      <c r="L8775" s="45"/>
      <c r="N8775" s="45"/>
    </row>
    <row r="8776">
      <c r="A8776" s="40" t="str">
        <f t="shared" si="1"/>
        <v/>
      </c>
      <c r="B8776" s="37" t="str">
        <f t="array" ref="B8776">iferror(xlookup($I8776, 'IMPORT VHC Report'!$E:$E, 'IMPORT VHC Report'!$A:$C), )</f>
        <v/>
      </c>
      <c r="C8776" s="44"/>
      <c r="D8776" s="44"/>
      <c r="L8776" s="45"/>
      <c r="N8776" s="45"/>
    </row>
    <row r="8777">
      <c r="A8777" s="40" t="str">
        <f t="shared" si="1"/>
        <v/>
      </c>
      <c r="B8777" s="37" t="str">
        <f t="array" ref="B8777">iferror(xlookup($I8777, 'IMPORT VHC Report'!$E:$E, 'IMPORT VHC Report'!$A:$C), )</f>
        <v/>
      </c>
      <c r="C8777" s="44"/>
      <c r="D8777" s="44"/>
      <c r="L8777" s="45"/>
      <c r="N8777" s="45"/>
    </row>
    <row r="8778">
      <c r="A8778" s="40" t="str">
        <f t="shared" si="1"/>
        <v/>
      </c>
      <c r="B8778" s="37" t="str">
        <f t="array" ref="B8778">iferror(xlookup($I8778, 'IMPORT VHC Report'!$E:$E, 'IMPORT VHC Report'!$A:$C), )</f>
        <v/>
      </c>
      <c r="C8778" s="44"/>
      <c r="D8778" s="44"/>
      <c r="L8778" s="45"/>
      <c r="N8778" s="45"/>
    </row>
    <row r="8779">
      <c r="A8779" s="40" t="str">
        <f t="shared" si="1"/>
        <v/>
      </c>
      <c r="B8779" s="37" t="str">
        <f t="array" ref="B8779">iferror(xlookup($I8779, 'IMPORT VHC Report'!$E:$E, 'IMPORT VHC Report'!$A:$C), )</f>
        <v/>
      </c>
      <c r="C8779" s="44"/>
      <c r="D8779" s="44"/>
      <c r="L8779" s="45"/>
      <c r="N8779" s="45"/>
    </row>
    <row r="8780">
      <c r="A8780" s="40" t="str">
        <f t="shared" si="1"/>
        <v/>
      </c>
      <c r="B8780" s="37" t="str">
        <f t="array" ref="B8780">iferror(xlookup($I8780, 'IMPORT VHC Report'!$E:$E, 'IMPORT VHC Report'!$A:$C), )</f>
        <v/>
      </c>
      <c r="C8780" s="44"/>
      <c r="D8780" s="44"/>
      <c r="L8780" s="45"/>
      <c r="N8780" s="45"/>
    </row>
    <row r="8781">
      <c r="A8781" s="40" t="str">
        <f t="shared" si="1"/>
        <v/>
      </c>
      <c r="B8781" s="37" t="str">
        <f t="array" ref="B8781">iferror(xlookup($I8781, 'IMPORT VHC Report'!$E:$E, 'IMPORT VHC Report'!$A:$C), )</f>
        <v/>
      </c>
      <c r="C8781" s="44"/>
      <c r="D8781" s="44"/>
      <c r="L8781" s="45"/>
      <c r="N8781" s="45"/>
    </row>
    <row r="8782">
      <c r="A8782" s="40" t="str">
        <f t="shared" si="1"/>
        <v/>
      </c>
      <c r="B8782" s="37" t="str">
        <f t="array" ref="B8782">iferror(xlookup($I8782, 'IMPORT VHC Report'!$E:$E, 'IMPORT VHC Report'!$A:$C), )</f>
        <v/>
      </c>
      <c r="C8782" s="44"/>
      <c r="D8782" s="44"/>
      <c r="L8782" s="45"/>
      <c r="N8782" s="45"/>
    </row>
    <row r="8783">
      <c r="A8783" s="40" t="str">
        <f t="shared" si="1"/>
        <v/>
      </c>
      <c r="B8783" s="37" t="str">
        <f t="array" ref="B8783">iferror(xlookup($I8783, 'IMPORT VHC Report'!$E:$E, 'IMPORT VHC Report'!$A:$C), )</f>
        <v/>
      </c>
      <c r="C8783" s="44"/>
      <c r="D8783" s="44"/>
      <c r="L8783" s="45"/>
      <c r="N8783" s="45"/>
    </row>
    <row r="8784">
      <c r="A8784" s="40" t="str">
        <f t="shared" si="1"/>
        <v/>
      </c>
      <c r="B8784" s="37" t="str">
        <f t="array" ref="B8784">iferror(xlookup($I8784, 'IMPORT VHC Report'!$E:$E, 'IMPORT VHC Report'!$A:$C), )</f>
        <v/>
      </c>
      <c r="C8784" s="44"/>
      <c r="D8784" s="44"/>
      <c r="L8784" s="45"/>
      <c r="N8784" s="45"/>
    </row>
    <row r="8785">
      <c r="A8785" s="40" t="str">
        <f t="shared" si="1"/>
        <v/>
      </c>
      <c r="B8785" s="37" t="str">
        <f t="array" ref="B8785">iferror(xlookup($I8785, 'IMPORT VHC Report'!$E:$E, 'IMPORT VHC Report'!$A:$C), )</f>
        <v/>
      </c>
      <c r="C8785" s="44"/>
      <c r="D8785" s="44"/>
      <c r="L8785" s="45"/>
      <c r="N8785" s="45"/>
    </row>
    <row r="8786">
      <c r="A8786" s="40" t="str">
        <f t="shared" si="1"/>
        <v/>
      </c>
      <c r="B8786" s="37" t="str">
        <f t="array" ref="B8786">iferror(xlookup($I8786, 'IMPORT VHC Report'!$E:$E, 'IMPORT VHC Report'!$A:$C), )</f>
        <v/>
      </c>
      <c r="C8786" s="44"/>
      <c r="D8786" s="44"/>
      <c r="L8786" s="45"/>
      <c r="N8786" s="45"/>
    </row>
    <row r="8787">
      <c r="A8787" s="40" t="str">
        <f t="shared" si="1"/>
        <v/>
      </c>
      <c r="B8787" s="37" t="str">
        <f t="array" ref="B8787">iferror(xlookup($I8787, 'IMPORT VHC Report'!$E:$E, 'IMPORT VHC Report'!$A:$C), )</f>
        <v/>
      </c>
      <c r="C8787" s="44"/>
      <c r="D8787" s="44"/>
      <c r="L8787" s="45"/>
      <c r="N8787" s="45"/>
    </row>
    <row r="8788">
      <c r="A8788" s="40" t="str">
        <f t="shared" si="1"/>
        <v/>
      </c>
      <c r="B8788" s="37" t="str">
        <f t="array" ref="B8788">iferror(xlookup($I8788, 'IMPORT VHC Report'!$E:$E, 'IMPORT VHC Report'!$A:$C), )</f>
        <v/>
      </c>
      <c r="C8788" s="44"/>
      <c r="D8788" s="44"/>
      <c r="L8788" s="45"/>
      <c r="N8788" s="45"/>
    </row>
    <row r="8789">
      <c r="A8789" s="40" t="str">
        <f t="shared" si="1"/>
        <v/>
      </c>
      <c r="B8789" s="37" t="str">
        <f t="array" ref="B8789">iferror(xlookup($I8789, 'IMPORT VHC Report'!$E:$E, 'IMPORT VHC Report'!$A:$C), )</f>
        <v/>
      </c>
      <c r="C8789" s="44"/>
      <c r="D8789" s="44"/>
      <c r="L8789" s="45"/>
      <c r="N8789" s="45"/>
    </row>
    <row r="8790">
      <c r="A8790" s="40" t="str">
        <f t="shared" si="1"/>
        <v/>
      </c>
      <c r="B8790" s="37" t="str">
        <f t="array" ref="B8790">iferror(xlookup($I8790, 'IMPORT VHC Report'!$E:$E, 'IMPORT VHC Report'!$A:$C), )</f>
        <v/>
      </c>
      <c r="C8790" s="44"/>
      <c r="D8790" s="44"/>
      <c r="L8790" s="45"/>
      <c r="N8790" s="45"/>
    </row>
    <row r="8791">
      <c r="A8791" s="40" t="str">
        <f t="shared" si="1"/>
        <v/>
      </c>
      <c r="B8791" s="37" t="str">
        <f t="array" ref="B8791">iferror(xlookup($I8791, 'IMPORT VHC Report'!$E:$E, 'IMPORT VHC Report'!$A:$C), )</f>
        <v/>
      </c>
      <c r="C8791" s="44"/>
      <c r="D8791" s="44"/>
      <c r="L8791" s="45"/>
      <c r="N8791" s="45"/>
    </row>
    <row r="8792">
      <c r="A8792" s="40" t="str">
        <f t="shared" si="1"/>
        <v/>
      </c>
      <c r="B8792" s="37" t="str">
        <f t="array" ref="B8792">iferror(xlookup($I8792, 'IMPORT VHC Report'!$E:$E, 'IMPORT VHC Report'!$A:$C), )</f>
        <v/>
      </c>
      <c r="C8792" s="44"/>
      <c r="D8792" s="44"/>
      <c r="L8792" s="45"/>
      <c r="N8792" s="45"/>
    </row>
    <row r="8793">
      <c r="A8793" s="40" t="str">
        <f t="shared" si="1"/>
        <v/>
      </c>
      <c r="B8793" s="37" t="str">
        <f t="array" ref="B8793">iferror(xlookup($I8793, 'IMPORT VHC Report'!$E:$E, 'IMPORT VHC Report'!$A:$C), )</f>
        <v/>
      </c>
      <c r="C8793" s="44"/>
      <c r="D8793" s="44"/>
      <c r="L8793" s="45"/>
      <c r="N8793" s="45"/>
    </row>
    <row r="8794">
      <c r="A8794" s="40" t="str">
        <f t="shared" si="1"/>
        <v/>
      </c>
      <c r="B8794" s="37" t="str">
        <f t="array" ref="B8794">iferror(xlookup($I8794, 'IMPORT VHC Report'!$E:$E, 'IMPORT VHC Report'!$A:$C), )</f>
        <v/>
      </c>
      <c r="C8794" s="44"/>
      <c r="D8794" s="44"/>
      <c r="L8794" s="45"/>
      <c r="N8794" s="45"/>
    </row>
    <row r="8795">
      <c r="A8795" s="40" t="str">
        <f t="shared" si="1"/>
        <v/>
      </c>
      <c r="B8795" s="37" t="str">
        <f t="array" ref="B8795">iferror(xlookup($I8795, 'IMPORT VHC Report'!$E:$E, 'IMPORT VHC Report'!$A:$C), )</f>
        <v/>
      </c>
      <c r="C8795" s="44"/>
      <c r="D8795" s="44"/>
      <c r="L8795" s="45"/>
      <c r="N8795" s="45"/>
    </row>
    <row r="8796">
      <c r="A8796" s="40" t="str">
        <f t="shared" si="1"/>
        <v/>
      </c>
      <c r="B8796" s="37" t="str">
        <f t="array" ref="B8796">iferror(xlookup($I8796, 'IMPORT VHC Report'!$E:$E, 'IMPORT VHC Report'!$A:$C), )</f>
        <v/>
      </c>
      <c r="C8796" s="44"/>
      <c r="D8796" s="44"/>
      <c r="L8796" s="45"/>
      <c r="N8796" s="45"/>
    </row>
    <row r="8797">
      <c r="A8797" s="40" t="str">
        <f t="shared" si="1"/>
        <v/>
      </c>
      <c r="B8797" s="37" t="str">
        <f t="array" ref="B8797">iferror(xlookup($I8797, 'IMPORT VHC Report'!$E:$E, 'IMPORT VHC Report'!$A:$C), )</f>
        <v/>
      </c>
      <c r="C8797" s="44"/>
      <c r="D8797" s="44"/>
      <c r="L8797" s="45"/>
      <c r="N8797" s="45"/>
    </row>
    <row r="8798">
      <c r="A8798" s="40" t="str">
        <f t="shared" si="1"/>
        <v/>
      </c>
      <c r="B8798" s="37" t="str">
        <f t="array" ref="B8798">iferror(xlookup($I8798, 'IMPORT VHC Report'!$E:$E, 'IMPORT VHC Report'!$A:$C), )</f>
        <v/>
      </c>
      <c r="C8798" s="44"/>
      <c r="D8798" s="44"/>
      <c r="L8798" s="45"/>
      <c r="N8798" s="45"/>
    </row>
    <row r="8799">
      <c r="A8799" s="40" t="str">
        <f t="shared" si="1"/>
        <v/>
      </c>
      <c r="B8799" s="37" t="str">
        <f t="array" ref="B8799">iferror(xlookup($I8799, 'IMPORT VHC Report'!$E:$E, 'IMPORT VHC Report'!$A:$C), )</f>
        <v/>
      </c>
      <c r="C8799" s="44"/>
      <c r="D8799" s="44"/>
      <c r="L8799" s="45"/>
      <c r="N8799" s="45"/>
    </row>
    <row r="8800">
      <c r="A8800" s="40" t="str">
        <f t="shared" si="1"/>
        <v/>
      </c>
      <c r="B8800" s="37" t="str">
        <f t="array" ref="B8800">iferror(xlookup($I8800, 'IMPORT VHC Report'!$E:$E, 'IMPORT VHC Report'!$A:$C), )</f>
        <v/>
      </c>
      <c r="C8800" s="44"/>
      <c r="D8800" s="44"/>
      <c r="L8800" s="45"/>
      <c r="N8800" s="45"/>
    </row>
    <row r="8801">
      <c r="A8801" s="40" t="str">
        <f t="shared" si="1"/>
        <v/>
      </c>
      <c r="B8801" s="37" t="str">
        <f t="array" ref="B8801">iferror(xlookup($I8801, 'IMPORT VHC Report'!$E:$E, 'IMPORT VHC Report'!$A:$C), )</f>
        <v/>
      </c>
      <c r="C8801" s="44"/>
      <c r="D8801" s="44"/>
      <c r="L8801" s="45"/>
      <c r="N8801" s="45"/>
    </row>
    <row r="8802">
      <c r="A8802" s="40" t="str">
        <f t="shared" si="1"/>
        <v/>
      </c>
      <c r="B8802" s="37" t="str">
        <f t="array" ref="B8802">iferror(xlookup($I8802, 'IMPORT VHC Report'!$E:$E, 'IMPORT VHC Report'!$A:$C), )</f>
        <v/>
      </c>
      <c r="C8802" s="44"/>
      <c r="D8802" s="44"/>
      <c r="L8802" s="45"/>
      <c r="N8802" s="45"/>
    </row>
    <row r="8803">
      <c r="A8803" s="40" t="str">
        <f t="shared" si="1"/>
        <v/>
      </c>
      <c r="B8803" s="37" t="str">
        <f t="array" ref="B8803">iferror(xlookup($I8803, 'IMPORT VHC Report'!$E:$E, 'IMPORT VHC Report'!$A:$C), )</f>
        <v/>
      </c>
      <c r="C8803" s="44"/>
      <c r="D8803" s="44"/>
      <c r="L8803" s="45"/>
      <c r="N8803" s="45"/>
    </row>
    <row r="8804">
      <c r="A8804" s="40" t="str">
        <f t="shared" si="1"/>
        <v/>
      </c>
      <c r="B8804" s="37" t="str">
        <f t="array" ref="B8804">iferror(xlookup($I8804, 'IMPORT VHC Report'!$E:$E, 'IMPORT VHC Report'!$A:$C), )</f>
        <v/>
      </c>
      <c r="C8804" s="44"/>
      <c r="D8804" s="44"/>
      <c r="L8804" s="45"/>
      <c r="N8804" s="45"/>
    </row>
    <row r="8805">
      <c r="A8805" s="40" t="str">
        <f t="shared" si="1"/>
        <v/>
      </c>
      <c r="B8805" s="37" t="str">
        <f t="array" ref="B8805">iferror(xlookup($I8805, 'IMPORT VHC Report'!$E:$E, 'IMPORT VHC Report'!$A:$C), )</f>
        <v/>
      </c>
      <c r="C8805" s="44"/>
      <c r="D8805" s="44"/>
      <c r="L8805" s="45"/>
      <c r="N8805" s="45"/>
    </row>
    <row r="8806">
      <c r="A8806" s="40" t="str">
        <f t="shared" si="1"/>
        <v/>
      </c>
      <c r="B8806" s="37" t="str">
        <f t="array" ref="B8806">iferror(xlookup($I8806, 'IMPORT VHC Report'!$E:$E, 'IMPORT VHC Report'!$A:$C), )</f>
        <v/>
      </c>
      <c r="C8806" s="44"/>
      <c r="D8806" s="44"/>
      <c r="L8806" s="45"/>
      <c r="N8806" s="45"/>
    </row>
    <row r="8807">
      <c r="A8807" s="40" t="str">
        <f t="shared" si="1"/>
        <v/>
      </c>
      <c r="B8807" s="37" t="str">
        <f t="array" ref="B8807">iferror(xlookup($I8807, 'IMPORT VHC Report'!$E:$E, 'IMPORT VHC Report'!$A:$C), )</f>
        <v/>
      </c>
      <c r="C8807" s="44"/>
      <c r="D8807" s="44"/>
      <c r="L8807" s="45"/>
      <c r="N8807" s="45"/>
    </row>
    <row r="8808">
      <c r="A8808" s="40" t="str">
        <f t="shared" si="1"/>
        <v/>
      </c>
      <c r="B8808" s="37" t="str">
        <f t="array" ref="B8808">iferror(xlookup($I8808, 'IMPORT VHC Report'!$E:$E, 'IMPORT VHC Report'!$A:$C), )</f>
        <v/>
      </c>
      <c r="C8808" s="44"/>
      <c r="D8808" s="44"/>
      <c r="L8808" s="45"/>
      <c r="N8808" s="45"/>
    </row>
    <row r="8809">
      <c r="A8809" s="40" t="str">
        <f t="shared" si="1"/>
        <v/>
      </c>
      <c r="B8809" s="37" t="str">
        <f t="array" ref="B8809">iferror(xlookup($I8809, 'IMPORT VHC Report'!$E:$E, 'IMPORT VHC Report'!$A:$C), )</f>
        <v/>
      </c>
      <c r="C8809" s="44"/>
      <c r="D8809" s="44"/>
      <c r="L8809" s="45"/>
      <c r="N8809" s="45"/>
    </row>
    <row r="8810">
      <c r="A8810" s="40" t="str">
        <f t="shared" si="1"/>
        <v/>
      </c>
      <c r="B8810" s="37" t="str">
        <f t="array" ref="B8810">iferror(xlookup($I8810, 'IMPORT VHC Report'!$E:$E, 'IMPORT VHC Report'!$A:$C), )</f>
        <v/>
      </c>
      <c r="C8810" s="44"/>
      <c r="D8810" s="44"/>
      <c r="L8810" s="45"/>
      <c r="N8810" s="45"/>
    </row>
    <row r="8811">
      <c r="A8811" s="40" t="str">
        <f t="shared" si="1"/>
        <v/>
      </c>
      <c r="B8811" s="37" t="str">
        <f t="array" ref="B8811">iferror(xlookup($I8811, 'IMPORT VHC Report'!$E:$E, 'IMPORT VHC Report'!$A:$C), )</f>
        <v/>
      </c>
      <c r="C8811" s="44"/>
      <c r="D8811" s="44"/>
      <c r="L8811" s="45"/>
      <c r="N8811" s="45"/>
    </row>
    <row r="8812">
      <c r="A8812" s="40" t="str">
        <f t="shared" si="1"/>
        <v/>
      </c>
      <c r="B8812" s="37" t="str">
        <f t="array" ref="B8812">iferror(xlookup($I8812, 'IMPORT VHC Report'!$E:$E, 'IMPORT VHC Report'!$A:$C), )</f>
        <v/>
      </c>
      <c r="C8812" s="44"/>
      <c r="D8812" s="44"/>
      <c r="L8812" s="45"/>
      <c r="N8812" s="45"/>
    </row>
    <row r="8813">
      <c r="A8813" s="40" t="str">
        <f t="shared" si="1"/>
        <v/>
      </c>
      <c r="B8813" s="37" t="str">
        <f t="array" ref="B8813">iferror(xlookup($I8813, 'IMPORT VHC Report'!$E:$E, 'IMPORT VHC Report'!$A:$C), )</f>
        <v/>
      </c>
      <c r="C8813" s="44"/>
      <c r="D8813" s="44"/>
      <c r="L8813" s="45"/>
      <c r="N8813" s="45"/>
    </row>
    <row r="8814">
      <c r="A8814" s="40" t="str">
        <f t="shared" si="1"/>
        <v/>
      </c>
      <c r="B8814" s="37" t="str">
        <f t="array" ref="B8814">iferror(xlookup($I8814, 'IMPORT VHC Report'!$E:$E, 'IMPORT VHC Report'!$A:$C), )</f>
        <v/>
      </c>
      <c r="C8814" s="44"/>
      <c r="D8814" s="44"/>
      <c r="L8814" s="45"/>
      <c r="N8814" s="45"/>
    </row>
    <row r="8815">
      <c r="A8815" s="40" t="str">
        <f t="shared" si="1"/>
        <v/>
      </c>
      <c r="B8815" s="37" t="str">
        <f t="array" ref="B8815">iferror(xlookup($I8815, 'IMPORT VHC Report'!$E:$E, 'IMPORT VHC Report'!$A:$C), )</f>
        <v/>
      </c>
      <c r="C8815" s="44"/>
      <c r="D8815" s="44"/>
      <c r="L8815" s="45"/>
      <c r="N8815" s="45"/>
    </row>
    <row r="8816">
      <c r="A8816" s="40" t="str">
        <f t="shared" si="1"/>
        <v/>
      </c>
      <c r="B8816" s="37" t="str">
        <f t="array" ref="B8816">iferror(xlookup($I8816, 'IMPORT VHC Report'!$E:$E, 'IMPORT VHC Report'!$A:$C), )</f>
        <v/>
      </c>
      <c r="C8816" s="44"/>
      <c r="D8816" s="44"/>
      <c r="L8816" s="45"/>
      <c r="N8816" s="45"/>
    </row>
    <row r="8817">
      <c r="A8817" s="40" t="str">
        <f t="shared" si="1"/>
        <v/>
      </c>
      <c r="B8817" s="37" t="str">
        <f t="array" ref="B8817">iferror(xlookup($I8817, 'IMPORT VHC Report'!$E:$E, 'IMPORT VHC Report'!$A:$C), )</f>
        <v/>
      </c>
      <c r="C8817" s="44"/>
      <c r="D8817" s="44"/>
      <c r="L8817" s="45"/>
      <c r="N8817" s="45"/>
    </row>
    <row r="8818">
      <c r="A8818" s="40" t="str">
        <f t="shared" si="1"/>
        <v/>
      </c>
      <c r="B8818" s="37" t="str">
        <f t="array" ref="B8818">iferror(xlookup($I8818, 'IMPORT VHC Report'!$E:$E, 'IMPORT VHC Report'!$A:$C), )</f>
        <v/>
      </c>
      <c r="C8818" s="44"/>
      <c r="D8818" s="44"/>
      <c r="L8818" s="45"/>
      <c r="N8818" s="45"/>
    </row>
    <row r="8819">
      <c r="A8819" s="40" t="str">
        <f t="shared" si="1"/>
        <v/>
      </c>
      <c r="B8819" s="37" t="str">
        <f t="array" ref="B8819">iferror(xlookup($I8819, 'IMPORT VHC Report'!$E:$E, 'IMPORT VHC Report'!$A:$C), )</f>
        <v/>
      </c>
      <c r="C8819" s="44"/>
      <c r="D8819" s="44"/>
      <c r="L8819" s="45"/>
      <c r="N8819" s="45"/>
    </row>
    <row r="8820">
      <c r="A8820" s="40" t="str">
        <f t="shared" si="1"/>
        <v/>
      </c>
      <c r="B8820" s="37" t="str">
        <f t="array" ref="B8820">iferror(xlookup($I8820, 'IMPORT VHC Report'!$E:$E, 'IMPORT VHC Report'!$A:$C), )</f>
        <v/>
      </c>
      <c r="C8820" s="44"/>
      <c r="D8820" s="44"/>
      <c r="L8820" s="45"/>
      <c r="N8820" s="45"/>
    </row>
    <row r="8821">
      <c r="A8821" s="40" t="str">
        <f t="shared" si="1"/>
        <v/>
      </c>
      <c r="B8821" s="37" t="str">
        <f t="array" ref="B8821">iferror(xlookup($I8821, 'IMPORT VHC Report'!$E:$E, 'IMPORT VHC Report'!$A:$C), )</f>
        <v/>
      </c>
      <c r="C8821" s="44"/>
      <c r="D8821" s="44"/>
      <c r="L8821" s="45"/>
      <c r="N8821" s="45"/>
    </row>
    <row r="8822">
      <c r="A8822" s="40" t="str">
        <f t="shared" si="1"/>
        <v/>
      </c>
      <c r="B8822" s="37" t="str">
        <f t="array" ref="B8822">iferror(xlookup($I8822, 'IMPORT VHC Report'!$E:$E, 'IMPORT VHC Report'!$A:$C), )</f>
        <v/>
      </c>
      <c r="C8822" s="44"/>
      <c r="D8822" s="44"/>
      <c r="L8822" s="45"/>
      <c r="N8822" s="45"/>
    </row>
    <row r="8823">
      <c r="A8823" s="40" t="str">
        <f t="shared" si="1"/>
        <v/>
      </c>
      <c r="B8823" s="37" t="str">
        <f t="array" ref="B8823">iferror(xlookup($I8823, 'IMPORT VHC Report'!$E:$E, 'IMPORT VHC Report'!$A:$C), )</f>
        <v/>
      </c>
      <c r="C8823" s="44"/>
      <c r="D8823" s="44"/>
      <c r="L8823" s="45"/>
      <c r="N8823" s="45"/>
    </row>
    <row r="8824">
      <c r="A8824" s="40" t="str">
        <f t="shared" si="1"/>
        <v/>
      </c>
      <c r="B8824" s="37" t="str">
        <f t="array" ref="B8824">iferror(xlookup($I8824, 'IMPORT VHC Report'!$E:$E, 'IMPORT VHC Report'!$A:$C), )</f>
        <v/>
      </c>
      <c r="C8824" s="44"/>
      <c r="D8824" s="44"/>
      <c r="L8824" s="45"/>
      <c r="N8824" s="45"/>
    </row>
    <row r="8825">
      <c r="A8825" s="40" t="str">
        <f t="shared" si="1"/>
        <v/>
      </c>
      <c r="B8825" s="37" t="str">
        <f t="array" ref="B8825">iferror(xlookup($I8825, 'IMPORT VHC Report'!$E:$E, 'IMPORT VHC Report'!$A:$C), )</f>
        <v/>
      </c>
      <c r="C8825" s="44"/>
      <c r="D8825" s="44"/>
      <c r="L8825" s="45"/>
      <c r="N8825" s="45"/>
    </row>
    <row r="8826">
      <c r="A8826" s="40" t="str">
        <f t="shared" si="1"/>
        <v/>
      </c>
      <c r="B8826" s="37" t="str">
        <f t="array" ref="B8826">iferror(xlookup($I8826, 'IMPORT VHC Report'!$E:$E, 'IMPORT VHC Report'!$A:$C), )</f>
        <v/>
      </c>
      <c r="C8826" s="44"/>
      <c r="D8826" s="44"/>
      <c r="L8826" s="45"/>
      <c r="N8826" s="45"/>
    </row>
    <row r="8827">
      <c r="A8827" s="40" t="str">
        <f t="shared" si="1"/>
        <v/>
      </c>
      <c r="B8827" s="37" t="str">
        <f t="array" ref="B8827">iferror(xlookup($I8827, 'IMPORT VHC Report'!$E:$E, 'IMPORT VHC Report'!$A:$C), )</f>
        <v/>
      </c>
      <c r="C8827" s="44"/>
      <c r="D8827" s="44"/>
      <c r="L8827" s="45"/>
      <c r="N8827" s="45"/>
    </row>
    <row r="8828">
      <c r="A8828" s="40" t="str">
        <f t="shared" si="1"/>
        <v/>
      </c>
      <c r="B8828" s="37" t="str">
        <f t="array" ref="B8828">iferror(xlookup($I8828, 'IMPORT VHC Report'!$E:$E, 'IMPORT VHC Report'!$A:$C), )</f>
        <v/>
      </c>
      <c r="C8828" s="44"/>
      <c r="D8828" s="44"/>
      <c r="L8828" s="45"/>
      <c r="N8828" s="45"/>
    </row>
    <row r="8829">
      <c r="A8829" s="40" t="str">
        <f t="shared" si="1"/>
        <v/>
      </c>
      <c r="B8829" s="37" t="str">
        <f t="array" ref="B8829">iferror(xlookup($I8829, 'IMPORT VHC Report'!$E:$E, 'IMPORT VHC Report'!$A:$C), )</f>
        <v/>
      </c>
      <c r="C8829" s="44"/>
      <c r="D8829" s="44"/>
      <c r="L8829" s="45"/>
      <c r="N8829" s="45"/>
    </row>
    <row r="8830">
      <c r="A8830" s="40" t="str">
        <f t="shared" si="1"/>
        <v/>
      </c>
      <c r="B8830" s="37" t="str">
        <f t="array" ref="B8830">iferror(xlookup($I8830, 'IMPORT VHC Report'!$E:$E, 'IMPORT VHC Report'!$A:$C), )</f>
        <v/>
      </c>
      <c r="C8830" s="44"/>
      <c r="D8830" s="44"/>
      <c r="L8830" s="45"/>
      <c r="N8830" s="45"/>
    </row>
    <row r="8831">
      <c r="A8831" s="40" t="str">
        <f t="shared" si="1"/>
        <v/>
      </c>
      <c r="B8831" s="37" t="str">
        <f t="array" ref="B8831">iferror(xlookup($I8831, 'IMPORT VHC Report'!$E:$E, 'IMPORT VHC Report'!$A:$C), )</f>
        <v/>
      </c>
      <c r="C8831" s="44"/>
      <c r="D8831" s="44"/>
      <c r="L8831" s="45"/>
      <c r="N8831" s="45"/>
    </row>
    <row r="8832">
      <c r="A8832" s="40" t="str">
        <f t="shared" si="1"/>
        <v/>
      </c>
      <c r="B8832" s="37" t="str">
        <f t="array" ref="B8832">iferror(xlookup($I8832, 'IMPORT VHC Report'!$E:$E, 'IMPORT VHC Report'!$A:$C), )</f>
        <v/>
      </c>
      <c r="C8832" s="44"/>
      <c r="D8832" s="44"/>
      <c r="L8832" s="45"/>
      <c r="N8832" s="45"/>
    </row>
    <row r="8833">
      <c r="A8833" s="40" t="str">
        <f t="shared" si="1"/>
        <v/>
      </c>
      <c r="B8833" s="37" t="str">
        <f t="array" ref="B8833">iferror(xlookup($I8833, 'IMPORT VHC Report'!$E:$E, 'IMPORT VHC Report'!$A:$C), )</f>
        <v/>
      </c>
      <c r="C8833" s="44"/>
      <c r="D8833" s="44"/>
      <c r="L8833" s="45"/>
      <c r="N8833" s="45"/>
    </row>
    <row r="8834">
      <c r="A8834" s="40" t="str">
        <f t="shared" si="1"/>
        <v/>
      </c>
      <c r="B8834" s="37" t="str">
        <f t="array" ref="B8834">iferror(xlookup($I8834, 'IMPORT VHC Report'!$E:$E, 'IMPORT VHC Report'!$A:$C), )</f>
        <v/>
      </c>
      <c r="C8834" s="44"/>
      <c r="D8834" s="44"/>
      <c r="L8834" s="45"/>
      <c r="N8834" s="45"/>
    </row>
    <row r="8835">
      <c r="A8835" s="40" t="str">
        <f t="shared" si="1"/>
        <v/>
      </c>
      <c r="B8835" s="37" t="str">
        <f t="array" ref="B8835">iferror(xlookup($I8835, 'IMPORT VHC Report'!$E:$E, 'IMPORT VHC Report'!$A:$C), )</f>
        <v/>
      </c>
      <c r="C8835" s="44"/>
      <c r="D8835" s="44"/>
      <c r="L8835" s="45"/>
      <c r="N8835" s="45"/>
    </row>
    <row r="8836">
      <c r="A8836" s="40" t="str">
        <f t="shared" si="1"/>
        <v/>
      </c>
      <c r="B8836" s="37" t="str">
        <f t="array" ref="B8836">iferror(xlookup($I8836, 'IMPORT VHC Report'!$E:$E, 'IMPORT VHC Report'!$A:$C), )</f>
        <v/>
      </c>
      <c r="C8836" s="44"/>
      <c r="D8836" s="44"/>
      <c r="L8836" s="45"/>
      <c r="N8836" s="45"/>
    </row>
    <row r="8837">
      <c r="A8837" s="40" t="str">
        <f t="shared" si="1"/>
        <v/>
      </c>
      <c r="B8837" s="37" t="str">
        <f t="array" ref="B8837">iferror(xlookup($I8837, 'IMPORT VHC Report'!$E:$E, 'IMPORT VHC Report'!$A:$C), )</f>
        <v/>
      </c>
      <c r="C8837" s="44"/>
      <c r="D8837" s="44"/>
      <c r="L8837" s="45"/>
      <c r="N8837" s="45"/>
    </row>
    <row r="8838">
      <c r="A8838" s="40" t="str">
        <f t="shared" si="1"/>
        <v/>
      </c>
      <c r="B8838" s="37" t="str">
        <f t="array" ref="B8838">iferror(xlookup($I8838, 'IMPORT VHC Report'!$E:$E, 'IMPORT VHC Report'!$A:$C), )</f>
        <v/>
      </c>
      <c r="C8838" s="44"/>
      <c r="D8838" s="44"/>
      <c r="L8838" s="45"/>
      <c r="N8838" s="45"/>
    </row>
    <row r="8839">
      <c r="A8839" s="40" t="str">
        <f t="shared" si="1"/>
        <v/>
      </c>
      <c r="B8839" s="37" t="str">
        <f t="array" ref="B8839">iferror(xlookup($I8839, 'IMPORT VHC Report'!$E:$E, 'IMPORT VHC Report'!$A:$C), )</f>
        <v/>
      </c>
      <c r="C8839" s="44"/>
      <c r="D8839" s="44"/>
      <c r="L8839" s="45"/>
      <c r="N8839" s="45"/>
    </row>
    <row r="8840">
      <c r="A8840" s="40" t="str">
        <f t="shared" si="1"/>
        <v/>
      </c>
      <c r="B8840" s="37" t="str">
        <f t="array" ref="B8840">iferror(xlookup($I8840, 'IMPORT VHC Report'!$E:$E, 'IMPORT VHC Report'!$A:$C), )</f>
        <v/>
      </c>
      <c r="C8840" s="44"/>
      <c r="D8840" s="44"/>
      <c r="L8840" s="45"/>
      <c r="N8840" s="45"/>
    </row>
    <row r="8841">
      <c r="A8841" s="40" t="str">
        <f t="shared" si="1"/>
        <v/>
      </c>
      <c r="B8841" s="37" t="str">
        <f t="array" ref="B8841">iferror(xlookup($I8841, 'IMPORT VHC Report'!$E:$E, 'IMPORT VHC Report'!$A:$C), )</f>
        <v/>
      </c>
      <c r="C8841" s="44"/>
      <c r="D8841" s="44"/>
      <c r="L8841" s="45"/>
      <c r="N8841" s="45"/>
    </row>
    <row r="8842">
      <c r="A8842" s="40" t="str">
        <f t="shared" si="1"/>
        <v/>
      </c>
      <c r="B8842" s="37" t="str">
        <f t="array" ref="B8842">iferror(xlookup($I8842, 'IMPORT VHC Report'!$E:$E, 'IMPORT VHC Report'!$A:$C), )</f>
        <v/>
      </c>
      <c r="C8842" s="44"/>
      <c r="D8842" s="44"/>
      <c r="L8842" s="45"/>
      <c r="N8842" s="45"/>
    </row>
    <row r="8843">
      <c r="A8843" s="40" t="str">
        <f t="shared" si="1"/>
        <v/>
      </c>
      <c r="B8843" s="37" t="str">
        <f t="array" ref="B8843">iferror(xlookup($I8843, 'IMPORT VHC Report'!$E:$E, 'IMPORT VHC Report'!$A:$C), )</f>
        <v/>
      </c>
      <c r="C8843" s="44"/>
      <c r="D8843" s="44"/>
      <c r="L8843" s="45"/>
      <c r="N8843" s="45"/>
    </row>
    <row r="8844">
      <c r="A8844" s="40" t="str">
        <f t="shared" si="1"/>
        <v/>
      </c>
      <c r="B8844" s="37" t="str">
        <f t="array" ref="B8844">iferror(xlookup($I8844, 'IMPORT VHC Report'!$E:$E, 'IMPORT VHC Report'!$A:$C), )</f>
        <v/>
      </c>
      <c r="C8844" s="44"/>
      <c r="D8844" s="44"/>
      <c r="L8844" s="45"/>
      <c r="N8844" s="45"/>
    </row>
    <row r="8845">
      <c r="A8845" s="40" t="str">
        <f t="shared" si="1"/>
        <v/>
      </c>
      <c r="B8845" s="37" t="str">
        <f t="array" ref="B8845">iferror(xlookup($I8845, 'IMPORT VHC Report'!$E:$E, 'IMPORT VHC Report'!$A:$C), )</f>
        <v/>
      </c>
      <c r="C8845" s="44"/>
      <c r="D8845" s="44"/>
      <c r="L8845" s="45"/>
      <c r="N8845" s="45"/>
    </row>
    <row r="8846">
      <c r="A8846" s="40" t="str">
        <f t="shared" si="1"/>
        <v/>
      </c>
      <c r="B8846" s="37" t="str">
        <f t="array" ref="B8846">iferror(xlookup($I8846, 'IMPORT VHC Report'!$E:$E, 'IMPORT VHC Report'!$A:$C), )</f>
        <v/>
      </c>
      <c r="C8846" s="44"/>
      <c r="D8846" s="44"/>
      <c r="L8846" s="45"/>
      <c r="N8846" s="45"/>
    </row>
    <row r="8847">
      <c r="A8847" s="40" t="str">
        <f t="shared" si="1"/>
        <v/>
      </c>
      <c r="B8847" s="37" t="str">
        <f t="array" ref="B8847">iferror(xlookup($I8847, 'IMPORT VHC Report'!$E:$E, 'IMPORT VHC Report'!$A:$C), )</f>
        <v/>
      </c>
      <c r="C8847" s="44"/>
      <c r="D8847" s="44"/>
      <c r="L8847" s="45"/>
      <c r="N8847" s="45"/>
    </row>
    <row r="8848">
      <c r="A8848" s="40" t="str">
        <f t="shared" si="1"/>
        <v/>
      </c>
      <c r="B8848" s="37" t="str">
        <f t="array" ref="B8848">iferror(xlookup($I8848, 'IMPORT VHC Report'!$E:$E, 'IMPORT VHC Report'!$A:$C), )</f>
        <v/>
      </c>
      <c r="C8848" s="44"/>
      <c r="D8848" s="44"/>
      <c r="L8848" s="45"/>
      <c r="N8848" s="45"/>
    </row>
    <row r="8849">
      <c r="A8849" s="40" t="str">
        <f t="shared" si="1"/>
        <v/>
      </c>
      <c r="B8849" s="37" t="str">
        <f t="array" ref="B8849">iferror(xlookup($I8849, 'IMPORT VHC Report'!$E:$E, 'IMPORT VHC Report'!$A:$C), )</f>
        <v/>
      </c>
      <c r="C8849" s="44"/>
      <c r="D8849" s="44"/>
      <c r="L8849" s="45"/>
      <c r="N8849" s="45"/>
    </row>
    <row r="8850">
      <c r="A8850" s="40" t="str">
        <f t="shared" si="1"/>
        <v/>
      </c>
      <c r="B8850" s="37" t="str">
        <f t="array" ref="B8850">iferror(xlookup($I8850, 'IMPORT VHC Report'!$E:$E, 'IMPORT VHC Report'!$A:$C), )</f>
        <v/>
      </c>
      <c r="C8850" s="44"/>
      <c r="D8850" s="44"/>
      <c r="L8850" s="45"/>
      <c r="N8850" s="45"/>
    </row>
    <row r="8851">
      <c r="A8851" s="40" t="str">
        <f t="shared" si="1"/>
        <v/>
      </c>
      <c r="B8851" s="37" t="str">
        <f t="array" ref="B8851">iferror(xlookup($I8851, 'IMPORT VHC Report'!$E:$E, 'IMPORT VHC Report'!$A:$C), )</f>
        <v/>
      </c>
      <c r="C8851" s="44"/>
      <c r="D8851" s="44"/>
      <c r="L8851" s="45"/>
      <c r="N8851" s="45"/>
    </row>
    <row r="8852">
      <c r="A8852" s="40" t="str">
        <f t="shared" si="1"/>
        <v/>
      </c>
      <c r="B8852" s="37" t="str">
        <f t="array" ref="B8852">iferror(xlookup($I8852, 'IMPORT VHC Report'!$E:$E, 'IMPORT VHC Report'!$A:$C), )</f>
        <v/>
      </c>
      <c r="C8852" s="44"/>
      <c r="D8852" s="44"/>
      <c r="L8852" s="45"/>
      <c r="N8852" s="45"/>
    </row>
    <row r="8853">
      <c r="A8853" s="40" t="str">
        <f t="shared" si="1"/>
        <v/>
      </c>
      <c r="B8853" s="37" t="str">
        <f t="array" ref="B8853">iferror(xlookup($I8853, 'IMPORT VHC Report'!$E:$E, 'IMPORT VHC Report'!$A:$C), )</f>
        <v/>
      </c>
      <c r="C8853" s="44"/>
      <c r="D8853" s="44"/>
      <c r="L8853" s="45"/>
      <c r="N8853" s="45"/>
    </row>
    <row r="8854">
      <c r="A8854" s="40" t="str">
        <f t="shared" si="1"/>
        <v/>
      </c>
      <c r="B8854" s="37" t="str">
        <f t="array" ref="B8854">iferror(xlookup($I8854, 'IMPORT VHC Report'!$E:$E, 'IMPORT VHC Report'!$A:$C), )</f>
        <v/>
      </c>
      <c r="C8854" s="44"/>
      <c r="D8854" s="44"/>
      <c r="L8854" s="45"/>
      <c r="N8854" s="45"/>
    </row>
    <row r="8855">
      <c r="A8855" s="40" t="str">
        <f t="shared" si="1"/>
        <v/>
      </c>
      <c r="B8855" s="37" t="str">
        <f t="array" ref="B8855">iferror(xlookup($I8855, 'IMPORT VHC Report'!$E:$E, 'IMPORT VHC Report'!$A:$C), )</f>
        <v/>
      </c>
      <c r="C8855" s="44"/>
      <c r="D8855" s="44"/>
      <c r="L8855" s="45"/>
      <c r="N8855" s="45"/>
    </row>
    <row r="8856">
      <c r="A8856" s="40" t="str">
        <f t="shared" si="1"/>
        <v/>
      </c>
      <c r="B8856" s="37" t="str">
        <f t="array" ref="B8856">iferror(xlookup($I8856, 'IMPORT VHC Report'!$E:$E, 'IMPORT VHC Report'!$A:$C), )</f>
        <v/>
      </c>
      <c r="C8856" s="44"/>
      <c r="D8856" s="44"/>
      <c r="L8856" s="45"/>
      <c r="N8856" s="45"/>
    </row>
    <row r="8857">
      <c r="A8857" s="40" t="str">
        <f t="shared" si="1"/>
        <v/>
      </c>
      <c r="B8857" s="37" t="str">
        <f t="array" ref="B8857">iferror(xlookup($I8857, 'IMPORT VHC Report'!$E:$E, 'IMPORT VHC Report'!$A:$C), )</f>
        <v/>
      </c>
      <c r="C8857" s="44"/>
      <c r="D8857" s="44"/>
      <c r="L8857" s="45"/>
      <c r="N8857" s="45"/>
    </row>
    <row r="8858">
      <c r="A8858" s="40" t="str">
        <f t="shared" si="1"/>
        <v/>
      </c>
      <c r="B8858" s="37" t="str">
        <f t="array" ref="B8858">iferror(xlookup($I8858, 'IMPORT VHC Report'!$E:$E, 'IMPORT VHC Report'!$A:$C), )</f>
        <v/>
      </c>
      <c r="C8858" s="44"/>
      <c r="D8858" s="44"/>
      <c r="L8858" s="45"/>
      <c r="N8858" s="45"/>
    </row>
    <row r="8859">
      <c r="A8859" s="40" t="str">
        <f t="shared" si="1"/>
        <v/>
      </c>
      <c r="B8859" s="37" t="str">
        <f t="array" ref="B8859">iferror(xlookup($I8859, 'IMPORT VHC Report'!$E:$E, 'IMPORT VHC Report'!$A:$C), )</f>
        <v/>
      </c>
      <c r="C8859" s="44"/>
      <c r="D8859" s="44"/>
      <c r="L8859" s="45"/>
      <c r="N8859" s="45"/>
    </row>
    <row r="8860">
      <c r="A8860" s="40" t="str">
        <f t="shared" si="1"/>
        <v/>
      </c>
      <c r="B8860" s="37" t="str">
        <f t="array" ref="B8860">iferror(xlookup($I8860, 'IMPORT VHC Report'!$E:$E, 'IMPORT VHC Report'!$A:$C), )</f>
        <v/>
      </c>
      <c r="C8860" s="44"/>
      <c r="D8860" s="44"/>
      <c r="L8860" s="45"/>
      <c r="N8860" s="45"/>
    </row>
    <row r="8861">
      <c r="A8861" s="40" t="str">
        <f t="shared" si="1"/>
        <v/>
      </c>
      <c r="B8861" s="37" t="str">
        <f t="array" ref="B8861">iferror(xlookup($I8861, 'IMPORT VHC Report'!$E:$E, 'IMPORT VHC Report'!$A:$C), )</f>
        <v/>
      </c>
      <c r="C8861" s="44"/>
      <c r="D8861" s="44"/>
      <c r="L8861" s="45"/>
      <c r="N8861" s="45"/>
    </row>
    <row r="8862">
      <c r="A8862" s="40" t="str">
        <f t="shared" si="1"/>
        <v/>
      </c>
      <c r="B8862" s="37" t="str">
        <f t="array" ref="B8862">iferror(xlookup($I8862, 'IMPORT VHC Report'!$E:$E, 'IMPORT VHC Report'!$A:$C), )</f>
        <v/>
      </c>
      <c r="C8862" s="44"/>
      <c r="D8862" s="44"/>
      <c r="L8862" s="45"/>
      <c r="N8862" s="45"/>
    </row>
    <row r="8863">
      <c r="A8863" s="40" t="str">
        <f t="shared" si="1"/>
        <v/>
      </c>
      <c r="B8863" s="37" t="str">
        <f t="array" ref="B8863">iferror(xlookup($I8863, 'IMPORT VHC Report'!$E:$E, 'IMPORT VHC Report'!$A:$C), )</f>
        <v/>
      </c>
      <c r="C8863" s="44"/>
      <c r="D8863" s="44"/>
      <c r="L8863" s="45"/>
      <c r="N8863" s="45"/>
    </row>
    <row r="8864">
      <c r="A8864" s="40" t="str">
        <f t="shared" si="1"/>
        <v/>
      </c>
      <c r="B8864" s="37" t="str">
        <f t="array" ref="B8864">iferror(xlookup($I8864, 'IMPORT VHC Report'!$E:$E, 'IMPORT VHC Report'!$A:$C), )</f>
        <v/>
      </c>
      <c r="C8864" s="44"/>
      <c r="D8864" s="44"/>
      <c r="L8864" s="45"/>
      <c r="N8864" s="45"/>
    </row>
    <row r="8865">
      <c r="A8865" s="40" t="str">
        <f t="shared" si="1"/>
        <v/>
      </c>
      <c r="B8865" s="37" t="str">
        <f t="array" ref="B8865">iferror(xlookup($I8865, 'IMPORT VHC Report'!$E:$E, 'IMPORT VHC Report'!$A:$C), )</f>
        <v/>
      </c>
      <c r="C8865" s="44"/>
      <c r="D8865" s="44"/>
      <c r="L8865" s="45"/>
      <c r="N8865" s="45"/>
    </row>
    <row r="8866">
      <c r="A8866" s="40" t="str">
        <f t="shared" si="1"/>
        <v/>
      </c>
      <c r="B8866" s="37" t="str">
        <f t="array" ref="B8866">iferror(xlookup($I8866, 'IMPORT VHC Report'!$E:$E, 'IMPORT VHC Report'!$A:$C), )</f>
        <v/>
      </c>
      <c r="C8866" s="44"/>
      <c r="D8866" s="44"/>
      <c r="L8866" s="45"/>
      <c r="N8866" s="45"/>
    </row>
    <row r="8867">
      <c r="A8867" s="40" t="str">
        <f t="shared" si="1"/>
        <v/>
      </c>
      <c r="B8867" s="37" t="str">
        <f t="array" ref="B8867">iferror(xlookup($I8867, 'IMPORT VHC Report'!$E:$E, 'IMPORT VHC Report'!$A:$C), )</f>
        <v/>
      </c>
      <c r="C8867" s="44"/>
      <c r="D8867" s="44"/>
      <c r="L8867" s="45"/>
      <c r="N8867" s="45"/>
    </row>
    <row r="8868">
      <c r="A8868" s="40" t="str">
        <f t="shared" si="1"/>
        <v/>
      </c>
      <c r="B8868" s="37" t="str">
        <f t="array" ref="B8868">iferror(xlookup($I8868, 'IMPORT VHC Report'!$E:$E, 'IMPORT VHC Report'!$A:$C), )</f>
        <v/>
      </c>
      <c r="C8868" s="44"/>
      <c r="D8868" s="44"/>
      <c r="L8868" s="45"/>
      <c r="N8868" s="45"/>
    </row>
    <row r="8869">
      <c r="A8869" s="40" t="str">
        <f t="shared" si="1"/>
        <v/>
      </c>
      <c r="B8869" s="37" t="str">
        <f t="array" ref="B8869">iferror(xlookup($I8869, 'IMPORT VHC Report'!$E:$E, 'IMPORT VHC Report'!$A:$C), )</f>
        <v/>
      </c>
      <c r="C8869" s="44"/>
      <c r="D8869" s="44"/>
      <c r="L8869" s="45"/>
      <c r="N8869" s="45"/>
    </row>
    <row r="8870">
      <c r="A8870" s="40" t="str">
        <f t="shared" si="1"/>
        <v/>
      </c>
      <c r="B8870" s="37" t="str">
        <f t="array" ref="B8870">iferror(xlookup($I8870, 'IMPORT VHC Report'!$E:$E, 'IMPORT VHC Report'!$A:$C), )</f>
        <v/>
      </c>
      <c r="C8870" s="44"/>
      <c r="D8870" s="44"/>
      <c r="L8870" s="45"/>
      <c r="N8870" s="45"/>
    </row>
    <row r="8871">
      <c r="A8871" s="40" t="str">
        <f t="shared" si="1"/>
        <v/>
      </c>
      <c r="B8871" s="37" t="str">
        <f t="array" ref="B8871">iferror(xlookup($I8871, 'IMPORT VHC Report'!$E:$E, 'IMPORT VHC Report'!$A:$C), )</f>
        <v/>
      </c>
      <c r="C8871" s="44"/>
      <c r="D8871" s="44"/>
      <c r="L8871" s="45"/>
      <c r="N8871" s="45"/>
    </row>
    <row r="8872">
      <c r="A8872" s="40" t="str">
        <f t="shared" si="1"/>
        <v/>
      </c>
      <c r="B8872" s="37" t="str">
        <f t="array" ref="B8872">iferror(xlookup($I8872, 'IMPORT VHC Report'!$E:$E, 'IMPORT VHC Report'!$A:$C), )</f>
        <v/>
      </c>
      <c r="C8872" s="44"/>
      <c r="D8872" s="44"/>
      <c r="L8872" s="45"/>
      <c r="N8872" s="45"/>
    </row>
    <row r="8873">
      <c r="A8873" s="40" t="str">
        <f t="shared" si="1"/>
        <v/>
      </c>
      <c r="B8873" s="37" t="str">
        <f t="array" ref="B8873">iferror(xlookup($I8873, 'IMPORT VHC Report'!$E:$E, 'IMPORT VHC Report'!$A:$C), )</f>
        <v/>
      </c>
      <c r="C8873" s="44"/>
      <c r="D8873" s="44"/>
      <c r="L8873" s="45"/>
      <c r="N8873" s="45"/>
    </row>
    <row r="8874">
      <c r="A8874" s="40" t="str">
        <f t="shared" si="1"/>
        <v/>
      </c>
      <c r="B8874" s="37" t="str">
        <f t="array" ref="B8874">iferror(xlookup($I8874, 'IMPORT VHC Report'!$E:$E, 'IMPORT VHC Report'!$A:$C), )</f>
        <v/>
      </c>
      <c r="C8874" s="44"/>
      <c r="D8874" s="44"/>
      <c r="L8874" s="45"/>
      <c r="N8874" s="45"/>
    </row>
    <row r="8875">
      <c r="A8875" s="40" t="str">
        <f t="shared" si="1"/>
        <v/>
      </c>
      <c r="B8875" s="37" t="str">
        <f t="array" ref="B8875">iferror(xlookup($I8875, 'IMPORT VHC Report'!$E:$E, 'IMPORT VHC Report'!$A:$C), )</f>
        <v/>
      </c>
      <c r="C8875" s="44"/>
      <c r="D8875" s="44"/>
      <c r="L8875" s="45"/>
      <c r="N8875" s="45"/>
    </row>
    <row r="8876">
      <c r="A8876" s="40" t="str">
        <f t="shared" si="1"/>
        <v/>
      </c>
      <c r="B8876" s="37" t="str">
        <f t="array" ref="B8876">iferror(xlookup($I8876, 'IMPORT VHC Report'!$E:$E, 'IMPORT VHC Report'!$A:$C), )</f>
        <v/>
      </c>
      <c r="C8876" s="44"/>
      <c r="D8876" s="44"/>
      <c r="L8876" s="45"/>
      <c r="N8876" s="45"/>
    </row>
    <row r="8877">
      <c r="A8877" s="40" t="str">
        <f t="shared" si="1"/>
        <v/>
      </c>
      <c r="B8877" s="37" t="str">
        <f t="array" ref="B8877">iferror(xlookup($I8877, 'IMPORT VHC Report'!$E:$E, 'IMPORT VHC Report'!$A:$C), )</f>
        <v/>
      </c>
      <c r="C8877" s="44"/>
      <c r="D8877" s="44"/>
      <c r="L8877" s="45"/>
      <c r="N8877" s="45"/>
    </row>
    <row r="8878">
      <c r="A8878" s="40" t="str">
        <f t="shared" si="1"/>
        <v/>
      </c>
      <c r="B8878" s="37" t="str">
        <f t="array" ref="B8878">iferror(xlookup($I8878, 'IMPORT VHC Report'!$E:$E, 'IMPORT VHC Report'!$A:$C), )</f>
        <v/>
      </c>
      <c r="C8878" s="44"/>
      <c r="D8878" s="44"/>
      <c r="L8878" s="45"/>
      <c r="N8878" s="45"/>
    </row>
    <row r="8879">
      <c r="A8879" s="40" t="str">
        <f t="shared" si="1"/>
        <v/>
      </c>
      <c r="B8879" s="37" t="str">
        <f t="array" ref="B8879">iferror(xlookup($I8879, 'IMPORT VHC Report'!$E:$E, 'IMPORT VHC Report'!$A:$C), )</f>
        <v/>
      </c>
      <c r="C8879" s="44"/>
      <c r="D8879" s="44"/>
      <c r="L8879" s="45"/>
      <c r="N8879" s="45"/>
    </row>
    <row r="8880">
      <c r="A8880" s="40" t="str">
        <f t="shared" si="1"/>
        <v/>
      </c>
      <c r="B8880" s="37" t="str">
        <f t="array" ref="B8880">iferror(xlookup($I8880, 'IMPORT VHC Report'!$E:$E, 'IMPORT VHC Report'!$A:$C), )</f>
        <v/>
      </c>
      <c r="C8880" s="44"/>
      <c r="D8880" s="44"/>
      <c r="L8880" s="45"/>
      <c r="N8880" s="45"/>
    </row>
    <row r="8881">
      <c r="A8881" s="40" t="str">
        <f t="shared" si="1"/>
        <v/>
      </c>
      <c r="B8881" s="37" t="str">
        <f t="array" ref="B8881">iferror(xlookup($I8881, 'IMPORT VHC Report'!$E:$E, 'IMPORT VHC Report'!$A:$C), )</f>
        <v/>
      </c>
      <c r="C8881" s="44"/>
      <c r="D8881" s="44"/>
      <c r="L8881" s="45"/>
      <c r="N8881" s="45"/>
    </row>
    <row r="8882">
      <c r="A8882" s="40" t="str">
        <f t="shared" si="1"/>
        <v/>
      </c>
      <c r="B8882" s="37" t="str">
        <f t="array" ref="B8882">iferror(xlookup($I8882, 'IMPORT VHC Report'!$E:$E, 'IMPORT VHC Report'!$A:$C), )</f>
        <v/>
      </c>
      <c r="C8882" s="44"/>
      <c r="D8882" s="44"/>
      <c r="L8882" s="45"/>
      <c r="N8882" s="45"/>
    </row>
    <row r="8883">
      <c r="A8883" s="40" t="str">
        <f t="shared" si="1"/>
        <v/>
      </c>
      <c r="B8883" s="37" t="str">
        <f t="array" ref="B8883">iferror(xlookup($I8883, 'IMPORT VHC Report'!$E:$E, 'IMPORT VHC Report'!$A:$C), )</f>
        <v/>
      </c>
      <c r="C8883" s="44"/>
      <c r="D8883" s="44"/>
      <c r="L8883" s="45"/>
      <c r="N8883" s="45"/>
    </row>
    <row r="8884">
      <c r="A8884" s="40" t="str">
        <f t="shared" si="1"/>
        <v/>
      </c>
      <c r="B8884" s="37" t="str">
        <f t="array" ref="B8884">iferror(xlookup($I8884, 'IMPORT VHC Report'!$E:$E, 'IMPORT VHC Report'!$A:$C), )</f>
        <v/>
      </c>
      <c r="C8884" s="44"/>
      <c r="D8884" s="44"/>
      <c r="L8884" s="45"/>
      <c r="N8884" s="45"/>
    </row>
    <row r="8885">
      <c r="A8885" s="40" t="str">
        <f t="shared" si="1"/>
        <v/>
      </c>
      <c r="B8885" s="37" t="str">
        <f t="array" ref="B8885">iferror(xlookup($I8885, 'IMPORT VHC Report'!$E:$E, 'IMPORT VHC Report'!$A:$C), )</f>
        <v/>
      </c>
      <c r="C8885" s="44"/>
      <c r="D8885" s="44"/>
      <c r="L8885" s="45"/>
      <c r="N8885" s="45"/>
    </row>
    <row r="8886">
      <c r="A8886" s="40" t="str">
        <f t="shared" si="1"/>
        <v/>
      </c>
      <c r="B8886" s="37" t="str">
        <f t="array" ref="B8886">iferror(xlookup($I8886, 'IMPORT VHC Report'!$E:$E, 'IMPORT VHC Report'!$A:$C), )</f>
        <v/>
      </c>
      <c r="C8886" s="44"/>
      <c r="D8886" s="44"/>
      <c r="L8886" s="45"/>
      <c r="N8886" s="45"/>
    </row>
    <row r="8887">
      <c r="A8887" s="40">
        <f t="shared" si="1"/>
        <v>46006</v>
      </c>
      <c r="B8887" s="37" t="str">
        <f t="array" ref="B8887">iferror(xlookup($I8887, 'IMPORT VHC Report'!$E:$E, 'IMPORT VHC Report'!$A:$C), )</f>
        <v/>
      </c>
      <c r="C8887" s="44"/>
      <c r="D8887" s="44"/>
      <c r="E8887" s="46" t="s">
        <v>217</v>
      </c>
      <c r="F8887" s="46" t="s">
        <v>192</v>
      </c>
      <c r="G8887" s="46">
        <v>5.047318720783E12</v>
      </c>
      <c r="H8887" s="46" t="s">
        <v>193</v>
      </c>
      <c r="I8887" s="46" t="s">
        <v>194</v>
      </c>
      <c r="J8887" s="46" t="s">
        <v>196</v>
      </c>
      <c r="K8887" s="46" t="s">
        <v>63</v>
      </c>
      <c r="L8887" s="45">
        <v>46012.75</v>
      </c>
      <c r="M8887" s="46" t="s">
        <v>123</v>
      </c>
      <c r="N8887" s="45">
        <v>46013.125</v>
      </c>
      <c r="O8887" s="46" t="s">
        <v>123</v>
      </c>
      <c r="P8887" s="46">
        <v>32400.0</v>
      </c>
    </row>
    <row r="8888">
      <c r="A8888" s="40">
        <f t="shared" si="1"/>
        <v>46006</v>
      </c>
      <c r="B8888" s="37" t="str">
        <f t="array" ref="B8888">iferror(xlookup($I8888, 'IMPORT VHC Report'!$E:$E, 'IMPORT VHC Report'!$A:$C), )</f>
        <v/>
      </c>
      <c r="C8888" s="44"/>
      <c r="D8888" s="44"/>
      <c r="E8888" s="46" t="s">
        <v>219</v>
      </c>
      <c r="F8888" s="46" t="s">
        <v>192</v>
      </c>
      <c r="G8888" s="46">
        <v>5.047318720783E12</v>
      </c>
      <c r="H8888" s="46" t="s">
        <v>193</v>
      </c>
      <c r="I8888" s="46" t="s">
        <v>194</v>
      </c>
      <c r="J8888" s="46" t="s">
        <v>132</v>
      </c>
      <c r="K8888" s="46" t="s">
        <v>126</v>
      </c>
      <c r="L8888" s="45">
        <v>46012.989583333336</v>
      </c>
      <c r="M8888" s="46" t="s">
        <v>123</v>
      </c>
      <c r="N8888" s="45">
        <v>46013.03125</v>
      </c>
      <c r="O8888" s="46" t="s">
        <v>123</v>
      </c>
      <c r="P8888" s="46">
        <v>3600.0</v>
      </c>
    </row>
    <row r="8889">
      <c r="A8889" s="40" t="str">
        <f t="shared" si="1"/>
        <v/>
      </c>
      <c r="B8889" s="37" t="str">
        <f t="array" ref="B8889">iferror(xlookup($I8889, 'IMPORT VHC Report'!$E:$E, 'IMPORT VHC Report'!$A:$C), )</f>
        <v/>
      </c>
      <c r="C8889" s="44"/>
      <c r="D8889" s="44"/>
      <c r="L8889" s="45"/>
      <c r="N8889" s="45"/>
    </row>
    <row r="8890">
      <c r="A8890" s="40" t="str">
        <f t="shared" si="1"/>
        <v/>
      </c>
      <c r="B8890" s="37" t="str">
        <f t="array" ref="B8890">iferror(xlookup($I8890, 'IMPORT VHC Report'!$E:$E, 'IMPORT VHC Report'!$A:$C), )</f>
        <v/>
      </c>
      <c r="C8890" s="44"/>
      <c r="D8890" s="44"/>
      <c r="L8890" s="45"/>
      <c r="N8890" s="45"/>
    </row>
    <row r="8891">
      <c r="A8891" s="40" t="str">
        <f t="shared" si="1"/>
        <v/>
      </c>
      <c r="B8891" s="37" t="str">
        <f t="array" ref="B8891">iferror(xlookup($I8891, 'IMPORT VHC Report'!$E:$E, 'IMPORT VHC Report'!$A:$C), )</f>
        <v/>
      </c>
      <c r="C8891" s="44"/>
      <c r="D8891" s="44"/>
      <c r="L8891" s="45"/>
      <c r="N8891" s="45"/>
    </row>
    <row r="8892">
      <c r="A8892" s="40" t="str">
        <f t="shared" si="1"/>
        <v/>
      </c>
      <c r="B8892" s="37" t="str">
        <f t="array" ref="B8892">iferror(xlookup($I8892, 'IMPORT VHC Report'!$E:$E, 'IMPORT VHC Report'!$A:$C), )</f>
        <v/>
      </c>
      <c r="C8892" s="44"/>
      <c r="D8892" s="44"/>
      <c r="L8892" s="45"/>
      <c r="N8892" s="45"/>
    </row>
    <row r="8893">
      <c r="A8893" s="40" t="str">
        <f t="shared" si="1"/>
        <v/>
      </c>
      <c r="B8893" s="37" t="str">
        <f t="array" ref="B8893">iferror(xlookup($I8893, 'IMPORT VHC Report'!$E:$E, 'IMPORT VHC Report'!$A:$C), )</f>
        <v/>
      </c>
      <c r="C8893" s="44"/>
      <c r="D8893" s="44"/>
      <c r="L8893" s="45"/>
      <c r="N8893" s="45"/>
    </row>
    <row r="8894">
      <c r="A8894" s="40" t="str">
        <f t="shared" si="1"/>
        <v/>
      </c>
      <c r="B8894" s="37" t="str">
        <f t="array" ref="B8894">iferror(xlookup($I8894, 'IMPORT VHC Report'!$E:$E, 'IMPORT VHC Report'!$A:$C), )</f>
        <v/>
      </c>
      <c r="C8894" s="44"/>
      <c r="D8894" s="44"/>
      <c r="L8894" s="45"/>
      <c r="N8894" s="45"/>
    </row>
    <row r="8895">
      <c r="A8895" s="40" t="str">
        <f t="shared" si="1"/>
        <v/>
      </c>
      <c r="B8895" s="37" t="str">
        <f t="array" ref="B8895">iferror(xlookup($I8895, 'IMPORT VHC Report'!$E:$E, 'IMPORT VHC Report'!$A:$C), )</f>
        <v/>
      </c>
      <c r="C8895" s="44"/>
      <c r="D8895" s="44"/>
      <c r="L8895" s="45"/>
      <c r="N8895" s="45"/>
    </row>
    <row r="8896">
      <c r="A8896" s="40" t="str">
        <f t="shared" si="1"/>
        <v/>
      </c>
      <c r="B8896" s="37" t="str">
        <f t="array" ref="B8896">iferror(xlookup($I8896, 'IMPORT VHC Report'!$E:$E, 'IMPORT VHC Report'!$A:$C), )</f>
        <v/>
      </c>
      <c r="C8896" s="44"/>
      <c r="D8896" s="44"/>
      <c r="L8896" s="45"/>
      <c r="N8896" s="45"/>
    </row>
    <row r="8897">
      <c r="A8897" s="40" t="str">
        <f t="shared" si="1"/>
        <v/>
      </c>
      <c r="B8897" s="37" t="str">
        <f t="array" ref="B8897">iferror(xlookup($I8897, 'IMPORT VHC Report'!$E:$E, 'IMPORT VHC Report'!$A:$C), )</f>
        <v/>
      </c>
      <c r="C8897" s="44"/>
      <c r="D8897" s="44"/>
      <c r="L8897" s="45"/>
      <c r="N8897" s="45"/>
    </row>
    <row r="8898">
      <c r="A8898" s="40" t="str">
        <f t="shared" si="1"/>
        <v/>
      </c>
      <c r="B8898" s="37" t="str">
        <f t="array" ref="B8898">iferror(xlookup($I8898, 'IMPORT VHC Report'!$E:$E, 'IMPORT VHC Report'!$A:$C), )</f>
        <v/>
      </c>
      <c r="C8898" s="44"/>
      <c r="D8898" s="44"/>
      <c r="L8898" s="45"/>
      <c r="N8898" s="45"/>
    </row>
    <row r="8899">
      <c r="A8899" s="40" t="str">
        <f t="shared" si="1"/>
        <v/>
      </c>
      <c r="B8899" s="37" t="str">
        <f t="array" ref="B8899">iferror(xlookup($I8899, 'IMPORT VHC Report'!$E:$E, 'IMPORT VHC Report'!$A:$C), )</f>
        <v/>
      </c>
      <c r="C8899" s="44"/>
      <c r="D8899" s="44"/>
      <c r="L8899" s="45"/>
      <c r="N8899" s="45"/>
    </row>
    <row r="8900">
      <c r="A8900" s="40" t="str">
        <f t="shared" si="1"/>
        <v/>
      </c>
      <c r="B8900" s="37" t="str">
        <f t="array" ref="B8900">iferror(xlookup($I8900, 'IMPORT VHC Report'!$E:$E, 'IMPORT VHC Report'!$A:$C), )</f>
        <v/>
      </c>
      <c r="C8900" s="44"/>
      <c r="D8900" s="44"/>
      <c r="L8900" s="45"/>
      <c r="N8900" s="45"/>
    </row>
    <row r="8901">
      <c r="A8901" s="40" t="str">
        <f t="shared" si="1"/>
        <v/>
      </c>
      <c r="B8901" s="37" t="str">
        <f t="array" ref="B8901">iferror(xlookup($I8901, 'IMPORT VHC Report'!$E:$E, 'IMPORT VHC Report'!$A:$C), )</f>
        <v/>
      </c>
      <c r="C8901" s="44"/>
      <c r="D8901" s="44"/>
      <c r="L8901" s="45"/>
      <c r="N8901" s="45"/>
    </row>
    <row r="8902">
      <c r="A8902" s="40" t="str">
        <f t="shared" si="1"/>
        <v/>
      </c>
      <c r="B8902" s="37" t="str">
        <f t="array" ref="B8902">iferror(xlookup($I8902, 'IMPORT VHC Report'!$E:$E, 'IMPORT VHC Report'!$A:$C), )</f>
        <v/>
      </c>
      <c r="C8902" s="44"/>
      <c r="D8902" s="44"/>
      <c r="L8902" s="45"/>
      <c r="N8902" s="45"/>
    </row>
    <row r="8903">
      <c r="A8903" s="40" t="str">
        <f t="shared" si="1"/>
        <v/>
      </c>
      <c r="B8903" s="37" t="str">
        <f t="array" ref="B8903">iferror(xlookup($I8903, 'IMPORT VHC Report'!$E:$E, 'IMPORT VHC Report'!$A:$C), )</f>
        <v/>
      </c>
      <c r="C8903" s="44"/>
      <c r="D8903" s="44"/>
      <c r="L8903" s="45"/>
      <c r="N8903" s="45"/>
    </row>
    <row r="8904">
      <c r="A8904" s="40" t="str">
        <f t="shared" si="1"/>
        <v/>
      </c>
      <c r="B8904" s="37" t="str">
        <f t="array" ref="B8904">iferror(xlookup($I8904, 'IMPORT VHC Report'!$E:$E, 'IMPORT VHC Report'!$A:$C), )</f>
        <v/>
      </c>
      <c r="C8904" s="44"/>
      <c r="D8904" s="44"/>
      <c r="L8904" s="45"/>
      <c r="N8904" s="45"/>
    </row>
    <row r="8905">
      <c r="A8905" s="40" t="str">
        <f t="shared" si="1"/>
        <v/>
      </c>
      <c r="B8905" s="37" t="str">
        <f t="array" ref="B8905">iferror(xlookup($I8905, 'IMPORT VHC Report'!$E:$E, 'IMPORT VHC Report'!$A:$C), )</f>
        <v/>
      </c>
      <c r="C8905" s="44"/>
      <c r="D8905" s="44"/>
      <c r="L8905" s="45"/>
      <c r="N8905" s="45"/>
    </row>
    <row r="8906">
      <c r="A8906" s="40" t="str">
        <f t="shared" si="1"/>
        <v/>
      </c>
      <c r="B8906" s="37" t="str">
        <f t="array" ref="B8906">iferror(xlookup($I8906, 'IMPORT VHC Report'!$E:$E, 'IMPORT VHC Report'!$A:$C), )</f>
        <v/>
      </c>
      <c r="C8906" s="44"/>
      <c r="D8906" s="44"/>
      <c r="L8906" s="45"/>
      <c r="N8906" s="45"/>
    </row>
    <row r="8907">
      <c r="A8907" s="40" t="str">
        <f t="shared" si="1"/>
        <v/>
      </c>
      <c r="B8907" s="37" t="str">
        <f t="array" ref="B8907">iferror(xlookup($I8907, 'IMPORT VHC Report'!$E:$E, 'IMPORT VHC Report'!$A:$C), )</f>
        <v/>
      </c>
      <c r="C8907" s="44"/>
      <c r="D8907" s="44"/>
      <c r="L8907" s="45"/>
      <c r="N8907" s="45"/>
    </row>
    <row r="8908">
      <c r="A8908" s="40" t="str">
        <f t="shared" si="1"/>
        <v/>
      </c>
      <c r="B8908" s="37" t="str">
        <f t="array" ref="B8908">iferror(xlookup($I8908, 'IMPORT VHC Report'!$E:$E, 'IMPORT VHC Report'!$A:$C), )</f>
        <v/>
      </c>
      <c r="C8908" s="44"/>
      <c r="D8908" s="44"/>
      <c r="L8908" s="45"/>
      <c r="N8908" s="45"/>
    </row>
    <row r="8909">
      <c r="A8909" s="40" t="str">
        <f t="shared" si="1"/>
        <v/>
      </c>
      <c r="B8909" s="37" t="str">
        <f t="array" ref="B8909">iferror(xlookup($I8909, 'IMPORT VHC Report'!$E:$E, 'IMPORT VHC Report'!$A:$C), )</f>
        <v/>
      </c>
      <c r="C8909" s="44"/>
      <c r="D8909" s="44"/>
      <c r="L8909" s="45"/>
      <c r="N8909" s="45"/>
    </row>
    <row r="8910">
      <c r="A8910" s="40" t="str">
        <f t="shared" si="1"/>
        <v/>
      </c>
      <c r="B8910" s="37" t="str">
        <f t="array" ref="B8910">iferror(xlookup($I8910, 'IMPORT VHC Report'!$E:$E, 'IMPORT VHC Report'!$A:$C), )</f>
        <v/>
      </c>
      <c r="C8910" s="44"/>
      <c r="D8910" s="44"/>
      <c r="L8910" s="45"/>
      <c r="N8910" s="45"/>
    </row>
    <row r="8911">
      <c r="A8911" s="40" t="str">
        <f t="shared" si="1"/>
        <v/>
      </c>
      <c r="B8911" s="37" t="str">
        <f t="array" ref="B8911">iferror(xlookup($I8911, 'IMPORT VHC Report'!$E:$E, 'IMPORT VHC Report'!$A:$C), )</f>
        <v/>
      </c>
      <c r="C8911" s="44"/>
      <c r="D8911" s="44"/>
      <c r="L8911" s="45"/>
      <c r="N8911" s="45"/>
    </row>
    <row r="8912">
      <c r="A8912" s="40" t="str">
        <f t="shared" si="1"/>
        <v/>
      </c>
      <c r="B8912" s="37" t="str">
        <f t="array" ref="B8912">iferror(xlookup($I8912, 'IMPORT VHC Report'!$E:$E, 'IMPORT VHC Report'!$A:$C), )</f>
        <v/>
      </c>
      <c r="C8912" s="44"/>
      <c r="D8912" s="44"/>
      <c r="L8912" s="45"/>
      <c r="N8912" s="45"/>
    </row>
    <row r="8913">
      <c r="A8913" s="40">
        <f t="shared" si="1"/>
        <v>46006</v>
      </c>
      <c r="B8913" s="37" t="str">
        <f t="array" ref="B8913">iferror(xlookup($I8913, 'IMPORT VHC Report'!$E:$E, 'IMPORT VHC Report'!$A:$C), )</f>
        <v/>
      </c>
      <c r="C8913" s="44"/>
      <c r="D8913" s="44"/>
      <c r="E8913" s="46" t="s">
        <v>294</v>
      </c>
      <c r="F8913" s="46" t="s">
        <v>263</v>
      </c>
      <c r="G8913" s="46">
        <v>9.586394042255E12</v>
      </c>
      <c r="H8913" s="46" t="s">
        <v>264</v>
      </c>
      <c r="I8913" s="46" t="s">
        <v>265</v>
      </c>
      <c r="J8913" s="46" t="s">
        <v>196</v>
      </c>
      <c r="K8913" s="46" t="s">
        <v>63</v>
      </c>
      <c r="L8913" s="45">
        <v>46012.791666666664</v>
      </c>
      <c r="M8913" s="46" t="s">
        <v>123</v>
      </c>
      <c r="N8913" s="45">
        <v>46013.166666666664</v>
      </c>
      <c r="O8913" s="46" t="s">
        <v>123</v>
      </c>
      <c r="P8913" s="46">
        <v>32400.0</v>
      </c>
    </row>
    <row r="8914">
      <c r="A8914" s="40" t="str">
        <f t="shared" si="1"/>
        <v/>
      </c>
      <c r="B8914" s="37" t="str">
        <f t="array" ref="B8914">iferror(xlookup($I8914, 'IMPORT VHC Report'!$E:$E, 'IMPORT VHC Report'!$A:$C), )</f>
        <v/>
      </c>
      <c r="C8914" s="44"/>
      <c r="D8914" s="44"/>
      <c r="L8914" s="45"/>
      <c r="N8914" s="45"/>
    </row>
    <row r="8915">
      <c r="A8915" s="40" t="str">
        <f t="shared" si="1"/>
        <v/>
      </c>
      <c r="B8915" s="37" t="str">
        <f t="array" ref="B8915">iferror(xlookup($I8915, 'IMPORT VHC Report'!$E:$E, 'IMPORT VHC Report'!$A:$C), )</f>
        <v/>
      </c>
      <c r="C8915" s="44"/>
      <c r="D8915" s="44"/>
      <c r="L8915" s="45"/>
      <c r="N8915" s="45"/>
    </row>
    <row r="8916">
      <c r="A8916" s="40" t="str">
        <f t="shared" si="1"/>
        <v/>
      </c>
      <c r="B8916" s="37" t="str">
        <f t="array" ref="B8916">iferror(xlookup($I8916, 'IMPORT VHC Report'!$E:$E, 'IMPORT VHC Report'!$A:$C), )</f>
        <v/>
      </c>
      <c r="C8916" s="44"/>
      <c r="D8916" s="44"/>
      <c r="L8916" s="45"/>
      <c r="N8916" s="45"/>
    </row>
    <row r="8917">
      <c r="A8917" s="40" t="str">
        <f t="shared" si="1"/>
        <v/>
      </c>
      <c r="B8917" s="37" t="str">
        <f t="array" ref="B8917">iferror(xlookup($I8917, 'IMPORT VHC Report'!$E:$E, 'IMPORT VHC Report'!$A:$C), )</f>
        <v/>
      </c>
      <c r="C8917" s="44"/>
      <c r="D8917" s="44"/>
      <c r="L8917" s="45"/>
      <c r="N8917" s="45"/>
    </row>
    <row r="8918">
      <c r="A8918" s="40" t="str">
        <f t="shared" si="1"/>
        <v/>
      </c>
      <c r="B8918" s="37" t="str">
        <f t="array" ref="B8918">iferror(xlookup($I8918, 'IMPORT VHC Report'!$E:$E, 'IMPORT VHC Report'!$A:$C), )</f>
        <v/>
      </c>
      <c r="C8918" s="44"/>
      <c r="D8918" s="44"/>
      <c r="L8918" s="45"/>
      <c r="N8918" s="45"/>
    </row>
    <row r="8919">
      <c r="A8919" s="40" t="str">
        <f t="shared" si="1"/>
        <v/>
      </c>
      <c r="B8919" s="37" t="str">
        <f t="array" ref="B8919">iferror(xlookup($I8919, 'IMPORT VHC Report'!$E:$E, 'IMPORT VHC Report'!$A:$C), )</f>
        <v/>
      </c>
      <c r="C8919" s="44"/>
      <c r="D8919" s="44"/>
      <c r="L8919" s="45"/>
      <c r="N8919" s="45"/>
    </row>
    <row r="8920">
      <c r="A8920" s="40" t="str">
        <f t="shared" si="1"/>
        <v/>
      </c>
      <c r="B8920" s="37" t="str">
        <f t="array" ref="B8920">iferror(xlookup($I8920, 'IMPORT VHC Report'!$E:$E, 'IMPORT VHC Report'!$A:$C), )</f>
        <v/>
      </c>
      <c r="C8920" s="44"/>
      <c r="D8920" s="44"/>
      <c r="L8920" s="45"/>
      <c r="N8920" s="45"/>
    </row>
    <row r="8921">
      <c r="A8921" s="40" t="str">
        <f t="shared" si="1"/>
        <v/>
      </c>
      <c r="B8921" s="37" t="str">
        <f t="array" ref="B8921">iferror(xlookup($I8921, 'IMPORT VHC Report'!$E:$E, 'IMPORT VHC Report'!$A:$C), )</f>
        <v/>
      </c>
      <c r="C8921" s="44"/>
      <c r="D8921" s="44"/>
      <c r="L8921" s="45"/>
      <c r="N8921" s="45"/>
    </row>
    <row r="8922">
      <c r="A8922" s="40" t="str">
        <f t="shared" si="1"/>
        <v/>
      </c>
      <c r="B8922" s="37" t="str">
        <f t="array" ref="B8922">iferror(xlookup($I8922, 'IMPORT VHC Report'!$E:$E, 'IMPORT VHC Report'!$A:$C), )</f>
        <v/>
      </c>
      <c r="C8922" s="44"/>
      <c r="D8922" s="44"/>
      <c r="L8922" s="45"/>
      <c r="N8922" s="45"/>
    </row>
    <row r="8923">
      <c r="A8923" s="40" t="str">
        <f t="shared" si="1"/>
        <v/>
      </c>
      <c r="B8923" s="37" t="str">
        <f t="array" ref="B8923">iferror(xlookup($I8923, 'IMPORT VHC Report'!$E:$E, 'IMPORT VHC Report'!$A:$C), )</f>
        <v/>
      </c>
      <c r="C8923" s="44"/>
      <c r="D8923" s="44"/>
      <c r="L8923" s="45"/>
      <c r="N8923" s="45"/>
    </row>
    <row r="8924">
      <c r="A8924" s="40" t="str">
        <f t="shared" si="1"/>
        <v/>
      </c>
      <c r="B8924" s="37" t="str">
        <f t="array" ref="B8924">iferror(xlookup($I8924, 'IMPORT VHC Report'!$E:$E, 'IMPORT VHC Report'!$A:$C), )</f>
        <v/>
      </c>
      <c r="C8924" s="44"/>
      <c r="D8924" s="44"/>
      <c r="L8924" s="45"/>
      <c r="N8924" s="45"/>
    </row>
    <row r="8925">
      <c r="A8925" s="40" t="str">
        <f t="shared" si="1"/>
        <v/>
      </c>
      <c r="B8925" s="37" t="str">
        <f t="array" ref="B8925">iferror(xlookup($I8925, 'IMPORT VHC Report'!$E:$E, 'IMPORT VHC Report'!$A:$C), )</f>
        <v/>
      </c>
      <c r="C8925" s="44"/>
      <c r="D8925" s="44"/>
      <c r="L8925" s="45"/>
      <c r="N8925" s="45"/>
    </row>
    <row r="8926">
      <c r="A8926" s="40" t="str">
        <f t="shared" si="1"/>
        <v/>
      </c>
      <c r="B8926" s="37" t="str">
        <f t="array" ref="B8926">iferror(xlookup($I8926, 'IMPORT VHC Report'!$E:$E, 'IMPORT VHC Report'!$A:$C), )</f>
        <v/>
      </c>
      <c r="C8926" s="44"/>
      <c r="D8926" s="44"/>
      <c r="L8926" s="45"/>
      <c r="N8926" s="45"/>
    </row>
    <row r="8927">
      <c r="A8927" s="40" t="str">
        <f t="shared" si="1"/>
        <v/>
      </c>
      <c r="B8927" s="37" t="str">
        <f t="array" ref="B8927">iferror(xlookup($I8927, 'IMPORT VHC Report'!$E:$E, 'IMPORT VHC Report'!$A:$C), )</f>
        <v/>
      </c>
      <c r="C8927" s="44"/>
      <c r="D8927" s="44"/>
      <c r="L8927" s="45"/>
      <c r="N8927" s="45"/>
    </row>
    <row r="8928">
      <c r="A8928" s="40" t="str">
        <f t="shared" si="1"/>
        <v/>
      </c>
      <c r="B8928" s="37" t="str">
        <f t="array" ref="B8928">iferror(xlookup($I8928, 'IMPORT VHC Report'!$E:$E, 'IMPORT VHC Report'!$A:$C), )</f>
        <v/>
      </c>
      <c r="C8928" s="44"/>
      <c r="D8928" s="44"/>
      <c r="L8928" s="45"/>
      <c r="N8928" s="45"/>
    </row>
    <row r="8929">
      <c r="A8929" s="40" t="str">
        <f t="shared" si="1"/>
        <v/>
      </c>
      <c r="B8929" s="37" t="str">
        <f t="array" ref="B8929">iferror(xlookup($I8929, 'IMPORT VHC Report'!$E:$E, 'IMPORT VHC Report'!$A:$C), )</f>
        <v/>
      </c>
      <c r="C8929" s="44"/>
      <c r="D8929" s="44"/>
      <c r="L8929" s="45"/>
      <c r="N8929" s="45"/>
    </row>
    <row r="8930">
      <c r="A8930" s="40" t="str">
        <f t="shared" si="1"/>
        <v/>
      </c>
      <c r="B8930" s="37" t="str">
        <f t="array" ref="B8930">iferror(xlookup($I8930, 'IMPORT VHC Report'!$E:$E, 'IMPORT VHC Report'!$A:$C), )</f>
        <v/>
      </c>
      <c r="C8930" s="44"/>
      <c r="D8930" s="44"/>
      <c r="L8930" s="45"/>
      <c r="N8930" s="45"/>
    </row>
    <row r="8931">
      <c r="A8931" s="40" t="str">
        <f t="shared" si="1"/>
        <v/>
      </c>
      <c r="B8931" s="37" t="str">
        <f t="array" ref="B8931">iferror(xlookup($I8931, 'IMPORT VHC Report'!$E:$E, 'IMPORT VHC Report'!$A:$C), )</f>
        <v/>
      </c>
      <c r="C8931" s="44"/>
      <c r="D8931" s="44"/>
      <c r="L8931" s="45"/>
      <c r="N8931" s="45"/>
    </row>
    <row r="8932">
      <c r="A8932" s="40" t="str">
        <f t="shared" si="1"/>
        <v/>
      </c>
      <c r="B8932" s="37" t="str">
        <f t="array" ref="B8932">iferror(xlookup($I8932, 'IMPORT VHC Report'!$E:$E, 'IMPORT VHC Report'!$A:$C), )</f>
        <v/>
      </c>
      <c r="C8932" s="44"/>
      <c r="D8932" s="44"/>
      <c r="L8932" s="45"/>
      <c r="N8932" s="45"/>
    </row>
    <row r="8933">
      <c r="A8933" s="40" t="str">
        <f t="shared" si="1"/>
        <v/>
      </c>
      <c r="B8933" s="37" t="str">
        <f t="array" ref="B8933">iferror(xlookup($I8933, 'IMPORT VHC Report'!$E:$E, 'IMPORT VHC Report'!$A:$C), )</f>
        <v/>
      </c>
      <c r="C8933" s="44"/>
      <c r="D8933" s="44"/>
      <c r="L8933" s="45"/>
      <c r="N8933" s="45"/>
    </row>
    <row r="8934">
      <c r="A8934" s="40" t="str">
        <f t="shared" si="1"/>
        <v/>
      </c>
      <c r="B8934" s="37" t="str">
        <f t="array" ref="B8934">iferror(xlookup($I8934, 'IMPORT VHC Report'!$E:$E, 'IMPORT VHC Report'!$A:$C), )</f>
        <v/>
      </c>
      <c r="C8934" s="44"/>
      <c r="D8934" s="44"/>
      <c r="L8934" s="45"/>
      <c r="N8934" s="45"/>
    </row>
    <row r="8935">
      <c r="A8935" s="40" t="str">
        <f t="shared" si="1"/>
        <v/>
      </c>
      <c r="B8935" s="37" t="str">
        <f t="array" ref="B8935">iferror(xlookup($I8935, 'IMPORT VHC Report'!$E:$E, 'IMPORT VHC Report'!$A:$C), )</f>
        <v/>
      </c>
      <c r="C8935" s="44"/>
      <c r="D8935" s="44"/>
      <c r="L8935" s="45"/>
      <c r="N8935" s="45"/>
    </row>
    <row r="8936">
      <c r="A8936" s="40" t="str">
        <f t="shared" si="1"/>
        <v/>
      </c>
      <c r="B8936" s="37" t="str">
        <f t="array" ref="B8936">iferror(xlookup($I8936, 'IMPORT VHC Report'!$E:$E, 'IMPORT VHC Report'!$A:$C), )</f>
        <v/>
      </c>
      <c r="C8936" s="44"/>
      <c r="D8936" s="44"/>
      <c r="L8936" s="45"/>
      <c r="N8936" s="45"/>
    </row>
    <row r="8937">
      <c r="A8937" s="40" t="str">
        <f t="shared" si="1"/>
        <v/>
      </c>
      <c r="B8937" s="37" t="str">
        <f t="array" ref="B8937">iferror(xlookup($I8937, 'IMPORT VHC Report'!$E:$E, 'IMPORT VHC Report'!$A:$C), )</f>
        <v/>
      </c>
      <c r="C8937" s="44"/>
      <c r="D8937" s="44"/>
      <c r="L8937" s="45"/>
      <c r="N8937" s="45"/>
    </row>
    <row r="8938">
      <c r="A8938" s="40" t="str">
        <f t="shared" si="1"/>
        <v/>
      </c>
      <c r="B8938" s="37" t="str">
        <f t="array" ref="B8938">iferror(xlookup($I8938, 'IMPORT VHC Report'!$E:$E, 'IMPORT VHC Report'!$A:$C), )</f>
        <v/>
      </c>
      <c r="C8938" s="44"/>
      <c r="D8938" s="44"/>
      <c r="L8938" s="45"/>
      <c r="N8938" s="45"/>
    </row>
    <row r="8939">
      <c r="A8939" s="40" t="str">
        <f t="shared" si="1"/>
        <v/>
      </c>
      <c r="B8939" s="37" t="str">
        <f t="array" ref="B8939">iferror(xlookup($I8939, 'IMPORT VHC Report'!$E:$E, 'IMPORT VHC Report'!$A:$C), )</f>
        <v/>
      </c>
      <c r="C8939" s="44"/>
      <c r="D8939" s="44"/>
      <c r="L8939" s="45"/>
      <c r="N8939" s="45"/>
    </row>
    <row r="8940">
      <c r="A8940" s="40" t="str">
        <f t="shared" si="1"/>
        <v/>
      </c>
      <c r="B8940" s="37" t="str">
        <f t="array" ref="B8940">iferror(xlookup($I8940, 'IMPORT VHC Report'!$E:$E, 'IMPORT VHC Report'!$A:$C), )</f>
        <v/>
      </c>
      <c r="C8940" s="44"/>
      <c r="D8940" s="44"/>
      <c r="L8940" s="45"/>
      <c r="N8940" s="45"/>
    </row>
    <row r="8941">
      <c r="A8941" s="40">
        <f t="shared" si="1"/>
        <v>46006</v>
      </c>
      <c r="B8941" s="37" t="str">
        <f t="array" ref="B8941">iferror(xlookup($I8941, 'IMPORT VHC Report'!$E:$E, 'IMPORT VHC Report'!$A:$C), )</f>
        <v/>
      </c>
      <c r="C8941" s="44"/>
      <c r="D8941" s="44"/>
      <c r="E8941" s="46" t="s">
        <v>751</v>
      </c>
      <c r="F8941" s="46" t="s">
        <v>728</v>
      </c>
      <c r="G8941" s="46">
        <v>1.0333018822031E13</v>
      </c>
      <c r="H8941" s="46" t="s">
        <v>729</v>
      </c>
      <c r="I8941" s="46" t="s">
        <v>730</v>
      </c>
      <c r="J8941" s="46" t="s">
        <v>196</v>
      </c>
      <c r="K8941" s="46" t="s">
        <v>63</v>
      </c>
      <c r="L8941" s="45">
        <v>46012.916666666664</v>
      </c>
      <c r="M8941" s="46" t="s">
        <v>123</v>
      </c>
      <c r="N8941" s="45">
        <v>46013.291666666664</v>
      </c>
      <c r="O8941" s="46" t="s">
        <v>123</v>
      </c>
      <c r="P8941" s="46">
        <v>32400.0</v>
      </c>
    </row>
    <row r="8942">
      <c r="A8942" s="40" t="str">
        <f t="shared" si="1"/>
        <v/>
      </c>
      <c r="B8942" s="37" t="str">
        <f t="array" ref="B8942">iferror(xlookup($I8942, 'IMPORT VHC Report'!$E:$E, 'IMPORT VHC Report'!$A:$C), )</f>
        <v/>
      </c>
      <c r="C8942" s="44"/>
      <c r="D8942" s="44"/>
      <c r="L8942" s="45"/>
      <c r="N8942" s="45"/>
    </row>
    <row r="8943">
      <c r="A8943" s="40" t="str">
        <f t="shared" si="1"/>
        <v/>
      </c>
      <c r="B8943" s="37" t="str">
        <f t="array" ref="B8943">iferror(xlookup($I8943, 'IMPORT VHC Report'!$E:$E, 'IMPORT VHC Report'!$A:$C), )</f>
        <v/>
      </c>
      <c r="C8943" s="44"/>
      <c r="D8943" s="44"/>
      <c r="L8943" s="45"/>
      <c r="N8943" s="45"/>
    </row>
    <row r="8944">
      <c r="A8944" s="40" t="str">
        <f t="shared" si="1"/>
        <v/>
      </c>
      <c r="B8944" s="37" t="str">
        <f t="array" ref="B8944">iferror(xlookup($I8944, 'IMPORT VHC Report'!$E:$E, 'IMPORT VHC Report'!$A:$C), )</f>
        <v/>
      </c>
      <c r="C8944" s="44"/>
      <c r="D8944" s="44"/>
      <c r="L8944" s="45"/>
      <c r="N8944" s="45"/>
    </row>
    <row r="8945">
      <c r="A8945" s="40" t="str">
        <f t="shared" si="1"/>
        <v/>
      </c>
      <c r="B8945" s="37" t="str">
        <f t="array" ref="B8945">iferror(xlookup($I8945, 'IMPORT VHC Report'!$E:$E, 'IMPORT VHC Report'!$A:$C), )</f>
        <v/>
      </c>
      <c r="C8945" s="44"/>
      <c r="D8945" s="44"/>
      <c r="L8945" s="45"/>
      <c r="N8945" s="45"/>
    </row>
    <row r="8946">
      <c r="A8946" s="40" t="str">
        <f t="shared" si="1"/>
        <v/>
      </c>
      <c r="B8946" s="37" t="str">
        <f t="array" ref="B8946">iferror(xlookup($I8946, 'IMPORT VHC Report'!$E:$E, 'IMPORT VHC Report'!$A:$C), )</f>
        <v/>
      </c>
      <c r="C8946" s="44"/>
      <c r="D8946" s="44"/>
      <c r="L8946" s="45"/>
      <c r="N8946" s="45"/>
    </row>
    <row r="8947">
      <c r="A8947" s="40" t="str">
        <f t="shared" si="1"/>
        <v/>
      </c>
      <c r="B8947" s="37" t="str">
        <f t="array" ref="B8947">iferror(xlookup($I8947, 'IMPORT VHC Report'!$E:$E, 'IMPORT VHC Report'!$A:$C), )</f>
        <v/>
      </c>
      <c r="C8947" s="44"/>
      <c r="D8947" s="44"/>
      <c r="L8947" s="45"/>
      <c r="N8947" s="45"/>
    </row>
    <row r="8948">
      <c r="A8948" s="40" t="str">
        <f t="shared" si="1"/>
        <v/>
      </c>
      <c r="B8948" s="37" t="str">
        <f t="array" ref="B8948">iferror(xlookup($I8948, 'IMPORT VHC Report'!$E:$E, 'IMPORT VHC Report'!$A:$C), )</f>
        <v/>
      </c>
      <c r="C8948" s="44"/>
      <c r="D8948" s="44"/>
      <c r="L8948" s="45"/>
      <c r="N8948" s="45"/>
    </row>
    <row r="8949">
      <c r="A8949" s="40" t="str">
        <f t="shared" si="1"/>
        <v/>
      </c>
      <c r="B8949" s="37" t="str">
        <f t="array" ref="B8949">iferror(xlookup($I8949, 'IMPORT VHC Report'!$E:$E, 'IMPORT VHC Report'!$A:$C), )</f>
        <v/>
      </c>
      <c r="C8949" s="44"/>
      <c r="D8949" s="44"/>
      <c r="L8949" s="45"/>
      <c r="N8949" s="45"/>
    </row>
    <row r="8950">
      <c r="A8950" s="40" t="str">
        <f t="shared" si="1"/>
        <v/>
      </c>
      <c r="B8950" s="37" t="str">
        <f t="array" ref="B8950">iferror(xlookup($I8950, 'IMPORT VHC Report'!$E:$E, 'IMPORT VHC Report'!$A:$C), )</f>
        <v/>
      </c>
      <c r="C8950" s="44"/>
      <c r="D8950" s="44"/>
      <c r="L8950" s="45"/>
      <c r="N8950" s="45"/>
    </row>
    <row r="8951">
      <c r="A8951" s="40" t="str">
        <f t="shared" si="1"/>
        <v/>
      </c>
      <c r="B8951" s="37" t="str">
        <f t="array" ref="B8951">iferror(xlookup($I8951, 'IMPORT VHC Report'!$E:$E, 'IMPORT VHC Report'!$A:$C), )</f>
        <v/>
      </c>
      <c r="C8951" s="44"/>
      <c r="D8951" s="44"/>
      <c r="L8951" s="45"/>
      <c r="N8951" s="45"/>
    </row>
    <row r="8952">
      <c r="A8952" s="40" t="str">
        <f t="shared" si="1"/>
        <v/>
      </c>
      <c r="B8952" s="37" t="str">
        <f t="array" ref="B8952">iferror(xlookup($I8952, 'IMPORT VHC Report'!$E:$E, 'IMPORT VHC Report'!$A:$C), )</f>
        <v/>
      </c>
      <c r="C8952" s="44"/>
      <c r="D8952" s="44"/>
      <c r="L8952" s="45"/>
      <c r="N8952" s="45"/>
    </row>
    <row r="8953">
      <c r="A8953" s="40" t="str">
        <f t="shared" si="1"/>
        <v/>
      </c>
      <c r="B8953" s="37" t="str">
        <f t="array" ref="B8953">iferror(xlookup($I8953, 'IMPORT VHC Report'!$E:$E, 'IMPORT VHC Report'!$A:$C), )</f>
        <v/>
      </c>
      <c r="C8953" s="44"/>
      <c r="D8953" s="44"/>
      <c r="L8953" s="45"/>
      <c r="N8953" s="45"/>
    </row>
    <row r="8954">
      <c r="A8954" s="40" t="str">
        <f t="shared" si="1"/>
        <v/>
      </c>
      <c r="B8954" s="37" t="str">
        <f t="array" ref="B8954">iferror(xlookup($I8954, 'IMPORT VHC Report'!$E:$E, 'IMPORT VHC Report'!$A:$C), )</f>
        <v/>
      </c>
      <c r="C8954" s="44"/>
      <c r="D8954" s="44"/>
      <c r="L8954" s="45"/>
      <c r="N8954" s="45"/>
    </row>
    <row r="8955">
      <c r="A8955" s="40" t="str">
        <f t="shared" si="1"/>
        <v/>
      </c>
      <c r="B8955" s="37" t="str">
        <f t="array" ref="B8955">iferror(xlookup($I8955, 'IMPORT VHC Report'!$E:$E, 'IMPORT VHC Report'!$A:$C), )</f>
        <v/>
      </c>
      <c r="C8955" s="44"/>
      <c r="D8955" s="44"/>
      <c r="L8955" s="45"/>
      <c r="N8955" s="45"/>
    </row>
    <row r="8956">
      <c r="A8956" s="40" t="str">
        <f t="shared" si="1"/>
        <v/>
      </c>
      <c r="B8956" s="37" t="str">
        <f t="array" ref="B8956">iferror(xlookup($I8956, 'IMPORT VHC Report'!$E:$E, 'IMPORT VHC Report'!$A:$C), )</f>
        <v/>
      </c>
      <c r="C8956" s="44"/>
      <c r="D8956" s="44"/>
      <c r="L8956" s="45"/>
      <c r="N8956" s="45"/>
    </row>
    <row r="8957">
      <c r="A8957" s="40" t="str">
        <f t="shared" si="1"/>
        <v/>
      </c>
      <c r="B8957" s="37" t="str">
        <f t="array" ref="B8957">iferror(xlookup($I8957, 'IMPORT VHC Report'!$E:$E, 'IMPORT VHC Report'!$A:$C), )</f>
        <v/>
      </c>
      <c r="C8957" s="44"/>
      <c r="D8957" s="44"/>
      <c r="L8957" s="45"/>
      <c r="N8957" s="45"/>
    </row>
    <row r="8958">
      <c r="A8958" s="40" t="str">
        <f t="shared" si="1"/>
        <v/>
      </c>
      <c r="B8958" s="37" t="str">
        <f t="array" ref="B8958">iferror(xlookup($I8958, 'IMPORT VHC Report'!$E:$E, 'IMPORT VHC Report'!$A:$C), )</f>
        <v/>
      </c>
      <c r="C8958" s="44"/>
      <c r="D8958" s="44"/>
      <c r="L8958" s="45"/>
      <c r="N8958" s="45"/>
    </row>
    <row r="8959">
      <c r="A8959" s="40" t="str">
        <f t="shared" si="1"/>
        <v/>
      </c>
      <c r="B8959" s="37" t="str">
        <f t="array" ref="B8959">iferror(xlookup($I8959, 'IMPORT VHC Report'!$E:$E, 'IMPORT VHC Report'!$A:$C), )</f>
        <v/>
      </c>
      <c r="C8959" s="44"/>
      <c r="D8959" s="44"/>
      <c r="L8959" s="45"/>
      <c r="N8959" s="45"/>
    </row>
    <row r="8960">
      <c r="A8960" s="40" t="str">
        <f t="shared" si="1"/>
        <v/>
      </c>
      <c r="B8960" s="37" t="str">
        <f t="array" ref="B8960">iferror(xlookup($I8960, 'IMPORT VHC Report'!$E:$E, 'IMPORT VHC Report'!$A:$C), )</f>
        <v/>
      </c>
      <c r="C8960" s="44"/>
      <c r="D8960" s="44"/>
      <c r="L8960" s="45"/>
      <c r="N8960" s="45"/>
    </row>
    <row r="8961">
      <c r="A8961" s="40" t="str">
        <f t="shared" si="1"/>
        <v/>
      </c>
      <c r="B8961" s="37" t="str">
        <f t="array" ref="B8961">iferror(xlookup($I8961, 'IMPORT VHC Report'!$E:$E, 'IMPORT VHC Report'!$A:$C), )</f>
        <v/>
      </c>
      <c r="C8961" s="44"/>
      <c r="D8961" s="44"/>
      <c r="L8961" s="45"/>
      <c r="N8961" s="45"/>
    </row>
    <row r="8962">
      <c r="A8962" s="40" t="str">
        <f t="shared" si="1"/>
        <v/>
      </c>
      <c r="B8962" s="37" t="str">
        <f t="array" ref="B8962">iferror(xlookup($I8962, 'IMPORT VHC Report'!$E:$E, 'IMPORT VHC Report'!$A:$C), )</f>
        <v/>
      </c>
      <c r="C8962" s="44"/>
      <c r="D8962" s="44"/>
      <c r="L8962" s="45"/>
      <c r="N8962" s="45"/>
    </row>
    <row r="8963">
      <c r="A8963" s="40" t="str">
        <f t="shared" si="1"/>
        <v/>
      </c>
      <c r="B8963" s="37" t="str">
        <f t="array" ref="B8963">iferror(xlookup($I8963, 'IMPORT VHC Report'!$E:$E, 'IMPORT VHC Report'!$A:$C), )</f>
        <v/>
      </c>
      <c r="C8963" s="44"/>
      <c r="D8963" s="44"/>
      <c r="L8963" s="45"/>
      <c r="N8963" s="45"/>
    </row>
    <row r="8964">
      <c r="A8964" s="40" t="str">
        <f t="shared" si="1"/>
        <v/>
      </c>
      <c r="B8964" s="37" t="str">
        <f t="array" ref="B8964">iferror(xlookup($I8964, 'IMPORT VHC Report'!$E:$E, 'IMPORT VHC Report'!$A:$C), )</f>
        <v/>
      </c>
      <c r="C8964" s="44"/>
      <c r="D8964" s="44"/>
      <c r="L8964" s="45"/>
      <c r="N8964" s="45"/>
    </row>
    <row r="8965">
      <c r="A8965" s="40" t="str">
        <f t="shared" si="1"/>
        <v/>
      </c>
      <c r="B8965" s="37" t="str">
        <f t="array" ref="B8965">iferror(xlookup($I8965, 'IMPORT VHC Report'!$E:$E, 'IMPORT VHC Report'!$A:$C), )</f>
        <v/>
      </c>
      <c r="C8965" s="44"/>
      <c r="D8965" s="44"/>
      <c r="L8965" s="45"/>
      <c r="N8965" s="45"/>
    </row>
    <row r="8966">
      <c r="A8966" s="40" t="str">
        <f t="shared" si="1"/>
        <v/>
      </c>
      <c r="B8966" s="37" t="str">
        <f t="array" ref="B8966">iferror(xlookup($I8966, 'IMPORT VHC Report'!$E:$E, 'IMPORT VHC Report'!$A:$C), )</f>
        <v/>
      </c>
      <c r="C8966" s="44"/>
      <c r="D8966" s="44"/>
      <c r="L8966" s="45"/>
      <c r="N8966" s="45"/>
    </row>
    <row r="8967">
      <c r="A8967" s="40">
        <f t="shared" si="1"/>
        <v>46006</v>
      </c>
      <c r="B8967" s="37" t="str">
        <f t="array" ref="B8967">iferror(xlookup($I8967, 'IMPORT VHC Report'!$E:$E, 'IMPORT VHC Report'!$A:$C), )</f>
        <v/>
      </c>
      <c r="C8967" s="44"/>
      <c r="D8967" s="44"/>
      <c r="E8967" s="46" t="s">
        <v>1526</v>
      </c>
      <c r="F8967" s="46" t="s">
        <v>1500</v>
      </c>
      <c r="G8967" s="46">
        <v>1.1401981374607E13</v>
      </c>
      <c r="H8967" s="46" t="s">
        <v>1501</v>
      </c>
      <c r="I8967" s="46" t="s">
        <v>1502</v>
      </c>
      <c r="J8967" s="46" t="s">
        <v>178</v>
      </c>
      <c r="K8967" s="46" t="s">
        <v>153</v>
      </c>
      <c r="L8967" s="45">
        <v>46012.916666666664</v>
      </c>
      <c r="M8967" s="46" t="s">
        <v>123</v>
      </c>
      <c r="N8967" s="45">
        <v>46013.291666666664</v>
      </c>
      <c r="O8967" s="46" t="s">
        <v>123</v>
      </c>
      <c r="P8967" s="46">
        <v>32400.0</v>
      </c>
      <c r="Q8967" s="46">
        <v>32400.0</v>
      </c>
    </row>
    <row r="8968">
      <c r="A8968" s="40" t="str">
        <f t="shared" si="1"/>
        <v/>
      </c>
      <c r="B8968" s="37" t="str">
        <f t="array" ref="B8968">iferror(xlookup($I8968, 'IMPORT VHC Report'!$E:$E, 'IMPORT VHC Report'!$A:$C), )</f>
        <v/>
      </c>
      <c r="C8968" s="44"/>
      <c r="D8968" s="44"/>
      <c r="L8968" s="45"/>
      <c r="N8968" s="45"/>
    </row>
    <row r="8969">
      <c r="A8969" s="40" t="str">
        <f t="shared" si="1"/>
        <v/>
      </c>
      <c r="B8969" s="37" t="str">
        <f t="array" ref="B8969">iferror(xlookup($I8969, 'IMPORT VHC Report'!$E:$E, 'IMPORT VHC Report'!$A:$C), )</f>
        <v/>
      </c>
      <c r="C8969" s="44"/>
      <c r="D8969" s="44"/>
      <c r="L8969" s="45"/>
      <c r="N8969" s="45"/>
    </row>
    <row r="8970">
      <c r="A8970" s="40" t="str">
        <f t="shared" si="1"/>
        <v/>
      </c>
      <c r="B8970" s="37" t="str">
        <f t="array" ref="B8970">iferror(xlookup($I8970, 'IMPORT VHC Report'!$E:$E, 'IMPORT VHC Report'!$A:$C), )</f>
        <v/>
      </c>
      <c r="C8970" s="44"/>
      <c r="D8970" s="44"/>
      <c r="L8970" s="45"/>
      <c r="N8970" s="45"/>
    </row>
    <row r="8971">
      <c r="A8971" s="40" t="str">
        <f t="shared" si="1"/>
        <v/>
      </c>
      <c r="B8971" s="37" t="str">
        <f t="array" ref="B8971">iferror(xlookup($I8971, 'IMPORT VHC Report'!$E:$E, 'IMPORT VHC Report'!$A:$C), )</f>
        <v/>
      </c>
      <c r="C8971" s="44"/>
      <c r="D8971" s="44"/>
      <c r="L8971" s="45"/>
      <c r="N8971" s="45"/>
    </row>
    <row r="8972">
      <c r="A8972" s="40" t="str">
        <f t="shared" si="1"/>
        <v/>
      </c>
      <c r="B8972" s="37" t="str">
        <f t="array" ref="B8972">iferror(xlookup($I8972, 'IMPORT VHC Report'!$E:$E, 'IMPORT VHC Report'!$A:$C), )</f>
        <v/>
      </c>
      <c r="C8972" s="44"/>
      <c r="D8972" s="44"/>
      <c r="L8972" s="45"/>
      <c r="N8972" s="45"/>
    </row>
    <row r="8973">
      <c r="A8973" s="40" t="str">
        <f t="shared" si="1"/>
        <v/>
      </c>
      <c r="B8973" s="37" t="str">
        <f t="array" ref="B8973">iferror(xlookup($I8973, 'IMPORT VHC Report'!$E:$E, 'IMPORT VHC Report'!$A:$C), )</f>
        <v/>
      </c>
      <c r="C8973" s="44"/>
      <c r="D8973" s="44"/>
      <c r="L8973" s="45"/>
      <c r="N8973" s="45"/>
    </row>
    <row r="8974">
      <c r="A8974" s="40" t="str">
        <f t="shared" si="1"/>
        <v/>
      </c>
      <c r="B8974" s="37" t="str">
        <f t="array" ref="B8974">iferror(xlookup($I8974, 'IMPORT VHC Report'!$E:$E, 'IMPORT VHC Report'!$A:$C), )</f>
        <v/>
      </c>
      <c r="C8974" s="44"/>
      <c r="D8974" s="44"/>
      <c r="L8974" s="45"/>
      <c r="N8974" s="45"/>
    </row>
    <row r="8975">
      <c r="A8975" s="40" t="str">
        <f t="shared" si="1"/>
        <v/>
      </c>
      <c r="B8975" s="37" t="str">
        <f t="array" ref="B8975">iferror(xlookup($I8975, 'IMPORT VHC Report'!$E:$E, 'IMPORT VHC Report'!$A:$C), )</f>
        <v/>
      </c>
      <c r="C8975" s="44"/>
      <c r="D8975" s="44"/>
      <c r="L8975" s="45"/>
      <c r="N8975" s="45"/>
    </row>
    <row r="8976">
      <c r="A8976" s="40" t="str">
        <f t="shared" si="1"/>
        <v/>
      </c>
      <c r="B8976" s="37" t="str">
        <f t="array" ref="B8976">iferror(xlookup($I8976, 'IMPORT VHC Report'!$E:$E, 'IMPORT VHC Report'!$A:$C), )</f>
        <v/>
      </c>
      <c r="C8976" s="44"/>
      <c r="D8976" s="44"/>
      <c r="L8976" s="45"/>
      <c r="N8976" s="45"/>
    </row>
    <row r="8977">
      <c r="A8977" s="40" t="str">
        <f t="shared" si="1"/>
        <v/>
      </c>
      <c r="B8977" s="37" t="str">
        <f t="array" ref="B8977">iferror(xlookup($I8977, 'IMPORT VHC Report'!$E:$E, 'IMPORT VHC Report'!$A:$C), )</f>
        <v/>
      </c>
      <c r="C8977" s="44"/>
      <c r="D8977" s="44"/>
      <c r="L8977" s="45"/>
      <c r="N8977" s="45"/>
    </row>
    <row r="8978">
      <c r="A8978" s="40" t="str">
        <f t="shared" si="1"/>
        <v/>
      </c>
      <c r="B8978" s="37" t="str">
        <f t="array" ref="B8978">iferror(xlookup($I8978, 'IMPORT VHC Report'!$E:$E, 'IMPORT VHC Report'!$A:$C), )</f>
        <v/>
      </c>
      <c r="C8978" s="44"/>
      <c r="D8978" s="44"/>
      <c r="L8978" s="45"/>
      <c r="N8978" s="45"/>
    </row>
    <row r="8979">
      <c r="A8979" s="40" t="str">
        <f t="shared" si="1"/>
        <v/>
      </c>
      <c r="B8979" s="37" t="str">
        <f t="array" ref="B8979">iferror(xlookup($I8979, 'IMPORT VHC Report'!$E:$E, 'IMPORT VHC Report'!$A:$C), )</f>
        <v/>
      </c>
      <c r="C8979" s="44"/>
      <c r="D8979" s="44"/>
      <c r="L8979" s="45"/>
      <c r="N8979" s="45"/>
    </row>
    <row r="8980">
      <c r="A8980" s="40" t="str">
        <f t="shared" si="1"/>
        <v/>
      </c>
      <c r="B8980" s="37" t="str">
        <f t="array" ref="B8980">iferror(xlookup($I8980, 'IMPORT VHC Report'!$E:$E, 'IMPORT VHC Report'!$A:$C), )</f>
        <v/>
      </c>
      <c r="C8980" s="44"/>
      <c r="D8980" s="44"/>
      <c r="L8980" s="45"/>
      <c r="N8980" s="45"/>
    </row>
    <row r="8981">
      <c r="A8981" s="40" t="str">
        <f t="shared" si="1"/>
        <v/>
      </c>
      <c r="B8981" s="37" t="str">
        <f t="array" ref="B8981">iferror(xlookup($I8981, 'IMPORT VHC Report'!$E:$E, 'IMPORT VHC Report'!$A:$C), )</f>
        <v/>
      </c>
      <c r="C8981" s="44"/>
      <c r="D8981" s="44"/>
      <c r="L8981" s="45"/>
      <c r="N8981" s="45"/>
    </row>
    <row r="8982">
      <c r="A8982" s="40" t="str">
        <f t="shared" si="1"/>
        <v/>
      </c>
      <c r="B8982" s="37" t="str">
        <f t="array" ref="B8982">iferror(xlookup($I8982, 'IMPORT VHC Report'!$E:$E, 'IMPORT VHC Report'!$A:$C), )</f>
        <v/>
      </c>
      <c r="C8982" s="44"/>
      <c r="D8982" s="44"/>
      <c r="L8982" s="45"/>
      <c r="N8982" s="45"/>
    </row>
    <row r="8983">
      <c r="A8983" s="40" t="str">
        <f t="shared" si="1"/>
        <v/>
      </c>
      <c r="B8983" s="37" t="str">
        <f t="array" ref="B8983">iferror(xlookup($I8983, 'IMPORT VHC Report'!$E:$E, 'IMPORT VHC Report'!$A:$C), )</f>
        <v/>
      </c>
      <c r="C8983" s="44"/>
      <c r="D8983" s="44"/>
      <c r="L8983" s="45"/>
      <c r="N8983" s="45"/>
    </row>
    <row r="8984">
      <c r="A8984" s="40" t="str">
        <f t="shared" si="1"/>
        <v/>
      </c>
      <c r="B8984" s="37" t="str">
        <f t="array" ref="B8984">iferror(xlookup($I8984, 'IMPORT VHC Report'!$E:$E, 'IMPORT VHC Report'!$A:$C), )</f>
        <v/>
      </c>
      <c r="C8984" s="44"/>
      <c r="D8984" s="44"/>
      <c r="L8984" s="45"/>
      <c r="N8984" s="45"/>
    </row>
    <row r="8985">
      <c r="A8985" s="40" t="str">
        <f t="shared" si="1"/>
        <v/>
      </c>
      <c r="B8985" s="37" t="str">
        <f t="array" ref="B8985">iferror(xlookup($I8985, 'IMPORT VHC Report'!$E:$E, 'IMPORT VHC Report'!$A:$C), )</f>
        <v/>
      </c>
      <c r="C8985" s="44"/>
      <c r="D8985" s="44"/>
      <c r="L8985" s="45"/>
      <c r="N8985" s="45"/>
    </row>
    <row r="8986">
      <c r="A8986" s="40" t="str">
        <f t="shared" si="1"/>
        <v/>
      </c>
      <c r="B8986" s="37" t="str">
        <f t="array" ref="B8986">iferror(xlookup($I8986, 'IMPORT VHC Report'!$E:$E, 'IMPORT VHC Report'!$A:$C), )</f>
        <v/>
      </c>
      <c r="C8986" s="44"/>
      <c r="D8986" s="44"/>
      <c r="L8986" s="45"/>
      <c r="N8986" s="45"/>
    </row>
    <row r="8987">
      <c r="A8987" s="40" t="str">
        <f t="shared" si="1"/>
        <v/>
      </c>
      <c r="B8987" s="37" t="str">
        <f t="array" ref="B8987">iferror(xlookup($I8987, 'IMPORT VHC Report'!$E:$E, 'IMPORT VHC Report'!$A:$C), )</f>
        <v/>
      </c>
      <c r="C8987" s="44"/>
      <c r="D8987" s="44"/>
      <c r="L8987" s="45"/>
      <c r="N8987" s="45"/>
    </row>
    <row r="8988">
      <c r="A8988" s="40" t="str">
        <f t="shared" si="1"/>
        <v/>
      </c>
      <c r="B8988" s="37" t="str">
        <f t="array" ref="B8988">iferror(xlookup($I8988, 'IMPORT VHC Report'!$E:$E, 'IMPORT VHC Report'!$A:$C), )</f>
        <v/>
      </c>
      <c r="C8988" s="44"/>
      <c r="D8988" s="44"/>
      <c r="L8988" s="45"/>
      <c r="N8988" s="45"/>
    </row>
    <row r="8989">
      <c r="A8989" s="40" t="str">
        <f t="shared" si="1"/>
        <v/>
      </c>
      <c r="B8989" s="37" t="str">
        <f t="array" ref="B8989">iferror(xlookup($I8989, 'IMPORT VHC Report'!$E:$E, 'IMPORT VHC Report'!$A:$C), )</f>
        <v/>
      </c>
      <c r="C8989" s="44"/>
      <c r="D8989" s="44"/>
      <c r="L8989" s="45"/>
      <c r="N8989" s="45"/>
    </row>
    <row r="8990">
      <c r="A8990" s="40" t="str">
        <f t="shared" si="1"/>
        <v/>
      </c>
      <c r="B8990" s="37" t="str">
        <f t="array" ref="B8990">iferror(xlookup($I8990, 'IMPORT VHC Report'!$E:$E, 'IMPORT VHC Report'!$A:$C), )</f>
        <v/>
      </c>
      <c r="C8990" s="44"/>
      <c r="D8990" s="44"/>
      <c r="L8990" s="45"/>
      <c r="N8990" s="45"/>
    </row>
    <row r="8991">
      <c r="A8991" s="40" t="str">
        <f t="shared" si="1"/>
        <v/>
      </c>
      <c r="B8991" s="37" t="str">
        <f t="array" ref="B8991">iferror(xlookup($I8991, 'IMPORT VHC Report'!$E:$E, 'IMPORT VHC Report'!$A:$C), )</f>
        <v/>
      </c>
      <c r="C8991" s="44"/>
      <c r="D8991" s="44"/>
      <c r="L8991" s="45"/>
      <c r="N8991" s="45"/>
    </row>
    <row r="8992">
      <c r="A8992" s="40" t="str">
        <f t="shared" si="1"/>
        <v/>
      </c>
      <c r="B8992" s="37" t="str">
        <f t="array" ref="B8992">iferror(xlookup($I8992, 'IMPORT VHC Report'!$E:$E, 'IMPORT VHC Report'!$A:$C), )</f>
        <v/>
      </c>
      <c r="C8992" s="44"/>
      <c r="D8992" s="44"/>
      <c r="L8992" s="45"/>
      <c r="N8992" s="45"/>
    </row>
    <row r="8993">
      <c r="A8993" s="40">
        <f t="shared" si="1"/>
        <v>46006</v>
      </c>
      <c r="B8993" s="37" t="str">
        <f t="array" ref="B8993">iferror(xlookup($I8993, 'IMPORT VHC Report'!$E:$E, 'IMPORT VHC Report'!$A:$C), )</f>
        <v/>
      </c>
      <c r="C8993" s="44"/>
      <c r="D8993" s="44"/>
      <c r="E8993" s="46" t="s">
        <v>625</v>
      </c>
      <c r="F8993" s="46" t="s">
        <v>591</v>
      </c>
      <c r="G8993" s="46">
        <v>8.303581036047E12</v>
      </c>
      <c r="H8993" s="46" t="s">
        <v>592</v>
      </c>
      <c r="I8993" s="46" t="s">
        <v>593</v>
      </c>
      <c r="J8993" s="46" t="s">
        <v>196</v>
      </c>
      <c r="K8993" s="46" t="s">
        <v>63</v>
      </c>
      <c r="L8993" s="45">
        <v>46012.989583333336</v>
      </c>
      <c r="M8993" s="46" t="s">
        <v>123</v>
      </c>
      <c r="N8993" s="45">
        <v>46013.25</v>
      </c>
      <c r="O8993" s="46" t="s">
        <v>123</v>
      </c>
      <c r="P8993" s="46">
        <v>22500.0</v>
      </c>
    </row>
    <row r="8994">
      <c r="A8994" s="40" t="str">
        <f t="shared" si="1"/>
        <v/>
      </c>
      <c r="B8994" s="37" t="str">
        <f t="array" ref="B8994">iferror(xlookup($I8994, 'IMPORT VHC Report'!$E:$E, 'IMPORT VHC Report'!$A:$C), )</f>
        <v/>
      </c>
      <c r="C8994" s="44"/>
      <c r="D8994" s="44"/>
      <c r="L8994" s="45"/>
      <c r="N8994" s="45"/>
    </row>
    <row r="8995">
      <c r="A8995" s="40" t="str">
        <f t="shared" si="1"/>
        <v/>
      </c>
      <c r="B8995" s="37" t="str">
        <f t="array" ref="B8995">iferror(xlookup($I8995, 'IMPORT VHC Report'!$E:$E, 'IMPORT VHC Report'!$A:$C), )</f>
        <v/>
      </c>
      <c r="C8995" s="44"/>
      <c r="D8995" s="44"/>
      <c r="L8995" s="45"/>
      <c r="N8995" s="45"/>
    </row>
    <row r="8996">
      <c r="A8996" s="40" t="str">
        <f t="shared" si="1"/>
        <v/>
      </c>
      <c r="B8996" s="37" t="str">
        <f t="array" ref="B8996">iferror(xlookup($I8996, 'IMPORT VHC Report'!$E:$E, 'IMPORT VHC Report'!$A:$C), )</f>
        <v/>
      </c>
      <c r="C8996" s="44"/>
      <c r="D8996" s="44"/>
      <c r="L8996" s="45"/>
      <c r="N8996" s="45"/>
    </row>
    <row r="8997">
      <c r="A8997" s="40" t="str">
        <f t="shared" si="1"/>
        <v/>
      </c>
      <c r="B8997" s="37" t="str">
        <f t="array" ref="B8997">iferror(xlookup($I8997, 'IMPORT VHC Report'!$E:$E, 'IMPORT VHC Report'!$A:$C), )</f>
        <v/>
      </c>
      <c r="C8997" s="44"/>
      <c r="D8997" s="44"/>
      <c r="L8997" s="45"/>
      <c r="N8997" s="45"/>
    </row>
    <row r="8998">
      <c r="A8998" s="40" t="str">
        <f t="shared" si="1"/>
        <v/>
      </c>
      <c r="B8998" s="37" t="str">
        <f t="array" ref="B8998">iferror(xlookup($I8998, 'IMPORT VHC Report'!$E:$E, 'IMPORT VHC Report'!$A:$C), )</f>
        <v/>
      </c>
      <c r="C8998" s="44"/>
      <c r="D8998" s="44"/>
      <c r="L8998" s="45"/>
      <c r="N8998" s="45"/>
    </row>
    <row r="8999">
      <c r="A8999" s="40" t="str">
        <f t="shared" si="1"/>
        <v/>
      </c>
      <c r="B8999" s="37" t="str">
        <f t="array" ref="B8999">iferror(xlookup($I8999, 'IMPORT VHC Report'!$E:$E, 'IMPORT VHC Report'!$A:$C), )</f>
        <v/>
      </c>
      <c r="C8999" s="44"/>
      <c r="D8999" s="44"/>
      <c r="L8999" s="45"/>
      <c r="N8999" s="45"/>
    </row>
    <row r="9000">
      <c r="A9000" s="40" t="str">
        <f t="shared" si="1"/>
        <v/>
      </c>
      <c r="B9000" s="37" t="str">
        <f t="array" ref="B9000">iferror(xlookup($I9000, 'IMPORT VHC Report'!$E:$E, 'IMPORT VHC Report'!$A:$C), )</f>
        <v/>
      </c>
      <c r="C9000" s="44"/>
      <c r="D9000" s="44"/>
      <c r="L9000" s="45"/>
      <c r="N9000" s="45"/>
    </row>
    <row r="9001">
      <c r="A9001" s="40" t="str">
        <f t="shared" si="1"/>
        <v/>
      </c>
      <c r="B9001" s="37" t="str">
        <f t="array" ref="B9001">iferror(xlookup($I9001, 'IMPORT VHC Report'!$E:$E, 'IMPORT VHC Report'!$A:$C), )</f>
        <v/>
      </c>
      <c r="C9001" s="44"/>
      <c r="D9001" s="44"/>
      <c r="L9001" s="45"/>
      <c r="N9001" s="45"/>
    </row>
    <row r="9002">
      <c r="A9002" s="40" t="str">
        <f t="shared" si="1"/>
        <v/>
      </c>
      <c r="B9002" s="37" t="str">
        <f t="array" ref="B9002">iferror(xlookup($I9002, 'IMPORT VHC Report'!$E:$E, 'IMPORT VHC Report'!$A:$C), )</f>
        <v/>
      </c>
      <c r="C9002" s="44"/>
      <c r="D9002" s="44"/>
      <c r="L9002" s="45"/>
      <c r="N9002" s="45"/>
    </row>
    <row r="9003">
      <c r="A9003" s="40" t="str">
        <f t="shared" si="1"/>
        <v/>
      </c>
      <c r="B9003" s="37" t="str">
        <f t="array" ref="B9003">iferror(xlookup($I9003, 'IMPORT VHC Report'!$E:$E, 'IMPORT VHC Report'!$A:$C), )</f>
        <v/>
      </c>
      <c r="C9003" s="44"/>
      <c r="D9003" s="44"/>
      <c r="L9003" s="45"/>
      <c r="N9003" s="45"/>
    </row>
    <row r="9004">
      <c r="A9004" s="40" t="str">
        <f t="shared" si="1"/>
        <v/>
      </c>
      <c r="B9004" s="37" t="str">
        <f t="array" ref="B9004">iferror(xlookup($I9004, 'IMPORT VHC Report'!$E:$E, 'IMPORT VHC Report'!$A:$C), )</f>
        <v/>
      </c>
      <c r="C9004" s="44"/>
      <c r="D9004" s="44"/>
      <c r="L9004" s="45"/>
      <c r="N9004" s="45"/>
    </row>
    <row r="9005">
      <c r="A9005" s="40" t="str">
        <f t="shared" si="1"/>
        <v/>
      </c>
      <c r="B9005" s="37" t="str">
        <f t="array" ref="B9005">iferror(xlookup($I9005, 'IMPORT VHC Report'!$E:$E, 'IMPORT VHC Report'!$A:$C), )</f>
        <v/>
      </c>
      <c r="C9005" s="44"/>
      <c r="D9005" s="44"/>
      <c r="L9005" s="45"/>
      <c r="N9005" s="45"/>
    </row>
    <row r="9006">
      <c r="A9006" s="40" t="str">
        <f t="shared" si="1"/>
        <v/>
      </c>
      <c r="B9006" s="37" t="str">
        <f t="array" ref="B9006">iferror(xlookup($I9006, 'IMPORT VHC Report'!$E:$E, 'IMPORT VHC Report'!$A:$C), )</f>
        <v/>
      </c>
      <c r="C9006" s="44"/>
      <c r="D9006" s="44"/>
      <c r="L9006" s="45"/>
      <c r="N9006" s="45"/>
    </row>
    <row r="9007">
      <c r="A9007" s="40" t="str">
        <f t="shared" si="1"/>
        <v/>
      </c>
      <c r="B9007" s="37" t="str">
        <f t="array" ref="B9007">iferror(xlookup($I9007, 'IMPORT VHC Report'!$E:$E, 'IMPORT VHC Report'!$A:$C), )</f>
        <v/>
      </c>
      <c r="C9007" s="44"/>
      <c r="D9007" s="44"/>
      <c r="L9007" s="45"/>
      <c r="N9007" s="45"/>
    </row>
    <row r="9008">
      <c r="A9008" s="40" t="str">
        <f t="shared" si="1"/>
        <v/>
      </c>
      <c r="B9008" s="37" t="str">
        <f t="array" ref="B9008">iferror(xlookup($I9008, 'IMPORT VHC Report'!$E:$E, 'IMPORT VHC Report'!$A:$C), )</f>
        <v/>
      </c>
      <c r="C9008" s="44"/>
      <c r="D9008" s="44"/>
      <c r="L9008" s="45"/>
      <c r="N9008" s="45"/>
    </row>
    <row r="9009">
      <c r="A9009" s="40" t="str">
        <f t="shared" si="1"/>
        <v/>
      </c>
      <c r="B9009" s="37" t="str">
        <f t="array" ref="B9009">iferror(xlookup($I9009, 'IMPORT VHC Report'!$E:$E, 'IMPORT VHC Report'!$A:$C), )</f>
        <v/>
      </c>
      <c r="C9009" s="44"/>
      <c r="D9009" s="44"/>
      <c r="L9009" s="45"/>
      <c r="N9009" s="45"/>
    </row>
    <row r="9010">
      <c r="A9010" s="40" t="str">
        <f t="shared" si="1"/>
        <v/>
      </c>
      <c r="B9010" s="37" t="str">
        <f t="array" ref="B9010">iferror(xlookup($I9010, 'IMPORT VHC Report'!$E:$E, 'IMPORT VHC Report'!$A:$C), )</f>
        <v/>
      </c>
      <c r="C9010" s="44"/>
      <c r="D9010" s="44"/>
      <c r="L9010" s="45"/>
      <c r="N9010" s="45"/>
    </row>
    <row r="9011">
      <c r="A9011" s="40" t="str">
        <f t="shared" si="1"/>
        <v/>
      </c>
      <c r="B9011" s="37" t="str">
        <f t="array" ref="B9011">iferror(xlookup($I9011, 'IMPORT VHC Report'!$E:$E, 'IMPORT VHC Report'!$A:$C), )</f>
        <v/>
      </c>
      <c r="C9011" s="44"/>
      <c r="D9011" s="44"/>
      <c r="L9011" s="45"/>
      <c r="N9011" s="45"/>
    </row>
    <row r="9012">
      <c r="A9012" s="40" t="str">
        <f t="shared" si="1"/>
        <v/>
      </c>
      <c r="B9012" s="37" t="str">
        <f t="array" ref="B9012">iferror(xlookup($I9012, 'IMPORT VHC Report'!$E:$E, 'IMPORT VHC Report'!$A:$C), )</f>
        <v/>
      </c>
      <c r="C9012" s="44"/>
      <c r="D9012" s="44"/>
      <c r="L9012" s="45"/>
      <c r="N9012" s="45"/>
    </row>
    <row r="9013">
      <c r="A9013" s="40" t="str">
        <f t="shared" si="1"/>
        <v/>
      </c>
      <c r="B9013" s="37" t="str">
        <f t="array" ref="B9013">iferror(xlookup($I9013, 'IMPORT VHC Report'!$E:$E, 'IMPORT VHC Report'!$A:$C), )</f>
        <v/>
      </c>
      <c r="C9013" s="44"/>
      <c r="D9013" s="44"/>
      <c r="L9013" s="45"/>
      <c r="N9013" s="45"/>
    </row>
    <row r="9014">
      <c r="A9014" s="40" t="str">
        <f t="shared" si="1"/>
        <v/>
      </c>
      <c r="B9014" s="37" t="str">
        <f t="array" ref="B9014">iferror(xlookup($I9014, 'IMPORT VHC Report'!$E:$E, 'IMPORT VHC Report'!$A:$C), )</f>
        <v/>
      </c>
      <c r="C9014" s="44"/>
      <c r="D9014" s="44"/>
      <c r="L9014" s="45"/>
      <c r="N9014" s="45"/>
    </row>
    <row r="9015">
      <c r="A9015" s="40" t="str">
        <f t="shared" si="1"/>
        <v/>
      </c>
      <c r="B9015" s="37" t="str">
        <f t="array" ref="B9015">iferror(xlookup($I9015, 'IMPORT VHC Report'!$E:$E, 'IMPORT VHC Report'!$A:$C), )</f>
        <v/>
      </c>
      <c r="C9015" s="44"/>
      <c r="D9015" s="44"/>
      <c r="L9015" s="45"/>
      <c r="N9015" s="45"/>
    </row>
    <row r="9016">
      <c r="A9016" s="40" t="str">
        <f t="shared" si="1"/>
        <v/>
      </c>
      <c r="B9016" s="37" t="str">
        <f t="array" ref="B9016">iferror(xlookup($I9016, 'IMPORT VHC Report'!$E:$E, 'IMPORT VHC Report'!$A:$C), )</f>
        <v/>
      </c>
      <c r="C9016" s="44"/>
      <c r="D9016" s="44"/>
      <c r="L9016" s="45"/>
      <c r="N9016" s="45"/>
    </row>
    <row r="9017">
      <c r="A9017" s="40" t="str">
        <f t="shared" si="1"/>
        <v/>
      </c>
      <c r="B9017" s="37" t="str">
        <f t="array" ref="B9017">iferror(xlookup($I9017, 'IMPORT VHC Report'!$E:$E, 'IMPORT VHC Report'!$A:$C), )</f>
        <v/>
      </c>
      <c r="C9017" s="44"/>
      <c r="D9017" s="44"/>
      <c r="L9017" s="45"/>
      <c r="N9017" s="45"/>
    </row>
    <row r="9018">
      <c r="A9018" s="40" t="str">
        <f t="shared" si="1"/>
        <v/>
      </c>
      <c r="B9018" s="37" t="str">
        <f t="array" ref="B9018">iferror(xlookup($I9018, 'IMPORT VHC Report'!$E:$E, 'IMPORT VHC Report'!$A:$C), )</f>
        <v/>
      </c>
      <c r="C9018" s="44"/>
      <c r="D9018" s="44"/>
      <c r="L9018" s="45"/>
      <c r="N9018" s="45"/>
    </row>
    <row r="9019">
      <c r="A9019" s="40" t="str">
        <f t="shared" si="1"/>
        <v/>
      </c>
      <c r="B9019" s="37" t="str">
        <f t="array" ref="B9019">iferror(xlookup($I9019, 'IMPORT VHC Report'!$E:$E, 'IMPORT VHC Report'!$A:$C), )</f>
        <v/>
      </c>
      <c r="C9019" s="44"/>
      <c r="D9019" s="44"/>
      <c r="L9019" s="45"/>
      <c r="N9019" s="45"/>
    </row>
    <row r="9020">
      <c r="A9020" s="40" t="str">
        <f t="shared" si="1"/>
        <v/>
      </c>
      <c r="B9020" s="37" t="str">
        <f t="array" ref="B9020">iferror(xlookup($I9020, 'IMPORT VHC Report'!$E:$E, 'IMPORT VHC Report'!$A:$C), )</f>
        <v/>
      </c>
      <c r="C9020" s="44"/>
      <c r="D9020" s="44"/>
      <c r="L9020" s="45"/>
      <c r="N9020" s="45"/>
    </row>
    <row r="9021">
      <c r="A9021" s="40" t="str">
        <f t="shared" si="1"/>
        <v/>
      </c>
      <c r="B9021" s="37" t="str">
        <f t="array" ref="B9021">iferror(xlookup($I9021, 'IMPORT VHC Report'!$E:$E, 'IMPORT VHC Report'!$A:$C), )</f>
        <v/>
      </c>
      <c r="C9021" s="44"/>
      <c r="D9021" s="44"/>
      <c r="L9021" s="45"/>
      <c r="N9021" s="45"/>
    </row>
    <row r="9022">
      <c r="A9022" s="40" t="str">
        <f t="shared" si="1"/>
        <v/>
      </c>
      <c r="B9022" s="37" t="str">
        <f t="array" ref="B9022">iferror(xlookup($I9022, 'IMPORT VHC Report'!$E:$E, 'IMPORT VHC Report'!$A:$C), )</f>
        <v/>
      </c>
      <c r="C9022" s="44"/>
      <c r="D9022" s="44"/>
      <c r="L9022" s="45"/>
      <c r="N9022" s="45"/>
    </row>
    <row r="9023">
      <c r="A9023" s="40" t="str">
        <f t="shared" si="1"/>
        <v/>
      </c>
      <c r="B9023" s="37" t="str">
        <f t="array" ref="B9023">iferror(xlookup($I9023, 'IMPORT VHC Report'!$E:$E, 'IMPORT VHC Report'!$A:$C), )</f>
        <v/>
      </c>
      <c r="C9023" s="44"/>
      <c r="D9023" s="44"/>
      <c r="L9023" s="45"/>
      <c r="N9023" s="45"/>
    </row>
    <row r="9024">
      <c r="A9024" s="40" t="str">
        <f t="shared" si="1"/>
        <v/>
      </c>
      <c r="B9024" s="37" t="str">
        <f t="array" ref="B9024">iferror(xlookup($I9024, 'IMPORT VHC Report'!$E:$E, 'IMPORT VHC Report'!$A:$C), )</f>
        <v/>
      </c>
      <c r="C9024" s="44"/>
      <c r="D9024" s="44"/>
      <c r="L9024" s="45"/>
      <c r="N9024" s="45"/>
    </row>
    <row r="9025">
      <c r="A9025" s="40" t="str">
        <f t="shared" si="1"/>
        <v/>
      </c>
      <c r="B9025" s="37" t="str">
        <f t="array" ref="B9025">iferror(xlookup($I9025, 'IMPORT VHC Report'!$E:$E, 'IMPORT VHC Report'!$A:$C), )</f>
        <v/>
      </c>
      <c r="C9025" s="44"/>
      <c r="D9025" s="44"/>
      <c r="L9025" s="45"/>
      <c r="N9025" s="45"/>
    </row>
    <row r="9026">
      <c r="A9026" s="40" t="str">
        <f t="shared" si="1"/>
        <v/>
      </c>
      <c r="B9026" s="37" t="str">
        <f t="array" ref="B9026">iferror(xlookup($I9026, 'IMPORT VHC Report'!$E:$E, 'IMPORT VHC Report'!$A:$C), )</f>
        <v/>
      </c>
      <c r="C9026" s="44"/>
      <c r="D9026" s="44"/>
      <c r="L9026" s="45"/>
      <c r="N9026" s="45"/>
    </row>
    <row r="9027">
      <c r="A9027" s="40" t="str">
        <f t="shared" si="1"/>
        <v/>
      </c>
      <c r="B9027" s="37" t="str">
        <f t="array" ref="B9027">iferror(xlookup($I9027, 'IMPORT VHC Report'!$E:$E, 'IMPORT VHC Report'!$A:$C), )</f>
        <v/>
      </c>
      <c r="C9027" s="44"/>
      <c r="D9027" s="44"/>
      <c r="L9027" s="45"/>
      <c r="N9027" s="45"/>
    </row>
    <row r="9028">
      <c r="A9028" s="40" t="str">
        <f t="shared" si="1"/>
        <v/>
      </c>
      <c r="B9028" s="37" t="str">
        <f t="array" ref="B9028">iferror(xlookup($I9028, 'IMPORT VHC Report'!$E:$E, 'IMPORT VHC Report'!$A:$C), )</f>
        <v/>
      </c>
      <c r="C9028" s="44"/>
      <c r="D9028" s="44"/>
      <c r="L9028" s="45"/>
      <c r="N9028" s="45"/>
    </row>
    <row r="9029">
      <c r="A9029" s="40" t="str">
        <f t="shared" si="1"/>
        <v/>
      </c>
      <c r="B9029" s="37" t="str">
        <f t="array" ref="B9029">iferror(xlookup($I9029, 'IMPORT VHC Report'!$E:$E, 'IMPORT VHC Report'!$A:$C), )</f>
        <v/>
      </c>
      <c r="C9029" s="44"/>
      <c r="D9029" s="44"/>
      <c r="L9029" s="45"/>
      <c r="N9029" s="45"/>
    </row>
    <row r="9030">
      <c r="A9030" s="40" t="str">
        <f t="shared" si="1"/>
        <v/>
      </c>
      <c r="B9030" s="37" t="str">
        <f t="array" ref="B9030">iferror(xlookup($I9030, 'IMPORT VHC Report'!$E:$E, 'IMPORT VHC Report'!$A:$C), )</f>
        <v/>
      </c>
      <c r="C9030" s="44"/>
      <c r="D9030" s="44"/>
      <c r="L9030" s="45"/>
      <c r="N9030" s="45"/>
    </row>
    <row r="9031">
      <c r="A9031" s="40" t="str">
        <f t="shared" si="1"/>
        <v/>
      </c>
      <c r="B9031" s="37" t="str">
        <f t="array" ref="B9031">iferror(xlookup($I9031, 'IMPORT VHC Report'!$E:$E, 'IMPORT VHC Report'!$A:$C), )</f>
        <v/>
      </c>
      <c r="C9031" s="44"/>
      <c r="D9031" s="44"/>
      <c r="L9031" s="45"/>
      <c r="N9031" s="45"/>
    </row>
    <row r="9032">
      <c r="A9032" s="40" t="str">
        <f t="shared" si="1"/>
        <v/>
      </c>
      <c r="B9032" s="37" t="str">
        <f t="array" ref="B9032">iferror(xlookup($I9032, 'IMPORT VHC Report'!$E:$E, 'IMPORT VHC Report'!$A:$C), )</f>
        <v/>
      </c>
      <c r="C9032" s="44"/>
      <c r="D9032" s="44"/>
      <c r="L9032" s="45"/>
      <c r="N9032" s="45"/>
    </row>
    <row r="9033">
      <c r="A9033" s="40" t="str">
        <f t="shared" si="1"/>
        <v/>
      </c>
      <c r="B9033" s="37" t="str">
        <f t="array" ref="B9033">iferror(xlookup($I9033, 'IMPORT VHC Report'!$E:$E, 'IMPORT VHC Report'!$A:$C), )</f>
        <v/>
      </c>
      <c r="C9033" s="44"/>
      <c r="D9033" s="44"/>
      <c r="L9033" s="45"/>
      <c r="N9033" s="45"/>
    </row>
    <row r="9034">
      <c r="A9034" s="40" t="str">
        <f t="shared" si="1"/>
        <v/>
      </c>
      <c r="B9034" s="37" t="str">
        <f t="array" ref="B9034">iferror(xlookup($I9034, 'IMPORT VHC Report'!$E:$E, 'IMPORT VHC Report'!$A:$C), )</f>
        <v/>
      </c>
      <c r="C9034" s="44"/>
      <c r="D9034" s="44"/>
      <c r="L9034" s="45"/>
      <c r="N9034" s="45"/>
    </row>
    <row r="9035">
      <c r="A9035" s="40" t="str">
        <f t="shared" si="1"/>
        <v/>
      </c>
      <c r="B9035" s="37" t="str">
        <f t="array" ref="B9035">iferror(xlookup($I9035, 'IMPORT VHC Report'!$E:$E, 'IMPORT VHC Report'!$A:$C), )</f>
        <v/>
      </c>
      <c r="C9035" s="44"/>
      <c r="D9035" s="44"/>
      <c r="L9035" s="45"/>
      <c r="N9035" s="45"/>
    </row>
    <row r="9036">
      <c r="A9036" s="40" t="str">
        <f t="shared" si="1"/>
        <v/>
      </c>
      <c r="B9036" s="37" t="str">
        <f t="array" ref="B9036">iferror(xlookup($I9036, 'IMPORT VHC Report'!$E:$E, 'IMPORT VHC Report'!$A:$C), )</f>
        <v/>
      </c>
      <c r="C9036" s="44"/>
      <c r="D9036" s="44"/>
      <c r="L9036" s="45"/>
      <c r="N9036" s="45"/>
    </row>
    <row r="9037">
      <c r="A9037" s="40" t="str">
        <f t="shared" si="1"/>
        <v/>
      </c>
      <c r="B9037" s="37" t="str">
        <f t="array" ref="B9037">iferror(xlookup($I9037, 'IMPORT VHC Report'!$E:$E, 'IMPORT VHC Report'!$A:$C), )</f>
        <v/>
      </c>
      <c r="C9037" s="44"/>
      <c r="D9037" s="44"/>
      <c r="L9037" s="45"/>
      <c r="N9037" s="45"/>
    </row>
    <row r="9038">
      <c r="A9038" s="40" t="str">
        <f t="shared" si="1"/>
        <v/>
      </c>
      <c r="B9038" s="37" t="str">
        <f t="array" ref="B9038">iferror(xlookup($I9038, 'IMPORT VHC Report'!$E:$E, 'IMPORT VHC Report'!$A:$C), )</f>
        <v/>
      </c>
      <c r="C9038" s="44"/>
      <c r="D9038" s="44"/>
      <c r="L9038" s="45"/>
      <c r="N9038" s="45"/>
    </row>
    <row r="9039">
      <c r="A9039" s="40" t="str">
        <f t="shared" si="1"/>
        <v/>
      </c>
      <c r="B9039" s="37" t="str">
        <f t="array" ref="B9039">iferror(xlookup($I9039, 'IMPORT VHC Report'!$E:$E, 'IMPORT VHC Report'!$A:$C), )</f>
        <v/>
      </c>
      <c r="C9039" s="44"/>
      <c r="D9039" s="44"/>
      <c r="L9039" s="45"/>
      <c r="N9039" s="45"/>
    </row>
    <row r="9040">
      <c r="A9040" s="40" t="str">
        <f t="shared" si="1"/>
        <v/>
      </c>
      <c r="B9040" s="37" t="str">
        <f t="array" ref="B9040">iferror(xlookup($I9040, 'IMPORT VHC Report'!$E:$E, 'IMPORT VHC Report'!$A:$C), )</f>
        <v/>
      </c>
      <c r="C9040" s="44"/>
      <c r="D9040" s="44"/>
      <c r="L9040" s="45"/>
      <c r="N9040" s="45"/>
    </row>
    <row r="9041">
      <c r="A9041" s="40" t="str">
        <f t="shared" si="1"/>
        <v/>
      </c>
      <c r="B9041" s="37" t="str">
        <f t="array" ref="B9041">iferror(xlookup($I9041, 'IMPORT VHC Report'!$E:$E, 'IMPORT VHC Report'!$A:$C), )</f>
        <v/>
      </c>
      <c r="C9041" s="44"/>
      <c r="D9041" s="44"/>
      <c r="L9041" s="45"/>
      <c r="N9041" s="45"/>
    </row>
    <row r="9042">
      <c r="A9042" s="40" t="str">
        <f t="shared" si="1"/>
        <v/>
      </c>
      <c r="B9042" s="37" t="str">
        <f t="array" ref="B9042">iferror(xlookup($I9042, 'IMPORT VHC Report'!$E:$E, 'IMPORT VHC Report'!$A:$C), )</f>
        <v/>
      </c>
      <c r="C9042" s="44"/>
      <c r="D9042" s="44"/>
      <c r="L9042" s="45"/>
      <c r="N9042" s="45"/>
    </row>
    <row r="9043">
      <c r="A9043" s="40" t="str">
        <f t="shared" si="1"/>
        <v/>
      </c>
      <c r="B9043" s="37" t="str">
        <f t="array" ref="B9043">iferror(xlookup($I9043, 'IMPORT VHC Report'!$E:$E, 'IMPORT VHC Report'!$A:$C), )</f>
        <v/>
      </c>
      <c r="C9043" s="44"/>
      <c r="D9043" s="44"/>
      <c r="L9043" s="45"/>
      <c r="N9043" s="45"/>
    </row>
    <row r="9044">
      <c r="A9044" s="40" t="str">
        <f t="shared" si="1"/>
        <v/>
      </c>
      <c r="B9044" s="37" t="str">
        <f t="array" ref="B9044">iferror(xlookup($I9044, 'IMPORT VHC Report'!$E:$E, 'IMPORT VHC Report'!$A:$C), )</f>
        <v/>
      </c>
      <c r="C9044" s="44"/>
      <c r="D9044" s="44"/>
      <c r="L9044" s="45"/>
      <c r="N9044" s="45"/>
    </row>
    <row r="9045">
      <c r="A9045" s="40" t="str">
        <f t="shared" si="1"/>
        <v/>
      </c>
      <c r="B9045" s="37" t="str">
        <f t="array" ref="B9045">iferror(xlookup($I9045, 'IMPORT VHC Report'!$E:$E, 'IMPORT VHC Report'!$A:$C), )</f>
        <v/>
      </c>
      <c r="C9045" s="44"/>
      <c r="D9045" s="44"/>
      <c r="L9045" s="45"/>
      <c r="N9045" s="45"/>
    </row>
    <row r="9046">
      <c r="A9046" s="40" t="str">
        <f t="shared" si="1"/>
        <v/>
      </c>
      <c r="B9046" s="37" t="str">
        <f t="array" ref="B9046">iferror(xlookup($I9046, 'IMPORT VHC Report'!$E:$E, 'IMPORT VHC Report'!$A:$C), )</f>
        <v/>
      </c>
      <c r="C9046" s="44"/>
      <c r="D9046" s="44"/>
      <c r="L9046" s="45"/>
      <c r="N9046" s="45"/>
    </row>
    <row r="9047">
      <c r="A9047" s="40" t="str">
        <f t="shared" si="1"/>
        <v/>
      </c>
      <c r="B9047" s="37" t="str">
        <f t="array" ref="B9047">iferror(xlookup($I9047, 'IMPORT VHC Report'!$E:$E, 'IMPORT VHC Report'!$A:$C), )</f>
        <v/>
      </c>
      <c r="C9047" s="44"/>
      <c r="D9047" s="44"/>
      <c r="L9047" s="45"/>
      <c r="N9047" s="45"/>
    </row>
    <row r="9048">
      <c r="A9048" s="40" t="str">
        <f t="shared" si="1"/>
        <v/>
      </c>
      <c r="B9048" s="37" t="str">
        <f t="array" ref="B9048">iferror(xlookup($I9048, 'IMPORT VHC Report'!$E:$E, 'IMPORT VHC Report'!$A:$C), )</f>
        <v/>
      </c>
      <c r="C9048" s="44"/>
      <c r="D9048" s="44"/>
      <c r="L9048" s="45"/>
      <c r="N9048" s="45"/>
    </row>
    <row r="9049">
      <c r="A9049" s="40" t="str">
        <f t="shared" si="1"/>
        <v/>
      </c>
      <c r="B9049" s="37" t="str">
        <f t="array" ref="B9049">iferror(xlookup($I9049, 'IMPORT VHC Report'!$E:$E, 'IMPORT VHC Report'!$A:$C), )</f>
        <v/>
      </c>
      <c r="C9049" s="44"/>
      <c r="D9049" s="44"/>
      <c r="L9049" s="45"/>
      <c r="N9049" s="45"/>
    </row>
    <row r="9050">
      <c r="A9050" s="40" t="str">
        <f t="shared" si="1"/>
        <v/>
      </c>
      <c r="B9050" s="37" t="str">
        <f t="array" ref="B9050">iferror(xlookup($I9050, 'IMPORT VHC Report'!$E:$E, 'IMPORT VHC Report'!$A:$C), )</f>
        <v/>
      </c>
      <c r="C9050" s="44"/>
      <c r="D9050" s="44"/>
      <c r="L9050" s="45"/>
      <c r="N9050" s="45"/>
    </row>
    <row r="9051">
      <c r="A9051" s="40" t="str">
        <f t="shared" si="1"/>
        <v/>
      </c>
      <c r="B9051" s="37" t="str">
        <f t="array" ref="B9051">iferror(xlookup($I9051, 'IMPORT VHC Report'!$E:$E, 'IMPORT VHC Report'!$A:$C), )</f>
        <v/>
      </c>
      <c r="C9051" s="44"/>
      <c r="D9051" s="44"/>
      <c r="L9051" s="45"/>
      <c r="N9051" s="45"/>
    </row>
    <row r="9052">
      <c r="A9052" s="40" t="str">
        <f t="shared" si="1"/>
        <v/>
      </c>
      <c r="B9052" s="37" t="str">
        <f t="array" ref="B9052">iferror(xlookup($I9052, 'IMPORT VHC Report'!$E:$E, 'IMPORT VHC Report'!$A:$C), )</f>
        <v/>
      </c>
      <c r="C9052" s="44"/>
      <c r="D9052" s="44"/>
      <c r="L9052" s="45"/>
      <c r="N9052" s="45"/>
    </row>
    <row r="9053">
      <c r="A9053" s="40" t="str">
        <f t="shared" si="1"/>
        <v/>
      </c>
      <c r="B9053" s="37" t="str">
        <f t="array" ref="B9053">iferror(xlookup($I9053, 'IMPORT VHC Report'!$E:$E, 'IMPORT VHC Report'!$A:$C), )</f>
        <v/>
      </c>
      <c r="C9053" s="44"/>
      <c r="D9053" s="44"/>
      <c r="L9053" s="45"/>
      <c r="N9053" s="45"/>
    </row>
    <row r="9054">
      <c r="A9054" s="40" t="str">
        <f t="shared" si="1"/>
        <v/>
      </c>
      <c r="B9054" s="37" t="str">
        <f t="array" ref="B9054">iferror(xlookup($I9054, 'IMPORT VHC Report'!$E:$E, 'IMPORT VHC Report'!$A:$C), )</f>
        <v/>
      </c>
      <c r="C9054" s="44"/>
      <c r="D9054" s="44"/>
      <c r="L9054" s="45"/>
      <c r="N9054" s="45"/>
    </row>
    <row r="9055">
      <c r="A9055" s="40" t="str">
        <f t="shared" si="1"/>
        <v/>
      </c>
      <c r="B9055" s="37" t="str">
        <f t="array" ref="B9055">iferror(xlookup($I9055, 'IMPORT VHC Report'!$E:$E, 'IMPORT VHC Report'!$A:$C), )</f>
        <v/>
      </c>
      <c r="C9055" s="44"/>
      <c r="D9055" s="44"/>
      <c r="L9055" s="45"/>
      <c r="N9055" s="45"/>
    </row>
    <row r="9056">
      <c r="A9056" s="40" t="str">
        <f t="shared" si="1"/>
        <v/>
      </c>
      <c r="B9056" s="37" t="str">
        <f t="array" ref="B9056">iferror(xlookup($I9056, 'IMPORT VHC Report'!$E:$E, 'IMPORT VHC Report'!$A:$C), )</f>
        <v/>
      </c>
      <c r="C9056" s="44"/>
      <c r="D9056" s="44"/>
      <c r="L9056" s="45"/>
      <c r="N9056" s="45"/>
    </row>
    <row r="9057">
      <c r="A9057" s="40" t="str">
        <f t="shared" si="1"/>
        <v/>
      </c>
      <c r="B9057" s="37" t="str">
        <f t="array" ref="B9057">iferror(xlookup($I9057, 'IMPORT VHC Report'!$E:$E, 'IMPORT VHC Report'!$A:$C), )</f>
        <v/>
      </c>
      <c r="C9057" s="44"/>
      <c r="D9057" s="44"/>
      <c r="L9057" s="45"/>
      <c r="N9057" s="45"/>
    </row>
    <row r="9058">
      <c r="A9058" s="40" t="str">
        <f t="shared" si="1"/>
        <v/>
      </c>
      <c r="B9058" s="37" t="str">
        <f t="array" ref="B9058">iferror(xlookup($I9058, 'IMPORT VHC Report'!$E:$E, 'IMPORT VHC Report'!$A:$C), )</f>
        <v/>
      </c>
      <c r="C9058" s="44"/>
      <c r="D9058" s="44"/>
      <c r="L9058" s="45"/>
      <c r="N9058" s="45"/>
    </row>
    <row r="9059">
      <c r="A9059" s="40" t="str">
        <f t="shared" si="1"/>
        <v/>
      </c>
      <c r="B9059" s="37" t="str">
        <f t="array" ref="B9059">iferror(xlookup($I9059, 'IMPORT VHC Report'!$E:$E, 'IMPORT VHC Report'!$A:$C), )</f>
        <v/>
      </c>
      <c r="C9059" s="44"/>
      <c r="D9059" s="44"/>
      <c r="L9059" s="45"/>
      <c r="N9059" s="45"/>
    </row>
    <row r="9060">
      <c r="A9060" s="40" t="str">
        <f t="shared" si="1"/>
        <v/>
      </c>
      <c r="B9060" s="37" t="str">
        <f t="array" ref="B9060">iferror(xlookup($I9060, 'IMPORT VHC Report'!$E:$E, 'IMPORT VHC Report'!$A:$C), )</f>
        <v/>
      </c>
      <c r="C9060" s="44"/>
      <c r="D9060" s="44"/>
      <c r="L9060" s="45"/>
      <c r="N9060" s="45"/>
    </row>
    <row r="9061">
      <c r="A9061" s="40" t="str">
        <f t="shared" si="1"/>
        <v/>
      </c>
      <c r="B9061" s="37" t="str">
        <f t="array" ref="B9061">iferror(xlookup($I9061, 'IMPORT VHC Report'!$E:$E, 'IMPORT VHC Report'!$A:$C), )</f>
        <v/>
      </c>
      <c r="C9061" s="44"/>
      <c r="D9061" s="44"/>
      <c r="L9061" s="45"/>
      <c r="N9061" s="45"/>
    </row>
    <row r="9062">
      <c r="A9062" s="40" t="str">
        <f t="shared" si="1"/>
        <v/>
      </c>
      <c r="B9062" s="37" t="str">
        <f t="array" ref="B9062">iferror(xlookup($I9062, 'IMPORT VHC Report'!$E:$E, 'IMPORT VHC Report'!$A:$C), )</f>
        <v/>
      </c>
      <c r="C9062" s="44"/>
      <c r="D9062" s="44"/>
      <c r="L9062" s="45"/>
      <c r="N9062" s="45"/>
    </row>
    <row r="9063">
      <c r="A9063" s="40" t="str">
        <f t="shared" si="1"/>
        <v/>
      </c>
      <c r="B9063" s="37" t="str">
        <f t="array" ref="B9063">iferror(xlookup($I9063, 'IMPORT VHC Report'!$E:$E, 'IMPORT VHC Report'!$A:$C), )</f>
        <v/>
      </c>
      <c r="C9063" s="44"/>
      <c r="D9063" s="44"/>
      <c r="L9063" s="45"/>
      <c r="N9063" s="45"/>
    </row>
    <row r="9064">
      <c r="A9064" s="40" t="str">
        <f t="shared" si="1"/>
        <v/>
      </c>
      <c r="B9064" s="37" t="str">
        <f t="array" ref="B9064">iferror(xlookup($I9064, 'IMPORT VHC Report'!$E:$E, 'IMPORT VHC Report'!$A:$C), )</f>
        <v/>
      </c>
      <c r="C9064" s="44"/>
      <c r="D9064" s="44"/>
      <c r="L9064" s="45"/>
      <c r="N9064" s="45"/>
    </row>
    <row r="9065">
      <c r="A9065" s="40" t="str">
        <f t="shared" si="1"/>
        <v/>
      </c>
      <c r="B9065" s="37" t="str">
        <f t="array" ref="B9065">iferror(xlookup($I9065, 'IMPORT VHC Report'!$E:$E, 'IMPORT VHC Report'!$A:$C), )</f>
        <v/>
      </c>
      <c r="C9065" s="44"/>
      <c r="D9065" s="44"/>
      <c r="L9065" s="45"/>
      <c r="N9065" s="45"/>
    </row>
    <row r="9066">
      <c r="A9066" s="40" t="str">
        <f t="shared" si="1"/>
        <v/>
      </c>
      <c r="B9066" s="37" t="str">
        <f t="array" ref="B9066">iferror(xlookup($I9066, 'IMPORT VHC Report'!$E:$E, 'IMPORT VHC Report'!$A:$C), )</f>
        <v/>
      </c>
      <c r="C9066" s="44"/>
      <c r="D9066" s="44"/>
      <c r="L9066" s="45"/>
      <c r="N9066" s="45"/>
    </row>
    <row r="9067">
      <c r="A9067" s="40" t="str">
        <f t="shared" si="1"/>
        <v/>
      </c>
      <c r="B9067" s="37" t="str">
        <f t="array" ref="B9067">iferror(xlookup($I9067, 'IMPORT VHC Report'!$E:$E, 'IMPORT VHC Report'!$A:$C), )</f>
        <v/>
      </c>
      <c r="C9067" s="44"/>
      <c r="D9067" s="44"/>
      <c r="L9067" s="45"/>
      <c r="N9067" s="45"/>
    </row>
    <row r="9068">
      <c r="A9068" s="40" t="str">
        <f t="shared" si="1"/>
        <v/>
      </c>
      <c r="B9068" s="37" t="str">
        <f t="array" ref="B9068">iferror(xlookup($I9068, 'IMPORT VHC Report'!$E:$E, 'IMPORT VHC Report'!$A:$C), )</f>
        <v/>
      </c>
      <c r="C9068" s="44"/>
      <c r="D9068" s="44"/>
      <c r="L9068" s="45"/>
      <c r="N9068" s="45"/>
    </row>
    <row r="9069">
      <c r="A9069" s="40" t="str">
        <f t="shared" si="1"/>
        <v/>
      </c>
      <c r="B9069" s="37" t="str">
        <f t="array" ref="B9069">iferror(xlookup($I9069, 'IMPORT VHC Report'!$E:$E, 'IMPORT VHC Report'!$A:$C), )</f>
        <v/>
      </c>
      <c r="C9069" s="44"/>
      <c r="D9069" s="44"/>
      <c r="L9069" s="45"/>
      <c r="N9069" s="45"/>
    </row>
    <row r="9070">
      <c r="A9070" s="40" t="str">
        <f t="shared" si="1"/>
        <v/>
      </c>
      <c r="B9070" s="37" t="str">
        <f t="array" ref="B9070">iferror(xlookup($I9070, 'IMPORT VHC Report'!$E:$E, 'IMPORT VHC Report'!$A:$C), )</f>
        <v/>
      </c>
      <c r="C9070" s="44"/>
      <c r="D9070" s="44"/>
      <c r="L9070" s="45"/>
      <c r="N9070" s="45"/>
    </row>
    <row r="9071">
      <c r="A9071" s="40" t="str">
        <f t="shared" si="1"/>
        <v/>
      </c>
      <c r="B9071" s="37" t="str">
        <f t="array" ref="B9071">iferror(xlookup($I9071, 'IMPORT VHC Report'!$E:$E, 'IMPORT VHC Report'!$A:$C), )</f>
        <v/>
      </c>
      <c r="C9071" s="44"/>
      <c r="D9071" s="44"/>
      <c r="L9071" s="45"/>
      <c r="N9071" s="45"/>
    </row>
    <row r="9072">
      <c r="A9072" s="40" t="str">
        <f t="shared" si="1"/>
        <v/>
      </c>
      <c r="B9072" s="37" t="str">
        <f t="array" ref="B9072">iferror(xlookup($I9072, 'IMPORT VHC Report'!$E:$E, 'IMPORT VHC Report'!$A:$C), )</f>
        <v/>
      </c>
      <c r="C9072" s="44"/>
      <c r="D9072" s="44"/>
      <c r="L9072" s="45"/>
      <c r="N9072" s="45"/>
    </row>
    <row r="9073">
      <c r="A9073" s="40" t="str">
        <f t="shared" si="1"/>
        <v/>
      </c>
      <c r="B9073" s="37" t="str">
        <f t="array" ref="B9073">iferror(xlookup($I9073, 'IMPORT VHC Report'!$E:$E, 'IMPORT VHC Report'!$A:$C), )</f>
        <v/>
      </c>
      <c r="C9073" s="44"/>
      <c r="D9073" s="44"/>
      <c r="L9073" s="45"/>
      <c r="N9073" s="45"/>
    </row>
    <row r="9074">
      <c r="A9074" s="40" t="str">
        <f t="shared" si="1"/>
        <v/>
      </c>
      <c r="B9074" s="37" t="str">
        <f t="array" ref="B9074">iferror(xlookup($I9074, 'IMPORT VHC Report'!$E:$E, 'IMPORT VHC Report'!$A:$C), )</f>
        <v/>
      </c>
      <c r="C9074" s="44"/>
      <c r="D9074" s="44"/>
      <c r="L9074" s="45"/>
      <c r="N9074" s="45"/>
    </row>
    <row r="9075">
      <c r="A9075" s="40" t="str">
        <f t="shared" si="1"/>
        <v/>
      </c>
      <c r="B9075" s="37" t="str">
        <f t="array" ref="B9075">iferror(xlookup($I9075, 'IMPORT VHC Report'!$E:$E, 'IMPORT VHC Report'!$A:$C), )</f>
        <v/>
      </c>
      <c r="C9075" s="44"/>
      <c r="D9075" s="44"/>
      <c r="L9075" s="45"/>
      <c r="N9075" s="45"/>
    </row>
    <row r="9076">
      <c r="A9076" s="40" t="str">
        <f t="shared" si="1"/>
        <v/>
      </c>
      <c r="B9076" s="37" t="str">
        <f t="array" ref="B9076">iferror(xlookup($I9076, 'IMPORT VHC Report'!$E:$E, 'IMPORT VHC Report'!$A:$C), )</f>
        <v/>
      </c>
      <c r="C9076" s="44"/>
      <c r="D9076" s="44"/>
      <c r="L9076" s="45"/>
      <c r="N9076" s="45"/>
    </row>
    <row r="9077">
      <c r="A9077" s="40" t="str">
        <f t="shared" si="1"/>
        <v/>
      </c>
      <c r="B9077" s="37" t="str">
        <f t="array" ref="B9077">iferror(xlookup($I9077, 'IMPORT VHC Report'!$E:$E, 'IMPORT VHC Report'!$A:$C), )</f>
        <v/>
      </c>
      <c r="C9077" s="44"/>
      <c r="D9077" s="44"/>
      <c r="L9077" s="45"/>
      <c r="N9077" s="45"/>
    </row>
    <row r="9078">
      <c r="A9078" s="40" t="str">
        <f t="shared" si="1"/>
        <v/>
      </c>
      <c r="B9078" s="37" t="str">
        <f t="array" ref="B9078">iferror(xlookup($I9078, 'IMPORT VHC Report'!$E:$E, 'IMPORT VHC Report'!$A:$C), )</f>
        <v/>
      </c>
      <c r="C9078" s="44"/>
      <c r="D9078" s="44"/>
      <c r="L9078" s="45"/>
      <c r="N9078" s="45"/>
    </row>
    <row r="9079">
      <c r="A9079" s="40" t="str">
        <f t="shared" si="1"/>
        <v/>
      </c>
      <c r="B9079" s="37" t="str">
        <f t="array" ref="B9079">iferror(xlookup($I9079, 'IMPORT VHC Report'!$E:$E, 'IMPORT VHC Report'!$A:$C), )</f>
        <v/>
      </c>
      <c r="C9079" s="44"/>
      <c r="D9079" s="44"/>
      <c r="L9079" s="45"/>
      <c r="N9079" s="45"/>
    </row>
    <row r="9080">
      <c r="A9080" s="40" t="str">
        <f t="shared" si="1"/>
        <v/>
      </c>
      <c r="B9080" s="37" t="str">
        <f t="array" ref="B9080">iferror(xlookup($I9080, 'IMPORT VHC Report'!$E:$E, 'IMPORT VHC Report'!$A:$C), )</f>
        <v/>
      </c>
      <c r="C9080" s="44"/>
      <c r="D9080" s="44"/>
      <c r="L9080" s="45"/>
      <c r="N9080" s="45"/>
    </row>
    <row r="9081">
      <c r="A9081" s="40" t="str">
        <f t="shared" si="1"/>
        <v/>
      </c>
      <c r="B9081" s="37" t="str">
        <f t="array" ref="B9081">iferror(xlookup($I9081, 'IMPORT VHC Report'!$E:$E, 'IMPORT VHC Report'!$A:$C), )</f>
        <v/>
      </c>
      <c r="C9081" s="44"/>
      <c r="D9081" s="44"/>
      <c r="L9081" s="45"/>
      <c r="N9081" s="45"/>
    </row>
    <row r="9082">
      <c r="A9082" s="40" t="str">
        <f t="shared" si="1"/>
        <v/>
      </c>
      <c r="B9082" s="37" t="str">
        <f t="array" ref="B9082">iferror(xlookup($I9082, 'IMPORT VHC Report'!$E:$E, 'IMPORT VHC Report'!$A:$C), )</f>
        <v/>
      </c>
      <c r="C9082" s="44"/>
      <c r="D9082" s="44"/>
      <c r="L9082" s="45"/>
      <c r="N9082" s="45"/>
    </row>
    <row r="9083">
      <c r="A9083" s="40" t="str">
        <f t="shared" si="1"/>
        <v/>
      </c>
      <c r="B9083" s="37" t="str">
        <f t="array" ref="B9083">iferror(xlookup($I9083, 'IMPORT VHC Report'!$E:$E, 'IMPORT VHC Report'!$A:$C), )</f>
        <v/>
      </c>
      <c r="C9083" s="44"/>
      <c r="D9083" s="44"/>
      <c r="L9083" s="45"/>
      <c r="N9083" s="45"/>
    </row>
    <row r="9084">
      <c r="A9084" s="40" t="str">
        <f t="shared" si="1"/>
        <v/>
      </c>
      <c r="B9084" s="37" t="str">
        <f t="array" ref="B9084">iferror(xlookup($I9084, 'IMPORT VHC Report'!$E:$E, 'IMPORT VHC Report'!$A:$C), )</f>
        <v/>
      </c>
      <c r="C9084" s="44"/>
      <c r="D9084" s="44"/>
      <c r="L9084" s="45"/>
      <c r="N9084" s="45"/>
    </row>
    <row r="9085">
      <c r="A9085" s="40" t="str">
        <f t="shared" si="1"/>
        <v/>
      </c>
      <c r="B9085" s="37" t="str">
        <f t="array" ref="B9085">iferror(xlookup($I9085, 'IMPORT VHC Report'!$E:$E, 'IMPORT VHC Report'!$A:$C), )</f>
        <v/>
      </c>
      <c r="C9085" s="44"/>
      <c r="D9085" s="44"/>
      <c r="L9085" s="45"/>
      <c r="N9085" s="45"/>
    </row>
    <row r="9086">
      <c r="A9086" s="40" t="str">
        <f t="shared" si="1"/>
        <v/>
      </c>
      <c r="B9086" s="37" t="str">
        <f t="array" ref="B9086">iferror(xlookup($I9086, 'IMPORT VHC Report'!$E:$E, 'IMPORT VHC Report'!$A:$C), )</f>
        <v/>
      </c>
      <c r="C9086" s="44"/>
      <c r="D9086" s="44"/>
      <c r="L9086" s="45"/>
      <c r="N9086" s="45"/>
    </row>
    <row r="9087">
      <c r="A9087" s="40" t="str">
        <f t="shared" si="1"/>
        <v/>
      </c>
      <c r="B9087" s="37" t="str">
        <f t="array" ref="B9087">iferror(xlookup($I9087, 'IMPORT VHC Report'!$E:$E, 'IMPORT VHC Report'!$A:$C), )</f>
        <v/>
      </c>
      <c r="C9087" s="44"/>
      <c r="D9087" s="44"/>
      <c r="L9087" s="45"/>
      <c r="N9087" s="45"/>
    </row>
    <row r="9088">
      <c r="A9088" s="40" t="str">
        <f t="shared" si="1"/>
        <v/>
      </c>
      <c r="B9088" s="37" t="str">
        <f t="array" ref="B9088">iferror(xlookup($I9088, 'IMPORT VHC Report'!$E:$E, 'IMPORT VHC Report'!$A:$C), )</f>
        <v/>
      </c>
      <c r="C9088" s="44"/>
      <c r="D9088" s="44"/>
      <c r="L9088" s="45"/>
      <c r="N9088" s="45"/>
    </row>
    <row r="9089">
      <c r="A9089" s="40" t="str">
        <f t="shared" si="1"/>
        <v/>
      </c>
      <c r="B9089" s="37" t="str">
        <f t="array" ref="B9089">iferror(xlookup($I9089, 'IMPORT VHC Report'!$E:$E, 'IMPORT VHC Report'!$A:$C), )</f>
        <v/>
      </c>
      <c r="C9089" s="44"/>
      <c r="D9089" s="44"/>
      <c r="L9089" s="45"/>
      <c r="N9089" s="45"/>
    </row>
    <row r="9090">
      <c r="A9090" s="40" t="str">
        <f t="shared" si="1"/>
        <v/>
      </c>
      <c r="B9090" s="37" t="str">
        <f t="array" ref="B9090">iferror(xlookup($I9090, 'IMPORT VHC Report'!$E:$E, 'IMPORT VHC Report'!$A:$C), )</f>
        <v/>
      </c>
      <c r="C9090" s="44"/>
      <c r="D9090" s="44"/>
      <c r="L9090" s="45"/>
      <c r="N9090" s="45"/>
    </row>
    <row r="9091">
      <c r="A9091" s="40" t="str">
        <f t="shared" si="1"/>
        <v/>
      </c>
      <c r="B9091" s="37" t="str">
        <f t="array" ref="B9091">iferror(xlookup($I9091, 'IMPORT VHC Report'!$E:$E, 'IMPORT VHC Report'!$A:$C), )</f>
        <v/>
      </c>
      <c r="C9091" s="44"/>
      <c r="D9091" s="44"/>
      <c r="L9091" s="45"/>
      <c r="N9091" s="45"/>
    </row>
    <row r="9092">
      <c r="A9092" s="40" t="str">
        <f t="shared" si="1"/>
        <v/>
      </c>
      <c r="B9092" s="37" t="str">
        <f t="array" ref="B9092">iferror(xlookup($I9092, 'IMPORT VHC Report'!$E:$E, 'IMPORT VHC Report'!$A:$C), )</f>
        <v/>
      </c>
      <c r="C9092" s="44"/>
      <c r="D9092" s="44"/>
      <c r="L9092" s="45"/>
      <c r="N9092" s="45"/>
    </row>
    <row r="9093">
      <c r="A9093" s="40" t="str">
        <f t="shared" si="1"/>
        <v/>
      </c>
      <c r="B9093" s="37" t="str">
        <f t="array" ref="B9093">iferror(xlookup($I9093, 'IMPORT VHC Report'!$E:$E, 'IMPORT VHC Report'!$A:$C), )</f>
        <v/>
      </c>
      <c r="C9093" s="44"/>
      <c r="D9093" s="44"/>
      <c r="L9093" s="45"/>
      <c r="N9093" s="45"/>
    </row>
    <row r="9094">
      <c r="A9094" s="40" t="str">
        <f t="shared" si="1"/>
        <v/>
      </c>
      <c r="B9094" s="37" t="str">
        <f t="array" ref="B9094">iferror(xlookup($I9094, 'IMPORT VHC Report'!$E:$E, 'IMPORT VHC Report'!$A:$C), )</f>
        <v/>
      </c>
      <c r="C9094" s="44"/>
      <c r="D9094" s="44"/>
      <c r="L9094" s="45"/>
      <c r="N9094" s="45"/>
    </row>
    <row r="9095">
      <c r="A9095" s="40" t="str">
        <f t="shared" si="1"/>
        <v/>
      </c>
      <c r="B9095" s="37" t="str">
        <f t="array" ref="B9095">iferror(xlookup($I9095, 'IMPORT VHC Report'!$E:$E, 'IMPORT VHC Report'!$A:$C), )</f>
        <v/>
      </c>
      <c r="C9095" s="44"/>
      <c r="D9095" s="44"/>
      <c r="L9095" s="45"/>
      <c r="N9095" s="45"/>
    </row>
    <row r="9096">
      <c r="A9096" s="40" t="str">
        <f t="shared" si="1"/>
        <v/>
      </c>
      <c r="B9096" s="37" t="str">
        <f t="array" ref="B9096">iferror(xlookup($I9096, 'IMPORT VHC Report'!$E:$E, 'IMPORT VHC Report'!$A:$C), )</f>
        <v/>
      </c>
      <c r="C9096" s="44"/>
      <c r="D9096" s="44"/>
      <c r="L9096" s="45"/>
      <c r="N9096" s="45"/>
    </row>
    <row r="9097">
      <c r="A9097" s="40" t="str">
        <f t="shared" si="1"/>
        <v/>
      </c>
      <c r="B9097" s="37" t="str">
        <f t="array" ref="B9097">iferror(xlookup($I9097, 'IMPORT VHC Report'!$E:$E, 'IMPORT VHC Report'!$A:$C), )</f>
        <v/>
      </c>
      <c r="C9097" s="44"/>
      <c r="D9097" s="44"/>
      <c r="L9097" s="45"/>
      <c r="N9097" s="45"/>
    </row>
    <row r="9098">
      <c r="A9098" s="40" t="str">
        <f t="shared" si="1"/>
        <v/>
      </c>
      <c r="B9098" s="37" t="str">
        <f t="array" ref="B9098">iferror(xlookup($I9098, 'IMPORT VHC Report'!$E:$E, 'IMPORT VHC Report'!$A:$C), )</f>
        <v/>
      </c>
      <c r="C9098" s="44"/>
      <c r="D9098" s="44"/>
      <c r="L9098" s="45"/>
      <c r="N9098" s="45"/>
    </row>
    <row r="9099">
      <c r="A9099" s="40" t="str">
        <f t="shared" si="1"/>
        <v/>
      </c>
      <c r="B9099" s="37" t="str">
        <f t="array" ref="B9099">iferror(xlookup($I9099, 'IMPORT VHC Report'!$E:$E, 'IMPORT VHC Report'!$A:$C), )</f>
        <v/>
      </c>
      <c r="C9099" s="44"/>
      <c r="D9099" s="44"/>
      <c r="L9099" s="45"/>
      <c r="N9099" s="45"/>
    </row>
    <row r="9100">
      <c r="A9100" s="40" t="str">
        <f t="shared" si="1"/>
        <v/>
      </c>
      <c r="B9100" s="37" t="str">
        <f t="array" ref="B9100">iferror(xlookup($I9100, 'IMPORT VHC Report'!$E:$E, 'IMPORT VHC Report'!$A:$C), )</f>
        <v/>
      </c>
      <c r="C9100" s="44"/>
      <c r="D9100" s="44"/>
      <c r="L9100" s="45"/>
      <c r="N9100" s="45"/>
    </row>
    <row r="9101">
      <c r="A9101" s="40" t="str">
        <f t="shared" si="1"/>
        <v/>
      </c>
      <c r="B9101" s="37" t="str">
        <f t="array" ref="B9101">iferror(xlookup($I9101, 'IMPORT VHC Report'!$E:$E, 'IMPORT VHC Report'!$A:$C), )</f>
        <v/>
      </c>
      <c r="C9101" s="44"/>
      <c r="D9101" s="44"/>
      <c r="L9101" s="45"/>
      <c r="N9101" s="45"/>
    </row>
    <row r="9102">
      <c r="A9102" s="40" t="str">
        <f t="shared" si="1"/>
        <v/>
      </c>
      <c r="B9102" s="37" t="str">
        <f t="array" ref="B9102">iferror(xlookup($I9102, 'IMPORT VHC Report'!$E:$E, 'IMPORT VHC Report'!$A:$C), )</f>
        <v/>
      </c>
      <c r="C9102" s="44"/>
      <c r="D9102" s="44"/>
      <c r="L9102" s="45"/>
      <c r="N9102" s="45"/>
    </row>
    <row r="9103">
      <c r="A9103" s="40" t="str">
        <f t="shared" si="1"/>
        <v/>
      </c>
      <c r="B9103" s="37" t="str">
        <f t="array" ref="B9103">iferror(xlookup($I9103, 'IMPORT VHC Report'!$E:$E, 'IMPORT VHC Report'!$A:$C), )</f>
        <v/>
      </c>
      <c r="C9103" s="44"/>
      <c r="D9103" s="44"/>
      <c r="L9103" s="45"/>
      <c r="N9103" s="45"/>
    </row>
    <row r="9104">
      <c r="A9104" s="40" t="str">
        <f t="shared" si="1"/>
        <v/>
      </c>
      <c r="B9104" s="37" t="str">
        <f t="array" ref="B9104">iferror(xlookup($I9104, 'IMPORT VHC Report'!$E:$E, 'IMPORT VHC Report'!$A:$C), )</f>
        <v/>
      </c>
      <c r="C9104" s="44"/>
      <c r="D9104" s="44"/>
      <c r="L9104" s="45"/>
      <c r="N9104" s="45"/>
    </row>
    <row r="9105">
      <c r="A9105" s="40" t="str">
        <f t="shared" si="1"/>
        <v/>
      </c>
      <c r="B9105" s="37" t="str">
        <f t="array" ref="B9105">iferror(xlookup($I9105, 'IMPORT VHC Report'!$E:$E, 'IMPORT VHC Report'!$A:$C), )</f>
        <v/>
      </c>
      <c r="C9105" s="44"/>
      <c r="D9105" s="44"/>
      <c r="L9105" s="45"/>
      <c r="N9105" s="45"/>
    </row>
    <row r="9106">
      <c r="A9106" s="40" t="str">
        <f t="shared" si="1"/>
        <v/>
      </c>
      <c r="B9106" s="37" t="str">
        <f t="array" ref="B9106">iferror(xlookup($I9106, 'IMPORT VHC Report'!$E:$E, 'IMPORT VHC Report'!$A:$C), )</f>
        <v/>
      </c>
      <c r="C9106" s="44"/>
      <c r="D9106" s="44"/>
      <c r="L9106" s="45"/>
      <c r="N9106" s="45"/>
    </row>
    <row r="9107">
      <c r="A9107" s="40" t="str">
        <f t="shared" si="1"/>
        <v/>
      </c>
      <c r="B9107" s="37" t="str">
        <f t="array" ref="B9107">iferror(xlookup($I9107, 'IMPORT VHC Report'!$E:$E, 'IMPORT VHC Report'!$A:$C), )</f>
        <v/>
      </c>
      <c r="C9107" s="44"/>
      <c r="D9107" s="44"/>
      <c r="L9107" s="45"/>
      <c r="N9107" s="45"/>
    </row>
    <row r="9108">
      <c r="A9108" s="40" t="str">
        <f t="shared" si="1"/>
        <v/>
      </c>
      <c r="B9108" s="37" t="str">
        <f t="array" ref="B9108">iferror(xlookup($I9108, 'IMPORT VHC Report'!$E:$E, 'IMPORT VHC Report'!$A:$C), )</f>
        <v/>
      </c>
      <c r="C9108" s="44"/>
      <c r="D9108" s="44"/>
      <c r="L9108" s="45"/>
      <c r="N9108" s="45"/>
    </row>
    <row r="9109">
      <c r="A9109" s="40" t="str">
        <f t="shared" si="1"/>
        <v/>
      </c>
      <c r="B9109" s="37" t="str">
        <f t="array" ref="B9109">iferror(xlookup($I9109, 'IMPORT VHC Report'!$E:$E, 'IMPORT VHC Report'!$A:$C), )</f>
        <v/>
      </c>
      <c r="C9109" s="44"/>
      <c r="D9109" s="44"/>
      <c r="L9109" s="45"/>
      <c r="N9109" s="45"/>
    </row>
    <row r="9110">
      <c r="A9110" s="40" t="str">
        <f t="shared" si="1"/>
        <v/>
      </c>
      <c r="B9110" s="37" t="str">
        <f t="array" ref="B9110">iferror(xlookup($I9110, 'IMPORT VHC Report'!$E:$E, 'IMPORT VHC Report'!$A:$C), )</f>
        <v/>
      </c>
      <c r="C9110" s="44"/>
      <c r="D9110" s="44"/>
      <c r="L9110" s="45"/>
      <c r="N9110" s="45"/>
    </row>
    <row r="9111">
      <c r="A9111" s="40" t="str">
        <f t="shared" si="1"/>
        <v/>
      </c>
      <c r="B9111" s="37" t="str">
        <f t="array" ref="B9111">iferror(xlookup($I9111, 'IMPORT VHC Report'!$E:$E, 'IMPORT VHC Report'!$A:$C), )</f>
        <v/>
      </c>
      <c r="C9111" s="44"/>
      <c r="D9111" s="44"/>
      <c r="L9111" s="45"/>
      <c r="N9111" s="45"/>
    </row>
    <row r="9112">
      <c r="A9112" s="40" t="str">
        <f t="shared" si="1"/>
        <v/>
      </c>
      <c r="B9112" s="37" t="str">
        <f t="array" ref="B9112">iferror(xlookup($I9112, 'IMPORT VHC Report'!$E:$E, 'IMPORT VHC Report'!$A:$C), )</f>
        <v/>
      </c>
      <c r="C9112" s="44"/>
      <c r="D9112" s="44"/>
      <c r="L9112" s="45"/>
      <c r="N9112" s="45"/>
    </row>
    <row r="9113">
      <c r="A9113" s="40" t="str">
        <f t="shared" si="1"/>
        <v/>
      </c>
      <c r="B9113" s="37" t="str">
        <f t="array" ref="B9113">iferror(xlookup($I9113, 'IMPORT VHC Report'!$E:$E, 'IMPORT VHC Report'!$A:$C), )</f>
        <v/>
      </c>
      <c r="C9113" s="44"/>
      <c r="D9113" s="44"/>
      <c r="L9113" s="45"/>
      <c r="N9113" s="45"/>
    </row>
    <row r="9114">
      <c r="A9114" s="40" t="str">
        <f t="shared" si="1"/>
        <v/>
      </c>
      <c r="B9114" s="37" t="str">
        <f t="array" ref="B9114">iferror(xlookup($I9114, 'IMPORT VHC Report'!$E:$E, 'IMPORT VHC Report'!$A:$C), )</f>
        <v/>
      </c>
      <c r="C9114" s="44"/>
      <c r="D9114" s="44"/>
      <c r="L9114" s="45"/>
      <c r="N9114" s="45"/>
    </row>
    <row r="9115">
      <c r="A9115" s="40" t="str">
        <f t="shared" si="1"/>
        <v/>
      </c>
      <c r="B9115" s="37" t="str">
        <f t="array" ref="B9115">iferror(xlookup($I9115, 'IMPORT VHC Report'!$E:$E, 'IMPORT VHC Report'!$A:$C), )</f>
        <v/>
      </c>
      <c r="C9115" s="44"/>
      <c r="D9115" s="44"/>
      <c r="L9115" s="45"/>
      <c r="N9115" s="45"/>
    </row>
    <row r="9116">
      <c r="A9116" s="40" t="str">
        <f t="shared" si="1"/>
        <v/>
      </c>
      <c r="B9116" s="37" t="str">
        <f t="array" ref="B9116">iferror(xlookup($I9116, 'IMPORT VHC Report'!$E:$E, 'IMPORT VHC Report'!$A:$C), )</f>
        <v/>
      </c>
      <c r="C9116" s="44"/>
      <c r="D9116" s="44"/>
      <c r="L9116" s="45"/>
      <c r="N9116" s="45"/>
    </row>
    <row r="9117">
      <c r="A9117" s="40" t="str">
        <f t="shared" si="1"/>
        <v/>
      </c>
      <c r="B9117" s="37" t="str">
        <f t="array" ref="B9117">iferror(xlookup($I9117, 'IMPORT VHC Report'!$E:$E, 'IMPORT VHC Report'!$A:$C), )</f>
        <v/>
      </c>
      <c r="C9117" s="44"/>
      <c r="D9117" s="44"/>
      <c r="L9117" s="45"/>
      <c r="N9117" s="45"/>
    </row>
    <row r="9118">
      <c r="A9118" s="40" t="str">
        <f t="shared" si="1"/>
        <v/>
      </c>
      <c r="B9118" s="37" t="str">
        <f t="array" ref="B9118">iferror(xlookup($I9118, 'IMPORT VHC Report'!$E:$E, 'IMPORT VHC Report'!$A:$C), )</f>
        <v/>
      </c>
      <c r="C9118" s="44"/>
      <c r="D9118" s="44"/>
      <c r="L9118" s="45"/>
      <c r="N9118" s="45"/>
    </row>
    <row r="9119">
      <c r="A9119" s="40" t="str">
        <f t="shared" si="1"/>
        <v/>
      </c>
      <c r="B9119" s="37" t="str">
        <f t="array" ref="B9119">iferror(xlookup($I9119, 'IMPORT VHC Report'!$E:$E, 'IMPORT VHC Report'!$A:$C), )</f>
        <v/>
      </c>
      <c r="C9119" s="44"/>
      <c r="D9119" s="44"/>
      <c r="L9119" s="45"/>
      <c r="N9119" s="45"/>
    </row>
    <row r="9120">
      <c r="A9120" s="40" t="str">
        <f t="shared" si="1"/>
        <v/>
      </c>
      <c r="B9120" s="37" t="str">
        <f t="array" ref="B9120">iferror(xlookup($I9120, 'IMPORT VHC Report'!$E:$E, 'IMPORT VHC Report'!$A:$C), )</f>
        <v/>
      </c>
      <c r="C9120" s="44"/>
      <c r="D9120" s="44"/>
      <c r="L9120" s="45"/>
      <c r="N9120" s="45"/>
    </row>
    <row r="9121">
      <c r="A9121" s="40" t="str">
        <f t="shared" si="1"/>
        <v/>
      </c>
      <c r="B9121" s="37" t="str">
        <f t="array" ref="B9121">iferror(xlookup($I9121, 'IMPORT VHC Report'!$E:$E, 'IMPORT VHC Report'!$A:$C), )</f>
        <v/>
      </c>
      <c r="C9121" s="44"/>
      <c r="D9121" s="44"/>
      <c r="L9121" s="45"/>
      <c r="N9121" s="45"/>
    </row>
    <row r="9122">
      <c r="A9122" s="40" t="str">
        <f t="shared" si="1"/>
        <v/>
      </c>
      <c r="B9122" s="37" t="str">
        <f t="array" ref="B9122">iferror(xlookup($I9122, 'IMPORT VHC Report'!$E:$E, 'IMPORT VHC Report'!$A:$C), )</f>
        <v/>
      </c>
      <c r="C9122" s="44"/>
      <c r="D9122" s="44"/>
      <c r="L9122" s="45"/>
      <c r="N9122" s="45"/>
    </row>
    <row r="9123">
      <c r="A9123" s="40" t="str">
        <f t="shared" si="1"/>
        <v/>
      </c>
      <c r="B9123" s="37" t="str">
        <f t="array" ref="B9123">iferror(xlookup($I9123, 'IMPORT VHC Report'!$E:$E, 'IMPORT VHC Report'!$A:$C), )</f>
        <v/>
      </c>
      <c r="C9123" s="44"/>
      <c r="D9123" s="44"/>
      <c r="L9123" s="45"/>
      <c r="N9123" s="45"/>
    </row>
    <row r="9124">
      <c r="A9124" s="40" t="str">
        <f t="shared" si="1"/>
        <v/>
      </c>
      <c r="B9124" s="37" t="str">
        <f t="array" ref="B9124">iferror(xlookup($I9124, 'IMPORT VHC Report'!$E:$E, 'IMPORT VHC Report'!$A:$C), )</f>
        <v/>
      </c>
      <c r="C9124" s="44"/>
      <c r="D9124" s="44"/>
      <c r="L9124" s="45"/>
      <c r="N9124" s="45"/>
    </row>
    <row r="9125">
      <c r="A9125" s="40" t="str">
        <f t="shared" si="1"/>
        <v/>
      </c>
      <c r="B9125" s="37" t="str">
        <f t="array" ref="B9125">iferror(xlookup($I9125, 'IMPORT VHC Report'!$E:$E, 'IMPORT VHC Report'!$A:$C), )</f>
        <v/>
      </c>
      <c r="C9125" s="44"/>
      <c r="D9125" s="44"/>
      <c r="L9125" s="45"/>
      <c r="N9125" s="45"/>
    </row>
    <row r="9126">
      <c r="A9126" s="40" t="str">
        <f t="shared" si="1"/>
        <v/>
      </c>
      <c r="B9126" s="37" t="str">
        <f t="array" ref="B9126">iferror(xlookup($I9126, 'IMPORT VHC Report'!$E:$E, 'IMPORT VHC Report'!$A:$C), )</f>
        <v/>
      </c>
      <c r="C9126" s="44"/>
      <c r="D9126" s="44"/>
      <c r="L9126" s="45"/>
      <c r="N9126" s="45"/>
    </row>
    <row r="9127">
      <c r="A9127" s="40" t="str">
        <f t="shared" si="1"/>
        <v/>
      </c>
      <c r="B9127" s="37" t="str">
        <f t="array" ref="B9127">iferror(xlookup($I9127, 'IMPORT VHC Report'!$E:$E, 'IMPORT VHC Report'!$A:$C), )</f>
        <v/>
      </c>
      <c r="C9127" s="44"/>
      <c r="D9127" s="44"/>
      <c r="L9127" s="45"/>
      <c r="N9127" s="45"/>
    </row>
    <row r="9128">
      <c r="A9128" s="40" t="str">
        <f t="shared" si="1"/>
        <v/>
      </c>
      <c r="B9128" s="37" t="str">
        <f t="array" ref="B9128">iferror(xlookup($I9128, 'IMPORT VHC Report'!$E:$E, 'IMPORT VHC Report'!$A:$C), )</f>
        <v/>
      </c>
      <c r="C9128" s="44"/>
      <c r="D9128" s="44"/>
      <c r="L9128" s="45"/>
      <c r="N9128" s="45"/>
    </row>
    <row r="9129">
      <c r="A9129" s="40" t="str">
        <f t="shared" si="1"/>
        <v/>
      </c>
      <c r="B9129" s="37" t="str">
        <f t="array" ref="B9129">iferror(xlookup($I9129, 'IMPORT VHC Report'!$E:$E, 'IMPORT VHC Report'!$A:$C), )</f>
        <v/>
      </c>
      <c r="C9129" s="44"/>
      <c r="D9129" s="44"/>
      <c r="L9129" s="45"/>
      <c r="N9129" s="45"/>
    </row>
    <row r="9130">
      <c r="A9130" s="40" t="str">
        <f t="shared" si="1"/>
        <v/>
      </c>
      <c r="B9130" s="37" t="str">
        <f t="array" ref="B9130">iferror(xlookup($I9130, 'IMPORT VHC Report'!$E:$E, 'IMPORT VHC Report'!$A:$C), )</f>
        <v/>
      </c>
      <c r="C9130" s="44"/>
      <c r="D9130" s="44"/>
      <c r="L9130" s="45"/>
      <c r="N9130" s="45"/>
    </row>
    <row r="9131">
      <c r="A9131" s="40" t="str">
        <f t="shared" si="1"/>
        <v/>
      </c>
      <c r="B9131" s="37" t="str">
        <f t="array" ref="B9131">iferror(xlookup($I9131, 'IMPORT VHC Report'!$E:$E, 'IMPORT VHC Report'!$A:$C), )</f>
        <v/>
      </c>
      <c r="C9131" s="44"/>
      <c r="D9131" s="44"/>
      <c r="L9131" s="45"/>
      <c r="N9131" s="45"/>
    </row>
    <row r="9132">
      <c r="A9132" s="40" t="str">
        <f t="shared" si="1"/>
        <v/>
      </c>
      <c r="B9132" s="37" t="str">
        <f t="array" ref="B9132">iferror(xlookup($I9132, 'IMPORT VHC Report'!$E:$E, 'IMPORT VHC Report'!$A:$C), )</f>
        <v/>
      </c>
      <c r="C9132" s="44"/>
      <c r="D9132" s="44"/>
      <c r="L9132" s="45"/>
      <c r="N9132" s="45"/>
    </row>
    <row r="9133">
      <c r="A9133" s="40" t="str">
        <f t="shared" si="1"/>
        <v/>
      </c>
      <c r="B9133" s="37" t="str">
        <f t="array" ref="B9133">iferror(xlookup($I9133, 'IMPORT VHC Report'!$E:$E, 'IMPORT VHC Report'!$A:$C), )</f>
        <v/>
      </c>
      <c r="C9133" s="44"/>
      <c r="D9133" s="44"/>
      <c r="L9133" s="45"/>
      <c r="N9133" s="45"/>
    </row>
    <row r="9134">
      <c r="A9134" s="40" t="str">
        <f t="shared" si="1"/>
        <v/>
      </c>
      <c r="B9134" s="37" t="str">
        <f t="array" ref="B9134">iferror(xlookup($I9134, 'IMPORT VHC Report'!$E:$E, 'IMPORT VHC Report'!$A:$C), )</f>
        <v/>
      </c>
      <c r="C9134" s="44"/>
      <c r="D9134" s="44"/>
      <c r="L9134" s="45"/>
      <c r="N9134" s="45"/>
    </row>
    <row r="9135">
      <c r="A9135" s="40" t="str">
        <f t="shared" si="1"/>
        <v/>
      </c>
      <c r="B9135" s="37" t="str">
        <f t="array" ref="B9135">iferror(xlookup($I9135, 'IMPORT VHC Report'!$E:$E, 'IMPORT VHC Report'!$A:$C), )</f>
        <v/>
      </c>
      <c r="C9135" s="44"/>
      <c r="D9135" s="44"/>
      <c r="L9135" s="45"/>
      <c r="N9135" s="45"/>
    </row>
    <row r="9136">
      <c r="A9136" s="40" t="str">
        <f t="shared" si="1"/>
        <v/>
      </c>
      <c r="B9136" s="37" t="str">
        <f t="array" ref="B9136">iferror(xlookup($I9136, 'IMPORT VHC Report'!$E:$E, 'IMPORT VHC Report'!$A:$C), )</f>
        <v/>
      </c>
      <c r="C9136" s="44"/>
      <c r="D9136" s="44"/>
      <c r="L9136" s="45"/>
      <c r="N9136" s="45"/>
    </row>
    <row r="9137">
      <c r="A9137" s="40" t="str">
        <f t="shared" si="1"/>
        <v/>
      </c>
      <c r="B9137" s="37" t="str">
        <f t="array" ref="B9137">iferror(xlookup($I9137, 'IMPORT VHC Report'!$E:$E, 'IMPORT VHC Report'!$A:$C), )</f>
        <v/>
      </c>
      <c r="C9137" s="44"/>
      <c r="D9137" s="44"/>
      <c r="L9137" s="45"/>
      <c r="N9137" s="45"/>
    </row>
    <row r="9138">
      <c r="A9138" s="40" t="str">
        <f t="shared" si="1"/>
        <v/>
      </c>
      <c r="B9138" s="37" t="str">
        <f t="array" ref="B9138">iferror(xlookup($I9138, 'IMPORT VHC Report'!$E:$E, 'IMPORT VHC Report'!$A:$C), )</f>
        <v/>
      </c>
      <c r="C9138" s="44"/>
      <c r="D9138" s="44"/>
      <c r="L9138" s="45"/>
      <c r="N9138" s="45"/>
    </row>
    <row r="9139">
      <c r="A9139" s="40" t="str">
        <f t="shared" si="1"/>
        <v/>
      </c>
      <c r="B9139" s="37" t="str">
        <f t="array" ref="B9139">iferror(xlookup($I9139, 'IMPORT VHC Report'!$E:$E, 'IMPORT VHC Report'!$A:$C), )</f>
        <v/>
      </c>
      <c r="C9139" s="44"/>
      <c r="D9139" s="44"/>
      <c r="L9139" s="45"/>
      <c r="N9139" s="45"/>
    </row>
    <row r="9140">
      <c r="A9140" s="40" t="str">
        <f t="shared" si="1"/>
        <v/>
      </c>
      <c r="B9140" s="37" t="str">
        <f t="array" ref="B9140">iferror(xlookup($I9140, 'IMPORT VHC Report'!$E:$E, 'IMPORT VHC Report'!$A:$C), )</f>
        <v/>
      </c>
      <c r="C9140" s="44"/>
      <c r="D9140" s="44"/>
      <c r="L9140" s="45"/>
      <c r="N9140" s="45"/>
    </row>
    <row r="9141">
      <c r="A9141" s="40" t="str">
        <f t="shared" si="1"/>
        <v/>
      </c>
      <c r="B9141" s="37" t="str">
        <f t="array" ref="B9141">iferror(xlookup($I9141, 'IMPORT VHC Report'!$E:$E, 'IMPORT VHC Report'!$A:$C), )</f>
        <v/>
      </c>
      <c r="C9141" s="44"/>
      <c r="D9141" s="44"/>
      <c r="L9141" s="45"/>
      <c r="N9141" s="45"/>
    </row>
    <row r="9142">
      <c r="A9142" s="40" t="str">
        <f t="shared" si="1"/>
        <v/>
      </c>
      <c r="B9142" s="37" t="str">
        <f t="array" ref="B9142">iferror(xlookup($I9142, 'IMPORT VHC Report'!$E:$E, 'IMPORT VHC Report'!$A:$C), )</f>
        <v/>
      </c>
      <c r="C9142" s="44"/>
      <c r="D9142" s="44"/>
      <c r="L9142" s="45"/>
      <c r="N9142" s="45"/>
    </row>
    <row r="9143">
      <c r="A9143" s="40" t="str">
        <f t="shared" si="1"/>
        <v/>
      </c>
      <c r="B9143" s="37" t="str">
        <f t="array" ref="B9143">iferror(xlookup($I9143, 'IMPORT VHC Report'!$E:$E, 'IMPORT VHC Report'!$A:$C), )</f>
        <v/>
      </c>
      <c r="C9143" s="44"/>
      <c r="D9143" s="44"/>
      <c r="L9143" s="45"/>
      <c r="N9143" s="45"/>
    </row>
    <row r="9144">
      <c r="A9144" s="40" t="str">
        <f t="shared" si="1"/>
        <v/>
      </c>
      <c r="B9144" s="37" t="str">
        <f t="array" ref="B9144">iferror(xlookup($I9144, 'IMPORT VHC Report'!$E:$E, 'IMPORT VHC Report'!$A:$C), )</f>
        <v/>
      </c>
      <c r="C9144" s="44"/>
      <c r="D9144" s="44"/>
      <c r="L9144" s="45"/>
      <c r="N9144" s="45"/>
    </row>
    <row r="9145">
      <c r="A9145" s="40" t="str">
        <f t="shared" si="1"/>
        <v/>
      </c>
      <c r="B9145" s="37" t="str">
        <f t="array" ref="B9145">iferror(xlookup($I9145, 'IMPORT VHC Report'!$E:$E, 'IMPORT VHC Report'!$A:$C), )</f>
        <v/>
      </c>
      <c r="C9145" s="44"/>
      <c r="D9145" s="44"/>
      <c r="L9145" s="45"/>
      <c r="N9145" s="45"/>
    </row>
    <row r="9146">
      <c r="A9146" s="40" t="str">
        <f t="shared" si="1"/>
        <v/>
      </c>
      <c r="B9146" s="37" t="str">
        <f t="array" ref="B9146">iferror(xlookup($I9146, 'IMPORT VHC Report'!$E:$E, 'IMPORT VHC Report'!$A:$C), )</f>
        <v/>
      </c>
      <c r="C9146" s="44"/>
      <c r="D9146" s="44"/>
      <c r="L9146" s="45"/>
      <c r="N9146" s="45"/>
    </row>
    <row r="9147">
      <c r="A9147" s="40" t="str">
        <f t="shared" si="1"/>
        <v/>
      </c>
      <c r="B9147" s="37" t="str">
        <f t="array" ref="B9147">iferror(xlookup($I9147, 'IMPORT VHC Report'!$E:$E, 'IMPORT VHC Report'!$A:$C), )</f>
        <v/>
      </c>
      <c r="C9147" s="44"/>
      <c r="D9147" s="44"/>
      <c r="L9147" s="45"/>
      <c r="N9147" s="45"/>
    </row>
    <row r="9148">
      <c r="A9148" s="40" t="str">
        <f t="shared" si="1"/>
        <v/>
      </c>
      <c r="B9148" s="37" t="str">
        <f t="array" ref="B9148">iferror(xlookup($I9148, 'IMPORT VHC Report'!$E:$E, 'IMPORT VHC Report'!$A:$C), )</f>
        <v/>
      </c>
      <c r="C9148" s="44"/>
      <c r="D9148" s="44"/>
      <c r="L9148" s="45"/>
      <c r="N9148" s="45"/>
    </row>
    <row r="9149">
      <c r="A9149" s="40" t="str">
        <f t="shared" si="1"/>
        <v/>
      </c>
      <c r="B9149" s="37" t="str">
        <f t="array" ref="B9149">iferror(xlookup($I9149, 'IMPORT VHC Report'!$E:$E, 'IMPORT VHC Report'!$A:$C), )</f>
        <v/>
      </c>
      <c r="C9149" s="44"/>
      <c r="D9149" s="44"/>
      <c r="L9149" s="45"/>
      <c r="N9149" s="45"/>
    </row>
    <row r="9150">
      <c r="A9150" s="40" t="str">
        <f t="shared" si="1"/>
        <v/>
      </c>
      <c r="B9150" s="37" t="str">
        <f t="array" ref="B9150">iferror(xlookup($I9150, 'IMPORT VHC Report'!$E:$E, 'IMPORT VHC Report'!$A:$C), )</f>
        <v/>
      </c>
      <c r="C9150" s="44"/>
      <c r="D9150" s="44"/>
      <c r="L9150" s="45"/>
      <c r="N9150" s="45"/>
    </row>
    <row r="9151">
      <c r="A9151" s="40" t="str">
        <f t="shared" si="1"/>
        <v/>
      </c>
      <c r="B9151" s="37" t="str">
        <f t="array" ref="B9151">iferror(xlookup($I9151, 'IMPORT VHC Report'!$E:$E, 'IMPORT VHC Report'!$A:$C), )</f>
        <v/>
      </c>
      <c r="C9151" s="44"/>
      <c r="D9151" s="44"/>
      <c r="L9151" s="45"/>
      <c r="N9151" s="45"/>
    </row>
    <row r="9152">
      <c r="A9152" s="40" t="str">
        <f t="shared" si="1"/>
        <v/>
      </c>
      <c r="B9152" s="37" t="str">
        <f t="array" ref="B9152">iferror(xlookup($I9152, 'IMPORT VHC Report'!$E:$E, 'IMPORT VHC Report'!$A:$C), )</f>
        <v/>
      </c>
      <c r="C9152" s="44"/>
      <c r="D9152" s="44"/>
      <c r="L9152" s="45"/>
      <c r="N9152" s="45"/>
    </row>
    <row r="9153">
      <c r="A9153" s="40" t="str">
        <f t="shared" si="1"/>
        <v/>
      </c>
      <c r="B9153" s="37" t="str">
        <f t="array" ref="B9153">iferror(xlookup($I9153, 'IMPORT VHC Report'!$E:$E, 'IMPORT VHC Report'!$A:$C), )</f>
        <v/>
      </c>
      <c r="C9153" s="44"/>
      <c r="D9153" s="44"/>
      <c r="L9153" s="45"/>
      <c r="N9153" s="45"/>
    </row>
    <row r="9154">
      <c r="A9154" s="40" t="str">
        <f t="shared" si="1"/>
        <v/>
      </c>
      <c r="B9154" s="37" t="str">
        <f t="array" ref="B9154">iferror(xlookup($I9154, 'IMPORT VHC Report'!$E:$E, 'IMPORT VHC Report'!$A:$C), )</f>
        <v/>
      </c>
      <c r="C9154" s="44"/>
      <c r="D9154" s="44"/>
      <c r="L9154" s="45"/>
      <c r="N9154" s="45"/>
    </row>
    <row r="9155">
      <c r="A9155" s="40" t="str">
        <f t="shared" si="1"/>
        <v/>
      </c>
      <c r="B9155" s="37" t="str">
        <f t="array" ref="B9155">iferror(xlookup($I9155, 'IMPORT VHC Report'!$E:$E, 'IMPORT VHC Report'!$A:$C), )</f>
        <v/>
      </c>
      <c r="C9155" s="44"/>
      <c r="D9155" s="44"/>
      <c r="L9155" s="45"/>
      <c r="N9155" s="45"/>
    </row>
    <row r="9156">
      <c r="A9156" s="40" t="str">
        <f t="shared" si="1"/>
        <v/>
      </c>
      <c r="B9156" s="37" t="str">
        <f t="array" ref="B9156">iferror(xlookup($I9156, 'IMPORT VHC Report'!$E:$E, 'IMPORT VHC Report'!$A:$C), )</f>
        <v/>
      </c>
      <c r="C9156" s="44"/>
      <c r="D9156" s="44"/>
      <c r="L9156" s="45"/>
      <c r="N9156" s="45"/>
    </row>
    <row r="9157">
      <c r="A9157" s="40" t="str">
        <f t="shared" si="1"/>
        <v/>
      </c>
      <c r="B9157" s="37" t="str">
        <f t="array" ref="B9157">iferror(xlookup($I9157, 'IMPORT VHC Report'!$E:$E, 'IMPORT VHC Report'!$A:$C), )</f>
        <v/>
      </c>
      <c r="C9157" s="44"/>
      <c r="D9157" s="44"/>
      <c r="L9157" s="45"/>
      <c r="N9157" s="45"/>
    </row>
    <row r="9158">
      <c r="A9158" s="40" t="str">
        <f t="shared" si="1"/>
        <v/>
      </c>
      <c r="B9158" s="37" t="str">
        <f t="array" ref="B9158">iferror(xlookup($I9158, 'IMPORT VHC Report'!$E:$E, 'IMPORT VHC Report'!$A:$C), )</f>
        <v/>
      </c>
      <c r="C9158" s="44"/>
      <c r="D9158" s="44"/>
      <c r="L9158" s="45"/>
      <c r="N9158" s="45"/>
    </row>
    <row r="9159">
      <c r="A9159" s="40" t="str">
        <f t="shared" si="1"/>
        <v/>
      </c>
      <c r="B9159" s="37" t="str">
        <f t="array" ref="B9159">iferror(xlookup($I9159, 'IMPORT VHC Report'!$E:$E, 'IMPORT VHC Report'!$A:$C), )</f>
        <v/>
      </c>
      <c r="C9159" s="44"/>
      <c r="D9159" s="44"/>
      <c r="L9159" s="45"/>
      <c r="N9159" s="45"/>
    </row>
    <row r="9160">
      <c r="A9160" s="40" t="str">
        <f t="shared" si="1"/>
        <v/>
      </c>
      <c r="B9160" s="37" t="str">
        <f t="array" ref="B9160">iferror(xlookup($I9160, 'IMPORT VHC Report'!$E:$E, 'IMPORT VHC Report'!$A:$C), )</f>
        <v/>
      </c>
      <c r="C9160" s="44"/>
      <c r="D9160" s="44"/>
      <c r="L9160" s="45"/>
      <c r="N9160" s="45"/>
    </row>
    <row r="9161">
      <c r="A9161" s="40" t="str">
        <f t="shared" si="1"/>
        <v/>
      </c>
      <c r="B9161" s="37" t="str">
        <f t="array" ref="B9161">iferror(xlookup($I9161, 'IMPORT VHC Report'!$E:$E, 'IMPORT VHC Report'!$A:$C), )</f>
        <v/>
      </c>
      <c r="C9161" s="44"/>
      <c r="D9161" s="44"/>
      <c r="L9161" s="45"/>
      <c r="N9161" s="45"/>
    </row>
    <row r="9162">
      <c r="A9162" s="40" t="str">
        <f t="shared" si="1"/>
        <v/>
      </c>
      <c r="B9162" s="37" t="str">
        <f t="array" ref="B9162">iferror(xlookup($I9162, 'IMPORT VHC Report'!$E:$E, 'IMPORT VHC Report'!$A:$C), )</f>
        <v/>
      </c>
      <c r="C9162" s="44"/>
      <c r="D9162" s="44"/>
      <c r="L9162" s="45"/>
      <c r="N9162" s="45"/>
    </row>
    <row r="9163">
      <c r="A9163" s="40" t="str">
        <f t="shared" si="1"/>
        <v/>
      </c>
      <c r="B9163" s="37" t="str">
        <f t="array" ref="B9163">iferror(xlookup($I9163, 'IMPORT VHC Report'!$E:$E, 'IMPORT VHC Report'!$A:$C), )</f>
        <v/>
      </c>
      <c r="C9163" s="44"/>
      <c r="D9163" s="44"/>
      <c r="L9163" s="45"/>
      <c r="N9163" s="45"/>
    </row>
    <row r="9164">
      <c r="A9164" s="40" t="str">
        <f t="shared" si="1"/>
        <v/>
      </c>
      <c r="B9164" s="37" t="str">
        <f t="array" ref="B9164">iferror(xlookup($I9164, 'IMPORT VHC Report'!$E:$E, 'IMPORT VHC Report'!$A:$C), )</f>
        <v/>
      </c>
      <c r="C9164" s="44"/>
      <c r="D9164" s="44"/>
      <c r="L9164" s="45"/>
      <c r="N9164" s="45"/>
    </row>
    <row r="9165">
      <c r="A9165" s="40" t="str">
        <f t="shared" si="1"/>
        <v/>
      </c>
      <c r="B9165" s="37" t="str">
        <f t="array" ref="B9165">iferror(xlookup($I9165, 'IMPORT VHC Report'!$E:$E, 'IMPORT VHC Report'!$A:$C), )</f>
        <v/>
      </c>
      <c r="C9165" s="44"/>
      <c r="D9165" s="44"/>
      <c r="L9165" s="45"/>
      <c r="N9165" s="45"/>
    </row>
    <row r="9166">
      <c r="A9166" s="40" t="str">
        <f t="shared" si="1"/>
        <v/>
      </c>
      <c r="B9166" s="37" t="str">
        <f t="array" ref="B9166">iferror(xlookup($I9166, 'IMPORT VHC Report'!$E:$E, 'IMPORT VHC Report'!$A:$C), )</f>
        <v/>
      </c>
      <c r="C9166" s="44"/>
      <c r="D9166" s="44"/>
      <c r="L9166" s="45"/>
      <c r="N9166" s="45"/>
    </row>
    <row r="9167">
      <c r="A9167" s="40" t="str">
        <f t="shared" si="1"/>
        <v/>
      </c>
      <c r="B9167" s="37" t="str">
        <f t="array" ref="B9167">iferror(xlookup($I9167, 'IMPORT VHC Report'!$E:$E, 'IMPORT VHC Report'!$A:$C), )</f>
        <v/>
      </c>
      <c r="C9167" s="44"/>
      <c r="D9167" s="44"/>
      <c r="L9167" s="45"/>
      <c r="N9167" s="45"/>
    </row>
    <row r="9168">
      <c r="A9168" s="40" t="str">
        <f t="shared" si="1"/>
        <v/>
      </c>
      <c r="B9168" s="37" t="str">
        <f t="array" ref="B9168">iferror(xlookup($I9168, 'IMPORT VHC Report'!$E:$E, 'IMPORT VHC Report'!$A:$C), )</f>
        <v/>
      </c>
      <c r="C9168" s="44"/>
      <c r="D9168" s="44"/>
      <c r="L9168" s="45"/>
      <c r="N9168" s="45"/>
    </row>
    <row r="9169">
      <c r="A9169" s="40" t="str">
        <f t="shared" si="1"/>
        <v/>
      </c>
      <c r="B9169" s="37" t="str">
        <f t="array" ref="B9169">iferror(xlookup($I9169, 'IMPORT VHC Report'!$E:$E, 'IMPORT VHC Report'!$A:$C), )</f>
        <v/>
      </c>
      <c r="C9169" s="44"/>
      <c r="D9169" s="44"/>
      <c r="L9169" s="45"/>
      <c r="N9169" s="45"/>
    </row>
    <row r="9170">
      <c r="A9170" s="40" t="str">
        <f t="shared" si="1"/>
        <v/>
      </c>
      <c r="B9170" s="37" t="str">
        <f t="array" ref="B9170">iferror(xlookup($I9170, 'IMPORT VHC Report'!$E:$E, 'IMPORT VHC Report'!$A:$C), )</f>
        <v/>
      </c>
      <c r="C9170" s="44"/>
      <c r="D9170" s="44"/>
      <c r="L9170" s="45"/>
      <c r="N9170" s="45"/>
    </row>
    <row r="9171">
      <c r="A9171" s="40" t="str">
        <f t="shared" si="1"/>
        <v/>
      </c>
      <c r="B9171" s="37" t="str">
        <f t="array" ref="B9171">iferror(xlookup($I9171, 'IMPORT VHC Report'!$E:$E, 'IMPORT VHC Report'!$A:$C), )</f>
        <v/>
      </c>
      <c r="C9171" s="44"/>
      <c r="D9171" s="44"/>
      <c r="L9171" s="45"/>
      <c r="N9171" s="45"/>
    </row>
    <row r="9172">
      <c r="A9172" s="40" t="str">
        <f t="shared" si="1"/>
        <v/>
      </c>
      <c r="B9172" s="37" t="str">
        <f t="array" ref="B9172">iferror(xlookup($I9172, 'IMPORT VHC Report'!$E:$E, 'IMPORT VHC Report'!$A:$C), )</f>
        <v/>
      </c>
      <c r="C9172" s="44"/>
      <c r="D9172" s="44"/>
      <c r="L9172" s="45"/>
      <c r="N9172" s="45"/>
    </row>
    <row r="9173">
      <c r="A9173" s="40" t="str">
        <f t="shared" si="1"/>
        <v/>
      </c>
      <c r="B9173" s="37" t="str">
        <f t="array" ref="B9173">iferror(xlookup($I9173, 'IMPORT VHC Report'!$E:$E, 'IMPORT VHC Report'!$A:$C), )</f>
        <v/>
      </c>
      <c r="C9173" s="44"/>
      <c r="D9173" s="44"/>
      <c r="L9173" s="45"/>
      <c r="N9173" s="45"/>
    </row>
    <row r="9174">
      <c r="A9174" s="40" t="str">
        <f t="shared" si="1"/>
        <v/>
      </c>
      <c r="B9174" s="37" t="str">
        <f t="array" ref="B9174">iferror(xlookup($I9174, 'IMPORT VHC Report'!$E:$E, 'IMPORT VHC Report'!$A:$C), )</f>
        <v/>
      </c>
      <c r="C9174" s="44"/>
      <c r="D9174" s="44"/>
      <c r="L9174" s="45"/>
      <c r="N9174" s="45"/>
    </row>
    <row r="9175">
      <c r="A9175" s="40" t="str">
        <f t="shared" si="1"/>
        <v/>
      </c>
      <c r="B9175" s="37" t="str">
        <f t="array" ref="B9175">iferror(xlookup($I9175, 'IMPORT VHC Report'!$E:$E, 'IMPORT VHC Report'!$A:$C), )</f>
        <v/>
      </c>
      <c r="C9175" s="44"/>
      <c r="D9175" s="44"/>
      <c r="L9175" s="45"/>
      <c r="N9175" s="45"/>
    </row>
    <row r="9176">
      <c r="A9176" s="40" t="str">
        <f t="shared" si="1"/>
        <v/>
      </c>
      <c r="B9176" s="37" t="str">
        <f t="array" ref="B9176">iferror(xlookup($I9176, 'IMPORT VHC Report'!$E:$E, 'IMPORT VHC Report'!$A:$C), )</f>
        <v/>
      </c>
      <c r="C9176" s="44"/>
      <c r="D9176" s="44"/>
      <c r="L9176" s="45"/>
      <c r="N9176" s="45"/>
    </row>
    <row r="9177">
      <c r="A9177" s="40" t="str">
        <f t="shared" si="1"/>
        <v/>
      </c>
      <c r="B9177" s="37" t="str">
        <f t="array" ref="B9177">iferror(xlookup($I9177, 'IMPORT VHC Report'!$E:$E, 'IMPORT VHC Report'!$A:$C), )</f>
        <v/>
      </c>
      <c r="C9177" s="44"/>
      <c r="D9177" s="44"/>
      <c r="L9177" s="45"/>
      <c r="N9177" s="45"/>
    </row>
    <row r="9178">
      <c r="A9178" s="40" t="str">
        <f t="shared" si="1"/>
        <v/>
      </c>
      <c r="B9178" s="37" t="str">
        <f t="array" ref="B9178">iferror(xlookup($I9178, 'IMPORT VHC Report'!$E:$E, 'IMPORT VHC Report'!$A:$C), )</f>
        <v/>
      </c>
      <c r="C9178" s="44"/>
      <c r="D9178" s="44"/>
      <c r="L9178" s="45"/>
      <c r="N9178" s="45"/>
    </row>
    <row r="9179">
      <c r="A9179" s="40" t="str">
        <f t="shared" si="1"/>
        <v/>
      </c>
      <c r="B9179" s="37" t="str">
        <f t="array" ref="B9179">iferror(xlookup($I9179, 'IMPORT VHC Report'!$E:$E, 'IMPORT VHC Report'!$A:$C), )</f>
        <v/>
      </c>
      <c r="C9179" s="44"/>
      <c r="D9179" s="44"/>
      <c r="L9179" s="45"/>
      <c r="N9179" s="45"/>
    </row>
    <row r="9180">
      <c r="A9180" s="40" t="str">
        <f t="shared" si="1"/>
        <v/>
      </c>
      <c r="B9180" s="37" t="str">
        <f t="array" ref="B9180">iferror(xlookup($I9180, 'IMPORT VHC Report'!$E:$E, 'IMPORT VHC Report'!$A:$C), )</f>
        <v/>
      </c>
      <c r="C9180" s="44"/>
      <c r="D9180" s="44"/>
      <c r="L9180" s="45"/>
      <c r="N9180" s="45"/>
    </row>
    <row r="9181">
      <c r="A9181" s="40" t="str">
        <f t="shared" si="1"/>
        <v/>
      </c>
      <c r="B9181" s="37" t="str">
        <f t="array" ref="B9181">iferror(xlookup($I9181, 'IMPORT VHC Report'!$E:$E, 'IMPORT VHC Report'!$A:$C), )</f>
        <v/>
      </c>
      <c r="C9181" s="44"/>
      <c r="D9181" s="44"/>
      <c r="L9181" s="45"/>
      <c r="N9181" s="45"/>
    </row>
    <row r="9182">
      <c r="A9182" s="40" t="str">
        <f t="shared" si="1"/>
        <v/>
      </c>
      <c r="B9182" s="37" t="str">
        <f t="array" ref="B9182">iferror(xlookup($I9182, 'IMPORT VHC Report'!$E:$E, 'IMPORT VHC Report'!$A:$C), )</f>
        <v/>
      </c>
      <c r="C9182" s="44"/>
      <c r="D9182" s="44"/>
      <c r="L9182" s="45"/>
      <c r="N9182" s="45"/>
    </row>
    <row r="9183">
      <c r="A9183" s="40" t="str">
        <f t="shared" si="1"/>
        <v/>
      </c>
      <c r="B9183" s="37" t="str">
        <f t="array" ref="B9183">iferror(xlookup($I9183, 'IMPORT VHC Report'!$E:$E, 'IMPORT VHC Report'!$A:$C), )</f>
        <v/>
      </c>
      <c r="C9183" s="44"/>
      <c r="D9183" s="44"/>
      <c r="L9183" s="45"/>
      <c r="N9183" s="45"/>
    </row>
    <row r="9184">
      <c r="A9184" s="40" t="str">
        <f t="shared" si="1"/>
        <v/>
      </c>
      <c r="B9184" s="37" t="str">
        <f t="array" ref="B9184">iferror(xlookup($I9184, 'IMPORT VHC Report'!$E:$E, 'IMPORT VHC Report'!$A:$C), )</f>
        <v/>
      </c>
      <c r="C9184" s="44"/>
      <c r="D9184" s="44"/>
      <c r="L9184" s="45"/>
      <c r="N9184" s="45"/>
    </row>
    <row r="9185">
      <c r="A9185" s="40" t="str">
        <f t="shared" si="1"/>
        <v/>
      </c>
      <c r="B9185" s="37" t="str">
        <f t="array" ref="B9185">iferror(xlookup($I9185, 'IMPORT VHC Report'!$E:$E, 'IMPORT VHC Report'!$A:$C), )</f>
        <v/>
      </c>
      <c r="C9185" s="44"/>
      <c r="D9185" s="44"/>
      <c r="L9185" s="45"/>
      <c r="N9185" s="45"/>
    </row>
    <row r="9186">
      <c r="A9186" s="40" t="str">
        <f t="shared" si="1"/>
        <v/>
      </c>
      <c r="B9186" s="37" t="str">
        <f t="array" ref="B9186">iferror(xlookup($I9186, 'IMPORT VHC Report'!$E:$E, 'IMPORT VHC Report'!$A:$C), )</f>
        <v/>
      </c>
      <c r="C9186" s="44"/>
      <c r="D9186" s="44"/>
      <c r="L9186" s="45"/>
      <c r="N9186" s="45"/>
    </row>
    <row r="9187">
      <c r="A9187" s="40" t="str">
        <f t="shared" si="1"/>
        <v/>
      </c>
      <c r="B9187" s="37" t="str">
        <f t="array" ref="B9187">iferror(xlookup($I9187, 'IMPORT VHC Report'!$E:$E, 'IMPORT VHC Report'!$A:$C), )</f>
        <v/>
      </c>
      <c r="C9187" s="44"/>
      <c r="D9187" s="44"/>
      <c r="L9187" s="45"/>
      <c r="N9187" s="45"/>
    </row>
    <row r="9188">
      <c r="A9188" s="40" t="str">
        <f t="shared" si="1"/>
        <v/>
      </c>
      <c r="B9188" s="37" t="str">
        <f t="array" ref="B9188">iferror(xlookup($I9188, 'IMPORT VHC Report'!$E:$E, 'IMPORT VHC Report'!$A:$C), )</f>
        <v/>
      </c>
      <c r="C9188" s="44"/>
      <c r="D9188" s="44"/>
      <c r="L9188" s="45"/>
      <c r="N9188" s="45"/>
    </row>
    <row r="9189">
      <c r="A9189" s="40" t="str">
        <f t="shared" si="1"/>
        <v/>
      </c>
      <c r="B9189" s="37" t="str">
        <f t="array" ref="B9189">iferror(xlookup($I9189, 'IMPORT VHC Report'!$E:$E, 'IMPORT VHC Report'!$A:$C), )</f>
        <v/>
      </c>
      <c r="C9189" s="44"/>
      <c r="D9189" s="44"/>
      <c r="L9189" s="45"/>
      <c r="N9189" s="45"/>
    </row>
    <row r="9190">
      <c r="A9190" s="40" t="str">
        <f t="shared" si="1"/>
        <v/>
      </c>
      <c r="B9190" s="37" t="str">
        <f t="array" ref="B9190">iferror(xlookup($I9190, 'IMPORT VHC Report'!$E:$E, 'IMPORT VHC Report'!$A:$C), )</f>
        <v/>
      </c>
      <c r="C9190" s="44"/>
      <c r="D9190" s="44"/>
      <c r="L9190" s="45"/>
      <c r="N9190" s="45"/>
    </row>
    <row r="9191">
      <c r="A9191" s="40" t="str">
        <f t="shared" si="1"/>
        <v/>
      </c>
      <c r="B9191" s="37" t="str">
        <f t="array" ref="B9191">iferror(xlookup($I9191, 'IMPORT VHC Report'!$E:$E, 'IMPORT VHC Report'!$A:$C), )</f>
        <v/>
      </c>
      <c r="C9191" s="44"/>
      <c r="D9191" s="44"/>
      <c r="L9191" s="45"/>
      <c r="N9191" s="45"/>
    </row>
    <row r="9192">
      <c r="A9192" s="40" t="str">
        <f t="shared" si="1"/>
        <v/>
      </c>
      <c r="B9192" s="37" t="str">
        <f t="array" ref="B9192">iferror(xlookup($I9192, 'IMPORT VHC Report'!$E:$E, 'IMPORT VHC Report'!$A:$C), )</f>
        <v/>
      </c>
      <c r="C9192" s="44"/>
      <c r="D9192" s="44"/>
      <c r="L9192" s="45"/>
      <c r="N9192" s="45"/>
    </row>
    <row r="9193">
      <c r="A9193" s="40" t="str">
        <f t="shared" si="1"/>
        <v/>
      </c>
      <c r="B9193" s="37" t="str">
        <f t="array" ref="B9193">iferror(xlookup($I9193, 'IMPORT VHC Report'!$E:$E, 'IMPORT VHC Report'!$A:$C), )</f>
        <v/>
      </c>
      <c r="C9193" s="44"/>
      <c r="D9193" s="44"/>
      <c r="L9193" s="45"/>
      <c r="N9193" s="45"/>
    </row>
    <row r="9194">
      <c r="A9194" s="40" t="str">
        <f t="shared" si="1"/>
        <v/>
      </c>
      <c r="B9194" s="37" t="str">
        <f t="array" ref="B9194">iferror(xlookup($I9194, 'IMPORT VHC Report'!$E:$E, 'IMPORT VHC Report'!$A:$C), )</f>
        <v/>
      </c>
      <c r="C9194" s="44"/>
      <c r="D9194" s="44"/>
      <c r="L9194" s="45"/>
      <c r="N9194" s="45"/>
    </row>
    <row r="9195">
      <c r="A9195" s="40" t="str">
        <f t="shared" si="1"/>
        <v/>
      </c>
      <c r="B9195" s="37" t="str">
        <f t="array" ref="B9195">iferror(xlookup($I9195, 'IMPORT VHC Report'!$E:$E, 'IMPORT VHC Report'!$A:$C), )</f>
        <v/>
      </c>
      <c r="C9195" s="44"/>
      <c r="D9195" s="44"/>
      <c r="L9195" s="45"/>
      <c r="N9195" s="45"/>
    </row>
    <row r="9196">
      <c r="A9196" s="40" t="str">
        <f t="shared" si="1"/>
        <v/>
      </c>
      <c r="B9196" s="37" t="str">
        <f t="array" ref="B9196">iferror(xlookup($I9196, 'IMPORT VHC Report'!$E:$E, 'IMPORT VHC Report'!$A:$C), )</f>
        <v/>
      </c>
      <c r="C9196" s="44"/>
      <c r="D9196" s="44"/>
      <c r="L9196" s="45"/>
      <c r="N9196" s="45"/>
    </row>
    <row r="9197">
      <c r="A9197" s="40" t="str">
        <f t="shared" si="1"/>
        <v/>
      </c>
      <c r="B9197" s="37" t="str">
        <f t="array" ref="B9197">iferror(xlookup($I9197, 'IMPORT VHC Report'!$E:$E, 'IMPORT VHC Report'!$A:$C), )</f>
        <v/>
      </c>
      <c r="C9197" s="44"/>
      <c r="D9197" s="44"/>
      <c r="L9197" s="45"/>
      <c r="N9197" s="45"/>
    </row>
    <row r="9198">
      <c r="A9198" s="40" t="str">
        <f t="shared" si="1"/>
        <v/>
      </c>
      <c r="B9198" s="37" t="str">
        <f t="array" ref="B9198">iferror(xlookup($I9198, 'IMPORT VHC Report'!$E:$E, 'IMPORT VHC Report'!$A:$C), )</f>
        <v/>
      </c>
      <c r="C9198" s="44"/>
      <c r="D9198" s="44"/>
      <c r="L9198" s="45"/>
      <c r="N9198" s="45"/>
    </row>
    <row r="9199">
      <c r="A9199" s="40" t="str">
        <f t="shared" si="1"/>
        <v/>
      </c>
      <c r="B9199" s="37" t="str">
        <f t="array" ref="B9199">iferror(xlookup($I9199, 'IMPORT VHC Report'!$E:$E, 'IMPORT VHC Report'!$A:$C), )</f>
        <v/>
      </c>
      <c r="C9199" s="44"/>
      <c r="D9199" s="44"/>
      <c r="L9199" s="45"/>
      <c r="N9199" s="45"/>
    </row>
    <row r="9200">
      <c r="A9200" s="40" t="str">
        <f t="shared" si="1"/>
        <v/>
      </c>
      <c r="B9200" s="37" t="str">
        <f t="array" ref="B9200">iferror(xlookup($I9200, 'IMPORT VHC Report'!$E:$E, 'IMPORT VHC Report'!$A:$C), )</f>
        <v/>
      </c>
      <c r="C9200" s="44"/>
      <c r="D9200" s="44"/>
      <c r="L9200" s="45"/>
      <c r="N9200" s="45"/>
    </row>
    <row r="9201">
      <c r="A9201" s="40" t="str">
        <f t="shared" si="1"/>
        <v/>
      </c>
      <c r="B9201" s="37" t="str">
        <f t="array" ref="B9201">iferror(xlookup($I9201, 'IMPORT VHC Report'!$E:$E, 'IMPORT VHC Report'!$A:$C), )</f>
        <v/>
      </c>
      <c r="C9201" s="44"/>
      <c r="D9201" s="44"/>
      <c r="L9201" s="45"/>
      <c r="N9201" s="45"/>
    </row>
    <row r="9202">
      <c r="A9202" s="40" t="str">
        <f t="shared" si="1"/>
        <v/>
      </c>
      <c r="B9202" s="37" t="str">
        <f t="array" ref="B9202">iferror(xlookup($I9202, 'IMPORT VHC Report'!$E:$E, 'IMPORT VHC Report'!$A:$C), )</f>
        <v/>
      </c>
      <c r="C9202" s="44"/>
      <c r="D9202" s="44"/>
      <c r="L9202" s="45"/>
      <c r="N9202" s="45"/>
    </row>
    <row r="9203">
      <c r="A9203" s="40" t="str">
        <f t="shared" si="1"/>
        <v/>
      </c>
      <c r="B9203" s="37" t="str">
        <f t="array" ref="B9203">iferror(xlookup($I9203, 'IMPORT VHC Report'!$E:$E, 'IMPORT VHC Report'!$A:$C), )</f>
        <v/>
      </c>
      <c r="C9203" s="44"/>
      <c r="D9203" s="44"/>
      <c r="L9203" s="45"/>
      <c r="N9203" s="45"/>
    </row>
    <row r="9204">
      <c r="A9204" s="40" t="str">
        <f t="shared" si="1"/>
        <v/>
      </c>
      <c r="B9204" s="37" t="str">
        <f t="array" ref="B9204">iferror(xlookup($I9204, 'IMPORT VHC Report'!$E:$E, 'IMPORT VHC Report'!$A:$C), )</f>
        <v/>
      </c>
      <c r="C9204" s="44"/>
      <c r="D9204" s="44"/>
      <c r="L9204" s="45"/>
      <c r="N9204" s="45"/>
    </row>
    <row r="9205">
      <c r="A9205" s="40" t="str">
        <f t="shared" si="1"/>
        <v/>
      </c>
      <c r="B9205" s="37" t="str">
        <f t="array" ref="B9205">iferror(xlookup($I9205, 'IMPORT VHC Report'!$E:$E, 'IMPORT VHC Report'!$A:$C), )</f>
        <v/>
      </c>
      <c r="C9205" s="44"/>
      <c r="D9205" s="44"/>
      <c r="L9205" s="45"/>
      <c r="N9205" s="45"/>
    </row>
    <row r="9206">
      <c r="A9206" s="40" t="str">
        <f t="shared" si="1"/>
        <v/>
      </c>
      <c r="B9206" s="37" t="str">
        <f t="array" ref="B9206">iferror(xlookup($I9206, 'IMPORT VHC Report'!$E:$E, 'IMPORT VHC Report'!$A:$C), )</f>
        <v/>
      </c>
      <c r="C9206" s="44"/>
      <c r="D9206" s="44"/>
      <c r="L9206" s="45"/>
      <c r="N9206" s="45"/>
    </row>
    <row r="9207">
      <c r="A9207" s="40" t="str">
        <f t="shared" si="1"/>
        <v/>
      </c>
      <c r="B9207" s="37" t="str">
        <f t="array" ref="B9207">iferror(xlookup($I9207, 'IMPORT VHC Report'!$E:$E, 'IMPORT VHC Report'!$A:$C), )</f>
        <v/>
      </c>
      <c r="C9207" s="44"/>
      <c r="D9207" s="44"/>
      <c r="L9207" s="45"/>
      <c r="N9207" s="45"/>
    </row>
    <row r="9208">
      <c r="A9208" s="40" t="str">
        <f t="shared" si="1"/>
        <v/>
      </c>
      <c r="B9208" s="37" t="str">
        <f t="array" ref="B9208">iferror(xlookup($I9208, 'IMPORT VHC Report'!$E:$E, 'IMPORT VHC Report'!$A:$C), )</f>
        <v/>
      </c>
      <c r="C9208" s="44"/>
      <c r="D9208" s="44"/>
      <c r="L9208" s="45"/>
      <c r="N9208" s="45"/>
    </row>
    <row r="9209">
      <c r="A9209" s="40" t="str">
        <f t="shared" si="1"/>
        <v/>
      </c>
      <c r="B9209" s="37" t="str">
        <f t="array" ref="B9209">iferror(xlookup($I9209, 'IMPORT VHC Report'!$E:$E, 'IMPORT VHC Report'!$A:$C), )</f>
        <v/>
      </c>
      <c r="C9209" s="44"/>
      <c r="D9209" s="44"/>
      <c r="L9209" s="45"/>
      <c r="N9209" s="45"/>
    </row>
    <row r="9210">
      <c r="A9210" s="40" t="str">
        <f t="shared" si="1"/>
        <v/>
      </c>
      <c r="B9210" s="37" t="str">
        <f t="array" ref="B9210">iferror(xlookup($I9210, 'IMPORT VHC Report'!$E:$E, 'IMPORT VHC Report'!$A:$C), )</f>
        <v/>
      </c>
      <c r="C9210" s="44"/>
      <c r="D9210" s="44"/>
      <c r="L9210" s="45"/>
      <c r="N9210" s="45"/>
    </row>
    <row r="9211">
      <c r="A9211" s="40" t="str">
        <f t="shared" si="1"/>
        <v/>
      </c>
      <c r="B9211" s="37" t="str">
        <f t="array" ref="B9211">iferror(xlookup($I9211, 'IMPORT VHC Report'!$E:$E, 'IMPORT VHC Report'!$A:$C), )</f>
        <v/>
      </c>
      <c r="C9211" s="44"/>
      <c r="D9211" s="44"/>
      <c r="L9211" s="45"/>
      <c r="N9211" s="45"/>
    </row>
    <row r="9212">
      <c r="A9212" s="40" t="str">
        <f t="shared" si="1"/>
        <v/>
      </c>
      <c r="B9212" s="37" t="str">
        <f t="array" ref="B9212">iferror(xlookup($I9212, 'IMPORT VHC Report'!$E:$E, 'IMPORT VHC Report'!$A:$C), )</f>
        <v/>
      </c>
      <c r="C9212" s="44"/>
      <c r="D9212" s="44"/>
      <c r="L9212" s="45"/>
      <c r="N9212" s="45"/>
    </row>
    <row r="9213">
      <c r="A9213" s="40" t="str">
        <f t="shared" si="1"/>
        <v/>
      </c>
      <c r="B9213" s="37" t="str">
        <f t="array" ref="B9213">iferror(xlookup($I9213, 'IMPORT VHC Report'!$E:$E, 'IMPORT VHC Report'!$A:$C), )</f>
        <v/>
      </c>
      <c r="C9213" s="44"/>
      <c r="D9213" s="44"/>
      <c r="L9213" s="45"/>
      <c r="N9213" s="45"/>
    </row>
    <row r="9214">
      <c r="A9214" s="40" t="str">
        <f t="shared" si="1"/>
        <v/>
      </c>
      <c r="B9214" s="37" t="str">
        <f t="array" ref="B9214">iferror(xlookup($I9214, 'IMPORT VHC Report'!$E:$E, 'IMPORT VHC Report'!$A:$C), )</f>
        <v/>
      </c>
      <c r="C9214" s="44"/>
      <c r="D9214" s="44"/>
      <c r="L9214" s="45"/>
      <c r="N9214" s="45"/>
    </row>
    <row r="9215">
      <c r="A9215" s="40" t="str">
        <f t="shared" si="1"/>
        <v/>
      </c>
      <c r="B9215" s="37" t="str">
        <f t="array" ref="B9215">iferror(xlookup($I9215, 'IMPORT VHC Report'!$E:$E, 'IMPORT VHC Report'!$A:$C), )</f>
        <v/>
      </c>
      <c r="C9215" s="44"/>
      <c r="D9215" s="44"/>
      <c r="L9215" s="45"/>
      <c r="N9215" s="45"/>
    </row>
    <row r="9216">
      <c r="A9216" s="40" t="str">
        <f t="shared" si="1"/>
        <v/>
      </c>
      <c r="B9216" s="37" t="str">
        <f t="array" ref="B9216">iferror(xlookup($I9216, 'IMPORT VHC Report'!$E:$E, 'IMPORT VHC Report'!$A:$C), )</f>
        <v/>
      </c>
      <c r="C9216" s="44"/>
      <c r="D9216" s="44"/>
      <c r="L9216" s="45"/>
      <c r="N9216" s="45"/>
    </row>
    <row r="9217">
      <c r="A9217" s="40" t="str">
        <f t="shared" si="1"/>
        <v/>
      </c>
      <c r="B9217" s="37" t="str">
        <f t="array" ref="B9217">iferror(xlookup($I9217, 'IMPORT VHC Report'!$E:$E, 'IMPORT VHC Report'!$A:$C), )</f>
        <v/>
      </c>
      <c r="C9217" s="44"/>
      <c r="D9217" s="44"/>
      <c r="L9217" s="45"/>
      <c r="N9217" s="45"/>
    </row>
    <row r="9218">
      <c r="A9218" s="40" t="str">
        <f t="shared" si="1"/>
        <v/>
      </c>
      <c r="B9218" s="37" t="str">
        <f t="array" ref="B9218">iferror(xlookup($I9218, 'IMPORT VHC Report'!$E:$E, 'IMPORT VHC Report'!$A:$C), )</f>
        <v/>
      </c>
      <c r="C9218" s="44"/>
      <c r="D9218" s="44"/>
      <c r="L9218" s="45"/>
      <c r="N9218" s="45"/>
    </row>
    <row r="9219">
      <c r="A9219" s="40" t="str">
        <f t="shared" si="1"/>
        <v/>
      </c>
      <c r="B9219" s="37" t="str">
        <f t="array" ref="B9219">iferror(xlookup($I9219, 'IMPORT VHC Report'!$E:$E, 'IMPORT VHC Report'!$A:$C), )</f>
        <v/>
      </c>
      <c r="C9219" s="44"/>
      <c r="D9219" s="44"/>
      <c r="L9219" s="45"/>
      <c r="N9219" s="45"/>
    </row>
    <row r="9220">
      <c r="A9220" s="40" t="str">
        <f t="shared" si="1"/>
        <v/>
      </c>
      <c r="B9220" s="37" t="str">
        <f t="array" ref="B9220">iferror(xlookup($I9220, 'IMPORT VHC Report'!$E:$E, 'IMPORT VHC Report'!$A:$C), )</f>
        <v/>
      </c>
      <c r="C9220" s="44"/>
      <c r="D9220" s="44"/>
      <c r="L9220" s="45"/>
      <c r="N9220" s="45"/>
    </row>
    <row r="9221">
      <c r="A9221" s="40" t="str">
        <f t="shared" si="1"/>
        <v/>
      </c>
      <c r="B9221" s="37" t="str">
        <f t="array" ref="B9221">iferror(xlookup($I9221, 'IMPORT VHC Report'!$E:$E, 'IMPORT VHC Report'!$A:$C), )</f>
        <v/>
      </c>
      <c r="C9221" s="44"/>
      <c r="D9221" s="44"/>
      <c r="L9221" s="45"/>
      <c r="N9221" s="45"/>
    </row>
    <row r="9222">
      <c r="A9222" s="40" t="str">
        <f t="shared" si="1"/>
        <v/>
      </c>
      <c r="B9222" s="37" t="str">
        <f t="array" ref="B9222">iferror(xlookup($I9222, 'IMPORT VHC Report'!$E:$E, 'IMPORT VHC Report'!$A:$C), )</f>
        <v/>
      </c>
      <c r="C9222" s="44"/>
      <c r="D9222" s="44"/>
      <c r="L9222" s="45"/>
      <c r="N9222" s="45"/>
    </row>
    <row r="9223">
      <c r="A9223" s="40" t="str">
        <f t="shared" si="1"/>
        <v/>
      </c>
      <c r="B9223" s="37" t="str">
        <f t="array" ref="B9223">iferror(xlookup($I9223, 'IMPORT VHC Report'!$E:$E, 'IMPORT VHC Report'!$A:$C), )</f>
        <v/>
      </c>
      <c r="C9223" s="44"/>
      <c r="D9223" s="44"/>
      <c r="L9223" s="45"/>
      <c r="N9223" s="45"/>
    </row>
    <row r="9224">
      <c r="A9224" s="40" t="str">
        <f t="shared" si="1"/>
        <v/>
      </c>
      <c r="B9224" s="37" t="str">
        <f t="array" ref="B9224">iferror(xlookup($I9224, 'IMPORT VHC Report'!$E:$E, 'IMPORT VHC Report'!$A:$C), )</f>
        <v/>
      </c>
      <c r="C9224" s="44"/>
      <c r="D9224" s="44"/>
      <c r="L9224" s="45"/>
      <c r="N9224" s="45"/>
    </row>
    <row r="9225">
      <c r="A9225" s="40" t="str">
        <f t="shared" si="1"/>
        <v/>
      </c>
      <c r="B9225" s="37" t="str">
        <f t="array" ref="B9225">iferror(xlookup($I9225, 'IMPORT VHC Report'!$E:$E, 'IMPORT VHC Report'!$A:$C), )</f>
        <v/>
      </c>
      <c r="C9225" s="44"/>
      <c r="D9225" s="44"/>
      <c r="L9225" s="45"/>
      <c r="N9225" s="45"/>
    </row>
    <row r="9226">
      <c r="A9226" s="40" t="str">
        <f t="shared" si="1"/>
        <v/>
      </c>
      <c r="B9226" s="37" t="str">
        <f t="array" ref="B9226">iferror(xlookup($I9226, 'IMPORT VHC Report'!$E:$E, 'IMPORT VHC Report'!$A:$C), )</f>
        <v/>
      </c>
      <c r="C9226" s="44"/>
      <c r="D9226" s="44"/>
      <c r="L9226" s="45"/>
      <c r="N9226" s="45"/>
    </row>
    <row r="9227">
      <c r="A9227" s="40" t="str">
        <f t="shared" si="1"/>
        <v/>
      </c>
      <c r="B9227" s="37" t="str">
        <f t="array" ref="B9227">iferror(xlookup($I9227, 'IMPORT VHC Report'!$E:$E, 'IMPORT VHC Report'!$A:$C), )</f>
        <v/>
      </c>
      <c r="C9227" s="44"/>
      <c r="D9227" s="44"/>
      <c r="L9227" s="45"/>
      <c r="N9227" s="45"/>
    </row>
    <row r="9228">
      <c r="A9228" s="40" t="str">
        <f t="shared" si="1"/>
        <v/>
      </c>
      <c r="B9228" s="37" t="str">
        <f t="array" ref="B9228">iferror(xlookup($I9228, 'IMPORT VHC Report'!$E:$E, 'IMPORT VHC Report'!$A:$C), )</f>
        <v/>
      </c>
      <c r="C9228" s="44"/>
      <c r="D9228" s="44"/>
      <c r="L9228" s="45"/>
      <c r="N9228" s="45"/>
    </row>
    <row r="9229">
      <c r="A9229" s="40" t="str">
        <f t="shared" si="1"/>
        <v/>
      </c>
      <c r="B9229" s="37" t="str">
        <f t="array" ref="B9229">iferror(xlookup($I9229, 'IMPORT VHC Report'!$E:$E, 'IMPORT VHC Report'!$A:$C), )</f>
        <v/>
      </c>
      <c r="C9229" s="44"/>
      <c r="D9229" s="44"/>
      <c r="L9229" s="45"/>
      <c r="N9229" s="45"/>
    </row>
    <row r="9230">
      <c r="A9230" s="40" t="str">
        <f t="shared" si="1"/>
        <v/>
      </c>
      <c r="B9230" s="37" t="str">
        <f t="array" ref="B9230">iferror(xlookup($I9230, 'IMPORT VHC Report'!$E:$E, 'IMPORT VHC Report'!$A:$C), )</f>
        <v/>
      </c>
      <c r="C9230" s="44"/>
      <c r="D9230" s="44"/>
      <c r="L9230" s="45"/>
      <c r="N9230" s="45"/>
    </row>
    <row r="9231">
      <c r="A9231" s="40" t="str">
        <f t="shared" si="1"/>
        <v/>
      </c>
      <c r="B9231" s="37" t="str">
        <f t="array" ref="B9231">iferror(xlookup($I9231, 'IMPORT VHC Report'!$E:$E, 'IMPORT VHC Report'!$A:$C), )</f>
        <v/>
      </c>
      <c r="C9231" s="44"/>
      <c r="D9231" s="44"/>
      <c r="L9231" s="45"/>
      <c r="N9231" s="45"/>
    </row>
    <row r="9232">
      <c r="A9232" s="40" t="str">
        <f t="shared" si="1"/>
        <v/>
      </c>
      <c r="B9232" s="37" t="str">
        <f t="array" ref="B9232">iferror(xlookup($I9232, 'IMPORT VHC Report'!$E:$E, 'IMPORT VHC Report'!$A:$C), )</f>
        <v/>
      </c>
      <c r="C9232" s="44"/>
      <c r="D9232" s="44"/>
      <c r="L9232" s="45"/>
      <c r="N9232" s="45"/>
    </row>
    <row r="9233">
      <c r="A9233" s="40" t="str">
        <f t="shared" si="1"/>
        <v/>
      </c>
      <c r="B9233" s="37" t="str">
        <f t="array" ref="B9233">iferror(xlookup($I9233, 'IMPORT VHC Report'!$E:$E, 'IMPORT VHC Report'!$A:$C), )</f>
        <v/>
      </c>
      <c r="C9233" s="44"/>
      <c r="D9233" s="44"/>
      <c r="L9233" s="45"/>
      <c r="N9233" s="45"/>
    </row>
    <row r="9234">
      <c r="A9234" s="40" t="str">
        <f t="shared" si="1"/>
        <v/>
      </c>
      <c r="B9234" s="37" t="str">
        <f t="array" ref="B9234">iferror(xlookup($I9234, 'IMPORT VHC Report'!$E:$E, 'IMPORT VHC Report'!$A:$C), )</f>
        <v/>
      </c>
      <c r="C9234" s="44"/>
      <c r="D9234" s="44"/>
      <c r="L9234" s="45"/>
      <c r="N9234" s="45"/>
    </row>
    <row r="9235">
      <c r="A9235" s="40" t="str">
        <f t="shared" si="1"/>
        <v/>
      </c>
      <c r="B9235" s="37" t="str">
        <f t="array" ref="B9235">iferror(xlookup($I9235, 'IMPORT VHC Report'!$E:$E, 'IMPORT VHC Report'!$A:$C), )</f>
        <v/>
      </c>
      <c r="C9235" s="44"/>
      <c r="D9235" s="44"/>
      <c r="L9235" s="45"/>
      <c r="N9235" s="45"/>
    </row>
    <row r="9236">
      <c r="A9236" s="40" t="str">
        <f t="shared" si="1"/>
        <v/>
      </c>
      <c r="B9236" s="37" t="str">
        <f t="array" ref="B9236">iferror(xlookup($I9236, 'IMPORT VHC Report'!$E:$E, 'IMPORT VHC Report'!$A:$C), )</f>
        <v/>
      </c>
      <c r="C9236" s="44"/>
      <c r="D9236" s="44"/>
      <c r="L9236" s="45"/>
      <c r="N9236" s="45"/>
    </row>
    <row r="9237">
      <c r="A9237" s="40" t="str">
        <f t="shared" si="1"/>
        <v/>
      </c>
      <c r="B9237" s="37" t="str">
        <f t="array" ref="B9237">iferror(xlookup($I9237, 'IMPORT VHC Report'!$E:$E, 'IMPORT VHC Report'!$A:$C), )</f>
        <v/>
      </c>
      <c r="C9237" s="44"/>
      <c r="D9237" s="44"/>
      <c r="L9237" s="45"/>
      <c r="N9237" s="45"/>
    </row>
    <row r="9238">
      <c r="A9238" s="40" t="str">
        <f t="shared" si="1"/>
        <v/>
      </c>
      <c r="B9238" s="37" t="str">
        <f t="array" ref="B9238">iferror(xlookup($I9238, 'IMPORT VHC Report'!$E:$E, 'IMPORT VHC Report'!$A:$C), )</f>
        <v/>
      </c>
      <c r="C9238" s="44"/>
      <c r="D9238" s="44"/>
      <c r="L9238" s="45"/>
      <c r="N9238" s="45"/>
    </row>
    <row r="9239">
      <c r="A9239" s="40" t="str">
        <f t="shared" si="1"/>
        <v/>
      </c>
      <c r="B9239" s="37" t="str">
        <f t="array" ref="B9239">iferror(xlookup($I9239, 'IMPORT VHC Report'!$E:$E, 'IMPORT VHC Report'!$A:$C), )</f>
        <v/>
      </c>
      <c r="C9239" s="44"/>
      <c r="D9239" s="44"/>
      <c r="L9239" s="45"/>
      <c r="N9239" s="45"/>
    </row>
    <row r="9240">
      <c r="A9240" s="40" t="str">
        <f t="shared" si="1"/>
        <v/>
      </c>
      <c r="B9240" s="37" t="str">
        <f t="array" ref="B9240">iferror(xlookup($I9240, 'IMPORT VHC Report'!$E:$E, 'IMPORT VHC Report'!$A:$C), )</f>
        <v/>
      </c>
      <c r="C9240" s="44"/>
      <c r="D9240" s="44"/>
      <c r="L9240" s="45"/>
      <c r="N9240" s="45"/>
    </row>
    <row r="9241">
      <c r="A9241" s="40" t="str">
        <f t="shared" si="1"/>
        <v/>
      </c>
      <c r="B9241" s="37" t="str">
        <f t="array" ref="B9241">iferror(xlookup($I9241, 'IMPORT VHC Report'!$E:$E, 'IMPORT VHC Report'!$A:$C), )</f>
        <v/>
      </c>
      <c r="C9241" s="44"/>
      <c r="D9241" s="44"/>
      <c r="L9241" s="45"/>
      <c r="N9241" s="45"/>
    </row>
    <row r="9242">
      <c r="A9242" s="40" t="str">
        <f t="shared" si="1"/>
        <v/>
      </c>
      <c r="B9242" s="37" t="str">
        <f t="array" ref="B9242">iferror(xlookup($I9242, 'IMPORT VHC Report'!$E:$E, 'IMPORT VHC Report'!$A:$C), )</f>
        <v/>
      </c>
      <c r="C9242" s="44"/>
      <c r="D9242" s="44"/>
      <c r="L9242" s="45"/>
      <c r="N9242" s="45"/>
    </row>
    <row r="9243">
      <c r="A9243" s="40" t="str">
        <f t="shared" si="1"/>
        <v/>
      </c>
      <c r="B9243" s="37" t="str">
        <f t="array" ref="B9243">iferror(xlookup($I9243, 'IMPORT VHC Report'!$E:$E, 'IMPORT VHC Report'!$A:$C), )</f>
        <v/>
      </c>
      <c r="C9243" s="44"/>
      <c r="D9243" s="44"/>
      <c r="L9243" s="45"/>
      <c r="N9243" s="45"/>
    </row>
    <row r="9244">
      <c r="A9244" s="40" t="str">
        <f t="shared" si="1"/>
        <v/>
      </c>
      <c r="B9244" s="37" t="str">
        <f t="array" ref="B9244">iferror(xlookup($I9244, 'IMPORT VHC Report'!$E:$E, 'IMPORT VHC Report'!$A:$C), )</f>
        <v/>
      </c>
      <c r="C9244" s="44"/>
      <c r="D9244" s="44"/>
      <c r="L9244" s="45"/>
      <c r="N9244" s="45"/>
    </row>
    <row r="9245">
      <c r="A9245" s="40" t="str">
        <f t="shared" si="1"/>
        <v/>
      </c>
      <c r="B9245" s="37" t="str">
        <f t="array" ref="B9245">iferror(xlookup($I9245, 'IMPORT VHC Report'!$E:$E, 'IMPORT VHC Report'!$A:$C), )</f>
        <v/>
      </c>
      <c r="C9245" s="44"/>
      <c r="D9245" s="44"/>
      <c r="L9245" s="45"/>
      <c r="N9245" s="45"/>
    </row>
    <row r="9246">
      <c r="A9246" s="40" t="str">
        <f t="shared" si="1"/>
        <v/>
      </c>
      <c r="B9246" s="37" t="str">
        <f t="array" ref="B9246">iferror(xlookup($I9246, 'IMPORT VHC Report'!$E:$E, 'IMPORT VHC Report'!$A:$C), )</f>
        <v/>
      </c>
      <c r="C9246" s="44"/>
      <c r="D9246" s="44"/>
      <c r="L9246" s="45"/>
      <c r="N9246" s="45"/>
    </row>
    <row r="9247">
      <c r="A9247" s="40" t="str">
        <f t="shared" si="1"/>
        <v/>
      </c>
      <c r="B9247" s="37" t="str">
        <f t="array" ref="B9247">iferror(xlookup($I9247, 'IMPORT VHC Report'!$E:$E, 'IMPORT VHC Report'!$A:$C), )</f>
        <v/>
      </c>
      <c r="C9247" s="44"/>
      <c r="D9247" s="44"/>
      <c r="L9247" s="45"/>
      <c r="N9247" s="45"/>
    </row>
    <row r="9248">
      <c r="A9248" s="40" t="str">
        <f t="shared" si="1"/>
        <v/>
      </c>
      <c r="B9248" s="37" t="str">
        <f t="array" ref="B9248">iferror(xlookup($I9248, 'IMPORT VHC Report'!$E:$E, 'IMPORT VHC Report'!$A:$C), )</f>
        <v/>
      </c>
      <c r="C9248" s="44"/>
      <c r="D9248" s="44"/>
      <c r="L9248" s="45"/>
      <c r="N9248" s="45"/>
    </row>
    <row r="9249">
      <c r="A9249" s="40" t="str">
        <f t="shared" si="1"/>
        <v/>
      </c>
      <c r="B9249" s="37" t="str">
        <f t="array" ref="B9249">iferror(xlookup($I9249, 'IMPORT VHC Report'!$E:$E, 'IMPORT VHC Report'!$A:$C), )</f>
        <v/>
      </c>
      <c r="C9249" s="44"/>
      <c r="D9249" s="44"/>
      <c r="L9249" s="45"/>
      <c r="N9249" s="45"/>
    </row>
    <row r="9250">
      <c r="A9250" s="40" t="str">
        <f t="shared" si="1"/>
        <v/>
      </c>
      <c r="B9250" s="37" t="str">
        <f t="array" ref="B9250">iferror(xlookup($I9250, 'IMPORT VHC Report'!$E:$E, 'IMPORT VHC Report'!$A:$C), )</f>
        <v/>
      </c>
      <c r="C9250" s="44"/>
      <c r="D9250" s="44"/>
      <c r="L9250" s="45"/>
      <c r="N9250" s="45"/>
    </row>
    <row r="9251">
      <c r="A9251" s="40" t="str">
        <f t="shared" si="1"/>
        <v/>
      </c>
      <c r="B9251" s="37" t="str">
        <f t="array" ref="B9251">iferror(xlookup($I9251, 'IMPORT VHC Report'!$E:$E, 'IMPORT VHC Report'!$A:$C), )</f>
        <v/>
      </c>
      <c r="C9251" s="44"/>
      <c r="D9251" s="44"/>
      <c r="L9251" s="45"/>
      <c r="N9251" s="45"/>
    </row>
    <row r="9252">
      <c r="A9252" s="40" t="str">
        <f t="shared" si="1"/>
        <v/>
      </c>
      <c r="B9252" s="37" t="str">
        <f t="array" ref="B9252">iferror(xlookup($I9252, 'IMPORT VHC Report'!$E:$E, 'IMPORT VHC Report'!$A:$C), )</f>
        <v/>
      </c>
      <c r="C9252" s="44"/>
      <c r="D9252" s="44"/>
      <c r="L9252" s="45"/>
      <c r="N9252" s="45"/>
    </row>
    <row r="9253">
      <c r="A9253" s="40" t="str">
        <f t="shared" si="1"/>
        <v/>
      </c>
      <c r="B9253" s="37" t="str">
        <f t="array" ref="B9253">iferror(xlookup($I9253, 'IMPORT VHC Report'!$E:$E, 'IMPORT VHC Report'!$A:$C), )</f>
        <v/>
      </c>
      <c r="C9253" s="44"/>
      <c r="D9253" s="44"/>
      <c r="L9253" s="45"/>
      <c r="N9253" s="45"/>
    </row>
    <row r="9254">
      <c r="A9254" s="40" t="str">
        <f t="shared" si="1"/>
        <v/>
      </c>
      <c r="B9254" s="37" t="str">
        <f t="array" ref="B9254">iferror(xlookup($I9254, 'IMPORT VHC Report'!$E:$E, 'IMPORT VHC Report'!$A:$C), )</f>
        <v/>
      </c>
      <c r="C9254" s="44"/>
      <c r="D9254" s="44"/>
      <c r="L9254" s="45"/>
      <c r="N9254" s="45"/>
    </row>
    <row r="9255">
      <c r="A9255" s="40" t="str">
        <f t="shared" si="1"/>
        <v/>
      </c>
      <c r="B9255" s="37" t="str">
        <f t="array" ref="B9255">iferror(xlookup($I9255, 'IMPORT VHC Report'!$E:$E, 'IMPORT VHC Report'!$A:$C), )</f>
        <v/>
      </c>
      <c r="C9255" s="44"/>
      <c r="D9255" s="44"/>
      <c r="L9255" s="45"/>
      <c r="N9255" s="45"/>
    </row>
    <row r="9256">
      <c r="A9256" s="40" t="str">
        <f t="shared" si="1"/>
        <v/>
      </c>
      <c r="B9256" s="37" t="str">
        <f t="array" ref="B9256">iferror(xlookup($I9256, 'IMPORT VHC Report'!$E:$E, 'IMPORT VHC Report'!$A:$C), )</f>
        <v/>
      </c>
      <c r="C9256" s="44"/>
      <c r="D9256" s="44"/>
      <c r="L9256" s="45"/>
      <c r="N9256" s="45"/>
    </row>
    <row r="9257">
      <c r="A9257" s="40" t="str">
        <f t="shared" si="1"/>
        <v/>
      </c>
      <c r="B9257" s="37" t="str">
        <f t="array" ref="B9257">iferror(xlookup($I9257, 'IMPORT VHC Report'!$E:$E, 'IMPORT VHC Report'!$A:$C), )</f>
        <v/>
      </c>
      <c r="C9257" s="44"/>
      <c r="D9257" s="44"/>
      <c r="L9257" s="45"/>
      <c r="N9257" s="45"/>
    </row>
    <row r="9258">
      <c r="A9258" s="40" t="str">
        <f t="shared" si="1"/>
        <v/>
      </c>
      <c r="B9258" s="37" t="str">
        <f t="array" ref="B9258">iferror(xlookup($I9258, 'IMPORT VHC Report'!$E:$E, 'IMPORT VHC Report'!$A:$C), )</f>
        <v/>
      </c>
      <c r="C9258" s="44"/>
      <c r="D9258" s="44"/>
      <c r="L9258" s="45"/>
      <c r="N9258" s="45"/>
    </row>
    <row r="9259">
      <c r="A9259" s="40" t="str">
        <f t="shared" si="1"/>
        <v/>
      </c>
      <c r="B9259" s="37" t="str">
        <f t="array" ref="B9259">iferror(xlookup($I9259, 'IMPORT VHC Report'!$E:$E, 'IMPORT VHC Report'!$A:$C), )</f>
        <v/>
      </c>
      <c r="C9259" s="44"/>
      <c r="D9259" s="44"/>
      <c r="L9259" s="45"/>
      <c r="N9259" s="45"/>
    </row>
    <row r="9260">
      <c r="A9260" s="40" t="str">
        <f t="shared" si="1"/>
        <v/>
      </c>
      <c r="B9260" s="37" t="str">
        <f t="array" ref="B9260">iferror(xlookup($I9260, 'IMPORT VHC Report'!$E:$E, 'IMPORT VHC Report'!$A:$C), )</f>
        <v/>
      </c>
      <c r="C9260" s="44"/>
      <c r="D9260" s="44"/>
      <c r="L9260" s="45"/>
      <c r="N9260" s="45"/>
    </row>
    <row r="9261">
      <c r="A9261" s="40" t="str">
        <f t="shared" si="1"/>
        <v/>
      </c>
      <c r="B9261" s="37" t="str">
        <f t="array" ref="B9261">iferror(xlookup($I9261, 'IMPORT VHC Report'!$E:$E, 'IMPORT VHC Report'!$A:$C), )</f>
        <v/>
      </c>
      <c r="C9261" s="44"/>
      <c r="D9261" s="44"/>
      <c r="L9261" s="45"/>
      <c r="N9261" s="45"/>
    </row>
    <row r="9262">
      <c r="A9262" s="40" t="str">
        <f t="shared" si="1"/>
        <v/>
      </c>
      <c r="B9262" s="37" t="str">
        <f t="array" ref="B9262">iferror(xlookup($I9262, 'IMPORT VHC Report'!$E:$E, 'IMPORT VHC Report'!$A:$C), )</f>
        <v/>
      </c>
      <c r="C9262" s="44"/>
      <c r="D9262" s="44"/>
      <c r="L9262" s="45"/>
      <c r="N9262" s="45"/>
    </row>
    <row r="9263">
      <c r="A9263" s="40" t="str">
        <f t="shared" si="1"/>
        <v/>
      </c>
      <c r="B9263" s="37" t="str">
        <f t="array" ref="B9263">iferror(xlookup($I9263, 'IMPORT VHC Report'!$E:$E, 'IMPORT VHC Report'!$A:$C), )</f>
        <v/>
      </c>
      <c r="C9263" s="44"/>
      <c r="D9263" s="44"/>
      <c r="L9263" s="45"/>
      <c r="N9263" s="45"/>
    </row>
    <row r="9264">
      <c r="A9264" s="40" t="str">
        <f t="shared" si="1"/>
        <v/>
      </c>
      <c r="B9264" s="37" t="str">
        <f t="array" ref="B9264">iferror(xlookup($I9264, 'IMPORT VHC Report'!$E:$E, 'IMPORT VHC Report'!$A:$C), )</f>
        <v/>
      </c>
      <c r="C9264" s="44"/>
      <c r="D9264" s="44"/>
      <c r="L9264" s="45"/>
      <c r="N9264" s="45"/>
    </row>
    <row r="9265">
      <c r="A9265" s="40" t="str">
        <f t="shared" si="1"/>
        <v/>
      </c>
      <c r="B9265" s="37" t="str">
        <f t="array" ref="B9265">iferror(xlookup($I9265, 'IMPORT VHC Report'!$E:$E, 'IMPORT VHC Report'!$A:$C), )</f>
        <v/>
      </c>
      <c r="C9265" s="44"/>
      <c r="D9265" s="44"/>
      <c r="L9265" s="45"/>
      <c r="N9265" s="45"/>
    </row>
    <row r="9266">
      <c r="A9266" s="40" t="str">
        <f t="shared" si="1"/>
        <v/>
      </c>
      <c r="B9266" s="37" t="str">
        <f t="array" ref="B9266">iferror(xlookup($I9266, 'IMPORT VHC Report'!$E:$E, 'IMPORT VHC Report'!$A:$C), )</f>
        <v/>
      </c>
      <c r="C9266" s="44"/>
      <c r="D9266" s="44"/>
      <c r="L9266" s="45"/>
      <c r="N9266" s="45"/>
    </row>
    <row r="9267">
      <c r="A9267" s="40" t="str">
        <f t="shared" si="1"/>
        <v/>
      </c>
      <c r="B9267" s="37" t="str">
        <f t="array" ref="B9267">iferror(xlookup($I9267, 'IMPORT VHC Report'!$E:$E, 'IMPORT VHC Report'!$A:$C), )</f>
        <v/>
      </c>
      <c r="C9267" s="44"/>
      <c r="D9267" s="44"/>
      <c r="L9267" s="45"/>
      <c r="N9267" s="45"/>
    </row>
    <row r="9268">
      <c r="A9268" s="40" t="str">
        <f t="shared" si="1"/>
        <v/>
      </c>
      <c r="B9268" s="37" t="str">
        <f t="array" ref="B9268">iferror(xlookup($I9268, 'IMPORT VHC Report'!$E:$E, 'IMPORT VHC Report'!$A:$C), )</f>
        <v/>
      </c>
      <c r="C9268" s="44"/>
      <c r="D9268" s="44"/>
      <c r="L9268" s="45"/>
      <c r="N9268" s="45"/>
    </row>
    <row r="9269">
      <c r="A9269" s="40" t="str">
        <f t="shared" si="1"/>
        <v/>
      </c>
      <c r="B9269" s="37" t="str">
        <f t="array" ref="B9269">iferror(xlookup($I9269, 'IMPORT VHC Report'!$E:$E, 'IMPORT VHC Report'!$A:$C), )</f>
        <v/>
      </c>
      <c r="C9269" s="44"/>
      <c r="D9269" s="44"/>
      <c r="L9269" s="45"/>
      <c r="N9269" s="45"/>
    </row>
    <row r="9270">
      <c r="A9270" s="40" t="str">
        <f t="shared" si="1"/>
        <v/>
      </c>
      <c r="B9270" s="37" t="str">
        <f t="array" ref="B9270">iferror(xlookup($I9270, 'IMPORT VHC Report'!$E:$E, 'IMPORT VHC Report'!$A:$C), )</f>
        <v/>
      </c>
      <c r="C9270" s="44"/>
      <c r="D9270" s="44"/>
      <c r="L9270" s="45"/>
      <c r="N9270" s="45"/>
    </row>
    <row r="9271">
      <c r="A9271" s="40" t="str">
        <f t="shared" si="1"/>
        <v/>
      </c>
      <c r="B9271" s="37" t="str">
        <f t="array" ref="B9271">iferror(xlookup($I9271, 'IMPORT VHC Report'!$E:$E, 'IMPORT VHC Report'!$A:$C), )</f>
        <v/>
      </c>
      <c r="C9271" s="44"/>
      <c r="D9271" s="44"/>
      <c r="L9271" s="45"/>
      <c r="N9271" s="45"/>
    </row>
    <row r="9272">
      <c r="A9272" s="40" t="str">
        <f t="shared" si="1"/>
        <v/>
      </c>
      <c r="B9272" s="37" t="str">
        <f t="array" ref="B9272">iferror(xlookup($I9272, 'IMPORT VHC Report'!$E:$E, 'IMPORT VHC Report'!$A:$C), )</f>
        <v/>
      </c>
      <c r="C9272" s="44"/>
      <c r="D9272" s="44"/>
      <c r="L9272" s="45"/>
      <c r="N9272" s="45"/>
    </row>
    <row r="9273">
      <c r="A9273" s="40" t="str">
        <f t="shared" si="1"/>
        <v/>
      </c>
      <c r="B9273" s="37" t="str">
        <f t="array" ref="B9273">iferror(xlookup($I9273, 'IMPORT VHC Report'!$E:$E, 'IMPORT VHC Report'!$A:$C), )</f>
        <v/>
      </c>
      <c r="C9273" s="44"/>
      <c r="D9273" s="44"/>
      <c r="L9273" s="45"/>
      <c r="N9273" s="45"/>
    </row>
    <row r="9274">
      <c r="A9274" s="40" t="str">
        <f t="shared" si="1"/>
        <v/>
      </c>
      <c r="B9274" s="37" t="str">
        <f t="array" ref="B9274">iferror(xlookup($I9274, 'IMPORT VHC Report'!$E:$E, 'IMPORT VHC Report'!$A:$C), )</f>
        <v/>
      </c>
      <c r="C9274" s="44"/>
      <c r="D9274" s="44"/>
      <c r="L9274" s="45"/>
      <c r="N9274" s="45"/>
    </row>
    <row r="9275">
      <c r="A9275" s="40" t="str">
        <f t="shared" si="1"/>
        <v/>
      </c>
      <c r="B9275" s="37" t="str">
        <f t="array" ref="B9275">iferror(xlookup($I9275, 'IMPORT VHC Report'!$E:$E, 'IMPORT VHC Report'!$A:$C), )</f>
        <v/>
      </c>
      <c r="C9275" s="44"/>
      <c r="D9275" s="44"/>
      <c r="L9275" s="45"/>
      <c r="N9275" s="45"/>
    </row>
    <row r="9276">
      <c r="A9276" s="40" t="str">
        <f t="shared" si="1"/>
        <v/>
      </c>
      <c r="B9276" s="37" t="str">
        <f t="array" ref="B9276">iferror(xlookup($I9276, 'IMPORT VHC Report'!$E:$E, 'IMPORT VHC Report'!$A:$C), )</f>
        <v/>
      </c>
      <c r="C9276" s="44"/>
      <c r="D9276" s="44"/>
      <c r="L9276" s="45"/>
      <c r="N9276" s="45"/>
    </row>
    <row r="9277">
      <c r="A9277" s="40" t="str">
        <f t="shared" si="1"/>
        <v/>
      </c>
      <c r="B9277" s="37" t="str">
        <f t="array" ref="B9277">iferror(xlookup($I9277, 'IMPORT VHC Report'!$E:$E, 'IMPORT VHC Report'!$A:$C), )</f>
        <v/>
      </c>
      <c r="C9277" s="44"/>
      <c r="D9277" s="44"/>
      <c r="L9277" s="45"/>
      <c r="N9277" s="45"/>
    </row>
    <row r="9278">
      <c r="A9278" s="40" t="str">
        <f t="shared" si="1"/>
        <v/>
      </c>
      <c r="B9278" s="37" t="str">
        <f t="array" ref="B9278">iferror(xlookup($I9278, 'IMPORT VHC Report'!$E:$E, 'IMPORT VHC Report'!$A:$C), )</f>
        <v/>
      </c>
      <c r="C9278" s="44"/>
      <c r="D9278" s="44"/>
      <c r="L9278" s="45"/>
      <c r="N9278" s="45"/>
    </row>
    <row r="9279">
      <c r="A9279" s="40" t="str">
        <f t="shared" si="1"/>
        <v/>
      </c>
      <c r="B9279" s="37" t="str">
        <f t="array" ref="B9279">iferror(xlookup($I9279, 'IMPORT VHC Report'!$E:$E, 'IMPORT VHC Report'!$A:$C), )</f>
        <v/>
      </c>
      <c r="C9279" s="44"/>
      <c r="D9279" s="44"/>
      <c r="L9279" s="45"/>
      <c r="N9279" s="45"/>
    </row>
    <row r="9280">
      <c r="A9280" s="40" t="str">
        <f t="shared" si="1"/>
        <v/>
      </c>
      <c r="B9280" s="37" t="str">
        <f t="array" ref="B9280">iferror(xlookup($I9280, 'IMPORT VHC Report'!$E:$E, 'IMPORT VHC Report'!$A:$C), )</f>
        <v/>
      </c>
      <c r="C9280" s="44"/>
      <c r="D9280" s="44"/>
      <c r="L9280" s="45"/>
      <c r="N9280" s="45"/>
    </row>
    <row r="9281">
      <c r="A9281" s="40" t="str">
        <f t="shared" si="1"/>
        <v/>
      </c>
      <c r="B9281" s="37" t="str">
        <f t="array" ref="B9281">iferror(xlookup($I9281, 'IMPORT VHC Report'!$E:$E, 'IMPORT VHC Report'!$A:$C), )</f>
        <v/>
      </c>
      <c r="C9281" s="44"/>
      <c r="D9281" s="44"/>
      <c r="L9281" s="45"/>
      <c r="N9281" s="45"/>
    </row>
    <row r="9282">
      <c r="A9282" s="40" t="str">
        <f t="shared" si="1"/>
        <v/>
      </c>
      <c r="B9282" s="37" t="str">
        <f t="array" ref="B9282">iferror(xlookup($I9282, 'IMPORT VHC Report'!$E:$E, 'IMPORT VHC Report'!$A:$C), )</f>
        <v/>
      </c>
      <c r="C9282" s="44"/>
      <c r="D9282" s="44"/>
      <c r="L9282" s="45"/>
      <c r="N9282" s="45"/>
    </row>
    <row r="9283">
      <c r="A9283" s="40" t="str">
        <f t="shared" si="1"/>
        <v/>
      </c>
      <c r="B9283" s="37" t="str">
        <f t="array" ref="B9283">iferror(xlookup($I9283, 'IMPORT VHC Report'!$E:$E, 'IMPORT VHC Report'!$A:$C), )</f>
        <v/>
      </c>
      <c r="C9283" s="44"/>
      <c r="D9283" s="44"/>
      <c r="L9283" s="45"/>
      <c r="N9283" s="45"/>
    </row>
    <row r="9284">
      <c r="A9284" s="40" t="str">
        <f t="shared" si="1"/>
        <v/>
      </c>
      <c r="B9284" s="37" t="str">
        <f t="array" ref="B9284">iferror(xlookup($I9284, 'IMPORT VHC Report'!$E:$E, 'IMPORT VHC Report'!$A:$C), )</f>
        <v/>
      </c>
      <c r="C9284" s="44"/>
      <c r="D9284" s="44"/>
      <c r="L9284" s="45"/>
      <c r="N9284" s="45"/>
    </row>
    <row r="9285">
      <c r="A9285" s="40" t="str">
        <f t="shared" si="1"/>
        <v/>
      </c>
      <c r="B9285" s="37" t="str">
        <f t="array" ref="B9285">iferror(xlookup($I9285, 'IMPORT VHC Report'!$E:$E, 'IMPORT VHC Report'!$A:$C), )</f>
        <v/>
      </c>
      <c r="C9285" s="44"/>
      <c r="D9285" s="44"/>
      <c r="L9285" s="45"/>
      <c r="N9285" s="45"/>
    </row>
    <row r="9286">
      <c r="A9286" s="40" t="str">
        <f t="shared" si="1"/>
        <v/>
      </c>
      <c r="B9286" s="37" t="str">
        <f t="array" ref="B9286">iferror(xlookup($I9286, 'IMPORT VHC Report'!$E:$E, 'IMPORT VHC Report'!$A:$C), )</f>
        <v/>
      </c>
      <c r="C9286" s="44"/>
      <c r="D9286" s="44"/>
      <c r="L9286" s="45"/>
      <c r="N9286" s="45"/>
    </row>
    <row r="9287">
      <c r="A9287" s="40" t="str">
        <f t="shared" si="1"/>
        <v/>
      </c>
      <c r="B9287" s="37" t="str">
        <f t="array" ref="B9287">iferror(xlookup($I9287, 'IMPORT VHC Report'!$E:$E, 'IMPORT VHC Report'!$A:$C), )</f>
        <v/>
      </c>
      <c r="C9287" s="44"/>
      <c r="D9287" s="44"/>
      <c r="L9287" s="45"/>
      <c r="N9287" s="45"/>
    </row>
    <row r="9288">
      <c r="A9288" s="40" t="str">
        <f t="shared" si="1"/>
        <v/>
      </c>
      <c r="B9288" s="37" t="str">
        <f t="array" ref="B9288">iferror(xlookup($I9288, 'IMPORT VHC Report'!$E:$E, 'IMPORT VHC Report'!$A:$C), )</f>
        <v/>
      </c>
      <c r="C9288" s="44"/>
      <c r="D9288" s="44"/>
      <c r="L9288" s="45"/>
      <c r="N9288" s="45"/>
    </row>
    <row r="9289">
      <c r="A9289" s="40" t="str">
        <f t="shared" si="1"/>
        <v/>
      </c>
      <c r="B9289" s="37" t="str">
        <f t="array" ref="B9289">iferror(xlookup($I9289, 'IMPORT VHC Report'!$E:$E, 'IMPORT VHC Report'!$A:$C), )</f>
        <v/>
      </c>
      <c r="C9289" s="44"/>
      <c r="D9289" s="44"/>
      <c r="L9289" s="45"/>
      <c r="N9289" s="45"/>
    </row>
    <row r="9290">
      <c r="A9290" s="40" t="str">
        <f t="shared" si="1"/>
        <v/>
      </c>
      <c r="B9290" s="37" t="str">
        <f t="array" ref="B9290">iferror(xlookup($I9290, 'IMPORT VHC Report'!$E:$E, 'IMPORT VHC Report'!$A:$C), )</f>
        <v/>
      </c>
      <c r="C9290" s="44"/>
      <c r="D9290" s="44"/>
      <c r="L9290" s="45"/>
      <c r="N9290" s="45"/>
    </row>
    <row r="9291">
      <c r="A9291" s="40" t="str">
        <f t="shared" si="1"/>
        <v/>
      </c>
      <c r="B9291" s="37" t="str">
        <f t="array" ref="B9291">iferror(xlookup($I9291, 'IMPORT VHC Report'!$E:$E, 'IMPORT VHC Report'!$A:$C), )</f>
        <v/>
      </c>
      <c r="C9291" s="44"/>
      <c r="D9291" s="44"/>
      <c r="L9291" s="45"/>
      <c r="N9291" s="45"/>
    </row>
    <row r="9292">
      <c r="A9292" s="40" t="str">
        <f t="shared" si="1"/>
        <v/>
      </c>
      <c r="B9292" s="37" t="str">
        <f t="array" ref="B9292">iferror(xlookup($I9292, 'IMPORT VHC Report'!$E:$E, 'IMPORT VHC Report'!$A:$C), )</f>
        <v/>
      </c>
      <c r="C9292" s="44"/>
      <c r="D9292" s="44"/>
      <c r="L9292" s="45"/>
      <c r="N9292" s="45"/>
    </row>
    <row r="9293">
      <c r="A9293" s="40" t="str">
        <f t="shared" si="1"/>
        <v/>
      </c>
      <c r="B9293" s="37" t="str">
        <f t="array" ref="B9293">iferror(xlookup($I9293, 'IMPORT VHC Report'!$E:$E, 'IMPORT VHC Report'!$A:$C), )</f>
        <v/>
      </c>
      <c r="C9293" s="44"/>
      <c r="D9293" s="44"/>
      <c r="L9293" s="45"/>
      <c r="N9293" s="45"/>
    </row>
    <row r="9294">
      <c r="A9294" s="40" t="str">
        <f t="shared" si="1"/>
        <v/>
      </c>
      <c r="B9294" s="37" t="str">
        <f t="array" ref="B9294">iferror(xlookup($I9294, 'IMPORT VHC Report'!$E:$E, 'IMPORT VHC Report'!$A:$C), )</f>
        <v/>
      </c>
      <c r="C9294" s="44"/>
      <c r="D9294" s="44"/>
      <c r="L9294" s="45"/>
      <c r="N9294" s="45"/>
    </row>
    <row r="9295">
      <c r="A9295" s="40" t="str">
        <f t="shared" si="1"/>
        <v/>
      </c>
      <c r="B9295" s="37" t="str">
        <f t="array" ref="B9295">iferror(xlookup($I9295, 'IMPORT VHC Report'!$E:$E, 'IMPORT VHC Report'!$A:$C), )</f>
        <v/>
      </c>
      <c r="C9295" s="44"/>
      <c r="D9295" s="44"/>
      <c r="L9295" s="45"/>
      <c r="N9295" s="45"/>
    </row>
    <row r="9296">
      <c r="A9296" s="40" t="str">
        <f t="shared" si="1"/>
        <v/>
      </c>
      <c r="B9296" s="37" t="str">
        <f t="array" ref="B9296">iferror(xlookup($I9296, 'IMPORT VHC Report'!$E:$E, 'IMPORT VHC Report'!$A:$C), )</f>
        <v/>
      </c>
      <c r="C9296" s="44"/>
      <c r="D9296" s="44"/>
      <c r="L9296" s="45"/>
      <c r="N9296" s="45"/>
    </row>
    <row r="9297">
      <c r="A9297" s="40" t="str">
        <f t="shared" si="1"/>
        <v/>
      </c>
      <c r="B9297" s="37" t="str">
        <f t="array" ref="B9297">iferror(xlookup($I9297, 'IMPORT VHC Report'!$E:$E, 'IMPORT VHC Report'!$A:$C), )</f>
        <v/>
      </c>
      <c r="C9297" s="44"/>
      <c r="D9297" s="44"/>
      <c r="L9297" s="45"/>
      <c r="N9297" s="45"/>
    </row>
    <row r="9298">
      <c r="A9298" s="40" t="str">
        <f t="shared" si="1"/>
        <v/>
      </c>
      <c r="B9298" s="37" t="str">
        <f t="array" ref="B9298">iferror(xlookup($I9298, 'IMPORT VHC Report'!$E:$E, 'IMPORT VHC Report'!$A:$C), )</f>
        <v/>
      </c>
      <c r="C9298" s="44"/>
      <c r="D9298" s="44"/>
      <c r="L9298" s="45"/>
      <c r="N9298" s="45"/>
    </row>
    <row r="9299">
      <c r="A9299" s="40" t="str">
        <f t="shared" si="1"/>
        <v/>
      </c>
      <c r="B9299" s="37" t="str">
        <f t="array" ref="B9299">iferror(xlookup($I9299, 'IMPORT VHC Report'!$E:$E, 'IMPORT VHC Report'!$A:$C), )</f>
        <v/>
      </c>
      <c r="C9299" s="44"/>
      <c r="D9299" s="44"/>
      <c r="L9299" s="45"/>
      <c r="N9299" s="45"/>
    </row>
    <row r="9300">
      <c r="A9300" s="40" t="str">
        <f t="shared" si="1"/>
        <v/>
      </c>
      <c r="B9300" s="37" t="str">
        <f t="array" ref="B9300">iferror(xlookup($I9300, 'IMPORT VHC Report'!$E:$E, 'IMPORT VHC Report'!$A:$C), )</f>
        <v/>
      </c>
      <c r="C9300" s="44"/>
      <c r="D9300" s="44"/>
      <c r="L9300" s="45"/>
      <c r="N9300" s="45"/>
    </row>
    <row r="9301">
      <c r="A9301" s="40" t="str">
        <f t="shared" si="1"/>
        <v/>
      </c>
      <c r="B9301" s="37" t="str">
        <f t="array" ref="B9301">iferror(xlookup($I9301, 'IMPORT VHC Report'!$E:$E, 'IMPORT VHC Report'!$A:$C), )</f>
        <v/>
      </c>
      <c r="C9301" s="44"/>
      <c r="D9301" s="44"/>
      <c r="L9301" s="45"/>
      <c r="N9301" s="45"/>
    </row>
    <row r="9302">
      <c r="A9302" s="40" t="str">
        <f t="shared" si="1"/>
        <v/>
      </c>
      <c r="B9302" s="37" t="str">
        <f t="array" ref="B9302">iferror(xlookup($I9302, 'IMPORT VHC Report'!$E:$E, 'IMPORT VHC Report'!$A:$C), )</f>
        <v/>
      </c>
      <c r="C9302" s="44"/>
      <c r="D9302" s="44"/>
      <c r="L9302" s="45"/>
      <c r="N9302" s="45"/>
    </row>
    <row r="9303">
      <c r="A9303" s="40" t="str">
        <f t="shared" si="1"/>
        <v/>
      </c>
      <c r="B9303" s="37" t="str">
        <f t="array" ref="B9303">iferror(xlookup($I9303, 'IMPORT VHC Report'!$E:$E, 'IMPORT VHC Report'!$A:$C), )</f>
        <v/>
      </c>
      <c r="C9303" s="44"/>
      <c r="D9303" s="44"/>
      <c r="L9303" s="45"/>
      <c r="N9303" s="45"/>
    </row>
    <row r="9304">
      <c r="A9304" s="40" t="str">
        <f t="shared" si="1"/>
        <v/>
      </c>
      <c r="B9304" s="37" t="str">
        <f t="array" ref="B9304">iferror(xlookup($I9304, 'IMPORT VHC Report'!$E:$E, 'IMPORT VHC Report'!$A:$C), )</f>
        <v/>
      </c>
      <c r="C9304" s="44"/>
      <c r="D9304" s="44"/>
      <c r="L9304" s="45"/>
      <c r="N9304" s="45"/>
    </row>
    <row r="9305">
      <c r="A9305" s="40" t="str">
        <f t="shared" si="1"/>
        <v/>
      </c>
      <c r="B9305" s="37" t="str">
        <f t="array" ref="B9305">iferror(xlookup($I9305, 'IMPORT VHC Report'!$E:$E, 'IMPORT VHC Report'!$A:$C), )</f>
        <v/>
      </c>
      <c r="C9305" s="44"/>
      <c r="D9305" s="44"/>
      <c r="L9305" s="45"/>
      <c r="N9305" s="45"/>
    </row>
    <row r="9306">
      <c r="A9306" s="40" t="str">
        <f t="shared" si="1"/>
        <v/>
      </c>
      <c r="B9306" s="37" t="str">
        <f t="array" ref="B9306">iferror(xlookup($I9306, 'IMPORT VHC Report'!$E:$E, 'IMPORT VHC Report'!$A:$C), )</f>
        <v/>
      </c>
      <c r="C9306" s="44"/>
      <c r="D9306" s="44"/>
      <c r="L9306" s="45"/>
      <c r="N9306" s="45"/>
    </row>
    <row r="9307">
      <c r="A9307" s="40" t="str">
        <f t="shared" si="1"/>
        <v/>
      </c>
      <c r="B9307" s="37" t="str">
        <f t="array" ref="B9307">iferror(xlookup($I9307, 'IMPORT VHC Report'!$E:$E, 'IMPORT VHC Report'!$A:$C), )</f>
        <v/>
      </c>
      <c r="C9307" s="44"/>
      <c r="D9307" s="44"/>
      <c r="L9307" s="45"/>
      <c r="N9307" s="45"/>
    </row>
    <row r="9308">
      <c r="A9308" s="40" t="str">
        <f t="shared" si="1"/>
        <v/>
      </c>
      <c r="B9308" s="37" t="str">
        <f t="array" ref="B9308">iferror(xlookup($I9308, 'IMPORT VHC Report'!$E:$E, 'IMPORT VHC Report'!$A:$C), )</f>
        <v/>
      </c>
      <c r="C9308" s="44"/>
      <c r="D9308" s="44"/>
      <c r="L9308" s="45"/>
      <c r="N9308" s="45"/>
    </row>
    <row r="9309">
      <c r="A9309" s="40" t="str">
        <f t="shared" si="1"/>
        <v/>
      </c>
      <c r="B9309" s="37" t="str">
        <f t="array" ref="B9309">iferror(xlookup($I9309, 'IMPORT VHC Report'!$E:$E, 'IMPORT VHC Report'!$A:$C), )</f>
        <v/>
      </c>
      <c r="C9309" s="44"/>
      <c r="D9309" s="44"/>
      <c r="L9309" s="45"/>
      <c r="N9309" s="45"/>
    </row>
    <row r="9310">
      <c r="A9310" s="40" t="str">
        <f t="shared" si="1"/>
        <v/>
      </c>
      <c r="B9310" s="37" t="str">
        <f t="array" ref="B9310">iferror(xlookup($I9310, 'IMPORT VHC Report'!$E:$E, 'IMPORT VHC Report'!$A:$C), )</f>
        <v/>
      </c>
      <c r="C9310" s="44"/>
      <c r="D9310" s="44"/>
      <c r="L9310" s="45"/>
      <c r="N9310" s="45"/>
    </row>
    <row r="9311">
      <c r="A9311" s="40" t="str">
        <f t="shared" si="1"/>
        <v/>
      </c>
      <c r="B9311" s="37" t="str">
        <f t="array" ref="B9311">iferror(xlookup($I9311, 'IMPORT VHC Report'!$E:$E, 'IMPORT VHC Report'!$A:$C), )</f>
        <v/>
      </c>
      <c r="C9311" s="44"/>
      <c r="D9311" s="44"/>
      <c r="L9311" s="45"/>
      <c r="N9311" s="45"/>
    </row>
    <row r="9312">
      <c r="A9312" s="40" t="str">
        <f t="shared" si="1"/>
        <v/>
      </c>
      <c r="B9312" s="37" t="str">
        <f t="array" ref="B9312">iferror(xlookup($I9312, 'IMPORT VHC Report'!$E:$E, 'IMPORT VHC Report'!$A:$C), )</f>
        <v/>
      </c>
      <c r="C9312" s="44"/>
      <c r="D9312" s="44"/>
      <c r="L9312" s="45"/>
      <c r="N9312" s="45"/>
    </row>
    <row r="9313">
      <c r="A9313" s="40" t="str">
        <f t="shared" si="1"/>
        <v/>
      </c>
      <c r="B9313" s="37" t="str">
        <f t="array" ref="B9313">iferror(xlookup($I9313, 'IMPORT VHC Report'!$E:$E, 'IMPORT VHC Report'!$A:$C), )</f>
        <v/>
      </c>
      <c r="C9313" s="44"/>
      <c r="D9313" s="44"/>
      <c r="L9313" s="45"/>
      <c r="N9313" s="45"/>
    </row>
    <row r="9314">
      <c r="A9314" s="40" t="str">
        <f t="shared" si="1"/>
        <v/>
      </c>
      <c r="B9314" s="37" t="str">
        <f t="array" ref="B9314">iferror(xlookup($I9314, 'IMPORT VHC Report'!$E:$E, 'IMPORT VHC Report'!$A:$C), )</f>
        <v/>
      </c>
      <c r="C9314" s="44"/>
      <c r="D9314" s="44"/>
      <c r="L9314" s="45"/>
      <c r="N9314" s="45"/>
    </row>
    <row r="9315">
      <c r="A9315" s="40" t="str">
        <f t="shared" si="1"/>
        <v/>
      </c>
      <c r="B9315" s="37" t="str">
        <f t="array" ref="B9315">iferror(xlookup($I9315, 'IMPORT VHC Report'!$E:$E, 'IMPORT VHC Report'!$A:$C), )</f>
        <v/>
      </c>
      <c r="C9315" s="44"/>
      <c r="D9315" s="44"/>
      <c r="L9315" s="45"/>
      <c r="N9315" s="45"/>
    </row>
    <row r="9316">
      <c r="A9316" s="40" t="str">
        <f t="shared" si="1"/>
        <v/>
      </c>
      <c r="B9316" s="37" t="str">
        <f t="array" ref="B9316">iferror(xlookup($I9316, 'IMPORT VHC Report'!$E:$E, 'IMPORT VHC Report'!$A:$C), )</f>
        <v/>
      </c>
      <c r="C9316" s="44"/>
      <c r="D9316" s="44"/>
      <c r="L9316" s="45"/>
      <c r="N9316" s="45"/>
    </row>
    <row r="9317">
      <c r="A9317" s="40" t="str">
        <f t="shared" si="1"/>
        <v/>
      </c>
      <c r="B9317" s="37" t="str">
        <f t="array" ref="B9317">iferror(xlookup($I9317, 'IMPORT VHC Report'!$E:$E, 'IMPORT VHC Report'!$A:$C), )</f>
        <v/>
      </c>
      <c r="C9317" s="44"/>
      <c r="D9317" s="44"/>
      <c r="L9317" s="45"/>
      <c r="N9317" s="45"/>
    </row>
    <row r="9318">
      <c r="A9318" s="40" t="str">
        <f t="shared" si="1"/>
        <v/>
      </c>
      <c r="B9318" s="37" t="str">
        <f t="array" ref="B9318">iferror(xlookup($I9318, 'IMPORT VHC Report'!$E:$E, 'IMPORT VHC Report'!$A:$C), )</f>
        <v/>
      </c>
      <c r="C9318" s="44"/>
      <c r="D9318" s="44"/>
      <c r="L9318" s="45"/>
      <c r="N9318" s="45"/>
    </row>
    <row r="9319">
      <c r="A9319" s="40" t="str">
        <f t="shared" si="1"/>
        <v/>
      </c>
      <c r="B9319" s="37" t="str">
        <f t="array" ref="B9319">iferror(xlookup($I9319, 'IMPORT VHC Report'!$E:$E, 'IMPORT VHC Report'!$A:$C), )</f>
        <v/>
      </c>
      <c r="C9319" s="44"/>
      <c r="D9319" s="44"/>
      <c r="L9319" s="45"/>
      <c r="N9319" s="45"/>
    </row>
    <row r="9320">
      <c r="A9320" s="40" t="str">
        <f t="shared" si="1"/>
        <v/>
      </c>
      <c r="B9320" s="37" t="str">
        <f t="array" ref="B9320">iferror(xlookup($I9320, 'IMPORT VHC Report'!$E:$E, 'IMPORT VHC Report'!$A:$C), )</f>
        <v/>
      </c>
      <c r="C9320" s="44"/>
      <c r="D9320" s="44"/>
      <c r="L9320" s="45"/>
      <c r="N9320" s="45"/>
    </row>
    <row r="9321">
      <c r="A9321" s="40" t="str">
        <f t="shared" si="1"/>
        <v/>
      </c>
      <c r="B9321" s="37" t="str">
        <f t="array" ref="B9321">iferror(xlookup($I9321, 'IMPORT VHC Report'!$E:$E, 'IMPORT VHC Report'!$A:$C), )</f>
        <v/>
      </c>
      <c r="C9321" s="44"/>
      <c r="D9321" s="44"/>
      <c r="L9321" s="45"/>
      <c r="N9321" s="45"/>
    </row>
    <row r="9322">
      <c r="A9322" s="40" t="str">
        <f t="shared" si="1"/>
        <v/>
      </c>
      <c r="B9322" s="37" t="str">
        <f t="array" ref="B9322">iferror(xlookup($I9322, 'IMPORT VHC Report'!$E:$E, 'IMPORT VHC Report'!$A:$C), )</f>
        <v/>
      </c>
      <c r="C9322" s="44"/>
      <c r="D9322" s="44"/>
      <c r="L9322" s="45"/>
      <c r="N9322" s="45"/>
    </row>
    <row r="9323">
      <c r="A9323" s="40" t="str">
        <f t="shared" si="1"/>
        <v/>
      </c>
      <c r="B9323" s="37" t="str">
        <f t="array" ref="B9323">iferror(xlookup($I9323, 'IMPORT VHC Report'!$E:$E, 'IMPORT VHC Report'!$A:$C), )</f>
        <v/>
      </c>
      <c r="C9323" s="44"/>
      <c r="D9323" s="44"/>
      <c r="L9323" s="45"/>
      <c r="N9323" s="45"/>
    </row>
    <row r="9324">
      <c r="A9324" s="40" t="str">
        <f t="shared" si="1"/>
        <v/>
      </c>
      <c r="B9324" s="37" t="str">
        <f t="array" ref="B9324">iferror(xlookup($I9324, 'IMPORT VHC Report'!$E:$E, 'IMPORT VHC Report'!$A:$C), )</f>
        <v/>
      </c>
      <c r="C9324" s="44"/>
      <c r="D9324" s="44"/>
      <c r="L9324" s="45"/>
      <c r="N9324" s="45"/>
    </row>
    <row r="9325">
      <c r="A9325" s="40" t="str">
        <f t="shared" si="1"/>
        <v/>
      </c>
      <c r="B9325" s="37" t="str">
        <f t="array" ref="B9325">iferror(xlookup($I9325, 'IMPORT VHC Report'!$E:$E, 'IMPORT VHC Report'!$A:$C), )</f>
        <v/>
      </c>
      <c r="C9325" s="44"/>
      <c r="D9325" s="44"/>
      <c r="L9325" s="45"/>
      <c r="N9325" s="45"/>
    </row>
    <row r="9326">
      <c r="A9326" s="40" t="str">
        <f t="shared" si="1"/>
        <v/>
      </c>
      <c r="B9326" s="37" t="str">
        <f t="array" ref="B9326">iferror(xlookup($I9326, 'IMPORT VHC Report'!$E:$E, 'IMPORT VHC Report'!$A:$C), )</f>
        <v/>
      </c>
      <c r="C9326" s="44"/>
      <c r="D9326" s="44"/>
      <c r="L9326" s="45"/>
      <c r="N9326" s="45"/>
    </row>
    <row r="9327">
      <c r="A9327" s="40" t="str">
        <f t="shared" si="1"/>
        <v/>
      </c>
      <c r="B9327" s="37" t="str">
        <f t="array" ref="B9327">iferror(xlookup($I9327, 'IMPORT VHC Report'!$E:$E, 'IMPORT VHC Report'!$A:$C), )</f>
        <v/>
      </c>
      <c r="C9327" s="44"/>
      <c r="D9327" s="44"/>
      <c r="L9327" s="45"/>
      <c r="N9327" s="45"/>
    </row>
    <row r="9328">
      <c r="A9328" s="40" t="str">
        <f t="shared" si="1"/>
        <v/>
      </c>
      <c r="B9328" s="37" t="str">
        <f t="array" ref="B9328">iferror(xlookup($I9328, 'IMPORT VHC Report'!$E:$E, 'IMPORT VHC Report'!$A:$C), )</f>
        <v/>
      </c>
      <c r="C9328" s="44"/>
      <c r="D9328" s="44"/>
      <c r="L9328" s="45"/>
      <c r="N9328" s="45"/>
    </row>
    <row r="9329">
      <c r="A9329" s="40" t="str">
        <f t="shared" si="1"/>
        <v/>
      </c>
      <c r="B9329" s="37" t="str">
        <f t="array" ref="B9329">iferror(xlookup($I9329, 'IMPORT VHC Report'!$E:$E, 'IMPORT VHC Report'!$A:$C), )</f>
        <v/>
      </c>
      <c r="C9329" s="44"/>
      <c r="D9329" s="44"/>
      <c r="L9329" s="45"/>
      <c r="N9329" s="45"/>
    </row>
    <row r="9330">
      <c r="A9330" s="40" t="str">
        <f t="shared" si="1"/>
        <v/>
      </c>
      <c r="B9330" s="37" t="str">
        <f t="array" ref="B9330">iferror(xlookup($I9330, 'IMPORT VHC Report'!$E:$E, 'IMPORT VHC Report'!$A:$C), )</f>
        <v/>
      </c>
      <c r="C9330" s="44"/>
      <c r="D9330" s="44"/>
      <c r="L9330" s="45"/>
      <c r="N9330" s="45"/>
    </row>
    <row r="9331">
      <c r="A9331" s="40" t="str">
        <f t="shared" si="1"/>
        <v/>
      </c>
      <c r="B9331" s="37" t="str">
        <f t="array" ref="B9331">iferror(xlookup($I9331, 'IMPORT VHC Report'!$E:$E, 'IMPORT VHC Report'!$A:$C), )</f>
        <v/>
      </c>
      <c r="C9331" s="44"/>
      <c r="D9331" s="44"/>
      <c r="L9331" s="45"/>
      <c r="N9331" s="45"/>
    </row>
    <row r="9332">
      <c r="A9332" s="40" t="str">
        <f t="shared" si="1"/>
        <v/>
      </c>
      <c r="B9332" s="37" t="str">
        <f t="array" ref="B9332">iferror(xlookup($I9332, 'IMPORT VHC Report'!$E:$E, 'IMPORT VHC Report'!$A:$C), )</f>
        <v/>
      </c>
      <c r="C9332" s="44"/>
      <c r="D9332" s="44"/>
      <c r="L9332" s="45"/>
      <c r="N9332" s="45"/>
    </row>
    <row r="9333">
      <c r="A9333" s="40" t="str">
        <f t="shared" si="1"/>
        <v/>
      </c>
      <c r="B9333" s="37" t="str">
        <f t="array" ref="B9333">iferror(xlookup($I9333, 'IMPORT VHC Report'!$E:$E, 'IMPORT VHC Report'!$A:$C), )</f>
        <v/>
      </c>
      <c r="C9333" s="44"/>
      <c r="D9333" s="44"/>
      <c r="L9333" s="45"/>
      <c r="N9333" s="45"/>
    </row>
    <row r="9334">
      <c r="A9334" s="40" t="str">
        <f t="shared" si="1"/>
        <v/>
      </c>
      <c r="B9334" s="37" t="str">
        <f t="array" ref="B9334">iferror(xlookup($I9334, 'IMPORT VHC Report'!$E:$E, 'IMPORT VHC Report'!$A:$C), )</f>
        <v/>
      </c>
      <c r="C9334" s="44"/>
      <c r="D9334" s="44"/>
      <c r="L9334" s="45"/>
      <c r="N9334" s="45"/>
    </row>
    <row r="9335">
      <c r="A9335" s="40" t="str">
        <f t="shared" si="1"/>
        <v/>
      </c>
      <c r="B9335" s="37" t="str">
        <f t="array" ref="B9335">iferror(xlookup($I9335, 'IMPORT VHC Report'!$E:$E, 'IMPORT VHC Report'!$A:$C), )</f>
        <v/>
      </c>
      <c r="C9335" s="44"/>
      <c r="D9335" s="44"/>
      <c r="L9335" s="45"/>
      <c r="N9335" s="45"/>
    </row>
    <row r="9336">
      <c r="A9336" s="40" t="str">
        <f t="shared" si="1"/>
        <v/>
      </c>
      <c r="B9336" s="37" t="str">
        <f t="array" ref="B9336">iferror(xlookup($I9336, 'IMPORT VHC Report'!$E:$E, 'IMPORT VHC Report'!$A:$C), )</f>
        <v/>
      </c>
      <c r="C9336" s="44"/>
      <c r="D9336" s="44"/>
      <c r="L9336" s="45"/>
      <c r="N9336" s="45"/>
    </row>
    <row r="9337">
      <c r="A9337" s="40" t="str">
        <f t="shared" si="1"/>
        <v/>
      </c>
      <c r="B9337" s="37" t="str">
        <f t="array" ref="B9337">iferror(xlookup($I9337, 'IMPORT VHC Report'!$E:$E, 'IMPORT VHC Report'!$A:$C), )</f>
        <v/>
      </c>
      <c r="C9337" s="44"/>
      <c r="D9337" s="44"/>
      <c r="L9337" s="45"/>
      <c r="N9337" s="45"/>
    </row>
    <row r="9338">
      <c r="A9338" s="40" t="str">
        <f t="shared" si="1"/>
        <v/>
      </c>
      <c r="B9338" s="37" t="str">
        <f t="array" ref="B9338">iferror(xlookup($I9338, 'IMPORT VHC Report'!$E:$E, 'IMPORT VHC Report'!$A:$C), )</f>
        <v/>
      </c>
      <c r="C9338" s="44"/>
      <c r="D9338" s="44"/>
      <c r="L9338" s="45"/>
      <c r="N9338" s="45"/>
    </row>
    <row r="9339">
      <c r="A9339" s="40" t="str">
        <f t="shared" si="1"/>
        <v/>
      </c>
      <c r="B9339" s="37" t="str">
        <f t="array" ref="B9339">iferror(xlookup($I9339, 'IMPORT VHC Report'!$E:$E, 'IMPORT VHC Report'!$A:$C), )</f>
        <v/>
      </c>
      <c r="C9339" s="44"/>
      <c r="D9339" s="44"/>
      <c r="L9339" s="45"/>
      <c r="N9339" s="45"/>
    </row>
    <row r="9340">
      <c r="A9340" s="40" t="str">
        <f t="shared" si="1"/>
        <v/>
      </c>
      <c r="B9340" s="37" t="str">
        <f t="array" ref="B9340">iferror(xlookup($I9340, 'IMPORT VHC Report'!$E:$E, 'IMPORT VHC Report'!$A:$C), )</f>
        <v/>
      </c>
      <c r="C9340" s="44"/>
      <c r="D9340" s="44"/>
      <c r="L9340" s="45"/>
      <c r="N9340" s="45"/>
    </row>
    <row r="9341">
      <c r="A9341" s="40" t="str">
        <f t="shared" si="1"/>
        <v/>
      </c>
      <c r="B9341" s="37" t="str">
        <f t="array" ref="B9341">iferror(xlookup($I9341, 'IMPORT VHC Report'!$E:$E, 'IMPORT VHC Report'!$A:$C), )</f>
        <v/>
      </c>
      <c r="C9341" s="44"/>
      <c r="D9341" s="44"/>
      <c r="L9341" s="45"/>
      <c r="N9341" s="45"/>
    </row>
    <row r="9342">
      <c r="A9342" s="40" t="str">
        <f t="shared" si="1"/>
        <v/>
      </c>
      <c r="B9342" s="37" t="str">
        <f t="array" ref="B9342">iferror(xlookup($I9342, 'IMPORT VHC Report'!$E:$E, 'IMPORT VHC Report'!$A:$C), )</f>
        <v/>
      </c>
      <c r="C9342" s="44"/>
      <c r="D9342" s="44"/>
      <c r="L9342" s="45"/>
      <c r="N9342" s="45"/>
    </row>
    <row r="9343">
      <c r="A9343" s="40" t="str">
        <f t="shared" si="1"/>
        <v/>
      </c>
      <c r="B9343" s="37" t="str">
        <f t="array" ref="B9343">iferror(xlookup($I9343, 'IMPORT VHC Report'!$E:$E, 'IMPORT VHC Report'!$A:$C), )</f>
        <v/>
      </c>
      <c r="C9343" s="44"/>
      <c r="D9343" s="44"/>
      <c r="L9343" s="45"/>
      <c r="N9343" s="45"/>
    </row>
    <row r="9344">
      <c r="A9344" s="40" t="str">
        <f t="shared" si="1"/>
        <v/>
      </c>
      <c r="B9344" s="37" t="str">
        <f t="array" ref="B9344">iferror(xlookup($I9344, 'IMPORT VHC Report'!$E:$E, 'IMPORT VHC Report'!$A:$C), )</f>
        <v/>
      </c>
      <c r="C9344" s="44"/>
      <c r="D9344" s="44"/>
      <c r="L9344" s="45"/>
      <c r="N9344" s="45"/>
    </row>
    <row r="9345">
      <c r="A9345" s="40" t="str">
        <f t="shared" si="1"/>
        <v/>
      </c>
      <c r="B9345" s="37" t="str">
        <f t="array" ref="B9345">iferror(xlookup($I9345, 'IMPORT VHC Report'!$E:$E, 'IMPORT VHC Report'!$A:$C), )</f>
        <v/>
      </c>
      <c r="C9345" s="44"/>
      <c r="D9345" s="44"/>
      <c r="L9345" s="45"/>
      <c r="N9345" s="45"/>
    </row>
    <row r="9346">
      <c r="A9346" s="40" t="str">
        <f t="shared" si="1"/>
        <v/>
      </c>
      <c r="B9346" s="37" t="str">
        <f t="array" ref="B9346">iferror(xlookup($I9346, 'IMPORT VHC Report'!$E:$E, 'IMPORT VHC Report'!$A:$C), )</f>
        <v/>
      </c>
      <c r="C9346" s="44"/>
      <c r="D9346" s="44"/>
      <c r="L9346" s="45"/>
      <c r="N9346" s="45"/>
    </row>
    <row r="9347">
      <c r="A9347" s="40" t="str">
        <f t="shared" si="1"/>
        <v/>
      </c>
      <c r="B9347" s="37" t="str">
        <f t="array" ref="B9347">iferror(xlookup($I9347, 'IMPORT VHC Report'!$E:$E, 'IMPORT VHC Report'!$A:$C), )</f>
        <v/>
      </c>
      <c r="C9347" s="44"/>
      <c r="D9347" s="44"/>
      <c r="L9347" s="45"/>
      <c r="N9347" s="45"/>
    </row>
    <row r="9348">
      <c r="A9348" s="40" t="str">
        <f t="shared" si="1"/>
        <v/>
      </c>
      <c r="B9348" s="37" t="str">
        <f t="array" ref="B9348">iferror(xlookup($I9348, 'IMPORT VHC Report'!$E:$E, 'IMPORT VHC Report'!$A:$C), )</f>
        <v/>
      </c>
      <c r="C9348" s="44"/>
      <c r="D9348" s="44"/>
      <c r="L9348" s="45"/>
      <c r="N9348" s="45"/>
    </row>
    <row r="9349">
      <c r="A9349" s="40" t="str">
        <f t="shared" si="1"/>
        <v/>
      </c>
      <c r="B9349" s="37" t="str">
        <f t="array" ref="B9349">iferror(xlookup($I9349, 'IMPORT VHC Report'!$E:$E, 'IMPORT VHC Report'!$A:$C), )</f>
        <v/>
      </c>
      <c r="C9349" s="44"/>
      <c r="D9349" s="44"/>
      <c r="L9349" s="45"/>
      <c r="N9349" s="45"/>
    </row>
    <row r="9350">
      <c r="A9350" s="40" t="str">
        <f t="shared" si="1"/>
        <v/>
      </c>
      <c r="B9350" s="37" t="str">
        <f t="array" ref="B9350">iferror(xlookup($I9350, 'IMPORT VHC Report'!$E:$E, 'IMPORT VHC Report'!$A:$C), )</f>
        <v/>
      </c>
      <c r="C9350" s="44"/>
      <c r="D9350" s="44"/>
      <c r="L9350" s="45"/>
      <c r="N9350" s="45"/>
    </row>
    <row r="9351">
      <c r="A9351" s="40" t="str">
        <f t="shared" si="1"/>
        <v/>
      </c>
      <c r="B9351" s="37" t="str">
        <f t="array" ref="B9351">iferror(xlookup($I9351, 'IMPORT VHC Report'!$E:$E, 'IMPORT VHC Report'!$A:$C), )</f>
        <v/>
      </c>
      <c r="C9351" s="44"/>
      <c r="D9351" s="44"/>
      <c r="L9351" s="45"/>
      <c r="N9351" s="45"/>
    </row>
    <row r="9352">
      <c r="A9352" s="40" t="str">
        <f t="shared" si="1"/>
        <v/>
      </c>
      <c r="B9352" s="37" t="str">
        <f t="array" ref="B9352">iferror(xlookup($I9352, 'IMPORT VHC Report'!$E:$E, 'IMPORT VHC Report'!$A:$C), )</f>
        <v/>
      </c>
      <c r="C9352" s="44"/>
      <c r="D9352" s="44"/>
      <c r="L9352" s="45"/>
      <c r="N9352" s="45"/>
    </row>
    <row r="9353">
      <c r="A9353" s="40" t="str">
        <f t="shared" si="1"/>
        <v/>
      </c>
      <c r="B9353" s="37" t="str">
        <f t="array" ref="B9353">iferror(xlookup($I9353, 'IMPORT VHC Report'!$E:$E, 'IMPORT VHC Report'!$A:$C), )</f>
        <v/>
      </c>
      <c r="C9353" s="44"/>
      <c r="D9353" s="44"/>
      <c r="L9353" s="45"/>
      <c r="N9353" s="45"/>
    </row>
    <row r="9354">
      <c r="A9354" s="40" t="str">
        <f t="shared" si="1"/>
        <v/>
      </c>
      <c r="B9354" s="37" t="str">
        <f t="array" ref="B9354">iferror(xlookup($I9354, 'IMPORT VHC Report'!$E:$E, 'IMPORT VHC Report'!$A:$C), )</f>
        <v/>
      </c>
      <c r="C9354" s="44"/>
      <c r="D9354" s="44"/>
      <c r="L9354" s="45"/>
      <c r="N9354" s="45"/>
    </row>
    <row r="9355">
      <c r="A9355" s="40" t="str">
        <f t="shared" si="1"/>
        <v/>
      </c>
      <c r="B9355" s="37" t="str">
        <f t="array" ref="B9355">iferror(xlookup($I9355, 'IMPORT VHC Report'!$E:$E, 'IMPORT VHC Report'!$A:$C), )</f>
        <v/>
      </c>
      <c r="C9355" s="44"/>
      <c r="D9355" s="44"/>
      <c r="L9355" s="45"/>
      <c r="N9355" s="45"/>
    </row>
    <row r="9356">
      <c r="A9356" s="40" t="str">
        <f t="shared" si="1"/>
        <v/>
      </c>
      <c r="B9356" s="37" t="str">
        <f t="array" ref="B9356">iferror(xlookup($I9356, 'IMPORT VHC Report'!$E:$E, 'IMPORT VHC Report'!$A:$C), )</f>
        <v/>
      </c>
      <c r="C9356" s="44"/>
      <c r="D9356" s="44"/>
      <c r="L9356" s="45"/>
      <c r="N9356" s="45"/>
    </row>
    <row r="9357">
      <c r="A9357" s="40" t="str">
        <f t="shared" si="1"/>
        <v/>
      </c>
      <c r="B9357" s="37" t="str">
        <f t="array" ref="B9357">iferror(xlookup($I9357, 'IMPORT VHC Report'!$E:$E, 'IMPORT VHC Report'!$A:$C), )</f>
        <v/>
      </c>
      <c r="C9357" s="44"/>
      <c r="D9357" s="44"/>
      <c r="L9357" s="45"/>
      <c r="N9357" s="45"/>
    </row>
    <row r="9358">
      <c r="A9358" s="40" t="str">
        <f t="shared" si="1"/>
        <v/>
      </c>
      <c r="B9358" s="37" t="str">
        <f t="array" ref="B9358">iferror(xlookup($I9358, 'IMPORT VHC Report'!$E:$E, 'IMPORT VHC Report'!$A:$C), )</f>
        <v/>
      </c>
      <c r="C9358" s="44"/>
      <c r="D9358" s="44"/>
      <c r="L9358" s="45"/>
      <c r="N9358" s="45"/>
    </row>
    <row r="9359">
      <c r="A9359" s="40" t="str">
        <f t="shared" si="1"/>
        <v/>
      </c>
      <c r="B9359" s="37" t="str">
        <f t="array" ref="B9359">iferror(xlookup($I9359, 'IMPORT VHC Report'!$E:$E, 'IMPORT VHC Report'!$A:$C), )</f>
        <v/>
      </c>
      <c r="C9359" s="44"/>
      <c r="D9359" s="44"/>
      <c r="L9359" s="45"/>
      <c r="N9359" s="45"/>
    </row>
    <row r="9360">
      <c r="A9360" s="40" t="str">
        <f t="shared" si="1"/>
        <v/>
      </c>
      <c r="B9360" s="37" t="str">
        <f t="array" ref="B9360">iferror(xlookup($I9360, 'IMPORT VHC Report'!$E:$E, 'IMPORT VHC Report'!$A:$C), )</f>
        <v/>
      </c>
      <c r="C9360" s="44"/>
      <c r="D9360" s="44"/>
      <c r="L9360" s="45"/>
      <c r="N9360" s="45"/>
    </row>
    <row r="9361">
      <c r="A9361" s="40" t="str">
        <f t="shared" si="1"/>
        <v/>
      </c>
      <c r="B9361" s="37" t="str">
        <f t="array" ref="B9361">iferror(xlookup($I9361, 'IMPORT VHC Report'!$E:$E, 'IMPORT VHC Report'!$A:$C), )</f>
        <v/>
      </c>
      <c r="C9361" s="44"/>
      <c r="D9361" s="44"/>
      <c r="L9361" s="45"/>
      <c r="N9361" s="45"/>
    </row>
    <row r="9362">
      <c r="A9362" s="40" t="str">
        <f t="shared" si="1"/>
        <v/>
      </c>
      <c r="B9362" s="37" t="str">
        <f t="array" ref="B9362">iferror(xlookup($I9362, 'IMPORT VHC Report'!$E:$E, 'IMPORT VHC Report'!$A:$C), )</f>
        <v/>
      </c>
      <c r="C9362" s="44"/>
      <c r="D9362" s="44"/>
      <c r="L9362" s="45"/>
      <c r="N9362" s="45"/>
    </row>
    <row r="9363">
      <c r="A9363" s="40" t="str">
        <f t="shared" si="1"/>
        <v/>
      </c>
      <c r="B9363" s="37" t="str">
        <f t="array" ref="B9363">iferror(xlookup($I9363, 'IMPORT VHC Report'!$E:$E, 'IMPORT VHC Report'!$A:$C), )</f>
        <v/>
      </c>
      <c r="C9363" s="44"/>
      <c r="D9363" s="44"/>
      <c r="L9363" s="45"/>
      <c r="N9363" s="45"/>
    </row>
    <row r="9364">
      <c r="A9364" s="40" t="str">
        <f t="shared" si="1"/>
        <v/>
      </c>
      <c r="B9364" s="37" t="str">
        <f t="array" ref="B9364">iferror(xlookup($I9364, 'IMPORT VHC Report'!$E:$E, 'IMPORT VHC Report'!$A:$C), )</f>
        <v/>
      </c>
      <c r="C9364" s="44"/>
      <c r="D9364" s="44"/>
      <c r="L9364" s="45"/>
      <c r="N9364" s="45"/>
    </row>
    <row r="9365">
      <c r="A9365" s="40" t="str">
        <f t="shared" si="1"/>
        <v/>
      </c>
      <c r="B9365" s="37" t="str">
        <f t="array" ref="B9365">iferror(xlookup($I9365, 'IMPORT VHC Report'!$E:$E, 'IMPORT VHC Report'!$A:$C), )</f>
        <v/>
      </c>
      <c r="C9365" s="44"/>
      <c r="D9365" s="44"/>
      <c r="L9365" s="45"/>
      <c r="N9365" s="45"/>
    </row>
    <row r="9366">
      <c r="A9366" s="40" t="str">
        <f t="shared" si="1"/>
        <v/>
      </c>
      <c r="B9366" s="37" t="str">
        <f t="array" ref="B9366">iferror(xlookup($I9366, 'IMPORT VHC Report'!$E:$E, 'IMPORT VHC Report'!$A:$C), )</f>
        <v/>
      </c>
      <c r="C9366" s="44"/>
      <c r="D9366" s="44"/>
      <c r="L9366" s="45"/>
      <c r="N9366" s="45"/>
    </row>
    <row r="9367">
      <c r="A9367" s="40" t="str">
        <f t="shared" si="1"/>
        <v/>
      </c>
      <c r="B9367" s="37" t="str">
        <f t="array" ref="B9367">iferror(xlookup($I9367, 'IMPORT VHC Report'!$E:$E, 'IMPORT VHC Report'!$A:$C), )</f>
        <v/>
      </c>
      <c r="C9367" s="44"/>
      <c r="D9367" s="44"/>
      <c r="L9367" s="45"/>
      <c r="N9367" s="45"/>
    </row>
    <row r="9368">
      <c r="A9368" s="40" t="str">
        <f t="shared" si="1"/>
        <v/>
      </c>
      <c r="B9368" s="37" t="str">
        <f t="array" ref="B9368">iferror(xlookup($I9368, 'IMPORT VHC Report'!$E:$E, 'IMPORT VHC Report'!$A:$C), )</f>
        <v/>
      </c>
      <c r="C9368" s="44"/>
      <c r="D9368" s="44"/>
      <c r="L9368" s="45"/>
      <c r="N9368" s="45"/>
    </row>
    <row r="9369">
      <c r="A9369" s="40" t="str">
        <f t="shared" si="1"/>
        <v/>
      </c>
      <c r="B9369" s="37" t="str">
        <f t="array" ref="B9369">iferror(xlookup($I9369, 'IMPORT VHC Report'!$E:$E, 'IMPORT VHC Report'!$A:$C), )</f>
        <v/>
      </c>
      <c r="C9369" s="44"/>
      <c r="D9369" s="44"/>
      <c r="L9369" s="45"/>
      <c r="N9369" s="45"/>
    </row>
    <row r="9370">
      <c r="A9370" s="40" t="str">
        <f t="shared" si="1"/>
        <v/>
      </c>
      <c r="B9370" s="37" t="str">
        <f t="array" ref="B9370">iferror(xlookup($I9370, 'IMPORT VHC Report'!$E:$E, 'IMPORT VHC Report'!$A:$C), )</f>
        <v/>
      </c>
      <c r="C9370" s="44"/>
      <c r="D9370" s="44"/>
      <c r="L9370" s="45"/>
      <c r="N9370" s="45"/>
    </row>
    <row r="9371">
      <c r="A9371" s="40" t="str">
        <f t="shared" si="1"/>
        <v/>
      </c>
      <c r="B9371" s="37" t="str">
        <f t="array" ref="B9371">iferror(xlookup($I9371, 'IMPORT VHC Report'!$E:$E, 'IMPORT VHC Report'!$A:$C), )</f>
        <v/>
      </c>
      <c r="C9371" s="44"/>
      <c r="D9371" s="44"/>
      <c r="L9371" s="45"/>
      <c r="N9371" s="45"/>
    </row>
    <row r="9372">
      <c r="A9372" s="40" t="str">
        <f t="shared" si="1"/>
        <v/>
      </c>
      <c r="B9372" s="37" t="str">
        <f t="array" ref="B9372">iferror(xlookup($I9372, 'IMPORT VHC Report'!$E:$E, 'IMPORT VHC Report'!$A:$C), )</f>
        <v/>
      </c>
      <c r="C9372" s="44"/>
      <c r="D9372" s="44"/>
      <c r="L9372" s="45"/>
      <c r="N9372" s="45"/>
    </row>
    <row r="9373">
      <c r="A9373" s="40" t="str">
        <f t="shared" si="1"/>
        <v/>
      </c>
      <c r="B9373" s="37" t="str">
        <f t="array" ref="B9373">iferror(xlookup($I9373, 'IMPORT VHC Report'!$E:$E, 'IMPORT VHC Report'!$A:$C), )</f>
        <v/>
      </c>
      <c r="C9373" s="44"/>
      <c r="D9373" s="44"/>
      <c r="L9373" s="45"/>
      <c r="N9373" s="45"/>
    </row>
    <row r="9374">
      <c r="A9374" s="40" t="str">
        <f t="shared" si="1"/>
        <v/>
      </c>
      <c r="B9374" s="37" t="str">
        <f t="array" ref="B9374">iferror(xlookup($I9374, 'IMPORT VHC Report'!$E:$E, 'IMPORT VHC Report'!$A:$C), )</f>
        <v/>
      </c>
      <c r="C9374" s="44"/>
      <c r="D9374" s="44"/>
      <c r="L9374" s="45"/>
      <c r="N9374" s="45"/>
    </row>
    <row r="9375">
      <c r="A9375" s="40" t="str">
        <f t="shared" si="1"/>
        <v/>
      </c>
      <c r="B9375" s="37" t="str">
        <f t="array" ref="B9375">iferror(xlookup($I9375, 'IMPORT VHC Report'!$E:$E, 'IMPORT VHC Report'!$A:$C), )</f>
        <v/>
      </c>
      <c r="C9375" s="44"/>
      <c r="D9375" s="44"/>
      <c r="L9375" s="45"/>
      <c r="N9375" s="45"/>
    </row>
    <row r="9376">
      <c r="A9376" s="40" t="str">
        <f t="shared" si="1"/>
        <v/>
      </c>
      <c r="B9376" s="37" t="str">
        <f t="array" ref="B9376">iferror(xlookup($I9376, 'IMPORT VHC Report'!$E:$E, 'IMPORT VHC Report'!$A:$C), )</f>
        <v/>
      </c>
      <c r="C9376" s="44"/>
      <c r="D9376" s="44"/>
      <c r="L9376" s="45"/>
      <c r="N9376" s="45"/>
    </row>
    <row r="9377">
      <c r="A9377" s="40" t="str">
        <f t="shared" si="1"/>
        <v/>
      </c>
      <c r="B9377" s="37" t="str">
        <f t="array" ref="B9377">iferror(xlookup($I9377, 'IMPORT VHC Report'!$E:$E, 'IMPORT VHC Report'!$A:$C), )</f>
        <v/>
      </c>
      <c r="C9377" s="44"/>
      <c r="D9377" s="44"/>
      <c r="L9377" s="45"/>
      <c r="N9377" s="45"/>
    </row>
    <row r="9378">
      <c r="A9378" s="40" t="str">
        <f t="shared" si="1"/>
        <v/>
      </c>
      <c r="B9378" s="37" t="str">
        <f t="array" ref="B9378">iferror(xlookup($I9378, 'IMPORT VHC Report'!$E:$E, 'IMPORT VHC Report'!$A:$C), )</f>
        <v/>
      </c>
      <c r="C9378" s="44"/>
      <c r="D9378" s="44"/>
      <c r="L9378" s="45"/>
      <c r="N9378" s="45"/>
    </row>
    <row r="9379">
      <c r="A9379" s="40" t="str">
        <f t="shared" si="1"/>
        <v/>
      </c>
      <c r="B9379" s="37" t="str">
        <f t="array" ref="B9379">iferror(xlookup($I9379, 'IMPORT VHC Report'!$E:$E, 'IMPORT VHC Report'!$A:$C), )</f>
        <v/>
      </c>
      <c r="C9379" s="44"/>
      <c r="D9379" s="44"/>
      <c r="L9379" s="45"/>
      <c r="N9379" s="45"/>
    </row>
    <row r="9380">
      <c r="A9380" s="40" t="str">
        <f t="shared" si="1"/>
        <v/>
      </c>
      <c r="B9380" s="37" t="str">
        <f t="array" ref="B9380">iferror(xlookup($I9380, 'IMPORT VHC Report'!$E:$E, 'IMPORT VHC Report'!$A:$C), )</f>
        <v/>
      </c>
      <c r="C9380" s="44"/>
      <c r="D9380" s="44"/>
      <c r="L9380" s="45"/>
      <c r="N9380" s="45"/>
    </row>
    <row r="9381">
      <c r="A9381" s="40" t="str">
        <f t="shared" si="1"/>
        <v/>
      </c>
      <c r="B9381" s="37" t="str">
        <f t="array" ref="B9381">iferror(xlookup($I9381, 'IMPORT VHC Report'!$E:$E, 'IMPORT VHC Report'!$A:$C), )</f>
        <v/>
      </c>
      <c r="C9381" s="44"/>
      <c r="D9381" s="44"/>
      <c r="L9381" s="45"/>
      <c r="N9381" s="45"/>
    </row>
    <row r="9382">
      <c r="A9382" s="40" t="str">
        <f t="shared" si="1"/>
        <v/>
      </c>
      <c r="B9382" s="37" t="str">
        <f t="array" ref="B9382">iferror(xlookup($I9382, 'IMPORT VHC Report'!$E:$E, 'IMPORT VHC Report'!$A:$C), )</f>
        <v/>
      </c>
      <c r="C9382" s="44"/>
      <c r="D9382" s="44"/>
      <c r="L9382" s="45"/>
      <c r="N9382" s="45"/>
    </row>
    <row r="9383">
      <c r="A9383" s="40" t="str">
        <f t="shared" si="1"/>
        <v/>
      </c>
      <c r="B9383" s="37" t="str">
        <f t="array" ref="B9383">iferror(xlookup($I9383, 'IMPORT VHC Report'!$E:$E, 'IMPORT VHC Report'!$A:$C), )</f>
        <v/>
      </c>
      <c r="C9383" s="44"/>
      <c r="D9383" s="44"/>
      <c r="L9383" s="45"/>
      <c r="N9383" s="45"/>
    </row>
    <row r="9384">
      <c r="A9384" s="40" t="str">
        <f t="shared" si="1"/>
        <v/>
      </c>
      <c r="B9384" s="37" t="str">
        <f t="array" ref="B9384">iferror(xlookup($I9384, 'IMPORT VHC Report'!$E:$E, 'IMPORT VHC Report'!$A:$C), )</f>
        <v/>
      </c>
      <c r="C9384" s="44"/>
      <c r="D9384" s="44"/>
      <c r="L9384" s="45"/>
      <c r="N9384" s="45"/>
    </row>
    <row r="9385">
      <c r="A9385" s="40" t="str">
        <f t="shared" si="1"/>
        <v/>
      </c>
      <c r="B9385" s="37" t="str">
        <f t="array" ref="B9385">iferror(xlookup($I9385, 'IMPORT VHC Report'!$E:$E, 'IMPORT VHC Report'!$A:$C), )</f>
        <v/>
      </c>
      <c r="C9385" s="44"/>
      <c r="D9385" s="44"/>
      <c r="L9385" s="45"/>
      <c r="N9385" s="45"/>
    </row>
    <row r="9386">
      <c r="A9386" s="40" t="str">
        <f t="shared" si="1"/>
        <v/>
      </c>
      <c r="B9386" s="37" t="str">
        <f t="array" ref="B9386">iferror(xlookup($I9386, 'IMPORT VHC Report'!$E:$E, 'IMPORT VHC Report'!$A:$C), )</f>
        <v/>
      </c>
      <c r="C9386" s="44"/>
      <c r="D9386" s="44"/>
      <c r="L9386" s="45"/>
      <c r="N9386" s="45"/>
    </row>
    <row r="9387">
      <c r="A9387" s="40" t="str">
        <f t="shared" si="1"/>
        <v/>
      </c>
      <c r="B9387" s="37" t="str">
        <f t="array" ref="B9387">iferror(xlookup($I9387, 'IMPORT VHC Report'!$E:$E, 'IMPORT VHC Report'!$A:$C), )</f>
        <v/>
      </c>
      <c r="C9387" s="44"/>
      <c r="D9387" s="44"/>
      <c r="L9387" s="45"/>
      <c r="N9387" s="45"/>
    </row>
    <row r="9388">
      <c r="A9388" s="40" t="str">
        <f t="shared" si="1"/>
        <v/>
      </c>
      <c r="B9388" s="37" t="str">
        <f t="array" ref="B9388">iferror(xlookup($I9388, 'IMPORT VHC Report'!$E:$E, 'IMPORT VHC Report'!$A:$C), )</f>
        <v/>
      </c>
      <c r="C9388" s="44"/>
      <c r="D9388" s="44"/>
      <c r="L9388" s="45"/>
      <c r="N9388" s="45"/>
    </row>
    <row r="9389">
      <c r="A9389" s="40" t="str">
        <f t="shared" si="1"/>
        <v/>
      </c>
      <c r="B9389" s="37" t="str">
        <f t="array" ref="B9389">iferror(xlookup($I9389, 'IMPORT VHC Report'!$E:$E, 'IMPORT VHC Report'!$A:$C), )</f>
        <v/>
      </c>
      <c r="C9389" s="44"/>
      <c r="D9389" s="44"/>
      <c r="L9389" s="45"/>
      <c r="N9389" s="45"/>
    </row>
    <row r="9390">
      <c r="A9390" s="40" t="str">
        <f t="shared" si="1"/>
        <v/>
      </c>
      <c r="B9390" s="37" t="str">
        <f t="array" ref="B9390">iferror(xlookup($I9390, 'IMPORT VHC Report'!$E:$E, 'IMPORT VHC Report'!$A:$C), )</f>
        <v/>
      </c>
      <c r="C9390" s="44"/>
      <c r="D9390" s="44"/>
      <c r="L9390" s="45"/>
      <c r="N9390" s="45"/>
    </row>
    <row r="9391">
      <c r="A9391" s="40" t="str">
        <f t="shared" si="1"/>
        <v/>
      </c>
      <c r="B9391" s="37" t="str">
        <f t="array" ref="B9391">iferror(xlookup($I9391, 'IMPORT VHC Report'!$E:$E, 'IMPORT VHC Report'!$A:$C), )</f>
        <v/>
      </c>
      <c r="C9391" s="44"/>
      <c r="D9391" s="44"/>
      <c r="L9391" s="45"/>
      <c r="N9391" s="45"/>
    </row>
    <row r="9392">
      <c r="A9392" s="40" t="str">
        <f t="shared" si="1"/>
        <v/>
      </c>
      <c r="B9392" s="37" t="str">
        <f t="array" ref="B9392">iferror(xlookup($I9392, 'IMPORT VHC Report'!$E:$E, 'IMPORT VHC Report'!$A:$C), )</f>
        <v/>
      </c>
      <c r="C9392" s="44"/>
      <c r="D9392" s="44"/>
      <c r="L9392" s="45"/>
      <c r="N9392" s="45"/>
    </row>
    <row r="9393">
      <c r="A9393" s="40" t="str">
        <f t="shared" si="1"/>
        <v/>
      </c>
      <c r="B9393" s="37" t="str">
        <f t="array" ref="B9393">iferror(xlookup($I9393, 'IMPORT VHC Report'!$E:$E, 'IMPORT VHC Report'!$A:$C), )</f>
        <v/>
      </c>
      <c r="C9393" s="44"/>
      <c r="D9393" s="44"/>
      <c r="L9393" s="45"/>
      <c r="N9393" s="45"/>
    </row>
    <row r="9394">
      <c r="A9394" s="40" t="str">
        <f t="shared" si="1"/>
        <v/>
      </c>
      <c r="B9394" s="37" t="str">
        <f t="array" ref="B9394">iferror(xlookup($I9394, 'IMPORT VHC Report'!$E:$E, 'IMPORT VHC Report'!$A:$C), )</f>
        <v/>
      </c>
      <c r="C9394" s="44"/>
      <c r="D9394" s="44"/>
      <c r="L9394" s="45"/>
      <c r="N9394" s="45"/>
    </row>
    <row r="9395">
      <c r="A9395" s="40" t="str">
        <f t="shared" si="1"/>
        <v/>
      </c>
      <c r="B9395" s="37" t="str">
        <f t="array" ref="B9395">iferror(xlookup($I9395, 'IMPORT VHC Report'!$E:$E, 'IMPORT VHC Report'!$A:$C), )</f>
        <v/>
      </c>
      <c r="C9395" s="44"/>
      <c r="D9395" s="44"/>
      <c r="L9395" s="45"/>
      <c r="N9395" s="45"/>
    </row>
    <row r="9396">
      <c r="A9396" s="40" t="str">
        <f t="shared" si="1"/>
        <v/>
      </c>
      <c r="B9396" s="37" t="str">
        <f t="array" ref="B9396">iferror(xlookup($I9396, 'IMPORT VHC Report'!$E:$E, 'IMPORT VHC Report'!$A:$C), )</f>
        <v/>
      </c>
      <c r="C9396" s="44"/>
      <c r="D9396" s="44"/>
      <c r="L9396" s="45"/>
      <c r="N9396" s="45"/>
    </row>
    <row r="9397">
      <c r="A9397" s="40" t="str">
        <f t="shared" si="1"/>
        <v/>
      </c>
      <c r="B9397" s="37" t="str">
        <f t="array" ref="B9397">iferror(xlookup($I9397, 'IMPORT VHC Report'!$E:$E, 'IMPORT VHC Report'!$A:$C), )</f>
        <v/>
      </c>
      <c r="C9397" s="44"/>
      <c r="D9397" s="44"/>
      <c r="L9397" s="45"/>
      <c r="N9397" s="45"/>
    </row>
    <row r="9398">
      <c r="A9398" s="40" t="str">
        <f t="shared" si="1"/>
        <v/>
      </c>
      <c r="B9398" s="37" t="str">
        <f t="array" ref="B9398">iferror(xlookup($I9398, 'IMPORT VHC Report'!$E:$E, 'IMPORT VHC Report'!$A:$C), )</f>
        <v/>
      </c>
      <c r="C9398" s="44"/>
      <c r="D9398" s="44"/>
      <c r="L9398" s="45"/>
      <c r="N9398" s="45"/>
    </row>
    <row r="9399">
      <c r="A9399" s="40" t="str">
        <f t="shared" si="1"/>
        <v/>
      </c>
      <c r="B9399" s="37" t="str">
        <f t="array" ref="B9399">iferror(xlookup($I9399, 'IMPORT VHC Report'!$E:$E, 'IMPORT VHC Report'!$A:$C), )</f>
        <v/>
      </c>
      <c r="C9399" s="44"/>
      <c r="D9399" s="44"/>
      <c r="L9399" s="45"/>
      <c r="N9399" s="45"/>
    </row>
    <row r="9400">
      <c r="A9400" s="40" t="str">
        <f t="shared" si="1"/>
        <v/>
      </c>
      <c r="B9400" s="37" t="str">
        <f t="array" ref="B9400">iferror(xlookup($I9400, 'IMPORT VHC Report'!$E:$E, 'IMPORT VHC Report'!$A:$C), )</f>
        <v/>
      </c>
      <c r="C9400" s="44"/>
      <c r="D9400" s="44"/>
      <c r="L9400" s="45"/>
      <c r="N9400" s="45"/>
    </row>
    <row r="9401">
      <c r="A9401" s="40" t="str">
        <f t="shared" si="1"/>
        <v/>
      </c>
      <c r="B9401" s="37" t="str">
        <f t="array" ref="B9401">iferror(xlookup($I9401, 'IMPORT VHC Report'!$E:$E, 'IMPORT VHC Report'!$A:$C), )</f>
        <v/>
      </c>
      <c r="C9401" s="44"/>
      <c r="D9401" s="44"/>
      <c r="L9401" s="45"/>
      <c r="N9401" s="45"/>
    </row>
    <row r="9402">
      <c r="A9402" s="40" t="str">
        <f t="shared" si="1"/>
        <v/>
      </c>
      <c r="B9402" s="37" t="str">
        <f t="array" ref="B9402">iferror(xlookup($I9402, 'IMPORT VHC Report'!$E:$E, 'IMPORT VHC Report'!$A:$C), )</f>
        <v/>
      </c>
      <c r="C9402" s="44"/>
      <c r="D9402" s="44"/>
      <c r="L9402" s="45"/>
      <c r="N9402" s="45"/>
    </row>
    <row r="9403">
      <c r="A9403" s="40" t="str">
        <f t="shared" si="1"/>
        <v/>
      </c>
      <c r="B9403" s="37" t="str">
        <f t="array" ref="B9403">iferror(xlookup($I9403, 'IMPORT VHC Report'!$E:$E, 'IMPORT VHC Report'!$A:$C), )</f>
        <v/>
      </c>
      <c r="C9403" s="44"/>
      <c r="D9403" s="44"/>
      <c r="L9403" s="45"/>
      <c r="N9403" s="45"/>
    </row>
    <row r="9404">
      <c r="A9404" s="40" t="str">
        <f t="shared" si="1"/>
        <v/>
      </c>
      <c r="B9404" s="37" t="str">
        <f t="array" ref="B9404">iferror(xlookup($I9404, 'IMPORT VHC Report'!$E:$E, 'IMPORT VHC Report'!$A:$C), )</f>
        <v/>
      </c>
      <c r="C9404" s="44"/>
      <c r="D9404" s="44"/>
      <c r="L9404" s="45"/>
      <c r="N9404" s="45"/>
    </row>
    <row r="9405">
      <c r="A9405" s="40" t="str">
        <f t="shared" si="1"/>
        <v/>
      </c>
      <c r="B9405" s="37" t="str">
        <f t="array" ref="B9405">iferror(xlookup($I9405, 'IMPORT VHC Report'!$E:$E, 'IMPORT VHC Report'!$A:$C), )</f>
        <v/>
      </c>
      <c r="C9405" s="44"/>
      <c r="D9405" s="44"/>
      <c r="L9405" s="45"/>
      <c r="N9405" s="45"/>
    </row>
    <row r="9406">
      <c r="A9406" s="40" t="str">
        <f t="shared" si="1"/>
        <v/>
      </c>
      <c r="B9406" s="37" t="str">
        <f t="array" ref="B9406">iferror(xlookup($I9406, 'IMPORT VHC Report'!$E:$E, 'IMPORT VHC Report'!$A:$C), )</f>
        <v/>
      </c>
      <c r="C9406" s="44"/>
      <c r="D9406" s="44"/>
      <c r="L9406" s="45"/>
      <c r="N9406" s="45"/>
    </row>
    <row r="9407">
      <c r="A9407" s="40" t="str">
        <f t="shared" si="1"/>
        <v/>
      </c>
      <c r="B9407" s="37" t="str">
        <f t="array" ref="B9407">iferror(xlookup($I9407, 'IMPORT VHC Report'!$E:$E, 'IMPORT VHC Report'!$A:$C), )</f>
        <v/>
      </c>
      <c r="C9407" s="44"/>
      <c r="D9407" s="44"/>
      <c r="L9407" s="45"/>
      <c r="N9407" s="45"/>
    </row>
    <row r="9408">
      <c r="A9408" s="40" t="str">
        <f t="shared" si="1"/>
        <v/>
      </c>
      <c r="B9408" s="37" t="str">
        <f t="array" ref="B9408">iferror(xlookup($I9408, 'IMPORT VHC Report'!$E:$E, 'IMPORT VHC Report'!$A:$C), )</f>
        <v/>
      </c>
      <c r="C9408" s="44"/>
      <c r="D9408" s="44"/>
      <c r="L9408" s="45"/>
      <c r="N9408" s="45"/>
    </row>
    <row r="9409">
      <c r="A9409" s="40" t="str">
        <f t="shared" si="1"/>
        <v/>
      </c>
      <c r="B9409" s="37" t="str">
        <f t="array" ref="B9409">iferror(xlookup($I9409, 'IMPORT VHC Report'!$E:$E, 'IMPORT VHC Report'!$A:$C), )</f>
        <v/>
      </c>
      <c r="C9409" s="44"/>
      <c r="D9409" s="44"/>
      <c r="L9409" s="45"/>
      <c r="N9409" s="45"/>
    </row>
    <row r="9410">
      <c r="A9410" s="40" t="str">
        <f t="shared" si="1"/>
        <v/>
      </c>
      <c r="B9410" s="37" t="str">
        <f t="array" ref="B9410">iferror(xlookup($I9410, 'IMPORT VHC Report'!$E:$E, 'IMPORT VHC Report'!$A:$C), )</f>
        <v/>
      </c>
      <c r="C9410" s="44"/>
      <c r="D9410" s="44"/>
      <c r="L9410" s="45"/>
      <c r="N9410" s="45"/>
    </row>
    <row r="9411">
      <c r="A9411" s="40" t="str">
        <f t="shared" si="1"/>
        <v/>
      </c>
      <c r="B9411" s="37" t="str">
        <f t="array" ref="B9411">iferror(xlookup($I9411, 'IMPORT VHC Report'!$E:$E, 'IMPORT VHC Report'!$A:$C), )</f>
        <v/>
      </c>
      <c r="C9411" s="44"/>
      <c r="D9411" s="44"/>
      <c r="L9411" s="45"/>
      <c r="N9411" s="45"/>
    </row>
    <row r="9412">
      <c r="A9412" s="40" t="str">
        <f t="shared" si="1"/>
        <v/>
      </c>
      <c r="B9412" s="37" t="str">
        <f t="array" ref="B9412">iferror(xlookup($I9412, 'IMPORT VHC Report'!$E:$E, 'IMPORT VHC Report'!$A:$C), )</f>
        <v/>
      </c>
      <c r="C9412" s="44"/>
      <c r="D9412" s="44"/>
      <c r="L9412" s="45"/>
      <c r="N9412" s="45"/>
    </row>
    <row r="9413">
      <c r="A9413" s="40" t="str">
        <f t="shared" si="1"/>
        <v/>
      </c>
      <c r="B9413" s="37" t="str">
        <f t="array" ref="B9413">iferror(xlookup($I9413, 'IMPORT VHC Report'!$E:$E, 'IMPORT VHC Report'!$A:$C), )</f>
        <v/>
      </c>
      <c r="C9413" s="44"/>
      <c r="D9413" s="44"/>
      <c r="L9413" s="45"/>
      <c r="N9413" s="45"/>
    </row>
    <row r="9414">
      <c r="A9414" s="40" t="str">
        <f t="shared" si="1"/>
        <v/>
      </c>
      <c r="B9414" s="37" t="str">
        <f t="array" ref="B9414">iferror(xlookup($I9414, 'IMPORT VHC Report'!$E:$E, 'IMPORT VHC Report'!$A:$C), )</f>
        <v/>
      </c>
      <c r="C9414" s="44"/>
      <c r="D9414" s="44"/>
      <c r="L9414" s="45"/>
      <c r="N9414" s="45"/>
    </row>
    <row r="9415">
      <c r="A9415" s="40" t="str">
        <f t="shared" si="1"/>
        <v/>
      </c>
      <c r="B9415" s="37" t="str">
        <f t="array" ref="B9415">iferror(xlookup($I9415, 'IMPORT VHC Report'!$E:$E, 'IMPORT VHC Report'!$A:$C), )</f>
        <v/>
      </c>
      <c r="C9415" s="44"/>
      <c r="D9415" s="44"/>
      <c r="L9415" s="45"/>
      <c r="N9415" s="45"/>
    </row>
    <row r="9416">
      <c r="A9416" s="40" t="str">
        <f t="shared" si="1"/>
        <v/>
      </c>
      <c r="B9416" s="37" t="str">
        <f t="array" ref="B9416">iferror(xlookup($I9416, 'IMPORT VHC Report'!$E:$E, 'IMPORT VHC Report'!$A:$C), )</f>
        <v/>
      </c>
      <c r="C9416" s="44"/>
      <c r="D9416" s="44"/>
      <c r="L9416" s="45"/>
      <c r="N9416" s="45"/>
    </row>
    <row r="9417">
      <c r="A9417" s="40" t="str">
        <f t="shared" si="1"/>
        <v/>
      </c>
      <c r="B9417" s="37" t="str">
        <f t="array" ref="B9417">iferror(xlookup($I9417, 'IMPORT VHC Report'!$E:$E, 'IMPORT VHC Report'!$A:$C), )</f>
        <v/>
      </c>
      <c r="C9417" s="44"/>
      <c r="D9417" s="44"/>
      <c r="L9417" s="45"/>
      <c r="N9417" s="45"/>
    </row>
    <row r="9418">
      <c r="A9418" s="40" t="str">
        <f t="shared" si="1"/>
        <v/>
      </c>
      <c r="B9418" s="37" t="str">
        <f t="array" ref="B9418">iferror(xlookup($I9418, 'IMPORT VHC Report'!$E:$E, 'IMPORT VHC Report'!$A:$C), )</f>
        <v/>
      </c>
      <c r="C9418" s="44"/>
      <c r="D9418" s="44"/>
      <c r="L9418" s="45"/>
      <c r="N9418" s="45"/>
    </row>
    <row r="9419">
      <c r="A9419" s="40" t="str">
        <f t="shared" si="1"/>
        <v/>
      </c>
      <c r="B9419" s="37" t="str">
        <f t="array" ref="B9419">iferror(xlookup($I9419, 'IMPORT VHC Report'!$E:$E, 'IMPORT VHC Report'!$A:$C), )</f>
        <v/>
      </c>
      <c r="C9419" s="44"/>
      <c r="D9419" s="44"/>
      <c r="L9419" s="45"/>
      <c r="N9419" s="45"/>
    </row>
    <row r="9420">
      <c r="A9420" s="40" t="str">
        <f t="shared" si="1"/>
        <v/>
      </c>
      <c r="B9420" s="37" t="str">
        <f t="array" ref="B9420">iferror(xlookup($I9420, 'IMPORT VHC Report'!$E:$E, 'IMPORT VHC Report'!$A:$C), )</f>
        <v/>
      </c>
      <c r="C9420" s="44"/>
      <c r="D9420" s="44"/>
      <c r="L9420" s="45"/>
      <c r="N9420" s="45"/>
    </row>
    <row r="9421">
      <c r="A9421" s="40" t="str">
        <f t="shared" si="1"/>
        <v/>
      </c>
      <c r="B9421" s="37" t="str">
        <f t="array" ref="B9421">iferror(xlookup($I9421, 'IMPORT VHC Report'!$E:$E, 'IMPORT VHC Report'!$A:$C), )</f>
        <v/>
      </c>
      <c r="C9421" s="44"/>
      <c r="D9421" s="44"/>
      <c r="L9421" s="45"/>
      <c r="N9421" s="45"/>
    </row>
    <row r="9422">
      <c r="A9422" s="40" t="str">
        <f t="shared" si="1"/>
        <v/>
      </c>
      <c r="B9422" s="37" t="str">
        <f t="array" ref="B9422">iferror(xlookup($I9422, 'IMPORT VHC Report'!$E:$E, 'IMPORT VHC Report'!$A:$C), )</f>
        <v/>
      </c>
      <c r="C9422" s="44"/>
      <c r="D9422" s="44"/>
      <c r="L9422" s="45"/>
      <c r="N9422" s="45"/>
    </row>
    <row r="9423">
      <c r="A9423" s="40" t="str">
        <f t="shared" si="1"/>
        <v/>
      </c>
      <c r="B9423" s="37" t="str">
        <f t="array" ref="B9423">iferror(xlookup($I9423, 'IMPORT VHC Report'!$E:$E, 'IMPORT VHC Report'!$A:$C), )</f>
        <v/>
      </c>
      <c r="C9423" s="44"/>
      <c r="D9423" s="44"/>
      <c r="L9423" s="45"/>
      <c r="N9423" s="45"/>
    </row>
    <row r="9424">
      <c r="A9424" s="40" t="str">
        <f t="shared" si="1"/>
        <v/>
      </c>
      <c r="B9424" s="37" t="str">
        <f t="array" ref="B9424">iferror(xlookup($I9424, 'IMPORT VHC Report'!$E:$E, 'IMPORT VHC Report'!$A:$C), )</f>
        <v/>
      </c>
      <c r="C9424" s="44"/>
      <c r="D9424" s="44"/>
      <c r="L9424" s="45"/>
      <c r="N9424" s="45"/>
    </row>
    <row r="9425">
      <c r="A9425" s="40" t="str">
        <f t="shared" si="1"/>
        <v/>
      </c>
      <c r="B9425" s="37" t="str">
        <f t="array" ref="B9425">iferror(xlookup($I9425, 'IMPORT VHC Report'!$E:$E, 'IMPORT VHC Report'!$A:$C), )</f>
        <v/>
      </c>
      <c r="C9425" s="44"/>
      <c r="D9425" s="44"/>
      <c r="L9425" s="45"/>
      <c r="N9425" s="45"/>
    </row>
    <row r="9426">
      <c r="A9426" s="40" t="str">
        <f t="shared" si="1"/>
        <v/>
      </c>
      <c r="B9426" s="37" t="str">
        <f t="array" ref="B9426">iferror(xlookup($I9426, 'IMPORT VHC Report'!$E:$E, 'IMPORT VHC Report'!$A:$C), )</f>
        <v/>
      </c>
      <c r="C9426" s="44"/>
      <c r="D9426" s="44"/>
      <c r="L9426" s="45"/>
      <c r="N9426" s="45"/>
    </row>
    <row r="9427">
      <c r="A9427" s="40" t="str">
        <f t="shared" si="1"/>
        <v/>
      </c>
      <c r="B9427" s="37" t="str">
        <f t="array" ref="B9427">iferror(xlookup($I9427, 'IMPORT VHC Report'!$E:$E, 'IMPORT VHC Report'!$A:$C), )</f>
        <v/>
      </c>
      <c r="C9427" s="44"/>
      <c r="D9427" s="44"/>
      <c r="L9427" s="45"/>
      <c r="N9427" s="45"/>
    </row>
    <row r="9428">
      <c r="A9428" s="40" t="str">
        <f t="shared" si="1"/>
        <v/>
      </c>
      <c r="B9428" s="37" t="str">
        <f t="array" ref="B9428">iferror(xlookup($I9428, 'IMPORT VHC Report'!$E:$E, 'IMPORT VHC Report'!$A:$C), )</f>
        <v/>
      </c>
      <c r="C9428" s="44"/>
      <c r="D9428" s="44"/>
      <c r="L9428" s="45"/>
      <c r="N9428" s="45"/>
    </row>
    <row r="9429">
      <c r="A9429" s="40" t="str">
        <f t="shared" si="1"/>
        <v/>
      </c>
      <c r="B9429" s="37" t="str">
        <f t="array" ref="B9429">iferror(xlookup($I9429, 'IMPORT VHC Report'!$E:$E, 'IMPORT VHC Report'!$A:$C), )</f>
        <v/>
      </c>
      <c r="C9429" s="44"/>
      <c r="D9429" s="44"/>
      <c r="L9429" s="45"/>
      <c r="N9429" s="45"/>
    </row>
    <row r="9430">
      <c r="A9430" s="40" t="str">
        <f t="shared" si="1"/>
        <v/>
      </c>
      <c r="B9430" s="37" t="str">
        <f t="array" ref="B9430">iferror(xlookup($I9430, 'IMPORT VHC Report'!$E:$E, 'IMPORT VHC Report'!$A:$C), )</f>
        <v/>
      </c>
      <c r="C9430" s="44"/>
      <c r="D9430" s="44"/>
      <c r="L9430" s="45"/>
      <c r="N9430" s="45"/>
    </row>
    <row r="9431">
      <c r="A9431" s="40" t="str">
        <f t="shared" si="1"/>
        <v/>
      </c>
      <c r="B9431" s="37" t="str">
        <f t="array" ref="B9431">iferror(xlookup($I9431, 'IMPORT VHC Report'!$E:$E, 'IMPORT VHC Report'!$A:$C), )</f>
        <v/>
      </c>
      <c r="C9431" s="44"/>
      <c r="D9431" s="44"/>
      <c r="L9431" s="45"/>
      <c r="N9431" s="45"/>
    </row>
    <row r="9432">
      <c r="A9432" s="40" t="str">
        <f t="shared" si="1"/>
        <v/>
      </c>
      <c r="B9432" s="37" t="str">
        <f t="array" ref="B9432">iferror(xlookup($I9432, 'IMPORT VHC Report'!$E:$E, 'IMPORT VHC Report'!$A:$C), )</f>
        <v/>
      </c>
      <c r="C9432" s="44"/>
      <c r="D9432" s="44"/>
      <c r="L9432" s="45"/>
      <c r="N9432" s="45"/>
    </row>
    <row r="9433">
      <c r="A9433" s="40" t="str">
        <f t="shared" si="1"/>
        <v/>
      </c>
      <c r="B9433" s="37" t="str">
        <f t="array" ref="B9433">iferror(xlookup($I9433, 'IMPORT VHC Report'!$E:$E, 'IMPORT VHC Report'!$A:$C), )</f>
        <v/>
      </c>
      <c r="C9433" s="44"/>
      <c r="D9433" s="44"/>
      <c r="L9433" s="45"/>
      <c r="N9433" s="45"/>
    </row>
    <row r="9434">
      <c r="A9434" s="40" t="str">
        <f t="shared" si="1"/>
        <v/>
      </c>
      <c r="B9434" s="37" t="str">
        <f t="array" ref="B9434">iferror(xlookup($I9434, 'IMPORT VHC Report'!$E:$E, 'IMPORT VHC Report'!$A:$C), )</f>
        <v/>
      </c>
      <c r="C9434" s="44"/>
      <c r="D9434" s="44"/>
      <c r="L9434" s="45"/>
      <c r="N9434" s="45"/>
    </row>
    <row r="9435">
      <c r="A9435" s="40" t="str">
        <f t="shared" si="1"/>
        <v/>
      </c>
      <c r="B9435" s="37" t="str">
        <f t="array" ref="B9435">iferror(xlookup($I9435, 'IMPORT VHC Report'!$E:$E, 'IMPORT VHC Report'!$A:$C), )</f>
        <v/>
      </c>
      <c r="C9435" s="44"/>
      <c r="D9435" s="44"/>
      <c r="L9435" s="45"/>
      <c r="N9435" s="45"/>
    </row>
    <row r="9436">
      <c r="A9436" s="40" t="str">
        <f t="shared" si="1"/>
        <v/>
      </c>
      <c r="B9436" s="37" t="str">
        <f t="array" ref="B9436">iferror(xlookup($I9436, 'IMPORT VHC Report'!$E:$E, 'IMPORT VHC Report'!$A:$C), )</f>
        <v/>
      </c>
      <c r="C9436" s="44"/>
      <c r="D9436" s="44"/>
      <c r="L9436" s="45"/>
      <c r="N9436" s="45"/>
    </row>
    <row r="9437">
      <c r="A9437" s="40" t="str">
        <f t="shared" si="1"/>
        <v/>
      </c>
      <c r="B9437" s="37" t="str">
        <f t="array" ref="B9437">iferror(xlookup($I9437, 'IMPORT VHC Report'!$E:$E, 'IMPORT VHC Report'!$A:$C), )</f>
        <v/>
      </c>
      <c r="C9437" s="44"/>
      <c r="D9437" s="44"/>
      <c r="L9437" s="45"/>
      <c r="N9437" s="45"/>
    </row>
    <row r="9438">
      <c r="A9438" s="40" t="str">
        <f t="shared" si="1"/>
        <v/>
      </c>
      <c r="B9438" s="37" t="str">
        <f t="array" ref="B9438">iferror(xlookup($I9438, 'IMPORT VHC Report'!$E:$E, 'IMPORT VHC Report'!$A:$C), )</f>
        <v/>
      </c>
      <c r="C9438" s="44"/>
      <c r="D9438" s="44"/>
      <c r="L9438" s="45"/>
      <c r="N9438" s="45"/>
    </row>
    <row r="9439">
      <c r="A9439" s="40" t="str">
        <f t="shared" si="1"/>
        <v/>
      </c>
      <c r="B9439" s="37" t="str">
        <f t="array" ref="B9439">iferror(xlookup($I9439, 'IMPORT VHC Report'!$E:$E, 'IMPORT VHC Report'!$A:$C), )</f>
        <v/>
      </c>
      <c r="C9439" s="44"/>
      <c r="D9439" s="44"/>
      <c r="L9439" s="45"/>
      <c r="N9439" s="45"/>
    </row>
    <row r="9440">
      <c r="A9440" s="40" t="str">
        <f t="shared" si="1"/>
        <v/>
      </c>
      <c r="B9440" s="37" t="str">
        <f t="array" ref="B9440">iferror(xlookup($I9440, 'IMPORT VHC Report'!$E:$E, 'IMPORT VHC Report'!$A:$C), )</f>
        <v/>
      </c>
      <c r="C9440" s="44"/>
      <c r="D9440" s="44"/>
      <c r="L9440" s="45"/>
      <c r="N9440" s="45"/>
    </row>
    <row r="9441">
      <c r="A9441" s="40" t="str">
        <f t="shared" si="1"/>
        <v/>
      </c>
      <c r="B9441" s="37" t="str">
        <f t="array" ref="B9441">iferror(xlookup($I9441, 'IMPORT VHC Report'!$E:$E, 'IMPORT VHC Report'!$A:$C), )</f>
        <v/>
      </c>
      <c r="C9441" s="44"/>
      <c r="D9441" s="44"/>
      <c r="L9441" s="45"/>
      <c r="N9441" s="45"/>
    </row>
    <row r="9442">
      <c r="A9442" s="40" t="str">
        <f t="shared" si="1"/>
        <v/>
      </c>
      <c r="B9442" s="37" t="str">
        <f t="array" ref="B9442">iferror(xlookup($I9442, 'IMPORT VHC Report'!$E:$E, 'IMPORT VHC Report'!$A:$C), )</f>
        <v/>
      </c>
      <c r="C9442" s="44"/>
      <c r="D9442" s="44"/>
      <c r="L9442" s="45"/>
      <c r="N9442" s="45"/>
    </row>
    <row r="9443">
      <c r="A9443" s="40" t="str">
        <f t="shared" si="1"/>
        <v/>
      </c>
      <c r="B9443" s="37" t="str">
        <f t="array" ref="B9443">iferror(xlookup($I9443, 'IMPORT VHC Report'!$E:$E, 'IMPORT VHC Report'!$A:$C), )</f>
        <v/>
      </c>
      <c r="C9443" s="44"/>
      <c r="D9443" s="44"/>
      <c r="L9443" s="45"/>
      <c r="N9443" s="45"/>
    </row>
    <row r="9444">
      <c r="A9444" s="40" t="str">
        <f t="shared" si="1"/>
        <v/>
      </c>
      <c r="B9444" s="37" t="str">
        <f t="array" ref="B9444">iferror(xlookup($I9444, 'IMPORT VHC Report'!$E:$E, 'IMPORT VHC Report'!$A:$C), )</f>
        <v/>
      </c>
      <c r="C9444" s="44"/>
      <c r="D9444" s="44"/>
      <c r="L9444" s="45"/>
      <c r="N9444" s="45"/>
    </row>
    <row r="9445">
      <c r="A9445" s="40" t="str">
        <f t="shared" si="1"/>
        <v/>
      </c>
      <c r="B9445" s="37" t="str">
        <f t="array" ref="B9445">iferror(xlookup($I9445, 'IMPORT VHC Report'!$E:$E, 'IMPORT VHC Report'!$A:$C), )</f>
        <v/>
      </c>
      <c r="C9445" s="44"/>
      <c r="D9445" s="44"/>
      <c r="L9445" s="45"/>
      <c r="N9445" s="45"/>
    </row>
    <row r="9446">
      <c r="A9446" s="40" t="str">
        <f t="shared" si="1"/>
        <v/>
      </c>
      <c r="B9446" s="37" t="str">
        <f t="array" ref="B9446">iferror(xlookup($I9446, 'IMPORT VHC Report'!$E:$E, 'IMPORT VHC Report'!$A:$C), )</f>
        <v/>
      </c>
      <c r="C9446" s="44"/>
      <c r="D9446" s="44"/>
      <c r="L9446" s="45"/>
      <c r="N9446" s="45"/>
    </row>
    <row r="9447">
      <c r="A9447" s="40" t="str">
        <f t="shared" si="1"/>
        <v/>
      </c>
      <c r="B9447" s="37" t="str">
        <f t="array" ref="B9447">iferror(xlookup($I9447, 'IMPORT VHC Report'!$E:$E, 'IMPORT VHC Report'!$A:$C), )</f>
        <v/>
      </c>
      <c r="C9447" s="44"/>
      <c r="D9447" s="44"/>
      <c r="L9447" s="45"/>
      <c r="N9447" s="45"/>
    </row>
    <row r="9448">
      <c r="A9448" s="40" t="str">
        <f t="shared" si="1"/>
        <v/>
      </c>
      <c r="B9448" s="37" t="str">
        <f t="array" ref="B9448">iferror(xlookup($I9448, 'IMPORT VHC Report'!$E:$E, 'IMPORT VHC Report'!$A:$C), )</f>
        <v/>
      </c>
      <c r="C9448" s="44"/>
      <c r="D9448" s="44"/>
      <c r="L9448" s="45"/>
      <c r="N9448" s="45"/>
    </row>
    <row r="9449">
      <c r="A9449" s="40" t="str">
        <f t="shared" si="1"/>
        <v/>
      </c>
      <c r="B9449" s="37" t="str">
        <f t="array" ref="B9449">iferror(xlookup($I9449, 'IMPORT VHC Report'!$E:$E, 'IMPORT VHC Report'!$A:$C), )</f>
        <v/>
      </c>
      <c r="C9449" s="44"/>
      <c r="D9449" s="44"/>
      <c r="L9449" s="45"/>
      <c r="N9449" s="45"/>
    </row>
    <row r="9450">
      <c r="A9450" s="40" t="str">
        <f t="shared" si="1"/>
        <v/>
      </c>
      <c r="B9450" s="37" t="str">
        <f t="array" ref="B9450">iferror(xlookup($I9450, 'IMPORT VHC Report'!$E:$E, 'IMPORT VHC Report'!$A:$C), )</f>
        <v/>
      </c>
      <c r="C9450" s="44"/>
      <c r="D9450" s="44"/>
      <c r="L9450" s="45"/>
      <c r="N9450" s="45"/>
    </row>
    <row r="9451">
      <c r="A9451" s="40" t="str">
        <f t="shared" si="1"/>
        <v/>
      </c>
      <c r="B9451" s="37" t="str">
        <f t="array" ref="B9451">iferror(xlookup($I9451, 'IMPORT VHC Report'!$E:$E, 'IMPORT VHC Report'!$A:$C), )</f>
        <v/>
      </c>
      <c r="C9451" s="44"/>
      <c r="D9451" s="44"/>
      <c r="L9451" s="45"/>
      <c r="N9451" s="45"/>
    </row>
    <row r="9452">
      <c r="A9452" s="40" t="str">
        <f t="shared" si="1"/>
        <v/>
      </c>
      <c r="B9452" s="37" t="str">
        <f t="array" ref="B9452">iferror(xlookup($I9452, 'IMPORT VHC Report'!$E:$E, 'IMPORT VHC Report'!$A:$C), )</f>
        <v/>
      </c>
      <c r="C9452" s="44"/>
      <c r="D9452" s="44"/>
      <c r="L9452" s="45"/>
      <c r="N9452" s="45"/>
    </row>
    <row r="9453">
      <c r="A9453" s="40" t="str">
        <f t="shared" si="1"/>
        <v/>
      </c>
      <c r="B9453" s="37" t="str">
        <f t="array" ref="B9453">iferror(xlookup($I9453, 'IMPORT VHC Report'!$E:$E, 'IMPORT VHC Report'!$A:$C), )</f>
        <v/>
      </c>
      <c r="C9453" s="44"/>
      <c r="D9453" s="44"/>
      <c r="L9453" s="45"/>
      <c r="N9453" s="45"/>
    </row>
    <row r="9454">
      <c r="A9454" s="40" t="str">
        <f t="shared" si="1"/>
        <v/>
      </c>
      <c r="B9454" s="37" t="str">
        <f t="array" ref="B9454">iferror(xlookup($I9454, 'IMPORT VHC Report'!$E:$E, 'IMPORT VHC Report'!$A:$C), )</f>
        <v/>
      </c>
      <c r="C9454" s="44"/>
      <c r="D9454" s="44"/>
      <c r="L9454" s="45"/>
      <c r="N9454" s="45"/>
    </row>
    <row r="9455">
      <c r="A9455" s="40" t="str">
        <f t="shared" si="1"/>
        <v/>
      </c>
      <c r="B9455" s="37" t="str">
        <f t="array" ref="B9455">iferror(xlookup($I9455, 'IMPORT VHC Report'!$E:$E, 'IMPORT VHC Report'!$A:$C), )</f>
        <v/>
      </c>
      <c r="C9455" s="44"/>
      <c r="D9455" s="44"/>
      <c r="L9455" s="45"/>
      <c r="N9455" s="45"/>
    </row>
    <row r="9456">
      <c r="A9456" s="40" t="str">
        <f t="shared" si="1"/>
        <v/>
      </c>
      <c r="B9456" s="37" t="str">
        <f t="array" ref="B9456">iferror(xlookup($I9456, 'IMPORT VHC Report'!$E:$E, 'IMPORT VHC Report'!$A:$C), )</f>
        <v/>
      </c>
      <c r="C9456" s="44"/>
      <c r="D9456" s="44"/>
      <c r="L9456" s="45"/>
      <c r="N9456" s="45"/>
    </row>
    <row r="9457">
      <c r="A9457" s="40" t="str">
        <f t="shared" si="1"/>
        <v/>
      </c>
      <c r="B9457" s="37" t="str">
        <f t="array" ref="B9457">iferror(xlookup($I9457, 'IMPORT VHC Report'!$E:$E, 'IMPORT VHC Report'!$A:$C), )</f>
        <v/>
      </c>
      <c r="C9457" s="44"/>
      <c r="D9457" s="44"/>
      <c r="L9457" s="45"/>
      <c r="N9457" s="45"/>
    </row>
    <row r="9458">
      <c r="A9458" s="40" t="str">
        <f t="shared" si="1"/>
        <v/>
      </c>
      <c r="B9458" s="37" t="str">
        <f t="array" ref="B9458">iferror(xlookup($I9458, 'IMPORT VHC Report'!$E:$E, 'IMPORT VHC Report'!$A:$C), )</f>
        <v/>
      </c>
      <c r="C9458" s="44"/>
      <c r="D9458" s="44"/>
      <c r="L9458" s="45"/>
      <c r="N9458" s="45"/>
    </row>
    <row r="9459">
      <c r="A9459" s="40" t="str">
        <f t="shared" si="1"/>
        <v/>
      </c>
      <c r="B9459" s="37" t="str">
        <f t="array" ref="B9459">iferror(xlookup($I9459, 'IMPORT VHC Report'!$E:$E, 'IMPORT VHC Report'!$A:$C), )</f>
        <v/>
      </c>
      <c r="C9459" s="44"/>
      <c r="D9459" s="44"/>
      <c r="L9459" s="45"/>
      <c r="N9459" s="45"/>
    </row>
    <row r="9460">
      <c r="A9460" s="40" t="str">
        <f t="shared" si="1"/>
        <v/>
      </c>
      <c r="B9460" s="37" t="str">
        <f t="array" ref="B9460">iferror(xlookup($I9460, 'IMPORT VHC Report'!$E:$E, 'IMPORT VHC Report'!$A:$C), )</f>
        <v/>
      </c>
      <c r="C9460" s="44"/>
      <c r="D9460" s="44"/>
      <c r="L9460" s="45"/>
      <c r="N9460" s="45"/>
    </row>
    <row r="9461">
      <c r="A9461" s="40" t="str">
        <f t="shared" si="1"/>
        <v/>
      </c>
      <c r="B9461" s="37" t="str">
        <f t="array" ref="B9461">iferror(xlookup($I9461, 'IMPORT VHC Report'!$E:$E, 'IMPORT VHC Report'!$A:$C), )</f>
        <v/>
      </c>
      <c r="C9461" s="44"/>
      <c r="D9461" s="44"/>
      <c r="L9461" s="45"/>
      <c r="N9461" s="45"/>
    </row>
    <row r="9462">
      <c r="A9462" s="40" t="str">
        <f t="shared" si="1"/>
        <v/>
      </c>
      <c r="B9462" s="37" t="str">
        <f t="array" ref="B9462">iferror(xlookup($I9462, 'IMPORT VHC Report'!$E:$E, 'IMPORT VHC Report'!$A:$C), )</f>
        <v/>
      </c>
      <c r="C9462" s="44"/>
      <c r="D9462" s="44"/>
      <c r="L9462" s="45"/>
      <c r="N9462" s="45"/>
    </row>
    <row r="9463">
      <c r="A9463" s="40" t="str">
        <f t="shared" si="1"/>
        <v/>
      </c>
      <c r="B9463" s="37" t="str">
        <f t="array" ref="B9463">iferror(xlookup($I9463, 'IMPORT VHC Report'!$E:$E, 'IMPORT VHC Report'!$A:$C), )</f>
        <v/>
      </c>
      <c r="C9463" s="44"/>
      <c r="D9463" s="44"/>
      <c r="L9463" s="45"/>
      <c r="N9463" s="45"/>
    </row>
    <row r="9464">
      <c r="A9464" s="40" t="str">
        <f t="shared" si="1"/>
        <v/>
      </c>
      <c r="B9464" s="37" t="str">
        <f t="array" ref="B9464">iferror(xlookup($I9464, 'IMPORT VHC Report'!$E:$E, 'IMPORT VHC Report'!$A:$C), )</f>
        <v/>
      </c>
      <c r="C9464" s="44"/>
      <c r="D9464" s="44"/>
      <c r="L9464" s="45"/>
      <c r="N9464" s="45"/>
    </row>
    <row r="9465">
      <c r="A9465" s="40" t="str">
        <f t="shared" si="1"/>
        <v/>
      </c>
      <c r="B9465" s="37" t="str">
        <f t="array" ref="B9465">iferror(xlookup($I9465, 'IMPORT VHC Report'!$E:$E, 'IMPORT VHC Report'!$A:$C), )</f>
        <v/>
      </c>
      <c r="C9465" s="44"/>
      <c r="D9465" s="44"/>
      <c r="L9465" s="45"/>
      <c r="N9465" s="45"/>
    </row>
    <row r="9466">
      <c r="A9466" s="40" t="str">
        <f t="shared" si="1"/>
        <v/>
      </c>
      <c r="B9466" s="37" t="str">
        <f t="array" ref="B9466">iferror(xlookup($I9466, 'IMPORT VHC Report'!$E:$E, 'IMPORT VHC Report'!$A:$C), )</f>
        <v/>
      </c>
      <c r="C9466" s="44"/>
      <c r="D9466" s="44"/>
      <c r="L9466" s="45"/>
      <c r="N9466" s="45"/>
    </row>
    <row r="9467">
      <c r="A9467" s="40" t="str">
        <f t="shared" si="1"/>
        <v/>
      </c>
      <c r="B9467" s="37" t="str">
        <f t="array" ref="B9467">iferror(xlookup($I9467, 'IMPORT VHC Report'!$E:$E, 'IMPORT VHC Report'!$A:$C), )</f>
        <v/>
      </c>
      <c r="C9467" s="44"/>
      <c r="D9467" s="44"/>
      <c r="L9467" s="45"/>
      <c r="N9467" s="45"/>
    </row>
    <row r="9468">
      <c r="A9468" s="40" t="str">
        <f t="shared" si="1"/>
        <v/>
      </c>
      <c r="B9468" s="37" t="str">
        <f t="array" ref="B9468">iferror(xlookup($I9468, 'IMPORT VHC Report'!$E:$E, 'IMPORT VHC Report'!$A:$C), )</f>
        <v/>
      </c>
      <c r="C9468" s="44"/>
      <c r="D9468" s="44"/>
      <c r="L9468" s="45"/>
      <c r="N9468" s="45"/>
    </row>
    <row r="9469">
      <c r="A9469" s="40" t="str">
        <f t="shared" si="1"/>
        <v/>
      </c>
      <c r="B9469" s="37" t="str">
        <f t="array" ref="B9469">iferror(xlookup($I9469, 'IMPORT VHC Report'!$E:$E, 'IMPORT VHC Report'!$A:$C), )</f>
        <v/>
      </c>
      <c r="C9469" s="44"/>
      <c r="D9469" s="44"/>
      <c r="L9469" s="45"/>
      <c r="N9469" s="45"/>
    </row>
    <row r="9470">
      <c r="A9470" s="40" t="str">
        <f t="shared" si="1"/>
        <v/>
      </c>
      <c r="B9470" s="37" t="str">
        <f t="array" ref="B9470">iferror(xlookup($I9470, 'IMPORT VHC Report'!$E:$E, 'IMPORT VHC Report'!$A:$C), )</f>
        <v/>
      </c>
      <c r="C9470" s="44"/>
      <c r="D9470" s="44"/>
      <c r="L9470" s="45"/>
      <c r="N9470" s="45"/>
    </row>
    <row r="9471">
      <c r="A9471" s="40" t="str">
        <f t="shared" si="1"/>
        <v/>
      </c>
      <c r="B9471" s="37" t="str">
        <f t="array" ref="B9471">iferror(xlookup($I9471, 'IMPORT VHC Report'!$E:$E, 'IMPORT VHC Report'!$A:$C), )</f>
        <v/>
      </c>
      <c r="C9471" s="44"/>
      <c r="D9471" s="44"/>
      <c r="L9471" s="45"/>
      <c r="N9471" s="45"/>
    </row>
    <row r="9472">
      <c r="A9472" s="40" t="str">
        <f t="shared" si="1"/>
        <v/>
      </c>
      <c r="B9472" s="37" t="str">
        <f t="array" ref="B9472">iferror(xlookup($I9472, 'IMPORT VHC Report'!$E:$E, 'IMPORT VHC Report'!$A:$C), )</f>
        <v/>
      </c>
      <c r="C9472" s="44"/>
      <c r="D9472" s="44"/>
      <c r="L9472" s="45"/>
      <c r="N9472" s="45"/>
    </row>
    <row r="9473">
      <c r="A9473" s="40" t="str">
        <f t="shared" si="1"/>
        <v/>
      </c>
      <c r="B9473" s="37" t="str">
        <f t="array" ref="B9473">iferror(xlookup($I9473, 'IMPORT VHC Report'!$E:$E, 'IMPORT VHC Report'!$A:$C), )</f>
        <v/>
      </c>
      <c r="C9473" s="44"/>
      <c r="D9473" s="44"/>
      <c r="L9473" s="45"/>
      <c r="N9473" s="45"/>
    </row>
    <row r="9474">
      <c r="A9474" s="40" t="str">
        <f t="shared" si="1"/>
        <v/>
      </c>
      <c r="B9474" s="37" t="str">
        <f t="array" ref="B9474">iferror(xlookup($I9474, 'IMPORT VHC Report'!$E:$E, 'IMPORT VHC Report'!$A:$C), )</f>
        <v/>
      </c>
      <c r="C9474" s="44"/>
      <c r="D9474" s="44"/>
      <c r="L9474" s="45"/>
      <c r="N9474" s="45"/>
    </row>
    <row r="9475">
      <c r="A9475" s="40" t="str">
        <f t="shared" si="1"/>
        <v/>
      </c>
      <c r="B9475" s="37" t="str">
        <f t="array" ref="B9475">iferror(xlookup($I9475, 'IMPORT VHC Report'!$E:$E, 'IMPORT VHC Report'!$A:$C), )</f>
        <v/>
      </c>
      <c r="C9475" s="44"/>
      <c r="D9475" s="44"/>
      <c r="L9475" s="45"/>
      <c r="N9475" s="45"/>
    </row>
    <row r="9476">
      <c r="A9476" s="40" t="str">
        <f t="shared" si="1"/>
        <v/>
      </c>
      <c r="B9476" s="37" t="str">
        <f t="array" ref="B9476">iferror(xlookup($I9476, 'IMPORT VHC Report'!$E:$E, 'IMPORT VHC Report'!$A:$C), )</f>
        <v/>
      </c>
      <c r="C9476" s="44"/>
      <c r="D9476" s="44"/>
      <c r="L9476" s="45"/>
      <c r="N9476" s="45"/>
    </row>
    <row r="9477">
      <c r="A9477" s="40" t="str">
        <f t="shared" si="1"/>
        <v/>
      </c>
      <c r="B9477" s="37" t="str">
        <f t="array" ref="B9477">iferror(xlookup($I9477, 'IMPORT VHC Report'!$E:$E, 'IMPORT VHC Report'!$A:$C), )</f>
        <v/>
      </c>
      <c r="C9477" s="44"/>
      <c r="D9477" s="44"/>
      <c r="L9477" s="45"/>
      <c r="N9477" s="45"/>
    </row>
    <row r="9478">
      <c r="A9478" s="40" t="str">
        <f t="shared" si="1"/>
        <v/>
      </c>
      <c r="B9478" s="37" t="str">
        <f t="array" ref="B9478">iferror(xlookup($I9478, 'IMPORT VHC Report'!$E:$E, 'IMPORT VHC Report'!$A:$C), )</f>
        <v/>
      </c>
      <c r="C9478" s="44"/>
      <c r="D9478" s="44"/>
      <c r="L9478" s="45"/>
      <c r="N9478" s="45"/>
    </row>
    <row r="9479">
      <c r="A9479" s="40" t="str">
        <f t="shared" si="1"/>
        <v/>
      </c>
      <c r="B9479" s="37" t="str">
        <f t="array" ref="B9479">iferror(xlookup($I9479, 'IMPORT VHC Report'!$E:$E, 'IMPORT VHC Report'!$A:$C), )</f>
        <v/>
      </c>
      <c r="C9479" s="44"/>
      <c r="D9479" s="44"/>
      <c r="L9479" s="45"/>
      <c r="N9479" s="45"/>
    </row>
    <row r="9480">
      <c r="A9480" s="40" t="str">
        <f t="shared" si="1"/>
        <v/>
      </c>
      <c r="B9480" s="37" t="str">
        <f t="array" ref="B9480">iferror(xlookup($I9480, 'IMPORT VHC Report'!$E:$E, 'IMPORT VHC Report'!$A:$C), )</f>
        <v/>
      </c>
      <c r="C9480" s="44"/>
      <c r="D9480" s="44"/>
      <c r="L9480" s="45"/>
      <c r="N9480" s="45"/>
    </row>
    <row r="9481">
      <c r="A9481" s="40" t="str">
        <f t="shared" si="1"/>
        <v/>
      </c>
      <c r="B9481" s="37" t="str">
        <f t="array" ref="B9481">iferror(xlookup($I9481, 'IMPORT VHC Report'!$E:$E, 'IMPORT VHC Report'!$A:$C), )</f>
        <v/>
      </c>
      <c r="C9481" s="44"/>
      <c r="D9481" s="44"/>
      <c r="L9481" s="45"/>
      <c r="N9481" s="45"/>
    </row>
    <row r="9482">
      <c r="A9482" s="40" t="str">
        <f t="shared" si="1"/>
        <v/>
      </c>
      <c r="B9482" s="37" t="str">
        <f t="array" ref="B9482">iferror(xlookup($I9482, 'IMPORT VHC Report'!$E:$E, 'IMPORT VHC Report'!$A:$C), )</f>
        <v/>
      </c>
      <c r="C9482" s="44"/>
      <c r="D9482" s="44"/>
      <c r="L9482" s="45"/>
      <c r="N9482" s="45"/>
    </row>
    <row r="9483">
      <c r="A9483" s="40" t="str">
        <f t="shared" si="1"/>
        <v/>
      </c>
      <c r="B9483" s="37" t="str">
        <f t="array" ref="B9483">iferror(xlookup($I9483, 'IMPORT VHC Report'!$E:$E, 'IMPORT VHC Report'!$A:$C), )</f>
        <v/>
      </c>
      <c r="C9483" s="44"/>
      <c r="D9483" s="44"/>
      <c r="L9483" s="45"/>
      <c r="N9483" s="45"/>
    </row>
    <row r="9484">
      <c r="A9484" s="40" t="str">
        <f t="shared" si="1"/>
        <v/>
      </c>
      <c r="B9484" s="37" t="str">
        <f t="array" ref="B9484">iferror(xlookup($I9484, 'IMPORT VHC Report'!$E:$E, 'IMPORT VHC Report'!$A:$C), )</f>
        <v/>
      </c>
      <c r="C9484" s="44"/>
      <c r="D9484" s="44"/>
      <c r="L9484" s="45"/>
      <c r="N9484" s="45"/>
    </row>
    <row r="9485">
      <c r="A9485" s="40" t="str">
        <f t="shared" si="1"/>
        <v/>
      </c>
      <c r="B9485" s="37" t="str">
        <f t="array" ref="B9485">iferror(xlookup($I9485, 'IMPORT VHC Report'!$E:$E, 'IMPORT VHC Report'!$A:$C), )</f>
        <v/>
      </c>
      <c r="C9485" s="44"/>
      <c r="D9485" s="44"/>
      <c r="L9485" s="45"/>
      <c r="N9485" s="45"/>
    </row>
    <row r="9486">
      <c r="A9486" s="40" t="str">
        <f t="shared" si="1"/>
        <v/>
      </c>
      <c r="B9486" s="37" t="str">
        <f t="array" ref="B9486">iferror(xlookup($I9486, 'IMPORT VHC Report'!$E:$E, 'IMPORT VHC Report'!$A:$C), )</f>
        <v/>
      </c>
      <c r="C9486" s="44"/>
      <c r="D9486" s="44"/>
      <c r="L9486" s="45"/>
      <c r="N9486" s="45"/>
    </row>
    <row r="9487">
      <c r="A9487" s="40" t="str">
        <f t="shared" si="1"/>
        <v/>
      </c>
      <c r="B9487" s="37" t="str">
        <f t="array" ref="B9487">iferror(xlookup($I9487, 'IMPORT VHC Report'!$E:$E, 'IMPORT VHC Report'!$A:$C), )</f>
        <v/>
      </c>
      <c r="C9487" s="44"/>
      <c r="D9487" s="44"/>
      <c r="L9487" s="45"/>
      <c r="N9487" s="45"/>
    </row>
    <row r="9488">
      <c r="A9488" s="40" t="str">
        <f t="shared" si="1"/>
        <v/>
      </c>
      <c r="B9488" s="37" t="str">
        <f t="array" ref="B9488">iferror(xlookup($I9488, 'IMPORT VHC Report'!$E:$E, 'IMPORT VHC Report'!$A:$C), )</f>
        <v/>
      </c>
      <c r="C9488" s="44"/>
      <c r="D9488" s="44"/>
      <c r="L9488" s="45"/>
      <c r="N9488" s="45"/>
    </row>
    <row r="9489">
      <c r="A9489" s="40" t="str">
        <f t="shared" si="1"/>
        <v/>
      </c>
      <c r="B9489" s="37" t="str">
        <f t="array" ref="B9489">iferror(xlookup($I9489, 'IMPORT VHC Report'!$E:$E, 'IMPORT VHC Report'!$A:$C), )</f>
        <v/>
      </c>
      <c r="C9489" s="44"/>
      <c r="D9489" s="44"/>
      <c r="L9489" s="45"/>
      <c r="N9489" s="45"/>
    </row>
    <row r="9490">
      <c r="A9490" s="40" t="str">
        <f t="shared" si="1"/>
        <v/>
      </c>
      <c r="B9490" s="37" t="str">
        <f t="array" ref="B9490">iferror(xlookup($I9490, 'IMPORT VHC Report'!$E:$E, 'IMPORT VHC Report'!$A:$C), )</f>
        <v/>
      </c>
      <c r="C9490" s="44"/>
      <c r="D9490" s="44"/>
      <c r="L9490" s="45"/>
      <c r="N9490" s="45"/>
    </row>
    <row r="9491">
      <c r="A9491" s="40" t="str">
        <f t="shared" si="1"/>
        <v/>
      </c>
      <c r="B9491" s="37" t="str">
        <f t="array" ref="B9491">iferror(xlookup($I9491, 'IMPORT VHC Report'!$E:$E, 'IMPORT VHC Report'!$A:$C), )</f>
        <v/>
      </c>
      <c r="C9491" s="44"/>
      <c r="D9491" s="44"/>
      <c r="L9491" s="45"/>
      <c r="N9491" s="45"/>
    </row>
    <row r="9492">
      <c r="A9492" s="40" t="str">
        <f t="shared" si="1"/>
        <v/>
      </c>
      <c r="B9492" s="37" t="str">
        <f t="array" ref="B9492">iferror(xlookup($I9492, 'IMPORT VHC Report'!$E:$E, 'IMPORT VHC Report'!$A:$C), )</f>
        <v/>
      </c>
      <c r="C9492" s="44"/>
      <c r="D9492" s="44"/>
      <c r="L9492" s="45"/>
      <c r="N9492" s="45"/>
    </row>
    <row r="9493">
      <c r="A9493" s="40" t="str">
        <f t="shared" si="1"/>
        <v/>
      </c>
      <c r="B9493" s="37" t="str">
        <f t="array" ref="B9493">iferror(xlookup($I9493, 'IMPORT VHC Report'!$E:$E, 'IMPORT VHC Report'!$A:$C), )</f>
        <v/>
      </c>
      <c r="C9493" s="44"/>
      <c r="D9493" s="44"/>
      <c r="L9493" s="45"/>
      <c r="N9493" s="45"/>
    </row>
    <row r="9494">
      <c r="A9494" s="40" t="str">
        <f t="shared" si="1"/>
        <v/>
      </c>
      <c r="B9494" s="37" t="str">
        <f t="array" ref="B9494">iferror(xlookup($I9494, 'IMPORT VHC Report'!$E:$E, 'IMPORT VHC Report'!$A:$C), )</f>
        <v/>
      </c>
      <c r="C9494" s="44"/>
      <c r="D9494" s="44"/>
      <c r="L9494" s="45"/>
      <c r="N9494" s="45"/>
    </row>
    <row r="9495">
      <c r="A9495" s="40" t="str">
        <f t="shared" si="1"/>
        <v/>
      </c>
      <c r="B9495" s="37" t="str">
        <f t="array" ref="B9495">iferror(xlookup($I9495, 'IMPORT VHC Report'!$E:$E, 'IMPORT VHC Report'!$A:$C), )</f>
        <v/>
      </c>
      <c r="C9495" s="44"/>
      <c r="D9495" s="44"/>
      <c r="L9495" s="45"/>
      <c r="N9495" s="45"/>
    </row>
    <row r="9496">
      <c r="A9496" s="40" t="str">
        <f t="shared" si="1"/>
        <v/>
      </c>
      <c r="B9496" s="37" t="str">
        <f t="array" ref="B9496">iferror(xlookup($I9496, 'IMPORT VHC Report'!$E:$E, 'IMPORT VHC Report'!$A:$C), )</f>
        <v/>
      </c>
      <c r="C9496" s="44"/>
      <c r="D9496" s="44"/>
      <c r="L9496" s="45"/>
      <c r="N9496" s="45"/>
    </row>
    <row r="9497">
      <c r="A9497" s="40" t="str">
        <f t="shared" si="1"/>
        <v/>
      </c>
      <c r="B9497" s="37" t="str">
        <f t="array" ref="B9497">iferror(xlookup($I9497, 'IMPORT VHC Report'!$E:$E, 'IMPORT VHC Report'!$A:$C), )</f>
        <v/>
      </c>
      <c r="C9497" s="44"/>
      <c r="D9497" s="44"/>
      <c r="L9497" s="45"/>
      <c r="N9497" s="45"/>
    </row>
    <row r="9498">
      <c r="A9498" s="40" t="str">
        <f t="shared" si="1"/>
        <v/>
      </c>
      <c r="B9498" s="37" t="str">
        <f t="array" ref="B9498">iferror(xlookup($I9498, 'IMPORT VHC Report'!$E:$E, 'IMPORT VHC Report'!$A:$C), )</f>
        <v/>
      </c>
      <c r="C9498" s="44"/>
      <c r="D9498" s="44"/>
      <c r="L9498" s="45"/>
      <c r="N9498" s="45"/>
    </row>
    <row r="9499">
      <c r="A9499" s="40" t="str">
        <f t="shared" si="1"/>
        <v/>
      </c>
      <c r="B9499" s="37" t="str">
        <f t="array" ref="B9499">iferror(xlookup($I9499, 'IMPORT VHC Report'!$E:$E, 'IMPORT VHC Report'!$A:$C), )</f>
        <v/>
      </c>
      <c r="C9499" s="44"/>
      <c r="D9499" s="44"/>
      <c r="L9499" s="45"/>
      <c r="N9499" s="45"/>
    </row>
    <row r="9500">
      <c r="A9500" s="40" t="str">
        <f t="shared" si="1"/>
        <v/>
      </c>
      <c r="B9500" s="37" t="str">
        <f t="array" ref="B9500">iferror(xlookup($I9500, 'IMPORT VHC Report'!$E:$E, 'IMPORT VHC Report'!$A:$C), )</f>
        <v/>
      </c>
      <c r="C9500" s="44"/>
      <c r="D9500" s="44"/>
      <c r="L9500" s="45"/>
      <c r="N9500" s="45"/>
    </row>
    <row r="9501">
      <c r="A9501" s="40" t="str">
        <f t="shared" si="1"/>
        <v/>
      </c>
      <c r="B9501" s="37" t="str">
        <f t="array" ref="B9501">iferror(xlookup($I9501, 'IMPORT VHC Report'!$E:$E, 'IMPORT VHC Report'!$A:$C), )</f>
        <v/>
      </c>
      <c r="C9501" s="44"/>
      <c r="D9501" s="44"/>
      <c r="L9501" s="45"/>
      <c r="N9501" s="45"/>
    </row>
    <row r="9502">
      <c r="A9502" s="40" t="str">
        <f t="shared" si="1"/>
        <v/>
      </c>
      <c r="B9502" s="37" t="str">
        <f t="array" ref="B9502">iferror(xlookup($I9502, 'IMPORT VHC Report'!$E:$E, 'IMPORT VHC Report'!$A:$C), )</f>
        <v/>
      </c>
      <c r="C9502" s="44"/>
      <c r="D9502" s="44"/>
      <c r="L9502" s="45"/>
      <c r="N9502" s="45"/>
    </row>
    <row r="9503">
      <c r="A9503" s="40" t="str">
        <f t="shared" si="1"/>
        <v/>
      </c>
      <c r="B9503" s="37" t="str">
        <f t="array" ref="B9503">iferror(xlookup($I9503, 'IMPORT VHC Report'!$E:$E, 'IMPORT VHC Report'!$A:$C), )</f>
        <v/>
      </c>
      <c r="C9503" s="44"/>
      <c r="D9503" s="44"/>
      <c r="L9503" s="45"/>
      <c r="N9503" s="45"/>
    </row>
    <row r="9504">
      <c r="A9504" s="40" t="str">
        <f t="shared" si="1"/>
        <v/>
      </c>
      <c r="B9504" s="37" t="str">
        <f t="array" ref="B9504">iferror(xlookup($I9504, 'IMPORT VHC Report'!$E:$E, 'IMPORT VHC Report'!$A:$C), )</f>
        <v/>
      </c>
      <c r="C9504" s="44"/>
      <c r="D9504" s="44"/>
      <c r="L9504" s="45"/>
      <c r="N9504" s="45"/>
    </row>
    <row r="9505">
      <c r="A9505" s="40" t="str">
        <f t="shared" si="1"/>
        <v/>
      </c>
      <c r="B9505" s="37" t="str">
        <f t="array" ref="B9505">iferror(xlookup($I9505, 'IMPORT VHC Report'!$E:$E, 'IMPORT VHC Report'!$A:$C), )</f>
        <v/>
      </c>
      <c r="C9505" s="44"/>
      <c r="D9505" s="44"/>
      <c r="L9505" s="45"/>
      <c r="N9505" s="45"/>
    </row>
    <row r="9506">
      <c r="A9506" s="40" t="str">
        <f t="shared" si="1"/>
        <v/>
      </c>
      <c r="B9506" s="37" t="str">
        <f t="array" ref="B9506">iferror(xlookup($I9506, 'IMPORT VHC Report'!$E:$E, 'IMPORT VHC Report'!$A:$C), )</f>
        <v/>
      </c>
      <c r="C9506" s="44"/>
      <c r="D9506" s="44"/>
      <c r="L9506" s="45"/>
      <c r="N9506" s="45"/>
    </row>
    <row r="9507">
      <c r="A9507" s="40" t="str">
        <f t="shared" si="1"/>
        <v/>
      </c>
      <c r="B9507" s="37" t="str">
        <f t="array" ref="B9507">iferror(xlookup($I9507, 'IMPORT VHC Report'!$E:$E, 'IMPORT VHC Report'!$A:$C), )</f>
        <v/>
      </c>
      <c r="C9507" s="44"/>
      <c r="D9507" s="44"/>
      <c r="L9507" s="45"/>
      <c r="N9507" s="45"/>
    </row>
    <row r="9508">
      <c r="A9508" s="40" t="str">
        <f t="shared" si="1"/>
        <v/>
      </c>
      <c r="B9508" s="37" t="str">
        <f t="array" ref="B9508">iferror(xlookup($I9508, 'IMPORT VHC Report'!$E:$E, 'IMPORT VHC Report'!$A:$C), )</f>
        <v/>
      </c>
      <c r="C9508" s="44"/>
      <c r="D9508" s="44"/>
      <c r="L9508" s="45"/>
      <c r="N9508" s="45"/>
    </row>
    <row r="9509">
      <c r="A9509" s="40" t="str">
        <f t="shared" si="1"/>
        <v/>
      </c>
      <c r="B9509" s="37" t="str">
        <f t="array" ref="B9509">iferror(xlookup($I9509, 'IMPORT VHC Report'!$E:$E, 'IMPORT VHC Report'!$A:$C), )</f>
        <v/>
      </c>
      <c r="C9509" s="44"/>
      <c r="D9509" s="44"/>
      <c r="L9509" s="45"/>
      <c r="N9509" s="45"/>
    </row>
    <row r="9510">
      <c r="A9510" s="40" t="str">
        <f t="shared" si="1"/>
        <v/>
      </c>
      <c r="B9510" s="37" t="str">
        <f t="array" ref="B9510">iferror(xlookup($I9510, 'IMPORT VHC Report'!$E:$E, 'IMPORT VHC Report'!$A:$C), )</f>
        <v/>
      </c>
      <c r="C9510" s="44"/>
      <c r="D9510" s="44"/>
      <c r="L9510" s="45"/>
      <c r="N9510" s="45"/>
    </row>
    <row r="9511">
      <c r="A9511" s="40" t="str">
        <f t="shared" si="1"/>
        <v/>
      </c>
      <c r="B9511" s="37" t="str">
        <f t="array" ref="B9511">iferror(xlookup($I9511, 'IMPORT VHC Report'!$E:$E, 'IMPORT VHC Report'!$A:$C), )</f>
        <v/>
      </c>
      <c r="C9511" s="44"/>
      <c r="D9511" s="44"/>
      <c r="L9511" s="45"/>
      <c r="N9511" s="45"/>
    </row>
    <row r="9512">
      <c r="A9512" s="40" t="str">
        <f t="shared" si="1"/>
        <v/>
      </c>
      <c r="B9512" s="37" t="str">
        <f t="array" ref="B9512">iferror(xlookup($I9512, 'IMPORT VHC Report'!$E:$E, 'IMPORT VHC Report'!$A:$C), )</f>
        <v/>
      </c>
      <c r="C9512" s="44"/>
      <c r="D9512" s="44"/>
      <c r="L9512" s="45"/>
      <c r="N9512" s="45"/>
    </row>
    <row r="9513">
      <c r="A9513" s="40" t="str">
        <f t="shared" si="1"/>
        <v/>
      </c>
      <c r="B9513" s="37" t="str">
        <f t="array" ref="B9513">iferror(xlookup($I9513, 'IMPORT VHC Report'!$E:$E, 'IMPORT VHC Report'!$A:$C), )</f>
        <v/>
      </c>
      <c r="C9513" s="44"/>
      <c r="D9513" s="44"/>
      <c r="L9513" s="45"/>
      <c r="N9513" s="45"/>
    </row>
    <row r="9514">
      <c r="A9514" s="40" t="str">
        <f t="shared" si="1"/>
        <v/>
      </c>
      <c r="B9514" s="37" t="str">
        <f t="array" ref="B9514">iferror(xlookup($I9514, 'IMPORT VHC Report'!$E:$E, 'IMPORT VHC Report'!$A:$C), )</f>
        <v/>
      </c>
      <c r="C9514" s="44"/>
      <c r="D9514" s="44"/>
      <c r="L9514" s="45"/>
      <c r="N9514" s="45"/>
    </row>
    <row r="9515">
      <c r="A9515" s="40" t="str">
        <f t="shared" si="1"/>
        <v/>
      </c>
      <c r="B9515" s="37" t="str">
        <f t="array" ref="B9515">iferror(xlookup($I9515, 'IMPORT VHC Report'!$E:$E, 'IMPORT VHC Report'!$A:$C), )</f>
        <v/>
      </c>
      <c r="C9515" s="44"/>
      <c r="D9515" s="44"/>
      <c r="L9515" s="45"/>
      <c r="N9515" s="45"/>
    </row>
    <row r="9516">
      <c r="A9516" s="40" t="str">
        <f t="shared" si="1"/>
        <v/>
      </c>
      <c r="B9516" s="37" t="str">
        <f t="array" ref="B9516">iferror(xlookup($I9516, 'IMPORT VHC Report'!$E:$E, 'IMPORT VHC Report'!$A:$C), )</f>
        <v/>
      </c>
      <c r="C9516" s="44"/>
      <c r="D9516" s="44"/>
      <c r="L9516" s="45"/>
      <c r="N9516" s="45"/>
    </row>
    <row r="9517">
      <c r="A9517" s="40" t="str">
        <f t="shared" si="1"/>
        <v/>
      </c>
      <c r="B9517" s="37" t="str">
        <f t="array" ref="B9517">iferror(xlookup($I9517, 'IMPORT VHC Report'!$E:$E, 'IMPORT VHC Report'!$A:$C), )</f>
        <v/>
      </c>
      <c r="C9517" s="44"/>
      <c r="D9517" s="44"/>
      <c r="L9517" s="45"/>
      <c r="N9517" s="45"/>
    </row>
    <row r="9518">
      <c r="A9518" s="40" t="str">
        <f t="shared" si="1"/>
        <v/>
      </c>
      <c r="B9518" s="37" t="str">
        <f t="array" ref="B9518">iferror(xlookup($I9518, 'IMPORT VHC Report'!$E:$E, 'IMPORT VHC Report'!$A:$C), )</f>
        <v/>
      </c>
      <c r="C9518" s="44"/>
      <c r="D9518" s="44"/>
      <c r="L9518" s="45"/>
      <c r="N9518" s="45"/>
    </row>
    <row r="9519">
      <c r="A9519" s="40" t="str">
        <f t="shared" si="1"/>
        <v/>
      </c>
      <c r="B9519" s="37" t="str">
        <f t="array" ref="B9519">iferror(xlookup($I9519, 'IMPORT VHC Report'!$E:$E, 'IMPORT VHC Report'!$A:$C), )</f>
        <v/>
      </c>
      <c r="C9519" s="44"/>
      <c r="D9519" s="44"/>
      <c r="L9519" s="45"/>
      <c r="N9519" s="45"/>
    </row>
    <row r="9520">
      <c r="A9520" s="40" t="str">
        <f t="shared" si="1"/>
        <v/>
      </c>
      <c r="B9520" s="37" t="str">
        <f t="array" ref="B9520">iferror(xlookup($I9520, 'IMPORT VHC Report'!$E:$E, 'IMPORT VHC Report'!$A:$C), )</f>
        <v/>
      </c>
      <c r="C9520" s="44"/>
      <c r="D9520" s="44"/>
      <c r="L9520" s="45"/>
      <c r="N9520" s="45"/>
    </row>
    <row r="9521">
      <c r="A9521" s="40" t="str">
        <f t="shared" si="1"/>
        <v/>
      </c>
      <c r="B9521" s="37" t="str">
        <f t="array" ref="B9521">iferror(xlookup($I9521, 'IMPORT VHC Report'!$E:$E, 'IMPORT VHC Report'!$A:$C), )</f>
        <v/>
      </c>
      <c r="C9521" s="44"/>
      <c r="D9521" s="44"/>
      <c r="L9521" s="45"/>
      <c r="N9521" s="45"/>
    </row>
    <row r="9522">
      <c r="A9522" s="40" t="str">
        <f t="shared" si="1"/>
        <v/>
      </c>
      <c r="B9522" s="37" t="str">
        <f t="array" ref="B9522">iferror(xlookup($I9522, 'IMPORT VHC Report'!$E:$E, 'IMPORT VHC Report'!$A:$C), )</f>
        <v/>
      </c>
      <c r="C9522" s="44"/>
      <c r="D9522" s="44"/>
      <c r="L9522" s="45"/>
      <c r="N9522" s="45"/>
    </row>
    <row r="9523">
      <c r="A9523" s="40" t="str">
        <f t="shared" si="1"/>
        <v/>
      </c>
      <c r="B9523" s="37" t="str">
        <f t="array" ref="B9523">iferror(xlookup($I9523, 'IMPORT VHC Report'!$E:$E, 'IMPORT VHC Report'!$A:$C), )</f>
        <v/>
      </c>
      <c r="C9523" s="44"/>
      <c r="D9523" s="44"/>
      <c r="L9523" s="45"/>
      <c r="N9523" s="45"/>
    </row>
    <row r="9524">
      <c r="A9524" s="40" t="str">
        <f t="shared" si="1"/>
        <v/>
      </c>
      <c r="B9524" s="37" t="str">
        <f t="array" ref="B9524">iferror(xlookup($I9524, 'IMPORT VHC Report'!$E:$E, 'IMPORT VHC Report'!$A:$C), )</f>
        <v/>
      </c>
      <c r="C9524" s="44"/>
      <c r="D9524" s="44"/>
      <c r="L9524" s="45"/>
      <c r="N9524" s="45"/>
    </row>
    <row r="9525">
      <c r="A9525" s="40" t="str">
        <f t="shared" si="1"/>
        <v/>
      </c>
      <c r="B9525" s="37" t="str">
        <f t="array" ref="B9525">iferror(xlookup($I9525, 'IMPORT VHC Report'!$E:$E, 'IMPORT VHC Report'!$A:$C), )</f>
        <v/>
      </c>
      <c r="C9525" s="44"/>
      <c r="D9525" s="44"/>
      <c r="L9525" s="45"/>
      <c r="N9525" s="45"/>
    </row>
    <row r="9526">
      <c r="A9526" s="40" t="str">
        <f t="shared" si="1"/>
        <v/>
      </c>
      <c r="B9526" s="37" t="str">
        <f t="array" ref="B9526">iferror(xlookup($I9526, 'IMPORT VHC Report'!$E:$E, 'IMPORT VHC Report'!$A:$C), )</f>
        <v/>
      </c>
      <c r="C9526" s="44"/>
      <c r="D9526" s="44"/>
      <c r="L9526" s="45"/>
      <c r="N9526" s="45"/>
    </row>
    <row r="9527">
      <c r="A9527" s="40" t="str">
        <f t="shared" si="1"/>
        <v/>
      </c>
      <c r="B9527" s="37" t="str">
        <f t="array" ref="B9527">iferror(xlookup($I9527, 'IMPORT VHC Report'!$E:$E, 'IMPORT VHC Report'!$A:$C), )</f>
        <v/>
      </c>
      <c r="C9527" s="44"/>
      <c r="D9527" s="44"/>
      <c r="L9527" s="45"/>
      <c r="N9527" s="45"/>
    </row>
    <row r="9528">
      <c r="A9528" s="40" t="str">
        <f t="shared" si="1"/>
        <v/>
      </c>
      <c r="B9528" s="37" t="str">
        <f t="array" ref="B9528">iferror(xlookup($I9528, 'IMPORT VHC Report'!$E:$E, 'IMPORT VHC Report'!$A:$C), )</f>
        <v/>
      </c>
      <c r="C9528" s="44"/>
      <c r="D9528" s="44"/>
      <c r="L9528" s="45"/>
      <c r="N9528" s="45"/>
    </row>
    <row r="9529">
      <c r="A9529" s="40" t="str">
        <f t="shared" si="1"/>
        <v/>
      </c>
      <c r="B9529" s="37" t="str">
        <f t="array" ref="B9529">iferror(xlookup($I9529, 'IMPORT VHC Report'!$E:$E, 'IMPORT VHC Report'!$A:$C), )</f>
        <v/>
      </c>
      <c r="C9529" s="44"/>
      <c r="D9529" s="44"/>
      <c r="L9529" s="45"/>
      <c r="N9529" s="45"/>
    </row>
    <row r="9530">
      <c r="A9530" s="40" t="str">
        <f t="shared" si="1"/>
        <v/>
      </c>
      <c r="B9530" s="37" t="str">
        <f t="array" ref="B9530">iferror(xlookup($I9530, 'IMPORT VHC Report'!$E:$E, 'IMPORT VHC Report'!$A:$C), )</f>
        <v/>
      </c>
      <c r="C9530" s="44"/>
      <c r="D9530" s="44"/>
      <c r="L9530" s="45"/>
      <c r="N9530" s="45"/>
    </row>
    <row r="9531">
      <c r="A9531" s="40" t="str">
        <f t="shared" si="1"/>
        <v/>
      </c>
      <c r="B9531" s="37" t="str">
        <f t="array" ref="B9531">iferror(xlookup($I9531, 'IMPORT VHC Report'!$E:$E, 'IMPORT VHC Report'!$A:$C), )</f>
        <v/>
      </c>
      <c r="C9531" s="44"/>
      <c r="D9531" s="44"/>
      <c r="L9531" s="45"/>
      <c r="N9531" s="45"/>
    </row>
    <row r="9532">
      <c r="A9532" s="40" t="str">
        <f t="shared" si="1"/>
        <v/>
      </c>
      <c r="B9532" s="37" t="str">
        <f t="array" ref="B9532">iferror(xlookup($I9532, 'IMPORT VHC Report'!$E:$E, 'IMPORT VHC Report'!$A:$C), )</f>
        <v/>
      </c>
      <c r="C9532" s="44"/>
      <c r="D9532" s="44"/>
      <c r="L9532" s="45"/>
      <c r="N9532" s="45"/>
    </row>
    <row r="9533">
      <c r="A9533" s="40" t="str">
        <f t="shared" si="1"/>
        <v/>
      </c>
      <c r="B9533" s="37" t="str">
        <f t="array" ref="B9533">iferror(xlookup($I9533, 'IMPORT VHC Report'!$E:$E, 'IMPORT VHC Report'!$A:$C), )</f>
        <v/>
      </c>
      <c r="C9533" s="44"/>
      <c r="D9533" s="44"/>
      <c r="L9533" s="45"/>
      <c r="N9533" s="45"/>
    </row>
    <row r="9534">
      <c r="A9534" s="40" t="str">
        <f t="shared" si="1"/>
        <v/>
      </c>
      <c r="B9534" s="37" t="str">
        <f t="array" ref="B9534">iferror(xlookup($I9534, 'IMPORT VHC Report'!$E:$E, 'IMPORT VHC Report'!$A:$C), )</f>
        <v/>
      </c>
      <c r="C9534" s="44"/>
      <c r="D9534" s="44"/>
      <c r="L9534" s="45"/>
      <c r="N9534" s="45"/>
    </row>
    <row r="9535">
      <c r="A9535" s="40" t="str">
        <f t="shared" si="1"/>
        <v/>
      </c>
      <c r="B9535" s="37" t="str">
        <f t="array" ref="B9535">iferror(xlookup($I9535, 'IMPORT VHC Report'!$E:$E, 'IMPORT VHC Report'!$A:$C), )</f>
        <v/>
      </c>
      <c r="C9535" s="44"/>
      <c r="D9535" s="44"/>
      <c r="L9535" s="45"/>
      <c r="N9535" s="45"/>
    </row>
    <row r="9536">
      <c r="A9536" s="40" t="str">
        <f t="shared" si="1"/>
        <v/>
      </c>
      <c r="B9536" s="37" t="str">
        <f t="array" ref="B9536">iferror(xlookup($I9536, 'IMPORT VHC Report'!$E:$E, 'IMPORT VHC Report'!$A:$C), )</f>
        <v/>
      </c>
      <c r="C9536" s="44"/>
      <c r="D9536" s="44"/>
      <c r="L9536" s="45"/>
      <c r="N9536" s="45"/>
    </row>
    <row r="9537">
      <c r="A9537" s="40" t="str">
        <f t="shared" si="1"/>
        <v/>
      </c>
      <c r="B9537" s="37" t="str">
        <f t="array" ref="B9537">iferror(xlookup($I9537, 'IMPORT VHC Report'!$E:$E, 'IMPORT VHC Report'!$A:$C), )</f>
        <v/>
      </c>
      <c r="C9537" s="44"/>
      <c r="D9537" s="44"/>
      <c r="L9537" s="45"/>
      <c r="N9537" s="45"/>
    </row>
    <row r="9538">
      <c r="A9538" s="40" t="str">
        <f t="shared" si="1"/>
        <v/>
      </c>
      <c r="B9538" s="37" t="str">
        <f t="array" ref="B9538">iferror(xlookup($I9538, 'IMPORT VHC Report'!$E:$E, 'IMPORT VHC Report'!$A:$C), )</f>
        <v/>
      </c>
      <c r="C9538" s="44"/>
      <c r="D9538" s="44"/>
      <c r="L9538" s="45"/>
      <c r="N9538" s="45"/>
    </row>
    <row r="9539">
      <c r="A9539" s="40" t="str">
        <f t="shared" si="1"/>
        <v/>
      </c>
      <c r="B9539" s="37" t="str">
        <f t="array" ref="B9539">iferror(xlookup($I9539, 'IMPORT VHC Report'!$E:$E, 'IMPORT VHC Report'!$A:$C), )</f>
        <v/>
      </c>
      <c r="C9539" s="44"/>
      <c r="D9539" s="44"/>
      <c r="L9539" s="45"/>
      <c r="N9539" s="45"/>
    </row>
    <row r="9540">
      <c r="A9540" s="40" t="str">
        <f t="shared" si="1"/>
        <v/>
      </c>
      <c r="B9540" s="37" t="str">
        <f t="array" ref="B9540">iferror(xlookup($I9540, 'IMPORT VHC Report'!$E:$E, 'IMPORT VHC Report'!$A:$C), )</f>
        <v/>
      </c>
      <c r="C9540" s="44"/>
      <c r="D9540" s="44"/>
      <c r="L9540" s="45"/>
      <c r="N9540" s="45"/>
    </row>
    <row r="9541">
      <c r="A9541" s="40" t="str">
        <f t="shared" si="1"/>
        <v/>
      </c>
      <c r="B9541" s="37" t="str">
        <f t="array" ref="B9541">iferror(xlookup($I9541, 'IMPORT VHC Report'!$E:$E, 'IMPORT VHC Report'!$A:$C), )</f>
        <v/>
      </c>
      <c r="C9541" s="44"/>
      <c r="D9541" s="44"/>
      <c r="L9541" s="45"/>
      <c r="N9541" s="45"/>
    </row>
    <row r="9542">
      <c r="A9542" s="40" t="str">
        <f t="shared" si="1"/>
        <v/>
      </c>
      <c r="B9542" s="37" t="str">
        <f t="array" ref="B9542">iferror(xlookup($I9542, 'IMPORT VHC Report'!$E:$E, 'IMPORT VHC Report'!$A:$C), )</f>
        <v/>
      </c>
      <c r="C9542" s="44"/>
      <c r="D9542" s="44"/>
      <c r="L9542" s="45"/>
      <c r="N9542" s="45"/>
    </row>
    <row r="9543">
      <c r="A9543" s="40" t="str">
        <f t="shared" si="1"/>
        <v/>
      </c>
      <c r="B9543" s="37" t="str">
        <f t="array" ref="B9543">iferror(xlookup($I9543, 'IMPORT VHC Report'!$E:$E, 'IMPORT VHC Report'!$A:$C), )</f>
        <v/>
      </c>
      <c r="C9543" s="44"/>
      <c r="D9543" s="44"/>
      <c r="L9543" s="45"/>
      <c r="N9543" s="45"/>
    </row>
    <row r="9544">
      <c r="A9544" s="40" t="str">
        <f t="shared" si="1"/>
        <v/>
      </c>
      <c r="B9544" s="37" t="str">
        <f t="array" ref="B9544">iferror(xlookup($I9544, 'IMPORT VHC Report'!$E:$E, 'IMPORT VHC Report'!$A:$C), )</f>
        <v/>
      </c>
      <c r="C9544" s="44"/>
      <c r="D9544" s="44"/>
      <c r="L9544" s="45"/>
      <c r="N9544" s="45"/>
    </row>
    <row r="9545">
      <c r="A9545" s="40" t="str">
        <f t="shared" si="1"/>
        <v/>
      </c>
      <c r="B9545" s="37" t="str">
        <f t="array" ref="B9545">iferror(xlookup($I9545, 'IMPORT VHC Report'!$E:$E, 'IMPORT VHC Report'!$A:$C), )</f>
        <v/>
      </c>
      <c r="C9545" s="44"/>
      <c r="D9545" s="44"/>
      <c r="L9545" s="45"/>
      <c r="N9545" s="45"/>
    </row>
    <row r="9546">
      <c r="A9546" s="40" t="str">
        <f t="shared" si="1"/>
        <v/>
      </c>
      <c r="B9546" s="37" t="str">
        <f t="array" ref="B9546">iferror(xlookup($I9546, 'IMPORT VHC Report'!$E:$E, 'IMPORT VHC Report'!$A:$C), )</f>
        <v/>
      </c>
      <c r="C9546" s="44"/>
      <c r="D9546" s="44"/>
      <c r="L9546" s="45"/>
      <c r="N9546" s="45"/>
    </row>
    <row r="9547">
      <c r="A9547" s="40" t="str">
        <f t="shared" si="1"/>
        <v/>
      </c>
      <c r="B9547" s="37" t="str">
        <f t="array" ref="B9547">iferror(xlookup($I9547, 'IMPORT VHC Report'!$E:$E, 'IMPORT VHC Report'!$A:$C), )</f>
        <v/>
      </c>
      <c r="C9547" s="44"/>
      <c r="D9547" s="44"/>
      <c r="L9547" s="45"/>
      <c r="N9547" s="45"/>
    </row>
    <row r="9548">
      <c r="A9548" s="40" t="str">
        <f t="shared" si="1"/>
        <v/>
      </c>
      <c r="B9548" s="37" t="str">
        <f t="array" ref="B9548">iferror(xlookup($I9548, 'IMPORT VHC Report'!$E:$E, 'IMPORT VHC Report'!$A:$C), )</f>
        <v/>
      </c>
      <c r="C9548" s="44"/>
      <c r="D9548" s="44"/>
      <c r="L9548" s="45"/>
      <c r="N9548" s="45"/>
    </row>
    <row r="9549">
      <c r="A9549" s="40" t="str">
        <f t="shared" si="1"/>
        <v/>
      </c>
      <c r="B9549" s="37" t="str">
        <f t="array" ref="B9549">iferror(xlookup($I9549, 'IMPORT VHC Report'!$E:$E, 'IMPORT VHC Report'!$A:$C), )</f>
        <v/>
      </c>
      <c r="C9549" s="44"/>
      <c r="D9549" s="44"/>
      <c r="L9549" s="45"/>
      <c r="N9549" s="45"/>
    </row>
    <row r="9550">
      <c r="A9550" s="40" t="str">
        <f t="shared" si="1"/>
        <v/>
      </c>
      <c r="B9550" s="37" t="str">
        <f t="array" ref="B9550">iferror(xlookup($I9550, 'IMPORT VHC Report'!$E:$E, 'IMPORT VHC Report'!$A:$C), )</f>
        <v/>
      </c>
      <c r="C9550" s="44"/>
      <c r="D9550" s="44"/>
      <c r="L9550" s="45"/>
      <c r="N9550" s="45"/>
    </row>
    <row r="9551">
      <c r="A9551" s="40" t="str">
        <f t="shared" si="1"/>
        <v/>
      </c>
      <c r="B9551" s="37" t="str">
        <f t="array" ref="B9551">iferror(xlookup($I9551, 'IMPORT VHC Report'!$E:$E, 'IMPORT VHC Report'!$A:$C), )</f>
        <v/>
      </c>
      <c r="C9551" s="44"/>
      <c r="D9551" s="44"/>
      <c r="L9551" s="45"/>
      <c r="N9551" s="45"/>
    </row>
    <row r="9552">
      <c r="A9552" s="40" t="str">
        <f t="shared" si="1"/>
        <v/>
      </c>
      <c r="B9552" s="37" t="str">
        <f t="array" ref="B9552">iferror(xlookup($I9552, 'IMPORT VHC Report'!$E:$E, 'IMPORT VHC Report'!$A:$C), )</f>
        <v/>
      </c>
      <c r="C9552" s="44"/>
      <c r="D9552" s="44"/>
      <c r="L9552" s="45"/>
      <c r="N9552" s="45"/>
    </row>
    <row r="9553">
      <c r="A9553" s="40" t="str">
        <f t="shared" si="1"/>
        <v/>
      </c>
      <c r="B9553" s="37" t="str">
        <f t="array" ref="B9553">iferror(xlookup($I9553, 'IMPORT VHC Report'!$E:$E, 'IMPORT VHC Report'!$A:$C), )</f>
        <v/>
      </c>
      <c r="C9553" s="44"/>
      <c r="D9553" s="44"/>
      <c r="L9553" s="45"/>
      <c r="N9553" s="45"/>
    </row>
    <row r="9554">
      <c r="A9554" s="40" t="str">
        <f t="shared" si="1"/>
        <v/>
      </c>
      <c r="B9554" s="37" t="str">
        <f t="array" ref="B9554">iferror(xlookup($I9554, 'IMPORT VHC Report'!$E:$E, 'IMPORT VHC Report'!$A:$C), )</f>
        <v/>
      </c>
      <c r="C9554" s="44"/>
      <c r="D9554" s="44"/>
      <c r="L9554" s="45"/>
      <c r="N9554" s="45"/>
    </row>
    <row r="9555">
      <c r="A9555" s="40" t="str">
        <f t="shared" si="1"/>
        <v/>
      </c>
      <c r="B9555" s="37" t="str">
        <f t="array" ref="B9555">iferror(xlookup($I9555, 'IMPORT VHC Report'!$E:$E, 'IMPORT VHC Report'!$A:$C), )</f>
        <v/>
      </c>
      <c r="C9555" s="44"/>
      <c r="D9555" s="44"/>
      <c r="L9555" s="45"/>
      <c r="N9555" s="45"/>
    </row>
    <row r="9556">
      <c r="A9556" s="40" t="str">
        <f t="shared" si="1"/>
        <v/>
      </c>
      <c r="B9556" s="37" t="str">
        <f t="array" ref="B9556">iferror(xlookup($I9556, 'IMPORT VHC Report'!$E:$E, 'IMPORT VHC Report'!$A:$C), )</f>
        <v/>
      </c>
      <c r="C9556" s="44"/>
      <c r="D9556" s="44"/>
      <c r="L9556" s="45"/>
      <c r="N9556" s="45"/>
    </row>
    <row r="9557">
      <c r="A9557" s="40" t="str">
        <f t="shared" si="1"/>
        <v/>
      </c>
      <c r="B9557" s="37" t="str">
        <f t="array" ref="B9557">iferror(xlookup($I9557, 'IMPORT VHC Report'!$E:$E, 'IMPORT VHC Report'!$A:$C), )</f>
        <v/>
      </c>
      <c r="C9557" s="44"/>
      <c r="D9557" s="44"/>
      <c r="L9557" s="45"/>
      <c r="N9557" s="45"/>
    </row>
    <row r="9558">
      <c r="A9558" s="40" t="str">
        <f t="shared" si="1"/>
        <v/>
      </c>
      <c r="B9558" s="37" t="str">
        <f t="array" ref="B9558">iferror(xlookup($I9558, 'IMPORT VHC Report'!$E:$E, 'IMPORT VHC Report'!$A:$C), )</f>
        <v/>
      </c>
      <c r="C9558" s="44"/>
      <c r="D9558" s="44"/>
      <c r="L9558" s="45"/>
      <c r="N9558" s="45"/>
    </row>
    <row r="9559">
      <c r="A9559" s="40" t="str">
        <f t="shared" si="1"/>
        <v/>
      </c>
      <c r="B9559" s="37" t="str">
        <f t="array" ref="B9559">iferror(xlookup($I9559, 'IMPORT VHC Report'!$E:$E, 'IMPORT VHC Report'!$A:$C), )</f>
        <v/>
      </c>
      <c r="C9559" s="44"/>
      <c r="D9559" s="44"/>
      <c r="L9559" s="45"/>
      <c r="N9559" s="45"/>
    </row>
    <row r="9560">
      <c r="A9560" s="40" t="str">
        <f t="shared" si="1"/>
        <v/>
      </c>
      <c r="B9560" s="37" t="str">
        <f t="array" ref="B9560">iferror(xlookup($I9560, 'IMPORT VHC Report'!$E:$E, 'IMPORT VHC Report'!$A:$C), )</f>
        <v/>
      </c>
      <c r="C9560" s="44"/>
      <c r="D9560" s="44"/>
      <c r="L9560" s="45"/>
      <c r="N9560" s="45"/>
    </row>
    <row r="9561">
      <c r="A9561" s="40" t="str">
        <f t="shared" si="1"/>
        <v/>
      </c>
      <c r="B9561" s="37" t="str">
        <f t="array" ref="B9561">iferror(xlookup($I9561, 'IMPORT VHC Report'!$E:$E, 'IMPORT VHC Report'!$A:$C), )</f>
        <v/>
      </c>
      <c r="C9561" s="44"/>
      <c r="D9561" s="44"/>
      <c r="L9561" s="45"/>
      <c r="N9561" s="45"/>
    </row>
    <row r="9562">
      <c r="A9562" s="40" t="str">
        <f t="shared" si="1"/>
        <v/>
      </c>
      <c r="B9562" s="37" t="str">
        <f t="array" ref="B9562">iferror(xlookup($I9562, 'IMPORT VHC Report'!$E:$E, 'IMPORT VHC Report'!$A:$C), )</f>
        <v/>
      </c>
      <c r="C9562" s="44"/>
      <c r="D9562" s="44"/>
      <c r="L9562" s="45"/>
      <c r="N9562" s="45"/>
    </row>
    <row r="9563">
      <c r="A9563" s="40" t="str">
        <f t="shared" si="1"/>
        <v/>
      </c>
      <c r="B9563" s="37" t="str">
        <f t="array" ref="B9563">iferror(xlookup($I9563, 'IMPORT VHC Report'!$E:$E, 'IMPORT VHC Report'!$A:$C), )</f>
        <v/>
      </c>
      <c r="C9563" s="44"/>
      <c r="D9563" s="44"/>
      <c r="L9563" s="45"/>
      <c r="N9563" s="45"/>
    </row>
    <row r="9564">
      <c r="A9564" s="40" t="str">
        <f t="shared" si="1"/>
        <v/>
      </c>
      <c r="B9564" s="37" t="str">
        <f t="array" ref="B9564">iferror(xlookup($I9564, 'IMPORT VHC Report'!$E:$E, 'IMPORT VHC Report'!$A:$C), )</f>
        <v/>
      </c>
      <c r="C9564" s="44"/>
      <c r="D9564" s="44"/>
      <c r="L9564" s="45"/>
      <c r="N9564" s="45"/>
    </row>
    <row r="9565">
      <c r="A9565" s="40" t="str">
        <f t="shared" si="1"/>
        <v/>
      </c>
      <c r="B9565" s="37" t="str">
        <f t="array" ref="B9565">iferror(xlookup($I9565, 'IMPORT VHC Report'!$E:$E, 'IMPORT VHC Report'!$A:$C), )</f>
        <v/>
      </c>
      <c r="C9565" s="44"/>
      <c r="D9565" s="44"/>
      <c r="L9565" s="45"/>
      <c r="N9565" s="45"/>
    </row>
    <row r="9566">
      <c r="A9566" s="40" t="str">
        <f t="shared" si="1"/>
        <v/>
      </c>
      <c r="B9566" s="37" t="str">
        <f t="array" ref="B9566">iferror(xlookup($I9566, 'IMPORT VHC Report'!$E:$E, 'IMPORT VHC Report'!$A:$C), )</f>
        <v/>
      </c>
      <c r="C9566" s="44"/>
      <c r="D9566" s="44"/>
      <c r="L9566" s="45"/>
      <c r="N9566" s="45"/>
    </row>
    <row r="9567">
      <c r="A9567" s="40" t="str">
        <f t="shared" si="1"/>
        <v/>
      </c>
      <c r="B9567" s="37" t="str">
        <f t="array" ref="B9567">iferror(xlookup($I9567, 'IMPORT VHC Report'!$E:$E, 'IMPORT VHC Report'!$A:$C), )</f>
        <v/>
      </c>
      <c r="C9567" s="44"/>
      <c r="D9567" s="44"/>
      <c r="L9567" s="45"/>
      <c r="N9567" s="45"/>
    </row>
    <row r="9568">
      <c r="A9568" s="40" t="str">
        <f t="shared" si="1"/>
        <v/>
      </c>
      <c r="B9568" s="37" t="str">
        <f t="array" ref="B9568">iferror(xlookup($I9568, 'IMPORT VHC Report'!$E:$E, 'IMPORT VHC Report'!$A:$C), )</f>
        <v/>
      </c>
      <c r="C9568" s="44"/>
      <c r="D9568" s="44"/>
      <c r="L9568" s="45"/>
      <c r="N9568" s="45"/>
    </row>
    <row r="9569">
      <c r="A9569" s="40" t="str">
        <f t="shared" si="1"/>
        <v/>
      </c>
      <c r="B9569" s="37" t="str">
        <f t="array" ref="B9569">iferror(xlookup($I9569, 'IMPORT VHC Report'!$E:$E, 'IMPORT VHC Report'!$A:$C), )</f>
        <v/>
      </c>
      <c r="C9569" s="44"/>
      <c r="D9569" s="44"/>
      <c r="L9569" s="45"/>
      <c r="N9569" s="45"/>
    </row>
    <row r="9570">
      <c r="A9570" s="40" t="str">
        <f t="shared" si="1"/>
        <v/>
      </c>
      <c r="B9570" s="37" t="str">
        <f t="array" ref="B9570">iferror(xlookup($I9570, 'IMPORT VHC Report'!$E:$E, 'IMPORT VHC Report'!$A:$C), )</f>
        <v/>
      </c>
      <c r="C9570" s="44"/>
      <c r="D9570" s="44"/>
      <c r="L9570" s="45"/>
      <c r="N9570" s="45"/>
    </row>
    <row r="9571">
      <c r="A9571" s="40" t="str">
        <f t="shared" si="1"/>
        <v/>
      </c>
      <c r="B9571" s="37" t="str">
        <f t="array" ref="B9571">iferror(xlookup($I9571, 'IMPORT VHC Report'!$E:$E, 'IMPORT VHC Report'!$A:$C), )</f>
        <v/>
      </c>
      <c r="C9571" s="44"/>
      <c r="D9571" s="44"/>
      <c r="L9571" s="45"/>
      <c r="N9571" s="45"/>
    </row>
    <row r="9572">
      <c r="A9572" s="40" t="str">
        <f t="shared" si="1"/>
        <v/>
      </c>
      <c r="B9572" s="37" t="str">
        <f t="array" ref="B9572">iferror(xlookup($I9572, 'IMPORT VHC Report'!$E:$E, 'IMPORT VHC Report'!$A:$C), )</f>
        <v/>
      </c>
      <c r="C9572" s="44"/>
      <c r="D9572" s="44"/>
      <c r="L9572" s="45"/>
      <c r="N9572" s="45"/>
    </row>
    <row r="9573">
      <c r="A9573" s="40" t="str">
        <f t="shared" si="1"/>
        <v/>
      </c>
      <c r="B9573" s="37" t="str">
        <f t="array" ref="B9573">iferror(xlookup($I9573, 'IMPORT VHC Report'!$E:$E, 'IMPORT VHC Report'!$A:$C), )</f>
        <v/>
      </c>
      <c r="C9573" s="44"/>
      <c r="D9573" s="44"/>
      <c r="L9573" s="45"/>
      <c r="N9573" s="45"/>
    </row>
    <row r="9574">
      <c r="A9574" s="40" t="str">
        <f t="shared" si="1"/>
        <v/>
      </c>
      <c r="B9574" s="37" t="str">
        <f t="array" ref="B9574">iferror(xlookup($I9574, 'IMPORT VHC Report'!$E:$E, 'IMPORT VHC Report'!$A:$C), )</f>
        <v/>
      </c>
      <c r="C9574" s="44"/>
      <c r="D9574" s="44"/>
      <c r="L9574" s="45"/>
      <c r="N9574" s="45"/>
    </row>
    <row r="9575">
      <c r="A9575" s="40" t="str">
        <f t="shared" si="1"/>
        <v/>
      </c>
      <c r="B9575" s="37" t="str">
        <f t="array" ref="B9575">iferror(xlookup($I9575, 'IMPORT VHC Report'!$E:$E, 'IMPORT VHC Report'!$A:$C), )</f>
        <v/>
      </c>
      <c r="C9575" s="44"/>
      <c r="D9575" s="44"/>
      <c r="L9575" s="45"/>
      <c r="N9575" s="45"/>
    </row>
    <row r="9576">
      <c r="A9576" s="40" t="str">
        <f t="shared" si="1"/>
        <v/>
      </c>
      <c r="B9576" s="37" t="str">
        <f t="array" ref="B9576">iferror(xlookup($I9576, 'IMPORT VHC Report'!$E:$E, 'IMPORT VHC Report'!$A:$C), )</f>
        <v/>
      </c>
      <c r="C9576" s="44"/>
      <c r="D9576" s="44"/>
      <c r="L9576" s="45"/>
      <c r="N9576" s="45"/>
    </row>
    <row r="9577">
      <c r="A9577" s="40" t="str">
        <f t="shared" si="1"/>
        <v/>
      </c>
      <c r="B9577" s="37" t="str">
        <f t="array" ref="B9577">iferror(xlookup($I9577, 'IMPORT VHC Report'!$E:$E, 'IMPORT VHC Report'!$A:$C), )</f>
        <v/>
      </c>
      <c r="C9577" s="44"/>
      <c r="D9577" s="44"/>
      <c r="L9577" s="45"/>
      <c r="N9577" s="45"/>
    </row>
    <row r="9578">
      <c r="A9578" s="40" t="str">
        <f t="shared" si="1"/>
        <v/>
      </c>
      <c r="B9578" s="37" t="str">
        <f t="array" ref="B9578">iferror(xlookup($I9578, 'IMPORT VHC Report'!$E:$E, 'IMPORT VHC Report'!$A:$C), )</f>
        <v/>
      </c>
      <c r="C9578" s="44"/>
      <c r="D9578" s="44"/>
      <c r="L9578" s="45"/>
      <c r="N9578" s="45"/>
    </row>
    <row r="9579">
      <c r="A9579" s="40" t="str">
        <f t="shared" si="1"/>
        <v/>
      </c>
      <c r="B9579" s="37" t="str">
        <f t="array" ref="B9579">iferror(xlookup($I9579, 'IMPORT VHC Report'!$E:$E, 'IMPORT VHC Report'!$A:$C), )</f>
        <v/>
      </c>
      <c r="C9579" s="44"/>
      <c r="D9579" s="44"/>
      <c r="L9579" s="45"/>
      <c r="N9579" s="45"/>
    </row>
    <row r="9580">
      <c r="A9580" s="40" t="str">
        <f t="shared" si="1"/>
        <v/>
      </c>
      <c r="B9580" s="37" t="str">
        <f t="array" ref="B9580">iferror(xlookup($I9580, 'IMPORT VHC Report'!$E:$E, 'IMPORT VHC Report'!$A:$C), )</f>
        <v/>
      </c>
      <c r="C9580" s="44"/>
      <c r="D9580" s="44"/>
      <c r="L9580" s="45"/>
      <c r="N9580" s="45"/>
    </row>
    <row r="9581">
      <c r="A9581" s="40" t="str">
        <f t="shared" si="1"/>
        <v/>
      </c>
      <c r="B9581" s="37" t="str">
        <f t="array" ref="B9581">iferror(xlookup($I9581, 'IMPORT VHC Report'!$E:$E, 'IMPORT VHC Report'!$A:$C), )</f>
        <v/>
      </c>
      <c r="C9581" s="44"/>
      <c r="D9581" s="44"/>
      <c r="L9581" s="45"/>
      <c r="N9581" s="45"/>
    </row>
    <row r="9582">
      <c r="A9582" s="40" t="str">
        <f t="shared" si="1"/>
        <v/>
      </c>
      <c r="B9582" s="37" t="str">
        <f t="array" ref="B9582">iferror(xlookup($I9582, 'IMPORT VHC Report'!$E:$E, 'IMPORT VHC Report'!$A:$C), )</f>
        <v/>
      </c>
      <c r="C9582" s="44"/>
      <c r="D9582" s="44"/>
      <c r="L9582" s="45"/>
      <c r="N9582" s="45"/>
    </row>
    <row r="9583">
      <c r="A9583" s="40" t="str">
        <f t="shared" si="1"/>
        <v/>
      </c>
      <c r="B9583" s="37" t="str">
        <f t="array" ref="B9583">iferror(xlookup($I9583, 'IMPORT VHC Report'!$E:$E, 'IMPORT VHC Report'!$A:$C), )</f>
        <v/>
      </c>
      <c r="C9583" s="44"/>
      <c r="D9583" s="44"/>
      <c r="L9583" s="45"/>
      <c r="N9583" s="45"/>
    </row>
    <row r="9584">
      <c r="A9584" s="40" t="str">
        <f t="shared" si="1"/>
        <v/>
      </c>
      <c r="B9584" s="37" t="str">
        <f t="array" ref="B9584">iferror(xlookup($I9584, 'IMPORT VHC Report'!$E:$E, 'IMPORT VHC Report'!$A:$C), )</f>
        <v/>
      </c>
      <c r="C9584" s="44"/>
      <c r="D9584" s="44"/>
      <c r="L9584" s="45"/>
      <c r="N9584" s="45"/>
    </row>
    <row r="9585">
      <c r="A9585" s="40" t="str">
        <f t="shared" si="1"/>
        <v/>
      </c>
      <c r="B9585" s="37" t="str">
        <f t="array" ref="B9585">iferror(xlookup($I9585, 'IMPORT VHC Report'!$E:$E, 'IMPORT VHC Report'!$A:$C), )</f>
        <v/>
      </c>
      <c r="C9585" s="44"/>
      <c r="D9585" s="44"/>
      <c r="L9585" s="45"/>
      <c r="N9585" s="45"/>
    </row>
    <row r="9586">
      <c r="A9586" s="40" t="str">
        <f t="shared" si="1"/>
        <v/>
      </c>
      <c r="B9586" s="37" t="str">
        <f t="array" ref="B9586">iferror(xlookup($I9586, 'IMPORT VHC Report'!$E:$E, 'IMPORT VHC Report'!$A:$C), )</f>
        <v/>
      </c>
      <c r="C9586" s="44"/>
      <c r="D9586" s="44"/>
      <c r="L9586" s="45"/>
      <c r="N9586" s="45"/>
    </row>
    <row r="9587">
      <c r="A9587" s="40" t="str">
        <f t="shared" si="1"/>
        <v/>
      </c>
      <c r="B9587" s="37" t="str">
        <f t="array" ref="B9587">iferror(xlookup($I9587, 'IMPORT VHC Report'!$E:$E, 'IMPORT VHC Report'!$A:$C), )</f>
        <v/>
      </c>
      <c r="C9587" s="44"/>
      <c r="D9587" s="44"/>
      <c r="L9587" s="45"/>
      <c r="N9587" s="45"/>
    </row>
    <row r="9588">
      <c r="A9588" s="40" t="str">
        <f t="shared" si="1"/>
        <v/>
      </c>
      <c r="B9588" s="37" t="str">
        <f t="array" ref="B9588">iferror(xlookup($I9588, 'IMPORT VHC Report'!$E:$E, 'IMPORT VHC Report'!$A:$C), )</f>
        <v/>
      </c>
      <c r="C9588" s="44"/>
      <c r="D9588" s="44"/>
      <c r="L9588" s="45"/>
      <c r="N9588" s="45"/>
    </row>
    <row r="9589">
      <c r="A9589" s="40" t="str">
        <f t="shared" si="1"/>
        <v/>
      </c>
      <c r="B9589" s="37" t="str">
        <f t="array" ref="B9589">iferror(xlookup($I9589, 'IMPORT VHC Report'!$E:$E, 'IMPORT VHC Report'!$A:$C), )</f>
        <v/>
      </c>
      <c r="C9589" s="44"/>
      <c r="D9589" s="44"/>
      <c r="L9589" s="45"/>
      <c r="N9589" s="45"/>
    </row>
    <row r="9590">
      <c r="A9590" s="40" t="str">
        <f t="shared" si="1"/>
        <v/>
      </c>
      <c r="B9590" s="37" t="str">
        <f t="array" ref="B9590">iferror(xlookup($I9590, 'IMPORT VHC Report'!$E:$E, 'IMPORT VHC Report'!$A:$C), )</f>
        <v/>
      </c>
      <c r="C9590" s="44"/>
      <c r="D9590" s="44"/>
      <c r="L9590" s="45"/>
      <c r="N9590" s="45"/>
    </row>
    <row r="9591">
      <c r="A9591" s="40" t="str">
        <f t="shared" si="1"/>
        <v/>
      </c>
      <c r="B9591" s="37" t="str">
        <f t="array" ref="B9591">iferror(xlookup($I9591, 'IMPORT VHC Report'!$E:$E, 'IMPORT VHC Report'!$A:$C), )</f>
        <v/>
      </c>
      <c r="C9591" s="44"/>
      <c r="D9591" s="44"/>
      <c r="L9591" s="45"/>
      <c r="N9591" s="45"/>
    </row>
    <row r="9592">
      <c r="A9592" s="40" t="str">
        <f t="shared" si="1"/>
        <v/>
      </c>
      <c r="B9592" s="37" t="str">
        <f t="array" ref="B9592">iferror(xlookup($I9592, 'IMPORT VHC Report'!$E:$E, 'IMPORT VHC Report'!$A:$C), )</f>
        <v/>
      </c>
      <c r="C9592" s="44"/>
      <c r="D9592" s="44"/>
      <c r="L9592" s="45"/>
      <c r="N9592" s="45"/>
    </row>
    <row r="9593">
      <c r="A9593" s="40" t="str">
        <f t="shared" si="1"/>
        <v/>
      </c>
      <c r="B9593" s="37" t="str">
        <f t="array" ref="B9593">iferror(xlookup($I9593, 'IMPORT VHC Report'!$E:$E, 'IMPORT VHC Report'!$A:$C), )</f>
        <v/>
      </c>
      <c r="C9593" s="44"/>
      <c r="D9593" s="44"/>
      <c r="L9593" s="45"/>
      <c r="N9593" s="45"/>
    </row>
    <row r="9594">
      <c r="A9594" s="40" t="str">
        <f t="shared" si="1"/>
        <v/>
      </c>
      <c r="B9594" s="37" t="str">
        <f t="array" ref="B9594">iferror(xlookup($I9594, 'IMPORT VHC Report'!$E:$E, 'IMPORT VHC Report'!$A:$C), )</f>
        <v/>
      </c>
      <c r="C9594" s="44"/>
      <c r="D9594" s="44"/>
      <c r="L9594" s="45"/>
      <c r="N9594" s="45"/>
    </row>
    <row r="9595">
      <c r="A9595" s="40" t="str">
        <f t="shared" si="1"/>
        <v/>
      </c>
      <c r="B9595" s="37" t="str">
        <f t="array" ref="B9595">iferror(xlookup($I9595, 'IMPORT VHC Report'!$E:$E, 'IMPORT VHC Report'!$A:$C), )</f>
        <v/>
      </c>
      <c r="C9595" s="44"/>
      <c r="D9595" s="44"/>
      <c r="L9595" s="45"/>
      <c r="N9595" s="45"/>
    </row>
    <row r="9596">
      <c r="A9596" s="40" t="str">
        <f t="shared" si="1"/>
        <v/>
      </c>
      <c r="B9596" s="37" t="str">
        <f t="array" ref="B9596">iferror(xlookup($I9596, 'IMPORT VHC Report'!$E:$E, 'IMPORT VHC Report'!$A:$C), )</f>
        <v/>
      </c>
      <c r="C9596" s="44"/>
      <c r="D9596" s="44"/>
      <c r="L9596" s="45"/>
      <c r="N9596" s="45"/>
    </row>
    <row r="9597">
      <c r="A9597" s="40" t="str">
        <f t="shared" si="1"/>
        <v/>
      </c>
      <c r="B9597" s="37" t="str">
        <f t="array" ref="B9597">iferror(xlookup($I9597, 'IMPORT VHC Report'!$E:$E, 'IMPORT VHC Report'!$A:$C), )</f>
        <v/>
      </c>
      <c r="C9597" s="44"/>
      <c r="D9597" s="44"/>
      <c r="L9597" s="45"/>
      <c r="N9597" s="45"/>
    </row>
    <row r="9598">
      <c r="A9598" s="40" t="str">
        <f t="shared" si="1"/>
        <v/>
      </c>
      <c r="B9598" s="37" t="str">
        <f t="array" ref="B9598">iferror(xlookup($I9598, 'IMPORT VHC Report'!$E:$E, 'IMPORT VHC Report'!$A:$C), )</f>
        <v/>
      </c>
      <c r="C9598" s="44"/>
      <c r="D9598" s="44"/>
      <c r="L9598" s="45"/>
      <c r="N9598" s="45"/>
    </row>
    <row r="9599">
      <c r="A9599" s="40" t="str">
        <f t="shared" si="1"/>
        <v/>
      </c>
      <c r="B9599" s="37" t="str">
        <f t="array" ref="B9599">iferror(xlookup($I9599, 'IMPORT VHC Report'!$E:$E, 'IMPORT VHC Report'!$A:$C), )</f>
        <v/>
      </c>
      <c r="C9599" s="44"/>
      <c r="D9599" s="44"/>
      <c r="L9599" s="45"/>
      <c r="N9599" s="45"/>
    </row>
    <row r="9600">
      <c r="A9600" s="40" t="str">
        <f t="shared" si="1"/>
        <v/>
      </c>
      <c r="B9600" s="37" t="str">
        <f t="array" ref="B9600">iferror(xlookup($I9600, 'IMPORT VHC Report'!$E:$E, 'IMPORT VHC Report'!$A:$C), )</f>
        <v/>
      </c>
      <c r="C9600" s="44"/>
      <c r="D9600" s="44"/>
      <c r="L9600" s="45"/>
      <c r="N9600" s="45"/>
    </row>
    <row r="9601">
      <c r="A9601" s="40" t="str">
        <f t="shared" si="1"/>
        <v/>
      </c>
      <c r="B9601" s="37" t="str">
        <f t="array" ref="B9601">iferror(xlookup($I9601, 'IMPORT VHC Report'!$E:$E, 'IMPORT VHC Report'!$A:$C), )</f>
        <v/>
      </c>
      <c r="C9601" s="44"/>
      <c r="D9601" s="44"/>
      <c r="L9601" s="45"/>
      <c r="N9601" s="45"/>
    </row>
    <row r="9602">
      <c r="A9602" s="40" t="str">
        <f t="shared" si="1"/>
        <v/>
      </c>
      <c r="B9602" s="37" t="str">
        <f t="array" ref="B9602">iferror(xlookup($I9602, 'IMPORT VHC Report'!$E:$E, 'IMPORT VHC Report'!$A:$C), )</f>
        <v/>
      </c>
      <c r="C9602" s="44"/>
      <c r="D9602" s="44"/>
      <c r="L9602" s="45"/>
      <c r="N9602" s="45"/>
    </row>
    <row r="9603">
      <c r="A9603" s="40" t="str">
        <f t="shared" si="1"/>
        <v/>
      </c>
      <c r="B9603" s="37" t="str">
        <f t="array" ref="B9603">iferror(xlookup($I9603, 'IMPORT VHC Report'!$E:$E, 'IMPORT VHC Report'!$A:$C), )</f>
        <v/>
      </c>
      <c r="C9603" s="44"/>
      <c r="D9603" s="44"/>
      <c r="L9603" s="45"/>
      <c r="N9603" s="45"/>
    </row>
    <row r="9604">
      <c r="A9604" s="40" t="str">
        <f t="shared" si="1"/>
        <v/>
      </c>
      <c r="B9604" s="37" t="str">
        <f t="array" ref="B9604">iferror(xlookup($I9604, 'IMPORT VHC Report'!$E:$E, 'IMPORT VHC Report'!$A:$C), )</f>
        <v/>
      </c>
      <c r="C9604" s="44"/>
      <c r="D9604" s="44"/>
      <c r="L9604" s="45"/>
      <c r="N9604" s="45"/>
    </row>
    <row r="9605">
      <c r="A9605" s="40" t="str">
        <f t="shared" si="1"/>
        <v/>
      </c>
      <c r="B9605" s="37" t="str">
        <f t="array" ref="B9605">iferror(xlookup($I9605, 'IMPORT VHC Report'!$E:$E, 'IMPORT VHC Report'!$A:$C), )</f>
        <v/>
      </c>
      <c r="C9605" s="44"/>
      <c r="D9605" s="44"/>
      <c r="L9605" s="45"/>
      <c r="N9605" s="45"/>
    </row>
    <row r="9606">
      <c r="A9606" s="40" t="str">
        <f t="shared" si="1"/>
        <v/>
      </c>
      <c r="B9606" s="37" t="str">
        <f t="array" ref="B9606">iferror(xlookup($I9606, 'IMPORT VHC Report'!$E:$E, 'IMPORT VHC Report'!$A:$C), )</f>
        <v/>
      </c>
      <c r="C9606" s="44"/>
      <c r="D9606" s="44"/>
      <c r="L9606" s="45"/>
      <c r="N9606" s="45"/>
    </row>
    <row r="9607">
      <c r="A9607" s="40" t="str">
        <f t="shared" si="1"/>
        <v/>
      </c>
      <c r="B9607" s="37" t="str">
        <f t="array" ref="B9607">iferror(xlookup($I9607, 'IMPORT VHC Report'!$E:$E, 'IMPORT VHC Report'!$A:$C), )</f>
        <v/>
      </c>
      <c r="C9607" s="44"/>
      <c r="D9607" s="44"/>
      <c r="L9607" s="45"/>
      <c r="N9607" s="45"/>
    </row>
    <row r="9608">
      <c r="A9608" s="40" t="str">
        <f t="shared" si="1"/>
        <v/>
      </c>
      <c r="B9608" s="37" t="str">
        <f t="array" ref="B9608">iferror(xlookup($I9608, 'IMPORT VHC Report'!$E:$E, 'IMPORT VHC Report'!$A:$C), )</f>
        <v/>
      </c>
      <c r="C9608" s="44"/>
      <c r="D9608" s="44"/>
      <c r="L9608" s="45"/>
      <c r="N9608" s="45"/>
    </row>
    <row r="9609">
      <c r="A9609" s="40" t="str">
        <f t="shared" si="1"/>
        <v/>
      </c>
      <c r="B9609" s="37" t="str">
        <f t="array" ref="B9609">iferror(xlookup($I9609, 'IMPORT VHC Report'!$E:$E, 'IMPORT VHC Report'!$A:$C), )</f>
        <v/>
      </c>
      <c r="C9609" s="44"/>
      <c r="D9609" s="44"/>
      <c r="L9609" s="45"/>
      <c r="N9609" s="45"/>
    </row>
    <row r="9610">
      <c r="A9610" s="40" t="str">
        <f t="shared" si="1"/>
        <v/>
      </c>
      <c r="B9610" s="37" t="str">
        <f t="array" ref="B9610">iferror(xlookup($I9610, 'IMPORT VHC Report'!$E:$E, 'IMPORT VHC Report'!$A:$C), )</f>
        <v/>
      </c>
      <c r="C9610" s="44"/>
      <c r="D9610" s="44"/>
      <c r="L9610" s="45"/>
      <c r="N9610" s="45"/>
    </row>
    <row r="9611">
      <c r="A9611" s="40" t="str">
        <f t="shared" si="1"/>
        <v/>
      </c>
      <c r="B9611" s="37" t="str">
        <f t="array" ref="B9611">iferror(xlookup($I9611, 'IMPORT VHC Report'!$E:$E, 'IMPORT VHC Report'!$A:$C), )</f>
        <v/>
      </c>
      <c r="C9611" s="44"/>
      <c r="D9611" s="44"/>
      <c r="L9611" s="45"/>
      <c r="N9611" s="45"/>
    </row>
    <row r="9612">
      <c r="A9612" s="40" t="str">
        <f t="shared" si="1"/>
        <v/>
      </c>
      <c r="B9612" s="37" t="str">
        <f t="array" ref="B9612">iferror(xlookup($I9612, 'IMPORT VHC Report'!$E:$E, 'IMPORT VHC Report'!$A:$C), )</f>
        <v/>
      </c>
      <c r="C9612" s="44"/>
      <c r="D9612" s="44"/>
      <c r="L9612" s="45"/>
      <c r="N9612" s="45"/>
    </row>
    <row r="9613">
      <c r="A9613" s="40" t="str">
        <f t="shared" si="1"/>
        <v/>
      </c>
      <c r="B9613" s="37" t="str">
        <f t="array" ref="B9613">iferror(xlookup($I9613, 'IMPORT VHC Report'!$E:$E, 'IMPORT VHC Report'!$A:$C), )</f>
        <v/>
      </c>
      <c r="C9613" s="44"/>
      <c r="D9613" s="44"/>
      <c r="L9613" s="45"/>
      <c r="N9613" s="45"/>
    </row>
    <row r="9614">
      <c r="A9614" s="40" t="str">
        <f t="shared" si="1"/>
        <v/>
      </c>
      <c r="B9614" s="37" t="str">
        <f t="array" ref="B9614">iferror(xlookup($I9614, 'IMPORT VHC Report'!$E:$E, 'IMPORT VHC Report'!$A:$C), )</f>
        <v/>
      </c>
      <c r="C9614" s="44"/>
      <c r="D9614" s="44"/>
      <c r="L9614" s="45"/>
      <c r="N9614" s="45"/>
    </row>
    <row r="9615">
      <c r="A9615" s="40" t="str">
        <f t="shared" si="1"/>
        <v/>
      </c>
      <c r="B9615" s="37" t="str">
        <f t="array" ref="B9615">iferror(xlookup($I9615, 'IMPORT VHC Report'!$E:$E, 'IMPORT VHC Report'!$A:$C), )</f>
        <v/>
      </c>
      <c r="C9615" s="44"/>
      <c r="D9615" s="44"/>
      <c r="L9615" s="45"/>
      <c r="N9615" s="45"/>
    </row>
    <row r="9616">
      <c r="A9616" s="40" t="str">
        <f t="shared" si="1"/>
        <v/>
      </c>
      <c r="B9616" s="37" t="str">
        <f t="array" ref="B9616">iferror(xlookup($I9616, 'IMPORT VHC Report'!$E:$E, 'IMPORT VHC Report'!$A:$C), )</f>
        <v/>
      </c>
      <c r="C9616" s="44"/>
      <c r="D9616" s="44"/>
      <c r="L9616" s="45"/>
      <c r="N9616" s="45"/>
    </row>
    <row r="9617">
      <c r="A9617" s="40" t="str">
        <f t="shared" si="1"/>
        <v/>
      </c>
      <c r="B9617" s="37" t="str">
        <f t="array" ref="B9617">iferror(xlookup($I9617, 'IMPORT VHC Report'!$E:$E, 'IMPORT VHC Report'!$A:$C), )</f>
        <v/>
      </c>
      <c r="C9617" s="44"/>
      <c r="D9617" s="44"/>
      <c r="L9617" s="45"/>
      <c r="N9617" s="45"/>
    </row>
    <row r="9618">
      <c r="A9618" s="40" t="str">
        <f t="shared" si="1"/>
        <v/>
      </c>
      <c r="B9618" s="37" t="str">
        <f t="array" ref="B9618">iferror(xlookup($I9618, 'IMPORT VHC Report'!$E:$E, 'IMPORT VHC Report'!$A:$C), )</f>
        <v/>
      </c>
      <c r="C9618" s="44"/>
      <c r="D9618" s="44"/>
      <c r="L9618" s="45"/>
      <c r="N9618" s="45"/>
    </row>
    <row r="9619">
      <c r="A9619" s="40" t="str">
        <f t="shared" si="1"/>
        <v/>
      </c>
      <c r="B9619" s="37" t="str">
        <f t="array" ref="B9619">iferror(xlookup($I9619, 'IMPORT VHC Report'!$E:$E, 'IMPORT VHC Report'!$A:$C), )</f>
        <v/>
      </c>
      <c r="C9619" s="44"/>
      <c r="D9619" s="44"/>
      <c r="L9619" s="45"/>
      <c r="N9619" s="45"/>
    </row>
    <row r="9620">
      <c r="A9620" s="40">
        <f t="shared" si="1"/>
        <v>46006</v>
      </c>
      <c r="B9620" s="37" t="str">
        <f t="array" ref="B9620">iferror(xlookup($I9620, 'IMPORT VHC Report'!$E:$E, 'IMPORT VHC Report'!$A:$C), )</f>
        <v/>
      </c>
      <c r="C9620" s="44"/>
      <c r="D9620" s="44"/>
      <c r="E9620" s="46" t="s">
        <v>812</v>
      </c>
      <c r="F9620" s="46" t="s">
        <v>790</v>
      </c>
      <c r="G9620" s="46">
        <v>1.0548602304527E13</v>
      </c>
      <c r="H9620" s="46" t="s">
        <v>70</v>
      </c>
      <c r="I9620" s="46" t="s">
        <v>71</v>
      </c>
      <c r="J9620" s="46" t="s">
        <v>791</v>
      </c>
      <c r="K9620" s="46" t="s">
        <v>63</v>
      </c>
      <c r="L9620" s="45">
        <v>46012.916666666664</v>
      </c>
      <c r="M9620" s="46" t="s">
        <v>123</v>
      </c>
      <c r="N9620" s="45">
        <v>46013.291666666664</v>
      </c>
      <c r="O9620" s="46" t="s">
        <v>123</v>
      </c>
      <c r="P9620" s="46">
        <v>32400.0</v>
      </c>
    </row>
    <row r="9621">
      <c r="A9621" s="40" t="str">
        <f t="shared" si="1"/>
        <v/>
      </c>
      <c r="B9621" s="37" t="str">
        <f t="array" ref="B9621">iferror(xlookup($I9621, 'IMPORT VHC Report'!$E:$E, 'IMPORT VHC Report'!$A:$C), )</f>
        <v/>
      </c>
      <c r="C9621" s="44"/>
      <c r="D9621" s="44"/>
      <c r="L9621" s="45"/>
      <c r="N9621" s="45"/>
    </row>
    <row r="9622">
      <c r="A9622" s="40" t="str">
        <f t="shared" si="1"/>
        <v/>
      </c>
      <c r="B9622" s="37" t="str">
        <f t="array" ref="B9622">iferror(xlookup($I9622, 'IMPORT VHC Report'!$E:$E, 'IMPORT VHC Report'!$A:$C), )</f>
        <v/>
      </c>
      <c r="C9622" s="44"/>
      <c r="D9622" s="44"/>
      <c r="L9622" s="45"/>
      <c r="N9622" s="45"/>
    </row>
    <row r="9623">
      <c r="A9623" s="40" t="str">
        <f t="shared" si="1"/>
        <v/>
      </c>
      <c r="B9623" s="37" t="str">
        <f t="array" ref="B9623">iferror(xlookup($I9623, 'IMPORT VHC Report'!$E:$E, 'IMPORT VHC Report'!$A:$C), )</f>
        <v/>
      </c>
      <c r="C9623" s="44"/>
      <c r="D9623" s="44"/>
      <c r="L9623" s="45"/>
      <c r="N9623" s="45"/>
    </row>
    <row r="9624">
      <c r="A9624" s="40" t="str">
        <f t="shared" si="1"/>
        <v/>
      </c>
      <c r="B9624" s="37" t="str">
        <f t="array" ref="B9624">iferror(xlookup($I9624, 'IMPORT VHC Report'!$E:$E, 'IMPORT VHC Report'!$A:$C), )</f>
        <v/>
      </c>
      <c r="C9624" s="44"/>
      <c r="D9624" s="44"/>
      <c r="L9624" s="45"/>
      <c r="N9624" s="45"/>
    </row>
    <row r="9625">
      <c r="A9625" s="40" t="str">
        <f t="shared" si="1"/>
        <v/>
      </c>
      <c r="B9625" s="37" t="str">
        <f t="array" ref="B9625">iferror(xlookup($I9625, 'IMPORT VHC Report'!$E:$E, 'IMPORT VHC Report'!$A:$C), )</f>
        <v/>
      </c>
      <c r="C9625" s="44"/>
      <c r="D9625" s="44"/>
      <c r="L9625" s="45"/>
      <c r="N9625" s="45"/>
    </row>
    <row r="9626">
      <c r="A9626" s="40" t="str">
        <f t="shared" si="1"/>
        <v/>
      </c>
      <c r="B9626" s="37" t="str">
        <f t="array" ref="B9626">iferror(xlookup($I9626, 'IMPORT VHC Report'!$E:$E, 'IMPORT VHC Report'!$A:$C), )</f>
        <v/>
      </c>
      <c r="C9626" s="44"/>
      <c r="D9626" s="44"/>
      <c r="L9626" s="45"/>
      <c r="N9626" s="45"/>
    </row>
    <row r="9627">
      <c r="A9627" s="40" t="str">
        <f t="shared" si="1"/>
        <v/>
      </c>
      <c r="B9627" s="37" t="str">
        <f t="array" ref="B9627">iferror(xlookup($I9627, 'IMPORT VHC Report'!$E:$E, 'IMPORT VHC Report'!$A:$C), )</f>
        <v/>
      </c>
      <c r="C9627" s="44"/>
      <c r="D9627" s="44"/>
      <c r="L9627" s="45"/>
      <c r="N9627" s="45"/>
    </row>
    <row r="9628">
      <c r="A9628" s="40" t="str">
        <f t="shared" si="1"/>
        <v/>
      </c>
      <c r="B9628" s="37" t="str">
        <f t="array" ref="B9628">iferror(xlookup($I9628, 'IMPORT VHC Report'!$E:$E, 'IMPORT VHC Report'!$A:$C), )</f>
        <v/>
      </c>
      <c r="C9628" s="44"/>
      <c r="D9628" s="44"/>
      <c r="L9628" s="45"/>
      <c r="N9628" s="45"/>
    </row>
    <row r="9629">
      <c r="A9629" s="40" t="str">
        <f t="shared" si="1"/>
        <v/>
      </c>
      <c r="B9629" s="37" t="str">
        <f t="array" ref="B9629">iferror(xlookup($I9629, 'IMPORT VHC Report'!$E:$E, 'IMPORT VHC Report'!$A:$C), )</f>
        <v/>
      </c>
      <c r="C9629" s="44"/>
      <c r="D9629" s="44"/>
      <c r="L9629" s="45"/>
      <c r="N9629" s="45"/>
    </row>
    <row r="9630">
      <c r="A9630" s="40" t="str">
        <f t="shared" si="1"/>
        <v/>
      </c>
      <c r="B9630" s="37" t="str">
        <f t="array" ref="B9630">iferror(xlookup($I9630, 'IMPORT VHC Report'!$E:$E, 'IMPORT VHC Report'!$A:$C), )</f>
        <v/>
      </c>
      <c r="C9630" s="44"/>
      <c r="D9630" s="44"/>
      <c r="L9630" s="45"/>
      <c r="N9630" s="45"/>
    </row>
    <row r="9631">
      <c r="A9631" s="40" t="str">
        <f t="shared" si="1"/>
        <v/>
      </c>
      <c r="B9631" s="37" t="str">
        <f t="array" ref="B9631">iferror(xlookup($I9631, 'IMPORT VHC Report'!$E:$E, 'IMPORT VHC Report'!$A:$C), )</f>
        <v/>
      </c>
      <c r="C9631" s="44"/>
      <c r="D9631" s="44"/>
      <c r="L9631" s="45"/>
      <c r="N9631" s="45"/>
    </row>
    <row r="9632">
      <c r="A9632" s="40" t="str">
        <f t="shared" si="1"/>
        <v/>
      </c>
      <c r="B9632" s="37" t="str">
        <f t="array" ref="B9632">iferror(xlookup($I9632, 'IMPORT VHC Report'!$E:$E, 'IMPORT VHC Report'!$A:$C), )</f>
        <v/>
      </c>
      <c r="C9632" s="44"/>
      <c r="D9632" s="44"/>
      <c r="L9632" s="45"/>
      <c r="N9632" s="45"/>
    </row>
    <row r="9633">
      <c r="A9633" s="40" t="str">
        <f t="shared" si="1"/>
        <v/>
      </c>
      <c r="B9633" s="37" t="str">
        <f t="array" ref="B9633">iferror(xlookup($I9633, 'IMPORT VHC Report'!$E:$E, 'IMPORT VHC Report'!$A:$C), )</f>
        <v/>
      </c>
      <c r="C9633" s="44"/>
      <c r="D9633" s="44"/>
      <c r="L9633" s="45"/>
      <c r="N9633" s="45"/>
    </row>
    <row r="9634">
      <c r="A9634" s="40" t="str">
        <f t="shared" si="1"/>
        <v/>
      </c>
      <c r="B9634" s="37" t="str">
        <f t="array" ref="B9634">iferror(xlookup($I9634, 'IMPORT VHC Report'!$E:$E, 'IMPORT VHC Report'!$A:$C), )</f>
        <v/>
      </c>
      <c r="C9634" s="44"/>
      <c r="D9634" s="44"/>
      <c r="L9634" s="45"/>
      <c r="N9634" s="45"/>
    </row>
    <row r="9635">
      <c r="A9635" s="40" t="str">
        <f t="shared" si="1"/>
        <v/>
      </c>
      <c r="B9635" s="37" t="str">
        <f t="array" ref="B9635">iferror(xlookup($I9635, 'IMPORT VHC Report'!$E:$E, 'IMPORT VHC Report'!$A:$C), )</f>
        <v/>
      </c>
      <c r="C9635" s="44"/>
      <c r="D9635" s="44"/>
      <c r="L9635" s="45"/>
      <c r="N9635" s="45"/>
    </row>
    <row r="9636">
      <c r="A9636" s="40" t="str">
        <f t="shared" si="1"/>
        <v/>
      </c>
      <c r="B9636" s="37" t="str">
        <f t="array" ref="B9636">iferror(xlookup($I9636, 'IMPORT VHC Report'!$E:$E, 'IMPORT VHC Report'!$A:$C), )</f>
        <v/>
      </c>
      <c r="C9636" s="44"/>
      <c r="D9636" s="44"/>
      <c r="L9636" s="45"/>
      <c r="N9636" s="45"/>
    </row>
    <row r="9637">
      <c r="A9637" s="40" t="str">
        <f t="shared" si="1"/>
        <v/>
      </c>
      <c r="B9637" s="37" t="str">
        <f t="array" ref="B9637">iferror(xlookup($I9637, 'IMPORT VHC Report'!$E:$E, 'IMPORT VHC Report'!$A:$C), )</f>
        <v/>
      </c>
      <c r="C9637" s="44"/>
      <c r="D9637" s="44"/>
      <c r="L9637" s="45"/>
      <c r="N9637" s="45"/>
    </row>
    <row r="9638">
      <c r="A9638" s="40" t="str">
        <f t="shared" si="1"/>
        <v/>
      </c>
      <c r="B9638" s="37" t="str">
        <f t="array" ref="B9638">iferror(xlookup($I9638, 'IMPORT VHC Report'!$E:$E, 'IMPORT VHC Report'!$A:$C), )</f>
        <v/>
      </c>
      <c r="C9638" s="44"/>
      <c r="D9638" s="44"/>
      <c r="L9638" s="45"/>
      <c r="N9638" s="45"/>
    </row>
    <row r="9639">
      <c r="A9639" s="40" t="str">
        <f t="shared" si="1"/>
        <v/>
      </c>
      <c r="B9639" s="37" t="str">
        <f t="array" ref="B9639">iferror(xlookup($I9639, 'IMPORT VHC Report'!$E:$E, 'IMPORT VHC Report'!$A:$C), )</f>
        <v/>
      </c>
      <c r="C9639" s="44"/>
      <c r="D9639" s="44"/>
      <c r="L9639" s="45"/>
      <c r="N9639" s="45"/>
    </row>
    <row r="9640">
      <c r="A9640" s="40" t="str">
        <f t="shared" si="1"/>
        <v/>
      </c>
      <c r="B9640" s="37" t="str">
        <f t="array" ref="B9640">iferror(xlookup($I9640, 'IMPORT VHC Report'!$E:$E, 'IMPORT VHC Report'!$A:$C), )</f>
        <v/>
      </c>
      <c r="C9640" s="44"/>
      <c r="D9640" s="44"/>
      <c r="L9640" s="45"/>
      <c r="N9640" s="45"/>
    </row>
    <row r="9641">
      <c r="A9641" s="40" t="str">
        <f t="shared" si="1"/>
        <v/>
      </c>
      <c r="B9641" s="37" t="str">
        <f t="array" ref="B9641">iferror(xlookup($I9641, 'IMPORT VHC Report'!$E:$E, 'IMPORT VHC Report'!$A:$C), )</f>
        <v/>
      </c>
      <c r="C9641" s="44"/>
      <c r="D9641" s="44"/>
      <c r="L9641" s="45"/>
      <c r="N9641" s="45"/>
    </row>
    <row r="9642">
      <c r="A9642" s="40">
        <f t="shared" si="1"/>
        <v>46006</v>
      </c>
      <c r="B9642" s="37" t="str">
        <f t="array" ref="B9642">iferror(xlookup($I9642, 'IMPORT VHC Report'!$E:$E, 'IMPORT VHC Report'!$A:$C), )</f>
        <v/>
      </c>
      <c r="C9642" s="44"/>
      <c r="D9642" s="44"/>
      <c r="E9642" s="46" t="s">
        <v>899</v>
      </c>
      <c r="F9642" s="46" t="s">
        <v>880</v>
      </c>
      <c r="G9642" s="46">
        <v>5.359185373455E12</v>
      </c>
      <c r="H9642" s="46" t="s">
        <v>67</v>
      </c>
      <c r="I9642" s="46" t="s">
        <v>68</v>
      </c>
      <c r="J9642" s="46" t="s">
        <v>791</v>
      </c>
      <c r="K9642" s="46" t="s">
        <v>63</v>
      </c>
      <c r="L9642" s="45">
        <v>46012.916666666664</v>
      </c>
      <c r="M9642" s="46" t="s">
        <v>123</v>
      </c>
      <c r="N9642" s="45">
        <v>46013.291666666664</v>
      </c>
      <c r="O9642" s="46" t="s">
        <v>123</v>
      </c>
      <c r="P9642" s="46">
        <v>32400.0</v>
      </c>
    </row>
    <row r="9643">
      <c r="A9643" s="40" t="str">
        <f t="shared" si="1"/>
        <v/>
      </c>
      <c r="B9643" s="37" t="str">
        <f t="array" ref="B9643">iferror(xlookup($I9643, 'IMPORT VHC Report'!$E:$E, 'IMPORT VHC Report'!$A:$C), )</f>
        <v/>
      </c>
      <c r="C9643" s="44"/>
      <c r="D9643" s="44"/>
      <c r="L9643" s="45"/>
      <c r="N9643" s="45"/>
    </row>
    <row r="9644">
      <c r="A9644" s="40" t="str">
        <f t="shared" si="1"/>
        <v/>
      </c>
      <c r="B9644" s="37" t="str">
        <f t="array" ref="B9644">iferror(xlookup($I9644, 'IMPORT VHC Report'!$E:$E, 'IMPORT VHC Report'!$A:$C), )</f>
        <v/>
      </c>
      <c r="C9644" s="44"/>
      <c r="D9644" s="44"/>
      <c r="L9644" s="45"/>
      <c r="N9644" s="45"/>
    </row>
    <row r="9645">
      <c r="A9645" s="40" t="str">
        <f t="shared" si="1"/>
        <v/>
      </c>
      <c r="B9645" s="37" t="str">
        <f t="array" ref="B9645">iferror(xlookup($I9645, 'IMPORT VHC Report'!$E:$E, 'IMPORT VHC Report'!$A:$C), )</f>
        <v/>
      </c>
      <c r="C9645" s="44"/>
      <c r="D9645" s="44"/>
      <c r="L9645" s="45"/>
      <c r="N9645" s="45"/>
    </row>
    <row r="9646">
      <c r="A9646" s="40" t="str">
        <f t="shared" si="1"/>
        <v/>
      </c>
      <c r="B9646" s="37" t="str">
        <f t="array" ref="B9646">iferror(xlookup($I9646, 'IMPORT VHC Report'!$E:$E, 'IMPORT VHC Report'!$A:$C), )</f>
        <v/>
      </c>
      <c r="C9646" s="44"/>
      <c r="D9646" s="44"/>
      <c r="L9646" s="45"/>
      <c r="N9646" s="45"/>
    </row>
    <row r="9647">
      <c r="A9647" s="40" t="str">
        <f t="shared" si="1"/>
        <v/>
      </c>
      <c r="B9647" s="37" t="str">
        <f t="array" ref="B9647">iferror(xlookup($I9647, 'IMPORT VHC Report'!$E:$E, 'IMPORT VHC Report'!$A:$C), )</f>
        <v/>
      </c>
      <c r="C9647" s="44"/>
      <c r="D9647" s="44"/>
      <c r="L9647" s="45"/>
      <c r="N9647" s="45"/>
    </row>
    <row r="9648">
      <c r="A9648" s="40" t="str">
        <f t="shared" si="1"/>
        <v/>
      </c>
      <c r="B9648" s="37" t="str">
        <f t="array" ref="B9648">iferror(xlookup($I9648, 'IMPORT VHC Report'!$E:$E, 'IMPORT VHC Report'!$A:$C), )</f>
        <v/>
      </c>
      <c r="C9648" s="44"/>
      <c r="D9648" s="44"/>
      <c r="L9648" s="45"/>
      <c r="N9648" s="45"/>
    </row>
    <row r="9649">
      <c r="A9649" s="40" t="str">
        <f t="shared" si="1"/>
        <v/>
      </c>
      <c r="B9649" s="37" t="str">
        <f t="array" ref="B9649">iferror(xlookup($I9649, 'IMPORT VHC Report'!$E:$E, 'IMPORT VHC Report'!$A:$C), )</f>
        <v/>
      </c>
      <c r="C9649" s="44"/>
      <c r="D9649" s="44"/>
      <c r="L9649" s="45"/>
      <c r="N9649" s="45"/>
    </row>
    <row r="9650">
      <c r="A9650" s="40" t="str">
        <f t="shared" si="1"/>
        <v/>
      </c>
      <c r="B9650" s="37" t="str">
        <f t="array" ref="B9650">iferror(xlookup($I9650, 'IMPORT VHC Report'!$E:$E, 'IMPORT VHC Report'!$A:$C), )</f>
        <v/>
      </c>
      <c r="C9650" s="44"/>
      <c r="D9650" s="44"/>
      <c r="L9650" s="45"/>
      <c r="N9650" s="45"/>
    </row>
    <row r="9651">
      <c r="A9651" s="40" t="str">
        <f t="shared" si="1"/>
        <v/>
      </c>
      <c r="B9651" s="37" t="str">
        <f t="array" ref="B9651">iferror(xlookup($I9651, 'IMPORT VHC Report'!$E:$E, 'IMPORT VHC Report'!$A:$C), )</f>
        <v/>
      </c>
      <c r="C9651" s="44"/>
      <c r="D9651" s="44"/>
      <c r="L9651" s="45"/>
      <c r="N9651" s="45"/>
    </row>
    <row r="9652">
      <c r="A9652" s="40" t="str">
        <f t="shared" si="1"/>
        <v/>
      </c>
      <c r="B9652" s="37" t="str">
        <f t="array" ref="B9652">iferror(xlookup($I9652, 'IMPORT VHC Report'!$E:$E, 'IMPORT VHC Report'!$A:$C), )</f>
        <v/>
      </c>
      <c r="C9652" s="44"/>
      <c r="D9652" s="44"/>
      <c r="L9652" s="45"/>
      <c r="N9652" s="45"/>
    </row>
    <row r="9653">
      <c r="A9653" s="40" t="str">
        <f t="shared" si="1"/>
        <v/>
      </c>
      <c r="B9653" s="37" t="str">
        <f t="array" ref="B9653">iferror(xlookup($I9653, 'IMPORT VHC Report'!$E:$E, 'IMPORT VHC Report'!$A:$C), )</f>
        <v/>
      </c>
      <c r="C9653" s="44"/>
      <c r="D9653" s="44"/>
      <c r="L9653" s="45"/>
      <c r="N9653" s="45"/>
    </row>
    <row r="9654">
      <c r="A9654" s="40" t="str">
        <f t="shared" si="1"/>
        <v/>
      </c>
      <c r="B9654" s="37" t="str">
        <f t="array" ref="B9654">iferror(xlookup($I9654, 'IMPORT VHC Report'!$E:$E, 'IMPORT VHC Report'!$A:$C), )</f>
        <v/>
      </c>
      <c r="C9654" s="44"/>
      <c r="D9654" s="44"/>
      <c r="L9654" s="45"/>
      <c r="N9654" s="45"/>
    </row>
    <row r="9655">
      <c r="A9655" s="40" t="str">
        <f t="shared" si="1"/>
        <v/>
      </c>
      <c r="B9655" s="37" t="str">
        <f t="array" ref="B9655">iferror(xlookup($I9655, 'IMPORT VHC Report'!$E:$E, 'IMPORT VHC Report'!$A:$C), )</f>
        <v/>
      </c>
      <c r="C9655" s="44"/>
      <c r="D9655" s="44"/>
      <c r="L9655" s="45"/>
      <c r="N9655" s="45"/>
    </row>
    <row r="9656">
      <c r="A9656" s="40" t="str">
        <f t="shared" si="1"/>
        <v/>
      </c>
      <c r="B9656" s="37" t="str">
        <f t="array" ref="B9656">iferror(xlookup($I9656, 'IMPORT VHC Report'!$E:$E, 'IMPORT VHC Report'!$A:$C), )</f>
        <v/>
      </c>
      <c r="C9656" s="44"/>
      <c r="D9656" s="44"/>
      <c r="L9656" s="45"/>
      <c r="N9656" s="45"/>
    </row>
    <row r="9657">
      <c r="A9657" s="40" t="str">
        <f t="shared" si="1"/>
        <v/>
      </c>
      <c r="B9657" s="37" t="str">
        <f t="array" ref="B9657">iferror(xlookup($I9657, 'IMPORT VHC Report'!$E:$E, 'IMPORT VHC Report'!$A:$C), )</f>
        <v/>
      </c>
      <c r="C9657" s="44"/>
      <c r="D9657" s="44"/>
      <c r="L9657" s="45"/>
      <c r="N9657" s="45"/>
    </row>
    <row r="9658">
      <c r="A9658" s="40" t="str">
        <f t="shared" si="1"/>
        <v/>
      </c>
      <c r="B9658" s="37" t="str">
        <f t="array" ref="B9658">iferror(xlookup($I9658, 'IMPORT VHC Report'!$E:$E, 'IMPORT VHC Report'!$A:$C), )</f>
        <v/>
      </c>
      <c r="C9658" s="44"/>
      <c r="D9658" s="44"/>
      <c r="L9658" s="45"/>
      <c r="N9658" s="45"/>
    </row>
    <row r="9659">
      <c r="A9659" s="40" t="str">
        <f t="shared" si="1"/>
        <v/>
      </c>
      <c r="B9659" s="37" t="str">
        <f t="array" ref="B9659">iferror(xlookup($I9659, 'IMPORT VHC Report'!$E:$E, 'IMPORT VHC Report'!$A:$C), )</f>
        <v/>
      </c>
      <c r="C9659" s="44"/>
      <c r="D9659" s="44"/>
      <c r="L9659" s="45"/>
      <c r="N9659" s="45"/>
    </row>
    <row r="9660">
      <c r="A9660" s="40" t="str">
        <f t="shared" si="1"/>
        <v/>
      </c>
      <c r="B9660" s="37" t="str">
        <f t="array" ref="B9660">iferror(xlookup($I9660, 'IMPORT VHC Report'!$E:$E, 'IMPORT VHC Report'!$A:$C), )</f>
        <v/>
      </c>
      <c r="C9660" s="44"/>
      <c r="D9660" s="44"/>
      <c r="L9660" s="45"/>
      <c r="N9660" s="45"/>
    </row>
    <row r="9661">
      <c r="A9661" s="40" t="str">
        <f t="shared" si="1"/>
        <v/>
      </c>
      <c r="B9661" s="37" t="str">
        <f t="array" ref="B9661">iferror(xlookup($I9661, 'IMPORT VHC Report'!$E:$E, 'IMPORT VHC Report'!$A:$C), )</f>
        <v/>
      </c>
      <c r="C9661" s="44"/>
      <c r="D9661" s="44"/>
      <c r="L9661" s="45"/>
      <c r="N9661" s="45"/>
    </row>
    <row r="9662">
      <c r="A9662" s="40" t="str">
        <f t="shared" si="1"/>
        <v/>
      </c>
      <c r="B9662" s="37" t="str">
        <f t="array" ref="B9662">iferror(xlookup($I9662, 'IMPORT VHC Report'!$E:$E, 'IMPORT VHC Report'!$A:$C), )</f>
        <v/>
      </c>
      <c r="C9662" s="44"/>
      <c r="D9662" s="44"/>
      <c r="L9662" s="45"/>
      <c r="N9662" s="45"/>
    </row>
    <row r="9663">
      <c r="A9663" s="40" t="str">
        <f t="shared" si="1"/>
        <v/>
      </c>
      <c r="B9663" s="37" t="str">
        <f t="array" ref="B9663">iferror(xlookup($I9663, 'IMPORT VHC Report'!$E:$E, 'IMPORT VHC Report'!$A:$C), )</f>
        <v/>
      </c>
      <c r="C9663" s="44"/>
      <c r="D9663" s="44"/>
      <c r="L9663" s="45"/>
      <c r="N9663" s="45"/>
    </row>
    <row r="9664">
      <c r="A9664" s="40" t="str">
        <f t="shared" si="1"/>
        <v/>
      </c>
      <c r="B9664" s="37" t="str">
        <f t="array" ref="B9664">iferror(xlookup($I9664, 'IMPORT VHC Report'!$E:$E, 'IMPORT VHC Report'!$A:$C), )</f>
        <v/>
      </c>
      <c r="C9664" s="44"/>
      <c r="D9664" s="44"/>
      <c r="L9664" s="45"/>
      <c r="N9664" s="45"/>
    </row>
    <row r="9665">
      <c r="A9665" s="40" t="str">
        <f t="shared" si="1"/>
        <v/>
      </c>
      <c r="B9665" s="37" t="str">
        <f t="array" ref="B9665">iferror(xlookup($I9665, 'IMPORT VHC Report'!$E:$E, 'IMPORT VHC Report'!$A:$C), )</f>
        <v/>
      </c>
      <c r="C9665" s="44"/>
      <c r="D9665" s="44"/>
      <c r="L9665" s="45"/>
      <c r="N9665" s="45"/>
    </row>
    <row r="9666">
      <c r="A9666" s="40" t="str">
        <f t="shared" si="1"/>
        <v/>
      </c>
      <c r="B9666" s="37" t="str">
        <f t="array" ref="B9666">iferror(xlookup($I9666, 'IMPORT VHC Report'!$E:$E, 'IMPORT VHC Report'!$A:$C), )</f>
        <v/>
      </c>
      <c r="C9666" s="44"/>
      <c r="D9666" s="44"/>
      <c r="L9666" s="45"/>
      <c r="N9666" s="45"/>
    </row>
    <row r="9667">
      <c r="A9667" s="40" t="str">
        <f t="shared" si="1"/>
        <v/>
      </c>
      <c r="B9667" s="37" t="str">
        <f t="array" ref="B9667">iferror(xlookup($I9667, 'IMPORT VHC Report'!$E:$E, 'IMPORT VHC Report'!$A:$C), )</f>
        <v/>
      </c>
      <c r="C9667" s="44"/>
      <c r="D9667" s="44"/>
      <c r="L9667" s="45"/>
      <c r="N9667" s="45"/>
    </row>
    <row r="9668">
      <c r="A9668" s="40" t="str">
        <f t="shared" si="1"/>
        <v/>
      </c>
      <c r="B9668" s="37" t="str">
        <f t="array" ref="B9668">iferror(xlookup($I9668, 'IMPORT VHC Report'!$E:$E, 'IMPORT VHC Report'!$A:$C), )</f>
        <v/>
      </c>
      <c r="C9668" s="44"/>
      <c r="D9668" s="44"/>
      <c r="L9668" s="45"/>
      <c r="N9668" s="45"/>
    </row>
    <row r="9669">
      <c r="A9669" s="40" t="str">
        <f t="shared" si="1"/>
        <v/>
      </c>
      <c r="B9669" s="37" t="str">
        <f t="array" ref="B9669">iferror(xlookup($I9669, 'IMPORT VHC Report'!$E:$E, 'IMPORT VHC Report'!$A:$C), )</f>
        <v/>
      </c>
      <c r="C9669" s="44"/>
      <c r="D9669" s="44"/>
      <c r="L9669" s="45"/>
      <c r="N9669" s="45"/>
    </row>
    <row r="9670">
      <c r="A9670" s="40" t="str">
        <f t="shared" si="1"/>
        <v/>
      </c>
      <c r="B9670" s="37" t="str">
        <f t="array" ref="B9670">iferror(xlookup($I9670, 'IMPORT VHC Report'!$E:$E, 'IMPORT VHC Report'!$A:$C), )</f>
        <v/>
      </c>
      <c r="C9670" s="44"/>
      <c r="D9670" s="44"/>
      <c r="L9670" s="45"/>
      <c r="N9670" s="45"/>
    </row>
    <row r="9671">
      <c r="A9671" s="40" t="str">
        <f t="shared" si="1"/>
        <v/>
      </c>
      <c r="B9671" s="37" t="str">
        <f t="array" ref="B9671">iferror(xlookup($I9671, 'IMPORT VHC Report'!$E:$E, 'IMPORT VHC Report'!$A:$C), )</f>
        <v/>
      </c>
      <c r="C9671" s="44"/>
      <c r="D9671" s="44"/>
      <c r="L9671" s="45"/>
      <c r="N9671" s="45"/>
    </row>
    <row r="9672">
      <c r="A9672" s="40" t="str">
        <f t="shared" si="1"/>
        <v/>
      </c>
      <c r="B9672" s="37" t="str">
        <f t="array" ref="B9672">iferror(xlookup($I9672, 'IMPORT VHC Report'!$E:$E, 'IMPORT VHC Report'!$A:$C), )</f>
        <v/>
      </c>
      <c r="C9672" s="44"/>
      <c r="D9672" s="44"/>
      <c r="L9672" s="45"/>
      <c r="N9672" s="45"/>
    </row>
    <row r="9673">
      <c r="A9673" s="40" t="str">
        <f t="shared" si="1"/>
        <v/>
      </c>
      <c r="B9673" s="37" t="str">
        <f t="array" ref="B9673">iferror(xlookup($I9673, 'IMPORT VHC Report'!$E:$E, 'IMPORT VHC Report'!$A:$C), )</f>
        <v/>
      </c>
      <c r="C9673" s="44"/>
      <c r="D9673" s="44"/>
      <c r="L9673" s="45"/>
      <c r="N9673" s="45"/>
    </row>
    <row r="9674">
      <c r="A9674" s="40" t="str">
        <f t="shared" si="1"/>
        <v/>
      </c>
      <c r="B9674" s="37" t="str">
        <f t="array" ref="B9674">iferror(xlookup($I9674, 'IMPORT VHC Report'!$E:$E, 'IMPORT VHC Report'!$A:$C), )</f>
        <v/>
      </c>
      <c r="C9674" s="44"/>
      <c r="D9674" s="44"/>
      <c r="L9674" s="45"/>
      <c r="N9674" s="45"/>
    </row>
    <row r="9675">
      <c r="A9675" s="40" t="str">
        <f t="shared" si="1"/>
        <v/>
      </c>
      <c r="B9675" s="37" t="str">
        <f t="array" ref="B9675">iferror(xlookup($I9675, 'IMPORT VHC Report'!$E:$E, 'IMPORT VHC Report'!$A:$C), )</f>
        <v/>
      </c>
      <c r="C9675" s="44"/>
      <c r="D9675" s="44"/>
      <c r="L9675" s="45"/>
      <c r="N9675" s="45"/>
    </row>
    <row r="9676">
      <c r="A9676" s="40" t="str">
        <f t="shared" si="1"/>
        <v/>
      </c>
      <c r="B9676" s="37" t="str">
        <f t="array" ref="B9676">iferror(xlookup($I9676, 'IMPORT VHC Report'!$E:$E, 'IMPORT VHC Report'!$A:$C), )</f>
        <v/>
      </c>
      <c r="C9676" s="44"/>
      <c r="D9676" s="44"/>
      <c r="L9676" s="45"/>
      <c r="N9676" s="45"/>
    </row>
    <row r="9677">
      <c r="A9677" s="40" t="str">
        <f t="shared" si="1"/>
        <v/>
      </c>
      <c r="B9677" s="37" t="str">
        <f t="array" ref="B9677">iferror(xlookup($I9677, 'IMPORT VHC Report'!$E:$E, 'IMPORT VHC Report'!$A:$C), )</f>
        <v/>
      </c>
      <c r="C9677" s="44"/>
      <c r="D9677" s="44"/>
      <c r="L9677" s="45"/>
      <c r="N9677" s="45"/>
    </row>
    <row r="9678">
      <c r="A9678" s="40" t="str">
        <f t="shared" si="1"/>
        <v/>
      </c>
      <c r="B9678" s="37" t="str">
        <f t="array" ref="B9678">iferror(xlookup($I9678, 'IMPORT VHC Report'!$E:$E, 'IMPORT VHC Report'!$A:$C), )</f>
        <v/>
      </c>
      <c r="C9678" s="44"/>
      <c r="D9678" s="44"/>
      <c r="L9678" s="45"/>
      <c r="N9678" s="45"/>
    </row>
    <row r="9679">
      <c r="A9679" s="40" t="str">
        <f t="shared" si="1"/>
        <v/>
      </c>
      <c r="B9679" s="37" t="str">
        <f t="array" ref="B9679">iferror(xlookup($I9679, 'IMPORT VHC Report'!$E:$E, 'IMPORT VHC Report'!$A:$C), )</f>
        <v/>
      </c>
      <c r="C9679" s="44"/>
      <c r="D9679" s="44"/>
      <c r="L9679" s="45"/>
      <c r="N9679" s="45"/>
    </row>
    <row r="9680">
      <c r="A9680" s="40" t="str">
        <f t="shared" si="1"/>
        <v/>
      </c>
      <c r="B9680" s="37" t="str">
        <f t="array" ref="B9680">iferror(xlookup($I9680, 'IMPORT VHC Report'!$E:$E, 'IMPORT VHC Report'!$A:$C), )</f>
        <v/>
      </c>
      <c r="C9680" s="44"/>
      <c r="D9680" s="44"/>
      <c r="L9680" s="45"/>
      <c r="N9680" s="45"/>
    </row>
    <row r="9681">
      <c r="A9681" s="40" t="str">
        <f t="shared" si="1"/>
        <v/>
      </c>
      <c r="B9681" s="37" t="str">
        <f t="array" ref="B9681">iferror(xlookup($I9681, 'IMPORT VHC Report'!$E:$E, 'IMPORT VHC Report'!$A:$C), )</f>
        <v/>
      </c>
      <c r="C9681" s="44"/>
      <c r="D9681" s="44"/>
      <c r="L9681" s="45"/>
      <c r="N9681" s="45"/>
    </row>
    <row r="9682">
      <c r="A9682" s="40" t="str">
        <f t="shared" si="1"/>
        <v/>
      </c>
      <c r="B9682" s="37" t="str">
        <f t="array" ref="B9682">iferror(xlookup($I9682, 'IMPORT VHC Report'!$E:$E, 'IMPORT VHC Report'!$A:$C), )</f>
        <v/>
      </c>
      <c r="C9682" s="44"/>
      <c r="D9682" s="44"/>
      <c r="L9682" s="45"/>
      <c r="N9682" s="45"/>
    </row>
    <row r="9683">
      <c r="A9683" s="40" t="str">
        <f t="shared" si="1"/>
        <v/>
      </c>
      <c r="B9683" s="37" t="str">
        <f t="array" ref="B9683">iferror(xlookup($I9683, 'IMPORT VHC Report'!$E:$E, 'IMPORT VHC Report'!$A:$C), )</f>
        <v/>
      </c>
      <c r="C9683" s="44"/>
      <c r="D9683" s="44"/>
      <c r="L9683" s="45"/>
      <c r="N9683" s="45"/>
    </row>
    <row r="9684">
      <c r="A9684" s="40" t="str">
        <f t="shared" si="1"/>
        <v/>
      </c>
      <c r="B9684" s="37" t="str">
        <f t="array" ref="B9684">iferror(xlookup($I9684, 'IMPORT VHC Report'!$E:$E, 'IMPORT VHC Report'!$A:$C), )</f>
        <v/>
      </c>
      <c r="C9684" s="44"/>
      <c r="D9684" s="44"/>
      <c r="L9684" s="45"/>
      <c r="N9684" s="45"/>
    </row>
    <row r="9685">
      <c r="A9685" s="40" t="str">
        <f t="shared" si="1"/>
        <v/>
      </c>
      <c r="B9685" s="37" t="str">
        <f t="array" ref="B9685">iferror(xlookup($I9685, 'IMPORT VHC Report'!$E:$E, 'IMPORT VHC Report'!$A:$C), )</f>
        <v/>
      </c>
      <c r="C9685" s="44"/>
      <c r="D9685" s="44"/>
      <c r="L9685" s="45"/>
      <c r="N9685" s="45"/>
    </row>
    <row r="9686">
      <c r="A9686" s="40" t="str">
        <f t="shared" si="1"/>
        <v/>
      </c>
      <c r="B9686" s="37" t="str">
        <f t="array" ref="B9686">iferror(xlookup($I9686, 'IMPORT VHC Report'!$E:$E, 'IMPORT VHC Report'!$A:$C), )</f>
        <v/>
      </c>
      <c r="C9686" s="44"/>
      <c r="D9686" s="44"/>
      <c r="L9686" s="45"/>
      <c r="N9686" s="45"/>
    </row>
    <row r="9687">
      <c r="A9687" s="40" t="str">
        <f t="shared" si="1"/>
        <v/>
      </c>
      <c r="B9687" s="37" t="str">
        <f t="array" ref="B9687">iferror(xlookup($I9687, 'IMPORT VHC Report'!$E:$E, 'IMPORT VHC Report'!$A:$C), )</f>
        <v/>
      </c>
      <c r="C9687" s="44"/>
      <c r="D9687" s="44"/>
      <c r="L9687" s="45"/>
      <c r="N9687" s="45"/>
    </row>
    <row r="9688">
      <c r="A9688" s="40" t="str">
        <f t="shared" si="1"/>
        <v/>
      </c>
      <c r="B9688" s="37" t="str">
        <f t="array" ref="B9688">iferror(xlookup($I9688, 'IMPORT VHC Report'!$E:$E, 'IMPORT VHC Report'!$A:$C), )</f>
        <v/>
      </c>
      <c r="C9688" s="44"/>
      <c r="D9688" s="44"/>
      <c r="L9688" s="45"/>
      <c r="N9688" s="45"/>
    </row>
    <row r="9689">
      <c r="A9689" s="40" t="str">
        <f t="shared" si="1"/>
        <v/>
      </c>
      <c r="B9689" s="37" t="str">
        <f t="array" ref="B9689">iferror(xlookup($I9689, 'IMPORT VHC Report'!$E:$E, 'IMPORT VHC Report'!$A:$C), )</f>
        <v/>
      </c>
      <c r="C9689" s="44"/>
      <c r="D9689" s="44"/>
      <c r="L9689" s="45"/>
      <c r="N9689" s="45"/>
    </row>
    <row r="9690">
      <c r="A9690" s="40" t="str">
        <f t="shared" si="1"/>
        <v/>
      </c>
      <c r="B9690" s="37" t="str">
        <f t="array" ref="B9690">iferror(xlookup($I9690, 'IMPORT VHC Report'!$E:$E, 'IMPORT VHC Report'!$A:$C), )</f>
        <v/>
      </c>
      <c r="C9690" s="44"/>
      <c r="D9690" s="44"/>
      <c r="L9690" s="45"/>
      <c r="N9690" s="45"/>
    </row>
    <row r="9691">
      <c r="A9691" s="40" t="str">
        <f t="shared" si="1"/>
        <v/>
      </c>
      <c r="B9691" s="37" t="str">
        <f t="array" ref="B9691">iferror(xlookup($I9691, 'IMPORT VHC Report'!$E:$E, 'IMPORT VHC Report'!$A:$C), )</f>
        <v/>
      </c>
      <c r="C9691" s="44"/>
      <c r="D9691" s="44"/>
      <c r="L9691" s="45"/>
      <c r="N9691" s="45"/>
    </row>
    <row r="9692">
      <c r="A9692" s="40" t="str">
        <f t="shared" si="1"/>
        <v/>
      </c>
      <c r="B9692" s="37" t="str">
        <f t="array" ref="B9692">iferror(xlookup($I9692, 'IMPORT VHC Report'!$E:$E, 'IMPORT VHC Report'!$A:$C), )</f>
        <v/>
      </c>
      <c r="C9692" s="44"/>
      <c r="D9692" s="44"/>
      <c r="L9692" s="45"/>
      <c r="N9692" s="45"/>
    </row>
    <row r="9693">
      <c r="A9693" s="40" t="str">
        <f t="shared" si="1"/>
        <v/>
      </c>
      <c r="B9693" s="37" t="str">
        <f t="array" ref="B9693">iferror(xlookup($I9693, 'IMPORT VHC Report'!$E:$E, 'IMPORT VHC Report'!$A:$C), )</f>
        <v/>
      </c>
      <c r="C9693" s="44"/>
      <c r="D9693" s="44"/>
      <c r="L9693" s="45"/>
      <c r="N9693" s="45"/>
    </row>
    <row r="9694">
      <c r="A9694" s="40" t="str">
        <f t="shared" si="1"/>
        <v/>
      </c>
      <c r="B9694" s="37" t="str">
        <f t="array" ref="B9694">iferror(xlookup($I9694, 'IMPORT VHC Report'!$E:$E, 'IMPORT VHC Report'!$A:$C), )</f>
        <v/>
      </c>
      <c r="C9694" s="44"/>
      <c r="D9694" s="44"/>
      <c r="L9694" s="45"/>
      <c r="N9694" s="45"/>
    </row>
    <row r="9695">
      <c r="A9695" s="40" t="str">
        <f t="shared" si="1"/>
        <v/>
      </c>
      <c r="B9695" s="37" t="str">
        <f t="array" ref="B9695">iferror(xlookup($I9695, 'IMPORT VHC Report'!$E:$E, 'IMPORT VHC Report'!$A:$C), )</f>
        <v/>
      </c>
      <c r="C9695" s="44"/>
      <c r="D9695" s="44"/>
      <c r="L9695" s="45"/>
      <c r="N9695" s="45"/>
    </row>
    <row r="9696">
      <c r="A9696" s="40" t="str">
        <f t="shared" si="1"/>
        <v/>
      </c>
      <c r="B9696" s="37" t="str">
        <f t="array" ref="B9696">iferror(xlookup($I9696, 'IMPORT VHC Report'!$E:$E, 'IMPORT VHC Report'!$A:$C), )</f>
        <v/>
      </c>
      <c r="C9696" s="44"/>
      <c r="D9696" s="44"/>
      <c r="L9696" s="45"/>
      <c r="N9696" s="45"/>
    </row>
    <row r="9697">
      <c r="A9697" s="40" t="str">
        <f t="shared" si="1"/>
        <v/>
      </c>
      <c r="B9697" s="37" t="str">
        <f t="array" ref="B9697">iferror(xlookup($I9697, 'IMPORT VHC Report'!$E:$E, 'IMPORT VHC Report'!$A:$C), )</f>
        <v/>
      </c>
      <c r="C9697" s="44"/>
      <c r="D9697" s="44"/>
      <c r="L9697" s="45"/>
      <c r="N9697" s="45"/>
    </row>
    <row r="9698">
      <c r="A9698" s="40" t="str">
        <f t="shared" si="1"/>
        <v/>
      </c>
      <c r="B9698" s="37" t="str">
        <f t="array" ref="B9698">iferror(xlookup($I9698, 'IMPORT VHC Report'!$E:$E, 'IMPORT VHC Report'!$A:$C), )</f>
        <v/>
      </c>
      <c r="C9698" s="44"/>
      <c r="D9698" s="44"/>
      <c r="L9698" s="45"/>
      <c r="N9698" s="45"/>
    </row>
    <row r="9699">
      <c r="A9699" s="40" t="str">
        <f t="shared" si="1"/>
        <v/>
      </c>
      <c r="B9699" s="37" t="str">
        <f t="array" ref="B9699">iferror(xlookup($I9699, 'IMPORT VHC Report'!$E:$E, 'IMPORT VHC Report'!$A:$C), )</f>
        <v/>
      </c>
      <c r="C9699" s="44"/>
      <c r="D9699" s="44"/>
      <c r="L9699" s="45"/>
      <c r="N9699" s="45"/>
    </row>
    <row r="9700">
      <c r="A9700" s="40" t="str">
        <f t="shared" si="1"/>
        <v/>
      </c>
      <c r="B9700" s="37" t="str">
        <f t="array" ref="B9700">iferror(xlookup($I9700, 'IMPORT VHC Report'!$E:$E, 'IMPORT VHC Report'!$A:$C), )</f>
        <v/>
      </c>
      <c r="C9700" s="44"/>
      <c r="D9700" s="44"/>
      <c r="L9700" s="45"/>
      <c r="N9700" s="45"/>
    </row>
    <row r="9701">
      <c r="A9701" s="40" t="str">
        <f t="shared" si="1"/>
        <v/>
      </c>
      <c r="B9701" s="37" t="str">
        <f t="array" ref="B9701">iferror(xlookup($I9701, 'IMPORT VHC Report'!$E:$E, 'IMPORT VHC Report'!$A:$C), )</f>
        <v/>
      </c>
      <c r="C9701" s="44"/>
      <c r="D9701" s="44"/>
      <c r="L9701" s="45"/>
      <c r="N9701" s="45"/>
    </row>
    <row r="9702">
      <c r="A9702" s="40" t="str">
        <f t="shared" si="1"/>
        <v/>
      </c>
      <c r="B9702" s="37" t="str">
        <f t="array" ref="B9702">iferror(xlookup($I9702, 'IMPORT VHC Report'!$E:$E, 'IMPORT VHC Report'!$A:$C), )</f>
        <v/>
      </c>
      <c r="C9702" s="44"/>
      <c r="D9702" s="44"/>
      <c r="L9702" s="45"/>
      <c r="N9702" s="45"/>
    </row>
    <row r="9703">
      <c r="A9703" s="40" t="str">
        <f t="shared" si="1"/>
        <v/>
      </c>
      <c r="B9703" s="37" t="str">
        <f t="array" ref="B9703">iferror(xlookup($I9703, 'IMPORT VHC Report'!$E:$E, 'IMPORT VHC Report'!$A:$C), )</f>
        <v/>
      </c>
      <c r="C9703" s="44"/>
      <c r="D9703" s="44"/>
      <c r="L9703" s="45"/>
      <c r="N9703" s="45"/>
    </row>
    <row r="9704">
      <c r="A9704" s="40" t="str">
        <f t="shared" si="1"/>
        <v/>
      </c>
      <c r="B9704" s="37" t="str">
        <f t="array" ref="B9704">iferror(xlookup($I9704, 'IMPORT VHC Report'!$E:$E, 'IMPORT VHC Report'!$A:$C), )</f>
        <v/>
      </c>
      <c r="C9704" s="44"/>
      <c r="D9704" s="44"/>
      <c r="L9704" s="45"/>
      <c r="N9704" s="45"/>
    </row>
    <row r="9705">
      <c r="A9705" s="40" t="str">
        <f t="shared" si="1"/>
        <v/>
      </c>
      <c r="B9705" s="37" t="str">
        <f t="array" ref="B9705">iferror(xlookup($I9705, 'IMPORT VHC Report'!$E:$E, 'IMPORT VHC Report'!$A:$C), )</f>
        <v/>
      </c>
      <c r="C9705" s="44"/>
      <c r="D9705" s="44"/>
      <c r="L9705" s="45"/>
      <c r="N9705" s="45"/>
    </row>
    <row r="9706">
      <c r="A9706" s="40" t="str">
        <f t="shared" si="1"/>
        <v/>
      </c>
      <c r="B9706" s="37" t="str">
        <f t="array" ref="B9706">iferror(xlookup($I9706, 'IMPORT VHC Report'!$E:$E, 'IMPORT VHC Report'!$A:$C), )</f>
        <v/>
      </c>
      <c r="C9706" s="44"/>
      <c r="D9706" s="44"/>
      <c r="L9706" s="45"/>
      <c r="N9706" s="45"/>
    </row>
    <row r="9707">
      <c r="A9707" s="40" t="str">
        <f t="shared" si="1"/>
        <v/>
      </c>
      <c r="B9707" s="37" t="str">
        <f t="array" ref="B9707">iferror(xlookup($I9707, 'IMPORT VHC Report'!$E:$E, 'IMPORT VHC Report'!$A:$C), )</f>
        <v/>
      </c>
      <c r="C9707" s="44"/>
      <c r="D9707" s="44"/>
      <c r="L9707" s="45"/>
      <c r="N9707" s="45"/>
    </row>
    <row r="9708">
      <c r="A9708" s="40" t="str">
        <f t="shared" si="1"/>
        <v/>
      </c>
      <c r="B9708" s="37" t="str">
        <f t="array" ref="B9708">iferror(xlookup($I9708, 'IMPORT VHC Report'!$E:$E, 'IMPORT VHC Report'!$A:$C), )</f>
        <v/>
      </c>
      <c r="C9708" s="44"/>
      <c r="D9708" s="44"/>
      <c r="L9708" s="45"/>
      <c r="N9708" s="45"/>
    </row>
    <row r="9709">
      <c r="A9709" s="40" t="str">
        <f t="shared" si="1"/>
        <v/>
      </c>
      <c r="B9709" s="37" t="str">
        <f t="array" ref="B9709">iferror(xlookup($I9709, 'IMPORT VHC Report'!$E:$E, 'IMPORT VHC Report'!$A:$C), )</f>
        <v/>
      </c>
      <c r="C9709" s="44"/>
      <c r="D9709" s="44"/>
      <c r="L9709" s="45"/>
      <c r="N9709" s="45"/>
    </row>
    <row r="9710">
      <c r="A9710" s="40" t="str">
        <f t="shared" si="1"/>
        <v/>
      </c>
      <c r="B9710" s="37" t="str">
        <f t="array" ref="B9710">iferror(xlookup($I9710, 'IMPORT VHC Report'!$E:$E, 'IMPORT VHC Report'!$A:$C), )</f>
        <v/>
      </c>
      <c r="C9710" s="44"/>
      <c r="D9710" s="44"/>
      <c r="L9710" s="45"/>
      <c r="N9710" s="45"/>
    </row>
    <row r="9711">
      <c r="A9711" s="40" t="str">
        <f t="shared" si="1"/>
        <v/>
      </c>
      <c r="B9711" s="37" t="str">
        <f t="array" ref="B9711">iferror(xlookup($I9711, 'IMPORT VHC Report'!$E:$E, 'IMPORT VHC Report'!$A:$C), )</f>
        <v/>
      </c>
      <c r="C9711" s="44"/>
      <c r="D9711" s="44"/>
      <c r="L9711" s="45"/>
      <c r="N9711" s="45"/>
    </row>
    <row r="9712">
      <c r="A9712" s="40" t="str">
        <f t="shared" si="1"/>
        <v/>
      </c>
      <c r="B9712" s="37" t="str">
        <f t="array" ref="B9712">iferror(xlookup($I9712, 'IMPORT VHC Report'!$E:$E, 'IMPORT VHC Report'!$A:$C), )</f>
        <v/>
      </c>
      <c r="C9712" s="44"/>
      <c r="D9712" s="44"/>
      <c r="L9712" s="45"/>
      <c r="N9712" s="45"/>
    </row>
    <row r="9713">
      <c r="A9713" s="40" t="str">
        <f t="shared" si="1"/>
        <v/>
      </c>
      <c r="B9713" s="37" t="str">
        <f t="array" ref="B9713">iferror(xlookup($I9713, 'IMPORT VHC Report'!$E:$E, 'IMPORT VHC Report'!$A:$C), )</f>
        <v/>
      </c>
      <c r="C9713" s="44"/>
      <c r="D9713" s="44"/>
      <c r="L9713" s="45"/>
      <c r="N9713" s="45"/>
    </row>
    <row r="9714">
      <c r="A9714" s="40" t="str">
        <f t="shared" si="1"/>
        <v/>
      </c>
      <c r="B9714" s="37" t="str">
        <f t="array" ref="B9714">iferror(xlookup($I9714, 'IMPORT VHC Report'!$E:$E, 'IMPORT VHC Report'!$A:$C), )</f>
        <v/>
      </c>
      <c r="C9714" s="44"/>
      <c r="D9714" s="44"/>
      <c r="L9714" s="45"/>
      <c r="N9714" s="45"/>
    </row>
    <row r="9715">
      <c r="A9715" s="40" t="str">
        <f t="shared" si="1"/>
        <v/>
      </c>
      <c r="B9715" s="37" t="str">
        <f t="array" ref="B9715">iferror(xlookup($I9715, 'IMPORT VHC Report'!$E:$E, 'IMPORT VHC Report'!$A:$C), )</f>
        <v/>
      </c>
      <c r="C9715" s="44"/>
      <c r="D9715" s="44"/>
      <c r="L9715" s="45"/>
      <c r="N9715" s="45"/>
    </row>
    <row r="9716">
      <c r="A9716" s="40" t="str">
        <f t="shared" si="1"/>
        <v/>
      </c>
      <c r="B9716" s="37" t="str">
        <f t="array" ref="B9716">iferror(xlookup($I9716, 'IMPORT VHC Report'!$E:$E, 'IMPORT VHC Report'!$A:$C), )</f>
        <v/>
      </c>
      <c r="C9716" s="44"/>
      <c r="D9716" s="44"/>
      <c r="L9716" s="45"/>
      <c r="N9716" s="45"/>
    </row>
    <row r="9717">
      <c r="A9717" s="40" t="str">
        <f t="shared" si="1"/>
        <v/>
      </c>
      <c r="B9717" s="37" t="str">
        <f t="array" ref="B9717">iferror(xlookup($I9717, 'IMPORT VHC Report'!$E:$E, 'IMPORT VHC Report'!$A:$C), )</f>
        <v/>
      </c>
      <c r="C9717" s="44"/>
      <c r="D9717" s="44"/>
      <c r="L9717" s="45"/>
      <c r="N9717" s="45"/>
    </row>
    <row r="9718">
      <c r="A9718" s="40" t="str">
        <f t="shared" si="1"/>
        <v/>
      </c>
      <c r="B9718" s="37" t="str">
        <f t="array" ref="B9718">iferror(xlookup($I9718, 'IMPORT VHC Report'!$E:$E, 'IMPORT VHC Report'!$A:$C), )</f>
        <v/>
      </c>
      <c r="C9718" s="44"/>
      <c r="D9718" s="44"/>
      <c r="L9718" s="45"/>
      <c r="N9718" s="45"/>
    </row>
    <row r="9719">
      <c r="A9719" s="40" t="str">
        <f t="shared" si="1"/>
        <v/>
      </c>
      <c r="B9719" s="37" t="str">
        <f t="array" ref="B9719">iferror(xlookup($I9719, 'IMPORT VHC Report'!$E:$E, 'IMPORT VHC Report'!$A:$C), )</f>
        <v/>
      </c>
      <c r="C9719" s="44"/>
      <c r="D9719" s="44"/>
      <c r="L9719" s="45"/>
      <c r="N9719" s="45"/>
    </row>
    <row r="9720">
      <c r="A9720" s="40" t="str">
        <f t="shared" si="1"/>
        <v/>
      </c>
      <c r="B9720" s="37" t="str">
        <f t="array" ref="B9720">iferror(xlookup($I9720, 'IMPORT VHC Report'!$E:$E, 'IMPORT VHC Report'!$A:$C), )</f>
        <v/>
      </c>
      <c r="C9720" s="44"/>
      <c r="D9720" s="44"/>
      <c r="L9720" s="45"/>
      <c r="N9720" s="45"/>
    </row>
    <row r="9721">
      <c r="A9721" s="40" t="str">
        <f t="shared" si="1"/>
        <v/>
      </c>
      <c r="B9721" s="37" t="str">
        <f t="array" ref="B9721">iferror(xlookup($I9721, 'IMPORT VHC Report'!$E:$E, 'IMPORT VHC Report'!$A:$C), )</f>
        <v/>
      </c>
      <c r="C9721" s="44"/>
      <c r="D9721" s="44"/>
      <c r="L9721" s="45"/>
      <c r="N9721" s="45"/>
    </row>
    <row r="9722">
      <c r="A9722" s="40" t="str">
        <f t="shared" si="1"/>
        <v/>
      </c>
      <c r="B9722" s="37" t="str">
        <f t="array" ref="B9722">iferror(xlookup($I9722, 'IMPORT VHC Report'!$E:$E, 'IMPORT VHC Report'!$A:$C), )</f>
        <v/>
      </c>
      <c r="C9722" s="44"/>
      <c r="D9722" s="44"/>
      <c r="L9722" s="45"/>
      <c r="N9722" s="45"/>
    </row>
    <row r="9723">
      <c r="A9723" s="40" t="str">
        <f t="shared" si="1"/>
        <v/>
      </c>
      <c r="B9723" s="37" t="str">
        <f t="array" ref="B9723">iferror(xlookup($I9723, 'IMPORT VHC Report'!$E:$E, 'IMPORT VHC Report'!$A:$C), )</f>
        <v/>
      </c>
      <c r="C9723" s="44"/>
      <c r="D9723" s="44"/>
      <c r="L9723" s="45"/>
      <c r="N9723" s="45"/>
    </row>
    <row r="9724">
      <c r="A9724" s="40" t="str">
        <f t="shared" si="1"/>
        <v/>
      </c>
      <c r="B9724" s="37" t="str">
        <f t="array" ref="B9724">iferror(xlookup($I9724, 'IMPORT VHC Report'!$E:$E, 'IMPORT VHC Report'!$A:$C), )</f>
        <v/>
      </c>
      <c r="C9724" s="44"/>
      <c r="D9724" s="44"/>
      <c r="L9724" s="45"/>
      <c r="N9724" s="45"/>
    </row>
    <row r="9725">
      <c r="A9725" s="40" t="str">
        <f t="shared" si="1"/>
        <v/>
      </c>
      <c r="B9725" s="37" t="str">
        <f t="array" ref="B9725">iferror(xlookup($I9725, 'IMPORT VHC Report'!$E:$E, 'IMPORT VHC Report'!$A:$C), )</f>
        <v/>
      </c>
      <c r="C9725" s="44"/>
      <c r="D9725" s="44"/>
      <c r="L9725" s="45"/>
      <c r="N9725" s="45"/>
    </row>
    <row r="9726">
      <c r="A9726" s="40" t="str">
        <f t="shared" si="1"/>
        <v/>
      </c>
      <c r="B9726" s="37" t="str">
        <f t="array" ref="B9726">iferror(xlookup($I9726, 'IMPORT VHC Report'!$E:$E, 'IMPORT VHC Report'!$A:$C), )</f>
        <v/>
      </c>
      <c r="C9726" s="44"/>
      <c r="D9726" s="44"/>
      <c r="L9726" s="45"/>
      <c r="N9726" s="45"/>
    </row>
    <row r="9727">
      <c r="A9727" s="40" t="str">
        <f t="shared" si="1"/>
        <v/>
      </c>
      <c r="B9727" s="37" t="str">
        <f t="array" ref="B9727">iferror(xlookup($I9727, 'IMPORT VHC Report'!$E:$E, 'IMPORT VHC Report'!$A:$C), )</f>
        <v/>
      </c>
      <c r="C9727" s="44"/>
      <c r="D9727" s="44"/>
      <c r="L9727" s="45"/>
      <c r="N9727" s="45"/>
    </row>
    <row r="9728">
      <c r="A9728" s="40" t="str">
        <f t="shared" si="1"/>
        <v/>
      </c>
      <c r="B9728" s="37" t="str">
        <f t="array" ref="B9728">iferror(xlookup($I9728, 'IMPORT VHC Report'!$E:$E, 'IMPORT VHC Report'!$A:$C), )</f>
        <v/>
      </c>
      <c r="C9728" s="44"/>
      <c r="D9728" s="44"/>
      <c r="L9728" s="45"/>
      <c r="N9728" s="45"/>
    </row>
    <row r="9729">
      <c r="A9729" s="40" t="str">
        <f t="shared" si="1"/>
        <v/>
      </c>
      <c r="B9729" s="37" t="str">
        <f t="array" ref="B9729">iferror(xlookup($I9729, 'IMPORT VHC Report'!$E:$E, 'IMPORT VHC Report'!$A:$C), )</f>
        <v/>
      </c>
      <c r="C9729" s="44"/>
      <c r="D9729" s="44"/>
      <c r="L9729" s="45"/>
      <c r="N9729" s="45"/>
    </row>
    <row r="9730">
      <c r="A9730" s="40" t="str">
        <f t="shared" si="1"/>
        <v/>
      </c>
      <c r="B9730" s="37" t="str">
        <f t="array" ref="B9730">iferror(xlookup($I9730, 'IMPORT VHC Report'!$E:$E, 'IMPORT VHC Report'!$A:$C), )</f>
        <v/>
      </c>
      <c r="C9730" s="44"/>
      <c r="D9730" s="44"/>
      <c r="L9730" s="45"/>
      <c r="N9730" s="45"/>
    </row>
    <row r="9731">
      <c r="A9731" s="40" t="str">
        <f t="shared" si="1"/>
        <v/>
      </c>
      <c r="B9731" s="37" t="str">
        <f t="array" ref="B9731">iferror(xlookup($I9731, 'IMPORT VHC Report'!$E:$E, 'IMPORT VHC Report'!$A:$C), )</f>
        <v/>
      </c>
      <c r="C9731" s="44"/>
      <c r="D9731" s="44"/>
      <c r="L9731" s="45"/>
      <c r="N9731" s="45"/>
    </row>
    <row r="9732">
      <c r="A9732" s="40" t="str">
        <f t="shared" si="1"/>
        <v/>
      </c>
      <c r="B9732" s="37" t="str">
        <f t="array" ref="B9732">iferror(xlookup($I9732, 'IMPORT VHC Report'!$E:$E, 'IMPORT VHC Report'!$A:$C), )</f>
        <v/>
      </c>
      <c r="C9732" s="44"/>
      <c r="D9732" s="44"/>
      <c r="L9732" s="45"/>
      <c r="N9732" s="45"/>
    </row>
    <row r="9733">
      <c r="A9733" s="40" t="str">
        <f t="shared" si="1"/>
        <v/>
      </c>
      <c r="B9733" s="37" t="str">
        <f t="array" ref="B9733">iferror(xlookup($I9733, 'IMPORT VHC Report'!$E:$E, 'IMPORT VHC Report'!$A:$C), )</f>
        <v/>
      </c>
      <c r="C9733" s="44"/>
      <c r="D9733" s="44"/>
      <c r="L9733" s="45"/>
      <c r="N9733" s="45"/>
    </row>
    <row r="9734">
      <c r="A9734" s="40" t="str">
        <f t="shared" si="1"/>
        <v/>
      </c>
      <c r="B9734" s="37" t="str">
        <f t="array" ref="B9734">iferror(xlookup($I9734, 'IMPORT VHC Report'!$E:$E, 'IMPORT VHC Report'!$A:$C), )</f>
        <v/>
      </c>
      <c r="C9734" s="44"/>
      <c r="D9734" s="44"/>
      <c r="L9734" s="45"/>
      <c r="N9734" s="45"/>
    </row>
    <row r="9735">
      <c r="A9735" s="40" t="str">
        <f t="shared" si="1"/>
        <v/>
      </c>
      <c r="B9735" s="37" t="str">
        <f t="array" ref="B9735">iferror(xlookup($I9735, 'IMPORT VHC Report'!$E:$E, 'IMPORT VHC Report'!$A:$C), )</f>
        <v/>
      </c>
      <c r="C9735" s="44"/>
      <c r="D9735" s="44"/>
      <c r="L9735" s="45"/>
      <c r="N9735" s="45"/>
    </row>
    <row r="9736">
      <c r="A9736" s="40" t="str">
        <f t="shared" si="1"/>
        <v/>
      </c>
      <c r="B9736" s="37" t="str">
        <f t="array" ref="B9736">iferror(xlookup($I9736, 'IMPORT VHC Report'!$E:$E, 'IMPORT VHC Report'!$A:$C), )</f>
        <v/>
      </c>
      <c r="C9736" s="44"/>
      <c r="D9736" s="44"/>
      <c r="L9736" s="45"/>
      <c r="N9736" s="45"/>
    </row>
    <row r="9737">
      <c r="A9737" s="40" t="str">
        <f t="shared" si="1"/>
        <v/>
      </c>
      <c r="B9737" s="37" t="str">
        <f t="array" ref="B9737">iferror(xlookup($I9737, 'IMPORT VHC Report'!$E:$E, 'IMPORT VHC Report'!$A:$C), )</f>
        <v/>
      </c>
      <c r="C9737" s="44"/>
      <c r="D9737" s="44"/>
      <c r="L9737" s="45"/>
      <c r="N9737" s="45"/>
    </row>
    <row r="9738">
      <c r="A9738" s="40" t="str">
        <f t="shared" si="1"/>
        <v/>
      </c>
      <c r="B9738" s="37" t="str">
        <f t="array" ref="B9738">iferror(xlookup($I9738, 'IMPORT VHC Report'!$E:$E, 'IMPORT VHC Report'!$A:$C), )</f>
        <v/>
      </c>
      <c r="C9738" s="44"/>
      <c r="D9738" s="44"/>
      <c r="L9738" s="45"/>
      <c r="N9738" s="45"/>
    </row>
    <row r="9739">
      <c r="A9739" s="40" t="str">
        <f t="shared" si="1"/>
        <v/>
      </c>
      <c r="B9739" s="37" t="str">
        <f t="array" ref="B9739">iferror(xlookup($I9739, 'IMPORT VHC Report'!$E:$E, 'IMPORT VHC Report'!$A:$C), )</f>
        <v/>
      </c>
      <c r="C9739" s="44"/>
      <c r="D9739" s="44"/>
      <c r="L9739" s="45"/>
      <c r="N9739" s="45"/>
    </row>
    <row r="9740">
      <c r="A9740" s="40" t="str">
        <f t="shared" si="1"/>
        <v/>
      </c>
      <c r="B9740" s="37" t="str">
        <f t="array" ref="B9740">iferror(xlookup($I9740, 'IMPORT VHC Report'!$E:$E, 'IMPORT VHC Report'!$A:$C), )</f>
        <v/>
      </c>
      <c r="C9740" s="44"/>
      <c r="D9740" s="44"/>
      <c r="L9740" s="45"/>
      <c r="N9740" s="45"/>
    </row>
    <row r="9741">
      <c r="A9741" s="40" t="str">
        <f t="shared" si="1"/>
        <v/>
      </c>
      <c r="B9741" s="37" t="str">
        <f t="array" ref="B9741">iferror(xlookup($I9741, 'IMPORT VHC Report'!$E:$E, 'IMPORT VHC Report'!$A:$C), )</f>
        <v/>
      </c>
      <c r="C9741" s="44"/>
      <c r="D9741" s="44"/>
      <c r="L9741" s="45"/>
      <c r="N9741" s="45"/>
    </row>
    <row r="9742">
      <c r="A9742" s="40" t="str">
        <f t="shared" si="1"/>
        <v/>
      </c>
      <c r="B9742" s="37" t="str">
        <f t="array" ref="B9742">iferror(xlookup($I9742, 'IMPORT VHC Report'!$E:$E, 'IMPORT VHC Report'!$A:$C), )</f>
        <v/>
      </c>
      <c r="C9742" s="44"/>
      <c r="D9742" s="44"/>
      <c r="L9742" s="45"/>
      <c r="N9742" s="45"/>
    </row>
    <row r="9743">
      <c r="A9743" s="40" t="str">
        <f t="shared" si="1"/>
        <v/>
      </c>
      <c r="B9743" s="37" t="str">
        <f t="array" ref="B9743">iferror(xlookup($I9743, 'IMPORT VHC Report'!$E:$E, 'IMPORT VHC Report'!$A:$C), )</f>
        <v/>
      </c>
      <c r="C9743" s="44"/>
      <c r="D9743" s="44"/>
      <c r="L9743" s="45"/>
      <c r="N9743" s="45"/>
    </row>
    <row r="9744">
      <c r="A9744" s="40" t="str">
        <f t="shared" si="1"/>
        <v/>
      </c>
      <c r="B9744" s="37" t="str">
        <f t="array" ref="B9744">iferror(xlookup($I9744, 'IMPORT VHC Report'!$E:$E, 'IMPORT VHC Report'!$A:$C), )</f>
        <v/>
      </c>
      <c r="C9744" s="44"/>
      <c r="D9744" s="44"/>
      <c r="L9744" s="45"/>
      <c r="N9744" s="45"/>
    </row>
    <row r="9745">
      <c r="A9745" s="40" t="str">
        <f t="shared" si="1"/>
        <v/>
      </c>
      <c r="B9745" s="37" t="str">
        <f t="array" ref="B9745">iferror(xlookup($I9745, 'IMPORT VHC Report'!$E:$E, 'IMPORT VHC Report'!$A:$C), )</f>
        <v/>
      </c>
      <c r="C9745" s="44"/>
      <c r="D9745" s="44"/>
      <c r="L9745" s="45"/>
      <c r="N9745" s="45"/>
    </row>
    <row r="9746">
      <c r="A9746" s="40" t="str">
        <f t="shared" si="1"/>
        <v/>
      </c>
      <c r="B9746" s="37" t="str">
        <f t="array" ref="B9746">iferror(xlookup($I9746, 'IMPORT VHC Report'!$E:$E, 'IMPORT VHC Report'!$A:$C), )</f>
        <v/>
      </c>
      <c r="C9746" s="44"/>
      <c r="D9746" s="44"/>
      <c r="L9746" s="45"/>
      <c r="N9746" s="45"/>
    </row>
    <row r="9747">
      <c r="A9747" s="40" t="str">
        <f t="shared" si="1"/>
        <v/>
      </c>
      <c r="B9747" s="37" t="str">
        <f t="array" ref="B9747">iferror(xlookup($I9747, 'IMPORT VHC Report'!$E:$E, 'IMPORT VHC Report'!$A:$C), )</f>
        <v/>
      </c>
      <c r="C9747" s="44"/>
      <c r="D9747" s="44"/>
      <c r="L9747" s="45"/>
      <c r="N9747" s="45"/>
    </row>
    <row r="9748">
      <c r="A9748" s="40" t="str">
        <f t="shared" si="1"/>
        <v/>
      </c>
      <c r="B9748" s="37" t="str">
        <f t="array" ref="B9748">iferror(xlookup($I9748, 'IMPORT VHC Report'!$E:$E, 'IMPORT VHC Report'!$A:$C), )</f>
        <v/>
      </c>
      <c r="C9748" s="44"/>
      <c r="D9748" s="44"/>
      <c r="L9748" s="45"/>
      <c r="N9748" s="45"/>
    </row>
    <row r="9749">
      <c r="A9749" s="40" t="str">
        <f t="shared" si="1"/>
        <v/>
      </c>
      <c r="B9749" s="37" t="str">
        <f t="array" ref="B9749">iferror(xlookup($I9749, 'IMPORT VHC Report'!$E:$E, 'IMPORT VHC Report'!$A:$C), )</f>
        <v/>
      </c>
      <c r="C9749" s="44"/>
      <c r="D9749" s="44"/>
      <c r="L9749" s="45"/>
      <c r="N9749" s="45"/>
    </row>
    <row r="9750">
      <c r="A9750" s="40" t="str">
        <f t="shared" si="1"/>
        <v/>
      </c>
      <c r="B9750" s="37" t="str">
        <f t="array" ref="B9750">iferror(xlookup($I9750, 'IMPORT VHC Report'!$E:$E, 'IMPORT VHC Report'!$A:$C), )</f>
        <v/>
      </c>
      <c r="C9750" s="44"/>
      <c r="D9750" s="44"/>
      <c r="L9750" s="45"/>
      <c r="N9750" s="45"/>
    </row>
    <row r="9751">
      <c r="A9751" s="40" t="str">
        <f t="shared" si="1"/>
        <v/>
      </c>
      <c r="B9751" s="37" t="str">
        <f t="array" ref="B9751">iferror(xlookup($I9751, 'IMPORT VHC Report'!$E:$E, 'IMPORT VHC Report'!$A:$C), )</f>
        <v/>
      </c>
      <c r="C9751" s="44"/>
      <c r="D9751" s="44"/>
      <c r="L9751" s="45"/>
      <c r="N9751" s="45"/>
    </row>
    <row r="9752">
      <c r="A9752" s="40" t="str">
        <f t="shared" si="1"/>
        <v/>
      </c>
      <c r="B9752" s="37" t="str">
        <f t="array" ref="B9752">iferror(xlookup($I9752, 'IMPORT VHC Report'!$E:$E, 'IMPORT VHC Report'!$A:$C), )</f>
        <v/>
      </c>
      <c r="C9752" s="44"/>
      <c r="D9752" s="44"/>
      <c r="L9752" s="45"/>
      <c r="N9752" s="45"/>
    </row>
    <row r="9753">
      <c r="A9753" s="40" t="str">
        <f t="shared" si="1"/>
        <v/>
      </c>
      <c r="B9753" s="37" t="str">
        <f t="array" ref="B9753">iferror(xlookup($I9753, 'IMPORT VHC Report'!$E:$E, 'IMPORT VHC Report'!$A:$C), )</f>
        <v/>
      </c>
      <c r="C9753" s="44"/>
      <c r="D9753" s="44"/>
      <c r="L9753" s="45"/>
      <c r="N9753" s="45"/>
    </row>
    <row r="9754">
      <c r="A9754" s="40" t="str">
        <f t="shared" si="1"/>
        <v/>
      </c>
      <c r="B9754" s="37" t="str">
        <f t="array" ref="B9754">iferror(xlookup($I9754, 'IMPORT VHC Report'!$E:$E, 'IMPORT VHC Report'!$A:$C), )</f>
        <v/>
      </c>
      <c r="C9754" s="44"/>
      <c r="D9754" s="44"/>
      <c r="L9754" s="45"/>
      <c r="N9754" s="45"/>
    </row>
    <row r="9755">
      <c r="A9755" s="40" t="str">
        <f t="shared" si="1"/>
        <v/>
      </c>
      <c r="B9755" s="37" t="str">
        <f t="array" ref="B9755">iferror(xlookup($I9755, 'IMPORT VHC Report'!$E:$E, 'IMPORT VHC Report'!$A:$C), )</f>
        <v/>
      </c>
      <c r="C9755" s="44"/>
      <c r="D9755" s="44"/>
      <c r="L9755" s="45"/>
      <c r="N9755" s="45"/>
    </row>
    <row r="9756">
      <c r="A9756" s="40" t="str">
        <f t="shared" si="1"/>
        <v/>
      </c>
      <c r="B9756" s="37" t="str">
        <f t="array" ref="B9756">iferror(xlookup($I9756, 'IMPORT VHC Report'!$E:$E, 'IMPORT VHC Report'!$A:$C), )</f>
        <v/>
      </c>
      <c r="C9756" s="44"/>
      <c r="D9756" s="44"/>
      <c r="L9756" s="45"/>
      <c r="N9756" s="45"/>
    </row>
    <row r="9757">
      <c r="A9757" s="40" t="str">
        <f t="shared" si="1"/>
        <v/>
      </c>
      <c r="B9757" s="37" t="str">
        <f t="array" ref="B9757">iferror(xlookup($I9757, 'IMPORT VHC Report'!$E:$E, 'IMPORT VHC Report'!$A:$C), )</f>
        <v/>
      </c>
      <c r="C9757" s="44"/>
      <c r="D9757" s="44"/>
      <c r="L9757" s="45"/>
      <c r="N9757" s="45"/>
    </row>
    <row r="9758">
      <c r="A9758" s="40" t="str">
        <f t="shared" si="1"/>
        <v/>
      </c>
      <c r="B9758" s="37" t="str">
        <f t="array" ref="B9758">iferror(xlookup($I9758, 'IMPORT VHC Report'!$E:$E, 'IMPORT VHC Report'!$A:$C), )</f>
        <v/>
      </c>
      <c r="C9758" s="44"/>
      <c r="D9758" s="44"/>
      <c r="L9758" s="45"/>
      <c r="N9758" s="45"/>
    </row>
    <row r="9759">
      <c r="A9759" s="40" t="str">
        <f t="shared" si="1"/>
        <v/>
      </c>
      <c r="B9759" s="37" t="str">
        <f t="array" ref="B9759">iferror(xlookup($I9759, 'IMPORT VHC Report'!$E:$E, 'IMPORT VHC Report'!$A:$C), )</f>
        <v/>
      </c>
      <c r="C9759" s="44"/>
      <c r="D9759" s="44"/>
      <c r="L9759" s="45"/>
      <c r="N9759" s="45"/>
    </row>
    <row r="9760">
      <c r="A9760" s="40" t="str">
        <f t="shared" si="1"/>
        <v/>
      </c>
      <c r="B9760" s="37" t="str">
        <f t="array" ref="B9760">iferror(xlookup($I9760, 'IMPORT VHC Report'!$E:$E, 'IMPORT VHC Report'!$A:$C), )</f>
        <v/>
      </c>
      <c r="C9760" s="44"/>
      <c r="D9760" s="44"/>
      <c r="L9760" s="45"/>
      <c r="N9760" s="45"/>
    </row>
    <row r="9761">
      <c r="A9761" s="40" t="str">
        <f t="shared" si="1"/>
        <v/>
      </c>
      <c r="B9761" s="37" t="str">
        <f t="array" ref="B9761">iferror(xlookup($I9761, 'IMPORT VHC Report'!$E:$E, 'IMPORT VHC Report'!$A:$C), )</f>
        <v/>
      </c>
      <c r="C9761" s="44"/>
      <c r="D9761" s="44"/>
      <c r="L9761" s="45"/>
      <c r="N9761" s="45"/>
    </row>
    <row r="9762">
      <c r="A9762" s="40" t="str">
        <f t="shared" si="1"/>
        <v/>
      </c>
      <c r="B9762" s="37" t="str">
        <f t="array" ref="B9762">iferror(xlookup($I9762, 'IMPORT VHC Report'!$E:$E, 'IMPORT VHC Report'!$A:$C), )</f>
        <v/>
      </c>
      <c r="C9762" s="44"/>
      <c r="D9762" s="44"/>
      <c r="L9762" s="45"/>
      <c r="N9762" s="45"/>
    </row>
    <row r="9763">
      <c r="A9763" s="40" t="str">
        <f t="shared" si="1"/>
        <v/>
      </c>
      <c r="B9763" s="37" t="str">
        <f t="array" ref="B9763">iferror(xlookup($I9763, 'IMPORT VHC Report'!$E:$E, 'IMPORT VHC Report'!$A:$C), )</f>
        <v/>
      </c>
      <c r="C9763" s="44"/>
      <c r="D9763" s="44"/>
      <c r="L9763" s="45"/>
      <c r="N9763" s="45"/>
    </row>
    <row r="9764">
      <c r="A9764" s="40" t="str">
        <f t="shared" si="1"/>
        <v/>
      </c>
      <c r="B9764" s="37" t="str">
        <f t="array" ref="B9764">iferror(xlookup($I9764, 'IMPORT VHC Report'!$E:$E, 'IMPORT VHC Report'!$A:$C), )</f>
        <v/>
      </c>
      <c r="C9764" s="44"/>
      <c r="D9764" s="44"/>
      <c r="L9764" s="45"/>
      <c r="N9764" s="45"/>
    </row>
    <row r="9765">
      <c r="A9765" s="40" t="str">
        <f t="shared" si="1"/>
        <v/>
      </c>
      <c r="B9765" s="37" t="str">
        <f t="array" ref="B9765">iferror(xlookup($I9765, 'IMPORT VHC Report'!$E:$E, 'IMPORT VHC Report'!$A:$C), )</f>
        <v/>
      </c>
      <c r="C9765" s="44"/>
      <c r="D9765" s="44"/>
      <c r="L9765" s="45"/>
      <c r="N9765" s="45"/>
    </row>
    <row r="9766">
      <c r="A9766" s="40" t="str">
        <f t="shared" si="1"/>
        <v/>
      </c>
      <c r="B9766" s="37" t="str">
        <f t="array" ref="B9766">iferror(xlookup($I9766, 'IMPORT VHC Report'!$E:$E, 'IMPORT VHC Report'!$A:$C), )</f>
        <v/>
      </c>
      <c r="C9766" s="44"/>
      <c r="D9766" s="44"/>
      <c r="L9766" s="45"/>
      <c r="N9766" s="45"/>
    </row>
    <row r="9767">
      <c r="A9767" s="40" t="str">
        <f t="shared" si="1"/>
        <v/>
      </c>
      <c r="B9767" s="37" t="str">
        <f t="array" ref="B9767">iferror(xlookup($I9767, 'IMPORT VHC Report'!$E:$E, 'IMPORT VHC Report'!$A:$C), )</f>
        <v/>
      </c>
      <c r="C9767" s="44"/>
      <c r="D9767" s="44"/>
      <c r="L9767" s="45"/>
      <c r="N9767" s="45"/>
    </row>
    <row r="9768">
      <c r="A9768" s="40" t="str">
        <f t="shared" si="1"/>
        <v/>
      </c>
      <c r="B9768" s="37" t="str">
        <f t="array" ref="B9768">iferror(xlookup($I9768, 'IMPORT VHC Report'!$E:$E, 'IMPORT VHC Report'!$A:$C), )</f>
        <v/>
      </c>
      <c r="C9768" s="44"/>
      <c r="D9768" s="44"/>
      <c r="L9768" s="45"/>
      <c r="N9768" s="45"/>
    </row>
    <row r="9769">
      <c r="A9769" s="40" t="str">
        <f t="shared" si="1"/>
        <v/>
      </c>
      <c r="B9769" s="37" t="str">
        <f t="array" ref="B9769">iferror(xlookup($I9769, 'IMPORT VHC Report'!$E:$E, 'IMPORT VHC Report'!$A:$C), )</f>
        <v/>
      </c>
      <c r="C9769" s="44"/>
      <c r="D9769" s="44"/>
      <c r="L9769" s="45"/>
      <c r="N9769" s="45"/>
    </row>
    <row r="9770">
      <c r="A9770" s="40" t="str">
        <f t="shared" si="1"/>
        <v/>
      </c>
      <c r="B9770" s="37" t="str">
        <f t="array" ref="B9770">iferror(xlookup($I9770, 'IMPORT VHC Report'!$E:$E, 'IMPORT VHC Report'!$A:$C), )</f>
        <v/>
      </c>
      <c r="C9770" s="44"/>
      <c r="D9770" s="44"/>
      <c r="L9770" s="45"/>
      <c r="N9770" s="45"/>
    </row>
    <row r="9771">
      <c r="A9771" s="40" t="str">
        <f t="shared" si="1"/>
        <v/>
      </c>
      <c r="B9771" s="37" t="str">
        <f t="array" ref="B9771">iferror(xlookup($I9771, 'IMPORT VHC Report'!$E:$E, 'IMPORT VHC Report'!$A:$C), )</f>
        <v/>
      </c>
      <c r="C9771" s="44"/>
      <c r="D9771" s="44"/>
      <c r="L9771" s="45"/>
      <c r="N9771" s="45"/>
    </row>
    <row r="9772">
      <c r="A9772" s="40" t="str">
        <f t="shared" si="1"/>
        <v/>
      </c>
      <c r="B9772" s="37" t="str">
        <f t="array" ref="B9772">iferror(xlookup($I9772, 'IMPORT VHC Report'!$E:$E, 'IMPORT VHC Report'!$A:$C), )</f>
        <v/>
      </c>
      <c r="C9772" s="44"/>
      <c r="D9772" s="44"/>
      <c r="L9772" s="45"/>
      <c r="N9772" s="45"/>
    </row>
    <row r="9773">
      <c r="A9773" s="40" t="str">
        <f t="shared" si="1"/>
        <v/>
      </c>
      <c r="B9773" s="37" t="str">
        <f t="array" ref="B9773">iferror(xlookup($I9773, 'IMPORT VHC Report'!$E:$E, 'IMPORT VHC Report'!$A:$C), )</f>
        <v/>
      </c>
      <c r="C9773" s="44"/>
      <c r="D9773" s="44"/>
      <c r="L9773" s="45"/>
      <c r="N9773" s="45"/>
    </row>
    <row r="9774">
      <c r="A9774" s="40" t="str">
        <f t="shared" si="1"/>
        <v/>
      </c>
      <c r="B9774" s="37" t="str">
        <f t="array" ref="B9774">iferror(xlookup($I9774, 'IMPORT VHC Report'!$E:$E, 'IMPORT VHC Report'!$A:$C), )</f>
        <v/>
      </c>
      <c r="C9774" s="44"/>
      <c r="D9774" s="44"/>
      <c r="L9774" s="45"/>
      <c r="N9774" s="45"/>
    </row>
    <row r="9775">
      <c r="A9775" s="40" t="str">
        <f t="shared" si="1"/>
        <v/>
      </c>
      <c r="B9775" s="37" t="str">
        <f t="array" ref="B9775">iferror(xlookup($I9775, 'IMPORT VHC Report'!$E:$E, 'IMPORT VHC Report'!$A:$C), )</f>
        <v/>
      </c>
      <c r="C9775" s="44"/>
      <c r="D9775" s="44"/>
      <c r="L9775" s="45"/>
      <c r="N9775" s="45"/>
    </row>
    <row r="9776">
      <c r="A9776" s="40" t="str">
        <f t="shared" si="1"/>
        <v/>
      </c>
      <c r="B9776" s="37" t="str">
        <f t="array" ref="B9776">iferror(xlookup($I9776, 'IMPORT VHC Report'!$E:$E, 'IMPORT VHC Report'!$A:$C), )</f>
        <v/>
      </c>
      <c r="C9776" s="44"/>
      <c r="D9776" s="44"/>
      <c r="L9776" s="45"/>
      <c r="N9776" s="45"/>
    </row>
    <row r="9777">
      <c r="A9777" s="40" t="str">
        <f t="shared" si="1"/>
        <v/>
      </c>
      <c r="B9777" s="37" t="str">
        <f t="array" ref="B9777">iferror(xlookup($I9777, 'IMPORT VHC Report'!$E:$E, 'IMPORT VHC Report'!$A:$C), )</f>
        <v/>
      </c>
      <c r="C9777" s="44"/>
      <c r="D9777" s="44"/>
      <c r="L9777" s="45"/>
      <c r="N9777" s="45"/>
    </row>
    <row r="9778">
      <c r="A9778" s="40" t="str">
        <f t="shared" si="1"/>
        <v/>
      </c>
      <c r="B9778" s="37" t="str">
        <f t="array" ref="B9778">iferror(xlookup($I9778, 'IMPORT VHC Report'!$E:$E, 'IMPORT VHC Report'!$A:$C), )</f>
        <v/>
      </c>
      <c r="C9778" s="44"/>
      <c r="D9778" s="44"/>
      <c r="L9778" s="45"/>
      <c r="N9778" s="45"/>
    </row>
    <row r="9779">
      <c r="A9779" s="40" t="str">
        <f t="shared" si="1"/>
        <v/>
      </c>
      <c r="B9779" s="37" t="str">
        <f t="array" ref="B9779">iferror(xlookup($I9779, 'IMPORT VHC Report'!$E:$E, 'IMPORT VHC Report'!$A:$C), )</f>
        <v/>
      </c>
      <c r="C9779" s="44"/>
      <c r="D9779" s="44"/>
      <c r="L9779" s="45"/>
      <c r="N9779" s="45"/>
    </row>
    <row r="9780">
      <c r="A9780" s="40" t="str">
        <f t="shared" si="1"/>
        <v/>
      </c>
      <c r="B9780" s="37" t="str">
        <f t="array" ref="B9780">iferror(xlookup($I9780, 'IMPORT VHC Report'!$E:$E, 'IMPORT VHC Report'!$A:$C), )</f>
        <v/>
      </c>
      <c r="C9780" s="44"/>
      <c r="D9780" s="44"/>
      <c r="L9780" s="45"/>
      <c r="N9780" s="45"/>
    </row>
    <row r="9781">
      <c r="A9781" s="40" t="str">
        <f t="shared" si="1"/>
        <v/>
      </c>
      <c r="B9781" s="37" t="str">
        <f t="array" ref="B9781">iferror(xlookup($I9781, 'IMPORT VHC Report'!$E:$E, 'IMPORT VHC Report'!$A:$C), )</f>
        <v/>
      </c>
      <c r="C9781" s="44"/>
      <c r="D9781" s="44"/>
      <c r="L9781" s="45"/>
      <c r="N9781" s="45"/>
    </row>
    <row r="9782">
      <c r="A9782" s="40" t="str">
        <f t="shared" si="1"/>
        <v/>
      </c>
      <c r="B9782" s="37" t="str">
        <f t="array" ref="B9782">iferror(xlookup($I9782, 'IMPORT VHC Report'!$E:$E, 'IMPORT VHC Report'!$A:$C), )</f>
        <v/>
      </c>
      <c r="C9782" s="44"/>
      <c r="D9782" s="44"/>
      <c r="L9782" s="45"/>
      <c r="N9782" s="45"/>
    </row>
    <row r="9783">
      <c r="A9783" s="40" t="str">
        <f t="shared" si="1"/>
        <v/>
      </c>
      <c r="B9783" s="37" t="str">
        <f t="array" ref="B9783">iferror(xlookup($I9783, 'IMPORT VHC Report'!$E:$E, 'IMPORT VHC Report'!$A:$C), )</f>
        <v/>
      </c>
      <c r="C9783" s="44"/>
      <c r="D9783" s="44"/>
      <c r="L9783" s="45"/>
      <c r="N9783" s="45"/>
    </row>
    <row r="9784">
      <c r="A9784" s="40" t="str">
        <f t="shared" si="1"/>
        <v/>
      </c>
      <c r="B9784" s="37" t="str">
        <f t="array" ref="B9784">iferror(xlookup($I9784, 'IMPORT VHC Report'!$E:$E, 'IMPORT VHC Report'!$A:$C), )</f>
        <v/>
      </c>
      <c r="C9784" s="44"/>
      <c r="D9784" s="44"/>
      <c r="L9784" s="45"/>
      <c r="N9784" s="45"/>
    </row>
    <row r="9785">
      <c r="A9785" s="40" t="str">
        <f t="shared" si="1"/>
        <v/>
      </c>
      <c r="B9785" s="37" t="str">
        <f t="array" ref="B9785">iferror(xlookup($I9785, 'IMPORT VHC Report'!$E:$E, 'IMPORT VHC Report'!$A:$C), )</f>
        <v/>
      </c>
      <c r="C9785" s="44"/>
      <c r="D9785" s="44"/>
      <c r="L9785" s="45"/>
      <c r="N9785" s="45"/>
    </row>
    <row r="9786">
      <c r="A9786" s="40" t="str">
        <f t="shared" si="1"/>
        <v/>
      </c>
      <c r="B9786" s="37" t="str">
        <f t="array" ref="B9786">iferror(xlookup($I9786, 'IMPORT VHC Report'!$E:$E, 'IMPORT VHC Report'!$A:$C), )</f>
        <v/>
      </c>
      <c r="C9786" s="44"/>
      <c r="D9786" s="44"/>
      <c r="L9786" s="45"/>
      <c r="N9786" s="45"/>
    </row>
    <row r="9787">
      <c r="A9787" s="40" t="str">
        <f t="shared" si="1"/>
        <v/>
      </c>
      <c r="B9787" s="37" t="str">
        <f t="array" ref="B9787">iferror(xlookup($I9787, 'IMPORT VHC Report'!$E:$E, 'IMPORT VHC Report'!$A:$C), )</f>
        <v/>
      </c>
      <c r="C9787" s="44"/>
      <c r="D9787" s="44"/>
      <c r="L9787" s="45"/>
      <c r="N9787" s="45"/>
    </row>
    <row r="9788">
      <c r="A9788" s="40" t="str">
        <f t="shared" si="1"/>
        <v/>
      </c>
      <c r="B9788" s="37" t="str">
        <f t="array" ref="B9788">iferror(xlookup($I9788, 'IMPORT VHC Report'!$E:$E, 'IMPORT VHC Report'!$A:$C), )</f>
        <v/>
      </c>
      <c r="C9788" s="44"/>
      <c r="D9788" s="44"/>
      <c r="L9788" s="45"/>
      <c r="N9788" s="45"/>
    </row>
    <row r="9789">
      <c r="A9789" s="40" t="str">
        <f t="shared" si="1"/>
        <v/>
      </c>
      <c r="B9789" s="37" t="str">
        <f t="array" ref="B9789">iferror(xlookup($I9789, 'IMPORT VHC Report'!$E:$E, 'IMPORT VHC Report'!$A:$C), )</f>
        <v/>
      </c>
      <c r="C9789" s="44"/>
      <c r="D9789" s="44"/>
      <c r="L9789" s="45"/>
      <c r="N9789" s="45"/>
    </row>
    <row r="9790">
      <c r="A9790" s="40" t="str">
        <f t="shared" si="1"/>
        <v/>
      </c>
      <c r="B9790" s="37" t="str">
        <f t="array" ref="B9790">iferror(xlookup($I9790, 'IMPORT VHC Report'!$E:$E, 'IMPORT VHC Report'!$A:$C), )</f>
        <v/>
      </c>
      <c r="C9790" s="44"/>
      <c r="D9790" s="44"/>
      <c r="L9790" s="45"/>
      <c r="N9790" s="45"/>
    </row>
    <row r="9791">
      <c r="A9791" s="40" t="str">
        <f t="shared" si="1"/>
        <v/>
      </c>
      <c r="B9791" s="37" t="str">
        <f t="array" ref="B9791">iferror(xlookup($I9791, 'IMPORT VHC Report'!$E:$E, 'IMPORT VHC Report'!$A:$C), )</f>
        <v/>
      </c>
      <c r="C9791" s="44"/>
      <c r="D9791" s="44"/>
      <c r="L9791" s="45"/>
      <c r="N9791" s="45"/>
    </row>
    <row r="9792">
      <c r="A9792" s="40" t="str">
        <f t="shared" si="1"/>
        <v/>
      </c>
      <c r="B9792" s="37" t="str">
        <f t="array" ref="B9792">iferror(xlookup($I9792, 'IMPORT VHC Report'!$E:$E, 'IMPORT VHC Report'!$A:$C), )</f>
        <v/>
      </c>
      <c r="C9792" s="44"/>
      <c r="D9792" s="44"/>
      <c r="L9792" s="45"/>
      <c r="N9792" s="45"/>
    </row>
    <row r="9793">
      <c r="A9793" s="40" t="str">
        <f t="shared" si="1"/>
        <v/>
      </c>
      <c r="B9793" s="37" t="str">
        <f t="array" ref="B9793">iferror(xlookup($I9793, 'IMPORT VHC Report'!$E:$E, 'IMPORT VHC Report'!$A:$C), )</f>
        <v/>
      </c>
      <c r="C9793" s="44"/>
      <c r="D9793" s="44"/>
      <c r="L9793" s="45"/>
      <c r="N9793" s="45"/>
    </row>
    <row r="9794">
      <c r="A9794" s="40" t="str">
        <f t="shared" si="1"/>
        <v/>
      </c>
      <c r="B9794" s="37" t="str">
        <f t="array" ref="B9794">iferror(xlookup($I9794, 'IMPORT VHC Report'!$E:$E, 'IMPORT VHC Report'!$A:$C), )</f>
        <v/>
      </c>
      <c r="C9794" s="44"/>
      <c r="D9794" s="44"/>
      <c r="L9794" s="45"/>
      <c r="N9794" s="45"/>
    </row>
    <row r="9795">
      <c r="A9795" s="40" t="str">
        <f t="shared" si="1"/>
        <v/>
      </c>
      <c r="B9795" s="37" t="str">
        <f t="array" ref="B9795">iferror(xlookup($I9795, 'IMPORT VHC Report'!$E:$E, 'IMPORT VHC Report'!$A:$C), )</f>
        <v/>
      </c>
      <c r="C9795" s="44"/>
      <c r="D9795" s="44"/>
      <c r="L9795" s="45"/>
      <c r="N9795" s="45"/>
    </row>
    <row r="9796">
      <c r="A9796" s="40" t="str">
        <f t="shared" si="1"/>
        <v/>
      </c>
      <c r="B9796" s="37" t="str">
        <f t="array" ref="B9796">iferror(xlookup($I9796, 'IMPORT VHC Report'!$E:$E, 'IMPORT VHC Report'!$A:$C), )</f>
        <v/>
      </c>
      <c r="C9796" s="44"/>
      <c r="D9796" s="44"/>
      <c r="L9796" s="45"/>
      <c r="N9796" s="45"/>
    </row>
    <row r="9797">
      <c r="A9797" s="40" t="str">
        <f t="shared" si="1"/>
        <v/>
      </c>
      <c r="B9797" s="37" t="str">
        <f t="array" ref="B9797">iferror(xlookup($I9797, 'IMPORT VHC Report'!$E:$E, 'IMPORT VHC Report'!$A:$C), )</f>
        <v/>
      </c>
      <c r="C9797" s="44"/>
      <c r="D9797" s="44"/>
      <c r="L9797" s="45"/>
      <c r="N9797" s="45"/>
    </row>
    <row r="9798">
      <c r="A9798" s="40" t="str">
        <f t="shared" si="1"/>
        <v/>
      </c>
      <c r="B9798" s="37" t="str">
        <f t="array" ref="B9798">iferror(xlookup($I9798, 'IMPORT VHC Report'!$E:$E, 'IMPORT VHC Report'!$A:$C), )</f>
        <v/>
      </c>
      <c r="C9798" s="44"/>
      <c r="D9798" s="44"/>
      <c r="L9798" s="45"/>
      <c r="N9798" s="45"/>
    </row>
    <row r="9799">
      <c r="A9799" s="40" t="str">
        <f t="shared" si="1"/>
        <v/>
      </c>
      <c r="B9799" s="37" t="str">
        <f t="array" ref="B9799">iferror(xlookup($I9799, 'IMPORT VHC Report'!$E:$E, 'IMPORT VHC Report'!$A:$C), )</f>
        <v/>
      </c>
      <c r="C9799" s="44"/>
      <c r="D9799" s="44"/>
      <c r="L9799" s="45"/>
      <c r="N9799" s="45"/>
    </row>
    <row r="9800">
      <c r="A9800" s="40" t="str">
        <f t="shared" si="1"/>
        <v/>
      </c>
      <c r="B9800" s="37" t="str">
        <f t="array" ref="B9800">iferror(xlookup($I9800, 'IMPORT VHC Report'!$E:$E, 'IMPORT VHC Report'!$A:$C), )</f>
        <v/>
      </c>
      <c r="C9800" s="44"/>
      <c r="D9800" s="44"/>
      <c r="L9800" s="45"/>
      <c r="N9800" s="45"/>
    </row>
    <row r="9801">
      <c r="A9801" s="40" t="str">
        <f t="shared" si="1"/>
        <v/>
      </c>
      <c r="B9801" s="37" t="str">
        <f t="array" ref="B9801">iferror(xlookup($I9801, 'IMPORT VHC Report'!$E:$E, 'IMPORT VHC Report'!$A:$C), )</f>
        <v/>
      </c>
      <c r="C9801" s="44"/>
      <c r="D9801" s="44"/>
      <c r="L9801" s="45"/>
      <c r="N9801" s="45"/>
    </row>
    <row r="9802">
      <c r="A9802" s="40" t="str">
        <f t="shared" si="1"/>
        <v/>
      </c>
      <c r="B9802" s="37" t="str">
        <f t="array" ref="B9802">iferror(xlookup($I9802, 'IMPORT VHC Report'!$E:$E, 'IMPORT VHC Report'!$A:$C), )</f>
        <v/>
      </c>
      <c r="C9802" s="44"/>
      <c r="D9802" s="44"/>
      <c r="L9802" s="45"/>
      <c r="N9802" s="45"/>
    </row>
    <row r="9803">
      <c r="A9803" s="40" t="str">
        <f t="shared" si="1"/>
        <v/>
      </c>
      <c r="B9803" s="37" t="str">
        <f t="array" ref="B9803">iferror(xlookup($I9803, 'IMPORT VHC Report'!$E:$E, 'IMPORT VHC Report'!$A:$C), )</f>
        <v/>
      </c>
      <c r="C9803" s="44"/>
      <c r="D9803" s="44"/>
      <c r="L9803" s="45"/>
      <c r="N9803" s="45"/>
    </row>
    <row r="9804">
      <c r="A9804" s="40" t="str">
        <f t="shared" si="1"/>
        <v/>
      </c>
      <c r="B9804" s="37" t="str">
        <f t="array" ref="B9804">iferror(xlookup($I9804, 'IMPORT VHC Report'!$E:$E, 'IMPORT VHC Report'!$A:$C), )</f>
        <v/>
      </c>
      <c r="C9804" s="44"/>
      <c r="D9804" s="44"/>
      <c r="L9804" s="45"/>
      <c r="N9804" s="45"/>
    </row>
    <row r="9805">
      <c r="A9805" s="40" t="str">
        <f t="shared" si="1"/>
        <v/>
      </c>
      <c r="B9805" s="37" t="str">
        <f t="array" ref="B9805">iferror(xlookup($I9805, 'IMPORT VHC Report'!$E:$E, 'IMPORT VHC Report'!$A:$C), )</f>
        <v/>
      </c>
      <c r="C9805" s="44"/>
      <c r="D9805" s="44"/>
      <c r="L9805" s="45"/>
      <c r="N9805" s="45"/>
    </row>
    <row r="9806">
      <c r="A9806" s="40" t="str">
        <f t="shared" si="1"/>
        <v/>
      </c>
      <c r="B9806" s="37" t="str">
        <f t="array" ref="B9806">iferror(xlookup($I9806, 'IMPORT VHC Report'!$E:$E, 'IMPORT VHC Report'!$A:$C), )</f>
        <v/>
      </c>
      <c r="C9806" s="44"/>
      <c r="D9806" s="44"/>
      <c r="L9806" s="45"/>
      <c r="N9806" s="45"/>
    </row>
    <row r="9807">
      <c r="A9807" s="40" t="str">
        <f t="shared" si="1"/>
        <v/>
      </c>
      <c r="B9807" s="37" t="str">
        <f t="array" ref="B9807">iferror(xlookup($I9807, 'IMPORT VHC Report'!$E:$E, 'IMPORT VHC Report'!$A:$C), )</f>
        <v/>
      </c>
      <c r="C9807" s="44"/>
      <c r="D9807" s="44"/>
      <c r="L9807" s="45"/>
      <c r="N9807" s="45"/>
    </row>
    <row r="9808">
      <c r="A9808" s="40" t="str">
        <f t="shared" si="1"/>
        <v/>
      </c>
      <c r="B9808" s="37" t="str">
        <f t="array" ref="B9808">iferror(xlookup($I9808, 'IMPORT VHC Report'!$E:$E, 'IMPORT VHC Report'!$A:$C), )</f>
        <v/>
      </c>
      <c r="C9808" s="44"/>
      <c r="D9808" s="44"/>
      <c r="L9808" s="45"/>
      <c r="N9808" s="45"/>
    </row>
    <row r="9809">
      <c r="A9809" s="40" t="str">
        <f t="shared" si="1"/>
        <v/>
      </c>
      <c r="B9809" s="37" t="str">
        <f t="array" ref="B9809">iferror(xlookup($I9809, 'IMPORT VHC Report'!$E:$E, 'IMPORT VHC Report'!$A:$C), )</f>
        <v/>
      </c>
      <c r="C9809" s="44"/>
      <c r="D9809" s="44"/>
      <c r="L9809" s="45"/>
      <c r="N9809" s="45"/>
    </row>
    <row r="9810">
      <c r="A9810" s="40" t="str">
        <f t="shared" si="1"/>
        <v/>
      </c>
      <c r="B9810" s="37" t="str">
        <f t="array" ref="B9810">iferror(xlookup($I9810, 'IMPORT VHC Report'!$E:$E, 'IMPORT VHC Report'!$A:$C), )</f>
        <v/>
      </c>
      <c r="C9810" s="44"/>
      <c r="D9810" s="44"/>
      <c r="L9810" s="45"/>
      <c r="N9810" s="45"/>
    </row>
    <row r="9811">
      <c r="A9811" s="40" t="str">
        <f t="shared" si="1"/>
        <v/>
      </c>
      <c r="B9811" s="37" t="str">
        <f t="array" ref="B9811">iferror(xlookup($I9811, 'IMPORT VHC Report'!$E:$E, 'IMPORT VHC Report'!$A:$C), )</f>
        <v/>
      </c>
      <c r="C9811" s="44"/>
      <c r="D9811" s="44"/>
      <c r="L9811" s="45"/>
      <c r="N9811" s="45"/>
    </row>
    <row r="9812">
      <c r="A9812" s="40" t="str">
        <f t="shared" si="1"/>
        <v/>
      </c>
      <c r="B9812" s="37" t="str">
        <f t="array" ref="B9812">iferror(xlookup($I9812, 'IMPORT VHC Report'!$E:$E, 'IMPORT VHC Report'!$A:$C), )</f>
        <v/>
      </c>
      <c r="C9812" s="44"/>
      <c r="D9812" s="44"/>
      <c r="L9812" s="45"/>
      <c r="N9812" s="45"/>
    </row>
    <row r="9813">
      <c r="A9813" s="40" t="str">
        <f t="shared" si="1"/>
        <v/>
      </c>
      <c r="B9813" s="37" t="str">
        <f t="array" ref="B9813">iferror(xlookup($I9813, 'IMPORT VHC Report'!$E:$E, 'IMPORT VHC Report'!$A:$C), )</f>
        <v/>
      </c>
      <c r="C9813" s="44"/>
      <c r="D9813" s="44"/>
      <c r="L9813" s="45"/>
      <c r="N9813" s="45"/>
    </row>
    <row r="9814">
      <c r="A9814" s="40" t="str">
        <f t="shared" si="1"/>
        <v/>
      </c>
      <c r="B9814" s="37" t="str">
        <f t="array" ref="B9814">iferror(xlookup($I9814, 'IMPORT VHC Report'!$E:$E, 'IMPORT VHC Report'!$A:$C), )</f>
        <v/>
      </c>
      <c r="C9814" s="44"/>
      <c r="D9814" s="44"/>
      <c r="L9814" s="45"/>
      <c r="N9814" s="45"/>
    </row>
    <row r="9815">
      <c r="A9815" s="40" t="str">
        <f t="shared" si="1"/>
        <v/>
      </c>
      <c r="B9815" s="37" t="str">
        <f t="array" ref="B9815">iferror(xlookup($I9815, 'IMPORT VHC Report'!$E:$E, 'IMPORT VHC Report'!$A:$C), )</f>
        <v/>
      </c>
      <c r="C9815" s="44"/>
      <c r="D9815" s="44"/>
      <c r="L9815" s="45"/>
      <c r="N9815" s="45"/>
    </row>
    <row r="9816">
      <c r="A9816" s="40" t="str">
        <f t="shared" si="1"/>
        <v/>
      </c>
      <c r="B9816" s="37" t="str">
        <f t="array" ref="B9816">iferror(xlookup($I9816, 'IMPORT VHC Report'!$E:$E, 'IMPORT VHC Report'!$A:$C), )</f>
        <v/>
      </c>
      <c r="C9816" s="44"/>
      <c r="D9816" s="44"/>
      <c r="L9816" s="45"/>
      <c r="N9816" s="45"/>
    </row>
    <row r="9817">
      <c r="A9817" s="40" t="str">
        <f t="shared" si="1"/>
        <v/>
      </c>
      <c r="B9817" s="37" t="str">
        <f t="array" ref="B9817">iferror(xlookup($I9817, 'IMPORT VHC Report'!$E:$E, 'IMPORT VHC Report'!$A:$C), )</f>
        <v/>
      </c>
      <c r="C9817" s="44"/>
      <c r="D9817" s="44"/>
      <c r="L9817" s="45"/>
      <c r="N9817" s="45"/>
    </row>
    <row r="9818">
      <c r="A9818" s="40" t="str">
        <f t="shared" si="1"/>
        <v/>
      </c>
      <c r="B9818" s="37" t="str">
        <f t="array" ref="B9818">iferror(xlookup($I9818, 'IMPORT VHC Report'!$E:$E, 'IMPORT VHC Report'!$A:$C), )</f>
        <v/>
      </c>
      <c r="C9818" s="44"/>
      <c r="D9818" s="44"/>
      <c r="L9818" s="45"/>
      <c r="N9818" s="45"/>
    </row>
    <row r="9819">
      <c r="A9819" s="40" t="str">
        <f t="shared" si="1"/>
        <v/>
      </c>
      <c r="B9819" s="37" t="str">
        <f t="array" ref="B9819">iferror(xlookup($I9819, 'IMPORT VHC Report'!$E:$E, 'IMPORT VHC Report'!$A:$C), )</f>
        <v/>
      </c>
      <c r="C9819" s="44"/>
      <c r="D9819" s="44"/>
      <c r="L9819" s="45"/>
      <c r="N9819" s="45"/>
    </row>
    <row r="9820">
      <c r="A9820" s="40" t="str">
        <f t="shared" si="1"/>
        <v/>
      </c>
      <c r="B9820" s="37" t="str">
        <f t="array" ref="B9820">iferror(xlookup($I9820, 'IMPORT VHC Report'!$E:$E, 'IMPORT VHC Report'!$A:$C), )</f>
        <v/>
      </c>
      <c r="C9820" s="44"/>
      <c r="D9820" s="44"/>
      <c r="L9820" s="45"/>
      <c r="N9820" s="45"/>
    </row>
    <row r="9821">
      <c r="A9821" s="40" t="str">
        <f t="shared" si="1"/>
        <v/>
      </c>
      <c r="B9821" s="37" t="str">
        <f t="array" ref="B9821">iferror(xlookup($I9821, 'IMPORT VHC Report'!$E:$E, 'IMPORT VHC Report'!$A:$C), )</f>
        <v/>
      </c>
      <c r="C9821" s="44"/>
      <c r="D9821" s="44"/>
      <c r="L9821" s="45"/>
      <c r="N9821" s="45"/>
    </row>
    <row r="9822">
      <c r="A9822" s="40" t="str">
        <f t="shared" si="1"/>
        <v/>
      </c>
      <c r="B9822" s="37" t="str">
        <f t="array" ref="B9822">iferror(xlookup($I9822, 'IMPORT VHC Report'!$E:$E, 'IMPORT VHC Report'!$A:$C), )</f>
        <v/>
      </c>
      <c r="C9822" s="44"/>
      <c r="D9822" s="44"/>
      <c r="L9822" s="45"/>
      <c r="N9822" s="45"/>
    </row>
    <row r="9823">
      <c r="A9823" s="40" t="str">
        <f t="shared" si="1"/>
        <v/>
      </c>
      <c r="B9823" s="37" t="str">
        <f t="array" ref="B9823">iferror(xlookup($I9823, 'IMPORT VHC Report'!$E:$E, 'IMPORT VHC Report'!$A:$C), )</f>
        <v/>
      </c>
      <c r="C9823" s="44"/>
      <c r="D9823" s="44"/>
      <c r="L9823" s="45"/>
      <c r="N9823" s="45"/>
    </row>
    <row r="9824">
      <c r="A9824" s="40" t="str">
        <f t="shared" si="1"/>
        <v/>
      </c>
      <c r="B9824" s="37" t="str">
        <f t="array" ref="B9824">iferror(xlookup($I9824, 'IMPORT VHC Report'!$E:$E, 'IMPORT VHC Report'!$A:$C), )</f>
        <v/>
      </c>
      <c r="C9824" s="44"/>
      <c r="D9824" s="44"/>
      <c r="L9824" s="45"/>
      <c r="N9824" s="45"/>
    </row>
    <row r="9825">
      <c r="A9825" s="40" t="str">
        <f t="shared" si="1"/>
        <v/>
      </c>
      <c r="B9825" s="37" t="str">
        <f t="array" ref="B9825">iferror(xlookup($I9825, 'IMPORT VHC Report'!$E:$E, 'IMPORT VHC Report'!$A:$C), )</f>
        <v/>
      </c>
      <c r="C9825" s="44"/>
      <c r="D9825" s="44"/>
      <c r="L9825" s="45"/>
      <c r="N9825" s="45"/>
    </row>
    <row r="9826">
      <c r="A9826" s="40" t="str">
        <f t="shared" si="1"/>
        <v/>
      </c>
      <c r="B9826" s="37" t="str">
        <f t="array" ref="B9826">iferror(xlookup($I9826, 'IMPORT VHC Report'!$E:$E, 'IMPORT VHC Report'!$A:$C), )</f>
        <v/>
      </c>
      <c r="C9826" s="44"/>
      <c r="D9826" s="44"/>
      <c r="L9826" s="45"/>
      <c r="N9826" s="45"/>
    </row>
    <row r="9827">
      <c r="A9827" s="40" t="str">
        <f t="shared" si="1"/>
        <v/>
      </c>
      <c r="B9827" s="37" t="str">
        <f t="array" ref="B9827">iferror(xlookup($I9827, 'IMPORT VHC Report'!$E:$E, 'IMPORT VHC Report'!$A:$C), )</f>
        <v/>
      </c>
      <c r="C9827" s="44"/>
      <c r="D9827" s="44"/>
      <c r="L9827" s="45"/>
      <c r="N9827" s="45"/>
    </row>
    <row r="9828">
      <c r="A9828" s="40" t="str">
        <f t="shared" si="1"/>
        <v/>
      </c>
      <c r="B9828" s="37" t="str">
        <f t="array" ref="B9828">iferror(xlookup($I9828, 'IMPORT VHC Report'!$E:$E, 'IMPORT VHC Report'!$A:$C), )</f>
        <v/>
      </c>
      <c r="C9828" s="44"/>
      <c r="D9828" s="44"/>
      <c r="L9828" s="45"/>
      <c r="N9828" s="45"/>
    </row>
    <row r="9829">
      <c r="A9829" s="40" t="str">
        <f t="shared" si="1"/>
        <v/>
      </c>
      <c r="B9829" s="37" t="str">
        <f t="array" ref="B9829">iferror(xlookup($I9829, 'IMPORT VHC Report'!$E:$E, 'IMPORT VHC Report'!$A:$C), )</f>
        <v/>
      </c>
      <c r="C9829" s="44"/>
      <c r="D9829" s="44"/>
      <c r="L9829" s="45"/>
      <c r="N9829" s="45"/>
    </row>
    <row r="9830">
      <c r="A9830" s="40" t="str">
        <f t="shared" si="1"/>
        <v/>
      </c>
      <c r="B9830" s="37" t="str">
        <f t="array" ref="B9830">iferror(xlookup($I9830, 'IMPORT VHC Report'!$E:$E, 'IMPORT VHC Report'!$A:$C), )</f>
        <v/>
      </c>
      <c r="C9830" s="44"/>
      <c r="D9830" s="44"/>
      <c r="L9830" s="45"/>
      <c r="N9830" s="45"/>
    </row>
    <row r="9831">
      <c r="A9831" s="40" t="str">
        <f t="shared" si="1"/>
        <v/>
      </c>
      <c r="B9831" s="37" t="str">
        <f t="array" ref="B9831">iferror(xlookup($I9831, 'IMPORT VHC Report'!$E:$E, 'IMPORT VHC Report'!$A:$C), )</f>
        <v/>
      </c>
      <c r="C9831" s="44"/>
      <c r="D9831" s="44"/>
      <c r="L9831" s="45"/>
      <c r="N9831" s="45"/>
    </row>
    <row r="9832">
      <c r="A9832" s="40" t="str">
        <f t="shared" si="1"/>
        <v/>
      </c>
      <c r="B9832" s="37" t="str">
        <f t="array" ref="B9832">iferror(xlookup($I9832, 'IMPORT VHC Report'!$E:$E, 'IMPORT VHC Report'!$A:$C), )</f>
        <v/>
      </c>
      <c r="C9832" s="44"/>
      <c r="D9832" s="44"/>
      <c r="L9832" s="45"/>
      <c r="N9832" s="45"/>
    </row>
    <row r="9833">
      <c r="A9833" s="40" t="str">
        <f t="shared" si="1"/>
        <v/>
      </c>
      <c r="B9833" s="37" t="str">
        <f t="array" ref="B9833">iferror(xlookup($I9833, 'IMPORT VHC Report'!$E:$E, 'IMPORT VHC Report'!$A:$C), )</f>
        <v/>
      </c>
      <c r="C9833" s="44"/>
      <c r="D9833" s="44"/>
      <c r="L9833" s="45"/>
      <c r="N9833" s="45"/>
    </row>
    <row r="9834">
      <c r="A9834" s="40" t="str">
        <f t="shared" si="1"/>
        <v/>
      </c>
      <c r="B9834" s="37" t="str">
        <f t="array" ref="B9834">iferror(xlookup($I9834, 'IMPORT VHC Report'!$E:$E, 'IMPORT VHC Report'!$A:$C), )</f>
        <v/>
      </c>
      <c r="C9834" s="44"/>
      <c r="D9834" s="44"/>
      <c r="L9834" s="45"/>
      <c r="N9834" s="45"/>
    </row>
    <row r="9835">
      <c r="A9835" s="40" t="str">
        <f t="shared" si="1"/>
        <v/>
      </c>
      <c r="B9835" s="37" t="str">
        <f t="array" ref="B9835">iferror(xlookup($I9835, 'IMPORT VHC Report'!$E:$E, 'IMPORT VHC Report'!$A:$C), )</f>
        <v/>
      </c>
      <c r="C9835" s="44"/>
      <c r="D9835" s="44"/>
      <c r="L9835" s="45"/>
      <c r="N9835" s="45"/>
    </row>
    <row r="9836">
      <c r="A9836" s="40" t="str">
        <f t="shared" si="1"/>
        <v/>
      </c>
      <c r="B9836" s="37" t="str">
        <f t="array" ref="B9836">iferror(xlookup($I9836, 'IMPORT VHC Report'!$E:$E, 'IMPORT VHC Report'!$A:$C), )</f>
        <v/>
      </c>
      <c r="C9836" s="44"/>
      <c r="D9836" s="44"/>
      <c r="L9836" s="45"/>
      <c r="N9836" s="45"/>
    </row>
    <row r="9837">
      <c r="A9837" s="40" t="str">
        <f t="shared" si="1"/>
        <v/>
      </c>
      <c r="B9837" s="37" t="str">
        <f t="array" ref="B9837">iferror(xlookup($I9837, 'IMPORT VHC Report'!$E:$E, 'IMPORT VHC Report'!$A:$C), )</f>
        <v/>
      </c>
      <c r="C9837" s="44"/>
      <c r="D9837" s="44"/>
      <c r="L9837" s="45"/>
      <c r="N9837" s="45"/>
    </row>
    <row r="9838">
      <c r="A9838" s="40" t="str">
        <f t="shared" si="1"/>
        <v/>
      </c>
      <c r="B9838" s="37" t="str">
        <f t="array" ref="B9838">iferror(xlookup($I9838, 'IMPORT VHC Report'!$E:$E, 'IMPORT VHC Report'!$A:$C), )</f>
        <v/>
      </c>
      <c r="C9838" s="44"/>
      <c r="D9838" s="44"/>
      <c r="L9838" s="45"/>
      <c r="N9838" s="45"/>
    </row>
    <row r="9839">
      <c r="A9839" s="40" t="str">
        <f t="shared" si="1"/>
        <v/>
      </c>
      <c r="B9839" s="37" t="str">
        <f t="array" ref="B9839">iferror(xlookup($I9839, 'IMPORT VHC Report'!$E:$E, 'IMPORT VHC Report'!$A:$C), )</f>
        <v/>
      </c>
      <c r="C9839" s="44"/>
      <c r="D9839" s="44"/>
      <c r="L9839" s="45"/>
      <c r="N9839" s="45"/>
    </row>
    <row r="9840">
      <c r="A9840" s="40" t="str">
        <f t="shared" si="1"/>
        <v/>
      </c>
      <c r="B9840" s="37" t="str">
        <f t="array" ref="B9840">iferror(xlookup($I9840, 'IMPORT VHC Report'!$E:$E, 'IMPORT VHC Report'!$A:$C), )</f>
        <v/>
      </c>
      <c r="C9840" s="44"/>
      <c r="D9840" s="44"/>
      <c r="L9840" s="45"/>
      <c r="N9840" s="45"/>
    </row>
    <row r="9841">
      <c r="A9841" s="40" t="str">
        <f t="shared" si="1"/>
        <v/>
      </c>
      <c r="B9841" s="37" t="str">
        <f t="array" ref="B9841">iferror(xlookup($I9841, 'IMPORT VHC Report'!$E:$E, 'IMPORT VHC Report'!$A:$C), )</f>
        <v/>
      </c>
      <c r="C9841" s="44"/>
      <c r="D9841" s="44"/>
      <c r="L9841" s="45"/>
      <c r="N9841" s="45"/>
    </row>
    <row r="9842">
      <c r="A9842" s="40" t="str">
        <f t="shared" si="1"/>
        <v/>
      </c>
      <c r="B9842" s="37" t="str">
        <f t="array" ref="B9842">iferror(xlookup($I9842, 'IMPORT VHC Report'!$E:$E, 'IMPORT VHC Report'!$A:$C), )</f>
        <v/>
      </c>
      <c r="C9842" s="44"/>
      <c r="D9842" s="44"/>
      <c r="L9842" s="45"/>
      <c r="N9842" s="45"/>
    </row>
    <row r="9843">
      <c r="A9843" s="40" t="str">
        <f t="shared" si="1"/>
        <v/>
      </c>
      <c r="B9843" s="37" t="str">
        <f t="array" ref="B9843">iferror(xlookup($I9843, 'IMPORT VHC Report'!$E:$E, 'IMPORT VHC Report'!$A:$C), )</f>
        <v/>
      </c>
      <c r="C9843" s="44"/>
      <c r="D9843" s="44"/>
      <c r="L9843" s="45"/>
      <c r="N9843" s="45"/>
    </row>
    <row r="9844">
      <c r="A9844" s="40" t="str">
        <f t="shared" si="1"/>
        <v/>
      </c>
      <c r="B9844" s="37" t="str">
        <f t="array" ref="B9844">iferror(xlookup($I9844, 'IMPORT VHC Report'!$E:$E, 'IMPORT VHC Report'!$A:$C), )</f>
        <v/>
      </c>
      <c r="C9844" s="44"/>
      <c r="D9844" s="44"/>
      <c r="L9844" s="45"/>
      <c r="N9844" s="45"/>
    </row>
    <row r="9845">
      <c r="A9845" s="40" t="str">
        <f t="shared" si="1"/>
        <v/>
      </c>
      <c r="B9845" s="37" t="str">
        <f t="array" ref="B9845">iferror(xlookup($I9845, 'IMPORT VHC Report'!$E:$E, 'IMPORT VHC Report'!$A:$C), )</f>
        <v/>
      </c>
      <c r="C9845" s="44"/>
      <c r="D9845" s="44"/>
      <c r="L9845" s="45"/>
      <c r="N9845" s="45"/>
    </row>
    <row r="9846">
      <c r="A9846" s="40" t="str">
        <f t="shared" si="1"/>
        <v/>
      </c>
      <c r="B9846" s="37" t="str">
        <f t="array" ref="B9846">iferror(xlookup($I9846, 'IMPORT VHC Report'!$E:$E, 'IMPORT VHC Report'!$A:$C), )</f>
        <v/>
      </c>
      <c r="C9846" s="44"/>
      <c r="D9846" s="44"/>
      <c r="L9846" s="45"/>
      <c r="N9846" s="45"/>
    </row>
    <row r="9847">
      <c r="A9847" s="40" t="str">
        <f t="shared" si="1"/>
        <v/>
      </c>
      <c r="B9847" s="37" t="str">
        <f t="array" ref="B9847">iferror(xlookup($I9847, 'IMPORT VHC Report'!$E:$E, 'IMPORT VHC Report'!$A:$C), )</f>
        <v/>
      </c>
      <c r="C9847" s="44"/>
      <c r="D9847" s="44"/>
      <c r="L9847" s="45"/>
      <c r="N9847" s="45"/>
    </row>
    <row r="9848">
      <c r="A9848" s="40" t="str">
        <f t="shared" si="1"/>
        <v/>
      </c>
      <c r="B9848" s="37" t="str">
        <f t="array" ref="B9848">iferror(xlookup($I9848, 'IMPORT VHC Report'!$E:$E, 'IMPORT VHC Report'!$A:$C), )</f>
        <v/>
      </c>
      <c r="C9848" s="44"/>
      <c r="D9848" s="44"/>
      <c r="L9848" s="45"/>
      <c r="N9848" s="45"/>
    </row>
    <row r="9849">
      <c r="A9849" s="40" t="str">
        <f t="shared" si="1"/>
        <v/>
      </c>
      <c r="B9849" s="37" t="str">
        <f t="array" ref="B9849">iferror(xlookup($I9849, 'IMPORT VHC Report'!$E:$E, 'IMPORT VHC Report'!$A:$C), )</f>
        <v/>
      </c>
      <c r="C9849" s="44"/>
      <c r="D9849" s="44"/>
      <c r="L9849" s="45"/>
      <c r="N9849" s="45"/>
    </row>
    <row r="9850">
      <c r="A9850" s="40" t="str">
        <f t="shared" si="1"/>
        <v/>
      </c>
      <c r="B9850" s="37" t="str">
        <f t="array" ref="B9850">iferror(xlookup($I9850, 'IMPORT VHC Report'!$E:$E, 'IMPORT VHC Report'!$A:$C), )</f>
        <v/>
      </c>
      <c r="C9850" s="44"/>
      <c r="D9850" s="44"/>
      <c r="L9850" s="45"/>
      <c r="N9850" s="45"/>
    </row>
    <row r="9851">
      <c r="A9851" s="40" t="str">
        <f t="shared" si="1"/>
        <v/>
      </c>
      <c r="B9851" s="37" t="str">
        <f t="array" ref="B9851">iferror(xlookup($I9851, 'IMPORT VHC Report'!$E:$E, 'IMPORT VHC Report'!$A:$C), )</f>
        <v/>
      </c>
      <c r="C9851" s="44"/>
      <c r="D9851" s="44"/>
      <c r="L9851" s="45"/>
      <c r="N9851" s="45"/>
    </row>
    <row r="9852">
      <c r="A9852" s="40" t="str">
        <f t="shared" si="1"/>
        <v/>
      </c>
      <c r="B9852" s="37" t="str">
        <f t="array" ref="B9852">iferror(xlookup($I9852, 'IMPORT VHC Report'!$E:$E, 'IMPORT VHC Report'!$A:$C), )</f>
        <v/>
      </c>
      <c r="C9852" s="44"/>
      <c r="D9852" s="44"/>
      <c r="L9852" s="45"/>
      <c r="N9852" s="45"/>
    </row>
    <row r="9853">
      <c r="A9853" s="40" t="str">
        <f t="shared" si="1"/>
        <v/>
      </c>
      <c r="B9853" s="37" t="str">
        <f t="array" ref="B9853">iferror(xlookup($I9853, 'IMPORT VHC Report'!$E:$E, 'IMPORT VHC Report'!$A:$C), )</f>
        <v/>
      </c>
      <c r="C9853" s="44"/>
      <c r="D9853" s="44"/>
      <c r="L9853" s="45"/>
      <c r="N9853" s="45"/>
    </row>
    <row r="9854">
      <c r="A9854" s="40" t="str">
        <f t="shared" si="1"/>
        <v/>
      </c>
      <c r="B9854" s="37" t="str">
        <f t="array" ref="B9854">iferror(xlookup($I9854, 'IMPORT VHC Report'!$E:$E, 'IMPORT VHC Report'!$A:$C), )</f>
        <v/>
      </c>
      <c r="C9854" s="44"/>
      <c r="D9854" s="44"/>
      <c r="L9854" s="45"/>
      <c r="N9854" s="45"/>
    </row>
    <row r="9855">
      <c r="A9855" s="40" t="str">
        <f t="shared" si="1"/>
        <v/>
      </c>
      <c r="B9855" s="37" t="str">
        <f t="array" ref="B9855">iferror(xlookup($I9855, 'IMPORT VHC Report'!$E:$E, 'IMPORT VHC Report'!$A:$C), )</f>
        <v/>
      </c>
      <c r="C9855" s="44"/>
      <c r="D9855" s="44"/>
      <c r="L9855" s="45"/>
      <c r="N9855" s="45"/>
    </row>
    <row r="9856">
      <c r="A9856" s="40" t="str">
        <f t="shared" si="1"/>
        <v/>
      </c>
      <c r="B9856" s="37" t="str">
        <f t="array" ref="B9856">iferror(xlookup($I9856, 'IMPORT VHC Report'!$E:$E, 'IMPORT VHC Report'!$A:$C), )</f>
        <v/>
      </c>
      <c r="C9856" s="44"/>
      <c r="D9856" s="44"/>
      <c r="L9856" s="45"/>
      <c r="N9856" s="45"/>
    </row>
    <row r="9857">
      <c r="A9857" s="40" t="str">
        <f t="shared" si="1"/>
        <v/>
      </c>
      <c r="B9857" s="37" t="str">
        <f t="array" ref="B9857">iferror(xlookup($I9857, 'IMPORT VHC Report'!$E:$E, 'IMPORT VHC Report'!$A:$C), )</f>
        <v/>
      </c>
      <c r="C9857" s="44"/>
      <c r="D9857" s="44"/>
      <c r="L9857" s="45"/>
      <c r="N9857" s="45"/>
    </row>
    <row r="9858">
      <c r="A9858" s="40" t="str">
        <f t="shared" si="1"/>
        <v/>
      </c>
      <c r="B9858" s="37" t="str">
        <f t="array" ref="B9858">iferror(xlookup($I9858, 'IMPORT VHC Report'!$E:$E, 'IMPORT VHC Report'!$A:$C), )</f>
        <v/>
      </c>
      <c r="C9858" s="44"/>
      <c r="D9858" s="44"/>
      <c r="L9858" s="45"/>
      <c r="N9858" s="45"/>
    </row>
    <row r="9859">
      <c r="A9859" s="40" t="str">
        <f t="shared" si="1"/>
        <v/>
      </c>
      <c r="B9859" s="37" t="str">
        <f t="array" ref="B9859">iferror(xlookup($I9859, 'IMPORT VHC Report'!$E:$E, 'IMPORT VHC Report'!$A:$C), )</f>
        <v/>
      </c>
      <c r="C9859" s="44"/>
      <c r="D9859" s="44"/>
      <c r="L9859" s="45"/>
      <c r="N9859" s="45"/>
    </row>
    <row r="9860">
      <c r="A9860" s="40" t="str">
        <f t="shared" si="1"/>
        <v/>
      </c>
      <c r="B9860" s="37" t="str">
        <f t="array" ref="B9860">iferror(xlookup($I9860, 'IMPORT VHC Report'!$E:$E, 'IMPORT VHC Report'!$A:$C), )</f>
        <v/>
      </c>
      <c r="C9860" s="44"/>
      <c r="D9860" s="44"/>
      <c r="L9860" s="45"/>
      <c r="N9860" s="45"/>
    </row>
    <row r="9861">
      <c r="A9861" s="40" t="str">
        <f t="shared" si="1"/>
        <v/>
      </c>
      <c r="B9861" s="37" t="str">
        <f t="array" ref="B9861">iferror(xlookup($I9861, 'IMPORT VHC Report'!$E:$E, 'IMPORT VHC Report'!$A:$C), )</f>
        <v/>
      </c>
      <c r="C9861" s="44"/>
      <c r="D9861" s="44"/>
      <c r="L9861" s="45"/>
      <c r="N9861" s="45"/>
    </row>
    <row r="9862">
      <c r="A9862" s="40" t="str">
        <f t="shared" si="1"/>
        <v/>
      </c>
      <c r="B9862" s="37" t="str">
        <f t="array" ref="B9862">iferror(xlookup($I9862, 'IMPORT VHC Report'!$E:$E, 'IMPORT VHC Report'!$A:$C), )</f>
        <v/>
      </c>
      <c r="C9862" s="44"/>
      <c r="D9862" s="44"/>
      <c r="L9862" s="45"/>
      <c r="N9862" s="45"/>
    </row>
    <row r="9863">
      <c r="A9863" s="40" t="str">
        <f t="shared" si="1"/>
        <v/>
      </c>
      <c r="B9863" s="37" t="str">
        <f t="array" ref="B9863">iferror(xlookup($I9863, 'IMPORT VHC Report'!$E:$E, 'IMPORT VHC Report'!$A:$C), )</f>
        <v/>
      </c>
      <c r="C9863" s="44"/>
      <c r="D9863" s="44"/>
      <c r="L9863" s="45"/>
      <c r="N9863" s="45"/>
    </row>
    <row r="9864">
      <c r="A9864" s="40" t="str">
        <f t="shared" si="1"/>
        <v/>
      </c>
      <c r="B9864" s="37" t="str">
        <f t="array" ref="B9864">iferror(xlookup($I9864, 'IMPORT VHC Report'!$E:$E, 'IMPORT VHC Report'!$A:$C), )</f>
        <v/>
      </c>
      <c r="C9864" s="44"/>
      <c r="D9864" s="44"/>
      <c r="L9864" s="45"/>
      <c r="N9864" s="45"/>
    </row>
    <row r="9865">
      <c r="A9865" s="40" t="str">
        <f t="shared" si="1"/>
        <v/>
      </c>
      <c r="B9865" s="37" t="str">
        <f t="array" ref="B9865">iferror(xlookup($I9865, 'IMPORT VHC Report'!$E:$E, 'IMPORT VHC Report'!$A:$C), )</f>
        <v/>
      </c>
      <c r="C9865" s="44"/>
      <c r="D9865" s="44"/>
      <c r="L9865" s="45"/>
      <c r="N9865" s="45"/>
    </row>
    <row r="9866">
      <c r="A9866" s="40" t="str">
        <f t="shared" si="1"/>
        <v/>
      </c>
      <c r="B9866" s="37" t="str">
        <f t="array" ref="B9866">iferror(xlookup($I9866, 'IMPORT VHC Report'!$E:$E, 'IMPORT VHC Report'!$A:$C), )</f>
        <v/>
      </c>
      <c r="C9866" s="44"/>
      <c r="D9866" s="44"/>
      <c r="L9866" s="45"/>
      <c r="N9866" s="45"/>
    </row>
    <row r="9867">
      <c r="A9867" s="40" t="str">
        <f t="shared" si="1"/>
        <v/>
      </c>
      <c r="B9867" s="37" t="str">
        <f t="array" ref="B9867">iferror(xlookup($I9867, 'IMPORT VHC Report'!$E:$E, 'IMPORT VHC Report'!$A:$C), )</f>
        <v/>
      </c>
      <c r="C9867" s="44"/>
      <c r="D9867" s="44"/>
      <c r="L9867" s="45"/>
      <c r="N9867" s="45"/>
    </row>
    <row r="9868">
      <c r="A9868" s="40" t="str">
        <f t="shared" si="1"/>
        <v/>
      </c>
      <c r="B9868" s="37" t="str">
        <f t="array" ref="B9868">iferror(xlookup($I9868, 'IMPORT VHC Report'!$E:$E, 'IMPORT VHC Report'!$A:$C), )</f>
        <v/>
      </c>
      <c r="C9868" s="44"/>
      <c r="D9868" s="44"/>
      <c r="L9868" s="45"/>
      <c r="N9868" s="45"/>
    </row>
    <row r="9869">
      <c r="A9869" s="40" t="str">
        <f t="shared" si="1"/>
        <v/>
      </c>
      <c r="B9869" s="37" t="str">
        <f t="array" ref="B9869">iferror(xlookup($I9869, 'IMPORT VHC Report'!$E:$E, 'IMPORT VHC Report'!$A:$C), )</f>
        <v/>
      </c>
      <c r="C9869" s="44"/>
      <c r="D9869" s="44"/>
      <c r="L9869" s="45"/>
      <c r="N9869" s="45"/>
    </row>
    <row r="9870">
      <c r="A9870" s="40" t="str">
        <f t="shared" si="1"/>
        <v/>
      </c>
      <c r="B9870" s="37" t="str">
        <f t="array" ref="B9870">iferror(xlookup($I9870, 'IMPORT VHC Report'!$E:$E, 'IMPORT VHC Report'!$A:$C), )</f>
        <v/>
      </c>
      <c r="C9870" s="44"/>
      <c r="D9870" s="44"/>
      <c r="L9870" s="45"/>
      <c r="N9870" s="45"/>
    </row>
    <row r="9871">
      <c r="A9871" s="40" t="str">
        <f t="shared" si="1"/>
        <v/>
      </c>
      <c r="B9871" s="37" t="str">
        <f t="array" ref="B9871">iferror(xlookup($I9871, 'IMPORT VHC Report'!$E:$E, 'IMPORT VHC Report'!$A:$C), )</f>
        <v/>
      </c>
      <c r="C9871" s="44"/>
      <c r="D9871" s="44"/>
      <c r="L9871" s="45"/>
      <c r="N9871" s="45"/>
    </row>
    <row r="9872">
      <c r="A9872" s="40" t="str">
        <f t="shared" si="1"/>
        <v/>
      </c>
      <c r="B9872" s="37" t="str">
        <f t="array" ref="B9872">iferror(xlookup($I9872, 'IMPORT VHC Report'!$E:$E, 'IMPORT VHC Report'!$A:$C), )</f>
        <v/>
      </c>
      <c r="C9872" s="44"/>
      <c r="D9872" s="44"/>
      <c r="L9872" s="45"/>
      <c r="N9872" s="45"/>
    </row>
    <row r="9873">
      <c r="A9873" s="40" t="str">
        <f t="shared" si="1"/>
        <v/>
      </c>
      <c r="B9873" s="37" t="str">
        <f t="array" ref="B9873">iferror(xlookup($I9873, 'IMPORT VHC Report'!$E:$E, 'IMPORT VHC Report'!$A:$C), )</f>
        <v/>
      </c>
      <c r="C9873" s="44"/>
      <c r="D9873" s="44"/>
      <c r="L9873" s="45"/>
      <c r="N9873" s="45"/>
    </row>
    <row r="9874">
      <c r="A9874" s="40" t="str">
        <f t="shared" si="1"/>
        <v/>
      </c>
      <c r="B9874" s="37" t="str">
        <f t="array" ref="B9874">iferror(xlookup($I9874, 'IMPORT VHC Report'!$E:$E, 'IMPORT VHC Report'!$A:$C), )</f>
        <v/>
      </c>
      <c r="C9874" s="44"/>
      <c r="D9874" s="44"/>
      <c r="L9874" s="45"/>
      <c r="N9874" s="45"/>
    </row>
    <row r="9875">
      <c r="A9875" s="40" t="str">
        <f t="shared" si="1"/>
        <v/>
      </c>
      <c r="B9875" s="37" t="str">
        <f t="array" ref="B9875">iferror(xlookup($I9875, 'IMPORT VHC Report'!$E:$E, 'IMPORT VHC Report'!$A:$C), )</f>
        <v/>
      </c>
      <c r="C9875" s="44"/>
      <c r="D9875" s="44"/>
      <c r="L9875" s="45"/>
      <c r="N9875" s="45"/>
    </row>
    <row r="9876">
      <c r="A9876" s="40" t="str">
        <f t="shared" si="1"/>
        <v/>
      </c>
      <c r="B9876" s="37" t="str">
        <f t="array" ref="B9876">iferror(xlookup($I9876, 'IMPORT VHC Report'!$E:$E, 'IMPORT VHC Report'!$A:$C), )</f>
        <v/>
      </c>
      <c r="C9876" s="44"/>
      <c r="D9876" s="44"/>
      <c r="L9876" s="45"/>
      <c r="N9876" s="45"/>
    </row>
    <row r="9877">
      <c r="A9877" s="40" t="str">
        <f t="shared" si="1"/>
        <v/>
      </c>
      <c r="B9877" s="37" t="str">
        <f t="array" ref="B9877">iferror(xlookup($I9877, 'IMPORT VHC Report'!$E:$E, 'IMPORT VHC Report'!$A:$C), )</f>
        <v/>
      </c>
      <c r="C9877" s="44"/>
      <c r="D9877" s="44"/>
      <c r="L9877" s="45"/>
      <c r="N9877" s="45"/>
    </row>
    <row r="9878">
      <c r="A9878" s="40" t="str">
        <f t="shared" si="1"/>
        <v/>
      </c>
      <c r="B9878" s="37" t="str">
        <f t="array" ref="B9878">iferror(xlookup($I9878, 'IMPORT VHC Report'!$E:$E, 'IMPORT VHC Report'!$A:$C), )</f>
        <v/>
      </c>
      <c r="C9878" s="44"/>
      <c r="D9878" s="44"/>
      <c r="L9878" s="45"/>
      <c r="N9878" s="45"/>
    </row>
    <row r="9879">
      <c r="A9879" s="40" t="str">
        <f t="shared" si="1"/>
        <v/>
      </c>
      <c r="B9879" s="37" t="str">
        <f t="array" ref="B9879">iferror(xlookup($I9879, 'IMPORT VHC Report'!$E:$E, 'IMPORT VHC Report'!$A:$C), )</f>
        <v/>
      </c>
      <c r="C9879" s="44"/>
      <c r="D9879" s="44"/>
      <c r="L9879" s="45"/>
      <c r="N9879" s="45"/>
    </row>
    <row r="9880">
      <c r="A9880" s="40" t="str">
        <f t="shared" si="1"/>
        <v/>
      </c>
      <c r="B9880" s="37" t="str">
        <f t="array" ref="B9880">iferror(xlookup($I9880, 'IMPORT VHC Report'!$E:$E, 'IMPORT VHC Report'!$A:$C), )</f>
        <v/>
      </c>
      <c r="C9880" s="44"/>
      <c r="D9880" s="44"/>
      <c r="L9880" s="45"/>
      <c r="N9880" s="45"/>
    </row>
    <row r="9881">
      <c r="A9881" s="40" t="str">
        <f t="shared" si="1"/>
        <v/>
      </c>
      <c r="B9881" s="37" t="str">
        <f t="array" ref="B9881">iferror(xlookup($I9881, 'IMPORT VHC Report'!$E:$E, 'IMPORT VHC Report'!$A:$C), )</f>
        <v/>
      </c>
      <c r="C9881" s="44"/>
      <c r="D9881" s="44"/>
      <c r="L9881" s="45"/>
      <c r="N9881" s="45"/>
    </row>
    <row r="9882">
      <c r="A9882" s="40" t="str">
        <f t="shared" si="1"/>
        <v/>
      </c>
      <c r="B9882" s="37" t="str">
        <f t="array" ref="B9882">iferror(xlookup($I9882, 'IMPORT VHC Report'!$E:$E, 'IMPORT VHC Report'!$A:$C), )</f>
        <v/>
      </c>
      <c r="C9882" s="44"/>
      <c r="D9882" s="44"/>
      <c r="L9882" s="45"/>
      <c r="N9882" s="45"/>
    </row>
    <row r="9883">
      <c r="A9883" s="40" t="str">
        <f t="shared" si="1"/>
        <v/>
      </c>
      <c r="B9883" s="37" t="str">
        <f t="array" ref="B9883">iferror(xlookup($I9883, 'IMPORT VHC Report'!$E:$E, 'IMPORT VHC Report'!$A:$C), )</f>
        <v/>
      </c>
      <c r="C9883" s="44"/>
      <c r="D9883" s="44"/>
      <c r="L9883" s="45"/>
      <c r="N9883" s="45"/>
    </row>
    <row r="9884">
      <c r="A9884" s="40" t="str">
        <f t="shared" si="1"/>
        <v/>
      </c>
      <c r="B9884" s="37" t="str">
        <f t="array" ref="B9884">iferror(xlookup($I9884, 'IMPORT VHC Report'!$E:$E, 'IMPORT VHC Report'!$A:$C), )</f>
        <v/>
      </c>
      <c r="C9884" s="44"/>
      <c r="D9884" s="44"/>
      <c r="L9884" s="45"/>
      <c r="N9884" s="45"/>
    </row>
    <row r="9885">
      <c r="A9885" s="40" t="str">
        <f t="shared" si="1"/>
        <v/>
      </c>
      <c r="B9885" s="37" t="str">
        <f t="array" ref="B9885">iferror(xlookup($I9885, 'IMPORT VHC Report'!$E:$E, 'IMPORT VHC Report'!$A:$C), )</f>
        <v/>
      </c>
      <c r="C9885" s="44"/>
      <c r="D9885" s="44"/>
      <c r="L9885" s="45"/>
      <c r="N9885" s="45"/>
    </row>
    <row r="9886">
      <c r="A9886" s="40" t="str">
        <f t="shared" si="1"/>
        <v/>
      </c>
      <c r="B9886" s="37" t="str">
        <f t="array" ref="B9886">iferror(xlookup($I9886, 'IMPORT VHC Report'!$E:$E, 'IMPORT VHC Report'!$A:$C), )</f>
        <v/>
      </c>
      <c r="C9886" s="44"/>
      <c r="D9886" s="44"/>
      <c r="L9886" s="45"/>
      <c r="N9886" s="45"/>
    </row>
    <row r="9887">
      <c r="A9887" s="40" t="str">
        <f t="shared" si="1"/>
        <v/>
      </c>
      <c r="B9887" s="37" t="str">
        <f t="array" ref="B9887">iferror(xlookup($I9887, 'IMPORT VHC Report'!$E:$E, 'IMPORT VHC Report'!$A:$C), )</f>
        <v/>
      </c>
      <c r="C9887" s="44"/>
      <c r="D9887" s="44"/>
      <c r="L9887" s="45"/>
      <c r="N9887" s="45"/>
    </row>
    <row r="9888">
      <c r="A9888" s="40" t="str">
        <f t="shared" si="1"/>
        <v/>
      </c>
      <c r="B9888" s="37" t="str">
        <f t="array" ref="B9888">iferror(xlookup($I9888, 'IMPORT VHC Report'!$E:$E, 'IMPORT VHC Report'!$A:$C), )</f>
        <v/>
      </c>
      <c r="C9888" s="44"/>
      <c r="D9888" s="44"/>
      <c r="L9888" s="45"/>
      <c r="N9888" s="45"/>
    </row>
    <row r="9889">
      <c r="A9889" s="40" t="str">
        <f t="shared" si="1"/>
        <v/>
      </c>
      <c r="B9889" s="37" t="str">
        <f t="array" ref="B9889">iferror(xlookup($I9889, 'IMPORT VHC Report'!$E:$E, 'IMPORT VHC Report'!$A:$C), )</f>
        <v/>
      </c>
      <c r="C9889" s="44"/>
      <c r="D9889" s="44"/>
      <c r="L9889" s="45"/>
      <c r="N9889" s="45"/>
    </row>
    <row r="9890">
      <c r="A9890" s="40" t="str">
        <f t="shared" si="1"/>
        <v/>
      </c>
      <c r="B9890" s="37" t="str">
        <f t="array" ref="B9890">iferror(xlookup($I9890, 'IMPORT VHC Report'!$E:$E, 'IMPORT VHC Report'!$A:$C), )</f>
        <v/>
      </c>
      <c r="C9890" s="44"/>
      <c r="D9890" s="44"/>
      <c r="L9890" s="45"/>
      <c r="N9890" s="45"/>
    </row>
    <row r="9891">
      <c r="A9891" s="40" t="str">
        <f t="shared" si="1"/>
        <v/>
      </c>
      <c r="B9891" s="37" t="str">
        <f t="array" ref="B9891">iferror(xlookup($I9891, 'IMPORT VHC Report'!$E:$E, 'IMPORT VHC Report'!$A:$C), )</f>
        <v/>
      </c>
      <c r="C9891" s="44"/>
      <c r="D9891" s="44"/>
      <c r="L9891" s="45"/>
      <c r="N9891" s="45"/>
    </row>
    <row r="9892">
      <c r="A9892" s="40" t="str">
        <f t="shared" si="1"/>
        <v/>
      </c>
      <c r="B9892" s="37" t="str">
        <f t="array" ref="B9892">iferror(xlookup($I9892, 'IMPORT VHC Report'!$E:$E, 'IMPORT VHC Report'!$A:$C), )</f>
        <v/>
      </c>
      <c r="C9892" s="44"/>
      <c r="D9892" s="44"/>
      <c r="L9892" s="45"/>
      <c r="N9892" s="45"/>
    </row>
    <row r="9893">
      <c r="A9893" s="40" t="str">
        <f t="shared" si="1"/>
        <v/>
      </c>
      <c r="B9893" s="37" t="str">
        <f t="array" ref="B9893">iferror(xlookup($I9893, 'IMPORT VHC Report'!$E:$E, 'IMPORT VHC Report'!$A:$C), )</f>
        <v/>
      </c>
      <c r="C9893" s="44"/>
      <c r="D9893" s="44"/>
      <c r="L9893" s="45"/>
      <c r="N9893" s="45"/>
    </row>
    <row r="9894">
      <c r="A9894" s="40" t="str">
        <f t="shared" si="1"/>
        <v/>
      </c>
      <c r="B9894" s="37" t="str">
        <f t="array" ref="B9894">iferror(xlookup($I9894, 'IMPORT VHC Report'!$E:$E, 'IMPORT VHC Report'!$A:$C), )</f>
        <v/>
      </c>
      <c r="C9894" s="44"/>
      <c r="D9894" s="44"/>
      <c r="L9894" s="45"/>
      <c r="N9894" s="45"/>
    </row>
    <row r="9895">
      <c r="A9895" s="40" t="str">
        <f t="shared" si="1"/>
        <v/>
      </c>
      <c r="B9895" s="37" t="str">
        <f t="array" ref="B9895">iferror(xlookup($I9895, 'IMPORT VHC Report'!$E:$E, 'IMPORT VHC Report'!$A:$C), )</f>
        <v/>
      </c>
      <c r="C9895" s="44"/>
      <c r="D9895" s="44"/>
      <c r="L9895" s="45"/>
      <c r="N9895" s="45"/>
    </row>
    <row r="9896">
      <c r="A9896" s="40" t="str">
        <f t="shared" si="1"/>
        <v/>
      </c>
      <c r="B9896" s="37" t="str">
        <f t="array" ref="B9896">iferror(xlookup($I9896, 'IMPORT VHC Report'!$E:$E, 'IMPORT VHC Report'!$A:$C), )</f>
        <v/>
      </c>
      <c r="C9896" s="44"/>
      <c r="D9896" s="44"/>
      <c r="L9896" s="45"/>
      <c r="N9896" s="45"/>
    </row>
    <row r="9897">
      <c r="A9897" s="40" t="str">
        <f t="shared" si="1"/>
        <v/>
      </c>
      <c r="B9897" s="37" t="str">
        <f t="array" ref="B9897">iferror(xlookup($I9897, 'IMPORT VHC Report'!$E:$E, 'IMPORT VHC Report'!$A:$C), )</f>
        <v/>
      </c>
      <c r="C9897" s="44"/>
      <c r="D9897" s="44"/>
      <c r="L9897" s="45"/>
      <c r="N9897" s="45"/>
    </row>
    <row r="9898">
      <c r="A9898" s="40" t="str">
        <f t="shared" si="1"/>
        <v/>
      </c>
      <c r="B9898" s="37" t="str">
        <f t="array" ref="B9898">iferror(xlookup($I9898, 'IMPORT VHC Report'!$E:$E, 'IMPORT VHC Report'!$A:$C), )</f>
        <v/>
      </c>
      <c r="C9898" s="44"/>
      <c r="D9898" s="44"/>
      <c r="L9898" s="45"/>
      <c r="N9898" s="45"/>
    </row>
    <row r="9899">
      <c r="A9899" s="40" t="str">
        <f t="shared" si="1"/>
        <v/>
      </c>
      <c r="B9899" s="37" t="str">
        <f t="array" ref="B9899">iferror(xlookup($I9899, 'IMPORT VHC Report'!$E:$E, 'IMPORT VHC Report'!$A:$C), )</f>
        <v/>
      </c>
      <c r="C9899" s="44"/>
      <c r="D9899" s="44"/>
      <c r="L9899" s="45"/>
      <c r="N9899" s="45"/>
    </row>
    <row r="9900">
      <c r="A9900" s="40" t="str">
        <f t="shared" si="1"/>
        <v/>
      </c>
      <c r="B9900" s="37" t="str">
        <f t="array" ref="B9900">iferror(xlookup($I9900, 'IMPORT VHC Report'!$E:$E, 'IMPORT VHC Report'!$A:$C), )</f>
        <v/>
      </c>
      <c r="C9900" s="44"/>
      <c r="D9900" s="44"/>
      <c r="L9900" s="45"/>
      <c r="N9900" s="45"/>
    </row>
    <row r="9901">
      <c r="A9901" s="40" t="str">
        <f t="shared" si="1"/>
        <v/>
      </c>
      <c r="B9901" s="37" t="str">
        <f t="array" ref="B9901">iferror(xlookup($I9901, 'IMPORT VHC Report'!$E:$E, 'IMPORT VHC Report'!$A:$C), )</f>
        <v/>
      </c>
      <c r="C9901" s="44"/>
      <c r="D9901" s="44"/>
      <c r="L9901" s="45"/>
      <c r="N9901" s="45"/>
    </row>
    <row r="9902">
      <c r="A9902" s="40" t="str">
        <f t="shared" si="1"/>
        <v/>
      </c>
      <c r="B9902" s="37" t="str">
        <f t="array" ref="B9902">iferror(xlookup($I9902, 'IMPORT VHC Report'!$E:$E, 'IMPORT VHC Report'!$A:$C), )</f>
        <v/>
      </c>
      <c r="C9902" s="44"/>
      <c r="D9902" s="44"/>
      <c r="L9902" s="45"/>
      <c r="N9902" s="45"/>
    </row>
    <row r="9903">
      <c r="A9903" s="40" t="str">
        <f t="shared" si="1"/>
        <v/>
      </c>
      <c r="B9903" s="37" t="str">
        <f t="array" ref="B9903">iferror(xlookup($I9903, 'IMPORT VHC Report'!$E:$E, 'IMPORT VHC Report'!$A:$C), )</f>
        <v/>
      </c>
      <c r="C9903" s="44"/>
      <c r="D9903" s="44"/>
      <c r="L9903" s="45"/>
      <c r="N9903" s="45"/>
    </row>
    <row r="9904">
      <c r="A9904" s="40" t="str">
        <f t="shared" si="1"/>
        <v/>
      </c>
      <c r="B9904" s="37" t="str">
        <f t="array" ref="B9904">iferror(xlookup($I9904, 'IMPORT VHC Report'!$E:$E, 'IMPORT VHC Report'!$A:$C), )</f>
        <v/>
      </c>
      <c r="C9904" s="44"/>
      <c r="D9904" s="44"/>
      <c r="L9904" s="45"/>
      <c r="N9904" s="45"/>
    </row>
    <row r="9905">
      <c r="A9905" s="40" t="str">
        <f t="shared" si="1"/>
        <v/>
      </c>
      <c r="B9905" s="37" t="str">
        <f t="array" ref="B9905">iferror(xlookup($I9905, 'IMPORT VHC Report'!$E:$E, 'IMPORT VHC Report'!$A:$C), )</f>
        <v/>
      </c>
      <c r="C9905" s="44"/>
      <c r="D9905" s="44"/>
      <c r="L9905" s="45"/>
      <c r="N9905" s="45"/>
    </row>
    <row r="9906">
      <c r="A9906" s="40" t="str">
        <f t="shared" si="1"/>
        <v/>
      </c>
      <c r="B9906" s="37" t="str">
        <f t="array" ref="B9906">iferror(xlookup($I9906, 'IMPORT VHC Report'!$E:$E, 'IMPORT VHC Report'!$A:$C), )</f>
        <v/>
      </c>
      <c r="C9906" s="44"/>
      <c r="D9906" s="44"/>
      <c r="L9906" s="45"/>
      <c r="N9906" s="45"/>
    </row>
    <row r="9907">
      <c r="A9907" s="40" t="str">
        <f t="shared" si="1"/>
        <v/>
      </c>
      <c r="B9907" s="37" t="str">
        <f t="array" ref="B9907">iferror(xlookup($I9907, 'IMPORT VHC Report'!$E:$E, 'IMPORT VHC Report'!$A:$C), )</f>
        <v/>
      </c>
      <c r="C9907" s="44"/>
      <c r="D9907" s="44"/>
      <c r="L9907" s="45"/>
      <c r="N9907" s="45"/>
    </row>
    <row r="9908">
      <c r="A9908" s="40" t="str">
        <f t="shared" si="1"/>
        <v/>
      </c>
      <c r="B9908" s="37" t="str">
        <f t="array" ref="B9908">iferror(xlookup($I9908, 'IMPORT VHC Report'!$E:$E, 'IMPORT VHC Report'!$A:$C), )</f>
        <v/>
      </c>
      <c r="C9908" s="44"/>
      <c r="D9908" s="44"/>
      <c r="L9908" s="45"/>
      <c r="N9908" s="45"/>
    </row>
    <row r="9909">
      <c r="A9909" s="40" t="str">
        <f t="shared" si="1"/>
        <v/>
      </c>
      <c r="B9909" s="37" t="str">
        <f t="array" ref="B9909">iferror(xlookup($I9909, 'IMPORT VHC Report'!$E:$E, 'IMPORT VHC Report'!$A:$C), )</f>
        <v/>
      </c>
      <c r="C9909" s="44"/>
      <c r="D9909" s="44"/>
      <c r="L9909" s="45"/>
      <c r="N9909" s="45"/>
    </row>
    <row r="9910">
      <c r="A9910" s="40" t="str">
        <f t="shared" si="1"/>
        <v/>
      </c>
      <c r="B9910" s="37" t="str">
        <f t="array" ref="B9910">iferror(xlookup($I9910, 'IMPORT VHC Report'!$E:$E, 'IMPORT VHC Report'!$A:$C), )</f>
        <v/>
      </c>
      <c r="C9910" s="44"/>
      <c r="D9910" s="44"/>
      <c r="L9910" s="45"/>
      <c r="N9910" s="45"/>
    </row>
    <row r="9911">
      <c r="A9911" s="40" t="str">
        <f t="shared" si="1"/>
        <v/>
      </c>
      <c r="B9911" s="37" t="str">
        <f t="array" ref="B9911">iferror(xlookup($I9911, 'IMPORT VHC Report'!$E:$E, 'IMPORT VHC Report'!$A:$C), )</f>
        <v/>
      </c>
      <c r="C9911" s="44"/>
      <c r="D9911" s="44"/>
      <c r="L9911" s="45"/>
      <c r="N9911" s="45"/>
    </row>
    <row r="9912">
      <c r="A9912" s="40" t="str">
        <f t="shared" si="1"/>
        <v/>
      </c>
      <c r="B9912" s="37" t="str">
        <f t="array" ref="B9912">iferror(xlookup($I9912, 'IMPORT VHC Report'!$E:$E, 'IMPORT VHC Report'!$A:$C), )</f>
        <v/>
      </c>
      <c r="C9912" s="44"/>
      <c r="D9912" s="44"/>
      <c r="L9912" s="45"/>
      <c r="N9912" s="45"/>
    </row>
    <row r="9913">
      <c r="A9913" s="40" t="str">
        <f t="shared" si="1"/>
        <v/>
      </c>
      <c r="B9913" s="37" t="str">
        <f t="array" ref="B9913">iferror(xlookup($I9913, 'IMPORT VHC Report'!$E:$E, 'IMPORT VHC Report'!$A:$C), )</f>
        <v/>
      </c>
      <c r="C9913" s="44"/>
      <c r="D9913" s="44"/>
      <c r="L9913" s="45"/>
      <c r="N9913" s="45"/>
    </row>
    <row r="9914">
      <c r="A9914" s="40" t="str">
        <f t="shared" si="1"/>
        <v/>
      </c>
      <c r="B9914" s="37" t="str">
        <f t="array" ref="B9914">iferror(xlookup($I9914, 'IMPORT VHC Report'!$E:$E, 'IMPORT VHC Report'!$A:$C), )</f>
        <v/>
      </c>
      <c r="C9914" s="44"/>
      <c r="D9914" s="44"/>
      <c r="L9914" s="45"/>
      <c r="N9914" s="45"/>
    </row>
    <row r="9915">
      <c r="A9915" s="40" t="str">
        <f t="shared" si="1"/>
        <v/>
      </c>
      <c r="B9915" s="37" t="str">
        <f t="array" ref="B9915">iferror(xlookup($I9915, 'IMPORT VHC Report'!$E:$E, 'IMPORT VHC Report'!$A:$C), )</f>
        <v/>
      </c>
      <c r="C9915" s="44"/>
      <c r="D9915" s="44"/>
      <c r="L9915" s="45"/>
      <c r="N9915" s="45"/>
    </row>
    <row r="9916">
      <c r="A9916" s="40" t="str">
        <f t="shared" si="1"/>
        <v/>
      </c>
      <c r="B9916" s="37" t="str">
        <f t="array" ref="B9916">iferror(xlookup($I9916, 'IMPORT VHC Report'!$E:$E, 'IMPORT VHC Report'!$A:$C), )</f>
        <v/>
      </c>
      <c r="C9916" s="44"/>
      <c r="D9916" s="44"/>
      <c r="L9916" s="45"/>
      <c r="N9916" s="45"/>
    </row>
    <row r="9917">
      <c r="A9917" s="40" t="str">
        <f t="shared" si="1"/>
        <v/>
      </c>
      <c r="B9917" s="37" t="str">
        <f t="array" ref="B9917">iferror(xlookup($I9917, 'IMPORT VHC Report'!$E:$E, 'IMPORT VHC Report'!$A:$C), )</f>
        <v/>
      </c>
      <c r="C9917" s="44"/>
      <c r="D9917" s="44"/>
      <c r="L9917" s="45"/>
      <c r="N9917" s="45"/>
    </row>
    <row r="9918">
      <c r="A9918" s="40" t="str">
        <f t="shared" si="1"/>
        <v/>
      </c>
      <c r="B9918" s="37" t="str">
        <f t="array" ref="B9918">iferror(xlookup($I9918, 'IMPORT VHC Report'!$E:$E, 'IMPORT VHC Report'!$A:$C), )</f>
        <v/>
      </c>
      <c r="C9918" s="44"/>
      <c r="D9918" s="44"/>
      <c r="L9918" s="45"/>
      <c r="N9918" s="45"/>
    </row>
    <row r="9919">
      <c r="A9919" s="40" t="str">
        <f t="shared" si="1"/>
        <v/>
      </c>
      <c r="B9919" s="37" t="str">
        <f t="array" ref="B9919">iferror(xlookup($I9919, 'IMPORT VHC Report'!$E:$E, 'IMPORT VHC Report'!$A:$C), )</f>
        <v/>
      </c>
      <c r="C9919" s="44"/>
      <c r="D9919" s="44"/>
      <c r="L9919" s="45"/>
      <c r="N9919" s="45"/>
    </row>
    <row r="9920">
      <c r="A9920" s="40" t="str">
        <f t="shared" si="1"/>
        <v/>
      </c>
      <c r="B9920" s="37" t="str">
        <f t="array" ref="B9920">iferror(xlookup($I9920, 'IMPORT VHC Report'!$E:$E, 'IMPORT VHC Report'!$A:$C), )</f>
        <v/>
      </c>
      <c r="C9920" s="44"/>
      <c r="D9920" s="44"/>
      <c r="L9920" s="45"/>
      <c r="N9920" s="45"/>
    </row>
    <row r="9921">
      <c r="A9921" s="40" t="str">
        <f t="shared" si="1"/>
        <v/>
      </c>
      <c r="B9921" s="37" t="str">
        <f t="array" ref="B9921">iferror(xlookup($I9921, 'IMPORT VHC Report'!$E:$E, 'IMPORT VHC Report'!$A:$C), )</f>
        <v/>
      </c>
      <c r="C9921" s="44"/>
      <c r="D9921" s="44"/>
      <c r="L9921" s="45"/>
      <c r="N9921" s="45"/>
    </row>
    <row r="9922">
      <c r="A9922" s="40" t="str">
        <f t="shared" si="1"/>
        <v/>
      </c>
      <c r="B9922" s="37" t="str">
        <f t="array" ref="B9922">iferror(xlookup($I9922, 'IMPORT VHC Report'!$E:$E, 'IMPORT VHC Report'!$A:$C), )</f>
        <v/>
      </c>
      <c r="C9922" s="44"/>
      <c r="D9922" s="44"/>
      <c r="L9922" s="45"/>
      <c r="N9922" s="45"/>
    </row>
    <row r="9923">
      <c r="A9923" s="40" t="str">
        <f t="shared" si="1"/>
        <v/>
      </c>
      <c r="B9923" s="37" t="str">
        <f t="array" ref="B9923">iferror(xlookup($I9923, 'IMPORT VHC Report'!$E:$E, 'IMPORT VHC Report'!$A:$C), )</f>
        <v/>
      </c>
      <c r="C9923" s="44"/>
      <c r="D9923" s="44"/>
      <c r="L9923" s="45"/>
      <c r="N9923" s="45"/>
    </row>
    <row r="9924">
      <c r="A9924" s="40" t="str">
        <f t="shared" si="1"/>
        <v/>
      </c>
      <c r="B9924" s="37" t="str">
        <f t="array" ref="B9924">iferror(xlookup($I9924, 'IMPORT VHC Report'!$E:$E, 'IMPORT VHC Report'!$A:$C), )</f>
        <v/>
      </c>
      <c r="C9924" s="44"/>
      <c r="D9924" s="44"/>
      <c r="L9924" s="45"/>
      <c r="N9924" s="45"/>
    </row>
    <row r="9925">
      <c r="A9925" s="40" t="str">
        <f t="shared" si="1"/>
        <v/>
      </c>
      <c r="B9925" s="37" t="str">
        <f t="array" ref="B9925">iferror(xlookup($I9925, 'IMPORT VHC Report'!$E:$E, 'IMPORT VHC Report'!$A:$C), )</f>
        <v/>
      </c>
      <c r="C9925" s="44"/>
      <c r="D9925" s="44"/>
      <c r="L9925" s="45"/>
      <c r="N9925" s="45"/>
    </row>
    <row r="9926">
      <c r="A9926" s="40" t="str">
        <f t="shared" si="1"/>
        <v/>
      </c>
      <c r="B9926" s="37" t="str">
        <f t="array" ref="B9926">iferror(xlookup($I9926, 'IMPORT VHC Report'!$E:$E, 'IMPORT VHC Report'!$A:$C), )</f>
        <v/>
      </c>
      <c r="C9926" s="44"/>
      <c r="D9926" s="44"/>
      <c r="L9926" s="45"/>
      <c r="N9926" s="45"/>
    </row>
    <row r="9927">
      <c r="A9927" s="40" t="str">
        <f t="shared" si="1"/>
        <v/>
      </c>
      <c r="B9927" s="37" t="str">
        <f t="array" ref="B9927">iferror(xlookup($I9927, 'IMPORT VHC Report'!$E:$E, 'IMPORT VHC Report'!$A:$C), )</f>
        <v/>
      </c>
      <c r="C9927" s="44"/>
      <c r="D9927" s="44"/>
      <c r="L9927" s="45"/>
      <c r="N9927" s="45"/>
    </row>
    <row r="9928">
      <c r="A9928" s="40" t="str">
        <f t="shared" si="1"/>
        <v/>
      </c>
      <c r="B9928" s="37" t="str">
        <f t="array" ref="B9928">iferror(xlookup($I9928, 'IMPORT VHC Report'!$E:$E, 'IMPORT VHC Report'!$A:$C), )</f>
        <v/>
      </c>
      <c r="C9928" s="44"/>
      <c r="D9928" s="44"/>
      <c r="L9928" s="45"/>
      <c r="N9928" s="45"/>
    </row>
    <row r="9929">
      <c r="A9929" s="40" t="str">
        <f t="shared" si="1"/>
        <v/>
      </c>
      <c r="B9929" s="37" t="str">
        <f t="array" ref="B9929">iferror(xlookup($I9929, 'IMPORT VHC Report'!$E:$E, 'IMPORT VHC Report'!$A:$C), )</f>
        <v/>
      </c>
      <c r="C9929" s="44"/>
      <c r="D9929" s="44"/>
      <c r="L9929" s="45"/>
      <c r="N9929" s="45"/>
    </row>
    <row r="9930">
      <c r="A9930" s="40" t="str">
        <f t="shared" si="1"/>
        <v/>
      </c>
      <c r="B9930" s="37" t="str">
        <f t="array" ref="B9930">iferror(xlookup($I9930, 'IMPORT VHC Report'!$E:$E, 'IMPORT VHC Report'!$A:$C), )</f>
        <v/>
      </c>
      <c r="C9930" s="44"/>
      <c r="D9930" s="44"/>
      <c r="L9930" s="45"/>
      <c r="N9930" s="45"/>
    </row>
    <row r="9931">
      <c r="A9931" s="40" t="str">
        <f t="shared" si="1"/>
        <v/>
      </c>
      <c r="B9931" s="37" t="str">
        <f t="array" ref="B9931">iferror(xlookup($I9931, 'IMPORT VHC Report'!$E:$E, 'IMPORT VHC Report'!$A:$C), )</f>
        <v/>
      </c>
      <c r="C9931" s="44"/>
      <c r="D9931" s="44"/>
      <c r="L9931" s="45"/>
      <c r="N9931" s="45"/>
    </row>
    <row r="9932">
      <c r="A9932" s="40" t="str">
        <f t="shared" si="1"/>
        <v/>
      </c>
      <c r="B9932" s="37" t="str">
        <f t="array" ref="B9932">iferror(xlookup($I9932, 'IMPORT VHC Report'!$E:$E, 'IMPORT VHC Report'!$A:$C), )</f>
        <v/>
      </c>
      <c r="C9932" s="44"/>
      <c r="D9932" s="44"/>
      <c r="L9932" s="45"/>
      <c r="N9932" s="45"/>
    </row>
    <row r="9933">
      <c r="A9933" s="40" t="str">
        <f t="shared" si="1"/>
        <v/>
      </c>
      <c r="B9933" s="37" t="str">
        <f t="array" ref="B9933">iferror(xlookup($I9933, 'IMPORT VHC Report'!$E:$E, 'IMPORT VHC Report'!$A:$C), )</f>
        <v/>
      </c>
      <c r="C9933" s="44"/>
      <c r="D9933" s="44"/>
      <c r="L9933" s="45"/>
      <c r="N9933" s="45"/>
    </row>
    <row r="9934">
      <c r="A9934" s="40" t="str">
        <f t="shared" si="1"/>
        <v/>
      </c>
      <c r="B9934" s="37" t="str">
        <f t="array" ref="B9934">iferror(xlookup($I9934, 'IMPORT VHC Report'!$E:$E, 'IMPORT VHC Report'!$A:$C), )</f>
        <v/>
      </c>
      <c r="C9934" s="44"/>
      <c r="D9934" s="44"/>
      <c r="L9934" s="45"/>
      <c r="N9934" s="45"/>
    </row>
    <row r="9935">
      <c r="A9935" s="40" t="str">
        <f t="shared" si="1"/>
        <v/>
      </c>
      <c r="B9935" s="37" t="str">
        <f t="array" ref="B9935">iferror(xlookup($I9935, 'IMPORT VHC Report'!$E:$E, 'IMPORT VHC Report'!$A:$C), )</f>
        <v/>
      </c>
      <c r="C9935" s="44"/>
      <c r="D9935" s="44"/>
      <c r="L9935" s="45"/>
      <c r="N9935" s="45"/>
    </row>
    <row r="9936">
      <c r="A9936" s="40" t="str">
        <f t="shared" si="1"/>
        <v/>
      </c>
      <c r="B9936" s="37" t="str">
        <f t="array" ref="B9936">iferror(xlookup($I9936, 'IMPORT VHC Report'!$E:$E, 'IMPORT VHC Report'!$A:$C), )</f>
        <v/>
      </c>
      <c r="C9936" s="44"/>
      <c r="D9936" s="44"/>
      <c r="L9936" s="45"/>
      <c r="N9936" s="45"/>
    </row>
    <row r="9937">
      <c r="A9937" s="40" t="str">
        <f t="shared" si="1"/>
        <v/>
      </c>
      <c r="B9937" s="37" t="str">
        <f t="array" ref="B9937">iferror(xlookup($I9937, 'IMPORT VHC Report'!$E:$E, 'IMPORT VHC Report'!$A:$C), )</f>
        <v/>
      </c>
      <c r="C9937" s="44"/>
      <c r="D9937" s="44"/>
      <c r="L9937" s="45"/>
      <c r="N9937" s="45"/>
    </row>
    <row r="9938">
      <c r="A9938" s="40" t="str">
        <f t="shared" si="1"/>
        <v/>
      </c>
      <c r="B9938" s="37" t="str">
        <f t="array" ref="B9938">iferror(xlookup($I9938, 'IMPORT VHC Report'!$E:$E, 'IMPORT VHC Report'!$A:$C), )</f>
        <v/>
      </c>
      <c r="C9938" s="44"/>
      <c r="D9938" s="44"/>
      <c r="L9938" s="45"/>
      <c r="N9938" s="45"/>
    </row>
    <row r="9939">
      <c r="A9939" s="40" t="str">
        <f t="shared" si="1"/>
        <v/>
      </c>
      <c r="B9939" s="37" t="str">
        <f t="array" ref="B9939">iferror(xlookup($I9939, 'IMPORT VHC Report'!$E:$E, 'IMPORT VHC Report'!$A:$C), )</f>
        <v/>
      </c>
      <c r="C9939" s="44"/>
      <c r="D9939" s="44"/>
      <c r="L9939" s="45"/>
      <c r="N9939" s="45"/>
    </row>
    <row r="9940">
      <c r="A9940" s="40" t="str">
        <f t="shared" si="1"/>
        <v/>
      </c>
      <c r="B9940" s="37" t="str">
        <f t="array" ref="B9940">iferror(xlookup($I9940, 'IMPORT VHC Report'!$E:$E, 'IMPORT VHC Report'!$A:$C), )</f>
        <v/>
      </c>
      <c r="C9940" s="44"/>
      <c r="D9940" s="44"/>
      <c r="L9940" s="45"/>
      <c r="N9940" s="45"/>
    </row>
    <row r="9941">
      <c r="A9941" s="40" t="str">
        <f t="shared" si="1"/>
        <v/>
      </c>
      <c r="B9941" s="37" t="str">
        <f t="array" ref="B9941">iferror(xlookup($I9941, 'IMPORT VHC Report'!$E:$E, 'IMPORT VHC Report'!$A:$C), )</f>
        <v/>
      </c>
      <c r="C9941" s="44"/>
      <c r="D9941" s="44"/>
      <c r="L9941" s="45"/>
      <c r="N9941" s="45"/>
    </row>
    <row r="9942">
      <c r="A9942" s="40" t="str">
        <f t="shared" si="1"/>
        <v/>
      </c>
      <c r="B9942" s="37" t="str">
        <f t="array" ref="B9942">iferror(xlookup($I9942, 'IMPORT VHC Report'!$E:$E, 'IMPORT VHC Report'!$A:$C), )</f>
        <v/>
      </c>
      <c r="C9942" s="44"/>
      <c r="D9942" s="44"/>
      <c r="L9942" s="45"/>
      <c r="N9942" s="45"/>
    </row>
    <row r="9943">
      <c r="A9943" s="40" t="str">
        <f t="shared" si="1"/>
        <v/>
      </c>
      <c r="B9943" s="37" t="str">
        <f t="array" ref="B9943">iferror(xlookup($I9943, 'IMPORT VHC Report'!$E:$E, 'IMPORT VHC Report'!$A:$C), )</f>
        <v/>
      </c>
      <c r="C9943" s="44"/>
      <c r="D9943" s="44"/>
      <c r="L9943" s="45"/>
      <c r="N9943" s="45"/>
    </row>
    <row r="9944">
      <c r="A9944" s="40" t="str">
        <f t="shared" si="1"/>
        <v/>
      </c>
      <c r="B9944" s="37" t="str">
        <f t="array" ref="B9944">iferror(xlookup($I9944, 'IMPORT VHC Report'!$E:$E, 'IMPORT VHC Report'!$A:$C), )</f>
        <v/>
      </c>
      <c r="C9944" s="44"/>
      <c r="D9944" s="44"/>
      <c r="L9944" s="45"/>
      <c r="N9944" s="45"/>
    </row>
    <row r="9945">
      <c r="A9945" s="40" t="str">
        <f t="shared" si="1"/>
        <v/>
      </c>
      <c r="B9945" s="37" t="str">
        <f t="array" ref="B9945">iferror(xlookup($I9945, 'IMPORT VHC Report'!$E:$E, 'IMPORT VHC Report'!$A:$C), )</f>
        <v/>
      </c>
      <c r="C9945" s="44"/>
      <c r="D9945" s="44"/>
      <c r="L9945" s="45"/>
      <c r="N9945" s="45"/>
    </row>
    <row r="9946">
      <c r="A9946" s="40" t="str">
        <f t="shared" si="1"/>
        <v/>
      </c>
      <c r="B9946" s="37" t="str">
        <f t="array" ref="B9946">iferror(xlookup($I9946, 'IMPORT VHC Report'!$E:$E, 'IMPORT VHC Report'!$A:$C), )</f>
        <v/>
      </c>
      <c r="C9946" s="44"/>
      <c r="D9946" s="44"/>
      <c r="L9946" s="45"/>
      <c r="N9946" s="45"/>
    </row>
    <row r="9947">
      <c r="A9947" s="40" t="str">
        <f t="shared" si="1"/>
        <v/>
      </c>
      <c r="B9947" s="37" t="str">
        <f t="array" ref="B9947">iferror(xlookup($I9947, 'IMPORT VHC Report'!$E:$E, 'IMPORT VHC Report'!$A:$C), )</f>
        <v/>
      </c>
      <c r="C9947" s="44"/>
      <c r="D9947" s="44"/>
      <c r="L9947" s="45"/>
      <c r="N9947" s="45"/>
    </row>
    <row r="9948">
      <c r="A9948" s="40" t="str">
        <f t="shared" si="1"/>
        <v/>
      </c>
      <c r="B9948" s="37" t="str">
        <f t="array" ref="B9948">iferror(xlookup($I9948, 'IMPORT VHC Report'!$E:$E, 'IMPORT VHC Report'!$A:$C), )</f>
        <v/>
      </c>
      <c r="C9948" s="44"/>
      <c r="D9948" s="44"/>
      <c r="L9948" s="45"/>
      <c r="N9948" s="45"/>
    </row>
    <row r="9949">
      <c r="A9949" s="40" t="str">
        <f t="shared" si="1"/>
        <v/>
      </c>
      <c r="B9949" s="37" t="str">
        <f t="array" ref="B9949">iferror(xlookup($I9949, 'IMPORT VHC Report'!$E:$E, 'IMPORT VHC Report'!$A:$C), )</f>
        <v/>
      </c>
      <c r="C9949" s="44"/>
      <c r="D9949" s="44"/>
      <c r="L9949" s="45"/>
      <c r="N9949" s="45"/>
    </row>
    <row r="9950">
      <c r="A9950" s="40" t="str">
        <f t="shared" si="1"/>
        <v/>
      </c>
      <c r="B9950" s="37" t="str">
        <f t="array" ref="B9950">iferror(xlookup($I9950, 'IMPORT VHC Report'!$E:$E, 'IMPORT VHC Report'!$A:$C), )</f>
        <v/>
      </c>
      <c r="C9950" s="44"/>
      <c r="D9950" s="44"/>
      <c r="L9950" s="45"/>
      <c r="N9950" s="45"/>
    </row>
    <row r="9951">
      <c r="A9951" s="40" t="str">
        <f t="shared" si="1"/>
        <v/>
      </c>
      <c r="B9951" s="37" t="str">
        <f t="array" ref="B9951">iferror(xlookup($I9951, 'IMPORT VHC Report'!$E:$E, 'IMPORT VHC Report'!$A:$C), )</f>
        <v/>
      </c>
      <c r="C9951" s="44"/>
      <c r="D9951" s="44"/>
      <c r="L9951" s="45"/>
      <c r="N9951" s="45"/>
    </row>
    <row r="9952">
      <c r="A9952" s="40" t="str">
        <f t="shared" si="1"/>
        <v/>
      </c>
      <c r="B9952" s="37" t="str">
        <f t="array" ref="B9952">iferror(xlookup($I9952, 'IMPORT VHC Report'!$E:$E, 'IMPORT VHC Report'!$A:$C), )</f>
        <v/>
      </c>
      <c r="C9952" s="44"/>
      <c r="D9952" s="44"/>
      <c r="L9952" s="45"/>
      <c r="N9952" s="45"/>
    </row>
    <row r="9953">
      <c r="A9953" s="40" t="str">
        <f t="shared" si="1"/>
        <v/>
      </c>
      <c r="B9953" s="37" t="str">
        <f t="array" ref="B9953">iferror(xlookup($I9953, 'IMPORT VHC Report'!$E:$E, 'IMPORT VHC Report'!$A:$C), )</f>
        <v/>
      </c>
      <c r="C9953" s="44"/>
      <c r="D9953" s="44"/>
      <c r="L9953" s="45"/>
      <c r="N9953" s="45"/>
    </row>
    <row r="9954">
      <c r="A9954" s="40" t="str">
        <f t="shared" si="1"/>
        <v/>
      </c>
      <c r="B9954" s="37" t="str">
        <f t="array" ref="B9954">iferror(xlookup($I9954, 'IMPORT VHC Report'!$E:$E, 'IMPORT VHC Report'!$A:$C), )</f>
        <v/>
      </c>
      <c r="C9954" s="44"/>
      <c r="D9954" s="44"/>
      <c r="L9954" s="45"/>
      <c r="N9954" s="45"/>
    </row>
    <row r="9955">
      <c r="A9955" s="40" t="str">
        <f t="shared" si="1"/>
        <v/>
      </c>
      <c r="B9955" s="37" t="str">
        <f t="array" ref="B9955">iferror(xlookup($I9955, 'IMPORT VHC Report'!$E:$E, 'IMPORT VHC Report'!$A:$C), )</f>
        <v/>
      </c>
      <c r="C9955" s="44"/>
      <c r="D9955" s="44"/>
      <c r="L9955" s="45"/>
      <c r="N9955" s="45"/>
    </row>
    <row r="9956">
      <c r="A9956" s="40" t="str">
        <f t="shared" si="1"/>
        <v/>
      </c>
      <c r="B9956" s="37" t="str">
        <f t="array" ref="B9956">iferror(xlookup($I9956, 'IMPORT VHC Report'!$E:$E, 'IMPORT VHC Report'!$A:$C), )</f>
        <v/>
      </c>
      <c r="C9956" s="44"/>
      <c r="D9956" s="44"/>
      <c r="L9956" s="45"/>
      <c r="N9956" s="45"/>
    </row>
    <row r="9957">
      <c r="A9957" s="40" t="str">
        <f t="shared" si="1"/>
        <v/>
      </c>
      <c r="B9957" s="37" t="str">
        <f t="array" ref="B9957">iferror(xlookup($I9957, 'IMPORT VHC Report'!$E:$E, 'IMPORT VHC Report'!$A:$C), )</f>
        <v/>
      </c>
      <c r="C9957" s="44"/>
      <c r="D9957" s="44"/>
      <c r="L9957" s="45"/>
      <c r="N9957" s="45"/>
    </row>
    <row r="9958">
      <c r="A9958" s="40" t="str">
        <f t="shared" si="1"/>
        <v/>
      </c>
      <c r="B9958" s="37" t="str">
        <f t="array" ref="B9958">iferror(xlookup($I9958, 'IMPORT VHC Report'!$E:$E, 'IMPORT VHC Report'!$A:$C), )</f>
        <v/>
      </c>
      <c r="C9958" s="44"/>
      <c r="D9958" s="44"/>
      <c r="L9958" s="45"/>
      <c r="N9958" s="45"/>
    </row>
    <row r="9959">
      <c r="A9959" s="40" t="str">
        <f t="shared" si="1"/>
        <v/>
      </c>
      <c r="B9959" s="37" t="str">
        <f t="array" ref="B9959">iferror(xlookup($I9959, 'IMPORT VHC Report'!$E:$E, 'IMPORT VHC Report'!$A:$C), )</f>
        <v/>
      </c>
      <c r="C9959" s="44"/>
      <c r="D9959" s="44"/>
      <c r="L9959" s="45"/>
      <c r="N9959" s="45"/>
    </row>
    <row r="9960">
      <c r="A9960" s="40" t="str">
        <f t="shared" si="1"/>
        <v/>
      </c>
      <c r="B9960" s="37" t="str">
        <f t="array" ref="B9960">iferror(xlookup($I9960, 'IMPORT VHC Report'!$E:$E, 'IMPORT VHC Report'!$A:$C), )</f>
        <v/>
      </c>
      <c r="C9960" s="44"/>
      <c r="D9960" s="44"/>
      <c r="L9960" s="45"/>
      <c r="N9960" s="45"/>
    </row>
    <row r="9961">
      <c r="A9961" s="40" t="str">
        <f t="shared" si="1"/>
        <v/>
      </c>
      <c r="B9961" s="37" t="str">
        <f t="array" ref="B9961">iferror(xlookup($I9961, 'IMPORT VHC Report'!$E:$E, 'IMPORT VHC Report'!$A:$C), )</f>
        <v/>
      </c>
      <c r="C9961" s="44"/>
      <c r="D9961" s="44"/>
      <c r="L9961" s="45"/>
      <c r="N9961" s="45"/>
    </row>
    <row r="9962">
      <c r="A9962" s="40" t="str">
        <f t="shared" si="1"/>
        <v/>
      </c>
      <c r="B9962" s="37" t="str">
        <f t="array" ref="B9962">iferror(xlookup($I9962, 'IMPORT VHC Report'!$E:$E, 'IMPORT VHC Report'!$A:$C), )</f>
        <v/>
      </c>
      <c r="C9962" s="44"/>
      <c r="D9962" s="44"/>
      <c r="L9962" s="45"/>
      <c r="N9962" s="45"/>
    </row>
    <row r="9963">
      <c r="A9963" s="40" t="str">
        <f t="shared" si="1"/>
        <v/>
      </c>
      <c r="B9963" s="37" t="str">
        <f t="array" ref="B9963">iferror(xlookup($I9963, 'IMPORT VHC Report'!$E:$E, 'IMPORT VHC Report'!$A:$C), )</f>
        <v/>
      </c>
      <c r="C9963" s="44"/>
      <c r="D9963" s="44"/>
      <c r="L9963" s="45"/>
      <c r="N9963" s="45"/>
    </row>
    <row r="9964">
      <c r="A9964" s="40" t="str">
        <f t="shared" si="1"/>
        <v/>
      </c>
      <c r="B9964" s="37" t="str">
        <f t="array" ref="B9964">iferror(xlookup($I9964, 'IMPORT VHC Report'!$E:$E, 'IMPORT VHC Report'!$A:$C), )</f>
        <v/>
      </c>
      <c r="C9964" s="44"/>
      <c r="D9964" s="44"/>
      <c r="L9964" s="45"/>
      <c r="N9964" s="45"/>
    </row>
    <row r="9965">
      <c r="A9965" s="40" t="str">
        <f t="shared" si="1"/>
        <v/>
      </c>
      <c r="B9965" s="37" t="str">
        <f t="array" ref="B9965">iferror(xlookup($I9965, 'IMPORT VHC Report'!$E:$E, 'IMPORT VHC Report'!$A:$C), )</f>
        <v/>
      </c>
      <c r="C9965" s="44"/>
      <c r="D9965" s="44"/>
      <c r="L9965" s="45"/>
      <c r="N9965" s="45"/>
    </row>
    <row r="9966">
      <c r="A9966" s="40" t="str">
        <f t="shared" si="1"/>
        <v/>
      </c>
      <c r="B9966" s="37" t="str">
        <f t="array" ref="B9966">iferror(xlookup($I9966, 'IMPORT VHC Report'!$E:$E, 'IMPORT VHC Report'!$A:$C), )</f>
        <v/>
      </c>
      <c r="C9966" s="44"/>
      <c r="D9966" s="44"/>
      <c r="L9966" s="45"/>
      <c r="N9966" s="45"/>
    </row>
    <row r="9967">
      <c r="A9967" s="40" t="str">
        <f t="shared" si="1"/>
        <v/>
      </c>
      <c r="B9967" s="37" t="str">
        <f t="array" ref="B9967">iferror(xlookup($I9967, 'IMPORT VHC Report'!$E:$E, 'IMPORT VHC Report'!$A:$C), )</f>
        <v/>
      </c>
      <c r="C9967" s="44"/>
      <c r="D9967" s="44"/>
      <c r="L9967" s="45"/>
      <c r="N9967" s="45"/>
    </row>
    <row r="9968">
      <c r="A9968" s="40" t="str">
        <f t="shared" si="1"/>
        <v/>
      </c>
      <c r="B9968" s="37" t="str">
        <f t="array" ref="B9968">iferror(xlookup($I9968, 'IMPORT VHC Report'!$E:$E, 'IMPORT VHC Report'!$A:$C), )</f>
        <v/>
      </c>
      <c r="C9968" s="44"/>
      <c r="D9968" s="44"/>
      <c r="L9968" s="45"/>
      <c r="N9968" s="45"/>
    </row>
    <row r="9969">
      <c r="A9969" s="40" t="str">
        <f t="shared" si="1"/>
        <v/>
      </c>
      <c r="B9969" s="37" t="str">
        <f t="array" ref="B9969">iferror(xlookup($I9969, 'IMPORT VHC Report'!$E:$E, 'IMPORT VHC Report'!$A:$C), )</f>
        <v/>
      </c>
      <c r="C9969" s="44"/>
      <c r="D9969" s="44"/>
      <c r="L9969" s="45"/>
      <c r="N9969" s="45"/>
    </row>
    <row r="9970">
      <c r="A9970" s="40" t="str">
        <f t="shared" si="1"/>
        <v/>
      </c>
      <c r="B9970" s="37" t="str">
        <f t="array" ref="B9970">iferror(xlookup($I9970, 'IMPORT VHC Report'!$E:$E, 'IMPORT VHC Report'!$A:$C), )</f>
        <v/>
      </c>
      <c r="C9970" s="44"/>
      <c r="D9970" s="44"/>
      <c r="L9970" s="45"/>
      <c r="N9970" s="45"/>
    </row>
    <row r="9971">
      <c r="A9971" s="40" t="str">
        <f t="shared" si="1"/>
        <v/>
      </c>
      <c r="B9971" s="37" t="str">
        <f t="array" ref="B9971">iferror(xlookup($I9971, 'IMPORT VHC Report'!$E:$E, 'IMPORT VHC Report'!$A:$C), )</f>
        <v/>
      </c>
      <c r="C9971" s="44"/>
      <c r="D9971" s="44"/>
      <c r="L9971" s="45"/>
      <c r="N9971" s="45"/>
    </row>
    <row r="9972">
      <c r="A9972" s="40" t="str">
        <f t="shared" si="1"/>
        <v/>
      </c>
      <c r="B9972" s="37" t="str">
        <f t="array" ref="B9972">iferror(xlookup($I9972, 'IMPORT VHC Report'!$E:$E, 'IMPORT VHC Report'!$A:$C), )</f>
        <v/>
      </c>
      <c r="C9972" s="44"/>
      <c r="D9972" s="44"/>
      <c r="L9972" s="45"/>
      <c r="N9972" s="45"/>
    </row>
    <row r="9973">
      <c r="A9973" s="40" t="str">
        <f t="shared" si="1"/>
        <v/>
      </c>
      <c r="B9973" s="37" t="str">
        <f t="array" ref="B9973">iferror(xlookup($I9973, 'IMPORT VHC Report'!$E:$E, 'IMPORT VHC Report'!$A:$C), )</f>
        <v/>
      </c>
      <c r="C9973" s="44"/>
      <c r="D9973" s="44"/>
      <c r="L9973" s="45"/>
      <c r="N9973" s="45"/>
    </row>
    <row r="9974">
      <c r="A9974" s="40" t="str">
        <f t="shared" si="1"/>
        <v/>
      </c>
      <c r="B9974" s="37" t="str">
        <f t="array" ref="B9974">iferror(xlookup($I9974, 'IMPORT VHC Report'!$E:$E, 'IMPORT VHC Report'!$A:$C), )</f>
        <v/>
      </c>
      <c r="C9974" s="44"/>
      <c r="D9974" s="44"/>
      <c r="L9974" s="45"/>
      <c r="N9974" s="45"/>
    </row>
    <row r="9975">
      <c r="A9975" s="40" t="str">
        <f t="shared" si="1"/>
        <v/>
      </c>
      <c r="B9975" s="37" t="str">
        <f t="array" ref="B9975">iferror(xlookup($I9975, 'IMPORT VHC Report'!$E:$E, 'IMPORT VHC Report'!$A:$C), )</f>
        <v/>
      </c>
      <c r="C9975" s="44"/>
      <c r="D9975" s="44"/>
      <c r="L9975" s="45"/>
      <c r="N9975" s="45"/>
    </row>
    <row r="9976">
      <c r="A9976" s="40" t="str">
        <f t="shared" si="1"/>
        <v/>
      </c>
      <c r="B9976" s="37" t="str">
        <f t="array" ref="B9976">iferror(xlookup($I9976, 'IMPORT VHC Report'!$E:$E, 'IMPORT VHC Report'!$A:$C), )</f>
        <v/>
      </c>
      <c r="C9976" s="44"/>
      <c r="D9976" s="44"/>
      <c r="L9976" s="45"/>
      <c r="N9976" s="45"/>
    </row>
    <row r="9977">
      <c r="A9977" s="40" t="str">
        <f t="shared" si="1"/>
        <v/>
      </c>
      <c r="B9977" s="37" t="str">
        <f t="array" ref="B9977">iferror(xlookup($I9977, 'IMPORT VHC Report'!$E:$E, 'IMPORT VHC Report'!$A:$C), )</f>
        <v/>
      </c>
      <c r="C9977" s="44"/>
      <c r="D9977" s="44"/>
      <c r="L9977" s="45"/>
      <c r="N9977" s="45"/>
    </row>
    <row r="9978">
      <c r="A9978" s="40" t="str">
        <f t="shared" si="1"/>
        <v/>
      </c>
      <c r="B9978" s="37" t="str">
        <f t="array" ref="B9978">iferror(xlookup($I9978, 'IMPORT VHC Report'!$E:$E, 'IMPORT VHC Report'!$A:$C), )</f>
        <v/>
      </c>
      <c r="C9978" s="44"/>
      <c r="D9978" s="44"/>
      <c r="L9978" s="45"/>
      <c r="N9978" s="45"/>
    </row>
    <row r="9979">
      <c r="A9979" s="40" t="str">
        <f t="shared" si="1"/>
        <v/>
      </c>
      <c r="B9979" s="37" t="str">
        <f t="array" ref="B9979">iferror(xlookup($I9979, 'IMPORT VHC Report'!$E:$E, 'IMPORT VHC Report'!$A:$C), )</f>
        <v/>
      </c>
      <c r="C9979" s="44"/>
      <c r="D9979" s="44"/>
      <c r="L9979" s="45"/>
      <c r="N9979" s="45"/>
    </row>
    <row r="9980">
      <c r="A9980" s="40" t="str">
        <f t="shared" si="1"/>
        <v/>
      </c>
      <c r="B9980" s="37" t="str">
        <f t="array" ref="B9980">iferror(xlookup($I9980, 'IMPORT VHC Report'!$E:$E, 'IMPORT VHC Report'!$A:$C), )</f>
        <v/>
      </c>
      <c r="C9980" s="44"/>
      <c r="D9980" s="44"/>
      <c r="L9980" s="45"/>
      <c r="N9980" s="45"/>
    </row>
    <row r="9981">
      <c r="A9981" s="40">
        <f t="shared" si="1"/>
        <v>46006</v>
      </c>
      <c r="B9981" s="37" t="str">
        <f t="array" ref="B9981">iferror(xlookup($I9981, 'IMPORT VHC Report'!$E:$E, 'IMPORT VHC Report'!$A:$C), )</f>
        <v/>
      </c>
      <c r="C9981" s="44"/>
      <c r="D9981" s="44"/>
      <c r="E9981" s="46" t="s">
        <v>1692</v>
      </c>
      <c r="F9981" s="46" t="s">
        <v>1667</v>
      </c>
      <c r="G9981" s="46">
        <v>5.047383497615E12</v>
      </c>
      <c r="H9981" s="46" t="s">
        <v>1668</v>
      </c>
      <c r="I9981" s="46" t="s">
        <v>1669</v>
      </c>
      <c r="J9981" s="46" t="s">
        <v>178</v>
      </c>
      <c r="K9981" s="46" t="s">
        <v>153</v>
      </c>
      <c r="L9981" s="45">
        <v>46012.958333333336</v>
      </c>
      <c r="M9981" s="46" t="s">
        <v>123</v>
      </c>
      <c r="N9981" s="45">
        <v>46013.333333333336</v>
      </c>
      <c r="O9981" s="46" t="s">
        <v>123</v>
      </c>
      <c r="P9981" s="46">
        <v>32400.0</v>
      </c>
      <c r="Q9981" s="46">
        <v>28800.0</v>
      </c>
      <c r="R9981" s="46" t="s">
        <v>1687</v>
      </c>
    </row>
    <row r="9982">
      <c r="A9982" s="40" t="str">
        <f t="shared" si="1"/>
        <v/>
      </c>
      <c r="B9982" s="37" t="str">
        <f t="array" ref="B9982">iferror(xlookup($I9982, 'IMPORT VHC Report'!$E:$E, 'IMPORT VHC Report'!$A:$C), )</f>
        <v/>
      </c>
      <c r="C9982" s="44"/>
      <c r="D9982" s="44"/>
      <c r="L9982" s="45"/>
      <c r="N9982" s="45"/>
    </row>
    <row r="9983">
      <c r="A9983" s="40" t="str">
        <f t="shared" si="1"/>
        <v/>
      </c>
      <c r="B9983" s="37" t="str">
        <f t="array" ref="B9983">iferror(xlookup($I9983, 'IMPORT VHC Report'!$E:$E, 'IMPORT VHC Report'!$A:$C), )</f>
        <v/>
      </c>
      <c r="C9983" s="44"/>
      <c r="D9983" s="44"/>
      <c r="L9983" s="45"/>
      <c r="N9983" s="45"/>
    </row>
    <row r="9984">
      <c r="A9984" s="40" t="str">
        <f t="shared" si="1"/>
        <v/>
      </c>
      <c r="B9984" s="37" t="str">
        <f t="array" ref="B9984">iferror(xlookup($I9984, 'IMPORT VHC Report'!$E:$E, 'IMPORT VHC Report'!$A:$C), )</f>
        <v/>
      </c>
      <c r="C9984" s="44"/>
      <c r="D9984" s="44"/>
      <c r="L9984" s="45"/>
      <c r="N9984" s="45"/>
    </row>
    <row r="9985">
      <c r="A9985" s="40" t="str">
        <f t="shared" si="1"/>
        <v/>
      </c>
      <c r="B9985" s="37" t="str">
        <f t="array" ref="B9985">iferror(xlookup($I9985, 'IMPORT VHC Report'!$E:$E, 'IMPORT VHC Report'!$A:$C), )</f>
        <v/>
      </c>
      <c r="C9985" s="44"/>
      <c r="D9985" s="44"/>
      <c r="L9985" s="45"/>
      <c r="N9985" s="45"/>
    </row>
    <row r="9986">
      <c r="A9986" s="40" t="str">
        <f t="shared" si="1"/>
        <v/>
      </c>
      <c r="B9986" s="37" t="str">
        <f t="array" ref="B9986">iferror(xlookup($I9986, 'IMPORT VHC Report'!$E:$E, 'IMPORT VHC Report'!$A:$C), )</f>
        <v/>
      </c>
      <c r="C9986" s="44"/>
      <c r="D9986" s="44"/>
      <c r="L9986" s="45"/>
      <c r="N9986" s="45"/>
    </row>
    <row r="9987">
      <c r="A9987" s="40" t="str">
        <f t="shared" si="1"/>
        <v/>
      </c>
      <c r="B9987" s="37" t="str">
        <f t="array" ref="B9987">iferror(xlookup($I9987, 'IMPORT VHC Report'!$E:$E, 'IMPORT VHC Report'!$A:$C), )</f>
        <v/>
      </c>
      <c r="C9987" s="44"/>
      <c r="D9987" s="44"/>
      <c r="L9987" s="45"/>
      <c r="N9987" s="45"/>
    </row>
    <row r="9988">
      <c r="A9988" s="40" t="str">
        <f t="shared" si="1"/>
        <v/>
      </c>
      <c r="B9988" s="37" t="str">
        <f t="array" ref="B9988">iferror(xlookup($I9988, 'IMPORT VHC Report'!$E:$E, 'IMPORT VHC Report'!$A:$C), )</f>
        <v/>
      </c>
      <c r="C9988" s="44"/>
      <c r="D9988" s="44"/>
      <c r="L9988" s="45"/>
      <c r="N9988" s="45"/>
    </row>
    <row r="9989">
      <c r="A9989" s="40" t="str">
        <f t="shared" si="1"/>
        <v/>
      </c>
      <c r="B9989" s="37" t="str">
        <f t="array" ref="B9989">iferror(xlookup($I9989, 'IMPORT VHC Report'!$E:$E, 'IMPORT VHC Report'!$A:$C), )</f>
        <v/>
      </c>
      <c r="C9989" s="44"/>
      <c r="D9989" s="44"/>
      <c r="L9989" s="45"/>
      <c r="N9989" s="45"/>
    </row>
    <row r="9990">
      <c r="A9990" s="40" t="str">
        <f t="shared" si="1"/>
        <v/>
      </c>
      <c r="B9990" s="37" t="str">
        <f t="array" ref="B9990">iferror(xlookup($I9990, 'IMPORT VHC Report'!$E:$E, 'IMPORT VHC Report'!$A:$C), )</f>
        <v/>
      </c>
      <c r="C9990" s="44"/>
      <c r="D9990" s="44"/>
      <c r="L9990" s="45"/>
      <c r="N9990" s="45"/>
    </row>
    <row r="9991">
      <c r="A9991" s="40" t="str">
        <f t="shared" si="1"/>
        <v/>
      </c>
      <c r="B9991" s="37" t="str">
        <f t="array" ref="B9991">iferror(xlookup($I9991, 'IMPORT VHC Report'!$E:$E, 'IMPORT VHC Report'!$A:$C), )</f>
        <v/>
      </c>
      <c r="C9991" s="44"/>
      <c r="D9991" s="44"/>
      <c r="L9991" s="45"/>
      <c r="N9991" s="45"/>
    </row>
    <row r="9992">
      <c r="A9992" s="40" t="str">
        <f t="shared" si="1"/>
        <v/>
      </c>
      <c r="B9992" s="37" t="str">
        <f t="array" ref="B9992">iferror(xlookup($I9992, 'IMPORT VHC Report'!$E:$E, 'IMPORT VHC Report'!$A:$C), )</f>
        <v/>
      </c>
      <c r="C9992" s="44"/>
      <c r="D9992" s="44"/>
      <c r="L9992" s="45"/>
      <c r="N9992" s="45"/>
    </row>
    <row r="9993">
      <c r="A9993" s="40" t="str">
        <f t="shared" si="1"/>
        <v/>
      </c>
      <c r="B9993" s="37" t="str">
        <f t="array" ref="B9993">iferror(xlookup($I9993, 'IMPORT VHC Report'!$E:$E, 'IMPORT VHC Report'!$A:$C), )</f>
        <v/>
      </c>
      <c r="C9993" s="44"/>
      <c r="D9993" s="44"/>
      <c r="L9993" s="45"/>
      <c r="N9993" s="45"/>
    </row>
    <row r="9994">
      <c r="A9994" s="40" t="str">
        <f t="shared" si="1"/>
        <v/>
      </c>
      <c r="B9994" s="37" t="str">
        <f t="array" ref="B9994">iferror(xlookup($I9994, 'IMPORT VHC Report'!$E:$E, 'IMPORT VHC Report'!$A:$C), )</f>
        <v/>
      </c>
      <c r="C9994" s="44"/>
      <c r="D9994" s="44"/>
      <c r="L9994" s="45"/>
      <c r="N9994" s="45"/>
    </row>
    <row r="9995">
      <c r="A9995" s="40" t="str">
        <f t="shared" si="1"/>
        <v/>
      </c>
      <c r="B9995" s="37" t="str">
        <f t="array" ref="B9995">iferror(xlookup($I9995, 'IMPORT VHC Report'!$E:$E, 'IMPORT VHC Report'!$A:$C), )</f>
        <v/>
      </c>
      <c r="C9995" s="44"/>
      <c r="D9995" s="44"/>
      <c r="L9995" s="45"/>
      <c r="N9995" s="45"/>
    </row>
    <row r="9996">
      <c r="A9996" s="40" t="str">
        <f t="shared" si="1"/>
        <v/>
      </c>
      <c r="B9996" s="37" t="str">
        <f t="array" ref="B9996">iferror(xlookup($I9996, 'IMPORT VHC Report'!$E:$E, 'IMPORT VHC Report'!$A:$C), )</f>
        <v/>
      </c>
      <c r="C9996" s="44"/>
      <c r="D9996" s="44"/>
      <c r="L9996" s="45"/>
      <c r="N9996" s="45"/>
    </row>
    <row r="9997">
      <c r="A9997" s="40" t="str">
        <f t="shared" si="1"/>
        <v/>
      </c>
      <c r="B9997" s="37" t="str">
        <f t="array" ref="B9997">iferror(xlookup($I9997, 'IMPORT VHC Report'!$E:$E, 'IMPORT VHC Report'!$A:$C), )</f>
        <v/>
      </c>
      <c r="C9997" s="44"/>
      <c r="D9997" s="44"/>
      <c r="L9997" s="45"/>
      <c r="N9997" s="45"/>
    </row>
    <row r="9998">
      <c r="A9998" s="40" t="str">
        <f t="shared" si="1"/>
        <v/>
      </c>
      <c r="B9998" s="37" t="str">
        <f t="array" ref="B9998">iferror(xlookup($I9998, 'IMPORT VHC Report'!$E:$E, 'IMPORT VHC Report'!$A:$C), )</f>
        <v/>
      </c>
      <c r="C9998" s="44"/>
      <c r="D9998" s="44"/>
      <c r="L9998" s="45"/>
      <c r="N9998" s="45"/>
    </row>
    <row r="9999">
      <c r="A9999" s="40" t="str">
        <f t="shared" si="1"/>
        <v/>
      </c>
      <c r="B9999" s="37" t="str">
        <f t="array" ref="B9999">iferror(xlookup($I9999, 'IMPORT VHC Report'!$E:$E, 'IMPORT VHC Report'!$A:$C), )</f>
        <v/>
      </c>
      <c r="C9999" s="44"/>
      <c r="D9999" s="44"/>
      <c r="L9999" s="45"/>
      <c r="N9999" s="45"/>
    </row>
    <row r="10000">
      <c r="A10000" s="40" t="str">
        <f t="shared" si="1"/>
        <v/>
      </c>
      <c r="B10000" s="37" t="str">
        <f t="array" ref="B10000">iferror(xlookup($I10000, 'IMPORT VHC Report'!$E:$E, 'IMPORT VHC Report'!$A:$C), )</f>
        <v/>
      </c>
      <c r="C10000" s="44"/>
      <c r="D10000" s="44"/>
      <c r="L10000" s="45"/>
      <c r="N10000" s="45"/>
    </row>
    <row r="10001">
      <c r="A10001" s="40" t="str">
        <f t="shared" si="1"/>
        <v/>
      </c>
      <c r="B10001" s="37" t="str">
        <f t="array" ref="B10001">iferror(xlookup($I10001, 'IMPORT VHC Report'!$E:$E, 'IMPORT VHC Report'!$A:$C), )</f>
        <v/>
      </c>
      <c r="C10001" s="44"/>
      <c r="D10001" s="44"/>
      <c r="L10001" s="45"/>
      <c r="N10001" s="45"/>
    </row>
    <row r="10002">
      <c r="A10002" s="40" t="str">
        <f t="shared" si="1"/>
        <v/>
      </c>
      <c r="B10002" s="37" t="str">
        <f t="array" ref="B10002">iferror(xlookup($I10002, 'IMPORT VHC Report'!$E:$E, 'IMPORT VHC Report'!$A:$C), )</f>
        <v/>
      </c>
      <c r="C10002" s="44"/>
      <c r="D10002" s="44"/>
      <c r="L10002" s="45"/>
      <c r="N10002" s="45"/>
    </row>
    <row r="10003">
      <c r="A10003" s="40" t="str">
        <f t="shared" si="1"/>
        <v/>
      </c>
      <c r="B10003" s="37" t="str">
        <f t="array" ref="B10003">iferror(xlookup($I10003, 'IMPORT VHC Report'!$E:$E, 'IMPORT VHC Report'!$A:$C), )</f>
        <v/>
      </c>
      <c r="C10003" s="44"/>
      <c r="D10003" s="44"/>
      <c r="L10003" s="45"/>
      <c r="N10003" s="45"/>
    </row>
    <row r="10004">
      <c r="A10004" s="40" t="str">
        <f t="shared" si="1"/>
        <v/>
      </c>
      <c r="B10004" s="37" t="str">
        <f t="array" ref="B10004">iferror(xlookup($I10004, 'IMPORT VHC Report'!$E:$E, 'IMPORT VHC Report'!$A:$C), )</f>
        <v/>
      </c>
      <c r="C10004" s="44"/>
      <c r="D10004" s="44"/>
      <c r="L10004" s="45"/>
      <c r="N10004" s="45"/>
    </row>
    <row r="10005">
      <c r="A10005" s="40" t="str">
        <f t="shared" si="1"/>
        <v/>
      </c>
      <c r="B10005" s="37" t="str">
        <f t="array" ref="B10005">iferror(xlookup($I10005, 'IMPORT VHC Report'!$E:$E, 'IMPORT VHC Report'!$A:$C), )</f>
        <v/>
      </c>
      <c r="C10005" s="44"/>
      <c r="D10005" s="44"/>
      <c r="L10005" s="45"/>
      <c r="N10005" s="45"/>
    </row>
    <row r="10006">
      <c r="A10006" s="40" t="str">
        <f t="shared" si="1"/>
        <v/>
      </c>
      <c r="B10006" s="37" t="str">
        <f t="array" ref="B10006">iferror(xlookup($I10006, 'IMPORT VHC Report'!$E:$E, 'IMPORT VHC Report'!$A:$C), )</f>
        <v/>
      </c>
      <c r="C10006" s="44"/>
      <c r="D10006" s="44"/>
      <c r="L10006" s="45"/>
      <c r="N10006" s="45"/>
    </row>
    <row r="10007">
      <c r="A10007" s="40" t="str">
        <f t="shared" si="1"/>
        <v/>
      </c>
      <c r="B10007" s="37" t="str">
        <f t="array" ref="B10007">iferror(xlookup($I10007, 'IMPORT VHC Report'!$E:$E, 'IMPORT VHC Report'!$A:$C), )</f>
        <v/>
      </c>
      <c r="C10007" s="44"/>
      <c r="D10007" s="44"/>
      <c r="L10007" s="45"/>
      <c r="N10007" s="45"/>
    </row>
    <row r="10008">
      <c r="A10008" s="40" t="str">
        <f t="shared" si="1"/>
        <v/>
      </c>
      <c r="B10008" s="37" t="str">
        <f t="array" ref="B10008">iferror(xlookup($I10008, 'IMPORT VHC Report'!$E:$E, 'IMPORT VHC Report'!$A:$C), )</f>
        <v/>
      </c>
      <c r="C10008" s="44"/>
      <c r="D10008" s="44"/>
      <c r="L10008" s="45"/>
      <c r="N10008" s="45"/>
    </row>
    <row r="10009">
      <c r="A10009" s="40" t="str">
        <f t="shared" si="1"/>
        <v/>
      </c>
      <c r="B10009" s="37" t="str">
        <f t="array" ref="B10009">iferror(xlookup($I10009, 'IMPORT VHC Report'!$E:$E, 'IMPORT VHC Report'!$A:$C), )</f>
        <v/>
      </c>
      <c r="C10009" s="44"/>
      <c r="D10009" s="44"/>
      <c r="L10009" s="45"/>
      <c r="N10009" s="45"/>
    </row>
    <row r="10010">
      <c r="A10010" s="40" t="str">
        <f t="shared" si="1"/>
        <v/>
      </c>
      <c r="B10010" s="37" t="str">
        <f t="array" ref="B10010">iferror(xlookup($I10010, 'IMPORT VHC Report'!$E:$E, 'IMPORT VHC Report'!$A:$C), )</f>
        <v/>
      </c>
      <c r="C10010" s="44"/>
      <c r="D10010" s="44"/>
      <c r="L10010" s="45"/>
      <c r="N10010" s="45"/>
    </row>
    <row r="10011">
      <c r="A10011" s="40" t="str">
        <f t="shared" si="1"/>
        <v/>
      </c>
      <c r="B10011" s="37" t="str">
        <f t="array" ref="B10011">iferror(xlookup($I10011, 'IMPORT VHC Report'!$E:$E, 'IMPORT VHC Report'!$A:$C), )</f>
        <v/>
      </c>
      <c r="C10011" s="44"/>
      <c r="D10011" s="44"/>
      <c r="L10011" s="45"/>
      <c r="N10011" s="45"/>
    </row>
    <row r="10012">
      <c r="A10012" s="40" t="str">
        <f t="shared" si="1"/>
        <v/>
      </c>
      <c r="B10012" s="37" t="str">
        <f t="array" ref="B10012">iferror(xlookup($I10012, 'IMPORT VHC Report'!$E:$E, 'IMPORT VHC Report'!$A:$C), )</f>
        <v/>
      </c>
      <c r="C10012" s="44"/>
      <c r="D10012" s="44"/>
      <c r="L10012" s="45"/>
      <c r="N10012" s="45"/>
    </row>
    <row r="10013">
      <c r="A10013" s="40" t="str">
        <f t="shared" si="1"/>
        <v/>
      </c>
      <c r="B10013" s="37" t="str">
        <f t="array" ref="B10013">iferror(xlookup($I10013, 'IMPORT VHC Report'!$E:$E, 'IMPORT VHC Report'!$A:$C), )</f>
        <v/>
      </c>
      <c r="C10013" s="44"/>
      <c r="D10013" s="44"/>
      <c r="L10013" s="45"/>
      <c r="N10013" s="45"/>
    </row>
    <row r="10014">
      <c r="A10014" s="40" t="str">
        <f t="shared" si="1"/>
        <v/>
      </c>
      <c r="B10014" s="37" t="str">
        <f t="array" ref="B10014">iferror(xlookup($I10014, 'IMPORT VHC Report'!$E:$E, 'IMPORT VHC Report'!$A:$C), )</f>
        <v/>
      </c>
      <c r="C10014" s="44"/>
      <c r="D10014" s="44"/>
      <c r="L10014" s="45"/>
      <c r="N10014" s="45"/>
    </row>
    <row r="10015">
      <c r="A10015" s="40" t="str">
        <f t="shared" si="1"/>
        <v/>
      </c>
      <c r="B10015" s="37" t="str">
        <f t="array" ref="B10015">iferror(xlookup($I10015, 'IMPORT VHC Report'!$E:$E, 'IMPORT VHC Report'!$A:$C), )</f>
        <v/>
      </c>
      <c r="C10015" s="44"/>
      <c r="D10015" s="44"/>
      <c r="L10015" s="45"/>
      <c r="N10015" s="45"/>
    </row>
    <row r="10016">
      <c r="A10016" s="40" t="str">
        <f t="shared" si="1"/>
        <v/>
      </c>
      <c r="B10016" s="37" t="str">
        <f t="array" ref="B10016">iferror(xlookup($I10016, 'IMPORT VHC Report'!$E:$E, 'IMPORT VHC Report'!$A:$C), )</f>
        <v/>
      </c>
      <c r="C10016" s="44"/>
      <c r="D10016" s="44"/>
      <c r="L10016" s="45"/>
      <c r="N10016" s="45"/>
    </row>
    <row r="10017">
      <c r="A10017" s="40" t="str">
        <f t="shared" si="1"/>
        <v/>
      </c>
      <c r="B10017" s="37" t="str">
        <f t="array" ref="B10017">iferror(xlookup($I10017, 'IMPORT VHC Report'!$E:$E, 'IMPORT VHC Report'!$A:$C), )</f>
        <v/>
      </c>
      <c r="C10017" s="44"/>
      <c r="D10017" s="44"/>
      <c r="L10017" s="45"/>
      <c r="N10017" s="45"/>
    </row>
    <row r="10018">
      <c r="A10018" s="40" t="str">
        <f t="shared" si="1"/>
        <v/>
      </c>
      <c r="B10018" s="37" t="str">
        <f t="array" ref="B10018">iferror(xlookup($I10018, 'IMPORT VHC Report'!$E:$E, 'IMPORT VHC Report'!$A:$C), )</f>
        <v/>
      </c>
      <c r="C10018" s="44"/>
      <c r="D10018" s="44"/>
      <c r="L10018" s="45"/>
      <c r="N10018" s="45"/>
    </row>
    <row r="10019">
      <c r="A10019" s="40" t="str">
        <f t="shared" si="1"/>
        <v/>
      </c>
      <c r="B10019" s="37" t="str">
        <f t="array" ref="B10019">iferror(xlookup($I10019, 'IMPORT VHC Report'!$E:$E, 'IMPORT VHC Report'!$A:$C), )</f>
        <v/>
      </c>
      <c r="C10019" s="44"/>
      <c r="D10019" s="44"/>
      <c r="L10019" s="45"/>
      <c r="N10019" s="45"/>
    </row>
    <row r="10020">
      <c r="A10020" s="40" t="str">
        <f t="shared" si="1"/>
        <v/>
      </c>
      <c r="B10020" s="37" t="str">
        <f t="array" ref="B10020">iferror(xlookup($I10020, 'IMPORT VHC Report'!$E:$E, 'IMPORT VHC Report'!$A:$C), )</f>
        <v/>
      </c>
      <c r="C10020" s="44"/>
      <c r="D10020" s="44"/>
      <c r="L10020" s="45"/>
      <c r="N10020" s="45"/>
    </row>
    <row r="10021">
      <c r="A10021" s="40" t="str">
        <f t="shared" si="1"/>
        <v/>
      </c>
      <c r="B10021" s="37" t="str">
        <f t="array" ref="B10021">iferror(xlookup($I10021, 'IMPORT VHC Report'!$E:$E, 'IMPORT VHC Report'!$A:$C), )</f>
        <v/>
      </c>
      <c r="C10021" s="44"/>
      <c r="D10021" s="44"/>
      <c r="L10021" s="45"/>
      <c r="N10021" s="45"/>
    </row>
    <row r="10022">
      <c r="A10022" s="40" t="str">
        <f t="shared" si="1"/>
        <v/>
      </c>
      <c r="B10022" s="37" t="str">
        <f t="array" ref="B10022">iferror(xlookup($I10022, 'IMPORT VHC Report'!$E:$E, 'IMPORT VHC Report'!$A:$C), )</f>
        <v/>
      </c>
      <c r="C10022" s="44"/>
      <c r="D10022" s="44"/>
      <c r="L10022" s="45"/>
      <c r="N10022" s="45"/>
    </row>
    <row r="10023">
      <c r="A10023" s="40" t="str">
        <f t="shared" si="1"/>
        <v/>
      </c>
      <c r="B10023" s="37" t="str">
        <f t="array" ref="B10023">iferror(xlookup($I10023, 'IMPORT VHC Report'!$E:$E, 'IMPORT VHC Report'!$A:$C), )</f>
        <v/>
      </c>
      <c r="C10023" s="44"/>
      <c r="D10023" s="44"/>
      <c r="L10023" s="45"/>
      <c r="N10023" s="45"/>
    </row>
    <row r="10024">
      <c r="A10024" s="40" t="str">
        <f t="shared" si="1"/>
        <v/>
      </c>
      <c r="B10024" s="37" t="str">
        <f t="array" ref="B10024">iferror(xlookup($I10024, 'IMPORT VHC Report'!$E:$E, 'IMPORT VHC Report'!$A:$C), )</f>
        <v/>
      </c>
      <c r="C10024" s="44"/>
      <c r="D10024" s="44"/>
      <c r="L10024" s="45"/>
      <c r="N10024" s="45"/>
    </row>
    <row r="10025">
      <c r="A10025" s="40" t="str">
        <f t="shared" si="1"/>
        <v/>
      </c>
      <c r="B10025" s="37" t="str">
        <f t="array" ref="B10025">iferror(xlookup($I10025, 'IMPORT VHC Report'!$E:$E, 'IMPORT VHC Report'!$A:$C), )</f>
        <v/>
      </c>
      <c r="C10025" s="44"/>
      <c r="D10025" s="44"/>
      <c r="L10025" s="45"/>
      <c r="N10025" s="45"/>
    </row>
    <row r="10026">
      <c r="A10026" s="40" t="str">
        <f t="shared" si="1"/>
        <v/>
      </c>
      <c r="B10026" s="37" t="str">
        <f t="array" ref="B10026">iferror(xlookup($I10026, 'IMPORT VHC Report'!$E:$E, 'IMPORT VHC Report'!$A:$C), )</f>
        <v/>
      </c>
      <c r="C10026" s="44"/>
      <c r="D10026" s="44"/>
      <c r="L10026" s="45"/>
      <c r="N10026" s="45"/>
    </row>
    <row r="10027">
      <c r="A10027" s="40" t="str">
        <f t="shared" si="1"/>
        <v/>
      </c>
      <c r="B10027" s="37" t="str">
        <f t="array" ref="B10027">iferror(xlookup($I10027, 'IMPORT VHC Report'!$E:$E, 'IMPORT VHC Report'!$A:$C), )</f>
        <v/>
      </c>
      <c r="C10027" s="44"/>
      <c r="D10027" s="44"/>
      <c r="L10027" s="45"/>
      <c r="N10027" s="45"/>
    </row>
    <row r="10028">
      <c r="A10028" s="40" t="str">
        <f t="shared" si="1"/>
        <v/>
      </c>
      <c r="B10028" s="37" t="str">
        <f t="array" ref="B10028">iferror(xlookup($I10028, 'IMPORT VHC Report'!$E:$E, 'IMPORT VHC Report'!$A:$C), )</f>
        <v/>
      </c>
      <c r="C10028" s="44"/>
      <c r="D10028" s="44"/>
      <c r="L10028" s="45"/>
      <c r="N10028" s="45"/>
    </row>
    <row r="10029">
      <c r="A10029" s="40" t="str">
        <f t="shared" si="1"/>
        <v/>
      </c>
      <c r="B10029" s="37" t="str">
        <f t="array" ref="B10029">iferror(xlookup($I10029, 'IMPORT VHC Report'!$E:$E, 'IMPORT VHC Report'!$A:$C), )</f>
        <v/>
      </c>
      <c r="C10029" s="44"/>
      <c r="D10029" s="44"/>
      <c r="L10029" s="45"/>
      <c r="N10029" s="45"/>
    </row>
    <row r="10030">
      <c r="A10030" s="40" t="str">
        <f t="shared" si="1"/>
        <v/>
      </c>
      <c r="B10030" s="37" t="str">
        <f t="array" ref="B10030">iferror(xlookup($I10030, 'IMPORT VHC Report'!$E:$E, 'IMPORT VHC Report'!$A:$C), )</f>
        <v/>
      </c>
      <c r="C10030" s="44"/>
      <c r="D10030" s="44"/>
      <c r="L10030" s="45"/>
      <c r="N10030" s="45"/>
    </row>
    <row r="10031">
      <c r="A10031" s="40" t="str">
        <f t="shared" si="1"/>
        <v/>
      </c>
      <c r="B10031" s="37" t="str">
        <f t="array" ref="B10031">iferror(xlookup($I10031, 'IMPORT VHC Report'!$E:$E, 'IMPORT VHC Report'!$A:$C), )</f>
        <v/>
      </c>
      <c r="C10031" s="44"/>
      <c r="D10031" s="44"/>
      <c r="L10031" s="45"/>
      <c r="N10031" s="45"/>
    </row>
    <row r="10032">
      <c r="A10032" s="40" t="str">
        <f t="shared" si="1"/>
        <v/>
      </c>
      <c r="B10032" s="37" t="str">
        <f t="array" ref="B10032">iferror(xlookup($I10032, 'IMPORT VHC Report'!$E:$E, 'IMPORT VHC Report'!$A:$C), )</f>
        <v/>
      </c>
      <c r="C10032" s="44"/>
      <c r="D10032" s="44"/>
      <c r="L10032" s="45"/>
      <c r="N10032" s="45"/>
    </row>
    <row r="10033">
      <c r="A10033" s="40" t="str">
        <f t="shared" si="1"/>
        <v/>
      </c>
      <c r="B10033" s="37" t="str">
        <f t="array" ref="B10033">iferror(xlookup($I10033, 'IMPORT VHC Report'!$E:$E, 'IMPORT VHC Report'!$A:$C), )</f>
        <v/>
      </c>
      <c r="C10033" s="44"/>
      <c r="D10033" s="44"/>
      <c r="L10033" s="45"/>
      <c r="N10033" s="45"/>
    </row>
    <row r="10034">
      <c r="A10034" s="40" t="str">
        <f t="shared" si="1"/>
        <v/>
      </c>
      <c r="B10034" s="37" t="str">
        <f t="array" ref="B10034">iferror(xlookup($I10034, 'IMPORT VHC Report'!$E:$E, 'IMPORT VHC Report'!$A:$C), )</f>
        <v/>
      </c>
      <c r="C10034" s="44"/>
      <c r="D10034" s="44"/>
      <c r="L10034" s="45"/>
      <c r="N10034" s="45"/>
    </row>
    <row r="10035">
      <c r="A10035" s="40" t="str">
        <f t="shared" si="1"/>
        <v/>
      </c>
      <c r="B10035" s="37" t="str">
        <f t="array" ref="B10035">iferror(xlookup($I10035, 'IMPORT VHC Report'!$E:$E, 'IMPORT VHC Report'!$A:$C), )</f>
        <v/>
      </c>
      <c r="C10035" s="44"/>
      <c r="D10035" s="44"/>
      <c r="L10035" s="45"/>
      <c r="N10035" s="45"/>
    </row>
    <row r="10036">
      <c r="A10036" s="40" t="str">
        <f t="shared" si="1"/>
        <v/>
      </c>
      <c r="B10036" s="37" t="str">
        <f t="array" ref="B10036">iferror(xlookup($I10036, 'IMPORT VHC Report'!$E:$E, 'IMPORT VHC Report'!$A:$C), )</f>
        <v/>
      </c>
      <c r="C10036" s="44"/>
      <c r="D10036" s="44"/>
      <c r="L10036" s="45"/>
      <c r="N10036" s="45"/>
    </row>
    <row r="10037">
      <c r="A10037" s="40" t="str">
        <f t="shared" si="1"/>
        <v/>
      </c>
      <c r="B10037" s="37" t="str">
        <f t="array" ref="B10037">iferror(xlookup($I10037, 'IMPORT VHC Report'!$E:$E, 'IMPORT VHC Report'!$A:$C), )</f>
        <v/>
      </c>
      <c r="C10037" s="44"/>
      <c r="D10037" s="44"/>
      <c r="L10037" s="45"/>
      <c r="N10037" s="45"/>
    </row>
    <row r="10038">
      <c r="A10038" s="40" t="str">
        <f t="shared" si="1"/>
        <v/>
      </c>
      <c r="B10038" s="37" t="str">
        <f t="array" ref="B10038">iferror(xlookup($I10038, 'IMPORT VHC Report'!$E:$E, 'IMPORT VHC Report'!$A:$C), )</f>
        <v/>
      </c>
      <c r="C10038" s="44"/>
      <c r="D10038" s="44"/>
      <c r="L10038" s="45"/>
      <c r="N10038" s="45"/>
    </row>
    <row r="10039">
      <c r="A10039" s="40" t="str">
        <f t="shared" si="1"/>
        <v/>
      </c>
      <c r="B10039" s="37" t="str">
        <f t="array" ref="B10039">iferror(xlookup($I10039, 'IMPORT VHC Report'!$E:$E, 'IMPORT VHC Report'!$A:$C), )</f>
        <v/>
      </c>
      <c r="C10039" s="44"/>
      <c r="D10039" s="44"/>
      <c r="L10039" s="45"/>
      <c r="N10039" s="45"/>
    </row>
    <row r="10040">
      <c r="A10040" s="40" t="str">
        <f t="shared" si="1"/>
        <v/>
      </c>
      <c r="B10040" s="37" t="str">
        <f t="array" ref="B10040">iferror(xlookup($I10040, 'IMPORT VHC Report'!$E:$E, 'IMPORT VHC Report'!$A:$C), )</f>
        <v/>
      </c>
      <c r="C10040" s="44"/>
      <c r="D10040" s="44"/>
      <c r="L10040" s="45"/>
      <c r="N10040" s="45"/>
    </row>
    <row r="10041">
      <c r="A10041" s="40" t="str">
        <f t="shared" si="1"/>
        <v/>
      </c>
      <c r="B10041" s="37" t="str">
        <f t="array" ref="B10041">iferror(xlookup($I10041, 'IMPORT VHC Report'!$E:$E, 'IMPORT VHC Report'!$A:$C), )</f>
        <v/>
      </c>
      <c r="C10041" s="44"/>
      <c r="D10041" s="44"/>
      <c r="L10041" s="45"/>
      <c r="N10041" s="45"/>
    </row>
    <row r="10042">
      <c r="A10042" s="40" t="str">
        <f t="shared" si="1"/>
        <v/>
      </c>
      <c r="B10042" s="37" t="str">
        <f t="array" ref="B10042">iferror(xlookup($I10042, 'IMPORT VHC Report'!$E:$E, 'IMPORT VHC Report'!$A:$C), )</f>
        <v/>
      </c>
      <c r="C10042" s="44"/>
      <c r="D10042" s="44"/>
      <c r="L10042" s="45"/>
      <c r="N10042" s="45"/>
    </row>
    <row r="10043">
      <c r="A10043" s="40" t="str">
        <f t="shared" si="1"/>
        <v/>
      </c>
      <c r="B10043" s="37" t="str">
        <f t="array" ref="B10043">iferror(xlookup($I10043, 'IMPORT VHC Report'!$E:$E, 'IMPORT VHC Report'!$A:$C), )</f>
        <v/>
      </c>
      <c r="C10043" s="44"/>
      <c r="D10043" s="44"/>
      <c r="L10043" s="45"/>
      <c r="N10043" s="45"/>
    </row>
    <row r="10044">
      <c r="A10044" s="40" t="str">
        <f t="shared" si="1"/>
        <v/>
      </c>
      <c r="B10044" s="37" t="str">
        <f t="array" ref="B10044">iferror(xlookup($I10044, 'IMPORT VHC Report'!$E:$E, 'IMPORT VHC Report'!$A:$C), )</f>
        <v/>
      </c>
      <c r="C10044" s="44"/>
      <c r="D10044" s="44"/>
      <c r="L10044" s="45"/>
      <c r="N10044" s="45"/>
    </row>
    <row r="10045">
      <c r="A10045" s="40" t="str">
        <f t="shared" si="1"/>
        <v/>
      </c>
      <c r="B10045" s="37" t="str">
        <f t="array" ref="B10045">iferror(xlookup($I10045, 'IMPORT VHC Report'!$E:$E, 'IMPORT VHC Report'!$A:$C), )</f>
        <v/>
      </c>
      <c r="C10045" s="44"/>
      <c r="D10045" s="44"/>
      <c r="L10045" s="45"/>
      <c r="N10045" s="45"/>
    </row>
    <row r="10046">
      <c r="A10046" s="40" t="str">
        <f t="shared" si="1"/>
        <v/>
      </c>
      <c r="B10046" s="37" t="str">
        <f t="array" ref="B10046">iferror(xlookup($I10046, 'IMPORT VHC Report'!$E:$E, 'IMPORT VHC Report'!$A:$C), )</f>
        <v/>
      </c>
      <c r="C10046" s="44"/>
      <c r="D10046" s="44"/>
      <c r="L10046" s="45"/>
      <c r="N10046" s="45"/>
    </row>
    <row r="10047">
      <c r="A10047" s="40" t="str">
        <f t="shared" si="1"/>
        <v/>
      </c>
      <c r="B10047" s="37" t="str">
        <f t="array" ref="B10047">iferror(xlookup($I10047, 'IMPORT VHC Report'!$E:$E, 'IMPORT VHC Report'!$A:$C), )</f>
        <v/>
      </c>
      <c r="C10047" s="44"/>
      <c r="D10047" s="44"/>
      <c r="L10047" s="45"/>
      <c r="N10047" s="45"/>
    </row>
    <row r="10048">
      <c r="A10048" s="40" t="str">
        <f t="shared" si="1"/>
        <v/>
      </c>
      <c r="B10048" s="37" t="str">
        <f t="array" ref="B10048">iferror(xlookup($I10048, 'IMPORT VHC Report'!$E:$E, 'IMPORT VHC Report'!$A:$C), )</f>
        <v/>
      </c>
      <c r="C10048" s="44"/>
      <c r="D10048" s="44"/>
      <c r="L10048" s="45"/>
      <c r="N10048" s="45"/>
    </row>
    <row r="10049">
      <c r="A10049" s="40" t="str">
        <f t="shared" si="1"/>
        <v/>
      </c>
      <c r="B10049" s="37" t="str">
        <f t="array" ref="B10049">iferror(xlookup($I10049, 'IMPORT VHC Report'!$E:$E, 'IMPORT VHC Report'!$A:$C), )</f>
        <v/>
      </c>
      <c r="C10049" s="44"/>
      <c r="D10049" s="44"/>
      <c r="L10049" s="45"/>
      <c r="N10049" s="45"/>
    </row>
    <row r="10050">
      <c r="A10050" s="40" t="str">
        <f t="shared" si="1"/>
        <v/>
      </c>
      <c r="B10050" s="37" t="str">
        <f t="array" ref="B10050">iferror(xlookup($I10050, 'IMPORT VHC Report'!$E:$E, 'IMPORT VHC Report'!$A:$C), )</f>
        <v/>
      </c>
      <c r="C10050" s="44"/>
      <c r="D10050" s="44"/>
      <c r="L10050" s="45"/>
      <c r="N10050" s="45"/>
    </row>
    <row r="10051">
      <c r="A10051" s="40" t="str">
        <f t="shared" si="1"/>
        <v/>
      </c>
      <c r="B10051" s="37" t="str">
        <f t="array" ref="B10051">iferror(xlookup($I10051, 'IMPORT VHC Report'!$E:$E, 'IMPORT VHC Report'!$A:$C), )</f>
        <v/>
      </c>
      <c r="C10051" s="44"/>
      <c r="D10051" s="44"/>
      <c r="L10051" s="45"/>
      <c r="N10051" s="45"/>
    </row>
    <row r="10052">
      <c r="A10052" s="40" t="str">
        <f t="shared" si="1"/>
        <v/>
      </c>
      <c r="B10052" s="37" t="str">
        <f t="array" ref="B10052">iferror(xlookup($I10052, 'IMPORT VHC Report'!$E:$E, 'IMPORT VHC Report'!$A:$C), )</f>
        <v/>
      </c>
      <c r="C10052" s="44"/>
      <c r="D10052" s="44"/>
      <c r="L10052" s="45"/>
      <c r="N10052" s="45"/>
    </row>
    <row r="10053">
      <c r="A10053" s="40" t="str">
        <f t="shared" si="1"/>
        <v/>
      </c>
      <c r="B10053" s="37" t="str">
        <f t="array" ref="B10053">iferror(xlookup($I10053, 'IMPORT VHC Report'!$E:$E, 'IMPORT VHC Report'!$A:$C), )</f>
        <v/>
      </c>
      <c r="C10053" s="44"/>
      <c r="D10053" s="44"/>
      <c r="L10053" s="45"/>
      <c r="N10053" s="45"/>
    </row>
    <row r="10054">
      <c r="A10054" s="40" t="str">
        <f t="shared" si="1"/>
        <v/>
      </c>
      <c r="B10054" s="37" t="str">
        <f t="array" ref="B10054">iferror(xlookup($I10054, 'IMPORT VHC Report'!$E:$E, 'IMPORT VHC Report'!$A:$C), )</f>
        <v/>
      </c>
      <c r="C10054" s="44"/>
      <c r="D10054" s="44"/>
      <c r="L10054" s="45"/>
      <c r="N10054" s="45"/>
    </row>
    <row r="10055">
      <c r="A10055" s="40" t="str">
        <f t="shared" si="1"/>
        <v/>
      </c>
      <c r="B10055" s="37" t="str">
        <f t="array" ref="B10055">iferror(xlookup($I10055, 'IMPORT VHC Report'!$E:$E, 'IMPORT VHC Report'!$A:$C), )</f>
        <v/>
      </c>
      <c r="C10055" s="44"/>
      <c r="D10055" s="44"/>
      <c r="L10055" s="45"/>
      <c r="N10055" s="45"/>
    </row>
    <row r="10056">
      <c r="A10056" s="40" t="str">
        <f t="shared" si="1"/>
        <v/>
      </c>
      <c r="B10056" s="37" t="str">
        <f t="array" ref="B10056">iferror(xlookup($I10056, 'IMPORT VHC Report'!$E:$E, 'IMPORT VHC Report'!$A:$C), )</f>
        <v/>
      </c>
      <c r="C10056" s="44"/>
      <c r="D10056" s="44"/>
      <c r="L10056" s="45"/>
      <c r="N10056" s="45"/>
    </row>
    <row r="10057">
      <c r="A10057" s="40" t="str">
        <f t="shared" si="1"/>
        <v/>
      </c>
      <c r="B10057" s="37" t="str">
        <f t="array" ref="B10057">iferror(xlookup($I10057, 'IMPORT VHC Report'!$E:$E, 'IMPORT VHC Report'!$A:$C), )</f>
        <v/>
      </c>
      <c r="C10057" s="44"/>
      <c r="D10057" s="44"/>
      <c r="L10057" s="45"/>
      <c r="N10057" s="45"/>
    </row>
    <row r="10058">
      <c r="A10058" s="40" t="str">
        <f t="shared" si="1"/>
        <v/>
      </c>
      <c r="B10058" s="37" t="str">
        <f t="array" ref="B10058">iferror(xlookup($I10058, 'IMPORT VHC Report'!$E:$E, 'IMPORT VHC Report'!$A:$C), )</f>
        <v/>
      </c>
      <c r="C10058" s="44"/>
      <c r="D10058" s="44"/>
      <c r="L10058" s="45"/>
      <c r="N10058" s="45"/>
    </row>
    <row r="10059">
      <c r="A10059" s="40" t="str">
        <f t="shared" si="1"/>
        <v/>
      </c>
      <c r="B10059" s="37" t="str">
        <f t="array" ref="B10059">iferror(xlookup($I10059, 'IMPORT VHC Report'!$E:$E, 'IMPORT VHC Report'!$A:$C), )</f>
        <v/>
      </c>
      <c r="C10059" s="44"/>
      <c r="D10059" s="44"/>
      <c r="L10059" s="45"/>
      <c r="N10059" s="45"/>
    </row>
    <row r="10060">
      <c r="A10060" s="40" t="str">
        <f t="shared" si="1"/>
        <v/>
      </c>
      <c r="B10060" s="37" t="str">
        <f t="array" ref="B10060">iferror(xlookup($I10060, 'IMPORT VHC Report'!$E:$E, 'IMPORT VHC Report'!$A:$C), )</f>
        <v/>
      </c>
      <c r="C10060" s="44"/>
      <c r="D10060" s="44"/>
      <c r="L10060" s="45"/>
      <c r="N10060" s="45"/>
    </row>
    <row r="10061">
      <c r="A10061" s="40" t="str">
        <f t="shared" si="1"/>
        <v/>
      </c>
      <c r="B10061" s="37" t="str">
        <f t="array" ref="B10061">iferror(xlookup($I10061, 'IMPORT VHC Report'!$E:$E, 'IMPORT VHC Report'!$A:$C), )</f>
        <v/>
      </c>
      <c r="C10061" s="44"/>
      <c r="D10061" s="44"/>
      <c r="L10061" s="45"/>
      <c r="N10061" s="45"/>
    </row>
    <row r="10062">
      <c r="A10062" s="40" t="str">
        <f t="shared" si="1"/>
        <v/>
      </c>
      <c r="B10062" s="37" t="str">
        <f t="array" ref="B10062">iferror(xlookup($I10062, 'IMPORT VHC Report'!$E:$E, 'IMPORT VHC Report'!$A:$C), )</f>
        <v/>
      </c>
      <c r="C10062" s="44"/>
      <c r="D10062" s="44"/>
      <c r="L10062" s="45"/>
      <c r="N10062" s="45"/>
    </row>
    <row r="10063">
      <c r="A10063" s="40" t="str">
        <f t="shared" si="1"/>
        <v/>
      </c>
      <c r="B10063" s="37" t="str">
        <f t="array" ref="B10063">iferror(xlookup($I10063, 'IMPORT VHC Report'!$E:$E, 'IMPORT VHC Report'!$A:$C), )</f>
        <v/>
      </c>
      <c r="C10063" s="44"/>
      <c r="D10063" s="44"/>
      <c r="L10063" s="45"/>
      <c r="N10063" s="45"/>
    </row>
    <row r="10064">
      <c r="A10064" s="40" t="str">
        <f t="shared" si="1"/>
        <v/>
      </c>
      <c r="B10064" s="37" t="str">
        <f t="array" ref="B10064">iferror(xlookup($I10064, 'IMPORT VHC Report'!$E:$E, 'IMPORT VHC Report'!$A:$C), )</f>
        <v/>
      </c>
      <c r="C10064" s="44"/>
      <c r="D10064" s="44"/>
      <c r="L10064" s="45"/>
      <c r="N10064" s="45"/>
    </row>
    <row r="10065">
      <c r="A10065" s="40" t="str">
        <f t="shared" si="1"/>
        <v/>
      </c>
      <c r="B10065" s="37" t="str">
        <f t="array" ref="B10065">iferror(xlookup($I10065, 'IMPORT VHC Report'!$E:$E, 'IMPORT VHC Report'!$A:$C), )</f>
        <v/>
      </c>
      <c r="C10065" s="44"/>
      <c r="D10065" s="44"/>
      <c r="L10065" s="45"/>
      <c r="N10065" s="45"/>
    </row>
    <row r="10066">
      <c r="A10066" s="40" t="str">
        <f t="shared" si="1"/>
        <v/>
      </c>
      <c r="B10066" s="37" t="str">
        <f t="array" ref="B10066">iferror(xlookup($I10066, 'IMPORT VHC Report'!$E:$E, 'IMPORT VHC Report'!$A:$C), )</f>
        <v/>
      </c>
      <c r="C10066" s="44"/>
      <c r="D10066" s="44"/>
      <c r="L10066" s="45"/>
      <c r="N10066" s="45"/>
    </row>
    <row r="10067">
      <c r="A10067" s="40" t="str">
        <f t="shared" si="1"/>
        <v/>
      </c>
      <c r="B10067" s="37" t="str">
        <f t="array" ref="B10067">iferror(xlookup($I10067, 'IMPORT VHC Report'!$E:$E, 'IMPORT VHC Report'!$A:$C), )</f>
        <v/>
      </c>
      <c r="C10067" s="44"/>
      <c r="D10067" s="44"/>
      <c r="L10067" s="45"/>
      <c r="N10067" s="45"/>
    </row>
    <row r="10068">
      <c r="A10068" s="40" t="str">
        <f t="shared" si="1"/>
        <v/>
      </c>
      <c r="B10068" s="37" t="str">
        <f t="array" ref="B10068">iferror(xlookup($I10068, 'IMPORT VHC Report'!$E:$E, 'IMPORT VHC Report'!$A:$C), )</f>
        <v/>
      </c>
      <c r="C10068" s="44"/>
      <c r="D10068" s="44"/>
      <c r="L10068" s="45"/>
      <c r="N10068" s="45"/>
    </row>
    <row r="10069">
      <c r="A10069" s="40" t="str">
        <f t="shared" si="1"/>
        <v/>
      </c>
      <c r="B10069" s="37" t="str">
        <f t="array" ref="B10069">iferror(xlookup($I10069, 'IMPORT VHC Report'!$E:$E, 'IMPORT VHC Report'!$A:$C), )</f>
        <v/>
      </c>
      <c r="C10069" s="44"/>
      <c r="D10069" s="44"/>
      <c r="L10069" s="45"/>
      <c r="N10069" s="45"/>
    </row>
    <row r="10070">
      <c r="A10070" s="40" t="str">
        <f t="shared" si="1"/>
        <v/>
      </c>
      <c r="B10070" s="37" t="str">
        <f t="array" ref="B10070">iferror(xlookup($I10070, 'IMPORT VHC Report'!$E:$E, 'IMPORT VHC Report'!$A:$C), )</f>
        <v/>
      </c>
      <c r="C10070" s="44"/>
      <c r="D10070" s="44"/>
      <c r="L10070" s="45"/>
      <c r="N10070" s="45"/>
    </row>
    <row r="10071">
      <c r="A10071" s="40" t="str">
        <f t="shared" si="1"/>
        <v/>
      </c>
      <c r="B10071" s="37" t="str">
        <f t="array" ref="B10071">iferror(xlookup($I10071, 'IMPORT VHC Report'!$E:$E, 'IMPORT VHC Report'!$A:$C), )</f>
        <v/>
      </c>
      <c r="C10071" s="44"/>
      <c r="D10071" s="44"/>
      <c r="L10071" s="45"/>
      <c r="N10071" s="45"/>
    </row>
    <row r="10072">
      <c r="A10072" s="40" t="str">
        <f t="shared" si="1"/>
        <v/>
      </c>
      <c r="B10072" s="37" t="str">
        <f t="array" ref="B10072">iferror(xlookup($I10072, 'IMPORT VHC Report'!$E:$E, 'IMPORT VHC Report'!$A:$C), )</f>
        <v/>
      </c>
      <c r="C10072" s="44"/>
      <c r="D10072" s="44"/>
      <c r="L10072" s="45"/>
      <c r="N10072" s="45"/>
    </row>
    <row r="10073">
      <c r="A10073" s="40" t="str">
        <f t="shared" si="1"/>
        <v/>
      </c>
      <c r="B10073" s="37" t="str">
        <f t="array" ref="B10073">iferror(xlookup($I10073, 'IMPORT VHC Report'!$E:$E, 'IMPORT VHC Report'!$A:$C), )</f>
        <v/>
      </c>
      <c r="C10073" s="44"/>
      <c r="D10073" s="44"/>
      <c r="L10073" s="45"/>
      <c r="N10073" s="45"/>
    </row>
    <row r="10074">
      <c r="A10074" s="40" t="str">
        <f t="shared" si="1"/>
        <v/>
      </c>
      <c r="B10074" s="37" t="str">
        <f t="array" ref="B10074">iferror(xlookup($I10074, 'IMPORT VHC Report'!$E:$E, 'IMPORT VHC Report'!$A:$C), )</f>
        <v/>
      </c>
      <c r="C10074" s="44"/>
      <c r="D10074" s="44"/>
      <c r="L10074" s="45"/>
      <c r="N10074" s="45"/>
    </row>
    <row r="10075">
      <c r="A10075" s="40" t="str">
        <f t="shared" si="1"/>
        <v/>
      </c>
      <c r="B10075" s="37" t="str">
        <f t="array" ref="B10075">iferror(xlookup($I10075, 'IMPORT VHC Report'!$E:$E, 'IMPORT VHC Report'!$A:$C), )</f>
        <v/>
      </c>
      <c r="C10075" s="44"/>
      <c r="D10075" s="44"/>
      <c r="L10075" s="45"/>
      <c r="N10075" s="45"/>
    </row>
    <row r="10076">
      <c r="A10076" s="40" t="str">
        <f t="shared" si="1"/>
        <v/>
      </c>
      <c r="B10076" s="37" t="str">
        <f t="array" ref="B10076">iferror(xlookup($I10076, 'IMPORT VHC Report'!$E:$E, 'IMPORT VHC Report'!$A:$C), )</f>
        <v/>
      </c>
      <c r="C10076" s="44"/>
      <c r="D10076" s="44"/>
      <c r="L10076" s="45"/>
      <c r="N10076" s="45"/>
    </row>
    <row r="10077">
      <c r="A10077" s="40" t="str">
        <f t="shared" si="1"/>
        <v/>
      </c>
      <c r="B10077" s="37" t="str">
        <f t="array" ref="B10077">iferror(xlookup($I10077, 'IMPORT VHC Report'!$E:$E, 'IMPORT VHC Report'!$A:$C), )</f>
        <v/>
      </c>
      <c r="C10077" s="44"/>
      <c r="D10077" s="44"/>
      <c r="L10077" s="45"/>
      <c r="N10077" s="45"/>
    </row>
    <row r="10078">
      <c r="A10078" s="40" t="str">
        <f t="shared" si="1"/>
        <v/>
      </c>
      <c r="B10078" s="37" t="str">
        <f t="array" ref="B10078">iferror(xlookup($I10078, 'IMPORT VHC Report'!$E:$E, 'IMPORT VHC Report'!$A:$C), )</f>
        <v/>
      </c>
      <c r="C10078" s="44"/>
      <c r="D10078" s="44"/>
      <c r="L10078" s="45"/>
      <c r="N10078" s="45"/>
    </row>
    <row r="10079">
      <c r="A10079" s="40" t="str">
        <f t="shared" si="1"/>
        <v/>
      </c>
      <c r="B10079" s="37" t="str">
        <f t="array" ref="B10079">iferror(xlookup($I10079, 'IMPORT VHC Report'!$E:$E, 'IMPORT VHC Report'!$A:$C), )</f>
        <v/>
      </c>
      <c r="C10079" s="44"/>
      <c r="D10079" s="44"/>
      <c r="L10079" s="45"/>
      <c r="N10079" s="45"/>
    </row>
    <row r="10080">
      <c r="A10080" s="40" t="str">
        <f t="shared" si="1"/>
        <v/>
      </c>
      <c r="B10080" s="37" t="str">
        <f t="array" ref="B10080">iferror(xlookup($I10080, 'IMPORT VHC Report'!$E:$E, 'IMPORT VHC Report'!$A:$C), )</f>
        <v/>
      </c>
      <c r="C10080" s="44"/>
      <c r="D10080" s="44"/>
      <c r="L10080" s="45"/>
      <c r="N10080" s="45"/>
    </row>
    <row r="10081">
      <c r="A10081" s="40" t="str">
        <f t="shared" si="1"/>
        <v/>
      </c>
      <c r="B10081" s="37" t="str">
        <f t="array" ref="B10081">iferror(xlookup($I10081, 'IMPORT VHC Report'!$E:$E, 'IMPORT VHC Report'!$A:$C), )</f>
        <v/>
      </c>
      <c r="C10081" s="44"/>
      <c r="D10081" s="44"/>
      <c r="L10081" s="45"/>
      <c r="N10081" s="45"/>
    </row>
    <row r="10082">
      <c r="A10082" s="40" t="str">
        <f t="shared" si="1"/>
        <v/>
      </c>
      <c r="B10082" s="37" t="str">
        <f t="array" ref="B10082">iferror(xlookup($I10082, 'IMPORT VHC Report'!$E:$E, 'IMPORT VHC Report'!$A:$C), )</f>
        <v/>
      </c>
      <c r="C10082" s="44"/>
      <c r="D10082" s="44"/>
      <c r="L10082" s="45"/>
      <c r="N10082" s="45"/>
    </row>
    <row r="10083">
      <c r="A10083" s="40" t="str">
        <f t="shared" si="1"/>
        <v/>
      </c>
      <c r="B10083" s="37" t="str">
        <f t="array" ref="B10083">iferror(xlookup($I10083, 'IMPORT VHC Report'!$E:$E, 'IMPORT VHC Report'!$A:$C), )</f>
        <v/>
      </c>
      <c r="C10083" s="44"/>
      <c r="D10083" s="44"/>
      <c r="L10083" s="45"/>
      <c r="N10083" s="45"/>
    </row>
    <row r="10084">
      <c r="A10084" s="40" t="str">
        <f t="shared" si="1"/>
        <v/>
      </c>
      <c r="B10084" s="37" t="str">
        <f t="array" ref="B10084">iferror(xlookup($I10084, 'IMPORT VHC Report'!$E:$E, 'IMPORT VHC Report'!$A:$C), )</f>
        <v/>
      </c>
      <c r="C10084" s="44"/>
      <c r="D10084" s="44"/>
      <c r="L10084" s="45"/>
      <c r="N10084" s="45"/>
    </row>
    <row r="10085">
      <c r="A10085" s="40" t="str">
        <f t="shared" si="1"/>
        <v/>
      </c>
      <c r="B10085" s="37" t="str">
        <f t="array" ref="B10085">iferror(xlookup($I10085, 'IMPORT VHC Report'!$E:$E, 'IMPORT VHC Report'!$A:$C), )</f>
        <v/>
      </c>
      <c r="C10085" s="44"/>
      <c r="D10085" s="44"/>
      <c r="L10085" s="45"/>
      <c r="N10085" s="45"/>
    </row>
    <row r="10086">
      <c r="A10086" s="40" t="str">
        <f t="shared" si="1"/>
        <v/>
      </c>
      <c r="B10086" s="37" t="str">
        <f t="array" ref="B10086">iferror(xlookup($I10086, 'IMPORT VHC Report'!$E:$E, 'IMPORT VHC Report'!$A:$C), )</f>
        <v/>
      </c>
      <c r="C10086" s="44"/>
      <c r="D10086" s="44"/>
      <c r="L10086" s="45"/>
      <c r="N10086" s="45"/>
    </row>
    <row r="10087">
      <c r="A10087" s="40" t="str">
        <f t="shared" si="1"/>
        <v/>
      </c>
      <c r="B10087" s="37" t="str">
        <f t="array" ref="B10087">iferror(xlookup($I10087, 'IMPORT VHC Report'!$E:$E, 'IMPORT VHC Report'!$A:$C), )</f>
        <v/>
      </c>
      <c r="C10087" s="44"/>
      <c r="D10087" s="44"/>
      <c r="L10087" s="45"/>
      <c r="N10087" s="45"/>
    </row>
    <row r="10088">
      <c r="A10088" s="40" t="str">
        <f t="shared" si="1"/>
        <v/>
      </c>
      <c r="B10088" s="37" t="str">
        <f t="array" ref="B10088">iferror(xlookup($I10088, 'IMPORT VHC Report'!$E:$E, 'IMPORT VHC Report'!$A:$C), )</f>
        <v/>
      </c>
      <c r="C10088" s="44"/>
      <c r="D10088" s="44"/>
      <c r="L10088" s="45"/>
      <c r="N10088" s="45"/>
    </row>
    <row r="10089">
      <c r="A10089" s="40" t="str">
        <f t="shared" si="1"/>
        <v/>
      </c>
      <c r="B10089" s="37" t="str">
        <f t="array" ref="B10089">iferror(xlookup($I10089, 'IMPORT VHC Report'!$E:$E, 'IMPORT VHC Report'!$A:$C), )</f>
        <v/>
      </c>
      <c r="C10089" s="44"/>
      <c r="D10089" s="44"/>
      <c r="L10089" s="45"/>
      <c r="N10089" s="45"/>
    </row>
    <row r="10090">
      <c r="A10090" s="40" t="str">
        <f t="shared" si="1"/>
        <v/>
      </c>
      <c r="B10090" s="37" t="str">
        <f t="array" ref="B10090">iferror(xlookup($I10090, 'IMPORT VHC Report'!$E:$E, 'IMPORT VHC Report'!$A:$C), )</f>
        <v/>
      </c>
      <c r="C10090" s="44"/>
      <c r="D10090" s="44"/>
      <c r="L10090" s="45"/>
      <c r="N10090" s="45"/>
    </row>
    <row r="10091">
      <c r="A10091" s="40" t="str">
        <f t="shared" si="1"/>
        <v/>
      </c>
      <c r="B10091" s="37" t="str">
        <f t="array" ref="B10091">iferror(xlookup($I10091, 'IMPORT VHC Report'!$E:$E, 'IMPORT VHC Report'!$A:$C), )</f>
        <v/>
      </c>
      <c r="C10091" s="44"/>
      <c r="D10091" s="44"/>
      <c r="L10091" s="45"/>
      <c r="N10091" s="45"/>
    </row>
    <row r="10092">
      <c r="A10092" s="40" t="str">
        <f t="shared" si="1"/>
        <v/>
      </c>
      <c r="B10092" s="37" t="str">
        <f t="array" ref="B10092">iferror(xlookup($I10092, 'IMPORT VHC Report'!$E:$E, 'IMPORT VHC Report'!$A:$C), )</f>
        <v/>
      </c>
      <c r="C10092" s="44"/>
      <c r="D10092" s="44"/>
      <c r="L10092" s="45"/>
      <c r="N10092" s="45"/>
    </row>
    <row r="10093">
      <c r="A10093" s="40" t="str">
        <f t="shared" si="1"/>
        <v/>
      </c>
      <c r="B10093" s="37" t="str">
        <f t="array" ref="B10093">iferror(xlookup($I10093, 'IMPORT VHC Report'!$E:$E, 'IMPORT VHC Report'!$A:$C), )</f>
        <v/>
      </c>
      <c r="C10093" s="44"/>
      <c r="D10093" s="44"/>
      <c r="L10093" s="45"/>
      <c r="N10093" s="45"/>
    </row>
    <row r="10094">
      <c r="A10094" s="40" t="str">
        <f t="shared" si="1"/>
        <v/>
      </c>
      <c r="B10094" s="37" t="str">
        <f t="array" ref="B10094">iferror(xlookup($I10094, 'IMPORT VHC Report'!$E:$E, 'IMPORT VHC Report'!$A:$C), )</f>
        <v/>
      </c>
      <c r="C10094" s="44"/>
      <c r="D10094" s="44"/>
      <c r="L10094" s="45"/>
      <c r="N10094" s="45"/>
    </row>
    <row r="10095">
      <c r="A10095" s="40" t="str">
        <f t="shared" si="1"/>
        <v/>
      </c>
      <c r="B10095" s="37" t="str">
        <f t="array" ref="B10095">iferror(xlookup($I10095, 'IMPORT VHC Report'!$E:$E, 'IMPORT VHC Report'!$A:$C), )</f>
        <v/>
      </c>
      <c r="C10095" s="44"/>
      <c r="D10095" s="44"/>
      <c r="L10095" s="45"/>
      <c r="N10095" s="45"/>
    </row>
    <row r="10096">
      <c r="A10096" s="40" t="str">
        <f t="shared" si="1"/>
        <v/>
      </c>
      <c r="B10096" s="37" t="str">
        <f t="array" ref="B10096">iferror(xlookup($I10096, 'IMPORT VHC Report'!$E:$E, 'IMPORT VHC Report'!$A:$C), )</f>
        <v/>
      </c>
      <c r="C10096" s="44"/>
      <c r="D10096" s="44"/>
      <c r="L10096" s="45"/>
      <c r="N10096" s="45"/>
    </row>
    <row r="10097">
      <c r="A10097" s="40" t="str">
        <f t="shared" si="1"/>
        <v/>
      </c>
      <c r="B10097" s="37" t="str">
        <f t="array" ref="B10097">iferror(xlookup($I10097, 'IMPORT VHC Report'!$E:$E, 'IMPORT VHC Report'!$A:$C), )</f>
        <v/>
      </c>
      <c r="C10097" s="44"/>
      <c r="D10097" s="44"/>
      <c r="L10097" s="45"/>
      <c r="N10097" s="45"/>
    </row>
    <row r="10098">
      <c r="A10098" s="40" t="str">
        <f t="shared" si="1"/>
        <v/>
      </c>
      <c r="B10098" s="37" t="str">
        <f t="array" ref="B10098">iferror(xlookup($I10098, 'IMPORT VHC Report'!$E:$E, 'IMPORT VHC Report'!$A:$C), )</f>
        <v/>
      </c>
      <c r="C10098" s="44"/>
      <c r="D10098" s="44"/>
      <c r="L10098" s="45"/>
      <c r="N10098" s="45"/>
    </row>
    <row r="10099">
      <c r="A10099" s="40" t="str">
        <f t="shared" si="1"/>
        <v/>
      </c>
      <c r="B10099" s="37" t="str">
        <f t="array" ref="B10099">iferror(xlookup($I10099, 'IMPORT VHC Report'!$E:$E, 'IMPORT VHC Report'!$A:$C), )</f>
        <v/>
      </c>
      <c r="C10099" s="44"/>
      <c r="D10099" s="44"/>
      <c r="L10099" s="45"/>
      <c r="N10099" s="45"/>
    </row>
    <row r="10100">
      <c r="A10100" s="40" t="str">
        <f t="shared" si="1"/>
        <v/>
      </c>
      <c r="B10100" s="37" t="str">
        <f t="array" ref="B10100">iferror(xlookup($I10100, 'IMPORT VHC Report'!$E:$E, 'IMPORT VHC Report'!$A:$C), )</f>
        <v/>
      </c>
      <c r="C10100" s="44"/>
      <c r="D10100" s="44"/>
      <c r="L10100" s="45"/>
      <c r="N10100" s="45"/>
    </row>
    <row r="10101">
      <c r="A10101" s="40" t="str">
        <f t="shared" si="1"/>
        <v/>
      </c>
      <c r="B10101" s="37" t="str">
        <f t="array" ref="B10101">iferror(xlookup($I10101, 'IMPORT VHC Report'!$E:$E, 'IMPORT VHC Report'!$A:$C), )</f>
        <v/>
      </c>
      <c r="C10101" s="44"/>
      <c r="D10101" s="44"/>
      <c r="L10101" s="45"/>
      <c r="N10101" s="45"/>
    </row>
    <row r="10102">
      <c r="A10102" s="40" t="str">
        <f t="shared" si="1"/>
        <v/>
      </c>
      <c r="B10102" s="37" t="str">
        <f t="array" ref="B10102">iferror(xlookup($I10102, 'IMPORT VHC Report'!$E:$E, 'IMPORT VHC Report'!$A:$C), )</f>
        <v/>
      </c>
      <c r="C10102" s="44"/>
      <c r="D10102" s="44"/>
      <c r="L10102" s="45"/>
      <c r="N10102" s="45"/>
    </row>
    <row r="10103">
      <c r="A10103" s="40" t="str">
        <f t="shared" si="1"/>
        <v/>
      </c>
      <c r="B10103" s="37" t="str">
        <f t="array" ref="B10103">iferror(xlookup($I10103, 'IMPORT VHC Report'!$E:$E, 'IMPORT VHC Report'!$A:$C), )</f>
        <v/>
      </c>
      <c r="C10103" s="44"/>
      <c r="D10103" s="44"/>
      <c r="L10103" s="45"/>
      <c r="N10103" s="45"/>
    </row>
    <row r="10104">
      <c r="A10104" s="40" t="str">
        <f t="shared" si="1"/>
        <v/>
      </c>
      <c r="B10104" s="37" t="str">
        <f t="array" ref="B10104">iferror(xlookup($I10104, 'IMPORT VHC Report'!$E:$E, 'IMPORT VHC Report'!$A:$C), )</f>
        <v/>
      </c>
      <c r="C10104" s="44"/>
      <c r="D10104" s="44"/>
      <c r="L10104" s="45"/>
      <c r="N10104" s="45"/>
    </row>
    <row r="10105">
      <c r="A10105" s="40" t="str">
        <f t="shared" si="1"/>
        <v/>
      </c>
      <c r="B10105" s="37" t="str">
        <f t="array" ref="B10105">iferror(xlookup($I10105, 'IMPORT VHC Report'!$E:$E, 'IMPORT VHC Report'!$A:$C), )</f>
        <v/>
      </c>
      <c r="C10105" s="44"/>
      <c r="D10105" s="44"/>
      <c r="L10105" s="45"/>
      <c r="N10105" s="45"/>
    </row>
    <row r="10106">
      <c r="A10106" s="40" t="str">
        <f t="shared" si="1"/>
        <v/>
      </c>
      <c r="B10106" s="37" t="str">
        <f t="array" ref="B10106">iferror(xlookup($I10106, 'IMPORT VHC Report'!$E:$E, 'IMPORT VHC Report'!$A:$C), )</f>
        <v/>
      </c>
      <c r="C10106" s="44"/>
      <c r="D10106" s="44"/>
      <c r="L10106" s="45"/>
      <c r="N10106" s="45"/>
    </row>
    <row r="10107">
      <c r="A10107" s="40" t="str">
        <f t="shared" si="1"/>
        <v/>
      </c>
      <c r="B10107" s="37" t="str">
        <f t="array" ref="B10107">iferror(xlookup($I10107, 'IMPORT VHC Report'!$E:$E, 'IMPORT VHC Report'!$A:$C), )</f>
        <v/>
      </c>
      <c r="C10107" s="44"/>
      <c r="D10107" s="44"/>
      <c r="L10107" s="45"/>
      <c r="N10107" s="45"/>
    </row>
    <row r="10108">
      <c r="A10108" s="40" t="str">
        <f t="shared" si="1"/>
        <v/>
      </c>
      <c r="B10108" s="37" t="str">
        <f t="array" ref="B10108">iferror(xlookup($I10108, 'IMPORT VHC Report'!$E:$E, 'IMPORT VHC Report'!$A:$C), )</f>
        <v/>
      </c>
      <c r="C10108" s="44"/>
      <c r="D10108" s="44"/>
      <c r="L10108" s="45"/>
      <c r="N10108" s="45"/>
    </row>
    <row r="10109">
      <c r="A10109" s="40" t="str">
        <f t="shared" si="1"/>
        <v/>
      </c>
      <c r="B10109" s="37" t="str">
        <f t="array" ref="B10109">iferror(xlookup($I10109, 'IMPORT VHC Report'!$E:$E, 'IMPORT VHC Report'!$A:$C), )</f>
        <v/>
      </c>
      <c r="C10109" s="44"/>
      <c r="D10109" s="44"/>
      <c r="L10109" s="45"/>
      <c r="N10109" s="45"/>
    </row>
    <row r="10110">
      <c r="A10110" s="40" t="str">
        <f t="shared" si="1"/>
        <v/>
      </c>
      <c r="B10110" s="37" t="str">
        <f t="array" ref="B10110">iferror(xlookup($I10110, 'IMPORT VHC Report'!$E:$E, 'IMPORT VHC Report'!$A:$C), )</f>
        <v/>
      </c>
      <c r="C10110" s="44"/>
      <c r="D10110" s="44"/>
      <c r="L10110" s="45"/>
      <c r="N10110" s="45"/>
    </row>
    <row r="10111">
      <c r="A10111" s="40" t="str">
        <f t="shared" si="1"/>
        <v/>
      </c>
      <c r="B10111" s="37" t="str">
        <f t="array" ref="B10111">iferror(xlookup($I10111, 'IMPORT VHC Report'!$E:$E, 'IMPORT VHC Report'!$A:$C), )</f>
        <v/>
      </c>
      <c r="C10111" s="44"/>
      <c r="D10111" s="44"/>
      <c r="L10111" s="45"/>
      <c r="N10111" s="45"/>
    </row>
    <row r="10112">
      <c r="A10112" s="40" t="str">
        <f t="shared" si="1"/>
        <v/>
      </c>
      <c r="B10112" s="37" t="str">
        <f t="array" ref="B10112">iferror(xlookup($I10112, 'IMPORT VHC Report'!$E:$E, 'IMPORT VHC Report'!$A:$C), )</f>
        <v/>
      </c>
      <c r="C10112" s="44"/>
      <c r="D10112" s="44"/>
      <c r="L10112" s="45"/>
      <c r="N10112" s="45"/>
    </row>
    <row r="10113">
      <c r="A10113" s="40" t="str">
        <f t="shared" si="1"/>
        <v/>
      </c>
      <c r="B10113" s="37" t="str">
        <f t="array" ref="B10113">iferror(xlookup($I10113, 'IMPORT VHC Report'!$E:$E, 'IMPORT VHC Report'!$A:$C), )</f>
        <v/>
      </c>
      <c r="C10113" s="44"/>
      <c r="D10113" s="44"/>
      <c r="L10113" s="45"/>
      <c r="N10113" s="45"/>
    </row>
    <row r="10114">
      <c r="A10114" s="40" t="str">
        <f t="shared" si="1"/>
        <v/>
      </c>
      <c r="B10114" s="37" t="str">
        <f t="array" ref="B10114">iferror(xlookup($I10114, 'IMPORT VHC Report'!$E:$E, 'IMPORT VHC Report'!$A:$C), )</f>
        <v/>
      </c>
      <c r="C10114" s="44"/>
      <c r="D10114" s="44"/>
      <c r="L10114" s="45"/>
      <c r="N10114" s="45"/>
    </row>
    <row r="10115">
      <c r="A10115" s="40" t="str">
        <f t="shared" si="1"/>
        <v/>
      </c>
      <c r="B10115" s="37" t="str">
        <f t="array" ref="B10115">iferror(xlookup($I10115, 'IMPORT VHC Report'!$E:$E, 'IMPORT VHC Report'!$A:$C), )</f>
        <v/>
      </c>
      <c r="C10115" s="44"/>
      <c r="D10115" s="44"/>
      <c r="L10115" s="45"/>
      <c r="N10115" s="45"/>
    </row>
    <row r="10116">
      <c r="A10116" s="40" t="str">
        <f t="shared" si="1"/>
        <v/>
      </c>
      <c r="B10116" s="37" t="str">
        <f t="array" ref="B10116">iferror(xlookup($I10116, 'IMPORT VHC Report'!$E:$E, 'IMPORT VHC Report'!$A:$C), )</f>
        <v/>
      </c>
      <c r="C10116" s="44"/>
      <c r="D10116" s="44"/>
      <c r="L10116" s="45"/>
      <c r="N10116" s="45"/>
    </row>
    <row r="10117">
      <c r="A10117" s="40" t="str">
        <f t="shared" si="1"/>
        <v/>
      </c>
      <c r="B10117" s="37" t="str">
        <f t="array" ref="B10117">iferror(xlookup($I10117, 'IMPORT VHC Report'!$E:$E, 'IMPORT VHC Report'!$A:$C), )</f>
        <v/>
      </c>
      <c r="C10117" s="44"/>
      <c r="D10117" s="44"/>
      <c r="L10117" s="45"/>
      <c r="N10117" s="45"/>
    </row>
    <row r="10118">
      <c r="A10118" s="40" t="str">
        <f t="shared" si="1"/>
        <v/>
      </c>
      <c r="B10118" s="37" t="str">
        <f t="array" ref="B10118">iferror(xlookup($I10118, 'IMPORT VHC Report'!$E:$E, 'IMPORT VHC Report'!$A:$C), )</f>
        <v/>
      </c>
      <c r="C10118" s="44"/>
      <c r="D10118" s="44"/>
      <c r="L10118" s="45"/>
      <c r="N10118" s="45"/>
    </row>
    <row r="10119">
      <c r="A10119" s="40" t="str">
        <f t="shared" si="1"/>
        <v/>
      </c>
      <c r="B10119" s="37" t="str">
        <f t="array" ref="B10119">iferror(xlookup($I10119, 'IMPORT VHC Report'!$E:$E, 'IMPORT VHC Report'!$A:$C), )</f>
        <v/>
      </c>
      <c r="C10119" s="44"/>
      <c r="D10119" s="44"/>
      <c r="L10119" s="45"/>
      <c r="N10119" s="45"/>
    </row>
    <row r="10120">
      <c r="A10120" s="40" t="str">
        <f t="shared" si="1"/>
        <v/>
      </c>
      <c r="B10120" s="37" t="str">
        <f t="array" ref="B10120">iferror(xlookup($I10120, 'IMPORT VHC Report'!$E:$E, 'IMPORT VHC Report'!$A:$C), )</f>
        <v/>
      </c>
      <c r="C10120" s="44"/>
      <c r="D10120" s="44"/>
      <c r="L10120" s="45"/>
      <c r="N10120" s="45"/>
    </row>
    <row r="10121">
      <c r="A10121" s="40" t="str">
        <f t="shared" si="1"/>
        <v/>
      </c>
      <c r="B10121" s="37" t="str">
        <f t="array" ref="B10121">iferror(xlookup($I10121, 'IMPORT VHC Report'!$E:$E, 'IMPORT VHC Report'!$A:$C), )</f>
        <v/>
      </c>
      <c r="C10121" s="44"/>
      <c r="D10121" s="44"/>
      <c r="L10121" s="45"/>
      <c r="N10121" s="45"/>
    </row>
    <row r="10122">
      <c r="A10122" s="40" t="str">
        <f t="shared" si="1"/>
        <v/>
      </c>
      <c r="B10122" s="37" t="str">
        <f t="array" ref="B10122">iferror(xlookup($I10122, 'IMPORT VHC Report'!$E:$E, 'IMPORT VHC Report'!$A:$C), )</f>
        <v/>
      </c>
      <c r="C10122" s="44"/>
      <c r="D10122" s="44"/>
      <c r="L10122" s="45"/>
      <c r="N10122" s="45"/>
    </row>
    <row r="10123">
      <c r="A10123" s="40" t="str">
        <f t="shared" si="1"/>
        <v/>
      </c>
      <c r="B10123" s="37" t="str">
        <f t="array" ref="B10123">iferror(xlookup($I10123, 'IMPORT VHC Report'!$E:$E, 'IMPORT VHC Report'!$A:$C), )</f>
        <v/>
      </c>
      <c r="C10123" s="44"/>
      <c r="D10123" s="44"/>
      <c r="L10123" s="45"/>
      <c r="N10123" s="45"/>
    </row>
    <row r="10124">
      <c r="A10124" s="40" t="str">
        <f t="shared" si="1"/>
        <v/>
      </c>
      <c r="B10124" s="37" t="str">
        <f t="array" ref="B10124">iferror(xlookup($I10124, 'IMPORT VHC Report'!$E:$E, 'IMPORT VHC Report'!$A:$C), )</f>
        <v/>
      </c>
      <c r="C10124" s="44"/>
      <c r="D10124" s="44"/>
      <c r="L10124" s="45"/>
      <c r="N10124" s="45"/>
    </row>
    <row r="10125">
      <c r="A10125" s="40" t="str">
        <f t="shared" si="1"/>
        <v/>
      </c>
      <c r="B10125" s="37" t="str">
        <f t="array" ref="B10125">iferror(xlookup($I10125, 'IMPORT VHC Report'!$E:$E, 'IMPORT VHC Report'!$A:$C), )</f>
        <v/>
      </c>
      <c r="C10125" s="44"/>
      <c r="D10125" s="44"/>
      <c r="L10125" s="45"/>
      <c r="N10125" s="45"/>
    </row>
    <row r="10126">
      <c r="A10126" s="40" t="str">
        <f t="shared" si="1"/>
        <v/>
      </c>
      <c r="B10126" s="37" t="str">
        <f t="array" ref="B10126">iferror(xlookup($I10126, 'IMPORT VHC Report'!$E:$E, 'IMPORT VHC Report'!$A:$C), )</f>
        <v/>
      </c>
      <c r="C10126" s="44"/>
      <c r="D10126" s="44"/>
      <c r="L10126" s="45"/>
      <c r="N10126" s="45"/>
    </row>
    <row r="10127">
      <c r="A10127" s="40" t="str">
        <f t="shared" si="1"/>
        <v/>
      </c>
      <c r="B10127" s="37" t="str">
        <f t="array" ref="B10127">iferror(xlookup($I10127, 'IMPORT VHC Report'!$E:$E, 'IMPORT VHC Report'!$A:$C), )</f>
        <v/>
      </c>
      <c r="C10127" s="44"/>
      <c r="D10127" s="44"/>
      <c r="L10127" s="45"/>
      <c r="N10127" s="45"/>
    </row>
    <row r="10128">
      <c r="A10128" s="40" t="str">
        <f t="shared" si="1"/>
        <v/>
      </c>
      <c r="B10128" s="37" t="str">
        <f t="array" ref="B10128">iferror(xlookup($I10128, 'IMPORT VHC Report'!$E:$E, 'IMPORT VHC Report'!$A:$C), )</f>
        <v/>
      </c>
      <c r="C10128" s="44"/>
      <c r="D10128" s="44"/>
      <c r="L10128" s="45"/>
      <c r="N10128" s="45"/>
    </row>
    <row r="10129">
      <c r="A10129" s="40" t="str">
        <f t="shared" si="1"/>
        <v/>
      </c>
      <c r="B10129" s="37" t="str">
        <f t="array" ref="B10129">iferror(xlookup($I10129, 'IMPORT VHC Report'!$E:$E, 'IMPORT VHC Report'!$A:$C), )</f>
        <v/>
      </c>
      <c r="C10129" s="44"/>
      <c r="D10129" s="44"/>
      <c r="L10129" s="45"/>
      <c r="N10129" s="45"/>
    </row>
    <row r="10130">
      <c r="A10130" s="40" t="str">
        <f t="shared" si="1"/>
        <v/>
      </c>
      <c r="B10130" s="37" t="str">
        <f t="array" ref="B10130">iferror(xlookup($I10130, 'IMPORT VHC Report'!$E:$E, 'IMPORT VHC Report'!$A:$C), )</f>
        <v/>
      </c>
      <c r="C10130" s="44"/>
      <c r="D10130" s="44"/>
      <c r="L10130" s="45"/>
      <c r="N10130" s="45"/>
    </row>
    <row r="10131">
      <c r="A10131" s="40" t="str">
        <f t="shared" si="1"/>
        <v/>
      </c>
      <c r="B10131" s="37" t="str">
        <f t="array" ref="B10131">iferror(xlookup($I10131, 'IMPORT VHC Report'!$E:$E, 'IMPORT VHC Report'!$A:$C), )</f>
        <v/>
      </c>
      <c r="C10131" s="44"/>
      <c r="D10131" s="44"/>
      <c r="L10131" s="45"/>
      <c r="N10131" s="45"/>
    </row>
    <row r="10132">
      <c r="A10132" s="40" t="str">
        <f t="shared" si="1"/>
        <v/>
      </c>
      <c r="B10132" s="37" t="str">
        <f t="array" ref="B10132">iferror(xlookup($I10132, 'IMPORT VHC Report'!$E:$E, 'IMPORT VHC Report'!$A:$C), )</f>
        <v/>
      </c>
      <c r="C10132" s="44"/>
      <c r="D10132" s="44"/>
      <c r="L10132" s="45"/>
      <c r="N10132" s="45"/>
    </row>
    <row r="10133">
      <c r="A10133" s="40" t="str">
        <f t="shared" si="1"/>
        <v/>
      </c>
      <c r="B10133" s="37" t="str">
        <f t="array" ref="B10133">iferror(xlookup($I10133, 'IMPORT VHC Report'!$E:$E, 'IMPORT VHC Report'!$A:$C), )</f>
        <v/>
      </c>
      <c r="C10133" s="44"/>
      <c r="D10133" s="44"/>
      <c r="L10133" s="45"/>
      <c r="N10133" s="45"/>
    </row>
    <row r="10134">
      <c r="A10134" s="40" t="str">
        <f t="shared" si="1"/>
        <v/>
      </c>
      <c r="B10134" s="37" t="str">
        <f t="array" ref="B10134">iferror(xlookup($I10134, 'IMPORT VHC Report'!$E:$E, 'IMPORT VHC Report'!$A:$C), )</f>
        <v/>
      </c>
      <c r="C10134" s="44"/>
      <c r="D10134" s="44"/>
      <c r="L10134" s="45"/>
      <c r="N10134" s="45"/>
    </row>
    <row r="10135">
      <c r="A10135" s="40" t="str">
        <f t="shared" si="1"/>
        <v/>
      </c>
      <c r="B10135" s="37" t="str">
        <f t="array" ref="B10135">iferror(xlookup($I10135, 'IMPORT VHC Report'!$E:$E, 'IMPORT VHC Report'!$A:$C), )</f>
        <v/>
      </c>
      <c r="C10135" s="44"/>
      <c r="D10135" s="44"/>
      <c r="L10135" s="45"/>
      <c r="N10135" s="45"/>
    </row>
    <row r="10136">
      <c r="A10136" s="40" t="str">
        <f t="shared" si="1"/>
        <v/>
      </c>
      <c r="B10136" s="37" t="str">
        <f t="array" ref="B10136">iferror(xlookup($I10136, 'IMPORT VHC Report'!$E:$E, 'IMPORT VHC Report'!$A:$C), )</f>
        <v/>
      </c>
      <c r="C10136" s="44"/>
      <c r="D10136" s="44"/>
      <c r="L10136" s="45"/>
      <c r="N10136" s="45"/>
    </row>
    <row r="10137">
      <c r="A10137" s="40" t="str">
        <f t="shared" si="1"/>
        <v/>
      </c>
      <c r="B10137" s="37" t="str">
        <f t="array" ref="B10137">iferror(xlookup($I10137, 'IMPORT VHC Report'!$E:$E, 'IMPORT VHC Report'!$A:$C), )</f>
        <v/>
      </c>
      <c r="C10137" s="44"/>
      <c r="D10137" s="44"/>
      <c r="L10137" s="45"/>
      <c r="N10137" s="45"/>
    </row>
    <row r="10138">
      <c r="A10138" s="40" t="str">
        <f t="shared" si="1"/>
        <v/>
      </c>
      <c r="B10138" s="37" t="str">
        <f t="array" ref="B10138">iferror(xlookup($I10138, 'IMPORT VHC Report'!$E:$E, 'IMPORT VHC Report'!$A:$C), )</f>
        <v/>
      </c>
      <c r="C10138" s="44"/>
      <c r="D10138" s="44"/>
      <c r="L10138" s="45"/>
      <c r="N10138" s="45"/>
    </row>
    <row r="10139">
      <c r="A10139" s="40" t="str">
        <f t="shared" si="1"/>
        <v/>
      </c>
      <c r="B10139" s="37" t="str">
        <f t="array" ref="B10139">iferror(xlookup($I10139, 'IMPORT VHC Report'!$E:$E, 'IMPORT VHC Report'!$A:$C), )</f>
        <v/>
      </c>
      <c r="C10139" s="44"/>
      <c r="D10139" s="44"/>
      <c r="L10139" s="45"/>
      <c r="N10139" s="45"/>
    </row>
    <row r="10140">
      <c r="A10140" s="40" t="str">
        <f t="shared" si="1"/>
        <v/>
      </c>
      <c r="B10140" s="37" t="str">
        <f t="array" ref="B10140">iferror(xlookup($I10140, 'IMPORT VHC Report'!$E:$E, 'IMPORT VHC Report'!$A:$C), )</f>
        <v/>
      </c>
      <c r="C10140" s="44"/>
      <c r="D10140" s="44"/>
      <c r="L10140" s="45"/>
      <c r="N10140" s="45"/>
    </row>
    <row r="10141">
      <c r="A10141" s="40" t="str">
        <f t="shared" si="1"/>
        <v/>
      </c>
      <c r="B10141" s="37" t="str">
        <f t="array" ref="B10141">iferror(xlookup($I10141, 'IMPORT VHC Report'!$E:$E, 'IMPORT VHC Report'!$A:$C), )</f>
        <v/>
      </c>
      <c r="C10141" s="44"/>
      <c r="D10141" s="44"/>
      <c r="L10141" s="45"/>
      <c r="N10141" s="45"/>
    </row>
    <row r="10142">
      <c r="A10142" s="40" t="str">
        <f t="shared" si="1"/>
        <v/>
      </c>
      <c r="B10142" s="37" t="str">
        <f t="array" ref="B10142">iferror(xlookup($I10142, 'IMPORT VHC Report'!$E:$E, 'IMPORT VHC Report'!$A:$C), )</f>
        <v/>
      </c>
      <c r="C10142" s="44"/>
      <c r="D10142" s="44"/>
      <c r="L10142" s="45"/>
      <c r="N10142" s="45"/>
    </row>
    <row r="10143">
      <c r="A10143" s="40" t="str">
        <f t="shared" si="1"/>
        <v/>
      </c>
      <c r="B10143" s="37" t="str">
        <f t="array" ref="B10143">iferror(xlookup($I10143, 'IMPORT VHC Report'!$E:$E, 'IMPORT VHC Report'!$A:$C), )</f>
        <v/>
      </c>
      <c r="C10143" s="44"/>
      <c r="D10143" s="44"/>
      <c r="L10143" s="45"/>
      <c r="N10143" s="45"/>
    </row>
    <row r="10144">
      <c r="A10144" s="40" t="str">
        <f t="shared" si="1"/>
        <v/>
      </c>
      <c r="B10144" s="37" t="str">
        <f t="array" ref="B10144">iferror(xlookup($I10144, 'IMPORT VHC Report'!$E:$E, 'IMPORT VHC Report'!$A:$C), )</f>
        <v/>
      </c>
      <c r="C10144" s="44"/>
      <c r="D10144" s="44"/>
      <c r="L10144" s="45"/>
      <c r="N10144" s="45"/>
    </row>
    <row r="10145">
      <c r="A10145" s="40" t="str">
        <f t="shared" si="1"/>
        <v/>
      </c>
      <c r="B10145" s="37" t="str">
        <f t="array" ref="B10145">iferror(xlookup($I10145, 'IMPORT VHC Report'!$E:$E, 'IMPORT VHC Report'!$A:$C), )</f>
        <v/>
      </c>
      <c r="C10145" s="44"/>
      <c r="D10145" s="44"/>
      <c r="L10145" s="45"/>
      <c r="N10145" s="45"/>
    </row>
    <row r="10146">
      <c r="A10146" s="40" t="str">
        <f t="shared" si="1"/>
        <v/>
      </c>
      <c r="B10146" s="37" t="str">
        <f t="array" ref="B10146">iferror(xlookup($I10146, 'IMPORT VHC Report'!$E:$E, 'IMPORT VHC Report'!$A:$C), )</f>
        <v/>
      </c>
      <c r="C10146" s="44"/>
      <c r="D10146" s="44"/>
      <c r="L10146" s="45"/>
      <c r="N10146" s="45"/>
    </row>
    <row r="10147">
      <c r="A10147" s="40" t="str">
        <f t="shared" si="1"/>
        <v/>
      </c>
      <c r="B10147" s="37" t="str">
        <f t="array" ref="B10147">iferror(xlookup($I10147, 'IMPORT VHC Report'!$E:$E, 'IMPORT VHC Report'!$A:$C), )</f>
        <v/>
      </c>
      <c r="C10147" s="44"/>
      <c r="D10147" s="44"/>
      <c r="L10147" s="45"/>
      <c r="N10147" s="45"/>
    </row>
    <row r="10148">
      <c r="A10148" s="40" t="str">
        <f t="shared" si="1"/>
        <v/>
      </c>
      <c r="B10148" s="37" t="str">
        <f t="array" ref="B10148">iferror(xlookup($I10148, 'IMPORT VHC Report'!$E:$E, 'IMPORT VHC Report'!$A:$C), )</f>
        <v/>
      </c>
      <c r="C10148" s="44"/>
      <c r="D10148" s="44"/>
      <c r="L10148" s="45"/>
      <c r="N10148" s="45"/>
    </row>
    <row r="10149">
      <c r="A10149" s="40" t="str">
        <f t="shared" si="1"/>
        <v/>
      </c>
      <c r="B10149" s="37" t="str">
        <f t="array" ref="B10149">iferror(xlookup($I10149, 'IMPORT VHC Report'!$E:$E, 'IMPORT VHC Report'!$A:$C), )</f>
        <v/>
      </c>
      <c r="C10149" s="44"/>
      <c r="D10149" s="44"/>
      <c r="L10149" s="45"/>
      <c r="N10149" s="45"/>
    </row>
    <row r="10150">
      <c r="A10150" s="40" t="str">
        <f t="shared" si="1"/>
        <v/>
      </c>
      <c r="B10150" s="37" t="str">
        <f t="array" ref="B10150">iferror(xlookup($I10150, 'IMPORT VHC Report'!$E:$E, 'IMPORT VHC Report'!$A:$C), )</f>
        <v/>
      </c>
      <c r="C10150" s="44"/>
      <c r="D10150" s="44"/>
      <c r="L10150" s="45"/>
      <c r="N10150" s="45"/>
    </row>
    <row r="10151">
      <c r="A10151" s="40" t="str">
        <f t="shared" si="1"/>
        <v/>
      </c>
      <c r="B10151" s="37" t="str">
        <f t="array" ref="B10151">iferror(xlookup($I10151, 'IMPORT VHC Report'!$E:$E, 'IMPORT VHC Report'!$A:$C), )</f>
        <v/>
      </c>
      <c r="C10151" s="44"/>
      <c r="D10151" s="44"/>
      <c r="L10151" s="45"/>
      <c r="N10151" s="45"/>
    </row>
    <row r="10152">
      <c r="A10152" s="40" t="str">
        <f t="shared" si="1"/>
        <v/>
      </c>
      <c r="B10152" s="37" t="str">
        <f t="array" ref="B10152">iferror(xlookup($I10152, 'IMPORT VHC Report'!$E:$E, 'IMPORT VHC Report'!$A:$C), )</f>
        <v/>
      </c>
      <c r="C10152" s="44"/>
      <c r="D10152" s="44"/>
      <c r="L10152" s="45"/>
      <c r="N10152" s="45"/>
    </row>
    <row r="10153">
      <c r="A10153" s="40" t="str">
        <f t="shared" si="1"/>
        <v/>
      </c>
      <c r="B10153" s="37" t="str">
        <f t="array" ref="B10153">iferror(xlookup($I10153, 'IMPORT VHC Report'!$E:$E, 'IMPORT VHC Report'!$A:$C), )</f>
        <v/>
      </c>
      <c r="C10153" s="44"/>
      <c r="D10153" s="44"/>
      <c r="L10153" s="45"/>
      <c r="N10153" s="45"/>
    </row>
    <row r="10154">
      <c r="A10154" s="40" t="str">
        <f t="shared" si="1"/>
        <v/>
      </c>
      <c r="B10154" s="37" t="str">
        <f t="array" ref="B10154">iferror(xlookup($I10154, 'IMPORT VHC Report'!$E:$E, 'IMPORT VHC Report'!$A:$C), )</f>
        <v/>
      </c>
      <c r="C10154" s="44"/>
      <c r="D10154" s="44"/>
      <c r="L10154" s="45"/>
      <c r="N10154" s="45"/>
    </row>
    <row r="10155">
      <c r="A10155" s="40" t="str">
        <f t="shared" si="1"/>
        <v/>
      </c>
      <c r="B10155" s="37" t="str">
        <f t="array" ref="B10155">iferror(xlookup($I10155, 'IMPORT VHC Report'!$E:$E, 'IMPORT VHC Report'!$A:$C), )</f>
        <v/>
      </c>
      <c r="C10155" s="44"/>
      <c r="D10155" s="44"/>
      <c r="L10155" s="45"/>
      <c r="N10155" s="45"/>
    </row>
    <row r="10156">
      <c r="A10156" s="40" t="str">
        <f t="shared" si="1"/>
        <v/>
      </c>
      <c r="B10156" s="37" t="str">
        <f t="array" ref="B10156">iferror(xlookup($I10156, 'IMPORT VHC Report'!$E:$E, 'IMPORT VHC Report'!$A:$C), )</f>
        <v/>
      </c>
      <c r="C10156" s="44"/>
      <c r="D10156" s="44"/>
      <c r="L10156" s="45"/>
      <c r="N10156" s="45"/>
    </row>
    <row r="10157">
      <c r="A10157" s="40" t="str">
        <f t="shared" si="1"/>
        <v/>
      </c>
      <c r="B10157" s="37" t="str">
        <f t="array" ref="B10157">iferror(xlookup($I10157, 'IMPORT VHC Report'!$E:$E, 'IMPORT VHC Report'!$A:$C), )</f>
        <v/>
      </c>
      <c r="C10157" s="44"/>
      <c r="D10157" s="44"/>
      <c r="L10157" s="45"/>
      <c r="N10157" s="45"/>
    </row>
    <row r="10158">
      <c r="A10158" s="40" t="str">
        <f t="shared" si="1"/>
        <v/>
      </c>
      <c r="B10158" s="37" t="str">
        <f t="array" ref="B10158">iferror(xlookup($I10158, 'IMPORT VHC Report'!$E:$E, 'IMPORT VHC Report'!$A:$C), )</f>
        <v/>
      </c>
      <c r="C10158" s="44"/>
      <c r="D10158" s="44"/>
      <c r="L10158" s="45"/>
      <c r="N10158" s="45"/>
    </row>
    <row r="10159">
      <c r="A10159" s="40" t="str">
        <f t="shared" si="1"/>
        <v/>
      </c>
      <c r="B10159" s="37" t="str">
        <f t="array" ref="B10159">iferror(xlookup($I10159, 'IMPORT VHC Report'!$E:$E, 'IMPORT VHC Report'!$A:$C), )</f>
        <v/>
      </c>
      <c r="C10159" s="44"/>
      <c r="D10159" s="44"/>
      <c r="L10159" s="45"/>
      <c r="N10159" s="45"/>
    </row>
    <row r="10160">
      <c r="A10160" s="40" t="str">
        <f t="shared" si="1"/>
        <v/>
      </c>
      <c r="B10160" s="37" t="str">
        <f t="array" ref="B10160">iferror(xlookup($I10160, 'IMPORT VHC Report'!$E:$E, 'IMPORT VHC Report'!$A:$C), )</f>
        <v/>
      </c>
      <c r="C10160" s="44"/>
      <c r="D10160" s="44"/>
      <c r="L10160" s="45"/>
      <c r="N10160" s="45"/>
    </row>
    <row r="10161">
      <c r="A10161" s="40" t="str">
        <f t="shared" si="1"/>
        <v/>
      </c>
      <c r="B10161" s="37" t="str">
        <f t="array" ref="B10161">iferror(xlookup($I10161, 'IMPORT VHC Report'!$E:$E, 'IMPORT VHC Report'!$A:$C), )</f>
        <v/>
      </c>
      <c r="C10161" s="44"/>
      <c r="D10161" s="44"/>
      <c r="L10161" s="45"/>
      <c r="N10161" s="45"/>
    </row>
    <row r="10162">
      <c r="A10162" s="40" t="str">
        <f t="shared" si="1"/>
        <v/>
      </c>
      <c r="B10162" s="37" t="str">
        <f t="array" ref="B10162">iferror(xlookup($I10162, 'IMPORT VHC Report'!$E:$E, 'IMPORT VHC Report'!$A:$C), )</f>
        <v/>
      </c>
      <c r="C10162" s="44"/>
      <c r="D10162" s="44"/>
      <c r="L10162" s="45"/>
      <c r="N10162" s="45"/>
    </row>
    <row r="10163">
      <c r="A10163" s="40" t="str">
        <f t="shared" si="1"/>
        <v/>
      </c>
      <c r="B10163" s="37" t="str">
        <f t="array" ref="B10163">iferror(xlookup($I10163, 'IMPORT VHC Report'!$E:$E, 'IMPORT VHC Report'!$A:$C), )</f>
        <v/>
      </c>
      <c r="C10163" s="44"/>
      <c r="D10163" s="44"/>
      <c r="L10163" s="45"/>
      <c r="N10163" s="45"/>
    </row>
    <row r="10164">
      <c r="A10164" s="40" t="str">
        <f t="shared" si="1"/>
        <v/>
      </c>
      <c r="B10164" s="37" t="str">
        <f t="array" ref="B10164">iferror(xlookup($I10164, 'IMPORT VHC Report'!$E:$E, 'IMPORT VHC Report'!$A:$C), )</f>
        <v/>
      </c>
      <c r="C10164" s="44"/>
      <c r="D10164" s="44"/>
      <c r="L10164" s="45"/>
      <c r="N10164" s="45"/>
    </row>
    <row r="10165">
      <c r="A10165" s="40" t="str">
        <f t="shared" si="1"/>
        <v/>
      </c>
      <c r="B10165" s="37" t="str">
        <f t="array" ref="B10165">iferror(xlookup($I10165, 'IMPORT VHC Report'!$E:$E, 'IMPORT VHC Report'!$A:$C), )</f>
        <v/>
      </c>
      <c r="C10165" s="44"/>
      <c r="D10165" s="44"/>
      <c r="L10165" s="45"/>
      <c r="N10165" s="45"/>
    </row>
    <row r="10166">
      <c r="A10166" s="40" t="str">
        <f t="shared" si="1"/>
        <v/>
      </c>
      <c r="B10166" s="37" t="str">
        <f t="array" ref="B10166">iferror(xlookup($I10166, 'IMPORT VHC Report'!$E:$E, 'IMPORT VHC Report'!$A:$C), )</f>
        <v/>
      </c>
      <c r="C10166" s="44"/>
      <c r="D10166" s="44"/>
      <c r="L10166" s="45"/>
      <c r="N10166" s="45"/>
    </row>
    <row r="10167">
      <c r="A10167" s="40" t="str">
        <f t="shared" si="1"/>
        <v/>
      </c>
      <c r="B10167" s="37" t="str">
        <f t="array" ref="B10167">iferror(xlookup($I10167, 'IMPORT VHC Report'!$E:$E, 'IMPORT VHC Report'!$A:$C), )</f>
        <v/>
      </c>
      <c r="C10167" s="44"/>
      <c r="D10167" s="44"/>
      <c r="L10167" s="45"/>
      <c r="N10167" s="45"/>
    </row>
    <row r="10168">
      <c r="A10168" s="40" t="str">
        <f t="shared" si="1"/>
        <v/>
      </c>
      <c r="B10168" s="37" t="str">
        <f t="array" ref="B10168">iferror(xlookup($I10168, 'IMPORT VHC Report'!$E:$E, 'IMPORT VHC Report'!$A:$C), )</f>
        <v/>
      </c>
      <c r="C10168" s="44"/>
      <c r="D10168" s="44"/>
      <c r="L10168" s="45"/>
      <c r="N10168" s="45"/>
    </row>
    <row r="10169">
      <c r="A10169" s="40" t="str">
        <f t="shared" si="1"/>
        <v/>
      </c>
      <c r="B10169" s="37" t="str">
        <f t="array" ref="B10169">iferror(xlookup($I10169, 'IMPORT VHC Report'!$E:$E, 'IMPORT VHC Report'!$A:$C), )</f>
        <v/>
      </c>
      <c r="C10169" s="44"/>
      <c r="D10169" s="44"/>
      <c r="L10169" s="45"/>
      <c r="N10169" s="45"/>
    </row>
    <row r="10170">
      <c r="A10170" s="40" t="str">
        <f t="shared" si="1"/>
        <v/>
      </c>
      <c r="B10170" s="37" t="str">
        <f t="array" ref="B10170">iferror(xlookup($I10170, 'IMPORT VHC Report'!$E:$E, 'IMPORT VHC Report'!$A:$C), )</f>
        <v/>
      </c>
      <c r="C10170" s="44"/>
      <c r="D10170" s="44"/>
      <c r="L10170" s="45"/>
      <c r="N10170" s="45"/>
    </row>
    <row r="10171">
      <c r="A10171" s="40" t="str">
        <f t="shared" si="1"/>
        <v/>
      </c>
      <c r="B10171" s="37" t="str">
        <f t="array" ref="B10171">iferror(xlookup($I10171, 'IMPORT VHC Report'!$E:$E, 'IMPORT VHC Report'!$A:$C), )</f>
        <v/>
      </c>
      <c r="C10171" s="44"/>
      <c r="D10171" s="44"/>
      <c r="L10171" s="45"/>
      <c r="N10171" s="45"/>
    </row>
    <row r="10172">
      <c r="A10172" s="40" t="str">
        <f t="shared" si="1"/>
        <v/>
      </c>
      <c r="B10172" s="37" t="str">
        <f t="array" ref="B10172">iferror(xlookup($I10172, 'IMPORT VHC Report'!$E:$E, 'IMPORT VHC Report'!$A:$C), )</f>
        <v/>
      </c>
      <c r="C10172" s="44"/>
      <c r="D10172" s="44"/>
      <c r="L10172" s="45"/>
      <c r="N10172" s="45"/>
    </row>
    <row r="10173">
      <c r="A10173" s="40" t="str">
        <f t="shared" si="1"/>
        <v/>
      </c>
      <c r="B10173" s="37" t="str">
        <f t="array" ref="B10173">iferror(xlookup($I10173, 'IMPORT VHC Report'!$E:$E, 'IMPORT VHC Report'!$A:$C), )</f>
        <v/>
      </c>
      <c r="C10173" s="44"/>
      <c r="D10173" s="44"/>
      <c r="L10173" s="45"/>
      <c r="N10173" s="45"/>
    </row>
    <row r="10174">
      <c r="A10174" s="40" t="str">
        <f t="shared" si="1"/>
        <v/>
      </c>
      <c r="B10174" s="37" t="str">
        <f t="array" ref="B10174">iferror(xlookup($I10174, 'IMPORT VHC Report'!$E:$E, 'IMPORT VHC Report'!$A:$C), )</f>
        <v/>
      </c>
      <c r="C10174" s="44"/>
      <c r="D10174" s="44"/>
      <c r="L10174" s="45"/>
      <c r="N10174" s="45"/>
    </row>
    <row r="10175">
      <c r="A10175" s="40" t="str">
        <f t="shared" si="1"/>
        <v/>
      </c>
      <c r="B10175" s="37" t="str">
        <f t="array" ref="B10175">iferror(xlookup($I10175, 'IMPORT VHC Report'!$E:$E, 'IMPORT VHC Report'!$A:$C), )</f>
        <v/>
      </c>
      <c r="C10175" s="44"/>
      <c r="D10175" s="44"/>
      <c r="L10175" s="45"/>
      <c r="N10175" s="45"/>
    </row>
    <row r="10176">
      <c r="A10176" s="40" t="str">
        <f t="shared" si="1"/>
        <v/>
      </c>
      <c r="B10176" s="37" t="str">
        <f t="array" ref="B10176">iferror(xlookup($I10176, 'IMPORT VHC Report'!$E:$E, 'IMPORT VHC Report'!$A:$C), )</f>
        <v/>
      </c>
      <c r="C10176" s="44"/>
      <c r="D10176" s="44"/>
      <c r="L10176" s="45"/>
      <c r="N10176" s="45"/>
    </row>
    <row r="10177">
      <c r="A10177" s="40" t="str">
        <f t="shared" si="1"/>
        <v/>
      </c>
      <c r="B10177" s="37" t="str">
        <f t="array" ref="B10177">iferror(xlookup($I10177, 'IMPORT VHC Report'!$E:$E, 'IMPORT VHC Report'!$A:$C), )</f>
        <v/>
      </c>
      <c r="C10177" s="44"/>
      <c r="D10177" s="44"/>
      <c r="L10177" s="45"/>
      <c r="N10177" s="45"/>
    </row>
    <row r="10178">
      <c r="A10178" s="40" t="str">
        <f t="shared" si="1"/>
        <v/>
      </c>
      <c r="B10178" s="37" t="str">
        <f t="array" ref="B10178">iferror(xlookup($I10178, 'IMPORT VHC Report'!$E:$E, 'IMPORT VHC Report'!$A:$C), )</f>
        <v/>
      </c>
      <c r="C10178" s="44"/>
      <c r="D10178" s="44"/>
      <c r="L10178" s="45"/>
      <c r="N10178" s="45"/>
    </row>
    <row r="10179">
      <c r="A10179" s="40" t="str">
        <f t="shared" si="1"/>
        <v/>
      </c>
      <c r="B10179" s="37" t="str">
        <f t="array" ref="B10179">iferror(xlookup($I10179, 'IMPORT VHC Report'!$E:$E, 'IMPORT VHC Report'!$A:$C), )</f>
        <v/>
      </c>
      <c r="C10179" s="44"/>
      <c r="D10179" s="44"/>
      <c r="L10179" s="45"/>
      <c r="N10179" s="45"/>
    </row>
    <row r="10180">
      <c r="A10180" s="40" t="str">
        <f t="shared" si="1"/>
        <v/>
      </c>
      <c r="B10180" s="37" t="str">
        <f t="array" ref="B10180">iferror(xlookup($I10180, 'IMPORT VHC Report'!$E:$E, 'IMPORT VHC Report'!$A:$C), )</f>
        <v/>
      </c>
      <c r="C10180" s="44"/>
      <c r="D10180" s="44"/>
      <c r="L10180" s="45"/>
      <c r="N10180" s="45"/>
    </row>
    <row r="10181">
      <c r="A10181" s="40" t="str">
        <f t="shared" si="1"/>
        <v/>
      </c>
      <c r="B10181" s="37" t="str">
        <f t="array" ref="B10181">iferror(xlookup($I10181, 'IMPORT VHC Report'!$E:$E, 'IMPORT VHC Report'!$A:$C), )</f>
        <v/>
      </c>
      <c r="C10181" s="44"/>
      <c r="D10181" s="44"/>
      <c r="L10181" s="45"/>
      <c r="N10181" s="45"/>
    </row>
    <row r="10182">
      <c r="A10182" s="40" t="str">
        <f t="shared" si="1"/>
        <v/>
      </c>
      <c r="B10182" s="37" t="str">
        <f t="array" ref="B10182">iferror(xlookup($I10182, 'IMPORT VHC Report'!$E:$E, 'IMPORT VHC Report'!$A:$C), )</f>
        <v/>
      </c>
      <c r="C10182" s="44"/>
      <c r="D10182" s="44"/>
      <c r="L10182" s="45"/>
      <c r="N10182" s="45"/>
    </row>
    <row r="10183">
      <c r="A10183" s="40" t="str">
        <f t="shared" si="1"/>
        <v/>
      </c>
      <c r="B10183" s="37" t="str">
        <f t="array" ref="B10183">iferror(xlookup($I10183, 'IMPORT VHC Report'!$E:$E, 'IMPORT VHC Report'!$A:$C), )</f>
        <v/>
      </c>
      <c r="C10183" s="44"/>
      <c r="D10183" s="44"/>
      <c r="L10183" s="45"/>
      <c r="N10183" s="45"/>
    </row>
    <row r="10184">
      <c r="A10184" s="40" t="str">
        <f t="shared" si="1"/>
        <v/>
      </c>
      <c r="B10184" s="37" t="str">
        <f t="array" ref="B10184">iferror(xlookup($I10184, 'IMPORT VHC Report'!$E:$E, 'IMPORT VHC Report'!$A:$C), )</f>
        <v/>
      </c>
      <c r="C10184" s="44"/>
      <c r="D10184" s="44"/>
      <c r="L10184" s="45"/>
      <c r="N10184" s="45"/>
    </row>
    <row r="10185">
      <c r="A10185" s="40" t="str">
        <f t="shared" si="1"/>
        <v/>
      </c>
      <c r="B10185" s="37" t="str">
        <f t="array" ref="B10185">iferror(xlookup($I10185, 'IMPORT VHC Report'!$E:$E, 'IMPORT VHC Report'!$A:$C), )</f>
        <v/>
      </c>
      <c r="C10185" s="44"/>
      <c r="D10185" s="44"/>
      <c r="L10185" s="45"/>
      <c r="N10185" s="45"/>
    </row>
    <row r="10186">
      <c r="A10186" s="40" t="str">
        <f t="shared" si="1"/>
        <v/>
      </c>
      <c r="B10186" s="37" t="str">
        <f t="array" ref="B10186">iferror(xlookup($I10186, 'IMPORT VHC Report'!$E:$E, 'IMPORT VHC Report'!$A:$C), )</f>
        <v/>
      </c>
      <c r="C10186" s="44"/>
      <c r="D10186" s="44"/>
      <c r="L10186" s="45"/>
      <c r="N10186" s="45"/>
    </row>
    <row r="10187">
      <c r="A10187" s="40" t="str">
        <f t="shared" si="1"/>
        <v/>
      </c>
      <c r="B10187" s="37" t="str">
        <f t="array" ref="B10187">iferror(xlookup($I10187, 'IMPORT VHC Report'!$E:$E, 'IMPORT VHC Report'!$A:$C), )</f>
        <v/>
      </c>
      <c r="C10187" s="44"/>
      <c r="D10187" s="44"/>
      <c r="L10187" s="45"/>
      <c r="N10187" s="45"/>
    </row>
    <row r="10188">
      <c r="A10188" s="40" t="str">
        <f t="shared" si="1"/>
        <v/>
      </c>
      <c r="B10188" s="37" t="str">
        <f t="array" ref="B10188">iferror(xlookup($I10188, 'IMPORT VHC Report'!$E:$E, 'IMPORT VHC Report'!$A:$C), )</f>
        <v/>
      </c>
      <c r="C10188" s="44"/>
      <c r="D10188" s="44"/>
      <c r="L10188" s="45"/>
      <c r="N10188" s="45"/>
    </row>
    <row r="10189">
      <c r="A10189" s="40" t="str">
        <f t="shared" si="1"/>
        <v/>
      </c>
      <c r="B10189" s="37" t="str">
        <f t="array" ref="B10189">iferror(xlookup($I10189, 'IMPORT VHC Report'!$E:$E, 'IMPORT VHC Report'!$A:$C), )</f>
        <v/>
      </c>
      <c r="C10189" s="44"/>
      <c r="D10189" s="44"/>
      <c r="L10189" s="45"/>
      <c r="N10189" s="45"/>
    </row>
    <row r="10190">
      <c r="A10190" s="40" t="str">
        <f t="shared" si="1"/>
        <v/>
      </c>
      <c r="B10190" s="37" t="str">
        <f t="array" ref="B10190">iferror(xlookup($I10190, 'IMPORT VHC Report'!$E:$E, 'IMPORT VHC Report'!$A:$C), )</f>
        <v/>
      </c>
      <c r="C10190" s="44"/>
      <c r="D10190" s="44"/>
      <c r="L10190" s="45"/>
      <c r="N10190" s="45"/>
    </row>
    <row r="10191">
      <c r="A10191" s="40" t="str">
        <f t="shared" si="1"/>
        <v/>
      </c>
      <c r="B10191" s="37" t="str">
        <f t="array" ref="B10191">iferror(xlookup($I10191, 'IMPORT VHC Report'!$E:$E, 'IMPORT VHC Report'!$A:$C), )</f>
        <v/>
      </c>
      <c r="C10191" s="44"/>
      <c r="D10191" s="44"/>
      <c r="L10191" s="45"/>
      <c r="N10191" s="45"/>
    </row>
    <row r="10192">
      <c r="A10192" s="40" t="str">
        <f t="shared" si="1"/>
        <v/>
      </c>
      <c r="B10192" s="37" t="str">
        <f t="array" ref="B10192">iferror(xlookup($I10192, 'IMPORT VHC Report'!$E:$E, 'IMPORT VHC Report'!$A:$C), )</f>
        <v/>
      </c>
      <c r="C10192" s="44"/>
      <c r="D10192" s="44"/>
      <c r="L10192" s="45"/>
      <c r="N10192" s="45"/>
    </row>
    <row r="10193">
      <c r="A10193" s="40" t="str">
        <f t="shared" si="1"/>
        <v/>
      </c>
      <c r="B10193" s="37" t="str">
        <f t="array" ref="B10193">iferror(xlookup($I10193, 'IMPORT VHC Report'!$E:$E, 'IMPORT VHC Report'!$A:$C), )</f>
        <v/>
      </c>
      <c r="C10193" s="44"/>
      <c r="D10193" s="44"/>
      <c r="L10193" s="45"/>
      <c r="N10193" s="45"/>
    </row>
    <row r="10194">
      <c r="A10194" s="40" t="str">
        <f t="shared" si="1"/>
        <v/>
      </c>
      <c r="B10194" s="37" t="str">
        <f t="array" ref="B10194">iferror(xlookup($I10194, 'IMPORT VHC Report'!$E:$E, 'IMPORT VHC Report'!$A:$C), )</f>
        <v/>
      </c>
      <c r="C10194" s="44"/>
      <c r="D10194" s="44"/>
      <c r="L10194" s="45"/>
      <c r="N10194" s="45"/>
    </row>
    <row r="10195">
      <c r="A10195" s="40" t="str">
        <f t="shared" si="1"/>
        <v/>
      </c>
      <c r="B10195" s="37" t="str">
        <f t="array" ref="B10195">iferror(xlookup($I10195, 'IMPORT VHC Report'!$E:$E, 'IMPORT VHC Report'!$A:$C), )</f>
        <v/>
      </c>
      <c r="C10195" s="44"/>
      <c r="D10195" s="44"/>
      <c r="L10195" s="45"/>
      <c r="N10195" s="45"/>
    </row>
    <row r="10196">
      <c r="A10196" s="40" t="str">
        <f t="shared" si="1"/>
        <v/>
      </c>
      <c r="B10196" s="37" t="str">
        <f t="array" ref="B10196">iferror(xlookup($I10196, 'IMPORT VHC Report'!$E:$E, 'IMPORT VHC Report'!$A:$C), )</f>
        <v/>
      </c>
      <c r="C10196" s="44"/>
      <c r="D10196" s="44"/>
      <c r="L10196" s="45"/>
      <c r="N10196" s="45"/>
    </row>
    <row r="10197">
      <c r="A10197" s="40" t="str">
        <f t="shared" si="1"/>
        <v/>
      </c>
      <c r="B10197" s="37" t="str">
        <f t="array" ref="B10197">iferror(xlookup($I10197, 'IMPORT VHC Report'!$E:$E, 'IMPORT VHC Report'!$A:$C), )</f>
        <v/>
      </c>
      <c r="C10197" s="44"/>
      <c r="D10197" s="44"/>
      <c r="L10197" s="45"/>
      <c r="N10197" s="45"/>
    </row>
    <row r="10198">
      <c r="A10198" s="40" t="str">
        <f t="shared" si="1"/>
        <v/>
      </c>
      <c r="B10198" s="37" t="str">
        <f t="array" ref="B10198">iferror(xlookup($I10198, 'IMPORT VHC Report'!$E:$E, 'IMPORT VHC Report'!$A:$C), )</f>
        <v/>
      </c>
      <c r="C10198" s="44"/>
      <c r="D10198" s="44"/>
      <c r="L10198" s="45"/>
      <c r="N10198" s="45"/>
    </row>
    <row r="10199">
      <c r="A10199" s="40" t="str">
        <f t="shared" si="1"/>
        <v/>
      </c>
      <c r="B10199" s="37" t="str">
        <f t="array" ref="B10199">iferror(xlookup($I10199, 'IMPORT VHC Report'!$E:$E, 'IMPORT VHC Report'!$A:$C), )</f>
        <v/>
      </c>
      <c r="C10199" s="44"/>
      <c r="D10199" s="44"/>
      <c r="L10199" s="45"/>
      <c r="N10199" s="45"/>
    </row>
    <row r="10200">
      <c r="A10200" s="40" t="str">
        <f t="shared" si="1"/>
        <v/>
      </c>
      <c r="B10200" s="37" t="str">
        <f t="array" ref="B10200">iferror(xlookup($I10200, 'IMPORT VHC Report'!$E:$E, 'IMPORT VHC Report'!$A:$C), )</f>
        <v/>
      </c>
      <c r="C10200" s="44"/>
      <c r="D10200" s="44"/>
      <c r="L10200" s="45"/>
      <c r="N10200" s="45"/>
    </row>
    <row r="10201">
      <c r="A10201" s="40" t="str">
        <f t="shared" si="1"/>
        <v/>
      </c>
      <c r="B10201" s="37" t="str">
        <f t="array" ref="B10201">iferror(xlookup($I10201, 'IMPORT VHC Report'!$E:$E, 'IMPORT VHC Report'!$A:$C), )</f>
        <v/>
      </c>
      <c r="C10201" s="44"/>
      <c r="D10201" s="44"/>
      <c r="L10201" s="45"/>
      <c r="N10201" s="45"/>
    </row>
    <row r="10202">
      <c r="A10202" s="40" t="str">
        <f t="shared" si="1"/>
        <v/>
      </c>
      <c r="B10202" s="37" t="str">
        <f t="array" ref="B10202">iferror(xlookup($I10202, 'IMPORT VHC Report'!$E:$E, 'IMPORT VHC Report'!$A:$C), )</f>
        <v/>
      </c>
      <c r="C10202" s="44"/>
      <c r="D10202" s="44"/>
      <c r="L10202" s="45"/>
      <c r="N10202" s="45"/>
    </row>
    <row r="10203">
      <c r="A10203" s="40" t="str">
        <f t="shared" si="1"/>
        <v/>
      </c>
      <c r="B10203" s="37" t="str">
        <f t="array" ref="B10203">iferror(xlookup($I10203, 'IMPORT VHC Report'!$E:$E, 'IMPORT VHC Report'!$A:$C), )</f>
        <v/>
      </c>
      <c r="C10203" s="44"/>
      <c r="D10203" s="44"/>
      <c r="L10203" s="45"/>
      <c r="N10203" s="45"/>
    </row>
    <row r="10204">
      <c r="A10204" s="40" t="str">
        <f t="shared" si="1"/>
        <v/>
      </c>
      <c r="B10204" s="37" t="str">
        <f t="array" ref="B10204">iferror(xlookup($I10204, 'IMPORT VHC Report'!$E:$E, 'IMPORT VHC Report'!$A:$C), )</f>
        <v/>
      </c>
      <c r="C10204" s="44"/>
      <c r="D10204" s="44"/>
      <c r="L10204" s="45"/>
      <c r="N10204" s="45"/>
    </row>
    <row r="10205">
      <c r="A10205" s="40" t="str">
        <f t="shared" si="1"/>
        <v/>
      </c>
      <c r="B10205" s="37" t="str">
        <f t="array" ref="B10205">iferror(xlookup($I10205, 'IMPORT VHC Report'!$E:$E, 'IMPORT VHC Report'!$A:$C), )</f>
        <v/>
      </c>
      <c r="C10205" s="44"/>
      <c r="D10205" s="44"/>
      <c r="L10205" s="45"/>
      <c r="N10205" s="45"/>
    </row>
    <row r="10206">
      <c r="A10206" s="40" t="str">
        <f t="shared" si="1"/>
        <v/>
      </c>
      <c r="B10206" s="37" t="str">
        <f t="array" ref="B10206">iferror(xlookup($I10206, 'IMPORT VHC Report'!$E:$E, 'IMPORT VHC Report'!$A:$C), )</f>
        <v/>
      </c>
      <c r="C10206" s="44"/>
      <c r="D10206" s="44"/>
      <c r="L10206" s="45"/>
      <c r="N10206" s="45"/>
    </row>
    <row r="10207">
      <c r="A10207" s="40" t="str">
        <f t="shared" si="1"/>
        <v/>
      </c>
      <c r="B10207" s="37" t="str">
        <f t="array" ref="B10207">iferror(xlookup($I10207, 'IMPORT VHC Report'!$E:$E, 'IMPORT VHC Report'!$A:$C), )</f>
        <v/>
      </c>
      <c r="C10207" s="44"/>
      <c r="D10207" s="44"/>
      <c r="L10207" s="45"/>
      <c r="N10207" s="45"/>
    </row>
    <row r="10208">
      <c r="A10208" s="40" t="str">
        <f t="shared" si="1"/>
        <v/>
      </c>
      <c r="B10208" s="37" t="str">
        <f t="array" ref="B10208">iferror(xlookup($I10208, 'IMPORT VHC Report'!$E:$E, 'IMPORT VHC Report'!$A:$C), )</f>
        <v/>
      </c>
      <c r="C10208" s="44"/>
      <c r="D10208" s="44"/>
      <c r="L10208" s="45"/>
      <c r="N10208" s="45"/>
    </row>
    <row r="10209">
      <c r="A10209" s="40" t="str">
        <f t="shared" si="1"/>
        <v/>
      </c>
      <c r="B10209" s="37" t="str">
        <f t="array" ref="B10209">iferror(xlookup($I10209, 'IMPORT VHC Report'!$E:$E, 'IMPORT VHC Report'!$A:$C), )</f>
        <v/>
      </c>
      <c r="C10209" s="44"/>
      <c r="D10209" s="44"/>
      <c r="L10209" s="45"/>
      <c r="N10209" s="45"/>
    </row>
    <row r="10210">
      <c r="A10210" s="40" t="str">
        <f t="shared" si="1"/>
        <v/>
      </c>
      <c r="B10210" s="37" t="str">
        <f t="array" ref="B10210">iferror(xlookup($I10210, 'IMPORT VHC Report'!$E:$E, 'IMPORT VHC Report'!$A:$C), )</f>
        <v/>
      </c>
      <c r="C10210" s="44"/>
      <c r="D10210" s="44"/>
      <c r="L10210" s="45"/>
      <c r="N10210" s="45"/>
    </row>
    <row r="10211">
      <c r="A10211" s="40" t="str">
        <f t="shared" si="1"/>
        <v/>
      </c>
      <c r="B10211" s="37" t="str">
        <f t="array" ref="B10211">iferror(xlookup($I10211, 'IMPORT VHC Report'!$E:$E, 'IMPORT VHC Report'!$A:$C), )</f>
        <v/>
      </c>
      <c r="C10211" s="44"/>
      <c r="D10211" s="44"/>
      <c r="L10211" s="45"/>
      <c r="N10211" s="45"/>
    </row>
    <row r="10212">
      <c r="A10212" s="40" t="str">
        <f t="shared" si="1"/>
        <v/>
      </c>
      <c r="B10212" s="37" t="str">
        <f t="array" ref="B10212">iferror(xlookup($I10212, 'IMPORT VHC Report'!$E:$E, 'IMPORT VHC Report'!$A:$C), )</f>
        <v/>
      </c>
      <c r="C10212" s="44"/>
      <c r="D10212" s="44"/>
      <c r="L10212" s="45"/>
      <c r="N10212" s="45"/>
    </row>
    <row r="10213">
      <c r="A10213" s="40" t="str">
        <f t="shared" si="1"/>
        <v/>
      </c>
      <c r="B10213" s="37" t="str">
        <f t="array" ref="B10213">iferror(xlookup($I10213, 'IMPORT VHC Report'!$E:$E, 'IMPORT VHC Report'!$A:$C), )</f>
        <v/>
      </c>
      <c r="C10213" s="44"/>
      <c r="D10213" s="44"/>
      <c r="L10213" s="45"/>
      <c r="N10213" s="45"/>
    </row>
    <row r="10214">
      <c r="A10214" s="40" t="str">
        <f t="shared" si="1"/>
        <v/>
      </c>
      <c r="B10214" s="37" t="str">
        <f t="array" ref="B10214">iferror(xlookup($I10214, 'IMPORT VHC Report'!$E:$E, 'IMPORT VHC Report'!$A:$C), )</f>
        <v/>
      </c>
      <c r="C10214" s="44"/>
      <c r="D10214" s="44"/>
      <c r="L10214" s="45"/>
      <c r="N10214" s="45"/>
    </row>
    <row r="10215">
      <c r="A10215" s="40" t="str">
        <f t="shared" si="1"/>
        <v/>
      </c>
      <c r="B10215" s="37" t="str">
        <f t="array" ref="B10215">iferror(xlookup($I10215, 'IMPORT VHC Report'!$E:$E, 'IMPORT VHC Report'!$A:$C), )</f>
        <v/>
      </c>
      <c r="C10215" s="44"/>
      <c r="D10215" s="44"/>
      <c r="L10215" s="45"/>
      <c r="N10215" s="45"/>
    </row>
    <row r="10216">
      <c r="A10216" s="40" t="str">
        <f t="shared" si="1"/>
        <v/>
      </c>
      <c r="B10216" s="37" t="str">
        <f t="array" ref="B10216">iferror(xlookup($I10216, 'IMPORT VHC Report'!$E:$E, 'IMPORT VHC Report'!$A:$C), )</f>
        <v/>
      </c>
      <c r="C10216" s="44"/>
      <c r="D10216" s="44"/>
      <c r="L10216" s="45"/>
      <c r="N10216" s="45"/>
    </row>
    <row r="10217">
      <c r="A10217" s="40" t="str">
        <f t="shared" si="1"/>
        <v/>
      </c>
      <c r="B10217" s="37" t="str">
        <f t="array" ref="B10217">iferror(xlookup($I10217, 'IMPORT VHC Report'!$E:$E, 'IMPORT VHC Report'!$A:$C), )</f>
        <v/>
      </c>
      <c r="C10217" s="44"/>
      <c r="D10217" s="44"/>
      <c r="L10217" s="45"/>
      <c r="N10217" s="45"/>
    </row>
    <row r="10218">
      <c r="A10218" s="40" t="str">
        <f t="shared" si="1"/>
        <v/>
      </c>
      <c r="B10218" s="37" t="str">
        <f t="array" ref="B10218">iferror(xlookup($I10218, 'IMPORT VHC Report'!$E:$E, 'IMPORT VHC Report'!$A:$C), )</f>
        <v/>
      </c>
      <c r="C10218" s="44"/>
      <c r="D10218" s="44"/>
      <c r="L10218" s="45"/>
      <c r="N10218" s="45"/>
    </row>
    <row r="10219">
      <c r="A10219" s="40" t="str">
        <f t="shared" si="1"/>
        <v/>
      </c>
      <c r="B10219" s="37" t="str">
        <f t="array" ref="B10219">iferror(xlookup($I10219, 'IMPORT VHC Report'!$E:$E, 'IMPORT VHC Report'!$A:$C), )</f>
        <v/>
      </c>
      <c r="C10219" s="44"/>
      <c r="D10219" s="44"/>
      <c r="L10219" s="45"/>
      <c r="N10219" s="45"/>
    </row>
    <row r="10220">
      <c r="A10220" s="40" t="str">
        <f t="shared" si="1"/>
        <v/>
      </c>
      <c r="B10220" s="37" t="str">
        <f t="array" ref="B10220">iferror(xlookup($I10220, 'IMPORT VHC Report'!$E:$E, 'IMPORT VHC Report'!$A:$C), )</f>
        <v/>
      </c>
      <c r="C10220" s="44"/>
      <c r="D10220" s="44"/>
      <c r="L10220" s="45"/>
      <c r="N10220" s="45"/>
    </row>
    <row r="10221">
      <c r="A10221" s="40" t="str">
        <f t="shared" si="1"/>
        <v/>
      </c>
      <c r="B10221" s="37" t="str">
        <f t="array" ref="B10221">iferror(xlookup($I10221, 'IMPORT VHC Report'!$E:$E, 'IMPORT VHC Report'!$A:$C), )</f>
        <v/>
      </c>
      <c r="C10221" s="44"/>
      <c r="D10221" s="44"/>
      <c r="L10221" s="45"/>
      <c r="N10221" s="45"/>
    </row>
    <row r="10222">
      <c r="A10222" s="40" t="str">
        <f t="shared" si="1"/>
        <v/>
      </c>
      <c r="B10222" s="37" t="str">
        <f t="array" ref="B10222">iferror(xlookup($I10222, 'IMPORT VHC Report'!$E:$E, 'IMPORT VHC Report'!$A:$C), )</f>
        <v/>
      </c>
      <c r="C10222" s="44"/>
      <c r="D10222" s="44"/>
      <c r="L10222" s="45"/>
      <c r="N10222" s="45"/>
    </row>
    <row r="10223">
      <c r="A10223" s="40" t="str">
        <f t="shared" si="1"/>
        <v/>
      </c>
      <c r="B10223" s="37" t="str">
        <f t="array" ref="B10223">iferror(xlookup($I10223, 'IMPORT VHC Report'!$E:$E, 'IMPORT VHC Report'!$A:$C), )</f>
        <v/>
      </c>
      <c r="C10223" s="44"/>
      <c r="D10223" s="44"/>
      <c r="L10223" s="45"/>
      <c r="N10223" s="45"/>
    </row>
    <row r="10224">
      <c r="A10224" s="40" t="str">
        <f t="shared" si="1"/>
        <v/>
      </c>
      <c r="B10224" s="37" t="str">
        <f t="array" ref="B10224">iferror(xlookup($I10224, 'IMPORT VHC Report'!$E:$E, 'IMPORT VHC Report'!$A:$C), )</f>
        <v/>
      </c>
      <c r="C10224" s="44"/>
      <c r="D10224" s="44"/>
      <c r="L10224" s="45"/>
      <c r="N10224" s="45"/>
    </row>
    <row r="10225">
      <c r="A10225" s="40" t="str">
        <f t="shared" si="1"/>
        <v/>
      </c>
      <c r="B10225" s="37" t="str">
        <f t="array" ref="B10225">iferror(xlookup($I10225, 'IMPORT VHC Report'!$E:$E, 'IMPORT VHC Report'!$A:$C), )</f>
        <v/>
      </c>
      <c r="C10225" s="44"/>
      <c r="D10225" s="44"/>
      <c r="L10225" s="45"/>
      <c r="N10225" s="45"/>
    </row>
    <row r="10226">
      <c r="A10226" s="40" t="str">
        <f t="shared" si="1"/>
        <v/>
      </c>
      <c r="B10226" s="37" t="str">
        <f t="array" ref="B10226">iferror(xlookup($I10226, 'IMPORT VHC Report'!$E:$E, 'IMPORT VHC Report'!$A:$C), )</f>
        <v/>
      </c>
      <c r="C10226" s="44"/>
      <c r="D10226" s="44"/>
      <c r="L10226" s="45"/>
      <c r="N10226" s="45"/>
    </row>
    <row r="10227">
      <c r="A10227" s="40" t="str">
        <f t="shared" si="1"/>
        <v/>
      </c>
      <c r="B10227" s="37" t="str">
        <f t="array" ref="B10227">iferror(xlookup($I10227, 'IMPORT VHC Report'!$E:$E, 'IMPORT VHC Report'!$A:$C), )</f>
        <v/>
      </c>
      <c r="C10227" s="44"/>
      <c r="D10227" s="44"/>
      <c r="L10227" s="45"/>
      <c r="N10227" s="45"/>
    </row>
    <row r="10228">
      <c r="A10228" s="40" t="str">
        <f t="shared" si="1"/>
        <v/>
      </c>
      <c r="B10228" s="37" t="str">
        <f t="array" ref="B10228">iferror(xlookup($I10228, 'IMPORT VHC Report'!$E:$E, 'IMPORT VHC Report'!$A:$C), )</f>
        <v/>
      </c>
      <c r="C10228" s="44"/>
      <c r="D10228" s="44"/>
      <c r="L10228" s="45"/>
      <c r="N10228" s="45"/>
    </row>
    <row r="10229">
      <c r="A10229" s="40" t="str">
        <f t="shared" si="1"/>
        <v/>
      </c>
      <c r="B10229" s="37" t="str">
        <f t="array" ref="B10229">iferror(xlookup($I10229, 'IMPORT VHC Report'!$E:$E, 'IMPORT VHC Report'!$A:$C), )</f>
        <v/>
      </c>
      <c r="C10229" s="44"/>
      <c r="D10229" s="44"/>
      <c r="L10229" s="45"/>
      <c r="N10229" s="45"/>
    </row>
    <row r="10230">
      <c r="A10230" s="40" t="str">
        <f t="shared" si="1"/>
        <v/>
      </c>
      <c r="B10230" s="37" t="str">
        <f t="array" ref="B10230">iferror(xlookup($I10230, 'IMPORT VHC Report'!$E:$E, 'IMPORT VHC Report'!$A:$C), )</f>
        <v/>
      </c>
      <c r="C10230" s="44"/>
      <c r="D10230" s="44"/>
      <c r="L10230" s="45"/>
      <c r="N10230" s="45"/>
    </row>
    <row r="10231">
      <c r="A10231" s="40" t="str">
        <f t="shared" si="1"/>
        <v/>
      </c>
      <c r="B10231" s="37" t="str">
        <f t="array" ref="B10231">iferror(xlookup($I10231, 'IMPORT VHC Report'!$E:$E, 'IMPORT VHC Report'!$A:$C), )</f>
        <v/>
      </c>
      <c r="C10231" s="44"/>
      <c r="D10231" s="44"/>
      <c r="L10231" s="45"/>
      <c r="N10231" s="45"/>
    </row>
    <row r="10232">
      <c r="A10232" s="40" t="str">
        <f t="shared" si="1"/>
        <v/>
      </c>
      <c r="B10232" s="37" t="str">
        <f t="array" ref="B10232">iferror(xlookup($I10232, 'IMPORT VHC Report'!$E:$E, 'IMPORT VHC Report'!$A:$C), )</f>
        <v/>
      </c>
      <c r="C10232" s="44"/>
      <c r="D10232" s="44"/>
      <c r="L10232" s="45"/>
      <c r="N10232" s="45"/>
    </row>
    <row r="10233">
      <c r="A10233" s="40" t="str">
        <f t="shared" si="1"/>
        <v/>
      </c>
      <c r="B10233" s="37" t="str">
        <f t="array" ref="B10233">iferror(xlookup($I10233, 'IMPORT VHC Report'!$E:$E, 'IMPORT VHC Report'!$A:$C), )</f>
        <v/>
      </c>
      <c r="C10233" s="44"/>
      <c r="D10233" s="44"/>
      <c r="L10233" s="45"/>
      <c r="N10233" s="45"/>
    </row>
    <row r="10234">
      <c r="A10234" s="40" t="str">
        <f t="shared" si="1"/>
        <v/>
      </c>
      <c r="B10234" s="37" t="str">
        <f t="array" ref="B10234">iferror(xlookup($I10234, 'IMPORT VHC Report'!$E:$E, 'IMPORT VHC Report'!$A:$C), )</f>
        <v/>
      </c>
      <c r="C10234" s="44"/>
      <c r="D10234" s="44"/>
      <c r="L10234" s="45"/>
      <c r="N10234" s="45"/>
    </row>
    <row r="10235">
      <c r="A10235" s="40" t="str">
        <f t="shared" si="1"/>
        <v/>
      </c>
      <c r="B10235" s="37" t="str">
        <f t="array" ref="B10235">iferror(xlookup($I10235, 'IMPORT VHC Report'!$E:$E, 'IMPORT VHC Report'!$A:$C), )</f>
        <v/>
      </c>
      <c r="C10235" s="44"/>
      <c r="D10235" s="44"/>
      <c r="L10235" s="45"/>
      <c r="N10235" s="45"/>
    </row>
    <row r="10236">
      <c r="A10236" s="40" t="str">
        <f t="shared" si="1"/>
        <v/>
      </c>
      <c r="B10236" s="37" t="str">
        <f t="array" ref="B10236">iferror(xlookup($I10236, 'IMPORT VHC Report'!$E:$E, 'IMPORT VHC Report'!$A:$C), )</f>
        <v/>
      </c>
      <c r="C10236" s="44"/>
      <c r="D10236" s="44"/>
      <c r="L10236" s="45"/>
      <c r="N10236" s="45"/>
    </row>
    <row r="10237">
      <c r="A10237" s="40" t="str">
        <f t="shared" si="1"/>
        <v/>
      </c>
      <c r="B10237" s="37" t="str">
        <f t="array" ref="B10237">iferror(xlookup($I10237, 'IMPORT VHC Report'!$E:$E, 'IMPORT VHC Report'!$A:$C), )</f>
        <v/>
      </c>
      <c r="C10237" s="44"/>
      <c r="D10237" s="44"/>
      <c r="L10237" s="45"/>
      <c r="N10237" s="45"/>
    </row>
    <row r="10238">
      <c r="A10238" s="40" t="str">
        <f t="shared" si="1"/>
        <v/>
      </c>
      <c r="B10238" s="37" t="str">
        <f t="array" ref="B10238">iferror(xlookup($I10238, 'IMPORT VHC Report'!$E:$E, 'IMPORT VHC Report'!$A:$C), )</f>
        <v/>
      </c>
      <c r="C10238" s="44"/>
      <c r="D10238" s="44"/>
      <c r="L10238" s="45"/>
      <c r="N10238" s="45"/>
    </row>
    <row r="10239">
      <c r="A10239" s="40" t="str">
        <f t="shared" si="1"/>
        <v/>
      </c>
      <c r="B10239" s="37" t="str">
        <f t="array" ref="B10239">iferror(xlookup($I10239, 'IMPORT VHC Report'!$E:$E, 'IMPORT VHC Report'!$A:$C), )</f>
        <v/>
      </c>
      <c r="C10239" s="44"/>
      <c r="D10239" s="44"/>
      <c r="L10239" s="45"/>
      <c r="N10239" s="45"/>
    </row>
    <row r="10240">
      <c r="A10240" s="40" t="str">
        <f t="shared" si="1"/>
        <v/>
      </c>
      <c r="B10240" s="37" t="str">
        <f t="array" ref="B10240">iferror(xlookup($I10240, 'IMPORT VHC Report'!$E:$E, 'IMPORT VHC Report'!$A:$C), )</f>
        <v/>
      </c>
      <c r="C10240" s="44"/>
      <c r="D10240" s="44"/>
      <c r="L10240" s="45"/>
      <c r="N10240" s="45"/>
    </row>
    <row r="10241">
      <c r="A10241" s="40" t="str">
        <f t="shared" si="1"/>
        <v/>
      </c>
      <c r="B10241" s="37" t="str">
        <f t="array" ref="B10241">iferror(xlookup($I10241, 'IMPORT VHC Report'!$E:$E, 'IMPORT VHC Report'!$A:$C), )</f>
        <v/>
      </c>
      <c r="C10241" s="44"/>
      <c r="D10241" s="44"/>
      <c r="L10241" s="45"/>
      <c r="N10241" s="45"/>
    </row>
    <row r="10242">
      <c r="A10242" s="40" t="str">
        <f t="shared" si="1"/>
        <v/>
      </c>
      <c r="B10242" s="37" t="str">
        <f t="array" ref="B10242">iferror(xlookup($I10242, 'IMPORT VHC Report'!$E:$E, 'IMPORT VHC Report'!$A:$C), )</f>
        <v/>
      </c>
      <c r="C10242" s="44"/>
      <c r="D10242" s="44"/>
      <c r="L10242" s="45"/>
      <c r="N10242" s="45"/>
    </row>
    <row r="10243">
      <c r="A10243" s="40" t="str">
        <f t="shared" si="1"/>
        <v/>
      </c>
      <c r="B10243" s="37" t="str">
        <f t="array" ref="B10243">iferror(xlookup($I10243, 'IMPORT VHC Report'!$E:$E, 'IMPORT VHC Report'!$A:$C), )</f>
        <v/>
      </c>
      <c r="C10243" s="44"/>
      <c r="D10243" s="44"/>
      <c r="L10243" s="45"/>
      <c r="N10243" s="45"/>
    </row>
    <row r="10244">
      <c r="A10244" s="40" t="str">
        <f t="shared" si="1"/>
        <v/>
      </c>
      <c r="B10244" s="37" t="str">
        <f t="array" ref="B10244">iferror(xlookup($I10244, 'IMPORT VHC Report'!$E:$E, 'IMPORT VHC Report'!$A:$C), )</f>
        <v/>
      </c>
      <c r="C10244" s="44"/>
      <c r="D10244" s="44"/>
      <c r="L10244" s="45"/>
      <c r="N10244" s="45"/>
    </row>
    <row r="10245">
      <c r="A10245" s="40" t="str">
        <f t="shared" si="1"/>
        <v/>
      </c>
      <c r="B10245" s="37" t="str">
        <f t="array" ref="B10245">iferror(xlookup($I10245, 'IMPORT VHC Report'!$E:$E, 'IMPORT VHC Report'!$A:$C), )</f>
        <v/>
      </c>
      <c r="C10245" s="44"/>
      <c r="D10245" s="44"/>
      <c r="L10245" s="45"/>
      <c r="N10245" s="45"/>
    </row>
    <row r="10246">
      <c r="A10246" s="40" t="str">
        <f t="shared" si="1"/>
        <v/>
      </c>
      <c r="B10246" s="37" t="str">
        <f t="array" ref="B10246">iferror(xlookup($I10246, 'IMPORT VHC Report'!$E:$E, 'IMPORT VHC Report'!$A:$C), )</f>
        <v/>
      </c>
      <c r="C10246" s="44"/>
      <c r="D10246" s="44"/>
      <c r="L10246" s="45"/>
      <c r="N10246" s="45"/>
    </row>
    <row r="10247">
      <c r="A10247" s="40" t="str">
        <f t="shared" si="1"/>
        <v/>
      </c>
      <c r="B10247" s="37" t="str">
        <f t="array" ref="B10247">iferror(xlookup($I10247, 'IMPORT VHC Report'!$E:$E, 'IMPORT VHC Report'!$A:$C), )</f>
        <v/>
      </c>
      <c r="C10247" s="44"/>
      <c r="D10247" s="44"/>
      <c r="L10247" s="45"/>
      <c r="N10247" s="45"/>
    </row>
    <row r="10248">
      <c r="A10248" s="40" t="str">
        <f t="shared" si="1"/>
        <v/>
      </c>
      <c r="B10248" s="37" t="str">
        <f t="array" ref="B10248">iferror(xlookup($I10248, 'IMPORT VHC Report'!$E:$E, 'IMPORT VHC Report'!$A:$C), )</f>
        <v/>
      </c>
      <c r="C10248" s="44"/>
      <c r="D10248" s="44"/>
      <c r="L10248" s="45"/>
      <c r="N10248" s="45"/>
    </row>
    <row r="10249">
      <c r="A10249" s="40" t="str">
        <f t="shared" si="1"/>
        <v/>
      </c>
      <c r="B10249" s="37" t="str">
        <f t="array" ref="B10249">iferror(xlookup($I10249, 'IMPORT VHC Report'!$E:$E, 'IMPORT VHC Report'!$A:$C), )</f>
        <v/>
      </c>
      <c r="C10249" s="44"/>
      <c r="D10249" s="44"/>
      <c r="L10249" s="45"/>
      <c r="N10249" s="45"/>
    </row>
    <row r="10250">
      <c r="A10250" s="40" t="str">
        <f t="shared" si="1"/>
        <v/>
      </c>
      <c r="B10250" s="37" t="str">
        <f t="array" ref="B10250">iferror(xlookup($I10250, 'IMPORT VHC Report'!$E:$E, 'IMPORT VHC Report'!$A:$C), )</f>
        <v/>
      </c>
      <c r="C10250" s="44"/>
      <c r="D10250" s="44"/>
      <c r="L10250" s="45"/>
      <c r="N10250" s="45"/>
    </row>
    <row r="10251">
      <c r="A10251" s="40" t="str">
        <f t="shared" si="1"/>
        <v/>
      </c>
      <c r="B10251" s="37" t="str">
        <f t="array" ref="B10251">iferror(xlookup($I10251, 'IMPORT VHC Report'!$E:$E, 'IMPORT VHC Report'!$A:$C), )</f>
        <v/>
      </c>
      <c r="C10251" s="44"/>
      <c r="D10251" s="44"/>
      <c r="L10251" s="45"/>
      <c r="N10251" s="45"/>
    </row>
    <row r="10252">
      <c r="A10252" s="40" t="str">
        <f t="shared" si="1"/>
        <v/>
      </c>
      <c r="B10252" s="37" t="str">
        <f t="array" ref="B10252">iferror(xlookup($I10252, 'IMPORT VHC Report'!$E:$E, 'IMPORT VHC Report'!$A:$C), )</f>
        <v/>
      </c>
      <c r="C10252" s="44"/>
      <c r="D10252" s="44"/>
      <c r="L10252" s="45"/>
      <c r="N10252" s="45"/>
    </row>
    <row r="10253">
      <c r="A10253" s="40" t="str">
        <f t="shared" si="1"/>
        <v/>
      </c>
      <c r="B10253" s="37" t="str">
        <f t="array" ref="B10253">iferror(xlookup($I10253, 'IMPORT VHC Report'!$E:$E, 'IMPORT VHC Report'!$A:$C), )</f>
        <v/>
      </c>
      <c r="C10253" s="44"/>
      <c r="D10253" s="44"/>
      <c r="L10253" s="45"/>
      <c r="N10253" s="45"/>
    </row>
    <row r="10254">
      <c r="A10254" s="40" t="str">
        <f t="shared" si="1"/>
        <v/>
      </c>
      <c r="B10254" s="37" t="str">
        <f t="array" ref="B10254">iferror(xlookup($I10254, 'IMPORT VHC Report'!$E:$E, 'IMPORT VHC Report'!$A:$C), )</f>
        <v/>
      </c>
      <c r="C10254" s="44"/>
      <c r="D10254" s="44"/>
      <c r="L10254" s="45"/>
      <c r="N10254" s="45"/>
    </row>
    <row r="10255">
      <c r="A10255" s="40" t="str">
        <f t="shared" si="1"/>
        <v/>
      </c>
      <c r="B10255" s="37" t="str">
        <f t="array" ref="B10255">iferror(xlookup($I10255, 'IMPORT VHC Report'!$E:$E, 'IMPORT VHC Report'!$A:$C), )</f>
        <v/>
      </c>
      <c r="C10255" s="44"/>
      <c r="D10255" s="44"/>
      <c r="L10255" s="45"/>
      <c r="N10255" s="45"/>
    </row>
    <row r="10256">
      <c r="A10256" s="40" t="str">
        <f t="shared" si="1"/>
        <v/>
      </c>
      <c r="B10256" s="37" t="str">
        <f t="array" ref="B10256">iferror(xlookup($I10256, 'IMPORT VHC Report'!$E:$E, 'IMPORT VHC Report'!$A:$C), )</f>
        <v/>
      </c>
      <c r="C10256" s="44"/>
      <c r="D10256" s="44"/>
      <c r="L10256" s="45"/>
      <c r="N10256" s="45"/>
    </row>
    <row r="10257">
      <c r="A10257" s="40" t="str">
        <f t="shared" si="1"/>
        <v/>
      </c>
      <c r="B10257" s="37" t="str">
        <f t="array" ref="B10257">iferror(xlookup($I10257, 'IMPORT VHC Report'!$E:$E, 'IMPORT VHC Report'!$A:$C), )</f>
        <v/>
      </c>
      <c r="C10257" s="44"/>
      <c r="D10257" s="44"/>
      <c r="L10257" s="45"/>
      <c r="N10257" s="45"/>
    </row>
    <row r="10258">
      <c r="A10258" s="40" t="str">
        <f t="shared" si="1"/>
        <v/>
      </c>
      <c r="B10258" s="37" t="str">
        <f t="array" ref="B10258">iferror(xlookup($I10258, 'IMPORT VHC Report'!$E:$E, 'IMPORT VHC Report'!$A:$C), )</f>
        <v/>
      </c>
      <c r="C10258" s="44"/>
      <c r="D10258" s="44"/>
      <c r="L10258" s="45"/>
      <c r="N10258" s="45"/>
    </row>
    <row r="10259">
      <c r="A10259" s="40" t="str">
        <f t="shared" si="1"/>
        <v/>
      </c>
      <c r="B10259" s="37" t="str">
        <f t="array" ref="B10259">iferror(xlookup($I10259, 'IMPORT VHC Report'!$E:$E, 'IMPORT VHC Report'!$A:$C), )</f>
        <v/>
      </c>
      <c r="C10259" s="44"/>
      <c r="D10259" s="44"/>
      <c r="L10259" s="45"/>
      <c r="N10259" s="45"/>
    </row>
    <row r="10260">
      <c r="A10260" s="40" t="str">
        <f t="shared" si="1"/>
        <v/>
      </c>
      <c r="B10260" s="37" t="str">
        <f t="array" ref="B10260">iferror(xlookup($I10260, 'IMPORT VHC Report'!$E:$E, 'IMPORT VHC Report'!$A:$C), )</f>
        <v/>
      </c>
      <c r="C10260" s="44"/>
      <c r="D10260" s="44"/>
      <c r="L10260" s="45"/>
      <c r="N10260" s="45"/>
    </row>
    <row r="10261">
      <c r="A10261" s="40" t="str">
        <f t="shared" si="1"/>
        <v/>
      </c>
      <c r="B10261" s="37" t="str">
        <f t="array" ref="B10261">iferror(xlookup($I10261, 'IMPORT VHC Report'!$E:$E, 'IMPORT VHC Report'!$A:$C), )</f>
        <v/>
      </c>
      <c r="C10261" s="44"/>
      <c r="D10261" s="44"/>
      <c r="L10261" s="45"/>
      <c r="N10261" s="45"/>
    </row>
    <row r="10262">
      <c r="A10262" s="40" t="str">
        <f t="shared" si="1"/>
        <v/>
      </c>
      <c r="B10262" s="37" t="str">
        <f t="array" ref="B10262">iferror(xlookup($I10262, 'IMPORT VHC Report'!$E:$E, 'IMPORT VHC Report'!$A:$C), )</f>
        <v/>
      </c>
      <c r="C10262" s="44"/>
      <c r="D10262" s="44"/>
      <c r="L10262" s="45"/>
      <c r="N10262" s="45"/>
    </row>
    <row r="10263">
      <c r="A10263" s="40" t="str">
        <f t="shared" si="1"/>
        <v/>
      </c>
      <c r="B10263" s="37" t="str">
        <f t="array" ref="B10263">iferror(xlookup($I10263, 'IMPORT VHC Report'!$E:$E, 'IMPORT VHC Report'!$A:$C), )</f>
        <v/>
      </c>
      <c r="C10263" s="44"/>
      <c r="D10263" s="44"/>
      <c r="L10263" s="45"/>
      <c r="N10263" s="45"/>
    </row>
    <row r="10264">
      <c r="A10264" s="40" t="str">
        <f t="shared" si="1"/>
        <v/>
      </c>
      <c r="B10264" s="37" t="str">
        <f t="array" ref="B10264">iferror(xlookup($I10264, 'IMPORT VHC Report'!$E:$E, 'IMPORT VHC Report'!$A:$C), )</f>
        <v/>
      </c>
      <c r="C10264" s="44"/>
      <c r="D10264" s="44"/>
      <c r="L10264" s="45"/>
      <c r="N10264" s="45"/>
    </row>
    <row r="10265">
      <c r="A10265" s="40" t="str">
        <f t="shared" si="1"/>
        <v/>
      </c>
      <c r="B10265" s="37" t="str">
        <f t="array" ref="B10265">iferror(xlookup($I10265, 'IMPORT VHC Report'!$E:$E, 'IMPORT VHC Report'!$A:$C), )</f>
        <v/>
      </c>
      <c r="C10265" s="44"/>
      <c r="D10265" s="44"/>
      <c r="L10265" s="45"/>
      <c r="N10265" s="45"/>
    </row>
    <row r="10266">
      <c r="A10266" s="40" t="str">
        <f t="shared" si="1"/>
        <v/>
      </c>
      <c r="B10266" s="37" t="str">
        <f t="array" ref="B10266">iferror(xlookup($I10266, 'IMPORT VHC Report'!$E:$E, 'IMPORT VHC Report'!$A:$C), )</f>
        <v/>
      </c>
      <c r="C10266" s="44"/>
      <c r="D10266" s="44"/>
      <c r="L10266" s="45"/>
      <c r="N10266" s="45"/>
    </row>
    <row r="10267">
      <c r="A10267" s="40">
        <f t="shared" si="1"/>
        <v>46006</v>
      </c>
      <c r="B10267" s="37" t="str">
        <f t="array" ref="B10267">iferror(xlookup($I10267, 'IMPORT VHC Report'!$E:$E, 'IMPORT VHC Report'!$A:$C), )</f>
        <v/>
      </c>
      <c r="C10267" s="44"/>
      <c r="D10267" s="44"/>
      <c r="E10267" s="46" t="s">
        <v>355</v>
      </c>
      <c r="F10267" s="46" t="s">
        <v>324</v>
      </c>
      <c r="G10267" s="46">
        <v>3.61731515115E11</v>
      </c>
      <c r="H10267" s="46" t="s">
        <v>325</v>
      </c>
      <c r="I10267" s="46" t="s">
        <v>326</v>
      </c>
      <c r="J10267" s="46" t="s">
        <v>152</v>
      </c>
      <c r="K10267" s="46" t="s">
        <v>153</v>
      </c>
      <c r="L10267" s="45">
        <v>46012.833333333336</v>
      </c>
      <c r="M10267" s="46" t="s">
        <v>123</v>
      </c>
      <c r="N10267" s="45">
        <v>46013.208333333336</v>
      </c>
      <c r="O10267" s="46" t="s">
        <v>123</v>
      </c>
      <c r="P10267" s="46">
        <v>32400.0</v>
      </c>
      <c r="Q10267" s="46">
        <v>32400.0</v>
      </c>
    </row>
    <row r="10268">
      <c r="A10268" s="40" t="str">
        <f t="shared" si="1"/>
        <v/>
      </c>
      <c r="B10268" s="37" t="str">
        <f t="array" ref="B10268">iferror(xlookup($I10268, 'IMPORT VHC Report'!$E:$E, 'IMPORT VHC Report'!$A:$C), )</f>
        <v/>
      </c>
      <c r="C10268" s="44"/>
      <c r="D10268" s="44"/>
      <c r="L10268" s="45"/>
      <c r="N10268" s="45"/>
    </row>
    <row r="10269">
      <c r="A10269" s="40" t="str">
        <f t="shared" si="1"/>
        <v/>
      </c>
      <c r="B10269" s="37" t="str">
        <f t="array" ref="B10269">iferror(xlookup($I10269, 'IMPORT VHC Report'!$E:$E, 'IMPORT VHC Report'!$A:$C), )</f>
        <v/>
      </c>
      <c r="C10269" s="44"/>
      <c r="D10269" s="44"/>
      <c r="L10269" s="45"/>
      <c r="N10269" s="45"/>
    </row>
    <row r="10270">
      <c r="A10270" s="40" t="str">
        <f t="shared" si="1"/>
        <v/>
      </c>
      <c r="B10270" s="37" t="str">
        <f t="array" ref="B10270">iferror(xlookup($I10270, 'IMPORT VHC Report'!$E:$E, 'IMPORT VHC Report'!$A:$C), )</f>
        <v/>
      </c>
      <c r="C10270" s="44"/>
      <c r="D10270" s="44"/>
      <c r="L10270" s="45"/>
      <c r="N10270" s="45"/>
    </row>
    <row r="10271">
      <c r="A10271" s="40" t="str">
        <f t="shared" si="1"/>
        <v/>
      </c>
      <c r="B10271" s="37" t="str">
        <f t="array" ref="B10271">iferror(xlookup($I10271, 'IMPORT VHC Report'!$E:$E, 'IMPORT VHC Report'!$A:$C), )</f>
        <v/>
      </c>
      <c r="C10271" s="44"/>
      <c r="D10271" s="44"/>
      <c r="L10271" s="45"/>
      <c r="N10271" s="45"/>
    </row>
    <row r="10272">
      <c r="A10272" s="40" t="str">
        <f t="shared" si="1"/>
        <v/>
      </c>
      <c r="B10272" s="37" t="str">
        <f t="array" ref="B10272">iferror(xlookup($I10272, 'IMPORT VHC Report'!$E:$E, 'IMPORT VHC Report'!$A:$C), )</f>
        <v/>
      </c>
      <c r="C10272" s="44"/>
      <c r="D10272" s="44"/>
      <c r="L10272" s="45"/>
      <c r="N10272" s="45"/>
    </row>
    <row r="10273">
      <c r="A10273" s="40" t="str">
        <f t="shared" si="1"/>
        <v/>
      </c>
      <c r="B10273" s="37" t="str">
        <f t="array" ref="B10273">iferror(xlookup($I10273, 'IMPORT VHC Report'!$E:$E, 'IMPORT VHC Report'!$A:$C), )</f>
        <v/>
      </c>
      <c r="C10273" s="44"/>
      <c r="D10273" s="44"/>
      <c r="L10273" s="45"/>
      <c r="N10273" s="45"/>
    </row>
    <row r="10274">
      <c r="A10274" s="40" t="str">
        <f t="shared" si="1"/>
        <v/>
      </c>
      <c r="B10274" s="37" t="str">
        <f t="array" ref="B10274">iferror(xlookup($I10274, 'IMPORT VHC Report'!$E:$E, 'IMPORT VHC Report'!$A:$C), )</f>
        <v/>
      </c>
      <c r="C10274" s="44"/>
      <c r="D10274" s="44"/>
      <c r="L10274" s="45"/>
      <c r="N10274" s="45"/>
    </row>
    <row r="10275">
      <c r="A10275" s="40" t="str">
        <f t="shared" si="1"/>
        <v/>
      </c>
      <c r="B10275" s="37" t="str">
        <f t="array" ref="B10275">iferror(xlookup($I10275, 'IMPORT VHC Report'!$E:$E, 'IMPORT VHC Report'!$A:$C), )</f>
        <v/>
      </c>
      <c r="C10275" s="44"/>
      <c r="D10275" s="44"/>
      <c r="L10275" s="45"/>
      <c r="N10275" s="45"/>
    </row>
    <row r="10276">
      <c r="A10276" s="40" t="str">
        <f t="shared" si="1"/>
        <v/>
      </c>
      <c r="B10276" s="37" t="str">
        <f t="array" ref="B10276">iferror(xlookup($I10276, 'IMPORT VHC Report'!$E:$E, 'IMPORT VHC Report'!$A:$C), )</f>
        <v/>
      </c>
      <c r="C10276" s="44"/>
      <c r="D10276" s="44"/>
      <c r="L10276" s="45"/>
      <c r="N10276" s="45"/>
    </row>
    <row r="10277">
      <c r="A10277" s="40" t="str">
        <f t="shared" si="1"/>
        <v/>
      </c>
      <c r="B10277" s="37" t="str">
        <f t="array" ref="B10277">iferror(xlookup($I10277, 'IMPORT VHC Report'!$E:$E, 'IMPORT VHC Report'!$A:$C), )</f>
        <v/>
      </c>
      <c r="C10277" s="44"/>
      <c r="D10277" s="44"/>
      <c r="L10277" s="45"/>
      <c r="N10277" s="45"/>
    </row>
    <row r="10278">
      <c r="A10278" s="40" t="str">
        <f t="shared" si="1"/>
        <v/>
      </c>
      <c r="B10278" s="37" t="str">
        <f t="array" ref="B10278">iferror(xlookup($I10278, 'IMPORT VHC Report'!$E:$E, 'IMPORT VHC Report'!$A:$C), )</f>
        <v/>
      </c>
      <c r="C10278" s="44"/>
      <c r="D10278" s="44"/>
      <c r="L10278" s="45"/>
      <c r="N10278" s="45"/>
    </row>
    <row r="10279">
      <c r="A10279" s="40" t="str">
        <f t="shared" si="1"/>
        <v/>
      </c>
      <c r="B10279" s="37" t="str">
        <f t="array" ref="B10279">iferror(xlookup($I10279, 'IMPORT VHC Report'!$E:$E, 'IMPORT VHC Report'!$A:$C), )</f>
        <v/>
      </c>
      <c r="C10279" s="44"/>
      <c r="D10279" s="44"/>
      <c r="L10279" s="45"/>
      <c r="N10279" s="45"/>
    </row>
    <row r="10280">
      <c r="A10280" s="40" t="str">
        <f t="shared" si="1"/>
        <v/>
      </c>
      <c r="B10280" s="37" t="str">
        <f t="array" ref="B10280">iferror(xlookup($I10280, 'IMPORT VHC Report'!$E:$E, 'IMPORT VHC Report'!$A:$C), )</f>
        <v/>
      </c>
      <c r="C10280" s="44"/>
      <c r="D10280" s="44"/>
      <c r="L10280" s="45"/>
      <c r="N10280" s="45"/>
    </row>
    <row r="10281">
      <c r="A10281" s="40" t="str">
        <f t="shared" si="1"/>
        <v/>
      </c>
      <c r="B10281" s="37" t="str">
        <f t="array" ref="B10281">iferror(xlookup($I10281, 'IMPORT VHC Report'!$E:$E, 'IMPORT VHC Report'!$A:$C), )</f>
        <v/>
      </c>
      <c r="C10281" s="44"/>
      <c r="D10281" s="44"/>
      <c r="L10281" s="45"/>
      <c r="N10281" s="45"/>
    </row>
    <row r="10282">
      <c r="A10282" s="40" t="str">
        <f t="shared" si="1"/>
        <v/>
      </c>
      <c r="B10282" s="37" t="str">
        <f t="array" ref="B10282">iferror(xlookup($I10282, 'IMPORT VHC Report'!$E:$E, 'IMPORT VHC Report'!$A:$C), )</f>
        <v/>
      </c>
      <c r="C10282" s="44"/>
      <c r="D10282" s="44"/>
      <c r="L10282" s="45"/>
      <c r="N10282" s="45"/>
    </row>
    <row r="10283">
      <c r="A10283" s="40" t="str">
        <f t="shared" si="1"/>
        <v/>
      </c>
      <c r="B10283" s="37" t="str">
        <f t="array" ref="B10283">iferror(xlookup($I10283, 'IMPORT VHC Report'!$E:$E, 'IMPORT VHC Report'!$A:$C), )</f>
        <v/>
      </c>
      <c r="C10283" s="44"/>
      <c r="D10283" s="44"/>
      <c r="L10283" s="45"/>
      <c r="N10283" s="45"/>
    </row>
    <row r="10284">
      <c r="A10284" s="40" t="str">
        <f t="shared" si="1"/>
        <v/>
      </c>
      <c r="B10284" s="37" t="str">
        <f t="array" ref="B10284">iferror(xlookup($I10284, 'IMPORT VHC Report'!$E:$E, 'IMPORT VHC Report'!$A:$C), )</f>
        <v/>
      </c>
      <c r="C10284" s="44"/>
      <c r="D10284" s="44"/>
      <c r="L10284" s="45"/>
      <c r="N10284" s="45"/>
    </row>
    <row r="10285">
      <c r="A10285" s="40" t="str">
        <f t="shared" si="1"/>
        <v/>
      </c>
      <c r="B10285" s="37" t="str">
        <f t="array" ref="B10285">iferror(xlookup($I10285, 'IMPORT VHC Report'!$E:$E, 'IMPORT VHC Report'!$A:$C), )</f>
        <v/>
      </c>
      <c r="C10285" s="44"/>
      <c r="D10285" s="44"/>
      <c r="L10285" s="45"/>
      <c r="N10285" s="45"/>
    </row>
    <row r="10286">
      <c r="A10286" s="40" t="str">
        <f t="shared" si="1"/>
        <v/>
      </c>
      <c r="B10286" s="37" t="str">
        <f t="array" ref="B10286">iferror(xlookup($I10286, 'IMPORT VHC Report'!$E:$E, 'IMPORT VHC Report'!$A:$C), )</f>
        <v/>
      </c>
      <c r="C10286" s="44"/>
      <c r="D10286" s="44"/>
      <c r="L10286" s="45"/>
      <c r="N10286" s="45"/>
    </row>
    <row r="10287">
      <c r="A10287" s="40" t="str">
        <f t="shared" si="1"/>
        <v/>
      </c>
      <c r="B10287" s="37" t="str">
        <f t="array" ref="B10287">iferror(xlookup($I10287, 'IMPORT VHC Report'!$E:$E, 'IMPORT VHC Report'!$A:$C), )</f>
        <v/>
      </c>
      <c r="C10287" s="44"/>
      <c r="D10287" s="44"/>
      <c r="L10287" s="45"/>
      <c r="N10287" s="45"/>
    </row>
    <row r="10288">
      <c r="A10288" s="40" t="str">
        <f t="shared" si="1"/>
        <v/>
      </c>
      <c r="B10288" s="37" t="str">
        <f t="array" ref="B10288">iferror(xlookup($I10288, 'IMPORT VHC Report'!$E:$E, 'IMPORT VHC Report'!$A:$C), )</f>
        <v/>
      </c>
      <c r="C10288" s="44"/>
      <c r="D10288" s="44"/>
      <c r="L10288" s="45"/>
      <c r="N10288" s="45"/>
    </row>
    <row r="10289">
      <c r="A10289" s="40" t="str">
        <f t="shared" si="1"/>
        <v/>
      </c>
      <c r="B10289" s="37" t="str">
        <f t="array" ref="B10289">iferror(xlookup($I10289, 'IMPORT VHC Report'!$E:$E, 'IMPORT VHC Report'!$A:$C), )</f>
        <v/>
      </c>
      <c r="C10289" s="44"/>
      <c r="D10289" s="44"/>
      <c r="L10289" s="45"/>
      <c r="N10289" s="45"/>
    </row>
    <row r="10290">
      <c r="A10290" s="40" t="str">
        <f t="shared" si="1"/>
        <v/>
      </c>
      <c r="B10290" s="37" t="str">
        <f t="array" ref="B10290">iferror(xlookup($I10290, 'IMPORT VHC Report'!$E:$E, 'IMPORT VHC Report'!$A:$C), )</f>
        <v/>
      </c>
      <c r="C10290" s="44"/>
      <c r="D10290" s="44"/>
      <c r="L10290" s="45"/>
      <c r="N10290" s="45"/>
    </row>
    <row r="10291">
      <c r="A10291" s="40" t="str">
        <f t="shared" si="1"/>
        <v/>
      </c>
      <c r="B10291" s="37" t="str">
        <f t="array" ref="B10291">iferror(xlookup($I10291, 'IMPORT VHC Report'!$E:$E, 'IMPORT VHC Report'!$A:$C), )</f>
        <v/>
      </c>
      <c r="C10291" s="44"/>
      <c r="D10291" s="44"/>
      <c r="L10291" s="45"/>
      <c r="N10291" s="45"/>
    </row>
    <row r="10292">
      <c r="A10292" s="40">
        <f t="shared" si="1"/>
        <v>46006</v>
      </c>
      <c r="B10292" s="37" t="str">
        <f t="array" ref="B10292">iferror(xlookup($I10292, 'IMPORT VHC Report'!$E:$E, 'IMPORT VHC Report'!$A:$C), )</f>
        <v/>
      </c>
      <c r="C10292" s="44"/>
      <c r="D10292" s="44"/>
      <c r="E10292" s="46" t="s">
        <v>415</v>
      </c>
      <c r="F10292" s="46" t="s">
        <v>386</v>
      </c>
      <c r="G10292" s="46">
        <v>5.202379069967E12</v>
      </c>
      <c r="H10292" s="46" t="s">
        <v>387</v>
      </c>
      <c r="I10292" s="46" t="s">
        <v>388</v>
      </c>
      <c r="J10292" s="46" t="s">
        <v>152</v>
      </c>
      <c r="K10292" s="46" t="s">
        <v>153</v>
      </c>
      <c r="L10292" s="45">
        <v>46012.875</v>
      </c>
      <c r="M10292" s="46" t="s">
        <v>123</v>
      </c>
      <c r="N10292" s="45">
        <v>46013.25</v>
      </c>
      <c r="O10292" s="46" t="s">
        <v>123</v>
      </c>
      <c r="P10292" s="46">
        <v>32400.0</v>
      </c>
      <c r="Q10292" s="46">
        <v>32400.0</v>
      </c>
    </row>
    <row r="10293">
      <c r="A10293" s="40" t="str">
        <f t="shared" si="1"/>
        <v/>
      </c>
      <c r="B10293" s="37" t="str">
        <f t="array" ref="B10293">iferror(xlookup($I10293, 'IMPORT VHC Report'!$E:$E, 'IMPORT VHC Report'!$A:$C), )</f>
        <v/>
      </c>
      <c r="C10293" s="44"/>
      <c r="D10293" s="44"/>
      <c r="L10293" s="45"/>
      <c r="N10293" s="45"/>
    </row>
    <row r="10294">
      <c r="A10294" s="40" t="str">
        <f t="shared" si="1"/>
        <v/>
      </c>
      <c r="B10294" s="37" t="str">
        <f t="array" ref="B10294">iferror(xlookup($I10294, 'IMPORT VHC Report'!$E:$E, 'IMPORT VHC Report'!$A:$C), )</f>
        <v/>
      </c>
      <c r="C10294" s="44"/>
      <c r="D10294" s="44"/>
      <c r="L10294" s="45"/>
      <c r="N10294" s="45"/>
    </row>
    <row r="10295">
      <c r="A10295" s="40" t="str">
        <f t="shared" si="1"/>
        <v/>
      </c>
      <c r="B10295" s="37" t="str">
        <f t="array" ref="B10295">iferror(xlookup($I10295, 'IMPORT VHC Report'!$E:$E, 'IMPORT VHC Report'!$A:$C), )</f>
        <v/>
      </c>
      <c r="C10295" s="44"/>
      <c r="D10295" s="44"/>
      <c r="L10295" s="45"/>
      <c r="N10295" s="45"/>
    </row>
    <row r="10296">
      <c r="A10296" s="40" t="str">
        <f t="shared" si="1"/>
        <v/>
      </c>
      <c r="B10296" s="37" t="str">
        <f t="array" ref="B10296">iferror(xlookup($I10296, 'IMPORT VHC Report'!$E:$E, 'IMPORT VHC Report'!$A:$C), )</f>
        <v/>
      </c>
      <c r="C10296" s="44"/>
      <c r="D10296" s="44"/>
      <c r="L10296" s="45"/>
      <c r="N10296" s="45"/>
    </row>
    <row r="10297">
      <c r="A10297" s="40" t="str">
        <f t="shared" si="1"/>
        <v/>
      </c>
      <c r="B10297" s="37" t="str">
        <f t="array" ref="B10297">iferror(xlookup($I10297, 'IMPORT VHC Report'!$E:$E, 'IMPORT VHC Report'!$A:$C), )</f>
        <v/>
      </c>
      <c r="C10297" s="44"/>
      <c r="D10297" s="44"/>
      <c r="L10297" s="45"/>
      <c r="N10297" s="45"/>
    </row>
    <row r="10298">
      <c r="A10298" s="40" t="str">
        <f t="shared" si="1"/>
        <v/>
      </c>
      <c r="B10298" s="37" t="str">
        <f t="array" ref="B10298">iferror(xlookup($I10298, 'IMPORT VHC Report'!$E:$E, 'IMPORT VHC Report'!$A:$C), )</f>
        <v/>
      </c>
      <c r="C10298" s="44"/>
      <c r="D10298" s="44"/>
      <c r="L10298" s="45"/>
      <c r="N10298" s="45"/>
    </row>
    <row r="10299">
      <c r="A10299" s="40" t="str">
        <f t="shared" si="1"/>
        <v/>
      </c>
      <c r="B10299" s="37" t="str">
        <f t="array" ref="B10299">iferror(xlookup($I10299, 'IMPORT VHC Report'!$E:$E, 'IMPORT VHC Report'!$A:$C), )</f>
        <v/>
      </c>
      <c r="C10299" s="44"/>
      <c r="D10299" s="44"/>
      <c r="L10299" s="45"/>
      <c r="N10299" s="45"/>
    </row>
    <row r="10300">
      <c r="A10300" s="40" t="str">
        <f t="shared" si="1"/>
        <v/>
      </c>
      <c r="B10300" s="37" t="str">
        <f t="array" ref="B10300">iferror(xlookup($I10300, 'IMPORT VHC Report'!$E:$E, 'IMPORT VHC Report'!$A:$C), )</f>
        <v/>
      </c>
      <c r="C10300" s="44"/>
      <c r="D10300" s="44"/>
      <c r="L10300" s="45"/>
      <c r="N10300" s="45"/>
    </row>
    <row r="10301">
      <c r="A10301" s="40" t="str">
        <f t="shared" si="1"/>
        <v/>
      </c>
      <c r="B10301" s="37" t="str">
        <f t="array" ref="B10301">iferror(xlookup($I10301, 'IMPORT VHC Report'!$E:$E, 'IMPORT VHC Report'!$A:$C), )</f>
        <v/>
      </c>
      <c r="C10301" s="44"/>
      <c r="D10301" s="44"/>
      <c r="L10301" s="45"/>
      <c r="N10301" s="45"/>
    </row>
    <row r="10302">
      <c r="A10302" s="40" t="str">
        <f t="shared" si="1"/>
        <v/>
      </c>
      <c r="B10302" s="37" t="str">
        <f t="array" ref="B10302">iferror(xlookup($I10302, 'IMPORT VHC Report'!$E:$E, 'IMPORT VHC Report'!$A:$C), )</f>
        <v/>
      </c>
      <c r="C10302" s="44"/>
      <c r="D10302" s="44"/>
      <c r="L10302" s="45"/>
      <c r="N10302" s="45"/>
    </row>
    <row r="10303">
      <c r="A10303" s="40" t="str">
        <f t="shared" si="1"/>
        <v/>
      </c>
      <c r="B10303" s="37" t="str">
        <f t="array" ref="B10303">iferror(xlookup($I10303, 'IMPORT VHC Report'!$E:$E, 'IMPORT VHC Report'!$A:$C), )</f>
        <v/>
      </c>
      <c r="C10303" s="44"/>
      <c r="D10303" s="44"/>
      <c r="L10303" s="45"/>
      <c r="N10303" s="45"/>
    </row>
    <row r="10304">
      <c r="A10304" s="40" t="str">
        <f t="shared" si="1"/>
        <v/>
      </c>
      <c r="B10304" s="37" t="str">
        <f t="array" ref="B10304">iferror(xlookup($I10304, 'IMPORT VHC Report'!$E:$E, 'IMPORT VHC Report'!$A:$C), )</f>
        <v/>
      </c>
      <c r="C10304" s="44"/>
      <c r="D10304" s="44"/>
      <c r="L10304" s="45"/>
      <c r="N10304" s="45"/>
    </row>
    <row r="10305">
      <c r="A10305" s="40" t="str">
        <f t="shared" si="1"/>
        <v/>
      </c>
      <c r="B10305" s="37" t="str">
        <f t="array" ref="B10305">iferror(xlookup($I10305, 'IMPORT VHC Report'!$E:$E, 'IMPORT VHC Report'!$A:$C), )</f>
        <v/>
      </c>
      <c r="C10305" s="44"/>
      <c r="D10305" s="44"/>
      <c r="L10305" s="45"/>
      <c r="N10305" s="45"/>
    </row>
    <row r="10306">
      <c r="A10306" s="40" t="str">
        <f t="shared" si="1"/>
        <v/>
      </c>
      <c r="B10306" s="37" t="str">
        <f t="array" ref="B10306">iferror(xlookup($I10306, 'IMPORT VHC Report'!$E:$E, 'IMPORT VHC Report'!$A:$C), )</f>
        <v/>
      </c>
      <c r="C10306" s="44"/>
      <c r="D10306" s="44"/>
      <c r="L10306" s="45"/>
      <c r="N10306" s="45"/>
    </row>
    <row r="10307">
      <c r="A10307" s="40" t="str">
        <f t="shared" si="1"/>
        <v/>
      </c>
      <c r="B10307" s="37" t="str">
        <f t="array" ref="B10307">iferror(xlookup($I10307, 'IMPORT VHC Report'!$E:$E, 'IMPORT VHC Report'!$A:$C), )</f>
        <v/>
      </c>
      <c r="C10307" s="44"/>
      <c r="D10307" s="44"/>
      <c r="L10307" s="45"/>
      <c r="N10307" s="45"/>
    </row>
    <row r="10308">
      <c r="A10308" s="40" t="str">
        <f t="shared" si="1"/>
        <v/>
      </c>
      <c r="B10308" s="37" t="str">
        <f t="array" ref="B10308">iferror(xlookup($I10308, 'IMPORT VHC Report'!$E:$E, 'IMPORT VHC Report'!$A:$C), )</f>
        <v/>
      </c>
      <c r="C10308" s="44"/>
      <c r="D10308" s="44"/>
      <c r="L10308" s="45"/>
      <c r="N10308" s="45"/>
    </row>
    <row r="10309">
      <c r="A10309" s="40" t="str">
        <f t="shared" si="1"/>
        <v/>
      </c>
      <c r="B10309" s="37" t="str">
        <f t="array" ref="B10309">iferror(xlookup($I10309, 'IMPORT VHC Report'!$E:$E, 'IMPORT VHC Report'!$A:$C), )</f>
        <v/>
      </c>
      <c r="C10309" s="44"/>
      <c r="D10309" s="44"/>
      <c r="L10309" s="45"/>
      <c r="N10309" s="45"/>
    </row>
    <row r="10310">
      <c r="A10310" s="40" t="str">
        <f t="shared" si="1"/>
        <v/>
      </c>
      <c r="B10310" s="37" t="str">
        <f t="array" ref="B10310">iferror(xlookup($I10310, 'IMPORT VHC Report'!$E:$E, 'IMPORT VHC Report'!$A:$C), )</f>
        <v/>
      </c>
      <c r="C10310" s="44"/>
      <c r="D10310" s="44"/>
      <c r="L10310" s="45"/>
      <c r="N10310" s="45"/>
    </row>
    <row r="10311">
      <c r="A10311" s="40" t="str">
        <f t="shared" si="1"/>
        <v/>
      </c>
      <c r="B10311" s="37" t="str">
        <f t="array" ref="B10311">iferror(xlookup($I10311, 'IMPORT VHC Report'!$E:$E, 'IMPORT VHC Report'!$A:$C), )</f>
        <v/>
      </c>
      <c r="C10311" s="44"/>
      <c r="D10311" s="44"/>
      <c r="L10311" s="45"/>
      <c r="N10311" s="45"/>
    </row>
    <row r="10312">
      <c r="A10312" s="40" t="str">
        <f t="shared" si="1"/>
        <v/>
      </c>
      <c r="B10312" s="37" t="str">
        <f t="array" ref="B10312">iferror(xlookup($I10312, 'IMPORT VHC Report'!$E:$E, 'IMPORT VHC Report'!$A:$C), )</f>
        <v/>
      </c>
      <c r="C10312" s="44"/>
      <c r="D10312" s="44"/>
      <c r="L10312" s="45"/>
      <c r="N10312" s="45"/>
    </row>
    <row r="10313">
      <c r="A10313" s="40" t="str">
        <f t="shared" si="1"/>
        <v/>
      </c>
      <c r="B10313" s="37" t="str">
        <f t="array" ref="B10313">iferror(xlookup($I10313, 'IMPORT VHC Report'!$E:$E, 'IMPORT VHC Report'!$A:$C), )</f>
        <v/>
      </c>
      <c r="C10313" s="44"/>
      <c r="D10313" s="44"/>
      <c r="L10313" s="45"/>
      <c r="N10313" s="45"/>
    </row>
    <row r="10314">
      <c r="A10314" s="40" t="str">
        <f t="shared" si="1"/>
        <v/>
      </c>
      <c r="B10314" s="37" t="str">
        <f t="array" ref="B10314">iferror(xlookup($I10314, 'IMPORT VHC Report'!$E:$E, 'IMPORT VHC Report'!$A:$C), )</f>
        <v/>
      </c>
      <c r="C10314" s="44"/>
      <c r="D10314" s="44"/>
      <c r="L10314" s="45"/>
      <c r="N10314" s="45"/>
    </row>
    <row r="10315">
      <c r="A10315" s="40">
        <f t="shared" si="1"/>
        <v>46006</v>
      </c>
      <c r="B10315" s="37" t="str">
        <f t="array" ref="B10315">iferror(xlookup($I10315, 'IMPORT VHC Report'!$E:$E, 'IMPORT VHC Report'!$A:$C), )</f>
        <v/>
      </c>
      <c r="C10315" s="44"/>
      <c r="D10315" s="44"/>
      <c r="E10315" s="46" t="s">
        <v>587</v>
      </c>
      <c r="F10315" s="46" t="s">
        <v>560</v>
      </c>
      <c r="G10315" s="46">
        <v>5.566810533775E12</v>
      </c>
      <c r="H10315" s="46" t="s">
        <v>561</v>
      </c>
      <c r="I10315" s="46" t="s">
        <v>562</v>
      </c>
      <c r="J10315" s="46" t="s">
        <v>178</v>
      </c>
      <c r="K10315" s="46" t="s">
        <v>153</v>
      </c>
      <c r="L10315" s="45">
        <v>46012.875</v>
      </c>
      <c r="M10315" s="46" t="s">
        <v>123</v>
      </c>
      <c r="N10315" s="45">
        <v>46013.25</v>
      </c>
      <c r="O10315" s="46" t="s">
        <v>123</v>
      </c>
      <c r="P10315" s="46">
        <v>32400.0</v>
      </c>
      <c r="Q10315" s="46">
        <v>32400.0</v>
      </c>
    </row>
    <row r="10316">
      <c r="A10316" s="40">
        <f t="shared" si="1"/>
        <v>46006</v>
      </c>
      <c r="B10316" s="37" t="str">
        <f t="array" ref="B10316">iferror(xlookup($I10316, 'IMPORT VHC Report'!$E:$E, 'IMPORT VHC Report'!$A:$C), )</f>
        <v/>
      </c>
      <c r="C10316" s="44"/>
      <c r="D10316" s="44"/>
      <c r="E10316" s="46" t="s">
        <v>589</v>
      </c>
      <c r="F10316" s="46" t="s">
        <v>560</v>
      </c>
      <c r="G10316" s="46">
        <v>5.566810533775E12</v>
      </c>
      <c r="H10316" s="46" t="s">
        <v>561</v>
      </c>
      <c r="I10316" s="46" t="s">
        <v>562</v>
      </c>
      <c r="J10316" s="46" t="s">
        <v>332</v>
      </c>
      <c r="K10316" s="46" t="s">
        <v>63</v>
      </c>
      <c r="L10316" s="45">
        <v>46012.979166666664</v>
      </c>
      <c r="M10316" s="46" t="s">
        <v>123</v>
      </c>
      <c r="N10316" s="45">
        <v>46013.25</v>
      </c>
      <c r="O10316" s="46" t="s">
        <v>123</v>
      </c>
      <c r="P10316" s="46">
        <v>23400.0</v>
      </c>
    </row>
    <row r="10317">
      <c r="A10317" s="40" t="str">
        <f t="shared" si="1"/>
        <v/>
      </c>
      <c r="B10317" s="37" t="str">
        <f t="array" ref="B10317">iferror(xlookup($I10317, 'IMPORT VHC Report'!$E:$E, 'IMPORT VHC Report'!$A:$C), )</f>
        <v/>
      </c>
      <c r="C10317" s="44"/>
      <c r="D10317" s="44"/>
      <c r="L10317" s="45"/>
      <c r="N10317" s="45"/>
    </row>
    <row r="10318">
      <c r="A10318" s="40" t="str">
        <f t="shared" si="1"/>
        <v/>
      </c>
      <c r="B10318" s="37" t="str">
        <f t="array" ref="B10318">iferror(xlookup($I10318, 'IMPORT VHC Report'!$E:$E, 'IMPORT VHC Report'!$A:$C), )</f>
        <v/>
      </c>
      <c r="C10318" s="44"/>
      <c r="D10318" s="44"/>
      <c r="L10318" s="45"/>
      <c r="N10318" s="45"/>
    </row>
    <row r="10319">
      <c r="A10319" s="40" t="str">
        <f t="shared" si="1"/>
        <v/>
      </c>
      <c r="B10319" s="37" t="str">
        <f t="array" ref="B10319">iferror(xlookup($I10319, 'IMPORT VHC Report'!$E:$E, 'IMPORT VHC Report'!$A:$C), )</f>
        <v/>
      </c>
      <c r="C10319" s="44"/>
      <c r="D10319" s="44"/>
      <c r="L10319" s="45"/>
      <c r="N10319" s="45"/>
    </row>
    <row r="10320">
      <c r="A10320" s="40" t="str">
        <f t="shared" si="1"/>
        <v/>
      </c>
      <c r="B10320" s="37" t="str">
        <f t="array" ref="B10320">iferror(xlookup($I10320, 'IMPORT VHC Report'!$E:$E, 'IMPORT VHC Report'!$A:$C), )</f>
        <v/>
      </c>
      <c r="C10320" s="44"/>
      <c r="D10320" s="44"/>
      <c r="L10320" s="45"/>
      <c r="N10320" s="45"/>
    </row>
    <row r="10321">
      <c r="A10321" s="40" t="str">
        <f t="shared" si="1"/>
        <v/>
      </c>
      <c r="B10321" s="37" t="str">
        <f t="array" ref="B10321">iferror(xlookup($I10321, 'IMPORT VHC Report'!$E:$E, 'IMPORT VHC Report'!$A:$C), )</f>
        <v/>
      </c>
      <c r="C10321" s="44"/>
      <c r="D10321" s="44"/>
      <c r="L10321" s="45"/>
      <c r="N10321" s="45"/>
    </row>
    <row r="10322">
      <c r="A10322" s="40" t="str">
        <f t="shared" si="1"/>
        <v/>
      </c>
      <c r="B10322" s="37" t="str">
        <f t="array" ref="B10322">iferror(xlookup($I10322, 'IMPORT VHC Report'!$E:$E, 'IMPORT VHC Report'!$A:$C), )</f>
        <v/>
      </c>
      <c r="C10322" s="44"/>
      <c r="D10322" s="44"/>
      <c r="L10322" s="45"/>
      <c r="N10322" s="45"/>
    </row>
    <row r="10323">
      <c r="A10323" s="40" t="str">
        <f t="shared" si="1"/>
        <v/>
      </c>
      <c r="B10323" s="37" t="str">
        <f t="array" ref="B10323">iferror(xlookup($I10323, 'IMPORT VHC Report'!$E:$E, 'IMPORT VHC Report'!$A:$C), )</f>
        <v/>
      </c>
      <c r="C10323" s="44"/>
      <c r="D10323" s="44"/>
      <c r="L10323" s="45"/>
      <c r="N10323" s="45"/>
    </row>
    <row r="10324">
      <c r="A10324" s="40" t="str">
        <f t="shared" si="1"/>
        <v/>
      </c>
      <c r="B10324" s="37" t="str">
        <f t="array" ref="B10324">iferror(xlookup($I10324, 'IMPORT VHC Report'!$E:$E, 'IMPORT VHC Report'!$A:$C), )</f>
        <v/>
      </c>
      <c r="C10324" s="44"/>
      <c r="D10324" s="44"/>
      <c r="L10324" s="45"/>
      <c r="N10324" s="45"/>
    </row>
    <row r="10325">
      <c r="A10325" s="40" t="str">
        <f t="shared" si="1"/>
        <v/>
      </c>
      <c r="B10325" s="37" t="str">
        <f t="array" ref="B10325">iferror(xlookup($I10325, 'IMPORT VHC Report'!$E:$E, 'IMPORT VHC Report'!$A:$C), )</f>
        <v/>
      </c>
      <c r="C10325" s="44"/>
      <c r="D10325" s="44"/>
      <c r="L10325" s="45"/>
      <c r="N10325" s="45"/>
    </row>
    <row r="10326">
      <c r="A10326" s="40" t="str">
        <f t="shared" si="1"/>
        <v/>
      </c>
      <c r="B10326" s="37" t="str">
        <f t="array" ref="B10326">iferror(xlookup($I10326, 'IMPORT VHC Report'!$E:$E, 'IMPORT VHC Report'!$A:$C), )</f>
        <v/>
      </c>
      <c r="C10326" s="44"/>
      <c r="D10326" s="44"/>
      <c r="L10326" s="45"/>
      <c r="N10326" s="45"/>
    </row>
    <row r="10327">
      <c r="A10327" s="40" t="str">
        <f t="shared" si="1"/>
        <v/>
      </c>
      <c r="B10327" s="37" t="str">
        <f t="array" ref="B10327">iferror(xlookup($I10327, 'IMPORT VHC Report'!$E:$E, 'IMPORT VHC Report'!$A:$C), )</f>
        <v/>
      </c>
      <c r="C10327" s="44"/>
      <c r="D10327" s="44"/>
      <c r="L10327" s="45"/>
      <c r="N10327" s="45"/>
    </row>
    <row r="10328">
      <c r="A10328" s="40" t="str">
        <f t="shared" si="1"/>
        <v/>
      </c>
      <c r="B10328" s="37" t="str">
        <f t="array" ref="B10328">iferror(xlookup($I10328, 'IMPORT VHC Report'!$E:$E, 'IMPORT VHC Report'!$A:$C), )</f>
        <v/>
      </c>
      <c r="C10328" s="44"/>
      <c r="D10328" s="44"/>
      <c r="L10328" s="45"/>
      <c r="N10328" s="45"/>
    </row>
    <row r="10329">
      <c r="A10329" s="40" t="str">
        <f t="shared" si="1"/>
        <v/>
      </c>
      <c r="B10329" s="37" t="str">
        <f t="array" ref="B10329">iferror(xlookup($I10329, 'IMPORT VHC Report'!$E:$E, 'IMPORT VHC Report'!$A:$C), )</f>
        <v/>
      </c>
      <c r="C10329" s="44"/>
      <c r="D10329" s="44"/>
      <c r="L10329" s="45"/>
      <c r="N10329" s="45"/>
    </row>
    <row r="10330">
      <c r="A10330" s="40" t="str">
        <f t="shared" si="1"/>
        <v/>
      </c>
      <c r="B10330" s="37" t="str">
        <f t="array" ref="B10330">iferror(xlookup($I10330, 'IMPORT VHC Report'!$E:$E, 'IMPORT VHC Report'!$A:$C), )</f>
        <v/>
      </c>
      <c r="C10330" s="44"/>
      <c r="D10330" s="44"/>
      <c r="L10330" s="45"/>
      <c r="N10330" s="45"/>
    </row>
    <row r="10331">
      <c r="A10331" s="40" t="str">
        <f t="shared" si="1"/>
        <v/>
      </c>
      <c r="B10331" s="37" t="str">
        <f t="array" ref="B10331">iferror(xlookup($I10331, 'IMPORT VHC Report'!$E:$E, 'IMPORT VHC Report'!$A:$C), )</f>
        <v/>
      </c>
      <c r="C10331" s="44"/>
      <c r="D10331" s="44"/>
      <c r="L10331" s="45"/>
      <c r="N10331" s="45"/>
    </row>
    <row r="10332">
      <c r="A10332" s="40" t="str">
        <f t="shared" si="1"/>
        <v/>
      </c>
      <c r="B10332" s="37" t="str">
        <f t="array" ref="B10332">iferror(xlookup($I10332, 'IMPORT VHC Report'!$E:$E, 'IMPORT VHC Report'!$A:$C), )</f>
        <v/>
      </c>
      <c r="C10332" s="44"/>
      <c r="D10332" s="44"/>
      <c r="L10332" s="45"/>
      <c r="N10332" s="45"/>
    </row>
    <row r="10333">
      <c r="A10333" s="40" t="str">
        <f t="shared" si="1"/>
        <v/>
      </c>
      <c r="B10333" s="37" t="str">
        <f t="array" ref="B10333">iferror(xlookup($I10333, 'IMPORT VHC Report'!$E:$E, 'IMPORT VHC Report'!$A:$C), )</f>
        <v/>
      </c>
      <c r="C10333" s="44"/>
      <c r="D10333" s="44"/>
      <c r="L10333" s="45"/>
      <c r="N10333" s="45"/>
    </row>
    <row r="10334">
      <c r="A10334" s="40" t="str">
        <f t="shared" si="1"/>
        <v/>
      </c>
      <c r="B10334" s="37" t="str">
        <f t="array" ref="B10334">iferror(xlookup($I10334, 'IMPORT VHC Report'!$E:$E, 'IMPORT VHC Report'!$A:$C), )</f>
        <v/>
      </c>
      <c r="C10334" s="44"/>
      <c r="D10334" s="44"/>
      <c r="L10334" s="45"/>
      <c r="N10334" s="45"/>
    </row>
    <row r="10335">
      <c r="A10335" s="40" t="str">
        <f t="shared" si="1"/>
        <v/>
      </c>
      <c r="B10335" s="37" t="str">
        <f t="array" ref="B10335">iferror(xlookup($I10335, 'IMPORT VHC Report'!$E:$E, 'IMPORT VHC Report'!$A:$C), )</f>
        <v/>
      </c>
      <c r="C10335" s="44"/>
      <c r="D10335" s="44"/>
      <c r="L10335" s="45"/>
      <c r="N10335" s="45"/>
    </row>
    <row r="10336">
      <c r="A10336" s="40" t="str">
        <f t="shared" si="1"/>
        <v/>
      </c>
      <c r="B10336" s="37" t="str">
        <f t="array" ref="B10336">iferror(xlookup($I10336, 'IMPORT VHC Report'!$E:$E, 'IMPORT VHC Report'!$A:$C), )</f>
        <v/>
      </c>
      <c r="C10336" s="44"/>
      <c r="D10336" s="44"/>
      <c r="L10336" s="45"/>
      <c r="N10336" s="45"/>
    </row>
    <row r="10337">
      <c r="A10337" s="40" t="str">
        <f t="shared" si="1"/>
        <v/>
      </c>
      <c r="B10337" s="37" t="str">
        <f t="array" ref="B10337">iferror(xlookup($I10337, 'IMPORT VHC Report'!$E:$E, 'IMPORT VHC Report'!$A:$C), )</f>
        <v/>
      </c>
      <c r="C10337" s="44"/>
      <c r="D10337" s="44"/>
      <c r="L10337" s="45"/>
      <c r="N10337" s="45"/>
    </row>
    <row r="10338">
      <c r="A10338" s="40" t="str">
        <f t="shared" si="1"/>
        <v/>
      </c>
      <c r="B10338" s="37" t="str">
        <f t="array" ref="B10338">iferror(xlookup($I10338, 'IMPORT VHC Report'!$E:$E, 'IMPORT VHC Report'!$A:$C), )</f>
        <v/>
      </c>
      <c r="C10338" s="44"/>
      <c r="D10338" s="44"/>
      <c r="L10338" s="45"/>
      <c r="N10338" s="45"/>
    </row>
    <row r="10339">
      <c r="A10339" s="40" t="str">
        <f t="shared" si="1"/>
        <v/>
      </c>
      <c r="B10339" s="37" t="str">
        <f t="array" ref="B10339">iferror(xlookup($I10339, 'IMPORT VHC Report'!$E:$E, 'IMPORT VHC Report'!$A:$C), )</f>
        <v/>
      </c>
      <c r="C10339" s="44"/>
      <c r="D10339" s="44"/>
      <c r="L10339" s="45"/>
      <c r="N10339" s="45"/>
    </row>
    <row r="10340">
      <c r="A10340" s="40" t="str">
        <f t="shared" si="1"/>
        <v/>
      </c>
      <c r="B10340" s="37" t="str">
        <f t="array" ref="B10340">iferror(xlookup($I10340, 'IMPORT VHC Report'!$E:$E, 'IMPORT VHC Report'!$A:$C), )</f>
        <v/>
      </c>
      <c r="C10340" s="44"/>
      <c r="D10340" s="44"/>
      <c r="L10340" s="45"/>
      <c r="N10340" s="45"/>
    </row>
    <row r="10341">
      <c r="A10341" s="40" t="str">
        <f t="shared" si="1"/>
        <v/>
      </c>
      <c r="B10341" s="37" t="str">
        <f t="array" ref="B10341">iferror(xlookup($I10341, 'IMPORT VHC Report'!$E:$E, 'IMPORT VHC Report'!$A:$C), )</f>
        <v/>
      </c>
      <c r="C10341" s="44"/>
      <c r="D10341" s="44"/>
      <c r="L10341" s="45"/>
      <c r="N10341" s="45"/>
    </row>
    <row r="10342">
      <c r="A10342" s="40">
        <f t="shared" si="1"/>
        <v>46006</v>
      </c>
      <c r="B10342" s="37" t="str">
        <f t="array" ref="B10342">iferror(xlookup($I10342, 'IMPORT VHC Report'!$E:$E, 'IMPORT VHC Report'!$A:$C), )</f>
        <v/>
      </c>
      <c r="C10342" s="44"/>
      <c r="D10342" s="44"/>
      <c r="E10342" s="46" t="s">
        <v>725</v>
      </c>
      <c r="F10342" s="46" t="s">
        <v>696</v>
      </c>
      <c r="G10342" s="46">
        <v>1.0548602091791E13</v>
      </c>
      <c r="H10342" s="46" t="s">
        <v>697</v>
      </c>
      <c r="I10342" s="46" t="s">
        <v>698</v>
      </c>
      <c r="J10342" s="46" t="s">
        <v>178</v>
      </c>
      <c r="K10342" s="46" t="s">
        <v>153</v>
      </c>
      <c r="L10342" s="45">
        <v>46012.875</v>
      </c>
      <c r="M10342" s="46" t="s">
        <v>123</v>
      </c>
      <c r="N10342" s="45">
        <v>46013.25</v>
      </c>
      <c r="O10342" s="46" t="s">
        <v>123</v>
      </c>
      <c r="P10342" s="46">
        <v>32400.0</v>
      </c>
      <c r="Q10342" s="46">
        <v>32400.0</v>
      </c>
    </row>
    <row r="10343">
      <c r="A10343" s="40" t="str">
        <f t="shared" si="1"/>
        <v/>
      </c>
      <c r="B10343" s="37" t="str">
        <f t="array" ref="B10343">iferror(xlookup($I10343, 'IMPORT VHC Report'!$E:$E, 'IMPORT VHC Report'!$A:$C), )</f>
        <v/>
      </c>
      <c r="C10343" s="44"/>
      <c r="D10343" s="44"/>
      <c r="L10343" s="45"/>
      <c r="N10343" s="45"/>
    </row>
    <row r="10344">
      <c r="A10344" s="40" t="str">
        <f t="shared" si="1"/>
        <v/>
      </c>
      <c r="B10344" s="37" t="str">
        <f t="array" ref="B10344">iferror(xlookup($I10344, 'IMPORT VHC Report'!$E:$E, 'IMPORT VHC Report'!$A:$C), )</f>
        <v/>
      </c>
      <c r="C10344" s="44"/>
      <c r="D10344" s="44"/>
      <c r="L10344" s="45"/>
      <c r="N10344" s="45"/>
    </row>
    <row r="10345">
      <c r="A10345" s="40" t="str">
        <f t="shared" si="1"/>
        <v/>
      </c>
      <c r="B10345" s="37" t="str">
        <f t="array" ref="B10345">iferror(xlookup($I10345, 'IMPORT VHC Report'!$E:$E, 'IMPORT VHC Report'!$A:$C), )</f>
        <v/>
      </c>
      <c r="C10345" s="44"/>
      <c r="D10345" s="44"/>
      <c r="L10345" s="45"/>
      <c r="N10345" s="45"/>
    </row>
    <row r="10346">
      <c r="A10346" s="40" t="str">
        <f t="shared" si="1"/>
        <v/>
      </c>
      <c r="B10346" s="37" t="str">
        <f t="array" ref="B10346">iferror(xlookup($I10346, 'IMPORT VHC Report'!$E:$E, 'IMPORT VHC Report'!$A:$C), )</f>
        <v/>
      </c>
      <c r="C10346" s="44"/>
      <c r="D10346" s="44"/>
      <c r="L10346" s="45"/>
      <c r="N10346" s="45"/>
    </row>
    <row r="10347">
      <c r="A10347" s="40" t="str">
        <f t="shared" si="1"/>
        <v/>
      </c>
      <c r="B10347" s="37" t="str">
        <f t="array" ref="B10347">iferror(xlookup($I10347, 'IMPORT VHC Report'!$E:$E, 'IMPORT VHC Report'!$A:$C), )</f>
        <v/>
      </c>
      <c r="C10347" s="44"/>
      <c r="D10347" s="44"/>
      <c r="L10347" s="45"/>
      <c r="N10347" s="45"/>
    </row>
    <row r="10348">
      <c r="A10348" s="40" t="str">
        <f t="shared" si="1"/>
        <v/>
      </c>
      <c r="B10348" s="37" t="str">
        <f t="array" ref="B10348">iferror(xlookup($I10348, 'IMPORT VHC Report'!$E:$E, 'IMPORT VHC Report'!$A:$C), )</f>
        <v/>
      </c>
      <c r="C10348" s="44"/>
      <c r="D10348" s="44"/>
      <c r="L10348" s="45"/>
      <c r="N10348" s="45"/>
    </row>
    <row r="10349">
      <c r="A10349" s="40" t="str">
        <f t="shared" si="1"/>
        <v/>
      </c>
      <c r="B10349" s="37" t="str">
        <f t="array" ref="B10349">iferror(xlookup($I10349, 'IMPORT VHC Report'!$E:$E, 'IMPORT VHC Report'!$A:$C), )</f>
        <v/>
      </c>
      <c r="C10349" s="44"/>
      <c r="D10349" s="44"/>
      <c r="L10349" s="45"/>
      <c r="N10349" s="45"/>
    </row>
    <row r="10350">
      <c r="A10350" s="40" t="str">
        <f t="shared" si="1"/>
        <v/>
      </c>
      <c r="B10350" s="37" t="str">
        <f t="array" ref="B10350">iferror(xlookup($I10350, 'IMPORT VHC Report'!$E:$E, 'IMPORT VHC Report'!$A:$C), )</f>
        <v/>
      </c>
      <c r="C10350" s="44"/>
      <c r="D10350" s="44"/>
      <c r="L10350" s="45"/>
      <c r="N10350" s="45"/>
    </row>
    <row r="10351">
      <c r="A10351" s="40" t="str">
        <f t="shared" si="1"/>
        <v/>
      </c>
      <c r="B10351" s="37" t="str">
        <f t="array" ref="B10351">iferror(xlookup($I10351, 'IMPORT VHC Report'!$E:$E, 'IMPORT VHC Report'!$A:$C), )</f>
        <v/>
      </c>
      <c r="C10351" s="44"/>
      <c r="D10351" s="44"/>
      <c r="L10351" s="45"/>
      <c r="N10351" s="45"/>
    </row>
    <row r="10352">
      <c r="A10352" s="40" t="str">
        <f t="shared" si="1"/>
        <v/>
      </c>
      <c r="B10352" s="37" t="str">
        <f t="array" ref="B10352">iferror(xlookup($I10352, 'IMPORT VHC Report'!$E:$E, 'IMPORT VHC Report'!$A:$C), )</f>
        <v/>
      </c>
      <c r="C10352" s="44"/>
      <c r="D10352" s="44"/>
      <c r="L10352" s="45"/>
      <c r="N10352" s="45"/>
    </row>
    <row r="10353">
      <c r="A10353" s="40" t="str">
        <f t="shared" si="1"/>
        <v/>
      </c>
      <c r="B10353" s="37" t="str">
        <f t="array" ref="B10353">iferror(xlookup($I10353, 'IMPORT VHC Report'!$E:$E, 'IMPORT VHC Report'!$A:$C), )</f>
        <v/>
      </c>
      <c r="C10353" s="44"/>
      <c r="D10353" s="44"/>
      <c r="L10353" s="45"/>
      <c r="N10353" s="45"/>
    </row>
    <row r="10354">
      <c r="A10354" s="40" t="str">
        <f t="shared" si="1"/>
        <v/>
      </c>
      <c r="B10354" s="37" t="str">
        <f t="array" ref="B10354">iferror(xlookup($I10354, 'IMPORT VHC Report'!$E:$E, 'IMPORT VHC Report'!$A:$C), )</f>
        <v/>
      </c>
      <c r="C10354" s="44"/>
      <c r="D10354" s="44"/>
      <c r="L10354" s="45"/>
      <c r="N10354" s="45"/>
    </row>
    <row r="10355">
      <c r="A10355" s="40" t="str">
        <f t="shared" si="1"/>
        <v/>
      </c>
      <c r="B10355" s="37" t="str">
        <f t="array" ref="B10355">iferror(xlookup($I10355, 'IMPORT VHC Report'!$E:$E, 'IMPORT VHC Report'!$A:$C), )</f>
        <v/>
      </c>
      <c r="C10355" s="44"/>
      <c r="D10355" s="44"/>
      <c r="L10355" s="45"/>
      <c r="N10355" s="45"/>
    </row>
    <row r="10356">
      <c r="A10356" s="40" t="str">
        <f t="shared" si="1"/>
        <v/>
      </c>
      <c r="B10356" s="37" t="str">
        <f t="array" ref="B10356">iferror(xlookup($I10356, 'IMPORT VHC Report'!$E:$E, 'IMPORT VHC Report'!$A:$C), )</f>
        <v/>
      </c>
      <c r="C10356" s="44"/>
      <c r="D10356" s="44"/>
      <c r="L10356" s="45"/>
      <c r="N10356" s="45"/>
    </row>
    <row r="10357">
      <c r="A10357" s="40" t="str">
        <f t="shared" si="1"/>
        <v/>
      </c>
      <c r="B10357" s="37" t="str">
        <f t="array" ref="B10357">iferror(xlookup($I10357, 'IMPORT VHC Report'!$E:$E, 'IMPORT VHC Report'!$A:$C), )</f>
        <v/>
      </c>
      <c r="C10357" s="44"/>
      <c r="D10357" s="44"/>
      <c r="L10357" s="45"/>
      <c r="N10357" s="45"/>
    </row>
    <row r="10358">
      <c r="A10358" s="40" t="str">
        <f t="shared" si="1"/>
        <v/>
      </c>
      <c r="B10358" s="37" t="str">
        <f t="array" ref="B10358">iferror(xlookup($I10358, 'IMPORT VHC Report'!$E:$E, 'IMPORT VHC Report'!$A:$C), )</f>
        <v/>
      </c>
      <c r="C10358" s="44"/>
      <c r="D10358" s="44"/>
      <c r="L10358" s="45"/>
      <c r="N10358" s="45"/>
    </row>
    <row r="10359">
      <c r="A10359" s="40" t="str">
        <f t="shared" si="1"/>
        <v/>
      </c>
      <c r="B10359" s="37" t="str">
        <f t="array" ref="B10359">iferror(xlookup($I10359, 'IMPORT VHC Report'!$E:$E, 'IMPORT VHC Report'!$A:$C), )</f>
        <v/>
      </c>
      <c r="C10359" s="44"/>
      <c r="D10359" s="44"/>
      <c r="L10359" s="45"/>
      <c r="N10359" s="45"/>
    </row>
    <row r="10360">
      <c r="A10360" s="40" t="str">
        <f t="shared" si="1"/>
        <v/>
      </c>
      <c r="B10360" s="37" t="str">
        <f t="array" ref="B10360">iferror(xlookup($I10360, 'IMPORT VHC Report'!$E:$E, 'IMPORT VHC Report'!$A:$C), )</f>
        <v/>
      </c>
      <c r="C10360" s="44"/>
      <c r="D10360" s="44"/>
      <c r="L10360" s="45"/>
      <c r="N10360" s="45"/>
    </row>
    <row r="10361">
      <c r="A10361" s="40" t="str">
        <f t="shared" si="1"/>
        <v/>
      </c>
      <c r="B10361" s="37" t="str">
        <f t="array" ref="B10361">iferror(xlookup($I10361, 'IMPORT VHC Report'!$E:$E, 'IMPORT VHC Report'!$A:$C), )</f>
        <v/>
      </c>
      <c r="C10361" s="44"/>
      <c r="D10361" s="44"/>
      <c r="L10361" s="45"/>
      <c r="N10361" s="45"/>
    </row>
    <row r="10362">
      <c r="A10362" s="40" t="str">
        <f t="shared" si="1"/>
        <v/>
      </c>
      <c r="B10362" s="37" t="str">
        <f t="array" ref="B10362">iferror(xlookup($I10362, 'IMPORT VHC Report'!$E:$E, 'IMPORT VHC Report'!$A:$C), )</f>
        <v/>
      </c>
      <c r="C10362" s="44"/>
      <c r="D10362" s="44"/>
      <c r="L10362" s="45"/>
      <c r="N10362" s="45"/>
    </row>
    <row r="10363">
      <c r="A10363" s="40" t="str">
        <f t="shared" si="1"/>
        <v/>
      </c>
      <c r="B10363" s="37" t="str">
        <f t="array" ref="B10363">iferror(xlookup($I10363, 'IMPORT VHC Report'!$E:$E, 'IMPORT VHC Report'!$A:$C), )</f>
        <v/>
      </c>
      <c r="C10363" s="44"/>
      <c r="D10363" s="44"/>
      <c r="L10363" s="45"/>
      <c r="N10363" s="45"/>
    </row>
    <row r="10364">
      <c r="A10364" s="40" t="str">
        <f t="shared" si="1"/>
        <v/>
      </c>
      <c r="B10364" s="37" t="str">
        <f t="array" ref="B10364">iferror(xlookup($I10364, 'IMPORT VHC Report'!$E:$E, 'IMPORT VHC Report'!$A:$C), )</f>
        <v/>
      </c>
      <c r="C10364" s="44"/>
      <c r="D10364" s="44"/>
      <c r="L10364" s="45"/>
      <c r="N10364" s="45"/>
    </row>
    <row r="10365">
      <c r="A10365" s="40" t="str">
        <f t="shared" si="1"/>
        <v/>
      </c>
      <c r="B10365" s="37" t="str">
        <f t="array" ref="B10365">iferror(xlookup($I10365, 'IMPORT VHC Report'!$E:$E, 'IMPORT VHC Report'!$A:$C), )</f>
        <v/>
      </c>
      <c r="C10365" s="44"/>
      <c r="D10365" s="44"/>
      <c r="L10365" s="45"/>
      <c r="N10365" s="45"/>
    </row>
    <row r="10366">
      <c r="A10366" s="40" t="str">
        <f t="shared" si="1"/>
        <v/>
      </c>
      <c r="B10366" s="37" t="str">
        <f t="array" ref="B10366">iferror(xlookup($I10366, 'IMPORT VHC Report'!$E:$E, 'IMPORT VHC Report'!$A:$C), )</f>
        <v/>
      </c>
      <c r="C10366" s="44"/>
      <c r="D10366" s="44"/>
      <c r="L10366" s="45"/>
      <c r="N10366" s="45"/>
    </row>
    <row r="10367">
      <c r="A10367" s="40">
        <f t="shared" si="1"/>
        <v>46006</v>
      </c>
      <c r="B10367" s="37" t="str">
        <f t="array" ref="B10367">iferror(xlookup($I10367, 'IMPORT VHC Report'!$E:$E, 'IMPORT VHC Report'!$A:$C), )</f>
        <v/>
      </c>
      <c r="C10367" s="44"/>
      <c r="D10367" s="44"/>
      <c r="E10367" s="46" t="s">
        <v>979</v>
      </c>
      <c r="F10367" s="46" t="s">
        <v>947</v>
      </c>
      <c r="G10367" s="46">
        <v>3.61744117796E11</v>
      </c>
      <c r="H10367" s="46" t="s">
        <v>948</v>
      </c>
      <c r="I10367" s="46" t="s">
        <v>949</v>
      </c>
      <c r="J10367" s="46" t="s">
        <v>178</v>
      </c>
      <c r="K10367" s="46" t="s">
        <v>153</v>
      </c>
      <c r="L10367" s="45">
        <v>46012.958333333336</v>
      </c>
      <c r="M10367" s="46" t="s">
        <v>123</v>
      </c>
      <c r="N10367" s="45">
        <v>46013.125</v>
      </c>
      <c r="O10367" s="46" t="s">
        <v>123</v>
      </c>
      <c r="P10367" s="46">
        <v>14400.0</v>
      </c>
      <c r="Q10367" s="46">
        <v>14400.0</v>
      </c>
    </row>
    <row r="10368">
      <c r="A10368" s="40">
        <f t="shared" si="1"/>
        <v>46006</v>
      </c>
      <c r="B10368" s="37" t="str">
        <f t="array" ref="B10368">iferror(xlookup($I10368, 'IMPORT VHC Report'!$E:$E, 'IMPORT VHC Report'!$A:$C), )</f>
        <v/>
      </c>
      <c r="C10368" s="44"/>
      <c r="D10368" s="44"/>
      <c r="E10368" s="46" t="s">
        <v>980</v>
      </c>
      <c r="F10368" s="46" t="s">
        <v>947</v>
      </c>
      <c r="G10368" s="46">
        <v>3.61744117796E11</v>
      </c>
      <c r="H10368" s="46" t="s">
        <v>948</v>
      </c>
      <c r="I10368" s="46" t="s">
        <v>949</v>
      </c>
      <c r="J10368" s="46" t="s">
        <v>332</v>
      </c>
      <c r="K10368" s="46" t="s">
        <v>63</v>
      </c>
      <c r="L10368" s="45">
        <v>46012.958333333336</v>
      </c>
      <c r="M10368" s="46" t="s">
        <v>123</v>
      </c>
      <c r="N10368" s="45">
        <v>46013.333333333336</v>
      </c>
      <c r="O10368" s="46" t="s">
        <v>123</v>
      </c>
      <c r="P10368" s="46">
        <v>32400.0</v>
      </c>
    </row>
    <row r="10369">
      <c r="A10369" s="40" t="str">
        <f t="shared" si="1"/>
        <v/>
      </c>
      <c r="B10369" s="37" t="str">
        <f t="array" ref="B10369">iferror(xlookup($I10369, 'IMPORT VHC Report'!$E:$E, 'IMPORT VHC Report'!$A:$C), )</f>
        <v/>
      </c>
      <c r="C10369" s="44"/>
      <c r="D10369" s="44"/>
      <c r="L10369" s="45"/>
      <c r="N10369" s="45"/>
    </row>
    <row r="10370">
      <c r="A10370" s="40" t="str">
        <f t="shared" si="1"/>
        <v/>
      </c>
      <c r="B10370" s="37" t="str">
        <f t="array" ref="B10370">iferror(xlookup($I10370, 'IMPORT VHC Report'!$E:$E, 'IMPORT VHC Report'!$A:$C), )</f>
        <v/>
      </c>
      <c r="C10370" s="44"/>
      <c r="D10370" s="44"/>
      <c r="L10370" s="45"/>
      <c r="N10370" s="45"/>
    </row>
    <row r="10371">
      <c r="A10371" s="40" t="str">
        <f t="shared" si="1"/>
        <v/>
      </c>
      <c r="B10371" s="37" t="str">
        <f t="array" ref="B10371">iferror(xlookup($I10371, 'IMPORT VHC Report'!$E:$E, 'IMPORT VHC Report'!$A:$C), )</f>
        <v/>
      </c>
      <c r="C10371" s="44"/>
      <c r="D10371" s="44"/>
      <c r="L10371" s="45"/>
      <c r="N10371" s="45"/>
    </row>
    <row r="10372">
      <c r="A10372" s="40" t="str">
        <f t="shared" si="1"/>
        <v/>
      </c>
      <c r="B10372" s="37" t="str">
        <f t="array" ref="B10372">iferror(xlookup($I10372, 'IMPORT VHC Report'!$E:$E, 'IMPORT VHC Report'!$A:$C), )</f>
        <v/>
      </c>
      <c r="C10372" s="44"/>
      <c r="D10372" s="44"/>
      <c r="L10372" s="45"/>
      <c r="N10372" s="45"/>
    </row>
    <row r="10373">
      <c r="A10373" s="40" t="str">
        <f t="shared" si="1"/>
        <v/>
      </c>
      <c r="B10373" s="37" t="str">
        <f t="array" ref="B10373">iferror(xlookup($I10373, 'IMPORT VHC Report'!$E:$E, 'IMPORT VHC Report'!$A:$C), )</f>
        <v/>
      </c>
      <c r="C10373" s="44"/>
      <c r="D10373" s="44"/>
      <c r="L10373" s="45"/>
      <c r="N10373" s="45"/>
    </row>
    <row r="10374">
      <c r="A10374" s="40" t="str">
        <f t="shared" si="1"/>
        <v/>
      </c>
      <c r="B10374" s="37" t="str">
        <f t="array" ref="B10374">iferror(xlookup($I10374, 'IMPORT VHC Report'!$E:$E, 'IMPORT VHC Report'!$A:$C), )</f>
        <v/>
      </c>
      <c r="C10374" s="44"/>
      <c r="D10374" s="44"/>
      <c r="L10374" s="45"/>
      <c r="N10374" s="45"/>
    </row>
    <row r="10375">
      <c r="A10375" s="40" t="str">
        <f t="shared" si="1"/>
        <v/>
      </c>
      <c r="B10375" s="37" t="str">
        <f t="array" ref="B10375">iferror(xlookup($I10375, 'IMPORT VHC Report'!$E:$E, 'IMPORT VHC Report'!$A:$C), )</f>
        <v/>
      </c>
      <c r="C10375" s="44"/>
      <c r="D10375" s="44"/>
      <c r="L10375" s="45"/>
      <c r="N10375" s="45"/>
    </row>
    <row r="10376">
      <c r="A10376" s="40" t="str">
        <f t="shared" si="1"/>
        <v/>
      </c>
      <c r="B10376" s="37" t="str">
        <f t="array" ref="B10376">iferror(xlookup($I10376, 'IMPORT VHC Report'!$E:$E, 'IMPORT VHC Report'!$A:$C), )</f>
        <v/>
      </c>
      <c r="C10376" s="44"/>
      <c r="D10376" s="44"/>
      <c r="L10376" s="45"/>
      <c r="N10376" s="45"/>
    </row>
    <row r="10377">
      <c r="A10377" s="40" t="str">
        <f t="shared" si="1"/>
        <v/>
      </c>
      <c r="B10377" s="37" t="str">
        <f t="array" ref="B10377">iferror(xlookup($I10377, 'IMPORT VHC Report'!$E:$E, 'IMPORT VHC Report'!$A:$C), )</f>
        <v/>
      </c>
      <c r="C10377" s="44"/>
      <c r="D10377" s="44"/>
      <c r="L10377" s="45"/>
      <c r="N10377" s="45"/>
    </row>
    <row r="10378">
      <c r="A10378" s="40" t="str">
        <f t="shared" si="1"/>
        <v/>
      </c>
      <c r="B10378" s="37" t="str">
        <f t="array" ref="B10378">iferror(xlookup($I10378, 'IMPORT VHC Report'!$E:$E, 'IMPORT VHC Report'!$A:$C), )</f>
        <v/>
      </c>
      <c r="C10378" s="44"/>
      <c r="D10378" s="44"/>
      <c r="L10378" s="45"/>
      <c r="N10378" s="45"/>
    </row>
    <row r="10379">
      <c r="A10379" s="40" t="str">
        <f t="shared" si="1"/>
        <v/>
      </c>
      <c r="B10379" s="37" t="str">
        <f t="array" ref="B10379">iferror(xlookup($I10379, 'IMPORT VHC Report'!$E:$E, 'IMPORT VHC Report'!$A:$C), )</f>
        <v/>
      </c>
      <c r="C10379" s="44"/>
      <c r="D10379" s="44"/>
      <c r="L10379" s="45"/>
      <c r="N10379" s="45"/>
    </row>
    <row r="10380">
      <c r="A10380" s="40" t="str">
        <f t="shared" si="1"/>
        <v/>
      </c>
      <c r="B10380" s="37" t="str">
        <f t="array" ref="B10380">iferror(xlookup($I10380, 'IMPORT VHC Report'!$E:$E, 'IMPORT VHC Report'!$A:$C), )</f>
        <v/>
      </c>
      <c r="C10380" s="44"/>
      <c r="D10380" s="44"/>
      <c r="L10380" s="45"/>
      <c r="N10380" s="45"/>
    </row>
    <row r="10381">
      <c r="A10381" s="40" t="str">
        <f t="shared" si="1"/>
        <v/>
      </c>
      <c r="B10381" s="37" t="str">
        <f t="array" ref="B10381">iferror(xlookup($I10381, 'IMPORT VHC Report'!$E:$E, 'IMPORT VHC Report'!$A:$C), )</f>
        <v/>
      </c>
      <c r="C10381" s="44"/>
      <c r="D10381" s="44"/>
      <c r="L10381" s="45"/>
      <c r="N10381" s="45"/>
    </row>
    <row r="10382">
      <c r="A10382" s="40" t="str">
        <f t="shared" si="1"/>
        <v/>
      </c>
      <c r="B10382" s="37" t="str">
        <f t="array" ref="B10382">iferror(xlookup($I10382, 'IMPORT VHC Report'!$E:$E, 'IMPORT VHC Report'!$A:$C), )</f>
        <v/>
      </c>
      <c r="C10382" s="44"/>
      <c r="D10382" s="44"/>
      <c r="L10382" s="45"/>
      <c r="N10382" s="45"/>
    </row>
    <row r="10383">
      <c r="A10383" s="40" t="str">
        <f t="shared" si="1"/>
        <v/>
      </c>
      <c r="B10383" s="37" t="str">
        <f t="array" ref="B10383">iferror(xlookup($I10383, 'IMPORT VHC Report'!$E:$E, 'IMPORT VHC Report'!$A:$C), )</f>
        <v/>
      </c>
      <c r="C10383" s="44"/>
      <c r="D10383" s="44"/>
      <c r="L10383" s="45"/>
      <c r="N10383" s="45"/>
    </row>
    <row r="10384">
      <c r="A10384" s="40" t="str">
        <f t="shared" si="1"/>
        <v/>
      </c>
      <c r="B10384" s="37" t="str">
        <f t="array" ref="B10384">iferror(xlookup($I10384, 'IMPORT VHC Report'!$E:$E, 'IMPORT VHC Report'!$A:$C), )</f>
        <v/>
      </c>
      <c r="C10384" s="44"/>
      <c r="D10384" s="44"/>
      <c r="L10384" s="45"/>
      <c r="N10384" s="45"/>
    </row>
    <row r="10385">
      <c r="A10385" s="40" t="str">
        <f t="shared" si="1"/>
        <v/>
      </c>
      <c r="B10385" s="37" t="str">
        <f t="array" ref="B10385">iferror(xlookup($I10385, 'IMPORT VHC Report'!$E:$E, 'IMPORT VHC Report'!$A:$C), )</f>
        <v/>
      </c>
      <c r="C10385" s="44"/>
      <c r="D10385" s="44"/>
      <c r="L10385" s="45"/>
      <c r="N10385" s="45"/>
    </row>
    <row r="10386">
      <c r="A10386" s="40" t="str">
        <f t="shared" si="1"/>
        <v/>
      </c>
      <c r="B10386" s="37" t="str">
        <f t="array" ref="B10386">iferror(xlookup($I10386, 'IMPORT VHC Report'!$E:$E, 'IMPORT VHC Report'!$A:$C), )</f>
        <v/>
      </c>
      <c r="C10386" s="44"/>
      <c r="D10386" s="44"/>
      <c r="L10386" s="45"/>
      <c r="N10386" s="45"/>
    </row>
    <row r="10387">
      <c r="A10387" s="40" t="str">
        <f t="shared" si="1"/>
        <v/>
      </c>
      <c r="B10387" s="37" t="str">
        <f t="array" ref="B10387">iferror(xlookup($I10387, 'IMPORT VHC Report'!$E:$E, 'IMPORT VHC Report'!$A:$C), )</f>
        <v/>
      </c>
      <c r="C10387" s="44"/>
      <c r="D10387" s="44"/>
      <c r="L10387" s="45"/>
      <c r="N10387" s="45"/>
    </row>
    <row r="10388">
      <c r="A10388" s="40" t="str">
        <f t="shared" si="1"/>
        <v/>
      </c>
      <c r="B10388" s="37" t="str">
        <f t="array" ref="B10388">iferror(xlookup($I10388, 'IMPORT VHC Report'!$E:$E, 'IMPORT VHC Report'!$A:$C), )</f>
        <v/>
      </c>
      <c r="C10388" s="44"/>
      <c r="D10388" s="44"/>
      <c r="L10388" s="45"/>
      <c r="N10388" s="45"/>
    </row>
    <row r="10389">
      <c r="A10389" s="40" t="str">
        <f t="shared" si="1"/>
        <v/>
      </c>
      <c r="B10389" s="37" t="str">
        <f t="array" ref="B10389">iferror(xlookup($I10389, 'IMPORT VHC Report'!$E:$E, 'IMPORT VHC Report'!$A:$C), )</f>
        <v/>
      </c>
      <c r="C10389" s="44"/>
      <c r="D10389" s="44"/>
      <c r="L10389" s="45"/>
      <c r="N10389" s="45"/>
    </row>
    <row r="10390">
      <c r="A10390" s="40" t="str">
        <f t="shared" si="1"/>
        <v/>
      </c>
      <c r="B10390" s="37" t="str">
        <f t="array" ref="B10390">iferror(xlookup($I10390, 'IMPORT VHC Report'!$E:$E, 'IMPORT VHC Report'!$A:$C), )</f>
        <v/>
      </c>
      <c r="C10390" s="44"/>
      <c r="D10390" s="44"/>
      <c r="L10390" s="45"/>
      <c r="N10390" s="45"/>
    </row>
    <row r="10391">
      <c r="A10391" s="40" t="str">
        <f t="shared" si="1"/>
        <v/>
      </c>
      <c r="B10391" s="37" t="str">
        <f t="array" ref="B10391">iferror(xlookup($I10391, 'IMPORT VHC Report'!$E:$E, 'IMPORT VHC Report'!$A:$C), )</f>
        <v/>
      </c>
      <c r="C10391" s="44"/>
      <c r="D10391" s="44"/>
      <c r="L10391" s="45"/>
      <c r="N10391" s="45"/>
    </row>
    <row r="10392">
      <c r="A10392" s="40" t="str">
        <f t="shared" si="1"/>
        <v/>
      </c>
      <c r="B10392" s="37" t="str">
        <f t="array" ref="B10392">iferror(xlookup($I10392, 'IMPORT VHC Report'!$E:$E, 'IMPORT VHC Report'!$A:$C), )</f>
        <v/>
      </c>
      <c r="C10392" s="44"/>
      <c r="D10392" s="44"/>
      <c r="L10392" s="45"/>
      <c r="N10392" s="45"/>
    </row>
    <row r="10393">
      <c r="A10393" s="40">
        <f t="shared" si="1"/>
        <v>46006</v>
      </c>
      <c r="B10393" s="37" t="str">
        <f t="array" ref="B10393">iferror(xlookup($I10393, 'IMPORT VHC Report'!$E:$E, 'IMPORT VHC Report'!$A:$C), )</f>
        <v/>
      </c>
      <c r="C10393" s="44"/>
      <c r="D10393" s="44"/>
      <c r="E10393" s="46" t="s">
        <v>1042</v>
      </c>
      <c r="F10393" s="46" t="s">
        <v>1005</v>
      </c>
      <c r="G10393" s="46">
        <v>5.902016026895E12</v>
      </c>
      <c r="H10393" s="46" t="s">
        <v>1006</v>
      </c>
      <c r="I10393" s="46" t="s">
        <v>1007</v>
      </c>
      <c r="J10393" s="46" t="s">
        <v>332</v>
      </c>
      <c r="K10393" s="46" t="s">
        <v>63</v>
      </c>
      <c r="L10393" s="45">
        <v>46012.979166666664</v>
      </c>
      <c r="M10393" s="46" t="s">
        <v>123</v>
      </c>
      <c r="N10393" s="45">
        <v>46013.25</v>
      </c>
      <c r="O10393" s="46" t="s">
        <v>123</v>
      </c>
      <c r="P10393" s="46">
        <v>23400.0</v>
      </c>
    </row>
    <row r="10394">
      <c r="A10394" s="40" t="str">
        <f t="shared" si="1"/>
        <v/>
      </c>
      <c r="B10394" s="37" t="str">
        <f t="array" ref="B10394">iferror(xlookup($I10394, 'IMPORT VHC Report'!$E:$E, 'IMPORT VHC Report'!$A:$C), )</f>
        <v/>
      </c>
      <c r="C10394" s="44"/>
      <c r="D10394" s="44"/>
      <c r="L10394" s="45"/>
      <c r="N10394" s="45"/>
    </row>
    <row r="10395">
      <c r="A10395" s="40" t="str">
        <f t="shared" si="1"/>
        <v/>
      </c>
      <c r="B10395" s="37" t="str">
        <f t="array" ref="B10395">iferror(xlookup($I10395, 'IMPORT VHC Report'!$E:$E, 'IMPORT VHC Report'!$A:$C), )</f>
        <v/>
      </c>
      <c r="C10395" s="44"/>
      <c r="D10395" s="44"/>
      <c r="L10395" s="45"/>
      <c r="N10395" s="45"/>
    </row>
    <row r="10396">
      <c r="A10396" s="40" t="str">
        <f t="shared" si="1"/>
        <v/>
      </c>
      <c r="B10396" s="37" t="str">
        <f t="array" ref="B10396">iferror(xlookup($I10396, 'IMPORT VHC Report'!$E:$E, 'IMPORT VHC Report'!$A:$C), )</f>
        <v/>
      </c>
      <c r="C10396" s="44"/>
      <c r="D10396" s="44"/>
      <c r="L10396" s="45"/>
      <c r="N10396" s="45"/>
    </row>
    <row r="10397">
      <c r="A10397" s="40" t="str">
        <f t="shared" si="1"/>
        <v/>
      </c>
      <c r="B10397" s="37" t="str">
        <f t="array" ref="B10397">iferror(xlookup($I10397, 'IMPORT VHC Report'!$E:$E, 'IMPORT VHC Report'!$A:$C), )</f>
        <v/>
      </c>
      <c r="C10397" s="44"/>
      <c r="D10397" s="44"/>
      <c r="L10397" s="45"/>
      <c r="N10397" s="45"/>
    </row>
    <row r="10398">
      <c r="A10398" s="40" t="str">
        <f t="shared" si="1"/>
        <v/>
      </c>
      <c r="B10398" s="37" t="str">
        <f t="array" ref="B10398">iferror(xlookup($I10398, 'IMPORT VHC Report'!$E:$E, 'IMPORT VHC Report'!$A:$C), )</f>
        <v/>
      </c>
      <c r="C10398" s="44"/>
      <c r="D10398" s="44"/>
      <c r="L10398" s="45"/>
      <c r="N10398" s="45"/>
    </row>
    <row r="10399">
      <c r="A10399" s="40" t="str">
        <f t="shared" si="1"/>
        <v/>
      </c>
      <c r="B10399" s="37" t="str">
        <f t="array" ref="B10399">iferror(xlookup($I10399, 'IMPORT VHC Report'!$E:$E, 'IMPORT VHC Report'!$A:$C), )</f>
        <v/>
      </c>
      <c r="C10399" s="44"/>
      <c r="D10399" s="44"/>
      <c r="L10399" s="45"/>
      <c r="N10399" s="45"/>
    </row>
    <row r="10400">
      <c r="A10400" s="40" t="str">
        <f t="shared" si="1"/>
        <v/>
      </c>
      <c r="B10400" s="37" t="str">
        <f t="array" ref="B10400">iferror(xlookup($I10400, 'IMPORT VHC Report'!$E:$E, 'IMPORT VHC Report'!$A:$C), )</f>
        <v/>
      </c>
      <c r="C10400" s="44"/>
      <c r="D10400" s="44"/>
      <c r="L10400" s="45"/>
      <c r="N10400" s="45"/>
    </row>
    <row r="10401">
      <c r="A10401" s="40" t="str">
        <f t="shared" si="1"/>
        <v/>
      </c>
      <c r="B10401" s="37" t="str">
        <f t="array" ref="B10401">iferror(xlookup($I10401, 'IMPORT VHC Report'!$E:$E, 'IMPORT VHC Report'!$A:$C), )</f>
        <v/>
      </c>
      <c r="C10401" s="44"/>
      <c r="D10401" s="44"/>
      <c r="L10401" s="45"/>
      <c r="N10401" s="45"/>
    </row>
    <row r="10402">
      <c r="A10402" s="40" t="str">
        <f t="shared" si="1"/>
        <v/>
      </c>
      <c r="B10402" s="37" t="str">
        <f t="array" ref="B10402">iferror(xlookup($I10402, 'IMPORT VHC Report'!$E:$E, 'IMPORT VHC Report'!$A:$C), )</f>
        <v/>
      </c>
      <c r="C10402" s="44"/>
      <c r="D10402" s="44"/>
      <c r="L10402" s="45"/>
      <c r="N10402" s="45"/>
    </row>
    <row r="10403">
      <c r="A10403" s="40" t="str">
        <f t="shared" si="1"/>
        <v/>
      </c>
      <c r="B10403" s="37" t="str">
        <f t="array" ref="B10403">iferror(xlookup($I10403, 'IMPORT VHC Report'!$E:$E, 'IMPORT VHC Report'!$A:$C), )</f>
        <v/>
      </c>
      <c r="C10403" s="44"/>
      <c r="D10403" s="44"/>
      <c r="L10403" s="45"/>
      <c r="N10403" s="45"/>
    </row>
    <row r="10404">
      <c r="A10404" s="40" t="str">
        <f t="shared" si="1"/>
        <v/>
      </c>
      <c r="B10404" s="37" t="str">
        <f t="array" ref="B10404">iferror(xlookup($I10404, 'IMPORT VHC Report'!$E:$E, 'IMPORT VHC Report'!$A:$C), )</f>
        <v/>
      </c>
      <c r="C10404" s="44"/>
      <c r="D10404" s="44"/>
      <c r="L10404" s="45"/>
      <c r="N10404" s="45"/>
    </row>
    <row r="10405">
      <c r="A10405" s="40" t="str">
        <f t="shared" si="1"/>
        <v/>
      </c>
      <c r="B10405" s="37" t="str">
        <f t="array" ref="B10405">iferror(xlookup($I10405, 'IMPORT VHC Report'!$E:$E, 'IMPORT VHC Report'!$A:$C), )</f>
        <v/>
      </c>
      <c r="C10405" s="44"/>
      <c r="D10405" s="44"/>
      <c r="L10405" s="45"/>
      <c r="N10405" s="45"/>
    </row>
    <row r="10406">
      <c r="A10406" s="40" t="str">
        <f t="shared" si="1"/>
        <v/>
      </c>
      <c r="B10406" s="37" t="str">
        <f t="array" ref="B10406">iferror(xlookup($I10406, 'IMPORT VHC Report'!$E:$E, 'IMPORT VHC Report'!$A:$C), )</f>
        <v/>
      </c>
      <c r="C10406" s="44"/>
      <c r="D10406" s="44"/>
      <c r="L10406" s="45"/>
      <c r="N10406" s="45"/>
    </row>
    <row r="10407">
      <c r="A10407" s="40" t="str">
        <f t="shared" si="1"/>
        <v/>
      </c>
      <c r="B10407" s="37" t="str">
        <f t="array" ref="B10407">iferror(xlookup($I10407, 'IMPORT VHC Report'!$E:$E, 'IMPORT VHC Report'!$A:$C), )</f>
        <v/>
      </c>
      <c r="C10407" s="44"/>
      <c r="D10407" s="44"/>
      <c r="L10407" s="45"/>
      <c r="N10407" s="45"/>
    </row>
    <row r="10408">
      <c r="A10408" s="40" t="str">
        <f t="shared" si="1"/>
        <v/>
      </c>
      <c r="B10408" s="37" t="str">
        <f t="array" ref="B10408">iferror(xlookup($I10408, 'IMPORT VHC Report'!$E:$E, 'IMPORT VHC Report'!$A:$C), )</f>
        <v/>
      </c>
      <c r="C10408" s="44"/>
      <c r="D10408" s="44"/>
      <c r="L10408" s="45"/>
      <c r="N10408" s="45"/>
    </row>
    <row r="10409">
      <c r="A10409" s="40" t="str">
        <f t="shared" si="1"/>
        <v/>
      </c>
      <c r="B10409" s="37" t="str">
        <f t="array" ref="B10409">iferror(xlookup($I10409, 'IMPORT VHC Report'!$E:$E, 'IMPORT VHC Report'!$A:$C), )</f>
        <v/>
      </c>
      <c r="C10409" s="44"/>
      <c r="D10409" s="44"/>
      <c r="L10409" s="45"/>
      <c r="N10409" s="45"/>
    </row>
    <row r="10410">
      <c r="A10410" s="40" t="str">
        <f t="shared" si="1"/>
        <v/>
      </c>
      <c r="B10410" s="37" t="str">
        <f t="array" ref="B10410">iferror(xlookup($I10410, 'IMPORT VHC Report'!$E:$E, 'IMPORT VHC Report'!$A:$C), )</f>
        <v/>
      </c>
      <c r="C10410" s="44"/>
      <c r="D10410" s="44"/>
      <c r="L10410" s="45"/>
      <c r="N10410" s="45"/>
    </row>
    <row r="10411">
      <c r="A10411" s="40" t="str">
        <f t="shared" si="1"/>
        <v/>
      </c>
      <c r="B10411" s="37" t="str">
        <f t="array" ref="B10411">iferror(xlookup($I10411, 'IMPORT VHC Report'!$E:$E, 'IMPORT VHC Report'!$A:$C), )</f>
        <v/>
      </c>
      <c r="C10411" s="44"/>
      <c r="D10411" s="44"/>
      <c r="L10411" s="45"/>
      <c r="N10411" s="45"/>
    </row>
    <row r="10412">
      <c r="A10412" s="40" t="str">
        <f t="shared" si="1"/>
        <v/>
      </c>
      <c r="B10412" s="37" t="str">
        <f t="array" ref="B10412">iferror(xlookup($I10412, 'IMPORT VHC Report'!$E:$E, 'IMPORT VHC Report'!$A:$C), )</f>
        <v/>
      </c>
      <c r="C10412" s="44"/>
      <c r="D10412" s="44"/>
      <c r="L10412" s="45"/>
      <c r="N10412" s="45"/>
    </row>
    <row r="10413">
      <c r="A10413" s="40" t="str">
        <f t="shared" si="1"/>
        <v/>
      </c>
      <c r="B10413" s="37" t="str">
        <f t="array" ref="B10413">iferror(xlookup($I10413, 'IMPORT VHC Report'!$E:$E, 'IMPORT VHC Report'!$A:$C), )</f>
        <v/>
      </c>
      <c r="C10413" s="44"/>
      <c r="D10413" s="44"/>
      <c r="L10413" s="45"/>
      <c r="N10413" s="45"/>
    </row>
    <row r="10414">
      <c r="A10414" s="40" t="str">
        <f t="shared" si="1"/>
        <v/>
      </c>
      <c r="B10414" s="37" t="str">
        <f t="array" ref="B10414">iferror(xlookup($I10414, 'IMPORT VHC Report'!$E:$E, 'IMPORT VHC Report'!$A:$C), )</f>
        <v/>
      </c>
      <c r="C10414" s="44"/>
      <c r="D10414" s="44"/>
      <c r="L10414" s="45"/>
      <c r="N10414" s="45"/>
    </row>
    <row r="10415">
      <c r="A10415" s="40" t="str">
        <f t="shared" si="1"/>
        <v/>
      </c>
      <c r="B10415" s="37" t="str">
        <f t="array" ref="B10415">iferror(xlookup($I10415, 'IMPORT VHC Report'!$E:$E, 'IMPORT VHC Report'!$A:$C), )</f>
        <v/>
      </c>
      <c r="C10415" s="44"/>
      <c r="D10415" s="44"/>
      <c r="L10415" s="45"/>
      <c r="N10415" s="45"/>
    </row>
    <row r="10416">
      <c r="A10416" s="40" t="str">
        <f t="shared" si="1"/>
        <v/>
      </c>
      <c r="B10416" s="37" t="str">
        <f t="array" ref="B10416">iferror(xlookup($I10416, 'IMPORT VHC Report'!$E:$E, 'IMPORT VHC Report'!$A:$C), )</f>
        <v/>
      </c>
      <c r="C10416" s="44"/>
      <c r="D10416" s="44"/>
      <c r="L10416" s="45"/>
      <c r="N10416" s="45"/>
    </row>
    <row r="10417">
      <c r="A10417" s="40">
        <f t="shared" si="1"/>
        <v>46006</v>
      </c>
      <c r="B10417" s="37" t="str">
        <f t="array" ref="B10417">iferror(xlookup($I10417, 'IMPORT VHC Report'!$E:$E, 'IMPORT VHC Report'!$A:$C), )</f>
        <v/>
      </c>
      <c r="C10417" s="44"/>
      <c r="D10417" s="44"/>
      <c r="E10417" s="46" t="s">
        <v>446</v>
      </c>
      <c r="F10417" s="46" t="s">
        <v>418</v>
      </c>
      <c r="G10417" s="46">
        <v>5.202378807439E12</v>
      </c>
      <c r="H10417" s="46" t="s">
        <v>419</v>
      </c>
      <c r="I10417" s="46" t="s">
        <v>420</v>
      </c>
      <c r="J10417" s="46" t="s">
        <v>332</v>
      </c>
      <c r="K10417" s="46" t="s">
        <v>63</v>
      </c>
      <c r="L10417" s="45">
        <v>46012.989583333336</v>
      </c>
      <c r="M10417" s="46" t="s">
        <v>123</v>
      </c>
      <c r="N10417" s="45">
        <v>46013.25</v>
      </c>
      <c r="O10417" s="46" t="s">
        <v>123</v>
      </c>
      <c r="P10417" s="46">
        <v>22500.0</v>
      </c>
    </row>
    <row r="10418">
      <c r="A10418" s="40" t="str">
        <f t="shared" si="1"/>
        <v/>
      </c>
      <c r="B10418" s="37" t="str">
        <f t="array" ref="B10418">iferror(xlookup($I10418, 'IMPORT VHC Report'!$E:$E, 'IMPORT VHC Report'!$A:$C), )</f>
        <v/>
      </c>
      <c r="C10418" s="44"/>
      <c r="D10418" s="44"/>
      <c r="L10418" s="45"/>
      <c r="N10418" s="45"/>
    </row>
    <row r="10419">
      <c r="A10419" s="40" t="str">
        <f t="shared" si="1"/>
        <v/>
      </c>
      <c r="B10419" s="37" t="str">
        <f t="array" ref="B10419">iferror(xlookup($I10419, 'IMPORT VHC Report'!$E:$E, 'IMPORT VHC Report'!$A:$C), )</f>
        <v/>
      </c>
      <c r="C10419" s="44"/>
      <c r="D10419" s="44"/>
      <c r="L10419" s="45"/>
      <c r="N10419" s="45"/>
    </row>
    <row r="10420">
      <c r="A10420" s="40" t="str">
        <f t="shared" si="1"/>
        <v/>
      </c>
      <c r="B10420" s="37" t="str">
        <f t="array" ref="B10420">iferror(xlookup($I10420, 'IMPORT VHC Report'!$E:$E, 'IMPORT VHC Report'!$A:$C), )</f>
        <v/>
      </c>
      <c r="C10420" s="44"/>
      <c r="D10420" s="44"/>
      <c r="L10420" s="45"/>
      <c r="N10420" s="45"/>
    </row>
    <row r="10421">
      <c r="A10421" s="40" t="str">
        <f t="shared" si="1"/>
        <v/>
      </c>
      <c r="B10421" s="37" t="str">
        <f t="array" ref="B10421">iferror(xlookup($I10421, 'IMPORT VHC Report'!$E:$E, 'IMPORT VHC Report'!$A:$C), )</f>
        <v/>
      </c>
      <c r="C10421" s="44"/>
      <c r="D10421" s="44"/>
      <c r="L10421" s="45"/>
      <c r="N10421" s="45"/>
    </row>
    <row r="10422">
      <c r="A10422" s="40" t="str">
        <f t="shared" si="1"/>
        <v/>
      </c>
      <c r="B10422" s="37" t="str">
        <f t="array" ref="B10422">iferror(xlookup($I10422, 'IMPORT VHC Report'!$E:$E, 'IMPORT VHC Report'!$A:$C), )</f>
        <v/>
      </c>
      <c r="C10422" s="44"/>
      <c r="D10422" s="44"/>
      <c r="L10422" s="45"/>
      <c r="N10422" s="45"/>
    </row>
    <row r="10423">
      <c r="A10423" s="40" t="str">
        <f t="shared" si="1"/>
        <v/>
      </c>
      <c r="B10423" s="37" t="str">
        <f t="array" ref="B10423">iferror(xlookup($I10423, 'IMPORT VHC Report'!$E:$E, 'IMPORT VHC Report'!$A:$C), )</f>
        <v/>
      </c>
      <c r="C10423" s="44"/>
      <c r="D10423" s="44"/>
      <c r="L10423" s="45"/>
      <c r="N10423" s="45"/>
    </row>
    <row r="10424">
      <c r="A10424" s="40" t="str">
        <f t="shared" si="1"/>
        <v/>
      </c>
      <c r="B10424" s="37" t="str">
        <f t="array" ref="B10424">iferror(xlookup($I10424, 'IMPORT VHC Report'!$E:$E, 'IMPORT VHC Report'!$A:$C), )</f>
        <v/>
      </c>
      <c r="C10424" s="44"/>
      <c r="D10424" s="44"/>
      <c r="L10424" s="45"/>
      <c r="N10424" s="45"/>
    </row>
    <row r="10425">
      <c r="A10425" s="40" t="str">
        <f t="shared" si="1"/>
        <v/>
      </c>
      <c r="B10425" s="37" t="str">
        <f t="array" ref="B10425">iferror(xlookup($I10425, 'IMPORT VHC Report'!$E:$E, 'IMPORT VHC Report'!$A:$C), )</f>
        <v/>
      </c>
      <c r="C10425" s="44"/>
      <c r="D10425" s="44"/>
      <c r="L10425" s="45"/>
      <c r="N10425" s="45"/>
    </row>
    <row r="10426">
      <c r="A10426" s="40" t="str">
        <f t="shared" si="1"/>
        <v/>
      </c>
      <c r="B10426" s="37" t="str">
        <f t="array" ref="B10426">iferror(xlookup($I10426, 'IMPORT VHC Report'!$E:$E, 'IMPORT VHC Report'!$A:$C), )</f>
        <v/>
      </c>
      <c r="C10426" s="44"/>
      <c r="D10426" s="44"/>
      <c r="L10426" s="45"/>
      <c r="N10426" s="45"/>
    </row>
    <row r="10427">
      <c r="A10427" s="40" t="str">
        <f t="shared" si="1"/>
        <v/>
      </c>
      <c r="B10427" s="37" t="str">
        <f t="array" ref="B10427">iferror(xlookup($I10427, 'IMPORT VHC Report'!$E:$E, 'IMPORT VHC Report'!$A:$C), )</f>
        <v/>
      </c>
      <c r="C10427" s="44"/>
      <c r="D10427" s="44"/>
      <c r="L10427" s="45"/>
      <c r="N10427" s="45"/>
    </row>
    <row r="10428">
      <c r="A10428" s="40" t="str">
        <f t="shared" si="1"/>
        <v/>
      </c>
      <c r="B10428" s="37" t="str">
        <f t="array" ref="B10428">iferror(xlookup($I10428, 'IMPORT VHC Report'!$E:$E, 'IMPORT VHC Report'!$A:$C), )</f>
        <v/>
      </c>
      <c r="C10428" s="44"/>
      <c r="D10428" s="44"/>
      <c r="L10428" s="45"/>
      <c r="N10428" s="45"/>
    </row>
    <row r="10429">
      <c r="A10429" s="40" t="str">
        <f t="shared" si="1"/>
        <v/>
      </c>
      <c r="B10429" s="37" t="str">
        <f t="array" ref="B10429">iferror(xlookup($I10429, 'IMPORT VHC Report'!$E:$E, 'IMPORT VHC Report'!$A:$C), )</f>
        <v/>
      </c>
      <c r="C10429" s="44"/>
      <c r="D10429" s="44"/>
      <c r="L10429" s="45"/>
      <c r="N10429" s="45"/>
    </row>
    <row r="10430">
      <c r="A10430" s="40" t="str">
        <f t="shared" si="1"/>
        <v/>
      </c>
      <c r="B10430" s="37" t="str">
        <f t="array" ref="B10430">iferror(xlookup($I10430, 'IMPORT VHC Report'!$E:$E, 'IMPORT VHC Report'!$A:$C), )</f>
        <v/>
      </c>
      <c r="C10430" s="44"/>
      <c r="D10430" s="44"/>
      <c r="L10430" s="45"/>
      <c r="N10430" s="45"/>
    </row>
    <row r="10431">
      <c r="A10431" s="40" t="str">
        <f t="shared" si="1"/>
        <v/>
      </c>
      <c r="B10431" s="37" t="str">
        <f t="array" ref="B10431">iferror(xlookup($I10431, 'IMPORT VHC Report'!$E:$E, 'IMPORT VHC Report'!$A:$C), )</f>
        <v/>
      </c>
      <c r="C10431" s="44"/>
      <c r="D10431" s="44"/>
      <c r="L10431" s="45"/>
      <c r="N10431" s="45"/>
    </row>
    <row r="10432">
      <c r="A10432" s="40" t="str">
        <f t="shared" si="1"/>
        <v/>
      </c>
      <c r="B10432" s="37" t="str">
        <f t="array" ref="B10432">iferror(xlookup($I10432, 'IMPORT VHC Report'!$E:$E, 'IMPORT VHC Report'!$A:$C), )</f>
        <v/>
      </c>
      <c r="C10432" s="44"/>
      <c r="D10432" s="44"/>
      <c r="L10432" s="45"/>
      <c r="N10432" s="45"/>
    </row>
    <row r="10433">
      <c r="A10433" s="40" t="str">
        <f t="shared" si="1"/>
        <v/>
      </c>
      <c r="B10433" s="37" t="str">
        <f t="array" ref="B10433">iferror(xlookup($I10433, 'IMPORT VHC Report'!$E:$E, 'IMPORT VHC Report'!$A:$C), )</f>
        <v/>
      </c>
      <c r="C10433" s="44"/>
      <c r="D10433" s="44"/>
      <c r="L10433" s="45"/>
      <c r="N10433" s="45"/>
    </row>
    <row r="10434">
      <c r="A10434" s="40" t="str">
        <f t="shared" si="1"/>
        <v/>
      </c>
      <c r="B10434" s="37" t="str">
        <f t="array" ref="B10434">iferror(xlookup($I10434, 'IMPORT VHC Report'!$E:$E, 'IMPORT VHC Report'!$A:$C), )</f>
        <v/>
      </c>
      <c r="C10434" s="44"/>
      <c r="D10434" s="44"/>
      <c r="L10434" s="45"/>
      <c r="N10434" s="45"/>
    </row>
    <row r="10435">
      <c r="A10435" s="40" t="str">
        <f t="shared" si="1"/>
        <v/>
      </c>
      <c r="B10435" s="37" t="str">
        <f t="array" ref="B10435">iferror(xlookup($I10435, 'IMPORT VHC Report'!$E:$E, 'IMPORT VHC Report'!$A:$C), )</f>
        <v/>
      </c>
      <c r="C10435" s="44"/>
      <c r="D10435" s="44"/>
      <c r="L10435" s="45"/>
      <c r="N10435" s="45"/>
    </row>
    <row r="10436">
      <c r="A10436" s="40" t="str">
        <f t="shared" si="1"/>
        <v/>
      </c>
      <c r="B10436" s="37" t="str">
        <f t="array" ref="B10436">iferror(xlookup($I10436, 'IMPORT VHC Report'!$E:$E, 'IMPORT VHC Report'!$A:$C), )</f>
        <v/>
      </c>
      <c r="C10436" s="44"/>
      <c r="D10436" s="44"/>
      <c r="L10436" s="45"/>
      <c r="N10436" s="45"/>
    </row>
    <row r="10437">
      <c r="A10437" s="40" t="str">
        <f t="shared" si="1"/>
        <v/>
      </c>
      <c r="B10437" s="37" t="str">
        <f t="array" ref="B10437">iferror(xlookup($I10437, 'IMPORT VHC Report'!$E:$E, 'IMPORT VHC Report'!$A:$C), )</f>
        <v/>
      </c>
      <c r="C10437" s="44"/>
      <c r="D10437" s="44"/>
      <c r="L10437" s="45"/>
      <c r="N10437" s="45"/>
    </row>
    <row r="10438">
      <c r="A10438" s="40" t="str">
        <f t="shared" si="1"/>
        <v/>
      </c>
      <c r="B10438" s="37" t="str">
        <f t="array" ref="B10438">iferror(xlookup($I10438, 'IMPORT VHC Report'!$E:$E, 'IMPORT VHC Report'!$A:$C), )</f>
        <v/>
      </c>
      <c r="C10438" s="44"/>
      <c r="D10438" s="44"/>
      <c r="L10438" s="45"/>
      <c r="N10438" s="45"/>
    </row>
    <row r="10439">
      <c r="A10439" s="40" t="str">
        <f t="shared" si="1"/>
        <v/>
      </c>
      <c r="B10439" s="37" t="str">
        <f t="array" ref="B10439">iferror(xlookup($I10439, 'IMPORT VHC Report'!$E:$E, 'IMPORT VHC Report'!$A:$C), )</f>
        <v/>
      </c>
      <c r="C10439" s="44"/>
      <c r="D10439" s="44"/>
      <c r="L10439" s="45"/>
      <c r="N10439" s="45"/>
    </row>
    <row r="10440">
      <c r="A10440" s="40" t="str">
        <f t="shared" si="1"/>
        <v/>
      </c>
      <c r="B10440" s="37" t="str">
        <f t="array" ref="B10440">iferror(xlookup($I10440, 'IMPORT VHC Report'!$E:$E, 'IMPORT VHC Report'!$A:$C), )</f>
        <v/>
      </c>
      <c r="C10440" s="44"/>
      <c r="D10440" s="44"/>
      <c r="L10440" s="45"/>
      <c r="N10440" s="45"/>
    </row>
    <row r="10441">
      <c r="A10441" s="40" t="str">
        <f t="shared" si="1"/>
        <v/>
      </c>
      <c r="B10441" s="37" t="str">
        <f t="array" ref="B10441">iferror(xlookup($I10441, 'IMPORT VHC Report'!$E:$E, 'IMPORT VHC Report'!$A:$C), )</f>
        <v/>
      </c>
      <c r="C10441" s="44"/>
      <c r="D10441" s="44"/>
      <c r="L10441" s="45"/>
      <c r="N10441" s="45"/>
    </row>
    <row r="10442">
      <c r="A10442" s="40" t="str">
        <f t="shared" si="1"/>
        <v/>
      </c>
      <c r="B10442" s="37" t="str">
        <f t="array" ref="B10442">iferror(xlookup($I10442, 'IMPORT VHC Report'!$E:$E, 'IMPORT VHC Report'!$A:$C), )</f>
        <v/>
      </c>
      <c r="C10442" s="44"/>
      <c r="D10442" s="44"/>
      <c r="L10442" s="45"/>
      <c r="N10442" s="45"/>
    </row>
    <row r="10443">
      <c r="A10443" s="40" t="str">
        <f t="shared" si="1"/>
        <v/>
      </c>
      <c r="B10443" s="37" t="str">
        <f t="array" ref="B10443">iferror(xlookup($I10443, 'IMPORT VHC Report'!$E:$E, 'IMPORT VHC Report'!$A:$C), )</f>
        <v/>
      </c>
      <c r="C10443" s="44"/>
      <c r="D10443" s="44"/>
      <c r="L10443" s="45"/>
      <c r="N10443" s="45"/>
    </row>
    <row r="10444">
      <c r="A10444" s="40" t="str">
        <f t="shared" si="1"/>
        <v/>
      </c>
      <c r="B10444" s="37" t="str">
        <f t="array" ref="B10444">iferror(xlookup($I10444, 'IMPORT VHC Report'!$E:$E, 'IMPORT VHC Report'!$A:$C), )</f>
        <v/>
      </c>
      <c r="C10444" s="44"/>
      <c r="D10444" s="44"/>
      <c r="L10444" s="45"/>
      <c r="N10444" s="45"/>
    </row>
    <row r="10445">
      <c r="A10445" s="40" t="str">
        <f t="shared" si="1"/>
        <v/>
      </c>
      <c r="B10445" s="37" t="str">
        <f t="array" ref="B10445">iferror(xlookup($I10445, 'IMPORT VHC Report'!$E:$E, 'IMPORT VHC Report'!$A:$C), )</f>
        <v/>
      </c>
      <c r="C10445" s="44"/>
      <c r="D10445" s="44"/>
      <c r="L10445" s="45"/>
      <c r="N10445" s="45"/>
    </row>
    <row r="10446">
      <c r="A10446" s="40" t="str">
        <f t="shared" si="1"/>
        <v/>
      </c>
      <c r="B10446" s="37" t="str">
        <f t="array" ref="B10446">iferror(xlookup($I10446, 'IMPORT VHC Report'!$E:$E, 'IMPORT VHC Report'!$A:$C), )</f>
        <v/>
      </c>
      <c r="C10446" s="44"/>
      <c r="D10446" s="44"/>
      <c r="L10446" s="45"/>
      <c r="N10446" s="45"/>
    </row>
    <row r="10447">
      <c r="A10447" s="40" t="str">
        <f t="shared" si="1"/>
        <v/>
      </c>
      <c r="B10447" s="37" t="str">
        <f t="array" ref="B10447">iferror(xlookup($I10447, 'IMPORT VHC Report'!$E:$E, 'IMPORT VHC Report'!$A:$C), )</f>
        <v/>
      </c>
      <c r="C10447" s="44"/>
      <c r="D10447" s="44"/>
      <c r="L10447" s="45"/>
      <c r="N10447" s="45"/>
    </row>
    <row r="10448">
      <c r="A10448" s="40" t="str">
        <f t="shared" si="1"/>
        <v/>
      </c>
      <c r="B10448" s="37" t="str">
        <f t="array" ref="B10448">iferror(xlookup($I10448, 'IMPORT VHC Report'!$E:$E, 'IMPORT VHC Report'!$A:$C), )</f>
        <v/>
      </c>
      <c r="C10448" s="44"/>
      <c r="D10448" s="44"/>
      <c r="L10448" s="45"/>
      <c r="N10448" s="45"/>
    </row>
    <row r="10449">
      <c r="A10449" s="40" t="str">
        <f t="shared" si="1"/>
        <v/>
      </c>
      <c r="B10449" s="37" t="str">
        <f t="array" ref="B10449">iferror(xlookup($I10449, 'IMPORT VHC Report'!$E:$E, 'IMPORT VHC Report'!$A:$C), )</f>
        <v/>
      </c>
      <c r="C10449" s="44"/>
      <c r="D10449" s="44"/>
      <c r="L10449" s="45"/>
      <c r="N10449" s="45"/>
    </row>
    <row r="10450">
      <c r="A10450" s="40" t="str">
        <f t="shared" si="1"/>
        <v/>
      </c>
      <c r="B10450" s="37" t="str">
        <f t="array" ref="B10450">iferror(xlookup($I10450, 'IMPORT VHC Report'!$E:$E, 'IMPORT VHC Report'!$A:$C), )</f>
        <v/>
      </c>
      <c r="C10450" s="44"/>
      <c r="D10450" s="44"/>
      <c r="L10450" s="45"/>
      <c r="N10450" s="45"/>
    </row>
    <row r="10451">
      <c r="A10451" s="40" t="str">
        <f t="shared" si="1"/>
        <v/>
      </c>
      <c r="B10451" s="37" t="str">
        <f t="array" ref="B10451">iferror(xlookup($I10451, 'IMPORT VHC Report'!$E:$E, 'IMPORT VHC Report'!$A:$C), )</f>
        <v/>
      </c>
      <c r="C10451" s="44"/>
      <c r="D10451" s="44"/>
      <c r="L10451" s="45"/>
      <c r="N10451" s="45"/>
    </row>
    <row r="10452">
      <c r="A10452" s="40" t="str">
        <f t="shared" si="1"/>
        <v/>
      </c>
      <c r="B10452" s="37" t="str">
        <f t="array" ref="B10452">iferror(xlookup($I10452, 'IMPORT VHC Report'!$E:$E, 'IMPORT VHC Report'!$A:$C), )</f>
        <v/>
      </c>
      <c r="C10452" s="44"/>
      <c r="D10452" s="44"/>
      <c r="L10452" s="45"/>
      <c r="N10452" s="45"/>
    </row>
    <row r="10453">
      <c r="A10453" s="40" t="str">
        <f t="shared" si="1"/>
        <v/>
      </c>
      <c r="B10453" s="37" t="str">
        <f t="array" ref="B10453">iferror(xlookup($I10453, 'IMPORT VHC Report'!$E:$E, 'IMPORT VHC Report'!$A:$C), )</f>
        <v/>
      </c>
      <c r="C10453" s="44"/>
      <c r="D10453" s="44"/>
      <c r="L10453" s="45"/>
      <c r="N10453" s="45"/>
    </row>
    <row r="10454">
      <c r="A10454" s="40" t="str">
        <f t="shared" si="1"/>
        <v/>
      </c>
      <c r="B10454" s="37" t="str">
        <f t="array" ref="B10454">iferror(xlookup($I10454, 'IMPORT VHC Report'!$E:$E, 'IMPORT VHC Report'!$A:$C), )</f>
        <v/>
      </c>
      <c r="C10454" s="44"/>
      <c r="D10454" s="44"/>
      <c r="L10454" s="45"/>
      <c r="N10454" s="45"/>
    </row>
    <row r="10455">
      <c r="A10455" s="40" t="str">
        <f t="shared" si="1"/>
        <v/>
      </c>
      <c r="B10455" s="37" t="str">
        <f t="array" ref="B10455">iferror(xlookup($I10455, 'IMPORT VHC Report'!$E:$E, 'IMPORT VHC Report'!$A:$C), )</f>
        <v/>
      </c>
      <c r="C10455" s="44"/>
      <c r="D10455" s="44"/>
      <c r="L10455" s="45"/>
      <c r="N10455" s="45"/>
    </row>
    <row r="10456">
      <c r="A10456" s="40" t="str">
        <f t="shared" si="1"/>
        <v/>
      </c>
      <c r="B10456" s="37" t="str">
        <f t="array" ref="B10456">iferror(xlookup($I10456, 'IMPORT VHC Report'!$E:$E, 'IMPORT VHC Report'!$A:$C), )</f>
        <v/>
      </c>
      <c r="C10456" s="44"/>
      <c r="D10456" s="44"/>
      <c r="L10456" s="45"/>
      <c r="N10456" s="45"/>
    </row>
    <row r="10457">
      <c r="A10457" s="40" t="str">
        <f t="shared" si="1"/>
        <v/>
      </c>
      <c r="B10457" s="37" t="str">
        <f t="array" ref="B10457">iferror(xlookup($I10457, 'IMPORT VHC Report'!$E:$E, 'IMPORT VHC Report'!$A:$C), )</f>
        <v/>
      </c>
      <c r="C10457" s="44"/>
      <c r="D10457" s="44"/>
      <c r="L10457" s="45"/>
      <c r="N10457" s="45"/>
    </row>
    <row r="10458">
      <c r="A10458" s="40" t="str">
        <f t="shared" si="1"/>
        <v/>
      </c>
      <c r="B10458" s="37" t="str">
        <f t="array" ref="B10458">iferror(xlookup($I10458, 'IMPORT VHC Report'!$E:$E, 'IMPORT VHC Report'!$A:$C), )</f>
        <v/>
      </c>
      <c r="C10458" s="44"/>
      <c r="D10458" s="44"/>
      <c r="L10458" s="45"/>
      <c r="N10458" s="45"/>
    </row>
    <row r="10459">
      <c r="A10459" s="40" t="str">
        <f t="shared" si="1"/>
        <v/>
      </c>
      <c r="B10459" s="37" t="str">
        <f t="array" ref="B10459">iferror(xlookup($I10459, 'IMPORT VHC Report'!$E:$E, 'IMPORT VHC Report'!$A:$C), )</f>
        <v/>
      </c>
      <c r="C10459" s="44"/>
      <c r="D10459" s="44"/>
      <c r="L10459" s="45"/>
      <c r="N10459" s="45"/>
    </row>
    <row r="10460">
      <c r="A10460" s="40" t="str">
        <f t="shared" si="1"/>
        <v/>
      </c>
      <c r="B10460" s="37" t="str">
        <f t="array" ref="B10460">iferror(xlookup($I10460, 'IMPORT VHC Report'!$E:$E, 'IMPORT VHC Report'!$A:$C), )</f>
        <v/>
      </c>
      <c r="C10460" s="44"/>
      <c r="D10460" s="44"/>
      <c r="L10460" s="45"/>
      <c r="N10460" s="45"/>
    </row>
    <row r="10461">
      <c r="A10461" s="40" t="str">
        <f t="shared" si="1"/>
        <v/>
      </c>
      <c r="B10461" s="37" t="str">
        <f t="array" ref="B10461">iferror(xlookup($I10461, 'IMPORT VHC Report'!$E:$E, 'IMPORT VHC Report'!$A:$C), )</f>
        <v/>
      </c>
      <c r="C10461" s="44"/>
      <c r="D10461" s="44"/>
      <c r="L10461" s="45"/>
      <c r="N10461" s="45"/>
    </row>
    <row r="10462">
      <c r="A10462" s="40" t="str">
        <f t="shared" si="1"/>
        <v/>
      </c>
      <c r="B10462" s="37" t="str">
        <f t="array" ref="B10462">iferror(xlookup($I10462, 'IMPORT VHC Report'!$E:$E, 'IMPORT VHC Report'!$A:$C), )</f>
        <v/>
      </c>
      <c r="C10462" s="44"/>
      <c r="D10462" s="44"/>
      <c r="L10462" s="45"/>
      <c r="N10462" s="45"/>
    </row>
    <row r="10463">
      <c r="A10463" s="40" t="str">
        <f t="shared" si="1"/>
        <v/>
      </c>
      <c r="B10463" s="37" t="str">
        <f t="array" ref="B10463">iferror(xlookup($I10463, 'IMPORT VHC Report'!$E:$E, 'IMPORT VHC Report'!$A:$C), )</f>
        <v/>
      </c>
      <c r="C10463" s="44"/>
      <c r="D10463" s="44"/>
      <c r="L10463" s="45"/>
      <c r="N10463" s="45"/>
    </row>
    <row r="10464">
      <c r="A10464" s="40" t="str">
        <f t="shared" si="1"/>
        <v/>
      </c>
      <c r="B10464" s="37" t="str">
        <f t="array" ref="B10464">iferror(xlookup($I10464, 'IMPORT VHC Report'!$E:$E, 'IMPORT VHC Report'!$A:$C), )</f>
        <v/>
      </c>
      <c r="C10464" s="44"/>
      <c r="D10464" s="44"/>
      <c r="L10464" s="45"/>
      <c r="N10464" s="45"/>
    </row>
    <row r="10465">
      <c r="A10465" s="40" t="str">
        <f t="shared" si="1"/>
        <v/>
      </c>
      <c r="B10465" s="37" t="str">
        <f t="array" ref="B10465">iferror(xlookup($I10465, 'IMPORT VHC Report'!$E:$E, 'IMPORT VHC Report'!$A:$C), )</f>
        <v/>
      </c>
      <c r="C10465" s="44"/>
      <c r="D10465" s="44"/>
      <c r="L10465" s="45"/>
      <c r="N10465" s="45"/>
    </row>
    <row r="10466">
      <c r="A10466" s="40" t="str">
        <f t="shared" si="1"/>
        <v/>
      </c>
      <c r="B10466" s="37" t="str">
        <f t="array" ref="B10466">iferror(xlookup($I10466, 'IMPORT VHC Report'!$E:$E, 'IMPORT VHC Report'!$A:$C), )</f>
        <v/>
      </c>
      <c r="C10466" s="44"/>
      <c r="D10466" s="44"/>
      <c r="L10466" s="45"/>
      <c r="N10466" s="45"/>
    </row>
    <row r="10467">
      <c r="A10467" s="40" t="str">
        <f t="shared" si="1"/>
        <v/>
      </c>
      <c r="B10467" s="37" t="str">
        <f t="array" ref="B10467">iferror(xlookup($I10467, 'IMPORT VHC Report'!$E:$E, 'IMPORT VHC Report'!$A:$C), )</f>
        <v/>
      </c>
      <c r="C10467" s="44"/>
      <c r="D10467" s="44"/>
      <c r="L10467" s="45"/>
      <c r="N10467" s="45"/>
    </row>
    <row r="10468">
      <c r="A10468" s="40" t="str">
        <f t="shared" si="1"/>
        <v/>
      </c>
      <c r="B10468" s="37" t="str">
        <f t="array" ref="B10468">iferror(xlookup($I10468, 'IMPORT VHC Report'!$E:$E, 'IMPORT VHC Report'!$A:$C), )</f>
        <v/>
      </c>
      <c r="C10468" s="44"/>
      <c r="D10468" s="44"/>
      <c r="L10468" s="45"/>
      <c r="N10468" s="45"/>
    </row>
    <row r="10469">
      <c r="A10469" s="40" t="str">
        <f t="shared" si="1"/>
        <v/>
      </c>
      <c r="B10469" s="37" t="str">
        <f t="array" ref="B10469">iferror(xlookup($I10469, 'IMPORT VHC Report'!$E:$E, 'IMPORT VHC Report'!$A:$C), )</f>
        <v/>
      </c>
      <c r="C10469" s="44"/>
      <c r="D10469" s="44"/>
      <c r="L10469" s="45"/>
      <c r="N10469" s="45"/>
    </row>
    <row r="10470">
      <c r="A10470" s="40" t="str">
        <f t="shared" si="1"/>
        <v/>
      </c>
      <c r="B10470" s="37" t="str">
        <f t="array" ref="B10470">iferror(xlookup($I10470, 'IMPORT VHC Report'!$E:$E, 'IMPORT VHC Report'!$A:$C), )</f>
        <v/>
      </c>
      <c r="C10470" s="44"/>
      <c r="D10470" s="44"/>
      <c r="L10470" s="45"/>
      <c r="N10470" s="45"/>
    </row>
    <row r="10471">
      <c r="A10471" s="40" t="str">
        <f t="shared" si="1"/>
        <v/>
      </c>
      <c r="B10471" s="37" t="str">
        <f t="array" ref="B10471">iferror(xlookup($I10471, 'IMPORT VHC Report'!$E:$E, 'IMPORT VHC Report'!$A:$C), )</f>
        <v/>
      </c>
      <c r="C10471" s="44"/>
      <c r="D10471" s="44"/>
      <c r="L10471" s="45"/>
      <c r="N10471" s="45"/>
    </row>
    <row r="10472">
      <c r="A10472" s="40" t="str">
        <f t="shared" si="1"/>
        <v/>
      </c>
      <c r="B10472" s="37" t="str">
        <f t="array" ref="B10472">iferror(xlookup($I10472, 'IMPORT VHC Report'!$E:$E, 'IMPORT VHC Report'!$A:$C), )</f>
        <v/>
      </c>
      <c r="C10472" s="44"/>
      <c r="D10472" s="44"/>
      <c r="L10472" s="45"/>
      <c r="N10472" s="45"/>
    </row>
    <row r="10473">
      <c r="A10473" s="40" t="str">
        <f t="shared" si="1"/>
        <v/>
      </c>
      <c r="B10473" s="37" t="str">
        <f t="array" ref="B10473">iferror(xlookup($I10473, 'IMPORT VHC Report'!$E:$E, 'IMPORT VHC Report'!$A:$C), )</f>
        <v/>
      </c>
      <c r="C10473" s="44"/>
      <c r="D10473" s="44"/>
      <c r="L10473" s="45"/>
      <c r="N10473" s="45"/>
    </row>
    <row r="10474">
      <c r="A10474" s="40" t="str">
        <f t="shared" si="1"/>
        <v/>
      </c>
      <c r="B10474" s="37" t="str">
        <f t="array" ref="B10474">iferror(xlookup($I10474, 'IMPORT VHC Report'!$E:$E, 'IMPORT VHC Report'!$A:$C), )</f>
        <v/>
      </c>
      <c r="C10474" s="44"/>
      <c r="D10474" s="44"/>
      <c r="L10474" s="45"/>
      <c r="N10474" s="45"/>
    </row>
    <row r="10475">
      <c r="A10475" s="40" t="str">
        <f t="shared" si="1"/>
        <v/>
      </c>
      <c r="B10475" s="37" t="str">
        <f t="array" ref="B10475">iferror(xlookup($I10475, 'IMPORT VHC Report'!$E:$E, 'IMPORT VHC Report'!$A:$C), )</f>
        <v/>
      </c>
      <c r="C10475" s="44"/>
      <c r="D10475" s="44"/>
      <c r="L10475" s="45"/>
      <c r="N10475" s="45"/>
    </row>
    <row r="10476">
      <c r="A10476" s="40" t="str">
        <f t="shared" si="1"/>
        <v/>
      </c>
      <c r="B10476" s="37" t="str">
        <f t="array" ref="B10476">iferror(xlookup($I10476, 'IMPORT VHC Report'!$E:$E, 'IMPORT VHC Report'!$A:$C), )</f>
        <v/>
      </c>
      <c r="C10476" s="44"/>
      <c r="D10476" s="44"/>
      <c r="L10476" s="45"/>
      <c r="N10476" s="45"/>
    </row>
    <row r="10477">
      <c r="A10477" s="40" t="str">
        <f t="shared" si="1"/>
        <v/>
      </c>
      <c r="B10477" s="37" t="str">
        <f t="array" ref="B10477">iferror(xlookup($I10477, 'IMPORT VHC Report'!$E:$E, 'IMPORT VHC Report'!$A:$C), )</f>
        <v/>
      </c>
      <c r="C10477" s="44"/>
      <c r="D10477" s="44"/>
      <c r="L10477" s="45"/>
      <c r="N10477" s="45"/>
    </row>
    <row r="10478">
      <c r="A10478" s="40" t="str">
        <f t="shared" si="1"/>
        <v/>
      </c>
      <c r="B10478" s="37" t="str">
        <f t="array" ref="B10478">iferror(xlookup($I10478, 'IMPORT VHC Report'!$E:$E, 'IMPORT VHC Report'!$A:$C), )</f>
        <v/>
      </c>
      <c r="C10478" s="44"/>
      <c r="D10478" s="44"/>
      <c r="L10478" s="45"/>
      <c r="N10478" s="45"/>
    </row>
    <row r="10479">
      <c r="A10479" s="40" t="str">
        <f t="shared" si="1"/>
        <v/>
      </c>
      <c r="B10479" s="37" t="str">
        <f t="array" ref="B10479">iferror(xlookup($I10479, 'IMPORT VHC Report'!$E:$E, 'IMPORT VHC Report'!$A:$C), )</f>
        <v/>
      </c>
      <c r="C10479" s="44"/>
      <c r="D10479" s="44"/>
      <c r="L10479" s="45"/>
      <c r="N10479" s="45"/>
    </row>
    <row r="10480">
      <c r="A10480" s="40" t="str">
        <f t="shared" si="1"/>
        <v/>
      </c>
      <c r="B10480" s="37" t="str">
        <f t="array" ref="B10480">iferror(xlookup($I10480, 'IMPORT VHC Report'!$E:$E, 'IMPORT VHC Report'!$A:$C), )</f>
        <v/>
      </c>
      <c r="C10480" s="44"/>
      <c r="D10480" s="44"/>
      <c r="L10480" s="45"/>
      <c r="N10480" s="45"/>
    </row>
    <row r="10481">
      <c r="A10481" s="40" t="str">
        <f t="shared" si="1"/>
        <v/>
      </c>
      <c r="B10481" s="37" t="str">
        <f t="array" ref="B10481">iferror(xlookup($I10481, 'IMPORT VHC Report'!$E:$E, 'IMPORT VHC Report'!$A:$C), )</f>
        <v/>
      </c>
      <c r="C10481" s="44"/>
      <c r="D10481" s="44"/>
      <c r="L10481" s="45"/>
      <c r="N10481" s="45"/>
    </row>
    <row r="10482">
      <c r="A10482" s="40" t="str">
        <f t="shared" si="1"/>
        <v/>
      </c>
      <c r="B10482" s="37" t="str">
        <f t="array" ref="B10482">iferror(xlookup($I10482, 'IMPORT VHC Report'!$E:$E, 'IMPORT VHC Report'!$A:$C), )</f>
        <v/>
      </c>
      <c r="C10482" s="44"/>
      <c r="D10482" s="44"/>
      <c r="L10482" s="45"/>
      <c r="N10482" s="45"/>
    </row>
    <row r="10483">
      <c r="A10483" s="40" t="str">
        <f t="shared" si="1"/>
        <v/>
      </c>
      <c r="B10483" s="37" t="str">
        <f t="array" ref="B10483">iferror(xlookup($I10483, 'IMPORT VHC Report'!$E:$E, 'IMPORT VHC Report'!$A:$C), )</f>
        <v/>
      </c>
      <c r="C10483" s="44"/>
      <c r="D10483" s="44"/>
      <c r="L10483" s="45"/>
      <c r="N10483" s="45"/>
    </row>
    <row r="10484">
      <c r="A10484" s="40" t="str">
        <f t="shared" si="1"/>
        <v/>
      </c>
      <c r="B10484" s="37" t="str">
        <f t="array" ref="B10484">iferror(xlookup($I10484, 'IMPORT VHC Report'!$E:$E, 'IMPORT VHC Report'!$A:$C), )</f>
        <v/>
      </c>
      <c r="C10484" s="44"/>
      <c r="D10484" s="44"/>
      <c r="L10484" s="45"/>
      <c r="N10484" s="45"/>
    </row>
    <row r="10485">
      <c r="A10485" s="40" t="str">
        <f t="shared" si="1"/>
        <v/>
      </c>
      <c r="B10485" s="37" t="str">
        <f t="array" ref="B10485">iferror(xlookup($I10485, 'IMPORT VHC Report'!$E:$E, 'IMPORT VHC Report'!$A:$C), )</f>
        <v/>
      </c>
      <c r="C10485" s="44"/>
      <c r="D10485" s="44"/>
      <c r="L10485" s="45"/>
      <c r="N10485" s="45"/>
    </row>
    <row r="10486">
      <c r="A10486" s="40" t="str">
        <f t="shared" si="1"/>
        <v/>
      </c>
      <c r="B10486" s="37" t="str">
        <f t="array" ref="B10486">iferror(xlookup($I10486, 'IMPORT VHC Report'!$E:$E, 'IMPORT VHC Report'!$A:$C), )</f>
        <v/>
      </c>
      <c r="C10486" s="44"/>
      <c r="D10486" s="44"/>
      <c r="L10486" s="45"/>
      <c r="N10486" s="45"/>
    </row>
    <row r="10487">
      <c r="A10487" s="40" t="str">
        <f t="shared" si="1"/>
        <v/>
      </c>
      <c r="B10487" s="37" t="str">
        <f t="array" ref="B10487">iferror(xlookup($I10487, 'IMPORT VHC Report'!$E:$E, 'IMPORT VHC Report'!$A:$C), )</f>
        <v/>
      </c>
      <c r="C10487" s="44"/>
      <c r="D10487" s="44"/>
      <c r="L10487" s="45"/>
      <c r="N10487" s="45"/>
    </row>
    <row r="10488">
      <c r="A10488" s="40" t="str">
        <f t="shared" si="1"/>
        <v/>
      </c>
      <c r="B10488" s="37" t="str">
        <f t="array" ref="B10488">iferror(xlookup($I10488, 'IMPORT VHC Report'!$E:$E, 'IMPORT VHC Report'!$A:$C), )</f>
        <v/>
      </c>
      <c r="C10488" s="44"/>
      <c r="D10488" s="44"/>
      <c r="L10488" s="45"/>
      <c r="N10488" s="45"/>
    </row>
    <row r="10489">
      <c r="A10489" s="40" t="str">
        <f t="shared" si="1"/>
        <v/>
      </c>
      <c r="B10489" s="37" t="str">
        <f t="array" ref="B10489">iferror(xlookup($I10489, 'IMPORT VHC Report'!$E:$E, 'IMPORT VHC Report'!$A:$C), )</f>
        <v/>
      </c>
      <c r="C10489" s="44"/>
      <c r="D10489" s="44"/>
      <c r="L10489" s="45"/>
      <c r="N10489" s="45"/>
    </row>
    <row r="10490">
      <c r="A10490" s="40" t="str">
        <f t="shared" si="1"/>
        <v/>
      </c>
      <c r="B10490" s="37" t="str">
        <f t="array" ref="B10490">iferror(xlookup($I10490, 'IMPORT VHC Report'!$E:$E, 'IMPORT VHC Report'!$A:$C), )</f>
        <v/>
      </c>
      <c r="C10490" s="44"/>
      <c r="D10490" s="44"/>
      <c r="L10490" s="45"/>
      <c r="N10490" s="45"/>
    </row>
    <row r="10491">
      <c r="A10491" s="40" t="str">
        <f t="shared" si="1"/>
        <v/>
      </c>
      <c r="B10491" s="37" t="str">
        <f t="array" ref="B10491">iferror(xlookup($I10491, 'IMPORT VHC Report'!$E:$E, 'IMPORT VHC Report'!$A:$C), )</f>
        <v/>
      </c>
      <c r="C10491" s="44"/>
      <c r="D10491" s="44"/>
      <c r="L10491" s="45"/>
      <c r="N10491" s="45"/>
    </row>
    <row r="10492">
      <c r="A10492" s="40" t="str">
        <f t="shared" si="1"/>
        <v/>
      </c>
      <c r="B10492" s="37" t="str">
        <f t="array" ref="B10492">iferror(xlookup($I10492, 'IMPORT VHC Report'!$E:$E, 'IMPORT VHC Report'!$A:$C), )</f>
        <v/>
      </c>
      <c r="C10492" s="44"/>
      <c r="D10492" s="44"/>
      <c r="L10492" s="45"/>
      <c r="N10492" s="45"/>
    </row>
    <row r="10493">
      <c r="A10493" s="40" t="str">
        <f t="shared" si="1"/>
        <v/>
      </c>
      <c r="B10493" s="37" t="str">
        <f t="array" ref="B10493">iferror(xlookup($I10493, 'IMPORT VHC Report'!$E:$E, 'IMPORT VHC Report'!$A:$C), )</f>
        <v/>
      </c>
      <c r="C10493" s="44"/>
      <c r="D10493" s="44"/>
      <c r="L10493" s="45"/>
      <c r="N10493" s="45"/>
    </row>
    <row r="10494">
      <c r="A10494" s="40" t="str">
        <f t="shared" si="1"/>
        <v/>
      </c>
      <c r="B10494" s="37" t="str">
        <f t="array" ref="B10494">iferror(xlookup($I10494, 'IMPORT VHC Report'!$E:$E, 'IMPORT VHC Report'!$A:$C), )</f>
        <v/>
      </c>
      <c r="C10494" s="44"/>
      <c r="D10494" s="44"/>
      <c r="L10494" s="45"/>
      <c r="N10494" s="45"/>
    </row>
    <row r="10495">
      <c r="A10495" s="40" t="str">
        <f t="shared" si="1"/>
        <v/>
      </c>
      <c r="B10495" s="37" t="str">
        <f t="array" ref="B10495">iferror(xlookup($I10495, 'IMPORT VHC Report'!$E:$E, 'IMPORT VHC Report'!$A:$C), )</f>
        <v/>
      </c>
      <c r="C10495" s="44"/>
      <c r="D10495" s="44"/>
      <c r="L10495" s="45"/>
      <c r="N10495" s="45"/>
    </row>
    <row r="10496">
      <c r="A10496" s="40" t="str">
        <f t="shared" si="1"/>
        <v/>
      </c>
      <c r="B10496" s="37" t="str">
        <f t="array" ref="B10496">iferror(xlookup($I10496, 'IMPORT VHC Report'!$E:$E, 'IMPORT VHC Report'!$A:$C), )</f>
        <v/>
      </c>
      <c r="C10496" s="44"/>
      <c r="D10496" s="44"/>
      <c r="L10496" s="45"/>
      <c r="N10496" s="45"/>
    </row>
    <row r="10497">
      <c r="A10497" s="40" t="str">
        <f t="shared" si="1"/>
        <v/>
      </c>
      <c r="B10497" s="37" t="str">
        <f t="array" ref="B10497">iferror(xlookup($I10497, 'IMPORT VHC Report'!$E:$E, 'IMPORT VHC Report'!$A:$C), )</f>
        <v/>
      </c>
      <c r="C10497" s="44"/>
      <c r="D10497" s="44"/>
      <c r="L10497" s="45"/>
      <c r="N10497" s="45"/>
    </row>
    <row r="10498">
      <c r="A10498" s="40" t="str">
        <f t="shared" si="1"/>
        <v/>
      </c>
      <c r="B10498" s="37" t="str">
        <f t="array" ref="B10498">iferror(xlookup($I10498, 'IMPORT VHC Report'!$E:$E, 'IMPORT VHC Report'!$A:$C), )</f>
        <v/>
      </c>
      <c r="C10498" s="44"/>
      <c r="D10498" s="44"/>
      <c r="L10498" s="45"/>
      <c r="N10498" s="45"/>
    </row>
    <row r="10499">
      <c r="A10499" s="40" t="str">
        <f t="shared" si="1"/>
        <v/>
      </c>
      <c r="B10499" s="37" t="str">
        <f t="array" ref="B10499">iferror(xlookup($I10499, 'IMPORT VHC Report'!$E:$E, 'IMPORT VHC Report'!$A:$C), )</f>
        <v/>
      </c>
      <c r="C10499" s="44"/>
      <c r="D10499" s="44"/>
      <c r="L10499" s="45"/>
      <c r="N10499" s="45"/>
    </row>
    <row r="10500">
      <c r="A10500" s="40" t="str">
        <f t="shared" si="1"/>
        <v/>
      </c>
      <c r="B10500" s="37" t="str">
        <f t="array" ref="B10500">iferror(xlookup($I10500, 'IMPORT VHC Report'!$E:$E, 'IMPORT VHC Report'!$A:$C), )</f>
        <v/>
      </c>
      <c r="C10500" s="44"/>
      <c r="D10500" s="44"/>
      <c r="L10500" s="45"/>
      <c r="N10500" s="45"/>
    </row>
    <row r="10501">
      <c r="A10501" s="40" t="str">
        <f t="shared" si="1"/>
        <v/>
      </c>
      <c r="B10501" s="37" t="str">
        <f t="array" ref="B10501">iferror(xlookup($I10501, 'IMPORT VHC Report'!$E:$E, 'IMPORT VHC Report'!$A:$C), )</f>
        <v/>
      </c>
      <c r="C10501" s="44"/>
      <c r="D10501" s="44"/>
      <c r="L10501" s="45"/>
      <c r="N10501" s="45"/>
    </row>
    <row r="10502">
      <c r="A10502" s="40" t="str">
        <f t="shared" si="1"/>
        <v/>
      </c>
      <c r="B10502" s="37" t="str">
        <f t="array" ref="B10502">iferror(xlookup($I10502, 'IMPORT VHC Report'!$E:$E, 'IMPORT VHC Report'!$A:$C), )</f>
        <v/>
      </c>
      <c r="C10502" s="44"/>
      <c r="D10502" s="44"/>
      <c r="L10502" s="45"/>
      <c r="N10502" s="45"/>
    </row>
    <row r="10503">
      <c r="A10503" s="40" t="str">
        <f t="shared" si="1"/>
        <v/>
      </c>
      <c r="B10503" s="37" t="str">
        <f t="array" ref="B10503">iferror(xlookup($I10503, 'IMPORT VHC Report'!$E:$E, 'IMPORT VHC Report'!$A:$C), )</f>
        <v/>
      </c>
      <c r="C10503" s="44"/>
      <c r="D10503" s="44"/>
      <c r="L10503" s="45"/>
      <c r="N10503" s="45"/>
    </row>
    <row r="10504">
      <c r="A10504" s="40" t="str">
        <f t="shared" si="1"/>
        <v/>
      </c>
      <c r="B10504" s="37" t="str">
        <f t="array" ref="B10504">iferror(xlookup($I10504, 'IMPORT VHC Report'!$E:$E, 'IMPORT VHC Report'!$A:$C), )</f>
        <v/>
      </c>
      <c r="C10504" s="44"/>
      <c r="D10504" s="44"/>
      <c r="L10504" s="45"/>
      <c r="N10504" s="45"/>
    </row>
    <row r="10505">
      <c r="A10505" s="40" t="str">
        <f t="shared" si="1"/>
        <v/>
      </c>
      <c r="B10505" s="37" t="str">
        <f t="array" ref="B10505">iferror(xlookup($I10505, 'IMPORT VHC Report'!$E:$E, 'IMPORT VHC Report'!$A:$C), )</f>
        <v/>
      </c>
      <c r="C10505" s="44"/>
      <c r="D10505" s="44"/>
      <c r="L10505" s="45"/>
      <c r="N10505" s="45"/>
    </row>
    <row r="10506">
      <c r="A10506" s="40" t="str">
        <f t="shared" si="1"/>
        <v/>
      </c>
      <c r="B10506" s="37" t="str">
        <f t="array" ref="B10506">iferror(xlookup($I10506, 'IMPORT VHC Report'!$E:$E, 'IMPORT VHC Report'!$A:$C), )</f>
        <v/>
      </c>
      <c r="C10506" s="44"/>
      <c r="D10506" s="44"/>
      <c r="L10506" s="45"/>
      <c r="N10506" s="45"/>
    </row>
    <row r="10507">
      <c r="A10507" s="40" t="str">
        <f t="shared" si="1"/>
        <v/>
      </c>
      <c r="B10507" s="37" t="str">
        <f t="array" ref="B10507">iferror(xlookup($I10507, 'IMPORT VHC Report'!$E:$E, 'IMPORT VHC Report'!$A:$C), )</f>
        <v/>
      </c>
      <c r="C10507" s="44"/>
      <c r="D10507" s="44"/>
      <c r="L10507" s="45"/>
      <c r="N10507" s="45"/>
    </row>
    <row r="10508">
      <c r="A10508" s="40" t="str">
        <f t="shared" si="1"/>
        <v/>
      </c>
      <c r="B10508" s="37" t="str">
        <f t="array" ref="B10508">iferror(xlookup($I10508, 'IMPORT VHC Report'!$E:$E, 'IMPORT VHC Report'!$A:$C), )</f>
        <v/>
      </c>
      <c r="C10508" s="44"/>
      <c r="D10508" s="44"/>
      <c r="L10508" s="45"/>
      <c r="N10508" s="45"/>
    </row>
    <row r="10509">
      <c r="A10509" s="40" t="str">
        <f t="shared" si="1"/>
        <v/>
      </c>
      <c r="B10509" s="37" t="str">
        <f t="array" ref="B10509">iferror(xlookup($I10509, 'IMPORT VHC Report'!$E:$E, 'IMPORT VHC Report'!$A:$C), )</f>
        <v/>
      </c>
      <c r="C10509" s="44"/>
      <c r="D10509" s="44"/>
      <c r="L10509" s="45"/>
      <c r="N10509" s="45"/>
    </row>
    <row r="10510">
      <c r="A10510" s="40" t="str">
        <f t="shared" si="1"/>
        <v/>
      </c>
      <c r="B10510" s="37" t="str">
        <f t="array" ref="B10510">iferror(xlookup($I10510, 'IMPORT VHC Report'!$E:$E, 'IMPORT VHC Report'!$A:$C), )</f>
        <v/>
      </c>
      <c r="C10510" s="44"/>
      <c r="D10510" s="44"/>
      <c r="L10510" s="45"/>
      <c r="N10510" s="45"/>
    </row>
    <row r="10511">
      <c r="A10511" s="40" t="str">
        <f t="shared" si="1"/>
        <v/>
      </c>
      <c r="B10511" s="37" t="str">
        <f t="array" ref="B10511">iferror(xlookup($I10511, 'IMPORT VHC Report'!$E:$E, 'IMPORT VHC Report'!$A:$C), )</f>
        <v/>
      </c>
      <c r="C10511" s="44"/>
      <c r="D10511" s="44"/>
      <c r="L10511" s="45"/>
      <c r="N10511" s="45"/>
    </row>
    <row r="10512">
      <c r="A10512" s="40" t="str">
        <f t="shared" si="1"/>
        <v/>
      </c>
      <c r="B10512" s="37" t="str">
        <f t="array" ref="B10512">iferror(xlookup($I10512, 'IMPORT VHC Report'!$E:$E, 'IMPORT VHC Report'!$A:$C), )</f>
        <v/>
      </c>
      <c r="C10512" s="44"/>
      <c r="D10512" s="44"/>
      <c r="L10512" s="45"/>
      <c r="N10512" s="45"/>
    </row>
    <row r="10513">
      <c r="A10513" s="40" t="str">
        <f t="shared" si="1"/>
        <v/>
      </c>
      <c r="B10513" s="37" t="str">
        <f t="array" ref="B10513">iferror(xlookup($I10513, 'IMPORT VHC Report'!$E:$E, 'IMPORT VHC Report'!$A:$C), )</f>
        <v/>
      </c>
      <c r="C10513" s="44"/>
      <c r="D10513" s="44"/>
      <c r="L10513" s="45"/>
      <c r="N10513" s="45"/>
    </row>
    <row r="10514">
      <c r="A10514" s="40" t="str">
        <f t="shared" si="1"/>
        <v/>
      </c>
      <c r="B10514" s="37" t="str">
        <f t="array" ref="B10514">iferror(xlookup($I10514, 'IMPORT VHC Report'!$E:$E, 'IMPORT VHC Report'!$A:$C), )</f>
        <v/>
      </c>
      <c r="C10514" s="44"/>
      <c r="D10514" s="44"/>
      <c r="L10514" s="45"/>
      <c r="N10514" s="45"/>
    </row>
    <row r="10515">
      <c r="A10515" s="40" t="str">
        <f t="shared" si="1"/>
        <v/>
      </c>
      <c r="B10515" s="37" t="str">
        <f t="array" ref="B10515">iferror(xlookup($I10515, 'IMPORT VHC Report'!$E:$E, 'IMPORT VHC Report'!$A:$C), )</f>
        <v/>
      </c>
      <c r="C10515" s="44"/>
      <c r="D10515" s="44"/>
      <c r="L10515" s="45"/>
      <c r="N10515" s="45"/>
    </row>
    <row r="10516">
      <c r="A10516" s="40" t="str">
        <f t="shared" si="1"/>
        <v/>
      </c>
      <c r="B10516" s="37" t="str">
        <f t="array" ref="B10516">iferror(xlookup($I10516, 'IMPORT VHC Report'!$E:$E, 'IMPORT VHC Report'!$A:$C), )</f>
        <v/>
      </c>
      <c r="C10516" s="44"/>
      <c r="D10516" s="44"/>
      <c r="L10516" s="45"/>
      <c r="N10516" s="45"/>
    </row>
    <row r="10517">
      <c r="A10517" s="40" t="str">
        <f t="shared" si="1"/>
        <v/>
      </c>
      <c r="B10517" s="37" t="str">
        <f t="array" ref="B10517">iferror(xlookup($I10517, 'IMPORT VHC Report'!$E:$E, 'IMPORT VHC Report'!$A:$C), )</f>
        <v/>
      </c>
      <c r="C10517" s="44"/>
      <c r="D10517" s="44"/>
      <c r="L10517" s="45"/>
      <c r="N10517" s="45"/>
    </row>
    <row r="10518">
      <c r="A10518" s="40" t="str">
        <f t="shared" si="1"/>
        <v/>
      </c>
      <c r="B10518" s="37" t="str">
        <f t="array" ref="B10518">iferror(xlookup($I10518, 'IMPORT VHC Report'!$E:$E, 'IMPORT VHC Report'!$A:$C), )</f>
        <v/>
      </c>
      <c r="C10518" s="44"/>
      <c r="D10518" s="44"/>
      <c r="L10518" s="45"/>
      <c r="N10518" s="45"/>
    </row>
    <row r="10519">
      <c r="A10519" s="40" t="str">
        <f t="shared" si="1"/>
        <v/>
      </c>
      <c r="B10519" s="37" t="str">
        <f t="array" ref="B10519">iferror(xlookup($I10519, 'IMPORT VHC Report'!$E:$E, 'IMPORT VHC Report'!$A:$C), )</f>
        <v/>
      </c>
      <c r="C10519" s="44"/>
      <c r="D10519" s="44"/>
      <c r="L10519" s="45"/>
      <c r="N10519" s="45"/>
    </row>
    <row r="10520">
      <c r="A10520" s="40" t="str">
        <f t="shared" si="1"/>
        <v/>
      </c>
      <c r="B10520" s="37" t="str">
        <f t="array" ref="B10520">iferror(xlookup($I10520, 'IMPORT VHC Report'!$E:$E, 'IMPORT VHC Report'!$A:$C), )</f>
        <v/>
      </c>
      <c r="C10520" s="44"/>
      <c r="D10520" s="44"/>
      <c r="L10520" s="45"/>
      <c r="N10520" s="45"/>
    </row>
    <row r="10521">
      <c r="A10521" s="40" t="str">
        <f t="shared" si="1"/>
        <v/>
      </c>
      <c r="B10521" s="37" t="str">
        <f t="array" ref="B10521">iferror(xlookup($I10521, 'IMPORT VHC Report'!$E:$E, 'IMPORT VHC Report'!$A:$C), )</f>
        <v/>
      </c>
      <c r="C10521" s="44"/>
      <c r="D10521" s="44"/>
      <c r="L10521" s="45"/>
      <c r="N10521" s="45"/>
    </row>
    <row r="10522">
      <c r="A10522" s="40" t="str">
        <f t="shared" si="1"/>
        <v/>
      </c>
      <c r="B10522" s="37" t="str">
        <f t="array" ref="B10522">iferror(xlookup($I10522, 'IMPORT VHC Report'!$E:$E, 'IMPORT VHC Report'!$A:$C), )</f>
        <v/>
      </c>
      <c r="C10522" s="44"/>
      <c r="D10522" s="44"/>
      <c r="L10522" s="45"/>
      <c r="N10522" s="45"/>
    </row>
    <row r="10523">
      <c r="A10523" s="40" t="str">
        <f t="shared" si="1"/>
        <v/>
      </c>
      <c r="B10523" s="37" t="str">
        <f t="array" ref="B10523">iferror(xlookup($I10523, 'IMPORT VHC Report'!$E:$E, 'IMPORT VHC Report'!$A:$C), )</f>
        <v/>
      </c>
      <c r="C10523" s="44"/>
      <c r="D10523" s="44"/>
      <c r="L10523" s="45"/>
      <c r="N10523" s="45"/>
    </row>
    <row r="10524">
      <c r="A10524" s="40" t="str">
        <f t="shared" si="1"/>
        <v/>
      </c>
      <c r="B10524" s="37" t="str">
        <f t="array" ref="B10524">iferror(xlookup($I10524, 'IMPORT VHC Report'!$E:$E, 'IMPORT VHC Report'!$A:$C), )</f>
        <v/>
      </c>
      <c r="C10524" s="44"/>
      <c r="D10524" s="44"/>
      <c r="L10524" s="45"/>
      <c r="N10524" s="45"/>
    </row>
    <row r="10525">
      <c r="A10525" s="40" t="str">
        <f t="shared" si="1"/>
        <v/>
      </c>
      <c r="B10525" s="37" t="str">
        <f t="array" ref="B10525">iferror(xlookup($I10525, 'IMPORT VHC Report'!$E:$E, 'IMPORT VHC Report'!$A:$C), )</f>
        <v/>
      </c>
      <c r="C10525" s="44"/>
      <c r="D10525" s="44"/>
      <c r="L10525" s="45"/>
      <c r="N10525" s="45"/>
    </row>
    <row r="10526">
      <c r="A10526" s="40" t="str">
        <f t="shared" si="1"/>
        <v/>
      </c>
      <c r="B10526" s="37" t="str">
        <f t="array" ref="B10526">iferror(xlookup($I10526, 'IMPORT VHC Report'!$E:$E, 'IMPORT VHC Report'!$A:$C), )</f>
        <v/>
      </c>
      <c r="C10526" s="44"/>
      <c r="D10526" s="44"/>
      <c r="L10526" s="45"/>
      <c r="N10526" s="45"/>
    </row>
    <row r="10527">
      <c r="A10527" s="40" t="str">
        <f t="shared" si="1"/>
        <v/>
      </c>
      <c r="B10527" s="37" t="str">
        <f t="array" ref="B10527">iferror(xlookup($I10527, 'IMPORT VHC Report'!$E:$E, 'IMPORT VHC Report'!$A:$C), )</f>
        <v/>
      </c>
      <c r="C10527" s="44"/>
      <c r="D10527" s="44"/>
      <c r="L10527" s="45"/>
      <c r="N10527" s="45"/>
    </row>
    <row r="10528">
      <c r="A10528" s="40" t="str">
        <f t="shared" si="1"/>
        <v/>
      </c>
      <c r="B10528" s="37" t="str">
        <f t="array" ref="B10528">iferror(xlookup($I10528, 'IMPORT VHC Report'!$E:$E, 'IMPORT VHC Report'!$A:$C), )</f>
        <v/>
      </c>
      <c r="C10528" s="44"/>
      <c r="D10528" s="44"/>
      <c r="L10528" s="45"/>
      <c r="N10528" s="45"/>
    </row>
    <row r="10529">
      <c r="A10529" s="40" t="str">
        <f t="shared" si="1"/>
        <v/>
      </c>
      <c r="B10529" s="37" t="str">
        <f t="array" ref="B10529">iferror(xlookup($I10529, 'IMPORT VHC Report'!$E:$E, 'IMPORT VHC Report'!$A:$C), )</f>
        <v/>
      </c>
      <c r="C10529" s="44"/>
      <c r="D10529" s="44"/>
      <c r="L10529" s="45"/>
      <c r="N10529" s="45"/>
    </row>
    <row r="10530">
      <c r="A10530" s="40" t="str">
        <f t="shared" si="1"/>
        <v/>
      </c>
      <c r="B10530" s="37" t="str">
        <f t="array" ref="B10530">iferror(xlookup($I10530, 'IMPORT VHC Report'!$E:$E, 'IMPORT VHC Report'!$A:$C), )</f>
        <v/>
      </c>
      <c r="C10530" s="44"/>
      <c r="D10530" s="44"/>
      <c r="L10530" s="45"/>
      <c r="N10530" s="45"/>
    </row>
    <row r="10531">
      <c r="A10531" s="40" t="str">
        <f t="shared" si="1"/>
        <v/>
      </c>
      <c r="B10531" s="37" t="str">
        <f t="array" ref="B10531">iferror(xlookup($I10531, 'IMPORT VHC Report'!$E:$E, 'IMPORT VHC Report'!$A:$C), )</f>
        <v/>
      </c>
      <c r="C10531" s="44"/>
      <c r="D10531" s="44"/>
      <c r="L10531" s="45"/>
      <c r="N10531" s="45"/>
    </row>
    <row r="10532">
      <c r="A10532" s="40" t="str">
        <f t="shared" si="1"/>
        <v/>
      </c>
      <c r="B10532" s="37" t="str">
        <f t="array" ref="B10532">iferror(xlookup($I10532, 'IMPORT VHC Report'!$E:$E, 'IMPORT VHC Report'!$A:$C), )</f>
        <v/>
      </c>
      <c r="C10532" s="44"/>
      <c r="D10532" s="44"/>
      <c r="L10532" s="45"/>
      <c r="N10532" s="45"/>
    </row>
    <row r="10533">
      <c r="A10533" s="40" t="str">
        <f t="shared" si="1"/>
        <v/>
      </c>
      <c r="B10533" s="37" t="str">
        <f t="array" ref="B10533">iferror(xlookup($I10533, 'IMPORT VHC Report'!$E:$E, 'IMPORT VHC Report'!$A:$C), )</f>
        <v/>
      </c>
      <c r="C10533" s="44"/>
      <c r="D10533" s="44"/>
      <c r="L10533" s="45"/>
      <c r="N10533" s="45"/>
    </row>
    <row r="10534">
      <c r="A10534" s="40" t="str">
        <f t="shared" si="1"/>
        <v/>
      </c>
      <c r="B10534" s="37" t="str">
        <f t="array" ref="B10534">iferror(xlookup($I10534, 'IMPORT VHC Report'!$E:$E, 'IMPORT VHC Report'!$A:$C), )</f>
        <v/>
      </c>
      <c r="C10534" s="44"/>
      <c r="D10534" s="44"/>
      <c r="L10534" s="45"/>
      <c r="N10534" s="45"/>
    </row>
    <row r="10535">
      <c r="A10535" s="40" t="str">
        <f t="shared" si="1"/>
        <v/>
      </c>
      <c r="B10535" s="37" t="str">
        <f t="array" ref="B10535">iferror(xlookup($I10535, 'IMPORT VHC Report'!$E:$E, 'IMPORT VHC Report'!$A:$C), )</f>
        <v/>
      </c>
      <c r="C10535" s="44"/>
      <c r="D10535" s="44"/>
      <c r="L10535" s="45"/>
      <c r="N10535" s="45"/>
    </row>
    <row r="10536">
      <c r="A10536" s="40" t="str">
        <f t="shared" si="1"/>
        <v/>
      </c>
      <c r="B10536" s="37" t="str">
        <f t="array" ref="B10536">iferror(xlookup($I10536, 'IMPORT VHC Report'!$E:$E, 'IMPORT VHC Report'!$A:$C), )</f>
        <v/>
      </c>
      <c r="C10536" s="44"/>
      <c r="D10536" s="44"/>
      <c r="L10536" s="45"/>
      <c r="N10536" s="45"/>
    </row>
    <row r="10537">
      <c r="A10537" s="40" t="str">
        <f t="shared" si="1"/>
        <v/>
      </c>
      <c r="B10537" s="37" t="str">
        <f t="array" ref="B10537">iferror(xlookup($I10537, 'IMPORT VHC Report'!$E:$E, 'IMPORT VHC Report'!$A:$C), )</f>
        <v/>
      </c>
      <c r="C10537" s="44"/>
      <c r="D10537" s="44"/>
      <c r="L10537" s="45"/>
      <c r="N10537" s="45"/>
    </row>
    <row r="10538">
      <c r="A10538" s="40" t="str">
        <f t="shared" si="1"/>
        <v/>
      </c>
      <c r="B10538" s="37" t="str">
        <f t="array" ref="B10538">iferror(xlookup($I10538, 'IMPORT VHC Report'!$E:$E, 'IMPORT VHC Report'!$A:$C), )</f>
        <v/>
      </c>
      <c r="C10538" s="44"/>
      <c r="D10538" s="44"/>
      <c r="L10538" s="45"/>
      <c r="N10538" s="45"/>
    </row>
    <row r="10539">
      <c r="A10539" s="40" t="str">
        <f t="shared" si="1"/>
        <v/>
      </c>
      <c r="B10539" s="37" t="str">
        <f t="array" ref="B10539">iferror(xlookup($I10539, 'IMPORT VHC Report'!$E:$E, 'IMPORT VHC Report'!$A:$C), )</f>
        <v/>
      </c>
      <c r="C10539" s="44"/>
      <c r="D10539" s="44"/>
      <c r="L10539" s="45"/>
      <c r="N10539" s="45"/>
    </row>
    <row r="10540">
      <c r="A10540" s="40" t="str">
        <f t="shared" si="1"/>
        <v/>
      </c>
      <c r="B10540" s="37" t="str">
        <f t="array" ref="B10540">iferror(xlookup($I10540, 'IMPORT VHC Report'!$E:$E, 'IMPORT VHC Report'!$A:$C), )</f>
        <v/>
      </c>
      <c r="C10540" s="44"/>
      <c r="D10540" s="44"/>
      <c r="L10540" s="45"/>
      <c r="N10540" s="45"/>
    </row>
    <row r="10541">
      <c r="A10541" s="40" t="str">
        <f t="shared" si="1"/>
        <v/>
      </c>
      <c r="B10541" s="37" t="str">
        <f t="array" ref="B10541">iferror(xlookup($I10541, 'IMPORT VHC Report'!$E:$E, 'IMPORT VHC Report'!$A:$C), )</f>
        <v/>
      </c>
      <c r="C10541" s="44"/>
      <c r="D10541" s="44"/>
      <c r="L10541" s="45"/>
      <c r="N10541" s="45"/>
    </row>
    <row r="10542">
      <c r="A10542" s="40" t="str">
        <f t="shared" si="1"/>
        <v/>
      </c>
      <c r="B10542" s="37" t="str">
        <f t="array" ref="B10542">iferror(xlookup($I10542, 'IMPORT VHC Report'!$E:$E, 'IMPORT VHC Report'!$A:$C), )</f>
        <v/>
      </c>
      <c r="C10542" s="44"/>
      <c r="D10542" s="44"/>
      <c r="L10542" s="45"/>
      <c r="N10542" s="45"/>
    </row>
    <row r="10543">
      <c r="A10543" s="40" t="str">
        <f t="shared" si="1"/>
        <v/>
      </c>
      <c r="B10543" s="37" t="str">
        <f t="array" ref="B10543">iferror(xlookup($I10543, 'IMPORT VHC Report'!$E:$E, 'IMPORT VHC Report'!$A:$C), )</f>
        <v/>
      </c>
      <c r="C10543" s="44"/>
      <c r="D10543" s="44"/>
      <c r="L10543" s="45"/>
      <c r="N10543" s="45"/>
    </row>
    <row r="10544">
      <c r="A10544" s="40" t="str">
        <f t="shared" si="1"/>
        <v/>
      </c>
      <c r="B10544" s="37" t="str">
        <f t="array" ref="B10544">iferror(xlookup($I10544, 'IMPORT VHC Report'!$E:$E, 'IMPORT VHC Report'!$A:$C), )</f>
        <v/>
      </c>
      <c r="C10544" s="44"/>
      <c r="D10544" s="44"/>
      <c r="L10544" s="45"/>
      <c r="N10544" s="45"/>
    </row>
    <row r="10545">
      <c r="A10545" s="40" t="str">
        <f t="shared" si="1"/>
        <v/>
      </c>
      <c r="B10545" s="37" t="str">
        <f t="array" ref="B10545">iferror(xlookup($I10545, 'IMPORT VHC Report'!$E:$E, 'IMPORT VHC Report'!$A:$C), )</f>
        <v/>
      </c>
      <c r="C10545" s="44"/>
      <c r="D10545" s="44"/>
      <c r="L10545" s="45"/>
      <c r="N10545" s="45"/>
    </row>
    <row r="10546">
      <c r="A10546" s="40" t="str">
        <f t="shared" si="1"/>
        <v/>
      </c>
      <c r="B10546" s="37" t="str">
        <f t="array" ref="B10546">iferror(xlookup($I10546, 'IMPORT VHC Report'!$E:$E, 'IMPORT VHC Report'!$A:$C), )</f>
        <v/>
      </c>
      <c r="C10546" s="44"/>
      <c r="D10546" s="44"/>
      <c r="L10546" s="45"/>
      <c r="N10546" s="45"/>
    </row>
    <row r="10547">
      <c r="A10547" s="40" t="str">
        <f t="shared" si="1"/>
        <v/>
      </c>
      <c r="B10547" s="37" t="str">
        <f t="array" ref="B10547">iferror(xlookup($I10547, 'IMPORT VHC Report'!$E:$E, 'IMPORT VHC Report'!$A:$C), )</f>
        <v/>
      </c>
      <c r="C10547" s="44"/>
      <c r="D10547" s="44"/>
      <c r="L10547" s="45"/>
      <c r="N10547" s="45"/>
    </row>
    <row r="10548">
      <c r="A10548" s="40" t="str">
        <f t="shared" si="1"/>
        <v/>
      </c>
      <c r="B10548" s="37" t="str">
        <f t="array" ref="B10548">iferror(xlookup($I10548, 'IMPORT VHC Report'!$E:$E, 'IMPORT VHC Report'!$A:$C), )</f>
        <v/>
      </c>
      <c r="C10548" s="44"/>
      <c r="D10548" s="44"/>
      <c r="L10548" s="45"/>
      <c r="N10548" s="45"/>
    </row>
    <row r="10549">
      <c r="A10549" s="40" t="str">
        <f t="shared" si="1"/>
        <v/>
      </c>
      <c r="B10549" s="37" t="str">
        <f t="array" ref="B10549">iferror(xlookup($I10549, 'IMPORT VHC Report'!$E:$E, 'IMPORT VHC Report'!$A:$C), )</f>
        <v/>
      </c>
      <c r="C10549" s="44"/>
      <c r="D10549" s="44"/>
      <c r="L10549" s="45"/>
      <c r="N10549" s="45"/>
    </row>
    <row r="10550">
      <c r="A10550" s="40" t="str">
        <f t="shared" si="1"/>
        <v/>
      </c>
      <c r="B10550" s="37" t="str">
        <f t="array" ref="B10550">iferror(xlookup($I10550, 'IMPORT VHC Report'!$E:$E, 'IMPORT VHC Report'!$A:$C), )</f>
        <v/>
      </c>
      <c r="C10550" s="44"/>
      <c r="D10550" s="44"/>
      <c r="L10550" s="45"/>
      <c r="N10550" s="45"/>
    </row>
    <row r="10551">
      <c r="A10551" s="40" t="str">
        <f t="shared" si="1"/>
        <v/>
      </c>
      <c r="B10551" s="37" t="str">
        <f t="array" ref="B10551">iferror(xlookup($I10551, 'IMPORT VHC Report'!$E:$E, 'IMPORT VHC Report'!$A:$C), )</f>
        <v/>
      </c>
      <c r="C10551" s="44"/>
      <c r="D10551" s="44"/>
      <c r="L10551" s="45"/>
      <c r="N10551" s="45"/>
    </row>
    <row r="10552">
      <c r="A10552" s="40" t="str">
        <f t="shared" si="1"/>
        <v/>
      </c>
      <c r="B10552" s="37" t="str">
        <f t="array" ref="B10552">iferror(xlookup($I10552, 'IMPORT VHC Report'!$E:$E, 'IMPORT VHC Report'!$A:$C), )</f>
        <v/>
      </c>
      <c r="C10552" s="44"/>
      <c r="D10552" s="44"/>
      <c r="L10552" s="45"/>
      <c r="N10552" s="45"/>
    </row>
    <row r="10553">
      <c r="A10553" s="40" t="str">
        <f t="shared" si="1"/>
        <v/>
      </c>
      <c r="B10553" s="37" t="str">
        <f t="array" ref="B10553">iferror(xlookup($I10553, 'IMPORT VHC Report'!$E:$E, 'IMPORT VHC Report'!$A:$C), )</f>
        <v/>
      </c>
      <c r="C10553" s="44"/>
      <c r="D10553" s="44"/>
      <c r="L10553" s="45"/>
      <c r="N10553" s="45"/>
    </row>
    <row r="10554">
      <c r="A10554" s="40" t="str">
        <f t="shared" si="1"/>
        <v/>
      </c>
      <c r="B10554" s="37" t="str">
        <f t="array" ref="B10554">iferror(xlookup($I10554, 'IMPORT VHC Report'!$E:$E, 'IMPORT VHC Report'!$A:$C), )</f>
        <v/>
      </c>
      <c r="C10554" s="44"/>
      <c r="D10554" s="44"/>
      <c r="L10554" s="45"/>
      <c r="N10554" s="45"/>
    </row>
    <row r="10555">
      <c r="A10555" s="40" t="str">
        <f t="shared" si="1"/>
        <v/>
      </c>
      <c r="B10555" s="37" t="str">
        <f t="array" ref="B10555">iferror(xlookup($I10555, 'IMPORT VHC Report'!$E:$E, 'IMPORT VHC Report'!$A:$C), )</f>
        <v/>
      </c>
      <c r="C10555" s="44"/>
      <c r="D10555" s="44"/>
      <c r="L10555" s="45"/>
      <c r="N10555" s="45"/>
    </row>
    <row r="10556">
      <c r="A10556" s="40" t="str">
        <f t="shared" si="1"/>
        <v/>
      </c>
      <c r="B10556" s="37" t="str">
        <f t="array" ref="B10556">iferror(xlookup($I10556, 'IMPORT VHC Report'!$E:$E, 'IMPORT VHC Report'!$A:$C), )</f>
        <v/>
      </c>
      <c r="C10556" s="44"/>
      <c r="D10556" s="44"/>
      <c r="L10556" s="45"/>
      <c r="N10556" s="45"/>
    </row>
    <row r="10557">
      <c r="A10557" s="40" t="str">
        <f t="shared" si="1"/>
        <v/>
      </c>
      <c r="B10557" s="37" t="str">
        <f t="array" ref="B10557">iferror(xlookup($I10557, 'IMPORT VHC Report'!$E:$E, 'IMPORT VHC Report'!$A:$C), )</f>
        <v/>
      </c>
      <c r="C10557" s="44"/>
      <c r="D10557" s="44"/>
      <c r="L10557" s="45"/>
      <c r="N10557" s="45"/>
    </row>
    <row r="10558">
      <c r="A10558" s="40" t="str">
        <f t="shared" si="1"/>
        <v/>
      </c>
      <c r="B10558" s="37" t="str">
        <f t="array" ref="B10558">iferror(xlookup($I10558, 'IMPORT VHC Report'!$E:$E, 'IMPORT VHC Report'!$A:$C), )</f>
        <v/>
      </c>
      <c r="C10558" s="44"/>
      <c r="D10558" s="44"/>
      <c r="L10558" s="45"/>
      <c r="N10558" s="45"/>
    </row>
    <row r="10559">
      <c r="A10559" s="40" t="str">
        <f t="shared" si="1"/>
        <v/>
      </c>
      <c r="B10559" s="37" t="str">
        <f t="array" ref="B10559">iferror(xlookup($I10559, 'IMPORT VHC Report'!$E:$E, 'IMPORT VHC Report'!$A:$C), )</f>
        <v/>
      </c>
      <c r="C10559" s="44"/>
      <c r="D10559" s="44"/>
      <c r="L10559" s="45"/>
      <c r="N10559" s="45"/>
    </row>
    <row r="10560">
      <c r="A10560" s="40" t="str">
        <f t="shared" si="1"/>
        <v/>
      </c>
      <c r="B10560" s="37" t="str">
        <f t="array" ref="B10560">iferror(xlookup($I10560, 'IMPORT VHC Report'!$E:$E, 'IMPORT VHC Report'!$A:$C), )</f>
        <v/>
      </c>
      <c r="C10560" s="44"/>
      <c r="D10560" s="44"/>
      <c r="L10560" s="45"/>
      <c r="N10560" s="45"/>
    </row>
    <row r="10561">
      <c r="A10561" s="40" t="str">
        <f t="shared" si="1"/>
        <v/>
      </c>
      <c r="B10561" s="37" t="str">
        <f t="array" ref="B10561">iferror(xlookup($I10561, 'IMPORT VHC Report'!$E:$E, 'IMPORT VHC Report'!$A:$C), )</f>
        <v/>
      </c>
      <c r="C10561" s="44"/>
      <c r="D10561" s="44"/>
      <c r="L10561" s="45"/>
      <c r="N10561" s="45"/>
    </row>
    <row r="10562">
      <c r="A10562" s="40" t="str">
        <f t="shared" si="1"/>
        <v/>
      </c>
      <c r="B10562" s="37" t="str">
        <f t="array" ref="B10562">iferror(xlookup($I10562, 'IMPORT VHC Report'!$E:$E, 'IMPORT VHC Report'!$A:$C), )</f>
        <v/>
      </c>
      <c r="C10562" s="44"/>
      <c r="D10562" s="44"/>
      <c r="L10562" s="45"/>
      <c r="N10562" s="45"/>
    </row>
    <row r="10563">
      <c r="A10563" s="40" t="str">
        <f t="shared" si="1"/>
        <v/>
      </c>
      <c r="B10563" s="37" t="str">
        <f t="array" ref="B10563">iferror(xlookup($I10563, 'IMPORT VHC Report'!$E:$E, 'IMPORT VHC Report'!$A:$C), )</f>
        <v/>
      </c>
      <c r="C10563" s="44"/>
      <c r="D10563" s="44"/>
      <c r="L10563" s="45"/>
      <c r="N10563" s="45"/>
    </row>
    <row r="10564">
      <c r="A10564" s="40" t="str">
        <f t="shared" si="1"/>
        <v/>
      </c>
      <c r="B10564" s="37" t="str">
        <f t="array" ref="B10564">iferror(xlookup($I10564, 'IMPORT VHC Report'!$E:$E, 'IMPORT VHC Report'!$A:$C), )</f>
        <v/>
      </c>
      <c r="C10564" s="44"/>
      <c r="D10564" s="44"/>
      <c r="L10564" s="45"/>
      <c r="N10564" s="45"/>
    </row>
    <row r="10565">
      <c r="A10565" s="40" t="str">
        <f t="shared" si="1"/>
        <v/>
      </c>
      <c r="B10565" s="37" t="str">
        <f t="array" ref="B10565">iferror(xlookup($I10565, 'IMPORT VHC Report'!$E:$E, 'IMPORT VHC Report'!$A:$C), )</f>
        <v/>
      </c>
      <c r="C10565" s="44"/>
      <c r="D10565" s="44"/>
      <c r="L10565" s="45"/>
      <c r="N10565" s="45"/>
    </row>
    <row r="10566">
      <c r="A10566" s="40" t="str">
        <f t="shared" si="1"/>
        <v/>
      </c>
      <c r="B10566" s="37" t="str">
        <f t="array" ref="B10566">iferror(xlookup($I10566, 'IMPORT VHC Report'!$E:$E, 'IMPORT VHC Report'!$A:$C), )</f>
        <v/>
      </c>
      <c r="C10566" s="44"/>
      <c r="D10566" s="44"/>
      <c r="L10566" s="45"/>
      <c r="N10566" s="45"/>
    </row>
    <row r="10567">
      <c r="A10567" s="40" t="str">
        <f t="shared" si="1"/>
        <v/>
      </c>
      <c r="B10567" s="37" t="str">
        <f t="array" ref="B10567">iferror(xlookup($I10567, 'IMPORT VHC Report'!$E:$E, 'IMPORT VHC Report'!$A:$C), )</f>
        <v/>
      </c>
      <c r="C10567" s="44"/>
      <c r="D10567" s="44"/>
      <c r="L10567" s="45"/>
      <c r="N10567" s="45"/>
    </row>
    <row r="10568">
      <c r="A10568" s="40" t="str">
        <f t="shared" si="1"/>
        <v/>
      </c>
      <c r="B10568" s="37" t="str">
        <f t="array" ref="B10568">iferror(xlookup($I10568, 'IMPORT VHC Report'!$E:$E, 'IMPORT VHC Report'!$A:$C), )</f>
        <v/>
      </c>
      <c r="C10568" s="44"/>
      <c r="D10568" s="44"/>
      <c r="L10568" s="45"/>
      <c r="N10568" s="45"/>
    </row>
    <row r="10569">
      <c r="A10569" s="40" t="str">
        <f t="shared" si="1"/>
        <v/>
      </c>
      <c r="B10569" s="37" t="str">
        <f t="array" ref="B10569">iferror(xlookup($I10569, 'IMPORT VHC Report'!$E:$E, 'IMPORT VHC Report'!$A:$C), )</f>
        <v/>
      </c>
      <c r="C10569" s="44"/>
      <c r="D10569" s="44"/>
      <c r="L10569" s="45"/>
      <c r="N10569" s="45"/>
    </row>
    <row r="10570">
      <c r="A10570" s="40" t="str">
        <f t="shared" si="1"/>
        <v/>
      </c>
      <c r="B10570" s="37" t="str">
        <f t="array" ref="B10570">iferror(xlookup($I10570, 'IMPORT VHC Report'!$E:$E, 'IMPORT VHC Report'!$A:$C), )</f>
        <v/>
      </c>
      <c r="C10570" s="44"/>
      <c r="D10570" s="44"/>
      <c r="L10570" s="45"/>
      <c r="N10570" s="45"/>
    </row>
    <row r="10571">
      <c r="A10571" s="40" t="str">
        <f t="shared" si="1"/>
        <v/>
      </c>
      <c r="B10571" s="37" t="str">
        <f t="array" ref="B10571">iferror(xlookup($I10571, 'IMPORT VHC Report'!$E:$E, 'IMPORT VHC Report'!$A:$C), )</f>
        <v/>
      </c>
      <c r="C10571" s="44"/>
      <c r="D10571" s="44"/>
      <c r="L10571" s="45"/>
      <c r="N10571" s="45"/>
    </row>
    <row r="10572">
      <c r="A10572" s="40" t="str">
        <f t="shared" si="1"/>
        <v/>
      </c>
      <c r="B10572" s="37" t="str">
        <f t="array" ref="B10572">iferror(xlookup($I10572, 'IMPORT VHC Report'!$E:$E, 'IMPORT VHC Report'!$A:$C), )</f>
        <v/>
      </c>
      <c r="C10572" s="44"/>
      <c r="D10572" s="44"/>
      <c r="L10572" s="45"/>
      <c r="N10572" s="45"/>
    </row>
    <row r="10573">
      <c r="A10573" s="40" t="str">
        <f t="shared" si="1"/>
        <v/>
      </c>
      <c r="B10573" s="37" t="str">
        <f t="array" ref="B10573">iferror(xlookup($I10573, 'IMPORT VHC Report'!$E:$E, 'IMPORT VHC Report'!$A:$C), )</f>
        <v/>
      </c>
      <c r="C10573" s="44"/>
      <c r="D10573" s="44"/>
      <c r="L10573" s="45"/>
      <c r="N10573" s="45"/>
    </row>
    <row r="10574">
      <c r="A10574" s="40" t="str">
        <f t="shared" si="1"/>
        <v/>
      </c>
      <c r="B10574" s="37" t="str">
        <f t="array" ref="B10574">iferror(xlookup($I10574, 'IMPORT VHC Report'!$E:$E, 'IMPORT VHC Report'!$A:$C), )</f>
        <v/>
      </c>
      <c r="C10574" s="44"/>
      <c r="D10574" s="44"/>
      <c r="L10574" s="45"/>
      <c r="N10574" s="45"/>
    </row>
    <row r="10575">
      <c r="A10575" s="40" t="str">
        <f t="shared" si="1"/>
        <v/>
      </c>
      <c r="B10575" s="37" t="str">
        <f t="array" ref="B10575">iferror(xlookup($I10575, 'IMPORT VHC Report'!$E:$E, 'IMPORT VHC Report'!$A:$C), )</f>
        <v/>
      </c>
      <c r="C10575" s="44"/>
      <c r="D10575" s="44"/>
      <c r="L10575" s="45"/>
      <c r="N10575" s="45"/>
    </row>
    <row r="10576">
      <c r="A10576" s="40" t="str">
        <f t="shared" si="1"/>
        <v/>
      </c>
      <c r="B10576" s="37" t="str">
        <f t="array" ref="B10576">iferror(xlookup($I10576, 'IMPORT VHC Report'!$E:$E, 'IMPORT VHC Report'!$A:$C), )</f>
        <v/>
      </c>
      <c r="C10576" s="44"/>
      <c r="D10576" s="44"/>
      <c r="L10576" s="45"/>
      <c r="N10576" s="45"/>
    </row>
    <row r="10577">
      <c r="A10577" s="40" t="str">
        <f t="shared" si="1"/>
        <v/>
      </c>
      <c r="B10577" s="37" t="str">
        <f t="array" ref="B10577">iferror(xlookup($I10577, 'IMPORT VHC Report'!$E:$E, 'IMPORT VHC Report'!$A:$C), )</f>
        <v/>
      </c>
      <c r="C10577" s="44"/>
      <c r="D10577" s="44"/>
      <c r="L10577" s="45"/>
      <c r="N10577" s="45"/>
    </row>
    <row r="10578">
      <c r="A10578" s="40" t="str">
        <f t="shared" si="1"/>
        <v/>
      </c>
      <c r="B10578" s="37" t="str">
        <f t="array" ref="B10578">iferror(xlookup($I10578, 'IMPORT VHC Report'!$E:$E, 'IMPORT VHC Report'!$A:$C), )</f>
        <v/>
      </c>
      <c r="C10578" s="44"/>
      <c r="D10578" s="44"/>
      <c r="L10578" s="45"/>
      <c r="N10578" s="45"/>
    </row>
    <row r="10579">
      <c r="A10579" s="40" t="str">
        <f t="shared" si="1"/>
        <v/>
      </c>
      <c r="B10579" s="37" t="str">
        <f t="array" ref="B10579">iferror(xlookup($I10579, 'IMPORT VHC Report'!$E:$E, 'IMPORT VHC Report'!$A:$C), )</f>
        <v/>
      </c>
      <c r="C10579" s="44"/>
      <c r="D10579" s="44"/>
      <c r="L10579" s="45"/>
      <c r="N10579" s="45"/>
    </row>
    <row r="10580">
      <c r="A10580" s="40" t="str">
        <f t="shared" si="1"/>
        <v/>
      </c>
      <c r="B10580" s="37" t="str">
        <f t="array" ref="B10580">iferror(xlookup($I10580, 'IMPORT VHC Report'!$E:$E, 'IMPORT VHC Report'!$A:$C), )</f>
        <v/>
      </c>
      <c r="C10580" s="44"/>
      <c r="D10580" s="44"/>
      <c r="L10580" s="45"/>
      <c r="N10580" s="45"/>
    </row>
    <row r="10581">
      <c r="A10581" s="40" t="str">
        <f t="shared" si="1"/>
        <v/>
      </c>
      <c r="B10581" s="37" t="str">
        <f t="array" ref="B10581">iferror(xlookup($I10581, 'IMPORT VHC Report'!$E:$E, 'IMPORT VHC Report'!$A:$C), )</f>
        <v/>
      </c>
      <c r="C10581" s="44"/>
      <c r="D10581" s="44"/>
      <c r="L10581" s="45"/>
      <c r="N10581" s="45"/>
    </row>
    <row r="10582">
      <c r="A10582" s="40" t="str">
        <f t="shared" si="1"/>
        <v/>
      </c>
      <c r="B10582" s="37" t="str">
        <f t="array" ref="B10582">iferror(xlookup($I10582, 'IMPORT VHC Report'!$E:$E, 'IMPORT VHC Report'!$A:$C), )</f>
        <v/>
      </c>
      <c r="C10582" s="44"/>
      <c r="D10582" s="44"/>
      <c r="L10582" s="45"/>
      <c r="N10582" s="45"/>
    </row>
    <row r="10583">
      <c r="A10583" s="40" t="str">
        <f t="shared" si="1"/>
        <v/>
      </c>
      <c r="B10583" s="37" t="str">
        <f t="array" ref="B10583">iferror(xlookup($I10583, 'IMPORT VHC Report'!$E:$E, 'IMPORT VHC Report'!$A:$C), )</f>
        <v/>
      </c>
      <c r="C10583" s="44"/>
      <c r="D10583" s="44"/>
      <c r="L10583" s="45"/>
      <c r="N10583" s="45"/>
    </row>
    <row r="10584">
      <c r="A10584" s="40" t="str">
        <f t="shared" si="1"/>
        <v/>
      </c>
      <c r="B10584" s="37" t="str">
        <f t="array" ref="B10584">iferror(xlookup($I10584, 'IMPORT VHC Report'!$E:$E, 'IMPORT VHC Report'!$A:$C), )</f>
        <v/>
      </c>
      <c r="C10584" s="44"/>
      <c r="D10584" s="44"/>
      <c r="L10584" s="45"/>
      <c r="N10584" s="45"/>
    </row>
    <row r="10585">
      <c r="A10585" s="40" t="str">
        <f t="shared" si="1"/>
        <v/>
      </c>
      <c r="B10585" s="37" t="str">
        <f t="array" ref="B10585">iferror(xlookup($I10585, 'IMPORT VHC Report'!$E:$E, 'IMPORT VHC Report'!$A:$C), )</f>
        <v/>
      </c>
      <c r="C10585" s="44"/>
      <c r="D10585" s="44"/>
      <c r="L10585" s="45"/>
      <c r="N10585" s="45"/>
    </row>
    <row r="10586">
      <c r="A10586" s="40" t="str">
        <f t="shared" si="1"/>
        <v/>
      </c>
      <c r="B10586" s="37" t="str">
        <f t="array" ref="B10586">iferror(xlookup($I10586, 'IMPORT VHC Report'!$E:$E, 'IMPORT VHC Report'!$A:$C), )</f>
        <v/>
      </c>
      <c r="C10586" s="44"/>
      <c r="D10586" s="44"/>
      <c r="L10586" s="45"/>
      <c r="N10586" s="45"/>
    </row>
    <row r="10587">
      <c r="A10587" s="40" t="str">
        <f t="shared" si="1"/>
        <v/>
      </c>
      <c r="B10587" s="37" t="str">
        <f t="array" ref="B10587">iferror(xlookup($I10587, 'IMPORT VHC Report'!$E:$E, 'IMPORT VHC Report'!$A:$C), )</f>
        <v/>
      </c>
      <c r="C10587" s="44"/>
      <c r="D10587" s="44"/>
      <c r="L10587" s="45"/>
      <c r="N10587" s="45"/>
    </row>
    <row r="10588">
      <c r="A10588" s="40" t="str">
        <f t="shared" si="1"/>
        <v/>
      </c>
      <c r="B10588" s="37" t="str">
        <f t="array" ref="B10588">iferror(xlookup($I10588, 'IMPORT VHC Report'!$E:$E, 'IMPORT VHC Report'!$A:$C), )</f>
        <v/>
      </c>
      <c r="C10588" s="44"/>
      <c r="D10588" s="44"/>
      <c r="L10588" s="45"/>
      <c r="N10588" s="45"/>
    </row>
    <row r="10589">
      <c r="A10589" s="40" t="str">
        <f t="shared" si="1"/>
        <v/>
      </c>
      <c r="B10589" s="37" t="str">
        <f t="array" ref="B10589">iferror(xlookup($I10589, 'IMPORT VHC Report'!$E:$E, 'IMPORT VHC Report'!$A:$C), )</f>
        <v/>
      </c>
      <c r="C10589" s="44"/>
      <c r="D10589" s="44"/>
      <c r="L10589" s="45"/>
      <c r="N10589" s="45"/>
    </row>
    <row r="10590">
      <c r="A10590" s="40" t="str">
        <f t="shared" si="1"/>
        <v/>
      </c>
      <c r="B10590" s="37" t="str">
        <f t="array" ref="B10590">iferror(xlookup($I10590, 'IMPORT VHC Report'!$E:$E, 'IMPORT VHC Report'!$A:$C), )</f>
        <v/>
      </c>
      <c r="C10590" s="44"/>
      <c r="D10590" s="44"/>
      <c r="L10590" s="45"/>
      <c r="N10590" s="45"/>
    </row>
    <row r="10591">
      <c r="A10591" s="40" t="str">
        <f t="shared" si="1"/>
        <v/>
      </c>
      <c r="B10591" s="37" t="str">
        <f t="array" ref="B10591">iferror(xlookup($I10591, 'IMPORT VHC Report'!$E:$E, 'IMPORT VHC Report'!$A:$C), )</f>
        <v/>
      </c>
      <c r="C10591" s="44"/>
      <c r="D10591" s="44"/>
      <c r="L10591" s="45"/>
      <c r="N10591" s="45"/>
    </row>
    <row r="10592">
      <c r="A10592" s="40" t="str">
        <f t="shared" si="1"/>
        <v/>
      </c>
      <c r="B10592" s="37" t="str">
        <f t="array" ref="B10592">iferror(xlookup($I10592, 'IMPORT VHC Report'!$E:$E, 'IMPORT VHC Report'!$A:$C), )</f>
        <v/>
      </c>
      <c r="C10592" s="44"/>
      <c r="D10592" s="44"/>
      <c r="L10592" s="45"/>
      <c r="N10592" s="45"/>
    </row>
    <row r="10593">
      <c r="A10593" s="40" t="str">
        <f t="shared" si="1"/>
        <v/>
      </c>
      <c r="B10593" s="37" t="str">
        <f t="array" ref="B10593">iferror(xlookup($I10593, 'IMPORT VHC Report'!$E:$E, 'IMPORT VHC Report'!$A:$C), )</f>
        <v/>
      </c>
      <c r="C10593" s="44"/>
      <c r="D10593" s="44"/>
      <c r="L10593" s="45"/>
      <c r="N10593" s="45"/>
    </row>
    <row r="10594">
      <c r="A10594" s="40" t="str">
        <f t="shared" si="1"/>
        <v/>
      </c>
      <c r="B10594" s="37" t="str">
        <f t="array" ref="B10594">iferror(xlookup($I10594, 'IMPORT VHC Report'!$E:$E, 'IMPORT VHC Report'!$A:$C), )</f>
        <v/>
      </c>
      <c r="C10594" s="44"/>
      <c r="D10594" s="44"/>
      <c r="L10594" s="45"/>
      <c r="N10594" s="45"/>
    </row>
    <row r="10595">
      <c r="A10595" s="40" t="str">
        <f t="shared" si="1"/>
        <v/>
      </c>
      <c r="B10595" s="37" t="str">
        <f t="array" ref="B10595">iferror(xlookup($I10595, 'IMPORT VHC Report'!$E:$E, 'IMPORT VHC Report'!$A:$C), )</f>
        <v/>
      </c>
      <c r="C10595" s="44"/>
      <c r="D10595" s="44"/>
      <c r="L10595" s="45"/>
      <c r="N10595" s="45"/>
    </row>
    <row r="10596">
      <c r="A10596" s="40" t="str">
        <f t="shared" si="1"/>
        <v/>
      </c>
      <c r="B10596" s="37" t="str">
        <f t="array" ref="B10596">iferror(xlookup($I10596, 'IMPORT VHC Report'!$E:$E, 'IMPORT VHC Report'!$A:$C), )</f>
        <v/>
      </c>
      <c r="C10596" s="44"/>
      <c r="D10596" s="44"/>
      <c r="L10596" s="45"/>
      <c r="N10596" s="45"/>
    </row>
    <row r="10597">
      <c r="A10597" s="40" t="str">
        <f t="shared" si="1"/>
        <v/>
      </c>
      <c r="B10597" s="37" t="str">
        <f t="array" ref="B10597">iferror(xlookup($I10597, 'IMPORT VHC Report'!$E:$E, 'IMPORT VHC Report'!$A:$C), )</f>
        <v/>
      </c>
      <c r="C10597" s="44"/>
      <c r="D10597" s="44"/>
      <c r="L10597" s="45"/>
      <c r="N10597" s="45"/>
    </row>
    <row r="10598">
      <c r="A10598" s="40" t="str">
        <f t="shared" si="1"/>
        <v/>
      </c>
      <c r="B10598" s="37" t="str">
        <f t="array" ref="B10598">iferror(xlookup($I10598, 'IMPORT VHC Report'!$E:$E, 'IMPORT VHC Report'!$A:$C), )</f>
        <v/>
      </c>
      <c r="C10598" s="44"/>
      <c r="D10598" s="44"/>
      <c r="L10598" s="45"/>
      <c r="N10598" s="45"/>
    </row>
    <row r="10599">
      <c r="A10599" s="40" t="str">
        <f t="shared" si="1"/>
        <v/>
      </c>
      <c r="B10599" s="37" t="str">
        <f t="array" ref="B10599">iferror(xlookup($I10599, 'IMPORT VHC Report'!$E:$E, 'IMPORT VHC Report'!$A:$C), )</f>
        <v/>
      </c>
      <c r="C10599" s="44"/>
      <c r="D10599" s="44"/>
      <c r="L10599" s="45"/>
      <c r="N10599" s="45"/>
    </row>
    <row r="10600">
      <c r="A10600" s="40" t="str">
        <f t="shared" si="1"/>
        <v/>
      </c>
      <c r="B10600" s="37" t="str">
        <f t="array" ref="B10600">iferror(xlookup($I10600, 'IMPORT VHC Report'!$E:$E, 'IMPORT VHC Report'!$A:$C), )</f>
        <v/>
      </c>
      <c r="C10600" s="44"/>
      <c r="D10600" s="44"/>
      <c r="L10600" s="45"/>
      <c r="N10600" s="45"/>
    </row>
    <row r="10601">
      <c r="A10601" s="40" t="str">
        <f t="shared" si="1"/>
        <v/>
      </c>
      <c r="B10601" s="37" t="str">
        <f t="array" ref="B10601">iferror(xlookup($I10601, 'IMPORT VHC Report'!$E:$E, 'IMPORT VHC Report'!$A:$C), )</f>
        <v/>
      </c>
      <c r="C10601" s="44"/>
      <c r="D10601" s="44"/>
      <c r="L10601" s="45"/>
      <c r="N10601" s="45"/>
    </row>
    <row r="10602">
      <c r="A10602" s="40" t="str">
        <f t="shared" si="1"/>
        <v/>
      </c>
      <c r="B10602" s="37" t="str">
        <f t="array" ref="B10602">iferror(xlookup($I10602, 'IMPORT VHC Report'!$E:$E, 'IMPORT VHC Report'!$A:$C), )</f>
        <v/>
      </c>
      <c r="C10602" s="44"/>
      <c r="D10602" s="44"/>
      <c r="L10602" s="45"/>
      <c r="N10602" s="45"/>
    </row>
    <row r="10603">
      <c r="A10603" s="40" t="str">
        <f t="shared" si="1"/>
        <v/>
      </c>
      <c r="B10603" s="37" t="str">
        <f t="array" ref="B10603">iferror(xlookup($I10603, 'IMPORT VHC Report'!$E:$E, 'IMPORT VHC Report'!$A:$C), )</f>
        <v/>
      </c>
      <c r="C10603" s="44"/>
      <c r="D10603" s="44"/>
      <c r="L10603" s="45"/>
      <c r="N10603" s="45"/>
    </row>
    <row r="10604">
      <c r="A10604" s="40" t="str">
        <f t="shared" si="1"/>
        <v/>
      </c>
      <c r="B10604" s="37" t="str">
        <f t="array" ref="B10604">iferror(xlookup($I10604, 'IMPORT VHC Report'!$E:$E, 'IMPORT VHC Report'!$A:$C), )</f>
        <v/>
      </c>
      <c r="C10604" s="44"/>
      <c r="D10604" s="44"/>
      <c r="L10604" s="45"/>
      <c r="N10604" s="45"/>
    </row>
    <row r="10605">
      <c r="A10605" s="40" t="str">
        <f t="shared" si="1"/>
        <v/>
      </c>
      <c r="B10605" s="37" t="str">
        <f t="array" ref="B10605">iferror(xlookup($I10605, 'IMPORT VHC Report'!$E:$E, 'IMPORT VHC Report'!$A:$C), )</f>
        <v/>
      </c>
      <c r="C10605" s="44"/>
      <c r="D10605" s="44"/>
      <c r="L10605" s="45"/>
      <c r="N10605" s="45"/>
    </row>
    <row r="10606">
      <c r="A10606" s="40" t="str">
        <f t="shared" si="1"/>
        <v/>
      </c>
      <c r="B10606" s="37" t="str">
        <f t="array" ref="B10606">iferror(xlookup($I10606, 'IMPORT VHC Report'!$E:$E, 'IMPORT VHC Report'!$A:$C), )</f>
        <v/>
      </c>
      <c r="C10606" s="44"/>
      <c r="D10606" s="44"/>
      <c r="L10606" s="45"/>
      <c r="N10606" s="45"/>
    </row>
    <row r="10607">
      <c r="A10607" s="40" t="str">
        <f t="shared" si="1"/>
        <v/>
      </c>
      <c r="B10607" s="37" t="str">
        <f t="array" ref="B10607">iferror(xlookup($I10607, 'IMPORT VHC Report'!$E:$E, 'IMPORT VHC Report'!$A:$C), )</f>
        <v/>
      </c>
      <c r="C10607" s="44"/>
      <c r="D10607" s="44"/>
      <c r="L10607" s="45"/>
      <c r="N10607" s="45"/>
    </row>
    <row r="10608">
      <c r="A10608" s="40" t="str">
        <f t="shared" si="1"/>
        <v/>
      </c>
      <c r="B10608" s="37" t="str">
        <f t="array" ref="B10608">iferror(xlookup($I10608, 'IMPORT VHC Report'!$E:$E, 'IMPORT VHC Report'!$A:$C), )</f>
        <v/>
      </c>
      <c r="C10608" s="44"/>
      <c r="D10608" s="44"/>
      <c r="L10608" s="45"/>
      <c r="N10608" s="45"/>
    </row>
    <row r="10609">
      <c r="A10609" s="40" t="str">
        <f t="shared" si="1"/>
        <v/>
      </c>
      <c r="B10609" s="37" t="str">
        <f t="array" ref="B10609">iferror(xlookup($I10609, 'IMPORT VHC Report'!$E:$E, 'IMPORT VHC Report'!$A:$C), )</f>
        <v/>
      </c>
      <c r="C10609" s="44"/>
      <c r="D10609" s="44"/>
      <c r="L10609" s="45"/>
      <c r="N10609" s="45"/>
    </row>
    <row r="10610">
      <c r="A10610" s="40" t="str">
        <f t="shared" si="1"/>
        <v/>
      </c>
      <c r="B10610" s="37" t="str">
        <f t="array" ref="B10610">iferror(xlookup($I10610, 'IMPORT VHC Report'!$E:$E, 'IMPORT VHC Report'!$A:$C), )</f>
        <v/>
      </c>
      <c r="C10610" s="44"/>
      <c r="D10610" s="44"/>
      <c r="L10610" s="45"/>
      <c r="N10610" s="45"/>
    </row>
    <row r="10611">
      <c r="A10611" s="40" t="str">
        <f t="shared" si="1"/>
        <v/>
      </c>
      <c r="B10611" s="37" t="str">
        <f t="array" ref="B10611">iferror(xlookup($I10611, 'IMPORT VHC Report'!$E:$E, 'IMPORT VHC Report'!$A:$C), )</f>
        <v/>
      </c>
      <c r="C10611" s="44"/>
      <c r="D10611" s="44"/>
      <c r="L10611" s="45"/>
      <c r="N10611" s="45"/>
    </row>
    <row r="10612">
      <c r="A10612" s="40" t="str">
        <f t="shared" si="1"/>
        <v/>
      </c>
      <c r="B10612" s="37" t="str">
        <f t="array" ref="B10612">iferror(xlookup($I10612, 'IMPORT VHC Report'!$E:$E, 'IMPORT VHC Report'!$A:$C), )</f>
        <v/>
      </c>
      <c r="C10612" s="44"/>
      <c r="D10612" s="44"/>
      <c r="L10612" s="45"/>
      <c r="N10612" s="45"/>
    </row>
    <row r="10613">
      <c r="A10613" s="40" t="str">
        <f t="shared" si="1"/>
        <v/>
      </c>
      <c r="B10613" s="37" t="str">
        <f t="array" ref="B10613">iferror(xlookup($I10613, 'IMPORT VHC Report'!$E:$E, 'IMPORT VHC Report'!$A:$C), )</f>
        <v/>
      </c>
      <c r="C10613" s="44"/>
      <c r="D10613" s="44"/>
      <c r="L10613" s="45"/>
      <c r="N10613" s="45"/>
    </row>
    <row r="10614">
      <c r="A10614" s="40" t="str">
        <f t="shared" si="1"/>
        <v/>
      </c>
      <c r="B10614" s="37" t="str">
        <f t="array" ref="B10614">iferror(xlookup($I10614, 'IMPORT VHC Report'!$E:$E, 'IMPORT VHC Report'!$A:$C), )</f>
        <v/>
      </c>
      <c r="C10614" s="44"/>
      <c r="D10614" s="44"/>
      <c r="L10614" s="45"/>
      <c r="N10614" s="45"/>
    </row>
    <row r="10615">
      <c r="A10615" s="40" t="str">
        <f t="shared" si="1"/>
        <v/>
      </c>
      <c r="B10615" s="37" t="str">
        <f t="array" ref="B10615">iferror(xlookup($I10615, 'IMPORT VHC Report'!$E:$E, 'IMPORT VHC Report'!$A:$C), )</f>
        <v/>
      </c>
      <c r="C10615" s="44"/>
      <c r="D10615" s="44"/>
      <c r="L10615" s="45"/>
      <c r="N10615" s="45"/>
    </row>
    <row r="10616">
      <c r="A10616" s="40" t="str">
        <f t="shared" si="1"/>
        <v/>
      </c>
      <c r="B10616" s="37" t="str">
        <f t="array" ref="B10616">iferror(xlookup($I10616, 'IMPORT VHC Report'!$E:$E, 'IMPORT VHC Report'!$A:$C), )</f>
        <v/>
      </c>
      <c r="C10616" s="44"/>
      <c r="D10616" s="44"/>
      <c r="L10616" s="45"/>
      <c r="N10616" s="45"/>
    </row>
    <row r="10617">
      <c r="A10617" s="40" t="str">
        <f t="shared" si="1"/>
        <v/>
      </c>
      <c r="B10617" s="37" t="str">
        <f t="array" ref="B10617">iferror(xlookup($I10617, 'IMPORT VHC Report'!$E:$E, 'IMPORT VHC Report'!$A:$C), )</f>
        <v/>
      </c>
      <c r="C10617" s="44"/>
      <c r="D10617" s="44"/>
      <c r="L10617" s="45"/>
      <c r="N10617" s="45"/>
    </row>
    <row r="10618">
      <c r="A10618" s="40" t="str">
        <f t="shared" si="1"/>
        <v/>
      </c>
      <c r="B10618" s="37" t="str">
        <f t="array" ref="B10618">iferror(xlookup($I10618, 'IMPORT VHC Report'!$E:$E, 'IMPORT VHC Report'!$A:$C), )</f>
        <v/>
      </c>
      <c r="C10618" s="44"/>
      <c r="D10618" s="44"/>
      <c r="L10618" s="45"/>
      <c r="N10618" s="45"/>
    </row>
    <row r="10619">
      <c r="A10619" s="40" t="str">
        <f t="shared" si="1"/>
        <v/>
      </c>
      <c r="B10619" s="37" t="str">
        <f t="array" ref="B10619">iferror(xlookup($I10619, 'IMPORT VHC Report'!$E:$E, 'IMPORT VHC Report'!$A:$C), )</f>
        <v/>
      </c>
      <c r="C10619" s="44"/>
      <c r="D10619" s="44"/>
      <c r="L10619" s="45"/>
      <c r="N10619" s="45"/>
    </row>
    <row r="10620">
      <c r="A10620" s="40" t="str">
        <f t="shared" si="1"/>
        <v/>
      </c>
      <c r="B10620" s="37" t="str">
        <f t="array" ref="B10620">iferror(xlookup($I10620, 'IMPORT VHC Report'!$E:$E, 'IMPORT VHC Report'!$A:$C), )</f>
        <v/>
      </c>
      <c r="C10620" s="44"/>
      <c r="D10620" s="44"/>
      <c r="L10620" s="45"/>
      <c r="N10620" s="45"/>
    </row>
    <row r="10621">
      <c r="A10621" s="40" t="str">
        <f t="shared" si="1"/>
        <v/>
      </c>
      <c r="B10621" s="37" t="str">
        <f t="array" ref="B10621">iferror(xlookup($I10621, 'IMPORT VHC Report'!$E:$E, 'IMPORT VHC Report'!$A:$C), )</f>
        <v/>
      </c>
      <c r="C10621" s="44"/>
      <c r="D10621" s="44"/>
      <c r="L10621" s="45"/>
      <c r="N10621" s="45"/>
    </row>
    <row r="10622">
      <c r="A10622" s="40" t="str">
        <f t="shared" si="1"/>
        <v/>
      </c>
      <c r="B10622" s="37" t="str">
        <f t="array" ref="B10622">iferror(xlookup($I10622, 'IMPORT VHC Report'!$E:$E, 'IMPORT VHC Report'!$A:$C), )</f>
        <v/>
      </c>
      <c r="C10622" s="44"/>
      <c r="D10622" s="44"/>
      <c r="L10622" s="45"/>
      <c r="N10622" s="45"/>
    </row>
    <row r="10623">
      <c r="A10623" s="40" t="str">
        <f t="shared" si="1"/>
        <v/>
      </c>
      <c r="B10623" s="37" t="str">
        <f t="array" ref="B10623">iferror(xlookup($I10623, 'IMPORT VHC Report'!$E:$E, 'IMPORT VHC Report'!$A:$C), )</f>
        <v/>
      </c>
      <c r="C10623" s="44"/>
      <c r="D10623" s="44"/>
      <c r="L10623" s="45"/>
      <c r="N10623" s="45"/>
    </row>
    <row r="10624">
      <c r="A10624" s="40" t="str">
        <f t="shared" si="1"/>
        <v/>
      </c>
      <c r="B10624" s="37" t="str">
        <f t="array" ref="B10624">iferror(xlookup($I10624, 'IMPORT VHC Report'!$E:$E, 'IMPORT VHC Report'!$A:$C), )</f>
        <v/>
      </c>
      <c r="C10624" s="44"/>
      <c r="D10624" s="44"/>
      <c r="L10624" s="45"/>
      <c r="N10624" s="45"/>
    </row>
    <row r="10625">
      <c r="A10625" s="40" t="str">
        <f t="shared" si="1"/>
        <v/>
      </c>
      <c r="B10625" s="37" t="str">
        <f t="array" ref="B10625">iferror(xlookup($I10625, 'IMPORT VHC Report'!$E:$E, 'IMPORT VHC Report'!$A:$C), )</f>
        <v/>
      </c>
      <c r="C10625" s="44"/>
      <c r="D10625" s="44"/>
      <c r="L10625" s="45"/>
      <c r="N10625" s="45"/>
    </row>
    <row r="10626">
      <c r="A10626" s="40" t="str">
        <f t="shared" si="1"/>
        <v/>
      </c>
      <c r="B10626" s="37" t="str">
        <f t="array" ref="B10626">iferror(xlookup($I10626, 'IMPORT VHC Report'!$E:$E, 'IMPORT VHC Report'!$A:$C), )</f>
        <v/>
      </c>
      <c r="C10626" s="44"/>
      <c r="D10626" s="44"/>
      <c r="L10626" s="45"/>
      <c r="N10626" s="45"/>
    </row>
    <row r="10627">
      <c r="A10627" s="40" t="str">
        <f t="shared" si="1"/>
        <v/>
      </c>
      <c r="B10627" s="37" t="str">
        <f t="array" ref="B10627">iferror(xlookup($I10627, 'IMPORT VHC Report'!$E:$E, 'IMPORT VHC Report'!$A:$C), )</f>
        <v/>
      </c>
      <c r="C10627" s="44"/>
      <c r="D10627" s="44"/>
      <c r="L10627" s="45"/>
      <c r="N10627" s="45"/>
    </row>
    <row r="10628">
      <c r="A10628" s="40" t="str">
        <f t="shared" si="1"/>
        <v/>
      </c>
      <c r="B10628" s="37" t="str">
        <f t="array" ref="B10628">iferror(xlookup($I10628, 'IMPORT VHC Report'!$E:$E, 'IMPORT VHC Report'!$A:$C), )</f>
        <v/>
      </c>
      <c r="C10628" s="44"/>
      <c r="D10628" s="44"/>
      <c r="L10628" s="45"/>
      <c r="N10628" s="45"/>
    </row>
    <row r="10629">
      <c r="A10629" s="40" t="str">
        <f t="shared" si="1"/>
        <v/>
      </c>
      <c r="B10629" s="37" t="str">
        <f t="array" ref="B10629">iferror(xlookup($I10629, 'IMPORT VHC Report'!$E:$E, 'IMPORT VHC Report'!$A:$C), )</f>
        <v/>
      </c>
      <c r="C10629" s="44"/>
      <c r="D10629" s="44"/>
      <c r="L10629" s="45"/>
      <c r="N10629" s="45"/>
    </row>
    <row r="10630">
      <c r="A10630" s="40" t="str">
        <f t="shared" si="1"/>
        <v/>
      </c>
      <c r="B10630" s="37" t="str">
        <f t="array" ref="B10630">iferror(xlookup($I10630, 'IMPORT VHC Report'!$E:$E, 'IMPORT VHC Report'!$A:$C), )</f>
        <v/>
      </c>
      <c r="C10630" s="44"/>
      <c r="D10630" s="44"/>
      <c r="L10630" s="45"/>
      <c r="N10630" s="45"/>
    </row>
    <row r="10631">
      <c r="A10631" s="40" t="str">
        <f t="shared" si="1"/>
        <v/>
      </c>
      <c r="B10631" s="37" t="str">
        <f t="array" ref="B10631">iferror(xlookup($I10631, 'IMPORT VHC Report'!$E:$E, 'IMPORT VHC Report'!$A:$C), )</f>
        <v/>
      </c>
      <c r="C10631" s="44"/>
      <c r="D10631" s="44"/>
      <c r="L10631" s="45"/>
      <c r="N10631" s="45"/>
    </row>
    <row r="10632">
      <c r="A10632" s="40" t="str">
        <f t="shared" si="1"/>
        <v/>
      </c>
      <c r="B10632" s="37" t="str">
        <f t="array" ref="B10632">iferror(xlookup($I10632, 'IMPORT VHC Report'!$E:$E, 'IMPORT VHC Report'!$A:$C), )</f>
        <v/>
      </c>
      <c r="C10632" s="44"/>
      <c r="D10632" s="44"/>
      <c r="L10632" s="45"/>
      <c r="N10632" s="45"/>
    </row>
    <row r="10633">
      <c r="A10633" s="40" t="str">
        <f t="shared" si="1"/>
        <v/>
      </c>
      <c r="B10633" s="37" t="str">
        <f t="array" ref="B10633">iferror(xlookup($I10633, 'IMPORT VHC Report'!$E:$E, 'IMPORT VHC Report'!$A:$C), )</f>
        <v/>
      </c>
      <c r="C10633" s="44"/>
      <c r="D10633" s="44"/>
      <c r="L10633" s="45"/>
      <c r="N10633" s="45"/>
    </row>
    <row r="10634">
      <c r="A10634" s="40" t="str">
        <f t="shared" si="1"/>
        <v/>
      </c>
      <c r="B10634" s="37" t="str">
        <f t="array" ref="B10634">iferror(xlookup($I10634, 'IMPORT VHC Report'!$E:$E, 'IMPORT VHC Report'!$A:$C), )</f>
        <v/>
      </c>
      <c r="C10634" s="44"/>
      <c r="D10634" s="44"/>
      <c r="L10634" s="45"/>
      <c r="N10634" s="45"/>
    </row>
    <row r="10635">
      <c r="A10635" s="40" t="str">
        <f t="shared" si="1"/>
        <v/>
      </c>
      <c r="B10635" s="37" t="str">
        <f t="array" ref="B10635">iferror(xlookup($I10635, 'IMPORT VHC Report'!$E:$E, 'IMPORT VHC Report'!$A:$C), )</f>
        <v/>
      </c>
      <c r="C10635" s="44"/>
      <c r="D10635" s="44"/>
      <c r="L10635" s="45"/>
      <c r="N10635" s="45"/>
    </row>
    <row r="10636">
      <c r="A10636" s="40" t="str">
        <f t="shared" si="1"/>
        <v/>
      </c>
      <c r="B10636" s="37" t="str">
        <f t="array" ref="B10636">iferror(xlookup($I10636, 'IMPORT VHC Report'!$E:$E, 'IMPORT VHC Report'!$A:$C), )</f>
        <v/>
      </c>
      <c r="C10636" s="44"/>
      <c r="D10636" s="44"/>
      <c r="L10636" s="45"/>
      <c r="N10636" s="45"/>
    </row>
    <row r="10637">
      <c r="A10637" s="40" t="str">
        <f t="shared" si="1"/>
        <v/>
      </c>
      <c r="B10637" s="37" t="str">
        <f t="array" ref="B10637">iferror(xlookup($I10637, 'IMPORT VHC Report'!$E:$E, 'IMPORT VHC Report'!$A:$C), )</f>
        <v/>
      </c>
      <c r="C10637" s="44"/>
      <c r="D10637" s="44"/>
      <c r="L10637" s="45"/>
      <c r="N10637" s="45"/>
    </row>
    <row r="10638">
      <c r="A10638" s="40" t="str">
        <f t="shared" si="1"/>
        <v/>
      </c>
      <c r="B10638" s="37" t="str">
        <f t="array" ref="B10638">iferror(xlookup($I10638, 'IMPORT VHC Report'!$E:$E, 'IMPORT VHC Report'!$A:$C), )</f>
        <v/>
      </c>
      <c r="C10638" s="44"/>
      <c r="D10638" s="44"/>
      <c r="L10638" s="45"/>
      <c r="N10638" s="45"/>
    </row>
    <row r="10639">
      <c r="A10639" s="40" t="str">
        <f t="shared" si="1"/>
        <v/>
      </c>
      <c r="B10639" s="37" t="str">
        <f t="array" ref="B10639">iferror(xlookup($I10639, 'IMPORT VHC Report'!$E:$E, 'IMPORT VHC Report'!$A:$C), )</f>
        <v/>
      </c>
      <c r="C10639" s="44"/>
      <c r="D10639" s="44"/>
      <c r="L10639" s="45"/>
      <c r="N10639" s="45"/>
    </row>
    <row r="10640">
      <c r="A10640" s="40" t="str">
        <f t="shared" si="1"/>
        <v/>
      </c>
      <c r="B10640" s="37" t="str">
        <f t="array" ref="B10640">iferror(xlookup($I10640, 'IMPORT VHC Report'!$E:$E, 'IMPORT VHC Report'!$A:$C), )</f>
        <v/>
      </c>
      <c r="C10640" s="44"/>
      <c r="D10640" s="44"/>
      <c r="L10640" s="45"/>
      <c r="N10640" s="45"/>
    </row>
    <row r="10641">
      <c r="A10641" s="40" t="str">
        <f t="shared" si="1"/>
        <v/>
      </c>
      <c r="B10641" s="37" t="str">
        <f t="array" ref="B10641">iferror(xlookup($I10641, 'IMPORT VHC Report'!$E:$E, 'IMPORT VHC Report'!$A:$C), )</f>
        <v/>
      </c>
      <c r="C10641" s="44"/>
      <c r="D10641" s="44"/>
      <c r="L10641" s="45"/>
      <c r="N10641" s="45"/>
    </row>
    <row r="10642">
      <c r="A10642" s="40" t="str">
        <f t="shared" si="1"/>
        <v/>
      </c>
      <c r="B10642" s="37" t="str">
        <f t="array" ref="B10642">iferror(xlookup($I10642, 'IMPORT VHC Report'!$E:$E, 'IMPORT VHC Report'!$A:$C), )</f>
        <v/>
      </c>
      <c r="C10642" s="44"/>
      <c r="D10642" s="44"/>
      <c r="L10642" s="45"/>
      <c r="N10642" s="45"/>
    </row>
    <row r="10643">
      <c r="A10643" s="40" t="str">
        <f t="shared" si="1"/>
        <v/>
      </c>
      <c r="B10643" s="37" t="str">
        <f t="array" ref="B10643">iferror(xlookup($I10643, 'IMPORT VHC Report'!$E:$E, 'IMPORT VHC Report'!$A:$C), )</f>
        <v/>
      </c>
      <c r="C10643" s="44"/>
      <c r="D10643" s="44"/>
      <c r="L10643" s="45"/>
      <c r="N10643" s="45"/>
    </row>
    <row r="10644">
      <c r="A10644" s="40" t="str">
        <f t="shared" si="1"/>
        <v/>
      </c>
      <c r="B10644" s="37" t="str">
        <f t="array" ref="B10644">iferror(xlookup($I10644, 'IMPORT VHC Report'!$E:$E, 'IMPORT VHC Report'!$A:$C), )</f>
        <v/>
      </c>
      <c r="C10644" s="44"/>
      <c r="D10644" s="44"/>
      <c r="L10644" s="45"/>
      <c r="N10644" s="45"/>
    </row>
    <row r="10645">
      <c r="A10645" s="40" t="str">
        <f t="shared" si="1"/>
        <v/>
      </c>
      <c r="B10645" s="37" t="str">
        <f t="array" ref="B10645">iferror(xlookup($I10645, 'IMPORT VHC Report'!$E:$E, 'IMPORT VHC Report'!$A:$C), )</f>
        <v/>
      </c>
      <c r="C10645" s="44"/>
      <c r="D10645" s="44"/>
      <c r="L10645" s="45"/>
      <c r="N10645" s="45"/>
    </row>
    <row r="10646">
      <c r="A10646" s="40" t="str">
        <f t="shared" si="1"/>
        <v/>
      </c>
      <c r="B10646" s="37" t="str">
        <f t="array" ref="B10646">iferror(xlookup($I10646, 'IMPORT VHC Report'!$E:$E, 'IMPORT VHC Report'!$A:$C), )</f>
        <v/>
      </c>
      <c r="C10646" s="44"/>
      <c r="D10646" s="44"/>
      <c r="L10646" s="45"/>
      <c r="N10646" s="45"/>
    </row>
    <row r="10647">
      <c r="A10647" s="40" t="str">
        <f t="shared" si="1"/>
        <v/>
      </c>
      <c r="B10647" s="37" t="str">
        <f t="array" ref="B10647">iferror(xlookup($I10647, 'IMPORT VHC Report'!$E:$E, 'IMPORT VHC Report'!$A:$C), )</f>
        <v/>
      </c>
      <c r="C10647" s="44"/>
      <c r="D10647" s="44"/>
      <c r="L10647" s="45"/>
      <c r="N10647" s="45"/>
    </row>
    <row r="10648">
      <c r="A10648" s="40" t="str">
        <f t="shared" si="1"/>
        <v/>
      </c>
      <c r="B10648" s="37" t="str">
        <f t="array" ref="B10648">iferror(xlookup($I10648, 'IMPORT VHC Report'!$E:$E, 'IMPORT VHC Report'!$A:$C), )</f>
        <v/>
      </c>
      <c r="C10648" s="44"/>
      <c r="D10648" s="44"/>
      <c r="L10648" s="45"/>
      <c r="N10648" s="45"/>
    </row>
    <row r="10649">
      <c r="A10649" s="40" t="str">
        <f t="shared" si="1"/>
        <v/>
      </c>
      <c r="B10649" s="37" t="str">
        <f t="array" ref="B10649">iferror(xlookup($I10649, 'IMPORT VHC Report'!$E:$E, 'IMPORT VHC Report'!$A:$C), )</f>
        <v/>
      </c>
      <c r="C10649" s="44"/>
      <c r="D10649" s="44"/>
      <c r="L10649" s="45"/>
      <c r="N10649" s="45"/>
    </row>
    <row r="10650">
      <c r="A10650" s="40" t="str">
        <f t="shared" si="1"/>
        <v/>
      </c>
      <c r="B10650" s="37" t="str">
        <f t="array" ref="B10650">iferror(xlookup($I10650, 'IMPORT VHC Report'!$E:$E, 'IMPORT VHC Report'!$A:$C), )</f>
        <v/>
      </c>
      <c r="C10650" s="44"/>
      <c r="D10650" s="44"/>
      <c r="L10650" s="45"/>
      <c r="N10650" s="45"/>
    </row>
    <row r="10651">
      <c r="A10651" s="40" t="str">
        <f t="shared" si="1"/>
        <v/>
      </c>
      <c r="B10651" s="37" t="str">
        <f t="array" ref="B10651">iferror(xlookup($I10651, 'IMPORT VHC Report'!$E:$E, 'IMPORT VHC Report'!$A:$C), )</f>
        <v/>
      </c>
      <c r="C10651" s="44"/>
      <c r="D10651" s="44"/>
      <c r="L10651" s="45"/>
      <c r="N10651" s="45"/>
    </row>
    <row r="10652">
      <c r="A10652" s="40" t="str">
        <f t="shared" si="1"/>
        <v/>
      </c>
      <c r="B10652" s="37" t="str">
        <f t="array" ref="B10652">iferror(xlookup($I10652, 'IMPORT VHC Report'!$E:$E, 'IMPORT VHC Report'!$A:$C), )</f>
        <v/>
      </c>
      <c r="C10652" s="44"/>
      <c r="D10652" s="44"/>
      <c r="L10652" s="45"/>
      <c r="N10652" s="45"/>
    </row>
    <row r="10653">
      <c r="A10653" s="40" t="str">
        <f t="shared" si="1"/>
        <v/>
      </c>
      <c r="B10653" s="37" t="str">
        <f t="array" ref="B10653">iferror(xlookup($I10653, 'IMPORT VHC Report'!$E:$E, 'IMPORT VHC Report'!$A:$C), )</f>
        <v/>
      </c>
      <c r="C10653" s="44"/>
      <c r="D10653" s="44"/>
      <c r="L10653" s="45"/>
      <c r="N10653" s="45"/>
    </row>
    <row r="10654">
      <c r="A10654" s="40" t="str">
        <f t="shared" si="1"/>
        <v/>
      </c>
      <c r="B10654" s="37" t="str">
        <f t="array" ref="B10654">iferror(xlookup($I10654, 'IMPORT VHC Report'!$E:$E, 'IMPORT VHC Report'!$A:$C), )</f>
        <v/>
      </c>
      <c r="C10654" s="44"/>
      <c r="D10654" s="44"/>
      <c r="L10654" s="45"/>
      <c r="N10654" s="45"/>
    </row>
    <row r="10655">
      <c r="A10655" s="40" t="str">
        <f t="shared" si="1"/>
        <v/>
      </c>
      <c r="B10655" s="37" t="str">
        <f t="array" ref="B10655">iferror(xlookup($I10655, 'IMPORT VHC Report'!$E:$E, 'IMPORT VHC Report'!$A:$C), )</f>
        <v/>
      </c>
      <c r="C10655" s="44"/>
      <c r="D10655" s="44"/>
      <c r="L10655" s="45"/>
      <c r="N10655" s="45"/>
    </row>
    <row r="10656">
      <c r="A10656" s="40" t="str">
        <f t="shared" si="1"/>
        <v/>
      </c>
      <c r="B10656" s="37" t="str">
        <f t="array" ref="B10656">iferror(xlookup($I10656, 'IMPORT VHC Report'!$E:$E, 'IMPORT VHC Report'!$A:$C), )</f>
        <v/>
      </c>
      <c r="C10656" s="44"/>
      <c r="D10656" s="44"/>
      <c r="L10656" s="45"/>
      <c r="N10656" s="45"/>
    </row>
    <row r="10657">
      <c r="A10657" s="40" t="str">
        <f t="shared" si="1"/>
        <v/>
      </c>
      <c r="B10657" s="37" t="str">
        <f t="array" ref="B10657">iferror(xlookup($I10657, 'IMPORT VHC Report'!$E:$E, 'IMPORT VHC Report'!$A:$C), )</f>
        <v/>
      </c>
      <c r="C10657" s="44"/>
      <c r="D10657" s="44"/>
      <c r="L10657" s="45"/>
      <c r="N10657" s="45"/>
    </row>
    <row r="10658">
      <c r="A10658" s="40" t="str">
        <f t="shared" si="1"/>
        <v/>
      </c>
      <c r="B10658" s="37" t="str">
        <f t="array" ref="B10658">iferror(xlookup($I10658, 'IMPORT VHC Report'!$E:$E, 'IMPORT VHC Report'!$A:$C), )</f>
        <v/>
      </c>
      <c r="C10658" s="44"/>
      <c r="D10658" s="44"/>
      <c r="L10658" s="45"/>
      <c r="N10658" s="45"/>
    </row>
    <row r="10659">
      <c r="A10659" s="40" t="str">
        <f t="shared" si="1"/>
        <v/>
      </c>
      <c r="B10659" s="37" t="str">
        <f t="array" ref="B10659">iferror(xlookup($I10659, 'IMPORT VHC Report'!$E:$E, 'IMPORT VHC Report'!$A:$C), )</f>
        <v/>
      </c>
      <c r="C10659" s="44"/>
      <c r="D10659" s="44"/>
      <c r="L10659" s="45"/>
      <c r="N10659" s="45"/>
    </row>
    <row r="10660">
      <c r="A10660" s="40" t="str">
        <f t="shared" si="1"/>
        <v/>
      </c>
      <c r="B10660" s="37" t="str">
        <f t="array" ref="B10660">iferror(xlookup($I10660, 'IMPORT VHC Report'!$E:$E, 'IMPORT VHC Report'!$A:$C), )</f>
        <v/>
      </c>
      <c r="C10660" s="44"/>
      <c r="D10660" s="44"/>
      <c r="L10660" s="45"/>
      <c r="N10660" s="45"/>
    </row>
    <row r="10661">
      <c r="A10661" s="40" t="str">
        <f t="shared" si="1"/>
        <v/>
      </c>
      <c r="B10661" s="37" t="str">
        <f t="array" ref="B10661">iferror(xlookup($I10661, 'IMPORT VHC Report'!$E:$E, 'IMPORT VHC Report'!$A:$C), )</f>
        <v/>
      </c>
      <c r="C10661" s="44"/>
      <c r="D10661" s="44"/>
      <c r="L10661" s="45"/>
      <c r="N10661" s="45"/>
    </row>
    <row r="10662">
      <c r="A10662" s="40" t="str">
        <f t="shared" si="1"/>
        <v/>
      </c>
      <c r="B10662" s="37" t="str">
        <f t="array" ref="B10662">iferror(xlookup($I10662, 'IMPORT VHC Report'!$E:$E, 'IMPORT VHC Report'!$A:$C), )</f>
        <v/>
      </c>
      <c r="C10662" s="44"/>
      <c r="D10662" s="44"/>
      <c r="L10662" s="45"/>
      <c r="N10662" s="45"/>
    </row>
    <row r="10663">
      <c r="A10663" s="40" t="str">
        <f t="shared" si="1"/>
        <v/>
      </c>
      <c r="B10663" s="37" t="str">
        <f t="array" ref="B10663">iferror(xlookup($I10663, 'IMPORT VHC Report'!$E:$E, 'IMPORT VHC Report'!$A:$C), )</f>
        <v/>
      </c>
      <c r="C10663" s="44"/>
      <c r="D10663" s="44"/>
      <c r="L10663" s="45"/>
      <c r="N10663" s="45"/>
    </row>
    <row r="10664">
      <c r="A10664" s="40" t="str">
        <f t="shared" si="1"/>
        <v/>
      </c>
      <c r="B10664" s="37" t="str">
        <f t="array" ref="B10664">iferror(xlookup($I10664, 'IMPORT VHC Report'!$E:$E, 'IMPORT VHC Report'!$A:$C), )</f>
        <v/>
      </c>
      <c r="C10664" s="44"/>
      <c r="D10664" s="44"/>
      <c r="L10664" s="45"/>
      <c r="N10664" s="45"/>
    </row>
    <row r="10665">
      <c r="A10665" s="40" t="str">
        <f t="shared" si="1"/>
        <v/>
      </c>
      <c r="B10665" s="37" t="str">
        <f t="array" ref="B10665">iferror(xlookup($I10665, 'IMPORT VHC Report'!$E:$E, 'IMPORT VHC Report'!$A:$C), )</f>
        <v/>
      </c>
      <c r="C10665" s="44"/>
      <c r="D10665" s="44"/>
      <c r="L10665" s="45"/>
      <c r="N10665" s="45"/>
    </row>
    <row r="10666">
      <c r="A10666" s="40" t="str">
        <f t="shared" si="1"/>
        <v/>
      </c>
      <c r="B10666" s="37" t="str">
        <f t="array" ref="B10666">iferror(xlookup($I10666, 'IMPORT VHC Report'!$E:$E, 'IMPORT VHC Report'!$A:$C), )</f>
        <v/>
      </c>
      <c r="C10666" s="44"/>
      <c r="D10666" s="44"/>
      <c r="L10666" s="45"/>
      <c r="N10666" s="45"/>
    </row>
    <row r="10667">
      <c r="A10667" s="40" t="str">
        <f t="shared" si="1"/>
        <v/>
      </c>
      <c r="B10667" s="37" t="str">
        <f t="array" ref="B10667">iferror(xlookup($I10667, 'IMPORT VHC Report'!$E:$E, 'IMPORT VHC Report'!$A:$C), )</f>
        <v/>
      </c>
      <c r="C10667" s="44"/>
      <c r="D10667" s="44"/>
      <c r="L10667" s="45"/>
      <c r="N10667" s="45"/>
    </row>
    <row r="10668">
      <c r="A10668" s="40" t="str">
        <f t="shared" si="1"/>
        <v/>
      </c>
      <c r="B10668" s="37" t="str">
        <f t="array" ref="B10668">iferror(xlookup($I10668, 'IMPORT VHC Report'!$E:$E, 'IMPORT VHC Report'!$A:$C), )</f>
        <v/>
      </c>
      <c r="C10668" s="44"/>
      <c r="D10668" s="44"/>
      <c r="L10668" s="45"/>
      <c r="N10668" s="45"/>
    </row>
    <row r="10669">
      <c r="A10669" s="40" t="str">
        <f t="shared" si="1"/>
        <v/>
      </c>
      <c r="B10669" s="37" t="str">
        <f t="array" ref="B10669">iferror(xlookup($I10669, 'IMPORT VHC Report'!$E:$E, 'IMPORT VHC Report'!$A:$C), )</f>
        <v/>
      </c>
      <c r="C10669" s="44"/>
      <c r="D10669" s="44"/>
      <c r="L10669" s="45"/>
      <c r="N10669" s="45"/>
    </row>
    <row r="10670">
      <c r="A10670" s="40" t="str">
        <f t="shared" si="1"/>
        <v/>
      </c>
      <c r="B10670" s="37" t="str">
        <f t="array" ref="B10670">iferror(xlookup($I10670, 'IMPORT VHC Report'!$E:$E, 'IMPORT VHC Report'!$A:$C), )</f>
        <v/>
      </c>
      <c r="C10670" s="44"/>
      <c r="D10670" s="44"/>
      <c r="L10670" s="45"/>
      <c r="N10670" s="45"/>
    </row>
    <row r="10671">
      <c r="A10671" s="40" t="str">
        <f t="shared" si="1"/>
        <v/>
      </c>
      <c r="B10671" s="37" t="str">
        <f t="array" ref="B10671">iferror(xlookup($I10671, 'IMPORT VHC Report'!$E:$E, 'IMPORT VHC Report'!$A:$C), )</f>
        <v/>
      </c>
      <c r="C10671" s="44"/>
      <c r="D10671" s="44"/>
      <c r="L10671" s="45"/>
      <c r="N10671" s="45"/>
    </row>
    <row r="10672">
      <c r="A10672" s="40" t="str">
        <f t="shared" si="1"/>
        <v/>
      </c>
      <c r="B10672" s="37" t="str">
        <f t="array" ref="B10672">iferror(xlookup($I10672, 'IMPORT VHC Report'!$E:$E, 'IMPORT VHC Report'!$A:$C), )</f>
        <v/>
      </c>
      <c r="C10672" s="44"/>
      <c r="D10672" s="44"/>
      <c r="L10672" s="45"/>
      <c r="N10672" s="45"/>
    </row>
    <row r="10673">
      <c r="A10673" s="40" t="str">
        <f t="shared" si="1"/>
        <v/>
      </c>
      <c r="B10673" s="37" t="str">
        <f t="array" ref="B10673">iferror(xlookup($I10673, 'IMPORT VHC Report'!$E:$E, 'IMPORT VHC Report'!$A:$C), )</f>
        <v/>
      </c>
      <c r="C10673" s="44"/>
      <c r="D10673" s="44"/>
      <c r="L10673" s="45"/>
      <c r="N10673" s="45"/>
    </row>
    <row r="10674">
      <c r="A10674" s="40" t="str">
        <f t="shared" si="1"/>
        <v/>
      </c>
      <c r="B10674" s="37" t="str">
        <f t="array" ref="B10674">iferror(xlookup($I10674, 'IMPORT VHC Report'!$E:$E, 'IMPORT VHC Report'!$A:$C), )</f>
        <v/>
      </c>
      <c r="C10674" s="44"/>
      <c r="D10674" s="44"/>
      <c r="L10674" s="45"/>
      <c r="N10674" s="45"/>
    </row>
    <row r="10675">
      <c r="A10675" s="40" t="str">
        <f t="shared" si="1"/>
        <v/>
      </c>
      <c r="B10675" s="37" t="str">
        <f t="array" ref="B10675">iferror(xlookup($I10675, 'IMPORT VHC Report'!$E:$E, 'IMPORT VHC Report'!$A:$C), )</f>
        <v/>
      </c>
      <c r="C10675" s="44"/>
      <c r="D10675" s="44"/>
      <c r="L10675" s="45"/>
      <c r="N10675" s="45"/>
    </row>
    <row r="10676">
      <c r="A10676" s="40" t="str">
        <f t="shared" si="1"/>
        <v/>
      </c>
      <c r="B10676" s="37" t="str">
        <f t="array" ref="B10676">iferror(xlookup($I10676, 'IMPORT VHC Report'!$E:$E, 'IMPORT VHC Report'!$A:$C), )</f>
        <v/>
      </c>
      <c r="C10676" s="44"/>
      <c r="D10676" s="44"/>
      <c r="L10676" s="45"/>
      <c r="N10676" s="45"/>
    </row>
    <row r="10677">
      <c r="A10677" s="40" t="str">
        <f t="shared" si="1"/>
        <v/>
      </c>
      <c r="B10677" s="37" t="str">
        <f t="array" ref="B10677">iferror(xlookup($I10677, 'IMPORT VHC Report'!$E:$E, 'IMPORT VHC Report'!$A:$C), )</f>
        <v/>
      </c>
      <c r="C10677" s="44"/>
      <c r="D10677" s="44"/>
      <c r="L10677" s="45"/>
      <c r="N10677" s="45"/>
    </row>
    <row r="10678">
      <c r="A10678" s="40" t="str">
        <f t="shared" si="1"/>
        <v/>
      </c>
      <c r="B10678" s="37" t="str">
        <f t="array" ref="B10678">iferror(xlookup($I10678, 'IMPORT VHC Report'!$E:$E, 'IMPORT VHC Report'!$A:$C), )</f>
        <v/>
      </c>
      <c r="C10678" s="44"/>
      <c r="D10678" s="44"/>
      <c r="L10678" s="45"/>
      <c r="N10678" s="45"/>
    </row>
    <row r="10679">
      <c r="A10679" s="40" t="str">
        <f t="shared" si="1"/>
        <v/>
      </c>
      <c r="B10679" s="37" t="str">
        <f t="array" ref="B10679">iferror(xlookup($I10679, 'IMPORT VHC Report'!$E:$E, 'IMPORT VHC Report'!$A:$C), )</f>
        <v/>
      </c>
      <c r="C10679" s="44"/>
      <c r="D10679" s="44"/>
      <c r="L10679" s="45"/>
      <c r="N10679" s="45"/>
    </row>
    <row r="10680">
      <c r="A10680" s="40" t="str">
        <f t="shared" si="1"/>
        <v/>
      </c>
      <c r="B10680" s="37" t="str">
        <f t="array" ref="B10680">iferror(xlookup($I10680, 'IMPORT VHC Report'!$E:$E, 'IMPORT VHC Report'!$A:$C), )</f>
        <v/>
      </c>
      <c r="C10680" s="44"/>
      <c r="D10680" s="44"/>
      <c r="L10680" s="45"/>
      <c r="N10680" s="45"/>
    </row>
    <row r="10681">
      <c r="A10681" s="40" t="str">
        <f t="shared" si="1"/>
        <v/>
      </c>
      <c r="B10681" s="37" t="str">
        <f t="array" ref="B10681">iferror(xlookup($I10681, 'IMPORT VHC Report'!$E:$E, 'IMPORT VHC Report'!$A:$C), )</f>
        <v/>
      </c>
      <c r="C10681" s="44"/>
      <c r="D10681" s="44"/>
      <c r="L10681" s="45"/>
      <c r="N10681" s="45"/>
    </row>
    <row r="10682">
      <c r="A10682" s="40" t="str">
        <f t="shared" si="1"/>
        <v/>
      </c>
      <c r="B10682" s="37" t="str">
        <f t="array" ref="B10682">iferror(xlookup($I10682, 'IMPORT VHC Report'!$E:$E, 'IMPORT VHC Report'!$A:$C), )</f>
        <v/>
      </c>
      <c r="C10682" s="44"/>
      <c r="D10682" s="44"/>
      <c r="L10682" s="45"/>
      <c r="N10682" s="45"/>
    </row>
    <row r="10683">
      <c r="A10683" s="40" t="str">
        <f t="shared" si="1"/>
        <v/>
      </c>
      <c r="B10683" s="37" t="str">
        <f t="array" ref="B10683">iferror(xlookup($I10683, 'IMPORT VHC Report'!$E:$E, 'IMPORT VHC Report'!$A:$C), )</f>
        <v/>
      </c>
      <c r="C10683" s="44"/>
      <c r="D10683" s="44"/>
      <c r="L10683" s="45"/>
      <c r="N10683" s="45"/>
    </row>
    <row r="10684">
      <c r="A10684" s="40" t="str">
        <f t="shared" si="1"/>
        <v/>
      </c>
      <c r="B10684" s="37" t="str">
        <f t="array" ref="B10684">iferror(xlookup($I10684, 'IMPORT VHC Report'!$E:$E, 'IMPORT VHC Report'!$A:$C), )</f>
        <v/>
      </c>
      <c r="C10684" s="44"/>
      <c r="D10684" s="44"/>
      <c r="L10684" s="45"/>
      <c r="N10684" s="45"/>
    </row>
    <row r="10685">
      <c r="A10685" s="40" t="str">
        <f t="shared" si="1"/>
        <v/>
      </c>
      <c r="B10685" s="37" t="str">
        <f t="array" ref="B10685">iferror(xlookup($I10685, 'IMPORT VHC Report'!$E:$E, 'IMPORT VHC Report'!$A:$C), )</f>
        <v/>
      </c>
      <c r="C10685" s="44"/>
      <c r="D10685" s="44"/>
      <c r="L10685" s="45"/>
      <c r="N10685" s="45"/>
    </row>
    <row r="10686">
      <c r="A10686" s="40" t="str">
        <f t="shared" si="1"/>
        <v/>
      </c>
      <c r="B10686" s="37" t="str">
        <f t="array" ref="B10686">iferror(xlookup($I10686, 'IMPORT VHC Report'!$E:$E, 'IMPORT VHC Report'!$A:$C), )</f>
        <v/>
      </c>
      <c r="C10686" s="44"/>
      <c r="D10686" s="44"/>
      <c r="L10686" s="45"/>
      <c r="N10686" s="45"/>
    </row>
    <row r="10687">
      <c r="A10687" s="40" t="str">
        <f t="shared" si="1"/>
        <v/>
      </c>
      <c r="B10687" s="37" t="str">
        <f t="array" ref="B10687">iferror(xlookup($I10687, 'IMPORT VHC Report'!$E:$E, 'IMPORT VHC Report'!$A:$C), )</f>
        <v/>
      </c>
      <c r="C10687" s="44"/>
      <c r="D10687" s="44"/>
      <c r="L10687" s="45"/>
      <c r="N10687" s="45"/>
    </row>
    <row r="10688">
      <c r="A10688" s="40" t="str">
        <f t="shared" si="1"/>
        <v/>
      </c>
      <c r="B10688" s="37" t="str">
        <f t="array" ref="B10688">iferror(xlookup($I10688, 'IMPORT VHC Report'!$E:$E, 'IMPORT VHC Report'!$A:$C), )</f>
        <v/>
      </c>
      <c r="C10688" s="44"/>
      <c r="D10688" s="44"/>
      <c r="L10688" s="45"/>
      <c r="N10688" s="45"/>
    </row>
    <row r="10689">
      <c r="A10689" s="40" t="str">
        <f t="shared" si="1"/>
        <v/>
      </c>
      <c r="B10689" s="37" t="str">
        <f t="array" ref="B10689">iferror(xlookup($I10689, 'IMPORT VHC Report'!$E:$E, 'IMPORT VHC Report'!$A:$C), )</f>
        <v/>
      </c>
      <c r="C10689" s="44"/>
      <c r="D10689" s="44"/>
      <c r="L10689" s="45"/>
      <c r="N10689" s="45"/>
    </row>
    <row r="10690">
      <c r="A10690" s="40" t="str">
        <f t="shared" si="1"/>
        <v/>
      </c>
      <c r="B10690" s="37" t="str">
        <f t="array" ref="B10690">iferror(xlookup($I10690, 'IMPORT VHC Report'!$E:$E, 'IMPORT VHC Report'!$A:$C), )</f>
        <v/>
      </c>
      <c r="C10690" s="44"/>
      <c r="D10690" s="44"/>
      <c r="L10690" s="45"/>
      <c r="N10690" s="45"/>
    </row>
    <row r="10691">
      <c r="A10691" s="40" t="str">
        <f t="shared" si="1"/>
        <v/>
      </c>
      <c r="B10691" s="37" t="str">
        <f t="array" ref="B10691">iferror(xlookup($I10691, 'IMPORT VHC Report'!$E:$E, 'IMPORT VHC Report'!$A:$C), )</f>
        <v/>
      </c>
      <c r="C10691" s="44"/>
      <c r="D10691" s="44"/>
      <c r="L10691" s="45"/>
      <c r="N10691" s="45"/>
    </row>
    <row r="10692">
      <c r="A10692" s="40" t="str">
        <f t="shared" si="1"/>
        <v/>
      </c>
      <c r="B10692" s="37" t="str">
        <f t="array" ref="B10692">iferror(xlookup($I10692, 'IMPORT VHC Report'!$E:$E, 'IMPORT VHC Report'!$A:$C), )</f>
        <v/>
      </c>
      <c r="C10692" s="44"/>
      <c r="D10692" s="44"/>
      <c r="L10692" s="45"/>
      <c r="N10692" s="45"/>
    </row>
    <row r="10693">
      <c r="A10693" s="40" t="str">
        <f t="shared" si="1"/>
        <v/>
      </c>
      <c r="B10693" s="37" t="str">
        <f t="array" ref="B10693">iferror(xlookup($I10693, 'IMPORT VHC Report'!$E:$E, 'IMPORT VHC Report'!$A:$C), )</f>
        <v/>
      </c>
      <c r="C10693" s="44"/>
      <c r="D10693" s="44"/>
      <c r="L10693" s="45"/>
      <c r="N10693" s="45"/>
    </row>
    <row r="10694">
      <c r="A10694" s="40" t="str">
        <f t="shared" si="1"/>
        <v/>
      </c>
      <c r="B10694" s="37" t="str">
        <f t="array" ref="B10694">iferror(xlookup($I10694, 'IMPORT VHC Report'!$E:$E, 'IMPORT VHC Report'!$A:$C), )</f>
        <v/>
      </c>
      <c r="C10694" s="44"/>
      <c r="D10694" s="44"/>
      <c r="L10694" s="45"/>
      <c r="N10694" s="45"/>
    </row>
    <row r="10695">
      <c r="A10695" s="40" t="str">
        <f t="shared" si="1"/>
        <v/>
      </c>
      <c r="B10695" s="37" t="str">
        <f t="array" ref="B10695">iferror(xlookup($I10695, 'IMPORT VHC Report'!$E:$E, 'IMPORT VHC Report'!$A:$C), )</f>
        <v/>
      </c>
      <c r="C10695" s="44"/>
      <c r="D10695" s="44"/>
      <c r="L10695" s="45"/>
      <c r="N10695" s="45"/>
    </row>
    <row r="10696">
      <c r="A10696" s="40" t="str">
        <f t="shared" si="1"/>
        <v/>
      </c>
      <c r="B10696" s="37" t="str">
        <f t="array" ref="B10696">iferror(xlookup($I10696, 'IMPORT VHC Report'!$E:$E, 'IMPORT VHC Report'!$A:$C), )</f>
        <v/>
      </c>
      <c r="C10696" s="44"/>
      <c r="D10696" s="44"/>
      <c r="L10696" s="45"/>
      <c r="N10696" s="45"/>
    </row>
    <row r="10697">
      <c r="A10697" s="40" t="str">
        <f t="shared" si="1"/>
        <v/>
      </c>
      <c r="B10697" s="37" t="str">
        <f t="array" ref="B10697">iferror(xlookup($I10697, 'IMPORT VHC Report'!$E:$E, 'IMPORT VHC Report'!$A:$C), )</f>
        <v/>
      </c>
      <c r="C10697" s="44"/>
      <c r="D10697" s="44"/>
      <c r="L10697" s="45"/>
      <c r="N10697" s="45"/>
    </row>
    <row r="10698">
      <c r="A10698" s="40" t="str">
        <f t="shared" si="1"/>
        <v/>
      </c>
      <c r="B10698" s="37" t="str">
        <f t="array" ref="B10698">iferror(xlookup($I10698, 'IMPORT VHC Report'!$E:$E, 'IMPORT VHC Report'!$A:$C), )</f>
        <v/>
      </c>
      <c r="C10698" s="44"/>
      <c r="D10698" s="44"/>
      <c r="L10698" s="45"/>
      <c r="N10698" s="45"/>
    </row>
    <row r="10699">
      <c r="A10699" s="40" t="str">
        <f t="shared" si="1"/>
        <v/>
      </c>
      <c r="B10699" s="37" t="str">
        <f t="array" ref="B10699">iferror(xlookup($I10699, 'IMPORT VHC Report'!$E:$E, 'IMPORT VHC Report'!$A:$C), )</f>
        <v/>
      </c>
      <c r="C10699" s="44"/>
      <c r="D10699" s="44"/>
      <c r="L10699" s="45"/>
      <c r="N10699" s="45"/>
    </row>
    <row r="10700">
      <c r="A10700" s="40" t="str">
        <f t="shared" si="1"/>
        <v/>
      </c>
      <c r="B10700" s="37" t="str">
        <f t="array" ref="B10700">iferror(xlookup($I10700, 'IMPORT VHC Report'!$E:$E, 'IMPORT VHC Report'!$A:$C), )</f>
        <v/>
      </c>
      <c r="C10700" s="44"/>
      <c r="D10700" s="44"/>
      <c r="L10700" s="45"/>
      <c r="N10700" s="45"/>
    </row>
    <row r="10701">
      <c r="A10701" s="40" t="str">
        <f t="shared" si="1"/>
        <v/>
      </c>
      <c r="B10701" s="37" t="str">
        <f t="array" ref="B10701">iferror(xlookup($I10701, 'IMPORT VHC Report'!$E:$E, 'IMPORT VHC Report'!$A:$C), )</f>
        <v/>
      </c>
      <c r="C10701" s="44"/>
      <c r="D10701" s="44"/>
      <c r="L10701" s="45"/>
      <c r="N10701" s="45"/>
    </row>
    <row r="10702">
      <c r="A10702" s="40" t="str">
        <f t="shared" si="1"/>
        <v/>
      </c>
      <c r="B10702" s="37" t="str">
        <f t="array" ref="B10702">iferror(xlookup($I10702, 'IMPORT VHC Report'!$E:$E, 'IMPORT VHC Report'!$A:$C), )</f>
        <v/>
      </c>
      <c r="C10702" s="44"/>
      <c r="D10702" s="44"/>
      <c r="L10702" s="45"/>
      <c r="N10702" s="45"/>
    </row>
    <row r="10703">
      <c r="A10703" s="40" t="str">
        <f t="shared" si="1"/>
        <v/>
      </c>
      <c r="B10703" s="37" t="str">
        <f t="array" ref="B10703">iferror(xlookup($I10703, 'IMPORT VHC Report'!$E:$E, 'IMPORT VHC Report'!$A:$C), )</f>
        <v/>
      </c>
      <c r="C10703" s="44"/>
      <c r="D10703" s="44"/>
      <c r="L10703" s="45"/>
      <c r="N10703" s="45"/>
    </row>
    <row r="10704">
      <c r="A10704" s="40" t="str">
        <f t="shared" si="1"/>
        <v/>
      </c>
      <c r="B10704" s="37" t="str">
        <f t="array" ref="B10704">iferror(xlookup($I10704, 'IMPORT VHC Report'!$E:$E, 'IMPORT VHC Report'!$A:$C), )</f>
        <v/>
      </c>
      <c r="C10704" s="44"/>
      <c r="D10704" s="44"/>
      <c r="L10704" s="45"/>
      <c r="N10704" s="45"/>
    </row>
    <row r="10705">
      <c r="A10705" s="40" t="str">
        <f t="shared" si="1"/>
        <v/>
      </c>
      <c r="B10705" s="37" t="str">
        <f t="array" ref="B10705">iferror(xlookup($I10705, 'IMPORT VHC Report'!$E:$E, 'IMPORT VHC Report'!$A:$C), )</f>
        <v/>
      </c>
      <c r="C10705" s="44"/>
      <c r="D10705" s="44"/>
      <c r="L10705" s="45"/>
      <c r="N10705" s="45"/>
    </row>
    <row r="10706">
      <c r="A10706" s="40" t="str">
        <f t="shared" si="1"/>
        <v/>
      </c>
      <c r="B10706" s="37" t="str">
        <f t="array" ref="B10706">iferror(xlookup($I10706, 'IMPORT VHC Report'!$E:$E, 'IMPORT VHC Report'!$A:$C), )</f>
        <v/>
      </c>
      <c r="C10706" s="44"/>
      <c r="D10706" s="44"/>
      <c r="L10706" s="45"/>
      <c r="N10706" s="45"/>
    </row>
    <row r="10707">
      <c r="A10707" s="40" t="str">
        <f t="shared" si="1"/>
        <v/>
      </c>
      <c r="B10707" s="37" t="str">
        <f t="array" ref="B10707">iferror(xlookup($I10707, 'IMPORT VHC Report'!$E:$E, 'IMPORT VHC Report'!$A:$C), )</f>
        <v/>
      </c>
      <c r="C10707" s="44"/>
      <c r="D10707" s="44"/>
      <c r="L10707" s="45"/>
      <c r="N10707" s="45"/>
    </row>
    <row r="10708">
      <c r="A10708" s="40" t="str">
        <f t="shared" si="1"/>
        <v/>
      </c>
      <c r="B10708" s="37" t="str">
        <f t="array" ref="B10708">iferror(xlookup($I10708, 'IMPORT VHC Report'!$E:$E, 'IMPORT VHC Report'!$A:$C), )</f>
        <v/>
      </c>
      <c r="C10708" s="44"/>
      <c r="D10708" s="44"/>
      <c r="L10708" s="45"/>
      <c r="N10708" s="45"/>
    </row>
    <row r="10709">
      <c r="A10709" s="40" t="str">
        <f t="shared" si="1"/>
        <v/>
      </c>
      <c r="B10709" s="37" t="str">
        <f t="array" ref="B10709">iferror(xlookup($I10709, 'IMPORT VHC Report'!$E:$E, 'IMPORT VHC Report'!$A:$C), )</f>
        <v/>
      </c>
      <c r="C10709" s="44"/>
      <c r="D10709" s="44"/>
      <c r="L10709" s="45"/>
      <c r="N10709" s="45"/>
    </row>
    <row r="10710">
      <c r="A10710" s="40" t="str">
        <f t="shared" si="1"/>
        <v/>
      </c>
      <c r="B10710" s="37" t="str">
        <f t="array" ref="B10710">iferror(xlookup($I10710, 'IMPORT VHC Report'!$E:$E, 'IMPORT VHC Report'!$A:$C), )</f>
        <v/>
      </c>
      <c r="C10710" s="44"/>
      <c r="D10710" s="44"/>
      <c r="L10710" s="45"/>
      <c r="N10710" s="45"/>
    </row>
    <row r="10711">
      <c r="A10711" s="40" t="str">
        <f t="shared" si="1"/>
        <v/>
      </c>
      <c r="B10711" s="37" t="str">
        <f t="array" ref="B10711">iferror(xlookup($I10711, 'IMPORT VHC Report'!$E:$E, 'IMPORT VHC Report'!$A:$C), )</f>
        <v/>
      </c>
      <c r="C10711" s="44"/>
      <c r="D10711" s="44"/>
      <c r="L10711" s="45"/>
      <c r="N10711" s="45"/>
    </row>
    <row r="10712">
      <c r="A10712" s="40" t="str">
        <f t="shared" si="1"/>
        <v/>
      </c>
      <c r="B10712" s="37" t="str">
        <f t="array" ref="B10712">iferror(xlookup($I10712, 'IMPORT VHC Report'!$E:$E, 'IMPORT VHC Report'!$A:$C), )</f>
        <v/>
      </c>
      <c r="C10712" s="44"/>
      <c r="D10712" s="44"/>
      <c r="L10712" s="45"/>
      <c r="N10712" s="45"/>
    </row>
    <row r="10713">
      <c r="A10713" s="40" t="str">
        <f t="shared" si="1"/>
        <v/>
      </c>
      <c r="B10713" s="37" t="str">
        <f t="array" ref="B10713">iferror(xlookup($I10713, 'IMPORT VHC Report'!$E:$E, 'IMPORT VHC Report'!$A:$C), )</f>
        <v/>
      </c>
      <c r="C10713" s="44"/>
      <c r="D10713" s="44"/>
      <c r="L10713" s="45"/>
      <c r="N10713" s="45"/>
    </row>
    <row r="10714">
      <c r="A10714" s="40" t="str">
        <f t="shared" si="1"/>
        <v/>
      </c>
      <c r="B10714" s="37" t="str">
        <f t="array" ref="B10714">iferror(xlookup($I10714, 'IMPORT VHC Report'!$E:$E, 'IMPORT VHC Report'!$A:$C), )</f>
        <v/>
      </c>
      <c r="C10714" s="44"/>
      <c r="D10714" s="44"/>
      <c r="L10714" s="45"/>
      <c r="N10714" s="45"/>
    </row>
    <row r="10715">
      <c r="A10715" s="40" t="str">
        <f t="shared" si="1"/>
        <v/>
      </c>
      <c r="B10715" s="37" t="str">
        <f t="array" ref="B10715">iferror(xlookup($I10715, 'IMPORT VHC Report'!$E:$E, 'IMPORT VHC Report'!$A:$C), )</f>
        <v/>
      </c>
      <c r="C10715" s="44"/>
      <c r="D10715" s="44"/>
      <c r="L10715" s="45"/>
      <c r="N10715" s="45"/>
    </row>
    <row r="10716">
      <c r="A10716" s="40" t="str">
        <f t="shared" si="1"/>
        <v/>
      </c>
      <c r="B10716" s="37" t="str">
        <f t="array" ref="B10716">iferror(xlookup($I10716, 'IMPORT VHC Report'!$E:$E, 'IMPORT VHC Report'!$A:$C), )</f>
        <v/>
      </c>
      <c r="C10716" s="44"/>
      <c r="D10716" s="44"/>
      <c r="L10716" s="45"/>
      <c r="N10716" s="45"/>
    </row>
    <row r="10717">
      <c r="A10717" s="40" t="str">
        <f t="shared" si="1"/>
        <v/>
      </c>
      <c r="B10717" s="37" t="str">
        <f t="array" ref="B10717">iferror(xlookup($I10717, 'IMPORT VHC Report'!$E:$E, 'IMPORT VHC Report'!$A:$C), )</f>
        <v/>
      </c>
      <c r="C10717" s="44"/>
      <c r="D10717" s="44"/>
      <c r="L10717" s="45"/>
      <c r="N10717" s="45"/>
    </row>
    <row r="10718">
      <c r="A10718" s="40" t="str">
        <f t="shared" si="1"/>
        <v/>
      </c>
      <c r="B10718" s="37" t="str">
        <f t="array" ref="B10718">iferror(xlookup($I10718, 'IMPORT VHC Report'!$E:$E, 'IMPORT VHC Report'!$A:$C), )</f>
        <v/>
      </c>
      <c r="C10718" s="44"/>
      <c r="D10718" s="44"/>
      <c r="L10718" s="45"/>
      <c r="N10718" s="45"/>
    </row>
    <row r="10719">
      <c r="A10719" s="40" t="str">
        <f t="shared" si="1"/>
        <v/>
      </c>
      <c r="B10719" s="37" t="str">
        <f t="array" ref="B10719">iferror(xlookup($I10719, 'IMPORT VHC Report'!$E:$E, 'IMPORT VHC Report'!$A:$C), )</f>
        <v/>
      </c>
      <c r="C10719" s="44"/>
      <c r="D10719" s="44"/>
      <c r="L10719" s="45"/>
      <c r="N10719" s="45"/>
    </row>
    <row r="10720">
      <c r="A10720" s="40" t="str">
        <f t="shared" si="1"/>
        <v/>
      </c>
      <c r="B10720" s="37" t="str">
        <f t="array" ref="B10720">iferror(xlookup($I10720, 'IMPORT VHC Report'!$E:$E, 'IMPORT VHC Report'!$A:$C), )</f>
        <v/>
      </c>
      <c r="C10720" s="44"/>
      <c r="D10720" s="44"/>
      <c r="L10720" s="45"/>
      <c r="N10720" s="45"/>
    </row>
    <row r="10721">
      <c r="A10721" s="40" t="str">
        <f t="shared" si="1"/>
        <v/>
      </c>
      <c r="B10721" s="37" t="str">
        <f t="array" ref="B10721">iferror(xlookup($I10721, 'IMPORT VHC Report'!$E:$E, 'IMPORT VHC Report'!$A:$C), )</f>
        <v/>
      </c>
      <c r="C10721" s="44"/>
      <c r="D10721" s="44"/>
      <c r="L10721" s="45"/>
      <c r="N10721" s="45"/>
    </row>
    <row r="10722">
      <c r="A10722" s="40" t="str">
        <f t="shared" si="1"/>
        <v/>
      </c>
      <c r="B10722" s="37" t="str">
        <f t="array" ref="B10722">iferror(xlookup($I10722, 'IMPORT VHC Report'!$E:$E, 'IMPORT VHC Report'!$A:$C), )</f>
        <v/>
      </c>
      <c r="C10722" s="44"/>
      <c r="D10722" s="44"/>
      <c r="L10722" s="45"/>
      <c r="N10722" s="45"/>
    </row>
    <row r="10723">
      <c r="A10723" s="40" t="str">
        <f t="shared" si="1"/>
        <v/>
      </c>
      <c r="B10723" s="37" t="str">
        <f t="array" ref="B10723">iferror(xlookup($I10723, 'IMPORT VHC Report'!$E:$E, 'IMPORT VHC Report'!$A:$C), )</f>
        <v/>
      </c>
      <c r="C10723" s="44"/>
      <c r="D10723" s="44"/>
      <c r="L10723" s="45"/>
      <c r="N10723" s="45"/>
    </row>
    <row r="10724">
      <c r="A10724" s="40" t="str">
        <f t="shared" si="1"/>
        <v/>
      </c>
      <c r="B10724" s="37" t="str">
        <f t="array" ref="B10724">iferror(xlookup($I10724, 'IMPORT VHC Report'!$E:$E, 'IMPORT VHC Report'!$A:$C), )</f>
        <v/>
      </c>
      <c r="C10724" s="44"/>
      <c r="D10724" s="44"/>
      <c r="L10724" s="45"/>
      <c r="N10724" s="45"/>
    </row>
    <row r="10725">
      <c r="A10725" s="40" t="str">
        <f t="shared" si="1"/>
        <v/>
      </c>
      <c r="B10725" s="37" t="str">
        <f t="array" ref="B10725">iferror(xlookup($I10725, 'IMPORT VHC Report'!$E:$E, 'IMPORT VHC Report'!$A:$C), )</f>
        <v/>
      </c>
      <c r="C10725" s="44"/>
      <c r="D10725" s="44"/>
      <c r="L10725" s="45"/>
      <c r="N10725" s="45"/>
    </row>
    <row r="10726">
      <c r="A10726" s="40" t="str">
        <f t="shared" si="1"/>
        <v/>
      </c>
      <c r="B10726" s="37" t="str">
        <f t="array" ref="B10726">iferror(xlookup($I10726, 'IMPORT VHC Report'!$E:$E, 'IMPORT VHC Report'!$A:$C), )</f>
        <v/>
      </c>
      <c r="C10726" s="44"/>
      <c r="D10726" s="44"/>
      <c r="L10726" s="45"/>
      <c r="N10726" s="45"/>
    </row>
    <row r="10727">
      <c r="A10727" s="40" t="str">
        <f t="shared" si="1"/>
        <v/>
      </c>
      <c r="B10727" s="37" t="str">
        <f t="array" ref="B10727">iferror(xlookup($I10727, 'IMPORT VHC Report'!$E:$E, 'IMPORT VHC Report'!$A:$C), )</f>
        <v/>
      </c>
      <c r="C10727" s="44"/>
      <c r="D10727" s="44"/>
      <c r="L10727" s="45"/>
      <c r="N10727" s="45"/>
    </row>
    <row r="10728">
      <c r="A10728" s="40" t="str">
        <f t="shared" si="1"/>
        <v/>
      </c>
      <c r="B10728" s="37" t="str">
        <f t="array" ref="B10728">iferror(xlookup($I10728, 'IMPORT VHC Report'!$E:$E, 'IMPORT VHC Report'!$A:$C), )</f>
        <v/>
      </c>
      <c r="C10728" s="44"/>
      <c r="D10728" s="44"/>
      <c r="L10728" s="45"/>
      <c r="N10728" s="45"/>
    </row>
    <row r="10729">
      <c r="A10729" s="40" t="str">
        <f t="shared" si="1"/>
        <v/>
      </c>
      <c r="B10729" s="37" t="str">
        <f t="array" ref="B10729">iferror(xlookup($I10729, 'IMPORT VHC Report'!$E:$E, 'IMPORT VHC Report'!$A:$C), )</f>
        <v/>
      </c>
      <c r="C10729" s="44"/>
      <c r="D10729" s="44"/>
      <c r="L10729" s="45"/>
      <c r="N10729" s="45"/>
    </row>
    <row r="10730">
      <c r="A10730" s="40" t="str">
        <f t="shared" si="1"/>
        <v/>
      </c>
      <c r="B10730" s="37" t="str">
        <f t="array" ref="B10730">iferror(xlookup($I10730, 'IMPORT VHC Report'!$E:$E, 'IMPORT VHC Report'!$A:$C), )</f>
        <v/>
      </c>
      <c r="C10730" s="44"/>
      <c r="D10730" s="44"/>
      <c r="L10730" s="45"/>
      <c r="N10730" s="45"/>
    </row>
    <row r="10731">
      <c r="A10731" s="40" t="str">
        <f t="shared" si="1"/>
        <v/>
      </c>
      <c r="B10731" s="37" t="str">
        <f t="array" ref="B10731">iferror(xlookup($I10731, 'IMPORT VHC Report'!$E:$E, 'IMPORT VHC Report'!$A:$C), )</f>
        <v/>
      </c>
      <c r="C10731" s="44"/>
      <c r="D10731" s="44"/>
      <c r="L10731" s="45"/>
      <c r="N10731" s="45"/>
    </row>
    <row r="10732">
      <c r="A10732" s="40" t="str">
        <f t="shared" si="1"/>
        <v/>
      </c>
      <c r="B10732" s="37" t="str">
        <f t="array" ref="B10732">iferror(xlookup($I10732, 'IMPORT VHC Report'!$E:$E, 'IMPORT VHC Report'!$A:$C), )</f>
        <v/>
      </c>
      <c r="C10732" s="44"/>
      <c r="D10732" s="44"/>
      <c r="L10732" s="45"/>
      <c r="N10732" s="45"/>
    </row>
    <row r="10733">
      <c r="A10733" s="40" t="str">
        <f t="shared" si="1"/>
        <v/>
      </c>
      <c r="B10733" s="37" t="str">
        <f t="array" ref="B10733">iferror(xlookup($I10733, 'IMPORT VHC Report'!$E:$E, 'IMPORT VHC Report'!$A:$C), )</f>
        <v/>
      </c>
      <c r="C10733" s="44"/>
      <c r="D10733" s="44"/>
      <c r="L10733" s="45"/>
      <c r="N10733" s="45"/>
    </row>
    <row r="10734">
      <c r="A10734" s="40" t="str">
        <f t="shared" si="1"/>
        <v/>
      </c>
      <c r="B10734" s="37" t="str">
        <f t="array" ref="B10734">iferror(xlookup($I10734, 'IMPORT VHC Report'!$E:$E, 'IMPORT VHC Report'!$A:$C), )</f>
        <v/>
      </c>
      <c r="C10734" s="44"/>
      <c r="D10734" s="44"/>
      <c r="L10734" s="45"/>
      <c r="N10734" s="45"/>
    </row>
    <row r="10735">
      <c r="A10735" s="40" t="str">
        <f t="shared" si="1"/>
        <v/>
      </c>
      <c r="B10735" s="37" t="str">
        <f t="array" ref="B10735">iferror(xlookup($I10735, 'IMPORT VHC Report'!$E:$E, 'IMPORT VHC Report'!$A:$C), )</f>
        <v/>
      </c>
      <c r="C10735" s="44"/>
      <c r="D10735" s="44"/>
      <c r="L10735" s="45"/>
      <c r="N10735" s="45"/>
    </row>
    <row r="10736">
      <c r="A10736" s="40" t="str">
        <f t="shared" si="1"/>
        <v/>
      </c>
      <c r="B10736" s="37" t="str">
        <f t="array" ref="B10736">iferror(xlookup($I10736, 'IMPORT VHC Report'!$E:$E, 'IMPORT VHC Report'!$A:$C), )</f>
        <v/>
      </c>
      <c r="C10736" s="44"/>
      <c r="D10736" s="44"/>
      <c r="L10736" s="45"/>
      <c r="N10736" s="45"/>
    </row>
    <row r="10737">
      <c r="A10737" s="40" t="str">
        <f t="shared" si="1"/>
        <v/>
      </c>
      <c r="B10737" s="37" t="str">
        <f t="array" ref="B10737">iferror(xlookup($I10737, 'IMPORT VHC Report'!$E:$E, 'IMPORT VHC Report'!$A:$C), )</f>
        <v/>
      </c>
      <c r="C10737" s="44"/>
      <c r="D10737" s="44"/>
      <c r="L10737" s="45"/>
      <c r="N10737" s="45"/>
    </row>
    <row r="10738">
      <c r="A10738" s="40" t="str">
        <f t="shared" si="1"/>
        <v/>
      </c>
      <c r="B10738" s="37" t="str">
        <f t="array" ref="B10738">iferror(xlookup($I10738, 'IMPORT VHC Report'!$E:$E, 'IMPORT VHC Report'!$A:$C), )</f>
        <v/>
      </c>
      <c r="C10738" s="44"/>
      <c r="D10738" s="44"/>
      <c r="L10738" s="45"/>
      <c r="N10738" s="45"/>
    </row>
    <row r="10739">
      <c r="A10739" s="40" t="str">
        <f t="shared" si="1"/>
        <v/>
      </c>
      <c r="B10739" s="37" t="str">
        <f t="array" ref="B10739">iferror(xlookup($I10739, 'IMPORT VHC Report'!$E:$E, 'IMPORT VHC Report'!$A:$C), )</f>
        <v/>
      </c>
      <c r="C10739" s="44"/>
      <c r="D10739" s="44"/>
      <c r="L10739" s="45"/>
      <c r="N10739" s="45"/>
    </row>
    <row r="10740">
      <c r="A10740" s="40" t="str">
        <f t="shared" si="1"/>
        <v/>
      </c>
      <c r="B10740" s="37" t="str">
        <f t="array" ref="B10740">iferror(xlookup($I10740, 'IMPORT VHC Report'!$E:$E, 'IMPORT VHC Report'!$A:$C), )</f>
        <v/>
      </c>
      <c r="C10740" s="44"/>
      <c r="D10740" s="44"/>
      <c r="L10740" s="45"/>
      <c r="N10740" s="45"/>
    </row>
    <row r="10741">
      <c r="A10741" s="40" t="str">
        <f t="shared" si="1"/>
        <v/>
      </c>
      <c r="B10741" s="37" t="str">
        <f t="array" ref="B10741">iferror(xlookup($I10741, 'IMPORT VHC Report'!$E:$E, 'IMPORT VHC Report'!$A:$C), )</f>
        <v/>
      </c>
      <c r="C10741" s="44"/>
      <c r="D10741" s="44"/>
      <c r="L10741" s="45"/>
      <c r="N10741" s="45"/>
    </row>
    <row r="10742">
      <c r="A10742" s="40" t="str">
        <f t="shared" si="1"/>
        <v/>
      </c>
      <c r="B10742" s="37" t="str">
        <f t="array" ref="B10742">iferror(xlookup($I10742, 'IMPORT VHC Report'!$E:$E, 'IMPORT VHC Report'!$A:$C), )</f>
        <v/>
      </c>
      <c r="C10742" s="44"/>
      <c r="D10742" s="44"/>
      <c r="L10742" s="45"/>
      <c r="N10742" s="45"/>
    </row>
    <row r="10743">
      <c r="A10743" s="40" t="str">
        <f t="shared" si="1"/>
        <v/>
      </c>
      <c r="B10743" s="37" t="str">
        <f t="array" ref="B10743">iferror(xlookup($I10743, 'IMPORT VHC Report'!$E:$E, 'IMPORT VHC Report'!$A:$C), )</f>
        <v/>
      </c>
      <c r="C10743" s="44"/>
      <c r="D10743" s="44"/>
      <c r="L10743" s="45"/>
      <c r="N10743" s="45"/>
    </row>
    <row r="10744">
      <c r="A10744" s="40" t="str">
        <f t="shared" si="1"/>
        <v/>
      </c>
      <c r="B10744" s="37" t="str">
        <f t="array" ref="B10744">iferror(xlookup($I10744, 'IMPORT VHC Report'!$E:$E, 'IMPORT VHC Report'!$A:$C), )</f>
        <v/>
      </c>
      <c r="C10744" s="44"/>
      <c r="D10744" s="44"/>
      <c r="L10744" s="45"/>
      <c r="N10744" s="45"/>
    </row>
    <row r="10745">
      <c r="A10745" s="40" t="str">
        <f t="shared" si="1"/>
        <v/>
      </c>
      <c r="B10745" s="37" t="str">
        <f t="array" ref="B10745">iferror(xlookup($I10745, 'IMPORT VHC Report'!$E:$E, 'IMPORT VHC Report'!$A:$C), )</f>
        <v/>
      </c>
      <c r="C10745" s="44"/>
      <c r="D10745" s="44"/>
      <c r="L10745" s="45"/>
      <c r="N10745" s="45"/>
    </row>
    <row r="10746">
      <c r="A10746" s="40" t="str">
        <f t="shared" si="1"/>
        <v/>
      </c>
      <c r="B10746" s="37" t="str">
        <f t="array" ref="B10746">iferror(xlookup($I10746, 'IMPORT VHC Report'!$E:$E, 'IMPORT VHC Report'!$A:$C), )</f>
        <v/>
      </c>
      <c r="C10746" s="44"/>
      <c r="D10746" s="44"/>
      <c r="L10746" s="45"/>
      <c r="N10746" s="45"/>
    </row>
    <row r="10747">
      <c r="A10747" s="40" t="str">
        <f t="shared" si="1"/>
        <v/>
      </c>
      <c r="B10747" s="37" t="str">
        <f t="array" ref="B10747">iferror(xlookup($I10747, 'IMPORT VHC Report'!$E:$E, 'IMPORT VHC Report'!$A:$C), )</f>
        <v/>
      </c>
      <c r="C10747" s="44"/>
      <c r="D10747" s="44"/>
      <c r="L10747" s="45"/>
      <c r="N10747" s="45"/>
    </row>
    <row r="10748">
      <c r="A10748" s="40" t="str">
        <f t="shared" si="1"/>
        <v/>
      </c>
      <c r="B10748" s="37" t="str">
        <f t="array" ref="B10748">iferror(xlookup($I10748, 'IMPORT VHC Report'!$E:$E, 'IMPORT VHC Report'!$A:$C), )</f>
        <v/>
      </c>
      <c r="C10748" s="44"/>
      <c r="D10748" s="44"/>
      <c r="L10748" s="45"/>
      <c r="N10748" s="45"/>
    </row>
    <row r="10749">
      <c r="A10749" s="40" t="str">
        <f t="shared" si="1"/>
        <v/>
      </c>
      <c r="B10749" s="37" t="str">
        <f t="array" ref="B10749">iferror(xlookup($I10749, 'IMPORT VHC Report'!$E:$E, 'IMPORT VHC Report'!$A:$C), )</f>
        <v/>
      </c>
      <c r="C10749" s="44"/>
      <c r="D10749" s="44"/>
      <c r="L10749" s="45"/>
      <c r="N10749" s="45"/>
    </row>
    <row r="10750">
      <c r="A10750" s="40" t="str">
        <f t="shared" si="1"/>
        <v/>
      </c>
      <c r="B10750" s="37" t="str">
        <f t="array" ref="B10750">iferror(xlookup($I10750, 'IMPORT VHC Report'!$E:$E, 'IMPORT VHC Report'!$A:$C), )</f>
        <v/>
      </c>
      <c r="C10750" s="44"/>
      <c r="D10750" s="44"/>
      <c r="L10750" s="45"/>
      <c r="N10750" s="45"/>
    </row>
    <row r="10751">
      <c r="A10751" s="40" t="str">
        <f t="shared" si="1"/>
        <v/>
      </c>
      <c r="B10751" s="37" t="str">
        <f t="array" ref="B10751">iferror(xlookup($I10751, 'IMPORT VHC Report'!$E:$E, 'IMPORT VHC Report'!$A:$C), )</f>
        <v/>
      </c>
      <c r="C10751" s="44"/>
      <c r="D10751" s="44"/>
      <c r="L10751" s="45"/>
      <c r="N10751" s="45"/>
    </row>
    <row r="10752">
      <c r="A10752" s="40" t="str">
        <f t="shared" si="1"/>
        <v/>
      </c>
      <c r="B10752" s="37" t="str">
        <f t="array" ref="B10752">iferror(xlookup($I10752, 'IMPORT VHC Report'!$E:$E, 'IMPORT VHC Report'!$A:$C), )</f>
        <v/>
      </c>
      <c r="C10752" s="44"/>
      <c r="D10752" s="44"/>
      <c r="L10752" s="45"/>
      <c r="N10752" s="45"/>
    </row>
    <row r="10753">
      <c r="A10753" s="40" t="str">
        <f t="shared" si="1"/>
        <v/>
      </c>
      <c r="B10753" s="37" t="str">
        <f t="array" ref="B10753">iferror(xlookup($I10753, 'IMPORT VHC Report'!$E:$E, 'IMPORT VHC Report'!$A:$C), )</f>
        <v/>
      </c>
      <c r="C10753" s="44"/>
      <c r="D10753" s="44"/>
      <c r="L10753" s="45"/>
      <c r="N10753" s="45"/>
    </row>
    <row r="10754">
      <c r="A10754" s="40" t="str">
        <f t="shared" si="1"/>
        <v/>
      </c>
      <c r="B10754" s="37" t="str">
        <f t="array" ref="B10754">iferror(xlookup($I10754, 'IMPORT VHC Report'!$E:$E, 'IMPORT VHC Report'!$A:$C), )</f>
        <v/>
      </c>
      <c r="C10754" s="44"/>
      <c r="D10754" s="44"/>
      <c r="L10754" s="45"/>
      <c r="N10754" s="45"/>
    </row>
    <row r="10755">
      <c r="A10755" s="40" t="str">
        <f t="shared" si="1"/>
        <v/>
      </c>
      <c r="B10755" s="37" t="str">
        <f t="array" ref="B10755">iferror(xlookup($I10755, 'IMPORT VHC Report'!$E:$E, 'IMPORT VHC Report'!$A:$C), )</f>
        <v/>
      </c>
      <c r="C10755" s="44"/>
      <c r="D10755" s="44"/>
      <c r="L10755" s="45"/>
      <c r="N10755" s="45"/>
    </row>
    <row r="10756">
      <c r="A10756" s="40" t="str">
        <f t="shared" si="1"/>
        <v/>
      </c>
      <c r="B10756" s="37" t="str">
        <f t="array" ref="B10756">iferror(xlookup($I10756, 'IMPORT VHC Report'!$E:$E, 'IMPORT VHC Report'!$A:$C), )</f>
        <v/>
      </c>
      <c r="C10756" s="44"/>
      <c r="D10756" s="44"/>
      <c r="L10756" s="45"/>
      <c r="N10756" s="45"/>
    </row>
    <row r="10757">
      <c r="A10757" s="40" t="str">
        <f t="shared" si="1"/>
        <v/>
      </c>
      <c r="B10757" s="37" t="str">
        <f t="array" ref="B10757">iferror(xlookup($I10757, 'IMPORT VHC Report'!$E:$E, 'IMPORT VHC Report'!$A:$C), )</f>
        <v/>
      </c>
      <c r="C10757" s="44"/>
      <c r="D10757" s="44"/>
      <c r="L10757" s="45"/>
      <c r="N10757" s="45"/>
    </row>
    <row r="10758">
      <c r="A10758" s="40" t="str">
        <f t="shared" si="1"/>
        <v/>
      </c>
      <c r="B10758" s="37" t="str">
        <f t="array" ref="B10758">iferror(xlookup($I10758, 'IMPORT VHC Report'!$E:$E, 'IMPORT VHC Report'!$A:$C), )</f>
        <v/>
      </c>
      <c r="C10758" s="44"/>
      <c r="D10758" s="44"/>
      <c r="L10758" s="45"/>
      <c r="N10758" s="45"/>
    </row>
    <row r="10759">
      <c r="A10759" s="40" t="str">
        <f t="shared" si="1"/>
        <v/>
      </c>
      <c r="B10759" s="37" t="str">
        <f t="array" ref="B10759">iferror(xlookup($I10759, 'IMPORT VHC Report'!$E:$E, 'IMPORT VHC Report'!$A:$C), )</f>
        <v/>
      </c>
      <c r="C10759" s="44"/>
      <c r="D10759" s="44"/>
      <c r="L10759" s="45"/>
      <c r="N10759" s="45"/>
    </row>
    <row r="10760">
      <c r="A10760" s="40" t="str">
        <f t="shared" si="1"/>
        <v/>
      </c>
      <c r="B10760" s="37" t="str">
        <f t="array" ref="B10760">iferror(xlookup($I10760, 'IMPORT VHC Report'!$E:$E, 'IMPORT VHC Report'!$A:$C), )</f>
        <v/>
      </c>
      <c r="C10760" s="44"/>
      <c r="D10760" s="44"/>
      <c r="L10760" s="45"/>
      <c r="N10760" s="45"/>
    </row>
    <row r="10761">
      <c r="A10761" s="40" t="str">
        <f t="shared" si="1"/>
        <v/>
      </c>
      <c r="B10761" s="37" t="str">
        <f t="array" ref="B10761">iferror(xlookup($I10761, 'IMPORT VHC Report'!$E:$E, 'IMPORT VHC Report'!$A:$C), )</f>
        <v/>
      </c>
      <c r="C10761" s="44"/>
      <c r="D10761" s="44"/>
      <c r="L10761" s="45"/>
      <c r="N10761" s="45"/>
    </row>
    <row r="10762">
      <c r="A10762" s="40" t="str">
        <f t="shared" si="1"/>
        <v/>
      </c>
      <c r="B10762" s="37" t="str">
        <f t="array" ref="B10762">iferror(xlookup($I10762, 'IMPORT VHC Report'!$E:$E, 'IMPORT VHC Report'!$A:$C), )</f>
        <v/>
      </c>
      <c r="C10762" s="44"/>
      <c r="D10762" s="44"/>
      <c r="L10762" s="45"/>
      <c r="N10762" s="45"/>
    </row>
    <row r="10763">
      <c r="A10763" s="40" t="str">
        <f t="shared" si="1"/>
        <v/>
      </c>
      <c r="B10763" s="37" t="str">
        <f t="array" ref="B10763">iferror(xlookup($I10763, 'IMPORT VHC Report'!$E:$E, 'IMPORT VHC Report'!$A:$C), )</f>
        <v/>
      </c>
      <c r="C10763" s="44"/>
      <c r="D10763" s="44"/>
      <c r="L10763" s="45"/>
      <c r="N10763" s="45"/>
    </row>
    <row r="10764">
      <c r="A10764" s="40" t="str">
        <f t="shared" si="1"/>
        <v/>
      </c>
      <c r="B10764" s="37" t="str">
        <f t="array" ref="B10764">iferror(xlookup($I10764, 'IMPORT VHC Report'!$E:$E, 'IMPORT VHC Report'!$A:$C), )</f>
        <v/>
      </c>
      <c r="C10764" s="44"/>
      <c r="D10764" s="44"/>
      <c r="L10764" s="45"/>
      <c r="N10764" s="45"/>
    </row>
    <row r="10765">
      <c r="A10765" s="40" t="str">
        <f t="shared" si="1"/>
        <v/>
      </c>
      <c r="B10765" s="37" t="str">
        <f t="array" ref="B10765">iferror(xlookup($I10765, 'IMPORT VHC Report'!$E:$E, 'IMPORT VHC Report'!$A:$C), )</f>
        <v/>
      </c>
      <c r="C10765" s="44"/>
      <c r="D10765" s="44"/>
      <c r="L10765" s="45"/>
      <c r="N10765" s="45"/>
    </row>
    <row r="10766">
      <c r="A10766" s="40" t="str">
        <f t="shared" si="1"/>
        <v/>
      </c>
      <c r="B10766" s="37" t="str">
        <f t="array" ref="B10766">iferror(xlookup($I10766, 'IMPORT VHC Report'!$E:$E, 'IMPORT VHC Report'!$A:$C), )</f>
        <v/>
      </c>
      <c r="C10766" s="44"/>
      <c r="D10766" s="44"/>
      <c r="L10766" s="45"/>
      <c r="N10766" s="45"/>
    </row>
    <row r="10767">
      <c r="A10767" s="40" t="str">
        <f t="shared" si="1"/>
        <v/>
      </c>
      <c r="B10767" s="37" t="str">
        <f t="array" ref="B10767">iferror(xlookup($I10767, 'IMPORT VHC Report'!$E:$E, 'IMPORT VHC Report'!$A:$C), )</f>
        <v/>
      </c>
      <c r="C10767" s="44"/>
      <c r="D10767" s="44"/>
      <c r="L10767" s="45"/>
      <c r="N10767" s="45"/>
    </row>
    <row r="10768">
      <c r="A10768" s="40" t="str">
        <f t="shared" si="1"/>
        <v/>
      </c>
      <c r="B10768" s="37" t="str">
        <f t="array" ref="B10768">iferror(xlookup($I10768, 'IMPORT VHC Report'!$E:$E, 'IMPORT VHC Report'!$A:$C), )</f>
        <v/>
      </c>
      <c r="C10768" s="44"/>
      <c r="D10768" s="44"/>
      <c r="L10768" s="45"/>
      <c r="N10768" s="45"/>
    </row>
    <row r="10769">
      <c r="A10769" s="40" t="str">
        <f t="shared" si="1"/>
        <v/>
      </c>
      <c r="B10769" s="37" t="str">
        <f t="array" ref="B10769">iferror(xlookup($I10769, 'IMPORT VHC Report'!$E:$E, 'IMPORT VHC Report'!$A:$C), )</f>
        <v/>
      </c>
      <c r="C10769" s="44"/>
      <c r="D10769" s="44"/>
      <c r="L10769" s="45"/>
      <c r="N10769" s="45"/>
    </row>
    <row r="10770">
      <c r="A10770" s="40" t="str">
        <f t="shared" si="1"/>
        <v/>
      </c>
      <c r="B10770" s="37" t="str">
        <f t="array" ref="B10770">iferror(xlookup($I10770, 'IMPORT VHC Report'!$E:$E, 'IMPORT VHC Report'!$A:$C), )</f>
        <v/>
      </c>
      <c r="C10770" s="44"/>
      <c r="D10770" s="44"/>
      <c r="L10770" s="45"/>
      <c r="N10770" s="45"/>
    </row>
    <row r="10771">
      <c r="A10771" s="40" t="str">
        <f t="shared" si="1"/>
        <v/>
      </c>
      <c r="B10771" s="37" t="str">
        <f t="array" ref="B10771">iferror(xlookup($I10771, 'IMPORT VHC Report'!$E:$E, 'IMPORT VHC Report'!$A:$C), )</f>
        <v/>
      </c>
      <c r="C10771" s="44"/>
      <c r="D10771" s="44"/>
      <c r="L10771" s="45"/>
      <c r="N10771" s="45"/>
    </row>
    <row r="10772">
      <c r="A10772" s="40" t="str">
        <f t="shared" si="1"/>
        <v/>
      </c>
      <c r="B10772" s="37" t="str">
        <f t="array" ref="B10772">iferror(xlookup($I10772, 'IMPORT VHC Report'!$E:$E, 'IMPORT VHC Report'!$A:$C), )</f>
        <v/>
      </c>
      <c r="C10772" s="44"/>
      <c r="D10772" s="44"/>
      <c r="L10772" s="45"/>
      <c r="N10772" s="45"/>
    </row>
    <row r="10773">
      <c r="A10773" s="40" t="str">
        <f t="shared" si="1"/>
        <v/>
      </c>
      <c r="B10773" s="37" t="str">
        <f t="array" ref="B10773">iferror(xlookup($I10773, 'IMPORT VHC Report'!$E:$E, 'IMPORT VHC Report'!$A:$C), )</f>
        <v/>
      </c>
      <c r="C10773" s="44"/>
      <c r="D10773" s="44"/>
      <c r="L10773" s="45"/>
      <c r="N10773" s="45"/>
    </row>
    <row r="10774">
      <c r="A10774" s="40" t="str">
        <f t="shared" si="1"/>
        <v/>
      </c>
      <c r="B10774" s="37" t="str">
        <f t="array" ref="B10774">iferror(xlookup($I10774, 'IMPORT VHC Report'!$E:$E, 'IMPORT VHC Report'!$A:$C), )</f>
        <v/>
      </c>
      <c r="C10774" s="44"/>
      <c r="D10774" s="44"/>
      <c r="L10774" s="45"/>
      <c r="N10774" s="45"/>
    </row>
    <row r="10775">
      <c r="A10775" s="40" t="str">
        <f t="shared" si="1"/>
        <v/>
      </c>
      <c r="B10775" s="37" t="str">
        <f t="array" ref="B10775">iferror(xlookup($I10775, 'IMPORT VHC Report'!$E:$E, 'IMPORT VHC Report'!$A:$C), )</f>
        <v/>
      </c>
      <c r="C10775" s="44"/>
      <c r="D10775" s="44"/>
      <c r="L10775" s="45"/>
      <c r="N10775" s="45"/>
    </row>
    <row r="10776">
      <c r="A10776" s="40" t="str">
        <f t="shared" si="1"/>
        <v/>
      </c>
      <c r="B10776" s="37" t="str">
        <f t="array" ref="B10776">iferror(xlookup($I10776, 'IMPORT VHC Report'!$E:$E, 'IMPORT VHC Report'!$A:$C), )</f>
        <v/>
      </c>
      <c r="C10776" s="44"/>
      <c r="D10776" s="44"/>
      <c r="L10776" s="45"/>
      <c r="N10776" s="45"/>
    </row>
    <row r="10777">
      <c r="A10777" s="40" t="str">
        <f t="shared" si="1"/>
        <v/>
      </c>
      <c r="B10777" s="37" t="str">
        <f t="array" ref="B10777">iferror(xlookup($I10777, 'IMPORT VHC Report'!$E:$E, 'IMPORT VHC Report'!$A:$C), )</f>
        <v/>
      </c>
      <c r="C10777" s="44"/>
      <c r="D10777" s="44"/>
      <c r="L10777" s="45"/>
      <c r="N10777" s="45"/>
    </row>
    <row r="10778">
      <c r="A10778" s="40" t="str">
        <f t="shared" si="1"/>
        <v/>
      </c>
      <c r="B10778" s="37" t="str">
        <f t="array" ref="B10778">iferror(xlookup($I10778, 'IMPORT VHC Report'!$E:$E, 'IMPORT VHC Report'!$A:$C), )</f>
        <v/>
      </c>
      <c r="C10778" s="44"/>
      <c r="D10778" s="44"/>
      <c r="L10778" s="45"/>
      <c r="N10778" s="45"/>
    </row>
    <row r="10779">
      <c r="A10779" s="40" t="str">
        <f t="shared" si="1"/>
        <v/>
      </c>
      <c r="B10779" s="37" t="str">
        <f t="array" ref="B10779">iferror(xlookup($I10779, 'IMPORT VHC Report'!$E:$E, 'IMPORT VHC Report'!$A:$C), )</f>
        <v/>
      </c>
      <c r="C10779" s="44"/>
      <c r="D10779" s="44"/>
      <c r="L10779" s="45"/>
      <c r="N10779" s="45"/>
    </row>
    <row r="10780">
      <c r="A10780" s="40" t="str">
        <f t="shared" si="1"/>
        <v/>
      </c>
      <c r="B10780" s="37" t="str">
        <f t="array" ref="B10780">iferror(xlookup($I10780, 'IMPORT VHC Report'!$E:$E, 'IMPORT VHC Report'!$A:$C), )</f>
        <v/>
      </c>
      <c r="C10780" s="44"/>
      <c r="D10780" s="44"/>
      <c r="L10780" s="45"/>
      <c r="N10780" s="45"/>
    </row>
    <row r="10781">
      <c r="A10781" s="40" t="str">
        <f t="shared" si="1"/>
        <v/>
      </c>
      <c r="B10781" s="37" t="str">
        <f t="array" ref="B10781">iferror(xlookup($I10781, 'IMPORT VHC Report'!$E:$E, 'IMPORT VHC Report'!$A:$C), )</f>
        <v/>
      </c>
      <c r="C10781" s="44"/>
      <c r="D10781" s="44"/>
      <c r="L10781" s="45"/>
      <c r="N10781" s="45"/>
    </row>
    <row r="10782">
      <c r="A10782" s="40" t="str">
        <f t="shared" si="1"/>
        <v/>
      </c>
      <c r="B10782" s="37" t="str">
        <f t="array" ref="B10782">iferror(xlookup($I10782, 'IMPORT VHC Report'!$E:$E, 'IMPORT VHC Report'!$A:$C), )</f>
        <v/>
      </c>
      <c r="C10782" s="44"/>
      <c r="D10782" s="44"/>
      <c r="L10782" s="45"/>
      <c r="N10782" s="45"/>
    </row>
    <row r="10783">
      <c r="A10783" s="40" t="str">
        <f t="shared" si="1"/>
        <v/>
      </c>
      <c r="B10783" s="37" t="str">
        <f t="array" ref="B10783">iferror(xlookup($I10783, 'IMPORT VHC Report'!$E:$E, 'IMPORT VHC Report'!$A:$C), )</f>
        <v/>
      </c>
      <c r="C10783" s="44"/>
      <c r="D10783" s="44"/>
      <c r="L10783" s="45"/>
      <c r="N10783" s="45"/>
    </row>
    <row r="10784">
      <c r="A10784" s="40" t="str">
        <f t="shared" si="1"/>
        <v/>
      </c>
      <c r="B10784" s="37" t="str">
        <f t="array" ref="B10784">iferror(xlookup($I10784, 'IMPORT VHC Report'!$E:$E, 'IMPORT VHC Report'!$A:$C), )</f>
        <v/>
      </c>
      <c r="C10784" s="44"/>
      <c r="D10784" s="44"/>
      <c r="L10784" s="45"/>
      <c r="N10784" s="45"/>
    </row>
    <row r="10785">
      <c r="A10785" s="40" t="str">
        <f t="shared" si="1"/>
        <v/>
      </c>
      <c r="B10785" s="37" t="str">
        <f t="array" ref="B10785">iferror(xlookup($I10785, 'IMPORT VHC Report'!$E:$E, 'IMPORT VHC Report'!$A:$C), )</f>
        <v/>
      </c>
      <c r="C10785" s="44"/>
      <c r="D10785" s="44"/>
      <c r="L10785" s="45"/>
      <c r="N10785" s="45"/>
    </row>
    <row r="10786">
      <c r="A10786" s="40" t="str">
        <f t="shared" si="1"/>
        <v/>
      </c>
      <c r="B10786" s="37" t="str">
        <f t="array" ref="B10786">iferror(xlookup($I10786, 'IMPORT VHC Report'!$E:$E, 'IMPORT VHC Report'!$A:$C), )</f>
        <v/>
      </c>
      <c r="C10786" s="44"/>
      <c r="D10786" s="44"/>
      <c r="L10786" s="45"/>
      <c r="N10786" s="45"/>
    </row>
    <row r="10787">
      <c r="A10787" s="40" t="str">
        <f t="shared" si="1"/>
        <v/>
      </c>
      <c r="B10787" s="37" t="str">
        <f t="array" ref="B10787">iferror(xlookup($I10787, 'IMPORT VHC Report'!$E:$E, 'IMPORT VHC Report'!$A:$C), )</f>
        <v/>
      </c>
      <c r="C10787" s="44"/>
      <c r="D10787" s="44"/>
      <c r="L10787" s="45"/>
      <c r="N10787" s="45"/>
    </row>
    <row r="10788">
      <c r="A10788" s="40" t="str">
        <f t="shared" si="1"/>
        <v/>
      </c>
      <c r="B10788" s="37" t="str">
        <f t="array" ref="B10788">iferror(xlookup($I10788, 'IMPORT VHC Report'!$E:$E, 'IMPORT VHC Report'!$A:$C), )</f>
        <v/>
      </c>
      <c r="C10788" s="44"/>
      <c r="D10788" s="44"/>
      <c r="L10788" s="45"/>
      <c r="N10788" s="45"/>
    </row>
    <row r="10789">
      <c r="A10789" s="40" t="str">
        <f t="shared" si="1"/>
        <v/>
      </c>
      <c r="B10789" s="37" t="str">
        <f t="array" ref="B10789">iferror(xlookup($I10789, 'IMPORT VHC Report'!$E:$E, 'IMPORT VHC Report'!$A:$C), )</f>
        <v/>
      </c>
      <c r="C10789" s="44"/>
      <c r="D10789" s="44"/>
      <c r="L10789" s="45"/>
      <c r="N10789" s="45"/>
    </row>
    <row r="10790">
      <c r="A10790" s="40" t="str">
        <f t="shared" si="1"/>
        <v/>
      </c>
      <c r="B10790" s="37" t="str">
        <f t="array" ref="B10790">iferror(xlookup($I10790, 'IMPORT VHC Report'!$E:$E, 'IMPORT VHC Report'!$A:$C), )</f>
        <v/>
      </c>
      <c r="C10790" s="44"/>
      <c r="D10790" s="44"/>
      <c r="L10790" s="45"/>
      <c r="N10790" s="45"/>
    </row>
    <row r="10791">
      <c r="A10791" s="40" t="str">
        <f t="shared" si="1"/>
        <v/>
      </c>
      <c r="B10791" s="37" t="str">
        <f t="array" ref="B10791">iferror(xlookup($I10791, 'IMPORT VHC Report'!$E:$E, 'IMPORT VHC Report'!$A:$C), )</f>
        <v/>
      </c>
      <c r="C10791" s="44"/>
      <c r="D10791" s="44"/>
      <c r="L10791" s="45"/>
      <c r="N10791" s="45"/>
    </row>
    <row r="10792">
      <c r="A10792" s="40" t="str">
        <f t="shared" si="1"/>
        <v/>
      </c>
      <c r="B10792" s="37" t="str">
        <f t="array" ref="B10792">iferror(xlookup($I10792, 'IMPORT VHC Report'!$E:$E, 'IMPORT VHC Report'!$A:$C), )</f>
        <v/>
      </c>
      <c r="C10792" s="44"/>
      <c r="D10792" s="44"/>
      <c r="L10792" s="45"/>
      <c r="N10792" s="45"/>
    </row>
    <row r="10793">
      <c r="A10793" s="40" t="str">
        <f t="shared" si="1"/>
        <v/>
      </c>
      <c r="B10793" s="37" t="str">
        <f t="array" ref="B10793">iferror(xlookup($I10793, 'IMPORT VHC Report'!$E:$E, 'IMPORT VHC Report'!$A:$C), )</f>
        <v/>
      </c>
      <c r="C10793" s="44"/>
      <c r="D10793" s="44"/>
      <c r="L10793" s="45"/>
      <c r="N10793" s="45"/>
    </row>
    <row r="10794">
      <c r="A10794" s="40" t="str">
        <f t="shared" si="1"/>
        <v/>
      </c>
      <c r="B10794" s="37" t="str">
        <f t="array" ref="B10794">iferror(xlookup($I10794, 'IMPORT VHC Report'!$E:$E, 'IMPORT VHC Report'!$A:$C), )</f>
        <v/>
      </c>
      <c r="C10794" s="44"/>
      <c r="D10794" s="44"/>
      <c r="L10794" s="45"/>
      <c r="N10794" s="45"/>
    </row>
    <row r="10795">
      <c r="A10795" s="40" t="str">
        <f t="shared" si="1"/>
        <v/>
      </c>
      <c r="B10795" s="37" t="str">
        <f t="array" ref="B10795">iferror(xlookup($I10795, 'IMPORT VHC Report'!$E:$E, 'IMPORT VHC Report'!$A:$C), )</f>
        <v/>
      </c>
      <c r="C10795" s="44"/>
      <c r="D10795" s="44"/>
      <c r="L10795" s="45"/>
      <c r="N10795" s="45"/>
    </row>
    <row r="10796">
      <c r="A10796" s="40" t="str">
        <f t="shared" si="1"/>
        <v/>
      </c>
      <c r="B10796" s="37" t="str">
        <f t="array" ref="B10796">iferror(xlookup($I10796, 'IMPORT VHC Report'!$E:$E, 'IMPORT VHC Report'!$A:$C), )</f>
        <v/>
      </c>
      <c r="C10796" s="44"/>
      <c r="D10796" s="44"/>
      <c r="L10796" s="45"/>
      <c r="N10796" s="45"/>
    </row>
    <row r="10797">
      <c r="A10797" s="40" t="str">
        <f t="shared" si="1"/>
        <v/>
      </c>
      <c r="B10797" s="37" t="str">
        <f t="array" ref="B10797">iferror(xlookup($I10797, 'IMPORT VHC Report'!$E:$E, 'IMPORT VHC Report'!$A:$C), )</f>
        <v/>
      </c>
      <c r="C10797" s="44"/>
      <c r="D10797" s="44"/>
      <c r="L10797" s="45"/>
      <c r="N10797" s="45"/>
    </row>
    <row r="10798">
      <c r="A10798" s="40" t="str">
        <f t="shared" si="1"/>
        <v/>
      </c>
      <c r="B10798" s="37" t="str">
        <f t="array" ref="B10798">iferror(xlookup($I10798, 'IMPORT VHC Report'!$E:$E, 'IMPORT VHC Report'!$A:$C), )</f>
        <v/>
      </c>
      <c r="C10798" s="44"/>
      <c r="D10798" s="44"/>
      <c r="L10798" s="45"/>
      <c r="N10798" s="45"/>
    </row>
    <row r="10799">
      <c r="A10799" s="40" t="str">
        <f t="shared" si="1"/>
        <v/>
      </c>
      <c r="B10799" s="37" t="str">
        <f t="array" ref="B10799">iferror(xlookup($I10799, 'IMPORT VHC Report'!$E:$E, 'IMPORT VHC Report'!$A:$C), )</f>
        <v/>
      </c>
      <c r="C10799" s="44"/>
      <c r="D10799" s="44"/>
      <c r="L10799" s="45"/>
      <c r="N10799" s="45"/>
    </row>
    <row r="10800">
      <c r="A10800" s="40" t="str">
        <f t="shared" si="1"/>
        <v/>
      </c>
      <c r="B10800" s="37" t="str">
        <f t="array" ref="B10800">iferror(xlookup($I10800, 'IMPORT VHC Report'!$E:$E, 'IMPORT VHC Report'!$A:$C), )</f>
        <v/>
      </c>
      <c r="C10800" s="44"/>
      <c r="D10800" s="44"/>
      <c r="L10800" s="45"/>
      <c r="N10800" s="45"/>
    </row>
    <row r="10801">
      <c r="A10801" s="40" t="str">
        <f t="shared" si="1"/>
        <v/>
      </c>
      <c r="B10801" s="37" t="str">
        <f t="array" ref="B10801">iferror(xlookup($I10801, 'IMPORT VHC Report'!$E:$E, 'IMPORT VHC Report'!$A:$C), )</f>
        <v/>
      </c>
      <c r="C10801" s="44"/>
      <c r="D10801" s="44"/>
      <c r="L10801" s="45"/>
      <c r="N10801" s="45"/>
    </row>
    <row r="10802">
      <c r="A10802" s="40" t="str">
        <f t="shared" si="1"/>
        <v/>
      </c>
      <c r="B10802" s="37" t="str">
        <f t="array" ref="B10802">iferror(xlookup($I10802, 'IMPORT VHC Report'!$E:$E, 'IMPORT VHC Report'!$A:$C), )</f>
        <v/>
      </c>
      <c r="C10802" s="44"/>
      <c r="D10802" s="44"/>
      <c r="L10802" s="45"/>
      <c r="N10802" s="45"/>
    </row>
    <row r="10803">
      <c r="A10803" s="40" t="str">
        <f t="shared" si="1"/>
        <v/>
      </c>
      <c r="B10803" s="37" t="str">
        <f t="array" ref="B10803">iferror(xlookup($I10803, 'IMPORT VHC Report'!$E:$E, 'IMPORT VHC Report'!$A:$C), )</f>
        <v/>
      </c>
      <c r="C10803" s="44"/>
      <c r="D10803" s="44"/>
      <c r="L10803" s="45"/>
      <c r="N10803" s="45"/>
    </row>
    <row r="10804">
      <c r="A10804" s="40" t="str">
        <f t="shared" si="1"/>
        <v/>
      </c>
      <c r="B10804" s="37" t="str">
        <f t="array" ref="B10804">iferror(xlookup($I10804, 'IMPORT VHC Report'!$E:$E, 'IMPORT VHC Report'!$A:$C), )</f>
        <v/>
      </c>
      <c r="C10804" s="44"/>
      <c r="D10804" s="44"/>
      <c r="L10804" s="45"/>
      <c r="N10804" s="45"/>
    </row>
    <row r="10805">
      <c r="A10805" s="40" t="str">
        <f t="shared" si="1"/>
        <v/>
      </c>
      <c r="B10805" s="37" t="str">
        <f t="array" ref="B10805">iferror(xlookup($I10805, 'IMPORT VHC Report'!$E:$E, 'IMPORT VHC Report'!$A:$C), )</f>
        <v/>
      </c>
      <c r="C10805" s="44"/>
      <c r="D10805" s="44"/>
      <c r="L10805" s="45"/>
      <c r="N10805" s="45"/>
    </row>
    <row r="10806">
      <c r="A10806" s="40" t="str">
        <f t="shared" si="1"/>
        <v/>
      </c>
      <c r="B10806" s="37" t="str">
        <f t="array" ref="B10806">iferror(xlookup($I10806, 'IMPORT VHC Report'!$E:$E, 'IMPORT VHC Report'!$A:$C), )</f>
        <v/>
      </c>
      <c r="C10806" s="44"/>
      <c r="D10806" s="44"/>
      <c r="L10806" s="45"/>
      <c r="N10806" s="45"/>
    </row>
    <row r="10807">
      <c r="A10807" s="40" t="str">
        <f t="shared" si="1"/>
        <v/>
      </c>
      <c r="B10807" s="37" t="str">
        <f t="array" ref="B10807">iferror(xlookup($I10807, 'IMPORT VHC Report'!$E:$E, 'IMPORT VHC Report'!$A:$C), )</f>
        <v/>
      </c>
      <c r="C10807" s="44"/>
      <c r="D10807" s="44"/>
      <c r="L10807" s="45"/>
      <c r="N10807" s="45"/>
    </row>
    <row r="10808">
      <c r="A10808" s="40" t="str">
        <f t="shared" si="1"/>
        <v/>
      </c>
      <c r="B10808" s="37" t="str">
        <f t="array" ref="B10808">iferror(xlookup($I10808, 'IMPORT VHC Report'!$E:$E, 'IMPORT VHC Report'!$A:$C), )</f>
        <v/>
      </c>
      <c r="C10808" s="44"/>
      <c r="D10808" s="44"/>
      <c r="L10808" s="45"/>
      <c r="N10808" s="45"/>
    </row>
    <row r="10809">
      <c r="A10809" s="40" t="str">
        <f t="shared" si="1"/>
        <v/>
      </c>
      <c r="B10809" s="37" t="str">
        <f t="array" ref="B10809">iferror(xlookup($I10809, 'IMPORT VHC Report'!$E:$E, 'IMPORT VHC Report'!$A:$C), )</f>
        <v/>
      </c>
      <c r="C10809" s="44"/>
      <c r="D10809" s="44"/>
      <c r="L10809" s="45"/>
      <c r="N10809" s="45"/>
    </row>
    <row r="10810">
      <c r="A10810" s="40" t="str">
        <f t="shared" si="1"/>
        <v/>
      </c>
      <c r="B10810" s="37" t="str">
        <f t="array" ref="B10810">iferror(xlookup($I10810, 'IMPORT VHC Report'!$E:$E, 'IMPORT VHC Report'!$A:$C), )</f>
        <v/>
      </c>
      <c r="C10810" s="44"/>
      <c r="D10810" s="44"/>
      <c r="L10810" s="45"/>
      <c r="N10810" s="45"/>
    </row>
    <row r="10811">
      <c r="A10811" s="40" t="str">
        <f t="shared" si="1"/>
        <v/>
      </c>
      <c r="B10811" s="37" t="str">
        <f t="array" ref="B10811">iferror(xlookup($I10811, 'IMPORT VHC Report'!$E:$E, 'IMPORT VHC Report'!$A:$C), )</f>
        <v/>
      </c>
      <c r="C10811" s="44"/>
      <c r="D10811" s="44"/>
      <c r="L10811" s="45"/>
      <c r="N10811" s="45"/>
    </row>
    <row r="10812">
      <c r="A10812" s="40" t="str">
        <f t="shared" si="1"/>
        <v/>
      </c>
      <c r="B10812" s="37" t="str">
        <f t="array" ref="B10812">iferror(xlookup($I10812, 'IMPORT VHC Report'!$E:$E, 'IMPORT VHC Report'!$A:$C), )</f>
        <v/>
      </c>
      <c r="C10812" s="44"/>
      <c r="D10812" s="44"/>
      <c r="L10812" s="45"/>
      <c r="N10812" s="45"/>
    </row>
    <row r="10813">
      <c r="A10813" s="40" t="str">
        <f t="shared" si="1"/>
        <v/>
      </c>
      <c r="B10813" s="37" t="str">
        <f t="array" ref="B10813">iferror(xlookup($I10813, 'IMPORT VHC Report'!$E:$E, 'IMPORT VHC Report'!$A:$C), )</f>
        <v/>
      </c>
      <c r="C10813" s="44"/>
      <c r="D10813" s="44"/>
      <c r="L10813" s="45"/>
      <c r="N10813" s="45"/>
    </row>
    <row r="10814">
      <c r="A10814" s="40" t="str">
        <f t="shared" si="1"/>
        <v/>
      </c>
      <c r="B10814" s="37" t="str">
        <f t="array" ref="B10814">iferror(xlookup($I10814, 'IMPORT VHC Report'!$E:$E, 'IMPORT VHC Report'!$A:$C), )</f>
        <v/>
      </c>
      <c r="C10814" s="44"/>
      <c r="D10814" s="44"/>
      <c r="L10814" s="45"/>
      <c r="N10814" s="45"/>
    </row>
    <row r="10815">
      <c r="A10815" s="40" t="str">
        <f t="shared" si="1"/>
        <v/>
      </c>
      <c r="B10815" s="37" t="str">
        <f t="array" ref="B10815">iferror(xlookup($I10815, 'IMPORT VHC Report'!$E:$E, 'IMPORT VHC Report'!$A:$C), )</f>
        <v/>
      </c>
      <c r="C10815" s="44"/>
      <c r="D10815" s="44"/>
      <c r="L10815" s="45"/>
      <c r="N10815" s="45"/>
    </row>
    <row r="10816">
      <c r="A10816" s="40" t="str">
        <f t="shared" si="1"/>
        <v/>
      </c>
      <c r="B10816" s="37" t="str">
        <f t="array" ref="B10816">iferror(xlookup($I10816, 'IMPORT VHC Report'!$E:$E, 'IMPORT VHC Report'!$A:$C), )</f>
        <v/>
      </c>
      <c r="C10816" s="44"/>
      <c r="D10816" s="44"/>
      <c r="L10816" s="45"/>
      <c r="N10816" s="45"/>
    </row>
    <row r="10817">
      <c r="A10817" s="40" t="str">
        <f t="shared" si="1"/>
        <v/>
      </c>
      <c r="B10817" s="37" t="str">
        <f t="array" ref="B10817">iferror(xlookup($I10817, 'IMPORT VHC Report'!$E:$E, 'IMPORT VHC Report'!$A:$C), )</f>
        <v/>
      </c>
      <c r="C10817" s="44"/>
      <c r="D10817" s="44"/>
      <c r="L10817" s="45"/>
      <c r="N10817" s="45"/>
    </row>
    <row r="10818">
      <c r="A10818" s="40" t="str">
        <f t="shared" si="1"/>
        <v/>
      </c>
      <c r="B10818" s="37" t="str">
        <f t="array" ref="B10818">iferror(xlookup($I10818, 'IMPORT VHC Report'!$E:$E, 'IMPORT VHC Report'!$A:$C), )</f>
        <v/>
      </c>
      <c r="C10818" s="44"/>
      <c r="D10818" s="44"/>
      <c r="L10818" s="45"/>
      <c r="N10818" s="45"/>
    </row>
    <row r="10819">
      <c r="A10819" s="40" t="str">
        <f t="shared" si="1"/>
        <v/>
      </c>
      <c r="B10819" s="37" t="str">
        <f t="array" ref="B10819">iferror(xlookup($I10819, 'IMPORT VHC Report'!$E:$E, 'IMPORT VHC Report'!$A:$C), )</f>
        <v/>
      </c>
      <c r="C10819" s="44"/>
      <c r="D10819" s="44"/>
      <c r="L10819" s="45"/>
      <c r="N10819" s="45"/>
    </row>
    <row r="10820">
      <c r="A10820" s="40" t="str">
        <f t="shared" si="1"/>
        <v/>
      </c>
      <c r="B10820" s="37" t="str">
        <f t="array" ref="B10820">iferror(xlookup($I10820, 'IMPORT VHC Report'!$E:$E, 'IMPORT VHC Report'!$A:$C), )</f>
        <v/>
      </c>
      <c r="C10820" s="44"/>
      <c r="D10820" s="44"/>
      <c r="L10820" s="45"/>
      <c r="N10820" s="45"/>
    </row>
    <row r="10821">
      <c r="A10821" s="40" t="str">
        <f t="shared" si="1"/>
        <v/>
      </c>
      <c r="B10821" s="37" t="str">
        <f t="array" ref="B10821">iferror(xlookup($I10821, 'IMPORT VHC Report'!$E:$E, 'IMPORT VHC Report'!$A:$C), )</f>
        <v/>
      </c>
      <c r="C10821" s="44"/>
      <c r="D10821" s="44"/>
      <c r="L10821" s="45"/>
      <c r="N10821" s="45"/>
    </row>
    <row r="10822">
      <c r="A10822" s="40" t="str">
        <f t="shared" si="1"/>
        <v/>
      </c>
      <c r="B10822" s="37" t="str">
        <f t="array" ref="B10822">iferror(xlookup($I10822, 'IMPORT VHC Report'!$E:$E, 'IMPORT VHC Report'!$A:$C), )</f>
        <v/>
      </c>
      <c r="C10822" s="44"/>
      <c r="D10822" s="44"/>
      <c r="L10822" s="45"/>
      <c r="N10822" s="45"/>
    </row>
    <row r="10823">
      <c r="A10823" s="40" t="str">
        <f t="shared" si="1"/>
        <v/>
      </c>
      <c r="B10823" s="37" t="str">
        <f t="array" ref="B10823">iferror(xlookup($I10823, 'IMPORT VHC Report'!$E:$E, 'IMPORT VHC Report'!$A:$C), )</f>
        <v/>
      </c>
      <c r="C10823" s="44"/>
      <c r="D10823" s="44"/>
      <c r="L10823" s="45"/>
      <c r="N10823" s="45"/>
    </row>
    <row r="10824">
      <c r="A10824" s="40" t="str">
        <f t="shared" si="1"/>
        <v/>
      </c>
      <c r="B10824" s="37" t="str">
        <f t="array" ref="B10824">iferror(xlookup($I10824, 'IMPORT VHC Report'!$E:$E, 'IMPORT VHC Report'!$A:$C), )</f>
        <v/>
      </c>
      <c r="C10824" s="44"/>
      <c r="D10824" s="44"/>
      <c r="L10824" s="45"/>
      <c r="N10824" s="45"/>
    </row>
    <row r="10825">
      <c r="A10825" s="40" t="str">
        <f t="shared" si="1"/>
        <v/>
      </c>
      <c r="B10825" s="37" t="str">
        <f t="array" ref="B10825">iferror(xlookup($I10825, 'IMPORT VHC Report'!$E:$E, 'IMPORT VHC Report'!$A:$C), )</f>
        <v/>
      </c>
      <c r="C10825" s="44"/>
      <c r="D10825" s="44"/>
      <c r="L10825" s="45"/>
      <c r="N10825" s="45"/>
    </row>
    <row r="10826">
      <c r="A10826" s="40" t="str">
        <f t="shared" si="1"/>
        <v/>
      </c>
      <c r="B10826" s="37" t="str">
        <f t="array" ref="B10826">iferror(xlookup($I10826, 'IMPORT VHC Report'!$E:$E, 'IMPORT VHC Report'!$A:$C), )</f>
        <v/>
      </c>
      <c r="C10826" s="44"/>
      <c r="D10826" s="44"/>
      <c r="L10826" s="45"/>
      <c r="N10826" s="45"/>
    </row>
    <row r="10827">
      <c r="A10827" s="40" t="str">
        <f t="shared" si="1"/>
        <v/>
      </c>
      <c r="B10827" s="37" t="str">
        <f t="array" ref="B10827">iferror(xlookup($I10827, 'IMPORT VHC Report'!$E:$E, 'IMPORT VHC Report'!$A:$C), )</f>
        <v/>
      </c>
      <c r="C10827" s="44"/>
      <c r="D10827" s="44"/>
      <c r="L10827" s="45"/>
      <c r="N10827" s="45"/>
    </row>
    <row r="10828">
      <c r="A10828" s="40" t="str">
        <f t="shared" si="1"/>
        <v/>
      </c>
      <c r="B10828" s="37" t="str">
        <f t="array" ref="B10828">iferror(xlookup($I10828, 'IMPORT VHC Report'!$E:$E, 'IMPORT VHC Report'!$A:$C), )</f>
        <v/>
      </c>
      <c r="C10828" s="44"/>
      <c r="D10828" s="44"/>
      <c r="L10828" s="45"/>
      <c r="N10828" s="45"/>
    </row>
    <row r="10829">
      <c r="A10829" s="40" t="str">
        <f t="shared" si="1"/>
        <v/>
      </c>
      <c r="B10829" s="37" t="str">
        <f t="array" ref="B10829">iferror(xlookup($I10829, 'IMPORT VHC Report'!$E:$E, 'IMPORT VHC Report'!$A:$C), )</f>
        <v/>
      </c>
      <c r="C10829" s="44"/>
      <c r="D10829" s="44"/>
      <c r="L10829" s="45"/>
      <c r="N10829" s="45"/>
    </row>
    <row r="10830">
      <c r="A10830" s="40" t="str">
        <f t="shared" si="1"/>
        <v/>
      </c>
      <c r="B10830" s="37" t="str">
        <f t="array" ref="B10830">iferror(xlookup($I10830, 'IMPORT VHC Report'!$E:$E, 'IMPORT VHC Report'!$A:$C), )</f>
        <v/>
      </c>
      <c r="C10830" s="44"/>
      <c r="D10830" s="44"/>
      <c r="L10830" s="45"/>
      <c r="N10830" s="45"/>
    </row>
    <row r="10831">
      <c r="A10831" s="40" t="str">
        <f t="shared" si="1"/>
        <v/>
      </c>
      <c r="B10831" s="37" t="str">
        <f t="array" ref="B10831">iferror(xlookup($I10831, 'IMPORT VHC Report'!$E:$E, 'IMPORT VHC Report'!$A:$C), )</f>
        <v/>
      </c>
      <c r="C10831" s="44"/>
      <c r="D10831" s="44"/>
      <c r="L10831" s="45"/>
      <c r="N10831" s="45"/>
    </row>
    <row r="10832">
      <c r="A10832" s="40" t="str">
        <f t="shared" si="1"/>
        <v/>
      </c>
      <c r="B10832" s="37" t="str">
        <f t="array" ref="B10832">iferror(xlookup($I10832, 'IMPORT VHC Report'!$E:$E, 'IMPORT VHC Report'!$A:$C), )</f>
        <v/>
      </c>
      <c r="C10832" s="44"/>
      <c r="D10832" s="44"/>
      <c r="L10832" s="45"/>
      <c r="N10832" s="45"/>
    </row>
    <row r="10833">
      <c r="A10833" s="40" t="str">
        <f t="shared" si="1"/>
        <v/>
      </c>
      <c r="B10833" s="37" t="str">
        <f t="array" ref="B10833">iferror(xlookup($I10833, 'IMPORT VHC Report'!$E:$E, 'IMPORT VHC Report'!$A:$C), )</f>
        <v/>
      </c>
      <c r="C10833" s="44"/>
      <c r="D10833" s="44"/>
      <c r="L10833" s="45"/>
      <c r="N10833" s="45"/>
    </row>
    <row r="10834">
      <c r="A10834" s="40" t="str">
        <f t="shared" si="1"/>
        <v/>
      </c>
      <c r="B10834" s="37" t="str">
        <f t="array" ref="B10834">iferror(xlookup($I10834, 'IMPORT VHC Report'!$E:$E, 'IMPORT VHC Report'!$A:$C), )</f>
        <v/>
      </c>
      <c r="C10834" s="44"/>
      <c r="D10834" s="44"/>
      <c r="L10834" s="45"/>
      <c r="N10834" s="45"/>
    </row>
    <row r="10835">
      <c r="A10835" s="40" t="str">
        <f t="shared" si="1"/>
        <v/>
      </c>
      <c r="B10835" s="37" t="str">
        <f t="array" ref="B10835">iferror(xlookup($I10835, 'IMPORT VHC Report'!$E:$E, 'IMPORT VHC Report'!$A:$C), )</f>
        <v/>
      </c>
      <c r="C10835" s="44"/>
      <c r="D10835" s="44"/>
      <c r="L10835" s="45"/>
      <c r="N10835" s="45"/>
    </row>
    <row r="10836">
      <c r="A10836" s="40" t="str">
        <f t="shared" si="1"/>
        <v/>
      </c>
      <c r="B10836" s="37" t="str">
        <f t="array" ref="B10836">iferror(xlookup($I10836, 'IMPORT VHC Report'!$E:$E, 'IMPORT VHC Report'!$A:$C), )</f>
        <v/>
      </c>
      <c r="C10836" s="44"/>
      <c r="D10836" s="44"/>
      <c r="L10836" s="45"/>
      <c r="N10836" s="45"/>
    </row>
    <row r="10837">
      <c r="A10837" s="40" t="str">
        <f t="shared" si="1"/>
        <v/>
      </c>
      <c r="B10837" s="37" t="str">
        <f t="array" ref="B10837">iferror(xlookup($I10837, 'IMPORT VHC Report'!$E:$E, 'IMPORT VHC Report'!$A:$C), )</f>
        <v/>
      </c>
      <c r="C10837" s="44"/>
      <c r="D10837" s="44"/>
      <c r="L10837" s="45"/>
      <c r="N10837" s="45"/>
    </row>
    <row r="10838">
      <c r="A10838" s="40" t="str">
        <f t="shared" si="1"/>
        <v/>
      </c>
      <c r="B10838" s="37" t="str">
        <f t="array" ref="B10838">iferror(xlookup($I10838, 'IMPORT VHC Report'!$E:$E, 'IMPORT VHC Report'!$A:$C), )</f>
        <v/>
      </c>
      <c r="C10838" s="44"/>
      <c r="D10838" s="44"/>
      <c r="L10838" s="45"/>
      <c r="N10838" s="45"/>
    </row>
    <row r="10839">
      <c r="A10839" s="40" t="str">
        <f t="shared" si="1"/>
        <v/>
      </c>
      <c r="B10839" s="37" t="str">
        <f t="array" ref="B10839">iferror(xlookup($I10839, 'IMPORT VHC Report'!$E:$E, 'IMPORT VHC Report'!$A:$C), )</f>
        <v/>
      </c>
      <c r="C10839" s="44"/>
      <c r="D10839" s="44"/>
      <c r="L10839" s="45"/>
      <c r="N10839" s="45"/>
    </row>
    <row r="10840">
      <c r="A10840" s="40" t="str">
        <f t="shared" si="1"/>
        <v/>
      </c>
      <c r="B10840" s="37" t="str">
        <f t="array" ref="B10840">iferror(xlookup($I10840, 'IMPORT VHC Report'!$E:$E, 'IMPORT VHC Report'!$A:$C), )</f>
        <v/>
      </c>
      <c r="C10840" s="44"/>
      <c r="D10840" s="44"/>
      <c r="L10840" s="45"/>
      <c r="N10840" s="45"/>
    </row>
    <row r="10841">
      <c r="A10841" s="40" t="str">
        <f t="shared" si="1"/>
        <v/>
      </c>
      <c r="B10841" s="37" t="str">
        <f t="array" ref="B10841">iferror(xlookup($I10841, 'IMPORT VHC Report'!$E:$E, 'IMPORT VHC Report'!$A:$C), )</f>
        <v/>
      </c>
      <c r="C10841" s="44"/>
      <c r="D10841" s="44"/>
      <c r="L10841" s="45"/>
      <c r="N10841" s="45"/>
    </row>
    <row r="10842">
      <c r="A10842" s="40" t="str">
        <f t="shared" si="1"/>
        <v/>
      </c>
      <c r="B10842" s="37" t="str">
        <f t="array" ref="B10842">iferror(xlookup($I10842, 'IMPORT VHC Report'!$E:$E, 'IMPORT VHC Report'!$A:$C), )</f>
        <v/>
      </c>
      <c r="C10842" s="44"/>
      <c r="D10842" s="44"/>
      <c r="L10842" s="45"/>
      <c r="N10842" s="45"/>
    </row>
    <row r="10843">
      <c r="A10843" s="40" t="str">
        <f t="shared" si="1"/>
        <v/>
      </c>
      <c r="B10843" s="37" t="str">
        <f t="array" ref="B10843">iferror(xlookup($I10843, 'IMPORT VHC Report'!$E:$E, 'IMPORT VHC Report'!$A:$C), )</f>
        <v/>
      </c>
      <c r="C10843" s="44"/>
      <c r="D10843" s="44"/>
      <c r="L10843" s="45"/>
      <c r="N10843" s="45"/>
    </row>
    <row r="10844">
      <c r="A10844" s="40" t="str">
        <f t="shared" si="1"/>
        <v/>
      </c>
      <c r="B10844" s="37" t="str">
        <f t="array" ref="B10844">iferror(xlookup($I10844, 'IMPORT VHC Report'!$E:$E, 'IMPORT VHC Report'!$A:$C), )</f>
        <v/>
      </c>
      <c r="C10844" s="44"/>
      <c r="D10844" s="44"/>
      <c r="L10844" s="45"/>
      <c r="N10844" s="45"/>
    </row>
    <row r="10845">
      <c r="A10845" s="40" t="str">
        <f t="shared" si="1"/>
        <v/>
      </c>
      <c r="B10845" s="37" t="str">
        <f t="array" ref="B10845">iferror(xlookup($I10845, 'IMPORT VHC Report'!$E:$E, 'IMPORT VHC Report'!$A:$C), )</f>
        <v/>
      </c>
      <c r="C10845" s="44"/>
      <c r="D10845" s="44"/>
      <c r="L10845" s="45"/>
      <c r="N10845" s="45"/>
    </row>
    <row r="10846">
      <c r="A10846" s="40" t="str">
        <f t="shared" si="1"/>
        <v/>
      </c>
      <c r="B10846" s="37" t="str">
        <f t="array" ref="B10846">iferror(xlookup($I10846, 'IMPORT VHC Report'!$E:$E, 'IMPORT VHC Report'!$A:$C), )</f>
        <v/>
      </c>
      <c r="C10846" s="44"/>
      <c r="D10846" s="44"/>
      <c r="L10846" s="45"/>
      <c r="N10846" s="45"/>
    </row>
    <row r="10847">
      <c r="A10847" s="40" t="str">
        <f t="shared" si="1"/>
        <v/>
      </c>
      <c r="B10847" s="37" t="str">
        <f t="array" ref="B10847">iferror(xlookup($I10847, 'IMPORT VHC Report'!$E:$E, 'IMPORT VHC Report'!$A:$C), )</f>
        <v/>
      </c>
      <c r="C10847" s="44"/>
      <c r="D10847" s="44"/>
      <c r="L10847" s="45"/>
      <c r="N10847" s="45"/>
    </row>
    <row r="10848">
      <c r="A10848" s="40" t="str">
        <f t="shared" si="1"/>
        <v/>
      </c>
      <c r="B10848" s="37" t="str">
        <f t="array" ref="B10848">iferror(xlookup($I10848, 'IMPORT VHC Report'!$E:$E, 'IMPORT VHC Report'!$A:$C), )</f>
        <v/>
      </c>
      <c r="C10848" s="44"/>
      <c r="D10848" s="44"/>
      <c r="L10848" s="45"/>
      <c r="N10848" s="45"/>
    </row>
    <row r="10849">
      <c r="A10849" s="40" t="str">
        <f t="shared" si="1"/>
        <v/>
      </c>
      <c r="B10849" s="37" t="str">
        <f t="array" ref="B10849">iferror(xlookup($I10849, 'IMPORT VHC Report'!$E:$E, 'IMPORT VHC Report'!$A:$C), )</f>
        <v/>
      </c>
      <c r="C10849" s="44"/>
      <c r="D10849" s="44"/>
      <c r="L10849" s="45"/>
      <c r="N10849" s="45"/>
    </row>
    <row r="10850">
      <c r="A10850" s="40" t="str">
        <f t="shared" si="1"/>
        <v/>
      </c>
      <c r="B10850" s="37" t="str">
        <f t="array" ref="B10850">iferror(xlookup($I10850, 'IMPORT VHC Report'!$E:$E, 'IMPORT VHC Report'!$A:$C), )</f>
        <v/>
      </c>
      <c r="C10850" s="44"/>
      <c r="D10850" s="44"/>
      <c r="L10850" s="45"/>
      <c r="N10850" s="45"/>
    </row>
    <row r="10851">
      <c r="A10851" s="40" t="str">
        <f t="shared" si="1"/>
        <v/>
      </c>
      <c r="B10851" s="37" t="str">
        <f t="array" ref="B10851">iferror(xlookup($I10851, 'IMPORT VHC Report'!$E:$E, 'IMPORT VHC Report'!$A:$C), )</f>
        <v/>
      </c>
      <c r="C10851" s="44"/>
      <c r="D10851" s="44"/>
      <c r="L10851" s="45"/>
      <c r="N10851" s="45"/>
    </row>
    <row r="10852">
      <c r="A10852" s="40" t="str">
        <f t="shared" si="1"/>
        <v/>
      </c>
      <c r="B10852" s="37" t="str">
        <f t="array" ref="B10852">iferror(xlookup($I10852, 'IMPORT VHC Report'!$E:$E, 'IMPORT VHC Report'!$A:$C), )</f>
        <v/>
      </c>
      <c r="C10852" s="44"/>
      <c r="D10852" s="44"/>
      <c r="L10852" s="45"/>
      <c r="N10852" s="45"/>
    </row>
    <row r="10853">
      <c r="A10853" s="40" t="str">
        <f t="shared" si="1"/>
        <v/>
      </c>
      <c r="B10853" s="37" t="str">
        <f t="array" ref="B10853">iferror(xlookup($I10853, 'IMPORT VHC Report'!$E:$E, 'IMPORT VHC Report'!$A:$C), )</f>
        <v/>
      </c>
      <c r="C10853" s="44"/>
      <c r="D10853" s="44"/>
      <c r="L10853" s="45"/>
      <c r="N10853" s="45"/>
    </row>
    <row r="10854">
      <c r="A10854" s="40" t="str">
        <f t="shared" si="1"/>
        <v/>
      </c>
      <c r="B10854" s="37" t="str">
        <f t="array" ref="B10854">iferror(xlookup($I10854, 'IMPORT VHC Report'!$E:$E, 'IMPORT VHC Report'!$A:$C), )</f>
        <v/>
      </c>
      <c r="C10854" s="44"/>
      <c r="D10854" s="44"/>
      <c r="L10854" s="45"/>
      <c r="N10854" s="45"/>
    </row>
    <row r="10855">
      <c r="A10855" s="40" t="str">
        <f t="shared" si="1"/>
        <v/>
      </c>
      <c r="B10855" s="37" t="str">
        <f t="array" ref="B10855">iferror(xlookup($I10855, 'IMPORT VHC Report'!$E:$E, 'IMPORT VHC Report'!$A:$C), )</f>
        <v/>
      </c>
      <c r="C10855" s="44"/>
      <c r="D10855" s="44"/>
      <c r="L10855" s="45"/>
      <c r="N10855" s="45"/>
    </row>
    <row r="10856">
      <c r="A10856" s="40" t="str">
        <f t="shared" si="1"/>
        <v/>
      </c>
      <c r="B10856" s="37" t="str">
        <f t="array" ref="B10856">iferror(xlookup($I10856, 'IMPORT VHC Report'!$E:$E, 'IMPORT VHC Report'!$A:$C), )</f>
        <v/>
      </c>
      <c r="C10856" s="44"/>
      <c r="D10856" s="44"/>
      <c r="L10856" s="45"/>
      <c r="N10856" s="45"/>
    </row>
    <row r="10857">
      <c r="A10857" s="40" t="str">
        <f t="shared" si="1"/>
        <v/>
      </c>
      <c r="B10857" s="37" t="str">
        <f t="array" ref="B10857">iferror(xlookup($I10857, 'IMPORT VHC Report'!$E:$E, 'IMPORT VHC Report'!$A:$C), )</f>
        <v/>
      </c>
      <c r="C10857" s="44"/>
      <c r="D10857" s="44"/>
      <c r="L10857" s="45"/>
      <c r="N10857" s="45"/>
    </row>
    <row r="10858">
      <c r="A10858" s="40" t="str">
        <f t="shared" si="1"/>
        <v/>
      </c>
      <c r="B10858" s="37" t="str">
        <f t="array" ref="B10858">iferror(xlookup($I10858, 'IMPORT VHC Report'!$E:$E, 'IMPORT VHC Report'!$A:$C), )</f>
        <v/>
      </c>
      <c r="C10858" s="44"/>
      <c r="D10858" s="44"/>
      <c r="L10858" s="45"/>
      <c r="N10858" s="45"/>
    </row>
    <row r="10859">
      <c r="A10859" s="40" t="str">
        <f t="shared" si="1"/>
        <v/>
      </c>
      <c r="B10859" s="37" t="str">
        <f t="array" ref="B10859">iferror(xlookup($I10859, 'IMPORT VHC Report'!$E:$E, 'IMPORT VHC Report'!$A:$C), )</f>
        <v/>
      </c>
      <c r="C10859" s="44"/>
      <c r="D10859" s="44"/>
      <c r="L10859" s="45"/>
      <c r="N10859" s="45"/>
    </row>
    <row r="10860">
      <c r="A10860" s="40" t="str">
        <f t="shared" si="1"/>
        <v/>
      </c>
      <c r="B10860" s="37" t="str">
        <f t="array" ref="B10860">iferror(xlookup($I10860, 'IMPORT VHC Report'!$E:$E, 'IMPORT VHC Report'!$A:$C), )</f>
        <v/>
      </c>
      <c r="C10860" s="44"/>
      <c r="D10860" s="44"/>
      <c r="L10860" s="45"/>
      <c r="N10860" s="45"/>
    </row>
    <row r="10861">
      <c r="A10861" s="40" t="str">
        <f t="shared" si="1"/>
        <v/>
      </c>
      <c r="B10861" s="37" t="str">
        <f t="array" ref="B10861">iferror(xlookup($I10861, 'IMPORT VHC Report'!$E:$E, 'IMPORT VHC Report'!$A:$C), )</f>
        <v/>
      </c>
      <c r="C10861" s="44"/>
      <c r="D10861" s="44"/>
      <c r="L10861" s="45"/>
      <c r="N10861" s="45"/>
    </row>
    <row r="10862">
      <c r="A10862" s="40" t="str">
        <f t="shared" si="1"/>
        <v/>
      </c>
      <c r="B10862" s="37" t="str">
        <f t="array" ref="B10862">iferror(xlookup($I10862, 'IMPORT VHC Report'!$E:$E, 'IMPORT VHC Report'!$A:$C), )</f>
        <v/>
      </c>
      <c r="C10862" s="44"/>
      <c r="D10862" s="44"/>
      <c r="L10862" s="45"/>
      <c r="N10862" s="45"/>
    </row>
    <row r="10863">
      <c r="A10863" s="40" t="str">
        <f t="shared" si="1"/>
        <v/>
      </c>
      <c r="B10863" s="37" t="str">
        <f t="array" ref="B10863">iferror(xlookup($I10863, 'IMPORT VHC Report'!$E:$E, 'IMPORT VHC Report'!$A:$C), )</f>
        <v/>
      </c>
      <c r="C10863" s="44"/>
      <c r="D10863" s="44"/>
      <c r="L10863" s="45"/>
      <c r="N10863" s="45"/>
    </row>
    <row r="10864">
      <c r="A10864" s="40" t="str">
        <f t="shared" si="1"/>
        <v/>
      </c>
      <c r="B10864" s="37" t="str">
        <f t="array" ref="B10864">iferror(xlookup($I10864, 'IMPORT VHC Report'!$E:$E, 'IMPORT VHC Report'!$A:$C), )</f>
        <v/>
      </c>
      <c r="C10864" s="44"/>
      <c r="D10864" s="44"/>
      <c r="L10864" s="45"/>
      <c r="N10864" s="45"/>
    </row>
    <row r="10865">
      <c r="A10865" s="40" t="str">
        <f t="shared" si="1"/>
        <v/>
      </c>
      <c r="B10865" s="37" t="str">
        <f t="array" ref="B10865">iferror(xlookup($I10865, 'IMPORT VHC Report'!$E:$E, 'IMPORT VHC Report'!$A:$C), )</f>
        <v/>
      </c>
      <c r="C10865" s="44"/>
      <c r="D10865" s="44"/>
      <c r="L10865" s="45"/>
      <c r="N10865" s="45"/>
    </row>
    <row r="10866">
      <c r="A10866" s="40" t="str">
        <f t="shared" si="1"/>
        <v/>
      </c>
      <c r="B10866" s="37" t="str">
        <f t="array" ref="B10866">iferror(xlookup($I10866, 'IMPORT VHC Report'!$E:$E, 'IMPORT VHC Report'!$A:$C), )</f>
        <v/>
      </c>
      <c r="C10866" s="44"/>
      <c r="D10866" s="44"/>
      <c r="L10866" s="45"/>
      <c r="N10866" s="45"/>
    </row>
    <row r="10867">
      <c r="A10867" s="40" t="str">
        <f t="shared" si="1"/>
        <v/>
      </c>
      <c r="B10867" s="37" t="str">
        <f t="array" ref="B10867">iferror(xlookup($I10867, 'IMPORT VHC Report'!$E:$E, 'IMPORT VHC Report'!$A:$C), )</f>
        <v/>
      </c>
      <c r="C10867" s="44"/>
      <c r="D10867" s="44"/>
      <c r="L10867" s="45"/>
      <c r="N10867" s="45"/>
    </row>
    <row r="10868">
      <c r="A10868" s="40" t="str">
        <f t="shared" si="1"/>
        <v/>
      </c>
      <c r="B10868" s="37" t="str">
        <f t="array" ref="B10868">iferror(xlookup($I10868, 'IMPORT VHC Report'!$E:$E, 'IMPORT VHC Report'!$A:$C), )</f>
        <v/>
      </c>
      <c r="C10868" s="44"/>
      <c r="D10868" s="44"/>
      <c r="L10868" s="45"/>
      <c r="N10868" s="45"/>
    </row>
    <row r="10869">
      <c r="A10869" s="40" t="str">
        <f t="shared" si="1"/>
        <v/>
      </c>
      <c r="B10869" s="37" t="str">
        <f t="array" ref="B10869">iferror(xlookup($I10869, 'IMPORT VHC Report'!$E:$E, 'IMPORT VHC Report'!$A:$C), )</f>
        <v/>
      </c>
      <c r="C10869" s="44"/>
      <c r="D10869" s="44"/>
      <c r="L10869" s="45"/>
      <c r="N10869" s="45"/>
    </row>
    <row r="10870">
      <c r="A10870" s="40" t="str">
        <f t="shared" si="1"/>
        <v/>
      </c>
      <c r="B10870" s="37" t="str">
        <f t="array" ref="B10870">iferror(xlookup($I10870, 'IMPORT VHC Report'!$E:$E, 'IMPORT VHC Report'!$A:$C), )</f>
        <v/>
      </c>
      <c r="C10870" s="44"/>
      <c r="D10870" s="44"/>
      <c r="L10870" s="45"/>
      <c r="N10870" s="45"/>
    </row>
    <row r="10871">
      <c r="A10871" s="40" t="str">
        <f t="shared" si="1"/>
        <v/>
      </c>
      <c r="B10871" s="37" t="str">
        <f t="array" ref="B10871">iferror(xlookup($I10871, 'IMPORT VHC Report'!$E:$E, 'IMPORT VHC Report'!$A:$C), )</f>
        <v/>
      </c>
      <c r="C10871" s="44"/>
      <c r="D10871" s="44"/>
      <c r="L10871" s="45"/>
      <c r="N10871" s="45"/>
    </row>
    <row r="10872">
      <c r="A10872" s="40" t="str">
        <f t="shared" si="1"/>
        <v/>
      </c>
      <c r="B10872" s="37" t="str">
        <f t="array" ref="B10872">iferror(xlookup($I10872, 'IMPORT VHC Report'!$E:$E, 'IMPORT VHC Report'!$A:$C), )</f>
        <v/>
      </c>
      <c r="C10872" s="44"/>
      <c r="D10872" s="44"/>
      <c r="L10872" s="45"/>
      <c r="N10872" s="45"/>
    </row>
    <row r="10873">
      <c r="A10873" s="40" t="str">
        <f t="shared" si="1"/>
        <v/>
      </c>
      <c r="B10873" s="37" t="str">
        <f t="array" ref="B10873">iferror(xlookup($I10873, 'IMPORT VHC Report'!$E:$E, 'IMPORT VHC Report'!$A:$C), )</f>
        <v/>
      </c>
      <c r="C10873" s="44"/>
      <c r="D10873" s="44"/>
      <c r="L10873" s="45"/>
      <c r="N10873" s="45"/>
    </row>
    <row r="10874">
      <c r="A10874" s="40" t="str">
        <f t="shared" si="1"/>
        <v/>
      </c>
      <c r="B10874" s="37" t="str">
        <f t="array" ref="B10874">iferror(xlookup($I10874, 'IMPORT VHC Report'!$E:$E, 'IMPORT VHC Report'!$A:$C), )</f>
        <v/>
      </c>
      <c r="C10874" s="44"/>
      <c r="D10874" s="44"/>
      <c r="L10874" s="45"/>
      <c r="N10874" s="45"/>
    </row>
    <row r="10875">
      <c r="A10875" s="40" t="str">
        <f t="shared" si="1"/>
        <v/>
      </c>
      <c r="B10875" s="37" t="str">
        <f t="array" ref="B10875">iferror(xlookup($I10875, 'IMPORT VHC Report'!$E:$E, 'IMPORT VHC Report'!$A:$C), )</f>
        <v/>
      </c>
      <c r="C10875" s="44"/>
      <c r="D10875" s="44"/>
      <c r="L10875" s="45"/>
      <c r="N10875" s="45"/>
    </row>
    <row r="10876">
      <c r="A10876" s="40" t="str">
        <f t="shared" si="1"/>
        <v/>
      </c>
      <c r="B10876" s="37" t="str">
        <f t="array" ref="B10876">iferror(xlookup($I10876, 'IMPORT VHC Report'!$E:$E, 'IMPORT VHC Report'!$A:$C), )</f>
        <v/>
      </c>
      <c r="C10876" s="44"/>
      <c r="D10876" s="44"/>
      <c r="L10876" s="45"/>
      <c r="N10876" s="45"/>
    </row>
    <row r="10877">
      <c r="A10877" s="40" t="str">
        <f t="shared" si="1"/>
        <v/>
      </c>
      <c r="B10877" s="37" t="str">
        <f t="array" ref="B10877">iferror(xlookup($I10877, 'IMPORT VHC Report'!$E:$E, 'IMPORT VHC Report'!$A:$C), )</f>
        <v/>
      </c>
      <c r="C10877" s="44"/>
      <c r="D10877" s="44"/>
      <c r="L10877" s="45"/>
      <c r="N10877" s="45"/>
    </row>
    <row r="10878">
      <c r="A10878" s="40" t="str">
        <f t="shared" si="1"/>
        <v/>
      </c>
      <c r="B10878" s="37" t="str">
        <f t="array" ref="B10878">iferror(xlookup($I10878, 'IMPORT VHC Report'!$E:$E, 'IMPORT VHC Report'!$A:$C), )</f>
        <v/>
      </c>
      <c r="C10878" s="44"/>
      <c r="D10878" s="44"/>
      <c r="L10878" s="45"/>
      <c r="N10878" s="45"/>
    </row>
    <row r="10879">
      <c r="A10879" s="40" t="str">
        <f t="shared" si="1"/>
        <v/>
      </c>
      <c r="B10879" s="37" t="str">
        <f t="array" ref="B10879">iferror(xlookup($I10879, 'IMPORT VHC Report'!$E:$E, 'IMPORT VHC Report'!$A:$C), )</f>
        <v/>
      </c>
      <c r="C10879" s="44"/>
      <c r="D10879" s="44"/>
      <c r="L10879" s="45"/>
      <c r="N10879" s="45"/>
    </row>
    <row r="10880">
      <c r="A10880" s="40" t="str">
        <f t="shared" si="1"/>
        <v/>
      </c>
      <c r="B10880" s="37" t="str">
        <f t="array" ref="B10880">iferror(xlookup($I10880, 'IMPORT VHC Report'!$E:$E, 'IMPORT VHC Report'!$A:$C), )</f>
        <v/>
      </c>
      <c r="C10880" s="44"/>
      <c r="D10880" s="44"/>
      <c r="L10880" s="45"/>
      <c r="N10880" s="45"/>
    </row>
    <row r="10881">
      <c r="A10881" s="40" t="str">
        <f t="shared" si="1"/>
        <v/>
      </c>
      <c r="B10881" s="37" t="str">
        <f t="array" ref="B10881">iferror(xlookup($I10881, 'IMPORT VHC Report'!$E:$E, 'IMPORT VHC Report'!$A:$C), )</f>
        <v/>
      </c>
      <c r="C10881" s="44"/>
      <c r="D10881" s="44"/>
      <c r="L10881" s="45"/>
      <c r="N10881" s="45"/>
    </row>
    <row r="10882">
      <c r="A10882" s="40" t="str">
        <f t="shared" si="1"/>
        <v/>
      </c>
      <c r="B10882" s="37" t="str">
        <f t="array" ref="B10882">iferror(xlookup($I10882, 'IMPORT VHC Report'!$E:$E, 'IMPORT VHC Report'!$A:$C), )</f>
        <v/>
      </c>
      <c r="C10882" s="44"/>
      <c r="D10882" s="44"/>
      <c r="L10882" s="45"/>
      <c r="N10882" s="45"/>
    </row>
    <row r="10883">
      <c r="A10883" s="40" t="str">
        <f t="shared" si="1"/>
        <v/>
      </c>
      <c r="B10883" s="37" t="str">
        <f t="array" ref="B10883">iferror(xlookup($I10883, 'IMPORT VHC Report'!$E:$E, 'IMPORT VHC Report'!$A:$C), )</f>
        <v/>
      </c>
      <c r="C10883" s="44"/>
      <c r="D10883" s="44"/>
      <c r="L10883" s="45"/>
      <c r="N10883" s="45"/>
    </row>
    <row r="10884">
      <c r="A10884" s="40" t="str">
        <f t="shared" si="1"/>
        <v/>
      </c>
      <c r="B10884" s="37" t="str">
        <f t="array" ref="B10884">iferror(xlookup($I10884, 'IMPORT VHC Report'!$E:$E, 'IMPORT VHC Report'!$A:$C), )</f>
        <v/>
      </c>
      <c r="C10884" s="44"/>
      <c r="D10884" s="44"/>
      <c r="L10884" s="45"/>
      <c r="N10884" s="45"/>
    </row>
    <row r="10885">
      <c r="A10885" s="40" t="str">
        <f t="shared" si="1"/>
        <v/>
      </c>
      <c r="B10885" s="37" t="str">
        <f t="array" ref="B10885">iferror(xlookup($I10885, 'IMPORT VHC Report'!$E:$E, 'IMPORT VHC Report'!$A:$C), )</f>
        <v/>
      </c>
      <c r="C10885" s="44"/>
      <c r="D10885" s="44"/>
      <c r="L10885" s="45"/>
      <c r="N10885" s="45"/>
    </row>
    <row r="10886">
      <c r="A10886" s="40" t="str">
        <f t="shared" si="1"/>
        <v/>
      </c>
      <c r="B10886" s="37" t="str">
        <f t="array" ref="B10886">iferror(xlookup($I10886, 'IMPORT VHC Report'!$E:$E, 'IMPORT VHC Report'!$A:$C), )</f>
        <v/>
      </c>
      <c r="C10886" s="44"/>
      <c r="D10886" s="44"/>
      <c r="L10886" s="45"/>
      <c r="N10886" s="45"/>
    </row>
    <row r="10887">
      <c r="A10887" s="40" t="str">
        <f t="shared" si="1"/>
        <v/>
      </c>
      <c r="B10887" s="37" t="str">
        <f t="array" ref="B10887">iferror(xlookup($I10887, 'IMPORT VHC Report'!$E:$E, 'IMPORT VHC Report'!$A:$C), )</f>
        <v/>
      </c>
      <c r="C10887" s="44"/>
      <c r="D10887" s="44"/>
      <c r="L10887" s="45"/>
      <c r="N10887" s="45"/>
    </row>
    <row r="10888">
      <c r="A10888" s="40" t="str">
        <f t="shared" si="1"/>
        <v/>
      </c>
      <c r="B10888" s="37" t="str">
        <f t="array" ref="B10888">iferror(xlookup($I10888, 'IMPORT VHC Report'!$E:$E, 'IMPORT VHC Report'!$A:$C), )</f>
        <v/>
      </c>
      <c r="C10888" s="44"/>
      <c r="D10888" s="44"/>
      <c r="L10888" s="45"/>
      <c r="N10888" s="45"/>
    </row>
    <row r="10889">
      <c r="A10889" s="40" t="str">
        <f t="shared" si="1"/>
        <v/>
      </c>
      <c r="B10889" s="37" t="str">
        <f t="array" ref="B10889">iferror(xlookup($I10889, 'IMPORT VHC Report'!$E:$E, 'IMPORT VHC Report'!$A:$C), )</f>
        <v/>
      </c>
      <c r="C10889" s="44"/>
      <c r="D10889" s="44"/>
      <c r="L10889" s="45"/>
      <c r="N10889" s="45"/>
    </row>
    <row r="10890">
      <c r="A10890" s="40" t="str">
        <f t="shared" si="1"/>
        <v/>
      </c>
      <c r="B10890" s="37" t="str">
        <f t="array" ref="B10890">iferror(xlookup($I10890, 'IMPORT VHC Report'!$E:$E, 'IMPORT VHC Report'!$A:$C), )</f>
        <v/>
      </c>
      <c r="C10890" s="44"/>
      <c r="D10890" s="44"/>
      <c r="L10890" s="45"/>
      <c r="N10890" s="45"/>
    </row>
    <row r="10891">
      <c r="A10891" s="40" t="str">
        <f t="shared" si="1"/>
        <v/>
      </c>
      <c r="B10891" s="37" t="str">
        <f t="array" ref="B10891">iferror(xlookup($I10891, 'IMPORT VHC Report'!$E:$E, 'IMPORT VHC Report'!$A:$C), )</f>
        <v/>
      </c>
      <c r="C10891" s="44"/>
      <c r="D10891" s="44"/>
      <c r="L10891" s="45"/>
      <c r="N10891" s="45"/>
    </row>
    <row r="10892">
      <c r="A10892" s="40" t="str">
        <f t="shared" si="1"/>
        <v/>
      </c>
      <c r="B10892" s="37" t="str">
        <f t="array" ref="B10892">iferror(xlookup($I10892, 'IMPORT VHC Report'!$E:$E, 'IMPORT VHC Report'!$A:$C), )</f>
        <v/>
      </c>
      <c r="C10892" s="44"/>
      <c r="D10892" s="44"/>
      <c r="L10892" s="45"/>
      <c r="N10892" s="45"/>
    </row>
    <row r="10893">
      <c r="A10893" s="40" t="str">
        <f t="shared" si="1"/>
        <v/>
      </c>
      <c r="B10893" s="37" t="str">
        <f t="array" ref="B10893">iferror(xlookup($I10893, 'IMPORT VHC Report'!$E:$E, 'IMPORT VHC Report'!$A:$C), )</f>
        <v/>
      </c>
      <c r="C10893" s="44"/>
      <c r="D10893" s="44"/>
      <c r="L10893" s="45"/>
      <c r="N10893" s="45"/>
    </row>
    <row r="10894">
      <c r="A10894" s="40" t="str">
        <f t="shared" si="1"/>
        <v/>
      </c>
      <c r="B10894" s="37" t="str">
        <f t="array" ref="B10894">iferror(xlookup($I10894, 'IMPORT VHC Report'!$E:$E, 'IMPORT VHC Report'!$A:$C), )</f>
        <v/>
      </c>
      <c r="C10894" s="44"/>
      <c r="D10894" s="44"/>
      <c r="L10894" s="45"/>
      <c r="N10894" s="45"/>
    </row>
    <row r="10895">
      <c r="A10895" s="40" t="str">
        <f t="shared" si="1"/>
        <v/>
      </c>
      <c r="B10895" s="37" t="str">
        <f t="array" ref="B10895">iferror(xlookup($I10895, 'IMPORT VHC Report'!$E:$E, 'IMPORT VHC Report'!$A:$C), )</f>
        <v/>
      </c>
      <c r="C10895" s="44"/>
      <c r="D10895" s="44"/>
      <c r="L10895" s="45"/>
      <c r="N10895" s="45"/>
    </row>
    <row r="10896">
      <c r="A10896" s="40" t="str">
        <f t="shared" si="1"/>
        <v/>
      </c>
      <c r="B10896" s="37" t="str">
        <f t="array" ref="B10896">iferror(xlookup($I10896, 'IMPORT VHC Report'!$E:$E, 'IMPORT VHC Report'!$A:$C), )</f>
        <v/>
      </c>
      <c r="C10896" s="44"/>
      <c r="D10896" s="44"/>
      <c r="L10896" s="45"/>
      <c r="N10896" s="45"/>
    </row>
    <row r="10897">
      <c r="A10897" s="40" t="str">
        <f t="shared" si="1"/>
        <v/>
      </c>
      <c r="B10897" s="37" t="str">
        <f t="array" ref="B10897">iferror(xlookup($I10897, 'IMPORT VHC Report'!$E:$E, 'IMPORT VHC Report'!$A:$C), )</f>
        <v/>
      </c>
      <c r="C10897" s="44"/>
      <c r="D10897" s="44"/>
      <c r="L10897" s="45"/>
      <c r="N10897" s="45"/>
    </row>
    <row r="10898">
      <c r="A10898" s="40" t="str">
        <f t="shared" si="1"/>
        <v/>
      </c>
      <c r="B10898" s="37" t="str">
        <f t="array" ref="B10898">iferror(xlookup($I10898, 'IMPORT VHC Report'!$E:$E, 'IMPORT VHC Report'!$A:$C), )</f>
        <v/>
      </c>
      <c r="C10898" s="44"/>
      <c r="D10898" s="44"/>
      <c r="L10898" s="45"/>
      <c r="N10898" s="45"/>
    </row>
    <row r="10899">
      <c r="A10899" s="40" t="str">
        <f t="shared" si="1"/>
        <v/>
      </c>
      <c r="B10899" s="37" t="str">
        <f t="array" ref="B10899">iferror(xlookup($I10899, 'IMPORT VHC Report'!$E:$E, 'IMPORT VHC Report'!$A:$C), )</f>
        <v/>
      </c>
      <c r="C10899" s="44"/>
      <c r="D10899" s="44"/>
      <c r="L10899" s="45"/>
      <c r="N10899" s="45"/>
    </row>
    <row r="10900">
      <c r="A10900" s="40" t="str">
        <f t="shared" si="1"/>
        <v/>
      </c>
      <c r="B10900" s="37" t="str">
        <f t="array" ref="B10900">iferror(xlookup($I10900, 'IMPORT VHC Report'!$E:$E, 'IMPORT VHC Report'!$A:$C), )</f>
        <v/>
      </c>
      <c r="C10900" s="44"/>
      <c r="D10900" s="44"/>
      <c r="L10900" s="45"/>
      <c r="N10900" s="45"/>
    </row>
    <row r="10901">
      <c r="A10901" s="40" t="str">
        <f t="shared" si="1"/>
        <v/>
      </c>
      <c r="B10901" s="37" t="str">
        <f t="array" ref="B10901">iferror(xlookup($I10901, 'IMPORT VHC Report'!$E:$E, 'IMPORT VHC Report'!$A:$C), )</f>
        <v/>
      </c>
      <c r="C10901" s="44"/>
      <c r="D10901" s="44"/>
      <c r="L10901" s="45"/>
      <c r="N10901" s="45"/>
    </row>
    <row r="10902">
      <c r="A10902" s="40" t="str">
        <f t="shared" si="1"/>
        <v/>
      </c>
      <c r="B10902" s="37" t="str">
        <f t="array" ref="B10902">iferror(xlookup($I10902, 'IMPORT VHC Report'!$E:$E, 'IMPORT VHC Report'!$A:$C), )</f>
        <v/>
      </c>
      <c r="C10902" s="44"/>
      <c r="D10902" s="44"/>
      <c r="L10902" s="45"/>
      <c r="N10902" s="45"/>
    </row>
    <row r="10903">
      <c r="A10903" s="40" t="str">
        <f t="shared" si="1"/>
        <v/>
      </c>
      <c r="B10903" s="37" t="str">
        <f t="array" ref="B10903">iferror(xlookup($I10903, 'IMPORT VHC Report'!$E:$E, 'IMPORT VHC Report'!$A:$C), )</f>
        <v/>
      </c>
      <c r="C10903" s="44"/>
      <c r="D10903" s="44"/>
      <c r="L10903" s="45"/>
      <c r="N10903" s="45"/>
    </row>
    <row r="10904">
      <c r="A10904" s="40" t="str">
        <f t="shared" si="1"/>
        <v/>
      </c>
      <c r="B10904" s="37" t="str">
        <f t="array" ref="B10904">iferror(xlookup($I10904, 'IMPORT VHC Report'!$E:$E, 'IMPORT VHC Report'!$A:$C), )</f>
        <v/>
      </c>
      <c r="C10904" s="44"/>
      <c r="D10904" s="44"/>
      <c r="L10904" s="45"/>
      <c r="N10904" s="45"/>
    </row>
    <row r="10905">
      <c r="A10905" s="40" t="str">
        <f t="shared" si="1"/>
        <v/>
      </c>
      <c r="B10905" s="37" t="str">
        <f t="array" ref="B10905">iferror(xlookup($I10905, 'IMPORT VHC Report'!$E:$E, 'IMPORT VHC Report'!$A:$C), )</f>
        <v/>
      </c>
      <c r="C10905" s="44"/>
      <c r="D10905" s="44"/>
      <c r="L10905" s="45"/>
      <c r="N10905" s="45"/>
    </row>
    <row r="10906">
      <c r="A10906" s="40" t="str">
        <f t="shared" si="1"/>
        <v/>
      </c>
      <c r="B10906" s="37" t="str">
        <f t="array" ref="B10906">iferror(xlookup($I10906, 'IMPORT VHC Report'!$E:$E, 'IMPORT VHC Report'!$A:$C), )</f>
        <v/>
      </c>
      <c r="C10906" s="44"/>
      <c r="D10906" s="44"/>
      <c r="L10906" s="45"/>
      <c r="N10906" s="45"/>
    </row>
    <row r="10907">
      <c r="A10907" s="40" t="str">
        <f t="shared" si="1"/>
        <v/>
      </c>
      <c r="B10907" s="37" t="str">
        <f t="array" ref="B10907">iferror(xlookup($I10907, 'IMPORT VHC Report'!$E:$E, 'IMPORT VHC Report'!$A:$C), )</f>
        <v/>
      </c>
      <c r="C10907" s="44"/>
      <c r="D10907" s="44"/>
      <c r="L10907" s="45"/>
      <c r="N10907" s="45"/>
    </row>
    <row r="10908">
      <c r="A10908" s="40" t="str">
        <f t="shared" si="1"/>
        <v/>
      </c>
      <c r="B10908" s="37" t="str">
        <f t="array" ref="B10908">iferror(xlookup($I10908, 'IMPORT VHC Report'!$E:$E, 'IMPORT VHC Report'!$A:$C), )</f>
        <v/>
      </c>
      <c r="C10908" s="44"/>
      <c r="D10908" s="44"/>
      <c r="L10908" s="45"/>
      <c r="N10908" s="45"/>
    </row>
    <row r="10909">
      <c r="A10909" s="40" t="str">
        <f t="shared" si="1"/>
        <v/>
      </c>
      <c r="B10909" s="37" t="str">
        <f t="array" ref="B10909">iferror(xlookup($I10909, 'IMPORT VHC Report'!$E:$E, 'IMPORT VHC Report'!$A:$C), )</f>
        <v/>
      </c>
      <c r="C10909" s="44"/>
      <c r="D10909" s="44"/>
      <c r="L10909" s="45"/>
      <c r="N10909" s="45"/>
    </row>
    <row r="10910">
      <c r="A10910" s="40" t="str">
        <f t="shared" si="1"/>
        <v/>
      </c>
      <c r="B10910" s="37" t="str">
        <f t="array" ref="B10910">iferror(xlookup($I10910, 'IMPORT VHC Report'!$E:$E, 'IMPORT VHC Report'!$A:$C), )</f>
        <v/>
      </c>
      <c r="C10910" s="44"/>
      <c r="D10910" s="44"/>
      <c r="L10910" s="45"/>
      <c r="N10910" s="45"/>
    </row>
    <row r="10911">
      <c r="A10911" s="40" t="str">
        <f t="shared" si="1"/>
        <v/>
      </c>
      <c r="B10911" s="37" t="str">
        <f t="array" ref="B10911">iferror(xlookup($I10911, 'IMPORT VHC Report'!$E:$E, 'IMPORT VHC Report'!$A:$C), )</f>
        <v/>
      </c>
      <c r="C10911" s="44"/>
      <c r="D10911" s="44"/>
      <c r="L10911" s="45"/>
      <c r="N10911" s="45"/>
    </row>
    <row r="10912">
      <c r="A10912" s="40" t="str">
        <f t="shared" si="1"/>
        <v/>
      </c>
      <c r="B10912" s="37" t="str">
        <f t="array" ref="B10912">iferror(xlookup($I10912, 'IMPORT VHC Report'!$E:$E, 'IMPORT VHC Report'!$A:$C), )</f>
        <v/>
      </c>
      <c r="C10912" s="44"/>
      <c r="D10912" s="44"/>
      <c r="L10912" s="45"/>
      <c r="N10912" s="45"/>
    </row>
    <row r="10913">
      <c r="A10913" s="40" t="str">
        <f t="shared" si="1"/>
        <v/>
      </c>
      <c r="B10913" s="37" t="str">
        <f t="array" ref="B10913">iferror(xlookup($I10913, 'IMPORT VHC Report'!$E:$E, 'IMPORT VHC Report'!$A:$C), )</f>
        <v/>
      </c>
      <c r="C10913" s="44"/>
      <c r="D10913" s="44"/>
      <c r="L10913" s="45"/>
      <c r="N10913" s="45"/>
    </row>
    <row r="10914">
      <c r="A10914" s="40" t="str">
        <f t="shared" si="1"/>
        <v/>
      </c>
      <c r="B10914" s="37" t="str">
        <f t="array" ref="B10914">iferror(xlookup($I10914, 'IMPORT VHC Report'!$E:$E, 'IMPORT VHC Report'!$A:$C), )</f>
        <v/>
      </c>
      <c r="C10914" s="44"/>
      <c r="D10914" s="44"/>
      <c r="L10914" s="45"/>
      <c r="N10914" s="45"/>
    </row>
    <row r="10915">
      <c r="A10915" s="40" t="str">
        <f t="shared" si="1"/>
        <v/>
      </c>
      <c r="B10915" s="37" t="str">
        <f t="array" ref="B10915">iferror(xlookup($I10915, 'IMPORT VHC Report'!$E:$E, 'IMPORT VHC Report'!$A:$C), )</f>
        <v/>
      </c>
      <c r="C10915" s="44"/>
      <c r="D10915" s="44"/>
      <c r="L10915" s="45"/>
      <c r="N10915" s="45"/>
    </row>
    <row r="10916">
      <c r="A10916" s="40" t="str">
        <f t="shared" si="1"/>
        <v/>
      </c>
      <c r="B10916" s="37" t="str">
        <f t="array" ref="B10916">iferror(xlookup($I10916, 'IMPORT VHC Report'!$E:$E, 'IMPORT VHC Report'!$A:$C), )</f>
        <v/>
      </c>
      <c r="C10916" s="44"/>
      <c r="D10916" s="44"/>
      <c r="L10916" s="45"/>
      <c r="N10916" s="45"/>
    </row>
    <row r="10917">
      <c r="A10917" s="40" t="str">
        <f t="shared" si="1"/>
        <v/>
      </c>
      <c r="B10917" s="37" t="str">
        <f t="array" ref="B10917">iferror(xlookup($I10917, 'IMPORT VHC Report'!$E:$E, 'IMPORT VHC Report'!$A:$C), )</f>
        <v/>
      </c>
      <c r="C10917" s="44"/>
      <c r="D10917" s="44"/>
      <c r="L10917" s="45"/>
      <c r="N10917" s="45"/>
    </row>
    <row r="10918">
      <c r="A10918" s="40" t="str">
        <f t="shared" si="1"/>
        <v/>
      </c>
      <c r="B10918" s="37" t="str">
        <f t="array" ref="B10918">iferror(xlookup($I10918, 'IMPORT VHC Report'!$E:$E, 'IMPORT VHC Report'!$A:$C), )</f>
        <v/>
      </c>
      <c r="C10918" s="44"/>
      <c r="D10918" s="44"/>
      <c r="L10918" s="45"/>
      <c r="N10918" s="45"/>
    </row>
    <row r="10919">
      <c r="A10919" s="40" t="str">
        <f t="shared" si="1"/>
        <v/>
      </c>
      <c r="B10919" s="37" t="str">
        <f t="array" ref="B10919">iferror(xlookup($I10919, 'IMPORT VHC Report'!$E:$E, 'IMPORT VHC Report'!$A:$C), )</f>
        <v/>
      </c>
      <c r="C10919" s="44"/>
      <c r="D10919" s="44"/>
      <c r="L10919" s="45"/>
      <c r="N10919" s="45"/>
    </row>
    <row r="10920">
      <c r="A10920" s="40" t="str">
        <f t="shared" si="1"/>
        <v/>
      </c>
      <c r="B10920" s="37" t="str">
        <f t="array" ref="B10920">iferror(xlookup($I10920, 'IMPORT VHC Report'!$E:$E, 'IMPORT VHC Report'!$A:$C), )</f>
        <v/>
      </c>
      <c r="C10920" s="44"/>
      <c r="D10920" s="44"/>
      <c r="L10920" s="45"/>
      <c r="N10920" s="45"/>
    </row>
    <row r="10921">
      <c r="A10921" s="40" t="str">
        <f t="shared" si="1"/>
        <v/>
      </c>
      <c r="B10921" s="37" t="str">
        <f t="array" ref="B10921">iferror(xlookup($I10921, 'IMPORT VHC Report'!$E:$E, 'IMPORT VHC Report'!$A:$C), )</f>
        <v/>
      </c>
      <c r="C10921" s="44"/>
      <c r="D10921" s="44"/>
      <c r="L10921" s="45"/>
      <c r="N10921" s="45"/>
    </row>
    <row r="10922">
      <c r="A10922" s="40" t="str">
        <f t="shared" si="1"/>
        <v/>
      </c>
      <c r="B10922" s="37" t="str">
        <f t="array" ref="B10922">iferror(xlookup($I10922, 'IMPORT VHC Report'!$E:$E, 'IMPORT VHC Report'!$A:$C), )</f>
        <v/>
      </c>
      <c r="C10922" s="44"/>
      <c r="D10922" s="44"/>
      <c r="L10922" s="45"/>
      <c r="N10922" s="45"/>
    </row>
    <row r="10923">
      <c r="A10923" s="40" t="str">
        <f t="shared" si="1"/>
        <v/>
      </c>
      <c r="B10923" s="37" t="str">
        <f t="array" ref="B10923">iferror(xlookup($I10923, 'IMPORT VHC Report'!$E:$E, 'IMPORT VHC Report'!$A:$C), )</f>
        <v/>
      </c>
      <c r="C10923" s="44"/>
      <c r="D10923" s="44"/>
      <c r="L10923" s="45"/>
      <c r="N10923" s="45"/>
    </row>
    <row r="10924">
      <c r="A10924" s="40" t="str">
        <f t="shared" si="1"/>
        <v/>
      </c>
      <c r="B10924" s="37" t="str">
        <f t="array" ref="B10924">iferror(xlookup($I10924, 'IMPORT VHC Report'!$E:$E, 'IMPORT VHC Report'!$A:$C), )</f>
        <v/>
      </c>
      <c r="C10924" s="44"/>
      <c r="D10924" s="44"/>
      <c r="L10924" s="45"/>
      <c r="N10924" s="45"/>
    </row>
    <row r="10925">
      <c r="A10925" s="40" t="str">
        <f t="shared" si="1"/>
        <v/>
      </c>
      <c r="B10925" s="37" t="str">
        <f t="array" ref="B10925">iferror(xlookup($I10925, 'IMPORT VHC Report'!$E:$E, 'IMPORT VHC Report'!$A:$C), )</f>
        <v/>
      </c>
      <c r="C10925" s="44"/>
      <c r="D10925" s="44"/>
      <c r="L10925" s="45"/>
      <c r="N10925" s="45"/>
    </row>
    <row r="10926">
      <c r="A10926" s="40" t="str">
        <f t="shared" si="1"/>
        <v/>
      </c>
      <c r="B10926" s="37" t="str">
        <f t="array" ref="B10926">iferror(xlookup($I10926, 'IMPORT VHC Report'!$E:$E, 'IMPORT VHC Report'!$A:$C), )</f>
        <v/>
      </c>
      <c r="C10926" s="44"/>
      <c r="D10926" s="44"/>
      <c r="L10926" s="45"/>
      <c r="N10926" s="45"/>
    </row>
    <row r="10927">
      <c r="A10927" s="40" t="str">
        <f t="shared" si="1"/>
        <v/>
      </c>
      <c r="B10927" s="37" t="str">
        <f t="array" ref="B10927">iferror(xlookup($I10927, 'IMPORT VHC Report'!$E:$E, 'IMPORT VHC Report'!$A:$C), )</f>
        <v/>
      </c>
      <c r="C10927" s="44"/>
      <c r="D10927" s="44"/>
      <c r="L10927" s="45"/>
      <c r="N10927" s="45"/>
    </row>
    <row r="10928">
      <c r="A10928" s="40" t="str">
        <f t="shared" si="1"/>
        <v/>
      </c>
      <c r="B10928" s="37" t="str">
        <f t="array" ref="B10928">iferror(xlookup($I10928, 'IMPORT VHC Report'!$E:$E, 'IMPORT VHC Report'!$A:$C), )</f>
        <v/>
      </c>
      <c r="C10928" s="44"/>
      <c r="D10928" s="44"/>
      <c r="L10928" s="45"/>
      <c r="N10928" s="45"/>
    </row>
    <row r="10929">
      <c r="A10929" s="40" t="str">
        <f t="shared" si="1"/>
        <v/>
      </c>
      <c r="B10929" s="37" t="str">
        <f t="array" ref="B10929">iferror(xlookup($I10929, 'IMPORT VHC Report'!$E:$E, 'IMPORT VHC Report'!$A:$C), )</f>
        <v/>
      </c>
      <c r="C10929" s="44"/>
      <c r="D10929" s="44"/>
      <c r="L10929" s="45"/>
      <c r="N10929" s="45"/>
    </row>
    <row r="10930">
      <c r="A10930" s="40" t="str">
        <f t="shared" si="1"/>
        <v/>
      </c>
      <c r="B10930" s="37" t="str">
        <f t="array" ref="B10930">iferror(xlookup($I10930, 'IMPORT VHC Report'!$E:$E, 'IMPORT VHC Report'!$A:$C), )</f>
        <v/>
      </c>
      <c r="C10930" s="44"/>
      <c r="D10930" s="44"/>
      <c r="L10930" s="45"/>
      <c r="N10930" s="45"/>
    </row>
    <row r="10931">
      <c r="A10931" s="40" t="str">
        <f t="shared" si="1"/>
        <v/>
      </c>
      <c r="B10931" s="37" t="str">
        <f t="array" ref="B10931">iferror(xlookup($I10931, 'IMPORT VHC Report'!$E:$E, 'IMPORT VHC Report'!$A:$C), )</f>
        <v/>
      </c>
      <c r="C10931" s="44"/>
      <c r="D10931" s="44"/>
      <c r="L10931" s="45"/>
      <c r="N10931" s="45"/>
    </row>
    <row r="10932">
      <c r="A10932" s="40" t="str">
        <f t="shared" si="1"/>
        <v/>
      </c>
      <c r="B10932" s="37" t="str">
        <f t="array" ref="B10932">iferror(xlookup($I10932, 'IMPORT VHC Report'!$E:$E, 'IMPORT VHC Report'!$A:$C), )</f>
        <v/>
      </c>
      <c r="C10932" s="44"/>
      <c r="D10932" s="44"/>
      <c r="L10932" s="45"/>
      <c r="N10932" s="45"/>
    </row>
    <row r="10933">
      <c r="A10933" s="40" t="str">
        <f t="shared" si="1"/>
        <v/>
      </c>
      <c r="B10933" s="37" t="str">
        <f t="array" ref="B10933">iferror(xlookup($I10933, 'IMPORT VHC Report'!$E:$E, 'IMPORT VHC Report'!$A:$C), )</f>
        <v/>
      </c>
      <c r="C10933" s="44"/>
      <c r="D10933" s="44"/>
      <c r="L10933" s="45"/>
      <c r="N10933" s="45"/>
    </row>
    <row r="10934">
      <c r="A10934" s="40" t="str">
        <f t="shared" si="1"/>
        <v/>
      </c>
      <c r="B10934" s="37" t="str">
        <f t="array" ref="B10934">iferror(xlookup($I10934, 'IMPORT VHC Report'!$E:$E, 'IMPORT VHC Report'!$A:$C), )</f>
        <v/>
      </c>
      <c r="C10934" s="44"/>
      <c r="D10934" s="44"/>
      <c r="L10934" s="45"/>
      <c r="N10934" s="45"/>
    </row>
    <row r="10935">
      <c r="A10935" s="40" t="str">
        <f t="shared" si="1"/>
        <v/>
      </c>
      <c r="B10935" s="37" t="str">
        <f t="array" ref="B10935">iferror(xlookup($I10935, 'IMPORT VHC Report'!$E:$E, 'IMPORT VHC Report'!$A:$C), )</f>
        <v/>
      </c>
      <c r="C10935" s="44"/>
      <c r="D10935" s="44"/>
      <c r="L10935" s="45"/>
      <c r="N10935" s="45"/>
    </row>
    <row r="10936">
      <c r="A10936" s="40" t="str">
        <f t="shared" si="1"/>
        <v/>
      </c>
      <c r="B10936" s="37" t="str">
        <f t="array" ref="B10936">iferror(xlookup($I10936, 'IMPORT VHC Report'!$E:$E, 'IMPORT VHC Report'!$A:$C), )</f>
        <v/>
      </c>
      <c r="C10936" s="44"/>
      <c r="D10936" s="44"/>
      <c r="L10936" s="45"/>
      <c r="N10936" s="45"/>
    </row>
    <row r="10937">
      <c r="A10937" s="40" t="str">
        <f t="shared" si="1"/>
        <v/>
      </c>
      <c r="B10937" s="37" t="str">
        <f t="array" ref="B10937">iferror(xlookup($I10937, 'IMPORT VHC Report'!$E:$E, 'IMPORT VHC Report'!$A:$C), )</f>
        <v/>
      </c>
      <c r="C10937" s="44"/>
      <c r="D10937" s="44"/>
      <c r="L10937" s="45"/>
      <c r="N10937" s="45"/>
    </row>
    <row r="10938">
      <c r="A10938" s="40" t="str">
        <f t="shared" si="1"/>
        <v/>
      </c>
      <c r="B10938" s="37" t="str">
        <f t="array" ref="B10938">iferror(xlookup($I10938, 'IMPORT VHC Report'!$E:$E, 'IMPORT VHC Report'!$A:$C), )</f>
        <v/>
      </c>
      <c r="C10938" s="44"/>
      <c r="D10938" s="44"/>
      <c r="L10938" s="45"/>
      <c r="N10938" s="45"/>
    </row>
    <row r="10939">
      <c r="A10939" s="40" t="str">
        <f t="shared" si="1"/>
        <v/>
      </c>
      <c r="B10939" s="37" t="str">
        <f t="array" ref="B10939">iferror(xlookup($I10939, 'IMPORT VHC Report'!$E:$E, 'IMPORT VHC Report'!$A:$C), )</f>
        <v/>
      </c>
      <c r="C10939" s="44"/>
      <c r="D10939" s="44"/>
      <c r="L10939" s="45"/>
      <c r="N10939" s="45"/>
    </row>
    <row r="10940">
      <c r="A10940" s="40" t="str">
        <f t="shared" si="1"/>
        <v/>
      </c>
      <c r="B10940" s="37" t="str">
        <f t="array" ref="B10940">iferror(xlookup($I10940, 'IMPORT VHC Report'!$E:$E, 'IMPORT VHC Report'!$A:$C), )</f>
        <v/>
      </c>
      <c r="C10940" s="44"/>
      <c r="D10940" s="44"/>
      <c r="L10940" s="45"/>
      <c r="N10940" s="45"/>
    </row>
    <row r="10941">
      <c r="A10941" s="40" t="str">
        <f t="shared" si="1"/>
        <v/>
      </c>
      <c r="B10941" s="37" t="str">
        <f t="array" ref="B10941">iferror(xlookup($I10941, 'IMPORT VHC Report'!$E:$E, 'IMPORT VHC Report'!$A:$C), )</f>
        <v/>
      </c>
      <c r="C10941" s="44"/>
      <c r="D10941" s="44"/>
      <c r="L10941" s="45"/>
      <c r="N10941" s="45"/>
    </row>
    <row r="10942">
      <c r="A10942" s="40" t="str">
        <f t="shared" si="1"/>
        <v/>
      </c>
      <c r="B10942" s="37" t="str">
        <f t="array" ref="B10942">iferror(xlookup($I10942, 'IMPORT VHC Report'!$E:$E, 'IMPORT VHC Report'!$A:$C), )</f>
        <v/>
      </c>
      <c r="C10942" s="44"/>
      <c r="D10942" s="44"/>
      <c r="L10942" s="45"/>
      <c r="N10942" s="45"/>
    </row>
    <row r="10943">
      <c r="A10943" s="40" t="str">
        <f t="shared" si="1"/>
        <v/>
      </c>
      <c r="B10943" s="37" t="str">
        <f t="array" ref="B10943">iferror(xlookup($I10943, 'IMPORT VHC Report'!$E:$E, 'IMPORT VHC Report'!$A:$C), )</f>
        <v/>
      </c>
      <c r="C10943" s="44"/>
      <c r="D10943" s="44"/>
      <c r="L10943" s="45"/>
      <c r="N10943" s="45"/>
    </row>
    <row r="10944">
      <c r="A10944" s="40" t="str">
        <f t="shared" si="1"/>
        <v/>
      </c>
      <c r="B10944" s="37" t="str">
        <f t="array" ref="B10944">iferror(xlookup($I10944, 'IMPORT VHC Report'!$E:$E, 'IMPORT VHC Report'!$A:$C), )</f>
        <v/>
      </c>
      <c r="C10944" s="44"/>
      <c r="D10944" s="44"/>
      <c r="L10944" s="45"/>
      <c r="N10944" s="45"/>
    </row>
    <row r="10945">
      <c r="A10945" s="40" t="str">
        <f t="shared" si="1"/>
        <v/>
      </c>
      <c r="B10945" s="37" t="str">
        <f t="array" ref="B10945">iferror(xlookup($I10945, 'IMPORT VHC Report'!$E:$E, 'IMPORT VHC Report'!$A:$C), )</f>
        <v/>
      </c>
      <c r="C10945" s="44"/>
      <c r="D10945" s="44"/>
      <c r="L10945" s="45"/>
      <c r="N10945" s="45"/>
    </row>
    <row r="10946">
      <c r="A10946" s="40" t="str">
        <f t="shared" si="1"/>
        <v/>
      </c>
      <c r="B10946" s="37" t="str">
        <f t="array" ref="B10946">iferror(xlookup($I10946, 'IMPORT VHC Report'!$E:$E, 'IMPORT VHC Report'!$A:$C), )</f>
        <v/>
      </c>
      <c r="C10946" s="44"/>
      <c r="D10946" s="44"/>
      <c r="L10946" s="45"/>
      <c r="N10946" s="45"/>
    </row>
    <row r="10947">
      <c r="A10947" s="40" t="str">
        <f t="shared" si="1"/>
        <v/>
      </c>
      <c r="B10947" s="37" t="str">
        <f t="array" ref="B10947">iferror(xlookup($I10947, 'IMPORT VHC Report'!$E:$E, 'IMPORT VHC Report'!$A:$C), )</f>
        <v/>
      </c>
      <c r="C10947" s="44"/>
      <c r="D10947" s="44"/>
      <c r="L10947" s="45"/>
      <c r="N10947" s="45"/>
    </row>
    <row r="10948">
      <c r="A10948" s="40" t="str">
        <f t="shared" si="1"/>
        <v/>
      </c>
      <c r="B10948" s="37" t="str">
        <f t="array" ref="B10948">iferror(xlookup($I10948, 'IMPORT VHC Report'!$E:$E, 'IMPORT VHC Report'!$A:$C), )</f>
        <v/>
      </c>
      <c r="C10948" s="44"/>
      <c r="D10948" s="44"/>
      <c r="L10948" s="45"/>
      <c r="N10948" s="45"/>
    </row>
    <row r="10949">
      <c r="A10949" s="40" t="str">
        <f t="shared" si="1"/>
        <v/>
      </c>
      <c r="B10949" s="37" t="str">
        <f t="array" ref="B10949">iferror(xlookup($I10949, 'IMPORT VHC Report'!$E:$E, 'IMPORT VHC Report'!$A:$C), )</f>
        <v/>
      </c>
      <c r="C10949" s="44"/>
      <c r="D10949" s="44"/>
      <c r="L10949" s="45"/>
      <c r="N10949" s="45"/>
    </row>
    <row r="10950">
      <c r="A10950" s="40" t="str">
        <f t="shared" si="1"/>
        <v/>
      </c>
      <c r="B10950" s="37" t="str">
        <f t="array" ref="B10950">iferror(xlookup($I10950, 'IMPORT VHC Report'!$E:$E, 'IMPORT VHC Report'!$A:$C), )</f>
        <v/>
      </c>
      <c r="C10950" s="44"/>
      <c r="D10950" s="44"/>
      <c r="L10950" s="45"/>
      <c r="N10950" s="45"/>
    </row>
    <row r="10951">
      <c r="A10951" s="40" t="str">
        <f t="shared" si="1"/>
        <v/>
      </c>
      <c r="B10951" s="37" t="str">
        <f t="array" ref="B10951">iferror(xlookup($I10951, 'IMPORT VHC Report'!$E:$E, 'IMPORT VHC Report'!$A:$C), )</f>
        <v/>
      </c>
      <c r="C10951" s="44"/>
      <c r="D10951" s="44"/>
      <c r="L10951" s="45"/>
      <c r="N10951" s="45"/>
    </row>
    <row r="10952">
      <c r="A10952" s="40" t="str">
        <f t="shared" si="1"/>
        <v/>
      </c>
      <c r="B10952" s="37" t="str">
        <f t="array" ref="B10952">iferror(xlookup($I10952, 'IMPORT VHC Report'!$E:$E, 'IMPORT VHC Report'!$A:$C), )</f>
        <v/>
      </c>
      <c r="C10952" s="44"/>
      <c r="D10952" s="44"/>
      <c r="L10952" s="45"/>
      <c r="N10952" s="45"/>
    </row>
    <row r="10953">
      <c r="A10953" s="40" t="str">
        <f t="shared" si="1"/>
        <v/>
      </c>
      <c r="B10953" s="37" t="str">
        <f t="array" ref="B10953">iferror(xlookup($I10953, 'IMPORT VHC Report'!$E:$E, 'IMPORT VHC Report'!$A:$C), )</f>
        <v/>
      </c>
      <c r="C10953" s="44"/>
      <c r="D10953" s="44"/>
      <c r="L10953" s="45"/>
      <c r="N10953" s="45"/>
    </row>
    <row r="10954">
      <c r="A10954" s="40" t="str">
        <f t="shared" si="1"/>
        <v/>
      </c>
      <c r="B10954" s="37" t="str">
        <f t="array" ref="B10954">iferror(xlookup($I10954, 'IMPORT VHC Report'!$E:$E, 'IMPORT VHC Report'!$A:$C), )</f>
        <v/>
      </c>
      <c r="C10954" s="44"/>
      <c r="D10954" s="44"/>
      <c r="L10954" s="45"/>
      <c r="N10954" s="45"/>
    </row>
    <row r="10955">
      <c r="A10955" s="40" t="str">
        <f t="shared" si="1"/>
        <v/>
      </c>
      <c r="B10955" s="37" t="str">
        <f t="array" ref="B10955">iferror(xlookup($I10955, 'IMPORT VHC Report'!$E:$E, 'IMPORT VHC Report'!$A:$C), )</f>
        <v/>
      </c>
      <c r="C10955" s="44"/>
      <c r="D10955" s="44"/>
      <c r="L10955" s="45"/>
      <c r="N10955" s="45"/>
    </row>
    <row r="10956">
      <c r="A10956" s="40" t="str">
        <f t="shared" si="1"/>
        <v/>
      </c>
      <c r="B10956" s="37" t="str">
        <f t="array" ref="B10956">iferror(xlookup($I10956, 'IMPORT VHC Report'!$E:$E, 'IMPORT VHC Report'!$A:$C), )</f>
        <v/>
      </c>
      <c r="C10956" s="44"/>
      <c r="D10956" s="44"/>
      <c r="L10956" s="45"/>
      <c r="N10956" s="45"/>
    </row>
    <row r="10957">
      <c r="A10957" s="40" t="str">
        <f t="shared" si="1"/>
        <v/>
      </c>
      <c r="B10957" s="37" t="str">
        <f t="array" ref="B10957">iferror(xlookup($I10957, 'IMPORT VHC Report'!$E:$E, 'IMPORT VHC Report'!$A:$C), )</f>
        <v/>
      </c>
      <c r="C10957" s="44"/>
      <c r="D10957" s="44"/>
      <c r="L10957" s="45"/>
      <c r="N10957" s="45"/>
    </row>
    <row r="10958">
      <c r="A10958" s="40" t="str">
        <f t="shared" si="1"/>
        <v/>
      </c>
      <c r="B10958" s="37" t="str">
        <f t="array" ref="B10958">iferror(xlookup($I10958, 'IMPORT VHC Report'!$E:$E, 'IMPORT VHC Report'!$A:$C), )</f>
        <v/>
      </c>
      <c r="C10958" s="44"/>
      <c r="D10958" s="44"/>
      <c r="L10958" s="45"/>
      <c r="N10958" s="45"/>
    </row>
    <row r="10959">
      <c r="A10959" s="40" t="str">
        <f t="shared" si="1"/>
        <v/>
      </c>
      <c r="B10959" s="37" t="str">
        <f t="array" ref="B10959">iferror(xlookup($I10959, 'IMPORT VHC Report'!$E:$E, 'IMPORT VHC Report'!$A:$C), )</f>
        <v/>
      </c>
      <c r="C10959" s="44"/>
      <c r="D10959" s="44"/>
      <c r="L10959" s="45"/>
      <c r="N10959" s="45"/>
    </row>
    <row r="10960">
      <c r="A10960" s="40" t="str">
        <f t="shared" si="1"/>
        <v/>
      </c>
      <c r="B10960" s="37" t="str">
        <f t="array" ref="B10960">iferror(xlookup($I10960, 'IMPORT VHC Report'!$E:$E, 'IMPORT VHC Report'!$A:$C), )</f>
        <v/>
      </c>
      <c r="C10960" s="44"/>
      <c r="D10960" s="44"/>
      <c r="L10960" s="45"/>
      <c r="N10960" s="45"/>
    </row>
    <row r="10961">
      <c r="A10961" s="40" t="str">
        <f t="shared" si="1"/>
        <v/>
      </c>
      <c r="B10961" s="37" t="str">
        <f t="array" ref="B10961">iferror(xlookup($I10961, 'IMPORT VHC Report'!$E:$E, 'IMPORT VHC Report'!$A:$C), )</f>
        <v/>
      </c>
      <c r="C10961" s="44"/>
      <c r="D10961" s="44"/>
      <c r="L10961" s="45"/>
      <c r="N10961" s="45"/>
    </row>
    <row r="10962">
      <c r="A10962" s="40" t="str">
        <f t="shared" si="1"/>
        <v/>
      </c>
      <c r="B10962" s="37" t="str">
        <f t="array" ref="B10962">iferror(xlookup($I10962, 'IMPORT VHC Report'!$E:$E, 'IMPORT VHC Report'!$A:$C), )</f>
        <v/>
      </c>
      <c r="C10962" s="44"/>
      <c r="D10962" s="44"/>
      <c r="L10962" s="45"/>
      <c r="N10962" s="45"/>
    </row>
    <row r="10963">
      <c r="A10963" s="40" t="str">
        <f t="shared" si="1"/>
        <v/>
      </c>
      <c r="B10963" s="37" t="str">
        <f t="array" ref="B10963">iferror(xlookup($I10963, 'IMPORT VHC Report'!$E:$E, 'IMPORT VHC Report'!$A:$C), )</f>
        <v/>
      </c>
      <c r="C10963" s="44"/>
      <c r="D10963" s="44"/>
      <c r="L10963" s="45"/>
      <c r="N10963" s="45"/>
    </row>
    <row r="10964">
      <c r="A10964" s="40" t="str">
        <f t="shared" si="1"/>
        <v/>
      </c>
      <c r="B10964" s="37" t="str">
        <f t="array" ref="B10964">iferror(xlookup($I10964, 'IMPORT VHC Report'!$E:$E, 'IMPORT VHC Report'!$A:$C), )</f>
        <v/>
      </c>
      <c r="C10964" s="44"/>
      <c r="D10964" s="44"/>
      <c r="L10964" s="45"/>
      <c r="N10964" s="45"/>
    </row>
    <row r="10965">
      <c r="A10965" s="40" t="str">
        <f t="shared" si="1"/>
        <v/>
      </c>
      <c r="B10965" s="37" t="str">
        <f t="array" ref="B10965">iferror(xlookup($I10965, 'IMPORT VHC Report'!$E:$E, 'IMPORT VHC Report'!$A:$C), )</f>
        <v/>
      </c>
      <c r="C10965" s="44"/>
      <c r="D10965" s="44"/>
      <c r="L10965" s="45"/>
      <c r="N10965" s="45"/>
    </row>
    <row r="10966">
      <c r="A10966" s="40" t="str">
        <f t="shared" si="1"/>
        <v/>
      </c>
      <c r="B10966" s="37" t="str">
        <f t="array" ref="B10966">iferror(xlookup($I10966, 'IMPORT VHC Report'!$E:$E, 'IMPORT VHC Report'!$A:$C), )</f>
        <v/>
      </c>
      <c r="C10966" s="44"/>
      <c r="D10966" s="44"/>
      <c r="L10966" s="45"/>
      <c r="N10966" s="45"/>
    </row>
    <row r="10967">
      <c r="A10967" s="40" t="str">
        <f t="shared" si="1"/>
        <v/>
      </c>
      <c r="B10967" s="37" t="str">
        <f t="array" ref="B10967">iferror(xlookup($I10967, 'IMPORT VHC Report'!$E:$E, 'IMPORT VHC Report'!$A:$C), )</f>
        <v/>
      </c>
      <c r="C10967" s="44"/>
      <c r="D10967" s="44"/>
      <c r="L10967" s="45"/>
      <c r="N10967" s="45"/>
    </row>
    <row r="10968">
      <c r="A10968" s="40" t="str">
        <f t="shared" si="1"/>
        <v/>
      </c>
      <c r="B10968" s="37" t="str">
        <f t="array" ref="B10968">iferror(xlookup($I10968, 'IMPORT VHC Report'!$E:$E, 'IMPORT VHC Report'!$A:$C), )</f>
        <v/>
      </c>
      <c r="C10968" s="44"/>
      <c r="D10968" s="44"/>
      <c r="L10968" s="45"/>
      <c r="N10968" s="45"/>
    </row>
    <row r="10969">
      <c r="A10969" s="40" t="str">
        <f t="shared" si="1"/>
        <v/>
      </c>
      <c r="B10969" s="37" t="str">
        <f t="array" ref="B10969">iferror(xlookup($I10969, 'IMPORT VHC Report'!$E:$E, 'IMPORT VHC Report'!$A:$C), )</f>
        <v/>
      </c>
      <c r="C10969" s="44"/>
      <c r="D10969" s="44"/>
      <c r="L10969" s="45"/>
      <c r="N10969" s="45"/>
    </row>
    <row r="10970">
      <c r="A10970" s="40" t="str">
        <f t="shared" si="1"/>
        <v/>
      </c>
      <c r="B10970" s="37" t="str">
        <f t="array" ref="B10970">iferror(xlookup($I10970, 'IMPORT VHC Report'!$E:$E, 'IMPORT VHC Report'!$A:$C), )</f>
        <v/>
      </c>
      <c r="C10970" s="44"/>
      <c r="D10970" s="44"/>
      <c r="L10970" s="45"/>
      <c r="N10970" s="45"/>
    </row>
    <row r="10971">
      <c r="A10971" s="40" t="str">
        <f t="shared" si="1"/>
        <v/>
      </c>
      <c r="B10971" s="37" t="str">
        <f t="array" ref="B10971">iferror(xlookup($I10971, 'IMPORT VHC Report'!$E:$E, 'IMPORT VHC Report'!$A:$C), )</f>
        <v/>
      </c>
      <c r="C10971" s="44"/>
      <c r="D10971" s="44"/>
      <c r="L10971" s="45"/>
      <c r="N10971" s="45"/>
    </row>
    <row r="10972">
      <c r="A10972" s="40" t="str">
        <f t="shared" si="1"/>
        <v/>
      </c>
      <c r="B10972" s="37" t="str">
        <f t="array" ref="B10972">iferror(xlookup($I10972, 'IMPORT VHC Report'!$E:$E, 'IMPORT VHC Report'!$A:$C), )</f>
        <v/>
      </c>
      <c r="C10972" s="44"/>
      <c r="D10972" s="44"/>
      <c r="L10972" s="45"/>
      <c r="N10972" s="45"/>
    </row>
    <row r="10973">
      <c r="A10973" s="40" t="str">
        <f t="shared" si="1"/>
        <v/>
      </c>
      <c r="B10973" s="37" t="str">
        <f t="array" ref="B10973">iferror(xlookup($I10973, 'IMPORT VHC Report'!$E:$E, 'IMPORT VHC Report'!$A:$C), )</f>
        <v/>
      </c>
      <c r="C10973" s="44"/>
      <c r="D10973" s="44"/>
      <c r="L10973" s="45"/>
      <c r="N10973" s="45"/>
    </row>
    <row r="10974">
      <c r="A10974" s="40" t="str">
        <f t="shared" si="1"/>
        <v/>
      </c>
      <c r="B10974" s="37" t="str">
        <f t="array" ref="B10974">iferror(xlookup($I10974, 'IMPORT VHC Report'!$E:$E, 'IMPORT VHC Report'!$A:$C), )</f>
        <v/>
      </c>
      <c r="C10974" s="44"/>
      <c r="D10974" s="44"/>
      <c r="L10974" s="45"/>
      <c r="N10974" s="45"/>
    </row>
    <row r="10975">
      <c r="A10975" s="40" t="str">
        <f t="shared" si="1"/>
        <v/>
      </c>
      <c r="B10975" s="37" t="str">
        <f t="array" ref="B10975">iferror(xlookup($I10975, 'IMPORT VHC Report'!$E:$E, 'IMPORT VHC Report'!$A:$C), )</f>
        <v/>
      </c>
      <c r="C10975" s="44"/>
      <c r="D10975" s="44"/>
      <c r="L10975" s="45"/>
      <c r="N10975" s="45"/>
    </row>
    <row r="10976">
      <c r="A10976" s="40" t="str">
        <f t="shared" si="1"/>
        <v/>
      </c>
      <c r="B10976" s="37" t="str">
        <f t="array" ref="B10976">iferror(xlookup($I10976, 'IMPORT VHC Report'!$E:$E, 'IMPORT VHC Report'!$A:$C), )</f>
        <v/>
      </c>
      <c r="C10976" s="44"/>
      <c r="D10976" s="44"/>
      <c r="L10976" s="45"/>
      <c r="N10976" s="45"/>
    </row>
    <row r="10977">
      <c r="A10977" s="40" t="str">
        <f t="shared" si="1"/>
        <v/>
      </c>
      <c r="B10977" s="37" t="str">
        <f t="array" ref="B10977">iferror(xlookup($I10977, 'IMPORT VHC Report'!$E:$E, 'IMPORT VHC Report'!$A:$C), )</f>
        <v/>
      </c>
      <c r="C10977" s="44"/>
      <c r="D10977" s="44"/>
      <c r="L10977" s="45"/>
      <c r="N10977" s="45"/>
    </row>
    <row r="10978">
      <c r="A10978" s="40" t="str">
        <f t="shared" si="1"/>
        <v/>
      </c>
      <c r="B10978" s="37" t="str">
        <f t="array" ref="B10978">iferror(xlookup($I10978, 'IMPORT VHC Report'!$E:$E, 'IMPORT VHC Report'!$A:$C), )</f>
        <v/>
      </c>
      <c r="C10978" s="44"/>
      <c r="D10978" s="44"/>
      <c r="L10978" s="45"/>
      <c r="N10978" s="45"/>
    </row>
    <row r="10979">
      <c r="A10979" s="40" t="str">
        <f t="shared" si="1"/>
        <v/>
      </c>
      <c r="B10979" s="37" t="str">
        <f t="array" ref="B10979">iferror(xlookup($I10979, 'IMPORT VHC Report'!$E:$E, 'IMPORT VHC Report'!$A:$C), )</f>
        <v/>
      </c>
      <c r="C10979" s="44"/>
      <c r="D10979" s="44"/>
      <c r="L10979" s="45"/>
      <c r="N10979" s="45"/>
    </row>
    <row r="10980">
      <c r="A10980" s="40" t="str">
        <f t="shared" si="1"/>
        <v/>
      </c>
      <c r="B10980" s="37" t="str">
        <f t="array" ref="B10980">iferror(xlookup($I10980, 'IMPORT VHC Report'!$E:$E, 'IMPORT VHC Report'!$A:$C), )</f>
        <v/>
      </c>
      <c r="C10980" s="44"/>
      <c r="D10980" s="44"/>
      <c r="L10980" s="45"/>
      <c r="N10980" s="45"/>
    </row>
    <row r="10981">
      <c r="A10981" s="40" t="str">
        <f t="shared" si="1"/>
        <v/>
      </c>
      <c r="B10981" s="37" t="str">
        <f t="array" ref="B10981">iferror(xlookup($I10981, 'IMPORT VHC Report'!$E:$E, 'IMPORT VHC Report'!$A:$C), )</f>
        <v/>
      </c>
      <c r="C10981" s="44"/>
      <c r="D10981" s="44"/>
      <c r="L10981" s="45"/>
      <c r="N10981" s="45"/>
    </row>
    <row r="10982">
      <c r="A10982" s="40" t="str">
        <f t="shared" si="1"/>
        <v/>
      </c>
      <c r="B10982" s="37" t="str">
        <f t="array" ref="B10982">iferror(xlookup($I10982, 'IMPORT VHC Report'!$E:$E, 'IMPORT VHC Report'!$A:$C), )</f>
        <v/>
      </c>
      <c r="C10982" s="44"/>
      <c r="D10982" s="44"/>
      <c r="L10982" s="45"/>
      <c r="N10982" s="45"/>
    </row>
    <row r="10983">
      <c r="A10983" s="40" t="str">
        <f t="shared" si="1"/>
        <v/>
      </c>
      <c r="B10983" s="37" t="str">
        <f t="array" ref="B10983">iferror(xlookup($I10983, 'IMPORT VHC Report'!$E:$E, 'IMPORT VHC Report'!$A:$C), )</f>
        <v/>
      </c>
      <c r="C10983" s="44"/>
      <c r="D10983" s="44"/>
      <c r="L10983" s="45"/>
      <c r="N10983" s="45"/>
    </row>
    <row r="10984">
      <c r="A10984" s="40" t="str">
        <f t="shared" si="1"/>
        <v/>
      </c>
      <c r="B10984" s="37" t="str">
        <f t="array" ref="B10984">iferror(xlookup($I10984, 'IMPORT VHC Report'!$E:$E, 'IMPORT VHC Report'!$A:$C), )</f>
        <v/>
      </c>
      <c r="C10984" s="44"/>
      <c r="D10984" s="44"/>
      <c r="L10984" s="45"/>
      <c r="N10984" s="45"/>
    </row>
    <row r="10985">
      <c r="A10985" s="40" t="str">
        <f t="shared" si="1"/>
        <v/>
      </c>
      <c r="B10985" s="37" t="str">
        <f t="array" ref="B10985">iferror(xlookup($I10985, 'IMPORT VHC Report'!$E:$E, 'IMPORT VHC Report'!$A:$C), )</f>
        <v/>
      </c>
      <c r="C10985" s="44"/>
      <c r="D10985" s="44"/>
      <c r="L10985" s="45"/>
      <c r="N10985" s="45"/>
    </row>
    <row r="10986">
      <c r="A10986" s="40" t="str">
        <f t="shared" si="1"/>
        <v/>
      </c>
      <c r="B10986" s="37" t="str">
        <f t="array" ref="B10986">iferror(xlookup($I10986, 'IMPORT VHC Report'!$E:$E, 'IMPORT VHC Report'!$A:$C), )</f>
        <v/>
      </c>
      <c r="C10986" s="44"/>
      <c r="D10986" s="44"/>
      <c r="L10986" s="45"/>
      <c r="N10986" s="45"/>
    </row>
    <row r="10987">
      <c r="A10987" s="40" t="str">
        <f t="shared" si="1"/>
        <v/>
      </c>
      <c r="B10987" s="37" t="str">
        <f t="array" ref="B10987">iferror(xlookup($I10987, 'IMPORT VHC Report'!$E:$E, 'IMPORT VHC Report'!$A:$C), )</f>
        <v/>
      </c>
      <c r="C10987" s="44"/>
      <c r="D10987" s="44"/>
      <c r="L10987" s="45"/>
      <c r="N10987" s="45"/>
    </row>
    <row r="10988">
      <c r="A10988" s="40" t="str">
        <f t="shared" si="1"/>
        <v/>
      </c>
      <c r="B10988" s="37" t="str">
        <f t="array" ref="B10988">iferror(xlookup($I10988, 'IMPORT VHC Report'!$E:$E, 'IMPORT VHC Report'!$A:$C), )</f>
        <v/>
      </c>
      <c r="C10988" s="44"/>
      <c r="D10988" s="44"/>
      <c r="L10988" s="45"/>
      <c r="N10988" s="45"/>
    </row>
    <row r="10989">
      <c r="A10989" s="40" t="str">
        <f t="shared" si="1"/>
        <v/>
      </c>
      <c r="B10989" s="37" t="str">
        <f t="array" ref="B10989">iferror(xlookup($I10989, 'IMPORT VHC Report'!$E:$E, 'IMPORT VHC Report'!$A:$C), )</f>
        <v/>
      </c>
      <c r="C10989" s="44"/>
      <c r="D10989" s="44"/>
      <c r="L10989" s="45"/>
      <c r="N10989" s="45"/>
    </row>
    <row r="10990">
      <c r="A10990" s="40" t="str">
        <f t="shared" si="1"/>
        <v/>
      </c>
      <c r="B10990" s="37" t="str">
        <f t="array" ref="B10990">iferror(xlookup($I10990, 'IMPORT VHC Report'!$E:$E, 'IMPORT VHC Report'!$A:$C), )</f>
        <v/>
      </c>
      <c r="C10990" s="44"/>
      <c r="D10990" s="44"/>
      <c r="L10990" s="45"/>
      <c r="N10990" s="45"/>
    </row>
    <row r="10991">
      <c r="A10991" s="40" t="str">
        <f t="shared" si="1"/>
        <v/>
      </c>
      <c r="B10991" s="37" t="str">
        <f t="array" ref="B10991">iferror(xlookup($I10991, 'IMPORT VHC Report'!$E:$E, 'IMPORT VHC Report'!$A:$C), )</f>
        <v/>
      </c>
      <c r="C10991" s="44"/>
      <c r="D10991" s="44"/>
      <c r="L10991" s="45"/>
      <c r="N10991" s="45"/>
    </row>
    <row r="10992">
      <c r="A10992" s="40" t="str">
        <f t="shared" si="1"/>
        <v/>
      </c>
      <c r="B10992" s="37" t="str">
        <f t="array" ref="B10992">iferror(xlookup($I10992, 'IMPORT VHC Report'!$E:$E, 'IMPORT VHC Report'!$A:$C), )</f>
        <v/>
      </c>
      <c r="C10992" s="44"/>
      <c r="D10992" s="44"/>
      <c r="L10992" s="45"/>
      <c r="N10992" s="45"/>
    </row>
    <row r="10993">
      <c r="A10993" s="40" t="str">
        <f t="shared" si="1"/>
        <v/>
      </c>
      <c r="B10993" s="37" t="str">
        <f t="array" ref="B10993">iferror(xlookup($I10993, 'IMPORT VHC Report'!$E:$E, 'IMPORT VHC Report'!$A:$C), )</f>
        <v/>
      </c>
      <c r="C10993" s="44"/>
      <c r="D10993" s="44"/>
      <c r="L10993" s="45"/>
      <c r="N10993" s="45"/>
    </row>
    <row r="10994">
      <c r="A10994" s="40" t="str">
        <f t="shared" si="1"/>
        <v/>
      </c>
      <c r="B10994" s="37" t="str">
        <f t="array" ref="B10994">iferror(xlookup($I10994, 'IMPORT VHC Report'!$E:$E, 'IMPORT VHC Report'!$A:$C), )</f>
        <v/>
      </c>
      <c r="C10994" s="44"/>
      <c r="D10994" s="44"/>
      <c r="L10994" s="45"/>
      <c r="N10994" s="45"/>
    </row>
    <row r="10995">
      <c r="A10995" s="40" t="str">
        <f t="shared" si="1"/>
        <v/>
      </c>
      <c r="B10995" s="37" t="str">
        <f t="array" ref="B10995">iferror(xlookup($I10995, 'IMPORT VHC Report'!$E:$E, 'IMPORT VHC Report'!$A:$C), )</f>
        <v/>
      </c>
      <c r="C10995" s="44"/>
      <c r="D10995" s="44"/>
      <c r="L10995" s="45"/>
      <c r="N10995" s="45"/>
    </row>
    <row r="10996">
      <c r="A10996" s="40" t="str">
        <f t="shared" si="1"/>
        <v/>
      </c>
      <c r="B10996" s="37" t="str">
        <f t="array" ref="B10996">iferror(xlookup($I10996, 'IMPORT VHC Report'!$E:$E, 'IMPORT VHC Report'!$A:$C), )</f>
        <v/>
      </c>
      <c r="C10996" s="44"/>
      <c r="D10996" s="44"/>
      <c r="L10996" s="45"/>
      <c r="N10996" s="45"/>
    </row>
    <row r="10997">
      <c r="A10997" s="40" t="str">
        <f t="shared" si="1"/>
        <v/>
      </c>
      <c r="B10997" s="37" t="str">
        <f t="array" ref="B10997">iferror(xlookup($I10997, 'IMPORT VHC Report'!$E:$E, 'IMPORT VHC Report'!$A:$C), )</f>
        <v/>
      </c>
      <c r="C10997" s="44"/>
      <c r="D10997" s="44"/>
      <c r="L10997" s="45"/>
      <c r="N10997" s="45"/>
    </row>
    <row r="10998">
      <c r="A10998" s="40" t="str">
        <f t="shared" si="1"/>
        <v/>
      </c>
      <c r="B10998" s="37" t="str">
        <f t="array" ref="B10998">iferror(xlookup($I10998, 'IMPORT VHC Report'!$E:$E, 'IMPORT VHC Report'!$A:$C), )</f>
        <v/>
      </c>
      <c r="C10998" s="44"/>
      <c r="D10998" s="44"/>
      <c r="L10998" s="45"/>
      <c r="N10998" s="45"/>
    </row>
    <row r="10999">
      <c r="A10999" s="40" t="str">
        <f t="shared" si="1"/>
        <v/>
      </c>
      <c r="B10999" s="37" t="str">
        <f t="array" ref="B10999">iferror(xlookup($I10999, 'IMPORT VHC Report'!$E:$E, 'IMPORT VHC Report'!$A:$C), )</f>
        <v/>
      </c>
      <c r="C10999" s="44"/>
      <c r="D10999" s="44"/>
      <c r="L10999" s="45"/>
      <c r="N10999" s="45"/>
    </row>
    <row r="11000">
      <c r="A11000" s="40" t="str">
        <f t="shared" si="1"/>
        <v/>
      </c>
      <c r="B11000" s="37" t="str">
        <f t="array" ref="B11000">iferror(xlookup($I11000, 'IMPORT VHC Report'!$E:$E, 'IMPORT VHC Report'!$A:$C), )</f>
        <v/>
      </c>
      <c r="C11000" s="44"/>
      <c r="D11000" s="44"/>
      <c r="L11000" s="45"/>
      <c r="N11000" s="45"/>
    </row>
    <row r="11001">
      <c r="A11001" s="40" t="str">
        <f t="shared" si="1"/>
        <v/>
      </c>
      <c r="B11001" s="37" t="str">
        <f t="array" ref="B11001">iferror(xlookup($I11001, 'IMPORT VHC Report'!$E:$E, 'IMPORT VHC Report'!$A:$C), )</f>
        <v/>
      </c>
      <c r="C11001" s="44"/>
      <c r="D11001" s="44"/>
      <c r="L11001" s="45"/>
      <c r="N11001" s="45"/>
    </row>
    <row r="11002">
      <c r="A11002" s="40" t="str">
        <f t="shared" si="1"/>
        <v/>
      </c>
      <c r="B11002" s="37" t="str">
        <f t="array" ref="B11002">iferror(xlookup($I11002, 'IMPORT VHC Report'!$E:$E, 'IMPORT VHC Report'!$A:$C), )</f>
        <v/>
      </c>
      <c r="C11002" s="44"/>
      <c r="D11002" s="44"/>
      <c r="L11002" s="45"/>
      <c r="N11002" s="45"/>
    </row>
    <row r="11003">
      <c r="A11003" s="40" t="str">
        <f t="shared" si="1"/>
        <v/>
      </c>
      <c r="B11003" s="37" t="str">
        <f t="array" ref="B11003">iferror(xlookup($I11003, 'IMPORT VHC Report'!$E:$E, 'IMPORT VHC Report'!$A:$C), )</f>
        <v/>
      </c>
      <c r="C11003" s="44"/>
      <c r="D11003" s="44"/>
      <c r="L11003" s="45"/>
      <c r="N11003" s="45"/>
    </row>
    <row r="11004">
      <c r="A11004" s="40" t="str">
        <f t="shared" si="1"/>
        <v/>
      </c>
      <c r="B11004" s="37" t="str">
        <f t="array" ref="B11004">iferror(xlookup($I11004, 'IMPORT VHC Report'!$E:$E, 'IMPORT VHC Report'!$A:$C), )</f>
        <v/>
      </c>
      <c r="C11004" s="44"/>
      <c r="D11004" s="44"/>
      <c r="L11004" s="45"/>
      <c r="N11004" s="45"/>
    </row>
    <row r="11005">
      <c r="A11005" s="40" t="str">
        <f t="shared" si="1"/>
        <v/>
      </c>
      <c r="B11005" s="37" t="str">
        <f t="array" ref="B11005">iferror(xlookup($I11005, 'IMPORT VHC Report'!$E:$E, 'IMPORT VHC Report'!$A:$C), )</f>
        <v/>
      </c>
      <c r="C11005" s="44"/>
      <c r="D11005" s="44"/>
      <c r="L11005" s="45"/>
      <c r="N11005" s="45"/>
    </row>
    <row r="11006">
      <c r="A11006" s="40" t="str">
        <f t="shared" si="1"/>
        <v/>
      </c>
      <c r="B11006" s="37" t="str">
        <f t="array" ref="B11006">iferror(xlookup($I11006, 'IMPORT VHC Report'!$E:$E, 'IMPORT VHC Report'!$A:$C), )</f>
        <v/>
      </c>
      <c r="C11006" s="44"/>
      <c r="D11006" s="44"/>
      <c r="L11006" s="45"/>
      <c r="N11006" s="45"/>
    </row>
    <row r="11007">
      <c r="A11007" s="40" t="str">
        <f t="shared" si="1"/>
        <v/>
      </c>
      <c r="B11007" s="37" t="str">
        <f t="array" ref="B11007">iferror(xlookup($I11007, 'IMPORT VHC Report'!$E:$E, 'IMPORT VHC Report'!$A:$C), )</f>
        <v/>
      </c>
      <c r="C11007" s="44"/>
      <c r="D11007" s="44"/>
      <c r="L11007" s="45"/>
      <c r="N11007" s="45"/>
    </row>
    <row r="11008">
      <c r="A11008" s="40" t="str">
        <f t="shared" si="1"/>
        <v/>
      </c>
      <c r="B11008" s="37" t="str">
        <f t="array" ref="B11008">iferror(xlookup($I11008, 'IMPORT VHC Report'!$E:$E, 'IMPORT VHC Report'!$A:$C), )</f>
        <v/>
      </c>
      <c r="C11008" s="44"/>
      <c r="D11008" s="44"/>
      <c r="L11008" s="45"/>
      <c r="N11008" s="45"/>
    </row>
    <row r="11009">
      <c r="A11009" s="40" t="str">
        <f t="shared" si="1"/>
        <v/>
      </c>
      <c r="B11009" s="37" t="str">
        <f t="array" ref="B11009">iferror(xlookup($I11009, 'IMPORT VHC Report'!$E:$E, 'IMPORT VHC Report'!$A:$C), )</f>
        <v/>
      </c>
      <c r="C11009" s="44"/>
      <c r="D11009" s="44"/>
      <c r="L11009" s="45"/>
      <c r="N11009" s="45"/>
    </row>
    <row r="11010">
      <c r="A11010" s="40" t="str">
        <f t="shared" si="1"/>
        <v/>
      </c>
      <c r="B11010" s="37" t="str">
        <f t="array" ref="B11010">iferror(xlookup($I11010, 'IMPORT VHC Report'!$E:$E, 'IMPORT VHC Report'!$A:$C), )</f>
        <v/>
      </c>
      <c r="C11010" s="44"/>
      <c r="D11010" s="44"/>
      <c r="L11010" s="45"/>
      <c r="N11010" s="45"/>
    </row>
    <row r="11011">
      <c r="A11011" s="40" t="str">
        <f t="shared" si="1"/>
        <v/>
      </c>
      <c r="B11011" s="37" t="str">
        <f t="array" ref="B11011">iferror(xlookup($I11011, 'IMPORT VHC Report'!$E:$E, 'IMPORT VHC Report'!$A:$C), )</f>
        <v/>
      </c>
      <c r="C11011" s="44"/>
      <c r="D11011" s="44"/>
      <c r="L11011" s="45"/>
      <c r="N11011" s="45"/>
    </row>
    <row r="11012">
      <c r="A11012" s="40" t="str">
        <f t="shared" si="1"/>
        <v/>
      </c>
      <c r="B11012" s="37" t="str">
        <f t="array" ref="B11012">iferror(xlookup($I11012, 'IMPORT VHC Report'!$E:$E, 'IMPORT VHC Report'!$A:$C), )</f>
        <v/>
      </c>
      <c r="C11012" s="44"/>
      <c r="D11012" s="44"/>
      <c r="L11012" s="45"/>
      <c r="N11012" s="45"/>
    </row>
    <row r="11013">
      <c r="A11013" s="40" t="str">
        <f t="shared" si="1"/>
        <v/>
      </c>
      <c r="B11013" s="37" t="str">
        <f t="array" ref="B11013">iferror(xlookup($I11013, 'IMPORT VHC Report'!$E:$E, 'IMPORT VHC Report'!$A:$C), )</f>
        <v/>
      </c>
      <c r="C11013" s="44"/>
      <c r="D11013" s="44"/>
      <c r="L11013" s="45"/>
      <c r="N11013" s="45"/>
    </row>
    <row r="11014">
      <c r="A11014" s="40" t="str">
        <f t="shared" si="1"/>
        <v/>
      </c>
      <c r="B11014" s="37" t="str">
        <f t="array" ref="B11014">iferror(xlookup($I11014, 'IMPORT VHC Report'!$E:$E, 'IMPORT VHC Report'!$A:$C), )</f>
        <v/>
      </c>
      <c r="C11014" s="44"/>
      <c r="D11014" s="44"/>
      <c r="L11014" s="45"/>
      <c r="N11014" s="45"/>
    </row>
    <row r="11015">
      <c r="A11015" s="40" t="str">
        <f t="shared" si="1"/>
        <v/>
      </c>
      <c r="B11015" s="37" t="str">
        <f t="array" ref="B11015">iferror(xlookup($I11015, 'IMPORT VHC Report'!$E:$E, 'IMPORT VHC Report'!$A:$C), )</f>
        <v/>
      </c>
      <c r="C11015" s="44"/>
      <c r="D11015" s="44"/>
      <c r="L11015" s="45"/>
      <c r="N11015" s="45"/>
    </row>
    <row r="11016">
      <c r="A11016" s="40" t="str">
        <f t="shared" si="1"/>
        <v/>
      </c>
      <c r="B11016" s="37" t="str">
        <f t="array" ref="B11016">iferror(xlookup($I11016, 'IMPORT VHC Report'!$E:$E, 'IMPORT VHC Report'!$A:$C), )</f>
        <v/>
      </c>
      <c r="C11016" s="44"/>
      <c r="D11016" s="44"/>
      <c r="L11016" s="45"/>
      <c r="N11016" s="45"/>
    </row>
    <row r="11017">
      <c r="A11017" s="40" t="str">
        <f t="shared" si="1"/>
        <v/>
      </c>
      <c r="B11017" s="37" t="str">
        <f t="array" ref="B11017">iferror(xlookup($I11017, 'IMPORT VHC Report'!$E:$E, 'IMPORT VHC Report'!$A:$C), )</f>
        <v/>
      </c>
      <c r="C11017" s="44"/>
      <c r="D11017" s="44"/>
      <c r="L11017" s="45"/>
      <c r="N11017" s="45"/>
    </row>
    <row r="11018">
      <c r="A11018" s="40" t="str">
        <f t="shared" si="1"/>
        <v/>
      </c>
      <c r="B11018" s="37" t="str">
        <f t="array" ref="B11018">iferror(xlookup($I11018, 'IMPORT VHC Report'!$E:$E, 'IMPORT VHC Report'!$A:$C), )</f>
        <v/>
      </c>
      <c r="C11018" s="44"/>
      <c r="D11018" s="44"/>
      <c r="L11018" s="45"/>
      <c r="N11018" s="45"/>
    </row>
    <row r="11019">
      <c r="A11019" s="40" t="str">
        <f t="shared" si="1"/>
        <v/>
      </c>
      <c r="B11019" s="37" t="str">
        <f t="array" ref="B11019">iferror(xlookup($I11019, 'IMPORT VHC Report'!$E:$E, 'IMPORT VHC Report'!$A:$C), )</f>
        <v/>
      </c>
      <c r="C11019" s="44"/>
      <c r="D11019" s="44"/>
      <c r="L11019" s="45"/>
      <c r="N11019" s="45"/>
    </row>
    <row r="11020">
      <c r="A11020" s="40" t="str">
        <f t="shared" si="1"/>
        <v/>
      </c>
      <c r="B11020" s="37" t="str">
        <f t="array" ref="B11020">iferror(xlookup($I11020, 'IMPORT VHC Report'!$E:$E, 'IMPORT VHC Report'!$A:$C), )</f>
        <v/>
      </c>
      <c r="C11020" s="44"/>
      <c r="D11020" s="44"/>
      <c r="L11020" s="45"/>
      <c r="N11020" s="45"/>
    </row>
    <row r="11021">
      <c r="A11021" s="40" t="str">
        <f t="shared" si="1"/>
        <v/>
      </c>
      <c r="B11021" s="37" t="str">
        <f t="array" ref="B11021">iferror(xlookup($I11021, 'IMPORT VHC Report'!$E:$E, 'IMPORT VHC Report'!$A:$C), )</f>
        <v/>
      </c>
      <c r="C11021" s="44"/>
      <c r="D11021" s="44"/>
      <c r="L11021" s="45"/>
      <c r="N11021" s="45"/>
    </row>
    <row r="11022">
      <c r="A11022" s="40" t="str">
        <f t="shared" si="1"/>
        <v/>
      </c>
      <c r="B11022" s="37" t="str">
        <f t="array" ref="B11022">iferror(xlookup($I11022, 'IMPORT VHC Report'!$E:$E, 'IMPORT VHC Report'!$A:$C), )</f>
        <v/>
      </c>
      <c r="C11022" s="44"/>
      <c r="D11022" s="44"/>
      <c r="L11022" s="45"/>
      <c r="N11022" s="45"/>
    </row>
    <row r="11023">
      <c r="A11023" s="40" t="str">
        <f t="shared" si="1"/>
        <v/>
      </c>
      <c r="B11023" s="37" t="str">
        <f t="array" ref="B11023">iferror(xlookup($I11023, 'IMPORT VHC Report'!$E:$E, 'IMPORT VHC Report'!$A:$C), )</f>
        <v/>
      </c>
      <c r="C11023" s="44"/>
      <c r="D11023" s="44"/>
      <c r="L11023" s="45"/>
      <c r="N11023" s="45"/>
    </row>
    <row r="11024">
      <c r="A11024" s="40" t="str">
        <f t="shared" si="1"/>
        <v/>
      </c>
      <c r="B11024" s="37" t="str">
        <f t="array" ref="B11024">iferror(xlookup($I11024, 'IMPORT VHC Report'!$E:$E, 'IMPORT VHC Report'!$A:$C), )</f>
        <v/>
      </c>
      <c r="C11024" s="44"/>
      <c r="D11024" s="44"/>
      <c r="L11024" s="45"/>
      <c r="N11024" s="45"/>
    </row>
    <row r="11025">
      <c r="A11025" s="40" t="str">
        <f t="shared" si="1"/>
        <v/>
      </c>
      <c r="B11025" s="37" t="str">
        <f t="array" ref="B11025">iferror(xlookup($I11025, 'IMPORT VHC Report'!$E:$E, 'IMPORT VHC Report'!$A:$C), )</f>
        <v/>
      </c>
      <c r="C11025" s="44"/>
      <c r="D11025" s="44"/>
      <c r="L11025" s="45"/>
      <c r="N11025" s="45"/>
    </row>
    <row r="11026">
      <c r="A11026" s="40" t="str">
        <f t="shared" si="1"/>
        <v/>
      </c>
      <c r="B11026" s="37" t="str">
        <f t="array" ref="B11026">iferror(xlookup($I11026, 'IMPORT VHC Report'!$E:$E, 'IMPORT VHC Report'!$A:$C), )</f>
        <v/>
      </c>
      <c r="C11026" s="44"/>
      <c r="D11026" s="44"/>
      <c r="L11026" s="45"/>
      <c r="N11026" s="45"/>
    </row>
    <row r="11027">
      <c r="A11027" s="40" t="str">
        <f t="shared" si="1"/>
        <v/>
      </c>
      <c r="B11027" s="37" t="str">
        <f t="array" ref="B11027">iferror(xlookup($I11027, 'IMPORT VHC Report'!$E:$E, 'IMPORT VHC Report'!$A:$C), )</f>
        <v/>
      </c>
      <c r="C11027" s="44"/>
      <c r="D11027" s="44"/>
      <c r="L11027" s="45"/>
      <c r="N11027" s="45"/>
    </row>
    <row r="11028">
      <c r="A11028" s="40" t="str">
        <f t="shared" si="1"/>
        <v/>
      </c>
      <c r="B11028" s="37" t="str">
        <f t="array" ref="B11028">iferror(xlookup($I11028, 'IMPORT VHC Report'!$E:$E, 'IMPORT VHC Report'!$A:$C), )</f>
        <v/>
      </c>
      <c r="C11028" s="44"/>
      <c r="D11028" s="44"/>
      <c r="L11028" s="45"/>
      <c r="N11028" s="45"/>
    </row>
    <row r="11029">
      <c r="A11029" s="40" t="str">
        <f t="shared" si="1"/>
        <v/>
      </c>
      <c r="B11029" s="37" t="str">
        <f t="array" ref="B11029">iferror(xlookup($I11029, 'IMPORT VHC Report'!$E:$E, 'IMPORT VHC Report'!$A:$C), )</f>
        <v/>
      </c>
      <c r="C11029" s="44"/>
      <c r="D11029" s="44"/>
      <c r="L11029" s="45"/>
      <c r="N11029" s="45"/>
    </row>
    <row r="11030">
      <c r="A11030" s="40" t="str">
        <f t="shared" si="1"/>
        <v/>
      </c>
      <c r="B11030" s="37" t="str">
        <f t="array" ref="B11030">iferror(xlookup($I11030, 'IMPORT VHC Report'!$E:$E, 'IMPORT VHC Report'!$A:$C), )</f>
        <v/>
      </c>
      <c r="C11030" s="44"/>
      <c r="D11030" s="44"/>
      <c r="L11030" s="45"/>
      <c r="N11030" s="45"/>
    </row>
    <row r="11031">
      <c r="A11031" s="40" t="str">
        <f t="shared" si="1"/>
        <v/>
      </c>
      <c r="B11031" s="37" t="str">
        <f t="array" ref="B11031">iferror(xlookup($I11031, 'IMPORT VHC Report'!$E:$E, 'IMPORT VHC Report'!$A:$C), )</f>
        <v/>
      </c>
      <c r="C11031" s="44"/>
      <c r="D11031" s="44"/>
      <c r="L11031" s="45"/>
      <c r="N11031" s="45"/>
    </row>
    <row r="11032">
      <c r="A11032" s="40" t="str">
        <f t="shared" si="1"/>
        <v/>
      </c>
      <c r="B11032" s="37" t="str">
        <f t="array" ref="B11032">iferror(xlookup($I11032, 'IMPORT VHC Report'!$E:$E, 'IMPORT VHC Report'!$A:$C), )</f>
        <v/>
      </c>
      <c r="C11032" s="44"/>
      <c r="D11032" s="44"/>
      <c r="L11032" s="45"/>
      <c r="N11032" s="45"/>
    </row>
    <row r="11033">
      <c r="A11033" s="40" t="str">
        <f t="shared" si="1"/>
        <v/>
      </c>
      <c r="B11033" s="37" t="str">
        <f t="array" ref="B11033">iferror(xlookup($I11033, 'IMPORT VHC Report'!$E:$E, 'IMPORT VHC Report'!$A:$C), )</f>
        <v/>
      </c>
      <c r="C11033" s="44"/>
      <c r="D11033" s="44"/>
      <c r="L11033" s="45"/>
      <c r="N11033" s="45"/>
    </row>
    <row r="11034">
      <c r="A11034" s="40" t="str">
        <f t="shared" si="1"/>
        <v/>
      </c>
      <c r="B11034" s="37" t="str">
        <f t="array" ref="B11034">iferror(xlookup($I11034, 'IMPORT VHC Report'!$E:$E, 'IMPORT VHC Report'!$A:$C), )</f>
        <v/>
      </c>
      <c r="C11034" s="44"/>
      <c r="D11034" s="44"/>
      <c r="L11034" s="45"/>
      <c r="N11034" s="45"/>
    </row>
    <row r="11035">
      <c r="A11035" s="40" t="str">
        <f t="shared" si="1"/>
        <v/>
      </c>
      <c r="B11035" s="37" t="str">
        <f t="array" ref="B11035">iferror(xlookup($I11035, 'IMPORT VHC Report'!$E:$E, 'IMPORT VHC Report'!$A:$C), )</f>
        <v/>
      </c>
      <c r="C11035" s="44"/>
      <c r="D11035" s="44"/>
      <c r="L11035" s="45"/>
      <c r="N11035" s="45"/>
    </row>
    <row r="11036">
      <c r="A11036" s="40" t="str">
        <f t="shared" si="1"/>
        <v/>
      </c>
      <c r="B11036" s="37" t="str">
        <f t="array" ref="B11036">iferror(xlookup($I11036, 'IMPORT VHC Report'!$E:$E, 'IMPORT VHC Report'!$A:$C), )</f>
        <v/>
      </c>
      <c r="C11036" s="44"/>
      <c r="D11036" s="44"/>
      <c r="L11036" s="45"/>
      <c r="N11036" s="45"/>
    </row>
    <row r="11037">
      <c r="A11037" s="40" t="str">
        <f t="shared" si="1"/>
        <v/>
      </c>
      <c r="B11037" s="37" t="str">
        <f t="array" ref="B11037">iferror(xlookup($I11037, 'IMPORT VHC Report'!$E:$E, 'IMPORT VHC Report'!$A:$C), )</f>
        <v/>
      </c>
      <c r="C11037" s="44"/>
      <c r="D11037" s="44"/>
      <c r="L11037" s="45"/>
      <c r="N11037" s="45"/>
    </row>
    <row r="11038">
      <c r="A11038" s="40" t="str">
        <f t="shared" si="1"/>
        <v/>
      </c>
      <c r="B11038" s="37" t="str">
        <f t="array" ref="B11038">iferror(xlookup($I11038, 'IMPORT VHC Report'!$E:$E, 'IMPORT VHC Report'!$A:$C), )</f>
        <v/>
      </c>
      <c r="C11038" s="44"/>
      <c r="D11038" s="44"/>
      <c r="L11038" s="45"/>
      <c r="N11038" s="45"/>
    </row>
    <row r="11039">
      <c r="A11039" s="40" t="str">
        <f t="shared" si="1"/>
        <v/>
      </c>
      <c r="B11039" s="37" t="str">
        <f t="array" ref="B11039">iferror(xlookup($I11039, 'IMPORT VHC Report'!$E:$E, 'IMPORT VHC Report'!$A:$C), )</f>
        <v/>
      </c>
      <c r="C11039" s="44"/>
      <c r="D11039" s="44"/>
      <c r="L11039" s="45"/>
      <c r="N11039" s="45"/>
    </row>
    <row r="11040">
      <c r="A11040" s="40" t="str">
        <f t="shared" si="1"/>
        <v/>
      </c>
      <c r="B11040" s="37" t="str">
        <f t="array" ref="B11040">iferror(xlookup($I11040, 'IMPORT VHC Report'!$E:$E, 'IMPORT VHC Report'!$A:$C), )</f>
        <v/>
      </c>
      <c r="C11040" s="44"/>
      <c r="D11040" s="44"/>
      <c r="L11040" s="45"/>
      <c r="N11040" s="45"/>
    </row>
    <row r="11041">
      <c r="A11041" s="40" t="str">
        <f t="shared" si="1"/>
        <v/>
      </c>
      <c r="B11041" s="37" t="str">
        <f t="array" ref="B11041">iferror(xlookup($I11041, 'IMPORT VHC Report'!$E:$E, 'IMPORT VHC Report'!$A:$C), )</f>
        <v/>
      </c>
      <c r="C11041" s="44"/>
      <c r="D11041" s="44"/>
      <c r="L11041" s="45"/>
      <c r="N11041" s="45"/>
    </row>
    <row r="11042">
      <c r="A11042" s="40" t="str">
        <f t="shared" si="1"/>
        <v/>
      </c>
      <c r="B11042" s="37" t="str">
        <f t="array" ref="B11042">iferror(xlookup($I11042, 'IMPORT VHC Report'!$E:$E, 'IMPORT VHC Report'!$A:$C), )</f>
        <v/>
      </c>
      <c r="C11042" s="44"/>
      <c r="D11042" s="44"/>
      <c r="L11042" s="45"/>
      <c r="N11042" s="45"/>
    </row>
    <row r="11043">
      <c r="A11043" s="40" t="str">
        <f t="shared" si="1"/>
        <v/>
      </c>
      <c r="B11043" s="37" t="str">
        <f t="array" ref="B11043">iferror(xlookup($I11043, 'IMPORT VHC Report'!$E:$E, 'IMPORT VHC Report'!$A:$C), )</f>
        <v/>
      </c>
      <c r="C11043" s="44"/>
      <c r="D11043" s="44"/>
      <c r="L11043" s="45"/>
      <c r="N11043" s="45"/>
    </row>
    <row r="11044">
      <c r="A11044" s="40" t="str">
        <f t="shared" si="1"/>
        <v/>
      </c>
      <c r="B11044" s="37" t="str">
        <f t="array" ref="B11044">iferror(xlookup($I11044, 'IMPORT VHC Report'!$E:$E, 'IMPORT VHC Report'!$A:$C), )</f>
        <v/>
      </c>
      <c r="C11044" s="44"/>
      <c r="D11044" s="44"/>
      <c r="L11044" s="45"/>
      <c r="N11044" s="45"/>
    </row>
    <row r="11045">
      <c r="A11045" s="40" t="str">
        <f t="shared" si="1"/>
        <v/>
      </c>
      <c r="B11045" s="37" t="str">
        <f t="array" ref="B11045">iferror(xlookup($I11045, 'IMPORT VHC Report'!$E:$E, 'IMPORT VHC Report'!$A:$C), )</f>
        <v/>
      </c>
      <c r="C11045" s="44"/>
      <c r="D11045" s="44"/>
      <c r="L11045" s="45"/>
      <c r="N11045" s="45"/>
    </row>
    <row r="11046">
      <c r="A11046" s="40" t="str">
        <f t="shared" si="1"/>
        <v/>
      </c>
      <c r="B11046" s="37" t="str">
        <f t="array" ref="B11046">iferror(xlookup($I11046, 'IMPORT VHC Report'!$E:$E, 'IMPORT VHC Report'!$A:$C), )</f>
        <v/>
      </c>
      <c r="C11046" s="44"/>
      <c r="D11046" s="44"/>
      <c r="L11046" s="45"/>
      <c r="N11046" s="45"/>
    </row>
    <row r="11047">
      <c r="A11047" s="40" t="str">
        <f t="shared" si="1"/>
        <v/>
      </c>
      <c r="B11047" s="37" t="str">
        <f t="array" ref="B11047">iferror(xlookup($I11047, 'IMPORT VHC Report'!$E:$E, 'IMPORT VHC Report'!$A:$C), )</f>
        <v/>
      </c>
      <c r="C11047" s="44"/>
      <c r="D11047" s="44"/>
      <c r="L11047" s="45"/>
      <c r="N11047" s="45"/>
    </row>
    <row r="11048">
      <c r="A11048" s="40" t="str">
        <f t="shared" si="1"/>
        <v/>
      </c>
      <c r="B11048" s="37" t="str">
        <f t="array" ref="B11048">iferror(xlookup($I11048, 'IMPORT VHC Report'!$E:$E, 'IMPORT VHC Report'!$A:$C), )</f>
        <v/>
      </c>
      <c r="C11048" s="44"/>
      <c r="D11048" s="44"/>
      <c r="L11048" s="45"/>
      <c r="N11048" s="45"/>
    </row>
    <row r="11049">
      <c r="A11049" s="40" t="str">
        <f t="shared" si="1"/>
        <v/>
      </c>
      <c r="B11049" s="37" t="str">
        <f t="array" ref="B11049">iferror(xlookup($I11049, 'IMPORT VHC Report'!$E:$E, 'IMPORT VHC Report'!$A:$C), )</f>
        <v/>
      </c>
      <c r="C11049" s="44"/>
      <c r="D11049" s="44"/>
      <c r="L11049" s="45"/>
      <c r="N11049" s="45"/>
    </row>
    <row r="11050">
      <c r="A11050" s="40" t="str">
        <f t="shared" si="1"/>
        <v/>
      </c>
      <c r="B11050" s="37" t="str">
        <f t="array" ref="B11050">iferror(xlookup($I11050, 'IMPORT VHC Report'!$E:$E, 'IMPORT VHC Report'!$A:$C), )</f>
        <v/>
      </c>
      <c r="C11050" s="44"/>
      <c r="D11050" s="44"/>
      <c r="L11050" s="45"/>
      <c r="N11050" s="45"/>
    </row>
    <row r="11051">
      <c r="A11051" s="40" t="str">
        <f t="shared" si="1"/>
        <v/>
      </c>
      <c r="B11051" s="37" t="str">
        <f t="array" ref="B11051">iferror(xlookup($I11051, 'IMPORT VHC Report'!$E:$E, 'IMPORT VHC Report'!$A:$C), )</f>
        <v/>
      </c>
      <c r="C11051" s="44"/>
      <c r="D11051" s="44"/>
      <c r="L11051" s="45"/>
      <c r="N11051" s="45"/>
    </row>
    <row r="11052">
      <c r="A11052" s="40" t="str">
        <f t="shared" si="1"/>
        <v/>
      </c>
      <c r="B11052" s="37" t="str">
        <f t="array" ref="B11052">iferror(xlookup($I11052, 'IMPORT VHC Report'!$E:$E, 'IMPORT VHC Report'!$A:$C), )</f>
        <v/>
      </c>
      <c r="C11052" s="44"/>
      <c r="D11052" s="44"/>
      <c r="L11052" s="45"/>
      <c r="N11052" s="45"/>
    </row>
    <row r="11053">
      <c r="A11053" s="40" t="str">
        <f t="shared" si="1"/>
        <v/>
      </c>
      <c r="B11053" s="37" t="str">
        <f t="array" ref="B11053">iferror(xlookup($I11053, 'IMPORT VHC Report'!$E:$E, 'IMPORT VHC Report'!$A:$C), )</f>
        <v/>
      </c>
      <c r="C11053" s="44"/>
      <c r="D11053" s="44"/>
      <c r="L11053" s="45"/>
      <c r="N11053" s="45"/>
    </row>
    <row r="11054">
      <c r="A11054" s="40" t="str">
        <f t="shared" si="1"/>
        <v/>
      </c>
      <c r="B11054" s="37" t="str">
        <f t="array" ref="B11054">iferror(xlookup($I11054, 'IMPORT VHC Report'!$E:$E, 'IMPORT VHC Report'!$A:$C), )</f>
        <v/>
      </c>
      <c r="C11054" s="44"/>
      <c r="D11054" s="44"/>
      <c r="L11054" s="45"/>
      <c r="N11054" s="45"/>
    </row>
    <row r="11055">
      <c r="A11055" s="40" t="str">
        <f t="shared" si="1"/>
        <v/>
      </c>
      <c r="B11055" s="37" t="str">
        <f t="array" ref="B11055">iferror(xlookup($I11055, 'IMPORT VHC Report'!$E:$E, 'IMPORT VHC Report'!$A:$C), )</f>
        <v/>
      </c>
      <c r="C11055" s="44"/>
      <c r="D11055" s="44"/>
      <c r="L11055" s="45"/>
      <c r="N11055" s="45"/>
    </row>
    <row r="11056">
      <c r="A11056" s="40" t="str">
        <f t="shared" si="1"/>
        <v/>
      </c>
      <c r="B11056" s="37" t="str">
        <f t="array" ref="B11056">iferror(xlookup($I11056, 'IMPORT VHC Report'!$E:$E, 'IMPORT VHC Report'!$A:$C), )</f>
        <v/>
      </c>
      <c r="C11056" s="44"/>
      <c r="D11056" s="44"/>
      <c r="L11056" s="45"/>
      <c r="N11056" s="45"/>
    </row>
    <row r="11057">
      <c r="A11057" s="40" t="str">
        <f t="shared" si="1"/>
        <v/>
      </c>
      <c r="B11057" s="37" t="str">
        <f t="array" ref="B11057">iferror(xlookup($I11057, 'IMPORT VHC Report'!$E:$E, 'IMPORT VHC Report'!$A:$C), )</f>
        <v/>
      </c>
      <c r="C11057" s="44"/>
      <c r="D11057" s="44"/>
      <c r="L11057" s="45"/>
      <c r="N11057" s="45"/>
    </row>
    <row r="11058">
      <c r="A11058" s="40" t="str">
        <f t="shared" si="1"/>
        <v/>
      </c>
      <c r="B11058" s="37" t="str">
        <f t="array" ref="B11058">iferror(xlookup($I11058, 'IMPORT VHC Report'!$E:$E, 'IMPORT VHC Report'!$A:$C), )</f>
        <v/>
      </c>
      <c r="C11058" s="44"/>
      <c r="D11058" s="44"/>
      <c r="L11058" s="45"/>
      <c r="N11058" s="45"/>
    </row>
    <row r="11059">
      <c r="A11059" s="40" t="str">
        <f t="shared" si="1"/>
        <v/>
      </c>
      <c r="B11059" s="37" t="str">
        <f t="array" ref="B11059">iferror(xlookup($I11059, 'IMPORT VHC Report'!$E:$E, 'IMPORT VHC Report'!$A:$C), )</f>
        <v/>
      </c>
      <c r="C11059" s="44"/>
      <c r="D11059" s="44"/>
      <c r="L11059" s="45"/>
      <c r="N11059" s="45"/>
    </row>
    <row r="11060">
      <c r="A11060" s="40" t="str">
        <f t="shared" si="1"/>
        <v/>
      </c>
      <c r="B11060" s="37" t="str">
        <f t="array" ref="B11060">iferror(xlookup($I11060, 'IMPORT VHC Report'!$E:$E, 'IMPORT VHC Report'!$A:$C), )</f>
        <v/>
      </c>
      <c r="C11060" s="44"/>
      <c r="D11060" s="44"/>
      <c r="L11060" s="45"/>
      <c r="N11060" s="45"/>
    </row>
    <row r="11061">
      <c r="A11061" s="40" t="str">
        <f t="shared" si="1"/>
        <v/>
      </c>
      <c r="B11061" s="37" t="str">
        <f t="array" ref="B11061">iferror(xlookup($I11061, 'IMPORT VHC Report'!$E:$E, 'IMPORT VHC Report'!$A:$C), )</f>
        <v/>
      </c>
      <c r="C11061" s="44"/>
      <c r="D11061" s="44"/>
      <c r="L11061" s="45"/>
      <c r="N11061" s="45"/>
    </row>
    <row r="11062">
      <c r="A11062" s="40" t="str">
        <f t="shared" si="1"/>
        <v/>
      </c>
      <c r="B11062" s="37" t="str">
        <f t="array" ref="B11062">iferror(xlookup($I11062, 'IMPORT VHC Report'!$E:$E, 'IMPORT VHC Report'!$A:$C), )</f>
        <v/>
      </c>
      <c r="C11062" s="44"/>
      <c r="D11062" s="44"/>
      <c r="L11062" s="45"/>
      <c r="N11062" s="45"/>
    </row>
    <row r="11063">
      <c r="A11063" s="40" t="str">
        <f t="shared" si="1"/>
        <v/>
      </c>
      <c r="B11063" s="37" t="str">
        <f t="array" ref="B11063">iferror(xlookup($I11063, 'IMPORT VHC Report'!$E:$E, 'IMPORT VHC Report'!$A:$C), )</f>
        <v/>
      </c>
      <c r="C11063" s="44"/>
      <c r="D11063" s="44"/>
      <c r="L11063" s="45"/>
      <c r="N11063" s="45"/>
    </row>
    <row r="11064">
      <c r="A11064" s="40" t="str">
        <f t="shared" si="1"/>
        <v/>
      </c>
      <c r="B11064" s="37" t="str">
        <f t="array" ref="B11064">iferror(xlookup($I11064, 'IMPORT VHC Report'!$E:$E, 'IMPORT VHC Report'!$A:$C), )</f>
        <v/>
      </c>
      <c r="C11064" s="44"/>
      <c r="D11064" s="44"/>
      <c r="L11064" s="45"/>
      <c r="N11064" s="45"/>
    </row>
    <row r="11065">
      <c r="A11065" s="40" t="str">
        <f t="shared" si="1"/>
        <v/>
      </c>
      <c r="B11065" s="37" t="str">
        <f t="array" ref="B11065">iferror(xlookup($I11065, 'IMPORT VHC Report'!$E:$E, 'IMPORT VHC Report'!$A:$C), )</f>
        <v/>
      </c>
      <c r="C11065" s="44"/>
      <c r="D11065" s="44"/>
      <c r="L11065" s="45"/>
      <c r="N11065" s="45"/>
    </row>
    <row r="11066">
      <c r="A11066" s="40" t="str">
        <f t="shared" si="1"/>
        <v/>
      </c>
      <c r="B11066" s="37" t="str">
        <f t="array" ref="B11066">iferror(xlookup($I11066, 'IMPORT VHC Report'!$E:$E, 'IMPORT VHC Report'!$A:$C), )</f>
        <v/>
      </c>
      <c r="C11066" s="44"/>
      <c r="D11066" s="44"/>
      <c r="L11066" s="45"/>
      <c r="N11066" s="45"/>
    </row>
    <row r="11067">
      <c r="A11067" s="40" t="str">
        <f t="shared" si="1"/>
        <v/>
      </c>
      <c r="B11067" s="37" t="str">
        <f t="array" ref="B11067">iferror(xlookup($I11067, 'IMPORT VHC Report'!$E:$E, 'IMPORT VHC Report'!$A:$C), )</f>
        <v/>
      </c>
      <c r="C11067" s="44"/>
      <c r="D11067" s="44"/>
      <c r="L11067" s="45"/>
      <c r="N11067" s="45"/>
    </row>
    <row r="11068">
      <c r="A11068" s="40" t="str">
        <f t="shared" si="1"/>
        <v/>
      </c>
      <c r="B11068" s="37" t="str">
        <f t="array" ref="B11068">iferror(xlookup($I11068, 'IMPORT VHC Report'!$E:$E, 'IMPORT VHC Report'!$A:$C), )</f>
        <v/>
      </c>
      <c r="C11068" s="44"/>
      <c r="D11068" s="44"/>
      <c r="L11068" s="45"/>
      <c r="N11068" s="45"/>
    </row>
    <row r="11069">
      <c r="A11069" s="40" t="str">
        <f t="shared" si="1"/>
        <v/>
      </c>
      <c r="B11069" s="37" t="str">
        <f t="array" ref="B11069">iferror(xlookup($I11069, 'IMPORT VHC Report'!$E:$E, 'IMPORT VHC Report'!$A:$C), )</f>
        <v/>
      </c>
      <c r="C11069" s="44"/>
      <c r="D11069" s="44"/>
      <c r="L11069" s="45"/>
      <c r="N11069" s="45"/>
    </row>
    <row r="11070">
      <c r="A11070" s="40" t="str">
        <f t="shared" si="1"/>
        <v/>
      </c>
      <c r="B11070" s="37" t="str">
        <f t="array" ref="B11070">iferror(xlookup($I11070, 'IMPORT VHC Report'!$E:$E, 'IMPORT VHC Report'!$A:$C), )</f>
        <v/>
      </c>
      <c r="C11070" s="44"/>
      <c r="D11070" s="44"/>
      <c r="L11070" s="45"/>
      <c r="N11070" s="45"/>
    </row>
    <row r="11071">
      <c r="A11071" s="40" t="str">
        <f t="shared" si="1"/>
        <v/>
      </c>
      <c r="B11071" s="37" t="str">
        <f t="array" ref="B11071">iferror(xlookup($I11071, 'IMPORT VHC Report'!$E:$E, 'IMPORT VHC Report'!$A:$C), )</f>
        <v/>
      </c>
      <c r="C11071" s="44"/>
      <c r="D11071" s="44"/>
      <c r="L11071" s="45"/>
      <c r="N11071" s="45"/>
    </row>
    <row r="11072">
      <c r="A11072" s="40" t="str">
        <f t="shared" si="1"/>
        <v/>
      </c>
      <c r="B11072" s="37" t="str">
        <f t="array" ref="B11072">iferror(xlookup($I11072, 'IMPORT VHC Report'!$E:$E, 'IMPORT VHC Report'!$A:$C), )</f>
        <v/>
      </c>
      <c r="C11072" s="44"/>
      <c r="D11072" s="44"/>
      <c r="L11072" s="45"/>
      <c r="N11072" s="45"/>
    </row>
    <row r="11073">
      <c r="A11073" s="40" t="str">
        <f t="shared" si="1"/>
        <v/>
      </c>
      <c r="B11073" s="37" t="str">
        <f t="array" ref="B11073">iferror(xlookup($I11073, 'IMPORT VHC Report'!$E:$E, 'IMPORT VHC Report'!$A:$C), )</f>
        <v/>
      </c>
      <c r="C11073" s="44"/>
      <c r="D11073" s="44"/>
      <c r="L11073" s="45"/>
      <c r="N11073" s="45"/>
    </row>
    <row r="11074">
      <c r="A11074" s="40" t="str">
        <f t="shared" si="1"/>
        <v/>
      </c>
      <c r="B11074" s="37" t="str">
        <f t="array" ref="B11074">iferror(xlookup($I11074, 'IMPORT VHC Report'!$E:$E, 'IMPORT VHC Report'!$A:$C), )</f>
        <v/>
      </c>
      <c r="C11074" s="44"/>
      <c r="D11074" s="44"/>
      <c r="L11074" s="45"/>
      <c r="N11074" s="45"/>
    </row>
    <row r="11075">
      <c r="A11075" s="40" t="str">
        <f t="shared" si="1"/>
        <v/>
      </c>
      <c r="B11075" s="37" t="str">
        <f t="array" ref="B11075">iferror(xlookup($I11075, 'IMPORT VHC Report'!$E:$E, 'IMPORT VHC Report'!$A:$C), )</f>
        <v/>
      </c>
      <c r="C11075" s="44"/>
      <c r="D11075" s="44"/>
      <c r="L11075" s="45"/>
      <c r="N11075" s="45"/>
    </row>
    <row r="11076">
      <c r="A11076" s="40" t="str">
        <f t="shared" si="1"/>
        <v/>
      </c>
      <c r="B11076" s="37" t="str">
        <f t="array" ref="B11076">iferror(xlookup($I11076, 'IMPORT VHC Report'!$E:$E, 'IMPORT VHC Report'!$A:$C), )</f>
        <v/>
      </c>
      <c r="C11076" s="44"/>
      <c r="D11076" s="44"/>
      <c r="L11076" s="45"/>
      <c r="N11076" s="45"/>
    </row>
    <row r="11077">
      <c r="A11077" s="40" t="str">
        <f t="shared" si="1"/>
        <v/>
      </c>
      <c r="B11077" s="37" t="str">
        <f t="array" ref="B11077">iferror(xlookup($I11077, 'IMPORT VHC Report'!$E:$E, 'IMPORT VHC Report'!$A:$C), )</f>
        <v/>
      </c>
      <c r="C11077" s="44"/>
      <c r="D11077" s="44"/>
      <c r="L11077" s="45"/>
      <c r="N11077" s="45"/>
    </row>
    <row r="11078">
      <c r="A11078" s="40" t="str">
        <f t="shared" si="1"/>
        <v/>
      </c>
      <c r="B11078" s="37" t="str">
        <f t="array" ref="B11078">iferror(xlookup($I11078, 'IMPORT VHC Report'!$E:$E, 'IMPORT VHC Report'!$A:$C), )</f>
        <v/>
      </c>
      <c r="C11078" s="44"/>
      <c r="D11078" s="44"/>
      <c r="L11078" s="45"/>
      <c r="N11078" s="45"/>
    </row>
    <row r="11079">
      <c r="A11079" s="40" t="str">
        <f t="shared" si="1"/>
        <v/>
      </c>
      <c r="B11079" s="37" t="str">
        <f t="array" ref="B11079">iferror(xlookup($I11079, 'IMPORT VHC Report'!$E:$E, 'IMPORT VHC Report'!$A:$C), )</f>
        <v/>
      </c>
      <c r="C11079" s="44"/>
      <c r="D11079" s="44"/>
      <c r="L11079" s="45"/>
      <c r="N11079" s="45"/>
    </row>
    <row r="11080">
      <c r="A11080" s="40" t="str">
        <f t="shared" si="1"/>
        <v/>
      </c>
      <c r="B11080" s="37" t="str">
        <f t="array" ref="B11080">iferror(xlookup($I11080, 'IMPORT VHC Report'!$E:$E, 'IMPORT VHC Report'!$A:$C), )</f>
        <v/>
      </c>
      <c r="C11080" s="44"/>
      <c r="D11080" s="44"/>
      <c r="L11080" s="45"/>
      <c r="N11080" s="45"/>
    </row>
    <row r="11081">
      <c r="A11081" s="40" t="str">
        <f t="shared" si="1"/>
        <v/>
      </c>
      <c r="B11081" s="37" t="str">
        <f t="array" ref="B11081">iferror(xlookup($I11081, 'IMPORT VHC Report'!$E:$E, 'IMPORT VHC Report'!$A:$C), )</f>
        <v/>
      </c>
      <c r="C11081" s="44"/>
      <c r="D11081" s="44"/>
      <c r="L11081" s="45"/>
      <c r="N11081" s="45"/>
    </row>
    <row r="11082">
      <c r="A11082" s="40" t="str">
        <f t="shared" si="1"/>
        <v/>
      </c>
      <c r="B11082" s="37" t="str">
        <f t="array" ref="B11082">iferror(xlookup($I11082, 'IMPORT VHC Report'!$E:$E, 'IMPORT VHC Report'!$A:$C), )</f>
        <v/>
      </c>
      <c r="C11082" s="44"/>
      <c r="D11082" s="44"/>
      <c r="L11082" s="45"/>
      <c r="N11082" s="45"/>
    </row>
    <row r="11083">
      <c r="A11083" s="40" t="str">
        <f t="shared" si="1"/>
        <v/>
      </c>
      <c r="B11083" s="37" t="str">
        <f t="array" ref="B11083">iferror(xlookup($I11083, 'IMPORT VHC Report'!$E:$E, 'IMPORT VHC Report'!$A:$C), )</f>
        <v/>
      </c>
      <c r="C11083" s="44"/>
      <c r="D11083" s="44"/>
      <c r="L11083" s="45"/>
      <c r="N11083" s="45"/>
    </row>
    <row r="11084">
      <c r="A11084" s="40" t="str">
        <f t="shared" si="1"/>
        <v/>
      </c>
      <c r="B11084" s="37" t="str">
        <f t="array" ref="B11084">iferror(xlookup($I11084, 'IMPORT VHC Report'!$E:$E, 'IMPORT VHC Report'!$A:$C), )</f>
        <v/>
      </c>
      <c r="C11084" s="44"/>
      <c r="D11084" s="44"/>
      <c r="L11084" s="45"/>
      <c r="N11084" s="45"/>
    </row>
    <row r="11085">
      <c r="A11085" s="40" t="str">
        <f t="shared" si="1"/>
        <v/>
      </c>
      <c r="B11085" s="37" t="str">
        <f t="array" ref="B11085">iferror(xlookup($I11085, 'IMPORT VHC Report'!$E:$E, 'IMPORT VHC Report'!$A:$C), )</f>
        <v/>
      </c>
      <c r="C11085" s="44"/>
      <c r="D11085" s="44"/>
      <c r="L11085" s="45"/>
      <c r="N11085" s="45"/>
    </row>
    <row r="11086">
      <c r="A11086" s="40" t="str">
        <f t="shared" si="1"/>
        <v/>
      </c>
      <c r="B11086" s="37" t="str">
        <f t="array" ref="B11086">iferror(xlookup($I11086, 'IMPORT VHC Report'!$E:$E, 'IMPORT VHC Report'!$A:$C), )</f>
        <v/>
      </c>
      <c r="C11086" s="44"/>
      <c r="D11086" s="44"/>
      <c r="L11086" s="45"/>
      <c r="N11086" s="45"/>
    </row>
    <row r="11087">
      <c r="A11087" s="40" t="str">
        <f t="shared" si="1"/>
        <v/>
      </c>
      <c r="B11087" s="37" t="str">
        <f t="array" ref="B11087">iferror(xlookup($I11087, 'IMPORT VHC Report'!$E:$E, 'IMPORT VHC Report'!$A:$C), )</f>
        <v/>
      </c>
      <c r="C11087" s="44"/>
      <c r="D11087" s="44"/>
      <c r="L11087" s="45"/>
      <c r="N11087" s="45"/>
    </row>
    <row r="11088">
      <c r="A11088" s="40" t="str">
        <f t="shared" si="1"/>
        <v/>
      </c>
      <c r="B11088" s="37" t="str">
        <f t="array" ref="B11088">iferror(xlookup($I11088, 'IMPORT VHC Report'!$E:$E, 'IMPORT VHC Report'!$A:$C), )</f>
        <v/>
      </c>
      <c r="C11088" s="44"/>
      <c r="D11088" s="44"/>
      <c r="L11088" s="45"/>
      <c r="N11088" s="45"/>
    </row>
    <row r="11089">
      <c r="A11089" s="40" t="str">
        <f t="shared" si="1"/>
        <v/>
      </c>
      <c r="B11089" s="37" t="str">
        <f t="array" ref="B11089">iferror(xlookup($I11089, 'IMPORT VHC Report'!$E:$E, 'IMPORT VHC Report'!$A:$C), )</f>
        <v/>
      </c>
      <c r="C11089" s="44"/>
      <c r="D11089" s="44"/>
      <c r="L11089" s="45"/>
      <c r="N11089" s="45"/>
    </row>
    <row r="11090">
      <c r="A11090" s="40" t="str">
        <f t="shared" si="1"/>
        <v/>
      </c>
      <c r="B11090" s="37" t="str">
        <f t="array" ref="B11090">iferror(xlookup($I11090, 'IMPORT VHC Report'!$E:$E, 'IMPORT VHC Report'!$A:$C), )</f>
        <v/>
      </c>
      <c r="C11090" s="44"/>
      <c r="D11090" s="44"/>
      <c r="L11090" s="45"/>
      <c r="N11090" s="45"/>
    </row>
    <row r="11091">
      <c r="A11091" s="40" t="str">
        <f t="shared" si="1"/>
        <v/>
      </c>
      <c r="B11091" s="37" t="str">
        <f t="array" ref="B11091">iferror(xlookup($I11091, 'IMPORT VHC Report'!$E:$E, 'IMPORT VHC Report'!$A:$C), )</f>
        <v/>
      </c>
      <c r="C11091" s="44"/>
      <c r="D11091" s="44"/>
      <c r="L11091" s="45"/>
      <c r="N11091" s="45"/>
    </row>
    <row r="11092">
      <c r="A11092" s="40" t="str">
        <f t="shared" si="1"/>
        <v/>
      </c>
      <c r="B11092" s="37" t="str">
        <f t="array" ref="B11092">iferror(xlookup($I11092, 'IMPORT VHC Report'!$E:$E, 'IMPORT VHC Report'!$A:$C), )</f>
        <v/>
      </c>
      <c r="C11092" s="44"/>
      <c r="D11092" s="44"/>
      <c r="L11092" s="45"/>
      <c r="N11092" s="45"/>
    </row>
    <row r="11093">
      <c r="A11093" s="40" t="str">
        <f t="shared" si="1"/>
        <v/>
      </c>
      <c r="B11093" s="37" t="str">
        <f t="array" ref="B11093">iferror(xlookup($I11093, 'IMPORT VHC Report'!$E:$E, 'IMPORT VHC Report'!$A:$C), )</f>
        <v/>
      </c>
      <c r="C11093" s="44"/>
      <c r="D11093" s="44"/>
      <c r="L11093" s="45"/>
      <c r="N11093" s="45"/>
    </row>
    <row r="11094">
      <c r="A11094" s="40" t="str">
        <f t="shared" si="1"/>
        <v/>
      </c>
      <c r="B11094" s="37" t="str">
        <f t="array" ref="B11094">iferror(xlookup($I11094, 'IMPORT VHC Report'!$E:$E, 'IMPORT VHC Report'!$A:$C), )</f>
        <v/>
      </c>
      <c r="C11094" s="44"/>
      <c r="D11094" s="44"/>
      <c r="L11094" s="45"/>
      <c r="N11094" s="45"/>
    </row>
    <row r="11095">
      <c r="A11095" s="40" t="str">
        <f t="shared" si="1"/>
        <v/>
      </c>
      <c r="B11095" s="37" t="str">
        <f t="array" ref="B11095">iferror(xlookup($I11095, 'IMPORT VHC Report'!$E:$E, 'IMPORT VHC Report'!$A:$C), )</f>
        <v/>
      </c>
      <c r="C11095" s="44"/>
      <c r="D11095" s="44"/>
      <c r="L11095" s="45"/>
      <c r="N11095" s="45"/>
    </row>
    <row r="11096">
      <c r="A11096" s="40" t="str">
        <f t="shared" si="1"/>
        <v/>
      </c>
      <c r="B11096" s="37" t="str">
        <f t="array" ref="B11096">iferror(xlookup($I11096, 'IMPORT VHC Report'!$E:$E, 'IMPORT VHC Report'!$A:$C), )</f>
        <v/>
      </c>
      <c r="C11096" s="44"/>
      <c r="D11096" s="44"/>
      <c r="L11096" s="45"/>
      <c r="N11096" s="45"/>
    </row>
    <row r="11097">
      <c r="A11097" s="40" t="str">
        <f t="shared" si="1"/>
        <v/>
      </c>
      <c r="B11097" s="37" t="str">
        <f t="array" ref="B11097">iferror(xlookup($I11097, 'IMPORT VHC Report'!$E:$E, 'IMPORT VHC Report'!$A:$C), )</f>
        <v/>
      </c>
      <c r="C11097" s="44"/>
      <c r="D11097" s="44"/>
      <c r="L11097" s="45"/>
      <c r="N11097" s="45"/>
    </row>
    <row r="11098">
      <c r="A11098" s="40" t="str">
        <f t="shared" si="1"/>
        <v/>
      </c>
      <c r="B11098" s="37" t="str">
        <f t="array" ref="B11098">iferror(xlookup($I11098, 'IMPORT VHC Report'!$E:$E, 'IMPORT VHC Report'!$A:$C), )</f>
        <v/>
      </c>
      <c r="C11098" s="44"/>
      <c r="D11098" s="44"/>
      <c r="L11098" s="45"/>
      <c r="N11098" s="45"/>
    </row>
    <row r="11099">
      <c r="A11099" s="40" t="str">
        <f t="shared" si="1"/>
        <v/>
      </c>
      <c r="B11099" s="37" t="str">
        <f t="array" ref="B11099">iferror(xlookup($I11099, 'IMPORT VHC Report'!$E:$E, 'IMPORT VHC Report'!$A:$C), )</f>
        <v/>
      </c>
      <c r="C11099" s="44"/>
      <c r="D11099" s="44"/>
      <c r="L11099" s="45"/>
      <c r="N11099" s="45"/>
    </row>
    <row r="11100">
      <c r="A11100" s="40" t="str">
        <f t="shared" si="1"/>
        <v/>
      </c>
      <c r="B11100" s="37" t="str">
        <f t="array" ref="B11100">iferror(xlookup($I11100, 'IMPORT VHC Report'!$E:$E, 'IMPORT VHC Report'!$A:$C), )</f>
        <v/>
      </c>
      <c r="C11100" s="44"/>
      <c r="D11100" s="44"/>
      <c r="L11100" s="45"/>
      <c r="N11100" s="45"/>
    </row>
    <row r="11101">
      <c r="A11101" s="40" t="str">
        <f t="shared" si="1"/>
        <v/>
      </c>
      <c r="B11101" s="37" t="str">
        <f t="array" ref="B11101">iferror(xlookup($I11101, 'IMPORT VHC Report'!$E:$E, 'IMPORT VHC Report'!$A:$C), )</f>
        <v/>
      </c>
      <c r="C11101" s="44"/>
      <c r="D11101" s="44"/>
      <c r="L11101" s="45"/>
      <c r="N11101" s="45"/>
    </row>
    <row r="11102">
      <c r="A11102" s="40" t="str">
        <f t="shared" si="1"/>
        <v/>
      </c>
      <c r="B11102" s="37" t="str">
        <f t="array" ref="B11102">iferror(xlookup($I11102, 'IMPORT VHC Report'!$E:$E, 'IMPORT VHC Report'!$A:$C), )</f>
        <v/>
      </c>
      <c r="C11102" s="44"/>
      <c r="D11102" s="44"/>
      <c r="L11102" s="45"/>
      <c r="N11102" s="45"/>
    </row>
    <row r="11103">
      <c r="A11103" s="40" t="str">
        <f t="shared" si="1"/>
        <v/>
      </c>
      <c r="B11103" s="37" t="str">
        <f t="array" ref="B11103">iferror(xlookup($I11103, 'IMPORT VHC Report'!$E:$E, 'IMPORT VHC Report'!$A:$C), )</f>
        <v/>
      </c>
      <c r="C11103" s="44"/>
      <c r="D11103" s="44"/>
      <c r="L11103" s="45"/>
      <c r="N11103" s="45"/>
    </row>
    <row r="11104">
      <c r="A11104" s="40" t="str">
        <f t="shared" si="1"/>
        <v/>
      </c>
      <c r="B11104" s="37" t="str">
        <f t="array" ref="B11104">iferror(xlookup($I11104, 'IMPORT VHC Report'!$E:$E, 'IMPORT VHC Report'!$A:$C), )</f>
        <v/>
      </c>
      <c r="C11104" s="44"/>
      <c r="D11104" s="44"/>
      <c r="L11104" s="45"/>
      <c r="N11104" s="45"/>
    </row>
    <row r="11105">
      <c r="A11105" s="40" t="str">
        <f t="shared" si="1"/>
        <v/>
      </c>
      <c r="B11105" s="37" t="str">
        <f t="array" ref="B11105">iferror(xlookup($I11105, 'IMPORT VHC Report'!$E:$E, 'IMPORT VHC Report'!$A:$C), )</f>
        <v/>
      </c>
      <c r="C11105" s="44"/>
      <c r="D11105" s="44"/>
      <c r="L11105" s="45"/>
      <c r="N11105" s="45"/>
    </row>
    <row r="11106">
      <c r="A11106" s="40" t="str">
        <f t="shared" si="1"/>
        <v/>
      </c>
      <c r="B11106" s="37" t="str">
        <f t="array" ref="B11106">iferror(xlookup($I11106, 'IMPORT VHC Report'!$E:$E, 'IMPORT VHC Report'!$A:$C), )</f>
        <v/>
      </c>
      <c r="C11106" s="44"/>
      <c r="D11106" s="44"/>
      <c r="L11106" s="45"/>
      <c r="N11106" s="45"/>
    </row>
    <row r="11107">
      <c r="A11107" s="40" t="str">
        <f t="shared" si="1"/>
        <v/>
      </c>
      <c r="B11107" s="37" t="str">
        <f t="array" ref="B11107">iferror(xlookup($I11107, 'IMPORT VHC Report'!$E:$E, 'IMPORT VHC Report'!$A:$C), )</f>
        <v/>
      </c>
      <c r="C11107" s="44"/>
      <c r="D11107" s="44"/>
      <c r="L11107" s="45"/>
      <c r="N11107" s="45"/>
    </row>
    <row r="11108">
      <c r="A11108" s="40" t="str">
        <f t="shared" si="1"/>
        <v/>
      </c>
      <c r="B11108" s="37" t="str">
        <f t="array" ref="B11108">iferror(xlookup($I11108, 'IMPORT VHC Report'!$E:$E, 'IMPORT VHC Report'!$A:$C), )</f>
        <v/>
      </c>
      <c r="C11108" s="44"/>
      <c r="D11108" s="44"/>
      <c r="L11108" s="45"/>
      <c r="N11108" s="45"/>
    </row>
    <row r="11109">
      <c r="A11109" s="40" t="str">
        <f t="shared" si="1"/>
        <v/>
      </c>
      <c r="B11109" s="37" t="str">
        <f t="array" ref="B11109">iferror(xlookup($I11109, 'IMPORT VHC Report'!$E:$E, 'IMPORT VHC Report'!$A:$C), )</f>
        <v/>
      </c>
      <c r="C11109" s="44"/>
      <c r="D11109" s="44"/>
      <c r="L11109" s="45"/>
      <c r="N11109" s="45"/>
    </row>
    <row r="11110">
      <c r="A11110" s="40" t="str">
        <f t="shared" si="1"/>
        <v/>
      </c>
      <c r="B11110" s="37" t="str">
        <f t="array" ref="B11110">iferror(xlookup($I11110, 'IMPORT VHC Report'!$E:$E, 'IMPORT VHC Report'!$A:$C), )</f>
        <v/>
      </c>
      <c r="C11110" s="44"/>
      <c r="D11110" s="44"/>
      <c r="L11110" s="45"/>
      <c r="N11110" s="45"/>
    </row>
    <row r="11111">
      <c r="A11111" s="40" t="str">
        <f t="shared" si="1"/>
        <v/>
      </c>
      <c r="B11111" s="37" t="str">
        <f t="array" ref="B11111">iferror(xlookup($I11111, 'IMPORT VHC Report'!$E:$E, 'IMPORT VHC Report'!$A:$C), )</f>
        <v/>
      </c>
      <c r="C11111" s="44"/>
      <c r="D11111" s="44"/>
      <c r="L11111" s="45"/>
      <c r="N11111" s="45"/>
    </row>
    <row r="11112">
      <c r="A11112" s="40" t="str">
        <f t="shared" si="1"/>
        <v/>
      </c>
      <c r="B11112" s="37" t="str">
        <f t="array" ref="B11112">iferror(xlookup($I11112, 'IMPORT VHC Report'!$E:$E, 'IMPORT VHC Report'!$A:$C), )</f>
        <v/>
      </c>
      <c r="C11112" s="44"/>
      <c r="D11112" s="44"/>
      <c r="L11112" s="45"/>
      <c r="N11112" s="45"/>
    </row>
    <row r="11113">
      <c r="A11113" s="40" t="str">
        <f t="shared" si="1"/>
        <v/>
      </c>
      <c r="B11113" s="37" t="str">
        <f t="array" ref="B11113">iferror(xlookup($I11113, 'IMPORT VHC Report'!$E:$E, 'IMPORT VHC Report'!$A:$C), )</f>
        <v/>
      </c>
      <c r="C11113" s="44"/>
      <c r="D11113" s="44"/>
      <c r="L11113" s="45"/>
      <c r="N11113" s="45"/>
    </row>
    <row r="11114">
      <c r="A11114" s="40" t="str">
        <f t="shared" si="1"/>
        <v/>
      </c>
      <c r="B11114" s="37" t="str">
        <f t="array" ref="B11114">iferror(xlookup($I11114, 'IMPORT VHC Report'!$E:$E, 'IMPORT VHC Report'!$A:$C), )</f>
        <v/>
      </c>
      <c r="C11114" s="44"/>
      <c r="D11114" s="44"/>
      <c r="L11114" s="45"/>
      <c r="N11114" s="45"/>
    </row>
    <row r="11115">
      <c r="A11115" s="40" t="str">
        <f t="shared" si="1"/>
        <v/>
      </c>
      <c r="B11115" s="37" t="str">
        <f t="array" ref="B11115">iferror(xlookup($I11115, 'IMPORT VHC Report'!$E:$E, 'IMPORT VHC Report'!$A:$C), )</f>
        <v/>
      </c>
      <c r="C11115" s="44"/>
      <c r="D11115" s="44"/>
      <c r="L11115" s="45"/>
      <c r="N11115" s="45"/>
    </row>
    <row r="11116">
      <c r="A11116" s="40" t="str">
        <f t="shared" si="1"/>
        <v/>
      </c>
      <c r="B11116" s="37" t="str">
        <f t="array" ref="B11116">iferror(xlookup($I11116, 'IMPORT VHC Report'!$E:$E, 'IMPORT VHC Report'!$A:$C), )</f>
        <v/>
      </c>
      <c r="C11116" s="44"/>
      <c r="D11116" s="44"/>
      <c r="L11116" s="45"/>
      <c r="N11116" s="45"/>
    </row>
    <row r="11117">
      <c r="A11117" s="40" t="str">
        <f t="shared" si="1"/>
        <v/>
      </c>
      <c r="B11117" s="37" t="str">
        <f t="array" ref="B11117">iferror(xlookup($I11117, 'IMPORT VHC Report'!$E:$E, 'IMPORT VHC Report'!$A:$C), )</f>
        <v/>
      </c>
      <c r="C11117" s="44"/>
      <c r="D11117" s="44"/>
      <c r="L11117" s="45"/>
      <c r="N11117" s="45"/>
    </row>
    <row r="11118">
      <c r="A11118" s="40" t="str">
        <f t="shared" si="1"/>
        <v/>
      </c>
      <c r="B11118" s="37" t="str">
        <f t="array" ref="B11118">iferror(xlookup($I11118, 'IMPORT VHC Report'!$E:$E, 'IMPORT VHC Report'!$A:$C), )</f>
        <v/>
      </c>
      <c r="C11118" s="44"/>
      <c r="D11118" s="44"/>
      <c r="L11118" s="45"/>
      <c r="N11118" s="45"/>
    </row>
    <row r="11119">
      <c r="A11119" s="40" t="str">
        <f t="shared" si="1"/>
        <v/>
      </c>
      <c r="B11119" s="37" t="str">
        <f t="array" ref="B11119">iferror(xlookup($I11119, 'IMPORT VHC Report'!$E:$E, 'IMPORT VHC Report'!$A:$C), )</f>
        <v/>
      </c>
      <c r="C11119" s="44"/>
      <c r="D11119" s="44"/>
      <c r="L11119" s="45"/>
      <c r="N11119" s="45"/>
    </row>
    <row r="11120">
      <c r="A11120" s="40" t="str">
        <f t="shared" si="1"/>
        <v/>
      </c>
      <c r="B11120" s="37" t="str">
        <f t="array" ref="B11120">iferror(xlookup($I11120, 'IMPORT VHC Report'!$E:$E, 'IMPORT VHC Report'!$A:$C), )</f>
        <v/>
      </c>
      <c r="C11120" s="44"/>
      <c r="D11120" s="44"/>
      <c r="L11120" s="45"/>
      <c r="N11120" s="45"/>
    </row>
    <row r="11121">
      <c r="A11121" s="40" t="str">
        <f t="shared" si="1"/>
        <v/>
      </c>
      <c r="B11121" s="37" t="str">
        <f t="array" ref="B11121">iferror(xlookup($I11121, 'IMPORT VHC Report'!$E:$E, 'IMPORT VHC Report'!$A:$C), )</f>
        <v/>
      </c>
      <c r="C11121" s="44"/>
      <c r="D11121" s="44"/>
      <c r="L11121" s="45"/>
      <c r="N11121" s="45"/>
    </row>
    <row r="11122">
      <c r="A11122" s="40" t="str">
        <f t="shared" si="1"/>
        <v/>
      </c>
      <c r="B11122" s="37" t="str">
        <f t="array" ref="B11122">iferror(xlookup($I11122, 'IMPORT VHC Report'!$E:$E, 'IMPORT VHC Report'!$A:$C), )</f>
        <v/>
      </c>
      <c r="C11122" s="44"/>
      <c r="D11122" s="44"/>
      <c r="L11122" s="45"/>
      <c r="N11122" s="45"/>
    </row>
    <row r="11123">
      <c r="A11123" s="40" t="str">
        <f t="shared" si="1"/>
        <v/>
      </c>
      <c r="B11123" s="37" t="str">
        <f t="array" ref="B11123">iferror(xlookup($I11123, 'IMPORT VHC Report'!$E:$E, 'IMPORT VHC Report'!$A:$C), )</f>
        <v/>
      </c>
      <c r="C11123" s="44"/>
      <c r="D11123" s="44"/>
      <c r="L11123" s="45"/>
      <c r="N11123" s="45"/>
    </row>
    <row r="11124">
      <c r="A11124" s="40" t="str">
        <f t="shared" si="1"/>
        <v/>
      </c>
      <c r="B11124" s="37" t="str">
        <f t="array" ref="B11124">iferror(xlookup($I11124, 'IMPORT VHC Report'!$E:$E, 'IMPORT VHC Report'!$A:$C), )</f>
        <v/>
      </c>
      <c r="C11124" s="44"/>
      <c r="D11124" s="44"/>
      <c r="L11124" s="45"/>
      <c r="N11124" s="45"/>
    </row>
    <row r="11125">
      <c r="A11125" s="40" t="str">
        <f t="shared" si="1"/>
        <v/>
      </c>
      <c r="B11125" s="37" t="str">
        <f t="array" ref="B11125">iferror(xlookup($I11125, 'IMPORT VHC Report'!$E:$E, 'IMPORT VHC Report'!$A:$C), )</f>
        <v/>
      </c>
      <c r="C11125" s="44"/>
      <c r="D11125" s="44"/>
      <c r="L11125" s="45"/>
      <c r="N11125" s="45"/>
    </row>
    <row r="11126">
      <c r="A11126" s="40" t="str">
        <f t="shared" si="1"/>
        <v/>
      </c>
      <c r="B11126" s="37" t="str">
        <f t="array" ref="B11126">iferror(xlookup($I11126, 'IMPORT VHC Report'!$E:$E, 'IMPORT VHC Report'!$A:$C), )</f>
        <v/>
      </c>
      <c r="C11126" s="44"/>
      <c r="D11126" s="44"/>
      <c r="L11126" s="45"/>
      <c r="N11126" s="45"/>
    </row>
    <row r="11127">
      <c r="A11127" s="40" t="str">
        <f t="shared" si="1"/>
        <v/>
      </c>
      <c r="B11127" s="37" t="str">
        <f t="array" ref="B11127">iferror(xlookup($I11127, 'IMPORT VHC Report'!$E:$E, 'IMPORT VHC Report'!$A:$C), )</f>
        <v/>
      </c>
      <c r="C11127" s="44"/>
      <c r="D11127" s="44"/>
      <c r="L11127" s="45"/>
      <c r="N11127" s="45"/>
    </row>
    <row r="11128">
      <c r="A11128" s="40" t="str">
        <f t="shared" si="1"/>
        <v/>
      </c>
      <c r="B11128" s="37" t="str">
        <f t="array" ref="B11128">iferror(xlookup($I11128, 'IMPORT VHC Report'!$E:$E, 'IMPORT VHC Report'!$A:$C), )</f>
        <v/>
      </c>
      <c r="C11128" s="44"/>
      <c r="D11128" s="44"/>
      <c r="L11128" s="45"/>
      <c r="N11128" s="45"/>
    </row>
    <row r="11129">
      <c r="A11129" s="40" t="str">
        <f t="shared" si="1"/>
        <v/>
      </c>
      <c r="B11129" s="37" t="str">
        <f t="array" ref="B11129">iferror(xlookup($I11129, 'IMPORT VHC Report'!$E:$E, 'IMPORT VHC Report'!$A:$C), )</f>
        <v/>
      </c>
      <c r="C11129" s="44"/>
      <c r="D11129" s="44"/>
      <c r="L11129" s="45"/>
      <c r="N11129" s="45"/>
    </row>
    <row r="11130">
      <c r="A11130" s="40" t="str">
        <f t="shared" si="1"/>
        <v/>
      </c>
      <c r="B11130" s="37" t="str">
        <f t="array" ref="B11130">iferror(xlookup($I11130, 'IMPORT VHC Report'!$E:$E, 'IMPORT VHC Report'!$A:$C), )</f>
        <v/>
      </c>
      <c r="C11130" s="44"/>
      <c r="D11130" s="44"/>
      <c r="L11130" s="45"/>
      <c r="N11130" s="45"/>
    </row>
    <row r="11131">
      <c r="A11131" s="40" t="str">
        <f t="shared" si="1"/>
        <v/>
      </c>
      <c r="B11131" s="37" t="str">
        <f t="array" ref="B11131">iferror(xlookup($I11131, 'IMPORT VHC Report'!$E:$E, 'IMPORT VHC Report'!$A:$C), )</f>
        <v/>
      </c>
      <c r="C11131" s="44"/>
      <c r="D11131" s="44"/>
      <c r="L11131" s="45"/>
      <c r="N11131" s="45"/>
    </row>
    <row r="11132">
      <c r="A11132" s="40" t="str">
        <f t="shared" si="1"/>
        <v/>
      </c>
      <c r="B11132" s="37" t="str">
        <f t="array" ref="B11132">iferror(xlookup($I11132, 'IMPORT VHC Report'!$E:$E, 'IMPORT VHC Report'!$A:$C), )</f>
        <v/>
      </c>
      <c r="C11132" s="44"/>
      <c r="D11132" s="44"/>
      <c r="L11132" s="45"/>
      <c r="N11132" s="45"/>
    </row>
    <row r="11133">
      <c r="A11133" s="40" t="str">
        <f t="shared" si="1"/>
        <v/>
      </c>
      <c r="B11133" s="37" t="str">
        <f t="array" ref="B11133">iferror(xlookup($I11133, 'IMPORT VHC Report'!$E:$E, 'IMPORT VHC Report'!$A:$C), )</f>
        <v/>
      </c>
      <c r="C11133" s="44"/>
      <c r="D11133" s="44"/>
      <c r="L11133" s="45"/>
      <c r="N11133" s="45"/>
    </row>
    <row r="11134">
      <c r="A11134" s="40" t="str">
        <f t="shared" si="1"/>
        <v/>
      </c>
      <c r="B11134" s="37" t="str">
        <f t="array" ref="B11134">iferror(xlookup($I11134, 'IMPORT VHC Report'!$E:$E, 'IMPORT VHC Report'!$A:$C), )</f>
        <v/>
      </c>
      <c r="C11134" s="44"/>
      <c r="D11134" s="44"/>
      <c r="L11134" s="45"/>
      <c r="N11134" s="45"/>
    </row>
    <row r="11135">
      <c r="A11135" s="40" t="str">
        <f t="shared" si="1"/>
        <v/>
      </c>
      <c r="B11135" s="37" t="str">
        <f t="array" ref="B11135">iferror(xlookup($I11135, 'IMPORT VHC Report'!$E:$E, 'IMPORT VHC Report'!$A:$C), )</f>
        <v/>
      </c>
      <c r="C11135" s="44"/>
      <c r="D11135" s="44"/>
      <c r="L11135" s="45"/>
      <c r="N11135" s="45"/>
    </row>
    <row r="11136">
      <c r="A11136" s="40" t="str">
        <f t="shared" si="1"/>
        <v/>
      </c>
      <c r="B11136" s="37" t="str">
        <f t="array" ref="B11136">iferror(xlookup($I11136, 'IMPORT VHC Report'!$E:$E, 'IMPORT VHC Report'!$A:$C), )</f>
        <v/>
      </c>
      <c r="C11136" s="44"/>
      <c r="D11136" s="44"/>
      <c r="L11136" s="45"/>
      <c r="N11136" s="45"/>
    </row>
    <row r="11137">
      <c r="A11137" s="40" t="str">
        <f t="shared" si="1"/>
        <v/>
      </c>
      <c r="B11137" s="37" t="str">
        <f t="array" ref="B11137">iferror(xlookup($I11137, 'IMPORT VHC Report'!$E:$E, 'IMPORT VHC Report'!$A:$C), )</f>
        <v/>
      </c>
      <c r="C11137" s="44"/>
      <c r="D11137" s="44"/>
      <c r="L11137" s="45"/>
      <c r="N11137" s="45"/>
    </row>
    <row r="11138">
      <c r="A11138" s="40" t="str">
        <f t="shared" si="1"/>
        <v/>
      </c>
      <c r="B11138" s="37" t="str">
        <f t="array" ref="B11138">iferror(xlookup($I11138, 'IMPORT VHC Report'!$E:$E, 'IMPORT VHC Report'!$A:$C), )</f>
        <v/>
      </c>
      <c r="C11138" s="44"/>
      <c r="D11138" s="44"/>
      <c r="L11138" s="45"/>
      <c r="N11138" s="45"/>
    </row>
    <row r="11139">
      <c r="A11139" s="40" t="str">
        <f t="shared" si="1"/>
        <v/>
      </c>
      <c r="B11139" s="37" t="str">
        <f t="array" ref="B11139">iferror(xlookup($I11139, 'IMPORT VHC Report'!$E:$E, 'IMPORT VHC Report'!$A:$C), )</f>
        <v/>
      </c>
      <c r="C11139" s="44"/>
      <c r="D11139" s="44"/>
      <c r="L11139" s="45"/>
      <c r="N11139" s="45"/>
    </row>
    <row r="11140">
      <c r="A11140" s="40" t="str">
        <f t="shared" si="1"/>
        <v/>
      </c>
      <c r="B11140" s="37" t="str">
        <f t="array" ref="B11140">iferror(xlookup($I11140, 'IMPORT VHC Report'!$E:$E, 'IMPORT VHC Report'!$A:$C), )</f>
        <v/>
      </c>
      <c r="C11140" s="44"/>
      <c r="D11140" s="44"/>
      <c r="L11140" s="45"/>
      <c r="N11140" s="45"/>
    </row>
    <row r="11141">
      <c r="A11141" s="40" t="str">
        <f t="shared" si="1"/>
        <v/>
      </c>
      <c r="B11141" s="37" t="str">
        <f t="array" ref="B11141">iferror(xlookup($I11141, 'IMPORT VHC Report'!$E:$E, 'IMPORT VHC Report'!$A:$C), )</f>
        <v/>
      </c>
      <c r="C11141" s="44"/>
      <c r="D11141" s="44"/>
      <c r="L11141" s="45"/>
      <c r="N11141" s="45"/>
    </row>
    <row r="11142">
      <c r="A11142" s="40" t="str">
        <f t="shared" si="1"/>
        <v/>
      </c>
      <c r="B11142" s="37" t="str">
        <f t="array" ref="B11142">iferror(xlookup($I11142, 'IMPORT VHC Report'!$E:$E, 'IMPORT VHC Report'!$A:$C), )</f>
        <v/>
      </c>
      <c r="C11142" s="44"/>
      <c r="D11142" s="44"/>
      <c r="L11142" s="45"/>
      <c r="N11142" s="45"/>
    </row>
    <row r="11143">
      <c r="A11143" s="40" t="str">
        <f t="shared" si="1"/>
        <v/>
      </c>
      <c r="B11143" s="37" t="str">
        <f t="array" ref="B11143">iferror(xlookup($I11143, 'IMPORT VHC Report'!$E:$E, 'IMPORT VHC Report'!$A:$C), )</f>
        <v/>
      </c>
      <c r="C11143" s="44"/>
      <c r="D11143" s="44"/>
      <c r="L11143" s="45"/>
      <c r="N11143" s="45"/>
    </row>
    <row r="11144">
      <c r="A11144" s="40" t="str">
        <f t="shared" si="1"/>
        <v/>
      </c>
      <c r="B11144" s="37" t="str">
        <f t="array" ref="B11144">iferror(xlookup($I11144, 'IMPORT VHC Report'!$E:$E, 'IMPORT VHC Report'!$A:$C), )</f>
        <v/>
      </c>
      <c r="C11144" s="44"/>
      <c r="D11144" s="44"/>
      <c r="L11144" s="45"/>
      <c r="N11144" s="45"/>
    </row>
    <row r="11145">
      <c r="A11145" s="40" t="str">
        <f t="shared" si="1"/>
        <v/>
      </c>
      <c r="B11145" s="37" t="str">
        <f t="array" ref="B11145">iferror(xlookup($I11145, 'IMPORT VHC Report'!$E:$E, 'IMPORT VHC Report'!$A:$C), )</f>
        <v/>
      </c>
      <c r="C11145" s="44"/>
      <c r="D11145" s="44"/>
      <c r="L11145" s="45"/>
      <c r="N11145" s="45"/>
    </row>
    <row r="11146">
      <c r="A11146" s="40" t="str">
        <f t="shared" si="1"/>
        <v/>
      </c>
      <c r="B11146" s="37" t="str">
        <f t="array" ref="B11146">iferror(xlookup($I11146, 'IMPORT VHC Report'!$E:$E, 'IMPORT VHC Report'!$A:$C), )</f>
        <v/>
      </c>
      <c r="C11146" s="44"/>
      <c r="D11146" s="44"/>
      <c r="L11146" s="45"/>
      <c r="N11146" s="45"/>
    </row>
    <row r="11147">
      <c r="A11147" s="40" t="str">
        <f t="shared" si="1"/>
        <v/>
      </c>
      <c r="B11147" s="37" t="str">
        <f t="array" ref="B11147">iferror(xlookup($I11147, 'IMPORT VHC Report'!$E:$E, 'IMPORT VHC Report'!$A:$C), )</f>
        <v/>
      </c>
      <c r="C11147" s="44"/>
      <c r="D11147" s="44"/>
      <c r="L11147" s="45"/>
      <c r="N11147" s="45"/>
    </row>
    <row r="11148">
      <c r="A11148" s="40" t="str">
        <f t="shared" si="1"/>
        <v/>
      </c>
      <c r="B11148" s="37" t="str">
        <f t="array" ref="B11148">iferror(xlookup($I11148, 'IMPORT VHC Report'!$E:$E, 'IMPORT VHC Report'!$A:$C), )</f>
        <v/>
      </c>
      <c r="C11148" s="44"/>
      <c r="D11148" s="44"/>
      <c r="L11148" s="45"/>
      <c r="N11148" s="45"/>
    </row>
    <row r="11149">
      <c r="A11149" s="40" t="str">
        <f t="shared" si="1"/>
        <v/>
      </c>
      <c r="B11149" s="37" t="str">
        <f t="array" ref="B11149">iferror(xlookup($I11149, 'IMPORT VHC Report'!$E:$E, 'IMPORT VHC Report'!$A:$C), )</f>
        <v/>
      </c>
      <c r="C11149" s="44"/>
      <c r="D11149" s="44"/>
      <c r="L11149" s="45"/>
      <c r="N11149" s="45"/>
    </row>
    <row r="11150">
      <c r="A11150" s="40" t="str">
        <f t="shared" si="1"/>
        <v/>
      </c>
      <c r="B11150" s="37" t="str">
        <f t="array" ref="B11150">iferror(xlookup($I11150, 'IMPORT VHC Report'!$E:$E, 'IMPORT VHC Report'!$A:$C), )</f>
        <v/>
      </c>
      <c r="C11150" s="44"/>
      <c r="D11150" s="44"/>
      <c r="L11150" s="45"/>
      <c r="N11150" s="45"/>
    </row>
    <row r="11151">
      <c r="A11151" s="40" t="str">
        <f t="shared" si="1"/>
        <v/>
      </c>
      <c r="B11151" s="37" t="str">
        <f t="array" ref="B11151">iferror(xlookup($I11151, 'IMPORT VHC Report'!$E:$E, 'IMPORT VHC Report'!$A:$C), )</f>
        <v/>
      </c>
      <c r="C11151" s="44"/>
      <c r="D11151" s="44"/>
      <c r="L11151" s="45"/>
      <c r="N11151" s="45"/>
    </row>
    <row r="11152">
      <c r="A11152" s="40" t="str">
        <f t="shared" si="1"/>
        <v/>
      </c>
      <c r="B11152" s="37" t="str">
        <f t="array" ref="B11152">iferror(xlookup($I11152, 'IMPORT VHC Report'!$E:$E, 'IMPORT VHC Report'!$A:$C), )</f>
        <v/>
      </c>
      <c r="C11152" s="44"/>
      <c r="D11152" s="44"/>
      <c r="L11152" s="45"/>
      <c r="N11152" s="45"/>
    </row>
    <row r="11153">
      <c r="A11153" s="40" t="str">
        <f t="shared" si="1"/>
        <v/>
      </c>
      <c r="B11153" s="37" t="str">
        <f t="array" ref="B11153">iferror(xlookup($I11153, 'IMPORT VHC Report'!$E:$E, 'IMPORT VHC Report'!$A:$C), )</f>
        <v/>
      </c>
      <c r="C11153" s="44"/>
      <c r="D11153" s="44"/>
      <c r="L11153" s="45"/>
      <c r="N11153" s="45"/>
    </row>
    <row r="11154">
      <c r="A11154" s="40" t="str">
        <f t="shared" si="1"/>
        <v/>
      </c>
      <c r="B11154" s="37" t="str">
        <f t="array" ref="B11154">iferror(xlookup($I11154, 'IMPORT VHC Report'!$E:$E, 'IMPORT VHC Report'!$A:$C), )</f>
        <v/>
      </c>
      <c r="C11154" s="44"/>
      <c r="D11154" s="44"/>
      <c r="L11154" s="45"/>
      <c r="N11154" s="45"/>
    </row>
    <row r="11155">
      <c r="A11155" s="40" t="str">
        <f t="shared" si="1"/>
        <v/>
      </c>
      <c r="B11155" s="37" t="str">
        <f t="array" ref="B11155">iferror(xlookup($I11155, 'IMPORT VHC Report'!$E:$E, 'IMPORT VHC Report'!$A:$C), )</f>
        <v/>
      </c>
      <c r="C11155" s="44"/>
      <c r="D11155" s="44"/>
      <c r="L11155" s="45"/>
      <c r="N11155" s="45"/>
    </row>
    <row r="11156">
      <c r="A11156" s="40" t="str">
        <f t="shared" si="1"/>
        <v/>
      </c>
      <c r="B11156" s="37" t="str">
        <f t="array" ref="B11156">iferror(xlookup($I11156, 'IMPORT VHC Report'!$E:$E, 'IMPORT VHC Report'!$A:$C), )</f>
        <v/>
      </c>
      <c r="C11156" s="44"/>
      <c r="D11156" s="44"/>
      <c r="L11156" s="45"/>
      <c r="N11156" s="45"/>
    </row>
    <row r="11157">
      <c r="A11157" s="40" t="str">
        <f t="shared" si="1"/>
        <v/>
      </c>
      <c r="B11157" s="37" t="str">
        <f t="array" ref="B11157">iferror(xlookup($I11157, 'IMPORT VHC Report'!$E:$E, 'IMPORT VHC Report'!$A:$C), )</f>
        <v/>
      </c>
      <c r="C11157" s="44"/>
      <c r="D11157" s="44"/>
      <c r="L11157" s="45"/>
      <c r="N11157" s="45"/>
    </row>
    <row r="11158">
      <c r="A11158" s="40" t="str">
        <f t="shared" si="1"/>
        <v/>
      </c>
      <c r="B11158" s="37" t="str">
        <f t="array" ref="B11158">iferror(xlookup($I11158, 'IMPORT VHC Report'!$E:$E, 'IMPORT VHC Report'!$A:$C), )</f>
        <v/>
      </c>
      <c r="C11158" s="44"/>
      <c r="D11158" s="44"/>
      <c r="L11158" s="45"/>
      <c r="N11158" s="45"/>
    </row>
    <row r="11159">
      <c r="A11159" s="40" t="str">
        <f t="shared" si="1"/>
        <v/>
      </c>
      <c r="B11159" s="37" t="str">
        <f t="array" ref="B11159">iferror(xlookup($I11159, 'IMPORT VHC Report'!$E:$E, 'IMPORT VHC Report'!$A:$C), )</f>
        <v/>
      </c>
      <c r="C11159" s="44"/>
      <c r="D11159" s="44"/>
      <c r="L11159" s="45"/>
      <c r="N11159" s="45"/>
    </row>
    <row r="11160">
      <c r="A11160" s="40" t="str">
        <f t="shared" si="1"/>
        <v/>
      </c>
      <c r="B11160" s="37" t="str">
        <f t="array" ref="B11160">iferror(xlookup($I11160, 'IMPORT VHC Report'!$E:$E, 'IMPORT VHC Report'!$A:$C), )</f>
        <v/>
      </c>
      <c r="C11160" s="44"/>
      <c r="D11160" s="44"/>
      <c r="L11160" s="45"/>
      <c r="N11160" s="45"/>
    </row>
    <row r="11161">
      <c r="A11161" s="40" t="str">
        <f t="shared" si="1"/>
        <v/>
      </c>
      <c r="B11161" s="37" t="str">
        <f t="array" ref="B11161">iferror(xlookup($I11161, 'IMPORT VHC Report'!$E:$E, 'IMPORT VHC Report'!$A:$C), )</f>
        <v/>
      </c>
      <c r="C11161" s="44"/>
      <c r="D11161" s="44"/>
      <c r="L11161" s="45"/>
      <c r="N11161" s="45"/>
    </row>
    <row r="11162">
      <c r="A11162" s="40" t="str">
        <f t="shared" si="1"/>
        <v/>
      </c>
      <c r="B11162" s="37" t="str">
        <f t="array" ref="B11162">iferror(xlookup($I11162, 'IMPORT VHC Report'!$E:$E, 'IMPORT VHC Report'!$A:$C), )</f>
        <v/>
      </c>
      <c r="C11162" s="44"/>
      <c r="D11162" s="44"/>
      <c r="L11162" s="45"/>
      <c r="N11162" s="45"/>
    </row>
    <row r="11163">
      <c r="A11163" s="40" t="str">
        <f t="shared" si="1"/>
        <v/>
      </c>
      <c r="B11163" s="37" t="str">
        <f t="array" ref="B11163">iferror(xlookup($I11163, 'IMPORT VHC Report'!$E:$E, 'IMPORT VHC Report'!$A:$C), )</f>
        <v/>
      </c>
      <c r="C11163" s="44"/>
      <c r="D11163" s="44"/>
      <c r="L11163" s="45"/>
      <c r="N11163" s="45"/>
    </row>
    <row r="11164">
      <c r="A11164" s="40" t="str">
        <f t="shared" si="1"/>
        <v/>
      </c>
      <c r="B11164" s="37" t="str">
        <f t="array" ref="B11164">iferror(xlookup($I11164, 'IMPORT VHC Report'!$E:$E, 'IMPORT VHC Report'!$A:$C), )</f>
        <v/>
      </c>
      <c r="C11164" s="44"/>
      <c r="D11164" s="44"/>
      <c r="L11164" s="45"/>
      <c r="N11164" s="45"/>
    </row>
    <row r="11165">
      <c r="A11165" s="40" t="str">
        <f t="shared" si="1"/>
        <v/>
      </c>
      <c r="B11165" s="37" t="str">
        <f t="array" ref="B11165">iferror(xlookup($I11165, 'IMPORT VHC Report'!$E:$E, 'IMPORT VHC Report'!$A:$C), )</f>
        <v/>
      </c>
      <c r="C11165" s="44"/>
      <c r="D11165" s="44"/>
      <c r="L11165" s="45"/>
      <c r="N11165" s="45"/>
    </row>
    <row r="11166">
      <c r="A11166" s="40" t="str">
        <f t="shared" si="1"/>
        <v/>
      </c>
      <c r="B11166" s="37" t="str">
        <f t="array" ref="B11166">iferror(xlookup($I11166, 'IMPORT VHC Report'!$E:$E, 'IMPORT VHC Report'!$A:$C), )</f>
        <v/>
      </c>
      <c r="C11166" s="44"/>
      <c r="D11166" s="44"/>
      <c r="L11166" s="45"/>
      <c r="N11166" s="45"/>
    </row>
    <row r="11167">
      <c r="A11167" s="40" t="str">
        <f t="shared" si="1"/>
        <v/>
      </c>
      <c r="B11167" s="37" t="str">
        <f t="array" ref="B11167">iferror(xlookup($I11167, 'IMPORT VHC Report'!$E:$E, 'IMPORT VHC Report'!$A:$C), )</f>
        <v/>
      </c>
      <c r="C11167" s="44"/>
      <c r="D11167" s="44"/>
      <c r="L11167" s="45"/>
      <c r="N11167" s="45"/>
    </row>
    <row r="11168">
      <c r="A11168" s="40" t="str">
        <f t="shared" si="1"/>
        <v/>
      </c>
      <c r="B11168" s="37" t="str">
        <f t="array" ref="B11168">iferror(xlookup($I11168, 'IMPORT VHC Report'!$E:$E, 'IMPORT VHC Report'!$A:$C), )</f>
        <v/>
      </c>
      <c r="C11168" s="44"/>
      <c r="D11168" s="44"/>
      <c r="L11168" s="45"/>
      <c r="N11168" s="45"/>
    </row>
    <row r="11169">
      <c r="A11169" s="40" t="str">
        <f t="shared" si="1"/>
        <v/>
      </c>
      <c r="B11169" s="37" t="str">
        <f t="array" ref="B11169">iferror(xlookup($I11169, 'IMPORT VHC Report'!$E:$E, 'IMPORT VHC Report'!$A:$C), )</f>
        <v/>
      </c>
      <c r="C11169" s="44"/>
      <c r="D11169" s="44"/>
      <c r="L11169" s="45"/>
      <c r="N11169" s="45"/>
    </row>
    <row r="11170">
      <c r="A11170" s="40" t="str">
        <f t="shared" si="1"/>
        <v/>
      </c>
      <c r="B11170" s="37" t="str">
        <f t="array" ref="B11170">iferror(xlookup($I11170, 'IMPORT VHC Report'!$E:$E, 'IMPORT VHC Report'!$A:$C), )</f>
        <v/>
      </c>
      <c r="C11170" s="44"/>
      <c r="D11170" s="44"/>
      <c r="L11170" s="45"/>
      <c r="N11170" s="45"/>
    </row>
    <row r="11171">
      <c r="A11171" s="40" t="str">
        <f t="shared" si="1"/>
        <v/>
      </c>
      <c r="B11171" s="37" t="str">
        <f t="array" ref="B11171">iferror(xlookup($I11171, 'IMPORT VHC Report'!$E:$E, 'IMPORT VHC Report'!$A:$C), )</f>
        <v/>
      </c>
      <c r="C11171" s="44"/>
      <c r="D11171" s="44"/>
      <c r="L11171" s="45"/>
      <c r="N11171" s="45"/>
    </row>
    <row r="11172">
      <c r="A11172" s="40" t="str">
        <f t="shared" si="1"/>
        <v/>
      </c>
      <c r="B11172" s="37" t="str">
        <f t="array" ref="B11172">iferror(xlookup($I11172, 'IMPORT VHC Report'!$E:$E, 'IMPORT VHC Report'!$A:$C), )</f>
        <v/>
      </c>
      <c r="C11172" s="44"/>
      <c r="D11172" s="44"/>
      <c r="L11172" s="45"/>
      <c r="N11172" s="45"/>
    </row>
    <row r="11173">
      <c r="A11173" s="40" t="str">
        <f t="shared" si="1"/>
        <v/>
      </c>
      <c r="B11173" s="37" t="str">
        <f t="array" ref="B11173">iferror(xlookup($I11173, 'IMPORT VHC Report'!$E:$E, 'IMPORT VHC Report'!$A:$C), )</f>
        <v/>
      </c>
      <c r="C11173" s="44"/>
      <c r="D11173" s="44"/>
      <c r="L11173" s="45"/>
      <c r="N11173" s="45"/>
    </row>
    <row r="11174">
      <c r="A11174" s="40" t="str">
        <f t="shared" si="1"/>
        <v/>
      </c>
      <c r="B11174" s="37" t="str">
        <f t="array" ref="B11174">iferror(xlookup($I11174, 'IMPORT VHC Report'!$E:$E, 'IMPORT VHC Report'!$A:$C), )</f>
        <v/>
      </c>
      <c r="C11174" s="44"/>
      <c r="D11174" s="44"/>
      <c r="L11174" s="45"/>
      <c r="N11174" s="45"/>
    </row>
    <row r="11175">
      <c r="A11175" s="40" t="str">
        <f t="shared" si="1"/>
        <v/>
      </c>
      <c r="B11175" s="37" t="str">
        <f t="array" ref="B11175">iferror(xlookup($I11175, 'IMPORT VHC Report'!$E:$E, 'IMPORT VHC Report'!$A:$C), )</f>
        <v/>
      </c>
      <c r="C11175" s="44"/>
      <c r="D11175" s="44"/>
      <c r="L11175" s="45"/>
      <c r="N11175" s="45"/>
    </row>
    <row r="11176">
      <c r="A11176" s="40" t="str">
        <f t="shared" si="1"/>
        <v/>
      </c>
      <c r="B11176" s="37" t="str">
        <f t="array" ref="B11176">iferror(xlookup($I11176, 'IMPORT VHC Report'!$E:$E, 'IMPORT VHC Report'!$A:$C), )</f>
        <v/>
      </c>
      <c r="C11176" s="44"/>
      <c r="D11176" s="44"/>
      <c r="L11176" s="45"/>
      <c r="N11176" s="45"/>
    </row>
    <row r="11177">
      <c r="A11177" s="40" t="str">
        <f t="shared" si="1"/>
        <v/>
      </c>
      <c r="B11177" s="37" t="str">
        <f t="array" ref="B11177">iferror(xlookup($I11177, 'IMPORT VHC Report'!$E:$E, 'IMPORT VHC Report'!$A:$C), )</f>
        <v/>
      </c>
      <c r="C11177" s="44"/>
      <c r="D11177" s="44"/>
      <c r="L11177" s="45"/>
      <c r="N11177" s="45"/>
    </row>
    <row r="11178">
      <c r="A11178" s="40" t="str">
        <f t="shared" si="1"/>
        <v/>
      </c>
      <c r="B11178" s="37" t="str">
        <f t="array" ref="B11178">iferror(xlookup($I11178, 'IMPORT VHC Report'!$E:$E, 'IMPORT VHC Report'!$A:$C), )</f>
        <v/>
      </c>
      <c r="C11178" s="44"/>
      <c r="D11178" s="44"/>
      <c r="L11178" s="45"/>
      <c r="N11178" s="45"/>
    </row>
    <row r="11179">
      <c r="A11179" s="40" t="str">
        <f t="shared" si="1"/>
        <v/>
      </c>
      <c r="B11179" s="37" t="str">
        <f t="array" ref="B11179">iferror(xlookup($I11179, 'IMPORT VHC Report'!$E:$E, 'IMPORT VHC Report'!$A:$C), )</f>
        <v/>
      </c>
      <c r="C11179" s="44"/>
      <c r="D11179" s="44"/>
      <c r="L11179" s="45"/>
      <c r="N11179" s="45"/>
    </row>
    <row r="11180">
      <c r="A11180" s="40" t="str">
        <f t="shared" si="1"/>
        <v/>
      </c>
      <c r="B11180" s="37" t="str">
        <f t="array" ref="B11180">iferror(xlookup($I11180, 'IMPORT VHC Report'!$E:$E, 'IMPORT VHC Report'!$A:$C), )</f>
        <v/>
      </c>
      <c r="C11180" s="44"/>
      <c r="D11180" s="44"/>
      <c r="L11180" s="45"/>
      <c r="N11180" s="45"/>
    </row>
    <row r="11181">
      <c r="A11181" s="40" t="str">
        <f t="shared" si="1"/>
        <v/>
      </c>
      <c r="B11181" s="37" t="str">
        <f t="array" ref="B11181">iferror(xlookup($I11181, 'IMPORT VHC Report'!$E:$E, 'IMPORT VHC Report'!$A:$C), )</f>
        <v/>
      </c>
      <c r="C11181" s="44"/>
      <c r="D11181" s="44"/>
      <c r="L11181" s="45"/>
      <c r="N11181" s="45"/>
    </row>
    <row r="11182">
      <c r="A11182" s="40" t="str">
        <f t="shared" si="1"/>
        <v/>
      </c>
      <c r="B11182" s="37" t="str">
        <f t="array" ref="B11182">iferror(xlookup($I11182, 'IMPORT VHC Report'!$E:$E, 'IMPORT VHC Report'!$A:$C), )</f>
        <v/>
      </c>
      <c r="C11182" s="44"/>
      <c r="D11182" s="44"/>
      <c r="L11182" s="45"/>
      <c r="N11182" s="45"/>
    </row>
    <row r="11183">
      <c r="A11183" s="40" t="str">
        <f t="shared" si="1"/>
        <v/>
      </c>
      <c r="B11183" s="37" t="str">
        <f t="array" ref="B11183">iferror(xlookup($I11183, 'IMPORT VHC Report'!$E:$E, 'IMPORT VHC Report'!$A:$C), )</f>
        <v/>
      </c>
      <c r="C11183" s="44"/>
      <c r="D11183" s="44"/>
      <c r="L11183" s="45"/>
      <c r="N11183" s="45"/>
    </row>
    <row r="11184">
      <c r="A11184" s="40" t="str">
        <f t="shared" si="1"/>
        <v/>
      </c>
      <c r="B11184" s="37" t="str">
        <f t="array" ref="B11184">iferror(xlookup($I11184, 'IMPORT VHC Report'!$E:$E, 'IMPORT VHC Report'!$A:$C), )</f>
        <v/>
      </c>
      <c r="C11184" s="44"/>
      <c r="D11184" s="44"/>
      <c r="L11184" s="45"/>
      <c r="N11184" s="45"/>
    </row>
    <row r="11185">
      <c r="A11185" s="40" t="str">
        <f t="shared" si="1"/>
        <v/>
      </c>
      <c r="B11185" s="37" t="str">
        <f t="array" ref="B11185">iferror(xlookup($I11185, 'IMPORT VHC Report'!$E:$E, 'IMPORT VHC Report'!$A:$C), )</f>
        <v/>
      </c>
      <c r="C11185" s="44"/>
      <c r="D11185" s="44"/>
      <c r="L11185" s="45"/>
      <c r="N11185" s="45"/>
    </row>
    <row r="11186">
      <c r="A11186" s="40" t="str">
        <f t="shared" si="1"/>
        <v/>
      </c>
      <c r="B11186" s="37" t="str">
        <f t="array" ref="B11186">iferror(xlookup($I11186, 'IMPORT VHC Report'!$E:$E, 'IMPORT VHC Report'!$A:$C), )</f>
        <v/>
      </c>
      <c r="C11186" s="44"/>
      <c r="D11186" s="44"/>
      <c r="L11186" s="45"/>
      <c r="N11186" s="45"/>
    </row>
    <row r="11187">
      <c r="A11187" s="40" t="str">
        <f t="shared" si="1"/>
        <v/>
      </c>
      <c r="B11187" s="37" t="str">
        <f t="array" ref="B11187">iferror(xlookup($I11187, 'IMPORT VHC Report'!$E:$E, 'IMPORT VHC Report'!$A:$C), )</f>
        <v/>
      </c>
      <c r="C11187" s="44"/>
      <c r="D11187" s="44"/>
      <c r="L11187" s="45"/>
      <c r="N11187" s="45"/>
    </row>
    <row r="11188">
      <c r="A11188" s="40" t="str">
        <f t="shared" si="1"/>
        <v/>
      </c>
      <c r="B11188" s="37" t="str">
        <f t="array" ref="B11188">iferror(xlookup($I11188, 'IMPORT VHC Report'!$E:$E, 'IMPORT VHC Report'!$A:$C), )</f>
        <v/>
      </c>
      <c r="C11188" s="44"/>
      <c r="D11188" s="44"/>
      <c r="L11188" s="45"/>
      <c r="N11188" s="45"/>
    </row>
    <row r="11189">
      <c r="A11189" s="40" t="str">
        <f t="shared" si="1"/>
        <v/>
      </c>
      <c r="B11189" s="37" t="str">
        <f t="array" ref="B11189">iferror(xlookup($I11189, 'IMPORT VHC Report'!$E:$E, 'IMPORT VHC Report'!$A:$C), )</f>
        <v/>
      </c>
      <c r="C11189" s="44"/>
      <c r="D11189" s="44"/>
      <c r="L11189" s="45"/>
      <c r="N11189" s="45"/>
    </row>
    <row r="11190">
      <c r="A11190" s="40" t="str">
        <f t="shared" si="1"/>
        <v/>
      </c>
      <c r="B11190" s="37" t="str">
        <f t="array" ref="B11190">iferror(xlookup($I11190, 'IMPORT VHC Report'!$E:$E, 'IMPORT VHC Report'!$A:$C), )</f>
        <v/>
      </c>
      <c r="C11190" s="44"/>
      <c r="D11190" s="44"/>
      <c r="L11190" s="45"/>
      <c r="N11190" s="45"/>
    </row>
    <row r="11191">
      <c r="A11191" s="40" t="str">
        <f t="shared" si="1"/>
        <v/>
      </c>
      <c r="B11191" s="37" t="str">
        <f t="array" ref="B11191">iferror(xlookup($I11191, 'IMPORT VHC Report'!$E:$E, 'IMPORT VHC Report'!$A:$C), )</f>
        <v/>
      </c>
      <c r="C11191" s="44"/>
      <c r="D11191" s="44"/>
      <c r="L11191" s="45"/>
      <c r="N11191" s="45"/>
    </row>
    <row r="11192">
      <c r="A11192" s="40" t="str">
        <f t="shared" si="1"/>
        <v/>
      </c>
      <c r="B11192" s="37" t="str">
        <f t="array" ref="B11192">iferror(xlookup($I11192, 'IMPORT VHC Report'!$E:$E, 'IMPORT VHC Report'!$A:$C), )</f>
        <v/>
      </c>
      <c r="C11192" s="44"/>
      <c r="D11192" s="44"/>
      <c r="L11192" s="45"/>
      <c r="N11192" s="45"/>
    </row>
    <row r="11193">
      <c r="A11193" s="40" t="str">
        <f t="shared" si="1"/>
        <v/>
      </c>
      <c r="B11193" s="37" t="str">
        <f t="array" ref="B11193">iferror(xlookup($I11193, 'IMPORT VHC Report'!$E:$E, 'IMPORT VHC Report'!$A:$C), )</f>
        <v/>
      </c>
      <c r="C11193" s="44"/>
      <c r="D11193" s="44"/>
      <c r="L11193" s="45"/>
      <c r="N11193" s="45"/>
    </row>
    <row r="11194">
      <c r="A11194" s="40" t="str">
        <f t="shared" si="1"/>
        <v/>
      </c>
      <c r="B11194" s="37" t="str">
        <f t="array" ref="B11194">iferror(xlookup($I11194, 'IMPORT VHC Report'!$E:$E, 'IMPORT VHC Report'!$A:$C), )</f>
        <v/>
      </c>
      <c r="C11194" s="44"/>
      <c r="D11194" s="44"/>
      <c r="L11194" s="45"/>
      <c r="N11194" s="45"/>
    </row>
    <row r="11195">
      <c r="A11195" s="40" t="str">
        <f t="shared" si="1"/>
        <v/>
      </c>
      <c r="B11195" s="37" t="str">
        <f t="array" ref="B11195">iferror(xlookup($I11195, 'IMPORT VHC Report'!$E:$E, 'IMPORT VHC Report'!$A:$C), )</f>
        <v/>
      </c>
      <c r="C11195" s="44"/>
      <c r="D11195" s="44"/>
      <c r="L11195" s="45"/>
      <c r="N11195" s="45"/>
    </row>
    <row r="11196">
      <c r="A11196" s="40" t="str">
        <f t="shared" si="1"/>
        <v/>
      </c>
      <c r="B11196" s="37" t="str">
        <f t="array" ref="B11196">iferror(xlookup($I11196, 'IMPORT VHC Report'!$E:$E, 'IMPORT VHC Report'!$A:$C), )</f>
        <v/>
      </c>
      <c r="C11196" s="44"/>
      <c r="D11196" s="44"/>
      <c r="L11196" s="45"/>
      <c r="N11196" s="45"/>
    </row>
    <row r="11197">
      <c r="A11197" s="40" t="str">
        <f t="shared" si="1"/>
        <v/>
      </c>
      <c r="B11197" s="37" t="str">
        <f t="array" ref="B11197">iferror(xlookup($I11197, 'IMPORT VHC Report'!$E:$E, 'IMPORT VHC Report'!$A:$C), )</f>
        <v/>
      </c>
      <c r="C11197" s="44"/>
      <c r="D11197" s="44"/>
      <c r="L11197" s="45"/>
      <c r="N11197" s="45"/>
    </row>
    <row r="11198">
      <c r="A11198" s="40" t="str">
        <f t="shared" si="1"/>
        <v/>
      </c>
      <c r="B11198" s="37" t="str">
        <f t="array" ref="B11198">iferror(xlookup($I11198, 'IMPORT VHC Report'!$E:$E, 'IMPORT VHC Report'!$A:$C), )</f>
        <v/>
      </c>
      <c r="C11198" s="44"/>
      <c r="D11198" s="44"/>
      <c r="L11198" s="45"/>
      <c r="N11198" s="45"/>
    </row>
    <row r="11199">
      <c r="A11199" s="40" t="str">
        <f t="shared" si="1"/>
        <v/>
      </c>
      <c r="B11199" s="37" t="str">
        <f t="array" ref="B11199">iferror(xlookup($I11199, 'IMPORT VHC Report'!$E:$E, 'IMPORT VHC Report'!$A:$C), )</f>
        <v/>
      </c>
      <c r="C11199" s="44"/>
      <c r="D11199" s="44"/>
      <c r="L11199" s="45"/>
      <c r="N11199" s="45"/>
    </row>
    <row r="11200">
      <c r="A11200" s="40" t="str">
        <f t="shared" si="1"/>
        <v/>
      </c>
      <c r="B11200" s="37" t="str">
        <f t="array" ref="B11200">iferror(xlookup($I11200, 'IMPORT VHC Report'!$E:$E, 'IMPORT VHC Report'!$A:$C), )</f>
        <v/>
      </c>
      <c r="C11200" s="44"/>
      <c r="D11200" s="44"/>
      <c r="L11200" s="45"/>
      <c r="N11200" s="45"/>
    </row>
    <row r="11201">
      <c r="A11201" s="40" t="str">
        <f t="shared" si="1"/>
        <v/>
      </c>
      <c r="B11201" s="37" t="str">
        <f t="array" ref="B11201">iferror(xlookup($I11201, 'IMPORT VHC Report'!$E:$E, 'IMPORT VHC Report'!$A:$C), )</f>
        <v/>
      </c>
      <c r="C11201" s="44"/>
      <c r="D11201" s="44"/>
      <c r="L11201" s="45"/>
      <c r="N11201" s="45"/>
    </row>
    <row r="11202">
      <c r="A11202" s="40" t="str">
        <f t="shared" si="1"/>
        <v/>
      </c>
      <c r="B11202" s="37" t="str">
        <f t="array" ref="B11202">iferror(xlookup($I11202, 'IMPORT VHC Report'!$E:$E, 'IMPORT VHC Report'!$A:$C), )</f>
        <v/>
      </c>
      <c r="C11202" s="44"/>
      <c r="D11202" s="44"/>
      <c r="L11202" s="45"/>
      <c r="N11202" s="45"/>
    </row>
    <row r="11203">
      <c r="A11203" s="40" t="str">
        <f t="shared" si="1"/>
        <v/>
      </c>
      <c r="B11203" s="37" t="str">
        <f t="array" ref="B11203">iferror(xlookup($I11203, 'IMPORT VHC Report'!$E:$E, 'IMPORT VHC Report'!$A:$C), )</f>
        <v/>
      </c>
      <c r="C11203" s="44"/>
      <c r="D11203" s="44"/>
      <c r="L11203" s="45"/>
      <c r="N11203" s="45"/>
    </row>
    <row r="11204">
      <c r="A11204" s="40" t="str">
        <f t="shared" si="1"/>
        <v/>
      </c>
      <c r="B11204" s="37" t="str">
        <f t="array" ref="B11204">iferror(xlookup($I11204, 'IMPORT VHC Report'!$E:$E, 'IMPORT VHC Report'!$A:$C), )</f>
        <v/>
      </c>
      <c r="C11204" s="44"/>
      <c r="D11204" s="44"/>
      <c r="L11204" s="45"/>
      <c r="N11204" s="45"/>
    </row>
    <row r="11205">
      <c r="A11205" s="40" t="str">
        <f t="shared" si="1"/>
        <v/>
      </c>
      <c r="B11205" s="37" t="str">
        <f t="array" ref="B11205">iferror(xlookup($I11205, 'IMPORT VHC Report'!$E:$E, 'IMPORT VHC Report'!$A:$C), )</f>
        <v/>
      </c>
      <c r="C11205" s="44"/>
      <c r="D11205" s="44"/>
      <c r="L11205" s="45"/>
      <c r="N11205" s="45"/>
    </row>
    <row r="11206">
      <c r="A11206" s="40" t="str">
        <f t="shared" si="1"/>
        <v/>
      </c>
      <c r="B11206" s="37" t="str">
        <f t="array" ref="B11206">iferror(xlookup($I11206, 'IMPORT VHC Report'!$E:$E, 'IMPORT VHC Report'!$A:$C), )</f>
        <v/>
      </c>
      <c r="C11206" s="44"/>
      <c r="D11206" s="44"/>
      <c r="L11206" s="45"/>
      <c r="N11206" s="45"/>
    </row>
    <row r="11207">
      <c r="A11207" s="40" t="str">
        <f t="shared" si="1"/>
        <v/>
      </c>
      <c r="B11207" s="37" t="str">
        <f t="array" ref="B11207">iferror(xlookup($I11207, 'IMPORT VHC Report'!$E:$E, 'IMPORT VHC Report'!$A:$C), )</f>
        <v/>
      </c>
      <c r="C11207" s="44"/>
      <c r="D11207" s="44"/>
      <c r="L11207" s="45"/>
      <c r="N11207" s="45"/>
    </row>
    <row r="11208">
      <c r="A11208" s="40" t="str">
        <f t="shared" si="1"/>
        <v/>
      </c>
      <c r="B11208" s="37" t="str">
        <f t="array" ref="B11208">iferror(xlookup($I11208, 'IMPORT VHC Report'!$E:$E, 'IMPORT VHC Report'!$A:$C), )</f>
        <v/>
      </c>
      <c r="C11208" s="44"/>
      <c r="D11208" s="44"/>
      <c r="L11208" s="45"/>
      <c r="N11208" s="45"/>
    </row>
    <row r="11209">
      <c r="A11209" s="40" t="str">
        <f t="shared" si="1"/>
        <v/>
      </c>
      <c r="B11209" s="37" t="str">
        <f t="array" ref="B11209">iferror(xlookup($I11209, 'IMPORT VHC Report'!$E:$E, 'IMPORT VHC Report'!$A:$C), )</f>
        <v/>
      </c>
      <c r="C11209" s="44"/>
      <c r="D11209" s="44"/>
      <c r="L11209" s="45"/>
      <c r="N11209" s="45"/>
    </row>
    <row r="11210">
      <c r="A11210" s="40" t="str">
        <f t="shared" si="1"/>
        <v/>
      </c>
      <c r="B11210" s="37" t="str">
        <f t="array" ref="B11210">iferror(xlookup($I11210, 'IMPORT VHC Report'!$E:$E, 'IMPORT VHC Report'!$A:$C), )</f>
        <v/>
      </c>
      <c r="C11210" s="44"/>
      <c r="D11210" s="44"/>
      <c r="L11210" s="45"/>
      <c r="N11210" s="45"/>
    </row>
    <row r="11211">
      <c r="A11211" s="40" t="str">
        <f t="shared" si="1"/>
        <v/>
      </c>
      <c r="B11211" s="37" t="str">
        <f t="array" ref="B11211">iferror(xlookup($I11211, 'IMPORT VHC Report'!$E:$E, 'IMPORT VHC Report'!$A:$C), )</f>
        <v/>
      </c>
      <c r="C11211" s="44"/>
      <c r="D11211" s="44"/>
      <c r="L11211" s="45"/>
      <c r="N11211" s="45"/>
    </row>
    <row r="11212">
      <c r="A11212" s="40" t="str">
        <f t="shared" si="1"/>
        <v/>
      </c>
      <c r="B11212" s="37" t="str">
        <f t="array" ref="B11212">iferror(xlookup($I11212, 'IMPORT VHC Report'!$E:$E, 'IMPORT VHC Report'!$A:$C), )</f>
        <v/>
      </c>
      <c r="C11212" s="44"/>
      <c r="D11212" s="44"/>
      <c r="L11212" s="45"/>
      <c r="N11212" s="45"/>
    </row>
    <row r="11213">
      <c r="A11213" s="40" t="str">
        <f t="shared" si="1"/>
        <v/>
      </c>
      <c r="B11213" s="37" t="str">
        <f t="array" ref="B11213">iferror(xlookup($I11213, 'IMPORT VHC Report'!$E:$E, 'IMPORT VHC Report'!$A:$C), )</f>
        <v/>
      </c>
      <c r="C11213" s="44"/>
      <c r="D11213" s="44"/>
      <c r="L11213" s="45"/>
      <c r="N11213" s="45"/>
    </row>
    <row r="11214">
      <c r="A11214" s="40" t="str">
        <f t="shared" si="1"/>
        <v/>
      </c>
      <c r="B11214" s="37" t="str">
        <f t="array" ref="B11214">iferror(xlookup($I11214, 'IMPORT VHC Report'!$E:$E, 'IMPORT VHC Report'!$A:$C), )</f>
        <v/>
      </c>
      <c r="C11214" s="44"/>
      <c r="D11214" s="44"/>
      <c r="L11214" s="45"/>
      <c r="N11214" s="45"/>
    </row>
    <row r="11215">
      <c r="A11215" s="40" t="str">
        <f t="shared" si="1"/>
        <v/>
      </c>
      <c r="B11215" s="37" t="str">
        <f t="array" ref="B11215">iferror(xlookup($I11215, 'IMPORT VHC Report'!$E:$E, 'IMPORT VHC Report'!$A:$C), )</f>
        <v/>
      </c>
      <c r="C11215" s="44"/>
      <c r="D11215" s="44"/>
      <c r="L11215" s="45"/>
      <c r="N11215" s="45"/>
    </row>
    <row r="11216">
      <c r="A11216" s="40" t="str">
        <f t="shared" si="1"/>
        <v/>
      </c>
      <c r="B11216" s="37" t="str">
        <f t="array" ref="B11216">iferror(xlookup($I11216, 'IMPORT VHC Report'!$E:$E, 'IMPORT VHC Report'!$A:$C), )</f>
        <v/>
      </c>
      <c r="C11216" s="44"/>
      <c r="D11216" s="44"/>
      <c r="L11216" s="45"/>
      <c r="N11216" s="45"/>
    </row>
    <row r="11217">
      <c r="A11217" s="40" t="str">
        <f t="shared" si="1"/>
        <v/>
      </c>
      <c r="B11217" s="37" t="str">
        <f t="array" ref="B11217">iferror(xlookup($I11217, 'IMPORT VHC Report'!$E:$E, 'IMPORT VHC Report'!$A:$C), )</f>
        <v/>
      </c>
      <c r="C11217" s="44"/>
      <c r="D11217" s="44"/>
      <c r="L11217" s="45"/>
      <c r="N11217" s="45"/>
    </row>
    <row r="11218">
      <c r="A11218" s="40" t="str">
        <f t="shared" si="1"/>
        <v/>
      </c>
      <c r="B11218" s="37" t="str">
        <f t="array" ref="B11218">iferror(xlookup($I11218, 'IMPORT VHC Report'!$E:$E, 'IMPORT VHC Report'!$A:$C), )</f>
        <v/>
      </c>
      <c r="C11218" s="44"/>
      <c r="D11218" s="44"/>
      <c r="L11218" s="45"/>
      <c r="N11218" s="45"/>
    </row>
    <row r="11219">
      <c r="A11219" s="40" t="str">
        <f t="shared" si="1"/>
        <v/>
      </c>
      <c r="B11219" s="37" t="str">
        <f t="array" ref="B11219">iferror(xlookup($I11219, 'IMPORT VHC Report'!$E:$E, 'IMPORT VHC Report'!$A:$C), )</f>
        <v/>
      </c>
      <c r="C11219" s="44"/>
      <c r="D11219" s="44"/>
      <c r="L11219" s="45"/>
      <c r="N11219" s="45"/>
    </row>
    <row r="11220">
      <c r="A11220" s="40" t="str">
        <f t="shared" si="1"/>
        <v/>
      </c>
      <c r="B11220" s="37" t="str">
        <f t="array" ref="B11220">iferror(xlookup($I11220, 'IMPORT VHC Report'!$E:$E, 'IMPORT VHC Report'!$A:$C), )</f>
        <v/>
      </c>
      <c r="C11220" s="44"/>
      <c r="D11220" s="44"/>
      <c r="L11220" s="45"/>
      <c r="N11220" s="45"/>
    </row>
    <row r="11221">
      <c r="A11221" s="40">
        <f t="shared" si="1"/>
        <v>46006</v>
      </c>
      <c r="B11221" s="37" t="str">
        <f t="array" ref="B11221">iferror(xlookup($I11221, 'IMPORT VHC Report'!$E:$E, 'IMPORT VHC Report'!$A:$C), )</f>
        <v/>
      </c>
      <c r="C11221" s="44"/>
      <c r="D11221" s="44"/>
      <c r="E11221" s="46" t="s">
        <v>151</v>
      </c>
      <c r="F11221" s="46" t="s">
        <v>119</v>
      </c>
      <c r="H11221" s="46" t="s">
        <v>120</v>
      </c>
      <c r="I11221" s="46" t="s">
        <v>121</v>
      </c>
      <c r="J11221" s="46" t="s">
        <v>152</v>
      </c>
      <c r="K11221" s="46" t="s">
        <v>153</v>
      </c>
      <c r="L11221" s="45">
        <v>46012.666666666664</v>
      </c>
      <c r="M11221" s="46" t="s">
        <v>123</v>
      </c>
      <c r="N11221" s="45">
        <v>46013.041666666664</v>
      </c>
      <c r="O11221" s="46" t="s">
        <v>123</v>
      </c>
      <c r="P11221" s="46">
        <v>32400.0</v>
      </c>
      <c r="Q11221" s="46">
        <v>28800.0</v>
      </c>
      <c r="R11221" s="46" t="s">
        <v>152</v>
      </c>
    </row>
    <row r="11222">
      <c r="A11222" s="40">
        <f t="shared" si="1"/>
        <v>46006</v>
      </c>
      <c r="B11222" s="37" t="str">
        <f t="array" ref="B11222">iferror(xlookup($I11222, 'IMPORT VHC Report'!$E:$E, 'IMPORT VHC Report'!$A:$C), )</f>
        <v/>
      </c>
      <c r="C11222" s="44"/>
      <c r="D11222" s="44"/>
      <c r="E11222" s="46" t="s">
        <v>154</v>
      </c>
      <c r="F11222" s="46" t="s">
        <v>119</v>
      </c>
      <c r="H11222" s="46" t="s">
        <v>120</v>
      </c>
      <c r="I11222" s="46" t="s">
        <v>121</v>
      </c>
      <c r="J11222" s="46" t="s">
        <v>122</v>
      </c>
      <c r="K11222" s="46" t="s">
        <v>63</v>
      </c>
      <c r="L11222" s="45">
        <v>46012.666666666664</v>
      </c>
      <c r="M11222" s="46" t="s">
        <v>123</v>
      </c>
      <c r="N11222" s="45">
        <v>46013.041666666664</v>
      </c>
      <c r="O11222" s="46" t="s">
        <v>123</v>
      </c>
      <c r="P11222" s="46">
        <v>32400.0</v>
      </c>
    </row>
    <row r="11223">
      <c r="A11223" s="40" t="str">
        <f t="shared" si="1"/>
        <v/>
      </c>
      <c r="B11223" s="37" t="str">
        <f t="array" ref="B11223">iferror(xlookup($I11223, 'IMPORT VHC Report'!$E:$E, 'IMPORT VHC Report'!$A:$C), )</f>
        <v/>
      </c>
      <c r="C11223" s="44"/>
      <c r="D11223" s="44"/>
      <c r="L11223" s="45"/>
      <c r="N11223" s="45"/>
    </row>
    <row r="11224">
      <c r="A11224" s="40" t="str">
        <f t="shared" si="1"/>
        <v/>
      </c>
      <c r="B11224" s="37" t="str">
        <f t="array" ref="B11224">iferror(xlookup($I11224, 'IMPORT VHC Report'!$E:$E, 'IMPORT VHC Report'!$A:$C), )</f>
        <v/>
      </c>
      <c r="C11224" s="44"/>
      <c r="D11224" s="44"/>
      <c r="L11224" s="45"/>
      <c r="N11224" s="45"/>
    </row>
    <row r="11225">
      <c r="A11225" s="40" t="str">
        <f t="shared" si="1"/>
        <v/>
      </c>
      <c r="B11225" s="37" t="str">
        <f t="array" ref="B11225">iferror(xlookup($I11225, 'IMPORT VHC Report'!$E:$E, 'IMPORT VHC Report'!$A:$C), )</f>
        <v/>
      </c>
      <c r="C11225" s="44"/>
      <c r="D11225" s="44"/>
      <c r="L11225" s="45"/>
      <c r="N11225" s="45"/>
    </row>
    <row r="11226">
      <c r="A11226" s="40" t="str">
        <f t="shared" si="1"/>
        <v/>
      </c>
      <c r="B11226" s="37" t="str">
        <f t="array" ref="B11226">iferror(xlookup($I11226, 'IMPORT VHC Report'!$E:$E, 'IMPORT VHC Report'!$A:$C), )</f>
        <v/>
      </c>
      <c r="C11226" s="44"/>
      <c r="D11226" s="44"/>
      <c r="L11226" s="45"/>
      <c r="N11226" s="45"/>
    </row>
    <row r="11227">
      <c r="A11227" s="40" t="str">
        <f t="shared" si="1"/>
        <v/>
      </c>
      <c r="B11227" s="37" t="str">
        <f t="array" ref="B11227">iferror(xlookup($I11227, 'IMPORT VHC Report'!$E:$E, 'IMPORT VHC Report'!$A:$C), )</f>
        <v/>
      </c>
      <c r="C11227" s="44"/>
      <c r="D11227" s="44"/>
      <c r="L11227" s="45"/>
      <c r="N11227" s="45"/>
    </row>
    <row r="11228">
      <c r="A11228" s="40" t="str">
        <f t="shared" si="1"/>
        <v/>
      </c>
      <c r="B11228" s="37" t="str">
        <f t="array" ref="B11228">iferror(xlookup($I11228, 'IMPORT VHC Report'!$E:$E, 'IMPORT VHC Report'!$A:$C), )</f>
        <v/>
      </c>
      <c r="C11228" s="44"/>
      <c r="D11228" s="44"/>
      <c r="L11228" s="45"/>
      <c r="N11228" s="45"/>
    </row>
    <row r="11229">
      <c r="A11229" s="40" t="str">
        <f t="shared" si="1"/>
        <v/>
      </c>
      <c r="B11229" s="37" t="str">
        <f t="array" ref="B11229">iferror(xlookup($I11229, 'IMPORT VHC Report'!$E:$E, 'IMPORT VHC Report'!$A:$C), )</f>
        <v/>
      </c>
      <c r="C11229" s="44"/>
      <c r="D11229" s="44"/>
      <c r="L11229" s="45"/>
      <c r="N11229" s="45"/>
    </row>
    <row r="11230">
      <c r="A11230" s="40" t="str">
        <f t="shared" si="1"/>
        <v/>
      </c>
      <c r="B11230" s="37" t="str">
        <f t="array" ref="B11230">iferror(xlookup($I11230, 'IMPORT VHC Report'!$E:$E, 'IMPORT VHC Report'!$A:$C), )</f>
        <v/>
      </c>
      <c r="C11230" s="44"/>
      <c r="D11230" s="44"/>
      <c r="L11230" s="45"/>
      <c r="N11230" s="45"/>
    </row>
    <row r="11231">
      <c r="A11231" s="40" t="str">
        <f t="shared" si="1"/>
        <v/>
      </c>
      <c r="B11231" s="37" t="str">
        <f t="array" ref="B11231">iferror(xlookup($I11231, 'IMPORT VHC Report'!$E:$E, 'IMPORT VHC Report'!$A:$C), )</f>
        <v/>
      </c>
      <c r="C11231" s="44"/>
      <c r="D11231" s="44"/>
      <c r="L11231" s="45"/>
      <c r="N11231" s="45"/>
    </row>
    <row r="11232">
      <c r="A11232" s="40" t="str">
        <f t="shared" si="1"/>
        <v/>
      </c>
      <c r="B11232" s="37" t="str">
        <f t="array" ref="B11232">iferror(xlookup($I11232, 'IMPORT VHC Report'!$E:$E, 'IMPORT VHC Report'!$A:$C), )</f>
        <v/>
      </c>
      <c r="C11232" s="44"/>
      <c r="D11232" s="44"/>
      <c r="L11232" s="45"/>
      <c r="N11232" s="45"/>
    </row>
    <row r="11233">
      <c r="A11233" s="40" t="str">
        <f t="shared" si="1"/>
        <v/>
      </c>
      <c r="B11233" s="37" t="str">
        <f t="array" ref="B11233">iferror(xlookup($I11233, 'IMPORT VHC Report'!$E:$E, 'IMPORT VHC Report'!$A:$C), )</f>
        <v/>
      </c>
      <c r="C11233" s="44"/>
      <c r="D11233" s="44"/>
      <c r="L11233" s="45"/>
      <c r="N11233" s="45"/>
    </row>
    <row r="11234">
      <c r="A11234" s="40" t="str">
        <f t="shared" si="1"/>
        <v/>
      </c>
      <c r="B11234" s="37" t="str">
        <f t="array" ref="B11234">iferror(xlookup($I11234, 'IMPORT VHC Report'!$E:$E, 'IMPORT VHC Report'!$A:$C), )</f>
        <v/>
      </c>
      <c r="C11234" s="44"/>
      <c r="D11234" s="44"/>
      <c r="L11234" s="45"/>
      <c r="N11234" s="45"/>
    </row>
    <row r="11235">
      <c r="A11235" s="40" t="str">
        <f t="shared" si="1"/>
        <v/>
      </c>
      <c r="B11235" s="37" t="str">
        <f t="array" ref="B11235">iferror(xlookup($I11235, 'IMPORT VHC Report'!$E:$E, 'IMPORT VHC Report'!$A:$C), )</f>
        <v/>
      </c>
      <c r="C11235" s="44"/>
      <c r="D11235" s="44"/>
      <c r="L11235" s="45"/>
      <c r="N11235" s="45"/>
    </row>
    <row r="11236">
      <c r="A11236" s="40" t="str">
        <f t="shared" si="1"/>
        <v/>
      </c>
      <c r="B11236" s="37" t="str">
        <f t="array" ref="B11236">iferror(xlookup($I11236, 'IMPORT VHC Report'!$E:$E, 'IMPORT VHC Report'!$A:$C), )</f>
        <v/>
      </c>
      <c r="C11236" s="44"/>
      <c r="D11236" s="44"/>
      <c r="L11236" s="45"/>
      <c r="N11236" s="45"/>
    </row>
    <row r="11237">
      <c r="A11237" s="40" t="str">
        <f t="shared" si="1"/>
        <v/>
      </c>
      <c r="B11237" s="37" t="str">
        <f t="array" ref="B11237">iferror(xlookup($I11237, 'IMPORT VHC Report'!$E:$E, 'IMPORT VHC Report'!$A:$C), )</f>
        <v/>
      </c>
      <c r="C11237" s="44"/>
      <c r="D11237" s="44"/>
      <c r="L11237" s="45"/>
      <c r="N11237" s="45"/>
    </row>
    <row r="11238">
      <c r="A11238" s="40" t="str">
        <f t="shared" si="1"/>
        <v/>
      </c>
      <c r="B11238" s="37" t="str">
        <f t="array" ref="B11238">iferror(xlookup($I11238, 'IMPORT VHC Report'!$E:$E, 'IMPORT VHC Report'!$A:$C), )</f>
        <v/>
      </c>
      <c r="C11238" s="44"/>
      <c r="D11238" s="44"/>
      <c r="L11238" s="45"/>
      <c r="N11238" s="45"/>
    </row>
    <row r="11239">
      <c r="A11239" s="40" t="str">
        <f t="shared" si="1"/>
        <v/>
      </c>
      <c r="B11239" s="37" t="str">
        <f t="array" ref="B11239">iferror(xlookup($I11239, 'IMPORT VHC Report'!$E:$E, 'IMPORT VHC Report'!$A:$C), )</f>
        <v/>
      </c>
      <c r="C11239" s="44"/>
      <c r="D11239" s="44"/>
      <c r="L11239" s="45"/>
      <c r="N11239" s="45"/>
    </row>
    <row r="11240">
      <c r="A11240" s="40" t="str">
        <f t="shared" si="1"/>
        <v/>
      </c>
      <c r="B11240" s="37" t="str">
        <f t="array" ref="B11240">iferror(xlookup($I11240, 'IMPORT VHC Report'!$E:$E, 'IMPORT VHC Report'!$A:$C), )</f>
        <v/>
      </c>
      <c r="C11240" s="44"/>
      <c r="D11240" s="44"/>
      <c r="L11240" s="45"/>
      <c r="N11240" s="45"/>
    </row>
    <row r="11241">
      <c r="A11241" s="40" t="str">
        <f t="shared" si="1"/>
        <v/>
      </c>
      <c r="B11241" s="37" t="str">
        <f t="array" ref="B11241">iferror(xlookup($I11241, 'IMPORT VHC Report'!$E:$E, 'IMPORT VHC Report'!$A:$C), )</f>
        <v/>
      </c>
      <c r="C11241" s="44"/>
      <c r="D11241" s="44"/>
      <c r="L11241" s="45"/>
      <c r="N11241" s="45"/>
    </row>
    <row r="11242">
      <c r="A11242" s="40" t="str">
        <f t="shared" si="1"/>
        <v/>
      </c>
      <c r="B11242" s="37" t="str">
        <f t="array" ref="B11242">iferror(xlookup($I11242, 'IMPORT VHC Report'!$E:$E, 'IMPORT VHC Report'!$A:$C), )</f>
        <v/>
      </c>
      <c r="C11242" s="44"/>
      <c r="D11242" s="44"/>
      <c r="L11242" s="45"/>
      <c r="N11242" s="45"/>
    </row>
    <row r="11243">
      <c r="A11243" s="40" t="str">
        <f t="shared" si="1"/>
        <v/>
      </c>
      <c r="B11243" s="37" t="str">
        <f t="array" ref="B11243">iferror(xlookup($I11243, 'IMPORT VHC Report'!$E:$E, 'IMPORT VHC Report'!$A:$C), )</f>
        <v/>
      </c>
      <c r="C11243" s="44"/>
      <c r="D11243" s="44"/>
      <c r="L11243" s="45"/>
      <c r="N11243" s="45"/>
    </row>
    <row r="11244">
      <c r="A11244" s="40" t="str">
        <f t="shared" si="1"/>
        <v/>
      </c>
      <c r="B11244" s="37" t="str">
        <f t="array" ref="B11244">iferror(xlookup($I11244, 'IMPORT VHC Report'!$E:$E, 'IMPORT VHC Report'!$A:$C), )</f>
        <v/>
      </c>
      <c r="C11244" s="44"/>
      <c r="D11244" s="44"/>
      <c r="L11244" s="45"/>
      <c r="N11244" s="45"/>
    </row>
    <row r="11245">
      <c r="A11245" s="40" t="str">
        <f t="shared" si="1"/>
        <v/>
      </c>
      <c r="B11245" s="37" t="str">
        <f t="array" ref="B11245">iferror(xlookup($I11245, 'IMPORT VHC Report'!$E:$E, 'IMPORT VHC Report'!$A:$C), )</f>
        <v/>
      </c>
      <c r="C11245" s="44"/>
      <c r="D11245" s="44"/>
      <c r="L11245" s="45"/>
      <c r="N11245" s="45"/>
    </row>
    <row r="11246">
      <c r="A11246" s="40" t="str">
        <f t="shared" si="1"/>
        <v/>
      </c>
      <c r="B11246" s="37" t="str">
        <f t="array" ref="B11246">iferror(xlookup($I11246, 'IMPORT VHC Report'!$E:$E, 'IMPORT VHC Report'!$A:$C), )</f>
        <v/>
      </c>
      <c r="C11246" s="44"/>
      <c r="D11246" s="44"/>
      <c r="L11246" s="45"/>
      <c r="N11246" s="45"/>
    </row>
    <row r="11247">
      <c r="A11247" s="40" t="str">
        <f t="shared" si="1"/>
        <v/>
      </c>
      <c r="B11247" s="37" t="str">
        <f t="array" ref="B11247">iferror(xlookup($I11247, 'IMPORT VHC Report'!$E:$E, 'IMPORT VHC Report'!$A:$C), )</f>
        <v/>
      </c>
      <c r="C11247" s="44"/>
      <c r="D11247" s="44"/>
      <c r="L11247" s="45"/>
      <c r="N11247" s="45"/>
    </row>
    <row r="11248">
      <c r="A11248" s="40">
        <f t="shared" si="1"/>
        <v>46006</v>
      </c>
      <c r="B11248" s="37" t="str">
        <f t="array" ref="B11248">iferror(xlookup($I11248, 'IMPORT VHC Report'!$E:$E, 'IMPORT VHC Report'!$A:$C), )</f>
        <v/>
      </c>
      <c r="C11248" s="44"/>
      <c r="D11248" s="44"/>
      <c r="E11248" s="46" t="s">
        <v>7878</v>
      </c>
      <c r="F11248" s="46" t="s">
        <v>1276</v>
      </c>
      <c r="G11248" s="46">
        <v>1.3475806334735E13</v>
      </c>
      <c r="H11248" s="46" t="s">
        <v>1277</v>
      </c>
      <c r="I11248" s="46" t="s">
        <v>1278</v>
      </c>
      <c r="J11248" s="46" t="s">
        <v>152</v>
      </c>
      <c r="K11248" s="46" t="s">
        <v>153</v>
      </c>
      <c r="L11248" s="45">
        <v>46012.875</v>
      </c>
      <c r="M11248" s="46" t="s">
        <v>123</v>
      </c>
      <c r="N11248" s="45">
        <v>46013.25</v>
      </c>
      <c r="O11248" s="46" t="s">
        <v>123</v>
      </c>
      <c r="P11248" s="46">
        <v>32400.0</v>
      </c>
      <c r="Q11248" s="46">
        <v>28800.0</v>
      </c>
      <c r="R11248" s="46" t="s">
        <v>7879</v>
      </c>
    </row>
    <row r="11249">
      <c r="A11249" s="40" t="str">
        <f t="shared" si="1"/>
        <v/>
      </c>
      <c r="B11249" s="37" t="str">
        <f t="array" ref="B11249">iferror(xlookup($I11249, 'IMPORT VHC Report'!$E:$E, 'IMPORT VHC Report'!$A:$C), )</f>
        <v/>
      </c>
      <c r="C11249" s="44"/>
      <c r="D11249" s="44"/>
      <c r="L11249" s="45"/>
      <c r="N11249" s="45"/>
    </row>
    <row r="11250">
      <c r="A11250" s="40" t="str">
        <f t="shared" si="1"/>
        <v/>
      </c>
      <c r="B11250" s="37" t="str">
        <f t="array" ref="B11250">iferror(xlookup($I11250, 'IMPORT VHC Report'!$E:$E, 'IMPORT VHC Report'!$A:$C), )</f>
        <v/>
      </c>
      <c r="C11250" s="44"/>
      <c r="D11250" s="44"/>
      <c r="L11250" s="45"/>
      <c r="N11250" s="45"/>
    </row>
    <row r="11251">
      <c r="A11251" s="40" t="str">
        <f t="shared" si="1"/>
        <v/>
      </c>
      <c r="B11251" s="37" t="str">
        <f t="array" ref="B11251">iferror(xlookup($I11251, 'IMPORT VHC Report'!$E:$E, 'IMPORT VHC Report'!$A:$C), )</f>
        <v/>
      </c>
      <c r="C11251" s="44"/>
      <c r="D11251" s="44"/>
      <c r="L11251" s="45"/>
      <c r="N11251" s="45"/>
    </row>
    <row r="11252">
      <c r="A11252" s="40" t="str">
        <f t="shared" si="1"/>
        <v/>
      </c>
      <c r="B11252" s="37" t="str">
        <f t="array" ref="B11252">iferror(xlookup($I11252, 'IMPORT VHC Report'!$E:$E, 'IMPORT VHC Report'!$A:$C), )</f>
        <v/>
      </c>
      <c r="C11252" s="44"/>
      <c r="D11252" s="44"/>
      <c r="L11252" s="45"/>
      <c r="N11252" s="45"/>
    </row>
    <row r="11253">
      <c r="A11253" s="40" t="str">
        <f t="shared" si="1"/>
        <v/>
      </c>
      <c r="B11253" s="37" t="str">
        <f t="array" ref="B11253">iferror(xlookup($I11253, 'IMPORT VHC Report'!$E:$E, 'IMPORT VHC Report'!$A:$C), )</f>
        <v/>
      </c>
      <c r="C11253" s="44"/>
      <c r="D11253" s="44"/>
      <c r="L11253" s="45"/>
      <c r="N11253" s="45"/>
    </row>
    <row r="11254">
      <c r="A11254" s="40" t="str">
        <f t="shared" si="1"/>
        <v/>
      </c>
      <c r="B11254" s="37" t="str">
        <f t="array" ref="B11254">iferror(xlookup($I11254, 'IMPORT VHC Report'!$E:$E, 'IMPORT VHC Report'!$A:$C), )</f>
        <v/>
      </c>
      <c r="C11254" s="44"/>
      <c r="D11254" s="44"/>
      <c r="L11254" s="45"/>
      <c r="N11254" s="45"/>
    </row>
    <row r="11255">
      <c r="A11255" s="40" t="str">
        <f t="shared" si="1"/>
        <v/>
      </c>
      <c r="B11255" s="37" t="str">
        <f t="array" ref="B11255">iferror(xlookup($I11255, 'IMPORT VHC Report'!$E:$E, 'IMPORT VHC Report'!$A:$C), )</f>
        <v/>
      </c>
      <c r="C11255" s="44"/>
      <c r="D11255" s="44"/>
      <c r="L11255" s="45"/>
      <c r="N11255" s="45"/>
    </row>
    <row r="11256">
      <c r="A11256" s="40" t="str">
        <f t="shared" si="1"/>
        <v/>
      </c>
      <c r="B11256" s="37" t="str">
        <f t="array" ref="B11256">iferror(xlookup($I11256, 'IMPORT VHC Report'!$E:$E, 'IMPORT VHC Report'!$A:$C), )</f>
        <v/>
      </c>
      <c r="C11256" s="44"/>
      <c r="D11256" s="44"/>
      <c r="L11256" s="45"/>
      <c r="N11256" s="45"/>
    </row>
    <row r="11257">
      <c r="A11257" s="40" t="str">
        <f t="shared" si="1"/>
        <v/>
      </c>
      <c r="B11257" s="37" t="str">
        <f t="array" ref="B11257">iferror(xlookup($I11257, 'IMPORT VHC Report'!$E:$E, 'IMPORT VHC Report'!$A:$C), )</f>
        <v/>
      </c>
      <c r="C11257" s="44"/>
      <c r="D11257" s="44"/>
      <c r="L11257" s="45"/>
      <c r="N11257" s="45"/>
    </row>
    <row r="11258">
      <c r="A11258" s="40" t="str">
        <f t="shared" si="1"/>
        <v/>
      </c>
      <c r="B11258" s="37" t="str">
        <f t="array" ref="B11258">iferror(xlookup($I11258, 'IMPORT VHC Report'!$E:$E, 'IMPORT VHC Report'!$A:$C), )</f>
        <v/>
      </c>
      <c r="C11258" s="44"/>
      <c r="D11258" s="44"/>
      <c r="L11258" s="45"/>
      <c r="N11258" s="45"/>
    </row>
    <row r="11259">
      <c r="A11259" s="40" t="str">
        <f t="shared" si="1"/>
        <v/>
      </c>
      <c r="B11259" s="37" t="str">
        <f t="array" ref="B11259">iferror(xlookup($I11259, 'IMPORT VHC Report'!$E:$E, 'IMPORT VHC Report'!$A:$C), )</f>
        <v/>
      </c>
      <c r="C11259" s="44"/>
      <c r="D11259" s="44"/>
      <c r="L11259" s="45"/>
      <c r="N11259" s="45"/>
    </row>
    <row r="11260">
      <c r="A11260" s="40" t="str">
        <f t="shared" si="1"/>
        <v/>
      </c>
      <c r="B11260" s="37" t="str">
        <f t="array" ref="B11260">iferror(xlookup($I11260, 'IMPORT VHC Report'!$E:$E, 'IMPORT VHC Report'!$A:$C), )</f>
        <v/>
      </c>
      <c r="C11260" s="44"/>
      <c r="D11260" s="44"/>
      <c r="L11260" s="45"/>
      <c r="N11260" s="45"/>
    </row>
    <row r="11261">
      <c r="A11261" s="40" t="str">
        <f t="shared" si="1"/>
        <v/>
      </c>
      <c r="B11261" s="37" t="str">
        <f t="array" ref="B11261">iferror(xlookup($I11261, 'IMPORT VHC Report'!$E:$E, 'IMPORT VHC Report'!$A:$C), )</f>
        <v/>
      </c>
      <c r="C11261" s="44"/>
      <c r="D11261" s="44"/>
      <c r="L11261" s="45"/>
      <c r="N11261" s="45"/>
    </row>
    <row r="11262">
      <c r="A11262" s="40" t="str">
        <f t="shared" si="1"/>
        <v/>
      </c>
      <c r="B11262" s="37" t="str">
        <f t="array" ref="B11262">iferror(xlookup($I11262, 'IMPORT VHC Report'!$E:$E, 'IMPORT VHC Report'!$A:$C), )</f>
        <v/>
      </c>
      <c r="C11262" s="44"/>
      <c r="D11262" s="44"/>
      <c r="L11262" s="45"/>
      <c r="N11262" s="45"/>
    </row>
    <row r="11263">
      <c r="A11263" s="40" t="str">
        <f t="shared" si="1"/>
        <v/>
      </c>
      <c r="B11263" s="37" t="str">
        <f t="array" ref="B11263">iferror(xlookup($I11263, 'IMPORT VHC Report'!$E:$E, 'IMPORT VHC Report'!$A:$C), )</f>
        <v/>
      </c>
      <c r="C11263" s="44"/>
      <c r="D11263" s="44"/>
      <c r="L11263" s="45"/>
      <c r="N11263" s="45"/>
    </row>
    <row r="11264">
      <c r="A11264" s="40" t="str">
        <f t="shared" si="1"/>
        <v/>
      </c>
      <c r="B11264" s="37" t="str">
        <f t="array" ref="B11264">iferror(xlookup($I11264, 'IMPORT VHC Report'!$E:$E, 'IMPORT VHC Report'!$A:$C), )</f>
        <v/>
      </c>
      <c r="C11264" s="44"/>
      <c r="D11264" s="44"/>
      <c r="L11264" s="45"/>
      <c r="N11264" s="45"/>
    </row>
    <row r="11265">
      <c r="A11265" s="40" t="str">
        <f t="shared" si="1"/>
        <v/>
      </c>
      <c r="B11265" s="37" t="str">
        <f t="array" ref="B11265">iferror(xlookup($I11265, 'IMPORT VHC Report'!$E:$E, 'IMPORT VHC Report'!$A:$C), )</f>
        <v/>
      </c>
      <c r="C11265" s="44"/>
      <c r="D11265" s="44"/>
      <c r="L11265" s="45"/>
      <c r="N11265" s="45"/>
    </row>
    <row r="11266">
      <c r="A11266" s="40" t="str">
        <f t="shared" si="1"/>
        <v/>
      </c>
      <c r="B11266" s="37" t="str">
        <f t="array" ref="B11266">iferror(xlookup($I11266, 'IMPORT VHC Report'!$E:$E, 'IMPORT VHC Report'!$A:$C), )</f>
        <v/>
      </c>
      <c r="C11266" s="44"/>
      <c r="D11266" s="44"/>
      <c r="L11266" s="45"/>
      <c r="N11266" s="45"/>
    </row>
    <row r="11267">
      <c r="A11267" s="40" t="str">
        <f t="shared" si="1"/>
        <v/>
      </c>
      <c r="B11267" s="37" t="str">
        <f t="array" ref="B11267">iferror(xlookup($I11267, 'IMPORT VHC Report'!$E:$E, 'IMPORT VHC Report'!$A:$C), )</f>
        <v/>
      </c>
      <c r="C11267" s="44"/>
      <c r="D11267" s="44"/>
      <c r="L11267" s="45"/>
      <c r="N11267" s="45"/>
    </row>
    <row r="11268">
      <c r="A11268" s="40" t="str">
        <f t="shared" si="1"/>
        <v/>
      </c>
      <c r="B11268" s="37" t="str">
        <f t="array" ref="B11268">iferror(xlookup($I11268, 'IMPORT VHC Report'!$E:$E, 'IMPORT VHC Report'!$A:$C), )</f>
        <v/>
      </c>
      <c r="C11268" s="44"/>
      <c r="D11268" s="44"/>
      <c r="L11268" s="45"/>
      <c r="N11268" s="45"/>
    </row>
    <row r="11269">
      <c r="A11269" s="40" t="str">
        <f t="shared" si="1"/>
        <v/>
      </c>
      <c r="B11269" s="37" t="str">
        <f t="array" ref="B11269">iferror(xlookup($I11269, 'IMPORT VHC Report'!$E:$E, 'IMPORT VHC Report'!$A:$C), )</f>
        <v/>
      </c>
      <c r="C11269" s="44"/>
      <c r="D11269" s="44"/>
      <c r="L11269" s="45"/>
      <c r="N11269" s="45"/>
    </row>
    <row r="11270">
      <c r="A11270" s="40" t="str">
        <f t="shared" si="1"/>
        <v/>
      </c>
      <c r="B11270" s="37" t="str">
        <f t="array" ref="B11270">iferror(xlookup($I11270, 'IMPORT VHC Report'!$E:$E, 'IMPORT VHC Report'!$A:$C), )</f>
        <v/>
      </c>
      <c r="C11270" s="44"/>
      <c r="D11270" s="44"/>
      <c r="L11270" s="45"/>
      <c r="N11270" s="45"/>
    </row>
    <row r="11271">
      <c r="A11271" s="40" t="str">
        <f t="shared" si="1"/>
        <v/>
      </c>
      <c r="B11271" s="37" t="str">
        <f t="array" ref="B11271">iferror(xlookup($I11271, 'IMPORT VHC Report'!$E:$E, 'IMPORT VHC Report'!$A:$C), )</f>
        <v/>
      </c>
      <c r="C11271" s="44"/>
      <c r="D11271" s="44"/>
      <c r="L11271" s="45"/>
      <c r="N11271" s="45"/>
    </row>
    <row r="11272">
      <c r="A11272" s="40" t="str">
        <f t="shared" si="1"/>
        <v/>
      </c>
      <c r="B11272" s="37" t="str">
        <f t="array" ref="B11272">iferror(xlookup($I11272, 'IMPORT VHC Report'!$E:$E, 'IMPORT VHC Report'!$A:$C), )</f>
        <v/>
      </c>
      <c r="C11272" s="44"/>
      <c r="D11272" s="44"/>
      <c r="L11272" s="45"/>
      <c r="N11272" s="45"/>
    </row>
    <row r="11273">
      <c r="A11273" s="40" t="str">
        <f t="shared" si="1"/>
        <v/>
      </c>
      <c r="B11273" s="37" t="str">
        <f t="array" ref="B11273">iferror(xlookup($I11273, 'IMPORT VHC Report'!$E:$E, 'IMPORT VHC Report'!$A:$C), )</f>
        <v/>
      </c>
      <c r="C11273" s="44"/>
      <c r="D11273" s="44"/>
      <c r="L11273" s="45"/>
      <c r="N11273" s="45"/>
    </row>
    <row r="11274">
      <c r="A11274" s="40" t="str">
        <f t="shared" si="1"/>
        <v/>
      </c>
      <c r="B11274" s="37" t="str">
        <f t="array" ref="B11274">iferror(xlookup($I11274, 'IMPORT VHC Report'!$E:$E, 'IMPORT VHC Report'!$A:$C), )</f>
        <v/>
      </c>
      <c r="C11274" s="44"/>
      <c r="D11274" s="44"/>
      <c r="L11274" s="45"/>
      <c r="N11274" s="45"/>
    </row>
    <row r="11275">
      <c r="A11275" s="40" t="str">
        <f t="shared" si="1"/>
        <v/>
      </c>
      <c r="B11275" s="37" t="str">
        <f t="array" ref="B11275">iferror(xlookup($I11275, 'IMPORT VHC Report'!$E:$E, 'IMPORT VHC Report'!$A:$C), )</f>
        <v/>
      </c>
      <c r="C11275" s="44"/>
      <c r="D11275" s="44"/>
      <c r="L11275" s="45"/>
      <c r="N11275" s="45"/>
    </row>
    <row r="11276">
      <c r="A11276" s="40" t="str">
        <f t="shared" si="1"/>
        <v/>
      </c>
      <c r="B11276" s="37" t="str">
        <f t="array" ref="B11276">iferror(xlookup($I11276, 'IMPORT VHC Report'!$E:$E, 'IMPORT VHC Report'!$A:$C), )</f>
        <v/>
      </c>
      <c r="C11276" s="44"/>
      <c r="D11276" s="44"/>
      <c r="L11276" s="45"/>
      <c r="N11276" s="45"/>
    </row>
    <row r="11277">
      <c r="A11277" s="40" t="str">
        <f t="shared" si="1"/>
        <v/>
      </c>
      <c r="B11277" s="37" t="str">
        <f t="array" ref="B11277">iferror(xlookup($I11277, 'IMPORT VHC Report'!$E:$E, 'IMPORT VHC Report'!$A:$C), )</f>
        <v/>
      </c>
      <c r="C11277" s="44"/>
      <c r="D11277" s="44"/>
      <c r="L11277" s="45"/>
      <c r="N11277" s="45"/>
    </row>
    <row r="11278">
      <c r="A11278" s="40" t="str">
        <f t="shared" si="1"/>
        <v/>
      </c>
      <c r="B11278" s="37" t="str">
        <f t="array" ref="B11278">iferror(xlookup($I11278, 'IMPORT VHC Report'!$E:$E, 'IMPORT VHC Report'!$A:$C), )</f>
        <v/>
      </c>
      <c r="C11278" s="44"/>
      <c r="D11278" s="44"/>
      <c r="L11278" s="45"/>
      <c r="N11278" s="45"/>
    </row>
    <row r="11279">
      <c r="A11279" s="40" t="str">
        <f t="shared" si="1"/>
        <v/>
      </c>
      <c r="B11279" s="37" t="str">
        <f t="array" ref="B11279">iferror(xlookup($I11279, 'IMPORT VHC Report'!$E:$E, 'IMPORT VHC Report'!$A:$C), )</f>
        <v/>
      </c>
      <c r="C11279" s="44"/>
      <c r="D11279" s="44"/>
      <c r="L11279" s="45"/>
      <c r="N11279" s="45"/>
    </row>
    <row r="11280">
      <c r="A11280" s="40" t="str">
        <f t="shared" si="1"/>
        <v/>
      </c>
      <c r="B11280" s="37" t="str">
        <f t="array" ref="B11280">iferror(xlookup($I11280, 'IMPORT VHC Report'!$E:$E, 'IMPORT VHC Report'!$A:$C), )</f>
        <v/>
      </c>
      <c r="C11280" s="44"/>
      <c r="D11280" s="44"/>
      <c r="L11280" s="45"/>
      <c r="N11280" s="45"/>
    </row>
    <row r="11281">
      <c r="A11281" s="40" t="str">
        <f t="shared" si="1"/>
        <v/>
      </c>
      <c r="B11281" s="37" t="str">
        <f t="array" ref="B11281">iferror(xlookup($I11281, 'IMPORT VHC Report'!$E:$E, 'IMPORT VHC Report'!$A:$C), )</f>
        <v/>
      </c>
      <c r="C11281" s="44"/>
      <c r="D11281" s="44"/>
      <c r="L11281" s="45"/>
      <c r="N11281" s="45"/>
    </row>
    <row r="11282">
      <c r="A11282" s="40" t="str">
        <f t="shared" si="1"/>
        <v/>
      </c>
      <c r="B11282" s="37" t="str">
        <f t="array" ref="B11282">iferror(xlookup($I11282, 'IMPORT VHC Report'!$E:$E, 'IMPORT VHC Report'!$A:$C), )</f>
        <v/>
      </c>
      <c r="C11282" s="44"/>
      <c r="D11282" s="44"/>
      <c r="L11282" s="45"/>
      <c r="N11282" s="45"/>
    </row>
    <row r="11283">
      <c r="A11283" s="40" t="str">
        <f t="shared" si="1"/>
        <v/>
      </c>
      <c r="B11283" s="37" t="str">
        <f t="array" ref="B11283">iferror(xlookup($I11283, 'IMPORT VHC Report'!$E:$E, 'IMPORT VHC Report'!$A:$C), )</f>
        <v/>
      </c>
      <c r="C11283" s="44"/>
      <c r="D11283" s="44"/>
      <c r="L11283" s="45"/>
      <c r="N11283" s="45"/>
    </row>
    <row r="11284">
      <c r="A11284" s="40" t="str">
        <f t="shared" si="1"/>
        <v/>
      </c>
      <c r="B11284" s="37" t="str">
        <f t="array" ref="B11284">iferror(xlookup($I11284, 'IMPORT VHC Report'!$E:$E, 'IMPORT VHC Report'!$A:$C), )</f>
        <v/>
      </c>
      <c r="C11284" s="44"/>
      <c r="D11284" s="44"/>
      <c r="L11284" s="45"/>
      <c r="N11284" s="45"/>
    </row>
    <row r="11285">
      <c r="A11285" s="40" t="str">
        <f t="shared" si="1"/>
        <v/>
      </c>
      <c r="B11285" s="37" t="str">
        <f t="array" ref="B11285">iferror(xlookup($I11285, 'IMPORT VHC Report'!$E:$E, 'IMPORT VHC Report'!$A:$C), )</f>
        <v/>
      </c>
      <c r="C11285" s="44"/>
      <c r="D11285" s="44"/>
      <c r="L11285" s="45"/>
      <c r="N11285" s="45"/>
    </row>
    <row r="11286">
      <c r="A11286" s="40" t="str">
        <f t="shared" si="1"/>
        <v/>
      </c>
      <c r="B11286" s="37" t="str">
        <f t="array" ref="B11286">iferror(xlookup($I11286, 'IMPORT VHC Report'!$E:$E, 'IMPORT VHC Report'!$A:$C), )</f>
        <v/>
      </c>
      <c r="C11286" s="44"/>
      <c r="D11286" s="44"/>
      <c r="L11286" s="45"/>
      <c r="N11286" s="45"/>
    </row>
    <row r="11287">
      <c r="A11287" s="40" t="str">
        <f t="shared" si="1"/>
        <v/>
      </c>
      <c r="B11287" s="37" t="str">
        <f t="array" ref="B11287">iferror(xlookup($I11287, 'IMPORT VHC Report'!$E:$E, 'IMPORT VHC Report'!$A:$C), )</f>
        <v/>
      </c>
      <c r="C11287" s="44"/>
      <c r="D11287" s="44"/>
      <c r="L11287" s="45"/>
      <c r="N11287" s="45"/>
    </row>
    <row r="11288">
      <c r="A11288" s="40" t="str">
        <f t="shared" si="1"/>
        <v/>
      </c>
      <c r="B11288" s="37" t="str">
        <f t="array" ref="B11288">iferror(xlookup($I11288, 'IMPORT VHC Report'!$E:$E, 'IMPORT VHC Report'!$A:$C), )</f>
        <v/>
      </c>
      <c r="C11288" s="44"/>
      <c r="D11288" s="44"/>
      <c r="L11288" s="45"/>
      <c r="N11288" s="45"/>
    </row>
    <row r="11289">
      <c r="A11289" s="40" t="str">
        <f t="shared" si="1"/>
        <v/>
      </c>
      <c r="B11289" s="37" t="str">
        <f t="array" ref="B11289">iferror(xlookup($I11289, 'IMPORT VHC Report'!$E:$E, 'IMPORT VHC Report'!$A:$C), )</f>
        <v/>
      </c>
      <c r="C11289" s="44"/>
      <c r="D11289" s="44"/>
      <c r="L11289" s="45"/>
      <c r="N11289" s="45"/>
    </row>
    <row r="11290">
      <c r="A11290" s="40" t="str">
        <f t="shared" si="1"/>
        <v/>
      </c>
      <c r="B11290" s="37" t="str">
        <f t="array" ref="B11290">iferror(xlookup($I11290, 'IMPORT VHC Report'!$E:$E, 'IMPORT VHC Report'!$A:$C), )</f>
        <v/>
      </c>
      <c r="C11290" s="44"/>
      <c r="D11290" s="44"/>
      <c r="L11290" s="45"/>
      <c r="N11290" s="45"/>
    </row>
    <row r="11291">
      <c r="A11291" s="40" t="str">
        <f t="shared" si="1"/>
        <v/>
      </c>
      <c r="B11291" s="37" t="str">
        <f t="array" ref="B11291">iferror(xlookup($I11291, 'IMPORT VHC Report'!$E:$E, 'IMPORT VHC Report'!$A:$C), )</f>
        <v/>
      </c>
      <c r="C11291" s="44"/>
      <c r="D11291" s="44"/>
      <c r="L11291" s="45"/>
      <c r="N11291" s="45"/>
    </row>
    <row r="11292">
      <c r="A11292" s="40" t="str">
        <f t="shared" si="1"/>
        <v/>
      </c>
      <c r="B11292" s="37" t="str">
        <f t="array" ref="B11292">iferror(xlookup($I11292, 'IMPORT VHC Report'!$E:$E, 'IMPORT VHC Report'!$A:$C), )</f>
        <v/>
      </c>
      <c r="C11292" s="44"/>
      <c r="D11292" s="44"/>
      <c r="L11292" s="45"/>
      <c r="N11292" s="45"/>
    </row>
    <row r="11293">
      <c r="A11293" s="40" t="str">
        <f t="shared" si="1"/>
        <v/>
      </c>
      <c r="B11293" s="37" t="str">
        <f t="array" ref="B11293">iferror(xlookup($I11293, 'IMPORT VHC Report'!$E:$E, 'IMPORT VHC Report'!$A:$C), )</f>
        <v/>
      </c>
      <c r="C11293" s="44"/>
      <c r="D11293" s="44"/>
      <c r="L11293" s="45"/>
      <c r="N11293" s="45"/>
    </row>
    <row r="11294">
      <c r="A11294" s="40" t="str">
        <f t="shared" si="1"/>
        <v/>
      </c>
      <c r="B11294" s="37" t="str">
        <f t="array" ref="B11294">iferror(xlookup($I11294, 'IMPORT VHC Report'!$E:$E, 'IMPORT VHC Report'!$A:$C), )</f>
        <v/>
      </c>
      <c r="C11294" s="44"/>
      <c r="D11294" s="44"/>
      <c r="L11294" s="45"/>
      <c r="N11294" s="45"/>
    </row>
    <row r="11295">
      <c r="A11295" s="40" t="str">
        <f t="shared" si="1"/>
        <v/>
      </c>
      <c r="B11295" s="37" t="str">
        <f t="array" ref="B11295">iferror(xlookup($I11295, 'IMPORT VHC Report'!$E:$E, 'IMPORT VHC Report'!$A:$C), )</f>
        <v/>
      </c>
      <c r="C11295" s="44"/>
      <c r="D11295" s="44"/>
      <c r="L11295" s="45"/>
      <c r="N11295" s="45"/>
    </row>
    <row r="11296">
      <c r="A11296" s="40" t="str">
        <f t="shared" si="1"/>
        <v/>
      </c>
      <c r="B11296" s="37" t="str">
        <f t="array" ref="B11296">iferror(xlookup($I11296, 'IMPORT VHC Report'!$E:$E, 'IMPORT VHC Report'!$A:$C), )</f>
        <v/>
      </c>
      <c r="C11296" s="44"/>
      <c r="D11296" s="44"/>
      <c r="L11296" s="45"/>
      <c r="N11296" s="45"/>
    </row>
    <row r="11297">
      <c r="A11297" s="40" t="str">
        <f t="shared" si="1"/>
        <v/>
      </c>
      <c r="B11297" s="37" t="str">
        <f t="array" ref="B11297">iferror(xlookup($I11297, 'IMPORT VHC Report'!$E:$E, 'IMPORT VHC Report'!$A:$C), )</f>
        <v/>
      </c>
      <c r="C11297" s="44"/>
      <c r="D11297" s="44"/>
      <c r="L11297" s="45"/>
      <c r="N11297" s="45"/>
    </row>
    <row r="11298">
      <c r="A11298" s="40" t="str">
        <f t="shared" si="1"/>
        <v/>
      </c>
      <c r="B11298" s="37" t="str">
        <f t="array" ref="B11298">iferror(xlookup($I11298, 'IMPORT VHC Report'!$E:$E, 'IMPORT VHC Report'!$A:$C), )</f>
        <v/>
      </c>
      <c r="C11298" s="44"/>
      <c r="D11298" s="44"/>
      <c r="L11298" s="45"/>
      <c r="N11298" s="45"/>
    </row>
    <row r="11299">
      <c r="A11299" s="40" t="str">
        <f t="shared" si="1"/>
        <v/>
      </c>
      <c r="B11299" s="37" t="str">
        <f t="array" ref="B11299">iferror(xlookup($I11299, 'IMPORT VHC Report'!$E:$E, 'IMPORT VHC Report'!$A:$C), )</f>
        <v/>
      </c>
      <c r="C11299" s="44"/>
      <c r="D11299" s="44"/>
      <c r="L11299" s="45"/>
      <c r="N11299" s="45"/>
    </row>
    <row r="11300">
      <c r="A11300" s="40" t="str">
        <f t="shared" si="1"/>
        <v/>
      </c>
      <c r="B11300" s="37" t="str">
        <f t="array" ref="B11300">iferror(xlookup($I11300, 'IMPORT VHC Report'!$E:$E, 'IMPORT VHC Report'!$A:$C), )</f>
        <v/>
      </c>
      <c r="C11300" s="44"/>
      <c r="D11300" s="44"/>
      <c r="L11300" s="45"/>
      <c r="N11300" s="45"/>
    </row>
    <row r="11301">
      <c r="A11301" s="40" t="str">
        <f t="shared" si="1"/>
        <v/>
      </c>
      <c r="B11301" s="37" t="str">
        <f t="array" ref="B11301">iferror(xlookup($I11301, 'IMPORT VHC Report'!$E:$E, 'IMPORT VHC Report'!$A:$C), )</f>
        <v/>
      </c>
      <c r="C11301" s="44"/>
      <c r="D11301" s="44"/>
      <c r="L11301" s="45"/>
      <c r="N11301" s="45"/>
    </row>
    <row r="11302">
      <c r="A11302" s="40" t="str">
        <f t="shared" si="1"/>
        <v/>
      </c>
      <c r="B11302" s="37" t="str">
        <f t="array" ref="B11302">iferror(xlookup($I11302, 'IMPORT VHC Report'!$E:$E, 'IMPORT VHC Report'!$A:$C), )</f>
        <v/>
      </c>
      <c r="C11302" s="44"/>
      <c r="D11302" s="44"/>
      <c r="L11302" s="45"/>
      <c r="N11302" s="45"/>
    </row>
    <row r="11303">
      <c r="A11303" s="40" t="str">
        <f t="shared" si="1"/>
        <v/>
      </c>
      <c r="B11303" s="37" t="str">
        <f t="array" ref="B11303">iferror(xlookup($I11303, 'IMPORT VHC Report'!$E:$E, 'IMPORT VHC Report'!$A:$C), )</f>
        <v/>
      </c>
      <c r="C11303" s="44"/>
      <c r="D11303" s="44"/>
      <c r="L11303" s="45"/>
      <c r="N11303" s="45"/>
    </row>
    <row r="11304">
      <c r="A11304" s="40" t="str">
        <f t="shared" si="1"/>
        <v/>
      </c>
      <c r="B11304" s="37" t="str">
        <f t="array" ref="B11304">iferror(xlookup($I11304, 'IMPORT VHC Report'!$E:$E, 'IMPORT VHC Report'!$A:$C), )</f>
        <v/>
      </c>
      <c r="C11304" s="44"/>
      <c r="D11304" s="44"/>
      <c r="L11304" s="45"/>
      <c r="N11304" s="45"/>
    </row>
    <row r="11305">
      <c r="A11305" s="40" t="str">
        <f t="shared" si="1"/>
        <v/>
      </c>
      <c r="B11305" s="37" t="str">
        <f t="array" ref="B11305">iferror(xlookup($I11305, 'IMPORT VHC Report'!$E:$E, 'IMPORT VHC Report'!$A:$C), )</f>
        <v/>
      </c>
      <c r="C11305" s="44"/>
      <c r="D11305" s="44"/>
      <c r="L11305" s="45"/>
      <c r="N11305" s="45"/>
    </row>
    <row r="11306">
      <c r="A11306" s="40" t="str">
        <f t="shared" si="1"/>
        <v/>
      </c>
      <c r="B11306" s="37" t="str">
        <f t="array" ref="B11306">iferror(xlookup($I11306, 'IMPORT VHC Report'!$E:$E, 'IMPORT VHC Report'!$A:$C), )</f>
        <v/>
      </c>
      <c r="C11306" s="44"/>
      <c r="D11306" s="44"/>
      <c r="L11306" s="45"/>
      <c r="N11306" s="45"/>
    </row>
    <row r="11307">
      <c r="A11307" s="40" t="str">
        <f t="shared" si="1"/>
        <v/>
      </c>
      <c r="B11307" s="37" t="str">
        <f t="array" ref="B11307">iferror(xlookup($I11307, 'IMPORT VHC Report'!$E:$E, 'IMPORT VHC Report'!$A:$C), )</f>
        <v/>
      </c>
      <c r="C11307" s="44"/>
      <c r="D11307" s="44"/>
      <c r="L11307" s="45"/>
      <c r="N11307" s="45"/>
    </row>
    <row r="11308">
      <c r="A11308" s="40" t="str">
        <f t="shared" si="1"/>
        <v/>
      </c>
      <c r="B11308" s="37" t="str">
        <f t="array" ref="B11308">iferror(xlookup($I11308, 'IMPORT VHC Report'!$E:$E, 'IMPORT VHC Report'!$A:$C), )</f>
        <v/>
      </c>
      <c r="C11308" s="44"/>
      <c r="D11308" s="44"/>
      <c r="L11308" s="45"/>
      <c r="N11308" s="45"/>
    </row>
    <row r="11309">
      <c r="A11309" s="40" t="str">
        <f t="shared" si="1"/>
        <v/>
      </c>
      <c r="B11309" s="37" t="str">
        <f t="array" ref="B11309">iferror(xlookup($I11309, 'IMPORT VHC Report'!$E:$E, 'IMPORT VHC Report'!$A:$C), )</f>
        <v/>
      </c>
      <c r="C11309" s="44"/>
      <c r="D11309" s="44"/>
      <c r="L11309" s="45"/>
      <c r="N11309" s="45"/>
    </row>
    <row r="11310">
      <c r="A11310" s="40" t="str">
        <f t="shared" si="1"/>
        <v/>
      </c>
      <c r="B11310" s="37" t="str">
        <f t="array" ref="B11310">iferror(xlookup($I11310, 'IMPORT VHC Report'!$E:$E, 'IMPORT VHC Report'!$A:$C), )</f>
        <v/>
      </c>
      <c r="C11310" s="44"/>
      <c r="D11310" s="44"/>
      <c r="L11310" s="45"/>
      <c r="N11310" s="45"/>
    </row>
    <row r="11311">
      <c r="A11311" s="40" t="str">
        <f t="shared" si="1"/>
        <v/>
      </c>
      <c r="B11311" s="37" t="str">
        <f t="array" ref="B11311">iferror(xlookup($I11311, 'IMPORT VHC Report'!$E:$E, 'IMPORT VHC Report'!$A:$C), )</f>
        <v/>
      </c>
      <c r="C11311" s="44"/>
      <c r="D11311" s="44"/>
      <c r="L11311" s="45"/>
      <c r="N11311" s="45"/>
    </row>
    <row r="11312">
      <c r="A11312" s="40" t="str">
        <f t="shared" si="1"/>
        <v/>
      </c>
      <c r="B11312" s="37" t="str">
        <f t="array" ref="B11312">iferror(xlookup($I11312, 'IMPORT VHC Report'!$E:$E, 'IMPORT VHC Report'!$A:$C), )</f>
        <v/>
      </c>
      <c r="C11312" s="44"/>
      <c r="D11312" s="44"/>
      <c r="L11312" s="45"/>
      <c r="N11312" s="45"/>
    </row>
    <row r="11313">
      <c r="A11313" s="40" t="str">
        <f t="shared" si="1"/>
        <v/>
      </c>
      <c r="B11313" s="37" t="str">
        <f t="array" ref="B11313">iferror(xlookup($I11313, 'IMPORT VHC Report'!$E:$E, 'IMPORT VHC Report'!$A:$C), )</f>
        <v/>
      </c>
      <c r="C11313" s="44"/>
      <c r="D11313" s="44"/>
      <c r="L11313" s="45"/>
      <c r="N11313" s="45"/>
    </row>
    <row r="11314">
      <c r="A11314" s="40" t="str">
        <f t="shared" si="1"/>
        <v/>
      </c>
      <c r="B11314" s="37" t="str">
        <f t="array" ref="B11314">iferror(xlookup($I11314, 'IMPORT VHC Report'!$E:$E, 'IMPORT VHC Report'!$A:$C), )</f>
        <v/>
      </c>
      <c r="C11314" s="44"/>
      <c r="D11314" s="44"/>
      <c r="L11314" s="45"/>
      <c r="N11314" s="45"/>
    </row>
    <row r="11315">
      <c r="A11315" s="40" t="str">
        <f t="shared" si="1"/>
        <v/>
      </c>
      <c r="B11315" s="37" t="str">
        <f t="array" ref="B11315">iferror(xlookup($I11315, 'IMPORT VHC Report'!$E:$E, 'IMPORT VHC Report'!$A:$C), )</f>
        <v/>
      </c>
      <c r="C11315" s="44"/>
      <c r="D11315" s="44"/>
      <c r="L11315" s="45"/>
      <c r="N11315" s="45"/>
    </row>
    <row r="11316">
      <c r="A11316" s="40" t="str">
        <f t="shared" si="1"/>
        <v/>
      </c>
      <c r="B11316" s="37" t="str">
        <f t="array" ref="B11316">iferror(xlookup($I11316, 'IMPORT VHC Report'!$E:$E, 'IMPORT VHC Report'!$A:$C), )</f>
        <v/>
      </c>
      <c r="C11316" s="44"/>
      <c r="D11316" s="44"/>
      <c r="L11316" s="45"/>
      <c r="N11316" s="45"/>
    </row>
    <row r="11317">
      <c r="A11317" s="40" t="str">
        <f t="shared" si="1"/>
        <v/>
      </c>
      <c r="B11317" s="37" t="str">
        <f t="array" ref="B11317">iferror(xlookup($I11317, 'IMPORT VHC Report'!$E:$E, 'IMPORT VHC Report'!$A:$C), )</f>
        <v/>
      </c>
      <c r="C11317" s="44"/>
      <c r="D11317" s="44"/>
      <c r="L11317" s="45"/>
      <c r="N11317" s="45"/>
    </row>
    <row r="11318">
      <c r="A11318" s="40" t="str">
        <f t="shared" si="1"/>
        <v/>
      </c>
      <c r="B11318" s="37" t="str">
        <f t="array" ref="B11318">iferror(xlookup($I11318, 'IMPORT VHC Report'!$E:$E, 'IMPORT VHC Report'!$A:$C), )</f>
        <v/>
      </c>
      <c r="C11318" s="44"/>
      <c r="D11318" s="44"/>
      <c r="L11318" s="45"/>
      <c r="N11318" s="45"/>
    </row>
    <row r="11319">
      <c r="A11319" s="40" t="str">
        <f t="shared" si="1"/>
        <v/>
      </c>
      <c r="B11319" s="37" t="str">
        <f t="array" ref="B11319">iferror(xlookup($I11319, 'IMPORT VHC Report'!$E:$E, 'IMPORT VHC Report'!$A:$C), )</f>
        <v/>
      </c>
      <c r="C11319" s="44"/>
      <c r="D11319" s="44"/>
      <c r="L11319" s="45"/>
      <c r="N11319" s="45"/>
    </row>
    <row r="11320">
      <c r="A11320" s="40" t="str">
        <f t="shared" si="1"/>
        <v/>
      </c>
      <c r="B11320" s="37" t="str">
        <f t="array" ref="B11320">iferror(xlookup($I11320, 'IMPORT VHC Report'!$E:$E, 'IMPORT VHC Report'!$A:$C), )</f>
        <v/>
      </c>
      <c r="C11320" s="44"/>
      <c r="D11320" s="44"/>
      <c r="L11320" s="45"/>
      <c r="N11320" s="45"/>
    </row>
    <row r="11321">
      <c r="A11321" s="40" t="str">
        <f t="shared" si="1"/>
        <v/>
      </c>
      <c r="B11321" s="37" t="str">
        <f t="array" ref="B11321">iferror(xlookup($I11321, 'IMPORT VHC Report'!$E:$E, 'IMPORT VHC Report'!$A:$C), )</f>
        <v/>
      </c>
      <c r="C11321" s="44"/>
      <c r="D11321" s="44"/>
      <c r="L11321" s="45"/>
      <c r="N11321" s="45"/>
    </row>
    <row r="11322">
      <c r="A11322" s="40" t="str">
        <f t="shared" si="1"/>
        <v/>
      </c>
      <c r="B11322" s="37" t="str">
        <f t="array" ref="B11322">iferror(xlookup($I11322, 'IMPORT VHC Report'!$E:$E, 'IMPORT VHC Report'!$A:$C), )</f>
        <v/>
      </c>
      <c r="C11322" s="44"/>
      <c r="D11322" s="44"/>
      <c r="L11322" s="45"/>
      <c r="N11322" s="45"/>
    </row>
    <row r="11323">
      <c r="A11323" s="40" t="str">
        <f t="shared" si="1"/>
        <v/>
      </c>
      <c r="B11323" s="37" t="str">
        <f t="array" ref="B11323">iferror(xlookup($I11323, 'IMPORT VHC Report'!$E:$E, 'IMPORT VHC Report'!$A:$C), )</f>
        <v/>
      </c>
      <c r="C11323" s="44"/>
      <c r="D11323" s="44"/>
      <c r="L11323" s="45"/>
      <c r="N11323" s="45"/>
    </row>
    <row r="11324">
      <c r="A11324" s="40" t="str">
        <f t="shared" si="1"/>
        <v/>
      </c>
      <c r="B11324" s="37" t="str">
        <f t="array" ref="B11324">iferror(xlookup($I11324, 'IMPORT VHC Report'!$E:$E, 'IMPORT VHC Report'!$A:$C), )</f>
        <v/>
      </c>
      <c r="C11324" s="44"/>
      <c r="D11324" s="44"/>
      <c r="L11324" s="45"/>
      <c r="N11324" s="45"/>
    </row>
    <row r="11325">
      <c r="A11325" s="40" t="str">
        <f t="shared" si="1"/>
        <v/>
      </c>
      <c r="B11325" s="37" t="str">
        <f t="array" ref="B11325">iferror(xlookup($I11325, 'IMPORT VHC Report'!$E:$E, 'IMPORT VHC Report'!$A:$C), )</f>
        <v/>
      </c>
      <c r="C11325" s="44"/>
      <c r="D11325" s="44"/>
      <c r="L11325" s="45"/>
      <c r="N11325" s="45"/>
    </row>
    <row r="11326">
      <c r="A11326" s="40" t="str">
        <f t="shared" si="1"/>
        <v/>
      </c>
      <c r="B11326" s="37" t="str">
        <f t="array" ref="B11326">iferror(xlookup($I11326, 'IMPORT VHC Report'!$E:$E, 'IMPORT VHC Report'!$A:$C), )</f>
        <v/>
      </c>
      <c r="C11326" s="44"/>
      <c r="D11326" s="44"/>
      <c r="L11326" s="45"/>
      <c r="N11326" s="45"/>
    </row>
    <row r="11327">
      <c r="A11327" s="40" t="str">
        <f t="shared" si="1"/>
        <v/>
      </c>
      <c r="B11327" s="37" t="str">
        <f t="array" ref="B11327">iferror(xlookup($I11327, 'IMPORT VHC Report'!$E:$E, 'IMPORT VHC Report'!$A:$C), )</f>
        <v/>
      </c>
      <c r="C11327" s="44"/>
      <c r="D11327" s="44"/>
      <c r="L11327" s="45"/>
      <c r="N11327" s="45"/>
    </row>
    <row r="11328">
      <c r="A11328" s="40" t="str">
        <f t="shared" si="1"/>
        <v/>
      </c>
      <c r="B11328" s="37" t="str">
        <f t="array" ref="B11328">iferror(xlookup($I11328, 'IMPORT VHC Report'!$E:$E, 'IMPORT VHC Report'!$A:$C), )</f>
        <v/>
      </c>
      <c r="C11328" s="44"/>
      <c r="D11328" s="44"/>
      <c r="L11328" s="45"/>
      <c r="N11328" s="45"/>
    </row>
    <row r="11329">
      <c r="A11329" s="40" t="str">
        <f t="shared" si="1"/>
        <v/>
      </c>
      <c r="B11329" s="37" t="str">
        <f t="array" ref="B11329">iferror(xlookup($I11329, 'IMPORT VHC Report'!$E:$E, 'IMPORT VHC Report'!$A:$C), )</f>
        <v/>
      </c>
      <c r="C11329" s="44"/>
      <c r="D11329" s="44"/>
      <c r="L11329" s="45"/>
      <c r="N11329" s="45"/>
    </row>
    <row r="11330">
      <c r="A11330" s="40" t="str">
        <f t="shared" si="1"/>
        <v/>
      </c>
      <c r="B11330" s="37" t="str">
        <f t="array" ref="B11330">iferror(xlookup($I11330, 'IMPORT VHC Report'!$E:$E, 'IMPORT VHC Report'!$A:$C), )</f>
        <v/>
      </c>
      <c r="C11330" s="44"/>
      <c r="D11330" s="44"/>
      <c r="L11330" s="45"/>
      <c r="N11330" s="45"/>
    </row>
    <row r="11331">
      <c r="A11331" s="40" t="str">
        <f t="shared" si="1"/>
        <v/>
      </c>
      <c r="B11331" s="37" t="str">
        <f t="array" ref="B11331">iferror(xlookup($I11331, 'IMPORT VHC Report'!$E:$E, 'IMPORT VHC Report'!$A:$C), )</f>
        <v/>
      </c>
      <c r="C11331" s="44"/>
      <c r="D11331" s="44"/>
      <c r="L11331" s="45"/>
      <c r="N11331" s="45"/>
    </row>
    <row r="11332">
      <c r="A11332" s="40" t="str">
        <f t="shared" si="1"/>
        <v/>
      </c>
      <c r="B11332" s="37" t="str">
        <f t="array" ref="B11332">iferror(xlookup($I11332, 'IMPORT VHC Report'!$E:$E, 'IMPORT VHC Report'!$A:$C), )</f>
        <v/>
      </c>
      <c r="C11332" s="44"/>
      <c r="D11332" s="44"/>
      <c r="L11332" s="45"/>
      <c r="N11332" s="45"/>
    </row>
    <row r="11333">
      <c r="A11333" s="40" t="str">
        <f t="shared" si="1"/>
        <v/>
      </c>
      <c r="B11333" s="37" t="str">
        <f t="array" ref="B11333">iferror(xlookup($I11333, 'IMPORT VHC Report'!$E:$E, 'IMPORT VHC Report'!$A:$C), )</f>
        <v/>
      </c>
      <c r="C11333" s="44"/>
      <c r="D11333" s="44"/>
      <c r="L11333" s="45"/>
      <c r="N11333" s="45"/>
    </row>
    <row r="11334">
      <c r="A11334" s="40" t="str">
        <f t="shared" si="1"/>
        <v/>
      </c>
      <c r="B11334" s="37" t="str">
        <f t="array" ref="B11334">iferror(xlookup($I11334, 'IMPORT VHC Report'!$E:$E, 'IMPORT VHC Report'!$A:$C), )</f>
        <v/>
      </c>
      <c r="C11334" s="44"/>
      <c r="D11334" s="44"/>
      <c r="L11334" s="45"/>
      <c r="N11334" s="45"/>
    </row>
    <row r="11335">
      <c r="A11335" s="40" t="str">
        <f t="shared" si="1"/>
        <v/>
      </c>
      <c r="B11335" s="37" t="str">
        <f t="array" ref="B11335">iferror(xlookup($I11335, 'IMPORT VHC Report'!$E:$E, 'IMPORT VHC Report'!$A:$C), )</f>
        <v/>
      </c>
      <c r="C11335" s="44"/>
      <c r="D11335" s="44"/>
      <c r="L11335" s="45"/>
      <c r="N11335" s="45"/>
    </row>
    <row r="11336">
      <c r="A11336" s="40" t="str">
        <f t="shared" si="1"/>
        <v/>
      </c>
      <c r="B11336" s="37" t="str">
        <f t="array" ref="B11336">iferror(xlookup($I11336, 'IMPORT VHC Report'!$E:$E, 'IMPORT VHC Report'!$A:$C), )</f>
        <v/>
      </c>
      <c r="C11336" s="44"/>
      <c r="D11336" s="44"/>
      <c r="L11336" s="45"/>
      <c r="N11336" s="45"/>
    </row>
    <row r="11337">
      <c r="A11337" s="40" t="str">
        <f t="shared" si="1"/>
        <v/>
      </c>
      <c r="B11337" s="37" t="str">
        <f t="array" ref="B11337">iferror(xlookup($I11337, 'IMPORT VHC Report'!$E:$E, 'IMPORT VHC Report'!$A:$C), )</f>
        <v/>
      </c>
      <c r="C11337" s="44"/>
      <c r="D11337" s="44"/>
      <c r="L11337" s="45"/>
      <c r="N11337" s="45"/>
    </row>
    <row r="11338">
      <c r="A11338" s="40" t="str">
        <f t="shared" si="1"/>
        <v/>
      </c>
      <c r="B11338" s="37" t="str">
        <f t="array" ref="B11338">iferror(xlookup($I11338, 'IMPORT VHC Report'!$E:$E, 'IMPORT VHC Report'!$A:$C), )</f>
        <v/>
      </c>
      <c r="C11338" s="44"/>
      <c r="D11338" s="44"/>
      <c r="L11338" s="45"/>
      <c r="N11338" s="45"/>
    </row>
    <row r="11339">
      <c r="A11339" s="40" t="str">
        <f t="shared" si="1"/>
        <v/>
      </c>
      <c r="B11339" s="37" t="str">
        <f t="array" ref="B11339">iferror(xlookup($I11339, 'IMPORT VHC Report'!$E:$E, 'IMPORT VHC Report'!$A:$C), )</f>
        <v/>
      </c>
      <c r="C11339" s="44"/>
      <c r="D11339" s="44"/>
      <c r="L11339" s="45"/>
      <c r="N11339" s="45"/>
    </row>
    <row r="11340">
      <c r="A11340" s="40" t="str">
        <f t="shared" si="1"/>
        <v/>
      </c>
      <c r="B11340" s="37" t="str">
        <f t="array" ref="B11340">iferror(xlookup($I11340, 'IMPORT VHC Report'!$E:$E, 'IMPORT VHC Report'!$A:$C), )</f>
        <v/>
      </c>
      <c r="C11340" s="44"/>
      <c r="D11340" s="44"/>
      <c r="L11340" s="45"/>
      <c r="N11340" s="45"/>
    </row>
    <row r="11341">
      <c r="A11341" s="40" t="str">
        <f t="shared" si="1"/>
        <v/>
      </c>
      <c r="B11341" s="37" t="str">
        <f t="array" ref="B11341">iferror(xlookup($I11341, 'IMPORT VHC Report'!$E:$E, 'IMPORT VHC Report'!$A:$C), )</f>
        <v/>
      </c>
      <c r="C11341" s="44"/>
      <c r="D11341" s="44"/>
      <c r="L11341" s="45"/>
      <c r="N11341" s="45"/>
    </row>
    <row r="11342">
      <c r="A11342" s="40" t="str">
        <f t="shared" si="1"/>
        <v/>
      </c>
      <c r="B11342" s="37" t="str">
        <f t="array" ref="B11342">iferror(xlookup($I11342, 'IMPORT VHC Report'!$E:$E, 'IMPORT VHC Report'!$A:$C), )</f>
        <v/>
      </c>
      <c r="C11342" s="44"/>
      <c r="D11342" s="44"/>
      <c r="L11342" s="45"/>
      <c r="N11342" s="45"/>
    </row>
    <row r="11343">
      <c r="A11343" s="40" t="str">
        <f t="shared" si="1"/>
        <v/>
      </c>
      <c r="B11343" s="37" t="str">
        <f t="array" ref="B11343">iferror(xlookup($I11343, 'IMPORT VHC Report'!$E:$E, 'IMPORT VHC Report'!$A:$C), )</f>
        <v/>
      </c>
      <c r="C11343" s="44"/>
      <c r="D11343" s="44"/>
      <c r="L11343" s="45"/>
      <c r="N11343" s="45"/>
    </row>
    <row r="11344">
      <c r="A11344" s="40" t="str">
        <f t="shared" si="1"/>
        <v/>
      </c>
      <c r="B11344" s="37" t="str">
        <f t="array" ref="B11344">iferror(xlookup($I11344, 'IMPORT VHC Report'!$E:$E, 'IMPORT VHC Report'!$A:$C), )</f>
        <v/>
      </c>
      <c r="C11344" s="44"/>
      <c r="D11344" s="44"/>
      <c r="L11344" s="45"/>
      <c r="N11344" s="45"/>
    </row>
    <row r="11345">
      <c r="A11345" s="40" t="str">
        <f t="shared" si="1"/>
        <v/>
      </c>
      <c r="B11345" s="37" t="str">
        <f t="array" ref="B11345">iferror(xlookup($I11345, 'IMPORT VHC Report'!$E:$E, 'IMPORT VHC Report'!$A:$C), )</f>
        <v/>
      </c>
      <c r="C11345" s="44"/>
      <c r="D11345" s="44"/>
      <c r="L11345" s="45"/>
      <c r="N11345" s="45"/>
    </row>
    <row r="11346">
      <c r="A11346" s="40" t="str">
        <f t="shared" si="1"/>
        <v/>
      </c>
      <c r="B11346" s="37" t="str">
        <f t="array" ref="B11346">iferror(xlookup($I11346, 'IMPORT VHC Report'!$E:$E, 'IMPORT VHC Report'!$A:$C), )</f>
        <v/>
      </c>
      <c r="C11346" s="44"/>
      <c r="D11346" s="44"/>
      <c r="L11346" s="45"/>
      <c r="N11346" s="45"/>
    </row>
    <row r="11347">
      <c r="A11347" s="40" t="str">
        <f t="shared" si="1"/>
        <v/>
      </c>
      <c r="B11347" s="37" t="str">
        <f t="array" ref="B11347">iferror(xlookup($I11347, 'IMPORT VHC Report'!$E:$E, 'IMPORT VHC Report'!$A:$C), )</f>
        <v/>
      </c>
      <c r="C11347" s="44"/>
      <c r="D11347" s="44"/>
      <c r="L11347" s="45"/>
      <c r="N11347" s="45"/>
    </row>
    <row r="11348">
      <c r="A11348" s="40" t="str">
        <f t="shared" si="1"/>
        <v/>
      </c>
      <c r="B11348" s="37" t="str">
        <f t="array" ref="B11348">iferror(xlookup($I11348, 'IMPORT VHC Report'!$E:$E, 'IMPORT VHC Report'!$A:$C), )</f>
        <v/>
      </c>
      <c r="C11348" s="44"/>
      <c r="D11348" s="44"/>
      <c r="L11348" s="45"/>
      <c r="N11348" s="45"/>
    </row>
    <row r="11349">
      <c r="A11349" s="40" t="str">
        <f t="shared" si="1"/>
        <v/>
      </c>
      <c r="B11349" s="37" t="str">
        <f t="array" ref="B11349">iferror(xlookup($I11349, 'IMPORT VHC Report'!$E:$E, 'IMPORT VHC Report'!$A:$C), )</f>
        <v/>
      </c>
      <c r="C11349" s="44"/>
      <c r="D11349" s="44"/>
      <c r="L11349" s="45"/>
      <c r="N11349" s="45"/>
    </row>
    <row r="11350">
      <c r="A11350" s="40" t="str">
        <f t="shared" si="1"/>
        <v/>
      </c>
      <c r="B11350" s="37" t="str">
        <f t="array" ref="B11350">iferror(xlookup($I11350, 'IMPORT VHC Report'!$E:$E, 'IMPORT VHC Report'!$A:$C), )</f>
        <v/>
      </c>
      <c r="C11350" s="44"/>
      <c r="D11350" s="44"/>
      <c r="L11350" s="45"/>
      <c r="N11350" s="45"/>
    </row>
    <row r="11351">
      <c r="A11351" s="40" t="str">
        <f t="shared" si="1"/>
        <v/>
      </c>
      <c r="B11351" s="37" t="str">
        <f t="array" ref="B11351">iferror(xlookup($I11351, 'IMPORT VHC Report'!$E:$E, 'IMPORT VHC Report'!$A:$C), )</f>
        <v/>
      </c>
      <c r="C11351" s="44"/>
      <c r="D11351" s="44"/>
      <c r="L11351" s="45"/>
      <c r="N11351" s="45"/>
    </row>
    <row r="11352">
      <c r="A11352" s="40" t="str">
        <f t="shared" si="1"/>
        <v/>
      </c>
      <c r="B11352" s="37" t="str">
        <f t="array" ref="B11352">iferror(xlookup($I11352, 'IMPORT VHC Report'!$E:$E, 'IMPORT VHC Report'!$A:$C), )</f>
        <v/>
      </c>
      <c r="C11352" s="44"/>
      <c r="D11352" s="44"/>
      <c r="L11352" s="45"/>
      <c r="N11352" s="45"/>
    </row>
    <row r="11353">
      <c r="A11353" s="40" t="str">
        <f t="shared" si="1"/>
        <v/>
      </c>
      <c r="B11353" s="37" t="str">
        <f t="array" ref="B11353">iferror(xlookup($I11353, 'IMPORT VHC Report'!$E:$E, 'IMPORT VHC Report'!$A:$C), )</f>
        <v/>
      </c>
      <c r="C11353" s="44"/>
      <c r="D11353" s="44"/>
      <c r="L11353" s="45"/>
      <c r="N11353" s="45"/>
    </row>
    <row r="11354">
      <c r="A11354" s="40" t="str">
        <f t="shared" si="1"/>
        <v/>
      </c>
      <c r="B11354" s="37" t="str">
        <f t="array" ref="B11354">iferror(xlookup($I11354, 'IMPORT VHC Report'!$E:$E, 'IMPORT VHC Report'!$A:$C), )</f>
        <v/>
      </c>
      <c r="C11354" s="44"/>
      <c r="D11354" s="44"/>
      <c r="L11354" s="45"/>
      <c r="N11354" s="45"/>
    </row>
    <row r="11355">
      <c r="A11355" s="40" t="str">
        <f t="shared" si="1"/>
        <v/>
      </c>
      <c r="B11355" s="37" t="str">
        <f t="array" ref="B11355">iferror(xlookup($I11355, 'IMPORT VHC Report'!$E:$E, 'IMPORT VHC Report'!$A:$C), )</f>
        <v/>
      </c>
      <c r="C11355" s="44"/>
      <c r="D11355" s="44"/>
      <c r="L11355" s="45"/>
      <c r="N11355" s="45"/>
    </row>
    <row r="11356">
      <c r="A11356" s="40" t="str">
        <f t="shared" si="1"/>
        <v/>
      </c>
      <c r="B11356" s="37" t="str">
        <f t="array" ref="B11356">iferror(xlookup($I11356, 'IMPORT VHC Report'!$E:$E, 'IMPORT VHC Report'!$A:$C), )</f>
        <v/>
      </c>
      <c r="C11356" s="44"/>
      <c r="D11356" s="44"/>
      <c r="L11356" s="45"/>
      <c r="N11356" s="45"/>
    </row>
    <row r="11357">
      <c r="A11357" s="40" t="str">
        <f t="shared" si="1"/>
        <v/>
      </c>
      <c r="B11357" s="37" t="str">
        <f t="array" ref="B11357">iferror(xlookup($I11357, 'IMPORT VHC Report'!$E:$E, 'IMPORT VHC Report'!$A:$C), )</f>
        <v/>
      </c>
      <c r="C11357" s="44"/>
      <c r="D11357" s="44"/>
      <c r="L11357" s="45"/>
      <c r="N11357" s="45"/>
    </row>
    <row r="11358">
      <c r="A11358" s="40" t="str">
        <f t="shared" si="1"/>
        <v/>
      </c>
      <c r="B11358" s="37" t="str">
        <f t="array" ref="B11358">iferror(xlookup($I11358, 'IMPORT VHC Report'!$E:$E, 'IMPORT VHC Report'!$A:$C), )</f>
        <v/>
      </c>
      <c r="C11358" s="44"/>
      <c r="D11358" s="44"/>
      <c r="L11358" s="45"/>
      <c r="N11358" s="45"/>
    </row>
    <row r="11359">
      <c r="A11359" s="40" t="str">
        <f t="shared" si="1"/>
        <v/>
      </c>
      <c r="B11359" s="37" t="str">
        <f t="array" ref="B11359">iferror(xlookup($I11359, 'IMPORT VHC Report'!$E:$E, 'IMPORT VHC Report'!$A:$C), )</f>
        <v/>
      </c>
      <c r="C11359" s="44"/>
      <c r="D11359" s="44"/>
      <c r="L11359" s="45"/>
      <c r="N11359" s="45"/>
    </row>
    <row r="11360">
      <c r="A11360" s="40" t="str">
        <f t="shared" si="1"/>
        <v/>
      </c>
      <c r="B11360" s="37" t="str">
        <f t="array" ref="B11360">iferror(xlookup($I11360, 'IMPORT VHC Report'!$E:$E, 'IMPORT VHC Report'!$A:$C), )</f>
        <v/>
      </c>
      <c r="C11360" s="44"/>
      <c r="D11360" s="44"/>
      <c r="L11360" s="45"/>
      <c r="N11360" s="45"/>
    </row>
    <row r="11361">
      <c r="A11361" s="40" t="str">
        <f t="shared" si="1"/>
        <v/>
      </c>
      <c r="B11361" s="37" t="str">
        <f t="array" ref="B11361">iferror(xlookup($I11361, 'IMPORT VHC Report'!$E:$E, 'IMPORT VHC Report'!$A:$C), )</f>
        <v/>
      </c>
      <c r="C11361" s="44"/>
      <c r="D11361" s="44"/>
      <c r="L11361" s="45"/>
      <c r="N11361" s="45"/>
    </row>
    <row r="11362">
      <c r="A11362" s="40" t="str">
        <f t="shared" si="1"/>
        <v/>
      </c>
      <c r="B11362" s="37" t="str">
        <f t="array" ref="B11362">iferror(xlookup($I11362, 'IMPORT VHC Report'!$E:$E, 'IMPORT VHC Report'!$A:$C), )</f>
        <v/>
      </c>
      <c r="C11362" s="44"/>
      <c r="D11362" s="44"/>
      <c r="L11362" s="45"/>
      <c r="N11362" s="45"/>
    </row>
    <row r="11363">
      <c r="A11363" s="40" t="str">
        <f t="shared" si="1"/>
        <v/>
      </c>
      <c r="B11363" s="37" t="str">
        <f t="array" ref="B11363">iferror(xlookup($I11363, 'IMPORT VHC Report'!$E:$E, 'IMPORT VHC Report'!$A:$C), )</f>
        <v/>
      </c>
      <c r="C11363" s="44"/>
      <c r="D11363" s="44"/>
      <c r="L11363" s="45"/>
      <c r="N11363" s="45"/>
    </row>
    <row r="11364">
      <c r="A11364" s="40" t="str">
        <f t="shared" si="1"/>
        <v/>
      </c>
      <c r="B11364" s="37" t="str">
        <f t="array" ref="B11364">iferror(xlookup($I11364, 'IMPORT VHC Report'!$E:$E, 'IMPORT VHC Report'!$A:$C), )</f>
        <v/>
      </c>
      <c r="C11364" s="44"/>
      <c r="D11364" s="44"/>
      <c r="L11364" s="45"/>
      <c r="N11364" s="45"/>
    </row>
    <row r="11365">
      <c r="A11365" s="40" t="str">
        <f t="shared" si="1"/>
        <v/>
      </c>
      <c r="B11365" s="37" t="str">
        <f t="array" ref="B11365">iferror(xlookup($I11365, 'IMPORT VHC Report'!$E:$E, 'IMPORT VHC Report'!$A:$C), )</f>
        <v/>
      </c>
      <c r="C11365" s="44"/>
      <c r="D11365" s="44"/>
      <c r="L11365" s="45"/>
      <c r="N11365" s="45"/>
    </row>
    <row r="11366">
      <c r="A11366" s="40" t="str">
        <f t="shared" si="1"/>
        <v/>
      </c>
      <c r="B11366" s="37" t="str">
        <f t="array" ref="B11366">iferror(xlookup($I11366, 'IMPORT VHC Report'!$E:$E, 'IMPORT VHC Report'!$A:$C), )</f>
        <v/>
      </c>
      <c r="C11366" s="44"/>
      <c r="D11366" s="44"/>
      <c r="L11366" s="45"/>
      <c r="N11366" s="45"/>
    </row>
    <row r="11367">
      <c r="A11367" s="40" t="str">
        <f t="shared" si="1"/>
        <v/>
      </c>
      <c r="B11367" s="37" t="str">
        <f t="array" ref="B11367">iferror(xlookup($I11367, 'IMPORT VHC Report'!$E:$E, 'IMPORT VHC Report'!$A:$C), )</f>
        <v/>
      </c>
      <c r="C11367" s="44"/>
      <c r="D11367" s="44"/>
      <c r="L11367" s="45"/>
      <c r="N11367" s="45"/>
    </row>
    <row r="11368">
      <c r="A11368" s="40" t="str">
        <f t="shared" si="1"/>
        <v/>
      </c>
      <c r="B11368" s="37" t="str">
        <f t="array" ref="B11368">iferror(xlookup($I11368, 'IMPORT VHC Report'!$E:$E, 'IMPORT VHC Report'!$A:$C), )</f>
        <v/>
      </c>
      <c r="C11368" s="44"/>
      <c r="D11368" s="44"/>
      <c r="L11368" s="45"/>
      <c r="N11368" s="45"/>
    </row>
    <row r="11369">
      <c r="A11369" s="40" t="str">
        <f t="shared" si="1"/>
        <v/>
      </c>
      <c r="B11369" s="37" t="str">
        <f t="array" ref="B11369">iferror(xlookup($I11369, 'IMPORT VHC Report'!$E:$E, 'IMPORT VHC Report'!$A:$C), )</f>
        <v/>
      </c>
      <c r="C11369" s="44"/>
      <c r="D11369" s="44"/>
      <c r="L11369" s="45"/>
      <c r="N11369" s="45"/>
    </row>
    <row r="11370">
      <c r="A11370" s="40" t="str">
        <f t="shared" si="1"/>
        <v/>
      </c>
      <c r="B11370" s="37" t="str">
        <f t="array" ref="B11370">iferror(xlookup($I11370, 'IMPORT VHC Report'!$E:$E, 'IMPORT VHC Report'!$A:$C), )</f>
        <v/>
      </c>
      <c r="C11370" s="44"/>
      <c r="D11370" s="44"/>
      <c r="L11370" s="45"/>
      <c r="N11370" s="45"/>
    </row>
    <row r="11371">
      <c r="A11371" s="40" t="str">
        <f t="shared" si="1"/>
        <v/>
      </c>
      <c r="B11371" s="37" t="str">
        <f t="array" ref="B11371">iferror(xlookup($I11371, 'IMPORT VHC Report'!$E:$E, 'IMPORT VHC Report'!$A:$C), )</f>
        <v/>
      </c>
      <c r="C11371" s="44"/>
      <c r="D11371" s="44"/>
      <c r="L11371" s="45"/>
      <c r="N11371" s="45"/>
    </row>
    <row r="11372">
      <c r="A11372" s="40" t="str">
        <f t="shared" si="1"/>
        <v/>
      </c>
      <c r="B11372" s="37" t="str">
        <f t="array" ref="B11372">iferror(xlookup($I11372, 'IMPORT VHC Report'!$E:$E, 'IMPORT VHC Report'!$A:$C), )</f>
        <v/>
      </c>
      <c r="C11372" s="44"/>
      <c r="D11372" s="44"/>
      <c r="L11372" s="45"/>
      <c r="N11372" s="45"/>
    </row>
    <row r="11373">
      <c r="A11373" s="40" t="str">
        <f t="shared" si="1"/>
        <v/>
      </c>
      <c r="B11373" s="37" t="str">
        <f t="array" ref="B11373">iferror(xlookup($I11373, 'IMPORT VHC Report'!$E:$E, 'IMPORT VHC Report'!$A:$C), )</f>
        <v/>
      </c>
      <c r="C11373" s="44"/>
      <c r="D11373" s="44"/>
      <c r="L11373" s="45"/>
      <c r="N11373" s="45"/>
    </row>
    <row r="11374">
      <c r="A11374" s="40" t="str">
        <f t="shared" si="1"/>
        <v/>
      </c>
      <c r="B11374" s="37" t="str">
        <f t="array" ref="B11374">iferror(xlookup($I11374, 'IMPORT VHC Report'!$E:$E, 'IMPORT VHC Report'!$A:$C), )</f>
        <v/>
      </c>
      <c r="C11374" s="44"/>
      <c r="D11374" s="44"/>
      <c r="L11374" s="45"/>
      <c r="N11374" s="45"/>
    </row>
    <row r="11375">
      <c r="A11375" s="40" t="str">
        <f t="shared" si="1"/>
        <v/>
      </c>
      <c r="B11375" s="37" t="str">
        <f t="array" ref="B11375">iferror(xlookup($I11375, 'IMPORT VHC Report'!$E:$E, 'IMPORT VHC Report'!$A:$C), )</f>
        <v/>
      </c>
      <c r="C11375" s="44"/>
      <c r="D11375" s="44"/>
      <c r="L11375" s="45"/>
      <c r="N11375" s="45"/>
    </row>
    <row r="11376">
      <c r="A11376" s="40" t="str">
        <f t="shared" si="1"/>
        <v/>
      </c>
      <c r="B11376" s="37" t="str">
        <f t="array" ref="B11376">iferror(xlookup($I11376, 'IMPORT VHC Report'!$E:$E, 'IMPORT VHC Report'!$A:$C), )</f>
        <v/>
      </c>
      <c r="C11376" s="44"/>
      <c r="D11376" s="44"/>
      <c r="L11376" s="45"/>
      <c r="N11376" s="45"/>
    </row>
    <row r="11377">
      <c r="A11377" s="40" t="str">
        <f t="shared" si="1"/>
        <v/>
      </c>
      <c r="B11377" s="37" t="str">
        <f t="array" ref="B11377">iferror(xlookup($I11377, 'IMPORT VHC Report'!$E:$E, 'IMPORT VHC Report'!$A:$C), )</f>
        <v/>
      </c>
      <c r="C11377" s="44"/>
      <c r="D11377" s="44"/>
      <c r="L11377" s="45"/>
      <c r="N11377" s="45"/>
    </row>
    <row r="11378">
      <c r="A11378" s="40" t="str">
        <f t="shared" si="1"/>
        <v/>
      </c>
      <c r="B11378" s="37" t="str">
        <f t="array" ref="B11378">iferror(xlookup($I11378, 'IMPORT VHC Report'!$E:$E, 'IMPORT VHC Report'!$A:$C), )</f>
        <v/>
      </c>
      <c r="C11378" s="44"/>
      <c r="D11378" s="44"/>
      <c r="L11378" s="45"/>
      <c r="N11378" s="45"/>
    </row>
    <row r="11379">
      <c r="A11379" s="40" t="str">
        <f t="shared" si="1"/>
        <v/>
      </c>
      <c r="B11379" s="37" t="str">
        <f t="array" ref="B11379">iferror(xlookup($I11379, 'IMPORT VHC Report'!$E:$E, 'IMPORT VHC Report'!$A:$C), )</f>
        <v/>
      </c>
      <c r="C11379" s="44"/>
      <c r="D11379" s="44"/>
      <c r="L11379" s="45"/>
      <c r="N11379" s="45"/>
    </row>
    <row r="11380">
      <c r="A11380" s="40" t="str">
        <f t="shared" si="1"/>
        <v/>
      </c>
      <c r="B11380" s="37" t="str">
        <f t="array" ref="B11380">iferror(xlookup($I11380, 'IMPORT VHC Report'!$E:$E, 'IMPORT VHC Report'!$A:$C), )</f>
        <v/>
      </c>
      <c r="C11380" s="44"/>
      <c r="D11380" s="44"/>
      <c r="L11380" s="45"/>
      <c r="N11380" s="45"/>
    </row>
    <row r="11381">
      <c r="A11381" s="40" t="str">
        <f t="shared" si="1"/>
        <v/>
      </c>
      <c r="B11381" s="37" t="str">
        <f t="array" ref="B11381">iferror(xlookup($I11381, 'IMPORT VHC Report'!$E:$E, 'IMPORT VHC Report'!$A:$C), )</f>
        <v/>
      </c>
      <c r="C11381" s="44"/>
      <c r="D11381" s="44"/>
      <c r="L11381" s="45"/>
      <c r="N11381" s="45"/>
    </row>
    <row r="11382">
      <c r="A11382" s="40" t="str">
        <f t="shared" si="1"/>
        <v/>
      </c>
      <c r="B11382" s="37" t="str">
        <f t="array" ref="B11382">iferror(xlookup($I11382, 'IMPORT VHC Report'!$E:$E, 'IMPORT VHC Report'!$A:$C), )</f>
        <v/>
      </c>
      <c r="C11382" s="44"/>
      <c r="D11382" s="44"/>
      <c r="L11382" s="45"/>
      <c r="N11382" s="45"/>
    </row>
    <row r="11383">
      <c r="A11383" s="40" t="str">
        <f t="shared" si="1"/>
        <v/>
      </c>
      <c r="B11383" s="37" t="str">
        <f t="array" ref="B11383">iferror(xlookup($I11383, 'IMPORT VHC Report'!$E:$E, 'IMPORT VHC Report'!$A:$C), )</f>
        <v/>
      </c>
      <c r="C11383" s="44"/>
      <c r="D11383" s="44"/>
      <c r="L11383" s="45"/>
      <c r="N11383" s="45"/>
    </row>
    <row r="11384">
      <c r="A11384" s="40" t="str">
        <f t="shared" si="1"/>
        <v/>
      </c>
      <c r="B11384" s="37" t="str">
        <f t="array" ref="B11384">iferror(xlookup($I11384, 'IMPORT VHC Report'!$E:$E, 'IMPORT VHC Report'!$A:$C), )</f>
        <v/>
      </c>
      <c r="C11384" s="44"/>
      <c r="D11384" s="44"/>
      <c r="L11384" s="45"/>
      <c r="N11384" s="45"/>
    </row>
    <row r="11385">
      <c r="A11385" s="40" t="str">
        <f t="shared" si="1"/>
        <v/>
      </c>
      <c r="B11385" s="37" t="str">
        <f t="array" ref="B11385">iferror(xlookup($I11385, 'IMPORT VHC Report'!$E:$E, 'IMPORT VHC Report'!$A:$C), )</f>
        <v/>
      </c>
      <c r="C11385" s="44"/>
      <c r="D11385" s="44"/>
      <c r="L11385" s="45"/>
      <c r="N11385" s="45"/>
    </row>
    <row r="11386">
      <c r="A11386" s="40" t="str">
        <f t="shared" si="1"/>
        <v/>
      </c>
      <c r="B11386" s="37" t="str">
        <f t="array" ref="B11386">iferror(xlookup($I11386, 'IMPORT VHC Report'!$E:$E, 'IMPORT VHC Report'!$A:$C), )</f>
        <v/>
      </c>
      <c r="C11386" s="44"/>
      <c r="D11386" s="44"/>
      <c r="L11386" s="45"/>
      <c r="N11386" s="45"/>
    </row>
    <row r="11387">
      <c r="A11387" s="40" t="str">
        <f t="shared" si="1"/>
        <v/>
      </c>
      <c r="B11387" s="37" t="str">
        <f t="array" ref="B11387">iferror(xlookup($I11387, 'IMPORT VHC Report'!$E:$E, 'IMPORT VHC Report'!$A:$C), )</f>
        <v/>
      </c>
      <c r="C11387" s="44"/>
      <c r="D11387" s="44"/>
      <c r="L11387" s="45"/>
      <c r="N11387" s="45"/>
    </row>
    <row r="11388">
      <c r="A11388" s="40" t="str">
        <f t="shared" si="1"/>
        <v/>
      </c>
      <c r="B11388" s="37" t="str">
        <f t="array" ref="B11388">iferror(xlookup($I11388, 'IMPORT VHC Report'!$E:$E, 'IMPORT VHC Report'!$A:$C), )</f>
        <v/>
      </c>
      <c r="C11388" s="44"/>
      <c r="D11388" s="44"/>
      <c r="L11388" s="45"/>
      <c r="N11388" s="45"/>
    </row>
    <row r="11389">
      <c r="A11389" s="40" t="str">
        <f t="shared" si="1"/>
        <v/>
      </c>
      <c r="B11389" s="37" t="str">
        <f t="array" ref="B11389">iferror(xlookup($I11389, 'IMPORT VHC Report'!$E:$E, 'IMPORT VHC Report'!$A:$C), )</f>
        <v/>
      </c>
      <c r="C11389" s="44"/>
      <c r="D11389" s="44"/>
      <c r="L11389" s="45"/>
      <c r="N11389" s="45"/>
    </row>
    <row r="11390">
      <c r="A11390" s="40" t="str">
        <f t="shared" si="1"/>
        <v/>
      </c>
      <c r="B11390" s="37" t="str">
        <f t="array" ref="B11390">iferror(xlookup($I11390, 'IMPORT VHC Report'!$E:$E, 'IMPORT VHC Report'!$A:$C), )</f>
        <v/>
      </c>
      <c r="C11390" s="44"/>
      <c r="D11390" s="44"/>
      <c r="L11390" s="45"/>
      <c r="N11390" s="45"/>
    </row>
    <row r="11391">
      <c r="A11391" s="40" t="str">
        <f t="shared" si="1"/>
        <v/>
      </c>
      <c r="B11391" s="37" t="str">
        <f t="array" ref="B11391">iferror(xlookup($I11391, 'IMPORT VHC Report'!$E:$E, 'IMPORT VHC Report'!$A:$C), )</f>
        <v/>
      </c>
      <c r="C11391" s="44"/>
      <c r="D11391" s="44"/>
      <c r="L11391" s="45"/>
      <c r="N11391" s="45"/>
    </row>
    <row r="11392">
      <c r="A11392" s="40" t="str">
        <f t="shared" si="1"/>
        <v/>
      </c>
      <c r="B11392" s="37" t="str">
        <f t="array" ref="B11392">iferror(xlookup($I11392, 'IMPORT VHC Report'!$E:$E, 'IMPORT VHC Report'!$A:$C), )</f>
        <v/>
      </c>
      <c r="C11392" s="44"/>
      <c r="D11392" s="44"/>
      <c r="L11392" s="45"/>
      <c r="N11392" s="45"/>
    </row>
    <row r="11393">
      <c r="A11393" s="40" t="str">
        <f t="shared" si="1"/>
        <v/>
      </c>
      <c r="B11393" s="37" t="str">
        <f t="array" ref="B11393">iferror(xlookup($I11393, 'IMPORT VHC Report'!$E:$E, 'IMPORT VHC Report'!$A:$C), )</f>
        <v/>
      </c>
      <c r="C11393" s="44"/>
      <c r="D11393" s="44"/>
      <c r="L11393" s="45"/>
      <c r="N11393" s="45"/>
    </row>
    <row r="11394">
      <c r="A11394" s="40" t="str">
        <f t="shared" si="1"/>
        <v/>
      </c>
      <c r="B11394" s="37" t="str">
        <f t="array" ref="B11394">iferror(xlookup($I11394, 'IMPORT VHC Report'!$E:$E, 'IMPORT VHC Report'!$A:$C), )</f>
        <v/>
      </c>
      <c r="C11394" s="44"/>
      <c r="D11394" s="44"/>
      <c r="L11394" s="45"/>
      <c r="N11394" s="45"/>
    </row>
    <row r="11395">
      <c r="A11395" s="40" t="str">
        <f t="shared" si="1"/>
        <v/>
      </c>
      <c r="B11395" s="37" t="str">
        <f t="array" ref="B11395">iferror(xlookup($I11395, 'IMPORT VHC Report'!$E:$E, 'IMPORT VHC Report'!$A:$C), )</f>
        <v/>
      </c>
      <c r="C11395" s="44"/>
      <c r="D11395" s="44"/>
      <c r="L11395" s="45"/>
      <c r="N11395" s="45"/>
    </row>
    <row r="11396">
      <c r="A11396" s="40" t="str">
        <f t="shared" si="1"/>
        <v/>
      </c>
      <c r="B11396" s="37" t="str">
        <f t="array" ref="B11396">iferror(xlookup($I11396, 'IMPORT VHC Report'!$E:$E, 'IMPORT VHC Report'!$A:$C), )</f>
        <v/>
      </c>
      <c r="C11396" s="44"/>
      <c r="D11396" s="44"/>
      <c r="L11396" s="45"/>
      <c r="N11396" s="45"/>
    </row>
    <row r="11397">
      <c r="A11397" s="40" t="str">
        <f t="shared" si="1"/>
        <v/>
      </c>
      <c r="B11397" s="37" t="str">
        <f t="array" ref="B11397">iferror(xlookup($I11397, 'IMPORT VHC Report'!$E:$E, 'IMPORT VHC Report'!$A:$C), )</f>
        <v/>
      </c>
      <c r="C11397" s="44"/>
      <c r="D11397" s="44"/>
      <c r="L11397" s="45"/>
      <c r="N11397" s="45"/>
    </row>
    <row r="11398">
      <c r="A11398" s="40" t="str">
        <f t="shared" si="1"/>
        <v/>
      </c>
      <c r="B11398" s="37" t="str">
        <f t="array" ref="B11398">iferror(xlookup($I11398, 'IMPORT VHC Report'!$E:$E, 'IMPORT VHC Report'!$A:$C), )</f>
        <v/>
      </c>
      <c r="C11398" s="44"/>
      <c r="D11398" s="44"/>
      <c r="L11398" s="45"/>
      <c r="N11398" s="45"/>
    </row>
    <row r="11399">
      <c r="A11399" s="40" t="str">
        <f t="shared" si="1"/>
        <v/>
      </c>
      <c r="B11399" s="37" t="str">
        <f t="array" ref="B11399">iferror(xlookup($I11399, 'IMPORT VHC Report'!$E:$E, 'IMPORT VHC Report'!$A:$C), )</f>
        <v/>
      </c>
      <c r="C11399" s="44"/>
      <c r="D11399" s="44"/>
      <c r="L11399" s="45"/>
      <c r="N11399" s="45"/>
    </row>
    <row r="11400">
      <c r="A11400" s="40" t="str">
        <f t="shared" si="1"/>
        <v/>
      </c>
      <c r="B11400" s="37" t="str">
        <f t="array" ref="B11400">iferror(xlookup($I11400, 'IMPORT VHC Report'!$E:$E, 'IMPORT VHC Report'!$A:$C), )</f>
        <v/>
      </c>
      <c r="C11400" s="44"/>
      <c r="D11400" s="44"/>
      <c r="L11400" s="45"/>
      <c r="N11400" s="45"/>
    </row>
    <row r="11401">
      <c r="A11401" s="40" t="str">
        <f t="shared" si="1"/>
        <v/>
      </c>
      <c r="B11401" s="37" t="str">
        <f t="array" ref="B11401">iferror(xlookup($I11401, 'IMPORT VHC Report'!$E:$E, 'IMPORT VHC Report'!$A:$C), )</f>
        <v/>
      </c>
      <c r="C11401" s="44"/>
      <c r="D11401" s="44"/>
      <c r="L11401" s="45"/>
      <c r="N11401" s="45"/>
    </row>
    <row r="11402">
      <c r="A11402" s="40" t="str">
        <f t="shared" si="1"/>
        <v/>
      </c>
      <c r="B11402" s="37" t="str">
        <f t="array" ref="B11402">iferror(xlookup($I11402, 'IMPORT VHC Report'!$E:$E, 'IMPORT VHC Report'!$A:$C), )</f>
        <v/>
      </c>
      <c r="C11402" s="44"/>
      <c r="D11402" s="44"/>
      <c r="L11402" s="45"/>
      <c r="N11402" s="45"/>
    </row>
    <row r="11403">
      <c r="A11403" s="40" t="str">
        <f t="shared" si="1"/>
        <v/>
      </c>
      <c r="B11403" s="37" t="str">
        <f t="array" ref="B11403">iferror(xlookup($I11403, 'IMPORT VHC Report'!$E:$E, 'IMPORT VHC Report'!$A:$C), )</f>
        <v/>
      </c>
      <c r="C11403" s="44"/>
      <c r="D11403" s="44"/>
      <c r="L11403" s="45"/>
      <c r="N11403" s="45"/>
    </row>
    <row r="11404">
      <c r="A11404" s="40" t="str">
        <f t="shared" si="1"/>
        <v/>
      </c>
      <c r="B11404" s="37" t="str">
        <f t="array" ref="B11404">iferror(xlookup($I11404, 'IMPORT VHC Report'!$E:$E, 'IMPORT VHC Report'!$A:$C), )</f>
        <v/>
      </c>
      <c r="C11404" s="44"/>
      <c r="D11404" s="44"/>
      <c r="L11404" s="45"/>
      <c r="N11404" s="45"/>
    </row>
    <row r="11405">
      <c r="A11405" s="40" t="str">
        <f t="shared" si="1"/>
        <v/>
      </c>
      <c r="B11405" s="37" t="str">
        <f t="array" ref="B11405">iferror(xlookup($I11405, 'IMPORT VHC Report'!$E:$E, 'IMPORT VHC Report'!$A:$C), )</f>
        <v/>
      </c>
      <c r="C11405" s="44"/>
      <c r="D11405" s="44"/>
      <c r="L11405" s="45"/>
      <c r="N11405" s="45"/>
    </row>
    <row r="11406">
      <c r="A11406" s="40" t="str">
        <f t="shared" si="1"/>
        <v/>
      </c>
      <c r="B11406" s="37" t="str">
        <f t="array" ref="B11406">iferror(xlookup($I11406, 'IMPORT VHC Report'!$E:$E, 'IMPORT VHC Report'!$A:$C), )</f>
        <v/>
      </c>
      <c r="C11406" s="44"/>
      <c r="D11406" s="44"/>
      <c r="L11406" s="45"/>
      <c r="N11406" s="45"/>
    </row>
    <row r="11407">
      <c r="A11407" s="40" t="str">
        <f t="shared" si="1"/>
        <v/>
      </c>
      <c r="B11407" s="37" t="str">
        <f t="array" ref="B11407">iferror(xlookup($I11407, 'IMPORT VHC Report'!$E:$E, 'IMPORT VHC Report'!$A:$C), )</f>
        <v/>
      </c>
      <c r="C11407" s="44"/>
      <c r="D11407" s="44"/>
      <c r="L11407" s="45"/>
      <c r="N11407" s="45"/>
    </row>
    <row r="11408">
      <c r="A11408" s="40" t="str">
        <f t="shared" si="1"/>
        <v/>
      </c>
      <c r="B11408" s="37" t="str">
        <f t="array" ref="B11408">iferror(xlookup($I11408, 'IMPORT VHC Report'!$E:$E, 'IMPORT VHC Report'!$A:$C), )</f>
        <v/>
      </c>
      <c r="C11408" s="44"/>
      <c r="D11408" s="44"/>
      <c r="L11408" s="45"/>
      <c r="N11408" s="45"/>
    </row>
    <row r="11409">
      <c r="A11409" s="40" t="str">
        <f t="shared" si="1"/>
        <v/>
      </c>
      <c r="B11409" s="37" t="str">
        <f t="array" ref="B11409">iferror(xlookup($I11409, 'IMPORT VHC Report'!$E:$E, 'IMPORT VHC Report'!$A:$C), )</f>
        <v/>
      </c>
      <c r="C11409" s="44"/>
      <c r="D11409" s="44"/>
      <c r="L11409" s="45"/>
      <c r="N11409" s="45"/>
    </row>
    <row r="11410">
      <c r="A11410" s="40" t="str">
        <f t="shared" si="1"/>
        <v/>
      </c>
      <c r="B11410" s="37" t="str">
        <f t="array" ref="B11410">iferror(xlookup($I11410, 'IMPORT VHC Report'!$E:$E, 'IMPORT VHC Report'!$A:$C), )</f>
        <v/>
      </c>
      <c r="C11410" s="44"/>
      <c r="D11410" s="44"/>
      <c r="L11410" s="45"/>
      <c r="N11410" s="45"/>
    </row>
    <row r="11411">
      <c r="A11411" s="40" t="str">
        <f t="shared" si="1"/>
        <v/>
      </c>
      <c r="B11411" s="37" t="str">
        <f t="array" ref="B11411">iferror(xlookup($I11411, 'IMPORT VHC Report'!$E:$E, 'IMPORT VHC Report'!$A:$C), )</f>
        <v/>
      </c>
      <c r="C11411" s="44"/>
      <c r="D11411" s="44"/>
      <c r="L11411" s="45"/>
      <c r="N11411" s="45"/>
    </row>
    <row r="11412">
      <c r="A11412" s="40" t="str">
        <f t="shared" si="1"/>
        <v/>
      </c>
      <c r="B11412" s="37" t="str">
        <f t="array" ref="B11412">iferror(xlookup($I11412, 'IMPORT VHC Report'!$E:$E, 'IMPORT VHC Report'!$A:$C), )</f>
        <v/>
      </c>
      <c r="C11412" s="44"/>
      <c r="D11412" s="44"/>
      <c r="L11412" s="45"/>
      <c r="N11412" s="45"/>
    </row>
    <row r="11413">
      <c r="A11413" s="40" t="str">
        <f t="shared" si="1"/>
        <v/>
      </c>
      <c r="B11413" s="37" t="str">
        <f t="array" ref="B11413">iferror(xlookup($I11413, 'IMPORT VHC Report'!$E:$E, 'IMPORT VHC Report'!$A:$C), )</f>
        <v/>
      </c>
      <c r="C11413" s="44"/>
      <c r="D11413" s="44"/>
      <c r="L11413" s="45"/>
      <c r="N11413" s="45"/>
    </row>
    <row r="11414">
      <c r="A11414" s="40" t="str">
        <f t="shared" si="1"/>
        <v/>
      </c>
      <c r="B11414" s="37" t="str">
        <f t="array" ref="B11414">iferror(xlookup($I11414, 'IMPORT VHC Report'!$E:$E, 'IMPORT VHC Report'!$A:$C), )</f>
        <v/>
      </c>
      <c r="C11414" s="44"/>
      <c r="D11414" s="44"/>
      <c r="L11414" s="45"/>
      <c r="N11414" s="45"/>
    </row>
    <row r="11415">
      <c r="A11415" s="40" t="str">
        <f t="shared" si="1"/>
        <v/>
      </c>
      <c r="B11415" s="37" t="str">
        <f t="array" ref="B11415">iferror(xlookup($I11415, 'IMPORT VHC Report'!$E:$E, 'IMPORT VHC Report'!$A:$C), )</f>
        <v/>
      </c>
      <c r="C11415" s="44"/>
      <c r="D11415" s="44"/>
      <c r="L11415" s="45"/>
      <c r="N11415" s="45"/>
    </row>
    <row r="11416">
      <c r="A11416" s="40" t="str">
        <f t="shared" si="1"/>
        <v/>
      </c>
      <c r="B11416" s="37" t="str">
        <f t="array" ref="B11416">iferror(xlookup($I11416, 'IMPORT VHC Report'!$E:$E, 'IMPORT VHC Report'!$A:$C), )</f>
        <v/>
      </c>
      <c r="C11416" s="44"/>
      <c r="D11416" s="44"/>
      <c r="L11416" s="45"/>
      <c r="N11416" s="45"/>
    </row>
    <row r="11417">
      <c r="A11417" s="40" t="str">
        <f t="shared" si="1"/>
        <v/>
      </c>
      <c r="B11417" s="37" t="str">
        <f t="array" ref="B11417">iferror(xlookup($I11417, 'IMPORT VHC Report'!$E:$E, 'IMPORT VHC Report'!$A:$C), )</f>
        <v/>
      </c>
      <c r="C11417" s="44"/>
      <c r="D11417" s="44"/>
      <c r="L11417" s="45"/>
      <c r="N11417" s="45"/>
    </row>
    <row r="11418">
      <c r="A11418" s="40" t="str">
        <f t="shared" si="1"/>
        <v/>
      </c>
      <c r="B11418" s="37" t="str">
        <f t="array" ref="B11418">iferror(xlookup($I11418, 'IMPORT VHC Report'!$E:$E, 'IMPORT VHC Report'!$A:$C), )</f>
        <v/>
      </c>
      <c r="C11418" s="44"/>
      <c r="D11418" s="44"/>
      <c r="L11418" s="45"/>
      <c r="N11418" s="45"/>
    </row>
    <row r="11419">
      <c r="A11419" s="40" t="str">
        <f t="shared" si="1"/>
        <v/>
      </c>
      <c r="B11419" s="37" t="str">
        <f t="array" ref="B11419">iferror(xlookup($I11419, 'IMPORT VHC Report'!$E:$E, 'IMPORT VHC Report'!$A:$C), )</f>
        <v/>
      </c>
      <c r="C11419" s="44"/>
      <c r="D11419" s="44"/>
      <c r="L11419" s="45"/>
      <c r="N11419" s="45"/>
    </row>
    <row r="11420">
      <c r="A11420" s="40" t="str">
        <f t="shared" si="1"/>
        <v/>
      </c>
      <c r="B11420" s="37" t="str">
        <f t="array" ref="B11420">iferror(xlookup($I11420, 'IMPORT VHC Report'!$E:$E, 'IMPORT VHC Report'!$A:$C), )</f>
        <v/>
      </c>
      <c r="C11420" s="44"/>
      <c r="D11420" s="44"/>
      <c r="L11420" s="45"/>
      <c r="N11420" s="45"/>
    </row>
    <row r="11421">
      <c r="A11421" s="40" t="str">
        <f t="shared" si="1"/>
        <v/>
      </c>
      <c r="B11421" s="37" t="str">
        <f t="array" ref="B11421">iferror(xlookup($I11421, 'IMPORT VHC Report'!$E:$E, 'IMPORT VHC Report'!$A:$C), )</f>
        <v/>
      </c>
      <c r="C11421" s="44"/>
      <c r="D11421" s="44"/>
      <c r="L11421" s="45"/>
      <c r="N11421" s="45"/>
    </row>
    <row r="11422">
      <c r="A11422" s="40" t="str">
        <f t="shared" si="1"/>
        <v/>
      </c>
      <c r="B11422" s="37" t="str">
        <f t="array" ref="B11422">iferror(xlookup($I11422, 'IMPORT VHC Report'!$E:$E, 'IMPORT VHC Report'!$A:$C), )</f>
        <v/>
      </c>
      <c r="C11422" s="44"/>
      <c r="D11422" s="44"/>
      <c r="L11422" s="45"/>
      <c r="N11422" s="45"/>
    </row>
    <row r="11423">
      <c r="A11423" s="40" t="str">
        <f t="shared" si="1"/>
        <v/>
      </c>
      <c r="B11423" s="37" t="str">
        <f t="array" ref="B11423">iferror(xlookup($I11423, 'IMPORT VHC Report'!$E:$E, 'IMPORT VHC Report'!$A:$C), )</f>
        <v/>
      </c>
      <c r="C11423" s="44"/>
      <c r="D11423" s="44"/>
      <c r="L11423" s="45"/>
      <c r="N11423" s="45"/>
    </row>
    <row r="11424">
      <c r="A11424" s="40" t="str">
        <f t="shared" si="1"/>
        <v/>
      </c>
      <c r="B11424" s="37" t="str">
        <f t="array" ref="B11424">iferror(xlookup($I11424, 'IMPORT VHC Report'!$E:$E, 'IMPORT VHC Report'!$A:$C), )</f>
        <v/>
      </c>
      <c r="C11424" s="44"/>
      <c r="D11424" s="44"/>
      <c r="L11424" s="45"/>
      <c r="N11424" s="45"/>
    </row>
    <row r="11425">
      <c r="A11425" s="40" t="str">
        <f t="shared" si="1"/>
        <v/>
      </c>
      <c r="B11425" s="37" t="str">
        <f t="array" ref="B11425">iferror(xlookup($I11425, 'IMPORT VHC Report'!$E:$E, 'IMPORT VHC Report'!$A:$C), )</f>
        <v/>
      </c>
      <c r="C11425" s="44"/>
      <c r="D11425" s="44"/>
      <c r="L11425" s="45"/>
      <c r="N11425" s="45"/>
    </row>
    <row r="11426">
      <c r="A11426" s="40" t="str">
        <f t="shared" si="1"/>
        <v/>
      </c>
      <c r="B11426" s="37" t="str">
        <f t="array" ref="B11426">iferror(xlookup($I11426, 'IMPORT VHC Report'!$E:$E, 'IMPORT VHC Report'!$A:$C), )</f>
        <v/>
      </c>
      <c r="C11426" s="44"/>
      <c r="D11426" s="44"/>
      <c r="L11426" s="45"/>
      <c r="N11426" s="45"/>
    </row>
    <row r="11427">
      <c r="A11427" s="40" t="str">
        <f t="shared" si="1"/>
        <v/>
      </c>
      <c r="B11427" s="37" t="str">
        <f t="array" ref="B11427">iferror(xlookup($I11427, 'IMPORT VHC Report'!$E:$E, 'IMPORT VHC Report'!$A:$C), )</f>
        <v/>
      </c>
      <c r="C11427" s="44"/>
      <c r="D11427" s="44"/>
      <c r="L11427" s="45"/>
      <c r="N11427" s="45"/>
    </row>
    <row r="11428">
      <c r="A11428" s="40" t="str">
        <f t="shared" si="1"/>
        <v/>
      </c>
      <c r="B11428" s="37" t="str">
        <f t="array" ref="B11428">iferror(xlookup($I11428, 'IMPORT VHC Report'!$E:$E, 'IMPORT VHC Report'!$A:$C), )</f>
        <v/>
      </c>
      <c r="C11428" s="44"/>
      <c r="D11428" s="44"/>
      <c r="L11428" s="45"/>
      <c r="N11428" s="45"/>
    </row>
    <row r="11429">
      <c r="A11429" s="40" t="str">
        <f t="shared" si="1"/>
        <v/>
      </c>
      <c r="B11429" s="37" t="str">
        <f t="array" ref="B11429">iferror(xlookup($I11429, 'IMPORT VHC Report'!$E:$E, 'IMPORT VHC Report'!$A:$C), )</f>
        <v/>
      </c>
      <c r="C11429" s="44"/>
      <c r="D11429" s="44"/>
      <c r="L11429" s="45"/>
      <c r="N11429" s="45"/>
    </row>
    <row r="11430">
      <c r="A11430" s="40" t="str">
        <f t="shared" si="1"/>
        <v/>
      </c>
      <c r="B11430" s="37" t="str">
        <f t="array" ref="B11430">iferror(xlookup($I11430, 'IMPORT VHC Report'!$E:$E, 'IMPORT VHC Report'!$A:$C), )</f>
        <v/>
      </c>
      <c r="C11430" s="44"/>
      <c r="D11430" s="44"/>
      <c r="L11430" s="45"/>
      <c r="N11430" s="45"/>
    </row>
    <row r="11431">
      <c r="A11431" s="40" t="str">
        <f t="shared" si="1"/>
        <v/>
      </c>
      <c r="B11431" s="37" t="str">
        <f t="array" ref="B11431">iferror(xlookup($I11431, 'IMPORT VHC Report'!$E:$E, 'IMPORT VHC Report'!$A:$C), )</f>
        <v/>
      </c>
      <c r="C11431" s="44"/>
      <c r="D11431" s="44"/>
      <c r="L11431" s="45"/>
      <c r="N11431" s="45"/>
    </row>
    <row r="11432">
      <c r="A11432" s="40" t="str">
        <f t="shared" si="1"/>
        <v/>
      </c>
      <c r="B11432" s="37" t="str">
        <f t="array" ref="B11432">iferror(xlookup($I11432, 'IMPORT VHC Report'!$E:$E, 'IMPORT VHC Report'!$A:$C), )</f>
        <v/>
      </c>
      <c r="C11432" s="44"/>
      <c r="D11432" s="44"/>
      <c r="L11432" s="45"/>
      <c r="N11432" s="45"/>
    </row>
    <row r="11433">
      <c r="A11433" s="40" t="str">
        <f t="shared" si="1"/>
        <v/>
      </c>
      <c r="B11433" s="37" t="str">
        <f t="array" ref="B11433">iferror(xlookup($I11433, 'IMPORT VHC Report'!$E:$E, 'IMPORT VHC Report'!$A:$C), )</f>
        <v/>
      </c>
      <c r="C11433" s="44"/>
      <c r="D11433" s="44"/>
      <c r="L11433" s="45"/>
      <c r="N11433" s="45"/>
    </row>
    <row r="11434">
      <c r="A11434" s="40" t="str">
        <f t="shared" si="1"/>
        <v/>
      </c>
      <c r="B11434" s="37" t="str">
        <f t="array" ref="B11434">iferror(xlookup($I11434, 'IMPORT VHC Report'!$E:$E, 'IMPORT VHC Report'!$A:$C), )</f>
        <v/>
      </c>
      <c r="C11434" s="44"/>
      <c r="D11434" s="44"/>
      <c r="L11434" s="45"/>
      <c r="N11434" s="45"/>
    </row>
    <row r="11435">
      <c r="A11435" s="40" t="str">
        <f t="shared" si="1"/>
        <v/>
      </c>
      <c r="B11435" s="37" t="str">
        <f t="array" ref="B11435">iferror(xlookup($I11435, 'IMPORT VHC Report'!$E:$E, 'IMPORT VHC Report'!$A:$C), )</f>
        <v/>
      </c>
      <c r="C11435" s="44"/>
      <c r="D11435" s="44"/>
      <c r="L11435" s="45"/>
      <c r="N11435" s="45"/>
    </row>
    <row r="11436">
      <c r="A11436" s="40" t="str">
        <f t="shared" si="1"/>
        <v/>
      </c>
      <c r="B11436" s="37" t="str">
        <f t="array" ref="B11436">iferror(xlookup($I11436, 'IMPORT VHC Report'!$E:$E, 'IMPORT VHC Report'!$A:$C), )</f>
        <v/>
      </c>
      <c r="C11436" s="44"/>
      <c r="D11436" s="44"/>
      <c r="L11436" s="45"/>
      <c r="N11436" s="45"/>
    </row>
    <row r="11437">
      <c r="A11437" s="40" t="str">
        <f t="shared" si="1"/>
        <v/>
      </c>
      <c r="B11437" s="37" t="str">
        <f t="array" ref="B11437">iferror(xlookup($I11437, 'IMPORT VHC Report'!$E:$E, 'IMPORT VHC Report'!$A:$C), )</f>
        <v/>
      </c>
      <c r="C11437" s="44"/>
      <c r="D11437" s="44"/>
      <c r="L11437" s="45"/>
      <c r="N11437" s="45"/>
    </row>
    <row r="11438">
      <c r="A11438" s="40" t="str">
        <f t="shared" si="1"/>
        <v/>
      </c>
      <c r="B11438" s="37" t="str">
        <f t="array" ref="B11438">iferror(xlookup($I11438, 'IMPORT VHC Report'!$E:$E, 'IMPORT VHC Report'!$A:$C), )</f>
        <v/>
      </c>
      <c r="C11438" s="44"/>
      <c r="D11438" s="44"/>
      <c r="L11438" s="45"/>
      <c r="N11438" s="45"/>
    </row>
    <row r="11439">
      <c r="A11439" s="40" t="str">
        <f t="shared" si="1"/>
        <v/>
      </c>
      <c r="B11439" s="37" t="str">
        <f t="array" ref="B11439">iferror(xlookup($I11439, 'IMPORT VHC Report'!$E:$E, 'IMPORT VHC Report'!$A:$C), )</f>
        <v/>
      </c>
      <c r="C11439" s="44"/>
      <c r="D11439" s="44"/>
      <c r="L11439" s="45"/>
      <c r="N11439" s="45"/>
    </row>
    <row r="11440">
      <c r="A11440" s="40" t="str">
        <f t="shared" si="1"/>
        <v/>
      </c>
      <c r="B11440" s="37" t="str">
        <f t="array" ref="B11440">iferror(xlookup($I11440, 'IMPORT VHC Report'!$E:$E, 'IMPORT VHC Report'!$A:$C), )</f>
        <v/>
      </c>
      <c r="C11440" s="44"/>
      <c r="D11440" s="44"/>
      <c r="L11440" s="45"/>
      <c r="N11440" s="45"/>
    </row>
    <row r="11441">
      <c r="A11441" s="40" t="str">
        <f t="shared" si="1"/>
        <v/>
      </c>
      <c r="B11441" s="37" t="str">
        <f t="array" ref="B11441">iferror(xlookup($I11441, 'IMPORT VHC Report'!$E:$E, 'IMPORT VHC Report'!$A:$C), )</f>
        <v/>
      </c>
      <c r="C11441" s="44"/>
      <c r="D11441" s="44"/>
      <c r="L11441" s="45"/>
      <c r="N11441" s="45"/>
    </row>
    <row r="11442">
      <c r="A11442" s="40" t="str">
        <f t="shared" si="1"/>
        <v/>
      </c>
      <c r="B11442" s="37" t="str">
        <f t="array" ref="B11442">iferror(xlookup($I11442, 'IMPORT VHC Report'!$E:$E, 'IMPORT VHC Report'!$A:$C), )</f>
        <v/>
      </c>
      <c r="C11442" s="44"/>
      <c r="D11442" s="44"/>
      <c r="L11442" s="45"/>
      <c r="N11442" s="45"/>
    </row>
    <row r="11443">
      <c r="A11443" s="40" t="str">
        <f t="shared" si="1"/>
        <v/>
      </c>
      <c r="B11443" s="37" t="str">
        <f t="array" ref="B11443">iferror(xlookup($I11443, 'IMPORT VHC Report'!$E:$E, 'IMPORT VHC Report'!$A:$C), )</f>
        <v/>
      </c>
      <c r="C11443" s="44"/>
      <c r="D11443" s="44"/>
      <c r="L11443" s="45"/>
      <c r="N11443" s="45"/>
    </row>
    <row r="11444">
      <c r="A11444" s="40" t="str">
        <f t="shared" si="1"/>
        <v/>
      </c>
      <c r="B11444" s="37" t="str">
        <f t="array" ref="B11444">iferror(xlookup($I11444, 'IMPORT VHC Report'!$E:$E, 'IMPORT VHC Report'!$A:$C), )</f>
        <v/>
      </c>
      <c r="C11444" s="44"/>
      <c r="D11444" s="44"/>
      <c r="L11444" s="45"/>
      <c r="N11444" s="45"/>
    </row>
    <row r="11445">
      <c r="A11445" s="40" t="str">
        <f t="shared" si="1"/>
        <v/>
      </c>
      <c r="B11445" s="37" t="str">
        <f t="array" ref="B11445">iferror(xlookup($I11445, 'IMPORT VHC Report'!$E:$E, 'IMPORT VHC Report'!$A:$C), )</f>
        <v/>
      </c>
      <c r="C11445" s="44"/>
      <c r="D11445" s="44"/>
      <c r="L11445" s="45"/>
      <c r="N11445" s="45"/>
    </row>
    <row r="11446">
      <c r="A11446" s="40" t="str">
        <f t="shared" si="1"/>
        <v/>
      </c>
      <c r="B11446" s="37" t="str">
        <f t="array" ref="B11446">iferror(xlookup($I11446, 'IMPORT VHC Report'!$E:$E, 'IMPORT VHC Report'!$A:$C), )</f>
        <v/>
      </c>
      <c r="C11446" s="44"/>
      <c r="D11446" s="44"/>
      <c r="L11446" s="45"/>
      <c r="N11446" s="45"/>
    </row>
    <row r="11447">
      <c r="A11447" s="40" t="str">
        <f t="shared" si="1"/>
        <v/>
      </c>
      <c r="B11447" s="37" t="str">
        <f t="array" ref="B11447">iferror(xlookup($I11447, 'IMPORT VHC Report'!$E:$E, 'IMPORT VHC Report'!$A:$C), )</f>
        <v/>
      </c>
      <c r="C11447" s="44"/>
      <c r="D11447" s="44"/>
      <c r="L11447" s="45"/>
      <c r="N11447" s="45"/>
    </row>
    <row r="11448">
      <c r="A11448" s="40" t="str">
        <f t="shared" si="1"/>
        <v/>
      </c>
      <c r="B11448" s="37" t="str">
        <f t="array" ref="B11448">iferror(xlookup($I11448, 'IMPORT VHC Report'!$E:$E, 'IMPORT VHC Report'!$A:$C), )</f>
        <v/>
      </c>
      <c r="C11448" s="44"/>
      <c r="D11448" s="44"/>
      <c r="L11448" s="45"/>
      <c r="N11448" s="45"/>
    </row>
    <row r="11449">
      <c r="A11449" s="40" t="str">
        <f t="shared" si="1"/>
        <v/>
      </c>
      <c r="B11449" s="37" t="str">
        <f t="array" ref="B11449">iferror(xlookup($I11449, 'IMPORT VHC Report'!$E:$E, 'IMPORT VHC Report'!$A:$C), )</f>
        <v/>
      </c>
      <c r="C11449" s="44"/>
      <c r="D11449" s="44"/>
      <c r="L11449" s="45"/>
      <c r="N11449" s="45"/>
    </row>
    <row r="11450">
      <c r="A11450" s="40" t="str">
        <f t="shared" si="1"/>
        <v/>
      </c>
      <c r="B11450" s="37" t="str">
        <f t="array" ref="B11450">iferror(xlookup($I11450, 'IMPORT VHC Report'!$E:$E, 'IMPORT VHC Report'!$A:$C), )</f>
        <v/>
      </c>
      <c r="C11450" s="44"/>
      <c r="D11450" s="44"/>
      <c r="L11450" s="45"/>
      <c r="N11450" s="45"/>
    </row>
    <row r="11451">
      <c r="A11451" s="40" t="str">
        <f t="shared" si="1"/>
        <v/>
      </c>
      <c r="B11451" s="37" t="str">
        <f t="array" ref="B11451">iferror(xlookup($I11451, 'IMPORT VHC Report'!$E:$E, 'IMPORT VHC Report'!$A:$C), )</f>
        <v/>
      </c>
      <c r="C11451" s="44"/>
      <c r="D11451" s="44"/>
      <c r="L11451" s="45"/>
      <c r="N11451" s="45"/>
    </row>
    <row r="11452">
      <c r="A11452" s="40" t="str">
        <f t="shared" si="1"/>
        <v/>
      </c>
      <c r="B11452" s="37" t="str">
        <f t="array" ref="B11452">iferror(xlookup($I11452, 'IMPORT VHC Report'!$E:$E, 'IMPORT VHC Report'!$A:$C), )</f>
        <v/>
      </c>
      <c r="C11452" s="44"/>
      <c r="D11452" s="44"/>
      <c r="L11452" s="45"/>
      <c r="N11452" s="45"/>
    </row>
    <row r="11453">
      <c r="A11453" s="40" t="str">
        <f t="shared" si="1"/>
        <v/>
      </c>
      <c r="B11453" s="37" t="str">
        <f t="array" ref="B11453">iferror(xlookup($I11453, 'IMPORT VHC Report'!$E:$E, 'IMPORT VHC Report'!$A:$C), )</f>
        <v/>
      </c>
      <c r="C11453" s="44"/>
      <c r="D11453" s="44"/>
      <c r="L11453" s="45"/>
      <c r="N11453" s="45"/>
    </row>
    <row r="11454">
      <c r="A11454" s="40" t="str">
        <f t="shared" si="1"/>
        <v/>
      </c>
      <c r="B11454" s="37" t="str">
        <f t="array" ref="B11454">iferror(xlookup($I11454, 'IMPORT VHC Report'!$E:$E, 'IMPORT VHC Report'!$A:$C), )</f>
        <v/>
      </c>
      <c r="C11454" s="44"/>
      <c r="D11454" s="44"/>
      <c r="L11454" s="45"/>
      <c r="N11454" s="45"/>
    </row>
    <row r="11455">
      <c r="A11455" s="40" t="str">
        <f t="shared" si="1"/>
        <v/>
      </c>
      <c r="B11455" s="37" t="str">
        <f t="array" ref="B11455">iferror(xlookup($I11455, 'IMPORT VHC Report'!$E:$E, 'IMPORT VHC Report'!$A:$C), )</f>
        <v/>
      </c>
      <c r="C11455" s="44"/>
      <c r="D11455" s="44"/>
      <c r="L11455" s="45"/>
      <c r="N11455" s="45"/>
    </row>
    <row r="11456">
      <c r="A11456" s="40" t="str">
        <f t="shared" si="1"/>
        <v/>
      </c>
      <c r="B11456" s="37" t="str">
        <f t="array" ref="B11456">iferror(xlookup($I11456, 'IMPORT VHC Report'!$E:$E, 'IMPORT VHC Report'!$A:$C), )</f>
        <v/>
      </c>
      <c r="C11456" s="44"/>
      <c r="D11456" s="44"/>
      <c r="L11456" s="45"/>
      <c r="N11456" s="45"/>
    </row>
    <row r="11457">
      <c r="A11457" s="40" t="str">
        <f t="shared" si="1"/>
        <v/>
      </c>
      <c r="B11457" s="37" t="str">
        <f t="array" ref="B11457">iferror(xlookup($I11457, 'IMPORT VHC Report'!$E:$E, 'IMPORT VHC Report'!$A:$C), )</f>
        <v/>
      </c>
      <c r="C11457" s="44"/>
      <c r="D11457" s="44"/>
      <c r="L11457" s="45"/>
      <c r="N11457" s="45"/>
    </row>
    <row r="11458">
      <c r="A11458" s="40" t="str">
        <f t="shared" si="1"/>
        <v/>
      </c>
      <c r="B11458" s="37" t="str">
        <f t="array" ref="B11458">iferror(xlookup($I11458, 'IMPORT VHC Report'!$E:$E, 'IMPORT VHC Report'!$A:$C), )</f>
        <v/>
      </c>
      <c r="C11458" s="44"/>
      <c r="D11458" s="44"/>
      <c r="L11458" s="45"/>
      <c r="N11458" s="45"/>
    </row>
    <row r="11459">
      <c r="A11459" s="40" t="str">
        <f t="shared" si="1"/>
        <v/>
      </c>
      <c r="B11459" s="37" t="str">
        <f t="array" ref="B11459">iferror(xlookup($I11459, 'IMPORT VHC Report'!$E:$E, 'IMPORT VHC Report'!$A:$C), )</f>
        <v/>
      </c>
      <c r="C11459" s="44"/>
      <c r="D11459" s="44"/>
      <c r="L11459" s="45"/>
      <c r="N11459" s="45"/>
    </row>
    <row r="11460">
      <c r="A11460" s="40" t="str">
        <f t="shared" si="1"/>
        <v/>
      </c>
      <c r="B11460" s="37" t="str">
        <f t="array" ref="B11460">iferror(xlookup($I11460, 'IMPORT VHC Report'!$E:$E, 'IMPORT VHC Report'!$A:$C), )</f>
        <v/>
      </c>
      <c r="C11460" s="44"/>
      <c r="D11460" s="44"/>
      <c r="L11460" s="45"/>
      <c r="N11460" s="45"/>
    </row>
    <row r="11461">
      <c r="A11461" s="40" t="str">
        <f t="shared" si="1"/>
        <v/>
      </c>
      <c r="B11461" s="37" t="str">
        <f t="array" ref="B11461">iferror(xlookup($I11461, 'IMPORT VHC Report'!$E:$E, 'IMPORT VHC Report'!$A:$C), )</f>
        <v/>
      </c>
      <c r="C11461" s="44"/>
      <c r="D11461" s="44"/>
      <c r="L11461" s="45"/>
      <c r="N11461" s="45"/>
    </row>
    <row r="11462">
      <c r="A11462" s="40" t="str">
        <f t="shared" si="1"/>
        <v/>
      </c>
      <c r="B11462" s="37" t="str">
        <f t="array" ref="B11462">iferror(xlookup($I11462, 'IMPORT VHC Report'!$E:$E, 'IMPORT VHC Report'!$A:$C), )</f>
        <v/>
      </c>
      <c r="C11462" s="44"/>
      <c r="D11462" s="44"/>
      <c r="L11462" s="45"/>
      <c r="N11462" s="45"/>
    </row>
    <row r="11463">
      <c r="A11463" s="40" t="str">
        <f t="shared" si="1"/>
        <v/>
      </c>
      <c r="B11463" s="37" t="str">
        <f t="array" ref="B11463">iferror(xlookup($I11463, 'IMPORT VHC Report'!$E:$E, 'IMPORT VHC Report'!$A:$C), )</f>
        <v/>
      </c>
      <c r="C11463" s="44"/>
      <c r="D11463" s="44"/>
      <c r="L11463" s="45"/>
      <c r="N11463" s="45"/>
    </row>
    <row r="11464">
      <c r="A11464" s="40" t="str">
        <f t="shared" si="1"/>
        <v/>
      </c>
      <c r="B11464" s="37" t="str">
        <f t="array" ref="B11464">iferror(xlookup($I11464, 'IMPORT VHC Report'!$E:$E, 'IMPORT VHC Report'!$A:$C), )</f>
        <v/>
      </c>
      <c r="C11464" s="44"/>
      <c r="D11464" s="44"/>
      <c r="L11464" s="45"/>
      <c r="N11464" s="45"/>
    </row>
    <row r="11465">
      <c r="A11465" s="40" t="str">
        <f t="shared" si="1"/>
        <v/>
      </c>
      <c r="B11465" s="37" t="str">
        <f t="array" ref="B11465">iferror(xlookup($I11465, 'IMPORT VHC Report'!$E:$E, 'IMPORT VHC Report'!$A:$C), )</f>
        <v/>
      </c>
      <c r="C11465" s="44"/>
      <c r="D11465" s="44"/>
      <c r="L11465" s="45"/>
      <c r="N11465" s="45"/>
    </row>
    <row r="11466">
      <c r="A11466" s="40" t="str">
        <f t="shared" si="1"/>
        <v/>
      </c>
      <c r="B11466" s="37" t="str">
        <f t="array" ref="B11466">iferror(xlookup($I11466, 'IMPORT VHC Report'!$E:$E, 'IMPORT VHC Report'!$A:$C), )</f>
        <v/>
      </c>
      <c r="C11466" s="44"/>
      <c r="D11466" s="44"/>
      <c r="L11466" s="45"/>
      <c r="N11466" s="45"/>
    </row>
    <row r="11467">
      <c r="A11467" s="40" t="str">
        <f t="shared" si="1"/>
        <v/>
      </c>
      <c r="B11467" s="37" t="str">
        <f t="array" ref="B11467">iferror(xlookup($I11467, 'IMPORT VHC Report'!$E:$E, 'IMPORT VHC Report'!$A:$C), )</f>
        <v/>
      </c>
      <c r="C11467" s="44"/>
      <c r="D11467" s="44"/>
      <c r="L11467" s="45"/>
      <c r="N11467" s="45"/>
    </row>
    <row r="11468">
      <c r="A11468" s="40" t="str">
        <f t="shared" si="1"/>
        <v/>
      </c>
      <c r="B11468" s="37" t="str">
        <f t="array" ref="B11468">iferror(xlookup($I11468, 'IMPORT VHC Report'!$E:$E, 'IMPORT VHC Report'!$A:$C), )</f>
        <v/>
      </c>
      <c r="C11468" s="44"/>
      <c r="D11468" s="44"/>
      <c r="L11468" s="45"/>
      <c r="N11468" s="45"/>
    </row>
    <row r="11469">
      <c r="A11469" s="40" t="str">
        <f t="shared" si="1"/>
        <v/>
      </c>
      <c r="B11469" s="37" t="str">
        <f t="array" ref="B11469">iferror(xlookup($I11469, 'IMPORT VHC Report'!$E:$E, 'IMPORT VHC Report'!$A:$C), )</f>
        <v/>
      </c>
      <c r="C11469" s="44"/>
      <c r="D11469" s="44"/>
      <c r="L11469" s="45"/>
      <c r="N11469" s="45"/>
    </row>
    <row r="11470">
      <c r="A11470" s="40" t="str">
        <f t="shared" si="1"/>
        <v/>
      </c>
      <c r="B11470" s="37" t="str">
        <f t="array" ref="B11470">iferror(xlookup($I11470, 'IMPORT VHC Report'!$E:$E, 'IMPORT VHC Report'!$A:$C), )</f>
        <v/>
      </c>
      <c r="C11470" s="44"/>
      <c r="D11470" s="44"/>
      <c r="L11470" s="45"/>
      <c r="N11470" s="45"/>
    </row>
    <row r="11471">
      <c r="A11471" s="40" t="str">
        <f t="shared" si="1"/>
        <v/>
      </c>
      <c r="B11471" s="37" t="str">
        <f t="array" ref="B11471">iferror(xlookup($I11471, 'IMPORT VHC Report'!$E:$E, 'IMPORT VHC Report'!$A:$C), )</f>
        <v/>
      </c>
      <c r="C11471" s="44"/>
      <c r="D11471" s="44"/>
      <c r="L11471" s="45"/>
      <c r="N11471" s="45"/>
    </row>
    <row r="11472">
      <c r="A11472" s="40" t="str">
        <f t="shared" si="1"/>
        <v/>
      </c>
      <c r="B11472" s="37" t="str">
        <f t="array" ref="B11472">iferror(xlookup($I11472, 'IMPORT VHC Report'!$E:$E, 'IMPORT VHC Report'!$A:$C), )</f>
        <v/>
      </c>
      <c r="C11472" s="44"/>
      <c r="D11472" s="44"/>
      <c r="L11472" s="45"/>
      <c r="N11472" s="45"/>
    </row>
    <row r="11473">
      <c r="A11473" s="40" t="str">
        <f t="shared" si="1"/>
        <v/>
      </c>
      <c r="B11473" s="37" t="str">
        <f t="array" ref="B11473">iferror(xlookup($I11473, 'IMPORT VHC Report'!$E:$E, 'IMPORT VHC Report'!$A:$C), )</f>
        <v/>
      </c>
      <c r="C11473" s="44"/>
      <c r="D11473" s="44"/>
      <c r="L11473" s="45"/>
      <c r="N11473" s="45"/>
    </row>
    <row r="11474">
      <c r="A11474" s="40" t="str">
        <f t="shared" si="1"/>
        <v/>
      </c>
      <c r="B11474" s="37" t="str">
        <f t="array" ref="B11474">iferror(xlookup($I11474, 'IMPORT VHC Report'!$E:$E, 'IMPORT VHC Report'!$A:$C), )</f>
        <v/>
      </c>
      <c r="C11474" s="44"/>
      <c r="D11474" s="44"/>
      <c r="L11474" s="45"/>
      <c r="N11474" s="45"/>
    </row>
    <row r="11475">
      <c r="A11475" s="40" t="str">
        <f t="shared" si="1"/>
        <v/>
      </c>
      <c r="B11475" s="37" t="str">
        <f t="array" ref="B11475">iferror(xlookup($I11475, 'IMPORT VHC Report'!$E:$E, 'IMPORT VHC Report'!$A:$C), )</f>
        <v/>
      </c>
      <c r="C11475" s="44"/>
      <c r="D11475" s="44"/>
      <c r="L11475" s="45"/>
      <c r="N11475" s="45"/>
    </row>
    <row r="11476">
      <c r="A11476" s="40" t="str">
        <f t="shared" si="1"/>
        <v/>
      </c>
      <c r="B11476" s="37" t="str">
        <f t="array" ref="B11476">iferror(xlookup($I11476, 'IMPORT VHC Report'!$E:$E, 'IMPORT VHC Report'!$A:$C), )</f>
        <v/>
      </c>
      <c r="C11476" s="44"/>
      <c r="D11476" s="44"/>
      <c r="L11476" s="45"/>
      <c r="N11476" s="45"/>
    </row>
    <row r="11477">
      <c r="A11477" s="40" t="str">
        <f t="shared" si="1"/>
        <v/>
      </c>
      <c r="B11477" s="37" t="str">
        <f t="array" ref="B11477">iferror(xlookup($I11477, 'IMPORT VHC Report'!$E:$E, 'IMPORT VHC Report'!$A:$C), )</f>
        <v/>
      </c>
      <c r="C11477" s="44"/>
      <c r="D11477" s="44"/>
      <c r="L11477" s="45"/>
      <c r="N11477" s="45"/>
    </row>
    <row r="11478">
      <c r="A11478" s="40" t="str">
        <f t="shared" si="1"/>
        <v/>
      </c>
      <c r="B11478" s="37" t="str">
        <f t="array" ref="B11478">iferror(xlookup($I11478, 'IMPORT VHC Report'!$E:$E, 'IMPORT VHC Report'!$A:$C), )</f>
        <v/>
      </c>
      <c r="C11478" s="44"/>
      <c r="D11478" s="44"/>
      <c r="L11478" s="45"/>
      <c r="N11478" s="45"/>
    </row>
    <row r="11479">
      <c r="A11479" s="40" t="str">
        <f t="shared" si="1"/>
        <v/>
      </c>
      <c r="B11479" s="37" t="str">
        <f t="array" ref="B11479">iferror(xlookup($I11479, 'IMPORT VHC Report'!$E:$E, 'IMPORT VHC Report'!$A:$C), )</f>
        <v/>
      </c>
      <c r="C11479" s="44"/>
      <c r="D11479" s="44"/>
      <c r="L11479" s="45"/>
      <c r="N11479" s="45"/>
    </row>
    <row r="11480">
      <c r="A11480" s="40" t="str">
        <f t="shared" si="1"/>
        <v/>
      </c>
      <c r="B11480" s="37" t="str">
        <f t="array" ref="B11480">iferror(xlookup($I11480, 'IMPORT VHC Report'!$E:$E, 'IMPORT VHC Report'!$A:$C), )</f>
        <v/>
      </c>
      <c r="C11480" s="44"/>
      <c r="D11480" s="44"/>
      <c r="L11480" s="45"/>
      <c r="N11480" s="45"/>
    </row>
    <row r="11481">
      <c r="A11481" s="40" t="str">
        <f t="shared" si="1"/>
        <v/>
      </c>
      <c r="B11481" s="37" t="str">
        <f t="array" ref="B11481">iferror(xlookup($I11481, 'IMPORT VHC Report'!$E:$E, 'IMPORT VHC Report'!$A:$C), )</f>
        <v/>
      </c>
      <c r="C11481" s="44"/>
      <c r="D11481" s="44"/>
      <c r="L11481" s="45"/>
      <c r="N11481" s="45"/>
    </row>
    <row r="11482">
      <c r="A11482" s="40" t="str">
        <f t="shared" si="1"/>
        <v/>
      </c>
      <c r="B11482" s="37" t="str">
        <f t="array" ref="B11482">iferror(xlookup($I11482, 'IMPORT VHC Report'!$E:$E, 'IMPORT VHC Report'!$A:$C), )</f>
        <v/>
      </c>
      <c r="C11482" s="44"/>
      <c r="D11482" s="44"/>
      <c r="L11482" s="45"/>
      <c r="N11482" s="45"/>
    </row>
    <row r="11483">
      <c r="A11483" s="40" t="str">
        <f t="shared" si="1"/>
        <v/>
      </c>
      <c r="B11483" s="37" t="str">
        <f t="array" ref="B11483">iferror(xlookup($I11483, 'IMPORT VHC Report'!$E:$E, 'IMPORT VHC Report'!$A:$C), )</f>
        <v/>
      </c>
      <c r="C11483" s="44"/>
      <c r="D11483" s="44"/>
      <c r="L11483" s="45"/>
      <c r="N11483" s="45"/>
    </row>
    <row r="11484">
      <c r="A11484" s="40" t="str">
        <f t="shared" si="1"/>
        <v/>
      </c>
      <c r="B11484" s="37" t="str">
        <f t="array" ref="B11484">iferror(xlookup($I11484, 'IMPORT VHC Report'!$E:$E, 'IMPORT VHC Report'!$A:$C), )</f>
        <v/>
      </c>
      <c r="C11484" s="44"/>
      <c r="D11484" s="44"/>
      <c r="L11484" s="45"/>
      <c r="N11484" s="45"/>
    </row>
    <row r="11485">
      <c r="A11485" s="40" t="str">
        <f t="shared" si="1"/>
        <v/>
      </c>
      <c r="B11485" s="37" t="str">
        <f t="array" ref="B11485">iferror(xlookup($I11485, 'IMPORT VHC Report'!$E:$E, 'IMPORT VHC Report'!$A:$C), )</f>
        <v/>
      </c>
      <c r="C11485" s="44"/>
      <c r="D11485" s="44"/>
      <c r="L11485" s="45"/>
      <c r="N11485" s="45"/>
    </row>
    <row r="11486">
      <c r="A11486" s="40" t="str">
        <f t="shared" si="1"/>
        <v/>
      </c>
      <c r="B11486" s="37" t="str">
        <f t="array" ref="B11486">iferror(xlookup($I11486, 'IMPORT VHC Report'!$E:$E, 'IMPORT VHC Report'!$A:$C), )</f>
        <v/>
      </c>
      <c r="C11486" s="44"/>
      <c r="D11486" s="44"/>
      <c r="L11486" s="45"/>
      <c r="N11486" s="45"/>
    </row>
    <row r="11487">
      <c r="A11487" s="40" t="str">
        <f t="shared" si="1"/>
        <v/>
      </c>
      <c r="B11487" s="37" t="str">
        <f t="array" ref="B11487">iferror(xlookup($I11487, 'IMPORT VHC Report'!$E:$E, 'IMPORT VHC Report'!$A:$C), )</f>
        <v/>
      </c>
      <c r="C11487" s="44"/>
      <c r="D11487" s="44"/>
      <c r="L11487" s="45"/>
      <c r="N11487" s="45"/>
    </row>
    <row r="11488">
      <c r="A11488" s="40" t="str">
        <f t="shared" si="1"/>
        <v/>
      </c>
      <c r="B11488" s="37" t="str">
        <f t="array" ref="B11488">iferror(xlookup($I11488, 'IMPORT VHC Report'!$E:$E, 'IMPORT VHC Report'!$A:$C), )</f>
        <v/>
      </c>
      <c r="C11488" s="44"/>
      <c r="D11488" s="44"/>
      <c r="L11488" s="45"/>
      <c r="N11488" s="45"/>
    </row>
    <row r="11489">
      <c r="A11489" s="40" t="str">
        <f t="shared" si="1"/>
        <v/>
      </c>
      <c r="B11489" s="37" t="str">
        <f t="array" ref="B11489">iferror(xlookup($I11489, 'IMPORT VHC Report'!$E:$E, 'IMPORT VHC Report'!$A:$C), )</f>
        <v/>
      </c>
      <c r="C11489" s="44"/>
      <c r="D11489" s="44"/>
      <c r="L11489" s="45"/>
      <c r="N11489" s="45"/>
    </row>
    <row r="11490">
      <c r="A11490" s="40" t="str">
        <f t="shared" si="1"/>
        <v/>
      </c>
      <c r="B11490" s="37" t="str">
        <f t="array" ref="B11490">iferror(xlookup($I11490, 'IMPORT VHC Report'!$E:$E, 'IMPORT VHC Report'!$A:$C), )</f>
        <v/>
      </c>
      <c r="C11490" s="44"/>
      <c r="D11490" s="44"/>
      <c r="L11490" s="45"/>
      <c r="N11490" s="45"/>
    </row>
    <row r="11491">
      <c r="A11491" s="40" t="str">
        <f t="shared" si="1"/>
        <v/>
      </c>
      <c r="B11491" s="37" t="str">
        <f t="array" ref="B11491">iferror(xlookup($I11491, 'IMPORT VHC Report'!$E:$E, 'IMPORT VHC Report'!$A:$C), )</f>
        <v/>
      </c>
      <c r="C11491" s="44"/>
      <c r="D11491" s="44"/>
      <c r="L11491" s="45"/>
      <c r="N11491" s="45"/>
    </row>
    <row r="11492">
      <c r="A11492" s="40" t="str">
        <f t="shared" si="1"/>
        <v/>
      </c>
      <c r="B11492" s="37" t="str">
        <f t="array" ref="B11492">iferror(xlookup($I11492, 'IMPORT VHC Report'!$E:$E, 'IMPORT VHC Report'!$A:$C), )</f>
        <v/>
      </c>
      <c r="C11492" s="44"/>
      <c r="D11492" s="44"/>
      <c r="L11492" s="45"/>
      <c r="N11492" s="45"/>
    </row>
    <row r="11493">
      <c r="A11493" s="40" t="str">
        <f t="shared" si="1"/>
        <v/>
      </c>
      <c r="B11493" s="37" t="str">
        <f t="array" ref="B11493">iferror(xlookup($I11493, 'IMPORT VHC Report'!$E:$E, 'IMPORT VHC Report'!$A:$C), )</f>
        <v/>
      </c>
      <c r="C11493" s="44"/>
      <c r="D11493" s="44"/>
      <c r="L11493" s="45"/>
      <c r="N11493" s="45"/>
    </row>
    <row r="11494">
      <c r="A11494" s="40" t="str">
        <f t="shared" si="1"/>
        <v/>
      </c>
      <c r="B11494" s="37" t="str">
        <f t="array" ref="B11494">iferror(xlookup($I11494, 'IMPORT VHC Report'!$E:$E, 'IMPORT VHC Report'!$A:$C), )</f>
        <v/>
      </c>
      <c r="C11494" s="44"/>
      <c r="D11494" s="44"/>
      <c r="L11494" s="45"/>
      <c r="N11494" s="45"/>
    </row>
    <row r="11495">
      <c r="A11495" s="40" t="str">
        <f t="shared" si="1"/>
        <v/>
      </c>
      <c r="B11495" s="37" t="str">
        <f t="array" ref="B11495">iferror(xlookup($I11495, 'IMPORT VHC Report'!$E:$E, 'IMPORT VHC Report'!$A:$C), )</f>
        <v/>
      </c>
      <c r="C11495" s="44"/>
      <c r="D11495" s="44"/>
      <c r="L11495" s="45"/>
      <c r="N11495" s="45"/>
    </row>
    <row r="11496">
      <c r="A11496" s="40" t="str">
        <f t="shared" si="1"/>
        <v/>
      </c>
      <c r="B11496" s="37" t="str">
        <f t="array" ref="B11496">iferror(xlookup($I11496, 'IMPORT VHC Report'!$E:$E, 'IMPORT VHC Report'!$A:$C), )</f>
        <v/>
      </c>
      <c r="C11496" s="44"/>
      <c r="D11496" s="44"/>
      <c r="L11496" s="45"/>
      <c r="N11496" s="45"/>
    </row>
    <row r="11497">
      <c r="A11497" s="40" t="str">
        <f t="shared" si="1"/>
        <v/>
      </c>
      <c r="B11497" s="37" t="str">
        <f t="array" ref="B11497">iferror(xlookup($I11497, 'IMPORT VHC Report'!$E:$E, 'IMPORT VHC Report'!$A:$C), )</f>
        <v/>
      </c>
      <c r="C11497" s="44"/>
      <c r="D11497" s="44"/>
      <c r="L11497" s="45"/>
      <c r="N11497" s="45"/>
    </row>
    <row r="11498">
      <c r="A11498" s="40" t="str">
        <f t="shared" si="1"/>
        <v/>
      </c>
      <c r="B11498" s="37" t="str">
        <f t="array" ref="B11498">iferror(xlookup($I11498, 'IMPORT VHC Report'!$E:$E, 'IMPORT VHC Report'!$A:$C), )</f>
        <v/>
      </c>
      <c r="C11498" s="44"/>
      <c r="D11498" s="44"/>
      <c r="L11498" s="45"/>
      <c r="N11498" s="45"/>
    </row>
    <row r="11499">
      <c r="A11499" s="40" t="str">
        <f t="shared" si="1"/>
        <v/>
      </c>
      <c r="B11499" s="37" t="str">
        <f t="array" ref="B11499">iferror(xlookup($I11499, 'IMPORT VHC Report'!$E:$E, 'IMPORT VHC Report'!$A:$C), )</f>
        <v/>
      </c>
      <c r="C11499" s="44"/>
      <c r="D11499" s="44"/>
      <c r="L11499" s="45"/>
      <c r="N11499" s="45"/>
    </row>
    <row r="11500">
      <c r="A11500" s="40" t="str">
        <f t="shared" si="1"/>
        <v/>
      </c>
      <c r="B11500" s="37" t="str">
        <f t="array" ref="B11500">iferror(xlookup($I11500, 'IMPORT VHC Report'!$E:$E, 'IMPORT VHC Report'!$A:$C), )</f>
        <v/>
      </c>
      <c r="C11500" s="44"/>
      <c r="D11500" s="44"/>
      <c r="L11500" s="45"/>
      <c r="N11500" s="45"/>
    </row>
    <row r="11501">
      <c r="A11501" s="40" t="str">
        <f t="shared" si="1"/>
        <v/>
      </c>
      <c r="B11501" s="37" t="str">
        <f t="array" ref="B11501">iferror(xlookup($I11501, 'IMPORT VHC Report'!$E:$E, 'IMPORT VHC Report'!$A:$C), )</f>
        <v/>
      </c>
      <c r="C11501" s="44"/>
      <c r="D11501" s="44"/>
      <c r="L11501" s="45"/>
      <c r="N11501" s="45"/>
    </row>
    <row r="11502">
      <c r="A11502" s="40" t="str">
        <f t="shared" si="1"/>
        <v/>
      </c>
      <c r="B11502" s="37" t="str">
        <f t="array" ref="B11502">iferror(xlookup($I11502, 'IMPORT VHC Report'!$E:$E, 'IMPORT VHC Report'!$A:$C), )</f>
        <v/>
      </c>
      <c r="C11502" s="44"/>
      <c r="D11502" s="44"/>
      <c r="L11502" s="45"/>
      <c r="N11502" s="45"/>
    </row>
    <row r="11503">
      <c r="A11503" s="40" t="str">
        <f t="shared" si="1"/>
        <v/>
      </c>
      <c r="B11503" s="37" t="str">
        <f t="array" ref="B11503">iferror(xlookup($I11503, 'IMPORT VHC Report'!$E:$E, 'IMPORT VHC Report'!$A:$C), )</f>
        <v/>
      </c>
      <c r="C11503" s="44"/>
      <c r="D11503" s="44"/>
      <c r="L11503" s="45"/>
      <c r="N11503" s="45"/>
    </row>
    <row r="11504">
      <c r="A11504" s="40" t="str">
        <f t="shared" si="1"/>
        <v/>
      </c>
      <c r="B11504" s="37" t="str">
        <f t="array" ref="B11504">iferror(xlookup($I11504, 'IMPORT VHC Report'!$E:$E, 'IMPORT VHC Report'!$A:$C), )</f>
        <v/>
      </c>
      <c r="C11504" s="44"/>
      <c r="D11504" s="44"/>
      <c r="L11504" s="45"/>
      <c r="N11504" s="45"/>
    </row>
    <row r="11505">
      <c r="A11505" s="40" t="str">
        <f t="shared" si="1"/>
        <v/>
      </c>
      <c r="B11505" s="37" t="str">
        <f t="array" ref="B11505">iferror(xlookup($I11505, 'IMPORT VHC Report'!$E:$E, 'IMPORT VHC Report'!$A:$C), )</f>
        <v/>
      </c>
      <c r="C11505" s="44"/>
      <c r="D11505" s="44"/>
      <c r="L11505" s="45"/>
      <c r="N11505" s="45"/>
    </row>
    <row r="11506">
      <c r="A11506" s="40" t="str">
        <f t="shared" si="1"/>
        <v/>
      </c>
      <c r="B11506" s="37" t="str">
        <f t="array" ref="B11506">iferror(xlookup($I11506, 'IMPORT VHC Report'!$E:$E, 'IMPORT VHC Report'!$A:$C), )</f>
        <v/>
      </c>
      <c r="C11506" s="44"/>
      <c r="D11506" s="44"/>
      <c r="L11506" s="45"/>
      <c r="N11506" s="45"/>
    </row>
    <row r="11507">
      <c r="A11507" s="40" t="str">
        <f t="shared" si="1"/>
        <v/>
      </c>
      <c r="B11507" s="37" t="str">
        <f t="array" ref="B11507">iferror(xlookup($I11507, 'IMPORT VHC Report'!$E:$E, 'IMPORT VHC Report'!$A:$C), )</f>
        <v/>
      </c>
      <c r="C11507" s="44"/>
      <c r="D11507" s="44"/>
      <c r="L11507" s="45"/>
      <c r="N11507" s="45"/>
    </row>
    <row r="11508">
      <c r="A11508" s="40" t="str">
        <f t="shared" si="1"/>
        <v/>
      </c>
      <c r="B11508" s="37" t="str">
        <f t="array" ref="B11508">iferror(xlookup($I11508, 'IMPORT VHC Report'!$E:$E, 'IMPORT VHC Report'!$A:$C), )</f>
        <v/>
      </c>
      <c r="C11508" s="44"/>
      <c r="D11508" s="44"/>
      <c r="L11508" s="45"/>
      <c r="N11508" s="45"/>
    </row>
    <row r="11509">
      <c r="A11509" s="40" t="str">
        <f t="shared" si="1"/>
        <v/>
      </c>
      <c r="B11509" s="37" t="str">
        <f t="array" ref="B11509">iferror(xlookup($I11509, 'IMPORT VHC Report'!$E:$E, 'IMPORT VHC Report'!$A:$C), )</f>
        <v/>
      </c>
      <c r="C11509" s="44"/>
      <c r="D11509" s="44"/>
      <c r="L11509" s="45"/>
      <c r="N11509" s="45"/>
    </row>
    <row r="11510">
      <c r="A11510" s="40" t="str">
        <f t="shared" si="1"/>
        <v/>
      </c>
      <c r="B11510" s="37" t="str">
        <f t="array" ref="B11510">iferror(xlookup($I11510, 'IMPORT VHC Report'!$E:$E, 'IMPORT VHC Report'!$A:$C), )</f>
        <v/>
      </c>
      <c r="C11510" s="44"/>
      <c r="D11510" s="44"/>
      <c r="L11510" s="45"/>
      <c r="N11510" s="45"/>
    </row>
    <row r="11511">
      <c r="A11511" s="40" t="str">
        <f t="shared" si="1"/>
        <v/>
      </c>
      <c r="B11511" s="37" t="str">
        <f t="array" ref="B11511">iferror(xlookup($I11511, 'IMPORT VHC Report'!$E:$E, 'IMPORT VHC Report'!$A:$C), )</f>
        <v/>
      </c>
      <c r="C11511" s="44"/>
      <c r="D11511" s="44"/>
      <c r="L11511" s="45"/>
      <c r="N11511" s="45"/>
    </row>
    <row r="11512">
      <c r="A11512" s="40" t="str">
        <f t="shared" si="1"/>
        <v/>
      </c>
      <c r="B11512" s="37" t="str">
        <f t="array" ref="B11512">iferror(xlookup($I11512, 'IMPORT VHC Report'!$E:$E, 'IMPORT VHC Report'!$A:$C), )</f>
        <v/>
      </c>
      <c r="C11512" s="44"/>
      <c r="D11512" s="44"/>
      <c r="L11512" s="45"/>
      <c r="N11512" s="45"/>
    </row>
    <row r="11513">
      <c r="A11513" s="40" t="str">
        <f t="shared" si="1"/>
        <v/>
      </c>
      <c r="B11513" s="37" t="str">
        <f t="array" ref="B11513">iferror(xlookup($I11513, 'IMPORT VHC Report'!$E:$E, 'IMPORT VHC Report'!$A:$C), )</f>
        <v/>
      </c>
      <c r="C11513" s="44"/>
      <c r="D11513" s="44"/>
      <c r="L11513" s="45"/>
      <c r="N11513" s="45"/>
    </row>
    <row r="11514">
      <c r="A11514" s="40" t="str">
        <f t="shared" si="1"/>
        <v/>
      </c>
      <c r="B11514" s="37" t="str">
        <f t="array" ref="B11514">iferror(xlookup($I11514, 'IMPORT VHC Report'!$E:$E, 'IMPORT VHC Report'!$A:$C), )</f>
        <v/>
      </c>
      <c r="C11514" s="44"/>
      <c r="D11514" s="44"/>
      <c r="L11514" s="45"/>
      <c r="N11514" s="45"/>
    </row>
    <row r="11515">
      <c r="A11515" s="40" t="str">
        <f t="shared" si="1"/>
        <v/>
      </c>
      <c r="B11515" s="37" t="str">
        <f t="array" ref="B11515">iferror(xlookup($I11515, 'IMPORT VHC Report'!$E:$E, 'IMPORT VHC Report'!$A:$C), )</f>
        <v/>
      </c>
      <c r="C11515" s="44"/>
      <c r="D11515" s="44"/>
      <c r="L11515" s="45"/>
      <c r="N11515" s="45"/>
    </row>
    <row r="11516">
      <c r="A11516" s="40" t="str">
        <f t="shared" si="1"/>
        <v/>
      </c>
      <c r="B11516" s="37" t="str">
        <f t="array" ref="B11516">iferror(xlookup($I11516, 'IMPORT VHC Report'!$E:$E, 'IMPORT VHC Report'!$A:$C), )</f>
        <v/>
      </c>
      <c r="C11516" s="44"/>
      <c r="D11516" s="44"/>
      <c r="L11516" s="45"/>
      <c r="N11516" s="45"/>
    </row>
    <row r="11517">
      <c r="A11517" s="40" t="str">
        <f t="shared" si="1"/>
        <v/>
      </c>
      <c r="B11517" s="37" t="str">
        <f t="array" ref="B11517">iferror(xlookup($I11517, 'IMPORT VHC Report'!$E:$E, 'IMPORT VHC Report'!$A:$C), )</f>
        <v/>
      </c>
      <c r="C11517" s="44"/>
      <c r="D11517" s="44"/>
      <c r="L11517" s="45"/>
      <c r="N11517" s="45"/>
    </row>
    <row r="11518">
      <c r="A11518" s="40" t="str">
        <f t="shared" si="1"/>
        <v/>
      </c>
      <c r="B11518" s="37" t="str">
        <f t="array" ref="B11518">iferror(xlookup($I11518, 'IMPORT VHC Report'!$E:$E, 'IMPORT VHC Report'!$A:$C), )</f>
        <v/>
      </c>
      <c r="C11518" s="44"/>
      <c r="D11518" s="44"/>
      <c r="L11518" s="45"/>
      <c r="N11518" s="45"/>
    </row>
    <row r="11519">
      <c r="A11519" s="40" t="str">
        <f t="shared" si="1"/>
        <v/>
      </c>
      <c r="B11519" s="37" t="str">
        <f t="array" ref="B11519">iferror(xlookup($I11519, 'IMPORT VHC Report'!$E:$E, 'IMPORT VHC Report'!$A:$C), )</f>
        <v/>
      </c>
      <c r="C11519" s="44"/>
      <c r="D11519" s="44"/>
      <c r="L11519" s="45"/>
      <c r="N11519" s="45"/>
    </row>
    <row r="11520">
      <c r="A11520" s="40" t="str">
        <f t="shared" si="1"/>
        <v/>
      </c>
      <c r="B11520" s="37" t="str">
        <f t="array" ref="B11520">iferror(xlookup($I11520, 'IMPORT VHC Report'!$E:$E, 'IMPORT VHC Report'!$A:$C), )</f>
        <v/>
      </c>
      <c r="C11520" s="44"/>
      <c r="D11520" s="44"/>
      <c r="L11520" s="45"/>
      <c r="N11520" s="45"/>
    </row>
    <row r="11521">
      <c r="A11521" s="40" t="str">
        <f t="shared" si="1"/>
        <v/>
      </c>
      <c r="B11521" s="37" t="str">
        <f t="array" ref="B11521">iferror(xlookup($I11521, 'IMPORT VHC Report'!$E:$E, 'IMPORT VHC Report'!$A:$C), )</f>
        <v/>
      </c>
      <c r="C11521" s="44"/>
      <c r="D11521" s="44"/>
      <c r="L11521" s="45"/>
      <c r="N11521" s="45"/>
    </row>
    <row r="11522">
      <c r="A11522" s="40" t="str">
        <f t="shared" si="1"/>
        <v/>
      </c>
      <c r="B11522" s="37" t="str">
        <f t="array" ref="B11522">iferror(xlookup($I11522, 'IMPORT VHC Report'!$E:$E, 'IMPORT VHC Report'!$A:$C), )</f>
        <v/>
      </c>
      <c r="C11522" s="44"/>
      <c r="D11522" s="44"/>
      <c r="L11522" s="45"/>
      <c r="N11522" s="45"/>
    </row>
    <row r="11523">
      <c r="A11523" s="40" t="str">
        <f t="shared" si="1"/>
        <v/>
      </c>
      <c r="B11523" s="37" t="str">
        <f t="array" ref="B11523">iferror(xlookup($I11523, 'IMPORT VHC Report'!$E:$E, 'IMPORT VHC Report'!$A:$C), )</f>
        <v/>
      </c>
      <c r="C11523" s="44"/>
      <c r="D11523" s="44"/>
      <c r="L11523" s="45"/>
      <c r="N11523" s="45"/>
    </row>
    <row r="11524">
      <c r="A11524" s="40" t="str">
        <f t="shared" si="1"/>
        <v/>
      </c>
      <c r="B11524" s="37" t="str">
        <f t="array" ref="B11524">iferror(xlookup($I11524, 'IMPORT VHC Report'!$E:$E, 'IMPORT VHC Report'!$A:$C), )</f>
        <v/>
      </c>
      <c r="C11524" s="44"/>
      <c r="D11524" s="44"/>
      <c r="L11524" s="45"/>
      <c r="N11524" s="45"/>
    </row>
    <row r="11525">
      <c r="A11525" s="40" t="str">
        <f t="shared" si="1"/>
        <v/>
      </c>
      <c r="B11525" s="37" t="str">
        <f t="array" ref="B11525">iferror(xlookup($I11525, 'IMPORT VHC Report'!$E:$E, 'IMPORT VHC Report'!$A:$C), )</f>
        <v/>
      </c>
      <c r="C11525" s="44"/>
      <c r="D11525" s="44"/>
      <c r="L11525" s="45"/>
      <c r="N11525" s="45"/>
    </row>
    <row r="11526">
      <c r="A11526" s="40" t="str">
        <f t="shared" si="1"/>
        <v/>
      </c>
      <c r="B11526" s="37" t="str">
        <f t="array" ref="B11526">iferror(xlookup($I11526, 'IMPORT VHC Report'!$E:$E, 'IMPORT VHC Report'!$A:$C), )</f>
        <v/>
      </c>
      <c r="C11526" s="44"/>
      <c r="D11526" s="44"/>
      <c r="L11526" s="45"/>
      <c r="N11526" s="45"/>
    </row>
    <row r="11527">
      <c r="A11527" s="40" t="str">
        <f t="shared" si="1"/>
        <v/>
      </c>
      <c r="B11527" s="37" t="str">
        <f t="array" ref="B11527">iferror(xlookup($I11527, 'IMPORT VHC Report'!$E:$E, 'IMPORT VHC Report'!$A:$C), )</f>
        <v/>
      </c>
      <c r="C11527" s="44"/>
      <c r="D11527" s="44"/>
      <c r="L11527" s="45"/>
      <c r="N11527" s="45"/>
    </row>
    <row r="11528">
      <c r="A11528" s="40" t="str">
        <f t="shared" si="1"/>
        <v/>
      </c>
      <c r="B11528" s="37" t="str">
        <f t="array" ref="B11528">iferror(xlookup($I11528, 'IMPORT VHC Report'!$E:$E, 'IMPORT VHC Report'!$A:$C), )</f>
        <v/>
      </c>
      <c r="C11528" s="44"/>
      <c r="D11528" s="44"/>
      <c r="L11528" s="45"/>
      <c r="N11528" s="45"/>
    </row>
    <row r="11529">
      <c r="A11529" s="40" t="str">
        <f t="shared" si="1"/>
        <v/>
      </c>
      <c r="B11529" s="37" t="str">
        <f t="array" ref="B11529">iferror(xlookup($I11529, 'IMPORT VHC Report'!$E:$E, 'IMPORT VHC Report'!$A:$C), )</f>
        <v/>
      </c>
      <c r="C11529" s="44"/>
      <c r="D11529" s="44"/>
      <c r="L11529" s="45"/>
      <c r="N11529" s="45"/>
    </row>
    <row r="11530">
      <c r="A11530" s="40" t="str">
        <f t="shared" si="1"/>
        <v/>
      </c>
      <c r="B11530" s="37" t="str">
        <f t="array" ref="B11530">iferror(xlookup($I11530, 'IMPORT VHC Report'!$E:$E, 'IMPORT VHC Report'!$A:$C), )</f>
        <v/>
      </c>
      <c r="C11530" s="44"/>
      <c r="D11530" s="44"/>
      <c r="L11530" s="45"/>
      <c r="N11530" s="45"/>
    </row>
    <row r="11531">
      <c r="A11531" s="40" t="str">
        <f t="shared" si="1"/>
        <v/>
      </c>
      <c r="B11531" s="37" t="str">
        <f t="array" ref="B11531">iferror(xlookup($I11531, 'IMPORT VHC Report'!$E:$E, 'IMPORT VHC Report'!$A:$C), )</f>
        <v/>
      </c>
      <c r="C11531" s="44"/>
      <c r="D11531" s="44"/>
      <c r="L11531" s="45"/>
      <c r="N11531" s="45"/>
    </row>
    <row r="11532">
      <c r="A11532" s="40" t="str">
        <f t="shared" si="1"/>
        <v/>
      </c>
      <c r="B11532" s="37" t="str">
        <f t="array" ref="B11532">iferror(xlookup($I11532, 'IMPORT VHC Report'!$E:$E, 'IMPORT VHC Report'!$A:$C), )</f>
        <v/>
      </c>
      <c r="C11532" s="44"/>
      <c r="D11532" s="44"/>
      <c r="L11532" s="45"/>
      <c r="N11532" s="45"/>
    </row>
    <row r="11533">
      <c r="A11533" s="40" t="str">
        <f t="shared" si="1"/>
        <v/>
      </c>
      <c r="B11533" s="37" t="str">
        <f t="array" ref="B11533">iferror(xlookup($I11533, 'IMPORT VHC Report'!$E:$E, 'IMPORT VHC Report'!$A:$C), )</f>
        <v/>
      </c>
      <c r="C11533" s="44"/>
      <c r="D11533" s="44"/>
      <c r="L11533" s="45"/>
      <c r="N11533" s="45"/>
    </row>
    <row r="11534">
      <c r="A11534" s="40" t="str">
        <f t="shared" si="1"/>
        <v/>
      </c>
      <c r="B11534" s="37" t="str">
        <f t="array" ref="B11534">iferror(xlookup($I11534, 'IMPORT VHC Report'!$E:$E, 'IMPORT VHC Report'!$A:$C), )</f>
        <v/>
      </c>
      <c r="C11534" s="44"/>
      <c r="D11534" s="44"/>
      <c r="L11534" s="45"/>
      <c r="N11534" s="45"/>
    </row>
    <row r="11535">
      <c r="A11535" s="40" t="str">
        <f t="shared" si="1"/>
        <v/>
      </c>
      <c r="B11535" s="37" t="str">
        <f t="array" ref="B11535">iferror(xlookup($I11535, 'IMPORT VHC Report'!$E:$E, 'IMPORT VHC Report'!$A:$C), )</f>
        <v/>
      </c>
      <c r="C11535" s="44"/>
      <c r="D11535" s="44"/>
      <c r="L11535" s="45"/>
      <c r="N11535" s="45"/>
    </row>
    <row r="11536">
      <c r="A11536" s="40" t="str">
        <f t="shared" si="1"/>
        <v/>
      </c>
      <c r="B11536" s="37" t="str">
        <f t="array" ref="B11536">iferror(xlookup($I11536, 'IMPORT VHC Report'!$E:$E, 'IMPORT VHC Report'!$A:$C), )</f>
        <v/>
      </c>
      <c r="C11536" s="44"/>
      <c r="D11536" s="44"/>
      <c r="L11536" s="45"/>
      <c r="N11536" s="45"/>
    </row>
    <row r="11537">
      <c r="A11537" s="40" t="str">
        <f t="shared" si="1"/>
        <v/>
      </c>
      <c r="B11537" s="37" t="str">
        <f t="array" ref="B11537">iferror(xlookup($I11537, 'IMPORT VHC Report'!$E:$E, 'IMPORT VHC Report'!$A:$C), )</f>
        <v/>
      </c>
      <c r="C11537" s="44"/>
      <c r="D11537" s="44"/>
      <c r="L11537" s="45"/>
      <c r="N11537" s="45"/>
    </row>
    <row r="11538">
      <c r="A11538" s="40" t="str">
        <f t="shared" si="1"/>
        <v/>
      </c>
      <c r="B11538" s="37" t="str">
        <f t="array" ref="B11538">iferror(xlookup($I11538, 'IMPORT VHC Report'!$E:$E, 'IMPORT VHC Report'!$A:$C), )</f>
        <v/>
      </c>
      <c r="C11538" s="44"/>
      <c r="D11538" s="44"/>
      <c r="L11538" s="45"/>
      <c r="N11538" s="45"/>
    </row>
    <row r="11539">
      <c r="A11539" s="40" t="str">
        <f t="shared" si="1"/>
        <v/>
      </c>
      <c r="B11539" s="37" t="str">
        <f t="array" ref="B11539">iferror(xlookup($I11539, 'IMPORT VHC Report'!$E:$E, 'IMPORT VHC Report'!$A:$C), )</f>
        <v/>
      </c>
      <c r="C11539" s="44"/>
      <c r="D11539" s="44"/>
      <c r="L11539" s="45"/>
      <c r="N11539" s="45"/>
    </row>
    <row r="11540">
      <c r="A11540" s="40" t="str">
        <f t="shared" si="1"/>
        <v/>
      </c>
      <c r="B11540" s="37" t="str">
        <f t="array" ref="B11540">iferror(xlookup($I11540, 'IMPORT VHC Report'!$E:$E, 'IMPORT VHC Report'!$A:$C), )</f>
        <v/>
      </c>
      <c r="C11540" s="44"/>
      <c r="D11540" s="44"/>
      <c r="L11540" s="45"/>
      <c r="N11540" s="45"/>
    </row>
    <row r="11541">
      <c r="A11541" s="40" t="str">
        <f t="shared" si="1"/>
        <v/>
      </c>
      <c r="B11541" s="37" t="str">
        <f t="array" ref="B11541">iferror(xlookup($I11541, 'IMPORT VHC Report'!$E:$E, 'IMPORT VHC Report'!$A:$C), )</f>
        <v/>
      </c>
      <c r="C11541" s="44"/>
      <c r="D11541" s="44"/>
      <c r="L11541" s="45"/>
      <c r="N11541" s="45"/>
    </row>
    <row r="11542">
      <c r="A11542" s="40" t="str">
        <f t="shared" si="1"/>
        <v/>
      </c>
      <c r="B11542" s="37" t="str">
        <f t="array" ref="B11542">iferror(xlookup($I11542, 'IMPORT VHC Report'!$E:$E, 'IMPORT VHC Report'!$A:$C), )</f>
        <v/>
      </c>
      <c r="C11542" s="44"/>
      <c r="D11542" s="44"/>
      <c r="L11542" s="45"/>
      <c r="N11542" s="45"/>
    </row>
    <row r="11543">
      <c r="A11543" s="40" t="str">
        <f t="shared" si="1"/>
        <v/>
      </c>
      <c r="B11543" s="37" t="str">
        <f t="array" ref="B11543">iferror(xlookup($I11543, 'IMPORT VHC Report'!$E:$E, 'IMPORT VHC Report'!$A:$C), )</f>
        <v/>
      </c>
      <c r="C11543" s="44"/>
      <c r="D11543" s="44"/>
      <c r="L11543" s="45"/>
      <c r="N11543" s="45"/>
    </row>
    <row r="11544">
      <c r="A11544" s="40" t="str">
        <f t="shared" si="1"/>
        <v/>
      </c>
      <c r="B11544" s="37" t="str">
        <f t="array" ref="B11544">iferror(xlookup($I11544, 'IMPORT VHC Report'!$E:$E, 'IMPORT VHC Report'!$A:$C), )</f>
        <v/>
      </c>
      <c r="C11544" s="44"/>
      <c r="D11544" s="44"/>
      <c r="L11544" s="45"/>
      <c r="N11544" s="45"/>
    </row>
    <row r="11545">
      <c r="A11545" s="40" t="str">
        <f t="shared" si="1"/>
        <v/>
      </c>
      <c r="B11545" s="37" t="str">
        <f t="array" ref="B11545">iferror(xlookup($I11545, 'IMPORT VHC Report'!$E:$E, 'IMPORT VHC Report'!$A:$C), )</f>
        <v/>
      </c>
      <c r="C11545" s="44"/>
      <c r="D11545" s="44"/>
      <c r="L11545" s="45"/>
      <c r="N11545" s="45"/>
    </row>
    <row r="11546">
      <c r="A11546" s="40" t="str">
        <f t="shared" si="1"/>
        <v/>
      </c>
      <c r="B11546" s="37" t="str">
        <f t="array" ref="B11546">iferror(xlookup($I11546, 'IMPORT VHC Report'!$E:$E, 'IMPORT VHC Report'!$A:$C), )</f>
        <v/>
      </c>
      <c r="C11546" s="44"/>
      <c r="D11546" s="44"/>
      <c r="L11546" s="45"/>
      <c r="N11546" s="45"/>
    </row>
    <row r="11547">
      <c r="A11547" s="40" t="str">
        <f t="shared" si="1"/>
        <v/>
      </c>
      <c r="B11547" s="37" t="str">
        <f t="array" ref="B11547">iferror(xlookup($I11547, 'IMPORT VHC Report'!$E:$E, 'IMPORT VHC Report'!$A:$C), )</f>
        <v/>
      </c>
      <c r="C11547" s="44"/>
      <c r="D11547" s="44"/>
      <c r="L11547" s="45"/>
      <c r="N11547" s="45"/>
    </row>
    <row r="11548">
      <c r="A11548" s="40" t="str">
        <f t="shared" si="1"/>
        <v/>
      </c>
      <c r="B11548" s="37" t="str">
        <f t="array" ref="B11548">iferror(xlookup($I11548, 'IMPORT VHC Report'!$E:$E, 'IMPORT VHC Report'!$A:$C), )</f>
        <v/>
      </c>
      <c r="C11548" s="44"/>
      <c r="D11548" s="44"/>
      <c r="L11548" s="45"/>
      <c r="N11548" s="45"/>
    </row>
    <row r="11549">
      <c r="A11549" s="40" t="str">
        <f t="shared" si="1"/>
        <v/>
      </c>
      <c r="B11549" s="37" t="str">
        <f t="array" ref="B11549">iferror(xlookup($I11549, 'IMPORT VHC Report'!$E:$E, 'IMPORT VHC Report'!$A:$C), )</f>
        <v/>
      </c>
      <c r="C11549" s="44"/>
      <c r="D11549" s="44"/>
      <c r="L11549" s="45"/>
      <c r="N11549" s="45"/>
    </row>
    <row r="11550">
      <c r="A11550" s="40" t="str">
        <f t="shared" si="1"/>
        <v/>
      </c>
      <c r="B11550" s="37" t="str">
        <f t="array" ref="B11550">iferror(xlookup($I11550, 'IMPORT VHC Report'!$E:$E, 'IMPORT VHC Report'!$A:$C), )</f>
        <v/>
      </c>
      <c r="C11550" s="44"/>
      <c r="D11550" s="44"/>
      <c r="L11550" s="45"/>
      <c r="N11550" s="45"/>
    </row>
    <row r="11551">
      <c r="A11551" s="40" t="str">
        <f t="shared" si="1"/>
        <v/>
      </c>
      <c r="B11551" s="37" t="str">
        <f t="array" ref="B11551">iferror(xlookup($I11551, 'IMPORT VHC Report'!$E:$E, 'IMPORT VHC Report'!$A:$C), )</f>
        <v/>
      </c>
      <c r="C11551" s="44"/>
      <c r="D11551" s="44"/>
      <c r="L11551" s="45"/>
      <c r="N11551" s="45"/>
    </row>
    <row r="11552">
      <c r="A11552" s="40" t="str">
        <f t="shared" si="1"/>
        <v/>
      </c>
      <c r="B11552" s="37" t="str">
        <f t="array" ref="B11552">iferror(xlookup($I11552, 'IMPORT VHC Report'!$E:$E, 'IMPORT VHC Report'!$A:$C), )</f>
        <v/>
      </c>
      <c r="C11552" s="44"/>
      <c r="D11552" s="44"/>
      <c r="L11552" s="45"/>
      <c r="N11552" s="45"/>
    </row>
    <row r="11553">
      <c r="A11553" s="40" t="str">
        <f t="shared" si="1"/>
        <v/>
      </c>
      <c r="B11553" s="37" t="str">
        <f t="array" ref="B11553">iferror(xlookup($I11553, 'IMPORT VHC Report'!$E:$E, 'IMPORT VHC Report'!$A:$C), )</f>
        <v/>
      </c>
      <c r="C11553" s="44"/>
      <c r="D11553" s="44"/>
      <c r="L11553" s="45"/>
      <c r="N11553" s="45"/>
    </row>
    <row r="11554">
      <c r="A11554" s="40" t="str">
        <f t="shared" si="1"/>
        <v/>
      </c>
      <c r="B11554" s="37" t="str">
        <f t="array" ref="B11554">iferror(xlookup($I11554, 'IMPORT VHC Report'!$E:$E, 'IMPORT VHC Report'!$A:$C), )</f>
        <v/>
      </c>
      <c r="C11554" s="44"/>
      <c r="D11554" s="44"/>
      <c r="L11554" s="45"/>
      <c r="N11554" s="45"/>
    </row>
    <row r="11555">
      <c r="A11555" s="40" t="str">
        <f t="shared" si="1"/>
        <v/>
      </c>
      <c r="B11555" s="37" t="str">
        <f t="array" ref="B11555">iferror(xlookup($I11555, 'IMPORT VHC Report'!$E:$E, 'IMPORT VHC Report'!$A:$C), )</f>
        <v/>
      </c>
      <c r="C11555" s="44"/>
      <c r="D11555" s="44"/>
      <c r="L11555" s="45"/>
      <c r="N11555" s="45"/>
    </row>
    <row r="11556">
      <c r="A11556" s="40" t="str">
        <f t="shared" si="1"/>
        <v/>
      </c>
      <c r="B11556" s="37" t="str">
        <f t="array" ref="B11556">iferror(xlookup($I11556, 'IMPORT VHC Report'!$E:$E, 'IMPORT VHC Report'!$A:$C), )</f>
        <v/>
      </c>
      <c r="C11556" s="44"/>
      <c r="D11556" s="44"/>
      <c r="L11556" s="45"/>
      <c r="N11556" s="45"/>
    </row>
    <row r="11557">
      <c r="A11557" s="40" t="str">
        <f t="shared" si="1"/>
        <v/>
      </c>
      <c r="B11557" s="37" t="str">
        <f t="array" ref="B11557">iferror(xlookup($I11557, 'IMPORT VHC Report'!$E:$E, 'IMPORT VHC Report'!$A:$C), )</f>
        <v/>
      </c>
      <c r="C11557" s="44"/>
      <c r="D11557" s="44"/>
      <c r="L11557" s="45"/>
      <c r="N11557" s="45"/>
    </row>
    <row r="11558">
      <c r="A11558" s="40" t="str">
        <f t="shared" si="1"/>
        <v/>
      </c>
      <c r="B11558" s="37" t="str">
        <f t="array" ref="B11558">iferror(xlookup($I11558, 'IMPORT VHC Report'!$E:$E, 'IMPORT VHC Report'!$A:$C), )</f>
        <v/>
      </c>
      <c r="C11558" s="44"/>
      <c r="D11558" s="44"/>
      <c r="L11558" s="45"/>
      <c r="N11558" s="45"/>
    </row>
    <row r="11559">
      <c r="A11559" s="40" t="str">
        <f t="shared" si="1"/>
        <v/>
      </c>
      <c r="B11559" s="37" t="str">
        <f t="array" ref="B11559">iferror(xlookup($I11559, 'IMPORT VHC Report'!$E:$E, 'IMPORT VHC Report'!$A:$C), )</f>
        <v/>
      </c>
      <c r="C11559" s="44"/>
      <c r="D11559" s="44"/>
      <c r="L11559" s="45"/>
      <c r="N11559" s="45"/>
    </row>
    <row r="11560">
      <c r="A11560" s="40" t="str">
        <f t="shared" si="1"/>
        <v/>
      </c>
      <c r="B11560" s="37" t="str">
        <f t="array" ref="B11560">iferror(xlookup($I11560, 'IMPORT VHC Report'!$E:$E, 'IMPORT VHC Report'!$A:$C), )</f>
        <v/>
      </c>
      <c r="C11560" s="44"/>
      <c r="D11560" s="44"/>
      <c r="L11560" s="45"/>
      <c r="N11560" s="45"/>
    </row>
    <row r="11561">
      <c r="A11561" s="40" t="str">
        <f t="shared" si="1"/>
        <v/>
      </c>
      <c r="B11561" s="37" t="str">
        <f t="array" ref="B11561">iferror(xlookup($I11561, 'IMPORT VHC Report'!$E:$E, 'IMPORT VHC Report'!$A:$C), )</f>
        <v/>
      </c>
      <c r="C11561" s="44"/>
      <c r="D11561" s="44"/>
      <c r="L11561" s="45"/>
      <c r="N11561" s="45"/>
    </row>
    <row r="11562">
      <c r="A11562" s="40" t="str">
        <f t="shared" si="1"/>
        <v/>
      </c>
      <c r="B11562" s="37" t="str">
        <f t="array" ref="B11562">iferror(xlookup($I11562, 'IMPORT VHC Report'!$E:$E, 'IMPORT VHC Report'!$A:$C), )</f>
        <v/>
      </c>
      <c r="C11562" s="44"/>
      <c r="D11562" s="44"/>
      <c r="L11562" s="45"/>
      <c r="N11562" s="45"/>
    </row>
    <row r="11563">
      <c r="A11563" s="40" t="str">
        <f t="shared" si="1"/>
        <v/>
      </c>
      <c r="B11563" s="37" t="str">
        <f t="array" ref="B11563">iferror(xlookup($I11563, 'IMPORT VHC Report'!$E:$E, 'IMPORT VHC Report'!$A:$C), )</f>
        <v/>
      </c>
      <c r="C11563" s="44"/>
      <c r="D11563" s="44"/>
      <c r="L11563" s="45"/>
      <c r="N11563" s="45"/>
    </row>
    <row r="11564">
      <c r="A11564" s="40" t="str">
        <f t="shared" si="1"/>
        <v/>
      </c>
      <c r="B11564" s="37" t="str">
        <f t="array" ref="B11564">iferror(xlookup($I11564, 'IMPORT VHC Report'!$E:$E, 'IMPORT VHC Report'!$A:$C), )</f>
        <v/>
      </c>
      <c r="C11564" s="44"/>
      <c r="D11564" s="44"/>
      <c r="L11564" s="45"/>
      <c r="N11564" s="45"/>
    </row>
    <row r="11565">
      <c r="A11565" s="40" t="str">
        <f t="shared" si="1"/>
        <v/>
      </c>
      <c r="B11565" s="37" t="str">
        <f t="array" ref="B11565">iferror(xlookup($I11565, 'IMPORT VHC Report'!$E:$E, 'IMPORT VHC Report'!$A:$C), )</f>
        <v/>
      </c>
      <c r="C11565" s="44"/>
      <c r="D11565" s="44"/>
      <c r="L11565" s="45"/>
      <c r="N11565" s="45"/>
    </row>
    <row r="11566">
      <c r="A11566" s="40" t="str">
        <f t="shared" si="1"/>
        <v/>
      </c>
      <c r="B11566" s="37" t="str">
        <f t="array" ref="B11566">iferror(xlookup($I11566, 'IMPORT VHC Report'!$E:$E, 'IMPORT VHC Report'!$A:$C), )</f>
        <v/>
      </c>
      <c r="C11566" s="44"/>
      <c r="D11566" s="44"/>
      <c r="L11566" s="45"/>
      <c r="N11566" s="45"/>
    </row>
    <row r="11567">
      <c r="A11567" s="40" t="str">
        <f t="shared" si="1"/>
        <v/>
      </c>
      <c r="B11567" s="37" t="str">
        <f t="array" ref="B11567">iferror(xlookup($I11567, 'IMPORT VHC Report'!$E:$E, 'IMPORT VHC Report'!$A:$C), )</f>
        <v/>
      </c>
      <c r="C11567" s="44"/>
      <c r="D11567" s="44"/>
      <c r="L11567" s="45"/>
      <c r="N11567" s="45"/>
    </row>
    <row r="11568">
      <c r="A11568" s="40" t="str">
        <f t="shared" si="1"/>
        <v/>
      </c>
      <c r="B11568" s="37" t="str">
        <f t="array" ref="B11568">iferror(xlookup($I11568, 'IMPORT VHC Report'!$E:$E, 'IMPORT VHC Report'!$A:$C), )</f>
        <v/>
      </c>
      <c r="C11568" s="44"/>
      <c r="D11568" s="44"/>
      <c r="L11568" s="45"/>
      <c r="N11568" s="45"/>
    </row>
    <row r="11569">
      <c r="A11569" s="40" t="str">
        <f t="shared" si="1"/>
        <v/>
      </c>
      <c r="B11569" s="37" t="str">
        <f t="array" ref="B11569">iferror(xlookup($I11569, 'IMPORT VHC Report'!$E:$E, 'IMPORT VHC Report'!$A:$C), )</f>
        <v/>
      </c>
      <c r="C11569" s="44"/>
      <c r="D11569" s="44"/>
      <c r="L11569" s="45"/>
      <c r="N11569" s="45"/>
    </row>
    <row r="11570">
      <c r="A11570" s="40" t="str">
        <f t="shared" si="1"/>
        <v/>
      </c>
      <c r="B11570" s="37" t="str">
        <f t="array" ref="B11570">iferror(xlookup($I11570, 'IMPORT VHC Report'!$E:$E, 'IMPORT VHC Report'!$A:$C), )</f>
        <v/>
      </c>
      <c r="C11570" s="44"/>
      <c r="D11570" s="44"/>
      <c r="L11570" s="45"/>
      <c r="N11570" s="45"/>
    </row>
    <row r="11571">
      <c r="A11571" s="40" t="str">
        <f t="shared" si="1"/>
        <v/>
      </c>
      <c r="B11571" s="37" t="str">
        <f t="array" ref="B11571">iferror(xlookup($I11571, 'IMPORT VHC Report'!$E:$E, 'IMPORT VHC Report'!$A:$C), )</f>
        <v/>
      </c>
      <c r="C11571" s="44"/>
      <c r="D11571" s="44"/>
      <c r="L11571" s="45"/>
      <c r="N11571" s="45"/>
    </row>
    <row r="11572">
      <c r="A11572" s="40" t="str">
        <f t="shared" si="1"/>
        <v/>
      </c>
      <c r="B11572" s="37" t="str">
        <f t="array" ref="B11572">iferror(xlookup($I11572, 'IMPORT VHC Report'!$E:$E, 'IMPORT VHC Report'!$A:$C), )</f>
        <v/>
      </c>
      <c r="C11572" s="44"/>
      <c r="D11572" s="44"/>
      <c r="L11572" s="45"/>
      <c r="N11572" s="45"/>
    </row>
    <row r="11573">
      <c r="A11573" s="40" t="str">
        <f t="shared" si="1"/>
        <v/>
      </c>
      <c r="B11573" s="37" t="str">
        <f t="array" ref="B11573">iferror(xlookup($I11573, 'IMPORT VHC Report'!$E:$E, 'IMPORT VHC Report'!$A:$C), )</f>
        <v/>
      </c>
      <c r="C11573" s="44"/>
      <c r="D11573" s="44"/>
      <c r="L11573" s="45"/>
      <c r="N11573" s="45"/>
    </row>
    <row r="11574">
      <c r="A11574" s="40" t="str">
        <f t="shared" si="1"/>
        <v/>
      </c>
      <c r="B11574" s="37" t="str">
        <f t="array" ref="B11574">iferror(xlookup($I11574, 'IMPORT VHC Report'!$E:$E, 'IMPORT VHC Report'!$A:$C), )</f>
        <v/>
      </c>
      <c r="C11574" s="44"/>
      <c r="D11574" s="44"/>
      <c r="L11574" s="45"/>
      <c r="N11574" s="45"/>
    </row>
    <row r="11575">
      <c r="A11575" s="40" t="str">
        <f t="shared" si="1"/>
        <v/>
      </c>
      <c r="B11575" s="37" t="str">
        <f t="array" ref="B11575">iferror(xlookup($I11575, 'IMPORT VHC Report'!$E:$E, 'IMPORT VHC Report'!$A:$C), )</f>
        <v/>
      </c>
      <c r="C11575" s="44"/>
      <c r="D11575" s="44"/>
      <c r="L11575" s="45"/>
      <c r="N11575" s="45"/>
    </row>
    <row r="11576">
      <c r="A11576" s="40" t="str">
        <f t="shared" si="1"/>
        <v/>
      </c>
      <c r="B11576" s="37" t="str">
        <f t="array" ref="B11576">iferror(xlookup($I11576, 'IMPORT VHC Report'!$E:$E, 'IMPORT VHC Report'!$A:$C), )</f>
        <v/>
      </c>
      <c r="C11576" s="44"/>
      <c r="D11576" s="44"/>
      <c r="L11576" s="45"/>
      <c r="N11576" s="45"/>
    </row>
    <row r="11577">
      <c r="A11577" s="40" t="str">
        <f t="shared" si="1"/>
        <v/>
      </c>
      <c r="B11577" s="37" t="str">
        <f t="array" ref="B11577">iferror(xlookup($I11577, 'IMPORT VHC Report'!$E:$E, 'IMPORT VHC Report'!$A:$C), )</f>
        <v/>
      </c>
      <c r="C11577" s="44"/>
      <c r="D11577" s="44"/>
      <c r="L11577" s="45"/>
      <c r="N11577" s="45"/>
    </row>
    <row r="11578">
      <c r="A11578" s="40" t="str">
        <f t="shared" si="1"/>
        <v/>
      </c>
      <c r="B11578" s="37" t="str">
        <f t="array" ref="B11578">iferror(xlookup($I11578, 'IMPORT VHC Report'!$E:$E, 'IMPORT VHC Report'!$A:$C), )</f>
        <v/>
      </c>
      <c r="C11578" s="44"/>
      <c r="D11578" s="44"/>
      <c r="L11578" s="45"/>
      <c r="N11578" s="45"/>
    </row>
    <row r="11579">
      <c r="A11579" s="40" t="str">
        <f t="shared" si="1"/>
        <v/>
      </c>
      <c r="B11579" s="37" t="str">
        <f t="array" ref="B11579">iferror(xlookup($I11579, 'IMPORT VHC Report'!$E:$E, 'IMPORT VHC Report'!$A:$C), )</f>
        <v/>
      </c>
      <c r="C11579" s="44"/>
      <c r="D11579" s="44"/>
      <c r="L11579" s="45"/>
      <c r="N11579" s="45"/>
    </row>
    <row r="11580">
      <c r="A11580" s="40" t="str">
        <f t="shared" si="1"/>
        <v/>
      </c>
      <c r="B11580" s="37" t="str">
        <f t="array" ref="B11580">iferror(xlookup($I11580, 'IMPORT VHC Report'!$E:$E, 'IMPORT VHC Report'!$A:$C), )</f>
        <v/>
      </c>
      <c r="C11580" s="44"/>
      <c r="D11580" s="44"/>
      <c r="L11580" s="45"/>
      <c r="N11580" s="45"/>
    </row>
    <row r="11581">
      <c r="A11581" s="40" t="str">
        <f t="shared" si="1"/>
        <v/>
      </c>
      <c r="B11581" s="37" t="str">
        <f t="array" ref="B11581">iferror(xlookup($I11581, 'IMPORT VHC Report'!$E:$E, 'IMPORT VHC Report'!$A:$C), )</f>
        <v/>
      </c>
      <c r="C11581" s="44"/>
      <c r="D11581" s="44"/>
      <c r="L11581" s="45"/>
      <c r="N11581" s="45"/>
    </row>
    <row r="11582">
      <c r="A11582" s="40" t="str">
        <f t="shared" si="1"/>
        <v/>
      </c>
      <c r="B11582" s="37" t="str">
        <f t="array" ref="B11582">iferror(xlookup($I11582, 'IMPORT VHC Report'!$E:$E, 'IMPORT VHC Report'!$A:$C), )</f>
        <v/>
      </c>
      <c r="C11582" s="44"/>
      <c r="D11582" s="44"/>
      <c r="L11582" s="45"/>
      <c r="N11582" s="45"/>
    </row>
    <row r="11583">
      <c r="A11583" s="40" t="str">
        <f t="shared" si="1"/>
        <v/>
      </c>
      <c r="B11583" s="37" t="str">
        <f t="array" ref="B11583">iferror(xlookup($I11583, 'IMPORT VHC Report'!$E:$E, 'IMPORT VHC Report'!$A:$C), )</f>
        <v/>
      </c>
      <c r="C11583" s="44"/>
      <c r="D11583" s="44"/>
      <c r="L11583" s="45"/>
      <c r="N11583" s="45"/>
    </row>
    <row r="11584">
      <c r="A11584" s="40" t="str">
        <f t="shared" si="1"/>
        <v/>
      </c>
      <c r="B11584" s="37" t="str">
        <f t="array" ref="B11584">iferror(xlookup($I11584, 'IMPORT VHC Report'!$E:$E, 'IMPORT VHC Report'!$A:$C), )</f>
        <v/>
      </c>
      <c r="C11584" s="44"/>
      <c r="D11584" s="44"/>
      <c r="L11584" s="45"/>
      <c r="N11584" s="45"/>
    </row>
    <row r="11585">
      <c r="A11585" s="40" t="str">
        <f t="shared" si="1"/>
        <v/>
      </c>
      <c r="B11585" s="37" t="str">
        <f t="array" ref="B11585">iferror(xlookup($I11585, 'IMPORT VHC Report'!$E:$E, 'IMPORT VHC Report'!$A:$C), )</f>
        <v/>
      </c>
      <c r="C11585" s="44"/>
      <c r="D11585" s="44"/>
      <c r="L11585" s="45"/>
      <c r="N11585" s="45"/>
    </row>
    <row r="11586">
      <c r="A11586" s="40" t="str">
        <f t="shared" si="1"/>
        <v/>
      </c>
      <c r="B11586" s="37" t="str">
        <f t="array" ref="B11586">iferror(xlookup($I11586, 'IMPORT VHC Report'!$E:$E, 'IMPORT VHC Report'!$A:$C), )</f>
        <v/>
      </c>
      <c r="C11586" s="44"/>
      <c r="D11586" s="44"/>
      <c r="L11586" s="45"/>
      <c r="N11586" s="45"/>
    </row>
    <row r="11587">
      <c r="A11587" s="40" t="str">
        <f t="shared" si="1"/>
        <v/>
      </c>
      <c r="B11587" s="37" t="str">
        <f t="array" ref="B11587">iferror(xlookup($I11587, 'IMPORT VHC Report'!$E:$E, 'IMPORT VHC Report'!$A:$C), )</f>
        <v/>
      </c>
      <c r="C11587" s="44"/>
      <c r="D11587" s="44"/>
      <c r="L11587" s="45"/>
      <c r="N11587" s="45"/>
    </row>
    <row r="11588">
      <c r="A11588" s="40" t="str">
        <f t="shared" si="1"/>
        <v/>
      </c>
      <c r="B11588" s="37" t="str">
        <f t="array" ref="B11588">iferror(xlookup($I11588, 'IMPORT VHC Report'!$E:$E, 'IMPORT VHC Report'!$A:$C), )</f>
        <v/>
      </c>
      <c r="C11588" s="44"/>
      <c r="D11588" s="44"/>
      <c r="L11588" s="45"/>
      <c r="N11588" s="45"/>
    </row>
    <row r="11589">
      <c r="A11589" s="40" t="str">
        <f t="shared" si="1"/>
        <v/>
      </c>
      <c r="B11589" s="37" t="str">
        <f t="array" ref="B11589">iferror(xlookup($I11589, 'IMPORT VHC Report'!$E:$E, 'IMPORT VHC Report'!$A:$C), )</f>
        <v/>
      </c>
      <c r="C11589" s="44"/>
      <c r="D11589" s="44"/>
      <c r="L11589" s="45"/>
      <c r="N11589" s="45"/>
    </row>
    <row r="11590">
      <c r="A11590" s="40" t="str">
        <f t="shared" si="1"/>
        <v/>
      </c>
      <c r="B11590" s="37" t="str">
        <f t="array" ref="B11590">iferror(xlookup($I11590, 'IMPORT VHC Report'!$E:$E, 'IMPORT VHC Report'!$A:$C), )</f>
        <v/>
      </c>
      <c r="C11590" s="44"/>
      <c r="D11590" s="44"/>
      <c r="L11590" s="45"/>
      <c r="N11590" s="45"/>
    </row>
    <row r="11591">
      <c r="A11591" s="40" t="str">
        <f t="shared" si="1"/>
        <v/>
      </c>
      <c r="B11591" s="37" t="str">
        <f t="array" ref="B11591">iferror(xlookup($I11591, 'IMPORT VHC Report'!$E:$E, 'IMPORT VHC Report'!$A:$C), )</f>
        <v/>
      </c>
      <c r="C11591" s="44"/>
      <c r="D11591" s="44"/>
      <c r="L11591" s="45"/>
      <c r="N11591" s="45"/>
    </row>
    <row r="11592">
      <c r="A11592" s="40" t="str">
        <f t="shared" si="1"/>
        <v/>
      </c>
      <c r="B11592" s="37" t="str">
        <f t="array" ref="B11592">iferror(xlookup($I11592, 'IMPORT VHC Report'!$E:$E, 'IMPORT VHC Report'!$A:$C), )</f>
        <v/>
      </c>
      <c r="C11592" s="44"/>
      <c r="D11592" s="44"/>
      <c r="L11592" s="45"/>
      <c r="N11592" s="45"/>
    </row>
    <row r="11593">
      <c r="A11593" s="40" t="str">
        <f t="shared" si="1"/>
        <v/>
      </c>
      <c r="B11593" s="37" t="str">
        <f t="array" ref="B11593">iferror(xlookup($I11593, 'IMPORT VHC Report'!$E:$E, 'IMPORT VHC Report'!$A:$C), )</f>
        <v/>
      </c>
      <c r="C11593" s="44"/>
      <c r="D11593" s="44"/>
      <c r="L11593" s="45"/>
      <c r="N11593" s="45"/>
    </row>
    <row r="11594">
      <c r="A11594" s="40" t="str">
        <f t="shared" si="1"/>
        <v/>
      </c>
      <c r="B11594" s="37" t="str">
        <f t="array" ref="B11594">iferror(xlookup($I11594, 'IMPORT VHC Report'!$E:$E, 'IMPORT VHC Report'!$A:$C), )</f>
        <v/>
      </c>
      <c r="C11594" s="44"/>
      <c r="D11594" s="44"/>
      <c r="L11594" s="45"/>
      <c r="N11594" s="45"/>
    </row>
    <row r="11595">
      <c r="A11595" s="40" t="str">
        <f t="shared" si="1"/>
        <v/>
      </c>
      <c r="B11595" s="37" t="str">
        <f t="array" ref="B11595">iferror(xlookup($I11595, 'IMPORT VHC Report'!$E:$E, 'IMPORT VHC Report'!$A:$C), )</f>
        <v/>
      </c>
      <c r="C11595" s="44"/>
      <c r="D11595" s="44"/>
      <c r="L11595" s="45"/>
      <c r="N11595" s="45"/>
    </row>
    <row r="11596">
      <c r="A11596" s="40" t="str">
        <f t="shared" si="1"/>
        <v/>
      </c>
      <c r="B11596" s="37" t="str">
        <f t="array" ref="B11596">iferror(xlookup($I11596, 'IMPORT VHC Report'!$E:$E, 'IMPORT VHC Report'!$A:$C), )</f>
        <v/>
      </c>
      <c r="C11596" s="44"/>
      <c r="D11596" s="44"/>
      <c r="L11596" s="45"/>
      <c r="N11596" s="45"/>
    </row>
    <row r="11597">
      <c r="A11597" s="40" t="str">
        <f t="shared" si="1"/>
        <v/>
      </c>
      <c r="B11597" s="37" t="str">
        <f t="array" ref="B11597">iferror(xlookup($I11597, 'IMPORT VHC Report'!$E:$E, 'IMPORT VHC Report'!$A:$C), )</f>
        <v/>
      </c>
      <c r="C11597" s="44"/>
      <c r="D11597" s="44"/>
      <c r="L11597" s="45"/>
      <c r="N11597" s="45"/>
    </row>
    <row r="11598">
      <c r="A11598" s="40" t="str">
        <f t="shared" si="1"/>
        <v/>
      </c>
      <c r="B11598" s="37" t="str">
        <f t="array" ref="B11598">iferror(xlookup($I11598, 'IMPORT VHC Report'!$E:$E, 'IMPORT VHC Report'!$A:$C), )</f>
        <v/>
      </c>
      <c r="C11598" s="44"/>
      <c r="D11598" s="44"/>
      <c r="L11598" s="45"/>
      <c r="N11598" s="45"/>
    </row>
    <row r="11599">
      <c r="A11599" s="40" t="str">
        <f t="shared" si="1"/>
        <v/>
      </c>
      <c r="B11599" s="37" t="str">
        <f t="array" ref="B11599">iferror(xlookup($I11599, 'IMPORT VHC Report'!$E:$E, 'IMPORT VHC Report'!$A:$C), )</f>
        <v/>
      </c>
      <c r="C11599" s="44"/>
      <c r="D11599" s="44"/>
      <c r="L11599" s="45"/>
      <c r="N11599" s="45"/>
    </row>
    <row r="11600">
      <c r="A11600" s="40" t="str">
        <f t="shared" si="1"/>
        <v/>
      </c>
      <c r="B11600" s="37" t="str">
        <f t="array" ref="B11600">iferror(xlookup($I11600, 'IMPORT VHC Report'!$E:$E, 'IMPORT VHC Report'!$A:$C), )</f>
        <v/>
      </c>
      <c r="C11600" s="44"/>
      <c r="D11600" s="44"/>
      <c r="L11600" s="45"/>
      <c r="N11600" s="45"/>
    </row>
    <row r="11601">
      <c r="A11601" s="40" t="str">
        <f t="shared" si="1"/>
        <v/>
      </c>
      <c r="B11601" s="37" t="str">
        <f t="array" ref="B11601">iferror(xlookup($I11601, 'IMPORT VHC Report'!$E:$E, 'IMPORT VHC Report'!$A:$C), )</f>
        <v/>
      </c>
      <c r="C11601" s="44"/>
      <c r="D11601" s="44"/>
      <c r="L11601" s="45"/>
      <c r="N11601" s="45"/>
    </row>
    <row r="11602">
      <c r="A11602" s="40" t="str">
        <f t="shared" si="1"/>
        <v/>
      </c>
      <c r="B11602" s="37" t="str">
        <f t="array" ref="B11602">iferror(xlookup($I11602, 'IMPORT VHC Report'!$E:$E, 'IMPORT VHC Report'!$A:$C), )</f>
        <v/>
      </c>
      <c r="C11602" s="44"/>
      <c r="D11602" s="44"/>
      <c r="L11602" s="45"/>
      <c r="N11602" s="45"/>
    </row>
    <row r="11603">
      <c r="A11603" s="40" t="str">
        <f t="shared" si="1"/>
        <v/>
      </c>
      <c r="B11603" s="37" t="str">
        <f t="array" ref="B11603">iferror(xlookup($I11603, 'IMPORT VHC Report'!$E:$E, 'IMPORT VHC Report'!$A:$C), )</f>
        <v/>
      </c>
      <c r="C11603" s="44"/>
      <c r="D11603" s="44"/>
      <c r="L11603" s="45"/>
      <c r="N11603" s="45"/>
    </row>
    <row r="11604">
      <c r="A11604" s="40" t="str">
        <f t="shared" si="1"/>
        <v/>
      </c>
      <c r="B11604" s="37" t="str">
        <f t="array" ref="B11604">iferror(xlookup($I11604, 'IMPORT VHC Report'!$E:$E, 'IMPORT VHC Report'!$A:$C), )</f>
        <v/>
      </c>
      <c r="C11604" s="44"/>
      <c r="D11604" s="44"/>
      <c r="L11604" s="45"/>
      <c r="N11604" s="45"/>
    </row>
    <row r="11605">
      <c r="A11605" s="40" t="str">
        <f t="shared" si="1"/>
        <v/>
      </c>
      <c r="B11605" s="37" t="str">
        <f t="array" ref="B11605">iferror(xlookup($I11605, 'IMPORT VHC Report'!$E:$E, 'IMPORT VHC Report'!$A:$C), )</f>
        <v/>
      </c>
      <c r="C11605" s="44"/>
      <c r="D11605" s="44"/>
      <c r="L11605" s="45"/>
      <c r="N11605" s="45"/>
    </row>
    <row r="11606">
      <c r="A11606" s="40" t="str">
        <f t="shared" si="1"/>
        <v/>
      </c>
      <c r="B11606" s="37" t="str">
        <f t="array" ref="B11606">iferror(xlookup($I11606, 'IMPORT VHC Report'!$E:$E, 'IMPORT VHC Report'!$A:$C), )</f>
        <v/>
      </c>
      <c r="C11606" s="44"/>
      <c r="D11606" s="44"/>
      <c r="L11606" s="45"/>
      <c r="N11606" s="45"/>
    </row>
    <row r="11607">
      <c r="A11607" s="40" t="str">
        <f t="shared" si="1"/>
        <v/>
      </c>
      <c r="B11607" s="37" t="str">
        <f t="array" ref="B11607">iferror(xlookup($I11607, 'IMPORT VHC Report'!$E:$E, 'IMPORT VHC Report'!$A:$C), )</f>
        <v/>
      </c>
      <c r="C11607" s="44"/>
      <c r="D11607" s="44"/>
      <c r="L11607" s="45"/>
      <c r="N11607" s="45"/>
    </row>
    <row r="11608">
      <c r="A11608" s="40" t="str">
        <f t="shared" si="1"/>
        <v/>
      </c>
      <c r="B11608" s="37" t="str">
        <f t="array" ref="B11608">iferror(xlookup($I11608, 'IMPORT VHC Report'!$E:$E, 'IMPORT VHC Report'!$A:$C), )</f>
        <v/>
      </c>
      <c r="C11608" s="44"/>
      <c r="D11608" s="44"/>
      <c r="L11608" s="45"/>
      <c r="N11608" s="45"/>
    </row>
    <row r="11609">
      <c r="A11609" s="40" t="str">
        <f t="shared" si="1"/>
        <v/>
      </c>
      <c r="B11609" s="37" t="str">
        <f t="array" ref="B11609">iferror(xlookup($I11609, 'IMPORT VHC Report'!$E:$E, 'IMPORT VHC Report'!$A:$C), )</f>
        <v/>
      </c>
      <c r="C11609" s="44"/>
      <c r="D11609" s="44"/>
      <c r="L11609" s="45"/>
      <c r="N11609" s="45"/>
    </row>
    <row r="11610">
      <c r="A11610" s="40" t="str">
        <f t="shared" si="1"/>
        <v/>
      </c>
      <c r="B11610" s="37" t="str">
        <f t="array" ref="B11610">iferror(xlookup($I11610, 'IMPORT VHC Report'!$E:$E, 'IMPORT VHC Report'!$A:$C), )</f>
        <v/>
      </c>
      <c r="C11610" s="44"/>
      <c r="D11610" s="44"/>
      <c r="L11610" s="45"/>
      <c r="N11610" s="45"/>
    </row>
    <row r="11611">
      <c r="A11611" s="40" t="str">
        <f t="shared" si="1"/>
        <v/>
      </c>
      <c r="B11611" s="37" t="str">
        <f t="array" ref="B11611">iferror(xlookup($I11611, 'IMPORT VHC Report'!$E:$E, 'IMPORT VHC Report'!$A:$C), )</f>
        <v/>
      </c>
      <c r="C11611" s="44"/>
      <c r="D11611" s="44"/>
      <c r="L11611" s="45"/>
      <c r="N11611" s="45"/>
    </row>
    <row r="11612">
      <c r="A11612" s="40" t="str">
        <f t="shared" si="1"/>
        <v/>
      </c>
      <c r="B11612" s="37" t="str">
        <f t="array" ref="B11612">iferror(xlookup($I11612, 'IMPORT VHC Report'!$E:$E, 'IMPORT VHC Report'!$A:$C), )</f>
        <v/>
      </c>
      <c r="C11612" s="44"/>
      <c r="D11612" s="44"/>
      <c r="L11612" s="45"/>
      <c r="N11612" s="45"/>
    </row>
    <row r="11613">
      <c r="A11613" s="40" t="str">
        <f t="shared" si="1"/>
        <v/>
      </c>
      <c r="B11613" s="37" t="str">
        <f t="array" ref="B11613">iferror(xlookup($I11613, 'IMPORT VHC Report'!$E:$E, 'IMPORT VHC Report'!$A:$C), )</f>
        <v/>
      </c>
      <c r="C11613" s="44"/>
      <c r="D11613" s="44"/>
      <c r="L11613" s="45"/>
      <c r="N11613" s="45"/>
    </row>
    <row r="11614">
      <c r="A11614" s="40" t="str">
        <f t="shared" si="1"/>
        <v/>
      </c>
      <c r="B11614" s="37" t="str">
        <f t="array" ref="B11614">iferror(xlookup($I11614, 'IMPORT VHC Report'!$E:$E, 'IMPORT VHC Report'!$A:$C), )</f>
        <v/>
      </c>
      <c r="C11614" s="44"/>
      <c r="D11614" s="44"/>
      <c r="L11614" s="45"/>
      <c r="N11614" s="45"/>
    </row>
    <row r="11615">
      <c r="A11615" s="40" t="str">
        <f t="shared" si="1"/>
        <v/>
      </c>
      <c r="B11615" s="37" t="str">
        <f t="array" ref="B11615">iferror(xlookup($I11615, 'IMPORT VHC Report'!$E:$E, 'IMPORT VHC Report'!$A:$C), )</f>
        <v/>
      </c>
      <c r="C11615" s="44"/>
      <c r="D11615" s="44"/>
      <c r="L11615" s="45"/>
      <c r="N11615" s="45"/>
    </row>
    <row r="11616">
      <c r="A11616" s="40" t="str">
        <f t="shared" si="1"/>
        <v/>
      </c>
      <c r="B11616" s="37" t="str">
        <f t="array" ref="B11616">iferror(xlookup($I11616, 'IMPORT VHC Report'!$E:$E, 'IMPORT VHC Report'!$A:$C), )</f>
        <v/>
      </c>
      <c r="C11616" s="44"/>
      <c r="D11616" s="44"/>
      <c r="L11616" s="45"/>
      <c r="N11616" s="45"/>
    </row>
    <row r="11617">
      <c r="A11617" s="40" t="str">
        <f t="shared" si="1"/>
        <v/>
      </c>
      <c r="B11617" s="37" t="str">
        <f t="array" ref="B11617">iferror(xlookup($I11617, 'IMPORT VHC Report'!$E:$E, 'IMPORT VHC Report'!$A:$C), )</f>
        <v/>
      </c>
      <c r="C11617" s="44"/>
      <c r="D11617" s="44"/>
      <c r="L11617" s="45"/>
      <c r="N11617" s="45"/>
    </row>
    <row r="11618">
      <c r="A11618" s="40" t="str">
        <f t="shared" si="1"/>
        <v/>
      </c>
      <c r="B11618" s="37" t="str">
        <f t="array" ref="B11618">iferror(xlookup($I11618, 'IMPORT VHC Report'!$E:$E, 'IMPORT VHC Report'!$A:$C), )</f>
        <v/>
      </c>
      <c r="C11618" s="44"/>
      <c r="D11618" s="44"/>
      <c r="L11618" s="45"/>
      <c r="N11618" s="45"/>
    </row>
    <row r="11619">
      <c r="A11619" s="40" t="str">
        <f t="shared" si="1"/>
        <v/>
      </c>
      <c r="B11619" s="37" t="str">
        <f t="array" ref="B11619">iferror(xlookup($I11619, 'IMPORT VHC Report'!$E:$E, 'IMPORT VHC Report'!$A:$C), )</f>
        <v/>
      </c>
      <c r="C11619" s="44"/>
      <c r="D11619" s="44"/>
      <c r="L11619" s="45"/>
      <c r="N11619" s="45"/>
    </row>
    <row r="11620">
      <c r="A11620" s="40" t="str">
        <f t="shared" si="1"/>
        <v/>
      </c>
      <c r="B11620" s="37" t="str">
        <f t="array" ref="B11620">iferror(xlookup($I11620, 'IMPORT VHC Report'!$E:$E, 'IMPORT VHC Report'!$A:$C), )</f>
        <v/>
      </c>
      <c r="C11620" s="44"/>
      <c r="D11620" s="44"/>
      <c r="L11620" s="45"/>
      <c r="N11620" s="45"/>
    </row>
    <row r="11621">
      <c r="A11621" s="40" t="str">
        <f t="shared" si="1"/>
        <v/>
      </c>
      <c r="B11621" s="37" t="str">
        <f t="array" ref="B11621">iferror(xlookup($I11621, 'IMPORT VHC Report'!$E:$E, 'IMPORT VHC Report'!$A:$C), )</f>
        <v/>
      </c>
      <c r="C11621" s="44"/>
      <c r="D11621" s="44"/>
      <c r="L11621" s="45"/>
      <c r="N11621" s="45"/>
    </row>
    <row r="11622">
      <c r="A11622" s="40" t="str">
        <f t="shared" si="1"/>
        <v/>
      </c>
      <c r="B11622" s="37" t="str">
        <f t="array" ref="B11622">iferror(xlookup($I11622, 'IMPORT VHC Report'!$E:$E, 'IMPORT VHC Report'!$A:$C), )</f>
        <v/>
      </c>
      <c r="C11622" s="44"/>
      <c r="D11622" s="44"/>
      <c r="L11622" s="45"/>
      <c r="N11622" s="45"/>
    </row>
    <row r="11623">
      <c r="A11623" s="40" t="str">
        <f t="shared" si="1"/>
        <v/>
      </c>
      <c r="B11623" s="37" t="str">
        <f t="array" ref="B11623">iferror(xlookup($I11623, 'IMPORT VHC Report'!$E:$E, 'IMPORT VHC Report'!$A:$C), )</f>
        <v/>
      </c>
      <c r="C11623" s="44"/>
      <c r="D11623" s="44"/>
      <c r="L11623" s="45"/>
      <c r="N11623" s="45"/>
    </row>
    <row r="11624">
      <c r="A11624" s="40" t="str">
        <f t="shared" si="1"/>
        <v/>
      </c>
      <c r="B11624" s="37" t="str">
        <f t="array" ref="B11624">iferror(xlookup($I11624, 'IMPORT VHC Report'!$E:$E, 'IMPORT VHC Report'!$A:$C), )</f>
        <v/>
      </c>
      <c r="C11624" s="44"/>
      <c r="D11624" s="44"/>
      <c r="L11624" s="45"/>
      <c r="N11624" s="45"/>
    </row>
    <row r="11625">
      <c r="A11625" s="40" t="str">
        <f t="shared" si="1"/>
        <v/>
      </c>
      <c r="B11625" s="37" t="str">
        <f t="array" ref="B11625">iferror(xlookup($I11625, 'IMPORT VHC Report'!$E:$E, 'IMPORT VHC Report'!$A:$C), )</f>
        <v/>
      </c>
      <c r="C11625" s="44"/>
      <c r="D11625" s="44"/>
      <c r="L11625" s="45"/>
      <c r="N11625" s="45"/>
    </row>
    <row r="11626">
      <c r="A11626" s="40" t="str">
        <f t="shared" si="1"/>
        <v/>
      </c>
      <c r="B11626" s="37" t="str">
        <f t="array" ref="B11626">iferror(xlookup($I11626, 'IMPORT VHC Report'!$E:$E, 'IMPORT VHC Report'!$A:$C), )</f>
        <v/>
      </c>
      <c r="C11626" s="44"/>
      <c r="D11626" s="44"/>
      <c r="L11626" s="45"/>
      <c r="N11626" s="45"/>
    </row>
    <row r="11627">
      <c r="A11627" s="40" t="str">
        <f t="shared" si="1"/>
        <v/>
      </c>
      <c r="B11627" s="37" t="str">
        <f t="array" ref="B11627">iferror(xlookup($I11627, 'IMPORT VHC Report'!$E:$E, 'IMPORT VHC Report'!$A:$C), )</f>
        <v/>
      </c>
      <c r="C11627" s="44"/>
      <c r="D11627" s="44"/>
      <c r="L11627" s="45"/>
      <c r="N11627" s="45"/>
    </row>
    <row r="11628">
      <c r="A11628" s="40" t="str">
        <f t="shared" si="1"/>
        <v/>
      </c>
      <c r="B11628" s="37" t="str">
        <f t="array" ref="B11628">iferror(xlookup($I11628, 'IMPORT VHC Report'!$E:$E, 'IMPORT VHC Report'!$A:$C), )</f>
        <v/>
      </c>
      <c r="C11628" s="44"/>
      <c r="D11628" s="44"/>
      <c r="L11628" s="45"/>
      <c r="N11628" s="45"/>
    </row>
    <row r="11629">
      <c r="A11629" s="40" t="str">
        <f t="shared" si="1"/>
        <v/>
      </c>
      <c r="B11629" s="37" t="str">
        <f t="array" ref="B11629">iferror(xlookup($I11629, 'IMPORT VHC Report'!$E:$E, 'IMPORT VHC Report'!$A:$C), )</f>
        <v/>
      </c>
      <c r="C11629" s="44"/>
      <c r="D11629" s="44"/>
      <c r="L11629" s="45"/>
      <c r="N11629" s="45"/>
    </row>
    <row r="11630">
      <c r="A11630" s="40" t="str">
        <f t="shared" si="1"/>
        <v/>
      </c>
      <c r="B11630" s="37" t="str">
        <f t="array" ref="B11630">iferror(xlookup($I11630, 'IMPORT VHC Report'!$E:$E, 'IMPORT VHC Report'!$A:$C), )</f>
        <v/>
      </c>
      <c r="C11630" s="44"/>
      <c r="D11630" s="44"/>
      <c r="L11630" s="45"/>
      <c r="N11630" s="45"/>
    </row>
    <row r="11631">
      <c r="A11631" s="40" t="str">
        <f t="shared" si="1"/>
        <v/>
      </c>
      <c r="B11631" s="37" t="str">
        <f t="array" ref="B11631">iferror(xlookup($I11631, 'IMPORT VHC Report'!$E:$E, 'IMPORT VHC Report'!$A:$C), )</f>
        <v/>
      </c>
      <c r="C11631" s="44"/>
      <c r="D11631" s="44"/>
      <c r="L11631" s="45"/>
      <c r="N11631" s="45"/>
    </row>
    <row r="11632">
      <c r="A11632" s="40" t="str">
        <f t="shared" si="1"/>
        <v/>
      </c>
      <c r="B11632" s="37" t="str">
        <f t="array" ref="B11632">iferror(xlookup($I11632, 'IMPORT VHC Report'!$E:$E, 'IMPORT VHC Report'!$A:$C), )</f>
        <v/>
      </c>
      <c r="C11632" s="44"/>
      <c r="D11632" s="44"/>
      <c r="L11632" s="45"/>
      <c r="N11632" s="45"/>
    </row>
    <row r="11633">
      <c r="A11633" s="40" t="str">
        <f t="shared" si="1"/>
        <v/>
      </c>
      <c r="B11633" s="37" t="str">
        <f t="array" ref="B11633">iferror(xlookup($I11633, 'IMPORT VHC Report'!$E:$E, 'IMPORT VHC Report'!$A:$C), )</f>
        <v/>
      </c>
      <c r="C11633" s="44"/>
      <c r="D11633" s="44"/>
      <c r="L11633" s="45"/>
      <c r="N11633" s="45"/>
    </row>
    <row r="11634">
      <c r="A11634" s="40" t="str">
        <f t="shared" si="1"/>
        <v/>
      </c>
      <c r="B11634" s="37" t="str">
        <f t="array" ref="B11634">iferror(xlookup($I11634, 'IMPORT VHC Report'!$E:$E, 'IMPORT VHC Report'!$A:$C), )</f>
        <v/>
      </c>
      <c r="C11634" s="44"/>
      <c r="D11634" s="44"/>
      <c r="L11634" s="45"/>
      <c r="N11634" s="45"/>
    </row>
    <row r="11635">
      <c r="A11635" s="40" t="str">
        <f t="shared" si="1"/>
        <v/>
      </c>
      <c r="B11635" s="37" t="str">
        <f t="array" ref="B11635">iferror(xlookup($I11635, 'IMPORT VHC Report'!$E:$E, 'IMPORT VHC Report'!$A:$C), )</f>
        <v/>
      </c>
      <c r="C11635" s="44"/>
      <c r="D11635" s="44"/>
      <c r="L11635" s="45"/>
      <c r="N11635" s="45"/>
    </row>
    <row r="11636">
      <c r="A11636" s="40" t="str">
        <f t="shared" si="1"/>
        <v/>
      </c>
      <c r="B11636" s="37" t="str">
        <f t="array" ref="B11636">iferror(xlookup($I11636, 'IMPORT VHC Report'!$E:$E, 'IMPORT VHC Report'!$A:$C), )</f>
        <v/>
      </c>
      <c r="C11636" s="44"/>
      <c r="D11636" s="44"/>
      <c r="L11636" s="45"/>
      <c r="N11636" s="45"/>
    </row>
    <row r="11637">
      <c r="A11637" s="40" t="str">
        <f t="shared" si="1"/>
        <v/>
      </c>
      <c r="B11637" s="37" t="str">
        <f t="array" ref="B11637">iferror(xlookup($I11637, 'IMPORT VHC Report'!$E:$E, 'IMPORT VHC Report'!$A:$C), )</f>
        <v/>
      </c>
      <c r="C11637" s="44"/>
      <c r="D11637" s="44"/>
      <c r="L11637" s="45"/>
      <c r="N11637" s="45"/>
    </row>
    <row r="11638">
      <c r="A11638" s="40" t="str">
        <f t="shared" si="1"/>
        <v/>
      </c>
      <c r="B11638" s="37" t="str">
        <f t="array" ref="B11638">iferror(xlookup($I11638, 'IMPORT VHC Report'!$E:$E, 'IMPORT VHC Report'!$A:$C), )</f>
        <v/>
      </c>
      <c r="C11638" s="44"/>
      <c r="D11638" s="44"/>
      <c r="L11638" s="45"/>
      <c r="N11638" s="45"/>
    </row>
    <row r="11639">
      <c r="A11639" s="40" t="str">
        <f t="shared" si="1"/>
        <v/>
      </c>
      <c r="B11639" s="37" t="str">
        <f t="array" ref="B11639">iferror(xlookup($I11639, 'IMPORT VHC Report'!$E:$E, 'IMPORT VHC Report'!$A:$C), )</f>
        <v/>
      </c>
      <c r="C11639" s="44"/>
      <c r="D11639" s="44"/>
      <c r="L11639" s="45"/>
      <c r="N11639" s="45"/>
    </row>
    <row r="11640">
      <c r="A11640" s="40" t="str">
        <f t="shared" si="1"/>
        <v/>
      </c>
      <c r="B11640" s="37" t="str">
        <f t="array" ref="B11640">iferror(xlookup($I11640, 'IMPORT VHC Report'!$E:$E, 'IMPORT VHC Report'!$A:$C), )</f>
        <v/>
      </c>
      <c r="C11640" s="44"/>
      <c r="D11640" s="44"/>
      <c r="L11640" s="45"/>
      <c r="N11640" s="45"/>
    </row>
    <row r="11641">
      <c r="A11641" s="40" t="str">
        <f t="shared" si="1"/>
        <v/>
      </c>
      <c r="B11641" s="37" t="str">
        <f t="array" ref="B11641">iferror(xlookup($I11641, 'IMPORT VHC Report'!$E:$E, 'IMPORT VHC Report'!$A:$C), )</f>
        <v/>
      </c>
      <c r="C11641" s="44"/>
      <c r="D11641" s="44"/>
      <c r="L11641" s="45"/>
      <c r="N11641" s="45"/>
    </row>
    <row r="11642">
      <c r="A11642" s="40" t="str">
        <f t="shared" si="1"/>
        <v/>
      </c>
      <c r="B11642" s="37" t="str">
        <f t="array" ref="B11642">iferror(xlookup($I11642, 'IMPORT VHC Report'!$E:$E, 'IMPORT VHC Report'!$A:$C), )</f>
        <v/>
      </c>
      <c r="C11642" s="44"/>
      <c r="D11642" s="44"/>
      <c r="L11642" s="45"/>
      <c r="N11642" s="45"/>
    </row>
    <row r="11643">
      <c r="A11643" s="40" t="str">
        <f t="shared" si="1"/>
        <v/>
      </c>
      <c r="B11643" s="37" t="str">
        <f t="array" ref="B11643">iferror(xlookup($I11643, 'IMPORT VHC Report'!$E:$E, 'IMPORT VHC Report'!$A:$C), )</f>
        <v/>
      </c>
      <c r="C11643" s="44"/>
      <c r="D11643" s="44"/>
      <c r="L11643" s="45"/>
      <c r="N11643" s="45"/>
    </row>
    <row r="11644">
      <c r="A11644" s="40" t="str">
        <f t="shared" si="1"/>
        <v/>
      </c>
      <c r="B11644" s="37" t="str">
        <f t="array" ref="B11644">iferror(xlookup($I11644, 'IMPORT VHC Report'!$E:$E, 'IMPORT VHC Report'!$A:$C), )</f>
        <v/>
      </c>
      <c r="C11644" s="44"/>
      <c r="D11644" s="44"/>
      <c r="L11644" s="45"/>
      <c r="N11644" s="45"/>
    </row>
    <row r="11645">
      <c r="A11645" s="40" t="str">
        <f t="shared" si="1"/>
        <v/>
      </c>
      <c r="B11645" s="37" t="str">
        <f t="array" ref="B11645">iferror(xlookup($I11645, 'IMPORT VHC Report'!$E:$E, 'IMPORT VHC Report'!$A:$C), )</f>
        <v/>
      </c>
      <c r="C11645" s="44"/>
      <c r="D11645" s="44"/>
      <c r="L11645" s="45"/>
      <c r="N11645" s="45"/>
    </row>
    <row r="11646">
      <c r="A11646" s="40" t="str">
        <f t="shared" si="1"/>
        <v/>
      </c>
      <c r="B11646" s="37" t="str">
        <f t="array" ref="B11646">iferror(xlookup($I11646, 'IMPORT VHC Report'!$E:$E, 'IMPORT VHC Report'!$A:$C), )</f>
        <v/>
      </c>
      <c r="C11646" s="44"/>
      <c r="D11646" s="44"/>
      <c r="L11646" s="45"/>
      <c r="N11646" s="45"/>
    </row>
    <row r="11647">
      <c r="A11647" s="40" t="str">
        <f t="shared" si="1"/>
        <v/>
      </c>
      <c r="B11647" s="37" t="str">
        <f t="array" ref="B11647">iferror(xlookup($I11647, 'IMPORT VHC Report'!$E:$E, 'IMPORT VHC Report'!$A:$C), )</f>
        <v/>
      </c>
      <c r="C11647" s="44"/>
      <c r="D11647" s="44"/>
      <c r="L11647" s="45"/>
      <c r="N11647" s="45"/>
    </row>
    <row r="11648">
      <c r="A11648" s="40" t="str">
        <f t="shared" si="1"/>
        <v/>
      </c>
      <c r="B11648" s="37" t="str">
        <f t="array" ref="B11648">iferror(xlookup($I11648, 'IMPORT VHC Report'!$E:$E, 'IMPORT VHC Report'!$A:$C), )</f>
        <v/>
      </c>
      <c r="C11648" s="44"/>
      <c r="D11648" s="44"/>
      <c r="L11648" s="45"/>
      <c r="N11648" s="45"/>
    </row>
    <row r="11649">
      <c r="A11649" s="40" t="str">
        <f t="shared" si="1"/>
        <v/>
      </c>
      <c r="B11649" s="37" t="str">
        <f t="array" ref="B11649">iferror(xlookup($I11649, 'IMPORT VHC Report'!$E:$E, 'IMPORT VHC Report'!$A:$C), )</f>
        <v/>
      </c>
      <c r="C11649" s="44"/>
      <c r="D11649" s="44"/>
      <c r="L11649" s="45"/>
      <c r="N11649" s="45"/>
    </row>
    <row r="11650">
      <c r="A11650" s="40" t="str">
        <f t="shared" si="1"/>
        <v/>
      </c>
      <c r="B11650" s="37" t="str">
        <f t="array" ref="B11650">iferror(xlookup($I11650, 'IMPORT VHC Report'!$E:$E, 'IMPORT VHC Report'!$A:$C), )</f>
        <v/>
      </c>
      <c r="C11650" s="44"/>
      <c r="D11650" s="44"/>
      <c r="L11650" s="45"/>
      <c r="N11650" s="45"/>
    </row>
    <row r="11651">
      <c r="A11651" s="40" t="str">
        <f t="shared" si="1"/>
        <v/>
      </c>
      <c r="B11651" s="37" t="str">
        <f t="array" ref="B11651">iferror(xlookup($I11651, 'IMPORT VHC Report'!$E:$E, 'IMPORT VHC Report'!$A:$C), )</f>
        <v/>
      </c>
      <c r="C11651" s="44"/>
      <c r="D11651" s="44"/>
      <c r="L11651" s="45"/>
      <c r="N11651" s="45"/>
    </row>
    <row r="11652">
      <c r="A11652" s="40" t="str">
        <f t="shared" si="1"/>
        <v/>
      </c>
      <c r="B11652" s="37" t="str">
        <f t="array" ref="B11652">iferror(xlookup($I11652, 'IMPORT VHC Report'!$E:$E, 'IMPORT VHC Report'!$A:$C), )</f>
        <v/>
      </c>
      <c r="C11652" s="44"/>
      <c r="D11652" s="44"/>
      <c r="L11652" s="45"/>
      <c r="N11652" s="45"/>
    </row>
    <row r="11653">
      <c r="A11653" s="40" t="str">
        <f t="shared" si="1"/>
        <v/>
      </c>
      <c r="B11653" s="37" t="str">
        <f t="array" ref="B11653">iferror(xlookup($I11653, 'IMPORT VHC Report'!$E:$E, 'IMPORT VHC Report'!$A:$C), )</f>
        <v/>
      </c>
      <c r="C11653" s="44"/>
      <c r="D11653" s="44"/>
      <c r="L11653" s="45"/>
      <c r="N11653" s="45"/>
    </row>
    <row r="11654">
      <c r="A11654" s="40" t="str">
        <f t="shared" si="1"/>
        <v/>
      </c>
      <c r="B11654" s="37" t="str">
        <f t="array" ref="B11654">iferror(xlookup($I11654, 'IMPORT VHC Report'!$E:$E, 'IMPORT VHC Report'!$A:$C), )</f>
        <v/>
      </c>
      <c r="C11654" s="44"/>
      <c r="D11654" s="44"/>
      <c r="L11654" s="45"/>
      <c r="N11654" s="45"/>
    </row>
    <row r="11655">
      <c r="A11655" s="40" t="str">
        <f t="shared" si="1"/>
        <v/>
      </c>
      <c r="B11655" s="37" t="str">
        <f t="array" ref="B11655">iferror(xlookup($I11655, 'IMPORT VHC Report'!$E:$E, 'IMPORT VHC Report'!$A:$C), )</f>
        <v/>
      </c>
      <c r="C11655" s="44"/>
      <c r="D11655" s="44"/>
      <c r="L11655" s="45"/>
      <c r="N11655" s="45"/>
    </row>
    <row r="11656">
      <c r="A11656" s="40" t="str">
        <f t="shared" si="1"/>
        <v/>
      </c>
      <c r="B11656" s="37" t="str">
        <f t="array" ref="B11656">iferror(xlookup($I11656, 'IMPORT VHC Report'!$E:$E, 'IMPORT VHC Report'!$A:$C), )</f>
        <v/>
      </c>
      <c r="C11656" s="44"/>
      <c r="D11656" s="44"/>
      <c r="L11656" s="45"/>
      <c r="N11656" s="45"/>
    </row>
    <row r="11657">
      <c r="A11657" s="40" t="str">
        <f t="shared" si="1"/>
        <v/>
      </c>
      <c r="B11657" s="37" t="str">
        <f t="array" ref="B11657">iferror(xlookup($I11657, 'IMPORT VHC Report'!$E:$E, 'IMPORT VHC Report'!$A:$C), )</f>
        <v/>
      </c>
      <c r="C11657" s="44"/>
      <c r="D11657" s="44"/>
      <c r="L11657" s="45"/>
      <c r="N11657" s="45"/>
    </row>
    <row r="11658">
      <c r="A11658" s="40" t="str">
        <f t="shared" si="1"/>
        <v/>
      </c>
      <c r="B11658" s="37" t="str">
        <f t="array" ref="B11658">iferror(xlookup($I11658, 'IMPORT VHC Report'!$E:$E, 'IMPORT VHC Report'!$A:$C), )</f>
        <v/>
      </c>
      <c r="C11658" s="44"/>
      <c r="D11658" s="44"/>
      <c r="L11658" s="45"/>
      <c r="N11658" s="45"/>
    </row>
    <row r="11659">
      <c r="A11659" s="40" t="str">
        <f t="shared" si="1"/>
        <v/>
      </c>
      <c r="B11659" s="37" t="str">
        <f t="array" ref="B11659">iferror(xlookup($I11659, 'IMPORT VHC Report'!$E:$E, 'IMPORT VHC Report'!$A:$C), )</f>
        <v/>
      </c>
      <c r="C11659" s="44"/>
      <c r="D11659" s="44"/>
      <c r="L11659" s="45"/>
      <c r="N11659" s="45"/>
    </row>
    <row r="11660">
      <c r="A11660" s="40" t="str">
        <f t="shared" si="1"/>
        <v/>
      </c>
      <c r="B11660" s="37" t="str">
        <f t="array" ref="B11660">iferror(xlookup($I11660, 'IMPORT VHC Report'!$E:$E, 'IMPORT VHC Report'!$A:$C), )</f>
        <v/>
      </c>
      <c r="C11660" s="44"/>
      <c r="D11660" s="44"/>
      <c r="L11660" s="45"/>
      <c r="N11660" s="45"/>
    </row>
    <row r="11661">
      <c r="A11661" s="40" t="str">
        <f t="shared" si="1"/>
        <v/>
      </c>
      <c r="B11661" s="37" t="str">
        <f t="array" ref="B11661">iferror(xlookup($I11661, 'IMPORT VHC Report'!$E:$E, 'IMPORT VHC Report'!$A:$C), )</f>
        <v/>
      </c>
      <c r="C11661" s="44"/>
      <c r="D11661" s="44"/>
      <c r="L11661" s="45"/>
      <c r="N11661" s="45"/>
    </row>
    <row r="11662">
      <c r="A11662" s="40" t="str">
        <f t="shared" si="1"/>
        <v/>
      </c>
      <c r="B11662" s="37" t="str">
        <f t="array" ref="B11662">iferror(xlookup($I11662, 'IMPORT VHC Report'!$E:$E, 'IMPORT VHC Report'!$A:$C), )</f>
        <v/>
      </c>
      <c r="C11662" s="44"/>
      <c r="D11662" s="44"/>
      <c r="L11662" s="45"/>
      <c r="N11662" s="45"/>
    </row>
    <row r="11663">
      <c r="A11663" s="40" t="str">
        <f t="shared" si="1"/>
        <v/>
      </c>
      <c r="B11663" s="37" t="str">
        <f t="array" ref="B11663">iferror(xlookup($I11663, 'IMPORT VHC Report'!$E:$E, 'IMPORT VHC Report'!$A:$C), )</f>
        <v/>
      </c>
      <c r="C11663" s="44"/>
      <c r="D11663" s="44"/>
      <c r="L11663" s="45"/>
      <c r="N11663" s="45"/>
    </row>
    <row r="11664">
      <c r="A11664" s="40" t="str">
        <f t="shared" si="1"/>
        <v/>
      </c>
      <c r="B11664" s="37" t="str">
        <f t="array" ref="B11664">iferror(xlookup($I11664, 'IMPORT VHC Report'!$E:$E, 'IMPORT VHC Report'!$A:$C), )</f>
        <v/>
      </c>
      <c r="C11664" s="44"/>
      <c r="D11664" s="44"/>
      <c r="L11664" s="45"/>
      <c r="N11664" s="45"/>
    </row>
    <row r="11665">
      <c r="A11665" s="40" t="str">
        <f t="shared" si="1"/>
        <v/>
      </c>
      <c r="B11665" s="37" t="str">
        <f t="array" ref="B11665">iferror(xlookup($I11665, 'IMPORT VHC Report'!$E:$E, 'IMPORT VHC Report'!$A:$C), )</f>
        <v/>
      </c>
      <c r="C11665" s="44"/>
      <c r="D11665" s="44"/>
      <c r="L11665" s="45"/>
      <c r="N11665" s="45"/>
    </row>
    <row r="11666">
      <c r="A11666" s="40" t="str">
        <f t="shared" si="1"/>
        <v/>
      </c>
      <c r="B11666" s="37" t="str">
        <f t="array" ref="B11666">iferror(xlookup($I11666, 'IMPORT VHC Report'!$E:$E, 'IMPORT VHC Report'!$A:$C), )</f>
        <v/>
      </c>
      <c r="C11666" s="44"/>
      <c r="D11666" s="44"/>
      <c r="L11666" s="45"/>
      <c r="N11666" s="45"/>
    </row>
    <row r="11667">
      <c r="A11667" s="40" t="str">
        <f t="shared" si="1"/>
        <v/>
      </c>
      <c r="B11667" s="37" t="str">
        <f t="array" ref="B11667">iferror(xlookup($I11667, 'IMPORT VHC Report'!$E:$E, 'IMPORT VHC Report'!$A:$C), )</f>
        <v/>
      </c>
      <c r="C11667" s="44"/>
      <c r="D11667" s="44"/>
      <c r="L11667" s="45"/>
      <c r="N11667" s="45"/>
    </row>
    <row r="11668">
      <c r="A11668" s="40" t="str">
        <f t="shared" si="1"/>
        <v/>
      </c>
      <c r="B11668" s="37" t="str">
        <f t="array" ref="B11668">iferror(xlookup($I11668, 'IMPORT VHC Report'!$E:$E, 'IMPORT VHC Report'!$A:$C), )</f>
        <v/>
      </c>
      <c r="C11668" s="44"/>
      <c r="D11668" s="44"/>
      <c r="L11668" s="45"/>
      <c r="N11668" s="45"/>
    </row>
    <row r="11669">
      <c r="A11669" s="40" t="str">
        <f t="shared" si="1"/>
        <v/>
      </c>
      <c r="B11669" s="37" t="str">
        <f t="array" ref="B11669">iferror(xlookup($I11669, 'IMPORT VHC Report'!$E:$E, 'IMPORT VHC Report'!$A:$C), )</f>
        <v/>
      </c>
      <c r="C11669" s="44"/>
      <c r="D11669" s="44"/>
      <c r="L11669" s="45"/>
      <c r="N11669" s="45"/>
    </row>
    <row r="11670">
      <c r="A11670" s="40" t="str">
        <f t="shared" si="1"/>
        <v/>
      </c>
      <c r="B11670" s="37" t="str">
        <f t="array" ref="B11670">iferror(xlookup($I11670, 'IMPORT VHC Report'!$E:$E, 'IMPORT VHC Report'!$A:$C), )</f>
        <v/>
      </c>
      <c r="C11670" s="44"/>
      <c r="D11670" s="44"/>
      <c r="L11670" s="45"/>
      <c r="N11670" s="45"/>
    </row>
    <row r="11671">
      <c r="A11671" s="40" t="str">
        <f t="shared" si="1"/>
        <v/>
      </c>
      <c r="B11671" s="37" t="str">
        <f t="array" ref="B11671">iferror(xlookup($I11671, 'IMPORT VHC Report'!$E:$E, 'IMPORT VHC Report'!$A:$C), )</f>
        <v/>
      </c>
      <c r="C11671" s="44"/>
      <c r="D11671" s="44"/>
      <c r="L11671" s="45"/>
      <c r="N11671" s="45"/>
    </row>
    <row r="11672">
      <c r="A11672" s="40" t="str">
        <f t="shared" si="1"/>
        <v/>
      </c>
      <c r="B11672" s="37" t="str">
        <f t="array" ref="B11672">iferror(xlookup($I11672, 'IMPORT VHC Report'!$E:$E, 'IMPORT VHC Report'!$A:$C), )</f>
        <v/>
      </c>
      <c r="C11672" s="44"/>
      <c r="D11672" s="44"/>
      <c r="L11672" s="45"/>
      <c r="N11672" s="45"/>
    </row>
    <row r="11673">
      <c r="A11673" s="40" t="str">
        <f t="shared" si="1"/>
        <v/>
      </c>
      <c r="B11673" s="37" t="str">
        <f t="array" ref="B11673">iferror(xlookup($I11673, 'IMPORT VHC Report'!$E:$E, 'IMPORT VHC Report'!$A:$C), )</f>
        <v/>
      </c>
      <c r="C11673" s="44"/>
      <c r="D11673" s="44"/>
      <c r="L11673" s="45"/>
      <c r="N11673" s="45"/>
    </row>
    <row r="11674">
      <c r="A11674" s="40" t="str">
        <f t="shared" si="1"/>
        <v/>
      </c>
      <c r="B11674" s="37" t="str">
        <f t="array" ref="B11674">iferror(xlookup($I11674, 'IMPORT VHC Report'!$E:$E, 'IMPORT VHC Report'!$A:$C), )</f>
        <v/>
      </c>
      <c r="C11674" s="44"/>
      <c r="D11674" s="44"/>
      <c r="L11674" s="45"/>
      <c r="N11674" s="45"/>
    </row>
    <row r="11675">
      <c r="A11675" s="40" t="str">
        <f t="shared" si="1"/>
        <v/>
      </c>
      <c r="B11675" s="37" t="str">
        <f t="array" ref="B11675">iferror(xlookup($I11675, 'IMPORT VHC Report'!$E:$E, 'IMPORT VHC Report'!$A:$C), )</f>
        <v/>
      </c>
      <c r="C11675" s="44"/>
      <c r="D11675" s="44"/>
      <c r="L11675" s="45"/>
      <c r="N11675" s="45"/>
    </row>
    <row r="11676">
      <c r="A11676" s="40" t="str">
        <f t="shared" si="1"/>
        <v/>
      </c>
      <c r="B11676" s="37" t="str">
        <f t="array" ref="B11676">iferror(xlookup($I11676, 'IMPORT VHC Report'!$E:$E, 'IMPORT VHC Report'!$A:$C), )</f>
        <v/>
      </c>
      <c r="C11676" s="44"/>
      <c r="D11676" s="44"/>
      <c r="L11676" s="45"/>
      <c r="N11676" s="45"/>
    </row>
    <row r="11677">
      <c r="A11677" s="40" t="str">
        <f t="shared" si="1"/>
        <v/>
      </c>
      <c r="B11677" s="37" t="str">
        <f t="array" ref="B11677">iferror(xlookup($I11677, 'IMPORT VHC Report'!$E:$E, 'IMPORT VHC Report'!$A:$C), )</f>
        <v/>
      </c>
      <c r="C11677" s="44"/>
      <c r="D11677" s="44"/>
      <c r="L11677" s="45"/>
      <c r="N11677" s="45"/>
    </row>
    <row r="11678">
      <c r="A11678" s="40" t="str">
        <f t="shared" si="1"/>
        <v/>
      </c>
      <c r="B11678" s="37" t="str">
        <f t="array" ref="B11678">iferror(xlookup($I11678, 'IMPORT VHC Report'!$E:$E, 'IMPORT VHC Report'!$A:$C), )</f>
        <v/>
      </c>
      <c r="C11678" s="44"/>
      <c r="D11678" s="44"/>
      <c r="L11678" s="45"/>
      <c r="N11678" s="45"/>
    </row>
    <row r="11679">
      <c r="A11679" s="40" t="str">
        <f t="shared" si="1"/>
        <v/>
      </c>
      <c r="B11679" s="37" t="str">
        <f t="array" ref="B11679">iferror(xlookup($I11679, 'IMPORT VHC Report'!$E:$E, 'IMPORT VHC Report'!$A:$C), )</f>
        <v/>
      </c>
      <c r="C11679" s="44"/>
      <c r="D11679" s="44"/>
      <c r="L11679" s="45"/>
      <c r="N11679" s="45"/>
    </row>
    <row r="11680">
      <c r="A11680" s="40" t="str">
        <f t="shared" si="1"/>
        <v/>
      </c>
      <c r="B11680" s="37" t="str">
        <f t="array" ref="B11680">iferror(xlookup($I11680, 'IMPORT VHC Report'!$E:$E, 'IMPORT VHC Report'!$A:$C), )</f>
        <v/>
      </c>
      <c r="C11680" s="44"/>
      <c r="D11680" s="44"/>
      <c r="L11680" s="45"/>
      <c r="N11680" s="45"/>
    </row>
    <row r="11681">
      <c r="A11681" s="40" t="str">
        <f t="shared" si="1"/>
        <v/>
      </c>
      <c r="B11681" s="37" t="str">
        <f t="array" ref="B11681">iferror(xlookup($I11681, 'IMPORT VHC Report'!$E:$E, 'IMPORT VHC Report'!$A:$C), )</f>
        <v/>
      </c>
      <c r="C11681" s="44"/>
      <c r="D11681" s="44"/>
      <c r="L11681" s="45"/>
      <c r="N11681" s="45"/>
    </row>
    <row r="11682">
      <c r="A11682" s="40" t="str">
        <f t="shared" si="1"/>
        <v/>
      </c>
      <c r="B11682" s="37" t="str">
        <f t="array" ref="B11682">iferror(xlookup($I11682, 'IMPORT VHC Report'!$E:$E, 'IMPORT VHC Report'!$A:$C), )</f>
        <v/>
      </c>
      <c r="C11682" s="44"/>
      <c r="D11682" s="44"/>
      <c r="L11682" s="45"/>
      <c r="N11682" s="45"/>
    </row>
    <row r="11683">
      <c r="A11683" s="40" t="str">
        <f t="shared" si="1"/>
        <v/>
      </c>
      <c r="B11683" s="37" t="str">
        <f t="array" ref="B11683">iferror(xlookup($I11683, 'IMPORT VHC Report'!$E:$E, 'IMPORT VHC Report'!$A:$C), )</f>
        <v/>
      </c>
      <c r="C11683" s="44"/>
      <c r="D11683" s="44"/>
      <c r="L11683" s="45"/>
      <c r="N11683" s="45"/>
    </row>
    <row r="11684">
      <c r="A11684" s="40" t="str">
        <f t="shared" si="1"/>
        <v/>
      </c>
      <c r="B11684" s="37" t="str">
        <f t="array" ref="B11684">iferror(xlookup($I11684, 'IMPORT VHC Report'!$E:$E, 'IMPORT VHC Report'!$A:$C), )</f>
        <v/>
      </c>
      <c r="C11684" s="44"/>
      <c r="D11684" s="44"/>
      <c r="L11684" s="45"/>
      <c r="N11684" s="45"/>
    </row>
    <row r="11685">
      <c r="A11685" s="40" t="str">
        <f t="shared" si="1"/>
        <v/>
      </c>
      <c r="B11685" s="37" t="str">
        <f t="array" ref="B11685">iferror(xlookup($I11685, 'IMPORT VHC Report'!$E:$E, 'IMPORT VHC Report'!$A:$C), )</f>
        <v/>
      </c>
      <c r="C11685" s="44"/>
      <c r="D11685" s="44"/>
      <c r="L11685" s="45"/>
      <c r="N11685" s="45"/>
    </row>
    <row r="11686">
      <c r="A11686" s="40" t="str">
        <f t="shared" si="1"/>
        <v/>
      </c>
      <c r="B11686" s="37" t="str">
        <f t="array" ref="B11686">iferror(xlookup($I11686, 'IMPORT VHC Report'!$E:$E, 'IMPORT VHC Report'!$A:$C), )</f>
        <v/>
      </c>
      <c r="C11686" s="44"/>
      <c r="D11686" s="44"/>
      <c r="L11686" s="45"/>
      <c r="N11686" s="45"/>
    </row>
    <row r="11687">
      <c r="A11687" s="40" t="str">
        <f t="shared" si="1"/>
        <v/>
      </c>
      <c r="B11687" s="37" t="str">
        <f t="array" ref="B11687">iferror(xlookup($I11687, 'IMPORT VHC Report'!$E:$E, 'IMPORT VHC Report'!$A:$C), )</f>
        <v/>
      </c>
      <c r="C11687" s="44"/>
      <c r="D11687" s="44"/>
      <c r="L11687" s="45"/>
      <c r="N11687" s="45"/>
    </row>
    <row r="11688">
      <c r="A11688" s="40" t="str">
        <f t="shared" si="1"/>
        <v/>
      </c>
      <c r="B11688" s="37" t="str">
        <f t="array" ref="B11688">iferror(xlookup($I11688, 'IMPORT VHC Report'!$E:$E, 'IMPORT VHC Report'!$A:$C), )</f>
        <v/>
      </c>
      <c r="C11688" s="44"/>
      <c r="D11688" s="44"/>
      <c r="L11688" s="45"/>
      <c r="N11688" s="45"/>
    </row>
    <row r="11689">
      <c r="A11689" s="40" t="str">
        <f t="shared" si="1"/>
        <v/>
      </c>
      <c r="B11689" s="37" t="str">
        <f t="array" ref="B11689">iferror(xlookup($I11689, 'IMPORT VHC Report'!$E:$E, 'IMPORT VHC Report'!$A:$C), )</f>
        <v/>
      </c>
      <c r="C11689" s="44"/>
      <c r="D11689" s="44"/>
      <c r="L11689" s="45"/>
      <c r="N11689" s="45"/>
    </row>
    <row r="11690">
      <c r="A11690" s="40" t="str">
        <f t="shared" si="1"/>
        <v/>
      </c>
      <c r="B11690" s="37" t="str">
        <f t="array" ref="B11690">iferror(xlookup($I11690, 'IMPORT VHC Report'!$E:$E, 'IMPORT VHC Report'!$A:$C), )</f>
        <v/>
      </c>
      <c r="C11690" s="44"/>
      <c r="D11690" s="44"/>
      <c r="L11690" s="45"/>
      <c r="N11690" s="45"/>
    </row>
    <row r="11691">
      <c r="A11691" s="40" t="str">
        <f t="shared" si="1"/>
        <v/>
      </c>
      <c r="B11691" s="37" t="str">
        <f t="array" ref="B11691">iferror(xlookup($I11691, 'IMPORT VHC Report'!$E:$E, 'IMPORT VHC Report'!$A:$C), )</f>
        <v/>
      </c>
      <c r="C11691" s="44"/>
      <c r="D11691" s="44"/>
      <c r="L11691" s="45"/>
      <c r="N11691" s="45"/>
    </row>
    <row r="11692">
      <c r="A11692" s="40" t="str">
        <f t="shared" si="1"/>
        <v/>
      </c>
      <c r="B11692" s="37" t="str">
        <f t="array" ref="B11692">iferror(xlookup($I11692, 'IMPORT VHC Report'!$E:$E, 'IMPORT VHC Report'!$A:$C), )</f>
        <v/>
      </c>
      <c r="C11692" s="44"/>
      <c r="D11692" s="44"/>
      <c r="L11692" s="45"/>
      <c r="N11692" s="45"/>
    </row>
    <row r="11693">
      <c r="A11693" s="40" t="str">
        <f t="shared" si="1"/>
        <v/>
      </c>
      <c r="B11693" s="37" t="str">
        <f t="array" ref="B11693">iferror(xlookup($I11693, 'IMPORT VHC Report'!$E:$E, 'IMPORT VHC Report'!$A:$C), )</f>
        <v/>
      </c>
      <c r="C11693" s="44"/>
      <c r="D11693" s="44"/>
      <c r="L11693" s="45"/>
      <c r="N11693" s="45"/>
    </row>
    <row r="11694">
      <c r="A11694" s="40" t="str">
        <f t="shared" si="1"/>
        <v/>
      </c>
      <c r="B11694" s="37" t="str">
        <f t="array" ref="B11694">iferror(xlookup($I11694, 'IMPORT VHC Report'!$E:$E, 'IMPORT VHC Report'!$A:$C), )</f>
        <v/>
      </c>
      <c r="C11694" s="44"/>
      <c r="D11694" s="44"/>
      <c r="L11694" s="45"/>
      <c r="N11694" s="45"/>
    </row>
    <row r="11695">
      <c r="A11695" s="40" t="str">
        <f t="shared" si="1"/>
        <v/>
      </c>
      <c r="B11695" s="37" t="str">
        <f t="array" ref="B11695">iferror(xlookup($I11695, 'IMPORT VHC Report'!$E:$E, 'IMPORT VHC Report'!$A:$C), )</f>
        <v/>
      </c>
      <c r="C11695" s="44"/>
      <c r="D11695" s="44"/>
      <c r="L11695" s="45"/>
      <c r="N11695" s="45"/>
    </row>
    <row r="11696">
      <c r="A11696" s="40" t="str">
        <f t="shared" si="1"/>
        <v/>
      </c>
      <c r="B11696" s="37" t="str">
        <f t="array" ref="B11696">iferror(xlookup($I11696, 'IMPORT VHC Report'!$E:$E, 'IMPORT VHC Report'!$A:$C), )</f>
        <v/>
      </c>
      <c r="C11696" s="44"/>
      <c r="D11696" s="44"/>
      <c r="L11696" s="45"/>
      <c r="N11696" s="45"/>
    </row>
    <row r="11697">
      <c r="A11697" s="40" t="str">
        <f t="shared" si="1"/>
        <v/>
      </c>
      <c r="B11697" s="37" t="str">
        <f t="array" ref="B11697">iferror(xlookup($I11697, 'IMPORT VHC Report'!$E:$E, 'IMPORT VHC Report'!$A:$C), )</f>
        <v/>
      </c>
      <c r="C11697" s="44"/>
      <c r="D11697" s="44"/>
      <c r="L11697" s="45"/>
      <c r="N11697" s="45"/>
    </row>
    <row r="11698">
      <c r="A11698" s="40" t="str">
        <f t="shared" si="1"/>
        <v/>
      </c>
      <c r="B11698" s="37" t="str">
        <f t="array" ref="B11698">iferror(xlookup($I11698, 'IMPORT VHC Report'!$E:$E, 'IMPORT VHC Report'!$A:$C), )</f>
        <v/>
      </c>
      <c r="C11698" s="44"/>
      <c r="D11698" s="44"/>
      <c r="L11698" s="45"/>
      <c r="N11698" s="45"/>
    </row>
    <row r="11699">
      <c r="A11699" s="40" t="str">
        <f t="shared" si="1"/>
        <v/>
      </c>
      <c r="B11699" s="37" t="str">
        <f t="array" ref="B11699">iferror(xlookup($I11699, 'IMPORT VHC Report'!$E:$E, 'IMPORT VHC Report'!$A:$C), )</f>
        <v/>
      </c>
      <c r="C11699" s="44"/>
      <c r="D11699" s="44"/>
      <c r="L11699" s="45"/>
      <c r="N11699" s="45"/>
    </row>
    <row r="11700">
      <c r="A11700" s="40" t="str">
        <f t="shared" si="1"/>
        <v/>
      </c>
      <c r="B11700" s="37" t="str">
        <f t="array" ref="B11700">iferror(xlookup($I11700, 'IMPORT VHC Report'!$E:$E, 'IMPORT VHC Report'!$A:$C), )</f>
        <v/>
      </c>
      <c r="C11700" s="44"/>
      <c r="D11700" s="44"/>
      <c r="L11700" s="45"/>
      <c r="N11700" s="45"/>
    </row>
    <row r="11701">
      <c r="A11701" s="40" t="str">
        <f t="shared" si="1"/>
        <v/>
      </c>
      <c r="B11701" s="37" t="str">
        <f t="array" ref="B11701">iferror(xlookup($I11701, 'IMPORT VHC Report'!$E:$E, 'IMPORT VHC Report'!$A:$C), )</f>
        <v/>
      </c>
      <c r="C11701" s="44"/>
      <c r="D11701" s="44"/>
      <c r="L11701" s="45"/>
      <c r="N11701" s="45"/>
    </row>
    <row r="11702">
      <c r="A11702" s="40" t="str">
        <f t="shared" si="1"/>
        <v/>
      </c>
      <c r="B11702" s="37" t="str">
        <f t="array" ref="B11702">iferror(xlookup($I11702, 'IMPORT VHC Report'!$E:$E, 'IMPORT VHC Report'!$A:$C), )</f>
        <v/>
      </c>
      <c r="C11702" s="44"/>
      <c r="D11702" s="44"/>
      <c r="L11702" s="45"/>
      <c r="N11702" s="45"/>
    </row>
    <row r="11703">
      <c r="A11703" s="40" t="str">
        <f t="shared" si="1"/>
        <v/>
      </c>
      <c r="B11703" s="37" t="str">
        <f t="array" ref="B11703">iferror(xlookup($I11703, 'IMPORT VHC Report'!$E:$E, 'IMPORT VHC Report'!$A:$C), )</f>
        <v/>
      </c>
      <c r="C11703" s="44"/>
      <c r="D11703" s="44"/>
      <c r="L11703" s="45"/>
      <c r="N11703" s="45"/>
    </row>
    <row r="11704">
      <c r="A11704" s="40" t="str">
        <f t="shared" si="1"/>
        <v/>
      </c>
      <c r="B11704" s="37" t="str">
        <f t="array" ref="B11704">iferror(xlookup($I11704, 'IMPORT VHC Report'!$E:$E, 'IMPORT VHC Report'!$A:$C), )</f>
        <v/>
      </c>
      <c r="C11704" s="44"/>
      <c r="D11704" s="44"/>
      <c r="L11704" s="45"/>
      <c r="N11704" s="45"/>
    </row>
    <row r="11705">
      <c r="A11705" s="40" t="str">
        <f t="shared" si="1"/>
        <v/>
      </c>
      <c r="B11705" s="37" t="str">
        <f t="array" ref="B11705">iferror(xlookup($I11705, 'IMPORT VHC Report'!$E:$E, 'IMPORT VHC Report'!$A:$C), )</f>
        <v/>
      </c>
      <c r="C11705" s="44"/>
      <c r="D11705" s="44"/>
      <c r="L11705" s="45"/>
      <c r="N11705" s="45"/>
    </row>
    <row r="11706">
      <c r="A11706" s="40" t="str">
        <f t="shared" si="1"/>
        <v/>
      </c>
      <c r="B11706" s="37" t="str">
        <f t="array" ref="B11706">iferror(xlookup($I11706, 'IMPORT VHC Report'!$E:$E, 'IMPORT VHC Report'!$A:$C), )</f>
        <v/>
      </c>
      <c r="C11706" s="44"/>
      <c r="D11706" s="44"/>
      <c r="L11706" s="45"/>
      <c r="N11706" s="45"/>
    </row>
    <row r="11707">
      <c r="A11707" s="40" t="str">
        <f t="shared" si="1"/>
        <v/>
      </c>
      <c r="B11707" s="37" t="str">
        <f t="array" ref="B11707">iferror(xlookup($I11707, 'IMPORT VHC Report'!$E:$E, 'IMPORT VHC Report'!$A:$C), )</f>
        <v/>
      </c>
      <c r="C11707" s="44"/>
      <c r="D11707" s="44"/>
      <c r="L11707" s="45"/>
      <c r="N11707" s="45"/>
    </row>
    <row r="11708">
      <c r="A11708" s="40" t="str">
        <f t="shared" si="1"/>
        <v/>
      </c>
      <c r="B11708" s="37" t="str">
        <f t="array" ref="B11708">iferror(xlookup($I11708, 'IMPORT VHC Report'!$E:$E, 'IMPORT VHC Report'!$A:$C), )</f>
        <v/>
      </c>
      <c r="C11708" s="44"/>
      <c r="D11708" s="44"/>
      <c r="L11708" s="45"/>
      <c r="N11708" s="45"/>
    </row>
    <row r="11709">
      <c r="A11709" s="40" t="str">
        <f t="shared" si="1"/>
        <v/>
      </c>
      <c r="B11709" s="37" t="str">
        <f t="array" ref="B11709">iferror(xlookup($I11709, 'IMPORT VHC Report'!$E:$E, 'IMPORT VHC Report'!$A:$C), )</f>
        <v/>
      </c>
      <c r="C11709" s="44"/>
      <c r="D11709" s="44"/>
      <c r="L11709" s="45"/>
      <c r="N11709" s="45"/>
    </row>
    <row r="11710">
      <c r="A11710" s="40" t="str">
        <f t="shared" si="1"/>
        <v/>
      </c>
      <c r="B11710" s="37" t="str">
        <f t="array" ref="B11710">iferror(xlookup($I11710, 'IMPORT VHC Report'!$E:$E, 'IMPORT VHC Report'!$A:$C), )</f>
        <v/>
      </c>
      <c r="C11710" s="44"/>
      <c r="D11710" s="44"/>
      <c r="L11710" s="45"/>
      <c r="N11710" s="45"/>
    </row>
    <row r="11711">
      <c r="A11711" s="40" t="str">
        <f t="shared" si="1"/>
        <v/>
      </c>
      <c r="B11711" s="37" t="str">
        <f t="array" ref="B11711">iferror(xlookup($I11711, 'IMPORT VHC Report'!$E:$E, 'IMPORT VHC Report'!$A:$C), )</f>
        <v/>
      </c>
      <c r="C11711" s="44"/>
      <c r="D11711" s="44"/>
      <c r="L11711" s="45"/>
      <c r="N11711" s="45"/>
    </row>
    <row r="11712">
      <c r="A11712" s="40" t="str">
        <f t="shared" si="1"/>
        <v/>
      </c>
      <c r="B11712" s="37" t="str">
        <f t="array" ref="B11712">iferror(xlookup($I11712, 'IMPORT VHC Report'!$E:$E, 'IMPORT VHC Report'!$A:$C), )</f>
        <v/>
      </c>
      <c r="C11712" s="44"/>
      <c r="D11712" s="44"/>
      <c r="L11712" s="45"/>
      <c r="N11712" s="45"/>
    </row>
    <row r="11713">
      <c r="A11713" s="40" t="str">
        <f t="shared" si="1"/>
        <v/>
      </c>
      <c r="B11713" s="37" t="str">
        <f t="array" ref="B11713">iferror(xlookup($I11713, 'IMPORT VHC Report'!$E:$E, 'IMPORT VHC Report'!$A:$C), )</f>
        <v/>
      </c>
      <c r="C11713" s="44"/>
      <c r="D11713" s="44"/>
      <c r="L11713" s="45"/>
      <c r="N11713" s="45"/>
    </row>
    <row r="11714">
      <c r="A11714" s="40" t="str">
        <f t="shared" si="1"/>
        <v/>
      </c>
      <c r="B11714" s="37" t="str">
        <f t="array" ref="B11714">iferror(xlookup($I11714, 'IMPORT VHC Report'!$E:$E, 'IMPORT VHC Report'!$A:$C), )</f>
        <v/>
      </c>
      <c r="C11714" s="44"/>
      <c r="D11714" s="44"/>
      <c r="L11714" s="45"/>
      <c r="N11714" s="45"/>
    </row>
    <row r="11715">
      <c r="A11715" s="40" t="str">
        <f t="shared" si="1"/>
        <v/>
      </c>
      <c r="B11715" s="37" t="str">
        <f t="array" ref="B11715">iferror(xlookup($I11715, 'IMPORT VHC Report'!$E:$E, 'IMPORT VHC Report'!$A:$C), )</f>
        <v/>
      </c>
      <c r="C11715" s="44"/>
      <c r="D11715" s="44"/>
      <c r="L11715" s="45"/>
      <c r="N11715" s="45"/>
    </row>
    <row r="11716">
      <c r="A11716" s="40" t="str">
        <f t="shared" si="1"/>
        <v/>
      </c>
      <c r="B11716" s="37" t="str">
        <f t="array" ref="B11716">iferror(xlookup($I11716, 'IMPORT VHC Report'!$E:$E, 'IMPORT VHC Report'!$A:$C), )</f>
        <v/>
      </c>
      <c r="C11716" s="44"/>
      <c r="D11716" s="44"/>
      <c r="L11716" s="45"/>
      <c r="N11716" s="45"/>
    </row>
    <row r="11717">
      <c r="A11717" s="40" t="str">
        <f t="shared" si="1"/>
        <v/>
      </c>
      <c r="B11717" s="37" t="str">
        <f t="array" ref="B11717">iferror(xlookup($I11717, 'IMPORT VHC Report'!$E:$E, 'IMPORT VHC Report'!$A:$C), )</f>
        <v/>
      </c>
      <c r="C11717" s="44"/>
      <c r="D11717" s="44"/>
      <c r="L11717" s="45"/>
      <c r="N11717" s="45"/>
    </row>
    <row r="11718">
      <c r="A11718" s="40" t="str">
        <f t="shared" si="1"/>
        <v/>
      </c>
      <c r="B11718" s="37" t="str">
        <f t="array" ref="B11718">iferror(xlookup($I11718, 'IMPORT VHC Report'!$E:$E, 'IMPORT VHC Report'!$A:$C), )</f>
        <v/>
      </c>
      <c r="C11718" s="44"/>
      <c r="D11718" s="44"/>
      <c r="L11718" s="45"/>
      <c r="N11718" s="45"/>
    </row>
    <row r="11719">
      <c r="A11719" s="40" t="str">
        <f t="shared" si="1"/>
        <v/>
      </c>
      <c r="B11719" s="37" t="str">
        <f t="array" ref="B11719">iferror(xlookup($I11719, 'IMPORT VHC Report'!$E:$E, 'IMPORT VHC Report'!$A:$C), )</f>
        <v/>
      </c>
      <c r="C11719" s="44"/>
      <c r="D11719" s="44"/>
      <c r="L11719" s="45"/>
      <c r="N11719" s="45"/>
    </row>
    <row r="11720">
      <c r="A11720" s="40" t="str">
        <f t="shared" si="1"/>
        <v/>
      </c>
      <c r="B11720" s="37" t="str">
        <f t="array" ref="B11720">iferror(xlookup($I11720, 'IMPORT VHC Report'!$E:$E, 'IMPORT VHC Report'!$A:$C), )</f>
        <v/>
      </c>
      <c r="C11720" s="44"/>
      <c r="D11720" s="44"/>
      <c r="L11720" s="45"/>
      <c r="N11720" s="45"/>
    </row>
    <row r="11721">
      <c r="A11721" s="40" t="str">
        <f t="shared" si="1"/>
        <v/>
      </c>
      <c r="B11721" s="37" t="str">
        <f t="array" ref="B11721">iferror(xlookup($I11721, 'IMPORT VHC Report'!$E:$E, 'IMPORT VHC Report'!$A:$C), )</f>
        <v/>
      </c>
      <c r="C11721" s="44"/>
      <c r="D11721" s="44"/>
      <c r="L11721" s="45"/>
      <c r="N11721" s="45"/>
    </row>
    <row r="11722">
      <c r="A11722" s="40" t="str">
        <f t="shared" si="1"/>
        <v/>
      </c>
      <c r="B11722" s="37" t="str">
        <f t="array" ref="B11722">iferror(xlookup($I11722, 'IMPORT VHC Report'!$E:$E, 'IMPORT VHC Report'!$A:$C), )</f>
        <v/>
      </c>
      <c r="C11722" s="44"/>
      <c r="D11722" s="44"/>
      <c r="L11722" s="45"/>
      <c r="N11722" s="45"/>
    </row>
    <row r="11723">
      <c r="A11723" s="40" t="str">
        <f t="shared" si="1"/>
        <v/>
      </c>
      <c r="B11723" s="37" t="str">
        <f t="array" ref="B11723">iferror(xlookup($I11723, 'IMPORT VHC Report'!$E:$E, 'IMPORT VHC Report'!$A:$C), )</f>
        <v/>
      </c>
      <c r="C11723" s="44"/>
      <c r="D11723" s="44"/>
      <c r="L11723" s="45"/>
      <c r="N11723" s="45"/>
    </row>
    <row r="11724">
      <c r="A11724" s="40" t="str">
        <f t="shared" si="1"/>
        <v/>
      </c>
      <c r="B11724" s="37" t="str">
        <f t="array" ref="B11724">iferror(xlookup($I11724, 'IMPORT VHC Report'!$E:$E, 'IMPORT VHC Report'!$A:$C), )</f>
        <v/>
      </c>
      <c r="C11724" s="44"/>
      <c r="D11724" s="44"/>
      <c r="L11724" s="45"/>
      <c r="N11724" s="45"/>
    </row>
    <row r="11725">
      <c r="A11725" s="40" t="str">
        <f t="shared" si="1"/>
        <v/>
      </c>
      <c r="B11725" s="37" t="str">
        <f t="array" ref="B11725">iferror(xlookup($I11725, 'IMPORT VHC Report'!$E:$E, 'IMPORT VHC Report'!$A:$C), )</f>
        <v/>
      </c>
      <c r="C11725" s="44"/>
      <c r="D11725" s="44"/>
      <c r="L11725" s="45"/>
      <c r="N11725" s="45"/>
    </row>
    <row r="11726">
      <c r="A11726" s="40" t="str">
        <f t="shared" si="1"/>
        <v/>
      </c>
      <c r="B11726" s="37" t="str">
        <f t="array" ref="B11726">iferror(xlookup($I11726, 'IMPORT VHC Report'!$E:$E, 'IMPORT VHC Report'!$A:$C), )</f>
        <v/>
      </c>
      <c r="C11726" s="44"/>
      <c r="D11726" s="44"/>
      <c r="L11726" s="45"/>
      <c r="N11726" s="45"/>
    </row>
    <row r="11727">
      <c r="A11727" s="40" t="str">
        <f t="shared" si="1"/>
        <v/>
      </c>
      <c r="B11727" s="37" t="str">
        <f t="array" ref="B11727">iferror(xlookup($I11727, 'IMPORT VHC Report'!$E:$E, 'IMPORT VHC Report'!$A:$C), )</f>
        <v/>
      </c>
      <c r="C11727" s="44"/>
      <c r="D11727" s="44"/>
      <c r="L11727" s="45"/>
      <c r="N11727" s="45"/>
    </row>
    <row r="11728">
      <c r="A11728" s="40" t="str">
        <f t="shared" si="1"/>
        <v/>
      </c>
      <c r="B11728" s="37" t="str">
        <f t="array" ref="B11728">iferror(xlookup($I11728, 'IMPORT VHC Report'!$E:$E, 'IMPORT VHC Report'!$A:$C), )</f>
        <v/>
      </c>
      <c r="C11728" s="44"/>
      <c r="D11728" s="44"/>
      <c r="L11728" s="45"/>
      <c r="N11728" s="45"/>
    </row>
    <row r="11729">
      <c r="A11729" s="40" t="str">
        <f t="shared" si="1"/>
        <v/>
      </c>
      <c r="B11729" s="37" t="str">
        <f t="array" ref="B11729">iferror(xlookup($I11729, 'IMPORT VHC Report'!$E:$E, 'IMPORT VHC Report'!$A:$C), )</f>
        <v/>
      </c>
      <c r="C11729" s="44"/>
      <c r="D11729" s="44"/>
      <c r="L11729" s="45"/>
      <c r="N11729" s="45"/>
    </row>
    <row r="11730">
      <c r="A11730" s="40" t="str">
        <f t="shared" si="1"/>
        <v/>
      </c>
      <c r="B11730" s="37" t="str">
        <f t="array" ref="B11730">iferror(xlookup($I11730, 'IMPORT VHC Report'!$E:$E, 'IMPORT VHC Report'!$A:$C), )</f>
        <v/>
      </c>
      <c r="C11730" s="44"/>
      <c r="D11730" s="44"/>
      <c r="L11730" s="45"/>
      <c r="N11730" s="45"/>
    </row>
    <row r="11731">
      <c r="A11731" s="40" t="str">
        <f t="shared" si="1"/>
        <v/>
      </c>
      <c r="B11731" s="37" t="str">
        <f t="array" ref="B11731">iferror(xlookup($I11731, 'IMPORT VHC Report'!$E:$E, 'IMPORT VHC Report'!$A:$C), )</f>
        <v/>
      </c>
      <c r="C11731" s="44"/>
      <c r="D11731" s="44"/>
      <c r="L11731" s="45"/>
      <c r="N11731" s="45"/>
    </row>
    <row r="11732">
      <c r="A11732" s="40" t="str">
        <f t="shared" si="1"/>
        <v/>
      </c>
      <c r="B11732" s="37" t="str">
        <f t="array" ref="B11732">iferror(xlookup($I11732, 'IMPORT VHC Report'!$E:$E, 'IMPORT VHC Report'!$A:$C), )</f>
        <v/>
      </c>
      <c r="C11732" s="44"/>
      <c r="D11732" s="44"/>
      <c r="L11732" s="45"/>
      <c r="N11732" s="45"/>
    </row>
    <row r="11733">
      <c r="A11733" s="40">
        <f t="shared" si="1"/>
        <v>46006</v>
      </c>
      <c r="B11733" s="37" t="str">
        <f t="array" ref="B11733">iferror(xlookup($I11733, 'IMPORT VHC Report'!$E:$E, 'IMPORT VHC Report'!$A:$C), )</f>
        <v/>
      </c>
      <c r="C11733" s="44"/>
      <c r="D11733" s="44"/>
      <c r="E11733" s="46" t="s">
        <v>187</v>
      </c>
      <c r="F11733" s="46" t="s">
        <v>158</v>
      </c>
      <c r="G11733" s="46">
        <v>5.729839272719E12</v>
      </c>
      <c r="H11733" s="46" t="s">
        <v>159</v>
      </c>
      <c r="I11733" s="46" t="s">
        <v>160</v>
      </c>
      <c r="J11733" s="46" t="s">
        <v>161</v>
      </c>
      <c r="K11733" s="46" t="s">
        <v>63</v>
      </c>
      <c r="L11733" s="45">
        <v>46012.708333333336</v>
      </c>
      <c r="M11733" s="46" t="s">
        <v>123</v>
      </c>
      <c r="N11733" s="45">
        <v>46013.083333333336</v>
      </c>
      <c r="O11733" s="46" t="s">
        <v>123</v>
      </c>
      <c r="P11733" s="46">
        <v>32400.0</v>
      </c>
    </row>
    <row r="11734">
      <c r="A11734" s="40" t="str">
        <f t="shared" si="1"/>
        <v/>
      </c>
      <c r="B11734" s="37" t="str">
        <f t="array" ref="B11734">iferror(xlookup($I11734, 'IMPORT VHC Report'!$E:$E, 'IMPORT VHC Report'!$A:$C), )</f>
        <v/>
      </c>
      <c r="C11734" s="44"/>
      <c r="D11734" s="44"/>
      <c r="L11734" s="45"/>
      <c r="N11734" s="45"/>
    </row>
    <row r="11735">
      <c r="A11735" s="40" t="str">
        <f t="shared" si="1"/>
        <v/>
      </c>
      <c r="B11735" s="37" t="str">
        <f t="array" ref="B11735">iferror(xlookup($I11735, 'IMPORT VHC Report'!$E:$E, 'IMPORT VHC Report'!$A:$C), )</f>
        <v/>
      </c>
      <c r="C11735" s="44"/>
      <c r="D11735" s="44"/>
      <c r="L11735" s="45"/>
      <c r="N11735" s="45"/>
    </row>
    <row r="11736">
      <c r="A11736" s="40" t="str">
        <f t="shared" si="1"/>
        <v/>
      </c>
      <c r="B11736" s="37" t="str">
        <f t="array" ref="B11736">iferror(xlookup($I11736, 'IMPORT VHC Report'!$E:$E, 'IMPORT VHC Report'!$A:$C), )</f>
        <v/>
      </c>
      <c r="C11736" s="44"/>
      <c r="D11736" s="44"/>
      <c r="L11736" s="45"/>
      <c r="N11736" s="45"/>
    </row>
    <row r="11737">
      <c r="A11737" s="40" t="str">
        <f t="shared" si="1"/>
        <v/>
      </c>
      <c r="B11737" s="37" t="str">
        <f t="array" ref="B11737">iferror(xlookup($I11737, 'IMPORT VHC Report'!$E:$E, 'IMPORT VHC Report'!$A:$C), )</f>
        <v/>
      </c>
      <c r="C11737" s="44"/>
      <c r="D11737" s="44"/>
      <c r="L11737" s="45"/>
      <c r="N11737" s="45"/>
    </row>
    <row r="11738">
      <c r="A11738" s="40" t="str">
        <f t="shared" si="1"/>
        <v/>
      </c>
      <c r="B11738" s="37" t="str">
        <f t="array" ref="B11738">iferror(xlookup($I11738, 'IMPORT VHC Report'!$E:$E, 'IMPORT VHC Report'!$A:$C), )</f>
        <v/>
      </c>
      <c r="C11738" s="44"/>
      <c r="D11738" s="44"/>
      <c r="L11738" s="45"/>
      <c r="N11738" s="45"/>
    </row>
    <row r="11739">
      <c r="A11739" s="40" t="str">
        <f t="shared" si="1"/>
        <v/>
      </c>
      <c r="B11739" s="37" t="str">
        <f t="array" ref="B11739">iferror(xlookup($I11739, 'IMPORT VHC Report'!$E:$E, 'IMPORT VHC Report'!$A:$C), )</f>
        <v/>
      </c>
      <c r="C11739" s="44"/>
      <c r="D11739" s="44"/>
      <c r="L11739" s="45"/>
      <c r="N11739" s="45"/>
    </row>
    <row r="11740">
      <c r="A11740" s="40" t="str">
        <f t="shared" si="1"/>
        <v/>
      </c>
      <c r="B11740" s="37" t="str">
        <f t="array" ref="B11740">iferror(xlookup($I11740, 'IMPORT VHC Report'!$E:$E, 'IMPORT VHC Report'!$A:$C), )</f>
        <v/>
      </c>
      <c r="C11740" s="44"/>
      <c r="D11740" s="44"/>
      <c r="L11740" s="45"/>
      <c r="N11740" s="45"/>
    </row>
    <row r="11741">
      <c r="A11741" s="40" t="str">
        <f t="shared" si="1"/>
        <v/>
      </c>
      <c r="B11741" s="37" t="str">
        <f t="array" ref="B11741">iferror(xlookup($I11741, 'IMPORT VHC Report'!$E:$E, 'IMPORT VHC Report'!$A:$C), )</f>
        <v/>
      </c>
      <c r="C11741" s="44"/>
      <c r="D11741" s="44"/>
      <c r="L11741" s="45"/>
      <c r="N11741" s="45"/>
    </row>
    <row r="11742">
      <c r="A11742" s="40" t="str">
        <f t="shared" si="1"/>
        <v/>
      </c>
      <c r="B11742" s="37" t="str">
        <f t="array" ref="B11742">iferror(xlookup($I11742, 'IMPORT VHC Report'!$E:$E, 'IMPORT VHC Report'!$A:$C), )</f>
        <v/>
      </c>
      <c r="C11742" s="44"/>
      <c r="D11742" s="44"/>
      <c r="L11742" s="45"/>
      <c r="N11742" s="45"/>
    </row>
    <row r="11743">
      <c r="A11743" s="40" t="str">
        <f t="shared" si="1"/>
        <v/>
      </c>
      <c r="B11743" s="37" t="str">
        <f t="array" ref="B11743">iferror(xlookup($I11743, 'IMPORT VHC Report'!$E:$E, 'IMPORT VHC Report'!$A:$C), )</f>
        <v/>
      </c>
      <c r="C11743" s="44"/>
      <c r="D11743" s="44"/>
      <c r="L11743" s="45"/>
      <c r="N11743" s="45"/>
    </row>
    <row r="11744">
      <c r="A11744" s="40" t="str">
        <f t="shared" si="1"/>
        <v/>
      </c>
      <c r="B11744" s="37" t="str">
        <f t="array" ref="B11744">iferror(xlookup($I11744, 'IMPORT VHC Report'!$E:$E, 'IMPORT VHC Report'!$A:$C), )</f>
        <v/>
      </c>
      <c r="C11744" s="44"/>
      <c r="D11744" s="44"/>
      <c r="L11744" s="45"/>
      <c r="N11744" s="45"/>
    </row>
    <row r="11745">
      <c r="A11745" s="40" t="str">
        <f t="shared" si="1"/>
        <v/>
      </c>
      <c r="B11745" s="37" t="str">
        <f t="array" ref="B11745">iferror(xlookup($I11745, 'IMPORT VHC Report'!$E:$E, 'IMPORT VHC Report'!$A:$C), )</f>
        <v/>
      </c>
      <c r="C11745" s="44"/>
      <c r="D11745" s="44"/>
      <c r="L11745" s="45"/>
      <c r="N11745" s="45"/>
    </row>
    <row r="11746">
      <c r="A11746" s="40" t="str">
        <f t="shared" si="1"/>
        <v/>
      </c>
      <c r="B11746" s="37" t="str">
        <f t="array" ref="B11746">iferror(xlookup($I11746, 'IMPORT VHC Report'!$E:$E, 'IMPORT VHC Report'!$A:$C), )</f>
        <v/>
      </c>
      <c r="C11746" s="44"/>
      <c r="D11746" s="44"/>
      <c r="L11746" s="45"/>
      <c r="N11746" s="45"/>
    </row>
    <row r="11747">
      <c r="A11747" s="40" t="str">
        <f t="shared" si="1"/>
        <v/>
      </c>
      <c r="B11747" s="37" t="str">
        <f t="array" ref="B11747">iferror(xlookup($I11747, 'IMPORT VHC Report'!$E:$E, 'IMPORT VHC Report'!$A:$C), )</f>
        <v/>
      </c>
      <c r="C11747" s="44"/>
      <c r="D11747" s="44"/>
      <c r="L11747" s="45"/>
      <c r="N11747" s="45"/>
    </row>
    <row r="11748">
      <c r="A11748" s="40" t="str">
        <f t="shared" si="1"/>
        <v/>
      </c>
      <c r="B11748" s="37" t="str">
        <f t="array" ref="B11748">iferror(xlookup($I11748, 'IMPORT VHC Report'!$E:$E, 'IMPORT VHC Report'!$A:$C), )</f>
        <v/>
      </c>
      <c r="C11748" s="44"/>
      <c r="D11748" s="44"/>
      <c r="L11748" s="45"/>
      <c r="N11748" s="45"/>
    </row>
    <row r="11749">
      <c r="A11749" s="40" t="str">
        <f t="shared" si="1"/>
        <v/>
      </c>
      <c r="B11749" s="37" t="str">
        <f t="array" ref="B11749">iferror(xlookup($I11749, 'IMPORT VHC Report'!$E:$E, 'IMPORT VHC Report'!$A:$C), )</f>
        <v/>
      </c>
      <c r="C11749" s="44"/>
      <c r="D11749" s="44"/>
      <c r="L11749" s="45"/>
      <c r="N11749" s="45"/>
    </row>
    <row r="11750">
      <c r="A11750" s="40" t="str">
        <f t="shared" si="1"/>
        <v/>
      </c>
      <c r="B11750" s="37" t="str">
        <f t="array" ref="B11750">iferror(xlookup($I11750, 'IMPORT VHC Report'!$E:$E, 'IMPORT VHC Report'!$A:$C), )</f>
        <v/>
      </c>
      <c r="C11750" s="44"/>
      <c r="D11750" s="44"/>
      <c r="L11750" s="45"/>
      <c r="N11750" s="45"/>
    </row>
    <row r="11751">
      <c r="A11751" s="40" t="str">
        <f t="shared" si="1"/>
        <v/>
      </c>
      <c r="B11751" s="37" t="str">
        <f t="array" ref="B11751">iferror(xlookup($I11751, 'IMPORT VHC Report'!$E:$E, 'IMPORT VHC Report'!$A:$C), )</f>
        <v/>
      </c>
      <c r="C11751" s="44"/>
      <c r="D11751" s="44"/>
      <c r="L11751" s="45"/>
      <c r="N11751" s="45"/>
    </row>
    <row r="11752">
      <c r="A11752" s="40" t="str">
        <f t="shared" si="1"/>
        <v/>
      </c>
      <c r="B11752" s="37" t="str">
        <f t="array" ref="B11752">iferror(xlookup($I11752, 'IMPORT VHC Report'!$E:$E, 'IMPORT VHC Report'!$A:$C), )</f>
        <v/>
      </c>
      <c r="C11752" s="44"/>
      <c r="D11752" s="44"/>
      <c r="L11752" s="45"/>
      <c r="N11752" s="45"/>
    </row>
    <row r="11753">
      <c r="A11753" s="40" t="str">
        <f t="shared" si="1"/>
        <v/>
      </c>
      <c r="B11753" s="37" t="str">
        <f t="array" ref="B11753">iferror(xlookup($I11753, 'IMPORT VHC Report'!$E:$E, 'IMPORT VHC Report'!$A:$C), )</f>
        <v/>
      </c>
      <c r="C11753" s="44"/>
      <c r="D11753" s="44"/>
      <c r="L11753" s="45"/>
      <c r="N11753" s="45"/>
    </row>
    <row r="11754">
      <c r="A11754" s="40" t="str">
        <f t="shared" si="1"/>
        <v/>
      </c>
      <c r="B11754" s="37" t="str">
        <f t="array" ref="B11754">iferror(xlookup($I11754, 'IMPORT VHC Report'!$E:$E, 'IMPORT VHC Report'!$A:$C), )</f>
        <v/>
      </c>
      <c r="C11754" s="44"/>
      <c r="D11754" s="44"/>
      <c r="L11754" s="45"/>
      <c r="N11754" s="45"/>
    </row>
    <row r="11755">
      <c r="A11755" s="40" t="str">
        <f t="shared" si="1"/>
        <v/>
      </c>
      <c r="B11755" s="37" t="str">
        <f t="array" ref="B11755">iferror(xlookup($I11755, 'IMPORT VHC Report'!$E:$E, 'IMPORT VHC Report'!$A:$C), )</f>
        <v/>
      </c>
      <c r="C11755" s="44"/>
      <c r="D11755" s="44"/>
      <c r="L11755" s="45"/>
      <c r="N11755" s="45"/>
    </row>
    <row r="11756">
      <c r="A11756" s="40" t="str">
        <f t="shared" si="1"/>
        <v/>
      </c>
      <c r="B11756" s="37" t="str">
        <f t="array" ref="B11756">iferror(xlookup($I11756, 'IMPORT VHC Report'!$E:$E, 'IMPORT VHC Report'!$A:$C), )</f>
        <v/>
      </c>
      <c r="C11756" s="44"/>
      <c r="D11756" s="44"/>
      <c r="L11756" s="45"/>
      <c r="N11756" s="45"/>
    </row>
    <row r="11757">
      <c r="A11757" s="40" t="str">
        <f t="shared" si="1"/>
        <v/>
      </c>
      <c r="B11757" s="37" t="str">
        <f t="array" ref="B11757">iferror(xlookup($I11757, 'IMPORT VHC Report'!$E:$E, 'IMPORT VHC Report'!$A:$C), )</f>
        <v/>
      </c>
      <c r="C11757" s="44"/>
      <c r="D11757" s="44"/>
      <c r="L11757" s="45"/>
      <c r="N11757" s="45"/>
    </row>
    <row r="11758">
      <c r="A11758" s="40" t="str">
        <f t="shared" si="1"/>
        <v/>
      </c>
      <c r="B11758" s="37" t="str">
        <f t="array" ref="B11758">iferror(xlookup($I11758, 'IMPORT VHC Report'!$E:$E, 'IMPORT VHC Report'!$A:$C), )</f>
        <v/>
      </c>
      <c r="C11758" s="44"/>
      <c r="D11758" s="44"/>
      <c r="L11758" s="45"/>
      <c r="N11758" s="45"/>
    </row>
    <row r="11759">
      <c r="A11759" s="40" t="str">
        <f t="shared" si="1"/>
        <v/>
      </c>
      <c r="B11759" s="37" t="str">
        <f t="array" ref="B11759">iferror(xlookup($I11759, 'IMPORT VHC Report'!$E:$E, 'IMPORT VHC Report'!$A:$C), )</f>
        <v/>
      </c>
      <c r="C11759" s="44"/>
      <c r="D11759" s="44"/>
      <c r="L11759" s="45"/>
      <c r="N11759" s="45"/>
    </row>
    <row r="11760">
      <c r="A11760" s="40" t="str">
        <f t="shared" si="1"/>
        <v/>
      </c>
      <c r="B11760" s="37" t="str">
        <f t="array" ref="B11760">iferror(xlookup($I11760, 'IMPORT VHC Report'!$E:$E, 'IMPORT VHC Report'!$A:$C), )</f>
        <v/>
      </c>
      <c r="C11760" s="44"/>
      <c r="D11760" s="44"/>
      <c r="L11760" s="45"/>
      <c r="N11760" s="45"/>
    </row>
    <row r="11761">
      <c r="A11761" s="40" t="str">
        <f t="shared" si="1"/>
        <v/>
      </c>
      <c r="B11761" s="37" t="str">
        <f t="array" ref="B11761">iferror(xlookup($I11761, 'IMPORT VHC Report'!$E:$E, 'IMPORT VHC Report'!$A:$C), )</f>
        <v/>
      </c>
      <c r="C11761" s="44"/>
      <c r="D11761" s="44"/>
      <c r="L11761" s="45"/>
      <c r="N11761" s="45"/>
    </row>
    <row r="11762">
      <c r="A11762" s="40" t="str">
        <f t="shared" si="1"/>
        <v/>
      </c>
      <c r="B11762" s="37" t="str">
        <f t="array" ref="B11762">iferror(xlookup($I11762, 'IMPORT VHC Report'!$E:$E, 'IMPORT VHC Report'!$A:$C), )</f>
        <v/>
      </c>
      <c r="C11762" s="44"/>
      <c r="D11762" s="44"/>
      <c r="L11762" s="45"/>
      <c r="N11762" s="45"/>
    </row>
    <row r="11763">
      <c r="A11763" s="40" t="str">
        <f t="shared" si="1"/>
        <v/>
      </c>
      <c r="B11763" s="37" t="str">
        <f t="array" ref="B11763">iferror(xlookup($I11763, 'IMPORT VHC Report'!$E:$E, 'IMPORT VHC Report'!$A:$C), )</f>
        <v/>
      </c>
      <c r="C11763" s="44"/>
      <c r="D11763" s="44"/>
      <c r="L11763" s="45"/>
      <c r="N11763" s="45"/>
    </row>
    <row r="11764">
      <c r="A11764" s="40" t="str">
        <f t="shared" si="1"/>
        <v/>
      </c>
      <c r="B11764" s="37" t="str">
        <f t="array" ref="B11764">iferror(xlookup($I11764, 'IMPORT VHC Report'!$E:$E, 'IMPORT VHC Report'!$A:$C), )</f>
        <v/>
      </c>
      <c r="C11764" s="44"/>
      <c r="D11764" s="44"/>
      <c r="L11764" s="45"/>
      <c r="N11764" s="45"/>
    </row>
    <row r="11765">
      <c r="A11765" s="40" t="str">
        <f t="shared" si="1"/>
        <v/>
      </c>
      <c r="B11765" s="37" t="str">
        <f t="array" ref="B11765">iferror(xlookup($I11765, 'IMPORT VHC Report'!$E:$E, 'IMPORT VHC Report'!$A:$C), )</f>
        <v/>
      </c>
      <c r="C11765" s="44"/>
      <c r="D11765" s="44"/>
      <c r="L11765" s="45"/>
      <c r="N11765" s="45"/>
    </row>
    <row r="11766">
      <c r="A11766" s="40" t="str">
        <f t="shared" si="1"/>
        <v/>
      </c>
      <c r="B11766" s="37" t="str">
        <f t="array" ref="B11766">iferror(xlookup($I11766, 'IMPORT VHC Report'!$E:$E, 'IMPORT VHC Report'!$A:$C), )</f>
        <v/>
      </c>
      <c r="C11766" s="44"/>
      <c r="D11766" s="44"/>
      <c r="L11766" s="45"/>
      <c r="N11766" s="45"/>
    </row>
    <row r="11767">
      <c r="A11767" s="40" t="str">
        <f t="shared" si="1"/>
        <v/>
      </c>
      <c r="B11767" s="37" t="str">
        <f t="array" ref="B11767">iferror(xlookup($I11767, 'IMPORT VHC Report'!$E:$E, 'IMPORT VHC Report'!$A:$C), )</f>
        <v/>
      </c>
      <c r="C11767" s="44"/>
      <c r="D11767" s="44"/>
      <c r="L11767" s="45"/>
      <c r="N11767" s="45"/>
    </row>
    <row r="11768">
      <c r="A11768" s="40" t="str">
        <f t="shared" si="1"/>
        <v/>
      </c>
      <c r="B11768" s="37" t="str">
        <f t="array" ref="B11768">iferror(xlookup($I11768, 'IMPORT VHC Report'!$E:$E, 'IMPORT VHC Report'!$A:$C), )</f>
        <v/>
      </c>
      <c r="C11768" s="44"/>
      <c r="D11768" s="44"/>
      <c r="L11768" s="45"/>
      <c r="N11768" s="45"/>
    </row>
    <row r="11769">
      <c r="A11769" s="40" t="str">
        <f t="shared" si="1"/>
        <v/>
      </c>
      <c r="B11769" s="37" t="str">
        <f t="array" ref="B11769">iferror(xlookup($I11769, 'IMPORT VHC Report'!$E:$E, 'IMPORT VHC Report'!$A:$C), )</f>
        <v/>
      </c>
      <c r="C11769" s="44"/>
      <c r="D11769" s="44"/>
      <c r="L11769" s="45"/>
      <c r="N11769" s="45"/>
    </row>
    <row r="11770">
      <c r="A11770" s="40" t="str">
        <f t="shared" si="1"/>
        <v/>
      </c>
      <c r="B11770" s="37" t="str">
        <f t="array" ref="B11770">iferror(xlookup($I11770, 'IMPORT VHC Report'!$E:$E, 'IMPORT VHC Report'!$A:$C), )</f>
        <v/>
      </c>
      <c r="C11770" s="44"/>
      <c r="D11770" s="44"/>
      <c r="L11770" s="45"/>
      <c r="N11770" s="45"/>
    </row>
    <row r="11771">
      <c r="A11771" s="40" t="str">
        <f t="shared" si="1"/>
        <v/>
      </c>
      <c r="B11771" s="37" t="str">
        <f t="array" ref="B11771">iferror(xlookup($I11771, 'IMPORT VHC Report'!$E:$E, 'IMPORT VHC Report'!$A:$C), )</f>
        <v/>
      </c>
      <c r="C11771" s="44"/>
      <c r="D11771" s="44"/>
      <c r="L11771" s="45"/>
      <c r="N11771" s="45"/>
    </row>
    <row r="11772">
      <c r="A11772" s="40" t="str">
        <f t="shared" si="1"/>
        <v/>
      </c>
      <c r="B11772" s="37" t="str">
        <f t="array" ref="B11772">iferror(xlookup($I11772, 'IMPORT VHC Report'!$E:$E, 'IMPORT VHC Report'!$A:$C), )</f>
        <v/>
      </c>
      <c r="C11772" s="44"/>
      <c r="D11772" s="44"/>
      <c r="L11772" s="45"/>
      <c r="N11772" s="45"/>
    </row>
    <row r="11773">
      <c r="A11773" s="40" t="str">
        <f t="shared" si="1"/>
        <v/>
      </c>
      <c r="B11773" s="37" t="str">
        <f t="array" ref="B11773">iferror(xlookup($I11773, 'IMPORT VHC Report'!$E:$E, 'IMPORT VHC Report'!$A:$C), )</f>
        <v/>
      </c>
      <c r="C11773" s="44"/>
      <c r="D11773" s="44"/>
      <c r="L11773" s="45"/>
      <c r="N11773" s="45"/>
    </row>
    <row r="11774">
      <c r="A11774" s="40" t="str">
        <f t="shared" si="1"/>
        <v/>
      </c>
      <c r="B11774" s="37" t="str">
        <f t="array" ref="B11774">iferror(xlookup($I11774, 'IMPORT VHC Report'!$E:$E, 'IMPORT VHC Report'!$A:$C), )</f>
        <v/>
      </c>
      <c r="C11774" s="44"/>
      <c r="D11774" s="44"/>
      <c r="L11774" s="45"/>
      <c r="N11774" s="45"/>
    </row>
    <row r="11775">
      <c r="A11775" s="40" t="str">
        <f t="shared" si="1"/>
        <v/>
      </c>
      <c r="B11775" s="37" t="str">
        <f t="array" ref="B11775">iferror(xlookup($I11775, 'IMPORT VHC Report'!$E:$E, 'IMPORT VHC Report'!$A:$C), )</f>
        <v/>
      </c>
      <c r="C11775" s="44"/>
      <c r="D11775" s="44"/>
      <c r="L11775" s="45"/>
      <c r="N11775" s="45"/>
    </row>
    <row r="11776">
      <c r="A11776" s="40" t="str">
        <f t="shared" si="1"/>
        <v/>
      </c>
      <c r="B11776" s="37" t="str">
        <f t="array" ref="B11776">iferror(xlookup($I11776, 'IMPORT VHC Report'!$E:$E, 'IMPORT VHC Report'!$A:$C), )</f>
        <v/>
      </c>
      <c r="C11776" s="44"/>
      <c r="D11776" s="44"/>
      <c r="L11776" s="45"/>
      <c r="N11776" s="45"/>
    </row>
    <row r="11777">
      <c r="A11777" s="40" t="str">
        <f t="shared" si="1"/>
        <v/>
      </c>
      <c r="B11777" s="37" t="str">
        <f t="array" ref="B11777">iferror(xlookup($I11777, 'IMPORT VHC Report'!$E:$E, 'IMPORT VHC Report'!$A:$C), )</f>
        <v/>
      </c>
      <c r="C11777" s="44"/>
      <c r="D11777" s="44"/>
      <c r="L11777" s="45"/>
      <c r="N11777" s="45"/>
    </row>
    <row r="11778">
      <c r="A11778" s="40" t="str">
        <f t="shared" si="1"/>
        <v/>
      </c>
      <c r="B11778" s="37" t="str">
        <f t="array" ref="B11778">iferror(xlookup($I11778, 'IMPORT VHC Report'!$E:$E, 'IMPORT VHC Report'!$A:$C), )</f>
        <v/>
      </c>
      <c r="C11778" s="44"/>
      <c r="D11778" s="44"/>
      <c r="L11778" s="45"/>
      <c r="N11778" s="45"/>
    </row>
    <row r="11779">
      <c r="A11779" s="40" t="str">
        <f t="shared" si="1"/>
        <v/>
      </c>
      <c r="B11779" s="37" t="str">
        <f t="array" ref="B11779">iferror(xlookup($I11779, 'IMPORT VHC Report'!$E:$E, 'IMPORT VHC Report'!$A:$C), )</f>
        <v/>
      </c>
      <c r="C11779" s="44"/>
      <c r="D11779" s="44"/>
      <c r="L11779" s="45"/>
      <c r="N11779" s="45"/>
    </row>
    <row r="11780">
      <c r="A11780" s="40" t="str">
        <f t="shared" si="1"/>
        <v/>
      </c>
      <c r="B11780" s="37" t="str">
        <f t="array" ref="B11780">iferror(xlookup($I11780, 'IMPORT VHC Report'!$E:$E, 'IMPORT VHC Report'!$A:$C), )</f>
        <v/>
      </c>
      <c r="C11780" s="44"/>
      <c r="D11780" s="44"/>
      <c r="L11780" s="45"/>
      <c r="N11780" s="45"/>
    </row>
    <row r="11781">
      <c r="A11781" s="40" t="str">
        <f t="shared" si="1"/>
        <v/>
      </c>
      <c r="B11781" s="37" t="str">
        <f t="array" ref="B11781">iferror(xlookup($I11781, 'IMPORT VHC Report'!$E:$E, 'IMPORT VHC Report'!$A:$C), )</f>
        <v/>
      </c>
      <c r="C11781" s="44"/>
      <c r="D11781" s="44"/>
      <c r="L11781" s="45"/>
      <c r="N11781" s="45"/>
    </row>
    <row r="11782">
      <c r="A11782" s="40" t="str">
        <f t="shared" si="1"/>
        <v/>
      </c>
      <c r="B11782" s="37" t="str">
        <f t="array" ref="B11782">iferror(xlookup($I11782, 'IMPORT VHC Report'!$E:$E, 'IMPORT VHC Report'!$A:$C), )</f>
        <v/>
      </c>
      <c r="C11782" s="44"/>
      <c r="D11782" s="44"/>
      <c r="L11782" s="45"/>
      <c r="N11782" s="45"/>
    </row>
    <row r="11783">
      <c r="A11783" s="40" t="str">
        <f t="shared" si="1"/>
        <v/>
      </c>
      <c r="B11783" s="37" t="str">
        <f t="array" ref="B11783">iferror(xlookup($I11783, 'IMPORT VHC Report'!$E:$E, 'IMPORT VHC Report'!$A:$C), )</f>
        <v/>
      </c>
      <c r="C11783" s="44"/>
      <c r="D11783" s="44"/>
      <c r="L11783" s="45"/>
      <c r="N11783" s="45"/>
    </row>
    <row r="11784">
      <c r="A11784" s="40" t="str">
        <f t="shared" si="1"/>
        <v/>
      </c>
      <c r="B11784" s="37" t="str">
        <f t="array" ref="B11784">iferror(xlookup($I11784, 'IMPORT VHC Report'!$E:$E, 'IMPORT VHC Report'!$A:$C), )</f>
        <v/>
      </c>
      <c r="C11784" s="44"/>
      <c r="D11784" s="44"/>
      <c r="L11784" s="45"/>
      <c r="N11784" s="45"/>
    </row>
    <row r="11785">
      <c r="A11785" s="40" t="str">
        <f t="shared" si="1"/>
        <v/>
      </c>
      <c r="B11785" s="37" t="str">
        <f t="array" ref="B11785">iferror(xlookup($I11785, 'IMPORT VHC Report'!$E:$E, 'IMPORT VHC Report'!$A:$C), )</f>
        <v/>
      </c>
      <c r="C11785" s="44"/>
      <c r="D11785" s="44"/>
      <c r="L11785" s="45"/>
      <c r="N11785" s="45"/>
    </row>
    <row r="11786">
      <c r="A11786" s="40" t="str">
        <f t="shared" si="1"/>
        <v/>
      </c>
      <c r="B11786" s="37" t="str">
        <f t="array" ref="B11786">iferror(xlookup($I11786, 'IMPORT VHC Report'!$E:$E, 'IMPORT VHC Report'!$A:$C), )</f>
        <v/>
      </c>
      <c r="C11786" s="44"/>
      <c r="D11786" s="44"/>
      <c r="L11786" s="45"/>
      <c r="N11786" s="45"/>
    </row>
    <row r="11787">
      <c r="A11787" s="40" t="str">
        <f t="shared" si="1"/>
        <v/>
      </c>
      <c r="B11787" s="37" t="str">
        <f t="array" ref="B11787">iferror(xlookup($I11787, 'IMPORT VHC Report'!$E:$E, 'IMPORT VHC Report'!$A:$C), )</f>
        <v/>
      </c>
      <c r="C11787" s="44"/>
      <c r="D11787" s="44"/>
      <c r="L11787" s="45"/>
      <c r="N11787" s="45"/>
    </row>
    <row r="11788">
      <c r="A11788" s="40" t="str">
        <f t="shared" si="1"/>
        <v/>
      </c>
      <c r="B11788" s="37" t="str">
        <f t="array" ref="B11788">iferror(xlookup($I11788, 'IMPORT VHC Report'!$E:$E, 'IMPORT VHC Report'!$A:$C), )</f>
        <v/>
      </c>
      <c r="C11788" s="44"/>
      <c r="D11788" s="44"/>
      <c r="L11788" s="45"/>
      <c r="N11788" s="45"/>
    </row>
    <row r="11789">
      <c r="A11789" s="40" t="str">
        <f t="shared" si="1"/>
        <v/>
      </c>
      <c r="B11789" s="37" t="str">
        <f t="array" ref="B11789">iferror(xlookup($I11789, 'IMPORT VHC Report'!$E:$E, 'IMPORT VHC Report'!$A:$C), )</f>
        <v/>
      </c>
      <c r="C11789" s="44"/>
      <c r="D11789" s="44"/>
      <c r="L11789" s="45"/>
      <c r="N11789" s="45"/>
    </row>
    <row r="11790">
      <c r="A11790" s="40" t="str">
        <f t="shared" si="1"/>
        <v/>
      </c>
      <c r="B11790" s="37" t="str">
        <f t="array" ref="B11790">iferror(xlookup($I11790, 'IMPORT VHC Report'!$E:$E, 'IMPORT VHC Report'!$A:$C), )</f>
        <v/>
      </c>
      <c r="C11790" s="44"/>
      <c r="D11790" s="44"/>
      <c r="L11790" s="45"/>
      <c r="N11790" s="45"/>
    </row>
    <row r="11791">
      <c r="A11791" s="40" t="str">
        <f t="shared" si="1"/>
        <v/>
      </c>
      <c r="B11791" s="37" t="str">
        <f t="array" ref="B11791">iferror(xlookup($I11791, 'IMPORT VHC Report'!$E:$E, 'IMPORT VHC Report'!$A:$C), )</f>
        <v/>
      </c>
      <c r="C11791" s="44"/>
      <c r="D11791" s="44"/>
      <c r="L11791" s="45"/>
      <c r="N11791" s="45"/>
    </row>
    <row r="11792">
      <c r="A11792" s="40" t="str">
        <f t="shared" si="1"/>
        <v/>
      </c>
      <c r="B11792" s="37" t="str">
        <f t="array" ref="B11792">iferror(xlookup($I11792, 'IMPORT VHC Report'!$E:$E, 'IMPORT VHC Report'!$A:$C), )</f>
        <v/>
      </c>
      <c r="C11792" s="44"/>
      <c r="D11792" s="44"/>
      <c r="L11792" s="45"/>
      <c r="N11792" s="45"/>
    </row>
    <row r="11793">
      <c r="A11793" s="40" t="str">
        <f t="shared" si="1"/>
        <v/>
      </c>
      <c r="B11793" s="37" t="str">
        <f t="array" ref="B11793">iferror(xlookup($I11793, 'IMPORT VHC Report'!$E:$E, 'IMPORT VHC Report'!$A:$C), )</f>
        <v/>
      </c>
      <c r="C11793" s="44"/>
      <c r="D11793" s="44"/>
      <c r="L11793" s="45"/>
      <c r="N11793" s="45"/>
    </row>
    <row r="11794">
      <c r="A11794" s="40" t="str">
        <f t="shared" si="1"/>
        <v/>
      </c>
      <c r="B11794" s="37" t="str">
        <f t="array" ref="B11794">iferror(xlookup($I11794, 'IMPORT VHC Report'!$E:$E, 'IMPORT VHC Report'!$A:$C), )</f>
        <v/>
      </c>
      <c r="C11794" s="44"/>
      <c r="D11794" s="44"/>
      <c r="L11794" s="45"/>
      <c r="N11794" s="45"/>
    </row>
    <row r="11795">
      <c r="A11795" s="40" t="str">
        <f t="shared" si="1"/>
        <v/>
      </c>
      <c r="B11795" s="37" t="str">
        <f t="array" ref="B11795">iferror(xlookup($I11795, 'IMPORT VHC Report'!$E:$E, 'IMPORT VHC Report'!$A:$C), )</f>
        <v/>
      </c>
      <c r="C11795" s="44"/>
      <c r="D11795" s="44"/>
      <c r="L11795" s="45"/>
      <c r="N11795" s="45"/>
    </row>
    <row r="11796">
      <c r="A11796" s="40" t="str">
        <f t="shared" si="1"/>
        <v/>
      </c>
      <c r="B11796" s="37" t="str">
        <f t="array" ref="B11796">iferror(xlookup($I11796, 'IMPORT VHC Report'!$E:$E, 'IMPORT VHC Report'!$A:$C), )</f>
        <v/>
      </c>
      <c r="C11796" s="44"/>
      <c r="D11796" s="44"/>
      <c r="L11796" s="45"/>
      <c r="N11796" s="45"/>
    </row>
    <row r="11797">
      <c r="A11797" s="40" t="str">
        <f t="shared" si="1"/>
        <v/>
      </c>
      <c r="B11797" s="37" t="str">
        <f t="array" ref="B11797">iferror(xlookup($I11797, 'IMPORT VHC Report'!$E:$E, 'IMPORT VHC Report'!$A:$C), )</f>
        <v/>
      </c>
      <c r="C11797" s="44"/>
      <c r="D11797" s="44"/>
      <c r="L11797" s="45"/>
      <c r="N11797" s="45"/>
    </row>
    <row r="11798">
      <c r="A11798" s="40" t="str">
        <f t="shared" si="1"/>
        <v/>
      </c>
      <c r="B11798" s="37" t="str">
        <f t="array" ref="B11798">iferror(xlookup($I11798, 'IMPORT VHC Report'!$E:$E, 'IMPORT VHC Report'!$A:$C), )</f>
        <v/>
      </c>
      <c r="C11798" s="44"/>
      <c r="D11798" s="44"/>
      <c r="L11798" s="45"/>
      <c r="N11798" s="45"/>
    </row>
    <row r="11799">
      <c r="A11799" s="40" t="str">
        <f t="shared" si="1"/>
        <v/>
      </c>
      <c r="B11799" s="37" t="str">
        <f t="array" ref="B11799">iferror(xlookup($I11799, 'IMPORT VHC Report'!$E:$E, 'IMPORT VHC Report'!$A:$C), )</f>
        <v/>
      </c>
      <c r="C11799" s="44"/>
      <c r="D11799" s="44"/>
      <c r="L11799" s="45"/>
      <c r="N11799" s="45"/>
    </row>
    <row r="11800">
      <c r="A11800" s="40" t="str">
        <f t="shared" si="1"/>
        <v/>
      </c>
      <c r="B11800" s="37" t="str">
        <f t="array" ref="B11800">iferror(xlookup($I11800, 'IMPORT VHC Report'!$E:$E, 'IMPORT VHC Report'!$A:$C), )</f>
        <v/>
      </c>
      <c r="C11800" s="44"/>
      <c r="D11800" s="44"/>
      <c r="L11800" s="45"/>
      <c r="N11800" s="45"/>
    </row>
    <row r="11801">
      <c r="A11801" s="40" t="str">
        <f t="shared" si="1"/>
        <v/>
      </c>
      <c r="B11801" s="37" t="str">
        <f t="array" ref="B11801">iferror(xlookup($I11801, 'IMPORT VHC Report'!$E:$E, 'IMPORT VHC Report'!$A:$C), )</f>
        <v/>
      </c>
      <c r="C11801" s="44"/>
      <c r="D11801" s="44"/>
      <c r="L11801" s="45"/>
      <c r="N11801" s="45"/>
    </row>
    <row r="11802">
      <c r="A11802" s="40" t="str">
        <f t="shared" si="1"/>
        <v/>
      </c>
      <c r="B11802" s="37" t="str">
        <f t="array" ref="B11802">iferror(xlookup($I11802, 'IMPORT VHC Report'!$E:$E, 'IMPORT VHC Report'!$A:$C), )</f>
        <v/>
      </c>
      <c r="C11802" s="44"/>
      <c r="D11802" s="44"/>
      <c r="L11802" s="45"/>
      <c r="N11802" s="45"/>
    </row>
    <row r="11803">
      <c r="A11803" s="40" t="str">
        <f t="shared" si="1"/>
        <v/>
      </c>
      <c r="B11803" s="37" t="str">
        <f t="array" ref="B11803">iferror(xlookup($I11803, 'IMPORT VHC Report'!$E:$E, 'IMPORT VHC Report'!$A:$C), )</f>
        <v/>
      </c>
      <c r="C11803" s="44"/>
      <c r="D11803" s="44"/>
      <c r="L11803" s="45"/>
      <c r="N11803" s="45"/>
    </row>
    <row r="11804">
      <c r="A11804" s="40" t="str">
        <f t="shared" si="1"/>
        <v/>
      </c>
      <c r="B11804" s="37" t="str">
        <f t="array" ref="B11804">iferror(xlookup($I11804, 'IMPORT VHC Report'!$E:$E, 'IMPORT VHC Report'!$A:$C), )</f>
        <v/>
      </c>
      <c r="C11804" s="44"/>
      <c r="D11804" s="44"/>
      <c r="L11804" s="45"/>
      <c r="N11804" s="45"/>
    </row>
    <row r="11805">
      <c r="A11805" s="40" t="str">
        <f t="shared" si="1"/>
        <v/>
      </c>
      <c r="B11805" s="37" t="str">
        <f t="array" ref="B11805">iferror(xlookup($I11805, 'IMPORT VHC Report'!$E:$E, 'IMPORT VHC Report'!$A:$C), )</f>
        <v/>
      </c>
      <c r="C11805" s="44"/>
      <c r="D11805" s="44"/>
      <c r="L11805" s="45"/>
      <c r="N11805" s="45"/>
    </row>
    <row r="11806">
      <c r="A11806" s="40" t="str">
        <f t="shared" si="1"/>
        <v/>
      </c>
      <c r="B11806" s="37" t="str">
        <f t="array" ref="B11806">iferror(xlookup($I11806, 'IMPORT VHC Report'!$E:$E, 'IMPORT VHC Report'!$A:$C), )</f>
        <v/>
      </c>
      <c r="C11806" s="44"/>
      <c r="D11806" s="44"/>
      <c r="L11806" s="45"/>
      <c r="N11806" s="45"/>
    </row>
    <row r="11807">
      <c r="A11807" s="40" t="str">
        <f t="shared" si="1"/>
        <v/>
      </c>
      <c r="B11807" s="37" t="str">
        <f t="array" ref="B11807">iferror(xlookup($I11807, 'IMPORT VHC Report'!$E:$E, 'IMPORT VHC Report'!$A:$C), )</f>
        <v/>
      </c>
      <c r="C11807" s="44"/>
      <c r="D11807" s="44"/>
      <c r="L11807" s="45"/>
      <c r="N11807" s="45"/>
    </row>
    <row r="11808">
      <c r="A11808" s="40" t="str">
        <f t="shared" si="1"/>
        <v/>
      </c>
      <c r="B11808" s="37" t="str">
        <f t="array" ref="B11808">iferror(xlookup($I11808, 'IMPORT VHC Report'!$E:$E, 'IMPORT VHC Report'!$A:$C), )</f>
        <v/>
      </c>
      <c r="C11808" s="44"/>
      <c r="D11808" s="44"/>
      <c r="L11808" s="45"/>
      <c r="N11808" s="45"/>
    </row>
    <row r="11809">
      <c r="A11809" s="40" t="str">
        <f t="shared" si="1"/>
        <v/>
      </c>
      <c r="B11809" s="37" t="str">
        <f t="array" ref="B11809">iferror(xlookup($I11809, 'IMPORT VHC Report'!$E:$E, 'IMPORT VHC Report'!$A:$C), )</f>
        <v/>
      </c>
      <c r="C11809" s="44"/>
      <c r="D11809" s="44"/>
      <c r="L11809" s="45"/>
      <c r="N11809" s="45"/>
    </row>
    <row r="11810">
      <c r="A11810" s="40" t="str">
        <f t="shared" si="1"/>
        <v/>
      </c>
      <c r="B11810" s="37" t="str">
        <f t="array" ref="B11810">iferror(xlookup($I11810, 'IMPORT VHC Report'!$E:$E, 'IMPORT VHC Report'!$A:$C), )</f>
        <v/>
      </c>
      <c r="C11810" s="44"/>
      <c r="D11810" s="44"/>
      <c r="L11810" s="45"/>
      <c r="N11810" s="45"/>
    </row>
    <row r="11811">
      <c r="A11811" s="40" t="str">
        <f t="shared" si="1"/>
        <v/>
      </c>
      <c r="B11811" s="37" t="str">
        <f t="array" ref="B11811">iferror(xlookup($I11811, 'IMPORT VHC Report'!$E:$E, 'IMPORT VHC Report'!$A:$C), )</f>
        <v/>
      </c>
      <c r="C11811" s="44"/>
      <c r="D11811" s="44"/>
      <c r="L11811" s="45"/>
      <c r="N11811" s="45"/>
    </row>
    <row r="11812">
      <c r="A11812" s="40" t="str">
        <f t="shared" si="1"/>
        <v/>
      </c>
      <c r="B11812" s="37" t="str">
        <f t="array" ref="B11812">iferror(xlookup($I11812, 'IMPORT VHC Report'!$E:$E, 'IMPORT VHC Report'!$A:$C), )</f>
        <v/>
      </c>
      <c r="C11812" s="44"/>
      <c r="D11812" s="44"/>
      <c r="L11812" s="45"/>
      <c r="N11812" s="45"/>
    </row>
    <row r="11813">
      <c r="A11813" s="40" t="str">
        <f t="shared" si="1"/>
        <v/>
      </c>
      <c r="B11813" s="37" t="str">
        <f t="array" ref="B11813">iferror(xlookup($I11813, 'IMPORT VHC Report'!$E:$E, 'IMPORT VHC Report'!$A:$C), )</f>
        <v/>
      </c>
      <c r="C11813" s="44"/>
      <c r="D11813" s="44"/>
      <c r="L11813" s="45"/>
      <c r="N11813" s="45"/>
    </row>
    <row r="11814">
      <c r="A11814" s="40" t="str">
        <f t="shared" si="1"/>
        <v/>
      </c>
      <c r="B11814" s="37" t="str">
        <f t="array" ref="B11814">iferror(xlookup($I11814, 'IMPORT VHC Report'!$E:$E, 'IMPORT VHC Report'!$A:$C), )</f>
        <v/>
      </c>
      <c r="C11814" s="44"/>
      <c r="D11814" s="44"/>
      <c r="L11814" s="45"/>
      <c r="N11814" s="45"/>
    </row>
    <row r="11815">
      <c r="A11815" s="40" t="str">
        <f t="shared" si="1"/>
        <v/>
      </c>
      <c r="B11815" s="37" t="str">
        <f t="array" ref="B11815">iferror(xlookup($I11815, 'IMPORT VHC Report'!$E:$E, 'IMPORT VHC Report'!$A:$C), )</f>
        <v/>
      </c>
      <c r="C11815" s="44"/>
      <c r="D11815" s="44"/>
      <c r="L11815" s="45"/>
      <c r="N11815" s="45"/>
    </row>
    <row r="11816">
      <c r="A11816" s="40" t="str">
        <f t="shared" si="1"/>
        <v/>
      </c>
      <c r="B11816" s="37" t="str">
        <f t="array" ref="B11816">iferror(xlookup($I11816, 'IMPORT VHC Report'!$E:$E, 'IMPORT VHC Report'!$A:$C), )</f>
        <v/>
      </c>
      <c r="C11816" s="44"/>
      <c r="D11816" s="44"/>
      <c r="L11816" s="45"/>
      <c r="N11816" s="45"/>
    </row>
    <row r="11817">
      <c r="A11817" s="40" t="str">
        <f t="shared" si="1"/>
        <v/>
      </c>
      <c r="B11817" s="37" t="str">
        <f t="array" ref="B11817">iferror(xlookup($I11817, 'IMPORT VHC Report'!$E:$E, 'IMPORT VHC Report'!$A:$C), )</f>
        <v/>
      </c>
      <c r="C11817" s="44"/>
      <c r="D11817" s="44"/>
      <c r="L11817" s="45"/>
      <c r="N11817" s="45"/>
    </row>
    <row r="11818">
      <c r="A11818" s="40" t="str">
        <f t="shared" si="1"/>
        <v/>
      </c>
      <c r="B11818" s="37" t="str">
        <f t="array" ref="B11818">iferror(xlookup($I11818, 'IMPORT VHC Report'!$E:$E, 'IMPORT VHC Report'!$A:$C), )</f>
        <v/>
      </c>
      <c r="C11818" s="44"/>
      <c r="D11818" s="44"/>
      <c r="L11818" s="45"/>
      <c r="N11818" s="45"/>
    </row>
    <row r="11819">
      <c r="A11819" s="40" t="str">
        <f t="shared" si="1"/>
        <v/>
      </c>
      <c r="B11819" s="37" t="str">
        <f t="array" ref="B11819">iferror(xlookup($I11819, 'IMPORT VHC Report'!$E:$E, 'IMPORT VHC Report'!$A:$C), )</f>
        <v/>
      </c>
      <c r="C11819" s="44"/>
      <c r="D11819" s="44"/>
      <c r="L11819" s="45"/>
      <c r="N11819" s="45"/>
    </row>
    <row r="11820">
      <c r="A11820" s="40" t="str">
        <f t="shared" si="1"/>
        <v/>
      </c>
      <c r="B11820" s="37" t="str">
        <f t="array" ref="B11820">iferror(xlookup($I11820, 'IMPORT VHC Report'!$E:$E, 'IMPORT VHC Report'!$A:$C), )</f>
        <v/>
      </c>
      <c r="C11820" s="44"/>
      <c r="D11820" s="44"/>
      <c r="L11820" s="45"/>
      <c r="N11820" s="45"/>
    </row>
    <row r="11821">
      <c r="A11821" s="40" t="str">
        <f t="shared" si="1"/>
        <v/>
      </c>
      <c r="B11821" s="37" t="str">
        <f t="array" ref="B11821">iferror(xlookup($I11821, 'IMPORT VHC Report'!$E:$E, 'IMPORT VHC Report'!$A:$C), )</f>
        <v/>
      </c>
      <c r="C11821" s="44"/>
      <c r="D11821" s="44"/>
      <c r="L11821" s="45"/>
      <c r="N11821" s="45"/>
    </row>
    <row r="11822">
      <c r="A11822" s="40" t="str">
        <f t="shared" si="1"/>
        <v/>
      </c>
      <c r="B11822" s="37" t="str">
        <f t="array" ref="B11822">iferror(xlookup($I11822, 'IMPORT VHC Report'!$E:$E, 'IMPORT VHC Report'!$A:$C), )</f>
        <v/>
      </c>
      <c r="C11822" s="44"/>
      <c r="D11822" s="44"/>
      <c r="L11822" s="45"/>
      <c r="N11822" s="45"/>
    </row>
    <row r="11823">
      <c r="A11823" s="40" t="str">
        <f t="shared" si="1"/>
        <v/>
      </c>
      <c r="B11823" s="37" t="str">
        <f t="array" ref="B11823">iferror(xlookup($I11823, 'IMPORT VHC Report'!$E:$E, 'IMPORT VHC Report'!$A:$C), )</f>
        <v/>
      </c>
      <c r="C11823" s="44"/>
      <c r="D11823" s="44"/>
      <c r="L11823" s="45"/>
      <c r="N11823" s="45"/>
    </row>
    <row r="11824">
      <c r="A11824" s="40" t="str">
        <f t="shared" si="1"/>
        <v/>
      </c>
      <c r="B11824" s="37" t="str">
        <f t="array" ref="B11824">iferror(xlookup($I11824, 'IMPORT VHC Report'!$E:$E, 'IMPORT VHC Report'!$A:$C), )</f>
        <v/>
      </c>
      <c r="C11824" s="44"/>
      <c r="D11824" s="44"/>
      <c r="L11824" s="45"/>
      <c r="N11824" s="45"/>
    </row>
    <row r="11825">
      <c r="A11825" s="40" t="str">
        <f t="shared" si="1"/>
        <v/>
      </c>
      <c r="B11825" s="37" t="str">
        <f t="array" ref="B11825">iferror(xlookup($I11825, 'IMPORT VHC Report'!$E:$E, 'IMPORT VHC Report'!$A:$C), )</f>
        <v/>
      </c>
      <c r="C11825" s="44"/>
      <c r="D11825" s="44"/>
      <c r="L11825" s="45"/>
      <c r="N11825" s="45"/>
    </row>
    <row r="11826">
      <c r="A11826" s="40" t="str">
        <f t="shared" si="1"/>
        <v/>
      </c>
      <c r="B11826" s="37" t="str">
        <f t="array" ref="B11826">iferror(xlookup($I11826, 'IMPORT VHC Report'!$E:$E, 'IMPORT VHC Report'!$A:$C), )</f>
        <v/>
      </c>
      <c r="C11826" s="44"/>
      <c r="D11826" s="44"/>
      <c r="L11826" s="45"/>
      <c r="N11826" s="45"/>
    </row>
    <row r="11827">
      <c r="A11827" s="40" t="str">
        <f t="shared" si="1"/>
        <v/>
      </c>
      <c r="B11827" s="37" t="str">
        <f t="array" ref="B11827">iferror(xlookup($I11827, 'IMPORT VHC Report'!$E:$E, 'IMPORT VHC Report'!$A:$C), )</f>
        <v/>
      </c>
      <c r="C11827" s="44"/>
      <c r="D11827" s="44"/>
      <c r="L11827" s="45"/>
      <c r="N11827" s="45"/>
    </row>
    <row r="11828">
      <c r="A11828" s="40" t="str">
        <f t="shared" si="1"/>
        <v/>
      </c>
      <c r="B11828" s="37" t="str">
        <f t="array" ref="B11828">iferror(xlookup($I11828, 'IMPORT VHC Report'!$E:$E, 'IMPORT VHC Report'!$A:$C), )</f>
        <v/>
      </c>
      <c r="C11828" s="44"/>
      <c r="D11828" s="44"/>
      <c r="L11828" s="45"/>
      <c r="N11828" s="45"/>
    </row>
    <row r="11829">
      <c r="A11829" s="40" t="str">
        <f t="shared" si="1"/>
        <v/>
      </c>
      <c r="B11829" s="37" t="str">
        <f t="array" ref="B11829">iferror(xlookup($I11829, 'IMPORT VHC Report'!$E:$E, 'IMPORT VHC Report'!$A:$C), )</f>
        <v/>
      </c>
      <c r="C11829" s="44"/>
      <c r="D11829" s="44"/>
      <c r="L11829" s="45"/>
      <c r="N11829" s="45"/>
    </row>
    <row r="11830">
      <c r="A11830" s="40" t="str">
        <f t="shared" si="1"/>
        <v/>
      </c>
      <c r="B11830" s="37" t="str">
        <f t="array" ref="B11830">iferror(xlookup($I11830, 'IMPORT VHC Report'!$E:$E, 'IMPORT VHC Report'!$A:$C), )</f>
        <v/>
      </c>
      <c r="C11830" s="44"/>
      <c r="D11830" s="44"/>
      <c r="L11830" s="45"/>
      <c r="N11830" s="45"/>
    </row>
    <row r="11831">
      <c r="A11831" s="40" t="str">
        <f t="shared" si="1"/>
        <v/>
      </c>
      <c r="B11831" s="37" t="str">
        <f t="array" ref="B11831">iferror(xlookup($I11831, 'IMPORT VHC Report'!$E:$E, 'IMPORT VHC Report'!$A:$C), )</f>
        <v/>
      </c>
      <c r="C11831" s="44"/>
      <c r="D11831" s="44"/>
      <c r="L11831" s="45"/>
      <c r="N11831" s="45"/>
    </row>
    <row r="11832">
      <c r="A11832" s="40" t="str">
        <f t="shared" si="1"/>
        <v/>
      </c>
      <c r="B11832" s="37" t="str">
        <f t="array" ref="B11832">iferror(xlookup($I11832, 'IMPORT VHC Report'!$E:$E, 'IMPORT VHC Report'!$A:$C), )</f>
        <v/>
      </c>
      <c r="C11832" s="44"/>
      <c r="D11832" s="44"/>
      <c r="L11832" s="45"/>
      <c r="N11832" s="45"/>
    </row>
    <row r="11833">
      <c r="A11833" s="40" t="str">
        <f t="shared" si="1"/>
        <v/>
      </c>
      <c r="B11833" s="37" t="str">
        <f t="array" ref="B11833">iferror(xlookup($I11833, 'IMPORT VHC Report'!$E:$E, 'IMPORT VHC Report'!$A:$C), )</f>
        <v/>
      </c>
      <c r="C11833" s="44"/>
      <c r="D11833" s="44"/>
      <c r="L11833" s="45"/>
      <c r="N11833" s="45"/>
    </row>
    <row r="11834">
      <c r="A11834" s="40" t="str">
        <f t="shared" si="1"/>
        <v/>
      </c>
      <c r="B11834" s="37" t="str">
        <f t="array" ref="B11834">iferror(xlookup($I11834, 'IMPORT VHC Report'!$E:$E, 'IMPORT VHC Report'!$A:$C), )</f>
        <v/>
      </c>
      <c r="C11834" s="44"/>
      <c r="D11834" s="44"/>
      <c r="L11834" s="45"/>
      <c r="N11834" s="45"/>
    </row>
    <row r="11835">
      <c r="A11835" s="40" t="str">
        <f t="shared" si="1"/>
        <v/>
      </c>
      <c r="B11835" s="37" t="str">
        <f t="array" ref="B11835">iferror(xlookup($I11835, 'IMPORT VHC Report'!$E:$E, 'IMPORT VHC Report'!$A:$C), )</f>
        <v/>
      </c>
      <c r="C11835" s="44"/>
      <c r="D11835" s="44"/>
      <c r="L11835" s="45"/>
      <c r="N11835" s="45"/>
    </row>
    <row r="11836">
      <c r="A11836" s="40" t="str">
        <f t="shared" si="1"/>
        <v/>
      </c>
      <c r="B11836" s="37" t="str">
        <f t="array" ref="B11836">iferror(xlookup($I11836, 'IMPORT VHC Report'!$E:$E, 'IMPORT VHC Report'!$A:$C), )</f>
        <v/>
      </c>
      <c r="C11836" s="44"/>
      <c r="D11836" s="44"/>
      <c r="L11836" s="45"/>
      <c r="N11836" s="45"/>
    </row>
    <row r="11837">
      <c r="A11837" s="40" t="str">
        <f t="shared" si="1"/>
        <v/>
      </c>
      <c r="B11837" s="37" t="str">
        <f t="array" ref="B11837">iferror(xlookup($I11837, 'IMPORT VHC Report'!$E:$E, 'IMPORT VHC Report'!$A:$C), )</f>
        <v/>
      </c>
      <c r="C11837" s="44"/>
      <c r="D11837" s="44"/>
      <c r="L11837" s="45"/>
      <c r="N11837" s="45"/>
    </row>
    <row r="11838">
      <c r="A11838" s="40" t="str">
        <f t="shared" si="1"/>
        <v/>
      </c>
      <c r="B11838" s="37" t="str">
        <f t="array" ref="B11838">iferror(xlookup($I11838, 'IMPORT VHC Report'!$E:$E, 'IMPORT VHC Report'!$A:$C), )</f>
        <v/>
      </c>
      <c r="C11838" s="44"/>
      <c r="D11838" s="44"/>
      <c r="L11838" s="45"/>
      <c r="N11838" s="45"/>
    </row>
    <row r="11839">
      <c r="A11839" s="40" t="str">
        <f t="shared" si="1"/>
        <v/>
      </c>
      <c r="B11839" s="37" t="str">
        <f t="array" ref="B11839">iferror(xlookup($I11839, 'IMPORT VHC Report'!$E:$E, 'IMPORT VHC Report'!$A:$C), )</f>
        <v/>
      </c>
      <c r="C11839" s="44"/>
      <c r="D11839" s="44"/>
      <c r="L11839" s="45"/>
      <c r="N11839" s="45"/>
    </row>
    <row r="11840">
      <c r="A11840" s="40" t="str">
        <f t="shared" si="1"/>
        <v/>
      </c>
      <c r="B11840" s="37" t="str">
        <f t="array" ref="B11840">iferror(xlookup($I11840, 'IMPORT VHC Report'!$E:$E, 'IMPORT VHC Report'!$A:$C), )</f>
        <v/>
      </c>
      <c r="C11840" s="44"/>
      <c r="D11840" s="44"/>
      <c r="L11840" s="45"/>
      <c r="N11840" s="45"/>
    </row>
    <row r="11841">
      <c r="A11841" s="40" t="str">
        <f t="shared" si="1"/>
        <v/>
      </c>
      <c r="B11841" s="37" t="str">
        <f t="array" ref="B11841">iferror(xlookup($I11841, 'IMPORT VHC Report'!$E:$E, 'IMPORT VHC Report'!$A:$C), )</f>
        <v/>
      </c>
      <c r="C11841" s="44"/>
      <c r="D11841" s="44"/>
      <c r="L11841" s="45"/>
      <c r="N11841" s="45"/>
    </row>
    <row r="11842">
      <c r="A11842" s="40" t="str">
        <f t="shared" si="1"/>
        <v/>
      </c>
      <c r="B11842" s="37" t="str">
        <f t="array" ref="B11842">iferror(xlookup($I11842, 'IMPORT VHC Report'!$E:$E, 'IMPORT VHC Report'!$A:$C), )</f>
        <v/>
      </c>
      <c r="C11842" s="44"/>
      <c r="D11842" s="44"/>
      <c r="L11842" s="45"/>
      <c r="N11842" s="45"/>
    </row>
    <row r="11843">
      <c r="A11843" s="40" t="str">
        <f t="shared" si="1"/>
        <v/>
      </c>
      <c r="B11843" s="37" t="str">
        <f t="array" ref="B11843">iferror(xlookup($I11843, 'IMPORT VHC Report'!$E:$E, 'IMPORT VHC Report'!$A:$C), )</f>
        <v/>
      </c>
      <c r="C11843" s="44"/>
      <c r="D11843" s="44"/>
      <c r="L11843" s="45"/>
      <c r="N11843" s="45"/>
    </row>
    <row r="11844">
      <c r="A11844" s="40" t="str">
        <f t="shared" si="1"/>
        <v/>
      </c>
      <c r="B11844" s="37" t="str">
        <f t="array" ref="B11844">iferror(xlookup($I11844, 'IMPORT VHC Report'!$E:$E, 'IMPORT VHC Report'!$A:$C), )</f>
        <v/>
      </c>
      <c r="C11844" s="44"/>
      <c r="D11844" s="44"/>
      <c r="L11844" s="45"/>
      <c r="N11844" s="45"/>
    </row>
    <row r="11845">
      <c r="A11845" s="40" t="str">
        <f t="shared" si="1"/>
        <v/>
      </c>
      <c r="B11845" s="37" t="str">
        <f t="array" ref="B11845">iferror(xlookup($I11845, 'IMPORT VHC Report'!$E:$E, 'IMPORT VHC Report'!$A:$C), )</f>
        <v/>
      </c>
      <c r="C11845" s="44"/>
      <c r="D11845" s="44"/>
      <c r="L11845" s="45"/>
      <c r="N11845" s="45"/>
    </row>
    <row r="11846">
      <c r="A11846" s="40">
        <f t="shared" si="1"/>
        <v>46006</v>
      </c>
      <c r="B11846" s="37" t="str">
        <f t="array" ref="B11846">iferror(xlookup($I11846, 'IMPORT VHC Report'!$E:$E, 'IMPORT VHC Report'!$A:$C), )</f>
        <v/>
      </c>
      <c r="C11846" s="44"/>
      <c r="D11846" s="44"/>
      <c r="E11846" s="46" t="s">
        <v>321</v>
      </c>
      <c r="F11846" s="46" t="s">
        <v>297</v>
      </c>
      <c r="G11846" s="46">
        <v>3.61731514775E11</v>
      </c>
      <c r="H11846" s="46" t="s">
        <v>298</v>
      </c>
      <c r="I11846" s="46" t="s">
        <v>299</v>
      </c>
      <c r="J11846" s="46" t="s">
        <v>300</v>
      </c>
      <c r="K11846" s="46" t="s">
        <v>63</v>
      </c>
      <c r="L11846" s="45">
        <v>46012.833333333336</v>
      </c>
      <c r="M11846" s="46" t="s">
        <v>123</v>
      </c>
      <c r="N11846" s="45">
        <v>46013.208333333336</v>
      </c>
      <c r="O11846" s="46" t="s">
        <v>123</v>
      </c>
      <c r="P11846" s="46">
        <v>32400.0</v>
      </c>
    </row>
    <row r="11847">
      <c r="A11847" s="40" t="str">
        <f t="shared" si="1"/>
        <v/>
      </c>
      <c r="B11847" s="37" t="str">
        <f t="array" ref="B11847">iferror(xlookup($I11847, 'IMPORT VHC Report'!$E:$E, 'IMPORT VHC Report'!$A:$C), )</f>
        <v/>
      </c>
      <c r="C11847" s="44"/>
      <c r="D11847" s="44"/>
      <c r="L11847" s="45"/>
      <c r="N11847" s="45"/>
    </row>
    <row r="11848">
      <c r="A11848" s="40" t="str">
        <f t="shared" si="1"/>
        <v/>
      </c>
      <c r="B11848" s="37" t="str">
        <f t="array" ref="B11848">iferror(xlookup($I11848, 'IMPORT VHC Report'!$E:$E, 'IMPORT VHC Report'!$A:$C), )</f>
        <v/>
      </c>
      <c r="C11848" s="44"/>
      <c r="D11848" s="44"/>
      <c r="L11848" s="45"/>
      <c r="N11848" s="45"/>
    </row>
    <row r="11849">
      <c r="A11849" s="40" t="str">
        <f t="shared" si="1"/>
        <v/>
      </c>
      <c r="B11849" s="37" t="str">
        <f t="array" ref="B11849">iferror(xlookup($I11849, 'IMPORT VHC Report'!$E:$E, 'IMPORT VHC Report'!$A:$C), )</f>
        <v/>
      </c>
      <c r="C11849" s="44"/>
      <c r="D11849" s="44"/>
      <c r="L11849" s="45"/>
      <c r="N11849" s="45"/>
    </row>
    <row r="11850">
      <c r="A11850" s="40" t="str">
        <f t="shared" si="1"/>
        <v/>
      </c>
      <c r="B11850" s="37" t="str">
        <f t="array" ref="B11850">iferror(xlookup($I11850, 'IMPORT VHC Report'!$E:$E, 'IMPORT VHC Report'!$A:$C), )</f>
        <v/>
      </c>
      <c r="C11850" s="44"/>
      <c r="D11850" s="44"/>
      <c r="L11850" s="45"/>
      <c r="N11850" s="45"/>
    </row>
    <row r="11851">
      <c r="A11851" s="40" t="str">
        <f t="shared" si="1"/>
        <v/>
      </c>
      <c r="B11851" s="37" t="str">
        <f t="array" ref="B11851">iferror(xlookup($I11851, 'IMPORT VHC Report'!$E:$E, 'IMPORT VHC Report'!$A:$C), )</f>
        <v/>
      </c>
      <c r="C11851" s="44"/>
      <c r="D11851" s="44"/>
      <c r="L11851" s="45"/>
      <c r="N11851" s="45"/>
    </row>
    <row r="11852">
      <c r="A11852" s="40" t="str">
        <f t="shared" si="1"/>
        <v/>
      </c>
      <c r="B11852" s="37" t="str">
        <f t="array" ref="B11852">iferror(xlookup($I11852, 'IMPORT VHC Report'!$E:$E, 'IMPORT VHC Report'!$A:$C), )</f>
        <v/>
      </c>
      <c r="C11852" s="44"/>
      <c r="D11852" s="44"/>
      <c r="L11852" s="45"/>
      <c r="N11852" s="45"/>
    </row>
    <row r="11853">
      <c r="A11853" s="40" t="str">
        <f t="shared" si="1"/>
        <v/>
      </c>
      <c r="B11853" s="37" t="str">
        <f t="array" ref="B11853">iferror(xlookup($I11853, 'IMPORT VHC Report'!$E:$E, 'IMPORT VHC Report'!$A:$C), )</f>
        <v/>
      </c>
      <c r="C11853" s="44"/>
      <c r="D11853" s="44"/>
      <c r="L11853" s="45"/>
      <c r="N11853" s="45"/>
    </row>
    <row r="11854">
      <c r="A11854" s="40" t="str">
        <f t="shared" si="1"/>
        <v/>
      </c>
      <c r="B11854" s="37" t="str">
        <f t="array" ref="B11854">iferror(xlookup($I11854, 'IMPORT VHC Report'!$E:$E, 'IMPORT VHC Report'!$A:$C), )</f>
        <v/>
      </c>
      <c r="C11854" s="44"/>
      <c r="D11854" s="44"/>
      <c r="L11854" s="45"/>
      <c r="N11854" s="45"/>
    </row>
    <row r="11855">
      <c r="A11855" s="40" t="str">
        <f t="shared" si="1"/>
        <v/>
      </c>
      <c r="B11855" s="37" t="str">
        <f t="array" ref="B11855">iferror(xlookup($I11855, 'IMPORT VHC Report'!$E:$E, 'IMPORT VHC Report'!$A:$C), )</f>
        <v/>
      </c>
      <c r="C11855" s="44"/>
      <c r="D11855" s="44"/>
      <c r="L11855" s="45"/>
      <c r="N11855" s="45"/>
    </row>
    <row r="11856">
      <c r="A11856" s="40" t="str">
        <f t="shared" si="1"/>
        <v/>
      </c>
      <c r="B11856" s="37" t="str">
        <f t="array" ref="B11856">iferror(xlookup($I11856, 'IMPORT VHC Report'!$E:$E, 'IMPORT VHC Report'!$A:$C), )</f>
        <v/>
      </c>
      <c r="C11856" s="44"/>
      <c r="D11856" s="44"/>
      <c r="L11856" s="45"/>
      <c r="N11856" s="45"/>
    </row>
    <row r="11857">
      <c r="A11857" s="40" t="str">
        <f t="shared" si="1"/>
        <v/>
      </c>
      <c r="B11857" s="37" t="str">
        <f t="array" ref="B11857">iferror(xlookup($I11857, 'IMPORT VHC Report'!$E:$E, 'IMPORT VHC Report'!$A:$C), )</f>
        <v/>
      </c>
      <c r="C11857" s="44"/>
      <c r="D11857" s="44"/>
      <c r="L11857" s="45"/>
      <c r="N11857" s="45"/>
    </row>
    <row r="11858">
      <c r="A11858" s="40" t="str">
        <f t="shared" si="1"/>
        <v/>
      </c>
      <c r="B11858" s="37" t="str">
        <f t="array" ref="B11858">iferror(xlookup($I11858, 'IMPORT VHC Report'!$E:$E, 'IMPORT VHC Report'!$A:$C), )</f>
        <v/>
      </c>
      <c r="C11858" s="44"/>
      <c r="D11858" s="44"/>
      <c r="L11858" s="45"/>
      <c r="N11858" s="45"/>
    </row>
    <row r="11859">
      <c r="A11859" s="40" t="str">
        <f t="shared" si="1"/>
        <v/>
      </c>
      <c r="B11859" s="37" t="str">
        <f t="array" ref="B11859">iferror(xlookup($I11859, 'IMPORT VHC Report'!$E:$E, 'IMPORT VHC Report'!$A:$C), )</f>
        <v/>
      </c>
      <c r="C11859" s="44"/>
      <c r="D11859" s="44"/>
      <c r="L11859" s="45"/>
      <c r="N11859" s="45"/>
    </row>
    <row r="11860">
      <c r="A11860" s="40" t="str">
        <f t="shared" si="1"/>
        <v/>
      </c>
      <c r="B11860" s="37" t="str">
        <f t="array" ref="B11860">iferror(xlookup($I11860, 'IMPORT VHC Report'!$E:$E, 'IMPORT VHC Report'!$A:$C), )</f>
        <v/>
      </c>
      <c r="C11860" s="44"/>
      <c r="D11860" s="44"/>
      <c r="L11860" s="45"/>
      <c r="N11860" s="45"/>
    </row>
    <row r="11861">
      <c r="A11861" s="40" t="str">
        <f t="shared" si="1"/>
        <v/>
      </c>
      <c r="B11861" s="37" t="str">
        <f t="array" ref="B11861">iferror(xlookup($I11861, 'IMPORT VHC Report'!$E:$E, 'IMPORT VHC Report'!$A:$C), )</f>
        <v/>
      </c>
      <c r="C11861" s="44"/>
      <c r="D11861" s="44"/>
      <c r="L11861" s="45"/>
      <c r="N11861" s="45"/>
    </row>
    <row r="11862">
      <c r="A11862" s="40" t="str">
        <f t="shared" si="1"/>
        <v/>
      </c>
      <c r="B11862" s="37" t="str">
        <f t="array" ref="B11862">iferror(xlookup($I11862, 'IMPORT VHC Report'!$E:$E, 'IMPORT VHC Report'!$A:$C), )</f>
        <v/>
      </c>
      <c r="C11862" s="44"/>
      <c r="D11862" s="44"/>
      <c r="L11862" s="45"/>
      <c r="N11862" s="45"/>
    </row>
    <row r="11863">
      <c r="A11863" s="40" t="str">
        <f t="shared" si="1"/>
        <v/>
      </c>
      <c r="B11863" s="37" t="str">
        <f t="array" ref="B11863">iferror(xlookup($I11863, 'IMPORT VHC Report'!$E:$E, 'IMPORT VHC Report'!$A:$C), )</f>
        <v/>
      </c>
      <c r="C11863" s="44"/>
      <c r="D11863" s="44"/>
      <c r="L11863" s="45"/>
      <c r="N11863" s="45"/>
    </row>
    <row r="11864">
      <c r="A11864" s="40" t="str">
        <f t="shared" si="1"/>
        <v/>
      </c>
      <c r="B11864" s="37" t="str">
        <f t="array" ref="B11864">iferror(xlookup($I11864, 'IMPORT VHC Report'!$E:$E, 'IMPORT VHC Report'!$A:$C), )</f>
        <v/>
      </c>
      <c r="C11864" s="44"/>
      <c r="D11864" s="44"/>
      <c r="L11864" s="45"/>
      <c r="N11864" s="45"/>
    </row>
    <row r="11865">
      <c r="A11865" s="40" t="str">
        <f t="shared" si="1"/>
        <v/>
      </c>
      <c r="B11865" s="37" t="str">
        <f t="array" ref="B11865">iferror(xlookup($I11865, 'IMPORT VHC Report'!$E:$E, 'IMPORT VHC Report'!$A:$C), )</f>
        <v/>
      </c>
      <c r="C11865" s="44"/>
      <c r="D11865" s="44"/>
      <c r="L11865" s="45"/>
      <c r="N11865" s="45"/>
    </row>
    <row r="11866">
      <c r="A11866" s="40" t="str">
        <f t="shared" si="1"/>
        <v/>
      </c>
      <c r="B11866" s="37" t="str">
        <f t="array" ref="B11866">iferror(xlookup($I11866, 'IMPORT VHC Report'!$E:$E, 'IMPORT VHC Report'!$A:$C), )</f>
        <v/>
      </c>
      <c r="C11866" s="44"/>
      <c r="D11866" s="44"/>
      <c r="L11866" s="45"/>
      <c r="N11866" s="45"/>
    </row>
    <row r="11867">
      <c r="A11867" s="40" t="str">
        <f t="shared" si="1"/>
        <v/>
      </c>
      <c r="B11867" s="37" t="str">
        <f t="array" ref="B11867">iferror(xlookup($I11867, 'IMPORT VHC Report'!$E:$E, 'IMPORT VHC Report'!$A:$C), )</f>
        <v/>
      </c>
      <c r="C11867" s="44"/>
      <c r="D11867" s="44"/>
      <c r="L11867" s="45"/>
      <c r="N11867" s="45"/>
    </row>
    <row r="11868">
      <c r="A11868" s="40">
        <f t="shared" si="1"/>
        <v>46006</v>
      </c>
      <c r="B11868" s="37" t="str">
        <f t="array" ref="B11868">iferror(xlookup($I11868, 'IMPORT VHC Report'!$E:$E, 'IMPORT VHC Report'!$A:$C), )</f>
        <v/>
      </c>
      <c r="C11868" s="44"/>
      <c r="D11868" s="44"/>
      <c r="E11868" s="46" t="s">
        <v>492</v>
      </c>
      <c r="F11868" s="46" t="s">
        <v>471</v>
      </c>
      <c r="G11868" s="46">
        <v>3.61726425496E11</v>
      </c>
      <c r="H11868" s="46" t="s">
        <v>472</v>
      </c>
      <c r="I11868" s="46" t="s">
        <v>473</v>
      </c>
      <c r="J11868" s="46" t="s">
        <v>152</v>
      </c>
      <c r="K11868" s="46" t="s">
        <v>153</v>
      </c>
      <c r="L11868" s="45">
        <v>46012.875</v>
      </c>
      <c r="M11868" s="46" t="s">
        <v>123</v>
      </c>
      <c r="N11868" s="45">
        <v>46013.25</v>
      </c>
      <c r="O11868" s="46" t="s">
        <v>123</v>
      </c>
      <c r="P11868" s="46">
        <v>32400.0</v>
      </c>
      <c r="Q11868" s="46">
        <v>28800.0</v>
      </c>
      <c r="R11868" s="46" t="s">
        <v>493</v>
      </c>
    </row>
    <row r="11869">
      <c r="A11869" s="40">
        <f t="shared" si="1"/>
        <v>46006</v>
      </c>
      <c r="B11869" s="37" t="str">
        <f t="array" ref="B11869">iferror(xlookup($I11869, 'IMPORT VHC Report'!$E:$E, 'IMPORT VHC Report'!$A:$C), )</f>
        <v/>
      </c>
      <c r="C11869" s="44"/>
      <c r="D11869" s="44"/>
      <c r="E11869" s="46" t="s">
        <v>494</v>
      </c>
      <c r="F11869" s="46" t="s">
        <v>471</v>
      </c>
      <c r="G11869" s="46">
        <v>3.61726425496E11</v>
      </c>
      <c r="H11869" s="46" t="s">
        <v>472</v>
      </c>
      <c r="I11869" s="46" t="s">
        <v>473</v>
      </c>
      <c r="J11869" s="46" t="s">
        <v>300</v>
      </c>
      <c r="K11869" s="46" t="s">
        <v>63</v>
      </c>
      <c r="L11869" s="45">
        <v>46012.875</v>
      </c>
      <c r="M11869" s="46" t="s">
        <v>123</v>
      </c>
      <c r="N11869" s="45">
        <v>46013.25</v>
      </c>
      <c r="O11869" s="46" t="s">
        <v>123</v>
      </c>
      <c r="P11869" s="46">
        <v>32400.0</v>
      </c>
    </row>
    <row r="11870">
      <c r="A11870" s="40">
        <f t="shared" si="1"/>
        <v>46013</v>
      </c>
      <c r="B11870" s="37" t="str">
        <f t="array" ref="B11870">iferror(xlookup($I11870, 'IMPORT VHC Report'!$E:$E, 'IMPORT VHC Report'!$A:$C), )</f>
        <v/>
      </c>
      <c r="C11870" s="44"/>
      <c r="D11870" s="44"/>
      <c r="E11870" s="46" t="s">
        <v>7880</v>
      </c>
      <c r="F11870" s="46" t="s">
        <v>3081</v>
      </c>
      <c r="G11870" s="46">
        <v>9.795666354191E12</v>
      </c>
      <c r="H11870" s="46" t="s">
        <v>3082</v>
      </c>
      <c r="I11870" s="46" t="s">
        <v>3083</v>
      </c>
      <c r="J11870" s="46" t="s">
        <v>3084</v>
      </c>
      <c r="K11870" s="46" t="s">
        <v>63</v>
      </c>
      <c r="L11870" s="45">
        <v>46013.291666666664</v>
      </c>
      <c r="M11870" s="46" t="s">
        <v>123</v>
      </c>
      <c r="N11870" s="45">
        <v>46013.645833333336</v>
      </c>
      <c r="O11870" s="46" t="s">
        <v>123</v>
      </c>
      <c r="P11870" s="46">
        <v>30600.0</v>
      </c>
    </row>
    <row r="11871">
      <c r="A11871" s="40">
        <f t="shared" si="1"/>
        <v>46013</v>
      </c>
      <c r="B11871" s="37" t="str">
        <f t="array" ref="B11871">iferror(xlookup($I11871, 'IMPORT VHC Report'!$E:$E, 'IMPORT VHC Report'!$A:$C), )</f>
        <v/>
      </c>
      <c r="C11871" s="44"/>
      <c r="D11871" s="44"/>
      <c r="E11871" s="46" t="s">
        <v>7881</v>
      </c>
      <c r="F11871" s="46" t="s">
        <v>3081</v>
      </c>
      <c r="G11871" s="46">
        <v>9.795666354191E12</v>
      </c>
      <c r="H11871" s="46" t="s">
        <v>3082</v>
      </c>
      <c r="I11871" s="46" t="s">
        <v>3083</v>
      </c>
      <c r="J11871" s="46" t="s">
        <v>132</v>
      </c>
      <c r="K11871" s="46" t="s">
        <v>126</v>
      </c>
      <c r="L11871" s="45">
        <v>46013.4375</v>
      </c>
      <c r="M11871" s="46" t="s">
        <v>123</v>
      </c>
      <c r="N11871" s="45">
        <v>46013.479166666664</v>
      </c>
      <c r="O11871" s="46" t="s">
        <v>123</v>
      </c>
      <c r="P11871" s="46">
        <v>3600.0</v>
      </c>
    </row>
    <row r="11872">
      <c r="A11872" s="40">
        <f t="shared" si="1"/>
        <v>46013</v>
      </c>
      <c r="B11872" s="37" t="str">
        <f t="array" ref="B11872">iferror(xlookup($I11872, 'IMPORT VHC Report'!$E:$E, 'IMPORT VHC Report'!$A:$C), )</f>
        <v/>
      </c>
      <c r="C11872" s="44"/>
      <c r="D11872" s="44"/>
      <c r="E11872" s="46" t="s">
        <v>7882</v>
      </c>
      <c r="F11872" s="46" t="s">
        <v>3081</v>
      </c>
      <c r="G11872" s="46">
        <v>9.795666354191E12</v>
      </c>
      <c r="H11872" s="46" t="s">
        <v>3082</v>
      </c>
      <c r="I11872" s="46" t="s">
        <v>3083</v>
      </c>
      <c r="J11872" s="46" t="s">
        <v>3084</v>
      </c>
      <c r="K11872" s="46" t="s">
        <v>63</v>
      </c>
      <c r="L11872" s="45">
        <v>46014.291666666664</v>
      </c>
      <c r="M11872" s="46" t="s">
        <v>123</v>
      </c>
      <c r="N11872" s="45">
        <v>46014.645833333336</v>
      </c>
      <c r="O11872" s="46" t="s">
        <v>123</v>
      </c>
      <c r="P11872" s="46">
        <v>30600.0</v>
      </c>
    </row>
    <row r="11873">
      <c r="A11873" s="40">
        <f t="shared" si="1"/>
        <v>46013</v>
      </c>
      <c r="B11873" s="37" t="str">
        <f t="array" ref="B11873">iferror(xlookup($I11873, 'IMPORT VHC Report'!$E:$E, 'IMPORT VHC Report'!$A:$C), )</f>
        <v/>
      </c>
      <c r="C11873" s="44"/>
      <c r="D11873" s="44"/>
      <c r="E11873" s="46" t="s">
        <v>7883</v>
      </c>
      <c r="F11873" s="46" t="s">
        <v>3081</v>
      </c>
      <c r="G11873" s="46">
        <v>9.795666354191E12</v>
      </c>
      <c r="H11873" s="46" t="s">
        <v>3082</v>
      </c>
      <c r="I11873" s="46" t="s">
        <v>3083</v>
      </c>
      <c r="J11873" s="46" t="s">
        <v>132</v>
      </c>
      <c r="K11873" s="46" t="s">
        <v>126</v>
      </c>
      <c r="L11873" s="45">
        <v>46014.4375</v>
      </c>
      <c r="M11873" s="46" t="s">
        <v>123</v>
      </c>
      <c r="N11873" s="45">
        <v>46014.479166666664</v>
      </c>
      <c r="O11873" s="46" t="s">
        <v>123</v>
      </c>
      <c r="P11873" s="46">
        <v>3600.0</v>
      </c>
    </row>
    <row r="11874">
      <c r="A11874" s="40">
        <f t="shared" si="1"/>
        <v>46013</v>
      </c>
      <c r="B11874" s="37" t="str">
        <f t="array" ref="B11874">iferror(xlookup($I11874, 'IMPORT VHC Report'!$E:$E, 'IMPORT VHC Report'!$A:$C), )</f>
        <v/>
      </c>
      <c r="C11874" s="44"/>
      <c r="D11874" s="44"/>
      <c r="E11874" s="46" t="s">
        <v>7884</v>
      </c>
      <c r="F11874" s="46" t="s">
        <v>3081</v>
      </c>
      <c r="G11874" s="46">
        <v>9.795666354191E12</v>
      </c>
      <c r="H11874" s="46" t="s">
        <v>3082</v>
      </c>
      <c r="I11874" s="46" t="s">
        <v>3083</v>
      </c>
      <c r="J11874" s="46" t="s">
        <v>3084</v>
      </c>
      <c r="K11874" s="46" t="s">
        <v>63</v>
      </c>
      <c r="L11874" s="45">
        <v>46015.291666666664</v>
      </c>
      <c r="M11874" s="46" t="s">
        <v>123</v>
      </c>
      <c r="N11874" s="45">
        <v>46015.645833333336</v>
      </c>
      <c r="O11874" s="46" t="s">
        <v>123</v>
      </c>
      <c r="P11874" s="46">
        <v>30600.0</v>
      </c>
    </row>
    <row r="11875">
      <c r="A11875" s="40">
        <f t="shared" si="1"/>
        <v>46013</v>
      </c>
      <c r="B11875" s="37" t="str">
        <f t="array" ref="B11875">iferror(xlookup($I11875, 'IMPORT VHC Report'!$E:$E, 'IMPORT VHC Report'!$A:$C), )</f>
        <v/>
      </c>
      <c r="C11875" s="44"/>
      <c r="D11875" s="44"/>
      <c r="E11875" s="46" t="s">
        <v>7885</v>
      </c>
      <c r="F11875" s="46" t="s">
        <v>3081</v>
      </c>
      <c r="G11875" s="46">
        <v>9.795666354191E12</v>
      </c>
      <c r="H11875" s="46" t="s">
        <v>3082</v>
      </c>
      <c r="I11875" s="46" t="s">
        <v>3083</v>
      </c>
      <c r="J11875" s="46" t="s">
        <v>132</v>
      </c>
      <c r="K11875" s="46" t="s">
        <v>126</v>
      </c>
      <c r="L11875" s="45">
        <v>46015.4375</v>
      </c>
      <c r="M11875" s="46" t="s">
        <v>123</v>
      </c>
      <c r="N11875" s="45">
        <v>46015.479166666664</v>
      </c>
      <c r="O11875" s="46" t="s">
        <v>123</v>
      </c>
      <c r="P11875" s="46">
        <v>3600.0</v>
      </c>
    </row>
    <row r="11876">
      <c r="A11876" s="40">
        <f t="shared" si="1"/>
        <v>46013</v>
      </c>
      <c r="B11876" s="37" t="str">
        <f t="array" ref="B11876">iferror(xlookup($I11876, 'IMPORT VHC Report'!$E:$E, 'IMPORT VHC Report'!$A:$C), )</f>
        <v/>
      </c>
      <c r="C11876" s="44"/>
      <c r="D11876" s="44"/>
      <c r="E11876" s="46" t="s">
        <v>7886</v>
      </c>
      <c r="F11876" s="46" t="s">
        <v>3081</v>
      </c>
      <c r="G11876" s="46">
        <v>9.795666354191E12</v>
      </c>
      <c r="H11876" s="46" t="s">
        <v>3082</v>
      </c>
      <c r="I11876" s="46" t="s">
        <v>3083</v>
      </c>
      <c r="J11876" s="46" t="s">
        <v>5617</v>
      </c>
      <c r="K11876" s="46" t="s">
        <v>153</v>
      </c>
      <c r="L11876" s="45">
        <v>46016.25</v>
      </c>
      <c r="M11876" s="46" t="s">
        <v>123</v>
      </c>
      <c r="N11876" s="45">
        <v>46016.625</v>
      </c>
      <c r="O11876" s="46" t="s">
        <v>123</v>
      </c>
      <c r="P11876" s="46">
        <v>32400.0</v>
      </c>
      <c r="Q11876" s="46">
        <v>32400.0</v>
      </c>
      <c r="R11876" s="46" t="s">
        <v>7887</v>
      </c>
      <c r="S11876" s="46" t="s">
        <v>7887</v>
      </c>
    </row>
    <row r="11877">
      <c r="A11877" s="40">
        <f t="shared" si="1"/>
        <v>46013</v>
      </c>
      <c r="B11877" s="37" t="str">
        <f t="array" ref="B11877">iferror(xlookup($I11877, 'IMPORT VHC Report'!$E:$E, 'IMPORT VHC Report'!$A:$C), )</f>
        <v/>
      </c>
      <c r="C11877" s="44"/>
      <c r="D11877" s="44"/>
      <c r="E11877" s="46" t="s">
        <v>7888</v>
      </c>
      <c r="F11877" s="46" t="s">
        <v>3081</v>
      </c>
      <c r="G11877" s="46">
        <v>9.795666354191E12</v>
      </c>
      <c r="H11877" s="46" t="s">
        <v>3082</v>
      </c>
      <c r="I11877" s="46" t="s">
        <v>3083</v>
      </c>
      <c r="J11877" s="46" t="s">
        <v>5617</v>
      </c>
      <c r="K11877" s="46" t="s">
        <v>153</v>
      </c>
      <c r="L11877" s="45">
        <v>46017.25</v>
      </c>
      <c r="M11877" s="46" t="s">
        <v>123</v>
      </c>
      <c r="N11877" s="45">
        <v>46017.625</v>
      </c>
      <c r="O11877" s="46" t="s">
        <v>123</v>
      </c>
      <c r="P11877" s="46">
        <v>32400.0</v>
      </c>
      <c r="Q11877" s="46">
        <v>32400.0</v>
      </c>
      <c r="R11877" s="46" t="s">
        <v>7889</v>
      </c>
      <c r="S11877" s="46" t="s">
        <v>7889</v>
      </c>
    </row>
    <row r="11878">
      <c r="A11878" s="40">
        <f t="shared" si="1"/>
        <v>46013</v>
      </c>
      <c r="B11878" s="37" t="str">
        <f t="array" ref="B11878">iferror(xlookup($I11878, 'IMPORT VHC Report'!$E:$E, 'IMPORT VHC Report'!$A:$C), )</f>
        <v/>
      </c>
      <c r="C11878" s="44"/>
      <c r="D11878" s="44"/>
      <c r="E11878" s="46" t="s">
        <v>7890</v>
      </c>
      <c r="F11878" s="46" t="s">
        <v>2132</v>
      </c>
      <c r="G11878" s="46">
        <v>3.61724963216E11</v>
      </c>
      <c r="H11878" s="46" t="s">
        <v>2133</v>
      </c>
      <c r="I11878" s="46" t="s">
        <v>2134</v>
      </c>
      <c r="J11878" s="46" t="s">
        <v>2135</v>
      </c>
      <c r="K11878" s="46" t="s">
        <v>63</v>
      </c>
      <c r="L11878" s="45">
        <v>46013.166666666664</v>
      </c>
      <c r="M11878" s="46" t="s">
        <v>123</v>
      </c>
      <c r="N11878" s="45">
        <v>46013.541666666664</v>
      </c>
      <c r="O11878" s="46" t="s">
        <v>123</v>
      </c>
      <c r="P11878" s="46">
        <v>32400.0</v>
      </c>
    </row>
    <row r="11879">
      <c r="A11879" s="40">
        <f t="shared" si="1"/>
        <v>46013</v>
      </c>
      <c r="B11879" s="37" t="str">
        <f t="array" ref="B11879">iferror(xlookup($I11879, 'IMPORT VHC Report'!$E:$E, 'IMPORT VHC Report'!$A:$C), )</f>
        <v/>
      </c>
      <c r="C11879" s="44"/>
      <c r="D11879" s="44"/>
      <c r="E11879" s="46" t="s">
        <v>7891</v>
      </c>
      <c r="F11879" s="46" t="s">
        <v>2132</v>
      </c>
      <c r="G11879" s="46">
        <v>3.61724963216E11</v>
      </c>
      <c r="H11879" s="46" t="s">
        <v>2133</v>
      </c>
      <c r="I11879" s="46" t="s">
        <v>2134</v>
      </c>
      <c r="J11879" s="46" t="s">
        <v>134</v>
      </c>
      <c r="K11879" s="46" t="s">
        <v>126</v>
      </c>
      <c r="L11879" s="45">
        <v>46013.479166666664</v>
      </c>
      <c r="M11879" s="46" t="s">
        <v>123</v>
      </c>
      <c r="N11879" s="45">
        <v>46013.5</v>
      </c>
      <c r="O11879" s="46" t="s">
        <v>123</v>
      </c>
      <c r="P11879" s="46">
        <v>1800.0</v>
      </c>
    </row>
    <row r="11880">
      <c r="A11880" s="40">
        <f t="shared" si="1"/>
        <v>46013</v>
      </c>
      <c r="B11880" s="37" t="str">
        <f t="array" ref="B11880">iferror(xlookup($I11880, 'IMPORT VHC Report'!$E:$E, 'IMPORT VHC Report'!$A:$C), )</f>
        <v/>
      </c>
      <c r="C11880" s="44"/>
      <c r="D11880" s="44"/>
      <c r="E11880" s="46" t="s">
        <v>7892</v>
      </c>
      <c r="F11880" s="46" t="s">
        <v>2132</v>
      </c>
      <c r="G11880" s="46">
        <v>3.61724963216E11</v>
      </c>
      <c r="H11880" s="46" t="s">
        <v>2133</v>
      </c>
      <c r="I11880" s="46" t="s">
        <v>2134</v>
      </c>
      <c r="J11880" s="46" t="s">
        <v>132</v>
      </c>
      <c r="K11880" s="46" t="s">
        <v>126</v>
      </c>
      <c r="L11880" s="45">
        <v>46013.5</v>
      </c>
      <c r="M11880" s="46" t="s">
        <v>123</v>
      </c>
      <c r="N11880" s="45">
        <v>46013.541666666664</v>
      </c>
      <c r="O11880" s="46" t="s">
        <v>123</v>
      </c>
      <c r="P11880" s="46">
        <v>3600.0</v>
      </c>
    </row>
    <row r="11881">
      <c r="A11881" s="40">
        <f t="shared" si="1"/>
        <v>46013</v>
      </c>
      <c r="B11881" s="37" t="str">
        <f t="array" ref="B11881">iferror(xlookup($I11881, 'IMPORT VHC Report'!$E:$E, 'IMPORT VHC Report'!$A:$C), )</f>
        <v/>
      </c>
      <c r="C11881" s="44"/>
      <c r="D11881" s="44"/>
      <c r="E11881" s="46" t="s">
        <v>7893</v>
      </c>
      <c r="F11881" s="46" t="s">
        <v>2132</v>
      </c>
      <c r="G11881" s="46">
        <v>3.61724963216E11</v>
      </c>
      <c r="H11881" s="46" t="s">
        <v>2133</v>
      </c>
      <c r="I11881" s="46" t="s">
        <v>2134</v>
      </c>
      <c r="J11881" s="46" t="s">
        <v>2135</v>
      </c>
      <c r="K11881" s="46" t="s">
        <v>63</v>
      </c>
      <c r="L11881" s="45">
        <v>46014.166666666664</v>
      </c>
      <c r="M11881" s="46" t="s">
        <v>123</v>
      </c>
      <c r="N11881" s="45">
        <v>46014.541666666664</v>
      </c>
      <c r="O11881" s="46" t="s">
        <v>123</v>
      </c>
      <c r="P11881" s="46">
        <v>32400.0</v>
      </c>
    </row>
    <row r="11882">
      <c r="A11882" s="40">
        <f t="shared" si="1"/>
        <v>46013</v>
      </c>
      <c r="B11882" s="37" t="str">
        <f t="array" ref="B11882">iferror(xlookup($I11882, 'IMPORT VHC Report'!$E:$E, 'IMPORT VHC Report'!$A:$C), )</f>
        <v/>
      </c>
      <c r="C11882" s="44"/>
      <c r="D11882" s="44"/>
      <c r="E11882" s="46" t="s">
        <v>7894</v>
      </c>
      <c r="F11882" s="46" t="s">
        <v>2132</v>
      </c>
      <c r="G11882" s="46">
        <v>3.61724963216E11</v>
      </c>
      <c r="H11882" s="46" t="s">
        <v>2133</v>
      </c>
      <c r="I11882" s="46" t="s">
        <v>2134</v>
      </c>
      <c r="J11882" s="46" t="s">
        <v>134</v>
      </c>
      <c r="K11882" s="46" t="s">
        <v>126</v>
      </c>
      <c r="L11882" s="45">
        <v>46014.479166666664</v>
      </c>
      <c r="M11882" s="46" t="s">
        <v>123</v>
      </c>
      <c r="N11882" s="45">
        <v>46014.5</v>
      </c>
      <c r="O11882" s="46" t="s">
        <v>123</v>
      </c>
      <c r="P11882" s="46">
        <v>1800.0</v>
      </c>
    </row>
    <row r="11883">
      <c r="A11883" s="40">
        <f t="shared" si="1"/>
        <v>46013</v>
      </c>
      <c r="B11883" s="37" t="str">
        <f t="array" ref="B11883">iferror(xlookup($I11883, 'IMPORT VHC Report'!$E:$E, 'IMPORT VHC Report'!$A:$C), )</f>
        <v/>
      </c>
      <c r="C11883" s="44"/>
      <c r="D11883" s="44"/>
      <c r="E11883" s="46" t="s">
        <v>7895</v>
      </c>
      <c r="F11883" s="46" t="s">
        <v>2132</v>
      </c>
      <c r="G11883" s="46">
        <v>3.61724963216E11</v>
      </c>
      <c r="H11883" s="46" t="s">
        <v>2133</v>
      </c>
      <c r="I11883" s="46" t="s">
        <v>2134</v>
      </c>
      <c r="J11883" s="46" t="s">
        <v>132</v>
      </c>
      <c r="K11883" s="46" t="s">
        <v>126</v>
      </c>
      <c r="L11883" s="45">
        <v>46014.5</v>
      </c>
      <c r="M11883" s="46" t="s">
        <v>123</v>
      </c>
      <c r="N11883" s="45">
        <v>46014.541666666664</v>
      </c>
      <c r="O11883" s="46" t="s">
        <v>123</v>
      </c>
      <c r="P11883" s="46">
        <v>3600.0</v>
      </c>
    </row>
    <row r="11884">
      <c r="A11884" s="40">
        <f t="shared" si="1"/>
        <v>46013</v>
      </c>
      <c r="B11884" s="37" t="str">
        <f t="array" ref="B11884">iferror(xlookup($I11884, 'IMPORT VHC Report'!$E:$E, 'IMPORT VHC Report'!$A:$C), )</f>
        <v/>
      </c>
      <c r="C11884" s="44"/>
      <c r="D11884" s="44"/>
      <c r="E11884" s="46" t="s">
        <v>7896</v>
      </c>
      <c r="F11884" s="46" t="s">
        <v>2132</v>
      </c>
      <c r="G11884" s="46">
        <v>3.61724963216E11</v>
      </c>
      <c r="H11884" s="46" t="s">
        <v>2133</v>
      </c>
      <c r="I11884" s="46" t="s">
        <v>2134</v>
      </c>
      <c r="J11884" s="46" t="s">
        <v>2135</v>
      </c>
      <c r="K11884" s="46" t="s">
        <v>63</v>
      </c>
      <c r="L11884" s="45">
        <v>46015.166666666664</v>
      </c>
      <c r="M11884" s="46" t="s">
        <v>123</v>
      </c>
      <c r="N11884" s="45">
        <v>46015.541666666664</v>
      </c>
      <c r="O11884" s="46" t="s">
        <v>123</v>
      </c>
      <c r="P11884" s="46">
        <v>32400.0</v>
      </c>
    </row>
    <row r="11885">
      <c r="A11885" s="40">
        <f t="shared" si="1"/>
        <v>46013</v>
      </c>
      <c r="B11885" s="37" t="str">
        <f t="array" ref="B11885">iferror(xlookup($I11885, 'IMPORT VHC Report'!$E:$E, 'IMPORT VHC Report'!$A:$C), )</f>
        <v/>
      </c>
      <c r="C11885" s="44"/>
      <c r="D11885" s="44"/>
      <c r="E11885" s="46" t="s">
        <v>7897</v>
      </c>
      <c r="F11885" s="46" t="s">
        <v>2132</v>
      </c>
      <c r="G11885" s="46">
        <v>3.61724963216E11</v>
      </c>
      <c r="H11885" s="46" t="s">
        <v>2133</v>
      </c>
      <c r="I11885" s="46" t="s">
        <v>2134</v>
      </c>
      <c r="J11885" s="46" t="s">
        <v>134</v>
      </c>
      <c r="K11885" s="46" t="s">
        <v>126</v>
      </c>
      <c r="L11885" s="45">
        <v>46015.479166666664</v>
      </c>
      <c r="M11885" s="46" t="s">
        <v>123</v>
      </c>
      <c r="N11885" s="45">
        <v>46015.5</v>
      </c>
      <c r="O11885" s="46" t="s">
        <v>123</v>
      </c>
      <c r="P11885" s="46">
        <v>1800.0</v>
      </c>
    </row>
    <row r="11886">
      <c r="A11886" s="40">
        <f t="shared" si="1"/>
        <v>46013</v>
      </c>
      <c r="B11886" s="37" t="str">
        <f t="array" ref="B11886">iferror(xlookup($I11886, 'IMPORT VHC Report'!$E:$E, 'IMPORT VHC Report'!$A:$C), )</f>
        <v/>
      </c>
      <c r="C11886" s="44"/>
      <c r="D11886" s="44"/>
      <c r="E11886" s="46" t="s">
        <v>7898</v>
      </c>
      <c r="F11886" s="46" t="s">
        <v>2132</v>
      </c>
      <c r="G11886" s="46">
        <v>3.61724963216E11</v>
      </c>
      <c r="H11886" s="46" t="s">
        <v>2133</v>
      </c>
      <c r="I11886" s="46" t="s">
        <v>2134</v>
      </c>
      <c r="J11886" s="46" t="s">
        <v>132</v>
      </c>
      <c r="K11886" s="46" t="s">
        <v>126</v>
      </c>
      <c r="L11886" s="45">
        <v>46015.5</v>
      </c>
      <c r="M11886" s="46" t="s">
        <v>123</v>
      </c>
      <c r="N11886" s="45">
        <v>46015.541666666664</v>
      </c>
      <c r="O11886" s="46" t="s">
        <v>123</v>
      </c>
      <c r="P11886" s="46">
        <v>3600.0</v>
      </c>
    </row>
    <row r="11887">
      <c r="A11887" s="40">
        <f t="shared" si="1"/>
        <v>46013</v>
      </c>
      <c r="B11887" s="37" t="str">
        <f t="array" ref="B11887">iferror(xlookup($I11887, 'IMPORT VHC Report'!$E:$E, 'IMPORT VHC Report'!$A:$C), )</f>
        <v/>
      </c>
      <c r="C11887" s="44"/>
      <c r="D11887" s="44"/>
      <c r="E11887" s="46" t="s">
        <v>7899</v>
      </c>
      <c r="F11887" s="46" t="s">
        <v>2132</v>
      </c>
      <c r="G11887" s="46">
        <v>3.61724963216E11</v>
      </c>
      <c r="H11887" s="46" t="s">
        <v>2133</v>
      </c>
      <c r="I11887" s="46" t="s">
        <v>2134</v>
      </c>
      <c r="J11887" s="46" t="s">
        <v>2135</v>
      </c>
      <c r="K11887" s="46" t="s">
        <v>63</v>
      </c>
      <c r="L11887" s="45">
        <v>46016.166666666664</v>
      </c>
      <c r="M11887" s="46" t="s">
        <v>123</v>
      </c>
      <c r="N11887" s="45">
        <v>46016.541666666664</v>
      </c>
      <c r="O11887" s="46" t="s">
        <v>123</v>
      </c>
      <c r="P11887" s="46">
        <v>32400.0</v>
      </c>
    </row>
    <row r="11888">
      <c r="A11888" s="40">
        <f t="shared" si="1"/>
        <v>46013</v>
      </c>
      <c r="B11888" s="37" t="str">
        <f t="array" ref="B11888">iferror(xlookup($I11888, 'IMPORT VHC Report'!$E:$E, 'IMPORT VHC Report'!$A:$C), )</f>
        <v/>
      </c>
      <c r="C11888" s="44"/>
      <c r="D11888" s="44"/>
      <c r="E11888" s="46" t="s">
        <v>7900</v>
      </c>
      <c r="F11888" s="46" t="s">
        <v>2132</v>
      </c>
      <c r="G11888" s="46">
        <v>3.61724963216E11</v>
      </c>
      <c r="H11888" s="46" t="s">
        <v>2133</v>
      </c>
      <c r="I11888" s="46" t="s">
        <v>2134</v>
      </c>
      <c r="J11888" s="46" t="s">
        <v>134</v>
      </c>
      <c r="K11888" s="46" t="s">
        <v>126</v>
      </c>
      <c r="L11888" s="45">
        <v>46016.479166666664</v>
      </c>
      <c r="M11888" s="46" t="s">
        <v>123</v>
      </c>
      <c r="N11888" s="45">
        <v>46016.5</v>
      </c>
      <c r="O11888" s="46" t="s">
        <v>123</v>
      </c>
      <c r="P11888" s="46">
        <v>1800.0</v>
      </c>
    </row>
    <row r="11889">
      <c r="A11889" s="40">
        <f t="shared" si="1"/>
        <v>46013</v>
      </c>
      <c r="B11889" s="37" t="str">
        <f t="array" ref="B11889">iferror(xlookup($I11889, 'IMPORT VHC Report'!$E:$E, 'IMPORT VHC Report'!$A:$C), )</f>
        <v/>
      </c>
      <c r="C11889" s="44"/>
      <c r="D11889" s="44"/>
      <c r="E11889" s="46" t="s">
        <v>7901</v>
      </c>
      <c r="F11889" s="46" t="s">
        <v>2132</v>
      </c>
      <c r="G11889" s="46">
        <v>3.61724963216E11</v>
      </c>
      <c r="H11889" s="46" t="s">
        <v>2133</v>
      </c>
      <c r="I11889" s="46" t="s">
        <v>2134</v>
      </c>
      <c r="J11889" s="46" t="s">
        <v>132</v>
      </c>
      <c r="K11889" s="46" t="s">
        <v>126</v>
      </c>
      <c r="L11889" s="45">
        <v>46016.5</v>
      </c>
      <c r="M11889" s="46" t="s">
        <v>123</v>
      </c>
      <c r="N11889" s="45">
        <v>46016.541666666664</v>
      </c>
      <c r="O11889" s="46" t="s">
        <v>123</v>
      </c>
      <c r="P11889" s="46">
        <v>3600.0</v>
      </c>
    </row>
    <row r="11890">
      <c r="A11890" s="40">
        <f t="shared" si="1"/>
        <v>46013</v>
      </c>
      <c r="B11890" s="37" t="str">
        <f t="array" ref="B11890">iferror(xlookup($I11890, 'IMPORT VHC Report'!$E:$E, 'IMPORT VHC Report'!$A:$C), )</f>
        <v/>
      </c>
      <c r="C11890" s="44"/>
      <c r="D11890" s="44"/>
      <c r="E11890" s="46" t="s">
        <v>7902</v>
      </c>
      <c r="F11890" s="46" t="s">
        <v>2132</v>
      </c>
      <c r="G11890" s="46">
        <v>3.61724963216E11</v>
      </c>
      <c r="H11890" s="46" t="s">
        <v>2133</v>
      </c>
      <c r="I11890" s="46" t="s">
        <v>2134</v>
      </c>
      <c r="J11890" s="46" t="s">
        <v>2135</v>
      </c>
      <c r="K11890" s="46" t="s">
        <v>63</v>
      </c>
      <c r="L11890" s="45">
        <v>46017.166666666664</v>
      </c>
      <c r="M11890" s="46" t="s">
        <v>123</v>
      </c>
      <c r="N11890" s="45">
        <v>46017.541666666664</v>
      </c>
      <c r="O11890" s="46" t="s">
        <v>123</v>
      </c>
      <c r="P11890" s="46">
        <v>32400.0</v>
      </c>
    </row>
    <row r="11891">
      <c r="A11891" s="40">
        <f t="shared" si="1"/>
        <v>46013</v>
      </c>
      <c r="B11891" s="37" t="str">
        <f t="array" ref="B11891">iferror(xlookup($I11891, 'IMPORT VHC Report'!$E:$E, 'IMPORT VHC Report'!$A:$C), )</f>
        <v/>
      </c>
      <c r="C11891" s="44"/>
      <c r="D11891" s="44"/>
      <c r="E11891" s="46" t="s">
        <v>7903</v>
      </c>
      <c r="F11891" s="46" t="s">
        <v>2132</v>
      </c>
      <c r="G11891" s="46">
        <v>3.61724963216E11</v>
      </c>
      <c r="H11891" s="46" t="s">
        <v>2133</v>
      </c>
      <c r="I11891" s="46" t="s">
        <v>2134</v>
      </c>
      <c r="J11891" s="46" t="s">
        <v>134</v>
      </c>
      <c r="K11891" s="46" t="s">
        <v>126</v>
      </c>
      <c r="L11891" s="45">
        <v>46017.479166666664</v>
      </c>
      <c r="M11891" s="46" t="s">
        <v>123</v>
      </c>
      <c r="N11891" s="45">
        <v>46017.5</v>
      </c>
      <c r="O11891" s="46" t="s">
        <v>123</v>
      </c>
      <c r="P11891" s="46">
        <v>1800.0</v>
      </c>
    </row>
    <row r="11892">
      <c r="A11892" s="40">
        <f t="shared" si="1"/>
        <v>46013</v>
      </c>
      <c r="B11892" s="37" t="str">
        <f t="array" ref="B11892">iferror(xlookup($I11892, 'IMPORT VHC Report'!$E:$E, 'IMPORT VHC Report'!$A:$C), )</f>
        <v/>
      </c>
      <c r="C11892" s="44"/>
      <c r="D11892" s="44"/>
      <c r="E11892" s="46" t="s">
        <v>7904</v>
      </c>
      <c r="F11892" s="46" t="s">
        <v>2132</v>
      </c>
      <c r="G11892" s="46">
        <v>3.61724963216E11</v>
      </c>
      <c r="H11892" s="46" t="s">
        <v>2133</v>
      </c>
      <c r="I11892" s="46" t="s">
        <v>2134</v>
      </c>
      <c r="J11892" s="46" t="s">
        <v>132</v>
      </c>
      <c r="K11892" s="46" t="s">
        <v>126</v>
      </c>
      <c r="L11892" s="45">
        <v>46017.5</v>
      </c>
      <c r="M11892" s="46" t="s">
        <v>123</v>
      </c>
      <c r="N11892" s="45">
        <v>46017.541666666664</v>
      </c>
      <c r="O11892" s="46" t="s">
        <v>123</v>
      </c>
      <c r="P11892" s="46">
        <v>3600.0</v>
      </c>
    </row>
    <row r="11893">
      <c r="A11893" s="40">
        <f t="shared" si="1"/>
        <v>46013</v>
      </c>
      <c r="B11893" s="37" t="str">
        <f t="array" ref="B11893">iferror(xlookup($I11893, 'IMPORT VHC Report'!$E:$E, 'IMPORT VHC Report'!$A:$C), )</f>
        <v/>
      </c>
      <c r="C11893" s="44"/>
      <c r="D11893" s="44"/>
      <c r="E11893" s="46" t="s">
        <v>7905</v>
      </c>
      <c r="F11893" s="46" t="s">
        <v>4769</v>
      </c>
      <c r="G11893" s="46">
        <v>3.61731792475E11</v>
      </c>
      <c r="H11893" s="46" t="s">
        <v>4770</v>
      </c>
      <c r="I11893" s="46" t="s">
        <v>4771</v>
      </c>
      <c r="J11893" s="46" t="s">
        <v>2135</v>
      </c>
      <c r="K11893" s="46" t="s">
        <v>63</v>
      </c>
      <c r="L11893" s="45">
        <v>46013.25</v>
      </c>
      <c r="M11893" s="46" t="s">
        <v>123</v>
      </c>
      <c r="N11893" s="45">
        <v>46013.625</v>
      </c>
      <c r="O11893" s="46" t="s">
        <v>123</v>
      </c>
      <c r="P11893" s="46">
        <v>32400.0</v>
      </c>
    </row>
    <row r="11894">
      <c r="A11894" s="40">
        <f t="shared" si="1"/>
        <v>46013</v>
      </c>
      <c r="B11894" s="37" t="str">
        <f t="array" ref="B11894">iferror(xlookup($I11894, 'IMPORT VHC Report'!$E:$E, 'IMPORT VHC Report'!$A:$C), )</f>
        <v/>
      </c>
      <c r="C11894" s="44"/>
      <c r="D11894" s="44"/>
      <c r="E11894" s="46" t="s">
        <v>7906</v>
      </c>
      <c r="F11894" s="46" t="s">
        <v>4769</v>
      </c>
      <c r="G11894" s="46">
        <v>3.61731792475E11</v>
      </c>
      <c r="H11894" s="46" t="s">
        <v>4770</v>
      </c>
      <c r="I11894" s="46" t="s">
        <v>4771</v>
      </c>
      <c r="J11894" s="46" t="s">
        <v>134</v>
      </c>
      <c r="K11894" s="46" t="s">
        <v>126</v>
      </c>
      <c r="L11894" s="45">
        <v>46013.333333333336</v>
      </c>
      <c r="M11894" s="46" t="s">
        <v>123</v>
      </c>
      <c r="N11894" s="45">
        <v>46013.34375</v>
      </c>
      <c r="O11894" s="46" t="s">
        <v>123</v>
      </c>
      <c r="P11894" s="46">
        <v>900.0</v>
      </c>
    </row>
    <row r="11895">
      <c r="A11895" s="40">
        <f t="shared" si="1"/>
        <v>46013</v>
      </c>
      <c r="B11895" s="37" t="str">
        <f t="array" ref="B11895">iferror(xlookup($I11895, 'IMPORT VHC Report'!$E:$E, 'IMPORT VHC Report'!$A:$C), )</f>
        <v/>
      </c>
      <c r="C11895" s="44"/>
      <c r="D11895" s="44"/>
      <c r="E11895" s="46" t="s">
        <v>7907</v>
      </c>
      <c r="F11895" s="46" t="s">
        <v>4769</v>
      </c>
      <c r="G11895" s="46">
        <v>3.61731792475E11</v>
      </c>
      <c r="H11895" s="46" t="s">
        <v>4770</v>
      </c>
      <c r="I11895" s="46" t="s">
        <v>4771</v>
      </c>
      <c r="J11895" s="46" t="s">
        <v>132</v>
      </c>
      <c r="K11895" s="46" t="s">
        <v>126</v>
      </c>
      <c r="L11895" s="45">
        <v>46013.40625</v>
      </c>
      <c r="M11895" s="46" t="s">
        <v>123</v>
      </c>
      <c r="N11895" s="45">
        <v>46013.447916666664</v>
      </c>
      <c r="O11895" s="46" t="s">
        <v>123</v>
      </c>
      <c r="P11895" s="46">
        <v>3600.0</v>
      </c>
    </row>
    <row r="11896">
      <c r="A11896" s="40">
        <f t="shared" si="1"/>
        <v>46013</v>
      </c>
      <c r="B11896" s="37" t="str">
        <f t="array" ref="B11896">iferror(xlookup($I11896, 'IMPORT VHC Report'!$E:$E, 'IMPORT VHC Report'!$A:$C), )</f>
        <v/>
      </c>
      <c r="C11896" s="44"/>
      <c r="D11896" s="44"/>
      <c r="E11896" s="46" t="s">
        <v>7908</v>
      </c>
      <c r="F11896" s="46" t="s">
        <v>4769</v>
      </c>
      <c r="G11896" s="46">
        <v>3.61731792475E11</v>
      </c>
      <c r="H11896" s="46" t="s">
        <v>4770</v>
      </c>
      <c r="I11896" s="46" t="s">
        <v>4771</v>
      </c>
      <c r="J11896" s="46" t="s">
        <v>134</v>
      </c>
      <c r="K11896" s="46" t="s">
        <v>126</v>
      </c>
      <c r="L11896" s="45">
        <v>46013.53125</v>
      </c>
      <c r="M11896" s="46" t="s">
        <v>123</v>
      </c>
      <c r="N11896" s="45">
        <v>46013.541666666664</v>
      </c>
      <c r="O11896" s="46" t="s">
        <v>123</v>
      </c>
      <c r="P11896" s="46">
        <v>900.0</v>
      </c>
    </row>
    <row r="11897">
      <c r="A11897" s="40">
        <f t="shared" si="1"/>
        <v>46013</v>
      </c>
      <c r="B11897" s="37" t="str">
        <f t="array" ref="B11897">iferror(xlookup($I11897, 'IMPORT VHC Report'!$E:$E, 'IMPORT VHC Report'!$A:$C), )</f>
        <v/>
      </c>
      <c r="C11897" s="44"/>
      <c r="D11897" s="44"/>
      <c r="E11897" s="46" t="s">
        <v>7909</v>
      </c>
      <c r="F11897" s="46" t="s">
        <v>4769</v>
      </c>
      <c r="G11897" s="46">
        <v>3.61731792475E11</v>
      </c>
      <c r="H11897" s="46" t="s">
        <v>4770</v>
      </c>
      <c r="I11897" s="46" t="s">
        <v>4771</v>
      </c>
      <c r="J11897" s="46" t="s">
        <v>2135</v>
      </c>
      <c r="K11897" s="46" t="s">
        <v>63</v>
      </c>
      <c r="L11897" s="45">
        <v>46014.25</v>
      </c>
      <c r="M11897" s="46" t="s">
        <v>123</v>
      </c>
      <c r="N11897" s="45">
        <v>46014.625</v>
      </c>
      <c r="O11897" s="46" t="s">
        <v>123</v>
      </c>
      <c r="P11897" s="46">
        <v>32400.0</v>
      </c>
    </row>
    <row r="11898">
      <c r="A11898" s="40">
        <f t="shared" si="1"/>
        <v>46013</v>
      </c>
      <c r="B11898" s="37" t="str">
        <f t="array" ref="B11898">iferror(xlookup($I11898, 'IMPORT VHC Report'!$E:$E, 'IMPORT VHC Report'!$A:$C), )</f>
        <v/>
      </c>
      <c r="C11898" s="44"/>
      <c r="D11898" s="44"/>
      <c r="E11898" s="46" t="s">
        <v>7910</v>
      </c>
      <c r="F11898" s="46" t="s">
        <v>4769</v>
      </c>
      <c r="G11898" s="46">
        <v>3.61731792475E11</v>
      </c>
      <c r="H11898" s="46" t="s">
        <v>4770</v>
      </c>
      <c r="I11898" s="46" t="s">
        <v>4771</v>
      </c>
      <c r="J11898" s="46" t="s">
        <v>134</v>
      </c>
      <c r="K11898" s="46" t="s">
        <v>126</v>
      </c>
      <c r="L11898" s="45">
        <v>46014.322916666664</v>
      </c>
      <c r="M11898" s="46" t="s">
        <v>123</v>
      </c>
      <c r="N11898" s="45">
        <v>46014.333333333336</v>
      </c>
      <c r="O11898" s="46" t="s">
        <v>123</v>
      </c>
      <c r="P11898" s="46">
        <v>900.0</v>
      </c>
    </row>
    <row r="11899">
      <c r="A11899" s="40">
        <f t="shared" si="1"/>
        <v>46013</v>
      </c>
      <c r="B11899" s="37" t="str">
        <f t="array" ref="B11899">iferror(xlookup($I11899, 'IMPORT VHC Report'!$E:$E, 'IMPORT VHC Report'!$A:$C), )</f>
        <v/>
      </c>
      <c r="C11899" s="44"/>
      <c r="D11899" s="44"/>
      <c r="E11899" s="46" t="s">
        <v>7911</v>
      </c>
      <c r="F11899" s="46" t="s">
        <v>4769</v>
      </c>
      <c r="G11899" s="46">
        <v>3.61731792475E11</v>
      </c>
      <c r="H11899" s="46" t="s">
        <v>4770</v>
      </c>
      <c r="I11899" s="46" t="s">
        <v>4771</v>
      </c>
      <c r="J11899" s="46" t="s">
        <v>134</v>
      </c>
      <c r="K11899" s="46" t="s">
        <v>126</v>
      </c>
      <c r="L11899" s="45">
        <v>46014.416666666664</v>
      </c>
      <c r="M11899" s="46" t="s">
        <v>123</v>
      </c>
      <c r="N11899" s="45">
        <v>46014.427083333336</v>
      </c>
      <c r="O11899" s="46" t="s">
        <v>123</v>
      </c>
      <c r="P11899" s="46">
        <v>900.0</v>
      </c>
    </row>
    <row r="11900">
      <c r="A11900" s="40">
        <f t="shared" si="1"/>
        <v>46013</v>
      </c>
      <c r="B11900" s="37" t="str">
        <f t="array" ref="B11900">iferror(xlookup($I11900, 'IMPORT VHC Report'!$E:$E, 'IMPORT VHC Report'!$A:$C), )</f>
        <v/>
      </c>
      <c r="C11900" s="44"/>
      <c r="D11900" s="44"/>
      <c r="E11900" s="46" t="s">
        <v>7912</v>
      </c>
      <c r="F11900" s="46" t="s">
        <v>4769</v>
      </c>
      <c r="G11900" s="46">
        <v>3.61731792475E11</v>
      </c>
      <c r="H11900" s="46" t="s">
        <v>4770</v>
      </c>
      <c r="I11900" s="46" t="s">
        <v>4771</v>
      </c>
      <c r="J11900" s="46" t="s">
        <v>132</v>
      </c>
      <c r="K11900" s="46" t="s">
        <v>126</v>
      </c>
      <c r="L11900" s="45">
        <v>46014.5</v>
      </c>
      <c r="M11900" s="46" t="s">
        <v>123</v>
      </c>
      <c r="N11900" s="45">
        <v>46014.541666666664</v>
      </c>
      <c r="O11900" s="46" t="s">
        <v>123</v>
      </c>
      <c r="P11900" s="46">
        <v>3600.0</v>
      </c>
    </row>
    <row r="11901">
      <c r="A11901" s="40">
        <f t="shared" si="1"/>
        <v>46013</v>
      </c>
      <c r="B11901" s="37" t="str">
        <f t="array" ref="B11901">iferror(xlookup($I11901, 'IMPORT VHC Report'!$E:$E, 'IMPORT VHC Report'!$A:$C), )</f>
        <v/>
      </c>
      <c r="C11901" s="44"/>
      <c r="D11901" s="44"/>
      <c r="E11901" s="46" t="s">
        <v>7913</v>
      </c>
      <c r="F11901" s="46" t="s">
        <v>4769</v>
      </c>
      <c r="G11901" s="46">
        <v>3.61731792475E11</v>
      </c>
      <c r="H11901" s="46" t="s">
        <v>4770</v>
      </c>
      <c r="I11901" s="46" t="s">
        <v>4771</v>
      </c>
      <c r="J11901" s="46" t="s">
        <v>2135</v>
      </c>
      <c r="K11901" s="46" t="s">
        <v>63</v>
      </c>
      <c r="L11901" s="45">
        <v>46015.25</v>
      </c>
      <c r="M11901" s="46" t="s">
        <v>123</v>
      </c>
      <c r="N11901" s="45">
        <v>46015.625</v>
      </c>
      <c r="O11901" s="46" t="s">
        <v>123</v>
      </c>
      <c r="P11901" s="46">
        <v>32400.0</v>
      </c>
    </row>
    <row r="11902">
      <c r="A11902" s="40">
        <f t="shared" si="1"/>
        <v>46013</v>
      </c>
      <c r="B11902" s="37" t="str">
        <f t="array" ref="B11902">iferror(xlookup($I11902, 'IMPORT VHC Report'!$E:$E, 'IMPORT VHC Report'!$A:$C), )</f>
        <v/>
      </c>
      <c r="C11902" s="44"/>
      <c r="D11902" s="44"/>
      <c r="E11902" s="46" t="s">
        <v>7914</v>
      </c>
      <c r="F11902" s="46" t="s">
        <v>4769</v>
      </c>
      <c r="G11902" s="46">
        <v>3.61731792475E11</v>
      </c>
      <c r="H11902" s="46" t="s">
        <v>4770</v>
      </c>
      <c r="I11902" s="46" t="s">
        <v>4771</v>
      </c>
      <c r="J11902" s="46" t="s">
        <v>134</v>
      </c>
      <c r="K11902" s="46" t="s">
        <v>126</v>
      </c>
      <c r="L11902" s="45">
        <v>46015.333333333336</v>
      </c>
      <c r="M11902" s="46" t="s">
        <v>123</v>
      </c>
      <c r="N11902" s="45">
        <v>46015.34375</v>
      </c>
      <c r="O11902" s="46" t="s">
        <v>123</v>
      </c>
      <c r="P11902" s="46">
        <v>900.0</v>
      </c>
    </row>
    <row r="11903">
      <c r="A11903" s="40">
        <f t="shared" si="1"/>
        <v>46013</v>
      </c>
      <c r="B11903" s="37" t="str">
        <f t="array" ref="B11903">iferror(xlookup($I11903, 'IMPORT VHC Report'!$E:$E, 'IMPORT VHC Report'!$A:$C), )</f>
        <v/>
      </c>
      <c r="C11903" s="44"/>
      <c r="D11903" s="44"/>
      <c r="E11903" s="46" t="s">
        <v>7915</v>
      </c>
      <c r="F11903" s="46" t="s">
        <v>4769</v>
      </c>
      <c r="G11903" s="46">
        <v>3.61731792475E11</v>
      </c>
      <c r="H11903" s="46" t="s">
        <v>4770</v>
      </c>
      <c r="I11903" s="46" t="s">
        <v>4771</v>
      </c>
      <c r="J11903" s="46" t="s">
        <v>132</v>
      </c>
      <c r="K11903" s="46" t="s">
        <v>126</v>
      </c>
      <c r="L11903" s="45">
        <v>46015.40625</v>
      </c>
      <c r="M11903" s="46" t="s">
        <v>123</v>
      </c>
      <c r="N11903" s="45">
        <v>46015.447916666664</v>
      </c>
      <c r="O11903" s="46" t="s">
        <v>123</v>
      </c>
      <c r="P11903" s="46">
        <v>3600.0</v>
      </c>
    </row>
    <row r="11904">
      <c r="A11904" s="40">
        <f t="shared" si="1"/>
        <v>46013</v>
      </c>
      <c r="B11904" s="37" t="str">
        <f t="array" ref="B11904">iferror(xlookup($I11904, 'IMPORT VHC Report'!$E:$E, 'IMPORT VHC Report'!$A:$C), )</f>
        <v/>
      </c>
      <c r="C11904" s="44"/>
      <c r="D11904" s="44"/>
      <c r="E11904" s="46" t="s">
        <v>7916</v>
      </c>
      <c r="F11904" s="46" t="s">
        <v>4769</v>
      </c>
      <c r="G11904" s="46">
        <v>3.61731792475E11</v>
      </c>
      <c r="H11904" s="46" t="s">
        <v>4770</v>
      </c>
      <c r="I11904" s="46" t="s">
        <v>4771</v>
      </c>
      <c r="J11904" s="46" t="s">
        <v>134</v>
      </c>
      <c r="K11904" s="46" t="s">
        <v>126</v>
      </c>
      <c r="L11904" s="45">
        <v>46015.53125</v>
      </c>
      <c r="M11904" s="46" t="s">
        <v>123</v>
      </c>
      <c r="N11904" s="45">
        <v>46015.541666666664</v>
      </c>
      <c r="O11904" s="46" t="s">
        <v>123</v>
      </c>
      <c r="P11904" s="46">
        <v>900.0</v>
      </c>
    </row>
    <row r="11905">
      <c r="A11905" s="40">
        <f t="shared" si="1"/>
        <v>46013</v>
      </c>
      <c r="B11905" s="37" t="str">
        <f t="array" ref="B11905">iferror(xlookup($I11905, 'IMPORT VHC Report'!$E:$E, 'IMPORT VHC Report'!$A:$C), )</f>
        <v/>
      </c>
      <c r="C11905" s="44"/>
      <c r="D11905" s="44"/>
      <c r="E11905" s="46" t="s">
        <v>7917</v>
      </c>
      <c r="F11905" s="46" t="s">
        <v>4769</v>
      </c>
      <c r="G11905" s="46">
        <v>3.61731792475E11</v>
      </c>
      <c r="H11905" s="46" t="s">
        <v>4770</v>
      </c>
      <c r="I11905" s="46" t="s">
        <v>4771</v>
      </c>
      <c r="J11905" s="46" t="s">
        <v>2135</v>
      </c>
      <c r="K11905" s="46" t="s">
        <v>63</v>
      </c>
      <c r="L11905" s="45">
        <v>46016.25</v>
      </c>
      <c r="M11905" s="46" t="s">
        <v>123</v>
      </c>
      <c r="N11905" s="45">
        <v>46016.625</v>
      </c>
      <c r="O11905" s="46" t="s">
        <v>123</v>
      </c>
      <c r="P11905" s="46">
        <v>32400.0</v>
      </c>
    </row>
    <row r="11906">
      <c r="A11906" s="40">
        <f t="shared" si="1"/>
        <v>46013</v>
      </c>
      <c r="B11906" s="37" t="str">
        <f t="array" ref="B11906">iferror(xlookup($I11906, 'IMPORT VHC Report'!$E:$E, 'IMPORT VHC Report'!$A:$C), )</f>
        <v/>
      </c>
      <c r="C11906" s="44"/>
      <c r="D11906" s="44"/>
      <c r="E11906" s="46" t="s">
        <v>7918</v>
      </c>
      <c r="F11906" s="46" t="s">
        <v>4769</v>
      </c>
      <c r="G11906" s="46">
        <v>3.61731792475E11</v>
      </c>
      <c r="H11906" s="46" t="s">
        <v>4770</v>
      </c>
      <c r="I11906" s="46" t="s">
        <v>4771</v>
      </c>
      <c r="J11906" s="46" t="s">
        <v>134</v>
      </c>
      <c r="K11906" s="46" t="s">
        <v>126</v>
      </c>
      <c r="L11906" s="45">
        <v>46016.354166666664</v>
      </c>
      <c r="M11906" s="46" t="s">
        <v>123</v>
      </c>
      <c r="N11906" s="45">
        <v>46016.364583333336</v>
      </c>
      <c r="O11906" s="46" t="s">
        <v>123</v>
      </c>
      <c r="P11906" s="46">
        <v>900.0</v>
      </c>
    </row>
    <row r="11907">
      <c r="A11907" s="40">
        <f t="shared" si="1"/>
        <v>46013</v>
      </c>
      <c r="B11907" s="37" t="str">
        <f t="array" ref="B11907">iferror(xlookup($I11907, 'IMPORT VHC Report'!$E:$E, 'IMPORT VHC Report'!$A:$C), )</f>
        <v/>
      </c>
      <c r="C11907" s="44"/>
      <c r="D11907" s="44"/>
      <c r="E11907" s="46" t="s">
        <v>7919</v>
      </c>
      <c r="F11907" s="46" t="s">
        <v>4769</v>
      </c>
      <c r="G11907" s="46">
        <v>3.61731792475E11</v>
      </c>
      <c r="H11907" s="46" t="s">
        <v>4770</v>
      </c>
      <c r="I11907" s="46" t="s">
        <v>4771</v>
      </c>
      <c r="J11907" s="46" t="s">
        <v>132</v>
      </c>
      <c r="K11907" s="46" t="s">
        <v>126</v>
      </c>
      <c r="L11907" s="45">
        <v>46016.416666666664</v>
      </c>
      <c r="M11907" s="46" t="s">
        <v>123</v>
      </c>
      <c r="N11907" s="45">
        <v>46016.458333333336</v>
      </c>
      <c r="O11907" s="46" t="s">
        <v>123</v>
      </c>
      <c r="P11907" s="46">
        <v>3600.0</v>
      </c>
    </row>
    <row r="11908">
      <c r="A11908" s="40">
        <f t="shared" si="1"/>
        <v>46013</v>
      </c>
      <c r="B11908" s="37" t="str">
        <f t="array" ref="B11908">iferror(xlookup($I11908, 'IMPORT VHC Report'!$E:$E, 'IMPORT VHC Report'!$A:$C), )</f>
        <v/>
      </c>
      <c r="C11908" s="44"/>
      <c r="D11908" s="44"/>
      <c r="E11908" s="46" t="s">
        <v>7920</v>
      </c>
      <c r="F11908" s="46" t="s">
        <v>4769</v>
      </c>
      <c r="G11908" s="46">
        <v>3.61731792475E11</v>
      </c>
      <c r="H11908" s="46" t="s">
        <v>4770</v>
      </c>
      <c r="I11908" s="46" t="s">
        <v>4771</v>
      </c>
      <c r="J11908" s="46" t="s">
        <v>134</v>
      </c>
      <c r="K11908" s="46" t="s">
        <v>126</v>
      </c>
      <c r="L11908" s="45">
        <v>46016.552083333336</v>
      </c>
      <c r="M11908" s="46" t="s">
        <v>123</v>
      </c>
      <c r="N11908" s="45">
        <v>46016.5625</v>
      </c>
      <c r="O11908" s="46" t="s">
        <v>123</v>
      </c>
      <c r="P11908" s="46">
        <v>900.0</v>
      </c>
    </row>
    <row r="11909">
      <c r="A11909" s="40">
        <f t="shared" si="1"/>
        <v>46013</v>
      </c>
      <c r="B11909" s="37" t="str">
        <f t="array" ref="B11909">iferror(xlookup($I11909, 'IMPORT VHC Report'!$E:$E, 'IMPORT VHC Report'!$A:$C), )</f>
        <v/>
      </c>
      <c r="C11909" s="44"/>
      <c r="D11909" s="44"/>
      <c r="E11909" s="46" t="s">
        <v>7921</v>
      </c>
      <c r="F11909" s="46" t="s">
        <v>4769</v>
      </c>
      <c r="G11909" s="46">
        <v>3.61731792475E11</v>
      </c>
      <c r="H11909" s="46" t="s">
        <v>4770</v>
      </c>
      <c r="I11909" s="46" t="s">
        <v>4771</v>
      </c>
      <c r="J11909" s="46" t="s">
        <v>2135</v>
      </c>
      <c r="K11909" s="46" t="s">
        <v>63</v>
      </c>
      <c r="L11909" s="45">
        <v>46017.25</v>
      </c>
      <c r="M11909" s="46" t="s">
        <v>123</v>
      </c>
      <c r="N11909" s="45">
        <v>46017.625</v>
      </c>
      <c r="O11909" s="46" t="s">
        <v>123</v>
      </c>
      <c r="P11909" s="46">
        <v>32400.0</v>
      </c>
    </row>
    <row r="11910">
      <c r="A11910" s="40">
        <f t="shared" si="1"/>
        <v>46013</v>
      </c>
      <c r="B11910" s="37" t="str">
        <f t="array" ref="B11910">iferror(xlookup($I11910, 'IMPORT VHC Report'!$E:$E, 'IMPORT VHC Report'!$A:$C), )</f>
        <v/>
      </c>
      <c r="C11910" s="44"/>
      <c r="D11910" s="44"/>
      <c r="E11910" s="46" t="s">
        <v>7922</v>
      </c>
      <c r="F11910" s="46" t="s">
        <v>4769</v>
      </c>
      <c r="G11910" s="46">
        <v>3.61731792475E11</v>
      </c>
      <c r="H11910" s="46" t="s">
        <v>4770</v>
      </c>
      <c r="I11910" s="46" t="s">
        <v>4771</v>
      </c>
      <c r="J11910" s="46" t="s">
        <v>134</v>
      </c>
      <c r="K11910" s="46" t="s">
        <v>126</v>
      </c>
      <c r="L11910" s="45">
        <v>46017.333333333336</v>
      </c>
      <c r="M11910" s="46" t="s">
        <v>123</v>
      </c>
      <c r="N11910" s="45">
        <v>46017.34375</v>
      </c>
      <c r="O11910" s="46" t="s">
        <v>123</v>
      </c>
      <c r="P11910" s="46">
        <v>900.0</v>
      </c>
    </row>
    <row r="11911">
      <c r="A11911" s="40">
        <f t="shared" si="1"/>
        <v>46013</v>
      </c>
      <c r="B11911" s="37" t="str">
        <f t="array" ref="B11911">iferror(xlookup($I11911, 'IMPORT VHC Report'!$E:$E, 'IMPORT VHC Report'!$A:$C), )</f>
        <v/>
      </c>
      <c r="C11911" s="44"/>
      <c r="D11911" s="44"/>
      <c r="E11911" s="46" t="s">
        <v>7923</v>
      </c>
      <c r="F11911" s="46" t="s">
        <v>4769</v>
      </c>
      <c r="G11911" s="46">
        <v>3.61731792475E11</v>
      </c>
      <c r="H11911" s="46" t="s">
        <v>4770</v>
      </c>
      <c r="I11911" s="46" t="s">
        <v>4771</v>
      </c>
      <c r="J11911" s="46" t="s">
        <v>132</v>
      </c>
      <c r="K11911" s="46" t="s">
        <v>126</v>
      </c>
      <c r="L11911" s="45">
        <v>46017.4375</v>
      </c>
      <c r="M11911" s="46" t="s">
        <v>123</v>
      </c>
      <c r="N11911" s="45">
        <v>46017.479166666664</v>
      </c>
      <c r="O11911" s="46" t="s">
        <v>123</v>
      </c>
      <c r="P11911" s="46">
        <v>3600.0</v>
      </c>
    </row>
    <row r="11912">
      <c r="A11912" s="40">
        <f t="shared" si="1"/>
        <v>46013</v>
      </c>
      <c r="B11912" s="37" t="str">
        <f t="array" ref="B11912">iferror(xlookup($I11912, 'IMPORT VHC Report'!$E:$E, 'IMPORT VHC Report'!$A:$C), )</f>
        <v/>
      </c>
      <c r="C11912" s="44"/>
      <c r="D11912" s="44"/>
      <c r="E11912" s="46" t="s">
        <v>7924</v>
      </c>
      <c r="F11912" s="46" t="s">
        <v>4769</v>
      </c>
      <c r="G11912" s="46">
        <v>3.61731792475E11</v>
      </c>
      <c r="H11912" s="46" t="s">
        <v>4770</v>
      </c>
      <c r="I11912" s="46" t="s">
        <v>4771</v>
      </c>
      <c r="J11912" s="46" t="s">
        <v>134</v>
      </c>
      <c r="K11912" s="46" t="s">
        <v>126</v>
      </c>
      <c r="L11912" s="45">
        <v>46017.552083333336</v>
      </c>
      <c r="M11912" s="46" t="s">
        <v>123</v>
      </c>
      <c r="N11912" s="45">
        <v>46017.5625</v>
      </c>
      <c r="O11912" s="46" t="s">
        <v>123</v>
      </c>
      <c r="P11912" s="46">
        <v>900.0</v>
      </c>
    </row>
    <row r="11913">
      <c r="A11913" s="40">
        <f t="shared" si="1"/>
        <v>46013</v>
      </c>
      <c r="B11913" s="37" t="str">
        <f t="array" ref="B11913">iferror(xlookup($I11913, 'IMPORT VHC Report'!$E:$E, 'IMPORT VHC Report'!$A:$C), )</f>
        <v/>
      </c>
      <c r="C11913" s="44"/>
      <c r="D11913" s="44"/>
      <c r="E11913" s="46" t="s">
        <v>7925</v>
      </c>
      <c r="F11913" s="46" t="s">
        <v>2836</v>
      </c>
      <c r="G11913" s="46">
        <v>3.61725375656E11</v>
      </c>
      <c r="H11913" s="46" t="s">
        <v>2837</v>
      </c>
      <c r="I11913" s="46" t="s">
        <v>2838</v>
      </c>
      <c r="J11913" s="46" t="s">
        <v>2135</v>
      </c>
      <c r="K11913" s="46" t="s">
        <v>63</v>
      </c>
      <c r="L11913" s="45">
        <v>46013.25</v>
      </c>
      <c r="M11913" s="46" t="s">
        <v>123</v>
      </c>
      <c r="N11913" s="45">
        <v>46013.625</v>
      </c>
      <c r="O11913" s="46" t="s">
        <v>123</v>
      </c>
      <c r="P11913" s="46">
        <v>32400.0</v>
      </c>
    </row>
    <row r="11914">
      <c r="A11914" s="40">
        <f t="shared" si="1"/>
        <v>46013</v>
      </c>
      <c r="B11914" s="37" t="str">
        <f t="array" ref="B11914">iferror(xlookup($I11914, 'IMPORT VHC Report'!$E:$E, 'IMPORT VHC Report'!$A:$C), )</f>
        <v/>
      </c>
      <c r="C11914" s="44"/>
      <c r="D11914" s="44"/>
      <c r="E11914" s="46" t="s">
        <v>7926</v>
      </c>
      <c r="F11914" s="46" t="s">
        <v>2836</v>
      </c>
      <c r="G11914" s="46">
        <v>3.61725375656E11</v>
      </c>
      <c r="H11914" s="46" t="s">
        <v>2837</v>
      </c>
      <c r="I11914" s="46" t="s">
        <v>2838</v>
      </c>
      <c r="J11914" s="46" t="s">
        <v>134</v>
      </c>
      <c r="K11914" s="46" t="s">
        <v>126</v>
      </c>
      <c r="L11914" s="45">
        <v>46013.34375</v>
      </c>
      <c r="M11914" s="46" t="s">
        <v>123</v>
      </c>
      <c r="N11914" s="45">
        <v>46013.354166666664</v>
      </c>
      <c r="O11914" s="46" t="s">
        <v>123</v>
      </c>
      <c r="P11914" s="46">
        <v>900.0</v>
      </c>
    </row>
    <row r="11915">
      <c r="A11915" s="40">
        <f t="shared" si="1"/>
        <v>46013</v>
      </c>
      <c r="B11915" s="37" t="str">
        <f t="array" ref="B11915">iferror(xlookup($I11915, 'IMPORT VHC Report'!$E:$E, 'IMPORT VHC Report'!$A:$C), )</f>
        <v/>
      </c>
      <c r="C11915" s="44"/>
      <c r="D11915" s="44"/>
      <c r="E11915" s="46" t="s">
        <v>7927</v>
      </c>
      <c r="F11915" s="46" t="s">
        <v>2836</v>
      </c>
      <c r="G11915" s="46">
        <v>3.61725375656E11</v>
      </c>
      <c r="H11915" s="46" t="s">
        <v>2837</v>
      </c>
      <c r="I11915" s="46" t="s">
        <v>2838</v>
      </c>
      <c r="J11915" s="46" t="s">
        <v>132</v>
      </c>
      <c r="K11915" s="46" t="s">
        <v>126</v>
      </c>
      <c r="L11915" s="45">
        <v>46013.447916666664</v>
      </c>
      <c r="M11915" s="46" t="s">
        <v>123</v>
      </c>
      <c r="N11915" s="45">
        <v>46013.489583333336</v>
      </c>
      <c r="O11915" s="46" t="s">
        <v>123</v>
      </c>
      <c r="P11915" s="46">
        <v>3600.0</v>
      </c>
    </row>
    <row r="11916">
      <c r="A11916" s="40">
        <f t="shared" si="1"/>
        <v>46013</v>
      </c>
      <c r="B11916" s="37" t="str">
        <f t="array" ref="B11916">iferror(xlookup($I11916, 'IMPORT VHC Report'!$E:$E, 'IMPORT VHC Report'!$A:$C), )</f>
        <v/>
      </c>
      <c r="C11916" s="44"/>
      <c r="D11916" s="44"/>
      <c r="E11916" s="46" t="s">
        <v>7928</v>
      </c>
      <c r="F11916" s="46" t="s">
        <v>2836</v>
      </c>
      <c r="G11916" s="46">
        <v>3.61725375656E11</v>
      </c>
      <c r="H11916" s="46" t="s">
        <v>2837</v>
      </c>
      <c r="I11916" s="46" t="s">
        <v>2838</v>
      </c>
      <c r="J11916" s="46" t="s">
        <v>134</v>
      </c>
      <c r="K11916" s="46" t="s">
        <v>126</v>
      </c>
      <c r="L11916" s="45">
        <v>46013.552083333336</v>
      </c>
      <c r="M11916" s="46" t="s">
        <v>123</v>
      </c>
      <c r="N11916" s="45">
        <v>46013.5625</v>
      </c>
      <c r="O11916" s="46" t="s">
        <v>123</v>
      </c>
      <c r="P11916" s="46">
        <v>900.0</v>
      </c>
    </row>
    <row r="11917">
      <c r="A11917" s="40">
        <f t="shared" si="1"/>
        <v>46013</v>
      </c>
      <c r="B11917" s="37" t="str">
        <f t="array" ref="B11917">iferror(xlookup($I11917, 'IMPORT VHC Report'!$E:$E, 'IMPORT VHC Report'!$A:$C), )</f>
        <v/>
      </c>
      <c r="C11917" s="44"/>
      <c r="D11917" s="44"/>
      <c r="E11917" s="46" t="s">
        <v>7929</v>
      </c>
      <c r="F11917" s="46" t="s">
        <v>2836</v>
      </c>
      <c r="G11917" s="46">
        <v>3.61725375656E11</v>
      </c>
      <c r="H11917" s="46" t="s">
        <v>2837</v>
      </c>
      <c r="I11917" s="46" t="s">
        <v>2838</v>
      </c>
      <c r="J11917" s="46" t="s">
        <v>2135</v>
      </c>
      <c r="K11917" s="46" t="s">
        <v>63</v>
      </c>
      <c r="L11917" s="45">
        <v>46014.25</v>
      </c>
      <c r="M11917" s="46" t="s">
        <v>123</v>
      </c>
      <c r="N11917" s="45">
        <v>46014.625</v>
      </c>
      <c r="O11917" s="46" t="s">
        <v>123</v>
      </c>
      <c r="P11917" s="46">
        <v>32400.0</v>
      </c>
    </row>
    <row r="11918">
      <c r="A11918" s="40">
        <f t="shared" si="1"/>
        <v>46013</v>
      </c>
      <c r="B11918" s="37" t="str">
        <f t="array" ref="B11918">iferror(xlookup($I11918, 'IMPORT VHC Report'!$E:$E, 'IMPORT VHC Report'!$A:$C), )</f>
        <v/>
      </c>
      <c r="C11918" s="44"/>
      <c r="D11918" s="44"/>
      <c r="E11918" s="46" t="s">
        <v>7930</v>
      </c>
      <c r="F11918" s="46" t="s">
        <v>2836</v>
      </c>
      <c r="G11918" s="46">
        <v>3.61725375656E11</v>
      </c>
      <c r="H11918" s="46" t="s">
        <v>2837</v>
      </c>
      <c r="I11918" s="46" t="s">
        <v>2838</v>
      </c>
      <c r="J11918" s="46" t="s">
        <v>134</v>
      </c>
      <c r="K11918" s="46" t="s">
        <v>126</v>
      </c>
      <c r="L11918" s="45">
        <v>46014.34375</v>
      </c>
      <c r="M11918" s="46" t="s">
        <v>123</v>
      </c>
      <c r="N11918" s="45">
        <v>46014.354166666664</v>
      </c>
      <c r="O11918" s="46" t="s">
        <v>123</v>
      </c>
      <c r="P11918" s="46">
        <v>900.0</v>
      </c>
    </row>
    <row r="11919">
      <c r="A11919" s="40">
        <f t="shared" si="1"/>
        <v>46013</v>
      </c>
      <c r="B11919" s="37" t="str">
        <f t="array" ref="B11919">iferror(xlookup($I11919, 'IMPORT VHC Report'!$E:$E, 'IMPORT VHC Report'!$A:$C), )</f>
        <v/>
      </c>
      <c r="C11919" s="44"/>
      <c r="D11919" s="44"/>
      <c r="E11919" s="46" t="s">
        <v>7931</v>
      </c>
      <c r="F11919" s="46" t="s">
        <v>2836</v>
      </c>
      <c r="G11919" s="46">
        <v>3.61725375656E11</v>
      </c>
      <c r="H11919" s="46" t="s">
        <v>2837</v>
      </c>
      <c r="I11919" s="46" t="s">
        <v>2838</v>
      </c>
      <c r="J11919" s="46" t="s">
        <v>132</v>
      </c>
      <c r="K11919" s="46" t="s">
        <v>126</v>
      </c>
      <c r="L11919" s="45">
        <v>46014.427083333336</v>
      </c>
      <c r="M11919" s="46" t="s">
        <v>123</v>
      </c>
      <c r="N11919" s="45">
        <v>46014.46875</v>
      </c>
      <c r="O11919" s="46" t="s">
        <v>123</v>
      </c>
      <c r="P11919" s="46">
        <v>3600.0</v>
      </c>
    </row>
    <row r="11920">
      <c r="A11920" s="40">
        <f t="shared" si="1"/>
        <v>46013</v>
      </c>
      <c r="B11920" s="37" t="str">
        <f t="array" ref="B11920">iferror(xlookup($I11920, 'IMPORT VHC Report'!$E:$E, 'IMPORT VHC Report'!$A:$C), )</f>
        <v/>
      </c>
      <c r="C11920" s="44"/>
      <c r="D11920" s="44"/>
      <c r="E11920" s="46" t="s">
        <v>7932</v>
      </c>
      <c r="F11920" s="46" t="s">
        <v>2836</v>
      </c>
      <c r="G11920" s="46">
        <v>3.61725375656E11</v>
      </c>
      <c r="H11920" s="46" t="s">
        <v>2837</v>
      </c>
      <c r="I11920" s="46" t="s">
        <v>2838</v>
      </c>
      <c r="J11920" s="46" t="s">
        <v>134</v>
      </c>
      <c r="K11920" s="46" t="s">
        <v>126</v>
      </c>
      <c r="L11920" s="45">
        <v>46014.552083333336</v>
      </c>
      <c r="M11920" s="46" t="s">
        <v>123</v>
      </c>
      <c r="N11920" s="45">
        <v>46014.5625</v>
      </c>
      <c r="O11920" s="46" t="s">
        <v>123</v>
      </c>
      <c r="P11920" s="46">
        <v>900.0</v>
      </c>
    </row>
    <row r="11921">
      <c r="A11921" s="40">
        <f t="shared" si="1"/>
        <v>46013</v>
      </c>
      <c r="B11921" s="37" t="str">
        <f t="array" ref="B11921">iferror(xlookup($I11921, 'IMPORT VHC Report'!$E:$E, 'IMPORT VHC Report'!$A:$C), )</f>
        <v/>
      </c>
      <c r="C11921" s="44"/>
      <c r="D11921" s="44"/>
      <c r="E11921" s="46" t="s">
        <v>7933</v>
      </c>
      <c r="F11921" s="46" t="s">
        <v>2836</v>
      </c>
      <c r="G11921" s="46">
        <v>3.61725375656E11</v>
      </c>
      <c r="H11921" s="46" t="s">
        <v>2837</v>
      </c>
      <c r="I11921" s="46" t="s">
        <v>2838</v>
      </c>
      <c r="J11921" s="46" t="s">
        <v>2135</v>
      </c>
      <c r="K11921" s="46" t="s">
        <v>63</v>
      </c>
      <c r="L11921" s="45">
        <v>46015.25</v>
      </c>
      <c r="M11921" s="46" t="s">
        <v>123</v>
      </c>
      <c r="N11921" s="45">
        <v>46015.625</v>
      </c>
      <c r="O11921" s="46" t="s">
        <v>123</v>
      </c>
      <c r="P11921" s="46">
        <v>32400.0</v>
      </c>
    </row>
    <row r="11922">
      <c r="A11922" s="40">
        <f t="shared" si="1"/>
        <v>46013</v>
      </c>
      <c r="B11922" s="37" t="str">
        <f t="array" ref="B11922">iferror(xlookup($I11922, 'IMPORT VHC Report'!$E:$E, 'IMPORT VHC Report'!$A:$C), )</f>
        <v/>
      </c>
      <c r="C11922" s="44"/>
      <c r="D11922" s="44"/>
      <c r="E11922" s="46" t="s">
        <v>7934</v>
      </c>
      <c r="F11922" s="46" t="s">
        <v>2836</v>
      </c>
      <c r="G11922" s="46">
        <v>3.61725375656E11</v>
      </c>
      <c r="H11922" s="46" t="s">
        <v>2837</v>
      </c>
      <c r="I11922" s="46" t="s">
        <v>2838</v>
      </c>
      <c r="J11922" s="46" t="s">
        <v>134</v>
      </c>
      <c r="K11922" s="46" t="s">
        <v>126</v>
      </c>
      <c r="L11922" s="45">
        <v>46015.354166666664</v>
      </c>
      <c r="M11922" s="46" t="s">
        <v>123</v>
      </c>
      <c r="N11922" s="45">
        <v>46015.364583333336</v>
      </c>
      <c r="O11922" s="46" t="s">
        <v>123</v>
      </c>
      <c r="P11922" s="46">
        <v>900.0</v>
      </c>
    </row>
    <row r="11923">
      <c r="A11923" s="40">
        <f t="shared" si="1"/>
        <v>46013</v>
      </c>
      <c r="B11923" s="37" t="str">
        <f t="array" ref="B11923">iferror(xlookup($I11923, 'IMPORT VHC Report'!$E:$E, 'IMPORT VHC Report'!$A:$C), )</f>
        <v/>
      </c>
      <c r="C11923" s="44"/>
      <c r="D11923" s="44"/>
      <c r="E11923" s="46" t="s">
        <v>7935</v>
      </c>
      <c r="F11923" s="46" t="s">
        <v>2836</v>
      </c>
      <c r="G11923" s="46">
        <v>3.61725375656E11</v>
      </c>
      <c r="H11923" s="46" t="s">
        <v>2837</v>
      </c>
      <c r="I11923" s="46" t="s">
        <v>2838</v>
      </c>
      <c r="J11923" s="46" t="s">
        <v>132</v>
      </c>
      <c r="K11923" s="46" t="s">
        <v>126</v>
      </c>
      <c r="L11923" s="45">
        <v>46015.427083333336</v>
      </c>
      <c r="M11923" s="46" t="s">
        <v>123</v>
      </c>
      <c r="N11923" s="45">
        <v>46015.46875</v>
      </c>
      <c r="O11923" s="46" t="s">
        <v>123</v>
      </c>
      <c r="P11923" s="46">
        <v>3600.0</v>
      </c>
    </row>
    <row r="11924">
      <c r="A11924" s="40">
        <f t="shared" si="1"/>
        <v>46013</v>
      </c>
      <c r="B11924" s="37" t="str">
        <f t="array" ref="B11924">iferror(xlookup($I11924, 'IMPORT VHC Report'!$E:$E, 'IMPORT VHC Report'!$A:$C), )</f>
        <v/>
      </c>
      <c r="C11924" s="44"/>
      <c r="D11924" s="44"/>
      <c r="E11924" s="46" t="s">
        <v>7936</v>
      </c>
      <c r="F11924" s="46" t="s">
        <v>2836</v>
      </c>
      <c r="G11924" s="46">
        <v>3.61725375656E11</v>
      </c>
      <c r="H11924" s="46" t="s">
        <v>2837</v>
      </c>
      <c r="I11924" s="46" t="s">
        <v>2838</v>
      </c>
      <c r="J11924" s="46" t="s">
        <v>134</v>
      </c>
      <c r="K11924" s="46" t="s">
        <v>126</v>
      </c>
      <c r="L11924" s="45">
        <v>46015.541666666664</v>
      </c>
      <c r="M11924" s="46" t="s">
        <v>123</v>
      </c>
      <c r="N11924" s="45">
        <v>46015.552083333336</v>
      </c>
      <c r="O11924" s="46" t="s">
        <v>123</v>
      </c>
      <c r="P11924" s="46">
        <v>900.0</v>
      </c>
    </row>
    <row r="11925">
      <c r="A11925" s="40">
        <f t="shared" si="1"/>
        <v>46013</v>
      </c>
      <c r="B11925" s="37" t="str">
        <f t="array" ref="B11925">iferror(xlookup($I11925, 'IMPORT VHC Report'!$E:$E, 'IMPORT VHC Report'!$A:$C), )</f>
        <v/>
      </c>
      <c r="C11925" s="44"/>
      <c r="D11925" s="44"/>
      <c r="E11925" s="46" t="s">
        <v>7937</v>
      </c>
      <c r="F11925" s="46" t="s">
        <v>2836</v>
      </c>
      <c r="G11925" s="46">
        <v>3.61725375656E11</v>
      </c>
      <c r="H11925" s="46" t="s">
        <v>2837</v>
      </c>
      <c r="I11925" s="46" t="s">
        <v>2838</v>
      </c>
      <c r="J11925" s="46" t="s">
        <v>2135</v>
      </c>
      <c r="K11925" s="46" t="s">
        <v>63</v>
      </c>
      <c r="L11925" s="45">
        <v>46016.25</v>
      </c>
      <c r="M11925" s="46" t="s">
        <v>123</v>
      </c>
      <c r="N11925" s="45">
        <v>46016.625</v>
      </c>
      <c r="O11925" s="46" t="s">
        <v>123</v>
      </c>
      <c r="P11925" s="46">
        <v>32400.0</v>
      </c>
    </row>
    <row r="11926">
      <c r="A11926" s="40">
        <f t="shared" si="1"/>
        <v>46013</v>
      </c>
      <c r="B11926" s="37" t="str">
        <f t="array" ref="B11926">iferror(xlookup($I11926, 'IMPORT VHC Report'!$E:$E, 'IMPORT VHC Report'!$A:$C), )</f>
        <v/>
      </c>
      <c r="C11926" s="44"/>
      <c r="D11926" s="44"/>
      <c r="E11926" s="46" t="s">
        <v>7938</v>
      </c>
      <c r="F11926" s="46" t="s">
        <v>2836</v>
      </c>
      <c r="G11926" s="46">
        <v>3.61725375656E11</v>
      </c>
      <c r="H11926" s="46" t="s">
        <v>2837</v>
      </c>
      <c r="I11926" s="46" t="s">
        <v>2838</v>
      </c>
      <c r="J11926" s="46" t="s">
        <v>134</v>
      </c>
      <c r="K11926" s="46" t="s">
        <v>126</v>
      </c>
      <c r="L11926" s="45">
        <v>46016.322916666664</v>
      </c>
      <c r="M11926" s="46" t="s">
        <v>123</v>
      </c>
      <c r="N11926" s="45">
        <v>46016.333333333336</v>
      </c>
      <c r="O11926" s="46" t="s">
        <v>123</v>
      </c>
      <c r="P11926" s="46">
        <v>900.0</v>
      </c>
    </row>
    <row r="11927">
      <c r="A11927" s="40">
        <f t="shared" si="1"/>
        <v>46013</v>
      </c>
      <c r="B11927" s="37" t="str">
        <f t="array" ref="B11927">iferror(xlookup($I11927, 'IMPORT VHC Report'!$E:$E, 'IMPORT VHC Report'!$A:$C), )</f>
        <v/>
      </c>
      <c r="C11927" s="44"/>
      <c r="D11927" s="44"/>
      <c r="E11927" s="46" t="s">
        <v>7939</v>
      </c>
      <c r="F11927" s="46" t="s">
        <v>2836</v>
      </c>
      <c r="G11927" s="46">
        <v>3.61725375656E11</v>
      </c>
      <c r="H11927" s="46" t="s">
        <v>2837</v>
      </c>
      <c r="I11927" s="46" t="s">
        <v>2838</v>
      </c>
      <c r="J11927" s="46" t="s">
        <v>132</v>
      </c>
      <c r="K11927" s="46" t="s">
        <v>126</v>
      </c>
      <c r="L11927" s="45">
        <v>46016.416666666664</v>
      </c>
      <c r="M11927" s="46" t="s">
        <v>123</v>
      </c>
      <c r="N11927" s="45">
        <v>46016.458333333336</v>
      </c>
      <c r="O11927" s="46" t="s">
        <v>123</v>
      </c>
      <c r="P11927" s="46">
        <v>3600.0</v>
      </c>
    </row>
    <row r="11928">
      <c r="A11928" s="40">
        <f t="shared" si="1"/>
        <v>46013</v>
      </c>
      <c r="B11928" s="37" t="str">
        <f t="array" ref="B11928">iferror(xlookup($I11928, 'IMPORT VHC Report'!$E:$E, 'IMPORT VHC Report'!$A:$C), )</f>
        <v/>
      </c>
      <c r="C11928" s="44"/>
      <c r="D11928" s="44"/>
      <c r="E11928" s="46" t="s">
        <v>7940</v>
      </c>
      <c r="F11928" s="46" t="s">
        <v>2836</v>
      </c>
      <c r="G11928" s="46">
        <v>3.61725375656E11</v>
      </c>
      <c r="H11928" s="46" t="s">
        <v>2837</v>
      </c>
      <c r="I11928" s="46" t="s">
        <v>2838</v>
      </c>
      <c r="J11928" s="46" t="s">
        <v>134</v>
      </c>
      <c r="K11928" s="46" t="s">
        <v>126</v>
      </c>
      <c r="L11928" s="45">
        <v>46016.53125</v>
      </c>
      <c r="M11928" s="46" t="s">
        <v>123</v>
      </c>
      <c r="N11928" s="45">
        <v>46016.541666666664</v>
      </c>
      <c r="O11928" s="46" t="s">
        <v>123</v>
      </c>
      <c r="P11928" s="46">
        <v>900.0</v>
      </c>
    </row>
    <row r="11929">
      <c r="A11929" s="40">
        <f t="shared" si="1"/>
        <v>46013</v>
      </c>
      <c r="B11929" s="37" t="str">
        <f t="array" ref="B11929">iferror(xlookup($I11929, 'IMPORT VHC Report'!$E:$E, 'IMPORT VHC Report'!$A:$C), )</f>
        <v/>
      </c>
      <c r="C11929" s="44"/>
      <c r="D11929" s="44"/>
      <c r="E11929" s="46" t="s">
        <v>7941</v>
      </c>
      <c r="F11929" s="46" t="s">
        <v>2836</v>
      </c>
      <c r="G11929" s="46">
        <v>3.61725375656E11</v>
      </c>
      <c r="H11929" s="46" t="s">
        <v>2837</v>
      </c>
      <c r="I11929" s="46" t="s">
        <v>2838</v>
      </c>
      <c r="J11929" s="46" t="s">
        <v>2135</v>
      </c>
      <c r="K11929" s="46" t="s">
        <v>63</v>
      </c>
      <c r="L11929" s="45">
        <v>46017.25</v>
      </c>
      <c r="M11929" s="46" t="s">
        <v>123</v>
      </c>
      <c r="N11929" s="45">
        <v>46017.625</v>
      </c>
      <c r="O11929" s="46" t="s">
        <v>123</v>
      </c>
      <c r="P11929" s="46">
        <v>32400.0</v>
      </c>
    </row>
    <row r="11930">
      <c r="A11930" s="40">
        <f t="shared" si="1"/>
        <v>46013</v>
      </c>
      <c r="B11930" s="37" t="str">
        <f t="array" ref="B11930">iferror(xlookup($I11930, 'IMPORT VHC Report'!$E:$E, 'IMPORT VHC Report'!$A:$C), )</f>
        <v/>
      </c>
      <c r="C11930" s="44"/>
      <c r="D11930" s="44"/>
      <c r="E11930" s="46" t="s">
        <v>7942</v>
      </c>
      <c r="F11930" s="46" t="s">
        <v>2836</v>
      </c>
      <c r="G11930" s="46">
        <v>3.61725375656E11</v>
      </c>
      <c r="H11930" s="46" t="s">
        <v>2837</v>
      </c>
      <c r="I11930" s="46" t="s">
        <v>2838</v>
      </c>
      <c r="J11930" s="46" t="s">
        <v>134</v>
      </c>
      <c r="K11930" s="46" t="s">
        <v>126</v>
      </c>
      <c r="L11930" s="45">
        <v>46017.322916666664</v>
      </c>
      <c r="M11930" s="46" t="s">
        <v>123</v>
      </c>
      <c r="N11930" s="45">
        <v>46017.333333333336</v>
      </c>
      <c r="O11930" s="46" t="s">
        <v>123</v>
      </c>
      <c r="P11930" s="46">
        <v>900.0</v>
      </c>
    </row>
    <row r="11931">
      <c r="A11931" s="40">
        <f t="shared" si="1"/>
        <v>46013</v>
      </c>
      <c r="B11931" s="37" t="str">
        <f t="array" ref="B11931">iferror(xlookup($I11931, 'IMPORT VHC Report'!$E:$E, 'IMPORT VHC Report'!$A:$C), )</f>
        <v/>
      </c>
      <c r="C11931" s="44"/>
      <c r="D11931" s="44"/>
      <c r="E11931" s="46" t="s">
        <v>7943</v>
      </c>
      <c r="F11931" s="46" t="s">
        <v>2836</v>
      </c>
      <c r="G11931" s="46">
        <v>3.61725375656E11</v>
      </c>
      <c r="H11931" s="46" t="s">
        <v>2837</v>
      </c>
      <c r="I11931" s="46" t="s">
        <v>2838</v>
      </c>
      <c r="J11931" s="46" t="s">
        <v>132</v>
      </c>
      <c r="K11931" s="46" t="s">
        <v>126</v>
      </c>
      <c r="L11931" s="45">
        <v>46017.427083333336</v>
      </c>
      <c r="M11931" s="46" t="s">
        <v>123</v>
      </c>
      <c r="N11931" s="45">
        <v>46017.46875</v>
      </c>
      <c r="O11931" s="46" t="s">
        <v>123</v>
      </c>
      <c r="P11931" s="46">
        <v>3600.0</v>
      </c>
    </row>
    <row r="11932">
      <c r="A11932" s="40">
        <f t="shared" si="1"/>
        <v>46013</v>
      </c>
      <c r="B11932" s="37" t="str">
        <f t="array" ref="B11932">iferror(xlookup($I11932, 'IMPORT VHC Report'!$E:$E, 'IMPORT VHC Report'!$A:$C), )</f>
        <v/>
      </c>
      <c r="C11932" s="44"/>
      <c r="D11932" s="44"/>
      <c r="E11932" s="46" t="s">
        <v>7944</v>
      </c>
      <c r="F11932" s="46" t="s">
        <v>2836</v>
      </c>
      <c r="G11932" s="46">
        <v>3.61725375656E11</v>
      </c>
      <c r="H11932" s="46" t="s">
        <v>2837</v>
      </c>
      <c r="I11932" s="46" t="s">
        <v>2838</v>
      </c>
      <c r="J11932" s="46" t="s">
        <v>134</v>
      </c>
      <c r="K11932" s="46" t="s">
        <v>126</v>
      </c>
      <c r="L11932" s="45">
        <v>46017.541666666664</v>
      </c>
      <c r="M11932" s="46" t="s">
        <v>123</v>
      </c>
      <c r="N11932" s="45">
        <v>46017.552083333336</v>
      </c>
      <c r="O11932" s="46" t="s">
        <v>123</v>
      </c>
      <c r="P11932" s="46">
        <v>900.0</v>
      </c>
    </row>
    <row r="11933">
      <c r="A11933" s="40">
        <f t="shared" si="1"/>
        <v>46013</v>
      </c>
      <c r="B11933" s="37" t="str">
        <f t="array" ref="B11933">iferror(xlookup($I11933, 'IMPORT VHC Report'!$E:$E, 'IMPORT VHC Report'!$A:$C), )</f>
        <v/>
      </c>
      <c r="C11933" s="44"/>
      <c r="D11933" s="44"/>
      <c r="E11933" s="46" t="s">
        <v>7945</v>
      </c>
      <c r="F11933" s="46" t="s">
        <v>2952</v>
      </c>
      <c r="G11933" s="46">
        <v>3.61731515255E11</v>
      </c>
      <c r="H11933" s="46" t="s">
        <v>2953</v>
      </c>
      <c r="I11933" s="46" t="s">
        <v>2954</v>
      </c>
      <c r="J11933" s="46" t="s">
        <v>2135</v>
      </c>
      <c r="K11933" s="46" t="s">
        <v>63</v>
      </c>
      <c r="L11933" s="45">
        <v>46013.291666666664</v>
      </c>
      <c r="M11933" s="46" t="s">
        <v>123</v>
      </c>
      <c r="N11933" s="45">
        <v>46013.666666666664</v>
      </c>
      <c r="O11933" s="46" t="s">
        <v>123</v>
      </c>
      <c r="P11933" s="46">
        <v>32400.0</v>
      </c>
    </row>
    <row r="11934">
      <c r="A11934" s="40">
        <f t="shared" si="1"/>
        <v>46013</v>
      </c>
      <c r="B11934" s="37" t="str">
        <f t="array" ref="B11934">iferror(xlookup($I11934, 'IMPORT VHC Report'!$E:$E, 'IMPORT VHC Report'!$A:$C), )</f>
        <v/>
      </c>
      <c r="C11934" s="44"/>
      <c r="D11934" s="44"/>
      <c r="E11934" s="46" t="s">
        <v>7946</v>
      </c>
      <c r="F11934" s="46" t="s">
        <v>2952</v>
      </c>
      <c r="G11934" s="46">
        <v>3.61731515255E11</v>
      </c>
      <c r="H11934" s="46" t="s">
        <v>2953</v>
      </c>
      <c r="I11934" s="46" t="s">
        <v>2954</v>
      </c>
      <c r="J11934" s="46" t="s">
        <v>134</v>
      </c>
      <c r="K11934" s="46" t="s">
        <v>126</v>
      </c>
      <c r="L11934" s="45">
        <v>46013.46875</v>
      </c>
      <c r="M11934" s="46" t="s">
        <v>123</v>
      </c>
      <c r="N11934" s="45">
        <v>46013.489583333336</v>
      </c>
      <c r="O11934" s="46" t="s">
        <v>123</v>
      </c>
      <c r="P11934" s="46">
        <v>1800.0</v>
      </c>
    </row>
    <row r="11935">
      <c r="A11935" s="40">
        <f t="shared" si="1"/>
        <v>46013</v>
      </c>
      <c r="B11935" s="37" t="str">
        <f t="array" ref="B11935">iferror(xlookup($I11935, 'IMPORT VHC Report'!$E:$E, 'IMPORT VHC Report'!$A:$C), )</f>
        <v/>
      </c>
      <c r="C11935" s="44"/>
      <c r="D11935" s="44"/>
      <c r="E11935" s="46" t="s">
        <v>7947</v>
      </c>
      <c r="F11935" s="46" t="s">
        <v>2952</v>
      </c>
      <c r="G11935" s="46">
        <v>3.61731515255E11</v>
      </c>
      <c r="H11935" s="46" t="s">
        <v>2953</v>
      </c>
      <c r="I11935" s="46" t="s">
        <v>2954</v>
      </c>
      <c r="J11935" s="46" t="s">
        <v>132</v>
      </c>
      <c r="K11935" s="46" t="s">
        <v>126</v>
      </c>
      <c r="L11935" s="45">
        <v>46013.583333333336</v>
      </c>
      <c r="M11935" s="46" t="s">
        <v>123</v>
      </c>
      <c r="N11935" s="45">
        <v>46013.625</v>
      </c>
      <c r="O11935" s="46" t="s">
        <v>123</v>
      </c>
      <c r="P11935" s="46">
        <v>3600.0</v>
      </c>
    </row>
    <row r="11936">
      <c r="A11936" s="40">
        <f t="shared" si="1"/>
        <v>46013</v>
      </c>
      <c r="B11936" s="37" t="str">
        <f t="array" ref="B11936">iferror(xlookup($I11936, 'IMPORT VHC Report'!$E:$E, 'IMPORT VHC Report'!$A:$C), )</f>
        <v/>
      </c>
      <c r="C11936" s="44"/>
      <c r="D11936" s="44"/>
      <c r="E11936" s="46" t="s">
        <v>7948</v>
      </c>
      <c r="F11936" s="46" t="s">
        <v>2952</v>
      </c>
      <c r="G11936" s="46">
        <v>3.61731515255E11</v>
      </c>
      <c r="H11936" s="46" t="s">
        <v>2953</v>
      </c>
      <c r="I11936" s="46" t="s">
        <v>2954</v>
      </c>
      <c r="J11936" s="46" t="s">
        <v>2135</v>
      </c>
      <c r="K11936" s="46" t="s">
        <v>63</v>
      </c>
      <c r="L11936" s="45">
        <v>46014.291666666664</v>
      </c>
      <c r="M11936" s="46" t="s">
        <v>123</v>
      </c>
      <c r="N11936" s="45">
        <v>46014.666666666664</v>
      </c>
      <c r="O11936" s="46" t="s">
        <v>123</v>
      </c>
      <c r="P11936" s="46">
        <v>32400.0</v>
      </c>
    </row>
    <row r="11937">
      <c r="A11937" s="40">
        <f t="shared" si="1"/>
        <v>46013</v>
      </c>
      <c r="B11937" s="37" t="str">
        <f t="array" ref="B11937">iferror(xlookup($I11937, 'IMPORT VHC Report'!$E:$E, 'IMPORT VHC Report'!$A:$C), )</f>
        <v/>
      </c>
      <c r="C11937" s="44"/>
      <c r="D11937" s="44"/>
      <c r="E11937" s="46" t="s">
        <v>7949</v>
      </c>
      <c r="F11937" s="46" t="s">
        <v>2952</v>
      </c>
      <c r="G11937" s="46">
        <v>3.61731515255E11</v>
      </c>
      <c r="H11937" s="46" t="s">
        <v>2953</v>
      </c>
      <c r="I11937" s="46" t="s">
        <v>2954</v>
      </c>
      <c r="J11937" s="46" t="s">
        <v>134</v>
      </c>
      <c r="K11937" s="46" t="s">
        <v>126</v>
      </c>
      <c r="L11937" s="45">
        <v>46014.447916666664</v>
      </c>
      <c r="M11937" s="46" t="s">
        <v>123</v>
      </c>
      <c r="N11937" s="45">
        <v>46014.46875</v>
      </c>
      <c r="O11937" s="46" t="s">
        <v>123</v>
      </c>
      <c r="P11937" s="46">
        <v>1800.0</v>
      </c>
    </row>
    <row r="11938">
      <c r="A11938" s="40">
        <f t="shared" si="1"/>
        <v>46013</v>
      </c>
      <c r="B11938" s="37" t="str">
        <f t="array" ref="B11938">iferror(xlookup($I11938, 'IMPORT VHC Report'!$E:$E, 'IMPORT VHC Report'!$A:$C), )</f>
        <v/>
      </c>
      <c r="C11938" s="44"/>
      <c r="D11938" s="44"/>
      <c r="E11938" s="46" t="s">
        <v>7950</v>
      </c>
      <c r="F11938" s="46" t="s">
        <v>2952</v>
      </c>
      <c r="G11938" s="46">
        <v>3.61731515255E11</v>
      </c>
      <c r="H11938" s="46" t="s">
        <v>2953</v>
      </c>
      <c r="I11938" s="46" t="s">
        <v>2954</v>
      </c>
      <c r="J11938" s="46" t="s">
        <v>132</v>
      </c>
      <c r="K11938" s="46" t="s">
        <v>126</v>
      </c>
      <c r="L11938" s="45">
        <v>46014.583333333336</v>
      </c>
      <c r="M11938" s="46" t="s">
        <v>123</v>
      </c>
      <c r="N11938" s="45">
        <v>46014.625</v>
      </c>
      <c r="O11938" s="46" t="s">
        <v>123</v>
      </c>
      <c r="P11938" s="46">
        <v>3600.0</v>
      </c>
    </row>
    <row r="11939">
      <c r="A11939" s="40">
        <f t="shared" si="1"/>
        <v>46013</v>
      </c>
      <c r="B11939" s="37" t="str">
        <f t="array" ref="B11939">iferror(xlookup($I11939, 'IMPORT VHC Report'!$E:$E, 'IMPORT VHC Report'!$A:$C), )</f>
        <v/>
      </c>
      <c r="C11939" s="44"/>
      <c r="D11939" s="44"/>
      <c r="E11939" s="46" t="s">
        <v>7951</v>
      </c>
      <c r="F11939" s="46" t="s">
        <v>2952</v>
      </c>
      <c r="G11939" s="46">
        <v>3.61731515255E11</v>
      </c>
      <c r="H11939" s="46" t="s">
        <v>2953</v>
      </c>
      <c r="I11939" s="46" t="s">
        <v>2954</v>
      </c>
      <c r="J11939" s="46" t="s">
        <v>2135</v>
      </c>
      <c r="K11939" s="46" t="s">
        <v>63</v>
      </c>
      <c r="L11939" s="45">
        <v>46015.291666666664</v>
      </c>
      <c r="M11939" s="46" t="s">
        <v>123</v>
      </c>
      <c r="N11939" s="45">
        <v>46015.666666666664</v>
      </c>
      <c r="O11939" s="46" t="s">
        <v>123</v>
      </c>
      <c r="P11939" s="46">
        <v>32400.0</v>
      </c>
    </row>
    <row r="11940">
      <c r="A11940" s="40">
        <f t="shared" si="1"/>
        <v>46013</v>
      </c>
      <c r="B11940" s="37" t="str">
        <f t="array" ref="B11940">iferror(xlookup($I11940, 'IMPORT VHC Report'!$E:$E, 'IMPORT VHC Report'!$A:$C), )</f>
        <v/>
      </c>
      <c r="C11940" s="44"/>
      <c r="D11940" s="44"/>
      <c r="E11940" s="46" t="s">
        <v>7952</v>
      </c>
      <c r="F11940" s="46" t="s">
        <v>2952</v>
      </c>
      <c r="G11940" s="46">
        <v>3.61731515255E11</v>
      </c>
      <c r="H11940" s="46" t="s">
        <v>2953</v>
      </c>
      <c r="I11940" s="46" t="s">
        <v>2954</v>
      </c>
      <c r="J11940" s="46" t="s">
        <v>134</v>
      </c>
      <c r="K11940" s="46" t="s">
        <v>126</v>
      </c>
      <c r="L11940" s="45">
        <v>46015.40625</v>
      </c>
      <c r="M11940" s="46" t="s">
        <v>123</v>
      </c>
      <c r="N11940" s="45">
        <v>46015.427083333336</v>
      </c>
      <c r="O11940" s="46" t="s">
        <v>123</v>
      </c>
      <c r="P11940" s="46">
        <v>1800.0</v>
      </c>
    </row>
    <row r="11941">
      <c r="A11941" s="40">
        <f t="shared" si="1"/>
        <v>46013</v>
      </c>
      <c r="B11941" s="37" t="str">
        <f t="array" ref="B11941">iferror(xlookup($I11941, 'IMPORT VHC Report'!$E:$E, 'IMPORT VHC Report'!$A:$C), )</f>
        <v/>
      </c>
      <c r="C11941" s="44"/>
      <c r="D11941" s="44"/>
      <c r="E11941" s="46" t="s">
        <v>7953</v>
      </c>
      <c r="F11941" s="46" t="s">
        <v>2952</v>
      </c>
      <c r="G11941" s="46">
        <v>3.61731515255E11</v>
      </c>
      <c r="H11941" s="46" t="s">
        <v>2953</v>
      </c>
      <c r="I11941" s="46" t="s">
        <v>2954</v>
      </c>
      <c r="J11941" s="46" t="s">
        <v>132</v>
      </c>
      <c r="K11941" s="46" t="s">
        <v>126</v>
      </c>
      <c r="L11941" s="45">
        <v>46015.510416666664</v>
      </c>
      <c r="M11941" s="46" t="s">
        <v>123</v>
      </c>
      <c r="N11941" s="45">
        <v>46015.552083333336</v>
      </c>
      <c r="O11941" s="46" t="s">
        <v>123</v>
      </c>
      <c r="P11941" s="46">
        <v>3600.0</v>
      </c>
    </row>
    <row r="11942">
      <c r="A11942" s="40">
        <f t="shared" si="1"/>
        <v>46013</v>
      </c>
      <c r="B11942" s="37" t="str">
        <f t="array" ref="B11942">iferror(xlookup($I11942, 'IMPORT VHC Report'!$E:$E, 'IMPORT VHC Report'!$A:$C), )</f>
        <v/>
      </c>
      <c r="C11942" s="44"/>
      <c r="D11942" s="44"/>
      <c r="E11942" s="46" t="s">
        <v>7954</v>
      </c>
      <c r="F11942" s="46" t="s">
        <v>2952</v>
      </c>
      <c r="G11942" s="46">
        <v>3.61731515255E11</v>
      </c>
      <c r="H11942" s="46" t="s">
        <v>2953</v>
      </c>
      <c r="I11942" s="46" t="s">
        <v>2954</v>
      </c>
      <c r="J11942" s="46" t="s">
        <v>2135</v>
      </c>
      <c r="K11942" s="46" t="s">
        <v>63</v>
      </c>
      <c r="L11942" s="45">
        <v>46016.291666666664</v>
      </c>
      <c r="M11942" s="46" t="s">
        <v>123</v>
      </c>
      <c r="N11942" s="45">
        <v>46016.666666666664</v>
      </c>
      <c r="O11942" s="46" t="s">
        <v>123</v>
      </c>
      <c r="P11942" s="46">
        <v>32400.0</v>
      </c>
    </row>
    <row r="11943">
      <c r="A11943" s="40">
        <f t="shared" si="1"/>
        <v>46013</v>
      </c>
      <c r="B11943" s="37" t="str">
        <f t="array" ref="B11943">iferror(xlookup($I11943, 'IMPORT VHC Report'!$E:$E, 'IMPORT VHC Report'!$A:$C), )</f>
        <v/>
      </c>
      <c r="C11943" s="44"/>
      <c r="D11943" s="44"/>
      <c r="E11943" s="46" t="s">
        <v>7955</v>
      </c>
      <c r="F11943" s="46" t="s">
        <v>2952</v>
      </c>
      <c r="G11943" s="46">
        <v>3.61731515255E11</v>
      </c>
      <c r="H11943" s="46" t="s">
        <v>2953</v>
      </c>
      <c r="I11943" s="46" t="s">
        <v>2954</v>
      </c>
      <c r="J11943" s="46" t="s">
        <v>134</v>
      </c>
      <c r="K11943" s="46" t="s">
        <v>126</v>
      </c>
      <c r="L11943" s="45">
        <v>46016.46875</v>
      </c>
      <c r="M11943" s="46" t="s">
        <v>123</v>
      </c>
      <c r="N11943" s="45">
        <v>46016.489583333336</v>
      </c>
      <c r="O11943" s="46" t="s">
        <v>123</v>
      </c>
      <c r="P11943" s="46">
        <v>1800.0</v>
      </c>
    </row>
    <row r="11944">
      <c r="A11944" s="40">
        <f t="shared" si="1"/>
        <v>46013</v>
      </c>
      <c r="B11944" s="37" t="str">
        <f t="array" ref="B11944">iferror(xlookup($I11944, 'IMPORT VHC Report'!$E:$E, 'IMPORT VHC Report'!$A:$C), )</f>
        <v/>
      </c>
      <c r="C11944" s="44"/>
      <c r="D11944" s="44"/>
      <c r="E11944" s="46" t="s">
        <v>7956</v>
      </c>
      <c r="F11944" s="46" t="s">
        <v>2952</v>
      </c>
      <c r="G11944" s="46">
        <v>3.61731515255E11</v>
      </c>
      <c r="H11944" s="46" t="s">
        <v>2953</v>
      </c>
      <c r="I11944" s="46" t="s">
        <v>2954</v>
      </c>
      <c r="J11944" s="46" t="s">
        <v>132</v>
      </c>
      <c r="K11944" s="46" t="s">
        <v>126</v>
      </c>
      <c r="L11944" s="45">
        <v>46016.572916666664</v>
      </c>
      <c r="M11944" s="46" t="s">
        <v>123</v>
      </c>
      <c r="N11944" s="45">
        <v>46016.614583333336</v>
      </c>
      <c r="O11944" s="46" t="s">
        <v>123</v>
      </c>
      <c r="P11944" s="46">
        <v>3600.0</v>
      </c>
    </row>
    <row r="11945">
      <c r="A11945" s="40">
        <f t="shared" si="1"/>
        <v>46013</v>
      </c>
      <c r="B11945" s="37" t="str">
        <f t="array" ref="B11945">iferror(xlookup($I11945, 'IMPORT VHC Report'!$E:$E, 'IMPORT VHC Report'!$A:$C), )</f>
        <v/>
      </c>
      <c r="C11945" s="44"/>
      <c r="D11945" s="44"/>
      <c r="E11945" s="46" t="s">
        <v>7957</v>
      </c>
      <c r="F11945" s="46" t="s">
        <v>2952</v>
      </c>
      <c r="G11945" s="46">
        <v>3.61731515255E11</v>
      </c>
      <c r="H11945" s="46" t="s">
        <v>2953</v>
      </c>
      <c r="I11945" s="46" t="s">
        <v>2954</v>
      </c>
      <c r="J11945" s="46" t="s">
        <v>2135</v>
      </c>
      <c r="K11945" s="46" t="s">
        <v>63</v>
      </c>
      <c r="L11945" s="45">
        <v>46017.291666666664</v>
      </c>
      <c r="M11945" s="46" t="s">
        <v>123</v>
      </c>
      <c r="N11945" s="45">
        <v>46017.666666666664</v>
      </c>
      <c r="O11945" s="46" t="s">
        <v>123</v>
      </c>
      <c r="P11945" s="46">
        <v>32400.0</v>
      </c>
    </row>
    <row r="11946">
      <c r="A11946" s="40">
        <f t="shared" si="1"/>
        <v>46013</v>
      </c>
      <c r="B11946" s="37" t="str">
        <f t="array" ref="B11946">iferror(xlookup($I11946, 'IMPORT VHC Report'!$E:$E, 'IMPORT VHC Report'!$A:$C), )</f>
        <v/>
      </c>
      <c r="C11946" s="44"/>
      <c r="D11946" s="44"/>
      <c r="E11946" s="46" t="s">
        <v>7958</v>
      </c>
      <c r="F11946" s="46" t="s">
        <v>2952</v>
      </c>
      <c r="G11946" s="46">
        <v>3.61731515255E11</v>
      </c>
      <c r="H11946" s="46" t="s">
        <v>2953</v>
      </c>
      <c r="I11946" s="46" t="s">
        <v>2954</v>
      </c>
      <c r="J11946" s="46" t="s">
        <v>134</v>
      </c>
      <c r="K11946" s="46" t="s">
        <v>126</v>
      </c>
      <c r="L11946" s="45">
        <v>46017.395833333336</v>
      </c>
      <c r="M11946" s="46" t="s">
        <v>123</v>
      </c>
      <c r="N11946" s="45">
        <v>46017.416666666664</v>
      </c>
      <c r="O11946" s="46" t="s">
        <v>123</v>
      </c>
      <c r="P11946" s="46">
        <v>1800.0</v>
      </c>
    </row>
    <row r="11947">
      <c r="A11947" s="40">
        <f t="shared" si="1"/>
        <v>46013</v>
      </c>
      <c r="B11947" s="37" t="str">
        <f t="array" ref="B11947">iferror(xlookup($I11947, 'IMPORT VHC Report'!$E:$E, 'IMPORT VHC Report'!$A:$C), )</f>
        <v/>
      </c>
      <c r="C11947" s="44"/>
      <c r="D11947" s="44"/>
      <c r="E11947" s="46" t="s">
        <v>7959</v>
      </c>
      <c r="F11947" s="46" t="s">
        <v>2952</v>
      </c>
      <c r="G11947" s="46">
        <v>3.61731515255E11</v>
      </c>
      <c r="H11947" s="46" t="s">
        <v>2953</v>
      </c>
      <c r="I11947" s="46" t="s">
        <v>2954</v>
      </c>
      <c r="J11947" s="46" t="s">
        <v>132</v>
      </c>
      <c r="K11947" s="46" t="s">
        <v>126</v>
      </c>
      <c r="L11947" s="45">
        <v>46017.53125</v>
      </c>
      <c r="M11947" s="46" t="s">
        <v>123</v>
      </c>
      <c r="N11947" s="45">
        <v>46017.572916666664</v>
      </c>
      <c r="O11947" s="46" t="s">
        <v>123</v>
      </c>
      <c r="P11947" s="46">
        <v>3600.0</v>
      </c>
    </row>
    <row r="11948">
      <c r="A11948" s="40">
        <f t="shared" si="1"/>
        <v>46013</v>
      </c>
      <c r="B11948" s="37" t="str">
        <f t="array" ref="B11948">iferror(xlookup($I11948, 'IMPORT VHC Report'!$E:$E, 'IMPORT VHC Report'!$A:$C), )</f>
        <v/>
      </c>
      <c r="C11948" s="44"/>
      <c r="D11948" s="44"/>
      <c r="E11948" s="46" t="s">
        <v>7960</v>
      </c>
      <c r="F11948" s="46" t="s">
        <v>2994</v>
      </c>
      <c r="G11948" s="46">
        <v>3.61726427416E11</v>
      </c>
      <c r="H11948" s="46" t="s">
        <v>2995</v>
      </c>
      <c r="I11948" s="46" t="s">
        <v>2996</v>
      </c>
      <c r="J11948" s="46" t="s">
        <v>2135</v>
      </c>
      <c r="K11948" s="46" t="s">
        <v>63</v>
      </c>
      <c r="L11948" s="45">
        <v>46013.291666666664</v>
      </c>
      <c r="M11948" s="46" t="s">
        <v>123</v>
      </c>
      <c r="N11948" s="45">
        <v>46013.666666666664</v>
      </c>
      <c r="O11948" s="46" t="s">
        <v>123</v>
      </c>
      <c r="P11948" s="46">
        <v>32400.0</v>
      </c>
    </row>
    <row r="11949">
      <c r="A11949" s="40">
        <f t="shared" si="1"/>
        <v>46013</v>
      </c>
      <c r="B11949" s="37" t="str">
        <f t="array" ref="B11949">iferror(xlookup($I11949, 'IMPORT VHC Report'!$E:$E, 'IMPORT VHC Report'!$A:$C), )</f>
        <v/>
      </c>
      <c r="C11949" s="44"/>
      <c r="D11949" s="44"/>
      <c r="E11949" s="46" t="s">
        <v>7961</v>
      </c>
      <c r="F11949" s="46" t="s">
        <v>2994</v>
      </c>
      <c r="G11949" s="46">
        <v>3.61726427416E11</v>
      </c>
      <c r="H11949" s="46" t="s">
        <v>2995</v>
      </c>
      <c r="I11949" s="46" t="s">
        <v>2996</v>
      </c>
      <c r="J11949" s="46" t="s">
        <v>134</v>
      </c>
      <c r="K11949" s="46" t="s">
        <v>126</v>
      </c>
      <c r="L11949" s="45">
        <v>46013.46875</v>
      </c>
      <c r="M11949" s="46" t="s">
        <v>123</v>
      </c>
      <c r="N11949" s="45">
        <v>46013.489583333336</v>
      </c>
      <c r="O11949" s="46" t="s">
        <v>123</v>
      </c>
      <c r="P11949" s="46">
        <v>1800.0</v>
      </c>
    </row>
    <row r="11950">
      <c r="A11950" s="40">
        <f t="shared" si="1"/>
        <v>46013</v>
      </c>
      <c r="B11950" s="37" t="str">
        <f t="array" ref="B11950">iferror(xlookup($I11950, 'IMPORT VHC Report'!$E:$E, 'IMPORT VHC Report'!$A:$C), )</f>
        <v/>
      </c>
      <c r="C11950" s="44"/>
      <c r="D11950" s="44"/>
      <c r="E11950" s="46" t="s">
        <v>7962</v>
      </c>
      <c r="F11950" s="46" t="s">
        <v>2994</v>
      </c>
      <c r="G11950" s="46">
        <v>3.61726427416E11</v>
      </c>
      <c r="H11950" s="46" t="s">
        <v>2995</v>
      </c>
      <c r="I11950" s="46" t="s">
        <v>2996</v>
      </c>
      <c r="J11950" s="46" t="s">
        <v>132</v>
      </c>
      <c r="K11950" s="46" t="s">
        <v>126</v>
      </c>
      <c r="L11950" s="45">
        <v>46013.583333333336</v>
      </c>
      <c r="M11950" s="46" t="s">
        <v>123</v>
      </c>
      <c r="N11950" s="45">
        <v>46013.625</v>
      </c>
      <c r="O11950" s="46" t="s">
        <v>123</v>
      </c>
      <c r="P11950" s="46">
        <v>3600.0</v>
      </c>
    </row>
    <row r="11951">
      <c r="A11951" s="40">
        <f t="shared" si="1"/>
        <v>46013</v>
      </c>
      <c r="B11951" s="37" t="str">
        <f t="array" ref="B11951">iferror(xlookup($I11951, 'IMPORT VHC Report'!$E:$E, 'IMPORT VHC Report'!$A:$C), )</f>
        <v/>
      </c>
      <c r="C11951" s="44"/>
      <c r="D11951" s="44"/>
      <c r="E11951" s="46" t="s">
        <v>7963</v>
      </c>
      <c r="F11951" s="46" t="s">
        <v>2994</v>
      </c>
      <c r="G11951" s="46">
        <v>3.61726427416E11</v>
      </c>
      <c r="H11951" s="46" t="s">
        <v>2995</v>
      </c>
      <c r="I11951" s="46" t="s">
        <v>2996</v>
      </c>
      <c r="J11951" s="46" t="s">
        <v>2135</v>
      </c>
      <c r="K11951" s="46" t="s">
        <v>63</v>
      </c>
      <c r="L11951" s="45">
        <v>46014.291666666664</v>
      </c>
      <c r="M11951" s="46" t="s">
        <v>123</v>
      </c>
      <c r="N11951" s="45">
        <v>46014.666666666664</v>
      </c>
      <c r="O11951" s="46" t="s">
        <v>123</v>
      </c>
      <c r="P11951" s="46">
        <v>32400.0</v>
      </c>
    </row>
    <row r="11952">
      <c r="A11952" s="40">
        <f t="shared" si="1"/>
        <v>46013</v>
      </c>
      <c r="B11952" s="37" t="str">
        <f t="array" ref="B11952">iferror(xlookup($I11952, 'IMPORT VHC Report'!$E:$E, 'IMPORT VHC Report'!$A:$C), )</f>
        <v/>
      </c>
      <c r="C11952" s="44"/>
      <c r="D11952" s="44"/>
      <c r="E11952" s="46" t="s">
        <v>7964</v>
      </c>
      <c r="F11952" s="46" t="s">
        <v>2994</v>
      </c>
      <c r="G11952" s="46">
        <v>3.61726427416E11</v>
      </c>
      <c r="H11952" s="46" t="s">
        <v>2995</v>
      </c>
      <c r="I11952" s="46" t="s">
        <v>2996</v>
      </c>
      <c r="J11952" s="46" t="s">
        <v>134</v>
      </c>
      <c r="K11952" s="46" t="s">
        <v>126</v>
      </c>
      <c r="L11952" s="45">
        <v>46014.40625</v>
      </c>
      <c r="M11952" s="46" t="s">
        <v>123</v>
      </c>
      <c r="N11952" s="45">
        <v>46014.427083333336</v>
      </c>
      <c r="O11952" s="46" t="s">
        <v>123</v>
      </c>
      <c r="P11952" s="46">
        <v>1800.0</v>
      </c>
    </row>
    <row r="11953">
      <c r="A11953" s="40">
        <f t="shared" si="1"/>
        <v>46013</v>
      </c>
      <c r="B11953" s="37" t="str">
        <f t="array" ref="B11953">iferror(xlookup($I11953, 'IMPORT VHC Report'!$E:$E, 'IMPORT VHC Report'!$A:$C), )</f>
        <v/>
      </c>
      <c r="C11953" s="44"/>
      <c r="D11953" s="44"/>
      <c r="E11953" s="46" t="s">
        <v>7965</v>
      </c>
      <c r="F11953" s="46" t="s">
        <v>2994</v>
      </c>
      <c r="G11953" s="46">
        <v>3.61726427416E11</v>
      </c>
      <c r="H11953" s="46" t="s">
        <v>2995</v>
      </c>
      <c r="I11953" s="46" t="s">
        <v>2996</v>
      </c>
      <c r="J11953" s="46" t="s">
        <v>132</v>
      </c>
      <c r="K11953" s="46" t="s">
        <v>126</v>
      </c>
      <c r="L11953" s="45">
        <v>46014.552083333336</v>
      </c>
      <c r="M11953" s="46" t="s">
        <v>123</v>
      </c>
      <c r="N11953" s="45">
        <v>46014.59375</v>
      </c>
      <c r="O11953" s="46" t="s">
        <v>123</v>
      </c>
      <c r="P11953" s="46">
        <v>3600.0</v>
      </c>
    </row>
    <row r="11954">
      <c r="A11954" s="40">
        <f t="shared" si="1"/>
        <v>46013</v>
      </c>
      <c r="B11954" s="37" t="str">
        <f t="array" ref="B11954">iferror(xlookup($I11954, 'IMPORT VHC Report'!$E:$E, 'IMPORT VHC Report'!$A:$C), )</f>
        <v/>
      </c>
      <c r="C11954" s="44"/>
      <c r="D11954" s="44"/>
      <c r="E11954" s="46" t="s">
        <v>7966</v>
      </c>
      <c r="F11954" s="46" t="s">
        <v>2994</v>
      </c>
      <c r="G11954" s="46">
        <v>3.61726427416E11</v>
      </c>
      <c r="H11954" s="46" t="s">
        <v>2995</v>
      </c>
      <c r="I11954" s="46" t="s">
        <v>2996</v>
      </c>
      <c r="J11954" s="46" t="s">
        <v>2135</v>
      </c>
      <c r="K11954" s="46" t="s">
        <v>63</v>
      </c>
      <c r="L11954" s="45">
        <v>46015.291666666664</v>
      </c>
      <c r="M11954" s="46" t="s">
        <v>123</v>
      </c>
      <c r="N11954" s="45">
        <v>46015.666666666664</v>
      </c>
      <c r="O11954" s="46" t="s">
        <v>123</v>
      </c>
      <c r="P11954" s="46">
        <v>32400.0</v>
      </c>
    </row>
    <row r="11955">
      <c r="A11955" s="40">
        <f t="shared" si="1"/>
        <v>46013</v>
      </c>
      <c r="B11955" s="37" t="str">
        <f t="array" ref="B11955">iferror(xlookup($I11955, 'IMPORT VHC Report'!$E:$E, 'IMPORT VHC Report'!$A:$C), )</f>
        <v/>
      </c>
      <c r="C11955" s="44"/>
      <c r="D11955" s="44"/>
      <c r="E11955" s="46" t="s">
        <v>7967</v>
      </c>
      <c r="F11955" s="46" t="s">
        <v>2994</v>
      </c>
      <c r="G11955" s="46">
        <v>3.61726427416E11</v>
      </c>
      <c r="H11955" s="46" t="s">
        <v>2995</v>
      </c>
      <c r="I11955" s="46" t="s">
        <v>2996</v>
      </c>
      <c r="J11955" s="46" t="s">
        <v>134</v>
      </c>
      <c r="K11955" s="46" t="s">
        <v>126</v>
      </c>
      <c r="L11955" s="45">
        <v>46015.385416666664</v>
      </c>
      <c r="M11955" s="46" t="s">
        <v>123</v>
      </c>
      <c r="N11955" s="45">
        <v>46015.40625</v>
      </c>
      <c r="O11955" s="46" t="s">
        <v>123</v>
      </c>
      <c r="P11955" s="46">
        <v>1800.0</v>
      </c>
    </row>
    <row r="11956">
      <c r="A11956" s="40">
        <f t="shared" si="1"/>
        <v>46013</v>
      </c>
      <c r="B11956" s="37" t="str">
        <f t="array" ref="B11956">iferror(xlookup($I11956, 'IMPORT VHC Report'!$E:$E, 'IMPORT VHC Report'!$A:$C), )</f>
        <v/>
      </c>
      <c r="C11956" s="44"/>
      <c r="D11956" s="44"/>
      <c r="E11956" s="46" t="s">
        <v>7968</v>
      </c>
      <c r="F11956" s="46" t="s">
        <v>2994</v>
      </c>
      <c r="G11956" s="46">
        <v>3.61726427416E11</v>
      </c>
      <c r="H11956" s="46" t="s">
        <v>2995</v>
      </c>
      <c r="I11956" s="46" t="s">
        <v>2996</v>
      </c>
      <c r="J11956" s="46" t="s">
        <v>132</v>
      </c>
      <c r="K11956" s="46" t="s">
        <v>126</v>
      </c>
      <c r="L11956" s="45">
        <v>46015.583333333336</v>
      </c>
      <c r="M11956" s="46" t="s">
        <v>123</v>
      </c>
      <c r="N11956" s="45">
        <v>46015.625</v>
      </c>
      <c r="O11956" s="46" t="s">
        <v>123</v>
      </c>
      <c r="P11956" s="46">
        <v>3600.0</v>
      </c>
    </row>
    <row r="11957">
      <c r="A11957" s="40">
        <f t="shared" si="1"/>
        <v>46013</v>
      </c>
      <c r="B11957" s="37" t="str">
        <f t="array" ref="B11957">iferror(xlookup($I11957, 'IMPORT VHC Report'!$E:$E, 'IMPORT VHC Report'!$A:$C), )</f>
        <v/>
      </c>
      <c r="C11957" s="44"/>
      <c r="D11957" s="44"/>
      <c r="E11957" s="46" t="s">
        <v>7969</v>
      </c>
      <c r="F11957" s="46" t="s">
        <v>2994</v>
      </c>
      <c r="G11957" s="46">
        <v>3.61726427416E11</v>
      </c>
      <c r="H11957" s="46" t="s">
        <v>2995</v>
      </c>
      <c r="I11957" s="46" t="s">
        <v>2996</v>
      </c>
      <c r="J11957" s="46" t="s">
        <v>2135</v>
      </c>
      <c r="K11957" s="46" t="s">
        <v>63</v>
      </c>
      <c r="L11957" s="45">
        <v>46016.291666666664</v>
      </c>
      <c r="M11957" s="46" t="s">
        <v>123</v>
      </c>
      <c r="N11957" s="45">
        <v>46016.666666666664</v>
      </c>
      <c r="O11957" s="46" t="s">
        <v>123</v>
      </c>
      <c r="P11957" s="46">
        <v>32400.0</v>
      </c>
    </row>
    <row r="11958">
      <c r="A11958" s="40">
        <f t="shared" si="1"/>
        <v>46013</v>
      </c>
      <c r="B11958" s="37" t="str">
        <f t="array" ref="B11958">iferror(xlookup($I11958, 'IMPORT VHC Report'!$E:$E, 'IMPORT VHC Report'!$A:$C), )</f>
        <v/>
      </c>
      <c r="C11958" s="44"/>
      <c r="D11958" s="44"/>
      <c r="E11958" s="46" t="s">
        <v>7970</v>
      </c>
      <c r="F11958" s="46" t="s">
        <v>2994</v>
      </c>
      <c r="G11958" s="46">
        <v>3.61726427416E11</v>
      </c>
      <c r="H11958" s="46" t="s">
        <v>2995</v>
      </c>
      <c r="I11958" s="46" t="s">
        <v>2996</v>
      </c>
      <c r="J11958" s="46" t="s">
        <v>134</v>
      </c>
      <c r="K11958" s="46" t="s">
        <v>126</v>
      </c>
      <c r="L11958" s="45">
        <v>46016.375</v>
      </c>
      <c r="M11958" s="46" t="s">
        <v>123</v>
      </c>
      <c r="N11958" s="45">
        <v>46016.395833333336</v>
      </c>
      <c r="O11958" s="46" t="s">
        <v>123</v>
      </c>
      <c r="P11958" s="46">
        <v>1800.0</v>
      </c>
    </row>
    <row r="11959">
      <c r="A11959" s="40">
        <f t="shared" si="1"/>
        <v>46013</v>
      </c>
      <c r="B11959" s="37" t="str">
        <f t="array" ref="B11959">iferror(xlookup($I11959, 'IMPORT VHC Report'!$E:$E, 'IMPORT VHC Report'!$A:$C), )</f>
        <v/>
      </c>
      <c r="C11959" s="44"/>
      <c r="D11959" s="44"/>
      <c r="E11959" s="46" t="s">
        <v>7971</v>
      </c>
      <c r="F11959" s="46" t="s">
        <v>2994</v>
      </c>
      <c r="G11959" s="46">
        <v>3.61726427416E11</v>
      </c>
      <c r="H11959" s="46" t="s">
        <v>2995</v>
      </c>
      <c r="I11959" s="46" t="s">
        <v>2996</v>
      </c>
      <c r="J11959" s="46" t="s">
        <v>132</v>
      </c>
      <c r="K11959" s="46" t="s">
        <v>126</v>
      </c>
      <c r="L11959" s="45">
        <v>46016.5625</v>
      </c>
      <c r="M11959" s="46" t="s">
        <v>123</v>
      </c>
      <c r="N11959" s="45">
        <v>46016.604166666664</v>
      </c>
      <c r="O11959" s="46" t="s">
        <v>123</v>
      </c>
      <c r="P11959" s="46">
        <v>3600.0</v>
      </c>
    </row>
    <row r="11960">
      <c r="A11960" s="40">
        <f t="shared" si="1"/>
        <v>46013</v>
      </c>
      <c r="B11960" s="37" t="str">
        <f t="array" ref="B11960">iferror(xlookup($I11960, 'IMPORT VHC Report'!$E:$E, 'IMPORT VHC Report'!$A:$C), )</f>
        <v/>
      </c>
      <c r="C11960" s="44"/>
      <c r="D11960" s="44"/>
      <c r="E11960" s="46" t="s">
        <v>7972</v>
      </c>
      <c r="F11960" s="46" t="s">
        <v>2994</v>
      </c>
      <c r="G11960" s="46">
        <v>3.61726427416E11</v>
      </c>
      <c r="H11960" s="46" t="s">
        <v>2995</v>
      </c>
      <c r="I11960" s="46" t="s">
        <v>2996</v>
      </c>
      <c r="J11960" s="46" t="s">
        <v>2135</v>
      </c>
      <c r="K11960" s="46" t="s">
        <v>63</v>
      </c>
      <c r="L11960" s="45">
        <v>46017.291666666664</v>
      </c>
      <c r="M11960" s="46" t="s">
        <v>123</v>
      </c>
      <c r="N11960" s="45">
        <v>46017.666666666664</v>
      </c>
      <c r="O11960" s="46" t="s">
        <v>123</v>
      </c>
      <c r="P11960" s="46">
        <v>32400.0</v>
      </c>
    </row>
    <row r="11961">
      <c r="A11961" s="40">
        <f t="shared" si="1"/>
        <v>46013</v>
      </c>
      <c r="B11961" s="37" t="str">
        <f t="array" ref="B11961">iferror(xlookup($I11961, 'IMPORT VHC Report'!$E:$E, 'IMPORT VHC Report'!$A:$C), )</f>
        <v/>
      </c>
      <c r="C11961" s="44"/>
      <c r="D11961" s="44"/>
      <c r="E11961" s="46" t="s">
        <v>7973</v>
      </c>
      <c r="F11961" s="46" t="s">
        <v>2994</v>
      </c>
      <c r="G11961" s="46">
        <v>3.61726427416E11</v>
      </c>
      <c r="H11961" s="46" t="s">
        <v>2995</v>
      </c>
      <c r="I11961" s="46" t="s">
        <v>2996</v>
      </c>
      <c r="J11961" s="46" t="s">
        <v>134</v>
      </c>
      <c r="K11961" s="46" t="s">
        <v>126</v>
      </c>
      <c r="L11961" s="45">
        <v>46017.458333333336</v>
      </c>
      <c r="M11961" s="46" t="s">
        <v>123</v>
      </c>
      <c r="N11961" s="45">
        <v>46017.479166666664</v>
      </c>
      <c r="O11961" s="46" t="s">
        <v>123</v>
      </c>
      <c r="P11961" s="46">
        <v>1800.0</v>
      </c>
    </row>
    <row r="11962">
      <c r="A11962" s="40">
        <f t="shared" si="1"/>
        <v>46013</v>
      </c>
      <c r="B11962" s="37" t="str">
        <f t="array" ref="B11962">iferror(xlookup($I11962, 'IMPORT VHC Report'!$E:$E, 'IMPORT VHC Report'!$A:$C), )</f>
        <v/>
      </c>
      <c r="C11962" s="44"/>
      <c r="D11962" s="44"/>
      <c r="E11962" s="46" t="s">
        <v>7974</v>
      </c>
      <c r="F11962" s="46" t="s">
        <v>2994</v>
      </c>
      <c r="G11962" s="46">
        <v>3.61726427416E11</v>
      </c>
      <c r="H11962" s="46" t="s">
        <v>2995</v>
      </c>
      <c r="I11962" s="46" t="s">
        <v>2996</v>
      </c>
      <c r="J11962" s="46" t="s">
        <v>132</v>
      </c>
      <c r="K11962" s="46" t="s">
        <v>126</v>
      </c>
      <c r="L11962" s="45">
        <v>46017.572916666664</v>
      </c>
      <c r="M11962" s="46" t="s">
        <v>123</v>
      </c>
      <c r="N11962" s="45">
        <v>46017.614583333336</v>
      </c>
      <c r="O11962" s="46" t="s">
        <v>123</v>
      </c>
      <c r="P11962" s="46">
        <v>3600.0</v>
      </c>
    </row>
    <row r="11963">
      <c r="A11963" s="40">
        <f t="shared" si="1"/>
        <v>46013</v>
      </c>
      <c r="B11963" s="37" t="str">
        <f t="array" ref="B11963">iferror(xlookup($I11963, 'IMPORT VHC Report'!$E:$E, 'IMPORT VHC Report'!$A:$C), )</f>
        <v/>
      </c>
      <c r="C11963" s="44"/>
      <c r="D11963" s="44"/>
      <c r="E11963" s="46" t="s">
        <v>7975</v>
      </c>
      <c r="F11963" s="46" t="s">
        <v>3040</v>
      </c>
      <c r="G11963" s="46">
        <v>3.61731792375E11</v>
      </c>
      <c r="H11963" s="46" t="s">
        <v>3041</v>
      </c>
      <c r="I11963" s="46" t="s">
        <v>3042</v>
      </c>
      <c r="J11963" s="46" t="s">
        <v>2135</v>
      </c>
      <c r="K11963" s="46" t="s">
        <v>63</v>
      </c>
      <c r="L11963" s="45">
        <v>46013.291666666664</v>
      </c>
      <c r="M11963" s="46" t="s">
        <v>123</v>
      </c>
      <c r="N11963" s="45">
        <v>46013.666666666664</v>
      </c>
      <c r="O11963" s="46" t="s">
        <v>123</v>
      </c>
      <c r="P11963" s="46">
        <v>32400.0</v>
      </c>
    </row>
    <row r="11964">
      <c r="A11964" s="40">
        <f t="shared" si="1"/>
        <v>46013</v>
      </c>
      <c r="B11964" s="37" t="str">
        <f t="array" ref="B11964">iferror(xlookup($I11964, 'IMPORT VHC Report'!$E:$E, 'IMPORT VHC Report'!$A:$C), )</f>
        <v/>
      </c>
      <c r="C11964" s="44"/>
      <c r="D11964" s="44"/>
      <c r="E11964" s="46" t="s">
        <v>7976</v>
      </c>
      <c r="F11964" s="46" t="s">
        <v>3040</v>
      </c>
      <c r="G11964" s="46">
        <v>3.61731792375E11</v>
      </c>
      <c r="H11964" s="46" t="s">
        <v>3041</v>
      </c>
      <c r="I11964" s="46" t="s">
        <v>3042</v>
      </c>
      <c r="J11964" s="46" t="s">
        <v>178</v>
      </c>
      <c r="K11964" s="46" t="s">
        <v>153</v>
      </c>
      <c r="L11964" s="45">
        <v>46013.291666666664</v>
      </c>
      <c r="M11964" s="46" t="s">
        <v>123</v>
      </c>
      <c r="N11964" s="45">
        <v>46013.666666666664</v>
      </c>
      <c r="O11964" s="46" t="s">
        <v>123</v>
      </c>
      <c r="P11964" s="46">
        <v>32400.0</v>
      </c>
      <c r="Q11964" s="46">
        <v>57600.0</v>
      </c>
    </row>
    <row r="11965">
      <c r="A11965" s="40">
        <f t="shared" si="1"/>
        <v>46013</v>
      </c>
      <c r="B11965" s="37" t="str">
        <f t="array" ref="B11965">iferror(xlookup($I11965, 'IMPORT VHC Report'!$E:$E, 'IMPORT VHC Report'!$A:$C), )</f>
        <v/>
      </c>
      <c r="C11965" s="44"/>
      <c r="D11965" s="44"/>
      <c r="E11965" s="46" t="s">
        <v>7977</v>
      </c>
      <c r="F11965" s="46" t="s">
        <v>3040</v>
      </c>
      <c r="G11965" s="46">
        <v>3.61731792375E11</v>
      </c>
      <c r="H11965" s="46" t="s">
        <v>3041</v>
      </c>
      <c r="I11965" s="46" t="s">
        <v>3042</v>
      </c>
      <c r="J11965" s="46" t="s">
        <v>134</v>
      </c>
      <c r="K11965" s="46" t="s">
        <v>126</v>
      </c>
      <c r="L11965" s="45">
        <v>46013.604166666664</v>
      </c>
      <c r="M11965" s="46" t="s">
        <v>123</v>
      </c>
      <c r="N11965" s="45">
        <v>46013.625</v>
      </c>
      <c r="O11965" s="46" t="s">
        <v>123</v>
      </c>
      <c r="P11965" s="46">
        <v>1800.0</v>
      </c>
    </row>
    <row r="11966">
      <c r="A11966" s="40">
        <f t="shared" si="1"/>
        <v>46013</v>
      </c>
      <c r="B11966" s="37" t="str">
        <f t="array" ref="B11966">iferror(xlookup($I11966, 'IMPORT VHC Report'!$E:$E, 'IMPORT VHC Report'!$A:$C), )</f>
        <v/>
      </c>
      <c r="C11966" s="44"/>
      <c r="D11966" s="44"/>
      <c r="E11966" s="46" t="s">
        <v>7978</v>
      </c>
      <c r="F11966" s="46" t="s">
        <v>3040</v>
      </c>
      <c r="G11966" s="46">
        <v>3.61731792375E11</v>
      </c>
      <c r="H11966" s="46" t="s">
        <v>3041</v>
      </c>
      <c r="I11966" s="46" t="s">
        <v>3042</v>
      </c>
      <c r="J11966" s="46" t="s">
        <v>132</v>
      </c>
      <c r="K11966" s="46" t="s">
        <v>126</v>
      </c>
      <c r="L11966" s="45">
        <v>46013.625</v>
      </c>
      <c r="M11966" s="46" t="s">
        <v>123</v>
      </c>
      <c r="N11966" s="45">
        <v>46013.666666666664</v>
      </c>
      <c r="O11966" s="46" t="s">
        <v>123</v>
      </c>
      <c r="P11966" s="46">
        <v>3600.0</v>
      </c>
    </row>
    <row r="11967">
      <c r="A11967" s="40">
        <f t="shared" si="1"/>
        <v>46013</v>
      </c>
      <c r="B11967" s="37" t="str">
        <f t="array" ref="B11967">iferror(xlookup($I11967, 'IMPORT VHC Report'!$E:$E, 'IMPORT VHC Report'!$A:$C), )</f>
        <v/>
      </c>
      <c r="C11967" s="44"/>
      <c r="D11967" s="44"/>
      <c r="E11967" s="46" t="s">
        <v>7979</v>
      </c>
      <c r="F11967" s="46" t="s">
        <v>3040</v>
      </c>
      <c r="G11967" s="46">
        <v>3.61731792375E11</v>
      </c>
      <c r="H11967" s="46" t="s">
        <v>3041</v>
      </c>
      <c r="I11967" s="46" t="s">
        <v>3042</v>
      </c>
      <c r="J11967" s="46" t="s">
        <v>2135</v>
      </c>
      <c r="K11967" s="46" t="s">
        <v>63</v>
      </c>
      <c r="L11967" s="45">
        <v>46014.291666666664</v>
      </c>
      <c r="M11967" s="46" t="s">
        <v>123</v>
      </c>
      <c r="N11967" s="45">
        <v>46014.666666666664</v>
      </c>
      <c r="O11967" s="46" t="s">
        <v>123</v>
      </c>
      <c r="P11967" s="46">
        <v>32400.0</v>
      </c>
    </row>
    <row r="11968">
      <c r="A11968" s="40">
        <f t="shared" si="1"/>
        <v>46013</v>
      </c>
      <c r="B11968" s="37" t="str">
        <f t="array" ref="B11968">iferror(xlookup($I11968, 'IMPORT VHC Report'!$E:$E, 'IMPORT VHC Report'!$A:$C), )</f>
        <v/>
      </c>
      <c r="C11968" s="44"/>
      <c r="D11968" s="44"/>
      <c r="E11968" s="46" t="s">
        <v>7980</v>
      </c>
      <c r="F11968" s="46" t="s">
        <v>3040</v>
      </c>
      <c r="G11968" s="46">
        <v>3.61731792375E11</v>
      </c>
      <c r="H11968" s="46" t="s">
        <v>3041</v>
      </c>
      <c r="I11968" s="46" t="s">
        <v>3042</v>
      </c>
      <c r="J11968" s="46" t="s">
        <v>134</v>
      </c>
      <c r="K11968" s="46" t="s">
        <v>126</v>
      </c>
      <c r="L11968" s="45">
        <v>46014.604166666664</v>
      </c>
      <c r="M11968" s="46" t="s">
        <v>123</v>
      </c>
      <c r="N11968" s="45">
        <v>46014.625</v>
      </c>
      <c r="O11968" s="46" t="s">
        <v>123</v>
      </c>
      <c r="P11968" s="46">
        <v>1800.0</v>
      </c>
    </row>
    <row r="11969">
      <c r="A11969" s="40">
        <f t="shared" si="1"/>
        <v>46013</v>
      </c>
      <c r="B11969" s="37" t="str">
        <f t="array" ref="B11969">iferror(xlookup($I11969, 'IMPORT VHC Report'!$E:$E, 'IMPORT VHC Report'!$A:$C), )</f>
        <v/>
      </c>
      <c r="C11969" s="44"/>
      <c r="D11969" s="44"/>
      <c r="E11969" s="46" t="s">
        <v>7981</v>
      </c>
      <c r="F11969" s="46" t="s">
        <v>3040</v>
      </c>
      <c r="G11969" s="46">
        <v>3.61731792375E11</v>
      </c>
      <c r="H11969" s="46" t="s">
        <v>3041</v>
      </c>
      <c r="I11969" s="46" t="s">
        <v>3042</v>
      </c>
      <c r="J11969" s="46" t="s">
        <v>132</v>
      </c>
      <c r="K11969" s="46" t="s">
        <v>126</v>
      </c>
      <c r="L11969" s="45">
        <v>46014.625</v>
      </c>
      <c r="M11969" s="46" t="s">
        <v>123</v>
      </c>
      <c r="N11969" s="45">
        <v>46014.666666666664</v>
      </c>
      <c r="O11969" s="46" t="s">
        <v>123</v>
      </c>
      <c r="P11969" s="46">
        <v>3600.0</v>
      </c>
    </row>
    <row r="11970">
      <c r="A11970" s="40">
        <f t="shared" si="1"/>
        <v>46013</v>
      </c>
      <c r="B11970" s="37" t="str">
        <f t="array" ref="B11970">iferror(xlookup($I11970, 'IMPORT VHC Report'!$E:$E, 'IMPORT VHC Report'!$A:$C), )</f>
        <v/>
      </c>
      <c r="C11970" s="44"/>
      <c r="D11970" s="44"/>
      <c r="E11970" s="46" t="s">
        <v>7982</v>
      </c>
      <c r="F11970" s="46" t="s">
        <v>3040</v>
      </c>
      <c r="G11970" s="46">
        <v>3.61731792375E11</v>
      </c>
      <c r="H11970" s="46" t="s">
        <v>3041</v>
      </c>
      <c r="I11970" s="46" t="s">
        <v>3042</v>
      </c>
      <c r="J11970" s="46" t="s">
        <v>2135</v>
      </c>
      <c r="K11970" s="46" t="s">
        <v>63</v>
      </c>
      <c r="L11970" s="45">
        <v>46015.291666666664</v>
      </c>
      <c r="M11970" s="46" t="s">
        <v>123</v>
      </c>
      <c r="N11970" s="45">
        <v>46015.666666666664</v>
      </c>
      <c r="O11970" s="46" t="s">
        <v>123</v>
      </c>
      <c r="P11970" s="46">
        <v>32400.0</v>
      </c>
    </row>
    <row r="11971">
      <c r="A11971" s="40">
        <f t="shared" si="1"/>
        <v>46013</v>
      </c>
      <c r="B11971" s="37" t="str">
        <f t="array" ref="B11971">iferror(xlookup($I11971, 'IMPORT VHC Report'!$E:$E, 'IMPORT VHC Report'!$A:$C), )</f>
        <v/>
      </c>
      <c r="C11971" s="44"/>
      <c r="D11971" s="44"/>
      <c r="E11971" s="46" t="s">
        <v>7983</v>
      </c>
      <c r="F11971" s="46" t="s">
        <v>3040</v>
      </c>
      <c r="G11971" s="46">
        <v>3.61731792375E11</v>
      </c>
      <c r="H11971" s="46" t="s">
        <v>3041</v>
      </c>
      <c r="I11971" s="46" t="s">
        <v>3042</v>
      </c>
      <c r="J11971" s="46" t="s">
        <v>134</v>
      </c>
      <c r="K11971" s="46" t="s">
        <v>126</v>
      </c>
      <c r="L11971" s="45">
        <v>46015.604166666664</v>
      </c>
      <c r="M11971" s="46" t="s">
        <v>123</v>
      </c>
      <c r="N11971" s="45">
        <v>46015.625</v>
      </c>
      <c r="O11971" s="46" t="s">
        <v>123</v>
      </c>
      <c r="P11971" s="46">
        <v>1800.0</v>
      </c>
    </row>
    <row r="11972">
      <c r="A11972" s="40">
        <f t="shared" si="1"/>
        <v>46013</v>
      </c>
      <c r="B11972" s="37" t="str">
        <f t="array" ref="B11972">iferror(xlookup($I11972, 'IMPORT VHC Report'!$E:$E, 'IMPORT VHC Report'!$A:$C), )</f>
        <v/>
      </c>
      <c r="C11972" s="44"/>
      <c r="D11972" s="44"/>
      <c r="E11972" s="46" t="s">
        <v>7984</v>
      </c>
      <c r="F11972" s="46" t="s">
        <v>3040</v>
      </c>
      <c r="G11972" s="46">
        <v>3.61731792375E11</v>
      </c>
      <c r="H11972" s="46" t="s">
        <v>3041</v>
      </c>
      <c r="I11972" s="46" t="s">
        <v>3042</v>
      </c>
      <c r="J11972" s="46" t="s">
        <v>132</v>
      </c>
      <c r="K11972" s="46" t="s">
        <v>126</v>
      </c>
      <c r="L11972" s="45">
        <v>46015.625</v>
      </c>
      <c r="M11972" s="46" t="s">
        <v>123</v>
      </c>
      <c r="N11972" s="45">
        <v>46015.666666666664</v>
      </c>
      <c r="O11972" s="46" t="s">
        <v>123</v>
      </c>
      <c r="P11972" s="46">
        <v>3600.0</v>
      </c>
    </row>
    <row r="11973">
      <c r="A11973" s="40">
        <f t="shared" si="1"/>
        <v>46013</v>
      </c>
      <c r="B11973" s="37" t="str">
        <f t="array" ref="B11973">iferror(xlookup($I11973, 'IMPORT VHC Report'!$E:$E, 'IMPORT VHC Report'!$A:$C), )</f>
        <v/>
      </c>
      <c r="C11973" s="44"/>
      <c r="D11973" s="44"/>
      <c r="E11973" s="46" t="s">
        <v>7985</v>
      </c>
      <c r="F11973" s="46" t="s">
        <v>3040</v>
      </c>
      <c r="G11973" s="46">
        <v>3.61731792375E11</v>
      </c>
      <c r="H11973" s="46" t="s">
        <v>3041</v>
      </c>
      <c r="I11973" s="46" t="s">
        <v>3042</v>
      </c>
      <c r="J11973" s="46" t="s">
        <v>2135</v>
      </c>
      <c r="K11973" s="46" t="s">
        <v>63</v>
      </c>
      <c r="L11973" s="45">
        <v>46016.291666666664</v>
      </c>
      <c r="M11973" s="46" t="s">
        <v>123</v>
      </c>
      <c r="N11973" s="45">
        <v>46016.666666666664</v>
      </c>
      <c r="O11973" s="46" t="s">
        <v>123</v>
      </c>
      <c r="P11973" s="46">
        <v>32400.0</v>
      </c>
    </row>
    <row r="11974">
      <c r="A11974" s="40">
        <f t="shared" si="1"/>
        <v>46013</v>
      </c>
      <c r="B11974" s="37" t="str">
        <f t="array" ref="B11974">iferror(xlookup($I11974, 'IMPORT VHC Report'!$E:$E, 'IMPORT VHC Report'!$A:$C), )</f>
        <v/>
      </c>
      <c r="C11974" s="44"/>
      <c r="D11974" s="44"/>
      <c r="E11974" s="46" t="s">
        <v>7986</v>
      </c>
      <c r="F11974" s="46" t="s">
        <v>3040</v>
      </c>
      <c r="G11974" s="46">
        <v>3.61731792375E11</v>
      </c>
      <c r="H11974" s="46" t="s">
        <v>3041</v>
      </c>
      <c r="I11974" s="46" t="s">
        <v>3042</v>
      </c>
      <c r="J11974" s="46" t="s">
        <v>134</v>
      </c>
      <c r="K11974" s="46" t="s">
        <v>126</v>
      </c>
      <c r="L11974" s="45">
        <v>46016.604166666664</v>
      </c>
      <c r="M11974" s="46" t="s">
        <v>123</v>
      </c>
      <c r="N11974" s="45">
        <v>46016.625</v>
      </c>
      <c r="O11974" s="46" t="s">
        <v>123</v>
      </c>
      <c r="P11974" s="46">
        <v>1800.0</v>
      </c>
    </row>
    <row r="11975">
      <c r="A11975" s="40">
        <f t="shared" si="1"/>
        <v>46013</v>
      </c>
      <c r="B11975" s="37" t="str">
        <f t="array" ref="B11975">iferror(xlookup($I11975, 'IMPORT VHC Report'!$E:$E, 'IMPORT VHC Report'!$A:$C), )</f>
        <v/>
      </c>
      <c r="C11975" s="44"/>
      <c r="D11975" s="44"/>
      <c r="E11975" s="46" t="s">
        <v>7987</v>
      </c>
      <c r="F11975" s="46" t="s">
        <v>3040</v>
      </c>
      <c r="G11975" s="46">
        <v>3.61731792375E11</v>
      </c>
      <c r="H11975" s="46" t="s">
        <v>3041</v>
      </c>
      <c r="I11975" s="46" t="s">
        <v>3042</v>
      </c>
      <c r="J11975" s="46" t="s">
        <v>132</v>
      </c>
      <c r="K11975" s="46" t="s">
        <v>126</v>
      </c>
      <c r="L11975" s="45">
        <v>46016.625</v>
      </c>
      <c r="M11975" s="46" t="s">
        <v>123</v>
      </c>
      <c r="N11975" s="45">
        <v>46016.666666666664</v>
      </c>
      <c r="O11975" s="46" t="s">
        <v>123</v>
      </c>
      <c r="P11975" s="46">
        <v>3600.0</v>
      </c>
    </row>
    <row r="11976">
      <c r="A11976" s="40">
        <f t="shared" si="1"/>
        <v>46013</v>
      </c>
      <c r="B11976" s="37" t="str">
        <f t="array" ref="B11976">iferror(xlookup($I11976, 'IMPORT VHC Report'!$E:$E, 'IMPORT VHC Report'!$A:$C), )</f>
        <v/>
      </c>
      <c r="C11976" s="44"/>
      <c r="D11976" s="44"/>
      <c r="E11976" s="46" t="s">
        <v>7988</v>
      </c>
      <c r="F11976" s="46" t="s">
        <v>3040</v>
      </c>
      <c r="G11976" s="46">
        <v>3.61731792375E11</v>
      </c>
      <c r="H11976" s="46" t="s">
        <v>3041</v>
      </c>
      <c r="I11976" s="46" t="s">
        <v>3042</v>
      </c>
      <c r="J11976" s="46" t="s">
        <v>2135</v>
      </c>
      <c r="K11976" s="46" t="s">
        <v>63</v>
      </c>
      <c r="L11976" s="45">
        <v>46017.291666666664</v>
      </c>
      <c r="M11976" s="46" t="s">
        <v>123</v>
      </c>
      <c r="N11976" s="45">
        <v>46017.666666666664</v>
      </c>
      <c r="O11976" s="46" t="s">
        <v>123</v>
      </c>
      <c r="P11976" s="46">
        <v>32400.0</v>
      </c>
    </row>
    <row r="11977">
      <c r="A11977" s="40">
        <f t="shared" si="1"/>
        <v>46013</v>
      </c>
      <c r="B11977" s="37" t="str">
        <f t="array" ref="B11977">iferror(xlookup($I11977, 'IMPORT VHC Report'!$E:$E, 'IMPORT VHC Report'!$A:$C), )</f>
        <v/>
      </c>
      <c r="C11977" s="44"/>
      <c r="D11977" s="44"/>
      <c r="E11977" s="46" t="s">
        <v>7989</v>
      </c>
      <c r="F11977" s="46" t="s">
        <v>3040</v>
      </c>
      <c r="G11977" s="46">
        <v>3.61731792375E11</v>
      </c>
      <c r="H11977" s="46" t="s">
        <v>3041</v>
      </c>
      <c r="I11977" s="46" t="s">
        <v>3042</v>
      </c>
      <c r="J11977" s="46" t="s">
        <v>178</v>
      </c>
      <c r="K11977" s="46" t="s">
        <v>153</v>
      </c>
      <c r="L11977" s="45">
        <v>46017.291666666664</v>
      </c>
      <c r="M11977" s="46" t="s">
        <v>123</v>
      </c>
      <c r="N11977" s="45">
        <v>46017.666666666664</v>
      </c>
      <c r="O11977" s="46" t="s">
        <v>123</v>
      </c>
      <c r="P11977" s="46">
        <v>32400.0</v>
      </c>
      <c r="Q11977" s="46">
        <v>32400.0</v>
      </c>
    </row>
    <row r="11978">
      <c r="A11978" s="40">
        <f t="shared" si="1"/>
        <v>46013</v>
      </c>
      <c r="B11978" s="37" t="str">
        <f t="array" ref="B11978">iferror(xlookup($I11978, 'IMPORT VHC Report'!$E:$E, 'IMPORT VHC Report'!$A:$C), )</f>
        <v/>
      </c>
      <c r="C11978" s="44"/>
      <c r="D11978" s="44"/>
      <c r="E11978" s="46" t="s">
        <v>7990</v>
      </c>
      <c r="F11978" s="46" t="s">
        <v>3040</v>
      </c>
      <c r="G11978" s="46">
        <v>3.61731792375E11</v>
      </c>
      <c r="H11978" s="46" t="s">
        <v>3041</v>
      </c>
      <c r="I11978" s="46" t="s">
        <v>3042</v>
      </c>
      <c r="J11978" s="46" t="s">
        <v>134</v>
      </c>
      <c r="K11978" s="46" t="s">
        <v>126</v>
      </c>
      <c r="L11978" s="45">
        <v>46017.604166666664</v>
      </c>
      <c r="M11978" s="46" t="s">
        <v>123</v>
      </c>
      <c r="N11978" s="45">
        <v>46017.625</v>
      </c>
      <c r="O11978" s="46" t="s">
        <v>123</v>
      </c>
      <c r="P11978" s="46">
        <v>1800.0</v>
      </c>
    </row>
    <row r="11979">
      <c r="A11979" s="40">
        <f t="shared" si="1"/>
        <v>46013</v>
      </c>
      <c r="B11979" s="37" t="str">
        <f t="array" ref="B11979">iferror(xlookup($I11979, 'IMPORT VHC Report'!$E:$E, 'IMPORT VHC Report'!$A:$C), )</f>
        <v/>
      </c>
      <c r="C11979" s="44"/>
      <c r="D11979" s="44"/>
      <c r="E11979" s="46" t="s">
        <v>7991</v>
      </c>
      <c r="F11979" s="46" t="s">
        <v>3040</v>
      </c>
      <c r="G11979" s="46">
        <v>3.61731792375E11</v>
      </c>
      <c r="H11979" s="46" t="s">
        <v>3041</v>
      </c>
      <c r="I11979" s="46" t="s">
        <v>3042</v>
      </c>
      <c r="J11979" s="46" t="s">
        <v>132</v>
      </c>
      <c r="K11979" s="46" t="s">
        <v>126</v>
      </c>
      <c r="L11979" s="45">
        <v>46017.625</v>
      </c>
      <c r="M11979" s="46" t="s">
        <v>123</v>
      </c>
      <c r="N11979" s="45">
        <v>46017.666666666664</v>
      </c>
      <c r="O11979" s="46" t="s">
        <v>123</v>
      </c>
      <c r="P11979" s="46">
        <v>3600.0</v>
      </c>
    </row>
    <row r="11980">
      <c r="A11980" s="40">
        <f t="shared" si="1"/>
        <v>46013</v>
      </c>
      <c r="B11980" s="37" t="str">
        <f t="array" ref="B11980">iferror(xlookup($I11980, 'IMPORT VHC Report'!$E:$E, 'IMPORT VHC Report'!$A:$C), )</f>
        <v/>
      </c>
      <c r="C11980" s="44"/>
      <c r="D11980" s="44"/>
      <c r="E11980" s="46" t="s">
        <v>7992</v>
      </c>
      <c r="F11980" s="46" t="s">
        <v>2265</v>
      </c>
      <c r="G11980" s="46">
        <v>3.61725486916E11</v>
      </c>
      <c r="H11980" s="46" t="s">
        <v>2266</v>
      </c>
      <c r="I11980" s="46" t="s">
        <v>2267</v>
      </c>
      <c r="J11980" s="46" t="s">
        <v>2268</v>
      </c>
      <c r="K11980" s="46" t="s">
        <v>63</v>
      </c>
      <c r="L11980" s="45">
        <v>46013.208333333336</v>
      </c>
      <c r="M11980" s="46" t="s">
        <v>123</v>
      </c>
      <c r="N11980" s="45">
        <v>46013.583333333336</v>
      </c>
      <c r="O11980" s="46" t="s">
        <v>123</v>
      </c>
      <c r="P11980" s="46">
        <v>32400.0</v>
      </c>
    </row>
    <row r="11981">
      <c r="A11981" s="40">
        <f t="shared" si="1"/>
        <v>46013</v>
      </c>
      <c r="B11981" s="37" t="str">
        <f t="array" ref="B11981">iferror(xlookup($I11981, 'IMPORT VHC Report'!$E:$E, 'IMPORT VHC Report'!$A:$C), )</f>
        <v/>
      </c>
      <c r="C11981" s="44"/>
      <c r="D11981" s="44"/>
      <c r="E11981" s="46" t="s">
        <v>7993</v>
      </c>
      <c r="F11981" s="46" t="s">
        <v>2265</v>
      </c>
      <c r="G11981" s="46">
        <v>3.61725486916E11</v>
      </c>
      <c r="H11981" s="46" t="s">
        <v>2266</v>
      </c>
      <c r="I11981" s="46" t="s">
        <v>2267</v>
      </c>
      <c r="J11981" s="46" t="s">
        <v>136</v>
      </c>
      <c r="K11981" s="46" t="s">
        <v>126</v>
      </c>
      <c r="L11981" s="45">
        <v>46013.3125</v>
      </c>
      <c r="M11981" s="46" t="s">
        <v>123</v>
      </c>
      <c r="N11981" s="45">
        <v>46013.333333333336</v>
      </c>
      <c r="O11981" s="46" t="s">
        <v>123</v>
      </c>
      <c r="P11981" s="46">
        <v>1800.0</v>
      </c>
      <c r="S11981" s="46" t="s">
        <v>2270</v>
      </c>
    </row>
    <row r="11982">
      <c r="A11982" s="40">
        <f t="shared" si="1"/>
        <v>46013</v>
      </c>
      <c r="B11982" s="37" t="str">
        <f t="array" ref="B11982">iferror(xlookup($I11982, 'IMPORT VHC Report'!$E:$E, 'IMPORT VHC Report'!$A:$C), )</f>
        <v/>
      </c>
      <c r="C11982" s="44"/>
      <c r="D11982" s="44"/>
      <c r="E11982" s="46" t="s">
        <v>7994</v>
      </c>
      <c r="F11982" s="46" t="s">
        <v>2265</v>
      </c>
      <c r="G11982" s="46">
        <v>3.61725486916E11</v>
      </c>
      <c r="H11982" s="46" t="s">
        <v>2266</v>
      </c>
      <c r="I11982" s="46" t="s">
        <v>2267</v>
      </c>
      <c r="J11982" s="46" t="s">
        <v>134</v>
      </c>
      <c r="K11982" s="46" t="s">
        <v>126</v>
      </c>
      <c r="L11982" s="45">
        <v>46013.364583333336</v>
      </c>
      <c r="M11982" s="46" t="s">
        <v>123</v>
      </c>
      <c r="N11982" s="45">
        <v>46013.385416666664</v>
      </c>
      <c r="O11982" s="46" t="s">
        <v>123</v>
      </c>
      <c r="P11982" s="46">
        <v>1800.0</v>
      </c>
    </row>
    <row r="11983">
      <c r="A11983" s="40">
        <f t="shared" si="1"/>
        <v>46013</v>
      </c>
      <c r="B11983" s="37" t="str">
        <f t="array" ref="B11983">iferror(xlookup($I11983, 'IMPORT VHC Report'!$E:$E, 'IMPORT VHC Report'!$A:$C), )</f>
        <v/>
      </c>
      <c r="C11983" s="44"/>
      <c r="D11983" s="44"/>
      <c r="E11983" s="46" t="s">
        <v>7995</v>
      </c>
      <c r="F11983" s="46" t="s">
        <v>2265</v>
      </c>
      <c r="G11983" s="46">
        <v>3.61725486916E11</v>
      </c>
      <c r="H11983" s="46" t="s">
        <v>2266</v>
      </c>
      <c r="I11983" s="46" t="s">
        <v>2267</v>
      </c>
      <c r="J11983" s="46" t="s">
        <v>132</v>
      </c>
      <c r="K11983" s="46" t="s">
        <v>126</v>
      </c>
      <c r="L11983" s="45">
        <v>46013.5</v>
      </c>
      <c r="M11983" s="46" t="s">
        <v>123</v>
      </c>
      <c r="N11983" s="45">
        <v>46013.541666666664</v>
      </c>
      <c r="O11983" s="46" t="s">
        <v>123</v>
      </c>
      <c r="P11983" s="46">
        <v>3600.0</v>
      </c>
    </row>
    <row r="11984">
      <c r="A11984" s="40">
        <f t="shared" si="1"/>
        <v>46013</v>
      </c>
      <c r="B11984" s="37" t="str">
        <f t="array" ref="B11984">iferror(xlookup($I11984, 'IMPORT VHC Report'!$E:$E, 'IMPORT VHC Report'!$A:$C), )</f>
        <v/>
      </c>
      <c r="C11984" s="44"/>
      <c r="D11984" s="44"/>
      <c r="E11984" s="46" t="s">
        <v>7996</v>
      </c>
      <c r="F11984" s="46" t="s">
        <v>2265</v>
      </c>
      <c r="G11984" s="46">
        <v>3.61725486916E11</v>
      </c>
      <c r="H11984" s="46" t="s">
        <v>2266</v>
      </c>
      <c r="I11984" s="46" t="s">
        <v>2267</v>
      </c>
      <c r="J11984" s="46" t="s">
        <v>134</v>
      </c>
      <c r="K11984" s="46" t="s">
        <v>126</v>
      </c>
      <c r="L11984" s="45">
        <v>46013.541666666664</v>
      </c>
      <c r="M11984" s="46" t="s">
        <v>123</v>
      </c>
      <c r="N11984" s="45">
        <v>46013.569444444445</v>
      </c>
      <c r="O11984" s="46" t="s">
        <v>123</v>
      </c>
      <c r="P11984" s="46">
        <v>2400.0</v>
      </c>
      <c r="S11984" s="46" t="s">
        <v>2274</v>
      </c>
    </row>
    <row r="11985">
      <c r="A11985" s="40">
        <f t="shared" si="1"/>
        <v>46013</v>
      </c>
      <c r="B11985" s="37" t="str">
        <f t="array" ref="B11985">iferror(xlookup($I11985, 'IMPORT VHC Report'!$E:$E, 'IMPORT VHC Report'!$A:$C), )</f>
        <v/>
      </c>
      <c r="C11985" s="44"/>
      <c r="D11985" s="44"/>
      <c r="E11985" s="46" t="s">
        <v>7997</v>
      </c>
      <c r="F11985" s="46" t="s">
        <v>2265</v>
      </c>
      <c r="G11985" s="46">
        <v>3.61725486916E11</v>
      </c>
      <c r="H11985" s="46" t="s">
        <v>2266</v>
      </c>
      <c r="I11985" s="46" t="s">
        <v>2267</v>
      </c>
      <c r="J11985" s="46" t="s">
        <v>178</v>
      </c>
      <c r="K11985" s="46" t="s">
        <v>153</v>
      </c>
      <c r="L11985" s="45">
        <v>46014.208333333336</v>
      </c>
      <c r="M11985" s="46" t="s">
        <v>123</v>
      </c>
      <c r="N11985" s="45">
        <v>46014.583333333336</v>
      </c>
      <c r="O11985" s="46" t="s">
        <v>123</v>
      </c>
      <c r="P11985" s="46">
        <v>32400.0</v>
      </c>
      <c r="Q11985" s="46">
        <v>32400.0</v>
      </c>
    </row>
    <row r="11986">
      <c r="A11986" s="40">
        <f t="shared" si="1"/>
        <v>46013</v>
      </c>
      <c r="B11986" s="37" t="str">
        <f t="array" ref="B11986">iferror(xlookup($I11986, 'IMPORT VHC Report'!$E:$E, 'IMPORT VHC Report'!$A:$C), )</f>
        <v/>
      </c>
      <c r="C11986" s="44"/>
      <c r="D11986" s="44"/>
      <c r="E11986" s="46" t="s">
        <v>7998</v>
      </c>
      <c r="F11986" s="46" t="s">
        <v>2265</v>
      </c>
      <c r="G11986" s="46">
        <v>3.61725486916E11</v>
      </c>
      <c r="H11986" s="46" t="s">
        <v>2266</v>
      </c>
      <c r="I11986" s="46" t="s">
        <v>2267</v>
      </c>
      <c r="J11986" s="46" t="s">
        <v>2268</v>
      </c>
      <c r="K11986" s="46" t="s">
        <v>63</v>
      </c>
      <c r="L11986" s="45">
        <v>46014.208333333336</v>
      </c>
      <c r="M11986" s="46" t="s">
        <v>123</v>
      </c>
      <c r="N11986" s="45">
        <v>46014.583333333336</v>
      </c>
      <c r="O11986" s="46" t="s">
        <v>123</v>
      </c>
      <c r="P11986" s="46">
        <v>32400.0</v>
      </c>
    </row>
    <row r="11987">
      <c r="A11987" s="40">
        <f t="shared" si="1"/>
        <v>46013</v>
      </c>
      <c r="B11987" s="37" t="str">
        <f t="array" ref="B11987">iferror(xlookup($I11987, 'IMPORT VHC Report'!$E:$E, 'IMPORT VHC Report'!$A:$C), )</f>
        <v/>
      </c>
      <c r="C11987" s="44"/>
      <c r="D11987" s="44"/>
      <c r="E11987" s="46" t="s">
        <v>7999</v>
      </c>
      <c r="F11987" s="46" t="s">
        <v>2265</v>
      </c>
      <c r="G11987" s="46">
        <v>3.61725486916E11</v>
      </c>
      <c r="H11987" s="46" t="s">
        <v>2266</v>
      </c>
      <c r="I11987" s="46" t="s">
        <v>2267</v>
      </c>
      <c r="J11987" s="46" t="s">
        <v>134</v>
      </c>
      <c r="K11987" s="46" t="s">
        <v>126</v>
      </c>
      <c r="L11987" s="45">
        <v>46014.322916666664</v>
      </c>
      <c r="M11987" s="46" t="s">
        <v>123</v>
      </c>
      <c r="N11987" s="45">
        <v>46014.34375</v>
      </c>
      <c r="O11987" s="46" t="s">
        <v>123</v>
      </c>
      <c r="P11987" s="46">
        <v>1800.0</v>
      </c>
    </row>
    <row r="11988">
      <c r="A11988" s="40">
        <f t="shared" si="1"/>
        <v>46013</v>
      </c>
      <c r="B11988" s="37" t="str">
        <f t="array" ref="B11988">iferror(xlookup($I11988, 'IMPORT VHC Report'!$E:$E, 'IMPORT VHC Report'!$A:$C), )</f>
        <v/>
      </c>
      <c r="C11988" s="44"/>
      <c r="D11988" s="44"/>
      <c r="E11988" s="46" t="s">
        <v>8000</v>
      </c>
      <c r="F11988" s="46" t="s">
        <v>2265</v>
      </c>
      <c r="G11988" s="46">
        <v>3.61725486916E11</v>
      </c>
      <c r="H11988" s="46" t="s">
        <v>2266</v>
      </c>
      <c r="I11988" s="46" t="s">
        <v>2267</v>
      </c>
      <c r="J11988" s="46" t="s">
        <v>132</v>
      </c>
      <c r="K11988" s="46" t="s">
        <v>126</v>
      </c>
      <c r="L11988" s="45">
        <v>46014.489583333336</v>
      </c>
      <c r="M11988" s="46" t="s">
        <v>123</v>
      </c>
      <c r="N11988" s="45">
        <v>46014.53125</v>
      </c>
      <c r="O11988" s="46" t="s">
        <v>123</v>
      </c>
      <c r="P11988" s="46">
        <v>3600.0</v>
      </c>
    </row>
    <row r="11989">
      <c r="A11989" s="40">
        <f t="shared" si="1"/>
        <v>46013</v>
      </c>
      <c r="B11989" s="37" t="str">
        <f t="array" ref="B11989">iferror(xlookup($I11989, 'IMPORT VHC Report'!$E:$E, 'IMPORT VHC Report'!$A:$C), )</f>
        <v/>
      </c>
      <c r="C11989" s="44"/>
      <c r="D11989" s="44"/>
      <c r="E11989" s="46" t="s">
        <v>8001</v>
      </c>
      <c r="F11989" s="46" t="s">
        <v>2265</v>
      </c>
      <c r="G11989" s="46">
        <v>3.61725486916E11</v>
      </c>
      <c r="H11989" s="46" t="s">
        <v>2266</v>
      </c>
      <c r="I11989" s="46" t="s">
        <v>2267</v>
      </c>
      <c r="J11989" s="46" t="s">
        <v>134</v>
      </c>
      <c r="K11989" s="46" t="s">
        <v>126</v>
      </c>
      <c r="L11989" s="45">
        <v>46014.53125</v>
      </c>
      <c r="M11989" s="46" t="s">
        <v>123</v>
      </c>
      <c r="N11989" s="45">
        <v>46014.55902777778</v>
      </c>
      <c r="O11989" s="46" t="s">
        <v>123</v>
      </c>
      <c r="P11989" s="46">
        <v>2400.0</v>
      </c>
      <c r="S11989" s="46" t="s">
        <v>2274</v>
      </c>
    </row>
    <row r="11990">
      <c r="A11990" s="40">
        <f t="shared" si="1"/>
        <v>46013</v>
      </c>
      <c r="B11990" s="37" t="str">
        <f t="array" ref="B11990">iferror(xlookup($I11990, 'IMPORT VHC Report'!$E:$E, 'IMPORT VHC Report'!$A:$C), )</f>
        <v/>
      </c>
      <c r="C11990" s="44"/>
      <c r="D11990" s="44"/>
      <c r="E11990" s="46" t="s">
        <v>8002</v>
      </c>
      <c r="F11990" s="46" t="s">
        <v>2265</v>
      </c>
      <c r="G11990" s="46">
        <v>3.61725486916E11</v>
      </c>
      <c r="H11990" s="46" t="s">
        <v>2266</v>
      </c>
      <c r="I11990" s="46" t="s">
        <v>2267</v>
      </c>
      <c r="J11990" s="46" t="s">
        <v>2268</v>
      </c>
      <c r="K11990" s="46" t="s">
        <v>63</v>
      </c>
      <c r="L11990" s="45">
        <v>46015.208333333336</v>
      </c>
      <c r="M11990" s="46" t="s">
        <v>123</v>
      </c>
      <c r="N11990" s="45">
        <v>46015.583333333336</v>
      </c>
      <c r="O11990" s="46" t="s">
        <v>123</v>
      </c>
      <c r="P11990" s="46">
        <v>32400.0</v>
      </c>
    </row>
    <row r="11991">
      <c r="A11991" s="40">
        <f t="shared" si="1"/>
        <v>46013</v>
      </c>
      <c r="B11991" s="37" t="str">
        <f t="array" ref="B11991">iferror(xlookup($I11991, 'IMPORT VHC Report'!$E:$E, 'IMPORT VHC Report'!$A:$C), )</f>
        <v/>
      </c>
      <c r="C11991" s="44"/>
      <c r="D11991" s="44"/>
      <c r="E11991" s="46" t="s">
        <v>8003</v>
      </c>
      <c r="F11991" s="46" t="s">
        <v>2265</v>
      </c>
      <c r="G11991" s="46">
        <v>3.61725486916E11</v>
      </c>
      <c r="H11991" s="46" t="s">
        <v>2266</v>
      </c>
      <c r="I11991" s="46" t="s">
        <v>2267</v>
      </c>
      <c r="J11991" s="46" t="s">
        <v>178</v>
      </c>
      <c r="K11991" s="46" t="s">
        <v>153</v>
      </c>
      <c r="L11991" s="45">
        <v>46015.208333333336</v>
      </c>
      <c r="M11991" s="46" t="s">
        <v>123</v>
      </c>
      <c r="N11991" s="45">
        <v>46015.583333333336</v>
      </c>
      <c r="O11991" s="46" t="s">
        <v>123</v>
      </c>
      <c r="P11991" s="46">
        <v>32400.0</v>
      </c>
      <c r="Q11991" s="46">
        <v>32400.0</v>
      </c>
    </row>
    <row r="11992">
      <c r="A11992" s="40">
        <f t="shared" si="1"/>
        <v>46013</v>
      </c>
      <c r="B11992" s="37" t="str">
        <f t="array" ref="B11992">iferror(xlookup($I11992, 'IMPORT VHC Report'!$E:$E, 'IMPORT VHC Report'!$A:$C), )</f>
        <v/>
      </c>
      <c r="C11992" s="44"/>
      <c r="D11992" s="44"/>
      <c r="E11992" s="46" t="s">
        <v>8004</v>
      </c>
      <c r="F11992" s="46" t="s">
        <v>2265</v>
      </c>
      <c r="G11992" s="46">
        <v>3.61725486916E11</v>
      </c>
      <c r="H11992" s="46" t="s">
        <v>2266</v>
      </c>
      <c r="I11992" s="46" t="s">
        <v>2267</v>
      </c>
      <c r="J11992" s="46" t="s">
        <v>134</v>
      </c>
      <c r="K11992" s="46" t="s">
        <v>126</v>
      </c>
      <c r="L11992" s="45">
        <v>46015.364583333336</v>
      </c>
      <c r="M11992" s="46" t="s">
        <v>123</v>
      </c>
      <c r="N11992" s="45">
        <v>46015.385416666664</v>
      </c>
      <c r="O11992" s="46" t="s">
        <v>123</v>
      </c>
      <c r="P11992" s="46">
        <v>1800.0</v>
      </c>
    </row>
    <row r="11993">
      <c r="A11993" s="40">
        <f t="shared" si="1"/>
        <v>46013</v>
      </c>
      <c r="B11993" s="37" t="str">
        <f t="array" ref="B11993">iferror(xlookup($I11993, 'IMPORT VHC Report'!$E:$E, 'IMPORT VHC Report'!$A:$C), )</f>
        <v/>
      </c>
      <c r="C11993" s="44"/>
      <c r="D11993" s="44"/>
      <c r="E11993" s="46" t="s">
        <v>8005</v>
      </c>
      <c r="F11993" s="46" t="s">
        <v>2265</v>
      </c>
      <c r="G11993" s="46">
        <v>3.61725486916E11</v>
      </c>
      <c r="H11993" s="46" t="s">
        <v>2266</v>
      </c>
      <c r="I11993" s="46" t="s">
        <v>2267</v>
      </c>
      <c r="J11993" s="46" t="s">
        <v>132</v>
      </c>
      <c r="K11993" s="46" t="s">
        <v>126</v>
      </c>
      <c r="L11993" s="45">
        <v>46015.489583333336</v>
      </c>
      <c r="M11993" s="46" t="s">
        <v>123</v>
      </c>
      <c r="N11993" s="45">
        <v>46015.53125</v>
      </c>
      <c r="O11993" s="46" t="s">
        <v>123</v>
      </c>
      <c r="P11993" s="46">
        <v>3600.0</v>
      </c>
    </row>
    <row r="11994">
      <c r="A11994" s="40">
        <f t="shared" si="1"/>
        <v>46013</v>
      </c>
      <c r="B11994" s="37" t="str">
        <f t="array" ref="B11994">iferror(xlookup($I11994, 'IMPORT VHC Report'!$E:$E, 'IMPORT VHC Report'!$A:$C), )</f>
        <v/>
      </c>
      <c r="C11994" s="44"/>
      <c r="D11994" s="44"/>
      <c r="E11994" s="46" t="s">
        <v>8006</v>
      </c>
      <c r="F11994" s="46" t="s">
        <v>2265</v>
      </c>
      <c r="G11994" s="46">
        <v>3.61725486916E11</v>
      </c>
      <c r="H11994" s="46" t="s">
        <v>2266</v>
      </c>
      <c r="I11994" s="46" t="s">
        <v>2267</v>
      </c>
      <c r="J11994" s="46" t="s">
        <v>134</v>
      </c>
      <c r="K11994" s="46" t="s">
        <v>126</v>
      </c>
      <c r="L11994" s="45">
        <v>46015.53125</v>
      </c>
      <c r="M11994" s="46" t="s">
        <v>123</v>
      </c>
      <c r="N11994" s="45">
        <v>46015.55902777778</v>
      </c>
      <c r="O11994" s="46" t="s">
        <v>123</v>
      </c>
      <c r="P11994" s="46">
        <v>2400.0</v>
      </c>
      <c r="S11994" s="46" t="s">
        <v>2274</v>
      </c>
    </row>
    <row r="11995">
      <c r="A11995" s="40">
        <f t="shared" si="1"/>
        <v>46013</v>
      </c>
      <c r="B11995" s="37" t="str">
        <f t="array" ref="B11995">iferror(xlookup($I11995, 'IMPORT VHC Report'!$E:$E, 'IMPORT VHC Report'!$A:$C), )</f>
        <v/>
      </c>
      <c r="C11995" s="44"/>
      <c r="D11995" s="44"/>
      <c r="E11995" s="46" t="s">
        <v>8007</v>
      </c>
      <c r="F11995" s="46" t="s">
        <v>2265</v>
      </c>
      <c r="G11995" s="46">
        <v>3.61725486916E11</v>
      </c>
      <c r="H11995" s="46" t="s">
        <v>2266</v>
      </c>
      <c r="I11995" s="46" t="s">
        <v>2267</v>
      </c>
      <c r="J11995" s="46" t="s">
        <v>2268</v>
      </c>
      <c r="K11995" s="46" t="s">
        <v>63</v>
      </c>
      <c r="L11995" s="45">
        <v>46018.208333333336</v>
      </c>
      <c r="M11995" s="46" t="s">
        <v>123</v>
      </c>
      <c r="N11995" s="45">
        <v>46018.583333333336</v>
      </c>
      <c r="O11995" s="46" t="s">
        <v>123</v>
      </c>
      <c r="P11995" s="46">
        <v>32400.0</v>
      </c>
    </row>
    <row r="11996">
      <c r="A11996" s="40">
        <f t="shared" si="1"/>
        <v>46013</v>
      </c>
      <c r="B11996" s="37" t="str">
        <f t="array" ref="B11996">iferror(xlookup($I11996, 'IMPORT VHC Report'!$E:$E, 'IMPORT VHC Report'!$A:$C), )</f>
        <v/>
      </c>
      <c r="C11996" s="44"/>
      <c r="D11996" s="44"/>
      <c r="E11996" s="46" t="s">
        <v>8008</v>
      </c>
      <c r="F11996" s="46" t="s">
        <v>2265</v>
      </c>
      <c r="G11996" s="46">
        <v>3.61725486916E11</v>
      </c>
      <c r="H11996" s="46" t="s">
        <v>2266</v>
      </c>
      <c r="I11996" s="46" t="s">
        <v>2267</v>
      </c>
      <c r="J11996" s="46" t="s">
        <v>178</v>
      </c>
      <c r="K11996" s="46" t="s">
        <v>153</v>
      </c>
      <c r="L11996" s="45">
        <v>46018.208333333336</v>
      </c>
      <c r="M11996" s="46" t="s">
        <v>123</v>
      </c>
      <c r="N11996" s="45">
        <v>46018.583333333336</v>
      </c>
      <c r="O11996" s="46" t="s">
        <v>123</v>
      </c>
      <c r="P11996" s="46">
        <v>32400.0</v>
      </c>
      <c r="Q11996" s="46">
        <v>32400.0</v>
      </c>
    </row>
    <row r="11997">
      <c r="A11997" s="40">
        <f t="shared" si="1"/>
        <v>46013</v>
      </c>
      <c r="B11997" s="37" t="str">
        <f t="array" ref="B11997">iferror(xlookup($I11997, 'IMPORT VHC Report'!$E:$E, 'IMPORT VHC Report'!$A:$C), )</f>
        <v/>
      </c>
      <c r="C11997" s="44"/>
      <c r="D11997" s="44"/>
      <c r="E11997" s="46" t="s">
        <v>8009</v>
      </c>
      <c r="F11997" s="46" t="s">
        <v>2265</v>
      </c>
      <c r="G11997" s="46">
        <v>3.61725486916E11</v>
      </c>
      <c r="H11997" s="46" t="s">
        <v>2266</v>
      </c>
      <c r="I11997" s="46" t="s">
        <v>2267</v>
      </c>
      <c r="J11997" s="46" t="s">
        <v>134</v>
      </c>
      <c r="K11997" s="46" t="s">
        <v>126</v>
      </c>
      <c r="L11997" s="45">
        <v>46018.375</v>
      </c>
      <c r="M11997" s="46" t="s">
        <v>123</v>
      </c>
      <c r="N11997" s="45">
        <v>46018.395833333336</v>
      </c>
      <c r="O11997" s="46" t="s">
        <v>123</v>
      </c>
      <c r="P11997" s="46">
        <v>1800.0</v>
      </c>
    </row>
    <row r="11998">
      <c r="A11998" s="40">
        <f t="shared" si="1"/>
        <v>46013</v>
      </c>
      <c r="B11998" s="37" t="str">
        <f t="array" ref="B11998">iferror(xlookup($I11998, 'IMPORT VHC Report'!$E:$E, 'IMPORT VHC Report'!$A:$C), )</f>
        <v/>
      </c>
      <c r="C11998" s="44"/>
      <c r="D11998" s="44"/>
      <c r="E11998" s="46" t="s">
        <v>8010</v>
      </c>
      <c r="F11998" s="46" t="s">
        <v>2265</v>
      </c>
      <c r="G11998" s="46">
        <v>3.61725486916E11</v>
      </c>
      <c r="H11998" s="46" t="s">
        <v>2266</v>
      </c>
      <c r="I11998" s="46" t="s">
        <v>2267</v>
      </c>
      <c r="J11998" s="46" t="s">
        <v>132</v>
      </c>
      <c r="K11998" s="46" t="s">
        <v>126</v>
      </c>
      <c r="L11998" s="45">
        <v>46018.489583333336</v>
      </c>
      <c r="M11998" s="46" t="s">
        <v>123</v>
      </c>
      <c r="N11998" s="45">
        <v>46018.53125</v>
      </c>
      <c r="O11998" s="46" t="s">
        <v>123</v>
      </c>
      <c r="P11998" s="46">
        <v>3600.0</v>
      </c>
    </row>
    <row r="11999">
      <c r="A11999" s="40">
        <f t="shared" si="1"/>
        <v>46013</v>
      </c>
      <c r="B11999" s="37" t="str">
        <f t="array" ref="B11999">iferror(xlookup($I11999, 'IMPORT VHC Report'!$E:$E, 'IMPORT VHC Report'!$A:$C), )</f>
        <v/>
      </c>
      <c r="C11999" s="44"/>
      <c r="D11999" s="44"/>
      <c r="E11999" s="46" t="s">
        <v>8011</v>
      </c>
      <c r="F11999" s="46" t="s">
        <v>2265</v>
      </c>
      <c r="G11999" s="46">
        <v>3.61725486916E11</v>
      </c>
      <c r="H11999" s="46" t="s">
        <v>2266</v>
      </c>
      <c r="I11999" s="46" t="s">
        <v>2267</v>
      </c>
      <c r="J11999" s="46" t="s">
        <v>134</v>
      </c>
      <c r="K11999" s="46" t="s">
        <v>126</v>
      </c>
      <c r="L11999" s="45">
        <v>46018.53125</v>
      </c>
      <c r="M11999" s="46" t="s">
        <v>123</v>
      </c>
      <c r="N11999" s="45">
        <v>46018.55902777778</v>
      </c>
      <c r="O11999" s="46" t="s">
        <v>123</v>
      </c>
      <c r="P11999" s="46">
        <v>2400.0</v>
      </c>
      <c r="S11999" s="46" t="s">
        <v>2274</v>
      </c>
    </row>
    <row r="12000">
      <c r="A12000" s="40">
        <f t="shared" si="1"/>
        <v>46013</v>
      </c>
      <c r="B12000" s="37" t="str">
        <f t="array" ref="B12000">iferror(xlookup($I12000, 'IMPORT VHC Report'!$E:$E, 'IMPORT VHC Report'!$A:$C), )</f>
        <v/>
      </c>
      <c r="C12000" s="44"/>
      <c r="D12000" s="44"/>
      <c r="E12000" s="46" t="s">
        <v>8012</v>
      </c>
      <c r="F12000" s="46" t="s">
        <v>2265</v>
      </c>
      <c r="G12000" s="46">
        <v>3.61725486916E11</v>
      </c>
      <c r="H12000" s="46" t="s">
        <v>2266</v>
      </c>
      <c r="I12000" s="46" t="s">
        <v>2267</v>
      </c>
      <c r="J12000" s="46" t="s">
        <v>2268</v>
      </c>
      <c r="K12000" s="46" t="s">
        <v>63</v>
      </c>
      <c r="L12000" s="45">
        <v>46019.208333333336</v>
      </c>
      <c r="M12000" s="46" t="s">
        <v>123</v>
      </c>
      <c r="N12000" s="45">
        <v>46019.583333333336</v>
      </c>
      <c r="O12000" s="46" t="s">
        <v>123</v>
      </c>
      <c r="P12000" s="46">
        <v>32400.0</v>
      </c>
    </row>
    <row r="12001">
      <c r="A12001" s="40">
        <f t="shared" si="1"/>
        <v>46013</v>
      </c>
      <c r="B12001" s="37" t="str">
        <f t="array" ref="B12001">iferror(xlookup($I12001, 'IMPORT VHC Report'!$E:$E, 'IMPORT VHC Report'!$A:$C), )</f>
        <v/>
      </c>
      <c r="C12001" s="44"/>
      <c r="D12001" s="44"/>
      <c r="E12001" s="46" t="s">
        <v>8013</v>
      </c>
      <c r="F12001" s="46" t="s">
        <v>2265</v>
      </c>
      <c r="G12001" s="46">
        <v>3.61725486916E11</v>
      </c>
      <c r="H12001" s="46" t="s">
        <v>2266</v>
      </c>
      <c r="I12001" s="46" t="s">
        <v>2267</v>
      </c>
      <c r="J12001" s="46" t="s">
        <v>134</v>
      </c>
      <c r="K12001" s="46" t="s">
        <v>126</v>
      </c>
      <c r="L12001" s="45">
        <v>46019.3125</v>
      </c>
      <c r="M12001" s="46" t="s">
        <v>123</v>
      </c>
      <c r="N12001" s="45">
        <v>46019.333333333336</v>
      </c>
      <c r="O12001" s="46" t="s">
        <v>123</v>
      </c>
      <c r="P12001" s="46">
        <v>1800.0</v>
      </c>
    </row>
    <row r="12002">
      <c r="A12002" s="40">
        <f t="shared" si="1"/>
        <v>46013</v>
      </c>
      <c r="B12002" s="37" t="str">
        <f t="array" ref="B12002">iferror(xlookup($I12002, 'IMPORT VHC Report'!$E:$E, 'IMPORT VHC Report'!$A:$C), )</f>
        <v/>
      </c>
      <c r="C12002" s="44"/>
      <c r="D12002" s="44"/>
      <c r="E12002" s="46" t="s">
        <v>8014</v>
      </c>
      <c r="F12002" s="46" t="s">
        <v>2265</v>
      </c>
      <c r="G12002" s="46">
        <v>3.61725486916E11</v>
      </c>
      <c r="H12002" s="46" t="s">
        <v>2266</v>
      </c>
      <c r="I12002" s="46" t="s">
        <v>2267</v>
      </c>
      <c r="J12002" s="46" t="s">
        <v>132</v>
      </c>
      <c r="K12002" s="46" t="s">
        <v>126</v>
      </c>
      <c r="L12002" s="45">
        <v>46019.427083333336</v>
      </c>
      <c r="M12002" s="46" t="s">
        <v>123</v>
      </c>
      <c r="N12002" s="45">
        <v>46019.46875</v>
      </c>
      <c r="O12002" s="46" t="s">
        <v>123</v>
      </c>
      <c r="P12002" s="46">
        <v>3600.0</v>
      </c>
    </row>
    <row r="12003">
      <c r="A12003" s="40">
        <f t="shared" si="1"/>
        <v>46013</v>
      </c>
      <c r="B12003" s="37" t="str">
        <f t="array" ref="B12003">iferror(xlookup($I12003, 'IMPORT VHC Report'!$E:$E, 'IMPORT VHC Report'!$A:$C), )</f>
        <v/>
      </c>
      <c r="C12003" s="44"/>
      <c r="D12003" s="44"/>
      <c r="E12003" s="46" t="s">
        <v>8015</v>
      </c>
      <c r="F12003" s="46" t="s">
        <v>2265</v>
      </c>
      <c r="G12003" s="46">
        <v>3.61725486916E11</v>
      </c>
      <c r="H12003" s="46" t="s">
        <v>2266</v>
      </c>
      <c r="I12003" s="46" t="s">
        <v>2267</v>
      </c>
      <c r="J12003" s="46" t="s">
        <v>134</v>
      </c>
      <c r="K12003" s="46" t="s">
        <v>126</v>
      </c>
      <c r="L12003" s="45">
        <v>46019.46875</v>
      </c>
      <c r="M12003" s="46" t="s">
        <v>123</v>
      </c>
      <c r="N12003" s="45">
        <v>46019.49652777778</v>
      </c>
      <c r="O12003" s="46" t="s">
        <v>123</v>
      </c>
      <c r="P12003" s="46">
        <v>2400.0</v>
      </c>
      <c r="S12003" s="46" t="s">
        <v>2274</v>
      </c>
    </row>
    <row r="12004">
      <c r="A12004" s="40">
        <f t="shared" si="1"/>
        <v>46013</v>
      </c>
      <c r="B12004" s="37" t="str">
        <f t="array" ref="B12004">iferror(xlookup($I12004, 'IMPORT VHC Report'!$E:$E, 'IMPORT VHC Report'!$A:$C), )</f>
        <v/>
      </c>
      <c r="C12004" s="44"/>
      <c r="D12004" s="44"/>
      <c r="E12004" s="46" t="s">
        <v>8016</v>
      </c>
      <c r="F12004" s="46" t="s">
        <v>2973</v>
      </c>
      <c r="G12004" s="46">
        <v>3.61732055015E11</v>
      </c>
      <c r="H12004" s="46" t="s">
        <v>2974</v>
      </c>
      <c r="I12004" s="46" t="s">
        <v>2975</v>
      </c>
      <c r="J12004" s="46" t="s">
        <v>2268</v>
      </c>
      <c r="K12004" s="46" t="s">
        <v>63</v>
      </c>
      <c r="L12004" s="45">
        <v>46013.291666666664</v>
      </c>
      <c r="M12004" s="46" t="s">
        <v>123</v>
      </c>
      <c r="N12004" s="45">
        <v>46013.666666666664</v>
      </c>
      <c r="O12004" s="46" t="s">
        <v>123</v>
      </c>
      <c r="P12004" s="46">
        <v>32400.0</v>
      </c>
    </row>
    <row r="12005">
      <c r="A12005" s="40">
        <f t="shared" si="1"/>
        <v>46013</v>
      </c>
      <c r="B12005" s="37" t="str">
        <f t="array" ref="B12005">iferror(xlookup($I12005, 'IMPORT VHC Report'!$E:$E, 'IMPORT VHC Report'!$A:$C), )</f>
        <v/>
      </c>
      <c r="C12005" s="44"/>
      <c r="D12005" s="44"/>
      <c r="E12005" s="46" t="s">
        <v>8017</v>
      </c>
      <c r="F12005" s="46" t="s">
        <v>2973</v>
      </c>
      <c r="G12005" s="46">
        <v>3.61732055015E11</v>
      </c>
      <c r="H12005" s="46" t="s">
        <v>2974</v>
      </c>
      <c r="I12005" s="46" t="s">
        <v>2975</v>
      </c>
      <c r="J12005" s="46" t="s">
        <v>136</v>
      </c>
      <c r="K12005" s="46" t="s">
        <v>126</v>
      </c>
      <c r="L12005" s="45">
        <v>46013.3125</v>
      </c>
      <c r="M12005" s="46" t="s">
        <v>123</v>
      </c>
      <c r="N12005" s="45">
        <v>46013.333333333336</v>
      </c>
      <c r="O12005" s="46" t="s">
        <v>123</v>
      </c>
      <c r="P12005" s="46">
        <v>1800.0</v>
      </c>
      <c r="S12005" s="46" t="s">
        <v>2270</v>
      </c>
    </row>
    <row r="12006">
      <c r="A12006" s="40">
        <f t="shared" si="1"/>
        <v>46013</v>
      </c>
      <c r="B12006" s="37" t="str">
        <f t="array" ref="B12006">iferror(xlookup($I12006, 'IMPORT VHC Report'!$E:$E, 'IMPORT VHC Report'!$A:$C), )</f>
        <v/>
      </c>
      <c r="C12006" s="44"/>
      <c r="D12006" s="44"/>
      <c r="E12006" s="46" t="s">
        <v>8018</v>
      </c>
      <c r="F12006" s="46" t="s">
        <v>2973</v>
      </c>
      <c r="G12006" s="46">
        <v>3.61732055015E11</v>
      </c>
      <c r="H12006" s="46" t="s">
        <v>2974</v>
      </c>
      <c r="I12006" s="46" t="s">
        <v>2975</v>
      </c>
      <c r="J12006" s="46" t="s">
        <v>134</v>
      </c>
      <c r="K12006" s="46" t="s">
        <v>126</v>
      </c>
      <c r="L12006" s="45">
        <v>46013.479166666664</v>
      </c>
      <c r="M12006" s="46" t="s">
        <v>123</v>
      </c>
      <c r="N12006" s="45">
        <v>46013.5</v>
      </c>
      <c r="O12006" s="46" t="s">
        <v>123</v>
      </c>
      <c r="P12006" s="46">
        <v>1800.0</v>
      </c>
    </row>
    <row r="12007">
      <c r="A12007" s="40">
        <f t="shared" si="1"/>
        <v>46013</v>
      </c>
      <c r="B12007" s="37" t="str">
        <f t="array" ref="B12007">iferror(xlookup($I12007, 'IMPORT VHC Report'!$E:$E, 'IMPORT VHC Report'!$A:$C), )</f>
        <v/>
      </c>
      <c r="C12007" s="44"/>
      <c r="D12007" s="44"/>
      <c r="E12007" s="46" t="s">
        <v>8019</v>
      </c>
      <c r="F12007" s="46" t="s">
        <v>2973</v>
      </c>
      <c r="G12007" s="46">
        <v>3.61732055015E11</v>
      </c>
      <c r="H12007" s="46" t="s">
        <v>2974</v>
      </c>
      <c r="I12007" s="46" t="s">
        <v>2975</v>
      </c>
      <c r="J12007" s="46" t="s">
        <v>132</v>
      </c>
      <c r="K12007" s="46" t="s">
        <v>126</v>
      </c>
      <c r="L12007" s="45">
        <v>46013.583333333336</v>
      </c>
      <c r="M12007" s="46" t="s">
        <v>123</v>
      </c>
      <c r="N12007" s="45">
        <v>46013.625</v>
      </c>
      <c r="O12007" s="46" t="s">
        <v>123</v>
      </c>
      <c r="P12007" s="46">
        <v>3600.0</v>
      </c>
    </row>
    <row r="12008">
      <c r="A12008" s="40">
        <f t="shared" si="1"/>
        <v>46013</v>
      </c>
      <c r="B12008" s="37" t="str">
        <f t="array" ref="B12008">iferror(xlookup($I12008, 'IMPORT VHC Report'!$E:$E, 'IMPORT VHC Report'!$A:$C), )</f>
        <v/>
      </c>
      <c r="C12008" s="44"/>
      <c r="D12008" s="44"/>
      <c r="E12008" s="46" t="s">
        <v>8020</v>
      </c>
      <c r="F12008" s="46" t="s">
        <v>2973</v>
      </c>
      <c r="G12008" s="46">
        <v>3.61732055015E11</v>
      </c>
      <c r="H12008" s="46" t="s">
        <v>2974</v>
      </c>
      <c r="I12008" s="46" t="s">
        <v>2975</v>
      </c>
      <c r="J12008" s="46" t="s">
        <v>2268</v>
      </c>
      <c r="K12008" s="46" t="s">
        <v>63</v>
      </c>
      <c r="L12008" s="45">
        <v>46014.291666666664</v>
      </c>
      <c r="M12008" s="46" t="s">
        <v>123</v>
      </c>
      <c r="N12008" s="45">
        <v>46014.666666666664</v>
      </c>
      <c r="O12008" s="46" t="s">
        <v>123</v>
      </c>
      <c r="P12008" s="46">
        <v>32400.0</v>
      </c>
    </row>
    <row r="12009">
      <c r="A12009" s="40">
        <f t="shared" si="1"/>
        <v>46013</v>
      </c>
      <c r="B12009" s="37" t="str">
        <f t="array" ref="B12009">iferror(xlookup($I12009, 'IMPORT VHC Report'!$E:$E, 'IMPORT VHC Report'!$A:$C), )</f>
        <v/>
      </c>
      <c r="C12009" s="44"/>
      <c r="D12009" s="44"/>
      <c r="E12009" s="46" t="s">
        <v>8021</v>
      </c>
      <c r="F12009" s="46" t="s">
        <v>2973</v>
      </c>
      <c r="G12009" s="46">
        <v>3.61732055015E11</v>
      </c>
      <c r="H12009" s="46" t="s">
        <v>2974</v>
      </c>
      <c r="I12009" s="46" t="s">
        <v>2975</v>
      </c>
      <c r="J12009" s="46" t="s">
        <v>136</v>
      </c>
      <c r="K12009" s="46" t="s">
        <v>126</v>
      </c>
      <c r="L12009" s="45">
        <v>46014.3125</v>
      </c>
      <c r="M12009" s="46" t="s">
        <v>123</v>
      </c>
      <c r="N12009" s="45">
        <v>46014.34375</v>
      </c>
      <c r="O12009" s="46" t="s">
        <v>123</v>
      </c>
      <c r="P12009" s="46">
        <v>2700.0</v>
      </c>
      <c r="S12009" s="46" t="s">
        <v>8022</v>
      </c>
    </row>
    <row r="12010">
      <c r="A12010" s="40">
        <f t="shared" si="1"/>
        <v>46013</v>
      </c>
      <c r="B12010" s="37" t="str">
        <f t="array" ref="B12010">iferror(xlookup($I12010, 'IMPORT VHC Report'!$E:$E, 'IMPORT VHC Report'!$A:$C), )</f>
        <v/>
      </c>
      <c r="C12010" s="44"/>
      <c r="D12010" s="44"/>
      <c r="E12010" s="46" t="s">
        <v>8023</v>
      </c>
      <c r="F12010" s="46" t="s">
        <v>2973</v>
      </c>
      <c r="G12010" s="46">
        <v>3.61732055015E11</v>
      </c>
      <c r="H12010" s="46" t="s">
        <v>2974</v>
      </c>
      <c r="I12010" s="46" t="s">
        <v>2975</v>
      </c>
      <c r="J12010" s="46" t="s">
        <v>134</v>
      </c>
      <c r="K12010" s="46" t="s">
        <v>126</v>
      </c>
      <c r="L12010" s="45">
        <v>46014.479166666664</v>
      </c>
      <c r="M12010" s="46" t="s">
        <v>123</v>
      </c>
      <c r="N12010" s="45">
        <v>46014.5</v>
      </c>
      <c r="O12010" s="46" t="s">
        <v>123</v>
      </c>
      <c r="P12010" s="46">
        <v>1800.0</v>
      </c>
    </row>
    <row r="12011">
      <c r="A12011" s="40">
        <f t="shared" si="1"/>
        <v>46013</v>
      </c>
      <c r="B12011" s="37" t="str">
        <f t="array" ref="B12011">iferror(xlookup($I12011, 'IMPORT VHC Report'!$E:$E, 'IMPORT VHC Report'!$A:$C), )</f>
        <v/>
      </c>
      <c r="C12011" s="44"/>
      <c r="D12011" s="44"/>
      <c r="E12011" s="46" t="s">
        <v>8024</v>
      </c>
      <c r="F12011" s="46" t="s">
        <v>2973</v>
      </c>
      <c r="G12011" s="46">
        <v>3.61732055015E11</v>
      </c>
      <c r="H12011" s="46" t="s">
        <v>2974</v>
      </c>
      <c r="I12011" s="46" t="s">
        <v>2975</v>
      </c>
      <c r="J12011" s="46" t="s">
        <v>136</v>
      </c>
      <c r="K12011" s="46" t="s">
        <v>126</v>
      </c>
      <c r="L12011" s="45">
        <v>46014.520833333336</v>
      </c>
      <c r="M12011" s="46" t="s">
        <v>123</v>
      </c>
      <c r="N12011" s="45">
        <v>46014.53125</v>
      </c>
      <c r="O12011" s="46" t="s">
        <v>123</v>
      </c>
      <c r="P12011" s="46">
        <v>900.0</v>
      </c>
      <c r="S12011" s="46" t="s">
        <v>8025</v>
      </c>
    </row>
    <row r="12012">
      <c r="A12012" s="40">
        <f t="shared" si="1"/>
        <v>46013</v>
      </c>
      <c r="B12012" s="37" t="str">
        <f t="array" ref="B12012">iferror(xlookup($I12012, 'IMPORT VHC Report'!$E:$E, 'IMPORT VHC Report'!$A:$C), )</f>
        <v/>
      </c>
      <c r="C12012" s="44"/>
      <c r="D12012" s="44"/>
      <c r="E12012" s="46" t="s">
        <v>8026</v>
      </c>
      <c r="F12012" s="46" t="s">
        <v>2973</v>
      </c>
      <c r="G12012" s="46">
        <v>3.61732055015E11</v>
      </c>
      <c r="H12012" s="46" t="s">
        <v>2974</v>
      </c>
      <c r="I12012" s="46" t="s">
        <v>2975</v>
      </c>
      <c r="J12012" s="46" t="s">
        <v>132</v>
      </c>
      <c r="K12012" s="46" t="s">
        <v>126</v>
      </c>
      <c r="L12012" s="45">
        <v>46014.572916666664</v>
      </c>
      <c r="M12012" s="46" t="s">
        <v>123</v>
      </c>
      <c r="N12012" s="45">
        <v>46014.614583333336</v>
      </c>
      <c r="O12012" s="46" t="s">
        <v>123</v>
      </c>
      <c r="P12012" s="46">
        <v>3600.0</v>
      </c>
    </row>
    <row r="12013">
      <c r="A12013" s="40">
        <f t="shared" si="1"/>
        <v>46013</v>
      </c>
      <c r="B12013" s="37" t="str">
        <f t="array" ref="B12013">iferror(xlookup($I12013, 'IMPORT VHC Report'!$E:$E, 'IMPORT VHC Report'!$A:$C), )</f>
        <v/>
      </c>
      <c r="C12013" s="44"/>
      <c r="D12013" s="44"/>
      <c r="E12013" s="46" t="s">
        <v>8027</v>
      </c>
      <c r="F12013" s="46" t="s">
        <v>2973</v>
      </c>
      <c r="G12013" s="46">
        <v>3.61732055015E11</v>
      </c>
      <c r="H12013" s="46" t="s">
        <v>2974</v>
      </c>
      <c r="I12013" s="46" t="s">
        <v>2975</v>
      </c>
      <c r="J12013" s="46" t="s">
        <v>2268</v>
      </c>
      <c r="K12013" s="46" t="s">
        <v>63</v>
      </c>
      <c r="L12013" s="45">
        <v>46015.291666666664</v>
      </c>
      <c r="M12013" s="46" t="s">
        <v>123</v>
      </c>
      <c r="N12013" s="45">
        <v>46015.666666666664</v>
      </c>
      <c r="O12013" s="46" t="s">
        <v>123</v>
      </c>
      <c r="P12013" s="46">
        <v>32400.0</v>
      </c>
    </row>
    <row r="12014">
      <c r="A12014" s="40">
        <f t="shared" si="1"/>
        <v>46013</v>
      </c>
      <c r="B12014" s="37" t="str">
        <f t="array" ref="B12014">iferror(xlookup($I12014, 'IMPORT VHC Report'!$E:$E, 'IMPORT VHC Report'!$A:$C), )</f>
        <v/>
      </c>
      <c r="C12014" s="44"/>
      <c r="D12014" s="44"/>
      <c r="E12014" s="46" t="s">
        <v>8028</v>
      </c>
      <c r="F12014" s="46" t="s">
        <v>2973</v>
      </c>
      <c r="G12014" s="46">
        <v>3.61732055015E11</v>
      </c>
      <c r="H12014" s="46" t="s">
        <v>2974</v>
      </c>
      <c r="I12014" s="46" t="s">
        <v>2975</v>
      </c>
      <c r="J12014" s="46" t="s">
        <v>134</v>
      </c>
      <c r="K12014" s="46" t="s">
        <v>126</v>
      </c>
      <c r="L12014" s="45">
        <v>46015.510416666664</v>
      </c>
      <c r="M12014" s="46" t="s">
        <v>123</v>
      </c>
      <c r="N12014" s="45">
        <v>46015.53125</v>
      </c>
      <c r="O12014" s="46" t="s">
        <v>123</v>
      </c>
      <c r="P12014" s="46">
        <v>1800.0</v>
      </c>
    </row>
    <row r="12015">
      <c r="A12015" s="40">
        <f t="shared" si="1"/>
        <v>46013</v>
      </c>
      <c r="B12015" s="37" t="str">
        <f t="array" ref="B12015">iferror(xlookup($I12015, 'IMPORT VHC Report'!$E:$E, 'IMPORT VHC Report'!$A:$C), )</f>
        <v/>
      </c>
      <c r="C12015" s="44"/>
      <c r="D12015" s="44"/>
      <c r="E12015" s="46" t="s">
        <v>8029</v>
      </c>
      <c r="F12015" s="46" t="s">
        <v>2973</v>
      </c>
      <c r="G12015" s="46">
        <v>3.61732055015E11</v>
      </c>
      <c r="H12015" s="46" t="s">
        <v>2974</v>
      </c>
      <c r="I12015" s="46" t="s">
        <v>2975</v>
      </c>
      <c r="J12015" s="46" t="s">
        <v>132</v>
      </c>
      <c r="K12015" s="46" t="s">
        <v>126</v>
      </c>
      <c r="L12015" s="45">
        <v>46015.583333333336</v>
      </c>
      <c r="M12015" s="46" t="s">
        <v>123</v>
      </c>
      <c r="N12015" s="45">
        <v>46015.625</v>
      </c>
      <c r="O12015" s="46" t="s">
        <v>123</v>
      </c>
      <c r="P12015" s="46">
        <v>3600.0</v>
      </c>
    </row>
    <row r="12016">
      <c r="A12016" s="40">
        <f t="shared" si="1"/>
        <v>46013</v>
      </c>
      <c r="B12016" s="37" t="str">
        <f t="array" ref="B12016">iferror(xlookup($I12016, 'IMPORT VHC Report'!$E:$E, 'IMPORT VHC Report'!$A:$C), )</f>
        <v/>
      </c>
      <c r="C12016" s="44"/>
      <c r="D12016" s="44"/>
      <c r="E12016" s="46" t="s">
        <v>8030</v>
      </c>
      <c r="F12016" s="46" t="s">
        <v>2973</v>
      </c>
      <c r="G12016" s="46">
        <v>3.61732055015E11</v>
      </c>
      <c r="H12016" s="46" t="s">
        <v>2974</v>
      </c>
      <c r="I12016" s="46" t="s">
        <v>2975</v>
      </c>
      <c r="J12016" s="46" t="s">
        <v>152</v>
      </c>
      <c r="K12016" s="46" t="s">
        <v>153</v>
      </c>
      <c r="L12016" s="45">
        <v>46016.291666666664</v>
      </c>
      <c r="M12016" s="46" t="s">
        <v>123</v>
      </c>
      <c r="N12016" s="45">
        <v>46016.666666666664</v>
      </c>
      <c r="O12016" s="46" t="s">
        <v>123</v>
      </c>
      <c r="P12016" s="46">
        <v>32400.0</v>
      </c>
      <c r="Q12016" s="46">
        <v>32400.0</v>
      </c>
    </row>
    <row r="12017">
      <c r="A12017" s="40">
        <f t="shared" si="1"/>
        <v>46013</v>
      </c>
      <c r="B12017" s="37" t="str">
        <f t="array" ref="B12017">iferror(xlookup($I12017, 'IMPORT VHC Report'!$E:$E, 'IMPORT VHC Report'!$A:$C), )</f>
        <v/>
      </c>
      <c r="C12017" s="44"/>
      <c r="D12017" s="44"/>
      <c r="E12017" s="46" t="s">
        <v>8031</v>
      </c>
      <c r="F12017" s="46" t="s">
        <v>2973</v>
      </c>
      <c r="G12017" s="46">
        <v>3.61732055015E11</v>
      </c>
      <c r="H12017" s="46" t="s">
        <v>2974</v>
      </c>
      <c r="I12017" s="46" t="s">
        <v>2975</v>
      </c>
      <c r="J12017" s="46" t="s">
        <v>132</v>
      </c>
      <c r="K12017" s="46" t="s">
        <v>126</v>
      </c>
      <c r="L12017" s="45">
        <v>46016.375</v>
      </c>
      <c r="M12017" s="46" t="s">
        <v>123</v>
      </c>
      <c r="N12017" s="45">
        <v>46016.416666666664</v>
      </c>
      <c r="O12017" s="46" t="s">
        <v>123</v>
      </c>
      <c r="P12017" s="46">
        <v>3600.0</v>
      </c>
    </row>
    <row r="12018">
      <c r="A12018" s="40">
        <f t="shared" si="1"/>
        <v>46013</v>
      </c>
      <c r="B12018" s="37" t="str">
        <f t="array" ref="B12018">iferror(xlookup($I12018, 'IMPORT VHC Report'!$E:$E, 'IMPORT VHC Report'!$A:$C), )</f>
        <v/>
      </c>
      <c r="C12018" s="44"/>
      <c r="D12018" s="44"/>
      <c r="E12018" s="46" t="s">
        <v>8032</v>
      </c>
      <c r="F12018" s="46" t="s">
        <v>2973</v>
      </c>
      <c r="G12018" s="46">
        <v>3.61732055015E11</v>
      </c>
      <c r="H12018" s="46" t="s">
        <v>2974</v>
      </c>
      <c r="I12018" s="46" t="s">
        <v>2975</v>
      </c>
      <c r="J12018" s="46" t="s">
        <v>134</v>
      </c>
      <c r="K12018" s="46" t="s">
        <v>126</v>
      </c>
      <c r="L12018" s="45">
        <v>46016.541666666664</v>
      </c>
      <c r="M12018" s="46" t="s">
        <v>123</v>
      </c>
      <c r="N12018" s="45">
        <v>46016.5625</v>
      </c>
      <c r="O12018" s="46" t="s">
        <v>123</v>
      </c>
      <c r="P12018" s="46">
        <v>1800.0</v>
      </c>
    </row>
    <row r="12019">
      <c r="A12019" s="40">
        <f t="shared" si="1"/>
        <v>46013</v>
      </c>
      <c r="B12019" s="37" t="str">
        <f t="array" ref="B12019">iferror(xlookup($I12019, 'IMPORT VHC Report'!$E:$E, 'IMPORT VHC Report'!$A:$C), )</f>
        <v/>
      </c>
      <c r="C12019" s="44"/>
      <c r="D12019" s="44"/>
      <c r="E12019" s="46" t="s">
        <v>8033</v>
      </c>
      <c r="F12019" s="46" t="s">
        <v>2973</v>
      </c>
      <c r="G12019" s="46">
        <v>3.61732055015E11</v>
      </c>
      <c r="H12019" s="46" t="s">
        <v>2974</v>
      </c>
      <c r="I12019" s="46" t="s">
        <v>2975</v>
      </c>
      <c r="J12019" s="46" t="s">
        <v>2268</v>
      </c>
      <c r="K12019" s="46" t="s">
        <v>63</v>
      </c>
      <c r="L12019" s="45">
        <v>46017.291666666664</v>
      </c>
      <c r="M12019" s="46" t="s">
        <v>123</v>
      </c>
      <c r="N12019" s="45">
        <v>46017.666666666664</v>
      </c>
      <c r="O12019" s="46" t="s">
        <v>123</v>
      </c>
      <c r="P12019" s="46">
        <v>32400.0</v>
      </c>
    </row>
    <row r="12020">
      <c r="A12020" s="40">
        <f t="shared" si="1"/>
        <v>46013</v>
      </c>
      <c r="B12020" s="37" t="str">
        <f t="array" ref="B12020">iferror(xlookup($I12020, 'IMPORT VHC Report'!$E:$E, 'IMPORT VHC Report'!$A:$C), )</f>
        <v/>
      </c>
      <c r="C12020" s="44"/>
      <c r="D12020" s="44"/>
      <c r="E12020" s="46" t="s">
        <v>8034</v>
      </c>
      <c r="F12020" s="46" t="s">
        <v>2973</v>
      </c>
      <c r="G12020" s="46">
        <v>3.61732055015E11</v>
      </c>
      <c r="H12020" s="46" t="s">
        <v>2974</v>
      </c>
      <c r="I12020" s="46" t="s">
        <v>2975</v>
      </c>
      <c r="J12020" s="46" t="s">
        <v>132</v>
      </c>
      <c r="K12020" s="46" t="s">
        <v>126</v>
      </c>
      <c r="L12020" s="45">
        <v>46017.375</v>
      </c>
      <c r="M12020" s="46" t="s">
        <v>123</v>
      </c>
      <c r="N12020" s="45">
        <v>46017.416666666664</v>
      </c>
      <c r="O12020" s="46" t="s">
        <v>123</v>
      </c>
      <c r="P12020" s="46">
        <v>3600.0</v>
      </c>
    </row>
    <row r="12021">
      <c r="A12021" s="40">
        <f t="shared" si="1"/>
        <v>46013</v>
      </c>
      <c r="B12021" s="37" t="str">
        <f t="array" ref="B12021">iferror(xlookup($I12021, 'IMPORT VHC Report'!$E:$E, 'IMPORT VHC Report'!$A:$C), )</f>
        <v/>
      </c>
      <c r="C12021" s="44"/>
      <c r="D12021" s="44"/>
      <c r="E12021" s="46" t="s">
        <v>8035</v>
      </c>
      <c r="F12021" s="46" t="s">
        <v>2973</v>
      </c>
      <c r="G12021" s="46">
        <v>3.61732055015E11</v>
      </c>
      <c r="H12021" s="46" t="s">
        <v>2974</v>
      </c>
      <c r="I12021" s="46" t="s">
        <v>2975</v>
      </c>
      <c r="J12021" s="46" t="s">
        <v>134</v>
      </c>
      <c r="K12021" s="46" t="s">
        <v>126</v>
      </c>
      <c r="L12021" s="45">
        <v>46017.552083333336</v>
      </c>
      <c r="M12021" s="46" t="s">
        <v>123</v>
      </c>
      <c r="N12021" s="45">
        <v>46017.572916666664</v>
      </c>
      <c r="O12021" s="46" t="s">
        <v>123</v>
      </c>
      <c r="P12021" s="46">
        <v>1800.0</v>
      </c>
    </row>
    <row r="12022">
      <c r="A12022" s="40">
        <f t="shared" si="1"/>
        <v>46013</v>
      </c>
      <c r="B12022" s="37" t="str">
        <f t="array" ref="B12022">iferror(xlookup($I12022, 'IMPORT VHC Report'!$E:$E, 'IMPORT VHC Report'!$A:$C), )</f>
        <v/>
      </c>
      <c r="C12022" s="44"/>
      <c r="D12022" s="44"/>
      <c r="E12022" s="46" t="s">
        <v>8036</v>
      </c>
      <c r="F12022" s="46" t="s">
        <v>3504</v>
      </c>
      <c r="G12022" s="46">
        <v>3.61725260596E11</v>
      </c>
      <c r="H12022" s="46" t="s">
        <v>3505</v>
      </c>
      <c r="I12022" s="46" t="s">
        <v>3506</v>
      </c>
      <c r="J12022" s="46" t="s">
        <v>2268</v>
      </c>
      <c r="K12022" s="46" t="s">
        <v>63</v>
      </c>
      <c r="L12022" s="45">
        <v>46013.291666666664</v>
      </c>
      <c r="M12022" s="46" t="s">
        <v>123</v>
      </c>
      <c r="N12022" s="45">
        <v>46013.666666666664</v>
      </c>
      <c r="O12022" s="46" t="s">
        <v>123</v>
      </c>
      <c r="P12022" s="46">
        <v>32400.0</v>
      </c>
    </row>
    <row r="12023">
      <c r="A12023" s="40">
        <f t="shared" si="1"/>
        <v>46013</v>
      </c>
      <c r="B12023" s="37" t="str">
        <f t="array" ref="B12023">iferror(xlookup($I12023, 'IMPORT VHC Report'!$E:$E, 'IMPORT VHC Report'!$A:$C), )</f>
        <v/>
      </c>
      <c r="C12023" s="44"/>
      <c r="D12023" s="44"/>
      <c r="E12023" s="46" t="s">
        <v>8037</v>
      </c>
      <c r="F12023" s="46" t="s">
        <v>3504</v>
      </c>
      <c r="G12023" s="46">
        <v>3.61725260596E11</v>
      </c>
      <c r="H12023" s="46" t="s">
        <v>3505</v>
      </c>
      <c r="I12023" s="46" t="s">
        <v>3506</v>
      </c>
      <c r="J12023" s="46" t="s">
        <v>136</v>
      </c>
      <c r="K12023" s="46" t="s">
        <v>126</v>
      </c>
      <c r="L12023" s="45">
        <v>46013.3125</v>
      </c>
      <c r="M12023" s="46" t="s">
        <v>123</v>
      </c>
      <c r="N12023" s="45">
        <v>46013.333333333336</v>
      </c>
      <c r="O12023" s="46" t="s">
        <v>123</v>
      </c>
      <c r="P12023" s="46">
        <v>1800.0</v>
      </c>
      <c r="S12023" s="46" t="s">
        <v>2270</v>
      </c>
    </row>
    <row r="12024">
      <c r="A12024" s="40">
        <f t="shared" si="1"/>
        <v>46013</v>
      </c>
      <c r="B12024" s="37" t="str">
        <f t="array" ref="B12024">iferror(xlookup($I12024, 'IMPORT VHC Report'!$E:$E, 'IMPORT VHC Report'!$A:$C), )</f>
        <v/>
      </c>
      <c r="C12024" s="44"/>
      <c r="D12024" s="44"/>
      <c r="E12024" s="46" t="s">
        <v>8038</v>
      </c>
      <c r="F12024" s="46" t="s">
        <v>3504</v>
      </c>
      <c r="G12024" s="46">
        <v>3.61725260596E11</v>
      </c>
      <c r="H12024" s="46" t="s">
        <v>3505</v>
      </c>
      <c r="I12024" s="46" t="s">
        <v>3506</v>
      </c>
      <c r="J12024" s="46" t="s">
        <v>132</v>
      </c>
      <c r="K12024" s="46" t="s">
        <v>126</v>
      </c>
      <c r="L12024" s="45">
        <v>46013.416666666664</v>
      </c>
      <c r="M12024" s="46" t="s">
        <v>123</v>
      </c>
      <c r="N12024" s="45">
        <v>46013.458333333336</v>
      </c>
      <c r="O12024" s="46" t="s">
        <v>123</v>
      </c>
      <c r="P12024" s="46">
        <v>3600.0</v>
      </c>
    </row>
    <row r="12025">
      <c r="A12025" s="40">
        <f t="shared" si="1"/>
        <v>46013</v>
      </c>
      <c r="B12025" s="37" t="str">
        <f t="array" ref="B12025">iferror(xlookup($I12025, 'IMPORT VHC Report'!$E:$E, 'IMPORT VHC Report'!$A:$C), )</f>
        <v/>
      </c>
      <c r="C12025" s="44"/>
      <c r="D12025" s="44"/>
      <c r="E12025" s="46" t="s">
        <v>8039</v>
      </c>
      <c r="F12025" s="46" t="s">
        <v>3504</v>
      </c>
      <c r="G12025" s="46">
        <v>3.61725260596E11</v>
      </c>
      <c r="H12025" s="46" t="s">
        <v>3505</v>
      </c>
      <c r="I12025" s="46" t="s">
        <v>3506</v>
      </c>
      <c r="J12025" s="46" t="s">
        <v>134</v>
      </c>
      <c r="K12025" s="46" t="s">
        <v>126</v>
      </c>
      <c r="L12025" s="45">
        <v>46013.5625</v>
      </c>
      <c r="M12025" s="46" t="s">
        <v>123</v>
      </c>
      <c r="N12025" s="45">
        <v>46013.583333333336</v>
      </c>
      <c r="O12025" s="46" t="s">
        <v>123</v>
      </c>
      <c r="P12025" s="46">
        <v>1800.0</v>
      </c>
    </row>
    <row r="12026">
      <c r="A12026" s="40">
        <f t="shared" si="1"/>
        <v>46013</v>
      </c>
      <c r="B12026" s="37" t="str">
        <f t="array" ref="B12026">iferror(xlookup($I12026, 'IMPORT VHC Report'!$E:$E, 'IMPORT VHC Report'!$A:$C), )</f>
        <v/>
      </c>
      <c r="C12026" s="44"/>
      <c r="D12026" s="44"/>
      <c r="E12026" s="46" t="s">
        <v>8040</v>
      </c>
      <c r="F12026" s="46" t="s">
        <v>3504</v>
      </c>
      <c r="G12026" s="46">
        <v>3.61725260596E11</v>
      </c>
      <c r="H12026" s="46" t="s">
        <v>3505</v>
      </c>
      <c r="I12026" s="46" t="s">
        <v>3506</v>
      </c>
      <c r="J12026" s="46" t="s">
        <v>2268</v>
      </c>
      <c r="K12026" s="46" t="s">
        <v>63</v>
      </c>
      <c r="L12026" s="45">
        <v>46014.291666666664</v>
      </c>
      <c r="M12026" s="46" t="s">
        <v>123</v>
      </c>
      <c r="N12026" s="45">
        <v>46014.666666666664</v>
      </c>
      <c r="O12026" s="46" t="s">
        <v>123</v>
      </c>
      <c r="P12026" s="46">
        <v>32400.0</v>
      </c>
    </row>
    <row r="12027">
      <c r="A12027" s="40">
        <f t="shared" si="1"/>
        <v>46013</v>
      </c>
      <c r="B12027" s="37" t="str">
        <f t="array" ref="B12027">iferror(xlookup($I12027, 'IMPORT VHC Report'!$E:$E, 'IMPORT VHC Report'!$A:$C), )</f>
        <v/>
      </c>
      <c r="C12027" s="44"/>
      <c r="D12027" s="44"/>
      <c r="E12027" s="46" t="s">
        <v>8041</v>
      </c>
      <c r="F12027" s="46" t="s">
        <v>3504</v>
      </c>
      <c r="G12027" s="46">
        <v>3.61725260596E11</v>
      </c>
      <c r="H12027" s="46" t="s">
        <v>3505</v>
      </c>
      <c r="I12027" s="46" t="s">
        <v>3506</v>
      </c>
      <c r="J12027" s="46" t="s">
        <v>136</v>
      </c>
      <c r="K12027" s="46" t="s">
        <v>126</v>
      </c>
      <c r="L12027" s="45">
        <v>46014.3125</v>
      </c>
      <c r="M12027" s="46" t="s">
        <v>123</v>
      </c>
      <c r="N12027" s="45">
        <v>46014.34375</v>
      </c>
      <c r="O12027" s="46" t="s">
        <v>123</v>
      </c>
      <c r="P12027" s="46">
        <v>2700.0</v>
      </c>
      <c r="S12027" s="46" t="s">
        <v>8022</v>
      </c>
    </row>
    <row r="12028">
      <c r="A12028" s="40">
        <f t="shared" si="1"/>
        <v>46013</v>
      </c>
      <c r="B12028" s="37" t="str">
        <f t="array" ref="B12028">iferror(xlookup($I12028, 'IMPORT VHC Report'!$E:$E, 'IMPORT VHC Report'!$A:$C), )</f>
        <v/>
      </c>
      <c r="C12028" s="44"/>
      <c r="D12028" s="44"/>
      <c r="E12028" s="46" t="s">
        <v>8042</v>
      </c>
      <c r="F12028" s="46" t="s">
        <v>3504</v>
      </c>
      <c r="G12028" s="46">
        <v>3.61725260596E11</v>
      </c>
      <c r="H12028" s="46" t="s">
        <v>3505</v>
      </c>
      <c r="I12028" s="46" t="s">
        <v>3506</v>
      </c>
      <c r="J12028" s="46" t="s">
        <v>134</v>
      </c>
      <c r="K12028" s="46" t="s">
        <v>126</v>
      </c>
      <c r="L12028" s="45">
        <v>46014.5</v>
      </c>
      <c r="M12028" s="46" t="s">
        <v>123</v>
      </c>
      <c r="N12028" s="45">
        <v>46014.520833333336</v>
      </c>
      <c r="O12028" s="46" t="s">
        <v>123</v>
      </c>
      <c r="P12028" s="46">
        <v>1800.0</v>
      </c>
    </row>
    <row r="12029">
      <c r="A12029" s="40">
        <f t="shared" si="1"/>
        <v>46013</v>
      </c>
      <c r="B12029" s="37" t="str">
        <f t="array" ref="B12029">iferror(xlookup($I12029, 'IMPORT VHC Report'!$E:$E, 'IMPORT VHC Report'!$A:$C), )</f>
        <v/>
      </c>
      <c r="C12029" s="44"/>
      <c r="D12029" s="44"/>
      <c r="E12029" s="46" t="s">
        <v>8043</v>
      </c>
      <c r="F12029" s="46" t="s">
        <v>3504</v>
      </c>
      <c r="G12029" s="46">
        <v>3.61725260596E11</v>
      </c>
      <c r="H12029" s="46" t="s">
        <v>3505</v>
      </c>
      <c r="I12029" s="46" t="s">
        <v>3506</v>
      </c>
      <c r="J12029" s="46" t="s">
        <v>136</v>
      </c>
      <c r="K12029" s="46" t="s">
        <v>126</v>
      </c>
      <c r="L12029" s="45">
        <v>46014.520833333336</v>
      </c>
      <c r="M12029" s="46" t="s">
        <v>123</v>
      </c>
      <c r="N12029" s="45">
        <v>46014.53125</v>
      </c>
      <c r="O12029" s="46" t="s">
        <v>123</v>
      </c>
      <c r="P12029" s="46">
        <v>900.0</v>
      </c>
      <c r="S12029" s="46" t="s">
        <v>8044</v>
      </c>
    </row>
    <row r="12030">
      <c r="A12030" s="40">
        <f t="shared" si="1"/>
        <v>46013</v>
      </c>
      <c r="B12030" s="37" t="str">
        <f t="array" ref="B12030">iferror(xlookup($I12030, 'IMPORT VHC Report'!$E:$E, 'IMPORT VHC Report'!$A:$C), )</f>
        <v/>
      </c>
      <c r="C12030" s="44"/>
      <c r="D12030" s="44"/>
      <c r="E12030" s="46" t="s">
        <v>8045</v>
      </c>
      <c r="F12030" s="46" t="s">
        <v>3504</v>
      </c>
      <c r="G12030" s="46">
        <v>3.61725260596E11</v>
      </c>
      <c r="H12030" s="46" t="s">
        <v>3505</v>
      </c>
      <c r="I12030" s="46" t="s">
        <v>3506</v>
      </c>
      <c r="J12030" s="46" t="s">
        <v>4</v>
      </c>
      <c r="K12030" s="46" t="s">
        <v>126</v>
      </c>
      <c r="L12030" s="45">
        <v>46014.583333333336</v>
      </c>
      <c r="M12030" s="46" t="s">
        <v>123</v>
      </c>
      <c r="N12030" s="45">
        <v>46014.625</v>
      </c>
      <c r="O12030" s="46" t="s">
        <v>123</v>
      </c>
      <c r="P12030" s="46">
        <v>3600.0</v>
      </c>
      <c r="S12030" s="46" t="s">
        <v>8046</v>
      </c>
    </row>
    <row r="12031">
      <c r="A12031" s="40">
        <f t="shared" si="1"/>
        <v>46013</v>
      </c>
      <c r="B12031" s="37" t="str">
        <f t="array" ref="B12031">iferror(xlookup($I12031, 'IMPORT VHC Report'!$E:$E, 'IMPORT VHC Report'!$A:$C), )</f>
        <v/>
      </c>
      <c r="C12031" s="44"/>
      <c r="D12031" s="44"/>
      <c r="E12031" s="46" t="s">
        <v>8047</v>
      </c>
      <c r="F12031" s="46" t="s">
        <v>3504</v>
      </c>
      <c r="G12031" s="46">
        <v>3.61725260596E11</v>
      </c>
      <c r="H12031" s="46" t="s">
        <v>3505</v>
      </c>
      <c r="I12031" s="46" t="s">
        <v>3506</v>
      </c>
      <c r="J12031" s="46" t="s">
        <v>132</v>
      </c>
      <c r="K12031" s="46" t="s">
        <v>126</v>
      </c>
      <c r="L12031" s="45">
        <v>46014.625</v>
      </c>
      <c r="M12031" s="46" t="s">
        <v>123</v>
      </c>
      <c r="N12031" s="45">
        <v>46014.666666666664</v>
      </c>
      <c r="O12031" s="46" t="s">
        <v>123</v>
      </c>
      <c r="P12031" s="46">
        <v>3600.0</v>
      </c>
    </row>
    <row r="12032">
      <c r="A12032" s="40">
        <f t="shared" si="1"/>
        <v>46013</v>
      </c>
      <c r="B12032" s="37" t="str">
        <f t="array" ref="B12032">iferror(xlookup($I12032, 'IMPORT VHC Report'!$E:$E, 'IMPORT VHC Report'!$A:$C), )</f>
        <v/>
      </c>
      <c r="C12032" s="44"/>
      <c r="D12032" s="44"/>
      <c r="E12032" s="46" t="s">
        <v>8048</v>
      </c>
      <c r="F12032" s="46" t="s">
        <v>3504</v>
      </c>
      <c r="G12032" s="46">
        <v>3.61725260596E11</v>
      </c>
      <c r="H12032" s="46" t="s">
        <v>3505</v>
      </c>
      <c r="I12032" s="46" t="s">
        <v>3506</v>
      </c>
      <c r="J12032" s="46" t="s">
        <v>4</v>
      </c>
      <c r="K12032" s="46" t="s">
        <v>126</v>
      </c>
      <c r="L12032" s="45">
        <v>46015.291666666664</v>
      </c>
      <c r="M12032" s="46" t="s">
        <v>123</v>
      </c>
      <c r="N12032" s="45">
        <v>46015.4375</v>
      </c>
      <c r="O12032" s="46" t="s">
        <v>123</v>
      </c>
      <c r="P12032" s="46">
        <v>12600.0</v>
      </c>
      <c r="S12032" s="46" t="s">
        <v>458</v>
      </c>
    </row>
    <row r="12033">
      <c r="A12033" s="40">
        <f t="shared" si="1"/>
        <v>46013</v>
      </c>
      <c r="B12033" s="37" t="str">
        <f t="array" ref="B12033">iferror(xlookup($I12033, 'IMPORT VHC Report'!$E:$E, 'IMPORT VHC Report'!$A:$C), )</f>
        <v/>
      </c>
      <c r="C12033" s="44"/>
      <c r="D12033" s="44"/>
      <c r="E12033" s="46" t="s">
        <v>8049</v>
      </c>
      <c r="F12033" s="46" t="s">
        <v>3504</v>
      </c>
      <c r="G12033" s="46">
        <v>3.61725260596E11</v>
      </c>
      <c r="H12033" s="46" t="s">
        <v>3505</v>
      </c>
      <c r="I12033" s="46" t="s">
        <v>3506</v>
      </c>
      <c r="J12033" s="46" t="s">
        <v>2268</v>
      </c>
      <c r="K12033" s="46" t="s">
        <v>63</v>
      </c>
      <c r="L12033" s="45">
        <v>46015.291666666664</v>
      </c>
      <c r="M12033" s="46" t="s">
        <v>123</v>
      </c>
      <c r="N12033" s="45">
        <v>46015.458333333336</v>
      </c>
      <c r="O12033" s="46" t="s">
        <v>123</v>
      </c>
      <c r="P12033" s="46">
        <v>14400.0</v>
      </c>
    </row>
    <row r="12034">
      <c r="A12034" s="40">
        <f t="shared" si="1"/>
        <v>46013</v>
      </c>
      <c r="B12034" s="37" t="str">
        <f t="array" ref="B12034">iferror(xlookup($I12034, 'IMPORT VHC Report'!$E:$E, 'IMPORT VHC Report'!$A:$C), )</f>
        <v/>
      </c>
      <c r="C12034" s="44"/>
      <c r="D12034" s="44"/>
      <c r="E12034" s="46" t="s">
        <v>8050</v>
      </c>
      <c r="F12034" s="46" t="s">
        <v>3504</v>
      </c>
      <c r="G12034" s="46">
        <v>3.61725260596E11</v>
      </c>
      <c r="H12034" s="46" t="s">
        <v>3505</v>
      </c>
      <c r="I12034" s="46" t="s">
        <v>3506</v>
      </c>
      <c r="J12034" s="46" t="s">
        <v>178</v>
      </c>
      <c r="K12034" s="46" t="s">
        <v>153</v>
      </c>
      <c r="L12034" s="45">
        <v>46015.5</v>
      </c>
      <c r="M12034" s="46" t="s">
        <v>123</v>
      </c>
      <c r="N12034" s="45">
        <v>46015.666666666664</v>
      </c>
      <c r="O12034" s="46" t="s">
        <v>123</v>
      </c>
      <c r="P12034" s="46">
        <v>14400.0</v>
      </c>
      <c r="Q12034" s="46">
        <v>14400.0</v>
      </c>
    </row>
    <row r="12035">
      <c r="A12035" s="40">
        <f t="shared" si="1"/>
        <v>46013</v>
      </c>
      <c r="B12035" s="37" t="str">
        <f t="array" ref="B12035">iferror(xlookup($I12035, 'IMPORT VHC Report'!$E:$E, 'IMPORT VHC Report'!$A:$C), )</f>
        <v/>
      </c>
      <c r="C12035" s="44"/>
      <c r="D12035" s="44"/>
      <c r="E12035" s="46" t="s">
        <v>8051</v>
      </c>
      <c r="F12035" s="46" t="s">
        <v>3504</v>
      </c>
      <c r="G12035" s="46">
        <v>3.61725260596E11</v>
      </c>
      <c r="H12035" s="46" t="s">
        <v>3505</v>
      </c>
      <c r="I12035" s="46" t="s">
        <v>3506</v>
      </c>
      <c r="J12035" s="46" t="s">
        <v>178</v>
      </c>
      <c r="K12035" s="46" t="s">
        <v>153</v>
      </c>
      <c r="L12035" s="45">
        <v>46016.291666666664</v>
      </c>
      <c r="M12035" s="46" t="s">
        <v>123</v>
      </c>
      <c r="N12035" s="45">
        <v>46016.666666666664</v>
      </c>
      <c r="O12035" s="46" t="s">
        <v>123</v>
      </c>
      <c r="P12035" s="46">
        <v>32400.0</v>
      </c>
      <c r="Q12035" s="46">
        <v>32400.0</v>
      </c>
    </row>
    <row r="12036">
      <c r="A12036" s="40">
        <f t="shared" si="1"/>
        <v>46013</v>
      </c>
      <c r="B12036" s="37" t="str">
        <f t="array" ref="B12036">iferror(xlookup($I12036, 'IMPORT VHC Report'!$E:$E, 'IMPORT VHC Report'!$A:$C), )</f>
        <v/>
      </c>
      <c r="C12036" s="44"/>
      <c r="D12036" s="44"/>
      <c r="E12036" s="46" t="s">
        <v>8052</v>
      </c>
      <c r="F12036" s="46" t="s">
        <v>3504</v>
      </c>
      <c r="G12036" s="46">
        <v>3.61725260596E11</v>
      </c>
      <c r="H12036" s="46" t="s">
        <v>3505</v>
      </c>
      <c r="I12036" s="46" t="s">
        <v>3506</v>
      </c>
      <c r="J12036" s="46" t="s">
        <v>134</v>
      </c>
      <c r="K12036" s="46" t="s">
        <v>126</v>
      </c>
      <c r="L12036" s="45">
        <v>46016.427083333336</v>
      </c>
      <c r="M12036" s="46" t="s">
        <v>123</v>
      </c>
      <c r="N12036" s="45">
        <v>46016.447916666664</v>
      </c>
      <c r="O12036" s="46" t="s">
        <v>123</v>
      </c>
      <c r="P12036" s="46">
        <v>1800.0</v>
      </c>
    </row>
    <row r="12037">
      <c r="A12037" s="40">
        <f t="shared" si="1"/>
        <v>46013</v>
      </c>
      <c r="B12037" s="37" t="str">
        <f t="array" ref="B12037">iferror(xlookup($I12037, 'IMPORT VHC Report'!$E:$E, 'IMPORT VHC Report'!$A:$C), )</f>
        <v/>
      </c>
      <c r="C12037" s="44"/>
      <c r="D12037" s="44"/>
      <c r="E12037" s="46" t="s">
        <v>8053</v>
      </c>
      <c r="F12037" s="46" t="s">
        <v>3504</v>
      </c>
      <c r="G12037" s="46">
        <v>3.61725260596E11</v>
      </c>
      <c r="H12037" s="46" t="s">
        <v>3505</v>
      </c>
      <c r="I12037" s="46" t="s">
        <v>3506</v>
      </c>
      <c r="J12037" s="46" t="s">
        <v>132</v>
      </c>
      <c r="K12037" s="46" t="s">
        <v>126</v>
      </c>
      <c r="L12037" s="45">
        <v>46016.541666666664</v>
      </c>
      <c r="M12037" s="46" t="s">
        <v>123</v>
      </c>
      <c r="N12037" s="45">
        <v>46016.583333333336</v>
      </c>
      <c r="O12037" s="46" t="s">
        <v>123</v>
      </c>
      <c r="P12037" s="46">
        <v>3600.0</v>
      </c>
    </row>
    <row r="12038">
      <c r="A12038" s="40">
        <f t="shared" si="1"/>
        <v>46013</v>
      </c>
      <c r="B12038" s="37" t="str">
        <f t="array" ref="B12038">iferror(xlookup($I12038, 'IMPORT VHC Report'!$E:$E, 'IMPORT VHC Report'!$A:$C), )</f>
        <v/>
      </c>
      <c r="C12038" s="44"/>
      <c r="D12038" s="44"/>
      <c r="E12038" s="46" t="s">
        <v>8054</v>
      </c>
      <c r="F12038" s="46" t="s">
        <v>3504</v>
      </c>
      <c r="G12038" s="46">
        <v>3.61725260596E11</v>
      </c>
      <c r="H12038" s="46" t="s">
        <v>3505</v>
      </c>
      <c r="I12038" s="46" t="s">
        <v>3506</v>
      </c>
      <c r="J12038" s="46" t="s">
        <v>178</v>
      </c>
      <c r="K12038" s="46" t="s">
        <v>153</v>
      </c>
      <c r="L12038" s="45">
        <v>46019.291666666664</v>
      </c>
      <c r="M12038" s="46" t="s">
        <v>123</v>
      </c>
      <c r="N12038" s="45">
        <v>46019.666666666664</v>
      </c>
      <c r="O12038" s="46" t="s">
        <v>123</v>
      </c>
      <c r="P12038" s="46">
        <v>32400.0</v>
      </c>
      <c r="Q12038" s="46">
        <v>32400.0</v>
      </c>
    </row>
    <row r="12039">
      <c r="A12039" s="40">
        <f t="shared" si="1"/>
        <v>46013</v>
      </c>
      <c r="B12039" s="37" t="str">
        <f t="array" ref="B12039">iferror(xlookup($I12039, 'IMPORT VHC Report'!$E:$E, 'IMPORT VHC Report'!$A:$C), )</f>
        <v/>
      </c>
      <c r="C12039" s="44"/>
      <c r="D12039" s="44"/>
      <c r="E12039" s="46" t="s">
        <v>8055</v>
      </c>
      <c r="F12039" s="46" t="s">
        <v>3058</v>
      </c>
      <c r="G12039" s="46">
        <v>1.0333049788943E13</v>
      </c>
      <c r="H12039" s="46" t="s">
        <v>3059</v>
      </c>
      <c r="I12039" s="46" t="s">
        <v>3060</v>
      </c>
      <c r="J12039" s="46" t="s">
        <v>2268</v>
      </c>
      <c r="K12039" s="46" t="s">
        <v>63</v>
      </c>
      <c r="L12039" s="45">
        <v>46013.291666666664</v>
      </c>
      <c r="M12039" s="46" t="s">
        <v>123</v>
      </c>
      <c r="N12039" s="45">
        <v>46013.666666666664</v>
      </c>
      <c r="O12039" s="46" t="s">
        <v>123</v>
      </c>
      <c r="P12039" s="46">
        <v>32400.0</v>
      </c>
    </row>
    <row r="12040">
      <c r="A12040" s="40">
        <f t="shared" si="1"/>
        <v>46013</v>
      </c>
      <c r="B12040" s="37" t="str">
        <f t="array" ref="B12040">iferror(xlookup($I12040, 'IMPORT VHC Report'!$E:$E, 'IMPORT VHC Report'!$A:$C), )</f>
        <v/>
      </c>
      <c r="C12040" s="44"/>
      <c r="D12040" s="44"/>
      <c r="E12040" s="46" t="s">
        <v>8056</v>
      </c>
      <c r="F12040" s="46" t="s">
        <v>3058</v>
      </c>
      <c r="G12040" s="46">
        <v>1.0333049788943E13</v>
      </c>
      <c r="H12040" s="46" t="s">
        <v>3059</v>
      </c>
      <c r="I12040" s="46" t="s">
        <v>3060</v>
      </c>
      <c r="J12040" s="46" t="s">
        <v>4</v>
      </c>
      <c r="K12040" s="46" t="s">
        <v>126</v>
      </c>
      <c r="L12040" s="45">
        <v>46013.3125</v>
      </c>
      <c r="M12040" s="46" t="s">
        <v>123</v>
      </c>
      <c r="N12040" s="45">
        <v>46013.333333333336</v>
      </c>
      <c r="O12040" s="46" t="s">
        <v>123</v>
      </c>
      <c r="P12040" s="46">
        <v>1800.0</v>
      </c>
      <c r="S12040" s="46" t="s">
        <v>2270</v>
      </c>
    </row>
    <row r="12041">
      <c r="A12041" s="40">
        <f t="shared" si="1"/>
        <v>46013</v>
      </c>
      <c r="B12041" s="37" t="str">
        <f t="array" ref="B12041">iferror(xlookup($I12041, 'IMPORT VHC Report'!$E:$E, 'IMPORT VHC Report'!$A:$C), )</f>
        <v/>
      </c>
      <c r="C12041" s="44"/>
      <c r="D12041" s="44"/>
      <c r="E12041" s="46" t="s">
        <v>8057</v>
      </c>
      <c r="F12041" s="46" t="s">
        <v>3058</v>
      </c>
      <c r="G12041" s="46">
        <v>1.0333049788943E13</v>
      </c>
      <c r="H12041" s="46" t="s">
        <v>3059</v>
      </c>
      <c r="I12041" s="46" t="s">
        <v>3060</v>
      </c>
      <c r="J12041" s="46" t="s">
        <v>134</v>
      </c>
      <c r="K12041" s="46" t="s">
        <v>126</v>
      </c>
      <c r="L12041" s="45">
        <v>46013.395833333336</v>
      </c>
      <c r="M12041" s="46" t="s">
        <v>123</v>
      </c>
      <c r="N12041" s="45">
        <v>46013.416666666664</v>
      </c>
      <c r="O12041" s="46" t="s">
        <v>123</v>
      </c>
      <c r="P12041" s="46">
        <v>1800.0</v>
      </c>
    </row>
    <row r="12042">
      <c r="A12042" s="40">
        <f t="shared" si="1"/>
        <v>46013</v>
      </c>
      <c r="B12042" s="37" t="str">
        <f t="array" ref="B12042">iferror(xlookup($I12042, 'IMPORT VHC Report'!$E:$E, 'IMPORT VHC Report'!$A:$C), )</f>
        <v/>
      </c>
      <c r="C12042" s="44"/>
      <c r="D12042" s="44"/>
      <c r="E12042" s="46" t="s">
        <v>8058</v>
      </c>
      <c r="F12042" s="46" t="s">
        <v>3058</v>
      </c>
      <c r="G12042" s="46">
        <v>1.0333049788943E13</v>
      </c>
      <c r="H12042" s="46" t="s">
        <v>3059</v>
      </c>
      <c r="I12042" s="46" t="s">
        <v>3060</v>
      </c>
      <c r="J12042" s="46" t="s">
        <v>132</v>
      </c>
      <c r="K12042" s="46" t="s">
        <v>126</v>
      </c>
      <c r="L12042" s="45">
        <v>46013.520833333336</v>
      </c>
      <c r="M12042" s="46" t="s">
        <v>123</v>
      </c>
      <c r="N12042" s="45">
        <v>46013.5625</v>
      </c>
      <c r="O12042" s="46" t="s">
        <v>123</v>
      </c>
      <c r="P12042" s="46">
        <v>3600.0</v>
      </c>
    </row>
    <row r="12043">
      <c r="A12043" s="40">
        <f t="shared" si="1"/>
        <v>46013</v>
      </c>
      <c r="B12043" s="37" t="str">
        <f t="array" ref="B12043">iferror(xlookup($I12043, 'IMPORT VHC Report'!$E:$E, 'IMPORT VHC Report'!$A:$C), )</f>
        <v/>
      </c>
      <c r="C12043" s="44"/>
      <c r="D12043" s="44"/>
      <c r="E12043" s="46" t="s">
        <v>8059</v>
      </c>
      <c r="F12043" s="46" t="s">
        <v>3058</v>
      </c>
      <c r="G12043" s="46">
        <v>1.0333049788943E13</v>
      </c>
      <c r="H12043" s="46" t="s">
        <v>3059</v>
      </c>
      <c r="I12043" s="46" t="s">
        <v>3060</v>
      </c>
      <c r="J12043" s="46" t="s">
        <v>2268</v>
      </c>
      <c r="K12043" s="46" t="s">
        <v>63</v>
      </c>
      <c r="L12043" s="45">
        <v>46014.291666666664</v>
      </c>
      <c r="M12043" s="46" t="s">
        <v>123</v>
      </c>
      <c r="N12043" s="45">
        <v>46014.666666666664</v>
      </c>
      <c r="O12043" s="46" t="s">
        <v>123</v>
      </c>
      <c r="P12043" s="46">
        <v>32400.0</v>
      </c>
    </row>
    <row r="12044">
      <c r="A12044" s="40">
        <f t="shared" si="1"/>
        <v>46013</v>
      </c>
      <c r="B12044" s="37" t="str">
        <f t="array" ref="B12044">iferror(xlookup($I12044, 'IMPORT VHC Report'!$E:$E, 'IMPORT VHC Report'!$A:$C), )</f>
        <v/>
      </c>
      <c r="C12044" s="44"/>
      <c r="D12044" s="44"/>
      <c r="E12044" s="46" t="s">
        <v>8060</v>
      </c>
      <c r="F12044" s="46" t="s">
        <v>3058</v>
      </c>
      <c r="G12044" s="46">
        <v>1.0333049788943E13</v>
      </c>
      <c r="H12044" s="46" t="s">
        <v>3059</v>
      </c>
      <c r="I12044" s="46" t="s">
        <v>3060</v>
      </c>
      <c r="J12044" s="46" t="s">
        <v>136</v>
      </c>
      <c r="K12044" s="46" t="s">
        <v>126</v>
      </c>
      <c r="L12044" s="45">
        <v>46014.3125</v>
      </c>
      <c r="M12044" s="46" t="s">
        <v>123</v>
      </c>
      <c r="N12044" s="45">
        <v>46014.34375</v>
      </c>
      <c r="O12044" s="46" t="s">
        <v>123</v>
      </c>
      <c r="P12044" s="46">
        <v>2700.0</v>
      </c>
      <c r="S12044" s="46" t="s">
        <v>8061</v>
      </c>
    </row>
    <row r="12045">
      <c r="A12045" s="40">
        <f t="shared" si="1"/>
        <v>46013</v>
      </c>
      <c r="B12045" s="37" t="str">
        <f t="array" ref="B12045">iferror(xlookup($I12045, 'IMPORT VHC Report'!$E:$E, 'IMPORT VHC Report'!$A:$C), )</f>
        <v/>
      </c>
      <c r="C12045" s="44"/>
      <c r="D12045" s="44"/>
      <c r="E12045" s="46" t="s">
        <v>8062</v>
      </c>
      <c r="F12045" s="46" t="s">
        <v>3058</v>
      </c>
      <c r="G12045" s="46">
        <v>1.0333049788943E13</v>
      </c>
      <c r="H12045" s="46" t="s">
        <v>3059</v>
      </c>
      <c r="I12045" s="46" t="s">
        <v>3060</v>
      </c>
      <c r="J12045" s="46" t="s">
        <v>134</v>
      </c>
      <c r="K12045" s="46" t="s">
        <v>126</v>
      </c>
      <c r="L12045" s="45">
        <v>46014.416666666664</v>
      </c>
      <c r="M12045" s="46" t="s">
        <v>123</v>
      </c>
      <c r="N12045" s="45">
        <v>46014.4375</v>
      </c>
      <c r="O12045" s="46" t="s">
        <v>123</v>
      </c>
      <c r="P12045" s="46">
        <v>1800.0</v>
      </c>
    </row>
    <row r="12046">
      <c r="A12046" s="40">
        <f t="shared" si="1"/>
        <v>46013</v>
      </c>
      <c r="B12046" s="37" t="str">
        <f t="array" ref="B12046">iferror(xlookup($I12046, 'IMPORT VHC Report'!$E:$E, 'IMPORT VHC Report'!$A:$C), )</f>
        <v/>
      </c>
      <c r="C12046" s="44"/>
      <c r="D12046" s="44"/>
      <c r="E12046" s="46" t="s">
        <v>8063</v>
      </c>
      <c r="F12046" s="46" t="s">
        <v>3058</v>
      </c>
      <c r="G12046" s="46">
        <v>1.0333049788943E13</v>
      </c>
      <c r="H12046" s="46" t="s">
        <v>3059</v>
      </c>
      <c r="I12046" s="46" t="s">
        <v>3060</v>
      </c>
      <c r="J12046" s="46" t="s">
        <v>136</v>
      </c>
      <c r="K12046" s="46" t="s">
        <v>126</v>
      </c>
      <c r="L12046" s="45">
        <v>46014.520833333336</v>
      </c>
      <c r="M12046" s="46" t="s">
        <v>123</v>
      </c>
      <c r="N12046" s="45">
        <v>46014.53125</v>
      </c>
      <c r="O12046" s="46" t="s">
        <v>123</v>
      </c>
      <c r="P12046" s="46">
        <v>900.0</v>
      </c>
      <c r="S12046" s="46" t="s">
        <v>8064</v>
      </c>
    </row>
    <row r="12047">
      <c r="A12047" s="40">
        <f t="shared" si="1"/>
        <v>46013</v>
      </c>
      <c r="B12047" s="37" t="str">
        <f t="array" ref="B12047">iferror(xlookup($I12047, 'IMPORT VHC Report'!$E:$E, 'IMPORT VHC Report'!$A:$C), )</f>
        <v/>
      </c>
      <c r="C12047" s="44"/>
      <c r="D12047" s="44"/>
      <c r="E12047" s="46" t="s">
        <v>8065</v>
      </c>
      <c r="F12047" s="46" t="s">
        <v>3058</v>
      </c>
      <c r="G12047" s="46">
        <v>1.0333049788943E13</v>
      </c>
      <c r="H12047" s="46" t="s">
        <v>3059</v>
      </c>
      <c r="I12047" s="46" t="s">
        <v>3060</v>
      </c>
      <c r="J12047" s="46" t="s">
        <v>132</v>
      </c>
      <c r="K12047" s="46" t="s">
        <v>126</v>
      </c>
      <c r="L12047" s="45">
        <v>46014.541666666664</v>
      </c>
      <c r="M12047" s="46" t="s">
        <v>123</v>
      </c>
      <c r="N12047" s="45">
        <v>46014.583333333336</v>
      </c>
      <c r="O12047" s="46" t="s">
        <v>123</v>
      </c>
      <c r="P12047" s="46">
        <v>3600.0</v>
      </c>
    </row>
    <row r="12048">
      <c r="A12048" s="40">
        <f t="shared" si="1"/>
        <v>46013</v>
      </c>
      <c r="B12048" s="37" t="str">
        <f t="array" ref="B12048">iferror(xlookup($I12048, 'IMPORT VHC Report'!$E:$E, 'IMPORT VHC Report'!$A:$C), )</f>
        <v/>
      </c>
      <c r="C12048" s="44"/>
      <c r="D12048" s="44"/>
      <c r="E12048" s="46" t="s">
        <v>8066</v>
      </c>
      <c r="F12048" s="46" t="s">
        <v>3058</v>
      </c>
      <c r="G12048" s="46">
        <v>1.0333049788943E13</v>
      </c>
      <c r="H12048" s="46" t="s">
        <v>3059</v>
      </c>
      <c r="I12048" s="46" t="s">
        <v>3060</v>
      </c>
      <c r="J12048" s="46" t="s">
        <v>2268</v>
      </c>
      <c r="K12048" s="46" t="s">
        <v>63</v>
      </c>
      <c r="L12048" s="45">
        <v>46015.291666666664</v>
      </c>
      <c r="M12048" s="46" t="s">
        <v>123</v>
      </c>
      <c r="N12048" s="45">
        <v>46015.666666666664</v>
      </c>
      <c r="O12048" s="46" t="s">
        <v>123</v>
      </c>
      <c r="P12048" s="46">
        <v>32400.0</v>
      </c>
    </row>
    <row r="12049">
      <c r="A12049" s="40">
        <f t="shared" si="1"/>
        <v>46013</v>
      </c>
      <c r="B12049" s="37" t="str">
        <f t="array" ref="B12049">iferror(xlookup($I12049, 'IMPORT VHC Report'!$E:$E, 'IMPORT VHC Report'!$A:$C), )</f>
        <v/>
      </c>
      <c r="C12049" s="44"/>
      <c r="D12049" s="44"/>
      <c r="E12049" s="46" t="s">
        <v>8067</v>
      </c>
      <c r="F12049" s="46" t="s">
        <v>3058</v>
      </c>
      <c r="G12049" s="46">
        <v>1.0333049788943E13</v>
      </c>
      <c r="H12049" s="46" t="s">
        <v>3059</v>
      </c>
      <c r="I12049" s="46" t="s">
        <v>3060</v>
      </c>
      <c r="J12049" s="46" t="s">
        <v>134</v>
      </c>
      <c r="K12049" s="46" t="s">
        <v>126</v>
      </c>
      <c r="L12049" s="45">
        <v>46015.416666666664</v>
      </c>
      <c r="M12049" s="46" t="s">
        <v>123</v>
      </c>
      <c r="N12049" s="45">
        <v>46015.4375</v>
      </c>
      <c r="O12049" s="46" t="s">
        <v>123</v>
      </c>
      <c r="P12049" s="46">
        <v>1800.0</v>
      </c>
    </row>
    <row r="12050">
      <c r="A12050" s="40">
        <f t="shared" si="1"/>
        <v>46013</v>
      </c>
      <c r="B12050" s="37" t="str">
        <f t="array" ref="B12050">iferror(xlookup($I12050, 'IMPORT VHC Report'!$E:$E, 'IMPORT VHC Report'!$A:$C), )</f>
        <v/>
      </c>
      <c r="C12050" s="44"/>
      <c r="D12050" s="44"/>
      <c r="E12050" s="46" t="s">
        <v>8068</v>
      </c>
      <c r="F12050" s="46" t="s">
        <v>3058</v>
      </c>
      <c r="G12050" s="46">
        <v>1.0333049788943E13</v>
      </c>
      <c r="H12050" s="46" t="s">
        <v>3059</v>
      </c>
      <c r="I12050" s="46" t="s">
        <v>3060</v>
      </c>
      <c r="J12050" s="46" t="s">
        <v>132</v>
      </c>
      <c r="K12050" s="46" t="s">
        <v>126</v>
      </c>
      <c r="L12050" s="45">
        <v>46015.541666666664</v>
      </c>
      <c r="M12050" s="46" t="s">
        <v>123</v>
      </c>
      <c r="N12050" s="45">
        <v>46015.583333333336</v>
      </c>
      <c r="O12050" s="46" t="s">
        <v>123</v>
      </c>
      <c r="P12050" s="46">
        <v>3600.0</v>
      </c>
    </row>
    <row r="12051">
      <c r="A12051" s="40">
        <f t="shared" si="1"/>
        <v>46013</v>
      </c>
      <c r="B12051" s="37" t="str">
        <f t="array" ref="B12051">iferror(xlookup($I12051, 'IMPORT VHC Report'!$E:$E, 'IMPORT VHC Report'!$A:$C), )</f>
        <v/>
      </c>
      <c r="C12051" s="44"/>
      <c r="D12051" s="44"/>
      <c r="E12051" s="46" t="s">
        <v>8069</v>
      </c>
      <c r="F12051" s="46" t="s">
        <v>3058</v>
      </c>
      <c r="G12051" s="46">
        <v>1.0333049788943E13</v>
      </c>
      <c r="H12051" s="46" t="s">
        <v>3059</v>
      </c>
      <c r="I12051" s="46" t="s">
        <v>3060</v>
      </c>
      <c r="J12051" s="46" t="s">
        <v>2268</v>
      </c>
      <c r="K12051" s="46" t="s">
        <v>63</v>
      </c>
      <c r="L12051" s="45">
        <v>46016.291666666664</v>
      </c>
      <c r="M12051" s="46" t="s">
        <v>123</v>
      </c>
      <c r="N12051" s="45">
        <v>46016.666666666664</v>
      </c>
      <c r="O12051" s="46" t="s">
        <v>123</v>
      </c>
      <c r="P12051" s="46">
        <v>32400.0</v>
      </c>
    </row>
    <row r="12052">
      <c r="A12052" s="40">
        <f t="shared" si="1"/>
        <v>46013</v>
      </c>
      <c r="B12052" s="37" t="str">
        <f t="array" ref="B12052">iferror(xlookup($I12052, 'IMPORT VHC Report'!$E:$E, 'IMPORT VHC Report'!$A:$C), )</f>
        <v/>
      </c>
      <c r="C12052" s="44"/>
      <c r="D12052" s="44"/>
      <c r="E12052" s="46" t="s">
        <v>8070</v>
      </c>
      <c r="F12052" s="46" t="s">
        <v>3058</v>
      </c>
      <c r="G12052" s="46">
        <v>1.0333049788943E13</v>
      </c>
      <c r="H12052" s="46" t="s">
        <v>3059</v>
      </c>
      <c r="I12052" s="46" t="s">
        <v>3060</v>
      </c>
      <c r="J12052" s="46" t="s">
        <v>134</v>
      </c>
      <c r="K12052" s="46" t="s">
        <v>126</v>
      </c>
      <c r="L12052" s="45">
        <v>46016.416666666664</v>
      </c>
      <c r="M12052" s="46" t="s">
        <v>123</v>
      </c>
      <c r="N12052" s="45">
        <v>46016.4375</v>
      </c>
      <c r="O12052" s="46" t="s">
        <v>123</v>
      </c>
      <c r="P12052" s="46">
        <v>1800.0</v>
      </c>
    </row>
    <row r="12053">
      <c r="A12053" s="40">
        <f t="shared" si="1"/>
        <v>46013</v>
      </c>
      <c r="B12053" s="37" t="str">
        <f t="array" ref="B12053">iferror(xlookup($I12053, 'IMPORT VHC Report'!$E:$E, 'IMPORT VHC Report'!$A:$C), )</f>
        <v/>
      </c>
      <c r="C12053" s="44"/>
      <c r="D12053" s="44"/>
      <c r="E12053" s="46" t="s">
        <v>8071</v>
      </c>
      <c r="F12053" s="46" t="s">
        <v>3058</v>
      </c>
      <c r="G12053" s="46">
        <v>1.0333049788943E13</v>
      </c>
      <c r="H12053" s="46" t="s">
        <v>3059</v>
      </c>
      <c r="I12053" s="46" t="s">
        <v>3060</v>
      </c>
      <c r="J12053" s="46" t="s">
        <v>132</v>
      </c>
      <c r="K12053" s="46" t="s">
        <v>126</v>
      </c>
      <c r="L12053" s="45">
        <v>46016.541666666664</v>
      </c>
      <c r="M12053" s="46" t="s">
        <v>123</v>
      </c>
      <c r="N12053" s="45">
        <v>46016.583333333336</v>
      </c>
      <c r="O12053" s="46" t="s">
        <v>123</v>
      </c>
      <c r="P12053" s="46">
        <v>3600.0</v>
      </c>
    </row>
    <row r="12054">
      <c r="A12054" s="40">
        <f t="shared" si="1"/>
        <v>46013</v>
      </c>
      <c r="B12054" s="37" t="str">
        <f t="array" ref="B12054">iferror(xlookup($I12054, 'IMPORT VHC Report'!$E:$E, 'IMPORT VHC Report'!$A:$C), )</f>
        <v/>
      </c>
      <c r="C12054" s="44"/>
      <c r="D12054" s="44"/>
      <c r="E12054" s="46" t="s">
        <v>8072</v>
      </c>
      <c r="F12054" s="46" t="s">
        <v>3058</v>
      </c>
      <c r="G12054" s="46">
        <v>1.0333049788943E13</v>
      </c>
      <c r="H12054" s="46" t="s">
        <v>3059</v>
      </c>
      <c r="I12054" s="46" t="s">
        <v>3060</v>
      </c>
      <c r="J12054" s="46" t="s">
        <v>2268</v>
      </c>
      <c r="K12054" s="46" t="s">
        <v>63</v>
      </c>
      <c r="L12054" s="45">
        <v>46017.291666666664</v>
      </c>
      <c r="M12054" s="46" t="s">
        <v>123</v>
      </c>
      <c r="N12054" s="45">
        <v>46017.666666666664</v>
      </c>
      <c r="O12054" s="46" t="s">
        <v>123</v>
      </c>
      <c r="P12054" s="46">
        <v>32400.0</v>
      </c>
    </row>
    <row r="12055">
      <c r="A12055" s="40">
        <f t="shared" si="1"/>
        <v>46013</v>
      </c>
      <c r="B12055" s="37" t="str">
        <f t="array" ref="B12055">iferror(xlookup($I12055, 'IMPORT VHC Report'!$E:$E, 'IMPORT VHC Report'!$A:$C), )</f>
        <v/>
      </c>
      <c r="C12055" s="44"/>
      <c r="D12055" s="44"/>
      <c r="E12055" s="46" t="s">
        <v>8073</v>
      </c>
      <c r="F12055" s="46" t="s">
        <v>3058</v>
      </c>
      <c r="G12055" s="46">
        <v>1.0333049788943E13</v>
      </c>
      <c r="H12055" s="46" t="s">
        <v>3059</v>
      </c>
      <c r="I12055" s="46" t="s">
        <v>3060</v>
      </c>
      <c r="J12055" s="46" t="s">
        <v>134</v>
      </c>
      <c r="K12055" s="46" t="s">
        <v>126</v>
      </c>
      <c r="L12055" s="45">
        <v>46017.416666666664</v>
      </c>
      <c r="M12055" s="46" t="s">
        <v>123</v>
      </c>
      <c r="N12055" s="45">
        <v>46017.4375</v>
      </c>
      <c r="O12055" s="46" t="s">
        <v>123</v>
      </c>
      <c r="P12055" s="46">
        <v>1800.0</v>
      </c>
    </row>
    <row r="12056">
      <c r="A12056" s="40">
        <f t="shared" si="1"/>
        <v>46013</v>
      </c>
      <c r="B12056" s="37" t="str">
        <f t="array" ref="B12056">iferror(xlookup($I12056, 'IMPORT VHC Report'!$E:$E, 'IMPORT VHC Report'!$A:$C), )</f>
        <v/>
      </c>
      <c r="C12056" s="44"/>
      <c r="D12056" s="44"/>
      <c r="E12056" s="46" t="s">
        <v>8074</v>
      </c>
      <c r="F12056" s="46" t="s">
        <v>3058</v>
      </c>
      <c r="G12056" s="46">
        <v>1.0333049788943E13</v>
      </c>
      <c r="H12056" s="46" t="s">
        <v>3059</v>
      </c>
      <c r="I12056" s="46" t="s">
        <v>3060</v>
      </c>
      <c r="J12056" s="46" t="s">
        <v>132</v>
      </c>
      <c r="K12056" s="46" t="s">
        <v>126</v>
      </c>
      <c r="L12056" s="45">
        <v>46017.541666666664</v>
      </c>
      <c r="M12056" s="46" t="s">
        <v>123</v>
      </c>
      <c r="N12056" s="45">
        <v>46017.583333333336</v>
      </c>
      <c r="O12056" s="46" t="s">
        <v>123</v>
      </c>
      <c r="P12056" s="46">
        <v>3600.0</v>
      </c>
    </row>
    <row r="12057">
      <c r="A12057" s="40">
        <f t="shared" si="1"/>
        <v>46013</v>
      </c>
      <c r="B12057" s="37" t="str">
        <f t="array" ref="B12057">iferror(xlookup($I12057, 'IMPORT VHC Report'!$E:$E, 'IMPORT VHC Report'!$A:$C), )</f>
        <v/>
      </c>
      <c r="C12057" s="44"/>
      <c r="D12057" s="44"/>
      <c r="E12057" s="46" t="s">
        <v>8075</v>
      </c>
      <c r="F12057" s="46" t="s">
        <v>4856</v>
      </c>
      <c r="G12057" s="46">
        <v>9.153765932815E12</v>
      </c>
      <c r="H12057" s="46" t="s">
        <v>4857</v>
      </c>
      <c r="I12057" s="46" t="s">
        <v>4858</v>
      </c>
      <c r="J12057" s="46" t="s">
        <v>4859</v>
      </c>
      <c r="K12057" s="46" t="s">
        <v>63</v>
      </c>
      <c r="L12057" s="45">
        <v>46013.708333333336</v>
      </c>
      <c r="M12057" s="46" t="s">
        <v>123</v>
      </c>
      <c r="N12057" s="45">
        <v>46014.0625</v>
      </c>
      <c r="O12057" s="46" t="s">
        <v>123</v>
      </c>
      <c r="P12057" s="46">
        <v>30600.0</v>
      </c>
    </row>
    <row r="12058">
      <c r="A12058" s="40">
        <f t="shared" si="1"/>
        <v>46013</v>
      </c>
      <c r="B12058" s="37" t="str">
        <f t="array" ref="B12058">iferror(xlookup($I12058, 'IMPORT VHC Report'!$E:$E, 'IMPORT VHC Report'!$A:$C), )</f>
        <v/>
      </c>
      <c r="C12058" s="44"/>
      <c r="D12058" s="44"/>
      <c r="E12058" s="46" t="s">
        <v>8076</v>
      </c>
      <c r="F12058" s="46" t="s">
        <v>4856</v>
      </c>
      <c r="G12058" s="46">
        <v>9.153765932815E12</v>
      </c>
      <c r="H12058" s="46" t="s">
        <v>4857</v>
      </c>
      <c r="I12058" s="46" t="s">
        <v>4858</v>
      </c>
      <c r="J12058" s="46" t="s">
        <v>134</v>
      </c>
      <c r="K12058" s="46" t="s">
        <v>126</v>
      </c>
      <c r="L12058" s="45">
        <v>46013.770833333336</v>
      </c>
      <c r="M12058" s="46" t="s">
        <v>123</v>
      </c>
      <c r="N12058" s="45">
        <v>46013.78125</v>
      </c>
      <c r="O12058" s="46" t="s">
        <v>123</v>
      </c>
      <c r="P12058" s="46">
        <v>900.0</v>
      </c>
    </row>
    <row r="12059">
      <c r="A12059" s="40">
        <f t="shared" si="1"/>
        <v>46013</v>
      </c>
      <c r="B12059" s="37" t="str">
        <f t="array" ref="B12059">iferror(xlookup($I12059, 'IMPORT VHC Report'!$E:$E, 'IMPORT VHC Report'!$A:$C), )</f>
        <v/>
      </c>
      <c r="C12059" s="44"/>
      <c r="D12059" s="44"/>
      <c r="E12059" s="46" t="s">
        <v>8077</v>
      </c>
      <c r="F12059" s="46" t="s">
        <v>4856</v>
      </c>
      <c r="G12059" s="46">
        <v>9.153765932815E12</v>
      </c>
      <c r="H12059" s="46" t="s">
        <v>4857</v>
      </c>
      <c r="I12059" s="46" t="s">
        <v>4858</v>
      </c>
      <c r="J12059" s="46" t="s">
        <v>132</v>
      </c>
      <c r="K12059" s="46" t="s">
        <v>126</v>
      </c>
      <c r="L12059" s="45">
        <v>46013.854166666664</v>
      </c>
      <c r="M12059" s="46" t="s">
        <v>123</v>
      </c>
      <c r="N12059" s="45">
        <v>46013.895833333336</v>
      </c>
      <c r="O12059" s="46" t="s">
        <v>123</v>
      </c>
      <c r="P12059" s="46">
        <v>3600.0</v>
      </c>
    </row>
    <row r="12060">
      <c r="A12060" s="40">
        <f t="shared" si="1"/>
        <v>46013</v>
      </c>
      <c r="B12060" s="37" t="str">
        <f t="array" ref="B12060">iferror(xlookup($I12060, 'IMPORT VHC Report'!$E:$E, 'IMPORT VHC Report'!$A:$C), )</f>
        <v/>
      </c>
      <c r="C12060" s="44"/>
      <c r="D12060" s="44"/>
      <c r="E12060" s="46" t="s">
        <v>8078</v>
      </c>
      <c r="F12060" s="46" t="s">
        <v>4856</v>
      </c>
      <c r="G12060" s="46">
        <v>9.153765932815E12</v>
      </c>
      <c r="H12060" s="46" t="s">
        <v>4857</v>
      </c>
      <c r="I12060" s="46" t="s">
        <v>4858</v>
      </c>
      <c r="J12060" s="46" t="s">
        <v>134</v>
      </c>
      <c r="K12060" s="46" t="s">
        <v>126</v>
      </c>
      <c r="L12060" s="45">
        <v>46013.96875</v>
      </c>
      <c r="M12060" s="46" t="s">
        <v>123</v>
      </c>
      <c r="N12060" s="45">
        <v>46013.979166666664</v>
      </c>
      <c r="O12060" s="46" t="s">
        <v>123</v>
      </c>
      <c r="P12060" s="46">
        <v>900.0</v>
      </c>
    </row>
    <row r="12061">
      <c r="A12061" s="40">
        <f t="shared" si="1"/>
        <v>46013</v>
      </c>
      <c r="B12061" s="37" t="str">
        <f t="array" ref="B12061">iferror(xlookup($I12061, 'IMPORT VHC Report'!$E:$E, 'IMPORT VHC Report'!$A:$C), )</f>
        <v/>
      </c>
      <c r="C12061" s="44"/>
      <c r="D12061" s="44"/>
      <c r="E12061" s="46" t="s">
        <v>8079</v>
      </c>
      <c r="F12061" s="46" t="s">
        <v>4856</v>
      </c>
      <c r="G12061" s="46">
        <v>9.153765932815E12</v>
      </c>
      <c r="H12061" s="46" t="s">
        <v>4857</v>
      </c>
      <c r="I12061" s="46" t="s">
        <v>4858</v>
      </c>
      <c r="J12061" s="46" t="s">
        <v>4859</v>
      </c>
      <c r="K12061" s="46" t="s">
        <v>63</v>
      </c>
      <c r="L12061" s="45">
        <v>46014.708333333336</v>
      </c>
      <c r="M12061" s="46" t="s">
        <v>123</v>
      </c>
      <c r="N12061" s="45">
        <v>46015.0625</v>
      </c>
      <c r="O12061" s="46" t="s">
        <v>123</v>
      </c>
      <c r="P12061" s="46">
        <v>30600.0</v>
      </c>
    </row>
    <row r="12062">
      <c r="A12062" s="40">
        <f t="shared" si="1"/>
        <v>46013</v>
      </c>
      <c r="B12062" s="37" t="str">
        <f t="array" ref="B12062">iferror(xlookup($I12062, 'IMPORT VHC Report'!$E:$E, 'IMPORT VHC Report'!$A:$C), )</f>
        <v/>
      </c>
      <c r="C12062" s="44"/>
      <c r="D12062" s="44"/>
      <c r="E12062" s="46" t="s">
        <v>8080</v>
      </c>
      <c r="F12062" s="46" t="s">
        <v>4856</v>
      </c>
      <c r="G12062" s="46">
        <v>9.153765932815E12</v>
      </c>
      <c r="H12062" s="46" t="s">
        <v>4857</v>
      </c>
      <c r="I12062" s="46" t="s">
        <v>4858</v>
      </c>
      <c r="J12062" s="46" t="s">
        <v>134</v>
      </c>
      <c r="K12062" s="46" t="s">
        <v>126</v>
      </c>
      <c r="L12062" s="45">
        <v>46014.770833333336</v>
      </c>
      <c r="M12062" s="46" t="s">
        <v>123</v>
      </c>
      <c r="N12062" s="45">
        <v>46014.78125</v>
      </c>
      <c r="O12062" s="46" t="s">
        <v>123</v>
      </c>
      <c r="P12062" s="46">
        <v>900.0</v>
      </c>
    </row>
    <row r="12063">
      <c r="A12063" s="40">
        <f t="shared" si="1"/>
        <v>46013</v>
      </c>
      <c r="B12063" s="37" t="str">
        <f t="array" ref="B12063">iferror(xlookup($I12063, 'IMPORT VHC Report'!$E:$E, 'IMPORT VHC Report'!$A:$C), )</f>
        <v/>
      </c>
      <c r="C12063" s="44"/>
      <c r="D12063" s="44"/>
      <c r="E12063" s="46" t="s">
        <v>8081</v>
      </c>
      <c r="F12063" s="46" t="s">
        <v>4856</v>
      </c>
      <c r="G12063" s="46">
        <v>9.153765932815E12</v>
      </c>
      <c r="H12063" s="46" t="s">
        <v>4857</v>
      </c>
      <c r="I12063" s="46" t="s">
        <v>4858</v>
      </c>
      <c r="J12063" s="46" t="s">
        <v>132</v>
      </c>
      <c r="K12063" s="46" t="s">
        <v>126</v>
      </c>
      <c r="L12063" s="45">
        <v>46014.854166666664</v>
      </c>
      <c r="M12063" s="46" t="s">
        <v>123</v>
      </c>
      <c r="N12063" s="45">
        <v>46014.895833333336</v>
      </c>
      <c r="O12063" s="46" t="s">
        <v>123</v>
      </c>
      <c r="P12063" s="46">
        <v>3600.0</v>
      </c>
    </row>
    <row r="12064">
      <c r="A12064" s="40">
        <f t="shared" si="1"/>
        <v>46013</v>
      </c>
      <c r="B12064" s="37" t="str">
        <f t="array" ref="B12064">iferror(xlookup($I12064, 'IMPORT VHC Report'!$E:$E, 'IMPORT VHC Report'!$A:$C), )</f>
        <v/>
      </c>
      <c r="C12064" s="44"/>
      <c r="D12064" s="44"/>
      <c r="E12064" s="46" t="s">
        <v>8082</v>
      </c>
      <c r="F12064" s="46" t="s">
        <v>4856</v>
      </c>
      <c r="G12064" s="46">
        <v>9.153765932815E12</v>
      </c>
      <c r="H12064" s="46" t="s">
        <v>4857</v>
      </c>
      <c r="I12064" s="46" t="s">
        <v>4858</v>
      </c>
      <c r="J12064" s="46" t="s">
        <v>134</v>
      </c>
      <c r="K12064" s="46" t="s">
        <v>126</v>
      </c>
      <c r="L12064" s="45">
        <v>46014.96875</v>
      </c>
      <c r="M12064" s="46" t="s">
        <v>123</v>
      </c>
      <c r="N12064" s="45">
        <v>46014.979166666664</v>
      </c>
      <c r="O12064" s="46" t="s">
        <v>123</v>
      </c>
      <c r="P12064" s="46">
        <v>900.0</v>
      </c>
    </row>
    <row r="12065">
      <c r="A12065" s="40">
        <f t="shared" si="1"/>
        <v>46013</v>
      </c>
      <c r="B12065" s="37" t="str">
        <f t="array" ref="B12065">iferror(xlookup($I12065, 'IMPORT VHC Report'!$E:$E, 'IMPORT VHC Report'!$A:$C), )</f>
        <v/>
      </c>
      <c r="C12065" s="44"/>
      <c r="D12065" s="44"/>
      <c r="E12065" s="46" t="s">
        <v>8083</v>
      </c>
      <c r="F12065" s="46" t="s">
        <v>4856</v>
      </c>
      <c r="G12065" s="46">
        <v>9.153765932815E12</v>
      </c>
      <c r="H12065" s="46" t="s">
        <v>4857</v>
      </c>
      <c r="I12065" s="46" t="s">
        <v>4858</v>
      </c>
      <c r="J12065" s="46" t="s">
        <v>4859</v>
      </c>
      <c r="K12065" s="46" t="s">
        <v>63</v>
      </c>
      <c r="L12065" s="45">
        <v>46015.708333333336</v>
      </c>
      <c r="M12065" s="46" t="s">
        <v>123</v>
      </c>
      <c r="N12065" s="45">
        <v>46016.0625</v>
      </c>
      <c r="O12065" s="46" t="s">
        <v>123</v>
      </c>
      <c r="P12065" s="46">
        <v>30600.0</v>
      </c>
    </row>
    <row r="12066">
      <c r="A12066" s="40">
        <f t="shared" si="1"/>
        <v>46013</v>
      </c>
      <c r="B12066" s="37" t="str">
        <f t="array" ref="B12066">iferror(xlookup($I12066, 'IMPORT VHC Report'!$E:$E, 'IMPORT VHC Report'!$A:$C), )</f>
        <v/>
      </c>
      <c r="C12066" s="44"/>
      <c r="D12066" s="44"/>
      <c r="E12066" s="46" t="s">
        <v>8084</v>
      </c>
      <c r="F12066" s="46" t="s">
        <v>4856</v>
      </c>
      <c r="G12066" s="46">
        <v>9.153765932815E12</v>
      </c>
      <c r="H12066" s="46" t="s">
        <v>4857</v>
      </c>
      <c r="I12066" s="46" t="s">
        <v>4858</v>
      </c>
      <c r="J12066" s="46" t="s">
        <v>178</v>
      </c>
      <c r="K12066" s="46" t="s">
        <v>153</v>
      </c>
      <c r="L12066" s="45">
        <v>46015.708333333336</v>
      </c>
      <c r="M12066" s="46" t="s">
        <v>123</v>
      </c>
      <c r="N12066" s="45">
        <v>46016.083333333336</v>
      </c>
      <c r="O12066" s="46" t="s">
        <v>123</v>
      </c>
      <c r="P12066" s="46">
        <v>32400.0</v>
      </c>
      <c r="Q12066" s="46">
        <v>32400.0</v>
      </c>
    </row>
    <row r="12067">
      <c r="A12067" s="40">
        <f t="shared" si="1"/>
        <v>46013</v>
      </c>
      <c r="B12067" s="37" t="str">
        <f t="array" ref="B12067">iferror(xlookup($I12067, 'IMPORT VHC Report'!$E:$E, 'IMPORT VHC Report'!$A:$C), )</f>
        <v/>
      </c>
      <c r="C12067" s="44"/>
      <c r="D12067" s="44"/>
      <c r="E12067" s="46" t="s">
        <v>8085</v>
      </c>
      <c r="F12067" s="46" t="s">
        <v>4856</v>
      </c>
      <c r="G12067" s="46">
        <v>9.153765932815E12</v>
      </c>
      <c r="H12067" s="46" t="s">
        <v>4857</v>
      </c>
      <c r="I12067" s="46" t="s">
        <v>4858</v>
      </c>
      <c r="J12067" s="46" t="s">
        <v>134</v>
      </c>
      <c r="K12067" s="46" t="s">
        <v>126</v>
      </c>
      <c r="L12067" s="45">
        <v>46015.770833333336</v>
      </c>
      <c r="M12067" s="46" t="s">
        <v>123</v>
      </c>
      <c r="N12067" s="45">
        <v>46015.78125</v>
      </c>
      <c r="O12067" s="46" t="s">
        <v>123</v>
      </c>
      <c r="P12067" s="46">
        <v>900.0</v>
      </c>
    </row>
    <row r="12068">
      <c r="A12068" s="40">
        <f t="shared" si="1"/>
        <v>46013</v>
      </c>
      <c r="B12068" s="37" t="str">
        <f t="array" ref="B12068">iferror(xlookup($I12068, 'IMPORT VHC Report'!$E:$E, 'IMPORT VHC Report'!$A:$C), )</f>
        <v/>
      </c>
      <c r="C12068" s="44"/>
      <c r="D12068" s="44"/>
      <c r="E12068" s="46" t="s">
        <v>8086</v>
      </c>
      <c r="F12068" s="46" t="s">
        <v>4856</v>
      </c>
      <c r="G12068" s="46">
        <v>9.153765932815E12</v>
      </c>
      <c r="H12068" s="46" t="s">
        <v>4857</v>
      </c>
      <c r="I12068" s="46" t="s">
        <v>4858</v>
      </c>
      <c r="J12068" s="46" t="s">
        <v>132</v>
      </c>
      <c r="K12068" s="46" t="s">
        <v>126</v>
      </c>
      <c r="L12068" s="45">
        <v>46015.854166666664</v>
      </c>
      <c r="M12068" s="46" t="s">
        <v>123</v>
      </c>
      <c r="N12068" s="45">
        <v>46015.895833333336</v>
      </c>
      <c r="O12068" s="46" t="s">
        <v>123</v>
      </c>
      <c r="P12068" s="46">
        <v>3600.0</v>
      </c>
    </row>
    <row r="12069">
      <c r="A12069" s="40">
        <f t="shared" si="1"/>
        <v>46013</v>
      </c>
      <c r="B12069" s="37" t="str">
        <f t="array" ref="B12069">iferror(xlookup($I12069, 'IMPORT VHC Report'!$E:$E, 'IMPORT VHC Report'!$A:$C), )</f>
        <v/>
      </c>
      <c r="C12069" s="44"/>
      <c r="D12069" s="44"/>
      <c r="E12069" s="46" t="s">
        <v>8087</v>
      </c>
      <c r="F12069" s="46" t="s">
        <v>4856</v>
      </c>
      <c r="G12069" s="46">
        <v>9.153765932815E12</v>
      </c>
      <c r="H12069" s="46" t="s">
        <v>4857</v>
      </c>
      <c r="I12069" s="46" t="s">
        <v>4858</v>
      </c>
      <c r="J12069" s="46" t="s">
        <v>134</v>
      </c>
      <c r="K12069" s="46" t="s">
        <v>126</v>
      </c>
      <c r="L12069" s="45">
        <v>46015.96875</v>
      </c>
      <c r="M12069" s="46" t="s">
        <v>123</v>
      </c>
      <c r="N12069" s="45">
        <v>46015.979166666664</v>
      </c>
      <c r="O12069" s="46" t="s">
        <v>123</v>
      </c>
      <c r="P12069" s="46">
        <v>900.0</v>
      </c>
    </row>
    <row r="12070">
      <c r="A12070" s="40">
        <f t="shared" si="1"/>
        <v>46013</v>
      </c>
      <c r="B12070" s="37" t="str">
        <f t="array" ref="B12070">iferror(xlookup($I12070, 'IMPORT VHC Report'!$E:$E, 'IMPORT VHC Report'!$A:$C), )</f>
        <v/>
      </c>
      <c r="C12070" s="44"/>
      <c r="D12070" s="44"/>
      <c r="E12070" s="46" t="s">
        <v>8088</v>
      </c>
      <c r="F12070" s="46" t="s">
        <v>4856</v>
      </c>
      <c r="G12070" s="46">
        <v>9.153765932815E12</v>
      </c>
      <c r="H12070" s="46" t="s">
        <v>4857</v>
      </c>
      <c r="I12070" s="46" t="s">
        <v>4858</v>
      </c>
      <c r="J12070" s="46" t="s">
        <v>5617</v>
      </c>
      <c r="K12070" s="46" t="s">
        <v>153</v>
      </c>
      <c r="L12070" s="45">
        <v>46016.708333333336</v>
      </c>
      <c r="M12070" s="46" t="s">
        <v>123</v>
      </c>
      <c r="N12070" s="45">
        <v>46017.083333333336</v>
      </c>
      <c r="O12070" s="46" t="s">
        <v>123</v>
      </c>
      <c r="P12070" s="46">
        <v>32400.0</v>
      </c>
      <c r="Q12070" s="46">
        <v>32400.0</v>
      </c>
      <c r="R12070" s="46" t="s">
        <v>7887</v>
      </c>
      <c r="S12070" s="46" t="s">
        <v>7887</v>
      </c>
    </row>
    <row r="12071">
      <c r="A12071" s="40">
        <f t="shared" si="1"/>
        <v>46013</v>
      </c>
      <c r="B12071" s="37" t="str">
        <f t="array" ref="B12071">iferror(xlookup($I12071, 'IMPORT VHC Report'!$E:$E, 'IMPORT VHC Report'!$A:$C), )</f>
        <v/>
      </c>
      <c r="C12071" s="44"/>
      <c r="D12071" s="44"/>
      <c r="E12071" s="46" t="s">
        <v>8089</v>
      </c>
      <c r="F12071" s="46" t="s">
        <v>4856</v>
      </c>
      <c r="G12071" s="46">
        <v>9.153765932815E12</v>
      </c>
      <c r="H12071" s="46" t="s">
        <v>4857</v>
      </c>
      <c r="I12071" s="46" t="s">
        <v>4858</v>
      </c>
      <c r="J12071" s="46" t="s">
        <v>136</v>
      </c>
      <c r="K12071" s="46" t="s">
        <v>126</v>
      </c>
      <c r="L12071" s="45">
        <v>46017.0</v>
      </c>
      <c r="M12071" s="46" t="s">
        <v>123</v>
      </c>
      <c r="N12071" s="45">
        <v>46017.041666666664</v>
      </c>
      <c r="O12071" s="46" t="s">
        <v>123</v>
      </c>
      <c r="P12071" s="46">
        <v>3600.0</v>
      </c>
      <c r="S12071" s="46" t="s">
        <v>4880</v>
      </c>
    </row>
    <row r="12072">
      <c r="A12072" s="40">
        <f t="shared" si="1"/>
        <v>46013</v>
      </c>
      <c r="B12072" s="37" t="str">
        <f t="array" ref="B12072">iferror(xlookup($I12072, 'IMPORT VHC Report'!$E:$E, 'IMPORT VHC Report'!$A:$C), )</f>
        <v/>
      </c>
      <c r="C12072" s="44"/>
      <c r="D12072" s="44"/>
      <c r="E12072" s="46" t="s">
        <v>8090</v>
      </c>
      <c r="F12072" s="46" t="s">
        <v>4856</v>
      </c>
      <c r="G12072" s="46">
        <v>9.153765932815E12</v>
      </c>
      <c r="H12072" s="46" t="s">
        <v>4857</v>
      </c>
      <c r="I12072" s="46" t="s">
        <v>4858</v>
      </c>
      <c r="J12072" s="46" t="s">
        <v>5617</v>
      </c>
      <c r="K12072" s="46" t="s">
        <v>153</v>
      </c>
      <c r="L12072" s="45">
        <v>46017.708333333336</v>
      </c>
      <c r="M12072" s="46" t="s">
        <v>123</v>
      </c>
      <c r="N12072" s="45">
        <v>46018.083333333336</v>
      </c>
      <c r="O12072" s="46" t="s">
        <v>123</v>
      </c>
      <c r="P12072" s="46">
        <v>32400.0</v>
      </c>
      <c r="Q12072" s="46">
        <v>32400.0</v>
      </c>
      <c r="R12072" s="46" t="s">
        <v>7889</v>
      </c>
      <c r="S12072" s="46" t="s">
        <v>7889</v>
      </c>
    </row>
    <row r="12073">
      <c r="A12073" s="40">
        <f t="shared" si="1"/>
        <v>46013</v>
      </c>
      <c r="B12073" s="37" t="str">
        <f t="array" ref="B12073">iferror(xlookup($I12073, 'IMPORT VHC Report'!$E:$E, 'IMPORT VHC Report'!$A:$C), )</f>
        <v/>
      </c>
      <c r="C12073" s="44"/>
      <c r="D12073" s="44"/>
      <c r="E12073" s="46" t="s">
        <v>8091</v>
      </c>
      <c r="F12073" s="46" t="s">
        <v>4856</v>
      </c>
      <c r="G12073" s="46">
        <v>9.153765932815E12</v>
      </c>
      <c r="H12073" s="46" t="s">
        <v>4857</v>
      </c>
      <c r="I12073" s="46" t="s">
        <v>4858</v>
      </c>
      <c r="J12073" s="46" t="s">
        <v>4</v>
      </c>
      <c r="K12073" s="46" t="s">
        <v>126</v>
      </c>
      <c r="L12073" s="45">
        <v>46017.916666666664</v>
      </c>
      <c r="M12073" s="46" t="s">
        <v>123</v>
      </c>
      <c r="N12073" s="45">
        <v>46018.041666666664</v>
      </c>
      <c r="O12073" s="46" t="s">
        <v>123</v>
      </c>
      <c r="P12073" s="46">
        <v>10800.0</v>
      </c>
      <c r="S12073" s="46" t="s">
        <v>4884</v>
      </c>
    </row>
    <row r="12074">
      <c r="A12074" s="40">
        <f t="shared" si="1"/>
        <v>46013</v>
      </c>
      <c r="B12074" s="37" t="str">
        <f t="array" ref="B12074">iferror(xlookup($I12074, 'IMPORT VHC Report'!$E:$E, 'IMPORT VHC Report'!$A:$C), )</f>
        <v/>
      </c>
      <c r="C12074" s="44"/>
      <c r="D12074" s="44"/>
      <c r="E12074" s="46" t="s">
        <v>8092</v>
      </c>
      <c r="F12074" s="46" t="s">
        <v>5061</v>
      </c>
      <c r="G12074" s="46">
        <v>9.153847235087E12</v>
      </c>
      <c r="H12074" s="46" t="s">
        <v>5062</v>
      </c>
      <c r="I12074" s="46" t="s">
        <v>5063</v>
      </c>
      <c r="J12074" s="46" t="s">
        <v>4859</v>
      </c>
      <c r="K12074" s="46" t="s">
        <v>63</v>
      </c>
      <c r="L12074" s="45">
        <v>46013.708333333336</v>
      </c>
      <c r="M12074" s="46" t="s">
        <v>123</v>
      </c>
      <c r="N12074" s="45">
        <v>46014.0625</v>
      </c>
      <c r="O12074" s="46" t="s">
        <v>123</v>
      </c>
      <c r="P12074" s="46">
        <v>30600.0</v>
      </c>
    </row>
    <row r="12075">
      <c r="A12075" s="40">
        <f t="shared" si="1"/>
        <v>46013</v>
      </c>
      <c r="B12075" s="37" t="str">
        <f t="array" ref="B12075">iferror(xlookup($I12075, 'IMPORT VHC Report'!$E:$E, 'IMPORT VHC Report'!$A:$C), )</f>
        <v/>
      </c>
      <c r="C12075" s="44"/>
      <c r="D12075" s="44"/>
      <c r="E12075" s="46" t="s">
        <v>8093</v>
      </c>
      <c r="F12075" s="46" t="s">
        <v>5061</v>
      </c>
      <c r="G12075" s="46">
        <v>9.153847235087E12</v>
      </c>
      <c r="H12075" s="46" t="s">
        <v>5062</v>
      </c>
      <c r="I12075" s="46" t="s">
        <v>5063</v>
      </c>
      <c r="J12075" s="46" t="s">
        <v>178</v>
      </c>
      <c r="K12075" s="46" t="s">
        <v>153</v>
      </c>
      <c r="L12075" s="45">
        <v>46013.708333333336</v>
      </c>
      <c r="M12075" s="46" t="s">
        <v>123</v>
      </c>
      <c r="N12075" s="45">
        <v>46014.083333333336</v>
      </c>
      <c r="O12075" s="46" t="s">
        <v>123</v>
      </c>
      <c r="P12075" s="46">
        <v>32400.0</v>
      </c>
      <c r="Q12075" s="46">
        <v>32400.0</v>
      </c>
    </row>
    <row r="12076">
      <c r="A12076" s="40">
        <f t="shared" si="1"/>
        <v>46013</v>
      </c>
      <c r="B12076" s="37" t="str">
        <f t="array" ref="B12076">iferror(xlookup($I12076, 'IMPORT VHC Report'!$E:$E, 'IMPORT VHC Report'!$A:$C), )</f>
        <v/>
      </c>
      <c r="C12076" s="44"/>
      <c r="D12076" s="44"/>
      <c r="E12076" s="46" t="s">
        <v>8094</v>
      </c>
      <c r="F12076" s="46" t="s">
        <v>5061</v>
      </c>
      <c r="G12076" s="46">
        <v>9.153847235087E12</v>
      </c>
      <c r="H12076" s="46" t="s">
        <v>5062</v>
      </c>
      <c r="I12076" s="46" t="s">
        <v>5063</v>
      </c>
      <c r="J12076" s="46" t="s">
        <v>134</v>
      </c>
      <c r="K12076" s="46" t="s">
        <v>126</v>
      </c>
      <c r="L12076" s="45">
        <v>46013.78125</v>
      </c>
      <c r="M12076" s="46" t="s">
        <v>123</v>
      </c>
      <c r="N12076" s="45">
        <v>46013.791666666664</v>
      </c>
      <c r="O12076" s="46" t="s">
        <v>123</v>
      </c>
      <c r="P12076" s="46">
        <v>900.0</v>
      </c>
    </row>
    <row r="12077">
      <c r="A12077" s="40">
        <f t="shared" si="1"/>
        <v>46013</v>
      </c>
      <c r="B12077" s="37" t="str">
        <f t="array" ref="B12077">iferror(xlookup($I12077, 'IMPORT VHC Report'!$E:$E, 'IMPORT VHC Report'!$A:$C), )</f>
        <v/>
      </c>
      <c r="C12077" s="44"/>
      <c r="D12077" s="44"/>
      <c r="E12077" s="46" t="s">
        <v>8095</v>
      </c>
      <c r="F12077" s="46" t="s">
        <v>5061</v>
      </c>
      <c r="G12077" s="46">
        <v>9.153847235087E12</v>
      </c>
      <c r="H12077" s="46" t="s">
        <v>5062</v>
      </c>
      <c r="I12077" s="46" t="s">
        <v>5063</v>
      </c>
      <c r="J12077" s="46" t="s">
        <v>132</v>
      </c>
      <c r="K12077" s="46" t="s">
        <v>126</v>
      </c>
      <c r="L12077" s="45">
        <v>46013.854166666664</v>
      </c>
      <c r="M12077" s="46" t="s">
        <v>123</v>
      </c>
      <c r="N12077" s="45">
        <v>46013.895833333336</v>
      </c>
      <c r="O12077" s="46" t="s">
        <v>123</v>
      </c>
      <c r="P12077" s="46">
        <v>3600.0</v>
      </c>
    </row>
    <row r="12078">
      <c r="A12078" s="40">
        <f t="shared" si="1"/>
        <v>46013</v>
      </c>
      <c r="B12078" s="37" t="str">
        <f t="array" ref="B12078">iferror(xlookup($I12078, 'IMPORT VHC Report'!$E:$E, 'IMPORT VHC Report'!$A:$C), )</f>
        <v/>
      </c>
      <c r="C12078" s="44"/>
      <c r="D12078" s="44"/>
      <c r="E12078" s="46" t="s">
        <v>8096</v>
      </c>
      <c r="F12078" s="46" t="s">
        <v>5061</v>
      </c>
      <c r="G12078" s="46">
        <v>9.153847235087E12</v>
      </c>
      <c r="H12078" s="46" t="s">
        <v>5062</v>
      </c>
      <c r="I12078" s="46" t="s">
        <v>5063</v>
      </c>
      <c r="J12078" s="46" t="s">
        <v>125</v>
      </c>
      <c r="K12078" s="46" t="s">
        <v>126</v>
      </c>
      <c r="L12078" s="45">
        <v>46013.895833333336</v>
      </c>
      <c r="M12078" s="46" t="s">
        <v>123</v>
      </c>
      <c r="N12078" s="45">
        <v>46014.0625</v>
      </c>
      <c r="O12078" s="46" t="s">
        <v>123</v>
      </c>
      <c r="P12078" s="46">
        <v>14400.0</v>
      </c>
      <c r="S12078" s="46" t="s">
        <v>5069</v>
      </c>
    </row>
    <row r="12079">
      <c r="A12079" s="40">
        <f t="shared" si="1"/>
        <v>46013</v>
      </c>
      <c r="B12079" s="37" t="str">
        <f t="array" ref="B12079">iferror(xlookup($I12079, 'IMPORT VHC Report'!$E:$E, 'IMPORT VHC Report'!$A:$C), )</f>
        <v/>
      </c>
      <c r="C12079" s="44"/>
      <c r="D12079" s="44"/>
      <c r="E12079" s="46" t="s">
        <v>8097</v>
      </c>
      <c r="F12079" s="46" t="s">
        <v>5061</v>
      </c>
      <c r="G12079" s="46">
        <v>9.153847235087E12</v>
      </c>
      <c r="H12079" s="46" t="s">
        <v>5062</v>
      </c>
      <c r="I12079" s="46" t="s">
        <v>5063</v>
      </c>
      <c r="J12079" s="46" t="s">
        <v>4859</v>
      </c>
      <c r="K12079" s="46" t="s">
        <v>63</v>
      </c>
      <c r="L12079" s="45">
        <v>46014.708333333336</v>
      </c>
      <c r="M12079" s="46" t="s">
        <v>123</v>
      </c>
      <c r="N12079" s="45">
        <v>46015.0625</v>
      </c>
      <c r="O12079" s="46" t="s">
        <v>123</v>
      </c>
      <c r="P12079" s="46">
        <v>30600.0</v>
      </c>
    </row>
    <row r="12080">
      <c r="A12080" s="40">
        <f t="shared" si="1"/>
        <v>46013</v>
      </c>
      <c r="B12080" s="37" t="str">
        <f t="array" ref="B12080">iferror(xlookup($I12080, 'IMPORT VHC Report'!$E:$E, 'IMPORT VHC Report'!$A:$C), )</f>
        <v/>
      </c>
      <c r="C12080" s="44"/>
      <c r="D12080" s="44"/>
      <c r="E12080" s="46" t="s">
        <v>8098</v>
      </c>
      <c r="F12080" s="46" t="s">
        <v>5061</v>
      </c>
      <c r="G12080" s="46">
        <v>9.153847235087E12</v>
      </c>
      <c r="H12080" s="46" t="s">
        <v>5062</v>
      </c>
      <c r="I12080" s="46" t="s">
        <v>5063</v>
      </c>
      <c r="J12080" s="46" t="s">
        <v>178</v>
      </c>
      <c r="K12080" s="46" t="s">
        <v>153</v>
      </c>
      <c r="L12080" s="45">
        <v>46014.708333333336</v>
      </c>
      <c r="M12080" s="46" t="s">
        <v>123</v>
      </c>
      <c r="N12080" s="45">
        <v>46015.083333333336</v>
      </c>
      <c r="O12080" s="46" t="s">
        <v>123</v>
      </c>
      <c r="P12080" s="46">
        <v>32400.0</v>
      </c>
      <c r="Q12080" s="46">
        <v>32400.0</v>
      </c>
    </row>
    <row r="12081">
      <c r="A12081" s="40">
        <f t="shared" si="1"/>
        <v>46013</v>
      </c>
      <c r="B12081" s="37" t="str">
        <f t="array" ref="B12081">iferror(xlookup($I12081, 'IMPORT VHC Report'!$E:$E, 'IMPORT VHC Report'!$A:$C), )</f>
        <v/>
      </c>
      <c r="C12081" s="44"/>
      <c r="D12081" s="44"/>
      <c r="E12081" s="46" t="s">
        <v>8099</v>
      </c>
      <c r="F12081" s="46" t="s">
        <v>5061</v>
      </c>
      <c r="G12081" s="46">
        <v>9.153847235087E12</v>
      </c>
      <c r="H12081" s="46" t="s">
        <v>5062</v>
      </c>
      <c r="I12081" s="46" t="s">
        <v>5063</v>
      </c>
      <c r="J12081" s="46" t="s">
        <v>134</v>
      </c>
      <c r="K12081" s="46" t="s">
        <v>126</v>
      </c>
      <c r="L12081" s="45">
        <v>46014.78125</v>
      </c>
      <c r="M12081" s="46" t="s">
        <v>123</v>
      </c>
      <c r="N12081" s="45">
        <v>46014.791666666664</v>
      </c>
      <c r="O12081" s="46" t="s">
        <v>123</v>
      </c>
      <c r="P12081" s="46">
        <v>900.0</v>
      </c>
    </row>
    <row r="12082">
      <c r="A12082" s="40">
        <f t="shared" si="1"/>
        <v>46013</v>
      </c>
      <c r="B12082" s="37" t="str">
        <f t="array" ref="B12082">iferror(xlookup($I12082, 'IMPORT VHC Report'!$E:$E, 'IMPORT VHC Report'!$A:$C), )</f>
        <v/>
      </c>
      <c r="C12082" s="44"/>
      <c r="D12082" s="44"/>
      <c r="E12082" s="46" t="s">
        <v>8100</v>
      </c>
      <c r="F12082" s="46" t="s">
        <v>5061</v>
      </c>
      <c r="G12082" s="46">
        <v>9.153847235087E12</v>
      </c>
      <c r="H12082" s="46" t="s">
        <v>5062</v>
      </c>
      <c r="I12082" s="46" t="s">
        <v>5063</v>
      </c>
      <c r="J12082" s="46" t="s">
        <v>132</v>
      </c>
      <c r="K12082" s="46" t="s">
        <v>126</v>
      </c>
      <c r="L12082" s="45">
        <v>46014.854166666664</v>
      </c>
      <c r="M12082" s="46" t="s">
        <v>123</v>
      </c>
      <c r="N12082" s="45">
        <v>46014.895833333336</v>
      </c>
      <c r="O12082" s="46" t="s">
        <v>123</v>
      </c>
      <c r="P12082" s="46">
        <v>3600.0</v>
      </c>
    </row>
    <row r="12083">
      <c r="A12083" s="40">
        <f t="shared" si="1"/>
        <v>46013</v>
      </c>
      <c r="B12083" s="37" t="str">
        <f t="array" ref="B12083">iferror(xlookup($I12083, 'IMPORT VHC Report'!$E:$E, 'IMPORT VHC Report'!$A:$C), )</f>
        <v/>
      </c>
      <c r="C12083" s="44"/>
      <c r="D12083" s="44"/>
      <c r="E12083" s="46" t="s">
        <v>8101</v>
      </c>
      <c r="F12083" s="46" t="s">
        <v>5061</v>
      </c>
      <c r="G12083" s="46">
        <v>9.153847235087E12</v>
      </c>
      <c r="H12083" s="46" t="s">
        <v>5062</v>
      </c>
      <c r="I12083" s="46" t="s">
        <v>5063</v>
      </c>
      <c r="J12083" s="46" t="s">
        <v>125</v>
      </c>
      <c r="K12083" s="46" t="s">
        <v>126</v>
      </c>
      <c r="L12083" s="45">
        <v>46014.895833333336</v>
      </c>
      <c r="M12083" s="46" t="s">
        <v>123</v>
      </c>
      <c r="N12083" s="45">
        <v>46015.0625</v>
      </c>
      <c r="O12083" s="46" t="s">
        <v>123</v>
      </c>
      <c r="P12083" s="46">
        <v>14400.0</v>
      </c>
      <c r="S12083" s="46" t="s">
        <v>5069</v>
      </c>
    </row>
    <row r="12084">
      <c r="A12084" s="40">
        <f t="shared" si="1"/>
        <v>46013</v>
      </c>
      <c r="B12084" s="37" t="str">
        <f t="array" ref="B12084">iferror(xlookup($I12084, 'IMPORT VHC Report'!$E:$E, 'IMPORT VHC Report'!$A:$C), )</f>
        <v/>
      </c>
      <c r="C12084" s="44"/>
      <c r="D12084" s="44"/>
      <c r="E12084" s="46" t="s">
        <v>8102</v>
      </c>
      <c r="F12084" s="46" t="s">
        <v>5061</v>
      </c>
      <c r="G12084" s="46">
        <v>9.153847235087E12</v>
      </c>
      <c r="H12084" s="46" t="s">
        <v>5062</v>
      </c>
      <c r="I12084" s="46" t="s">
        <v>5063</v>
      </c>
      <c r="J12084" s="46" t="s">
        <v>4859</v>
      </c>
      <c r="K12084" s="46" t="s">
        <v>63</v>
      </c>
      <c r="L12084" s="45">
        <v>46015.708333333336</v>
      </c>
      <c r="M12084" s="46" t="s">
        <v>123</v>
      </c>
      <c r="N12084" s="45">
        <v>46016.0625</v>
      </c>
      <c r="O12084" s="46" t="s">
        <v>123</v>
      </c>
      <c r="P12084" s="46">
        <v>30600.0</v>
      </c>
    </row>
    <row r="12085">
      <c r="A12085" s="40">
        <f t="shared" si="1"/>
        <v>46013</v>
      </c>
      <c r="B12085" s="37" t="str">
        <f t="array" ref="B12085">iferror(xlookup($I12085, 'IMPORT VHC Report'!$E:$E, 'IMPORT VHC Report'!$A:$C), )</f>
        <v/>
      </c>
      <c r="C12085" s="44"/>
      <c r="D12085" s="44"/>
      <c r="E12085" s="46" t="s">
        <v>8103</v>
      </c>
      <c r="F12085" s="46" t="s">
        <v>5061</v>
      </c>
      <c r="G12085" s="46">
        <v>9.153847235087E12</v>
      </c>
      <c r="H12085" s="46" t="s">
        <v>5062</v>
      </c>
      <c r="I12085" s="46" t="s">
        <v>5063</v>
      </c>
      <c r="J12085" s="46" t="s">
        <v>178</v>
      </c>
      <c r="K12085" s="46" t="s">
        <v>153</v>
      </c>
      <c r="L12085" s="45">
        <v>46015.708333333336</v>
      </c>
      <c r="M12085" s="46" t="s">
        <v>123</v>
      </c>
      <c r="N12085" s="45">
        <v>46016.083333333336</v>
      </c>
      <c r="O12085" s="46" t="s">
        <v>123</v>
      </c>
      <c r="P12085" s="46">
        <v>32400.0</v>
      </c>
      <c r="Q12085" s="46">
        <v>32400.0</v>
      </c>
    </row>
    <row r="12086">
      <c r="A12086" s="40">
        <f t="shared" si="1"/>
        <v>46013</v>
      </c>
      <c r="B12086" s="37" t="str">
        <f t="array" ref="B12086">iferror(xlookup($I12086, 'IMPORT VHC Report'!$E:$E, 'IMPORT VHC Report'!$A:$C), )</f>
        <v/>
      </c>
      <c r="C12086" s="44"/>
      <c r="D12086" s="44"/>
      <c r="E12086" s="46" t="s">
        <v>8104</v>
      </c>
      <c r="F12086" s="46" t="s">
        <v>5061</v>
      </c>
      <c r="G12086" s="46">
        <v>9.153847235087E12</v>
      </c>
      <c r="H12086" s="46" t="s">
        <v>5062</v>
      </c>
      <c r="I12086" s="46" t="s">
        <v>5063</v>
      </c>
      <c r="J12086" s="46" t="s">
        <v>134</v>
      </c>
      <c r="K12086" s="46" t="s">
        <v>126</v>
      </c>
      <c r="L12086" s="45">
        <v>46015.78125</v>
      </c>
      <c r="M12086" s="46" t="s">
        <v>123</v>
      </c>
      <c r="N12086" s="45">
        <v>46015.791666666664</v>
      </c>
      <c r="O12086" s="46" t="s">
        <v>123</v>
      </c>
      <c r="P12086" s="46">
        <v>900.0</v>
      </c>
    </row>
    <row r="12087">
      <c r="A12087" s="40">
        <f t="shared" si="1"/>
        <v>46013</v>
      </c>
      <c r="B12087" s="37" t="str">
        <f t="array" ref="B12087">iferror(xlookup($I12087, 'IMPORT VHC Report'!$E:$E, 'IMPORT VHC Report'!$A:$C), )</f>
        <v/>
      </c>
      <c r="C12087" s="44"/>
      <c r="D12087" s="44"/>
      <c r="E12087" s="46" t="s">
        <v>8105</v>
      </c>
      <c r="F12087" s="46" t="s">
        <v>5061</v>
      </c>
      <c r="G12087" s="46">
        <v>9.153847235087E12</v>
      </c>
      <c r="H12087" s="46" t="s">
        <v>5062</v>
      </c>
      <c r="I12087" s="46" t="s">
        <v>5063</v>
      </c>
      <c r="J12087" s="46" t="s">
        <v>132</v>
      </c>
      <c r="K12087" s="46" t="s">
        <v>126</v>
      </c>
      <c r="L12087" s="45">
        <v>46015.854166666664</v>
      </c>
      <c r="M12087" s="46" t="s">
        <v>123</v>
      </c>
      <c r="N12087" s="45">
        <v>46015.895833333336</v>
      </c>
      <c r="O12087" s="46" t="s">
        <v>123</v>
      </c>
      <c r="P12087" s="46">
        <v>3600.0</v>
      </c>
    </row>
    <row r="12088">
      <c r="A12088" s="40">
        <f t="shared" si="1"/>
        <v>46013</v>
      </c>
      <c r="B12088" s="37" t="str">
        <f t="array" ref="B12088">iferror(xlookup($I12088, 'IMPORT VHC Report'!$E:$E, 'IMPORT VHC Report'!$A:$C), )</f>
        <v/>
      </c>
      <c r="C12088" s="44"/>
      <c r="D12088" s="44"/>
      <c r="E12088" s="46" t="s">
        <v>8106</v>
      </c>
      <c r="F12088" s="46" t="s">
        <v>5061</v>
      </c>
      <c r="G12088" s="46">
        <v>9.153847235087E12</v>
      </c>
      <c r="H12088" s="46" t="s">
        <v>5062</v>
      </c>
      <c r="I12088" s="46" t="s">
        <v>5063</v>
      </c>
      <c r="J12088" s="46" t="s">
        <v>125</v>
      </c>
      <c r="K12088" s="46" t="s">
        <v>126</v>
      </c>
      <c r="L12088" s="45">
        <v>46015.895833333336</v>
      </c>
      <c r="M12088" s="46" t="s">
        <v>123</v>
      </c>
      <c r="N12088" s="45">
        <v>46016.0625</v>
      </c>
      <c r="O12088" s="46" t="s">
        <v>123</v>
      </c>
      <c r="P12088" s="46">
        <v>14400.0</v>
      </c>
      <c r="S12088" s="46" t="s">
        <v>5069</v>
      </c>
    </row>
    <row r="12089">
      <c r="A12089" s="40">
        <f t="shared" si="1"/>
        <v>46013</v>
      </c>
      <c r="B12089" s="37" t="str">
        <f t="array" ref="B12089">iferror(xlookup($I12089, 'IMPORT VHC Report'!$E:$E, 'IMPORT VHC Report'!$A:$C), )</f>
        <v/>
      </c>
      <c r="C12089" s="44"/>
      <c r="D12089" s="44"/>
      <c r="E12089" s="46" t="s">
        <v>8107</v>
      </c>
      <c r="F12089" s="46" t="s">
        <v>5061</v>
      </c>
      <c r="G12089" s="46">
        <v>9.153847235087E12</v>
      </c>
      <c r="H12089" s="46" t="s">
        <v>5062</v>
      </c>
      <c r="I12089" s="46" t="s">
        <v>5063</v>
      </c>
      <c r="J12089" s="46" t="s">
        <v>4859</v>
      </c>
      <c r="K12089" s="46" t="s">
        <v>63</v>
      </c>
      <c r="L12089" s="45">
        <v>46016.708333333336</v>
      </c>
      <c r="M12089" s="46" t="s">
        <v>123</v>
      </c>
      <c r="N12089" s="45">
        <v>46017.0625</v>
      </c>
      <c r="O12089" s="46" t="s">
        <v>123</v>
      </c>
      <c r="P12089" s="46">
        <v>30600.0</v>
      </c>
    </row>
    <row r="12090">
      <c r="A12090" s="40">
        <f t="shared" si="1"/>
        <v>46013</v>
      </c>
      <c r="B12090" s="37" t="str">
        <f t="array" ref="B12090">iferror(xlookup($I12090, 'IMPORT VHC Report'!$E:$E, 'IMPORT VHC Report'!$A:$C), )</f>
        <v/>
      </c>
      <c r="C12090" s="44"/>
      <c r="D12090" s="44"/>
      <c r="E12090" s="46" t="s">
        <v>8108</v>
      </c>
      <c r="F12090" s="46" t="s">
        <v>5061</v>
      </c>
      <c r="G12090" s="46">
        <v>9.153847235087E12</v>
      </c>
      <c r="H12090" s="46" t="s">
        <v>5062</v>
      </c>
      <c r="I12090" s="46" t="s">
        <v>5063</v>
      </c>
      <c r="J12090" s="46" t="s">
        <v>5617</v>
      </c>
      <c r="K12090" s="46" t="s">
        <v>153</v>
      </c>
      <c r="L12090" s="45">
        <v>46016.708333333336</v>
      </c>
      <c r="M12090" s="46" t="s">
        <v>123</v>
      </c>
      <c r="N12090" s="45">
        <v>46017.083333333336</v>
      </c>
      <c r="O12090" s="46" t="s">
        <v>123</v>
      </c>
      <c r="P12090" s="46">
        <v>32400.0</v>
      </c>
      <c r="Q12090" s="46">
        <v>32400.0</v>
      </c>
      <c r="R12090" s="46" t="s">
        <v>7887</v>
      </c>
      <c r="S12090" s="46" t="s">
        <v>7887</v>
      </c>
    </row>
    <row r="12091">
      <c r="A12091" s="40">
        <f t="shared" si="1"/>
        <v>46013</v>
      </c>
      <c r="B12091" s="37" t="str">
        <f t="array" ref="B12091">iferror(xlookup($I12091, 'IMPORT VHC Report'!$E:$E, 'IMPORT VHC Report'!$A:$C), )</f>
        <v/>
      </c>
      <c r="C12091" s="44"/>
      <c r="D12091" s="44"/>
      <c r="E12091" s="46" t="s">
        <v>8109</v>
      </c>
      <c r="F12091" s="46" t="s">
        <v>5061</v>
      </c>
      <c r="G12091" s="46">
        <v>9.153847235087E12</v>
      </c>
      <c r="H12091" s="46" t="s">
        <v>5062</v>
      </c>
      <c r="I12091" s="46" t="s">
        <v>5063</v>
      </c>
      <c r="J12091" s="46" t="s">
        <v>134</v>
      </c>
      <c r="K12091" s="46" t="s">
        <v>126</v>
      </c>
      <c r="L12091" s="45">
        <v>46016.78125</v>
      </c>
      <c r="M12091" s="46" t="s">
        <v>123</v>
      </c>
      <c r="N12091" s="45">
        <v>46016.791666666664</v>
      </c>
      <c r="O12091" s="46" t="s">
        <v>123</v>
      </c>
      <c r="P12091" s="46">
        <v>900.0</v>
      </c>
    </row>
    <row r="12092">
      <c r="A12092" s="40">
        <f t="shared" si="1"/>
        <v>46013</v>
      </c>
      <c r="B12092" s="37" t="str">
        <f t="array" ref="B12092">iferror(xlookup($I12092, 'IMPORT VHC Report'!$E:$E, 'IMPORT VHC Report'!$A:$C), )</f>
        <v/>
      </c>
      <c r="C12092" s="44"/>
      <c r="D12092" s="44"/>
      <c r="E12092" s="46" t="s">
        <v>8110</v>
      </c>
      <c r="F12092" s="46" t="s">
        <v>5061</v>
      </c>
      <c r="G12092" s="46">
        <v>9.153847235087E12</v>
      </c>
      <c r="H12092" s="46" t="s">
        <v>5062</v>
      </c>
      <c r="I12092" s="46" t="s">
        <v>5063</v>
      </c>
      <c r="J12092" s="46" t="s">
        <v>132</v>
      </c>
      <c r="K12092" s="46" t="s">
        <v>126</v>
      </c>
      <c r="L12092" s="45">
        <v>46016.854166666664</v>
      </c>
      <c r="M12092" s="46" t="s">
        <v>123</v>
      </c>
      <c r="N12092" s="45">
        <v>46016.895833333336</v>
      </c>
      <c r="O12092" s="46" t="s">
        <v>123</v>
      </c>
      <c r="P12092" s="46">
        <v>3600.0</v>
      </c>
    </row>
    <row r="12093">
      <c r="A12093" s="40">
        <f t="shared" si="1"/>
        <v>46013</v>
      </c>
      <c r="B12093" s="37" t="str">
        <f t="array" ref="B12093">iferror(xlookup($I12093, 'IMPORT VHC Report'!$E:$E, 'IMPORT VHC Report'!$A:$C), )</f>
        <v/>
      </c>
      <c r="C12093" s="44"/>
      <c r="D12093" s="44"/>
      <c r="E12093" s="46" t="s">
        <v>8111</v>
      </c>
      <c r="F12093" s="46" t="s">
        <v>5061</v>
      </c>
      <c r="G12093" s="46">
        <v>9.153847235087E12</v>
      </c>
      <c r="H12093" s="46" t="s">
        <v>5062</v>
      </c>
      <c r="I12093" s="46" t="s">
        <v>5063</v>
      </c>
      <c r="J12093" s="46" t="s">
        <v>125</v>
      </c>
      <c r="K12093" s="46" t="s">
        <v>126</v>
      </c>
      <c r="L12093" s="45">
        <v>46016.895833333336</v>
      </c>
      <c r="M12093" s="46" t="s">
        <v>123</v>
      </c>
      <c r="N12093" s="45">
        <v>46017.0625</v>
      </c>
      <c r="O12093" s="46" t="s">
        <v>123</v>
      </c>
      <c r="P12093" s="46">
        <v>14400.0</v>
      </c>
      <c r="S12093" s="46" t="s">
        <v>5069</v>
      </c>
    </row>
    <row r="12094">
      <c r="A12094" s="40">
        <f t="shared" si="1"/>
        <v>46013</v>
      </c>
      <c r="B12094" s="37" t="str">
        <f t="array" ref="B12094">iferror(xlookup($I12094, 'IMPORT VHC Report'!$E:$E, 'IMPORT VHC Report'!$A:$C), )</f>
        <v/>
      </c>
      <c r="C12094" s="44"/>
      <c r="D12094" s="44"/>
      <c r="E12094" s="46" t="s">
        <v>8112</v>
      </c>
      <c r="F12094" s="46" t="s">
        <v>5061</v>
      </c>
      <c r="G12094" s="46">
        <v>9.153847235087E12</v>
      </c>
      <c r="H12094" s="46" t="s">
        <v>5062</v>
      </c>
      <c r="I12094" s="46" t="s">
        <v>5063</v>
      </c>
      <c r="J12094" s="46" t="s">
        <v>4859</v>
      </c>
      <c r="K12094" s="46" t="s">
        <v>63</v>
      </c>
      <c r="L12094" s="45">
        <v>46017.708333333336</v>
      </c>
      <c r="M12094" s="46" t="s">
        <v>123</v>
      </c>
      <c r="N12094" s="45">
        <v>46018.0625</v>
      </c>
      <c r="O12094" s="46" t="s">
        <v>123</v>
      </c>
      <c r="P12094" s="46">
        <v>30600.0</v>
      </c>
    </row>
    <row r="12095">
      <c r="A12095" s="40">
        <f t="shared" si="1"/>
        <v>46013</v>
      </c>
      <c r="B12095" s="37" t="str">
        <f t="array" ref="B12095">iferror(xlookup($I12095, 'IMPORT VHC Report'!$E:$E, 'IMPORT VHC Report'!$A:$C), )</f>
        <v/>
      </c>
      <c r="C12095" s="44"/>
      <c r="D12095" s="44"/>
      <c r="E12095" s="46" t="s">
        <v>8113</v>
      </c>
      <c r="F12095" s="46" t="s">
        <v>5061</v>
      </c>
      <c r="G12095" s="46">
        <v>9.153847235087E12</v>
      </c>
      <c r="H12095" s="46" t="s">
        <v>5062</v>
      </c>
      <c r="I12095" s="46" t="s">
        <v>5063</v>
      </c>
      <c r="J12095" s="46" t="s">
        <v>5617</v>
      </c>
      <c r="K12095" s="46" t="s">
        <v>153</v>
      </c>
      <c r="L12095" s="45">
        <v>46017.708333333336</v>
      </c>
      <c r="M12095" s="46" t="s">
        <v>123</v>
      </c>
      <c r="N12095" s="45">
        <v>46018.083333333336</v>
      </c>
      <c r="O12095" s="46" t="s">
        <v>123</v>
      </c>
      <c r="P12095" s="46">
        <v>32400.0</v>
      </c>
      <c r="Q12095" s="46">
        <v>32400.0</v>
      </c>
      <c r="R12095" s="46" t="s">
        <v>7889</v>
      </c>
      <c r="S12095" s="46" t="s">
        <v>7889</v>
      </c>
    </row>
    <row r="12096">
      <c r="A12096" s="40">
        <f t="shared" si="1"/>
        <v>46013</v>
      </c>
      <c r="B12096" s="37" t="str">
        <f t="array" ref="B12096">iferror(xlookup($I12096, 'IMPORT VHC Report'!$E:$E, 'IMPORT VHC Report'!$A:$C), )</f>
        <v/>
      </c>
      <c r="C12096" s="44"/>
      <c r="D12096" s="44"/>
      <c r="E12096" s="46" t="s">
        <v>8114</v>
      </c>
      <c r="F12096" s="46" t="s">
        <v>5061</v>
      </c>
      <c r="G12096" s="46">
        <v>9.153847235087E12</v>
      </c>
      <c r="H12096" s="46" t="s">
        <v>5062</v>
      </c>
      <c r="I12096" s="46" t="s">
        <v>5063</v>
      </c>
      <c r="J12096" s="46" t="s">
        <v>134</v>
      </c>
      <c r="K12096" s="46" t="s">
        <v>126</v>
      </c>
      <c r="L12096" s="45">
        <v>46017.78125</v>
      </c>
      <c r="M12096" s="46" t="s">
        <v>123</v>
      </c>
      <c r="N12096" s="45">
        <v>46017.791666666664</v>
      </c>
      <c r="O12096" s="46" t="s">
        <v>123</v>
      </c>
      <c r="P12096" s="46">
        <v>900.0</v>
      </c>
    </row>
    <row r="12097">
      <c r="A12097" s="40">
        <f t="shared" si="1"/>
        <v>46013</v>
      </c>
      <c r="B12097" s="37" t="str">
        <f t="array" ref="B12097">iferror(xlookup($I12097, 'IMPORT VHC Report'!$E:$E, 'IMPORT VHC Report'!$A:$C), )</f>
        <v/>
      </c>
      <c r="C12097" s="44"/>
      <c r="D12097" s="44"/>
      <c r="E12097" s="46" t="s">
        <v>8115</v>
      </c>
      <c r="F12097" s="46" t="s">
        <v>5061</v>
      </c>
      <c r="G12097" s="46">
        <v>9.153847235087E12</v>
      </c>
      <c r="H12097" s="46" t="s">
        <v>5062</v>
      </c>
      <c r="I12097" s="46" t="s">
        <v>5063</v>
      </c>
      <c r="J12097" s="46" t="s">
        <v>132</v>
      </c>
      <c r="K12097" s="46" t="s">
        <v>126</v>
      </c>
      <c r="L12097" s="45">
        <v>46017.854166666664</v>
      </c>
      <c r="M12097" s="46" t="s">
        <v>123</v>
      </c>
      <c r="N12097" s="45">
        <v>46017.895833333336</v>
      </c>
      <c r="O12097" s="46" t="s">
        <v>123</v>
      </c>
      <c r="P12097" s="46">
        <v>3600.0</v>
      </c>
    </row>
    <row r="12098">
      <c r="A12098" s="40">
        <f t="shared" si="1"/>
        <v>46013</v>
      </c>
      <c r="B12098" s="37" t="str">
        <f t="array" ref="B12098">iferror(xlookup($I12098, 'IMPORT VHC Report'!$E:$E, 'IMPORT VHC Report'!$A:$C), )</f>
        <v/>
      </c>
      <c r="C12098" s="44"/>
      <c r="D12098" s="44"/>
      <c r="E12098" s="46" t="s">
        <v>8116</v>
      </c>
      <c r="F12098" s="46" t="s">
        <v>5061</v>
      </c>
      <c r="G12098" s="46">
        <v>9.153847235087E12</v>
      </c>
      <c r="H12098" s="46" t="s">
        <v>5062</v>
      </c>
      <c r="I12098" s="46" t="s">
        <v>5063</v>
      </c>
      <c r="J12098" s="46" t="s">
        <v>125</v>
      </c>
      <c r="K12098" s="46" t="s">
        <v>126</v>
      </c>
      <c r="L12098" s="45">
        <v>46017.895833333336</v>
      </c>
      <c r="M12098" s="46" t="s">
        <v>123</v>
      </c>
      <c r="N12098" s="45">
        <v>46018.0625</v>
      </c>
      <c r="O12098" s="46" t="s">
        <v>123</v>
      </c>
      <c r="P12098" s="46">
        <v>14400.0</v>
      </c>
      <c r="S12098" s="46" t="s">
        <v>5069</v>
      </c>
    </row>
    <row r="12099">
      <c r="A12099" s="40">
        <f t="shared" si="1"/>
        <v>46013</v>
      </c>
      <c r="B12099" s="37" t="str">
        <f t="array" ref="B12099">iferror(xlookup($I12099, 'IMPORT VHC Report'!$E:$E, 'IMPORT VHC Report'!$A:$C), )</f>
        <v/>
      </c>
      <c r="C12099" s="44"/>
      <c r="D12099" s="44"/>
      <c r="E12099" s="46" t="s">
        <v>8117</v>
      </c>
      <c r="F12099" s="46" t="s">
        <v>5743</v>
      </c>
      <c r="G12099" s="46">
        <v>9.582702695695E12</v>
      </c>
      <c r="H12099" s="46" t="s">
        <v>5744</v>
      </c>
      <c r="I12099" s="46" t="s">
        <v>5745</v>
      </c>
      <c r="J12099" s="46" t="s">
        <v>5746</v>
      </c>
      <c r="K12099" s="46" t="s">
        <v>63</v>
      </c>
      <c r="L12099" s="45">
        <v>46013.916666666664</v>
      </c>
      <c r="M12099" s="46" t="s">
        <v>123</v>
      </c>
      <c r="N12099" s="45">
        <v>46014.125</v>
      </c>
      <c r="O12099" s="46" t="s">
        <v>123</v>
      </c>
      <c r="P12099" s="46">
        <v>18000.0</v>
      </c>
    </row>
    <row r="12100">
      <c r="A12100" s="40">
        <f t="shared" si="1"/>
        <v>46013</v>
      </c>
      <c r="B12100" s="37" t="str">
        <f t="array" ref="B12100">iferror(xlookup($I12100, 'IMPORT VHC Report'!$E:$E, 'IMPORT VHC Report'!$A:$C), )</f>
        <v/>
      </c>
      <c r="C12100" s="44"/>
      <c r="D12100" s="44"/>
      <c r="E12100" s="46" t="s">
        <v>8118</v>
      </c>
      <c r="F12100" s="46" t="s">
        <v>5743</v>
      </c>
      <c r="G12100" s="46">
        <v>9.582702695695E12</v>
      </c>
      <c r="H12100" s="46" t="s">
        <v>5744</v>
      </c>
      <c r="I12100" s="46" t="s">
        <v>5745</v>
      </c>
      <c r="J12100" s="46" t="s">
        <v>132</v>
      </c>
      <c r="K12100" s="46" t="s">
        <v>126</v>
      </c>
      <c r="L12100" s="45">
        <v>46014.041666666664</v>
      </c>
      <c r="M12100" s="46" t="s">
        <v>123</v>
      </c>
      <c r="N12100" s="45">
        <v>46014.083333333336</v>
      </c>
      <c r="O12100" s="46" t="s">
        <v>123</v>
      </c>
      <c r="P12100" s="46">
        <v>3600.0</v>
      </c>
    </row>
    <row r="12101">
      <c r="A12101" s="40">
        <f t="shared" si="1"/>
        <v>46013</v>
      </c>
      <c r="B12101" s="37" t="str">
        <f t="array" ref="B12101">iferror(xlookup($I12101, 'IMPORT VHC Report'!$E:$E, 'IMPORT VHC Report'!$A:$C), )</f>
        <v/>
      </c>
      <c r="C12101" s="44"/>
      <c r="D12101" s="44"/>
      <c r="E12101" s="46" t="s">
        <v>8119</v>
      </c>
      <c r="F12101" s="46" t="s">
        <v>5743</v>
      </c>
      <c r="G12101" s="46">
        <v>9.582702695695E12</v>
      </c>
      <c r="H12101" s="46" t="s">
        <v>5744</v>
      </c>
      <c r="I12101" s="46" t="s">
        <v>5745</v>
      </c>
      <c r="J12101" s="46" t="s">
        <v>1670</v>
      </c>
      <c r="K12101" s="46" t="s">
        <v>63</v>
      </c>
      <c r="L12101" s="45">
        <v>46014.125</v>
      </c>
      <c r="M12101" s="46" t="s">
        <v>123</v>
      </c>
      <c r="N12101" s="45">
        <v>46014.291666666664</v>
      </c>
      <c r="O12101" s="46" t="s">
        <v>123</v>
      </c>
      <c r="P12101" s="46">
        <v>14400.0</v>
      </c>
      <c r="S12101" s="46" t="s">
        <v>5750</v>
      </c>
    </row>
    <row r="12102">
      <c r="A12102" s="40">
        <f t="shared" si="1"/>
        <v>46013</v>
      </c>
      <c r="B12102" s="37" t="str">
        <f t="array" ref="B12102">iferror(xlookup($I12102, 'IMPORT VHC Report'!$E:$E, 'IMPORT VHC Report'!$A:$C), )</f>
        <v/>
      </c>
      <c r="C12102" s="44"/>
      <c r="D12102" s="44"/>
      <c r="E12102" s="46" t="s">
        <v>8120</v>
      </c>
      <c r="F12102" s="46" t="s">
        <v>5743</v>
      </c>
      <c r="G12102" s="46">
        <v>9.582702695695E12</v>
      </c>
      <c r="H12102" s="46" t="s">
        <v>5744</v>
      </c>
      <c r="I12102" s="46" t="s">
        <v>5745</v>
      </c>
      <c r="J12102" s="46" t="s">
        <v>5746</v>
      </c>
      <c r="K12102" s="46" t="s">
        <v>63</v>
      </c>
      <c r="L12102" s="45">
        <v>46014.916666666664</v>
      </c>
      <c r="M12102" s="46" t="s">
        <v>123</v>
      </c>
      <c r="N12102" s="45">
        <v>46015.125</v>
      </c>
      <c r="O12102" s="46" t="s">
        <v>123</v>
      </c>
      <c r="P12102" s="46">
        <v>18000.0</v>
      </c>
    </row>
    <row r="12103">
      <c r="A12103" s="40">
        <f t="shared" si="1"/>
        <v>46013</v>
      </c>
      <c r="B12103" s="37" t="str">
        <f t="array" ref="B12103">iferror(xlookup($I12103, 'IMPORT VHC Report'!$E:$E, 'IMPORT VHC Report'!$A:$C), )</f>
        <v/>
      </c>
      <c r="C12103" s="44"/>
      <c r="D12103" s="44"/>
      <c r="E12103" s="46" t="s">
        <v>8121</v>
      </c>
      <c r="F12103" s="46" t="s">
        <v>5743</v>
      </c>
      <c r="G12103" s="46">
        <v>9.582702695695E12</v>
      </c>
      <c r="H12103" s="46" t="s">
        <v>5744</v>
      </c>
      <c r="I12103" s="46" t="s">
        <v>5745</v>
      </c>
      <c r="J12103" s="46" t="s">
        <v>132</v>
      </c>
      <c r="K12103" s="46" t="s">
        <v>126</v>
      </c>
      <c r="L12103" s="45">
        <v>46015.041666666664</v>
      </c>
      <c r="M12103" s="46" t="s">
        <v>123</v>
      </c>
      <c r="N12103" s="45">
        <v>46015.083333333336</v>
      </c>
      <c r="O12103" s="46" t="s">
        <v>123</v>
      </c>
      <c r="P12103" s="46">
        <v>3600.0</v>
      </c>
    </row>
    <row r="12104">
      <c r="A12104" s="40">
        <f t="shared" si="1"/>
        <v>46013</v>
      </c>
      <c r="B12104" s="37" t="str">
        <f t="array" ref="B12104">iferror(xlookup($I12104, 'IMPORT VHC Report'!$E:$E, 'IMPORT VHC Report'!$A:$C), )</f>
        <v/>
      </c>
      <c r="C12104" s="44"/>
      <c r="D12104" s="44"/>
      <c r="E12104" s="46" t="s">
        <v>8122</v>
      </c>
      <c r="F12104" s="46" t="s">
        <v>5743</v>
      </c>
      <c r="G12104" s="46">
        <v>9.582702695695E12</v>
      </c>
      <c r="H12104" s="46" t="s">
        <v>5744</v>
      </c>
      <c r="I12104" s="46" t="s">
        <v>5745</v>
      </c>
      <c r="J12104" s="46" t="s">
        <v>1670</v>
      </c>
      <c r="K12104" s="46" t="s">
        <v>63</v>
      </c>
      <c r="L12104" s="45">
        <v>46015.125</v>
      </c>
      <c r="M12104" s="46" t="s">
        <v>123</v>
      </c>
      <c r="N12104" s="45">
        <v>46015.291666666664</v>
      </c>
      <c r="O12104" s="46" t="s">
        <v>123</v>
      </c>
      <c r="P12104" s="46">
        <v>14400.0</v>
      </c>
      <c r="S12104" s="46" t="s">
        <v>5750</v>
      </c>
    </row>
    <row r="12105">
      <c r="A12105" s="40">
        <f t="shared" si="1"/>
        <v>46013</v>
      </c>
      <c r="B12105" s="37" t="str">
        <f t="array" ref="B12105">iferror(xlookup($I12105, 'IMPORT VHC Report'!$E:$E, 'IMPORT VHC Report'!$A:$C), )</f>
        <v/>
      </c>
      <c r="C12105" s="44"/>
      <c r="D12105" s="44"/>
      <c r="E12105" s="46" t="s">
        <v>8123</v>
      </c>
      <c r="F12105" s="46" t="s">
        <v>5743</v>
      </c>
      <c r="G12105" s="46">
        <v>9.582702695695E12</v>
      </c>
      <c r="H12105" s="46" t="s">
        <v>5744</v>
      </c>
      <c r="I12105" s="46" t="s">
        <v>5745</v>
      </c>
      <c r="J12105" s="46" t="s">
        <v>5617</v>
      </c>
      <c r="K12105" s="46" t="s">
        <v>153</v>
      </c>
      <c r="L12105" s="45">
        <v>46015.916666666664</v>
      </c>
      <c r="M12105" s="46" t="s">
        <v>123</v>
      </c>
      <c r="N12105" s="45">
        <v>46016.291666666664</v>
      </c>
      <c r="O12105" s="46" t="s">
        <v>123</v>
      </c>
      <c r="P12105" s="46">
        <v>32400.0</v>
      </c>
      <c r="Q12105" s="46">
        <v>32400.0</v>
      </c>
      <c r="R12105" s="46" t="s">
        <v>8124</v>
      </c>
      <c r="S12105" s="46" t="s">
        <v>8124</v>
      </c>
    </row>
    <row r="12106">
      <c r="A12106" s="40">
        <f t="shared" si="1"/>
        <v>46013</v>
      </c>
      <c r="B12106" s="37" t="str">
        <f t="array" ref="B12106">iferror(xlookup($I12106, 'IMPORT VHC Report'!$E:$E, 'IMPORT VHC Report'!$A:$C), )</f>
        <v/>
      </c>
      <c r="C12106" s="44"/>
      <c r="D12106" s="44"/>
      <c r="E12106" s="46" t="s">
        <v>8125</v>
      </c>
      <c r="F12106" s="46" t="s">
        <v>5743</v>
      </c>
      <c r="G12106" s="46">
        <v>9.582702695695E12</v>
      </c>
      <c r="H12106" s="46" t="s">
        <v>5744</v>
      </c>
      <c r="I12106" s="46" t="s">
        <v>5745</v>
      </c>
      <c r="J12106" s="46" t="s">
        <v>5617</v>
      </c>
      <c r="K12106" s="46" t="s">
        <v>153</v>
      </c>
      <c r="L12106" s="45">
        <v>46016.916666666664</v>
      </c>
      <c r="M12106" s="46" t="s">
        <v>123</v>
      </c>
      <c r="N12106" s="45">
        <v>46017.291666666664</v>
      </c>
      <c r="O12106" s="46" t="s">
        <v>123</v>
      </c>
      <c r="P12106" s="46">
        <v>32400.0</v>
      </c>
      <c r="Q12106" s="46">
        <v>32400.0</v>
      </c>
      <c r="R12106" s="46" t="s">
        <v>7887</v>
      </c>
      <c r="S12106" s="46" t="s">
        <v>7887</v>
      </c>
    </row>
    <row r="12107">
      <c r="A12107" s="40">
        <f t="shared" si="1"/>
        <v>46013</v>
      </c>
      <c r="B12107" s="37" t="str">
        <f t="array" ref="B12107">iferror(xlookup($I12107, 'IMPORT VHC Report'!$E:$E, 'IMPORT VHC Report'!$A:$C), )</f>
        <v/>
      </c>
      <c r="C12107" s="44"/>
      <c r="D12107" s="44"/>
      <c r="E12107" s="46" t="s">
        <v>8126</v>
      </c>
      <c r="F12107" s="46" t="s">
        <v>5743</v>
      </c>
      <c r="G12107" s="46">
        <v>9.582702695695E12</v>
      </c>
      <c r="H12107" s="46" t="s">
        <v>5744</v>
      </c>
      <c r="I12107" s="46" t="s">
        <v>5745</v>
      </c>
      <c r="J12107" s="46" t="s">
        <v>5617</v>
      </c>
      <c r="K12107" s="46" t="s">
        <v>153</v>
      </c>
      <c r="L12107" s="45">
        <v>46017.916666666664</v>
      </c>
      <c r="M12107" s="46" t="s">
        <v>123</v>
      </c>
      <c r="N12107" s="45">
        <v>46018.291666666664</v>
      </c>
      <c r="O12107" s="46" t="s">
        <v>123</v>
      </c>
      <c r="P12107" s="46">
        <v>32400.0</v>
      </c>
      <c r="Q12107" s="46">
        <v>32400.0</v>
      </c>
      <c r="R12107" s="46" t="s">
        <v>8127</v>
      </c>
      <c r="S12107" s="46" t="s">
        <v>8127</v>
      </c>
    </row>
    <row r="12108">
      <c r="A12108" s="40">
        <f t="shared" si="1"/>
        <v>46013</v>
      </c>
      <c r="B12108" s="37" t="str">
        <f t="array" ref="B12108">iferror(xlookup($I12108, 'IMPORT VHC Report'!$E:$E, 'IMPORT VHC Report'!$A:$C), )</f>
        <v/>
      </c>
      <c r="C12108" s="44"/>
      <c r="D12108" s="44"/>
      <c r="E12108" s="46" t="s">
        <v>8128</v>
      </c>
      <c r="F12108" s="46" t="s">
        <v>5831</v>
      </c>
      <c r="G12108" s="46">
        <v>5.563904587279E12</v>
      </c>
      <c r="H12108" s="46" t="s">
        <v>5832</v>
      </c>
      <c r="I12108" s="46" t="s">
        <v>5833</v>
      </c>
      <c r="J12108" s="46" t="s">
        <v>5746</v>
      </c>
      <c r="K12108" s="46" t="s">
        <v>63</v>
      </c>
      <c r="L12108" s="45">
        <v>46013.916666666664</v>
      </c>
      <c r="M12108" s="46" t="s">
        <v>123</v>
      </c>
      <c r="N12108" s="45">
        <v>46014.291666666664</v>
      </c>
      <c r="O12108" s="46" t="s">
        <v>123</v>
      </c>
      <c r="P12108" s="46">
        <v>32400.0</v>
      </c>
    </row>
    <row r="12109">
      <c r="A12109" s="40">
        <f t="shared" si="1"/>
        <v>46013</v>
      </c>
      <c r="B12109" s="37" t="str">
        <f t="array" ref="B12109">iferror(xlookup($I12109, 'IMPORT VHC Report'!$E:$E, 'IMPORT VHC Report'!$A:$C), )</f>
        <v/>
      </c>
      <c r="C12109" s="44"/>
      <c r="D12109" s="44"/>
      <c r="E12109" s="46" t="s">
        <v>8129</v>
      </c>
      <c r="F12109" s="46" t="s">
        <v>5831</v>
      </c>
      <c r="G12109" s="46">
        <v>5.563904587279E12</v>
      </c>
      <c r="H12109" s="46" t="s">
        <v>5832</v>
      </c>
      <c r="I12109" s="46" t="s">
        <v>5833</v>
      </c>
      <c r="J12109" s="46" t="s">
        <v>132</v>
      </c>
      <c r="K12109" s="46" t="s">
        <v>126</v>
      </c>
      <c r="L12109" s="45">
        <v>46014.166666666664</v>
      </c>
      <c r="M12109" s="46" t="s">
        <v>123</v>
      </c>
      <c r="N12109" s="45">
        <v>46014.208333333336</v>
      </c>
      <c r="O12109" s="46" t="s">
        <v>123</v>
      </c>
      <c r="P12109" s="46">
        <v>3600.0</v>
      </c>
      <c r="Q12109" s="46"/>
      <c r="R12109" s="46"/>
    </row>
    <row r="12110">
      <c r="A12110" s="40">
        <f t="shared" si="1"/>
        <v>46013</v>
      </c>
      <c r="B12110" s="37" t="str">
        <f t="array" ref="B12110">iferror(xlookup($I12110, 'IMPORT VHC Report'!$E:$E, 'IMPORT VHC Report'!$A:$C), )</f>
        <v/>
      </c>
      <c r="C12110" s="44"/>
      <c r="D12110" s="44"/>
      <c r="E12110" s="46" t="s">
        <v>8130</v>
      </c>
      <c r="F12110" s="46" t="s">
        <v>5831</v>
      </c>
      <c r="G12110" s="46">
        <v>5.563904587279E12</v>
      </c>
      <c r="H12110" s="46" t="s">
        <v>5832</v>
      </c>
      <c r="I12110" s="46" t="s">
        <v>5833</v>
      </c>
      <c r="J12110" s="46" t="s">
        <v>5746</v>
      </c>
      <c r="K12110" s="46" t="s">
        <v>63</v>
      </c>
      <c r="L12110" s="45">
        <v>46014.916666666664</v>
      </c>
      <c r="M12110" s="46" t="s">
        <v>123</v>
      </c>
      <c r="N12110" s="45">
        <v>46015.291666666664</v>
      </c>
      <c r="O12110" s="46" t="s">
        <v>123</v>
      </c>
      <c r="P12110" s="46">
        <v>32400.0</v>
      </c>
    </row>
    <row r="12111">
      <c r="A12111" s="40">
        <f t="shared" si="1"/>
        <v>46013</v>
      </c>
      <c r="B12111" s="37" t="str">
        <f t="array" ref="B12111">iferror(xlookup($I12111, 'IMPORT VHC Report'!$E:$E, 'IMPORT VHC Report'!$A:$C), )</f>
        <v/>
      </c>
      <c r="C12111" s="44"/>
      <c r="D12111" s="44"/>
      <c r="E12111" s="46" t="s">
        <v>8131</v>
      </c>
      <c r="F12111" s="46" t="s">
        <v>5831</v>
      </c>
      <c r="G12111" s="46">
        <v>5.563904587279E12</v>
      </c>
      <c r="H12111" s="46" t="s">
        <v>5832</v>
      </c>
      <c r="I12111" s="46" t="s">
        <v>5833</v>
      </c>
      <c r="J12111" s="46" t="s">
        <v>132</v>
      </c>
      <c r="K12111" s="46" t="s">
        <v>126</v>
      </c>
      <c r="L12111" s="45">
        <v>46015.166666666664</v>
      </c>
      <c r="M12111" s="46" t="s">
        <v>123</v>
      </c>
      <c r="N12111" s="45">
        <v>46015.208333333336</v>
      </c>
      <c r="O12111" s="46" t="s">
        <v>123</v>
      </c>
      <c r="P12111" s="46">
        <v>3600.0</v>
      </c>
    </row>
    <row r="12112">
      <c r="A12112" s="40">
        <f t="shared" si="1"/>
        <v>46013</v>
      </c>
      <c r="B12112" s="37" t="str">
        <f t="array" ref="B12112">iferror(xlookup($I12112, 'IMPORT VHC Report'!$E:$E, 'IMPORT VHC Report'!$A:$C), )</f>
        <v/>
      </c>
      <c r="C12112" s="44"/>
      <c r="D12112" s="44"/>
      <c r="E12112" s="46" t="s">
        <v>8132</v>
      </c>
      <c r="F12112" s="46" t="s">
        <v>5831</v>
      </c>
      <c r="G12112" s="46">
        <v>5.563904587279E12</v>
      </c>
      <c r="H12112" s="46" t="s">
        <v>5832</v>
      </c>
      <c r="I12112" s="46" t="s">
        <v>5833</v>
      </c>
      <c r="J12112" s="46" t="s">
        <v>5617</v>
      </c>
      <c r="K12112" s="46" t="s">
        <v>153</v>
      </c>
      <c r="L12112" s="45">
        <v>46015.916666666664</v>
      </c>
      <c r="M12112" s="46" t="s">
        <v>123</v>
      </c>
      <c r="N12112" s="45">
        <v>46016.291666666664</v>
      </c>
      <c r="O12112" s="46" t="s">
        <v>123</v>
      </c>
      <c r="P12112" s="46">
        <v>32400.0</v>
      </c>
      <c r="Q12112" s="46">
        <v>32400.0</v>
      </c>
      <c r="R12112" s="46" t="s">
        <v>8124</v>
      </c>
      <c r="S12112" s="46" t="s">
        <v>8124</v>
      </c>
    </row>
    <row r="12113">
      <c r="A12113" s="40">
        <f t="shared" si="1"/>
        <v>46013</v>
      </c>
      <c r="B12113" s="37" t="str">
        <f t="array" ref="B12113">iferror(xlookup($I12113, 'IMPORT VHC Report'!$E:$E, 'IMPORT VHC Report'!$A:$C), )</f>
        <v/>
      </c>
      <c r="C12113" s="44"/>
      <c r="D12113" s="44"/>
      <c r="E12113" s="46" t="s">
        <v>8133</v>
      </c>
      <c r="F12113" s="46" t="s">
        <v>5831</v>
      </c>
      <c r="G12113" s="46">
        <v>5.563904587279E12</v>
      </c>
      <c r="H12113" s="46" t="s">
        <v>5832</v>
      </c>
      <c r="I12113" s="46" t="s">
        <v>5833</v>
      </c>
      <c r="J12113" s="46" t="s">
        <v>5617</v>
      </c>
      <c r="K12113" s="46" t="s">
        <v>153</v>
      </c>
      <c r="L12113" s="45">
        <v>46016.916666666664</v>
      </c>
      <c r="M12113" s="46" t="s">
        <v>123</v>
      </c>
      <c r="N12113" s="45">
        <v>46017.291666666664</v>
      </c>
      <c r="O12113" s="46" t="s">
        <v>123</v>
      </c>
      <c r="P12113" s="46">
        <v>32400.0</v>
      </c>
      <c r="Q12113" s="46">
        <v>32400.0</v>
      </c>
      <c r="R12113" s="46" t="s">
        <v>7887</v>
      </c>
      <c r="S12113" s="46" t="s">
        <v>7887</v>
      </c>
    </row>
    <row r="12114">
      <c r="A12114" s="40">
        <f t="shared" si="1"/>
        <v>46013</v>
      </c>
      <c r="B12114" s="37" t="str">
        <f t="array" ref="B12114">iferror(xlookup($I12114, 'IMPORT VHC Report'!$E:$E, 'IMPORT VHC Report'!$A:$C), )</f>
        <v/>
      </c>
      <c r="C12114" s="44"/>
      <c r="D12114" s="44"/>
      <c r="E12114" s="46" t="s">
        <v>8134</v>
      </c>
      <c r="F12114" s="46" t="s">
        <v>5831</v>
      </c>
      <c r="G12114" s="46">
        <v>5.563904587279E12</v>
      </c>
      <c r="H12114" s="46" t="s">
        <v>5832</v>
      </c>
      <c r="I12114" s="46" t="s">
        <v>5833</v>
      </c>
      <c r="J12114" s="46" t="s">
        <v>5617</v>
      </c>
      <c r="K12114" s="46" t="s">
        <v>153</v>
      </c>
      <c r="L12114" s="45">
        <v>46017.916666666664</v>
      </c>
      <c r="M12114" s="46" t="s">
        <v>123</v>
      </c>
      <c r="N12114" s="45">
        <v>46018.291666666664</v>
      </c>
      <c r="O12114" s="46" t="s">
        <v>123</v>
      </c>
      <c r="P12114" s="46">
        <v>32400.0</v>
      </c>
      <c r="Q12114" s="46">
        <v>32400.0</v>
      </c>
      <c r="R12114" s="46" t="s">
        <v>8127</v>
      </c>
      <c r="S12114" s="46" t="s">
        <v>8127</v>
      </c>
    </row>
    <row r="12115">
      <c r="A12115" s="40">
        <f t="shared" si="1"/>
        <v>46013</v>
      </c>
      <c r="B12115" s="37" t="str">
        <f t="array" ref="B12115">iferror(xlookup($I12115, 'IMPORT VHC Report'!$E:$E, 'IMPORT VHC Report'!$A:$C), )</f>
        <v/>
      </c>
      <c r="C12115" s="44"/>
      <c r="D12115" s="44"/>
      <c r="E12115" s="46" t="s">
        <v>8135</v>
      </c>
      <c r="F12115" s="46" t="s">
        <v>5851</v>
      </c>
      <c r="G12115" s="46">
        <v>9.684963584655E12</v>
      </c>
      <c r="H12115" s="46" t="s">
        <v>5852</v>
      </c>
      <c r="I12115" s="46" t="s">
        <v>5853</v>
      </c>
      <c r="J12115" s="46" t="s">
        <v>5746</v>
      </c>
      <c r="K12115" s="46" t="s">
        <v>63</v>
      </c>
      <c r="L12115" s="45">
        <v>46013.916666666664</v>
      </c>
      <c r="M12115" s="46" t="s">
        <v>123</v>
      </c>
      <c r="N12115" s="45">
        <v>46014.083333333336</v>
      </c>
      <c r="O12115" s="46" t="s">
        <v>123</v>
      </c>
      <c r="P12115" s="46">
        <v>14400.0</v>
      </c>
    </row>
    <row r="12116">
      <c r="A12116" s="40">
        <f t="shared" si="1"/>
        <v>46013</v>
      </c>
      <c r="B12116" s="37" t="str">
        <f t="array" ref="B12116">iferror(xlookup($I12116, 'IMPORT VHC Report'!$E:$E, 'IMPORT VHC Report'!$A:$C), )</f>
        <v/>
      </c>
      <c r="C12116" s="44"/>
      <c r="D12116" s="44"/>
      <c r="E12116" s="46" t="s">
        <v>8136</v>
      </c>
      <c r="F12116" s="46" t="s">
        <v>5851</v>
      </c>
      <c r="G12116" s="46">
        <v>9.684963584655E12</v>
      </c>
      <c r="H12116" s="46" t="s">
        <v>5852</v>
      </c>
      <c r="I12116" s="46" t="s">
        <v>5853</v>
      </c>
      <c r="J12116" s="46" t="s">
        <v>132</v>
      </c>
      <c r="K12116" s="46" t="s">
        <v>126</v>
      </c>
      <c r="L12116" s="45">
        <v>46014.041666666664</v>
      </c>
      <c r="M12116" s="46" t="s">
        <v>123</v>
      </c>
      <c r="N12116" s="45">
        <v>46014.083333333336</v>
      </c>
      <c r="O12116" s="46" t="s">
        <v>123</v>
      </c>
      <c r="P12116" s="46">
        <v>3600.0</v>
      </c>
    </row>
    <row r="12117">
      <c r="A12117" s="40">
        <f t="shared" si="1"/>
        <v>46013</v>
      </c>
      <c r="B12117" s="37" t="str">
        <f t="array" ref="B12117">iferror(xlookup($I12117, 'IMPORT VHC Report'!$E:$E, 'IMPORT VHC Report'!$A:$C), )</f>
        <v/>
      </c>
      <c r="C12117" s="44"/>
      <c r="D12117" s="44"/>
      <c r="E12117" s="46" t="s">
        <v>8137</v>
      </c>
      <c r="F12117" s="46" t="s">
        <v>5851</v>
      </c>
      <c r="G12117" s="46">
        <v>9.684963584655E12</v>
      </c>
      <c r="H12117" s="46" t="s">
        <v>5852</v>
      </c>
      <c r="I12117" s="46" t="s">
        <v>5853</v>
      </c>
      <c r="J12117" s="46" t="s">
        <v>62</v>
      </c>
      <c r="K12117" s="46" t="s">
        <v>63</v>
      </c>
      <c r="L12117" s="45">
        <v>46014.083333333336</v>
      </c>
      <c r="M12117" s="46" t="s">
        <v>123</v>
      </c>
      <c r="N12117" s="45">
        <v>46014.104166666664</v>
      </c>
      <c r="O12117" s="46" t="s">
        <v>123</v>
      </c>
      <c r="P12117" s="46">
        <v>1800.0</v>
      </c>
    </row>
    <row r="12118">
      <c r="A12118" s="40">
        <f t="shared" si="1"/>
        <v>46013</v>
      </c>
      <c r="B12118" s="37" t="str">
        <f t="array" ref="B12118">iferror(xlookup($I12118, 'IMPORT VHC Report'!$E:$E, 'IMPORT VHC Report'!$A:$C), )</f>
        <v/>
      </c>
      <c r="C12118" s="44"/>
      <c r="D12118" s="44"/>
      <c r="E12118" s="46" t="s">
        <v>8138</v>
      </c>
      <c r="F12118" s="46" t="s">
        <v>5851</v>
      </c>
      <c r="G12118" s="46">
        <v>9.684963584655E12</v>
      </c>
      <c r="H12118" s="46" t="s">
        <v>5852</v>
      </c>
      <c r="I12118" s="46" t="s">
        <v>5853</v>
      </c>
      <c r="J12118" s="46" t="s">
        <v>4</v>
      </c>
      <c r="K12118" s="46" t="s">
        <v>126</v>
      </c>
      <c r="L12118" s="45">
        <v>46014.083333333336</v>
      </c>
      <c r="M12118" s="46" t="s">
        <v>123</v>
      </c>
      <c r="N12118" s="45">
        <v>46014.125</v>
      </c>
      <c r="O12118" s="46" t="s">
        <v>123</v>
      </c>
      <c r="P12118" s="46">
        <v>3600.0</v>
      </c>
      <c r="S12118" s="46" t="s">
        <v>3090</v>
      </c>
    </row>
    <row r="12119">
      <c r="A12119" s="40">
        <f t="shared" si="1"/>
        <v>46013</v>
      </c>
      <c r="B12119" s="37" t="str">
        <f t="array" ref="B12119">iferror(xlookup($I12119, 'IMPORT VHC Report'!$E:$E, 'IMPORT VHC Report'!$A:$C), )</f>
        <v/>
      </c>
      <c r="C12119" s="44"/>
      <c r="D12119" s="44"/>
      <c r="E12119" s="46" t="s">
        <v>8139</v>
      </c>
      <c r="F12119" s="46" t="s">
        <v>5851</v>
      </c>
      <c r="G12119" s="46">
        <v>9.684963584655E12</v>
      </c>
      <c r="H12119" s="46" t="s">
        <v>5852</v>
      </c>
      <c r="I12119" s="46" t="s">
        <v>5853</v>
      </c>
      <c r="J12119" s="46" t="s">
        <v>5746</v>
      </c>
      <c r="K12119" s="46" t="s">
        <v>63</v>
      </c>
      <c r="L12119" s="45">
        <v>46014.104166666664</v>
      </c>
      <c r="M12119" s="46" t="s">
        <v>123</v>
      </c>
      <c r="N12119" s="45">
        <v>46014.291666666664</v>
      </c>
      <c r="O12119" s="46" t="s">
        <v>123</v>
      </c>
      <c r="P12119" s="46">
        <v>16200.0</v>
      </c>
    </row>
    <row r="12120">
      <c r="A12120" s="40">
        <f t="shared" si="1"/>
        <v>46013</v>
      </c>
      <c r="B12120" s="37" t="str">
        <f t="array" ref="B12120">iferror(xlookup($I12120, 'IMPORT VHC Report'!$E:$E, 'IMPORT VHC Report'!$A:$C), )</f>
        <v/>
      </c>
      <c r="C12120" s="44"/>
      <c r="D12120" s="44"/>
      <c r="E12120" s="46" t="s">
        <v>8140</v>
      </c>
      <c r="F12120" s="46" t="s">
        <v>5851</v>
      </c>
      <c r="G12120" s="46">
        <v>9.684963584655E12</v>
      </c>
      <c r="H12120" s="46" t="s">
        <v>5852</v>
      </c>
      <c r="I12120" s="46" t="s">
        <v>5853</v>
      </c>
      <c r="J12120" s="46" t="s">
        <v>5746</v>
      </c>
      <c r="K12120" s="46" t="s">
        <v>63</v>
      </c>
      <c r="L12120" s="45">
        <v>46014.916666666664</v>
      </c>
      <c r="M12120" s="46" t="s">
        <v>123</v>
      </c>
      <c r="N12120" s="45">
        <v>46015.291666666664</v>
      </c>
      <c r="O12120" s="46" t="s">
        <v>123</v>
      </c>
      <c r="P12120" s="46">
        <v>32400.0</v>
      </c>
    </row>
    <row r="12121">
      <c r="A12121" s="40">
        <f t="shared" si="1"/>
        <v>46013</v>
      </c>
      <c r="B12121" s="37" t="str">
        <f t="array" ref="B12121">iferror(xlookup($I12121, 'IMPORT VHC Report'!$E:$E, 'IMPORT VHC Report'!$A:$C), )</f>
        <v/>
      </c>
      <c r="C12121" s="44"/>
      <c r="D12121" s="44"/>
      <c r="E12121" s="46" t="s">
        <v>8141</v>
      </c>
      <c r="F12121" s="46" t="s">
        <v>5851</v>
      </c>
      <c r="G12121" s="46">
        <v>9.684963584655E12</v>
      </c>
      <c r="H12121" s="46" t="s">
        <v>5852</v>
      </c>
      <c r="I12121" s="46" t="s">
        <v>5853</v>
      </c>
      <c r="J12121" s="46" t="s">
        <v>132</v>
      </c>
      <c r="K12121" s="46" t="s">
        <v>126</v>
      </c>
      <c r="L12121" s="45">
        <v>46015.041666666664</v>
      </c>
      <c r="M12121" s="46" t="s">
        <v>123</v>
      </c>
      <c r="N12121" s="45">
        <v>46015.083333333336</v>
      </c>
      <c r="O12121" s="46" t="s">
        <v>123</v>
      </c>
      <c r="P12121" s="46">
        <v>3600.0</v>
      </c>
    </row>
    <row r="12122">
      <c r="A12122" s="40">
        <f t="shared" si="1"/>
        <v>46013</v>
      </c>
      <c r="B12122" s="37" t="str">
        <f t="array" ref="B12122">iferror(xlookup($I12122, 'IMPORT VHC Report'!$E:$E, 'IMPORT VHC Report'!$A:$C), )</f>
        <v/>
      </c>
      <c r="C12122" s="44"/>
      <c r="D12122" s="44"/>
      <c r="E12122" s="46" t="s">
        <v>8142</v>
      </c>
      <c r="F12122" s="46" t="s">
        <v>5851</v>
      </c>
      <c r="G12122" s="46">
        <v>9.684963584655E12</v>
      </c>
      <c r="H12122" s="46" t="s">
        <v>5852</v>
      </c>
      <c r="I12122" s="46" t="s">
        <v>5853</v>
      </c>
      <c r="J12122" s="46" t="s">
        <v>5617</v>
      </c>
      <c r="K12122" s="46" t="s">
        <v>153</v>
      </c>
      <c r="L12122" s="45">
        <v>46015.958333333336</v>
      </c>
      <c r="M12122" s="46" t="s">
        <v>123</v>
      </c>
      <c r="N12122" s="45">
        <v>46016.333333333336</v>
      </c>
      <c r="O12122" s="46" t="s">
        <v>123</v>
      </c>
      <c r="P12122" s="46">
        <v>32400.0</v>
      </c>
      <c r="Q12122" s="46">
        <v>32400.0</v>
      </c>
      <c r="R12122" s="46" t="s">
        <v>8124</v>
      </c>
      <c r="S12122" s="46" t="s">
        <v>8124</v>
      </c>
    </row>
    <row r="12123">
      <c r="A12123" s="40">
        <f t="shared" si="1"/>
        <v>46013</v>
      </c>
      <c r="B12123" s="37" t="str">
        <f t="array" ref="B12123">iferror(xlookup($I12123, 'IMPORT VHC Report'!$E:$E, 'IMPORT VHC Report'!$A:$C), )</f>
        <v/>
      </c>
      <c r="C12123" s="44"/>
      <c r="D12123" s="44"/>
      <c r="E12123" s="46" t="s">
        <v>8143</v>
      </c>
      <c r="F12123" s="46" t="s">
        <v>5851</v>
      </c>
      <c r="G12123" s="46">
        <v>9.684963584655E12</v>
      </c>
      <c r="H12123" s="46" t="s">
        <v>5852</v>
      </c>
      <c r="I12123" s="46" t="s">
        <v>5853</v>
      </c>
      <c r="J12123" s="46" t="s">
        <v>5617</v>
      </c>
      <c r="K12123" s="46" t="s">
        <v>153</v>
      </c>
      <c r="L12123" s="45">
        <v>46016.958333333336</v>
      </c>
      <c r="M12123" s="46" t="s">
        <v>123</v>
      </c>
      <c r="N12123" s="45">
        <v>46017.333333333336</v>
      </c>
      <c r="O12123" s="46" t="s">
        <v>123</v>
      </c>
      <c r="P12123" s="46">
        <v>32400.0</v>
      </c>
      <c r="Q12123" s="46">
        <v>32400.0</v>
      </c>
      <c r="R12123" s="46" t="s">
        <v>7887</v>
      </c>
      <c r="S12123" s="46" t="s">
        <v>7887</v>
      </c>
    </row>
    <row r="12124">
      <c r="A12124" s="40">
        <f t="shared" si="1"/>
        <v>46013</v>
      </c>
      <c r="B12124" s="37" t="str">
        <f t="array" ref="B12124">iferror(xlookup($I12124, 'IMPORT VHC Report'!$E:$E, 'IMPORT VHC Report'!$A:$C), )</f>
        <v/>
      </c>
      <c r="C12124" s="44"/>
      <c r="D12124" s="44"/>
      <c r="E12124" s="46" t="s">
        <v>8144</v>
      </c>
      <c r="F12124" s="46" t="s">
        <v>5851</v>
      </c>
      <c r="G12124" s="46">
        <v>9.684963584655E12</v>
      </c>
      <c r="H12124" s="46" t="s">
        <v>5852</v>
      </c>
      <c r="I12124" s="46" t="s">
        <v>5853</v>
      </c>
      <c r="J12124" s="46" t="s">
        <v>5617</v>
      </c>
      <c r="K12124" s="46" t="s">
        <v>153</v>
      </c>
      <c r="L12124" s="45">
        <v>46017.958333333336</v>
      </c>
      <c r="M12124" s="46" t="s">
        <v>123</v>
      </c>
      <c r="N12124" s="45">
        <v>46018.333333333336</v>
      </c>
      <c r="O12124" s="46" t="s">
        <v>123</v>
      </c>
      <c r="P12124" s="46">
        <v>32400.0</v>
      </c>
      <c r="Q12124" s="46">
        <v>32400.0</v>
      </c>
      <c r="R12124" s="46" t="s">
        <v>8127</v>
      </c>
      <c r="S12124" s="46" t="s">
        <v>8127</v>
      </c>
    </row>
    <row r="12125">
      <c r="A12125" s="40">
        <f t="shared" si="1"/>
        <v>46013</v>
      </c>
      <c r="B12125" s="37" t="str">
        <f t="array" ref="B12125">iferror(xlookup($I12125, 'IMPORT VHC Report'!$E:$E, 'IMPORT VHC Report'!$A:$C), )</f>
        <v/>
      </c>
      <c r="C12125" s="44"/>
      <c r="D12125" s="44"/>
      <c r="E12125" s="46" t="s">
        <v>8145</v>
      </c>
      <c r="F12125" s="46" t="s">
        <v>5939</v>
      </c>
      <c r="G12125" s="46">
        <v>5.813415515279E12</v>
      </c>
      <c r="H12125" s="46" t="s">
        <v>5940</v>
      </c>
      <c r="I12125" s="46" t="s">
        <v>5941</v>
      </c>
      <c r="J12125" s="46" t="s">
        <v>5746</v>
      </c>
      <c r="K12125" s="46" t="s">
        <v>63</v>
      </c>
      <c r="L12125" s="45">
        <v>46013.916666666664</v>
      </c>
      <c r="M12125" s="46" t="s">
        <v>123</v>
      </c>
      <c r="N12125" s="45">
        <v>46014.083333333336</v>
      </c>
      <c r="O12125" s="46" t="s">
        <v>123</v>
      </c>
      <c r="P12125" s="46">
        <v>14400.0</v>
      </c>
    </row>
    <row r="12126">
      <c r="A12126" s="40">
        <f t="shared" si="1"/>
        <v>46013</v>
      </c>
      <c r="B12126" s="37" t="str">
        <f t="array" ref="B12126">iferror(xlookup($I12126, 'IMPORT VHC Report'!$E:$E, 'IMPORT VHC Report'!$A:$C), )</f>
        <v/>
      </c>
      <c r="C12126" s="44"/>
      <c r="D12126" s="44"/>
      <c r="E12126" s="46" t="s">
        <v>8146</v>
      </c>
      <c r="F12126" s="46" t="s">
        <v>5939</v>
      </c>
      <c r="G12126" s="46">
        <v>5.813415515279E12</v>
      </c>
      <c r="H12126" s="46" t="s">
        <v>5940</v>
      </c>
      <c r="I12126" s="46" t="s">
        <v>5941</v>
      </c>
      <c r="J12126" s="46" t="s">
        <v>132</v>
      </c>
      <c r="K12126" s="46" t="s">
        <v>126</v>
      </c>
      <c r="L12126" s="45">
        <v>46014.041666666664</v>
      </c>
      <c r="M12126" s="46" t="s">
        <v>123</v>
      </c>
      <c r="N12126" s="45">
        <v>46014.083333333336</v>
      </c>
      <c r="O12126" s="46" t="s">
        <v>123</v>
      </c>
      <c r="P12126" s="46">
        <v>3600.0</v>
      </c>
    </row>
    <row r="12127">
      <c r="A12127" s="40">
        <f t="shared" si="1"/>
        <v>46013</v>
      </c>
      <c r="B12127" s="37" t="str">
        <f t="array" ref="B12127">iferror(xlookup($I12127, 'IMPORT VHC Report'!$E:$E, 'IMPORT VHC Report'!$A:$C), )</f>
        <v/>
      </c>
      <c r="C12127" s="44"/>
      <c r="D12127" s="44"/>
      <c r="E12127" s="46" t="s">
        <v>8147</v>
      </c>
      <c r="F12127" s="46" t="s">
        <v>5939</v>
      </c>
      <c r="G12127" s="46">
        <v>5.813415515279E12</v>
      </c>
      <c r="H12127" s="46" t="s">
        <v>5940</v>
      </c>
      <c r="I12127" s="46" t="s">
        <v>5941</v>
      </c>
      <c r="J12127" s="46" t="s">
        <v>5746</v>
      </c>
      <c r="K12127" s="46" t="s">
        <v>63</v>
      </c>
      <c r="L12127" s="45">
        <v>46014.083333333336</v>
      </c>
      <c r="M12127" s="46" t="s">
        <v>123</v>
      </c>
      <c r="N12127" s="45">
        <v>46014.104166666664</v>
      </c>
      <c r="O12127" s="46" t="s">
        <v>123</v>
      </c>
      <c r="P12127" s="46">
        <v>1800.0</v>
      </c>
    </row>
    <row r="12128">
      <c r="A12128" s="40">
        <f t="shared" si="1"/>
        <v>46013</v>
      </c>
      <c r="B12128" s="37" t="str">
        <f t="array" ref="B12128">iferror(xlookup($I12128, 'IMPORT VHC Report'!$E:$E, 'IMPORT VHC Report'!$A:$C), )</f>
        <v/>
      </c>
      <c r="C12128" s="44"/>
      <c r="D12128" s="44"/>
      <c r="E12128" s="46" t="s">
        <v>8148</v>
      </c>
      <c r="F12128" s="46" t="s">
        <v>5939</v>
      </c>
      <c r="G12128" s="46">
        <v>5.813415515279E12</v>
      </c>
      <c r="H12128" s="46" t="s">
        <v>5940</v>
      </c>
      <c r="I12128" s="46" t="s">
        <v>5941</v>
      </c>
      <c r="J12128" s="46" t="s">
        <v>5746</v>
      </c>
      <c r="K12128" s="46" t="s">
        <v>63</v>
      </c>
      <c r="L12128" s="45">
        <v>46014.104166666664</v>
      </c>
      <c r="M12128" s="46" t="s">
        <v>123</v>
      </c>
      <c r="N12128" s="45">
        <v>46014.291666666664</v>
      </c>
      <c r="O12128" s="46" t="s">
        <v>123</v>
      </c>
      <c r="P12128" s="46">
        <v>16200.0</v>
      </c>
    </row>
    <row r="12129">
      <c r="A12129" s="40">
        <f t="shared" si="1"/>
        <v>46013</v>
      </c>
      <c r="B12129" s="37" t="str">
        <f t="array" ref="B12129">iferror(xlookup($I12129, 'IMPORT VHC Report'!$E:$E, 'IMPORT VHC Report'!$A:$C), )</f>
        <v/>
      </c>
      <c r="C12129" s="44"/>
      <c r="D12129" s="44"/>
      <c r="E12129" s="46" t="s">
        <v>8149</v>
      </c>
      <c r="F12129" s="46" t="s">
        <v>5939</v>
      </c>
      <c r="G12129" s="46">
        <v>5.813415515279E12</v>
      </c>
      <c r="H12129" s="46" t="s">
        <v>5940</v>
      </c>
      <c r="I12129" s="46" t="s">
        <v>5941</v>
      </c>
      <c r="J12129" s="46" t="s">
        <v>5746</v>
      </c>
      <c r="K12129" s="46" t="s">
        <v>63</v>
      </c>
      <c r="L12129" s="45">
        <v>46014.916666666664</v>
      </c>
      <c r="M12129" s="46" t="s">
        <v>123</v>
      </c>
      <c r="N12129" s="45">
        <v>46015.291666666664</v>
      </c>
      <c r="O12129" s="46" t="s">
        <v>123</v>
      </c>
      <c r="P12129" s="46">
        <v>32400.0</v>
      </c>
    </row>
    <row r="12130">
      <c r="A12130" s="40">
        <f t="shared" si="1"/>
        <v>46013</v>
      </c>
      <c r="B12130" s="37" t="str">
        <f t="array" ref="B12130">iferror(xlookup($I12130, 'IMPORT VHC Report'!$E:$E, 'IMPORT VHC Report'!$A:$C), )</f>
        <v/>
      </c>
      <c r="C12130" s="44"/>
      <c r="D12130" s="44"/>
      <c r="E12130" s="46" t="s">
        <v>8150</v>
      </c>
      <c r="F12130" s="46" t="s">
        <v>5939</v>
      </c>
      <c r="G12130" s="46">
        <v>5.813415515279E12</v>
      </c>
      <c r="H12130" s="46" t="s">
        <v>5940</v>
      </c>
      <c r="I12130" s="46" t="s">
        <v>5941</v>
      </c>
      <c r="J12130" s="46" t="s">
        <v>132</v>
      </c>
      <c r="K12130" s="46" t="s">
        <v>126</v>
      </c>
      <c r="L12130" s="45">
        <v>46015.041666666664</v>
      </c>
      <c r="M12130" s="46" t="s">
        <v>123</v>
      </c>
      <c r="N12130" s="45">
        <v>46015.083333333336</v>
      </c>
      <c r="O12130" s="46" t="s">
        <v>123</v>
      </c>
      <c r="P12130" s="46">
        <v>3600.0</v>
      </c>
    </row>
    <row r="12131">
      <c r="A12131" s="40">
        <f t="shared" si="1"/>
        <v>46013</v>
      </c>
      <c r="B12131" s="37" t="str">
        <f t="array" ref="B12131">iferror(xlookup($I12131, 'IMPORT VHC Report'!$E:$E, 'IMPORT VHC Report'!$A:$C), )</f>
        <v/>
      </c>
      <c r="C12131" s="44"/>
      <c r="D12131" s="44"/>
      <c r="E12131" s="46" t="s">
        <v>8151</v>
      </c>
      <c r="F12131" s="46" t="s">
        <v>5939</v>
      </c>
      <c r="G12131" s="46">
        <v>5.813415515279E12</v>
      </c>
      <c r="H12131" s="46" t="s">
        <v>5940</v>
      </c>
      <c r="I12131" s="46" t="s">
        <v>5941</v>
      </c>
      <c r="J12131" s="46" t="s">
        <v>5617</v>
      </c>
      <c r="K12131" s="46" t="s">
        <v>153</v>
      </c>
      <c r="L12131" s="45">
        <v>46015.958333333336</v>
      </c>
      <c r="M12131" s="46" t="s">
        <v>123</v>
      </c>
      <c r="N12131" s="45">
        <v>46016.333333333336</v>
      </c>
      <c r="O12131" s="46" t="s">
        <v>123</v>
      </c>
      <c r="P12131" s="46">
        <v>32400.0</v>
      </c>
      <c r="Q12131" s="46">
        <v>32400.0</v>
      </c>
      <c r="R12131" s="46" t="s">
        <v>8124</v>
      </c>
      <c r="S12131" s="46" t="s">
        <v>8124</v>
      </c>
    </row>
    <row r="12132">
      <c r="A12132" s="40">
        <f t="shared" si="1"/>
        <v>46013</v>
      </c>
      <c r="B12132" s="37" t="str">
        <f t="array" ref="B12132">iferror(xlookup($I12132, 'IMPORT VHC Report'!$E:$E, 'IMPORT VHC Report'!$A:$C), )</f>
        <v/>
      </c>
      <c r="C12132" s="44"/>
      <c r="D12132" s="44"/>
      <c r="E12132" s="46" t="s">
        <v>8152</v>
      </c>
      <c r="F12132" s="46" t="s">
        <v>5939</v>
      </c>
      <c r="G12132" s="46">
        <v>5.813415515279E12</v>
      </c>
      <c r="H12132" s="46" t="s">
        <v>5940</v>
      </c>
      <c r="I12132" s="46" t="s">
        <v>5941</v>
      </c>
      <c r="J12132" s="46" t="s">
        <v>5617</v>
      </c>
      <c r="K12132" s="46" t="s">
        <v>153</v>
      </c>
      <c r="L12132" s="45">
        <v>46016.958333333336</v>
      </c>
      <c r="M12132" s="46" t="s">
        <v>123</v>
      </c>
      <c r="N12132" s="45">
        <v>46017.333333333336</v>
      </c>
      <c r="O12132" s="46" t="s">
        <v>123</v>
      </c>
      <c r="P12132" s="46">
        <v>32400.0</v>
      </c>
      <c r="Q12132" s="46">
        <v>32400.0</v>
      </c>
      <c r="R12132" s="46" t="s">
        <v>7887</v>
      </c>
      <c r="S12132" s="46" t="s">
        <v>7887</v>
      </c>
    </row>
    <row r="12133">
      <c r="A12133" s="40">
        <f t="shared" si="1"/>
        <v>46013</v>
      </c>
      <c r="B12133" s="37" t="str">
        <f t="array" ref="B12133">iferror(xlookup($I12133, 'IMPORT VHC Report'!$E:$E, 'IMPORT VHC Report'!$A:$C), )</f>
        <v/>
      </c>
      <c r="C12133" s="44"/>
      <c r="D12133" s="44"/>
      <c r="E12133" s="46" t="s">
        <v>8153</v>
      </c>
      <c r="F12133" s="46" t="s">
        <v>5939</v>
      </c>
      <c r="G12133" s="46">
        <v>5.813415515279E12</v>
      </c>
      <c r="H12133" s="46" t="s">
        <v>5940</v>
      </c>
      <c r="I12133" s="46" t="s">
        <v>5941</v>
      </c>
      <c r="J12133" s="46" t="s">
        <v>5617</v>
      </c>
      <c r="K12133" s="46" t="s">
        <v>153</v>
      </c>
      <c r="L12133" s="45">
        <v>46017.958333333336</v>
      </c>
      <c r="M12133" s="46" t="s">
        <v>123</v>
      </c>
      <c r="N12133" s="45">
        <v>46018.333333333336</v>
      </c>
      <c r="O12133" s="46" t="s">
        <v>123</v>
      </c>
      <c r="P12133" s="46">
        <v>32400.0</v>
      </c>
      <c r="Q12133" s="46">
        <v>32400.0</v>
      </c>
      <c r="R12133" s="46" t="s">
        <v>8127</v>
      </c>
      <c r="S12133" s="46" t="s">
        <v>8127</v>
      </c>
    </row>
    <row r="12134">
      <c r="A12134" s="40">
        <f t="shared" si="1"/>
        <v>46006</v>
      </c>
      <c r="B12134" s="37" t="str">
        <f t="array" ref="B12134">iferror(xlookup($I12134, 'IMPORT VHC Report'!$E:$E, 'IMPORT VHC Report'!$A:$C), )</f>
        <v/>
      </c>
      <c r="C12134" s="44"/>
      <c r="D12134" s="44"/>
      <c r="E12134" s="46" t="s">
        <v>657</v>
      </c>
      <c r="F12134" s="46" t="s">
        <v>627</v>
      </c>
      <c r="G12134" s="46">
        <v>3.61724830696E11</v>
      </c>
      <c r="H12134" s="46" t="s">
        <v>628</v>
      </c>
      <c r="I12134" s="46" t="s">
        <v>629</v>
      </c>
      <c r="J12134" s="46" t="s">
        <v>368</v>
      </c>
      <c r="K12134" s="46" t="s">
        <v>63</v>
      </c>
      <c r="L12134" s="45">
        <v>46012.791666666664</v>
      </c>
      <c r="M12134" s="46" t="s">
        <v>123</v>
      </c>
      <c r="N12134" s="45">
        <v>46013.166666666664</v>
      </c>
      <c r="O12134" s="46" t="s">
        <v>123</v>
      </c>
      <c r="P12134" s="46">
        <v>32400.0</v>
      </c>
    </row>
    <row r="12135">
      <c r="A12135" s="40">
        <f t="shared" si="1"/>
        <v>46013</v>
      </c>
      <c r="B12135" s="37" t="str">
        <f t="array" ref="B12135">iferror(xlookup($I12135, 'IMPORT VHC Report'!$E:$E, 'IMPORT VHC Report'!$A:$C), )</f>
        <v/>
      </c>
      <c r="C12135" s="44"/>
      <c r="D12135" s="44"/>
      <c r="E12135" s="46" t="s">
        <v>8154</v>
      </c>
      <c r="F12135" s="46" t="s">
        <v>627</v>
      </c>
      <c r="G12135" s="46">
        <v>3.61724830696E11</v>
      </c>
      <c r="H12135" s="46" t="s">
        <v>628</v>
      </c>
      <c r="I12135" s="46" t="s">
        <v>629</v>
      </c>
      <c r="J12135" s="46" t="s">
        <v>132</v>
      </c>
      <c r="K12135" s="46" t="s">
        <v>126</v>
      </c>
      <c r="L12135" s="45">
        <v>46013.0625</v>
      </c>
      <c r="M12135" s="46" t="s">
        <v>123</v>
      </c>
      <c r="N12135" s="45">
        <v>46013.104166666664</v>
      </c>
      <c r="O12135" s="46" t="s">
        <v>123</v>
      </c>
      <c r="P12135" s="46">
        <v>3600.0</v>
      </c>
    </row>
    <row r="12136">
      <c r="A12136" s="40">
        <f t="shared" si="1"/>
        <v>46013</v>
      </c>
      <c r="B12136" s="37" t="str">
        <f t="array" ref="B12136">iferror(xlookup($I12136, 'IMPORT VHC Report'!$E:$E, 'IMPORT VHC Report'!$A:$C), )</f>
        <v/>
      </c>
      <c r="C12136" s="44"/>
      <c r="D12136" s="44"/>
      <c r="E12136" s="46" t="s">
        <v>8155</v>
      </c>
      <c r="F12136" s="46" t="s">
        <v>627</v>
      </c>
      <c r="G12136" s="46">
        <v>3.61724830696E11</v>
      </c>
      <c r="H12136" s="46" t="s">
        <v>628</v>
      </c>
      <c r="I12136" s="46" t="s">
        <v>629</v>
      </c>
      <c r="J12136" s="46" t="s">
        <v>178</v>
      </c>
      <c r="K12136" s="46" t="s">
        <v>153</v>
      </c>
      <c r="L12136" s="45">
        <v>46013.791666666664</v>
      </c>
      <c r="M12136" s="46" t="s">
        <v>123</v>
      </c>
      <c r="N12136" s="45">
        <v>46014.166666666664</v>
      </c>
      <c r="O12136" s="46" t="s">
        <v>123</v>
      </c>
      <c r="P12136" s="46">
        <v>32400.0</v>
      </c>
      <c r="Q12136" s="46">
        <v>32400.0</v>
      </c>
    </row>
    <row r="12137">
      <c r="A12137" s="40">
        <f t="shared" si="1"/>
        <v>46013</v>
      </c>
      <c r="B12137" s="37" t="str">
        <f t="array" ref="B12137">iferror(xlookup($I12137, 'IMPORT VHC Report'!$E:$E, 'IMPORT VHC Report'!$A:$C), )</f>
        <v/>
      </c>
      <c r="C12137" s="44"/>
      <c r="D12137" s="44"/>
      <c r="E12137" s="46" t="s">
        <v>8156</v>
      </c>
      <c r="F12137" s="46" t="s">
        <v>627</v>
      </c>
      <c r="G12137" s="46">
        <v>3.61724830696E11</v>
      </c>
      <c r="H12137" s="46" t="s">
        <v>628</v>
      </c>
      <c r="I12137" s="46" t="s">
        <v>629</v>
      </c>
      <c r="J12137" s="46" t="s">
        <v>368</v>
      </c>
      <c r="K12137" s="46" t="s">
        <v>63</v>
      </c>
      <c r="L12137" s="45">
        <v>46013.791666666664</v>
      </c>
      <c r="M12137" s="46" t="s">
        <v>123</v>
      </c>
      <c r="N12137" s="45">
        <v>46014.166666666664</v>
      </c>
      <c r="O12137" s="46" t="s">
        <v>123</v>
      </c>
      <c r="P12137" s="46">
        <v>32400.0</v>
      </c>
    </row>
    <row r="12138">
      <c r="A12138" s="40">
        <f t="shared" si="1"/>
        <v>46013</v>
      </c>
      <c r="B12138" s="37" t="str">
        <f t="array" ref="B12138">iferror(xlookup($I12138, 'IMPORT VHC Report'!$E:$E, 'IMPORT VHC Report'!$A:$C), )</f>
        <v/>
      </c>
      <c r="C12138" s="44"/>
      <c r="D12138" s="44"/>
      <c r="E12138" s="46" t="s">
        <v>8157</v>
      </c>
      <c r="F12138" s="46" t="s">
        <v>627</v>
      </c>
      <c r="G12138" s="46">
        <v>3.61724830696E11</v>
      </c>
      <c r="H12138" s="46" t="s">
        <v>628</v>
      </c>
      <c r="I12138" s="46" t="s">
        <v>629</v>
      </c>
      <c r="J12138" s="46" t="s">
        <v>134</v>
      </c>
      <c r="K12138" s="46" t="s">
        <v>126</v>
      </c>
      <c r="L12138" s="45">
        <v>46013.947916666664</v>
      </c>
      <c r="M12138" s="46" t="s">
        <v>123</v>
      </c>
      <c r="N12138" s="45">
        <v>46013.96875</v>
      </c>
      <c r="O12138" s="46" t="s">
        <v>123</v>
      </c>
      <c r="P12138" s="46">
        <v>1800.0</v>
      </c>
    </row>
    <row r="12139">
      <c r="A12139" s="40">
        <f t="shared" si="1"/>
        <v>46013</v>
      </c>
      <c r="B12139" s="37" t="str">
        <f t="array" ref="B12139">iferror(xlookup($I12139, 'IMPORT VHC Report'!$E:$E, 'IMPORT VHC Report'!$A:$C), )</f>
        <v/>
      </c>
      <c r="C12139" s="44"/>
      <c r="D12139" s="44"/>
      <c r="E12139" s="46" t="s">
        <v>8158</v>
      </c>
      <c r="F12139" s="46" t="s">
        <v>627</v>
      </c>
      <c r="G12139" s="46">
        <v>3.61724830696E11</v>
      </c>
      <c r="H12139" s="46" t="s">
        <v>628</v>
      </c>
      <c r="I12139" s="46" t="s">
        <v>629</v>
      </c>
      <c r="J12139" s="46" t="s">
        <v>132</v>
      </c>
      <c r="K12139" s="46" t="s">
        <v>126</v>
      </c>
      <c r="L12139" s="45">
        <v>46014.083333333336</v>
      </c>
      <c r="M12139" s="46" t="s">
        <v>123</v>
      </c>
      <c r="N12139" s="45">
        <v>46014.125</v>
      </c>
      <c r="O12139" s="46" t="s">
        <v>123</v>
      </c>
      <c r="P12139" s="46">
        <v>3600.0</v>
      </c>
    </row>
    <row r="12140">
      <c r="A12140" s="40">
        <f t="shared" si="1"/>
        <v>46013</v>
      </c>
      <c r="B12140" s="37" t="str">
        <f t="array" ref="B12140">iferror(xlookup($I12140, 'IMPORT VHC Report'!$E:$E, 'IMPORT VHC Report'!$A:$C), )</f>
        <v/>
      </c>
      <c r="C12140" s="44"/>
      <c r="D12140" s="44"/>
      <c r="E12140" s="46" t="s">
        <v>8159</v>
      </c>
      <c r="F12140" s="46" t="s">
        <v>627</v>
      </c>
      <c r="G12140" s="46">
        <v>3.61724830696E11</v>
      </c>
      <c r="H12140" s="46" t="s">
        <v>628</v>
      </c>
      <c r="I12140" s="46" t="s">
        <v>629</v>
      </c>
      <c r="J12140" s="46" t="s">
        <v>368</v>
      </c>
      <c r="K12140" s="46" t="s">
        <v>63</v>
      </c>
      <c r="L12140" s="45">
        <v>46014.791666666664</v>
      </c>
      <c r="M12140" s="46" t="s">
        <v>123</v>
      </c>
      <c r="N12140" s="45">
        <v>46015.166666666664</v>
      </c>
      <c r="O12140" s="46" t="s">
        <v>123</v>
      </c>
      <c r="P12140" s="46">
        <v>32400.0</v>
      </c>
    </row>
    <row r="12141">
      <c r="A12141" s="40">
        <f t="shared" si="1"/>
        <v>46013</v>
      </c>
      <c r="B12141" s="37" t="str">
        <f t="array" ref="B12141">iferror(xlookup($I12141, 'IMPORT VHC Report'!$E:$E, 'IMPORT VHC Report'!$A:$C), )</f>
        <v/>
      </c>
      <c r="C12141" s="44"/>
      <c r="D12141" s="44"/>
      <c r="E12141" s="46" t="s">
        <v>8160</v>
      </c>
      <c r="F12141" s="46" t="s">
        <v>627</v>
      </c>
      <c r="G12141" s="46">
        <v>3.61724830696E11</v>
      </c>
      <c r="H12141" s="46" t="s">
        <v>628</v>
      </c>
      <c r="I12141" s="46" t="s">
        <v>629</v>
      </c>
      <c r="J12141" s="46" t="s">
        <v>134</v>
      </c>
      <c r="K12141" s="46" t="s">
        <v>126</v>
      </c>
      <c r="L12141" s="45">
        <v>46014.958333333336</v>
      </c>
      <c r="M12141" s="46" t="s">
        <v>123</v>
      </c>
      <c r="N12141" s="45">
        <v>46014.979166666664</v>
      </c>
      <c r="O12141" s="46" t="s">
        <v>123</v>
      </c>
      <c r="P12141" s="46">
        <v>1800.0</v>
      </c>
    </row>
    <row r="12142">
      <c r="A12142" s="40">
        <f t="shared" si="1"/>
        <v>46013</v>
      </c>
      <c r="B12142" s="37" t="str">
        <f t="array" ref="B12142">iferror(xlookup($I12142, 'IMPORT VHC Report'!$E:$E, 'IMPORT VHC Report'!$A:$C), )</f>
        <v/>
      </c>
      <c r="C12142" s="44"/>
      <c r="D12142" s="44"/>
      <c r="E12142" s="46" t="s">
        <v>8161</v>
      </c>
      <c r="F12142" s="46" t="s">
        <v>627</v>
      </c>
      <c r="G12142" s="46">
        <v>3.61724830696E11</v>
      </c>
      <c r="H12142" s="46" t="s">
        <v>628</v>
      </c>
      <c r="I12142" s="46" t="s">
        <v>629</v>
      </c>
      <c r="J12142" s="46" t="s">
        <v>132</v>
      </c>
      <c r="K12142" s="46" t="s">
        <v>126</v>
      </c>
      <c r="L12142" s="45">
        <v>46015.072916666664</v>
      </c>
      <c r="M12142" s="46" t="s">
        <v>123</v>
      </c>
      <c r="N12142" s="45">
        <v>46015.114583333336</v>
      </c>
      <c r="O12142" s="46" t="s">
        <v>123</v>
      </c>
      <c r="P12142" s="46">
        <v>3600.0</v>
      </c>
    </row>
    <row r="12143">
      <c r="A12143" s="40">
        <f t="shared" si="1"/>
        <v>46013</v>
      </c>
      <c r="B12143" s="37" t="str">
        <f t="array" ref="B12143">iferror(xlookup($I12143, 'IMPORT VHC Report'!$E:$E, 'IMPORT VHC Report'!$A:$C), )</f>
        <v/>
      </c>
      <c r="C12143" s="44"/>
      <c r="D12143" s="44"/>
      <c r="E12143" s="46" t="s">
        <v>8162</v>
      </c>
      <c r="F12143" s="46" t="s">
        <v>627</v>
      </c>
      <c r="G12143" s="46">
        <v>3.61724830696E11</v>
      </c>
      <c r="H12143" s="46" t="s">
        <v>628</v>
      </c>
      <c r="I12143" s="46" t="s">
        <v>629</v>
      </c>
      <c r="J12143" s="46" t="s">
        <v>368</v>
      </c>
      <c r="K12143" s="46" t="s">
        <v>63</v>
      </c>
      <c r="L12143" s="45">
        <v>46017.791666666664</v>
      </c>
      <c r="M12143" s="46" t="s">
        <v>123</v>
      </c>
      <c r="N12143" s="45">
        <v>46018.166666666664</v>
      </c>
      <c r="O12143" s="46" t="s">
        <v>123</v>
      </c>
      <c r="P12143" s="46">
        <v>32400.0</v>
      </c>
    </row>
    <row r="12144">
      <c r="A12144" s="40">
        <f t="shared" si="1"/>
        <v>46013</v>
      </c>
      <c r="B12144" s="37" t="str">
        <f t="array" ref="B12144">iferror(xlookup($I12144, 'IMPORT VHC Report'!$E:$E, 'IMPORT VHC Report'!$A:$C), )</f>
        <v/>
      </c>
      <c r="C12144" s="44"/>
      <c r="D12144" s="44"/>
      <c r="E12144" s="46" t="s">
        <v>8163</v>
      </c>
      <c r="F12144" s="46" t="s">
        <v>627</v>
      </c>
      <c r="G12144" s="46">
        <v>3.61724830696E11</v>
      </c>
      <c r="H12144" s="46" t="s">
        <v>628</v>
      </c>
      <c r="I12144" s="46" t="s">
        <v>629</v>
      </c>
      <c r="J12144" s="46" t="s">
        <v>134</v>
      </c>
      <c r="K12144" s="46" t="s">
        <v>126</v>
      </c>
      <c r="L12144" s="45">
        <v>46017.9375</v>
      </c>
      <c r="M12144" s="46" t="s">
        <v>123</v>
      </c>
      <c r="N12144" s="45">
        <v>46017.958333333336</v>
      </c>
      <c r="O12144" s="46" t="s">
        <v>123</v>
      </c>
      <c r="P12144" s="46">
        <v>1800.0</v>
      </c>
    </row>
    <row r="12145">
      <c r="A12145" s="40">
        <f t="shared" si="1"/>
        <v>46013</v>
      </c>
      <c r="B12145" s="37" t="str">
        <f t="array" ref="B12145">iferror(xlookup($I12145, 'IMPORT VHC Report'!$E:$E, 'IMPORT VHC Report'!$A:$C), )</f>
        <v/>
      </c>
      <c r="C12145" s="44"/>
      <c r="D12145" s="44"/>
      <c r="E12145" s="46" t="s">
        <v>8164</v>
      </c>
      <c r="F12145" s="46" t="s">
        <v>627</v>
      </c>
      <c r="G12145" s="46">
        <v>3.61724830696E11</v>
      </c>
      <c r="H12145" s="46" t="s">
        <v>628</v>
      </c>
      <c r="I12145" s="46" t="s">
        <v>629</v>
      </c>
      <c r="J12145" s="46" t="s">
        <v>132</v>
      </c>
      <c r="K12145" s="46" t="s">
        <v>126</v>
      </c>
      <c r="L12145" s="45">
        <v>46018.041666666664</v>
      </c>
      <c r="M12145" s="46" t="s">
        <v>123</v>
      </c>
      <c r="N12145" s="45">
        <v>46018.083333333336</v>
      </c>
      <c r="O12145" s="46" t="s">
        <v>123</v>
      </c>
      <c r="P12145" s="46">
        <v>3600.0</v>
      </c>
    </row>
    <row r="12146">
      <c r="A12146" s="40">
        <f t="shared" si="1"/>
        <v>46013</v>
      </c>
      <c r="B12146" s="37" t="str">
        <f t="array" ref="B12146">iferror(xlookup($I12146, 'IMPORT VHC Report'!$E:$E, 'IMPORT VHC Report'!$A:$C), )</f>
        <v/>
      </c>
      <c r="C12146" s="44"/>
      <c r="D12146" s="44"/>
      <c r="E12146" s="46" t="s">
        <v>8165</v>
      </c>
      <c r="F12146" s="46" t="s">
        <v>627</v>
      </c>
      <c r="G12146" s="46">
        <v>3.61724830696E11</v>
      </c>
      <c r="H12146" s="46" t="s">
        <v>628</v>
      </c>
      <c r="I12146" s="46" t="s">
        <v>629</v>
      </c>
      <c r="J12146" s="46" t="s">
        <v>368</v>
      </c>
      <c r="K12146" s="46" t="s">
        <v>63</v>
      </c>
      <c r="L12146" s="45">
        <v>46018.791666666664</v>
      </c>
      <c r="M12146" s="46" t="s">
        <v>123</v>
      </c>
      <c r="N12146" s="45">
        <v>46019.166666666664</v>
      </c>
      <c r="O12146" s="46" t="s">
        <v>123</v>
      </c>
      <c r="P12146" s="46">
        <v>32400.0</v>
      </c>
    </row>
    <row r="12147">
      <c r="A12147" s="40">
        <f t="shared" si="1"/>
        <v>46013</v>
      </c>
      <c r="B12147" s="37" t="str">
        <f t="array" ref="B12147">iferror(xlookup($I12147, 'IMPORT VHC Report'!$E:$E, 'IMPORT VHC Report'!$A:$C), )</f>
        <v/>
      </c>
      <c r="C12147" s="44"/>
      <c r="D12147" s="44"/>
      <c r="E12147" s="46" t="s">
        <v>8166</v>
      </c>
      <c r="F12147" s="46" t="s">
        <v>627</v>
      </c>
      <c r="G12147" s="46">
        <v>3.61724830696E11</v>
      </c>
      <c r="H12147" s="46" t="s">
        <v>628</v>
      </c>
      <c r="I12147" s="46" t="s">
        <v>629</v>
      </c>
      <c r="J12147" s="46" t="s">
        <v>134</v>
      </c>
      <c r="K12147" s="46" t="s">
        <v>126</v>
      </c>
      <c r="L12147" s="45">
        <v>46018.90625</v>
      </c>
      <c r="M12147" s="46" t="s">
        <v>123</v>
      </c>
      <c r="N12147" s="45">
        <v>46018.927083333336</v>
      </c>
      <c r="O12147" s="46" t="s">
        <v>123</v>
      </c>
      <c r="P12147" s="46">
        <v>1800.0</v>
      </c>
    </row>
    <row r="12148">
      <c r="A12148" s="40">
        <f t="shared" si="1"/>
        <v>46013</v>
      </c>
      <c r="B12148" s="37" t="str">
        <f t="array" ref="B12148">iferror(xlookup($I12148, 'IMPORT VHC Report'!$E:$E, 'IMPORT VHC Report'!$A:$C), )</f>
        <v/>
      </c>
      <c r="C12148" s="44"/>
      <c r="D12148" s="44"/>
      <c r="E12148" s="46" t="s">
        <v>8167</v>
      </c>
      <c r="F12148" s="46" t="s">
        <v>627</v>
      </c>
      <c r="G12148" s="46">
        <v>3.61724830696E11</v>
      </c>
      <c r="H12148" s="46" t="s">
        <v>628</v>
      </c>
      <c r="I12148" s="46" t="s">
        <v>629</v>
      </c>
      <c r="J12148" s="46" t="s">
        <v>132</v>
      </c>
      <c r="K12148" s="46" t="s">
        <v>126</v>
      </c>
      <c r="L12148" s="45">
        <v>46019.041666666664</v>
      </c>
      <c r="M12148" s="46" t="s">
        <v>123</v>
      </c>
      <c r="N12148" s="45">
        <v>46019.083333333336</v>
      </c>
      <c r="O12148" s="46" t="s">
        <v>123</v>
      </c>
      <c r="P12148" s="46">
        <v>3600.0</v>
      </c>
    </row>
    <row r="12149">
      <c r="A12149" s="40">
        <f t="shared" si="1"/>
        <v>46013</v>
      </c>
      <c r="B12149" s="37" t="str">
        <f t="array" ref="B12149">iferror(xlookup($I12149, 'IMPORT VHC Report'!$E:$E, 'IMPORT VHC Report'!$A:$C), )</f>
        <v/>
      </c>
      <c r="C12149" s="44"/>
      <c r="D12149" s="44"/>
      <c r="E12149" s="46" t="s">
        <v>8168</v>
      </c>
      <c r="F12149" s="46" t="s">
        <v>627</v>
      </c>
      <c r="G12149" s="46">
        <v>3.61724830696E11</v>
      </c>
      <c r="H12149" s="46" t="s">
        <v>628</v>
      </c>
      <c r="I12149" s="46" t="s">
        <v>629</v>
      </c>
      <c r="J12149" s="46" t="s">
        <v>368</v>
      </c>
      <c r="K12149" s="46" t="s">
        <v>63</v>
      </c>
      <c r="L12149" s="45">
        <v>46019.791666666664</v>
      </c>
      <c r="M12149" s="46" t="s">
        <v>123</v>
      </c>
      <c r="N12149" s="45">
        <v>46020.166666666664</v>
      </c>
      <c r="O12149" s="46" t="s">
        <v>123</v>
      </c>
      <c r="P12149" s="46">
        <v>32400.0</v>
      </c>
    </row>
    <row r="12150">
      <c r="A12150" s="40">
        <f t="shared" si="1"/>
        <v>46013</v>
      </c>
      <c r="B12150" s="37" t="str">
        <f t="array" ref="B12150">iferror(xlookup($I12150, 'IMPORT VHC Report'!$E:$E, 'IMPORT VHC Report'!$A:$C), )</f>
        <v/>
      </c>
      <c r="C12150" s="44"/>
      <c r="D12150" s="44"/>
      <c r="E12150" s="46" t="s">
        <v>8169</v>
      </c>
      <c r="F12150" s="46" t="s">
        <v>627</v>
      </c>
      <c r="G12150" s="46">
        <v>3.61724830696E11</v>
      </c>
      <c r="H12150" s="46" t="s">
        <v>628</v>
      </c>
      <c r="I12150" s="46" t="s">
        <v>629</v>
      </c>
      <c r="J12150" s="46" t="s">
        <v>134</v>
      </c>
      <c r="K12150" s="46" t="s">
        <v>126</v>
      </c>
      <c r="L12150" s="45">
        <v>46019.885416666664</v>
      </c>
      <c r="M12150" s="46" t="s">
        <v>123</v>
      </c>
      <c r="N12150" s="45">
        <v>46019.90625</v>
      </c>
      <c r="O12150" s="46" t="s">
        <v>123</v>
      </c>
      <c r="P12150" s="46">
        <v>1800.0</v>
      </c>
    </row>
    <row r="12151">
      <c r="A12151" s="40">
        <f t="shared" si="1"/>
        <v>46006</v>
      </c>
      <c r="B12151" s="37" t="str">
        <f t="array" ref="B12151">iferror(xlookup($I12151, 'IMPORT VHC Report'!$E:$E, 'IMPORT VHC Report'!$A:$C), )</f>
        <v/>
      </c>
      <c r="C12151" s="44"/>
      <c r="D12151" s="44"/>
      <c r="E12151" s="46" t="s">
        <v>382</v>
      </c>
      <c r="F12151" s="46" t="s">
        <v>358</v>
      </c>
      <c r="G12151" s="46">
        <v>3.61725374416E11</v>
      </c>
      <c r="H12151" s="46" t="s">
        <v>359</v>
      </c>
      <c r="I12151" s="46" t="s">
        <v>360</v>
      </c>
      <c r="J12151" s="46" t="s">
        <v>178</v>
      </c>
      <c r="K12151" s="46" t="s">
        <v>153</v>
      </c>
      <c r="L12151" s="45">
        <v>46012.833333333336</v>
      </c>
      <c r="M12151" s="46" t="s">
        <v>123</v>
      </c>
      <c r="N12151" s="45">
        <v>46013.208333333336</v>
      </c>
      <c r="O12151" s="46" t="s">
        <v>123</v>
      </c>
      <c r="P12151" s="46">
        <v>32400.0</v>
      </c>
      <c r="Q12151" s="46">
        <v>32400.0</v>
      </c>
      <c r="R12151" s="46" t="s">
        <v>361</v>
      </c>
      <c r="S12151" s="46" t="s">
        <v>361</v>
      </c>
    </row>
    <row r="12152">
      <c r="A12152" s="40">
        <f t="shared" si="1"/>
        <v>46006</v>
      </c>
      <c r="B12152" s="37" t="str">
        <f t="array" ref="B12152">iferror(xlookup($I12152, 'IMPORT VHC Report'!$E:$E, 'IMPORT VHC Report'!$A:$C), )</f>
        <v/>
      </c>
      <c r="C12152" s="44"/>
      <c r="D12152" s="44"/>
      <c r="E12152" s="46" t="s">
        <v>383</v>
      </c>
      <c r="F12152" s="46" t="s">
        <v>358</v>
      </c>
      <c r="G12152" s="46">
        <v>3.61725374416E11</v>
      </c>
      <c r="H12152" s="46" t="s">
        <v>359</v>
      </c>
      <c r="I12152" s="46" t="s">
        <v>360</v>
      </c>
      <c r="J12152" s="46" t="s">
        <v>368</v>
      </c>
      <c r="K12152" s="46" t="s">
        <v>63</v>
      </c>
      <c r="L12152" s="45">
        <v>46012.833333333336</v>
      </c>
      <c r="M12152" s="46" t="s">
        <v>123</v>
      </c>
      <c r="N12152" s="45">
        <v>46013.208333333336</v>
      </c>
      <c r="O12152" s="46" t="s">
        <v>123</v>
      </c>
      <c r="P12152" s="46">
        <v>32400.0</v>
      </c>
    </row>
    <row r="12153">
      <c r="A12153" s="40">
        <f t="shared" si="1"/>
        <v>46013</v>
      </c>
      <c r="B12153" s="37" t="str">
        <f t="array" ref="B12153">iferror(xlookup($I12153, 'IMPORT VHC Report'!$E:$E, 'IMPORT VHC Report'!$A:$C), )</f>
        <v/>
      </c>
      <c r="C12153" s="44"/>
      <c r="D12153" s="44"/>
      <c r="E12153" s="46" t="s">
        <v>8170</v>
      </c>
      <c r="F12153" s="46" t="s">
        <v>358</v>
      </c>
      <c r="G12153" s="46">
        <v>3.61725374416E11</v>
      </c>
      <c r="H12153" s="46" t="s">
        <v>359</v>
      </c>
      <c r="I12153" s="46" t="s">
        <v>360</v>
      </c>
      <c r="J12153" s="46" t="s">
        <v>132</v>
      </c>
      <c r="K12153" s="46" t="s">
        <v>126</v>
      </c>
      <c r="L12153" s="45">
        <v>46013.072916666664</v>
      </c>
      <c r="M12153" s="46" t="s">
        <v>123</v>
      </c>
      <c r="N12153" s="45">
        <v>46013.114583333336</v>
      </c>
      <c r="O12153" s="46" t="s">
        <v>123</v>
      </c>
      <c r="P12153" s="46">
        <v>3600.0</v>
      </c>
    </row>
    <row r="12154">
      <c r="A12154" s="40">
        <f t="shared" si="1"/>
        <v>46013</v>
      </c>
      <c r="B12154" s="37" t="str">
        <f t="array" ref="B12154">iferror(xlookup($I12154, 'IMPORT VHC Report'!$E:$E, 'IMPORT VHC Report'!$A:$C), )</f>
        <v/>
      </c>
      <c r="C12154" s="44"/>
      <c r="D12154" s="44"/>
      <c r="E12154" s="46" t="s">
        <v>8171</v>
      </c>
      <c r="F12154" s="46" t="s">
        <v>358</v>
      </c>
      <c r="G12154" s="46">
        <v>3.61725374416E11</v>
      </c>
      <c r="H12154" s="46" t="s">
        <v>359</v>
      </c>
      <c r="I12154" s="46" t="s">
        <v>360</v>
      </c>
      <c r="J12154" s="46" t="s">
        <v>178</v>
      </c>
      <c r="K12154" s="46" t="s">
        <v>153</v>
      </c>
      <c r="L12154" s="45">
        <v>46015.833333333336</v>
      </c>
      <c r="M12154" s="46" t="s">
        <v>123</v>
      </c>
      <c r="N12154" s="45">
        <v>46016.208333333336</v>
      </c>
      <c r="O12154" s="46" t="s">
        <v>123</v>
      </c>
      <c r="P12154" s="46">
        <v>32400.0</v>
      </c>
      <c r="Q12154" s="46">
        <v>32400.0</v>
      </c>
      <c r="R12154" s="46" t="s">
        <v>379</v>
      </c>
      <c r="S12154" s="46" t="s">
        <v>379</v>
      </c>
    </row>
    <row r="12155">
      <c r="A12155" s="40">
        <f t="shared" si="1"/>
        <v>46013</v>
      </c>
      <c r="B12155" s="37" t="str">
        <f t="array" ref="B12155">iferror(xlookup($I12155, 'IMPORT VHC Report'!$E:$E, 'IMPORT VHC Report'!$A:$C), )</f>
        <v/>
      </c>
      <c r="C12155" s="44"/>
      <c r="D12155" s="44"/>
      <c r="E12155" s="46" t="s">
        <v>8172</v>
      </c>
      <c r="F12155" s="46" t="s">
        <v>358</v>
      </c>
      <c r="G12155" s="46">
        <v>3.61725374416E11</v>
      </c>
      <c r="H12155" s="46" t="s">
        <v>359</v>
      </c>
      <c r="I12155" s="46" t="s">
        <v>360</v>
      </c>
      <c r="J12155" s="46" t="s">
        <v>134</v>
      </c>
      <c r="K12155" s="46" t="s">
        <v>126</v>
      </c>
      <c r="L12155" s="45">
        <v>46015.979166666664</v>
      </c>
      <c r="M12155" s="46" t="s">
        <v>123</v>
      </c>
      <c r="N12155" s="45">
        <v>46016.0</v>
      </c>
      <c r="O12155" s="46" t="s">
        <v>123</v>
      </c>
      <c r="P12155" s="46">
        <v>1800.0</v>
      </c>
    </row>
    <row r="12156">
      <c r="A12156" s="40">
        <f t="shared" si="1"/>
        <v>46013</v>
      </c>
      <c r="B12156" s="37" t="str">
        <f t="array" ref="B12156">iferror(xlookup($I12156, 'IMPORT VHC Report'!$E:$E, 'IMPORT VHC Report'!$A:$C), )</f>
        <v/>
      </c>
      <c r="C12156" s="44"/>
      <c r="D12156" s="44"/>
      <c r="E12156" s="46" t="s">
        <v>8173</v>
      </c>
      <c r="F12156" s="46" t="s">
        <v>358</v>
      </c>
      <c r="G12156" s="46">
        <v>3.61725374416E11</v>
      </c>
      <c r="H12156" s="46" t="s">
        <v>359</v>
      </c>
      <c r="I12156" s="46" t="s">
        <v>360</v>
      </c>
      <c r="J12156" s="46" t="s">
        <v>132</v>
      </c>
      <c r="K12156" s="46" t="s">
        <v>126</v>
      </c>
      <c r="L12156" s="45">
        <v>46016.114583333336</v>
      </c>
      <c r="M12156" s="46" t="s">
        <v>123</v>
      </c>
      <c r="N12156" s="45">
        <v>46016.15625</v>
      </c>
      <c r="O12156" s="46" t="s">
        <v>123</v>
      </c>
      <c r="P12156" s="46">
        <v>3600.0</v>
      </c>
    </row>
    <row r="12157">
      <c r="A12157" s="40">
        <f t="shared" si="1"/>
        <v>46013</v>
      </c>
      <c r="B12157" s="37" t="str">
        <f t="array" ref="B12157">iferror(xlookup($I12157, 'IMPORT VHC Report'!$E:$E, 'IMPORT VHC Report'!$A:$C), )</f>
        <v/>
      </c>
      <c r="C12157" s="44"/>
      <c r="D12157" s="44"/>
      <c r="E12157" s="46" t="s">
        <v>8174</v>
      </c>
      <c r="F12157" s="46" t="s">
        <v>358</v>
      </c>
      <c r="G12157" s="46">
        <v>3.61725374416E11</v>
      </c>
      <c r="H12157" s="46" t="s">
        <v>359</v>
      </c>
      <c r="I12157" s="46" t="s">
        <v>360</v>
      </c>
      <c r="J12157" s="46" t="s">
        <v>178</v>
      </c>
      <c r="K12157" s="46" t="s">
        <v>153</v>
      </c>
      <c r="L12157" s="45">
        <v>46016.833333333336</v>
      </c>
      <c r="M12157" s="46" t="s">
        <v>123</v>
      </c>
      <c r="N12157" s="45">
        <v>46017.208333333336</v>
      </c>
      <c r="O12157" s="46" t="s">
        <v>123</v>
      </c>
      <c r="P12157" s="46">
        <v>32400.0</v>
      </c>
      <c r="Q12157" s="46">
        <v>32400.0</v>
      </c>
      <c r="R12157" s="46" t="s">
        <v>379</v>
      </c>
      <c r="S12157" s="46" t="s">
        <v>379</v>
      </c>
    </row>
    <row r="12158">
      <c r="A12158" s="40">
        <f t="shared" si="1"/>
        <v>46013</v>
      </c>
      <c r="B12158" s="37" t="str">
        <f t="array" ref="B12158">iferror(xlookup($I12158, 'IMPORT VHC Report'!$E:$E, 'IMPORT VHC Report'!$A:$C), )</f>
        <v/>
      </c>
      <c r="C12158" s="44"/>
      <c r="D12158" s="44"/>
      <c r="E12158" s="46" t="s">
        <v>8175</v>
      </c>
      <c r="F12158" s="46" t="s">
        <v>358</v>
      </c>
      <c r="G12158" s="46">
        <v>3.61725374416E11</v>
      </c>
      <c r="H12158" s="46" t="s">
        <v>359</v>
      </c>
      <c r="I12158" s="46" t="s">
        <v>360</v>
      </c>
      <c r="J12158" s="46" t="s">
        <v>134</v>
      </c>
      <c r="K12158" s="46" t="s">
        <v>126</v>
      </c>
      <c r="L12158" s="45">
        <v>46017.010416666664</v>
      </c>
      <c r="M12158" s="46" t="s">
        <v>123</v>
      </c>
      <c r="N12158" s="45">
        <v>46017.03125</v>
      </c>
      <c r="O12158" s="46" t="s">
        <v>123</v>
      </c>
      <c r="P12158" s="46">
        <v>1800.0</v>
      </c>
    </row>
    <row r="12159">
      <c r="A12159" s="40">
        <f t="shared" si="1"/>
        <v>46013</v>
      </c>
      <c r="B12159" s="37" t="str">
        <f t="array" ref="B12159">iferror(xlookup($I12159, 'IMPORT VHC Report'!$E:$E, 'IMPORT VHC Report'!$A:$C), )</f>
        <v/>
      </c>
      <c r="C12159" s="44"/>
      <c r="D12159" s="44"/>
      <c r="E12159" s="46" t="s">
        <v>8176</v>
      </c>
      <c r="F12159" s="46" t="s">
        <v>358</v>
      </c>
      <c r="G12159" s="46">
        <v>3.61725374416E11</v>
      </c>
      <c r="H12159" s="46" t="s">
        <v>359</v>
      </c>
      <c r="I12159" s="46" t="s">
        <v>360</v>
      </c>
      <c r="J12159" s="46" t="s">
        <v>132</v>
      </c>
      <c r="K12159" s="46" t="s">
        <v>126</v>
      </c>
      <c r="L12159" s="45">
        <v>46017.114583333336</v>
      </c>
      <c r="M12159" s="46" t="s">
        <v>123</v>
      </c>
      <c r="N12159" s="45">
        <v>46017.15625</v>
      </c>
      <c r="O12159" s="46" t="s">
        <v>123</v>
      </c>
      <c r="P12159" s="46">
        <v>3600.0</v>
      </c>
    </row>
    <row r="12160">
      <c r="A12160" s="40">
        <f t="shared" si="1"/>
        <v>46013</v>
      </c>
      <c r="B12160" s="37" t="str">
        <f t="array" ref="B12160">iferror(xlookup($I12160, 'IMPORT VHC Report'!$E:$E, 'IMPORT VHC Report'!$A:$C), )</f>
        <v/>
      </c>
      <c r="C12160" s="44"/>
      <c r="D12160" s="44"/>
      <c r="E12160" s="46" t="s">
        <v>8177</v>
      </c>
      <c r="F12160" s="46" t="s">
        <v>358</v>
      </c>
      <c r="G12160" s="46">
        <v>3.61725374416E11</v>
      </c>
      <c r="H12160" s="46" t="s">
        <v>359</v>
      </c>
      <c r="I12160" s="46" t="s">
        <v>360</v>
      </c>
      <c r="J12160" s="46" t="s">
        <v>178</v>
      </c>
      <c r="K12160" s="46" t="s">
        <v>153</v>
      </c>
      <c r="L12160" s="45">
        <v>46017.833333333336</v>
      </c>
      <c r="M12160" s="46" t="s">
        <v>123</v>
      </c>
      <c r="N12160" s="45">
        <v>46018.208333333336</v>
      </c>
      <c r="O12160" s="46" t="s">
        <v>123</v>
      </c>
      <c r="P12160" s="46">
        <v>32400.0</v>
      </c>
      <c r="Q12160" s="46">
        <v>32400.0</v>
      </c>
      <c r="R12160" s="46" t="s">
        <v>379</v>
      </c>
      <c r="S12160" s="46" t="s">
        <v>379</v>
      </c>
    </row>
    <row r="12161">
      <c r="A12161" s="40">
        <f t="shared" si="1"/>
        <v>46013</v>
      </c>
      <c r="B12161" s="37" t="str">
        <f t="array" ref="B12161">iferror(xlookup($I12161, 'IMPORT VHC Report'!$E:$E, 'IMPORT VHC Report'!$A:$C), )</f>
        <v/>
      </c>
      <c r="C12161" s="44"/>
      <c r="D12161" s="44"/>
      <c r="E12161" s="46" t="s">
        <v>8178</v>
      </c>
      <c r="F12161" s="46" t="s">
        <v>358</v>
      </c>
      <c r="G12161" s="46">
        <v>3.61725374416E11</v>
      </c>
      <c r="H12161" s="46" t="s">
        <v>359</v>
      </c>
      <c r="I12161" s="46" t="s">
        <v>360</v>
      </c>
      <c r="J12161" s="46" t="s">
        <v>134</v>
      </c>
      <c r="K12161" s="46" t="s">
        <v>126</v>
      </c>
      <c r="L12161" s="45">
        <v>46018.010416666664</v>
      </c>
      <c r="M12161" s="46" t="s">
        <v>123</v>
      </c>
      <c r="N12161" s="45">
        <v>46018.03125</v>
      </c>
      <c r="O12161" s="46" t="s">
        <v>123</v>
      </c>
      <c r="P12161" s="46">
        <v>1800.0</v>
      </c>
    </row>
    <row r="12162">
      <c r="A12162" s="40">
        <f t="shared" si="1"/>
        <v>46013</v>
      </c>
      <c r="B12162" s="37" t="str">
        <f t="array" ref="B12162">iferror(xlookup($I12162, 'IMPORT VHC Report'!$E:$E, 'IMPORT VHC Report'!$A:$C), )</f>
        <v/>
      </c>
      <c r="C12162" s="44"/>
      <c r="D12162" s="44"/>
      <c r="E12162" s="46" t="s">
        <v>8179</v>
      </c>
      <c r="F12162" s="46" t="s">
        <v>358</v>
      </c>
      <c r="G12162" s="46">
        <v>3.61725374416E11</v>
      </c>
      <c r="H12162" s="46" t="s">
        <v>359</v>
      </c>
      <c r="I12162" s="46" t="s">
        <v>360</v>
      </c>
      <c r="J12162" s="46" t="s">
        <v>132</v>
      </c>
      <c r="K12162" s="46" t="s">
        <v>126</v>
      </c>
      <c r="L12162" s="45">
        <v>46018.125</v>
      </c>
      <c r="M12162" s="46" t="s">
        <v>123</v>
      </c>
      <c r="N12162" s="45">
        <v>46018.166666666664</v>
      </c>
      <c r="O12162" s="46" t="s">
        <v>123</v>
      </c>
      <c r="P12162" s="46">
        <v>3600.0</v>
      </c>
    </row>
    <row r="12163">
      <c r="A12163" s="40">
        <f t="shared" si="1"/>
        <v>46013</v>
      </c>
      <c r="B12163" s="37" t="str">
        <f t="array" ref="B12163">iferror(xlookup($I12163, 'IMPORT VHC Report'!$E:$E, 'IMPORT VHC Report'!$A:$C), )</f>
        <v/>
      </c>
      <c r="C12163" s="44"/>
      <c r="D12163" s="44"/>
      <c r="E12163" s="46" t="s">
        <v>8180</v>
      </c>
      <c r="F12163" s="46" t="s">
        <v>358</v>
      </c>
      <c r="G12163" s="46">
        <v>3.61725374416E11</v>
      </c>
      <c r="H12163" s="46" t="s">
        <v>359</v>
      </c>
      <c r="I12163" s="46" t="s">
        <v>360</v>
      </c>
      <c r="J12163" s="46" t="s">
        <v>178</v>
      </c>
      <c r="K12163" s="46" t="s">
        <v>153</v>
      </c>
      <c r="L12163" s="45">
        <v>46018.833333333336</v>
      </c>
      <c r="M12163" s="46" t="s">
        <v>123</v>
      </c>
      <c r="N12163" s="45">
        <v>46019.208333333336</v>
      </c>
      <c r="O12163" s="46" t="s">
        <v>123</v>
      </c>
      <c r="P12163" s="46">
        <v>32400.0</v>
      </c>
      <c r="Q12163" s="46">
        <v>32400.0</v>
      </c>
      <c r="R12163" s="46" t="s">
        <v>379</v>
      </c>
      <c r="S12163" s="46" t="s">
        <v>379</v>
      </c>
    </row>
    <row r="12164">
      <c r="A12164" s="40">
        <f t="shared" si="1"/>
        <v>46013</v>
      </c>
      <c r="B12164" s="37" t="str">
        <f t="array" ref="B12164">iferror(xlookup($I12164, 'IMPORT VHC Report'!$E:$E, 'IMPORT VHC Report'!$A:$C), )</f>
        <v/>
      </c>
      <c r="C12164" s="44"/>
      <c r="D12164" s="44"/>
      <c r="E12164" s="46" t="s">
        <v>8181</v>
      </c>
      <c r="F12164" s="46" t="s">
        <v>358</v>
      </c>
      <c r="G12164" s="46">
        <v>3.61725374416E11</v>
      </c>
      <c r="H12164" s="46" t="s">
        <v>359</v>
      </c>
      <c r="I12164" s="46" t="s">
        <v>360</v>
      </c>
      <c r="J12164" s="46" t="s">
        <v>134</v>
      </c>
      <c r="K12164" s="46" t="s">
        <v>126</v>
      </c>
      <c r="L12164" s="45">
        <v>46019.0</v>
      </c>
      <c r="M12164" s="46" t="s">
        <v>123</v>
      </c>
      <c r="N12164" s="45">
        <v>46019.020833333336</v>
      </c>
      <c r="O12164" s="46" t="s">
        <v>123</v>
      </c>
      <c r="P12164" s="46">
        <v>1800.0</v>
      </c>
    </row>
    <row r="12165">
      <c r="A12165" s="40">
        <f t="shared" si="1"/>
        <v>46013</v>
      </c>
      <c r="B12165" s="37" t="str">
        <f t="array" ref="B12165">iferror(xlookup($I12165, 'IMPORT VHC Report'!$E:$E, 'IMPORT VHC Report'!$A:$C), )</f>
        <v/>
      </c>
      <c r="C12165" s="44"/>
      <c r="D12165" s="44"/>
      <c r="E12165" s="46" t="s">
        <v>8182</v>
      </c>
      <c r="F12165" s="46" t="s">
        <v>358</v>
      </c>
      <c r="G12165" s="46">
        <v>3.61725374416E11</v>
      </c>
      <c r="H12165" s="46" t="s">
        <v>359</v>
      </c>
      <c r="I12165" s="46" t="s">
        <v>360</v>
      </c>
      <c r="J12165" s="46" t="s">
        <v>132</v>
      </c>
      <c r="K12165" s="46" t="s">
        <v>126</v>
      </c>
      <c r="L12165" s="45">
        <v>46019.104166666664</v>
      </c>
      <c r="M12165" s="46" t="s">
        <v>123</v>
      </c>
      <c r="N12165" s="45">
        <v>46019.145833333336</v>
      </c>
      <c r="O12165" s="46" t="s">
        <v>123</v>
      </c>
      <c r="P12165" s="46">
        <v>3600.0</v>
      </c>
    </row>
    <row r="12166">
      <c r="A12166" s="40">
        <f t="shared" si="1"/>
        <v>46013</v>
      </c>
      <c r="B12166" s="37" t="str">
        <f t="array" ref="B12166">iferror(xlookup($I12166, 'IMPORT VHC Report'!$E:$E, 'IMPORT VHC Report'!$A:$C), )</f>
        <v/>
      </c>
      <c r="C12166" s="44"/>
      <c r="D12166" s="44"/>
      <c r="E12166" s="46" t="s">
        <v>8183</v>
      </c>
      <c r="F12166" s="46" t="s">
        <v>358</v>
      </c>
      <c r="G12166" s="46">
        <v>3.61725374416E11</v>
      </c>
      <c r="H12166" s="46" t="s">
        <v>359</v>
      </c>
      <c r="I12166" s="46" t="s">
        <v>360</v>
      </c>
      <c r="J12166" s="46" t="s">
        <v>178</v>
      </c>
      <c r="K12166" s="46" t="s">
        <v>153</v>
      </c>
      <c r="L12166" s="45">
        <v>46019.833333333336</v>
      </c>
      <c r="M12166" s="46" t="s">
        <v>123</v>
      </c>
      <c r="N12166" s="45">
        <v>46020.208333333336</v>
      </c>
      <c r="O12166" s="46" t="s">
        <v>123</v>
      </c>
      <c r="P12166" s="46">
        <v>32400.0</v>
      </c>
      <c r="Q12166" s="46">
        <v>32400.0</v>
      </c>
      <c r="R12166" s="46" t="s">
        <v>379</v>
      </c>
      <c r="S12166" s="46" t="s">
        <v>379</v>
      </c>
    </row>
    <row r="12167">
      <c r="A12167" s="40">
        <f t="shared" si="1"/>
        <v>46006</v>
      </c>
      <c r="B12167" s="37" t="str">
        <f t="array" ref="B12167">iferror(xlookup($I12167, 'IMPORT VHC Report'!$E:$E, 'IMPORT VHC Report'!$A:$C), )</f>
        <v/>
      </c>
      <c r="C12167" s="44"/>
      <c r="D12167" s="44"/>
      <c r="E12167" s="46" t="s">
        <v>468</v>
      </c>
      <c r="F12167" s="46" t="s">
        <v>448</v>
      </c>
      <c r="G12167" s="46">
        <v>3.61733077235E11</v>
      </c>
      <c r="H12167" s="46" t="s">
        <v>449</v>
      </c>
      <c r="I12167" s="46" t="s">
        <v>450</v>
      </c>
      <c r="J12167" s="46" t="s">
        <v>368</v>
      </c>
      <c r="K12167" s="46" t="s">
        <v>63</v>
      </c>
      <c r="L12167" s="45">
        <v>46012.875</v>
      </c>
      <c r="M12167" s="46" t="s">
        <v>123</v>
      </c>
      <c r="N12167" s="45">
        <v>46013.25</v>
      </c>
      <c r="O12167" s="46" t="s">
        <v>123</v>
      </c>
      <c r="P12167" s="46">
        <v>32400.0</v>
      </c>
    </row>
    <row r="12168">
      <c r="A12168" s="40">
        <f t="shared" si="1"/>
        <v>46013</v>
      </c>
      <c r="B12168" s="37" t="str">
        <f t="array" ref="B12168">iferror(xlookup($I12168, 'IMPORT VHC Report'!$E:$E, 'IMPORT VHC Report'!$A:$C), )</f>
        <v/>
      </c>
      <c r="C12168" s="44"/>
      <c r="D12168" s="44"/>
      <c r="E12168" s="46" t="s">
        <v>8184</v>
      </c>
      <c r="F12168" s="46" t="s">
        <v>448</v>
      </c>
      <c r="G12168" s="46">
        <v>3.61733077235E11</v>
      </c>
      <c r="H12168" s="46" t="s">
        <v>449</v>
      </c>
      <c r="I12168" s="46" t="s">
        <v>450</v>
      </c>
      <c r="J12168" s="46" t="s">
        <v>132</v>
      </c>
      <c r="K12168" s="46" t="s">
        <v>126</v>
      </c>
      <c r="L12168" s="45">
        <v>46013.125</v>
      </c>
      <c r="M12168" s="46" t="s">
        <v>123</v>
      </c>
      <c r="N12168" s="45">
        <v>46013.166666666664</v>
      </c>
      <c r="O12168" s="46" t="s">
        <v>123</v>
      </c>
      <c r="P12168" s="46">
        <v>3600.0</v>
      </c>
    </row>
    <row r="12169">
      <c r="A12169" s="40">
        <f t="shared" si="1"/>
        <v>46013</v>
      </c>
      <c r="B12169" s="37" t="str">
        <f t="array" ref="B12169">iferror(xlookup($I12169, 'IMPORT VHC Report'!$E:$E, 'IMPORT VHC Report'!$A:$C), )</f>
        <v/>
      </c>
      <c r="C12169" s="44"/>
      <c r="D12169" s="44"/>
      <c r="E12169" s="46" t="s">
        <v>8185</v>
      </c>
      <c r="F12169" s="46" t="s">
        <v>448</v>
      </c>
      <c r="G12169" s="46">
        <v>3.61733077235E11</v>
      </c>
      <c r="H12169" s="46" t="s">
        <v>449</v>
      </c>
      <c r="I12169" s="46" t="s">
        <v>450</v>
      </c>
      <c r="J12169" s="46" t="s">
        <v>368</v>
      </c>
      <c r="K12169" s="46" t="s">
        <v>63</v>
      </c>
      <c r="L12169" s="45">
        <v>46013.875</v>
      </c>
      <c r="M12169" s="46" t="s">
        <v>123</v>
      </c>
      <c r="N12169" s="45">
        <v>46014.25</v>
      </c>
      <c r="O12169" s="46" t="s">
        <v>123</v>
      </c>
      <c r="P12169" s="46">
        <v>32400.0</v>
      </c>
    </row>
    <row r="12170">
      <c r="A12170" s="40">
        <f t="shared" si="1"/>
        <v>46013</v>
      </c>
      <c r="B12170" s="37" t="str">
        <f t="array" ref="B12170">iferror(xlookup($I12170, 'IMPORT VHC Report'!$E:$E, 'IMPORT VHC Report'!$A:$C), )</f>
        <v/>
      </c>
      <c r="C12170" s="44"/>
      <c r="D12170" s="44"/>
      <c r="E12170" s="46" t="s">
        <v>8186</v>
      </c>
      <c r="F12170" s="46" t="s">
        <v>448</v>
      </c>
      <c r="G12170" s="46">
        <v>3.61733077235E11</v>
      </c>
      <c r="H12170" s="46" t="s">
        <v>449</v>
      </c>
      <c r="I12170" s="46" t="s">
        <v>450</v>
      </c>
      <c r="J12170" s="46" t="s">
        <v>134</v>
      </c>
      <c r="K12170" s="46" t="s">
        <v>126</v>
      </c>
      <c r="L12170" s="45">
        <v>46014.0625</v>
      </c>
      <c r="M12170" s="46" t="s">
        <v>123</v>
      </c>
      <c r="N12170" s="45">
        <v>46014.083333333336</v>
      </c>
      <c r="O12170" s="46" t="s">
        <v>123</v>
      </c>
      <c r="P12170" s="46">
        <v>1800.0</v>
      </c>
    </row>
    <row r="12171">
      <c r="A12171" s="40">
        <f t="shared" si="1"/>
        <v>46013</v>
      </c>
      <c r="B12171" s="37" t="str">
        <f t="array" ref="B12171">iferror(xlookup($I12171, 'IMPORT VHC Report'!$E:$E, 'IMPORT VHC Report'!$A:$C), )</f>
        <v/>
      </c>
      <c r="C12171" s="44"/>
      <c r="D12171" s="44"/>
      <c r="E12171" s="46" t="s">
        <v>8187</v>
      </c>
      <c r="F12171" s="46" t="s">
        <v>448</v>
      </c>
      <c r="G12171" s="46">
        <v>3.61733077235E11</v>
      </c>
      <c r="H12171" s="46" t="s">
        <v>449</v>
      </c>
      <c r="I12171" s="46" t="s">
        <v>450</v>
      </c>
      <c r="J12171" s="46" t="s">
        <v>132</v>
      </c>
      <c r="K12171" s="46" t="s">
        <v>126</v>
      </c>
      <c r="L12171" s="45">
        <v>46014.166666666664</v>
      </c>
      <c r="M12171" s="46" t="s">
        <v>123</v>
      </c>
      <c r="N12171" s="45">
        <v>46014.208333333336</v>
      </c>
      <c r="O12171" s="46" t="s">
        <v>123</v>
      </c>
      <c r="P12171" s="46">
        <v>3600.0</v>
      </c>
    </row>
    <row r="12172">
      <c r="A12172" s="40">
        <f t="shared" si="1"/>
        <v>46013</v>
      </c>
      <c r="B12172" s="37" t="str">
        <f t="array" ref="B12172">iferror(xlookup($I12172, 'IMPORT VHC Report'!$E:$E, 'IMPORT VHC Report'!$A:$C), )</f>
        <v/>
      </c>
      <c r="C12172" s="44"/>
      <c r="D12172" s="44"/>
      <c r="E12172" s="46" t="s">
        <v>8188</v>
      </c>
      <c r="F12172" s="46" t="s">
        <v>448</v>
      </c>
      <c r="G12172" s="46">
        <v>3.61733077235E11</v>
      </c>
      <c r="H12172" s="46" t="s">
        <v>449</v>
      </c>
      <c r="I12172" s="46" t="s">
        <v>450</v>
      </c>
      <c r="J12172" s="46" t="s">
        <v>330</v>
      </c>
      <c r="K12172" s="46" t="s">
        <v>126</v>
      </c>
      <c r="L12172" s="45">
        <v>46014.875</v>
      </c>
      <c r="M12172" s="46" t="s">
        <v>123</v>
      </c>
      <c r="N12172" s="45">
        <v>46014.895833333336</v>
      </c>
      <c r="O12172" s="46" t="s">
        <v>123</v>
      </c>
      <c r="P12172" s="46">
        <v>1800.0</v>
      </c>
    </row>
    <row r="12173">
      <c r="A12173" s="40">
        <f t="shared" si="1"/>
        <v>46013</v>
      </c>
      <c r="B12173" s="37" t="str">
        <f t="array" ref="B12173">iferror(xlookup($I12173, 'IMPORT VHC Report'!$E:$E, 'IMPORT VHC Report'!$A:$C), )</f>
        <v/>
      </c>
      <c r="C12173" s="44"/>
      <c r="D12173" s="44"/>
      <c r="E12173" s="46" t="s">
        <v>8189</v>
      </c>
      <c r="F12173" s="46" t="s">
        <v>448</v>
      </c>
      <c r="G12173" s="46">
        <v>3.61733077235E11</v>
      </c>
      <c r="H12173" s="46" t="s">
        <v>449</v>
      </c>
      <c r="I12173" s="46" t="s">
        <v>450</v>
      </c>
      <c r="J12173" s="46" t="s">
        <v>368</v>
      </c>
      <c r="K12173" s="46" t="s">
        <v>63</v>
      </c>
      <c r="L12173" s="45">
        <v>46014.875</v>
      </c>
      <c r="M12173" s="46" t="s">
        <v>123</v>
      </c>
      <c r="N12173" s="45">
        <v>46015.25</v>
      </c>
      <c r="O12173" s="46" t="s">
        <v>123</v>
      </c>
      <c r="P12173" s="46">
        <v>32400.0</v>
      </c>
    </row>
    <row r="12174">
      <c r="A12174" s="40">
        <f t="shared" si="1"/>
        <v>46013</v>
      </c>
      <c r="B12174" s="37" t="str">
        <f t="array" ref="B12174">iferror(xlookup($I12174, 'IMPORT VHC Report'!$E:$E, 'IMPORT VHC Report'!$A:$C), )</f>
        <v/>
      </c>
      <c r="C12174" s="44"/>
      <c r="D12174" s="44"/>
      <c r="E12174" s="46" t="s">
        <v>8190</v>
      </c>
      <c r="F12174" s="46" t="s">
        <v>448</v>
      </c>
      <c r="G12174" s="46">
        <v>3.61733077235E11</v>
      </c>
      <c r="H12174" s="46" t="s">
        <v>449</v>
      </c>
      <c r="I12174" s="46" t="s">
        <v>450</v>
      </c>
      <c r="J12174" s="46" t="s">
        <v>134</v>
      </c>
      <c r="K12174" s="46" t="s">
        <v>126</v>
      </c>
      <c r="L12174" s="45">
        <v>46014.958333333336</v>
      </c>
      <c r="M12174" s="46" t="s">
        <v>123</v>
      </c>
      <c r="N12174" s="45">
        <v>46014.979166666664</v>
      </c>
      <c r="O12174" s="46" t="s">
        <v>123</v>
      </c>
      <c r="P12174" s="46">
        <v>1800.0</v>
      </c>
    </row>
    <row r="12175">
      <c r="A12175" s="40">
        <f t="shared" si="1"/>
        <v>46013</v>
      </c>
      <c r="B12175" s="37" t="str">
        <f t="array" ref="B12175">iferror(xlookup($I12175, 'IMPORT VHC Report'!$E:$E, 'IMPORT VHC Report'!$A:$C), )</f>
        <v/>
      </c>
      <c r="C12175" s="44"/>
      <c r="D12175" s="44"/>
      <c r="E12175" s="46" t="s">
        <v>8191</v>
      </c>
      <c r="F12175" s="46" t="s">
        <v>448</v>
      </c>
      <c r="G12175" s="46">
        <v>3.61733077235E11</v>
      </c>
      <c r="H12175" s="46" t="s">
        <v>449</v>
      </c>
      <c r="I12175" s="46" t="s">
        <v>450</v>
      </c>
      <c r="J12175" s="46" t="s">
        <v>132</v>
      </c>
      <c r="K12175" s="46" t="s">
        <v>126</v>
      </c>
      <c r="L12175" s="45">
        <v>46015.0625</v>
      </c>
      <c r="M12175" s="46" t="s">
        <v>123</v>
      </c>
      <c r="N12175" s="45">
        <v>46015.104166666664</v>
      </c>
      <c r="O12175" s="46" t="s">
        <v>123</v>
      </c>
      <c r="P12175" s="46">
        <v>3600.0</v>
      </c>
    </row>
    <row r="12176">
      <c r="A12176" s="40">
        <f t="shared" si="1"/>
        <v>46013</v>
      </c>
      <c r="B12176" s="37" t="str">
        <f t="array" ref="B12176">iferror(xlookup($I12176, 'IMPORT VHC Report'!$E:$E, 'IMPORT VHC Report'!$A:$C), )</f>
        <v/>
      </c>
      <c r="C12176" s="44"/>
      <c r="D12176" s="44"/>
      <c r="E12176" s="46" t="s">
        <v>8192</v>
      </c>
      <c r="F12176" s="46" t="s">
        <v>448</v>
      </c>
      <c r="G12176" s="46">
        <v>3.61733077235E11</v>
      </c>
      <c r="H12176" s="46" t="s">
        <v>449</v>
      </c>
      <c r="I12176" s="46" t="s">
        <v>450</v>
      </c>
      <c r="J12176" s="46" t="s">
        <v>368</v>
      </c>
      <c r="K12176" s="46" t="s">
        <v>63</v>
      </c>
      <c r="L12176" s="45">
        <v>46015.875</v>
      </c>
      <c r="M12176" s="46" t="s">
        <v>123</v>
      </c>
      <c r="N12176" s="45">
        <v>46016.25</v>
      </c>
      <c r="O12176" s="46" t="s">
        <v>123</v>
      </c>
      <c r="P12176" s="46">
        <v>32400.0</v>
      </c>
    </row>
    <row r="12177">
      <c r="A12177" s="40">
        <f t="shared" si="1"/>
        <v>46013</v>
      </c>
      <c r="B12177" s="37" t="str">
        <f t="array" ref="B12177">iferror(xlookup($I12177, 'IMPORT VHC Report'!$E:$E, 'IMPORT VHC Report'!$A:$C), )</f>
        <v/>
      </c>
      <c r="C12177" s="44"/>
      <c r="D12177" s="44"/>
      <c r="E12177" s="46" t="s">
        <v>8193</v>
      </c>
      <c r="F12177" s="46" t="s">
        <v>448</v>
      </c>
      <c r="G12177" s="46">
        <v>3.61733077235E11</v>
      </c>
      <c r="H12177" s="46" t="s">
        <v>449</v>
      </c>
      <c r="I12177" s="46" t="s">
        <v>450</v>
      </c>
      <c r="J12177" s="46" t="s">
        <v>134</v>
      </c>
      <c r="K12177" s="46" t="s">
        <v>126</v>
      </c>
      <c r="L12177" s="45">
        <v>46015.979166666664</v>
      </c>
      <c r="M12177" s="46" t="s">
        <v>123</v>
      </c>
      <c r="N12177" s="45">
        <v>46016.0</v>
      </c>
      <c r="O12177" s="46" t="s">
        <v>123</v>
      </c>
      <c r="P12177" s="46">
        <v>1800.0</v>
      </c>
    </row>
    <row r="12178">
      <c r="A12178" s="40">
        <f t="shared" si="1"/>
        <v>46013</v>
      </c>
      <c r="B12178" s="37" t="str">
        <f t="array" ref="B12178">iferror(xlookup($I12178, 'IMPORT VHC Report'!$E:$E, 'IMPORT VHC Report'!$A:$C), )</f>
        <v/>
      </c>
      <c r="C12178" s="44"/>
      <c r="D12178" s="44"/>
      <c r="E12178" s="46" t="s">
        <v>8194</v>
      </c>
      <c r="F12178" s="46" t="s">
        <v>448</v>
      </c>
      <c r="G12178" s="46">
        <v>3.61733077235E11</v>
      </c>
      <c r="H12178" s="46" t="s">
        <v>449</v>
      </c>
      <c r="I12178" s="46" t="s">
        <v>450</v>
      </c>
      <c r="J12178" s="46" t="s">
        <v>132</v>
      </c>
      <c r="K12178" s="46" t="s">
        <v>126</v>
      </c>
      <c r="L12178" s="45">
        <v>46016.15625</v>
      </c>
      <c r="M12178" s="46" t="s">
        <v>123</v>
      </c>
      <c r="N12178" s="45">
        <v>46016.197916666664</v>
      </c>
      <c r="O12178" s="46" t="s">
        <v>123</v>
      </c>
      <c r="P12178" s="46">
        <v>3600.0</v>
      </c>
    </row>
    <row r="12179">
      <c r="A12179" s="40">
        <f t="shared" si="1"/>
        <v>46013</v>
      </c>
      <c r="B12179" s="37" t="str">
        <f t="array" ref="B12179">iferror(xlookup($I12179, 'IMPORT VHC Report'!$E:$E, 'IMPORT VHC Report'!$A:$C), )</f>
        <v/>
      </c>
      <c r="C12179" s="44"/>
      <c r="D12179" s="44"/>
      <c r="E12179" s="46" t="s">
        <v>8195</v>
      </c>
      <c r="F12179" s="46" t="s">
        <v>448</v>
      </c>
      <c r="G12179" s="46">
        <v>3.61733077235E11</v>
      </c>
      <c r="H12179" s="46" t="s">
        <v>449</v>
      </c>
      <c r="I12179" s="46" t="s">
        <v>450</v>
      </c>
      <c r="J12179" s="46" t="s">
        <v>368</v>
      </c>
      <c r="K12179" s="46" t="s">
        <v>63</v>
      </c>
      <c r="L12179" s="45">
        <v>46018.875</v>
      </c>
      <c r="M12179" s="46" t="s">
        <v>123</v>
      </c>
      <c r="N12179" s="45">
        <v>46019.25</v>
      </c>
      <c r="O12179" s="46" t="s">
        <v>123</v>
      </c>
      <c r="P12179" s="46">
        <v>32400.0</v>
      </c>
    </row>
    <row r="12180">
      <c r="A12180" s="40">
        <f t="shared" si="1"/>
        <v>46013</v>
      </c>
      <c r="B12180" s="37" t="str">
        <f t="array" ref="B12180">iferror(xlookup($I12180, 'IMPORT VHC Report'!$E:$E, 'IMPORT VHC Report'!$A:$C), )</f>
        <v/>
      </c>
      <c r="C12180" s="44"/>
      <c r="D12180" s="44"/>
      <c r="E12180" s="46" t="s">
        <v>8196</v>
      </c>
      <c r="F12180" s="46" t="s">
        <v>448</v>
      </c>
      <c r="G12180" s="46">
        <v>3.61733077235E11</v>
      </c>
      <c r="H12180" s="46" t="s">
        <v>449</v>
      </c>
      <c r="I12180" s="46" t="s">
        <v>450</v>
      </c>
      <c r="J12180" s="46" t="s">
        <v>134</v>
      </c>
      <c r="K12180" s="46" t="s">
        <v>126</v>
      </c>
      <c r="L12180" s="45">
        <v>46018.979166666664</v>
      </c>
      <c r="M12180" s="46" t="s">
        <v>123</v>
      </c>
      <c r="N12180" s="45">
        <v>46019.0</v>
      </c>
      <c r="O12180" s="46" t="s">
        <v>123</v>
      </c>
      <c r="P12180" s="46">
        <v>1800.0</v>
      </c>
    </row>
    <row r="12181">
      <c r="A12181" s="40">
        <f t="shared" si="1"/>
        <v>46013</v>
      </c>
      <c r="B12181" s="37" t="str">
        <f t="array" ref="B12181">iferror(xlookup($I12181, 'IMPORT VHC Report'!$E:$E, 'IMPORT VHC Report'!$A:$C), )</f>
        <v/>
      </c>
      <c r="C12181" s="44"/>
      <c r="D12181" s="44"/>
      <c r="E12181" s="46" t="s">
        <v>8197</v>
      </c>
      <c r="F12181" s="46" t="s">
        <v>448</v>
      </c>
      <c r="G12181" s="46">
        <v>3.61733077235E11</v>
      </c>
      <c r="H12181" s="46" t="s">
        <v>449</v>
      </c>
      <c r="I12181" s="46" t="s">
        <v>450</v>
      </c>
      <c r="J12181" s="46" t="s">
        <v>132</v>
      </c>
      <c r="K12181" s="46" t="s">
        <v>126</v>
      </c>
      <c r="L12181" s="45">
        <v>46019.083333333336</v>
      </c>
      <c r="M12181" s="46" t="s">
        <v>123</v>
      </c>
      <c r="N12181" s="45">
        <v>46019.125</v>
      </c>
      <c r="O12181" s="46" t="s">
        <v>123</v>
      </c>
      <c r="P12181" s="46">
        <v>3600.0</v>
      </c>
    </row>
    <row r="12182">
      <c r="A12182" s="40">
        <f t="shared" si="1"/>
        <v>46013</v>
      </c>
      <c r="B12182" s="37" t="str">
        <f t="array" ref="B12182">iferror(xlookup($I12182, 'IMPORT VHC Report'!$E:$E, 'IMPORT VHC Report'!$A:$C), )</f>
        <v/>
      </c>
      <c r="C12182" s="44"/>
      <c r="D12182" s="44"/>
      <c r="E12182" s="46" t="s">
        <v>8198</v>
      </c>
      <c r="F12182" s="46" t="s">
        <v>448</v>
      </c>
      <c r="G12182" s="46">
        <v>3.61733077235E11</v>
      </c>
      <c r="H12182" s="46" t="s">
        <v>449</v>
      </c>
      <c r="I12182" s="46" t="s">
        <v>450</v>
      </c>
      <c r="J12182" s="46" t="s">
        <v>368</v>
      </c>
      <c r="K12182" s="46" t="s">
        <v>63</v>
      </c>
      <c r="L12182" s="45">
        <v>46019.875</v>
      </c>
      <c r="M12182" s="46" t="s">
        <v>123</v>
      </c>
      <c r="N12182" s="45">
        <v>46020.25</v>
      </c>
      <c r="O12182" s="46" t="s">
        <v>123</v>
      </c>
      <c r="P12182" s="46">
        <v>32400.0</v>
      </c>
    </row>
    <row r="12183">
      <c r="A12183" s="40">
        <f t="shared" si="1"/>
        <v>46013</v>
      </c>
      <c r="B12183" s="37" t="str">
        <f t="array" ref="B12183">iferror(xlookup($I12183, 'IMPORT VHC Report'!$E:$E, 'IMPORT VHC Report'!$A:$C), )</f>
        <v/>
      </c>
      <c r="C12183" s="44"/>
      <c r="D12183" s="44"/>
      <c r="E12183" s="46" t="s">
        <v>8199</v>
      </c>
      <c r="F12183" s="46" t="s">
        <v>2469</v>
      </c>
      <c r="G12183" s="46">
        <v>8.409862611087E12</v>
      </c>
      <c r="H12183" s="46" t="s">
        <v>2470</v>
      </c>
      <c r="I12183" s="46" t="s">
        <v>2471</v>
      </c>
      <c r="J12183" s="46" t="s">
        <v>368</v>
      </c>
      <c r="K12183" s="46" t="s">
        <v>63</v>
      </c>
      <c r="L12183" s="45">
        <v>46013.208333333336</v>
      </c>
      <c r="M12183" s="46" t="s">
        <v>123</v>
      </c>
      <c r="N12183" s="45">
        <v>46013.583333333336</v>
      </c>
      <c r="O12183" s="46" t="s">
        <v>123</v>
      </c>
      <c r="P12183" s="46">
        <v>32400.0</v>
      </c>
    </row>
    <row r="12184">
      <c r="A12184" s="40">
        <f t="shared" si="1"/>
        <v>46013</v>
      </c>
      <c r="B12184" s="37" t="str">
        <f t="array" ref="B12184">iferror(xlookup($I12184, 'IMPORT VHC Report'!$E:$E, 'IMPORT VHC Report'!$A:$C), )</f>
        <v/>
      </c>
      <c r="C12184" s="44"/>
      <c r="D12184" s="44"/>
      <c r="E12184" s="46" t="s">
        <v>8200</v>
      </c>
      <c r="F12184" s="46" t="s">
        <v>2469</v>
      </c>
      <c r="G12184" s="46">
        <v>8.409862611087E12</v>
      </c>
      <c r="H12184" s="46" t="s">
        <v>2470</v>
      </c>
      <c r="I12184" s="46" t="s">
        <v>2471</v>
      </c>
      <c r="J12184" s="46" t="s">
        <v>134</v>
      </c>
      <c r="K12184" s="46" t="s">
        <v>126</v>
      </c>
      <c r="L12184" s="45">
        <v>46013.385416666664</v>
      </c>
      <c r="M12184" s="46" t="s">
        <v>123</v>
      </c>
      <c r="N12184" s="45">
        <v>46013.40625</v>
      </c>
      <c r="O12184" s="46" t="s">
        <v>123</v>
      </c>
      <c r="P12184" s="46">
        <v>1800.0</v>
      </c>
    </row>
    <row r="12185">
      <c r="A12185" s="40">
        <f t="shared" si="1"/>
        <v>46013</v>
      </c>
      <c r="B12185" s="37" t="str">
        <f t="array" ref="B12185">iferror(xlookup($I12185, 'IMPORT VHC Report'!$E:$E, 'IMPORT VHC Report'!$A:$C), )</f>
        <v/>
      </c>
      <c r="C12185" s="44"/>
      <c r="D12185" s="44"/>
      <c r="E12185" s="46" t="s">
        <v>8201</v>
      </c>
      <c r="F12185" s="46" t="s">
        <v>2469</v>
      </c>
      <c r="G12185" s="46">
        <v>8.409862611087E12</v>
      </c>
      <c r="H12185" s="46" t="s">
        <v>2470</v>
      </c>
      <c r="I12185" s="46" t="s">
        <v>2471</v>
      </c>
      <c r="J12185" s="46" t="s">
        <v>132</v>
      </c>
      <c r="K12185" s="46" t="s">
        <v>126</v>
      </c>
      <c r="L12185" s="45">
        <v>46013.5</v>
      </c>
      <c r="M12185" s="46" t="s">
        <v>123</v>
      </c>
      <c r="N12185" s="45">
        <v>46013.541666666664</v>
      </c>
      <c r="O12185" s="46" t="s">
        <v>123</v>
      </c>
      <c r="P12185" s="46">
        <v>3600.0</v>
      </c>
    </row>
    <row r="12186">
      <c r="A12186" s="40">
        <f t="shared" si="1"/>
        <v>46013</v>
      </c>
      <c r="B12186" s="37" t="str">
        <f t="array" ref="B12186">iferror(xlookup($I12186, 'IMPORT VHC Report'!$E:$E, 'IMPORT VHC Report'!$A:$C), )</f>
        <v/>
      </c>
      <c r="C12186" s="44"/>
      <c r="D12186" s="44"/>
      <c r="E12186" s="46" t="s">
        <v>8202</v>
      </c>
      <c r="F12186" s="46" t="s">
        <v>2469</v>
      </c>
      <c r="G12186" s="46">
        <v>8.409862611087E12</v>
      </c>
      <c r="H12186" s="46" t="s">
        <v>2470</v>
      </c>
      <c r="I12186" s="46" t="s">
        <v>2471</v>
      </c>
      <c r="J12186" s="46" t="s">
        <v>368</v>
      </c>
      <c r="K12186" s="46" t="s">
        <v>63</v>
      </c>
      <c r="L12186" s="45">
        <v>46014.208333333336</v>
      </c>
      <c r="M12186" s="46" t="s">
        <v>123</v>
      </c>
      <c r="N12186" s="45">
        <v>46014.583333333336</v>
      </c>
      <c r="O12186" s="46" t="s">
        <v>123</v>
      </c>
      <c r="P12186" s="46">
        <v>32400.0</v>
      </c>
    </row>
    <row r="12187">
      <c r="A12187" s="40">
        <f t="shared" si="1"/>
        <v>46013</v>
      </c>
      <c r="B12187" s="37" t="str">
        <f t="array" ref="B12187">iferror(xlookup($I12187, 'IMPORT VHC Report'!$E:$E, 'IMPORT VHC Report'!$A:$C), )</f>
        <v/>
      </c>
      <c r="C12187" s="44"/>
      <c r="D12187" s="44"/>
      <c r="E12187" s="46" t="s">
        <v>8203</v>
      </c>
      <c r="F12187" s="46" t="s">
        <v>2469</v>
      </c>
      <c r="G12187" s="46">
        <v>8.409862611087E12</v>
      </c>
      <c r="H12187" s="46" t="s">
        <v>2470</v>
      </c>
      <c r="I12187" s="46" t="s">
        <v>2471</v>
      </c>
      <c r="J12187" s="46" t="s">
        <v>134</v>
      </c>
      <c r="K12187" s="46" t="s">
        <v>126</v>
      </c>
      <c r="L12187" s="45">
        <v>46014.354166666664</v>
      </c>
      <c r="M12187" s="46" t="s">
        <v>123</v>
      </c>
      <c r="N12187" s="45">
        <v>46014.375</v>
      </c>
      <c r="O12187" s="46" t="s">
        <v>123</v>
      </c>
      <c r="P12187" s="46">
        <v>1800.0</v>
      </c>
    </row>
    <row r="12188">
      <c r="A12188" s="40">
        <f t="shared" si="1"/>
        <v>46013</v>
      </c>
      <c r="B12188" s="37" t="str">
        <f t="array" ref="B12188">iferror(xlookup($I12188, 'IMPORT VHC Report'!$E:$E, 'IMPORT VHC Report'!$A:$C), )</f>
        <v/>
      </c>
      <c r="C12188" s="44"/>
      <c r="D12188" s="44"/>
      <c r="E12188" s="46" t="s">
        <v>8204</v>
      </c>
      <c r="F12188" s="46" t="s">
        <v>2469</v>
      </c>
      <c r="G12188" s="46">
        <v>8.409862611087E12</v>
      </c>
      <c r="H12188" s="46" t="s">
        <v>2470</v>
      </c>
      <c r="I12188" s="46" t="s">
        <v>2471</v>
      </c>
      <c r="J12188" s="46" t="s">
        <v>132</v>
      </c>
      <c r="K12188" s="46" t="s">
        <v>126</v>
      </c>
      <c r="L12188" s="45">
        <v>46014.479166666664</v>
      </c>
      <c r="M12188" s="46" t="s">
        <v>123</v>
      </c>
      <c r="N12188" s="45">
        <v>46014.520833333336</v>
      </c>
      <c r="O12188" s="46" t="s">
        <v>123</v>
      </c>
      <c r="P12188" s="46">
        <v>3600.0</v>
      </c>
    </row>
    <row r="12189">
      <c r="A12189" s="40">
        <f t="shared" si="1"/>
        <v>46013</v>
      </c>
      <c r="B12189" s="37" t="str">
        <f t="array" ref="B12189">iferror(xlookup($I12189, 'IMPORT VHC Report'!$E:$E, 'IMPORT VHC Report'!$A:$C), )</f>
        <v/>
      </c>
      <c r="C12189" s="44"/>
      <c r="D12189" s="44"/>
      <c r="E12189" s="46" t="s">
        <v>8205</v>
      </c>
      <c r="F12189" s="46" t="s">
        <v>2469</v>
      </c>
      <c r="G12189" s="46">
        <v>8.409862611087E12</v>
      </c>
      <c r="H12189" s="46" t="s">
        <v>2470</v>
      </c>
      <c r="I12189" s="46" t="s">
        <v>2471</v>
      </c>
      <c r="J12189" s="46" t="s">
        <v>368</v>
      </c>
      <c r="K12189" s="46" t="s">
        <v>63</v>
      </c>
      <c r="L12189" s="45">
        <v>46015.208333333336</v>
      </c>
      <c r="M12189" s="46" t="s">
        <v>123</v>
      </c>
      <c r="N12189" s="45">
        <v>46015.583333333336</v>
      </c>
      <c r="O12189" s="46" t="s">
        <v>123</v>
      </c>
      <c r="P12189" s="46">
        <v>32400.0</v>
      </c>
    </row>
    <row r="12190">
      <c r="A12190" s="40">
        <f t="shared" si="1"/>
        <v>46013</v>
      </c>
      <c r="B12190" s="37" t="str">
        <f t="array" ref="B12190">iferror(xlookup($I12190, 'IMPORT VHC Report'!$E:$E, 'IMPORT VHC Report'!$A:$C), )</f>
        <v/>
      </c>
      <c r="C12190" s="44"/>
      <c r="D12190" s="44"/>
      <c r="E12190" s="46" t="s">
        <v>8206</v>
      </c>
      <c r="F12190" s="46" t="s">
        <v>2469</v>
      </c>
      <c r="G12190" s="46">
        <v>8.409862611087E12</v>
      </c>
      <c r="H12190" s="46" t="s">
        <v>2470</v>
      </c>
      <c r="I12190" s="46" t="s">
        <v>2471</v>
      </c>
      <c r="J12190" s="46" t="s">
        <v>134</v>
      </c>
      <c r="K12190" s="46" t="s">
        <v>126</v>
      </c>
      <c r="L12190" s="45">
        <v>46015.333333333336</v>
      </c>
      <c r="M12190" s="46" t="s">
        <v>123</v>
      </c>
      <c r="N12190" s="45">
        <v>46015.354166666664</v>
      </c>
      <c r="O12190" s="46" t="s">
        <v>123</v>
      </c>
      <c r="P12190" s="46">
        <v>1800.0</v>
      </c>
    </row>
    <row r="12191">
      <c r="A12191" s="40">
        <f t="shared" si="1"/>
        <v>46013</v>
      </c>
      <c r="B12191" s="37" t="str">
        <f t="array" ref="B12191">iferror(xlookup($I12191, 'IMPORT VHC Report'!$E:$E, 'IMPORT VHC Report'!$A:$C), )</f>
        <v/>
      </c>
      <c r="C12191" s="44"/>
      <c r="D12191" s="44"/>
      <c r="E12191" s="46" t="s">
        <v>8207</v>
      </c>
      <c r="F12191" s="46" t="s">
        <v>2469</v>
      </c>
      <c r="G12191" s="46">
        <v>8.409862611087E12</v>
      </c>
      <c r="H12191" s="46" t="s">
        <v>2470</v>
      </c>
      <c r="I12191" s="46" t="s">
        <v>2471</v>
      </c>
      <c r="J12191" s="46" t="s">
        <v>132</v>
      </c>
      <c r="K12191" s="46" t="s">
        <v>126</v>
      </c>
      <c r="L12191" s="45">
        <v>46015.479166666664</v>
      </c>
      <c r="M12191" s="46" t="s">
        <v>123</v>
      </c>
      <c r="N12191" s="45">
        <v>46015.520833333336</v>
      </c>
      <c r="O12191" s="46" t="s">
        <v>123</v>
      </c>
      <c r="P12191" s="46">
        <v>3600.0</v>
      </c>
    </row>
    <row r="12192">
      <c r="A12192" s="40">
        <f t="shared" si="1"/>
        <v>46013</v>
      </c>
      <c r="B12192" s="37" t="str">
        <f t="array" ref="B12192">iferror(xlookup($I12192, 'IMPORT VHC Report'!$E:$E, 'IMPORT VHC Report'!$A:$C), )</f>
        <v/>
      </c>
      <c r="C12192" s="44"/>
      <c r="D12192" s="44"/>
      <c r="E12192" s="46" t="s">
        <v>8208</v>
      </c>
      <c r="F12192" s="46" t="s">
        <v>2469</v>
      </c>
      <c r="G12192" s="46">
        <v>8.409862611087E12</v>
      </c>
      <c r="H12192" s="46" t="s">
        <v>2470</v>
      </c>
      <c r="I12192" s="46" t="s">
        <v>2471</v>
      </c>
      <c r="J12192" s="46" t="s">
        <v>368</v>
      </c>
      <c r="K12192" s="46" t="s">
        <v>63</v>
      </c>
      <c r="L12192" s="45">
        <v>46016.208333333336</v>
      </c>
      <c r="M12192" s="46" t="s">
        <v>123</v>
      </c>
      <c r="N12192" s="45">
        <v>46016.583333333336</v>
      </c>
      <c r="O12192" s="46" t="s">
        <v>123</v>
      </c>
      <c r="P12192" s="46">
        <v>32400.0</v>
      </c>
    </row>
    <row r="12193">
      <c r="A12193" s="40">
        <f t="shared" si="1"/>
        <v>46013</v>
      </c>
      <c r="B12193" s="37" t="str">
        <f t="array" ref="B12193">iferror(xlookup($I12193, 'IMPORT VHC Report'!$E:$E, 'IMPORT VHC Report'!$A:$C), )</f>
        <v/>
      </c>
      <c r="C12193" s="44"/>
      <c r="D12193" s="44"/>
      <c r="E12193" s="46" t="s">
        <v>8209</v>
      </c>
      <c r="F12193" s="46" t="s">
        <v>2469</v>
      </c>
      <c r="G12193" s="46">
        <v>8.409862611087E12</v>
      </c>
      <c r="H12193" s="46" t="s">
        <v>2470</v>
      </c>
      <c r="I12193" s="46" t="s">
        <v>2471</v>
      </c>
      <c r="J12193" s="46" t="s">
        <v>134</v>
      </c>
      <c r="K12193" s="46" t="s">
        <v>126</v>
      </c>
      <c r="L12193" s="45">
        <v>46016.333333333336</v>
      </c>
      <c r="M12193" s="46" t="s">
        <v>123</v>
      </c>
      <c r="N12193" s="45">
        <v>46016.354166666664</v>
      </c>
      <c r="O12193" s="46" t="s">
        <v>123</v>
      </c>
      <c r="P12193" s="46">
        <v>1800.0</v>
      </c>
    </row>
    <row r="12194">
      <c r="A12194" s="40">
        <f t="shared" si="1"/>
        <v>46013</v>
      </c>
      <c r="B12194" s="37" t="str">
        <f t="array" ref="B12194">iferror(xlookup($I12194, 'IMPORT VHC Report'!$E:$E, 'IMPORT VHC Report'!$A:$C), )</f>
        <v/>
      </c>
      <c r="C12194" s="44"/>
      <c r="D12194" s="44"/>
      <c r="E12194" s="46" t="s">
        <v>8210</v>
      </c>
      <c r="F12194" s="46" t="s">
        <v>2469</v>
      </c>
      <c r="G12194" s="46">
        <v>8.409862611087E12</v>
      </c>
      <c r="H12194" s="46" t="s">
        <v>2470</v>
      </c>
      <c r="I12194" s="46" t="s">
        <v>2471</v>
      </c>
      <c r="J12194" s="46" t="s">
        <v>132</v>
      </c>
      <c r="K12194" s="46" t="s">
        <v>126</v>
      </c>
      <c r="L12194" s="45">
        <v>46016.447916666664</v>
      </c>
      <c r="M12194" s="46" t="s">
        <v>123</v>
      </c>
      <c r="N12194" s="45">
        <v>46016.489583333336</v>
      </c>
      <c r="O12194" s="46" t="s">
        <v>123</v>
      </c>
      <c r="P12194" s="46">
        <v>3600.0</v>
      </c>
    </row>
    <row r="12195">
      <c r="A12195" s="40">
        <f t="shared" si="1"/>
        <v>46013</v>
      </c>
      <c r="B12195" s="37" t="str">
        <f t="array" ref="B12195">iferror(xlookup($I12195, 'IMPORT VHC Report'!$E:$E, 'IMPORT VHC Report'!$A:$C), )</f>
        <v/>
      </c>
      <c r="C12195" s="44"/>
      <c r="D12195" s="44"/>
      <c r="E12195" s="46" t="s">
        <v>8211</v>
      </c>
      <c r="F12195" s="46" t="s">
        <v>2469</v>
      </c>
      <c r="G12195" s="46">
        <v>8.409862611087E12</v>
      </c>
      <c r="H12195" s="46" t="s">
        <v>2470</v>
      </c>
      <c r="I12195" s="46" t="s">
        <v>2471</v>
      </c>
      <c r="J12195" s="46" t="s">
        <v>368</v>
      </c>
      <c r="K12195" s="46" t="s">
        <v>63</v>
      </c>
      <c r="L12195" s="45">
        <v>46019.208333333336</v>
      </c>
      <c r="M12195" s="46" t="s">
        <v>123</v>
      </c>
      <c r="N12195" s="45">
        <v>46019.583333333336</v>
      </c>
      <c r="O12195" s="46" t="s">
        <v>123</v>
      </c>
      <c r="P12195" s="46">
        <v>32400.0</v>
      </c>
    </row>
    <row r="12196">
      <c r="A12196" s="40">
        <f t="shared" si="1"/>
        <v>46013</v>
      </c>
      <c r="B12196" s="37" t="str">
        <f t="array" ref="B12196">iferror(xlookup($I12196, 'IMPORT VHC Report'!$E:$E, 'IMPORT VHC Report'!$A:$C), )</f>
        <v/>
      </c>
      <c r="C12196" s="44"/>
      <c r="D12196" s="44"/>
      <c r="E12196" s="46" t="s">
        <v>8212</v>
      </c>
      <c r="F12196" s="46" t="s">
        <v>2469</v>
      </c>
      <c r="G12196" s="46">
        <v>8.409862611087E12</v>
      </c>
      <c r="H12196" s="46" t="s">
        <v>2470</v>
      </c>
      <c r="I12196" s="46" t="s">
        <v>2471</v>
      </c>
      <c r="J12196" s="46" t="s">
        <v>134</v>
      </c>
      <c r="K12196" s="46" t="s">
        <v>126</v>
      </c>
      <c r="L12196" s="45">
        <v>46019.34375</v>
      </c>
      <c r="M12196" s="46" t="s">
        <v>123</v>
      </c>
      <c r="N12196" s="45">
        <v>46019.364583333336</v>
      </c>
      <c r="O12196" s="46" t="s">
        <v>123</v>
      </c>
      <c r="P12196" s="46">
        <v>1800.0</v>
      </c>
    </row>
    <row r="12197">
      <c r="A12197" s="40">
        <f t="shared" si="1"/>
        <v>46013</v>
      </c>
      <c r="B12197" s="37" t="str">
        <f t="array" ref="B12197">iferror(xlookup($I12197, 'IMPORT VHC Report'!$E:$E, 'IMPORT VHC Report'!$A:$C), )</f>
        <v/>
      </c>
      <c r="C12197" s="44"/>
      <c r="D12197" s="44"/>
      <c r="E12197" s="46" t="s">
        <v>8213</v>
      </c>
      <c r="F12197" s="46" t="s">
        <v>2469</v>
      </c>
      <c r="G12197" s="46">
        <v>8.409862611087E12</v>
      </c>
      <c r="H12197" s="46" t="s">
        <v>2470</v>
      </c>
      <c r="I12197" s="46" t="s">
        <v>2471</v>
      </c>
      <c r="J12197" s="46" t="s">
        <v>132</v>
      </c>
      <c r="K12197" s="46" t="s">
        <v>126</v>
      </c>
      <c r="L12197" s="45">
        <v>46019.479166666664</v>
      </c>
      <c r="M12197" s="46" t="s">
        <v>123</v>
      </c>
      <c r="N12197" s="45">
        <v>46019.520833333336</v>
      </c>
      <c r="O12197" s="46" t="s">
        <v>123</v>
      </c>
      <c r="P12197" s="46">
        <v>3600.0</v>
      </c>
    </row>
    <row r="12198">
      <c r="A12198" s="40">
        <f t="shared" si="1"/>
        <v>46013</v>
      </c>
      <c r="B12198" s="37" t="str">
        <f t="array" ref="B12198">iferror(xlookup($I12198, 'IMPORT VHC Report'!$E:$E, 'IMPORT VHC Report'!$A:$C), )</f>
        <v/>
      </c>
      <c r="C12198" s="44"/>
      <c r="D12198" s="44"/>
      <c r="E12198" s="46" t="s">
        <v>8214</v>
      </c>
      <c r="F12198" s="46" t="s">
        <v>2544</v>
      </c>
      <c r="G12198" s="46">
        <v>3.61731516535E11</v>
      </c>
      <c r="H12198" s="46" t="s">
        <v>2545</v>
      </c>
      <c r="I12198" s="46" t="s">
        <v>2546</v>
      </c>
      <c r="J12198" s="46" t="s">
        <v>368</v>
      </c>
      <c r="K12198" s="46" t="s">
        <v>63</v>
      </c>
      <c r="L12198" s="45">
        <v>46013.25</v>
      </c>
      <c r="M12198" s="46" t="s">
        <v>123</v>
      </c>
      <c r="N12198" s="45">
        <v>46013.458333333336</v>
      </c>
      <c r="O12198" s="46" t="s">
        <v>123</v>
      </c>
      <c r="P12198" s="46">
        <v>18000.0</v>
      </c>
    </row>
    <row r="12199">
      <c r="A12199" s="40">
        <f t="shared" si="1"/>
        <v>46013</v>
      </c>
      <c r="B12199" s="37" t="str">
        <f t="array" ref="B12199">iferror(xlookup($I12199, 'IMPORT VHC Report'!$E:$E, 'IMPORT VHC Report'!$A:$C), )</f>
        <v/>
      </c>
      <c r="C12199" s="44"/>
      <c r="D12199" s="44"/>
      <c r="E12199" s="46" t="s">
        <v>8215</v>
      </c>
      <c r="F12199" s="46" t="s">
        <v>2544</v>
      </c>
      <c r="G12199" s="46">
        <v>3.61731516535E11</v>
      </c>
      <c r="H12199" s="46" t="s">
        <v>2545</v>
      </c>
      <c r="I12199" s="46" t="s">
        <v>2546</v>
      </c>
      <c r="J12199" s="46" t="s">
        <v>134</v>
      </c>
      <c r="K12199" s="46" t="s">
        <v>126</v>
      </c>
      <c r="L12199" s="45">
        <v>46013.364583333336</v>
      </c>
      <c r="M12199" s="46" t="s">
        <v>123</v>
      </c>
      <c r="N12199" s="45">
        <v>46013.385416666664</v>
      </c>
      <c r="O12199" s="46" t="s">
        <v>123</v>
      </c>
      <c r="P12199" s="46">
        <v>1800.0</v>
      </c>
    </row>
    <row r="12200">
      <c r="A12200" s="40">
        <f t="shared" si="1"/>
        <v>46013</v>
      </c>
      <c r="B12200" s="37" t="str">
        <f t="array" ref="B12200">iferror(xlookup($I12200, 'IMPORT VHC Report'!$E:$E, 'IMPORT VHC Report'!$A:$C), )</f>
        <v/>
      </c>
      <c r="C12200" s="44"/>
      <c r="D12200" s="44"/>
      <c r="E12200" s="46" t="s">
        <v>8216</v>
      </c>
      <c r="F12200" s="46" t="s">
        <v>2544</v>
      </c>
      <c r="G12200" s="46">
        <v>3.61731516535E11</v>
      </c>
      <c r="H12200" s="46" t="s">
        <v>2545</v>
      </c>
      <c r="I12200" s="46" t="s">
        <v>2546</v>
      </c>
      <c r="J12200" s="46" t="s">
        <v>2268</v>
      </c>
      <c r="K12200" s="46" t="s">
        <v>63</v>
      </c>
      <c r="L12200" s="45">
        <v>46013.458333333336</v>
      </c>
      <c r="M12200" s="46" t="s">
        <v>123</v>
      </c>
      <c r="N12200" s="45">
        <v>46013.625</v>
      </c>
      <c r="O12200" s="46" t="s">
        <v>123</v>
      </c>
      <c r="P12200" s="46">
        <v>14400.0</v>
      </c>
      <c r="S12200" s="46" t="s">
        <v>2572</v>
      </c>
    </row>
    <row r="12201">
      <c r="A12201" s="40">
        <f t="shared" si="1"/>
        <v>46013</v>
      </c>
      <c r="B12201" s="37" t="str">
        <f t="array" ref="B12201">iferror(xlookup($I12201, 'IMPORT VHC Report'!$E:$E, 'IMPORT VHC Report'!$A:$C), )</f>
        <v/>
      </c>
      <c r="C12201" s="44"/>
      <c r="D12201" s="44"/>
      <c r="E12201" s="46" t="s">
        <v>8217</v>
      </c>
      <c r="F12201" s="46" t="s">
        <v>2544</v>
      </c>
      <c r="G12201" s="46">
        <v>3.61731516535E11</v>
      </c>
      <c r="H12201" s="46" t="s">
        <v>2545</v>
      </c>
      <c r="I12201" s="46" t="s">
        <v>2546</v>
      </c>
      <c r="J12201" s="46" t="s">
        <v>132</v>
      </c>
      <c r="K12201" s="46" t="s">
        <v>126</v>
      </c>
      <c r="L12201" s="45">
        <v>46013.489583333336</v>
      </c>
      <c r="M12201" s="46" t="s">
        <v>123</v>
      </c>
      <c r="N12201" s="45">
        <v>46013.53125</v>
      </c>
      <c r="O12201" s="46" t="s">
        <v>123</v>
      </c>
      <c r="P12201" s="46">
        <v>3600.0</v>
      </c>
    </row>
    <row r="12202">
      <c r="A12202" s="40">
        <f t="shared" si="1"/>
        <v>46013</v>
      </c>
      <c r="B12202" s="37" t="str">
        <f t="array" ref="B12202">iferror(xlookup($I12202, 'IMPORT VHC Report'!$E:$E, 'IMPORT VHC Report'!$A:$C), )</f>
        <v/>
      </c>
      <c r="C12202" s="44"/>
      <c r="D12202" s="44"/>
      <c r="E12202" s="46" t="s">
        <v>8218</v>
      </c>
      <c r="F12202" s="46" t="s">
        <v>2544</v>
      </c>
      <c r="G12202" s="46">
        <v>3.61731516535E11</v>
      </c>
      <c r="H12202" s="46" t="s">
        <v>2545</v>
      </c>
      <c r="I12202" s="46" t="s">
        <v>2546</v>
      </c>
      <c r="J12202" s="46" t="s">
        <v>152</v>
      </c>
      <c r="K12202" s="46" t="s">
        <v>153</v>
      </c>
      <c r="L12202" s="45">
        <v>46014.25</v>
      </c>
      <c r="M12202" s="46" t="s">
        <v>123</v>
      </c>
      <c r="N12202" s="45">
        <v>46014.625</v>
      </c>
      <c r="O12202" s="46" t="s">
        <v>123</v>
      </c>
      <c r="P12202" s="46">
        <v>32400.0</v>
      </c>
      <c r="Q12202" s="46">
        <v>32400.0</v>
      </c>
    </row>
    <row r="12203">
      <c r="A12203" s="40">
        <f t="shared" si="1"/>
        <v>46013</v>
      </c>
      <c r="B12203" s="37" t="str">
        <f t="array" ref="B12203">iferror(xlookup($I12203, 'IMPORT VHC Report'!$E:$E, 'IMPORT VHC Report'!$A:$C), )</f>
        <v/>
      </c>
      <c r="C12203" s="44"/>
      <c r="D12203" s="44"/>
      <c r="E12203" s="46" t="s">
        <v>8219</v>
      </c>
      <c r="F12203" s="46" t="s">
        <v>2544</v>
      </c>
      <c r="G12203" s="46">
        <v>3.61731516535E11</v>
      </c>
      <c r="H12203" s="46" t="s">
        <v>2545</v>
      </c>
      <c r="I12203" s="46" t="s">
        <v>2546</v>
      </c>
      <c r="J12203" s="46" t="s">
        <v>134</v>
      </c>
      <c r="K12203" s="46" t="s">
        <v>126</v>
      </c>
      <c r="L12203" s="45">
        <v>46014.364583333336</v>
      </c>
      <c r="M12203" s="46" t="s">
        <v>123</v>
      </c>
      <c r="N12203" s="45">
        <v>46014.385416666664</v>
      </c>
      <c r="O12203" s="46" t="s">
        <v>123</v>
      </c>
      <c r="P12203" s="46">
        <v>1800.0</v>
      </c>
    </row>
    <row r="12204">
      <c r="A12204" s="40">
        <f t="shared" si="1"/>
        <v>46013</v>
      </c>
      <c r="B12204" s="37" t="str">
        <f t="array" ref="B12204">iferror(xlookup($I12204, 'IMPORT VHC Report'!$E:$E, 'IMPORT VHC Report'!$A:$C), )</f>
        <v/>
      </c>
      <c r="C12204" s="44"/>
      <c r="D12204" s="44"/>
      <c r="E12204" s="46" t="s">
        <v>8220</v>
      </c>
      <c r="F12204" s="46" t="s">
        <v>2544</v>
      </c>
      <c r="G12204" s="46">
        <v>3.61731516535E11</v>
      </c>
      <c r="H12204" s="46" t="s">
        <v>2545</v>
      </c>
      <c r="I12204" s="46" t="s">
        <v>2546</v>
      </c>
      <c r="J12204" s="46" t="s">
        <v>2268</v>
      </c>
      <c r="K12204" s="46" t="s">
        <v>63</v>
      </c>
      <c r="L12204" s="45">
        <v>46014.416666666664</v>
      </c>
      <c r="M12204" s="46" t="s">
        <v>123</v>
      </c>
      <c r="N12204" s="45">
        <v>46014.625</v>
      </c>
      <c r="O12204" s="46" t="s">
        <v>123</v>
      </c>
      <c r="P12204" s="46">
        <v>18000.0</v>
      </c>
      <c r="S12204" s="46" t="s">
        <v>8221</v>
      </c>
    </row>
    <row r="12205">
      <c r="A12205" s="40">
        <f t="shared" si="1"/>
        <v>46013</v>
      </c>
      <c r="B12205" s="37" t="str">
        <f t="array" ref="B12205">iferror(xlookup($I12205, 'IMPORT VHC Report'!$E:$E, 'IMPORT VHC Report'!$A:$C), )</f>
        <v/>
      </c>
      <c r="C12205" s="44"/>
      <c r="D12205" s="44"/>
      <c r="E12205" s="46" t="s">
        <v>8222</v>
      </c>
      <c r="F12205" s="46" t="s">
        <v>2544</v>
      </c>
      <c r="G12205" s="46">
        <v>3.61731516535E11</v>
      </c>
      <c r="H12205" s="46" t="s">
        <v>2545</v>
      </c>
      <c r="I12205" s="46" t="s">
        <v>2546</v>
      </c>
      <c r="J12205" s="46" t="s">
        <v>132</v>
      </c>
      <c r="K12205" s="46" t="s">
        <v>126</v>
      </c>
      <c r="L12205" s="45">
        <v>46014.520833333336</v>
      </c>
      <c r="M12205" s="46" t="s">
        <v>123</v>
      </c>
      <c r="N12205" s="45">
        <v>46014.5625</v>
      </c>
      <c r="O12205" s="46" t="s">
        <v>123</v>
      </c>
      <c r="P12205" s="46">
        <v>3600.0</v>
      </c>
    </row>
    <row r="12206">
      <c r="A12206" s="40">
        <f t="shared" si="1"/>
        <v>46013</v>
      </c>
      <c r="B12206" s="37" t="str">
        <f t="array" ref="B12206">iferror(xlookup($I12206, 'IMPORT VHC Report'!$E:$E, 'IMPORT VHC Report'!$A:$C), )</f>
        <v/>
      </c>
      <c r="C12206" s="44"/>
      <c r="D12206" s="44"/>
      <c r="E12206" s="46" t="s">
        <v>8223</v>
      </c>
      <c r="F12206" s="46" t="s">
        <v>2544</v>
      </c>
      <c r="G12206" s="46">
        <v>3.61731516535E11</v>
      </c>
      <c r="H12206" s="46" t="s">
        <v>2545</v>
      </c>
      <c r="I12206" s="46" t="s">
        <v>2546</v>
      </c>
      <c r="J12206" s="46" t="s">
        <v>368</v>
      </c>
      <c r="K12206" s="46" t="s">
        <v>63</v>
      </c>
      <c r="L12206" s="45">
        <v>46015.25</v>
      </c>
      <c r="M12206" s="46" t="s">
        <v>123</v>
      </c>
      <c r="N12206" s="45">
        <v>46015.375</v>
      </c>
      <c r="O12206" s="46" t="s">
        <v>123</v>
      </c>
      <c r="P12206" s="46">
        <v>10800.0</v>
      </c>
    </row>
    <row r="12207">
      <c r="A12207" s="40">
        <f t="shared" si="1"/>
        <v>46013</v>
      </c>
      <c r="B12207" s="37" t="str">
        <f t="array" ref="B12207">iferror(xlookup($I12207, 'IMPORT VHC Report'!$E:$E, 'IMPORT VHC Report'!$A:$C), )</f>
        <v/>
      </c>
      <c r="C12207" s="44"/>
      <c r="D12207" s="44"/>
      <c r="E12207" s="46" t="s">
        <v>8224</v>
      </c>
      <c r="F12207" s="46" t="s">
        <v>2544</v>
      </c>
      <c r="G12207" s="46">
        <v>3.61731516535E11</v>
      </c>
      <c r="H12207" s="46" t="s">
        <v>2545</v>
      </c>
      <c r="I12207" s="46" t="s">
        <v>2546</v>
      </c>
      <c r="J12207" s="46" t="s">
        <v>2268</v>
      </c>
      <c r="K12207" s="46" t="s">
        <v>63</v>
      </c>
      <c r="L12207" s="45">
        <v>46015.375</v>
      </c>
      <c r="M12207" s="46" t="s">
        <v>123</v>
      </c>
      <c r="N12207" s="45">
        <v>46015.625</v>
      </c>
      <c r="O12207" s="46" t="s">
        <v>123</v>
      </c>
      <c r="P12207" s="46">
        <v>21600.0</v>
      </c>
    </row>
    <row r="12208">
      <c r="A12208" s="40">
        <f t="shared" si="1"/>
        <v>46013</v>
      </c>
      <c r="B12208" s="37" t="str">
        <f t="array" ref="B12208">iferror(xlookup($I12208, 'IMPORT VHC Report'!$E:$E, 'IMPORT VHC Report'!$A:$C), )</f>
        <v/>
      </c>
      <c r="C12208" s="44"/>
      <c r="D12208" s="44"/>
      <c r="E12208" s="46" t="s">
        <v>8225</v>
      </c>
      <c r="F12208" s="46" t="s">
        <v>2544</v>
      </c>
      <c r="G12208" s="46">
        <v>3.61731516535E11</v>
      </c>
      <c r="H12208" s="46" t="s">
        <v>2545</v>
      </c>
      <c r="I12208" s="46" t="s">
        <v>2546</v>
      </c>
      <c r="J12208" s="46" t="s">
        <v>134</v>
      </c>
      <c r="K12208" s="46" t="s">
        <v>126</v>
      </c>
      <c r="L12208" s="45">
        <v>46015.427083333336</v>
      </c>
      <c r="M12208" s="46" t="s">
        <v>123</v>
      </c>
      <c r="N12208" s="45">
        <v>46015.447916666664</v>
      </c>
      <c r="O12208" s="46" t="s">
        <v>123</v>
      </c>
      <c r="P12208" s="46">
        <v>1800.0</v>
      </c>
    </row>
    <row r="12209">
      <c r="A12209" s="40">
        <f t="shared" si="1"/>
        <v>46013</v>
      </c>
      <c r="B12209" s="37" t="str">
        <f t="array" ref="B12209">iferror(xlookup($I12209, 'IMPORT VHC Report'!$E:$E, 'IMPORT VHC Report'!$A:$C), )</f>
        <v/>
      </c>
      <c r="C12209" s="44"/>
      <c r="D12209" s="44"/>
      <c r="E12209" s="46" t="s">
        <v>8226</v>
      </c>
      <c r="F12209" s="46" t="s">
        <v>2544</v>
      </c>
      <c r="G12209" s="46">
        <v>3.61731516535E11</v>
      </c>
      <c r="H12209" s="46" t="s">
        <v>2545</v>
      </c>
      <c r="I12209" s="46" t="s">
        <v>2546</v>
      </c>
      <c r="J12209" s="46" t="s">
        <v>132</v>
      </c>
      <c r="K12209" s="46" t="s">
        <v>126</v>
      </c>
      <c r="L12209" s="45">
        <v>46015.541666666664</v>
      </c>
      <c r="M12209" s="46" t="s">
        <v>123</v>
      </c>
      <c r="N12209" s="45">
        <v>46015.583333333336</v>
      </c>
      <c r="O12209" s="46" t="s">
        <v>123</v>
      </c>
      <c r="P12209" s="46">
        <v>3600.0</v>
      </c>
    </row>
    <row r="12210">
      <c r="A12210" s="40">
        <f t="shared" si="1"/>
        <v>46013</v>
      </c>
      <c r="B12210" s="37" t="str">
        <f t="array" ref="B12210">iferror(xlookup($I12210, 'IMPORT VHC Report'!$E:$E, 'IMPORT VHC Report'!$A:$C), )</f>
        <v/>
      </c>
      <c r="C12210" s="44"/>
      <c r="D12210" s="44"/>
      <c r="E12210" s="46" t="s">
        <v>8227</v>
      </c>
      <c r="F12210" s="46" t="s">
        <v>2544</v>
      </c>
      <c r="G12210" s="46">
        <v>3.61731516535E11</v>
      </c>
      <c r="H12210" s="46" t="s">
        <v>2545</v>
      </c>
      <c r="I12210" s="46" t="s">
        <v>2546</v>
      </c>
      <c r="J12210" s="46" t="s">
        <v>368</v>
      </c>
      <c r="K12210" s="46" t="s">
        <v>63</v>
      </c>
      <c r="L12210" s="45">
        <v>46016.25</v>
      </c>
      <c r="M12210" s="46" t="s">
        <v>123</v>
      </c>
      <c r="N12210" s="45">
        <v>46016.291666666664</v>
      </c>
      <c r="O12210" s="46" t="s">
        <v>123</v>
      </c>
      <c r="P12210" s="46">
        <v>3600.0</v>
      </c>
    </row>
    <row r="12211">
      <c r="A12211" s="40">
        <f t="shared" si="1"/>
        <v>46013</v>
      </c>
      <c r="B12211" s="37" t="str">
        <f t="array" ref="B12211">iferror(xlookup($I12211, 'IMPORT VHC Report'!$E:$E, 'IMPORT VHC Report'!$A:$C), )</f>
        <v/>
      </c>
      <c r="C12211" s="44"/>
      <c r="D12211" s="44"/>
      <c r="E12211" s="46" t="s">
        <v>8228</v>
      </c>
      <c r="F12211" s="46" t="s">
        <v>2544</v>
      </c>
      <c r="G12211" s="46">
        <v>3.61731516535E11</v>
      </c>
      <c r="H12211" s="46" t="s">
        <v>2545</v>
      </c>
      <c r="I12211" s="46" t="s">
        <v>2546</v>
      </c>
      <c r="J12211" s="46" t="s">
        <v>2268</v>
      </c>
      <c r="K12211" s="46" t="s">
        <v>63</v>
      </c>
      <c r="L12211" s="45">
        <v>46016.291666666664</v>
      </c>
      <c r="M12211" s="46" t="s">
        <v>123</v>
      </c>
      <c r="N12211" s="45">
        <v>46016.375</v>
      </c>
      <c r="O12211" s="46" t="s">
        <v>123</v>
      </c>
      <c r="P12211" s="46">
        <v>7200.0</v>
      </c>
    </row>
    <row r="12212">
      <c r="A12212" s="40">
        <f t="shared" si="1"/>
        <v>46013</v>
      </c>
      <c r="B12212" s="37" t="str">
        <f t="array" ref="B12212">iferror(xlookup($I12212, 'IMPORT VHC Report'!$E:$E, 'IMPORT VHC Report'!$A:$C), )</f>
        <v/>
      </c>
      <c r="C12212" s="44"/>
      <c r="D12212" s="44"/>
      <c r="E12212" s="46" t="s">
        <v>8229</v>
      </c>
      <c r="F12212" s="46" t="s">
        <v>2544</v>
      </c>
      <c r="G12212" s="46">
        <v>3.61731516535E11</v>
      </c>
      <c r="H12212" s="46" t="s">
        <v>2545</v>
      </c>
      <c r="I12212" s="46" t="s">
        <v>2546</v>
      </c>
      <c r="J12212" s="46" t="s">
        <v>2268</v>
      </c>
      <c r="K12212" s="46" t="s">
        <v>63</v>
      </c>
      <c r="L12212" s="45">
        <v>46016.375</v>
      </c>
      <c r="M12212" s="46" t="s">
        <v>123</v>
      </c>
      <c r="N12212" s="45">
        <v>46016.625</v>
      </c>
      <c r="O12212" s="46" t="s">
        <v>123</v>
      </c>
      <c r="P12212" s="46">
        <v>21600.0</v>
      </c>
    </row>
    <row r="12213">
      <c r="A12213" s="40">
        <f t="shared" si="1"/>
        <v>46013</v>
      </c>
      <c r="B12213" s="37" t="str">
        <f t="array" ref="B12213">iferror(xlookup($I12213, 'IMPORT VHC Report'!$E:$E, 'IMPORT VHC Report'!$A:$C), )</f>
        <v/>
      </c>
      <c r="C12213" s="44"/>
      <c r="D12213" s="44"/>
      <c r="E12213" s="46" t="s">
        <v>8230</v>
      </c>
      <c r="F12213" s="46" t="s">
        <v>2544</v>
      </c>
      <c r="G12213" s="46">
        <v>3.61731516535E11</v>
      </c>
      <c r="H12213" s="46" t="s">
        <v>2545</v>
      </c>
      <c r="I12213" s="46" t="s">
        <v>2546</v>
      </c>
      <c r="J12213" s="46" t="s">
        <v>134</v>
      </c>
      <c r="K12213" s="46" t="s">
        <v>126</v>
      </c>
      <c r="L12213" s="45">
        <v>46016.385416666664</v>
      </c>
      <c r="M12213" s="46" t="s">
        <v>123</v>
      </c>
      <c r="N12213" s="45">
        <v>46016.40625</v>
      </c>
      <c r="O12213" s="46" t="s">
        <v>123</v>
      </c>
      <c r="P12213" s="46">
        <v>1800.0</v>
      </c>
    </row>
    <row r="12214">
      <c r="A12214" s="40">
        <f t="shared" si="1"/>
        <v>46013</v>
      </c>
      <c r="B12214" s="37" t="str">
        <f t="array" ref="B12214">iferror(xlookup($I12214, 'IMPORT VHC Report'!$E:$E, 'IMPORT VHC Report'!$A:$C), )</f>
        <v/>
      </c>
      <c r="C12214" s="44"/>
      <c r="D12214" s="44"/>
      <c r="E12214" s="46" t="s">
        <v>8231</v>
      </c>
      <c r="F12214" s="46" t="s">
        <v>2544</v>
      </c>
      <c r="G12214" s="46">
        <v>3.61731516535E11</v>
      </c>
      <c r="H12214" s="46" t="s">
        <v>2545</v>
      </c>
      <c r="I12214" s="46" t="s">
        <v>2546</v>
      </c>
      <c r="J12214" s="46" t="s">
        <v>132</v>
      </c>
      <c r="K12214" s="46" t="s">
        <v>126</v>
      </c>
      <c r="L12214" s="45">
        <v>46016.520833333336</v>
      </c>
      <c r="M12214" s="46" t="s">
        <v>123</v>
      </c>
      <c r="N12214" s="45">
        <v>46016.5625</v>
      </c>
      <c r="O12214" s="46" t="s">
        <v>123</v>
      </c>
      <c r="P12214" s="46">
        <v>3600.0</v>
      </c>
    </row>
    <row r="12215">
      <c r="A12215" s="40">
        <f t="shared" si="1"/>
        <v>46013</v>
      </c>
      <c r="B12215" s="37" t="str">
        <f t="array" ref="B12215">iferror(xlookup($I12215, 'IMPORT VHC Report'!$E:$E, 'IMPORT VHC Report'!$A:$C), )</f>
        <v/>
      </c>
      <c r="C12215" s="44"/>
      <c r="D12215" s="44"/>
      <c r="E12215" s="46" t="s">
        <v>8232</v>
      </c>
      <c r="F12215" s="46" t="s">
        <v>2544</v>
      </c>
      <c r="G12215" s="46">
        <v>3.61731516535E11</v>
      </c>
      <c r="H12215" s="46" t="s">
        <v>2545</v>
      </c>
      <c r="I12215" s="46" t="s">
        <v>2546</v>
      </c>
      <c r="J12215" s="46" t="s">
        <v>2268</v>
      </c>
      <c r="K12215" s="46" t="s">
        <v>63</v>
      </c>
      <c r="L12215" s="45">
        <v>46017.25</v>
      </c>
      <c r="M12215" s="46" t="s">
        <v>123</v>
      </c>
      <c r="N12215" s="45">
        <v>46017.625</v>
      </c>
      <c r="O12215" s="46" t="s">
        <v>123</v>
      </c>
      <c r="P12215" s="46">
        <v>32400.0</v>
      </c>
    </row>
    <row r="12216">
      <c r="A12216" s="40">
        <f t="shared" si="1"/>
        <v>46013</v>
      </c>
      <c r="B12216" s="37" t="str">
        <f t="array" ref="B12216">iferror(xlookup($I12216, 'IMPORT VHC Report'!$E:$E, 'IMPORT VHC Report'!$A:$C), )</f>
        <v/>
      </c>
      <c r="C12216" s="44"/>
      <c r="D12216" s="44"/>
      <c r="E12216" s="46" t="s">
        <v>8233</v>
      </c>
      <c r="F12216" s="46" t="s">
        <v>2544</v>
      </c>
      <c r="G12216" s="46">
        <v>3.61731516535E11</v>
      </c>
      <c r="H12216" s="46" t="s">
        <v>2545</v>
      </c>
      <c r="I12216" s="46" t="s">
        <v>2546</v>
      </c>
      <c r="J12216" s="46" t="s">
        <v>134</v>
      </c>
      <c r="K12216" s="46" t="s">
        <v>126</v>
      </c>
      <c r="L12216" s="45">
        <v>46017.416666666664</v>
      </c>
      <c r="M12216" s="46" t="s">
        <v>123</v>
      </c>
      <c r="N12216" s="45">
        <v>46017.4375</v>
      </c>
      <c r="O12216" s="46" t="s">
        <v>123</v>
      </c>
      <c r="P12216" s="46">
        <v>1800.0</v>
      </c>
    </row>
    <row r="12217">
      <c r="A12217" s="40">
        <f t="shared" si="1"/>
        <v>46013</v>
      </c>
      <c r="B12217" s="37" t="str">
        <f t="array" ref="B12217">iferror(xlookup($I12217, 'IMPORT VHC Report'!$E:$E, 'IMPORT VHC Report'!$A:$C), )</f>
        <v/>
      </c>
      <c r="C12217" s="44"/>
      <c r="D12217" s="44"/>
      <c r="E12217" s="46" t="s">
        <v>8234</v>
      </c>
      <c r="F12217" s="46" t="s">
        <v>2544</v>
      </c>
      <c r="G12217" s="46">
        <v>3.61731516535E11</v>
      </c>
      <c r="H12217" s="46" t="s">
        <v>2545</v>
      </c>
      <c r="I12217" s="46" t="s">
        <v>2546</v>
      </c>
      <c r="J12217" s="46" t="s">
        <v>132</v>
      </c>
      <c r="K12217" s="46" t="s">
        <v>126</v>
      </c>
      <c r="L12217" s="45">
        <v>46017.53125</v>
      </c>
      <c r="M12217" s="46" t="s">
        <v>123</v>
      </c>
      <c r="N12217" s="45">
        <v>46017.572916666664</v>
      </c>
      <c r="O12217" s="46" t="s">
        <v>123</v>
      </c>
      <c r="P12217" s="46">
        <v>3600.0</v>
      </c>
    </row>
    <row r="12218">
      <c r="A12218" s="40">
        <f t="shared" si="1"/>
        <v>46013</v>
      </c>
      <c r="B12218" s="37" t="str">
        <f t="array" ref="B12218">iferror(xlookup($I12218, 'IMPORT VHC Report'!$E:$E, 'IMPORT VHC Report'!$A:$C), )</f>
        <v/>
      </c>
      <c r="C12218" s="44"/>
      <c r="D12218" s="44"/>
      <c r="E12218" s="46" t="s">
        <v>8235</v>
      </c>
      <c r="F12218" s="46" t="s">
        <v>2654</v>
      </c>
      <c r="G12218" s="46">
        <v>3.61724965056E11</v>
      </c>
      <c r="H12218" s="46" t="s">
        <v>2655</v>
      </c>
      <c r="I12218" s="46" t="s">
        <v>2656</v>
      </c>
      <c r="J12218" s="46" t="s">
        <v>178</v>
      </c>
      <c r="K12218" s="46" t="s">
        <v>153</v>
      </c>
      <c r="L12218" s="45">
        <v>46013.25</v>
      </c>
      <c r="M12218" s="46" t="s">
        <v>123</v>
      </c>
      <c r="N12218" s="45">
        <v>46013.625</v>
      </c>
      <c r="O12218" s="46" t="s">
        <v>123</v>
      </c>
      <c r="P12218" s="46">
        <v>32400.0</v>
      </c>
      <c r="Q12218" s="46">
        <v>32400.0</v>
      </c>
    </row>
    <row r="12219">
      <c r="A12219" s="40">
        <f t="shared" si="1"/>
        <v>46013</v>
      </c>
      <c r="B12219" s="37" t="str">
        <f t="array" ref="B12219">iferror(xlookup($I12219, 'IMPORT VHC Report'!$E:$E, 'IMPORT VHC Report'!$A:$C), )</f>
        <v/>
      </c>
      <c r="C12219" s="44"/>
      <c r="D12219" s="44"/>
      <c r="E12219" s="46" t="s">
        <v>8236</v>
      </c>
      <c r="F12219" s="46" t="s">
        <v>2654</v>
      </c>
      <c r="G12219" s="46">
        <v>3.61724965056E11</v>
      </c>
      <c r="H12219" s="46" t="s">
        <v>2655</v>
      </c>
      <c r="I12219" s="46" t="s">
        <v>2656</v>
      </c>
      <c r="J12219" s="46" t="s">
        <v>368</v>
      </c>
      <c r="K12219" s="46" t="s">
        <v>63</v>
      </c>
      <c r="L12219" s="45">
        <v>46013.25</v>
      </c>
      <c r="M12219" s="46" t="s">
        <v>123</v>
      </c>
      <c r="N12219" s="45">
        <v>46013.625</v>
      </c>
      <c r="O12219" s="46" t="s">
        <v>123</v>
      </c>
      <c r="P12219" s="46">
        <v>32400.0</v>
      </c>
    </row>
    <row r="12220">
      <c r="A12220" s="40">
        <f t="shared" si="1"/>
        <v>46013</v>
      </c>
      <c r="B12220" s="37" t="str">
        <f t="array" ref="B12220">iferror(xlookup($I12220, 'IMPORT VHC Report'!$E:$E, 'IMPORT VHC Report'!$A:$C), )</f>
        <v/>
      </c>
      <c r="C12220" s="44"/>
      <c r="D12220" s="44"/>
      <c r="E12220" s="46" t="s">
        <v>8237</v>
      </c>
      <c r="F12220" s="46" t="s">
        <v>2654</v>
      </c>
      <c r="G12220" s="46">
        <v>3.61724965056E11</v>
      </c>
      <c r="H12220" s="46" t="s">
        <v>2655</v>
      </c>
      <c r="I12220" s="46" t="s">
        <v>2656</v>
      </c>
      <c r="J12220" s="46" t="s">
        <v>134</v>
      </c>
      <c r="K12220" s="46" t="s">
        <v>126</v>
      </c>
      <c r="L12220" s="45">
        <v>46013.4375</v>
      </c>
      <c r="M12220" s="46" t="s">
        <v>123</v>
      </c>
      <c r="N12220" s="45">
        <v>46013.458333333336</v>
      </c>
      <c r="O12220" s="46" t="s">
        <v>123</v>
      </c>
      <c r="P12220" s="46">
        <v>1800.0</v>
      </c>
    </row>
    <row r="12221">
      <c r="A12221" s="40">
        <f t="shared" si="1"/>
        <v>46013</v>
      </c>
      <c r="B12221" s="37" t="str">
        <f t="array" ref="B12221">iferror(xlookup($I12221, 'IMPORT VHC Report'!$E:$E, 'IMPORT VHC Report'!$A:$C), )</f>
        <v/>
      </c>
      <c r="C12221" s="44"/>
      <c r="D12221" s="44"/>
      <c r="E12221" s="46" t="s">
        <v>8238</v>
      </c>
      <c r="F12221" s="46" t="s">
        <v>2654</v>
      </c>
      <c r="G12221" s="46">
        <v>3.61724965056E11</v>
      </c>
      <c r="H12221" s="46" t="s">
        <v>2655</v>
      </c>
      <c r="I12221" s="46" t="s">
        <v>2656</v>
      </c>
      <c r="J12221" s="46" t="s">
        <v>132</v>
      </c>
      <c r="K12221" s="46" t="s">
        <v>126</v>
      </c>
      <c r="L12221" s="45">
        <v>46013.541666666664</v>
      </c>
      <c r="M12221" s="46" t="s">
        <v>123</v>
      </c>
      <c r="N12221" s="45">
        <v>46013.583333333336</v>
      </c>
      <c r="O12221" s="46" t="s">
        <v>123</v>
      </c>
      <c r="P12221" s="46">
        <v>3600.0</v>
      </c>
    </row>
    <row r="12222">
      <c r="A12222" s="40">
        <f t="shared" si="1"/>
        <v>46013</v>
      </c>
      <c r="B12222" s="37" t="str">
        <f t="array" ref="B12222">iferror(xlookup($I12222, 'IMPORT VHC Report'!$E:$E, 'IMPORT VHC Report'!$A:$C), )</f>
        <v/>
      </c>
      <c r="C12222" s="44"/>
      <c r="D12222" s="44"/>
      <c r="E12222" s="46" t="s">
        <v>8239</v>
      </c>
      <c r="F12222" s="46" t="s">
        <v>2654</v>
      </c>
      <c r="G12222" s="46">
        <v>3.61724965056E11</v>
      </c>
      <c r="H12222" s="46" t="s">
        <v>2655</v>
      </c>
      <c r="I12222" s="46" t="s">
        <v>2656</v>
      </c>
      <c r="J12222" s="46" t="s">
        <v>368</v>
      </c>
      <c r="K12222" s="46" t="s">
        <v>63</v>
      </c>
      <c r="L12222" s="45">
        <v>46014.25</v>
      </c>
      <c r="M12222" s="46" t="s">
        <v>123</v>
      </c>
      <c r="N12222" s="45">
        <v>46014.625</v>
      </c>
      <c r="O12222" s="46" t="s">
        <v>123</v>
      </c>
      <c r="P12222" s="46">
        <v>32400.0</v>
      </c>
    </row>
    <row r="12223">
      <c r="A12223" s="40">
        <f t="shared" si="1"/>
        <v>46013</v>
      </c>
      <c r="B12223" s="37" t="str">
        <f t="array" ref="B12223">iferror(xlookup($I12223, 'IMPORT VHC Report'!$E:$E, 'IMPORT VHC Report'!$A:$C), )</f>
        <v/>
      </c>
      <c r="C12223" s="44"/>
      <c r="D12223" s="44"/>
      <c r="E12223" s="46" t="s">
        <v>8240</v>
      </c>
      <c r="F12223" s="46" t="s">
        <v>2654</v>
      </c>
      <c r="G12223" s="46">
        <v>3.61724965056E11</v>
      </c>
      <c r="H12223" s="46" t="s">
        <v>2655</v>
      </c>
      <c r="I12223" s="46" t="s">
        <v>2656</v>
      </c>
      <c r="J12223" s="46" t="s">
        <v>134</v>
      </c>
      <c r="K12223" s="46" t="s">
        <v>126</v>
      </c>
      <c r="L12223" s="45">
        <v>46014.395833333336</v>
      </c>
      <c r="M12223" s="46" t="s">
        <v>123</v>
      </c>
      <c r="N12223" s="45">
        <v>46014.416666666664</v>
      </c>
      <c r="O12223" s="46" t="s">
        <v>123</v>
      </c>
      <c r="P12223" s="46">
        <v>1800.0</v>
      </c>
    </row>
    <row r="12224">
      <c r="A12224" s="40">
        <f t="shared" si="1"/>
        <v>46013</v>
      </c>
      <c r="B12224" s="37" t="str">
        <f t="array" ref="B12224">iferror(xlookup($I12224, 'IMPORT VHC Report'!$E:$E, 'IMPORT VHC Report'!$A:$C), )</f>
        <v/>
      </c>
      <c r="C12224" s="44"/>
      <c r="D12224" s="44"/>
      <c r="E12224" s="46" t="s">
        <v>8241</v>
      </c>
      <c r="F12224" s="46" t="s">
        <v>2654</v>
      </c>
      <c r="G12224" s="46">
        <v>3.61724965056E11</v>
      </c>
      <c r="H12224" s="46" t="s">
        <v>2655</v>
      </c>
      <c r="I12224" s="46" t="s">
        <v>2656</v>
      </c>
      <c r="J12224" s="46" t="s">
        <v>132</v>
      </c>
      <c r="K12224" s="46" t="s">
        <v>126</v>
      </c>
      <c r="L12224" s="45">
        <v>46014.53125</v>
      </c>
      <c r="M12224" s="46" t="s">
        <v>123</v>
      </c>
      <c r="N12224" s="45">
        <v>46014.572916666664</v>
      </c>
      <c r="O12224" s="46" t="s">
        <v>123</v>
      </c>
      <c r="P12224" s="46">
        <v>3600.0</v>
      </c>
    </row>
    <row r="12225">
      <c r="A12225" s="40">
        <f t="shared" si="1"/>
        <v>46013</v>
      </c>
      <c r="B12225" s="37" t="str">
        <f t="array" ref="B12225">iferror(xlookup($I12225, 'IMPORT VHC Report'!$E:$E, 'IMPORT VHC Report'!$A:$C), )</f>
        <v/>
      </c>
      <c r="C12225" s="44"/>
      <c r="D12225" s="44"/>
      <c r="E12225" s="46" t="s">
        <v>8242</v>
      </c>
      <c r="F12225" s="46" t="s">
        <v>2654</v>
      </c>
      <c r="G12225" s="46">
        <v>3.61724965056E11</v>
      </c>
      <c r="H12225" s="46" t="s">
        <v>2655</v>
      </c>
      <c r="I12225" s="46" t="s">
        <v>2656</v>
      </c>
      <c r="J12225" s="46" t="s">
        <v>368</v>
      </c>
      <c r="K12225" s="46" t="s">
        <v>63</v>
      </c>
      <c r="L12225" s="45">
        <v>46015.25</v>
      </c>
      <c r="M12225" s="46" t="s">
        <v>123</v>
      </c>
      <c r="N12225" s="45">
        <v>46015.625</v>
      </c>
      <c r="O12225" s="46" t="s">
        <v>123</v>
      </c>
      <c r="P12225" s="46">
        <v>32400.0</v>
      </c>
    </row>
    <row r="12226">
      <c r="A12226" s="40">
        <f t="shared" si="1"/>
        <v>46013</v>
      </c>
      <c r="B12226" s="37" t="str">
        <f t="array" ref="B12226">iferror(xlookup($I12226, 'IMPORT VHC Report'!$E:$E, 'IMPORT VHC Report'!$A:$C), )</f>
        <v/>
      </c>
      <c r="C12226" s="44"/>
      <c r="D12226" s="44"/>
      <c r="E12226" s="46" t="s">
        <v>8243</v>
      </c>
      <c r="F12226" s="46" t="s">
        <v>2654</v>
      </c>
      <c r="G12226" s="46">
        <v>3.61724965056E11</v>
      </c>
      <c r="H12226" s="46" t="s">
        <v>2655</v>
      </c>
      <c r="I12226" s="46" t="s">
        <v>2656</v>
      </c>
      <c r="J12226" s="46" t="s">
        <v>134</v>
      </c>
      <c r="K12226" s="46" t="s">
        <v>126</v>
      </c>
      <c r="L12226" s="45">
        <v>46015.395833333336</v>
      </c>
      <c r="M12226" s="46" t="s">
        <v>123</v>
      </c>
      <c r="N12226" s="45">
        <v>46015.416666666664</v>
      </c>
      <c r="O12226" s="46" t="s">
        <v>123</v>
      </c>
      <c r="P12226" s="46">
        <v>1800.0</v>
      </c>
    </row>
    <row r="12227">
      <c r="A12227" s="40">
        <f t="shared" si="1"/>
        <v>46013</v>
      </c>
      <c r="B12227" s="37" t="str">
        <f t="array" ref="B12227">iferror(xlookup($I12227, 'IMPORT VHC Report'!$E:$E, 'IMPORT VHC Report'!$A:$C), )</f>
        <v/>
      </c>
      <c r="C12227" s="44"/>
      <c r="D12227" s="44"/>
      <c r="E12227" s="46" t="s">
        <v>8244</v>
      </c>
      <c r="F12227" s="46" t="s">
        <v>2654</v>
      </c>
      <c r="G12227" s="46">
        <v>3.61724965056E11</v>
      </c>
      <c r="H12227" s="46" t="s">
        <v>2655</v>
      </c>
      <c r="I12227" s="46" t="s">
        <v>2656</v>
      </c>
      <c r="J12227" s="46" t="s">
        <v>132</v>
      </c>
      <c r="K12227" s="46" t="s">
        <v>126</v>
      </c>
      <c r="L12227" s="45">
        <v>46015.53125</v>
      </c>
      <c r="M12227" s="46" t="s">
        <v>123</v>
      </c>
      <c r="N12227" s="45">
        <v>46015.572916666664</v>
      </c>
      <c r="O12227" s="46" t="s">
        <v>123</v>
      </c>
      <c r="P12227" s="46">
        <v>3600.0</v>
      </c>
    </row>
    <row r="12228">
      <c r="A12228" s="40">
        <f t="shared" si="1"/>
        <v>46013</v>
      </c>
      <c r="B12228" s="37" t="str">
        <f t="array" ref="B12228">iferror(xlookup($I12228, 'IMPORT VHC Report'!$E:$E, 'IMPORT VHC Report'!$A:$C), )</f>
        <v/>
      </c>
      <c r="C12228" s="44"/>
      <c r="D12228" s="44"/>
      <c r="E12228" s="46" t="s">
        <v>8245</v>
      </c>
      <c r="F12228" s="46" t="s">
        <v>2654</v>
      </c>
      <c r="G12228" s="46">
        <v>3.61724965056E11</v>
      </c>
      <c r="H12228" s="46" t="s">
        <v>2655</v>
      </c>
      <c r="I12228" s="46" t="s">
        <v>2656</v>
      </c>
      <c r="J12228" s="46" t="s">
        <v>368</v>
      </c>
      <c r="K12228" s="46" t="s">
        <v>63</v>
      </c>
      <c r="L12228" s="45">
        <v>46016.25</v>
      </c>
      <c r="M12228" s="46" t="s">
        <v>123</v>
      </c>
      <c r="N12228" s="45">
        <v>46016.625</v>
      </c>
      <c r="O12228" s="46" t="s">
        <v>123</v>
      </c>
      <c r="P12228" s="46">
        <v>32400.0</v>
      </c>
    </row>
    <row r="12229">
      <c r="A12229" s="40">
        <f t="shared" si="1"/>
        <v>46013</v>
      </c>
      <c r="B12229" s="37" t="str">
        <f t="array" ref="B12229">iferror(xlookup($I12229, 'IMPORT VHC Report'!$E:$E, 'IMPORT VHC Report'!$A:$C), )</f>
        <v/>
      </c>
      <c r="C12229" s="44"/>
      <c r="D12229" s="44"/>
      <c r="E12229" s="46" t="s">
        <v>8246</v>
      </c>
      <c r="F12229" s="46" t="s">
        <v>2654</v>
      </c>
      <c r="G12229" s="46">
        <v>3.61724965056E11</v>
      </c>
      <c r="H12229" s="46" t="s">
        <v>2655</v>
      </c>
      <c r="I12229" s="46" t="s">
        <v>2656</v>
      </c>
      <c r="J12229" s="46" t="s">
        <v>134</v>
      </c>
      <c r="K12229" s="46" t="s">
        <v>126</v>
      </c>
      <c r="L12229" s="45">
        <v>46016.40625</v>
      </c>
      <c r="M12229" s="46" t="s">
        <v>123</v>
      </c>
      <c r="N12229" s="45">
        <v>46016.427083333336</v>
      </c>
      <c r="O12229" s="46" t="s">
        <v>123</v>
      </c>
      <c r="P12229" s="46">
        <v>1800.0</v>
      </c>
    </row>
    <row r="12230">
      <c r="A12230" s="40">
        <f t="shared" si="1"/>
        <v>46013</v>
      </c>
      <c r="B12230" s="37" t="str">
        <f t="array" ref="B12230">iferror(xlookup($I12230, 'IMPORT VHC Report'!$E:$E, 'IMPORT VHC Report'!$A:$C), )</f>
        <v/>
      </c>
      <c r="C12230" s="44"/>
      <c r="D12230" s="44"/>
      <c r="E12230" s="46" t="s">
        <v>8247</v>
      </c>
      <c r="F12230" s="46" t="s">
        <v>2654</v>
      </c>
      <c r="G12230" s="46">
        <v>3.61724965056E11</v>
      </c>
      <c r="H12230" s="46" t="s">
        <v>2655</v>
      </c>
      <c r="I12230" s="46" t="s">
        <v>2656</v>
      </c>
      <c r="J12230" s="46" t="s">
        <v>132</v>
      </c>
      <c r="K12230" s="46" t="s">
        <v>126</v>
      </c>
      <c r="L12230" s="45">
        <v>46016.541666666664</v>
      </c>
      <c r="M12230" s="46" t="s">
        <v>123</v>
      </c>
      <c r="N12230" s="45">
        <v>46016.583333333336</v>
      </c>
      <c r="O12230" s="46" t="s">
        <v>123</v>
      </c>
      <c r="P12230" s="46">
        <v>3600.0</v>
      </c>
    </row>
    <row r="12231">
      <c r="A12231" s="40">
        <f t="shared" si="1"/>
        <v>46013</v>
      </c>
      <c r="B12231" s="37" t="str">
        <f t="array" ref="B12231">iferror(xlookup($I12231, 'IMPORT VHC Report'!$E:$E, 'IMPORT VHC Report'!$A:$C), )</f>
        <v/>
      </c>
      <c r="C12231" s="44"/>
      <c r="D12231" s="44"/>
      <c r="E12231" s="46" t="s">
        <v>8248</v>
      </c>
      <c r="F12231" s="46" t="s">
        <v>2654</v>
      </c>
      <c r="G12231" s="46">
        <v>3.61724965056E11</v>
      </c>
      <c r="H12231" s="46" t="s">
        <v>2655</v>
      </c>
      <c r="I12231" s="46" t="s">
        <v>2656</v>
      </c>
      <c r="J12231" s="46" t="s">
        <v>368</v>
      </c>
      <c r="K12231" s="46" t="s">
        <v>63</v>
      </c>
      <c r="L12231" s="45">
        <v>46017.25</v>
      </c>
      <c r="M12231" s="46" t="s">
        <v>123</v>
      </c>
      <c r="N12231" s="45">
        <v>46017.625</v>
      </c>
      <c r="O12231" s="46" t="s">
        <v>123</v>
      </c>
      <c r="P12231" s="46">
        <v>32400.0</v>
      </c>
    </row>
    <row r="12232">
      <c r="A12232" s="40">
        <f t="shared" si="1"/>
        <v>46013</v>
      </c>
      <c r="B12232" s="37" t="str">
        <f t="array" ref="B12232">iferror(xlookup($I12232, 'IMPORT VHC Report'!$E:$E, 'IMPORT VHC Report'!$A:$C), )</f>
        <v/>
      </c>
      <c r="C12232" s="44"/>
      <c r="D12232" s="44"/>
      <c r="E12232" s="46" t="s">
        <v>8249</v>
      </c>
      <c r="F12232" s="46" t="s">
        <v>2654</v>
      </c>
      <c r="G12232" s="46">
        <v>3.61724965056E11</v>
      </c>
      <c r="H12232" s="46" t="s">
        <v>2655</v>
      </c>
      <c r="I12232" s="46" t="s">
        <v>2656</v>
      </c>
      <c r="J12232" s="46" t="s">
        <v>178</v>
      </c>
      <c r="K12232" s="46" t="s">
        <v>153</v>
      </c>
      <c r="L12232" s="45">
        <v>46017.25</v>
      </c>
      <c r="M12232" s="46" t="s">
        <v>123</v>
      </c>
      <c r="N12232" s="45">
        <v>46017.625</v>
      </c>
      <c r="O12232" s="46" t="s">
        <v>123</v>
      </c>
      <c r="P12232" s="46">
        <v>32400.0</v>
      </c>
      <c r="Q12232" s="46">
        <v>32400.0</v>
      </c>
    </row>
    <row r="12233">
      <c r="A12233" s="40">
        <f t="shared" si="1"/>
        <v>46013</v>
      </c>
      <c r="B12233" s="37" t="str">
        <f t="array" ref="B12233">iferror(xlookup($I12233, 'IMPORT VHC Report'!$E:$E, 'IMPORT VHC Report'!$A:$C), )</f>
        <v/>
      </c>
      <c r="C12233" s="44"/>
      <c r="D12233" s="44"/>
      <c r="E12233" s="46" t="s">
        <v>8250</v>
      </c>
      <c r="F12233" s="46" t="s">
        <v>2654</v>
      </c>
      <c r="G12233" s="46">
        <v>3.61724965056E11</v>
      </c>
      <c r="H12233" s="46" t="s">
        <v>2655</v>
      </c>
      <c r="I12233" s="46" t="s">
        <v>2656</v>
      </c>
      <c r="J12233" s="46" t="s">
        <v>134</v>
      </c>
      <c r="K12233" s="46" t="s">
        <v>126</v>
      </c>
      <c r="L12233" s="45">
        <v>46017.364583333336</v>
      </c>
      <c r="M12233" s="46" t="s">
        <v>123</v>
      </c>
      <c r="N12233" s="45">
        <v>46017.385416666664</v>
      </c>
      <c r="O12233" s="46" t="s">
        <v>123</v>
      </c>
      <c r="P12233" s="46">
        <v>1800.0</v>
      </c>
    </row>
    <row r="12234">
      <c r="A12234" s="40">
        <f t="shared" si="1"/>
        <v>46013</v>
      </c>
      <c r="B12234" s="37" t="str">
        <f t="array" ref="B12234">iferror(xlookup($I12234, 'IMPORT VHC Report'!$E:$E, 'IMPORT VHC Report'!$A:$C), )</f>
        <v/>
      </c>
      <c r="C12234" s="44"/>
      <c r="D12234" s="44"/>
      <c r="E12234" s="46" t="s">
        <v>8251</v>
      </c>
      <c r="F12234" s="46" t="s">
        <v>2654</v>
      </c>
      <c r="G12234" s="46">
        <v>3.61724965056E11</v>
      </c>
      <c r="H12234" s="46" t="s">
        <v>2655</v>
      </c>
      <c r="I12234" s="46" t="s">
        <v>2656</v>
      </c>
      <c r="J12234" s="46" t="s">
        <v>132</v>
      </c>
      <c r="K12234" s="46" t="s">
        <v>126</v>
      </c>
      <c r="L12234" s="45">
        <v>46017.541666666664</v>
      </c>
      <c r="M12234" s="46" t="s">
        <v>123</v>
      </c>
      <c r="N12234" s="45">
        <v>46017.583333333336</v>
      </c>
      <c r="O12234" s="46" t="s">
        <v>123</v>
      </c>
      <c r="P12234" s="46">
        <v>3600.0</v>
      </c>
    </row>
    <row r="12235">
      <c r="A12235" s="40">
        <f t="shared" si="1"/>
        <v>46013</v>
      </c>
      <c r="B12235" s="37" t="str">
        <f t="array" ref="B12235">iferror(xlookup($I12235, 'IMPORT VHC Report'!$E:$E, 'IMPORT VHC Report'!$A:$C), )</f>
        <v/>
      </c>
      <c r="C12235" s="44"/>
      <c r="D12235" s="44"/>
      <c r="E12235" s="46" t="s">
        <v>8252</v>
      </c>
      <c r="F12235" s="46" t="s">
        <v>2762</v>
      </c>
      <c r="G12235" s="46">
        <v>3.61725374736E11</v>
      </c>
      <c r="H12235" s="46" t="s">
        <v>2763</v>
      </c>
      <c r="I12235" s="46" t="s">
        <v>2764</v>
      </c>
      <c r="J12235" s="46" t="s">
        <v>4</v>
      </c>
      <c r="K12235" s="46" t="s">
        <v>126</v>
      </c>
      <c r="L12235" s="45">
        <v>46013.25</v>
      </c>
      <c r="M12235" s="46" t="s">
        <v>123</v>
      </c>
      <c r="N12235" s="45">
        <v>46013.260416666664</v>
      </c>
      <c r="O12235" s="46" t="s">
        <v>123</v>
      </c>
      <c r="P12235" s="46">
        <v>900.0</v>
      </c>
      <c r="S12235" s="46" t="s">
        <v>632</v>
      </c>
    </row>
    <row r="12236">
      <c r="A12236" s="40">
        <f t="shared" si="1"/>
        <v>46013</v>
      </c>
      <c r="B12236" s="37" t="str">
        <f t="array" ref="B12236">iferror(xlookup($I12236, 'IMPORT VHC Report'!$E:$E, 'IMPORT VHC Report'!$A:$C), )</f>
        <v/>
      </c>
      <c r="C12236" s="44"/>
      <c r="D12236" s="44"/>
      <c r="E12236" s="46" t="s">
        <v>8253</v>
      </c>
      <c r="F12236" s="46" t="s">
        <v>2762</v>
      </c>
      <c r="G12236" s="46">
        <v>3.61725374736E11</v>
      </c>
      <c r="H12236" s="46" t="s">
        <v>2763</v>
      </c>
      <c r="I12236" s="46" t="s">
        <v>2764</v>
      </c>
      <c r="J12236" s="46" t="s">
        <v>368</v>
      </c>
      <c r="K12236" s="46" t="s">
        <v>63</v>
      </c>
      <c r="L12236" s="45">
        <v>46013.25</v>
      </c>
      <c r="M12236" s="46" t="s">
        <v>123</v>
      </c>
      <c r="N12236" s="45">
        <v>46013.625</v>
      </c>
      <c r="O12236" s="46" t="s">
        <v>123</v>
      </c>
      <c r="P12236" s="46">
        <v>32400.0</v>
      </c>
    </row>
    <row r="12237">
      <c r="A12237" s="40">
        <f t="shared" si="1"/>
        <v>46013</v>
      </c>
      <c r="B12237" s="37" t="str">
        <f t="array" ref="B12237">iferror(xlookup($I12237, 'IMPORT VHC Report'!$E:$E, 'IMPORT VHC Report'!$A:$C), )</f>
        <v/>
      </c>
      <c r="C12237" s="44"/>
      <c r="D12237" s="44"/>
      <c r="E12237" s="46" t="s">
        <v>8254</v>
      </c>
      <c r="F12237" s="46" t="s">
        <v>2762</v>
      </c>
      <c r="G12237" s="46">
        <v>3.61725374736E11</v>
      </c>
      <c r="H12237" s="46" t="s">
        <v>2763</v>
      </c>
      <c r="I12237" s="46" t="s">
        <v>2764</v>
      </c>
      <c r="J12237" s="46" t="s">
        <v>4</v>
      </c>
      <c r="K12237" s="46" t="s">
        <v>126</v>
      </c>
      <c r="L12237" s="45">
        <v>46013.3125</v>
      </c>
      <c r="M12237" s="46" t="s">
        <v>123</v>
      </c>
      <c r="N12237" s="45">
        <v>46013.333333333336</v>
      </c>
      <c r="O12237" s="46" t="s">
        <v>123</v>
      </c>
      <c r="P12237" s="46">
        <v>1800.0</v>
      </c>
      <c r="S12237" s="46" t="s">
        <v>2270</v>
      </c>
    </row>
    <row r="12238">
      <c r="A12238" s="40">
        <f t="shared" si="1"/>
        <v>46013</v>
      </c>
      <c r="B12238" s="37" t="str">
        <f t="array" ref="B12238">iferror(xlookup($I12238, 'IMPORT VHC Report'!$E:$E, 'IMPORT VHC Report'!$A:$C), )</f>
        <v/>
      </c>
      <c r="C12238" s="44"/>
      <c r="D12238" s="44"/>
      <c r="E12238" s="46" t="s">
        <v>8255</v>
      </c>
      <c r="F12238" s="46" t="s">
        <v>2762</v>
      </c>
      <c r="G12238" s="46">
        <v>3.61725374736E11</v>
      </c>
      <c r="H12238" s="46" t="s">
        <v>2763</v>
      </c>
      <c r="I12238" s="46" t="s">
        <v>2764</v>
      </c>
      <c r="J12238" s="46" t="s">
        <v>134</v>
      </c>
      <c r="K12238" s="46" t="s">
        <v>126</v>
      </c>
      <c r="L12238" s="45">
        <v>46013.34375</v>
      </c>
      <c r="M12238" s="46" t="s">
        <v>123</v>
      </c>
      <c r="N12238" s="45">
        <v>46013.364583333336</v>
      </c>
      <c r="O12238" s="46" t="s">
        <v>123</v>
      </c>
      <c r="P12238" s="46">
        <v>1800.0</v>
      </c>
    </row>
    <row r="12239">
      <c r="A12239" s="40">
        <f t="shared" si="1"/>
        <v>46013</v>
      </c>
      <c r="B12239" s="37" t="str">
        <f t="array" ref="B12239">iferror(xlookup($I12239, 'IMPORT VHC Report'!$E:$E, 'IMPORT VHC Report'!$A:$C), )</f>
        <v/>
      </c>
      <c r="C12239" s="44"/>
      <c r="D12239" s="44"/>
      <c r="E12239" s="46" t="s">
        <v>8256</v>
      </c>
      <c r="F12239" s="46" t="s">
        <v>2762</v>
      </c>
      <c r="G12239" s="46">
        <v>3.61725374736E11</v>
      </c>
      <c r="H12239" s="46" t="s">
        <v>2763</v>
      </c>
      <c r="I12239" s="46" t="s">
        <v>2764</v>
      </c>
      <c r="J12239" s="46" t="s">
        <v>132</v>
      </c>
      <c r="K12239" s="46" t="s">
        <v>126</v>
      </c>
      <c r="L12239" s="45">
        <v>46013.46875</v>
      </c>
      <c r="M12239" s="46" t="s">
        <v>123</v>
      </c>
      <c r="N12239" s="45">
        <v>46013.510416666664</v>
      </c>
      <c r="O12239" s="46" t="s">
        <v>123</v>
      </c>
      <c r="P12239" s="46">
        <v>3600.0</v>
      </c>
    </row>
    <row r="12240">
      <c r="A12240" s="40">
        <f t="shared" si="1"/>
        <v>46013</v>
      </c>
      <c r="B12240" s="37" t="str">
        <f t="array" ref="B12240">iferror(xlookup($I12240, 'IMPORT VHC Report'!$E:$E, 'IMPORT VHC Report'!$A:$C), )</f>
        <v/>
      </c>
      <c r="C12240" s="44"/>
      <c r="D12240" s="44"/>
      <c r="E12240" s="46" t="s">
        <v>8257</v>
      </c>
      <c r="F12240" s="46" t="s">
        <v>2762</v>
      </c>
      <c r="G12240" s="46">
        <v>3.61725374736E11</v>
      </c>
      <c r="H12240" s="46" t="s">
        <v>2763</v>
      </c>
      <c r="I12240" s="46" t="s">
        <v>2764</v>
      </c>
      <c r="J12240" s="46" t="s">
        <v>368</v>
      </c>
      <c r="K12240" s="46" t="s">
        <v>63</v>
      </c>
      <c r="L12240" s="45">
        <v>46014.25</v>
      </c>
      <c r="M12240" s="46" t="s">
        <v>123</v>
      </c>
      <c r="N12240" s="45">
        <v>46014.625</v>
      </c>
      <c r="O12240" s="46" t="s">
        <v>123</v>
      </c>
      <c r="P12240" s="46">
        <v>32400.0</v>
      </c>
    </row>
    <row r="12241">
      <c r="A12241" s="40">
        <f t="shared" si="1"/>
        <v>46013</v>
      </c>
      <c r="B12241" s="37" t="str">
        <f t="array" ref="B12241">iferror(xlookup($I12241, 'IMPORT VHC Report'!$E:$E, 'IMPORT VHC Report'!$A:$C), )</f>
        <v/>
      </c>
      <c r="C12241" s="44"/>
      <c r="D12241" s="44"/>
      <c r="E12241" s="46" t="s">
        <v>8258</v>
      </c>
      <c r="F12241" s="46" t="s">
        <v>2762</v>
      </c>
      <c r="G12241" s="46">
        <v>3.61725374736E11</v>
      </c>
      <c r="H12241" s="46" t="s">
        <v>2763</v>
      </c>
      <c r="I12241" s="46" t="s">
        <v>2764</v>
      </c>
      <c r="J12241" s="46" t="s">
        <v>134</v>
      </c>
      <c r="K12241" s="46" t="s">
        <v>126</v>
      </c>
      <c r="L12241" s="45">
        <v>46014.34375</v>
      </c>
      <c r="M12241" s="46" t="s">
        <v>123</v>
      </c>
      <c r="N12241" s="45">
        <v>46014.364583333336</v>
      </c>
      <c r="O12241" s="46" t="s">
        <v>123</v>
      </c>
      <c r="P12241" s="46">
        <v>1800.0</v>
      </c>
    </row>
    <row r="12242">
      <c r="A12242" s="40">
        <f t="shared" si="1"/>
        <v>46013</v>
      </c>
      <c r="B12242" s="37" t="str">
        <f t="array" ref="B12242">iferror(xlookup($I12242, 'IMPORT VHC Report'!$E:$E, 'IMPORT VHC Report'!$A:$C), )</f>
        <v/>
      </c>
      <c r="C12242" s="44"/>
      <c r="D12242" s="44"/>
      <c r="E12242" s="46" t="s">
        <v>8259</v>
      </c>
      <c r="F12242" s="46" t="s">
        <v>2762</v>
      </c>
      <c r="G12242" s="46">
        <v>3.61725374736E11</v>
      </c>
      <c r="H12242" s="46" t="s">
        <v>2763</v>
      </c>
      <c r="I12242" s="46" t="s">
        <v>2764</v>
      </c>
      <c r="J12242" s="46" t="s">
        <v>330</v>
      </c>
      <c r="K12242" s="46" t="s">
        <v>126</v>
      </c>
      <c r="L12242" s="45">
        <v>46014.541666666664</v>
      </c>
      <c r="M12242" s="46" t="s">
        <v>123</v>
      </c>
      <c r="N12242" s="45">
        <v>46014.5625</v>
      </c>
      <c r="O12242" s="46" t="s">
        <v>123</v>
      </c>
      <c r="P12242" s="46">
        <v>1800.0</v>
      </c>
    </row>
    <row r="12243">
      <c r="A12243" s="40">
        <f t="shared" si="1"/>
        <v>46013</v>
      </c>
      <c r="B12243" s="37" t="str">
        <f t="array" ref="B12243">iferror(xlookup($I12243, 'IMPORT VHC Report'!$E:$E, 'IMPORT VHC Report'!$A:$C), )</f>
        <v/>
      </c>
      <c r="C12243" s="44"/>
      <c r="D12243" s="44"/>
      <c r="E12243" s="46" t="s">
        <v>8260</v>
      </c>
      <c r="F12243" s="46" t="s">
        <v>2762</v>
      </c>
      <c r="G12243" s="46">
        <v>3.61725374736E11</v>
      </c>
      <c r="H12243" s="46" t="s">
        <v>2763</v>
      </c>
      <c r="I12243" s="46" t="s">
        <v>2764</v>
      </c>
      <c r="J12243" s="46" t="s">
        <v>132</v>
      </c>
      <c r="K12243" s="46" t="s">
        <v>126</v>
      </c>
      <c r="L12243" s="45">
        <v>46014.5625</v>
      </c>
      <c r="M12243" s="46" t="s">
        <v>123</v>
      </c>
      <c r="N12243" s="45">
        <v>46014.604166666664</v>
      </c>
      <c r="O12243" s="46" t="s">
        <v>123</v>
      </c>
      <c r="P12243" s="46">
        <v>3600.0</v>
      </c>
    </row>
    <row r="12244">
      <c r="A12244" s="40">
        <f t="shared" si="1"/>
        <v>46013</v>
      </c>
      <c r="B12244" s="37" t="str">
        <f t="array" ref="B12244">iferror(xlookup($I12244, 'IMPORT VHC Report'!$E:$E, 'IMPORT VHC Report'!$A:$C), )</f>
        <v/>
      </c>
      <c r="C12244" s="44"/>
      <c r="D12244" s="44"/>
      <c r="E12244" s="46" t="s">
        <v>8261</v>
      </c>
      <c r="F12244" s="46" t="s">
        <v>2762</v>
      </c>
      <c r="G12244" s="46">
        <v>3.61725374736E11</v>
      </c>
      <c r="H12244" s="46" t="s">
        <v>2763</v>
      </c>
      <c r="I12244" s="46" t="s">
        <v>2764</v>
      </c>
      <c r="J12244" s="46" t="s">
        <v>368</v>
      </c>
      <c r="K12244" s="46" t="s">
        <v>63</v>
      </c>
      <c r="L12244" s="45">
        <v>46015.25</v>
      </c>
      <c r="M12244" s="46" t="s">
        <v>123</v>
      </c>
      <c r="N12244" s="45">
        <v>46015.625</v>
      </c>
      <c r="O12244" s="46" t="s">
        <v>123</v>
      </c>
      <c r="P12244" s="46">
        <v>32400.0</v>
      </c>
    </row>
    <row r="12245">
      <c r="A12245" s="40">
        <f t="shared" si="1"/>
        <v>46013</v>
      </c>
      <c r="B12245" s="37" t="str">
        <f t="array" ref="B12245">iferror(xlookup($I12245, 'IMPORT VHC Report'!$E:$E, 'IMPORT VHC Report'!$A:$C), )</f>
        <v/>
      </c>
      <c r="C12245" s="44"/>
      <c r="D12245" s="44"/>
      <c r="E12245" s="46" t="s">
        <v>8262</v>
      </c>
      <c r="F12245" s="46" t="s">
        <v>2762</v>
      </c>
      <c r="G12245" s="46">
        <v>3.61725374736E11</v>
      </c>
      <c r="H12245" s="46" t="s">
        <v>2763</v>
      </c>
      <c r="I12245" s="46" t="s">
        <v>2764</v>
      </c>
      <c r="J12245" s="46" t="s">
        <v>134</v>
      </c>
      <c r="K12245" s="46" t="s">
        <v>126</v>
      </c>
      <c r="L12245" s="45">
        <v>46015.354166666664</v>
      </c>
      <c r="M12245" s="46" t="s">
        <v>123</v>
      </c>
      <c r="N12245" s="45">
        <v>46015.375</v>
      </c>
      <c r="O12245" s="46" t="s">
        <v>123</v>
      </c>
      <c r="P12245" s="46">
        <v>1800.0</v>
      </c>
    </row>
    <row r="12246">
      <c r="A12246" s="40">
        <f t="shared" si="1"/>
        <v>46013</v>
      </c>
      <c r="B12246" s="37" t="str">
        <f t="array" ref="B12246">iferror(xlookup($I12246, 'IMPORT VHC Report'!$E:$E, 'IMPORT VHC Report'!$A:$C), )</f>
        <v/>
      </c>
      <c r="C12246" s="44"/>
      <c r="D12246" s="44"/>
      <c r="E12246" s="46" t="s">
        <v>8263</v>
      </c>
      <c r="F12246" s="46" t="s">
        <v>2762</v>
      </c>
      <c r="G12246" s="46">
        <v>3.61725374736E11</v>
      </c>
      <c r="H12246" s="46" t="s">
        <v>2763</v>
      </c>
      <c r="I12246" s="46" t="s">
        <v>2764</v>
      </c>
      <c r="J12246" s="46" t="s">
        <v>132</v>
      </c>
      <c r="K12246" s="46" t="s">
        <v>126</v>
      </c>
      <c r="L12246" s="45">
        <v>46015.479166666664</v>
      </c>
      <c r="M12246" s="46" t="s">
        <v>123</v>
      </c>
      <c r="N12246" s="45">
        <v>46015.520833333336</v>
      </c>
      <c r="O12246" s="46" t="s">
        <v>123</v>
      </c>
      <c r="P12246" s="46">
        <v>3600.0</v>
      </c>
    </row>
    <row r="12247">
      <c r="A12247" s="40">
        <f t="shared" si="1"/>
        <v>46013</v>
      </c>
      <c r="B12247" s="37" t="str">
        <f t="array" ref="B12247">iferror(xlookup($I12247, 'IMPORT VHC Report'!$E:$E, 'IMPORT VHC Report'!$A:$C), )</f>
        <v/>
      </c>
      <c r="C12247" s="44"/>
      <c r="D12247" s="44"/>
      <c r="E12247" s="46" t="s">
        <v>8264</v>
      </c>
      <c r="F12247" s="46" t="s">
        <v>2762</v>
      </c>
      <c r="G12247" s="46">
        <v>3.61725374736E11</v>
      </c>
      <c r="H12247" s="46" t="s">
        <v>2763</v>
      </c>
      <c r="I12247" s="46" t="s">
        <v>2764</v>
      </c>
      <c r="J12247" s="46" t="s">
        <v>368</v>
      </c>
      <c r="K12247" s="46" t="s">
        <v>63</v>
      </c>
      <c r="L12247" s="45">
        <v>46016.25</v>
      </c>
      <c r="M12247" s="46" t="s">
        <v>123</v>
      </c>
      <c r="N12247" s="45">
        <v>46016.625</v>
      </c>
      <c r="O12247" s="46" t="s">
        <v>123</v>
      </c>
      <c r="P12247" s="46">
        <v>32400.0</v>
      </c>
    </row>
    <row r="12248">
      <c r="A12248" s="40">
        <f t="shared" si="1"/>
        <v>46013</v>
      </c>
      <c r="B12248" s="37" t="str">
        <f t="array" ref="B12248">iferror(xlookup($I12248, 'IMPORT VHC Report'!$E:$E, 'IMPORT VHC Report'!$A:$C), )</f>
        <v/>
      </c>
      <c r="C12248" s="44"/>
      <c r="D12248" s="44"/>
      <c r="E12248" s="46" t="s">
        <v>8265</v>
      </c>
      <c r="F12248" s="46" t="s">
        <v>2762</v>
      </c>
      <c r="G12248" s="46">
        <v>3.61725374736E11</v>
      </c>
      <c r="H12248" s="46" t="s">
        <v>2763</v>
      </c>
      <c r="I12248" s="46" t="s">
        <v>2764</v>
      </c>
      <c r="J12248" s="46" t="s">
        <v>134</v>
      </c>
      <c r="K12248" s="46" t="s">
        <v>126</v>
      </c>
      <c r="L12248" s="45">
        <v>46016.333333333336</v>
      </c>
      <c r="M12248" s="46" t="s">
        <v>123</v>
      </c>
      <c r="N12248" s="45">
        <v>46016.354166666664</v>
      </c>
      <c r="O12248" s="46" t="s">
        <v>123</v>
      </c>
      <c r="P12248" s="46">
        <v>1800.0</v>
      </c>
    </row>
    <row r="12249">
      <c r="A12249" s="40">
        <f t="shared" si="1"/>
        <v>46013</v>
      </c>
      <c r="B12249" s="37" t="str">
        <f t="array" ref="B12249">iferror(xlookup($I12249, 'IMPORT VHC Report'!$E:$E, 'IMPORT VHC Report'!$A:$C), )</f>
        <v/>
      </c>
      <c r="C12249" s="44"/>
      <c r="D12249" s="44"/>
      <c r="E12249" s="46" t="s">
        <v>8266</v>
      </c>
      <c r="F12249" s="46" t="s">
        <v>2762</v>
      </c>
      <c r="G12249" s="46">
        <v>3.61725374736E11</v>
      </c>
      <c r="H12249" s="46" t="s">
        <v>2763</v>
      </c>
      <c r="I12249" s="46" t="s">
        <v>2764</v>
      </c>
      <c r="J12249" s="46" t="s">
        <v>132</v>
      </c>
      <c r="K12249" s="46" t="s">
        <v>126</v>
      </c>
      <c r="L12249" s="45">
        <v>46016.541666666664</v>
      </c>
      <c r="M12249" s="46" t="s">
        <v>123</v>
      </c>
      <c r="N12249" s="45">
        <v>46016.583333333336</v>
      </c>
      <c r="O12249" s="46" t="s">
        <v>123</v>
      </c>
      <c r="P12249" s="46">
        <v>3600.0</v>
      </c>
    </row>
    <row r="12250">
      <c r="A12250" s="40">
        <f t="shared" si="1"/>
        <v>46013</v>
      </c>
      <c r="B12250" s="37" t="str">
        <f t="array" ref="B12250">iferror(xlookup($I12250, 'IMPORT VHC Report'!$E:$E, 'IMPORT VHC Report'!$A:$C), )</f>
        <v/>
      </c>
      <c r="C12250" s="44"/>
      <c r="D12250" s="44"/>
      <c r="E12250" s="46" t="s">
        <v>8267</v>
      </c>
      <c r="F12250" s="46" t="s">
        <v>2762</v>
      </c>
      <c r="G12250" s="46">
        <v>3.61725374736E11</v>
      </c>
      <c r="H12250" s="46" t="s">
        <v>2763</v>
      </c>
      <c r="I12250" s="46" t="s">
        <v>2764</v>
      </c>
      <c r="J12250" s="46" t="s">
        <v>368</v>
      </c>
      <c r="K12250" s="46" t="s">
        <v>63</v>
      </c>
      <c r="L12250" s="45">
        <v>46017.25</v>
      </c>
      <c r="M12250" s="46" t="s">
        <v>123</v>
      </c>
      <c r="N12250" s="45">
        <v>46017.625</v>
      </c>
      <c r="O12250" s="46" t="s">
        <v>123</v>
      </c>
      <c r="P12250" s="46">
        <v>32400.0</v>
      </c>
    </row>
    <row r="12251">
      <c r="A12251" s="40">
        <f t="shared" si="1"/>
        <v>46013</v>
      </c>
      <c r="B12251" s="37" t="str">
        <f t="array" ref="B12251">iferror(xlookup($I12251, 'IMPORT VHC Report'!$E:$E, 'IMPORT VHC Report'!$A:$C), )</f>
        <v/>
      </c>
      <c r="C12251" s="44"/>
      <c r="D12251" s="44"/>
      <c r="E12251" s="46" t="s">
        <v>8268</v>
      </c>
      <c r="F12251" s="46" t="s">
        <v>2762</v>
      </c>
      <c r="G12251" s="46">
        <v>3.61725374736E11</v>
      </c>
      <c r="H12251" s="46" t="s">
        <v>2763</v>
      </c>
      <c r="I12251" s="46" t="s">
        <v>2764</v>
      </c>
      <c r="J12251" s="46" t="s">
        <v>134</v>
      </c>
      <c r="K12251" s="46" t="s">
        <v>126</v>
      </c>
      <c r="L12251" s="45">
        <v>46017.364583333336</v>
      </c>
      <c r="M12251" s="46" t="s">
        <v>123</v>
      </c>
      <c r="N12251" s="45">
        <v>46017.385416666664</v>
      </c>
      <c r="O12251" s="46" t="s">
        <v>123</v>
      </c>
      <c r="P12251" s="46">
        <v>1800.0</v>
      </c>
    </row>
    <row r="12252">
      <c r="A12252" s="40">
        <f t="shared" si="1"/>
        <v>46013</v>
      </c>
      <c r="B12252" s="37" t="str">
        <f t="array" ref="B12252">iferror(xlookup($I12252, 'IMPORT VHC Report'!$E:$E, 'IMPORT VHC Report'!$A:$C), )</f>
        <v/>
      </c>
      <c r="C12252" s="44"/>
      <c r="D12252" s="44"/>
      <c r="E12252" s="46" t="s">
        <v>8269</v>
      </c>
      <c r="F12252" s="46" t="s">
        <v>2762</v>
      </c>
      <c r="G12252" s="46">
        <v>3.61725374736E11</v>
      </c>
      <c r="H12252" s="46" t="s">
        <v>2763</v>
      </c>
      <c r="I12252" s="46" t="s">
        <v>2764</v>
      </c>
      <c r="J12252" s="46" t="s">
        <v>132</v>
      </c>
      <c r="K12252" s="46" t="s">
        <v>126</v>
      </c>
      <c r="L12252" s="45">
        <v>46017.46875</v>
      </c>
      <c r="M12252" s="46" t="s">
        <v>123</v>
      </c>
      <c r="N12252" s="45">
        <v>46017.510416666664</v>
      </c>
      <c r="O12252" s="46" t="s">
        <v>123</v>
      </c>
      <c r="P12252" s="46">
        <v>3600.0</v>
      </c>
    </row>
    <row r="12253">
      <c r="A12253" s="40">
        <f t="shared" si="1"/>
        <v>46013</v>
      </c>
      <c r="B12253" s="37" t="str">
        <f t="array" ref="B12253">iferror(xlookup($I12253, 'IMPORT VHC Report'!$E:$E, 'IMPORT VHC Report'!$A:$C), )</f>
        <v/>
      </c>
      <c r="C12253" s="44"/>
      <c r="D12253" s="44"/>
      <c r="E12253" s="46" t="s">
        <v>8270</v>
      </c>
      <c r="F12253" s="46" t="s">
        <v>3124</v>
      </c>
      <c r="G12253" s="46">
        <v>3.61725115636E11</v>
      </c>
      <c r="H12253" s="46" t="s">
        <v>3125</v>
      </c>
      <c r="I12253" s="46" t="s">
        <v>3126</v>
      </c>
      <c r="J12253" s="46" t="s">
        <v>125</v>
      </c>
      <c r="K12253" s="46" t="s">
        <v>126</v>
      </c>
      <c r="L12253" s="45">
        <v>46013.291666666664</v>
      </c>
      <c r="M12253" s="46" t="s">
        <v>123</v>
      </c>
      <c r="N12253" s="45">
        <v>46013.30972222222</v>
      </c>
      <c r="O12253" s="46" t="s">
        <v>123</v>
      </c>
      <c r="P12253" s="46">
        <v>1560.0</v>
      </c>
    </row>
    <row r="12254">
      <c r="A12254" s="40">
        <f t="shared" si="1"/>
        <v>46013</v>
      </c>
      <c r="B12254" s="37" t="str">
        <f t="array" ref="B12254">iferror(xlookup($I12254, 'IMPORT VHC Report'!$E:$E, 'IMPORT VHC Report'!$A:$C), )</f>
        <v/>
      </c>
      <c r="C12254" s="44"/>
      <c r="D12254" s="44"/>
      <c r="E12254" s="46" t="s">
        <v>8271</v>
      </c>
      <c r="F12254" s="46" t="s">
        <v>3124</v>
      </c>
      <c r="G12254" s="46">
        <v>3.61725115636E11</v>
      </c>
      <c r="H12254" s="46" t="s">
        <v>3125</v>
      </c>
      <c r="I12254" s="46" t="s">
        <v>3126</v>
      </c>
      <c r="J12254" s="46" t="s">
        <v>368</v>
      </c>
      <c r="K12254" s="46" t="s">
        <v>63</v>
      </c>
      <c r="L12254" s="45">
        <v>46013.291666666664</v>
      </c>
      <c r="M12254" s="46" t="s">
        <v>123</v>
      </c>
      <c r="N12254" s="45">
        <v>46013.666666666664</v>
      </c>
      <c r="O12254" s="46" t="s">
        <v>123</v>
      </c>
      <c r="P12254" s="46">
        <v>32400.0</v>
      </c>
    </row>
    <row r="12255">
      <c r="A12255" s="40">
        <f t="shared" si="1"/>
        <v>46013</v>
      </c>
      <c r="B12255" s="37" t="str">
        <f t="array" ref="B12255">iferror(xlookup($I12255, 'IMPORT VHC Report'!$E:$E, 'IMPORT VHC Report'!$A:$C), )</f>
        <v/>
      </c>
      <c r="C12255" s="44"/>
      <c r="D12255" s="44"/>
      <c r="E12255" s="46" t="s">
        <v>8272</v>
      </c>
      <c r="F12255" s="46" t="s">
        <v>3124</v>
      </c>
      <c r="G12255" s="46">
        <v>3.61725115636E11</v>
      </c>
      <c r="H12255" s="46" t="s">
        <v>3125</v>
      </c>
      <c r="I12255" s="46" t="s">
        <v>3126</v>
      </c>
      <c r="J12255" s="46" t="s">
        <v>134</v>
      </c>
      <c r="K12255" s="46" t="s">
        <v>126</v>
      </c>
      <c r="L12255" s="45">
        <v>46013.42013888889</v>
      </c>
      <c r="M12255" s="46" t="s">
        <v>123</v>
      </c>
      <c r="N12255" s="45">
        <v>46013.44097222222</v>
      </c>
      <c r="O12255" s="46" t="s">
        <v>123</v>
      </c>
      <c r="P12255" s="46">
        <v>1800.0</v>
      </c>
    </row>
    <row r="12256">
      <c r="A12256" s="40">
        <f t="shared" si="1"/>
        <v>46013</v>
      </c>
      <c r="B12256" s="37" t="str">
        <f t="array" ref="B12256">iferror(xlookup($I12256, 'IMPORT VHC Report'!$E:$E, 'IMPORT VHC Report'!$A:$C), )</f>
        <v/>
      </c>
      <c r="C12256" s="44"/>
      <c r="D12256" s="44"/>
      <c r="E12256" s="46" t="s">
        <v>8273</v>
      </c>
      <c r="F12256" s="46" t="s">
        <v>3124</v>
      </c>
      <c r="G12256" s="46">
        <v>3.61725115636E11</v>
      </c>
      <c r="H12256" s="46" t="s">
        <v>3125</v>
      </c>
      <c r="I12256" s="46" t="s">
        <v>3126</v>
      </c>
      <c r="J12256" s="46" t="s">
        <v>125</v>
      </c>
      <c r="K12256" s="46" t="s">
        <v>126</v>
      </c>
      <c r="L12256" s="45">
        <v>46013.44097222222</v>
      </c>
      <c r="M12256" s="46" t="s">
        <v>123</v>
      </c>
      <c r="N12256" s="45">
        <v>46013.458333333336</v>
      </c>
      <c r="O12256" s="46" t="s">
        <v>123</v>
      </c>
      <c r="P12256" s="46">
        <v>1500.0</v>
      </c>
    </row>
    <row r="12257">
      <c r="A12257" s="40">
        <f t="shared" si="1"/>
        <v>46013</v>
      </c>
      <c r="B12257" s="37" t="str">
        <f t="array" ref="B12257">iferror(xlookup($I12257, 'IMPORT VHC Report'!$E:$E, 'IMPORT VHC Report'!$A:$C), )</f>
        <v/>
      </c>
      <c r="C12257" s="44"/>
      <c r="D12257" s="44"/>
      <c r="E12257" s="46" t="s">
        <v>8274</v>
      </c>
      <c r="F12257" s="46" t="s">
        <v>3124</v>
      </c>
      <c r="G12257" s="46">
        <v>3.61725115636E11</v>
      </c>
      <c r="H12257" s="46" t="s">
        <v>3125</v>
      </c>
      <c r="I12257" s="46" t="s">
        <v>3126</v>
      </c>
      <c r="J12257" s="46" t="s">
        <v>132</v>
      </c>
      <c r="K12257" s="46" t="s">
        <v>126</v>
      </c>
      <c r="L12257" s="45">
        <v>46013.541666666664</v>
      </c>
      <c r="M12257" s="46" t="s">
        <v>123</v>
      </c>
      <c r="N12257" s="45">
        <v>46013.583333333336</v>
      </c>
      <c r="O12257" s="46" t="s">
        <v>123</v>
      </c>
      <c r="P12257" s="46">
        <v>3600.0</v>
      </c>
    </row>
    <row r="12258">
      <c r="A12258" s="40">
        <f t="shared" si="1"/>
        <v>46013</v>
      </c>
      <c r="B12258" s="37" t="str">
        <f t="array" ref="B12258">iferror(xlookup($I12258, 'IMPORT VHC Report'!$E:$E, 'IMPORT VHC Report'!$A:$C), )</f>
        <v/>
      </c>
      <c r="C12258" s="44"/>
      <c r="D12258" s="44"/>
      <c r="E12258" s="46" t="s">
        <v>8275</v>
      </c>
      <c r="F12258" s="46" t="s">
        <v>3124</v>
      </c>
      <c r="G12258" s="46">
        <v>3.61725115636E11</v>
      </c>
      <c r="H12258" s="46" t="s">
        <v>3125</v>
      </c>
      <c r="I12258" s="46" t="s">
        <v>3126</v>
      </c>
      <c r="J12258" s="46" t="s">
        <v>125</v>
      </c>
      <c r="K12258" s="46" t="s">
        <v>126</v>
      </c>
      <c r="L12258" s="45">
        <v>46013.64791666667</v>
      </c>
      <c r="M12258" s="46" t="s">
        <v>123</v>
      </c>
      <c r="N12258" s="45">
        <v>46013.65625</v>
      </c>
      <c r="O12258" s="46" t="s">
        <v>123</v>
      </c>
      <c r="P12258" s="46">
        <v>720.0</v>
      </c>
    </row>
    <row r="12259">
      <c r="A12259" s="40">
        <f t="shared" si="1"/>
        <v>46013</v>
      </c>
      <c r="B12259" s="37" t="str">
        <f t="array" ref="B12259">iferror(xlookup($I12259, 'IMPORT VHC Report'!$E:$E, 'IMPORT VHC Report'!$A:$C), )</f>
        <v/>
      </c>
      <c r="C12259" s="44"/>
      <c r="D12259" s="44"/>
      <c r="E12259" s="46" t="s">
        <v>8276</v>
      </c>
      <c r="F12259" s="46" t="s">
        <v>3124</v>
      </c>
      <c r="G12259" s="46">
        <v>3.61725115636E11</v>
      </c>
      <c r="H12259" s="46" t="s">
        <v>3125</v>
      </c>
      <c r="I12259" s="46" t="s">
        <v>3126</v>
      </c>
      <c r="J12259" s="46" t="s">
        <v>125</v>
      </c>
      <c r="K12259" s="46" t="s">
        <v>126</v>
      </c>
      <c r="L12259" s="45">
        <v>46014.291666666664</v>
      </c>
      <c r="M12259" s="46" t="s">
        <v>123</v>
      </c>
      <c r="N12259" s="45">
        <v>46014.30625</v>
      </c>
      <c r="O12259" s="46" t="s">
        <v>123</v>
      </c>
      <c r="P12259" s="46">
        <v>1260.0</v>
      </c>
    </row>
    <row r="12260">
      <c r="A12260" s="40">
        <f t="shared" si="1"/>
        <v>46013</v>
      </c>
      <c r="B12260" s="37" t="str">
        <f t="array" ref="B12260">iferror(xlookup($I12260, 'IMPORT VHC Report'!$E:$E, 'IMPORT VHC Report'!$A:$C), )</f>
        <v/>
      </c>
      <c r="C12260" s="44"/>
      <c r="D12260" s="44"/>
      <c r="E12260" s="46" t="s">
        <v>8277</v>
      </c>
      <c r="F12260" s="46" t="s">
        <v>3124</v>
      </c>
      <c r="G12260" s="46">
        <v>3.61725115636E11</v>
      </c>
      <c r="H12260" s="46" t="s">
        <v>3125</v>
      </c>
      <c r="I12260" s="46" t="s">
        <v>3126</v>
      </c>
      <c r="J12260" s="46" t="s">
        <v>368</v>
      </c>
      <c r="K12260" s="46" t="s">
        <v>63</v>
      </c>
      <c r="L12260" s="45">
        <v>46014.291666666664</v>
      </c>
      <c r="M12260" s="46" t="s">
        <v>123</v>
      </c>
      <c r="N12260" s="45">
        <v>46014.666666666664</v>
      </c>
      <c r="O12260" s="46" t="s">
        <v>123</v>
      </c>
      <c r="P12260" s="46">
        <v>32400.0</v>
      </c>
    </row>
    <row r="12261">
      <c r="A12261" s="40">
        <f t="shared" si="1"/>
        <v>46013</v>
      </c>
      <c r="B12261" s="37" t="str">
        <f t="array" ref="B12261">iferror(xlookup($I12261, 'IMPORT VHC Report'!$E:$E, 'IMPORT VHC Report'!$A:$C), )</f>
        <v/>
      </c>
      <c r="C12261" s="44"/>
      <c r="D12261" s="44"/>
      <c r="E12261" s="46" t="s">
        <v>8278</v>
      </c>
      <c r="F12261" s="46" t="s">
        <v>3124</v>
      </c>
      <c r="G12261" s="46">
        <v>3.61725115636E11</v>
      </c>
      <c r="H12261" s="46" t="s">
        <v>3125</v>
      </c>
      <c r="I12261" s="46" t="s">
        <v>3126</v>
      </c>
      <c r="J12261" s="46" t="s">
        <v>4</v>
      </c>
      <c r="K12261" s="46" t="s">
        <v>126</v>
      </c>
      <c r="L12261" s="45">
        <v>46014.375</v>
      </c>
      <c r="M12261" s="46" t="s">
        <v>123</v>
      </c>
      <c r="N12261" s="45">
        <v>46014.40625</v>
      </c>
      <c r="O12261" s="46" t="s">
        <v>123</v>
      </c>
      <c r="P12261" s="46">
        <v>2700.0</v>
      </c>
      <c r="S12261" s="46" t="s">
        <v>2478</v>
      </c>
    </row>
    <row r="12262">
      <c r="A12262" s="40">
        <f t="shared" si="1"/>
        <v>46013</v>
      </c>
      <c r="B12262" s="37" t="str">
        <f t="array" ref="B12262">iferror(xlookup($I12262, 'IMPORT VHC Report'!$E:$E, 'IMPORT VHC Report'!$A:$C), )</f>
        <v/>
      </c>
      <c r="C12262" s="44"/>
      <c r="D12262" s="44"/>
      <c r="E12262" s="46" t="s">
        <v>8279</v>
      </c>
      <c r="F12262" s="46" t="s">
        <v>3124</v>
      </c>
      <c r="G12262" s="46">
        <v>3.61725115636E11</v>
      </c>
      <c r="H12262" s="46" t="s">
        <v>3125</v>
      </c>
      <c r="I12262" s="46" t="s">
        <v>3126</v>
      </c>
      <c r="J12262" s="46" t="s">
        <v>134</v>
      </c>
      <c r="K12262" s="46" t="s">
        <v>126</v>
      </c>
      <c r="L12262" s="45">
        <v>46014.40625</v>
      </c>
      <c r="M12262" s="46" t="s">
        <v>123</v>
      </c>
      <c r="N12262" s="45">
        <v>46014.427083333336</v>
      </c>
      <c r="O12262" s="46" t="s">
        <v>123</v>
      </c>
      <c r="P12262" s="46">
        <v>1800.0</v>
      </c>
    </row>
    <row r="12263">
      <c r="A12263" s="40">
        <f t="shared" si="1"/>
        <v>46013</v>
      </c>
      <c r="B12263" s="37" t="str">
        <f t="array" ref="B12263">iferror(xlookup($I12263, 'IMPORT VHC Report'!$E:$E, 'IMPORT VHC Report'!$A:$C), )</f>
        <v/>
      </c>
      <c r="C12263" s="44"/>
      <c r="D12263" s="44"/>
      <c r="E12263" s="46" t="s">
        <v>8280</v>
      </c>
      <c r="F12263" s="46" t="s">
        <v>3124</v>
      </c>
      <c r="G12263" s="46">
        <v>3.61725115636E11</v>
      </c>
      <c r="H12263" s="46" t="s">
        <v>3125</v>
      </c>
      <c r="I12263" s="46" t="s">
        <v>3126</v>
      </c>
      <c r="J12263" s="46" t="s">
        <v>132</v>
      </c>
      <c r="K12263" s="46" t="s">
        <v>126</v>
      </c>
      <c r="L12263" s="45">
        <v>46014.552083333336</v>
      </c>
      <c r="M12263" s="46" t="s">
        <v>123</v>
      </c>
      <c r="N12263" s="45">
        <v>46014.59375</v>
      </c>
      <c r="O12263" s="46" t="s">
        <v>123</v>
      </c>
      <c r="P12263" s="46">
        <v>3600.0</v>
      </c>
    </row>
    <row r="12264">
      <c r="A12264" s="40">
        <f t="shared" si="1"/>
        <v>46013</v>
      </c>
      <c r="B12264" s="37" t="str">
        <f t="array" ref="B12264">iferror(xlookup($I12264, 'IMPORT VHC Report'!$E:$E, 'IMPORT VHC Report'!$A:$C), )</f>
        <v/>
      </c>
      <c r="C12264" s="44"/>
      <c r="D12264" s="44"/>
      <c r="E12264" s="46" t="s">
        <v>8281</v>
      </c>
      <c r="F12264" s="46" t="s">
        <v>3124</v>
      </c>
      <c r="G12264" s="46">
        <v>3.61725115636E11</v>
      </c>
      <c r="H12264" s="46" t="s">
        <v>3125</v>
      </c>
      <c r="I12264" s="46" t="s">
        <v>3126</v>
      </c>
      <c r="J12264" s="46" t="s">
        <v>125</v>
      </c>
      <c r="K12264" s="46" t="s">
        <v>126</v>
      </c>
      <c r="L12264" s="45">
        <v>46014.65277777778</v>
      </c>
      <c r="M12264" s="46" t="s">
        <v>123</v>
      </c>
      <c r="N12264" s="45">
        <v>46014.666666666664</v>
      </c>
      <c r="O12264" s="46" t="s">
        <v>123</v>
      </c>
      <c r="P12264" s="46">
        <v>1200.0</v>
      </c>
    </row>
    <row r="12265">
      <c r="A12265" s="40">
        <f t="shared" si="1"/>
        <v>46013</v>
      </c>
      <c r="B12265" s="37" t="str">
        <f t="array" ref="B12265">iferror(xlookup($I12265, 'IMPORT VHC Report'!$E:$E, 'IMPORT VHC Report'!$A:$C), )</f>
        <v/>
      </c>
      <c r="C12265" s="44"/>
      <c r="D12265" s="44"/>
      <c r="E12265" s="46" t="s">
        <v>8282</v>
      </c>
      <c r="F12265" s="46" t="s">
        <v>3124</v>
      </c>
      <c r="G12265" s="46">
        <v>3.61725115636E11</v>
      </c>
      <c r="H12265" s="46" t="s">
        <v>3125</v>
      </c>
      <c r="I12265" s="46" t="s">
        <v>3126</v>
      </c>
      <c r="J12265" s="46" t="s">
        <v>125</v>
      </c>
      <c r="K12265" s="46" t="s">
        <v>126</v>
      </c>
      <c r="L12265" s="45">
        <v>46015.291666666664</v>
      </c>
      <c r="M12265" s="46" t="s">
        <v>123</v>
      </c>
      <c r="N12265" s="45">
        <v>46015.311111111114</v>
      </c>
      <c r="O12265" s="46" t="s">
        <v>123</v>
      </c>
      <c r="P12265" s="46">
        <v>1680.0</v>
      </c>
    </row>
    <row r="12266">
      <c r="A12266" s="40">
        <f t="shared" si="1"/>
        <v>46013</v>
      </c>
      <c r="B12266" s="37" t="str">
        <f t="array" ref="B12266">iferror(xlookup($I12266, 'IMPORT VHC Report'!$E:$E, 'IMPORT VHC Report'!$A:$C), )</f>
        <v/>
      </c>
      <c r="C12266" s="44"/>
      <c r="D12266" s="44"/>
      <c r="E12266" s="46" t="s">
        <v>8283</v>
      </c>
      <c r="F12266" s="46" t="s">
        <v>3124</v>
      </c>
      <c r="G12266" s="46">
        <v>3.61725115636E11</v>
      </c>
      <c r="H12266" s="46" t="s">
        <v>3125</v>
      </c>
      <c r="I12266" s="46" t="s">
        <v>3126</v>
      </c>
      <c r="J12266" s="46" t="s">
        <v>368</v>
      </c>
      <c r="K12266" s="46" t="s">
        <v>63</v>
      </c>
      <c r="L12266" s="45">
        <v>46015.291666666664</v>
      </c>
      <c r="M12266" s="46" t="s">
        <v>123</v>
      </c>
      <c r="N12266" s="45">
        <v>46015.666666666664</v>
      </c>
      <c r="O12266" s="46" t="s">
        <v>123</v>
      </c>
      <c r="P12266" s="46">
        <v>32400.0</v>
      </c>
    </row>
    <row r="12267">
      <c r="A12267" s="40">
        <f t="shared" si="1"/>
        <v>46013</v>
      </c>
      <c r="B12267" s="37" t="str">
        <f t="array" ref="B12267">iferror(xlookup($I12267, 'IMPORT VHC Report'!$E:$E, 'IMPORT VHC Report'!$A:$C), )</f>
        <v/>
      </c>
      <c r="C12267" s="44"/>
      <c r="D12267" s="44"/>
      <c r="E12267" s="46" t="s">
        <v>8284</v>
      </c>
      <c r="F12267" s="46" t="s">
        <v>3124</v>
      </c>
      <c r="G12267" s="46">
        <v>3.61725115636E11</v>
      </c>
      <c r="H12267" s="46" t="s">
        <v>3125</v>
      </c>
      <c r="I12267" s="46" t="s">
        <v>3126</v>
      </c>
      <c r="J12267" s="46" t="s">
        <v>125</v>
      </c>
      <c r="K12267" s="46" t="s">
        <v>126</v>
      </c>
      <c r="L12267" s="45">
        <v>46015.356944444444</v>
      </c>
      <c r="M12267" s="46" t="s">
        <v>123</v>
      </c>
      <c r="N12267" s="45">
        <v>46015.39166666667</v>
      </c>
      <c r="O12267" s="46" t="s">
        <v>123</v>
      </c>
      <c r="P12267" s="46">
        <v>3000.0</v>
      </c>
    </row>
    <row r="12268">
      <c r="A12268" s="40">
        <f t="shared" si="1"/>
        <v>46013</v>
      </c>
      <c r="B12268" s="37" t="str">
        <f t="array" ref="B12268">iferror(xlookup($I12268, 'IMPORT VHC Report'!$E:$E, 'IMPORT VHC Report'!$A:$C), )</f>
        <v/>
      </c>
      <c r="C12268" s="44"/>
      <c r="D12268" s="44"/>
      <c r="E12268" s="46" t="s">
        <v>8285</v>
      </c>
      <c r="F12268" s="46" t="s">
        <v>3124</v>
      </c>
      <c r="G12268" s="46">
        <v>3.61725115636E11</v>
      </c>
      <c r="H12268" s="46" t="s">
        <v>3125</v>
      </c>
      <c r="I12268" s="46" t="s">
        <v>3126</v>
      </c>
      <c r="J12268" s="46" t="s">
        <v>125</v>
      </c>
      <c r="K12268" s="46" t="s">
        <v>126</v>
      </c>
      <c r="L12268" s="45">
        <v>46015.39444444444</v>
      </c>
      <c r="M12268" s="46" t="s">
        <v>123</v>
      </c>
      <c r="N12268" s="45">
        <v>46015.416666666664</v>
      </c>
      <c r="O12268" s="46" t="s">
        <v>123</v>
      </c>
      <c r="P12268" s="46">
        <v>1920.0</v>
      </c>
    </row>
    <row r="12269">
      <c r="A12269" s="40">
        <f t="shared" si="1"/>
        <v>46013</v>
      </c>
      <c r="B12269" s="37" t="str">
        <f t="array" ref="B12269">iferror(xlookup($I12269, 'IMPORT VHC Report'!$E:$E, 'IMPORT VHC Report'!$A:$C), )</f>
        <v/>
      </c>
      <c r="C12269" s="44"/>
      <c r="D12269" s="44"/>
      <c r="E12269" s="46" t="s">
        <v>8286</v>
      </c>
      <c r="F12269" s="46" t="s">
        <v>3124</v>
      </c>
      <c r="G12269" s="46">
        <v>3.61725115636E11</v>
      </c>
      <c r="H12269" s="46" t="s">
        <v>3125</v>
      </c>
      <c r="I12269" s="46" t="s">
        <v>3126</v>
      </c>
      <c r="J12269" s="46" t="s">
        <v>134</v>
      </c>
      <c r="K12269" s="46" t="s">
        <v>126</v>
      </c>
      <c r="L12269" s="45">
        <v>46015.416666666664</v>
      </c>
      <c r="M12269" s="46" t="s">
        <v>123</v>
      </c>
      <c r="N12269" s="45">
        <v>46015.4375</v>
      </c>
      <c r="O12269" s="46" t="s">
        <v>123</v>
      </c>
      <c r="P12269" s="46">
        <v>1800.0</v>
      </c>
    </row>
    <row r="12270">
      <c r="A12270" s="40">
        <f t="shared" si="1"/>
        <v>46013</v>
      </c>
      <c r="B12270" s="37" t="str">
        <f t="array" ref="B12270">iferror(xlookup($I12270, 'IMPORT VHC Report'!$E:$E, 'IMPORT VHC Report'!$A:$C), )</f>
        <v/>
      </c>
      <c r="C12270" s="44"/>
      <c r="D12270" s="44"/>
      <c r="E12270" s="46" t="s">
        <v>8287</v>
      </c>
      <c r="F12270" s="46" t="s">
        <v>3124</v>
      </c>
      <c r="G12270" s="46">
        <v>3.61725115636E11</v>
      </c>
      <c r="H12270" s="46" t="s">
        <v>3125</v>
      </c>
      <c r="I12270" s="46" t="s">
        <v>3126</v>
      </c>
      <c r="J12270" s="46" t="s">
        <v>125</v>
      </c>
      <c r="K12270" s="46" t="s">
        <v>126</v>
      </c>
      <c r="L12270" s="45">
        <v>46015.45277777778</v>
      </c>
      <c r="M12270" s="46" t="s">
        <v>123</v>
      </c>
      <c r="N12270" s="45">
        <v>46015.46666666667</v>
      </c>
      <c r="O12270" s="46" t="s">
        <v>123</v>
      </c>
      <c r="P12270" s="46">
        <v>1200.0</v>
      </c>
    </row>
    <row r="12271">
      <c r="A12271" s="40">
        <f t="shared" si="1"/>
        <v>46013</v>
      </c>
      <c r="B12271" s="37" t="str">
        <f t="array" ref="B12271">iferror(xlookup($I12271, 'IMPORT VHC Report'!$E:$E, 'IMPORT VHC Report'!$A:$C), )</f>
        <v/>
      </c>
      <c r="C12271" s="44"/>
      <c r="D12271" s="44"/>
      <c r="E12271" s="46" t="s">
        <v>8288</v>
      </c>
      <c r="F12271" s="46" t="s">
        <v>3124</v>
      </c>
      <c r="G12271" s="46">
        <v>3.61725115636E11</v>
      </c>
      <c r="H12271" s="46" t="s">
        <v>3125</v>
      </c>
      <c r="I12271" s="46" t="s">
        <v>3126</v>
      </c>
      <c r="J12271" s="46" t="s">
        <v>125</v>
      </c>
      <c r="K12271" s="46" t="s">
        <v>126</v>
      </c>
      <c r="L12271" s="45">
        <v>46015.47777777778</v>
      </c>
      <c r="M12271" s="46" t="s">
        <v>123</v>
      </c>
      <c r="N12271" s="45">
        <v>46015.48472222222</v>
      </c>
      <c r="O12271" s="46" t="s">
        <v>123</v>
      </c>
      <c r="P12271" s="46">
        <v>600.0</v>
      </c>
    </row>
    <row r="12272">
      <c r="A12272" s="40">
        <f t="shared" si="1"/>
        <v>46013</v>
      </c>
      <c r="B12272" s="37" t="str">
        <f t="array" ref="B12272">iferror(xlookup($I12272, 'IMPORT VHC Report'!$E:$E, 'IMPORT VHC Report'!$A:$C), )</f>
        <v/>
      </c>
      <c r="C12272" s="44"/>
      <c r="D12272" s="44"/>
      <c r="E12272" s="46" t="s">
        <v>8289</v>
      </c>
      <c r="F12272" s="46" t="s">
        <v>3124</v>
      </c>
      <c r="G12272" s="46">
        <v>3.61725115636E11</v>
      </c>
      <c r="H12272" s="46" t="s">
        <v>3125</v>
      </c>
      <c r="I12272" s="46" t="s">
        <v>3126</v>
      </c>
      <c r="J12272" s="46" t="s">
        <v>4</v>
      </c>
      <c r="K12272" s="46" t="s">
        <v>126</v>
      </c>
      <c r="L12272" s="45">
        <v>46015.50277777778</v>
      </c>
      <c r="M12272" s="46" t="s">
        <v>123</v>
      </c>
      <c r="N12272" s="45">
        <v>46015.544444444444</v>
      </c>
      <c r="O12272" s="46" t="s">
        <v>123</v>
      </c>
      <c r="P12272" s="46">
        <v>3600.0</v>
      </c>
    </row>
    <row r="12273">
      <c r="A12273" s="40">
        <f t="shared" si="1"/>
        <v>46013</v>
      </c>
      <c r="B12273" s="37" t="str">
        <f t="array" ref="B12273">iferror(xlookup($I12273, 'IMPORT VHC Report'!$E:$E, 'IMPORT VHC Report'!$A:$C), )</f>
        <v/>
      </c>
      <c r="C12273" s="44"/>
      <c r="D12273" s="44"/>
      <c r="E12273" s="46" t="s">
        <v>8290</v>
      </c>
      <c r="F12273" s="46" t="s">
        <v>3124</v>
      </c>
      <c r="G12273" s="46">
        <v>3.61725115636E11</v>
      </c>
      <c r="H12273" s="46" t="s">
        <v>3125</v>
      </c>
      <c r="I12273" s="46" t="s">
        <v>3126</v>
      </c>
      <c r="J12273" s="46" t="s">
        <v>132</v>
      </c>
      <c r="K12273" s="46" t="s">
        <v>126</v>
      </c>
      <c r="L12273" s="45">
        <v>46015.552083333336</v>
      </c>
      <c r="M12273" s="46" t="s">
        <v>123</v>
      </c>
      <c r="N12273" s="45">
        <v>46015.59375</v>
      </c>
      <c r="O12273" s="46" t="s">
        <v>123</v>
      </c>
      <c r="P12273" s="46">
        <v>3600.0</v>
      </c>
    </row>
    <row r="12274">
      <c r="A12274" s="40">
        <f t="shared" si="1"/>
        <v>46013</v>
      </c>
      <c r="B12274" s="37" t="str">
        <f t="array" ref="B12274">iferror(xlookup($I12274, 'IMPORT VHC Report'!$E:$E, 'IMPORT VHC Report'!$A:$C), )</f>
        <v/>
      </c>
      <c r="C12274" s="44"/>
      <c r="D12274" s="44"/>
      <c r="E12274" s="46" t="s">
        <v>8291</v>
      </c>
      <c r="F12274" s="46" t="s">
        <v>3124</v>
      </c>
      <c r="G12274" s="46">
        <v>3.61725115636E11</v>
      </c>
      <c r="H12274" s="46" t="s">
        <v>3125</v>
      </c>
      <c r="I12274" s="46" t="s">
        <v>3126</v>
      </c>
      <c r="J12274" s="46" t="s">
        <v>125</v>
      </c>
      <c r="K12274" s="46" t="s">
        <v>126</v>
      </c>
      <c r="L12274" s="45">
        <v>46015.62152777778</v>
      </c>
      <c r="M12274" s="46" t="s">
        <v>123</v>
      </c>
      <c r="N12274" s="45">
        <v>46015.666666666664</v>
      </c>
      <c r="O12274" s="46" t="s">
        <v>123</v>
      </c>
      <c r="P12274" s="46">
        <v>3900.0</v>
      </c>
    </row>
    <row r="12275">
      <c r="A12275" s="40">
        <f t="shared" si="1"/>
        <v>46013</v>
      </c>
      <c r="B12275" s="37" t="str">
        <f t="array" ref="B12275">iferror(xlookup($I12275, 'IMPORT VHC Report'!$E:$E, 'IMPORT VHC Report'!$A:$C), )</f>
        <v/>
      </c>
      <c r="C12275" s="44"/>
      <c r="D12275" s="44"/>
      <c r="E12275" s="46" t="s">
        <v>8292</v>
      </c>
      <c r="F12275" s="46" t="s">
        <v>3124</v>
      </c>
      <c r="G12275" s="46">
        <v>3.61725115636E11</v>
      </c>
      <c r="H12275" s="46" t="s">
        <v>3125</v>
      </c>
      <c r="I12275" s="46" t="s">
        <v>3126</v>
      </c>
      <c r="J12275" s="46" t="s">
        <v>125</v>
      </c>
      <c r="K12275" s="46" t="s">
        <v>126</v>
      </c>
      <c r="L12275" s="45">
        <v>46016.291666666664</v>
      </c>
      <c r="M12275" s="46" t="s">
        <v>123</v>
      </c>
      <c r="N12275" s="45">
        <v>46016.30347222222</v>
      </c>
      <c r="O12275" s="46" t="s">
        <v>123</v>
      </c>
      <c r="P12275" s="46">
        <v>1020.0</v>
      </c>
    </row>
    <row r="12276">
      <c r="A12276" s="40">
        <f t="shared" si="1"/>
        <v>46013</v>
      </c>
      <c r="B12276" s="37" t="str">
        <f t="array" ref="B12276">iferror(xlookup($I12276, 'IMPORT VHC Report'!$E:$E, 'IMPORT VHC Report'!$A:$C), )</f>
        <v/>
      </c>
      <c r="C12276" s="44"/>
      <c r="D12276" s="44"/>
      <c r="E12276" s="46" t="s">
        <v>8293</v>
      </c>
      <c r="F12276" s="46" t="s">
        <v>3124</v>
      </c>
      <c r="G12276" s="46">
        <v>3.61725115636E11</v>
      </c>
      <c r="H12276" s="46" t="s">
        <v>3125</v>
      </c>
      <c r="I12276" s="46" t="s">
        <v>3126</v>
      </c>
      <c r="J12276" s="46" t="s">
        <v>368</v>
      </c>
      <c r="K12276" s="46" t="s">
        <v>63</v>
      </c>
      <c r="L12276" s="45">
        <v>46016.291666666664</v>
      </c>
      <c r="M12276" s="46" t="s">
        <v>123</v>
      </c>
      <c r="N12276" s="45">
        <v>46016.666666666664</v>
      </c>
      <c r="O12276" s="46" t="s">
        <v>123</v>
      </c>
      <c r="P12276" s="46">
        <v>32400.0</v>
      </c>
    </row>
    <row r="12277">
      <c r="A12277" s="40">
        <f t="shared" si="1"/>
        <v>46013</v>
      </c>
      <c r="B12277" s="37" t="str">
        <f t="array" ref="B12277">iferror(xlookup($I12277, 'IMPORT VHC Report'!$E:$E, 'IMPORT VHC Report'!$A:$C), )</f>
        <v/>
      </c>
      <c r="C12277" s="44"/>
      <c r="D12277" s="44"/>
      <c r="E12277" s="46" t="s">
        <v>8294</v>
      </c>
      <c r="F12277" s="46" t="s">
        <v>3124</v>
      </c>
      <c r="G12277" s="46">
        <v>3.61725115636E11</v>
      </c>
      <c r="H12277" s="46" t="s">
        <v>3125</v>
      </c>
      <c r="I12277" s="46" t="s">
        <v>3126</v>
      </c>
      <c r="J12277" s="46" t="s">
        <v>134</v>
      </c>
      <c r="K12277" s="46" t="s">
        <v>126</v>
      </c>
      <c r="L12277" s="45">
        <v>46016.375</v>
      </c>
      <c r="M12277" s="46" t="s">
        <v>123</v>
      </c>
      <c r="N12277" s="45">
        <v>46016.395833333336</v>
      </c>
      <c r="O12277" s="46" t="s">
        <v>123</v>
      </c>
      <c r="P12277" s="46">
        <v>1800.0</v>
      </c>
    </row>
    <row r="12278">
      <c r="A12278" s="40">
        <f t="shared" si="1"/>
        <v>46013</v>
      </c>
      <c r="B12278" s="37" t="str">
        <f t="array" ref="B12278">iferror(xlookup($I12278, 'IMPORT VHC Report'!$E:$E, 'IMPORT VHC Report'!$A:$C), )</f>
        <v/>
      </c>
      <c r="C12278" s="44"/>
      <c r="D12278" s="44"/>
      <c r="E12278" s="46" t="s">
        <v>8295</v>
      </c>
      <c r="F12278" s="46" t="s">
        <v>3124</v>
      </c>
      <c r="G12278" s="46">
        <v>3.61725115636E11</v>
      </c>
      <c r="H12278" s="46" t="s">
        <v>3125</v>
      </c>
      <c r="I12278" s="46" t="s">
        <v>3126</v>
      </c>
      <c r="J12278" s="46" t="s">
        <v>125</v>
      </c>
      <c r="K12278" s="46" t="s">
        <v>126</v>
      </c>
      <c r="L12278" s="45">
        <v>46016.395833333336</v>
      </c>
      <c r="M12278" s="46" t="s">
        <v>123</v>
      </c>
      <c r="N12278" s="45">
        <v>46016.407638888886</v>
      </c>
      <c r="O12278" s="46" t="s">
        <v>123</v>
      </c>
      <c r="P12278" s="46">
        <v>1020.0</v>
      </c>
    </row>
    <row r="12279">
      <c r="A12279" s="40">
        <f t="shared" si="1"/>
        <v>46013</v>
      </c>
      <c r="B12279" s="37" t="str">
        <f t="array" ref="B12279">iferror(xlookup($I12279, 'IMPORT VHC Report'!$E:$E, 'IMPORT VHC Report'!$A:$C), )</f>
        <v/>
      </c>
      <c r="C12279" s="44"/>
      <c r="D12279" s="44"/>
      <c r="E12279" s="46" t="s">
        <v>8296</v>
      </c>
      <c r="F12279" s="46" t="s">
        <v>3124</v>
      </c>
      <c r="G12279" s="46">
        <v>3.61725115636E11</v>
      </c>
      <c r="H12279" s="46" t="s">
        <v>3125</v>
      </c>
      <c r="I12279" s="46" t="s">
        <v>3126</v>
      </c>
      <c r="J12279" s="46" t="s">
        <v>125</v>
      </c>
      <c r="K12279" s="46" t="s">
        <v>126</v>
      </c>
      <c r="L12279" s="45">
        <v>46016.41527777778</v>
      </c>
      <c r="M12279" s="46" t="s">
        <v>123</v>
      </c>
      <c r="N12279" s="45">
        <v>46016.42291666667</v>
      </c>
      <c r="O12279" s="46" t="s">
        <v>123</v>
      </c>
      <c r="P12279" s="46">
        <v>660.0</v>
      </c>
    </row>
    <row r="12280">
      <c r="A12280" s="40">
        <f t="shared" si="1"/>
        <v>46013</v>
      </c>
      <c r="B12280" s="37" t="str">
        <f t="array" ref="B12280">iferror(xlookup($I12280, 'IMPORT VHC Report'!$E:$E, 'IMPORT VHC Report'!$A:$C), )</f>
        <v/>
      </c>
      <c r="C12280" s="44"/>
      <c r="D12280" s="44"/>
      <c r="E12280" s="46" t="s">
        <v>8297</v>
      </c>
      <c r="F12280" s="46" t="s">
        <v>3124</v>
      </c>
      <c r="G12280" s="46">
        <v>3.61725115636E11</v>
      </c>
      <c r="H12280" s="46" t="s">
        <v>3125</v>
      </c>
      <c r="I12280" s="46" t="s">
        <v>3126</v>
      </c>
      <c r="J12280" s="46" t="s">
        <v>132</v>
      </c>
      <c r="K12280" s="46" t="s">
        <v>126</v>
      </c>
      <c r="L12280" s="45">
        <v>46016.57638888889</v>
      </c>
      <c r="M12280" s="46" t="s">
        <v>123</v>
      </c>
      <c r="N12280" s="45">
        <v>46016.618055555555</v>
      </c>
      <c r="O12280" s="46" t="s">
        <v>123</v>
      </c>
      <c r="P12280" s="46">
        <v>3600.0</v>
      </c>
    </row>
    <row r="12281">
      <c r="A12281" s="40">
        <f t="shared" si="1"/>
        <v>46013</v>
      </c>
      <c r="B12281" s="37" t="str">
        <f t="array" ref="B12281">iferror(xlookup($I12281, 'IMPORT VHC Report'!$E:$E, 'IMPORT VHC Report'!$A:$C), )</f>
        <v/>
      </c>
      <c r="C12281" s="44"/>
      <c r="D12281" s="44"/>
      <c r="E12281" s="46" t="s">
        <v>8298</v>
      </c>
      <c r="F12281" s="46" t="s">
        <v>3124</v>
      </c>
      <c r="G12281" s="46">
        <v>3.61725115636E11</v>
      </c>
      <c r="H12281" s="46" t="s">
        <v>3125</v>
      </c>
      <c r="I12281" s="46" t="s">
        <v>3126</v>
      </c>
      <c r="J12281" s="46" t="s">
        <v>125</v>
      </c>
      <c r="K12281" s="46" t="s">
        <v>126</v>
      </c>
      <c r="L12281" s="45">
        <v>46016.65347222222</v>
      </c>
      <c r="M12281" s="46" t="s">
        <v>123</v>
      </c>
      <c r="N12281" s="45">
        <v>46016.65972222222</v>
      </c>
      <c r="O12281" s="46" t="s">
        <v>123</v>
      </c>
      <c r="P12281" s="46">
        <v>540.0</v>
      </c>
    </row>
    <row r="12282">
      <c r="A12282" s="40">
        <f t="shared" si="1"/>
        <v>46013</v>
      </c>
      <c r="B12282" s="37" t="str">
        <f t="array" ref="B12282">iferror(xlookup($I12282, 'IMPORT VHC Report'!$E:$E, 'IMPORT VHC Report'!$A:$C), )</f>
        <v/>
      </c>
      <c r="C12282" s="44"/>
      <c r="D12282" s="44"/>
      <c r="E12282" s="46" t="s">
        <v>8299</v>
      </c>
      <c r="F12282" s="46" t="s">
        <v>3124</v>
      </c>
      <c r="G12282" s="46">
        <v>3.61725115636E11</v>
      </c>
      <c r="H12282" s="46" t="s">
        <v>3125</v>
      </c>
      <c r="I12282" s="46" t="s">
        <v>3126</v>
      </c>
      <c r="J12282" s="46" t="s">
        <v>125</v>
      </c>
      <c r="K12282" s="46" t="s">
        <v>126</v>
      </c>
      <c r="L12282" s="45">
        <v>46017.291666666664</v>
      </c>
      <c r="M12282" s="46" t="s">
        <v>123</v>
      </c>
      <c r="N12282" s="45">
        <v>46017.30972222222</v>
      </c>
      <c r="O12282" s="46" t="s">
        <v>123</v>
      </c>
      <c r="P12282" s="46">
        <v>1560.0</v>
      </c>
    </row>
    <row r="12283">
      <c r="A12283" s="40">
        <f t="shared" si="1"/>
        <v>46013</v>
      </c>
      <c r="B12283" s="37" t="str">
        <f t="array" ref="B12283">iferror(xlookup($I12283, 'IMPORT VHC Report'!$E:$E, 'IMPORT VHC Report'!$A:$C), )</f>
        <v/>
      </c>
      <c r="C12283" s="44"/>
      <c r="D12283" s="44"/>
      <c r="E12283" s="46" t="s">
        <v>8300</v>
      </c>
      <c r="F12283" s="46" t="s">
        <v>3124</v>
      </c>
      <c r="G12283" s="46">
        <v>3.61725115636E11</v>
      </c>
      <c r="H12283" s="46" t="s">
        <v>3125</v>
      </c>
      <c r="I12283" s="46" t="s">
        <v>3126</v>
      </c>
      <c r="J12283" s="46" t="s">
        <v>368</v>
      </c>
      <c r="K12283" s="46" t="s">
        <v>63</v>
      </c>
      <c r="L12283" s="45">
        <v>46017.291666666664</v>
      </c>
      <c r="M12283" s="46" t="s">
        <v>123</v>
      </c>
      <c r="N12283" s="45">
        <v>46017.666666666664</v>
      </c>
      <c r="O12283" s="46" t="s">
        <v>123</v>
      </c>
      <c r="P12283" s="46">
        <v>32400.0</v>
      </c>
    </row>
    <row r="12284">
      <c r="A12284" s="40">
        <f t="shared" si="1"/>
        <v>46013</v>
      </c>
      <c r="B12284" s="37" t="str">
        <f t="array" ref="B12284">iferror(xlookup($I12284, 'IMPORT VHC Report'!$E:$E, 'IMPORT VHC Report'!$A:$C), )</f>
        <v/>
      </c>
      <c r="C12284" s="44"/>
      <c r="D12284" s="44"/>
      <c r="E12284" s="46" t="s">
        <v>8301</v>
      </c>
      <c r="F12284" s="46" t="s">
        <v>3124</v>
      </c>
      <c r="G12284" s="46">
        <v>3.61725115636E11</v>
      </c>
      <c r="H12284" s="46" t="s">
        <v>3125</v>
      </c>
      <c r="I12284" s="46" t="s">
        <v>3126</v>
      </c>
      <c r="J12284" s="46" t="s">
        <v>125</v>
      </c>
      <c r="K12284" s="46" t="s">
        <v>126</v>
      </c>
      <c r="L12284" s="45">
        <v>46017.38125</v>
      </c>
      <c r="M12284" s="46" t="s">
        <v>123</v>
      </c>
      <c r="N12284" s="45">
        <v>46017.4125</v>
      </c>
      <c r="O12284" s="46" t="s">
        <v>123</v>
      </c>
      <c r="P12284" s="46">
        <v>2700.0</v>
      </c>
    </row>
    <row r="12285">
      <c r="A12285" s="40">
        <f t="shared" si="1"/>
        <v>46013</v>
      </c>
      <c r="B12285" s="37" t="str">
        <f t="array" ref="B12285">iferror(xlookup($I12285, 'IMPORT VHC Report'!$E:$E, 'IMPORT VHC Report'!$A:$C), )</f>
        <v/>
      </c>
      <c r="C12285" s="44"/>
      <c r="D12285" s="44"/>
      <c r="E12285" s="46" t="s">
        <v>8302</v>
      </c>
      <c r="F12285" s="46" t="s">
        <v>3124</v>
      </c>
      <c r="G12285" s="46">
        <v>3.61725115636E11</v>
      </c>
      <c r="H12285" s="46" t="s">
        <v>3125</v>
      </c>
      <c r="I12285" s="46" t="s">
        <v>3126</v>
      </c>
      <c r="J12285" s="46" t="s">
        <v>134</v>
      </c>
      <c r="K12285" s="46" t="s">
        <v>126</v>
      </c>
      <c r="L12285" s="45">
        <v>46017.4375</v>
      </c>
      <c r="M12285" s="46" t="s">
        <v>123</v>
      </c>
      <c r="N12285" s="45">
        <v>46017.458333333336</v>
      </c>
      <c r="O12285" s="46" t="s">
        <v>123</v>
      </c>
      <c r="P12285" s="46">
        <v>1800.0</v>
      </c>
    </row>
    <row r="12286">
      <c r="A12286" s="40">
        <f t="shared" si="1"/>
        <v>46013</v>
      </c>
      <c r="B12286" s="37" t="str">
        <f t="array" ref="B12286">iferror(xlookup($I12286, 'IMPORT VHC Report'!$E:$E, 'IMPORT VHC Report'!$A:$C), )</f>
        <v/>
      </c>
      <c r="C12286" s="44"/>
      <c r="D12286" s="44"/>
      <c r="E12286" s="46" t="s">
        <v>8303</v>
      </c>
      <c r="F12286" s="46" t="s">
        <v>3124</v>
      </c>
      <c r="G12286" s="46">
        <v>3.61725115636E11</v>
      </c>
      <c r="H12286" s="46" t="s">
        <v>3125</v>
      </c>
      <c r="I12286" s="46" t="s">
        <v>3126</v>
      </c>
      <c r="J12286" s="46" t="s">
        <v>125</v>
      </c>
      <c r="K12286" s="46" t="s">
        <v>126</v>
      </c>
      <c r="L12286" s="45">
        <v>46017.53680555556</v>
      </c>
      <c r="M12286" s="46" t="s">
        <v>123</v>
      </c>
      <c r="N12286" s="45">
        <v>46017.552777777775</v>
      </c>
      <c r="O12286" s="46" t="s">
        <v>123</v>
      </c>
      <c r="P12286" s="46">
        <v>1380.0</v>
      </c>
    </row>
    <row r="12287">
      <c r="A12287" s="40">
        <f t="shared" si="1"/>
        <v>46013</v>
      </c>
      <c r="B12287" s="37" t="str">
        <f t="array" ref="B12287">iferror(xlookup($I12287, 'IMPORT VHC Report'!$E:$E, 'IMPORT VHC Report'!$A:$C), )</f>
        <v/>
      </c>
      <c r="C12287" s="44"/>
      <c r="D12287" s="44"/>
      <c r="E12287" s="46" t="s">
        <v>8304</v>
      </c>
      <c r="F12287" s="46" t="s">
        <v>3124</v>
      </c>
      <c r="G12287" s="46">
        <v>3.61725115636E11</v>
      </c>
      <c r="H12287" s="46" t="s">
        <v>3125</v>
      </c>
      <c r="I12287" s="46" t="s">
        <v>3126</v>
      </c>
      <c r="J12287" s="46" t="s">
        <v>132</v>
      </c>
      <c r="K12287" s="46" t="s">
        <v>126</v>
      </c>
      <c r="L12287" s="45">
        <v>46017.552777777775</v>
      </c>
      <c r="M12287" s="46" t="s">
        <v>123</v>
      </c>
      <c r="N12287" s="45">
        <v>46017.59444444445</v>
      </c>
      <c r="O12287" s="46" t="s">
        <v>123</v>
      </c>
      <c r="P12287" s="46">
        <v>3600.0</v>
      </c>
    </row>
    <row r="12288">
      <c r="A12288" s="40">
        <f t="shared" si="1"/>
        <v>46013</v>
      </c>
      <c r="B12288" s="37" t="str">
        <f t="array" ref="B12288">iferror(xlookup($I12288, 'IMPORT VHC Report'!$E:$E, 'IMPORT VHC Report'!$A:$C), )</f>
        <v/>
      </c>
      <c r="C12288" s="44"/>
      <c r="D12288" s="44"/>
      <c r="E12288" s="46" t="s">
        <v>8305</v>
      </c>
      <c r="F12288" s="46" t="s">
        <v>3124</v>
      </c>
      <c r="G12288" s="46">
        <v>3.61725115636E11</v>
      </c>
      <c r="H12288" s="46" t="s">
        <v>3125</v>
      </c>
      <c r="I12288" s="46" t="s">
        <v>3126</v>
      </c>
      <c r="J12288" s="46" t="s">
        <v>125</v>
      </c>
      <c r="K12288" s="46" t="s">
        <v>126</v>
      </c>
      <c r="L12288" s="45">
        <v>46017.59444444445</v>
      </c>
      <c r="M12288" s="46" t="s">
        <v>123</v>
      </c>
      <c r="N12288" s="45">
        <v>46017.666666666664</v>
      </c>
      <c r="O12288" s="46" t="s">
        <v>123</v>
      </c>
      <c r="P12288" s="46">
        <v>6240.0</v>
      </c>
    </row>
    <row r="12289">
      <c r="A12289" s="40">
        <f t="shared" si="1"/>
        <v>46013</v>
      </c>
      <c r="B12289" s="37" t="str">
        <f t="array" ref="B12289">iferror(xlookup($I12289, 'IMPORT VHC Report'!$E:$E, 'IMPORT VHC Report'!$A:$C), )</f>
        <v/>
      </c>
      <c r="C12289" s="44"/>
      <c r="D12289" s="44"/>
      <c r="E12289" s="46" t="s">
        <v>8306</v>
      </c>
      <c r="F12289" s="46" t="s">
        <v>3204</v>
      </c>
      <c r="G12289" s="46">
        <v>3.61731647035E11</v>
      </c>
      <c r="H12289" s="46" t="s">
        <v>3205</v>
      </c>
      <c r="I12289" s="46" t="s">
        <v>3206</v>
      </c>
      <c r="J12289" s="46" t="s">
        <v>368</v>
      </c>
      <c r="K12289" s="46" t="s">
        <v>63</v>
      </c>
      <c r="L12289" s="45">
        <v>46013.333333333336</v>
      </c>
      <c r="M12289" s="46" t="s">
        <v>123</v>
      </c>
      <c r="N12289" s="45">
        <v>46013.708333333336</v>
      </c>
      <c r="O12289" s="46" t="s">
        <v>123</v>
      </c>
      <c r="P12289" s="46">
        <v>32400.0</v>
      </c>
    </row>
    <row r="12290">
      <c r="A12290" s="40">
        <f t="shared" si="1"/>
        <v>46013</v>
      </c>
      <c r="B12290" s="37" t="str">
        <f t="array" ref="B12290">iferror(xlookup($I12290, 'IMPORT VHC Report'!$E:$E, 'IMPORT VHC Report'!$A:$C), )</f>
        <v/>
      </c>
      <c r="C12290" s="44"/>
      <c r="D12290" s="44"/>
      <c r="E12290" s="46" t="s">
        <v>8307</v>
      </c>
      <c r="F12290" s="46" t="s">
        <v>3204</v>
      </c>
      <c r="G12290" s="46">
        <v>3.61731647035E11</v>
      </c>
      <c r="H12290" s="46" t="s">
        <v>3205</v>
      </c>
      <c r="I12290" s="46" t="s">
        <v>3206</v>
      </c>
      <c r="J12290" s="46" t="s">
        <v>4</v>
      </c>
      <c r="K12290" s="46" t="s">
        <v>126</v>
      </c>
      <c r="L12290" s="45">
        <v>46013.375</v>
      </c>
      <c r="M12290" s="46" t="s">
        <v>123</v>
      </c>
      <c r="N12290" s="45">
        <v>46013.40625</v>
      </c>
      <c r="O12290" s="46" t="s">
        <v>123</v>
      </c>
      <c r="P12290" s="46">
        <v>2700.0</v>
      </c>
      <c r="S12290" s="46" t="s">
        <v>2478</v>
      </c>
    </row>
    <row r="12291">
      <c r="A12291" s="40">
        <f t="shared" si="1"/>
        <v>46013</v>
      </c>
      <c r="B12291" s="37" t="str">
        <f t="array" ref="B12291">iferror(xlookup($I12291, 'IMPORT VHC Report'!$E:$E, 'IMPORT VHC Report'!$A:$C), )</f>
        <v/>
      </c>
      <c r="C12291" s="44"/>
      <c r="D12291" s="44"/>
      <c r="E12291" s="46" t="s">
        <v>8308</v>
      </c>
      <c r="F12291" s="46" t="s">
        <v>3204</v>
      </c>
      <c r="G12291" s="46">
        <v>3.61731647035E11</v>
      </c>
      <c r="H12291" s="46" t="s">
        <v>3205</v>
      </c>
      <c r="I12291" s="46" t="s">
        <v>3206</v>
      </c>
      <c r="J12291" s="46" t="s">
        <v>134</v>
      </c>
      <c r="K12291" s="46" t="s">
        <v>126</v>
      </c>
      <c r="L12291" s="45">
        <v>46013.4375</v>
      </c>
      <c r="M12291" s="46" t="s">
        <v>123</v>
      </c>
      <c r="N12291" s="45">
        <v>46013.458333333336</v>
      </c>
      <c r="O12291" s="46" t="s">
        <v>123</v>
      </c>
      <c r="P12291" s="46">
        <v>1800.0</v>
      </c>
    </row>
    <row r="12292">
      <c r="A12292" s="40">
        <f t="shared" si="1"/>
        <v>46013</v>
      </c>
      <c r="B12292" s="37" t="str">
        <f t="array" ref="B12292">iferror(xlookup($I12292, 'IMPORT VHC Report'!$E:$E, 'IMPORT VHC Report'!$A:$C), )</f>
        <v/>
      </c>
      <c r="C12292" s="44"/>
      <c r="D12292" s="44"/>
      <c r="E12292" s="46" t="s">
        <v>8309</v>
      </c>
      <c r="F12292" s="46" t="s">
        <v>3204</v>
      </c>
      <c r="G12292" s="46">
        <v>3.61731647035E11</v>
      </c>
      <c r="H12292" s="46" t="s">
        <v>3205</v>
      </c>
      <c r="I12292" s="46" t="s">
        <v>3206</v>
      </c>
      <c r="J12292" s="46" t="s">
        <v>132</v>
      </c>
      <c r="K12292" s="46" t="s">
        <v>126</v>
      </c>
      <c r="L12292" s="45">
        <v>46013.552083333336</v>
      </c>
      <c r="M12292" s="46" t="s">
        <v>123</v>
      </c>
      <c r="N12292" s="45">
        <v>46013.59375</v>
      </c>
      <c r="O12292" s="46" t="s">
        <v>123</v>
      </c>
      <c r="P12292" s="46">
        <v>3600.0</v>
      </c>
    </row>
    <row r="12293">
      <c r="A12293" s="40">
        <f t="shared" si="1"/>
        <v>46013</v>
      </c>
      <c r="B12293" s="37" t="str">
        <f t="array" ref="B12293">iferror(xlookup($I12293, 'IMPORT VHC Report'!$E:$E, 'IMPORT VHC Report'!$A:$C), )</f>
        <v/>
      </c>
      <c r="C12293" s="44"/>
      <c r="D12293" s="44"/>
      <c r="E12293" s="46" t="s">
        <v>8310</v>
      </c>
      <c r="F12293" s="46" t="s">
        <v>3204</v>
      </c>
      <c r="G12293" s="46">
        <v>3.61731647035E11</v>
      </c>
      <c r="H12293" s="46" t="s">
        <v>3205</v>
      </c>
      <c r="I12293" s="46" t="s">
        <v>3206</v>
      </c>
      <c r="J12293" s="46" t="s">
        <v>368</v>
      </c>
      <c r="K12293" s="46" t="s">
        <v>63</v>
      </c>
      <c r="L12293" s="45">
        <v>46014.333333333336</v>
      </c>
      <c r="M12293" s="46" t="s">
        <v>123</v>
      </c>
      <c r="N12293" s="45">
        <v>46014.708333333336</v>
      </c>
      <c r="O12293" s="46" t="s">
        <v>123</v>
      </c>
      <c r="P12293" s="46">
        <v>32400.0</v>
      </c>
    </row>
    <row r="12294">
      <c r="A12294" s="40">
        <f t="shared" si="1"/>
        <v>46013</v>
      </c>
      <c r="B12294" s="37" t="str">
        <f t="array" ref="B12294">iferror(xlookup($I12294, 'IMPORT VHC Report'!$E:$E, 'IMPORT VHC Report'!$A:$C), )</f>
        <v/>
      </c>
      <c r="C12294" s="44"/>
      <c r="D12294" s="44"/>
      <c r="E12294" s="46" t="s">
        <v>8311</v>
      </c>
      <c r="F12294" s="46" t="s">
        <v>3204</v>
      </c>
      <c r="G12294" s="46">
        <v>3.61731647035E11</v>
      </c>
      <c r="H12294" s="46" t="s">
        <v>3205</v>
      </c>
      <c r="I12294" s="46" t="s">
        <v>3206</v>
      </c>
      <c r="J12294" s="46" t="s">
        <v>134</v>
      </c>
      <c r="K12294" s="46" t="s">
        <v>126</v>
      </c>
      <c r="L12294" s="45">
        <v>46014.46875</v>
      </c>
      <c r="M12294" s="46" t="s">
        <v>123</v>
      </c>
      <c r="N12294" s="45">
        <v>46014.489583333336</v>
      </c>
      <c r="O12294" s="46" t="s">
        <v>123</v>
      </c>
      <c r="P12294" s="46">
        <v>1800.0</v>
      </c>
    </row>
    <row r="12295">
      <c r="A12295" s="40">
        <f t="shared" si="1"/>
        <v>46013</v>
      </c>
      <c r="B12295" s="37" t="str">
        <f t="array" ref="B12295">iferror(xlookup($I12295, 'IMPORT VHC Report'!$E:$E, 'IMPORT VHC Report'!$A:$C), )</f>
        <v/>
      </c>
      <c r="C12295" s="44"/>
      <c r="D12295" s="44"/>
      <c r="E12295" s="46" t="s">
        <v>8312</v>
      </c>
      <c r="F12295" s="46" t="s">
        <v>3204</v>
      </c>
      <c r="G12295" s="46">
        <v>3.61731647035E11</v>
      </c>
      <c r="H12295" s="46" t="s">
        <v>3205</v>
      </c>
      <c r="I12295" s="46" t="s">
        <v>3206</v>
      </c>
      <c r="J12295" s="46" t="s">
        <v>132</v>
      </c>
      <c r="K12295" s="46" t="s">
        <v>126</v>
      </c>
      <c r="L12295" s="45">
        <v>46014.625</v>
      </c>
      <c r="M12295" s="46" t="s">
        <v>123</v>
      </c>
      <c r="N12295" s="45">
        <v>46014.666666666664</v>
      </c>
      <c r="O12295" s="46" t="s">
        <v>123</v>
      </c>
      <c r="P12295" s="46">
        <v>3600.0</v>
      </c>
    </row>
    <row r="12296">
      <c r="A12296" s="40">
        <f t="shared" si="1"/>
        <v>46013</v>
      </c>
      <c r="B12296" s="37" t="str">
        <f t="array" ref="B12296">iferror(xlookup($I12296, 'IMPORT VHC Report'!$E:$E, 'IMPORT VHC Report'!$A:$C), )</f>
        <v/>
      </c>
      <c r="C12296" s="44"/>
      <c r="D12296" s="44"/>
      <c r="E12296" s="46" t="s">
        <v>8313</v>
      </c>
      <c r="F12296" s="46" t="s">
        <v>3204</v>
      </c>
      <c r="G12296" s="46">
        <v>3.61731647035E11</v>
      </c>
      <c r="H12296" s="46" t="s">
        <v>3205</v>
      </c>
      <c r="I12296" s="46" t="s">
        <v>3206</v>
      </c>
      <c r="J12296" s="46" t="s">
        <v>368</v>
      </c>
      <c r="K12296" s="46" t="s">
        <v>63</v>
      </c>
      <c r="L12296" s="45">
        <v>46015.333333333336</v>
      </c>
      <c r="M12296" s="46" t="s">
        <v>123</v>
      </c>
      <c r="N12296" s="45">
        <v>46015.708333333336</v>
      </c>
      <c r="O12296" s="46" t="s">
        <v>123</v>
      </c>
      <c r="P12296" s="46">
        <v>32400.0</v>
      </c>
    </row>
    <row r="12297">
      <c r="A12297" s="40">
        <f t="shared" si="1"/>
        <v>46013</v>
      </c>
      <c r="B12297" s="37" t="str">
        <f t="array" ref="B12297">iferror(xlookup($I12297, 'IMPORT VHC Report'!$E:$E, 'IMPORT VHC Report'!$A:$C), )</f>
        <v/>
      </c>
      <c r="C12297" s="44"/>
      <c r="D12297" s="44"/>
      <c r="E12297" s="46" t="s">
        <v>8314</v>
      </c>
      <c r="F12297" s="46" t="s">
        <v>3204</v>
      </c>
      <c r="G12297" s="46">
        <v>3.61731647035E11</v>
      </c>
      <c r="H12297" s="46" t="s">
        <v>3205</v>
      </c>
      <c r="I12297" s="46" t="s">
        <v>3206</v>
      </c>
      <c r="J12297" s="46" t="s">
        <v>178</v>
      </c>
      <c r="K12297" s="46" t="s">
        <v>153</v>
      </c>
      <c r="L12297" s="45">
        <v>46015.333333333336</v>
      </c>
      <c r="M12297" s="46" t="s">
        <v>123</v>
      </c>
      <c r="N12297" s="45">
        <v>46015.708333333336</v>
      </c>
      <c r="O12297" s="46" t="s">
        <v>123</v>
      </c>
      <c r="P12297" s="46">
        <v>32400.0</v>
      </c>
      <c r="Q12297" s="46">
        <v>32400.0</v>
      </c>
    </row>
    <row r="12298">
      <c r="A12298" s="40">
        <f t="shared" si="1"/>
        <v>46013</v>
      </c>
      <c r="B12298" s="37" t="str">
        <f t="array" ref="B12298">iferror(xlookup($I12298, 'IMPORT VHC Report'!$E:$E, 'IMPORT VHC Report'!$A:$C), )</f>
        <v/>
      </c>
      <c r="C12298" s="44"/>
      <c r="D12298" s="44"/>
      <c r="E12298" s="46" t="s">
        <v>8315</v>
      </c>
      <c r="F12298" s="46" t="s">
        <v>3204</v>
      </c>
      <c r="G12298" s="46">
        <v>3.61731647035E11</v>
      </c>
      <c r="H12298" s="46" t="s">
        <v>3205</v>
      </c>
      <c r="I12298" s="46" t="s">
        <v>3206</v>
      </c>
      <c r="J12298" s="46" t="s">
        <v>134</v>
      </c>
      <c r="K12298" s="46" t="s">
        <v>126</v>
      </c>
      <c r="L12298" s="45">
        <v>46015.5</v>
      </c>
      <c r="M12298" s="46" t="s">
        <v>123</v>
      </c>
      <c r="N12298" s="45">
        <v>46015.520833333336</v>
      </c>
      <c r="O12298" s="46" t="s">
        <v>123</v>
      </c>
      <c r="P12298" s="46">
        <v>1800.0</v>
      </c>
    </row>
    <row r="12299">
      <c r="A12299" s="40">
        <f t="shared" si="1"/>
        <v>46013</v>
      </c>
      <c r="B12299" s="37" t="str">
        <f t="array" ref="B12299">iferror(xlookup($I12299, 'IMPORT VHC Report'!$E:$E, 'IMPORT VHC Report'!$A:$C), )</f>
        <v/>
      </c>
      <c r="C12299" s="44"/>
      <c r="D12299" s="44"/>
      <c r="E12299" s="46" t="s">
        <v>8316</v>
      </c>
      <c r="F12299" s="46" t="s">
        <v>3204</v>
      </c>
      <c r="G12299" s="46">
        <v>3.61731647035E11</v>
      </c>
      <c r="H12299" s="46" t="s">
        <v>3205</v>
      </c>
      <c r="I12299" s="46" t="s">
        <v>3206</v>
      </c>
      <c r="J12299" s="46" t="s">
        <v>132</v>
      </c>
      <c r="K12299" s="46" t="s">
        <v>126</v>
      </c>
      <c r="L12299" s="45">
        <v>46015.604166666664</v>
      </c>
      <c r="M12299" s="46" t="s">
        <v>123</v>
      </c>
      <c r="N12299" s="45">
        <v>46015.645833333336</v>
      </c>
      <c r="O12299" s="46" t="s">
        <v>123</v>
      </c>
      <c r="P12299" s="46">
        <v>3600.0</v>
      </c>
    </row>
    <row r="12300">
      <c r="A12300" s="40">
        <f t="shared" si="1"/>
        <v>46013</v>
      </c>
      <c r="B12300" s="37" t="str">
        <f t="array" ref="B12300">iferror(xlookup($I12300, 'IMPORT VHC Report'!$E:$E, 'IMPORT VHC Report'!$A:$C), )</f>
        <v/>
      </c>
      <c r="C12300" s="44"/>
      <c r="D12300" s="44"/>
      <c r="E12300" s="46" t="s">
        <v>8317</v>
      </c>
      <c r="F12300" s="46" t="s">
        <v>3204</v>
      </c>
      <c r="G12300" s="46">
        <v>3.61731647035E11</v>
      </c>
      <c r="H12300" s="46" t="s">
        <v>3205</v>
      </c>
      <c r="I12300" s="46" t="s">
        <v>3206</v>
      </c>
      <c r="J12300" s="46" t="s">
        <v>178</v>
      </c>
      <c r="K12300" s="46" t="s">
        <v>153</v>
      </c>
      <c r="L12300" s="45">
        <v>46016.333333333336</v>
      </c>
      <c r="M12300" s="46" t="s">
        <v>123</v>
      </c>
      <c r="N12300" s="45">
        <v>46016.708333333336</v>
      </c>
      <c r="O12300" s="46" t="s">
        <v>123</v>
      </c>
      <c r="P12300" s="46">
        <v>32400.0</v>
      </c>
      <c r="Q12300" s="46">
        <v>32400.0</v>
      </c>
    </row>
    <row r="12301">
      <c r="A12301" s="40">
        <f t="shared" si="1"/>
        <v>46013</v>
      </c>
      <c r="B12301" s="37" t="str">
        <f t="array" ref="B12301">iferror(xlookup($I12301, 'IMPORT VHC Report'!$E:$E, 'IMPORT VHC Report'!$A:$C), )</f>
        <v/>
      </c>
      <c r="C12301" s="44"/>
      <c r="D12301" s="44"/>
      <c r="E12301" s="46" t="s">
        <v>8318</v>
      </c>
      <c r="F12301" s="46" t="s">
        <v>3204</v>
      </c>
      <c r="G12301" s="46">
        <v>3.61731647035E11</v>
      </c>
      <c r="H12301" s="46" t="s">
        <v>3205</v>
      </c>
      <c r="I12301" s="46" t="s">
        <v>3206</v>
      </c>
      <c r="J12301" s="46" t="s">
        <v>368</v>
      </c>
      <c r="K12301" s="46" t="s">
        <v>63</v>
      </c>
      <c r="L12301" s="45">
        <v>46016.333333333336</v>
      </c>
      <c r="M12301" s="46" t="s">
        <v>123</v>
      </c>
      <c r="N12301" s="45">
        <v>46016.708333333336</v>
      </c>
      <c r="O12301" s="46" t="s">
        <v>123</v>
      </c>
      <c r="P12301" s="46">
        <v>32400.0</v>
      </c>
    </row>
    <row r="12302">
      <c r="A12302" s="40">
        <f t="shared" si="1"/>
        <v>46013</v>
      </c>
      <c r="B12302" s="37" t="str">
        <f t="array" ref="B12302">iferror(xlookup($I12302, 'IMPORT VHC Report'!$E:$E, 'IMPORT VHC Report'!$A:$C), )</f>
        <v/>
      </c>
      <c r="C12302" s="44"/>
      <c r="D12302" s="44"/>
      <c r="E12302" s="46" t="s">
        <v>8319</v>
      </c>
      <c r="F12302" s="46" t="s">
        <v>3204</v>
      </c>
      <c r="G12302" s="46">
        <v>3.61731647035E11</v>
      </c>
      <c r="H12302" s="46" t="s">
        <v>3205</v>
      </c>
      <c r="I12302" s="46" t="s">
        <v>3206</v>
      </c>
      <c r="J12302" s="46" t="s">
        <v>134</v>
      </c>
      <c r="K12302" s="46" t="s">
        <v>126</v>
      </c>
      <c r="L12302" s="45">
        <v>46016.489583333336</v>
      </c>
      <c r="M12302" s="46" t="s">
        <v>123</v>
      </c>
      <c r="N12302" s="45">
        <v>46016.510416666664</v>
      </c>
      <c r="O12302" s="46" t="s">
        <v>123</v>
      </c>
      <c r="P12302" s="46">
        <v>1800.0</v>
      </c>
    </row>
    <row r="12303">
      <c r="A12303" s="40">
        <f t="shared" si="1"/>
        <v>46013</v>
      </c>
      <c r="B12303" s="37" t="str">
        <f t="array" ref="B12303">iferror(xlookup($I12303, 'IMPORT VHC Report'!$E:$E, 'IMPORT VHC Report'!$A:$C), )</f>
        <v/>
      </c>
      <c r="C12303" s="44"/>
      <c r="D12303" s="44"/>
      <c r="E12303" s="46" t="s">
        <v>8320</v>
      </c>
      <c r="F12303" s="46" t="s">
        <v>3204</v>
      </c>
      <c r="G12303" s="46">
        <v>3.61731647035E11</v>
      </c>
      <c r="H12303" s="46" t="s">
        <v>3205</v>
      </c>
      <c r="I12303" s="46" t="s">
        <v>3206</v>
      </c>
      <c r="J12303" s="46" t="s">
        <v>132</v>
      </c>
      <c r="K12303" s="46" t="s">
        <v>126</v>
      </c>
      <c r="L12303" s="45">
        <v>46016.614583333336</v>
      </c>
      <c r="M12303" s="46" t="s">
        <v>123</v>
      </c>
      <c r="N12303" s="45">
        <v>46016.65625</v>
      </c>
      <c r="O12303" s="46" t="s">
        <v>123</v>
      </c>
      <c r="P12303" s="46">
        <v>3600.0</v>
      </c>
    </row>
    <row r="12304">
      <c r="A12304" s="40">
        <f t="shared" si="1"/>
        <v>46013</v>
      </c>
      <c r="B12304" s="37" t="str">
        <f t="array" ref="B12304">iferror(xlookup($I12304, 'IMPORT VHC Report'!$E:$E, 'IMPORT VHC Report'!$A:$C), )</f>
        <v/>
      </c>
      <c r="C12304" s="44"/>
      <c r="D12304" s="44"/>
      <c r="E12304" s="46" t="s">
        <v>8321</v>
      </c>
      <c r="F12304" s="46" t="s">
        <v>3204</v>
      </c>
      <c r="G12304" s="46">
        <v>3.61731647035E11</v>
      </c>
      <c r="H12304" s="46" t="s">
        <v>3205</v>
      </c>
      <c r="I12304" s="46" t="s">
        <v>3206</v>
      </c>
      <c r="J12304" s="46" t="s">
        <v>178</v>
      </c>
      <c r="K12304" s="46" t="s">
        <v>153</v>
      </c>
      <c r="L12304" s="45">
        <v>46017.333333333336</v>
      </c>
      <c r="M12304" s="46" t="s">
        <v>123</v>
      </c>
      <c r="N12304" s="45">
        <v>46017.708333333336</v>
      </c>
      <c r="O12304" s="46" t="s">
        <v>123</v>
      </c>
      <c r="P12304" s="46">
        <v>32400.0</v>
      </c>
      <c r="Q12304" s="46">
        <v>32400.0</v>
      </c>
    </row>
    <row r="12305">
      <c r="A12305" s="40">
        <f t="shared" si="1"/>
        <v>46013</v>
      </c>
      <c r="B12305" s="37" t="str">
        <f t="array" ref="B12305">iferror(xlookup($I12305, 'IMPORT VHC Report'!$E:$E, 'IMPORT VHC Report'!$A:$C), )</f>
        <v/>
      </c>
      <c r="C12305" s="44"/>
      <c r="D12305" s="44"/>
      <c r="E12305" s="46" t="s">
        <v>8322</v>
      </c>
      <c r="F12305" s="46" t="s">
        <v>3204</v>
      </c>
      <c r="G12305" s="46">
        <v>3.61731647035E11</v>
      </c>
      <c r="H12305" s="46" t="s">
        <v>3205</v>
      </c>
      <c r="I12305" s="46" t="s">
        <v>3206</v>
      </c>
      <c r="J12305" s="46" t="s">
        <v>368</v>
      </c>
      <c r="K12305" s="46" t="s">
        <v>63</v>
      </c>
      <c r="L12305" s="45">
        <v>46017.333333333336</v>
      </c>
      <c r="M12305" s="46" t="s">
        <v>123</v>
      </c>
      <c r="N12305" s="45">
        <v>46017.708333333336</v>
      </c>
      <c r="O12305" s="46" t="s">
        <v>123</v>
      </c>
      <c r="P12305" s="46">
        <v>32400.0</v>
      </c>
    </row>
    <row r="12306">
      <c r="A12306" s="40">
        <f t="shared" si="1"/>
        <v>46013</v>
      </c>
      <c r="B12306" s="37" t="str">
        <f t="array" ref="B12306">iferror(xlookup($I12306, 'IMPORT VHC Report'!$E:$E, 'IMPORT VHC Report'!$A:$C), )</f>
        <v/>
      </c>
      <c r="C12306" s="44"/>
      <c r="D12306" s="44"/>
      <c r="E12306" s="46" t="s">
        <v>8323</v>
      </c>
      <c r="F12306" s="46" t="s">
        <v>3204</v>
      </c>
      <c r="G12306" s="46">
        <v>3.61731647035E11</v>
      </c>
      <c r="H12306" s="46" t="s">
        <v>3205</v>
      </c>
      <c r="I12306" s="46" t="s">
        <v>3206</v>
      </c>
      <c r="J12306" s="46" t="s">
        <v>134</v>
      </c>
      <c r="K12306" s="46" t="s">
        <v>126</v>
      </c>
      <c r="L12306" s="45">
        <v>46017.5</v>
      </c>
      <c r="M12306" s="46" t="s">
        <v>123</v>
      </c>
      <c r="N12306" s="45">
        <v>46017.520833333336</v>
      </c>
      <c r="O12306" s="46" t="s">
        <v>123</v>
      </c>
      <c r="P12306" s="46">
        <v>1800.0</v>
      </c>
    </row>
    <row r="12307">
      <c r="A12307" s="40">
        <f t="shared" si="1"/>
        <v>46013</v>
      </c>
      <c r="B12307" s="37" t="str">
        <f t="array" ref="B12307">iferror(xlookup($I12307, 'IMPORT VHC Report'!$E:$E, 'IMPORT VHC Report'!$A:$C), )</f>
        <v/>
      </c>
      <c r="C12307" s="44"/>
      <c r="D12307" s="44"/>
      <c r="E12307" s="46" t="s">
        <v>8324</v>
      </c>
      <c r="F12307" s="46" t="s">
        <v>3204</v>
      </c>
      <c r="G12307" s="46">
        <v>3.61731647035E11</v>
      </c>
      <c r="H12307" s="46" t="s">
        <v>3205</v>
      </c>
      <c r="I12307" s="46" t="s">
        <v>3206</v>
      </c>
      <c r="J12307" s="46" t="s">
        <v>132</v>
      </c>
      <c r="K12307" s="46" t="s">
        <v>126</v>
      </c>
      <c r="L12307" s="45">
        <v>46017.625</v>
      </c>
      <c r="M12307" s="46" t="s">
        <v>123</v>
      </c>
      <c r="N12307" s="45">
        <v>46017.666666666664</v>
      </c>
      <c r="O12307" s="46" t="s">
        <v>123</v>
      </c>
      <c r="P12307" s="46">
        <v>3600.0</v>
      </c>
    </row>
    <row r="12308">
      <c r="A12308" s="40">
        <f t="shared" si="1"/>
        <v>46013</v>
      </c>
      <c r="B12308" s="37" t="str">
        <f t="array" ref="B12308">iferror(xlookup($I12308, 'IMPORT VHC Report'!$E:$E, 'IMPORT VHC Report'!$A:$C), )</f>
        <v/>
      </c>
      <c r="C12308" s="44"/>
      <c r="D12308" s="44"/>
      <c r="E12308" s="46" t="s">
        <v>8325</v>
      </c>
      <c r="F12308" s="46" t="s">
        <v>3228</v>
      </c>
      <c r="G12308" s="46">
        <v>9.107735174799E12</v>
      </c>
      <c r="H12308" s="46" t="s">
        <v>3229</v>
      </c>
      <c r="I12308" s="46" t="s">
        <v>3230</v>
      </c>
      <c r="J12308" s="46" t="s">
        <v>368</v>
      </c>
      <c r="K12308" s="46" t="s">
        <v>63</v>
      </c>
      <c r="L12308" s="45">
        <v>46013.375</v>
      </c>
      <c r="M12308" s="46" t="s">
        <v>123</v>
      </c>
      <c r="N12308" s="45">
        <v>46013.541666666664</v>
      </c>
      <c r="O12308" s="46" t="s">
        <v>123</v>
      </c>
      <c r="P12308" s="46">
        <v>14400.0</v>
      </c>
    </row>
    <row r="12309">
      <c r="A12309" s="40">
        <f t="shared" si="1"/>
        <v>46013</v>
      </c>
      <c r="B12309" s="37" t="str">
        <f t="array" ref="B12309">iferror(xlookup($I12309, 'IMPORT VHC Report'!$E:$E, 'IMPORT VHC Report'!$A:$C), )</f>
        <v/>
      </c>
      <c r="C12309" s="44"/>
      <c r="D12309" s="44"/>
      <c r="E12309" s="46" t="s">
        <v>8326</v>
      </c>
      <c r="F12309" s="46" t="s">
        <v>3228</v>
      </c>
      <c r="G12309" s="46">
        <v>9.107735174799E12</v>
      </c>
      <c r="H12309" s="46" t="s">
        <v>3229</v>
      </c>
      <c r="I12309" s="46" t="s">
        <v>3230</v>
      </c>
      <c r="J12309" s="46" t="s">
        <v>134</v>
      </c>
      <c r="K12309" s="46" t="s">
        <v>126</v>
      </c>
      <c r="L12309" s="45">
        <v>46013.541666666664</v>
      </c>
      <c r="M12309" s="46" t="s">
        <v>123</v>
      </c>
      <c r="N12309" s="45">
        <v>46013.5625</v>
      </c>
      <c r="O12309" s="46" t="s">
        <v>123</v>
      </c>
      <c r="P12309" s="46">
        <v>1800.0</v>
      </c>
    </row>
    <row r="12310">
      <c r="A12310" s="40">
        <f t="shared" si="1"/>
        <v>46013</v>
      </c>
      <c r="B12310" s="37" t="str">
        <f t="array" ref="B12310">iferror(xlookup($I12310, 'IMPORT VHC Report'!$E:$E, 'IMPORT VHC Report'!$A:$C), )</f>
        <v/>
      </c>
      <c r="C12310" s="44"/>
      <c r="D12310" s="44"/>
      <c r="E12310" s="46" t="s">
        <v>8327</v>
      </c>
      <c r="F12310" s="46" t="s">
        <v>3228</v>
      </c>
      <c r="G12310" s="46">
        <v>9.107735174799E12</v>
      </c>
      <c r="H12310" s="46" t="s">
        <v>3229</v>
      </c>
      <c r="I12310" s="46" t="s">
        <v>3230</v>
      </c>
      <c r="J12310" s="46" t="s">
        <v>2268</v>
      </c>
      <c r="K12310" s="46" t="s">
        <v>63</v>
      </c>
      <c r="L12310" s="45">
        <v>46013.541666666664</v>
      </c>
      <c r="M12310" s="46" t="s">
        <v>123</v>
      </c>
      <c r="N12310" s="45">
        <v>46013.75</v>
      </c>
      <c r="O12310" s="46" t="s">
        <v>123</v>
      </c>
      <c r="P12310" s="46">
        <v>18000.0</v>
      </c>
    </row>
    <row r="12311">
      <c r="A12311" s="40">
        <f t="shared" si="1"/>
        <v>46013</v>
      </c>
      <c r="B12311" s="37" t="str">
        <f t="array" ref="B12311">iferror(xlookup($I12311, 'IMPORT VHC Report'!$E:$E, 'IMPORT VHC Report'!$A:$C), )</f>
        <v/>
      </c>
      <c r="C12311" s="44"/>
      <c r="D12311" s="44"/>
      <c r="E12311" s="46" t="s">
        <v>8328</v>
      </c>
      <c r="F12311" s="46" t="s">
        <v>3228</v>
      </c>
      <c r="G12311" s="46">
        <v>9.107735174799E12</v>
      </c>
      <c r="H12311" s="46" t="s">
        <v>3229</v>
      </c>
      <c r="I12311" s="46" t="s">
        <v>3230</v>
      </c>
      <c r="J12311" s="46" t="s">
        <v>132</v>
      </c>
      <c r="K12311" s="46" t="s">
        <v>126</v>
      </c>
      <c r="L12311" s="45">
        <v>46013.645833333336</v>
      </c>
      <c r="M12311" s="46" t="s">
        <v>123</v>
      </c>
      <c r="N12311" s="45">
        <v>46013.6875</v>
      </c>
      <c r="O12311" s="46" t="s">
        <v>123</v>
      </c>
      <c r="P12311" s="46">
        <v>3600.0</v>
      </c>
    </row>
    <row r="12312">
      <c r="A12312" s="40">
        <f t="shared" si="1"/>
        <v>46013</v>
      </c>
      <c r="B12312" s="37" t="str">
        <f t="array" ref="B12312">iferror(xlookup($I12312, 'IMPORT VHC Report'!$E:$E, 'IMPORT VHC Report'!$A:$C), )</f>
        <v/>
      </c>
      <c r="C12312" s="44"/>
      <c r="D12312" s="44"/>
      <c r="E12312" s="46" t="s">
        <v>8329</v>
      </c>
      <c r="F12312" s="46" t="s">
        <v>3228</v>
      </c>
      <c r="G12312" s="46">
        <v>9.107735174799E12</v>
      </c>
      <c r="H12312" s="46" t="s">
        <v>3229</v>
      </c>
      <c r="I12312" s="46" t="s">
        <v>3230</v>
      </c>
      <c r="J12312" s="46" t="s">
        <v>368</v>
      </c>
      <c r="K12312" s="46" t="s">
        <v>63</v>
      </c>
      <c r="L12312" s="45">
        <v>46014.375</v>
      </c>
      <c r="M12312" s="46" t="s">
        <v>123</v>
      </c>
      <c r="N12312" s="45">
        <v>46014.541666666664</v>
      </c>
      <c r="O12312" s="46" t="s">
        <v>123</v>
      </c>
      <c r="P12312" s="46">
        <v>14400.0</v>
      </c>
    </row>
    <row r="12313">
      <c r="A12313" s="40">
        <f t="shared" si="1"/>
        <v>46013</v>
      </c>
      <c r="B12313" s="37" t="str">
        <f t="array" ref="B12313">iferror(xlookup($I12313, 'IMPORT VHC Report'!$E:$E, 'IMPORT VHC Report'!$A:$C), )</f>
        <v/>
      </c>
      <c r="C12313" s="44"/>
      <c r="D12313" s="44"/>
      <c r="E12313" s="46" t="s">
        <v>8330</v>
      </c>
      <c r="F12313" s="46" t="s">
        <v>3228</v>
      </c>
      <c r="G12313" s="46">
        <v>9.107735174799E12</v>
      </c>
      <c r="H12313" s="46" t="s">
        <v>3229</v>
      </c>
      <c r="I12313" s="46" t="s">
        <v>3230</v>
      </c>
      <c r="J12313" s="46" t="s">
        <v>152</v>
      </c>
      <c r="K12313" s="46" t="s">
        <v>153</v>
      </c>
      <c r="L12313" s="45">
        <v>46014.375</v>
      </c>
      <c r="M12313" s="46" t="s">
        <v>123</v>
      </c>
      <c r="N12313" s="45">
        <v>46014.75</v>
      </c>
      <c r="O12313" s="46" t="s">
        <v>123</v>
      </c>
      <c r="P12313" s="46">
        <v>32400.0</v>
      </c>
      <c r="Q12313" s="46">
        <v>32400.0</v>
      </c>
    </row>
    <row r="12314">
      <c r="A12314" s="40">
        <f t="shared" si="1"/>
        <v>46013</v>
      </c>
      <c r="B12314" s="37" t="str">
        <f t="array" ref="B12314">iferror(xlookup($I12314, 'IMPORT VHC Report'!$E:$E, 'IMPORT VHC Report'!$A:$C), )</f>
        <v/>
      </c>
      <c r="C12314" s="44"/>
      <c r="D12314" s="44"/>
      <c r="E12314" s="46" t="s">
        <v>8331</v>
      </c>
      <c r="F12314" s="46" t="s">
        <v>3228</v>
      </c>
      <c r="G12314" s="46">
        <v>9.107735174799E12</v>
      </c>
      <c r="H12314" s="46" t="s">
        <v>3229</v>
      </c>
      <c r="I12314" s="46" t="s">
        <v>3230</v>
      </c>
      <c r="J12314" s="46" t="s">
        <v>134</v>
      </c>
      <c r="K12314" s="46" t="s">
        <v>126</v>
      </c>
      <c r="L12314" s="45">
        <v>46014.53125</v>
      </c>
      <c r="M12314" s="46" t="s">
        <v>123</v>
      </c>
      <c r="N12314" s="45">
        <v>46014.552083333336</v>
      </c>
      <c r="O12314" s="46" t="s">
        <v>123</v>
      </c>
      <c r="P12314" s="46">
        <v>1800.0</v>
      </c>
    </row>
    <row r="12315">
      <c r="A12315" s="40">
        <f t="shared" si="1"/>
        <v>46013</v>
      </c>
      <c r="B12315" s="37" t="str">
        <f t="array" ref="B12315">iferror(xlookup($I12315, 'IMPORT VHC Report'!$E:$E, 'IMPORT VHC Report'!$A:$C), )</f>
        <v/>
      </c>
      <c r="C12315" s="44"/>
      <c r="D12315" s="44"/>
      <c r="E12315" s="46" t="s">
        <v>8332</v>
      </c>
      <c r="F12315" s="46" t="s">
        <v>3228</v>
      </c>
      <c r="G12315" s="46">
        <v>9.107735174799E12</v>
      </c>
      <c r="H12315" s="46" t="s">
        <v>3229</v>
      </c>
      <c r="I12315" s="46" t="s">
        <v>3230</v>
      </c>
      <c r="J12315" s="46" t="s">
        <v>2268</v>
      </c>
      <c r="K12315" s="46" t="s">
        <v>63</v>
      </c>
      <c r="L12315" s="45">
        <v>46014.541666666664</v>
      </c>
      <c r="M12315" s="46" t="s">
        <v>123</v>
      </c>
      <c r="N12315" s="45">
        <v>46014.75</v>
      </c>
      <c r="O12315" s="46" t="s">
        <v>123</v>
      </c>
      <c r="P12315" s="46">
        <v>18000.0</v>
      </c>
      <c r="S12315" s="46" t="s">
        <v>2572</v>
      </c>
    </row>
    <row r="12316">
      <c r="A12316" s="40">
        <f t="shared" si="1"/>
        <v>46013</v>
      </c>
      <c r="B12316" s="37" t="str">
        <f t="array" ref="B12316">iferror(xlookup($I12316, 'IMPORT VHC Report'!$E:$E, 'IMPORT VHC Report'!$A:$C), )</f>
        <v/>
      </c>
      <c r="C12316" s="44"/>
      <c r="D12316" s="44"/>
      <c r="E12316" s="46" t="s">
        <v>8333</v>
      </c>
      <c r="F12316" s="46" t="s">
        <v>3228</v>
      </c>
      <c r="G12316" s="46">
        <v>9.107735174799E12</v>
      </c>
      <c r="H12316" s="46" t="s">
        <v>3229</v>
      </c>
      <c r="I12316" s="46" t="s">
        <v>3230</v>
      </c>
      <c r="J12316" s="46" t="s">
        <v>132</v>
      </c>
      <c r="K12316" s="46" t="s">
        <v>126</v>
      </c>
      <c r="L12316" s="45">
        <v>46014.65625</v>
      </c>
      <c r="M12316" s="46" t="s">
        <v>123</v>
      </c>
      <c r="N12316" s="45">
        <v>46014.697916666664</v>
      </c>
      <c r="O12316" s="46" t="s">
        <v>123</v>
      </c>
      <c r="P12316" s="46">
        <v>3600.0</v>
      </c>
    </row>
    <row r="12317">
      <c r="A12317" s="40">
        <f t="shared" si="1"/>
        <v>46013</v>
      </c>
      <c r="B12317" s="37" t="str">
        <f t="array" ref="B12317">iferror(xlookup($I12317, 'IMPORT VHC Report'!$E:$E, 'IMPORT VHC Report'!$A:$C), )</f>
        <v/>
      </c>
      <c r="C12317" s="44"/>
      <c r="D12317" s="44"/>
      <c r="E12317" s="46" t="s">
        <v>8334</v>
      </c>
      <c r="F12317" s="46" t="s">
        <v>3228</v>
      </c>
      <c r="G12317" s="46">
        <v>9.107735174799E12</v>
      </c>
      <c r="H12317" s="46" t="s">
        <v>3229</v>
      </c>
      <c r="I12317" s="46" t="s">
        <v>3230</v>
      </c>
      <c r="J12317" s="46" t="s">
        <v>368</v>
      </c>
      <c r="K12317" s="46" t="s">
        <v>63</v>
      </c>
      <c r="L12317" s="45">
        <v>46015.375</v>
      </c>
      <c r="M12317" s="46" t="s">
        <v>123</v>
      </c>
      <c r="N12317" s="45">
        <v>46015.5</v>
      </c>
      <c r="O12317" s="46" t="s">
        <v>123</v>
      </c>
      <c r="P12317" s="46">
        <v>10800.0</v>
      </c>
    </row>
    <row r="12318">
      <c r="A12318" s="40">
        <f t="shared" si="1"/>
        <v>46013</v>
      </c>
      <c r="B12318" s="37" t="str">
        <f t="array" ref="B12318">iferror(xlookup($I12318, 'IMPORT VHC Report'!$E:$E, 'IMPORT VHC Report'!$A:$C), )</f>
        <v/>
      </c>
      <c r="C12318" s="44"/>
      <c r="D12318" s="44"/>
      <c r="E12318" s="46" t="s">
        <v>8335</v>
      </c>
      <c r="F12318" s="46" t="s">
        <v>3228</v>
      </c>
      <c r="G12318" s="46">
        <v>9.107735174799E12</v>
      </c>
      <c r="H12318" s="46" t="s">
        <v>3229</v>
      </c>
      <c r="I12318" s="46" t="s">
        <v>3230</v>
      </c>
      <c r="J12318" s="46" t="s">
        <v>2268</v>
      </c>
      <c r="K12318" s="46" t="s">
        <v>63</v>
      </c>
      <c r="L12318" s="45">
        <v>46015.5</v>
      </c>
      <c r="M12318" s="46" t="s">
        <v>123</v>
      </c>
      <c r="N12318" s="45">
        <v>46015.75</v>
      </c>
      <c r="O12318" s="46" t="s">
        <v>123</v>
      </c>
      <c r="P12318" s="46">
        <v>21600.0</v>
      </c>
    </row>
    <row r="12319">
      <c r="A12319" s="40">
        <f t="shared" si="1"/>
        <v>46013</v>
      </c>
      <c r="B12319" s="37" t="str">
        <f t="array" ref="B12319">iferror(xlookup($I12319, 'IMPORT VHC Report'!$E:$E, 'IMPORT VHC Report'!$A:$C), )</f>
        <v/>
      </c>
      <c r="C12319" s="44"/>
      <c r="D12319" s="44"/>
      <c r="E12319" s="46" t="s">
        <v>8336</v>
      </c>
      <c r="F12319" s="46" t="s">
        <v>3228</v>
      </c>
      <c r="G12319" s="46">
        <v>9.107735174799E12</v>
      </c>
      <c r="H12319" s="46" t="s">
        <v>3229</v>
      </c>
      <c r="I12319" s="46" t="s">
        <v>3230</v>
      </c>
      <c r="J12319" s="46" t="s">
        <v>134</v>
      </c>
      <c r="K12319" s="46" t="s">
        <v>126</v>
      </c>
      <c r="L12319" s="45">
        <v>46015.53125</v>
      </c>
      <c r="M12319" s="46" t="s">
        <v>123</v>
      </c>
      <c r="N12319" s="45">
        <v>46015.552083333336</v>
      </c>
      <c r="O12319" s="46" t="s">
        <v>123</v>
      </c>
      <c r="P12319" s="46">
        <v>1800.0</v>
      </c>
    </row>
    <row r="12320">
      <c r="A12320" s="40">
        <f t="shared" si="1"/>
        <v>46013</v>
      </c>
      <c r="B12320" s="37" t="str">
        <f t="array" ref="B12320">iferror(xlookup($I12320, 'IMPORT VHC Report'!$E:$E, 'IMPORT VHC Report'!$A:$C), )</f>
        <v/>
      </c>
      <c r="C12320" s="44"/>
      <c r="D12320" s="44"/>
      <c r="E12320" s="46" t="s">
        <v>8337</v>
      </c>
      <c r="F12320" s="46" t="s">
        <v>3228</v>
      </c>
      <c r="G12320" s="46">
        <v>9.107735174799E12</v>
      </c>
      <c r="H12320" s="46" t="s">
        <v>3229</v>
      </c>
      <c r="I12320" s="46" t="s">
        <v>3230</v>
      </c>
      <c r="J12320" s="46" t="s">
        <v>132</v>
      </c>
      <c r="K12320" s="46" t="s">
        <v>126</v>
      </c>
      <c r="L12320" s="45">
        <v>46015.65625</v>
      </c>
      <c r="M12320" s="46" t="s">
        <v>123</v>
      </c>
      <c r="N12320" s="45">
        <v>46015.697916666664</v>
      </c>
      <c r="O12320" s="46" t="s">
        <v>123</v>
      </c>
      <c r="P12320" s="46">
        <v>3600.0</v>
      </c>
    </row>
    <row r="12321">
      <c r="A12321" s="40">
        <f t="shared" si="1"/>
        <v>46013</v>
      </c>
      <c r="B12321" s="37" t="str">
        <f t="array" ref="B12321">iferror(xlookup($I12321, 'IMPORT VHC Report'!$E:$E, 'IMPORT VHC Report'!$A:$C), )</f>
        <v/>
      </c>
      <c r="C12321" s="44"/>
      <c r="D12321" s="44"/>
      <c r="E12321" s="46" t="s">
        <v>8338</v>
      </c>
      <c r="F12321" s="46" t="s">
        <v>3228</v>
      </c>
      <c r="G12321" s="46">
        <v>9.107735174799E12</v>
      </c>
      <c r="H12321" s="46" t="s">
        <v>3229</v>
      </c>
      <c r="I12321" s="46" t="s">
        <v>3230</v>
      </c>
      <c r="J12321" s="46" t="s">
        <v>2268</v>
      </c>
      <c r="K12321" s="46" t="s">
        <v>63</v>
      </c>
      <c r="L12321" s="45">
        <v>46016.375</v>
      </c>
      <c r="M12321" s="46" t="s">
        <v>123</v>
      </c>
      <c r="N12321" s="45">
        <v>46016.75</v>
      </c>
      <c r="O12321" s="46" t="s">
        <v>123</v>
      </c>
      <c r="P12321" s="46">
        <v>32400.0</v>
      </c>
    </row>
    <row r="12322">
      <c r="A12322" s="40">
        <f t="shared" si="1"/>
        <v>46013</v>
      </c>
      <c r="B12322" s="37" t="str">
        <f t="array" ref="B12322">iferror(xlookup($I12322, 'IMPORT VHC Report'!$E:$E, 'IMPORT VHC Report'!$A:$C), )</f>
        <v/>
      </c>
      <c r="C12322" s="44"/>
      <c r="D12322" s="44"/>
      <c r="E12322" s="46" t="s">
        <v>8339</v>
      </c>
      <c r="F12322" s="46" t="s">
        <v>3228</v>
      </c>
      <c r="G12322" s="46">
        <v>9.107735174799E12</v>
      </c>
      <c r="H12322" s="46" t="s">
        <v>3229</v>
      </c>
      <c r="I12322" s="46" t="s">
        <v>3230</v>
      </c>
      <c r="J12322" s="46" t="s">
        <v>134</v>
      </c>
      <c r="K12322" s="46" t="s">
        <v>126</v>
      </c>
      <c r="L12322" s="45">
        <v>46016.552083333336</v>
      </c>
      <c r="M12322" s="46" t="s">
        <v>123</v>
      </c>
      <c r="N12322" s="45">
        <v>46016.572916666664</v>
      </c>
      <c r="O12322" s="46" t="s">
        <v>123</v>
      </c>
      <c r="P12322" s="46">
        <v>1800.0</v>
      </c>
    </row>
    <row r="12323">
      <c r="A12323" s="40">
        <f t="shared" si="1"/>
        <v>46013</v>
      </c>
      <c r="B12323" s="37" t="str">
        <f t="array" ref="B12323">iferror(xlookup($I12323, 'IMPORT VHC Report'!$E:$E, 'IMPORT VHC Report'!$A:$C), )</f>
        <v/>
      </c>
      <c r="C12323" s="44"/>
      <c r="D12323" s="44"/>
      <c r="E12323" s="46" t="s">
        <v>8340</v>
      </c>
      <c r="F12323" s="46" t="s">
        <v>3228</v>
      </c>
      <c r="G12323" s="46">
        <v>9.107735174799E12</v>
      </c>
      <c r="H12323" s="46" t="s">
        <v>3229</v>
      </c>
      <c r="I12323" s="46" t="s">
        <v>3230</v>
      </c>
      <c r="J12323" s="46" t="s">
        <v>132</v>
      </c>
      <c r="K12323" s="46" t="s">
        <v>126</v>
      </c>
      <c r="L12323" s="45">
        <v>46016.666666666664</v>
      </c>
      <c r="M12323" s="46" t="s">
        <v>123</v>
      </c>
      <c r="N12323" s="45">
        <v>46016.708333333336</v>
      </c>
      <c r="O12323" s="46" t="s">
        <v>123</v>
      </c>
      <c r="P12323" s="46">
        <v>3600.0</v>
      </c>
    </row>
    <row r="12324">
      <c r="A12324" s="40">
        <f t="shared" si="1"/>
        <v>46013</v>
      </c>
      <c r="B12324" s="37" t="str">
        <f t="array" ref="B12324">iferror(xlookup($I12324, 'IMPORT VHC Report'!$E:$E, 'IMPORT VHC Report'!$A:$C), )</f>
        <v/>
      </c>
      <c r="C12324" s="44"/>
      <c r="D12324" s="44"/>
      <c r="E12324" s="46" t="s">
        <v>8341</v>
      </c>
      <c r="F12324" s="46" t="s">
        <v>3228</v>
      </c>
      <c r="G12324" s="46">
        <v>9.107735174799E12</v>
      </c>
      <c r="H12324" s="46" t="s">
        <v>3229</v>
      </c>
      <c r="I12324" s="46" t="s">
        <v>3230</v>
      </c>
      <c r="J12324" s="46" t="s">
        <v>368</v>
      </c>
      <c r="K12324" s="46" t="s">
        <v>63</v>
      </c>
      <c r="L12324" s="45">
        <v>46019.375</v>
      </c>
      <c r="M12324" s="46" t="s">
        <v>123</v>
      </c>
      <c r="N12324" s="45">
        <v>46019.541666666664</v>
      </c>
      <c r="O12324" s="46" t="s">
        <v>123</v>
      </c>
      <c r="P12324" s="46">
        <v>14400.0</v>
      </c>
    </row>
    <row r="12325">
      <c r="A12325" s="40">
        <f t="shared" si="1"/>
        <v>46013</v>
      </c>
      <c r="B12325" s="37" t="str">
        <f t="array" ref="B12325">iferror(xlookup($I12325, 'IMPORT VHC Report'!$E:$E, 'IMPORT VHC Report'!$A:$C), )</f>
        <v/>
      </c>
      <c r="C12325" s="44"/>
      <c r="D12325" s="44"/>
      <c r="E12325" s="46" t="s">
        <v>8342</v>
      </c>
      <c r="F12325" s="46" t="s">
        <v>3228</v>
      </c>
      <c r="G12325" s="46">
        <v>9.107735174799E12</v>
      </c>
      <c r="H12325" s="46" t="s">
        <v>3229</v>
      </c>
      <c r="I12325" s="46" t="s">
        <v>3230</v>
      </c>
      <c r="J12325" s="46" t="s">
        <v>134</v>
      </c>
      <c r="K12325" s="46" t="s">
        <v>126</v>
      </c>
      <c r="L12325" s="45">
        <v>46019.520833333336</v>
      </c>
      <c r="M12325" s="46" t="s">
        <v>123</v>
      </c>
      <c r="N12325" s="45">
        <v>46019.541666666664</v>
      </c>
      <c r="O12325" s="46" t="s">
        <v>123</v>
      </c>
      <c r="P12325" s="46">
        <v>1800.0</v>
      </c>
    </row>
    <row r="12326">
      <c r="A12326" s="40">
        <f t="shared" si="1"/>
        <v>46013</v>
      </c>
      <c r="B12326" s="37" t="str">
        <f t="array" ref="B12326">iferror(xlookup($I12326, 'IMPORT VHC Report'!$E:$E, 'IMPORT VHC Report'!$A:$C), )</f>
        <v/>
      </c>
      <c r="C12326" s="44"/>
      <c r="D12326" s="44"/>
      <c r="E12326" s="46" t="s">
        <v>8343</v>
      </c>
      <c r="F12326" s="46" t="s">
        <v>3228</v>
      </c>
      <c r="G12326" s="46">
        <v>9.107735174799E12</v>
      </c>
      <c r="H12326" s="46" t="s">
        <v>3229</v>
      </c>
      <c r="I12326" s="46" t="s">
        <v>3230</v>
      </c>
      <c r="J12326" s="46" t="s">
        <v>2268</v>
      </c>
      <c r="K12326" s="46" t="s">
        <v>63</v>
      </c>
      <c r="L12326" s="45">
        <v>46019.541666666664</v>
      </c>
      <c r="M12326" s="46" t="s">
        <v>123</v>
      </c>
      <c r="N12326" s="45">
        <v>46019.75</v>
      </c>
      <c r="O12326" s="46" t="s">
        <v>123</v>
      </c>
      <c r="P12326" s="46">
        <v>18000.0</v>
      </c>
      <c r="S12326" s="46" t="s">
        <v>8344</v>
      </c>
    </row>
    <row r="12327">
      <c r="A12327" s="40">
        <f t="shared" si="1"/>
        <v>46013</v>
      </c>
      <c r="B12327" s="37" t="str">
        <f t="array" ref="B12327">iferror(xlookup($I12327, 'IMPORT VHC Report'!$E:$E, 'IMPORT VHC Report'!$A:$C), )</f>
        <v/>
      </c>
      <c r="C12327" s="44"/>
      <c r="D12327" s="44"/>
      <c r="E12327" s="46" t="s">
        <v>8345</v>
      </c>
      <c r="F12327" s="46" t="s">
        <v>3228</v>
      </c>
      <c r="G12327" s="46">
        <v>9.107735174799E12</v>
      </c>
      <c r="H12327" s="46" t="s">
        <v>3229</v>
      </c>
      <c r="I12327" s="46" t="s">
        <v>3230</v>
      </c>
      <c r="J12327" s="46" t="s">
        <v>132</v>
      </c>
      <c r="K12327" s="46" t="s">
        <v>126</v>
      </c>
      <c r="L12327" s="45">
        <v>46019.645833333336</v>
      </c>
      <c r="M12327" s="46" t="s">
        <v>123</v>
      </c>
      <c r="N12327" s="45">
        <v>46019.6875</v>
      </c>
      <c r="O12327" s="46" t="s">
        <v>123</v>
      </c>
      <c r="P12327" s="46">
        <v>3600.0</v>
      </c>
    </row>
    <row r="12328">
      <c r="A12328" s="40">
        <f t="shared" si="1"/>
        <v>46013</v>
      </c>
      <c r="B12328" s="37" t="str">
        <f t="array" ref="B12328">iferror(xlookup($I12328, 'IMPORT VHC Report'!$E:$E, 'IMPORT VHC Report'!$A:$C), )</f>
        <v/>
      </c>
      <c r="C12328" s="44"/>
      <c r="D12328" s="44"/>
      <c r="E12328" s="46" t="s">
        <v>8346</v>
      </c>
      <c r="F12328" s="46" t="s">
        <v>3283</v>
      </c>
      <c r="G12328" s="46">
        <v>9.107749076367E12</v>
      </c>
      <c r="H12328" s="46" t="s">
        <v>3284</v>
      </c>
      <c r="I12328" s="46" t="s">
        <v>3285</v>
      </c>
      <c r="J12328" s="46" t="s">
        <v>368</v>
      </c>
      <c r="K12328" s="46" t="s">
        <v>63</v>
      </c>
      <c r="L12328" s="45">
        <v>46013.375</v>
      </c>
      <c r="M12328" s="46" t="s">
        <v>123</v>
      </c>
      <c r="N12328" s="45">
        <v>46013.541666666664</v>
      </c>
      <c r="O12328" s="46" t="s">
        <v>123</v>
      </c>
      <c r="P12328" s="46">
        <v>14400.0</v>
      </c>
    </row>
    <row r="12329">
      <c r="A12329" s="40">
        <f t="shared" si="1"/>
        <v>46013</v>
      </c>
      <c r="B12329" s="37" t="str">
        <f t="array" ref="B12329">iferror(xlookup($I12329, 'IMPORT VHC Report'!$E:$E, 'IMPORT VHC Report'!$A:$C), )</f>
        <v/>
      </c>
      <c r="C12329" s="44"/>
      <c r="D12329" s="44"/>
      <c r="E12329" s="46" t="s">
        <v>8347</v>
      </c>
      <c r="F12329" s="46" t="s">
        <v>3283</v>
      </c>
      <c r="G12329" s="46">
        <v>9.107749076367E12</v>
      </c>
      <c r="H12329" s="46" t="s">
        <v>3284</v>
      </c>
      <c r="I12329" s="46" t="s">
        <v>3285</v>
      </c>
      <c r="J12329" s="46" t="s">
        <v>134</v>
      </c>
      <c r="K12329" s="46" t="s">
        <v>126</v>
      </c>
      <c r="L12329" s="45">
        <v>46013.520833333336</v>
      </c>
      <c r="M12329" s="46" t="s">
        <v>123</v>
      </c>
      <c r="N12329" s="45">
        <v>46013.541666666664</v>
      </c>
      <c r="O12329" s="46" t="s">
        <v>123</v>
      </c>
      <c r="P12329" s="46">
        <v>1800.0</v>
      </c>
    </row>
    <row r="12330">
      <c r="A12330" s="40">
        <f t="shared" si="1"/>
        <v>46013</v>
      </c>
      <c r="B12330" s="37" t="str">
        <f t="array" ref="B12330">iferror(xlookup($I12330, 'IMPORT VHC Report'!$E:$E, 'IMPORT VHC Report'!$A:$C), )</f>
        <v/>
      </c>
      <c r="C12330" s="44"/>
      <c r="D12330" s="44"/>
      <c r="E12330" s="46" t="s">
        <v>8348</v>
      </c>
      <c r="F12330" s="46" t="s">
        <v>3283</v>
      </c>
      <c r="G12330" s="46">
        <v>9.107749076367E12</v>
      </c>
      <c r="H12330" s="46" t="s">
        <v>3284</v>
      </c>
      <c r="I12330" s="46" t="s">
        <v>3285</v>
      </c>
      <c r="J12330" s="46" t="s">
        <v>2268</v>
      </c>
      <c r="K12330" s="46" t="s">
        <v>63</v>
      </c>
      <c r="L12330" s="45">
        <v>46013.541666666664</v>
      </c>
      <c r="M12330" s="46" t="s">
        <v>123</v>
      </c>
      <c r="N12330" s="45">
        <v>46013.75</v>
      </c>
      <c r="O12330" s="46" t="s">
        <v>123</v>
      </c>
      <c r="P12330" s="46">
        <v>18000.0</v>
      </c>
    </row>
    <row r="12331">
      <c r="A12331" s="40">
        <f t="shared" si="1"/>
        <v>46013</v>
      </c>
      <c r="B12331" s="37" t="str">
        <f t="array" ref="B12331">iferror(xlookup($I12331, 'IMPORT VHC Report'!$E:$E, 'IMPORT VHC Report'!$A:$C), )</f>
        <v/>
      </c>
      <c r="C12331" s="44"/>
      <c r="D12331" s="44"/>
      <c r="E12331" s="46" t="s">
        <v>8349</v>
      </c>
      <c r="F12331" s="46" t="s">
        <v>3283</v>
      </c>
      <c r="G12331" s="46">
        <v>9.107749076367E12</v>
      </c>
      <c r="H12331" s="46" t="s">
        <v>3284</v>
      </c>
      <c r="I12331" s="46" t="s">
        <v>3285</v>
      </c>
      <c r="J12331" s="46" t="s">
        <v>132</v>
      </c>
      <c r="K12331" s="46" t="s">
        <v>126</v>
      </c>
      <c r="L12331" s="45">
        <v>46013.645833333336</v>
      </c>
      <c r="M12331" s="46" t="s">
        <v>123</v>
      </c>
      <c r="N12331" s="45">
        <v>46013.6875</v>
      </c>
      <c r="O12331" s="46" t="s">
        <v>123</v>
      </c>
      <c r="P12331" s="46">
        <v>3600.0</v>
      </c>
    </row>
    <row r="12332">
      <c r="A12332" s="40">
        <f t="shared" si="1"/>
        <v>46013</v>
      </c>
      <c r="B12332" s="37" t="str">
        <f t="array" ref="B12332">iferror(xlookup($I12332, 'IMPORT VHC Report'!$E:$E, 'IMPORT VHC Report'!$A:$C), )</f>
        <v/>
      </c>
      <c r="C12332" s="44"/>
      <c r="D12332" s="44"/>
      <c r="E12332" s="46" t="s">
        <v>8350</v>
      </c>
      <c r="F12332" s="46" t="s">
        <v>3283</v>
      </c>
      <c r="G12332" s="46">
        <v>9.107749076367E12</v>
      </c>
      <c r="H12332" s="46" t="s">
        <v>3284</v>
      </c>
      <c r="I12332" s="46" t="s">
        <v>3285</v>
      </c>
      <c r="J12332" s="46" t="s">
        <v>152</v>
      </c>
      <c r="K12332" s="46" t="s">
        <v>153</v>
      </c>
      <c r="L12332" s="45">
        <v>46014.375</v>
      </c>
      <c r="M12332" s="46" t="s">
        <v>123</v>
      </c>
      <c r="N12332" s="45">
        <v>46014.75</v>
      </c>
      <c r="O12332" s="46" t="s">
        <v>123</v>
      </c>
      <c r="P12332" s="46">
        <v>32400.0</v>
      </c>
      <c r="Q12332" s="46">
        <v>32400.0</v>
      </c>
    </row>
    <row r="12333">
      <c r="A12333" s="40">
        <f t="shared" si="1"/>
        <v>46013</v>
      </c>
      <c r="B12333" s="37" t="str">
        <f t="array" ref="B12333">iferror(xlookup($I12333, 'IMPORT VHC Report'!$E:$E, 'IMPORT VHC Report'!$A:$C), )</f>
        <v/>
      </c>
      <c r="C12333" s="44"/>
      <c r="D12333" s="44"/>
      <c r="E12333" s="46" t="s">
        <v>8351</v>
      </c>
      <c r="F12333" s="46" t="s">
        <v>3283</v>
      </c>
      <c r="G12333" s="46">
        <v>9.107749076367E12</v>
      </c>
      <c r="H12333" s="46" t="s">
        <v>3284</v>
      </c>
      <c r="I12333" s="46" t="s">
        <v>3285</v>
      </c>
      <c r="J12333" s="46" t="s">
        <v>134</v>
      </c>
      <c r="K12333" s="46" t="s">
        <v>126</v>
      </c>
      <c r="L12333" s="45">
        <v>46014.479166666664</v>
      </c>
      <c r="M12333" s="46" t="s">
        <v>123</v>
      </c>
      <c r="N12333" s="45">
        <v>46014.5</v>
      </c>
      <c r="O12333" s="46" t="s">
        <v>123</v>
      </c>
      <c r="P12333" s="46">
        <v>1800.0</v>
      </c>
    </row>
    <row r="12334">
      <c r="A12334" s="40">
        <f t="shared" si="1"/>
        <v>46013</v>
      </c>
      <c r="B12334" s="37" t="str">
        <f t="array" ref="B12334">iferror(xlookup($I12334, 'IMPORT VHC Report'!$E:$E, 'IMPORT VHC Report'!$A:$C), )</f>
        <v/>
      </c>
      <c r="C12334" s="44"/>
      <c r="D12334" s="44"/>
      <c r="E12334" s="46" t="s">
        <v>8352</v>
      </c>
      <c r="F12334" s="46" t="s">
        <v>3283</v>
      </c>
      <c r="G12334" s="46">
        <v>9.107749076367E12</v>
      </c>
      <c r="H12334" s="46" t="s">
        <v>3284</v>
      </c>
      <c r="I12334" s="46" t="s">
        <v>3285</v>
      </c>
      <c r="J12334" s="46" t="s">
        <v>2268</v>
      </c>
      <c r="K12334" s="46" t="s">
        <v>63</v>
      </c>
      <c r="L12334" s="45">
        <v>46014.541666666664</v>
      </c>
      <c r="M12334" s="46" t="s">
        <v>123</v>
      </c>
      <c r="N12334" s="45">
        <v>46014.75</v>
      </c>
      <c r="O12334" s="46" t="s">
        <v>123</v>
      </c>
      <c r="P12334" s="46">
        <v>18000.0</v>
      </c>
      <c r="S12334" s="46" t="s">
        <v>2572</v>
      </c>
    </row>
    <row r="12335">
      <c r="A12335" s="40">
        <f t="shared" si="1"/>
        <v>46013</v>
      </c>
      <c r="B12335" s="37" t="str">
        <f t="array" ref="B12335">iferror(xlookup($I12335, 'IMPORT VHC Report'!$E:$E, 'IMPORT VHC Report'!$A:$C), )</f>
        <v/>
      </c>
      <c r="C12335" s="44"/>
      <c r="D12335" s="44"/>
      <c r="E12335" s="46" t="s">
        <v>8353</v>
      </c>
      <c r="F12335" s="46" t="s">
        <v>3283</v>
      </c>
      <c r="G12335" s="46">
        <v>9.107749076367E12</v>
      </c>
      <c r="H12335" s="46" t="s">
        <v>3284</v>
      </c>
      <c r="I12335" s="46" t="s">
        <v>3285</v>
      </c>
      <c r="J12335" s="46" t="s">
        <v>132</v>
      </c>
      <c r="K12335" s="46" t="s">
        <v>126</v>
      </c>
      <c r="L12335" s="45">
        <v>46014.583333333336</v>
      </c>
      <c r="M12335" s="46" t="s">
        <v>123</v>
      </c>
      <c r="N12335" s="45">
        <v>46014.625</v>
      </c>
      <c r="O12335" s="46" t="s">
        <v>123</v>
      </c>
      <c r="P12335" s="46">
        <v>3600.0</v>
      </c>
    </row>
    <row r="12336">
      <c r="A12336" s="40">
        <f t="shared" si="1"/>
        <v>46013</v>
      </c>
      <c r="B12336" s="37" t="str">
        <f t="array" ref="B12336">iferror(xlookup($I12336, 'IMPORT VHC Report'!$E:$E, 'IMPORT VHC Report'!$A:$C), )</f>
        <v/>
      </c>
      <c r="C12336" s="44"/>
      <c r="D12336" s="44"/>
      <c r="E12336" s="46" t="s">
        <v>8354</v>
      </c>
      <c r="F12336" s="46" t="s">
        <v>3283</v>
      </c>
      <c r="G12336" s="46">
        <v>9.107749076367E12</v>
      </c>
      <c r="H12336" s="46" t="s">
        <v>3284</v>
      </c>
      <c r="I12336" s="46" t="s">
        <v>3285</v>
      </c>
      <c r="J12336" s="46" t="s">
        <v>368</v>
      </c>
      <c r="K12336" s="46" t="s">
        <v>63</v>
      </c>
      <c r="L12336" s="45">
        <v>46015.375</v>
      </c>
      <c r="M12336" s="46" t="s">
        <v>123</v>
      </c>
      <c r="N12336" s="45">
        <v>46015.5</v>
      </c>
      <c r="O12336" s="46" t="s">
        <v>123</v>
      </c>
      <c r="P12336" s="46">
        <v>10800.0</v>
      </c>
    </row>
    <row r="12337">
      <c r="A12337" s="40">
        <f t="shared" si="1"/>
        <v>46013</v>
      </c>
      <c r="B12337" s="37" t="str">
        <f t="array" ref="B12337">iferror(xlookup($I12337, 'IMPORT VHC Report'!$E:$E, 'IMPORT VHC Report'!$A:$C), )</f>
        <v/>
      </c>
      <c r="C12337" s="44"/>
      <c r="D12337" s="44"/>
      <c r="E12337" s="46" t="s">
        <v>8355</v>
      </c>
      <c r="F12337" s="46" t="s">
        <v>3283</v>
      </c>
      <c r="G12337" s="46">
        <v>9.107749076367E12</v>
      </c>
      <c r="H12337" s="46" t="s">
        <v>3284</v>
      </c>
      <c r="I12337" s="46" t="s">
        <v>3285</v>
      </c>
      <c r="J12337" s="46" t="s">
        <v>134</v>
      </c>
      <c r="K12337" s="46" t="s">
        <v>126</v>
      </c>
      <c r="L12337" s="45">
        <v>46015.5</v>
      </c>
      <c r="M12337" s="46" t="s">
        <v>123</v>
      </c>
      <c r="N12337" s="45">
        <v>46015.520833333336</v>
      </c>
      <c r="O12337" s="46" t="s">
        <v>123</v>
      </c>
      <c r="P12337" s="46">
        <v>1800.0</v>
      </c>
    </row>
    <row r="12338">
      <c r="A12338" s="40">
        <f t="shared" si="1"/>
        <v>46013</v>
      </c>
      <c r="B12338" s="37" t="str">
        <f t="array" ref="B12338">iferror(xlookup($I12338, 'IMPORT VHC Report'!$E:$E, 'IMPORT VHC Report'!$A:$C), )</f>
        <v/>
      </c>
      <c r="C12338" s="44"/>
      <c r="D12338" s="44"/>
      <c r="E12338" s="46" t="s">
        <v>8356</v>
      </c>
      <c r="F12338" s="46" t="s">
        <v>3283</v>
      </c>
      <c r="G12338" s="46">
        <v>9.107749076367E12</v>
      </c>
      <c r="H12338" s="46" t="s">
        <v>3284</v>
      </c>
      <c r="I12338" s="46" t="s">
        <v>3285</v>
      </c>
      <c r="J12338" s="46" t="s">
        <v>2268</v>
      </c>
      <c r="K12338" s="46" t="s">
        <v>63</v>
      </c>
      <c r="L12338" s="45">
        <v>46015.5</v>
      </c>
      <c r="M12338" s="46" t="s">
        <v>123</v>
      </c>
      <c r="N12338" s="45">
        <v>46015.75</v>
      </c>
      <c r="O12338" s="46" t="s">
        <v>123</v>
      </c>
      <c r="P12338" s="46">
        <v>21600.0</v>
      </c>
    </row>
    <row r="12339">
      <c r="A12339" s="40">
        <f t="shared" si="1"/>
        <v>46013</v>
      </c>
      <c r="B12339" s="37" t="str">
        <f t="array" ref="B12339">iferror(xlookup($I12339, 'IMPORT VHC Report'!$E:$E, 'IMPORT VHC Report'!$A:$C), )</f>
        <v/>
      </c>
      <c r="C12339" s="44"/>
      <c r="D12339" s="44"/>
      <c r="E12339" s="46" t="s">
        <v>8357</v>
      </c>
      <c r="F12339" s="46" t="s">
        <v>3283</v>
      </c>
      <c r="G12339" s="46">
        <v>9.107749076367E12</v>
      </c>
      <c r="H12339" s="46" t="s">
        <v>3284</v>
      </c>
      <c r="I12339" s="46" t="s">
        <v>3285</v>
      </c>
      <c r="J12339" s="46" t="s">
        <v>132</v>
      </c>
      <c r="K12339" s="46" t="s">
        <v>126</v>
      </c>
      <c r="L12339" s="45">
        <v>46015.635416666664</v>
      </c>
      <c r="M12339" s="46" t="s">
        <v>123</v>
      </c>
      <c r="N12339" s="45">
        <v>46015.677083333336</v>
      </c>
      <c r="O12339" s="46" t="s">
        <v>123</v>
      </c>
      <c r="P12339" s="46">
        <v>3600.0</v>
      </c>
    </row>
    <row r="12340">
      <c r="A12340" s="40">
        <f t="shared" si="1"/>
        <v>46013</v>
      </c>
      <c r="B12340" s="37" t="str">
        <f t="array" ref="B12340">iferror(xlookup($I12340, 'IMPORT VHC Report'!$E:$E, 'IMPORT VHC Report'!$A:$C), )</f>
        <v/>
      </c>
      <c r="C12340" s="44"/>
      <c r="D12340" s="44"/>
      <c r="E12340" s="46" t="s">
        <v>8358</v>
      </c>
      <c r="F12340" s="46" t="s">
        <v>3283</v>
      </c>
      <c r="G12340" s="46">
        <v>9.107749076367E12</v>
      </c>
      <c r="H12340" s="46" t="s">
        <v>3284</v>
      </c>
      <c r="I12340" s="46" t="s">
        <v>3285</v>
      </c>
      <c r="J12340" s="46" t="s">
        <v>2268</v>
      </c>
      <c r="K12340" s="46" t="s">
        <v>63</v>
      </c>
      <c r="L12340" s="45">
        <v>46016.375</v>
      </c>
      <c r="M12340" s="46" t="s">
        <v>123</v>
      </c>
      <c r="N12340" s="45">
        <v>46016.75</v>
      </c>
      <c r="O12340" s="46" t="s">
        <v>123</v>
      </c>
      <c r="P12340" s="46">
        <v>32400.0</v>
      </c>
    </row>
    <row r="12341">
      <c r="A12341" s="40">
        <f t="shared" si="1"/>
        <v>46013</v>
      </c>
      <c r="B12341" s="37" t="str">
        <f t="array" ref="B12341">iferror(xlookup($I12341, 'IMPORT VHC Report'!$E:$E, 'IMPORT VHC Report'!$A:$C), )</f>
        <v/>
      </c>
      <c r="C12341" s="44"/>
      <c r="D12341" s="44"/>
      <c r="E12341" s="46" t="s">
        <v>8359</v>
      </c>
      <c r="F12341" s="46" t="s">
        <v>3283</v>
      </c>
      <c r="G12341" s="46">
        <v>9.107749076367E12</v>
      </c>
      <c r="H12341" s="46" t="s">
        <v>3284</v>
      </c>
      <c r="I12341" s="46" t="s">
        <v>3285</v>
      </c>
      <c r="J12341" s="46" t="s">
        <v>134</v>
      </c>
      <c r="K12341" s="46" t="s">
        <v>126</v>
      </c>
      <c r="L12341" s="45">
        <v>46016.489583333336</v>
      </c>
      <c r="M12341" s="46" t="s">
        <v>123</v>
      </c>
      <c r="N12341" s="45">
        <v>46016.510416666664</v>
      </c>
      <c r="O12341" s="46" t="s">
        <v>123</v>
      </c>
      <c r="P12341" s="46">
        <v>1800.0</v>
      </c>
    </row>
    <row r="12342">
      <c r="A12342" s="40">
        <f t="shared" si="1"/>
        <v>46013</v>
      </c>
      <c r="B12342" s="37" t="str">
        <f t="array" ref="B12342">iferror(xlookup($I12342, 'IMPORT VHC Report'!$E:$E, 'IMPORT VHC Report'!$A:$C), )</f>
        <v/>
      </c>
      <c r="C12342" s="44"/>
      <c r="D12342" s="44"/>
      <c r="E12342" s="46" t="s">
        <v>8360</v>
      </c>
      <c r="F12342" s="46" t="s">
        <v>3283</v>
      </c>
      <c r="G12342" s="46">
        <v>9.107749076367E12</v>
      </c>
      <c r="H12342" s="46" t="s">
        <v>3284</v>
      </c>
      <c r="I12342" s="46" t="s">
        <v>3285</v>
      </c>
      <c r="J12342" s="46" t="s">
        <v>132</v>
      </c>
      <c r="K12342" s="46" t="s">
        <v>126</v>
      </c>
      <c r="L12342" s="45">
        <v>46016.65625</v>
      </c>
      <c r="M12342" s="46" t="s">
        <v>123</v>
      </c>
      <c r="N12342" s="45">
        <v>46016.697916666664</v>
      </c>
      <c r="O12342" s="46" t="s">
        <v>123</v>
      </c>
      <c r="P12342" s="46">
        <v>3600.0</v>
      </c>
    </row>
    <row r="12343">
      <c r="A12343" s="40">
        <f t="shared" si="1"/>
        <v>46013</v>
      </c>
      <c r="B12343" s="37" t="str">
        <f t="array" ref="B12343">iferror(xlookup($I12343, 'IMPORT VHC Report'!$E:$E, 'IMPORT VHC Report'!$A:$C), )</f>
        <v/>
      </c>
      <c r="C12343" s="44"/>
      <c r="D12343" s="44"/>
      <c r="E12343" s="46" t="s">
        <v>8361</v>
      </c>
      <c r="F12343" s="46" t="s">
        <v>3283</v>
      </c>
      <c r="G12343" s="46">
        <v>9.107749076367E12</v>
      </c>
      <c r="H12343" s="46" t="s">
        <v>3284</v>
      </c>
      <c r="I12343" s="46" t="s">
        <v>3285</v>
      </c>
      <c r="J12343" s="46" t="s">
        <v>152</v>
      </c>
      <c r="K12343" s="46" t="s">
        <v>153</v>
      </c>
      <c r="L12343" s="45">
        <v>46019.375</v>
      </c>
      <c r="M12343" s="46" t="s">
        <v>123</v>
      </c>
      <c r="N12343" s="45">
        <v>46019.75</v>
      </c>
      <c r="O12343" s="46" t="s">
        <v>123</v>
      </c>
      <c r="P12343" s="46">
        <v>32400.0</v>
      </c>
      <c r="Q12343" s="46">
        <v>32400.0</v>
      </c>
    </row>
    <row r="12344">
      <c r="A12344" s="40">
        <f t="shared" si="1"/>
        <v>46013</v>
      </c>
      <c r="B12344" s="37" t="str">
        <f t="array" ref="B12344">iferror(xlookup($I12344, 'IMPORT VHC Report'!$E:$E, 'IMPORT VHC Report'!$A:$C), )</f>
        <v/>
      </c>
      <c r="C12344" s="44"/>
      <c r="D12344" s="44"/>
      <c r="E12344" s="46" t="s">
        <v>8362</v>
      </c>
      <c r="F12344" s="46" t="s">
        <v>3283</v>
      </c>
      <c r="G12344" s="46">
        <v>9.107749076367E12</v>
      </c>
      <c r="H12344" s="46" t="s">
        <v>3284</v>
      </c>
      <c r="I12344" s="46" t="s">
        <v>3285</v>
      </c>
      <c r="J12344" s="46" t="s">
        <v>134</v>
      </c>
      <c r="K12344" s="46" t="s">
        <v>126</v>
      </c>
      <c r="L12344" s="45">
        <v>46019.552083333336</v>
      </c>
      <c r="M12344" s="46" t="s">
        <v>123</v>
      </c>
      <c r="N12344" s="45">
        <v>46019.572916666664</v>
      </c>
      <c r="O12344" s="46" t="s">
        <v>123</v>
      </c>
      <c r="P12344" s="46">
        <v>1800.0</v>
      </c>
    </row>
    <row r="12345">
      <c r="A12345" s="40">
        <f t="shared" si="1"/>
        <v>46013</v>
      </c>
      <c r="B12345" s="37" t="str">
        <f t="array" ref="B12345">iferror(xlookup($I12345, 'IMPORT VHC Report'!$E:$E, 'IMPORT VHC Report'!$A:$C), )</f>
        <v/>
      </c>
      <c r="C12345" s="44"/>
      <c r="D12345" s="44"/>
      <c r="E12345" s="46" t="s">
        <v>8363</v>
      </c>
      <c r="F12345" s="46" t="s">
        <v>3283</v>
      </c>
      <c r="G12345" s="46">
        <v>9.107749076367E12</v>
      </c>
      <c r="H12345" s="46" t="s">
        <v>3284</v>
      </c>
      <c r="I12345" s="46" t="s">
        <v>3285</v>
      </c>
      <c r="J12345" s="46" t="s">
        <v>132</v>
      </c>
      <c r="K12345" s="46" t="s">
        <v>126</v>
      </c>
      <c r="L12345" s="45">
        <v>46019.666666666664</v>
      </c>
      <c r="M12345" s="46" t="s">
        <v>123</v>
      </c>
      <c r="N12345" s="45">
        <v>46019.708333333336</v>
      </c>
      <c r="O12345" s="46" t="s">
        <v>123</v>
      </c>
      <c r="P12345" s="46">
        <v>3600.0</v>
      </c>
    </row>
    <row r="12346">
      <c r="A12346" s="40">
        <f t="shared" si="1"/>
        <v>46013</v>
      </c>
      <c r="B12346" s="37" t="str">
        <f t="array" ref="B12346">iferror(xlookup($I12346, 'IMPORT VHC Report'!$E:$E, 'IMPORT VHC Report'!$A:$C), )</f>
        <v/>
      </c>
      <c r="C12346" s="44"/>
      <c r="D12346" s="44"/>
      <c r="E12346" s="46" t="s">
        <v>8364</v>
      </c>
      <c r="F12346" s="46" t="s">
        <v>3643</v>
      </c>
      <c r="G12346" s="46">
        <v>3.61724668516E11</v>
      </c>
      <c r="H12346" s="46" t="s">
        <v>3644</v>
      </c>
      <c r="I12346" s="46" t="s">
        <v>3645</v>
      </c>
      <c r="J12346" s="46" t="s">
        <v>368</v>
      </c>
      <c r="K12346" s="46" t="s">
        <v>63</v>
      </c>
      <c r="L12346" s="45">
        <v>46013.416666666664</v>
      </c>
      <c r="M12346" s="46" t="s">
        <v>123</v>
      </c>
      <c r="N12346" s="45">
        <v>46013.791666666664</v>
      </c>
      <c r="O12346" s="46" t="s">
        <v>123</v>
      </c>
      <c r="P12346" s="46">
        <v>32400.0</v>
      </c>
    </row>
    <row r="12347">
      <c r="A12347" s="40">
        <f t="shared" si="1"/>
        <v>46013</v>
      </c>
      <c r="B12347" s="37" t="str">
        <f t="array" ref="B12347">iferror(xlookup($I12347, 'IMPORT VHC Report'!$E:$E, 'IMPORT VHC Report'!$A:$C), )</f>
        <v/>
      </c>
      <c r="C12347" s="44"/>
      <c r="D12347" s="44"/>
      <c r="E12347" s="46" t="s">
        <v>8365</v>
      </c>
      <c r="F12347" s="46" t="s">
        <v>3643</v>
      </c>
      <c r="G12347" s="46">
        <v>3.61724668516E11</v>
      </c>
      <c r="H12347" s="46" t="s">
        <v>3644</v>
      </c>
      <c r="I12347" s="46" t="s">
        <v>3645</v>
      </c>
      <c r="J12347" s="46" t="s">
        <v>134</v>
      </c>
      <c r="K12347" s="46" t="s">
        <v>126</v>
      </c>
      <c r="L12347" s="45">
        <v>46013.604166666664</v>
      </c>
      <c r="M12347" s="46" t="s">
        <v>123</v>
      </c>
      <c r="N12347" s="45">
        <v>46013.625</v>
      </c>
      <c r="O12347" s="46" t="s">
        <v>123</v>
      </c>
      <c r="P12347" s="46">
        <v>1800.0</v>
      </c>
    </row>
    <row r="12348">
      <c r="A12348" s="40">
        <f t="shared" si="1"/>
        <v>46013</v>
      </c>
      <c r="B12348" s="37" t="str">
        <f t="array" ref="B12348">iferror(xlookup($I12348, 'IMPORT VHC Report'!$E:$E, 'IMPORT VHC Report'!$A:$C), )</f>
        <v/>
      </c>
      <c r="C12348" s="44"/>
      <c r="D12348" s="44"/>
      <c r="E12348" s="46" t="s">
        <v>8366</v>
      </c>
      <c r="F12348" s="46" t="s">
        <v>3643</v>
      </c>
      <c r="G12348" s="46">
        <v>3.61724668516E11</v>
      </c>
      <c r="H12348" s="46" t="s">
        <v>3644</v>
      </c>
      <c r="I12348" s="46" t="s">
        <v>3645</v>
      </c>
      <c r="J12348" s="46" t="s">
        <v>132</v>
      </c>
      <c r="K12348" s="46" t="s">
        <v>126</v>
      </c>
      <c r="L12348" s="45">
        <v>46013.708333333336</v>
      </c>
      <c r="M12348" s="46" t="s">
        <v>123</v>
      </c>
      <c r="N12348" s="45">
        <v>46013.75</v>
      </c>
      <c r="O12348" s="46" t="s">
        <v>123</v>
      </c>
      <c r="P12348" s="46">
        <v>3600.0</v>
      </c>
    </row>
    <row r="12349">
      <c r="A12349" s="40">
        <f t="shared" si="1"/>
        <v>46013</v>
      </c>
      <c r="B12349" s="37" t="str">
        <f t="array" ref="B12349">iferror(xlookup($I12349, 'IMPORT VHC Report'!$E:$E, 'IMPORT VHC Report'!$A:$C), )</f>
        <v/>
      </c>
      <c r="C12349" s="44"/>
      <c r="D12349" s="44"/>
      <c r="E12349" s="46" t="s">
        <v>8367</v>
      </c>
      <c r="F12349" s="46" t="s">
        <v>3643</v>
      </c>
      <c r="G12349" s="46">
        <v>3.61724668516E11</v>
      </c>
      <c r="H12349" s="46" t="s">
        <v>3644</v>
      </c>
      <c r="I12349" s="46" t="s">
        <v>3645</v>
      </c>
      <c r="J12349" s="46" t="s">
        <v>368</v>
      </c>
      <c r="K12349" s="46" t="s">
        <v>63</v>
      </c>
      <c r="L12349" s="45">
        <v>46014.416666666664</v>
      </c>
      <c r="M12349" s="46" t="s">
        <v>123</v>
      </c>
      <c r="N12349" s="45">
        <v>46014.791666666664</v>
      </c>
      <c r="O12349" s="46" t="s">
        <v>123</v>
      </c>
      <c r="P12349" s="46">
        <v>32400.0</v>
      </c>
    </row>
    <row r="12350">
      <c r="A12350" s="40">
        <f t="shared" si="1"/>
        <v>46013</v>
      </c>
      <c r="B12350" s="37" t="str">
        <f t="array" ref="B12350">iferror(xlookup($I12350, 'IMPORT VHC Report'!$E:$E, 'IMPORT VHC Report'!$A:$C), )</f>
        <v/>
      </c>
      <c r="C12350" s="44"/>
      <c r="D12350" s="44"/>
      <c r="E12350" s="46" t="s">
        <v>8368</v>
      </c>
      <c r="F12350" s="46" t="s">
        <v>3643</v>
      </c>
      <c r="G12350" s="46">
        <v>3.61724668516E11</v>
      </c>
      <c r="H12350" s="46" t="s">
        <v>3644</v>
      </c>
      <c r="I12350" s="46" t="s">
        <v>3645</v>
      </c>
      <c r="J12350" s="46" t="s">
        <v>134</v>
      </c>
      <c r="K12350" s="46" t="s">
        <v>126</v>
      </c>
      <c r="L12350" s="45">
        <v>46014.510416666664</v>
      </c>
      <c r="M12350" s="46" t="s">
        <v>123</v>
      </c>
      <c r="N12350" s="45">
        <v>46014.53125</v>
      </c>
      <c r="O12350" s="46" t="s">
        <v>123</v>
      </c>
      <c r="P12350" s="46">
        <v>1800.0</v>
      </c>
    </row>
    <row r="12351">
      <c r="A12351" s="40">
        <f t="shared" si="1"/>
        <v>46013</v>
      </c>
      <c r="B12351" s="37" t="str">
        <f t="array" ref="B12351">iferror(xlookup($I12351, 'IMPORT VHC Report'!$E:$E, 'IMPORT VHC Report'!$A:$C), )</f>
        <v/>
      </c>
      <c r="C12351" s="44"/>
      <c r="D12351" s="44"/>
      <c r="E12351" s="46" t="s">
        <v>8369</v>
      </c>
      <c r="F12351" s="46" t="s">
        <v>3643</v>
      </c>
      <c r="G12351" s="46">
        <v>3.61724668516E11</v>
      </c>
      <c r="H12351" s="46" t="s">
        <v>3644</v>
      </c>
      <c r="I12351" s="46" t="s">
        <v>3645</v>
      </c>
      <c r="J12351" s="46" t="s">
        <v>132</v>
      </c>
      <c r="K12351" s="46" t="s">
        <v>126</v>
      </c>
      <c r="L12351" s="45">
        <v>46014.75</v>
      </c>
      <c r="M12351" s="46" t="s">
        <v>123</v>
      </c>
      <c r="N12351" s="45">
        <v>46014.791666666664</v>
      </c>
      <c r="O12351" s="46" t="s">
        <v>123</v>
      </c>
      <c r="P12351" s="46">
        <v>3600.0</v>
      </c>
    </row>
    <row r="12352">
      <c r="A12352" s="40">
        <f t="shared" si="1"/>
        <v>46013</v>
      </c>
      <c r="B12352" s="37" t="str">
        <f t="array" ref="B12352">iferror(xlookup($I12352, 'IMPORT VHC Report'!$E:$E, 'IMPORT VHC Report'!$A:$C), )</f>
        <v/>
      </c>
      <c r="C12352" s="44"/>
      <c r="D12352" s="44"/>
      <c r="E12352" s="46" t="s">
        <v>8370</v>
      </c>
      <c r="F12352" s="46" t="s">
        <v>3643</v>
      </c>
      <c r="G12352" s="46">
        <v>3.61724668516E11</v>
      </c>
      <c r="H12352" s="46" t="s">
        <v>3644</v>
      </c>
      <c r="I12352" s="46" t="s">
        <v>3645</v>
      </c>
      <c r="J12352" s="46" t="s">
        <v>368</v>
      </c>
      <c r="K12352" s="46" t="s">
        <v>63</v>
      </c>
      <c r="L12352" s="45">
        <v>46015.416666666664</v>
      </c>
      <c r="M12352" s="46" t="s">
        <v>123</v>
      </c>
      <c r="N12352" s="45">
        <v>46015.791666666664</v>
      </c>
      <c r="O12352" s="46" t="s">
        <v>123</v>
      </c>
      <c r="P12352" s="46">
        <v>32400.0</v>
      </c>
    </row>
    <row r="12353">
      <c r="A12353" s="40">
        <f t="shared" si="1"/>
        <v>46013</v>
      </c>
      <c r="B12353" s="37" t="str">
        <f t="array" ref="B12353">iferror(xlookup($I12353, 'IMPORT VHC Report'!$E:$E, 'IMPORT VHC Report'!$A:$C), )</f>
        <v/>
      </c>
      <c r="C12353" s="44"/>
      <c r="D12353" s="44"/>
      <c r="E12353" s="46" t="s">
        <v>8371</v>
      </c>
      <c r="F12353" s="46" t="s">
        <v>3643</v>
      </c>
      <c r="G12353" s="46">
        <v>3.61724668516E11</v>
      </c>
      <c r="H12353" s="46" t="s">
        <v>3644</v>
      </c>
      <c r="I12353" s="46" t="s">
        <v>3645</v>
      </c>
      <c r="J12353" s="46" t="s">
        <v>134</v>
      </c>
      <c r="K12353" s="46" t="s">
        <v>126</v>
      </c>
      <c r="L12353" s="45">
        <v>46015.520833333336</v>
      </c>
      <c r="M12353" s="46" t="s">
        <v>123</v>
      </c>
      <c r="N12353" s="45">
        <v>46015.541666666664</v>
      </c>
      <c r="O12353" s="46" t="s">
        <v>123</v>
      </c>
      <c r="P12353" s="46">
        <v>1800.0</v>
      </c>
    </row>
    <row r="12354">
      <c r="A12354" s="40">
        <f t="shared" si="1"/>
        <v>46013</v>
      </c>
      <c r="B12354" s="37" t="str">
        <f t="array" ref="B12354">iferror(xlookup($I12354, 'IMPORT VHC Report'!$E:$E, 'IMPORT VHC Report'!$A:$C), )</f>
        <v/>
      </c>
      <c r="C12354" s="44"/>
      <c r="D12354" s="44"/>
      <c r="E12354" s="46" t="s">
        <v>8372</v>
      </c>
      <c r="F12354" s="46" t="s">
        <v>3643</v>
      </c>
      <c r="G12354" s="46">
        <v>3.61724668516E11</v>
      </c>
      <c r="H12354" s="46" t="s">
        <v>3644</v>
      </c>
      <c r="I12354" s="46" t="s">
        <v>3645</v>
      </c>
      <c r="J12354" s="46" t="s">
        <v>132</v>
      </c>
      <c r="K12354" s="46" t="s">
        <v>126</v>
      </c>
      <c r="L12354" s="45">
        <v>46015.6875</v>
      </c>
      <c r="M12354" s="46" t="s">
        <v>123</v>
      </c>
      <c r="N12354" s="45">
        <v>46015.729166666664</v>
      </c>
      <c r="O12354" s="46" t="s">
        <v>123</v>
      </c>
      <c r="P12354" s="46">
        <v>3600.0</v>
      </c>
    </row>
    <row r="12355">
      <c r="A12355" s="40">
        <f t="shared" si="1"/>
        <v>46013</v>
      </c>
      <c r="B12355" s="37" t="str">
        <f t="array" ref="B12355">iferror(xlookup($I12355, 'IMPORT VHC Report'!$E:$E, 'IMPORT VHC Report'!$A:$C), )</f>
        <v/>
      </c>
      <c r="C12355" s="44"/>
      <c r="D12355" s="44"/>
      <c r="E12355" s="46" t="s">
        <v>8373</v>
      </c>
      <c r="F12355" s="46" t="s">
        <v>3643</v>
      </c>
      <c r="G12355" s="46">
        <v>3.61724668516E11</v>
      </c>
      <c r="H12355" s="46" t="s">
        <v>3644</v>
      </c>
      <c r="I12355" s="46" t="s">
        <v>3645</v>
      </c>
      <c r="J12355" s="46" t="s">
        <v>368</v>
      </c>
      <c r="K12355" s="46" t="s">
        <v>63</v>
      </c>
      <c r="L12355" s="45">
        <v>46016.416666666664</v>
      </c>
      <c r="M12355" s="46" t="s">
        <v>123</v>
      </c>
      <c r="N12355" s="45">
        <v>46016.791666666664</v>
      </c>
      <c r="O12355" s="46" t="s">
        <v>123</v>
      </c>
      <c r="P12355" s="46">
        <v>32400.0</v>
      </c>
    </row>
    <row r="12356">
      <c r="A12356" s="40">
        <f t="shared" si="1"/>
        <v>46013</v>
      </c>
      <c r="B12356" s="37" t="str">
        <f t="array" ref="B12356">iferror(xlookup($I12356, 'IMPORT VHC Report'!$E:$E, 'IMPORT VHC Report'!$A:$C), )</f>
        <v/>
      </c>
      <c r="C12356" s="44"/>
      <c r="D12356" s="44"/>
      <c r="E12356" s="46" t="s">
        <v>8374</v>
      </c>
      <c r="F12356" s="46" t="s">
        <v>3643</v>
      </c>
      <c r="G12356" s="46">
        <v>3.61724668516E11</v>
      </c>
      <c r="H12356" s="46" t="s">
        <v>3644</v>
      </c>
      <c r="I12356" s="46" t="s">
        <v>3645</v>
      </c>
      <c r="J12356" s="46" t="s">
        <v>134</v>
      </c>
      <c r="K12356" s="46" t="s">
        <v>126</v>
      </c>
      <c r="L12356" s="45">
        <v>46016.53125</v>
      </c>
      <c r="M12356" s="46" t="s">
        <v>123</v>
      </c>
      <c r="N12356" s="45">
        <v>46016.552083333336</v>
      </c>
      <c r="O12356" s="46" t="s">
        <v>123</v>
      </c>
      <c r="P12356" s="46">
        <v>1800.0</v>
      </c>
    </row>
    <row r="12357">
      <c r="A12357" s="40">
        <f t="shared" si="1"/>
        <v>46013</v>
      </c>
      <c r="B12357" s="37" t="str">
        <f t="array" ref="B12357">iferror(xlookup($I12357, 'IMPORT VHC Report'!$E:$E, 'IMPORT VHC Report'!$A:$C), )</f>
        <v/>
      </c>
      <c r="C12357" s="44"/>
      <c r="D12357" s="44"/>
      <c r="E12357" s="46" t="s">
        <v>8375</v>
      </c>
      <c r="F12357" s="46" t="s">
        <v>3643</v>
      </c>
      <c r="G12357" s="46">
        <v>3.61724668516E11</v>
      </c>
      <c r="H12357" s="46" t="s">
        <v>3644</v>
      </c>
      <c r="I12357" s="46" t="s">
        <v>3645</v>
      </c>
      <c r="J12357" s="46" t="s">
        <v>132</v>
      </c>
      <c r="K12357" s="46" t="s">
        <v>126</v>
      </c>
      <c r="L12357" s="45">
        <v>46016.635416666664</v>
      </c>
      <c r="M12357" s="46" t="s">
        <v>123</v>
      </c>
      <c r="N12357" s="45">
        <v>46016.677083333336</v>
      </c>
      <c r="O12357" s="46" t="s">
        <v>123</v>
      </c>
      <c r="P12357" s="46">
        <v>3600.0</v>
      </c>
    </row>
    <row r="12358">
      <c r="A12358" s="40">
        <f t="shared" si="1"/>
        <v>46013</v>
      </c>
      <c r="B12358" s="37" t="str">
        <f t="array" ref="B12358">iferror(xlookup($I12358, 'IMPORT VHC Report'!$E:$E, 'IMPORT VHC Report'!$A:$C), )</f>
        <v/>
      </c>
      <c r="C12358" s="44"/>
      <c r="D12358" s="44"/>
      <c r="E12358" s="46" t="s">
        <v>8376</v>
      </c>
      <c r="F12358" s="46" t="s">
        <v>3643</v>
      </c>
      <c r="G12358" s="46">
        <v>3.61724668516E11</v>
      </c>
      <c r="H12358" s="46" t="s">
        <v>3644</v>
      </c>
      <c r="I12358" s="46" t="s">
        <v>3645</v>
      </c>
      <c r="J12358" s="46" t="s">
        <v>368</v>
      </c>
      <c r="K12358" s="46" t="s">
        <v>63</v>
      </c>
      <c r="L12358" s="45">
        <v>46017.416666666664</v>
      </c>
      <c r="M12358" s="46" t="s">
        <v>123</v>
      </c>
      <c r="N12358" s="45">
        <v>46017.791666666664</v>
      </c>
      <c r="O12358" s="46" t="s">
        <v>123</v>
      </c>
      <c r="P12358" s="46">
        <v>32400.0</v>
      </c>
    </row>
    <row r="12359">
      <c r="A12359" s="40">
        <f t="shared" si="1"/>
        <v>46013</v>
      </c>
      <c r="B12359" s="37" t="str">
        <f t="array" ref="B12359">iferror(xlookup($I12359, 'IMPORT VHC Report'!$E:$E, 'IMPORT VHC Report'!$A:$C), )</f>
        <v/>
      </c>
      <c r="C12359" s="44"/>
      <c r="D12359" s="44"/>
      <c r="E12359" s="46" t="s">
        <v>8377</v>
      </c>
      <c r="F12359" s="46" t="s">
        <v>3643</v>
      </c>
      <c r="G12359" s="46">
        <v>3.61724668516E11</v>
      </c>
      <c r="H12359" s="46" t="s">
        <v>3644</v>
      </c>
      <c r="I12359" s="46" t="s">
        <v>3645</v>
      </c>
      <c r="J12359" s="46" t="s">
        <v>134</v>
      </c>
      <c r="K12359" s="46" t="s">
        <v>126</v>
      </c>
      <c r="L12359" s="45">
        <v>46017.541666666664</v>
      </c>
      <c r="M12359" s="46" t="s">
        <v>123</v>
      </c>
      <c r="N12359" s="45">
        <v>46017.5625</v>
      </c>
      <c r="O12359" s="46" t="s">
        <v>123</v>
      </c>
      <c r="P12359" s="46">
        <v>1800.0</v>
      </c>
    </row>
    <row r="12360">
      <c r="A12360" s="40">
        <f t="shared" si="1"/>
        <v>46013</v>
      </c>
      <c r="B12360" s="37" t="str">
        <f t="array" ref="B12360">iferror(xlookup($I12360, 'IMPORT VHC Report'!$E:$E, 'IMPORT VHC Report'!$A:$C), )</f>
        <v/>
      </c>
      <c r="C12360" s="44"/>
      <c r="D12360" s="44"/>
      <c r="E12360" s="46" t="s">
        <v>8378</v>
      </c>
      <c r="F12360" s="46" t="s">
        <v>3643</v>
      </c>
      <c r="G12360" s="46">
        <v>3.61724668516E11</v>
      </c>
      <c r="H12360" s="46" t="s">
        <v>3644</v>
      </c>
      <c r="I12360" s="46" t="s">
        <v>3645</v>
      </c>
      <c r="J12360" s="46" t="s">
        <v>132</v>
      </c>
      <c r="K12360" s="46" t="s">
        <v>126</v>
      </c>
      <c r="L12360" s="45">
        <v>46017.6875</v>
      </c>
      <c r="M12360" s="46" t="s">
        <v>123</v>
      </c>
      <c r="N12360" s="45">
        <v>46017.729166666664</v>
      </c>
      <c r="O12360" s="46" t="s">
        <v>123</v>
      </c>
      <c r="P12360" s="46">
        <v>3600.0</v>
      </c>
    </row>
    <row r="12361">
      <c r="A12361" s="40">
        <f t="shared" si="1"/>
        <v>46013</v>
      </c>
      <c r="B12361" s="37" t="str">
        <f t="array" ref="B12361">iferror(xlookup($I12361, 'IMPORT VHC Report'!$E:$E, 'IMPORT VHC Report'!$A:$C), )</f>
        <v/>
      </c>
      <c r="C12361" s="44"/>
      <c r="D12361" s="44"/>
      <c r="E12361" s="46" t="s">
        <v>8379</v>
      </c>
      <c r="F12361" s="46" t="s">
        <v>3882</v>
      </c>
      <c r="G12361" s="46">
        <v>6.182237177103E12</v>
      </c>
      <c r="H12361" s="46" t="s">
        <v>3883</v>
      </c>
      <c r="I12361" s="46" t="s">
        <v>3884</v>
      </c>
      <c r="J12361" s="46" t="s">
        <v>4</v>
      </c>
      <c r="K12361" s="46" t="s">
        <v>126</v>
      </c>
      <c r="L12361" s="45">
        <v>46013.458333333336</v>
      </c>
      <c r="M12361" s="46" t="s">
        <v>123</v>
      </c>
      <c r="N12361" s="45">
        <v>46013.46875</v>
      </c>
      <c r="O12361" s="46" t="s">
        <v>123</v>
      </c>
      <c r="P12361" s="46">
        <v>900.0</v>
      </c>
      <c r="S12361" s="46" t="s">
        <v>632</v>
      </c>
    </row>
    <row r="12362">
      <c r="A12362" s="40">
        <f t="shared" si="1"/>
        <v>46013</v>
      </c>
      <c r="B12362" s="37" t="str">
        <f t="array" ref="B12362">iferror(xlookup($I12362, 'IMPORT VHC Report'!$E:$E, 'IMPORT VHC Report'!$A:$C), )</f>
        <v/>
      </c>
      <c r="C12362" s="44"/>
      <c r="D12362" s="44"/>
      <c r="E12362" s="46" t="s">
        <v>8380</v>
      </c>
      <c r="F12362" s="46" t="s">
        <v>3882</v>
      </c>
      <c r="G12362" s="46">
        <v>6.182237177103E12</v>
      </c>
      <c r="H12362" s="46" t="s">
        <v>3883</v>
      </c>
      <c r="I12362" s="46" t="s">
        <v>3884</v>
      </c>
      <c r="J12362" s="46" t="s">
        <v>178</v>
      </c>
      <c r="K12362" s="46" t="s">
        <v>153</v>
      </c>
      <c r="L12362" s="45">
        <v>46013.458333333336</v>
      </c>
      <c r="M12362" s="46" t="s">
        <v>123</v>
      </c>
      <c r="N12362" s="45">
        <v>46013.833333333336</v>
      </c>
      <c r="O12362" s="46" t="s">
        <v>123</v>
      </c>
      <c r="P12362" s="46">
        <v>32400.0</v>
      </c>
      <c r="Q12362" s="46">
        <v>32400.0</v>
      </c>
    </row>
    <row r="12363">
      <c r="A12363" s="40">
        <f t="shared" si="1"/>
        <v>46013</v>
      </c>
      <c r="B12363" s="37" t="str">
        <f t="array" ref="B12363">iferror(xlookup($I12363, 'IMPORT VHC Report'!$E:$E, 'IMPORT VHC Report'!$A:$C), )</f>
        <v/>
      </c>
      <c r="C12363" s="44"/>
      <c r="D12363" s="44"/>
      <c r="E12363" s="46" t="s">
        <v>8381</v>
      </c>
      <c r="F12363" s="46" t="s">
        <v>3882</v>
      </c>
      <c r="G12363" s="46">
        <v>6.182237177103E12</v>
      </c>
      <c r="H12363" s="46" t="s">
        <v>3883</v>
      </c>
      <c r="I12363" s="46" t="s">
        <v>3884</v>
      </c>
      <c r="J12363" s="46" t="s">
        <v>368</v>
      </c>
      <c r="K12363" s="46" t="s">
        <v>63</v>
      </c>
      <c r="L12363" s="45">
        <v>46013.458333333336</v>
      </c>
      <c r="M12363" s="46" t="s">
        <v>123</v>
      </c>
      <c r="N12363" s="45">
        <v>46013.833333333336</v>
      </c>
      <c r="O12363" s="46" t="s">
        <v>123</v>
      </c>
      <c r="P12363" s="46">
        <v>32400.0</v>
      </c>
    </row>
    <row r="12364">
      <c r="A12364" s="40">
        <f t="shared" si="1"/>
        <v>46013</v>
      </c>
      <c r="B12364" s="37" t="str">
        <f t="array" ref="B12364">iferror(xlookup($I12364, 'IMPORT VHC Report'!$E:$E, 'IMPORT VHC Report'!$A:$C), )</f>
        <v/>
      </c>
      <c r="C12364" s="44"/>
      <c r="D12364" s="44"/>
      <c r="E12364" s="46" t="s">
        <v>8382</v>
      </c>
      <c r="F12364" s="46" t="s">
        <v>3882</v>
      </c>
      <c r="G12364" s="46">
        <v>6.182237177103E12</v>
      </c>
      <c r="H12364" s="46" t="s">
        <v>3883</v>
      </c>
      <c r="I12364" s="46" t="s">
        <v>3884</v>
      </c>
      <c r="J12364" s="46" t="s">
        <v>134</v>
      </c>
      <c r="K12364" s="46" t="s">
        <v>126</v>
      </c>
      <c r="L12364" s="45">
        <v>46013.510416666664</v>
      </c>
      <c r="M12364" s="46" t="s">
        <v>123</v>
      </c>
      <c r="N12364" s="45">
        <v>46013.53125</v>
      </c>
      <c r="O12364" s="46" t="s">
        <v>123</v>
      </c>
      <c r="P12364" s="46">
        <v>1800.0</v>
      </c>
    </row>
    <row r="12365">
      <c r="A12365" s="40">
        <f t="shared" si="1"/>
        <v>46013</v>
      </c>
      <c r="B12365" s="37" t="str">
        <f t="array" ref="B12365">iferror(xlookup($I12365, 'IMPORT VHC Report'!$E:$E, 'IMPORT VHC Report'!$A:$C), )</f>
        <v/>
      </c>
      <c r="C12365" s="44"/>
      <c r="D12365" s="44"/>
      <c r="E12365" s="46" t="s">
        <v>8383</v>
      </c>
      <c r="F12365" s="46" t="s">
        <v>3882</v>
      </c>
      <c r="G12365" s="46">
        <v>6.182237177103E12</v>
      </c>
      <c r="H12365" s="46" t="s">
        <v>3883</v>
      </c>
      <c r="I12365" s="46" t="s">
        <v>3884</v>
      </c>
      <c r="J12365" s="46" t="s">
        <v>132</v>
      </c>
      <c r="K12365" s="46" t="s">
        <v>126</v>
      </c>
      <c r="L12365" s="45">
        <v>46013.583333333336</v>
      </c>
      <c r="M12365" s="46" t="s">
        <v>123</v>
      </c>
      <c r="N12365" s="45">
        <v>46013.625</v>
      </c>
      <c r="O12365" s="46" t="s">
        <v>123</v>
      </c>
      <c r="P12365" s="46">
        <v>3600.0</v>
      </c>
    </row>
    <row r="12366">
      <c r="A12366" s="40">
        <f t="shared" si="1"/>
        <v>46013</v>
      </c>
      <c r="B12366" s="37" t="str">
        <f t="array" ref="B12366">iferror(xlookup($I12366, 'IMPORT VHC Report'!$E:$E, 'IMPORT VHC Report'!$A:$C), )</f>
        <v/>
      </c>
      <c r="C12366" s="44"/>
      <c r="D12366" s="44"/>
      <c r="E12366" s="46" t="s">
        <v>8384</v>
      </c>
      <c r="F12366" s="46" t="s">
        <v>3882</v>
      </c>
      <c r="G12366" s="46">
        <v>6.182237177103E12</v>
      </c>
      <c r="H12366" s="46" t="s">
        <v>3883</v>
      </c>
      <c r="I12366" s="46" t="s">
        <v>3884</v>
      </c>
      <c r="J12366" s="46" t="s">
        <v>134</v>
      </c>
      <c r="K12366" s="46" t="s">
        <v>126</v>
      </c>
      <c r="L12366" s="45">
        <v>46013.805555555555</v>
      </c>
      <c r="M12366" s="46" t="s">
        <v>123</v>
      </c>
      <c r="N12366" s="45">
        <v>46013.833333333336</v>
      </c>
      <c r="O12366" s="46" t="s">
        <v>123</v>
      </c>
      <c r="P12366" s="46">
        <v>2400.0</v>
      </c>
      <c r="S12366" s="46" t="s">
        <v>2274</v>
      </c>
    </row>
    <row r="12367">
      <c r="A12367" s="40">
        <f t="shared" si="1"/>
        <v>46013</v>
      </c>
      <c r="B12367" s="37" t="str">
        <f t="array" ref="B12367">iferror(xlookup($I12367, 'IMPORT VHC Report'!$E:$E, 'IMPORT VHC Report'!$A:$C), )</f>
        <v/>
      </c>
      <c r="C12367" s="44"/>
      <c r="D12367" s="44"/>
      <c r="E12367" s="46" t="s">
        <v>8385</v>
      </c>
      <c r="F12367" s="46" t="s">
        <v>3882</v>
      </c>
      <c r="G12367" s="46">
        <v>6.182237177103E12</v>
      </c>
      <c r="H12367" s="46" t="s">
        <v>3883</v>
      </c>
      <c r="I12367" s="46" t="s">
        <v>3884</v>
      </c>
      <c r="J12367" s="46" t="s">
        <v>178</v>
      </c>
      <c r="K12367" s="46" t="s">
        <v>153</v>
      </c>
      <c r="L12367" s="45">
        <v>46014.458333333336</v>
      </c>
      <c r="M12367" s="46" t="s">
        <v>123</v>
      </c>
      <c r="N12367" s="45">
        <v>46014.833333333336</v>
      </c>
      <c r="O12367" s="46" t="s">
        <v>123</v>
      </c>
      <c r="P12367" s="46">
        <v>32400.0</v>
      </c>
      <c r="Q12367" s="46">
        <v>32400.0</v>
      </c>
      <c r="R12367" s="46" t="s">
        <v>421</v>
      </c>
      <c r="S12367" s="46" t="s">
        <v>421</v>
      </c>
    </row>
    <row r="12368">
      <c r="A12368" s="40">
        <f t="shared" si="1"/>
        <v>46013</v>
      </c>
      <c r="B12368" s="37" t="str">
        <f t="array" ref="B12368">iferror(xlookup($I12368, 'IMPORT VHC Report'!$E:$E, 'IMPORT VHC Report'!$A:$C), )</f>
        <v/>
      </c>
      <c r="C12368" s="44"/>
      <c r="D12368" s="44"/>
      <c r="E12368" s="46" t="s">
        <v>8386</v>
      </c>
      <c r="F12368" s="46" t="s">
        <v>3882</v>
      </c>
      <c r="G12368" s="46">
        <v>6.182237177103E12</v>
      </c>
      <c r="H12368" s="46" t="s">
        <v>3883</v>
      </c>
      <c r="I12368" s="46" t="s">
        <v>3884</v>
      </c>
      <c r="J12368" s="46" t="s">
        <v>368</v>
      </c>
      <c r="K12368" s="46" t="s">
        <v>63</v>
      </c>
      <c r="L12368" s="45">
        <v>46014.458333333336</v>
      </c>
      <c r="M12368" s="46" t="s">
        <v>123</v>
      </c>
      <c r="N12368" s="45">
        <v>46014.833333333336</v>
      </c>
      <c r="O12368" s="46" t="s">
        <v>123</v>
      </c>
      <c r="P12368" s="46">
        <v>32400.0</v>
      </c>
    </row>
    <row r="12369">
      <c r="A12369" s="40">
        <f t="shared" si="1"/>
        <v>46013</v>
      </c>
      <c r="B12369" s="37" t="str">
        <f t="array" ref="B12369">iferror(xlookup($I12369, 'IMPORT VHC Report'!$E:$E, 'IMPORT VHC Report'!$A:$C), )</f>
        <v/>
      </c>
      <c r="C12369" s="44"/>
      <c r="D12369" s="44"/>
      <c r="E12369" s="46" t="s">
        <v>8387</v>
      </c>
      <c r="F12369" s="46" t="s">
        <v>3882</v>
      </c>
      <c r="G12369" s="46">
        <v>6.182237177103E12</v>
      </c>
      <c r="H12369" s="46" t="s">
        <v>3883</v>
      </c>
      <c r="I12369" s="46" t="s">
        <v>3884</v>
      </c>
      <c r="J12369" s="46" t="s">
        <v>134</v>
      </c>
      <c r="K12369" s="46" t="s">
        <v>126</v>
      </c>
      <c r="L12369" s="45">
        <v>46014.604166666664</v>
      </c>
      <c r="M12369" s="46" t="s">
        <v>123</v>
      </c>
      <c r="N12369" s="45">
        <v>46014.625</v>
      </c>
      <c r="O12369" s="46" t="s">
        <v>123</v>
      </c>
      <c r="P12369" s="46">
        <v>1800.0</v>
      </c>
    </row>
    <row r="12370">
      <c r="A12370" s="40">
        <f t="shared" si="1"/>
        <v>46013</v>
      </c>
      <c r="B12370" s="37" t="str">
        <f t="array" ref="B12370">iferror(xlookup($I12370, 'IMPORT VHC Report'!$E:$E, 'IMPORT VHC Report'!$A:$C), )</f>
        <v/>
      </c>
      <c r="C12370" s="44"/>
      <c r="D12370" s="44"/>
      <c r="E12370" s="46" t="s">
        <v>8388</v>
      </c>
      <c r="F12370" s="46" t="s">
        <v>3882</v>
      </c>
      <c r="G12370" s="46">
        <v>6.182237177103E12</v>
      </c>
      <c r="H12370" s="46" t="s">
        <v>3883</v>
      </c>
      <c r="I12370" s="46" t="s">
        <v>3884</v>
      </c>
      <c r="J12370" s="46" t="s">
        <v>134</v>
      </c>
      <c r="K12370" s="46" t="s">
        <v>126</v>
      </c>
      <c r="L12370" s="45">
        <v>46014.805555555555</v>
      </c>
      <c r="M12370" s="46" t="s">
        <v>123</v>
      </c>
      <c r="N12370" s="45">
        <v>46014.833333333336</v>
      </c>
      <c r="O12370" s="46" t="s">
        <v>123</v>
      </c>
      <c r="P12370" s="46">
        <v>2400.0</v>
      </c>
      <c r="S12370" s="46" t="s">
        <v>2274</v>
      </c>
    </row>
    <row r="12371">
      <c r="A12371" s="40">
        <f t="shared" si="1"/>
        <v>46013</v>
      </c>
      <c r="B12371" s="37" t="str">
        <f t="array" ref="B12371">iferror(xlookup($I12371, 'IMPORT VHC Report'!$E:$E, 'IMPORT VHC Report'!$A:$C), )</f>
        <v/>
      </c>
      <c r="C12371" s="44"/>
      <c r="D12371" s="44"/>
      <c r="E12371" s="46" t="s">
        <v>8389</v>
      </c>
      <c r="F12371" s="46" t="s">
        <v>3882</v>
      </c>
      <c r="G12371" s="46">
        <v>6.182237177103E12</v>
      </c>
      <c r="H12371" s="46" t="s">
        <v>3883</v>
      </c>
      <c r="I12371" s="46" t="s">
        <v>3884</v>
      </c>
      <c r="J12371" s="46" t="s">
        <v>178</v>
      </c>
      <c r="K12371" s="46" t="s">
        <v>153</v>
      </c>
      <c r="L12371" s="45">
        <v>46015.458333333336</v>
      </c>
      <c r="M12371" s="46" t="s">
        <v>123</v>
      </c>
      <c r="N12371" s="45">
        <v>46015.833333333336</v>
      </c>
      <c r="O12371" s="46" t="s">
        <v>123</v>
      </c>
      <c r="P12371" s="46">
        <v>32400.0</v>
      </c>
      <c r="Q12371" s="46">
        <v>32400.0</v>
      </c>
    </row>
    <row r="12372">
      <c r="A12372" s="40">
        <f t="shared" si="1"/>
        <v>46013</v>
      </c>
      <c r="B12372" s="37" t="str">
        <f t="array" ref="B12372">iferror(xlookup($I12372, 'IMPORT VHC Report'!$E:$E, 'IMPORT VHC Report'!$A:$C), )</f>
        <v/>
      </c>
      <c r="C12372" s="44"/>
      <c r="D12372" s="44"/>
      <c r="E12372" s="46" t="s">
        <v>8390</v>
      </c>
      <c r="F12372" s="46" t="s">
        <v>3882</v>
      </c>
      <c r="G12372" s="46">
        <v>6.182237177103E12</v>
      </c>
      <c r="H12372" s="46" t="s">
        <v>3883</v>
      </c>
      <c r="I12372" s="46" t="s">
        <v>3884</v>
      </c>
      <c r="J12372" s="46" t="s">
        <v>368</v>
      </c>
      <c r="K12372" s="46" t="s">
        <v>63</v>
      </c>
      <c r="L12372" s="45">
        <v>46015.458333333336</v>
      </c>
      <c r="M12372" s="46" t="s">
        <v>123</v>
      </c>
      <c r="N12372" s="45">
        <v>46015.833333333336</v>
      </c>
      <c r="O12372" s="46" t="s">
        <v>123</v>
      </c>
      <c r="P12372" s="46">
        <v>32400.0</v>
      </c>
    </row>
    <row r="12373">
      <c r="A12373" s="40">
        <f t="shared" si="1"/>
        <v>46013</v>
      </c>
      <c r="B12373" s="37" t="str">
        <f t="array" ref="B12373">iferror(xlookup($I12373, 'IMPORT VHC Report'!$E:$E, 'IMPORT VHC Report'!$A:$C), )</f>
        <v/>
      </c>
      <c r="C12373" s="44"/>
      <c r="D12373" s="44"/>
      <c r="E12373" s="46" t="s">
        <v>8391</v>
      </c>
      <c r="F12373" s="46" t="s">
        <v>3882</v>
      </c>
      <c r="G12373" s="46">
        <v>6.182237177103E12</v>
      </c>
      <c r="H12373" s="46" t="s">
        <v>3883</v>
      </c>
      <c r="I12373" s="46" t="s">
        <v>3884</v>
      </c>
      <c r="J12373" s="46" t="s">
        <v>134</v>
      </c>
      <c r="K12373" s="46" t="s">
        <v>126</v>
      </c>
      <c r="L12373" s="45">
        <v>46015.604166666664</v>
      </c>
      <c r="M12373" s="46" t="s">
        <v>123</v>
      </c>
      <c r="N12373" s="45">
        <v>46015.625</v>
      </c>
      <c r="O12373" s="46" t="s">
        <v>123</v>
      </c>
      <c r="P12373" s="46">
        <v>1800.0</v>
      </c>
    </row>
    <row r="12374">
      <c r="A12374" s="40">
        <f t="shared" si="1"/>
        <v>46013</v>
      </c>
      <c r="B12374" s="37" t="str">
        <f t="array" ref="B12374">iferror(xlookup($I12374, 'IMPORT VHC Report'!$E:$E, 'IMPORT VHC Report'!$A:$C), )</f>
        <v/>
      </c>
      <c r="C12374" s="44"/>
      <c r="D12374" s="44"/>
      <c r="E12374" s="46" t="s">
        <v>8392</v>
      </c>
      <c r="F12374" s="46" t="s">
        <v>3882</v>
      </c>
      <c r="G12374" s="46">
        <v>6.182237177103E12</v>
      </c>
      <c r="H12374" s="46" t="s">
        <v>3883</v>
      </c>
      <c r="I12374" s="46" t="s">
        <v>3884</v>
      </c>
      <c r="J12374" s="46" t="s">
        <v>132</v>
      </c>
      <c r="K12374" s="46" t="s">
        <v>126</v>
      </c>
      <c r="L12374" s="45">
        <v>46015.708333333336</v>
      </c>
      <c r="M12374" s="46" t="s">
        <v>123</v>
      </c>
      <c r="N12374" s="45">
        <v>46015.75</v>
      </c>
      <c r="O12374" s="46" t="s">
        <v>123</v>
      </c>
      <c r="P12374" s="46">
        <v>3600.0</v>
      </c>
    </row>
    <row r="12375">
      <c r="A12375" s="40">
        <f t="shared" si="1"/>
        <v>46013</v>
      </c>
      <c r="B12375" s="37" t="str">
        <f t="array" ref="B12375">iferror(xlookup($I12375, 'IMPORT VHC Report'!$E:$E, 'IMPORT VHC Report'!$A:$C), )</f>
        <v/>
      </c>
      <c r="C12375" s="44"/>
      <c r="D12375" s="44"/>
      <c r="E12375" s="46" t="s">
        <v>8393</v>
      </c>
      <c r="F12375" s="46" t="s">
        <v>3882</v>
      </c>
      <c r="G12375" s="46">
        <v>6.182237177103E12</v>
      </c>
      <c r="H12375" s="46" t="s">
        <v>3883</v>
      </c>
      <c r="I12375" s="46" t="s">
        <v>3884</v>
      </c>
      <c r="J12375" s="46" t="s">
        <v>134</v>
      </c>
      <c r="K12375" s="46" t="s">
        <v>126</v>
      </c>
      <c r="L12375" s="45">
        <v>46015.805555555555</v>
      </c>
      <c r="M12375" s="46" t="s">
        <v>123</v>
      </c>
      <c r="N12375" s="45">
        <v>46015.833333333336</v>
      </c>
      <c r="O12375" s="46" t="s">
        <v>123</v>
      </c>
      <c r="P12375" s="46">
        <v>2400.0</v>
      </c>
      <c r="S12375" s="46" t="s">
        <v>2274</v>
      </c>
    </row>
    <row r="12376">
      <c r="A12376" s="40">
        <f t="shared" si="1"/>
        <v>46013</v>
      </c>
      <c r="B12376" s="37" t="str">
        <f t="array" ref="B12376">iferror(xlookup($I12376, 'IMPORT VHC Report'!$E:$E, 'IMPORT VHC Report'!$A:$C), )</f>
        <v/>
      </c>
      <c r="C12376" s="44"/>
      <c r="D12376" s="44"/>
      <c r="E12376" s="46" t="s">
        <v>8394</v>
      </c>
      <c r="F12376" s="46" t="s">
        <v>3882</v>
      </c>
      <c r="G12376" s="46">
        <v>6.182237177103E12</v>
      </c>
      <c r="H12376" s="46" t="s">
        <v>3883</v>
      </c>
      <c r="I12376" s="46" t="s">
        <v>3884</v>
      </c>
      <c r="J12376" s="46" t="s">
        <v>368</v>
      </c>
      <c r="K12376" s="46" t="s">
        <v>63</v>
      </c>
      <c r="L12376" s="45">
        <v>46016.458333333336</v>
      </c>
      <c r="M12376" s="46" t="s">
        <v>123</v>
      </c>
      <c r="N12376" s="45">
        <v>46016.833333333336</v>
      </c>
      <c r="O12376" s="46" t="s">
        <v>123</v>
      </c>
      <c r="P12376" s="46">
        <v>32400.0</v>
      </c>
    </row>
    <row r="12377">
      <c r="A12377" s="40">
        <f t="shared" si="1"/>
        <v>46013</v>
      </c>
      <c r="B12377" s="37" t="str">
        <f t="array" ref="B12377">iferror(xlookup($I12377, 'IMPORT VHC Report'!$E:$E, 'IMPORT VHC Report'!$A:$C), )</f>
        <v/>
      </c>
      <c r="C12377" s="44"/>
      <c r="D12377" s="44"/>
      <c r="E12377" s="46" t="s">
        <v>8395</v>
      </c>
      <c r="F12377" s="46" t="s">
        <v>3882</v>
      </c>
      <c r="G12377" s="46">
        <v>6.182237177103E12</v>
      </c>
      <c r="H12377" s="46" t="s">
        <v>3883</v>
      </c>
      <c r="I12377" s="46" t="s">
        <v>3884</v>
      </c>
      <c r="J12377" s="46" t="s">
        <v>134</v>
      </c>
      <c r="K12377" s="46" t="s">
        <v>126</v>
      </c>
      <c r="L12377" s="45">
        <v>46016.604166666664</v>
      </c>
      <c r="M12377" s="46" t="s">
        <v>123</v>
      </c>
      <c r="N12377" s="45">
        <v>46016.625</v>
      </c>
      <c r="O12377" s="46" t="s">
        <v>123</v>
      </c>
      <c r="P12377" s="46">
        <v>1800.0</v>
      </c>
    </row>
    <row r="12378">
      <c r="A12378" s="40">
        <f t="shared" si="1"/>
        <v>46013</v>
      </c>
      <c r="B12378" s="37" t="str">
        <f t="array" ref="B12378">iferror(xlookup($I12378, 'IMPORT VHC Report'!$E:$E, 'IMPORT VHC Report'!$A:$C), )</f>
        <v/>
      </c>
      <c r="C12378" s="44"/>
      <c r="D12378" s="44"/>
      <c r="E12378" s="46" t="s">
        <v>8396</v>
      </c>
      <c r="F12378" s="46" t="s">
        <v>3882</v>
      </c>
      <c r="G12378" s="46">
        <v>6.182237177103E12</v>
      </c>
      <c r="H12378" s="46" t="s">
        <v>3883</v>
      </c>
      <c r="I12378" s="46" t="s">
        <v>3884</v>
      </c>
      <c r="J12378" s="46" t="s">
        <v>132</v>
      </c>
      <c r="K12378" s="46" t="s">
        <v>126</v>
      </c>
      <c r="L12378" s="45">
        <v>46016.708333333336</v>
      </c>
      <c r="M12378" s="46" t="s">
        <v>123</v>
      </c>
      <c r="N12378" s="45">
        <v>46016.75</v>
      </c>
      <c r="O12378" s="46" t="s">
        <v>123</v>
      </c>
      <c r="P12378" s="46">
        <v>3600.0</v>
      </c>
    </row>
    <row r="12379">
      <c r="A12379" s="40">
        <f t="shared" si="1"/>
        <v>46013</v>
      </c>
      <c r="B12379" s="37" t="str">
        <f t="array" ref="B12379">iferror(xlookup($I12379, 'IMPORT VHC Report'!$E:$E, 'IMPORT VHC Report'!$A:$C), )</f>
        <v/>
      </c>
      <c r="C12379" s="44"/>
      <c r="D12379" s="44"/>
      <c r="E12379" s="46" t="s">
        <v>8397</v>
      </c>
      <c r="F12379" s="46" t="s">
        <v>3882</v>
      </c>
      <c r="G12379" s="46">
        <v>6.182237177103E12</v>
      </c>
      <c r="H12379" s="46" t="s">
        <v>3883</v>
      </c>
      <c r="I12379" s="46" t="s">
        <v>3884</v>
      </c>
      <c r="J12379" s="46" t="s">
        <v>134</v>
      </c>
      <c r="K12379" s="46" t="s">
        <v>126</v>
      </c>
      <c r="L12379" s="45">
        <v>46016.805555555555</v>
      </c>
      <c r="M12379" s="46" t="s">
        <v>123</v>
      </c>
      <c r="N12379" s="45">
        <v>46016.833333333336</v>
      </c>
      <c r="O12379" s="46" t="s">
        <v>123</v>
      </c>
      <c r="P12379" s="46">
        <v>2400.0</v>
      </c>
      <c r="S12379" s="46" t="s">
        <v>2274</v>
      </c>
    </row>
    <row r="12380">
      <c r="A12380" s="40">
        <f t="shared" si="1"/>
        <v>46013</v>
      </c>
      <c r="B12380" s="37" t="str">
        <f t="array" ref="B12380">iferror(xlookup($I12380, 'IMPORT VHC Report'!$E:$E, 'IMPORT VHC Report'!$A:$C), )</f>
        <v/>
      </c>
      <c r="C12380" s="44"/>
      <c r="D12380" s="44"/>
      <c r="E12380" s="46" t="s">
        <v>8398</v>
      </c>
      <c r="F12380" s="46" t="s">
        <v>3882</v>
      </c>
      <c r="G12380" s="46">
        <v>6.182237177103E12</v>
      </c>
      <c r="H12380" s="46" t="s">
        <v>3883</v>
      </c>
      <c r="I12380" s="46" t="s">
        <v>3884</v>
      </c>
      <c r="J12380" s="46" t="s">
        <v>178</v>
      </c>
      <c r="K12380" s="46" t="s">
        <v>153</v>
      </c>
      <c r="L12380" s="45">
        <v>46017.458333333336</v>
      </c>
      <c r="M12380" s="46" t="s">
        <v>123</v>
      </c>
      <c r="N12380" s="45">
        <v>46017.833333333336</v>
      </c>
      <c r="O12380" s="46" t="s">
        <v>123</v>
      </c>
      <c r="P12380" s="46">
        <v>32400.0</v>
      </c>
      <c r="Q12380" s="46">
        <v>32400.0</v>
      </c>
    </row>
    <row r="12381">
      <c r="A12381" s="40">
        <f t="shared" si="1"/>
        <v>46013</v>
      </c>
      <c r="B12381" s="37" t="str">
        <f t="array" ref="B12381">iferror(xlookup($I12381, 'IMPORT VHC Report'!$E:$E, 'IMPORT VHC Report'!$A:$C), )</f>
        <v/>
      </c>
      <c r="C12381" s="44"/>
      <c r="D12381" s="44"/>
      <c r="E12381" s="46" t="s">
        <v>8399</v>
      </c>
      <c r="F12381" s="46" t="s">
        <v>3882</v>
      </c>
      <c r="G12381" s="46">
        <v>6.182237177103E12</v>
      </c>
      <c r="H12381" s="46" t="s">
        <v>3883</v>
      </c>
      <c r="I12381" s="46" t="s">
        <v>3884</v>
      </c>
      <c r="J12381" s="46" t="s">
        <v>368</v>
      </c>
      <c r="K12381" s="46" t="s">
        <v>63</v>
      </c>
      <c r="L12381" s="45">
        <v>46017.458333333336</v>
      </c>
      <c r="M12381" s="46" t="s">
        <v>123</v>
      </c>
      <c r="N12381" s="45">
        <v>46017.833333333336</v>
      </c>
      <c r="O12381" s="46" t="s">
        <v>123</v>
      </c>
      <c r="P12381" s="46">
        <v>32400.0</v>
      </c>
    </row>
    <row r="12382">
      <c r="A12382" s="40">
        <f t="shared" si="1"/>
        <v>46013</v>
      </c>
      <c r="B12382" s="37" t="str">
        <f t="array" ref="B12382">iferror(xlookup($I12382, 'IMPORT VHC Report'!$E:$E, 'IMPORT VHC Report'!$A:$C), )</f>
        <v/>
      </c>
      <c r="C12382" s="44"/>
      <c r="D12382" s="44"/>
      <c r="E12382" s="46" t="s">
        <v>8400</v>
      </c>
      <c r="F12382" s="46" t="s">
        <v>3882</v>
      </c>
      <c r="G12382" s="46">
        <v>6.182237177103E12</v>
      </c>
      <c r="H12382" s="46" t="s">
        <v>3883</v>
      </c>
      <c r="I12382" s="46" t="s">
        <v>3884</v>
      </c>
      <c r="J12382" s="46" t="s">
        <v>134</v>
      </c>
      <c r="K12382" s="46" t="s">
        <v>126</v>
      </c>
      <c r="L12382" s="45">
        <v>46017.604166666664</v>
      </c>
      <c r="M12382" s="46" t="s">
        <v>123</v>
      </c>
      <c r="N12382" s="45">
        <v>46017.625</v>
      </c>
      <c r="O12382" s="46" t="s">
        <v>123</v>
      </c>
      <c r="P12382" s="46">
        <v>1800.0</v>
      </c>
    </row>
    <row r="12383">
      <c r="A12383" s="40">
        <f t="shared" si="1"/>
        <v>46013</v>
      </c>
      <c r="B12383" s="37" t="str">
        <f t="array" ref="B12383">iferror(xlookup($I12383, 'IMPORT VHC Report'!$E:$E, 'IMPORT VHC Report'!$A:$C), )</f>
        <v/>
      </c>
      <c r="C12383" s="44"/>
      <c r="D12383" s="44"/>
      <c r="E12383" s="46" t="s">
        <v>8401</v>
      </c>
      <c r="F12383" s="46" t="s">
        <v>3882</v>
      </c>
      <c r="G12383" s="46">
        <v>6.182237177103E12</v>
      </c>
      <c r="H12383" s="46" t="s">
        <v>3883</v>
      </c>
      <c r="I12383" s="46" t="s">
        <v>3884</v>
      </c>
      <c r="J12383" s="46" t="s">
        <v>132</v>
      </c>
      <c r="K12383" s="46" t="s">
        <v>126</v>
      </c>
      <c r="L12383" s="45">
        <v>46017.708333333336</v>
      </c>
      <c r="M12383" s="46" t="s">
        <v>123</v>
      </c>
      <c r="N12383" s="45">
        <v>46017.75</v>
      </c>
      <c r="O12383" s="46" t="s">
        <v>123</v>
      </c>
      <c r="P12383" s="46">
        <v>3600.0</v>
      </c>
    </row>
    <row r="12384">
      <c r="A12384" s="40">
        <f t="shared" si="1"/>
        <v>46013</v>
      </c>
      <c r="B12384" s="37" t="str">
        <f t="array" ref="B12384">iferror(xlookup($I12384, 'IMPORT VHC Report'!$E:$E, 'IMPORT VHC Report'!$A:$C), )</f>
        <v/>
      </c>
      <c r="C12384" s="44"/>
      <c r="D12384" s="44"/>
      <c r="E12384" s="46" t="s">
        <v>8402</v>
      </c>
      <c r="F12384" s="46" t="s">
        <v>3882</v>
      </c>
      <c r="G12384" s="46">
        <v>6.182237177103E12</v>
      </c>
      <c r="H12384" s="46" t="s">
        <v>3883</v>
      </c>
      <c r="I12384" s="46" t="s">
        <v>3884</v>
      </c>
      <c r="J12384" s="46" t="s">
        <v>134</v>
      </c>
      <c r="K12384" s="46" t="s">
        <v>126</v>
      </c>
      <c r="L12384" s="45">
        <v>46017.805555555555</v>
      </c>
      <c r="M12384" s="46" t="s">
        <v>123</v>
      </c>
      <c r="N12384" s="45">
        <v>46017.833333333336</v>
      </c>
      <c r="O12384" s="46" t="s">
        <v>123</v>
      </c>
      <c r="P12384" s="46">
        <v>2400.0</v>
      </c>
      <c r="S12384" s="46" t="s">
        <v>2274</v>
      </c>
    </row>
    <row r="12385">
      <c r="A12385" s="40">
        <f t="shared" si="1"/>
        <v>46013</v>
      </c>
      <c r="B12385" s="37" t="str">
        <f t="array" ref="B12385">iferror(xlookup($I12385, 'IMPORT VHC Report'!$E:$E, 'IMPORT VHC Report'!$A:$C), )</f>
        <v/>
      </c>
      <c r="C12385" s="44"/>
      <c r="D12385" s="44"/>
      <c r="E12385" s="46" t="s">
        <v>8403</v>
      </c>
      <c r="F12385" s="46" t="s">
        <v>3586</v>
      </c>
      <c r="G12385" s="46">
        <v>7.437392979983E12</v>
      </c>
      <c r="H12385" s="46" t="s">
        <v>3587</v>
      </c>
      <c r="I12385" s="46" t="s">
        <v>3588</v>
      </c>
      <c r="J12385" s="46" t="s">
        <v>330</v>
      </c>
      <c r="K12385" s="46" t="s">
        <v>126</v>
      </c>
      <c r="L12385" s="45">
        <v>46013.458333333336</v>
      </c>
      <c r="M12385" s="46" t="s">
        <v>123</v>
      </c>
      <c r="N12385" s="45">
        <v>46013.475694444445</v>
      </c>
      <c r="O12385" s="46" t="s">
        <v>123</v>
      </c>
      <c r="P12385" s="46">
        <v>1500.0</v>
      </c>
    </row>
    <row r="12386">
      <c r="A12386" s="40">
        <f t="shared" si="1"/>
        <v>46013</v>
      </c>
      <c r="B12386" s="37" t="str">
        <f t="array" ref="B12386">iferror(xlookup($I12386, 'IMPORT VHC Report'!$E:$E, 'IMPORT VHC Report'!$A:$C), )</f>
        <v/>
      </c>
      <c r="C12386" s="44"/>
      <c r="D12386" s="44"/>
      <c r="E12386" s="46" t="s">
        <v>8404</v>
      </c>
      <c r="F12386" s="46" t="s">
        <v>3586</v>
      </c>
      <c r="G12386" s="46">
        <v>7.437392979983E12</v>
      </c>
      <c r="H12386" s="46" t="s">
        <v>3587</v>
      </c>
      <c r="I12386" s="46" t="s">
        <v>3588</v>
      </c>
      <c r="J12386" s="46" t="s">
        <v>368</v>
      </c>
      <c r="K12386" s="46" t="s">
        <v>63</v>
      </c>
      <c r="L12386" s="45">
        <v>46013.458333333336</v>
      </c>
      <c r="M12386" s="46" t="s">
        <v>123</v>
      </c>
      <c r="N12386" s="45">
        <v>46013.833333333336</v>
      </c>
      <c r="O12386" s="46" t="s">
        <v>123</v>
      </c>
      <c r="P12386" s="46">
        <v>32400.0</v>
      </c>
    </row>
    <row r="12387">
      <c r="A12387" s="40">
        <f t="shared" si="1"/>
        <v>46013</v>
      </c>
      <c r="B12387" s="37" t="str">
        <f t="array" ref="B12387">iferror(xlookup($I12387, 'IMPORT VHC Report'!$E:$E, 'IMPORT VHC Report'!$A:$C), )</f>
        <v/>
      </c>
      <c r="C12387" s="44"/>
      <c r="D12387" s="44"/>
      <c r="E12387" s="46" t="s">
        <v>8405</v>
      </c>
      <c r="F12387" s="46" t="s">
        <v>3586</v>
      </c>
      <c r="G12387" s="46">
        <v>7.437392979983E12</v>
      </c>
      <c r="H12387" s="46" t="s">
        <v>3587</v>
      </c>
      <c r="I12387" s="46" t="s">
        <v>3588</v>
      </c>
      <c r="J12387" s="46" t="s">
        <v>134</v>
      </c>
      <c r="K12387" s="46" t="s">
        <v>126</v>
      </c>
      <c r="L12387" s="45">
        <v>46013.614583333336</v>
      </c>
      <c r="M12387" s="46" t="s">
        <v>123</v>
      </c>
      <c r="N12387" s="45">
        <v>46013.635416666664</v>
      </c>
      <c r="O12387" s="46" t="s">
        <v>123</v>
      </c>
      <c r="P12387" s="46">
        <v>1800.0</v>
      </c>
    </row>
    <row r="12388">
      <c r="A12388" s="40">
        <f t="shared" si="1"/>
        <v>46013</v>
      </c>
      <c r="B12388" s="37" t="str">
        <f t="array" ref="B12388">iferror(xlookup($I12388, 'IMPORT VHC Report'!$E:$E, 'IMPORT VHC Report'!$A:$C), )</f>
        <v/>
      </c>
      <c r="C12388" s="44"/>
      <c r="D12388" s="44"/>
      <c r="E12388" s="46" t="s">
        <v>8406</v>
      </c>
      <c r="F12388" s="46" t="s">
        <v>3586</v>
      </c>
      <c r="G12388" s="46">
        <v>7.437392979983E12</v>
      </c>
      <c r="H12388" s="46" t="s">
        <v>3587</v>
      </c>
      <c r="I12388" s="46" t="s">
        <v>3588</v>
      </c>
      <c r="J12388" s="46" t="s">
        <v>132</v>
      </c>
      <c r="K12388" s="46" t="s">
        <v>126</v>
      </c>
      <c r="L12388" s="45">
        <v>46013.71875</v>
      </c>
      <c r="M12388" s="46" t="s">
        <v>123</v>
      </c>
      <c r="N12388" s="45">
        <v>46013.760416666664</v>
      </c>
      <c r="O12388" s="46" t="s">
        <v>123</v>
      </c>
      <c r="P12388" s="46">
        <v>3600.0</v>
      </c>
    </row>
    <row r="12389">
      <c r="A12389" s="40">
        <f t="shared" si="1"/>
        <v>46013</v>
      </c>
      <c r="B12389" s="37" t="str">
        <f t="array" ref="B12389">iferror(xlookup($I12389, 'IMPORT VHC Report'!$E:$E, 'IMPORT VHC Report'!$A:$C), )</f>
        <v/>
      </c>
      <c r="C12389" s="44"/>
      <c r="D12389" s="44"/>
      <c r="E12389" s="46" t="s">
        <v>8407</v>
      </c>
      <c r="F12389" s="46" t="s">
        <v>3586</v>
      </c>
      <c r="G12389" s="46">
        <v>7.437392979983E12</v>
      </c>
      <c r="H12389" s="46" t="s">
        <v>3587</v>
      </c>
      <c r="I12389" s="46" t="s">
        <v>3588</v>
      </c>
      <c r="J12389" s="46" t="s">
        <v>368</v>
      </c>
      <c r="K12389" s="46" t="s">
        <v>63</v>
      </c>
      <c r="L12389" s="45">
        <v>46014.458333333336</v>
      </c>
      <c r="M12389" s="46" t="s">
        <v>123</v>
      </c>
      <c r="N12389" s="45">
        <v>46014.833333333336</v>
      </c>
      <c r="O12389" s="46" t="s">
        <v>123</v>
      </c>
      <c r="P12389" s="46">
        <v>32400.0</v>
      </c>
    </row>
    <row r="12390">
      <c r="A12390" s="40">
        <f t="shared" si="1"/>
        <v>46013</v>
      </c>
      <c r="B12390" s="37" t="str">
        <f t="array" ref="B12390">iferror(xlookup($I12390, 'IMPORT VHC Report'!$E:$E, 'IMPORT VHC Report'!$A:$C), )</f>
        <v/>
      </c>
      <c r="C12390" s="44"/>
      <c r="D12390" s="44"/>
      <c r="E12390" s="46" t="s">
        <v>8408</v>
      </c>
      <c r="F12390" s="46" t="s">
        <v>3586</v>
      </c>
      <c r="G12390" s="46">
        <v>7.437392979983E12</v>
      </c>
      <c r="H12390" s="46" t="s">
        <v>3587</v>
      </c>
      <c r="I12390" s="46" t="s">
        <v>3588</v>
      </c>
      <c r="J12390" s="46" t="s">
        <v>134</v>
      </c>
      <c r="K12390" s="46" t="s">
        <v>126</v>
      </c>
      <c r="L12390" s="45">
        <v>46014.572916666664</v>
      </c>
      <c r="M12390" s="46" t="s">
        <v>123</v>
      </c>
      <c r="N12390" s="45">
        <v>46014.59375</v>
      </c>
      <c r="O12390" s="46" t="s">
        <v>123</v>
      </c>
      <c r="P12390" s="46">
        <v>1800.0</v>
      </c>
    </row>
    <row r="12391">
      <c r="A12391" s="40">
        <f t="shared" si="1"/>
        <v>46013</v>
      </c>
      <c r="B12391" s="37" t="str">
        <f t="array" ref="B12391">iferror(xlookup($I12391, 'IMPORT VHC Report'!$E:$E, 'IMPORT VHC Report'!$A:$C), )</f>
        <v/>
      </c>
      <c r="C12391" s="44"/>
      <c r="D12391" s="44"/>
      <c r="E12391" s="46" t="s">
        <v>8409</v>
      </c>
      <c r="F12391" s="46" t="s">
        <v>3586</v>
      </c>
      <c r="G12391" s="46">
        <v>7.437392979983E12</v>
      </c>
      <c r="H12391" s="46" t="s">
        <v>3587</v>
      </c>
      <c r="I12391" s="46" t="s">
        <v>3588</v>
      </c>
      <c r="J12391" s="46" t="s">
        <v>132</v>
      </c>
      <c r="K12391" s="46" t="s">
        <v>126</v>
      </c>
      <c r="L12391" s="45">
        <v>46014.75</v>
      </c>
      <c r="M12391" s="46" t="s">
        <v>123</v>
      </c>
      <c r="N12391" s="45">
        <v>46014.791666666664</v>
      </c>
      <c r="O12391" s="46" t="s">
        <v>123</v>
      </c>
      <c r="P12391" s="46">
        <v>3600.0</v>
      </c>
    </row>
    <row r="12392">
      <c r="A12392" s="40">
        <f t="shared" si="1"/>
        <v>46013</v>
      </c>
      <c r="B12392" s="37" t="str">
        <f t="array" ref="B12392">iferror(xlookup($I12392, 'IMPORT VHC Report'!$E:$E, 'IMPORT VHC Report'!$A:$C), )</f>
        <v/>
      </c>
      <c r="C12392" s="44"/>
      <c r="D12392" s="44"/>
      <c r="E12392" s="46" t="s">
        <v>8410</v>
      </c>
      <c r="F12392" s="46" t="s">
        <v>3586</v>
      </c>
      <c r="G12392" s="46">
        <v>7.437392979983E12</v>
      </c>
      <c r="H12392" s="46" t="s">
        <v>3587</v>
      </c>
      <c r="I12392" s="46" t="s">
        <v>3588</v>
      </c>
      <c r="J12392" s="46" t="s">
        <v>368</v>
      </c>
      <c r="K12392" s="46" t="s">
        <v>63</v>
      </c>
      <c r="L12392" s="45">
        <v>46015.458333333336</v>
      </c>
      <c r="M12392" s="46" t="s">
        <v>123</v>
      </c>
      <c r="N12392" s="45">
        <v>46015.833333333336</v>
      </c>
      <c r="O12392" s="46" t="s">
        <v>123</v>
      </c>
      <c r="P12392" s="46">
        <v>32400.0</v>
      </c>
    </row>
    <row r="12393">
      <c r="A12393" s="40">
        <f t="shared" si="1"/>
        <v>46013</v>
      </c>
      <c r="B12393" s="37" t="str">
        <f t="array" ref="B12393">iferror(xlookup($I12393, 'IMPORT VHC Report'!$E:$E, 'IMPORT VHC Report'!$A:$C), )</f>
        <v/>
      </c>
      <c r="C12393" s="44"/>
      <c r="D12393" s="44"/>
      <c r="E12393" s="46" t="s">
        <v>8411</v>
      </c>
      <c r="F12393" s="46" t="s">
        <v>3586</v>
      </c>
      <c r="G12393" s="46">
        <v>7.437392979983E12</v>
      </c>
      <c r="H12393" s="46" t="s">
        <v>3587</v>
      </c>
      <c r="I12393" s="46" t="s">
        <v>3588</v>
      </c>
      <c r="J12393" s="46" t="s">
        <v>178</v>
      </c>
      <c r="K12393" s="46" t="s">
        <v>153</v>
      </c>
      <c r="L12393" s="45">
        <v>46015.458333333336</v>
      </c>
      <c r="M12393" s="46" t="s">
        <v>123</v>
      </c>
      <c r="N12393" s="45">
        <v>46015.833333333336</v>
      </c>
      <c r="O12393" s="46" t="s">
        <v>123</v>
      </c>
      <c r="P12393" s="46">
        <v>32400.0</v>
      </c>
      <c r="Q12393" s="46">
        <v>32400.0</v>
      </c>
    </row>
    <row r="12394">
      <c r="A12394" s="40">
        <f t="shared" si="1"/>
        <v>46013</v>
      </c>
      <c r="B12394" s="37" t="str">
        <f t="array" ref="B12394">iferror(xlookup($I12394, 'IMPORT VHC Report'!$E:$E, 'IMPORT VHC Report'!$A:$C), )</f>
        <v/>
      </c>
      <c r="C12394" s="44"/>
      <c r="D12394" s="44"/>
      <c r="E12394" s="46" t="s">
        <v>8412</v>
      </c>
      <c r="F12394" s="46" t="s">
        <v>3586</v>
      </c>
      <c r="G12394" s="46">
        <v>7.437392979983E12</v>
      </c>
      <c r="H12394" s="46" t="s">
        <v>3587</v>
      </c>
      <c r="I12394" s="46" t="s">
        <v>3588</v>
      </c>
      <c r="J12394" s="46" t="s">
        <v>134</v>
      </c>
      <c r="K12394" s="46" t="s">
        <v>126</v>
      </c>
      <c r="L12394" s="45">
        <v>46015.59375</v>
      </c>
      <c r="M12394" s="46" t="s">
        <v>123</v>
      </c>
      <c r="N12394" s="45">
        <v>46015.614583333336</v>
      </c>
      <c r="O12394" s="46" t="s">
        <v>123</v>
      </c>
      <c r="P12394" s="46">
        <v>1800.0</v>
      </c>
    </row>
    <row r="12395">
      <c r="A12395" s="40">
        <f t="shared" si="1"/>
        <v>46013</v>
      </c>
      <c r="B12395" s="37" t="str">
        <f t="array" ref="B12395">iferror(xlookup($I12395, 'IMPORT VHC Report'!$E:$E, 'IMPORT VHC Report'!$A:$C), )</f>
        <v/>
      </c>
      <c r="C12395" s="44"/>
      <c r="D12395" s="44"/>
      <c r="E12395" s="46" t="s">
        <v>8413</v>
      </c>
      <c r="F12395" s="46" t="s">
        <v>3586</v>
      </c>
      <c r="G12395" s="46">
        <v>7.437392979983E12</v>
      </c>
      <c r="H12395" s="46" t="s">
        <v>3587</v>
      </c>
      <c r="I12395" s="46" t="s">
        <v>3588</v>
      </c>
      <c r="J12395" s="46" t="s">
        <v>132</v>
      </c>
      <c r="K12395" s="46" t="s">
        <v>126</v>
      </c>
      <c r="L12395" s="45">
        <v>46015.729166666664</v>
      </c>
      <c r="M12395" s="46" t="s">
        <v>123</v>
      </c>
      <c r="N12395" s="45">
        <v>46015.770833333336</v>
      </c>
      <c r="O12395" s="46" t="s">
        <v>123</v>
      </c>
      <c r="P12395" s="46">
        <v>3600.0</v>
      </c>
    </row>
    <row r="12396">
      <c r="A12396" s="40">
        <f t="shared" si="1"/>
        <v>46013</v>
      </c>
      <c r="B12396" s="37" t="str">
        <f t="array" ref="B12396">iferror(xlookup($I12396, 'IMPORT VHC Report'!$E:$E, 'IMPORT VHC Report'!$A:$C), )</f>
        <v/>
      </c>
      <c r="C12396" s="44"/>
      <c r="D12396" s="44"/>
      <c r="E12396" s="46" t="s">
        <v>8414</v>
      </c>
      <c r="F12396" s="46" t="s">
        <v>3586</v>
      </c>
      <c r="G12396" s="46">
        <v>7.437392979983E12</v>
      </c>
      <c r="H12396" s="46" t="s">
        <v>3587</v>
      </c>
      <c r="I12396" s="46" t="s">
        <v>3588</v>
      </c>
      <c r="J12396" s="46" t="s">
        <v>368</v>
      </c>
      <c r="K12396" s="46" t="s">
        <v>63</v>
      </c>
      <c r="L12396" s="45">
        <v>46018.458333333336</v>
      </c>
      <c r="M12396" s="46" t="s">
        <v>123</v>
      </c>
      <c r="N12396" s="45">
        <v>46018.833333333336</v>
      </c>
      <c r="O12396" s="46" t="s">
        <v>123</v>
      </c>
      <c r="P12396" s="46">
        <v>32400.0</v>
      </c>
    </row>
    <row r="12397">
      <c r="A12397" s="40">
        <f t="shared" si="1"/>
        <v>46013</v>
      </c>
      <c r="B12397" s="37" t="str">
        <f t="array" ref="B12397">iferror(xlookup($I12397, 'IMPORT VHC Report'!$E:$E, 'IMPORT VHC Report'!$A:$C), )</f>
        <v/>
      </c>
      <c r="C12397" s="44"/>
      <c r="D12397" s="44"/>
      <c r="E12397" s="46" t="s">
        <v>8415</v>
      </c>
      <c r="F12397" s="46" t="s">
        <v>3586</v>
      </c>
      <c r="G12397" s="46">
        <v>7.437392979983E12</v>
      </c>
      <c r="H12397" s="46" t="s">
        <v>3587</v>
      </c>
      <c r="I12397" s="46" t="s">
        <v>3588</v>
      </c>
      <c r="J12397" s="46" t="s">
        <v>178</v>
      </c>
      <c r="K12397" s="46" t="s">
        <v>153</v>
      </c>
      <c r="L12397" s="45">
        <v>46018.458333333336</v>
      </c>
      <c r="M12397" s="46" t="s">
        <v>123</v>
      </c>
      <c r="N12397" s="45">
        <v>46018.833333333336</v>
      </c>
      <c r="O12397" s="46" t="s">
        <v>123</v>
      </c>
      <c r="P12397" s="46">
        <v>32400.0</v>
      </c>
      <c r="Q12397" s="46">
        <v>57600.0</v>
      </c>
    </row>
    <row r="12398">
      <c r="A12398" s="40">
        <f t="shared" si="1"/>
        <v>46013</v>
      </c>
      <c r="B12398" s="37" t="str">
        <f t="array" ref="B12398">iferror(xlookup($I12398, 'IMPORT VHC Report'!$E:$E, 'IMPORT VHC Report'!$A:$C), )</f>
        <v/>
      </c>
      <c r="C12398" s="44"/>
      <c r="D12398" s="44"/>
      <c r="E12398" s="46" t="s">
        <v>8416</v>
      </c>
      <c r="F12398" s="46" t="s">
        <v>3586</v>
      </c>
      <c r="G12398" s="46">
        <v>7.437392979983E12</v>
      </c>
      <c r="H12398" s="46" t="s">
        <v>3587</v>
      </c>
      <c r="I12398" s="46" t="s">
        <v>3588</v>
      </c>
      <c r="J12398" s="46" t="s">
        <v>134</v>
      </c>
      <c r="K12398" s="46" t="s">
        <v>126</v>
      </c>
      <c r="L12398" s="45">
        <v>46018.572916666664</v>
      </c>
      <c r="M12398" s="46" t="s">
        <v>123</v>
      </c>
      <c r="N12398" s="45">
        <v>46018.59375</v>
      </c>
      <c r="O12398" s="46" t="s">
        <v>123</v>
      </c>
      <c r="P12398" s="46">
        <v>1800.0</v>
      </c>
    </row>
    <row r="12399">
      <c r="A12399" s="40">
        <f t="shared" si="1"/>
        <v>46013</v>
      </c>
      <c r="B12399" s="37" t="str">
        <f t="array" ref="B12399">iferror(xlookup($I12399, 'IMPORT VHC Report'!$E:$E, 'IMPORT VHC Report'!$A:$C), )</f>
        <v/>
      </c>
      <c r="C12399" s="44"/>
      <c r="D12399" s="44"/>
      <c r="E12399" s="46" t="s">
        <v>8417</v>
      </c>
      <c r="F12399" s="46" t="s">
        <v>3586</v>
      </c>
      <c r="G12399" s="46">
        <v>7.437392979983E12</v>
      </c>
      <c r="H12399" s="46" t="s">
        <v>3587</v>
      </c>
      <c r="I12399" s="46" t="s">
        <v>3588</v>
      </c>
      <c r="J12399" s="46" t="s">
        <v>132</v>
      </c>
      <c r="K12399" s="46" t="s">
        <v>126</v>
      </c>
      <c r="L12399" s="45">
        <v>46018.6875</v>
      </c>
      <c r="M12399" s="46" t="s">
        <v>123</v>
      </c>
      <c r="N12399" s="45">
        <v>46018.729166666664</v>
      </c>
      <c r="O12399" s="46" t="s">
        <v>123</v>
      </c>
      <c r="P12399" s="46">
        <v>3600.0</v>
      </c>
    </row>
    <row r="12400">
      <c r="A12400" s="40">
        <f t="shared" si="1"/>
        <v>46013</v>
      </c>
      <c r="B12400" s="37" t="str">
        <f t="array" ref="B12400">iferror(xlookup($I12400, 'IMPORT VHC Report'!$E:$E, 'IMPORT VHC Report'!$A:$C), )</f>
        <v/>
      </c>
      <c r="C12400" s="44"/>
      <c r="D12400" s="44"/>
      <c r="E12400" s="46" t="s">
        <v>8418</v>
      </c>
      <c r="F12400" s="46" t="s">
        <v>3586</v>
      </c>
      <c r="G12400" s="46">
        <v>7.437392979983E12</v>
      </c>
      <c r="H12400" s="46" t="s">
        <v>3587</v>
      </c>
      <c r="I12400" s="46" t="s">
        <v>3588</v>
      </c>
      <c r="J12400" s="46" t="s">
        <v>368</v>
      </c>
      <c r="K12400" s="46" t="s">
        <v>63</v>
      </c>
      <c r="L12400" s="45">
        <v>46019.458333333336</v>
      </c>
      <c r="M12400" s="46" t="s">
        <v>123</v>
      </c>
      <c r="N12400" s="45">
        <v>46019.833333333336</v>
      </c>
      <c r="O12400" s="46" t="s">
        <v>123</v>
      </c>
      <c r="P12400" s="46">
        <v>32400.0</v>
      </c>
    </row>
    <row r="12401">
      <c r="A12401" s="40">
        <f t="shared" si="1"/>
        <v>46013</v>
      </c>
      <c r="B12401" s="37" t="str">
        <f t="array" ref="B12401">iferror(xlookup($I12401, 'IMPORT VHC Report'!$E:$E, 'IMPORT VHC Report'!$A:$C), )</f>
        <v/>
      </c>
      <c r="C12401" s="44"/>
      <c r="D12401" s="44"/>
      <c r="E12401" s="46" t="s">
        <v>8419</v>
      </c>
      <c r="F12401" s="46" t="s">
        <v>3586</v>
      </c>
      <c r="G12401" s="46">
        <v>7.437392979983E12</v>
      </c>
      <c r="H12401" s="46" t="s">
        <v>3587</v>
      </c>
      <c r="I12401" s="46" t="s">
        <v>3588</v>
      </c>
      <c r="J12401" s="46" t="s">
        <v>178</v>
      </c>
      <c r="K12401" s="46" t="s">
        <v>153</v>
      </c>
      <c r="L12401" s="45">
        <v>46019.458333333336</v>
      </c>
      <c r="M12401" s="46" t="s">
        <v>123</v>
      </c>
      <c r="N12401" s="45">
        <v>46019.833333333336</v>
      </c>
      <c r="O12401" s="46" t="s">
        <v>123</v>
      </c>
      <c r="P12401" s="46">
        <v>32400.0</v>
      </c>
      <c r="Q12401" s="46">
        <v>32400.0</v>
      </c>
    </row>
    <row r="12402">
      <c r="A12402" s="40">
        <f t="shared" si="1"/>
        <v>46013</v>
      </c>
      <c r="B12402" s="37" t="str">
        <f t="array" ref="B12402">iferror(xlookup($I12402, 'IMPORT VHC Report'!$E:$E, 'IMPORT VHC Report'!$A:$C), )</f>
        <v/>
      </c>
      <c r="C12402" s="44"/>
      <c r="D12402" s="44"/>
      <c r="E12402" s="46" t="s">
        <v>8420</v>
      </c>
      <c r="F12402" s="46" t="s">
        <v>3586</v>
      </c>
      <c r="G12402" s="46">
        <v>7.437392979983E12</v>
      </c>
      <c r="H12402" s="46" t="s">
        <v>3587</v>
      </c>
      <c r="I12402" s="46" t="s">
        <v>3588</v>
      </c>
      <c r="J12402" s="46" t="s">
        <v>134</v>
      </c>
      <c r="K12402" s="46" t="s">
        <v>126</v>
      </c>
      <c r="L12402" s="45">
        <v>46019.552083333336</v>
      </c>
      <c r="M12402" s="46" t="s">
        <v>123</v>
      </c>
      <c r="N12402" s="45">
        <v>46019.572916666664</v>
      </c>
      <c r="O12402" s="46" t="s">
        <v>123</v>
      </c>
      <c r="P12402" s="46">
        <v>1800.0</v>
      </c>
    </row>
    <row r="12403">
      <c r="A12403" s="40">
        <f t="shared" si="1"/>
        <v>46013</v>
      </c>
      <c r="B12403" s="37" t="str">
        <f t="array" ref="B12403">iferror(xlookup($I12403, 'IMPORT VHC Report'!$E:$E, 'IMPORT VHC Report'!$A:$C), )</f>
        <v/>
      </c>
      <c r="C12403" s="44"/>
      <c r="D12403" s="44"/>
      <c r="E12403" s="46" t="s">
        <v>8421</v>
      </c>
      <c r="F12403" s="46" t="s">
        <v>3586</v>
      </c>
      <c r="G12403" s="46">
        <v>7.437392979983E12</v>
      </c>
      <c r="H12403" s="46" t="s">
        <v>3587</v>
      </c>
      <c r="I12403" s="46" t="s">
        <v>3588</v>
      </c>
      <c r="J12403" s="46" t="s">
        <v>132</v>
      </c>
      <c r="K12403" s="46" t="s">
        <v>126</v>
      </c>
      <c r="L12403" s="45">
        <v>46019.729166666664</v>
      </c>
      <c r="M12403" s="46" t="s">
        <v>123</v>
      </c>
      <c r="N12403" s="45">
        <v>46019.770833333336</v>
      </c>
      <c r="O12403" s="46" t="s">
        <v>123</v>
      </c>
      <c r="P12403" s="46">
        <v>3600.0</v>
      </c>
    </row>
    <row r="12404">
      <c r="A12404" s="40">
        <f t="shared" si="1"/>
        <v>46013</v>
      </c>
      <c r="B12404" s="37" t="str">
        <f t="array" ref="B12404">iferror(xlookup($I12404, 'IMPORT VHC Report'!$E:$E, 'IMPORT VHC Report'!$A:$C), )</f>
        <v/>
      </c>
      <c r="C12404" s="44"/>
      <c r="D12404" s="44"/>
      <c r="E12404" s="46" t="s">
        <v>8422</v>
      </c>
      <c r="F12404" s="46" t="s">
        <v>3940</v>
      </c>
      <c r="G12404" s="46">
        <v>3.61731791675E11</v>
      </c>
      <c r="H12404" s="46" t="s">
        <v>3941</v>
      </c>
      <c r="I12404" s="46" t="s">
        <v>3942</v>
      </c>
      <c r="J12404" s="46" t="s">
        <v>368</v>
      </c>
      <c r="K12404" s="46" t="s">
        <v>63</v>
      </c>
      <c r="L12404" s="45">
        <v>46013.5</v>
      </c>
      <c r="M12404" s="46" t="s">
        <v>123</v>
      </c>
      <c r="N12404" s="45">
        <v>46013.875</v>
      </c>
      <c r="O12404" s="46" t="s">
        <v>123</v>
      </c>
      <c r="P12404" s="46">
        <v>32400.0</v>
      </c>
    </row>
    <row r="12405">
      <c r="A12405" s="40">
        <f t="shared" si="1"/>
        <v>46013</v>
      </c>
      <c r="B12405" s="37" t="str">
        <f t="array" ref="B12405">iferror(xlookup($I12405, 'IMPORT VHC Report'!$E:$E, 'IMPORT VHC Report'!$A:$C), )</f>
        <v/>
      </c>
      <c r="C12405" s="44"/>
      <c r="D12405" s="44"/>
      <c r="E12405" s="46" t="s">
        <v>8423</v>
      </c>
      <c r="F12405" s="46" t="s">
        <v>3940</v>
      </c>
      <c r="G12405" s="46">
        <v>3.61731791675E11</v>
      </c>
      <c r="H12405" s="46" t="s">
        <v>3941</v>
      </c>
      <c r="I12405" s="46" t="s">
        <v>3942</v>
      </c>
      <c r="J12405" s="46" t="s">
        <v>134</v>
      </c>
      <c r="K12405" s="46" t="s">
        <v>126</v>
      </c>
      <c r="L12405" s="45">
        <v>46013.5625</v>
      </c>
      <c r="M12405" s="46" t="s">
        <v>123</v>
      </c>
      <c r="N12405" s="45">
        <v>46013.583333333336</v>
      </c>
      <c r="O12405" s="46" t="s">
        <v>123</v>
      </c>
      <c r="P12405" s="46">
        <v>1800.0</v>
      </c>
    </row>
    <row r="12406">
      <c r="A12406" s="40">
        <f t="shared" si="1"/>
        <v>46013</v>
      </c>
      <c r="B12406" s="37" t="str">
        <f t="array" ref="B12406">iferror(xlookup($I12406, 'IMPORT VHC Report'!$E:$E, 'IMPORT VHC Report'!$A:$C), )</f>
        <v/>
      </c>
      <c r="C12406" s="44"/>
      <c r="D12406" s="44"/>
      <c r="E12406" s="46" t="s">
        <v>8424</v>
      </c>
      <c r="F12406" s="46" t="s">
        <v>3940</v>
      </c>
      <c r="G12406" s="46">
        <v>3.61731791675E11</v>
      </c>
      <c r="H12406" s="46" t="s">
        <v>3941</v>
      </c>
      <c r="I12406" s="46" t="s">
        <v>3942</v>
      </c>
      <c r="J12406" s="46" t="s">
        <v>132</v>
      </c>
      <c r="K12406" s="46" t="s">
        <v>126</v>
      </c>
      <c r="L12406" s="45">
        <v>46013.770833333336</v>
      </c>
      <c r="M12406" s="46" t="s">
        <v>123</v>
      </c>
      <c r="N12406" s="45">
        <v>46013.8125</v>
      </c>
      <c r="O12406" s="46" t="s">
        <v>123</v>
      </c>
      <c r="P12406" s="46">
        <v>3600.0</v>
      </c>
    </row>
    <row r="12407">
      <c r="A12407" s="40">
        <f t="shared" si="1"/>
        <v>46013</v>
      </c>
      <c r="B12407" s="37" t="str">
        <f t="array" ref="B12407">iferror(xlookup($I12407, 'IMPORT VHC Report'!$E:$E, 'IMPORT VHC Report'!$A:$C), )</f>
        <v/>
      </c>
      <c r="C12407" s="44"/>
      <c r="D12407" s="44"/>
      <c r="E12407" s="46" t="s">
        <v>8425</v>
      </c>
      <c r="F12407" s="46" t="s">
        <v>3940</v>
      </c>
      <c r="G12407" s="46">
        <v>3.61731791675E11</v>
      </c>
      <c r="H12407" s="46" t="s">
        <v>3941</v>
      </c>
      <c r="I12407" s="46" t="s">
        <v>3942</v>
      </c>
      <c r="J12407" s="46" t="s">
        <v>368</v>
      </c>
      <c r="K12407" s="46" t="s">
        <v>63</v>
      </c>
      <c r="L12407" s="45">
        <v>46014.5</v>
      </c>
      <c r="M12407" s="46" t="s">
        <v>123</v>
      </c>
      <c r="N12407" s="45">
        <v>46014.875</v>
      </c>
      <c r="O12407" s="46" t="s">
        <v>123</v>
      </c>
      <c r="P12407" s="46">
        <v>32400.0</v>
      </c>
    </row>
    <row r="12408">
      <c r="A12408" s="40">
        <f t="shared" si="1"/>
        <v>46013</v>
      </c>
      <c r="B12408" s="37" t="str">
        <f t="array" ref="B12408">iferror(xlookup($I12408, 'IMPORT VHC Report'!$E:$E, 'IMPORT VHC Report'!$A:$C), )</f>
        <v/>
      </c>
      <c r="C12408" s="44"/>
      <c r="D12408" s="44"/>
      <c r="E12408" s="46" t="s">
        <v>8426</v>
      </c>
      <c r="F12408" s="46" t="s">
        <v>3940</v>
      </c>
      <c r="G12408" s="46">
        <v>3.61731791675E11</v>
      </c>
      <c r="H12408" s="46" t="s">
        <v>3941</v>
      </c>
      <c r="I12408" s="46" t="s">
        <v>3942</v>
      </c>
      <c r="J12408" s="46" t="s">
        <v>134</v>
      </c>
      <c r="K12408" s="46" t="s">
        <v>126</v>
      </c>
      <c r="L12408" s="45">
        <v>46014.604166666664</v>
      </c>
      <c r="M12408" s="46" t="s">
        <v>123</v>
      </c>
      <c r="N12408" s="45">
        <v>46014.625</v>
      </c>
      <c r="O12408" s="46" t="s">
        <v>123</v>
      </c>
      <c r="P12408" s="46">
        <v>1800.0</v>
      </c>
    </row>
    <row r="12409">
      <c r="A12409" s="40">
        <f t="shared" si="1"/>
        <v>46013</v>
      </c>
      <c r="B12409" s="37" t="str">
        <f t="array" ref="B12409">iferror(xlookup($I12409, 'IMPORT VHC Report'!$E:$E, 'IMPORT VHC Report'!$A:$C), )</f>
        <v/>
      </c>
      <c r="C12409" s="44"/>
      <c r="D12409" s="44"/>
      <c r="E12409" s="46" t="s">
        <v>8427</v>
      </c>
      <c r="F12409" s="46" t="s">
        <v>3940</v>
      </c>
      <c r="G12409" s="46">
        <v>3.61731791675E11</v>
      </c>
      <c r="H12409" s="46" t="s">
        <v>3941</v>
      </c>
      <c r="I12409" s="46" t="s">
        <v>3942</v>
      </c>
      <c r="J12409" s="46" t="s">
        <v>132</v>
      </c>
      <c r="K12409" s="46" t="s">
        <v>126</v>
      </c>
      <c r="L12409" s="45">
        <v>46014.833333333336</v>
      </c>
      <c r="M12409" s="46" t="s">
        <v>123</v>
      </c>
      <c r="N12409" s="45">
        <v>46014.875</v>
      </c>
      <c r="O12409" s="46" t="s">
        <v>123</v>
      </c>
      <c r="P12409" s="46">
        <v>3600.0</v>
      </c>
    </row>
    <row r="12410">
      <c r="A12410" s="40">
        <f t="shared" si="1"/>
        <v>46013</v>
      </c>
      <c r="B12410" s="37" t="str">
        <f t="array" ref="B12410">iferror(xlookup($I12410, 'IMPORT VHC Report'!$E:$E, 'IMPORT VHC Report'!$A:$C), )</f>
        <v/>
      </c>
      <c r="C12410" s="44"/>
      <c r="D12410" s="44"/>
      <c r="E12410" s="46" t="s">
        <v>8428</v>
      </c>
      <c r="F12410" s="46" t="s">
        <v>3940</v>
      </c>
      <c r="G12410" s="46">
        <v>3.61731791675E11</v>
      </c>
      <c r="H12410" s="46" t="s">
        <v>3941</v>
      </c>
      <c r="I12410" s="46" t="s">
        <v>3942</v>
      </c>
      <c r="J12410" s="46" t="s">
        <v>368</v>
      </c>
      <c r="K12410" s="46" t="s">
        <v>63</v>
      </c>
      <c r="L12410" s="45">
        <v>46015.5</v>
      </c>
      <c r="M12410" s="46" t="s">
        <v>123</v>
      </c>
      <c r="N12410" s="45">
        <v>46015.875</v>
      </c>
      <c r="O12410" s="46" t="s">
        <v>123</v>
      </c>
      <c r="P12410" s="46">
        <v>32400.0</v>
      </c>
    </row>
    <row r="12411">
      <c r="A12411" s="40">
        <f t="shared" si="1"/>
        <v>46013</v>
      </c>
      <c r="B12411" s="37" t="str">
        <f t="array" ref="B12411">iferror(xlookup($I12411, 'IMPORT VHC Report'!$E:$E, 'IMPORT VHC Report'!$A:$C), )</f>
        <v/>
      </c>
      <c r="C12411" s="44"/>
      <c r="D12411" s="44"/>
      <c r="E12411" s="46" t="s">
        <v>8429</v>
      </c>
      <c r="F12411" s="46" t="s">
        <v>3940</v>
      </c>
      <c r="G12411" s="46">
        <v>3.61731791675E11</v>
      </c>
      <c r="H12411" s="46" t="s">
        <v>3941</v>
      </c>
      <c r="I12411" s="46" t="s">
        <v>3942</v>
      </c>
      <c r="J12411" s="46" t="s">
        <v>134</v>
      </c>
      <c r="K12411" s="46" t="s">
        <v>126</v>
      </c>
      <c r="L12411" s="45">
        <v>46015.645833333336</v>
      </c>
      <c r="M12411" s="46" t="s">
        <v>123</v>
      </c>
      <c r="N12411" s="45">
        <v>46015.666666666664</v>
      </c>
      <c r="O12411" s="46" t="s">
        <v>123</v>
      </c>
      <c r="P12411" s="46">
        <v>1800.0</v>
      </c>
    </row>
    <row r="12412">
      <c r="A12412" s="40">
        <f t="shared" si="1"/>
        <v>46013</v>
      </c>
      <c r="B12412" s="37" t="str">
        <f t="array" ref="B12412">iferror(xlookup($I12412, 'IMPORT VHC Report'!$E:$E, 'IMPORT VHC Report'!$A:$C), )</f>
        <v/>
      </c>
      <c r="C12412" s="44"/>
      <c r="D12412" s="44"/>
      <c r="E12412" s="46" t="s">
        <v>8430</v>
      </c>
      <c r="F12412" s="46" t="s">
        <v>3940</v>
      </c>
      <c r="G12412" s="46">
        <v>3.61731791675E11</v>
      </c>
      <c r="H12412" s="46" t="s">
        <v>3941</v>
      </c>
      <c r="I12412" s="46" t="s">
        <v>3942</v>
      </c>
      <c r="J12412" s="46" t="s">
        <v>132</v>
      </c>
      <c r="K12412" s="46" t="s">
        <v>126</v>
      </c>
      <c r="L12412" s="45">
        <v>46015.760416666664</v>
      </c>
      <c r="M12412" s="46" t="s">
        <v>123</v>
      </c>
      <c r="N12412" s="45">
        <v>46015.802083333336</v>
      </c>
      <c r="O12412" s="46" t="s">
        <v>123</v>
      </c>
      <c r="P12412" s="46">
        <v>3600.0</v>
      </c>
    </row>
    <row r="12413">
      <c r="A12413" s="40">
        <f t="shared" si="1"/>
        <v>46013</v>
      </c>
      <c r="B12413" s="37" t="str">
        <f t="array" ref="B12413">iferror(xlookup($I12413, 'IMPORT VHC Report'!$E:$E, 'IMPORT VHC Report'!$A:$C), )</f>
        <v/>
      </c>
      <c r="C12413" s="44"/>
      <c r="D12413" s="44"/>
      <c r="E12413" s="46" t="s">
        <v>8431</v>
      </c>
      <c r="F12413" s="46" t="s">
        <v>3940</v>
      </c>
      <c r="G12413" s="46">
        <v>3.61731791675E11</v>
      </c>
      <c r="H12413" s="46" t="s">
        <v>3941</v>
      </c>
      <c r="I12413" s="46" t="s">
        <v>3942</v>
      </c>
      <c r="J12413" s="46" t="s">
        <v>368</v>
      </c>
      <c r="K12413" s="46" t="s">
        <v>63</v>
      </c>
      <c r="L12413" s="45">
        <v>46018.5</v>
      </c>
      <c r="M12413" s="46" t="s">
        <v>123</v>
      </c>
      <c r="N12413" s="45">
        <v>46018.875</v>
      </c>
      <c r="O12413" s="46" t="s">
        <v>123</v>
      </c>
      <c r="P12413" s="46">
        <v>32400.0</v>
      </c>
    </row>
    <row r="12414">
      <c r="A12414" s="40">
        <f t="shared" si="1"/>
        <v>46013</v>
      </c>
      <c r="B12414" s="37" t="str">
        <f t="array" ref="B12414">iferror(xlookup($I12414, 'IMPORT VHC Report'!$E:$E, 'IMPORT VHC Report'!$A:$C), )</f>
        <v/>
      </c>
      <c r="C12414" s="44"/>
      <c r="D12414" s="44"/>
      <c r="E12414" s="46" t="s">
        <v>8432</v>
      </c>
      <c r="F12414" s="46" t="s">
        <v>3940</v>
      </c>
      <c r="G12414" s="46">
        <v>3.61731791675E11</v>
      </c>
      <c r="H12414" s="46" t="s">
        <v>3941</v>
      </c>
      <c r="I12414" s="46" t="s">
        <v>3942</v>
      </c>
      <c r="J12414" s="46" t="s">
        <v>134</v>
      </c>
      <c r="K12414" s="46" t="s">
        <v>126</v>
      </c>
      <c r="L12414" s="45">
        <v>46018.677083333336</v>
      </c>
      <c r="M12414" s="46" t="s">
        <v>123</v>
      </c>
      <c r="N12414" s="45">
        <v>46018.697916666664</v>
      </c>
      <c r="O12414" s="46" t="s">
        <v>123</v>
      </c>
      <c r="P12414" s="46">
        <v>1800.0</v>
      </c>
    </row>
    <row r="12415">
      <c r="A12415" s="40">
        <f t="shared" si="1"/>
        <v>46013</v>
      </c>
      <c r="B12415" s="37" t="str">
        <f t="array" ref="B12415">iferror(xlookup($I12415, 'IMPORT VHC Report'!$E:$E, 'IMPORT VHC Report'!$A:$C), )</f>
        <v/>
      </c>
      <c r="C12415" s="44"/>
      <c r="D12415" s="44"/>
      <c r="E12415" s="46" t="s">
        <v>8433</v>
      </c>
      <c r="F12415" s="46" t="s">
        <v>3940</v>
      </c>
      <c r="G12415" s="46">
        <v>3.61731791675E11</v>
      </c>
      <c r="H12415" s="46" t="s">
        <v>3941</v>
      </c>
      <c r="I12415" s="46" t="s">
        <v>3942</v>
      </c>
      <c r="J12415" s="46" t="s">
        <v>132</v>
      </c>
      <c r="K12415" s="46" t="s">
        <v>126</v>
      </c>
      <c r="L12415" s="45">
        <v>46018.78125</v>
      </c>
      <c r="M12415" s="46" t="s">
        <v>123</v>
      </c>
      <c r="N12415" s="45">
        <v>46018.822916666664</v>
      </c>
      <c r="O12415" s="46" t="s">
        <v>123</v>
      </c>
      <c r="P12415" s="46">
        <v>3600.0</v>
      </c>
    </row>
    <row r="12416">
      <c r="A12416" s="40">
        <f t="shared" si="1"/>
        <v>46013</v>
      </c>
      <c r="B12416" s="37" t="str">
        <f t="array" ref="B12416">iferror(xlookup($I12416, 'IMPORT VHC Report'!$E:$E, 'IMPORT VHC Report'!$A:$C), )</f>
        <v/>
      </c>
      <c r="C12416" s="44"/>
      <c r="D12416" s="44"/>
      <c r="E12416" s="46" t="s">
        <v>8434</v>
      </c>
      <c r="F12416" s="46" t="s">
        <v>3940</v>
      </c>
      <c r="G12416" s="46">
        <v>3.61731791675E11</v>
      </c>
      <c r="H12416" s="46" t="s">
        <v>3941</v>
      </c>
      <c r="I12416" s="46" t="s">
        <v>3942</v>
      </c>
      <c r="J12416" s="46" t="s">
        <v>368</v>
      </c>
      <c r="K12416" s="46" t="s">
        <v>63</v>
      </c>
      <c r="L12416" s="45">
        <v>46019.5</v>
      </c>
      <c r="M12416" s="46" t="s">
        <v>123</v>
      </c>
      <c r="N12416" s="45">
        <v>46019.875</v>
      </c>
      <c r="O12416" s="46" t="s">
        <v>123</v>
      </c>
      <c r="P12416" s="46">
        <v>32400.0</v>
      </c>
    </row>
    <row r="12417">
      <c r="A12417" s="40">
        <f t="shared" si="1"/>
        <v>46013</v>
      </c>
      <c r="B12417" s="37" t="str">
        <f t="array" ref="B12417">iferror(xlookup($I12417, 'IMPORT VHC Report'!$E:$E, 'IMPORT VHC Report'!$A:$C), )</f>
        <v/>
      </c>
      <c r="C12417" s="44"/>
      <c r="D12417" s="44"/>
      <c r="E12417" s="46" t="s">
        <v>8435</v>
      </c>
      <c r="F12417" s="46" t="s">
        <v>3940</v>
      </c>
      <c r="G12417" s="46">
        <v>3.61731791675E11</v>
      </c>
      <c r="H12417" s="46" t="s">
        <v>3941</v>
      </c>
      <c r="I12417" s="46" t="s">
        <v>3942</v>
      </c>
      <c r="J12417" s="46" t="s">
        <v>134</v>
      </c>
      <c r="K12417" s="46" t="s">
        <v>126</v>
      </c>
      <c r="L12417" s="45">
        <v>46019.614583333336</v>
      </c>
      <c r="M12417" s="46" t="s">
        <v>123</v>
      </c>
      <c r="N12417" s="45">
        <v>46019.635416666664</v>
      </c>
      <c r="O12417" s="46" t="s">
        <v>123</v>
      </c>
      <c r="P12417" s="46">
        <v>1800.0</v>
      </c>
    </row>
    <row r="12418">
      <c r="A12418" s="40">
        <f t="shared" si="1"/>
        <v>46013</v>
      </c>
      <c r="B12418" s="37" t="str">
        <f t="array" ref="B12418">iferror(xlookup($I12418, 'IMPORT VHC Report'!$E:$E, 'IMPORT VHC Report'!$A:$C), )</f>
        <v/>
      </c>
      <c r="C12418" s="44"/>
      <c r="D12418" s="44"/>
      <c r="E12418" s="46" t="s">
        <v>8436</v>
      </c>
      <c r="F12418" s="46" t="s">
        <v>3940</v>
      </c>
      <c r="G12418" s="46">
        <v>3.61731791675E11</v>
      </c>
      <c r="H12418" s="46" t="s">
        <v>3941</v>
      </c>
      <c r="I12418" s="46" t="s">
        <v>3942</v>
      </c>
      <c r="J12418" s="46" t="s">
        <v>132</v>
      </c>
      <c r="K12418" s="46" t="s">
        <v>126</v>
      </c>
      <c r="L12418" s="45">
        <v>46019.739583333336</v>
      </c>
      <c r="M12418" s="46" t="s">
        <v>123</v>
      </c>
      <c r="N12418" s="45">
        <v>46019.78125</v>
      </c>
      <c r="O12418" s="46" t="s">
        <v>123</v>
      </c>
      <c r="P12418" s="46">
        <v>3600.0</v>
      </c>
    </row>
    <row r="12419">
      <c r="A12419" s="40">
        <f t="shared" si="1"/>
        <v>46013</v>
      </c>
      <c r="B12419" s="37" t="str">
        <f t="array" ref="B12419">iferror(xlookup($I12419, 'IMPORT VHC Report'!$E:$E, 'IMPORT VHC Report'!$A:$C), )</f>
        <v/>
      </c>
      <c r="C12419" s="44"/>
      <c r="D12419" s="44"/>
      <c r="E12419" s="46" t="s">
        <v>8437</v>
      </c>
      <c r="F12419" s="46" t="s">
        <v>5329</v>
      </c>
      <c r="G12419" s="46">
        <v>3.61733079315E11</v>
      </c>
      <c r="H12419" s="46" t="s">
        <v>5330</v>
      </c>
      <c r="I12419" s="46" t="s">
        <v>5331</v>
      </c>
      <c r="J12419" s="46" t="s">
        <v>368</v>
      </c>
      <c r="K12419" s="46" t="s">
        <v>63</v>
      </c>
      <c r="L12419" s="45">
        <v>46013.791666666664</v>
      </c>
      <c r="M12419" s="46" t="s">
        <v>123</v>
      </c>
      <c r="N12419" s="45">
        <v>46014.166666666664</v>
      </c>
      <c r="O12419" s="46" t="s">
        <v>123</v>
      </c>
      <c r="P12419" s="46">
        <v>32400.0</v>
      </c>
    </row>
    <row r="12420">
      <c r="A12420" s="40">
        <f t="shared" si="1"/>
        <v>46013</v>
      </c>
      <c r="B12420" s="37" t="str">
        <f t="array" ref="B12420">iferror(xlookup($I12420, 'IMPORT VHC Report'!$E:$E, 'IMPORT VHC Report'!$A:$C), )</f>
        <v/>
      </c>
      <c r="C12420" s="44"/>
      <c r="D12420" s="44"/>
      <c r="E12420" s="46" t="s">
        <v>8438</v>
      </c>
      <c r="F12420" s="46" t="s">
        <v>5329</v>
      </c>
      <c r="G12420" s="46">
        <v>3.61733079315E11</v>
      </c>
      <c r="H12420" s="46" t="s">
        <v>5330</v>
      </c>
      <c r="I12420" s="46" t="s">
        <v>5331</v>
      </c>
      <c r="J12420" s="46" t="s">
        <v>330</v>
      </c>
      <c r="K12420" s="46" t="s">
        <v>126</v>
      </c>
      <c r="L12420" s="45">
        <v>46013.8125</v>
      </c>
      <c r="M12420" s="46" t="s">
        <v>123</v>
      </c>
      <c r="N12420" s="45">
        <v>46013.833333333336</v>
      </c>
      <c r="O12420" s="46" t="s">
        <v>123</v>
      </c>
      <c r="P12420" s="46">
        <v>1800.0</v>
      </c>
    </row>
    <row r="12421">
      <c r="A12421" s="40">
        <f t="shared" si="1"/>
        <v>46013</v>
      </c>
      <c r="B12421" s="37" t="str">
        <f t="array" ref="B12421">iferror(xlookup($I12421, 'IMPORT VHC Report'!$E:$E, 'IMPORT VHC Report'!$A:$C), )</f>
        <v/>
      </c>
      <c r="C12421" s="44"/>
      <c r="D12421" s="44"/>
      <c r="E12421" s="46" t="s">
        <v>8439</v>
      </c>
      <c r="F12421" s="46" t="s">
        <v>5329</v>
      </c>
      <c r="G12421" s="46">
        <v>3.61733079315E11</v>
      </c>
      <c r="H12421" s="46" t="s">
        <v>5330</v>
      </c>
      <c r="I12421" s="46" t="s">
        <v>5331</v>
      </c>
      <c r="J12421" s="46" t="s">
        <v>134</v>
      </c>
      <c r="K12421" s="46" t="s">
        <v>126</v>
      </c>
      <c r="L12421" s="45">
        <v>46013.916666666664</v>
      </c>
      <c r="M12421" s="46" t="s">
        <v>123</v>
      </c>
      <c r="N12421" s="45">
        <v>46013.9375</v>
      </c>
      <c r="O12421" s="46" t="s">
        <v>123</v>
      </c>
      <c r="P12421" s="46">
        <v>1800.0</v>
      </c>
    </row>
    <row r="12422">
      <c r="A12422" s="40">
        <f t="shared" si="1"/>
        <v>46013</v>
      </c>
      <c r="B12422" s="37" t="str">
        <f t="array" ref="B12422">iferror(xlookup($I12422, 'IMPORT VHC Report'!$E:$E, 'IMPORT VHC Report'!$A:$C), )</f>
        <v/>
      </c>
      <c r="C12422" s="44"/>
      <c r="D12422" s="44"/>
      <c r="E12422" s="46" t="s">
        <v>8440</v>
      </c>
      <c r="F12422" s="46" t="s">
        <v>5329</v>
      </c>
      <c r="G12422" s="46">
        <v>3.61733079315E11</v>
      </c>
      <c r="H12422" s="46" t="s">
        <v>5330</v>
      </c>
      <c r="I12422" s="46" t="s">
        <v>5331</v>
      </c>
      <c r="J12422" s="46" t="s">
        <v>132</v>
      </c>
      <c r="K12422" s="46" t="s">
        <v>126</v>
      </c>
      <c r="L12422" s="45">
        <v>46014.09375</v>
      </c>
      <c r="M12422" s="46" t="s">
        <v>123</v>
      </c>
      <c r="N12422" s="45">
        <v>46014.135416666664</v>
      </c>
      <c r="O12422" s="46" t="s">
        <v>123</v>
      </c>
      <c r="P12422" s="46">
        <v>3600.0</v>
      </c>
    </row>
    <row r="12423">
      <c r="A12423" s="40">
        <f t="shared" si="1"/>
        <v>46013</v>
      </c>
      <c r="B12423" s="37" t="str">
        <f t="array" ref="B12423">iferror(xlookup($I12423, 'IMPORT VHC Report'!$E:$E, 'IMPORT VHC Report'!$A:$C), )</f>
        <v/>
      </c>
      <c r="C12423" s="44"/>
      <c r="D12423" s="44"/>
      <c r="E12423" s="46" t="s">
        <v>8441</v>
      </c>
      <c r="F12423" s="46" t="s">
        <v>5329</v>
      </c>
      <c r="G12423" s="46">
        <v>3.61733079315E11</v>
      </c>
      <c r="H12423" s="46" t="s">
        <v>5330</v>
      </c>
      <c r="I12423" s="46" t="s">
        <v>5331</v>
      </c>
      <c r="J12423" s="46" t="s">
        <v>368</v>
      </c>
      <c r="K12423" s="46" t="s">
        <v>63</v>
      </c>
      <c r="L12423" s="45">
        <v>46014.791666666664</v>
      </c>
      <c r="M12423" s="46" t="s">
        <v>123</v>
      </c>
      <c r="N12423" s="45">
        <v>46015.166666666664</v>
      </c>
      <c r="O12423" s="46" t="s">
        <v>123</v>
      </c>
      <c r="P12423" s="46">
        <v>32400.0</v>
      </c>
    </row>
    <row r="12424">
      <c r="A12424" s="40">
        <f t="shared" si="1"/>
        <v>46013</v>
      </c>
      <c r="B12424" s="37" t="str">
        <f t="array" ref="B12424">iferror(xlookup($I12424, 'IMPORT VHC Report'!$E:$E, 'IMPORT VHC Report'!$A:$C), )</f>
        <v/>
      </c>
      <c r="C12424" s="44"/>
      <c r="D12424" s="44"/>
      <c r="E12424" s="46" t="s">
        <v>8442</v>
      </c>
      <c r="F12424" s="46" t="s">
        <v>5329</v>
      </c>
      <c r="G12424" s="46">
        <v>3.61733079315E11</v>
      </c>
      <c r="H12424" s="46" t="s">
        <v>5330</v>
      </c>
      <c r="I12424" s="46" t="s">
        <v>5331</v>
      </c>
      <c r="J12424" s="46" t="s">
        <v>178</v>
      </c>
      <c r="K12424" s="46" t="s">
        <v>153</v>
      </c>
      <c r="L12424" s="45">
        <v>46014.791666666664</v>
      </c>
      <c r="M12424" s="46" t="s">
        <v>123</v>
      </c>
      <c r="N12424" s="45">
        <v>46015.166666666664</v>
      </c>
      <c r="O12424" s="46" t="s">
        <v>123</v>
      </c>
      <c r="P12424" s="46">
        <v>32400.0</v>
      </c>
      <c r="Q12424" s="46">
        <v>32400.0</v>
      </c>
      <c r="R12424" s="46" t="s">
        <v>421</v>
      </c>
      <c r="S12424" s="46" t="s">
        <v>421</v>
      </c>
    </row>
    <row r="12425">
      <c r="A12425" s="40">
        <f t="shared" si="1"/>
        <v>46013</v>
      </c>
      <c r="B12425" s="37" t="str">
        <f t="array" ref="B12425">iferror(xlookup($I12425, 'IMPORT VHC Report'!$E:$E, 'IMPORT VHC Report'!$A:$C), )</f>
        <v/>
      </c>
      <c r="C12425" s="44"/>
      <c r="D12425" s="44"/>
      <c r="E12425" s="46" t="s">
        <v>8443</v>
      </c>
      <c r="F12425" s="46" t="s">
        <v>5329</v>
      </c>
      <c r="G12425" s="46">
        <v>3.61733079315E11</v>
      </c>
      <c r="H12425" s="46" t="s">
        <v>5330</v>
      </c>
      <c r="I12425" s="46" t="s">
        <v>5331</v>
      </c>
      <c r="J12425" s="46" t="s">
        <v>134</v>
      </c>
      <c r="K12425" s="46" t="s">
        <v>126</v>
      </c>
      <c r="L12425" s="45">
        <v>46014.927083333336</v>
      </c>
      <c r="M12425" s="46" t="s">
        <v>123</v>
      </c>
      <c r="N12425" s="45">
        <v>46014.947916666664</v>
      </c>
      <c r="O12425" s="46" t="s">
        <v>123</v>
      </c>
      <c r="P12425" s="46">
        <v>1800.0</v>
      </c>
    </row>
    <row r="12426">
      <c r="A12426" s="40">
        <f t="shared" si="1"/>
        <v>46013</v>
      </c>
      <c r="B12426" s="37" t="str">
        <f t="array" ref="B12426">iferror(xlookup($I12426, 'IMPORT VHC Report'!$E:$E, 'IMPORT VHC Report'!$A:$C), )</f>
        <v/>
      </c>
      <c r="C12426" s="44"/>
      <c r="D12426" s="44"/>
      <c r="E12426" s="46" t="s">
        <v>8444</v>
      </c>
      <c r="F12426" s="46" t="s">
        <v>5329</v>
      </c>
      <c r="G12426" s="46">
        <v>3.61733079315E11</v>
      </c>
      <c r="H12426" s="46" t="s">
        <v>5330</v>
      </c>
      <c r="I12426" s="46" t="s">
        <v>5331</v>
      </c>
      <c r="J12426" s="46" t="s">
        <v>132</v>
      </c>
      <c r="K12426" s="46" t="s">
        <v>126</v>
      </c>
      <c r="L12426" s="45">
        <v>46015.114583333336</v>
      </c>
      <c r="M12426" s="46" t="s">
        <v>123</v>
      </c>
      <c r="N12426" s="45">
        <v>46015.15625</v>
      </c>
      <c r="O12426" s="46" t="s">
        <v>123</v>
      </c>
      <c r="P12426" s="46">
        <v>3600.0</v>
      </c>
    </row>
    <row r="12427">
      <c r="A12427" s="40">
        <f t="shared" si="1"/>
        <v>46013</v>
      </c>
      <c r="B12427" s="37" t="str">
        <f t="array" ref="B12427">iferror(xlookup($I12427, 'IMPORT VHC Report'!$E:$E, 'IMPORT VHC Report'!$A:$C), )</f>
        <v/>
      </c>
      <c r="C12427" s="44"/>
      <c r="D12427" s="44"/>
      <c r="E12427" s="46" t="s">
        <v>8445</v>
      </c>
      <c r="F12427" s="46" t="s">
        <v>5329</v>
      </c>
      <c r="G12427" s="46">
        <v>3.61733079315E11</v>
      </c>
      <c r="H12427" s="46" t="s">
        <v>5330</v>
      </c>
      <c r="I12427" s="46" t="s">
        <v>5331</v>
      </c>
      <c r="J12427" s="46" t="s">
        <v>368</v>
      </c>
      <c r="K12427" s="46" t="s">
        <v>63</v>
      </c>
      <c r="L12427" s="45">
        <v>46015.791666666664</v>
      </c>
      <c r="M12427" s="46" t="s">
        <v>123</v>
      </c>
      <c r="N12427" s="45">
        <v>46016.166666666664</v>
      </c>
      <c r="O12427" s="46" t="s">
        <v>123</v>
      </c>
      <c r="P12427" s="46">
        <v>32400.0</v>
      </c>
    </row>
    <row r="12428">
      <c r="A12428" s="40">
        <f t="shared" si="1"/>
        <v>46013</v>
      </c>
      <c r="B12428" s="37" t="str">
        <f t="array" ref="B12428">iferror(xlookup($I12428, 'IMPORT VHC Report'!$E:$E, 'IMPORT VHC Report'!$A:$C), )</f>
        <v/>
      </c>
      <c r="C12428" s="44"/>
      <c r="D12428" s="44"/>
      <c r="E12428" s="46" t="s">
        <v>8446</v>
      </c>
      <c r="F12428" s="46" t="s">
        <v>5329</v>
      </c>
      <c r="G12428" s="46">
        <v>3.61733079315E11</v>
      </c>
      <c r="H12428" s="46" t="s">
        <v>5330</v>
      </c>
      <c r="I12428" s="46" t="s">
        <v>5331</v>
      </c>
      <c r="J12428" s="46" t="s">
        <v>134</v>
      </c>
      <c r="K12428" s="46" t="s">
        <v>126</v>
      </c>
      <c r="L12428" s="45">
        <v>46015.9375</v>
      </c>
      <c r="M12428" s="46" t="s">
        <v>123</v>
      </c>
      <c r="N12428" s="45">
        <v>46015.958333333336</v>
      </c>
      <c r="O12428" s="46" t="s">
        <v>123</v>
      </c>
      <c r="P12428" s="46">
        <v>1800.0</v>
      </c>
    </row>
    <row r="12429">
      <c r="A12429" s="40">
        <f t="shared" si="1"/>
        <v>46013</v>
      </c>
      <c r="B12429" s="37" t="str">
        <f t="array" ref="B12429">iferror(xlookup($I12429, 'IMPORT VHC Report'!$E:$E, 'IMPORT VHC Report'!$A:$C), )</f>
        <v/>
      </c>
      <c r="C12429" s="44"/>
      <c r="D12429" s="44"/>
      <c r="E12429" s="46" t="s">
        <v>8447</v>
      </c>
      <c r="F12429" s="46" t="s">
        <v>5329</v>
      </c>
      <c r="G12429" s="46">
        <v>3.61733079315E11</v>
      </c>
      <c r="H12429" s="46" t="s">
        <v>5330</v>
      </c>
      <c r="I12429" s="46" t="s">
        <v>5331</v>
      </c>
      <c r="J12429" s="46" t="s">
        <v>132</v>
      </c>
      <c r="K12429" s="46" t="s">
        <v>126</v>
      </c>
      <c r="L12429" s="45">
        <v>46016.052083333336</v>
      </c>
      <c r="M12429" s="46" t="s">
        <v>123</v>
      </c>
      <c r="N12429" s="45">
        <v>46016.09375</v>
      </c>
      <c r="O12429" s="46" t="s">
        <v>123</v>
      </c>
      <c r="P12429" s="46">
        <v>3600.0</v>
      </c>
    </row>
    <row r="12430">
      <c r="A12430" s="40">
        <f t="shared" si="1"/>
        <v>46013</v>
      </c>
      <c r="B12430" s="37" t="str">
        <f t="array" ref="B12430">iferror(xlookup($I12430, 'IMPORT VHC Report'!$E:$E, 'IMPORT VHC Report'!$A:$C), )</f>
        <v/>
      </c>
      <c r="C12430" s="44"/>
      <c r="D12430" s="44"/>
      <c r="E12430" s="46" t="s">
        <v>8448</v>
      </c>
      <c r="F12430" s="46" t="s">
        <v>5329</v>
      </c>
      <c r="G12430" s="46">
        <v>3.61733079315E11</v>
      </c>
      <c r="H12430" s="46" t="s">
        <v>5330</v>
      </c>
      <c r="I12430" s="46" t="s">
        <v>5331</v>
      </c>
      <c r="J12430" s="46" t="s">
        <v>368</v>
      </c>
      <c r="K12430" s="46" t="s">
        <v>63</v>
      </c>
      <c r="L12430" s="45">
        <v>46016.791666666664</v>
      </c>
      <c r="M12430" s="46" t="s">
        <v>123</v>
      </c>
      <c r="N12430" s="45">
        <v>46017.166666666664</v>
      </c>
      <c r="O12430" s="46" t="s">
        <v>123</v>
      </c>
      <c r="P12430" s="46">
        <v>32400.0</v>
      </c>
    </row>
    <row r="12431">
      <c r="A12431" s="40">
        <f t="shared" si="1"/>
        <v>46013</v>
      </c>
      <c r="B12431" s="37" t="str">
        <f t="array" ref="B12431">iferror(xlookup($I12431, 'IMPORT VHC Report'!$E:$E, 'IMPORT VHC Report'!$A:$C), )</f>
        <v/>
      </c>
      <c r="C12431" s="44"/>
      <c r="D12431" s="44"/>
      <c r="E12431" s="46" t="s">
        <v>8449</v>
      </c>
      <c r="F12431" s="46" t="s">
        <v>5329</v>
      </c>
      <c r="G12431" s="46">
        <v>3.61733079315E11</v>
      </c>
      <c r="H12431" s="46" t="s">
        <v>5330</v>
      </c>
      <c r="I12431" s="46" t="s">
        <v>5331</v>
      </c>
      <c r="J12431" s="46" t="s">
        <v>134</v>
      </c>
      <c r="K12431" s="46" t="s">
        <v>126</v>
      </c>
      <c r="L12431" s="45">
        <v>46017.020833333336</v>
      </c>
      <c r="M12431" s="46" t="s">
        <v>123</v>
      </c>
      <c r="N12431" s="45">
        <v>46017.041666666664</v>
      </c>
      <c r="O12431" s="46" t="s">
        <v>123</v>
      </c>
      <c r="P12431" s="46">
        <v>1800.0</v>
      </c>
    </row>
    <row r="12432">
      <c r="A12432" s="40">
        <f t="shared" si="1"/>
        <v>46013</v>
      </c>
      <c r="B12432" s="37" t="str">
        <f t="array" ref="B12432">iferror(xlookup($I12432, 'IMPORT VHC Report'!$E:$E, 'IMPORT VHC Report'!$A:$C), )</f>
        <v/>
      </c>
      <c r="C12432" s="44"/>
      <c r="D12432" s="44"/>
      <c r="E12432" s="46" t="s">
        <v>8450</v>
      </c>
      <c r="F12432" s="46" t="s">
        <v>5329</v>
      </c>
      <c r="G12432" s="46">
        <v>3.61733079315E11</v>
      </c>
      <c r="H12432" s="46" t="s">
        <v>5330</v>
      </c>
      <c r="I12432" s="46" t="s">
        <v>5331</v>
      </c>
      <c r="J12432" s="46" t="s">
        <v>132</v>
      </c>
      <c r="K12432" s="46" t="s">
        <v>126</v>
      </c>
      <c r="L12432" s="45">
        <v>46017.125</v>
      </c>
      <c r="M12432" s="46" t="s">
        <v>123</v>
      </c>
      <c r="N12432" s="45">
        <v>46017.166666666664</v>
      </c>
      <c r="O12432" s="46" t="s">
        <v>123</v>
      </c>
      <c r="P12432" s="46">
        <v>3600.0</v>
      </c>
    </row>
    <row r="12433">
      <c r="A12433" s="40">
        <f t="shared" si="1"/>
        <v>46013</v>
      </c>
      <c r="B12433" s="37" t="str">
        <f t="array" ref="B12433">iferror(xlookup($I12433, 'IMPORT VHC Report'!$E:$E, 'IMPORT VHC Report'!$A:$C), )</f>
        <v/>
      </c>
      <c r="C12433" s="44"/>
      <c r="D12433" s="44"/>
      <c r="E12433" s="46" t="s">
        <v>8451</v>
      </c>
      <c r="F12433" s="46" t="s">
        <v>5329</v>
      </c>
      <c r="G12433" s="46">
        <v>3.61733079315E11</v>
      </c>
      <c r="H12433" s="46" t="s">
        <v>5330</v>
      </c>
      <c r="I12433" s="46" t="s">
        <v>5331</v>
      </c>
      <c r="J12433" s="46" t="s">
        <v>368</v>
      </c>
      <c r="K12433" s="46" t="s">
        <v>63</v>
      </c>
      <c r="L12433" s="45">
        <v>46017.791666666664</v>
      </c>
      <c r="M12433" s="46" t="s">
        <v>123</v>
      </c>
      <c r="N12433" s="45">
        <v>46018.166666666664</v>
      </c>
      <c r="O12433" s="46" t="s">
        <v>123</v>
      </c>
      <c r="P12433" s="46">
        <v>32400.0</v>
      </c>
    </row>
    <row r="12434">
      <c r="A12434" s="40">
        <f t="shared" si="1"/>
        <v>46013</v>
      </c>
      <c r="B12434" s="37" t="str">
        <f t="array" ref="B12434">iferror(xlookup($I12434, 'IMPORT VHC Report'!$E:$E, 'IMPORT VHC Report'!$A:$C), )</f>
        <v/>
      </c>
      <c r="C12434" s="44"/>
      <c r="D12434" s="44"/>
      <c r="E12434" s="46" t="s">
        <v>8452</v>
      </c>
      <c r="F12434" s="46" t="s">
        <v>5329</v>
      </c>
      <c r="G12434" s="46">
        <v>3.61733079315E11</v>
      </c>
      <c r="H12434" s="46" t="s">
        <v>5330</v>
      </c>
      <c r="I12434" s="46" t="s">
        <v>5331</v>
      </c>
      <c r="J12434" s="46" t="s">
        <v>134</v>
      </c>
      <c r="K12434" s="46" t="s">
        <v>126</v>
      </c>
      <c r="L12434" s="45">
        <v>46018.0</v>
      </c>
      <c r="M12434" s="46" t="s">
        <v>123</v>
      </c>
      <c r="N12434" s="45">
        <v>46018.020833333336</v>
      </c>
      <c r="O12434" s="46" t="s">
        <v>123</v>
      </c>
      <c r="P12434" s="46">
        <v>1800.0</v>
      </c>
    </row>
    <row r="12435">
      <c r="A12435" s="40">
        <f t="shared" si="1"/>
        <v>46013</v>
      </c>
      <c r="B12435" s="37" t="str">
        <f t="array" ref="B12435">iferror(xlookup($I12435, 'IMPORT VHC Report'!$E:$E, 'IMPORT VHC Report'!$A:$C), )</f>
        <v/>
      </c>
      <c r="C12435" s="44"/>
      <c r="D12435" s="44"/>
      <c r="E12435" s="46" t="s">
        <v>8453</v>
      </c>
      <c r="F12435" s="46" t="s">
        <v>5329</v>
      </c>
      <c r="G12435" s="46">
        <v>3.61733079315E11</v>
      </c>
      <c r="H12435" s="46" t="s">
        <v>5330</v>
      </c>
      <c r="I12435" s="46" t="s">
        <v>5331</v>
      </c>
      <c r="J12435" s="46" t="s">
        <v>132</v>
      </c>
      <c r="K12435" s="46" t="s">
        <v>126</v>
      </c>
      <c r="L12435" s="45">
        <v>46018.125</v>
      </c>
      <c r="M12435" s="46" t="s">
        <v>123</v>
      </c>
      <c r="N12435" s="45">
        <v>46018.166666666664</v>
      </c>
      <c r="O12435" s="46" t="s">
        <v>123</v>
      </c>
      <c r="P12435" s="46">
        <v>3600.0</v>
      </c>
    </row>
    <row r="12436">
      <c r="A12436" s="40">
        <f t="shared" si="1"/>
        <v>46013</v>
      </c>
      <c r="B12436" s="37" t="str">
        <f t="array" ref="B12436">iferror(xlookup($I12436, 'IMPORT VHC Report'!$E:$E, 'IMPORT VHC Report'!$A:$C), )</f>
        <v/>
      </c>
      <c r="C12436" s="44"/>
      <c r="D12436" s="44"/>
      <c r="E12436" s="46" t="s">
        <v>8454</v>
      </c>
      <c r="F12436" s="46" t="s">
        <v>5253</v>
      </c>
      <c r="G12436" s="46">
        <v>3.61731648215E11</v>
      </c>
      <c r="H12436" s="46" t="s">
        <v>5254</v>
      </c>
      <c r="I12436" s="46" t="s">
        <v>5255</v>
      </c>
      <c r="J12436" s="46" t="s">
        <v>368</v>
      </c>
      <c r="K12436" s="46" t="s">
        <v>63</v>
      </c>
      <c r="L12436" s="45">
        <v>46013.791666666664</v>
      </c>
      <c r="M12436" s="46" t="s">
        <v>123</v>
      </c>
      <c r="N12436" s="45">
        <v>46014.166666666664</v>
      </c>
      <c r="O12436" s="46" t="s">
        <v>123</v>
      </c>
      <c r="P12436" s="46">
        <v>32400.0</v>
      </c>
    </row>
    <row r="12437">
      <c r="A12437" s="40">
        <f t="shared" si="1"/>
        <v>46013</v>
      </c>
      <c r="B12437" s="37" t="str">
        <f t="array" ref="B12437">iferror(xlookup($I12437, 'IMPORT VHC Report'!$E:$E, 'IMPORT VHC Report'!$A:$C), )</f>
        <v/>
      </c>
      <c r="C12437" s="44"/>
      <c r="D12437" s="44"/>
      <c r="E12437" s="46" t="s">
        <v>8455</v>
      </c>
      <c r="F12437" s="46" t="s">
        <v>5253</v>
      </c>
      <c r="G12437" s="46">
        <v>3.61731648215E11</v>
      </c>
      <c r="H12437" s="46" t="s">
        <v>5254</v>
      </c>
      <c r="I12437" s="46" t="s">
        <v>5255</v>
      </c>
      <c r="J12437" s="46" t="s">
        <v>134</v>
      </c>
      <c r="K12437" s="46" t="s">
        <v>126</v>
      </c>
      <c r="L12437" s="45">
        <v>46013.989583333336</v>
      </c>
      <c r="M12437" s="46" t="s">
        <v>123</v>
      </c>
      <c r="N12437" s="45">
        <v>46014.010416666664</v>
      </c>
      <c r="O12437" s="46" t="s">
        <v>123</v>
      </c>
      <c r="P12437" s="46">
        <v>1800.0</v>
      </c>
    </row>
    <row r="12438">
      <c r="A12438" s="40">
        <f t="shared" si="1"/>
        <v>46013</v>
      </c>
      <c r="B12438" s="37" t="str">
        <f t="array" ref="B12438">iferror(xlookup($I12438, 'IMPORT VHC Report'!$E:$E, 'IMPORT VHC Report'!$A:$C), )</f>
        <v/>
      </c>
      <c r="C12438" s="44"/>
      <c r="D12438" s="44"/>
      <c r="E12438" s="46" t="s">
        <v>8456</v>
      </c>
      <c r="F12438" s="46" t="s">
        <v>5253</v>
      </c>
      <c r="G12438" s="46">
        <v>3.61731648215E11</v>
      </c>
      <c r="H12438" s="46" t="s">
        <v>5254</v>
      </c>
      <c r="I12438" s="46" t="s">
        <v>5255</v>
      </c>
      <c r="J12438" s="46" t="s">
        <v>132</v>
      </c>
      <c r="K12438" s="46" t="s">
        <v>126</v>
      </c>
      <c r="L12438" s="45">
        <v>46014.0625</v>
      </c>
      <c r="M12438" s="46" t="s">
        <v>123</v>
      </c>
      <c r="N12438" s="45">
        <v>46014.104166666664</v>
      </c>
      <c r="O12438" s="46" t="s">
        <v>123</v>
      </c>
      <c r="P12438" s="46">
        <v>3600.0</v>
      </c>
    </row>
    <row r="12439">
      <c r="A12439" s="40">
        <f t="shared" si="1"/>
        <v>46013</v>
      </c>
      <c r="B12439" s="37" t="str">
        <f t="array" ref="B12439">iferror(xlookup($I12439, 'IMPORT VHC Report'!$E:$E, 'IMPORT VHC Report'!$A:$C), )</f>
        <v/>
      </c>
      <c r="C12439" s="44"/>
      <c r="D12439" s="44"/>
      <c r="E12439" s="46" t="s">
        <v>8457</v>
      </c>
      <c r="F12439" s="46" t="s">
        <v>5253</v>
      </c>
      <c r="G12439" s="46">
        <v>3.61731648215E11</v>
      </c>
      <c r="H12439" s="46" t="s">
        <v>5254</v>
      </c>
      <c r="I12439" s="46" t="s">
        <v>5255</v>
      </c>
      <c r="J12439" s="46" t="s">
        <v>134</v>
      </c>
      <c r="K12439" s="46" t="s">
        <v>126</v>
      </c>
      <c r="L12439" s="45">
        <v>46014.104166666664</v>
      </c>
      <c r="M12439" s="46" t="s">
        <v>123</v>
      </c>
      <c r="N12439" s="45">
        <v>46014.131944444445</v>
      </c>
      <c r="O12439" s="46" t="s">
        <v>123</v>
      </c>
      <c r="P12439" s="46">
        <v>2400.0</v>
      </c>
      <c r="S12439" s="46" t="s">
        <v>2274</v>
      </c>
    </row>
    <row r="12440">
      <c r="A12440" s="40">
        <f t="shared" si="1"/>
        <v>46013</v>
      </c>
      <c r="B12440" s="37" t="str">
        <f t="array" ref="B12440">iferror(xlookup($I12440, 'IMPORT VHC Report'!$E:$E, 'IMPORT VHC Report'!$A:$C), )</f>
        <v/>
      </c>
      <c r="C12440" s="44"/>
      <c r="D12440" s="44"/>
      <c r="E12440" s="46" t="s">
        <v>8458</v>
      </c>
      <c r="F12440" s="46" t="s">
        <v>5253</v>
      </c>
      <c r="G12440" s="46">
        <v>3.61731648215E11</v>
      </c>
      <c r="H12440" s="46" t="s">
        <v>5254</v>
      </c>
      <c r="I12440" s="46" t="s">
        <v>5255</v>
      </c>
      <c r="J12440" s="46" t="s">
        <v>368</v>
      </c>
      <c r="K12440" s="46" t="s">
        <v>63</v>
      </c>
      <c r="L12440" s="45">
        <v>46014.791666666664</v>
      </c>
      <c r="M12440" s="46" t="s">
        <v>123</v>
      </c>
      <c r="N12440" s="45">
        <v>46015.166666666664</v>
      </c>
      <c r="O12440" s="46" t="s">
        <v>123</v>
      </c>
      <c r="P12440" s="46">
        <v>32400.0</v>
      </c>
    </row>
    <row r="12441">
      <c r="A12441" s="40">
        <f t="shared" si="1"/>
        <v>46013</v>
      </c>
      <c r="B12441" s="37" t="str">
        <f t="array" ref="B12441">iferror(xlookup($I12441, 'IMPORT VHC Report'!$E:$E, 'IMPORT VHC Report'!$A:$C), )</f>
        <v/>
      </c>
      <c r="C12441" s="44"/>
      <c r="D12441" s="44"/>
      <c r="E12441" s="46" t="s">
        <v>8459</v>
      </c>
      <c r="F12441" s="46" t="s">
        <v>5253</v>
      </c>
      <c r="G12441" s="46">
        <v>3.61731648215E11</v>
      </c>
      <c r="H12441" s="46" t="s">
        <v>5254</v>
      </c>
      <c r="I12441" s="46" t="s">
        <v>5255</v>
      </c>
      <c r="J12441" s="46" t="s">
        <v>134</v>
      </c>
      <c r="K12441" s="46" t="s">
        <v>126</v>
      </c>
      <c r="L12441" s="45">
        <v>46014.979166666664</v>
      </c>
      <c r="M12441" s="46" t="s">
        <v>123</v>
      </c>
      <c r="N12441" s="45">
        <v>46015.0</v>
      </c>
      <c r="O12441" s="46" t="s">
        <v>123</v>
      </c>
      <c r="P12441" s="46">
        <v>1800.0</v>
      </c>
    </row>
    <row r="12442">
      <c r="A12442" s="40">
        <f t="shared" si="1"/>
        <v>46013</v>
      </c>
      <c r="B12442" s="37" t="str">
        <f t="array" ref="B12442">iferror(xlookup($I12442, 'IMPORT VHC Report'!$E:$E, 'IMPORT VHC Report'!$A:$C), )</f>
        <v/>
      </c>
      <c r="C12442" s="44"/>
      <c r="D12442" s="44"/>
      <c r="E12442" s="46" t="s">
        <v>8460</v>
      </c>
      <c r="F12442" s="46" t="s">
        <v>5253</v>
      </c>
      <c r="G12442" s="46">
        <v>3.61731648215E11</v>
      </c>
      <c r="H12442" s="46" t="s">
        <v>5254</v>
      </c>
      <c r="I12442" s="46" t="s">
        <v>5255</v>
      </c>
      <c r="J12442" s="46" t="s">
        <v>132</v>
      </c>
      <c r="K12442" s="46" t="s">
        <v>126</v>
      </c>
      <c r="L12442" s="45">
        <v>46015.0625</v>
      </c>
      <c r="M12442" s="46" t="s">
        <v>123</v>
      </c>
      <c r="N12442" s="45">
        <v>46015.104166666664</v>
      </c>
      <c r="O12442" s="46" t="s">
        <v>123</v>
      </c>
      <c r="P12442" s="46">
        <v>3600.0</v>
      </c>
    </row>
    <row r="12443">
      <c r="A12443" s="40">
        <f t="shared" si="1"/>
        <v>46013</v>
      </c>
      <c r="B12443" s="37" t="str">
        <f t="array" ref="B12443">iferror(xlookup($I12443, 'IMPORT VHC Report'!$E:$E, 'IMPORT VHC Report'!$A:$C), )</f>
        <v/>
      </c>
      <c r="C12443" s="44"/>
      <c r="D12443" s="44"/>
      <c r="E12443" s="46" t="s">
        <v>8461</v>
      </c>
      <c r="F12443" s="46" t="s">
        <v>5253</v>
      </c>
      <c r="G12443" s="46">
        <v>3.61731648215E11</v>
      </c>
      <c r="H12443" s="46" t="s">
        <v>5254</v>
      </c>
      <c r="I12443" s="46" t="s">
        <v>5255</v>
      </c>
      <c r="J12443" s="46" t="s">
        <v>134</v>
      </c>
      <c r="K12443" s="46" t="s">
        <v>126</v>
      </c>
      <c r="L12443" s="45">
        <v>46015.104166666664</v>
      </c>
      <c r="M12443" s="46" t="s">
        <v>123</v>
      </c>
      <c r="N12443" s="45">
        <v>46015.131944444445</v>
      </c>
      <c r="O12443" s="46" t="s">
        <v>123</v>
      </c>
      <c r="P12443" s="46">
        <v>2400.0</v>
      </c>
      <c r="S12443" s="46" t="s">
        <v>2274</v>
      </c>
    </row>
    <row r="12444">
      <c r="A12444" s="40">
        <f t="shared" si="1"/>
        <v>46013</v>
      </c>
      <c r="B12444" s="37" t="str">
        <f t="array" ref="B12444">iferror(xlookup($I12444, 'IMPORT VHC Report'!$E:$E, 'IMPORT VHC Report'!$A:$C), )</f>
        <v/>
      </c>
      <c r="C12444" s="44"/>
      <c r="D12444" s="44"/>
      <c r="E12444" s="46" t="s">
        <v>8462</v>
      </c>
      <c r="F12444" s="46" t="s">
        <v>5253</v>
      </c>
      <c r="G12444" s="46">
        <v>3.61731648215E11</v>
      </c>
      <c r="H12444" s="46" t="s">
        <v>5254</v>
      </c>
      <c r="I12444" s="46" t="s">
        <v>5255</v>
      </c>
      <c r="J12444" s="46" t="s">
        <v>178</v>
      </c>
      <c r="K12444" s="46" t="s">
        <v>153</v>
      </c>
      <c r="L12444" s="45">
        <v>46015.791666666664</v>
      </c>
      <c r="M12444" s="46" t="s">
        <v>123</v>
      </c>
      <c r="N12444" s="45">
        <v>46016.166666666664</v>
      </c>
      <c r="O12444" s="46" t="s">
        <v>123</v>
      </c>
      <c r="P12444" s="46">
        <v>32400.0</v>
      </c>
      <c r="Q12444" s="46">
        <v>32400.0</v>
      </c>
      <c r="R12444" s="46" t="s">
        <v>550</v>
      </c>
      <c r="S12444" s="46" t="s">
        <v>550</v>
      </c>
    </row>
    <row r="12445">
      <c r="A12445" s="40">
        <f t="shared" si="1"/>
        <v>46013</v>
      </c>
      <c r="B12445" s="37" t="str">
        <f t="array" ref="B12445">iferror(xlookup($I12445, 'IMPORT VHC Report'!$E:$E, 'IMPORT VHC Report'!$A:$C), )</f>
        <v/>
      </c>
      <c r="C12445" s="44"/>
      <c r="D12445" s="44"/>
      <c r="E12445" s="46" t="s">
        <v>8463</v>
      </c>
      <c r="F12445" s="46" t="s">
        <v>5253</v>
      </c>
      <c r="G12445" s="46">
        <v>3.61731648215E11</v>
      </c>
      <c r="H12445" s="46" t="s">
        <v>5254</v>
      </c>
      <c r="I12445" s="46" t="s">
        <v>5255</v>
      </c>
      <c r="J12445" s="46" t="s">
        <v>368</v>
      </c>
      <c r="K12445" s="46" t="s">
        <v>63</v>
      </c>
      <c r="L12445" s="45">
        <v>46015.791666666664</v>
      </c>
      <c r="M12445" s="46" t="s">
        <v>123</v>
      </c>
      <c r="N12445" s="45">
        <v>46016.166666666664</v>
      </c>
      <c r="O12445" s="46" t="s">
        <v>123</v>
      </c>
      <c r="P12445" s="46">
        <v>32400.0</v>
      </c>
    </row>
    <row r="12446">
      <c r="A12446" s="40">
        <f t="shared" si="1"/>
        <v>46013</v>
      </c>
      <c r="B12446" s="37" t="str">
        <f t="array" ref="B12446">iferror(xlookup($I12446, 'IMPORT VHC Report'!$E:$E, 'IMPORT VHC Report'!$A:$C), )</f>
        <v/>
      </c>
      <c r="C12446" s="44"/>
      <c r="D12446" s="44"/>
      <c r="E12446" s="46" t="s">
        <v>8464</v>
      </c>
      <c r="F12446" s="46" t="s">
        <v>5253</v>
      </c>
      <c r="G12446" s="46">
        <v>3.61731648215E11</v>
      </c>
      <c r="H12446" s="46" t="s">
        <v>5254</v>
      </c>
      <c r="I12446" s="46" t="s">
        <v>5255</v>
      </c>
      <c r="J12446" s="46" t="s">
        <v>134</v>
      </c>
      <c r="K12446" s="46" t="s">
        <v>126</v>
      </c>
      <c r="L12446" s="45">
        <v>46015.927083333336</v>
      </c>
      <c r="M12446" s="46" t="s">
        <v>123</v>
      </c>
      <c r="N12446" s="45">
        <v>46015.947916666664</v>
      </c>
      <c r="O12446" s="46" t="s">
        <v>123</v>
      </c>
      <c r="P12446" s="46">
        <v>1800.0</v>
      </c>
    </row>
    <row r="12447">
      <c r="A12447" s="40">
        <f t="shared" si="1"/>
        <v>46013</v>
      </c>
      <c r="B12447" s="37" t="str">
        <f t="array" ref="B12447">iferror(xlookup($I12447, 'IMPORT VHC Report'!$E:$E, 'IMPORT VHC Report'!$A:$C), )</f>
        <v/>
      </c>
      <c r="C12447" s="44"/>
      <c r="D12447" s="44"/>
      <c r="E12447" s="46" t="s">
        <v>8465</v>
      </c>
      <c r="F12447" s="46" t="s">
        <v>5253</v>
      </c>
      <c r="G12447" s="46">
        <v>3.61731648215E11</v>
      </c>
      <c r="H12447" s="46" t="s">
        <v>5254</v>
      </c>
      <c r="I12447" s="46" t="s">
        <v>5255</v>
      </c>
      <c r="J12447" s="46" t="s">
        <v>132</v>
      </c>
      <c r="K12447" s="46" t="s">
        <v>126</v>
      </c>
      <c r="L12447" s="45">
        <v>46016.0625</v>
      </c>
      <c r="M12447" s="46" t="s">
        <v>123</v>
      </c>
      <c r="N12447" s="45">
        <v>46016.104166666664</v>
      </c>
      <c r="O12447" s="46" t="s">
        <v>123</v>
      </c>
      <c r="P12447" s="46">
        <v>3600.0</v>
      </c>
    </row>
    <row r="12448">
      <c r="A12448" s="40">
        <f t="shared" si="1"/>
        <v>46013</v>
      </c>
      <c r="B12448" s="37" t="str">
        <f t="array" ref="B12448">iferror(xlookup($I12448, 'IMPORT VHC Report'!$E:$E, 'IMPORT VHC Report'!$A:$C), )</f>
        <v/>
      </c>
      <c r="C12448" s="44"/>
      <c r="D12448" s="44"/>
      <c r="E12448" s="46" t="s">
        <v>8466</v>
      </c>
      <c r="F12448" s="46" t="s">
        <v>5253</v>
      </c>
      <c r="G12448" s="46">
        <v>3.61731648215E11</v>
      </c>
      <c r="H12448" s="46" t="s">
        <v>5254</v>
      </c>
      <c r="I12448" s="46" t="s">
        <v>5255</v>
      </c>
      <c r="J12448" s="46" t="s">
        <v>134</v>
      </c>
      <c r="K12448" s="46" t="s">
        <v>126</v>
      </c>
      <c r="L12448" s="45">
        <v>46016.104166666664</v>
      </c>
      <c r="M12448" s="46" t="s">
        <v>123</v>
      </c>
      <c r="N12448" s="45">
        <v>46016.131944444445</v>
      </c>
      <c r="O12448" s="46" t="s">
        <v>123</v>
      </c>
      <c r="P12448" s="46">
        <v>2400.0</v>
      </c>
      <c r="S12448" s="46" t="s">
        <v>2274</v>
      </c>
    </row>
    <row r="12449">
      <c r="A12449" s="40">
        <f t="shared" si="1"/>
        <v>46013</v>
      </c>
      <c r="B12449" s="37" t="str">
        <f t="array" ref="B12449">iferror(xlookup($I12449, 'IMPORT VHC Report'!$E:$E, 'IMPORT VHC Report'!$A:$C), )</f>
        <v/>
      </c>
      <c r="C12449" s="44"/>
      <c r="D12449" s="44"/>
      <c r="E12449" s="46" t="s">
        <v>8467</v>
      </c>
      <c r="F12449" s="46" t="s">
        <v>5253</v>
      </c>
      <c r="G12449" s="46">
        <v>3.61731648215E11</v>
      </c>
      <c r="H12449" s="46" t="s">
        <v>5254</v>
      </c>
      <c r="I12449" s="46" t="s">
        <v>5255</v>
      </c>
      <c r="J12449" s="46" t="s">
        <v>178</v>
      </c>
      <c r="K12449" s="46" t="s">
        <v>153</v>
      </c>
      <c r="L12449" s="45">
        <v>46016.791666666664</v>
      </c>
      <c r="M12449" s="46" t="s">
        <v>123</v>
      </c>
      <c r="N12449" s="45">
        <v>46017.166666666664</v>
      </c>
      <c r="O12449" s="46" t="s">
        <v>123</v>
      </c>
      <c r="P12449" s="46">
        <v>32400.0</v>
      </c>
      <c r="Q12449" s="46">
        <v>32400.0</v>
      </c>
      <c r="R12449" s="46" t="s">
        <v>550</v>
      </c>
      <c r="S12449" s="46" t="s">
        <v>550</v>
      </c>
    </row>
    <row r="12450">
      <c r="A12450" s="40">
        <f t="shared" si="1"/>
        <v>46013</v>
      </c>
      <c r="B12450" s="37" t="str">
        <f t="array" ref="B12450">iferror(xlookup($I12450, 'IMPORT VHC Report'!$E:$E, 'IMPORT VHC Report'!$A:$C), )</f>
        <v/>
      </c>
      <c r="C12450" s="44"/>
      <c r="D12450" s="44"/>
      <c r="E12450" s="46" t="s">
        <v>8468</v>
      </c>
      <c r="F12450" s="46" t="s">
        <v>5253</v>
      </c>
      <c r="G12450" s="46">
        <v>3.61731648215E11</v>
      </c>
      <c r="H12450" s="46" t="s">
        <v>5254</v>
      </c>
      <c r="I12450" s="46" t="s">
        <v>5255</v>
      </c>
      <c r="J12450" s="46" t="s">
        <v>134</v>
      </c>
      <c r="K12450" s="46" t="s">
        <v>126</v>
      </c>
      <c r="L12450" s="45">
        <v>46016.947916666664</v>
      </c>
      <c r="M12450" s="46" t="s">
        <v>123</v>
      </c>
      <c r="N12450" s="45">
        <v>46016.96875</v>
      </c>
      <c r="O12450" s="46" t="s">
        <v>123</v>
      </c>
      <c r="P12450" s="46">
        <v>1800.0</v>
      </c>
    </row>
    <row r="12451">
      <c r="A12451" s="40">
        <f t="shared" si="1"/>
        <v>46013</v>
      </c>
      <c r="B12451" s="37" t="str">
        <f t="array" ref="B12451">iferror(xlookup($I12451, 'IMPORT VHC Report'!$E:$E, 'IMPORT VHC Report'!$A:$C), )</f>
        <v/>
      </c>
      <c r="C12451" s="44"/>
      <c r="D12451" s="44"/>
      <c r="E12451" s="46" t="s">
        <v>8469</v>
      </c>
      <c r="F12451" s="46" t="s">
        <v>5253</v>
      </c>
      <c r="G12451" s="46">
        <v>3.61731648215E11</v>
      </c>
      <c r="H12451" s="46" t="s">
        <v>5254</v>
      </c>
      <c r="I12451" s="46" t="s">
        <v>5255</v>
      </c>
      <c r="J12451" s="46" t="s">
        <v>132</v>
      </c>
      <c r="K12451" s="46" t="s">
        <v>126</v>
      </c>
      <c r="L12451" s="45">
        <v>46017.0625</v>
      </c>
      <c r="M12451" s="46" t="s">
        <v>123</v>
      </c>
      <c r="N12451" s="45">
        <v>46017.104166666664</v>
      </c>
      <c r="O12451" s="46" t="s">
        <v>123</v>
      </c>
      <c r="P12451" s="46">
        <v>3600.0</v>
      </c>
    </row>
    <row r="12452">
      <c r="A12452" s="40">
        <f t="shared" si="1"/>
        <v>46013</v>
      </c>
      <c r="B12452" s="37" t="str">
        <f t="array" ref="B12452">iferror(xlookup($I12452, 'IMPORT VHC Report'!$E:$E, 'IMPORT VHC Report'!$A:$C), )</f>
        <v/>
      </c>
      <c r="C12452" s="44"/>
      <c r="D12452" s="44"/>
      <c r="E12452" s="46" t="s">
        <v>8470</v>
      </c>
      <c r="F12452" s="46" t="s">
        <v>5253</v>
      </c>
      <c r="G12452" s="46">
        <v>3.61731648215E11</v>
      </c>
      <c r="H12452" s="46" t="s">
        <v>5254</v>
      </c>
      <c r="I12452" s="46" t="s">
        <v>5255</v>
      </c>
      <c r="J12452" s="46" t="s">
        <v>134</v>
      </c>
      <c r="K12452" s="46" t="s">
        <v>126</v>
      </c>
      <c r="L12452" s="45">
        <v>46017.104166666664</v>
      </c>
      <c r="M12452" s="46" t="s">
        <v>123</v>
      </c>
      <c r="N12452" s="45">
        <v>46017.131944444445</v>
      </c>
      <c r="O12452" s="46" t="s">
        <v>123</v>
      </c>
      <c r="P12452" s="46">
        <v>2400.0</v>
      </c>
      <c r="S12452" s="46" t="s">
        <v>2274</v>
      </c>
    </row>
    <row r="12453">
      <c r="A12453" s="40">
        <f t="shared" si="1"/>
        <v>46013</v>
      </c>
      <c r="B12453" s="37" t="str">
        <f t="array" ref="B12453">iferror(xlookup($I12453, 'IMPORT VHC Report'!$E:$E, 'IMPORT VHC Report'!$A:$C), )</f>
        <v/>
      </c>
      <c r="C12453" s="44"/>
      <c r="D12453" s="44"/>
      <c r="E12453" s="46" t="s">
        <v>8471</v>
      </c>
      <c r="F12453" s="46" t="s">
        <v>5253</v>
      </c>
      <c r="G12453" s="46">
        <v>3.61731648215E11</v>
      </c>
      <c r="H12453" s="46" t="s">
        <v>5254</v>
      </c>
      <c r="I12453" s="46" t="s">
        <v>5255</v>
      </c>
      <c r="J12453" s="46" t="s">
        <v>178</v>
      </c>
      <c r="K12453" s="46" t="s">
        <v>153</v>
      </c>
      <c r="L12453" s="45">
        <v>46017.791666666664</v>
      </c>
      <c r="M12453" s="46" t="s">
        <v>123</v>
      </c>
      <c r="N12453" s="45">
        <v>46018.166666666664</v>
      </c>
      <c r="O12453" s="46" t="s">
        <v>123</v>
      </c>
      <c r="P12453" s="46">
        <v>32400.0</v>
      </c>
      <c r="Q12453" s="46">
        <v>32400.0</v>
      </c>
      <c r="R12453" s="46" t="s">
        <v>550</v>
      </c>
      <c r="S12453" s="46" t="s">
        <v>550</v>
      </c>
    </row>
    <row r="12454">
      <c r="A12454" s="40">
        <f t="shared" si="1"/>
        <v>46013</v>
      </c>
      <c r="B12454" s="37" t="str">
        <f t="array" ref="B12454">iferror(xlookup($I12454, 'IMPORT VHC Report'!$E:$E, 'IMPORT VHC Report'!$A:$C), )</f>
        <v/>
      </c>
      <c r="C12454" s="44"/>
      <c r="D12454" s="44"/>
      <c r="E12454" s="46" t="s">
        <v>8472</v>
      </c>
      <c r="F12454" s="46" t="s">
        <v>5253</v>
      </c>
      <c r="G12454" s="46">
        <v>3.61731648215E11</v>
      </c>
      <c r="H12454" s="46" t="s">
        <v>5254</v>
      </c>
      <c r="I12454" s="46" t="s">
        <v>5255</v>
      </c>
      <c r="J12454" s="46" t="s">
        <v>368</v>
      </c>
      <c r="K12454" s="46" t="s">
        <v>63</v>
      </c>
      <c r="L12454" s="45">
        <v>46017.791666666664</v>
      </c>
      <c r="M12454" s="46" t="s">
        <v>123</v>
      </c>
      <c r="N12454" s="45">
        <v>46018.166666666664</v>
      </c>
      <c r="O12454" s="46" t="s">
        <v>123</v>
      </c>
      <c r="P12454" s="46">
        <v>32400.0</v>
      </c>
    </row>
    <row r="12455">
      <c r="A12455" s="40">
        <f t="shared" si="1"/>
        <v>46013</v>
      </c>
      <c r="B12455" s="37" t="str">
        <f t="array" ref="B12455">iferror(xlookup($I12455, 'IMPORT VHC Report'!$E:$E, 'IMPORT VHC Report'!$A:$C), )</f>
        <v/>
      </c>
      <c r="C12455" s="44"/>
      <c r="D12455" s="44"/>
      <c r="E12455" s="46" t="s">
        <v>8473</v>
      </c>
      <c r="F12455" s="46" t="s">
        <v>5253</v>
      </c>
      <c r="G12455" s="46">
        <v>3.61731648215E11</v>
      </c>
      <c r="H12455" s="46" t="s">
        <v>5254</v>
      </c>
      <c r="I12455" s="46" t="s">
        <v>5255</v>
      </c>
      <c r="J12455" s="46" t="s">
        <v>134</v>
      </c>
      <c r="K12455" s="46" t="s">
        <v>126</v>
      </c>
      <c r="L12455" s="45">
        <v>46017.9375</v>
      </c>
      <c r="M12455" s="46" t="s">
        <v>123</v>
      </c>
      <c r="N12455" s="45">
        <v>46017.958333333336</v>
      </c>
      <c r="O12455" s="46" t="s">
        <v>123</v>
      </c>
      <c r="P12455" s="46">
        <v>1800.0</v>
      </c>
    </row>
    <row r="12456">
      <c r="A12456" s="40">
        <f t="shared" si="1"/>
        <v>46013</v>
      </c>
      <c r="B12456" s="37" t="str">
        <f t="array" ref="B12456">iferror(xlookup($I12456, 'IMPORT VHC Report'!$E:$E, 'IMPORT VHC Report'!$A:$C), )</f>
        <v/>
      </c>
      <c r="C12456" s="44"/>
      <c r="D12456" s="44"/>
      <c r="E12456" s="46" t="s">
        <v>8474</v>
      </c>
      <c r="F12456" s="46" t="s">
        <v>5253</v>
      </c>
      <c r="G12456" s="46">
        <v>3.61731648215E11</v>
      </c>
      <c r="H12456" s="46" t="s">
        <v>5254</v>
      </c>
      <c r="I12456" s="46" t="s">
        <v>5255</v>
      </c>
      <c r="J12456" s="46" t="s">
        <v>132</v>
      </c>
      <c r="K12456" s="46" t="s">
        <v>126</v>
      </c>
      <c r="L12456" s="45">
        <v>46018.0625</v>
      </c>
      <c r="M12456" s="46" t="s">
        <v>123</v>
      </c>
      <c r="N12456" s="45">
        <v>46018.104166666664</v>
      </c>
      <c r="O12456" s="46" t="s">
        <v>123</v>
      </c>
      <c r="P12456" s="46">
        <v>3600.0</v>
      </c>
    </row>
    <row r="12457">
      <c r="A12457" s="40">
        <f t="shared" si="1"/>
        <v>46013</v>
      </c>
      <c r="B12457" s="37" t="str">
        <f t="array" ref="B12457">iferror(xlookup($I12457, 'IMPORT VHC Report'!$E:$E, 'IMPORT VHC Report'!$A:$C), )</f>
        <v/>
      </c>
      <c r="C12457" s="44"/>
      <c r="D12457" s="44"/>
      <c r="E12457" s="46" t="s">
        <v>8475</v>
      </c>
      <c r="F12457" s="46" t="s">
        <v>5253</v>
      </c>
      <c r="G12457" s="46">
        <v>3.61731648215E11</v>
      </c>
      <c r="H12457" s="46" t="s">
        <v>5254</v>
      </c>
      <c r="I12457" s="46" t="s">
        <v>5255</v>
      </c>
      <c r="J12457" s="46" t="s">
        <v>134</v>
      </c>
      <c r="K12457" s="46" t="s">
        <v>126</v>
      </c>
      <c r="L12457" s="45">
        <v>46018.104166666664</v>
      </c>
      <c r="M12457" s="46" t="s">
        <v>123</v>
      </c>
      <c r="N12457" s="45">
        <v>46018.131944444445</v>
      </c>
      <c r="O12457" s="46" t="s">
        <v>123</v>
      </c>
      <c r="P12457" s="46">
        <v>2400.0</v>
      </c>
      <c r="S12457" s="46" t="s">
        <v>2274</v>
      </c>
    </row>
    <row r="12458">
      <c r="A12458" s="40">
        <f t="shared" si="1"/>
        <v>46013</v>
      </c>
      <c r="B12458" s="37" t="str">
        <f t="array" ref="B12458">iferror(xlookup($I12458, 'IMPORT VHC Report'!$E:$E, 'IMPORT VHC Report'!$A:$C), )</f>
        <v/>
      </c>
      <c r="C12458" s="44"/>
      <c r="D12458" s="44"/>
      <c r="E12458" s="46" t="s">
        <v>8476</v>
      </c>
      <c r="F12458" s="46" t="s">
        <v>5418</v>
      </c>
      <c r="G12458" s="46">
        <v>3.61725484056E11</v>
      </c>
      <c r="H12458" s="46" t="s">
        <v>5419</v>
      </c>
      <c r="I12458" s="46" t="s">
        <v>5420</v>
      </c>
      <c r="J12458" s="46" t="s">
        <v>178</v>
      </c>
      <c r="K12458" s="46" t="s">
        <v>153</v>
      </c>
      <c r="L12458" s="45">
        <v>46013.833333333336</v>
      </c>
      <c r="M12458" s="46" t="s">
        <v>123</v>
      </c>
      <c r="N12458" s="45">
        <v>46014.0</v>
      </c>
      <c r="O12458" s="46" t="s">
        <v>123</v>
      </c>
      <c r="P12458" s="46">
        <v>14400.0</v>
      </c>
      <c r="Q12458" s="46">
        <v>14400.0</v>
      </c>
    </row>
    <row r="12459">
      <c r="A12459" s="40">
        <f t="shared" si="1"/>
        <v>46013</v>
      </c>
      <c r="B12459" s="37" t="str">
        <f t="array" ref="B12459">iferror(xlookup($I12459, 'IMPORT VHC Report'!$E:$E, 'IMPORT VHC Report'!$A:$C), )</f>
        <v/>
      </c>
      <c r="C12459" s="44"/>
      <c r="D12459" s="44"/>
      <c r="E12459" s="46" t="s">
        <v>8477</v>
      </c>
      <c r="F12459" s="46" t="s">
        <v>5418</v>
      </c>
      <c r="G12459" s="46">
        <v>3.61725484056E11</v>
      </c>
      <c r="H12459" s="46" t="s">
        <v>5419</v>
      </c>
      <c r="I12459" s="46" t="s">
        <v>5420</v>
      </c>
      <c r="J12459" s="46" t="s">
        <v>134</v>
      </c>
      <c r="K12459" s="46" t="s">
        <v>126</v>
      </c>
      <c r="L12459" s="45">
        <v>46013.979166666664</v>
      </c>
      <c r="M12459" s="46" t="s">
        <v>123</v>
      </c>
      <c r="N12459" s="45">
        <v>46014.0</v>
      </c>
      <c r="O12459" s="46" t="s">
        <v>123</v>
      </c>
      <c r="P12459" s="46">
        <v>1800.0</v>
      </c>
    </row>
    <row r="12460">
      <c r="A12460" s="40">
        <f t="shared" si="1"/>
        <v>46013</v>
      </c>
      <c r="B12460" s="37" t="str">
        <f t="array" ref="B12460">iferror(xlookup($I12460, 'IMPORT VHC Report'!$E:$E, 'IMPORT VHC Report'!$A:$C), )</f>
        <v/>
      </c>
      <c r="C12460" s="44"/>
      <c r="D12460" s="44"/>
      <c r="E12460" s="46" t="s">
        <v>8478</v>
      </c>
      <c r="F12460" s="46" t="s">
        <v>5418</v>
      </c>
      <c r="G12460" s="46">
        <v>3.61725484056E11</v>
      </c>
      <c r="H12460" s="46" t="s">
        <v>5419</v>
      </c>
      <c r="I12460" s="46" t="s">
        <v>5420</v>
      </c>
      <c r="J12460" s="46" t="s">
        <v>368</v>
      </c>
      <c r="K12460" s="46" t="s">
        <v>63</v>
      </c>
      <c r="L12460" s="45">
        <v>46014.041666666664</v>
      </c>
      <c r="M12460" s="46" t="s">
        <v>123</v>
      </c>
      <c r="N12460" s="45">
        <v>46014.208333333336</v>
      </c>
      <c r="O12460" s="46" t="s">
        <v>123</v>
      </c>
      <c r="P12460" s="46">
        <v>14400.0</v>
      </c>
    </row>
    <row r="12461">
      <c r="A12461" s="40">
        <f t="shared" si="1"/>
        <v>46013</v>
      </c>
      <c r="B12461" s="37" t="str">
        <f t="array" ref="B12461">iferror(xlookup($I12461, 'IMPORT VHC Report'!$E:$E, 'IMPORT VHC Report'!$A:$C), )</f>
        <v/>
      </c>
      <c r="C12461" s="44"/>
      <c r="D12461" s="44"/>
      <c r="E12461" s="46" t="s">
        <v>8479</v>
      </c>
      <c r="F12461" s="46" t="s">
        <v>5418</v>
      </c>
      <c r="G12461" s="46">
        <v>3.61725484056E11</v>
      </c>
      <c r="H12461" s="46" t="s">
        <v>5419</v>
      </c>
      <c r="I12461" s="46" t="s">
        <v>5420</v>
      </c>
      <c r="J12461" s="46" t="s">
        <v>178</v>
      </c>
      <c r="K12461" s="46" t="s">
        <v>153</v>
      </c>
      <c r="L12461" s="45">
        <v>46014.833333333336</v>
      </c>
      <c r="M12461" s="46" t="s">
        <v>123</v>
      </c>
      <c r="N12461" s="45">
        <v>46015.208333333336</v>
      </c>
      <c r="O12461" s="46" t="s">
        <v>123</v>
      </c>
      <c r="P12461" s="46">
        <v>32400.0</v>
      </c>
      <c r="Q12461" s="46">
        <v>32400.0</v>
      </c>
    </row>
    <row r="12462">
      <c r="A12462" s="40">
        <f t="shared" si="1"/>
        <v>46013</v>
      </c>
      <c r="B12462" s="37" t="str">
        <f t="array" ref="B12462">iferror(xlookup($I12462, 'IMPORT VHC Report'!$E:$E, 'IMPORT VHC Report'!$A:$C), )</f>
        <v/>
      </c>
      <c r="C12462" s="44"/>
      <c r="D12462" s="44"/>
      <c r="E12462" s="46" t="s">
        <v>8480</v>
      </c>
      <c r="F12462" s="46" t="s">
        <v>5418</v>
      </c>
      <c r="G12462" s="46">
        <v>3.61725484056E11</v>
      </c>
      <c r="H12462" s="46" t="s">
        <v>5419</v>
      </c>
      <c r="I12462" s="46" t="s">
        <v>5420</v>
      </c>
      <c r="J12462" s="46" t="s">
        <v>368</v>
      </c>
      <c r="K12462" s="46" t="s">
        <v>63</v>
      </c>
      <c r="L12462" s="45">
        <v>46014.833333333336</v>
      </c>
      <c r="M12462" s="46" t="s">
        <v>123</v>
      </c>
      <c r="N12462" s="45">
        <v>46015.208333333336</v>
      </c>
      <c r="O12462" s="46" t="s">
        <v>123</v>
      </c>
      <c r="P12462" s="46">
        <v>32400.0</v>
      </c>
    </row>
    <row r="12463">
      <c r="A12463" s="40">
        <f t="shared" si="1"/>
        <v>46013</v>
      </c>
      <c r="B12463" s="37" t="str">
        <f t="array" ref="B12463">iferror(xlookup($I12463, 'IMPORT VHC Report'!$E:$E, 'IMPORT VHC Report'!$A:$C), )</f>
        <v/>
      </c>
      <c r="C12463" s="44"/>
      <c r="D12463" s="44"/>
      <c r="E12463" s="46" t="s">
        <v>8481</v>
      </c>
      <c r="F12463" s="46" t="s">
        <v>5418</v>
      </c>
      <c r="G12463" s="46">
        <v>3.61725484056E11</v>
      </c>
      <c r="H12463" s="46" t="s">
        <v>5419</v>
      </c>
      <c r="I12463" s="46" t="s">
        <v>5420</v>
      </c>
      <c r="J12463" s="46" t="s">
        <v>134</v>
      </c>
      <c r="K12463" s="46" t="s">
        <v>126</v>
      </c>
      <c r="L12463" s="45">
        <v>46014.927083333336</v>
      </c>
      <c r="M12463" s="46" t="s">
        <v>123</v>
      </c>
      <c r="N12463" s="45">
        <v>46014.947916666664</v>
      </c>
      <c r="O12463" s="46" t="s">
        <v>123</v>
      </c>
      <c r="P12463" s="46">
        <v>1800.0</v>
      </c>
    </row>
    <row r="12464">
      <c r="A12464" s="40">
        <f t="shared" si="1"/>
        <v>46013</v>
      </c>
      <c r="B12464" s="37" t="str">
        <f t="array" ref="B12464">iferror(xlookup($I12464, 'IMPORT VHC Report'!$E:$E, 'IMPORT VHC Report'!$A:$C), )</f>
        <v/>
      </c>
      <c r="C12464" s="44"/>
      <c r="D12464" s="44"/>
      <c r="E12464" s="46" t="s">
        <v>8482</v>
      </c>
      <c r="F12464" s="46" t="s">
        <v>5418</v>
      </c>
      <c r="G12464" s="46">
        <v>3.61725484056E11</v>
      </c>
      <c r="H12464" s="46" t="s">
        <v>5419</v>
      </c>
      <c r="I12464" s="46" t="s">
        <v>5420</v>
      </c>
      <c r="J12464" s="46" t="s">
        <v>132</v>
      </c>
      <c r="K12464" s="46" t="s">
        <v>126</v>
      </c>
      <c r="L12464" s="45">
        <v>46015.0625</v>
      </c>
      <c r="M12464" s="46" t="s">
        <v>123</v>
      </c>
      <c r="N12464" s="45">
        <v>46015.104166666664</v>
      </c>
      <c r="O12464" s="46" t="s">
        <v>123</v>
      </c>
      <c r="P12464" s="46">
        <v>3600.0</v>
      </c>
    </row>
    <row r="12465">
      <c r="A12465" s="40">
        <f t="shared" si="1"/>
        <v>46013</v>
      </c>
      <c r="B12465" s="37" t="str">
        <f t="array" ref="B12465">iferror(xlookup($I12465, 'IMPORT VHC Report'!$E:$E, 'IMPORT VHC Report'!$A:$C), )</f>
        <v/>
      </c>
      <c r="C12465" s="44"/>
      <c r="D12465" s="44"/>
      <c r="E12465" s="46" t="s">
        <v>8483</v>
      </c>
      <c r="F12465" s="46" t="s">
        <v>5418</v>
      </c>
      <c r="G12465" s="46">
        <v>3.61725484056E11</v>
      </c>
      <c r="H12465" s="46" t="s">
        <v>5419</v>
      </c>
      <c r="I12465" s="46" t="s">
        <v>5420</v>
      </c>
      <c r="J12465" s="46" t="s">
        <v>368</v>
      </c>
      <c r="K12465" s="46" t="s">
        <v>63</v>
      </c>
      <c r="L12465" s="45">
        <v>46015.833333333336</v>
      </c>
      <c r="M12465" s="46" t="s">
        <v>123</v>
      </c>
      <c r="N12465" s="45">
        <v>46016.208333333336</v>
      </c>
      <c r="O12465" s="46" t="s">
        <v>123</v>
      </c>
      <c r="P12465" s="46">
        <v>32400.0</v>
      </c>
    </row>
    <row r="12466">
      <c r="A12466" s="40">
        <f t="shared" si="1"/>
        <v>46013</v>
      </c>
      <c r="B12466" s="37" t="str">
        <f t="array" ref="B12466">iferror(xlookup($I12466, 'IMPORT VHC Report'!$E:$E, 'IMPORT VHC Report'!$A:$C), )</f>
        <v/>
      </c>
      <c r="C12466" s="44"/>
      <c r="D12466" s="44"/>
      <c r="E12466" s="46" t="s">
        <v>8484</v>
      </c>
      <c r="F12466" s="46" t="s">
        <v>5418</v>
      </c>
      <c r="G12466" s="46">
        <v>3.61725484056E11</v>
      </c>
      <c r="H12466" s="46" t="s">
        <v>5419</v>
      </c>
      <c r="I12466" s="46" t="s">
        <v>5420</v>
      </c>
      <c r="J12466" s="46" t="s">
        <v>134</v>
      </c>
      <c r="K12466" s="46" t="s">
        <v>126</v>
      </c>
      <c r="L12466" s="45">
        <v>46016.010416666664</v>
      </c>
      <c r="M12466" s="46" t="s">
        <v>123</v>
      </c>
      <c r="N12466" s="45">
        <v>46016.03125</v>
      </c>
      <c r="O12466" s="46" t="s">
        <v>123</v>
      </c>
      <c r="P12466" s="46">
        <v>1800.0</v>
      </c>
    </row>
    <row r="12467">
      <c r="A12467" s="40">
        <f t="shared" si="1"/>
        <v>46013</v>
      </c>
      <c r="B12467" s="37" t="str">
        <f t="array" ref="B12467">iferror(xlookup($I12467, 'IMPORT VHC Report'!$E:$E, 'IMPORT VHC Report'!$A:$C), )</f>
        <v/>
      </c>
      <c r="C12467" s="44"/>
      <c r="D12467" s="44"/>
      <c r="E12467" s="46" t="s">
        <v>8485</v>
      </c>
      <c r="F12467" s="46" t="s">
        <v>5418</v>
      </c>
      <c r="G12467" s="46">
        <v>3.61725484056E11</v>
      </c>
      <c r="H12467" s="46" t="s">
        <v>5419</v>
      </c>
      <c r="I12467" s="46" t="s">
        <v>5420</v>
      </c>
      <c r="J12467" s="46" t="s">
        <v>132</v>
      </c>
      <c r="K12467" s="46" t="s">
        <v>126</v>
      </c>
      <c r="L12467" s="45">
        <v>46016.125</v>
      </c>
      <c r="M12467" s="46" t="s">
        <v>123</v>
      </c>
      <c r="N12467" s="45">
        <v>46016.166666666664</v>
      </c>
      <c r="O12467" s="46" t="s">
        <v>123</v>
      </c>
      <c r="P12467" s="46">
        <v>3600.0</v>
      </c>
    </row>
    <row r="12468">
      <c r="A12468" s="40">
        <f t="shared" si="1"/>
        <v>46013</v>
      </c>
      <c r="B12468" s="37" t="str">
        <f t="array" ref="B12468">iferror(xlookup($I12468, 'IMPORT VHC Report'!$E:$E, 'IMPORT VHC Report'!$A:$C), )</f>
        <v/>
      </c>
      <c r="C12468" s="44"/>
      <c r="D12468" s="44"/>
      <c r="E12468" s="46" t="s">
        <v>8486</v>
      </c>
      <c r="F12468" s="46" t="s">
        <v>5418</v>
      </c>
      <c r="G12468" s="46">
        <v>3.61725484056E11</v>
      </c>
      <c r="H12468" s="46" t="s">
        <v>5419</v>
      </c>
      <c r="I12468" s="46" t="s">
        <v>5420</v>
      </c>
      <c r="J12468" s="46" t="s">
        <v>368</v>
      </c>
      <c r="K12468" s="46" t="s">
        <v>63</v>
      </c>
      <c r="L12468" s="45">
        <v>46016.833333333336</v>
      </c>
      <c r="M12468" s="46" t="s">
        <v>123</v>
      </c>
      <c r="N12468" s="45">
        <v>46017.208333333336</v>
      </c>
      <c r="O12468" s="46" t="s">
        <v>123</v>
      </c>
      <c r="P12468" s="46">
        <v>32400.0</v>
      </c>
    </row>
    <row r="12469">
      <c r="A12469" s="40">
        <f t="shared" si="1"/>
        <v>46013</v>
      </c>
      <c r="B12469" s="37" t="str">
        <f t="array" ref="B12469">iferror(xlookup($I12469, 'IMPORT VHC Report'!$E:$E, 'IMPORT VHC Report'!$A:$C), )</f>
        <v/>
      </c>
      <c r="C12469" s="44"/>
      <c r="D12469" s="44"/>
      <c r="E12469" s="46" t="s">
        <v>8487</v>
      </c>
      <c r="F12469" s="46" t="s">
        <v>5418</v>
      </c>
      <c r="G12469" s="46">
        <v>3.61725484056E11</v>
      </c>
      <c r="H12469" s="46" t="s">
        <v>5419</v>
      </c>
      <c r="I12469" s="46" t="s">
        <v>5420</v>
      </c>
      <c r="J12469" s="46" t="s">
        <v>134</v>
      </c>
      <c r="K12469" s="46" t="s">
        <v>126</v>
      </c>
      <c r="L12469" s="45">
        <v>46017.010416666664</v>
      </c>
      <c r="M12469" s="46" t="s">
        <v>123</v>
      </c>
      <c r="N12469" s="45">
        <v>46017.03125</v>
      </c>
      <c r="O12469" s="46" t="s">
        <v>123</v>
      </c>
      <c r="P12469" s="46">
        <v>1800.0</v>
      </c>
    </row>
    <row r="12470">
      <c r="A12470" s="40">
        <f t="shared" si="1"/>
        <v>46013</v>
      </c>
      <c r="B12470" s="37" t="str">
        <f t="array" ref="B12470">iferror(xlookup($I12470, 'IMPORT VHC Report'!$E:$E, 'IMPORT VHC Report'!$A:$C), )</f>
        <v/>
      </c>
      <c r="C12470" s="44"/>
      <c r="D12470" s="44"/>
      <c r="E12470" s="46" t="s">
        <v>8488</v>
      </c>
      <c r="F12470" s="46" t="s">
        <v>5418</v>
      </c>
      <c r="G12470" s="46">
        <v>3.61725484056E11</v>
      </c>
      <c r="H12470" s="46" t="s">
        <v>5419</v>
      </c>
      <c r="I12470" s="46" t="s">
        <v>5420</v>
      </c>
      <c r="J12470" s="46" t="s">
        <v>132</v>
      </c>
      <c r="K12470" s="46" t="s">
        <v>126</v>
      </c>
      <c r="L12470" s="45">
        <v>46017.114583333336</v>
      </c>
      <c r="M12470" s="46" t="s">
        <v>123</v>
      </c>
      <c r="N12470" s="45">
        <v>46017.15625</v>
      </c>
      <c r="O12470" s="46" t="s">
        <v>123</v>
      </c>
      <c r="P12470" s="46">
        <v>3600.0</v>
      </c>
    </row>
    <row r="12471">
      <c r="A12471" s="40">
        <f t="shared" si="1"/>
        <v>46013</v>
      </c>
      <c r="B12471" s="37" t="str">
        <f t="array" ref="B12471">iferror(xlookup($I12471, 'IMPORT VHC Report'!$E:$E, 'IMPORT VHC Report'!$A:$C), )</f>
        <v/>
      </c>
      <c r="C12471" s="44"/>
      <c r="D12471" s="44"/>
      <c r="E12471" s="46" t="s">
        <v>8489</v>
      </c>
      <c r="F12471" s="46" t="s">
        <v>5418</v>
      </c>
      <c r="G12471" s="46">
        <v>3.61725484056E11</v>
      </c>
      <c r="H12471" s="46" t="s">
        <v>5419</v>
      </c>
      <c r="I12471" s="46" t="s">
        <v>5420</v>
      </c>
      <c r="J12471" s="46" t="s">
        <v>368</v>
      </c>
      <c r="K12471" s="46" t="s">
        <v>63</v>
      </c>
      <c r="L12471" s="45">
        <v>46017.822916666664</v>
      </c>
      <c r="M12471" s="46" t="s">
        <v>123</v>
      </c>
      <c r="N12471" s="45">
        <v>46018.197916666664</v>
      </c>
      <c r="O12471" s="46" t="s">
        <v>123</v>
      </c>
      <c r="P12471" s="46">
        <v>32400.0</v>
      </c>
    </row>
    <row r="12472">
      <c r="A12472" s="40">
        <f t="shared" si="1"/>
        <v>46013</v>
      </c>
      <c r="B12472" s="37" t="str">
        <f t="array" ref="B12472">iferror(xlookup($I12472, 'IMPORT VHC Report'!$E:$E, 'IMPORT VHC Report'!$A:$C), )</f>
        <v/>
      </c>
      <c r="C12472" s="44"/>
      <c r="D12472" s="44"/>
      <c r="E12472" s="46" t="s">
        <v>8490</v>
      </c>
      <c r="F12472" s="46" t="s">
        <v>5418</v>
      </c>
      <c r="G12472" s="46">
        <v>3.61725484056E11</v>
      </c>
      <c r="H12472" s="46" t="s">
        <v>5419</v>
      </c>
      <c r="I12472" s="46" t="s">
        <v>5420</v>
      </c>
      <c r="J12472" s="46" t="s">
        <v>134</v>
      </c>
      <c r="K12472" s="46" t="s">
        <v>126</v>
      </c>
      <c r="L12472" s="45">
        <v>46017.958333333336</v>
      </c>
      <c r="M12472" s="46" t="s">
        <v>123</v>
      </c>
      <c r="N12472" s="45">
        <v>46017.979166666664</v>
      </c>
      <c r="O12472" s="46" t="s">
        <v>123</v>
      </c>
      <c r="P12472" s="46">
        <v>1800.0</v>
      </c>
    </row>
    <row r="12473">
      <c r="A12473" s="40">
        <f t="shared" si="1"/>
        <v>46013</v>
      </c>
      <c r="B12473" s="37" t="str">
        <f t="array" ref="B12473">iferror(xlookup($I12473, 'IMPORT VHC Report'!$E:$E, 'IMPORT VHC Report'!$A:$C), )</f>
        <v/>
      </c>
      <c r="C12473" s="44"/>
      <c r="D12473" s="44"/>
      <c r="E12473" s="46" t="s">
        <v>8491</v>
      </c>
      <c r="F12473" s="46" t="s">
        <v>5418</v>
      </c>
      <c r="G12473" s="46">
        <v>3.61725484056E11</v>
      </c>
      <c r="H12473" s="46" t="s">
        <v>5419</v>
      </c>
      <c r="I12473" s="46" t="s">
        <v>5420</v>
      </c>
      <c r="J12473" s="46" t="s">
        <v>132</v>
      </c>
      <c r="K12473" s="46" t="s">
        <v>126</v>
      </c>
      <c r="L12473" s="45">
        <v>46018.083333333336</v>
      </c>
      <c r="M12473" s="46" t="s">
        <v>123</v>
      </c>
      <c r="N12473" s="45">
        <v>46018.125</v>
      </c>
      <c r="O12473" s="46" t="s">
        <v>123</v>
      </c>
      <c r="P12473" s="46">
        <v>3600.0</v>
      </c>
    </row>
    <row r="12474">
      <c r="A12474" s="40">
        <f t="shared" si="1"/>
        <v>46013</v>
      </c>
      <c r="B12474" s="37" t="str">
        <f t="array" ref="B12474">iferror(xlookup($I12474, 'IMPORT VHC Report'!$E:$E, 'IMPORT VHC Report'!$A:$C), )</f>
        <v/>
      </c>
      <c r="C12474" s="44"/>
      <c r="D12474" s="44"/>
      <c r="E12474" s="46" t="s">
        <v>8492</v>
      </c>
      <c r="F12474" s="46" t="s">
        <v>6604</v>
      </c>
      <c r="G12474" s="46">
        <v>9.795895003151E12</v>
      </c>
      <c r="H12474" s="46" t="s">
        <v>6605</v>
      </c>
      <c r="I12474" s="46" t="s">
        <v>6606</v>
      </c>
      <c r="J12474" s="46" t="s">
        <v>368</v>
      </c>
      <c r="K12474" s="46" t="s">
        <v>63</v>
      </c>
      <c r="L12474" s="45">
        <v>46014.25</v>
      </c>
      <c r="M12474" s="46" t="s">
        <v>123</v>
      </c>
      <c r="N12474" s="45">
        <v>46014.625</v>
      </c>
      <c r="O12474" s="46" t="s">
        <v>123</v>
      </c>
      <c r="P12474" s="46">
        <v>32400.0</v>
      </c>
    </row>
    <row r="12475">
      <c r="A12475" s="40">
        <f t="shared" si="1"/>
        <v>46013</v>
      </c>
      <c r="B12475" s="37" t="str">
        <f t="array" ref="B12475">iferror(xlookup($I12475, 'IMPORT VHC Report'!$E:$E, 'IMPORT VHC Report'!$A:$C), )</f>
        <v/>
      </c>
      <c r="C12475" s="44"/>
      <c r="D12475" s="44"/>
      <c r="E12475" s="46" t="s">
        <v>8493</v>
      </c>
      <c r="F12475" s="46" t="s">
        <v>6604</v>
      </c>
      <c r="G12475" s="46">
        <v>9.795895003151E12</v>
      </c>
      <c r="H12475" s="46" t="s">
        <v>6605</v>
      </c>
      <c r="I12475" s="46" t="s">
        <v>6606</v>
      </c>
      <c r="J12475" s="46" t="s">
        <v>134</v>
      </c>
      <c r="K12475" s="46" t="s">
        <v>126</v>
      </c>
      <c r="L12475" s="45">
        <v>46014.40625</v>
      </c>
      <c r="M12475" s="46" t="s">
        <v>123</v>
      </c>
      <c r="N12475" s="45">
        <v>46014.427083333336</v>
      </c>
      <c r="O12475" s="46" t="s">
        <v>123</v>
      </c>
      <c r="P12475" s="46">
        <v>1800.0</v>
      </c>
    </row>
    <row r="12476">
      <c r="A12476" s="40">
        <f t="shared" si="1"/>
        <v>46013</v>
      </c>
      <c r="B12476" s="37" t="str">
        <f t="array" ref="B12476">iferror(xlookup($I12476, 'IMPORT VHC Report'!$E:$E, 'IMPORT VHC Report'!$A:$C), )</f>
        <v/>
      </c>
      <c r="C12476" s="44"/>
      <c r="D12476" s="44"/>
      <c r="E12476" s="46" t="s">
        <v>8494</v>
      </c>
      <c r="F12476" s="46" t="s">
        <v>6604</v>
      </c>
      <c r="G12476" s="46">
        <v>9.795895003151E12</v>
      </c>
      <c r="H12476" s="46" t="s">
        <v>6605</v>
      </c>
      <c r="I12476" s="46" t="s">
        <v>6606</v>
      </c>
      <c r="J12476" s="46" t="s">
        <v>132</v>
      </c>
      <c r="K12476" s="46" t="s">
        <v>126</v>
      </c>
      <c r="L12476" s="45">
        <v>46014.541666666664</v>
      </c>
      <c r="M12476" s="46" t="s">
        <v>123</v>
      </c>
      <c r="N12476" s="45">
        <v>46014.583333333336</v>
      </c>
      <c r="O12476" s="46" t="s">
        <v>123</v>
      </c>
      <c r="P12476" s="46">
        <v>3600.0</v>
      </c>
    </row>
    <row r="12477">
      <c r="A12477" s="40">
        <f t="shared" si="1"/>
        <v>46013</v>
      </c>
      <c r="B12477" s="37" t="str">
        <f t="array" ref="B12477">iferror(xlookup($I12477, 'IMPORT VHC Report'!$E:$E, 'IMPORT VHC Report'!$A:$C), )</f>
        <v/>
      </c>
      <c r="C12477" s="44"/>
      <c r="D12477" s="44"/>
      <c r="E12477" s="46" t="s">
        <v>8495</v>
      </c>
      <c r="F12477" s="46" t="s">
        <v>6604</v>
      </c>
      <c r="G12477" s="46">
        <v>9.795895003151E12</v>
      </c>
      <c r="H12477" s="46" t="s">
        <v>6605</v>
      </c>
      <c r="I12477" s="46" t="s">
        <v>6606</v>
      </c>
      <c r="J12477" s="46" t="s">
        <v>368</v>
      </c>
      <c r="K12477" s="46" t="s">
        <v>63</v>
      </c>
      <c r="L12477" s="45">
        <v>46015.25</v>
      </c>
      <c r="M12477" s="46" t="s">
        <v>123</v>
      </c>
      <c r="N12477" s="45">
        <v>46015.625</v>
      </c>
      <c r="O12477" s="46" t="s">
        <v>123</v>
      </c>
      <c r="P12477" s="46">
        <v>32400.0</v>
      </c>
    </row>
    <row r="12478">
      <c r="A12478" s="40">
        <f t="shared" si="1"/>
        <v>46013</v>
      </c>
      <c r="B12478" s="37" t="str">
        <f t="array" ref="B12478">iferror(xlookup($I12478, 'IMPORT VHC Report'!$E:$E, 'IMPORT VHC Report'!$A:$C), )</f>
        <v/>
      </c>
      <c r="C12478" s="44"/>
      <c r="D12478" s="44"/>
      <c r="E12478" s="46" t="s">
        <v>8496</v>
      </c>
      <c r="F12478" s="46" t="s">
        <v>6604</v>
      </c>
      <c r="G12478" s="46">
        <v>9.795895003151E12</v>
      </c>
      <c r="H12478" s="46" t="s">
        <v>6605</v>
      </c>
      <c r="I12478" s="46" t="s">
        <v>6606</v>
      </c>
      <c r="J12478" s="46" t="s">
        <v>134</v>
      </c>
      <c r="K12478" s="46" t="s">
        <v>126</v>
      </c>
      <c r="L12478" s="45">
        <v>46015.354166666664</v>
      </c>
      <c r="M12478" s="46" t="s">
        <v>123</v>
      </c>
      <c r="N12478" s="45">
        <v>46015.375</v>
      </c>
      <c r="O12478" s="46" t="s">
        <v>123</v>
      </c>
      <c r="P12478" s="46">
        <v>1800.0</v>
      </c>
    </row>
    <row r="12479">
      <c r="A12479" s="40">
        <f t="shared" si="1"/>
        <v>46013</v>
      </c>
      <c r="B12479" s="37" t="str">
        <f t="array" ref="B12479">iferror(xlookup($I12479, 'IMPORT VHC Report'!$E:$E, 'IMPORT VHC Report'!$A:$C), )</f>
        <v/>
      </c>
      <c r="C12479" s="44"/>
      <c r="D12479" s="44"/>
      <c r="E12479" s="46" t="s">
        <v>8497</v>
      </c>
      <c r="F12479" s="46" t="s">
        <v>6604</v>
      </c>
      <c r="G12479" s="46">
        <v>9.795895003151E12</v>
      </c>
      <c r="H12479" s="46" t="s">
        <v>6605</v>
      </c>
      <c r="I12479" s="46" t="s">
        <v>6606</v>
      </c>
      <c r="J12479" s="46" t="s">
        <v>132</v>
      </c>
      <c r="K12479" s="46" t="s">
        <v>126</v>
      </c>
      <c r="L12479" s="45">
        <v>46015.489583333336</v>
      </c>
      <c r="M12479" s="46" t="s">
        <v>123</v>
      </c>
      <c r="N12479" s="45">
        <v>46015.53125</v>
      </c>
      <c r="O12479" s="46" t="s">
        <v>123</v>
      </c>
      <c r="P12479" s="46">
        <v>3600.0</v>
      </c>
    </row>
    <row r="12480">
      <c r="A12480" s="40">
        <f t="shared" si="1"/>
        <v>46013</v>
      </c>
      <c r="B12480" s="37" t="str">
        <f t="array" ref="B12480">iferror(xlookup($I12480, 'IMPORT VHC Report'!$E:$E, 'IMPORT VHC Report'!$A:$C), )</f>
        <v/>
      </c>
      <c r="C12480" s="44"/>
      <c r="D12480" s="44"/>
      <c r="E12480" s="46" t="s">
        <v>8498</v>
      </c>
      <c r="F12480" s="46" t="s">
        <v>6604</v>
      </c>
      <c r="G12480" s="46">
        <v>9.795895003151E12</v>
      </c>
      <c r="H12480" s="46" t="s">
        <v>6605</v>
      </c>
      <c r="I12480" s="46" t="s">
        <v>6606</v>
      </c>
      <c r="J12480" s="46" t="s">
        <v>178</v>
      </c>
      <c r="K12480" s="46" t="s">
        <v>153</v>
      </c>
      <c r="L12480" s="45">
        <v>46016.25</v>
      </c>
      <c r="M12480" s="46" t="s">
        <v>123</v>
      </c>
      <c r="N12480" s="45">
        <v>46016.625</v>
      </c>
      <c r="O12480" s="46" t="s">
        <v>123</v>
      </c>
      <c r="P12480" s="46">
        <v>32400.0</v>
      </c>
      <c r="Q12480" s="46">
        <v>32400.0</v>
      </c>
      <c r="R12480" s="46" t="s">
        <v>8499</v>
      </c>
    </row>
    <row r="12481">
      <c r="A12481" s="40">
        <f t="shared" si="1"/>
        <v>46013</v>
      </c>
      <c r="B12481" s="37" t="str">
        <f t="array" ref="B12481">iferror(xlookup($I12481, 'IMPORT VHC Report'!$E:$E, 'IMPORT VHC Report'!$A:$C), )</f>
        <v/>
      </c>
      <c r="C12481" s="44"/>
      <c r="D12481" s="44"/>
      <c r="E12481" s="46" t="s">
        <v>8500</v>
      </c>
      <c r="F12481" s="46" t="s">
        <v>6604</v>
      </c>
      <c r="G12481" s="46">
        <v>9.795895003151E12</v>
      </c>
      <c r="H12481" s="46" t="s">
        <v>6605</v>
      </c>
      <c r="I12481" s="46" t="s">
        <v>6606</v>
      </c>
      <c r="J12481" s="46" t="s">
        <v>368</v>
      </c>
      <c r="K12481" s="46" t="s">
        <v>63</v>
      </c>
      <c r="L12481" s="45">
        <v>46016.25</v>
      </c>
      <c r="M12481" s="46" t="s">
        <v>123</v>
      </c>
      <c r="N12481" s="45">
        <v>46016.625</v>
      </c>
      <c r="O12481" s="46" t="s">
        <v>123</v>
      </c>
      <c r="P12481" s="46">
        <v>32400.0</v>
      </c>
    </row>
    <row r="12482">
      <c r="A12482" s="40">
        <f t="shared" si="1"/>
        <v>46013</v>
      </c>
      <c r="B12482" s="37" t="str">
        <f t="array" ref="B12482">iferror(xlookup($I12482, 'IMPORT VHC Report'!$E:$E, 'IMPORT VHC Report'!$A:$C), )</f>
        <v/>
      </c>
      <c r="C12482" s="44"/>
      <c r="D12482" s="44"/>
      <c r="E12482" s="46" t="s">
        <v>8501</v>
      </c>
      <c r="F12482" s="46" t="s">
        <v>6604</v>
      </c>
      <c r="G12482" s="46">
        <v>9.795895003151E12</v>
      </c>
      <c r="H12482" s="46" t="s">
        <v>6605</v>
      </c>
      <c r="I12482" s="46" t="s">
        <v>6606</v>
      </c>
      <c r="J12482" s="46" t="s">
        <v>134</v>
      </c>
      <c r="K12482" s="46" t="s">
        <v>126</v>
      </c>
      <c r="L12482" s="45">
        <v>46016.333333333336</v>
      </c>
      <c r="M12482" s="46" t="s">
        <v>123</v>
      </c>
      <c r="N12482" s="45">
        <v>46016.354166666664</v>
      </c>
      <c r="O12482" s="46" t="s">
        <v>123</v>
      </c>
      <c r="P12482" s="46">
        <v>1800.0</v>
      </c>
    </row>
    <row r="12483">
      <c r="A12483" s="40">
        <f t="shared" si="1"/>
        <v>46013</v>
      </c>
      <c r="B12483" s="37" t="str">
        <f t="array" ref="B12483">iferror(xlookup($I12483, 'IMPORT VHC Report'!$E:$E, 'IMPORT VHC Report'!$A:$C), )</f>
        <v/>
      </c>
      <c r="C12483" s="44"/>
      <c r="D12483" s="44"/>
      <c r="E12483" s="46" t="s">
        <v>8502</v>
      </c>
      <c r="F12483" s="46" t="s">
        <v>6604</v>
      </c>
      <c r="G12483" s="46">
        <v>9.795895003151E12</v>
      </c>
      <c r="H12483" s="46" t="s">
        <v>6605</v>
      </c>
      <c r="I12483" s="46" t="s">
        <v>6606</v>
      </c>
      <c r="J12483" s="46" t="s">
        <v>132</v>
      </c>
      <c r="K12483" s="46" t="s">
        <v>126</v>
      </c>
      <c r="L12483" s="45">
        <v>46016.520833333336</v>
      </c>
      <c r="M12483" s="46" t="s">
        <v>123</v>
      </c>
      <c r="N12483" s="45">
        <v>46016.5625</v>
      </c>
      <c r="O12483" s="46" t="s">
        <v>123</v>
      </c>
      <c r="P12483" s="46">
        <v>3600.0</v>
      </c>
    </row>
    <row r="12484">
      <c r="A12484" s="40">
        <f t="shared" si="1"/>
        <v>46013</v>
      </c>
      <c r="B12484" s="37" t="str">
        <f t="array" ref="B12484">iferror(xlookup($I12484, 'IMPORT VHC Report'!$E:$E, 'IMPORT VHC Report'!$A:$C), )</f>
        <v/>
      </c>
      <c r="C12484" s="44"/>
      <c r="D12484" s="44"/>
      <c r="E12484" s="46" t="s">
        <v>8503</v>
      </c>
      <c r="F12484" s="46" t="s">
        <v>6604</v>
      </c>
      <c r="G12484" s="46">
        <v>9.795895003151E12</v>
      </c>
      <c r="H12484" s="46" t="s">
        <v>6605</v>
      </c>
      <c r="I12484" s="46" t="s">
        <v>6606</v>
      </c>
      <c r="J12484" s="46" t="s">
        <v>368</v>
      </c>
      <c r="K12484" s="46" t="s">
        <v>63</v>
      </c>
      <c r="L12484" s="45">
        <v>46017.25</v>
      </c>
      <c r="M12484" s="46" t="s">
        <v>123</v>
      </c>
      <c r="N12484" s="45">
        <v>46017.625</v>
      </c>
      <c r="O12484" s="46" t="s">
        <v>123</v>
      </c>
      <c r="P12484" s="46">
        <v>32400.0</v>
      </c>
    </row>
    <row r="12485">
      <c r="A12485" s="40">
        <f t="shared" si="1"/>
        <v>46013</v>
      </c>
      <c r="B12485" s="37" t="str">
        <f t="array" ref="B12485">iferror(xlookup($I12485, 'IMPORT VHC Report'!$E:$E, 'IMPORT VHC Report'!$A:$C), )</f>
        <v/>
      </c>
      <c r="C12485" s="44"/>
      <c r="D12485" s="44"/>
      <c r="E12485" s="46" t="s">
        <v>8504</v>
      </c>
      <c r="F12485" s="46" t="s">
        <v>6604</v>
      </c>
      <c r="G12485" s="46">
        <v>9.795895003151E12</v>
      </c>
      <c r="H12485" s="46" t="s">
        <v>6605</v>
      </c>
      <c r="I12485" s="46" t="s">
        <v>6606</v>
      </c>
      <c r="J12485" s="46" t="s">
        <v>134</v>
      </c>
      <c r="K12485" s="46" t="s">
        <v>126</v>
      </c>
      <c r="L12485" s="45">
        <v>46017.375</v>
      </c>
      <c r="M12485" s="46" t="s">
        <v>123</v>
      </c>
      <c r="N12485" s="45">
        <v>46017.395833333336</v>
      </c>
      <c r="O12485" s="46" t="s">
        <v>123</v>
      </c>
      <c r="P12485" s="46">
        <v>1800.0</v>
      </c>
    </row>
    <row r="12486">
      <c r="A12486" s="40">
        <f t="shared" si="1"/>
        <v>46013</v>
      </c>
      <c r="B12486" s="37" t="str">
        <f t="array" ref="B12486">iferror(xlookup($I12486, 'IMPORT VHC Report'!$E:$E, 'IMPORT VHC Report'!$A:$C), )</f>
        <v/>
      </c>
      <c r="C12486" s="44"/>
      <c r="D12486" s="44"/>
      <c r="E12486" s="46" t="s">
        <v>8505</v>
      </c>
      <c r="F12486" s="46" t="s">
        <v>6604</v>
      </c>
      <c r="G12486" s="46">
        <v>9.795895003151E12</v>
      </c>
      <c r="H12486" s="46" t="s">
        <v>6605</v>
      </c>
      <c r="I12486" s="46" t="s">
        <v>6606</v>
      </c>
      <c r="J12486" s="46" t="s">
        <v>132</v>
      </c>
      <c r="K12486" s="46" t="s">
        <v>126</v>
      </c>
      <c r="L12486" s="45">
        <v>46017.479166666664</v>
      </c>
      <c r="M12486" s="46" t="s">
        <v>123</v>
      </c>
      <c r="N12486" s="45">
        <v>46017.520833333336</v>
      </c>
      <c r="O12486" s="46" t="s">
        <v>123</v>
      </c>
      <c r="P12486" s="46">
        <v>3600.0</v>
      </c>
    </row>
    <row r="12487">
      <c r="A12487" s="40">
        <f t="shared" si="1"/>
        <v>46013</v>
      </c>
      <c r="B12487" s="37" t="str">
        <f t="array" ref="B12487">iferror(xlookup($I12487, 'IMPORT VHC Report'!$E:$E, 'IMPORT VHC Report'!$A:$C), )</f>
        <v/>
      </c>
      <c r="C12487" s="44"/>
      <c r="D12487" s="44"/>
      <c r="E12487" s="46" t="s">
        <v>8506</v>
      </c>
      <c r="F12487" s="46" t="s">
        <v>6604</v>
      </c>
      <c r="G12487" s="46">
        <v>9.795895003151E12</v>
      </c>
      <c r="H12487" s="46" t="s">
        <v>6605</v>
      </c>
      <c r="I12487" s="46" t="s">
        <v>6606</v>
      </c>
      <c r="J12487" s="46" t="s">
        <v>368</v>
      </c>
      <c r="K12487" s="46" t="s">
        <v>63</v>
      </c>
      <c r="L12487" s="45">
        <v>46018.25</v>
      </c>
      <c r="M12487" s="46" t="s">
        <v>123</v>
      </c>
      <c r="N12487" s="45">
        <v>46018.427083333336</v>
      </c>
      <c r="O12487" s="46" t="s">
        <v>123</v>
      </c>
      <c r="P12487" s="46">
        <v>15300.0</v>
      </c>
    </row>
    <row r="12488">
      <c r="A12488" s="40">
        <f t="shared" si="1"/>
        <v>46013</v>
      </c>
      <c r="B12488" s="37" t="str">
        <f t="array" ref="B12488">iferror(xlookup($I12488, 'IMPORT VHC Report'!$E:$E, 'IMPORT VHC Report'!$A:$C), )</f>
        <v/>
      </c>
      <c r="C12488" s="44"/>
      <c r="D12488" s="44"/>
      <c r="E12488" s="46" t="s">
        <v>8507</v>
      </c>
      <c r="F12488" s="46" t="s">
        <v>6604</v>
      </c>
      <c r="G12488" s="46">
        <v>9.795895003151E12</v>
      </c>
      <c r="H12488" s="46" t="s">
        <v>6605</v>
      </c>
      <c r="I12488" s="46" t="s">
        <v>6606</v>
      </c>
      <c r="J12488" s="46" t="s">
        <v>134</v>
      </c>
      <c r="K12488" s="46" t="s">
        <v>126</v>
      </c>
      <c r="L12488" s="45">
        <v>46018.364583333336</v>
      </c>
      <c r="M12488" s="46" t="s">
        <v>123</v>
      </c>
      <c r="N12488" s="45">
        <v>46018.385416666664</v>
      </c>
      <c r="O12488" s="46" t="s">
        <v>123</v>
      </c>
      <c r="P12488" s="46">
        <v>1800.0</v>
      </c>
    </row>
    <row r="12489">
      <c r="A12489" s="40">
        <f t="shared" si="1"/>
        <v>46013</v>
      </c>
      <c r="B12489" s="37" t="str">
        <f t="array" ref="B12489">iferror(xlookup($I12489, 'IMPORT VHC Report'!$E:$E, 'IMPORT VHC Report'!$A:$C), )</f>
        <v/>
      </c>
      <c r="C12489" s="44"/>
      <c r="D12489" s="44"/>
      <c r="E12489" s="46" t="s">
        <v>8508</v>
      </c>
      <c r="F12489" s="46" t="s">
        <v>6604</v>
      </c>
      <c r="G12489" s="46">
        <v>9.795895003151E12</v>
      </c>
      <c r="H12489" s="46" t="s">
        <v>6605</v>
      </c>
      <c r="I12489" s="46" t="s">
        <v>6606</v>
      </c>
      <c r="J12489" s="46" t="s">
        <v>2268</v>
      </c>
      <c r="K12489" s="46" t="s">
        <v>63</v>
      </c>
      <c r="L12489" s="45">
        <v>46018.427083333336</v>
      </c>
      <c r="M12489" s="46" t="s">
        <v>123</v>
      </c>
      <c r="N12489" s="45">
        <v>46018.625</v>
      </c>
      <c r="O12489" s="46" t="s">
        <v>123</v>
      </c>
      <c r="P12489" s="46">
        <v>17100.0</v>
      </c>
    </row>
    <row r="12490">
      <c r="A12490" s="40">
        <f t="shared" si="1"/>
        <v>46013</v>
      </c>
      <c r="B12490" s="37" t="str">
        <f t="array" ref="B12490">iferror(xlookup($I12490, 'IMPORT VHC Report'!$E:$E, 'IMPORT VHC Report'!$A:$C), )</f>
        <v/>
      </c>
      <c r="C12490" s="44"/>
      <c r="D12490" s="44"/>
      <c r="E12490" s="46" t="s">
        <v>8509</v>
      </c>
      <c r="F12490" s="46" t="s">
        <v>6604</v>
      </c>
      <c r="G12490" s="46">
        <v>9.795895003151E12</v>
      </c>
      <c r="H12490" s="46" t="s">
        <v>6605</v>
      </c>
      <c r="I12490" s="46" t="s">
        <v>6606</v>
      </c>
      <c r="J12490" s="46" t="s">
        <v>132</v>
      </c>
      <c r="K12490" s="46" t="s">
        <v>126</v>
      </c>
      <c r="L12490" s="45">
        <v>46018.479166666664</v>
      </c>
      <c r="M12490" s="46" t="s">
        <v>123</v>
      </c>
      <c r="N12490" s="45">
        <v>46018.520833333336</v>
      </c>
      <c r="O12490" s="46" t="s">
        <v>123</v>
      </c>
      <c r="P12490" s="46">
        <v>3600.0</v>
      </c>
    </row>
    <row r="12491">
      <c r="A12491" s="40">
        <f t="shared" si="1"/>
        <v>46013</v>
      </c>
      <c r="B12491" s="37" t="str">
        <f t="array" ref="B12491">iferror(xlookup($I12491, 'IMPORT VHC Report'!$E:$E, 'IMPORT VHC Report'!$A:$C), )</f>
        <v/>
      </c>
      <c r="C12491" s="44"/>
      <c r="D12491" s="44"/>
      <c r="E12491" s="46" t="s">
        <v>8510</v>
      </c>
      <c r="F12491" s="46" t="s">
        <v>6622</v>
      </c>
      <c r="G12491" s="46">
        <v>1.0548588461839E13</v>
      </c>
      <c r="H12491" s="46" t="s">
        <v>6623</v>
      </c>
      <c r="I12491" s="46" t="s">
        <v>6624</v>
      </c>
      <c r="J12491" s="46" t="s">
        <v>2268</v>
      </c>
      <c r="K12491" s="46" t="s">
        <v>63</v>
      </c>
      <c r="L12491" s="45">
        <v>46014.25</v>
      </c>
      <c r="M12491" s="46" t="s">
        <v>123</v>
      </c>
      <c r="N12491" s="45">
        <v>46014.416666666664</v>
      </c>
      <c r="O12491" s="46" t="s">
        <v>123</v>
      </c>
      <c r="P12491" s="46">
        <v>14400.0</v>
      </c>
      <c r="S12491" s="46" t="s">
        <v>8511</v>
      </c>
    </row>
    <row r="12492">
      <c r="A12492" s="40">
        <f t="shared" si="1"/>
        <v>46013</v>
      </c>
      <c r="B12492" s="37" t="str">
        <f t="array" ref="B12492">iferror(xlookup($I12492, 'IMPORT VHC Report'!$E:$E, 'IMPORT VHC Report'!$A:$C), )</f>
        <v/>
      </c>
      <c r="C12492" s="44"/>
      <c r="D12492" s="44"/>
      <c r="E12492" s="46" t="s">
        <v>8512</v>
      </c>
      <c r="F12492" s="46" t="s">
        <v>6622</v>
      </c>
      <c r="G12492" s="46">
        <v>1.0548588461839E13</v>
      </c>
      <c r="H12492" s="46" t="s">
        <v>6623</v>
      </c>
      <c r="I12492" s="46" t="s">
        <v>6624</v>
      </c>
      <c r="J12492" s="46" t="s">
        <v>134</v>
      </c>
      <c r="K12492" s="46" t="s">
        <v>126</v>
      </c>
      <c r="L12492" s="45">
        <v>46014.354166666664</v>
      </c>
      <c r="M12492" s="46" t="s">
        <v>123</v>
      </c>
      <c r="N12492" s="45">
        <v>46014.375</v>
      </c>
      <c r="O12492" s="46" t="s">
        <v>123</v>
      </c>
      <c r="P12492" s="46">
        <v>1800.0</v>
      </c>
    </row>
    <row r="12493">
      <c r="A12493" s="40">
        <f t="shared" si="1"/>
        <v>46013</v>
      </c>
      <c r="B12493" s="37" t="str">
        <f t="array" ref="B12493">iferror(xlookup($I12493, 'IMPORT VHC Report'!$E:$E, 'IMPORT VHC Report'!$A:$C), )</f>
        <v/>
      </c>
      <c r="C12493" s="44"/>
      <c r="D12493" s="44"/>
      <c r="E12493" s="46" t="s">
        <v>8513</v>
      </c>
      <c r="F12493" s="46" t="s">
        <v>6622</v>
      </c>
      <c r="G12493" s="46">
        <v>1.0548588461839E13</v>
      </c>
      <c r="H12493" s="46" t="s">
        <v>6623</v>
      </c>
      <c r="I12493" s="46" t="s">
        <v>6624</v>
      </c>
      <c r="J12493" s="46" t="s">
        <v>152</v>
      </c>
      <c r="K12493" s="46" t="s">
        <v>153</v>
      </c>
      <c r="L12493" s="45">
        <v>46014.416666666664</v>
      </c>
      <c r="M12493" s="46" t="s">
        <v>123</v>
      </c>
      <c r="N12493" s="45">
        <v>46014.583333333336</v>
      </c>
      <c r="O12493" s="46" t="s">
        <v>123</v>
      </c>
      <c r="P12493" s="46">
        <v>14400.0</v>
      </c>
      <c r="Q12493" s="46">
        <v>14400.0</v>
      </c>
      <c r="R12493" s="46" t="s">
        <v>8514</v>
      </c>
    </row>
    <row r="12494">
      <c r="A12494" s="40">
        <f t="shared" si="1"/>
        <v>46013</v>
      </c>
      <c r="B12494" s="37" t="str">
        <f t="array" ref="B12494">iferror(xlookup($I12494, 'IMPORT VHC Report'!$E:$E, 'IMPORT VHC Report'!$A:$C), )</f>
        <v/>
      </c>
      <c r="C12494" s="44"/>
      <c r="D12494" s="44"/>
      <c r="E12494" s="46" t="s">
        <v>8515</v>
      </c>
      <c r="F12494" s="46" t="s">
        <v>6622</v>
      </c>
      <c r="G12494" s="46">
        <v>1.0548588461839E13</v>
      </c>
      <c r="H12494" s="46" t="s">
        <v>6623</v>
      </c>
      <c r="I12494" s="46" t="s">
        <v>6624</v>
      </c>
      <c r="J12494" s="46" t="s">
        <v>132</v>
      </c>
      <c r="K12494" s="46" t="s">
        <v>126</v>
      </c>
      <c r="L12494" s="45">
        <v>46014.479166666664</v>
      </c>
      <c r="M12494" s="46" t="s">
        <v>123</v>
      </c>
      <c r="N12494" s="45">
        <v>46014.520833333336</v>
      </c>
      <c r="O12494" s="46" t="s">
        <v>123</v>
      </c>
      <c r="P12494" s="46">
        <v>3600.0</v>
      </c>
    </row>
    <row r="12495">
      <c r="A12495" s="40">
        <f t="shared" si="1"/>
        <v>46013</v>
      </c>
      <c r="B12495" s="37" t="str">
        <f t="array" ref="B12495">iferror(xlookup($I12495, 'IMPORT VHC Report'!$E:$E, 'IMPORT VHC Report'!$A:$C), )</f>
        <v/>
      </c>
      <c r="C12495" s="44"/>
      <c r="D12495" s="44"/>
      <c r="E12495" s="46" t="s">
        <v>8516</v>
      </c>
      <c r="F12495" s="46" t="s">
        <v>6622</v>
      </c>
      <c r="G12495" s="46">
        <v>1.0548588461839E13</v>
      </c>
      <c r="H12495" s="46" t="s">
        <v>6623</v>
      </c>
      <c r="I12495" s="46" t="s">
        <v>6624</v>
      </c>
      <c r="J12495" s="46" t="s">
        <v>368</v>
      </c>
      <c r="K12495" s="46" t="s">
        <v>63</v>
      </c>
      <c r="L12495" s="45">
        <v>46015.25</v>
      </c>
      <c r="M12495" s="46" t="s">
        <v>123</v>
      </c>
      <c r="N12495" s="45">
        <v>46015.375</v>
      </c>
      <c r="O12495" s="46" t="s">
        <v>123</v>
      </c>
      <c r="P12495" s="46">
        <v>10800.0</v>
      </c>
    </row>
    <row r="12496">
      <c r="A12496" s="40">
        <f t="shared" si="1"/>
        <v>46013</v>
      </c>
      <c r="B12496" s="37" t="str">
        <f t="array" ref="B12496">iferror(xlookup($I12496, 'IMPORT VHC Report'!$E:$E, 'IMPORT VHC Report'!$A:$C), )</f>
        <v/>
      </c>
      <c r="C12496" s="44"/>
      <c r="D12496" s="44"/>
      <c r="E12496" s="46" t="s">
        <v>8517</v>
      </c>
      <c r="F12496" s="46" t="s">
        <v>6622</v>
      </c>
      <c r="G12496" s="46">
        <v>1.0548588461839E13</v>
      </c>
      <c r="H12496" s="46" t="s">
        <v>6623</v>
      </c>
      <c r="I12496" s="46" t="s">
        <v>6624</v>
      </c>
      <c r="J12496" s="46" t="s">
        <v>134</v>
      </c>
      <c r="K12496" s="46" t="s">
        <v>126</v>
      </c>
      <c r="L12496" s="45">
        <v>46015.364583333336</v>
      </c>
      <c r="M12496" s="46" t="s">
        <v>123</v>
      </c>
      <c r="N12496" s="45">
        <v>46015.385416666664</v>
      </c>
      <c r="O12496" s="46" t="s">
        <v>123</v>
      </c>
      <c r="P12496" s="46">
        <v>1800.0</v>
      </c>
    </row>
    <row r="12497">
      <c r="A12497" s="40">
        <f t="shared" si="1"/>
        <v>46013</v>
      </c>
      <c r="B12497" s="37" t="str">
        <f t="array" ref="B12497">iferror(xlookup($I12497, 'IMPORT VHC Report'!$E:$E, 'IMPORT VHC Report'!$A:$C), )</f>
        <v/>
      </c>
      <c r="C12497" s="44"/>
      <c r="D12497" s="44"/>
      <c r="E12497" s="46" t="s">
        <v>8518</v>
      </c>
      <c r="F12497" s="46" t="s">
        <v>6622</v>
      </c>
      <c r="G12497" s="46">
        <v>1.0548588461839E13</v>
      </c>
      <c r="H12497" s="46" t="s">
        <v>6623</v>
      </c>
      <c r="I12497" s="46" t="s">
        <v>6624</v>
      </c>
      <c r="J12497" s="46" t="s">
        <v>2268</v>
      </c>
      <c r="K12497" s="46" t="s">
        <v>63</v>
      </c>
      <c r="L12497" s="45">
        <v>46015.375</v>
      </c>
      <c r="M12497" s="46" t="s">
        <v>123</v>
      </c>
      <c r="N12497" s="45">
        <v>46015.625</v>
      </c>
      <c r="O12497" s="46" t="s">
        <v>123</v>
      </c>
      <c r="P12497" s="46">
        <v>21600.0</v>
      </c>
    </row>
    <row r="12498">
      <c r="A12498" s="40">
        <f t="shared" si="1"/>
        <v>46013</v>
      </c>
      <c r="B12498" s="37" t="str">
        <f t="array" ref="B12498">iferror(xlookup($I12498, 'IMPORT VHC Report'!$E:$E, 'IMPORT VHC Report'!$A:$C), )</f>
        <v/>
      </c>
      <c r="C12498" s="44"/>
      <c r="D12498" s="44"/>
      <c r="E12498" s="46" t="s">
        <v>8519</v>
      </c>
      <c r="F12498" s="46" t="s">
        <v>6622</v>
      </c>
      <c r="G12498" s="46">
        <v>1.0548588461839E13</v>
      </c>
      <c r="H12498" s="46" t="s">
        <v>6623</v>
      </c>
      <c r="I12498" s="46" t="s">
        <v>6624</v>
      </c>
      <c r="J12498" s="46" t="s">
        <v>132</v>
      </c>
      <c r="K12498" s="46" t="s">
        <v>126</v>
      </c>
      <c r="L12498" s="45">
        <v>46015.5</v>
      </c>
      <c r="M12498" s="46" t="s">
        <v>123</v>
      </c>
      <c r="N12498" s="45">
        <v>46015.541666666664</v>
      </c>
      <c r="O12498" s="46" t="s">
        <v>123</v>
      </c>
      <c r="P12498" s="46">
        <v>3600.0</v>
      </c>
    </row>
    <row r="12499">
      <c r="A12499" s="40">
        <f t="shared" si="1"/>
        <v>46013</v>
      </c>
      <c r="B12499" s="37" t="str">
        <f t="array" ref="B12499">iferror(xlookup($I12499, 'IMPORT VHC Report'!$E:$E, 'IMPORT VHC Report'!$A:$C), )</f>
        <v/>
      </c>
      <c r="C12499" s="44"/>
      <c r="D12499" s="44"/>
      <c r="E12499" s="46" t="s">
        <v>8520</v>
      </c>
      <c r="F12499" s="46" t="s">
        <v>6622</v>
      </c>
      <c r="G12499" s="46">
        <v>1.0548588461839E13</v>
      </c>
      <c r="H12499" s="46" t="s">
        <v>6623</v>
      </c>
      <c r="I12499" s="46" t="s">
        <v>6624</v>
      </c>
      <c r="J12499" s="46" t="s">
        <v>368</v>
      </c>
      <c r="K12499" s="46" t="s">
        <v>63</v>
      </c>
      <c r="L12499" s="45">
        <v>46016.25</v>
      </c>
      <c r="M12499" s="46" t="s">
        <v>123</v>
      </c>
      <c r="N12499" s="45">
        <v>46016.302083333336</v>
      </c>
      <c r="O12499" s="46" t="s">
        <v>123</v>
      </c>
      <c r="P12499" s="46">
        <v>4500.0</v>
      </c>
    </row>
    <row r="12500">
      <c r="A12500" s="40">
        <f t="shared" si="1"/>
        <v>46013</v>
      </c>
      <c r="B12500" s="37" t="str">
        <f t="array" ref="B12500">iferror(xlookup($I12500, 'IMPORT VHC Report'!$E:$E, 'IMPORT VHC Report'!$A:$C), )</f>
        <v/>
      </c>
      <c r="C12500" s="44"/>
      <c r="D12500" s="44"/>
      <c r="E12500" s="46" t="s">
        <v>8521</v>
      </c>
      <c r="F12500" s="46" t="s">
        <v>6622</v>
      </c>
      <c r="G12500" s="46">
        <v>1.0548588461839E13</v>
      </c>
      <c r="H12500" s="46" t="s">
        <v>6623</v>
      </c>
      <c r="I12500" s="46" t="s">
        <v>6624</v>
      </c>
      <c r="J12500" s="46" t="s">
        <v>2268</v>
      </c>
      <c r="K12500" s="46" t="s">
        <v>63</v>
      </c>
      <c r="L12500" s="45">
        <v>46016.302083333336</v>
      </c>
      <c r="M12500" s="46" t="s">
        <v>123</v>
      </c>
      <c r="N12500" s="45">
        <v>46016.375</v>
      </c>
      <c r="O12500" s="46" t="s">
        <v>123</v>
      </c>
      <c r="P12500" s="46">
        <v>6300.0</v>
      </c>
    </row>
    <row r="12501">
      <c r="A12501" s="40">
        <f t="shared" si="1"/>
        <v>46013</v>
      </c>
      <c r="B12501" s="37" t="str">
        <f t="array" ref="B12501">iferror(xlookup($I12501, 'IMPORT VHC Report'!$E:$E, 'IMPORT VHC Report'!$A:$C), )</f>
        <v/>
      </c>
      <c r="C12501" s="44"/>
      <c r="D12501" s="44"/>
      <c r="E12501" s="46" t="s">
        <v>8522</v>
      </c>
      <c r="F12501" s="46" t="s">
        <v>6622</v>
      </c>
      <c r="G12501" s="46">
        <v>1.0548588461839E13</v>
      </c>
      <c r="H12501" s="46" t="s">
        <v>6623</v>
      </c>
      <c r="I12501" s="46" t="s">
        <v>6624</v>
      </c>
      <c r="J12501" s="46" t="s">
        <v>2268</v>
      </c>
      <c r="K12501" s="46" t="s">
        <v>63</v>
      </c>
      <c r="L12501" s="45">
        <v>46016.375</v>
      </c>
      <c r="M12501" s="46" t="s">
        <v>123</v>
      </c>
      <c r="N12501" s="45">
        <v>46016.625</v>
      </c>
      <c r="O12501" s="46" t="s">
        <v>123</v>
      </c>
      <c r="P12501" s="46">
        <v>21600.0</v>
      </c>
    </row>
    <row r="12502">
      <c r="A12502" s="40">
        <f t="shared" si="1"/>
        <v>46013</v>
      </c>
      <c r="B12502" s="37" t="str">
        <f t="array" ref="B12502">iferror(xlookup($I12502, 'IMPORT VHC Report'!$E:$E, 'IMPORT VHC Report'!$A:$C), )</f>
        <v/>
      </c>
      <c r="C12502" s="44"/>
      <c r="D12502" s="44"/>
      <c r="E12502" s="46" t="s">
        <v>8523</v>
      </c>
      <c r="F12502" s="46" t="s">
        <v>6622</v>
      </c>
      <c r="G12502" s="46">
        <v>1.0548588461839E13</v>
      </c>
      <c r="H12502" s="46" t="s">
        <v>6623</v>
      </c>
      <c r="I12502" s="46" t="s">
        <v>6624</v>
      </c>
      <c r="J12502" s="46" t="s">
        <v>134</v>
      </c>
      <c r="K12502" s="46" t="s">
        <v>126</v>
      </c>
      <c r="L12502" s="45">
        <v>46016.40625</v>
      </c>
      <c r="M12502" s="46" t="s">
        <v>123</v>
      </c>
      <c r="N12502" s="45">
        <v>46016.427083333336</v>
      </c>
      <c r="O12502" s="46" t="s">
        <v>123</v>
      </c>
      <c r="P12502" s="46">
        <v>1800.0</v>
      </c>
    </row>
    <row r="12503">
      <c r="A12503" s="40">
        <f t="shared" si="1"/>
        <v>46013</v>
      </c>
      <c r="B12503" s="37" t="str">
        <f t="array" ref="B12503">iferror(xlookup($I12503, 'IMPORT VHC Report'!$E:$E, 'IMPORT VHC Report'!$A:$C), )</f>
        <v/>
      </c>
      <c r="C12503" s="44"/>
      <c r="D12503" s="44"/>
      <c r="E12503" s="46" t="s">
        <v>8524</v>
      </c>
      <c r="F12503" s="46" t="s">
        <v>6622</v>
      </c>
      <c r="G12503" s="46">
        <v>1.0548588461839E13</v>
      </c>
      <c r="H12503" s="46" t="s">
        <v>6623</v>
      </c>
      <c r="I12503" s="46" t="s">
        <v>6624</v>
      </c>
      <c r="J12503" s="46" t="s">
        <v>132</v>
      </c>
      <c r="K12503" s="46" t="s">
        <v>126</v>
      </c>
      <c r="L12503" s="45">
        <v>46016.53125</v>
      </c>
      <c r="M12503" s="46" t="s">
        <v>123</v>
      </c>
      <c r="N12503" s="45">
        <v>46016.572916666664</v>
      </c>
      <c r="O12503" s="46" t="s">
        <v>123</v>
      </c>
      <c r="P12503" s="46">
        <v>3600.0</v>
      </c>
    </row>
    <row r="12504">
      <c r="A12504" s="40">
        <f t="shared" si="1"/>
        <v>46013</v>
      </c>
      <c r="B12504" s="37" t="str">
        <f t="array" ref="B12504">iferror(xlookup($I12504, 'IMPORT VHC Report'!$E:$E, 'IMPORT VHC Report'!$A:$C), )</f>
        <v/>
      </c>
      <c r="C12504" s="44"/>
      <c r="D12504" s="44"/>
      <c r="E12504" s="46" t="s">
        <v>8525</v>
      </c>
      <c r="F12504" s="46" t="s">
        <v>6622</v>
      </c>
      <c r="G12504" s="46">
        <v>1.0548588461839E13</v>
      </c>
      <c r="H12504" s="46" t="s">
        <v>6623</v>
      </c>
      <c r="I12504" s="46" t="s">
        <v>6624</v>
      </c>
      <c r="J12504" s="46" t="s">
        <v>2268</v>
      </c>
      <c r="K12504" s="46" t="s">
        <v>63</v>
      </c>
      <c r="L12504" s="45">
        <v>46017.25</v>
      </c>
      <c r="M12504" s="46" t="s">
        <v>123</v>
      </c>
      <c r="N12504" s="45">
        <v>46017.625</v>
      </c>
      <c r="O12504" s="46" t="s">
        <v>123</v>
      </c>
      <c r="P12504" s="46">
        <v>32400.0</v>
      </c>
    </row>
    <row r="12505">
      <c r="A12505" s="40">
        <f t="shared" si="1"/>
        <v>46013</v>
      </c>
      <c r="B12505" s="37" t="str">
        <f t="array" ref="B12505">iferror(xlookup($I12505, 'IMPORT VHC Report'!$E:$E, 'IMPORT VHC Report'!$A:$C), )</f>
        <v/>
      </c>
      <c r="C12505" s="44"/>
      <c r="D12505" s="44"/>
      <c r="E12505" s="46" t="s">
        <v>8526</v>
      </c>
      <c r="F12505" s="46" t="s">
        <v>6622</v>
      </c>
      <c r="G12505" s="46">
        <v>1.0548588461839E13</v>
      </c>
      <c r="H12505" s="46" t="s">
        <v>6623</v>
      </c>
      <c r="I12505" s="46" t="s">
        <v>6624</v>
      </c>
      <c r="J12505" s="46" t="s">
        <v>134</v>
      </c>
      <c r="K12505" s="46" t="s">
        <v>126</v>
      </c>
      <c r="L12505" s="45">
        <v>46017.416666666664</v>
      </c>
      <c r="M12505" s="46" t="s">
        <v>123</v>
      </c>
      <c r="N12505" s="45">
        <v>46017.4375</v>
      </c>
      <c r="O12505" s="46" t="s">
        <v>123</v>
      </c>
      <c r="P12505" s="46">
        <v>1800.0</v>
      </c>
    </row>
    <row r="12506">
      <c r="A12506" s="40">
        <f t="shared" si="1"/>
        <v>46013</v>
      </c>
      <c r="B12506" s="37" t="str">
        <f t="array" ref="B12506">iferror(xlookup($I12506, 'IMPORT VHC Report'!$E:$E, 'IMPORT VHC Report'!$A:$C), )</f>
        <v/>
      </c>
      <c r="C12506" s="44"/>
      <c r="D12506" s="44"/>
      <c r="E12506" s="46" t="s">
        <v>8527</v>
      </c>
      <c r="F12506" s="46" t="s">
        <v>6622</v>
      </c>
      <c r="G12506" s="46">
        <v>1.0548588461839E13</v>
      </c>
      <c r="H12506" s="46" t="s">
        <v>6623</v>
      </c>
      <c r="I12506" s="46" t="s">
        <v>6624</v>
      </c>
      <c r="J12506" s="46" t="s">
        <v>132</v>
      </c>
      <c r="K12506" s="46" t="s">
        <v>126</v>
      </c>
      <c r="L12506" s="45">
        <v>46017.53125</v>
      </c>
      <c r="M12506" s="46" t="s">
        <v>123</v>
      </c>
      <c r="N12506" s="45">
        <v>46017.572916666664</v>
      </c>
      <c r="O12506" s="46" t="s">
        <v>123</v>
      </c>
      <c r="P12506" s="46">
        <v>3600.0</v>
      </c>
    </row>
    <row r="12507">
      <c r="A12507" s="40">
        <f t="shared" si="1"/>
        <v>46013</v>
      </c>
      <c r="B12507" s="37" t="str">
        <f t="array" ref="B12507">iferror(xlookup($I12507, 'IMPORT VHC Report'!$E:$E, 'IMPORT VHC Report'!$A:$C), )</f>
        <v/>
      </c>
      <c r="C12507" s="44"/>
      <c r="D12507" s="44"/>
      <c r="E12507" s="46" t="s">
        <v>8528</v>
      </c>
      <c r="F12507" s="46" t="s">
        <v>6622</v>
      </c>
      <c r="G12507" s="46">
        <v>1.0548588461839E13</v>
      </c>
      <c r="H12507" s="46" t="s">
        <v>6623</v>
      </c>
      <c r="I12507" s="46" t="s">
        <v>6624</v>
      </c>
      <c r="J12507" s="46" t="s">
        <v>368</v>
      </c>
      <c r="K12507" s="46" t="s">
        <v>63</v>
      </c>
      <c r="L12507" s="45">
        <v>46018.25</v>
      </c>
      <c r="M12507" s="46" t="s">
        <v>123</v>
      </c>
      <c r="N12507" s="45">
        <v>46018.625</v>
      </c>
      <c r="O12507" s="46" t="s">
        <v>123</v>
      </c>
      <c r="P12507" s="46">
        <v>32400.0</v>
      </c>
    </row>
    <row r="12508">
      <c r="A12508" s="40">
        <f t="shared" si="1"/>
        <v>46013</v>
      </c>
      <c r="B12508" s="37" t="str">
        <f t="array" ref="B12508">iferror(xlookup($I12508, 'IMPORT VHC Report'!$E:$E, 'IMPORT VHC Report'!$A:$C), )</f>
        <v/>
      </c>
      <c r="C12508" s="44"/>
      <c r="D12508" s="44"/>
      <c r="E12508" s="46" t="s">
        <v>8529</v>
      </c>
      <c r="F12508" s="46" t="s">
        <v>6622</v>
      </c>
      <c r="G12508" s="46">
        <v>1.0548588461839E13</v>
      </c>
      <c r="H12508" s="46" t="s">
        <v>6623</v>
      </c>
      <c r="I12508" s="46" t="s">
        <v>6624</v>
      </c>
      <c r="J12508" s="46" t="s">
        <v>134</v>
      </c>
      <c r="K12508" s="46" t="s">
        <v>126</v>
      </c>
      <c r="L12508" s="45">
        <v>46018.385416666664</v>
      </c>
      <c r="M12508" s="46" t="s">
        <v>123</v>
      </c>
      <c r="N12508" s="45">
        <v>46018.40625</v>
      </c>
      <c r="O12508" s="46" t="s">
        <v>123</v>
      </c>
      <c r="P12508" s="46">
        <v>1800.0</v>
      </c>
    </row>
    <row r="12509">
      <c r="A12509" s="40">
        <f t="shared" si="1"/>
        <v>46013</v>
      </c>
      <c r="B12509" s="37" t="str">
        <f t="array" ref="B12509">iferror(xlookup($I12509, 'IMPORT VHC Report'!$E:$E, 'IMPORT VHC Report'!$A:$C), )</f>
        <v/>
      </c>
      <c r="C12509" s="44"/>
      <c r="D12509" s="44"/>
      <c r="E12509" s="46" t="s">
        <v>8530</v>
      </c>
      <c r="F12509" s="46" t="s">
        <v>6622</v>
      </c>
      <c r="G12509" s="46">
        <v>1.0548588461839E13</v>
      </c>
      <c r="H12509" s="46" t="s">
        <v>6623</v>
      </c>
      <c r="I12509" s="46" t="s">
        <v>6624</v>
      </c>
      <c r="J12509" s="46" t="s">
        <v>132</v>
      </c>
      <c r="K12509" s="46" t="s">
        <v>126</v>
      </c>
      <c r="L12509" s="45">
        <v>46018.520833333336</v>
      </c>
      <c r="M12509" s="46" t="s">
        <v>123</v>
      </c>
      <c r="N12509" s="45">
        <v>46018.5625</v>
      </c>
      <c r="O12509" s="46" t="s">
        <v>123</v>
      </c>
      <c r="P12509" s="46">
        <v>3600.0</v>
      </c>
    </row>
    <row r="12510">
      <c r="A12510" s="40">
        <f t="shared" si="1"/>
        <v>46013</v>
      </c>
      <c r="B12510" s="37" t="str">
        <f t="array" ref="B12510">iferror(xlookup($I12510, 'IMPORT VHC Report'!$E:$E, 'IMPORT VHC Report'!$A:$C), )</f>
        <v/>
      </c>
      <c r="C12510" s="44"/>
      <c r="D12510" s="44"/>
      <c r="E12510" s="46" t="s">
        <v>8531</v>
      </c>
      <c r="F12510" s="46" t="s">
        <v>6778</v>
      </c>
      <c r="G12510" s="46">
        <v>3.61731944855E11</v>
      </c>
      <c r="H12510" s="46" t="s">
        <v>6779</v>
      </c>
      <c r="I12510" s="46" t="s">
        <v>6780</v>
      </c>
      <c r="J12510" s="46" t="s">
        <v>368</v>
      </c>
      <c r="K12510" s="46" t="s">
        <v>63</v>
      </c>
      <c r="L12510" s="45">
        <v>46014.291666666664</v>
      </c>
      <c r="M12510" s="46" t="s">
        <v>123</v>
      </c>
      <c r="N12510" s="45">
        <v>46014.666666666664</v>
      </c>
      <c r="O12510" s="46" t="s">
        <v>123</v>
      </c>
      <c r="P12510" s="46">
        <v>32400.0</v>
      </c>
    </row>
    <row r="12511">
      <c r="A12511" s="40">
        <f t="shared" si="1"/>
        <v>46013</v>
      </c>
      <c r="B12511" s="37" t="str">
        <f t="array" ref="B12511">iferror(xlookup($I12511, 'IMPORT VHC Report'!$E:$E, 'IMPORT VHC Report'!$A:$C), )</f>
        <v/>
      </c>
      <c r="C12511" s="44"/>
      <c r="D12511" s="44"/>
      <c r="E12511" s="46" t="s">
        <v>8532</v>
      </c>
      <c r="F12511" s="46" t="s">
        <v>6778</v>
      </c>
      <c r="G12511" s="46">
        <v>3.61731944855E11</v>
      </c>
      <c r="H12511" s="46" t="s">
        <v>6779</v>
      </c>
      <c r="I12511" s="46" t="s">
        <v>6780</v>
      </c>
      <c r="J12511" s="46" t="s">
        <v>178</v>
      </c>
      <c r="K12511" s="46" t="s">
        <v>153</v>
      </c>
      <c r="L12511" s="45">
        <v>46014.291666666664</v>
      </c>
      <c r="M12511" s="46" t="s">
        <v>123</v>
      </c>
      <c r="N12511" s="45">
        <v>46014.666666666664</v>
      </c>
      <c r="O12511" s="46" t="s">
        <v>123</v>
      </c>
      <c r="P12511" s="46">
        <v>32400.0</v>
      </c>
      <c r="Q12511" s="46">
        <v>32400.0</v>
      </c>
      <c r="R12511" s="46" t="s">
        <v>6796</v>
      </c>
      <c r="S12511" s="46" t="s">
        <v>6796</v>
      </c>
    </row>
    <row r="12512">
      <c r="A12512" s="40">
        <f t="shared" si="1"/>
        <v>46013</v>
      </c>
      <c r="B12512" s="37" t="str">
        <f t="array" ref="B12512">iferror(xlookup($I12512, 'IMPORT VHC Report'!$E:$E, 'IMPORT VHC Report'!$A:$C), )</f>
        <v/>
      </c>
      <c r="C12512" s="44"/>
      <c r="D12512" s="44"/>
      <c r="E12512" s="46" t="s">
        <v>8533</v>
      </c>
      <c r="F12512" s="46" t="s">
        <v>6778</v>
      </c>
      <c r="G12512" s="46">
        <v>3.61731944855E11</v>
      </c>
      <c r="H12512" s="46" t="s">
        <v>6779</v>
      </c>
      <c r="I12512" s="46" t="s">
        <v>6780</v>
      </c>
      <c r="J12512" s="46" t="s">
        <v>134</v>
      </c>
      <c r="K12512" s="46" t="s">
        <v>126</v>
      </c>
      <c r="L12512" s="45">
        <v>46014.427083333336</v>
      </c>
      <c r="M12512" s="46" t="s">
        <v>123</v>
      </c>
      <c r="N12512" s="45">
        <v>46014.447916666664</v>
      </c>
      <c r="O12512" s="46" t="s">
        <v>123</v>
      </c>
      <c r="P12512" s="46">
        <v>1800.0</v>
      </c>
    </row>
    <row r="12513">
      <c r="A12513" s="40">
        <f t="shared" si="1"/>
        <v>46013</v>
      </c>
      <c r="B12513" s="37" t="str">
        <f t="array" ref="B12513">iferror(xlookup($I12513, 'IMPORT VHC Report'!$E:$E, 'IMPORT VHC Report'!$A:$C), )</f>
        <v/>
      </c>
      <c r="C12513" s="44"/>
      <c r="D12513" s="44"/>
      <c r="E12513" s="46" t="s">
        <v>8534</v>
      </c>
      <c r="F12513" s="46" t="s">
        <v>6778</v>
      </c>
      <c r="G12513" s="46">
        <v>3.61731944855E11</v>
      </c>
      <c r="H12513" s="46" t="s">
        <v>6779</v>
      </c>
      <c r="I12513" s="46" t="s">
        <v>6780</v>
      </c>
      <c r="J12513" s="46" t="s">
        <v>132</v>
      </c>
      <c r="K12513" s="46" t="s">
        <v>126</v>
      </c>
      <c r="L12513" s="45">
        <v>46014.5625</v>
      </c>
      <c r="M12513" s="46" t="s">
        <v>123</v>
      </c>
      <c r="N12513" s="45">
        <v>46014.604166666664</v>
      </c>
      <c r="O12513" s="46" t="s">
        <v>123</v>
      </c>
      <c r="P12513" s="46">
        <v>3600.0</v>
      </c>
    </row>
    <row r="12514">
      <c r="A12514" s="40">
        <f t="shared" si="1"/>
        <v>46013</v>
      </c>
      <c r="B12514" s="37" t="str">
        <f t="array" ref="B12514">iferror(xlookup($I12514, 'IMPORT VHC Report'!$E:$E, 'IMPORT VHC Report'!$A:$C), )</f>
        <v/>
      </c>
      <c r="C12514" s="44"/>
      <c r="D12514" s="44"/>
      <c r="E12514" s="46" t="s">
        <v>8535</v>
      </c>
      <c r="F12514" s="46" t="s">
        <v>6778</v>
      </c>
      <c r="G12514" s="46">
        <v>3.61731944855E11</v>
      </c>
      <c r="H12514" s="46" t="s">
        <v>6779</v>
      </c>
      <c r="I12514" s="46" t="s">
        <v>6780</v>
      </c>
      <c r="J12514" s="46" t="s">
        <v>178</v>
      </c>
      <c r="K12514" s="46" t="s">
        <v>153</v>
      </c>
      <c r="L12514" s="45">
        <v>46015.291666666664</v>
      </c>
      <c r="M12514" s="46" t="s">
        <v>123</v>
      </c>
      <c r="N12514" s="45">
        <v>46015.666666666664</v>
      </c>
      <c r="O12514" s="46" t="s">
        <v>123</v>
      </c>
      <c r="P12514" s="46">
        <v>32400.0</v>
      </c>
      <c r="Q12514" s="46">
        <v>57600.0</v>
      </c>
      <c r="R12514" s="46" t="s">
        <v>8536</v>
      </c>
      <c r="S12514" s="46" t="s">
        <v>6796</v>
      </c>
    </row>
    <row r="12515">
      <c r="A12515" s="40">
        <f t="shared" si="1"/>
        <v>46013</v>
      </c>
      <c r="B12515" s="37" t="str">
        <f t="array" ref="B12515">iferror(xlookup($I12515, 'IMPORT VHC Report'!$E:$E, 'IMPORT VHC Report'!$A:$C), )</f>
        <v/>
      </c>
      <c r="C12515" s="44"/>
      <c r="D12515" s="44"/>
      <c r="E12515" s="46" t="s">
        <v>8537</v>
      </c>
      <c r="F12515" s="46" t="s">
        <v>6778</v>
      </c>
      <c r="G12515" s="46">
        <v>3.61731944855E11</v>
      </c>
      <c r="H12515" s="46" t="s">
        <v>6779</v>
      </c>
      <c r="I12515" s="46" t="s">
        <v>6780</v>
      </c>
      <c r="J12515" s="46" t="s">
        <v>368</v>
      </c>
      <c r="K12515" s="46" t="s">
        <v>63</v>
      </c>
      <c r="L12515" s="45">
        <v>46015.291666666664</v>
      </c>
      <c r="M12515" s="46" t="s">
        <v>123</v>
      </c>
      <c r="N12515" s="45">
        <v>46015.666666666664</v>
      </c>
      <c r="O12515" s="46" t="s">
        <v>123</v>
      </c>
      <c r="P12515" s="46">
        <v>32400.0</v>
      </c>
    </row>
    <row r="12516">
      <c r="A12516" s="40">
        <f t="shared" si="1"/>
        <v>46013</v>
      </c>
      <c r="B12516" s="37" t="str">
        <f t="array" ref="B12516">iferror(xlookup($I12516, 'IMPORT VHC Report'!$E:$E, 'IMPORT VHC Report'!$A:$C), )</f>
        <v/>
      </c>
      <c r="C12516" s="44"/>
      <c r="D12516" s="44"/>
      <c r="E12516" s="46" t="s">
        <v>8538</v>
      </c>
      <c r="F12516" s="46" t="s">
        <v>6778</v>
      </c>
      <c r="G12516" s="46">
        <v>3.61731944855E11</v>
      </c>
      <c r="H12516" s="46" t="s">
        <v>6779</v>
      </c>
      <c r="I12516" s="46" t="s">
        <v>6780</v>
      </c>
      <c r="J12516" s="46" t="s">
        <v>134</v>
      </c>
      <c r="K12516" s="46" t="s">
        <v>126</v>
      </c>
      <c r="L12516" s="45">
        <v>46015.395833333336</v>
      </c>
      <c r="M12516" s="46" t="s">
        <v>123</v>
      </c>
      <c r="N12516" s="45">
        <v>46015.416666666664</v>
      </c>
      <c r="O12516" s="46" t="s">
        <v>123</v>
      </c>
      <c r="P12516" s="46">
        <v>1800.0</v>
      </c>
    </row>
    <row r="12517">
      <c r="A12517" s="40">
        <f t="shared" si="1"/>
        <v>46013</v>
      </c>
      <c r="B12517" s="37" t="str">
        <f t="array" ref="B12517">iferror(xlookup($I12517, 'IMPORT VHC Report'!$E:$E, 'IMPORT VHC Report'!$A:$C), )</f>
        <v/>
      </c>
      <c r="C12517" s="44"/>
      <c r="D12517" s="44"/>
      <c r="E12517" s="46" t="s">
        <v>8539</v>
      </c>
      <c r="F12517" s="46" t="s">
        <v>6778</v>
      </c>
      <c r="G12517" s="46">
        <v>3.61731944855E11</v>
      </c>
      <c r="H12517" s="46" t="s">
        <v>6779</v>
      </c>
      <c r="I12517" s="46" t="s">
        <v>6780</v>
      </c>
      <c r="J12517" s="46" t="s">
        <v>132</v>
      </c>
      <c r="K12517" s="46" t="s">
        <v>126</v>
      </c>
      <c r="L12517" s="45">
        <v>46015.53125</v>
      </c>
      <c r="M12517" s="46" t="s">
        <v>123</v>
      </c>
      <c r="N12517" s="45">
        <v>46015.572916666664</v>
      </c>
      <c r="O12517" s="46" t="s">
        <v>123</v>
      </c>
      <c r="P12517" s="46">
        <v>3600.0</v>
      </c>
    </row>
    <row r="12518">
      <c r="A12518" s="40">
        <f t="shared" si="1"/>
        <v>46013</v>
      </c>
      <c r="B12518" s="37" t="str">
        <f t="array" ref="B12518">iferror(xlookup($I12518, 'IMPORT VHC Report'!$E:$E, 'IMPORT VHC Report'!$A:$C), )</f>
        <v/>
      </c>
      <c r="C12518" s="44"/>
      <c r="D12518" s="44"/>
      <c r="E12518" s="46" t="s">
        <v>8540</v>
      </c>
      <c r="F12518" s="46" t="s">
        <v>6778</v>
      </c>
      <c r="G12518" s="46">
        <v>3.61731944855E11</v>
      </c>
      <c r="H12518" s="46" t="s">
        <v>6779</v>
      </c>
      <c r="I12518" s="46" t="s">
        <v>6780</v>
      </c>
      <c r="J12518" s="46" t="s">
        <v>368</v>
      </c>
      <c r="K12518" s="46" t="s">
        <v>63</v>
      </c>
      <c r="L12518" s="45">
        <v>46016.291666666664</v>
      </c>
      <c r="M12518" s="46" t="s">
        <v>123</v>
      </c>
      <c r="N12518" s="45">
        <v>46016.666666666664</v>
      </c>
      <c r="O12518" s="46" t="s">
        <v>123</v>
      </c>
      <c r="P12518" s="46">
        <v>32400.0</v>
      </c>
    </row>
    <row r="12519">
      <c r="A12519" s="40">
        <f t="shared" si="1"/>
        <v>46013</v>
      </c>
      <c r="B12519" s="37" t="str">
        <f t="array" ref="B12519">iferror(xlookup($I12519, 'IMPORT VHC Report'!$E:$E, 'IMPORT VHC Report'!$A:$C), )</f>
        <v/>
      </c>
      <c r="C12519" s="44"/>
      <c r="D12519" s="44"/>
      <c r="E12519" s="46" t="s">
        <v>8541</v>
      </c>
      <c r="F12519" s="46" t="s">
        <v>6778</v>
      </c>
      <c r="G12519" s="46">
        <v>3.61731944855E11</v>
      </c>
      <c r="H12519" s="46" t="s">
        <v>6779</v>
      </c>
      <c r="I12519" s="46" t="s">
        <v>6780</v>
      </c>
      <c r="J12519" s="46" t="s">
        <v>178</v>
      </c>
      <c r="K12519" s="46" t="s">
        <v>153</v>
      </c>
      <c r="L12519" s="45">
        <v>46016.291666666664</v>
      </c>
      <c r="M12519" s="46" t="s">
        <v>123</v>
      </c>
      <c r="N12519" s="45">
        <v>46016.666666666664</v>
      </c>
      <c r="O12519" s="46" t="s">
        <v>123</v>
      </c>
      <c r="P12519" s="46">
        <v>32400.0</v>
      </c>
      <c r="Q12519" s="46">
        <v>32400.0</v>
      </c>
      <c r="R12519" s="46" t="s">
        <v>6796</v>
      </c>
      <c r="S12519" s="46" t="s">
        <v>6796</v>
      </c>
    </row>
    <row r="12520">
      <c r="A12520" s="40">
        <f t="shared" si="1"/>
        <v>46013</v>
      </c>
      <c r="B12520" s="37" t="str">
        <f t="array" ref="B12520">iferror(xlookup($I12520, 'IMPORT VHC Report'!$E:$E, 'IMPORT VHC Report'!$A:$C), )</f>
        <v/>
      </c>
      <c r="C12520" s="44"/>
      <c r="D12520" s="44"/>
      <c r="E12520" s="46" t="s">
        <v>8542</v>
      </c>
      <c r="F12520" s="46" t="s">
        <v>6778</v>
      </c>
      <c r="G12520" s="46">
        <v>3.61731944855E11</v>
      </c>
      <c r="H12520" s="46" t="s">
        <v>6779</v>
      </c>
      <c r="I12520" s="46" t="s">
        <v>6780</v>
      </c>
      <c r="J12520" s="46" t="s">
        <v>134</v>
      </c>
      <c r="K12520" s="46" t="s">
        <v>126</v>
      </c>
      <c r="L12520" s="45">
        <v>46016.4375</v>
      </c>
      <c r="M12520" s="46" t="s">
        <v>123</v>
      </c>
      <c r="N12520" s="45">
        <v>46016.458333333336</v>
      </c>
      <c r="O12520" s="46" t="s">
        <v>123</v>
      </c>
      <c r="P12520" s="46">
        <v>1800.0</v>
      </c>
    </row>
    <row r="12521">
      <c r="A12521" s="40">
        <f t="shared" si="1"/>
        <v>46013</v>
      </c>
      <c r="B12521" s="37" t="str">
        <f t="array" ref="B12521">iferror(xlookup($I12521, 'IMPORT VHC Report'!$E:$E, 'IMPORT VHC Report'!$A:$C), )</f>
        <v/>
      </c>
      <c r="C12521" s="44"/>
      <c r="D12521" s="44"/>
      <c r="E12521" s="46" t="s">
        <v>8543</v>
      </c>
      <c r="F12521" s="46" t="s">
        <v>6778</v>
      </c>
      <c r="G12521" s="46">
        <v>3.61731944855E11</v>
      </c>
      <c r="H12521" s="46" t="s">
        <v>6779</v>
      </c>
      <c r="I12521" s="46" t="s">
        <v>6780</v>
      </c>
      <c r="J12521" s="46" t="s">
        <v>132</v>
      </c>
      <c r="K12521" s="46" t="s">
        <v>126</v>
      </c>
      <c r="L12521" s="45">
        <v>46016.5625</v>
      </c>
      <c r="M12521" s="46" t="s">
        <v>123</v>
      </c>
      <c r="N12521" s="45">
        <v>46016.604166666664</v>
      </c>
      <c r="O12521" s="46" t="s">
        <v>123</v>
      </c>
      <c r="P12521" s="46">
        <v>3600.0</v>
      </c>
    </row>
    <row r="12522">
      <c r="A12522" s="40">
        <f t="shared" si="1"/>
        <v>46013</v>
      </c>
      <c r="B12522" s="37" t="str">
        <f t="array" ref="B12522">iferror(xlookup($I12522, 'IMPORT VHC Report'!$E:$E, 'IMPORT VHC Report'!$A:$C), )</f>
        <v/>
      </c>
      <c r="C12522" s="44"/>
      <c r="D12522" s="44"/>
      <c r="E12522" s="46" t="s">
        <v>8544</v>
      </c>
      <c r="F12522" s="46" t="s">
        <v>6778</v>
      </c>
      <c r="G12522" s="46">
        <v>3.61731944855E11</v>
      </c>
      <c r="H12522" s="46" t="s">
        <v>6779</v>
      </c>
      <c r="I12522" s="46" t="s">
        <v>6780</v>
      </c>
      <c r="J12522" s="46" t="s">
        <v>178</v>
      </c>
      <c r="K12522" s="46" t="s">
        <v>153</v>
      </c>
      <c r="L12522" s="45">
        <v>46017.291666666664</v>
      </c>
      <c r="M12522" s="46" t="s">
        <v>123</v>
      </c>
      <c r="N12522" s="45">
        <v>46017.666666666664</v>
      </c>
      <c r="O12522" s="46" t="s">
        <v>123</v>
      </c>
      <c r="P12522" s="46">
        <v>32400.0</v>
      </c>
      <c r="Q12522" s="46">
        <v>32400.0</v>
      </c>
      <c r="R12522" s="46" t="s">
        <v>6796</v>
      </c>
      <c r="S12522" s="46" t="s">
        <v>6796</v>
      </c>
    </row>
    <row r="12523">
      <c r="A12523" s="40">
        <f t="shared" si="1"/>
        <v>46013</v>
      </c>
      <c r="B12523" s="37" t="str">
        <f t="array" ref="B12523">iferror(xlookup($I12523, 'IMPORT VHC Report'!$E:$E, 'IMPORT VHC Report'!$A:$C), )</f>
        <v/>
      </c>
      <c r="C12523" s="44"/>
      <c r="D12523" s="44"/>
      <c r="E12523" s="46" t="s">
        <v>8545</v>
      </c>
      <c r="F12523" s="46" t="s">
        <v>6778</v>
      </c>
      <c r="G12523" s="46">
        <v>3.61731944855E11</v>
      </c>
      <c r="H12523" s="46" t="s">
        <v>6779</v>
      </c>
      <c r="I12523" s="46" t="s">
        <v>6780</v>
      </c>
      <c r="J12523" s="46" t="s">
        <v>368</v>
      </c>
      <c r="K12523" s="46" t="s">
        <v>63</v>
      </c>
      <c r="L12523" s="45">
        <v>46017.291666666664</v>
      </c>
      <c r="M12523" s="46" t="s">
        <v>123</v>
      </c>
      <c r="N12523" s="45">
        <v>46017.666666666664</v>
      </c>
      <c r="O12523" s="46" t="s">
        <v>123</v>
      </c>
      <c r="P12523" s="46">
        <v>32400.0</v>
      </c>
    </row>
    <row r="12524">
      <c r="A12524" s="40">
        <f t="shared" si="1"/>
        <v>46013</v>
      </c>
      <c r="B12524" s="37" t="str">
        <f t="array" ref="B12524">iferror(xlookup($I12524, 'IMPORT VHC Report'!$E:$E, 'IMPORT VHC Report'!$A:$C), )</f>
        <v/>
      </c>
      <c r="C12524" s="44"/>
      <c r="D12524" s="44"/>
      <c r="E12524" s="46" t="s">
        <v>8546</v>
      </c>
      <c r="F12524" s="46" t="s">
        <v>6778</v>
      </c>
      <c r="G12524" s="46">
        <v>3.61731944855E11</v>
      </c>
      <c r="H12524" s="46" t="s">
        <v>6779</v>
      </c>
      <c r="I12524" s="46" t="s">
        <v>6780</v>
      </c>
      <c r="J12524" s="46" t="s">
        <v>134</v>
      </c>
      <c r="K12524" s="46" t="s">
        <v>126</v>
      </c>
      <c r="L12524" s="45">
        <v>46017.447916666664</v>
      </c>
      <c r="M12524" s="46" t="s">
        <v>123</v>
      </c>
      <c r="N12524" s="45">
        <v>46017.46875</v>
      </c>
      <c r="O12524" s="46" t="s">
        <v>123</v>
      </c>
      <c r="P12524" s="46">
        <v>1800.0</v>
      </c>
    </row>
    <row r="12525">
      <c r="A12525" s="40">
        <f t="shared" si="1"/>
        <v>46013</v>
      </c>
      <c r="B12525" s="37" t="str">
        <f t="array" ref="B12525">iferror(xlookup($I12525, 'IMPORT VHC Report'!$E:$E, 'IMPORT VHC Report'!$A:$C), )</f>
        <v/>
      </c>
      <c r="C12525" s="44"/>
      <c r="D12525" s="44"/>
      <c r="E12525" s="46" t="s">
        <v>8547</v>
      </c>
      <c r="F12525" s="46" t="s">
        <v>6778</v>
      </c>
      <c r="G12525" s="46">
        <v>3.61731944855E11</v>
      </c>
      <c r="H12525" s="46" t="s">
        <v>6779</v>
      </c>
      <c r="I12525" s="46" t="s">
        <v>6780</v>
      </c>
      <c r="J12525" s="46" t="s">
        <v>132</v>
      </c>
      <c r="K12525" s="46" t="s">
        <v>126</v>
      </c>
      <c r="L12525" s="45">
        <v>46017.572916666664</v>
      </c>
      <c r="M12525" s="46" t="s">
        <v>123</v>
      </c>
      <c r="N12525" s="45">
        <v>46017.614583333336</v>
      </c>
      <c r="O12525" s="46" t="s">
        <v>123</v>
      </c>
      <c r="P12525" s="46">
        <v>3600.0</v>
      </c>
    </row>
    <row r="12526">
      <c r="A12526" s="40">
        <f t="shared" si="1"/>
        <v>46013</v>
      </c>
      <c r="B12526" s="37" t="str">
        <f t="array" ref="B12526">iferror(xlookup($I12526, 'IMPORT VHC Report'!$E:$E, 'IMPORT VHC Report'!$A:$C), )</f>
        <v/>
      </c>
      <c r="C12526" s="44"/>
      <c r="D12526" s="44"/>
      <c r="E12526" s="46" t="s">
        <v>8548</v>
      </c>
      <c r="F12526" s="46" t="s">
        <v>6778</v>
      </c>
      <c r="G12526" s="46">
        <v>3.61731944855E11</v>
      </c>
      <c r="H12526" s="46" t="s">
        <v>6779</v>
      </c>
      <c r="I12526" s="46" t="s">
        <v>6780</v>
      </c>
      <c r="J12526" s="46" t="s">
        <v>368</v>
      </c>
      <c r="K12526" s="46" t="s">
        <v>63</v>
      </c>
      <c r="L12526" s="45">
        <v>46018.291666666664</v>
      </c>
      <c r="M12526" s="46" t="s">
        <v>123</v>
      </c>
      <c r="N12526" s="45">
        <v>46018.666666666664</v>
      </c>
      <c r="O12526" s="46" t="s">
        <v>123</v>
      </c>
      <c r="P12526" s="46">
        <v>32400.0</v>
      </c>
    </row>
    <row r="12527">
      <c r="A12527" s="40">
        <f t="shared" si="1"/>
        <v>46013</v>
      </c>
      <c r="B12527" s="37" t="str">
        <f t="array" ref="B12527">iferror(xlookup($I12527, 'IMPORT VHC Report'!$E:$E, 'IMPORT VHC Report'!$A:$C), )</f>
        <v/>
      </c>
      <c r="C12527" s="44"/>
      <c r="D12527" s="44"/>
      <c r="E12527" s="46" t="s">
        <v>8549</v>
      </c>
      <c r="F12527" s="46" t="s">
        <v>6778</v>
      </c>
      <c r="G12527" s="46">
        <v>3.61731944855E11</v>
      </c>
      <c r="H12527" s="46" t="s">
        <v>6779</v>
      </c>
      <c r="I12527" s="46" t="s">
        <v>6780</v>
      </c>
      <c r="J12527" s="46" t="s">
        <v>178</v>
      </c>
      <c r="K12527" s="46" t="s">
        <v>153</v>
      </c>
      <c r="L12527" s="45">
        <v>46018.291666666664</v>
      </c>
      <c r="M12527" s="46" t="s">
        <v>123</v>
      </c>
      <c r="N12527" s="45">
        <v>46018.666666666664</v>
      </c>
      <c r="O12527" s="46" t="s">
        <v>123</v>
      </c>
      <c r="P12527" s="46">
        <v>32400.0</v>
      </c>
      <c r="Q12527" s="46">
        <v>32400.0</v>
      </c>
      <c r="R12527" s="46" t="s">
        <v>6796</v>
      </c>
      <c r="S12527" s="46" t="s">
        <v>6796</v>
      </c>
    </row>
    <row r="12528">
      <c r="A12528" s="40">
        <f t="shared" si="1"/>
        <v>46013</v>
      </c>
      <c r="B12528" s="37" t="str">
        <f t="array" ref="B12528">iferror(xlookup($I12528, 'IMPORT VHC Report'!$E:$E, 'IMPORT VHC Report'!$A:$C), )</f>
        <v/>
      </c>
      <c r="C12528" s="44"/>
      <c r="D12528" s="44"/>
      <c r="E12528" s="46" t="s">
        <v>8550</v>
      </c>
      <c r="F12528" s="46" t="s">
        <v>6778</v>
      </c>
      <c r="G12528" s="46">
        <v>3.61731944855E11</v>
      </c>
      <c r="H12528" s="46" t="s">
        <v>6779</v>
      </c>
      <c r="I12528" s="46" t="s">
        <v>6780</v>
      </c>
      <c r="J12528" s="46" t="s">
        <v>134</v>
      </c>
      <c r="K12528" s="46" t="s">
        <v>126</v>
      </c>
      <c r="L12528" s="45">
        <v>46018.479166666664</v>
      </c>
      <c r="M12528" s="46" t="s">
        <v>123</v>
      </c>
      <c r="N12528" s="45">
        <v>46018.5</v>
      </c>
      <c r="O12528" s="46" t="s">
        <v>123</v>
      </c>
      <c r="P12528" s="46">
        <v>1800.0</v>
      </c>
    </row>
    <row r="12529">
      <c r="A12529" s="40">
        <f t="shared" si="1"/>
        <v>46013</v>
      </c>
      <c r="B12529" s="37" t="str">
        <f t="array" ref="B12529">iferror(xlookup($I12529, 'IMPORT VHC Report'!$E:$E, 'IMPORT VHC Report'!$A:$C), )</f>
        <v/>
      </c>
      <c r="C12529" s="44"/>
      <c r="D12529" s="44"/>
      <c r="E12529" s="46" t="s">
        <v>8551</v>
      </c>
      <c r="F12529" s="46" t="s">
        <v>6778</v>
      </c>
      <c r="G12529" s="46">
        <v>3.61731944855E11</v>
      </c>
      <c r="H12529" s="46" t="s">
        <v>6779</v>
      </c>
      <c r="I12529" s="46" t="s">
        <v>6780</v>
      </c>
      <c r="J12529" s="46" t="s">
        <v>132</v>
      </c>
      <c r="K12529" s="46" t="s">
        <v>126</v>
      </c>
      <c r="L12529" s="45">
        <v>46018.583333333336</v>
      </c>
      <c r="M12529" s="46" t="s">
        <v>123</v>
      </c>
      <c r="N12529" s="45">
        <v>46018.625</v>
      </c>
      <c r="O12529" s="46" t="s">
        <v>123</v>
      </c>
      <c r="P12529" s="46">
        <v>3600.0</v>
      </c>
    </row>
    <row r="12530">
      <c r="A12530" s="40">
        <f t="shared" si="1"/>
        <v>46013</v>
      </c>
      <c r="B12530" s="37" t="str">
        <f t="array" ref="B12530">iferror(xlookup($I12530, 'IMPORT VHC Report'!$E:$E, 'IMPORT VHC Report'!$A:$C), )</f>
        <v/>
      </c>
      <c r="C12530" s="44"/>
      <c r="D12530" s="44"/>
      <c r="E12530" s="46" t="s">
        <v>8552</v>
      </c>
      <c r="F12530" s="46" t="s">
        <v>7328</v>
      </c>
      <c r="G12530" s="46">
        <v>3.61731944975E11</v>
      </c>
      <c r="H12530" s="46" t="s">
        <v>7329</v>
      </c>
      <c r="I12530" s="46" t="s">
        <v>7330</v>
      </c>
      <c r="J12530" s="46" t="s">
        <v>368</v>
      </c>
      <c r="K12530" s="46" t="s">
        <v>63</v>
      </c>
      <c r="L12530" s="45">
        <v>46014.666666666664</v>
      </c>
      <c r="M12530" s="46" t="s">
        <v>123</v>
      </c>
      <c r="N12530" s="45">
        <v>46015.041666666664</v>
      </c>
      <c r="O12530" s="46" t="s">
        <v>123</v>
      </c>
      <c r="P12530" s="46">
        <v>32400.0</v>
      </c>
    </row>
    <row r="12531">
      <c r="A12531" s="40">
        <f t="shared" si="1"/>
        <v>46013</v>
      </c>
      <c r="B12531" s="37" t="str">
        <f t="array" ref="B12531">iferror(xlookup($I12531, 'IMPORT VHC Report'!$E:$E, 'IMPORT VHC Report'!$A:$C), )</f>
        <v/>
      </c>
      <c r="C12531" s="44"/>
      <c r="D12531" s="44"/>
      <c r="E12531" s="46" t="s">
        <v>8553</v>
      </c>
      <c r="F12531" s="46" t="s">
        <v>7328</v>
      </c>
      <c r="G12531" s="46">
        <v>3.61731944975E11</v>
      </c>
      <c r="H12531" s="46" t="s">
        <v>7329</v>
      </c>
      <c r="I12531" s="46" t="s">
        <v>7330</v>
      </c>
      <c r="J12531" s="46" t="s">
        <v>134</v>
      </c>
      <c r="K12531" s="46" t="s">
        <v>126</v>
      </c>
      <c r="L12531" s="45">
        <v>46014.822916666664</v>
      </c>
      <c r="M12531" s="46" t="s">
        <v>123</v>
      </c>
      <c r="N12531" s="45">
        <v>46014.84375</v>
      </c>
      <c r="O12531" s="46" t="s">
        <v>123</v>
      </c>
      <c r="P12531" s="46">
        <v>1800.0</v>
      </c>
    </row>
    <row r="12532">
      <c r="A12532" s="40">
        <f t="shared" si="1"/>
        <v>46013</v>
      </c>
      <c r="B12532" s="37" t="str">
        <f t="array" ref="B12532">iferror(xlookup($I12532, 'IMPORT VHC Report'!$E:$E, 'IMPORT VHC Report'!$A:$C), )</f>
        <v/>
      </c>
      <c r="C12532" s="44"/>
      <c r="D12532" s="44"/>
      <c r="E12532" s="46" t="s">
        <v>8554</v>
      </c>
      <c r="F12532" s="46" t="s">
        <v>7328</v>
      </c>
      <c r="G12532" s="46">
        <v>3.61731944975E11</v>
      </c>
      <c r="H12532" s="46" t="s">
        <v>7329</v>
      </c>
      <c r="I12532" s="46" t="s">
        <v>7330</v>
      </c>
      <c r="J12532" s="46" t="s">
        <v>132</v>
      </c>
      <c r="K12532" s="46" t="s">
        <v>126</v>
      </c>
      <c r="L12532" s="45">
        <v>46014.947916666664</v>
      </c>
      <c r="M12532" s="46" t="s">
        <v>123</v>
      </c>
      <c r="N12532" s="45">
        <v>46014.989583333336</v>
      </c>
      <c r="O12532" s="46" t="s">
        <v>123</v>
      </c>
      <c r="P12532" s="46">
        <v>3600.0</v>
      </c>
    </row>
    <row r="12533">
      <c r="A12533" s="40">
        <f t="shared" si="1"/>
        <v>46013</v>
      </c>
      <c r="B12533" s="37" t="str">
        <f t="array" ref="B12533">iferror(xlookup($I12533, 'IMPORT VHC Report'!$E:$E, 'IMPORT VHC Report'!$A:$C), )</f>
        <v/>
      </c>
      <c r="C12533" s="44"/>
      <c r="D12533" s="44"/>
      <c r="E12533" s="46" t="s">
        <v>8555</v>
      </c>
      <c r="F12533" s="46" t="s">
        <v>7328</v>
      </c>
      <c r="G12533" s="46">
        <v>3.61731944975E11</v>
      </c>
      <c r="H12533" s="46" t="s">
        <v>7329</v>
      </c>
      <c r="I12533" s="46" t="s">
        <v>7330</v>
      </c>
      <c r="J12533" s="46" t="s">
        <v>368</v>
      </c>
      <c r="K12533" s="46" t="s">
        <v>63</v>
      </c>
      <c r="L12533" s="45">
        <v>46015.666666666664</v>
      </c>
      <c r="M12533" s="46" t="s">
        <v>123</v>
      </c>
      <c r="N12533" s="45">
        <v>46016.041666666664</v>
      </c>
      <c r="O12533" s="46" t="s">
        <v>123</v>
      </c>
      <c r="P12533" s="46">
        <v>32400.0</v>
      </c>
    </row>
    <row r="12534">
      <c r="A12534" s="40">
        <f t="shared" si="1"/>
        <v>46013</v>
      </c>
      <c r="B12534" s="37" t="str">
        <f t="array" ref="B12534">iferror(xlookup($I12534, 'IMPORT VHC Report'!$E:$E, 'IMPORT VHC Report'!$A:$C), )</f>
        <v/>
      </c>
      <c r="C12534" s="44"/>
      <c r="D12534" s="44"/>
      <c r="E12534" s="46" t="s">
        <v>8556</v>
      </c>
      <c r="F12534" s="46" t="s">
        <v>7328</v>
      </c>
      <c r="G12534" s="46">
        <v>3.61731944975E11</v>
      </c>
      <c r="H12534" s="46" t="s">
        <v>7329</v>
      </c>
      <c r="I12534" s="46" t="s">
        <v>7330</v>
      </c>
      <c r="J12534" s="46" t="s">
        <v>134</v>
      </c>
      <c r="K12534" s="46" t="s">
        <v>126</v>
      </c>
      <c r="L12534" s="45">
        <v>46015.791666666664</v>
      </c>
      <c r="M12534" s="46" t="s">
        <v>123</v>
      </c>
      <c r="N12534" s="45">
        <v>46015.8125</v>
      </c>
      <c r="O12534" s="46" t="s">
        <v>123</v>
      </c>
      <c r="P12534" s="46">
        <v>1800.0</v>
      </c>
    </row>
    <row r="12535">
      <c r="A12535" s="40">
        <f t="shared" si="1"/>
        <v>46013</v>
      </c>
      <c r="B12535" s="37" t="str">
        <f t="array" ref="B12535">iferror(xlookup($I12535, 'IMPORT VHC Report'!$E:$E, 'IMPORT VHC Report'!$A:$C), )</f>
        <v/>
      </c>
      <c r="C12535" s="44"/>
      <c r="D12535" s="44"/>
      <c r="E12535" s="46" t="s">
        <v>8557</v>
      </c>
      <c r="F12535" s="46" t="s">
        <v>7328</v>
      </c>
      <c r="G12535" s="46">
        <v>3.61731944975E11</v>
      </c>
      <c r="H12535" s="46" t="s">
        <v>7329</v>
      </c>
      <c r="I12535" s="46" t="s">
        <v>7330</v>
      </c>
      <c r="J12535" s="46" t="s">
        <v>132</v>
      </c>
      <c r="K12535" s="46" t="s">
        <v>126</v>
      </c>
      <c r="L12535" s="45">
        <v>46015.927083333336</v>
      </c>
      <c r="M12535" s="46" t="s">
        <v>123</v>
      </c>
      <c r="N12535" s="45">
        <v>46015.96875</v>
      </c>
      <c r="O12535" s="46" t="s">
        <v>123</v>
      </c>
      <c r="P12535" s="46">
        <v>3600.0</v>
      </c>
    </row>
    <row r="12536">
      <c r="A12536" s="40">
        <f t="shared" si="1"/>
        <v>46013</v>
      </c>
      <c r="B12536" s="37" t="str">
        <f t="array" ref="B12536">iferror(xlookup($I12536, 'IMPORT VHC Report'!$E:$E, 'IMPORT VHC Report'!$A:$C), )</f>
        <v/>
      </c>
      <c r="C12536" s="44"/>
      <c r="D12536" s="44"/>
      <c r="E12536" s="46" t="s">
        <v>8558</v>
      </c>
      <c r="F12536" s="46" t="s">
        <v>7328</v>
      </c>
      <c r="G12536" s="46">
        <v>3.61731944975E11</v>
      </c>
      <c r="H12536" s="46" t="s">
        <v>7329</v>
      </c>
      <c r="I12536" s="46" t="s">
        <v>7330</v>
      </c>
      <c r="J12536" s="46" t="s">
        <v>368</v>
      </c>
      <c r="K12536" s="46" t="s">
        <v>63</v>
      </c>
      <c r="L12536" s="45">
        <v>46016.666666666664</v>
      </c>
      <c r="M12536" s="46" t="s">
        <v>123</v>
      </c>
      <c r="N12536" s="45">
        <v>46017.041666666664</v>
      </c>
      <c r="O12536" s="46" t="s">
        <v>123</v>
      </c>
      <c r="P12536" s="46">
        <v>32400.0</v>
      </c>
    </row>
    <row r="12537">
      <c r="A12537" s="40">
        <f t="shared" si="1"/>
        <v>46013</v>
      </c>
      <c r="B12537" s="37" t="str">
        <f t="array" ref="B12537">iferror(xlookup($I12537, 'IMPORT VHC Report'!$E:$E, 'IMPORT VHC Report'!$A:$C), )</f>
        <v/>
      </c>
      <c r="C12537" s="44"/>
      <c r="D12537" s="44"/>
      <c r="E12537" s="46" t="s">
        <v>8559</v>
      </c>
      <c r="F12537" s="46" t="s">
        <v>7328</v>
      </c>
      <c r="G12537" s="46">
        <v>3.61731944975E11</v>
      </c>
      <c r="H12537" s="46" t="s">
        <v>7329</v>
      </c>
      <c r="I12537" s="46" t="s">
        <v>7330</v>
      </c>
      <c r="J12537" s="46" t="s">
        <v>178</v>
      </c>
      <c r="K12537" s="46" t="s">
        <v>153</v>
      </c>
      <c r="L12537" s="45">
        <v>46016.666666666664</v>
      </c>
      <c r="M12537" s="46" t="s">
        <v>123</v>
      </c>
      <c r="N12537" s="45">
        <v>46017.041666666664</v>
      </c>
      <c r="O12537" s="46" t="s">
        <v>123</v>
      </c>
      <c r="P12537" s="46">
        <v>32400.0</v>
      </c>
      <c r="Q12537" s="46">
        <v>32400.0</v>
      </c>
    </row>
    <row r="12538">
      <c r="A12538" s="40">
        <f t="shared" si="1"/>
        <v>46013</v>
      </c>
      <c r="B12538" s="37" t="str">
        <f t="array" ref="B12538">iferror(xlookup($I12538, 'IMPORT VHC Report'!$E:$E, 'IMPORT VHC Report'!$A:$C), )</f>
        <v/>
      </c>
      <c r="C12538" s="44"/>
      <c r="D12538" s="44"/>
      <c r="E12538" s="46" t="s">
        <v>8560</v>
      </c>
      <c r="F12538" s="46" t="s">
        <v>7328</v>
      </c>
      <c r="G12538" s="46">
        <v>3.61731944975E11</v>
      </c>
      <c r="H12538" s="46" t="s">
        <v>7329</v>
      </c>
      <c r="I12538" s="46" t="s">
        <v>7330</v>
      </c>
      <c r="J12538" s="46" t="s">
        <v>134</v>
      </c>
      <c r="K12538" s="46" t="s">
        <v>126</v>
      </c>
      <c r="L12538" s="45">
        <v>46016.833333333336</v>
      </c>
      <c r="M12538" s="46" t="s">
        <v>123</v>
      </c>
      <c r="N12538" s="45">
        <v>46016.854166666664</v>
      </c>
      <c r="O12538" s="46" t="s">
        <v>123</v>
      </c>
      <c r="P12538" s="46">
        <v>1800.0</v>
      </c>
    </row>
    <row r="12539">
      <c r="A12539" s="40">
        <f t="shared" si="1"/>
        <v>46013</v>
      </c>
      <c r="B12539" s="37" t="str">
        <f t="array" ref="B12539">iferror(xlookup($I12539, 'IMPORT VHC Report'!$E:$E, 'IMPORT VHC Report'!$A:$C), )</f>
        <v/>
      </c>
      <c r="C12539" s="44"/>
      <c r="D12539" s="44"/>
      <c r="E12539" s="46" t="s">
        <v>8561</v>
      </c>
      <c r="F12539" s="46" t="s">
        <v>7328</v>
      </c>
      <c r="G12539" s="46">
        <v>3.61731944975E11</v>
      </c>
      <c r="H12539" s="46" t="s">
        <v>7329</v>
      </c>
      <c r="I12539" s="46" t="s">
        <v>7330</v>
      </c>
      <c r="J12539" s="46" t="s">
        <v>132</v>
      </c>
      <c r="K12539" s="46" t="s">
        <v>126</v>
      </c>
      <c r="L12539" s="45">
        <v>46016.9375</v>
      </c>
      <c r="M12539" s="46" t="s">
        <v>123</v>
      </c>
      <c r="N12539" s="45">
        <v>46016.979166666664</v>
      </c>
      <c r="O12539" s="46" t="s">
        <v>123</v>
      </c>
      <c r="P12539" s="46">
        <v>3600.0</v>
      </c>
    </row>
    <row r="12540">
      <c r="A12540" s="40">
        <f t="shared" si="1"/>
        <v>46013</v>
      </c>
      <c r="B12540" s="37" t="str">
        <f t="array" ref="B12540">iferror(xlookup($I12540, 'IMPORT VHC Report'!$E:$E, 'IMPORT VHC Report'!$A:$C), )</f>
        <v/>
      </c>
      <c r="C12540" s="44"/>
      <c r="D12540" s="44"/>
      <c r="E12540" s="46" t="s">
        <v>8562</v>
      </c>
      <c r="F12540" s="46" t="s">
        <v>7328</v>
      </c>
      <c r="G12540" s="46">
        <v>3.61731944975E11</v>
      </c>
      <c r="H12540" s="46" t="s">
        <v>7329</v>
      </c>
      <c r="I12540" s="46" t="s">
        <v>7330</v>
      </c>
      <c r="J12540" s="46" t="s">
        <v>368</v>
      </c>
      <c r="K12540" s="46" t="s">
        <v>63</v>
      </c>
      <c r="L12540" s="45">
        <v>46017.666666666664</v>
      </c>
      <c r="M12540" s="46" t="s">
        <v>123</v>
      </c>
      <c r="N12540" s="45">
        <v>46018.041666666664</v>
      </c>
      <c r="O12540" s="46" t="s">
        <v>123</v>
      </c>
      <c r="P12540" s="46">
        <v>32400.0</v>
      </c>
    </row>
    <row r="12541">
      <c r="A12541" s="40">
        <f t="shared" si="1"/>
        <v>46013</v>
      </c>
      <c r="B12541" s="37" t="str">
        <f t="array" ref="B12541">iferror(xlookup($I12541, 'IMPORT VHC Report'!$E:$E, 'IMPORT VHC Report'!$A:$C), )</f>
        <v/>
      </c>
      <c r="C12541" s="44"/>
      <c r="D12541" s="44"/>
      <c r="E12541" s="46" t="s">
        <v>8563</v>
      </c>
      <c r="F12541" s="46" t="s">
        <v>7328</v>
      </c>
      <c r="G12541" s="46">
        <v>3.61731944975E11</v>
      </c>
      <c r="H12541" s="46" t="s">
        <v>7329</v>
      </c>
      <c r="I12541" s="46" t="s">
        <v>7330</v>
      </c>
      <c r="J12541" s="46" t="s">
        <v>178</v>
      </c>
      <c r="K12541" s="46" t="s">
        <v>153</v>
      </c>
      <c r="L12541" s="45">
        <v>46017.666666666664</v>
      </c>
      <c r="M12541" s="46" t="s">
        <v>123</v>
      </c>
      <c r="N12541" s="45">
        <v>46018.041666666664</v>
      </c>
      <c r="O12541" s="46" t="s">
        <v>123</v>
      </c>
      <c r="P12541" s="46">
        <v>32400.0</v>
      </c>
      <c r="Q12541" s="46">
        <v>32400.0</v>
      </c>
    </row>
    <row r="12542">
      <c r="A12542" s="40">
        <f t="shared" si="1"/>
        <v>46013</v>
      </c>
      <c r="B12542" s="37" t="str">
        <f t="array" ref="B12542">iferror(xlookup($I12542, 'IMPORT VHC Report'!$E:$E, 'IMPORT VHC Report'!$A:$C), )</f>
        <v/>
      </c>
      <c r="C12542" s="44"/>
      <c r="D12542" s="44"/>
      <c r="E12542" s="46" t="s">
        <v>8564</v>
      </c>
      <c r="F12542" s="46" t="s">
        <v>7328</v>
      </c>
      <c r="G12542" s="46">
        <v>3.61731944975E11</v>
      </c>
      <c r="H12542" s="46" t="s">
        <v>7329</v>
      </c>
      <c r="I12542" s="46" t="s">
        <v>7330</v>
      </c>
      <c r="J12542" s="46" t="s">
        <v>134</v>
      </c>
      <c r="K12542" s="46" t="s">
        <v>126</v>
      </c>
      <c r="L12542" s="45">
        <v>46017.75</v>
      </c>
      <c r="M12542" s="46" t="s">
        <v>123</v>
      </c>
      <c r="N12542" s="45">
        <v>46017.770833333336</v>
      </c>
      <c r="O12542" s="46" t="s">
        <v>123</v>
      </c>
      <c r="P12542" s="46">
        <v>1800.0</v>
      </c>
    </row>
    <row r="12543">
      <c r="A12543" s="40">
        <f t="shared" si="1"/>
        <v>46013</v>
      </c>
      <c r="B12543" s="37" t="str">
        <f t="array" ref="B12543">iferror(xlookup($I12543, 'IMPORT VHC Report'!$E:$E, 'IMPORT VHC Report'!$A:$C), )</f>
        <v/>
      </c>
      <c r="C12543" s="44"/>
      <c r="D12543" s="44"/>
      <c r="E12543" s="46" t="s">
        <v>8565</v>
      </c>
      <c r="F12543" s="46" t="s">
        <v>7328</v>
      </c>
      <c r="G12543" s="46">
        <v>3.61731944975E11</v>
      </c>
      <c r="H12543" s="46" t="s">
        <v>7329</v>
      </c>
      <c r="I12543" s="46" t="s">
        <v>7330</v>
      </c>
      <c r="J12543" s="46" t="s">
        <v>132</v>
      </c>
      <c r="K12543" s="46" t="s">
        <v>126</v>
      </c>
      <c r="L12543" s="45">
        <v>46017.947916666664</v>
      </c>
      <c r="M12543" s="46" t="s">
        <v>123</v>
      </c>
      <c r="N12543" s="45">
        <v>46017.989583333336</v>
      </c>
      <c r="O12543" s="46" t="s">
        <v>123</v>
      </c>
      <c r="P12543" s="46">
        <v>3600.0</v>
      </c>
    </row>
    <row r="12544">
      <c r="A12544" s="40">
        <f t="shared" si="1"/>
        <v>46013</v>
      </c>
      <c r="B12544" s="37" t="str">
        <f t="array" ref="B12544">iferror(xlookup($I12544, 'IMPORT VHC Report'!$E:$E, 'IMPORT VHC Report'!$A:$C), )</f>
        <v/>
      </c>
      <c r="C12544" s="44"/>
      <c r="D12544" s="44"/>
      <c r="E12544" s="46" t="s">
        <v>8566</v>
      </c>
      <c r="F12544" s="46" t="s">
        <v>7328</v>
      </c>
      <c r="G12544" s="46">
        <v>3.61731944975E11</v>
      </c>
      <c r="H12544" s="46" t="s">
        <v>7329</v>
      </c>
      <c r="I12544" s="46" t="s">
        <v>7330</v>
      </c>
      <c r="J12544" s="46" t="s">
        <v>368</v>
      </c>
      <c r="K12544" s="46" t="s">
        <v>63</v>
      </c>
      <c r="L12544" s="45">
        <v>46018.666666666664</v>
      </c>
      <c r="M12544" s="46" t="s">
        <v>123</v>
      </c>
      <c r="N12544" s="45">
        <v>46019.041666666664</v>
      </c>
      <c r="O12544" s="46" t="s">
        <v>123</v>
      </c>
      <c r="P12544" s="46">
        <v>32400.0</v>
      </c>
    </row>
    <row r="12545">
      <c r="A12545" s="40">
        <f t="shared" si="1"/>
        <v>46013</v>
      </c>
      <c r="B12545" s="37" t="str">
        <f t="array" ref="B12545">iferror(xlookup($I12545, 'IMPORT VHC Report'!$E:$E, 'IMPORT VHC Report'!$A:$C), )</f>
        <v/>
      </c>
      <c r="C12545" s="44"/>
      <c r="D12545" s="44"/>
      <c r="E12545" s="46" t="s">
        <v>8567</v>
      </c>
      <c r="F12545" s="46" t="s">
        <v>7328</v>
      </c>
      <c r="G12545" s="46">
        <v>3.61731944975E11</v>
      </c>
      <c r="H12545" s="46" t="s">
        <v>7329</v>
      </c>
      <c r="I12545" s="46" t="s">
        <v>7330</v>
      </c>
      <c r="J12545" s="46" t="s">
        <v>178</v>
      </c>
      <c r="K12545" s="46" t="s">
        <v>153</v>
      </c>
      <c r="L12545" s="45">
        <v>46018.666666666664</v>
      </c>
      <c r="M12545" s="46" t="s">
        <v>123</v>
      </c>
      <c r="N12545" s="45">
        <v>46019.041666666664</v>
      </c>
      <c r="O12545" s="46" t="s">
        <v>123</v>
      </c>
      <c r="P12545" s="46">
        <v>32400.0</v>
      </c>
      <c r="Q12545" s="46">
        <v>32400.0</v>
      </c>
    </row>
    <row r="12546">
      <c r="A12546" s="40">
        <f t="shared" si="1"/>
        <v>46013</v>
      </c>
      <c r="B12546" s="37" t="str">
        <f t="array" ref="B12546">iferror(xlookup($I12546, 'IMPORT VHC Report'!$E:$E, 'IMPORT VHC Report'!$A:$C), )</f>
        <v/>
      </c>
      <c r="C12546" s="44"/>
      <c r="D12546" s="44"/>
      <c r="E12546" s="46" t="s">
        <v>8568</v>
      </c>
      <c r="F12546" s="46" t="s">
        <v>7328</v>
      </c>
      <c r="G12546" s="46">
        <v>3.61731944975E11</v>
      </c>
      <c r="H12546" s="46" t="s">
        <v>7329</v>
      </c>
      <c r="I12546" s="46" t="s">
        <v>7330</v>
      </c>
      <c r="J12546" s="46" t="s">
        <v>134</v>
      </c>
      <c r="K12546" s="46" t="s">
        <v>126</v>
      </c>
      <c r="L12546" s="45">
        <v>46018.770833333336</v>
      </c>
      <c r="M12546" s="46" t="s">
        <v>123</v>
      </c>
      <c r="N12546" s="45">
        <v>46018.791666666664</v>
      </c>
      <c r="O12546" s="46" t="s">
        <v>123</v>
      </c>
      <c r="P12546" s="46">
        <v>1800.0</v>
      </c>
    </row>
    <row r="12547">
      <c r="A12547" s="40">
        <f t="shared" si="1"/>
        <v>46013</v>
      </c>
      <c r="B12547" s="37" t="str">
        <f t="array" ref="B12547">iferror(xlookup($I12547, 'IMPORT VHC Report'!$E:$E, 'IMPORT VHC Report'!$A:$C), )</f>
        <v/>
      </c>
      <c r="C12547" s="44"/>
      <c r="D12547" s="44"/>
      <c r="E12547" s="46" t="s">
        <v>8569</v>
      </c>
      <c r="F12547" s="46" t="s">
        <v>7328</v>
      </c>
      <c r="G12547" s="46">
        <v>3.61731944975E11</v>
      </c>
      <c r="H12547" s="46" t="s">
        <v>7329</v>
      </c>
      <c r="I12547" s="46" t="s">
        <v>7330</v>
      </c>
      <c r="J12547" s="46" t="s">
        <v>132</v>
      </c>
      <c r="K12547" s="46" t="s">
        <v>126</v>
      </c>
      <c r="L12547" s="45">
        <v>46018.885416666664</v>
      </c>
      <c r="M12547" s="46" t="s">
        <v>123</v>
      </c>
      <c r="N12547" s="45">
        <v>46018.927083333336</v>
      </c>
      <c r="O12547" s="46" t="s">
        <v>123</v>
      </c>
      <c r="P12547" s="46">
        <v>3600.0</v>
      </c>
    </row>
    <row r="12548">
      <c r="A12548" s="40">
        <f t="shared" si="1"/>
        <v>46013</v>
      </c>
      <c r="B12548" s="37" t="str">
        <f t="array" ref="B12548">iferror(xlookup($I12548, 'IMPORT VHC Report'!$E:$E, 'IMPORT VHC Report'!$A:$C), )</f>
        <v/>
      </c>
      <c r="C12548" s="44"/>
      <c r="D12548" s="44"/>
      <c r="E12548" s="46" t="s">
        <v>8570</v>
      </c>
      <c r="F12548" s="46" t="s">
        <v>982</v>
      </c>
      <c r="G12548" s="46">
        <v>3.61731348415E11</v>
      </c>
      <c r="H12548" s="46" t="s">
        <v>983</v>
      </c>
      <c r="I12548" s="46" t="s">
        <v>984</v>
      </c>
      <c r="J12548" s="46" t="s">
        <v>178</v>
      </c>
      <c r="K12548" s="46" t="s">
        <v>153</v>
      </c>
      <c r="L12548" s="45">
        <v>46014.875</v>
      </c>
      <c r="M12548" s="46" t="s">
        <v>123</v>
      </c>
      <c r="N12548" s="45">
        <v>46015.25</v>
      </c>
      <c r="O12548" s="46" t="s">
        <v>123</v>
      </c>
      <c r="P12548" s="46">
        <v>32400.0</v>
      </c>
      <c r="Q12548" s="46">
        <v>32400.0</v>
      </c>
    </row>
    <row r="12549">
      <c r="A12549" s="40">
        <f t="shared" si="1"/>
        <v>46013</v>
      </c>
      <c r="B12549" s="37" t="str">
        <f t="array" ref="B12549">iferror(xlookup($I12549, 'IMPORT VHC Report'!$E:$E, 'IMPORT VHC Report'!$A:$C), )</f>
        <v/>
      </c>
      <c r="C12549" s="44"/>
      <c r="D12549" s="44"/>
      <c r="E12549" s="46" t="s">
        <v>8571</v>
      </c>
      <c r="F12549" s="46" t="s">
        <v>982</v>
      </c>
      <c r="G12549" s="46">
        <v>3.61731348415E11</v>
      </c>
      <c r="H12549" s="46" t="s">
        <v>983</v>
      </c>
      <c r="I12549" s="46" t="s">
        <v>984</v>
      </c>
      <c r="J12549" s="46" t="s">
        <v>368</v>
      </c>
      <c r="K12549" s="46" t="s">
        <v>63</v>
      </c>
      <c r="L12549" s="45">
        <v>46014.875</v>
      </c>
      <c r="M12549" s="46" t="s">
        <v>123</v>
      </c>
      <c r="N12549" s="45">
        <v>46015.25</v>
      </c>
      <c r="O12549" s="46" t="s">
        <v>123</v>
      </c>
      <c r="P12549" s="46">
        <v>32400.0</v>
      </c>
    </row>
    <row r="12550">
      <c r="A12550" s="40">
        <f t="shared" si="1"/>
        <v>46013</v>
      </c>
      <c r="B12550" s="37" t="str">
        <f t="array" ref="B12550">iferror(xlookup($I12550, 'IMPORT VHC Report'!$E:$E, 'IMPORT VHC Report'!$A:$C), )</f>
        <v/>
      </c>
      <c r="C12550" s="44"/>
      <c r="D12550" s="44"/>
      <c r="E12550" s="46" t="s">
        <v>8572</v>
      </c>
      <c r="F12550" s="46" t="s">
        <v>982</v>
      </c>
      <c r="G12550" s="46">
        <v>3.61731348415E11</v>
      </c>
      <c r="H12550" s="46" t="s">
        <v>983</v>
      </c>
      <c r="I12550" s="46" t="s">
        <v>984</v>
      </c>
      <c r="J12550" s="46" t="s">
        <v>134</v>
      </c>
      <c r="K12550" s="46" t="s">
        <v>126</v>
      </c>
      <c r="L12550" s="45">
        <v>46014.989583333336</v>
      </c>
      <c r="M12550" s="46" t="s">
        <v>123</v>
      </c>
      <c r="N12550" s="45">
        <v>46015.010416666664</v>
      </c>
      <c r="O12550" s="46" t="s">
        <v>123</v>
      </c>
      <c r="P12550" s="46">
        <v>1800.0</v>
      </c>
    </row>
    <row r="12551">
      <c r="A12551" s="40">
        <f t="shared" si="1"/>
        <v>46013</v>
      </c>
      <c r="B12551" s="37" t="str">
        <f t="array" ref="B12551">iferror(xlookup($I12551, 'IMPORT VHC Report'!$E:$E, 'IMPORT VHC Report'!$A:$C), )</f>
        <v/>
      </c>
      <c r="C12551" s="44"/>
      <c r="D12551" s="44"/>
      <c r="E12551" s="46" t="s">
        <v>8573</v>
      </c>
      <c r="F12551" s="46" t="s">
        <v>982</v>
      </c>
      <c r="G12551" s="46">
        <v>3.61731348415E11</v>
      </c>
      <c r="H12551" s="46" t="s">
        <v>983</v>
      </c>
      <c r="I12551" s="46" t="s">
        <v>984</v>
      </c>
      <c r="J12551" s="46" t="s">
        <v>132</v>
      </c>
      <c r="K12551" s="46" t="s">
        <v>126</v>
      </c>
      <c r="L12551" s="45">
        <v>46015.135416666664</v>
      </c>
      <c r="M12551" s="46" t="s">
        <v>123</v>
      </c>
      <c r="N12551" s="45">
        <v>46015.177083333336</v>
      </c>
      <c r="O12551" s="46" t="s">
        <v>123</v>
      </c>
      <c r="P12551" s="46">
        <v>3600.0</v>
      </c>
    </row>
    <row r="12552">
      <c r="A12552" s="40">
        <f t="shared" si="1"/>
        <v>46013</v>
      </c>
      <c r="B12552" s="37" t="str">
        <f t="array" ref="B12552">iferror(xlookup($I12552, 'IMPORT VHC Report'!$E:$E, 'IMPORT VHC Report'!$A:$C), )</f>
        <v/>
      </c>
      <c r="C12552" s="44"/>
      <c r="D12552" s="44"/>
      <c r="E12552" s="46" t="s">
        <v>8574</v>
      </c>
      <c r="F12552" s="46" t="s">
        <v>982</v>
      </c>
      <c r="G12552" s="46">
        <v>3.61731348415E11</v>
      </c>
      <c r="H12552" s="46" t="s">
        <v>983</v>
      </c>
      <c r="I12552" s="46" t="s">
        <v>984</v>
      </c>
      <c r="J12552" s="46" t="s">
        <v>368</v>
      </c>
      <c r="K12552" s="46" t="s">
        <v>63</v>
      </c>
      <c r="L12552" s="45">
        <v>46015.875</v>
      </c>
      <c r="M12552" s="46" t="s">
        <v>123</v>
      </c>
      <c r="N12552" s="45">
        <v>46016.25</v>
      </c>
      <c r="O12552" s="46" t="s">
        <v>123</v>
      </c>
      <c r="P12552" s="46">
        <v>32400.0</v>
      </c>
    </row>
    <row r="12553">
      <c r="A12553" s="40">
        <f t="shared" si="1"/>
        <v>46013</v>
      </c>
      <c r="B12553" s="37" t="str">
        <f t="array" ref="B12553">iferror(xlookup($I12553, 'IMPORT VHC Report'!$E:$E, 'IMPORT VHC Report'!$A:$C), )</f>
        <v/>
      </c>
      <c r="C12553" s="44"/>
      <c r="D12553" s="44"/>
      <c r="E12553" s="46" t="s">
        <v>8575</v>
      </c>
      <c r="F12553" s="46" t="s">
        <v>982</v>
      </c>
      <c r="G12553" s="46">
        <v>3.61731348415E11</v>
      </c>
      <c r="H12553" s="46" t="s">
        <v>983</v>
      </c>
      <c r="I12553" s="46" t="s">
        <v>984</v>
      </c>
      <c r="J12553" s="46" t="s">
        <v>178</v>
      </c>
      <c r="K12553" s="46" t="s">
        <v>153</v>
      </c>
      <c r="L12553" s="45">
        <v>46015.875</v>
      </c>
      <c r="M12553" s="46" t="s">
        <v>123</v>
      </c>
      <c r="N12553" s="45">
        <v>46016.25</v>
      </c>
      <c r="O12553" s="46" t="s">
        <v>123</v>
      </c>
      <c r="P12553" s="46">
        <v>32400.0</v>
      </c>
      <c r="Q12553" s="46">
        <v>32400.0</v>
      </c>
    </row>
    <row r="12554">
      <c r="A12554" s="40">
        <f t="shared" si="1"/>
        <v>46013</v>
      </c>
      <c r="B12554" s="37" t="str">
        <f t="array" ref="B12554">iferror(xlookup($I12554, 'IMPORT VHC Report'!$E:$E, 'IMPORT VHC Report'!$A:$C), )</f>
        <v/>
      </c>
      <c r="C12554" s="44"/>
      <c r="D12554" s="44"/>
      <c r="E12554" s="46" t="s">
        <v>8576</v>
      </c>
      <c r="F12554" s="46" t="s">
        <v>982</v>
      </c>
      <c r="G12554" s="46">
        <v>3.61731348415E11</v>
      </c>
      <c r="H12554" s="46" t="s">
        <v>983</v>
      </c>
      <c r="I12554" s="46" t="s">
        <v>984</v>
      </c>
      <c r="J12554" s="46" t="s">
        <v>134</v>
      </c>
      <c r="K12554" s="46" t="s">
        <v>126</v>
      </c>
      <c r="L12554" s="45">
        <v>46015.958333333336</v>
      </c>
      <c r="M12554" s="46" t="s">
        <v>123</v>
      </c>
      <c r="N12554" s="45">
        <v>46015.979166666664</v>
      </c>
      <c r="O12554" s="46" t="s">
        <v>123</v>
      </c>
      <c r="P12554" s="46">
        <v>1800.0</v>
      </c>
    </row>
    <row r="12555">
      <c r="A12555" s="40">
        <f t="shared" si="1"/>
        <v>46013</v>
      </c>
      <c r="B12555" s="37" t="str">
        <f t="array" ref="B12555">iferror(xlookup($I12555, 'IMPORT VHC Report'!$E:$E, 'IMPORT VHC Report'!$A:$C), )</f>
        <v/>
      </c>
      <c r="C12555" s="44"/>
      <c r="D12555" s="44"/>
      <c r="E12555" s="46" t="s">
        <v>8577</v>
      </c>
      <c r="F12555" s="46" t="s">
        <v>982</v>
      </c>
      <c r="G12555" s="46">
        <v>3.61731348415E11</v>
      </c>
      <c r="H12555" s="46" t="s">
        <v>983</v>
      </c>
      <c r="I12555" s="46" t="s">
        <v>984</v>
      </c>
      <c r="J12555" s="46" t="s">
        <v>132</v>
      </c>
      <c r="K12555" s="46" t="s">
        <v>126</v>
      </c>
      <c r="L12555" s="45">
        <v>46016.104166666664</v>
      </c>
      <c r="M12555" s="46" t="s">
        <v>123</v>
      </c>
      <c r="N12555" s="45">
        <v>46016.145833333336</v>
      </c>
      <c r="O12555" s="46" t="s">
        <v>123</v>
      </c>
      <c r="P12555" s="46">
        <v>3600.0</v>
      </c>
    </row>
    <row r="12556">
      <c r="A12556" s="40">
        <f t="shared" si="1"/>
        <v>46013</v>
      </c>
      <c r="B12556" s="37" t="str">
        <f t="array" ref="B12556">iferror(xlookup($I12556, 'IMPORT VHC Report'!$E:$E, 'IMPORT VHC Report'!$A:$C), )</f>
        <v/>
      </c>
      <c r="C12556" s="44"/>
      <c r="D12556" s="44"/>
      <c r="E12556" s="46" t="s">
        <v>8578</v>
      </c>
      <c r="F12556" s="46" t="s">
        <v>982</v>
      </c>
      <c r="G12556" s="46">
        <v>3.61731348415E11</v>
      </c>
      <c r="H12556" s="46" t="s">
        <v>983</v>
      </c>
      <c r="I12556" s="46" t="s">
        <v>984</v>
      </c>
      <c r="J12556" s="46" t="s">
        <v>178</v>
      </c>
      <c r="K12556" s="46" t="s">
        <v>153</v>
      </c>
      <c r="L12556" s="45">
        <v>46016.875</v>
      </c>
      <c r="M12556" s="46" t="s">
        <v>123</v>
      </c>
      <c r="N12556" s="45">
        <v>46017.25</v>
      </c>
      <c r="O12556" s="46" t="s">
        <v>123</v>
      </c>
      <c r="P12556" s="46">
        <v>32400.0</v>
      </c>
      <c r="Q12556" s="46">
        <v>32400.0</v>
      </c>
    </row>
    <row r="12557">
      <c r="A12557" s="40">
        <f t="shared" si="1"/>
        <v>46013</v>
      </c>
      <c r="B12557" s="37" t="str">
        <f t="array" ref="B12557">iferror(xlookup($I12557, 'IMPORT VHC Report'!$E:$E, 'IMPORT VHC Report'!$A:$C), )</f>
        <v/>
      </c>
      <c r="C12557" s="44"/>
      <c r="D12557" s="44"/>
      <c r="E12557" s="46" t="s">
        <v>8579</v>
      </c>
      <c r="F12557" s="46" t="s">
        <v>982</v>
      </c>
      <c r="G12557" s="46">
        <v>3.61731348415E11</v>
      </c>
      <c r="H12557" s="46" t="s">
        <v>983</v>
      </c>
      <c r="I12557" s="46" t="s">
        <v>984</v>
      </c>
      <c r="J12557" s="46" t="s">
        <v>368</v>
      </c>
      <c r="K12557" s="46" t="s">
        <v>63</v>
      </c>
      <c r="L12557" s="45">
        <v>46016.875</v>
      </c>
      <c r="M12557" s="46" t="s">
        <v>123</v>
      </c>
      <c r="N12557" s="45">
        <v>46017.25</v>
      </c>
      <c r="O12557" s="46" t="s">
        <v>123</v>
      </c>
      <c r="P12557" s="46">
        <v>32400.0</v>
      </c>
    </row>
    <row r="12558">
      <c r="A12558" s="40">
        <f t="shared" si="1"/>
        <v>46013</v>
      </c>
      <c r="B12558" s="37" t="str">
        <f t="array" ref="B12558">iferror(xlookup($I12558, 'IMPORT VHC Report'!$E:$E, 'IMPORT VHC Report'!$A:$C), )</f>
        <v/>
      </c>
      <c r="C12558" s="44"/>
      <c r="D12558" s="44"/>
      <c r="E12558" s="46" t="s">
        <v>8580</v>
      </c>
      <c r="F12558" s="46" t="s">
        <v>982</v>
      </c>
      <c r="G12558" s="46">
        <v>3.61731348415E11</v>
      </c>
      <c r="H12558" s="46" t="s">
        <v>983</v>
      </c>
      <c r="I12558" s="46" t="s">
        <v>984</v>
      </c>
      <c r="J12558" s="46" t="s">
        <v>134</v>
      </c>
      <c r="K12558" s="46" t="s">
        <v>126</v>
      </c>
      <c r="L12558" s="45">
        <v>46016.958333333336</v>
      </c>
      <c r="M12558" s="46" t="s">
        <v>123</v>
      </c>
      <c r="N12558" s="45">
        <v>46016.979166666664</v>
      </c>
      <c r="O12558" s="46" t="s">
        <v>123</v>
      </c>
      <c r="P12558" s="46">
        <v>1800.0</v>
      </c>
    </row>
    <row r="12559">
      <c r="A12559" s="40">
        <f t="shared" si="1"/>
        <v>46013</v>
      </c>
      <c r="B12559" s="37" t="str">
        <f t="array" ref="B12559">iferror(xlookup($I12559, 'IMPORT VHC Report'!$E:$E, 'IMPORT VHC Report'!$A:$C), )</f>
        <v/>
      </c>
      <c r="C12559" s="44"/>
      <c r="D12559" s="44"/>
      <c r="E12559" s="46" t="s">
        <v>8581</v>
      </c>
      <c r="F12559" s="46" t="s">
        <v>982</v>
      </c>
      <c r="G12559" s="46">
        <v>3.61731348415E11</v>
      </c>
      <c r="H12559" s="46" t="s">
        <v>983</v>
      </c>
      <c r="I12559" s="46" t="s">
        <v>984</v>
      </c>
      <c r="J12559" s="46" t="s">
        <v>132</v>
      </c>
      <c r="K12559" s="46" t="s">
        <v>126</v>
      </c>
      <c r="L12559" s="45">
        <v>46017.083333333336</v>
      </c>
      <c r="M12559" s="46" t="s">
        <v>123</v>
      </c>
      <c r="N12559" s="45">
        <v>46017.125</v>
      </c>
      <c r="O12559" s="46" t="s">
        <v>123</v>
      </c>
      <c r="P12559" s="46">
        <v>3600.0</v>
      </c>
    </row>
    <row r="12560">
      <c r="A12560" s="40">
        <f t="shared" si="1"/>
        <v>46013</v>
      </c>
      <c r="B12560" s="37" t="str">
        <f t="array" ref="B12560">iferror(xlookup($I12560, 'IMPORT VHC Report'!$E:$E, 'IMPORT VHC Report'!$A:$C), )</f>
        <v/>
      </c>
      <c r="C12560" s="44"/>
      <c r="D12560" s="44"/>
      <c r="E12560" s="46" t="s">
        <v>8582</v>
      </c>
      <c r="F12560" s="46" t="s">
        <v>982</v>
      </c>
      <c r="G12560" s="46">
        <v>3.61731348415E11</v>
      </c>
      <c r="H12560" s="46" t="s">
        <v>983</v>
      </c>
      <c r="I12560" s="46" t="s">
        <v>984</v>
      </c>
      <c r="J12560" s="46" t="s">
        <v>368</v>
      </c>
      <c r="K12560" s="46" t="s">
        <v>63</v>
      </c>
      <c r="L12560" s="45">
        <v>46017.875</v>
      </c>
      <c r="M12560" s="46" t="s">
        <v>123</v>
      </c>
      <c r="N12560" s="45">
        <v>46018.25</v>
      </c>
      <c r="O12560" s="46" t="s">
        <v>123</v>
      </c>
      <c r="P12560" s="46">
        <v>32400.0</v>
      </c>
    </row>
    <row r="12561">
      <c r="A12561" s="40">
        <f t="shared" si="1"/>
        <v>46013</v>
      </c>
      <c r="B12561" s="37" t="str">
        <f t="array" ref="B12561">iferror(xlookup($I12561, 'IMPORT VHC Report'!$E:$E, 'IMPORT VHC Report'!$A:$C), )</f>
        <v/>
      </c>
      <c r="C12561" s="44"/>
      <c r="D12561" s="44"/>
      <c r="E12561" s="46" t="s">
        <v>8583</v>
      </c>
      <c r="F12561" s="46" t="s">
        <v>982</v>
      </c>
      <c r="G12561" s="46">
        <v>3.61731348415E11</v>
      </c>
      <c r="H12561" s="46" t="s">
        <v>983</v>
      </c>
      <c r="I12561" s="46" t="s">
        <v>984</v>
      </c>
      <c r="J12561" s="46" t="s">
        <v>134</v>
      </c>
      <c r="K12561" s="46" t="s">
        <v>126</v>
      </c>
      <c r="L12561" s="45">
        <v>46018.0625</v>
      </c>
      <c r="M12561" s="46" t="s">
        <v>123</v>
      </c>
      <c r="N12561" s="45">
        <v>46018.083333333336</v>
      </c>
      <c r="O12561" s="46" t="s">
        <v>123</v>
      </c>
      <c r="P12561" s="46">
        <v>1800.0</v>
      </c>
    </row>
    <row r="12562">
      <c r="A12562" s="40">
        <f t="shared" si="1"/>
        <v>46013</v>
      </c>
      <c r="B12562" s="37" t="str">
        <f t="array" ref="B12562">iferror(xlookup($I12562, 'IMPORT VHC Report'!$E:$E, 'IMPORT VHC Report'!$A:$C), )</f>
        <v/>
      </c>
      <c r="C12562" s="44"/>
      <c r="D12562" s="44"/>
      <c r="E12562" s="46" t="s">
        <v>8584</v>
      </c>
      <c r="F12562" s="46" t="s">
        <v>982</v>
      </c>
      <c r="G12562" s="46">
        <v>3.61731348415E11</v>
      </c>
      <c r="H12562" s="46" t="s">
        <v>983</v>
      </c>
      <c r="I12562" s="46" t="s">
        <v>984</v>
      </c>
      <c r="J12562" s="46" t="s">
        <v>132</v>
      </c>
      <c r="K12562" s="46" t="s">
        <v>126</v>
      </c>
      <c r="L12562" s="45">
        <v>46018.166666666664</v>
      </c>
      <c r="M12562" s="46" t="s">
        <v>123</v>
      </c>
      <c r="N12562" s="45">
        <v>46018.208333333336</v>
      </c>
      <c r="O12562" s="46" t="s">
        <v>123</v>
      </c>
      <c r="P12562" s="46">
        <v>3600.0</v>
      </c>
    </row>
    <row r="12563">
      <c r="A12563" s="40">
        <f t="shared" si="1"/>
        <v>46013</v>
      </c>
      <c r="B12563" s="37" t="str">
        <f t="array" ref="B12563">iferror(xlookup($I12563, 'IMPORT VHC Report'!$E:$E, 'IMPORT VHC Report'!$A:$C), )</f>
        <v/>
      </c>
      <c r="C12563" s="44"/>
      <c r="D12563" s="44"/>
      <c r="E12563" s="46" t="s">
        <v>8585</v>
      </c>
      <c r="F12563" s="46" t="s">
        <v>982</v>
      </c>
      <c r="G12563" s="46">
        <v>3.61731348415E11</v>
      </c>
      <c r="H12563" s="46" t="s">
        <v>983</v>
      </c>
      <c r="I12563" s="46" t="s">
        <v>984</v>
      </c>
      <c r="J12563" s="46" t="s">
        <v>368</v>
      </c>
      <c r="K12563" s="46" t="s">
        <v>63</v>
      </c>
      <c r="L12563" s="45">
        <v>46018.875</v>
      </c>
      <c r="M12563" s="46" t="s">
        <v>123</v>
      </c>
      <c r="N12563" s="45">
        <v>46019.25</v>
      </c>
      <c r="O12563" s="46" t="s">
        <v>123</v>
      </c>
      <c r="P12563" s="46">
        <v>32400.0</v>
      </c>
    </row>
    <row r="12564">
      <c r="A12564" s="40">
        <f t="shared" si="1"/>
        <v>46013</v>
      </c>
      <c r="B12564" s="37" t="str">
        <f t="array" ref="B12564">iferror(xlookup($I12564, 'IMPORT VHC Report'!$E:$E, 'IMPORT VHC Report'!$A:$C), )</f>
        <v/>
      </c>
      <c r="C12564" s="44"/>
      <c r="D12564" s="44"/>
      <c r="E12564" s="46" t="s">
        <v>8586</v>
      </c>
      <c r="F12564" s="46" t="s">
        <v>982</v>
      </c>
      <c r="G12564" s="46">
        <v>3.61731348415E11</v>
      </c>
      <c r="H12564" s="46" t="s">
        <v>983</v>
      </c>
      <c r="I12564" s="46" t="s">
        <v>984</v>
      </c>
      <c r="J12564" s="46" t="s">
        <v>134</v>
      </c>
      <c r="K12564" s="46" t="s">
        <v>126</v>
      </c>
      <c r="L12564" s="45">
        <v>46018.979166666664</v>
      </c>
      <c r="M12564" s="46" t="s">
        <v>123</v>
      </c>
      <c r="N12564" s="45">
        <v>46019.0</v>
      </c>
      <c r="O12564" s="46" t="s">
        <v>123</v>
      </c>
      <c r="P12564" s="46">
        <v>1800.0</v>
      </c>
    </row>
    <row r="12565">
      <c r="A12565" s="40">
        <f t="shared" si="1"/>
        <v>46013</v>
      </c>
      <c r="B12565" s="37" t="str">
        <f t="array" ref="B12565">iferror(xlookup($I12565, 'IMPORT VHC Report'!$E:$E, 'IMPORT VHC Report'!$A:$C), )</f>
        <v/>
      </c>
      <c r="C12565" s="44"/>
      <c r="D12565" s="44"/>
      <c r="E12565" s="46" t="s">
        <v>8587</v>
      </c>
      <c r="F12565" s="46" t="s">
        <v>982</v>
      </c>
      <c r="G12565" s="46">
        <v>3.61731348415E11</v>
      </c>
      <c r="H12565" s="46" t="s">
        <v>983</v>
      </c>
      <c r="I12565" s="46" t="s">
        <v>984</v>
      </c>
      <c r="J12565" s="46" t="s">
        <v>132</v>
      </c>
      <c r="K12565" s="46" t="s">
        <v>126</v>
      </c>
      <c r="L12565" s="45">
        <v>46019.15625</v>
      </c>
      <c r="M12565" s="46" t="s">
        <v>123</v>
      </c>
      <c r="N12565" s="45">
        <v>46019.197916666664</v>
      </c>
      <c r="O12565" s="46" t="s">
        <v>123</v>
      </c>
      <c r="P12565" s="46">
        <v>3600.0</v>
      </c>
    </row>
    <row r="12566">
      <c r="A12566" s="40">
        <f t="shared" si="1"/>
        <v>46013</v>
      </c>
      <c r="B12566" s="37" t="str">
        <f t="array" ref="B12566">iferror(xlookup($I12566, 'IMPORT VHC Report'!$E:$E, 'IMPORT VHC Report'!$A:$C), )</f>
        <v/>
      </c>
      <c r="C12566" s="44"/>
      <c r="D12566" s="44"/>
      <c r="E12566" s="46" t="s">
        <v>8588</v>
      </c>
      <c r="F12566" s="46" t="s">
        <v>7779</v>
      </c>
      <c r="G12566" s="46">
        <v>3.61732164295E11</v>
      </c>
      <c r="H12566" s="46" t="s">
        <v>7780</v>
      </c>
      <c r="I12566" s="46" t="s">
        <v>7781</v>
      </c>
      <c r="J12566" s="46" t="s">
        <v>368</v>
      </c>
      <c r="K12566" s="46" t="s">
        <v>63</v>
      </c>
      <c r="L12566" s="45">
        <v>46015.5</v>
      </c>
      <c r="M12566" s="46" t="s">
        <v>123</v>
      </c>
      <c r="N12566" s="45">
        <v>46015.875</v>
      </c>
      <c r="O12566" s="46" t="s">
        <v>123</v>
      </c>
      <c r="P12566" s="46">
        <v>32400.0</v>
      </c>
    </row>
    <row r="12567">
      <c r="A12567" s="40">
        <f t="shared" si="1"/>
        <v>46013</v>
      </c>
      <c r="B12567" s="37" t="str">
        <f t="array" ref="B12567">iferror(xlookup($I12567, 'IMPORT VHC Report'!$E:$E, 'IMPORT VHC Report'!$A:$C), )</f>
        <v/>
      </c>
      <c r="C12567" s="44"/>
      <c r="D12567" s="44"/>
      <c r="E12567" s="46" t="s">
        <v>8589</v>
      </c>
      <c r="F12567" s="46" t="s">
        <v>7779</v>
      </c>
      <c r="G12567" s="46">
        <v>3.61732164295E11</v>
      </c>
      <c r="H12567" s="46" t="s">
        <v>7780</v>
      </c>
      <c r="I12567" s="46" t="s">
        <v>7781</v>
      </c>
      <c r="J12567" s="46" t="s">
        <v>134</v>
      </c>
      <c r="K12567" s="46" t="s">
        <v>126</v>
      </c>
      <c r="L12567" s="45">
        <v>46015.604166666664</v>
      </c>
      <c r="M12567" s="46" t="s">
        <v>123</v>
      </c>
      <c r="N12567" s="45">
        <v>46015.625</v>
      </c>
      <c r="O12567" s="46" t="s">
        <v>123</v>
      </c>
      <c r="P12567" s="46">
        <v>1800.0</v>
      </c>
    </row>
    <row r="12568">
      <c r="A12568" s="40">
        <f t="shared" si="1"/>
        <v>46013</v>
      </c>
      <c r="B12568" s="37" t="str">
        <f t="array" ref="B12568">iferror(xlookup($I12568, 'IMPORT VHC Report'!$E:$E, 'IMPORT VHC Report'!$A:$C), )</f>
        <v/>
      </c>
      <c r="C12568" s="44"/>
      <c r="D12568" s="44"/>
      <c r="E12568" s="46" t="s">
        <v>8590</v>
      </c>
      <c r="F12568" s="46" t="s">
        <v>7779</v>
      </c>
      <c r="G12568" s="46">
        <v>3.61732164295E11</v>
      </c>
      <c r="H12568" s="46" t="s">
        <v>7780</v>
      </c>
      <c r="I12568" s="46" t="s">
        <v>7781</v>
      </c>
      <c r="J12568" s="46" t="s">
        <v>132</v>
      </c>
      <c r="K12568" s="46" t="s">
        <v>126</v>
      </c>
      <c r="L12568" s="45">
        <v>46015.770833333336</v>
      </c>
      <c r="M12568" s="46" t="s">
        <v>123</v>
      </c>
      <c r="N12568" s="45">
        <v>46015.8125</v>
      </c>
      <c r="O12568" s="46" t="s">
        <v>123</v>
      </c>
      <c r="P12568" s="46">
        <v>3600.0</v>
      </c>
    </row>
    <row r="12569">
      <c r="A12569" s="40">
        <f t="shared" si="1"/>
        <v>46013</v>
      </c>
      <c r="B12569" s="37" t="str">
        <f t="array" ref="B12569">iferror(xlookup($I12569, 'IMPORT VHC Report'!$E:$E, 'IMPORT VHC Report'!$A:$C), )</f>
        <v/>
      </c>
      <c r="C12569" s="44"/>
      <c r="D12569" s="44"/>
      <c r="E12569" s="46" t="s">
        <v>8591</v>
      </c>
      <c r="F12569" s="46" t="s">
        <v>7779</v>
      </c>
      <c r="G12569" s="46">
        <v>3.61732164295E11</v>
      </c>
      <c r="H12569" s="46" t="s">
        <v>7780</v>
      </c>
      <c r="I12569" s="46" t="s">
        <v>7781</v>
      </c>
      <c r="J12569" s="46" t="s">
        <v>368</v>
      </c>
      <c r="K12569" s="46" t="s">
        <v>63</v>
      </c>
      <c r="L12569" s="45">
        <v>46016.5</v>
      </c>
      <c r="M12569" s="46" t="s">
        <v>123</v>
      </c>
      <c r="N12569" s="45">
        <v>46016.875</v>
      </c>
      <c r="O12569" s="46" t="s">
        <v>123</v>
      </c>
      <c r="P12569" s="46">
        <v>32400.0</v>
      </c>
    </row>
    <row r="12570">
      <c r="A12570" s="40">
        <f t="shared" si="1"/>
        <v>46013</v>
      </c>
      <c r="B12570" s="37" t="str">
        <f t="array" ref="B12570">iferror(xlookup($I12570, 'IMPORT VHC Report'!$E:$E, 'IMPORT VHC Report'!$A:$C), )</f>
        <v/>
      </c>
      <c r="C12570" s="44"/>
      <c r="D12570" s="44"/>
      <c r="E12570" s="46" t="s">
        <v>8592</v>
      </c>
      <c r="F12570" s="46" t="s">
        <v>7779</v>
      </c>
      <c r="G12570" s="46">
        <v>3.61732164295E11</v>
      </c>
      <c r="H12570" s="46" t="s">
        <v>7780</v>
      </c>
      <c r="I12570" s="46" t="s">
        <v>7781</v>
      </c>
      <c r="J12570" s="46" t="s">
        <v>134</v>
      </c>
      <c r="K12570" s="46" t="s">
        <v>126</v>
      </c>
      <c r="L12570" s="45">
        <v>46016.604166666664</v>
      </c>
      <c r="M12570" s="46" t="s">
        <v>123</v>
      </c>
      <c r="N12570" s="45">
        <v>46016.625</v>
      </c>
      <c r="O12570" s="46" t="s">
        <v>123</v>
      </c>
      <c r="P12570" s="46">
        <v>1800.0</v>
      </c>
    </row>
    <row r="12571">
      <c r="A12571" s="40">
        <f t="shared" si="1"/>
        <v>46013</v>
      </c>
      <c r="B12571" s="37" t="str">
        <f t="array" ref="B12571">iferror(xlookup($I12571, 'IMPORT VHC Report'!$E:$E, 'IMPORT VHC Report'!$A:$C), )</f>
        <v/>
      </c>
      <c r="C12571" s="44"/>
      <c r="D12571" s="44"/>
      <c r="E12571" s="46" t="s">
        <v>8593</v>
      </c>
      <c r="F12571" s="46" t="s">
        <v>7779</v>
      </c>
      <c r="G12571" s="46">
        <v>3.61732164295E11</v>
      </c>
      <c r="H12571" s="46" t="s">
        <v>7780</v>
      </c>
      <c r="I12571" s="46" t="s">
        <v>7781</v>
      </c>
      <c r="J12571" s="46" t="s">
        <v>132</v>
      </c>
      <c r="K12571" s="46" t="s">
        <v>126</v>
      </c>
      <c r="L12571" s="45">
        <v>46016.75</v>
      </c>
      <c r="M12571" s="46" t="s">
        <v>123</v>
      </c>
      <c r="N12571" s="45">
        <v>46016.791666666664</v>
      </c>
      <c r="O12571" s="46" t="s">
        <v>123</v>
      </c>
      <c r="P12571" s="46">
        <v>3600.0</v>
      </c>
    </row>
    <row r="12572">
      <c r="A12572" s="40">
        <f t="shared" si="1"/>
        <v>46013</v>
      </c>
      <c r="B12572" s="37" t="str">
        <f t="array" ref="B12572">iferror(xlookup($I12572, 'IMPORT VHC Report'!$E:$E, 'IMPORT VHC Report'!$A:$C), )</f>
        <v/>
      </c>
      <c r="C12572" s="44"/>
      <c r="D12572" s="44"/>
      <c r="E12572" s="46" t="s">
        <v>8594</v>
      </c>
      <c r="F12572" s="46" t="s">
        <v>7779</v>
      </c>
      <c r="G12572" s="46">
        <v>3.61732164295E11</v>
      </c>
      <c r="H12572" s="46" t="s">
        <v>7780</v>
      </c>
      <c r="I12572" s="46" t="s">
        <v>7781</v>
      </c>
      <c r="J12572" s="46" t="s">
        <v>368</v>
      </c>
      <c r="K12572" s="46" t="s">
        <v>63</v>
      </c>
      <c r="L12572" s="45">
        <v>46017.5</v>
      </c>
      <c r="M12572" s="46" t="s">
        <v>123</v>
      </c>
      <c r="N12572" s="45">
        <v>46017.875</v>
      </c>
      <c r="O12572" s="46" t="s">
        <v>123</v>
      </c>
      <c r="P12572" s="46">
        <v>32400.0</v>
      </c>
    </row>
    <row r="12573">
      <c r="A12573" s="40">
        <f t="shared" si="1"/>
        <v>46013</v>
      </c>
      <c r="B12573" s="37" t="str">
        <f t="array" ref="B12573">iferror(xlookup($I12573, 'IMPORT VHC Report'!$E:$E, 'IMPORT VHC Report'!$A:$C), )</f>
        <v/>
      </c>
      <c r="C12573" s="44"/>
      <c r="D12573" s="44"/>
      <c r="E12573" s="46" t="s">
        <v>8595</v>
      </c>
      <c r="F12573" s="46" t="s">
        <v>7779</v>
      </c>
      <c r="G12573" s="46">
        <v>3.61732164295E11</v>
      </c>
      <c r="H12573" s="46" t="s">
        <v>7780</v>
      </c>
      <c r="I12573" s="46" t="s">
        <v>7781</v>
      </c>
      <c r="J12573" s="46" t="s">
        <v>134</v>
      </c>
      <c r="K12573" s="46" t="s">
        <v>126</v>
      </c>
      <c r="L12573" s="45">
        <v>46017.677083333336</v>
      </c>
      <c r="M12573" s="46" t="s">
        <v>123</v>
      </c>
      <c r="N12573" s="45">
        <v>46017.697916666664</v>
      </c>
      <c r="O12573" s="46" t="s">
        <v>123</v>
      </c>
      <c r="P12573" s="46">
        <v>1800.0</v>
      </c>
    </row>
    <row r="12574">
      <c r="A12574" s="40">
        <f t="shared" si="1"/>
        <v>46013</v>
      </c>
      <c r="B12574" s="37" t="str">
        <f t="array" ref="B12574">iferror(xlookup($I12574, 'IMPORT VHC Report'!$E:$E, 'IMPORT VHC Report'!$A:$C), )</f>
        <v/>
      </c>
      <c r="C12574" s="44"/>
      <c r="D12574" s="44"/>
      <c r="E12574" s="46" t="s">
        <v>8596</v>
      </c>
      <c r="F12574" s="46" t="s">
        <v>7779</v>
      </c>
      <c r="G12574" s="46">
        <v>3.61732164295E11</v>
      </c>
      <c r="H12574" s="46" t="s">
        <v>7780</v>
      </c>
      <c r="I12574" s="46" t="s">
        <v>7781</v>
      </c>
      <c r="J12574" s="46" t="s">
        <v>132</v>
      </c>
      <c r="K12574" s="46" t="s">
        <v>126</v>
      </c>
      <c r="L12574" s="45">
        <v>46017.791666666664</v>
      </c>
      <c r="M12574" s="46" t="s">
        <v>123</v>
      </c>
      <c r="N12574" s="45">
        <v>46017.833333333336</v>
      </c>
      <c r="O12574" s="46" t="s">
        <v>123</v>
      </c>
      <c r="P12574" s="46">
        <v>3600.0</v>
      </c>
    </row>
    <row r="12575">
      <c r="A12575" s="40">
        <f t="shared" si="1"/>
        <v>46013</v>
      </c>
      <c r="B12575" s="37" t="str">
        <f t="array" ref="B12575">iferror(xlookup($I12575, 'IMPORT VHC Report'!$E:$E, 'IMPORT VHC Report'!$A:$C), )</f>
        <v/>
      </c>
      <c r="C12575" s="44"/>
      <c r="D12575" s="44"/>
      <c r="E12575" s="46" t="s">
        <v>8597</v>
      </c>
      <c r="F12575" s="46" t="s">
        <v>7779</v>
      </c>
      <c r="G12575" s="46">
        <v>3.61732164295E11</v>
      </c>
      <c r="H12575" s="46" t="s">
        <v>7780</v>
      </c>
      <c r="I12575" s="46" t="s">
        <v>7781</v>
      </c>
      <c r="J12575" s="46" t="s">
        <v>368</v>
      </c>
      <c r="K12575" s="46" t="s">
        <v>63</v>
      </c>
      <c r="L12575" s="45">
        <v>46018.5</v>
      </c>
      <c r="M12575" s="46" t="s">
        <v>123</v>
      </c>
      <c r="N12575" s="45">
        <v>46018.875</v>
      </c>
      <c r="O12575" s="46" t="s">
        <v>123</v>
      </c>
      <c r="P12575" s="46">
        <v>32400.0</v>
      </c>
    </row>
    <row r="12576">
      <c r="A12576" s="40">
        <f t="shared" si="1"/>
        <v>46013</v>
      </c>
      <c r="B12576" s="37" t="str">
        <f t="array" ref="B12576">iferror(xlookup($I12576, 'IMPORT VHC Report'!$E:$E, 'IMPORT VHC Report'!$A:$C), )</f>
        <v/>
      </c>
      <c r="C12576" s="44"/>
      <c r="D12576" s="44"/>
      <c r="E12576" s="46" t="s">
        <v>8598</v>
      </c>
      <c r="F12576" s="46" t="s">
        <v>7779</v>
      </c>
      <c r="G12576" s="46">
        <v>3.61732164295E11</v>
      </c>
      <c r="H12576" s="46" t="s">
        <v>7780</v>
      </c>
      <c r="I12576" s="46" t="s">
        <v>7781</v>
      </c>
      <c r="J12576" s="46" t="s">
        <v>134</v>
      </c>
      <c r="K12576" s="46" t="s">
        <v>126</v>
      </c>
      <c r="L12576" s="45">
        <v>46018.645833333336</v>
      </c>
      <c r="M12576" s="46" t="s">
        <v>123</v>
      </c>
      <c r="N12576" s="45">
        <v>46018.666666666664</v>
      </c>
      <c r="O12576" s="46" t="s">
        <v>123</v>
      </c>
      <c r="P12576" s="46">
        <v>1800.0</v>
      </c>
    </row>
    <row r="12577">
      <c r="A12577" s="40">
        <f t="shared" si="1"/>
        <v>46013</v>
      </c>
      <c r="B12577" s="37" t="str">
        <f t="array" ref="B12577">iferror(xlookup($I12577, 'IMPORT VHC Report'!$E:$E, 'IMPORT VHC Report'!$A:$C), )</f>
        <v/>
      </c>
      <c r="C12577" s="44"/>
      <c r="D12577" s="44"/>
      <c r="E12577" s="46" t="s">
        <v>8599</v>
      </c>
      <c r="F12577" s="46" t="s">
        <v>7779</v>
      </c>
      <c r="G12577" s="46">
        <v>3.61732164295E11</v>
      </c>
      <c r="H12577" s="46" t="s">
        <v>7780</v>
      </c>
      <c r="I12577" s="46" t="s">
        <v>7781</v>
      </c>
      <c r="J12577" s="46" t="s">
        <v>132</v>
      </c>
      <c r="K12577" s="46" t="s">
        <v>126</v>
      </c>
      <c r="L12577" s="45">
        <v>46018.75</v>
      </c>
      <c r="M12577" s="46" t="s">
        <v>123</v>
      </c>
      <c r="N12577" s="45">
        <v>46018.791666666664</v>
      </c>
      <c r="O12577" s="46" t="s">
        <v>123</v>
      </c>
      <c r="P12577" s="46">
        <v>3600.0</v>
      </c>
    </row>
    <row r="12578">
      <c r="A12578" s="40">
        <f t="shared" si="1"/>
        <v>46013</v>
      </c>
      <c r="B12578" s="37" t="str">
        <f t="array" ref="B12578">iferror(xlookup($I12578, 'IMPORT VHC Report'!$E:$E, 'IMPORT VHC Report'!$A:$C), )</f>
        <v/>
      </c>
      <c r="C12578" s="44"/>
      <c r="D12578" s="44"/>
      <c r="E12578" s="46" t="s">
        <v>8600</v>
      </c>
      <c r="F12578" s="46" t="s">
        <v>7779</v>
      </c>
      <c r="G12578" s="46">
        <v>3.61732164295E11</v>
      </c>
      <c r="H12578" s="46" t="s">
        <v>7780</v>
      </c>
      <c r="I12578" s="46" t="s">
        <v>7781</v>
      </c>
      <c r="J12578" s="46" t="s">
        <v>368</v>
      </c>
      <c r="K12578" s="46" t="s">
        <v>63</v>
      </c>
      <c r="L12578" s="45">
        <v>46019.5</v>
      </c>
      <c r="M12578" s="46" t="s">
        <v>123</v>
      </c>
      <c r="N12578" s="45">
        <v>46019.875</v>
      </c>
      <c r="O12578" s="46" t="s">
        <v>123</v>
      </c>
      <c r="P12578" s="46">
        <v>32400.0</v>
      </c>
    </row>
    <row r="12579">
      <c r="A12579" s="40">
        <f t="shared" si="1"/>
        <v>46013</v>
      </c>
      <c r="B12579" s="37" t="str">
        <f t="array" ref="B12579">iferror(xlookup($I12579, 'IMPORT VHC Report'!$E:$E, 'IMPORT VHC Report'!$A:$C), )</f>
        <v/>
      </c>
      <c r="C12579" s="44"/>
      <c r="D12579" s="44"/>
      <c r="E12579" s="46" t="s">
        <v>8601</v>
      </c>
      <c r="F12579" s="46" t="s">
        <v>7779</v>
      </c>
      <c r="G12579" s="46">
        <v>3.61732164295E11</v>
      </c>
      <c r="H12579" s="46" t="s">
        <v>7780</v>
      </c>
      <c r="I12579" s="46" t="s">
        <v>7781</v>
      </c>
      <c r="J12579" s="46" t="s">
        <v>134</v>
      </c>
      <c r="K12579" s="46" t="s">
        <v>126</v>
      </c>
      <c r="L12579" s="45">
        <v>46019.6875</v>
      </c>
      <c r="M12579" s="46" t="s">
        <v>123</v>
      </c>
      <c r="N12579" s="45">
        <v>46019.708333333336</v>
      </c>
      <c r="O12579" s="46" t="s">
        <v>123</v>
      </c>
      <c r="P12579" s="46">
        <v>1800.0</v>
      </c>
    </row>
    <row r="12580">
      <c r="A12580" s="40">
        <f t="shared" si="1"/>
        <v>46013</v>
      </c>
      <c r="B12580" s="37" t="str">
        <f t="array" ref="B12580">iferror(xlookup($I12580, 'IMPORT VHC Report'!$E:$E, 'IMPORT VHC Report'!$A:$C), )</f>
        <v/>
      </c>
      <c r="C12580" s="44"/>
      <c r="D12580" s="44"/>
      <c r="E12580" s="46" t="s">
        <v>8602</v>
      </c>
      <c r="F12580" s="46" t="s">
        <v>7779</v>
      </c>
      <c r="G12580" s="46">
        <v>3.61732164295E11</v>
      </c>
      <c r="H12580" s="46" t="s">
        <v>7780</v>
      </c>
      <c r="I12580" s="46" t="s">
        <v>7781</v>
      </c>
      <c r="J12580" s="46" t="s">
        <v>132</v>
      </c>
      <c r="K12580" s="46" t="s">
        <v>126</v>
      </c>
      <c r="L12580" s="45">
        <v>46019.791666666664</v>
      </c>
      <c r="M12580" s="46" t="s">
        <v>123</v>
      </c>
      <c r="N12580" s="45">
        <v>46019.833333333336</v>
      </c>
      <c r="O12580" s="46" t="s">
        <v>123</v>
      </c>
      <c r="P12580" s="46">
        <v>3600.0</v>
      </c>
    </row>
    <row r="12581">
      <c r="A12581" s="40">
        <f t="shared" si="1"/>
        <v>46006</v>
      </c>
      <c r="B12581" s="37" t="str">
        <f t="array" ref="B12581">iferror(xlookup($I12581, 'IMPORT VHC Report'!$E:$E, 'IMPORT VHC Report'!$A:$C), )</f>
        <v/>
      </c>
      <c r="C12581" s="44"/>
      <c r="D12581" s="44"/>
      <c r="E12581" s="46" t="s">
        <v>1184</v>
      </c>
      <c r="F12581" s="46" t="s">
        <v>1132</v>
      </c>
      <c r="G12581" s="46">
        <v>3.61964324516E11</v>
      </c>
      <c r="H12581" s="46" t="s">
        <v>1133</v>
      </c>
      <c r="I12581" s="46" t="s">
        <v>1134</v>
      </c>
      <c r="J12581" s="46" t="s">
        <v>178</v>
      </c>
      <c r="K12581" s="46" t="s">
        <v>153</v>
      </c>
      <c r="L12581" s="45">
        <v>46012.833333333336</v>
      </c>
      <c r="M12581" s="46" t="s">
        <v>123</v>
      </c>
      <c r="N12581" s="45">
        <v>46013.208333333336</v>
      </c>
      <c r="O12581" s="46" t="s">
        <v>123</v>
      </c>
      <c r="P12581" s="46">
        <v>32400.0</v>
      </c>
      <c r="Q12581" s="46">
        <v>28800.0</v>
      </c>
      <c r="R12581" s="46" t="s">
        <v>1185</v>
      </c>
    </row>
    <row r="12582">
      <c r="A12582" s="40">
        <f t="shared" si="1"/>
        <v>46013</v>
      </c>
      <c r="B12582" s="37" t="str">
        <f t="array" ref="B12582">iferror(xlookup($I12582, 'IMPORT VHC Report'!$E:$E, 'IMPORT VHC Report'!$A:$C), )</f>
        <v/>
      </c>
      <c r="C12582" s="44"/>
      <c r="D12582" s="44"/>
      <c r="E12582" s="46" t="s">
        <v>8603</v>
      </c>
      <c r="F12582" s="46" t="s">
        <v>1132</v>
      </c>
      <c r="G12582" s="46">
        <v>3.61964324516E11</v>
      </c>
      <c r="H12582" s="46" t="s">
        <v>1133</v>
      </c>
      <c r="I12582" s="46" t="s">
        <v>1134</v>
      </c>
      <c r="J12582" s="46" t="s">
        <v>134</v>
      </c>
      <c r="K12582" s="46" t="s">
        <v>126</v>
      </c>
      <c r="L12582" s="45">
        <v>46013.0</v>
      </c>
      <c r="M12582" s="46" t="s">
        <v>123</v>
      </c>
      <c r="N12582" s="45">
        <v>46013.010416666664</v>
      </c>
      <c r="O12582" s="46" t="s">
        <v>123</v>
      </c>
      <c r="P12582" s="46">
        <v>900.0</v>
      </c>
    </row>
    <row r="12583">
      <c r="A12583" s="40">
        <f t="shared" si="1"/>
        <v>46013</v>
      </c>
      <c r="B12583" s="37" t="str">
        <f t="array" ref="B12583">iferror(xlookup($I12583, 'IMPORT VHC Report'!$E:$E, 'IMPORT VHC Report'!$A:$C), )</f>
        <v/>
      </c>
      <c r="C12583" s="44"/>
      <c r="D12583" s="44"/>
      <c r="E12583" s="46" t="s">
        <v>8604</v>
      </c>
      <c r="F12583" s="46" t="s">
        <v>1132</v>
      </c>
      <c r="G12583" s="46">
        <v>3.61964324516E11</v>
      </c>
      <c r="H12583" s="46" t="s">
        <v>1133</v>
      </c>
      <c r="I12583" s="46" t="s">
        <v>1134</v>
      </c>
      <c r="J12583" s="46" t="s">
        <v>224</v>
      </c>
      <c r="K12583" s="46" t="s">
        <v>63</v>
      </c>
      <c r="L12583" s="45">
        <v>46013.0</v>
      </c>
      <c r="M12583" s="46" t="s">
        <v>123</v>
      </c>
      <c r="N12583" s="45">
        <v>46013.208333333336</v>
      </c>
      <c r="O12583" s="46" t="s">
        <v>123</v>
      </c>
      <c r="P12583" s="46">
        <v>18000.0</v>
      </c>
    </row>
    <row r="12584">
      <c r="A12584" s="40">
        <f t="shared" si="1"/>
        <v>46013</v>
      </c>
      <c r="B12584" s="37" t="str">
        <f t="array" ref="B12584">iferror(xlookup($I12584, 'IMPORT VHC Report'!$E:$E, 'IMPORT VHC Report'!$A:$C), )</f>
        <v/>
      </c>
      <c r="C12584" s="44"/>
      <c r="D12584" s="44"/>
      <c r="E12584" s="46" t="s">
        <v>8605</v>
      </c>
      <c r="F12584" s="46" t="s">
        <v>1132</v>
      </c>
      <c r="G12584" s="46">
        <v>3.61964324516E11</v>
      </c>
      <c r="H12584" s="46" t="s">
        <v>1133</v>
      </c>
      <c r="I12584" s="46" t="s">
        <v>1134</v>
      </c>
      <c r="J12584" s="46" t="s">
        <v>132</v>
      </c>
      <c r="K12584" s="46" t="s">
        <v>126</v>
      </c>
      <c r="L12584" s="45">
        <v>46013.072916666664</v>
      </c>
      <c r="M12584" s="46" t="s">
        <v>123</v>
      </c>
      <c r="N12584" s="45">
        <v>46013.114583333336</v>
      </c>
      <c r="O12584" s="46" t="s">
        <v>123</v>
      </c>
      <c r="P12584" s="46">
        <v>3600.0</v>
      </c>
    </row>
    <row r="12585">
      <c r="A12585" s="40">
        <f t="shared" si="1"/>
        <v>46013</v>
      </c>
      <c r="B12585" s="37" t="str">
        <f t="array" ref="B12585">iferror(xlookup($I12585, 'IMPORT VHC Report'!$E:$E, 'IMPORT VHC Report'!$A:$C), )</f>
        <v/>
      </c>
      <c r="C12585" s="44"/>
      <c r="D12585" s="44"/>
      <c r="E12585" s="46" t="s">
        <v>8606</v>
      </c>
      <c r="F12585" s="46" t="s">
        <v>1132</v>
      </c>
      <c r="G12585" s="46">
        <v>3.61964324516E11</v>
      </c>
      <c r="H12585" s="46" t="s">
        <v>1133</v>
      </c>
      <c r="I12585" s="46" t="s">
        <v>1134</v>
      </c>
      <c r="J12585" s="46" t="s">
        <v>4</v>
      </c>
      <c r="K12585" s="46" t="s">
        <v>126</v>
      </c>
      <c r="L12585" s="45">
        <v>46013.833333333336</v>
      </c>
      <c r="M12585" s="46" t="s">
        <v>123</v>
      </c>
      <c r="N12585" s="45">
        <v>46013.854166666664</v>
      </c>
      <c r="O12585" s="46" t="s">
        <v>123</v>
      </c>
      <c r="P12585" s="46">
        <v>1800.0</v>
      </c>
      <c r="S12585" s="46" t="s">
        <v>8607</v>
      </c>
    </row>
    <row r="12586">
      <c r="A12586" s="40">
        <f t="shared" si="1"/>
        <v>46013</v>
      </c>
      <c r="B12586" s="37" t="str">
        <f t="array" ref="B12586">iferror(xlookup($I12586, 'IMPORT VHC Report'!$E:$E, 'IMPORT VHC Report'!$A:$C), )</f>
        <v/>
      </c>
      <c r="C12586" s="44"/>
      <c r="D12586" s="44"/>
      <c r="E12586" s="46" t="s">
        <v>8608</v>
      </c>
      <c r="F12586" s="46" t="s">
        <v>1132</v>
      </c>
      <c r="G12586" s="46">
        <v>3.61964324516E11</v>
      </c>
      <c r="H12586" s="46" t="s">
        <v>1133</v>
      </c>
      <c r="I12586" s="46" t="s">
        <v>1134</v>
      </c>
      <c r="J12586" s="46" t="s">
        <v>224</v>
      </c>
      <c r="K12586" s="46" t="s">
        <v>63</v>
      </c>
      <c r="L12586" s="45">
        <v>46013.833333333336</v>
      </c>
      <c r="M12586" s="46" t="s">
        <v>123</v>
      </c>
      <c r="N12586" s="45">
        <v>46014.208333333336</v>
      </c>
      <c r="O12586" s="46" t="s">
        <v>123</v>
      </c>
      <c r="P12586" s="46">
        <v>32400.0</v>
      </c>
    </row>
    <row r="12587">
      <c r="A12587" s="40">
        <f t="shared" si="1"/>
        <v>46013</v>
      </c>
      <c r="B12587" s="37" t="str">
        <f t="array" ref="B12587">iferror(xlookup($I12587, 'IMPORT VHC Report'!$E:$E, 'IMPORT VHC Report'!$A:$C), )</f>
        <v/>
      </c>
      <c r="C12587" s="44"/>
      <c r="D12587" s="44"/>
      <c r="E12587" s="46" t="s">
        <v>8609</v>
      </c>
      <c r="F12587" s="46" t="s">
        <v>1132</v>
      </c>
      <c r="G12587" s="46">
        <v>3.61964324516E11</v>
      </c>
      <c r="H12587" s="46" t="s">
        <v>1133</v>
      </c>
      <c r="I12587" s="46" t="s">
        <v>1134</v>
      </c>
      <c r="J12587" s="46" t="s">
        <v>330</v>
      </c>
      <c r="K12587" s="46" t="s">
        <v>126</v>
      </c>
      <c r="L12587" s="45">
        <v>46013.854166666664</v>
      </c>
      <c r="M12587" s="46" t="s">
        <v>123</v>
      </c>
      <c r="N12587" s="45">
        <v>46013.895833333336</v>
      </c>
      <c r="O12587" s="46" t="s">
        <v>123</v>
      </c>
      <c r="P12587" s="46">
        <v>3600.0</v>
      </c>
    </row>
    <row r="12588">
      <c r="A12588" s="40">
        <f t="shared" si="1"/>
        <v>46013</v>
      </c>
      <c r="B12588" s="37" t="str">
        <f t="array" ref="B12588">iferror(xlookup($I12588, 'IMPORT VHC Report'!$E:$E, 'IMPORT VHC Report'!$A:$C), )</f>
        <v/>
      </c>
      <c r="C12588" s="44"/>
      <c r="D12588" s="44"/>
      <c r="E12588" s="46" t="s">
        <v>8610</v>
      </c>
      <c r="F12588" s="46" t="s">
        <v>1132</v>
      </c>
      <c r="G12588" s="46">
        <v>3.61964324516E11</v>
      </c>
      <c r="H12588" s="46" t="s">
        <v>1133</v>
      </c>
      <c r="I12588" s="46" t="s">
        <v>1134</v>
      </c>
      <c r="J12588" s="46" t="s">
        <v>134</v>
      </c>
      <c r="K12588" s="46" t="s">
        <v>126</v>
      </c>
      <c r="L12588" s="45">
        <v>46013.91736111111</v>
      </c>
      <c r="M12588" s="46" t="s">
        <v>123</v>
      </c>
      <c r="N12588" s="45">
        <v>46013.927777777775</v>
      </c>
      <c r="O12588" s="46" t="s">
        <v>123</v>
      </c>
      <c r="P12588" s="46">
        <v>900.0</v>
      </c>
    </row>
    <row r="12589">
      <c r="A12589" s="40">
        <f t="shared" si="1"/>
        <v>46013</v>
      </c>
      <c r="B12589" s="37" t="str">
        <f t="array" ref="B12589">iferror(xlookup($I12589, 'IMPORT VHC Report'!$E:$E, 'IMPORT VHC Report'!$A:$C), )</f>
        <v/>
      </c>
      <c r="C12589" s="44"/>
      <c r="D12589" s="44"/>
      <c r="E12589" s="46" t="s">
        <v>8611</v>
      </c>
      <c r="F12589" s="46" t="s">
        <v>1132</v>
      </c>
      <c r="G12589" s="46">
        <v>3.61964324516E11</v>
      </c>
      <c r="H12589" s="46" t="s">
        <v>1133</v>
      </c>
      <c r="I12589" s="46" t="s">
        <v>1134</v>
      </c>
      <c r="J12589" s="46" t="s">
        <v>330</v>
      </c>
      <c r="K12589" s="46" t="s">
        <v>126</v>
      </c>
      <c r="L12589" s="45">
        <v>46013.927777777775</v>
      </c>
      <c r="M12589" s="46" t="s">
        <v>123</v>
      </c>
      <c r="N12589" s="45">
        <v>46013.989583333336</v>
      </c>
      <c r="O12589" s="46" t="s">
        <v>123</v>
      </c>
      <c r="P12589" s="46">
        <v>5340.0</v>
      </c>
    </row>
    <row r="12590">
      <c r="A12590" s="40">
        <f t="shared" si="1"/>
        <v>46013</v>
      </c>
      <c r="B12590" s="37" t="str">
        <f t="array" ref="B12590">iferror(xlookup($I12590, 'IMPORT VHC Report'!$E:$E, 'IMPORT VHC Report'!$A:$C), )</f>
        <v/>
      </c>
      <c r="C12590" s="44"/>
      <c r="D12590" s="44"/>
      <c r="E12590" s="46" t="s">
        <v>8612</v>
      </c>
      <c r="F12590" s="46" t="s">
        <v>1132</v>
      </c>
      <c r="G12590" s="46">
        <v>3.61964324516E11</v>
      </c>
      <c r="H12590" s="46" t="s">
        <v>1133</v>
      </c>
      <c r="I12590" s="46" t="s">
        <v>1134</v>
      </c>
      <c r="J12590" s="46" t="s">
        <v>134</v>
      </c>
      <c r="K12590" s="46" t="s">
        <v>126</v>
      </c>
      <c r="L12590" s="45">
        <v>46013.989583333336</v>
      </c>
      <c r="M12590" s="46" t="s">
        <v>123</v>
      </c>
      <c r="N12590" s="45">
        <v>46014.0</v>
      </c>
      <c r="O12590" s="46" t="s">
        <v>123</v>
      </c>
      <c r="P12590" s="46">
        <v>900.0</v>
      </c>
    </row>
    <row r="12591">
      <c r="A12591" s="40">
        <f t="shared" si="1"/>
        <v>46013</v>
      </c>
      <c r="B12591" s="37" t="str">
        <f t="array" ref="B12591">iferror(xlookup($I12591, 'IMPORT VHC Report'!$E:$E, 'IMPORT VHC Report'!$A:$C), )</f>
        <v/>
      </c>
      <c r="C12591" s="44"/>
      <c r="D12591" s="44"/>
      <c r="E12591" s="46" t="s">
        <v>8613</v>
      </c>
      <c r="F12591" s="46" t="s">
        <v>1132</v>
      </c>
      <c r="G12591" s="46">
        <v>3.61964324516E11</v>
      </c>
      <c r="H12591" s="46" t="s">
        <v>1133</v>
      </c>
      <c r="I12591" s="46" t="s">
        <v>1134</v>
      </c>
      <c r="J12591" s="46" t="s">
        <v>132</v>
      </c>
      <c r="K12591" s="46" t="s">
        <v>126</v>
      </c>
      <c r="L12591" s="45">
        <v>46014.021527777775</v>
      </c>
      <c r="M12591" s="46" t="s">
        <v>123</v>
      </c>
      <c r="N12591" s="45">
        <v>46014.06319444445</v>
      </c>
      <c r="O12591" s="46" t="s">
        <v>123</v>
      </c>
      <c r="P12591" s="46">
        <v>3600.0</v>
      </c>
    </row>
    <row r="12592">
      <c r="A12592" s="40">
        <f t="shared" si="1"/>
        <v>46013</v>
      </c>
      <c r="B12592" s="37" t="str">
        <f t="array" ref="B12592">iferror(xlookup($I12592, 'IMPORT VHC Report'!$E:$E, 'IMPORT VHC Report'!$A:$C), )</f>
        <v/>
      </c>
      <c r="C12592" s="44"/>
      <c r="D12592" s="44"/>
      <c r="E12592" s="46" t="s">
        <v>8614</v>
      </c>
      <c r="F12592" s="46" t="s">
        <v>1132</v>
      </c>
      <c r="G12592" s="46">
        <v>3.61964324516E11</v>
      </c>
      <c r="H12592" s="46" t="s">
        <v>1133</v>
      </c>
      <c r="I12592" s="46" t="s">
        <v>1134</v>
      </c>
      <c r="J12592" s="46" t="s">
        <v>125</v>
      </c>
      <c r="K12592" s="46" t="s">
        <v>126</v>
      </c>
      <c r="L12592" s="45">
        <v>46014.111805555556</v>
      </c>
      <c r="M12592" s="46" t="s">
        <v>123</v>
      </c>
      <c r="N12592" s="45">
        <v>46014.12291666667</v>
      </c>
      <c r="O12592" s="46" t="s">
        <v>123</v>
      </c>
      <c r="P12592" s="46">
        <v>960.0</v>
      </c>
    </row>
    <row r="12593">
      <c r="A12593" s="40">
        <f t="shared" si="1"/>
        <v>46013</v>
      </c>
      <c r="B12593" s="37" t="str">
        <f t="array" ref="B12593">iferror(xlookup($I12593, 'IMPORT VHC Report'!$E:$E, 'IMPORT VHC Report'!$A:$C), )</f>
        <v/>
      </c>
      <c r="C12593" s="44"/>
      <c r="D12593" s="44"/>
      <c r="E12593" s="46" t="s">
        <v>8615</v>
      </c>
      <c r="F12593" s="46" t="s">
        <v>1132</v>
      </c>
      <c r="G12593" s="46">
        <v>3.61964324516E11</v>
      </c>
      <c r="H12593" s="46" t="s">
        <v>1133</v>
      </c>
      <c r="I12593" s="46" t="s">
        <v>1134</v>
      </c>
      <c r="J12593" s="46" t="s">
        <v>125</v>
      </c>
      <c r="K12593" s="46" t="s">
        <v>126</v>
      </c>
      <c r="L12593" s="45">
        <v>46014.12986111111</v>
      </c>
      <c r="M12593" s="46" t="s">
        <v>123</v>
      </c>
      <c r="N12593" s="45">
        <v>46014.134722222225</v>
      </c>
      <c r="O12593" s="46" t="s">
        <v>123</v>
      </c>
      <c r="P12593" s="46">
        <v>420.0</v>
      </c>
    </row>
    <row r="12594">
      <c r="A12594" s="40">
        <f t="shared" si="1"/>
        <v>46013</v>
      </c>
      <c r="B12594" s="37" t="str">
        <f t="array" ref="B12594">iferror(xlookup($I12594, 'IMPORT VHC Report'!$E:$E, 'IMPORT VHC Report'!$A:$C), )</f>
        <v/>
      </c>
      <c r="C12594" s="44"/>
      <c r="D12594" s="44"/>
      <c r="E12594" s="46" t="s">
        <v>8616</v>
      </c>
      <c r="F12594" s="46" t="s">
        <v>1132</v>
      </c>
      <c r="G12594" s="46">
        <v>3.61964324516E11</v>
      </c>
      <c r="H12594" s="46" t="s">
        <v>1133</v>
      </c>
      <c r="I12594" s="46" t="s">
        <v>1134</v>
      </c>
      <c r="J12594" s="46" t="s">
        <v>125</v>
      </c>
      <c r="K12594" s="46" t="s">
        <v>126</v>
      </c>
      <c r="L12594" s="45">
        <v>46014.135416666664</v>
      </c>
      <c r="M12594" s="46" t="s">
        <v>123</v>
      </c>
      <c r="N12594" s="45">
        <v>46014.145833333336</v>
      </c>
      <c r="O12594" s="46" t="s">
        <v>123</v>
      </c>
      <c r="P12594" s="46">
        <v>900.0</v>
      </c>
    </row>
    <row r="12595">
      <c r="A12595" s="40">
        <f t="shared" si="1"/>
        <v>46013</v>
      </c>
      <c r="B12595" s="37" t="str">
        <f t="array" ref="B12595">iferror(xlookup($I12595, 'IMPORT VHC Report'!$E:$E, 'IMPORT VHC Report'!$A:$C), )</f>
        <v/>
      </c>
      <c r="C12595" s="44"/>
      <c r="D12595" s="44"/>
      <c r="E12595" s="46" t="s">
        <v>8617</v>
      </c>
      <c r="F12595" s="46" t="s">
        <v>1132</v>
      </c>
      <c r="G12595" s="46">
        <v>3.61964324516E11</v>
      </c>
      <c r="H12595" s="46" t="s">
        <v>1133</v>
      </c>
      <c r="I12595" s="46" t="s">
        <v>1134</v>
      </c>
      <c r="J12595" s="46" t="s">
        <v>125</v>
      </c>
      <c r="K12595" s="46" t="s">
        <v>126</v>
      </c>
      <c r="L12595" s="45">
        <v>46014.177083333336</v>
      </c>
      <c r="M12595" s="46" t="s">
        <v>123</v>
      </c>
      <c r="N12595" s="45">
        <v>46014.19305555556</v>
      </c>
      <c r="O12595" s="46" t="s">
        <v>123</v>
      </c>
      <c r="P12595" s="46">
        <v>1380.0</v>
      </c>
    </row>
    <row r="12596">
      <c r="A12596" s="40">
        <f t="shared" si="1"/>
        <v>46013</v>
      </c>
      <c r="B12596" s="37" t="str">
        <f t="array" ref="B12596">iferror(xlookup($I12596, 'IMPORT VHC Report'!$E:$E, 'IMPORT VHC Report'!$A:$C), )</f>
        <v/>
      </c>
      <c r="C12596" s="44"/>
      <c r="D12596" s="44"/>
      <c r="E12596" s="46" t="s">
        <v>8618</v>
      </c>
      <c r="F12596" s="46" t="s">
        <v>1132</v>
      </c>
      <c r="G12596" s="46">
        <v>3.61964324516E11</v>
      </c>
      <c r="H12596" s="46" t="s">
        <v>1133</v>
      </c>
      <c r="I12596" s="46" t="s">
        <v>1134</v>
      </c>
      <c r="J12596" s="46" t="s">
        <v>224</v>
      </c>
      <c r="K12596" s="46" t="s">
        <v>63</v>
      </c>
      <c r="L12596" s="45">
        <v>46014.833333333336</v>
      </c>
      <c r="M12596" s="46" t="s">
        <v>123</v>
      </c>
      <c r="N12596" s="45">
        <v>46015.208333333336</v>
      </c>
      <c r="O12596" s="46" t="s">
        <v>123</v>
      </c>
      <c r="P12596" s="46">
        <v>32400.0</v>
      </c>
    </row>
    <row r="12597">
      <c r="A12597" s="40">
        <f t="shared" si="1"/>
        <v>46013</v>
      </c>
      <c r="B12597" s="37" t="str">
        <f t="array" ref="B12597">iferror(xlookup($I12597, 'IMPORT VHC Report'!$E:$E, 'IMPORT VHC Report'!$A:$C), )</f>
        <v/>
      </c>
      <c r="C12597" s="44"/>
      <c r="D12597" s="44"/>
      <c r="E12597" s="46" t="s">
        <v>8619</v>
      </c>
      <c r="F12597" s="46" t="s">
        <v>1132</v>
      </c>
      <c r="G12597" s="46">
        <v>3.61964324516E11</v>
      </c>
      <c r="H12597" s="46" t="s">
        <v>1133</v>
      </c>
      <c r="I12597" s="46" t="s">
        <v>1134</v>
      </c>
      <c r="J12597" s="46" t="s">
        <v>134</v>
      </c>
      <c r="K12597" s="46" t="s">
        <v>126</v>
      </c>
      <c r="L12597" s="45">
        <v>46014.90625</v>
      </c>
      <c r="M12597" s="46" t="s">
        <v>123</v>
      </c>
      <c r="N12597" s="45">
        <v>46014.916666666664</v>
      </c>
      <c r="O12597" s="46" t="s">
        <v>123</v>
      </c>
      <c r="P12597" s="46">
        <v>900.0</v>
      </c>
    </row>
    <row r="12598">
      <c r="A12598" s="40">
        <f t="shared" si="1"/>
        <v>46013</v>
      </c>
      <c r="B12598" s="37" t="str">
        <f t="array" ref="B12598">iferror(xlookup($I12598, 'IMPORT VHC Report'!$E:$E, 'IMPORT VHC Report'!$A:$C), )</f>
        <v/>
      </c>
      <c r="C12598" s="44"/>
      <c r="D12598" s="44"/>
      <c r="E12598" s="46" t="s">
        <v>8620</v>
      </c>
      <c r="F12598" s="46" t="s">
        <v>1132</v>
      </c>
      <c r="G12598" s="46">
        <v>3.61964324516E11</v>
      </c>
      <c r="H12598" s="46" t="s">
        <v>1133</v>
      </c>
      <c r="I12598" s="46" t="s">
        <v>1134</v>
      </c>
      <c r="J12598" s="46" t="s">
        <v>136</v>
      </c>
      <c r="K12598" s="46" t="s">
        <v>126</v>
      </c>
      <c r="L12598" s="45">
        <v>46014.916666666664</v>
      </c>
      <c r="M12598" s="46" t="s">
        <v>123</v>
      </c>
      <c r="N12598" s="45">
        <v>46015.0</v>
      </c>
      <c r="O12598" s="46" t="s">
        <v>123</v>
      </c>
      <c r="P12598" s="46">
        <v>7200.0</v>
      </c>
    </row>
    <row r="12599">
      <c r="A12599" s="40">
        <f t="shared" si="1"/>
        <v>46013</v>
      </c>
      <c r="B12599" s="37" t="str">
        <f t="array" ref="B12599">iferror(xlookup($I12599, 'IMPORT VHC Report'!$E:$E, 'IMPORT VHC Report'!$A:$C), )</f>
        <v/>
      </c>
      <c r="C12599" s="44"/>
      <c r="D12599" s="44"/>
      <c r="E12599" s="46" t="s">
        <v>8621</v>
      </c>
      <c r="F12599" s="46" t="s">
        <v>1132</v>
      </c>
      <c r="G12599" s="46">
        <v>3.61964324516E11</v>
      </c>
      <c r="H12599" s="46" t="s">
        <v>1133</v>
      </c>
      <c r="I12599" s="46" t="s">
        <v>1134</v>
      </c>
      <c r="J12599" s="46" t="s">
        <v>125</v>
      </c>
      <c r="K12599" s="46" t="s">
        <v>126</v>
      </c>
      <c r="L12599" s="45">
        <v>46015.055555555555</v>
      </c>
      <c r="M12599" s="46" t="s">
        <v>123</v>
      </c>
      <c r="N12599" s="45">
        <v>46015.07916666667</v>
      </c>
      <c r="O12599" s="46" t="s">
        <v>123</v>
      </c>
      <c r="P12599" s="46">
        <v>2040.0</v>
      </c>
    </row>
    <row r="12600">
      <c r="A12600" s="40">
        <f t="shared" si="1"/>
        <v>46013</v>
      </c>
      <c r="B12600" s="37" t="str">
        <f t="array" ref="B12600">iferror(xlookup($I12600, 'IMPORT VHC Report'!$E:$E, 'IMPORT VHC Report'!$A:$C), )</f>
        <v/>
      </c>
      <c r="C12600" s="44"/>
      <c r="D12600" s="44"/>
      <c r="E12600" s="46" t="s">
        <v>8622</v>
      </c>
      <c r="F12600" s="46" t="s">
        <v>1132</v>
      </c>
      <c r="G12600" s="46">
        <v>3.61964324516E11</v>
      </c>
      <c r="H12600" s="46" t="s">
        <v>1133</v>
      </c>
      <c r="I12600" s="46" t="s">
        <v>1134</v>
      </c>
      <c r="J12600" s="46" t="s">
        <v>125</v>
      </c>
      <c r="K12600" s="46" t="s">
        <v>126</v>
      </c>
      <c r="L12600" s="45">
        <v>46015.083333333336</v>
      </c>
      <c r="M12600" s="46" t="s">
        <v>123</v>
      </c>
      <c r="N12600" s="45">
        <v>46015.08888888889</v>
      </c>
      <c r="O12600" s="46" t="s">
        <v>123</v>
      </c>
      <c r="P12600" s="46">
        <v>480.0</v>
      </c>
    </row>
    <row r="12601">
      <c r="A12601" s="40">
        <f t="shared" si="1"/>
        <v>46013</v>
      </c>
      <c r="B12601" s="37" t="str">
        <f t="array" ref="B12601">iferror(xlookup($I12601, 'IMPORT VHC Report'!$E:$E, 'IMPORT VHC Report'!$A:$C), )</f>
        <v/>
      </c>
      <c r="C12601" s="44"/>
      <c r="D12601" s="44"/>
      <c r="E12601" s="46" t="s">
        <v>8623</v>
      </c>
      <c r="F12601" s="46" t="s">
        <v>1132</v>
      </c>
      <c r="G12601" s="46">
        <v>3.61964324516E11</v>
      </c>
      <c r="H12601" s="46" t="s">
        <v>1133</v>
      </c>
      <c r="I12601" s="46" t="s">
        <v>1134</v>
      </c>
      <c r="J12601" s="46" t="s">
        <v>132</v>
      </c>
      <c r="K12601" s="46" t="s">
        <v>126</v>
      </c>
      <c r="L12601" s="45">
        <v>46015.09097222222</v>
      </c>
      <c r="M12601" s="46" t="s">
        <v>123</v>
      </c>
      <c r="N12601" s="45">
        <v>46015.13263888889</v>
      </c>
      <c r="O12601" s="46" t="s">
        <v>123</v>
      </c>
      <c r="P12601" s="46">
        <v>3600.0</v>
      </c>
    </row>
    <row r="12602">
      <c r="A12602" s="40">
        <f t="shared" si="1"/>
        <v>46013</v>
      </c>
      <c r="B12602" s="37" t="str">
        <f t="array" ref="B12602">iferror(xlookup($I12602, 'IMPORT VHC Report'!$E:$E, 'IMPORT VHC Report'!$A:$C), )</f>
        <v/>
      </c>
      <c r="C12602" s="44"/>
      <c r="D12602" s="44"/>
      <c r="E12602" s="46" t="s">
        <v>8624</v>
      </c>
      <c r="F12602" s="46" t="s">
        <v>1132</v>
      </c>
      <c r="G12602" s="46">
        <v>3.61964324516E11</v>
      </c>
      <c r="H12602" s="46" t="s">
        <v>1133</v>
      </c>
      <c r="I12602" s="46" t="s">
        <v>1134</v>
      </c>
      <c r="J12602" s="46" t="s">
        <v>134</v>
      </c>
      <c r="K12602" s="46" t="s">
        <v>126</v>
      </c>
      <c r="L12602" s="45">
        <v>46015.13680555556</v>
      </c>
      <c r="M12602" s="46" t="s">
        <v>123</v>
      </c>
      <c r="N12602" s="45">
        <v>46015.14722222222</v>
      </c>
      <c r="O12602" s="46" t="s">
        <v>123</v>
      </c>
      <c r="P12602" s="46">
        <v>900.0</v>
      </c>
    </row>
    <row r="12603">
      <c r="A12603" s="40">
        <f t="shared" si="1"/>
        <v>46013</v>
      </c>
      <c r="B12603" s="37" t="str">
        <f t="array" ref="B12603">iferror(xlookup($I12603, 'IMPORT VHC Report'!$E:$E, 'IMPORT VHC Report'!$A:$C), )</f>
        <v/>
      </c>
      <c r="C12603" s="44"/>
      <c r="D12603" s="44"/>
      <c r="E12603" s="46" t="s">
        <v>8625</v>
      </c>
      <c r="F12603" s="46" t="s">
        <v>1132</v>
      </c>
      <c r="G12603" s="46">
        <v>3.61964324516E11</v>
      </c>
      <c r="H12603" s="46" t="s">
        <v>1133</v>
      </c>
      <c r="I12603" s="46" t="s">
        <v>1134</v>
      </c>
      <c r="J12603" s="46" t="s">
        <v>125</v>
      </c>
      <c r="K12603" s="46" t="s">
        <v>126</v>
      </c>
      <c r="L12603" s="45">
        <v>46015.177083333336</v>
      </c>
      <c r="M12603" s="46" t="s">
        <v>123</v>
      </c>
      <c r="N12603" s="45">
        <v>46015.205555555556</v>
      </c>
      <c r="O12603" s="46" t="s">
        <v>123</v>
      </c>
      <c r="P12603" s="46">
        <v>2460.0</v>
      </c>
    </row>
    <row r="12604">
      <c r="A12604" s="40">
        <f t="shared" si="1"/>
        <v>46013</v>
      </c>
      <c r="B12604" s="37" t="str">
        <f t="array" ref="B12604">iferror(xlookup($I12604, 'IMPORT VHC Report'!$E:$E, 'IMPORT VHC Report'!$A:$C), )</f>
        <v/>
      </c>
      <c r="C12604" s="44"/>
      <c r="D12604" s="44"/>
      <c r="E12604" s="46" t="s">
        <v>8626</v>
      </c>
      <c r="F12604" s="46" t="s">
        <v>1132</v>
      </c>
      <c r="G12604" s="46">
        <v>3.61964324516E11</v>
      </c>
      <c r="H12604" s="46" t="s">
        <v>1133</v>
      </c>
      <c r="I12604" s="46" t="s">
        <v>1134</v>
      </c>
      <c r="J12604" s="46" t="s">
        <v>224</v>
      </c>
      <c r="K12604" s="46" t="s">
        <v>63</v>
      </c>
      <c r="L12604" s="45">
        <v>46015.833333333336</v>
      </c>
      <c r="M12604" s="46" t="s">
        <v>123</v>
      </c>
      <c r="N12604" s="45">
        <v>46016.208333333336</v>
      </c>
      <c r="O12604" s="46" t="s">
        <v>123</v>
      </c>
      <c r="P12604" s="46">
        <v>32400.0</v>
      </c>
    </row>
    <row r="12605">
      <c r="A12605" s="40">
        <f t="shared" si="1"/>
        <v>46013</v>
      </c>
      <c r="B12605" s="37" t="str">
        <f t="array" ref="B12605">iferror(xlookup($I12605, 'IMPORT VHC Report'!$E:$E, 'IMPORT VHC Report'!$A:$C), )</f>
        <v/>
      </c>
      <c r="C12605" s="44"/>
      <c r="D12605" s="44"/>
      <c r="E12605" s="46" t="s">
        <v>8627</v>
      </c>
      <c r="F12605" s="46" t="s">
        <v>1132</v>
      </c>
      <c r="G12605" s="46">
        <v>3.61964324516E11</v>
      </c>
      <c r="H12605" s="46" t="s">
        <v>1133</v>
      </c>
      <c r="I12605" s="46" t="s">
        <v>1134</v>
      </c>
      <c r="J12605" s="46" t="s">
        <v>178</v>
      </c>
      <c r="K12605" s="46" t="s">
        <v>153</v>
      </c>
      <c r="L12605" s="45">
        <v>46015.833333333336</v>
      </c>
      <c r="M12605" s="46" t="s">
        <v>123</v>
      </c>
      <c r="N12605" s="45">
        <v>46016.208333333336</v>
      </c>
      <c r="O12605" s="46" t="s">
        <v>123</v>
      </c>
      <c r="P12605" s="46">
        <v>32400.0</v>
      </c>
      <c r="Q12605" s="46">
        <v>32400.0</v>
      </c>
    </row>
    <row r="12606">
      <c r="A12606" s="40">
        <f t="shared" si="1"/>
        <v>46013</v>
      </c>
      <c r="B12606" s="37" t="str">
        <f t="array" ref="B12606">iferror(xlookup($I12606, 'IMPORT VHC Report'!$E:$E, 'IMPORT VHC Report'!$A:$C), )</f>
        <v/>
      </c>
      <c r="C12606" s="44"/>
      <c r="D12606" s="44"/>
      <c r="E12606" s="46" t="s">
        <v>8628</v>
      </c>
      <c r="F12606" s="46" t="s">
        <v>1132</v>
      </c>
      <c r="G12606" s="46">
        <v>3.61964324516E11</v>
      </c>
      <c r="H12606" s="46" t="s">
        <v>1133</v>
      </c>
      <c r="I12606" s="46" t="s">
        <v>1134</v>
      </c>
      <c r="J12606" s="46" t="s">
        <v>134</v>
      </c>
      <c r="K12606" s="46" t="s">
        <v>126</v>
      </c>
      <c r="L12606" s="45">
        <v>46015.916666666664</v>
      </c>
      <c r="M12606" s="46" t="s">
        <v>123</v>
      </c>
      <c r="N12606" s="45">
        <v>46015.927083333336</v>
      </c>
      <c r="O12606" s="46" t="s">
        <v>123</v>
      </c>
      <c r="P12606" s="46">
        <v>900.0</v>
      </c>
    </row>
    <row r="12607">
      <c r="A12607" s="40">
        <f t="shared" si="1"/>
        <v>46013</v>
      </c>
      <c r="B12607" s="37" t="str">
        <f t="array" ref="B12607">iferror(xlookup($I12607, 'IMPORT VHC Report'!$E:$E, 'IMPORT VHC Report'!$A:$C), )</f>
        <v/>
      </c>
      <c r="C12607" s="44"/>
      <c r="D12607" s="44"/>
      <c r="E12607" s="46" t="s">
        <v>8629</v>
      </c>
      <c r="F12607" s="46" t="s">
        <v>1132</v>
      </c>
      <c r="G12607" s="46">
        <v>3.61964324516E11</v>
      </c>
      <c r="H12607" s="46" t="s">
        <v>1133</v>
      </c>
      <c r="I12607" s="46" t="s">
        <v>1134</v>
      </c>
      <c r="J12607" s="46" t="s">
        <v>132</v>
      </c>
      <c r="K12607" s="46" t="s">
        <v>126</v>
      </c>
      <c r="L12607" s="45">
        <v>46016.03125</v>
      </c>
      <c r="M12607" s="46" t="s">
        <v>123</v>
      </c>
      <c r="N12607" s="45">
        <v>46016.072916666664</v>
      </c>
      <c r="O12607" s="46" t="s">
        <v>123</v>
      </c>
      <c r="P12607" s="46">
        <v>3600.0</v>
      </c>
    </row>
    <row r="12608">
      <c r="A12608" s="40">
        <f t="shared" si="1"/>
        <v>46013</v>
      </c>
      <c r="B12608" s="37" t="str">
        <f t="array" ref="B12608">iferror(xlookup($I12608, 'IMPORT VHC Report'!$E:$E, 'IMPORT VHC Report'!$A:$C), )</f>
        <v/>
      </c>
      <c r="C12608" s="44"/>
      <c r="D12608" s="44"/>
      <c r="E12608" s="46" t="s">
        <v>8630</v>
      </c>
      <c r="F12608" s="46" t="s">
        <v>1132</v>
      </c>
      <c r="G12608" s="46">
        <v>3.61964324516E11</v>
      </c>
      <c r="H12608" s="46" t="s">
        <v>1133</v>
      </c>
      <c r="I12608" s="46" t="s">
        <v>1134</v>
      </c>
      <c r="J12608" s="46" t="s">
        <v>134</v>
      </c>
      <c r="K12608" s="46" t="s">
        <v>126</v>
      </c>
      <c r="L12608" s="45">
        <v>46016.135416666664</v>
      </c>
      <c r="M12608" s="46" t="s">
        <v>123</v>
      </c>
      <c r="N12608" s="45">
        <v>46016.145833333336</v>
      </c>
      <c r="O12608" s="46" t="s">
        <v>123</v>
      </c>
      <c r="P12608" s="46">
        <v>900.0</v>
      </c>
    </row>
    <row r="12609">
      <c r="A12609" s="40">
        <f t="shared" si="1"/>
        <v>46013</v>
      </c>
      <c r="B12609" s="37" t="str">
        <f t="array" ref="B12609">iferror(xlookup($I12609, 'IMPORT VHC Report'!$E:$E, 'IMPORT VHC Report'!$A:$C), )</f>
        <v/>
      </c>
      <c r="C12609" s="44"/>
      <c r="D12609" s="44"/>
      <c r="E12609" s="46" t="s">
        <v>8631</v>
      </c>
      <c r="F12609" s="46" t="s">
        <v>1132</v>
      </c>
      <c r="G12609" s="46">
        <v>3.61964324516E11</v>
      </c>
      <c r="H12609" s="46" t="s">
        <v>1133</v>
      </c>
      <c r="I12609" s="46" t="s">
        <v>1134</v>
      </c>
      <c r="J12609" s="46" t="s">
        <v>178</v>
      </c>
      <c r="K12609" s="46" t="s">
        <v>153</v>
      </c>
      <c r="L12609" s="45">
        <v>46016.833333333336</v>
      </c>
      <c r="M12609" s="46" t="s">
        <v>123</v>
      </c>
      <c r="N12609" s="45">
        <v>46017.208333333336</v>
      </c>
      <c r="O12609" s="46" t="s">
        <v>123</v>
      </c>
      <c r="P12609" s="46">
        <v>32400.0</v>
      </c>
      <c r="Q12609" s="46">
        <v>32400.0</v>
      </c>
    </row>
    <row r="12610">
      <c r="A12610" s="40">
        <f t="shared" si="1"/>
        <v>46013</v>
      </c>
      <c r="B12610" s="37" t="str">
        <f t="array" ref="B12610">iferror(xlookup($I12610, 'IMPORT VHC Report'!$E:$E, 'IMPORT VHC Report'!$A:$C), )</f>
        <v/>
      </c>
      <c r="C12610" s="44"/>
      <c r="D12610" s="44"/>
      <c r="E12610" s="46" t="s">
        <v>8632</v>
      </c>
      <c r="F12610" s="46" t="s">
        <v>1132</v>
      </c>
      <c r="G12610" s="46">
        <v>3.61964324516E11</v>
      </c>
      <c r="H12610" s="46" t="s">
        <v>1133</v>
      </c>
      <c r="I12610" s="46" t="s">
        <v>1134</v>
      </c>
      <c r="J12610" s="46" t="s">
        <v>224</v>
      </c>
      <c r="K12610" s="46" t="s">
        <v>63</v>
      </c>
      <c r="L12610" s="45">
        <v>46016.833333333336</v>
      </c>
      <c r="M12610" s="46" t="s">
        <v>123</v>
      </c>
      <c r="N12610" s="45">
        <v>46017.208333333336</v>
      </c>
      <c r="O12610" s="46" t="s">
        <v>123</v>
      </c>
      <c r="P12610" s="46">
        <v>32400.0</v>
      </c>
    </row>
    <row r="12611">
      <c r="A12611" s="40">
        <f t="shared" si="1"/>
        <v>46013</v>
      </c>
      <c r="B12611" s="37" t="str">
        <f t="array" ref="B12611">iferror(xlookup($I12611, 'IMPORT VHC Report'!$E:$E, 'IMPORT VHC Report'!$A:$C), )</f>
        <v/>
      </c>
      <c r="C12611" s="44"/>
      <c r="D12611" s="44"/>
      <c r="E12611" s="46" t="s">
        <v>8633</v>
      </c>
      <c r="F12611" s="46" t="s">
        <v>1132</v>
      </c>
      <c r="G12611" s="46">
        <v>3.61964324516E11</v>
      </c>
      <c r="H12611" s="46" t="s">
        <v>1133</v>
      </c>
      <c r="I12611" s="46" t="s">
        <v>1134</v>
      </c>
      <c r="J12611" s="46" t="s">
        <v>132</v>
      </c>
      <c r="K12611" s="46" t="s">
        <v>126</v>
      </c>
      <c r="L12611" s="45">
        <v>46016.947916666664</v>
      </c>
      <c r="M12611" s="46" t="s">
        <v>123</v>
      </c>
      <c r="N12611" s="45">
        <v>46016.989583333336</v>
      </c>
      <c r="O12611" s="46" t="s">
        <v>123</v>
      </c>
      <c r="P12611" s="46">
        <v>3600.0</v>
      </c>
    </row>
    <row r="12612">
      <c r="A12612" s="40">
        <f t="shared" si="1"/>
        <v>46013</v>
      </c>
      <c r="B12612" s="37" t="str">
        <f t="array" ref="B12612">iferror(xlookup($I12612, 'IMPORT VHC Report'!$E:$E, 'IMPORT VHC Report'!$A:$C), )</f>
        <v/>
      </c>
      <c r="C12612" s="44"/>
      <c r="D12612" s="44"/>
      <c r="E12612" s="46" t="s">
        <v>8634</v>
      </c>
      <c r="F12612" s="46" t="s">
        <v>1132</v>
      </c>
      <c r="G12612" s="46">
        <v>3.61964324516E11</v>
      </c>
      <c r="H12612" s="46" t="s">
        <v>1133</v>
      </c>
      <c r="I12612" s="46" t="s">
        <v>1134</v>
      </c>
      <c r="J12612" s="46" t="s">
        <v>134</v>
      </c>
      <c r="K12612" s="46" t="s">
        <v>126</v>
      </c>
      <c r="L12612" s="45">
        <v>46017.052083333336</v>
      </c>
      <c r="M12612" s="46" t="s">
        <v>123</v>
      </c>
      <c r="N12612" s="45">
        <v>46017.0625</v>
      </c>
      <c r="O12612" s="46" t="s">
        <v>123</v>
      </c>
      <c r="P12612" s="46">
        <v>900.0</v>
      </c>
    </row>
    <row r="12613">
      <c r="A12613" s="40">
        <f t="shared" si="1"/>
        <v>46013</v>
      </c>
      <c r="B12613" s="37" t="str">
        <f t="array" ref="B12613">iferror(xlookup($I12613, 'IMPORT VHC Report'!$E:$E, 'IMPORT VHC Report'!$A:$C), )</f>
        <v/>
      </c>
      <c r="C12613" s="44"/>
      <c r="D12613" s="44"/>
      <c r="E12613" s="46" t="s">
        <v>8635</v>
      </c>
      <c r="F12613" s="46" t="s">
        <v>1132</v>
      </c>
      <c r="G12613" s="46">
        <v>3.61964324516E11</v>
      </c>
      <c r="H12613" s="46" t="s">
        <v>1133</v>
      </c>
      <c r="I12613" s="46" t="s">
        <v>1134</v>
      </c>
      <c r="J12613" s="46" t="s">
        <v>134</v>
      </c>
      <c r="K12613" s="46" t="s">
        <v>126</v>
      </c>
      <c r="L12613" s="45">
        <v>46017.135416666664</v>
      </c>
      <c r="M12613" s="46" t="s">
        <v>123</v>
      </c>
      <c r="N12613" s="45">
        <v>46017.145833333336</v>
      </c>
      <c r="O12613" s="46" t="s">
        <v>123</v>
      </c>
      <c r="P12613" s="46">
        <v>900.0</v>
      </c>
    </row>
    <row r="12614">
      <c r="A12614" s="40">
        <f t="shared" si="1"/>
        <v>46013</v>
      </c>
      <c r="B12614" s="37" t="str">
        <f t="array" ref="B12614">iferror(xlookup($I12614, 'IMPORT VHC Report'!$E:$E, 'IMPORT VHC Report'!$A:$C), )</f>
        <v/>
      </c>
      <c r="C12614" s="44"/>
      <c r="D12614" s="44"/>
      <c r="E12614" s="46" t="s">
        <v>8636</v>
      </c>
      <c r="F12614" s="46" t="s">
        <v>1132</v>
      </c>
      <c r="G12614" s="46">
        <v>3.61964324516E11</v>
      </c>
      <c r="H12614" s="46" t="s">
        <v>1133</v>
      </c>
      <c r="I12614" s="46" t="s">
        <v>1134</v>
      </c>
      <c r="J12614" s="46" t="s">
        <v>224</v>
      </c>
      <c r="K12614" s="46" t="s">
        <v>63</v>
      </c>
      <c r="L12614" s="45">
        <v>46019.833333333336</v>
      </c>
      <c r="M12614" s="46" t="s">
        <v>123</v>
      </c>
      <c r="N12614" s="45">
        <v>46020.208333333336</v>
      </c>
      <c r="O12614" s="46" t="s">
        <v>123</v>
      </c>
      <c r="P12614" s="46">
        <v>32400.0</v>
      </c>
    </row>
    <row r="12615">
      <c r="A12615" s="40">
        <f t="shared" si="1"/>
        <v>46013</v>
      </c>
      <c r="B12615" s="37" t="str">
        <f t="array" ref="B12615">iferror(xlookup($I12615, 'IMPORT VHC Report'!$E:$E, 'IMPORT VHC Report'!$A:$C), )</f>
        <v/>
      </c>
      <c r="C12615" s="44"/>
      <c r="D12615" s="44"/>
      <c r="E12615" s="46" t="s">
        <v>8637</v>
      </c>
      <c r="F12615" s="46" t="s">
        <v>1132</v>
      </c>
      <c r="G12615" s="46">
        <v>3.61964324516E11</v>
      </c>
      <c r="H12615" s="46" t="s">
        <v>1133</v>
      </c>
      <c r="I12615" s="46" t="s">
        <v>1134</v>
      </c>
      <c r="J12615" s="46" t="s">
        <v>125</v>
      </c>
      <c r="K12615" s="46" t="s">
        <v>126</v>
      </c>
      <c r="L12615" s="45">
        <v>46019.88402777778</v>
      </c>
      <c r="M12615" s="46" t="s">
        <v>123</v>
      </c>
      <c r="N12615" s="45">
        <v>46019.89097222222</v>
      </c>
      <c r="O12615" s="46" t="s">
        <v>123</v>
      </c>
      <c r="P12615" s="46">
        <v>600.0</v>
      </c>
    </row>
    <row r="12616">
      <c r="A12616" s="40">
        <f t="shared" si="1"/>
        <v>46013</v>
      </c>
      <c r="B12616" s="37" t="str">
        <f t="array" ref="B12616">iferror(xlookup($I12616, 'IMPORT VHC Report'!$E:$E, 'IMPORT VHC Report'!$A:$C), )</f>
        <v/>
      </c>
      <c r="C12616" s="44"/>
      <c r="D12616" s="44"/>
      <c r="E12616" s="46" t="s">
        <v>8638</v>
      </c>
      <c r="F12616" s="46" t="s">
        <v>1132</v>
      </c>
      <c r="G12616" s="46">
        <v>3.61964324516E11</v>
      </c>
      <c r="H12616" s="46" t="s">
        <v>1133</v>
      </c>
      <c r="I12616" s="46" t="s">
        <v>1134</v>
      </c>
      <c r="J12616" s="46" t="s">
        <v>125</v>
      </c>
      <c r="K12616" s="46" t="s">
        <v>126</v>
      </c>
      <c r="L12616" s="45">
        <v>46019.896527777775</v>
      </c>
      <c r="M12616" s="46" t="s">
        <v>123</v>
      </c>
      <c r="N12616" s="45">
        <v>46019.902083333334</v>
      </c>
      <c r="O12616" s="46" t="s">
        <v>123</v>
      </c>
      <c r="P12616" s="46">
        <v>480.0</v>
      </c>
    </row>
    <row r="12617">
      <c r="A12617" s="40">
        <f t="shared" si="1"/>
        <v>46013</v>
      </c>
      <c r="B12617" s="37" t="str">
        <f t="array" ref="B12617">iferror(xlookup($I12617, 'IMPORT VHC Report'!$E:$E, 'IMPORT VHC Report'!$A:$C), )</f>
        <v/>
      </c>
      <c r="C12617" s="44"/>
      <c r="D12617" s="44"/>
      <c r="E12617" s="46" t="s">
        <v>8639</v>
      </c>
      <c r="F12617" s="46" t="s">
        <v>1132</v>
      </c>
      <c r="G12617" s="46">
        <v>3.61964324516E11</v>
      </c>
      <c r="H12617" s="46" t="s">
        <v>1133</v>
      </c>
      <c r="I12617" s="46" t="s">
        <v>1134</v>
      </c>
      <c r="J12617" s="46" t="s">
        <v>125</v>
      </c>
      <c r="K12617" s="46" t="s">
        <v>126</v>
      </c>
      <c r="L12617" s="45">
        <v>46019.9125</v>
      </c>
      <c r="M12617" s="46" t="s">
        <v>123</v>
      </c>
      <c r="N12617" s="45">
        <v>46019.91527777778</v>
      </c>
      <c r="O12617" s="46" t="s">
        <v>123</v>
      </c>
      <c r="P12617" s="46">
        <v>240.0</v>
      </c>
    </row>
    <row r="12618">
      <c r="A12618" s="40">
        <f t="shared" si="1"/>
        <v>46013</v>
      </c>
      <c r="B12618" s="37" t="str">
        <f t="array" ref="B12618">iferror(xlookup($I12618, 'IMPORT VHC Report'!$E:$E, 'IMPORT VHC Report'!$A:$C), )</f>
        <v/>
      </c>
      <c r="C12618" s="44"/>
      <c r="D12618" s="44"/>
      <c r="E12618" s="46" t="s">
        <v>8640</v>
      </c>
      <c r="F12618" s="46" t="s">
        <v>1132</v>
      </c>
      <c r="G12618" s="46">
        <v>3.61964324516E11</v>
      </c>
      <c r="H12618" s="46" t="s">
        <v>1133</v>
      </c>
      <c r="I12618" s="46" t="s">
        <v>1134</v>
      </c>
      <c r="J12618" s="46" t="s">
        <v>125</v>
      </c>
      <c r="K12618" s="46" t="s">
        <v>126</v>
      </c>
      <c r="L12618" s="45">
        <v>46019.919444444444</v>
      </c>
      <c r="M12618" s="46" t="s">
        <v>123</v>
      </c>
      <c r="N12618" s="45">
        <v>46019.92083333333</v>
      </c>
      <c r="O12618" s="46" t="s">
        <v>123</v>
      </c>
      <c r="P12618" s="46">
        <v>120.0</v>
      </c>
    </row>
    <row r="12619">
      <c r="A12619" s="40">
        <f t="shared" si="1"/>
        <v>46013</v>
      </c>
      <c r="B12619" s="37" t="str">
        <f t="array" ref="B12619">iferror(xlookup($I12619, 'IMPORT VHC Report'!$E:$E, 'IMPORT VHC Report'!$A:$C), )</f>
        <v/>
      </c>
      <c r="C12619" s="44"/>
      <c r="D12619" s="44"/>
      <c r="E12619" s="46" t="s">
        <v>8641</v>
      </c>
      <c r="F12619" s="46" t="s">
        <v>1132</v>
      </c>
      <c r="G12619" s="46">
        <v>3.61964324516E11</v>
      </c>
      <c r="H12619" s="46" t="s">
        <v>1133</v>
      </c>
      <c r="I12619" s="46" t="s">
        <v>1134</v>
      </c>
      <c r="J12619" s="46" t="s">
        <v>125</v>
      </c>
      <c r="K12619" s="46" t="s">
        <v>126</v>
      </c>
      <c r="L12619" s="45">
        <v>46019.933333333334</v>
      </c>
      <c r="M12619" s="46" t="s">
        <v>123</v>
      </c>
      <c r="N12619" s="45">
        <v>46019.93541666667</v>
      </c>
      <c r="O12619" s="46" t="s">
        <v>123</v>
      </c>
      <c r="P12619" s="46">
        <v>180.0</v>
      </c>
    </row>
    <row r="12620">
      <c r="A12620" s="40">
        <f t="shared" si="1"/>
        <v>46013</v>
      </c>
      <c r="B12620" s="37" t="str">
        <f t="array" ref="B12620">iferror(xlookup($I12620, 'IMPORT VHC Report'!$E:$E, 'IMPORT VHC Report'!$A:$C), )</f>
        <v/>
      </c>
      <c r="C12620" s="44"/>
      <c r="D12620" s="44"/>
      <c r="E12620" s="46" t="s">
        <v>8642</v>
      </c>
      <c r="F12620" s="46" t="s">
        <v>1132</v>
      </c>
      <c r="G12620" s="46">
        <v>3.61964324516E11</v>
      </c>
      <c r="H12620" s="46" t="s">
        <v>1133</v>
      </c>
      <c r="I12620" s="46" t="s">
        <v>1134</v>
      </c>
      <c r="J12620" s="46" t="s">
        <v>134</v>
      </c>
      <c r="K12620" s="46" t="s">
        <v>126</v>
      </c>
      <c r="L12620" s="45">
        <v>46019.9375</v>
      </c>
      <c r="M12620" s="46" t="s">
        <v>123</v>
      </c>
      <c r="N12620" s="45">
        <v>46019.947916666664</v>
      </c>
      <c r="O12620" s="46" t="s">
        <v>123</v>
      </c>
      <c r="P12620" s="46">
        <v>900.0</v>
      </c>
    </row>
    <row r="12621">
      <c r="A12621" s="40">
        <f t="shared" si="1"/>
        <v>46013</v>
      </c>
      <c r="B12621" s="37" t="str">
        <f t="array" ref="B12621">iferror(xlookup($I12621, 'IMPORT VHC Report'!$E:$E, 'IMPORT VHC Report'!$A:$C), )</f>
        <v/>
      </c>
      <c r="C12621" s="44"/>
      <c r="D12621" s="44"/>
      <c r="E12621" s="46" t="s">
        <v>8643</v>
      </c>
      <c r="F12621" s="46" t="s">
        <v>1132</v>
      </c>
      <c r="G12621" s="46">
        <v>3.61964324516E11</v>
      </c>
      <c r="H12621" s="46" t="s">
        <v>1133</v>
      </c>
      <c r="I12621" s="46" t="s">
        <v>1134</v>
      </c>
      <c r="J12621" s="46" t="s">
        <v>125</v>
      </c>
      <c r="K12621" s="46" t="s">
        <v>126</v>
      </c>
      <c r="L12621" s="45">
        <v>46019.979166666664</v>
      </c>
      <c r="M12621" s="46" t="s">
        <v>123</v>
      </c>
      <c r="N12621" s="45">
        <v>46019.99791666667</v>
      </c>
      <c r="O12621" s="46" t="s">
        <v>123</v>
      </c>
      <c r="P12621" s="46">
        <v>1620.0</v>
      </c>
    </row>
    <row r="12622">
      <c r="A12622" s="40">
        <f t="shared" si="1"/>
        <v>46006</v>
      </c>
      <c r="B12622" s="37" t="str">
        <f t="array" ref="B12622">iferror(xlookup($I12622, 'IMPORT VHC Report'!$E:$E, 'IMPORT VHC Report'!$A:$C), )</f>
        <v/>
      </c>
      <c r="C12622" s="44"/>
      <c r="D12622" s="44"/>
      <c r="E12622" s="46" t="s">
        <v>878</v>
      </c>
      <c r="F12622" s="46" t="s">
        <v>837</v>
      </c>
      <c r="G12622" s="46">
        <v>7.235417174415E12</v>
      </c>
      <c r="H12622" s="46" t="s">
        <v>838</v>
      </c>
      <c r="I12622" s="46" t="s">
        <v>839</v>
      </c>
      <c r="J12622" s="46" t="s">
        <v>224</v>
      </c>
      <c r="K12622" s="46" t="s">
        <v>63</v>
      </c>
      <c r="L12622" s="45">
        <v>46012.916666666664</v>
      </c>
      <c r="M12622" s="46" t="s">
        <v>123</v>
      </c>
      <c r="N12622" s="45">
        <v>46013.291666666664</v>
      </c>
      <c r="O12622" s="46" t="s">
        <v>123</v>
      </c>
      <c r="P12622" s="46">
        <v>32400.0</v>
      </c>
    </row>
    <row r="12623">
      <c r="A12623" s="40">
        <f t="shared" si="1"/>
        <v>46013</v>
      </c>
      <c r="B12623" s="37" t="str">
        <f t="array" ref="B12623">iferror(xlookup($I12623, 'IMPORT VHC Report'!$E:$E, 'IMPORT VHC Report'!$A:$C), )</f>
        <v/>
      </c>
      <c r="C12623" s="44"/>
      <c r="D12623" s="44"/>
      <c r="E12623" s="46" t="s">
        <v>8644</v>
      </c>
      <c r="F12623" s="46" t="s">
        <v>837</v>
      </c>
      <c r="G12623" s="46">
        <v>7.235417174415E12</v>
      </c>
      <c r="H12623" s="46" t="s">
        <v>838</v>
      </c>
      <c r="I12623" s="46" t="s">
        <v>839</v>
      </c>
      <c r="J12623" s="46" t="s">
        <v>132</v>
      </c>
      <c r="K12623" s="46" t="s">
        <v>126</v>
      </c>
      <c r="L12623" s="45">
        <v>46013.020833333336</v>
      </c>
      <c r="M12623" s="46" t="s">
        <v>123</v>
      </c>
      <c r="N12623" s="45">
        <v>46013.0625</v>
      </c>
      <c r="O12623" s="46" t="s">
        <v>123</v>
      </c>
      <c r="P12623" s="46">
        <v>3600.0</v>
      </c>
    </row>
    <row r="12624">
      <c r="A12624" s="40">
        <f t="shared" si="1"/>
        <v>46013</v>
      </c>
      <c r="B12624" s="37" t="str">
        <f t="array" ref="B12624">iferror(xlookup($I12624, 'IMPORT VHC Report'!$E:$E, 'IMPORT VHC Report'!$A:$C), )</f>
        <v/>
      </c>
      <c r="C12624" s="44"/>
      <c r="D12624" s="44"/>
      <c r="E12624" s="46" t="s">
        <v>8645</v>
      </c>
      <c r="F12624" s="46" t="s">
        <v>837</v>
      </c>
      <c r="G12624" s="46">
        <v>7.235417174415E12</v>
      </c>
      <c r="H12624" s="46" t="s">
        <v>838</v>
      </c>
      <c r="I12624" s="46" t="s">
        <v>839</v>
      </c>
      <c r="J12624" s="46" t="s">
        <v>134</v>
      </c>
      <c r="K12624" s="46" t="s">
        <v>126</v>
      </c>
      <c r="L12624" s="45">
        <v>46013.125</v>
      </c>
      <c r="M12624" s="46" t="s">
        <v>123</v>
      </c>
      <c r="N12624" s="45">
        <v>46013.135416666664</v>
      </c>
      <c r="O12624" s="46" t="s">
        <v>123</v>
      </c>
      <c r="P12624" s="46">
        <v>900.0</v>
      </c>
    </row>
    <row r="12625">
      <c r="A12625" s="40">
        <f t="shared" si="1"/>
        <v>46013</v>
      </c>
      <c r="B12625" s="37" t="str">
        <f t="array" ref="B12625">iferror(xlookup($I12625, 'IMPORT VHC Report'!$E:$E, 'IMPORT VHC Report'!$A:$C), )</f>
        <v/>
      </c>
      <c r="C12625" s="44"/>
      <c r="D12625" s="44"/>
      <c r="E12625" s="46" t="s">
        <v>8646</v>
      </c>
      <c r="F12625" s="46" t="s">
        <v>837</v>
      </c>
      <c r="G12625" s="46">
        <v>7.235417174415E12</v>
      </c>
      <c r="H12625" s="46" t="s">
        <v>838</v>
      </c>
      <c r="I12625" s="46" t="s">
        <v>839</v>
      </c>
      <c r="J12625" s="46" t="s">
        <v>134</v>
      </c>
      <c r="K12625" s="46" t="s">
        <v>126</v>
      </c>
      <c r="L12625" s="45">
        <v>46013.208333333336</v>
      </c>
      <c r="M12625" s="46" t="s">
        <v>123</v>
      </c>
      <c r="N12625" s="45">
        <v>46013.21875</v>
      </c>
      <c r="O12625" s="46" t="s">
        <v>123</v>
      </c>
      <c r="P12625" s="46">
        <v>900.0</v>
      </c>
    </row>
    <row r="12626">
      <c r="A12626" s="40">
        <f t="shared" si="1"/>
        <v>46013</v>
      </c>
      <c r="B12626" s="37" t="str">
        <f t="array" ref="B12626">iferror(xlookup($I12626, 'IMPORT VHC Report'!$E:$E, 'IMPORT VHC Report'!$A:$C), )</f>
        <v/>
      </c>
      <c r="C12626" s="44"/>
      <c r="D12626" s="44"/>
      <c r="E12626" s="46" t="s">
        <v>8647</v>
      </c>
      <c r="F12626" s="46" t="s">
        <v>837</v>
      </c>
      <c r="G12626" s="46">
        <v>7.235417174415E12</v>
      </c>
      <c r="H12626" s="46" t="s">
        <v>838</v>
      </c>
      <c r="I12626" s="46" t="s">
        <v>839</v>
      </c>
      <c r="J12626" s="46" t="s">
        <v>224</v>
      </c>
      <c r="K12626" s="46" t="s">
        <v>63</v>
      </c>
      <c r="L12626" s="45">
        <v>46013.916666666664</v>
      </c>
      <c r="M12626" s="46" t="s">
        <v>123</v>
      </c>
      <c r="N12626" s="45">
        <v>46014.291666666664</v>
      </c>
      <c r="O12626" s="46" t="s">
        <v>123</v>
      </c>
      <c r="P12626" s="46">
        <v>32400.0</v>
      </c>
    </row>
    <row r="12627">
      <c r="A12627" s="40">
        <f t="shared" si="1"/>
        <v>46013</v>
      </c>
      <c r="B12627" s="37" t="str">
        <f t="array" ref="B12627">iferror(xlookup($I12627, 'IMPORT VHC Report'!$E:$E, 'IMPORT VHC Report'!$A:$C), )</f>
        <v/>
      </c>
      <c r="C12627" s="44"/>
      <c r="D12627" s="44"/>
      <c r="E12627" s="46" t="s">
        <v>8648</v>
      </c>
      <c r="F12627" s="46" t="s">
        <v>837</v>
      </c>
      <c r="G12627" s="46">
        <v>7.235417174415E12</v>
      </c>
      <c r="H12627" s="46" t="s">
        <v>838</v>
      </c>
      <c r="I12627" s="46" t="s">
        <v>839</v>
      </c>
      <c r="J12627" s="46" t="s">
        <v>134</v>
      </c>
      <c r="K12627" s="46" t="s">
        <v>126</v>
      </c>
      <c r="L12627" s="45">
        <v>46014.010416666664</v>
      </c>
      <c r="M12627" s="46" t="s">
        <v>123</v>
      </c>
      <c r="N12627" s="45">
        <v>46014.020833333336</v>
      </c>
      <c r="O12627" s="46" t="s">
        <v>123</v>
      </c>
      <c r="P12627" s="46">
        <v>900.0</v>
      </c>
    </row>
    <row r="12628">
      <c r="A12628" s="40">
        <f t="shared" si="1"/>
        <v>46013</v>
      </c>
      <c r="B12628" s="37" t="str">
        <f t="array" ref="B12628">iferror(xlookup($I12628, 'IMPORT VHC Report'!$E:$E, 'IMPORT VHC Report'!$A:$C), )</f>
        <v/>
      </c>
      <c r="C12628" s="44"/>
      <c r="D12628" s="44"/>
      <c r="E12628" s="46" t="s">
        <v>8649</v>
      </c>
      <c r="F12628" s="46" t="s">
        <v>837</v>
      </c>
      <c r="G12628" s="46">
        <v>7.235417174415E12</v>
      </c>
      <c r="H12628" s="46" t="s">
        <v>838</v>
      </c>
      <c r="I12628" s="46" t="s">
        <v>839</v>
      </c>
      <c r="J12628" s="46" t="s">
        <v>132</v>
      </c>
      <c r="K12628" s="46" t="s">
        <v>126</v>
      </c>
      <c r="L12628" s="45">
        <v>46014.083333333336</v>
      </c>
      <c r="M12628" s="46" t="s">
        <v>123</v>
      </c>
      <c r="N12628" s="45">
        <v>46014.125</v>
      </c>
      <c r="O12628" s="46" t="s">
        <v>123</v>
      </c>
      <c r="P12628" s="46">
        <v>3600.0</v>
      </c>
    </row>
    <row r="12629">
      <c r="A12629" s="40">
        <f t="shared" si="1"/>
        <v>46013</v>
      </c>
      <c r="B12629" s="37" t="str">
        <f t="array" ref="B12629">iferror(xlookup($I12629, 'IMPORT VHC Report'!$E:$E, 'IMPORT VHC Report'!$A:$C), )</f>
        <v/>
      </c>
      <c r="C12629" s="44"/>
      <c r="D12629" s="44"/>
      <c r="E12629" s="46" t="s">
        <v>8650</v>
      </c>
      <c r="F12629" s="46" t="s">
        <v>837</v>
      </c>
      <c r="G12629" s="46">
        <v>7.235417174415E12</v>
      </c>
      <c r="H12629" s="46" t="s">
        <v>838</v>
      </c>
      <c r="I12629" s="46" t="s">
        <v>839</v>
      </c>
      <c r="J12629" s="46" t="s">
        <v>134</v>
      </c>
      <c r="K12629" s="46" t="s">
        <v>126</v>
      </c>
      <c r="L12629" s="45">
        <v>46014.197916666664</v>
      </c>
      <c r="M12629" s="46" t="s">
        <v>123</v>
      </c>
      <c r="N12629" s="45">
        <v>46014.208333333336</v>
      </c>
      <c r="O12629" s="46" t="s">
        <v>123</v>
      </c>
      <c r="P12629" s="46">
        <v>900.0</v>
      </c>
    </row>
    <row r="12630">
      <c r="A12630" s="40">
        <f t="shared" si="1"/>
        <v>46013</v>
      </c>
      <c r="B12630" s="37" t="str">
        <f t="array" ref="B12630">iferror(xlookup($I12630, 'IMPORT VHC Report'!$E:$E, 'IMPORT VHC Report'!$A:$C), )</f>
        <v/>
      </c>
      <c r="C12630" s="44"/>
      <c r="D12630" s="44"/>
      <c r="E12630" s="46" t="s">
        <v>8651</v>
      </c>
      <c r="F12630" s="46" t="s">
        <v>837</v>
      </c>
      <c r="G12630" s="46">
        <v>7.235417174415E12</v>
      </c>
      <c r="H12630" s="46" t="s">
        <v>838</v>
      </c>
      <c r="I12630" s="46" t="s">
        <v>839</v>
      </c>
      <c r="J12630" s="46" t="s">
        <v>136</v>
      </c>
      <c r="K12630" s="46" t="s">
        <v>126</v>
      </c>
      <c r="L12630" s="45">
        <v>46014.270833333336</v>
      </c>
      <c r="M12630" s="46" t="s">
        <v>123</v>
      </c>
      <c r="N12630" s="45">
        <v>46014.291666666664</v>
      </c>
      <c r="O12630" s="46" t="s">
        <v>123</v>
      </c>
      <c r="P12630" s="46">
        <v>1800.0</v>
      </c>
      <c r="S12630" s="46" t="s">
        <v>137</v>
      </c>
    </row>
    <row r="12631">
      <c r="A12631" s="40">
        <f t="shared" si="1"/>
        <v>46013</v>
      </c>
      <c r="B12631" s="37" t="str">
        <f t="array" ref="B12631">iferror(xlookup($I12631, 'IMPORT VHC Report'!$E:$E, 'IMPORT VHC Report'!$A:$C), )</f>
        <v/>
      </c>
      <c r="C12631" s="44"/>
      <c r="D12631" s="44"/>
      <c r="E12631" s="46" t="s">
        <v>8652</v>
      </c>
      <c r="F12631" s="46" t="s">
        <v>837</v>
      </c>
      <c r="G12631" s="46">
        <v>7.235417174415E12</v>
      </c>
      <c r="H12631" s="46" t="s">
        <v>838</v>
      </c>
      <c r="I12631" s="46" t="s">
        <v>839</v>
      </c>
      <c r="J12631" s="46" t="s">
        <v>224</v>
      </c>
      <c r="K12631" s="46" t="s">
        <v>63</v>
      </c>
      <c r="L12631" s="45">
        <v>46014.916666666664</v>
      </c>
      <c r="M12631" s="46" t="s">
        <v>123</v>
      </c>
      <c r="N12631" s="45">
        <v>46015.208333333336</v>
      </c>
      <c r="O12631" s="46" t="s">
        <v>123</v>
      </c>
      <c r="P12631" s="46">
        <v>25200.0</v>
      </c>
    </row>
    <row r="12632">
      <c r="A12632" s="40">
        <f t="shared" si="1"/>
        <v>46013</v>
      </c>
      <c r="B12632" s="37" t="str">
        <f t="array" ref="B12632">iferror(xlookup($I12632, 'IMPORT VHC Report'!$E:$E, 'IMPORT VHC Report'!$A:$C), )</f>
        <v/>
      </c>
      <c r="C12632" s="44"/>
      <c r="D12632" s="44"/>
      <c r="E12632" s="46" t="s">
        <v>8653</v>
      </c>
      <c r="F12632" s="46" t="s">
        <v>837</v>
      </c>
      <c r="G12632" s="46">
        <v>7.235417174415E12</v>
      </c>
      <c r="H12632" s="46" t="s">
        <v>838</v>
      </c>
      <c r="I12632" s="46" t="s">
        <v>839</v>
      </c>
      <c r="J12632" s="46" t="s">
        <v>134</v>
      </c>
      <c r="K12632" s="46" t="s">
        <v>126</v>
      </c>
      <c r="L12632" s="45">
        <v>46015.010416666664</v>
      </c>
      <c r="M12632" s="46" t="s">
        <v>123</v>
      </c>
      <c r="N12632" s="45">
        <v>46015.020833333336</v>
      </c>
      <c r="O12632" s="46" t="s">
        <v>123</v>
      </c>
      <c r="P12632" s="46">
        <v>900.0</v>
      </c>
    </row>
    <row r="12633">
      <c r="A12633" s="40">
        <f t="shared" si="1"/>
        <v>46013</v>
      </c>
      <c r="B12633" s="37" t="str">
        <f t="array" ref="B12633">iferror(xlookup($I12633, 'IMPORT VHC Report'!$E:$E, 'IMPORT VHC Report'!$A:$C), )</f>
        <v/>
      </c>
      <c r="C12633" s="44"/>
      <c r="D12633" s="44"/>
      <c r="E12633" s="46" t="s">
        <v>8654</v>
      </c>
      <c r="F12633" s="46" t="s">
        <v>837</v>
      </c>
      <c r="G12633" s="46">
        <v>7.235417174415E12</v>
      </c>
      <c r="H12633" s="46" t="s">
        <v>838</v>
      </c>
      <c r="I12633" s="46" t="s">
        <v>839</v>
      </c>
      <c r="J12633" s="46" t="s">
        <v>134</v>
      </c>
      <c r="K12633" s="46" t="s">
        <v>126</v>
      </c>
      <c r="L12633" s="45">
        <v>46015.083333333336</v>
      </c>
      <c r="M12633" s="46" t="s">
        <v>123</v>
      </c>
      <c r="N12633" s="45">
        <v>46015.09375</v>
      </c>
      <c r="O12633" s="46" t="s">
        <v>123</v>
      </c>
      <c r="P12633" s="46">
        <v>900.0</v>
      </c>
    </row>
    <row r="12634">
      <c r="A12634" s="40">
        <f t="shared" si="1"/>
        <v>46013</v>
      </c>
      <c r="B12634" s="37" t="str">
        <f t="array" ref="B12634">iferror(xlookup($I12634, 'IMPORT VHC Report'!$E:$E, 'IMPORT VHC Report'!$A:$C), )</f>
        <v/>
      </c>
      <c r="C12634" s="44"/>
      <c r="D12634" s="44"/>
      <c r="E12634" s="46" t="s">
        <v>8655</v>
      </c>
      <c r="F12634" s="46" t="s">
        <v>837</v>
      </c>
      <c r="G12634" s="46">
        <v>7.235417174415E12</v>
      </c>
      <c r="H12634" s="46" t="s">
        <v>838</v>
      </c>
      <c r="I12634" s="46" t="s">
        <v>839</v>
      </c>
      <c r="J12634" s="46" t="s">
        <v>132</v>
      </c>
      <c r="K12634" s="46" t="s">
        <v>126</v>
      </c>
      <c r="L12634" s="45">
        <v>46015.166666666664</v>
      </c>
      <c r="M12634" s="46" t="s">
        <v>123</v>
      </c>
      <c r="N12634" s="45">
        <v>46015.208333333336</v>
      </c>
      <c r="O12634" s="46" t="s">
        <v>123</v>
      </c>
      <c r="P12634" s="46">
        <v>3600.0</v>
      </c>
    </row>
    <row r="12635">
      <c r="A12635" s="40">
        <f t="shared" si="1"/>
        <v>46013</v>
      </c>
      <c r="B12635" s="37" t="str">
        <f t="array" ref="B12635">iferror(xlookup($I12635, 'IMPORT VHC Report'!$E:$E, 'IMPORT VHC Report'!$A:$C), )</f>
        <v/>
      </c>
      <c r="C12635" s="44"/>
      <c r="D12635" s="44"/>
      <c r="E12635" s="46" t="s">
        <v>8656</v>
      </c>
      <c r="F12635" s="46" t="s">
        <v>837</v>
      </c>
      <c r="G12635" s="46">
        <v>7.235417174415E12</v>
      </c>
      <c r="H12635" s="46" t="s">
        <v>838</v>
      </c>
      <c r="I12635" s="46" t="s">
        <v>839</v>
      </c>
      <c r="J12635" s="46" t="s">
        <v>62</v>
      </c>
      <c r="K12635" s="46" t="s">
        <v>63</v>
      </c>
      <c r="L12635" s="45">
        <v>46015.208333333336</v>
      </c>
      <c r="M12635" s="46" t="s">
        <v>123</v>
      </c>
      <c r="N12635" s="45">
        <v>46015.229166666664</v>
      </c>
      <c r="O12635" s="46" t="s">
        <v>123</v>
      </c>
      <c r="P12635" s="46">
        <v>1800.0</v>
      </c>
    </row>
    <row r="12636">
      <c r="A12636" s="40">
        <f t="shared" si="1"/>
        <v>46013</v>
      </c>
      <c r="B12636" s="37" t="str">
        <f t="array" ref="B12636">iferror(xlookup($I12636, 'IMPORT VHC Report'!$E:$E, 'IMPORT VHC Report'!$A:$C), )</f>
        <v/>
      </c>
      <c r="C12636" s="44"/>
      <c r="D12636" s="44"/>
      <c r="E12636" s="46" t="s">
        <v>8657</v>
      </c>
      <c r="F12636" s="46" t="s">
        <v>837</v>
      </c>
      <c r="G12636" s="46">
        <v>7.235417174415E12</v>
      </c>
      <c r="H12636" s="46" t="s">
        <v>838</v>
      </c>
      <c r="I12636" s="46" t="s">
        <v>839</v>
      </c>
      <c r="J12636" s="46" t="s">
        <v>224</v>
      </c>
      <c r="K12636" s="46" t="s">
        <v>63</v>
      </c>
      <c r="L12636" s="45">
        <v>46015.229166666664</v>
      </c>
      <c r="M12636" s="46" t="s">
        <v>123</v>
      </c>
      <c r="N12636" s="45">
        <v>46015.291666666664</v>
      </c>
      <c r="O12636" s="46" t="s">
        <v>123</v>
      </c>
      <c r="P12636" s="46">
        <v>5400.0</v>
      </c>
    </row>
    <row r="12637">
      <c r="A12637" s="40">
        <f t="shared" si="1"/>
        <v>46013</v>
      </c>
      <c r="B12637" s="37" t="str">
        <f t="array" ref="B12637">iferror(xlookup($I12637, 'IMPORT VHC Report'!$E:$E, 'IMPORT VHC Report'!$A:$C), )</f>
        <v/>
      </c>
      <c r="C12637" s="44"/>
      <c r="D12637" s="44"/>
      <c r="E12637" s="46" t="s">
        <v>8658</v>
      </c>
      <c r="F12637" s="46" t="s">
        <v>837</v>
      </c>
      <c r="G12637" s="46">
        <v>7.235417174415E12</v>
      </c>
      <c r="H12637" s="46" t="s">
        <v>838</v>
      </c>
      <c r="I12637" s="46" t="s">
        <v>839</v>
      </c>
      <c r="J12637" s="46" t="s">
        <v>330</v>
      </c>
      <c r="K12637" s="46" t="s">
        <v>126</v>
      </c>
      <c r="L12637" s="45">
        <v>46015.25</v>
      </c>
      <c r="M12637" s="46" t="s">
        <v>123</v>
      </c>
      <c r="N12637" s="45">
        <v>46015.291666666664</v>
      </c>
      <c r="O12637" s="46" t="s">
        <v>123</v>
      </c>
      <c r="P12637" s="46">
        <v>3600.0</v>
      </c>
    </row>
    <row r="12638">
      <c r="A12638" s="40">
        <f t="shared" si="1"/>
        <v>46013</v>
      </c>
      <c r="B12638" s="37" t="str">
        <f t="array" ref="B12638">iferror(xlookup($I12638, 'IMPORT VHC Report'!$E:$E, 'IMPORT VHC Report'!$A:$C), )</f>
        <v/>
      </c>
      <c r="C12638" s="44"/>
      <c r="D12638" s="44"/>
      <c r="E12638" s="46" t="s">
        <v>8659</v>
      </c>
      <c r="F12638" s="46" t="s">
        <v>837</v>
      </c>
      <c r="G12638" s="46">
        <v>7.235417174415E12</v>
      </c>
      <c r="H12638" s="46" t="s">
        <v>838</v>
      </c>
      <c r="I12638" s="46" t="s">
        <v>839</v>
      </c>
      <c r="J12638" s="46" t="s">
        <v>330</v>
      </c>
      <c r="K12638" s="46" t="s">
        <v>126</v>
      </c>
      <c r="L12638" s="45">
        <v>46017.916666666664</v>
      </c>
      <c r="M12638" s="46" t="s">
        <v>123</v>
      </c>
      <c r="N12638" s="45">
        <v>46017.927083333336</v>
      </c>
      <c r="O12638" s="46" t="s">
        <v>123</v>
      </c>
      <c r="P12638" s="46">
        <v>900.0</v>
      </c>
    </row>
    <row r="12639">
      <c r="A12639" s="40">
        <f t="shared" si="1"/>
        <v>46013</v>
      </c>
      <c r="B12639" s="37" t="str">
        <f t="array" ref="B12639">iferror(xlookup($I12639, 'IMPORT VHC Report'!$E:$E, 'IMPORT VHC Report'!$A:$C), )</f>
        <v/>
      </c>
      <c r="C12639" s="44"/>
      <c r="D12639" s="44"/>
      <c r="E12639" s="46" t="s">
        <v>8660</v>
      </c>
      <c r="F12639" s="46" t="s">
        <v>837</v>
      </c>
      <c r="G12639" s="46">
        <v>7.235417174415E12</v>
      </c>
      <c r="H12639" s="46" t="s">
        <v>838</v>
      </c>
      <c r="I12639" s="46" t="s">
        <v>839</v>
      </c>
      <c r="J12639" s="46" t="s">
        <v>224</v>
      </c>
      <c r="K12639" s="46" t="s">
        <v>63</v>
      </c>
      <c r="L12639" s="45">
        <v>46017.927083333336</v>
      </c>
      <c r="M12639" s="46" t="s">
        <v>123</v>
      </c>
      <c r="N12639" s="45">
        <v>46018.291666666664</v>
      </c>
      <c r="O12639" s="46" t="s">
        <v>123</v>
      </c>
      <c r="P12639" s="46">
        <v>31500.0</v>
      </c>
    </row>
    <row r="12640">
      <c r="A12640" s="40">
        <f t="shared" si="1"/>
        <v>46013</v>
      </c>
      <c r="B12640" s="37" t="str">
        <f t="array" ref="B12640">iferror(xlookup($I12640, 'IMPORT VHC Report'!$E:$E, 'IMPORT VHC Report'!$A:$C), )</f>
        <v/>
      </c>
      <c r="C12640" s="44"/>
      <c r="D12640" s="44"/>
      <c r="E12640" s="46" t="s">
        <v>8661</v>
      </c>
      <c r="F12640" s="46" t="s">
        <v>837</v>
      </c>
      <c r="G12640" s="46">
        <v>7.235417174415E12</v>
      </c>
      <c r="H12640" s="46" t="s">
        <v>838</v>
      </c>
      <c r="I12640" s="46" t="s">
        <v>839</v>
      </c>
      <c r="J12640" s="46" t="s">
        <v>134</v>
      </c>
      <c r="K12640" s="46" t="s">
        <v>126</v>
      </c>
      <c r="L12640" s="45">
        <v>46018.020833333336</v>
      </c>
      <c r="M12640" s="46" t="s">
        <v>123</v>
      </c>
      <c r="N12640" s="45">
        <v>46018.03125</v>
      </c>
      <c r="O12640" s="46" t="s">
        <v>123</v>
      </c>
      <c r="P12640" s="46">
        <v>900.0</v>
      </c>
    </row>
    <row r="12641">
      <c r="A12641" s="40">
        <f t="shared" si="1"/>
        <v>46013</v>
      </c>
      <c r="B12641" s="37" t="str">
        <f t="array" ref="B12641">iferror(xlookup($I12641, 'IMPORT VHC Report'!$E:$E, 'IMPORT VHC Report'!$A:$C), )</f>
        <v/>
      </c>
      <c r="C12641" s="44"/>
      <c r="D12641" s="44"/>
      <c r="E12641" s="46" t="s">
        <v>8662</v>
      </c>
      <c r="F12641" s="46" t="s">
        <v>837</v>
      </c>
      <c r="G12641" s="46">
        <v>7.235417174415E12</v>
      </c>
      <c r="H12641" s="46" t="s">
        <v>838</v>
      </c>
      <c r="I12641" s="46" t="s">
        <v>839</v>
      </c>
      <c r="J12641" s="46" t="s">
        <v>132</v>
      </c>
      <c r="K12641" s="46" t="s">
        <v>126</v>
      </c>
      <c r="L12641" s="45">
        <v>46018.104166666664</v>
      </c>
      <c r="M12641" s="46" t="s">
        <v>123</v>
      </c>
      <c r="N12641" s="45">
        <v>46018.145833333336</v>
      </c>
      <c r="O12641" s="46" t="s">
        <v>123</v>
      </c>
      <c r="P12641" s="46">
        <v>3600.0</v>
      </c>
    </row>
    <row r="12642">
      <c r="A12642" s="40">
        <f t="shared" si="1"/>
        <v>46013</v>
      </c>
      <c r="B12642" s="37" t="str">
        <f t="array" ref="B12642">iferror(xlookup($I12642, 'IMPORT VHC Report'!$E:$E, 'IMPORT VHC Report'!$A:$C), )</f>
        <v/>
      </c>
      <c r="C12642" s="44"/>
      <c r="D12642" s="44"/>
      <c r="E12642" s="46" t="s">
        <v>8663</v>
      </c>
      <c r="F12642" s="46" t="s">
        <v>837</v>
      </c>
      <c r="G12642" s="46">
        <v>7.235417174415E12</v>
      </c>
      <c r="H12642" s="46" t="s">
        <v>838</v>
      </c>
      <c r="I12642" s="46" t="s">
        <v>839</v>
      </c>
      <c r="J12642" s="46" t="s">
        <v>4</v>
      </c>
      <c r="K12642" s="46" t="s">
        <v>126</v>
      </c>
      <c r="L12642" s="45">
        <v>46018.145833333336</v>
      </c>
      <c r="M12642" s="46" t="s">
        <v>123</v>
      </c>
      <c r="N12642" s="45">
        <v>46018.15625</v>
      </c>
      <c r="O12642" s="46" t="s">
        <v>123</v>
      </c>
      <c r="P12642" s="46">
        <v>900.0</v>
      </c>
      <c r="S12642" s="46" t="s">
        <v>8664</v>
      </c>
    </row>
    <row r="12643">
      <c r="A12643" s="40">
        <f t="shared" si="1"/>
        <v>46013</v>
      </c>
      <c r="B12643" s="37" t="str">
        <f t="array" ref="B12643">iferror(xlookup($I12643, 'IMPORT VHC Report'!$E:$E, 'IMPORT VHC Report'!$A:$C), )</f>
        <v/>
      </c>
      <c r="C12643" s="44"/>
      <c r="D12643" s="44"/>
      <c r="E12643" s="46" t="s">
        <v>8665</v>
      </c>
      <c r="F12643" s="46" t="s">
        <v>837</v>
      </c>
      <c r="G12643" s="46">
        <v>7.235417174415E12</v>
      </c>
      <c r="H12643" s="46" t="s">
        <v>838</v>
      </c>
      <c r="I12643" s="46" t="s">
        <v>839</v>
      </c>
      <c r="J12643" s="46" t="s">
        <v>4</v>
      </c>
      <c r="K12643" s="46" t="s">
        <v>126</v>
      </c>
      <c r="L12643" s="45">
        <v>46018.15625</v>
      </c>
      <c r="M12643" s="46" t="s">
        <v>123</v>
      </c>
      <c r="N12643" s="45">
        <v>46018.166666666664</v>
      </c>
      <c r="O12643" s="46" t="s">
        <v>123</v>
      </c>
      <c r="P12643" s="46">
        <v>900.0</v>
      </c>
      <c r="S12643" s="46" t="s">
        <v>8666</v>
      </c>
    </row>
    <row r="12644">
      <c r="A12644" s="40">
        <f t="shared" si="1"/>
        <v>46013</v>
      </c>
      <c r="B12644" s="37" t="str">
        <f t="array" ref="B12644">iferror(xlookup($I12644, 'IMPORT VHC Report'!$E:$E, 'IMPORT VHC Report'!$A:$C), )</f>
        <v/>
      </c>
      <c r="C12644" s="44"/>
      <c r="D12644" s="44"/>
      <c r="E12644" s="46" t="s">
        <v>8667</v>
      </c>
      <c r="F12644" s="46" t="s">
        <v>837</v>
      </c>
      <c r="G12644" s="46">
        <v>7.235417174415E12</v>
      </c>
      <c r="H12644" s="46" t="s">
        <v>838</v>
      </c>
      <c r="I12644" s="46" t="s">
        <v>839</v>
      </c>
      <c r="J12644" s="46" t="s">
        <v>4</v>
      </c>
      <c r="K12644" s="46" t="s">
        <v>126</v>
      </c>
      <c r="L12644" s="45">
        <v>46018.166666666664</v>
      </c>
      <c r="M12644" s="46" t="s">
        <v>123</v>
      </c>
      <c r="N12644" s="45">
        <v>46018.177083333336</v>
      </c>
      <c r="O12644" s="46" t="s">
        <v>123</v>
      </c>
      <c r="P12644" s="46">
        <v>900.0</v>
      </c>
      <c r="S12644" s="46" t="s">
        <v>8668</v>
      </c>
    </row>
    <row r="12645">
      <c r="A12645" s="40">
        <f t="shared" si="1"/>
        <v>46013</v>
      </c>
      <c r="B12645" s="37" t="str">
        <f t="array" ref="B12645">iferror(xlookup($I12645, 'IMPORT VHC Report'!$E:$E, 'IMPORT VHC Report'!$A:$C), )</f>
        <v/>
      </c>
      <c r="C12645" s="44"/>
      <c r="D12645" s="44"/>
      <c r="E12645" s="46" t="s">
        <v>8669</v>
      </c>
      <c r="F12645" s="46" t="s">
        <v>837</v>
      </c>
      <c r="G12645" s="46">
        <v>7.235417174415E12</v>
      </c>
      <c r="H12645" s="46" t="s">
        <v>838</v>
      </c>
      <c r="I12645" s="46" t="s">
        <v>839</v>
      </c>
      <c r="J12645" s="46" t="s">
        <v>134</v>
      </c>
      <c r="K12645" s="46" t="s">
        <v>126</v>
      </c>
      <c r="L12645" s="45">
        <v>46018.208333333336</v>
      </c>
      <c r="M12645" s="46" t="s">
        <v>123</v>
      </c>
      <c r="N12645" s="45">
        <v>46018.21875</v>
      </c>
      <c r="O12645" s="46" t="s">
        <v>123</v>
      </c>
      <c r="P12645" s="46">
        <v>900.0</v>
      </c>
    </row>
    <row r="12646">
      <c r="A12646" s="40">
        <f t="shared" si="1"/>
        <v>46013</v>
      </c>
      <c r="B12646" s="37" t="str">
        <f t="array" ref="B12646">iferror(xlookup($I12646, 'IMPORT VHC Report'!$E:$E, 'IMPORT VHC Report'!$A:$C), )</f>
        <v/>
      </c>
      <c r="C12646" s="44"/>
      <c r="D12646" s="44"/>
      <c r="E12646" s="46" t="s">
        <v>8670</v>
      </c>
      <c r="F12646" s="46" t="s">
        <v>837</v>
      </c>
      <c r="G12646" s="46">
        <v>7.235417174415E12</v>
      </c>
      <c r="H12646" s="46" t="s">
        <v>838</v>
      </c>
      <c r="I12646" s="46" t="s">
        <v>839</v>
      </c>
      <c r="J12646" s="46" t="s">
        <v>224</v>
      </c>
      <c r="K12646" s="46" t="s">
        <v>63</v>
      </c>
      <c r="L12646" s="45">
        <v>46018.916666666664</v>
      </c>
      <c r="M12646" s="46" t="s">
        <v>123</v>
      </c>
      <c r="N12646" s="45">
        <v>46019.291666666664</v>
      </c>
      <c r="O12646" s="46" t="s">
        <v>123</v>
      </c>
      <c r="P12646" s="46">
        <v>32400.0</v>
      </c>
    </row>
    <row r="12647">
      <c r="A12647" s="40">
        <f t="shared" si="1"/>
        <v>46013</v>
      </c>
      <c r="B12647" s="37" t="str">
        <f t="array" ref="B12647">iferror(xlookup($I12647, 'IMPORT VHC Report'!$E:$E, 'IMPORT VHC Report'!$A:$C), )</f>
        <v/>
      </c>
      <c r="C12647" s="44"/>
      <c r="D12647" s="44"/>
      <c r="E12647" s="46" t="s">
        <v>8671</v>
      </c>
      <c r="F12647" s="46" t="s">
        <v>837</v>
      </c>
      <c r="G12647" s="46">
        <v>7.235417174415E12</v>
      </c>
      <c r="H12647" s="46" t="s">
        <v>838</v>
      </c>
      <c r="I12647" s="46" t="s">
        <v>839</v>
      </c>
      <c r="J12647" s="46" t="s">
        <v>134</v>
      </c>
      <c r="K12647" s="46" t="s">
        <v>126</v>
      </c>
      <c r="L12647" s="45">
        <v>46019.010416666664</v>
      </c>
      <c r="M12647" s="46" t="s">
        <v>123</v>
      </c>
      <c r="N12647" s="45">
        <v>46019.020833333336</v>
      </c>
      <c r="O12647" s="46" t="s">
        <v>123</v>
      </c>
      <c r="P12647" s="46">
        <v>900.0</v>
      </c>
    </row>
    <row r="12648">
      <c r="A12648" s="40">
        <f t="shared" si="1"/>
        <v>46013</v>
      </c>
      <c r="B12648" s="37" t="str">
        <f t="array" ref="B12648">iferror(xlookup($I12648, 'IMPORT VHC Report'!$E:$E, 'IMPORT VHC Report'!$A:$C), )</f>
        <v/>
      </c>
      <c r="C12648" s="44"/>
      <c r="D12648" s="44"/>
      <c r="E12648" s="46" t="s">
        <v>8672</v>
      </c>
      <c r="F12648" s="46" t="s">
        <v>837</v>
      </c>
      <c r="G12648" s="46">
        <v>7.235417174415E12</v>
      </c>
      <c r="H12648" s="46" t="s">
        <v>838</v>
      </c>
      <c r="I12648" s="46" t="s">
        <v>839</v>
      </c>
      <c r="J12648" s="46" t="s">
        <v>132</v>
      </c>
      <c r="K12648" s="46" t="s">
        <v>126</v>
      </c>
      <c r="L12648" s="45">
        <v>46019.104166666664</v>
      </c>
      <c r="M12648" s="46" t="s">
        <v>123</v>
      </c>
      <c r="N12648" s="45">
        <v>46019.145833333336</v>
      </c>
      <c r="O12648" s="46" t="s">
        <v>123</v>
      </c>
      <c r="P12648" s="46">
        <v>3600.0</v>
      </c>
    </row>
    <row r="12649">
      <c r="A12649" s="40">
        <f t="shared" si="1"/>
        <v>46013</v>
      </c>
      <c r="B12649" s="37" t="str">
        <f t="array" ref="B12649">iferror(xlookup($I12649, 'IMPORT VHC Report'!$E:$E, 'IMPORT VHC Report'!$A:$C), )</f>
        <v/>
      </c>
      <c r="C12649" s="44"/>
      <c r="D12649" s="44"/>
      <c r="E12649" s="46" t="s">
        <v>8673</v>
      </c>
      <c r="F12649" s="46" t="s">
        <v>837</v>
      </c>
      <c r="G12649" s="46">
        <v>7.235417174415E12</v>
      </c>
      <c r="H12649" s="46" t="s">
        <v>838</v>
      </c>
      <c r="I12649" s="46" t="s">
        <v>839</v>
      </c>
      <c r="J12649" s="46" t="s">
        <v>134</v>
      </c>
      <c r="K12649" s="46" t="s">
        <v>126</v>
      </c>
      <c r="L12649" s="45">
        <v>46019.21875</v>
      </c>
      <c r="M12649" s="46" t="s">
        <v>123</v>
      </c>
      <c r="N12649" s="45">
        <v>46019.229166666664</v>
      </c>
      <c r="O12649" s="46" t="s">
        <v>123</v>
      </c>
      <c r="P12649" s="46">
        <v>900.0</v>
      </c>
    </row>
    <row r="12650">
      <c r="A12650" s="40">
        <f t="shared" si="1"/>
        <v>46013</v>
      </c>
      <c r="B12650" s="37" t="str">
        <f t="array" ref="B12650">iferror(xlookup($I12650, 'IMPORT VHC Report'!$E:$E, 'IMPORT VHC Report'!$A:$C), )</f>
        <v/>
      </c>
      <c r="C12650" s="44"/>
      <c r="D12650" s="44"/>
      <c r="E12650" s="46" t="s">
        <v>8674</v>
      </c>
      <c r="F12650" s="46" t="s">
        <v>837</v>
      </c>
      <c r="G12650" s="46">
        <v>7.235417174415E12</v>
      </c>
      <c r="H12650" s="46" t="s">
        <v>838</v>
      </c>
      <c r="I12650" s="46" t="s">
        <v>839</v>
      </c>
      <c r="J12650" s="46" t="s">
        <v>224</v>
      </c>
      <c r="K12650" s="46" t="s">
        <v>63</v>
      </c>
      <c r="L12650" s="45">
        <v>46019.916666666664</v>
      </c>
      <c r="M12650" s="46" t="s">
        <v>123</v>
      </c>
      <c r="N12650" s="45">
        <v>46020.041666666664</v>
      </c>
      <c r="O12650" s="46" t="s">
        <v>123</v>
      </c>
      <c r="P12650" s="46">
        <v>10800.0</v>
      </c>
    </row>
    <row r="12651">
      <c r="A12651" s="40">
        <f t="shared" si="1"/>
        <v>46006</v>
      </c>
      <c r="B12651" s="37" t="str">
        <f t="array" ref="B12651">iferror(xlookup($I12651, 'IMPORT VHC Report'!$E:$E, 'IMPORT VHC Report'!$A:$C), )</f>
        <v/>
      </c>
      <c r="C12651" s="44"/>
      <c r="D12651" s="44"/>
      <c r="E12651" s="46" t="s">
        <v>788</v>
      </c>
      <c r="F12651" s="46" t="s">
        <v>753</v>
      </c>
      <c r="G12651" s="46">
        <v>8.904494781967E12</v>
      </c>
      <c r="H12651" s="46" t="s">
        <v>754</v>
      </c>
      <c r="I12651" s="46" t="s">
        <v>755</v>
      </c>
      <c r="J12651" s="46" t="s">
        <v>224</v>
      </c>
      <c r="K12651" s="46" t="s">
        <v>63</v>
      </c>
      <c r="L12651" s="45">
        <v>46012.927083333336</v>
      </c>
      <c r="M12651" s="46" t="s">
        <v>123</v>
      </c>
      <c r="N12651" s="45">
        <v>46013.291666666664</v>
      </c>
      <c r="O12651" s="46" t="s">
        <v>123</v>
      </c>
      <c r="P12651" s="46">
        <v>31500.0</v>
      </c>
    </row>
    <row r="12652">
      <c r="A12652" s="40">
        <f t="shared" si="1"/>
        <v>46013</v>
      </c>
      <c r="B12652" s="37" t="str">
        <f t="array" ref="B12652">iferror(xlookup($I12652, 'IMPORT VHC Report'!$E:$E, 'IMPORT VHC Report'!$A:$C), )</f>
        <v/>
      </c>
      <c r="C12652" s="44"/>
      <c r="D12652" s="44"/>
      <c r="E12652" s="46" t="s">
        <v>8675</v>
      </c>
      <c r="F12652" s="46" t="s">
        <v>753</v>
      </c>
      <c r="G12652" s="46">
        <v>8.904494781967E12</v>
      </c>
      <c r="H12652" s="46" t="s">
        <v>754</v>
      </c>
      <c r="I12652" s="46" t="s">
        <v>755</v>
      </c>
      <c r="J12652" s="46" t="s">
        <v>132</v>
      </c>
      <c r="K12652" s="46" t="s">
        <v>126</v>
      </c>
      <c r="L12652" s="45">
        <v>46013.020833333336</v>
      </c>
      <c r="M12652" s="46" t="s">
        <v>123</v>
      </c>
      <c r="N12652" s="45">
        <v>46013.0625</v>
      </c>
      <c r="O12652" s="46" t="s">
        <v>123</v>
      </c>
      <c r="P12652" s="46">
        <v>3600.0</v>
      </c>
    </row>
    <row r="12653">
      <c r="A12653" s="40">
        <f t="shared" si="1"/>
        <v>46013</v>
      </c>
      <c r="B12653" s="37" t="str">
        <f t="array" ref="B12653">iferror(xlookup($I12653, 'IMPORT VHC Report'!$E:$E, 'IMPORT VHC Report'!$A:$C), )</f>
        <v/>
      </c>
      <c r="C12653" s="44"/>
      <c r="D12653" s="44"/>
      <c r="E12653" s="46" t="s">
        <v>8676</v>
      </c>
      <c r="F12653" s="46" t="s">
        <v>753</v>
      </c>
      <c r="G12653" s="46">
        <v>8.904494781967E12</v>
      </c>
      <c r="H12653" s="46" t="s">
        <v>754</v>
      </c>
      <c r="I12653" s="46" t="s">
        <v>755</v>
      </c>
      <c r="J12653" s="46" t="s">
        <v>134</v>
      </c>
      <c r="K12653" s="46" t="s">
        <v>126</v>
      </c>
      <c r="L12653" s="45">
        <v>46013.12986111111</v>
      </c>
      <c r="M12653" s="46" t="s">
        <v>123</v>
      </c>
      <c r="N12653" s="45">
        <v>46013.14027777778</v>
      </c>
      <c r="O12653" s="46" t="s">
        <v>123</v>
      </c>
      <c r="P12653" s="46">
        <v>900.0</v>
      </c>
    </row>
    <row r="12654">
      <c r="A12654" s="40">
        <f t="shared" si="1"/>
        <v>46013</v>
      </c>
      <c r="B12654" s="37" t="str">
        <f t="array" ref="B12654">iferror(xlookup($I12654, 'IMPORT VHC Report'!$E:$E, 'IMPORT VHC Report'!$A:$C), )</f>
        <v/>
      </c>
      <c r="C12654" s="44"/>
      <c r="D12654" s="44"/>
      <c r="E12654" s="46" t="s">
        <v>8677</v>
      </c>
      <c r="F12654" s="46" t="s">
        <v>753</v>
      </c>
      <c r="G12654" s="46">
        <v>8.904494781967E12</v>
      </c>
      <c r="H12654" s="46" t="s">
        <v>754</v>
      </c>
      <c r="I12654" s="46" t="s">
        <v>755</v>
      </c>
      <c r="J12654" s="46" t="s">
        <v>134</v>
      </c>
      <c r="K12654" s="46" t="s">
        <v>126</v>
      </c>
      <c r="L12654" s="45">
        <v>46013.21875</v>
      </c>
      <c r="M12654" s="46" t="s">
        <v>123</v>
      </c>
      <c r="N12654" s="45">
        <v>46013.229166666664</v>
      </c>
      <c r="O12654" s="46" t="s">
        <v>123</v>
      </c>
      <c r="P12654" s="46">
        <v>900.0</v>
      </c>
    </row>
    <row r="12655">
      <c r="A12655" s="40">
        <f t="shared" si="1"/>
        <v>46013</v>
      </c>
      <c r="B12655" s="37" t="str">
        <f t="array" ref="B12655">iferror(xlookup($I12655, 'IMPORT VHC Report'!$E:$E, 'IMPORT VHC Report'!$A:$C), )</f>
        <v/>
      </c>
      <c r="C12655" s="44"/>
      <c r="D12655" s="44"/>
      <c r="E12655" s="46" t="s">
        <v>8678</v>
      </c>
      <c r="F12655" s="46" t="s">
        <v>753</v>
      </c>
      <c r="G12655" s="46">
        <v>8.904494781967E12</v>
      </c>
      <c r="H12655" s="46" t="s">
        <v>754</v>
      </c>
      <c r="I12655" s="46" t="s">
        <v>755</v>
      </c>
      <c r="J12655" s="46" t="s">
        <v>224</v>
      </c>
      <c r="K12655" s="46" t="s">
        <v>63</v>
      </c>
      <c r="L12655" s="45">
        <v>46013.916666666664</v>
      </c>
      <c r="M12655" s="46" t="s">
        <v>123</v>
      </c>
      <c r="N12655" s="45">
        <v>46014.291666666664</v>
      </c>
      <c r="O12655" s="46" t="s">
        <v>123</v>
      </c>
      <c r="P12655" s="46">
        <v>32400.0</v>
      </c>
    </row>
    <row r="12656">
      <c r="A12656" s="40">
        <f t="shared" si="1"/>
        <v>46013</v>
      </c>
      <c r="B12656" s="37" t="str">
        <f t="array" ref="B12656">iferror(xlookup($I12656, 'IMPORT VHC Report'!$E:$E, 'IMPORT VHC Report'!$A:$C), )</f>
        <v/>
      </c>
      <c r="C12656" s="44"/>
      <c r="D12656" s="44"/>
      <c r="E12656" s="46" t="s">
        <v>8679</v>
      </c>
      <c r="F12656" s="46" t="s">
        <v>753</v>
      </c>
      <c r="G12656" s="46">
        <v>8.904494781967E12</v>
      </c>
      <c r="H12656" s="46" t="s">
        <v>754</v>
      </c>
      <c r="I12656" s="46" t="s">
        <v>755</v>
      </c>
      <c r="J12656" s="46" t="s">
        <v>134</v>
      </c>
      <c r="K12656" s="46" t="s">
        <v>126</v>
      </c>
      <c r="L12656" s="45">
        <v>46014.0</v>
      </c>
      <c r="M12656" s="46" t="s">
        <v>123</v>
      </c>
      <c r="N12656" s="45">
        <v>46014.010416666664</v>
      </c>
      <c r="O12656" s="46" t="s">
        <v>123</v>
      </c>
      <c r="P12656" s="46">
        <v>900.0</v>
      </c>
    </row>
    <row r="12657">
      <c r="A12657" s="40">
        <f t="shared" si="1"/>
        <v>46013</v>
      </c>
      <c r="B12657" s="37" t="str">
        <f t="array" ref="B12657">iferror(xlookup($I12657, 'IMPORT VHC Report'!$E:$E, 'IMPORT VHC Report'!$A:$C), )</f>
        <v/>
      </c>
      <c r="C12657" s="44"/>
      <c r="D12657" s="44"/>
      <c r="E12657" s="46" t="s">
        <v>8680</v>
      </c>
      <c r="F12657" s="46" t="s">
        <v>753</v>
      </c>
      <c r="G12657" s="46">
        <v>8.904494781967E12</v>
      </c>
      <c r="H12657" s="46" t="s">
        <v>754</v>
      </c>
      <c r="I12657" s="46" t="s">
        <v>755</v>
      </c>
      <c r="J12657" s="46" t="s">
        <v>134</v>
      </c>
      <c r="K12657" s="46" t="s">
        <v>126</v>
      </c>
      <c r="L12657" s="45">
        <v>46014.07638888889</v>
      </c>
      <c r="M12657" s="46" t="s">
        <v>123</v>
      </c>
      <c r="N12657" s="45">
        <v>46014.086805555555</v>
      </c>
      <c r="O12657" s="46" t="s">
        <v>123</v>
      </c>
      <c r="P12657" s="46">
        <v>900.0</v>
      </c>
    </row>
    <row r="12658">
      <c r="A12658" s="40">
        <f t="shared" si="1"/>
        <v>46013</v>
      </c>
      <c r="B12658" s="37" t="str">
        <f t="array" ref="B12658">iferror(xlookup($I12658, 'IMPORT VHC Report'!$E:$E, 'IMPORT VHC Report'!$A:$C), )</f>
        <v/>
      </c>
      <c r="C12658" s="44"/>
      <c r="D12658" s="44"/>
      <c r="E12658" s="46" t="s">
        <v>8681</v>
      </c>
      <c r="F12658" s="46" t="s">
        <v>753</v>
      </c>
      <c r="G12658" s="46">
        <v>8.904494781967E12</v>
      </c>
      <c r="H12658" s="46" t="s">
        <v>754</v>
      </c>
      <c r="I12658" s="46" t="s">
        <v>755</v>
      </c>
      <c r="J12658" s="46" t="s">
        <v>132</v>
      </c>
      <c r="K12658" s="46" t="s">
        <v>126</v>
      </c>
      <c r="L12658" s="45">
        <v>46014.1875</v>
      </c>
      <c r="M12658" s="46" t="s">
        <v>123</v>
      </c>
      <c r="N12658" s="45">
        <v>46014.229166666664</v>
      </c>
      <c r="O12658" s="46" t="s">
        <v>123</v>
      </c>
      <c r="P12658" s="46">
        <v>3600.0</v>
      </c>
    </row>
    <row r="12659">
      <c r="A12659" s="40">
        <f t="shared" si="1"/>
        <v>46013</v>
      </c>
      <c r="B12659" s="37" t="str">
        <f t="array" ref="B12659">iferror(xlookup($I12659, 'IMPORT VHC Report'!$E:$E, 'IMPORT VHC Report'!$A:$C), )</f>
        <v/>
      </c>
      <c r="C12659" s="44"/>
      <c r="D12659" s="44"/>
      <c r="E12659" s="46" t="s">
        <v>8682</v>
      </c>
      <c r="F12659" s="46" t="s">
        <v>753</v>
      </c>
      <c r="G12659" s="46">
        <v>8.904494781967E12</v>
      </c>
      <c r="H12659" s="46" t="s">
        <v>754</v>
      </c>
      <c r="I12659" s="46" t="s">
        <v>755</v>
      </c>
      <c r="J12659" s="46" t="s">
        <v>136</v>
      </c>
      <c r="K12659" s="46" t="s">
        <v>126</v>
      </c>
      <c r="L12659" s="45">
        <v>46014.270833333336</v>
      </c>
      <c r="M12659" s="46" t="s">
        <v>123</v>
      </c>
      <c r="N12659" s="45">
        <v>46014.291666666664</v>
      </c>
      <c r="O12659" s="46" t="s">
        <v>123</v>
      </c>
      <c r="P12659" s="46">
        <v>1800.0</v>
      </c>
      <c r="S12659" s="46" t="s">
        <v>137</v>
      </c>
    </row>
    <row r="12660">
      <c r="A12660" s="40">
        <f t="shared" si="1"/>
        <v>46013</v>
      </c>
      <c r="B12660" s="37" t="str">
        <f t="array" ref="B12660">iferror(xlookup($I12660, 'IMPORT VHC Report'!$E:$E, 'IMPORT VHC Report'!$A:$C), )</f>
        <v/>
      </c>
      <c r="C12660" s="44"/>
      <c r="D12660" s="44"/>
      <c r="E12660" s="46" t="s">
        <v>8683</v>
      </c>
      <c r="F12660" s="46" t="s">
        <v>753</v>
      </c>
      <c r="G12660" s="46">
        <v>8.904494781967E12</v>
      </c>
      <c r="H12660" s="46" t="s">
        <v>754</v>
      </c>
      <c r="I12660" s="46" t="s">
        <v>755</v>
      </c>
      <c r="J12660" s="46" t="s">
        <v>224</v>
      </c>
      <c r="K12660" s="46" t="s">
        <v>63</v>
      </c>
      <c r="L12660" s="45">
        <v>46014.916666666664</v>
      </c>
      <c r="M12660" s="46" t="s">
        <v>123</v>
      </c>
      <c r="N12660" s="45">
        <v>46015.135416666664</v>
      </c>
      <c r="O12660" s="46" t="s">
        <v>123</v>
      </c>
      <c r="P12660" s="46">
        <v>18900.0</v>
      </c>
    </row>
    <row r="12661">
      <c r="A12661" s="40">
        <f t="shared" si="1"/>
        <v>46013</v>
      </c>
      <c r="B12661" s="37" t="str">
        <f t="array" ref="B12661">iferror(xlookup($I12661, 'IMPORT VHC Report'!$E:$E, 'IMPORT VHC Report'!$A:$C), )</f>
        <v/>
      </c>
      <c r="C12661" s="44"/>
      <c r="D12661" s="44"/>
      <c r="E12661" s="46" t="s">
        <v>8684</v>
      </c>
      <c r="F12661" s="46" t="s">
        <v>753</v>
      </c>
      <c r="G12661" s="46">
        <v>8.904494781967E12</v>
      </c>
      <c r="H12661" s="46" t="s">
        <v>754</v>
      </c>
      <c r="I12661" s="46" t="s">
        <v>755</v>
      </c>
      <c r="J12661" s="46" t="s">
        <v>134</v>
      </c>
      <c r="K12661" s="46" t="s">
        <v>126</v>
      </c>
      <c r="L12661" s="45">
        <v>46015.0</v>
      </c>
      <c r="M12661" s="46" t="s">
        <v>123</v>
      </c>
      <c r="N12661" s="45">
        <v>46015.010416666664</v>
      </c>
      <c r="O12661" s="46" t="s">
        <v>123</v>
      </c>
      <c r="P12661" s="46">
        <v>900.0</v>
      </c>
    </row>
    <row r="12662">
      <c r="A12662" s="40">
        <f t="shared" si="1"/>
        <v>46013</v>
      </c>
      <c r="B12662" s="37" t="str">
        <f t="array" ref="B12662">iferror(xlookup($I12662, 'IMPORT VHC Report'!$E:$E, 'IMPORT VHC Report'!$A:$C), )</f>
        <v/>
      </c>
      <c r="C12662" s="44"/>
      <c r="D12662" s="44"/>
      <c r="E12662" s="46" t="s">
        <v>8685</v>
      </c>
      <c r="F12662" s="46" t="s">
        <v>753</v>
      </c>
      <c r="G12662" s="46">
        <v>8.904494781967E12</v>
      </c>
      <c r="H12662" s="46" t="s">
        <v>754</v>
      </c>
      <c r="I12662" s="46" t="s">
        <v>755</v>
      </c>
      <c r="J12662" s="46" t="s">
        <v>134</v>
      </c>
      <c r="K12662" s="46" t="s">
        <v>126</v>
      </c>
      <c r="L12662" s="45">
        <v>46015.114583333336</v>
      </c>
      <c r="M12662" s="46" t="s">
        <v>123</v>
      </c>
      <c r="N12662" s="45">
        <v>46015.125</v>
      </c>
      <c r="O12662" s="46" t="s">
        <v>123</v>
      </c>
      <c r="P12662" s="46">
        <v>900.0</v>
      </c>
    </row>
    <row r="12663">
      <c r="A12663" s="40">
        <f t="shared" si="1"/>
        <v>46013</v>
      </c>
      <c r="B12663" s="37" t="str">
        <f t="array" ref="B12663">iferror(xlookup($I12663, 'IMPORT VHC Report'!$E:$E, 'IMPORT VHC Report'!$A:$C), )</f>
        <v/>
      </c>
      <c r="C12663" s="44"/>
      <c r="D12663" s="44"/>
      <c r="E12663" s="46" t="s">
        <v>8686</v>
      </c>
      <c r="F12663" s="46" t="s">
        <v>753</v>
      </c>
      <c r="G12663" s="46">
        <v>8.904494781967E12</v>
      </c>
      <c r="H12663" s="46" t="s">
        <v>754</v>
      </c>
      <c r="I12663" s="46" t="s">
        <v>755</v>
      </c>
      <c r="J12663" s="46" t="s">
        <v>62</v>
      </c>
      <c r="K12663" s="46" t="s">
        <v>63</v>
      </c>
      <c r="L12663" s="45">
        <v>46015.135416666664</v>
      </c>
      <c r="M12663" s="46" t="s">
        <v>123</v>
      </c>
      <c r="N12663" s="45">
        <v>46015.15625</v>
      </c>
      <c r="O12663" s="46" t="s">
        <v>123</v>
      </c>
      <c r="P12663" s="46">
        <v>1800.0</v>
      </c>
    </row>
    <row r="12664">
      <c r="A12664" s="40">
        <f t="shared" si="1"/>
        <v>46013</v>
      </c>
      <c r="B12664" s="37" t="str">
        <f t="array" ref="B12664">iferror(xlookup($I12664, 'IMPORT VHC Report'!$E:$E, 'IMPORT VHC Report'!$A:$C), )</f>
        <v/>
      </c>
      <c r="C12664" s="44"/>
      <c r="D12664" s="44"/>
      <c r="E12664" s="46" t="s">
        <v>8687</v>
      </c>
      <c r="F12664" s="46" t="s">
        <v>753</v>
      </c>
      <c r="G12664" s="46">
        <v>8.904494781967E12</v>
      </c>
      <c r="H12664" s="46" t="s">
        <v>754</v>
      </c>
      <c r="I12664" s="46" t="s">
        <v>755</v>
      </c>
      <c r="J12664" s="46" t="s">
        <v>224</v>
      </c>
      <c r="K12664" s="46" t="s">
        <v>63</v>
      </c>
      <c r="L12664" s="45">
        <v>46015.15625</v>
      </c>
      <c r="M12664" s="46" t="s">
        <v>123</v>
      </c>
      <c r="N12664" s="45">
        <v>46015.291666666664</v>
      </c>
      <c r="O12664" s="46" t="s">
        <v>123</v>
      </c>
      <c r="P12664" s="46">
        <v>11700.0</v>
      </c>
    </row>
    <row r="12665">
      <c r="A12665" s="40">
        <f t="shared" si="1"/>
        <v>46013</v>
      </c>
      <c r="B12665" s="37" t="str">
        <f t="array" ref="B12665">iferror(xlookup($I12665, 'IMPORT VHC Report'!$E:$E, 'IMPORT VHC Report'!$A:$C), )</f>
        <v/>
      </c>
      <c r="C12665" s="44"/>
      <c r="D12665" s="44"/>
      <c r="E12665" s="46" t="s">
        <v>8688</v>
      </c>
      <c r="F12665" s="46" t="s">
        <v>753</v>
      </c>
      <c r="G12665" s="46">
        <v>8.904494781967E12</v>
      </c>
      <c r="H12665" s="46" t="s">
        <v>754</v>
      </c>
      <c r="I12665" s="46" t="s">
        <v>755</v>
      </c>
      <c r="J12665" s="46" t="s">
        <v>132</v>
      </c>
      <c r="K12665" s="46" t="s">
        <v>126</v>
      </c>
      <c r="L12665" s="45">
        <v>46015.1875</v>
      </c>
      <c r="M12665" s="46" t="s">
        <v>123</v>
      </c>
      <c r="N12665" s="45">
        <v>46015.229166666664</v>
      </c>
      <c r="O12665" s="46" t="s">
        <v>123</v>
      </c>
      <c r="P12665" s="46">
        <v>3600.0</v>
      </c>
    </row>
    <row r="12666">
      <c r="A12666" s="40">
        <f t="shared" si="1"/>
        <v>46013</v>
      </c>
      <c r="B12666" s="37" t="str">
        <f t="array" ref="B12666">iferror(xlookup($I12666, 'IMPORT VHC Report'!$E:$E, 'IMPORT VHC Report'!$A:$C), )</f>
        <v/>
      </c>
      <c r="C12666" s="44"/>
      <c r="D12666" s="44"/>
      <c r="E12666" s="46" t="s">
        <v>8689</v>
      </c>
      <c r="F12666" s="46" t="s">
        <v>753</v>
      </c>
      <c r="G12666" s="46">
        <v>8.904494781967E12</v>
      </c>
      <c r="H12666" s="46" t="s">
        <v>754</v>
      </c>
      <c r="I12666" s="46" t="s">
        <v>755</v>
      </c>
      <c r="J12666" s="46" t="s">
        <v>330</v>
      </c>
      <c r="K12666" s="46" t="s">
        <v>126</v>
      </c>
      <c r="L12666" s="45">
        <v>46015.25</v>
      </c>
      <c r="M12666" s="46" t="s">
        <v>123</v>
      </c>
      <c r="N12666" s="45">
        <v>46015.291666666664</v>
      </c>
      <c r="O12666" s="46" t="s">
        <v>123</v>
      </c>
      <c r="P12666" s="46">
        <v>3600.0</v>
      </c>
    </row>
    <row r="12667">
      <c r="A12667" s="40">
        <f t="shared" si="1"/>
        <v>46013</v>
      </c>
      <c r="B12667" s="37" t="str">
        <f t="array" ref="B12667">iferror(xlookup($I12667, 'IMPORT VHC Report'!$E:$E, 'IMPORT VHC Report'!$A:$C), )</f>
        <v/>
      </c>
      <c r="C12667" s="44"/>
      <c r="D12667" s="44"/>
      <c r="E12667" s="46" t="s">
        <v>8690</v>
      </c>
      <c r="F12667" s="46" t="s">
        <v>753</v>
      </c>
      <c r="G12667" s="46">
        <v>8.904494781967E12</v>
      </c>
      <c r="H12667" s="46" t="s">
        <v>754</v>
      </c>
      <c r="I12667" s="46" t="s">
        <v>755</v>
      </c>
      <c r="J12667" s="46" t="s">
        <v>178</v>
      </c>
      <c r="K12667" s="46" t="s">
        <v>153</v>
      </c>
      <c r="L12667" s="45">
        <v>46015.916666666664</v>
      </c>
      <c r="M12667" s="46" t="s">
        <v>123</v>
      </c>
      <c r="N12667" s="45">
        <v>46016.291666666664</v>
      </c>
      <c r="O12667" s="46" t="s">
        <v>123</v>
      </c>
      <c r="P12667" s="46">
        <v>32400.0</v>
      </c>
      <c r="Q12667" s="46">
        <v>32400.0</v>
      </c>
    </row>
    <row r="12668">
      <c r="A12668" s="40">
        <f t="shared" si="1"/>
        <v>46013</v>
      </c>
      <c r="B12668" s="37" t="str">
        <f t="array" ref="B12668">iferror(xlookup($I12668, 'IMPORT VHC Report'!$E:$E, 'IMPORT VHC Report'!$A:$C), )</f>
        <v/>
      </c>
      <c r="C12668" s="44"/>
      <c r="D12668" s="44"/>
      <c r="E12668" s="46" t="s">
        <v>8691</v>
      </c>
      <c r="F12668" s="46" t="s">
        <v>753</v>
      </c>
      <c r="G12668" s="46">
        <v>8.904494781967E12</v>
      </c>
      <c r="H12668" s="46" t="s">
        <v>754</v>
      </c>
      <c r="I12668" s="46" t="s">
        <v>755</v>
      </c>
      <c r="J12668" s="46" t="s">
        <v>224</v>
      </c>
      <c r="K12668" s="46" t="s">
        <v>63</v>
      </c>
      <c r="L12668" s="45">
        <v>46015.916666666664</v>
      </c>
      <c r="M12668" s="46" t="s">
        <v>123</v>
      </c>
      <c r="N12668" s="45">
        <v>46016.291666666664</v>
      </c>
      <c r="O12668" s="46" t="s">
        <v>123</v>
      </c>
      <c r="P12668" s="46">
        <v>32400.0</v>
      </c>
    </row>
    <row r="12669">
      <c r="A12669" s="40">
        <f t="shared" si="1"/>
        <v>46013</v>
      </c>
      <c r="B12669" s="37" t="str">
        <f t="array" ref="B12669">iferror(xlookup($I12669, 'IMPORT VHC Report'!$E:$E, 'IMPORT VHC Report'!$A:$C), )</f>
        <v/>
      </c>
      <c r="C12669" s="44"/>
      <c r="D12669" s="44"/>
      <c r="E12669" s="46" t="s">
        <v>8692</v>
      </c>
      <c r="F12669" s="46" t="s">
        <v>753</v>
      </c>
      <c r="G12669" s="46">
        <v>8.904494781967E12</v>
      </c>
      <c r="H12669" s="46" t="s">
        <v>754</v>
      </c>
      <c r="I12669" s="46" t="s">
        <v>755</v>
      </c>
      <c r="J12669" s="46" t="s">
        <v>134</v>
      </c>
      <c r="K12669" s="46" t="s">
        <v>126</v>
      </c>
      <c r="L12669" s="45">
        <v>46016.0</v>
      </c>
      <c r="M12669" s="46" t="s">
        <v>123</v>
      </c>
      <c r="N12669" s="45">
        <v>46016.010416666664</v>
      </c>
      <c r="O12669" s="46" t="s">
        <v>123</v>
      </c>
      <c r="P12669" s="46">
        <v>900.0</v>
      </c>
    </row>
    <row r="12670">
      <c r="A12670" s="40">
        <f t="shared" si="1"/>
        <v>46013</v>
      </c>
      <c r="B12670" s="37" t="str">
        <f t="array" ref="B12670">iferror(xlookup($I12670, 'IMPORT VHC Report'!$E:$E, 'IMPORT VHC Report'!$A:$C), )</f>
        <v/>
      </c>
      <c r="C12670" s="44"/>
      <c r="D12670" s="44"/>
      <c r="E12670" s="46" t="s">
        <v>8693</v>
      </c>
      <c r="F12670" s="46" t="s">
        <v>753</v>
      </c>
      <c r="G12670" s="46">
        <v>8.904494781967E12</v>
      </c>
      <c r="H12670" s="46" t="s">
        <v>754</v>
      </c>
      <c r="I12670" s="46" t="s">
        <v>755</v>
      </c>
      <c r="J12670" s="46" t="s">
        <v>134</v>
      </c>
      <c r="K12670" s="46" t="s">
        <v>126</v>
      </c>
      <c r="L12670" s="45">
        <v>46016.09375</v>
      </c>
      <c r="M12670" s="46" t="s">
        <v>123</v>
      </c>
      <c r="N12670" s="45">
        <v>46016.104166666664</v>
      </c>
      <c r="O12670" s="46" t="s">
        <v>123</v>
      </c>
      <c r="P12670" s="46">
        <v>900.0</v>
      </c>
    </row>
    <row r="12671">
      <c r="A12671" s="40">
        <f t="shared" si="1"/>
        <v>46013</v>
      </c>
      <c r="B12671" s="37" t="str">
        <f t="array" ref="B12671">iferror(xlookup($I12671, 'IMPORT VHC Report'!$E:$E, 'IMPORT VHC Report'!$A:$C), )</f>
        <v/>
      </c>
      <c r="C12671" s="44"/>
      <c r="D12671" s="44"/>
      <c r="E12671" s="46" t="s">
        <v>8694</v>
      </c>
      <c r="F12671" s="46" t="s">
        <v>753</v>
      </c>
      <c r="G12671" s="46">
        <v>8.904494781967E12</v>
      </c>
      <c r="H12671" s="46" t="s">
        <v>754</v>
      </c>
      <c r="I12671" s="46" t="s">
        <v>755</v>
      </c>
      <c r="J12671" s="46" t="s">
        <v>132</v>
      </c>
      <c r="K12671" s="46" t="s">
        <v>126</v>
      </c>
      <c r="L12671" s="45">
        <v>46016.166666666664</v>
      </c>
      <c r="M12671" s="46" t="s">
        <v>123</v>
      </c>
      <c r="N12671" s="45">
        <v>46016.208333333336</v>
      </c>
      <c r="O12671" s="46" t="s">
        <v>123</v>
      </c>
      <c r="P12671" s="46">
        <v>3600.0</v>
      </c>
    </row>
    <row r="12672">
      <c r="A12672" s="40">
        <f t="shared" si="1"/>
        <v>46013</v>
      </c>
      <c r="B12672" s="37" t="str">
        <f t="array" ref="B12672">iferror(xlookup($I12672, 'IMPORT VHC Report'!$E:$E, 'IMPORT VHC Report'!$A:$C), )</f>
        <v/>
      </c>
      <c r="C12672" s="44"/>
      <c r="D12672" s="44"/>
      <c r="E12672" s="46" t="s">
        <v>8695</v>
      </c>
      <c r="F12672" s="46" t="s">
        <v>753</v>
      </c>
      <c r="G12672" s="46">
        <v>8.904494781967E12</v>
      </c>
      <c r="H12672" s="46" t="s">
        <v>754</v>
      </c>
      <c r="I12672" s="46" t="s">
        <v>755</v>
      </c>
      <c r="J12672" s="46" t="s">
        <v>224</v>
      </c>
      <c r="K12672" s="46" t="s">
        <v>63</v>
      </c>
      <c r="L12672" s="45">
        <v>46016.916666666664</v>
      </c>
      <c r="M12672" s="46" t="s">
        <v>123</v>
      </c>
      <c r="N12672" s="45">
        <v>46017.291666666664</v>
      </c>
      <c r="O12672" s="46" t="s">
        <v>123</v>
      </c>
      <c r="P12672" s="46">
        <v>32400.0</v>
      </c>
    </row>
    <row r="12673">
      <c r="A12673" s="40">
        <f t="shared" si="1"/>
        <v>46013</v>
      </c>
      <c r="B12673" s="37" t="str">
        <f t="array" ref="B12673">iferror(xlookup($I12673, 'IMPORT VHC Report'!$E:$E, 'IMPORT VHC Report'!$A:$C), )</f>
        <v/>
      </c>
      <c r="C12673" s="44"/>
      <c r="D12673" s="44"/>
      <c r="E12673" s="46" t="s">
        <v>8696</v>
      </c>
      <c r="F12673" s="46" t="s">
        <v>753</v>
      </c>
      <c r="G12673" s="46">
        <v>8.904494781967E12</v>
      </c>
      <c r="H12673" s="46" t="s">
        <v>754</v>
      </c>
      <c r="I12673" s="46" t="s">
        <v>755</v>
      </c>
      <c r="J12673" s="46" t="s">
        <v>134</v>
      </c>
      <c r="K12673" s="46" t="s">
        <v>126</v>
      </c>
      <c r="L12673" s="45">
        <v>46017.020833333336</v>
      </c>
      <c r="M12673" s="46" t="s">
        <v>123</v>
      </c>
      <c r="N12673" s="45">
        <v>46017.03125</v>
      </c>
      <c r="O12673" s="46" t="s">
        <v>123</v>
      </c>
      <c r="P12673" s="46">
        <v>900.0</v>
      </c>
    </row>
    <row r="12674">
      <c r="A12674" s="40">
        <f t="shared" si="1"/>
        <v>46013</v>
      </c>
      <c r="B12674" s="37" t="str">
        <f t="array" ref="B12674">iferror(xlookup($I12674, 'IMPORT VHC Report'!$E:$E, 'IMPORT VHC Report'!$A:$C), )</f>
        <v/>
      </c>
      <c r="C12674" s="44"/>
      <c r="D12674" s="44"/>
      <c r="E12674" s="46" t="s">
        <v>8697</v>
      </c>
      <c r="F12674" s="46" t="s">
        <v>753</v>
      </c>
      <c r="G12674" s="46">
        <v>8.904494781967E12</v>
      </c>
      <c r="H12674" s="46" t="s">
        <v>754</v>
      </c>
      <c r="I12674" s="46" t="s">
        <v>755</v>
      </c>
      <c r="J12674" s="46" t="s">
        <v>125</v>
      </c>
      <c r="K12674" s="46" t="s">
        <v>126</v>
      </c>
      <c r="L12674" s="45">
        <v>46017.03125</v>
      </c>
      <c r="M12674" s="46" t="s">
        <v>123</v>
      </c>
      <c r="N12674" s="45">
        <v>46017.072916666664</v>
      </c>
      <c r="O12674" s="46" t="s">
        <v>123</v>
      </c>
      <c r="P12674" s="46">
        <v>3600.0</v>
      </c>
      <c r="S12674" s="46" t="s">
        <v>8698</v>
      </c>
    </row>
    <row r="12675">
      <c r="A12675" s="40">
        <f t="shared" si="1"/>
        <v>46013</v>
      </c>
      <c r="B12675" s="37" t="str">
        <f t="array" ref="B12675">iferror(xlookup($I12675, 'IMPORT VHC Report'!$E:$E, 'IMPORT VHC Report'!$A:$C), )</f>
        <v/>
      </c>
      <c r="C12675" s="44"/>
      <c r="D12675" s="44"/>
      <c r="E12675" s="46" t="s">
        <v>8699</v>
      </c>
      <c r="F12675" s="46" t="s">
        <v>753</v>
      </c>
      <c r="G12675" s="46">
        <v>8.904494781967E12</v>
      </c>
      <c r="H12675" s="46" t="s">
        <v>754</v>
      </c>
      <c r="I12675" s="46" t="s">
        <v>755</v>
      </c>
      <c r="J12675" s="46" t="s">
        <v>134</v>
      </c>
      <c r="K12675" s="46" t="s">
        <v>126</v>
      </c>
      <c r="L12675" s="45">
        <v>46017.09375</v>
      </c>
      <c r="M12675" s="46" t="s">
        <v>123</v>
      </c>
      <c r="N12675" s="45">
        <v>46017.104166666664</v>
      </c>
      <c r="O12675" s="46" t="s">
        <v>123</v>
      </c>
      <c r="P12675" s="46">
        <v>900.0</v>
      </c>
    </row>
    <row r="12676">
      <c r="A12676" s="40">
        <f t="shared" si="1"/>
        <v>46013</v>
      </c>
      <c r="B12676" s="37" t="str">
        <f t="array" ref="B12676">iferror(xlookup($I12676, 'IMPORT VHC Report'!$E:$E, 'IMPORT VHC Report'!$A:$C), )</f>
        <v/>
      </c>
      <c r="C12676" s="44"/>
      <c r="D12676" s="44"/>
      <c r="E12676" s="46" t="s">
        <v>8700</v>
      </c>
      <c r="F12676" s="46" t="s">
        <v>753</v>
      </c>
      <c r="G12676" s="46">
        <v>8.904494781967E12</v>
      </c>
      <c r="H12676" s="46" t="s">
        <v>754</v>
      </c>
      <c r="I12676" s="46" t="s">
        <v>755</v>
      </c>
      <c r="J12676" s="46" t="s">
        <v>132</v>
      </c>
      <c r="K12676" s="46" t="s">
        <v>126</v>
      </c>
      <c r="L12676" s="45">
        <v>46017.177083333336</v>
      </c>
      <c r="M12676" s="46" t="s">
        <v>123</v>
      </c>
      <c r="N12676" s="45">
        <v>46017.21875</v>
      </c>
      <c r="O12676" s="46" t="s">
        <v>123</v>
      </c>
      <c r="P12676" s="46">
        <v>3600.0</v>
      </c>
    </row>
    <row r="12677">
      <c r="A12677" s="40">
        <f t="shared" si="1"/>
        <v>46013</v>
      </c>
      <c r="B12677" s="37" t="str">
        <f t="array" ref="B12677">iferror(xlookup($I12677, 'IMPORT VHC Report'!$E:$E, 'IMPORT VHC Report'!$A:$C), )</f>
        <v/>
      </c>
      <c r="C12677" s="44"/>
      <c r="D12677" s="44"/>
      <c r="E12677" s="46" t="s">
        <v>8701</v>
      </c>
      <c r="F12677" s="46" t="s">
        <v>753</v>
      </c>
      <c r="G12677" s="46">
        <v>8.904494781967E12</v>
      </c>
      <c r="H12677" s="46" t="s">
        <v>754</v>
      </c>
      <c r="I12677" s="46" t="s">
        <v>755</v>
      </c>
      <c r="J12677" s="46" t="s">
        <v>330</v>
      </c>
      <c r="K12677" s="46" t="s">
        <v>126</v>
      </c>
      <c r="L12677" s="45">
        <v>46019.916666666664</v>
      </c>
      <c r="M12677" s="46" t="s">
        <v>123</v>
      </c>
      <c r="N12677" s="45">
        <v>46019.927083333336</v>
      </c>
      <c r="O12677" s="46" t="s">
        <v>123</v>
      </c>
      <c r="P12677" s="46">
        <v>900.0</v>
      </c>
    </row>
    <row r="12678">
      <c r="A12678" s="40">
        <f t="shared" si="1"/>
        <v>46013</v>
      </c>
      <c r="B12678" s="37" t="str">
        <f t="array" ref="B12678">iferror(xlookup($I12678, 'IMPORT VHC Report'!$E:$E, 'IMPORT VHC Report'!$A:$C), )</f>
        <v/>
      </c>
      <c r="C12678" s="44"/>
      <c r="D12678" s="44"/>
      <c r="E12678" s="46" t="s">
        <v>8702</v>
      </c>
      <c r="F12678" s="46" t="s">
        <v>753</v>
      </c>
      <c r="G12678" s="46">
        <v>8.904494781967E12</v>
      </c>
      <c r="H12678" s="46" t="s">
        <v>754</v>
      </c>
      <c r="I12678" s="46" t="s">
        <v>755</v>
      </c>
      <c r="J12678" s="46" t="s">
        <v>152</v>
      </c>
      <c r="K12678" s="46" t="s">
        <v>153</v>
      </c>
      <c r="L12678" s="45">
        <v>46019.916666666664</v>
      </c>
      <c r="M12678" s="46" t="s">
        <v>123</v>
      </c>
      <c r="N12678" s="45">
        <v>46020.291666666664</v>
      </c>
      <c r="O12678" s="46" t="s">
        <v>123</v>
      </c>
      <c r="P12678" s="46">
        <v>32400.0</v>
      </c>
      <c r="Q12678" s="46">
        <v>32400.0</v>
      </c>
    </row>
    <row r="12679">
      <c r="A12679" s="40">
        <f t="shared" si="1"/>
        <v>46013</v>
      </c>
      <c r="B12679" s="37" t="str">
        <f t="array" ref="B12679">iferror(xlookup($I12679, 'IMPORT VHC Report'!$E:$E, 'IMPORT VHC Report'!$A:$C), )</f>
        <v/>
      </c>
      <c r="C12679" s="44"/>
      <c r="D12679" s="44"/>
      <c r="E12679" s="46" t="s">
        <v>8703</v>
      </c>
      <c r="F12679" s="46" t="s">
        <v>753</v>
      </c>
      <c r="G12679" s="46">
        <v>8.904494781967E12</v>
      </c>
      <c r="H12679" s="46" t="s">
        <v>754</v>
      </c>
      <c r="I12679" s="46" t="s">
        <v>755</v>
      </c>
      <c r="J12679" s="46" t="s">
        <v>224</v>
      </c>
      <c r="K12679" s="46" t="s">
        <v>63</v>
      </c>
      <c r="L12679" s="45">
        <v>46019.927083333336</v>
      </c>
      <c r="M12679" s="46" t="s">
        <v>123</v>
      </c>
      <c r="N12679" s="45">
        <v>46020.0</v>
      </c>
      <c r="O12679" s="46" t="s">
        <v>123</v>
      </c>
      <c r="P12679" s="46">
        <v>6300.0</v>
      </c>
    </row>
    <row r="12680">
      <c r="A12680" s="40">
        <f t="shared" si="1"/>
        <v>46006</v>
      </c>
      <c r="B12680" s="37" t="str">
        <f t="array" ref="B12680">iferror(xlookup($I12680, 'IMPORT VHC Report'!$E:$E, 'IMPORT VHC Report'!$A:$C), )</f>
        <v/>
      </c>
      <c r="C12680" s="44"/>
      <c r="D12680" s="44"/>
      <c r="E12680" s="46" t="s">
        <v>5829</v>
      </c>
      <c r="F12680" s="46" t="s">
        <v>5795</v>
      </c>
      <c r="G12680" s="46">
        <v>3.61732054935E11</v>
      </c>
      <c r="H12680" s="46" t="s">
        <v>5796</v>
      </c>
      <c r="I12680" s="46" t="s">
        <v>5797</v>
      </c>
      <c r="J12680" s="46" t="s">
        <v>224</v>
      </c>
      <c r="K12680" s="46" t="s">
        <v>63</v>
      </c>
      <c r="L12680" s="45">
        <v>46012.927083333336</v>
      </c>
      <c r="M12680" s="46" t="s">
        <v>123</v>
      </c>
      <c r="N12680" s="45">
        <v>46013.010416666664</v>
      </c>
      <c r="O12680" s="46" t="s">
        <v>123</v>
      </c>
      <c r="P12680" s="46">
        <v>7200.0</v>
      </c>
    </row>
    <row r="12681">
      <c r="A12681" s="40">
        <f t="shared" si="1"/>
        <v>46013</v>
      </c>
      <c r="B12681" s="37" t="str">
        <f t="array" ref="B12681">iferror(xlookup($I12681, 'IMPORT VHC Report'!$E:$E, 'IMPORT VHC Report'!$A:$C), )</f>
        <v/>
      </c>
      <c r="C12681" s="44"/>
      <c r="D12681" s="44"/>
      <c r="E12681" s="46" t="s">
        <v>8704</v>
      </c>
      <c r="F12681" s="46" t="s">
        <v>5795</v>
      </c>
      <c r="G12681" s="46">
        <v>3.61732054935E11</v>
      </c>
      <c r="H12681" s="46" t="s">
        <v>5796</v>
      </c>
      <c r="I12681" s="46" t="s">
        <v>5797</v>
      </c>
      <c r="J12681" s="46" t="s">
        <v>224</v>
      </c>
      <c r="K12681" s="46" t="s">
        <v>63</v>
      </c>
      <c r="L12681" s="45">
        <v>46013.916666666664</v>
      </c>
      <c r="M12681" s="46" t="s">
        <v>123</v>
      </c>
      <c r="N12681" s="45">
        <v>46014.291666666664</v>
      </c>
      <c r="O12681" s="46" t="s">
        <v>123</v>
      </c>
      <c r="P12681" s="46">
        <v>32400.0</v>
      </c>
    </row>
    <row r="12682">
      <c r="A12682" s="40">
        <f t="shared" si="1"/>
        <v>46013</v>
      </c>
      <c r="B12682" s="37" t="str">
        <f t="array" ref="B12682">iferror(xlookup($I12682, 'IMPORT VHC Report'!$E:$E, 'IMPORT VHC Report'!$A:$C), )</f>
        <v/>
      </c>
      <c r="C12682" s="44"/>
      <c r="D12682" s="44"/>
      <c r="E12682" s="46" t="s">
        <v>8705</v>
      </c>
      <c r="F12682" s="46" t="s">
        <v>5795</v>
      </c>
      <c r="G12682" s="46">
        <v>3.61732054935E11</v>
      </c>
      <c r="H12682" s="46" t="s">
        <v>5796</v>
      </c>
      <c r="I12682" s="46" t="s">
        <v>5797</v>
      </c>
      <c r="J12682" s="46" t="s">
        <v>125</v>
      </c>
      <c r="K12682" s="46" t="s">
        <v>126</v>
      </c>
      <c r="L12682" s="45">
        <v>46013.927083333336</v>
      </c>
      <c r="M12682" s="46" t="s">
        <v>123</v>
      </c>
      <c r="N12682" s="45">
        <v>46013.93402777778</v>
      </c>
      <c r="O12682" s="46" t="s">
        <v>123</v>
      </c>
      <c r="P12682" s="46">
        <v>600.0</v>
      </c>
      <c r="S12682" s="46" t="s">
        <v>8706</v>
      </c>
    </row>
    <row r="12683">
      <c r="A12683" s="40">
        <f t="shared" si="1"/>
        <v>46013</v>
      </c>
      <c r="B12683" s="37" t="str">
        <f t="array" ref="B12683">iferror(xlookup($I12683, 'IMPORT VHC Report'!$E:$E, 'IMPORT VHC Report'!$A:$C), )</f>
        <v/>
      </c>
      <c r="C12683" s="44"/>
      <c r="D12683" s="44"/>
      <c r="E12683" s="46" t="s">
        <v>8707</v>
      </c>
      <c r="F12683" s="46" t="s">
        <v>5795</v>
      </c>
      <c r="G12683" s="46">
        <v>3.61732054935E11</v>
      </c>
      <c r="H12683" s="46" t="s">
        <v>5796</v>
      </c>
      <c r="I12683" s="46" t="s">
        <v>5797</v>
      </c>
      <c r="J12683" s="46" t="s">
        <v>4</v>
      </c>
      <c r="K12683" s="46" t="s">
        <v>126</v>
      </c>
      <c r="L12683" s="45">
        <v>46013.979166666664</v>
      </c>
      <c r="M12683" s="46" t="s">
        <v>123</v>
      </c>
      <c r="N12683" s="45">
        <v>46013.989583333336</v>
      </c>
      <c r="O12683" s="46" t="s">
        <v>123</v>
      </c>
      <c r="P12683" s="46">
        <v>900.0</v>
      </c>
      <c r="S12683" s="46" t="s">
        <v>8708</v>
      </c>
    </row>
    <row r="12684">
      <c r="A12684" s="40">
        <f t="shared" si="1"/>
        <v>46013</v>
      </c>
      <c r="B12684" s="37" t="str">
        <f t="array" ref="B12684">iferror(xlookup($I12684, 'IMPORT VHC Report'!$E:$E, 'IMPORT VHC Report'!$A:$C), )</f>
        <v/>
      </c>
      <c r="C12684" s="44"/>
      <c r="D12684" s="44"/>
      <c r="E12684" s="46" t="s">
        <v>8709</v>
      </c>
      <c r="F12684" s="46" t="s">
        <v>5795</v>
      </c>
      <c r="G12684" s="46">
        <v>3.61732054935E11</v>
      </c>
      <c r="H12684" s="46" t="s">
        <v>5796</v>
      </c>
      <c r="I12684" s="46" t="s">
        <v>5797</v>
      </c>
      <c r="J12684" s="46" t="s">
        <v>132</v>
      </c>
      <c r="K12684" s="46" t="s">
        <v>126</v>
      </c>
      <c r="L12684" s="45">
        <v>46014.0625</v>
      </c>
      <c r="M12684" s="46" t="s">
        <v>123</v>
      </c>
      <c r="N12684" s="45">
        <v>46014.104166666664</v>
      </c>
      <c r="O12684" s="46" t="s">
        <v>123</v>
      </c>
      <c r="P12684" s="46">
        <v>3600.0</v>
      </c>
    </row>
    <row r="12685">
      <c r="A12685" s="40">
        <f t="shared" si="1"/>
        <v>46013</v>
      </c>
      <c r="B12685" s="37" t="str">
        <f t="array" ref="B12685">iferror(xlookup($I12685, 'IMPORT VHC Report'!$E:$E, 'IMPORT VHC Report'!$A:$C), )</f>
        <v/>
      </c>
      <c r="C12685" s="44"/>
      <c r="D12685" s="44"/>
      <c r="E12685" s="46" t="s">
        <v>8710</v>
      </c>
      <c r="F12685" s="46" t="s">
        <v>5795</v>
      </c>
      <c r="G12685" s="46">
        <v>3.61732054935E11</v>
      </c>
      <c r="H12685" s="46" t="s">
        <v>5796</v>
      </c>
      <c r="I12685" s="46" t="s">
        <v>5797</v>
      </c>
      <c r="J12685" s="46" t="s">
        <v>134</v>
      </c>
      <c r="K12685" s="46" t="s">
        <v>126</v>
      </c>
      <c r="L12685" s="45">
        <v>46014.208333333336</v>
      </c>
      <c r="M12685" s="46" t="s">
        <v>123</v>
      </c>
      <c r="N12685" s="45">
        <v>46014.229166666664</v>
      </c>
      <c r="O12685" s="46" t="s">
        <v>123</v>
      </c>
      <c r="P12685" s="46">
        <v>1800.0</v>
      </c>
    </row>
    <row r="12686">
      <c r="A12686" s="40">
        <f t="shared" si="1"/>
        <v>46013</v>
      </c>
      <c r="B12686" s="37" t="str">
        <f t="array" ref="B12686">iferror(xlookup($I12686, 'IMPORT VHC Report'!$E:$E, 'IMPORT VHC Report'!$A:$C), )</f>
        <v/>
      </c>
      <c r="C12686" s="44"/>
      <c r="D12686" s="44"/>
      <c r="E12686" s="46" t="s">
        <v>8711</v>
      </c>
      <c r="F12686" s="46" t="s">
        <v>5795</v>
      </c>
      <c r="G12686" s="46">
        <v>3.61732054935E11</v>
      </c>
      <c r="H12686" s="46" t="s">
        <v>5796</v>
      </c>
      <c r="I12686" s="46" t="s">
        <v>5797</v>
      </c>
      <c r="J12686" s="46" t="s">
        <v>125</v>
      </c>
      <c r="K12686" s="46" t="s">
        <v>126</v>
      </c>
      <c r="L12686" s="45">
        <v>46014.916666666664</v>
      </c>
      <c r="M12686" s="46" t="s">
        <v>123</v>
      </c>
      <c r="N12686" s="45">
        <v>46014.927083333336</v>
      </c>
      <c r="O12686" s="46" t="s">
        <v>123</v>
      </c>
      <c r="P12686" s="46">
        <v>900.0</v>
      </c>
      <c r="S12686" s="46" t="s">
        <v>8706</v>
      </c>
    </row>
    <row r="12687">
      <c r="A12687" s="40">
        <f t="shared" si="1"/>
        <v>46013</v>
      </c>
      <c r="B12687" s="37" t="str">
        <f t="array" ref="B12687">iferror(xlookup($I12687, 'IMPORT VHC Report'!$E:$E, 'IMPORT VHC Report'!$A:$C), )</f>
        <v/>
      </c>
      <c r="C12687" s="44"/>
      <c r="D12687" s="44"/>
      <c r="E12687" s="46" t="s">
        <v>8712</v>
      </c>
      <c r="F12687" s="46" t="s">
        <v>5795</v>
      </c>
      <c r="G12687" s="46">
        <v>3.61732054935E11</v>
      </c>
      <c r="H12687" s="46" t="s">
        <v>5796</v>
      </c>
      <c r="I12687" s="46" t="s">
        <v>5797</v>
      </c>
      <c r="J12687" s="46" t="s">
        <v>224</v>
      </c>
      <c r="K12687" s="46" t="s">
        <v>63</v>
      </c>
      <c r="L12687" s="45">
        <v>46014.916666666664</v>
      </c>
      <c r="M12687" s="46" t="s">
        <v>123</v>
      </c>
      <c r="N12687" s="45">
        <v>46015.166666666664</v>
      </c>
      <c r="O12687" s="46" t="s">
        <v>123</v>
      </c>
      <c r="P12687" s="46">
        <v>21600.0</v>
      </c>
    </row>
    <row r="12688">
      <c r="A12688" s="40">
        <f t="shared" si="1"/>
        <v>46013</v>
      </c>
      <c r="B12688" s="37" t="str">
        <f t="array" ref="B12688">iferror(xlookup($I12688, 'IMPORT VHC Report'!$E:$E, 'IMPORT VHC Report'!$A:$C), )</f>
        <v/>
      </c>
      <c r="C12688" s="44"/>
      <c r="D12688" s="44"/>
      <c r="E12688" s="46" t="s">
        <v>8713</v>
      </c>
      <c r="F12688" s="46" t="s">
        <v>5795</v>
      </c>
      <c r="G12688" s="46">
        <v>3.61732054935E11</v>
      </c>
      <c r="H12688" s="46" t="s">
        <v>5796</v>
      </c>
      <c r="I12688" s="46" t="s">
        <v>5797</v>
      </c>
      <c r="J12688" s="46" t="s">
        <v>134</v>
      </c>
      <c r="K12688" s="46" t="s">
        <v>126</v>
      </c>
      <c r="L12688" s="45">
        <v>46015.072916666664</v>
      </c>
      <c r="M12688" s="46" t="s">
        <v>123</v>
      </c>
      <c r="N12688" s="45">
        <v>46015.09375</v>
      </c>
      <c r="O12688" s="46" t="s">
        <v>123</v>
      </c>
      <c r="P12688" s="46">
        <v>1800.0</v>
      </c>
    </row>
    <row r="12689">
      <c r="A12689" s="40">
        <f t="shared" si="1"/>
        <v>46013</v>
      </c>
      <c r="B12689" s="37" t="str">
        <f t="array" ref="B12689">iferror(xlookup($I12689, 'IMPORT VHC Report'!$E:$E, 'IMPORT VHC Report'!$A:$C), )</f>
        <v/>
      </c>
      <c r="C12689" s="44"/>
      <c r="D12689" s="44"/>
      <c r="E12689" s="46" t="s">
        <v>8714</v>
      </c>
      <c r="F12689" s="46" t="s">
        <v>5795</v>
      </c>
      <c r="G12689" s="46">
        <v>3.61732054935E11</v>
      </c>
      <c r="H12689" s="46" t="s">
        <v>5796</v>
      </c>
      <c r="I12689" s="46" t="s">
        <v>5797</v>
      </c>
      <c r="J12689" s="46" t="s">
        <v>330</v>
      </c>
      <c r="K12689" s="46" t="s">
        <v>126</v>
      </c>
      <c r="L12689" s="45">
        <v>46015.104166666664</v>
      </c>
      <c r="M12689" s="46" t="s">
        <v>123</v>
      </c>
      <c r="N12689" s="45">
        <v>46015.125</v>
      </c>
      <c r="O12689" s="46" t="s">
        <v>123</v>
      </c>
      <c r="P12689" s="46">
        <v>1800.0</v>
      </c>
    </row>
    <row r="12690">
      <c r="A12690" s="40">
        <f t="shared" si="1"/>
        <v>46013</v>
      </c>
      <c r="B12690" s="37" t="str">
        <f t="array" ref="B12690">iferror(xlookup($I12690, 'IMPORT VHC Report'!$E:$E, 'IMPORT VHC Report'!$A:$C), )</f>
        <v/>
      </c>
      <c r="C12690" s="44"/>
      <c r="D12690" s="44"/>
      <c r="E12690" s="46" t="s">
        <v>8715</v>
      </c>
      <c r="F12690" s="46" t="s">
        <v>5795</v>
      </c>
      <c r="G12690" s="46">
        <v>3.61732054935E11</v>
      </c>
      <c r="H12690" s="46" t="s">
        <v>5796</v>
      </c>
      <c r="I12690" s="46" t="s">
        <v>5797</v>
      </c>
      <c r="J12690" s="46" t="s">
        <v>136</v>
      </c>
      <c r="K12690" s="46" t="s">
        <v>126</v>
      </c>
      <c r="L12690" s="45">
        <v>46015.166666666664</v>
      </c>
      <c r="M12690" s="46" t="s">
        <v>123</v>
      </c>
      <c r="N12690" s="45">
        <v>46015.194444444445</v>
      </c>
      <c r="O12690" s="46" t="s">
        <v>123</v>
      </c>
      <c r="P12690" s="46">
        <v>2400.0</v>
      </c>
      <c r="S12690" s="46" t="s">
        <v>8716</v>
      </c>
    </row>
    <row r="12691">
      <c r="A12691" s="40">
        <f t="shared" si="1"/>
        <v>46013</v>
      </c>
      <c r="B12691" s="37" t="str">
        <f t="array" ref="B12691">iferror(xlookup($I12691, 'IMPORT VHC Report'!$E:$E, 'IMPORT VHC Report'!$A:$C), )</f>
        <v/>
      </c>
      <c r="C12691" s="44"/>
      <c r="D12691" s="44"/>
      <c r="E12691" s="46" t="s">
        <v>8717</v>
      </c>
      <c r="F12691" s="46" t="s">
        <v>5795</v>
      </c>
      <c r="G12691" s="46">
        <v>3.61732054935E11</v>
      </c>
      <c r="H12691" s="46" t="s">
        <v>5796</v>
      </c>
      <c r="I12691" s="46" t="s">
        <v>5797</v>
      </c>
      <c r="J12691" s="46" t="s">
        <v>62</v>
      </c>
      <c r="K12691" s="46" t="s">
        <v>63</v>
      </c>
      <c r="L12691" s="45">
        <v>46015.166666666664</v>
      </c>
      <c r="M12691" s="46" t="s">
        <v>123</v>
      </c>
      <c r="N12691" s="45">
        <v>46015.229166666664</v>
      </c>
      <c r="O12691" s="46" t="s">
        <v>123</v>
      </c>
      <c r="P12691" s="46">
        <v>5400.0</v>
      </c>
    </row>
    <row r="12692">
      <c r="A12692" s="40">
        <f t="shared" si="1"/>
        <v>46013</v>
      </c>
      <c r="B12692" s="37" t="str">
        <f t="array" ref="B12692">iferror(xlookup($I12692, 'IMPORT VHC Report'!$E:$E, 'IMPORT VHC Report'!$A:$C), )</f>
        <v/>
      </c>
      <c r="C12692" s="44"/>
      <c r="D12692" s="44"/>
      <c r="E12692" s="46" t="s">
        <v>8718</v>
      </c>
      <c r="F12692" s="46" t="s">
        <v>5795</v>
      </c>
      <c r="G12692" s="46">
        <v>3.61732054935E11</v>
      </c>
      <c r="H12692" s="46" t="s">
        <v>5796</v>
      </c>
      <c r="I12692" s="46" t="s">
        <v>5797</v>
      </c>
      <c r="J12692" s="46" t="s">
        <v>132</v>
      </c>
      <c r="K12692" s="46" t="s">
        <v>126</v>
      </c>
      <c r="L12692" s="45">
        <v>46015.194444444445</v>
      </c>
      <c r="M12692" s="46" t="s">
        <v>123</v>
      </c>
      <c r="N12692" s="45">
        <v>46015.23611111111</v>
      </c>
      <c r="O12692" s="46" t="s">
        <v>123</v>
      </c>
      <c r="P12692" s="46">
        <v>3600.0</v>
      </c>
    </row>
    <row r="12693">
      <c r="A12693" s="40">
        <f t="shared" si="1"/>
        <v>46013</v>
      </c>
      <c r="B12693" s="37" t="str">
        <f t="array" ref="B12693">iferror(xlookup($I12693, 'IMPORT VHC Report'!$E:$E, 'IMPORT VHC Report'!$A:$C), )</f>
        <v/>
      </c>
      <c r="C12693" s="44"/>
      <c r="D12693" s="44"/>
      <c r="E12693" s="46" t="s">
        <v>8719</v>
      </c>
      <c r="F12693" s="46" t="s">
        <v>5795</v>
      </c>
      <c r="G12693" s="46">
        <v>3.61732054935E11</v>
      </c>
      <c r="H12693" s="46" t="s">
        <v>5796</v>
      </c>
      <c r="I12693" s="46" t="s">
        <v>5797</v>
      </c>
      <c r="J12693" s="46" t="s">
        <v>224</v>
      </c>
      <c r="K12693" s="46" t="s">
        <v>63</v>
      </c>
      <c r="L12693" s="45">
        <v>46015.229166666664</v>
      </c>
      <c r="M12693" s="46" t="s">
        <v>123</v>
      </c>
      <c r="N12693" s="45">
        <v>46015.291666666664</v>
      </c>
      <c r="O12693" s="46" t="s">
        <v>123</v>
      </c>
      <c r="P12693" s="46">
        <v>5400.0</v>
      </c>
    </row>
    <row r="12694">
      <c r="A12694" s="40">
        <f t="shared" si="1"/>
        <v>46013</v>
      </c>
      <c r="B12694" s="37" t="str">
        <f t="array" ref="B12694">iferror(xlookup($I12694, 'IMPORT VHC Report'!$E:$E, 'IMPORT VHC Report'!$A:$C), )</f>
        <v/>
      </c>
      <c r="C12694" s="44"/>
      <c r="D12694" s="44"/>
      <c r="E12694" s="46" t="s">
        <v>8720</v>
      </c>
      <c r="F12694" s="46" t="s">
        <v>5795</v>
      </c>
      <c r="G12694" s="46">
        <v>3.61732054935E11</v>
      </c>
      <c r="H12694" s="46" t="s">
        <v>5796</v>
      </c>
      <c r="I12694" s="46" t="s">
        <v>5797</v>
      </c>
      <c r="J12694" s="46" t="s">
        <v>125</v>
      </c>
      <c r="K12694" s="46" t="s">
        <v>126</v>
      </c>
      <c r="L12694" s="45">
        <v>46015.916666666664</v>
      </c>
      <c r="M12694" s="46" t="s">
        <v>123</v>
      </c>
      <c r="N12694" s="45">
        <v>46015.927083333336</v>
      </c>
      <c r="O12694" s="46" t="s">
        <v>123</v>
      </c>
      <c r="P12694" s="46">
        <v>900.0</v>
      </c>
      <c r="S12694" s="46" t="s">
        <v>5529</v>
      </c>
    </row>
    <row r="12695">
      <c r="A12695" s="40">
        <f t="shared" si="1"/>
        <v>46013</v>
      </c>
      <c r="B12695" s="37" t="str">
        <f t="array" ref="B12695">iferror(xlookup($I12695, 'IMPORT VHC Report'!$E:$E, 'IMPORT VHC Report'!$A:$C), )</f>
        <v/>
      </c>
      <c r="C12695" s="44"/>
      <c r="D12695" s="44"/>
      <c r="E12695" s="46" t="s">
        <v>8721</v>
      </c>
      <c r="F12695" s="46" t="s">
        <v>5795</v>
      </c>
      <c r="G12695" s="46">
        <v>3.61732054935E11</v>
      </c>
      <c r="H12695" s="46" t="s">
        <v>5796</v>
      </c>
      <c r="I12695" s="46" t="s">
        <v>5797</v>
      </c>
      <c r="J12695" s="46" t="s">
        <v>224</v>
      </c>
      <c r="K12695" s="46" t="s">
        <v>63</v>
      </c>
      <c r="L12695" s="45">
        <v>46015.916666666664</v>
      </c>
      <c r="M12695" s="46" t="s">
        <v>123</v>
      </c>
      <c r="N12695" s="45">
        <v>46016.291666666664</v>
      </c>
      <c r="O12695" s="46" t="s">
        <v>123</v>
      </c>
      <c r="P12695" s="46">
        <v>32400.0</v>
      </c>
    </row>
    <row r="12696">
      <c r="A12696" s="40">
        <f t="shared" si="1"/>
        <v>46013</v>
      </c>
      <c r="B12696" s="37" t="str">
        <f t="array" ref="B12696">iferror(xlookup($I12696, 'IMPORT VHC Report'!$E:$E, 'IMPORT VHC Report'!$A:$C), )</f>
        <v/>
      </c>
      <c r="C12696" s="44"/>
      <c r="D12696" s="44"/>
      <c r="E12696" s="46" t="s">
        <v>8722</v>
      </c>
      <c r="F12696" s="46" t="s">
        <v>5795</v>
      </c>
      <c r="G12696" s="46">
        <v>3.61732054935E11</v>
      </c>
      <c r="H12696" s="46" t="s">
        <v>5796</v>
      </c>
      <c r="I12696" s="46" t="s">
        <v>5797</v>
      </c>
      <c r="J12696" s="46" t="s">
        <v>132</v>
      </c>
      <c r="K12696" s="46" t="s">
        <v>126</v>
      </c>
      <c r="L12696" s="45">
        <v>46016.041666666664</v>
      </c>
      <c r="M12696" s="46" t="s">
        <v>123</v>
      </c>
      <c r="N12696" s="45">
        <v>46016.083333333336</v>
      </c>
      <c r="O12696" s="46" t="s">
        <v>123</v>
      </c>
      <c r="P12696" s="46">
        <v>3600.0</v>
      </c>
    </row>
    <row r="12697">
      <c r="A12697" s="40">
        <f t="shared" si="1"/>
        <v>46013</v>
      </c>
      <c r="B12697" s="37" t="str">
        <f t="array" ref="B12697">iferror(xlookup($I12697, 'IMPORT VHC Report'!$E:$E, 'IMPORT VHC Report'!$A:$C), )</f>
        <v/>
      </c>
      <c r="C12697" s="44"/>
      <c r="D12697" s="44"/>
      <c r="E12697" s="46" t="s">
        <v>8723</v>
      </c>
      <c r="F12697" s="46" t="s">
        <v>5795</v>
      </c>
      <c r="G12697" s="46">
        <v>3.61732054935E11</v>
      </c>
      <c r="H12697" s="46" t="s">
        <v>5796</v>
      </c>
      <c r="I12697" s="46" t="s">
        <v>5797</v>
      </c>
      <c r="J12697" s="46" t="s">
        <v>134</v>
      </c>
      <c r="K12697" s="46" t="s">
        <v>126</v>
      </c>
      <c r="L12697" s="45">
        <v>46016.1875</v>
      </c>
      <c r="M12697" s="46" t="s">
        <v>123</v>
      </c>
      <c r="N12697" s="45">
        <v>46016.208333333336</v>
      </c>
      <c r="O12697" s="46" t="s">
        <v>123</v>
      </c>
      <c r="P12697" s="46">
        <v>1800.0</v>
      </c>
    </row>
    <row r="12698">
      <c r="A12698" s="40">
        <f t="shared" si="1"/>
        <v>46013</v>
      </c>
      <c r="B12698" s="37" t="str">
        <f t="array" ref="B12698">iferror(xlookup($I12698, 'IMPORT VHC Report'!$E:$E, 'IMPORT VHC Report'!$A:$C), )</f>
        <v/>
      </c>
      <c r="C12698" s="44"/>
      <c r="D12698" s="44"/>
      <c r="E12698" s="46" t="s">
        <v>8724</v>
      </c>
      <c r="F12698" s="46" t="s">
        <v>5795</v>
      </c>
      <c r="G12698" s="46">
        <v>3.61732054935E11</v>
      </c>
      <c r="H12698" s="46" t="s">
        <v>5796</v>
      </c>
      <c r="I12698" s="46" t="s">
        <v>5797</v>
      </c>
      <c r="J12698" s="46" t="s">
        <v>224</v>
      </c>
      <c r="K12698" s="46" t="s">
        <v>63</v>
      </c>
      <c r="L12698" s="45">
        <v>46016.916666666664</v>
      </c>
      <c r="M12698" s="46" t="s">
        <v>123</v>
      </c>
      <c r="N12698" s="45">
        <v>46017.291666666664</v>
      </c>
      <c r="O12698" s="46" t="s">
        <v>123</v>
      </c>
      <c r="P12698" s="46">
        <v>32400.0</v>
      </c>
    </row>
    <row r="12699">
      <c r="A12699" s="40">
        <f t="shared" si="1"/>
        <v>46013</v>
      </c>
      <c r="B12699" s="37" t="str">
        <f t="array" ref="B12699">iferror(xlookup($I12699, 'IMPORT VHC Report'!$E:$E, 'IMPORT VHC Report'!$A:$C), )</f>
        <v/>
      </c>
      <c r="C12699" s="44"/>
      <c r="D12699" s="44"/>
      <c r="E12699" s="46" t="s">
        <v>8725</v>
      </c>
      <c r="F12699" s="46" t="s">
        <v>5795</v>
      </c>
      <c r="G12699" s="46">
        <v>3.61732054935E11</v>
      </c>
      <c r="H12699" s="46" t="s">
        <v>5796</v>
      </c>
      <c r="I12699" s="46" t="s">
        <v>5797</v>
      </c>
      <c r="J12699" s="46" t="s">
        <v>4</v>
      </c>
      <c r="K12699" s="46" t="s">
        <v>126</v>
      </c>
      <c r="L12699" s="45">
        <v>46016.9375</v>
      </c>
      <c r="M12699" s="46" t="s">
        <v>123</v>
      </c>
      <c r="N12699" s="45">
        <v>46016.947916666664</v>
      </c>
      <c r="O12699" s="46" t="s">
        <v>123</v>
      </c>
      <c r="P12699" s="46">
        <v>900.0</v>
      </c>
      <c r="S12699" s="46" t="s">
        <v>8726</v>
      </c>
    </row>
    <row r="12700">
      <c r="A12700" s="40">
        <f t="shared" si="1"/>
        <v>46013</v>
      </c>
      <c r="B12700" s="37" t="str">
        <f t="array" ref="B12700">iferror(xlookup($I12700, 'IMPORT VHC Report'!$E:$E, 'IMPORT VHC Report'!$A:$C), )</f>
        <v/>
      </c>
      <c r="C12700" s="44"/>
      <c r="D12700" s="44"/>
      <c r="E12700" s="46" t="s">
        <v>8727</v>
      </c>
      <c r="F12700" s="46" t="s">
        <v>5795</v>
      </c>
      <c r="G12700" s="46">
        <v>3.61732054935E11</v>
      </c>
      <c r="H12700" s="46" t="s">
        <v>5796</v>
      </c>
      <c r="I12700" s="46" t="s">
        <v>5797</v>
      </c>
      <c r="J12700" s="46" t="s">
        <v>125</v>
      </c>
      <c r="K12700" s="46" t="s">
        <v>126</v>
      </c>
      <c r="L12700" s="45">
        <v>46016.947916666664</v>
      </c>
      <c r="M12700" s="46" t="s">
        <v>123</v>
      </c>
      <c r="N12700" s="45">
        <v>46016.989583333336</v>
      </c>
      <c r="O12700" s="46" t="s">
        <v>123</v>
      </c>
      <c r="P12700" s="46">
        <v>3600.0</v>
      </c>
      <c r="S12700" s="46" t="s">
        <v>8728</v>
      </c>
    </row>
    <row r="12701">
      <c r="A12701" s="40">
        <f t="shared" si="1"/>
        <v>46013</v>
      </c>
      <c r="B12701" s="37" t="str">
        <f t="array" ref="B12701">iferror(xlookup($I12701, 'IMPORT VHC Report'!$E:$E, 'IMPORT VHC Report'!$A:$C), )</f>
        <v/>
      </c>
      <c r="C12701" s="44"/>
      <c r="D12701" s="44"/>
      <c r="E12701" s="46" t="s">
        <v>8729</v>
      </c>
      <c r="F12701" s="46" t="s">
        <v>5795</v>
      </c>
      <c r="G12701" s="46">
        <v>3.61732054935E11</v>
      </c>
      <c r="H12701" s="46" t="s">
        <v>5796</v>
      </c>
      <c r="I12701" s="46" t="s">
        <v>5797</v>
      </c>
      <c r="J12701" s="46" t="s">
        <v>134</v>
      </c>
      <c r="K12701" s="46" t="s">
        <v>126</v>
      </c>
      <c r="L12701" s="45">
        <v>46017.0625</v>
      </c>
      <c r="M12701" s="46" t="s">
        <v>123</v>
      </c>
      <c r="N12701" s="45">
        <v>46017.083333333336</v>
      </c>
      <c r="O12701" s="46" t="s">
        <v>123</v>
      </c>
      <c r="P12701" s="46">
        <v>1800.0</v>
      </c>
    </row>
    <row r="12702">
      <c r="A12702" s="40">
        <f t="shared" si="1"/>
        <v>46013</v>
      </c>
      <c r="B12702" s="37" t="str">
        <f t="array" ref="B12702">iferror(xlookup($I12702, 'IMPORT VHC Report'!$E:$E, 'IMPORT VHC Report'!$A:$C), )</f>
        <v/>
      </c>
      <c r="C12702" s="44"/>
      <c r="D12702" s="44"/>
      <c r="E12702" s="46" t="s">
        <v>8730</v>
      </c>
      <c r="F12702" s="46" t="s">
        <v>5795</v>
      </c>
      <c r="G12702" s="46">
        <v>3.61732054935E11</v>
      </c>
      <c r="H12702" s="46" t="s">
        <v>5796</v>
      </c>
      <c r="I12702" s="46" t="s">
        <v>5797</v>
      </c>
      <c r="J12702" s="46" t="s">
        <v>132</v>
      </c>
      <c r="K12702" s="46" t="s">
        <v>126</v>
      </c>
      <c r="L12702" s="45">
        <v>46017.1875</v>
      </c>
      <c r="M12702" s="46" t="s">
        <v>123</v>
      </c>
      <c r="N12702" s="45">
        <v>46017.229166666664</v>
      </c>
      <c r="O12702" s="46" t="s">
        <v>123</v>
      </c>
      <c r="P12702" s="46">
        <v>3600.0</v>
      </c>
    </row>
    <row r="12703">
      <c r="A12703" s="40">
        <f t="shared" si="1"/>
        <v>46013</v>
      </c>
      <c r="B12703" s="37" t="str">
        <f t="array" ref="B12703">iferror(xlookup($I12703, 'IMPORT VHC Report'!$E:$E, 'IMPORT VHC Report'!$A:$C), )</f>
        <v/>
      </c>
      <c r="C12703" s="44"/>
      <c r="D12703" s="44"/>
      <c r="E12703" s="46" t="s">
        <v>8731</v>
      </c>
      <c r="F12703" s="46" t="s">
        <v>5795</v>
      </c>
      <c r="G12703" s="46">
        <v>3.61732054935E11</v>
      </c>
      <c r="H12703" s="46" t="s">
        <v>5796</v>
      </c>
      <c r="I12703" s="46" t="s">
        <v>5797</v>
      </c>
      <c r="J12703" s="46" t="s">
        <v>125</v>
      </c>
      <c r="K12703" s="46" t="s">
        <v>126</v>
      </c>
      <c r="L12703" s="45">
        <v>46017.875</v>
      </c>
      <c r="M12703" s="46" t="s">
        <v>123</v>
      </c>
      <c r="N12703" s="45">
        <v>46017.885416666664</v>
      </c>
      <c r="O12703" s="46" t="s">
        <v>123</v>
      </c>
      <c r="P12703" s="46">
        <v>900.0</v>
      </c>
      <c r="S12703" s="46" t="s">
        <v>5529</v>
      </c>
    </row>
    <row r="12704">
      <c r="A12704" s="40">
        <f t="shared" si="1"/>
        <v>46013</v>
      </c>
      <c r="B12704" s="37" t="str">
        <f t="array" ref="B12704">iferror(xlookup($I12704, 'IMPORT VHC Report'!$E:$E, 'IMPORT VHC Report'!$A:$C), )</f>
        <v/>
      </c>
      <c r="C12704" s="44"/>
      <c r="D12704" s="44"/>
      <c r="E12704" s="46" t="s">
        <v>8732</v>
      </c>
      <c r="F12704" s="46" t="s">
        <v>5795</v>
      </c>
      <c r="G12704" s="46">
        <v>3.61732054935E11</v>
      </c>
      <c r="H12704" s="46" t="s">
        <v>5796</v>
      </c>
      <c r="I12704" s="46" t="s">
        <v>5797</v>
      </c>
      <c r="J12704" s="46" t="s">
        <v>224</v>
      </c>
      <c r="K12704" s="46" t="s">
        <v>63</v>
      </c>
      <c r="L12704" s="45">
        <v>46017.875</v>
      </c>
      <c r="M12704" s="46" t="s">
        <v>123</v>
      </c>
      <c r="N12704" s="45">
        <v>46018.25</v>
      </c>
      <c r="O12704" s="46" t="s">
        <v>123</v>
      </c>
      <c r="P12704" s="46">
        <v>32400.0</v>
      </c>
    </row>
    <row r="12705">
      <c r="A12705" s="40">
        <f t="shared" si="1"/>
        <v>46013</v>
      </c>
      <c r="B12705" s="37" t="str">
        <f t="array" ref="B12705">iferror(xlookup($I12705, 'IMPORT VHC Report'!$E:$E, 'IMPORT VHC Report'!$A:$C), )</f>
        <v/>
      </c>
      <c r="C12705" s="44"/>
      <c r="D12705" s="44"/>
      <c r="E12705" s="46" t="s">
        <v>8733</v>
      </c>
      <c r="F12705" s="46" t="s">
        <v>5795</v>
      </c>
      <c r="G12705" s="46">
        <v>3.61732054935E11</v>
      </c>
      <c r="H12705" s="46" t="s">
        <v>5796</v>
      </c>
      <c r="I12705" s="46" t="s">
        <v>5797</v>
      </c>
      <c r="J12705" s="46" t="s">
        <v>136</v>
      </c>
      <c r="K12705" s="46" t="s">
        <v>126</v>
      </c>
      <c r="L12705" s="45">
        <v>46018.0</v>
      </c>
      <c r="M12705" s="46" t="s">
        <v>123</v>
      </c>
      <c r="N12705" s="45">
        <v>46018.0625</v>
      </c>
      <c r="O12705" s="46" t="s">
        <v>123</v>
      </c>
      <c r="P12705" s="46">
        <v>5400.0</v>
      </c>
      <c r="S12705" s="46" t="s">
        <v>8734</v>
      </c>
    </row>
    <row r="12706">
      <c r="A12706" s="40">
        <f t="shared" si="1"/>
        <v>46013</v>
      </c>
      <c r="B12706" s="37" t="str">
        <f t="array" ref="B12706">iferror(xlookup($I12706, 'IMPORT VHC Report'!$E:$E, 'IMPORT VHC Report'!$A:$C), )</f>
        <v/>
      </c>
      <c r="C12706" s="44"/>
      <c r="D12706" s="44"/>
      <c r="E12706" s="46" t="s">
        <v>8735</v>
      </c>
      <c r="F12706" s="46" t="s">
        <v>5795</v>
      </c>
      <c r="G12706" s="46">
        <v>3.61732054935E11</v>
      </c>
      <c r="H12706" s="46" t="s">
        <v>5796</v>
      </c>
      <c r="I12706" s="46" t="s">
        <v>5797</v>
      </c>
      <c r="J12706" s="46" t="s">
        <v>134</v>
      </c>
      <c r="K12706" s="46" t="s">
        <v>126</v>
      </c>
      <c r="L12706" s="45">
        <v>46018.145833333336</v>
      </c>
      <c r="M12706" s="46" t="s">
        <v>123</v>
      </c>
      <c r="N12706" s="45">
        <v>46018.166666666664</v>
      </c>
      <c r="O12706" s="46" t="s">
        <v>123</v>
      </c>
      <c r="P12706" s="46">
        <v>1800.0</v>
      </c>
    </row>
    <row r="12707">
      <c r="A12707" s="40">
        <f t="shared" si="1"/>
        <v>46013</v>
      </c>
      <c r="B12707" s="37" t="str">
        <f t="array" ref="B12707">iferror(xlookup($I12707, 'IMPORT VHC Report'!$E:$E, 'IMPORT VHC Report'!$A:$C), )</f>
        <v/>
      </c>
      <c r="C12707" s="44"/>
      <c r="D12707" s="44"/>
      <c r="E12707" s="46" t="s">
        <v>8736</v>
      </c>
      <c r="F12707" s="46" t="s">
        <v>5795</v>
      </c>
      <c r="G12707" s="46">
        <v>3.61732054935E11</v>
      </c>
      <c r="H12707" s="46" t="s">
        <v>5796</v>
      </c>
      <c r="I12707" s="46" t="s">
        <v>5797</v>
      </c>
      <c r="J12707" s="46" t="s">
        <v>132</v>
      </c>
      <c r="K12707" s="46" t="s">
        <v>126</v>
      </c>
      <c r="L12707" s="45">
        <v>46018.166666666664</v>
      </c>
      <c r="M12707" s="46" t="s">
        <v>123</v>
      </c>
      <c r="N12707" s="45">
        <v>46018.208333333336</v>
      </c>
      <c r="O12707" s="46" t="s">
        <v>123</v>
      </c>
      <c r="P12707" s="46">
        <v>3600.0</v>
      </c>
    </row>
    <row r="12708">
      <c r="A12708" s="40">
        <f t="shared" si="1"/>
        <v>46006</v>
      </c>
      <c r="B12708" s="37" t="str">
        <f t="array" ref="B12708">iferror(xlookup($I12708, 'IMPORT VHC Report'!$E:$E, 'IMPORT VHC Report'!$A:$C), )</f>
        <v/>
      </c>
      <c r="C12708" s="44"/>
      <c r="D12708" s="44"/>
      <c r="E12708" s="46" t="s">
        <v>260</v>
      </c>
      <c r="F12708" s="46" t="s">
        <v>221</v>
      </c>
      <c r="G12708" s="46">
        <v>1.1035371839887E13</v>
      </c>
      <c r="H12708" s="46" t="s">
        <v>222</v>
      </c>
      <c r="I12708" s="46" t="s">
        <v>223</v>
      </c>
      <c r="J12708" s="46" t="s">
        <v>132</v>
      </c>
      <c r="K12708" s="46" t="s">
        <v>126</v>
      </c>
      <c r="L12708" s="45">
        <v>46012.979166666664</v>
      </c>
      <c r="M12708" s="46" t="s">
        <v>123</v>
      </c>
      <c r="N12708" s="45">
        <v>46013.020833333336</v>
      </c>
      <c r="O12708" s="46" t="s">
        <v>123</v>
      </c>
      <c r="P12708" s="46">
        <v>3600.0</v>
      </c>
    </row>
    <row r="12709">
      <c r="A12709" s="40">
        <f t="shared" si="1"/>
        <v>46006</v>
      </c>
      <c r="B12709" s="37" t="str">
        <f t="array" ref="B12709">iferror(xlookup($I12709, 'IMPORT VHC Report'!$E:$E, 'IMPORT VHC Report'!$A:$C), )</f>
        <v/>
      </c>
      <c r="C12709" s="44"/>
      <c r="D12709" s="44"/>
      <c r="E12709" s="46" t="s">
        <v>261</v>
      </c>
      <c r="F12709" s="46" t="s">
        <v>221</v>
      </c>
      <c r="G12709" s="46">
        <v>1.1035371839887E13</v>
      </c>
      <c r="H12709" s="46" t="s">
        <v>222</v>
      </c>
      <c r="I12709" s="46" t="s">
        <v>223</v>
      </c>
      <c r="J12709" s="46" t="s">
        <v>224</v>
      </c>
      <c r="K12709" s="46" t="s">
        <v>63</v>
      </c>
      <c r="L12709" s="45">
        <v>46012.979166666664</v>
      </c>
      <c r="M12709" s="46" t="s">
        <v>123</v>
      </c>
      <c r="N12709" s="45">
        <v>46013.166666666664</v>
      </c>
      <c r="O12709" s="46" t="s">
        <v>123</v>
      </c>
      <c r="P12709" s="46">
        <v>16200.0</v>
      </c>
    </row>
    <row r="12710">
      <c r="A12710" s="40">
        <f t="shared" si="1"/>
        <v>46013</v>
      </c>
      <c r="B12710" s="37" t="str">
        <f t="array" ref="B12710">iferror(xlookup($I12710, 'IMPORT VHC Report'!$E:$E, 'IMPORT VHC Report'!$A:$C), )</f>
        <v/>
      </c>
      <c r="C12710" s="44"/>
      <c r="D12710" s="44"/>
      <c r="E12710" s="46" t="s">
        <v>8737</v>
      </c>
      <c r="F12710" s="46" t="s">
        <v>221</v>
      </c>
      <c r="G12710" s="46">
        <v>1.1035371839887E13</v>
      </c>
      <c r="H12710" s="46" t="s">
        <v>222</v>
      </c>
      <c r="I12710" s="46" t="s">
        <v>223</v>
      </c>
      <c r="J12710" s="46" t="s">
        <v>134</v>
      </c>
      <c r="K12710" s="46" t="s">
        <v>126</v>
      </c>
      <c r="L12710" s="45">
        <v>46013.083333333336</v>
      </c>
      <c r="M12710" s="46" t="s">
        <v>123</v>
      </c>
      <c r="N12710" s="45">
        <v>46013.09375</v>
      </c>
      <c r="O12710" s="46" t="s">
        <v>123</v>
      </c>
      <c r="P12710" s="46">
        <v>900.0</v>
      </c>
    </row>
    <row r="12711">
      <c r="A12711" s="40">
        <f t="shared" si="1"/>
        <v>46013</v>
      </c>
      <c r="B12711" s="37" t="str">
        <f t="array" ref="B12711">iferror(xlookup($I12711, 'IMPORT VHC Report'!$E:$E, 'IMPORT VHC Report'!$A:$C), )</f>
        <v/>
      </c>
      <c r="C12711" s="44"/>
      <c r="D12711" s="44"/>
      <c r="E12711" s="46" t="s">
        <v>8738</v>
      </c>
      <c r="F12711" s="46" t="s">
        <v>221</v>
      </c>
      <c r="G12711" s="46">
        <v>1.1035371839887E13</v>
      </c>
      <c r="H12711" s="46" t="s">
        <v>222</v>
      </c>
      <c r="I12711" s="46" t="s">
        <v>223</v>
      </c>
      <c r="J12711" s="46" t="s">
        <v>4</v>
      </c>
      <c r="K12711" s="46" t="s">
        <v>126</v>
      </c>
      <c r="L12711" s="45">
        <v>46013.791666666664</v>
      </c>
      <c r="M12711" s="46" t="s">
        <v>123</v>
      </c>
      <c r="N12711" s="45">
        <v>46013.8125</v>
      </c>
      <c r="O12711" s="46" t="s">
        <v>123</v>
      </c>
      <c r="P12711" s="46">
        <v>1800.0</v>
      </c>
      <c r="S12711" s="46" t="s">
        <v>8607</v>
      </c>
    </row>
    <row r="12712">
      <c r="A12712" s="40">
        <f t="shared" si="1"/>
        <v>46013</v>
      </c>
      <c r="B12712" s="37" t="str">
        <f t="array" ref="B12712">iferror(xlookup($I12712, 'IMPORT VHC Report'!$E:$E, 'IMPORT VHC Report'!$A:$C), )</f>
        <v/>
      </c>
      <c r="C12712" s="44"/>
      <c r="D12712" s="44"/>
      <c r="E12712" s="46" t="s">
        <v>8739</v>
      </c>
      <c r="F12712" s="46" t="s">
        <v>221</v>
      </c>
      <c r="G12712" s="46">
        <v>1.1035371839887E13</v>
      </c>
      <c r="H12712" s="46" t="s">
        <v>222</v>
      </c>
      <c r="I12712" s="46" t="s">
        <v>223</v>
      </c>
      <c r="J12712" s="46" t="s">
        <v>224</v>
      </c>
      <c r="K12712" s="46" t="s">
        <v>63</v>
      </c>
      <c r="L12712" s="45">
        <v>46013.791666666664</v>
      </c>
      <c r="M12712" s="46" t="s">
        <v>123</v>
      </c>
      <c r="N12712" s="45">
        <v>46014.166666666664</v>
      </c>
      <c r="O12712" s="46" t="s">
        <v>123</v>
      </c>
      <c r="P12712" s="46">
        <v>32400.0</v>
      </c>
    </row>
    <row r="12713">
      <c r="A12713" s="40">
        <f t="shared" si="1"/>
        <v>46013</v>
      </c>
      <c r="B12713" s="37" t="str">
        <f t="array" ref="B12713">iferror(xlookup($I12713, 'IMPORT VHC Report'!$E:$E, 'IMPORT VHC Report'!$A:$C), )</f>
        <v/>
      </c>
      <c r="C12713" s="44"/>
      <c r="D12713" s="44"/>
      <c r="E12713" s="46" t="s">
        <v>8740</v>
      </c>
      <c r="F12713" s="46" t="s">
        <v>221</v>
      </c>
      <c r="G12713" s="46">
        <v>1.1035371839887E13</v>
      </c>
      <c r="H12713" s="46" t="s">
        <v>222</v>
      </c>
      <c r="I12713" s="46" t="s">
        <v>223</v>
      </c>
      <c r="J12713" s="46" t="s">
        <v>330</v>
      </c>
      <c r="K12713" s="46" t="s">
        <v>126</v>
      </c>
      <c r="L12713" s="45">
        <v>46013.8125</v>
      </c>
      <c r="M12713" s="46" t="s">
        <v>123</v>
      </c>
      <c r="N12713" s="45">
        <v>46013.854166666664</v>
      </c>
      <c r="O12713" s="46" t="s">
        <v>123</v>
      </c>
      <c r="P12713" s="46">
        <v>3600.0</v>
      </c>
    </row>
    <row r="12714">
      <c r="A12714" s="40">
        <f t="shared" si="1"/>
        <v>46013</v>
      </c>
      <c r="B12714" s="37" t="str">
        <f t="array" ref="B12714">iferror(xlookup($I12714, 'IMPORT VHC Report'!$E:$E, 'IMPORT VHC Report'!$A:$C), )</f>
        <v/>
      </c>
      <c r="C12714" s="44"/>
      <c r="D12714" s="44"/>
      <c r="E12714" s="46" t="s">
        <v>8741</v>
      </c>
      <c r="F12714" s="46" t="s">
        <v>221</v>
      </c>
      <c r="G12714" s="46">
        <v>1.1035371839887E13</v>
      </c>
      <c r="H12714" s="46" t="s">
        <v>222</v>
      </c>
      <c r="I12714" s="46" t="s">
        <v>223</v>
      </c>
      <c r="J12714" s="46" t="s">
        <v>134</v>
      </c>
      <c r="K12714" s="46" t="s">
        <v>126</v>
      </c>
      <c r="L12714" s="45">
        <v>46013.875</v>
      </c>
      <c r="M12714" s="46" t="s">
        <v>123</v>
      </c>
      <c r="N12714" s="45">
        <v>46013.885416666664</v>
      </c>
      <c r="O12714" s="46" t="s">
        <v>123</v>
      </c>
      <c r="P12714" s="46">
        <v>900.0</v>
      </c>
    </row>
    <row r="12715">
      <c r="A12715" s="40">
        <f t="shared" si="1"/>
        <v>46013</v>
      </c>
      <c r="B12715" s="37" t="str">
        <f t="array" ref="B12715">iferror(xlookup($I12715, 'IMPORT VHC Report'!$E:$E, 'IMPORT VHC Report'!$A:$C), )</f>
        <v/>
      </c>
      <c r="C12715" s="44"/>
      <c r="D12715" s="44"/>
      <c r="E12715" s="46" t="s">
        <v>8742</v>
      </c>
      <c r="F12715" s="46" t="s">
        <v>221</v>
      </c>
      <c r="G12715" s="46">
        <v>1.1035371839887E13</v>
      </c>
      <c r="H12715" s="46" t="s">
        <v>222</v>
      </c>
      <c r="I12715" s="46" t="s">
        <v>223</v>
      </c>
      <c r="J12715" s="46" t="s">
        <v>134</v>
      </c>
      <c r="K12715" s="46" t="s">
        <v>126</v>
      </c>
      <c r="L12715" s="45">
        <v>46013.958333333336</v>
      </c>
      <c r="M12715" s="46" t="s">
        <v>123</v>
      </c>
      <c r="N12715" s="45">
        <v>46013.96875</v>
      </c>
      <c r="O12715" s="46" t="s">
        <v>123</v>
      </c>
      <c r="P12715" s="46">
        <v>900.0</v>
      </c>
    </row>
    <row r="12716">
      <c r="A12716" s="40">
        <f t="shared" si="1"/>
        <v>46013</v>
      </c>
      <c r="B12716" s="37" t="str">
        <f t="array" ref="B12716">iferror(xlookup($I12716, 'IMPORT VHC Report'!$E:$E, 'IMPORT VHC Report'!$A:$C), )</f>
        <v/>
      </c>
      <c r="C12716" s="44"/>
      <c r="D12716" s="44"/>
      <c r="E12716" s="46" t="s">
        <v>8743</v>
      </c>
      <c r="F12716" s="46" t="s">
        <v>221</v>
      </c>
      <c r="G12716" s="46">
        <v>1.1035371839887E13</v>
      </c>
      <c r="H12716" s="46" t="s">
        <v>222</v>
      </c>
      <c r="I12716" s="46" t="s">
        <v>223</v>
      </c>
      <c r="J12716" s="46" t="s">
        <v>132</v>
      </c>
      <c r="K12716" s="46" t="s">
        <v>126</v>
      </c>
      <c r="L12716" s="45">
        <v>46014.052083333336</v>
      </c>
      <c r="M12716" s="46" t="s">
        <v>123</v>
      </c>
      <c r="N12716" s="45">
        <v>46014.09375</v>
      </c>
      <c r="O12716" s="46" t="s">
        <v>123</v>
      </c>
      <c r="P12716" s="46">
        <v>3600.0</v>
      </c>
    </row>
    <row r="12717">
      <c r="A12717" s="40">
        <f t="shared" si="1"/>
        <v>46013</v>
      </c>
      <c r="B12717" s="37" t="str">
        <f t="array" ref="B12717">iferror(xlookup($I12717, 'IMPORT VHC Report'!$E:$E, 'IMPORT VHC Report'!$A:$C), )</f>
        <v/>
      </c>
      <c r="C12717" s="44"/>
      <c r="D12717" s="44"/>
      <c r="E12717" s="46" t="s">
        <v>8744</v>
      </c>
      <c r="F12717" s="46" t="s">
        <v>221</v>
      </c>
      <c r="G12717" s="46">
        <v>1.1035371839887E13</v>
      </c>
      <c r="H12717" s="46" t="s">
        <v>222</v>
      </c>
      <c r="I12717" s="46" t="s">
        <v>223</v>
      </c>
      <c r="J12717" s="46" t="s">
        <v>4</v>
      </c>
      <c r="K12717" s="46" t="s">
        <v>126</v>
      </c>
      <c r="L12717" s="45">
        <v>46014.791666666664</v>
      </c>
      <c r="M12717" s="46" t="s">
        <v>123</v>
      </c>
      <c r="N12717" s="45">
        <v>46014.8125</v>
      </c>
      <c r="O12717" s="46" t="s">
        <v>123</v>
      </c>
      <c r="P12717" s="46">
        <v>1800.0</v>
      </c>
      <c r="S12717" s="46" t="s">
        <v>8745</v>
      </c>
    </row>
    <row r="12718">
      <c r="A12718" s="40">
        <f t="shared" si="1"/>
        <v>46013</v>
      </c>
      <c r="B12718" s="37" t="str">
        <f t="array" ref="B12718">iferror(xlookup($I12718, 'IMPORT VHC Report'!$E:$E, 'IMPORT VHC Report'!$A:$C), )</f>
        <v/>
      </c>
      <c r="C12718" s="44"/>
      <c r="D12718" s="44"/>
      <c r="E12718" s="46" t="s">
        <v>8746</v>
      </c>
      <c r="F12718" s="46" t="s">
        <v>221</v>
      </c>
      <c r="G12718" s="46">
        <v>1.1035371839887E13</v>
      </c>
      <c r="H12718" s="46" t="s">
        <v>222</v>
      </c>
      <c r="I12718" s="46" t="s">
        <v>223</v>
      </c>
      <c r="J12718" s="46" t="s">
        <v>224</v>
      </c>
      <c r="K12718" s="46" t="s">
        <v>63</v>
      </c>
      <c r="L12718" s="45">
        <v>46014.791666666664</v>
      </c>
      <c r="M12718" s="46" t="s">
        <v>123</v>
      </c>
      <c r="N12718" s="45">
        <v>46015.166666666664</v>
      </c>
      <c r="O12718" s="46" t="s">
        <v>123</v>
      </c>
      <c r="P12718" s="46">
        <v>32400.0</v>
      </c>
    </row>
    <row r="12719">
      <c r="A12719" s="40">
        <f t="shared" si="1"/>
        <v>46013</v>
      </c>
      <c r="B12719" s="37" t="str">
        <f t="array" ref="B12719">iferror(xlookup($I12719, 'IMPORT VHC Report'!$E:$E, 'IMPORT VHC Report'!$A:$C), )</f>
        <v/>
      </c>
      <c r="C12719" s="44"/>
      <c r="D12719" s="44"/>
      <c r="E12719" s="46" t="s">
        <v>8747</v>
      </c>
      <c r="F12719" s="46" t="s">
        <v>221</v>
      </c>
      <c r="G12719" s="46">
        <v>1.1035371839887E13</v>
      </c>
      <c r="H12719" s="46" t="s">
        <v>222</v>
      </c>
      <c r="I12719" s="46" t="s">
        <v>223</v>
      </c>
      <c r="J12719" s="46" t="s">
        <v>136</v>
      </c>
      <c r="K12719" s="46" t="s">
        <v>126</v>
      </c>
      <c r="L12719" s="45">
        <v>46014.916666666664</v>
      </c>
      <c r="M12719" s="46" t="s">
        <v>123</v>
      </c>
      <c r="N12719" s="45">
        <v>46015.0</v>
      </c>
      <c r="O12719" s="46" t="s">
        <v>123</v>
      </c>
      <c r="P12719" s="46">
        <v>7200.0</v>
      </c>
    </row>
    <row r="12720">
      <c r="A12720" s="40">
        <f t="shared" si="1"/>
        <v>46013</v>
      </c>
      <c r="B12720" s="37" t="str">
        <f t="array" ref="B12720">iferror(xlookup($I12720, 'IMPORT VHC Report'!$E:$E, 'IMPORT VHC Report'!$A:$C), )</f>
        <v/>
      </c>
      <c r="C12720" s="44"/>
      <c r="D12720" s="44"/>
      <c r="E12720" s="46" t="s">
        <v>8748</v>
      </c>
      <c r="F12720" s="46" t="s">
        <v>221</v>
      </c>
      <c r="G12720" s="46">
        <v>1.1035371839887E13</v>
      </c>
      <c r="H12720" s="46" t="s">
        <v>222</v>
      </c>
      <c r="I12720" s="46" t="s">
        <v>223</v>
      </c>
      <c r="J12720" s="46" t="s">
        <v>134</v>
      </c>
      <c r="K12720" s="46" t="s">
        <v>126</v>
      </c>
      <c r="L12720" s="45">
        <v>46015.0</v>
      </c>
      <c r="M12720" s="46" t="s">
        <v>123</v>
      </c>
      <c r="N12720" s="45">
        <v>46015.010416666664</v>
      </c>
      <c r="O12720" s="46" t="s">
        <v>123</v>
      </c>
      <c r="P12720" s="46">
        <v>900.0</v>
      </c>
    </row>
    <row r="12721">
      <c r="A12721" s="40">
        <f t="shared" si="1"/>
        <v>46013</v>
      </c>
      <c r="B12721" s="37" t="str">
        <f t="array" ref="B12721">iferror(xlookup($I12721, 'IMPORT VHC Report'!$E:$E, 'IMPORT VHC Report'!$A:$C), )</f>
        <v/>
      </c>
      <c r="C12721" s="44"/>
      <c r="D12721" s="44"/>
      <c r="E12721" s="46" t="s">
        <v>8749</v>
      </c>
      <c r="F12721" s="46" t="s">
        <v>221</v>
      </c>
      <c r="G12721" s="46">
        <v>1.1035371839887E13</v>
      </c>
      <c r="H12721" s="46" t="s">
        <v>222</v>
      </c>
      <c r="I12721" s="46" t="s">
        <v>223</v>
      </c>
      <c r="J12721" s="46" t="s">
        <v>132</v>
      </c>
      <c r="K12721" s="46" t="s">
        <v>126</v>
      </c>
      <c r="L12721" s="45">
        <v>46015.010416666664</v>
      </c>
      <c r="M12721" s="46" t="s">
        <v>123</v>
      </c>
      <c r="N12721" s="45">
        <v>46015.052083333336</v>
      </c>
      <c r="O12721" s="46" t="s">
        <v>123</v>
      </c>
      <c r="P12721" s="46">
        <v>3600.0</v>
      </c>
    </row>
    <row r="12722">
      <c r="A12722" s="40">
        <f t="shared" si="1"/>
        <v>46013</v>
      </c>
      <c r="B12722" s="37" t="str">
        <f t="array" ref="B12722">iferror(xlookup($I12722, 'IMPORT VHC Report'!$E:$E, 'IMPORT VHC Report'!$A:$C), )</f>
        <v/>
      </c>
      <c r="C12722" s="44"/>
      <c r="D12722" s="44"/>
      <c r="E12722" s="46" t="s">
        <v>8750</v>
      </c>
      <c r="F12722" s="46" t="s">
        <v>221</v>
      </c>
      <c r="G12722" s="46">
        <v>1.1035371839887E13</v>
      </c>
      <c r="H12722" s="46" t="s">
        <v>222</v>
      </c>
      <c r="I12722" s="46" t="s">
        <v>223</v>
      </c>
      <c r="J12722" s="46" t="s">
        <v>134</v>
      </c>
      <c r="K12722" s="46" t="s">
        <v>126</v>
      </c>
      <c r="L12722" s="45">
        <v>46015.09375</v>
      </c>
      <c r="M12722" s="46" t="s">
        <v>123</v>
      </c>
      <c r="N12722" s="45">
        <v>46015.104166666664</v>
      </c>
      <c r="O12722" s="46" t="s">
        <v>123</v>
      </c>
      <c r="P12722" s="46">
        <v>900.0</v>
      </c>
    </row>
    <row r="12723">
      <c r="A12723" s="40">
        <f t="shared" si="1"/>
        <v>46013</v>
      </c>
      <c r="B12723" s="37" t="str">
        <f t="array" ref="B12723">iferror(xlookup($I12723, 'IMPORT VHC Report'!$E:$E, 'IMPORT VHC Report'!$A:$C), )</f>
        <v/>
      </c>
      <c r="C12723" s="44"/>
      <c r="D12723" s="44"/>
      <c r="E12723" s="46" t="s">
        <v>8751</v>
      </c>
      <c r="F12723" s="46" t="s">
        <v>221</v>
      </c>
      <c r="G12723" s="46">
        <v>1.1035371839887E13</v>
      </c>
      <c r="H12723" s="46" t="s">
        <v>222</v>
      </c>
      <c r="I12723" s="46" t="s">
        <v>223</v>
      </c>
      <c r="J12723" s="46" t="s">
        <v>224</v>
      </c>
      <c r="K12723" s="46" t="s">
        <v>63</v>
      </c>
      <c r="L12723" s="45">
        <v>46015.791666666664</v>
      </c>
      <c r="M12723" s="46" t="s">
        <v>123</v>
      </c>
      <c r="N12723" s="45">
        <v>46016.166666666664</v>
      </c>
      <c r="O12723" s="46" t="s">
        <v>123</v>
      </c>
      <c r="P12723" s="46">
        <v>32400.0</v>
      </c>
    </row>
    <row r="12724">
      <c r="A12724" s="40">
        <f t="shared" si="1"/>
        <v>46013</v>
      </c>
      <c r="B12724" s="37" t="str">
        <f t="array" ref="B12724">iferror(xlookup($I12724, 'IMPORT VHC Report'!$E:$E, 'IMPORT VHC Report'!$A:$C), )</f>
        <v/>
      </c>
      <c r="C12724" s="44"/>
      <c r="D12724" s="44"/>
      <c r="E12724" s="46" t="s">
        <v>8752</v>
      </c>
      <c r="F12724" s="46" t="s">
        <v>221</v>
      </c>
      <c r="G12724" s="46">
        <v>1.1035371839887E13</v>
      </c>
      <c r="H12724" s="46" t="s">
        <v>222</v>
      </c>
      <c r="I12724" s="46" t="s">
        <v>223</v>
      </c>
      <c r="J12724" s="46" t="s">
        <v>134</v>
      </c>
      <c r="K12724" s="46" t="s">
        <v>126</v>
      </c>
      <c r="L12724" s="45">
        <v>46015.916666666664</v>
      </c>
      <c r="M12724" s="46" t="s">
        <v>123</v>
      </c>
      <c r="N12724" s="45">
        <v>46015.927083333336</v>
      </c>
      <c r="O12724" s="46" t="s">
        <v>123</v>
      </c>
      <c r="P12724" s="46">
        <v>900.0</v>
      </c>
    </row>
    <row r="12725">
      <c r="A12725" s="40">
        <f t="shared" si="1"/>
        <v>46013</v>
      </c>
      <c r="B12725" s="37" t="str">
        <f t="array" ref="B12725">iferror(xlookup($I12725, 'IMPORT VHC Report'!$E:$E, 'IMPORT VHC Report'!$A:$C), )</f>
        <v/>
      </c>
      <c r="C12725" s="44"/>
      <c r="D12725" s="44"/>
      <c r="E12725" s="46" t="s">
        <v>8753</v>
      </c>
      <c r="F12725" s="46" t="s">
        <v>221</v>
      </c>
      <c r="G12725" s="46">
        <v>1.1035371839887E13</v>
      </c>
      <c r="H12725" s="46" t="s">
        <v>222</v>
      </c>
      <c r="I12725" s="46" t="s">
        <v>223</v>
      </c>
      <c r="J12725" s="46" t="s">
        <v>132</v>
      </c>
      <c r="K12725" s="46" t="s">
        <v>126</v>
      </c>
      <c r="L12725" s="45">
        <v>46015.989583333336</v>
      </c>
      <c r="M12725" s="46" t="s">
        <v>123</v>
      </c>
      <c r="N12725" s="45">
        <v>46016.03125</v>
      </c>
      <c r="O12725" s="46" t="s">
        <v>123</v>
      </c>
      <c r="P12725" s="46">
        <v>3600.0</v>
      </c>
    </row>
    <row r="12726">
      <c r="A12726" s="40">
        <f t="shared" si="1"/>
        <v>46013</v>
      </c>
      <c r="B12726" s="37" t="str">
        <f t="array" ref="B12726">iferror(xlookup($I12726, 'IMPORT VHC Report'!$E:$E, 'IMPORT VHC Report'!$A:$C), )</f>
        <v/>
      </c>
      <c r="C12726" s="44"/>
      <c r="D12726" s="44"/>
      <c r="E12726" s="46" t="s">
        <v>8754</v>
      </c>
      <c r="F12726" s="46" t="s">
        <v>221</v>
      </c>
      <c r="G12726" s="46">
        <v>1.1035371839887E13</v>
      </c>
      <c r="H12726" s="46" t="s">
        <v>222</v>
      </c>
      <c r="I12726" s="46" t="s">
        <v>223</v>
      </c>
      <c r="J12726" s="46" t="s">
        <v>134</v>
      </c>
      <c r="K12726" s="46" t="s">
        <v>126</v>
      </c>
      <c r="L12726" s="45">
        <v>46016.09375</v>
      </c>
      <c r="M12726" s="46" t="s">
        <v>123</v>
      </c>
      <c r="N12726" s="45">
        <v>46016.104166666664</v>
      </c>
      <c r="O12726" s="46" t="s">
        <v>123</v>
      </c>
      <c r="P12726" s="46">
        <v>900.0</v>
      </c>
    </row>
    <row r="12727">
      <c r="A12727" s="40">
        <f t="shared" si="1"/>
        <v>46013</v>
      </c>
      <c r="B12727" s="37" t="str">
        <f t="array" ref="B12727">iferror(xlookup($I12727, 'IMPORT VHC Report'!$E:$E, 'IMPORT VHC Report'!$A:$C), )</f>
        <v/>
      </c>
      <c r="C12727" s="44"/>
      <c r="D12727" s="44"/>
      <c r="E12727" s="46" t="s">
        <v>8755</v>
      </c>
      <c r="F12727" s="46" t="s">
        <v>221</v>
      </c>
      <c r="G12727" s="46">
        <v>1.1035371839887E13</v>
      </c>
      <c r="H12727" s="46" t="s">
        <v>222</v>
      </c>
      <c r="I12727" s="46" t="s">
        <v>223</v>
      </c>
      <c r="J12727" s="46" t="s">
        <v>178</v>
      </c>
      <c r="K12727" s="46" t="s">
        <v>153</v>
      </c>
      <c r="L12727" s="45">
        <v>46016.791666666664</v>
      </c>
      <c r="M12727" s="46" t="s">
        <v>123</v>
      </c>
      <c r="N12727" s="45">
        <v>46017.166666666664</v>
      </c>
      <c r="O12727" s="46" t="s">
        <v>123</v>
      </c>
      <c r="P12727" s="46">
        <v>32400.0</v>
      </c>
      <c r="Q12727" s="46">
        <v>32400.0</v>
      </c>
    </row>
    <row r="12728">
      <c r="A12728" s="40">
        <f t="shared" si="1"/>
        <v>46013</v>
      </c>
      <c r="B12728" s="37" t="str">
        <f t="array" ref="B12728">iferror(xlookup($I12728, 'IMPORT VHC Report'!$E:$E, 'IMPORT VHC Report'!$A:$C), )</f>
        <v/>
      </c>
      <c r="C12728" s="44"/>
      <c r="D12728" s="44"/>
      <c r="E12728" s="46" t="s">
        <v>8756</v>
      </c>
      <c r="F12728" s="46" t="s">
        <v>221</v>
      </c>
      <c r="G12728" s="46">
        <v>1.1035371839887E13</v>
      </c>
      <c r="H12728" s="46" t="s">
        <v>222</v>
      </c>
      <c r="I12728" s="46" t="s">
        <v>223</v>
      </c>
      <c r="J12728" s="46" t="s">
        <v>224</v>
      </c>
      <c r="K12728" s="46" t="s">
        <v>63</v>
      </c>
      <c r="L12728" s="45">
        <v>46016.791666666664</v>
      </c>
      <c r="M12728" s="46" t="s">
        <v>123</v>
      </c>
      <c r="N12728" s="45">
        <v>46017.166666666664</v>
      </c>
      <c r="O12728" s="46" t="s">
        <v>123</v>
      </c>
      <c r="P12728" s="46">
        <v>32400.0</v>
      </c>
    </row>
    <row r="12729">
      <c r="A12729" s="40">
        <f t="shared" si="1"/>
        <v>46013</v>
      </c>
      <c r="B12729" s="37" t="str">
        <f t="array" ref="B12729">iferror(xlookup($I12729, 'IMPORT VHC Report'!$E:$E, 'IMPORT VHC Report'!$A:$C), )</f>
        <v/>
      </c>
      <c r="C12729" s="44"/>
      <c r="D12729" s="44"/>
      <c r="E12729" s="46" t="s">
        <v>8757</v>
      </c>
      <c r="F12729" s="46" t="s">
        <v>221</v>
      </c>
      <c r="G12729" s="46">
        <v>1.1035371839887E13</v>
      </c>
      <c r="H12729" s="46" t="s">
        <v>222</v>
      </c>
      <c r="I12729" s="46" t="s">
        <v>223</v>
      </c>
      <c r="J12729" s="46" t="s">
        <v>132</v>
      </c>
      <c r="K12729" s="46" t="s">
        <v>126</v>
      </c>
      <c r="L12729" s="45">
        <v>46016.895833333336</v>
      </c>
      <c r="M12729" s="46" t="s">
        <v>123</v>
      </c>
      <c r="N12729" s="45">
        <v>46016.9375</v>
      </c>
      <c r="O12729" s="46" t="s">
        <v>123</v>
      </c>
      <c r="P12729" s="46">
        <v>3600.0</v>
      </c>
    </row>
    <row r="12730">
      <c r="A12730" s="40">
        <f t="shared" si="1"/>
        <v>46013</v>
      </c>
      <c r="B12730" s="37" t="str">
        <f t="array" ref="B12730">iferror(xlookup($I12730, 'IMPORT VHC Report'!$E:$E, 'IMPORT VHC Report'!$A:$C), )</f>
        <v/>
      </c>
      <c r="C12730" s="44"/>
      <c r="D12730" s="44"/>
      <c r="E12730" s="46" t="s">
        <v>8758</v>
      </c>
      <c r="F12730" s="46" t="s">
        <v>221</v>
      </c>
      <c r="G12730" s="46">
        <v>1.1035371839887E13</v>
      </c>
      <c r="H12730" s="46" t="s">
        <v>222</v>
      </c>
      <c r="I12730" s="46" t="s">
        <v>223</v>
      </c>
      <c r="J12730" s="46" t="s">
        <v>134</v>
      </c>
      <c r="K12730" s="46" t="s">
        <v>126</v>
      </c>
      <c r="L12730" s="45">
        <v>46017.0</v>
      </c>
      <c r="M12730" s="46" t="s">
        <v>123</v>
      </c>
      <c r="N12730" s="45">
        <v>46017.010416666664</v>
      </c>
      <c r="O12730" s="46" t="s">
        <v>123</v>
      </c>
      <c r="P12730" s="46">
        <v>900.0</v>
      </c>
    </row>
    <row r="12731">
      <c r="A12731" s="40">
        <f t="shared" si="1"/>
        <v>46013</v>
      </c>
      <c r="B12731" s="37" t="str">
        <f t="array" ref="B12731">iferror(xlookup($I12731, 'IMPORT VHC Report'!$E:$E, 'IMPORT VHC Report'!$A:$C), )</f>
        <v/>
      </c>
      <c r="C12731" s="44"/>
      <c r="D12731" s="44"/>
      <c r="E12731" s="46" t="s">
        <v>8759</v>
      </c>
      <c r="F12731" s="46" t="s">
        <v>221</v>
      </c>
      <c r="G12731" s="46">
        <v>1.1035371839887E13</v>
      </c>
      <c r="H12731" s="46" t="s">
        <v>222</v>
      </c>
      <c r="I12731" s="46" t="s">
        <v>223</v>
      </c>
      <c r="J12731" s="46" t="s">
        <v>134</v>
      </c>
      <c r="K12731" s="46" t="s">
        <v>126</v>
      </c>
      <c r="L12731" s="45">
        <v>46017.09375</v>
      </c>
      <c r="M12731" s="46" t="s">
        <v>123</v>
      </c>
      <c r="N12731" s="45">
        <v>46017.104166666664</v>
      </c>
      <c r="O12731" s="46" t="s">
        <v>123</v>
      </c>
      <c r="P12731" s="46">
        <v>900.0</v>
      </c>
    </row>
    <row r="12732">
      <c r="A12732" s="40">
        <f t="shared" si="1"/>
        <v>46013</v>
      </c>
      <c r="B12732" s="37" t="str">
        <f t="array" ref="B12732">iferror(xlookup($I12732, 'IMPORT VHC Report'!$E:$E, 'IMPORT VHC Report'!$A:$C), )</f>
        <v/>
      </c>
      <c r="C12732" s="44"/>
      <c r="D12732" s="44"/>
      <c r="E12732" s="46" t="s">
        <v>8760</v>
      </c>
      <c r="F12732" s="46" t="s">
        <v>221</v>
      </c>
      <c r="G12732" s="46">
        <v>1.1035371839887E13</v>
      </c>
      <c r="H12732" s="46" t="s">
        <v>222</v>
      </c>
      <c r="I12732" s="46" t="s">
        <v>223</v>
      </c>
      <c r="J12732" s="46" t="s">
        <v>224</v>
      </c>
      <c r="K12732" s="46" t="s">
        <v>63</v>
      </c>
      <c r="L12732" s="45">
        <v>46019.791666666664</v>
      </c>
      <c r="M12732" s="46" t="s">
        <v>123</v>
      </c>
      <c r="N12732" s="45">
        <v>46019.8125</v>
      </c>
      <c r="O12732" s="46" t="s">
        <v>123</v>
      </c>
      <c r="P12732" s="46">
        <v>1800.0</v>
      </c>
    </row>
    <row r="12733">
      <c r="A12733" s="40">
        <f t="shared" si="1"/>
        <v>46013</v>
      </c>
      <c r="B12733" s="37" t="str">
        <f t="array" ref="B12733">iferror(xlookup($I12733, 'IMPORT VHC Report'!$E:$E, 'IMPORT VHC Report'!$A:$C), )</f>
        <v/>
      </c>
      <c r="C12733" s="44"/>
      <c r="D12733" s="44"/>
      <c r="E12733" s="46" t="s">
        <v>8761</v>
      </c>
      <c r="F12733" s="46" t="s">
        <v>221</v>
      </c>
      <c r="G12733" s="46">
        <v>1.1035371839887E13</v>
      </c>
      <c r="H12733" s="46" t="s">
        <v>222</v>
      </c>
      <c r="I12733" s="46" t="s">
        <v>223</v>
      </c>
      <c r="J12733" s="46" t="s">
        <v>62</v>
      </c>
      <c r="K12733" s="46" t="s">
        <v>63</v>
      </c>
      <c r="L12733" s="45">
        <v>46019.8125</v>
      </c>
      <c r="M12733" s="46" t="s">
        <v>123</v>
      </c>
      <c r="N12733" s="45">
        <v>46019.833333333336</v>
      </c>
      <c r="O12733" s="46" t="s">
        <v>123</v>
      </c>
      <c r="P12733" s="46">
        <v>1800.0</v>
      </c>
    </row>
    <row r="12734">
      <c r="A12734" s="40">
        <f t="shared" si="1"/>
        <v>46013</v>
      </c>
      <c r="B12734" s="37" t="str">
        <f t="array" ref="B12734">iferror(xlookup($I12734, 'IMPORT VHC Report'!$E:$E, 'IMPORT VHC Report'!$A:$C), )</f>
        <v/>
      </c>
      <c r="C12734" s="44"/>
      <c r="D12734" s="44"/>
      <c r="E12734" s="46" t="s">
        <v>8762</v>
      </c>
      <c r="F12734" s="46" t="s">
        <v>221</v>
      </c>
      <c r="G12734" s="46">
        <v>1.1035371839887E13</v>
      </c>
      <c r="H12734" s="46" t="s">
        <v>222</v>
      </c>
      <c r="I12734" s="46" t="s">
        <v>223</v>
      </c>
      <c r="J12734" s="46" t="s">
        <v>224</v>
      </c>
      <c r="K12734" s="46" t="s">
        <v>63</v>
      </c>
      <c r="L12734" s="45">
        <v>46019.833333333336</v>
      </c>
      <c r="M12734" s="46" t="s">
        <v>123</v>
      </c>
      <c r="N12734" s="45">
        <v>46020.0</v>
      </c>
      <c r="O12734" s="46" t="s">
        <v>123</v>
      </c>
      <c r="P12734" s="46">
        <v>14400.0</v>
      </c>
    </row>
    <row r="12735">
      <c r="A12735" s="40">
        <f t="shared" si="1"/>
        <v>46013</v>
      </c>
      <c r="B12735" s="37" t="str">
        <f t="array" ref="B12735">iferror(xlookup($I12735, 'IMPORT VHC Report'!$E:$E, 'IMPORT VHC Report'!$A:$C), )</f>
        <v/>
      </c>
      <c r="C12735" s="44"/>
      <c r="D12735" s="44"/>
      <c r="E12735" s="46" t="s">
        <v>8763</v>
      </c>
      <c r="F12735" s="46" t="s">
        <v>221</v>
      </c>
      <c r="G12735" s="46">
        <v>1.1035371839887E13</v>
      </c>
      <c r="H12735" s="46" t="s">
        <v>222</v>
      </c>
      <c r="I12735" s="46" t="s">
        <v>223</v>
      </c>
      <c r="J12735" s="46" t="s">
        <v>134</v>
      </c>
      <c r="K12735" s="46" t="s">
        <v>126</v>
      </c>
      <c r="L12735" s="45">
        <v>46019.916666666664</v>
      </c>
      <c r="M12735" s="46" t="s">
        <v>123</v>
      </c>
      <c r="N12735" s="45">
        <v>46019.927083333336</v>
      </c>
      <c r="O12735" s="46" t="s">
        <v>123</v>
      </c>
      <c r="P12735" s="46">
        <v>900.0</v>
      </c>
    </row>
    <row r="12736">
      <c r="A12736" s="40">
        <f t="shared" si="1"/>
        <v>46013</v>
      </c>
      <c r="B12736" s="37" t="str">
        <f t="array" ref="B12736">iferror(xlookup($I12736, 'IMPORT VHC Report'!$E:$E, 'IMPORT VHC Report'!$A:$C), )</f>
        <v/>
      </c>
      <c r="C12736" s="44"/>
      <c r="D12736" s="44"/>
      <c r="E12736" s="46" t="s">
        <v>8764</v>
      </c>
      <c r="F12736" s="46" t="s">
        <v>221</v>
      </c>
      <c r="G12736" s="46">
        <v>1.1035371839887E13</v>
      </c>
      <c r="H12736" s="46" t="s">
        <v>222</v>
      </c>
      <c r="I12736" s="46" t="s">
        <v>223</v>
      </c>
      <c r="J12736" s="46" t="s">
        <v>134</v>
      </c>
      <c r="K12736" s="46" t="s">
        <v>126</v>
      </c>
      <c r="L12736" s="45">
        <v>46019.989583333336</v>
      </c>
      <c r="M12736" s="46" t="s">
        <v>123</v>
      </c>
      <c r="N12736" s="45">
        <v>46020.0</v>
      </c>
      <c r="O12736" s="46" t="s">
        <v>123</v>
      </c>
      <c r="P12736" s="46">
        <v>900.0</v>
      </c>
    </row>
    <row r="12737">
      <c r="A12737" s="40">
        <f t="shared" si="1"/>
        <v>46006</v>
      </c>
      <c r="B12737" s="37" t="str">
        <f t="array" ref="B12737">iferror(xlookup($I12737, 'IMPORT VHC Report'!$E:$E, 'IMPORT VHC Report'!$A:$C), )</f>
        <v/>
      </c>
      <c r="C12737" s="44"/>
      <c r="D12737" s="44"/>
      <c r="E12737" s="46" t="s">
        <v>945</v>
      </c>
      <c r="F12737" s="46" t="s">
        <v>901</v>
      </c>
      <c r="G12737" s="46">
        <v>8.904451015951E12</v>
      </c>
      <c r="H12737" s="46" t="s">
        <v>902</v>
      </c>
      <c r="I12737" s="46" t="s">
        <v>903</v>
      </c>
      <c r="J12737" s="46" t="s">
        <v>224</v>
      </c>
      <c r="K12737" s="46" t="s">
        <v>63</v>
      </c>
      <c r="L12737" s="45">
        <v>46012.989583333336</v>
      </c>
      <c r="M12737" s="46" t="s">
        <v>123</v>
      </c>
      <c r="N12737" s="45">
        <v>46013.21875</v>
      </c>
      <c r="O12737" s="46" t="s">
        <v>123</v>
      </c>
      <c r="P12737" s="46">
        <v>19800.0</v>
      </c>
    </row>
    <row r="12738">
      <c r="A12738" s="40">
        <f t="shared" si="1"/>
        <v>46013</v>
      </c>
      <c r="B12738" s="37" t="str">
        <f t="array" ref="B12738">iferror(xlookup($I12738, 'IMPORT VHC Report'!$E:$E, 'IMPORT VHC Report'!$A:$C), )</f>
        <v/>
      </c>
      <c r="C12738" s="44"/>
      <c r="D12738" s="44"/>
      <c r="E12738" s="46" t="s">
        <v>8765</v>
      </c>
      <c r="F12738" s="46" t="s">
        <v>901</v>
      </c>
      <c r="G12738" s="46">
        <v>8.904451015951E12</v>
      </c>
      <c r="H12738" s="46" t="s">
        <v>902</v>
      </c>
      <c r="I12738" s="46" t="s">
        <v>903</v>
      </c>
      <c r="J12738" s="46" t="s">
        <v>134</v>
      </c>
      <c r="K12738" s="46" t="s">
        <v>126</v>
      </c>
      <c r="L12738" s="45">
        <v>46013.052083333336</v>
      </c>
      <c r="M12738" s="46" t="s">
        <v>123</v>
      </c>
      <c r="N12738" s="45">
        <v>46013.0625</v>
      </c>
      <c r="O12738" s="46" t="s">
        <v>123</v>
      </c>
      <c r="P12738" s="46">
        <v>900.0</v>
      </c>
    </row>
    <row r="12739">
      <c r="A12739" s="40">
        <f t="shared" si="1"/>
        <v>46013</v>
      </c>
      <c r="B12739" s="37" t="str">
        <f t="array" ref="B12739">iferror(xlookup($I12739, 'IMPORT VHC Report'!$E:$E, 'IMPORT VHC Report'!$A:$C), )</f>
        <v/>
      </c>
      <c r="C12739" s="44"/>
      <c r="D12739" s="44"/>
      <c r="E12739" s="46" t="s">
        <v>8766</v>
      </c>
      <c r="F12739" s="46" t="s">
        <v>901</v>
      </c>
      <c r="G12739" s="46">
        <v>8.904451015951E12</v>
      </c>
      <c r="H12739" s="46" t="s">
        <v>902</v>
      </c>
      <c r="I12739" s="46" t="s">
        <v>903</v>
      </c>
      <c r="J12739" s="46" t="s">
        <v>132</v>
      </c>
      <c r="K12739" s="46" t="s">
        <v>126</v>
      </c>
      <c r="L12739" s="45">
        <v>46013.166666666664</v>
      </c>
      <c r="M12739" s="46" t="s">
        <v>123</v>
      </c>
      <c r="N12739" s="45">
        <v>46013.208333333336</v>
      </c>
      <c r="O12739" s="46" t="s">
        <v>123</v>
      </c>
      <c r="P12739" s="46">
        <v>3600.0</v>
      </c>
    </row>
    <row r="12740">
      <c r="A12740" s="40">
        <f t="shared" si="1"/>
        <v>46013</v>
      </c>
      <c r="B12740" s="37" t="str">
        <f t="array" ref="B12740">iferror(xlookup($I12740, 'IMPORT VHC Report'!$E:$E, 'IMPORT VHC Report'!$A:$C), )</f>
        <v/>
      </c>
      <c r="C12740" s="44"/>
      <c r="D12740" s="44"/>
      <c r="E12740" s="46" t="s">
        <v>8767</v>
      </c>
      <c r="F12740" s="46" t="s">
        <v>901</v>
      </c>
      <c r="G12740" s="46">
        <v>8.904451015951E12</v>
      </c>
      <c r="H12740" s="46" t="s">
        <v>902</v>
      </c>
      <c r="I12740" s="46" t="s">
        <v>903</v>
      </c>
      <c r="J12740" s="46" t="s">
        <v>62</v>
      </c>
      <c r="K12740" s="46" t="s">
        <v>63</v>
      </c>
      <c r="L12740" s="45">
        <v>46013.21875</v>
      </c>
      <c r="M12740" s="46" t="s">
        <v>123</v>
      </c>
      <c r="N12740" s="45">
        <v>46013.239583333336</v>
      </c>
      <c r="O12740" s="46" t="s">
        <v>123</v>
      </c>
      <c r="P12740" s="46">
        <v>1800.0</v>
      </c>
    </row>
    <row r="12741">
      <c r="A12741" s="40">
        <f t="shared" si="1"/>
        <v>46013</v>
      </c>
      <c r="B12741" s="37" t="str">
        <f t="array" ref="B12741">iferror(xlookup($I12741, 'IMPORT VHC Report'!$E:$E, 'IMPORT VHC Report'!$A:$C), )</f>
        <v/>
      </c>
      <c r="C12741" s="44"/>
      <c r="D12741" s="44"/>
      <c r="E12741" s="46" t="s">
        <v>8768</v>
      </c>
      <c r="F12741" s="46" t="s">
        <v>901</v>
      </c>
      <c r="G12741" s="46">
        <v>8.904451015951E12</v>
      </c>
      <c r="H12741" s="46" t="s">
        <v>902</v>
      </c>
      <c r="I12741" s="46" t="s">
        <v>903</v>
      </c>
      <c r="J12741" s="46" t="s">
        <v>224</v>
      </c>
      <c r="K12741" s="46" t="s">
        <v>63</v>
      </c>
      <c r="L12741" s="45">
        <v>46013.239583333336</v>
      </c>
      <c r="M12741" s="46" t="s">
        <v>123</v>
      </c>
      <c r="N12741" s="45">
        <v>46013.291666666664</v>
      </c>
      <c r="O12741" s="46" t="s">
        <v>123</v>
      </c>
      <c r="P12741" s="46">
        <v>4500.0</v>
      </c>
    </row>
    <row r="12742">
      <c r="A12742" s="40">
        <f t="shared" si="1"/>
        <v>46013</v>
      </c>
      <c r="B12742" s="37" t="str">
        <f t="array" ref="B12742">iferror(xlookup($I12742, 'IMPORT VHC Report'!$E:$E, 'IMPORT VHC Report'!$A:$C), )</f>
        <v/>
      </c>
      <c r="C12742" s="44"/>
      <c r="D12742" s="44"/>
      <c r="E12742" s="46" t="s">
        <v>8769</v>
      </c>
      <c r="F12742" s="46" t="s">
        <v>901</v>
      </c>
      <c r="G12742" s="46">
        <v>8.904451015951E12</v>
      </c>
      <c r="H12742" s="46" t="s">
        <v>902</v>
      </c>
      <c r="I12742" s="46" t="s">
        <v>903</v>
      </c>
      <c r="J12742" s="46" t="s">
        <v>224</v>
      </c>
      <c r="K12742" s="46" t="s">
        <v>63</v>
      </c>
      <c r="L12742" s="45">
        <v>46013.916666666664</v>
      </c>
      <c r="M12742" s="46" t="s">
        <v>123</v>
      </c>
      <c r="N12742" s="45">
        <v>46014.291666666664</v>
      </c>
      <c r="O12742" s="46" t="s">
        <v>123</v>
      </c>
      <c r="P12742" s="46">
        <v>32400.0</v>
      </c>
    </row>
    <row r="12743">
      <c r="A12743" s="40">
        <f t="shared" si="1"/>
        <v>46013</v>
      </c>
      <c r="B12743" s="37" t="str">
        <f t="array" ref="B12743">iferror(xlookup($I12743, 'IMPORT VHC Report'!$E:$E, 'IMPORT VHC Report'!$A:$C), )</f>
        <v/>
      </c>
      <c r="C12743" s="44"/>
      <c r="D12743" s="44"/>
      <c r="E12743" s="46" t="s">
        <v>8770</v>
      </c>
      <c r="F12743" s="46" t="s">
        <v>901</v>
      </c>
      <c r="G12743" s="46">
        <v>8.904451015951E12</v>
      </c>
      <c r="H12743" s="46" t="s">
        <v>902</v>
      </c>
      <c r="I12743" s="46" t="s">
        <v>903</v>
      </c>
      <c r="J12743" s="46" t="s">
        <v>132</v>
      </c>
      <c r="K12743" s="46" t="s">
        <v>126</v>
      </c>
      <c r="L12743" s="45">
        <v>46014.020833333336</v>
      </c>
      <c r="M12743" s="46" t="s">
        <v>123</v>
      </c>
      <c r="N12743" s="45">
        <v>46014.0625</v>
      </c>
      <c r="O12743" s="46" t="s">
        <v>123</v>
      </c>
      <c r="P12743" s="46">
        <v>3600.0</v>
      </c>
    </row>
    <row r="12744">
      <c r="A12744" s="40">
        <f t="shared" si="1"/>
        <v>46013</v>
      </c>
      <c r="B12744" s="37" t="str">
        <f t="array" ref="B12744">iferror(xlookup($I12744, 'IMPORT VHC Report'!$E:$E, 'IMPORT VHC Report'!$A:$C), )</f>
        <v/>
      </c>
      <c r="C12744" s="44"/>
      <c r="D12744" s="44"/>
      <c r="E12744" s="46" t="s">
        <v>8771</v>
      </c>
      <c r="F12744" s="46" t="s">
        <v>901</v>
      </c>
      <c r="G12744" s="46">
        <v>8.904451015951E12</v>
      </c>
      <c r="H12744" s="46" t="s">
        <v>902</v>
      </c>
      <c r="I12744" s="46" t="s">
        <v>903</v>
      </c>
      <c r="J12744" s="46" t="s">
        <v>134</v>
      </c>
      <c r="K12744" s="46" t="s">
        <v>126</v>
      </c>
      <c r="L12744" s="45">
        <v>46014.125</v>
      </c>
      <c r="M12744" s="46" t="s">
        <v>123</v>
      </c>
      <c r="N12744" s="45">
        <v>46014.135416666664</v>
      </c>
      <c r="O12744" s="46" t="s">
        <v>123</v>
      </c>
      <c r="P12744" s="46">
        <v>900.0</v>
      </c>
    </row>
    <row r="12745">
      <c r="A12745" s="40">
        <f t="shared" si="1"/>
        <v>46013</v>
      </c>
      <c r="B12745" s="37" t="str">
        <f t="array" ref="B12745">iferror(xlookup($I12745, 'IMPORT VHC Report'!$E:$E, 'IMPORT VHC Report'!$A:$C), )</f>
        <v/>
      </c>
      <c r="C12745" s="44"/>
      <c r="D12745" s="44"/>
      <c r="E12745" s="46" t="s">
        <v>8772</v>
      </c>
      <c r="F12745" s="46" t="s">
        <v>901</v>
      </c>
      <c r="G12745" s="46">
        <v>8.904451015951E12</v>
      </c>
      <c r="H12745" s="46" t="s">
        <v>902</v>
      </c>
      <c r="I12745" s="46" t="s">
        <v>903</v>
      </c>
      <c r="J12745" s="46" t="s">
        <v>134</v>
      </c>
      <c r="K12745" s="46" t="s">
        <v>126</v>
      </c>
      <c r="L12745" s="45">
        <v>46014.208333333336</v>
      </c>
      <c r="M12745" s="46" t="s">
        <v>123</v>
      </c>
      <c r="N12745" s="45">
        <v>46014.21875</v>
      </c>
      <c r="O12745" s="46" t="s">
        <v>123</v>
      </c>
      <c r="P12745" s="46">
        <v>900.0</v>
      </c>
    </row>
    <row r="12746">
      <c r="A12746" s="40">
        <f t="shared" si="1"/>
        <v>46013</v>
      </c>
      <c r="B12746" s="37" t="str">
        <f t="array" ref="B12746">iferror(xlookup($I12746, 'IMPORT VHC Report'!$E:$E, 'IMPORT VHC Report'!$A:$C), )</f>
        <v/>
      </c>
      <c r="C12746" s="44"/>
      <c r="D12746" s="44"/>
      <c r="E12746" s="46" t="s">
        <v>8773</v>
      </c>
      <c r="F12746" s="46" t="s">
        <v>901</v>
      </c>
      <c r="G12746" s="46">
        <v>8.904451015951E12</v>
      </c>
      <c r="H12746" s="46" t="s">
        <v>902</v>
      </c>
      <c r="I12746" s="46" t="s">
        <v>903</v>
      </c>
      <c r="J12746" s="46" t="s">
        <v>136</v>
      </c>
      <c r="K12746" s="46" t="s">
        <v>126</v>
      </c>
      <c r="L12746" s="45">
        <v>46014.270833333336</v>
      </c>
      <c r="M12746" s="46" t="s">
        <v>123</v>
      </c>
      <c r="N12746" s="45">
        <v>46014.291666666664</v>
      </c>
      <c r="O12746" s="46" t="s">
        <v>123</v>
      </c>
      <c r="P12746" s="46">
        <v>1800.0</v>
      </c>
      <c r="S12746" s="46" t="s">
        <v>137</v>
      </c>
    </row>
    <row r="12747">
      <c r="A12747" s="40">
        <f t="shared" si="1"/>
        <v>46013</v>
      </c>
      <c r="B12747" s="37" t="str">
        <f t="array" ref="B12747">iferror(xlookup($I12747, 'IMPORT VHC Report'!$E:$E, 'IMPORT VHC Report'!$A:$C), )</f>
        <v/>
      </c>
      <c r="C12747" s="44"/>
      <c r="D12747" s="44"/>
      <c r="E12747" s="46" t="s">
        <v>8774</v>
      </c>
      <c r="F12747" s="46" t="s">
        <v>901</v>
      </c>
      <c r="G12747" s="46">
        <v>8.904451015951E12</v>
      </c>
      <c r="H12747" s="46" t="s">
        <v>902</v>
      </c>
      <c r="I12747" s="46" t="s">
        <v>903</v>
      </c>
      <c r="J12747" s="46" t="s">
        <v>224</v>
      </c>
      <c r="K12747" s="46" t="s">
        <v>63</v>
      </c>
      <c r="L12747" s="45">
        <v>46014.916666666664</v>
      </c>
      <c r="M12747" s="46" t="s">
        <v>123</v>
      </c>
      <c r="N12747" s="45">
        <v>46015.291666666664</v>
      </c>
      <c r="O12747" s="46" t="s">
        <v>123</v>
      </c>
      <c r="P12747" s="46">
        <v>32400.0</v>
      </c>
    </row>
    <row r="12748">
      <c r="A12748" s="40">
        <f t="shared" si="1"/>
        <v>46013</v>
      </c>
      <c r="B12748" s="37" t="str">
        <f t="array" ref="B12748">iferror(xlookup($I12748, 'IMPORT VHC Report'!$E:$E, 'IMPORT VHC Report'!$A:$C), )</f>
        <v/>
      </c>
      <c r="C12748" s="44"/>
      <c r="D12748" s="44"/>
      <c r="E12748" s="46" t="s">
        <v>8775</v>
      </c>
      <c r="F12748" s="46" t="s">
        <v>901</v>
      </c>
      <c r="G12748" s="46">
        <v>8.904451015951E12</v>
      </c>
      <c r="H12748" s="46" t="s">
        <v>902</v>
      </c>
      <c r="I12748" s="46" t="s">
        <v>903</v>
      </c>
      <c r="J12748" s="46" t="s">
        <v>134</v>
      </c>
      <c r="K12748" s="46" t="s">
        <v>126</v>
      </c>
      <c r="L12748" s="45">
        <v>46015.0</v>
      </c>
      <c r="M12748" s="46" t="s">
        <v>123</v>
      </c>
      <c r="N12748" s="45">
        <v>46015.010416666664</v>
      </c>
      <c r="O12748" s="46" t="s">
        <v>123</v>
      </c>
      <c r="P12748" s="46">
        <v>900.0</v>
      </c>
    </row>
    <row r="12749">
      <c r="A12749" s="40">
        <f t="shared" si="1"/>
        <v>46013</v>
      </c>
      <c r="B12749" s="37" t="str">
        <f t="array" ref="B12749">iferror(xlookup($I12749, 'IMPORT VHC Report'!$E:$E, 'IMPORT VHC Report'!$A:$C), )</f>
        <v/>
      </c>
      <c r="C12749" s="44"/>
      <c r="D12749" s="44"/>
      <c r="E12749" s="46" t="s">
        <v>8776</v>
      </c>
      <c r="F12749" s="46" t="s">
        <v>901</v>
      </c>
      <c r="G12749" s="46">
        <v>8.904451015951E12</v>
      </c>
      <c r="H12749" s="46" t="s">
        <v>902</v>
      </c>
      <c r="I12749" s="46" t="s">
        <v>903</v>
      </c>
      <c r="J12749" s="46" t="s">
        <v>132</v>
      </c>
      <c r="K12749" s="46" t="s">
        <v>126</v>
      </c>
      <c r="L12749" s="45">
        <v>46015.072916666664</v>
      </c>
      <c r="M12749" s="46" t="s">
        <v>123</v>
      </c>
      <c r="N12749" s="45">
        <v>46015.114583333336</v>
      </c>
      <c r="O12749" s="46" t="s">
        <v>123</v>
      </c>
      <c r="P12749" s="46">
        <v>3600.0</v>
      </c>
    </row>
    <row r="12750">
      <c r="A12750" s="40">
        <f t="shared" si="1"/>
        <v>46013</v>
      </c>
      <c r="B12750" s="37" t="str">
        <f t="array" ref="B12750">iferror(xlookup($I12750, 'IMPORT VHC Report'!$E:$E, 'IMPORT VHC Report'!$A:$C), )</f>
        <v/>
      </c>
      <c r="C12750" s="44"/>
      <c r="D12750" s="44"/>
      <c r="E12750" s="46" t="s">
        <v>8777</v>
      </c>
      <c r="F12750" s="46" t="s">
        <v>901</v>
      </c>
      <c r="G12750" s="46">
        <v>8.904451015951E12</v>
      </c>
      <c r="H12750" s="46" t="s">
        <v>902</v>
      </c>
      <c r="I12750" s="46" t="s">
        <v>903</v>
      </c>
      <c r="J12750" s="46" t="s">
        <v>134</v>
      </c>
      <c r="K12750" s="46" t="s">
        <v>126</v>
      </c>
      <c r="L12750" s="45">
        <v>46015.1875</v>
      </c>
      <c r="M12750" s="46" t="s">
        <v>123</v>
      </c>
      <c r="N12750" s="45">
        <v>46015.197916666664</v>
      </c>
      <c r="O12750" s="46" t="s">
        <v>123</v>
      </c>
      <c r="P12750" s="46">
        <v>900.0</v>
      </c>
    </row>
    <row r="12751">
      <c r="A12751" s="40">
        <f t="shared" si="1"/>
        <v>46013</v>
      </c>
      <c r="B12751" s="37" t="str">
        <f t="array" ref="B12751">iferror(xlookup($I12751, 'IMPORT VHC Report'!$E:$E, 'IMPORT VHC Report'!$A:$C), )</f>
        <v/>
      </c>
      <c r="C12751" s="44"/>
      <c r="D12751" s="44"/>
      <c r="E12751" s="46" t="s">
        <v>8778</v>
      </c>
      <c r="F12751" s="46" t="s">
        <v>901</v>
      </c>
      <c r="G12751" s="46">
        <v>8.904451015951E12</v>
      </c>
      <c r="H12751" s="46" t="s">
        <v>902</v>
      </c>
      <c r="I12751" s="46" t="s">
        <v>903</v>
      </c>
      <c r="J12751" s="46" t="s">
        <v>330</v>
      </c>
      <c r="K12751" s="46" t="s">
        <v>126</v>
      </c>
      <c r="L12751" s="45">
        <v>46015.208333333336</v>
      </c>
      <c r="M12751" s="46" t="s">
        <v>123</v>
      </c>
      <c r="N12751" s="45">
        <v>46015.25</v>
      </c>
      <c r="O12751" s="46" t="s">
        <v>123</v>
      </c>
      <c r="P12751" s="46">
        <v>3600.0</v>
      </c>
    </row>
    <row r="12752">
      <c r="A12752" s="40">
        <f t="shared" si="1"/>
        <v>46013</v>
      </c>
      <c r="B12752" s="37" t="str">
        <f t="array" ref="B12752">iferror(xlookup($I12752, 'IMPORT VHC Report'!$E:$E, 'IMPORT VHC Report'!$A:$C), )</f>
        <v/>
      </c>
      <c r="C12752" s="44"/>
      <c r="D12752" s="44"/>
      <c r="E12752" s="46" t="s">
        <v>8779</v>
      </c>
      <c r="F12752" s="46" t="s">
        <v>901</v>
      </c>
      <c r="G12752" s="46">
        <v>8.904451015951E12</v>
      </c>
      <c r="H12752" s="46" t="s">
        <v>902</v>
      </c>
      <c r="I12752" s="46" t="s">
        <v>903</v>
      </c>
      <c r="J12752" s="46" t="s">
        <v>224</v>
      </c>
      <c r="K12752" s="46" t="s">
        <v>63</v>
      </c>
      <c r="L12752" s="45">
        <v>46015.916666666664</v>
      </c>
      <c r="M12752" s="46" t="s">
        <v>123</v>
      </c>
      <c r="N12752" s="45">
        <v>46016.291666666664</v>
      </c>
      <c r="O12752" s="46" t="s">
        <v>123</v>
      </c>
      <c r="P12752" s="46">
        <v>32400.0</v>
      </c>
    </row>
    <row r="12753">
      <c r="A12753" s="40">
        <f t="shared" si="1"/>
        <v>46013</v>
      </c>
      <c r="B12753" s="37" t="str">
        <f t="array" ref="B12753">iferror(xlookup($I12753, 'IMPORT VHC Report'!$E:$E, 'IMPORT VHC Report'!$A:$C), )</f>
        <v/>
      </c>
      <c r="C12753" s="44"/>
      <c r="D12753" s="44"/>
      <c r="E12753" s="46" t="s">
        <v>8780</v>
      </c>
      <c r="F12753" s="46" t="s">
        <v>901</v>
      </c>
      <c r="G12753" s="46">
        <v>8.904451015951E12</v>
      </c>
      <c r="H12753" s="46" t="s">
        <v>902</v>
      </c>
      <c r="I12753" s="46" t="s">
        <v>903</v>
      </c>
      <c r="J12753" s="46" t="s">
        <v>178</v>
      </c>
      <c r="K12753" s="46" t="s">
        <v>153</v>
      </c>
      <c r="L12753" s="45">
        <v>46015.916666666664</v>
      </c>
      <c r="M12753" s="46" t="s">
        <v>123</v>
      </c>
      <c r="N12753" s="45">
        <v>46016.291666666664</v>
      </c>
      <c r="O12753" s="46" t="s">
        <v>123</v>
      </c>
      <c r="P12753" s="46">
        <v>32400.0</v>
      </c>
      <c r="Q12753" s="46">
        <v>32400.0</v>
      </c>
    </row>
    <row r="12754">
      <c r="A12754" s="40">
        <f t="shared" si="1"/>
        <v>46013</v>
      </c>
      <c r="B12754" s="37" t="str">
        <f t="array" ref="B12754">iferror(xlookup($I12754, 'IMPORT VHC Report'!$E:$E, 'IMPORT VHC Report'!$A:$C), )</f>
        <v/>
      </c>
      <c r="C12754" s="44"/>
      <c r="D12754" s="44"/>
      <c r="E12754" s="46" t="s">
        <v>8781</v>
      </c>
      <c r="F12754" s="46" t="s">
        <v>901</v>
      </c>
      <c r="G12754" s="46">
        <v>8.904451015951E12</v>
      </c>
      <c r="H12754" s="46" t="s">
        <v>902</v>
      </c>
      <c r="I12754" s="46" t="s">
        <v>903</v>
      </c>
      <c r="J12754" s="46" t="s">
        <v>134</v>
      </c>
      <c r="K12754" s="46" t="s">
        <v>126</v>
      </c>
      <c r="L12754" s="45">
        <v>46016.0</v>
      </c>
      <c r="M12754" s="46" t="s">
        <v>123</v>
      </c>
      <c r="N12754" s="45">
        <v>46016.010416666664</v>
      </c>
      <c r="O12754" s="46" t="s">
        <v>123</v>
      </c>
      <c r="P12754" s="46">
        <v>900.0</v>
      </c>
    </row>
    <row r="12755">
      <c r="A12755" s="40">
        <f t="shared" si="1"/>
        <v>46013</v>
      </c>
      <c r="B12755" s="37" t="str">
        <f t="array" ref="B12755">iferror(xlookup($I12755, 'IMPORT VHC Report'!$E:$E, 'IMPORT VHC Report'!$A:$C), )</f>
        <v/>
      </c>
      <c r="C12755" s="44"/>
      <c r="D12755" s="44"/>
      <c r="E12755" s="46" t="s">
        <v>8782</v>
      </c>
      <c r="F12755" s="46" t="s">
        <v>901</v>
      </c>
      <c r="G12755" s="46">
        <v>8.904451015951E12</v>
      </c>
      <c r="H12755" s="46" t="s">
        <v>902</v>
      </c>
      <c r="I12755" s="46" t="s">
        <v>903</v>
      </c>
      <c r="J12755" s="46" t="s">
        <v>134</v>
      </c>
      <c r="K12755" s="46" t="s">
        <v>126</v>
      </c>
      <c r="L12755" s="45">
        <v>46016.072916666664</v>
      </c>
      <c r="M12755" s="46" t="s">
        <v>123</v>
      </c>
      <c r="N12755" s="45">
        <v>46016.083333333336</v>
      </c>
      <c r="O12755" s="46" t="s">
        <v>123</v>
      </c>
      <c r="P12755" s="46">
        <v>900.0</v>
      </c>
    </row>
    <row r="12756">
      <c r="A12756" s="40">
        <f t="shared" si="1"/>
        <v>46013</v>
      </c>
      <c r="B12756" s="37" t="str">
        <f t="array" ref="B12756">iferror(xlookup($I12756, 'IMPORT VHC Report'!$E:$E, 'IMPORT VHC Report'!$A:$C), )</f>
        <v/>
      </c>
      <c r="C12756" s="44"/>
      <c r="D12756" s="44"/>
      <c r="E12756" s="46" t="s">
        <v>8783</v>
      </c>
      <c r="F12756" s="46" t="s">
        <v>901</v>
      </c>
      <c r="G12756" s="46">
        <v>8.904451015951E12</v>
      </c>
      <c r="H12756" s="46" t="s">
        <v>902</v>
      </c>
      <c r="I12756" s="46" t="s">
        <v>903</v>
      </c>
      <c r="J12756" s="46" t="s">
        <v>132</v>
      </c>
      <c r="K12756" s="46" t="s">
        <v>126</v>
      </c>
      <c r="L12756" s="45">
        <v>46016.166666666664</v>
      </c>
      <c r="M12756" s="46" t="s">
        <v>123</v>
      </c>
      <c r="N12756" s="45">
        <v>46016.208333333336</v>
      </c>
      <c r="O12756" s="46" t="s">
        <v>123</v>
      </c>
      <c r="P12756" s="46">
        <v>3600.0</v>
      </c>
    </row>
    <row r="12757">
      <c r="A12757" s="40">
        <f t="shared" si="1"/>
        <v>46013</v>
      </c>
      <c r="B12757" s="37" t="str">
        <f t="array" ref="B12757">iferror(xlookup($I12757, 'IMPORT VHC Report'!$E:$E, 'IMPORT VHC Report'!$A:$C), )</f>
        <v/>
      </c>
      <c r="C12757" s="44"/>
      <c r="D12757" s="44"/>
      <c r="E12757" s="46" t="s">
        <v>8784</v>
      </c>
      <c r="F12757" s="46" t="s">
        <v>901</v>
      </c>
      <c r="G12757" s="46">
        <v>8.904451015951E12</v>
      </c>
      <c r="H12757" s="46" t="s">
        <v>902</v>
      </c>
      <c r="I12757" s="46" t="s">
        <v>903</v>
      </c>
      <c r="J12757" s="46" t="s">
        <v>224</v>
      </c>
      <c r="K12757" s="46" t="s">
        <v>63</v>
      </c>
      <c r="L12757" s="45">
        <v>46016.916666666664</v>
      </c>
      <c r="M12757" s="46" t="s">
        <v>123</v>
      </c>
      <c r="N12757" s="45">
        <v>46017.291666666664</v>
      </c>
      <c r="O12757" s="46" t="s">
        <v>123</v>
      </c>
      <c r="P12757" s="46">
        <v>32400.0</v>
      </c>
    </row>
    <row r="12758">
      <c r="A12758" s="40">
        <f t="shared" si="1"/>
        <v>46013</v>
      </c>
      <c r="B12758" s="37" t="str">
        <f t="array" ref="B12758">iferror(xlookup($I12758, 'IMPORT VHC Report'!$E:$E, 'IMPORT VHC Report'!$A:$C), )</f>
        <v/>
      </c>
      <c r="C12758" s="44"/>
      <c r="D12758" s="44"/>
      <c r="E12758" s="46" t="s">
        <v>8785</v>
      </c>
      <c r="F12758" s="46" t="s">
        <v>901</v>
      </c>
      <c r="G12758" s="46">
        <v>8.904451015951E12</v>
      </c>
      <c r="H12758" s="46" t="s">
        <v>902</v>
      </c>
      <c r="I12758" s="46" t="s">
        <v>903</v>
      </c>
      <c r="J12758" s="46" t="s">
        <v>132</v>
      </c>
      <c r="K12758" s="46" t="s">
        <v>126</v>
      </c>
      <c r="L12758" s="45">
        <v>46017.020833333336</v>
      </c>
      <c r="M12758" s="46" t="s">
        <v>123</v>
      </c>
      <c r="N12758" s="45">
        <v>46017.0625</v>
      </c>
      <c r="O12758" s="46" t="s">
        <v>123</v>
      </c>
      <c r="P12758" s="46">
        <v>3600.0</v>
      </c>
    </row>
    <row r="12759">
      <c r="A12759" s="40">
        <f t="shared" si="1"/>
        <v>46013</v>
      </c>
      <c r="B12759" s="37" t="str">
        <f t="array" ref="B12759">iferror(xlookup($I12759, 'IMPORT VHC Report'!$E:$E, 'IMPORT VHC Report'!$A:$C), )</f>
        <v/>
      </c>
      <c r="C12759" s="44"/>
      <c r="D12759" s="44"/>
      <c r="E12759" s="46" t="s">
        <v>8786</v>
      </c>
      <c r="F12759" s="46" t="s">
        <v>901</v>
      </c>
      <c r="G12759" s="46">
        <v>8.904451015951E12</v>
      </c>
      <c r="H12759" s="46" t="s">
        <v>902</v>
      </c>
      <c r="I12759" s="46" t="s">
        <v>903</v>
      </c>
      <c r="J12759" s="46" t="s">
        <v>125</v>
      </c>
      <c r="K12759" s="46" t="s">
        <v>126</v>
      </c>
      <c r="L12759" s="45">
        <v>46017.0625</v>
      </c>
      <c r="M12759" s="46" t="s">
        <v>123</v>
      </c>
      <c r="N12759" s="45">
        <v>46017.104166666664</v>
      </c>
      <c r="O12759" s="46" t="s">
        <v>123</v>
      </c>
      <c r="P12759" s="46">
        <v>3600.0</v>
      </c>
      <c r="S12759" s="46" t="s">
        <v>8728</v>
      </c>
    </row>
    <row r="12760">
      <c r="A12760" s="40">
        <f t="shared" si="1"/>
        <v>46013</v>
      </c>
      <c r="B12760" s="37" t="str">
        <f t="array" ref="B12760">iferror(xlookup($I12760, 'IMPORT VHC Report'!$E:$E, 'IMPORT VHC Report'!$A:$C), )</f>
        <v/>
      </c>
      <c r="C12760" s="44"/>
      <c r="D12760" s="44"/>
      <c r="E12760" s="46" t="s">
        <v>8787</v>
      </c>
      <c r="F12760" s="46" t="s">
        <v>901</v>
      </c>
      <c r="G12760" s="46">
        <v>8.904451015951E12</v>
      </c>
      <c r="H12760" s="46" t="s">
        <v>902</v>
      </c>
      <c r="I12760" s="46" t="s">
        <v>903</v>
      </c>
      <c r="J12760" s="46" t="s">
        <v>134</v>
      </c>
      <c r="K12760" s="46" t="s">
        <v>126</v>
      </c>
      <c r="L12760" s="45">
        <v>46017.125</v>
      </c>
      <c r="M12760" s="46" t="s">
        <v>123</v>
      </c>
      <c r="N12760" s="45">
        <v>46017.135416666664</v>
      </c>
      <c r="O12760" s="46" t="s">
        <v>123</v>
      </c>
      <c r="P12760" s="46">
        <v>900.0</v>
      </c>
    </row>
    <row r="12761">
      <c r="A12761" s="40">
        <f t="shared" si="1"/>
        <v>46013</v>
      </c>
      <c r="B12761" s="37" t="str">
        <f t="array" ref="B12761">iferror(xlookup($I12761, 'IMPORT VHC Report'!$E:$E, 'IMPORT VHC Report'!$A:$C), )</f>
        <v/>
      </c>
      <c r="C12761" s="44"/>
      <c r="D12761" s="44"/>
      <c r="E12761" s="46" t="s">
        <v>8788</v>
      </c>
      <c r="F12761" s="46" t="s">
        <v>901</v>
      </c>
      <c r="G12761" s="46">
        <v>8.904451015951E12</v>
      </c>
      <c r="H12761" s="46" t="s">
        <v>902</v>
      </c>
      <c r="I12761" s="46" t="s">
        <v>903</v>
      </c>
      <c r="J12761" s="46" t="s">
        <v>4</v>
      </c>
      <c r="K12761" s="46" t="s">
        <v>126</v>
      </c>
      <c r="L12761" s="45">
        <v>46017.145833333336</v>
      </c>
      <c r="M12761" s="46" t="s">
        <v>123</v>
      </c>
      <c r="N12761" s="45">
        <v>46017.15625</v>
      </c>
      <c r="O12761" s="46" t="s">
        <v>123</v>
      </c>
      <c r="P12761" s="46">
        <v>900.0</v>
      </c>
    </row>
    <row r="12762">
      <c r="A12762" s="40">
        <f t="shared" si="1"/>
        <v>46013</v>
      </c>
      <c r="B12762" s="37" t="str">
        <f t="array" ref="B12762">iferror(xlookup($I12762, 'IMPORT VHC Report'!$E:$E, 'IMPORT VHC Report'!$A:$C), )</f>
        <v/>
      </c>
      <c r="C12762" s="44"/>
      <c r="D12762" s="44"/>
      <c r="E12762" s="46" t="s">
        <v>8789</v>
      </c>
      <c r="F12762" s="46" t="s">
        <v>901</v>
      </c>
      <c r="G12762" s="46">
        <v>8.904451015951E12</v>
      </c>
      <c r="H12762" s="46" t="s">
        <v>902</v>
      </c>
      <c r="I12762" s="46" t="s">
        <v>903</v>
      </c>
      <c r="J12762" s="46" t="s">
        <v>134</v>
      </c>
      <c r="K12762" s="46" t="s">
        <v>126</v>
      </c>
      <c r="L12762" s="45">
        <v>46017.208333333336</v>
      </c>
      <c r="M12762" s="46" t="s">
        <v>123</v>
      </c>
      <c r="N12762" s="45">
        <v>46017.21875</v>
      </c>
      <c r="O12762" s="46" t="s">
        <v>123</v>
      </c>
      <c r="P12762" s="46">
        <v>900.0</v>
      </c>
    </row>
    <row r="12763">
      <c r="A12763" s="40">
        <f t="shared" si="1"/>
        <v>46013</v>
      </c>
      <c r="B12763" s="37" t="str">
        <f t="array" ref="B12763">iferror(xlookup($I12763, 'IMPORT VHC Report'!$E:$E, 'IMPORT VHC Report'!$A:$C), )</f>
        <v/>
      </c>
      <c r="C12763" s="44"/>
      <c r="D12763" s="44"/>
      <c r="E12763" s="46" t="s">
        <v>8790</v>
      </c>
      <c r="F12763" s="46" t="s">
        <v>901</v>
      </c>
      <c r="G12763" s="46">
        <v>8.904451015951E12</v>
      </c>
      <c r="H12763" s="46" t="s">
        <v>902</v>
      </c>
      <c r="I12763" s="46" t="s">
        <v>903</v>
      </c>
      <c r="J12763" s="46" t="s">
        <v>224</v>
      </c>
      <c r="K12763" s="46" t="s">
        <v>63</v>
      </c>
      <c r="L12763" s="45">
        <v>46019.916666666664</v>
      </c>
      <c r="M12763" s="46" t="s">
        <v>123</v>
      </c>
      <c r="N12763" s="45">
        <v>46020.010416666664</v>
      </c>
      <c r="O12763" s="46" t="s">
        <v>123</v>
      </c>
      <c r="P12763" s="46">
        <v>8100.0</v>
      </c>
    </row>
    <row r="12764">
      <c r="A12764" s="40">
        <f t="shared" si="1"/>
        <v>46013</v>
      </c>
      <c r="B12764" s="37" t="str">
        <f t="array" ref="B12764">iferror(xlookup($I12764, 'IMPORT VHC Report'!$E:$E, 'IMPORT VHC Report'!$A:$C), )</f>
        <v/>
      </c>
      <c r="C12764" s="44"/>
      <c r="D12764" s="44"/>
      <c r="E12764" s="46" t="s">
        <v>8791</v>
      </c>
      <c r="F12764" s="46" t="s">
        <v>901</v>
      </c>
      <c r="G12764" s="46">
        <v>8.904451015951E12</v>
      </c>
      <c r="H12764" s="46" t="s">
        <v>902</v>
      </c>
      <c r="I12764" s="46" t="s">
        <v>903</v>
      </c>
      <c r="J12764" s="46" t="s">
        <v>330</v>
      </c>
      <c r="K12764" s="46" t="s">
        <v>126</v>
      </c>
      <c r="L12764" s="45">
        <v>46019.9375</v>
      </c>
      <c r="M12764" s="46" t="s">
        <v>123</v>
      </c>
      <c r="N12764" s="45">
        <v>46019.947916666664</v>
      </c>
      <c r="O12764" s="46" t="s">
        <v>123</v>
      </c>
      <c r="P12764" s="46">
        <v>900.0</v>
      </c>
    </row>
    <row r="12765">
      <c r="A12765" s="40">
        <f t="shared" si="1"/>
        <v>46013</v>
      </c>
      <c r="B12765" s="37" t="str">
        <f t="array" ref="B12765">iferror(xlookup($I12765, 'IMPORT VHC Report'!$E:$E, 'IMPORT VHC Report'!$A:$C), )</f>
        <v/>
      </c>
      <c r="C12765" s="44"/>
      <c r="D12765" s="44"/>
      <c r="E12765" s="46" t="s">
        <v>8792</v>
      </c>
      <c r="F12765" s="46" t="s">
        <v>1044</v>
      </c>
      <c r="H12765" s="46" t="s">
        <v>1045</v>
      </c>
      <c r="I12765" s="46" t="s">
        <v>1046</v>
      </c>
      <c r="J12765" s="46" t="s">
        <v>62</v>
      </c>
      <c r="K12765" s="46" t="s">
        <v>63</v>
      </c>
      <c r="L12765" s="45">
        <v>46013.0</v>
      </c>
      <c r="M12765" s="46" t="s">
        <v>123</v>
      </c>
      <c r="N12765" s="45">
        <v>46013.020833333336</v>
      </c>
      <c r="O12765" s="46" t="s">
        <v>123</v>
      </c>
      <c r="P12765" s="46">
        <v>1800.0</v>
      </c>
    </row>
    <row r="12766">
      <c r="A12766" s="40">
        <f t="shared" si="1"/>
        <v>46013</v>
      </c>
      <c r="B12766" s="37" t="str">
        <f t="array" ref="B12766">iferror(xlookup($I12766, 'IMPORT VHC Report'!$E:$E, 'IMPORT VHC Report'!$A:$C), )</f>
        <v/>
      </c>
      <c r="C12766" s="44"/>
      <c r="D12766" s="44"/>
      <c r="E12766" s="46" t="s">
        <v>8793</v>
      </c>
      <c r="F12766" s="46" t="s">
        <v>1044</v>
      </c>
      <c r="H12766" s="46" t="s">
        <v>1045</v>
      </c>
      <c r="I12766" s="46" t="s">
        <v>1046</v>
      </c>
      <c r="J12766" s="46" t="s">
        <v>224</v>
      </c>
      <c r="K12766" s="46" t="s">
        <v>63</v>
      </c>
      <c r="L12766" s="45">
        <v>46013.020833333336</v>
      </c>
      <c r="M12766" s="46" t="s">
        <v>123</v>
      </c>
      <c r="N12766" s="45">
        <v>46013.083333333336</v>
      </c>
      <c r="O12766" s="46" t="s">
        <v>123</v>
      </c>
      <c r="P12766" s="46">
        <v>5400.0</v>
      </c>
    </row>
    <row r="12767">
      <c r="A12767" s="40">
        <f t="shared" si="1"/>
        <v>46013</v>
      </c>
      <c r="B12767" s="37" t="str">
        <f t="array" ref="B12767">iferror(xlookup($I12767, 'IMPORT VHC Report'!$E:$E, 'IMPORT VHC Report'!$A:$C), )</f>
        <v/>
      </c>
      <c r="C12767" s="44"/>
      <c r="D12767" s="44"/>
      <c r="E12767" s="46" t="s">
        <v>8794</v>
      </c>
      <c r="F12767" s="46" t="s">
        <v>1044</v>
      </c>
      <c r="H12767" s="46" t="s">
        <v>1045</v>
      </c>
      <c r="I12767" s="46" t="s">
        <v>1046</v>
      </c>
      <c r="J12767" s="46" t="s">
        <v>224</v>
      </c>
      <c r="K12767" s="46" t="s">
        <v>63</v>
      </c>
      <c r="L12767" s="45">
        <v>46013.708333333336</v>
      </c>
      <c r="M12767" s="46" t="s">
        <v>123</v>
      </c>
      <c r="N12767" s="45">
        <v>46014.083333333336</v>
      </c>
      <c r="O12767" s="46" t="s">
        <v>123</v>
      </c>
      <c r="P12767" s="46">
        <v>32400.0</v>
      </c>
    </row>
    <row r="12768">
      <c r="A12768" s="40">
        <f t="shared" si="1"/>
        <v>46013</v>
      </c>
      <c r="B12768" s="37" t="str">
        <f t="array" ref="B12768">iferror(xlookup($I12768, 'IMPORT VHC Report'!$E:$E, 'IMPORT VHC Report'!$A:$C), )</f>
        <v/>
      </c>
      <c r="C12768" s="44"/>
      <c r="D12768" s="44"/>
      <c r="E12768" s="46" t="s">
        <v>8795</v>
      </c>
      <c r="F12768" s="46" t="s">
        <v>1044</v>
      </c>
      <c r="H12768" s="46" t="s">
        <v>1045</v>
      </c>
      <c r="I12768" s="46" t="s">
        <v>1046</v>
      </c>
      <c r="J12768" s="46" t="s">
        <v>132</v>
      </c>
      <c r="K12768" s="46" t="s">
        <v>126</v>
      </c>
      <c r="L12768" s="45">
        <v>46013.833333333336</v>
      </c>
      <c r="M12768" s="46" t="s">
        <v>123</v>
      </c>
      <c r="N12768" s="45">
        <v>46013.875</v>
      </c>
      <c r="O12768" s="46" t="s">
        <v>123</v>
      </c>
      <c r="P12768" s="46">
        <v>3600.0</v>
      </c>
    </row>
    <row r="12769">
      <c r="A12769" s="40">
        <f t="shared" si="1"/>
        <v>46013</v>
      </c>
      <c r="B12769" s="37" t="str">
        <f t="array" ref="B12769">iferror(xlookup($I12769, 'IMPORT VHC Report'!$E:$E, 'IMPORT VHC Report'!$A:$C), )</f>
        <v/>
      </c>
      <c r="C12769" s="44"/>
      <c r="D12769" s="44"/>
      <c r="E12769" s="46" t="s">
        <v>8796</v>
      </c>
      <c r="F12769" s="46" t="s">
        <v>1044</v>
      </c>
      <c r="H12769" s="46" t="s">
        <v>1045</v>
      </c>
      <c r="I12769" s="46" t="s">
        <v>1046</v>
      </c>
      <c r="J12769" s="46" t="s">
        <v>134</v>
      </c>
      <c r="K12769" s="46" t="s">
        <v>126</v>
      </c>
      <c r="L12769" s="45">
        <v>46013.9375</v>
      </c>
      <c r="M12769" s="46" t="s">
        <v>123</v>
      </c>
      <c r="N12769" s="45">
        <v>46013.947916666664</v>
      </c>
      <c r="O12769" s="46" t="s">
        <v>123</v>
      </c>
      <c r="P12769" s="46">
        <v>900.0</v>
      </c>
    </row>
    <row r="12770">
      <c r="A12770" s="40">
        <f t="shared" si="1"/>
        <v>46013</v>
      </c>
      <c r="B12770" s="37" t="str">
        <f t="array" ref="B12770">iferror(xlookup($I12770, 'IMPORT VHC Report'!$E:$E, 'IMPORT VHC Report'!$A:$C), )</f>
        <v/>
      </c>
      <c r="C12770" s="44"/>
      <c r="D12770" s="44"/>
      <c r="E12770" s="46" t="s">
        <v>8797</v>
      </c>
      <c r="F12770" s="46" t="s">
        <v>1044</v>
      </c>
      <c r="H12770" s="46" t="s">
        <v>1045</v>
      </c>
      <c r="I12770" s="46" t="s">
        <v>1046</v>
      </c>
      <c r="J12770" s="46" t="s">
        <v>134</v>
      </c>
      <c r="K12770" s="46" t="s">
        <v>126</v>
      </c>
      <c r="L12770" s="45">
        <v>46014.010416666664</v>
      </c>
      <c r="M12770" s="46" t="s">
        <v>123</v>
      </c>
      <c r="N12770" s="45">
        <v>46014.020833333336</v>
      </c>
      <c r="O12770" s="46" t="s">
        <v>123</v>
      </c>
      <c r="P12770" s="46">
        <v>900.0</v>
      </c>
    </row>
    <row r="12771">
      <c r="A12771" s="40">
        <f t="shared" si="1"/>
        <v>46013</v>
      </c>
      <c r="B12771" s="37" t="str">
        <f t="array" ref="B12771">iferror(xlookup($I12771, 'IMPORT VHC Report'!$E:$E, 'IMPORT VHC Report'!$A:$C), )</f>
        <v/>
      </c>
      <c r="C12771" s="44"/>
      <c r="D12771" s="44"/>
      <c r="E12771" s="46" t="s">
        <v>8798</v>
      </c>
      <c r="F12771" s="46" t="s">
        <v>1044</v>
      </c>
      <c r="H12771" s="46" t="s">
        <v>1045</v>
      </c>
      <c r="I12771" s="46" t="s">
        <v>1046</v>
      </c>
      <c r="J12771" s="46" t="s">
        <v>224</v>
      </c>
      <c r="K12771" s="46" t="s">
        <v>63</v>
      </c>
      <c r="L12771" s="45">
        <v>46014.708333333336</v>
      </c>
      <c r="M12771" s="46" t="s">
        <v>123</v>
      </c>
      <c r="N12771" s="45">
        <v>46014.96875</v>
      </c>
      <c r="O12771" s="46" t="s">
        <v>123</v>
      </c>
      <c r="P12771" s="46">
        <v>22500.0</v>
      </c>
    </row>
    <row r="12772">
      <c r="A12772" s="40">
        <f t="shared" si="1"/>
        <v>46013</v>
      </c>
      <c r="B12772" s="37" t="str">
        <f t="array" ref="B12772">iferror(xlookup($I12772, 'IMPORT VHC Report'!$E:$E, 'IMPORT VHC Report'!$A:$C), )</f>
        <v/>
      </c>
      <c r="C12772" s="44"/>
      <c r="D12772" s="44"/>
      <c r="E12772" s="46" t="s">
        <v>8799</v>
      </c>
      <c r="F12772" s="46" t="s">
        <v>1044</v>
      </c>
      <c r="H12772" s="46" t="s">
        <v>1045</v>
      </c>
      <c r="I12772" s="46" t="s">
        <v>1046</v>
      </c>
      <c r="J12772" s="46" t="s">
        <v>134</v>
      </c>
      <c r="K12772" s="46" t="s">
        <v>126</v>
      </c>
      <c r="L12772" s="45">
        <v>46014.78125</v>
      </c>
      <c r="M12772" s="46" t="s">
        <v>123</v>
      </c>
      <c r="N12772" s="45">
        <v>46014.791666666664</v>
      </c>
      <c r="O12772" s="46" t="s">
        <v>123</v>
      </c>
      <c r="P12772" s="46">
        <v>900.0</v>
      </c>
    </row>
    <row r="12773">
      <c r="A12773" s="40">
        <f t="shared" si="1"/>
        <v>46013</v>
      </c>
      <c r="B12773" s="37" t="str">
        <f t="array" ref="B12773">iferror(xlookup($I12773, 'IMPORT VHC Report'!$E:$E, 'IMPORT VHC Report'!$A:$C), )</f>
        <v/>
      </c>
      <c r="C12773" s="44"/>
      <c r="D12773" s="44"/>
      <c r="E12773" s="46" t="s">
        <v>8800</v>
      </c>
      <c r="F12773" s="46" t="s">
        <v>1044</v>
      </c>
      <c r="H12773" s="46" t="s">
        <v>1045</v>
      </c>
      <c r="I12773" s="46" t="s">
        <v>1046</v>
      </c>
      <c r="J12773" s="46" t="s">
        <v>134</v>
      </c>
      <c r="K12773" s="46" t="s">
        <v>126</v>
      </c>
      <c r="L12773" s="45">
        <v>46014.875</v>
      </c>
      <c r="M12773" s="46" t="s">
        <v>123</v>
      </c>
      <c r="N12773" s="45">
        <v>46014.885416666664</v>
      </c>
      <c r="O12773" s="46" t="s">
        <v>123</v>
      </c>
      <c r="P12773" s="46">
        <v>900.0</v>
      </c>
    </row>
    <row r="12774">
      <c r="A12774" s="40">
        <f t="shared" si="1"/>
        <v>46013</v>
      </c>
      <c r="B12774" s="37" t="str">
        <f t="array" ref="B12774">iferror(xlookup($I12774, 'IMPORT VHC Report'!$E:$E, 'IMPORT VHC Report'!$A:$C), )</f>
        <v/>
      </c>
      <c r="C12774" s="44"/>
      <c r="D12774" s="44"/>
      <c r="E12774" s="46" t="s">
        <v>8801</v>
      </c>
      <c r="F12774" s="46" t="s">
        <v>1044</v>
      </c>
      <c r="H12774" s="46" t="s">
        <v>1045</v>
      </c>
      <c r="I12774" s="46" t="s">
        <v>1046</v>
      </c>
      <c r="J12774" s="46" t="s">
        <v>132</v>
      </c>
      <c r="K12774" s="46" t="s">
        <v>126</v>
      </c>
      <c r="L12774" s="45">
        <v>46014.96875</v>
      </c>
      <c r="M12774" s="46" t="s">
        <v>123</v>
      </c>
      <c r="N12774" s="45">
        <v>46015.010416666664</v>
      </c>
      <c r="O12774" s="46" t="s">
        <v>123</v>
      </c>
      <c r="P12774" s="46">
        <v>3600.0</v>
      </c>
    </row>
    <row r="12775">
      <c r="A12775" s="40">
        <f t="shared" si="1"/>
        <v>46013</v>
      </c>
      <c r="B12775" s="37" t="str">
        <f t="array" ref="B12775">iferror(xlookup($I12775, 'IMPORT VHC Report'!$E:$E, 'IMPORT VHC Report'!$A:$C), )</f>
        <v/>
      </c>
      <c r="C12775" s="44"/>
      <c r="D12775" s="44"/>
      <c r="E12775" s="46" t="s">
        <v>8802</v>
      </c>
      <c r="F12775" s="46" t="s">
        <v>1044</v>
      </c>
      <c r="H12775" s="46" t="s">
        <v>1045</v>
      </c>
      <c r="I12775" s="46" t="s">
        <v>1046</v>
      </c>
      <c r="J12775" s="46" t="s">
        <v>224</v>
      </c>
      <c r="K12775" s="46" t="s">
        <v>63</v>
      </c>
      <c r="L12775" s="45">
        <v>46015.010416666664</v>
      </c>
      <c r="M12775" s="46" t="s">
        <v>123</v>
      </c>
      <c r="N12775" s="45">
        <v>46015.083333333336</v>
      </c>
      <c r="O12775" s="46" t="s">
        <v>123</v>
      </c>
      <c r="P12775" s="46">
        <v>6300.0</v>
      </c>
    </row>
    <row r="12776">
      <c r="A12776" s="40">
        <f t="shared" si="1"/>
        <v>46013</v>
      </c>
      <c r="B12776" s="37" t="str">
        <f t="array" ref="B12776">iferror(xlookup($I12776, 'IMPORT VHC Report'!$E:$E, 'IMPORT VHC Report'!$A:$C), )</f>
        <v/>
      </c>
      <c r="C12776" s="44"/>
      <c r="D12776" s="44"/>
      <c r="E12776" s="46" t="s">
        <v>8803</v>
      </c>
      <c r="F12776" s="46" t="s">
        <v>1044</v>
      </c>
      <c r="H12776" s="46" t="s">
        <v>1045</v>
      </c>
      <c r="I12776" s="46" t="s">
        <v>1046</v>
      </c>
      <c r="J12776" s="46" t="s">
        <v>196</v>
      </c>
      <c r="K12776" s="46" t="s">
        <v>63</v>
      </c>
      <c r="L12776" s="45">
        <v>46015.708333333336</v>
      </c>
      <c r="M12776" s="46" t="s">
        <v>123</v>
      </c>
      <c r="N12776" s="45">
        <v>46015.989583333336</v>
      </c>
      <c r="O12776" s="46" t="s">
        <v>123</v>
      </c>
      <c r="P12776" s="46">
        <v>24300.0</v>
      </c>
      <c r="S12776" s="46" t="s">
        <v>8804</v>
      </c>
    </row>
    <row r="12777">
      <c r="A12777" s="40">
        <f t="shared" si="1"/>
        <v>46013</v>
      </c>
      <c r="B12777" s="37" t="str">
        <f t="array" ref="B12777">iferror(xlookup($I12777, 'IMPORT VHC Report'!$E:$E, 'IMPORT VHC Report'!$A:$C), )</f>
        <v/>
      </c>
      <c r="C12777" s="44"/>
      <c r="D12777" s="44"/>
      <c r="E12777" s="46" t="s">
        <v>8805</v>
      </c>
      <c r="F12777" s="46" t="s">
        <v>1044</v>
      </c>
      <c r="H12777" s="46" t="s">
        <v>1045</v>
      </c>
      <c r="I12777" s="46" t="s">
        <v>1046</v>
      </c>
      <c r="J12777" s="46" t="s">
        <v>134</v>
      </c>
      <c r="K12777" s="46" t="s">
        <v>126</v>
      </c>
      <c r="L12777" s="45">
        <v>46015.791666666664</v>
      </c>
      <c r="M12777" s="46" t="s">
        <v>123</v>
      </c>
      <c r="N12777" s="45">
        <v>46015.802083333336</v>
      </c>
      <c r="O12777" s="46" t="s">
        <v>123</v>
      </c>
      <c r="P12777" s="46">
        <v>900.0</v>
      </c>
    </row>
    <row r="12778">
      <c r="A12778" s="40">
        <f t="shared" si="1"/>
        <v>46013</v>
      </c>
      <c r="B12778" s="37" t="str">
        <f t="array" ref="B12778">iferror(xlookup($I12778, 'IMPORT VHC Report'!$E:$E, 'IMPORT VHC Report'!$A:$C), )</f>
        <v/>
      </c>
      <c r="C12778" s="44"/>
      <c r="D12778" s="44"/>
      <c r="E12778" s="46" t="s">
        <v>8806</v>
      </c>
      <c r="F12778" s="46" t="s">
        <v>1044</v>
      </c>
      <c r="H12778" s="46" t="s">
        <v>1045</v>
      </c>
      <c r="I12778" s="46" t="s">
        <v>1046</v>
      </c>
      <c r="J12778" s="46" t="s">
        <v>134</v>
      </c>
      <c r="K12778" s="46" t="s">
        <v>126</v>
      </c>
      <c r="L12778" s="45">
        <v>46015.989583333336</v>
      </c>
      <c r="M12778" s="46" t="s">
        <v>123</v>
      </c>
      <c r="N12778" s="45">
        <v>46016.0</v>
      </c>
      <c r="O12778" s="46" t="s">
        <v>123</v>
      </c>
      <c r="P12778" s="46">
        <v>900.0</v>
      </c>
      <c r="S12778" s="46" t="s">
        <v>8807</v>
      </c>
    </row>
    <row r="12779">
      <c r="A12779" s="40">
        <f t="shared" si="1"/>
        <v>46013</v>
      </c>
      <c r="B12779" s="37" t="str">
        <f t="array" ref="B12779">iferror(xlookup($I12779, 'IMPORT VHC Report'!$E:$E, 'IMPORT VHC Report'!$A:$C), )</f>
        <v/>
      </c>
      <c r="C12779" s="44"/>
      <c r="D12779" s="44"/>
      <c r="E12779" s="46" t="s">
        <v>8808</v>
      </c>
      <c r="F12779" s="46" t="s">
        <v>1044</v>
      </c>
      <c r="H12779" s="46" t="s">
        <v>1045</v>
      </c>
      <c r="I12779" s="46" t="s">
        <v>1046</v>
      </c>
      <c r="J12779" s="46" t="s">
        <v>132</v>
      </c>
      <c r="K12779" s="46" t="s">
        <v>126</v>
      </c>
      <c r="L12779" s="45">
        <v>46016.0</v>
      </c>
      <c r="M12779" s="46" t="s">
        <v>123</v>
      </c>
      <c r="N12779" s="45">
        <v>46016.041666666664</v>
      </c>
      <c r="O12779" s="46" t="s">
        <v>123</v>
      </c>
      <c r="P12779" s="46">
        <v>3600.0</v>
      </c>
      <c r="S12779" s="46" t="s">
        <v>8809</v>
      </c>
    </row>
    <row r="12780">
      <c r="A12780" s="40">
        <f t="shared" si="1"/>
        <v>46013</v>
      </c>
      <c r="B12780" s="37" t="str">
        <f t="array" ref="B12780">iferror(xlookup($I12780, 'IMPORT VHC Report'!$E:$E, 'IMPORT VHC Report'!$A:$C), )</f>
        <v/>
      </c>
      <c r="C12780" s="44"/>
      <c r="D12780" s="44"/>
      <c r="E12780" s="46" t="s">
        <v>8810</v>
      </c>
      <c r="F12780" s="46" t="s">
        <v>1044</v>
      </c>
      <c r="H12780" s="46" t="s">
        <v>1045</v>
      </c>
      <c r="I12780" s="46" t="s">
        <v>1046</v>
      </c>
      <c r="J12780" s="46" t="s">
        <v>136</v>
      </c>
      <c r="K12780" s="46" t="s">
        <v>126</v>
      </c>
      <c r="L12780" s="45">
        <v>46016.041666666664</v>
      </c>
      <c r="M12780" s="46" t="s">
        <v>123</v>
      </c>
      <c r="N12780" s="45">
        <v>46016.083333333336</v>
      </c>
      <c r="O12780" s="46" t="s">
        <v>123</v>
      </c>
      <c r="P12780" s="46">
        <v>3600.0</v>
      </c>
    </row>
    <row r="12781">
      <c r="A12781" s="40">
        <f t="shared" si="1"/>
        <v>46013</v>
      </c>
      <c r="B12781" s="37" t="str">
        <f t="array" ref="B12781">iferror(xlookup($I12781, 'IMPORT VHC Report'!$E:$E, 'IMPORT VHC Report'!$A:$C), )</f>
        <v/>
      </c>
      <c r="C12781" s="44"/>
      <c r="D12781" s="44"/>
      <c r="E12781" s="46" t="s">
        <v>8811</v>
      </c>
      <c r="F12781" s="46" t="s">
        <v>1044</v>
      </c>
      <c r="H12781" s="46" t="s">
        <v>1045</v>
      </c>
      <c r="I12781" s="46" t="s">
        <v>1046</v>
      </c>
      <c r="J12781" s="46" t="s">
        <v>178</v>
      </c>
      <c r="K12781" s="46" t="s">
        <v>153</v>
      </c>
      <c r="L12781" s="45">
        <v>46018.708333333336</v>
      </c>
      <c r="M12781" s="46" t="s">
        <v>123</v>
      </c>
      <c r="N12781" s="45">
        <v>46019.083333333336</v>
      </c>
      <c r="O12781" s="46" t="s">
        <v>123</v>
      </c>
      <c r="P12781" s="46">
        <v>32400.0</v>
      </c>
      <c r="Q12781" s="46">
        <v>32400.0</v>
      </c>
    </row>
    <row r="12782">
      <c r="A12782" s="40">
        <f t="shared" si="1"/>
        <v>46013</v>
      </c>
      <c r="B12782" s="37" t="str">
        <f t="array" ref="B12782">iferror(xlookup($I12782, 'IMPORT VHC Report'!$E:$E, 'IMPORT VHC Report'!$A:$C), )</f>
        <v/>
      </c>
      <c r="C12782" s="44"/>
      <c r="D12782" s="44"/>
      <c r="E12782" s="46" t="s">
        <v>8812</v>
      </c>
      <c r="F12782" s="46" t="s">
        <v>1044</v>
      </c>
      <c r="H12782" s="46" t="s">
        <v>1045</v>
      </c>
      <c r="I12782" s="46" t="s">
        <v>1046</v>
      </c>
      <c r="J12782" s="46" t="s">
        <v>178</v>
      </c>
      <c r="K12782" s="46" t="s">
        <v>153</v>
      </c>
      <c r="L12782" s="45">
        <v>46019.708333333336</v>
      </c>
      <c r="M12782" s="46" t="s">
        <v>123</v>
      </c>
      <c r="N12782" s="45">
        <v>46020.083333333336</v>
      </c>
      <c r="O12782" s="46" t="s">
        <v>123</v>
      </c>
      <c r="P12782" s="46">
        <v>32400.0</v>
      </c>
      <c r="Q12782" s="46">
        <v>32400.0</v>
      </c>
    </row>
    <row r="12783">
      <c r="A12783" s="40">
        <f t="shared" si="1"/>
        <v>46013</v>
      </c>
      <c r="B12783" s="37" t="str">
        <f t="array" ref="B12783">iferror(xlookup($I12783, 'IMPORT VHC Report'!$E:$E, 'IMPORT VHC Report'!$A:$C), )</f>
        <v/>
      </c>
      <c r="C12783" s="44"/>
      <c r="D12783" s="44"/>
      <c r="E12783" s="46" t="s">
        <v>8813</v>
      </c>
      <c r="F12783" s="46" t="s">
        <v>1327</v>
      </c>
      <c r="G12783" s="46">
        <v>7.874569114383E12</v>
      </c>
      <c r="H12783" s="46" t="s">
        <v>1328</v>
      </c>
      <c r="I12783" s="46" t="s">
        <v>1329</v>
      </c>
      <c r="J12783" s="46" t="s">
        <v>224</v>
      </c>
      <c r="K12783" s="46" t="s">
        <v>63</v>
      </c>
      <c r="L12783" s="45">
        <v>46013.0</v>
      </c>
      <c r="M12783" s="46" t="s">
        <v>123</v>
      </c>
      <c r="N12783" s="45">
        <v>46013.375</v>
      </c>
      <c r="O12783" s="46" t="s">
        <v>123</v>
      </c>
      <c r="P12783" s="46">
        <v>32400.0</v>
      </c>
    </row>
    <row r="12784">
      <c r="A12784" s="40">
        <f t="shared" si="1"/>
        <v>46013</v>
      </c>
      <c r="B12784" s="37" t="str">
        <f t="array" ref="B12784">iferror(xlookup($I12784, 'IMPORT VHC Report'!$E:$E, 'IMPORT VHC Report'!$A:$C), )</f>
        <v/>
      </c>
      <c r="C12784" s="44"/>
      <c r="D12784" s="44"/>
      <c r="E12784" s="46" t="s">
        <v>8814</v>
      </c>
      <c r="F12784" s="46" t="s">
        <v>1327</v>
      </c>
      <c r="G12784" s="46">
        <v>7.874569114383E12</v>
      </c>
      <c r="H12784" s="46" t="s">
        <v>1328</v>
      </c>
      <c r="I12784" s="46" t="s">
        <v>1329</v>
      </c>
      <c r="J12784" s="46" t="s">
        <v>330</v>
      </c>
      <c r="K12784" s="46" t="s">
        <v>126</v>
      </c>
      <c r="L12784" s="45">
        <v>46013.020833333336</v>
      </c>
      <c r="M12784" s="46" t="s">
        <v>123</v>
      </c>
      <c r="N12784" s="45">
        <v>46013.03125</v>
      </c>
      <c r="O12784" s="46" t="s">
        <v>123</v>
      </c>
      <c r="P12784" s="46">
        <v>900.0</v>
      </c>
    </row>
    <row r="12785">
      <c r="A12785" s="40">
        <f t="shared" si="1"/>
        <v>46013</v>
      </c>
      <c r="B12785" s="37" t="str">
        <f t="array" ref="B12785">iferror(xlookup($I12785, 'IMPORT VHC Report'!$E:$E, 'IMPORT VHC Report'!$A:$C), )</f>
        <v/>
      </c>
      <c r="C12785" s="44"/>
      <c r="D12785" s="44"/>
      <c r="E12785" s="46" t="s">
        <v>8815</v>
      </c>
      <c r="F12785" s="46" t="s">
        <v>1327</v>
      </c>
      <c r="G12785" s="46">
        <v>7.874569114383E12</v>
      </c>
      <c r="H12785" s="46" t="s">
        <v>1328</v>
      </c>
      <c r="I12785" s="46" t="s">
        <v>1329</v>
      </c>
      <c r="J12785" s="46" t="s">
        <v>134</v>
      </c>
      <c r="K12785" s="46" t="s">
        <v>126</v>
      </c>
      <c r="L12785" s="45">
        <v>46013.09375</v>
      </c>
      <c r="M12785" s="46" t="s">
        <v>123</v>
      </c>
      <c r="N12785" s="45">
        <v>46013.104166666664</v>
      </c>
      <c r="O12785" s="46" t="s">
        <v>123</v>
      </c>
      <c r="P12785" s="46">
        <v>900.0</v>
      </c>
    </row>
    <row r="12786">
      <c r="A12786" s="40">
        <f t="shared" si="1"/>
        <v>46013</v>
      </c>
      <c r="B12786" s="37" t="str">
        <f t="array" ref="B12786">iferror(xlookup($I12786, 'IMPORT VHC Report'!$E:$E, 'IMPORT VHC Report'!$A:$C), )</f>
        <v/>
      </c>
      <c r="C12786" s="44"/>
      <c r="D12786" s="44"/>
      <c r="E12786" s="46" t="s">
        <v>8816</v>
      </c>
      <c r="F12786" s="46" t="s">
        <v>1327</v>
      </c>
      <c r="G12786" s="46">
        <v>7.874569114383E12</v>
      </c>
      <c r="H12786" s="46" t="s">
        <v>1328</v>
      </c>
      <c r="I12786" s="46" t="s">
        <v>1329</v>
      </c>
      <c r="J12786" s="46" t="s">
        <v>134</v>
      </c>
      <c r="K12786" s="46" t="s">
        <v>126</v>
      </c>
      <c r="L12786" s="45">
        <v>46013.166666666664</v>
      </c>
      <c r="M12786" s="46" t="s">
        <v>123</v>
      </c>
      <c r="N12786" s="45">
        <v>46013.177083333336</v>
      </c>
      <c r="O12786" s="46" t="s">
        <v>123</v>
      </c>
      <c r="P12786" s="46">
        <v>900.0</v>
      </c>
    </row>
    <row r="12787">
      <c r="A12787" s="40">
        <f t="shared" si="1"/>
        <v>46013</v>
      </c>
      <c r="B12787" s="37" t="str">
        <f t="array" ref="B12787">iferror(xlookup($I12787, 'IMPORT VHC Report'!$E:$E, 'IMPORT VHC Report'!$A:$C), )</f>
        <v/>
      </c>
      <c r="C12787" s="44"/>
      <c r="D12787" s="44"/>
      <c r="E12787" s="46" t="s">
        <v>8817</v>
      </c>
      <c r="F12787" s="46" t="s">
        <v>1327</v>
      </c>
      <c r="G12787" s="46">
        <v>7.874569114383E12</v>
      </c>
      <c r="H12787" s="46" t="s">
        <v>1328</v>
      </c>
      <c r="I12787" s="46" t="s">
        <v>1329</v>
      </c>
      <c r="J12787" s="46" t="s">
        <v>132</v>
      </c>
      <c r="K12787" s="46" t="s">
        <v>126</v>
      </c>
      <c r="L12787" s="45">
        <v>46013.25</v>
      </c>
      <c r="M12787" s="46" t="s">
        <v>123</v>
      </c>
      <c r="N12787" s="45">
        <v>46013.291666666664</v>
      </c>
      <c r="O12787" s="46" t="s">
        <v>123</v>
      </c>
      <c r="P12787" s="46">
        <v>3600.0</v>
      </c>
    </row>
    <row r="12788">
      <c r="A12788" s="40">
        <f t="shared" si="1"/>
        <v>46013</v>
      </c>
      <c r="B12788" s="37" t="str">
        <f t="array" ref="B12788">iferror(xlookup($I12788, 'IMPORT VHC Report'!$E:$E, 'IMPORT VHC Report'!$A:$C), )</f>
        <v/>
      </c>
      <c r="C12788" s="44"/>
      <c r="D12788" s="44"/>
      <c r="E12788" s="46" t="s">
        <v>8818</v>
      </c>
      <c r="F12788" s="46" t="s">
        <v>1327</v>
      </c>
      <c r="G12788" s="46">
        <v>7.874569114383E12</v>
      </c>
      <c r="H12788" s="46" t="s">
        <v>1328</v>
      </c>
      <c r="I12788" s="46" t="s">
        <v>1329</v>
      </c>
      <c r="J12788" s="46" t="s">
        <v>224</v>
      </c>
      <c r="K12788" s="46" t="s">
        <v>63</v>
      </c>
      <c r="L12788" s="45">
        <v>46014.0</v>
      </c>
      <c r="M12788" s="46" t="s">
        <v>123</v>
      </c>
      <c r="N12788" s="45">
        <v>46014.239583333336</v>
      </c>
      <c r="O12788" s="46" t="s">
        <v>123</v>
      </c>
      <c r="P12788" s="46">
        <v>20700.0</v>
      </c>
    </row>
    <row r="12789">
      <c r="A12789" s="40">
        <f t="shared" si="1"/>
        <v>46013</v>
      </c>
      <c r="B12789" s="37" t="str">
        <f t="array" ref="B12789">iferror(xlookup($I12789, 'IMPORT VHC Report'!$E:$E, 'IMPORT VHC Report'!$A:$C), )</f>
        <v/>
      </c>
      <c r="C12789" s="44"/>
      <c r="D12789" s="44"/>
      <c r="E12789" s="46" t="s">
        <v>8819</v>
      </c>
      <c r="F12789" s="46" t="s">
        <v>1327</v>
      </c>
      <c r="G12789" s="46">
        <v>7.874569114383E12</v>
      </c>
      <c r="H12789" s="46" t="s">
        <v>1328</v>
      </c>
      <c r="I12789" s="46" t="s">
        <v>1329</v>
      </c>
      <c r="J12789" s="46" t="s">
        <v>134</v>
      </c>
      <c r="K12789" s="46" t="s">
        <v>126</v>
      </c>
      <c r="L12789" s="45">
        <v>46014.10902777778</v>
      </c>
      <c r="M12789" s="46" t="s">
        <v>123</v>
      </c>
      <c r="N12789" s="45">
        <v>46014.11944444444</v>
      </c>
      <c r="O12789" s="46" t="s">
        <v>123</v>
      </c>
      <c r="P12789" s="46">
        <v>900.0</v>
      </c>
      <c r="S12789" s="46" t="s">
        <v>8820</v>
      </c>
    </row>
    <row r="12790">
      <c r="A12790" s="40">
        <f t="shared" si="1"/>
        <v>46013</v>
      </c>
      <c r="B12790" s="37" t="str">
        <f t="array" ref="B12790">iferror(xlookup($I12790, 'IMPORT VHC Report'!$E:$E, 'IMPORT VHC Report'!$A:$C), )</f>
        <v/>
      </c>
      <c r="C12790" s="44"/>
      <c r="D12790" s="44"/>
      <c r="E12790" s="46" t="s">
        <v>8821</v>
      </c>
      <c r="F12790" s="46" t="s">
        <v>1327</v>
      </c>
      <c r="G12790" s="46">
        <v>7.874569114383E12</v>
      </c>
      <c r="H12790" s="46" t="s">
        <v>1328</v>
      </c>
      <c r="I12790" s="46" t="s">
        <v>1329</v>
      </c>
      <c r="J12790" s="46" t="s">
        <v>132</v>
      </c>
      <c r="K12790" s="46" t="s">
        <v>126</v>
      </c>
      <c r="L12790" s="45">
        <v>46014.1875</v>
      </c>
      <c r="M12790" s="46" t="s">
        <v>123</v>
      </c>
      <c r="N12790" s="45">
        <v>46014.229166666664</v>
      </c>
      <c r="O12790" s="46" t="s">
        <v>123</v>
      </c>
      <c r="P12790" s="46">
        <v>3600.0</v>
      </c>
    </row>
    <row r="12791">
      <c r="A12791" s="40">
        <f t="shared" si="1"/>
        <v>46013</v>
      </c>
      <c r="B12791" s="37" t="str">
        <f t="array" ref="B12791">iferror(xlookup($I12791, 'IMPORT VHC Report'!$E:$E, 'IMPORT VHC Report'!$A:$C), )</f>
        <v/>
      </c>
      <c r="C12791" s="44"/>
      <c r="D12791" s="44"/>
      <c r="E12791" s="46" t="s">
        <v>8822</v>
      </c>
      <c r="F12791" s="46" t="s">
        <v>1327</v>
      </c>
      <c r="G12791" s="46">
        <v>7.874569114383E12</v>
      </c>
      <c r="H12791" s="46" t="s">
        <v>1328</v>
      </c>
      <c r="I12791" s="46" t="s">
        <v>1329</v>
      </c>
      <c r="J12791" s="46" t="s">
        <v>62</v>
      </c>
      <c r="K12791" s="46" t="s">
        <v>63</v>
      </c>
      <c r="L12791" s="45">
        <v>46014.239583333336</v>
      </c>
      <c r="M12791" s="46" t="s">
        <v>123</v>
      </c>
      <c r="N12791" s="45">
        <v>46014.260416666664</v>
      </c>
      <c r="O12791" s="46" t="s">
        <v>123</v>
      </c>
      <c r="P12791" s="46">
        <v>1800.0</v>
      </c>
    </row>
    <row r="12792">
      <c r="A12792" s="40">
        <f t="shared" si="1"/>
        <v>46013</v>
      </c>
      <c r="B12792" s="37" t="str">
        <f t="array" ref="B12792">iferror(xlookup($I12792, 'IMPORT VHC Report'!$E:$E, 'IMPORT VHC Report'!$A:$C), )</f>
        <v/>
      </c>
      <c r="C12792" s="44"/>
      <c r="D12792" s="44"/>
      <c r="E12792" s="46" t="s">
        <v>8823</v>
      </c>
      <c r="F12792" s="46" t="s">
        <v>1327</v>
      </c>
      <c r="G12792" s="46">
        <v>7.874569114383E12</v>
      </c>
      <c r="H12792" s="46" t="s">
        <v>1328</v>
      </c>
      <c r="I12792" s="46" t="s">
        <v>1329</v>
      </c>
      <c r="J12792" s="46" t="s">
        <v>224</v>
      </c>
      <c r="K12792" s="46" t="s">
        <v>63</v>
      </c>
      <c r="L12792" s="45">
        <v>46014.260416666664</v>
      </c>
      <c r="M12792" s="46" t="s">
        <v>123</v>
      </c>
      <c r="N12792" s="45">
        <v>46014.375</v>
      </c>
      <c r="O12792" s="46" t="s">
        <v>123</v>
      </c>
      <c r="P12792" s="46">
        <v>9900.0</v>
      </c>
    </row>
    <row r="12793">
      <c r="A12793" s="40">
        <f t="shared" si="1"/>
        <v>46013</v>
      </c>
      <c r="B12793" s="37" t="str">
        <f t="array" ref="B12793">iferror(xlookup($I12793, 'IMPORT VHC Report'!$E:$E, 'IMPORT VHC Report'!$A:$C), )</f>
        <v/>
      </c>
      <c r="C12793" s="44"/>
      <c r="D12793" s="44"/>
      <c r="E12793" s="46" t="s">
        <v>8824</v>
      </c>
      <c r="F12793" s="46" t="s">
        <v>1327</v>
      </c>
      <c r="G12793" s="46">
        <v>7.874569114383E12</v>
      </c>
      <c r="H12793" s="46" t="s">
        <v>1328</v>
      </c>
      <c r="I12793" s="46" t="s">
        <v>1329</v>
      </c>
      <c r="J12793" s="46" t="s">
        <v>136</v>
      </c>
      <c r="K12793" s="46" t="s">
        <v>126</v>
      </c>
      <c r="L12793" s="45">
        <v>46014.270833333336</v>
      </c>
      <c r="M12793" s="46" t="s">
        <v>123</v>
      </c>
      <c r="N12793" s="45">
        <v>46014.291666666664</v>
      </c>
      <c r="O12793" s="46" t="s">
        <v>123</v>
      </c>
      <c r="P12793" s="46">
        <v>1800.0</v>
      </c>
      <c r="S12793" s="46" t="s">
        <v>137</v>
      </c>
    </row>
    <row r="12794">
      <c r="A12794" s="40">
        <f t="shared" si="1"/>
        <v>46013</v>
      </c>
      <c r="B12794" s="37" t="str">
        <f t="array" ref="B12794">iferror(xlookup($I12794, 'IMPORT VHC Report'!$E:$E, 'IMPORT VHC Report'!$A:$C), )</f>
        <v/>
      </c>
      <c r="C12794" s="44"/>
      <c r="D12794" s="44"/>
      <c r="E12794" s="46" t="s">
        <v>8825</v>
      </c>
      <c r="F12794" s="46" t="s">
        <v>1327</v>
      </c>
      <c r="G12794" s="46">
        <v>7.874569114383E12</v>
      </c>
      <c r="H12794" s="46" t="s">
        <v>1328</v>
      </c>
      <c r="I12794" s="46" t="s">
        <v>1329</v>
      </c>
      <c r="J12794" s="46" t="s">
        <v>134</v>
      </c>
      <c r="K12794" s="46" t="s">
        <v>126</v>
      </c>
      <c r="L12794" s="45">
        <v>46014.302083333336</v>
      </c>
      <c r="M12794" s="46" t="s">
        <v>123</v>
      </c>
      <c r="N12794" s="45">
        <v>46014.3125</v>
      </c>
      <c r="O12794" s="46" t="s">
        <v>123</v>
      </c>
      <c r="P12794" s="46">
        <v>900.0</v>
      </c>
    </row>
    <row r="12795">
      <c r="A12795" s="40">
        <f t="shared" si="1"/>
        <v>46013</v>
      </c>
      <c r="B12795" s="37" t="str">
        <f t="array" ref="B12795">iferror(xlookup($I12795, 'IMPORT VHC Report'!$E:$E, 'IMPORT VHC Report'!$A:$C), )</f>
        <v/>
      </c>
      <c r="C12795" s="44"/>
      <c r="D12795" s="44"/>
      <c r="E12795" s="46" t="s">
        <v>8826</v>
      </c>
      <c r="F12795" s="46" t="s">
        <v>1327</v>
      </c>
      <c r="G12795" s="46">
        <v>7.874569114383E12</v>
      </c>
      <c r="H12795" s="46" t="s">
        <v>1328</v>
      </c>
      <c r="I12795" s="46" t="s">
        <v>1329</v>
      </c>
      <c r="J12795" s="46" t="s">
        <v>224</v>
      </c>
      <c r="K12795" s="46" t="s">
        <v>63</v>
      </c>
      <c r="L12795" s="45">
        <v>46015.0</v>
      </c>
      <c r="M12795" s="46" t="s">
        <v>123</v>
      </c>
      <c r="N12795" s="45">
        <v>46015.375</v>
      </c>
      <c r="O12795" s="46" t="s">
        <v>123</v>
      </c>
      <c r="P12795" s="46">
        <v>32400.0</v>
      </c>
    </row>
    <row r="12796">
      <c r="A12796" s="40">
        <f t="shared" si="1"/>
        <v>46013</v>
      </c>
      <c r="B12796" s="37" t="str">
        <f t="array" ref="B12796">iferror(xlookup($I12796, 'IMPORT VHC Report'!$E:$E, 'IMPORT VHC Report'!$A:$C), )</f>
        <v/>
      </c>
      <c r="C12796" s="44"/>
      <c r="D12796" s="44"/>
      <c r="E12796" s="46" t="s">
        <v>8827</v>
      </c>
      <c r="F12796" s="46" t="s">
        <v>1327</v>
      </c>
      <c r="G12796" s="46">
        <v>7.874569114383E12</v>
      </c>
      <c r="H12796" s="46" t="s">
        <v>1328</v>
      </c>
      <c r="I12796" s="46" t="s">
        <v>1329</v>
      </c>
      <c r="J12796" s="46" t="s">
        <v>134</v>
      </c>
      <c r="K12796" s="46" t="s">
        <v>126</v>
      </c>
      <c r="L12796" s="45">
        <v>46015.083333333336</v>
      </c>
      <c r="M12796" s="46" t="s">
        <v>123</v>
      </c>
      <c r="N12796" s="45">
        <v>46015.09375</v>
      </c>
      <c r="O12796" s="46" t="s">
        <v>123</v>
      </c>
      <c r="P12796" s="46">
        <v>900.0</v>
      </c>
    </row>
    <row r="12797">
      <c r="A12797" s="40">
        <f t="shared" si="1"/>
        <v>46013</v>
      </c>
      <c r="B12797" s="37" t="str">
        <f t="array" ref="B12797">iferror(xlookup($I12797, 'IMPORT VHC Report'!$E:$E, 'IMPORT VHC Report'!$A:$C), )</f>
        <v/>
      </c>
      <c r="C12797" s="44"/>
      <c r="D12797" s="44"/>
      <c r="E12797" s="46" t="s">
        <v>8828</v>
      </c>
      <c r="F12797" s="46" t="s">
        <v>1327</v>
      </c>
      <c r="G12797" s="46">
        <v>7.874569114383E12</v>
      </c>
      <c r="H12797" s="46" t="s">
        <v>1328</v>
      </c>
      <c r="I12797" s="46" t="s">
        <v>1329</v>
      </c>
      <c r="J12797" s="46" t="s">
        <v>134</v>
      </c>
      <c r="K12797" s="46" t="s">
        <v>126</v>
      </c>
      <c r="L12797" s="45">
        <v>46015.15625</v>
      </c>
      <c r="M12797" s="46" t="s">
        <v>123</v>
      </c>
      <c r="N12797" s="45">
        <v>46015.166666666664</v>
      </c>
      <c r="O12797" s="46" t="s">
        <v>123</v>
      </c>
      <c r="P12797" s="46">
        <v>900.0</v>
      </c>
    </row>
    <row r="12798">
      <c r="A12798" s="40">
        <f t="shared" si="1"/>
        <v>46013</v>
      </c>
      <c r="B12798" s="37" t="str">
        <f t="array" ref="B12798">iferror(xlookup($I12798, 'IMPORT VHC Report'!$E:$E, 'IMPORT VHC Report'!$A:$C), )</f>
        <v/>
      </c>
      <c r="C12798" s="44"/>
      <c r="D12798" s="44"/>
      <c r="E12798" s="46" t="s">
        <v>8829</v>
      </c>
      <c r="F12798" s="46" t="s">
        <v>1327</v>
      </c>
      <c r="G12798" s="46">
        <v>7.874569114383E12</v>
      </c>
      <c r="H12798" s="46" t="s">
        <v>1328</v>
      </c>
      <c r="I12798" s="46" t="s">
        <v>1329</v>
      </c>
      <c r="J12798" s="46" t="s">
        <v>132</v>
      </c>
      <c r="K12798" s="46" t="s">
        <v>126</v>
      </c>
      <c r="L12798" s="45">
        <v>46015.25</v>
      </c>
      <c r="M12798" s="46" t="s">
        <v>123</v>
      </c>
      <c r="N12798" s="45">
        <v>46015.291666666664</v>
      </c>
      <c r="O12798" s="46" t="s">
        <v>123</v>
      </c>
      <c r="P12798" s="46">
        <v>3600.0</v>
      </c>
    </row>
    <row r="12799">
      <c r="A12799" s="40">
        <f t="shared" si="1"/>
        <v>46013</v>
      </c>
      <c r="B12799" s="37" t="str">
        <f t="array" ref="B12799">iferror(xlookup($I12799, 'IMPORT VHC Report'!$E:$E, 'IMPORT VHC Report'!$A:$C), )</f>
        <v/>
      </c>
      <c r="C12799" s="44"/>
      <c r="D12799" s="44"/>
      <c r="E12799" s="46" t="s">
        <v>8830</v>
      </c>
      <c r="F12799" s="46" t="s">
        <v>1327</v>
      </c>
      <c r="G12799" s="46">
        <v>7.874569114383E12</v>
      </c>
      <c r="H12799" s="46" t="s">
        <v>1328</v>
      </c>
      <c r="I12799" s="46" t="s">
        <v>1329</v>
      </c>
      <c r="J12799" s="46" t="s">
        <v>330</v>
      </c>
      <c r="K12799" s="46" t="s">
        <v>126</v>
      </c>
      <c r="L12799" s="45">
        <v>46015.333333333336</v>
      </c>
      <c r="M12799" s="46" t="s">
        <v>123</v>
      </c>
      <c r="N12799" s="45">
        <v>46015.375</v>
      </c>
      <c r="O12799" s="46" t="s">
        <v>123</v>
      </c>
      <c r="P12799" s="46">
        <v>3600.0</v>
      </c>
    </row>
    <row r="12800">
      <c r="A12800" s="40">
        <f t="shared" si="1"/>
        <v>46013</v>
      </c>
      <c r="B12800" s="37" t="str">
        <f t="array" ref="B12800">iferror(xlookup($I12800, 'IMPORT VHC Report'!$E:$E, 'IMPORT VHC Report'!$A:$C), )</f>
        <v/>
      </c>
      <c r="C12800" s="44"/>
      <c r="D12800" s="44"/>
      <c r="E12800" s="46" t="s">
        <v>8831</v>
      </c>
      <c r="F12800" s="46" t="s">
        <v>1327</v>
      </c>
      <c r="G12800" s="46">
        <v>7.874569114383E12</v>
      </c>
      <c r="H12800" s="46" t="s">
        <v>1328</v>
      </c>
      <c r="I12800" s="46" t="s">
        <v>1329</v>
      </c>
      <c r="J12800" s="46" t="s">
        <v>224</v>
      </c>
      <c r="K12800" s="46" t="s">
        <v>63</v>
      </c>
      <c r="L12800" s="45">
        <v>46016.0</v>
      </c>
      <c r="M12800" s="46" t="s">
        <v>123</v>
      </c>
      <c r="N12800" s="45">
        <v>46016.375</v>
      </c>
      <c r="O12800" s="46" t="s">
        <v>123</v>
      </c>
      <c r="P12800" s="46">
        <v>32400.0</v>
      </c>
    </row>
    <row r="12801">
      <c r="A12801" s="40">
        <f t="shared" si="1"/>
        <v>46013</v>
      </c>
      <c r="B12801" s="37" t="str">
        <f t="array" ref="B12801">iferror(xlookup($I12801, 'IMPORT VHC Report'!$E:$E, 'IMPORT VHC Report'!$A:$C), )</f>
        <v/>
      </c>
      <c r="C12801" s="44"/>
      <c r="D12801" s="44"/>
      <c r="E12801" s="46" t="s">
        <v>8832</v>
      </c>
      <c r="F12801" s="46" t="s">
        <v>1327</v>
      </c>
      <c r="G12801" s="46">
        <v>7.874569114383E12</v>
      </c>
      <c r="H12801" s="46" t="s">
        <v>1328</v>
      </c>
      <c r="I12801" s="46" t="s">
        <v>1329</v>
      </c>
      <c r="J12801" s="46" t="s">
        <v>134</v>
      </c>
      <c r="K12801" s="46" t="s">
        <v>126</v>
      </c>
      <c r="L12801" s="45">
        <v>46016.083333333336</v>
      </c>
      <c r="M12801" s="46" t="s">
        <v>123</v>
      </c>
      <c r="N12801" s="45">
        <v>46016.09375</v>
      </c>
      <c r="O12801" s="46" t="s">
        <v>123</v>
      </c>
      <c r="P12801" s="46">
        <v>900.0</v>
      </c>
    </row>
    <row r="12802">
      <c r="A12802" s="40">
        <f t="shared" si="1"/>
        <v>46013</v>
      </c>
      <c r="B12802" s="37" t="str">
        <f t="array" ref="B12802">iferror(xlookup($I12802, 'IMPORT VHC Report'!$E:$E, 'IMPORT VHC Report'!$A:$C), )</f>
        <v/>
      </c>
      <c r="C12802" s="44"/>
      <c r="D12802" s="44"/>
      <c r="E12802" s="46" t="s">
        <v>8833</v>
      </c>
      <c r="F12802" s="46" t="s">
        <v>1327</v>
      </c>
      <c r="G12802" s="46">
        <v>7.874569114383E12</v>
      </c>
      <c r="H12802" s="46" t="s">
        <v>1328</v>
      </c>
      <c r="I12802" s="46" t="s">
        <v>1329</v>
      </c>
      <c r="J12802" s="46" t="s">
        <v>132</v>
      </c>
      <c r="K12802" s="46" t="s">
        <v>126</v>
      </c>
      <c r="L12802" s="45">
        <v>46016.15625</v>
      </c>
      <c r="M12802" s="46" t="s">
        <v>123</v>
      </c>
      <c r="N12802" s="45">
        <v>46016.197916666664</v>
      </c>
      <c r="O12802" s="46" t="s">
        <v>123</v>
      </c>
      <c r="P12802" s="46">
        <v>3600.0</v>
      </c>
    </row>
    <row r="12803">
      <c r="A12803" s="40">
        <f t="shared" si="1"/>
        <v>46013</v>
      </c>
      <c r="B12803" s="37" t="str">
        <f t="array" ref="B12803">iferror(xlookup($I12803, 'IMPORT VHC Report'!$E:$E, 'IMPORT VHC Report'!$A:$C), )</f>
        <v/>
      </c>
      <c r="C12803" s="44"/>
      <c r="D12803" s="44"/>
      <c r="E12803" s="46" t="s">
        <v>8834</v>
      </c>
      <c r="F12803" s="46" t="s">
        <v>1327</v>
      </c>
      <c r="G12803" s="46">
        <v>7.874569114383E12</v>
      </c>
      <c r="H12803" s="46" t="s">
        <v>1328</v>
      </c>
      <c r="I12803" s="46" t="s">
        <v>1329</v>
      </c>
      <c r="J12803" s="46" t="s">
        <v>134</v>
      </c>
      <c r="K12803" s="46" t="s">
        <v>126</v>
      </c>
      <c r="L12803" s="45">
        <v>46016.28125</v>
      </c>
      <c r="M12803" s="46" t="s">
        <v>123</v>
      </c>
      <c r="N12803" s="45">
        <v>46016.291666666664</v>
      </c>
      <c r="O12803" s="46" t="s">
        <v>123</v>
      </c>
      <c r="P12803" s="46">
        <v>900.0</v>
      </c>
    </row>
    <row r="12804">
      <c r="A12804" s="40">
        <f t="shared" si="1"/>
        <v>46013</v>
      </c>
      <c r="B12804" s="37" t="str">
        <f t="array" ref="B12804">iferror(xlookup($I12804, 'IMPORT VHC Report'!$E:$E, 'IMPORT VHC Report'!$A:$C), )</f>
        <v/>
      </c>
      <c r="C12804" s="44"/>
      <c r="D12804" s="44"/>
      <c r="E12804" s="46" t="s">
        <v>8835</v>
      </c>
      <c r="F12804" s="46" t="s">
        <v>1327</v>
      </c>
      <c r="G12804" s="46">
        <v>7.874569114383E12</v>
      </c>
      <c r="H12804" s="46" t="s">
        <v>1328</v>
      </c>
      <c r="I12804" s="46" t="s">
        <v>1329</v>
      </c>
      <c r="J12804" s="46" t="s">
        <v>178</v>
      </c>
      <c r="K12804" s="46" t="s">
        <v>153</v>
      </c>
      <c r="L12804" s="45">
        <v>46017.0</v>
      </c>
      <c r="M12804" s="46" t="s">
        <v>123</v>
      </c>
      <c r="N12804" s="45">
        <v>46017.375</v>
      </c>
      <c r="O12804" s="46" t="s">
        <v>123</v>
      </c>
      <c r="P12804" s="46">
        <v>32400.0</v>
      </c>
      <c r="Q12804" s="46">
        <v>32400.0</v>
      </c>
    </row>
    <row r="12805">
      <c r="A12805" s="40">
        <f t="shared" si="1"/>
        <v>46013</v>
      </c>
      <c r="B12805" s="37" t="str">
        <f t="array" ref="B12805">iferror(xlookup($I12805, 'IMPORT VHC Report'!$E:$E, 'IMPORT VHC Report'!$A:$C), )</f>
        <v/>
      </c>
      <c r="C12805" s="44"/>
      <c r="D12805" s="44"/>
      <c r="E12805" s="46" t="s">
        <v>8836</v>
      </c>
      <c r="F12805" s="46" t="s">
        <v>1327</v>
      </c>
      <c r="G12805" s="46">
        <v>7.874569114383E12</v>
      </c>
      <c r="H12805" s="46" t="s">
        <v>1328</v>
      </c>
      <c r="I12805" s="46" t="s">
        <v>1329</v>
      </c>
      <c r="J12805" s="46" t="s">
        <v>224</v>
      </c>
      <c r="K12805" s="46" t="s">
        <v>63</v>
      </c>
      <c r="L12805" s="45">
        <v>46017.0</v>
      </c>
      <c r="M12805" s="46" t="s">
        <v>123</v>
      </c>
      <c r="N12805" s="45">
        <v>46017.375</v>
      </c>
      <c r="O12805" s="46" t="s">
        <v>123</v>
      </c>
      <c r="P12805" s="46">
        <v>32400.0</v>
      </c>
    </row>
    <row r="12806">
      <c r="A12806" s="40">
        <f t="shared" si="1"/>
        <v>46013</v>
      </c>
      <c r="B12806" s="37" t="str">
        <f t="array" ref="B12806">iferror(xlookup($I12806, 'IMPORT VHC Report'!$E:$E, 'IMPORT VHC Report'!$A:$C), )</f>
        <v/>
      </c>
      <c r="C12806" s="44"/>
      <c r="D12806" s="44"/>
      <c r="E12806" s="46" t="s">
        <v>8837</v>
      </c>
      <c r="F12806" s="46" t="s">
        <v>1327</v>
      </c>
      <c r="G12806" s="46">
        <v>7.874569114383E12</v>
      </c>
      <c r="H12806" s="46" t="s">
        <v>1328</v>
      </c>
      <c r="I12806" s="46" t="s">
        <v>1329</v>
      </c>
      <c r="J12806" s="46" t="s">
        <v>134</v>
      </c>
      <c r="K12806" s="46" t="s">
        <v>126</v>
      </c>
      <c r="L12806" s="45">
        <v>46017.083333333336</v>
      </c>
      <c r="M12806" s="46" t="s">
        <v>123</v>
      </c>
      <c r="N12806" s="45">
        <v>46017.09375</v>
      </c>
      <c r="O12806" s="46" t="s">
        <v>123</v>
      </c>
      <c r="P12806" s="46">
        <v>900.0</v>
      </c>
    </row>
    <row r="12807">
      <c r="A12807" s="40">
        <f t="shared" si="1"/>
        <v>46013</v>
      </c>
      <c r="B12807" s="37" t="str">
        <f t="array" ref="B12807">iferror(xlookup($I12807, 'IMPORT VHC Report'!$E:$E, 'IMPORT VHC Report'!$A:$C), )</f>
        <v/>
      </c>
      <c r="C12807" s="44"/>
      <c r="D12807" s="44"/>
      <c r="E12807" s="46" t="s">
        <v>8838</v>
      </c>
      <c r="F12807" s="46" t="s">
        <v>1327</v>
      </c>
      <c r="G12807" s="46">
        <v>7.874569114383E12</v>
      </c>
      <c r="H12807" s="46" t="s">
        <v>1328</v>
      </c>
      <c r="I12807" s="46" t="s">
        <v>1329</v>
      </c>
      <c r="J12807" s="46" t="s">
        <v>132</v>
      </c>
      <c r="K12807" s="46" t="s">
        <v>126</v>
      </c>
      <c r="L12807" s="45">
        <v>46017.15625</v>
      </c>
      <c r="M12807" s="46" t="s">
        <v>123</v>
      </c>
      <c r="N12807" s="45">
        <v>46017.197916666664</v>
      </c>
      <c r="O12807" s="46" t="s">
        <v>123</v>
      </c>
      <c r="P12807" s="46">
        <v>3600.0</v>
      </c>
    </row>
    <row r="12808">
      <c r="A12808" s="40">
        <f t="shared" si="1"/>
        <v>46013</v>
      </c>
      <c r="B12808" s="37" t="str">
        <f t="array" ref="B12808">iferror(xlookup($I12808, 'IMPORT VHC Report'!$E:$E, 'IMPORT VHC Report'!$A:$C), )</f>
        <v/>
      </c>
      <c r="C12808" s="44"/>
      <c r="D12808" s="44"/>
      <c r="E12808" s="46" t="s">
        <v>8839</v>
      </c>
      <c r="F12808" s="46" t="s">
        <v>1327</v>
      </c>
      <c r="G12808" s="46">
        <v>7.874569114383E12</v>
      </c>
      <c r="H12808" s="46" t="s">
        <v>1328</v>
      </c>
      <c r="I12808" s="46" t="s">
        <v>1329</v>
      </c>
      <c r="J12808" s="46" t="s">
        <v>134</v>
      </c>
      <c r="K12808" s="46" t="s">
        <v>126</v>
      </c>
      <c r="L12808" s="45">
        <v>46017.28125</v>
      </c>
      <c r="M12808" s="46" t="s">
        <v>123</v>
      </c>
      <c r="N12808" s="45">
        <v>46017.291666666664</v>
      </c>
      <c r="O12808" s="46" t="s">
        <v>123</v>
      </c>
      <c r="P12808" s="46">
        <v>900.0</v>
      </c>
    </row>
    <row r="12809">
      <c r="A12809" s="40">
        <f t="shared" si="1"/>
        <v>46013</v>
      </c>
      <c r="B12809" s="37" t="str">
        <f t="array" ref="B12809">iferror(xlookup($I12809, 'IMPORT VHC Report'!$E:$E, 'IMPORT VHC Report'!$A:$C), )</f>
        <v/>
      </c>
      <c r="C12809" s="44"/>
      <c r="D12809" s="44"/>
      <c r="E12809" s="46" t="s">
        <v>8840</v>
      </c>
      <c r="F12809" s="46" t="s">
        <v>1422</v>
      </c>
      <c r="G12809" s="46">
        <v>8.904479838351E12</v>
      </c>
      <c r="H12809" s="46" t="s">
        <v>1423</v>
      </c>
      <c r="I12809" s="46" t="s">
        <v>1424</v>
      </c>
      <c r="J12809" s="46" t="s">
        <v>224</v>
      </c>
      <c r="K12809" s="46" t="s">
        <v>63</v>
      </c>
      <c r="L12809" s="45">
        <v>46013.0</v>
      </c>
      <c r="M12809" s="46" t="s">
        <v>123</v>
      </c>
      <c r="N12809" s="45">
        <v>46013.375</v>
      </c>
      <c r="O12809" s="46" t="s">
        <v>123</v>
      </c>
      <c r="P12809" s="46">
        <v>32400.0</v>
      </c>
    </row>
    <row r="12810">
      <c r="A12810" s="40">
        <f t="shared" si="1"/>
        <v>46013</v>
      </c>
      <c r="B12810" s="37" t="str">
        <f t="array" ref="B12810">iferror(xlookup($I12810, 'IMPORT VHC Report'!$E:$E, 'IMPORT VHC Report'!$A:$C), )</f>
        <v/>
      </c>
      <c r="C12810" s="44"/>
      <c r="D12810" s="44"/>
      <c r="E12810" s="46" t="s">
        <v>8841</v>
      </c>
      <c r="F12810" s="46" t="s">
        <v>1422</v>
      </c>
      <c r="G12810" s="46">
        <v>8.904479838351E12</v>
      </c>
      <c r="H12810" s="46" t="s">
        <v>1423</v>
      </c>
      <c r="I12810" s="46" t="s">
        <v>1424</v>
      </c>
      <c r="J12810" s="46" t="s">
        <v>330</v>
      </c>
      <c r="K12810" s="46" t="s">
        <v>126</v>
      </c>
      <c r="L12810" s="45">
        <v>46013.010416666664</v>
      </c>
      <c r="M12810" s="46" t="s">
        <v>123</v>
      </c>
      <c r="N12810" s="45">
        <v>46013.020833333336</v>
      </c>
      <c r="O12810" s="46" t="s">
        <v>123</v>
      </c>
      <c r="P12810" s="46">
        <v>900.0</v>
      </c>
    </row>
    <row r="12811">
      <c r="A12811" s="40">
        <f t="shared" si="1"/>
        <v>46013</v>
      </c>
      <c r="B12811" s="37" t="str">
        <f t="array" ref="B12811">iferror(xlookup($I12811, 'IMPORT VHC Report'!$E:$E, 'IMPORT VHC Report'!$A:$C), )</f>
        <v/>
      </c>
      <c r="C12811" s="44"/>
      <c r="D12811" s="44"/>
      <c r="E12811" s="46" t="s">
        <v>8842</v>
      </c>
      <c r="F12811" s="46" t="s">
        <v>1422</v>
      </c>
      <c r="G12811" s="46">
        <v>8.904479838351E12</v>
      </c>
      <c r="H12811" s="46" t="s">
        <v>1423</v>
      </c>
      <c r="I12811" s="46" t="s">
        <v>1424</v>
      </c>
      <c r="J12811" s="46" t="s">
        <v>134</v>
      </c>
      <c r="K12811" s="46" t="s">
        <v>126</v>
      </c>
      <c r="L12811" s="45">
        <v>46013.0625</v>
      </c>
      <c r="M12811" s="46" t="s">
        <v>123</v>
      </c>
      <c r="N12811" s="45">
        <v>46013.072916666664</v>
      </c>
      <c r="O12811" s="46" t="s">
        <v>123</v>
      </c>
      <c r="P12811" s="46">
        <v>900.0</v>
      </c>
    </row>
    <row r="12812">
      <c r="A12812" s="40">
        <f t="shared" si="1"/>
        <v>46013</v>
      </c>
      <c r="B12812" s="37" t="str">
        <f t="array" ref="B12812">iferror(xlookup($I12812, 'IMPORT VHC Report'!$E:$E, 'IMPORT VHC Report'!$A:$C), )</f>
        <v/>
      </c>
      <c r="C12812" s="44"/>
      <c r="D12812" s="44"/>
      <c r="E12812" s="46" t="s">
        <v>8843</v>
      </c>
      <c r="F12812" s="46" t="s">
        <v>1422</v>
      </c>
      <c r="G12812" s="46">
        <v>8.904479838351E12</v>
      </c>
      <c r="H12812" s="46" t="s">
        <v>1423</v>
      </c>
      <c r="I12812" s="46" t="s">
        <v>1424</v>
      </c>
      <c r="J12812" s="46" t="s">
        <v>134</v>
      </c>
      <c r="K12812" s="46" t="s">
        <v>126</v>
      </c>
      <c r="L12812" s="45">
        <v>46013.145833333336</v>
      </c>
      <c r="M12812" s="46" t="s">
        <v>123</v>
      </c>
      <c r="N12812" s="45">
        <v>46013.15625</v>
      </c>
      <c r="O12812" s="46" t="s">
        <v>123</v>
      </c>
      <c r="P12812" s="46">
        <v>900.0</v>
      </c>
    </row>
    <row r="12813">
      <c r="A12813" s="40">
        <f t="shared" si="1"/>
        <v>46013</v>
      </c>
      <c r="B12813" s="37" t="str">
        <f t="array" ref="B12813">iferror(xlookup($I12813, 'IMPORT VHC Report'!$E:$E, 'IMPORT VHC Report'!$A:$C), )</f>
        <v/>
      </c>
      <c r="C12813" s="44"/>
      <c r="D12813" s="44"/>
      <c r="E12813" s="46" t="s">
        <v>8844</v>
      </c>
      <c r="F12813" s="46" t="s">
        <v>1422</v>
      </c>
      <c r="G12813" s="46">
        <v>8.904479838351E12</v>
      </c>
      <c r="H12813" s="46" t="s">
        <v>1423</v>
      </c>
      <c r="I12813" s="46" t="s">
        <v>1424</v>
      </c>
      <c r="J12813" s="46" t="s">
        <v>132</v>
      </c>
      <c r="K12813" s="46" t="s">
        <v>126</v>
      </c>
      <c r="L12813" s="45">
        <v>46013.25</v>
      </c>
      <c r="M12813" s="46" t="s">
        <v>123</v>
      </c>
      <c r="N12813" s="45">
        <v>46013.291666666664</v>
      </c>
      <c r="O12813" s="46" t="s">
        <v>123</v>
      </c>
      <c r="P12813" s="46">
        <v>3600.0</v>
      </c>
    </row>
    <row r="12814">
      <c r="A12814" s="40">
        <f t="shared" si="1"/>
        <v>46013</v>
      </c>
      <c r="B12814" s="37" t="str">
        <f t="array" ref="B12814">iferror(xlookup($I12814, 'IMPORT VHC Report'!$E:$E, 'IMPORT VHC Report'!$A:$C), )</f>
        <v/>
      </c>
      <c r="C12814" s="44"/>
      <c r="D12814" s="44"/>
      <c r="E12814" s="46" t="s">
        <v>8845</v>
      </c>
      <c r="F12814" s="46" t="s">
        <v>1422</v>
      </c>
      <c r="G12814" s="46">
        <v>8.904479838351E12</v>
      </c>
      <c r="H12814" s="46" t="s">
        <v>1423</v>
      </c>
      <c r="I12814" s="46" t="s">
        <v>1424</v>
      </c>
      <c r="J12814" s="46" t="s">
        <v>224</v>
      </c>
      <c r="K12814" s="46" t="s">
        <v>63</v>
      </c>
      <c r="L12814" s="45">
        <v>46014.0</v>
      </c>
      <c r="M12814" s="46" t="s">
        <v>123</v>
      </c>
      <c r="N12814" s="45">
        <v>46014.375</v>
      </c>
      <c r="O12814" s="46" t="s">
        <v>123</v>
      </c>
      <c r="P12814" s="46">
        <v>32400.0</v>
      </c>
    </row>
    <row r="12815">
      <c r="A12815" s="40">
        <f t="shared" si="1"/>
        <v>46013</v>
      </c>
      <c r="B12815" s="37" t="str">
        <f t="array" ref="B12815">iferror(xlookup($I12815, 'IMPORT VHC Report'!$E:$E, 'IMPORT VHC Report'!$A:$C), )</f>
        <v/>
      </c>
      <c r="C12815" s="44"/>
      <c r="D12815" s="44"/>
      <c r="E12815" s="46" t="s">
        <v>8846</v>
      </c>
      <c r="F12815" s="46" t="s">
        <v>1422</v>
      </c>
      <c r="G12815" s="46">
        <v>8.904479838351E12</v>
      </c>
      <c r="H12815" s="46" t="s">
        <v>1423</v>
      </c>
      <c r="I12815" s="46" t="s">
        <v>1424</v>
      </c>
      <c r="J12815" s="46" t="s">
        <v>134</v>
      </c>
      <c r="K12815" s="46" t="s">
        <v>126</v>
      </c>
      <c r="L12815" s="45">
        <v>46014.104166666664</v>
      </c>
      <c r="M12815" s="46" t="s">
        <v>123</v>
      </c>
      <c r="N12815" s="45">
        <v>46014.114583333336</v>
      </c>
      <c r="O12815" s="46" t="s">
        <v>123</v>
      </c>
      <c r="P12815" s="46">
        <v>900.0</v>
      </c>
    </row>
    <row r="12816">
      <c r="A12816" s="40">
        <f t="shared" si="1"/>
        <v>46013</v>
      </c>
      <c r="B12816" s="37" t="str">
        <f t="array" ref="B12816">iferror(xlookup($I12816, 'IMPORT VHC Report'!$E:$E, 'IMPORT VHC Report'!$A:$C), )</f>
        <v/>
      </c>
      <c r="C12816" s="44"/>
      <c r="D12816" s="44"/>
      <c r="E12816" s="46" t="s">
        <v>8847</v>
      </c>
      <c r="F12816" s="46" t="s">
        <v>1422</v>
      </c>
      <c r="G12816" s="46">
        <v>8.904479838351E12</v>
      </c>
      <c r="H12816" s="46" t="s">
        <v>1423</v>
      </c>
      <c r="I12816" s="46" t="s">
        <v>1424</v>
      </c>
      <c r="J12816" s="46" t="s">
        <v>132</v>
      </c>
      <c r="K12816" s="46" t="s">
        <v>126</v>
      </c>
      <c r="L12816" s="45">
        <v>46014.177083333336</v>
      </c>
      <c r="M12816" s="46" t="s">
        <v>123</v>
      </c>
      <c r="N12816" s="45">
        <v>46014.21875</v>
      </c>
      <c r="O12816" s="46" t="s">
        <v>123</v>
      </c>
      <c r="P12816" s="46">
        <v>3600.0</v>
      </c>
    </row>
    <row r="12817">
      <c r="A12817" s="40">
        <f t="shared" si="1"/>
        <v>46013</v>
      </c>
      <c r="B12817" s="37" t="str">
        <f t="array" ref="B12817">iferror(xlookup($I12817, 'IMPORT VHC Report'!$E:$E, 'IMPORT VHC Report'!$A:$C), )</f>
        <v/>
      </c>
      <c r="C12817" s="44"/>
      <c r="D12817" s="44"/>
      <c r="E12817" s="46" t="s">
        <v>8848</v>
      </c>
      <c r="F12817" s="46" t="s">
        <v>1422</v>
      </c>
      <c r="G12817" s="46">
        <v>8.904479838351E12</v>
      </c>
      <c r="H12817" s="46" t="s">
        <v>1423</v>
      </c>
      <c r="I12817" s="46" t="s">
        <v>1424</v>
      </c>
      <c r="J12817" s="46" t="s">
        <v>136</v>
      </c>
      <c r="K12817" s="46" t="s">
        <v>126</v>
      </c>
      <c r="L12817" s="45">
        <v>46014.270833333336</v>
      </c>
      <c r="M12817" s="46" t="s">
        <v>123</v>
      </c>
      <c r="N12817" s="45">
        <v>46014.291666666664</v>
      </c>
      <c r="O12817" s="46" t="s">
        <v>123</v>
      </c>
      <c r="P12817" s="46">
        <v>1800.0</v>
      </c>
      <c r="S12817" s="46" t="s">
        <v>137</v>
      </c>
    </row>
    <row r="12818">
      <c r="A12818" s="40">
        <f t="shared" si="1"/>
        <v>46013</v>
      </c>
      <c r="B12818" s="37" t="str">
        <f t="array" ref="B12818">iferror(xlookup($I12818, 'IMPORT VHC Report'!$E:$E, 'IMPORT VHC Report'!$A:$C), )</f>
        <v/>
      </c>
      <c r="C12818" s="44"/>
      <c r="D12818" s="44"/>
      <c r="E12818" s="46" t="s">
        <v>8849</v>
      </c>
      <c r="F12818" s="46" t="s">
        <v>1422</v>
      </c>
      <c r="G12818" s="46">
        <v>8.904479838351E12</v>
      </c>
      <c r="H12818" s="46" t="s">
        <v>1423</v>
      </c>
      <c r="I12818" s="46" t="s">
        <v>1424</v>
      </c>
      <c r="J12818" s="46" t="s">
        <v>134</v>
      </c>
      <c r="K12818" s="46" t="s">
        <v>126</v>
      </c>
      <c r="L12818" s="45">
        <v>46014.302083333336</v>
      </c>
      <c r="M12818" s="46" t="s">
        <v>123</v>
      </c>
      <c r="N12818" s="45">
        <v>46014.3125</v>
      </c>
      <c r="O12818" s="46" t="s">
        <v>123</v>
      </c>
      <c r="P12818" s="46">
        <v>900.0</v>
      </c>
    </row>
    <row r="12819">
      <c r="A12819" s="40">
        <f t="shared" si="1"/>
        <v>46013</v>
      </c>
      <c r="B12819" s="37" t="str">
        <f t="array" ref="B12819">iferror(xlookup($I12819, 'IMPORT VHC Report'!$E:$E, 'IMPORT VHC Report'!$A:$C), )</f>
        <v/>
      </c>
      <c r="C12819" s="44"/>
      <c r="D12819" s="44"/>
      <c r="E12819" s="46" t="s">
        <v>8850</v>
      </c>
      <c r="F12819" s="46" t="s">
        <v>1422</v>
      </c>
      <c r="G12819" s="46">
        <v>8.904479838351E12</v>
      </c>
      <c r="H12819" s="46" t="s">
        <v>1423</v>
      </c>
      <c r="I12819" s="46" t="s">
        <v>1424</v>
      </c>
      <c r="J12819" s="46" t="s">
        <v>224</v>
      </c>
      <c r="K12819" s="46" t="s">
        <v>63</v>
      </c>
      <c r="L12819" s="45">
        <v>46017.0</v>
      </c>
      <c r="M12819" s="46" t="s">
        <v>123</v>
      </c>
      <c r="N12819" s="45">
        <v>46017.375</v>
      </c>
      <c r="O12819" s="46" t="s">
        <v>123</v>
      </c>
      <c r="P12819" s="46">
        <v>32400.0</v>
      </c>
    </row>
    <row r="12820">
      <c r="A12820" s="40">
        <f t="shared" si="1"/>
        <v>46013</v>
      </c>
      <c r="B12820" s="37" t="str">
        <f t="array" ref="B12820">iferror(xlookup($I12820, 'IMPORT VHC Report'!$E:$E, 'IMPORT VHC Report'!$A:$C), )</f>
        <v/>
      </c>
      <c r="C12820" s="44"/>
      <c r="D12820" s="44"/>
      <c r="E12820" s="46" t="s">
        <v>8851</v>
      </c>
      <c r="F12820" s="46" t="s">
        <v>1422</v>
      </c>
      <c r="G12820" s="46">
        <v>8.904479838351E12</v>
      </c>
      <c r="H12820" s="46" t="s">
        <v>1423</v>
      </c>
      <c r="I12820" s="46" t="s">
        <v>1424</v>
      </c>
      <c r="J12820" s="46" t="s">
        <v>125</v>
      </c>
      <c r="K12820" s="46" t="s">
        <v>126</v>
      </c>
      <c r="L12820" s="45">
        <v>46017.03125</v>
      </c>
      <c r="M12820" s="46" t="s">
        <v>123</v>
      </c>
      <c r="N12820" s="45">
        <v>46017.072916666664</v>
      </c>
      <c r="O12820" s="46" t="s">
        <v>123</v>
      </c>
      <c r="P12820" s="46">
        <v>3600.0</v>
      </c>
      <c r="S12820" s="46" t="s">
        <v>8728</v>
      </c>
    </row>
    <row r="12821">
      <c r="A12821" s="40">
        <f t="shared" si="1"/>
        <v>46013</v>
      </c>
      <c r="B12821" s="37" t="str">
        <f t="array" ref="B12821">iferror(xlookup($I12821, 'IMPORT VHC Report'!$E:$E, 'IMPORT VHC Report'!$A:$C), )</f>
        <v/>
      </c>
      <c r="C12821" s="44"/>
      <c r="D12821" s="44"/>
      <c r="E12821" s="46" t="s">
        <v>8852</v>
      </c>
      <c r="F12821" s="46" t="s">
        <v>1422</v>
      </c>
      <c r="G12821" s="46">
        <v>8.904479838351E12</v>
      </c>
      <c r="H12821" s="46" t="s">
        <v>1423</v>
      </c>
      <c r="I12821" s="46" t="s">
        <v>1424</v>
      </c>
      <c r="J12821" s="46" t="s">
        <v>134</v>
      </c>
      <c r="K12821" s="46" t="s">
        <v>126</v>
      </c>
      <c r="L12821" s="45">
        <v>46017.09375</v>
      </c>
      <c r="M12821" s="46" t="s">
        <v>123</v>
      </c>
      <c r="N12821" s="45">
        <v>46017.104166666664</v>
      </c>
      <c r="O12821" s="46" t="s">
        <v>123</v>
      </c>
      <c r="P12821" s="46">
        <v>900.0</v>
      </c>
    </row>
    <row r="12822">
      <c r="A12822" s="40">
        <f t="shared" si="1"/>
        <v>46013</v>
      </c>
      <c r="B12822" s="37" t="str">
        <f t="array" ref="B12822">iferror(xlookup($I12822, 'IMPORT VHC Report'!$E:$E, 'IMPORT VHC Report'!$A:$C), )</f>
        <v/>
      </c>
      <c r="C12822" s="44"/>
      <c r="D12822" s="44"/>
      <c r="E12822" s="46" t="s">
        <v>8853</v>
      </c>
      <c r="F12822" s="46" t="s">
        <v>1422</v>
      </c>
      <c r="G12822" s="46">
        <v>8.904479838351E12</v>
      </c>
      <c r="H12822" s="46" t="s">
        <v>1423</v>
      </c>
      <c r="I12822" s="46" t="s">
        <v>1424</v>
      </c>
      <c r="J12822" s="46" t="s">
        <v>132</v>
      </c>
      <c r="K12822" s="46" t="s">
        <v>126</v>
      </c>
      <c r="L12822" s="45">
        <v>46017.177083333336</v>
      </c>
      <c r="M12822" s="46" t="s">
        <v>123</v>
      </c>
      <c r="N12822" s="45">
        <v>46017.21875</v>
      </c>
      <c r="O12822" s="46" t="s">
        <v>123</v>
      </c>
      <c r="P12822" s="46">
        <v>3600.0</v>
      </c>
    </row>
    <row r="12823">
      <c r="A12823" s="40">
        <f t="shared" si="1"/>
        <v>46013</v>
      </c>
      <c r="B12823" s="37" t="str">
        <f t="array" ref="B12823">iferror(xlookup($I12823, 'IMPORT VHC Report'!$E:$E, 'IMPORT VHC Report'!$A:$C), )</f>
        <v/>
      </c>
      <c r="C12823" s="44"/>
      <c r="D12823" s="44"/>
      <c r="E12823" s="46" t="s">
        <v>8854</v>
      </c>
      <c r="F12823" s="46" t="s">
        <v>1422</v>
      </c>
      <c r="G12823" s="46">
        <v>8.904479838351E12</v>
      </c>
      <c r="H12823" s="46" t="s">
        <v>1423</v>
      </c>
      <c r="I12823" s="46" t="s">
        <v>1424</v>
      </c>
      <c r="J12823" s="46" t="s">
        <v>134</v>
      </c>
      <c r="K12823" s="46" t="s">
        <v>126</v>
      </c>
      <c r="L12823" s="45">
        <v>46017.302083333336</v>
      </c>
      <c r="M12823" s="46" t="s">
        <v>123</v>
      </c>
      <c r="N12823" s="45">
        <v>46017.3125</v>
      </c>
      <c r="O12823" s="46" t="s">
        <v>123</v>
      </c>
      <c r="P12823" s="46">
        <v>900.0</v>
      </c>
    </row>
    <row r="12824">
      <c r="A12824" s="40">
        <f t="shared" si="1"/>
        <v>46013</v>
      </c>
      <c r="B12824" s="37" t="str">
        <f t="array" ref="B12824">iferror(xlookup($I12824, 'IMPORT VHC Report'!$E:$E, 'IMPORT VHC Report'!$A:$C), )</f>
        <v/>
      </c>
      <c r="C12824" s="44"/>
      <c r="D12824" s="44"/>
      <c r="E12824" s="46" t="s">
        <v>8855</v>
      </c>
      <c r="F12824" s="46" t="s">
        <v>1422</v>
      </c>
      <c r="G12824" s="46">
        <v>8.904479838351E12</v>
      </c>
      <c r="H12824" s="46" t="s">
        <v>1423</v>
      </c>
      <c r="I12824" s="46" t="s">
        <v>1424</v>
      </c>
      <c r="J12824" s="46" t="s">
        <v>224</v>
      </c>
      <c r="K12824" s="46" t="s">
        <v>63</v>
      </c>
      <c r="L12824" s="45">
        <v>46018.0</v>
      </c>
      <c r="M12824" s="46" t="s">
        <v>123</v>
      </c>
      <c r="N12824" s="45">
        <v>46018.375</v>
      </c>
      <c r="O12824" s="46" t="s">
        <v>123</v>
      </c>
      <c r="P12824" s="46">
        <v>32400.0</v>
      </c>
    </row>
    <row r="12825">
      <c r="A12825" s="40">
        <f t="shared" si="1"/>
        <v>46013</v>
      </c>
      <c r="B12825" s="37" t="str">
        <f t="array" ref="B12825">iferror(xlookup($I12825, 'IMPORT VHC Report'!$E:$E, 'IMPORT VHC Report'!$A:$C), )</f>
        <v/>
      </c>
      <c r="C12825" s="44"/>
      <c r="D12825" s="44"/>
      <c r="E12825" s="46" t="s">
        <v>8856</v>
      </c>
      <c r="F12825" s="46" t="s">
        <v>1422</v>
      </c>
      <c r="G12825" s="46">
        <v>8.904479838351E12</v>
      </c>
      <c r="H12825" s="46" t="s">
        <v>1423</v>
      </c>
      <c r="I12825" s="46" t="s">
        <v>1424</v>
      </c>
      <c r="J12825" s="46" t="s">
        <v>4</v>
      </c>
      <c r="K12825" s="46" t="s">
        <v>126</v>
      </c>
      <c r="L12825" s="45">
        <v>46018.072916666664</v>
      </c>
      <c r="M12825" s="46" t="s">
        <v>123</v>
      </c>
      <c r="N12825" s="45">
        <v>46018.083333333336</v>
      </c>
      <c r="O12825" s="46" t="s">
        <v>123</v>
      </c>
      <c r="P12825" s="46">
        <v>900.0</v>
      </c>
      <c r="S12825" s="46" t="s">
        <v>8664</v>
      </c>
    </row>
    <row r="12826">
      <c r="A12826" s="40">
        <f t="shared" si="1"/>
        <v>46013</v>
      </c>
      <c r="B12826" s="37" t="str">
        <f t="array" ref="B12826">iferror(xlookup($I12826, 'IMPORT VHC Report'!$E:$E, 'IMPORT VHC Report'!$A:$C), )</f>
        <v/>
      </c>
      <c r="C12826" s="44"/>
      <c r="D12826" s="44"/>
      <c r="E12826" s="46" t="s">
        <v>8857</v>
      </c>
      <c r="F12826" s="46" t="s">
        <v>1422</v>
      </c>
      <c r="G12826" s="46">
        <v>8.904479838351E12</v>
      </c>
      <c r="H12826" s="46" t="s">
        <v>1423</v>
      </c>
      <c r="I12826" s="46" t="s">
        <v>1424</v>
      </c>
      <c r="J12826" s="46" t="s">
        <v>134</v>
      </c>
      <c r="K12826" s="46" t="s">
        <v>126</v>
      </c>
      <c r="L12826" s="45">
        <v>46018.083333333336</v>
      </c>
      <c r="M12826" s="46" t="s">
        <v>123</v>
      </c>
      <c r="N12826" s="45">
        <v>46018.09375</v>
      </c>
      <c r="O12826" s="46" t="s">
        <v>123</v>
      </c>
      <c r="P12826" s="46">
        <v>900.0</v>
      </c>
    </row>
    <row r="12827">
      <c r="A12827" s="40">
        <f t="shared" si="1"/>
        <v>46013</v>
      </c>
      <c r="B12827" s="37" t="str">
        <f t="array" ref="B12827">iferror(xlookup($I12827, 'IMPORT VHC Report'!$E:$E, 'IMPORT VHC Report'!$A:$C), )</f>
        <v/>
      </c>
      <c r="C12827" s="44"/>
      <c r="D12827" s="44"/>
      <c r="E12827" s="46" t="s">
        <v>8858</v>
      </c>
      <c r="F12827" s="46" t="s">
        <v>1422</v>
      </c>
      <c r="G12827" s="46">
        <v>8.904479838351E12</v>
      </c>
      <c r="H12827" s="46" t="s">
        <v>1423</v>
      </c>
      <c r="I12827" s="46" t="s">
        <v>1424</v>
      </c>
      <c r="J12827" s="46" t="s">
        <v>4</v>
      </c>
      <c r="K12827" s="46" t="s">
        <v>126</v>
      </c>
      <c r="L12827" s="45">
        <v>46018.09375</v>
      </c>
      <c r="M12827" s="46" t="s">
        <v>123</v>
      </c>
      <c r="N12827" s="45">
        <v>46018.104166666664</v>
      </c>
      <c r="O12827" s="46" t="s">
        <v>123</v>
      </c>
      <c r="P12827" s="46">
        <v>900.0</v>
      </c>
      <c r="S12827" s="46" t="s">
        <v>8666</v>
      </c>
    </row>
    <row r="12828">
      <c r="A12828" s="40">
        <f t="shared" si="1"/>
        <v>46013</v>
      </c>
      <c r="B12828" s="37" t="str">
        <f t="array" ref="B12828">iferror(xlookup($I12828, 'IMPORT VHC Report'!$E:$E, 'IMPORT VHC Report'!$A:$C), )</f>
        <v/>
      </c>
      <c r="C12828" s="44"/>
      <c r="D12828" s="44"/>
      <c r="E12828" s="46" t="s">
        <v>8859</v>
      </c>
      <c r="F12828" s="46" t="s">
        <v>1422</v>
      </c>
      <c r="G12828" s="46">
        <v>8.904479838351E12</v>
      </c>
      <c r="H12828" s="46" t="s">
        <v>1423</v>
      </c>
      <c r="I12828" s="46" t="s">
        <v>1424</v>
      </c>
      <c r="J12828" s="46" t="s">
        <v>4</v>
      </c>
      <c r="K12828" s="46" t="s">
        <v>126</v>
      </c>
      <c r="L12828" s="45">
        <v>46018.104166666664</v>
      </c>
      <c r="M12828" s="46" t="s">
        <v>123</v>
      </c>
      <c r="N12828" s="45">
        <v>46018.114583333336</v>
      </c>
      <c r="O12828" s="46" t="s">
        <v>123</v>
      </c>
      <c r="P12828" s="46">
        <v>900.0</v>
      </c>
      <c r="S12828" s="46" t="s">
        <v>8668</v>
      </c>
    </row>
    <row r="12829">
      <c r="A12829" s="40">
        <f t="shared" si="1"/>
        <v>46013</v>
      </c>
      <c r="B12829" s="37" t="str">
        <f t="array" ref="B12829">iferror(xlookup($I12829, 'IMPORT VHC Report'!$E:$E, 'IMPORT VHC Report'!$A:$C), )</f>
        <v/>
      </c>
      <c r="C12829" s="44"/>
      <c r="D12829" s="44"/>
      <c r="E12829" s="46" t="s">
        <v>8860</v>
      </c>
      <c r="F12829" s="46" t="s">
        <v>1422</v>
      </c>
      <c r="G12829" s="46">
        <v>8.904479838351E12</v>
      </c>
      <c r="H12829" s="46" t="s">
        <v>1423</v>
      </c>
      <c r="I12829" s="46" t="s">
        <v>1424</v>
      </c>
      <c r="J12829" s="46" t="s">
        <v>134</v>
      </c>
      <c r="K12829" s="46" t="s">
        <v>126</v>
      </c>
      <c r="L12829" s="45">
        <v>46018.166666666664</v>
      </c>
      <c r="M12829" s="46" t="s">
        <v>123</v>
      </c>
      <c r="N12829" s="45">
        <v>46018.177083333336</v>
      </c>
      <c r="O12829" s="46" t="s">
        <v>123</v>
      </c>
      <c r="P12829" s="46">
        <v>900.0</v>
      </c>
    </row>
    <row r="12830">
      <c r="A12830" s="40">
        <f t="shared" si="1"/>
        <v>46013</v>
      </c>
      <c r="B12830" s="37" t="str">
        <f t="array" ref="B12830">iferror(xlookup($I12830, 'IMPORT VHC Report'!$E:$E, 'IMPORT VHC Report'!$A:$C), )</f>
        <v/>
      </c>
      <c r="C12830" s="44"/>
      <c r="D12830" s="44"/>
      <c r="E12830" s="46" t="s">
        <v>8861</v>
      </c>
      <c r="F12830" s="46" t="s">
        <v>1422</v>
      </c>
      <c r="G12830" s="46">
        <v>8.904479838351E12</v>
      </c>
      <c r="H12830" s="46" t="s">
        <v>1423</v>
      </c>
      <c r="I12830" s="46" t="s">
        <v>1424</v>
      </c>
      <c r="J12830" s="46" t="s">
        <v>132</v>
      </c>
      <c r="K12830" s="46" t="s">
        <v>126</v>
      </c>
      <c r="L12830" s="45">
        <v>46018.25</v>
      </c>
      <c r="M12830" s="46" t="s">
        <v>123</v>
      </c>
      <c r="N12830" s="45">
        <v>46018.291666666664</v>
      </c>
      <c r="O12830" s="46" t="s">
        <v>123</v>
      </c>
      <c r="P12830" s="46">
        <v>3600.0</v>
      </c>
    </row>
    <row r="12831">
      <c r="A12831" s="40">
        <f t="shared" si="1"/>
        <v>46013</v>
      </c>
      <c r="B12831" s="37" t="str">
        <f t="array" ref="B12831">iferror(xlookup($I12831, 'IMPORT VHC Report'!$E:$E, 'IMPORT VHC Report'!$A:$C), )</f>
        <v/>
      </c>
      <c r="C12831" s="44"/>
      <c r="D12831" s="44"/>
      <c r="E12831" s="46" t="s">
        <v>8862</v>
      </c>
      <c r="F12831" s="46" t="s">
        <v>1422</v>
      </c>
      <c r="G12831" s="46">
        <v>8.904479838351E12</v>
      </c>
      <c r="H12831" s="46" t="s">
        <v>1423</v>
      </c>
      <c r="I12831" s="46" t="s">
        <v>1424</v>
      </c>
      <c r="J12831" s="46" t="s">
        <v>224</v>
      </c>
      <c r="K12831" s="46" t="s">
        <v>63</v>
      </c>
      <c r="L12831" s="45">
        <v>46019.0</v>
      </c>
      <c r="M12831" s="46" t="s">
        <v>123</v>
      </c>
      <c r="N12831" s="45">
        <v>46019.09375</v>
      </c>
      <c r="O12831" s="46" t="s">
        <v>123</v>
      </c>
      <c r="P12831" s="46">
        <v>8100.0</v>
      </c>
    </row>
    <row r="12832">
      <c r="A12832" s="40">
        <f t="shared" si="1"/>
        <v>46013</v>
      </c>
      <c r="B12832" s="37" t="str">
        <f t="array" ref="B12832">iferror(xlookup($I12832, 'IMPORT VHC Report'!$E:$E, 'IMPORT VHC Report'!$A:$C), )</f>
        <v/>
      </c>
      <c r="C12832" s="44"/>
      <c r="D12832" s="44"/>
      <c r="E12832" s="46" t="s">
        <v>8863</v>
      </c>
      <c r="F12832" s="46" t="s">
        <v>1422</v>
      </c>
      <c r="G12832" s="46">
        <v>8.904479838351E12</v>
      </c>
      <c r="H12832" s="46" t="s">
        <v>1423</v>
      </c>
      <c r="I12832" s="46" t="s">
        <v>1424</v>
      </c>
      <c r="J12832" s="46" t="s">
        <v>62</v>
      </c>
      <c r="K12832" s="46" t="s">
        <v>63</v>
      </c>
      <c r="L12832" s="45">
        <v>46019.09375</v>
      </c>
      <c r="M12832" s="46" t="s">
        <v>123</v>
      </c>
      <c r="N12832" s="45">
        <v>46019.15625</v>
      </c>
      <c r="O12832" s="46" t="s">
        <v>123</v>
      </c>
      <c r="P12832" s="46">
        <v>5400.0</v>
      </c>
    </row>
    <row r="12833">
      <c r="A12833" s="40">
        <f t="shared" si="1"/>
        <v>46013</v>
      </c>
      <c r="B12833" s="37" t="str">
        <f t="array" ref="B12833">iferror(xlookup($I12833, 'IMPORT VHC Report'!$E:$E, 'IMPORT VHC Report'!$A:$C), )</f>
        <v/>
      </c>
      <c r="C12833" s="44"/>
      <c r="D12833" s="44"/>
      <c r="E12833" s="46" t="s">
        <v>8864</v>
      </c>
      <c r="F12833" s="46" t="s">
        <v>1422</v>
      </c>
      <c r="G12833" s="46">
        <v>8.904479838351E12</v>
      </c>
      <c r="H12833" s="46" t="s">
        <v>1423</v>
      </c>
      <c r="I12833" s="46" t="s">
        <v>1424</v>
      </c>
      <c r="J12833" s="46" t="s">
        <v>132</v>
      </c>
      <c r="K12833" s="46" t="s">
        <v>126</v>
      </c>
      <c r="L12833" s="45">
        <v>46019.114583333336</v>
      </c>
      <c r="M12833" s="46" t="s">
        <v>123</v>
      </c>
      <c r="N12833" s="45">
        <v>46019.15625</v>
      </c>
      <c r="O12833" s="46" t="s">
        <v>123</v>
      </c>
      <c r="P12833" s="46">
        <v>3600.0</v>
      </c>
    </row>
    <row r="12834">
      <c r="A12834" s="40">
        <f t="shared" si="1"/>
        <v>46013</v>
      </c>
      <c r="B12834" s="37" t="str">
        <f t="array" ref="B12834">iferror(xlookup($I12834, 'IMPORT VHC Report'!$E:$E, 'IMPORT VHC Report'!$A:$C), )</f>
        <v/>
      </c>
      <c r="C12834" s="44"/>
      <c r="D12834" s="44"/>
      <c r="E12834" s="46" t="s">
        <v>8865</v>
      </c>
      <c r="F12834" s="46" t="s">
        <v>1422</v>
      </c>
      <c r="G12834" s="46">
        <v>8.904479838351E12</v>
      </c>
      <c r="H12834" s="46" t="s">
        <v>1423</v>
      </c>
      <c r="I12834" s="46" t="s">
        <v>1424</v>
      </c>
      <c r="J12834" s="46" t="s">
        <v>224</v>
      </c>
      <c r="K12834" s="46" t="s">
        <v>63</v>
      </c>
      <c r="L12834" s="45">
        <v>46019.15625</v>
      </c>
      <c r="M12834" s="46" t="s">
        <v>123</v>
      </c>
      <c r="N12834" s="45">
        <v>46019.375</v>
      </c>
      <c r="O12834" s="46" t="s">
        <v>123</v>
      </c>
      <c r="P12834" s="46">
        <v>18900.0</v>
      </c>
    </row>
    <row r="12835">
      <c r="A12835" s="40">
        <f t="shared" si="1"/>
        <v>46013</v>
      </c>
      <c r="B12835" s="37" t="str">
        <f t="array" ref="B12835">iferror(xlookup($I12835, 'IMPORT VHC Report'!$E:$E, 'IMPORT VHC Report'!$A:$C), )</f>
        <v/>
      </c>
      <c r="C12835" s="44"/>
      <c r="D12835" s="44"/>
      <c r="E12835" s="46" t="s">
        <v>8866</v>
      </c>
      <c r="F12835" s="46" t="s">
        <v>1422</v>
      </c>
      <c r="G12835" s="46">
        <v>8.904479838351E12</v>
      </c>
      <c r="H12835" s="46" t="s">
        <v>1423</v>
      </c>
      <c r="I12835" s="46" t="s">
        <v>1424</v>
      </c>
      <c r="J12835" s="46" t="s">
        <v>134</v>
      </c>
      <c r="K12835" s="46" t="s">
        <v>126</v>
      </c>
      <c r="L12835" s="45">
        <v>46019.21875</v>
      </c>
      <c r="M12835" s="46" t="s">
        <v>123</v>
      </c>
      <c r="N12835" s="45">
        <v>46019.229166666664</v>
      </c>
      <c r="O12835" s="46" t="s">
        <v>123</v>
      </c>
      <c r="P12835" s="46">
        <v>900.0</v>
      </c>
    </row>
    <row r="12836">
      <c r="A12836" s="40">
        <f t="shared" si="1"/>
        <v>46013</v>
      </c>
      <c r="B12836" s="37" t="str">
        <f t="array" ref="B12836">iferror(xlookup($I12836, 'IMPORT VHC Report'!$E:$E, 'IMPORT VHC Report'!$A:$C), )</f>
        <v/>
      </c>
      <c r="C12836" s="44"/>
      <c r="D12836" s="44"/>
      <c r="E12836" s="46" t="s">
        <v>8867</v>
      </c>
      <c r="F12836" s="46" t="s">
        <v>1422</v>
      </c>
      <c r="G12836" s="46">
        <v>8.904479838351E12</v>
      </c>
      <c r="H12836" s="46" t="s">
        <v>1423</v>
      </c>
      <c r="I12836" s="46" t="s">
        <v>1424</v>
      </c>
      <c r="J12836" s="46" t="s">
        <v>134</v>
      </c>
      <c r="K12836" s="46" t="s">
        <v>126</v>
      </c>
      <c r="L12836" s="45">
        <v>46019.302083333336</v>
      </c>
      <c r="M12836" s="46" t="s">
        <v>123</v>
      </c>
      <c r="N12836" s="45">
        <v>46019.3125</v>
      </c>
      <c r="O12836" s="46" t="s">
        <v>123</v>
      </c>
      <c r="P12836" s="46">
        <v>900.0</v>
      </c>
    </row>
    <row r="12837">
      <c r="A12837" s="40">
        <f t="shared" si="1"/>
        <v>46013</v>
      </c>
      <c r="B12837" s="37" t="str">
        <f t="array" ref="B12837">iferror(xlookup($I12837, 'IMPORT VHC Report'!$E:$E, 'IMPORT VHC Report'!$A:$C), )</f>
        <v/>
      </c>
      <c r="C12837" s="44"/>
      <c r="D12837" s="44"/>
      <c r="E12837" s="46" t="s">
        <v>8868</v>
      </c>
      <c r="F12837" s="46" t="s">
        <v>1778</v>
      </c>
      <c r="G12837" s="46">
        <v>8.409892191631E12</v>
      </c>
      <c r="H12837" s="46" t="s">
        <v>1779</v>
      </c>
      <c r="I12837" s="46" t="s">
        <v>1780</v>
      </c>
      <c r="J12837" s="46" t="s">
        <v>224</v>
      </c>
      <c r="K12837" s="46" t="s">
        <v>63</v>
      </c>
      <c r="L12837" s="45">
        <v>46013.083333333336</v>
      </c>
      <c r="M12837" s="46" t="s">
        <v>123</v>
      </c>
      <c r="N12837" s="45">
        <v>46013.458333333336</v>
      </c>
      <c r="O12837" s="46" t="s">
        <v>123</v>
      </c>
      <c r="P12837" s="46">
        <v>32400.0</v>
      </c>
    </row>
    <row r="12838">
      <c r="A12838" s="40">
        <f t="shared" si="1"/>
        <v>46013</v>
      </c>
      <c r="B12838" s="37" t="str">
        <f t="array" ref="B12838">iferror(xlookup($I12838, 'IMPORT VHC Report'!$E:$E, 'IMPORT VHC Report'!$A:$C), )</f>
        <v/>
      </c>
      <c r="C12838" s="44"/>
      <c r="D12838" s="44"/>
      <c r="E12838" s="46" t="s">
        <v>8869</v>
      </c>
      <c r="F12838" s="46" t="s">
        <v>1778</v>
      </c>
      <c r="G12838" s="46">
        <v>8.409892191631E12</v>
      </c>
      <c r="H12838" s="46" t="s">
        <v>1779</v>
      </c>
      <c r="I12838" s="46" t="s">
        <v>1780</v>
      </c>
      <c r="J12838" s="46" t="s">
        <v>134</v>
      </c>
      <c r="K12838" s="46" t="s">
        <v>126</v>
      </c>
      <c r="L12838" s="45">
        <v>46013.177083333336</v>
      </c>
      <c r="M12838" s="46" t="s">
        <v>123</v>
      </c>
      <c r="N12838" s="45">
        <v>46013.1875</v>
      </c>
      <c r="O12838" s="46" t="s">
        <v>123</v>
      </c>
      <c r="P12838" s="46">
        <v>900.0</v>
      </c>
    </row>
    <row r="12839">
      <c r="A12839" s="40">
        <f t="shared" si="1"/>
        <v>46013</v>
      </c>
      <c r="B12839" s="37" t="str">
        <f t="array" ref="B12839">iferror(xlookup($I12839, 'IMPORT VHC Report'!$E:$E, 'IMPORT VHC Report'!$A:$C), )</f>
        <v/>
      </c>
      <c r="C12839" s="44"/>
      <c r="D12839" s="44"/>
      <c r="E12839" s="46" t="s">
        <v>8870</v>
      </c>
      <c r="F12839" s="46" t="s">
        <v>1778</v>
      </c>
      <c r="G12839" s="46">
        <v>8.409892191631E12</v>
      </c>
      <c r="H12839" s="46" t="s">
        <v>1779</v>
      </c>
      <c r="I12839" s="46" t="s">
        <v>1780</v>
      </c>
      <c r="J12839" s="46" t="s">
        <v>132</v>
      </c>
      <c r="K12839" s="46" t="s">
        <v>126</v>
      </c>
      <c r="L12839" s="45">
        <v>46013.25</v>
      </c>
      <c r="M12839" s="46" t="s">
        <v>123</v>
      </c>
      <c r="N12839" s="45">
        <v>46013.291666666664</v>
      </c>
      <c r="O12839" s="46" t="s">
        <v>123</v>
      </c>
      <c r="P12839" s="46">
        <v>3600.0</v>
      </c>
    </row>
    <row r="12840">
      <c r="A12840" s="40">
        <f t="shared" si="1"/>
        <v>46013</v>
      </c>
      <c r="B12840" s="37" t="str">
        <f t="array" ref="B12840">iferror(xlookup($I12840, 'IMPORT VHC Report'!$E:$E, 'IMPORT VHC Report'!$A:$C), )</f>
        <v/>
      </c>
      <c r="C12840" s="44"/>
      <c r="D12840" s="44"/>
      <c r="E12840" s="46" t="s">
        <v>8871</v>
      </c>
      <c r="F12840" s="46" t="s">
        <v>1778</v>
      </c>
      <c r="G12840" s="46">
        <v>8.409892191631E12</v>
      </c>
      <c r="H12840" s="46" t="s">
        <v>1779</v>
      </c>
      <c r="I12840" s="46" t="s">
        <v>1780</v>
      </c>
      <c r="J12840" s="46" t="s">
        <v>134</v>
      </c>
      <c r="K12840" s="46" t="s">
        <v>126</v>
      </c>
      <c r="L12840" s="45">
        <v>46013.354166666664</v>
      </c>
      <c r="M12840" s="46" t="s">
        <v>123</v>
      </c>
      <c r="N12840" s="45">
        <v>46013.364583333336</v>
      </c>
      <c r="O12840" s="46" t="s">
        <v>123</v>
      </c>
      <c r="P12840" s="46">
        <v>900.0</v>
      </c>
    </row>
    <row r="12841">
      <c r="A12841" s="40">
        <f t="shared" si="1"/>
        <v>46013</v>
      </c>
      <c r="B12841" s="37" t="str">
        <f t="array" ref="B12841">iferror(xlookup($I12841, 'IMPORT VHC Report'!$E:$E, 'IMPORT VHC Report'!$A:$C), )</f>
        <v/>
      </c>
      <c r="C12841" s="44"/>
      <c r="D12841" s="44"/>
      <c r="E12841" s="46" t="s">
        <v>8872</v>
      </c>
      <c r="F12841" s="46" t="s">
        <v>1778</v>
      </c>
      <c r="G12841" s="46">
        <v>8.409892191631E12</v>
      </c>
      <c r="H12841" s="46" t="s">
        <v>1779</v>
      </c>
      <c r="I12841" s="46" t="s">
        <v>1780</v>
      </c>
      <c r="J12841" s="46" t="s">
        <v>224</v>
      </c>
      <c r="K12841" s="46" t="s">
        <v>63</v>
      </c>
      <c r="L12841" s="45">
        <v>46014.083333333336</v>
      </c>
      <c r="M12841" s="46" t="s">
        <v>123</v>
      </c>
      <c r="N12841" s="45">
        <v>46014.458333333336</v>
      </c>
      <c r="O12841" s="46" t="s">
        <v>123</v>
      </c>
      <c r="P12841" s="46">
        <v>32400.0</v>
      </c>
    </row>
    <row r="12842">
      <c r="A12842" s="40">
        <f t="shared" si="1"/>
        <v>46013</v>
      </c>
      <c r="B12842" s="37" t="str">
        <f t="array" ref="B12842">iferror(xlookup($I12842, 'IMPORT VHC Report'!$E:$E, 'IMPORT VHC Report'!$A:$C), )</f>
        <v/>
      </c>
      <c r="C12842" s="44"/>
      <c r="D12842" s="44"/>
      <c r="E12842" s="46" t="s">
        <v>8873</v>
      </c>
      <c r="F12842" s="46" t="s">
        <v>1778</v>
      </c>
      <c r="G12842" s="46">
        <v>8.409892191631E12</v>
      </c>
      <c r="H12842" s="46" t="s">
        <v>1779</v>
      </c>
      <c r="I12842" s="46" t="s">
        <v>1780</v>
      </c>
      <c r="J12842" s="46" t="s">
        <v>132</v>
      </c>
      <c r="K12842" s="46" t="s">
        <v>126</v>
      </c>
      <c r="L12842" s="45">
        <v>46014.1875</v>
      </c>
      <c r="M12842" s="46" t="s">
        <v>123</v>
      </c>
      <c r="N12842" s="45">
        <v>46014.229166666664</v>
      </c>
      <c r="O12842" s="46" t="s">
        <v>123</v>
      </c>
      <c r="P12842" s="46">
        <v>3600.0</v>
      </c>
    </row>
    <row r="12843">
      <c r="A12843" s="40">
        <f t="shared" si="1"/>
        <v>46013</v>
      </c>
      <c r="B12843" s="37" t="str">
        <f t="array" ref="B12843">iferror(xlookup($I12843, 'IMPORT VHC Report'!$E:$E, 'IMPORT VHC Report'!$A:$C), )</f>
        <v/>
      </c>
      <c r="C12843" s="44"/>
      <c r="D12843" s="44"/>
      <c r="E12843" s="46" t="s">
        <v>8874</v>
      </c>
      <c r="F12843" s="46" t="s">
        <v>1778</v>
      </c>
      <c r="G12843" s="46">
        <v>8.409892191631E12</v>
      </c>
      <c r="H12843" s="46" t="s">
        <v>1779</v>
      </c>
      <c r="I12843" s="46" t="s">
        <v>1780</v>
      </c>
      <c r="J12843" s="46" t="s">
        <v>134</v>
      </c>
      <c r="K12843" s="46" t="s">
        <v>126</v>
      </c>
      <c r="L12843" s="45">
        <v>46014.3125</v>
      </c>
      <c r="M12843" s="46" t="s">
        <v>123</v>
      </c>
      <c r="N12843" s="45">
        <v>46014.322916666664</v>
      </c>
      <c r="O12843" s="46" t="s">
        <v>123</v>
      </c>
      <c r="P12843" s="46">
        <v>900.0</v>
      </c>
    </row>
    <row r="12844">
      <c r="A12844" s="40">
        <f t="shared" si="1"/>
        <v>46013</v>
      </c>
      <c r="B12844" s="37" t="str">
        <f t="array" ref="B12844">iferror(xlookup($I12844, 'IMPORT VHC Report'!$E:$E, 'IMPORT VHC Report'!$A:$C), )</f>
        <v/>
      </c>
      <c r="C12844" s="44"/>
      <c r="D12844" s="44"/>
      <c r="E12844" s="46" t="s">
        <v>8875</v>
      </c>
      <c r="F12844" s="46" t="s">
        <v>1778</v>
      </c>
      <c r="G12844" s="46">
        <v>8.409892191631E12</v>
      </c>
      <c r="H12844" s="46" t="s">
        <v>1779</v>
      </c>
      <c r="I12844" s="46" t="s">
        <v>1780</v>
      </c>
      <c r="J12844" s="46" t="s">
        <v>134</v>
      </c>
      <c r="K12844" s="46" t="s">
        <v>126</v>
      </c>
      <c r="L12844" s="45">
        <v>46014.385416666664</v>
      </c>
      <c r="M12844" s="46" t="s">
        <v>123</v>
      </c>
      <c r="N12844" s="45">
        <v>46014.395833333336</v>
      </c>
      <c r="O12844" s="46" t="s">
        <v>123</v>
      </c>
      <c r="P12844" s="46">
        <v>900.0</v>
      </c>
    </row>
    <row r="12845">
      <c r="A12845" s="40">
        <f t="shared" si="1"/>
        <v>46013</v>
      </c>
      <c r="B12845" s="37" t="str">
        <f t="array" ref="B12845">iferror(xlookup($I12845, 'IMPORT VHC Report'!$E:$E, 'IMPORT VHC Report'!$A:$C), )</f>
        <v/>
      </c>
      <c r="C12845" s="44"/>
      <c r="D12845" s="44"/>
      <c r="E12845" s="46" t="s">
        <v>8876</v>
      </c>
      <c r="F12845" s="46" t="s">
        <v>1778</v>
      </c>
      <c r="G12845" s="46">
        <v>8.409892191631E12</v>
      </c>
      <c r="H12845" s="46" t="s">
        <v>1779</v>
      </c>
      <c r="I12845" s="46" t="s">
        <v>1780</v>
      </c>
      <c r="J12845" s="46" t="s">
        <v>224</v>
      </c>
      <c r="K12845" s="46" t="s">
        <v>63</v>
      </c>
      <c r="L12845" s="45">
        <v>46015.083333333336</v>
      </c>
      <c r="M12845" s="46" t="s">
        <v>123</v>
      </c>
      <c r="N12845" s="45">
        <v>46015.458333333336</v>
      </c>
      <c r="O12845" s="46" t="s">
        <v>123</v>
      </c>
      <c r="P12845" s="46">
        <v>32400.0</v>
      </c>
    </row>
    <row r="12846">
      <c r="A12846" s="40">
        <f t="shared" si="1"/>
        <v>46013</v>
      </c>
      <c r="B12846" s="37" t="str">
        <f t="array" ref="B12846">iferror(xlookup($I12846, 'IMPORT VHC Report'!$E:$E, 'IMPORT VHC Report'!$A:$C), )</f>
        <v/>
      </c>
      <c r="C12846" s="44"/>
      <c r="D12846" s="44"/>
      <c r="E12846" s="46" t="s">
        <v>8877</v>
      </c>
      <c r="F12846" s="46" t="s">
        <v>1778</v>
      </c>
      <c r="G12846" s="46">
        <v>8.409892191631E12</v>
      </c>
      <c r="H12846" s="46" t="s">
        <v>1779</v>
      </c>
      <c r="I12846" s="46" t="s">
        <v>1780</v>
      </c>
      <c r="J12846" s="46" t="s">
        <v>132</v>
      </c>
      <c r="K12846" s="46" t="s">
        <v>126</v>
      </c>
      <c r="L12846" s="45">
        <v>46015.1875</v>
      </c>
      <c r="M12846" s="46" t="s">
        <v>123</v>
      </c>
      <c r="N12846" s="45">
        <v>46015.229166666664</v>
      </c>
      <c r="O12846" s="46" t="s">
        <v>123</v>
      </c>
      <c r="P12846" s="46">
        <v>3600.0</v>
      </c>
    </row>
    <row r="12847">
      <c r="A12847" s="40">
        <f t="shared" si="1"/>
        <v>46013</v>
      </c>
      <c r="B12847" s="37" t="str">
        <f t="array" ref="B12847">iferror(xlookup($I12847, 'IMPORT VHC Report'!$E:$E, 'IMPORT VHC Report'!$A:$C), )</f>
        <v/>
      </c>
      <c r="C12847" s="44"/>
      <c r="D12847" s="44"/>
      <c r="E12847" s="46" t="s">
        <v>8878</v>
      </c>
      <c r="F12847" s="46" t="s">
        <v>1778</v>
      </c>
      <c r="G12847" s="46">
        <v>8.409892191631E12</v>
      </c>
      <c r="H12847" s="46" t="s">
        <v>1779</v>
      </c>
      <c r="I12847" s="46" t="s">
        <v>1780</v>
      </c>
      <c r="J12847" s="46" t="s">
        <v>134</v>
      </c>
      <c r="K12847" s="46" t="s">
        <v>126</v>
      </c>
      <c r="L12847" s="45">
        <v>46015.291666666664</v>
      </c>
      <c r="M12847" s="46" t="s">
        <v>123</v>
      </c>
      <c r="N12847" s="45">
        <v>46015.302083333336</v>
      </c>
      <c r="O12847" s="46" t="s">
        <v>123</v>
      </c>
      <c r="P12847" s="46">
        <v>900.0</v>
      </c>
    </row>
    <row r="12848">
      <c r="A12848" s="40">
        <f t="shared" si="1"/>
        <v>46013</v>
      </c>
      <c r="B12848" s="37" t="str">
        <f t="array" ref="B12848">iferror(xlookup($I12848, 'IMPORT VHC Report'!$E:$E, 'IMPORT VHC Report'!$A:$C), )</f>
        <v/>
      </c>
      <c r="C12848" s="44"/>
      <c r="D12848" s="44"/>
      <c r="E12848" s="46" t="s">
        <v>8879</v>
      </c>
      <c r="F12848" s="46" t="s">
        <v>1778</v>
      </c>
      <c r="G12848" s="46">
        <v>8.409892191631E12</v>
      </c>
      <c r="H12848" s="46" t="s">
        <v>1779</v>
      </c>
      <c r="I12848" s="46" t="s">
        <v>1780</v>
      </c>
      <c r="J12848" s="46" t="s">
        <v>134</v>
      </c>
      <c r="K12848" s="46" t="s">
        <v>126</v>
      </c>
      <c r="L12848" s="45">
        <v>46015.375</v>
      </c>
      <c r="M12848" s="46" t="s">
        <v>123</v>
      </c>
      <c r="N12848" s="45">
        <v>46015.385416666664</v>
      </c>
      <c r="O12848" s="46" t="s">
        <v>123</v>
      </c>
      <c r="P12848" s="46">
        <v>900.0</v>
      </c>
    </row>
    <row r="12849">
      <c r="A12849" s="40">
        <f t="shared" si="1"/>
        <v>46013</v>
      </c>
      <c r="B12849" s="37" t="str">
        <f t="array" ref="B12849">iferror(xlookup($I12849, 'IMPORT VHC Report'!$E:$E, 'IMPORT VHC Report'!$A:$C), )</f>
        <v/>
      </c>
      <c r="C12849" s="44"/>
      <c r="D12849" s="44"/>
      <c r="E12849" s="46" t="s">
        <v>8880</v>
      </c>
      <c r="F12849" s="46" t="s">
        <v>1778</v>
      </c>
      <c r="G12849" s="46">
        <v>8.409892191631E12</v>
      </c>
      <c r="H12849" s="46" t="s">
        <v>1779</v>
      </c>
      <c r="I12849" s="46" t="s">
        <v>1780</v>
      </c>
      <c r="J12849" s="46" t="s">
        <v>62</v>
      </c>
      <c r="K12849" s="46" t="s">
        <v>63</v>
      </c>
      <c r="L12849" s="45">
        <v>46018.083333333336</v>
      </c>
      <c r="M12849" s="46" t="s">
        <v>123</v>
      </c>
      <c r="N12849" s="45">
        <v>46018.104166666664</v>
      </c>
      <c r="O12849" s="46" t="s">
        <v>123</v>
      </c>
      <c r="P12849" s="46">
        <v>1800.0</v>
      </c>
    </row>
    <row r="12850">
      <c r="A12850" s="40">
        <f t="shared" si="1"/>
        <v>46013</v>
      </c>
      <c r="B12850" s="37" t="str">
        <f t="array" ref="B12850">iferror(xlookup($I12850, 'IMPORT VHC Report'!$E:$E, 'IMPORT VHC Report'!$A:$C), )</f>
        <v/>
      </c>
      <c r="C12850" s="44"/>
      <c r="D12850" s="44"/>
      <c r="E12850" s="46" t="s">
        <v>8881</v>
      </c>
      <c r="F12850" s="46" t="s">
        <v>1778</v>
      </c>
      <c r="G12850" s="46">
        <v>8.409892191631E12</v>
      </c>
      <c r="H12850" s="46" t="s">
        <v>1779</v>
      </c>
      <c r="I12850" s="46" t="s">
        <v>1780</v>
      </c>
      <c r="J12850" s="46" t="s">
        <v>224</v>
      </c>
      <c r="K12850" s="46" t="s">
        <v>63</v>
      </c>
      <c r="L12850" s="45">
        <v>46018.104166666664</v>
      </c>
      <c r="M12850" s="46" t="s">
        <v>123</v>
      </c>
      <c r="N12850" s="45">
        <v>46018.458333333336</v>
      </c>
      <c r="O12850" s="46" t="s">
        <v>123</v>
      </c>
      <c r="P12850" s="46">
        <v>30600.0</v>
      </c>
    </row>
    <row r="12851">
      <c r="A12851" s="40">
        <f t="shared" si="1"/>
        <v>46013</v>
      </c>
      <c r="B12851" s="37" t="str">
        <f t="array" ref="B12851">iferror(xlookup($I12851, 'IMPORT VHC Report'!$E:$E, 'IMPORT VHC Report'!$A:$C), )</f>
        <v/>
      </c>
      <c r="C12851" s="44"/>
      <c r="D12851" s="44"/>
      <c r="E12851" s="46" t="s">
        <v>8882</v>
      </c>
      <c r="F12851" s="46" t="s">
        <v>1778</v>
      </c>
      <c r="G12851" s="46">
        <v>8.409892191631E12</v>
      </c>
      <c r="H12851" s="46" t="s">
        <v>1779</v>
      </c>
      <c r="I12851" s="46" t="s">
        <v>1780</v>
      </c>
      <c r="J12851" s="46" t="s">
        <v>132</v>
      </c>
      <c r="K12851" s="46" t="s">
        <v>126</v>
      </c>
      <c r="L12851" s="45">
        <v>46018.166666666664</v>
      </c>
      <c r="M12851" s="46" t="s">
        <v>123</v>
      </c>
      <c r="N12851" s="45">
        <v>46018.208333333336</v>
      </c>
      <c r="O12851" s="46" t="s">
        <v>123</v>
      </c>
      <c r="P12851" s="46">
        <v>3600.0</v>
      </c>
    </row>
    <row r="12852">
      <c r="A12852" s="40">
        <f t="shared" si="1"/>
        <v>46013</v>
      </c>
      <c r="B12852" s="37" t="str">
        <f t="array" ref="B12852">iferror(xlookup($I12852, 'IMPORT VHC Report'!$E:$E, 'IMPORT VHC Report'!$A:$C), )</f>
        <v/>
      </c>
      <c r="C12852" s="44"/>
      <c r="D12852" s="44"/>
      <c r="E12852" s="46" t="s">
        <v>8883</v>
      </c>
      <c r="F12852" s="46" t="s">
        <v>1778</v>
      </c>
      <c r="G12852" s="46">
        <v>8.409892191631E12</v>
      </c>
      <c r="H12852" s="46" t="s">
        <v>1779</v>
      </c>
      <c r="I12852" s="46" t="s">
        <v>1780</v>
      </c>
      <c r="J12852" s="46" t="s">
        <v>134</v>
      </c>
      <c r="K12852" s="46" t="s">
        <v>126</v>
      </c>
      <c r="L12852" s="45">
        <v>46018.28125</v>
      </c>
      <c r="M12852" s="46" t="s">
        <v>123</v>
      </c>
      <c r="N12852" s="45">
        <v>46018.291666666664</v>
      </c>
      <c r="O12852" s="46" t="s">
        <v>123</v>
      </c>
      <c r="P12852" s="46">
        <v>900.0</v>
      </c>
    </row>
    <row r="12853">
      <c r="A12853" s="40">
        <f t="shared" si="1"/>
        <v>46013</v>
      </c>
      <c r="B12853" s="37" t="str">
        <f t="array" ref="B12853">iferror(xlookup($I12853, 'IMPORT VHC Report'!$E:$E, 'IMPORT VHC Report'!$A:$C), )</f>
        <v/>
      </c>
      <c r="C12853" s="44"/>
      <c r="D12853" s="44"/>
      <c r="E12853" s="46" t="s">
        <v>8884</v>
      </c>
      <c r="F12853" s="46" t="s">
        <v>1778</v>
      </c>
      <c r="G12853" s="46">
        <v>8.409892191631E12</v>
      </c>
      <c r="H12853" s="46" t="s">
        <v>1779</v>
      </c>
      <c r="I12853" s="46" t="s">
        <v>1780</v>
      </c>
      <c r="J12853" s="46" t="s">
        <v>134</v>
      </c>
      <c r="K12853" s="46" t="s">
        <v>126</v>
      </c>
      <c r="L12853" s="45">
        <v>46018.375</v>
      </c>
      <c r="M12853" s="46" t="s">
        <v>123</v>
      </c>
      <c r="N12853" s="45">
        <v>46018.385416666664</v>
      </c>
      <c r="O12853" s="46" t="s">
        <v>123</v>
      </c>
      <c r="P12853" s="46">
        <v>900.0</v>
      </c>
    </row>
    <row r="12854">
      <c r="A12854" s="40">
        <f t="shared" si="1"/>
        <v>46013</v>
      </c>
      <c r="B12854" s="37" t="str">
        <f t="array" ref="B12854">iferror(xlookup($I12854, 'IMPORT VHC Report'!$E:$E, 'IMPORT VHC Report'!$A:$C), )</f>
        <v/>
      </c>
      <c r="C12854" s="44"/>
      <c r="D12854" s="44"/>
      <c r="E12854" s="46" t="s">
        <v>8885</v>
      </c>
      <c r="F12854" s="46" t="s">
        <v>1778</v>
      </c>
      <c r="G12854" s="46">
        <v>8.409892191631E12</v>
      </c>
      <c r="H12854" s="46" t="s">
        <v>1779</v>
      </c>
      <c r="I12854" s="46" t="s">
        <v>1780</v>
      </c>
      <c r="J12854" s="46" t="s">
        <v>224</v>
      </c>
      <c r="K12854" s="46" t="s">
        <v>63</v>
      </c>
      <c r="L12854" s="45">
        <v>46019.083333333336</v>
      </c>
      <c r="M12854" s="46" t="s">
        <v>123</v>
      </c>
      <c r="N12854" s="45">
        <v>46019.458333333336</v>
      </c>
      <c r="O12854" s="46" t="s">
        <v>123</v>
      </c>
      <c r="P12854" s="46">
        <v>32400.0</v>
      </c>
    </row>
    <row r="12855">
      <c r="A12855" s="40">
        <f t="shared" si="1"/>
        <v>46013</v>
      </c>
      <c r="B12855" s="37" t="str">
        <f t="array" ref="B12855">iferror(xlookup($I12855, 'IMPORT VHC Report'!$E:$E, 'IMPORT VHC Report'!$A:$C), )</f>
        <v/>
      </c>
      <c r="C12855" s="44"/>
      <c r="D12855" s="44"/>
      <c r="E12855" s="46" t="s">
        <v>8886</v>
      </c>
      <c r="F12855" s="46" t="s">
        <v>1778</v>
      </c>
      <c r="G12855" s="46">
        <v>8.409892191631E12</v>
      </c>
      <c r="H12855" s="46" t="s">
        <v>1779</v>
      </c>
      <c r="I12855" s="46" t="s">
        <v>1780</v>
      </c>
      <c r="J12855" s="46" t="s">
        <v>134</v>
      </c>
      <c r="K12855" s="46" t="s">
        <v>126</v>
      </c>
      <c r="L12855" s="45">
        <v>46019.197916666664</v>
      </c>
      <c r="M12855" s="46" t="s">
        <v>123</v>
      </c>
      <c r="N12855" s="45">
        <v>46019.208333333336</v>
      </c>
      <c r="O12855" s="46" t="s">
        <v>123</v>
      </c>
      <c r="P12855" s="46">
        <v>900.0</v>
      </c>
    </row>
    <row r="12856">
      <c r="A12856" s="40">
        <f t="shared" si="1"/>
        <v>46013</v>
      </c>
      <c r="B12856" s="37" t="str">
        <f t="array" ref="B12856">iferror(xlookup($I12856, 'IMPORT VHC Report'!$E:$E, 'IMPORT VHC Report'!$A:$C), )</f>
        <v/>
      </c>
      <c r="C12856" s="44"/>
      <c r="D12856" s="44"/>
      <c r="E12856" s="46" t="s">
        <v>8887</v>
      </c>
      <c r="F12856" s="46" t="s">
        <v>1778</v>
      </c>
      <c r="G12856" s="46">
        <v>8.409892191631E12</v>
      </c>
      <c r="H12856" s="46" t="s">
        <v>1779</v>
      </c>
      <c r="I12856" s="46" t="s">
        <v>1780</v>
      </c>
      <c r="J12856" s="46" t="s">
        <v>134</v>
      </c>
      <c r="K12856" s="46" t="s">
        <v>126</v>
      </c>
      <c r="L12856" s="45">
        <v>46019.28125</v>
      </c>
      <c r="M12856" s="46" t="s">
        <v>123</v>
      </c>
      <c r="N12856" s="45">
        <v>46019.291666666664</v>
      </c>
      <c r="O12856" s="46" t="s">
        <v>123</v>
      </c>
      <c r="P12856" s="46">
        <v>900.0</v>
      </c>
    </row>
    <row r="12857">
      <c r="A12857" s="40">
        <f t="shared" si="1"/>
        <v>46013</v>
      </c>
      <c r="B12857" s="37" t="str">
        <f t="array" ref="B12857">iferror(xlookup($I12857, 'IMPORT VHC Report'!$E:$E, 'IMPORT VHC Report'!$A:$C), )</f>
        <v/>
      </c>
      <c r="C12857" s="44"/>
      <c r="D12857" s="44"/>
      <c r="E12857" s="46" t="s">
        <v>8888</v>
      </c>
      <c r="F12857" s="46" t="s">
        <v>1778</v>
      </c>
      <c r="G12857" s="46">
        <v>8.409892191631E12</v>
      </c>
      <c r="H12857" s="46" t="s">
        <v>1779</v>
      </c>
      <c r="I12857" s="46" t="s">
        <v>1780</v>
      </c>
      <c r="J12857" s="46" t="s">
        <v>132</v>
      </c>
      <c r="K12857" s="46" t="s">
        <v>126</v>
      </c>
      <c r="L12857" s="45">
        <v>46019.354166666664</v>
      </c>
      <c r="M12857" s="46" t="s">
        <v>123</v>
      </c>
      <c r="N12857" s="45">
        <v>46019.395833333336</v>
      </c>
      <c r="O12857" s="46" t="s">
        <v>123</v>
      </c>
      <c r="P12857" s="46">
        <v>3600.0</v>
      </c>
    </row>
    <row r="12858">
      <c r="A12858" s="40">
        <f t="shared" si="1"/>
        <v>46013</v>
      </c>
      <c r="B12858" s="37" t="str">
        <f t="array" ref="B12858">iferror(xlookup($I12858, 'IMPORT VHC Report'!$E:$E, 'IMPORT VHC Report'!$A:$C), )</f>
        <v/>
      </c>
      <c r="C12858" s="44"/>
      <c r="D12858" s="44"/>
      <c r="E12858" s="46" t="s">
        <v>8889</v>
      </c>
      <c r="F12858" s="46" t="s">
        <v>1837</v>
      </c>
      <c r="G12858" s="46">
        <v>4.502516921487E12</v>
      </c>
      <c r="H12858" s="46" t="s">
        <v>1838</v>
      </c>
      <c r="I12858" s="46" t="s">
        <v>1839</v>
      </c>
      <c r="J12858" s="46" t="s">
        <v>224</v>
      </c>
      <c r="K12858" s="46" t="s">
        <v>63</v>
      </c>
      <c r="L12858" s="45">
        <v>46013.166666666664</v>
      </c>
      <c r="M12858" s="46" t="s">
        <v>123</v>
      </c>
      <c r="N12858" s="45">
        <v>46013.541666666664</v>
      </c>
      <c r="O12858" s="46" t="s">
        <v>123</v>
      </c>
      <c r="P12858" s="46">
        <v>32400.0</v>
      </c>
    </row>
    <row r="12859">
      <c r="A12859" s="40">
        <f t="shared" si="1"/>
        <v>46013</v>
      </c>
      <c r="B12859" s="37" t="str">
        <f t="array" ref="B12859">iferror(xlookup($I12859, 'IMPORT VHC Report'!$E:$E, 'IMPORT VHC Report'!$A:$C), )</f>
        <v/>
      </c>
      <c r="C12859" s="44"/>
      <c r="D12859" s="44"/>
      <c r="E12859" s="46" t="s">
        <v>8890</v>
      </c>
      <c r="F12859" s="46" t="s">
        <v>1837</v>
      </c>
      <c r="G12859" s="46">
        <v>4.502516921487E12</v>
      </c>
      <c r="H12859" s="46" t="s">
        <v>1838</v>
      </c>
      <c r="I12859" s="46" t="s">
        <v>1839</v>
      </c>
      <c r="J12859" s="46" t="s">
        <v>134</v>
      </c>
      <c r="K12859" s="46" t="s">
        <v>126</v>
      </c>
      <c r="L12859" s="45">
        <v>46013.239583333336</v>
      </c>
      <c r="M12859" s="46" t="s">
        <v>123</v>
      </c>
      <c r="N12859" s="45">
        <v>46013.260416666664</v>
      </c>
      <c r="O12859" s="46" t="s">
        <v>123</v>
      </c>
      <c r="P12859" s="46">
        <v>1800.0</v>
      </c>
    </row>
    <row r="12860">
      <c r="A12860" s="40">
        <f t="shared" si="1"/>
        <v>46013</v>
      </c>
      <c r="B12860" s="37" t="str">
        <f t="array" ref="B12860">iferror(xlookup($I12860, 'IMPORT VHC Report'!$E:$E, 'IMPORT VHC Report'!$A:$C), )</f>
        <v/>
      </c>
      <c r="C12860" s="44"/>
      <c r="D12860" s="44"/>
      <c r="E12860" s="46" t="s">
        <v>8891</v>
      </c>
      <c r="F12860" s="46" t="s">
        <v>1837</v>
      </c>
      <c r="G12860" s="46">
        <v>4.502516921487E12</v>
      </c>
      <c r="H12860" s="46" t="s">
        <v>1838</v>
      </c>
      <c r="I12860" s="46" t="s">
        <v>1839</v>
      </c>
      <c r="J12860" s="46" t="s">
        <v>132</v>
      </c>
      <c r="K12860" s="46" t="s">
        <v>126</v>
      </c>
      <c r="L12860" s="45">
        <v>46013.375</v>
      </c>
      <c r="M12860" s="46" t="s">
        <v>123</v>
      </c>
      <c r="N12860" s="45">
        <v>46013.416666666664</v>
      </c>
      <c r="O12860" s="46" t="s">
        <v>123</v>
      </c>
      <c r="P12860" s="46">
        <v>3600.0</v>
      </c>
    </row>
    <row r="12861">
      <c r="A12861" s="40">
        <f t="shared" si="1"/>
        <v>46013</v>
      </c>
      <c r="B12861" s="37" t="str">
        <f t="array" ref="B12861">iferror(xlookup($I12861, 'IMPORT VHC Report'!$E:$E, 'IMPORT VHC Report'!$A:$C), )</f>
        <v/>
      </c>
      <c r="C12861" s="44"/>
      <c r="D12861" s="44"/>
      <c r="E12861" s="46" t="s">
        <v>8892</v>
      </c>
      <c r="F12861" s="46" t="s">
        <v>1837</v>
      </c>
      <c r="G12861" s="46">
        <v>4.502516921487E12</v>
      </c>
      <c r="H12861" s="46" t="s">
        <v>1838</v>
      </c>
      <c r="I12861" s="46" t="s">
        <v>1839</v>
      </c>
      <c r="J12861" s="46" t="s">
        <v>125</v>
      </c>
      <c r="K12861" s="46" t="s">
        <v>126</v>
      </c>
      <c r="L12861" s="45">
        <v>46014.125</v>
      </c>
      <c r="M12861" s="46" t="s">
        <v>123</v>
      </c>
      <c r="N12861" s="45">
        <v>46014.131944444445</v>
      </c>
      <c r="O12861" s="46" t="s">
        <v>123</v>
      </c>
      <c r="P12861" s="46">
        <v>600.0</v>
      </c>
      <c r="S12861" s="46" t="s">
        <v>5529</v>
      </c>
    </row>
    <row r="12862">
      <c r="A12862" s="40">
        <f t="shared" si="1"/>
        <v>46013</v>
      </c>
      <c r="B12862" s="37" t="str">
        <f t="array" ref="B12862">iferror(xlookup($I12862, 'IMPORT VHC Report'!$E:$E, 'IMPORT VHC Report'!$A:$C), )</f>
        <v/>
      </c>
      <c r="C12862" s="44"/>
      <c r="D12862" s="44"/>
      <c r="E12862" s="46" t="s">
        <v>8893</v>
      </c>
      <c r="F12862" s="46" t="s">
        <v>1837</v>
      </c>
      <c r="G12862" s="46">
        <v>4.502516921487E12</v>
      </c>
      <c r="H12862" s="46" t="s">
        <v>1838</v>
      </c>
      <c r="I12862" s="46" t="s">
        <v>1839</v>
      </c>
      <c r="J12862" s="46" t="s">
        <v>224</v>
      </c>
      <c r="K12862" s="46" t="s">
        <v>63</v>
      </c>
      <c r="L12862" s="45">
        <v>46014.125</v>
      </c>
      <c r="M12862" s="46" t="s">
        <v>123</v>
      </c>
      <c r="N12862" s="45">
        <v>46014.5</v>
      </c>
      <c r="O12862" s="46" t="s">
        <v>123</v>
      </c>
      <c r="P12862" s="46">
        <v>32400.0</v>
      </c>
    </row>
    <row r="12863">
      <c r="A12863" s="40">
        <f t="shared" si="1"/>
        <v>46013</v>
      </c>
      <c r="B12863" s="37" t="str">
        <f t="array" ref="B12863">iferror(xlookup($I12863, 'IMPORT VHC Report'!$E:$E, 'IMPORT VHC Report'!$A:$C), )</f>
        <v/>
      </c>
      <c r="C12863" s="44"/>
      <c r="D12863" s="44"/>
      <c r="E12863" s="46" t="s">
        <v>8894</v>
      </c>
      <c r="F12863" s="46" t="s">
        <v>1837</v>
      </c>
      <c r="G12863" s="46">
        <v>4.502516921487E12</v>
      </c>
      <c r="H12863" s="46" t="s">
        <v>1838</v>
      </c>
      <c r="I12863" s="46" t="s">
        <v>1839</v>
      </c>
      <c r="J12863" s="46" t="s">
        <v>4</v>
      </c>
      <c r="K12863" s="46" t="s">
        <v>126</v>
      </c>
      <c r="L12863" s="45">
        <v>46014.131944444445</v>
      </c>
      <c r="M12863" s="46" t="s">
        <v>123</v>
      </c>
      <c r="N12863" s="45">
        <v>46014.14236111111</v>
      </c>
      <c r="O12863" s="46" t="s">
        <v>123</v>
      </c>
      <c r="P12863" s="46">
        <v>900.0</v>
      </c>
      <c r="S12863" s="46" t="s">
        <v>8895</v>
      </c>
    </row>
    <row r="12864">
      <c r="A12864" s="40">
        <f t="shared" si="1"/>
        <v>46013</v>
      </c>
      <c r="B12864" s="37" t="str">
        <f t="array" ref="B12864">iferror(xlookup($I12864, 'IMPORT VHC Report'!$E:$E, 'IMPORT VHC Report'!$A:$C), )</f>
        <v/>
      </c>
      <c r="C12864" s="44"/>
      <c r="D12864" s="44"/>
      <c r="E12864" s="46" t="s">
        <v>8896</v>
      </c>
      <c r="F12864" s="46" t="s">
        <v>1837</v>
      </c>
      <c r="G12864" s="46">
        <v>4.502516921487E12</v>
      </c>
      <c r="H12864" s="46" t="s">
        <v>1838</v>
      </c>
      <c r="I12864" s="46" t="s">
        <v>1839</v>
      </c>
      <c r="J12864" s="46" t="s">
        <v>132</v>
      </c>
      <c r="K12864" s="46" t="s">
        <v>126</v>
      </c>
      <c r="L12864" s="45">
        <v>46014.25</v>
      </c>
      <c r="M12864" s="46" t="s">
        <v>123</v>
      </c>
      <c r="N12864" s="45">
        <v>46014.291666666664</v>
      </c>
      <c r="O12864" s="46" t="s">
        <v>123</v>
      </c>
      <c r="P12864" s="46">
        <v>3600.0</v>
      </c>
    </row>
    <row r="12865">
      <c r="A12865" s="40">
        <f t="shared" si="1"/>
        <v>46013</v>
      </c>
      <c r="B12865" s="37" t="str">
        <f t="array" ref="B12865">iferror(xlookup($I12865, 'IMPORT VHC Report'!$E:$E, 'IMPORT VHC Report'!$A:$C), )</f>
        <v/>
      </c>
      <c r="C12865" s="44"/>
      <c r="D12865" s="44"/>
      <c r="E12865" s="46" t="s">
        <v>8897</v>
      </c>
      <c r="F12865" s="46" t="s">
        <v>1837</v>
      </c>
      <c r="G12865" s="46">
        <v>4.502516921487E12</v>
      </c>
      <c r="H12865" s="46" t="s">
        <v>1838</v>
      </c>
      <c r="I12865" s="46" t="s">
        <v>1839</v>
      </c>
      <c r="J12865" s="46" t="s">
        <v>134</v>
      </c>
      <c r="K12865" s="46" t="s">
        <v>126</v>
      </c>
      <c r="L12865" s="45">
        <v>46014.395833333336</v>
      </c>
      <c r="M12865" s="46" t="s">
        <v>123</v>
      </c>
      <c r="N12865" s="45">
        <v>46014.416666666664</v>
      </c>
      <c r="O12865" s="46" t="s">
        <v>123</v>
      </c>
      <c r="P12865" s="46">
        <v>1800.0</v>
      </c>
    </row>
    <row r="12866">
      <c r="A12866" s="40">
        <f t="shared" si="1"/>
        <v>46013</v>
      </c>
      <c r="B12866" s="37" t="str">
        <f t="array" ref="B12866">iferror(xlookup($I12866, 'IMPORT VHC Report'!$E:$E, 'IMPORT VHC Report'!$A:$C), )</f>
        <v/>
      </c>
      <c r="C12866" s="44"/>
      <c r="D12866" s="44"/>
      <c r="E12866" s="46" t="s">
        <v>8898</v>
      </c>
      <c r="F12866" s="46" t="s">
        <v>1837</v>
      </c>
      <c r="G12866" s="46">
        <v>4.502516921487E12</v>
      </c>
      <c r="H12866" s="46" t="s">
        <v>1838</v>
      </c>
      <c r="I12866" s="46" t="s">
        <v>1839</v>
      </c>
      <c r="J12866" s="46" t="s">
        <v>224</v>
      </c>
      <c r="K12866" s="46" t="s">
        <v>63</v>
      </c>
      <c r="L12866" s="45">
        <v>46015.125</v>
      </c>
      <c r="M12866" s="46" t="s">
        <v>123</v>
      </c>
      <c r="N12866" s="45">
        <v>46015.166666666664</v>
      </c>
      <c r="O12866" s="46" t="s">
        <v>123</v>
      </c>
      <c r="P12866" s="46">
        <v>3600.0</v>
      </c>
    </row>
    <row r="12867">
      <c r="A12867" s="40">
        <f t="shared" si="1"/>
        <v>46013</v>
      </c>
      <c r="B12867" s="37" t="str">
        <f t="array" ref="B12867">iferror(xlookup($I12867, 'IMPORT VHC Report'!$E:$E, 'IMPORT VHC Report'!$A:$C), )</f>
        <v/>
      </c>
      <c r="C12867" s="44"/>
      <c r="D12867" s="44"/>
      <c r="E12867" s="46" t="s">
        <v>8899</v>
      </c>
      <c r="F12867" s="46" t="s">
        <v>1837</v>
      </c>
      <c r="G12867" s="46">
        <v>4.502516921487E12</v>
      </c>
      <c r="H12867" s="46" t="s">
        <v>1838</v>
      </c>
      <c r="I12867" s="46" t="s">
        <v>1839</v>
      </c>
      <c r="J12867" s="46" t="s">
        <v>330</v>
      </c>
      <c r="K12867" s="46" t="s">
        <v>126</v>
      </c>
      <c r="L12867" s="45">
        <v>46015.135416666664</v>
      </c>
      <c r="M12867" s="46" t="s">
        <v>123</v>
      </c>
      <c r="N12867" s="45">
        <v>46015.15625</v>
      </c>
      <c r="O12867" s="46" t="s">
        <v>123</v>
      </c>
      <c r="P12867" s="46">
        <v>1800.0</v>
      </c>
    </row>
    <row r="12868">
      <c r="A12868" s="40">
        <f t="shared" si="1"/>
        <v>46013</v>
      </c>
      <c r="B12868" s="37" t="str">
        <f t="array" ref="B12868">iferror(xlookup($I12868, 'IMPORT VHC Report'!$E:$E, 'IMPORT VHC Report'!$A:$C), )</f>
        <v/>
      </c>
      <c r="C12868" s="44"/>
      <c r="D12868" s="44"/>
      <c r="E12868" s="46" t="s">
        <v>8900</v>
      </c>
      <c r="F12868" s="46" t="s">
        <v>1837</v>
      </c>
      <c r="G12868" s="46">
        <v>4.502516921487E12</v>
      </c>
      <c r="H12868" s="46" t="s">
        <v>1838</v>
      </c>
      <c r="I12868" s="46" t="s">
        <v>1839</v>
      </c>
      <c r="J12868" s="46" t="s">
        <v>62</v>
      </c>
      <c r="K12868" s="46" t="s">
        <v>63</v>
      </c>
      <c r="L12868" s="45">
        <v>46015.166666666664</v>
      </c>
      <c r="M12868" s="46" t="s">
        <v>123</v>
      </c>
      <c r="N12868" s="45">
        <v>46015.1875</v>
      </c>
      <c r="O12868" s="46" t="s">
        <v>123</v>
      </c>
      <c r="P12868" s="46">
        <v>1800.0</v>
      </c>
    </row>
    <row r="12869">
      <c r="A12869" s="40">
        <f t="shared" si="1"/>
        <v>46013</v>
      </c>
      <c r="B12869" s="37" t="str">
        <f t="array" ref="B12869">iferror(xlookup($I12869, 'IMPORT VHC Report'!$E:$E, 'IMPORT VHC Report'!$A:$C), )</f>
        <v/>
      </c>
      <c r="C12869" s="44"/>
      <c r="D12869" s="44"/>
      <c r="E12869" s="46" t="s">
        <v>8901</v>
      </c>
      <c r="F12869" s="46" t="s">
        <v>1837</v>
      </c>
      <c r="G12869" s="46">
        <v>4.502516921487E12</v>
      </c>
      <c r="H12869" s="46" t="s">
        <v>1838</v>
      </c>
      <c r="I12869" s="46" t="s">
        <v>1839</v>
      </c>
      <c r="J12869" s="46" t="s">
        <v>136</v>
      </c>
      <c r="K12869" s="46" t="s">
        <v>126</v>
      </c>
      <c r="L12869" s="45">
        <v>46015.166666666664</v>
      </c>
      <c r="M12869" s="46" t="s">
        <v>123</v>
      </c>
      <c r="N12869" s="45">
        <v>46015.194444444445</v>
      </c>
      <c r="O12869" s="46" t="s">
        <v>123</v>
      </c>
      <c r="P12869" s="46">
        <v>2400.0</v>
      </c>
      <c r="S12869" s="46" t="s">
        <v>8716</v>
      </c>
    </row>
    <row r="12870">
      <c r="A12870" s="40">
        <f t="shared" si="1"/>
        <v>46013</v>
      </c>
      <c r="B12870" s="37" t="str">
        <f t="array" ref="B12870">iferror(xlookup($I12870, 'IMPORT VHC Report'!$E:$E, 'IMPORT VHC Report'!$A:$C), )</f>
        <v/>
      </c>
      <c r="C12870" s="44"/>
      <c r="D12870" s="44"/>
      <c r="E12870" s="46" t="s">
        <v>8902</v>
      </c>
      <c r="F12870" s="46" t="s">
        <v>1837</v>
      </c>
      <c r="G12870" s="46">
        <v>4.502516921487E12</v>
      </c>
      <c r="H12870" s="46" t="s">
        <v>1838</v>
      </c>
      <c r="I12870" s="46" t="s">
        <v>1839</v>
      </c>
      <c r="J12870" s="46" t="s">
        <v>224</v>
      </c>
      <c r="K12870" s="46" t="s">
        <v>63</v>
      </c>
      <c r="L12870" s="45">
        <v>46015.1875</v>
      </c>
      <c r="M12870" s="46" t="s">
        <v>123</v>
      </c>
      <c r="N12870" s="45">
        <v>46015.5</v>
      </c>
      <c r="O12870" s="46" t="s">
        <v>123</v>
      </c>
      <c r="P12870" s="46">
        <v>27000.0</v>
      </c>
    </row>
    <row r="12871">
      <c r="A12871" s="40">
        <f t="shared" si="1"/>
        <v>46013</v>
      </c>
      <c r="B12871" s="37" t="str">
        <f t="array" ref="B12871">iferror(xlookup($I12871, 'IMPORT VHC Report'!$E:$E, 'IMPORT VHC Report'!$A:$C), )</f>
        <v/>
      </c>
      <c r="C12871" s="44"/>
      <c r="D12871" s="44"/>
      <c r="E12871" s="46" t="s">
        <v>8903</v>
      </c>
      <c r="F12871" s="46" t="s">
        <v>1837</v>
      </c>
      <c r="G12871" s="46">
        <v>4.502516921487E12</v>
      </c>
      <c r="H12871" s="46" t="s">
        <v>1838</v>
      </c>
      <c r="I12871" s="46" t="s">
        <v>1839</v>
      </c>
      <c r="J12871" s="46" t="s">
        <v>134</v>
      </c>
      <c r="K12871" s="46" t="s">
        <v>126</v>
      </c>
      <c r="L12871" s="45">
        <v>46015.229166666664</v>
      </c>
      <c r="M12871" s="46" t="s">
        <v>123</v>
      </c>
      <c r="N12871" s="45">
        <v>46015.25</v>
      </c>
      <c r="O12871" s="46" t="s">
        <v>123</v>
      </c>
      <c r="P12871" s="46">
        <v>1800.0</v>
      </c>
    </row>
    <row r="12872">
      <c r="A12872" s="40">
        <f t="shared" si="1"/>
        <v>46013</v>
      </c>
      <c r="B12872" s="37" t="str">
        <f t="array" ref="B12872">iferror(xlookup($I12872, 'IMPORT VHC Report'!$E:$E, 'IMPORT VHC Report'!$A:$C), )</f>
        <v/>
      </c>
      <c r="C12872" s="44"/>
      <c r="D12872" s="44"/>
      <c r="E12872" s="46" t="s">
        <v>8904</v>
      </c>
      <c r="F12872" s="46" t="s">
        <v>1837</v>
      </c>
      <c r="G12872" s="46">
        <v>4.502516921487E12</v>
      </c>
      <c r="H12872" s="46" t="s">
        <v>1838</v>
      </c>
      <c r="I12872" s="46" t="s">
        <v>1839</v>
      </c>
      <c r="J12872" s="46" t="s">
        <v>132</v>
      </c>
      <c r="K12872" s="46" t="s">
        <v>126</v>
      </c>
      <c r="L12872" s="45">
        <v>46015.364583333336</v>
      </c>
      <c r="M12872" s="46" t="s">
        <v>123</v>
      </c>
      <c r="N12872" s="45">
        <v>46015.40625</v>
      </c>
      <c r="O12872" s="46" t="s">
        <v>123</v>
      </c>
      <c r="P12872" s="46">
        <v>3600.0</v>
      </c>
    </row>
    <row r="12873">
      <c r="A12873" s="40">
        <f t="shared" si="1"/>
        <v>46013</v>
      </c>
      <c r="B12873" s="37" t="str">
        <f t="array" ref="B12873">iferror(xlookup($I12873, 'IMPORT VHC Report'!$E:$E, 'IMPORT VHC Report'!$A:$C), )</f>
        <v/>
      </c>
      <c r="C12873" s="44"/>
      <c r="D12873" s="44"/>
      <c r="E12873" s="46" t="s">
        <v>8905</v>
      </c>
      <c r="F12873" s="46" t="s">
        <v>1837</v>
      </c>
      <c r="G12873" s="46">
        <v>4.502516921487E12</v>
      </c>
      <c r="H12873" s="46" t="s">
        <v>1838</v>
      </c>
      <c r="I12873" s="46" t="s">
        <v>1839</v>
      </c>
      <c r="J12873" s="46" t="s">
        <v>224</v>
      </c>
      <c r="K12873" s="46" t="s">
        <v>63</v>
      </c>
      <c r="L12873" s="45">
        <v>46016.125</v>
      </c>
      <c r="M12873" s="46" t="s">
        <v>123</v>
      </c>
      <c r="N12873" s="45">
        <v>46016.5</v>
      </c>
      <c r="O12873" s="46" t="s">
        <v>123</v>
      </c>
      <c r="P12873" s="46">
        <v>32400.0</v>
      </c>
    </row>
    <row r="12874">
      <c r="A12874" s="40">
        <f t="shared" si="1"/>
        <v>46013</v>
      </c>
      <c r="B12874" s="37" t="str">
        <f t="array" ref="B12874">iferror(xlookup($I12874, 'IMPORT VHC Report'!$E:$E, 'IMPORT VHC Report'!$A:$C), )</f>
        <v/>
      </c>
      <c r="C12874" s="44"/>
      <c r="D12874" s="44"/>
      <c r="E12874" s="46" t="s">
        <v>8906</v>
      </c>
      <c r="F12874" s="46" t="s">
        <v>1837</v>
      </c>
      <c r="G12874" s="46">
        <v>4.502516921487E12</v>
      </c>
      <c r="H12874" s="46" t="s">
        <v>1838</v>
      </c>
      <c r="I12874" s="46" t="s">
        <v>1839</v>
      </c>
      <c r="J12874" s="46" t="s">
        <v>132</v>
      </c>
      <c r="K12874" s="46" t="s">
        <v>126</v>
      </c>
      <c r="L12874" s="45">
        <v>46016.25</v>
      </c>
      <c r="M12874" s="46" t="s">
        <v>123</v>
      </c>
      <c r="N12874" s="45">
        <v>46016.291666666664</v>
      </c>
      <c r="O12874" s="46" t="s">
        <v>123</v>
      </c>
      <c r="P12874" s="46">
        <v>3600.0</v>
      </c>
    </row>
    <row r="12875">
      <c r="A12875" s="40">
        <f t="shared" si="1"/>
        <v>46013</v>
      </c>
      <c r="B12875" s="37" t="str">
        <f t="array" ref="B12875">iferror(xlookup($I12875, 'IMPORT VHC Report'!$E:$E, 'IMPORT VHC Report'!$A:$C), )</f>
        <v/>
      </c>
      <c r="C12875" s="44"/>
      <c r="D12875" s="44"/>
      <c r="E12875" s="46" t="s">
        <v>8907</v>
      </c>
      <c r="F12875" s="46" t="s">
        <v>1837</v>
      </c>
      <c r="G12875" s="46">
        <v>4.502516921487E12</v>
      </c>
      <c r="H12875" s="46" t="s">
        <v>1838</v>
      </c>
      <c r="I12875" s="46" t="s">
        <v>1839</v>
      </c>
      <c r="J12875" s="46" t="s">
        <v>134</v>
      </c>
      <c r="K12875" s="46" t="s">
        <v>126</v>
      </c>
      <c r="L12875" s="45">
        <v>46016.385416666664</v>
      </c>
      <c r="M12875" s="46" t="s">
        <v>123</v>
      </c>
      <c r="N12875" s="45">
        <v>46016.40625</v>
      </c>
      <c r="O12875" s="46" t="s">
        <v>123</v>
      </c>
      <c r="P12875" s="46">
        <v>1800.0</v>
      </c>
    </row>
    <row r="12876">
      <c r="A12876" s="40">
        <f t="shared" si="1"/>
        <v>46013</v>
      </c>
      <c r="B12876" s="37" t="str">
        <f t="array" ref="B12876">iferror(xlookup($I12876, 'IMPORT VHC Report'!$E:$E, 'IMPORT VHC Report'!$A:$C), )</f>
        <v/>
      </c>
      <c r="C12876" s="44"/>
      <c r="D12876" s="44"/>
      <c r="E12876" s="46" t="s">
        <v>8908</v>
      </c>
      <c r="F12876" s="46" t="s">
        <v>1837</v>
      </c>
      <c r="G12876" s="46">
        <v>4.502516921487E12</v>
      </c>
      <c r="H12876" s="46" t="s">
        <v>1838</v>
      </c>
      <c r="I12876" s="46" t="s">
        <v>1839</v>
      </c>
      <c r="J12876" s="46" t="s">
        <v>4</v>
      </c>
      <c r="K12876" s="46" t="s">
        <v>126</v>
      </c>
      <c r="L12876" s="45">
        <v>46016.416666666664</v>
      </c>
      <c r="M12876" s="46" t="s">
        <v>123</v>
      </c>
      <c r="N12876" s="45">
        <v>46016.427083333336</v>
      </c>
      <c r="O12876" s="46" t="s">
        <v>123</v>
      </c>
      <c r="P12876" s="46">
        <v>900.0</v>
      </c>
      <c r="S12876" s="46" t="s">
        <v>6931</v>
      </c>
    </row>
    <row r="12877">
      <c r="A12877" s="40">
        <f t="shared" si="1"/>
        <v>46013</v>
      </c>
      <c r="B12877" s="37" t="str">
        <f t="array" ref="B12877">iferror(xlookup($I12877, 'IMPORT VHC Report'!$E:$E, 'IMPORT VHC Report'!$A:$C), )</f>
        <v/>
      </c>
      <c r="C12877" s="44"/>
      <c r="D12877" s="44"/>
      <c r="E12877" s="46" t="s">
        <v>8909</v>
      </c>
      <c r="F12877" s="46" t="s">
        <v>1837</v>
      </c>
      <c r="G12877" s="46">
        <v>4.502516921487E12</v>
      </c>
      <c r="H12877" s="46" t="s">
        <v>1838</v>
      </c>
      <c r="I12877" s="46" t="s">
        <v>1839</v>
      </c>
      <c r="J12877" s="46" t="s">
        <v>4</v>
      </c>
      <c r="K12877" s="46" t="s">
        <v>126</v>
      </c>
      <c r="L12877" s="45">
        <v>46016.458333333336</v>
      </c>
      <c r="M12877" s="46" t="s">
        <v>123</v>
      </c>
      <c r="N12877" s="45">
        <v>46016.5</v>
      </c>
      <c r="O12877" s="46" t="s">
        <v>123</v>
      </c>
      <c r="P12877" s="46">
        <v>3600.0</v>
      </c>
      <c r="S12877" s="46" t="s">
        <v>8910</v>
      </c>
    </row>
    <row r="12878">
      <c r="A12878" s="40">
        <f t="shared" si="1"/>
        <v>46013</v>
      </c>
      <c r="B12878" s="37" t="str">
        <f t="array" ref="B12878">iferror(xlookup($I12878, 'IMPORT VHC Report'!$E:$E, 'IMPORT VHC Report'!$A:$C), )</f>
        <v/>
      </c>
      <c r="C12878" s="44"/>
      <c r="D12878" s="44"/>
      <c r="E12878" s="46" t="s">
        <v>8911</v>
      </c>
      <c r="F12878" s="46" t="s">
        <v>1837</v>
      </c>
      <c r="G12878" s="46">
        <v>4.502516921487E12</v>
      </c>
      <c r="H12878" s="46" t="s">
        <v>1838</v>
      </c>
      <c r="I12878" s="46" t="s">
        <v>1839</v>
      </c>
      <c r="J12878" s="46" t="s">
        <v>125</v>
      </c>
      <c r="K12878" s="46" t="s">
        <v>126</v>
      </c>
      <c r="L12878" s="45">
        <v>46017.125</v>
      </c>
      <c r="M12878" s="46" t="s">
        <v>123</v>
      </c>
      <c r="N12878" s="45">
        <v>46017.131944444445</v>
      </c>
      <c r="O12878" s="46" t="s">
        <v>123</v>
      </c>
      <c r="P12878" s="46">
        <v>600.0</v>
      </c>
      <c r="S12878" s="46" t="s">
        <v>5529</v>
      </c>
    </row>
    <row r="12879">
      <c r="A12879" s="40">
        <f t="shared" si="1"/>
        <v>46013</v>
      </c>
      <c r="B12879" s="37" t="str">
        <f t="array" ref="B12879">iferror(xlookup($I12879, 'IMPORT VHC Report'!$E:$E, 'IMPORT VHC Report'!$A:$C), )</f>
        <v/>
      </c>
      <c r="C12879" s="44"/>
      <c r="D12879" s="44"/>
      <c r="E12879" s="46" t="s">
        <v>8912</v>
      </c>
      <c r="F12879" s="46" t="s">
        <v>1837</v>
      </c>
      <c r="G12879" s="46">
        <v>4.502516921487E12</v>
      </c>
      <c r="H12879" s="46" t="s">
        <v>1838</v>
      </c>
      <c r="I12879" s="46" t="s">
        <v>1839</v>
      </c>
      <c r="J12879" s="46" t="s">
        <v>224</v>
      </c>
      <c r="K12879" s="46" t="s">
        <v>63</v>
      </c>
      <c r="L12879" s="45">
        <v>46017.125</v>
      </c>
      <c r="M12879" s="46" t="s">
        <v>123</v>
      </c>
      <c r="N12879" s="45">
        <v>46017.5</v>
      </c>
      <c r="O12879" s="46" t="s">
        <v>123</v>
      </c>
      <c r="P12879" s="46">
        <v>32400.0</v>
      </c>
    </row>
    <row r="12880">
      <c r="A12880" s="40">
        <f t="shared" si="1"/>
        <v>46013</v>
      </c>
      <c r="B12880" s="37" t="str">
        <f t="array" ref="B12880">iferror(xlookup($I12880, 'IMPORT VHC Report'!$E:$E, 'IMPORT VHC Report'!$A:$C), )</f>
        <v/>
      </c>
      <c r="C12880" s="44"/>
      <c r="D12880" s="44"/>
      <c r="E12880" s="46" t="s">
        <v>8913</v>
      </c>
      <c r="F12880" s="46" t="s">
        <v>1837</v>
      </c>
      <c r="G12880" s="46">
        <v>4.502516921487E12</v>
      </c>
      <c r="H12880" s="46" t="s">
        <v>1838</v>
      </c>
      <c r="I12880" s="46" t="s">
        <v>1839</v>
      </c>
      <c r="J12880" s="46" t="s">
        <v>125</v>
      </c>
      <c r="K12880" s="46" t="s">
        <v>126</v>
      </c>
      <c r="L12880" s="45">
        <v>46017.131944444445</v>
      </c>
      <c r="M12880" s="46" t="s">
        <v>123</v>
      </c>
      <c r="N12880" s="45">
        <v>46017.17361111111</v>
      </c>
      <c r="O12880" s="46" t="s">
        <v>123</v>
      </c>
      <c r="P12880" s="46">
        <v>3600.0</v>
      </c>
      <c r="S12880" s="46" t="s">
        <v>8728</v>
      </c>
    </row>
    <row r="12881">
      <c r="A12881" s="40">
        <f t="shared" si="1"/>
        <v>46013</v>
      </c>
      <c r="B12881" s="37" t="str">
        <f t="array" ref="B12881">iferror(xlookup($I12881, 'IMPORT VHC Report'!$E:$E, 'IMPORT VHC Report'!$A:$C), )</f>
        <v/>
      </c>
      <c r="C12881" s="44"/>
      <c r="D12881" s="44"/>
      <c r="E12881" s="46" t="s">
        <v>8914</v>
      </c>
      <c r="F12881" s="46" t="s">
        <v>1837</v>
      </c>
      <c r="G12881" s="46">
        <v>4.502516921487E12</v>
      </c>
      <c r="H12881" s="46" t="s">
        <v>1838</v>
      </c>
      <c r="I12881" s="46" t="s">
        <v>1839</v>
      </c>
      <c r="J12881" s="46" t="s">
        <v>4</v>
      </c>
      <c r="K12881" s="46" t="s">
        <v>126</v>
      </c>
      <c r="L12881" s="45">
        <v>46017.17361111111</v>
      </c>
      <c r="M12881" s="46" t="s">
        <v>123</v>
      </c>
      <c r="N12881" s="45">
        <v>46017.18402777778</v>
      </c>
      <c r="O12881" s="46" t="s">
        <v>123</v>
      </c>
      <c r="P12881" s="46">
        <v>900.0</v>
      </c>
      <c r="S12881" s="46" t="s">
        <v>8726</v>
      </c>
    </row>
    <row r="12882">
      <c r="A12882" s="40">
        <f t="shared" si="1"/>
        <v>46013</v>
      </c>
      <c r="B12882" s="37" t="str">
        <f t="array" ref="B12882">iferror(xlookup($I12882, 'IMPORT VHC Report'!$E:$E, 'IMPORT VHC Report'!$A:$C), )</f>
        <v/>
      </c>
      <c r="C12882" s="44"/>
      <c r="D12882" s="44"/>
      <c r="E12882" s="46" t="s">
        <v>8915</v>
      </c>
      <c r="F12882" s="46" t="s">
        <v>1837</v>
      </c>
      <c r="G12882" s="46">
        <v>4.502516921487E12</v>
      </c>
      <c r="H12882" s="46" t="s">
        <v>1838</v>
      </c>
      <c r="I12882" s="46" t="s">
        <v>1839</v>
      </c>
      <c r="J12882" s="46" t="s">
        <v>134</v>
      </c>
      <c r="K12882" s="46" t="s">
        <v>126</v>
      </c>
      <c r="L12882" s="45">
        <v>46017.239583333336</v>
      </c>
      <c r="M12882" s="46" t="s">
        <v>123</v>
      </c>
      <c r="N12882" s="45">
        <v>46017.260416666664</v>
      </c>
      <c r="O12882" s="46" t="s">
        <v>123</v>
      </c>
      <c r="P12882" s="46">
        <v>1800.0</v>
      </c>
    </row>
    <row r="12883">
      <c r="A12883" s="40">
        <f t="shared" si="1"/>
        <v>46013</v>
      </c>
      <c r="B12883" s="37" t="str">
        <f t="array" ref="B12883">iferror(xlookup($I12883, 'IMPORT VHC Report'!$E:$E, 'IMPORT VHC Report'!$A:$C), )</f>
        <v/>
      </c>
      <c r="C12883" s="44"/>
      <c r="D12883" s="44"/>
      <c r="E12883" s="46" t="s">
        <v>8916</v>
      </c>
      <c r="F12883" s="46" t="s">
        <v>1837</v>
      </c>
      <c r="G12883" s="46">
        <v>4.502516921487E12</v>
      </c>
      <c r="H12883" s="46" t="s">
        <v>1838</v>
      </c>
      <c r="I12883" s="46" t="s">
        <v>1839</v>
      </c>
      <c r="J12883" s="46" t="s">
        <v>132</v>
      </c>
      <c r="K12883" s="46" t="s">
        <v>126</v>
      </c>
      <c r="L12883" s="45">
        <v>46017.375</v>
      </c>
      <c r="M12883" s="46" t="s">
        <v>123</v>
      </c>
      <c r="N12883" s="45">
        <v>46017.416666666664</v>
      </c>
      <c r="O12883" s="46" t="s">
        <v>123</v>
      </c>
      <c r="P12883" s="46">
        <v>3600.0</v>
      </c>
    </row>
    <row r="12884">
      <c r="A12884" s="40">
        <f t="shared" si="1"/>
        <v>46013</v>
      </c>
      <c r="B12884" s="37" t="str">
        <f t="array" ref="B12884">iferror(xlookup($I12884, 'IMPORT VHC Report'!$E:$E, 'IMPORT VHC Report'!$A:$C), )</f>
        <v/>
      </c>
      <c r="C12884" s="44"/>
      <c r="D12884" s="44"/>
      <c r="E12884" s="46" t="s">
        <v>8917</v>
      </c>
      <c r="F12884" s="46" t="s">
        <v>1837</v>
      </c>
      <c r="G12884" s="46">
        <v>4.502516921487E12</v>
      </c>
      <c r="H12884" s="46" t="s">
        <v>1838</v>
      </c>
      <c r="I12884" s="46" t="s">
        <v>1839</v>
      </c>
      <c r="J12884" s="46" t="s">
        <v>125</v>
      </c>
      <c r="K12884" s="46" t="s">
        <v>126</v>
      </c>
      <c r="L12884" s="45">
        <v>46017.46527777778</v>
      </c>
      <c r="M12884" s="46" t="s">
        <v>123</v>
      </c>
      <c r="N12884" s="45">
        <v>46017.5</v>
      </c>
      <c r="O12884" s="46" t="s">
        <v>123</v>
      </c>
      <c r="P12884" s="46">
        <v>3000.0</v>
      </c>
      <c r="S12884" s="46" t="s">
        <v>8918</v>
      </c>
    </row>
    <row r="12885">
      <c r="A12885" s="40">
        <f t="shared" si="1"/>
        <v>46013</v>
      </c>
      <c r="B12885" s="37" t="str">
        <f t="array" ref="B12885">iferror(xlookup($I12885, 'IMPORT VHC Report'!$E:$E, 'IMPORT VHC Report'!$A:$C), )</f>
        <v/>
      </c>
      <c r="C12885" s="44"/>
      <c r="D12885" s="44"/>
      <c r="E12885" s="46" t="s">
        <v>8919</v>
      </c>
      <c r="F12885" s="46" t="s">
        <v>1870</v>
      </c>
      <c r="G12885" s="46">
        <v>3.61861297935E11</v>
      </c>
      <c r="H12885" s="46" t="s">
        <v>1871</v>
      </c>
      <c r="I12885" s="46" t="s">
        <v>1872</v>
      </c>
      <c r="J12885" s="46" t="s">
        <v>224</v>
      </c>
      <c r="K12885" s="46" t="s">
        <v>63</v>
      </c>
      <c r="L12885" s="45">
        <v>46013.166666666664</v>
      </c>
      <c r="M12885" s="46" t="s">
        <v>123</v>
      </c>
      <c r="N12885" s="45">
        <v>46013.229166666664</v>
      </c>
      <c r="O12885" s="46" t="s">
        <v>123</v>
      </c>
      <c r="P12885" s="46">
        <v>5400.0</v>
      </c>
    </row>
    <row r="12886">
      <c r="A12886" s="40">
        <f t="shared" si="1"/>
        <v>46013</v>
      </c>
      <c r="B12886" s="37" t="str">
        <f t="array" ref="B12886">iferror(xlookup($I12886, 'IMPORT VHC Report'!$E:$E, 'IMPORT VHC Report'!$A:$C), )</f>
        <v/>
      </c>
      <c r="C12886" s="44"/>
      <c r="D12886" s="44"/>
      <c r="E12886" s="46" t="s">
        <v>8920</v>
      </c>
      <c r="F12886" s="46" t="s">
        <v>1870</v>
      </c>
      <c r="G12886" s="46">
        <v>3.61861297935E11</v>
      </c>
      <c r="H12886" s="46" t="s">
        <v>1871</v>
      </c>
      <c r="I12886" s="46" t="s">
        <v>1872</v>
      </c>
      <c r="J12886" s="46" t="s">
        <v>178</v>
      </c>
      <c r="K12886" s="46" t="s">
        <v>153</v>
      </c>
      <c r="L12886" s="45">
        <v>46013.166666666664</v>
      </c>
      <c r="M12886" s="46" t="s">
        <v>123</v>
      </c>
      <c r="N12886" s="45">
        <v>46013.541666666664</v>
      </c>
      <c r="O12886" s="46" t="s">
        <v>123</v>
      </c>
      <c r="P12886" s="46">
        <v>32400.0</v>
      </c>
      <c r="Q12886" s="46">
        <v>57600.0</v>
      </c>
      <c r="R12886" s="46" t="s">
        <v>8921</v>
      </c>
    </row>
    <row r="12887">
      <c r="A12887" s="40">
        <f t="shared" si="1"/>
        <v>46013</v>
      </c>
      <c r="B12887" s="37" t="str">
        <f t="array" ref="B12887">iferror(xlookup($I12887, 'IMPORT VHC Report'!$E:$E, 'IMPORT VHC Report'!$A:$C), )</f>
        <v/>
      </c>
      <c r="C12887" s="44"/>
      <c r="D12887" s="44"/>
      <c r="E12887" s="46" t="s">
        <v>8922</v>
      </c>
      <c r="F12887" s="46" t="s">
        <v>1870</v>
      </c>
      <c r="G12887" s="46">
        <v>3.61861297935E11</v>
      </c>
      <c r="H12887" s="46" t="s">
        <v>1871</v>
      </c>
      <c r="I12887" s="46" t="s">
        <v>1872</v>
      </c>
      <c r="J12887" s="46" t="s">
        <v>134</v>
      </c>
      <c r="K12887" s="46" t="s">
        <v>126</v>
      </c>
      <c r="L12887" s="45">
        <v>46013.229166666664</v>
      </c>
      <c r="M12887" s="46" t="s">
        <v>123</v>
      </c>
      <c r="N12887" s="45">
        <v>46013.239583333336</v>
      </c>
      <c r="O12887" s="46" t="s">
        <v>123</v>
      </c>
      <c r="P12887" s="46">
        <v>900.0</v>
      </c>
    </row>
    <row r="12888">
      <c r="A12888" s="40">
        <f t="shared" si="1"/>
        <v>46013</v>
      </c>
      <c r="B12888" s="37" t="str">
        <f t="array" ref="B12888">iferror(xlookup($I12888, 'IMPORT VHC Report'!$E:$E, 'IMPORT VHC Report'!$A:$C), )</f>
        <v/>
      </c>
      <c r="C12888" s="44"/>
      <c r="D12888" s="44"/>
      <c r="E12888" s="46" t="s">
        <v>8923</v>
      </c>
      <c r="F12888" s="46" t="s">
        <v>1870</v>
      </c>
      <c r="G12888" s="46">
        <v>3.61861297935E11</v>
      </c>
      <c r="H12888" s="46" t="s">
        <v>1871</v>
      </c>
      <c r="I12888" s="46" t="s">
        <v>1872</v>
      </c>
      <c r="J12888" s="46" t="s">
        <v>224</v>
      </c>
      <c r="K12888" s="46" t="s">
        <v>63</v>
      </c>
      <c r="L12888" s="45">
        <v>46013.229166666664</v>
      </c>
      <c r="M12888" s="46" t="s">
        <v>123</v>
      </c>
      <c r="N12888" s="45">
        <v>46013.541666666664</v>
      </c>
      <c r="O12888" s="46" t="s">
        <v>123</v>
      </c>
      <c r="P12888" s="46">
        <v>27000.0</v>
      </c>
    </row>
    <row r="12889">
      <c r="A12889" s="40">
        <f t="shared" si="1"/>
        <v>46013</v>
      </c>
      <c r="B12889" s="37" t="str">
        <f t="array" ref="B12889">iferror(xlookup($I12889, 'IMPORT VHC Report'!$E:$E, 'IMPORT VHC Report'!$A:$C), )</f>
        <v/>
      </c>
      <c r="C12889" s="44"/>
      <c r="D12889" s="44"/>
      <c r="E12889" s="46" t="s">
        <v>8924</v>
      </c>
      <c r="F12889" s="46" t="s">
        <v>1870</v>
      </c>
      <c r="G12889" s="46">
        <v>3.61861297935E11</v>
      </c>
      <c r="H12889" s="46" t="s">
        <v>1871</v>
      </c>
      <c r="I12889" s="46" t="s">
        <v>1872</v>
      </c>
      <c r="J12889" s="46" t="s">
        <v>132</v>
      </c>
      <c r="K12889" s="46" t="s">
        <v>126</v>
      </c>
      <c r="L12889" s="45">
        <v>46013.322916666664</v>
      </c>
      <c r="M12889" s="46" t="s">
        <v>123</v>
      </c>
      <c r="N12889" s="45">
        <v>46013.364583333336</v>
      </c>
      <c r="O12889" s="46" t="s">
        <v>123</v>
      </c>
      <c r="P12889" s="46">
        <v>3600.0</v>
      </c>
    </row>
    <row r="12890">
      <c r="A12890" s="40">
        <f t="shared" si="1"/>
        <v>46013</v>
      </c>
      <c r="B12890" s="37" t="str">
        <f t="array" ref="B12890">iferror(xlookup($I12890, 'IMPORT VHC Report'!$E:$E, 'IMPORT VHC Report'!$A:$C), )</f>
        <v/>
      </c>
      <c r="C12890" s="44"/>
      <c r="D12890" s="44"/>
      <c r="E12890" s="46" t="s">
        <v>8925</v>
      </c>
      <c r="F12890" s="46" t="s">
        <v>1870</v>
      </c>
      <c r="G12890" s="46">
        <v>3.61861297935E11</v>
      </c>
      <c r="H12890" s="46" t="s">
        <v>1871</v>
      </c>
      <c r="I12890" s="46" t="s">
        <v>1872</v>
      </c>
      <c r="J12890" s="46" t="s">
        <v>134</v>
      </c>
      <c r="K12890" s="46" t="s">
        <v>126</v>
      </c>
      <c r="L12890" s="45">
        <v>46013.46875</v>
      </c>
      <c r="M12890" s="46" t="s">
        <v>123</v>
      </c>
      <c r="N12890" s="45">
        <v>46013.479166666664</v>
      </c>
      <c r="O12890" s="46" t="s">
        <v>123</v>
      </c>
      <c r="P12890" s="46">
        <v>900.0</v>
      </c>
    </row>
    <row r="12891">
      <c r="A12891" s="40">
        <f t="shared" si="1"/>
        <v>46013</v>
      </c>
      <c r="B12891" s="37" t="str">
        <f t="array" ref="B12891">iferror(xlookup($I12891, 'IMPORT VHC Report'!$E:$E, 'IMPORT VHC Report'!$A:$C), )</f>
        <v/>
      </c>
      <c r="C12891" s="44"/>
      <c r="D12891" s="44"/>
      <c r="E12891" s="46" t="s">
        <v>8926</v>
      </c>
      <c r="F12891" s="46" t="s">
        <v>1870</v>
      </c>
      <c r="G12891" s="46">
        <v>3.61861297935E11</v>
      </c>
      <c r="H12891" s="46" t="s">
        <v>1871</v>
      </c>
      <c r="I12891" s="46" t="s">
        <v>1872</v>
      </c>
      <c r="J12891" s="46" t="s">
        <v>224</v>
      </c>
      <c r="K12891" s="46" t="s">
        <v>63</v>
      </c>
      <c r="L12891" s="45">
        <v>46014.166666666664</v>
      </c>
      <c r="M12891" s="46" t="s">
        <v>123</v>
      </c>
      <c r="N12891" s="45">
        <v>46014.25</v>
      </c>
      <c r="O12891" s="46" t="s">
        <v>123</v>
      </c>
      <c r="P12891" s="46">
        <v>7200.0</v>
      </c>
    </row>
    <row r="12892">
      <c r="A12892" s="40">
        <f t="shared" si="1"/>
        <v>46013</v>
      </c>
      <c r="B12892" s="37" t="str">
        <f t="array" ref="B12892">iferror(xlookup($I12892, 'IMPORT VHC Report'!$E:$E, 'IMPORT VHC Report'!$A:$C), )</f>
        <v/>
      </c>
      <c r="C12892" s="44"/>
      <c r="D12892" s="44"/>
      <c r="E12892" s="46" t="s">
        <v>8927</v>
      </c>
      <c r="F12892" s="46" t="s">
        <v>1870</v>
      </c>
      <c r="G12892" s="46">
        <v>3.61861297935E11</v>
      </c>
      <c r="H12892" s="46" t="s">
        <v>1871</v>
      </c>
      <c r="I12892" s="46" t="s">
        <v>1872</v>
      </c>
      <c r="J12892" s="46" t="s">
        <v>178</v>
      </c>
      <c r="K12892" s="46" t="s">
        <v>153</v>
      </c>
      <c r="L12892" s="45">
        <v>46014.166666666664</v>
      </c>
      <c r="M12892" s="46" t="s">
        <v>123</v>
      </c>
      <c r="N12892" s="45">
        <v>46014.541666666664</v>
      </c>
      <c r="O12892" s="46" t="s">
        <v>123</v>
      </c>
      <c r="P12892" s="46">
        <v>32400.0</v>
      </c>
      <c r="Q12892" s="46">
        <v>32400.0</v>
      </c>
    </row>
    <row r="12893">
      <c r="A12893" s="40">
        <f t="shared" si="1"/>
        <v>46013</v>
      </c>
      <c r="B12893" s="37" t="str">
        <f t="array" ref="B12893">iferror(xlookup($I12893, 'IMPORT VHC Report'!$E:$E, 'IMPORT VHC Report'!$A:$C), )</f>
        <v/>
      </c>
      <c r="C12893" s="44"/>
      <c r="D12893" s="44"/>
      <c r="E12893" s="46" t="s">
        <v>8928</v>
      </c>
      <c r="F12893" s="46" t="s">
        <v>1870</v>
      </c>
      <c r="G12893" s="46">
        <v>3.61861297935E11</v>
      </c>
      <c r="H12893" s="46" t="s">
        <v>1871</v>
      </c>
      <c r="I12893" s="46" t="s">
        <v>1872</v>
      </c>
      <c r="J12893" s="46" t="s">
        <v>134</v>
      </c>
      <c r="K12893" s="46" t="s">
        <v>126</v>
      </c>
      <c r="L12893" s="45">
        <v>46014.25</v>
      </c>
      <c r="M12893" s="46" t="s">
        <v>123</v>
      </c>
      <c r="N12893" s="45">
        <v>46014.260416666664</v>
      </c>
      <c r="O12893" s="46" t="s">
        <v>123</v>
      </c>
      <c r="P12893" s="46">
        <v>900.0</v>
      </c>
    </row>
    <row r="12894">
      <c r="A12894" s="40">
        <f t="shared" si="1"/>
        <v>46013</v>
      </c>
      <c r="B12894" s="37" t="str">
        <f t="array" ref="B12894">iferror(xlookup($I12894, 'IMPORT VHC Report'!$E:$E, 'IMPORT VHC Report'!$A:$C), )</f>
        <v/>
      </c>
      <c r="C12894" s="44"/>
      <c r="D12894" s="44"/>
      <c r="E12894" s="46" t="s">
        <v>8929</v>
      </c>
      <c r="F12894" s="46" t="s">
        <v>1870</v>
      </c>
      <c r="G12894" s="46">
        <v>3.61861297935E11</v>
      </c>
      <c r="H12894" s="46" t="s">
        <v>1871</v>
      </c>
      <c r="I12894" s="46" t="s">
        <v>1872</v>
      </c>
      <c r="J12894" s="46" t="s">
        <v>224</v>
      </c>
      <c r="K12894" s="46" t="s">
        <v>63</v>
      </c>
      <c r="L12894" s="45">
        <v>46014.25</v>
      </c>
      <c r="M12894" s="46" t="s">
        <v>123</v>
      </c>
      <c r="N12894" s="45">
        <v>46014.541666666664</v>
      </c>
      <c r="O12894" s="46" t="s">
        <v>123</v>
      </c>
      <c r="P12894" s="46">
        <v>25200.0</v>
      </c>
    </row>
    <row r="12895">
      <c r="A12895" s="40">
        <f t="shared" si="1"/>
        <v>46013</v>
      </c>
      <c r="B12895" s="37" t="str">
        <f t="array" ref="B12895">iferror(xlookup($I12895, 'IMPORT VHC Report'!$E:$E, 'IMPORT VHC Report'!$A:$C), )</f>
        <v/>
      </c>
      <c r="C12895" s="44"/>
      <c r="D12895" s="44"/>
      <c r="E12895" s="46" t="s">
        <v>8930</v>
      </c>
      <c r="F12895" s="46" t="s">
        <v>1870</v>
      </c>
      <c r="G12895" s="46">
        <v>3.61861297935E11</v>
      </c>
      <c r="H12895" s="46" t="s">
        <v>1871</v>
      </c>
      <c r="I12895" s="46" t="s">
        <v>1872</v>
      </c>
      <c r="J12895" s="46" t="s">
        <v>132</v>
      </c>
      <c r="K12895" s="46" t="s">
        <v>126</v>
      </c>
      <c r="L12895" s="45">
        <v>46014.322916666664</v>
      </c>
      <c r="M12895" s="46" t="s">
        <v>123</v>
      </c>
      <c r="N12895" s="45">
        <v>46014.364583333336</v>
      </c>
      <c r="O12895" s="46" t="s">
        <v>123</v>
      </c>
      <c r="P12895" s="46">
        <v>3600.0</v>
      </c>
    </row>
    <row r="12896">
      <c r="A12896" s="40">
        <f t="shared" si="1"/>
        <v>46013</v>
      </c>
      <c r="B12896" s="37" t="str">
        <f t="array" ref="B12896">iferror(xlookup($I12896, 'IMPORT VHC Report'!$E:$E, 'IMPORT VHC Report'!$A:$C), )</f>
        <v/>
      </c>
      <c r="C12896" s="44"/>
      <c r="D12896" s="44"/>
      <c r="E12896" s="46" t="s">
        <v>8931</v>
      </c>
      <c r="F12896" s="46" t="s">
        <v>1870</v>
      </c>
      <c r="G12896" s="46">
        <v>3.61861297935E11</v>
      </c>
      <c r="H12896" s="46" t="s">
        <v>1871</v>
      </c>
      <c r="I12896" s="46" t="s">
        <v>1872</v>
      </c>
      <c r="J12896" s="46" t="s">
        <v>134</v>
      </c>
      <c r="K12896" s="46" t="s">
        <v>126</v>
      </c>
      <c r="L12896" s="45">
        <v>46014.427083333336</v>
      </c>
      <c r="M12896" s="46" t="s">
        <v>123</v>
      </c>
      <c r="N12896" s="45">
        <v>46014.4375</v>
      </c>
      <c r="O12896" s="46" t="s">
        <v>123</v>
      </c>
      <c r="P12896" s="46">
        <v>900.0</v>
      </c>
    </row>
    <row r="12897">
      <c r="A12897" s="40">
        <f t="shared" si="1"/>
        <v>46013</v>
      </c>
      <c r="B12897" s="37" t="str">
        <f t="array" ref="B12897">iferror(xlookup($I12897, 'IMPORT VHC Report'!$E:$E, 'IMPORT VHC Report'!$A:$C), )</f>
        <v/>
      </c>
      <c r="C12897" s="44"/>
      <c r="D12897" s="44"/>
      <c r="E12897" s="46" t="s">
        <v>8932</v>
      </c>
      <c r="F12897" s="46" t="s">
        <v>1870</v>
      </c>
      <c r="G12897" s="46">
        <v>3.61861297935E11</v>
      </c>
      <c r="H12897" s="46" t="s">
        <v>1871</v>
      </c>
      <c r="I12897" s="46" t="s">
        <v>1872</v>
      </c>
      <c r="J12897" s="46" t="s">
        <v>132</v>
      </c>
      <c r="K12897" s="46" t="s">
        <v>126</v>
      </c>
      <c r="L12897" s="45">
        <v>46015.166666666664</v>
      </c>
      <c r="M12897" s="46" t="s">
        <v>123</v>
      </c>
      <c r="N12897" s="45">
        <v>46015.208333333336</v>
      </c>
      <c r="O12897" s="46" t="s">
        <v>123</v>
      </c>
      <c r="P12897" s="46">
        <v>3600.0</v>
      </c>
    </row>
    <row r="12898">
      <c r="A12898" s="40">
        <f t="shared" si="1"/>
        <v>46013</v>
      </c>
      <c r="B12898" s="37" t="str">
        <f t="array" ref="B12898">iferror(xlookup($I12898, 'IMPORT VHC Report'!$E:$E, 'IMPORT VHC Report'!$A:$C), )</f>
        <v/>
      </c>
      <c r="C12898" s="44"/>
      <c r="D12898" s="44"/>
      <c r="E12898" s="46" t="s">
        <v>8933</v>
      </c>
      <c r="F12898" s="46" t="s">
        <v>1870</v>
      </c>
      <c r="G12898" s="46">
        <v>3.61861297935E11</v>
      </c>
      <c r="H12898" s="46" t="s">
        <v>1871</v>
      </c>
      <c r="I12898" s="46" t="s">
        <v>1872</v>
      </c>
      <c r="J12898" s="46" t="s">
        <v>224</v>
      </c>
      <c r="K12898" s="46" t="s">
        <v>63</v>
      </c>
      <c r="L12898" s="45">
        <v>46015.166666666664</v>
      </c>
      <c r="M12898" s="46" t="s">
        <v>123</v>
      </c>
      <c r="N12898" s="45">
        <v>46015.48055555556</v>
      </c>
      <c r="O12898" s="46" t="s">
        <v>123</v>
      </c>
      <c r="P12898" s="46">
        <v>27120.0</v>
      </c>
    </row>
    <row r="12899">
      <c r="A12899" s="40">
        <f t="shared" si="1"/>
        <v>46013</v>
      </c>
      <c r="B12899" s="37" t="str">
        <f t="array" ref="B12899">iferror(xlookup($I12899, 'IMPORT VHC Report'!$E:$E, 'IMPORT VHC Report'!$A:$C), )</f>
        <v/>
      </c>
      <c r="C12899" s="44"/>
      <c r="D12899" s="44"/>
      <c r="E12899" s="46" t="s">
        <v>8934</v>
      </c>
      <c r="F12899" s="46" t="s">
        <v>1870</v>
      </c>
      <c r="G12899" s="46">
        <v>3.61861297935E11</v>
      </c>
      <c r="H12899" s="46" t="s">
        <v>1871</v>
      </c>
      <c r="I12899" s="46" t="s">
        <v>1872</v>
      </c>
      <c r="J12899" s="46" t="s">
        <v>134</v>
      </c>
      <c r="K12899" s="46" t="s">
        <v>126</v>
      </c>
      <c r="L12899" s="45">
        <v>46015.208333333336</v>
      </c>
      <c r="M12899" s="46" t="s">
        <v>123</v>
      </c>
      <c r="N12899" s="45">
        <v>46015.21875</v>
      </c>
      <c r="O12899" s="46" t="s">
        <v>123</v>
      </c>
      <c r="P12899" s="46">
        <v>900.0</v>
      </c>
    </row>
    <row r="12900">
      <c r="A12900" s="40">
        <f t="shared" si="1"/>
        <v>46013</v>
      </c>
      <c r="B12900" s="37" t="str">
        <f t="array" ref="B12900">iferror(xlookup($I12900, 'IMPORT VHC Report'!$E:$E, 'IMPORT VHC Report'!$A:$C), )</f>
        <v/>
      </c>
      <c r="C12900" s="44"/>
      <c r="D12900" s="44"/>
      <c r="E12900" s="46" t="s">
        <v>8935</v>
      </c>
      <c r="F12900" s="46" t="s">
        <v>1870</v>
      </c>
      <c r="G12900" s="46">
        <v>3.61861297935E11</v>
      </c>
      <c r="H12900" s="46" t="s">
        <v>1871</v>
      </c>
      <c r="I12900" s="46" t="s">
        <v>1872</v>
      </c>
      <c r="J12900" s="46" t="s">
        <v>134</v>
      </c>
      <c r="K12900" s="46" t="s">
        <v>126</v>
      </c>
      <c r="L12900" s="45">
        <v>46015.21875</v>
      </c>
      <c r="M12900" s="46" t="s">
        <v>123</v>
      </c>
      <c r="N12900" s="45">
        <v>46015.229166666664</v>
      </c>
      <c r="O12900" s="46" t="s">
        <v>123</v>
      </c>
      <c r="P12900" s="46">
        <v>900.0</v>
      </c>
    </row>
    <row r="12901">
      <c r="A12901" s="40">
        <f t="shared" si="1"/>
        <v>46013</v>
      </c>
      <c r="B12901" s="37" t="str">
        <f t="array" ref="B12901">iferror(xlookup($I12901, 'IMPORT VHC Report'!$E:$E, 'IMPORT VHC Report'!$A:$C), )</f>
        <v/>
      </c>
      <c r="C12901" s="44"/>
      <c r="D12901" s="44"/>
      <c r="E12901" s="46" t="s">
        <v>8936</v>
      </c>
      <c r="F12901" s="46" t="s">
        <v>1870</v>
      </c>
      <c r="G12901" s="46">
        <v>3.61861297935E11</v>
      </c>
      <c r="H12901" s="46" t="s">
        <v>1871</v>
      </c>
      <c r="I12901" s="46" t="s">
        <v>1872</v>
      </c>
      <c r="J12901" s="46" t="s">
        <v>4</v>
      </c>
      <c r="K12901" s="46" t="s">
        <v>126</v>
      </c>
      <c r="L12901" s="45">
        <v>46015.48055555556</v>
      </c>
      <c r="M12901" s="46" t="s">
        <v>123</v>
      </c>
      <c r="N12901" s="45">
        <v>46015.5</v>
      </c>
      <c r="O12901" s="46" t="s">
        <v>123</v>
      </c>
      <c r="P12901" s="46">
        <v>1680.0</v>
      </c>
      <c r="S12901" s="46" t="s">
        <v>8937</v>
      </c>
    </row>
    <row r="12902">
      <c r="A12902" s="40">
        <f t="shared" si="1"/>
        <v>46013</v>
      </c>
      <c r="B12902" s="37" t="str">
        <f t="array" ref="B12902">iferror(xlookup($I12902, 'IMPORT VHC Report'!$E:$E, 'IMPORT VHC Report'!$A:$C), )</f>
        <v/>
      </c>
      <c r="C12902" s="44"/>
      <c r="D12902" s="44"/>
      <c r="E12902" s="46" t="s">
        <v>8938</v>
      </c>
      <c r="F12902" s="46" t="s">
        <v>1870</v>
      </c>
      <c r="G12902" s="46">
        <v>3.61861297935E11</v>
      </c>
      <c r="H12902" s="46" t="s">
        <v>1871</v>
      </c>
      <c r="I12902" s="46" t="s">
        <v>1872</v>
      </c>
      <c r="J12902" s="46" t="s">
        <v>125</v>
      </c>
      <c r="K12902" s="46" t="s">
        <v>126</v>
      </c>
      <c r="L12902" s="45">
        <v>46015.5</v>
      </c>
      <c r="M12902" s="46" t="s">
        <v>123</v>
      </c>
      <c r="N12902" s="45">
        <v>46015.541666666664</v>
      </c>
      <c r="O12902" s="46" t="s">
        <v>123</v>
      </c>
      <c r="P12902" s="46">
        <v>3600.0</v>
      </c>
    </row>
    <row r="12903">
      <c r="A12903" s="40">
        <f t="shared" si="1"/>
        <v>46013</v>
      </c>
      <c r="B12903" s="37" t="str">
        <f t="array" ref="B12903">iferror(xlookup($I12903, 'IMPORT VHC Report'!$E:$E, 'IMPORT VHC Report'!$A:$C), )</f>
        <v/>
      </c>
      <c r="C12903" s="44"/>
      <c r="D12903" s="44"/>
      <c r="E12903" s="46" t="s">
        <v>8939</v>
      </c>
      <c r="F12903" s="46" t="s">
        <v>1870</v>
      </c>
      <c r="G12903" s="46">
        <v>3.61861297935E11</v>
      </c>
      <c r="H12903" s="46" t="s">
        <v>1871</v>
      </c>
      <c r="I12903" s="46" t="s">
        <v>1872</v>
      </c>
      <c r="J12903" s="46" t="s">
        <v>224</v>
      </c>
      <c r="K12903" s="46" t="s">
        <v>63</v>
      </c>
      <c r="L12903" s="45">
        <v>46015.501388888886</v>
      </c>
      <c r="M12903" s="46" t="s">
        <v>123</v>
      </c>
      <c r="N12903" s="45">
        <v>46015.541666666664</v>
      </c>
      <c r="O12903" s="46" t="s">
        <v>123</v>
      </c>
      <c r="P12903" s="46">
        <v>3480.0</v>
      </c>
    </row>
    <row r="12904">
      <c r="A12904" s="40">
        <f t="shared" si="1"/>
        <v>46013</v>
      </c>
      <c r="B12904" s="37" t="str">
        <f t="array" ref="B12904">iferror(xlookup($I12904, 'IMPORT VHC Report'!$E:$E, 'IMPORT VHC Report'!$A:$C), )</f>
        <v/>
      </c>
      <c r="C12904" s="44"/>
      <c r="D12904" s="44"/>
      <c r="E12904" s="46" t="s">
        <v>8940</v>
      </c>
      <c r="F12904" s="46" t="s">
        <v>1870</v>
      </c>
      <c r="G12904" s="46">
        <v>3.61861297935E11</v>
      </c>
      <c r="H12904" s="46" t="s">
        <v>1871</v>
      </c>
      <c r="I12904" s="46" t="s">
        <v>1872</v>
      </c>
      <c r="J12904" s="46" t="s">
        <v>125</v>
      </c>
      <c r="K12904" s="46" t="s">
        <v>126</v>
      </c>
      <c r="L12904" s="45">
        <v>46015.50277777778</v>
      </c>
      <c r="M12904" s="46" t="s">
        <v>123</v>
      </c>
      <c r="N12904" s="45">
        <v>46015.541666666664</v>
      </c>
      <c r="O12904" s="46" t="s">
        <v>123</v>
      </c>
      <c r="P12904" s="46">
        <v>3360.0</v>
      </c>
      <c r="S12904" s="46" t="s">
        <v>8941</v>
      </c>
    </row>
    <row r="12905">
      <c r="A12905" s="40">
        <f t="shared" si="1"/>
        <v>46013</v>
      </c>
      <c r="B12905" s="37" t="str">
        <f t="array" ref="B12905">iferror(xlookup($I12905, 'IMPORT VHC Report'!$E:$E, 'IMPORT VHC Report'!$A:$C), )</f>
        <v/>
      </c>
      <c r="C12905" s="44"/>
      <c r="D12905" s="44"/>
      <c r="E12905" s="46" t="s">
        <v>8942</v>
      </c>
      <c r="F12905" s="46" t="s">
        <v>1870</v>
      </c>
      <c r="G12905" s="46">
        <v>3.61861297935E11</v>
      </c>
      <c r="H12905" s="46" t="s">
        <v>1871</v>
      </c>
      <c r="I12905" s="46" t="s">
        <v>1872</v>
      </c>
      <c r="J12905" s="46" t="s">
        <v>132</v>
      </c>
      <c r="K12905" s="46" t="s">
        <v>126</v>
      </c>
      <c r="L12905" s="45">
        <v>46016.166666666664</v>
      </c>
      <c r="M12905" s="46" t="s">
        <v>123</v>
      </c>
      <c r="N12905" s="45">
        <v>46016.208333333336</v>
      </c>
      <c r="O12905" s="46" t="s">
        <v>123</v>
      </c>
      <c r="P12905" s="46">
        <v>3600.0</v>
      </c>
    </row>
    <row r="12906">
      <c r="A12906" s="40">
        <f t="shared" si="1"/>
        <v>46013</v>
      </c>
      <c r="B12906" s="37" t="str">
        <f t="array" ref="B12906">iferror(xlookup($I12906, 'IMPORT VHC Report'!$E:$E, 'IMPORT VHC Report'!$A:$C), )</f>
        <v/>
      </c>
      <c r="C12906" s="44"/>
      <c r="D12906" s="44"/>
      <c r="E12906" s="46" t="s">
        <v>8943</v>
      </c>
      <c r="F12906" s="46" t="s">
        <v>1870</v>
      </c>
      <c r="G12906" s="46">
        <v>3.61861297935E11</v>
      </c>
      <c r="H12906" s="46" t="s">
        <v>1871</v>
      </c>
      <c r="I12906" s="46" t="s">
        <v>1872</v>
      </c>
      <c r="J12906" s="46" t="s">
        <v>224</v>
      </c>
      <c r="K12906" s="46" t="s">
        <v>63</v>
      </c>
      <c r="L12906" s="45">
        <v>46016.166666666664</v>
      </c>
      <c r="M12906" s="46" t="s">
        <v>123</v>
      </c>
      <c r="N12906" s="45">
        <v>46016.458333333336</v>
      </c>
      <c r="O12906" s="46" t="s">
        <v>123</v>
      </c>
      <c r="P12906" s="46">
        <v>25200.0</v>
      </c>
    </row>
    <row r="12907">
      <c r="A12907" s="40">
        <f t="shared" si="1"/>
        <v>46013</v>
      </c>
      <c r="B12907" s="37" t="str">
        <f t="array" ref="B12907">iferror(xlookup($I12907, 'IMPORT VHC Report'!$E:$E, 'IMPORT VHC Report'!$A:$C), )</f>
        <v/>
      </c>
      <c r="C12907" s="44"/>
      <c r="D12907" s="44"/>
      <c r="E12907" s="46" t="s">
        <v>8944</v>
      </c>
      <c r="F12907" s="46" t="s">
        <v>1870</v>
      </c>
      <c r="G12907" s="46">
        <v>3.61861297935E11</v>
      </c>
      <c r="H12907" s="46" t="s">
        <v>1871</v>
      </c>
      <c r="I12907" s="46" t="s">
        <v>1872</v>
      </c>
      <c r="J12907" s="46" t="s">
        <v>134</v>
      </c>
      <c r="K12907" s="46" t="s">
        <v>126</v>
      </c>
      <c r="L12907" s="45">
        <v>46016.208333333336</v>
      </c>
      <c r="M12907" s="46" t="s">
        <v>123</v>
      </c>
      <c r="N12907" s="45">
        <v>46016.21875</v>
      </c>
      <c r="O12907" s="46" t="s">
        <v>123</v>
      </c>
      <c r="P12907" s="46">
        <v>900.0</v>
      </c>
    </row>
    <row r="12908">
      <c r="A12908" s="40">
        <f t="shared" si="1"/>
        <v>46013</v>
      </c>
      <c r="B12908" s="37" t="str">
        <f t="array" ref="B12908">iferror(xlookup($I12908, 'IMPORT VHC Report'!$E:$E, 'IMPORT VHC Report'!$A:$C), )</f>
        <v/>
      </c>
      <c r="C12908" s="44"/>
      <c r="D12908" s="44"/>
      <c r="E12908" s="46" t="s">
        <v>8945</v>
      </c>
      <c r="F12908" s="46" t="s">
        <v>1870</v>
      </c>
      <c r="G12908" s="46">
        <v>3.61861297935E11</v>
      </c>
      <c r="H12908" s="46" t="s">
        <v>1871</v>
      </c>
      <c r="I12908" s="46" t="s">
        <v>1872</v>
      </c>
      <c r="J12908" s="46" t="s">
        <v>134</v>
      </c>
      <c r="K12908" s="46" t="s">
        <v>126</v>
      </c>
      <c r="L12908" s="45">
        <v>46016.21875</v>
      </c>
      <c r="M12908" s="46" t="s">
        <v>123</v>
      </c>
      <c r="N12908" s="45">
        <v>46016.229166666664</v>
      </c>
      <c r="O12908" s="46" t="s">
        <v>123</v>
      </c>
      <c r="P12908" s="46">
        <v>900.0</v>
      </c>
    </row>
    <row r="12909">
      <c r="A12909" s="40">
        <f t="shared" si="1"/>
        <v>46013</v>
      </c>
      <c r="B12909" s="37" t="str">
        <f t="array" ref="B12909">iferror(xlookup($I12909, 'IMPORT VHC Report'!$E:$E, 'IMPORT VHC Report'!$A:$C), )</f>
        <v/>
      </c>
      <c r="C12909" s="44"/>
      <c r="D12909" s="44"/>
      <c r="E12909" s="46" t="s">
        <v>8946</v>
      </c>
      <c r="F12909" s="46" t="s">
        <v>1870</v>
      </c>
      <c r="G12909" s="46">
        <v>3.61861297935E11</v>
      </c>
      <c r="H12909" s="46" t="s">
        <v>1871</v>
      </c>
      <c r="I12909" s="46" t="s">
        <v>1872</v>
      </c>
      <c r="J12909" s="46" t="s">
        <v>4</v>
      </c>
      <c r="K12909" s="46" t="s">
        <v>126</v>
      </c>
      <c r="L12909" s="45">
        <v>46016.42013888889</v>
      </c>
      <c r="M12909" s="46" t="s">
        <v>123</v>
      </c>
      <c r="N12909" s="45">
        <v>46016.461805555555</v>
      </c>
      <c r="O12909" s="46" t="s">
        <v>123</v>
      </c>
      <c r="P12909" s="46">
        <v>3600.0</v>
      </c>
      <c r="S12909" s="46" t="s">
        <v>8947</v>
      </c>
    </row>
    <row r="12910">
      <c r="A12910" s="40">
        <f t="shared" si="1"/>
        <v>46013</v>
      </c>
      <c r="B12910" s="37" t="str">
        <f t="array" ref="B12910">iferror(xlookup($I12910, 'IMPORT VHC Report'!$E:$E, 'IMPORT VHC Report'!$A:$C), )</f>
        <v/>
      </c>
      <c r="C12910" s="44"/>
      <c r="D12910" s="44"/>
      <c r="E12910" s="46" t="s">
        <v>8948</v>
      </c>
      <c r="F12910" s="46" t="s">
        <v>1870</v>
      </c>
      <c r="G12910" s="46">
        <v>3.61861297935E11</v>
      </c>
      <c r="H12910" s="46" t="s">
        <v>1871</v>
      </c>
      <c r="I12910" s="46" t="s">
        <v>1872</v>
      </c>
      <c r="J12910" s="46" t="s">
        <v>62</v>
      </c>
      <c r="K12910" s="46" t="s">
        <v>63</v>
      </c>
      <c r="L12910" s="45">
        <v>46016.458333333336</v>
      </c>
      <c r="M12910" s="46" t="s">
        <v>123</v>
      </c>
      <c r="N12910" s="45">
        <v>46016.479166666664</v>
      </c>
      <c r="O12910" s="46" t="s">
        <v>123</v>
      </c>
      <c r="P12910" s="46">
        <v>1800.0</v>
      </c>
    </row>
    <row r="12911">
      <c r="A12911" s="40">
        <f t="shared" si="1"/>
        <v>46013</v>
      </c>
      <c r="B12911" s="37" t="str">
        <f t="array" ref="B12911">iferror(xlookup($I12911, 'IMPORT VHC Report'!$E:$E, 'IMPORT VHC Report'!$A:$C), )</f>
        <v/>
      </c>
      <c r="C12911" s="44"/>
      <c r="D12911" s="44"/>
      <c r="E12911" s="46" t="s">
        <v>8949</v>
      </c>
      <c r="F12911" s="46" t="s">
        <v>1870</v>
      </c>
      <c r="G12911" s="46">
        <v>3.61861297935E11</v>
      </c>
      <c r="H12911" s="46" t="s">
        <v>1871</v>
      </c>
      <c r="I12911" s="46" t="s">
        <v>1872</v>
      </c>
      <c r="J12911" s="46" t="s">
        <v>224</v>
      </c>
      <c r="K12911" s="46" t="s">
        <v>63</v>
      </c>
      <c r="L12911" s="45">
        <v>46016.479166666664</v>
      </c>
      <c r="M12911" s="46" t="s">
        <v>123</v>
      </c>
      <c r="N12911" s="45">
        <v>46016.541666666664</v>
      </c>
      <c r="O12911" s="46" t="s">
        <v>123</v>
      </c>
      <c r="P12911" s="46">
        <v>5400.0</v>
      </c>
    </row>
    <row r="12912">
      <c r="A12912" s="40">
        <f t="shared" si="1"/>
        <v>46013</v>
      </c>
      <c r="B12912" s="37" t="str">
        <f t="array" ref="B12912">iferror(xlookup($I12912, 'IMPORT VHC Report'!$E:$E, 'IMPORT VHC Report'!$A:$C), )</f>
        <v/>
      </c>
      <c r="C12912" s="44"/>
      <c r="D12912" s="44"/>
      <c r="E12912" s="46" t="s">
        <v>8950</v>
      </c>
      <c r="F12912" s="46" t="s">
        <v>1870</v>
      </c>
      <c r="G12912" s="46">
        <v>3.61861297935E11</v>
      </c>
      <c r="H12912" s="46" t="s">
        <v>1871</v>
      </c>
      <c r="I12912" s="46" t="s">
        <v>1872</v>
      </c>
      <c r="J12912" s="46" t="s">
        <v>152</v>
      </c>
      <c r="K12912" s="46" t="s">
        <v>153</v>
      </c>
      <c r="L12912" s="45">
        <v>46019.166666666664</v>
      </c>
      <c r="M12912" s="46" t="s">
        <v>123</v>
      </c>
      <c r="N12912" s="45">
        <v>46019.541666666664</v>
      </c>
      <c r="O12912" s="46" t="s">
        <v>123</v>
      </c>
      <c r="P12912" s="46">
        <v>32400.0</v>
      </c>
      <c r="Q12912" s="46">
        <v>32400.0</v>
      </c>
    </row>
    <row r="12913">
      <c r="A12913" s="40">
        <f t="shared" si="1"/>
        <v>46013</v>
      </c>
      <c r="B12913" s="37" t="str">
        <f t="array" ref="B12913">iferror(xlookup($I12913, 'IMPORT VHC Report'!$E:$E, 'IMPORT VHC Report'!$A:$C), )</f>
        <v/>
      </c>
      <c r="C12913" s="44"/>
      <c r="D12913" s="44"/>
      <c r="E12913" s="46" t="s">
        <v>8951</v>
      </c>
      <c r="F12913" s="46" t="s">
        <v>1870</v>
      </c>
      <c r="G12913" s="46">
        <v>3.61861297935E11</v>
      </c>
      <c r="H12913" s="46" t="s">
        <v>1871</v>
      </c>
      <c r="I12913" s="46" t="s">
        <v>1872</v>
      </c>
      <c r="J12913" s="46" t="s">
        <v>134</v>
      </c>
      <c r="K12913" s="46" t="s">
        <v>126</v>
      </c>
      <c r="L12913" s="45">
        <v>46019.270833333336</v>
      </c>
      <c r="M12913" s="46" t="s">
        <v>123</v>
      </c>
      <c r="N12913" s="45">
        <v>46019.28125</v>
      </c>
      <c r="O12913" s="46" t="s">
        <v>123</v>
      </c>
      <c r="P12913" s="46">
        <v>900.0</v>
      </c>
    </row>
    <row r="12914">
      <c r="A12914" s="40">
        <f t="shared" si="1"/>
        <v>46013</v>
      </c>
      <c r="B12914" s="37" t="str">
        <f t="array" ref="B12914">iferror(xlookup($I12914, 'IMPORT VHC Report'!$E:$E, 'IMPORT VHC Report'!$A:$C), )</f>
        <v/>
      </c>
      <c r="C12914" s="44"/>
      <c r="D12914" s="44"/>
      <c r="E12914" s="46" t="s">
        <v>8952</v>
      </c>
      <c r="F12914" s="46" t="s">
        <v>1870</v>
      </c>
      <c r="G12914" s="46">
        <v>3.61861297935E11</v>
      </c>
      <c r="H12914" s="46" t="s">
        <v>1871</v>
      </c>
      <c r="I12914" s="46" t="s">
        <v>1872</v>
      </c>
      <c r="J12914" s="46" t="s">
        <v>134</v>
      </c>
      <c r="K12914" s="46" t="s">
        <v>126</v>
      </c>
      <c r="L12914" s="45">
        <v>46019.354166666664</v>
      </c>
      <c r="M12914" s="46" t="s">
        <v>123</v>
      </c>
      <c r="N12914" s="45">
        <v>46019.364583333336</v>
      </c>
      <c r="O12914" s="46" t="s">
        <v>123</v>
      </c>
      <c r="P12914" s="46">
        <v>900.0</v>
      </c>
    </row>
    <row r="12915">
      <c r="A12915" s="40">
        <f t="shared" si="1"/>
        <v>46013</v>
      </c>
      <c r="B12915" s="37" t="str">
        <f t="array" ref="B12915">iferror(xlookup($I12915, 'IMPORT VHC Report'!$E:$E, 'IMPORT VHC Report'!$A:$C), )</f>
        <v/>
      </c>
      <c r="C12915" s="44"/>
      <c r="D12915" s="44"/>
      <c r="E12915" s="46" t="s">
        <v>8953</v>
      </c>
      <c r="F12915" s="46" t="s">
        <v>1870</v>
      </c>
      <c r="G12915" s="46">
        <v>3.61861297935E11</v>
      </c>
      <c r="H12915" s="46" t="s">
        <v>1871</v>
      </c>
      <c r="I12915" s="46" t="s">
        <v>1872</v>
      </c>
      <c r="J12915" s="46" t="s">
        <v>132</v>
      </c>
      <c r="K12915" s="46" t="s">
        <v>126</v>
      </c>
      <c r="L12915" s="45">
        <v>46019.4375</v>
      </c>
      <c r="M12915" s="46" t="s">
        <v>123</v>
      </c>
      <c r="N12915" s="45">
        <v>46019.479166666664</v>
      </c>
      <c r="O12915" s="46" t="s">
        <v>123</v>
      </c>
      <c r="P12915" s="46">
        <v>3600.0</v>
      </c>
    </row>
    <row r="12916">
      <c r="A12916" s="40">
        <f t="shared" si="1"/>
        <v>46013</v>
      </c>
      <c r="B12916" s="37" t="str">
        <f t="array" ref="B12916">iferror(xlookup($I12916, 'IMPORT VHC Report'!$E:$E, 'IMPORT VHC Report'!$A:$C), )</f>
        <v/>
      </c>
      <c r="C12916" s="44"/>
      <c r="D12916" s="44"/>
      <c r="E12916" s="46" t="s">
        <v>8954</v>
      </c>
      <c r="F12916" s="46" t="s">
        <v>1925</v>
      </c>
      <c r="G12916" s="46">
        <v>3.61857411916E11</v>
      </c>
      <c r="H12916" s="46" t="s">
        <v>1926</v>
      </c>
      <c r="I12916" s="46" t="s">
        <v>1927</v>
      </c>
      <c r="J12916" s="46" t="s">
        <v>178</v>
      </c>
      <c r="K12916" s="46" t="s">
        <v>153</v>
      </c>
      <c r="L12916" s="45">
        <v>46013.166666666664</v>
      </c>
      <c r="M12916" s="46" t="s">
        <v>123</v>
      </c>
      <c r="N12916" s="45">
        <v>46013.541666666664</v>
      </c>
      <c r="O12916" s="46" t="s">
        <v>123</v>
      </c>
      <c r="P12916" s="46">
        <v>32400.0</v>
      </c>
      <c r="Q12916" s="46">
        <v>32400.0</v>
      </c>
    </row>
    <row r="12917">
      <c r="A12917" s="40">
        <f t="shared" si="1"/>
        <v>46013</v>
      </c>
      <c r="B12917" s="37" t="str">
        <f t="array" ref="B12917">iferror(xlookup($I12917, 'IMPORT VHC Report'!$E:$E, 'IMPORT VHC Report'!$A:$C), )</f>
        <v/>
      </c>
      <c r="C12917" s="44"/>
      <c r="D12917" s="44"/>
      <c r="E12917" s="46" t="s">
        <v>8955</v>
      </c>
      <c r="F12917" s="46" t="s">
        <v>1925</v>
      </c>
      <c r="G12917" s="46">
        <v>3.61857411916E11</v>
      </c>
      <c r="H12917" s="46" t="s">
        <v>1926</v>
      </c>
      <c r="I12917" s="46" t="s">
        <v>1927</v>
      </c>
      <c r="J12917" s="46" t="s">
        <v>132</v>
      </c>
      <c r="K12917" s="46" t="s">
        <v>126</v>
      </c>
      <c r="L12917" s="45">
        <v>46013.291666666664</v>
      </c>
      <c r="M12917" s="46" t="s">
        <v>123</v>
      </c>
      <c r="N12917" s="45">
        <v>46013.333333333336</v>
      </c>
      <c r="O12917" s="46" t="s">
        <v>123</v>
      </c>
      <c r="P12917" s="46">
        <v>3600.0</v>
      </c>
    </row>
    <row r="12918">
      <c r="A12918" s="40">
        <f t="shared" si="1"/>
        <v>46013</v>
      </c>
      <c r="B12918" s="37" t="str">
        <f t="array" ref="B12918">iferror(xlookup($I12918, 'IMPORT VHC Report'!$E:$E, 'IMPORT VHC Report'!$A:$C), )</f>
        <v/>
      </c>
      <c r="C12918" s="44"/>
      <c r="D12918" s="44"/>
      <c r="E12918" s="46" t="s">
        <v>8956</v>
      </c>
      <c r="F12918" s="46" t="s">
        <v>1925</v>
      </c>
      <c r="G12918" s="46">
        <v>3.61857411916E11</v>
      </c>
      <c r="H12918" s="46" t="s">
        <v>1926</v>
      </c>
      <c r="I12918" s="46" t="s">
        <v>1927</v>
      </c>
      <c r="J12918" s="46" t="s">
        <v>134</v>
      </c>
      <c r="K12918" s="46" t="s">
        <v>126</v>
      </c>
      <c r="L12918" s="45">
        <v>46013.447916666664</v>
      </c>
      <c r="M12918" s="46" t="s">
        <v>123</v>
      </c>
      <c r="N12918" s="45">
        <v>46013.46875</v>
      </c>
      <c r="O12918" s="46" t="s">
        <v>123</v>
      </c>
      <c r="P12918" s="46">
        <v>1800.0</v>
      </c>
    </row>
    <row r="12919">
      <c r="A12919" s="40">
        <f t="shared" si="1"/>
        <v>46013</v>
      </c>
      <c r="B12919" s="37" t="str">
        <f t="array" ref="B12919">iferror(xlookup($I12919, 'IMPORT VHC Report'!$E:$E, 'IMPORT VHC Report'!$A:$C), )</f>
        <v/>
      </c>
      <c r="C12919" s="44"/>
      <c r="D12919" s="44"/>
      <c r="E12919" s="46" t="s">
        <v>8957</v>
      </c>
      <c r="F12919" s="46" t="s">
        <v>1925</v>
      </c>
      <c r="G12919" s="46">
        <v>3.61857411916E11</v>
      </c>
      <c r="H12919" s="46" t="s">
        <v>1926</v>
      </c>
      <c r="I12919" s="46" t="s">
        <v>1927</v>
      </c>
      <c r="J12919" s="46" t="s">
        <v>224</v>
      </c>
      <c r="K12919" s="46" t="s">
        <v>63</v>
      </c>
      <c r="L12919" s="45">
        <v>46014.166666666664</v>
      </c>
      <c r="M12919" s="46" t="s">
        <v>123</v>
      </c>
      <c r="N12919" s="45">
        <v>46014.291666666664</v>
      </c>
      <c r="O12919" s="46" t="s">
        <v>123</v>
      </c>
      <c r="P12919" s="46">
        <v>10800.0</v>
      </c>
    </row>
    <row r="12920">
      <c r="A12920" s="40">
        <f t="shared" si="1"/>
        <v>46013</v>
      </c>
      <c r="B12920" s="37" t="str">
        <f t="array" ref="B12920">iferror(xlookup($I12920, 'IMPORT VHC Report'!$E:$E, 'IMPORT VHC Report'!$A:$C), )</f>
        <v/>
      </c>
      <c r="C12920" s="44"/>
      <c r="D12920" s="44"/>
      <c r="E12920" s="46" t="s">
        <v>8958</v>
      </c>
      <c r="F12920" s="46" t="s">
        <v>1925</v>
      </c>
      <c r="G12920" s="46">
        <v>3.61857411916E11</v>
      </c>
      <c r="H12920" s="46" t="s">
        <v>1926</v>
      </c>
      <c r="I12920" s="46" t="s">
        <v>1927</v>
      </c>
      <c r="J12920" s="46" t="s">
        <v>132</v>
      </c>
      <c r="K12920" s="46" t="s">
        <v>126</v>
      </c>
      <c r="L12920" s="45">
        <v>46014.291666666664</v>
      </c>
      <c r="M12920" s="46" t="s">
        <v>123</v>
      </c>
      <c r="N12920" s="45">
        <v>46014.333333333336</v>
      </c>
      <c r="O12920" s="46" t="s">
        <v>123</v>
      </c>
      <c r="P12920" s="46">
        <v>3600.0</v>
      </c>
    </row>
    <row r="12921">
      <c r="A12921" s="40">
        <f t="shared" si="1"/>
        <v>46013</v>
      </c>
      <c r="B12921" s="37" t="str">
        <f t="array" ref="B12921">iferror(xlookup($I12921, 'IMPORT VHC Report'!$E:$E, 'IMPORT VHC Report'!$A:$C), )</f>
        <v/>
      </c>
      <c r="C12921" s="44"/>
      <c r="D12921" s="44"/>
      <c r="E12921" s="46" t="s">
        <v>8959</v>
      </c>
      <c r="F12921" s="46" t="s">
        <v>1925</v>
      </c>
      <c r="G12921" s="46">
        <v>3.61857411916E11</v>
      </c>
      <c r="H12921" s="46" t="s">
        <v>1926</v>
      </c>
      <c r="I12921" s="46" t="s">
        <v>1927</v>
      </c>
      <c r="J12921" s="46" t="s">
        <v>224</v>
      </c>
      <c r="K12921" s="46" t="s">
        <v>63</v>
      </c>
      <c r="L12921" s="45">
        <v>46014.291666666664</v>
      </c>
      <c r="M12921" s="46" t="s">
        <v>123</v>
      </c>
      <c r="N12921" s="45">
        <v>46014.541666666664</v>
      </c>
      <c r="O12921" s="46" t="s">
        <v>123</v>
      </c>
      <c r="P12921" s="46">
        <v>21600.0</v>
      </c>
    </row>
    <row r="12922">
      <c r="A12922" s="40">
        <f t="shared" si="1"/>
        <v>46013</v>
      </c>
      <c r="B12922" s="37" t="str">
        <f t="array" ref="B12922">iferror(xlookup($I12922, 'IMPORT VHC Report'!$E:$E, 'IMPORT VHC Report'!$A:$C), )</f>
        <v/>
      </c>
      <c r="C12922" s="44"/>
      <c r="D12922" s="44"/>
      <c r="E12922" s="46" t="s">
        <v>8960</v>
      </c>
      <c r="F12922" s="46" t="s">
        <v>1925</v>
      </c>
      <c r="G12922" s="46">
        <v>3.61857411916E11</v>
      </c>
      <c r="H12922" s="46" t="s">
        <v>1926</v>
      </c>
      <c r="I12922" s="46" t="s">
        <v>1927</v>
      </c>
      <c r="J12922" s="46" t="s">
        <v>134</v>
      </c>
      <c r="K12922" s="46" t="s">
        <v>126</v>
      </c>
      <c r="L12922" s="45">
        <v>46014.4375</v>
      </c>
      <c r="M12922" s="46" t="s">
        <v>123</v>
      </c>
      <c r="N12922" s="45">
        <v>46014.458333333336</v>
      </c>
      <c r="O12922" s="46" t="s">
        <v>123</v>
      </c>
      <c r="P12922" s="46">
        <v>1800.0</v>
      </c>
    </row>
    <row r="12923">
      <c r="A12923" s="40">
        <f t="shared" si="1"/>
        <v>46013</v>
      </c>
      <c r="B12923" s="37" t="str">
        <f t="array" ref="B12923">iferror(xlookup($I12923, 'IMPORT VHC Report'!$E:$E, 'IMPORT VHC Report'!$A:$C), )</f>
        <v/>
      </c>
      <c r="C12923" s="44"/>
      <c r="D12923" s="44"/>
      <c r="E12923" s="46" t="s">
        <v>8961</v>
      </c>
      <c r="F12923" s="46" t="s">
        <v>1925</v>
      </c>
      <c r="G12923" s="46">
        <v>3.61857411916E11</v>
      </c>
      <c r="H12923" s="46" t="s">
        <v>1926</v>
      </c>
      <c r="I12923" s="46" t="s">
        <v>1927</v>
      </c>
      <c r="J12923" s="46" t="s">
        <v>4</v>
      </c>
      <c r="K12923" s="46" t="s">
        <v>126</v>
      </c>
      <c r="L12923" s="45">
        <v>46014.510416666664</v>
      </c>
      <c r="M12923" s="46" t="s">
        <v>123</v>
      </c>
      <c r="N12923" s="45">
        <v>46014.53125</v>
      </c>
      <c r="O12923" s="46" t="s">
        <v>123</v>
      </c>
      <c r="P12923" s="46">
        <v>1800.0</v>
      </c>
      <c r="S12923" s="46" t="s">
        <v>8962</v>
      </c>
    </row>
    <row r="12924">
      <c r="A12924" s="40">
        <f t="shared" si="1"/>
        <v>46013</v>
      </c>
      <c r="B12924" s="37" t="str">
        <f t="array" ref="B12924">iferror(xlookup($I12924, 'IMPORT VHC Report'!$E:$E, 'IMPORT VHC Report'!$A:$C), )</f>
        <v/>
      </c>
      <c r="C12924" s="44"/>
      <c r="D12924" s="44"/>
      <c r="E12924" s="46" t="s">
        <v>8963</v>
      </c>
      <c r="F12924" s="46" t="s">
        <v>1925</v>
      </c>
      <c r="G12924" s="46">
        <v>3.61857411916E11</v>
      </c>
      <c r="H12924" s="46" t="s">
        <v>1926</v>
      </c>
      <c r="I12924" s="46" t="s">
        <v>1927</v>
      </c>
      <c r="J12924" s="46" t="s">
        <v>4</v>
      </c>
      <c r="K12924" s="46" t="s">
        <v>126</v>
      </c>
      <c r="L12924" s="45">
        <v>46014.510416666664</v>
      </c>
      <c r="M12924" s="46" t="s">
        <v>123</v>
      </c>
      <c r="N12924" s="45">
        <v>46014.53125</v>
      </c>
      <c r="O12924" s="46" t="s">
        <v>123</v>
      </c>
      <c r="P12924" s="46">
        <v>1800.0</v>
      </c>
      <c r="S12924" s="46" t="s">
        <v>8964</v>
      </c>
    </row>
    <row r="12925">
      <c r="A12925" s="40">
        <f t="shared" si="1"/>
        <v>46013</v>
      </c>
      <c r="B12925" s="37" t="str">
        <f t="array" ref="B12925">iferror(xlookup($I12925, 'IMPORT VHC Report'!$E:$E, 'IMPORT VHC Report'!$A:$C), )</f>
        <v/>
      </c>
      <c r="C12925" s="44"/>
      <c r="D12925" s="44"/>
      <c r="E12925" s="46" t="s">
        <v>8965</v>
      </c>
      <c r="F12925" s="46" t="s">
        <v>1925</v>
      </c>
      <c r="G12925" s="46">
        <v>3.61857411916E11</v>
      </c>
      <c r="H12925" s="46" t="s">
        <v>1926</v>
      </c>
      <c r="I12925" s="46" t="s">
        <v>1927</v>
      </c>
      <c r="J12925" s="46" t="s">
        <v>224</v>
      </c>
      <c r="K12925" s="46" t="s">
        <v>63</v>
      </c>
      <c r="L12925" s="45">
        <v>46015.166666666664</v>
      </c>
      <c r="M12925" s="46" t="s">
        <v>123</v>
      </c>
      <c r="N12925" s="45">
        <v>46015.208333333336</v>
      </c>
      <c r="O12925" s="46" t="s">
        <v>123</v>
      </c>
      <c r="P12925" s="46">
        <v>3600.0</v>
      </c>
    </row>
    <row r="12926">
      <c r="A12926" s="40">
        <f t="shared" si="1"/>
        <v>46013</v>
      </c>
      <c r="B12926" s="37" t="str">
        <f t="array" ref="B12926">iferror(xlookup($I12926, 'IMPORT VHC Report'!$E:$E, 'IMPORT VHC Report'!$A:$C), )</f>
        <v/>
      </c>
      <c r="C12926" s="44"/>
      <c r="D12926" s="44"/>
      <c r="E12926" s="46" t="s">
        <v>8966</v>
      </c>
      <c r="F12926" s="46" t="s">
        <v>1925</v>
      </c>
      <c r="G12926" s="46">
        <v>3.61857411916E11</v>
      </c>
      <c r="H12926" s="46" t="s">
        <v>1926</v>
      </c>
      <c r="I12926" s="46" t="s">
        <v>1927</v>
      </c>
      <c r="J12926" s="46" t="s">
        <v>178</v>
      </c>
      <c r="K12926" s="46" t="s">
        <v>153</v>
      </c>
      <c r="L12926" s="45">
        <v>46015.166666666664</v>
      </c>
      <c r="M12926" s="46" t="s">
        <v>123</v>
      </c>
      <c r="N12926" s="45">
        <v>46015.541666666664</v>
      </c>
      <c r="O12926" s="46" t="s">
        <v>123</v>
      </c>
      <c r="P12926" s="46">
        <v>32400.0</v>
      </c>
      <c r="Q12926" s="46">
        <v>32400.0</v>
      </c>
    </row>
    <row r="12927">
      <c r="A12927" s="40">
        <f t="shared" si="1"/>
        <v>46013</v>
      </c>
      <c r="B12927" s="37" t="str">
        <f t="array" ref="B12927">iferror(xlookup($I12927, 'IMPORT VHC Report'!$E:$E, 'IMPORT VHC Report'!$A:$C), )</f>
        <v/>
      </c>
      <c r="C12927" s="44"/>
      <c r="D12927" s="44"/>
      <c r="E12927" s="46" t="s">
        <v>8967</v>
      </c>
      <c r="F12927" s="46" t="s">
        <v>1925</v>
      </c>
      <c r="G12927" s="46">
        <v>3.61857411916E11</v>
      </c>
      <c r="H12927" s="46" t="s">
        <v>1926</v>
      </c>
      <c r="I12927" s="46" t="s">
        <v>1927</v>
      </c>
      <c r="J12927" s="46" t="s">
        <v>62</v>
      </c>
      <c r="K12927" s="46" t="s">
        <v>63</v>
      </c>
      <c r="L12927" s="45">
        <v>46015.208333333336</v>
      </c>
      <c r="M12927" s="46" t="s">
        <v>123</v>
      </c>
      <c r="N12927" s="45">
        <v>46015.229166666664</v>
      </c>
      <c r="O12927" s="46" t="s">
        <v>123</v>
      </c>
      <c r="P12927" s="46">
        <v>1800.0</v>
      </c>
    </row>
    <row r="12928">
      <c r="A12928" s="40">
        <f t="shared" si="1"/>
        <v>46013</v>
      </c>
      <c r="B12928" s="37" t="str">
        <f t="array" ref="B12928">iferror(xlookup($I12928, 'IMPORT VHC Report'!$E:$E, 'IMPORT VHC Report'!$A:$C), )</f>
        <v/>
      </c>
      <c r="C12928" s="44"/>
      <c r="D12928" s="44"/>
      <c r="E12928" s="46" t="s">
        <v>8968</v>
      </c>
      <c r="F12928" s="46" t="s">
        <v>1925</v>
      </c>
      <c r="G12928" s="46">
        <v>3.61857411916E11</v>
      </c>
      <c r="H12928" s="46" t="s">
        <v>1926</v>
      </c>
      <c r="I12928" s="46" t="s">
        <v>1927</v>
      </c>
      <c r="J12928" s="46" t="s">
        <v>224</v>
      </c>
      <c r="K12928" s="46" t="s">
        <v>63</v>
      </c>
      <c r="L12928" s="45">
        <v>46015.229166666664</v>
      </c>
      <c r="M12928" s="46" t="s">
        <v>123</v>
      </c>
      <c r="N12928" s="45">
        <v>46015.541666666664</v>
      </c>
      <c r="O12928" s="46" t="s">
        <v>123</v>
      </c>
      <c r="P12928" s="46">
        <v>27000.0</v>
      </c>
    </row>
    <row r="12929">
      <c r="A12929" s="40">
        <f t="shared" si="1"/>
        <v>46013</v>
      </c>
      <c r="B12929" s="37" t="str">
        <f t="array" ref="B12929">iferror(xlookup($I12929, 'IMPORT VHC Report'!$E:$E, 'IMPORT VHC Report'!$A:$C), )</f>
        <v/>
      </c>
      <c r="C12929" s="44"/>
      <c r="D12929" s="44"/>
      <c r="E12929" s="46" t="s">
        <v>8969</v>
      </c>
      <c r="F12929" s="46" t="s">
        <v>1925</v>
      </c>
      <c r="G12929" s="46">
        <v>3.61857411916E11</v>
      </c>
      <c r="H12929" s="46" t="s">
        <v>1926</v>
      </c>
      <c r="I12929" s="46" t="s">
        <v>1927</v>
      </c>
      <c r="J12929" s="46" t="s">
        <v>134</v>
      </c>
      <c r="K12929" s="46" t="s">
        <v>126</v>
      </c>
      <c r="L12929" s="45">
        <v>46015.270833333336</v>
      </c>
      <c r="M12929" s="46" t="s">
        <v>123</v>
      </c>
      <c r="N12929" s="45">
        <v>46015.291666666664</v>
      </c>
      <c r="O12929" s="46" t="s">
        <v>123</v>
      </c>
      <c r="P12929" s="46">
        <v>1800.0</v>
      </c>
    </row>
    <row r="12930">
      <c r="A12930" s="40">
        <f t="shared" si="1"/>
        <v>46013</v>
      </c>
      <c r="B12930" s="37" t="str">
        <f t="array" ref="B12930">iferror(xlookup($I12930, 'IMPORT VHC Report'!$E:$E, 'IMPORT VHC Report'!$A:$C), )</f>
        <v/>
      </c>
      <c r="C12930" s="44"/>
      <c r="D12930" s="44"/>
      <c r="E12930" s="46" t="s">
        <v>8970</v>
      </c>
      <c r="F12930" s="46" t="s">
        <v>1925</v>
      </c>
      <c r="G12930" s="46">
        <v>3.61857411916E11</v>
      </c>
      <c r="H12930" s="46" t="s">
        <v>1926</v>
      </c>
      <c r="I12930" s="46" t="s">
        <v>1927</v>
      </c>
      <c r="J12930" s="46" t="s">
        <v>132</v>
      </c>
      <c r="K12930" s="46" t="s">
        <v>126</v>
      </c>
      <c r="L12930" s="45">
        <v>46015.416666666664</v>
      </c>
      <c r="M12930" s="46" t="s">
        <v>123</v>
      </c>
      <c r="N12930" s="45">
        <v>46015.458333333336</v>
      </c>
      <c r="O12930" s="46" t="s">
        <v>123</v>
      </c>
      <c r="P12930" s="46">
        <v>3600.0</v>
      </c>
    </row>
    <row r="12931">
      <c r="A12931" s="40">
        <f t="shared" si="1"/>
        <v>46013</v>
      </c>
      <c r="B12931" s="37" t="str">
        <f t="array" ref="B12931">iferror(xlookup($I12931, 'IMPORT VHC Report'!$E:$E, 'IMPORT VHC Report'!$A:$C), )</f>
        <v/>
      </c>
      <c r="C12931" s="44"/>
      <c r="D12931" s="44"/>
      <c r="E12931" s="46" t="s">
        <v>8971</v>
      </c>
      <c r="F12931" s="46" t="s">
        <v>1925</v>
      </c>
      <c r="G12931" s="46">
        <v>3.61857411916E11</v>
      </c>
      <c r="H12931" s="46" t="s">
        <v>1926</v>
      </c>
      <c r="I12931" s="46" t="s">
        <v>1927</v>
      </c>
      <c r="J12931" s="46" t="s">
        <v>224</v>
      </c>
      <c r="K12931" s="46" t="s">
        <v>63</v>
      </c>
      <c r="L12931" s="45">
        <v>46016.166666666664</v>
      </c>
      <c r="M12931" s="46" t="s">
        <v>123</v>
      </c>
      <c r="N12931" s="45">
        <v>46016.291666666664</v>
      </c>
      <c r="O12931" s="46" t="s">
        <v>123</v>
      </c>
      <c r="P12931" s="46">
        <v>10800.0</v>
      </c>
    </row>
    <row r="12932">
      <c r="A12932" s="40">
        <f t="shared" si="1"/>
        <v>46013</v>
      </c>
      <c r="B12932" s="37" t="str">
        <f t="array" ref="B12932">iferror(xlookup($I12932, 'IMPORT VHC Report'!$E:$E, 'IMPORT VHC Report'!$A:$C), )</f>
        <v/>
      </c>
      <c r="C12932" s="44"/>
      <c r="D12932" s="44"/>
      <c r="E12932" s="46" t="s">
        <v>8972</v>
      </c>
      <c r="F12932" s="46" t="s">
        <v>1925</v>
      </c>
      <c r="G12932" s="46">
        <v>3.61857411916E11</v>
      </c>
      <c r="H12932" s="46" t="s">
        <v>1926</v>
      </c>
      <c r="I12932" s="46" t="s">
        <v>1927</v>
      </c>
      <c r="J12932" s="46" t="s">
        <v>178</v>
      </c>
      <c r="K12932" s="46" t="s">
        <v>153</v>
      </c>
      <c r="L12932" s="45">
        <v>46016.166666666664</v>
      </c>
      <c r="M12932" s="46" t="s">
        <v>123</v>
      </c>
      <c r="N12932" s="45">
        <v>46016.541666666664</v>
      </c>
      <c r="O12932" s="46" t="s">
        <v>123</v>
      </c>
      <c r="P12932" s="46">
        <v>32400.0</v>
      </c>
      <c r="Q12932" s="46">
        <v>32400.0</v>
      </c>
    </row>
    <row r="12933">
      <c r="A12933" s="40">
        <f t="shared" si="1"/>
        <v>46013</v>
      </c>
      <c r="B12933" s="37" t="str">
        <f t="array" ref="B12933">iferror(xlookup($I12933, 'IMPORT VHC Report'!$E:$E, 'IMPORT VHC Report'!$A:$C), )</f>
        <v/>
      </c>
      <c r="C12933" s="44"/>
      <c r="D12933" s="44"/>
      <c r="E12933" s="46" t="s">
        <v>8973</v>
      </c>
      <c r="F12933" s="46" t="s">
        <v>1925</v>
      </c>
      <c r="G12933" s="46">
        <v>3.61857411916E11</v>
      </c>
      <c r="H12933" s="46" t="s">
        <v>1926</v>
      </c>
      <c r="I12933" s="46" t="s">
        <v>1927</v>
      </c>
      <c r="J12933" s="46" t="s">
        <v>132</v>
      </c>
      <c r="K12933" s="46" t="s">
        <v>126</v>
      </c>
      <c r="L12933" s="45">
        <v>46016.291666666664</v>
      </c>
      <c r="M12933" s="46" t="s">
        <v>123</v>
      </c>
      <c r="N12933" s="45">
        <v>46016.333333333336</v>
      </c>
      <c r="O12933" s="46" t="s">
        <v>123</v>
      </c>
      <c r="P12933" s="46">
        <v>3600.0</v>
      </c>
    </row>
    <row r="12934">
      <c r="A12934" s="40">
        <f t="shared" si="1"/>
        <v>46013</v>
      </c>
      <c r="B12934" s="37" t="str">
        <f t="array" ref="B12934">iferror(xlookup($I12934, 'IMPORT VHC Report'!$E:$E, 'IMPORT VHC Report'!$A:$C), )</f>
        <v/>
      </c>
      <c r="C12934" s="44"/>
      <c r="D12934" s="44"/>
      <c r="E12934" s="46" t="s">
        <v>8974</v>
      </c>
      <c r="F12934" s="46" t="s">
        <v>1925</v>
      </c>
      <c r="G12934" s="46">
        <v>3.61857411916E11</v>
      </c>
      <c r="H12934" s="46" t="s">
        <v>1926</v>
      </c>
      <c r="I12934" s="46" t="s">
        <v>1927</v>
      </c>
      <c r="J12934" s="46" t="s">
        <v>224</v>
      </c>
      <c r="K12934" s="46" t="s">
        <v>63</v>
      </c>
      <c r="L12934" s="45">
        <v>46016.291666666664</v>
      </c>
      <c r="M12934" s="46" t="s">
        <v>123</v>
      </c>
      <c r="N12934" s="45">
        <v>46016.541666666664</v>
      </c>
      <c r="O12934" s="46" t="s">
        <v>123</v>
      </c>
      <c r="P12934" s="46">
        <v>21600.0</v>
      </c>
    </row>
    <row r="12935">
      <c r="A12935" s="40">
        <f t="shared" si="1"/>
        <v>46013</v>
      </c>
      <c r="B12935" s="37" t="str">
        <f t="array" ref="B12935">iferror(xlookup($I12935, 'IMPORT VHC Report'!$E:$E, 'IMPORT VHC Report'!$A:$C), )</f>
        <v/>
      </c>
      <c r="C12935" s="44"/>
      <c r="D12935" s="44"/>
      <c r="E12935" s="46" t="s">
        <v>8975</v>
      </c>
      <c r="F12935" s="46" t="s">
        <v>1925</v>
      </c>
      <c r="G12935" s="46">
        <v>3.61857411916E11</v>
      </c>
      <c r="H12935" s="46" t="s">
        <v>1926</v>
      </c>
      <c r="I12935" s="46" t="s">
        <v>1927</v>
      </c>
      <c r="J12935" s="46" t="s">
        <v>134</v>
      </c>
      <c r="K12935" s="46" t="s">
        <v>126</v>
      </c>
      <c r="L12935" s="45">
        <v>46016.458333333336</v>
      </c>
      <c r="M12935" s="46" t="s">
        <v>123</v>
      </c>
      <c r="N12935" s="45">
        <v>46016.479166666664</v>
      </c>
      <c r="O12935" s="46" t="s">
        <v>123</v>
      </c>
      <c r="P12935" s="46">
        <v>1800.0</v>
      </c>
    </row>
    <row r="12936">
      <c r="A12936" s="40">
        <f t="shared" si="1"/>
        <v>46013</v>
      </c>
      <c r="B12936" s="37" t="str">
        <f t="array" ref="B12936">iferror(xlookup($I12936, 'IMPORT VHC Report'!$E:$E, 'IMPORT VHC Report'!$A:$C), )</f>
        <v/>
      </c>
      <c r="C12936" s="44"/>
      <c r="D12936" s="44"/>
      <c r="E12936" s="46" t="s">
        <v>8976</v>
      </c>
      <c r="F12936" s="46" t="s">
        <v>1925</v>
      </c>
      <c r="G12936" s="46">
        <v>3.61857411916E11</v>
      </c>
      <c r="H12936" s="46" t="s">
        <v>1926</v>
      </c>
      <c r="I12936" s="46" t="s">
        <v>1927</v>
      </c>
      <c r="J12936" s="46" t="s">
        <v>224</v>
      </c>
      <c r="K12936" s="46" t="s">
        <v>63</v>
      </c>
      <c r="L12936" s="45">
        <v>46017.166666666664</v>
      </c>
      <c r="M12936" s="46" t="s">
        <v>123</v>
      </c>
      <c r="N12936" s="45">
        <v>46017.541666666664</v>
      </c>
      <c r="O12936" s="46" t="s">
        <v>123</v>
      </c>
      <c r="P12936" s="46">
        <v>32400.0</v>
      </c>
    </row>
    <row r="12937">
      <c r="A12937" s="40">
        <f t="shared" si="1"/>
        <v>46013</v>
      </c>
      <c r="B12937" s="37" t="str">
        <f t="array" ref="B12937">iferror(xlookup($I12937, 'IMPORT VHC Report'!$E:$E, 'IMPORT VHC Report'!$A:$C), )</f>
        <v/>
      </c>
      <c r="C12937" s="44"/>
      <c r="D12937" s="44"/>
      <c r="E12937" s="46" t="s">
        <v>8977</v>
      </c>
      <c r="F12937" s="46" t="s">
        <v>1925</v>
      </c>
      <c r="G12937" s="46">
        <v>3.61857411916E11</v>
      </c>
      <c r="H12937" s="46" t="s">
        <v>1926</v>
      </c>
      <c r="I12937" s="46" t="s">
        <v>1927</v>
      </c>
      <c r="J12937" s="46" t="s">
        <v>4</v>
      </c>
      <c r="K12937" s="46" t="s">
        <v>126</v>
      </c>
      <c r="L12937" s="45">
        <v>46017.18402777778</v>
      </c>
      <c r="M12937" s="46" t="s">
        <v>123</v>
      </c>
      <c r="N12937" s="45">
        <v>46017.208333333336</v>
      </c>
      <c r="O12937" s="46" t="s">
        <v>123</v>
      </c>
      <c r="P12937" s="46">
        <v>2100.0</v>
      </c>
      <c r="S12937" s="46" t="s">
        <v>8978</v>
      </c>
    </row>
    <row r="12938">
      <c r="A12938" s="40">
        <f t="shared" si="1"/>
        <v>46013</v>
      </c>
      <c r="B12938" s="37" t="str">
        <f t="array" ref="B12938">iferror(xlookup($I12938, 'IMPORT VHC Report'!$E:$E, 'IMPORT VHC Report'!$A:$C), )</f>
        <v/>
      </c>
      <c r="C12938" s="44"/>
      <c r="D12938" s="44"/>
      <c r="E12938" s="46" t="s">
        <v>8979</v>
      </c>
      <c r="F12938" s="46" t="s">
        <v>1925</v>
      </c>
      <c r="G12938" s="46">
        <v>3.61857411916E11</v>
      </c>
      <c r="H12938" s="46" t="s">
        <v>1926</v>
      </c>
      <c r="I12938" s="46" t="s">
        <v>1927</v>
      </c>
      <c r="J12938" s="46" t="s">
        <v>4</v>
      </c>
      <c r="K12938" s="46" t="s">
        <v>126</v>
      </c>
      <c r="L12938" s="45">
        <v>46017.229166666664</v>
      </c>
      <c r="M12938" s="46" t="s">
        <v>123</v>
      </c>
      <c r="N12938" s="45">
        <v>46017.245833333334</v>
      </c>
      <c r="O12938" s="46" t="s">
        <v>123</v>
      </c>
      <c r="P12938" s="46">
        <v>1440.0</v>
      </c>
      <c r="S12938" s="46" t="s">
        <v>8980</v>
      </c>
    </row>
    <row r="12939">
      <c r="A12939" s="40">
        <f t="shared" si="1"/>
        <v>46013</v>
      </c>
      <c r="B12939" s="37" t="str">
        <f t="array" ref="B12939">iferror(xlookup($I12939, 'IMPORT VHC Report'!$E:$E, 'IMPORT VHC Report'!$A:$C), )</f>
        <v/>
      </c>
      <c r="C12939" s="44"/>
      <c r="D12939" s="44"/>
      <c r="E12939" s="46" t="s">
        <v>8981</v>
      </c>
      <c r="F12939" s="46" t="s">
        <v>1925</v>
      </c>
      <c r="G12939" s="46">
        <v>3.61857411916E11</v>
      </c>
      <c r="H12939" s="46" t="s">
        <v>1926</v>
      </c>
      <c r="I12939" s="46" t="s">
        <v>1927</v>
      </c>
      <c r="J12939" s="46" t="s">
        <v>4</v>
      </c>
      <c r="K12939" s="46" t="s">
        <v>126</v>
      </c>
      <c r="L12939" s="45">
        <v>46017.270833333336</v>
      </c>
      <c r="M12939" s="46" t="s">
        <v>123</v>
      </c>
      <c r="N12939" s="45">
        <v>46017.302083333336</v>
      </c>
      <c r="O12939" s="46" t="s">
        <v>123</v>
      </c>
      <c r="P12939" s="46">
        <v>2700.0</v>
      </c>
      <c r="S12939" s="46" t="s">
        <v>8982</v>
      </c>
    </row>
    <row r="12940">
      <c r="A12940" s="40">
        <f t="shared" si="1"/>
        <v>46013</v>
      </c>
      <c r="B12940" s="37" t="str">
        <f t="array" ref="B12940">iferror(xlookup($I12940, 'IMPORT VHC Report'!$E:$E, 'IMPORT VHC Report'!$A:$C), )</f>
        <v/>
      </c>
      <c r="C12940" s="44"/>
      <c r="D12940" s="44"/>
      <c r="E12940" s="46" t="s">
        <v>8983</v>
      </c>
      <c r="F12940" s="46" t="s">
        <v>1925</v>
      </c>
      <c r="G12940" s="46">
        <v>3.61857411916E11</v>
      </c>
      <c r="H12940" s="46" t="s">
        <v>1926</v>
      </c>
      <c r="I12940" s="46" t="s">
        <v>1927</v>
      </c>
      <c r="J12940" s="46" t="s">
        <v>4</v>
      </c>
      <c r="K12940" s="46" t="s">
        <v>126</v>
      </c>
      <c r="L12940" s="45">
        <v>46017.3125</v>
      </c>
      <c r="M12940" s="46" t="s">
        <v>123</v>
      </c>
      <c r="N12940" s="45">
        <v>46017.32638888889</v>
      </c>
      <c r="O12940" s="46" t="s">
        <v>123</v>
      </c>
      <c r="P12940" s="46">
        <v>1200.0</v>
      </c>
      <c r="S12940" s="46" t="s">
        <v>8984</v>
      </c>
    </row>
    <row r="12941">
      <c r="A12941" s="40">
        <f t="shared" si="1"/>
        <v>46013</v>
      </c>
      <c r="B12941" s="37" t="str">
        <f t="array" ref="B12941">iferror(xlookup($I12941, 'IMPORT VHC Report'!$E:$E, 'IMPORT VHC Report'!$A:$C), )</f>
        <v/>
      </c>
      <c r="C12941" s="44"/>
      <c r="D12941" s="44"/>
      <c r="E12941" s="46" t="s">
        <v>8985</v>
      </c>
      <c r="F12941" s="46" t="s">
        <v>1925</v>
      </c>
      <c r="G12941" s="46">
        <v>3.61857411916E11</v>
      </c>
      <c r="H12941" s="46" t="s">
        <v>1926</v>
      </c>
      <c r="I12941" s="46" t="s">
        <v>1927</v>
      </c>
      <c r="J12941" s="46" t="s">
        <v>4</v>
      </c>
      <c r="K12941" s="46" t="s">
        <v>126</v>
      </c>
      <c r="L12941" s="45">
        <v>46017.375</v>
      </c>
      <c r="M12941" s="46" t="s">
        <v>123</v>
      </c>
      <c r="N12941" s="45">
        <v>46017.479166666664</v>
      </c>
      <c r="O12941" s="46" t="s">
        <v>123</v>
      </c>
      <c r="P12941" s="46">
        <v>9000.0</v>
      </c>
      <c r="S12941" s="46" t="s">
        <v>8986</v>
      </c>
    </row>
    <row r="12942">
      <c r="A12942" s="40">
        <f t="shared" si="1"/>
        <v>46013</v>
      </c>
      <c r="B12942" s="37" t="str">
        <f t="array" ref="B12942">iferror(xlookup($I12942, 'IMPORT VHC Report'!$E:$E, 'IMPORT VHC Report'!$A:$C), )</f>
        <v/>
      </c>
      <c r="C12942" s="44"/>
      <c r="D12942" s="44"/>
      <c r="E12942" s="46" t="s">
        <v>8987</v>
      </c>
      <c r="F12942" s="46" t="s">
        <v>1925</v>
      </c>
      <c r="G12942" s="46">
        <v>3.61857411916E11</v>
      </c>
      <c r="H12942" s="46" t="s">
        <v>1926</v>
      </c>
      <c r="I12942" s="46" t="s">
        <v>1927</v>
      </c>
      <c r="J12942" s="46" t="s">
        <v>134</v>
      </c>
      <c r="K12942" s="46" t="s">
        <v>126</v>
      </c>
      <c r="L12942" s="45">
        <v>46017.479166666664</v>
      </c>
      <c r="M12942" s="46" t="s">
        <v>123</v>
      </c>
      <c r="N12942" s="45">
        <v>46017.5</v>
      </c>
      <c r="O12942" s="46" t="s">
        <v>123</v>
      </c>
      <c r="P12942" s="46">
        <v>1800.0</v>
      </c>
    </row>
    <row r="12943">
      <c r="A12943" s="40">
        <f t="shared" si="1"/>
        <v>46013</v>
      </c>
      <c r="B12943" s="37" t="str">
        <f t="array" ref="B12943">iferror(xlookup($I12943, 'IMPORT VHC Report'!$E:$E, 'IMPORT VHC Report'!$A:$C), )</f>
        <v/>
      </c>
      <c r="C12943" s="44"/>
      <c r="D12943" s="44"/>
      <c r="E12943" s="46" t="s">
        <v>8988</v>
      </c>
      <c r="F12943" s="46" t="s">
        <v>1925</v>
      </c>
      <c r="G12943" s="46">
        <v>3.61857411916E11</v>
      </c>
      <c r="H12943" s="46" t="s">
        <v>1926</v>
      </c>
      <c r="I12943" s="46" t="s">
        <v>1927</v>
      </c>
      <c r="J12943" s="46" t="s">
        <v>132</v>
      </c>
      <c r="K12943" s="46" t="s">
        <v>126</v>
      </c>
      <c r="L12943" s="45">
        <v>46017.5</v>
      </c>
      <c r="M12943" s="46" t="s">
        <v>123</v>
      </c>
      <c r="N12943" s="45">
        <v>46017.541666666664</v>
      </c>
      <c r="O12943" s="46" t="s">
        <v>123</v>
      </c>
      <c r="P12943" s="46">
        <v>3600.0</v>
      </c>
    </row>
    <row r="12944">
      <c r="A12944" s="40">
        <f t="shared" si="1"/>
        <v>46013</v>
      </c>
      <c r="B12944" s="37" t="str">
        <f t="array" ref="B12944">iferror(xlookup($I12944, 'IMPORT VHC Report'!$E:$E, 'IMPORT VHC Report'!$A:$C), )</f>
        <v/>
      </c>
      <c r="C12944" s="44"/>
      <c r="D12944" s="44"/>
      <c r="E12944" s="46" t="s">
        <v>8989</v>
      </c>
      <c r="F12944" s="46" t="s">
        <v>2032</v>
      </c>
      <c r="G12944" s="46">
        <v>3.61857411736E11</v>
      </c>
      <c r="H12944" s="46" t="s">
        <v>2033</v>
      </c>
      <c r="I12944" s="46" t="s">
        <v>2034</v>
      </c>
      <c r="J12944" s="46" t="s">
        <v>224</v>
      </c>
      <c r="K12944" s="46" t="s">
        <v>63</v>
      </c>
      <c r="L12944" s="45">
        <v>46013.166666666664</v>
      </c>
      <c r="M12944" s="46" t="s">
        <v>123</v>
      </c>
      <c r="N12944" s="45">
        <v>46013.260416666664</v>
      </c>
      <c r="O12944" s="46" t="s">
        <v>123</v>
      </c>
      <c r="P12944" s="46">
        <v>8100.0</v>
      </c>
    </row>
    <row r="12945">
      <c r="A12945" s="40">
        <f t="shared" si="1"/>
        <v>46013</v>
      </c>
      <c r="B12945" s="37" t="str">
        <f t="array" ref="B12945">iferror(xlookup($I12945, 'IMPORT VHC Report'!$E:$E, 'IMPORT VHC Report'!$A:$C), )</f>
        <v/>
      </c>
      <c r="C12945" s="44"/>
      <c r="D12945" s="44"/>
      <c r="E12945" s="46" t="s">
        <v>8990</v>
      </c>
      <c r="F12945" s="46" t="s">
        <v>2032</v>
      </c>
      <c r="G12945" s="46">
        <v>3.61857411736E11</v>
      </c>
      <c r="H12945" s="46" t="s">
        <v>2033</v>
      </c>
      <c r="I12945" s="46" t="s">
        <v>2034</v>
      </c>
      <c r="J12945" s="46" t="s">
        <v>224</v>
      </c>
      <c r="K12945" s="46" t="s">
        <v>63</v>
      </c>
      <c r="L12945" s="45">
        <v>46013.260416666664</v>
      </c>
      <c r="M12945" s="46" t="s">
        <v>123</v>
      </c>
      <c r="N12945" s="45">
        <v>46013.541666666664</v>
      </c>
      <c r="O12945" s="46" t="s">
        <v>123</v>
      </c>
      <c r="P12945" s="46">
        <v>24300.0</v>
      </c>
    </row>
    <row r="12946">
      <c r="A12946" s="40">
        <f t="shared" si="1"/>
        <v>46013</v>
      </c>
      <c r="B12946" s="37" t="str">
        <f t="array" ref="B12946">iferror(xlookup($I12946, 'IMPORT VHC Report'!$E:$E, 'IMPORT VHC Report'!$A:$C), )</f>
        <v/>
      </c>
      <c r="C12946" s="44"/>
      <c r="D12946" s="44"/>
      <c r="E12946" s="46" t="s">
        <v>8991</v>
      </c>
      <c r="F12946" s="46" t="s">
        <v>2032</v>
      </c>
      <c r="G12946" s="46">
        <v>3.61857411736E11</v>
      </c>
      <c r="H12946" s="46" t="s">
        <v>2033</v>
      </c>
      <c r="I12946" s="46" t="s">
        <v>2034</v>
      </c>
      <c r="J12946" s="46" t="s">
        <v>134</v>
      </c>
      <c r="K12946" s="46" t="s">
        <v>126</v>
      </c>
      <c r="L12946" s="45">
        <v>46013.270833333336</v>
      </c>
      <c r="M12946" s="46" t="s">
        <v>123</v>
      </c>
      <c r="N12946" s="45">
        <v>46013.291666666664</v>
      </c>
      <c r="O12946" s="46" t="s">
        <v>123</v>
      </c>
      <c r="P12946" s="46">
        <v>1800.0</v>
      </c>
    </row>
    <row r="12947">
      <c r="A12947" s="40">
        <f t="shared" si="1"/>
        <v>46013</v>
      </c>
      <c r="B12947" s="37" t="str">
        <f t="array" ref="B12947">iferror(xlookup($I12947, 'IMPORT VHC Report'!$E:$E, 'IMPORT VHC Report'!$A:$C), )</f>
        <v/>
      </c>
      <c r="C12947" s="44"/>
      <c r="D12947" s="44"/>
      <c r="E12947" s="46" t="s">
        <v>8992</v>
      </c>
      <c r="F12947" s="46" t="s">
        <v>2032</v>
      </c>
      <c r="G12947" s="46">
        <v>3.61857411736E11</v>
      </c>
      <c r="H12947" s="46" t="s">
        <v>2033</v>
      </c>
      <c r="I12947" s="46" t="s">
        <v>2034</v>
      </c>
      <c r="J12947" s="46" t="s">
        <v>136</v>
      </c>
      <c r="K12947" s="46" t="s">
        <v>126</v>
      </c>
      <c r="L12947" s="45">
        <v>46013.375</v>
      </c>
      <c r="M12947" s="46" t="s">
        <v>123</v>
      </c>
      <c r="N12947" s="45">
        <v>46013.395833333336</v>
      </c>
      <c r="O12947" s="46" t="s">
        <v>123</v>
      </c>
      <c r="P12947" s="46">
        <v>1800.0</v>
      </c>
    </row>
    <row r="12948">
      <c r="A12948" s="40">
        <f t="shared" si="1"/>
        <v>46013</v>
      </c>
      <c r="B12948" s="37" t="str">
        <f t="array" ref="B12948">iferror(xlookup($I12948, 'IMPORT VHC Report'!$E:$E, 'IMPORT VHC Report'!$A:$C), )</f>
        <v/>
      </c>
      <c r="C12948" s="44"/>
      <c r="D12948" s="44"/>
      <c r="E12948" s="46" t="s">
        <v>8993</v>
      </c>
      <c r="F12948" s="46" t="s">
        <v>2032</v>
      </c>
      <c r="G12948" s="46">
        <v>3.61857411736E11</v>
      </c>
      <c r="H12948" s="46" t="s">
        <v>2033</v>
      </c>
      <c r="I12948" s="46" t="s">
        <v>2034</v>
      </c>
      <c r="J12948" s="46" t="s">
        <v>132</v>
      </c>
      <c r="K12948" s="46" t="s">
        <v>126</v>
      </c>
      <c r="L12948" s="45">
        <v>46013.5</v>
      </c>
      <c r="M12948" s="46" t="s">
        <v>123</v>
      </c>
      <c r="N12948" s="45">
        <v>46013.541666666664</v>
      </c>
      <c r="O12948" s="46" t="s">
        <v>123</v>
      </c>
      <c r="P12948" s="46">
        <v>3600.0</v>
      </c>
    </row>
    <row r="12949">
      <c r="A12949" s="40">
        <f t="shared" si="1"/>
        <v>46013</v>
      </c>
      <c r="B12949" s="37" t="str">
        <f t="array" ref="B12949">iferror(xlookup($I12949, 'IMPORT VHC Report'!$E:$E, 'IMPORT VHC Report'!$A:$C), )</f>
        <v/>
      </c>
      <c r="C12949" s="44"/>
      <c r="D12949" s="44"/>
      <c r="E12949" s="46" t="s">
        <v>8994</v>
      </c>
      <c r="F12949" s="46" t="s">
        <v>2032</v>
      </c>
      <c r="G12949" s="46">
        <v>3.61857411736E11</v>
      </c>
      <c r="H12949" s="46" t="s">
        <v>2033</v>
      </c>
      <c r="I12949" s="46" t="s">
        <v>2034</v>
      </c>
      <c r="J12949" s="46" t="s">
        <v>178</v>
      </c>
      <c r="K12949" s="46" t="s">
        <v>153</v>
      </c>
      <c r="L12949" s="45">
        <v>46014.166666666664</v>
      </c>
      <c r="M12949" s="46" t="s">
        <v>123</v>
      </c>
      <c r="N12949" s="45">
        <v>46014.541666666664</v>
      </c>
      <c r="O12949" s="46" t="s">
        <v>123</v>
      </c>
      <c r="P12949" s="46">
        <v>32400.0</v>
      </c>
      <c r="Q12949" s="46">
        <v>32400.0</v>
      </c>
    </row>
    <row r="12950">
      <c r="A12950" s="40">
        <f t="shared" si="1"/>
        <v>46013</v>
      </c>
      <c r="B12950" s="37" t="str">
        <f t="array" ref="B12950">iferror(xlookup($I12950, 'IMPORT VHC Report'!$E:$E, 'IMPORT VHC Report'!$A:$C), )</f>
        <v/>
      </c>
      <c r="C12950" s="44"/>
      <c r="D12950" s="44"/>
      <c r="E12950" s="46" t="s">
        <v>8995</v>
      </c>
      <c r="F12950" s="46" t="s">
        <v>2032</v>
      </c>
      <c r="G12950" s="46">
        <v>3.61857411736E11</v>
      </c>
      <c r="H12950" s="46" t="s">
        <v>2033</v>
      </c>
      <c r="I12950" s="46" t="s">
        <v>2034</v>
      </c>
      <c r="J12950" s="46" t="s">
        <v>134</v>
      </c>
      <c r="K12950" s="46" t="s">
        <v>126</v>
      </c>
      <c r="L12950" s="45">
        <v>46014.25</v>
      </c>
      <c r="M12950" s="46" t="s">
        <v>123</v>
      </c>
      <c r="N12950" s="45">
        <v>46014.270833333336</v>
      </c>
      <c r="O12950" s="46" t="s">
        <v>123</v>
      </c>
      <c r="P12950" s="46">
        <v>1800.0</v>
      </c>
    </row>
    <row r="12951">
      <c r="A12951" s="40">
        <f t="shared" si="1"/>
        <v>46013</v>
      </c>
      <c r="B12951" s="37" t="str">
        <f t="array" ref="B12951">iferror(xlookup($I12951, 'IMPORT VHC Report'!$E:$E, 'IMPORT VHC Report'!$A:$C), )</f>
        <v/>
      </c>
      <c r="C12951" s="44"/>
      <c r="D12951" s="44"/>
      <c r="E12951" s="46" t="s">
        <v>8996</v>
      </c>
      <c r="F12951" s="46" t="s">
        <v>2032</v>
      </c>
      <c r="G12951" s="46">
        <v>3.61857411736E11</v>
      </c>
      <c r="H12951" s="46" t="s">
        <v>2033</v>
      </c>
      <c r="I12951" s="46" t="s">
        <v>2034</v>
      </c>
      <c r="J12951" s="46" t="s">
        <v>132</v>
      </c>
      <c r="K12951" s="46" t="s">
        <v>126</v>
      </c>
      <c r="L12951" s="45">
        <v>46014.395833333336</v>
      </c>
      <c r="M12951" s="46" t="s">
        <v>123</v>
      </c>
      <c r="N12951" s="45">
        <v>46014.4375</v>
      </c>
      <c r="O12951" s="46" t="s">
        <v>123</v>
      </c>
      <c r="P12951" s="46">
        <v>3600.0</v>
      </c>
    </row>
    <row r="12952">
      <c r="A12952" s="40">
        <f t="shared" si="1"/>
        <v>46013</v>
      </c>
      <c r="B12952" s="37" t="str">
        <f t="array" ref="B12952">iferror(xlookup($I12952, 'IMPORT VHC Report'!$E:$E, 'IMPORT VHC Report'!$A:$C), )</f>
        <v/>
      </c>
      <c r="C12952" s="44"/>
      <c r="D12952" s="44"/>
      <c r="E12952" s="46" t="s">
        <v>8997</v>
      </c>
      <c r="F12952" s="46" t="s">
        <v>2032</v>
      </c>
      <c r="G12952" s="46">
        <v>3.61857411736E11</v>
      </c>
      <c r="H12952" s="46" t="s">
        <v>2033</v>
      </c>
      <c r="I12952" s="46" t="s">
        <v>2034</v>
      </c>
      <c r="J12952" s="46" t="s">
        <v>224</v>
      </c>
      <c r="K12952" s="46" t="s">
        <v>63</v>
      </c>
      <c r="L12952" s="45">
        <v>46015.166666666664</v>
      </c>
      <c r="M12952" s="46" t="s">
        <v>123</v>
      </c>
      <c r="N12952" s="45">
        <v>46015.208333333336</v>
      </c>
      <c r="O12952" s="46" t="s">
        <v>123</v>
      </c>
      <c r="P12952" s="46">
        <v>3600.0</v>
      </c>
    </row>
    <row r="12953">
      <c r="A12953" s="40">
        <f t="shared" si="1"/>
        <v>46013</v>
      </c>
      <c r="B12953" s="37" t="str">
        <f t="array" ref="B12953">iferror(xlookup($I12953, 'IMPORT VHC Report'!$E:$E, 'IMPORT VHC Report'!$A:$C), )</f>
        <v/>
      </c>
      <c r="C12953" s="44"/>
      <c r="D12953" s="44"/>
      <c r="E12953" s="46" t="s">
        <v>8998</v>
      </c>
      <c r="F12953" s="46" t="s">
        <v>2032</v>
      </c>
      <c r="G12953" s="46">
        <v>3.61857411736E11</v>
      </c>
      <c r="H12953" s="46" t="s">
        <v>2033</v>
      </c>
      <c r="I12953" s="46" t="s">
        <v>2034</v>
      </c>
      <c r="J12953" s="46" t="s">
        <v>62</v>
      </c>
      <c r="K12953" s="46" t="s">
        <v>63</v>
      </c>
      <c r="L12953" s="45">
        <v>46015.208333333336</v>
      </c>
      <c r="M12953" s="46" t="s">
        <v>123</v>
      </c>
      <c r="N12953" s="45">
        <v>46015.229166666664</v>
      </c>
      <c r="O12953" s="46" t="s">
        <v>123</v>
      </c>
      <c r="P12953" s="46">
        <v>1800.0</v>
      </c>
    </row>
    <row r="12954">
      <c r="A12954" s="40">
        <f t="shared" si="1"/>
        <v>46013</v>
      </c>
      <c r="B12954" s="37" t="str">
        <f t="array" ref="B12954">iferror(xlookup($I12954, 'IMPORT VHC Report'!$E:$E, 'IMPORT VHC Report'!$A:$C), )</f>
        <v/>
      </c>
      <c r="C12954" s="44"/>
      <c r="D12954" s="44"/>
      <c r="E12954" s="46" t="s">
        <v>8999</v>
      </c>
      <c r="F12954" s="46" t="s">
        <v>2032</v>
      </c>
      <c r="G12954" s="46">
        <v>3.61857411736E11</v>
      </c>
      <c r="H12954" s="46" t="s">
        <v>2033</v>
      </c>
      <c r="I12954" s="46" t="s">
        <v>2034</v>
      </c>
      <c r="J12954" s="46" t="s">
        <v>224</v>
      </c>
      <c r="K12954" s="46" t="s">
        <v>63</v>
      </c>
      <c r="L12954" s="45">
        <v>46015.229166666664</v>
      </c>
      <c r="M12954" s="46" t="s">
        <v>123</v>
      </c>
      <c r="N12954" s="45">
        <v>46015.541666666664</v>
      </c>
      <c r="O12954" s="46" t="s">
        <v>123</v>
      </c>
      <c r="P12954" s="46">
        <v>27000.0</v>
      </c>
    </row>
    <row r="12955">
      <c r="A12955" s="40">
        <f t="shared" si="1"/>
        <v>46013</v>
      </c>
      <c r="B12955" s="37" t="str">
        <f t="array" ref="B12955">iferror(xlookup($I12955, 'IMPORT VHC Report'!$E:$E, 'IMPORT VHC Report'!$A:$C), )</f>
        <v/>
      </c>
      <c r="C12955" s="44"/>
      <c r="D12955" s="44"/>
      <c r="E12955" s="46" t="s">
        <v>9000</v>
      </c>
      <c r="F12955" s="46" t="s">
        <v>2032</v>
      </c>
      <c r="G12955" s="46">
        <v>3.61857411736E11</v>
      </c>
      <c r="H12955" s="46" t="s">
        <v>2033</v>
      </c>
      <c r="I12955" s="46" t="s">
        <v>2034</v>
      </c>
      <c r="J12955" s="46" t="s">
        <v>132</v>
      </c>
      <c r="K12955" s="46" t="s">
        <v>126</v>
      </c>
      <c r="L12955" s="45">
        <v>46015.302083333336</v>
      </c>
      <c r="M12955" s="46" t="s">
        <v>123</v>
      </c>
      <c r="N12955" s="45">
        <v>46015.34375</v>
      </c>
      <c r="O12955" s="46" t="s">
        <v>123</v>
      </c>
      <c r="P12955" s="46">
        <v>3600.0</v>
      </c>
    </row>
    <row r="12956">
      <c r="A12956" s="40">
        <f t="shared" si="1"/>
        <v>46013</v>
      </c>
      <c r="B12956" s="37" t="str">
        <f t="array" ref="B12956">iferror(xlookup($I12956, 'IMPORT VHC Report'!$E:$E, 'IMPORT VHC Report'!$A:$C), )</f>
        <v/>
      </c>
      <c r="C12956" s="44"/>
      <c r="D12956" s="44"/>
      <c r="E12956" s="46" t="s">
        <v>9001</v>
      </c>
      <c r="F12956" s="46" t="s">
        <v>2032</v>
      </c>
      <c r="G12956" s="46">
        <v>3.61857411736E11</v>
      </c>
      <c r="H12956" s="46" t="s">
        <v>2033</v>
      </c>
      <c r="I12956" s="46" t="s">
        <v>2034</v>
      </c>
      <c r="J12956" s="46" t="s">
        <v>134</v>
      </c>
      <c r="K12956" s="46" t="s">
        <v>126</v>
      </c>
      <c r="L12956" s="45">
        <v>46015.458333333336</v>
      </c>
      <c r="M12956" s="46" t="s">
        <v>123</v>
      </c>
      <c r="N12956" s="45">
        <v>46015.479166666664</v>
      </c>
      <c r="O12956" s="46" t="s">
        <v>123</v>
      </c>
      <c r="P12956" s="46">
        <v>1800.0</v>
      </c>
    </row>
    <row r="12957">
      <c r="A12957" s="40">
        <f t="shared" si="1"/>
        <v>46013</v>
      </c>
      <c r="B12957" s="37" t="str">
        <f t="array" ref="B12957">iferror(xlookup($I12957, 'IMPORT VHC Report'!$E:$E, 'IMPORT VHC Report'!$A:$C), )</f>
        <v/>
      </c>
      <c r="C12957" s="44"/>
      <c r="D12957" s="44"/>
      <c r="E12957" s="46" t="s">
        <v>9002</v>
      </c>
      <c r="F12957" s="46" t="s">
        <v>2032</v>
      </c>
      <c r="G12957" s="46">
        <v>3.61857411736E11</v>
      </c>
      <c r="H12957" s="46" t="s">
        <v>2033</v>
      </c>
      <c r="I12957" s="46" t="s">
        <v>2034</v>
      </c>
      <c r="J12957" s="46" t="s">
        <v>4</v>
      </c>
      <c r="K12957" s="46" t="s">
        <v>126</v>
      </c>
      <c r="L12957" s="45">
        <v>46015.493055555555</v>
      </c>
      <c r="M12957" s="46" t="s">
        <v>123</v>
      </c>
      <c r="N12957" s="45">
        <v>46015.510416666664</v>
      </c>
      <c r="O12957" s="46" t="s">
        <v>123</v>
      </c>
      <c r="P12957" s="46">
        <v>1500.0</v>
      </c>
      <c r="S12957" s="46" t="s">
        <v>9003</v>
      </c>
    </row>
    <row r="12958">
      <c r="A12958" s="40">
        <f t="shared" si="1"/>
        <v>46013</v>
      </c>
      <c r="B12958" s="37" t="str">
        <f t="array" ref="B12958">iferror(xlookup($I12958, 'IMPORT VHC Report'!$E:$E, 'IMPORT VHC Report'!$A:$C), )</f>
        <v/>
      </c>
      <c r="C12958" s="44"/>
      <c r="D12958" s="44"/>
      <c r="E12958" s="46" t="s">
        <v>9004</v>
      </c>
      <c r="F12958" s="46" t="s">
        <v>2032</v>
      </c>
      <c r="G12958" s="46">
        <v>3.61857411736E11</v>
      </c>
      <c r="H12958" s="46" t="s">
        <v>2033</v>
      </c>
      <c r="I12958" s="46" t="s">
        <v>2034</v>
      </c>
      <c r="J12958" s="46" t="s">
        <v>125</v>
      </c>
      <c r="K12958" s="46" t="s">
        <v>126</v>
      </c>
      <c r="L12958" s="45">
        <v>46015.520833333336</v>
      </c>
      <c r="M12958" s="46" t="s">
        <v>123</v>
      </c>
      <c r="N12958" s="45">
        <v>46015.541666666664</v>
      </c>
      <c r="O12958" s="46" t="s">
        <v>123</v>
      </c>
      <c r="P12958" s="46">
        <v>1800.0</v>
      </c>
    </row>
    <row r="12959">
      <c r="A12959" s="40">
        <f t="shared" si="1"/>
        <v>46013</v>
      </c>
      <c r="B12959" s="37" t="str">
        <f t="array" ref="B12959">iferror(xlookup($I12959, 'IMPORT VHC Report'!$E:$E, 'IMPORT VHC Report'!$A:$C), )</f>
        <v/>
      </c>
      <c r="C12959" s="44"/>
      <c r="D12959" s="44"/>
      <c r="E12959" s="46" t="s">
        <v>9005</v>
      </c>
      <c r="F12959" s="46" t="s">
        <v>2032</v>
      </c>
      <c r="G12959" s="46">
        <v>3.61857411736E11</v>
      </c>
      <c r="H12959" s="46" t="s">
        <v>2033</v>
      </c>
      <c r="I12959" s="46" t="s">
        <v>2034</v>
      </c>
      <c r="J12959" s="46" t="s">
        <v>224</v>
      </c>
      <c r="K12959" s="46" t="s">
        <v>63</v>
      </c>
      <c r="L12959" s="45">
        <v>46016.166666666664</v>
      </c>
      <c r="M12959" s="46" t="s">
        <v>123</v>
      </c>
      <c r="N12959" s="45">
        <v>46016.270833333336</v>
      </c>
      <c r="O12959" s="46" t="s">
        <v>123</v>
      </c>
      <c r="P12959" s="46">
        <v>9000.0</v>
      </c>
    </row>
    <row r="12960">
      <c r="A12960" s="40">
        <f t="shared" si="1"/>
        <v>46013</v>
      </c>
      <c r="B12960" s="37" t="str">
        <f t="array" ref="B12960">iferror(xlookup($I12960, 'IMPORT VHC Report'!$E:$E, 'IMPORT VHC Report'!$A:$C), )</f>
        <v/>
      </c>
      <c r="C12960" s="44"/>
      <c r="D12960" s="44"/>
      <c r="E12960" s="46" t="s">
        <v>9006</v>
      </c>
      <c r="F12960" s="46" t="s">
        <v>2032</v>
      </c>
      <c r="G12960" s="46">
        <v>3.61857411736E11</v>
      </c>
      <c r="H12960" s="46" t="s">
        <v>2033</v>
      </c>
      <c r="I12960" s="46" t="s">
        <v>2034</v>
      </c>
      <c r="J12960" s="46" t="s">
        <v>134</v>
      </c>
      <c r="K12960" s="46" t="s">
        <v>126</v>
      </c>
      <c r="L12960" s="45">
        <v>46016.270833333336</v>
      </c>
      <c r="M12960" s="46" t="s">
        <v>123</v>
      </c>
      <c r="N12960" s="45">
        <v>46016.291666666664</v>
      </c>
      <c r="O12960" s="46" t="s">
        <v>123</v>
      </c>
      <c r="P12960" s="46">
        <v>1800.0</v>
      </c>
    </row>
    <row r="12961">
      <c r="A12961" s="40">
        <f t="shared" si="1"/>
        <v>46013</v>
      </c>
      <c r="B12961" s="37" t="str">
        <f t="array" ref="B12961">iferror(xlookup($I12961, 'IMPORT VHC Report'!$E:$E, 'IMPORT VHC Report'!$A:$C), )</f>
        <v/>
      </c>
      <c r="C12961" s="44"/>
      <c r="D12961" s="44"/>
      <c r="E12961" s="46" t="s">
        <v>9007</v>
      </c>
      <c r="F12961" s="46" t="s">
        <v>2032</v>
      </c>
      <c r="G12961" s="46">
        <v>3.61857411736E11</v>
      </c>
      <c r="H12961" s="46" t="s">
        <v>2033</v>
      </c>
      <c r="I12961" s="46" t="s">
        <v>2034</v>
      </c>
      <c r="J12961" s="46" t="s">
        <v>224</v>
      </c>
      <c r="K12961" s="46" t="s">
        <v>63</v>
      </c>
      <c r="L12961" s="45">
        <v>46016.270833333336</v>
      </c>
      <c r="M12961" s="46" t="s">
        <v>123</v>
      </c>
      <c r="N12961" s="45">
        <v>46016.541666666664</v>
      </c>
      <c r="O12961" s="46" t="s">
        <v>123</v>
      </c>
      <c r="P12961" s="46">
        <v>23400.0</v>
      </c>
    </row>
    <row r="12962">
      <c r="A12962" s="40">
        <f t="shared" si="1"/>
        <v>46013</v>
      </c>
      <c r="B12962" s="37" t="str">
        <f t="array" ref="B12962">iferror(xlookup($I12962, 'IMPORT VHC Report'!$E:$E, 'IMPORT VHC Report'!$A:$C), )</f>
        <v/>
      </c>
      <c r="C12962" s="44"/>
      <c r="D12962" s="44"/>
      <c r="E12962" s="46" t="s">
        <v>9008</v>
      </c>
      <c r="F12962" s="46" t="s">
        <v>2032</v>
      </c>
      <c r="G12962" s="46">
        <v>3.61857411736E11</v>
      </c>
      <c r="H12962" s="46" t="s">
        <v>2033</v>
      </c>
      <c r="I12962" s="46" t="s">
        <v>2034</v>
      </c>
      <c r="J12962" s="46" t="s">
        <v>132</v>
      </c>
      <c r="K12962" s="46" t="s">
        <v>126</v>
      </c>
      <c r="L12962" s="45">
        <v>46016.40625</v>
      </c>
      <c r="M12962" s="46" t="s">
        <v>123</v>
      </c>
      <c r="N12962" s="45">
        <v>46016.447916666664</v>
      </c>
      <c r="O12962" s="46" t="s">
        <v>123</v>
      </c>
      <c r="P12962" s="46">
        <v>3600.0</v>
      </c>
    </row>
    <row r="12963">
      <c r="A12963" s="40">
        <f t="shared" si="1"/>
        <v>46013</v>
      </c>
      <c r="B12963" s="37" t="str">
        <f t="array" ref="B12963">iferror(xlookup($I12963, 'IMPORT VHC Report'!$E:$E, 'IMPORT VHC Report'!$A:$C), )</f>
        <v/>
      </c>
      <c r="C12963" s="44"/>
      <c r="D12963" s="44"/>
      <c r="E12963" s="46" t="s">
        <v>9009</v>
      </c>
      <c r="F12963" s="46" t="s">
        <v>2032</v>
      </c>
      <c r="G12963" s="46">
        <v>3.61857411736E11</v>
      </c>
      <c r="H12963" s="46" t="s">
        <v>2033</v>
      </c>
      <c r="I12963" s="46" t="s">
        <v>2034</v>
      </c>
      <c r="J12963" s="46" t="s">
        <v>4</v>
      </c>
      <c r="K12963" s="46" t="s">
        <v>126</v>
      </c>
      <c r="L12963" s="45">
        <v>46016.45694444444</v>
      </c>
      <c r="M12963" s="46" t="s">
        <v>123</v>
      </c>
      <c r="N12963" s="45">
        <v>46016.47152777778</v>
      </c>
      <c r="O12963" s="46" t="s">
        <v>123</v>
      </c>
      <c r="P12963" s="46">
        <v>1260.0</v>
      </c>
      <c r="S12963" s="46" t="s">
        <v>9010</v>
      </c>
    </row>
    <row r="12964">
      <c r="A12964" s="40">
        <f t="shared" si="1"/>
        <v>46013</v>
      </c>
      <c r="B12964" s="37" t="str">
        <f t="array" ref="B12964">iferror(xlookup($I12964, 'IMPORT VHC Report'!$E:$E, 'IMPORT VHC Report'!$A:$C), )</f>
        <v/>
      </c>
      <c r="C12964" s="44"/>
      <c r="D12964" s="44"/>
      <c r="E12964" s="46" t="s">
        <v>9011</v>
      </c>
      <c r="F12964" s="46" t="s">
        <v>2032</v>
      </c>
      <c r="G12964" s="46">
        <v>3.61857411736E11</v>
      </c>
      <c r="H12964" s="46" t="s">
        <v>2033</v>
      </c>
      <c r="I12964" s="46" t="s">
        <v>2034</v>
      </c>
      <c r="J12964" s="46" t="s">
        <v>4</v>
      </c>
      <c r="K12964" s="46" t="s">
        <v>126</v>
      </c>
      <c r="L12964" s="45">
        <v>46016.4875</v>
      </c>
      <c r="M12964" s="46" t="s">
        <v>123</v>
      </c>
      <c r="N12964" s="45">
        <v>46016.51875</v>
      </c>
      <c r="O12964" s="46" t="s">
        <v>123</v>
      </c>
      <c r="P12964" s="46">
        <v>2700.0</v>
      </c>
      <c r="S12964" s="46" t="s">
        <v>9012</v>
      </c>
    </row>
    <row r="12965">
      <c r="A12965" s="40">
        <f t="shared" si="1"/>
        <v>46013</v>
      </c>
      <c r="B12965" s="37" t="str">
        <f t="array" ref="B12965">iferror(xlookup($I12965, 'IMPORT VHC Report'!$E:$E, 'IMPORT VHC Report'!$A:$C), )</f>
        <v/>
      </c>
      <c r="C12965" s="44"/>
      <c r="D12965" s="44"/>
      <c r="E12965" s="46" t="s">
        <v>9013</v>
      </c>
      <c r="F12965" s="46" t="s">
        <v>2032</v>
      </c>
      <c r="G12965" s="46">
        <v>3.61857411736E11</v>
      </c>
      <c r="H12965" s="46" t="s">
        <v>2033</v>
      </c>
      <c r="I12965" s="46" t="s">
        <v>2034</v>
      </c>
      <c r="J12965" s="46" t="s">
        <v>4</v>
      </c>
      <c r="K12965" s="46" t="s">
        <v>126</v>
      </c>
      <c r="L12965" s="45">
        <v>46016.52569444444</v>
      </c>
      <c r="M12965" s="46" t="s">
        <v>123</v>
      </c>
      <c r="N12965" s="45">
        <v>46016.541666666664</v>
      </c>
      <c r="O12965" s="46" t="s">
        <v>123</v>
      </c>
      <c r="P12965" s="46">
        <v>1380.0</v>
      </c>
      <c r="S12965" s="46" t="s">
        <v>9014</v>
      </c>
    </row>
    <row r="12966">
      <c r="A12966" s="40">
        <f t="shared" si="1"/>
        <v>46013</v>
      </c>
      <c r="B12966" s="37" t="str">
        <f t="array" ref="B12966">iferror(xlookup($I12966, 'IMPORT VHC Report'!$E:$E, 'IMPORT VHC Report'!$A:$C), )</f>
        <v/>
      </c>
      <c r="C12966" s="44"/>
      <c r="D12966" s="44"/>
      <c r="E12966" s="46" t="s">
        <v>9015</v>
      </c>
      <c r="F12966" s="46" t="s">
        <v>2032</v>
      </c>
      <c r="G12966" s="46">
        <v>3.61857411736E11</v>
      </c>
      <c r="H12966" s="46" t="s">
        <v>2033</v>
      </c>
      <c r="I12966" s="46" t="s">
        <v>2034</v>
      </c>
      <c r="J12966" s="46" t="s">
        <v>224</v>
      </c>
      <c r="K12966" s="46" t="s">
        <v>63</v>
      </c>
      <c r="L12966" s="45">
        <v>46017.166666666664</v>
      </c>
      <c r="M12966" s="46" t="s">
        <v>123</v>
      </c>
      <c r="N12966" s="45">
        <v>46017.541666666664</v>
      </c>
      <c r="O12966" s="46" t="s">
        <v>123</v>
      </c>
      <c r="P12966" s="46">
        <v>32400.0</v>
      </c>
    </row>
    <row r="12967">
      <c r="A12967" s="40">
        <f t="shared" si="1"/>
        <v>46013</v>
      </c>
      <c r="B12967" s="37" t="str">
        <f t="array" ref="B12967">iferror(xlookup($I12967, 'IMPORT VHC Report'!$E:$E, 'IMPORT VHC Report'!$A:$C), )</f>
        <v/>
      </c>
      <c r="C12967" s="44"/>
      <c r="D12967" s="44"/>
      <c r="E12967" s="46" t="s">
        <v>9016</v>
      </c>
      <c r="F12967" s="46" t="s">
        <v>2032</v>
      </c>
      <c r="G12967" s="46">
        <v>3.61857411736E11</v>
      </c>
      <c r="H12967" s="46" t="s">
        <v>2033</v>
      </c>
      <c r="I12967" s="46" t="s">
        <v>2034</v>
      </c>
      <c r="J12967" s="46" t="s">
        <v>4</v>
      </c>
      <c r="K12967" s="46" t="s">
        <v>126</v>
      </c>
      <c r="L12967" s="45">
        <v>46017.229166666664</v>
      </c>
      <c r="M12967" s="46" t="s">
        <v>123</v>
      </c>
      <c r="N12967" s="45">
        <v>46017.3125</v>
      </c>
      <c r="O12967" s="46" t="s">
        <v>123</v>
      </c>
      <c r="P12967" s="46">
        <v>7200.0</v>
      </c>
      <c r="S12967" s="46" t="s">
        <v>9017</v>
      </c>
    </row>
    <row r="12968">
      <c r="A12968" s="40">
        <f t="shared" si="1"/>
        <v>46013</v>
      </c>
      <c r="B12968" s="37" t="str">
        <f t="array" ref="B12968">iferror(xlookup($I12968, 'IMPORT VHC Report'!$E:$E, 'IMPORT VHC Report'!$A:$C), )</f>
        <v/>
      </c>
      <c r="C12968" s="44"/>
      <c r="D12968" s="44"/>
      <c r="E12968" s="46" t="s">
        <v>9018</v>
      </c>
      <c r="F12968" s="46" t="s">
        <v>2032</v>
      </c>
      <c r="G12968" s="46">
        <v>3.61857411736E11</v>
      </c>
      <c r="H12968" s="46" t="s">
        <v>2033</v>
      </c>
      <c r="I12968" s="46" t="s">
        <v>2034</v>
      </c>
      <c r="J12968" s="46" t="s">
        <v>134</v>
      </c>
      <c r="K12968" s="46" t="s">
        <v>126</v>
      </c>
      <c r="L12968" s="45">
        <v>46017.333333333336</v>
      </c>
      <c r="M12968" s="46" t="s">
        <v>123</v>
      </c>
      <c r="N12968" s="45">
        <v>46017.354166666664</v>
      </c>
      <c r="O12968" s="46" t="s">
        <v>123</v>
      </c>
      <c r="P12968" s="46">
        <v>1800.0</v>
      </c>
    </row>
    <row r="12969">
      <c r="A12969" s="40">
        <f t="shared" si="1"/>
        <v>46013</v>
      </c>
      <c r="B12969" s="37" t="str">
        <f t="array" ref="B12969">iferror(xlookup($I12969, 'IMPORT VHC Report'!$E:$E, 'IMPORT VHC Report'!$A:$C), )</f>
        <v/>
      </c>
      <c r="C12969" s="44"/>
      <c r="D12969" s="44"/>
      <c r="E12969" s="46" t="s">
        <v>9019</v>
      </c>
      <c r="F12969" s="46" t="s">
        <v>2032</v>
      </c>
      <c r="G12969" s="46">
        <v>3.61857411736E11</v>
      </c>
      <c r="H12969" s="46" t="s">
        <v>2033</v>
      </c>
      <c r="I12969" s="46" t="s">
        <v>2034</v>
      </c>
      <c r="J12969" s="46" t="s">
        <v>132</v>
      </c>
      <c r="K12969" s="46" t="s">
        <v>126</v>
      </c>
      <c r="L12969" s="45">
        <v>46017.416666666664</v>
      </c>
      <c r="M12969" s="46" t="s">
        <v>123</v>
      </c>
      <c r="N12969" s="45">
        <v>46017.458333333336</v>
      </c>
      <c r="O12969" s="46" t="s">
        <v>123</v>
      </c>
      <c r="P12969" s="46">
        <v>3600.0</v>
      </c>
    </row>
    <row r="12970">
      <c r="A12970" s="40">
        <f t="shared" si="1"/>
        <v>46013</v>
      </c>
      <c r="B12970" s="37" t="str">
        <f t="array" ref="B12970">iferror(xlookup($I12970, 'IMPORT VHC Report'!$E:$E, 'IMPORT VHC Report'!$A:$C), )</f>
        <v/>
      </c>
      <c r="C12970" s="44"/>
      <c r="D12970" s="44"/>
      <c r="E12970" s="46" t="s">
        <v>9020</v>
      </c>
      <c r="F12970" s="46" t="s">
        <v>2032</v>
      </c>
      <c r="G12970" s="46">
        <v>3.61857411736E11</v>
      </c>
      <c r="H12970" s="46" t="s">
        <v>2033</v>
      </c>
      <c r="I12970" s="46" t="s">
        <v>2034</v>
      </c>
      <c r="J12970" s="46" t="s">
        <v>4</v>
      </c>
      <c r="K12970" s="46" t="s">
        <v>126</v>
      </c>
      <c r="L12970" s="45">
        <v>46017.48263888889</v>
      </c>
      <c r="M12970" s="46" t="s">
        <v>123</v>
      </c>
      <c r="N12970" s="45">
        <v>46017.541666666664</v>
      </c>
      <c r="O12970" s="46" t="s">
        <v>123</v>
      </c>
      <c r="P12970" s="46">
        <v>5100.0</v>
      </c>
      <c r="S12970" s="46" t="s">
        <v>9021</v>
      </c>
    </row>
    <row r="12971">
      <c r="A12971" s="40">
        <f t="shared" si="1"/>
        <v>46013</v>
      </c>
      <c r="B12971" s="37" t="str">
        <f t="array" ref="B12971">iferror(xlookup($I12971, 'IMPORT VHC Report'!$E:$E, 'IMPORT VHC Report'!$A:$C), )</f>
        <v/>
      </c>
      <c r="C12971" s="44"/>
      <c r="D12971" s="44"/>
      <c r="E12971" s="46" t="s">
        <v>9022</v>
      </c>
      <c r="F12971" s="46" t="s">
        <v>2096</v>
      </c>
      <c r="G12971" s="46">
        <v>1.0005722473615E13</v>
      </c>
      <c r="H12971" s="46" t="s">
        <v>2097</v>
      </c>
      <c r="I12971" s="46" t="s">
        <v>2098</v>
      </c>
      <c r="J12971" s="46" t="s">
        <v>134</v>
      </c>
      <c r="K12971" s="46" t="s">
        <v>126</v>
      </c>
      <c r="L12971" s="45">
        <v>46013.166666666664</v>
      </c>
      <c r="M12971" s="46" t="s">
        <v>123</v>
      </c>
      <c r="N12971" s="45">
        <v>46013.1875</v>
      </c>
      <c r="O12971" s="46" t="s">
        <v>123</v>
      </c>
      <c r="P12971" s="46">
        <v>1800.0</v>
      </c>
    </row>
    <row r="12972">
      <c r="A12972" s="40">
        <f t="shared" si="1"/>
        <v>46013</v>
      </c>
      <c r="B12972" s="37" t="str">
        <f t="array" ref="B12972">iferror(xlookup($I12972, 'IMPORT VHC Report'!$E:$E, 'IMPORT VHC Report'!$A:$C), )</f>
        <v/>
      </c>
      <c r="C12972" s="44"/>
      <c r="D12972" s="44"/>
      <c r="E12972" s="46" t="s">
        <v>9023</v>
      </c>
      <c r="F12972" s="46" t="s">
        <v>2096</v>
      </c>
      <c r="G12972" s="46">
        <v>1.0005722473615E13</v>
      </c>
      <c r="H12972" s="46" t="s">
        <v>2097</v>
      </c>
      <c r="I12972" s="46" t="s">
        <v>2098</v>
      </c>
      <c r="J12972" s="46" t="s">
        <v>224</v>
      </c>
      <c r="K12972" s="46" t="s">
        <v>63</v>
      </c>
      <c r="L12972" s="45">
        <v>46013.1875</v>
      </c>
      <c r="M12972" s="46" t="s">
        <v>123</v>
      </c>
      <c r="N12972" s="45">
        <v>46013.291666666664</v>
      </c>
      <c r="O12972" s="46" t="s">
        <v>123</v>
      </c>
      <c r="P12972" s="46">
        <v>9000.0</v>
      </c>
    </row>
    <row r="12973">
      <c r="A12973" s="40">
        <f t="shared" si="1"/>
        <v>46013</v>
      </c>
      <c r="B12973" s="37" t="str">
        <f t="array" ref="B12973">iferror(xlookup($I12973, 'IMPORT VHC Report'!$E:$E, 'IMPORT VHC Report'!$A:$C), )</f>
        <v/>
      </c>
      <c r="C12973" s="44"/>
      <c r="D12973" s="44"/>
      <c r="E12973" s="46" t="s">
        <v>9024</v>
      </c>
      <c r="F12973" s="46" t="s">
        <v>2096</v>
      </c>
      <c r="G12973" s="46">
        <v>1.0005722473615E13</v>
      </c>
      <c r="H12973" s="46" t="s">
        <v>2097</v>
      </c>
      <c r="I12973" s="46" t="s">
        <v>2098</v>
      </c>
      <c r="J12973" s="46" t="s">
        <v>125</v>
      </c>
      <c r="K12973" s="46" t="s">
        <v>126</v>
      </c>
      <c r="L12973" s="45">
        <v>46013.291666666664</v>
      </c>
      <c r="M12973" s="46" t="s">
        <v>123</v>
      </c>
      <c r="N12973" s="45">
        <v>46013.375</v>
      </c>
      <c r="O12973" s="46" t="s">
        <v>123</v>
      </c>
      <c r="P12973" s="46">
        <v>7200.0</v>
      </c>
      <c r="S12973" s="46" t="s">
        <v>9025</v>
      </c>
    </row>
    <row r="12974">
      <c r="A12974" s="40">
        <f t="shared" si="1"/>
        <v>46013</v>
      </c>
      <c r="B12974" s="37" t="str">
        <f t="array" ref="B12974">iferror(xlookup($I12974, 'IMPORT VHC Report'!$E:$E, 'IMPORT VHC Report'!$A:$C), )</f>
        <v/>
      </c>
      <c r="C12974" s="44"/>
      <c r="D12974" s="44"/>
      <c r="E12974" s="46" t="s">
        <v>9026</v>
      </c>
      <c r="F12974" s="46" t="s">
        <v>2096</v>
      </c>
      <c r="G12974" s="46">
        <v>1.0005722473615E13</v>
      </c>
      <c r="H12974" s="46" t="s">
        <v>2097</v>
      </c>
      <c r="I12974" s="46" t="s">
        <v>2098</v>
      </c>
      <c r="J12974" s="46" t="s">
        <v>136</v>
      </c>
      <c r="K12974" s="46" t="s">
        <v>126</v>
      </c>
      <c r="L12974" s="45">
        <v>46013.375</v>
      </c>
      <c r="M12974" s="46" t="s">
        <v>123</v>
      </c>
      <c r="N12974" s="45">
        <v>46013.395833333336</v>
      </c>
      <c r="O12974" s="46" t="s">
        <v>123</v>
      </c>
      <c r="P12974" s="46">
        <v>1800.0</v>
      </c>
    </row>
    <row r="12975">
      <c r="A12975" s="40">
        <f t="shared" si="1"/>
        <v>46013</v>
      </c>
      <c r="B12975" s="37" t="str">
        <f t="array" ref="B12975">iferror(xlookup($I12975, 'IMPORT VHC Report'!$E:$E, 'IMPORT VHC Report'!$A:$C), )</f>
        <v/>
      </c>
      <c r="C12975" s="44"/>
      <c r="D12975" s="44"/>
      <c r="E12975" s="46" t="s">
        <v>9027</v>
      </c>
      <c r="F12975" s="46" t="s">
        <v>2096</v>
      </c>
      <c r="G12975" s="46">
        <v>1.0005722473615E13</v>
      </c>
      <c r="H12975" s="46" t="s">
        <v>2097</v>
      </c>
      <c r="I12975" s="46" t="s">
        <v>2098</v>
      </c>
      <c r="J12975" s="46" t="s">
        <v>125</v>
      </c>
      <c r="K12975" s="46" t="s">
        <v>126</v>
      </c>
      <c r="L12975" s="45">
        <v>46013.395833333336</v>
      </c>
      <c r="M12975" s="46" t="s">
        <v>123</v>
      </c>
      <c r="N12975" s="45">
        <v>46013.5</v>
      </c>
      <c r="O12975" s="46" t="s">
        <v>123</v>
      </c>
      <c r="P12975" s="46">
        <v>9000.0</v>
      </c>
      <c r="S12975" s="46" t="s">
        <v>9025</v>
      </c>
    </row>
    <row r="12976">
      <c r="A12976" s="40">
        <f t="shared" si="1"/>
        <v>46013</v>
      </c>
      <c r="B12976" s="37" t="str">
        <f t="array" ref="B12976">iferror(xlookup($I12976, 'IMPORT VHC Report'!$E:$E, 'IMPORT VHC Report'!$A:$C), )</f>
        <v/>
      </c>
      <c r="C12976" s="44"/>
      <c r="D12976" s="44"/>
      <c r="E12976" s="46" t="s">
        <v>9028</v>
      </c>
      <c r="F12976" s="46" t="s">
        <v>2096</v>
      </c>
      <c r="G12976" s="46">
        <v>1.0005722473615E13</v>
      </c>
      <c r="H12976" s="46" t="s">
        <v>2097</v>
      </c>
      <c r="I12976" s="46" t="s">
        <v>2098</v>
      </c>
      <c r="J12976" s="46" t="s">
        <v>132</v>
      </c>
      <c r="K12976" s="46" t="s">
        <v>126</v>
      </c>
      <c r="L12976" s="45">
        <v>46013.5</v>
      </c>
      <c r="M12976" s="46" t="s">
        <v>123</v>
      </c>
      <c r="N12976" s="45">
        <v>46013.541666666664</v>
      </c>
      <c r="O12976" s="46" t="s">
        <v>123</v>
      </c>
      <c r="P12976" s="46">
        <v>3600.0</v>
      </c>
    </row>
    <row r="12977">
      <c r="A12977" s="40">
        <f t="shared" si="1"/>
        <v>46013</v>
      </c>
      <c r="B12977" s="37" t="str">
        <f t="array" ref="B12977">iferror(xlookup($I12977, 'IMPORT VHC Report'!$E:$E, 'IMPORT VHC Report'!$A:$C), )</f>
        <v/>
      </c>
      <c r="C12977" s="44"/>
      <c r="D12977" s="44"/>
      <c r="E12977" s="46" t="s">
        <v>9029</v>
      </c>
      <c r="F12977" s="46" t="s">
        <v>2096</v>
      </c>
      <c r="G12977" s="46">
        <v>1.0005722473615E13</v>
      </c>
      <c r="H12977" s="46" t="s">
        <v>2097</v>
      </c>
      <c r="I12977" s="46" t="s">
        <v>2098</v>
      </c>
      <c r="J12977" s="46" t="s">
        <v>224</v>
      </c>
      <c r="K12977" s="46" t="s">
        <v>63</v>
      </c>
      <c r="L12977" s="45">
        <v>46014.166666666664</v>
      </c>
      <c r="M12977" s="46" t="s">
        <v>123</v>
      </c>
      <c r="N12977" s="45">
        <v>46014.541666666664</v>
      </c>
      <c r="O12977" s="46" t="s">
        <v>123</v>
      </c>
      <c r="P12977" s="46">
        <v>32400.0</v>
      </c>
    </row>
    <row r="12978">
      <c r="A12978" s="40">
        <f t="shared" si="1"/>
        <v>46013</v>
      </c>
      <c r="B12978" s="37" t="str">
        <f t="array" ref="B12978">iferror(xlookup($I12978, 'IMPORT VHC Report'!$E:$E, 'IMPORT VHC Report'!$A:$C), )</f>
        <v/>
      </c>
      <c r="C12978" s="44"/>
      <c r="D12978" s="44"/>
      <c r="E12978" s="46" t="s">
        <v>9030</v>
      </c>
      <c r="F12978" s="46" t="s">
        <v>2096</v>
      </c>
      <c r="G12978" s="46">
        <v>1.0005722473615E13</v>
      </c>
      <c r="H12978" s="46" t="s">
        <v>2097</v>
      </c>
      <c r="I12978" s="46" t="s">
        <v>2098</v>
      </c>
      <c r="J12978" s="46" t="s">
        <v>134</v>
      </c>
      <c r="K12978" s="46" t="s">
        <v>126</v>
      </c>
      <c r="L12978" s="45">
        <v>46014.270833333336</v>
      </c>
      <c r="M12978" s="46" t="s">
        <v>123</v>
      </c>
      <c r="N12978" s="45">
        <v>46014.291666666664</v>
      </c>
      <c r="O12978" s="46" t="s">
        <v>123</v>
      </c>
      <c r="P12978" s="46">
        <v>1800.0</v>
      </c>
    </row>
    <row r="12979">
      <c r="A12979" s="40">
        <f t="shared" si="1"/>
        <v>46013</v>
      </c>
      <c r="B12979" s="37" t="str">
        <f t="array" ref="B12979">iferror(xlookup($I12979, 'IMPORT VHC Report'!$E:$E, 'IMPORT VHC Report'!$A:$C), )</f>
        <v/>
      </c>
      <c r="C12979" s="44"/>
      <c r="D12979" s="44"/>
      <c r="E12979" s="46" t="s">
        <v>9031</v>
      </c>
      <c r="F12979" s="46" t="s">
        <v>2096</v>
      </c>
      <c r="G12979" s="46">
        <v>1.0005722473615E13</v>
      </c>
      <c r="H12979" s="46" t="s">
        <v>2097</v>
      </c>
      <c r="I12979" s="46" t="s">
        <v>2098</v>
      </c>
      <c r="J12979" s="46" t="s">
        <v>132</v>
      </c>
      <c r="K12979" s="46" t="s">
        <v>126</v>
      </c>
      <c r="L12979" s="45">
        <v>46014.5</v>
      </c>
      <c r="M12979" s="46" t="s">
        <v>123</v>
      </c>
      <c r="N12979" s="45">
        <v>46014.541666666664</v>
      </c>
      <c r="O12979" s="46" t="s">
        <v>123</v>
      </c>
      <c r="P12979" s="46">
        <v>3600.0</v>
      </c>
    </row>
    <row r="12980">
      <c r="A12980" s="40">
        <f t="shared" si="1"/>
        <v>46013</v>
      </c>
      <c r="B12980" s="37" t="str">
        <f t="array" ref="B12980">iferror(xlookup($I12980, 'IMPORT VHC Report'!$E:$E, 'IMPORT VHC Report'!$A:$C), )</f>
        <v/>
      </c>
      <c r="C12980" s="44"/>
      <c r="D12980" s="44"/>
      <c r="E12980" s="46" t="s">
        <v>9032</v>
      </c>
      <c r="F12980" s="46" t="s">
        <v>2096</v>
      </c>
      <c r="G12980" s="46">
        <v>1.0005722473615E13</v>
      </c>
      <c r="H12980" s="46" t="s">
        <v>2097</v>
      </c>
      <c r="I12980" s="46" t="s">
        <v>2098</v>
      </c>
      <c r="J12980" s="46" t="s">
        <v>224</v>
      </c>
      <c r="K12980" s="46" t="s">
        <v>63</v>
      </c>
      <c r="L12980" s="45">
        <v>46015.166666666664</v>
      </c>
      <c r="M12980" s="46" t="s">
        <v>123</v>
      </c>
      <c r="N12980" s="45">
        <v>46015.541666666664</v>
      </c>
      <c r="O12980" s="46" t="s">
        <v>123</v>
      </c>
      <c r="P12980" s="46">
        <v>32400.0</v>
      </c>
    </row>
    <row r="12981">
      <c r="A12981" s="40">
        <f t="shared" si="1"/>
        <v>46013</v>
      </c>
      <c r="B12981" s="37" t="str">
        <f t="array" ref="B12981">iferror(xlookup($I12981, 'IMPORT VHC Report'!$E:$E, 'IMPORT VHC Report'!$A:$C), )</f>
        <v/>
      </c>
      <c r="C12981" s="44"/>
      <c r="D12981" s="44"/>
      <c r="E12981" s="46" t="s">
        <v>9033</v>
      </c>
      <c r="F12981" s="46" t="s">
        <v>2096</v>
      </c>
      <c r="G12981" s="46">
        <v>1.0005722473615E13</v>
      </c>
      <c r="H12981" s="46" t="s">
        <v>2097</v>
      </c>
      <c r="I12981" s="46" t="s">
        <v>2098</v>
      </c>
      <c r="J12981" s="46" t="s">
        <v>134</v>
      </c>
      <c r="K12981" s="46" t="s">
        <v>126</v>
      </c>
      <c r="L12981" s="45">
        <v>46015.251388888886</v>
      </c>
      <c r="M12981" s="46" t="s">
        <v>123</v>
      </c>
      <c r="N12981" s="45">
        <v>46015.27222222222</v>
      </c>
      <c r="O12981" s="46" t="s">
        <v>123</v>
      </c>
      <c r="P12981" s="46">
        <v>1800.0</v>
      </c>
    </row>
    <row r="12982">
      <c r="A12982" s="40">
        <f t="shared" si="1"/>
        <v>46013</v>
      </c>
      <c r="B12982" s="37" t="str">
        <f t="array" ref="B12982">iferror(xlookup($I12982, 'IMPORT VHC Report'!$E:$E, 'IMPORT VHC Report'!$A:$C), )</f>
        <v/>
      </c>
      <c r="C12982" s="44"/>
      <c r="D12982" s="44"/>
      <c r="E12982" s="46" t="s">
        <v>9034</v>
      </c>
      <c r="F12982" s="46" t="s">
        <v>2096</v>
      </c>
      <c r="G12982" s="46">
        <v>1.0005722473615E13</v>
      </c>
      <c r="H12982" s="46" t="s">
        <v>2097</v>
      </c>
      <c r="I12982" s="46" t="s">
        <v>2098</v>
      </c>
      <c r="J12982" s="46" t="s">
        <v>132</v>
      </c>
      <c r="K12982" s="46" t="s">
        <v>126</v>
      </c>
      <c r="L12982" s="45">
        <v>46015.27222222222</v>
      </c>
      <c r="M12982" s="46" t="s">
        <v>123</v>
      </c>
      <c r="N12982" s="45">
        <v>46015.313888888886</v>
      </c>
      <c r="O12982" s="46" t="s">
        <v>123</v>
      </c>
      <c r="P12982" s="46">
        <v>3600.0</v>
      </c>
    </row>
    <row r="12983">
      <c r="A12983" s="40">
        <f t="shared" si="1"/>
        <v>46013</v>
      </c>
      <c r="B12983" s="37" t="str">
        <f t="array" ref="B12983">iferror(xlookup($I12983, 'IMPORT VHC Report'!$E:$E, 'IMPORT VHC Report'!$A:$C), )</f>
        <v/>
      </c>
      <c r="C12983" s="44"/>
      <c r="D12983" s="44"/>
      <c r="E12983" s="46" t="s">
        <v>9035</v>
      </c>
      <c r="F12983" s="46" t="s">
        <v>2096</v>
      </c>
      <c r="G12983" s="46">
        <v>1.0005722473615E13</v>
      </c>
      <c r="H12983" s="46" t="s">
        <v>2097</v>
      </c>
      <c r="I12983" s="46" t="s">
        <v>2098</v>
      </c>
      <c r="J12983" s="46" t="s">
        <v>224</v>
      </c>
      <c r="K12983" s="46" t="s">
        <v>63</v>
      </c>
      <c r="L12983" s="45">
        <v>46015.322916666664</v>
      </c>
      <c r="M12983" s="46" t="s">
        <v>123</v>
      </c>
      <c r="N12983" s="45">
        <v>46015.364583333336</v>
      </c>
      <c r="O12983" s="46" t="s">
        <v>123</v>
      </c>
      <c r="P12983" s="46">
        <v>3600.0</v>
      </c>
    </row>
    <row r="12984">
      <c r="A12984" s="40">
        <f t="shared" si="1"/>
        <v>46013</v>
      </c>
      <c r="B12984" s="37" t="str">
        <f t="array" ref="B12984">iferror(xlookup($I12984, 'IMPORT VHC Report'!$E:$E, 'IMPORT VHC Report'!$A:$C), )</f>
        <v/>
      </c>
      <c r="C12984" s="44"/>
      <c r="D12984" s="44"/>
      <c r="E12984" s="46" t="s">
        <v>9036</v>
      </c>
      <c r="F12984" s="46" t="s">
        <v>2096</v>
      </c>
      <c r="G12984" s="46">
        <v>1.0005722473615E13</v>
      </c>
      <c r="H12984" s="46" t="s">
        <v>2097</v>
      </c>
      <c r="I12984" s="46" t="s">
        <v>2098</v>
      </c>
      <c r="J12984" s="46" t="s">
        <v>224</v>
      </c>
      <c r="K12984" s="46" t="s">
        <v>63</v>
      </c>
      <c r="L12984" s="45">
        <v>46015.427083333336</v>
      </c>
      <c r="M12984" s="46" t="s">
        <v>123</v>
      </c>
      <c r="N12984" s="45">
        <v>46015.4375</v>
      </c>
      <c r="O12984" s="46" t="s">
        <v>123</v>
      </c>
      <c r="P12984" s="46">
        <v>900.0</v>
      </c>
    </row>
    <row r="12985">
      <c r="A12985" s="40">
        <f t="shared" si="1"/>
        <v>46013</v>
      </c>
      <c r="B12985" s="37" t="str">
        <f t="array" ref="B12985">iferror(xlookup($I12985, 'IMPORT VHC Report'!$E:$E, 'IMPORT VHC Report'!$A:$C), )</f>
        <v/>
      </c>
      <c r="C12985" s="44"/>
      <c r="D12985" s="44"/>
      <c r="E12985" s="46" t="s">
        <v>9037</v>
      </c>
      <c r="F12985" s="46" t="s">
        <v>2096</v>
      </c>
      <c r="G12985" s="46">
        <v>1.0005722473615E13</v>
      </c>
      <c r="H12985" s="46" t="s">
        <v>2097</v>
      </c>
      <c r="I12985" s="46" t="s">
        <v>2098</v>
      </c>
      <c r="J12985" s="46" t="s">
        <v>4</v>
      </c>
      <c r="K12985" s="46" t="s">
        <v>126</v>
      </c>
      <c r="L12985" s="45">
        <v>46015.489583333336</v>
      </c>
      <c r="M12985" s="46" t="s">
        <v>123</v>
      </c>
      <c r="N12985" s="45">
        <v>46015.510416666664</v>
      </c>
      <c r="O12985" s="46" t="s">
        <v>123</v>
      </c>
      <c r="P12985" s="46">
        <v>1800.0</v>
      </c>
      <c r="S12985" s="47" t="s">
        <v>9038</v>
      </c>
    </row>
    <row r="12986">
      <c r="A12986" s="40">
        <f t="shared" si="1"/>
        <v>46013</v>
      </c>
      <c r="B12986" s="37" t="str">
        <f t="array" ref="B12986">iferror(xlookup($I12986, 'IMPORT VHC Report'!$E:$E, 'IMPORT VHC Report'!$A:$C), )</f>
        <v/>
      </c>
      <c r="C12986" s="44"/>
      <c r="D12986" s="44"/>
      <c r="E12986" s="46" t="s">
        <v>9039</v>
      </c>
      <c r="F12986" s="46" t="s">
        <v>2096</v>
      </c>
      <c r="G12986" s="46">
        <v>1.0005722473615E13</v>
      </c>
      <c r="H12986" s="46" t="s">
        <v>2097</v>
      </c>
      <c r="I12986" s="46" t="s">
        <v>2098</v>
      </c>
      <c r="J12986" s="46" t="s">
        <v>125</v>
      </c>
      <c r="K12986" s="46" t="s">
        <v>126</v>
      </c>
      <c r="L12986" s="45">
        <v>46015.520833333336</v>
      </c>
      <c r="M12986" s="46" t="s">
        <v>123</v>
      </c>
      <c r="N12986" s="45">
        <v>46015.541666666664</v>
      </c>
      <c r="O12986" s="46" t="s">
        <v>123</v>
      </c>
      <c r="P12986" s="46">
        <v>1800.0</v>
      </c>
    </row>
    <row r="12987">
      <c r="A12987" s="40">
        <f t="shared" si="1"/>
        <v>46013</v>
      </c>
      <c r="B12987" s="37" t="str">
        <f t="array" ref="B12987">iferror(xlookup($I12987, 'IMPORT VHC Report'!$E:$E, 'IMPORT VHC Report'!$A:$C), )</f>
        <v/>
      </c>
      <c r="C12987" s="44"/>
      <c r="D12987" s="44"/>
      <c r="E12987" s="46" t="s">
        <v>9040</v>
      </c>
      <c r="F12987" s="46" t="s">
        <v>2096</v>
      </c>
      <c r="G12987" s="46">
        <v>1.0005722473615E13</v>
      </c>
      <c r="H12987" s="46" t="s">
        <v>2097</v>
      </c>
      <c r="I12987" s="46" t="s">
        <v>2098</v>
      </c>
      <c r="J12987" s="46" t="s">
        <v>224</v>
      </c>
      <c r="K12987" s="46" t="s">
        <v>63</v>
      </c>
      <c r="L12987" s="45">
        <v>46016.166666666664</v>
      </c>
      <c r="M12987" s="46" t="s">
        <v>123</v>
      </c>
      <c r="N12987" s="45">
        <v>46016.354166666664</v>
      </c>
      <c r="O12987" s="46" t="s">
        <v>123</v>
      </c>
      <c r="P12987" s="46">
        <v>16200.0</v>
      </c>
    </row>
    <row r="12988">
      <c r="A12988" s="40">
        <f t="shared" si="1"/>
        <v>46013</v>
      </c>
      <c r="B12988" s="37" t="str">
        <f t="array" ref="B12988">iferror(xlookup($I12988, 'IMPORT VHC Report'!$E:$E, 'IMPORT VHC Report'!$A:$C), )</f>
        <v/>
      </c>
      <c r="C12988" s="44"/>
      <c r="D12988" s="44"/>
      <c r="E12988" s="46" t="s">
        <v>9041</v>
      </c>
      <c r="F12988" s="46" t="s">
        <v>2096</v>
      </c>
      <c r="G12988" s="46">
        <v>1.0005722473615E13</v>
      </c>
      <c r="H12988" s="46" t="s">
        <v>2097</v>
      </c>
      <c r="I12988" s="46" t="s">
        <v>2098</v>
      </c>
      <c r="J12988" s="46" t="s">
        <v>132</v>
      </c>
      <c r="K12988" s="46" t="s">
        <v>126</v>
      </c>
      <c r="L12988" s="45">
        <v>46016.270833333336</v>
      </c>
      <c r="M12988" s="46" t="s">
        <v>123</v>
      </c>
      <c r="N12988" s="45">
        <v>46016.3125</v>
      </c>
      <c r="O12988" s="46" t="s">
        <v>123</v>
      </c>
      <c r="P12988" s="46">
        <v>3600.0</v>
      </c>
    </row>
    <row r="12989">
      <c r="A12989" s="40">
        <f t="shared" si="1"/>
        <v>46013</v>
      </c>
      <c r="B12989" s="37" t="str">
        <f t="array" ref="B12989">iferror(xlookup($I12989, 'IMPORT VHC Report'!$E:$E, 'IMPORT VHC Report'!$A:$C), )</f>
        <v/>
      </c>
      <c r="C12989" s="44"/>
      <c r="D12989" s="44"/>
      <c r="E12989" s="46" t="s">
        <v>9042</v>
      </c>
      <c r="F12989" s="46" t="s">
        <v>2096</v>
      </c>
      <c r="G12989" s="46">
        <v>1.0005722473615E13</v>
      </c>
      <c r="H12989" s="46" t="s">
        <v>2097</v>
      </c>
      <c r="I12989" s="46" t="s">
        <v>2098</v>
      </c>
      <c r="J12989" s="46" t="s">
        <v>134</v>
      </c>
      <c r="K12989" s="46" t="s">
        <v>126</v>
      </c>
      <c r="L12989" s="45">
        <v>46016.3125</v>
      </c>
      <c r="M12989" s="46" t="s">
        <v>123</v>
      </c>
      <c r="N12989" s="45">
        <v>46016.333333333336</v>
      </c>
      <c r="O12989" s="46" t="s">
        <v>123</v>
      </c>
      <c r="P12989" s="46">
        <v>1800.0</v>
      </c>
    </row>
    <row r="12990">
      <c r="A12990" s="40">
        <f t="shared" si="1"/>
        <v>46013</v>
      </c>
      <c r="B12990" s="37" t="str">
        <f t="array" ref="B12990">iferror(xlookup($I12990, 'IMPORT VHC Report'!$E:$E, 'IMPORT VHC Report'!$A:$C), )</f>
        <v/>
      </c>
      <c r="C12990" s="44"/>
      <c r="D12990" s="44"/>
      <c r="E12990" s="46" t="s">
        <v>9043</v>
      </c>
      <c r="F12990" s="46" t="s">
        <v>2096</v>
      </c>
      <c r="G12990" s="46">
        <v>1.0005722473615E13</v>
      </c>
      <c r="H12990" s="46" t="s">
        <v>2097</v>
      </c>
      <c r="I12990" s="46" t="s">
        <v>2098</v>
      </c>
      <c r="J12990" s="46" t="s">
        <v>62</v>
      </c>
      <c r="K12990" s="46" t="s">
        <v>63</v>
      </c>
      <c r="L12990" s="45">
        <v>46016.354166666664</v>
      </c>
      <c r="M12990" s="46" t="s">
        <v>123</v>
      </c>
      <c r="N12990" s="45">
        <v>46016.385416666664</v>
      </c>
      <c r="O12990" s="46" t="s">
        <v>123</v>
      </c>
      <c r="P12990" s="46">
        <v>2700.0</v>
      </c>
    </row>
    <row r="12991">
      <c r="A12991" s="40">
        <f t="shared" si="1"/>
        <v>46013</v>
      </c>
      <c r="B12991" s="37" t="str">
        <f t="array" ref="B12991">iferror(xlookup($I12991, 'IMPORT VHC Report'!$E:$E, 'IMPORT VHC Report'!$A:$C), )</f>
        <v/>
      </c>
      <c r="C12991" s="44"/>
      <c r="D12991" s="44"/>
      <c r="E12991" s="46" t="s">
        <v>9044</v>
      </c>
      <c r="F12991" s="46" t="s">
        <v>2096</v>
      </c>
      <c r="G12991" s="46">
        <v>1.0005722473615E13</v>
      </c>
      <c r="H12991" s="46" t="s">
        <v>2097</v>
      </c>
      <c r="I12991" s="46" t="s">
        <v>2098</v>
      </c>
      <c r="J12991" s="46" t="s">
        <v>224</v>
      </c>
      <c r="K12991" s="46" t="s">
        <v>63</v>
      </c>
      <c r="L12991" s="45">
        <v>46016.375</v>
      </c>
      <c r="M12991" s="46" t="s">
        <v>123</v>
      </c>
      <c r="N12991" s="45">
        <v>46016.385416666664</v>
      </c>
      <c r="O12991" s="46" t="s">
        <v>123</v>
      </c>
      <c r="P12991" s="46">
        <v>900.0</v>
      </c>
    </row>
    <row r="12992">
      <c r="A12992" s="40">
        <f t="shared" si="1"/>
        <v>46013</v>
      </c>
      <c r="B12992" s="37" t="str">
        <f t="array" ref="B12992">iferror(xlookup($I12992, 'IMPORT VHC Report'!$E:$E, 'IMPORT VHC Report'!$A:$C), )</f>
        <v/>
      </c>
      <c r="C12992" s="44"/>
      <c r="D12992" s="44"/>
      <c r="E12992" s="46" t="s">
        <v>9045</v>
      </c>
      <c r="F12992" s="46" t="s">
        <v>2096</v>
      </c>
      <c r="G12992" s="46">
        <v>1.0005722473615E13</v>
      </c>
      <c r="H12992" s="46" t="s">
        <v>2097</v>
      </c>
      <c r="I12992" s="46" t="s">
        <v>2098</v>
      </c>
      <c r="J12992" s="46" t="s">
        <v>224</v>
      </c>
      <c r="K12992" s="46" t="s">
        <v>63</v>
      </c>
      <c r="L12992" s="45">
        <v>46016.385416666664</v>
      </c>
      <c r="M12992" s="46" t="s">
        <v>123</v>
      </c>
      <c r="N12992" s="45">
        <v>46016.541666666664</v>
      </c>
      <c r="O12992" s="46" t="s">
        <v>123</v>
      </c>
      <c r="P12992" s="46">
        <v>13500.0</v>
      </c>
    </row>
    <row r="12993">
      <c r="A12993" s="40">
        <f t="shared" si="1"/>
        <v>46013</v>
      </c>
      <c r="B12993" s="37" t="str">
        <f t="array" ref="B12993">iferror(xlookup($I12993, 'IMPORT VHC Report'!$E:$E, 'IMPORT VHC Report'!$A:$C), )</f>
        <v/>
      </c>
      <c r="C12993" s="44"/>
      <c r="D12993" s="44"/>
      <c r="E12993" s="46" t="s">
        <v>9046</v>
      </c>
      <c r="F12993" s="46" t="s">
        <v>2096</v>
      </c>
      <c r="G12993" s="46">
        <v>1.0005722473615E13</v>
      </c>
      <c r="H12993" s="46" t="s">
        <v>2097</v>
      </c>
      <c r="I12993" s="46" t="s">
        <v>2098</v>
      </c>
      <c r="J12993" s="46" t="s">
        <v>4</v>
      </c>
      <c r="K12993" s="46" t="s">
        <v>126</v>
      </c>
      <c r="L12993" s="45">
        <v>46016.44097222222</v>
      </c>
      <c r="M12993" s="46" t="s">
        <v>123</v>
      </c>
      <c r="N12993" s="45">
        <v>46016.48263888889</v>
      </c>
      <c r="O12993" s="46" t="s">
        <v>123</v>
      </c>
      <c r="P12993" s="46">
        <v>3600.0</v>
      </c>
      <c r="S12993" s="46" t="s">
        <v>8947</v>
      </c>
    </row>
    <row r="12994">
      <c r="A12994" s="40">
        <f t="shared" si="1"/>
        <v>46013</v>
      </c>
      <c r="B12994" s="37" t="str">
        <f t="array" ref="B12994">iferror(xlookup($I12994, 'IMPORT VHC Report'!$E:$E, 'IMPORT VHC Report'!$A:$C), )</f>
        <v/>
      </c>
      <c r="C12994" s="44"/>
      <c r="D12994" s="44"/>
      <c r="E12994" s="46" t="s">
        <v>9047</v>
      </c>
      <c r="F12994" s="46" t="s">
        <v>2096</v>
      </c>
      <c r="G12994" s="46">
        <v>1.0005722473615E13</v>
      </c>
      <c r="H12994" s="46" t="s">
        <v>2097</v>
      </c>
      <c r="I12994" s="46" t="s">
        <v>2098</v>
      </c>
      <c r="J12994" s="46" t="s">
        <v>224</v>
      </c>
      <c r="K12994" s="46" t="s">
        <v>63</v>
      </c>
      <c r="L12994" s="45">
        <v>46016.46875</v>
      </c>
      <c r="M12994" s="46" t="s">
        <v>123</v>
      </c>
      <c r="N12994" s="45">
        <v>46016.479166666664</v>
      </c>
      <c r="O12994" s="46" t="s">
        <v>123</v>
      </c>
      <c r="P12994" s="46">
        <v>900.0</v>
      </c>
    </row>
    <row r="12995">
      <c r="A12995" s="40">
        <f t="shared" si="1"/>
        <v>46013</v>
      </c>
      <c r="B12995" s="37" t="str">
        <f t="array" ref="B12995">iferror(xlookup($I12995, 'IMPORT VHC Report'!$E:$E, 'IMPORT VHC Report'!$A:$C), )</f>
        <v/>
      </c>
      <c r="C12995" s="44"/>
      <c r="D12995" s="44"/>
      <c r="E12995" s="46" t="s">
        <v>9048</v>
      </c>
      <c r="F12995" s="46" t="s">
        <v>2096</v>
      </c>
      <c r="G12995" s="46">
        <v>1.0005722473615E13</v>
      </c>
      <c r="H12995" s="46" t="s">
        <v>2097</v>
      </c>
      <c r="I12995" s="46" t="s">
        <v>2098</v>
      </c>
      <c r="J12995" s="46" t="s">
        <v>224</v>
      </c>
      <c r="K12995" s="46" t="s">
        <v>63</v>
      </c>
      <c r="L12995" s="45">
        <v>46017.166666666664</v>
      </c>
      <c r="M12995" s="46" t="s">
        <v>123</v>
      </c>
      <c r="N12995" s="45">
        <v>46017.541666666664</v>
      </c>
      <c r="O12995" s="46" t="s">
        <v>123</v>
      </c>
      <c r="P12995" s="46">
        <v>32400.0</v>
      </c>
    </row>
    <row r="12996">
      <c r="A12996" s="40">
        <f t="shared" si="1"/>
        <v>46013</v>
      </c>
      <c r="B12996" s="37" t="str">
        <f t="array" ref="B12996">iferror(xlookup($I12996, 'IMPORT VHC Report'!$E:$E, 'IMPORT VHC Report'!$A:$C), )</f>
        <v/>
      </c>
      <c r="C12996" s="44"/>
      <c r="D12996" s="44"/>
      <c r="E12996" s="46" t="s">
        <v>9049</v>
      </c>
      <c r="F12996" s="46" t="s">
        <v>2096</v>
      </c>
      <c r="G12996" s="46">
        <v>1.0005722473615E13</v>
      </c>
      <c r="H12996" s="46" t="s">
        <v>2097</v>
      </c>
      <c r="I12996" s="46" t="s">
        <v>2098</v>
      </c>
      <c r="J12996" s="46" t="s">
        <v>4</v>
      </c>
      <c r="K12996" s="46" t="s">
        <v>126</v>
      </c>
      <c r="L12996" s="45">
        <v>46017.1875</v>
      </c>
      <c r="M12996" s="46" t="s">
        <v>123</v>
      </c>
      <c r="N12996" s="45">
        <v>46017.229166666664</v>
      </c>
      <c r="O12996" s="46" t="s">
        <v>123</v>
      </c>
      <c r="P12996" s="46">
        <v>3600.0</v>
      </c>
      <c r="S12996" s="46" t="s">
        <v>9050</v>
      </c>
    </row>
    <row r="12997">
      <c r="A12997" s="40">
        <f t="shared" si="1"/>
        <v>46013</v>
      </c>
      <c r="B12997" s="37" t="str">
        <f t="array" ref="B12997">iferror(xlookup($I12997, 'IMPORT VHC Report'!$E:$E, 'IMPORT VHC Report'!$A:$C), )</f>
        <v/>
      </c>
      <c r="C12997" s="44"/>
      <c r="D12997" s="44"/>
      <c r="E12997" s="46" t="s">
        <v>9051</v>
      </c>
      <c r="F12997" s="46" t="s">
        <v>2096</v>
      </c>
      <c r="G12997" s="46">
        <v>1.0005722473615E13</v>
      </c>
      <c r="H12997" s="46" t="s">
        <v>2097</v>
      </c>
      <c r="I12997" s="46" t="s">
        <v>2098</v>
      </c>
      <c r="J12997" s="46" t="s">
        <v>4</v>
      </c>
      <c r="K12997" s="46" t="s">
        <v>126</v>
      </c>
      <c r="L12997" s="45">
        <v>46017.229166666664</v>
      </c>
      <c r="M12997" s="46" t="s">
        <v>123</v>
      </c>
      <c r="N12997" s="45">
        <v>46017.2625</v>
      </c>
      <c r="O12997" s="46" t="s">
        <v>123</v>
      </c>
      <c r="P12997" s="46">
        <v>2880.0</v>
      </c>
      <c r="S12997" s="46" t="s">
        <v>9052</v>
      </c>
    </row>
    <row r="12998">
      <c r="A12998" s="40">
        <f t="shared" si="1"/>
        <v>46013</v>
      </c>
      <c r="B12998" s="37" t="str">
        <f t="array" ref="B12998">iferror(xlookup($I12998, 'IMPORT VHC Report'!$E:$E, 'IMPORT VHC Report'!$A:$C), )</f>
        <v/>
      </c>
      <c r="C12998" s="44"/>
      <c r="D12998" s="44"/>
      <c r="E12998" s="46" t="s">
        <v>9053</v>
      </c>
      <c r="F12998" s="46" t="s">
        <v>2096</v>
      </c>
      <c r="G12998" s="46">
        <v>1.0005722473615E13</v>
      </c>
      <c r="H12998" s="46" t="s">
        <v>2097</v>
      </c>
      <c r="I12998" s="46" t="s">
        <v>2098</v>
      </c>
      <c r="J12998" s="46" t="s">
        <v>134</v>
      </c>
      <c r="K12998" s="46" t="s">
        <v>126</v>
      </c>
      <c r="L12998" s="45">
        <v>46017.270833333336</v>
      </c>
      <c r="M12998" s="46" t="s">
        <v>123</v>
      </c>
      <c r="N12998" s="45">
        <v>46017.291666666664</v>
      </c>
      <c r="O12998" s="46" t="s">
        <v>123</v>
      </c>
      <c r="P12998" s="46">
        <v>1800.0</v>
      </c>
    </row>
    <row r="12999">
      <c r="A12999" s="40">
        <f t="shared" si="1"/>
        <v>46013</v>
      </c>
      <c r="B12999" s="37" t="str">
        <f t="array" ref="B12999">iferror(xlookup($I12999, 'IMPORT VHC Report'!$E:$E, 'IMPORT VHC Report'!$A:$C), )</f>
        <v/>
      </c>
      <c r="C12999" s="44"/>
      <c r="D12999" s="44"/>
      <c r="E12999" s="46" t="s">
        <v>9054</v>
      </c>
      <c r="F12999" s="46" t="s">
        <v>2096</v>
      </c>
      <c r="G12999" s="46">
        <v>1.0005722473615E13</v>
      </c>
      <c r="H12999" s="46" t="s">
        <v>2097</v>
      </c>
      <c r="I12999" s="46" t="s">
        <v>2098</v>
      </c>
      <c r="J12999" s="46" t="s">
        <v>125</v>
      </c>
      <c r="K12999" s="46" t="s">
        <v>126</v>
      </c>
      <c r="L12999" s="45">
        <v>46017.291666666664</v>
      </c>
      <c r="M12999" s="46" t="s">
        <v>123</v>
      </c>
      <c r="N12999" s="45">
        <v>46017.5</v>
      </c>
      <c r="O12999" s="46" t="s">
        <v>123</v>
      </c>
      <c r="P12999" s="46">
        <v>18000.0</v>
      </c>
      <c r="S12999" s="46" t="s">
        <v>9025</v>
      </c>
    </row>
    <row r="13000">
      <c r="A13000" s="40">
        <f t="shared" si="1"/>
        <v>46013</v>
      </c>
      <c r="B13000" s="37" t="str">
        <f t="array" ref="B13000">iferror(xlookup($I13000, 'IMPORT VHC Report'!$E:$E, 'IMPORT VHC Report'!$A:$C), )</f>
        <v/>
      </c>
      <c r="C13000" s="44"/>
      <c r="D13000" s="44"/>
      <c r="E13000" s="46" t="s">
        <v>9055</v>
      </c>
      <c r="F13000" s="46" t="s">
        <v>2096</v>
      </c>
      <c r="G13000" s="46">
        <v>1.0005722473615E13</v>
      </c>
      <c r="H13000" s="46" t="s">
        <v>2097</v>
      </c>
      <c r="I13000" s="46" t="s">
        <v>2098</v>
      </c>
      <c r="J13000" s="46" t="s">
        <v>132</v>
      </c>
      <c r="K13000" s="46" t="s">
        <v>126</v>
      </c>
      <c r="L13000" s="45">
        <v>46017.5</v>
      </c>
      <c r="M13000" s="46" t="s">
        <v>123</v>
      </c>
      <c r="N13000" s="45">
        <v>46017.541666666664</v>
      </c>
      <c r="O13000" s="46" t="s">
        <v>123</v>
      </c>
      <c r="P13000" s="46">
        <v>3600.0</v>
      </c>
    </row>
    <row r="13001">
      <c r="A13001" s="40">
        <f t="shared" si="1"/>
        <v>46013</v>
      </c>
      <c r="B13001" s="37" t="str">
        <f t="array" ref="B13001">iferror(xlookup($I13001, 'IMPORT VHC Report'!$E:$E, 'IMPORT VHC Report'!$A:$C), )</f>
        <v/>
      </c>
      <c r="C13001" s="44"/>
      <c r="D13001" s="44"/>
      <c r="E13001" s="46" t="s">
        <v>9056</v>
      </c>
      <c r="F13001" s="46" t="s">
        <v>2151</v>
      </c>
      <c r="G13001" s="46">
        <v>5.901988041103E12</v>
      </c>
      <c r="H13001" s="46" t="s">
        <v>2152</v>
      </c>
      <c r="I13001" s="46" t="s">
        <v>2153</v>
      </c>
      <c r="J13001" s="46" t="s">
        <v>224</v>
      </c>
      <c r="K13001" s="46" t="s">
        <v>63</v>
      </c>
      <c r="L13001" s="45">
        <v>46013.166666666664</v>
      </c>
      <c r="M13001" s="46" t="s">
        <v>123</v>
      </c>
      <c r="N13001" s="45">
        <v>46013.541666666664</v>
      </c>
      <c r="O13001" s="46" t="s">
        <v>123</v>
      </c>
      <c r="P13001" s="46">
        <v>32400.0</v>
      </c>
    </row>
    <row r="13002">
      <c r="A13002" s="40">
        <f t="shared" si="1"/>
        <v>46013</v>
      </c>
      <c r="B13002" s="37" t="str">
        <f t="array" ref="B13002">iferror(xlookup($I13002, 'IMPORT VHC Report'!$E:$E, 'IMPORT VHC Report'!$A:$C), )</f>
        <v/>
      </c>
      <c r="C13002" s="44"/>
      <c r="D13002" s="44"/>
      <c r="E13002" s="46" t="s">
        <v>9057</v>
      </c>
      <c r="F13002" s="46" t="s">
        <v>2151</v>
      </c>
      <c r="G13002" s="46">
        <v>5.901988041103E12</v>
      </c>
      <c r="H13002" s="46" t="s">
        <v>2152</v>
      </c>
      <c r="I13002" s="46" t="s">
        <v>2153</v>
      </c>
      <c r="J13002" s="46" t="s">
        <v>178</v>
      </c>
      <c r="K13002" s="46" t="s">
        <v>153</v>
      </c>
      <c r="L13002" s="45">
        <v>46013.166666666664</v>
      </c>
      <c r="M13002" s="46" t="s">
        <v>123</v>
      </c>
      <c r="N13002" s="45">
        <v>46013.541666666664</v>
      </c>
      <c r="O13002" s="46" t="s">
        <v>123</v>
      </c>
      <c r="P13002" s="46">
        <v>32400.0</v>
      </c>
      <c r="Q13002" s="46">
        <v>32400.0</v>
      </c>
    </row>
    <row r="13003">
      <c r="A13003" s="40">
        <f t="shared" si="1"/>
        <v>46013</v>
      </c>
      <c r="B13003" s="37" t="str">
        <f t="array" ref="B13003">iferror(xlookup($I13003, 'IMPORT VHC Report'!$E:$E, 'IMPORT VHC Report'!$A:$C), )</f>
        <v/>
      </c>
      <c r="C13003" s="44"/>
      <c r="D13003" s="44"/>
      <c r="E13003" s="46" t="s">
        <v>9058</v>
      </c>
      <c r="F13003" s="46" t="s">
        <v>2151</v>
      </c>
      <c r="G13003" s="46">
        <v>5.901988041103E12</v>
      </c>
      <c r="H13003" s="46" t="s">
        <v>2152</v>
      </c>
      <c r="I13003" s="46" t="s">
        <v>2153</v>
      </c>
      <c r="J13003" s="46" t="s">
        <v>134</v>
      </c>
      <c r="K13003" s="46" t="s">
        <v>126</v>
      </c>
      <c r="L13003" s="45">
        <v>46013.28125</v>
      </c>
      <c r="M13003" s="46" t="s">
        <v>123</v>
      </c>
      <c r="N13003" s="45">
        <v>46013.302083333336</v>
      </c>
      <c r="O13003" s="46" t="s">
        <v>123</v>
      </c>
      <c r="P13003" s="46">
        <v>1800.0</v>
      </c>
    </row>
    <row r="13004">
      <c r="A13004" s="40">
        <f t="shared" si="1"/>
        <v>46013</v>
      </c>
      <c r="B13004" s="37" t="str">
        <f t="array" ref="B13004">iferror(xlookup($I13004, 'IMPORT VHC Report'!$E:$E, 'IMPORT VHC Report'!$A:$C), )</f>
        <v/>
      </c>
      <c r="C13004" s="44"/>
      <c r="D13004" s="44"/>
      <c r="E13004" s="46" t="s">
        <v>9059</v>
      </c>
      <c r="F13004" s="46" t="s">
        <v>2151</v>
      </c>
      <c r="G13004" s="46">
        <v>5.901988041103E12</v>
      </c>
      <c r="H13004" s="46" t="s">
        <v>2152</v>
      </c>
      <c r="I13004" s="46" t="s">
        <v>2153</v>
      </c>
      <c r="J13004" s="46" t="s">
        <v>132</v>
      </c>
      <c r="K13004" s="46" t="s">
        <v>126</v>
      </c>
      <c r="L13004" s="45">
        <v>46013.416666666664</v>
      </c>
      <c r="M13004" s="46" t="s">
        <v>123</v>
      </c>
      <c r="N13004" s="45">
        <v>46013.458333333336</v>
      </c>
      <c r="O13004" s="46" t="s">
        <v>123</v>
      </c>
      <c r="P13004" s="46">
        <v>3600.0</v>
      </c>
    </row>
    <row r="13005">
      <c r="A13005" s="40">
        <f t="shared" si="1"/>
        <v>46013</v>
      </c>
      <c r="B13005" s="37" t="str">
        <f t="array" ref="B13005">iferror(xlookup($I13005, 'IMPORT VHC Report'!$E:$E, 'IMPORT VHC Report'!$A:$C), )</f>
        <v/>
      </c>
      <c r="C13005" s="44"/>
      <c r="D13005" s="44"/>
      <c r="E13005" s="46" t="s">
        <v>9060</v>
      </c>
      <c r="F13005" s="46" t="s">
        <v>2151</v>
      </c>
      <c r="G13005" s="46">
        <v>5.901988041103E12</v>
      </c>
      <c r="H13005" s="46" t="s">
        <v>2152</v>
      </c>
      <c r="I13005" s="46" t="s">
        <v>2153</v>
      </c>
      <c r="J13005" s="46" t="s">
        <v>224</v>
      </c>
      <c r="K13005" s="46" t="s">
        <v>63</v>
      </c>
      <c r="L13005" s="45">
        <v>46014.166666666664</v>
      </c>
      <c r="M13005" s="46" t="s">
        <v>123</v>
      </c>
      <c r="N13005" s="45">
        <v>46014.541666666664</v>
      </c>
      <c r="O13005" s="46" t="s">
        <v>123</v>
      </c>
      <c r="P13005" s="46">
        <v>32400.0</v>
      </c>
    </row>
    <row r="13006">
      <c r="A13006" s="40">
        <f t="shared" si="1"/>
        <v>46013</v>
      </c>
      <c r="B13006" s="37" t="str">
        <f t="array" ref="B13006">iferror(xlookup($I13006, 'IMPORT VHC Report'!$E:$E, 'IMPORT VHC Report'!$A:$C), )</f>
        <v/>
      </c>
      <c r="C13006" s="44"/>
      <c r="D13006" s="44"/>
      <c r="E13006" s="46" t="s">
        <v>9061</v>
      </c>
      <c r="F13006" s="46" t="s">
        <v>2151</v>
      </c>
      <c r="G13006" s="46">
        <v>5.901988041103E12</v>
      </c>
      <c r="H13006" s="46" t="s">
        <v>2152</v>
      </c>
      <c r="I13006" s="46" t="s">
        <v>2153</v>
      </c>
      <c r="J13006" s="46" t="s">
        <v>178</v>
      </c>
      <c r="K13006" s="46" t="s">
        <v>153</v>
      </c>
      <c r="L13006" s="45">
        <v>46014.166666666664</v>
      </c>
      <c r="M13006" s="46" t="s">
        <v>123</v>
      </c>
      <c r="N13006" s="45">
        <v>46014.541666666664</v>
      </c>
      <c r="O13006" s="46" t="s">
        <v>123</v>
      </c>
      <c r="P13006" s="46">
        <v>32400.0</v>
      </c>
      <c r="Q13006" s="46">
        <v>32400.0</v>
      </c>
    </row>
    <row r="13007">
      <c r="A13007" s="40">
        <f t="shared" si="1"/>
        <v>46013</v>
      </c>
      <c r="B13007" s="37" t="str">
        <f t="array" ref="B13007">iferror(xlookup($I13007, 'IMPORT VHC Report'!$E:$E, 'IMPORT VHC Report'!$A:$C), )</f>
        <v/>
      </c>
      <c r="C13007" s="44"/>
      <c r="D13007" s="44"/>
      <c r="E13007" s="46" t="s">
        <v>9062</v>
      </c>
      <c r="F13007" s="46" t="s">
        <v>2151</v>
      </c>
      <c r="G13007" s="46">
        <v>5.901988041103E12</v>
      </c>
      <c r="H13007" s="46" t="s">
        <v>2152</v>
      </c>
      <c r="I13007" s="46" t="s">
        <v>2153</v>
      </c>
      <c r="J13007" s="46" t="s">
        <v>132</v>
      </c>
      <c r="K13007" s="46" t="s">
        <v>126</v>
      </c>
      <c r="L13007" s="45">
        <v>46014.291666666664</v>
      </c>
      <c r="M13007" s="46" t="s">
        <v>123</v>
      </c>
      <c r="N13007" s="45">
        <v>46014.333333333336</v>
      </c>
      <c r="O13007" s="46" t="s">
        <v>123</v>
      </c>
      <c r="P13007" s="46">
        <v>3600.0</v>
      </c>
    </row>
    <row r="13008">
      <c r="A13008" s="40">
        <f t="shared" si="1"/>
        <v>46013</v>
      </c>
      <c r="B13008" s="37" t="str">
        <f t="array" ref="B13008">iferror(xlookup($I13008, 'IMPORT VHC Report'!$E:$E, 'IMPORT VHC Report'!$A:$C), )</f>
        <v/>
      </c>
      <c r="C13008" s="44"/>
      <c r="D13008" s="44"/>
      <c r="E13008" s="46" t="s">
        <v>9063</v>
      </c>
      <c r="F13008" s="46" t="s">
        <v>2151</v>
      </c>
      <c r="G13008" s="46">
        <v>5.901988041103E12</v>
      </c>
      <c r="H13008" s="46" t="s">
        <v>2152</v>
      </c>
      <c r="I13008" s="46" t="s">
        <v>2153</v>
      </c>
      <c r="J13008" s="46" t="s">
        <v>134</v>
      </c>
      <c r="K13008" s="46" t="s">
        <v>126</v>
      </c>
      <c r="L13008" s="45">
        <v>46014.4375</v>
      </c>
      <c r="M13008" s="46" t="s">
        <v>123</v>
      </c>
      <c r="N13008" s="45">
        <v>46014.458333333336</v>
      </c>
      <c r="O13008" s="46" t="s">
        <v>123</v>
      </c>
      <c r="P13008" s="46">
        <v>1800.0</v>
      </c>
    </row>
    <row r="13009">
      <c r="A13009" s="40">
        <f t="shared" si="1"/>
        <v>46013</v>
      </c>
      <c r="B13009" s="37" t="str">
        <f t="array" ref="B13009">iferror(xlookup($I13009, 'IMPORT VHC Report'!$E:$E, 'IMPORT VHC Report'!$A:$C), )</f>
        <v/>
      </c>
      <c r="C13009" s="44"/>
      <c r="D13009" s="44"/>
      <c r="E13009" s="46" t="s">
        <v>9064</v>
      </c>
      <c r="F13009" s="46" t="s">
        <v>2151</v>
      </c>
      <c r="G13009" s="46">
        <v>5.901988041103E12</v>
      </c>
      <c r="H13009" s="46" t="s">
        <v>2152</v>
      </c>
      <c r="I13009" s="46" t="s">
        <v>2153</v>
      </c>
      <c r="J13009" s="46" t="s">
        <v>224</v>
      </c>
      <c r="K13009" s="46" t="s">
        <v>63</v>
      </c>
      <c r="L13009" s="45">
        <v>46015.166666666664</v>
      </c>
      <c r="M13009" s="46" t="s">
        <v>123</v>
      </c>
      <c r="N13009" s="45">
        <v>46015.541666666664</v>
      </c>
      <c r="O13009" s="46" t="s">
        <v>123</v>
      </c>
      <c r="P13009" s="46">
        <v>32400.0</v>
      </c>
    </row>
    <row r="13010">
      <c r="A13010" s="40">
        <f t="shared" si="1"/>
        <v>46013</v>
      </c>
      <c r="B13010" s="37" t="str">
        <f t="array" ref="B13010">iferror(xlookup($I13010, 'IMPORT VHC Report'!$E:$E, 'IMPORT VHC Report'!$A:$C), )</f>
        <v/>
      </c>
      <c r="C13010" s="44"/>
      <c r="D13010" s="44"/>
      <c r="E13010" s="46" t="s">
        <v>9065</v>
      </c>
      <c r="F13010" s="46" t="s">
        <v>2151</v>
      </c>
      <c r="G13010" s="46">
        <v>5.901988041103E12</v>
      </c>
      <c r="H13010" s="46" t="s">
        <v>2152</v>
      </c>
      <c r="I13010" s="46" t="s">
        <v>2153</v>
      </c>
      <c r="J13010" s="46" t="s">
        <v>178</v>
      </c>
      <c r="K13010" s="46" t="s">
        <v>153</v>
      </c>
      <c r="L13010" s="45">
        <v>46015.166666666664</v>
      </c>
      <c r="M13010" s="46" t="s">
        <v>123</v>
      </c>
      <c r="N13010" s="45">
        <v>46015.541666666664</v>
      </c>
      <c r="O13010" s="46" t="s">
        <v>123</v>
      </c>
      <c r="P13010" s="46">
        <v>32400.0</v>
      </c>
      <c r="Q13010" s="46">
        <v>32400.0</v>
      </c>
    </row>
    <row r="13011">
      <c r="A13011" s="40">
        <f t="shared" si="1"/>
        <v>46013</v>
      </c>
      <c r="B13011" s="37" t="str">
        <f t="array" ref="B13011">iferror(xlookup($I13011, 'IMPORT VHC Report'!$E:$E, 'IMPORT VHC Report'!$A:$C), )</f>
        <v/>
      </c>
      <c r="C13011" s="44"/>
      <c r="D13011" s="44"/>
      <c r="E13011" s="46" t="s">
        <v>9066</v>
      </c>
      <c r="F13011" s="46" t="s">
        <v>2151</v>
      </c>
      <c r="G13011" s="46">
        <v>5.901988041103E12</v>
      </c>
      <c r="H13011" s="46" t="s">
        <v>2152</v>
      </c>
      <c r="I13011" s="46" t="s">
        <v>2153</v>
      </c>
      <c r="J13011" s="46" t="s">
        <v>134</v>
      </c>
      <c r="K13011" s="46" t="s">
        <v>126</v>
      </c>
      <c r="L13011" s="45">
        <v>46015.270833333336</v>
      </c>
      <c r="M13011" s="46" t="s">
        <v>123</v>
      </c>
      <c r="N13011" s="45">
        <v>46015.291666666664</v>
      </c>
      <c r="O13011" s="46" t="s">
        <v>123</v>
      </c>
      <c r="P13011" s="46">
        <v>1800.0</v>
      </c>
    </row>
    <row r="13012">
      <c r="A13012" s="40">
        <f t="shared" si="1"/>
        <v>46013</v>
      </c>
      <c r="B13012" s="37" t="str">
        <f t="array" ref="B13012">iferror(xlookup($I13012, 'IMPORT VHC Report'!$E:$E, 'IMPORT VHC Report'!$A:$C), )</f>
        <v/>
      </c>
      <c r="C13012" s="44"/>
      <c r="D13012" s="44"/>
      <c r="E13012" s="46" t="s">
        <v>9067</v>
      </c>
      <c r="F13012" s="46" t="s">
        <v>2151</v>
      </c>
      <c r="G13012" s="46">
        <v>5.901988041103E12</v>
      </c>
      <c r="H13012" s="46" t="s">
        <v>2152</v>
      </c>
      <c r="I13012" s="46" t="s">
        <v>2153</v>
      </c>
      <c r="J13012" s="46" t="s">
        <v>132</v>
      </c>
      <c r="K13012" s="46" t="s">
        <v>126</v>
      </c>
      <c r="L13012" s="45">
        <v>46015.416666666664</v>
      </c>
      <c r="M13012" s="46" t="s">
        <v>123</v>
      </c>
      <c r="N13012" s="45">
        <v>46015.458333333336</v>
      </c>
      <c r="O13012" s="46" t="s">
        <v>123</v>
      </c>
      <c r="P13012" s="46">
        <v>3600.0</v>
      </c>
    </row>
    <row r="13013">
      <c r="A13013" s="40">
        <f t="shared" si="1"/>
        <v>46013</v>
      </c>
      <c r="B13013" s="37" t="str">
        <f t="array" ref="B13013">iferror(xlookup($I13013, 'IMPORT VHC Report'!$E:$E, 'IMPORT VHC Report'!$A:$C), )</f>
        <v/>
      </c>
      <c r="C13013" s="44"/>
      <c r="D13013" s="44"/>
      <c r="E13013" s="46" t="s">
        <v>9068</v>
      </c>
      <c r="F13013" s="46" t="s">
        <v>2151</v>
      </c>
      <c r="G13013" s="46">
        <v>5.901988041103E12</v>
      </c>
      <c r="H13013" s="46" t="s">
        <v>2152</v>
      </c>
      <c r="I13013" s="46" t="s">
        <v>2153</v>
      </c>
      <c r="J13013" s="46" t="s">
        <v>224</v>
      </c>
      <c r="K13013" s="46" t="s">
        <v>63</v>
      </c>
      <c r="L13013" s="45">
        <v>46016.166666666664</v>
      </c>
      <c r="M13013" s="46" t="s">
        <v>123</v>
      </c>
      <c r="N13013" s="45">
        <v>46016.541666666664</v>
      </c>
      <c r="O13013" s="46" t="s">
        <v>123</v>
      </c>
      <c r="P13013" s="46">
        <v>32400.0</v>
      </c>
    </row>
    <row r="13014">
      <c r="A13014" s="40">
        <f t="shared" si="1"/>
        <v>46013</v>
      </c>
      <c r="B13014" s="37" t="str">
        <f t="array" ref="B13014">iferror(xlookup($I13014, 'IMPORT VHC Report'!$E:$E, 'IMPORT VHC Report'!$A:$C), )</f>
        <v/>
      </c>
      <c r="C13014" s="44"/>
      <c r="D13014" s="44"/>
      <c r="E13014" s="46" t="s">
        <v>9069</v>
      </c>
      <c r="F13014" s="46" t="s">
        <v>2151</v>
      </c>
      <c r="G13014" s="46">
        <v>5.901988041103E12</v>
      </c>
      <c r="H13014" s="46" t="s">
        <v>2152</v>
      </c>
      <c r="I13014" s="46" t="s">
        <v>2153</v>
      </c>
      <c r="J13014" s="46" t="s">
        <v>178</v>
      </c>
      <c r="K13014" s="46" t="s">
        <v>153</v>
      </c>
      <c r="L13014" s="45">
        <v>46016.166666666664</v>
      </c>
      <c r="M13014" s="46" t="s">
        <v>123</v>
      </c>
      <c r="N13014" s="45">
        <v>46016.541666666664</v>
      </c>
      <c r="O13014" s="46" t="s">
        <v>123</v>
      </c>
      <c r="P13014" s="46">
        <v>32400.0</v>
      </c>
      <c r="Q13014" s="46">
        <v>32400.0</v>
      </c>
    </row>
    <row r="13015">
      <c r="A13015" s="40">
        <f t="shared" si="1"/>
        <v>46013</v>
      </c>
      <c r="B13015" s="37" t="str">
        <f t="array" ref="B13015">iferror(xlookup($I13015, 'IMPORT VHC Report'!$E:$E, 'IMPORT VHC Report'!$A:$C), )</f>
        <v/>
      </c>
      <c r="C13015" s="44"/>
      <c r="D13015" s="44"/>
      <c r="E13015" s="46" t="s">
        <v>9070</v>
      </c>
      <c r="F13015" s="46" t="s">
        <v>2151</v>
      </c>
      <c r="G13015" s="46">
        <v>5.901988041103E12</v>
      </c>
      <c r="H13015" s="46" t="s">
        <v>2152</v>
      </c>
      <c r="I13015" s="46" t="s">
        <v>2153</v>
      </c>
      <c r="J13015" s="46" t="s">
        <v>134</v>
      </c>
      <c r="K13015" s="46" t="s">
        <v>126</v>
      </c>
      <c r="L13015" s="45">
        <v>46016.270833333336</v>
      </c>
      <c r="M13015" s="46" t="s">
        <v>123</v>
      </c>
      <c r="N13015" s="45">
        <v>46016.291666666664</v>
      </c>
      <c r="O13015" s="46" t="s">
        <v>123</v>
      </c>
      <c r="P13015" s="46">
        <v>1800.0</v>
      </c>
    </row>
    <row r="13016">
      <c r="A13016" s="40">
        <f t="shared" si="1"/>
        <v>46013</v>
      </c>
      <c r="B13016" s="37" t="str">
        <f t="array" ref="B13016">iferror(xlookup($I13016, 'IMPORT VHC Report'!$E:$E, 'IMPORT VHC Report'!$A:$C), )</f>
        <v/>
      </c>
      <c r="C13016" s="44"/>
      <c r="D13016" s="44"/>
      <c r="E13016" s="46" t="s">
        <v>9071</v>
      </c>
      <c r="F13016" s="46" t="s">
        <v>2151</v>
      </c>
      <c r="G13016" s="46">
        <v>5.901988041103E12</v>
      </c>
      <c r="H13016" s="46" t="s">
        <v>2152</v>
      </c>
      <c r="I13016" s="46" t="s">
        <v>2153</v>
      </c>
      <c r="J13016" s="46" t="s">
        <v>132</v>
      </c>
      <c r="K13016" s="46" t="s">
        <v>126</v>
      </c>
      <c r="L13016" s="45">
        <v>46016.395833333336</v>
      </c>
      <c r="M13016" s="46" t="s">
        <v>123</v>
      </c>
      <c r="N13016" s="45">
        <v>46016.4375</v>
      </c>
      <c r="O13016" s="46" t="s">
        <v>123</v>
      </c>
      <c r="P13016" s="46">
        <v>3600.0</v>
      </c>
    </row>
    <row r="13017">
      <c r="A13017" s="40">
        <f t="shared" si="1"/>
        <v>46013</v>
      </c>
      <c r="B13017" s="37" t="str">
        <f t="array" ref="B13017">iferror(xlookup($I13017, 'IMPORT VHC Report'!$E:$E, 'IMPORT VHC Report'!$A:$C), )</f>
        <v/>
      </c>
      <c r="C13017" s="44"/>
      <c r="D13017" s="44"/>
      <c r="E13017" s="46" t="s">
        <v>9072</v>
      </c>
      <c r="F13017" s="46" t="s">
        <v>2151</v>
      </c>
      <c r="G13017" s="46">
        <v>5.901988041103E12</v>
      </c>
      <c r="H13017" s="46" t="s">
        <v>2152</v>
      </c>
      <c r="I13017" s="46" t="s">
        <v>2153</v>
      </c>
      <c r="J13017" s="46" t="s">
        <v>178</v>
      </c>
      <c r="K13017" s="46" t="s">
        <v>153</v>
      </c>
      <c r="L13017" s="45">
        <v>46017.166666666664</v>
      </c>
      <c r="M13017" s="46" t="s">
        <v>123</v>
      </c>
      <c r="N13017" s="45">
        <v>46017.541666666664</v>
      </c>
      <c r="O13017" s="46" t="s">
        <v>123</v>
      </c>
      <c r="P13017" s="46">
        <v>32400.0</v>
      </c>
      <c r="Q13017" s="46">
        <v>32400.0</v>
      </c>
    </row>
    <row r="13018">
      <c r="A13018" s="40">
        <f t="shared" si="1"/>
        <v>46013</v>
      </c>
      <c r="B13018" s="37" t="str">
        <f t="array" ref="B13018">iferror(xlookup($I13018, 'IMPORT VHC Report'!$E:$E, 'IMPORT VHC Report'!$A:$C), )</f>
        <v/>
      </c>
      <c r="C13018" s="44"/>
      <c r="D13018" s="44"/>
      <c r="E13018" s="46" t="s">
        <v>9073</v>
      </c>
      <c r="F13018" s="46" t="s">
        <v>2151</v>
      </c>
      <c r="G13018" s="46">
        <v>5.901988041103E12</v>
      </c>
      <c r="H13018" s="46" t="s">
        <v>2152</v>
      </c>
      <c r="I13018" s="46" t="s">
        <v>2153</v>
      </c>
      <c r="J13018" s="46" t="s">
        <v>224</v>
      </c>
      <c r="K13018" s="46" t="s">
        <v>63</v>
      </c>
      <c r="L13018" s="45">
        <v>46017.166666666664</v>
      </c>
      <c r="M13018" s="46" t="s">
        <v>123</v>
      </c>
      <c r="N13018" s="45">
        <v>46017.541666666664</v>
      </c>
      <c r="O13018" s="46" t="s">
        <v>123</v>
      </c>
      <c r="P13018" s="46">
        <v>32400.0</v>
      </c>
    </row>
    <row r="13019">
      <c r="A13019" s="40">
        <f t="shared" si="1"/>
        <v>46013</v>
      </c>
      <c r="B13019" s="37" t="str">
        <f t="array" ref="B13019">iferror(xlookup($I13019, 'IMPORT VHC Report'!$E:$E, 'IMPORT VHC Report'!$A:$C), )</f>
        <v/>
      </c>
      <c r="C13019" s="44"/>
      <c r="D13019" s="44"/>
      <c r="E13019" s="46" t="s">
        <v>9074</v>
      </c>
      <c r="F13019" s="46" t="s">
        <v>2151</v>
      </c>
      <c r="G13019" s="46">
        <v>5.901988041103E12</v>
      </c>
      <c r="H13019" s="46" t="s">
        <v>2152</v>
      </c>
      <c r="I13019" s="46" t="s">
        <v>2153</v>
      </c>
      <c r="J13019" s="46" t="s">
        <v>132</v>
      </c>
      <c r="K13019" s="46" t="s">
        <v>126</v>
      </c>
      <c r="L13019" s="45">
        <v>46017.3125</v>
      </c>
      <c r="M13019" s="46" t="s">
        <v>123</v>
      </c>
      <c r="N13019" s="45">
        <v>46017.354166666664</v>
      </c>
      <c r="O13019" s="46" t="s">
        <v>123</v>
      </c>
      <c r="P13019" s="46">
        <v>3600.0</v>
      </c>
    </row>
    <row r="13020">
      <c r="A13020" s="40">
        <f t="shared" si="1"/>
        <v>46013</v>
      </c>
      <c r="B13020" s="37" t="str">
        <f t="array" ref="B13020">iferror(xlookup($I13020, 'IMPORT VHC Report'!$E:$E, 'IMPORT VHC Report'!$A:$C), )</f>
        <v/>
      </c>
      <c r="C13020" s="44"/>
      <c r="D13020" s="44"/>
      <c r="E13020" s="46" t="s">
        <v>9075</v>
      </c>
      <c r="F13020" s="46" t="s">
        <v>2151</v>
      </c>
      <c r="G13020" s="46">
        <v>5.901988041103E12</v>
      </c>
      <c r="H13020" s="46" t="s">
        <v>2152</v>
      </c>
      <c r="I13020" s="46" t="s">
        <v>2153</v>
      </c>
      <c r="J13020" s="46" t="s">
        <v>134</v>
      </c>
      <c r="K13020" s="46" t="s">
        <v>126</v>
      </c>
      <c r="L13020" s="45">
        <v>46017.458333333336</v>
      </c>
      <c r="M13020" s="46" t="s">
        <v>123</v>
      </c>
      <c r="N13020" s="45">
        <v>46017.479166666664</v>
      </c>
      <c r="O13020" s="46" t="s">
        <v>123</v>
      </c>
      <c r="P13020" s="46">
        <v>1800.0</v>
      </c>
    </row>
    <row r="13021">
      <c r="A13021" s="40">
        <f t="shared" si="1"/>
        <v>46013</v>
      </c>
      <c r="B13021" s="37" t="str">
        <f t="array" ref="B13021">iferror(xlookup($I13021, 'IMPORT VHC Report'!$E:$E, 'IMPORT VHC Report'!$A:$C), )</f>
        <v/>
      </c>
      <c r="C13021" s="44"/>
      <c r="D13021" s="44"/>
      <c r="E13021" s="46" t="s">
        <v>9076</v>
      </c>
      <c r="F13021" s="46" t="s">
        <v>2183</v>
      </c>
      <c r="G13021" s="46">
        <v>3.61969384715E11</v>
      </c>
      <c r="H13021" s="46" t="s">
        <v>2184</v>
      </c>
      <c r="I13021" s="46" t="s">
        <v>2185</v>
      </c>
      <c r="J13021" s="46" t="s">
        <v>224</v>
      </c>
      <c r="K13021" s="46" t="s">
        <v>63</v>
      </c>
      <c r="L13021" s="45">
        <v>46013.166666666664</v>
      </c>
      <c r="M13021" s="46" t="s">
        <v>123</v>
      </c>
      <c r="N13021" s="45">
        <v>46013.541666666664</v>
      </c>
      <c r="O13021" s="46" t="s">
        <v>123</v>
      </c>
      <c r="P13021" s="46">
        <v>32400.0</v>
      </c>
    </row>
    <row r="13022">
      <c r="A13022" s="40">
        <f t="shared" si="1"/>
        <v>46013</v>
      </c>
      <c r="B13022" s="37" t="str">
        <f t="array" ref="B13022">iferror(xlookup($I13022, 'IMPORT VHC Report'!$E:$E, 'IMPORT VHC Report'!$A:$C), )</f>
        <v/>
      </c>
      <c r="C13022" s="44"/>
      <c r="D13022" s="44"/>
      <c r="E13022" s="46" t="s">
        <v>9077</v>
      </c>
      <c r="F13022" s="46" t="s">
        <v>2183</v>
      </c>
      <c r="G13022" s="46">
        <v>3.61969384715E11</v>
      </c>
      <c r="H13022" s="46" t="s">
        <v>2184</v>
      </c>
      <c r="I13022" s="46" t="s">
        <v>2185</v>
      </c>
      <c r="J13022" s="46" t="s">
        <v>134</v>
      </c>
      <c r="K13022" s="46" t="s">
        <v>126</v>
      </c>
      <c r="L13022" s="45">
        <v>46013.291666666664</v>
      </c>
      <c r="M13022" s="46" t="s">
        <v>123</v>
      </c>
      <c r="N13022" s="45">
        <v>46013.3125</v>
      </c>
      <c r="O13022" s="46" t="s">
        <v>123</v>
      </c>
      <c r="P13022" s="46">
        <v>1800.0</v>
      </c>
    </row>
    <row r="13023">
      <c r="A13023" s="40">
        <f t="shared" si="1"/>
        <v>46013</v>
      </c>
      <c r="B13023" s="37" t="str">
        <f t="array" ref="B13023">iferror(xlookup($I13023, 'IMPORT VHC Report'!$E:$E, 'IMPORT VHC Report'!$A:$C), )</f>
        <v/>
      </c>
      <c r="C13023" s="44"/>
      <c r="D13023" s="44"/>
      <c r="E13023" s="46" t="s">
        <v>9078</v>
      </c>
      <c r="F13023" s="46" t="s">
        <v>2183</v>
      </c>
      <c r="G13023" s="46">
        <v>3.61969384715E11</v>
      </c>
      <c r="H13023" s="46" t="s">
        <v>2184</v>
      </c>
      <c r="I13023" s="46" t="s">
        <v>2185</v>
      </c>
      <c r="J13023" s="46" t="s">
        <v>125</v>
      </c>
      <c r="K13023" s="46" t="s">
        <v>126</v>
      </c>
      <c r="L13023" s="45">
        <v>46013.31875</v>
      </c>
      <c r="M13023" s="46" t="s">
        <v>123</v>
      </c>
      <c r="N13023" s="45">
        <v>46013.34166666667</v>
      </c>
      <c r="O13023" s="46" t="s">
        <v>123</v>
      </c>
      <c r="P13023" s="46">
        <v>1980.0</v>
      </c>
      <c r="S13023" s="46" t="s">
        <v>9079</v>
      </c>
    </row>
    <row r="13024">
      <c r="A13024" s="40">
        <f t="shared" si="1"/>
        <v>46013</v>
      </c>
      <c r="B13024" s="37" t="str">
        <f t="array" ref="B13024">iferror(xlookup($I13024, 'IMPORT VHC Report'!$E:$E, 'IMPORT VHC Report'!$A:$C), )</f>
        <v/>
      </c>
      <c r="C13024" s="44"/>
      <c r="D13024" s="44"/>
      <c r="E13024" s="46" t="s">
        <v>9080</v>
      </c>
      <c r="F13024" s="46" t="s">
        <v>2183</v>
      </c>
      <c r="G13024" s="46">
        <v>3.61969384715E11</v>
      </c>
      <c r="H13024" s="46" t="s">
        <v>2184</v>
      </c>
      <c r="I13024" s="46" t="s">
        <v>2185</v>
      </c>
      <c r="J13024" s="46" t="s">
        <v>136</v>
      </c>
      <c r="K13024" s="46" t="s">
        <v>126</v>
      </c>
      <c r="L13024" s="45">
        <v>46013.375</v>
      </c>
      <c r="M13024" s="46" t="s">
        <v>123</v>
      </c>
      <c r="N13024" s="45">
        <v>46013.395833333336</v>
      </c>
      <c r="O13024" s="46" t="s">
        <v>123</v>
      </c>
      <c r="P13024" s="46">
        <v>1800.0</v>
      </c>
    </row>
    <row r="13025">
      <c r="A13025" s="40">
        <f t="shared" si="1"/>
        <v>46013</v>
      </c>
      <c r="B13025" s="37" t="str">
        <f t="array" ref="B13025">iferror(xlookup($I13025, 'IMPORT VHC Report'!$E:$E, 'IMPORT VHC Report'!$A:$C), )</f>
        <v/>
      </c>
      <c r="C13025" s="44"/>
      <c r="D13025" s="44"/>
      <c r="E13025" s="46" t="s">
        <v>9081</v>
      </c>
      <c r="F13025" s="46" t="s">
        <v>2183</v>
      </c>
      <c r="G13025" s="46">
        <v>3.61969384715E11</v>
      </c>
      <c r="H13025" s="46" t="s">
        <v>2184</v>
      </c>
      <c r="I13025" s="46" t="s">
        <v>2185</v>
      </c>
      <c r="J13025" s="46" t="s">
        <v>136</v>
      </c>
      <c r="K13025" s="46" t="s">
        <v>126</v>
      </c>
      <c r="L13025" s="45">
        <v>46013.375</v>
      </c>
      <c r="M13025" s="46" t="s">
        <v>123</v>
      </c>
      <c r="N13025" s="45">
        <v>46013.39722222222</v>
      </c>
      <c r="O13025" s="46" t="s">
        <v>123</v>
      </c>
      <c r="P13025" s="46">
        <v>1920.0</v>
      </c>
    </row>
    <row r="13026">
      <c r="A13026" s="40">
        <f t="shared" si="1"/>
        <v>46013</v>
      </c>
      <c r="B13026" s="37" t="str">
        <f t="array" ref="B13026">iferror(xlookup($I13026, 'IMPORT VHC Report'!$E:$E, 'IMPORT VHC Report'!$A:$C), )</f>
        <v/>
      </c>
      <c r="C13026" s="44"/>
      <c r="D13026" s="44"/>
      <c r="E13026" s="46" t="s">
        <v>9082</v>
      </c>
      <c r="F13026" s="46" t="s">
        <v>2183</v>
      </c>
      <c r="G13026" s="46">
        <v>3.61969384715E11</v>
      </c>
      <c r="H13026" s="46" t="s">
        <v>2184</v>
      </c>
      <c r="I13026" s="46" t="s">
        <v>2185</v>
      </c>
      <c r="J13026" s="46" t="s">
        <v>132</v>
      </c>
      <c r="K13026" s="46" t="s">
        <v>126</v>
      </c>
      <c r="L13026" s="45">
        <v>46013.4375</v>
      </c>
      <c r="M13026" s="46" t="s">
        <v>123</v>
      </c>
      <c r="N13026" s="45">
        <v>46013.479166666664</v>
      </c>
      <c r="O13026" s="46" t="s">
        <v>123</v>
      </c>
      <c r="P13026" s="46">
        <v>3600.0</v>
      </c>
    </row>
    <row r="13027">
      <c r="A13027" s="40">
        <f t="shared" si="1"/>
        <v>46013</v>
      </c>
      <c r="B13027" s="37" t="str">
        <f t="array" ref="B13027">iferror(xlookup($I13027, 'IMPORT VHC Report'!$E:$E, 'IMPORT VHC Report'!$A:$C), )</f>
        <v/>
      </c>
      <c r="C13027" s="44"/>
      <c r="D13027" s="44"/>
      <c r="E13027" s="46" t="s">
        <v>9083</v>
      </c>
      <c r="F13027" s="46" t="s">
        <v>2183</v>
      </c>
      <c r="G13027" s="46">
        <v>3.61969384715E11</v>
      </c>
      <c r="H13027" s="46" t="s">
        <v>2184</v>
      </c>
      <c r="I13027" s="46" t="s">
        <v>2185</v>
      </c>
      <c r="J13027" s="46" t="s">
        <v>224</v>
      </c>
      <c r="K13027" s="46" t="s">
        <v>63</v>
      </c>
      <c r="L13027" s="45">
        <v>46014.125</v>
      </c>
      <c r="M13027" s="46" t="s">
        <v>123</v>
      </c>
      <c r="N13027" s="45">
        <v>46014.5</v>
      </c>
      <c r="O13027" s="46" t="s">
        <v>123</v>
      </c>
      <c r="P13027" s="46">
        <v>32400.0</v>
      </c>
    </row>
    <row r="13028">
      <c r="A13028" s="40">
        <f t="shared" si="1"/>
        <v>46013</v>
      </c>
      <c r="B13028" s="37" t="str">
        <f t="array" ref="B13028">iferror(xlookup($I13028, 'IMPORT VHC Report'!$E:$E, 'IMPORT VHC Report'!$A:$C), )</f>
        <v/>
      </c>
      <c r="C13028" s="44"/>
      <c r="D13028" s="44"/>
      <c r="E13028" s="46" t="s">
        <v>9084</v>
      </c>
      <c r="F13028" s="46" t="s">
        <v>2183</v>
      </c>
      <c r="G13028" s="46">
        <v>3.61969384715E11</v>
      </c>
      <c r="H13028" s="46" t="s">
        <v>2184</v>
      </c>
      <c r="I13028" s="46" t="s">
        <v>2185</v>
      </c>
      <c r="J13028" s="46" t="s">
        <v>134</v>
      </c>
      <c r="K13028" s="46" t="s">
        <v>126</v>
      </c>
      <c r="L13028" s="45">
        <v>46014.4375</v>
      </c>
      <c r="M13028" s="46" t="s">
        <v>123</v>
      </c>
      <c r="N13028" s="45">
        <v>46014.458333333336</v>
      </c>
      <c r="O13028" s="46" t="s">
        <v>123</v>
      </c>
      <c r="P13028" s="46">
        <v>1800.0</v>
      </c>
    </row>
    <row r="13029">
      <c r="A13029" s="40">
        <f t="shared" si="1"/>
        <v>46013</v>
      </c>
      <c r="B13029" s="37" t="str">
        <f t="array" ref="B13029">iferror(xlookup($I13029, 'IMPORT VHC Report'!$E:$E, 'IMPORT VHC Report'!$A:$C), )</f>
        <v/>
      </c>
      <c r="C13029" s="44"/>
      <c r="D13029" s="44"/>
      <c r="E13029" s="46" t="s">
        <v>9085</v>
      </c>
      <c r="F13029" s="46" t="s">
        <v>2183</v>
      </c>
      <c r="G13029" s="46">
        <v>3.61969384715E11</v>
      </c>
      <c r="H13029" s="46" t="s">
        <v>2184</v>
      </c>
      <c r="I13029" s="46" t="s">
        <v>2185</v>
      </c>
      <c r="J13029" s="46" t="s">
        <v>132</v>
      </c>
      <c r="K13029" s="46" t="s">
        <v>126</v>
      </c>
      <c r="L13029" s="45">
        <v>46014.458333333336</v>
      </c>
      <c r="M13029" s="46" t="s">
        <v>123</v>
      </c>
      <c r="N13029" s="45">
        <v>46014.5</v>
      </c>
      <c r="O13029" s="46" t="s">
        <v>123</v>
      </c>
      <c r="P13029" s="46">
        <v>3600.0</v>
      </c>
    </row>
    <row r="13030">
      <c r="A13030" s="40">
        <f t="shared" si="1"/>
        <v>46013</v>
      </c>
      <c r="B13030" s="37" t="str">
        <f t="array" ref="B13030">iferror(xlookup($I13030, 'IMPORT VHC Report'!$E:$E, 'IMPORT VHC Report'!$A:$C), )</f>
        <v/>
      </c>
      <c r="C13030" s="44"/>
      <c r="D13030" s="44"/>
      <c r="E13030" s="46" t="s">
        <v>9086</v>
      </c>
      <c r="F13030" s="46" t="s">
        <v>2183</v>
      </c>
      <c r="G13030" s="46">
        <v>3.61969384715E11</v>
      </c>
      <c r="H13030" s="46" t="s">
        <v>2184</v>
      </c>
      <c r="I13030" s="46" t="s">
        <v>2185</v>
      </c>
      <c r="J13030" s="46" t="s">
        <v>134</v>
      </c>
      <c r="K13030" s="46" t="s">
        <v>126</v>
      </c>
      <c r="L13030" s="45">
        <v>46015.0</v>
      </c>
      <c r="M13030" s="46" t="s">
        <v>123</v>
      </c>
      <c r="N13030" s="45">
        <v>46015.4375</v>
      </c>
      <c r="O13030" s="46" t="s">
        <v>123</v>
      </c>
      <c r="P13030" s="46">
        <v>37800.0</v>
      </c>
    </row>
    <row r="13031">
      <c r="A13031" s="40">
        <f t="shared" si="1"/>
        <v>46013</v>
      </c>
      <c r="B13031" s="37" t="str">
        <f t="array" ref="B13031">iferror(xlookup($I13031, 'IMPORT VHC Report'!$E:$E, 'IMPORT VHC Report'!$A:$C), )</f>
        <v/>
      </c>
      <c r="C13031" s="44"/>
      <c r="D13031" s="44"/>
      <c r="E13031" s="46" t="s">
        <v>9087</v>
      </c>
      <c r="F13031" s="46" t="s">
        <v>2183</v>
      </c>
      <c r="G13031" s="46">
        <v>3.61969384715E11</v>
      </c>
      <c r="H13031" s="46" t="s">
        <v>2184</v>
      </c>
      <c r="I13031" s="46" t="s">
        <v>2185</v>
      </c>
      <c r="J13031" s="46" t="s">
        <v>224</v>
      </c>
      <c r="K13031" s="46" t="s">
        <v>63</v>
      </c>
      <c r="L13031" s="45">
        <v>46015.125</v>
      </c>
      <c r="M13031" s="46" t="s">
        <v>123</v>
      </c>
      <c r="N13031" s="45">
        <v>46015.208333333336</v>
      </c>
      <c r="O13031" s="46" t="s">
        <v>123</v>
      </c>
      <c r="P13031" s="46">
        <v>7200.0</v>
      </c>
    </row>
    <row r="13032">
      <c r="A13032" s="40">
        <f t="shared" si="1"/>
        <v>46013</v>
      </c>
      <c r="B13032" s="37" t="str">
        <f t="array" ref="B13032">iferror(xlookup($I13032, 'IMPORT VHC Report'!$E:$E, 'IMPORT VHC Report'!$A:$C), )</f>
        <v/>
      </c>
      <c r="C13032" s="44"/>
      <c r="D13032" s="44"/>
      <c r="E13032" s="46" t="s">
        <v>9088</v>
      </c>
      <c r="F13032" s="46" t="s">
        <v>2183</v>
      </c>
      <c r="G13032" s="46">
        <v>3.61969384715E11</v>
      </c>
      <c r="H13032" s="46" t="s">
        <v>2184</v>
      </c>
      <c r="I13032" s="46" t="s">
        <v>2185</v>
      </c>
      <c r="J13032" s="46" t="s">
        <v>178</v>
      </c>
      <c r="K13032" s="46" t="s">
        <v>153</v>
      </c>
      <c r="L13032" s="45">
        <v>46015.125</v>
      </c>
      <c r="M13032" s="46" t="s">
        <v>123</v>
      </c>
      <c r="N13032" s="45">
        <v>46015.5</v>
      </c>
      <c r="O13032" s="46" t="s">
        <v>123</v>
      </c>
      <c r="P13032" s="46">
        <v>32400.0</v>
      </c>
      <c r="Q13032" s="46">
        <v>28800.0</v>
      </c>
    </row>
    <row r="13033">
      <c r="A13033" s="40">
        <f t="shared" si="1"/>
        <v>46013</v>
      </c>
      <c r="B13033" s="37" t="str">
        <f t="array" ref="B13033">iferror(xlookup($I13033, 'IMPORT VHC Report'!$E:$E, 'IMPORT VHC Report'!$A:$C), )</f>
        <v/>
      </c>
      <c r="C13033" s="44"/>
      <c r="D13033" s="44"/>
      <c r="E13033" s="46" t="s">
        <v>9089</v>
      </c>
      <c r="F13033" s="46" t="s">
        <v>2183</v>
      </c>
      <c r="G13033" s="46">
        <v>3.61969384715E11</v>
      </c>
      <c r="H13033" s="46" t="s">
        <v>2184</v>
      </c>
      <c r="I13033" s="46" t="s">
        <v>2185</v>
      </c>
      <c r="J13033" s="46" t="s">
        <v>62</v>
      </c>
      <c r="K13033" s="46" t="s">
        <v>63</v>
      </c>
      <c r="L13033" s="45">
        <v>46015.208333333336</v>
      </c>
      <c r="M13033" s="46" t="s">
        <v>123</v>
      </c>
      <c r="N13033" s="45">
        <v>46015.25</v>
      </c>
      <c r="O13033" s="46" t="s">
        <v>123</v>
      </c>
      <c r="P13033" s="46">
        <v>3600.0</v>
      </c>
    </row>
    <row r="13034">
      <c r="A13034" s="40">
        <f t="shared" si="1"/>
        <v>46013</v>
      </c>
      <c r="B13034" s="37" t="str">
        <f t="array" ref="B13034">iferror(xlookup($I13034, 'IMPORT VHC Report'!$E:$E, 'IMPORT VHC Report'!$A:$C), )</f>
        <v/>
      </c>
      <c r="C13034" s="44"/>
      <c r="D13034" s="44"/>
      <c r="E13034" s="46" t="s">
        <v>9090</v>
      </c>
      <c r="F13034" s="46" t="s">
        <v>2183</v>
      </c>
      <c r="G13034" s="46">
        <v>3.61969384715E11</v>
      </c>
      <c r="H13034" s="46" t="s">
        <v>2184</v>
      </c>
      <c r="I13034" s="46" t="s">
        <v>2185</v>
      </c>
      <c r="J13034" s="46" t="s">
        <v>134</v>
      </c>
      <c r="K13034" s="46" t="s">
        <v>126</v>
      </c>
      <c r="L13034" s="45">
        <v>46015.229166666664</v>
      </c>
      <c r="M13034" s="46" t="s">
        <v>123</v>
      </c>
      <c r="N13034" s="45">
        <v>46015.25</v>
      </c>
      <c r="O13034" s="46" t="s">
        <v>123</v>
      </c>
      <c r="P13034" s="46">
        <v>1800.0</v>
      </c>
    </row>
    <row r="13035">
      <c r="A13035" s="40">
        <f t="shared" si="1"/>
        <v>46013</v>
      </c>
      <c r="B13035" s="37" t="str">
        <f t="array" ref="B13035">iferror(xlookup($I13035, 'IMPORT VHC Report'!$E:$E, 'IMPORT VHC Report'!$A:$C), )</f>
        <v/>
      </c>
      <c r="C13035" s="44"/>
      <c r="D13035" s="44"/>
      <c r="E13035" s="46" t="s">
        <v>9091</v>
      </c>
      <c r="F13035" s="46" t="s">
        <v>2183</v>
      </c>
      <c r="G13035" s="46">
        <v>3.61969384715E11</v>
      </c>
      <c r="H13035" s="46" t="s">
        <v>2184</v>
      </c>
      <c r="I13035" s="46" t="s">
        <v>2185</v>
      </c>
      <c r="J13035" s="46" t="s">
        <v>224</v>
      </c>
      <c r="K13035" s="46" t="s">
        <v>63</v>
      </c>
      <c r="L13035" s="45">
        <v>46015.25</v>
      </c>
      <c r="M13035" s="46" t="s">
        <v>123</v>
      </c>
      <c r="N13035" s="45">
        <v>46015.5</v>
      </c>
      <c r="O13035" s="46" t="s">
        <v>123</v>
      </c>
      <c r="P13035" s="46">
        <v>21600.0</v>
      </c>
    </row>
    <row r="13036">
      <c r="A13036" s="40">
        <f t="shared" si="1"/>
        <v>46013</v>
      </c>
      <c r="B13036" s="37" t="str">
        <f t="array" ref="B13036">iferror(xlookup($I13036, 'IMPORT VHC Report'!$E:$E, 'IMPORT VHC Report'!$A:$C), )</f>
        <v/>
      </c>
      <c r="C13036" s="44"/>
      <c r="D13036" s="44"/>
      <c r="E13036" s="46" t="s">
        <v>9092</v>
      </c>
      <c r="F13036" s="46" t="s">
        <v>2183</v>
      </c>
      <c r="G13036" s="46">
        <v>3.61969384715E11</v>
      </c>
      <c r="H13036" s="46" t="s">
        <v>2184</v>
      </c>
      <c r="I13036" s="46" t="s">
        <v>2185</v>
      </c>
      <c r="J13036" s="46" t="s">
        <v>132</v>
      </c>
      <c r="K13036" s="46" t="s">
        <v>126</v>
      </c>
      <c r="L13036" s="45">
        <v>46015.375</v>
      </c>
      <c r="M13036" s="46" t="s">
        <v>123</v>
      </c>
      <c r="N13036" s="45">
        <v>46015.416666666664</v>
      </c>
      <c r="O13036" s="46" t="s">
        <v>123</v>
      </c>
      <c r="P13036" s="46">
        <v>3600.0</v>
      </c>
    </row>
    <row r="13037">
      <c r="A13037" s="40">
        <f t="shared" si="1"/>
        <v>46013</v>
      </c>
      <c r="B13037" s="37" t="str">
        <f t="array" ref="B13037">iferror(xlookup($I13037, 'IMPORT VHC Report'!$E:$E, 'IMPORT VHC Report'!$A:$C), )</f>
        <v/>
      </c>
      <c r="C13037" s="44"/>
      <c r="D13037" s="44"/>
      <c r="E13037" s="46" t="s">
        <v>9093</v>
      </c>
      <c r="F13037" s="46" t="s">
        <v>2183</v>
      </c>
      <c r="G13037" s="46">
        <v>3.61969384715E11</v>
      </c>
      <c r="H13037" s="46" t="s">
        <v>2184</v>
      </c>
      <c r="I13037" s="46" t="s">
        <v>2185</v>
      </c>
      <c r="J13037" s="46" t="s">
        <v>224</v>
      </c>
      <c r="K13037" s="46" t="s">
        <v>63</v>
      </c>
      <c r="L13037" s="45">
        <v>46016.125</v>
      </c>
      <c r="M13037" s="46" t="s">
        <v>123</v>
      </c>
      <c r="N13037" s="45">
        <v>46016.25</v>
      </c>
      <c r="O13037" s="46" t="s">
        <v>123</v>
      </c>
      <c r="P13037" s="46">
        <v>10800.0</v>
      </c>
    </row>
    <row r="13038">
      <c r="A13038" s="40">
        <f t="shared" si="1"/>
        <v>46013</v>
      </c>
      <c r="B13038" s="37" t="str">
        <f t="array" ref="B13038">iferror(xlookup($I13038, 'IMPORT VHC Report'!$E:$E, 'IMPORT VHC Report'!$A:$C), )</f>
        <v/>
      </c>
      <c r="C13038" s="44"/>
      <c r="D13038" s="44"/>
      <c r="E13038" s="46" t="s">
        <v>9094</v>
      </c>
      <c r="F13038" s="46" t="s">
        <v>2183</v>
      </c>
      <c r="G13038" s="46">
        <v>3.61969384715E11</v>
      </c>
      <c r="H13038" s="46" t="s">
        <v>2184</v>
      </c>
      <c r="I13038" s="46" t="s">
        <v>2185</v>
      </c>
      <c r="J13038" s="46" t="s">
        <v>178</v>
      </c>
      <c r="K13038" s="46" t="s">
        <v>153</v>
      </c>
      <c r="L13038" s="45">
        <v>46016.125</v>
      </c>
      <c r="M13038" s="46" t="s">
        <v>123</v>
      </c>
      <c r="N13038" s="45">
        <v>46016.5</v>
      </c>
      <c r="O13038" s="46" t="s">
        <v>123</v>
      </c>
      <c r="P13038" s="46">
        <v>32400.0</v>
      </c>
      <c r="Q13038" s="46">
        <v>32400.0</v>
      </c>
    </row>
    <row r="13039">
      <c r="A13039" s="40">
        <f t="shared" si="1"/>
        <v>46013</v>
      </c>
      <c r="B13039" s="37" t="str">
        <f t="array" ref="B13039">iferror(xlookup($I13039, 'IMPORT VHC Report'!$E:$E, 'IMPORT VHC Report'!$A:$C), )</f>
        <v/>
      </c>
      <c r="C13039" s="44"/>
      <c r="D13039" s="44"/>
      <c r="E13039" s="46" t="s">
        <v>9095</v>
      </c>
      <c r="F13039" s="46" t="s">
        <v>2183</v>
      </c>
      <c r="G13039" s="46">
        <v>3.61969384715E11</v>
      </c>
      <c r="H13039" s="46" t="s">
        <v>2184</v>
      </c>
      <c r="I13039" s="46" t="s">
        <v>2185</v>
      </c>
      <c r="J13039" s="46" t="s">
        <v>134</v>
      </c>
      <c r="K13039" s="46" t="s">
        <v>126</v>
      </c>
      <c r="L13039" s="45">
        <v>46016.25</v>
      </c>
      <c r="M13039" s="46" t="s">
        <v>123</v>
      </c>
      <c r="N13039" s="45">
        <v>46016.270833333336</v>
      </c>
      <c r="O13039" s="46" t="s">
        <v>123</v>
      </c>
      <c r="P13039" s="46">
        <v>1800.0</v>
      </c>
    </row>
    <row r="13040">
      <c r="A13040" s="40">
        <f t="shared" si="1"/>
        <v>46013</v>
      </c>
      <c r="B13040" s="37" t="str">
        <f t="array" ref="B13040">iferror(xlookup($I13040, 'IMPORT VHC Report'!$E:$E, 'IMPORT VHC Report'!$A:$C), )</f>
        <v/>
      </c>
      <c r="C13040" s="44"/>
      <c r="D13040" s="44"/>
      <c r="E13040" s="46" t="s">
        <v>9096</v>
      </c>
      <c r="F13040" s="46" t="s">
        <v>2183</v>
      </c>
      <c r="G13040" s="46">
        <v>3.61969384715E11</v>
      </c>
      <c r="H13040" s="46" t="s">
        <v>2184</v>
      </c>
      <c r="I13040" s="46" t="s">
        <v>2185</v>
      </c>
      <c r="J13040" s="46" t="s">
        <v>224</v>
      </c>
      <c r="K13040" s="46" t="s">
        <v>63</v>
      </c>
      <c r="L13040" s="45">
        <v>46016.25</v>
      </c>
      <c r="M13040" s="46" t="s">
        <v>123</v>
      </c>
      <c r="N13040" s="45">
        <v>46016.5</v>
      </c>
      <c r="O13040" s="46" t="s">
        <v>123</v>
      </c>
      <c r="P13040" s="46">
        <v>21600.0</v>
      </c>
    </row>
    <row r="13041">
      <c r="A13041" s="40">
        <f t="shared" si="1"/>
        <v>46013</v>
      </c>
      <c r="B13041" s="37" t="str">
        <f t="array" ref="B13041">iferror(xlookup($I13041, 'IMPORT VHC Report'!$E:$E, 'IMPORT VHC Report'!$A:$C), )</f>
        <v/>
      </c>
      <c r="C13041" s="44"/>
      <c r="D13041" s="44"/>
      <c r="E13041" s="46" t="s">
        <v>9097</v>
      </c>
      <c r="F13041" s="46" t="s">
        <v>2183</v>
      </c>
      <c r="G13041" s="46">
        <v>3.61969384715E11</v>
      </c>
      <c r="H13041" s="46" t="s">
        <v>2184</v>
      </c>
      <c r="I13041" s="46" t="s">
        <v>2185</v>
      </c>
      <c r="J13041" s="46" t="s">
        <v>132</v>
      </c>
      <c r="K13041" s="46" t="s">
        <v>126</v>
      </c>
      <c r="L13041" s="45">
        <v>46016.375</v>
      </c>
      <c r="M13041" s="46" t="s">
        <v>123</v>
      </c>
      <c r="N13041" s="45">
        <v>46016.416666666664</v>
      </c>
      <c r="O13041" s="46" t="s">
        <v>123</v>
      </c>
      <c r="P13041" s="46">
        <v>3600.0</v>
      </c>
    </row>
    <row r="13042">
      <c r="A13042" s="40">
        <f t="shared" si="1"/>
        <v>46013</v>
      </c>
      <c r="B13042" s="37" t="str">
        <f t="array" ref="B13042">iferror(xlookup($I13042, 'IMPORT VHC Report'!$E:$E, 'IMPORT VHC Report'!$A:$C), )</f>
        <v/>
      </c>
      <c r="C13042" s="44"/>
      <c r="D13042" s="44"/>
      <c r="E13042" s="46" t="s">
        <v>9098</v>
      </c>
      <c r="F13042" s="46" t="s">
        <v>2183</v>
      </c>
      <c r="G13042" s="46">
        <v>3.61969384715E11</v>
      </c>
      <c r="H13042" s="46" t="s">
        <v>2184</v>
      </c>
      <c r="I13042" s="46" t="s">
        <v>2185</v>
      </c>
      <c r="J13042" s="46" t="s">
        <v>224</v>
      </c>
      <c r="K13042" s="46" t="s">
        <v>63</v>
      </c>
      <c r="L13042" s="45">
        <v>46017.125</v>
      </c>
      <c r="M13042" s="46" t="s">
        <v>123</v>
      </c>
      <c r="N13042" s="45">
        <v>46017.239583333336</v>
      </c>
      <c r="O13042" s="46" t="s">
        <v>123</v>
      </c>
      <c r="P13042" s="46">
        <v>9900.0</v>
      </c>
    </row>
    <row r="13043">
      <c r="A13043" s="40">
        <f t="shared" si="1"/>
        <v>46013</v>
      </c>
      <c r="B13043" s="37" t="str">
        <f t="array" ref="B13043">iferror(xlookup($I13043, 'IMPORT VHC Report'!$E:$E, 'IMPORT VHC Report'!$A:$C), )</f>
        <v/>
      </c>
      <c r="C13043" s="44"/>
      <c r="D13043" s="44"/>
      <c r="E13043" s="46" t="s">
        <v>9099</v>
      </c>
      <c r="F13043" s="46" t="s">
        <v>2183</v>
      </c>
      <c r="G13043" s="46">
        <v>3.61969384715E11</v>
      </c>
      <c r="H13043" s="46" t="s">
        <v>2184</v>
      </c>
      <c r="I13043" s="46" t="s">
        <v>2185</v>
      </c>
      <c r="J13043" s="46" t="s">
        <v>178</v>
      </c>
      <c r="K13043" s="46" t="s">
        <v>153</v>
      </c>
      <c r="L13043" s="45">
        <v>46017.125</v>
      </c>
      <c r="M13043" s="46" t="s">
        <v>123</v>
      </c>
      <c r="N13043" s="45">
        <v>46017.5</v>
      </c>
      <c r="O13043" s="46" t="s">
        <v>123</v>
      </c>
      <c r="P13043" s="46">
        <v>32400.0</v>
      </c>
      <c r="Q13043" s="46">
        <v>32400.0</v>
      </c>
    </row>
    <row r="13044">
      <c r="A13044" s="40">
        <f t="shared" si="1"/>
        <v>46013</v>
      </c>
      <c r="B13044" s="37" t="str">
        <f t="array" ref="B13044">iferror(xlookup($I13044, 'IMPORT VHC Report'!$E:$E, 'IMPORT VHC Report'!$A:$C), )</f>
        <v/>
      </c>
      <c r="C13044" s="44"/>
      <c r="D13044" s="44"/>
      <c r="E13044" s="46" t="s">
        <v>9100</v>
      </c>
      <c r="F13044" s="46" t="s">
        <v>2183</v>
      </c>
      <c r="G13044" s="46">
        <v>3.61969384715E11</v>
      </c>
      <c r="H13044" s="46" t="s">
        <v>2184</v>
      </c>
      <c r="I13044" s="46" t="s">
        <v>2185</v>
      </c>
      <c r="J13044" s="46" t="s">
        <v>134</v>
      </c>
      <c r="K13044" s="46" t="s">
        <v>126</v>
      </c>
      <c r="L13044" s="45">
        <v>46017.239583333336</v>
      </c>
      <c r="M13044" s="46" t="s">
        <v>123</v>
      </c>
      <c r="N13044" s="45">
        <v>46017.260416666664</v>
      </c>
      <c r="O13044" s="46" t="s">
        <v>123</v>
      </c>
      <c r="P13044" s="46">
        <v>1800.0</v>
      </c>
    </row>
    <row r="13045">
      <c r="A13045" s="40">
        <f t="shared" si="1"/>
        <v>46013</v>
      </c>
      <c r="B13045" s="37" t="str">
        <f t="array" ref="B13045">iferror(xlookup($I13045, 'IMPORT VHC Report'!$E:$E, 'IMPORT VHC Report'!$A:$C), )</f>
        <v/>
      </c>
      <c r="C13045" s="44"/>
      <c r="D13045" s="44"/>
      <c r="E13045" s="46" t="s">
        <v>9101</v>
      </c>
      <c r="F13045" s="46" t="s">
        <v>2183</v>
      </c>
      <c r="G13045" s="46">
        <v>3.61969384715E11</v>
      </c>
      <c r="H13045" s="46" t="s">
        <v>2184</v>
      </c>
      <c r="I13045" s="46" t="s">
        <v>2185</v>
      </c>
      <c r="J13045" s="46" t="s">
        <v>224</v>
      </c>
      <c r="K13045" s="46" t="s">
        <v>63</v>
      </c>
      <c r="L13045" s="45">
        <v>46017.239583333336</v>
      </c>
      <c r="M13045" s="46" t="s">
        <v>123</v>
      </c>
      <c r="N13045" s="45">
        <v>46017.5</v>
      </c>
      <c r="O13045" s="46" t="s">
        <v>123</v>
      </c>
      <c r="P13045" s="46">
        <v>22500.0</v>
      </c>
    </row>
    <row r="13046">
      <c r="A13046" s="40">
        <f t="shared" si="1"/>
        <v>46013</v>
      </c>
      <c r="B13046" s="37" t="str">
        <f t="array" ref="B13046">iferror(xlookup($I13046, 'IMPORT VHC Report'!$E:$E, 'IMPORT VHC Report'!$A:$C), )</f>
        <v/>
      </c>
      <c r="C13046" s="44"/>
      <c r="D13046" s="44"/>
      <c r="E13046" s="46" t="s">
        <v>9102</v>
      </c>
      <c r="F13046" s="46" t="s">
        <v>2183</v>
      </c>
      <c r="G13046" s="46">
        <v>3.61969384715E11</v>
      </c>
      <c r="H13046" s="46" t="s">
        <v>2184</v>
      </c>
      <c r="I13046" s="46" t="s">
        <v>2185</v>
      </c>
      <c r="J13046" s="46" t="s">
        <v>132</v>
      </c>
      <c r="K13046" s="46" t="s">
        <v>126</v>
      </c>
      <c r="L13046" s="45">
        <v>46017.364583333336</v>
      </c>
      <c r="M13046" s="46" t="s">
        <v>123</v>
      </c>
      <c r="N13046" s="45">
        <v>46017.40625</v>
      </c>
      <c r="O13046" s="46" t="s">
        <v>123</v>
      </c>
      <c r="P13046" s="46">
        <v>3600.0</v>
      </c>
    </row>
    <row r="13047">
      <c r="A13047" s="40">
        <f t="shared" si="1"/>
        <v>46013</v>
      </c>
      <c r="B13047" s="37" t="str">
        <f t="array" ref="B13047">iferror(xlookup($I13047, 'IMPORT VHC Report'!$E:$E, 'IMPORT VHC Report'!$A:$C), )</f>
        <v/>
      </c>
      <c r="C13047" s="44"/>
      <c r="D13047" s="44"/>
      <c r="E13047" s="46" t="s">
        <v>9103</v>
      </c>
      <c r="F13047" s="46" t="s">
        <v>2608</v>
      </c>
      <c r="G13047" s="46">
        <v>3.61861297795E11</v>
      </c>
      <c r="H13047" s="46" t="s">
        <v>2609</v>
      </c>
      <c r="I13047" s="46" t="s">
        <v>2610</v>
      </c>
      <c r="J13047" s="46" t="s">
        <v>224</v>
      </c>
      <c r="K13047" s="46" t="s">
        <v>63</v>
      </c>
      <c r="L13047" s="45">
        <v>46013.25</v>
      </c>
      <c r="M13047" s="46" t="s">
        <v>123</v>
      </c>
      <c r="N13047" s="45">
        <v>46013.385416666664</v>
      </c>
      <c r="O13047" s="46" t="s">
        <v>123</v>
      </c>
      <c r="P13047" s="46">
        <v>11700.0</v>
      </c>
    </row>
    <row r="13048">
      <c r="A13048" s="40">
        <f t="shared" si="1"/>
        <v>46013</v>
      </c>
      <c r="B13048" s="37" t="str">
        <f t="array" ref="B13048">iferror(xlookup($I13048, 'IMPORT VHC Report'!$E:$E, 'IMPORT VHC Report'!$A:$C), )</f>
        <v/>
      </c>
      <c r="C13048" s="44"/>
      <c r="D13048" s="44"/>
      <c r="E13048" s="46" t="s">
        <v>9104</v>
      </c>
      <c r="F13048" s="46" t="s">
        <v>2608</v>
      </c>
      <c r="G13048" s="46">
        <v>3.61861297795E11</v>
      </c>
      <c r="H13048" s="46" t="s">
        <v>2609</v>
      </c>
      <c r="I13048" s="46" t="s">
        <v>2610</v>
      </c>
      <c r="J13048" s="46" t="s">
        <v>178</v>
      </c>
      <c r="K13048" s="46" t="s">
        <v>153</v>
      </c>
      <c r="L13048" s="45">
        <v>46013.25</v>
      </c>
      <c r="M13048" s="46" t="s">
        <v>123</v>
      </c>
      <c r="N13048" s="45">
        <v>46013.625</v>
      </c>
      <c r="O13048" s="46" t="s">
        <v>123</v>
      </c>
      <c r="P13048" s="46">
        <v>32400.0</v>
      </c>
      <c r="Q13048" s="46">
        <v>32400.0</v>
      </c>
    </row>
    <row r="13049">
      <c r="A13049" s="40">
        <f t="shared" si="1"/>
        <v>46013</v>
      </c>
      <c r="B13049" s="37" t="str">
        <f t="array" ref="B13049">iferror(xlookup($I13049, 'IMPORT VHC Report'!$E:$E, 'IMPORT VHC Report'!$A:$C), )</f>
        <v/>
      </c>
      <c r="C13049" s="44"/>
      <c r="D13049" s="44"/>
      <c r="E13049" s="46" t="s">
        <v>9105</v>
      </c>
      <c r="F13049" s="46" t="s">
        <v>2608</v>
      </c>
      <c r="G13049" s="46">
        <v>3.61861297795E11</v>
      </c>
      <c r="H13049" s="46" t="s">
        <v>2609</v>
      </c>
      <c r="I13049" s="46" t="s">
        <v>2610</v>
      </c>
      <c r="J13049" s="46" t="s">
        <v>178</v>
      </c>
      <c r="K13049" s="46" t="s">
        <v>153</v>
      </c>
      <c r="L13049" s="45">
        <v>46014.25</v>
      </c>
      <c r="M13049" s="46" t="s">
        <v>123</v>
      </c>
      <c r="N13049" s="45">
        <v>46014.625</v>
      </c>
      <c r="O13049" s="46" t="s">
        <v>123</v>
      </c>
      <c r="P13049" s="46">
        <v>32400.0</v>
      </c>
      <c r="Q13049" s="46">
        <v>32400.0</v>
      </c>
    </row>
    <row r="13050">
      <c r="A13050" s="40">
        <f t="shared" si="1"/>
        <v>46013</v>
      </c>
      <c r="B13050" s="37" t="str">
        <f t="array" ref="B13050">iferror(xlookup($I13050, 'IMPORT VHC Report'!$E:$E, 'IMPORT VHC Report'!$A:$C), )</f>
        <v/>
      </c>
      <c r="C13050" s="44"/>
      <c r="D13050" s="44"/>
      <c r="E13050" s="46" t="s">
        <v>9106</v>
      </c>
      <c r="F13050" s="46" t="s">
        <v>2608</v>
      </c>
      <c r="G13050" s="46">
        <v>3.61861297795E11</v>
      </c>
      <c r="H13050" s="46" t="s">
        <v>2609</v>
      </c>
      <c r="I13050" s="46" t="s">
        <v>2610</v>
      </c>
      <c r="J13050" s="46" t="s">
        <v>178</v>
      </c>
      <c r="K13050" s="46" t="s">
        <v>153</v>
      </c>
      <c r="L13050" s="45">
        <v>46017.25</v>
      </c>
      <c r="M13050" s="46" t="s">
        <v>123</v>
      </c>
      <c r="N13050" s="45">
        <v>46017.625</v>
      </c>
      <c r="O13050" s="46" t="s">
        <v>123</v>
      </c>
      <c r="P13050" s="46">
        <v>32400.0</v>
      </c>
      <c r="Q13050" s="46">
        <v>115200.0</v>
      </c>
      <c r="R13050" s="46" t="s">
        <v>9107</v>
      </c>
    </row>
    <row r="13051">
      <c r="A13051" s="40">
        <f t="shared" si="1"/>
        <v>46013</v>
      </c>
      <c r="B13051" s="37" t="str">
        <f t="array" ref="B13051">iferror(xlookup($I13051, 'IMPORT VHC Report'!$E:$E, 'IMPORT VHC Report'!$A:$C), )</f>
        <v/>
      </c>
      <c r="C13051" s="44"/>
      <c r="D13051" s="44"/>
      <c r="E13051" s="46" t="s">
        <v>9108</v>
      </c>
      <c r="F13051" s="46" t="s">
        <v>2608</v>
      </c>
      <c r="G13051" s="46">
        <v>3.61861297795E11</v>
      </c>
      <c r="H13051" s="46" t="s">
        <v>2609</v>
      </c>
      <c r="I13051" s="46" t="s">
        <v>2610</v>
      </c>
      <c r="J13051" s="46" t="s">
        <v>224</v>
      </c>
      <c r="K13051" s="46" t="s">
        <v>63</v>
      </c>
      <c r="L13051" s="45">
        <v>46017.25</v>
      </c>
      <c r="M13051" s="46" t="s">
        <v>123</v>
      </c>
      <c r="N13051" s="45">
        <v>46017.625</v>
      </c>
      <c r="O13051" s="46" t="s">
        <v>123</v>
      </c>
      <c r="P13051" s="46">
        <v>32400.0</v>
      </c>
    </row>
    <row r="13052">
      <c r="A13052" s="40">
        <f t="shared" si="1"/>
        <v>46013</v>
      </c>
      <c r="B13052" s="37" t="str">
        <f t="array" ref="B13052">iferror(xlookup($I13052, 'IMPORT VHC Report'!$E:$E, 'IMPORT VHC Report'!$A:$C), )</f>
        <v/>
      </c>
      <c r="C13052" s="44"/>
      <c r="D13052" s="44"/>
      <c r="E13052" s="46" t="s">
        <v>9109</v>
      </c>
      <c r="F13052" s="46" t="s">
        <v>2608</v>
      </c>
      <c r="G13052" s="46">
        <v>3.61861297795E11</v>
      </c>
      <c r="H13052" s="46" t="s">
        <v>2609</v>
      </c>
      <c r="I13052" s="46" t="s">
        <v>2610</v>
      </c>
      <c r="J13052" s="46" t="s">
        <v>178</v>
      </c>
      <c r="K13052" s="46" t="s">
        <v>153</v>
      </c>
      <c r="L13052" s="45">
        <v>46018.25</v>
      </c>
      <c r="M13052" s="46" t="s">
        <v>123</v>
      </c>
      <c r="N13052" s="45">
        <v>46018.625</v>
      </c>
      <c r="O13052" s="46" t="s">
        <v>123</v>
      </c>
      <c r="P13052" s="46">
        <v>32400.0</v>
      </c>
      <c r="Q13052" s="46">
        <v>32400.0</v>
      </c>
    </row>
    <row r="13053">
      <c r="A13053" s="40">
        <f t="shared" si="1"/>
        <v>46013</v>
      </c>
      <c r="B13053" s="37" t="str">
        <f t="array" ref="B13053">iferror(xlookup($I13053, 'IMPORT VHC Report'!$E:$E, 'IMPORT VHC Report'!$A:$C), )</f>
        <v/>
      </c>
      <c r="C13053" s="44"/>
      <c r="D13053" s="44"/>
      <c r="E13053" s="46" t="s">
        <v>9110</v>
      </c>
      <c r="F13053" s="46" t="s">
        <v>2608</v>
      </c>
      <c r="G13053" s="46">
        <v>3.61861297795E11</v>
      </c>
      <c r="H13053" s="46" t="s">
        <v>2609</v>
      </c>
      <c r="I13053" s="46" t="s">
        <v>2610</v>
      </c>
      <c r="J13053" s="46" t="s">
        <v>224</v>
      </c>
      <c r="K13053" s="46" t="s">
        <v>63</v>
      </c>
      <c r="L13053" s="45">
        <v>46018.25</v>
      </c>
      <c r="M13053" s="46" t="s">
        <v>123</v>
      </c>
      <c r="N13053" s="45">
        <v>46018.625</v>
      </c>
      <c r="O13053" s="46" t="s">
        <v>123</v>
      </c>
      <c r="P13053" s="46">
        <v>32400.0</v>
      </c>
    </row>
    <row r="13054">
      <c r="A13054" s="40">
        <f t="shared" si="1"/>
        <v>46013</v>
      </c>
      <c r="B13054" s="37" t="str">
        <f t="array" ref="B13054">iferror(xlookup($I13054, 'IMPORT VHC Report'!$E:$E, 'IMPORT VHC Report'!$A:$C), )</f>
        <v/>
      </c>
      <c r="C13054" s="44"/>
      <c r="D13054" s="44"/>
      <c r="E13054" s="46" t="s">
        <v>9111</v>
      </c>
      <c r="F13054" s="46" t="s">
        <v>2608</v>
      </c>
      <c r="G13054" s="46">
        <v>3.61861297795E11</v>
      </c>
      <c r="H13054" s="46" t="s">
        <v>2609</v>
      </c>
      <c r="I13054" s="46" t="s">
        <v>2610</v>
      </c>
      <c r="J13054" s="46" t="s">
        <v>178</v>
      </c>
      <c r="K13054" s="46" t="s">
        <v>153</v>
      </c>
      <c r="L13054" s="45">
        <v>46019.25</v>
      </c>
      <c r="M13054" s="46" t="s">
        <v>123</v>
      </c>
      <c r="N13054" s="45">
        <v>46019.625</v>
      </c>
      <c r="O13054" s="46" t="s">
        <v>123</v>
      </c>
      <c r="P13054" s="46">
        <v>32400.0</v>
      </c>
      <c r="Q13054" s="46">
        <v>32400.0</v>
      </c>
    </row>
    <row r="13055">
      <c r="A13055" s="40">
        <f t="shared" si="1"/>
        <v>46013</v>
      </c>
      <c r="B13055" s="37" t="str">
        <f t="array" ref="B13055">iferror(xlookup($I13055, 'IMPORT VHC Report'!$E:$E, 'IMPORT VHC Report'!$A:$C), )</f>
        <v/>
      </c>
      <c r="C13055" s="44"/>
      <c r="D13055" s="44"/>
      <c r="E13055" s="46" t="s">
        <v>9112</v>
      </c>
      <c r="F13055" s="46" t="s">
        <v>2608</v>
      </c>
      <c r="G13055" s="46">
        <v>3.61861297795E11</v>
      </c>
      <c r="H13055" s="46" t="s">
        <v>2609</v>
      </c>
      <c r="I13055" s="46" t="s">
        <v>2610</v>
      </c>
      <c r="J13055" s="46" t="s">
        <v>224</v>
      </c>
      <c r="K13055" s="46" t="s">
        <v>63</v>
      </c>
      <c r="L13055" s="45">
        <v>46019.25</v>
      </c>
      <c r="M13055" s="46" t="s">
        <v>123</v>
      </c>
      <c r="N13055" s="45">
        <v>46019.625</v>
      </c>
      <c r="O13055" s="46" t="s">
        <v>123</v>
      </c>
      <c r="P13055" s="46">
        <v>32400.0</v>
      </c>
    </row>
    <row r="13056">
      <c r="A13056" s="40">
        <f t="shared" si="1"/>
        <v>46013</v>
      </c>
      <c r="B13056" s="37" t="str">
        <f t="array" ref="B13056">iferror(xlookup($I13056, 'IMPORT VHC Report'!$E:$E, 'IMPORT VHC Report'!$A:$C), )</f>
        <v/>
      </c>
      <c r="C13056" s="44"/>
      <c r="D13056" s="44"/>
      <c r="E13056" s="46" t="s">
        <v>9113</v>
      </c>
      <c r="F13056" s="46" t="s">
        <v>2677</v>
      </c>
      <c r="G13056" s="46">
        <v>8.409877156495E12</v>
      </c>
      <c r="H13056" s="46" t="s">
        <v>2678</v>
      </c>
      <c r="I13056" s="46" t="s">
        <v>2679</v>
      </c>
      <c r="J13056" s="46" t="s">
        <v>224</v>
      </c>
      <c r="K13056" s="46" t="s">
        <v>63</v>
      </c>
      <c r="L13056" s="45">
        <v>46013.25</v>
      </c>
      <c r="M13056" s="46" t="s">
        <v>123</v>
      </c>
      <c r="N13056" s="45">
        <v>46013.520833333336</v>
      </c>
      <c r="O13056" s="46" t="s">
        <v>123</v>
      </c>
      <c r="P13056" s="46">
        <v>23400.0</v>
      </c>
    </row>
    <row r="13057">
      <c r="A13057" s="40">
        <f t="shared" si="1"/>
        <v>46013</v>
      </c>
      <c r="B13057" s="37" t="str">
        <f t="array" ref="B13057">iferror(xlookup($I13057, 'IMPORT VHC Report'!$E:$E, 'IMPORT VHC Report'!$A:$C), )</f>
        <v/>
      </c>
      <c r="C13057" s="44"/>
      <c r="D13057" s="44"/>
      <c r="E13057" s="46" t="s">
        <v>9114</v>
      </c>
      <c r="F13057" s="46" t="s">
        <v>2677</v>
      </c>
      <c r="G13057" s="46">
        <v>8.409877156495E12</v>
      </c>
      <c r="H13057" s="46" t="s">
        <v>2678</v>
      </c>
      <c r="I13057" s="46" t="s">
        <v>2679</v>
      </c>
      <c r="J13057" s="46" t="s">
        <v>134</v>
      </c>
      <c r="K13057" s="46" t="s">
        <v>126</v>
      </c>
      <c r="L13057" s="45">
        <v>46013.364583333336</v>
      </c>
      <c r="M13057" s="46" t="s">
        <v>123</v>
      </c>
      <c r="N13057" s="45">
        <v>46013.375</v>
      </c>
      <c r="O13057" s="46" t="s">
        <v>123</v>
      </c>
      <c r="P13057" s="46">
        <v>900.0</v>
      </c>
    </row>
    <row r="13058">
      <c r="A13058" s="40">
        <f t="shared" si="1"/>
        <v>46013</v>
      </c>
      <c r="B13058" s="37" t="str">
        <f t="array" ref="B13058">iferror(xlookup($I13058, 'IMPORT VHC Report'!$E:$E, 'IMPORT VHC Report'!$A:$C), )</f>
        <v/>
      </c>
      <c r="C13058" s="44"/>
      <c r="D13058" s="44"/>
      <c r="E13058" s="46" t="s">
        <v>9115</v>
      </c>
      <c r="F13058" s="46" t="s">
        <v>2677</v>
      </c>
      <c r="G13058" s="46">
        <v>8.409877156495E12</v>
      </c>
      <c r="H13058" s="46" t="s">
        <v>2678</v>
      </c>
      <c r="I13058" s="46" t="s">
        <v>2679</v>
      </c>
      <c r="J13058" s="46" t="s">
        <v>132</v>
      </c>
      <c r="K13058" s="46" t="s">
        <v>126</v>
      </c>
      <c r="L13058" s="45">
        <v>46013.4375</v>
      </c>
      <c r="M13058" s="46" t="s">
        <v>123</v>
      </c>
      <c r="N13058" s="45">
        <v>46013.479166666664</v>
      </c>
      <c r="O13058" s="46" t="s">
        <v>123</v>
      </c>
      <c r="P13058" s="46">
        <v>3600.0</v>
      </c>
    </row>
    <row r="13059">
      <c r="A13059" s="40">
        <f t="shared" si="1"/>
        <v>46013</v>
      </c>
      <c r="B13059" s="37" t="str">
        <f t="array" ref="B13059">iferror(xlookup($I13059, 'IMPORT VHC Report'!$E:$E, 'IMPORT VHC Report'!$A:$C), )</f>
        <v/>
      </c>
      <c r="C13059" s="44"/>
      <c r="D13059" s="44"/>
      <c r="E13059" s="46" t="s">
        <v>9116</v>
      </c>
      <c r="F13059" s="46" t="s">
        <v>2677</v>
      </c>
      <c r="G13059" s="46">
        <v>8.409877156495E12</v>
      </c>
      <c r="H13059" s="46" t="s">
        <v>2678</v>
      </c>
      <c r="I13059" s="46" t="s">
        <v>2679</v>
      </c>
      <c r="J13059" s="46" t="s">
        <v>62</v>
      </c>
      <c r="K13059" s="46" t="s">
        <v>63</v>
      </c>
      <c r="L13059" s="45">
        <v>46013.520833333336</v>
      </c>
      <c r="M13059" s="46" t="s">
        <v>123</v>
      </c>
      <c r="N13059" s="45">
        <v>46013.552083333336</v>
      </c>
      <c r="O13059" s="46" t="s">
        <v>123</v>
      </c>
      <c r="P13059" s="46">
        <v>2700.0</v>
      </c>
    </row>
    <row r="13060">
      <c r="A13060" s="40">
        <f t="shared" si="1"/>
        <v>46013</v>
      </c>
      <c r="B13060" s="37" t="str">
        <f t="array" ref="B13060">iferror(xlookup($I13060, 'IMPORT VHC Report'!$E:$E, 'IMPORT VHC Report'!$A:$C), )</f>
        <v/>
      </c>
      <c r="C13060" s="44"/>
      <c r="D13060" s="44"/>
      <c r="E13060" s="46" t="s">
        <v>9117</v>
      </c>
      <c r="F13060" s="46" t="s">
        <v>2677</v>
      </c>
      <c r="G13060" s="46">
        <v>8.409877156495E12</v>
      </c>
      <c r="H13060" s="46" t="s">
        <v>2678</v>
      </c>
      <c r="I13060" s="46" t="s">
        <v>2679</v>
      </c>
      <c r="J13060" s="46" t="s">
        <v>134</v>
      </c>
      <c r="K13060" s="46" t="s">
        <v>126</v>
      </c>
      <c r="L13060" s="45">
        <v>46013.541666666664</v>
      </c>
      <c r="M13060" s="46" t="s">
        <v>123</v>
      </c>
      <c r="N13060" s="45">
        <v>46013.552083333336</v>
      </c>
      <c r="O13060" s="46" t="s">
        <v>123</v>
      </c>
      <c r="P13060" s="46">
        <v>900.0</v>
      </c>
    </row>
    <row r="13061">
      <c r="A13061" s="40">
        <f t="shared" si="1"/>
        <v>46013</v>
      </c>
      <c r="B13061" s="37" t="str">
        <f t="array" ref="B13061">iferror(xlookup($I13061, 'IMPORT VHC Report'!$E:$E, 'IMPORT VHC Report'!$A:$C), )</f>
        <v/>
      </c>
      <c r="C13061" s="44"/>
      <c r="D13061" s="44"/>
      <c r="E13061" s="46" t="s">
        <v>9118</v>
      </c>
      <c r="F13061" s="46" t="s">
        <v>2677</v>
      </c>
      <c r="G13061" s="46">
        <v>8.409877156495E12</v>
      </c>
      <c r="H13061" s="46" t="s">
        <v>2678</v>
      </c>
      <c r="I13061" s="46" t="s">
        <v>2679</v>
      </c>
      <c r="J13061" s="46" t="s">
        <v>224</v>
      </c>
      <c r="K13061" s="46" t="s">
        <v>63</v>
      </c>
      <c r="L13061" s="45">
        <v>46013.552083333336</v>
      </c>
      <c r="M13061" s="46" t="s">
        <v>123</v>
      </c>
      <c r="N13061" s="45">
        <v>46013.625</v>
      </c>
      <c r="O13061" s="46" t="s">
        <v>123</v>
      </c>
      <c r="P13061" s="46">
        <v>6300.0</v>
      </c>
    </row>
    <row r="13062">
      <c r="A13062" s="40">
        <f t="shared" si="1"/>
        <v>46013</v>
      </c>
      <c r="B13062" s="37" t="str">
        <f t="array" ref="B13062">iferror(xlookup($I13062, 'IMPORT VHC Report'!$E:$E, 'IMPORT VHC Report'!$A:$C), )</f>
        <v/>
      </c>
      <c r="C13062" s="44"/>
      <c r="D13062" s="44"/>
      <c r="E13062" s="46" t="s">
        <v>9119</v>
      </c>
      <c r="F13062" s="46" t="s">
        <v>2677</v>
      </c>
      <c r="G13062" s="46">
        <v>8.409877156495E12</v>
      </c>
      <c r="H13062" s="46" t="s">
        <v>2678</v>
      </c>
      <c r="I13062" s="46" t="s">
        <v>2679</v>
      </c>
      <c r="J13062" s="46" t="s">
        <v>224</v>
      </c>
      <c r="K13062" s="46" t="s">
        <v>63</v>
      </c>
      <c r="L13062" s="45">
        <v>46014.25</v>
      </c>
      <c r="M13062" s="46" t="s">
        <v>123</v>
      </c>
      <c r="N13062" s="45">
        <v>46014.625</v>
      </c>
      <c r="O13062" s="46" t="s">
        <v>123</v>
      </c>
      <c r="P13062" s="46">
        <v>32400.0</v>
      </c>
    </row>
    <row r="13063">
      <c r="A13063" s="40">
        <f t="shared" si="1"/>
        <v>46013</v>
      </c>
      <c r="B13063" s="37" t="str">
        <f t="array" ref="B13063">iferror(xlookup($I13063, 'IMPORT VHC Report'!$E:$E, 'IMPORT VHC Report'!$A:$C), )</f>
        <v/>
      </c>
      <c r="C13063" s="44"/>
      <c r="D13063" s="44"/>
      <c r="E13063" s="46" t="s">
        <v>9120</v>
      </c>
      <c r="F13063" s="46" t="s">
        <v>2677</v>
      </c>
      <c r="G13063" s="46">
        <v>8.409877156495E12</v>
      </c>
      <c r="H13063" s="46" t="s">
        <v>2678</v>
      </c>
      <c r="I13063" s="46" t="s">
        <v>2679</v>
      </c>
      <c r="J13063" s="46" t="s">
        <v>134</v>
      </c>
      <c r="K13063" s="46" t="s">
        <v>126</v>
      </c>
      <c r="L13063" s="45">
        <v>46014.375</v>
      </c>
      <c r="M13063" s="46" t="s">
        <v>123</v>
      </c>
      <c r="N13063" s="45">
        <v>46014.385416666664</v>
      </c>
      <c r="O13063" s="46" t="s">
        <v>123</v>
      </c>
      <c r="P13063" s="46">
        <v>900.0</v>
      </c>
    </row>
    <row r="13064">
      <c r="A13064" s="40">
        <f t="shared" si="1"/>
        <v>46013</v>
      </c>
      <c r="B13064" s="37" t="str">
        <f t="array" ref="B13064">iferror(xlookup($I13064, 'IMPORT VHC Report'!$E:$E, 'IMPORT VHC Report'!$A:$C), )</f>
        <v/>
      </c>
      <c r="C13064" s="44"/>
      <c r="D13064" s="44"/>
      <c r="E13064" s="46" t="s">
        <v>9121</v>
      </c>
      <c r="F13064" s="46" t="s">
        <v>2677</v>
      </c>
      <c r="G13064" s="46">
        <v>8.409877156495E12</v>
      </c>
      <c r="H13064" s="46" t="s">
        <v>2678</v>
      </c>
      <c r="I13064" s="46" t="s">
        <v>2679</v>
      </c>
      <c r="J13064" s="46" t="s">
        <v>132</v>
      </c>
      <c r="K13064" s="46" t="s">
        <v>126</v>
      </c>
      <c r="L13064" s="45">
        <v>46014.447916666664</v>
      </c>
      <c r="M13064" s="46" t="s">
        <v>123</v>
      </c>
      <c r="N13064" s="45">
        <v>46014.489583333336</v>
      </c>
      <c r="O13064" s="46" t="s">
        <v>123</v>
      </c>
      <c r="P13064" s="46">
        <v>3600.0</v>
      </c>
    </row>
    <row r="13065">
      <c r="A13065" s="40">
        <f t="shared" si="1"/>
        <v>46013</v>
      </c>
      <c r="B13065" s="37" t="str">
        <f t="array" ref="B13065">iferror(xlookup($I13065, 'IMPORT VHC Report'!$E:$E, 'IMPORT VHC Report'!$A:$C), )</f>
        <v/>
      </c>
      <c r="C13065" s="44"/>
      <c r="D13065" s="44"/>
      <c r="E13065" s="46" t="s">
        <v>9122</v>
      </c>
      <c r="F13065" s="46" t="s">
        <v>2677</v>
      </c>
      <c r="G13065" s="46">
        <v>8.409877156495E12</v>
      </c>
      <c r="H13065" s="46" t="s">
        <v>2678</v>
      </c>
      <c r="I13065" s="46" t="s">
        <v>2679</v>
      </c>
      <c r="J13065" s="46" t="s">
        <v>134</v>
      </c>
      <c r="K13065" s="46" t="s">
        <v>126</v>
      </c>
      <c r="L13065" s="45">
        <v>46014.552083333336</v>
      </c>
      <c r="M13065" s="46" t="s">
        <v>123</v>
      </c>
      <c r="N13065" s="45">
        <v>46014.5625</v>
      </c>
      <c r="O13065" s="46" t="s">
        <v>123</v>
      </c>
      <c r="P13065" s="46">
        <v>900.0</v>
      </c>
    </row>
    <row r="13066">
      <c r="A13066" s="40">
        <f t="shared" si="1"/>
        <v>46013</v>
      </c>
      <c r="B13066" s="37" t="str">
        <f t="array" ref="B13066">iferror(xlookup($I13066, 'IMPORT VHC Report'!$E:$E, 'IMPORT VHC Report'!$A:$C), )</f>
        <v/>
      </c>
      <c r="C13066" s="44"/>
      <c r="D13066" s="44"/>
      <c r="E13066" s="46" t="s">
        <v>9123</v>
      </c>
      <c r="F13066" s="46" t="s">
        <v>2677</v>
      </c>
      <c r="G13066" s="46">
        <v>8.409877156495E12</v>
      </c>
      <c r="H13066" s="46" t="s">
        <v>2678</v>
      </c>
      <c r="I13066" s="46" t="s">
        <v>2679</v>
      </c>
      <c r="J13066" s="46" t="s">
        <v>4</v>
      </c>
      <c r="K13066" s="46" t="s">
        <v>126</v>
      </c>
      <c r="L13066" s="45">
        <v>46014.5625</v>
      </c>
      <c r="M13066" s="46" t="s">
        <v>123</v>
      </c>
      <c r="N13066" s="45">
        <v>46014.572916666664</v>
      </c>
      <c r="O13066" s="46" t="s">
        <v>123</v>
      </c>
      <c r="P13066" s="46">
        <v>900.0</v>
      </c>
    </row>
    <row r="13067">
      <c r="A13067" s="40">
        <f t="shared" si="1"/>
        <v>46013</v>
      </c>
      <c r="B13067" s="37" t="str">
        <f t="array" ref="B13067">iferror(xlookup($I13067, 'IMPORT VHC Report'!$E:$E, 'IMPORT VHC Report'!$A:$C), )</f>
        <v/>
      </c>
      <c r="C13067" s="44"/>
      <c r="D13067" s="44"/>
      <c r="E13067" s="46" t="s">
        <v>9124</v>
      </c>
      <c r="F13067" s="46" t="s">
        <v>2677</v>
      </c>
      <c r="G13067" s="46">
        <v>8.409877156495E12</v>
      </c>
      <c r="H13067" s="46" t="s">
        <v>2678</v>
      </c>
      <c r="I13067" s="46" t="s">
        <v>2679</v>
      </c>
      <c r="J13067" s="46" t="s">
        <v>224</v>
      </c>
      <c r="K13067" s="46" t="s">
        <v>63</v>
      </c>
      <c r="L13067" s="45">
        <v>46015.25</v>
      </c>
      <c r="M13067" s="46" t="s">
        <v>123</v>
      </c>
      <c r="N13067" s="45">
        <v>46015.625</v>
      </c>
      <c r="O13067" s="46" t="s">
        <v>123</v>
      </c>
      <c r="P13067" s="46">
        <v>32400.0</v>
      </c>
    </row>
    <row r="13068">
      <c r="A13068" s="40">
        <f t="shared" si="1"/>
        <v>46013</v>
      </c>
      <c r="B13068" s="37" t="str">
        <f t="array" ref="B13068">iferror(xlookup($I13068, 'IMPORT VHC Report'!$E:$E, 'IMPORT VHC Report'!$A:$C), )</f>
        <v/>
      </c>
      <c r="C13068" s="44"/>
      <c r="D13068" s="44"/>
      <c r="E13068" s="46" t="s">
        <v>9125</v>
      </c>
      <c r="F13068" s="46" t="s">
        <v>2677</v>
      </c>
      <c r="G13068" s="46">
        <v>8.409877156495E12</v>
      </c>
      <c r="H13068" s="46" t="s">
        <v>2678</v>
      </c>
      <c r="I13068" s="46" t="s">
        <v>2679</v>
      </c>
      <c r="J13068" s="46" t="s">
        <v>134</v>
      </c>
      <c r="K13068" s="46" t="s">
        <v>126</v>
      </c>
      <c r="L13068" s="45">
        <v>46015.34375</v>
      </c>
      <c r="M13068" s="46" t="s">
        <v>123</v>
      </c>
      <c r="N13068" s="45">
        <v>46015.354166666664</v>
      </c>
      <c r="O13068" s="46" t="s">
        <v>123</v>
      </c>
      <c r="P13068" s="46">
        <v>900.0</v>
      </c>
    </row>
    <row r="13069">
      <c r="A13069" s="40">
        <f t="shared" si="1"/>
        <v>46013</v>
      </c>
      <c r="B13069" s="37" t="str">
        <f t="array" ref="B13069">iferror(xlookup($I13069, 'IMPORT VHC Report'!$E:$E, 'IMPORT VHC Report'!$A:$C), )</f>
        <v/>
      </c>
      <c r="C13069" s="44"/>
      <c r="D13069" s="44"/>
      <c r="E13069" s="46" t="s">
        <v>9126</v>
      </c>
      <c r="F13069" s="46" t="s">
        <v>2677</v>
      </c>
      <c r="G13069" s="46">
        <v>8.409877156495E12</v>
      </c>
      <c r="H13069" s="46" t="s">
        <v>2678</v>
      </c>
      <c r="I13069" s="46" t="s">
        <v>2679</v>
      </c>
      <c r="J13069" s="46" t="s">
        <v>132</v>
      </c>
      <c r="K13069" s="46" t="s">
        <v>126</v>
      </c>
      <c r="L13069" s="45">
        <v>46015.447916666664</v>
      </c>
      <c r="M13069" s="46" t="s">
        <v>123</v>
      </c>
      <c r="N13069" s="45">
        <v>46015.489583333336</v>
      </c>
      <c r="O13069" s="46" t="s">
        <v>123</v>
      </c>
      <c r="P13069" s="46">
        <v>3600.0</v>
      </c>
    </row>
    <row r="13070">
      <c r="A13070" s="40">
        <f t="shared" si="1"/>
        <v>46013</v>
      </c>
      <c r="B13070" s="37" t="str">
        <f t="array" ref="B13070">iferror(xlookup($I13070, 'IMPORT VHC Report'!$E:$E, 'IMPORT VHC Report'!$A:$C), )</f>
        <v/>
      </c>
      <c r="C13070" s="44"/>
      <c r="D13070" s="44"/>
      <c r="E13070" s="46" t="s">
        <v>9127</v>
      </c>
      <c r="F13070" s="46" t="s">
        <v>2677</v>
      </c>
      <c r="G13070" s="46">
        <v>8.409877156495E12</v>
      </c>
      <c r="H13070" s="46" t="s">
        <v>2678</v>
      </c>
      <c r="I13070" s="46" t="s">
        <v>2679</v>
      </c>
      <c r="J13070" s="46" t="s">
        <v>134</v>
      </c>
      <c r="K13070" s="46" t="s">
        <v>126</v>
      </c>
      <c r="L13070" s="45">
        <v>46015.541666666664</v>
      </c>
      <c r="M13070" s="46" t="s">
        <v>123</v>
      </c>
      <c r="N13070" s="45">
        <v>46015.552083333336</v>
      </c>
      <c r="O13070" s="46" t="s">
        <v>123</v>
      </c>
      <c r="P13070" s="46">
        <v>900.0</v>
      </c>
    </row>
    <row r="13071">
      <c r="A13071" s="40">
        <f t="shared" si="1"/>
        <v>46013</v>
      </c>
      <c r="B13071" s="37" t="str">
        <f t="array" ref="B13071">iferror(xlookup($I13071, 'IMPORT VHC Report'!$E:$E, 'IMPORT VHC Report'!$A:$C), )</f>
        <v/>
      </c>
      <c r="C13071" s="44"/>
      <c r="D13071" s="44"/>
      <c r="E13071" s="46" t="s">
        <v>9128</v>
      </c>
      <c r="F13071" s="46" t="s">
        <v>2677</v>
      </c>
      <c r="G13071" s="46">
        <v>8.409877156495E12</v>
      </c>
      <c r="H13071" s="46" t="s">
        <v>2678</v>
      </c>
      <c r="I13071" s="46" t="s">
        <v>2679</v>
      </c>
      <c r="J13071" s="46" t="s">
        <v>125</v>
      </c>
      <c r="K13071" s="46" t="s">
        <v>126</v>
      </c>
      <c r="L13071" s="45">
        <v>46015.552083333336</v>
      </c>
      <c r="M13071" s="46" t="s">
        <v>123</v>
      </c>
      <c r="N13071" s="45">
        <v>46015.59375</v>
      </c>
      <c r="O13071" s="46" t="s">
        <v>123</v>
      </c>
      <c r="P13071" s="46">
        <v>3600.0</v>
      </c>
      <c r="S13071" s="46" t="s">
        <v>9129</v>
      </c>
    </row>
    <row r="13072">
      <c r="A13072" s="40">
        <f t="shared" si="1"/>
        <v>46013</v>
      </c>
      <c r="B13072" s="37" t="str">
        <f t="array" ref="B13072">iferror(xlookup($I13072, 'IMPORT VHC Report'!$E:$E, 'IMPORT VHC Report'!$A:$C), )</f>
        <v/>
      </c>
      <c r="C13072" s="44"/>
      <c r="D13072" s="44"/>
      <c r="E13072" s="46" t="s">
        <v>9130</v>
      </c>
      <c r="F13072" s="46" t="s">
        <v>2677</v>
      </c>
      <c r="G13072" s="46">
        <v>8.409877156495E12</v>
      </c>
      <c r="H13072" s="46" t="s">
        <v>2678</v>
      </c>
      <c r="I13072" s="46" t="s">
        <v>2679</v>
      </c>
      <c r="J13072" s="46" t="s">
        <v>224</v>
      </c>
      <c r="K13072" s="46" t="s">
        <v>63</v>
      </c>
      <c r="L13072" s="45">
        <v>46016.25</v>
      </c>
      <c r="M13072" s="46" t="s">
        <v>123</v>
      </c>
      <c r="N13072" s="45">
        <v>46016.625</v>
      </c>
      <c r="O13072" s="46" t="s">
        <v>123</v>
      </c>
      <c r="P13072" s="46">
        <v>32400.0</v>
      </c>
    </row>
    <row r="13073">
      <c r="A13073" s="40">
        <f t="shared" si="1"/>
        <v>46013</v>
      </c>
      <c r="B13073" s="37" t="str">
        <f t="array" ref="B13073">iferror(xlookup($I13073, 'IMPORT VHC Report'!$E:$E, 'IMPORT VHC Report'!$A:$C), )</f>
        <v/>
      </c>
      <c r="C13073" s="44"/>
      <c r="D13073" s="44"/>
      <c r="E13073" s="46" t="s">
        <v>9131</v>
      </c>
      <c r="F13073" s="46" t="s">
        <v>2677</v>
      </c>
      <c r="G13073" s="46">
        <v>8.409877156495E12</v>
      </c>
      <c r="H13073" s="46" t="s">
        <v>2678</v>
      </c>
      <c r="I13073" s="46" t="s">
        <v>2679</v>
      </c>
      <c r="J13073" s="46" t="s">
        <v>132</v>
      </c>
      <c r="K13073" s="46" t="s">
        <v>126</v>
      </c>
      <c r="L13073" s="45">
        <v>46016.354166666664</v>
      </c>
      <c r="M13073" s="46" t="s">
        <v>123</v>
      </c>
      <c r="N13073" s="45">
        <v>46016.395833333336</v>
      </c>
      <c r="O13073" s="46" t="s">
        <v>123</v>
      </c>
      <c r="P13073" s="46">
        <v>3600.0</v>
      </c>
    </row>
    <row r="13074">
      <c r="A13074" s="40">
        <f t="shared" si="1"/>
        <v>46013</v>
      </c>
      <c r="B13074" s="37" t="str">
        <f t="array" ref="B13074">iferror(xlookup($I13074, 'IMPORT VHC Report'!$E:$E, 'IMPORT VHC Report'!$A:$C), )</f>
        <v/>
      </c>
      <c r="C13074" s="44"/>
      <c r="D13074" s="44"/>
      <c r="E13074" s="46" t="s">
        <v>9132</v>
      </c>
      <c r="F13074" s="46" t="s">
        <v>2677</v>
      </c>
      <c r="G13074" s="46">
        <v>8.409877156495E12</v>
      </c>
      <c r="H13074" s="46" t="s">
        <v>2678</v>
      </c>
      <c r="I13074" s="46" t="s">
        <v>2679</v>
      </c>
      <c r="J13074" s="46" t="s">
        <v>4</v>
      </c>
      <c r="K13074" s="46" t="s">
        <v>126</v>
      </c>
      <c r="L13074" s="45">
        <v>46016.427083333336</v>
      </c>
      <c r="M13074" s="46" t="s">
        <v>123</v>
      </c>
      <c r="N13074" s="45">
        <v>46016.46875</v>
      </c>
      <c r="O13074" s="46" t="s">
        <v>123</v>
      </c>
      <c r="P13074" s="46">
        <v>3600.0</v>
      </c>
      <c r="S13074" s="46" t="s">
        <v>9133</v>
      </c>
    </row>
    <row r="13075">
      <c r="A13075" s="40">
        <f t="shared" si="1"/>
        <v>46013</v>
      </c>
      <c r="B13075" s="37" t="str">
        <f t="array" ref="B13075">iferror(xlookup($I13075, 'IMPORT VHC Report'!$E:$E, 'IMPORT VHC Report'!$A:$C), )</f>
        <v/>
      </c>
      <c r="C13075" s="44"/>
      <c r="D13075" s="44"/>
      <c r="E13075" s="46" t="s">
        <v>9134</v>
      </c>
      <c r="F13075" s="46" t="s">
        <v>2677</v>
      </c>
      <c r="G13075" s="46">
        <v>8.409877156495E12</v>
      </c>
      <c r="H13075" s="46" t="s">
        <v>2678</v>
      </c>
      <c r="I13075" s="46" t="s">
        <v>2679</v>
      </c>
      <c r="J13075" s="46" t="s">
        <v>4</v>
      </c>
      <c r="K13075" s="46" t="s">
        <v>126</v>
      </c>
      <c r="L13075" s="45">
        <v>46016.427083333336</v>
      </c>
      <c r="M13075" s="46" t="s">
        <v>123</v>
      </c>
      <c r="N13075" s="45">
        <v>46016.46875</v>
      </c>
      <c r="O13075" s="46" t="s">
        <v>123</v>
      </c>
      <c r="P13075" s="46">
        <v>3600.0</v>
      </c>
      <c r="S13075" s="46" t="s">
        <v>9133</v>
      </c>
    </row>
    <row r="13076">
      <c r="A13076" s="40">
        <f t="shared" si="1"/>
        <v>46013</v>
      </c>
      <c r="B13076" s="37" t="str">
        <f t="array" ref="B13076">iferror(xlookup($I13076, 'IMPORT VHC Report'!$E:$E, 'IMPORT VHC Report'!$A:$C), )</f>
        <v/>
      </c>
      <c r="C13076" s="44"/>
      <c r="D13076" s="44"/>
      <c r="E13076" s="46" t="s">
        <v>9135</v>
      </c>
      <c r="F13076" s="46" t="s">
        <v>2677</v>
      </c>
      <c r="G13076" s="46">
        <v>8.409877156495E12</v>
      </c>
      <c r="H13076" s="46" t="s">
        <v>2678</v>
      </c>
      <c r="I13076" s="46" t="s">
        <v>2679</v>
      </c>
      <c r="J13076" s="46" t="s">
        <v>134</v>
      </c>
      <c r="K13076" s="46" t="s">
        <v>126</v>
      </c>
      <c r="L13076" s="45">
        <v>46016.479166666664</v>
      </c>
      <c r="M13076" s="46" t="s">
        <v>123</v>
      </c>
      <c r="N13076" s="45">
        <v>46016.489583333336</v>
      </c>
      <c r="O13076" s="46" t="s">
        <v>123</v>
      </c>
      <c r="P13076" s="46">
        <v>900.0</v>
      </c>
    </row>
    <row r="13077">
      <c r="A13077" s="40">
        <f t="shared" si="1"/>
        <v>46013</v>
      </c>
      <c r="B13077" s="37" t="str">
        <f t="array" ref="B13077">iferror(xlookup($I13077, 'IMPORT VHC Report'!$E:$E, 'IMPORT VHC Report'!$A:$C), )</f>
        <v/>
      </c>
      <c r="C13077" s="44"/>
      <c r="D13077" s="44"/>
      <c r="E13077" s="46" t="s">
        <v>9136</v>
      </c>
      <c r="F13077" s="46" t="s">
        <v>2677</v>
      </c>
      <c r="G13077" s="46">
        <v>8.409877156495E12</v>
      </c>
      <c r="H13077" s="46" t="s">
        <v>2678</v>
      </c>
      <c r="I13077" s="46" t="s">
        <v>2679</v>
      </c>
      <c r="J13077" s="46" t="s">
        <v>134</v>
      </c>
      <c r="K13077" s="46" t="s">
        <v>126</v>
      </c>
      <c r="L13077" s="45">
        <v>46016.552083333336</v>
      </c>
      <c r="M13077" s="46" t="s">
        <v>123</v>
      </c>
      <c r="N13077" s="45">
        <v>46016.5625</v>
      </c>
      <c r="O13077" s="46" t="s">
        <v>123</v>
      </c>
      <c r="P13077" s="46">
        <v>900.0</v>
      </c>
    </row>
    <row r="13078">
      <c r="A13078" s="40">
        <f t="shared" si="1"/>
        <v>46013</v>
      </c>
      <c r="B13078" s="37" t="str">
        <f t="array" ref="B13078">iferror(xlookup($I13078, 'IMPORT VHC Report'!$E:$E, 'IMPORT VHC Report'!$A:$C), )</f>
        <v/>
      </c>
      <c r="C13078" s="44"/>
      <c r="D13078" s="44"/>
      <c r="E13078" s="46" t="s">
        <v>9137</v>
      </c>
      <c r="F13078" s="46" t="s">
        <v>2677</v>
      </c>
      <c r="G13078" s="46">
        <v>8.409877156495E12</v>
      </c>
      <c r="H13078" s="46" t="s">
        <v>2678</v>
      </c>
      <c r="I13078" s="46" t="s">
        <v>2679</v>
      </c>
      <c r="J13078" s="46" t="s">
        <v>224</v>
      </c>
      <c r="K13078" s="46" t="s">
        <v>63</v>
      </c>
      <c r="L13078" s="45">
        <v>46017.25</v>
      </c>
      <c r="M13078" s="46" t="s">
        <v>123</v>
      </c>
      <c r="N13078" s="45">
        <v>46017.625</v>
      </c>
      <c r="O13078" s="46" t="s">
        <v>123</v>
      </c>
      <c r="P13078" s="46">
        <v>32400.0</v>
      </c>
    </row>
    <row r="13079">
      <c r="A13079" s="40">
        <f t="shared" si="1"/>
        <v>46013</v>
      </c>
      <c r="B13079" s="37" t="str">
        <f t="array" ref="B13079">iferror(xlookup($I13079, 'IMPORT VHC Report'!$E:$E, 'IMPORT VHC Report'!$A:$C), )</f>
        <v/>
      </c>
      <c r="C13079" s="44"/>
      <c r="D13079" s="44"/>
      <c r="E13079" s="46" t="s">
        <v>9138</v>
      </c>
      <c r="F13079" s="46" t="s">
        <v>2677</v>
      </c>
      <c r="G13079" s="46">
        <v>8.409877156495E12</v>
      </c>
      <c r="H13079" s="46" t="s">
        <v>2678</v>
      </c>
      <c r="I13079" s="46" t="s">
        <v>2679</v>
      </c>
      <c r="J13079" s="46" t="s">
        <v>125</v>
      </c>
      <c r="K13079" s="46" t="s">
        <v>126</v>
      </c>
      <c r="L13079" s="45">
        <v>46017.375</v>
      </c>
      <c r="M13079" s="46" t="s">
        <v>123</v>
      </c>
      <c r="N13079" s="45">
        <v>46017.416666666664</v>
      </c>
      <c r="O13079" s="46" t="s">
        <v>123</v>
      </c>
      <c r="P13079" s="46">
        <v>3600.0</v>
      </c>
      <c r="S13079" s="46" t="s">
        <v>9139</v>
      </c>
    </row>
    <row r="13080">
      <c r="A13080" s="40">
        <f t="shared" si="1"/>
        <v>46013</v>
      </c>
      <c r="B13080" s="37" t="str">
        <f t="array" ref="B13080">iferror(xlookup($I13080, 'IMPORT VHC Report'!$E:$E, 'IMPORT VHC Report'!$A:$C), )</f>
        <v/>
      </c>
      <c r="C13080" s="44"/>
      <c r="D13080" s="44"/>
      <c r="E13080" s="46" t="s">
        <v>9140</v>
      </c>
      <c r="F13080" s="46" t="s">
        <v>2677</v>
      </c>
      <c r="G13080" s="46">
        <v>8.409877156495E12</v>
      </c>
      <c r="H13080" s="46" t="s">
        <v>2678</v>
      </c>
      <c r="I13080" s="46" t="s">
        <v>2679</v>
      </c>
      <c r="J13080" s="46" t="s">
        <v>134</v>
      </c>
      <c r="K13080" s="46" t="s">
        <v>126</v>
      </c>
      <c r="L13080" s="45">
        <v>46017.458333333336</v>
      </c>
      <c r="M13080" s="46" t="s">
        <v>123</v>
      </c>
      <c r="N13080" s="45">
        <v>46017.46875</v>
      </c>
      <c r="O13080" s="46" t="s">
        <v>123</v>
      </c>
      <c r="P13080" s="46">
        <v>900.0</v>
      </c>
    </row>
    <row r="13081">
      <c r="A13081" s="40">
        <f t="shared" si="1"/>
        <v>46013</v>
      </c>
      <c r="B13081" s="37" t="str">
        <f t="array" ref="B13081">iferror(xlookup($I13081, 'IMPORT VHC Report'!$E:$E, 'IMPORT VHC Report'!$A:$C), )</f>
        <v/>
      </c>
      <c r="C13081" s="44"/>
      <c r="D13081" s="44"/>
      <c r="E13081" s="46" t="s">
        <v>9141</v>
      </c>
      <c r="F13081" s="46" t="s">
        <v>2677</v>
      </c>
      <c r="G13081" s="46">
        <v>8.409877156495E12</v>
      </c>
      <c r="H13081" s="46" t="s">
        <v>2678</v>
      </c>
      <c r="I13081" s="46" t="s">
        <v>2679</v>
      </c>
      <c r="J13081" s="46" t="s">
        <v>132</v>
      </c>
      <c r="K13081" s="46" t="s">
        <v>126</v>
      </c>
      <c r="L13081" s="45">
        <v>46017.5</v>
      </c>
      <c r="M13081" s="46" t="s">
        <v>123</v>
      </c>
      <c r="N13081" s="45">
        <v>46017.541666666664</v>
      </c>
      <c r="O13081" s="46" t="s">
        <v>123</v>
      </c>
      <c r="P13081" s="46">
        <v>3600.0</v>
      </c>
    </row>
    <row r="13082">
      <c r="A13082" s="40">
        <f t="shared" si="1"/>
        <v>46013</v>
      </c>
      <c r="B13082" s="37" t="str">
        <f t="array" ref="B13082">iferror(xlookup($I13082, 'IMPORT VHC Report'!$E:$E, 'IMPORT VHC Report'!$A:$C), )</f>
        <v/>
      </c>
      <c r="C13082" s="44"/>
      <c r="D13082" s="44"/>
      <c r="E13082" s="46" t="s">
        <v>9142</v>
      </c>
      <c r="F13082" s="46" t="s">
        <v>2677</v>
      </c>
      <c r="G13082" s="46">
        <v>8.409877156495E12</v>
      </c>
      <c r="H13082" s="46" t="s">
        <v>2678</v>
      </c>
      <c r="I13082" s="46" t="s">
        <v>2679</v>
      </c>
      <c r="J13082" s="46" t="s">
        <v>134</v>
      </c>
      <c r="K13082" s="46" t="s">
        <v>126</v>
      </c>
      <c r="L13082" s="45">
        <v>46017.541666666664</v>
      </c>
      <c r="M13082" s="46" t="s">
        <v>123</v>
      </c>
      <c r="N13082" s="45">
        <v>46017.552083333336</v>
      </c>
      <c r="O13082" s="46" t="s">
        <v>123</v>
      </c>
      <c r="P13082" s="46">
        <v>900.0</v>
      </c>
    </row>
    <row r="13083">
      <c r="A13083" s="40">
        <f t="shared" si="1"/>
        <v>46013</v>
      </c>
      <c r="B13083" s="37" t="str">
        <f t="array" ref="B13083">iferror(xlookup($I13083, 'IMPORT VHC Report'!$E:$E, 'IMPORT VHC Report'!$A:$C), )</f>
        <v/>
      </c>
      <c r="C13083" s="44"/>
      <c r="D13083" s="44"/>
      <c r="E13083" s="46" t="s">
        <v>9143</v>
      </c>
      <c r="F13083" s="46" t="s">
        <v>2807</v>
      </c>
      <c r="G13083" s="46">
        <v>5.566859239951E12</v>
      </c>
      <c r="H13083" s="46" t="s">
        <v>2808</v>
      </c>
      <c r="I13083" s="46" t="s">
        <v>2809</v>
      </c>
      <c r="J13083" s="46" t="s">
        <v>178</v>
      </c>
      <c r="K13083" s="46" t="s">
        <v>153</v>
      </c>
      <c r="L13083" s="45">
        <v>46013.25</v>
      </c>
      <c r="M13083" s="46" t="s">
        <v>123</v>
      </c>
      <c r="N13083" s="45">
        <v>46013.625</v>
      </c>
      <c r="O13083" s="46" t="s">
        <v>123</v>
      </c>
      <c r="P13083" s="46">
        <v>32400.0</v>
      </c>
      <c r="Q13083" s="46">
        <v>32400.0</v>
      </c>
    </row>
    <row r="13084">
      <c r="A13084" s="40">
        <f t="shared" si="1"/>
        <v>46013</v>
      </c>
      <c r="B13084" s="37" t="str">
        <f t="array" ref="B13084">iferror(xlookup($I13084, 'IMPORT VHC Report'!$E:$E, 'IMPORT VHC Report'!$A:$C), )</f>
        <v/>
      </c>
      <c r="C13084" s="44"/>
      <c r="D13084" s="44"/>
      <c r="E13084" s="46" t="s">
        <v>9144</v>
      </c>
      <c r="F13084" s="46" t="s">
        <v>2807</v>
      </c>
      <c r="G13084" s="46">
        <v>5.566859239951E12</v>
      </c>
      <c r="H13084" s="46" t="s">
        <v>2808</v>
      </c>
      <c r="I13084" s="46" t="s">
        <v>2809</v>
      </c>
      <c r="J13084" s="46" t="s">
        <v>224</v>
      </c>
      <c r="K13084" s="46" t="s">
        <v>63</v>
      </c>
      <c r="L13084" s="45">
        <v>46014.25</v>
      </c>
      <c r="M13084" s="46" t="s">
        <v>123</v>
      </c>
      <c r="N13084" s="45">
        <v>46014.625</v>
      </c>
      <c r="O13084" s="46" t="s">
        <v>123</v>
      </c>
      <c r="P13084" s="46">
        <v>32400.0</v>
      </c>
    </row>
    <row r="13085">
      <c r="A13085" s="40">
        <f t="shared" si="1"/>
        <v>46013</v>
      </c>
      <c r="B13085" s="37" t="str">
        <f t="array" ref="B13085">iferror(xlookup($I13085, 'IMPORT VHC Report'!$E:$E, 'IMPORT VHC Report'!$A:$C), )</f>
        <v/>
      </c>
      <c r="C13085" s="44"/>
      <c r="D13085" s="44"/>
      <c r="E13085" s="46" t="s">
        <v>9145</v>
      </c>
      <c r="F13085" s="46" t="s">
        <v>2807</v>
      </c>
      <c r="G13085" s="46">
        <v>5.566859239951E12</v>
      </c>
      <c r="H13085" s="46" t="s">
        <v>2808</v>
      </c>
      <c r="I13085" s="46" t="s">
        <v>2809</v>
      </c>
      <c r="J13085" s="46" t="s">
        <v>178</v>
      </c>
      <c r="K13085" s="46" t="s">
        <v>153</v>
      </c>
      <c r="L13085" s="45">
        <v>46014.25</v>
      </c>
      <c r="M13085" s="46" t="s">
        <v>123</v>
      </c>
      <c r="N13085" s="45">
        <v>46014.625</v>
      </c>
      <c r="O13085" s="46" t="s">
        <v>123</v>
      </c>
      <c r="P13085" s="46">
        <v>32400.0</v>
      </c>
      <c r="Q13085" s="46">
        <v>28800.0</v>
      </c>
    </row>
    <row r="13086">
      <c r="A13086" s="40">
        <f t="shared" si="1"/>
        <v>46013</v>
      </c>
      <c r="B13086" s="37" t="str">
        <f t="array" ref="B13086">iferror(xlookup($I13086, 'IMPORT VHC Report'!$E:$E, 'IMPORT VHC Report'!$A:$C), )</f>
        <v/>
      </c>
      <c r="C13086" s="44"/>
      <c r="D13086" s="44"/>
      <c r="E13086" s="46" t="s">
        <v>9146</v>
      </c>
      <c r="F13086" s="46" t="s">
        <v>2807</v>
      </c>
      <c r="G13086" s="46">
        <v>5.566859239951E12</v>
      </c>
      <c r="H13086" s="46" t="s">
        <v>2808</v>
      </c>
      <c r="I13086" s="46" t="s">
        <v>2809</v>
      </c>
      <c r="J13086" s="46" t="s">
        <v>224</v>
      </c>
      <c r="K13086" s="46" t="s">
        <v>63</v>
      </c>
      <c r="L13086" s="45">
        <v>46015.25</v>
      </c>
      <c r="M13086" s="46" t="s">
        <v>123</v>
      </c>
      <c r="N13086" s="45">
        <v>46015.333333333336</v>
      </c>
      <c r="O13086" s="46" t="s">
        <v>123</v>
      </c>
      <c r="P13086" s="46">
        <v>7200.0</v>
      </c>
    </row>
    <row r="13087">
      <c r="A13087" s="40">
        <f t="shared" si="1"/>
        <v>46013</v>
      </c>
      <c r="B13087" s="37" t="str">
        <f t="array" ref="B13087">iferror(xlookup($I13087, 'IMPORT VHC Report'!$E:$E, 'IMPORT VHC Report'!$A:$C), )</f>
        <v/>
      </c>
      <c r="C13087" s="44"/>
      <c r="D13087" s="44"/>
      <c r="E13087" s="46" t="s">
        <v>9147</v>
      </c>
      <c r="F13087" s="46" t="s">
        <v>2807</v>
      </c>
      <c r="G13087" s="46">
        <v>5.566859239951E12</v>
      </c>
      <c r="H13087" s="46" t="s">
        <v>2808</v>
      </c>
      <c r="I13087" s="46" t="s">
        <v>2809</v>
      </c>
      <c r="J13087" s="46" t="s">
        <v>134</v>
      </c>
      <c r="K13087" s="46" t="s">
        <v>126</v>
      </c>
      <c r="L13087" s="45">
        <v>46015.333333333336</v>
      </c>
      <c r="M13087" s="46" t="s">
        <v>123</v>
      </c>
      <c r="N13087" s="45">
        <v>46015.34375</v>
      </c>
      <c r="O13087" s="46" t="s">
        <v>123</v>
      </c>
      <c r="P13087" s="46">
        <v>900.0</v>
      </c>
    </row>
    <row r="13088">
      <c r="A13088" s="40">
        <f t="shared" si="1"/>
        <v>46013</v>
      </c>
      <c r="B13088" s="37" t="str">
        <f t="array" ref="B13088">iferror(xlookup($I13088, 'IMPORT VHC Report'!$E:$E, 'IMPORT VHC Report'!$A:$C), )</f>
        <v/>
      </c>
      <c r="C13088" s="44"/>
      <c r="D13088" s="44"/>
      <c r="E13088" s="46" t="s">
        <v>9148</v>
      </c>
      <c r="F13088" s="46" t="s">
        <v>2807</v>
      </c>
      <c r="G13088" s="46">
        <v>5.566859239951E12</v>
      </c>
      <c r="H13088" s="46" t="s">
        <v>2808</v>
      </c>
      <c r="I13088" s="46" t="s">
        <v>2809</v>
      </c>
      <c r="J13088" s="46" t="s">
        <v>224</v>
      </c>
      <c r="K13088" s="46" t="s">
        <v>63</v>
      </c>
      <c r="L13088" s="45">
        <v>46015.34375</v>
      </c>
      <c r="M13088" s="46" t="s">
        <v>123</v>
      </c>
      <c r="N13088" s="45">
        <v>46015.40625</v>
      </c>
      <c r="O13088" s="46" t="s">
        <v>123</v>
      </c>
      <c r="P13088" s="46">
        <v>5400.0</v>
      </c>
    </row>
    <row r="13089">
      <c r="A13089" s="40">
        <f t="shared" si="1"/>
        <v>46013</v>
      </c>
      <c r="B13089" s="37" t="str">
        <f t="array" ref="B13089">iferror(xlookup($I13089, 'IMPORT VHC Report'!$E:$E, 'IMPORT VHC Report'!$A:$C), )</f>
        <v/>
      </c>
      <c r="C13089" s="44"/>
      <c r="D13089" s="44"/>
      <c r="E13089" s="46" t="s">
        <v>9149</v>
      </c>
      <c r="F13089" s="46" t="s">
        <v>2807</v>
      </c>
      <c r="G13089" s="46">
        <v>5.566859239951E12</v>
      </c>
      <c r="H13089" s="46" t="s">
        <v>2808</v>
      </c>
      <c r="I13089" s="46" t="s">
        <v>2809</v>
      </c>
      <c r="J13089" s="46" t="s">
        <v>134</v>
      </c>
      <c r="K13089" s="46" t="s">
        <v>126</v>
      </c>
      <c r="L13089" s="45">
        <v>46015.40625</v>
      </c>
      <c r="M13089" s="46" t="s">
        <v>123</v>
      </c>
      <c r="N13089" s="45">
        <v>46015.416666666664</v>
      </c>
      <c r="O13089" s="46" t="s">
        <v>123</v>
      </c>
      <c r="P13089" s="46">
        <v>900.0</v>
      </c>
    </row>
    <row r="13090">
      <c r="A13090" s="40">
        <f t="shared" si="1"/>
        <v>46013</v>
      </c>
      <c r="B13090" s="37" t="str">
        <f t="array" ref="B13090">iferror(xlookup($I13090, 'IMPORT VHC Report'!$E:$E, 'IMPORT VHC Report'!$A:$C), )</f>
        <v/>
      </c>
      <c r="C13090" s="44"/>
      <c r="D13090" s="44"/>
      <c r="E13090" s="46" t="s">
        <v>9150</v>
      </c>
      <c r="F13090" s="46" t="s">
        <v>2807</v>
      </c>
      <c r="G13090" s="46">
        <v>5.566859239951E12</v>
      </c>
      <c r="H13090" s="46" t="s">
        <v>2808</v>
      </c>
      <c r="I13090" s="46" t="s">
        <v>2809</v>
      </c>
      <c r="J13090" s="46" t="s">
        <v>224</v>
      </c>
      <c r="K13090" s="46" t="s">
        <v>63</v>
      </c>
      <c r="L13090" s="45">
        <v>46015.416666666664</v>
      </c>
      <c r="M13090" s="46" t="s">
        <v>123</v>
      </c>
      <c r="N13090" s="45">
        <v>46015.520833333336</v>
      </c>
      <c r="O13090" s="46" t="s">
        <v>123</v>
      </c>
      <c r="P13090" s="46">
        <v>9000.0</v>
      </c>
    </row>
    <row r="13091">
      <c r="A13091" s="40">
        <f t="shared" si="1"/>
        <v>46013</v>
      </c>
      <c r="B13091" s="37" t="str">
        <f t="array" ref="B13091">iferror(xlookup($I13091, 'IMPORT VHC Report'!$E:$E, 'IMPORT VHC Report'!$A:$C), )</f>
        <v/>
      </c>
      <c r="C13091" s="44"/>
      <c r="D13091" s="44"/>
      <c r="E13091" s="46" t="s">
        <v>9151</v>
      </c>
      <c r="F13091" s="46" t="s">
        <v>2807</v>
      </c>
      <c r="G13091" s="46">
        <v>5.566859239951E12</v>
      </c>
      <c r="H13091" s="46" t="s">
        <v>2808</v>
      </c>
      <c r="I13091" s="46" t="s">
        <v>2809</v>
      </c>
      <c r="J13091" s="46" t="s">
        <v>132</v>
      </c>
      <c r="K13091" s="46" t="s">
        <v>126</v>
      </c>
      <c r="L13091" s="45">
        <v>46015.520833333336</v>
      </c>
      <c r="M13091" s="46" t="s">
        <v>123</v>
      </c>
      <c r="N13091" s="45">
        <v>46015.5625</v>
      </c>
      <c r="O13091" s="46" t="s">
        <v>123</v>
      </c>
      <c r="P13091" s="46">
        <v>3600.0</v>
      </c>
    </row>
    <row r="13092">
      <c r="A13092" s="40">
        <f t="shared" si="1"/>
        <v>46013</v>
      </c>
      <c r="B13092" s="37" t="str">
        <f t="array" ref="B13092">iferror(xlookup($I13092, 'IMPORT VHC Report'!$E:$E, 'IMPORT VHC Report'!$A:$C), )</f>
        <v/>
      </c>
      <c r="C13092" s="44"/>
      <c r="D13092" s="44"/>
      <c r="E13092" s="46" t="s">
        <v>9152</v>
      </c>
      <c r="F13092" s="46" t="s">
        <v>2807</v>
      </c>
      <c r="G13092" s="46">
        <v>5.566859239951E12</v>
      </c>
      <c r="H13092" s="46" t="s">
        <v>2808</v>
      </c>
      <c r="I13092" s="46" t="s">
        <v>2809</v>
      </c>
      <c r="J13092" s="46" t="s">
        <v>4</v>
      </c>
      <c r="K13092" s="46" t="s">
        <v>126</v>
      </c>
      <c r="L13092" s="45">
        <v>46015.5625</v>
      </c>
      <c r="M13092" s="46" t="s">
        <v>123</v>
      </c>
      <c r="N13092" s="45">
        <v>46015.572916666664</v>
      </c>
      <c r="O13092" s="46" t="s">
        <v>123</v>
      </c>
      <c r="P13092" s="46">
        <v>900.0</v>
      </c>
      <c r="S13092" s="46" t="s">
        <v>9010</v>
      </c>
    </row>
    <row r="13093">
      <c r="A13093" s="40">
        <f t="shared" si="1"/>
        <v>46013</v>
      </c>
      <c r="B13093" s="37" t="str">
        <f t="array" ref="B13093">iferror(xlookup($I13093, 'IMPORT VHC Report'!$E:$E, 'IMPORT VHC Report'!$A:$C), )</f>
        <v/>
      </c>
      <c r="C13093" s="44"/>
      <c r="D13093" s="44"/>
      <c r="E13093" s="46" t="s">
        <v>9153</v>
      </c>
      <c r="F13093" s="46" t="s">
        <v>2807</v>
      </c>
      <c r="G13093" s="46">
        <v>5.566859239951E12</v>
      </c>
      <c r="H13093" s="46" t="s">
        <v>2808</v>
      </c>
      <c r="I13093" s="46" t="s">
        <v>2809</v>
      </c>
      <c r="J13093" s="46" t="s">
        <v>125</v>
      </c>
      <c r="K13093" s="46" t="s">
        <v>126</v>
      </c>
      <c r="L13093" s="45">
        <v>46015.572916666664</v>
      </c>
      <c r="M13093" s="46" t="s">
        <v>123</v>
      </c>
      <c r="N13093" s="45">
        <v>46015.614583333336</v>
      </c>
      <c r="O13093" s="46" t="s">
        <v>123</v>
      </c>
      <c r="P13093" s="46">
        <v>3600.0</v>
      </c>
    </row>
    <row r="13094">
      <c r="A13094" s="40">
        <f t="shared" si="1"/>
        <v>46013</v>
      </c>
      <c r="B13094" s="37" t="str">
        <f t="array" ref="B13094">iferror(xlookup($I13094, 'IMPORT VHC Report'!$E:$E, 'IMPORT VHC Report'!$A:$C), )</f>
        <v/>
      </c>
      <c r="C13094" s="44"/>
      <c r="D13094" s="44"/>
      <c r="E13094" s="46" t="s">
        <v>9154</v>
      </c>
      <c r="F13094" s="46" t="s">
        <v>2807</v>
      </c>
      <c r="G13094" s="46">
        <v>5.566859239951E12</v>
      </c>
      <c r="H13094" s="46" t="s">
        <v>2808</v>
      </c>
      <c r="I13094" s="46" t="s">
        <v>2809</v>
      </c>
      <c r="J13094" s="46" t="s">
        <v>224</v>
      </c>
      <c r="K13094" s="46" t="s">
        <v>63</v>
      </c>
      <c r="L13094" s="45">
        <v>46015.614583333336</v>
      </c>
      <c r="M13094" s="46" t="s">
        <v>123</v>
      </c>
      <c r="N13094" s="45">
        <v>46015.625</v>
      </c>
      <c r="O13094" s="46" t="s">
        <v>123</v>
      </c>
      <c r="P13094" s="46">
        <v>900.0</v>
      </c>
    </row>
    <row r="13095">
      <c r="A13095" s="40">
        <f t="shared" si="1"/>
        <v>46013</v>
      </c>
      <c r="B13095" s="37" t="str">
        <f t="array" ref="B13095">iferror(xlookup($I13095, 'IMPORT VHC Report'!$E:$E, 'IMPORT VHC Report'!$A:$C), )</f>
        <v/>
      </c>
      <c r="C13095" s="44"/>
      <c r="D13095" s="44"/>
      <c r="E13095" s="46" t="s">
        <v>9155</v>
      </c>
      <c r="F13095" s="46" t="s">
        <v>2807</v>
      </c>
      <c r="G13095" s="46">
        <v>5.566859239951E12</v>
      </c>
      <c r="H13095" s="46" t="s">
        <v>2808</v>
      </c>
      <c r="I13095" s="46" t="s">
        <v>2809</v>
      </c>
      <c r="J13095" s="46" t="s">
        <v>178</v>
      </c>
      <c r="K13095" s="46" t="s">
        <v>153</v>
      </c>
      <c r="L13095" s="45">
        <v>46018.25</v>
      </c>
      <c r="M13095" s="46" t="s">
        <v>123</v>
      </c>
      <c r="N13095" s="45">
        <v>46018.416666666664</v>
      </c>
      <c r="O13095" s="46" t="s">
        <v>123</v>
      </c>
      <c r="P13095" s="46">
        <v>14400.0</v>
      </c>
      <c r="Q13095" s="46">
        <v>14400.0</v>
      </c>
      <c r="R13095" s="46" t="s">
        <v>9156</v>
      </c>
    </row>
    <row r="13096">
      <c r="A13096" s="40">
        <f t="shared" si="1"/>
        <v>46013</v>
      </c>
      <c r="B13096" s="37" t="str">
        <f t="array" ref="B13096">iferror(xlookup($I13096, 'IMPORT VHC Report'!$E:$E, 'IMPORT VHC Report'!$A:$C), )</f>
        <v/>
      </c>
      <c r="C13096" s="44"/>
      <c r="D13096" s="44"/>
      <c r="E13096" s="46" t="s">
        <v>9157</v>
      </c>
      <c r="F13096" s="46" t="s">
        <v>2807</v>
      </c>
      <c r="G13096" s="46">
        <v>5.566859239951E12</v>
      </c>
      <c r="H13096" s="46" t="s">
        <v>2808</v>
      </c>
      <c r="I13096" s="46" t="s">
        <v>2809</v>
      </c>
      <c r="J13096" s="46" t="s">
        <v>224</v>
      </c>
      <c r="K13096" s="46" t="s">
        <v>63</v>
      </c>
      <c r="L13096" s="45">
        <v>46018.25</v>
      </c>
      <c r="M13096" s="46" t="s">
        <v>123</v>
      </c>
      <c r="N13096" s="45">
        <v>46018.625</v>
      </c>
      <c r="O13096" s="46" t="s">
        <v>123</v>
      </c>
      <c r="P13096" s="46">
        <v>32400.0</v>
      </c>
    </row>
    <row r="13097">
      <c r="A13097" s="40">
        <f t="shared" si="1"/>
        <v>46013</v>
      </c>
      <c r="B13097" s="37" t="str">
        <f t="array" ref="B13097">iferror(xlookup($I13097, 'IMPORT VHC Report'!$E:$E, 'IMPORT VHC Report'!$A:$C), )</f>
        <v/>
      </c>
      <c r="C13097" s="44"/>
      <c r="D13097" s="44"/>
      <c r="E13097" s="46" t="s">
        <v>9158</v>
      </c>
      <c r="F13097" s="46" t="s">
        <v>2807</v>
      </c>
      <c r="G13097" s="46">
        <v>5.566859239951E12</v>
      </c>
      <c r="H13097" s="46" t="s">
        <v>2808</v>
      </c>
      <c r="I13097" s="46" t="s">
        <v>2809</v>
      </c>
      <c r="J13097" s="46" t="s">
        <v>132</v>
      </c>
      <c r="K13097" s="46" t="s">
        <v>126</v>
      </c>
      <c r="L13097" s="45">
        <v>46018.416666666664</v>
      </c>
      <c r="M13097" s="46" t="s">
        <v>123</v>
      </c>
      <c r="N13097" s="45">
        <v>46018.458333333336</v>
      </c>
      <c r="O13097" s="46" t="s">
        <v>123</v>
      </c>
      <c r="P13097" s="46">
        <v>3600.0</v>
      </c>
    </row>
    <row r="13098">
      <c r="A13098" s="40">
        <f t="shared" si="1"/>
        <v>46013</v>
      </c>
      <c r="B13098" s="37" t="str">
        <f t="array" ref="B13098">iferror(xlookup($I13098, 'IMPORT VHC Report'!$E:$E, 'IMPORT VHC Report'!$A:$C), )</f>
        <v/>
      </c>
      <c r="C13098" s="44"/>
      <c r="D13098" s="44"/>
      <c r="E13098" s="46" t="s">
        <v>9159</v>
      </c>
      <c r="F13098" s="46" t="s">
        <v>2807</v>
      </c>
      <c r="G13098" s="46">
        <v>5.566859239951E12</v>
      </c>
      <c r="H13098" s="46" t="s">
        <v>2808</v>
      </c>
      <c r="I13098" s="46" t="s">
        <v>2809</v>
      </c>
      <c r="J13098" s="46" t="s">
        <v>134</v>
      </c>
      <c r="K13098" s="46" t="s">
        <v>126</v>
      </c>
      <c r="L13098" s="45">
        <v>46018.552083333336</v>
      </c>
      <c r="M13098" s="46" t="s">
        <v>123</v>
      </c>
      <c r="N13098" s="45">
        <v>46018.5625</v>
      </c>
      <c r="O13098" s="46" t="s">
        <v>123</v>
      </c>
      <c r="P13098" s="46">
        <v>900.0</v>
      </c>
    </row>
    <row r="13099">
      <c r="A13099" s="40">
        <f t="shared" si="1"/>
        <v>46013</v>
      </c>
      <c r="B13099" s="37" t="str">
        <f t="array" ref="B13099">iferror(xlookup($I13099, 'IMPORT VHC Report'!$E:$E, 'IMPORT VHC Report'!$A:$C), )</f>
        <v/>
      </c>
      <c r="C13099" s="44"/>
      <c r="D13099" s="44"/>
      <c r="E13099" s="46" t="s">
        <v>9160</v>
      </c>
      <c r="F13099" s="46" t="s">
        <v>2807</v>
      </c>
      <c r="G13099" s="46">
        <v>5.566859239951E12</v>
      </c>
      <c r="H13099" s="46" t="s">
        <v>2808</v>
      </c>
      <c r="I13099" s="46" t="s">
        <v>2809</v>
      </c>
      <c r="J13099" s="46" t="s">
        <v>224</v>
      </c>
      <c r="K13099" s="46" t="s">
        <v>63</v>
      </c>
      <c r="L13099" s="45">
        <v>46019.25</v>
      </c>
      <c r="M13099" s="46" t="s">
        <v>123</v>
      </c>
      <c r="N13099" s="45">
        <v>46019.34375</v>
      </c>
      <c r="O13099" s="46" t="s">
        <v>123</v>
      </c>
      <c r="P13099" s="46">
        <v>8100.0</v>
      </c>
    </row>
    <row r="13100">
      <c r="A13100" s="40">
        <f t="shared" si="1"/>
        <v>46013</v>
      </c>
      <c r="B13100" s="37" t="str">
        <f t="array" ref="B13100">iferror(xlookup($I13100, 'IMPORT VHC Report'!$E:$E, 'IMPORT VHC Report'!$A:$C), )</f>
        <v/>
      </c>
      <c r="C13100" s="44"/>
      <c r="D13100" s="44"/>
      <c r="E13100" s="46" t="s">
        <v>9161</v>
      </c>
      <c r="F13100" s="46" t="s">
        <v>2807</v>
      </c>
      <c r="G13100" s="46">
        <v>5.566859239951E12</v>
      </c>
      <c r="H13100" s="46" t="s">
        <v>2808</v>
      </c>
      <c r="I13100" s="46" t="s">
        <v>2809</v>
      </c>
      <c r="J13100" s="46" t="s">
        <v>134</v>
      </c>
      <c r="K13100" s="46" t="s">
        <v>126</v>
      </c>
      <c r="L13100" s="45">
        <v>46019.34375</v>
      </c>
      <c r="M13100" s="46" t="s">
        <v>123</v>
      </c>
      <c r="N13100" s="45">
        <v>46019.354166666664</v>
      </c>
      <c r="O13100" s="46" t="s">
        <v>123</v>
      </c>
      <c r="P13100" s="46">
        <v>900.0</v>
      </c>
    </row>
    <row r="13101">
      <c r="A13101" s="40">
        <f t="shared" si="1"/>
        <v>46013</v>
      </c>
      <c r="B13101" s="37" t="str">
        <f t="array" ref="B13101">iferror(xlookup($I13101, 'IMPORT VHC Report'!$E:$E, 'IMPORT VHC Report'!$A:$C), )</f>
        <v/>
      </c>
      <c r="C13101" s="44"/>
      <c r="D13101" s="44"/>
      <c r="E13101" s="46" t="s">
        <v>9162</v>
      </c>
      <c r="F13101" s="46" t="s">
        <v>2807</v>
      </c>
      <c r="G13101" s="46">
        <v>5.566859239951E12</v>
      </c>
      <c r="H13101" s="46" t="s">
        <v>2808</v>
      </c>
      <c r="I13101" s="46" t="s">
        <v>2809</v>
      </c>
      <c r="J13101" s="46" t="s">
        <v>224</v>
      </c>
      <c r="K13101" s="46" t="s">
        <v>63</v>
      </c>
      <c r="L13101" s="45">
        <v>46019.354166666664</v>
      </c>
      <c r="M13101" s="46" t="s">
        <v>123</v>
      </c>
      <c r="N13101" s="45">
        <v>46019.4375</v>
      </c>
      <c r="O13101" s="46" t="s">
        <v>123</v>
      </c>
      <c r="P13101" s="46">
        <v>7200.0</v>
      </c>
    </row>
    <row r="13102">
      <c r="A13102" s="40">
        <f t="shared" si="1"/>
        <v>46013</v>
      </c>
      <c r="B13102" s="37" t="str">
        <f t="array" ref="B13102">iferror(xlookup($I13102, 'IMPORT VHC Report'!$E:$E, 'IMPORT VHC Report'!$A:$C), )</f>
        <v/>
      </c>
      <c r="C13102" s="44"/>
      <c r="D13102" s="44"/>
      <c r="E13102" s="46" t="s">
        <v>9163</v>
      </c>
      <c r="F13102" s="46" t="s">
        <v>2807</v>
      </c>
      <c r="G13102" s="46">
        <v>5.566859239951E12</v>
      </c>
      <c r="H13102" s="46" t="s">
        <v>2808</v>
      </c>
      <c r="I13102" s="46" t="s">
        <v>2809</v>
      </c>
      <c r="J13102" s="46" t="s">
        <v>134</v>
      </c>
      <c r="K13102" s="46" t="s">
        <v>126</v>
      </c>
      <c r="L13102" s="45">
        <v>46019.4375</v>
      </c>
      <c r="M13102" s="46" t="s">
        <v>123</v>
      </c>
      <c r="N13102" s="45">
        <v>46019.447916666664</v>
      </c>
      <c r="O13102" s="46" t="s">
        <v>123</v>
      </c>
      <c r="P13102" s="46">
        <v>900.0</v>
      </c>
    </row>
    <row r="13103">
      <c r="A13103" s="40">
        <f t="shared" si="1"/>
        <v>46013</v>
      </c>
      <c r="B13103" s="37" t="str">
        <f t="array" ref="B13103">iferror(xlookup($I13103, 'IMPORT VHC Report'!$E:$E, 'IMPORT VHC Report'!$A:$C), )</f>
        <v/>
      </c>
      <c r="C13103" s="44"/>
      <c r="D13103" s="44"/>
      <c r="E13103" s="46" t="s">
        <v>9164</v>
      </c>
      <c r="F13103" s="46" t="s">
        <v>2807</v>
      </c>
      <c r="G13103" s="46">
        <v>5.566859239951E12</v>
      </c>
      <c r="H13103" s="46" t="s">
        <v>2808</v>
      </c>
      <c r="I13103" s="46" t="s">
        <v>2809</v>
      </c>
      <c r="J13103" s="46" t="s">
        <v>224</v>
      </c>
      <c r="K13103" s="46" t="s">
        <v>63</v>
      </c>
      <c r="L13103" s="45">
        <v>46019.447916666664</v>
      </c>
      <c r="M13103" s="46" t="s">
        <v>123</v>
      </c>
      <c r="N13103" s="45">
        <v>46019.510416666664</v>
      </c>
      <c r="O13103" s="46" t="s">
        <v>123</v>
      </c>
      <c r="P13103" s="46">
        <v>5400.0</v>
      </c>
    </row>
    <row r="13104">
      <c r="A13104" s="40">
        <f t="shared" si="1"/>
        <v>46013</v>
      </c>
      <c r="B13104" s="37" t="str">
        <f t="array" ref="B13104">iferror(xlookup($I13104, 'IMPORT VHC Report'!$E:$E, 'IMPORT VHC Report'!$A:$C), )</f>
        <v/>
      </c>
      <c r="C13104" s="44"/>
      <c r="D13104" s="44"/>
      <c r="E13104" s="46" t="s">
        <v>9165</v>
      </c>
      <c r="F13104" s="46" t="s">
        <v>2807</v>
      </c>
      <c r="G13104" s="46">
        <v>5.566859239951E12</v>
      </c>
      <c r="H13104" s="46" t="s">
        <v>2808</v>
      </c>
      <c r="I13104" s="46" t="s">
        <v>2809</v>
      </c>
      <c r="J13104" s="46" t="s">
        <v>132</v>
      </c>
      <c r="K13104" s="46" t="s">
        <v>126</v>
      </c>
      <c r="L13104" s="45">
        <v>46019.510416666664</v>
      </c>
      <c r="M13104" s="46" t="s">
        <v>123</v>
      </c>
      <c r="N13104" s="45">
        <v>46019.552083333336</v>
      </c>
      <c r="O13104" s="46" t="s">
        <v>123</v>
      </c>
      <c r="P13104" s="46">
        <v>3600.0</v>
      </c>
    </row>
    <row r="13105">
      <c r="A13105" s="40">
        <f t="shared" si="1"/>
        <v>46013</v>
      </c>
      <c r="B13105" s="37" t="str">
        <f t="array" ref="B13105">iferror(xlookup($I13105, 'IMPORT VHC Report'!$E:$E, 'IMPORT VHC Report'!$A:$C), )</f>
        <v/>
      </c>
      <c r="C13105" s="44"/>
      <c r="D13105" s="44"/>
      <c r="E13105" s="46" t="s">
        <v>9166</v>
      </c>
      <c r="F13105" s="46" t="s">
        <v>2807</v>
      </c>
      <c r="G13105" s="46">
        <v>5.566859239951E12</v>
      </c>
      <c r="H13105" s="46" t="s">
        <v>2808</v>
      </c>
      <c r="I13105" s="46" t="s">
        <v>2809</v>
      </c>
      <c r="J13105" s="46" t="s">
        <v>224</v>
      </c>
      <c r="K13105" s="46" t="s">
        <v>63</v>
      </c>
      <c r="L13105" s="45">
        <v>46019.552083333336</v>
      </c>
      <c r="M13105" s="46" t="s">
        <v>123</v>
      </c>
      <c r="N13105" s="45">
        <v>46019.625</v>
      </c>
      <c r="O13105" s="46" t="s">
        <v>123</v>
      </c>
      <c r="P13105" s="46">
        <v>6300.0</v>
      </c>
    </row>
    <row r="13106">
      <c r="A13106" s="40">
        <f t="shared" si="1"/>
        <v>46013</v>
      </c>
      <c r="B13106" s="37" t="str">
        <f t="array" ref="B13106">iferror(xlookup($I13106, 'IMPORT VHC Report'!$E:$E, 'IMPORT VHC Report'!$A:$C), )</f>
        <v/>
      </c>
      <c r="C13106" s="44"/>
      <c r="D13106" s="44"/>
      <c r="E13106" s="46" t="s">
        <v>9167</v>
      </c>
      <c r="F13106" s="46" t="s">
        <v>3371</v>
      </c>
      <c r="G13106" s="46">
        <v>3.61861298335E11</v>
      </c>
      <c r="H13106" s="46" t="s">
        <v>3372</v>
      </c>
      <c r="I13106" s="46" t="s">
        <v>3373</v>
      </c>
      <c r="J13106" s="46" t="s">
        <v>224</v>
      </c>
      <c r="K13106" s="46" t="s">
        <v>63</v>
      </c>
      <c r="L13106" s="45">
        <v>46013.416666666664</v>
      </c>
      <c r="M13106" s="46" t="s">
        <v>123</v>
      </c>
      <c r="N13106" s="45">
        <v>46013.791666666664</v>
      </c>
      <c r="O13106" s="46" t="s">
        <v>123</v>
      </c>
      <c r="P13106" s="46">
        <v>32400.0</v>
      </c>
    </row>
    <row r="13107">
      <c r="A13107" s="40">
        <f t="shared" si="1"/>
        <v>46013</v>
      </c>
      <c r="B13107" s="37" t="str">
        <f t="array" ref="B13107">iferror(xlookup($I13107, 'IMPORT VHC Report'!$E:$E, 'IMPORT VHC Report'!$A:$C), )</f>
        <v/>
      </c>
      <c r="C13107" s="44"/>
      <c r="D13107" s="44"/>
      <c r="E13107" s="46" t="s">
        <v>9168</v>
      </c>
      <c r="F13107" s="46" t="s">
        <v>3371</v>
      </c>
      <c r="G13107" s="46">
        <v>3.61861298335E11</v>
      </c>
      <c r="H13107" s="46" t="s">
        <v>3372</v>
      </c>
      <c r="I13107" s="46" t="s">
        <v>3373</v>
      </c>
      <c r="J13107" s="46" t="s">
        <v>132</v>
      </c>
      <c r="K13107" s="46" t="s">
        <v>126</v>
      </c>
      <c r="L13107" s="45">
        <v>46013.520833333336</v>
      </c>
      <c r="M13107" s="46" t="s">
        <v>123</v>
      </c>
      <c r="N13107" s="45">
        <v>46013.5625</v>
      </c>
      <c r="O13107" s="46" t="s">
        <v>123</v>
      </c>
      <c r="P13107" s="46">
        <v>3600.0</v>
      </c>
    </row>
    <row r="13108">
      <c r="A13108" s="40">
        <f t="shared" si="1"/>
        <v>46013</v>
      </c>
      <c r="B13108" s="37" t="str">
        <f t="array" ref="B13108">iferror(xlookup($I13108, 'IMPORT VHC Report'!$E:$E, 'IMPORT VHC Report'!$A:$C), )</f>
        <v/>
      </c>
      <c r="C13108" s="44"/>
      <c r="D13108" s="44"/>
      <c r="E13108" s="46" t="s">
        <v>9169</v>
      </c>
      <c r="F13108" s="46" t="s">
        <v>3371</v>
      </c>
      <c r="G13108" s="46">
        <v>3.61861298335E11</v>
      </c>
      <c r="H13108" s="46" t="s">
        <v>3372</v>
      </c>
      <c r="I13108" s="46" t="s">
        <v>3373</v>
      </c>
      <c r="J13108" s="46" t="s">
        <v>134</v>
      </c>
      <c r="K13108" s="46" t="s">
        <v>126</v>
      </c>
      <c r="L13108" s="45">
        <v>46013.625</v>
      </c>
      <c r="M13108" s="46" t="s">
        <v>123</v>
      </c>
      <c r="N13108" s="45">
        <v>46013.635416666664</v>
      </c>
      <c r="O13108" s="46" t="s">
        <v>123</v>
      </c>
      <c r="P13108" s="46">
        <v>900.0</v>
      </c>
    </row>
    <row r="13109">
      <c r="A13109" s="40">
        <f t="shared" si="1"/>
        <v>46013</v>
      </c>
      <c r="B13109" s="37" t="str">
        <f t="array" ref="B13109">iferror(xlookup($I13109, 'IMPORT VHC Report'!$E:$E, 'IMPORT VHC Report'!$A:$C), )</f>
        <v/>
      </c>
      <c r="C13109" s="44"/>
      <c r="D13109" s="44"/>
      <c r="E13109" s="46" t="s">
        <v>9170</v>
      </c>
      <c r="F13109" s="46" t="s">
        <v>3371</v>
      </c>
      <c r="G13109" s="46">
        <v>3.61861298335E11</v>
      </c>
      <c r="H13109" s="46" t="s">
        <v>3372</v>
      </c>
      <c r="I13109" s="46" t="s">
        <v>3373</v>
      </c>
      <c r="J13109" s="46" t="s">
        <v>134</v>
      </c>
      <c r="K13109" s="46" t="s">
        <v>126</v>
      </c>
      <c r="L13109" s="45">
        <v>46013.697916666664</v>
      </c>
      <c r="M13109" s="46" t="s">
        <v>123</v>
      </c>
      <c r="N13109" s="45">
        <v>46013.708333333336</v>
      </c>
      <c r="O13109" s="46" t="s">
        <v>123</v>
      </c>
      <c r="P13109" s="46">
        <v>900.0</v>
      </c>
    </row>
    <row r="13110">
      <c r="A13110" s="40">
        <f t="shared" si="1"/>
        <v>46013</v>
      </c>
      <c r="B13110" s="37" t="str">
        <f t="array" ref="B13110">iferror(xlookup($I13110, 'IMPORT VHC Report'!$E:$E, 'IMPORT VHC Report'!$A:$C), )</f>
        <v/>
      </c>
      <c r="C13110" s="44"/>
      <c r="D13110" s="44"/>
      <c r="E13110" s="46" t="s">
        <v>9171</v>
      </c>
      <c r="F13110" s="46" t="s">
        <v>3371</v>
      </c>
      <c r="G13110" s="46">
        <v>3.61861298335E11</v>
      </c>
      <c r="H13110" s="46" t="s">
        <v>3372</v>
      </c>
      <c r="I13110" s="46" t="s">
        <v>3373</v>
      </c>
      <c r="J13110" s="46" t="s">
        <v>224</v>
      </c>
      <c r="K13110" s="46" t="s">
        <v>63</v>
      </c>
      <c r="L13110" s="45">
        <v>46014.416666666664</v>
      </c>
      <c r="M13110" s="46" t="s">
        <v>123</v>
      </c>
      <c r="N13110" s="45">
        <v>46014.493055555555</v>
      </c>
      <c r="O13110" s="46" t="s">
        <v>123</v>
      </c>
      <c r="P13110" s="46">
        <v>6600.0</v>
      </c>
    </row>
    <row r="13111">
      <c r="A13111" s="40">
        <f t="shared" si="1"/>
        <v>46013</v>
      </c>
      <c r="B13111" s="37" t="str">
        <f t="array" ref="B13111">iferror(xlookup($I13111, 'IMPORT VHC Report'!$E:$E, 'IMPORT VHC Report'!$A:$C), )</f>
        <v/>
      </c>
      <c r="C13111" s="44"/>
      <c r="D13111" s="44"/>
      <c r="E13111" s="46" t="s">
        <v>9172</v>
      </c>
      <c r="F13111" s="46" t="s">
        <v>3371</v>
      </c>
      <c r="G13111" s="46">
        <v>3.61861298335E11</v>
      </c>
      <c r="H13111" s="46" t="s">
        <v>3372</v>
      </c>
      <c r="I13111" s="46" t="s">
        <v>3373</v>
      </c>
      <c r="J13111" s="46" t="s">
        <v>4</v>
      </c>
      <c r="K13111" s="46" t="s">
        <v>126</v>
      </c>
      <c r="L13111" s="45">
        <v>46014.493055555555</v>
      </c>
      <c r="M13111" s="46" t="s">
        <v>123</v>
      </c>
      <c r="N13111" s="45">
        <v>46014.5625</v>
      </c>
      <c r="O13111" s="46" t="s">
        <v>123</v>
      </c>
      <c r="P13111" s="46">
        <v>6000.0</v>
      </c>
      <c r="S13111" s="46" t="s">
        <v>9173</v>
      </c>
    </row>
    <row r="13112">
      <c r="A13112" s="40">
        <f t="shared" si="1"/>
        <v>46013</v>
      </c>
      <c r="B13112" s="37" t="str">
        <f t="array" ref="B13112">iferror(xlookup($I13112, 'IMPORT VHC Report'!$E:$E, 'IMPORT VHC Report'!$A:$C), )</f>
        <v/>
      </c>
      <c r="C13112" s="44"/>
      <c r="D13112" s="44"/>
      <c r="E13112" s="46" t="s">
        <v>9174</v>
      </c>
      <c r="F13112" s="46" t="s">
        <v>3371</v>
      </c>
      <c r="G13112" s="46">
        <v>3.61861298335E11</v>
      </c>
      <c r="H13112" s="46" t="s">
        <v>3372</v>
      </c>
      <c r="I13112" s="46" t="s">
        <v>3373</v>
      </c>
      <c r="J13112" s="46" t="s">
        <v>132</v>
      </c>
      <c r="K13112" s="46" t="s">
        <v>126</v>
      </c>
      <c r="L13112" s="45">
        <v>46014.5625</v>
      </c>
      <c r="M13112" s="46" t="s">
        <v>123</v>
      </c>
      <c r="N13112" s="45">
        <v>46014.604166666664</v>
      </c>
      <c r="O13112" s="46" t="s">
        <v>123</v>
      </c>
      <c r="P13112" s="46">
        <v>3600.0</v>
      </c>
    </row>
    <row r="13113">
      <c r="A13113" s="40">
        <f t="shared" si="1"/>
        <v>46013</v>
      </c>
      <c r="B13113" s="37" t="str">
        <f t="array" ref="B13113">iferror(xlookup($I13113, 'IMPORT VHC Report'!$E:$E, 'IMPORT VHC Report'!$A:$C), )</f>
        <v/>
      </c>
      <c r="C13113" s="44"/>
      <c r="D13113" s="44"/>
      <c r="E13113" s="46" t="s">
        <v>9175</v>
      </c>
      <c r="F13113" s="46" t="s">
        <v>3371</v>
      </c>
      <c r="G13113" s="46">
        <v>3.61861298335E11</v>
      </c>
      <c r="H13113" s="46" t="s">
        <v>3372</v>
      </c>
      <c r="I13113" s="46" t="s">
        <v>3373</v>
      </c>
      <c r="J13113" s="46" t="s">
        <v>4</v>
      </c>
      <c r="K13113" s="46" t="s">
        <v>126</v>
      </c>
      <c r="L13113" s="45">
        <v>46014.604166666664</v>
      </c>
      <c r="M13113" s="46" t="s">
        <v>123</v>
      </c>
      <c r="N13113" s="45">
        <v>46014.614583333336</v>
      </c>
      <c r="O13113" s="46" t="s">
        <v>123</v>
      </c>
      <c r="P13113" s="46">
        <v>900.0</v>
      </c>
      <c r="S13113" s="46" t="s">
        <v>9176</v>
      </c>
    </row>
    <row r="13114">
      <c r="A13114" s="40">
        <f t="shared" si="1"/>
        <v>46013</v>
      </c>
      <c r="B13114" s="37" t="str">
        <f t="array" ref="B13114">iferror(xlookup($I13114, 'IMPORT VHC Report'!$E:$E, 'IMPORT VHC Report'!$A:$C), )</f>
        <v/>
      </c>
      <c r="C13114" s="44"/>
      <c r="D13114" s="44"/>
      <c r="E13114" s="46" t="s">
        <v>9177</v>
      </c>
      <c r="F13114" s="46" t="s">
        <v>3371</v>
      </c>
      <c r="G13114" s="46">
        <v>3.61861298335E11</v>
      </c>
      <c r="H13114" s="46" t="s">
        <v>3372</v>
      </c>
      <c r="I13114" s="46" t="s">
        <v>3373</v>
      </c>
      <c r="J13114" s="46" t="s">
        <v>224</v>
      </c>
      <c r="K13114" s="46" t="s">
        <v>63</v>
      </c>
      <c r="L13114" s="45">
        <v>46014.614583333336</v>
      </c>
      <c r="M13114" s="46" t="s">
        <v>123</v>
      </c>
      <c r="N13114" s="45">
        <v>46014.65625</v>
      </c>
      <c r="O13114" s="46" t="s">
        <v>123</v>
      </c>
      <c r="P13114" s="46">
        <v>3600.0</v>
      </c>
    </row>
    <row r="13115">
      <c r="A13115" s="40">
        <f t="shared" si="1"/>
        <v>46013</v>
      </c>
      <c r="B13115" s="37" t="str">
        <f t="array" ref="B13115">iferror(xlookup($I13115, 'IMPORT VHC Report'!$E:$E, 'IMPORT VHC Report'!$A:$C), )</f>
        <v/>
      </c>
      <c r="C13115" s="44"/>
      <c r="D13115" s="44"/>
      <c r="E13115" s="46" t="s">
        <v>9178</v>
      </c>
      <c r="F13115" s="46" t="s">
        <v>3371</v>
      </c>
      <c r="G13115" s="46">
        <v>3.61861298335E11</v>
      </c>
      <c r="H13115" s="46" t="s">
        <v>3372</v>
      </c>
      <c r="I13115" s="46" t="s">
        <v>3373</v>
      </c>
      <c r="J13115" s="46" t="s">
        <v>134</v>
      </c>
      <c r="K13115" s="46" t="s">
        <v>126</v>
      </c>
      <c r="L13115" s="45">
        <v>46014.65625</v>
      </c>
      <c r="M13115" s="46" t="s">
        <v>123</v>
      </c>
      <c r="N13115" s="45">
        <v>46014.666666666664</v>
      </c>
      <c r="O13115" s="46" t="s">
        <v>123</v>
      </c>
      <c r="P13115" s="46">
        <v>900.0</v>
      </c>
    </row>
    <row r="13116">
      <c r="A13116" s="40">
        <f t="shared" si="1"/>
        <v>46013</v>
      </c>
      <c r="B13116" s="37" t="str">
        <f t="array" ref="B13116">iferror(xlookup($I13116, 'IMPORT VHC Report'!$E:$E, 'IMPORT VHC Report'!$A:$C), )</f>
        <v/>
      </c>
      <c r="C13116" s="44"/>
      <c r="D13116" s="44"/>
      <c r="E13116" s="46" t="s">
        <v>9179</v>
      </c>
      <c r="F13116" s="46" t="s">
        <v>3371</v>
      </c>
      <c r="G13116" s="46">
        <v>3.61861298335E11</v>
      </c>
      <c r="H13116" s="46" t="s">
        <v>3372</v>
      </c>
      <c r="I13116" s="46" t="s">
        <v>3373</v>
      </c>
      <c r="J13116" s="46" t="s">
        <v>224</v>
      </c>
      <c r="K13116" s="46" t="s">
        <v>63</v>
      </c>
      <c r="L13116" s="45">
        <v>46014.666666666664</v>
      </c>
      <c r="M13116" s="46" t="s">
        <v>123</v>
      </c>
      <c r="N13116" s="45">
        <v>46014.708333333336</v>
      </c>
      <c r="O13116" s="46" t="s">
        <v>123</v>
      </c>
      <c r="P13116" s="46">
        <v>3600.0</v>
      </c>
    </row>
    <row r="13117">
      <c r="A13117" s="40">
        <f t="shared" si="1"/>
        <v>46013</v>
      </c>
      <c r="B13117" s="37" t="str">
        <f t="array" ref="B13117">iferror(xlookup($I13117, 'IMPORT VHC Report'!$E:$E, 'IMPORT VHC Report'!$A:$C), )</f>
        <v/>
      </c>
      <c r="C13117" s="44"/>
      <c r="D13117" s="44"/>
      <c r="E13117" s="46" t="s">
        <v>9180</v>
      </c>
      <c r="F13117" s="46" t="s">
        <v>3371</v>
      </c>
      <c r="G13117" s="46">
        <v>3.61861298335E11</v>
      </c>
      <c r="H13117" s="46" t="s">
        <v>3372</v>
      </c>
      <c r="I13117" s="46" t="s">
        <v>3373</v>
      </c>
      <c r="J13117" s="46" t="s">
        <v>136</v>
      </c>
      <c r="K13117" s="46" t="s">
        <v>126</v>
      </c>
      <c r="L13117" s="45">
        <v>46014.708333333336</v>
      </c>
      <c r="M13117" s="46" t="s">
        <v>123</v>
      </c>
      <c r="N13117" s="45">
        <v>46014.75</v>
      </c>
      <c r="O13117" s="46" t="s">
        <v>123</v>
      </c>
      <c r="P13117" s="46">
        <v>3600.0</v>
      </c>
      <c r="S13117" s="46" t="s">
        <v>137</v>
      </c>
    </row>
    <row r="13118">
      <c r="A13118" s="40">
        <f t="shared" si="1"/>
        <v>46013</v>
      </c>
      <c r="B13118" s="37" t="str">
        <f t="array" ref="B13118">iferror(xlookup($I13118, 'IMPORT VHC Report'!$E:$E, 'IMPORT VHC Report'!$A:$C), )</f>
        <v/>
      </c>
      <c r="C13118" s="44"/>
      <c r="D13118" s="44"/>
      <c r="E13118" s="46" t="s">
        <v>9181</v>
      </c>
      <c r="F13118" s="46" t="s">
        <v>3371</v>
      </c>
      <c r="G13118" s="46">
        <v>3.61861298335E11</v>
      </c>
      <c r="H13118" s="46" t="s">
        <v>3372</v>
      </c>
      <c r="I13118" s="46" t="s">
        <v>3373</v>
      </c>
      <c r="J13118" s="46" t="s">
        <v>134</v>
      </c>
      <c r="K13118" s="46" t="s">
        <v>126</v>
      </c>
      <c r="L13118" s="45">
        <v>46014.75</v>
      </c>
      <c r="M13118" s="46" t="s">
        <v>123</v>
      </c>
      <c r="N13118" s="45">
        <v>46014.760416666664</v>
      </c>
      <c r="O13118" s="46" t="s">
        <v>123</v>
      </c>
      <c r="P13118" s="46">
        <v>900.0</v>
      </c>
    </row>
    <row r="13119">
      <c r="A13119" s="40">
        <f t="shared" si="1"/>
        <v>46013</v>
      </c>
      <c r="B13119" s="37" t="str">
        <f t="array" ref="B13119">iferror(xlookup($I13119, 'IMPORT VHC Report'!$E:$E, 'IMPORT VHC Report'!$A:$C), )</f>
        <v/>
      </c>
      <c r="C13119" s="44"/>
      <c r="D13119" s="44"/>
      <c r="E13119" s="46" t="s">
        <v>9182</v>
      </c>
      <c r="F13119" s="46" t="s">
        <v>3371</v>
      </c>
      <c r="G13119" s="46">
        <v>3.61861298335E11</v>
      </c>
      <c r="H13119" s="46" t="s">
        <v>3372</v>
      </c>
      <c r="I13119" s="46" t="s">
        <v>3373</v>
      </c>
      <c r="J13119" s="46" t="s">
        <v>224</v>
      </c>
      <c r="K13119" s="46" t="s">
        <v>63</v>
      </c>
      <c r="L13119" s="45">
        <v>46014.760416666664</v>
      </c>
      <c r="M13119" s="46" t="s">
        <v>123</v>
      </c>
      <c r="N13119" s="45">
        <v>46014.791666666664</v>
      </c>
      <c r="O13119" s="46" t="s">
        <v>123</v>
      </c>
      <c r="P13119" s="46">
        <v>2700.0</v>
      </c>
    </row>
    <row r="13120">
      <c r="A13120" s="40">
        <f t="shared" si="1"/>
        <v>46013</v>
      </c>
      <c r="B13120" s="37" t="str">
        <f t="array" ref="B13120">iferror(xlookup($I13120, 'IMPORT VHC Report'!$E:$E, 'IMPORT VHC Report'!$A:$C), )</f>
        <v/>
      </c>
      <c r="C13120" s="44"/>
      <c r="D13120" s="44"/>
      <c r="E13120" s="46" t="s">
        <v>9183</v>
      </c>
      <c r="F13120" s="46" t="s">
        <v>3371</v>
      </c>
      <c r="G13120" s="46">
        <v>3.61861298335E11</v>
      </c>
      <c r="H13120" s="46" t="s">
        <v>3372</v>
      </c>
      <c r="I13120" s="46" t="s">
        <v>3373</v>
      </c>
      <c r="J13120" s="46" t="s">
        <v>224</v>
      </c>
      <c r="K13120" s="46" t="s">
        <v>63</v>
      </c>
      <c r="L13120" s="45">
        <v>46015.416666666664</v>
      </c>
      <c r="M13120" s="46" t="s">
        <v>123</v>
      </c>
      <c r="N13120" s="45">
        <v>46015.489583333336</v>
      </c>
      <c r="O13120" s="46" t="s">
        <v>123</v>
      </c>
      <c r="P13120" s="46">
        <v>6300.0</v>
      </c>
    </row>
    <row r="13121">
      <c r="A13121" s="40">
        <f t="shared" si="1"/>
        <v>46013</v>
      </c>
      <c r="B13121" s="37" t="str">
        <f t="array" ref="B13121">iferror(xlookup($I13121, 'IMPORT VHC Report'!$E:$E, 'IMPORT VHC Report'!$A:$C), )</f>
        <v/>
      </c>
      <c r="C13121" s="44"/>
      <c r="D13121" s="44"/>
      <c r="E13121" s="46" t="s">
        <v>9184</v>
      </c>
      <c r="F13121" s="46" t="s">
        <v>3371</v>
      </c>
      <c r="G13121" s="46">
        <v>3.61861298335E11</v>
      </c>
      <c r="H13121" s="46" t="s">
        <v>3372</v>
      </c>
      <c r="I13121" s="46" t="s">
        <v>3373</v>
      </c>
      <c r="J13121" s="46" t="s">
        <v>125</v>
      </c>
      <c r="K13121" s="46" t="s">
        <v>126</v>
      </c>
      <c r="L13121" s="45">
        <v>46015.489583333336</v>
      </c>
      <c r="M13121" s="46" t="s">
        <v>123</v>
      </c>
      <c r="N13121" s="45">
        <v>46015.5</v>
      </c>
      <c r="O13121" s="46" t="s">
        <v>123</v>
      </c>
      <c r="P13121" s="46">
        <v>900.0</v>
      </c>
      <c r="S13121" s="46" t="s">
        <v>9129</v>
      </c>
    </row>
    <row r="13122">
      <c r="A13122" s="40">
        <f t="shared" si="1"/>
        <v>46013</v>
      </c>
      <c r="B13122" s="37" t="str">
        <f t="array" ref="B13122">iferror(xlookup($I13122, 'IMPORT VHC Report'!$E:$E, 'IMPORT VHC Report'!$A:$C), )</f>
        <v/>
      </c>
      <c r="C13122" s="44"/>
      <c r="D13122" s="44"/>
      <c r="E13122" s="46" t="s">
        <v>9185</v>
      </c>
      <c r="F13122" s="46" t="s">
        <v>3371</v>
      </c>
      <c r="G13122" s="46">
        <v>3.61861298335E11</v>
      </c>
      <c r="H13122" s="46" t="s">
        <v>3372</v>
      </c>
      <c r="I13122" s="46" t="s">
        <v>3373</v>
      </c>
      <c r="J13122" s="46" t="s">
        <v>134</v>
      </c>
      <c r="K13122" s="46" t="s">
        <v>126</v>
      </c>
      <c r="L13122" s="45">
        <v>46015.5</v>
      </c>
      <c r="M13122" s="46" t="s">
        <v>123</v>
      </c>
      <c r="N13122" s="45">
        <v>46015.510416666664</v>
      </c>
      <c r="O13122" s="46" t="s">
        <v>123</v>
      </c>
      <c r="P13122" s="46">
        <v>900.0</v>
      </c>
    </row>
    <row r="13123">
      <c r="A13123" s="40">
        <f t="shared" si="1"/>
        <v>46013</v>
      </c>
      <c r="B13123" s="37" t="str">
        <f t="array" ref="B13123">iferror(xlookup($I13123, 'IMPORT VHC Report'!$E:$E, 'IMPORT VHC Report'!$A:$C), )</f>
        <v/>
      </c>
      <c r="C13123" s="44"/>
      <c r="D13123" s="44"/>
      <c r="E13123" s="46" t="s">
        <v>9186</v>
      </c>
      <c r="F13123" s="46" t="s">
        <v>3371</v>
      </c>
      <c r="G13123" s="46">
        <v>3.61861298335E11</v>
      </c>
      <c r="H13123" s="46" t="s">
        <v>3372</v>
      </c>
      <c r="I13123" s="46" t="s">
        <v>3373</v>
      </c>
      <c r="J13123" s="46" t="s">
        <v>125</v>
      </c>
      <c r="K13123" s="46" t="s">
        <v>126</v>
      </c>
      <c r="L13123" s="45">
        <v>46015.510416666664</v>
      </c>
      <c r="M13123" s="46" t="s">
        <v>123</v>
      </c>
      <c r="N13123" s="45">
        <v>46015.541666666664</v>
      </c>
      <c r="O13123" s="46" t="s">
        <v>123</v>
      </c>
      <c r="P13123" s="46">
        <v>2700.0</v>
      </c>
      <c r="S13123" s="46" t="s">
        <v>9129</v>
      </c>
    </row>
    <row r="13124">
      <c r="A13124" s="40">
        <f t="shared" si="1"/>
        <v>46013</v>
      </c>
      <c r="B13124" s="37" t="str">
        <f t="array" ref="B13124">iferror(xlookup($I13124, 'IMPORT VHC Report'!$E:$E, 'IMPORT VHC Report'!$A:$C), )</f>
        <v/>
      </c>
      <c r="C13124" s="44"/>
      <c r="D13124" s="44"/>
      <c r="E13124" s="46" t="s">
        <v>9187</v>
      </c>
      <c r="F13124" s="46" t="s">
        <v>3371</v>
      </c>
      <c r="G13124" s="46">
        <v>3.61861298335E11</v>
      </c>
      <c r="H13124" s="46" t="s">
        <v>3372</v>
      </c>
      <c r="I13124" s="46" t="s">
        <v>3373</v>
      </c>
      <c r="J13124" s="46" t="s">
        <v>224</v>
      </c>
      <c r="K13124" s="46" t="s">
        <v>63</v>
      </c>
      <c r="L13124" s="45">
        <v>46015.541666666664</v>
      </c>
      <c r="M13124" s="46" t="s">
        <v>123</v>
      </c>
      <c r="N13124" s="45">
        <v>46015.666666666664</v>
      </c>
      <c r="O13124" s="46" t="s">
        <v>123</v>
      </c>
      <c r="P13124" s="46">
        <v>10800.0</v>
      </c>
    </row>
    <row r="13125">
      <c r="A13125" s="40">
        <f t="shared" si="1"/>
        <v>46013</v>
      </c>
      <c r="B13125" s="37" t="str">
        <f t="array" ref="B13125">iferror(xlookup($I13125, 'IMPORT VHC Report'!$E:$E, 'IMPORT VHC Report'!$A:$C), )</f>
        <v/>
      </c>
      <c r="C13125" s="44"/>
      <c r="D13125" s="44"/>
      <c r="E13125" s="46" t="s">
        <v>9188</v>
      </c>
      <c r="F13125" s="46" t="s">
        <v>3371</v>
      </c>
      <c r="G13125" s="46">
        <v>3.61861298335E11</v>
      </c>
      <c r="H13125" s="46" t="s">
        <v>3372</v>
      </c>
      <c r="I13125" s="46" t="s">
        <v>3373</v>
      </c>
      <c r="J13125" s="46" t="s">
        <v>125</v>
      </c>
      <c r="K13125" s="46" t="s">
        <v>126</v>
      </c>
      <c r="L13125" s="45">
        <v>46015.625</v>
      </c>
      <c r="M13125" s="46" t="s">
        <v>123</v>
      </c>
      <c r="N13125" s="45">
        <v>46015.666666666664</v>
      </c>
      <c r="O13125" s="46" t="s">
        <v>123</v>
      </c>
      <c r="P13125" s="46">
        <v>3600.0</v>
      </c>
      <c r="S13125" s="46" t="s">
        <v>9189</v>
      </c>
    </row>
    <row r="13126">
      <c r="A13126" s="40">
        <f t="shared" si="1"/>
        <v>46013</v>
      </c>
      <c r="B13126" s="37" t="str">
        <f t="array" ref="B13126">iferror(xlookup($I13126, 'IMPORT VHC Report'!$E:$E, 'IMPORT VHC Report'!$A:$C), )</f>
        <v/>
      </c>
      <c r="C13126" s="44"/>
      <c r="D13126" s="44"/>
      <c r="E13126" s="46" t="s">
        <v>9190</v>
      </c>
      <c r="F13126" s="46" t="s">
        <v>3371</v>
      </c>
      <c r="G13126" s="46">
        <v>3.61861298335E11</v>
      </c>
      <c r="H13126" s="46" t="s">
        <v>3372</v>
      </c>
      <c r="I13126" s="46" t="s">
        <v>3373</v>
      </c>
      <c r="J13126" s="46" t="s">
        <v>62</v>
      </c>
      <c r="K13126" s="46" t="s">
        <v>63</v>
      </c>
      <c r="L13126" s="45">
        <v>46015.666666666664</v>
      </c>
      <c r="M13126" s="46" t="s">
        <v>123</v>
      </c>
      <c r="N13126" s="45">
        <v>46015.697916666664</v>
      </c>
      <c r="O13126" s="46" t="s">
        <v>123</v>
      </c>
      <c r="P13126" s="46">
        <v>2700.0</v>
      </c>
    </row>
    <row r="13127">
      <c r="A13127" s="40">
        <f t="shared" si="1"/>
        <v>46013</v>
      </c>
      <c r="B13127" s="37" t="str">
        <f t="array" ref="B13127">iferror(xlookup($I13127, 'IMPORT VHC Report'!$E:$E, 'IMPORT VHC Report'!$A:$C), )</f>
        <v/>
      </c>
      <c r="C13127" s="44"/>
      <c r="D13127" s="44"/>
      <c r="E13127" s="46" t="s">
        <v>9191</v>
      </c>
      <c r="F13127" s="46" t="s">
        <v>3371</v>
      </c>
      <c r="G13127" s="46">
        <v>3.61861298335E11</v>
      </c>
      <c r="H13127" s="46" t="s">
        <v>3372</v>
      </c>
      <c r="I13127" s="46" t="s">
        <v>3373</v>
      </c>
      <c r="J13127" s="46" t="s">
        <v>125</v>
      </c>
      <c r="K13127" s="46" t="s">
        <v>126</v>
      </c>
      <c r="L13127" s="45">
        <v>46015.666666666664</v>
      </c>
      <c r="M13127" s="46" t="s">
        <v>123</v>
      </c>
      <c r="N13127" s="45">
        <v>46015.708333333336</v>
      </c>
      <c r="O13127" s="46" t="s">
        <v>123</v>
      </c>
      <c r="P13127" s="46">
        <v>3600.0</v>
      </c>
    </row>
    <row r="13128">
      <c r="A13128" s="40">
        <f t="shared" si="1"/>
        <v>46013</v>
      </c>
      <c r="B13128" s="37" t="str">
        <f t="array" ref="B13128">iferror(xlookup($I13128, 'IMPORT VHC Report'!$E:$E, 'IMPORT VHC Report'!$A:$C), )</f>
        <v/>
      </c>
      <c r="C13128" s="44"/>
      <c r="D13128" s="44"/>
      <c r="E13128" s="46" t="s">
        <v>9192</v>
      </c>
      <c r="F13128" s="46" t="s">
        <v>3371</v>
      </c>
      <c r="G13128" s="46">
        <v>3.61861298335E11</v>
      </c>
      <c r="H13128" s="46" t="s">
        <v>3372</v>
      </c>
      <c r="I13128" s="46" t="s">
        <v>3373</v>
      </c>
      <c r="J13128" s="46" t="s">
        <v>224</v>
      </c>
      <c r="K13128" s="46" t="s">
        <v>63</v>
      </c>
      <c r="L13128" s="45">
        <v>46015.697916666664</v>
      </c>
      <c r="M13128" s="46" t="s">
        <v>123</v>
      </c>
      <c r="N13128" s="45">
        <v>46015.75</v>
      </c>
      <c r="O13128" s="46" t="s">
        <v>123</v>
      </c>
      <c r="P13128" s="46">
        <v>4500.0</v>
      </c>
    </row>
    <row r="13129">
      <c r="A13129" s="40">
        <f t="shared" si="1"/>
        <v>46013</v>
      </c>
      <c r="B13129" s="37" t="str">
        <f t="array" ref="B13129">iferror(xlookup($I13129, 'IMPORT VHC Report'!$E:$E, 'IMPORT VHC Report'!$A:$C), )</f>
        <v/>
      </c>
      <c r="C13129" s="44"/>
      <c r="D13129" s="44"/>
      <c r="E13129" s="46" t="s">
        <v>9193</v>
      </c>
      <c r="F13129" s="46" t="s">
        <v>3371</v>
      </c>
      <c r="G13129" s="46">
        <v>3.61861298335E11</v>
      </c>
      <c r="H13129" s="46" t="s">
        <v>3372</v>
      </c>
      <c r="I13129" s="46" t="s">
        <v>3373</v>
      </c>
      <c r="J13129" s="46" t="s">
        <v>134</v>
      </c>
      <c r="K13129" s="46" t="s">
        <v>126</v>
      </c>
      <c r="L13129" s="45">
        <v>46015.708333333336</v>
      </c>
      <c r="M13129" s="46" t="s">
        <v>123</v>
      </c>
      <c r="N13129" s="45">
        <v>46015.71875</v>
      </c>
      <c r="O13129" s="46" t="s">
        <v>123</v>
      </c>
      <c r="P13129" s="46">
        <v>900.0</v>
      </c>
    </row>
    <row r="13130">
      <c r="A13130" s="40">
        <f t="shared" si="1"/>
        <v>46013</v>
      </c>
      <c r="B13130" s="37" t="str">
        <f t="array" ref="B13130">iferror(xlookup($I13130, 'IMPORT VHC Report'!$E:$E, 'IMPORT VHC Report'!$A:$C), )</f>
        <v/>
      </c>
      <c r="C13130" s="44"/>
      <c r="D13130" s="44"/>
      <c r="E13130" s="46" t="s">
        <v>9194</v>
      </c>
      <c r="F13130" s="46" t="s">
        <v>3371</v>
      </c>
      <c r="G13130" s="46">
        <v>3.61861298335E11</v>
      </c>
      <c r="H13130" s="46" t="s">
        <v>3372</v>
      </c>
      <c r="I13130" s="46" t="s">
        <v>3373</v>
      </c>
      <c r="J13130" s="46" t="s">
        <v>132</v>
      </c>
      <c r="K13130" s="46" t="s">
        <v>126</v>
      </c>
      <c r="L13130" s="45">
        <v>46015.75</v>
      </c>
      <c r="M13130" s="46" t="s">
        <v>123</v>
      </c>
      <c r="N13130" s="45">
        <v>46015.791666666664</v>
      </c>
      <c r="O13130" s="46" t="s">
        <v>123</v>
      </c>
      <c r="P13130" s="46">
        <v>3600.0</v>
      </c>
    </row>
    <row r="13131">
      <c r="A13131" s="40">
        <f t="shared" si="1"/>
        <v>46013</v>
      </c>
      <c r="B13131" s="37" t="str">
        <f t="array" ref="B13131">iferror(xlookup($I13131, 'IMPORT VHC Report'!$E:$E, 'IMPORT VHC Report'!$A:$C), )</f>
        <v/>
      </c>
      <c r="C13131" s="44"/>
      <c r="D13131" s="44"/>
      <c r="E13131" s="46" t="s">
        <v>9195</v>
      </c>
      <c r="F13131" s="46" t="s">
        <v>3371</v>
      </c>
      <c r="G13131" s="46">
        <v>3.61861298335E11</v>
      </c>
      <c r="H13131" s="46" t="s">
        <v>3372</v>
      </c>
      <c r="I13131" s="46" t="s">
        <v>3373</v>
      </c>
      <c r="J13131" s="46" t="s">
        <v>224</v>
      </c>
      <c r="K13131" s="46" t="s">
        <v>63</v>
      </c>
      <c r="L13131" s="45">
        <v>46016.416666666664</v>
      </c>
      <c r="M13131" s="46" t="s">
        <v>123</v>
      </c>
      <c r="N13131" s="45">
        <v>46016.791666666664</v>
      </c>
      <c r="O13131" s="46" t="s">
        <v>123</v>
      </c>
      <c r="P13131" s="46">
        <v>32400.0</v>
      </c>
    </row>
    <row r="13132">
      <c r="A13132" s="40">
        <f t="shared" si="1"/>
        <v>46013</v>
      </c>
      <c r="B13132" s="37" t="str">
        <f t="array" ref="B13132">iferror(xlookup($I13132, 'IMPORT VHC Report'!$E:$E, 'IMPORT VHC Report'!$A:$C), )</f>
        <v/>
      </c>
      <c r="C13132" s="44"/>
      <c r="D13132" s="44"/>
      <c r="E13132" s="46" t="s">
        <v>9196</v>
      </c>
      <c r="F13132" s="46" t="s">
        <v>3371</v>
      </c>
      <c r="G13132" s="46">
        <v>3.61861298335E11</v>
      </c>
      <c r="H13132" s="46" t="s">
        <v>3372</v>
      </c>
      <c r="I13132" s="46" t="s">
        <v>3373</v>
      </c>
      <c r="J13132" s="46" t="s">
        <v>178</v>
      </c>
      <c r="K13132" s="46" t="s">
        <v>153</v>
      </c>
      <c r="L13132" s="45">
        <v>46016.416666666664</v>
      </c>
      <c r="M13132" s="46" t="s">
        <v>123</v>
      </c>
      <c r="N13132" s="45">
        <v>46016.791666666664</v>
      </c>
      <c r="O13132" s="46" t="s">
        <v>123</v>
      </c>
      <c r="P13132" s="46">
        <v>32400.0</v>
      </c>
      <c r="Q13132" s="46">
        <v>32400.0</v>
      </c>
    </row>
    <row r="13133">
      <c r="A13133" s="40">
        <f t="shared" si="1"/>
        <v>46013</v>
      </c>
      <c r="B13133" s="37" t="str">
        <f t="array" ref="B13133">iferror(xlookup($I13133, 'IMPORT VHC Report'!$E:$E, 'IMPORT VHC Report'!$A:$C), )</f>
        <v/>
      </c>
      <c r="C13133" s="44"/>
      <c r="D13133" s="44"/>
      <c r="E13133" s="46" t="s">
        <v>9197</v>
      </c>
      <c r="F13133" s="46" t="s">
        <v>3371</v>
      </c>
      <c r="G13133" s="46">
        <v>3.61861298335E11</v>
      </c>
      <c r="H13133" s="46" t="s">
        <v>3372</v>
      </c>
      <c r="I13133" s="46" t="s">
        <v>3373</v>
      </c>
      <c r="J13133" s="46" t="s">
        <v>132</v>
      </c>
      <c r="K13133" s="46" t="s">
        <v>126</v>
      </c>
      <c r="L13133" s="45">
        <v>46016.520833333336</v>
      </c>
      <c r="M13133" s="46" t="s">
        <v>123</v>
      </c>
      <c r="N13133" s="45">
        <v>46016.5625</v>
      </c>
      <c r="O13133" s="46" t="s">
        <v>123</v>
      </c>
      <c r="P13133" s="46">
        <v>3600.0</v>
      </c>
    </row>
    <row r="13134">
      <c r="A13134" s="40">
        <f t="shared" si="1"/>
        <v>46013</v>
      </c>
      <c r="B13134" s="37" t="str">
        <f t="array" ref="B13134">iferror(xlookup($I13134, 'IMPORT VHC Report'!$E:$E, 'IMPORT VHC Report'!$A:$C), )</f>
        <v/>
      </c>
      <c r="C13134" s="44"/>
      <c r="D13134" s="44"/>
      <c r="E13134" s="46" t="s">
        <v>9198</v>
      </c>
      <c r="F13134" s="46" t="s">
        <v>3371</v>
      </c>
      <c r="G13134" s="46">
        <v>3.61861298335E11</v>
      </c>
      <c r="H13134" s="46" t="s">
        <v>3372</v>
      </c>
      <c r="I13134" s="46" t="s">
        <v>3373</v>
      </c>
      <c r="J13134" s="46" t="s">
        <v>134</v>
      </c>
      <c r="K13134" s="46" t="s">
        <v>126</v>
      </c>
      <c r="L13134" s="45">
        <v>46016.625</v>
      </c>
      <c r="M13134" s="46" t="s">
        <v>123</v>
      </c>
      <c r="N13134" s="45">
        <v>46016.635416666664</v>
      </c>
      <c r="O13134" s="46" t="s">
        <v>123</v>
      </c>
      <c r="P13134" s="46">
        <v>900.0</v>
      </c>
    </row>
    <row r="13135">
      <c r="A13135" s="40">
        <f t="shared" si="1"/>
        <v>46013</v>
      </c>
      <c r="B13135" s="37" t="str">
        <f t="array" ref="B13135">iferror(xlookup($I13135, 'IMPORT VHC Report'!$E:$E, 'IMPORT VHC Report'!$A:$C), )</f>
        <v/>
      </c>
      <c r="C13135" s="44"/>
      <c r="D13135" s="44"/>
      <c r="E13135" s="46" t="s">
        <v>9199</v>
      </c>
      <c r="F13135" s="46" t="s">
        <v>3371</v>
      </c>
      <c r="G13135" s="46">
        <v>3.61861298335E11</v>
      </c>
      <c r="H13135" s="46" t="s">
        <v>3372</v>
      </c>
      <c r="I13135" s="46" t="s">
        <v>3373</v>
      </c>
      <c r="J13135" s="46" t="s">
        <v>134</v>
      </c>
      <c r="K13135" s="46" t="s">
        <v>126</v>
      </c>
      <c r="L13135" s="45">
        <v>46016.697916666664</v>
      </c>
      <c r="M13135" s="46" t="s">
        <v>123</v>
      </c>
      <c r="N13135" s="45">
        <v>46016.708333333336</v>
      </c>
      <c r="O13135" s="46" t="s">
        <v>123</v>
      </c>
      <c r="P13135" s="46">
        <v>900.0</v>
      </c>
    </row>
    <row r="13136">
      <c r="A13136" s="40">
        <f t="shared" si="1"/>
        <v>46013</v>
      </c>
      <c r="B13136" s="37" t="str">
        <f t="array" ref="B13136">iferror(xlookup($I13136, 'IMPORT VHC Report'!$E:$E, 'IMPORT VHC Report'!$A:$C), )</f>
        <v/>
      </c>
      <c r="C13136" s="44"/>
      <c r="D13136" s="44"/>
      <c r="E13136" s="46" t="s">
        <v>9200</v>
      </c>
      <c r="F13136" s="46" t="s">
        <v>3371</v>
      </c>
      <c r="G13136" s="46">
        <v>3.61861298335E11</v>
      </c>
      <c r="H13136" s="46" t="s">
        <v>3372</v>
      </c>
      <c r="I13136" s="46" t="s">
        <v>3373</v>
      </c>
      <c r="J13136" s="46" t="s">
        <v>224</v>
      </c>
      <c r="K13136" s="46" t="s">
        <v>63</v>
      </c>
      <c r="L13136" s="45">
        <v>46019.416666666664</v>
      </c>
      <c r="M13136" s="46" t="s">
        <v>123</v>
      </c>
      <c r="N13136" s="45">
        <v>46019.53125</v>
      </c>
      <c r="O13136" s="46" t="s">
        <v>123</v>
      </c>
      <c r="P13136" s="46">
        <v>9900.0</v>
      </c>
    </row>
    <row r="13137">
      <c r="A13137" s="40">
        <f t="shared" si="1"/>
        <v>46013</v>
      </c>
      <c r="B13137" s="37" t="str">
        <f t="array" ref="B13137">iferror(xlookup($I13137, 'IMPORT VHC Report'!$E:$E, 'IMPORT VHC Report'!$A:$C), )</f>
        <v/>
      </c>
      <c r="C13137" s="44"/>
      <c r="D13137" s="44"/>
      <c r="E13137" s="46" t="s">
        <v>9201</v>
      </c>
      <c r="F13137" s="46" t="s">
        <v>3371</v>
      </c>
      <c r="G13137" s="46">
        <v>3.61861298335E11</v>
      </c>
      <c r="H13137" s="46" t="s">
        <v>3372</v>
      </c>
      <c r="I13137" s="46" t="s">
        <v>3373</v>
      </c>
      <c r="J13137" s="46" t="s">
        <v>178</v>
      </c>
      <c r="K13137" s="46" t="s">
        <v>153</v>
      </c>
      <c r="L13137" s="45">
        <v>46019.416666666664</v>
      </c>
      <c r="M13137" s="46" t="s">
        <v>123</v>
      </c>
      <c r="N13137" s="45">
        <v>46019.791666666664</v>
      </c>
      <c r="O13137" s="46" t="s">
        <v>123</v>
      </c>
      <c r="P13137" s="46">
        <v>32400.0</v>
      </c>
      <c r="Q13137" s="46">
        <v>32400.0</v>
      </c>
    </row>
    <row r="13138">
      <c r="A13138" s="40">
        <f t="shared" si="1"/>
        <v>46013</v>
      </c>
      <c r="B13138" s="37" t="str">
        <f t="array" ref="B13138">iferror(xlookup($I13138, 'IMPORT VHC Report'!$E:$E, 'IMPORT VHC Report'!$A:$C), )</f>
        <v/>
      </c>
      <c r="C13138" s="44"/>
      <c r="D13138" s="44"/>
      <c r="E13138" s="46" t="s">
        <v>9202</v>
      </c>
      <c r="F13138" s="46" t="s">
        <v>3371</v>
      </c>
      <c r="G13138" s="46">
        <v>3.61861298335E11</v>
      </c>
      <c r="H13138" s="46" t="s">
        <v>3372</v>
      </c>
      <c r="I13138" s="46" t="s">
        <v>3373</v>
      </c>
      <c r="J13138" s="46" t="s">
        <v>134</v>
      </c>
      <c r="K13138" s="46" t="s">
        <v>126</v>
      </c>
      <c r="L13138" s="45">
        <v>46019.53125</v>
      </c>
      <c r="M13138" s="46" t="s">
        <v>123</v>
      </c>
      <c r="N13138" s="45">
        <v>46019.541666666664</v>
      </c>
      <c r="O13138" s="46" t="s">
        <v>123</v>
      </c>
      <c r="P13138" s="46">
        <v>900.0</v>
      </c>
    </row>
    <row r="13139">
      <c r="A13139" s="40">
        <f t="shared" si="1"/>
        <v>46013</v>
      </c>
      <c r="B13139" s="37" t="str">
        <f t="array" ref="B13139">iferror(xlookup($I13139, 'IMPORT VHC Report'!$E:$E, 'IMPORT VHC Report'!$A:$C), )</f>
        <v/>
      </c>
      <c r="C13139" s="44"/>
      <c r="D13139" s="44"/>
      <c r="E13139" s="46" t="s">
        <v>9203</v>
      </c>
      <c r="F13139" s="46" t="s">
        <v>3371</v>
      </c>
      <c r="G13139" s="46">
        <v>3.61861298335E11</v>
      </c>
      <c r="H13139" s="46" t="s">
        <v>3372</v>
      </c>
      <c r="I13139" s="46" t="s">
        <v>3373</v>
      </c>
      <c r="J13139" s="46" t="s">
        <v>224</v>
      </c>
      <c r="K13139" s="46" t="s">
        <v>63</v>
      </c>
      <c r="L13139" s="45">
        <v>46019.53125</v>
      </c>
      <c r="M13139" s="46" t="s">
        <v>123</v>
      </c>
      <c r="N13139" s="45">
        <v>46019.791666666664</v>
      </c>
      <c r="O13139" s="46" t="s">
        <v>123</v>
      </c>
      <c r="P13139" s="46">
        <v>22500.0</v>
      </c>
    </row>
    <row r="13140">
      <c r="A13140" s="40">
        <f t="shared" si="1"/>
        <v>46013</v>
      </c>
      <c r="B13140" s="37" t="str">
        <f t="array" ref="B13140">iferror(xlookup($I13140, 'IMPORT VHC Report'!$E:$E, 'IMPORT VHC Report'!$A:$C), )</f>
        <v/>
      </c>
      <c r="C13140" s="44"/>
      <c r="D13140" s="44"/>
      <c r="E13140" s="46" t="s">
        <v>9204</v>
      </c>
      <c r="F13140" s="46" t="s">
        <v>3371</v>
      </c>
      <c r="G13140" s="46">
        <v>3.61861298335E11</v>
      </c>
      <c r="H13140" s="46" t="s">
        <v>3372</v>
      </c>
      <c r="I13140" s="46" t="s">
        <v>3373</v>
      </c>
      <c r="J13140" s="46" t="s">
        <v>134</v>
      </c>
      <c r="K13140" s="46" t="s">
        <v>126</v>
      </c>
      <c r="L13140" s="45">
        <v>46019.614583333336</v>
      </c>
      <c r="M13140" s="46" t="s">
        <v>123</v>
      </c>
      <c r="N13140" s="45">
        <v>46019.625</v>
      </c>
      <c r="O13140" s="46" t="s">
        <v>123</v>
      </c>
      <c r="P13140" s="46">
        <v>900.0</v>
      </c>
    </row>
    <row r="13141">
      <c r="A13141" s="40">
        <f t="shared" si="1"/>
        <v>46013</v>
      </c>
      <c r="B13141" s="37" t="str">
        <f t="array" ref="B13141">iferror(xlookup($I13141, 'IMPORT VHC Report'!$E:$E, 'IMPORT VHC Report'!$A:$C), )</f>
        <v/>
      </c>
      <c r="C13141" s="44"/>
      <c r="D13141" s="44"/>
      <c r="E13141" s="46" t="s">
        <v>9205</v>
      </c>
      <c r="F13141" s="46" t="s">
        <v>3371</v>
      </c>
      <c r="G13141" s="46">
        <v>3.61861298335E11</v>
      </c>
      <c r="H13141" s="46" t="s">
        <v>3372</v>
      </c>
      <c r="I13141" s="46" t="s">
        <v>3373</v>
      </c>
      <c r="J13141" s="46" t="s">
        <v>132</v>
      </c>
      <c r="K13141" s="46" t="s">
        <v>126</v>
      </c>
      <c r="L13141" s="45">
        <v>46019.6875</v>
      </c>
      <c r="M13141" s="46" t="s">
        <v>123</v>
      </c>
      <c r="N13141" s="45">
        <v>46019.729166666664</v>
      </c>
      <c r="O13141" s="46" t="s">
        <v>123</v>
      </c>
      <c r="P13141" s="46">
        <v>3600.0</v>
      </c>
    </row>
    <row r="13142">
      <c r="A13142" s="40">
        <f t="shared" si="1"/>
        <v>46013</v>
      </c>
      <c r="B13142" s="37" t="str">
        <f t="array" ref="B13142">iferror(xlookup($I13142, 'IMPORT VHC Report'!$E:$E, 'IMPORT VHC Report'!$A:$C), )</f>
        <v/>
      </c>
      <c r="C13142" s="44"/>
      <c r="D13142" s="44"/>
      <c r="E13142" s="46" t="s">
        <v>9206</v>
      </c>
      <c r="F13142" s="46" t="s">
        <v>3459</v>
      </c>
      <c r="G13142" s="46">
        <v>5.202392782223E12</v>
      </c>
      <c r="H13142" s="46" t="s">
        <v>3460</v>
      </c>
      <c r="I13142" s="46" t="s">
        <v>3461</v>
      </c>
      <c r="J13142" s="46" t="s">
        <v>224</v>
      </c>
      <c r="K13142" s="46" t="s">
        <v>63</v>
      </c>
      <c r="L13142" s="45">
        <v>46013.416666666664</v>
      </c>
      <c r="M13142" s="46" t="s">
        <v>123</v>
      </c>
      <c r="N13142" s="45">
        <v>46013.791666666664</v>
      </c>
      <c r="O13142" s="46" t="s">
        <v>123</v>
      </c>
      <c r="P13142" s="46">
        <v>32400.0</v>
      </c>
    </row>
    <row r="13143">
      <c r="A13143" s="40">
        <f t="shared" si="1"/>
        <v>46013</v>
      </c>
      <c r="B13143" s="37" t="str">
        <f t="array" ref="B13143">iferror(xlookup($I13143, 'IMPORT VHC Report'!$E:$E, 'IMPORT VHC Report'!$A:$C), )</f>
        <v/>
      </c>
      <c r="C13143" s="44"/>
      <c r="D13143" s="44"/>
      <c r="E13143" s="46" t="s">
        <v>9207</v>
      </c>
      <c r="F13143" s="46" t="s">
        <v>3459</v>
      </c>
      <c r="G13143" s="46">
        <v>5.202392782223E12</v>
      </c>
      <c r="H13143" s="46" t="s">
        <v>3460</v>
      </c>
      <c r="I13143" s="46" t="s">
        <v>3461</v>
      </c>
      <c r="J13143" s="46" t="s">
        <v>224</v>
      </c>
      <c r="K13143" s="46" t="s">
        <v>63</v>
      </c>
      <c r="L13143" s="45">
        <v>46013.5</v>
      </c>
      <c r="M13143" s="46" t="s">
        <v>123</v>
      </c>
      <c r="N13143" s="45">
        <v>46013.510416666664</v>
      </c>
      <c r="O13143" s="46" t="s">
        <v>123</v>
      </c>
      <c r="P13143" s="46">
        <v>900.0</v>
      </c>
    </row>
    <row r="13144">
      <c r="A13144" s="40">
        <f t="shared" si="1"/>
        <v>46013</v>
      </c>
      <c r="B13144" s="37" t="str">
        <f t="array" ref="B13144">iferror(xlookup($I13144, 'IMPORT VHC Report'!$E:$E, 'IMPORT VHC Report'!$A:$C), )</f>
        <v/>
      </c>
      <c r="C13144" s="44"/>
      <c r="D13144" s="44"/>
      <c r="E13144" s="46" t="s">
        <v>9208</v>
      </c>
      <c r="F13144" s="46" t="s">
        <v>3459</v>
      </c>
      <c r="G13144" s="46">
        <v>5.202392782223E12</v>
      </c>
      <c r="H13144" s="46" t="s">
        <v>3460</v>
      </c>
      <c r="I13144" s="46" t="s">
        <v>3461</v>
      </c>
      <c r="J13144" s="46" t="s">
        <v>224</v>
      </c>
      <c r="K13144" s="46" t="s">
        <v>63</v>
      </c>
      <c r="L13144" s="45">
        <v>46013.572916666664</v>
      </c>
      <c r="M13144" s="46" t="s">
        <v>123</v>
      </c>
      <c r="N13144" s="45">
        <v>46013.583333333336</v>
      </c>
      <c r="O13144" s="46" t="s">
        <v>123</v>
      </c>
      <c r="P13144" s="46">
        <v>900.0</v>
      </c>
    </row>
    <row r="13145">
      <c r="A13145" s="40">
        <f t="shared" si="1"/>
        <v>46013</v>
      </c>
      <c r="B13145" s="37" t="str">
        <f t="array" ref="B13145">iferror(xlookup($I13145, 'IMPORT VHC Report'!$E:$E, 'IMPORT VHC Report'!$A:$C), )</f>
        <v/>
      </c>
      <c r="C13145" s="44"/>
      <c r="D13145" s="44"/>
      <c r="E13145" s="46" t="s">
        <v>9209</v>
      </c>
      <c r="F13145" s="46" t="s">
        <v>3459</v>
      </c>
      <c r="G13145" s="46">
        <v>5.202392782223E12</v>
      </c>
      <c r="H13145" s="46" t="s">
        <v>3460</v>
      </c>
      <c r="I13145" s="46" t="s">
        <v>3461</v>
      </c>
      <c r="J13145" s="46" t="s">
        <v>224</v>
      </c>
      <c r="K13145" s="46" t="s">
        <v>63</v>
      </c>
      <c r="L13145" s="45">
        <v>46013.65625</v>
      </c>
      <c r="M13145" s="46" t="s">
        <v>123</v>
      </c>
      <c r="N13145" s="45">
        <v>46013.697916666664</v>
      </c>
      <c r="O13145" s="46" t="s">
        <v>123</v>
      </c>
      <c r="P13145" s="46">
        <v>3600.0</v>
      </c>
    </row>
    <row r="13146">
      <c r="A13146" s="40">
        <f t="shared" si="1"/>
        <v>46013</v>
      </c>
      <c r="B13146" s="37" t="str">
        <f t="array" ref="B13146">iferror(xlookup($I13146, 'IMPORT VHC Report'!$E:$E, 'IMPORT VHC Report'!$A:$C), )</f>
        <v/>
      </c>
      <c r="C13146" s="44"/>
      <c r="D13146" s="44"/>
      <c r="E13146" s="46" t="s">
        <v>9210</v>
      </c>
      <c r="F13146" s="46" t="s">
        <v>3459</v>
      </c>
      <c r="G13146" s="46">
        <v>5.202392782223E12</v>
      </c>
      <c r="H13146" s="46" t="s">
        <v>3460</v>
      </c>
      <c r="I13146" s="46" t="s">
        <v>3461</v>
      </c>
      <c r="J13146" s="46" t="s">
        <v>125</v>
      </c>
      <c r="K13146" s="46" t="s">
        <v>126</v>
      </c>
      <c r="L13146" s="45">
        <v>46013.71875</v>
      </c>
      <c r="M13146" s="46" t="s">
        <v>123</v>
      </c>
      <c r="N13146" s="45">
        <v>46013.729166666664</v>
      </c>
      <c r="O13146" s="46" t="s">
        <v>123</v>
      </c>
      <c r="P13146" s="46">
        <v>900.0</v>
      </c>
      <c r="S13146" s="46" t="s">
        <v>9211</v>
      </c>
    </row>
    <row r="13147">
      <c r="A13147" s="40">
        <f t="shared" si="1"/>
        <v>46013</v>
      </c>
      <c r="B13147" s="37" t="str">
        <f t="array" ref="B13147">iferror(xlookup($I13147, 'IMPORT VHC Report'!$E:$E, 'IMPORT VHC Report'!$A:$C), )</f>
        <v/>
      </c>
      <c r="C13147" s="44"/>
      <c r="D13147" s="44"/>
      <c r="E13147" s="46" t="s">
        <v>9212</v>
      </c>
      <c r="F13147" s="46" t="s">
        <v>3459</v>
      </c>
      <c r="G13147" s="46">
        <v>5.202392782223E12</v>
      </c>
      <c r="H13147" s="46" t="s">
        <v>3460</v>
      </c>
      <c r="I13147" s="46" t="s">
        <v>3461</v>
      </c>
      <c r="J13147" s="46" t="s">
        <v>132</v>
      </c>
      <c r="K13147" s="46" t="s">
        <v>126</v>
      </c>
      <c r="L13147" s="45">
        <v>46013.729166666664</v>
      </c>
      <c r="M13147" s="46" t="s">
        <v>123</v>
      </c>
      <c r="N13147" s="45">
        <v>46013.770833333336</v>
      </c>
      <c r="O13147" s="46" t="s">
        <v>123</v>
      </c>
      <c r="P13147" s="46">
        <v>3600.0</v>
      </c>
    </row>
    <row r="13148">
      <c r="A13148" s="40">
        <f t="shared" si="1"/>
        <v>46013</v>
      </c>
      <c r="B13148" s="37" t="str">
        <f t="array" ref="B13148">iferror(xlookup($I13148, 'IMPORT VHC Report'!$E:$E, 'IMPORT VHC Report'!$A:$C), )</f>
        <v/>
      </c>
      <c r="C13148" s="44"/>
      <c r="D13148" s="44"/>
      <c r="E13148" s="46" t="s">
        <v>9213</v>
      </c>
      <c r="F13148" s="46" t="s">
        <v>3459</v>
      </c>
      <c r="G13148" s="46">
        <v>5.202392782223E12</v>
      </c>
      <c r="H13148" s="46" t="s">
        <v>3460</v>
      </c>
      <c r="I13148" s="46" t="s">
        <v>3461</v>
      </c>
      <c r="J13148" s="46" t="s">
        <v>134</v>
      </c>
      <c r="K13148" s="46" t="s">
        <v>126</v>
      </c>
      <c r="L13148" s="45">
        <v>46013.770833333336</v>
      </c>
      <c r="M13148" s="46" t="s">
        <v>123</v>
      </c>
      <c r="N13148" s="45">
        <v>46013.791666666664</v>
      </c>
      <c r="O13148" s="46" t="s">
        <v>123</v>
      </c>
      <c r="P13148" s="46">
        <v>1800.0</v>
      </c>
    </row>
    <row r="13149">
      <c r="A13149" s="40">
        <f t="shared" si="1"/>
        <v>46013</v>
      </c>
      <c r="B13149" s="37" t="str">
        <f t="array" ref="B13149">iferror(xlookup($I13149, 'IMPORT VHC Report'!$E:$E, 'IMPORT VHC Report'!$A:$C), )</f>
        <v/>
      </c>
      <c r="C13149" s="44"/>
      <c r="D13149" s="44"/>
      <c r="E13149" s="46" t="s">
        <v>9214</v>
      </c>
      <c r="F13149" s="46" t="s">
        <v>3459</v>
      </c>
      <c r="G13149" s="46">
        <v>5.202392782223E12</v>
      </c>
      <c r="H13149" s="46" t="s">
        <v>3460</v>
      </c>
      <c r="I13149" s="46" t="s">
        <v>3461</v>
      </c>
      <c r="J13149" s="46" t="s">
        <v>178</v>
      </c>
      <c r="K13149" s="46" t="s">
        <v>153</v>
      </c>
      <c r="L13149" s="45">
        <v>46014.416666666664</v>
      </c>
      <c r="M13149" s="46" t="s">
        <v>123</v>
      </c>
      <c r="N13149" s="45">
        <v>46014.791666666664</v>
      </c>
      <c r="O13149" s="46" t="s">
        <v>123</v>
      </c>
      <c r="P13149" s="46">
        <v>32400.0</v>
      </c>
      <c r="Q13149" s="46">
        <v>28800.0</v>
      </c>
    </row>
    <row r="13150">
      <c r="A13150" s="40">
        <f t="shared" si="1"/>
        <v>46013</v>
      </c>
      <c r="B13150" s="37" t="str">
        <f t="array" ref="B13150">iferror(xlookup($I13150, 'IMPORT VHC Report'!$E:$E, 'IMPORT VHC Report'!$A:$C), )</f>
        <v/>
      </c>
      <c r="C13150" s="44"/>
      <c r="D13150" s="44"/>
      <c r="E13150" s="46" t="s">
        <v>9215</v>
      </c>
      <c r="F13150" s="46" t="s">
        <v>3459</v>
      </c>
      <c r="G13150" s="46">
        <v>5.202392782223E12</v>
      </c>
      <c r="H13150" s="46" t="s">
        <v>3460</v>
      </c>
      <c r="I13150" s="46" t="s">
        <v>3461</v>
      </c>
      <c r="J13150" s="46" t="s">
        <v>224</v>
      </c>
      <c r="K13150" s="46" t="s">
        <v>63</v>
      </c>
      <c r="L13150" s="45">
        <v>46014.416666666664</v>
      </c>
      <c r="M13150" s="46" t="s">
        <v>123</v>
      </c>
      <c r="N13150" s="45">
        <v>46014.791666666664</v>
      </c>
      <c r="O13150" s="46" t="s">
        <v>123</v>
      </c>
      <c r="P13150" s="46">
        <v>32400.0</v>
      </c>
    </row>
    <row r="13151">
      <c r="A13151" s="40">
        <f t="shared" si="1"/>
        <v>46013</v>
      </c>
      <c r="B13151" s="37" t="str">
        <f t="array" ref="B13151">iferror(xlookup($I13151, 'IMPORT VHC Report'!$E:$E, 'IMPORT VHC Report'!$A:$C), )</f>
        <v/>
      </c>
      <c r="C13151" s="44"/>
      <c r="D13151" s="44"/>
      <c r="E13151" s="46" t="s">
        <v>9216</v>
      </c>
      <c r="F13151" s="46" t="s">
        <v>3459</v>
      </c>
      <c r="G13151" s="46">
        <v>5.202392782223E12</v>
      </c>
      <c r="H13151" s="46" t="s">
        <v>3460</v>
      </c>
      <c r="I13151" s="46" t="s">
        <v>3461</v>
      </c>
      <c r="J13151" s="46" t="s">
        <v>134</v>
      </c>
      <c r="K13151" s="46" t="s">
        <v>126</v>
      </c>
      <c r="L13151" s="45">
        <v>46014.489583333336</v>
      </c>
      <c r="M13151" s="46" t="s">
        <v>123</v>
      </c>
      <c r="N13151" s="45">
        <v>46014.5</v>
      </c>
      <c r="O13151" s="46" t="s">
        <v>123</v>
      </c>
      <c r="P13151" s="46">
        <v>900.0</v>
      </c>
    </row>
    <row r="13152">
      <c r="A13152" s="40">
        <f t="shared" si="1"/>
        <v>46013</v>
      </c>
      <c r="B13152" s="37" t="str">
        <f t="array" ref="B13152">iferror(xlookup($I13152, 'IMPORT VHC Report'!$E:$E, 'IMPORT VHC Report'!$A:$C), )</f>
        <v/>
      </c>
      <c r="C13152" s="44"/>
      <c r="D13152" s="44"/>
      <c r="E13152" s="46" t="s">
        <v>9217</v>
      </c>
      <c r="F13152" s="46" t="s">
        <v>3459</v>
      </c>
      <c r="G13152" s="46">
        <v>5.202392782223E12</v>
      </c>
      <c r="H13152" s="46" t="s">
        <v>3460</v>
      </c>
      <c r="I13152" s="46" t="s">
        <v>3461</v>
      </c>
      <c r="J13152" s="46" t="s">
        <v>136</v>
      </c>
      <c r="K13152" s="46" t="s">
        <v>126</v>
      </c>
      <c r="L13152" s="45">
        <v>46014.5</v>
      </c>
      <c r="M13152" s="46" t="s">
        <v>123</v>
      </c>
      <c r="N13152" s="45">
        <v>46014.541666666664</v>
      </c>
      <c r="O13152" s="46" t="s">
        <v>123</v>
      </c>
      <c r="P13152" s="46">
        <v>3600.0</v>
      </c>
      <c r="S13152" s="46" t="s">
        <v>137</v>
      </c>
    </row>
    <row r="13153">
      <c r="A13153" s="40">
        <f t="shared" si="1"/>
        <v>46013</v>
      </c>
      <c r="B13153" s="37" t="str">
        <f t="array" ref="B13153">iferror(xlookup($I13153, 'IMPORT VHC Report'!$E:$E, 'IMPORT VHC Report'!$A:$C), )</f>
        <v/>
      </c>
      <c r="C13153" s="44"/>
      <c r="D13153" s="44"/>
      <c r="E13153" s="46" t="s">
        <v>9218</v>
      </c>
      <c r="F13153" s="46" t="s">
        <v>3459</v>
      </c>
      <c r="G13153" s="46">
        <v>5.202392782223E12</v>
      </c>
      <c r="H13153" s="46" t="s">
        <v>3460</v>
      </c>
      <c r="I13153" s="46" t="s">
        <v>3461</v>
      </c>
      <c r="J13153" s="46" t="s">
        <v>132</v>
      </c>
      <c r="K13153" s="46" t="s">
        <v>126</v>
      </c>
      <c r="L13153" s="45">
        <v>46014.572916666664</v>
      </c>
      <c r="M13153" s="46" t="s">
        <v>123</v>
      </c>
      <c r="N13153" s="45">
        <v>46014.614583333336</v>
      </c>
      <c r="O13153" s="46" t="s">
        <v>123</v>
      </c>
      <c r="P13153" s="46">
        <v>3600.0</v>
      </c>
    </row>
    <row r="13154">
      <c r="A13154" s="40">
        <f t="shared" si="1"/>
        <v>46013</v>
      </c>
      <c r="B13154" s="37" t="str">
        <f t="array" ref="B13154">iferror(xlookup($I13154, 'IMPORT VHC Report'!$E:$E, 'IMPORT VHC Report'!$A:$C), )</f>
        <v/>
      </c>
      <c r="C13154" s="44"/>
      <c r="D13154" s="44"/>
      <c r="E13154" s="46" t="s">
        <v>9219</v>
      </c>
      <c r="F13154" s="46" t="s">
        <v>3459</v>
      </c>
      <c r="G13154" s="46">
        <v>5.202392782223E12</v>
      </c>
      <c r="H13154" s="46" t="s">
        <v>3460</v>
      </c>
      <c r="I13154" s="46" t="s">
        <v>3461</v>
      </c>
      <c r="J13154" s="46" t="s">
        <v>134</v>
      </c>
      <c r="K13154" s="46" t="s">
        <v>126</v>
      </c>
      <c r="L13154" s="45">
        <v>46014.708333333336</v>
      </c>
      <c r="M13154" s="46" t="s">
        <v>123</v>
      </c>
      <c r="N13154" s="45">
        <v>46014.71875</v>
      </c>
      <c r="O13154" s="46" t="s">
        <v>123</v>
      </c>
      <c r="P13154" s="46">
        <v>900.0</v>
      </c>
    </row>
    <row r="13155">
      <c r="A13155" s="40">
        <f t="shared" si="1"/>
        <v>46013</v>
      </c>
      <c r="B13155" s="37" t="str">
        <f t="array" ref="B13155">iferror(xlookup($I13155, 'IMPORT VHC Report'!$E:$E, 'IMPORT VHC Report'!$A:$C), )</f>
        <v/>
      </c>
      <c r="C13155" s="44"/>
      <c r="D13155" s="44"/>
      <c r="E13155" s="46" t="s">
        <v>9220</v>
      </c>
      <c r="F13155" s="46" t="s">
        <v>3459</v>
      </c>
      <c r="G13155" s="46">
        <v>5.202392782223E12</v>
      </c>
      <c r="H13155" s="46" t="s">
        <v>3460</v>
      </c>
      <c r="I13155" s="46" t="s">
        <v>3461</v>
      </c>
      <c r="J13155" s="46" t="s">
        <v>224</v>
      </c>
      <c r="K13155" s="46" t="s">
        <v>63</v>
      </c>
      <c r="L13155" s="45">
        <v>46017.416666666664</v>
      </c>
      <c r="M13155" s="46" t="s">
        <v>123</v>
      </c>
      <c r="N13155" s="45">
        <v>46017.4375</v>
      </c>
      <c r="O13155" s="46" t="s">
        <v>123</v>
      </c>
      <c r="P13155" s="46">
        <v>1800.0</v>
      </c>
    </row>
    <row r="13156">
      <c r="A13156" s="40">
        <f t="shared" si="1"/>
        <v>46013</v>
      </c>
      <c r="B13156" s="37" t="str">
        <f t="array" ref="B13156">iferror(xlookup($I13156, 'IMPORT VHC Report'!$E:$E, 'IMPORT VHC Report'!$A:$C), )</f>
        <v/>
      </c>
      <c r="C13156" s="44"/>
      <c r="D13156" s="44"/>
      <c r="E13156" s="46" t="s">
        <v>9221</v>
      </c>
      <c r="F13156" s="46" t="s">
        <v>3459</v>
      </c>
      <c r="G13156" s="46">
        <v>5.202392782223E12</v>
      </c>
      <c r="H13156" s="46" t="s">
        <v>3460</v>
      </c>
      <c r="I13156" s="46" t="s">
        <v>3461</v>
      </c>
      <c r="J13156" s="46" t="s">
        <v>62</v>
      </c>
      <c r="K13156" s="46" t="s">
        <v>63</v>
      </c>
      <c r="L13156" s="45">
        <v>46017.4375</v>
      </c>
      <c r="M13156" s="46" t="s">
        <v>123</v>
      </c>
      <c r="N13156" s="45">
        <v>46017.458333333336</v>
      </c>
      <c r="O13156" s="46" t="s">
        <v>123</v>
      </c>
      <c r="P13156" s="46">
        <v>1800.0</v>
      </c>
    </row>
    <row r="13157">
      <c r="A13157" s="40">
        <f t="shared" si="1"/>
        <v>46013</v>
      </c>
      <c r="B13157" s="37" t="str">
        <f t="array" ref="B13157">iferror(xlookup($I13157, 'IMPORT VHC Report'!$E:$E, 'IMPORT VHC Report'!$A:$C), )</f>
        <v/>
      </c>
      <c r="C13157" s="44"/>
      <c r="D13157" s="44"/>
      <c r="E13157" s="46" t="s">
        <v>9222</v>
      </c>
      <c r="F13157" s="46" t="s">
        <v>3459</v>
      </c>
      <c r="G13157" s="46">
        <v>5.202392782223E12</v>
      </c>
      <c r="H13157" s="46" t="s">
        <v>3460</v>
      </c>
      <c r="I13157" s="46" t="s">
        <v>3461</v>
      </c>
      <c r="J13157" s="46" t="s">
        <v>224</v>
      </c>
      <c r="K13157" s="46" t="s">
        <v>63</v>
      </c>
      <c r="L13157" s="45">
        <v>46017.458333333336</v>
      </c>
      <c r="M13157" s="46" t="s">
        <v>123</v>
      </c>
      <c r="N13157" s="45">
        <v>46017.791666666664</v>
      </c>
      <c r="O13157" s="46" t="s">
        <v>123</v>
      </c>
      <c r="P13157" s="46">
        <v>28800.0</v>
      </c>
    </row>
    <row r="13158">
      <c r="A13158" s="40">
        <f t="shared" si="1"/>
        <v>46013</v>
      </c>
      <c r="B13158" s="37" t="str">
        <f t="array" ref="B13158">iferror(xlookup($I13158, 'IMPORT VHC Report'!$E:$E, 'IMPORT VHC Report'!$A:$C), )</f>
        <v/>
      </c>
      <c r="C13158" s="44"/>
      <c r="D13158" s="44"/>
      <c r="E13158" s="46" t="s">
        <v>9223</v>
      </c>
      <c r="F13158" s="46" t="s">
        <v>3459</v>
      </c>
      <c r="G13158" s="46">
        <v>5.202392782223E12</v>
      </c>
      <c r="H13158" s="46" t="s">
        <v>3460</v>
      </c>
      <c r="I13158" s="46" t="s">
        <v>3461</v>
      </c>
      <c r="J13158" s="46" t="s">
        <v>125</v>
      </c>
      <c r="K13158" s="46" t="s">
        <v>126</v>
      </c>
      <c r="L13158" s="45">
        <v>46017.50833333333</v>
      </c>
      <c r="M13158" s="46" t="s">
        <v>123</v>
      </c>
      <c r="N13158" s="45">
        <v>46017.5125</v>
      </c>
      <c r="O13158" s="46" t="s">
        <v>123</v>
      </c>
      <c r="P13158" s="46">
        <v>360.0</v>
      </c>
      <c r="S13158" s="46" t="s">
        <v>9211</v>
      </c>
    </row>
    <row r="13159">
      <c r="A13159" s="40">
        <f t="shared" si="1"/>
        <v>46013</v>
      </c>
      <c r="B13159" s="37" t="str">
        <f t="array" ref="B13159">iferror(xlookup($I13159, 'IMPORT VHC Report'!$E:$E, 'IMPORT VHC Report'!$A:$C), )</f>
        <v/>
      </c>
      <c r="C13159" s="44"/>
      <c r="D13159" s="44"/>
      <c r="E13159" s="46" t="s">
        <v>9224</v>
      </c>
      <c r="F13159" s="46" t="s">
        <v>3459</v>
      </c>
      <c r="G13159" s="46">
        <v>5.202392782223E12</v>
      </c>
      <c r="H13159" s="46" t="s">
        <v>3460</v>
      </c>
      <c r="I13159" s="46" t="s">
        <v>3461</v>
      </c>
      <c r="J13159" s="46" t="s">
        <v>224</v>
      </c>
      <c r="K13159" s="46" t="s">
        <v>63</v>
      </c>
      <c r="L13159" s="45">
        <v>46017.520833333336</v>
      </c>
      <c r="M13159" s="46" t="s">
        <v>123</v>
      </c>
      <c r="N13159" s="45">
        <v>46017.5625</v>
      </c>
      <c r="O13159" s="46" t="s">
        <v>123</v>
      </c>
      <c r="P13159" s="46">
        <v>3600.0</v>
      </c>
    </row>
    <row r="13160">
      <c r="A13160" s="40">
        <f t="shared" si="1"/>
        <v>46013</v>
      </c>
      <c r="B13160" s="37" t="str">
        <f t="array" ref="B13160">iferror(xlookup($I13160, 'IMPORT VHC Report'!$E:$E, 'IMPORT VHC Report'!$A:$C), )</f>
        <v/>
      </c>
      <c r="C13160" s="44"/>
      <c r="D13160" s="44"/>
      <c r="E13160" s="46" t="s">
        <v>9225</v>
      </c>
      <c r="F13160" s="46" t="s">
        <v>3459</v>
      </c>
      <c r="G13160" s="46">
        <v>5.202392782223E12</v>
      </c>
      <c r="H13160" s="46" t="s">
        <v>3460</v>
      </c>
      <c r="I13160" s="46" t="s">
        <v>3461</v>
      </c>
      <c r="J13160" s="46" t="s">
        <v>136</v>
      </c>
      <c r="K13160" s="46" t="s">
        <v>126</v>
      </c>
      <c r="L13160" s="45">
        <v>46017.604166666664</v>
      </c>
      <c r="M13160" s="46" t="s">
        <v>123</v>
      </c>
      <c r="N13160" s="45">
        <v>46017.614583333336</v>
      </c>
      <c r="O13160" s="46" t="s">
        <v>123</v>
      </c>
      <c r="P13160" s="46">
        <v>900.0</v>
      </c>
      <c r="S13160" s="46" t="s">
        <v>9226</v>
      </c>
    </row>
    <row r="13161">
      <c r="A13161" s="40">
        <f t="shared" si="1"/>
        <v>46013</v>
      </c>
      <c r="B13161" s="37" t="str">
        <f t="array" ref="B13161">iferror(xlookup($I13161, 'IMPORT VHC Report'!$E:$E, 'IMPORT VHC Report'!$A:$C), )</f>
        <v/>
      </c>
      <c r="C13161" s="44"/>
      <c r="D13161" s="44"/>
      <c r="E13161" s="46" t="s">
        <v>9227</v>
      </c>
      <c r="F13161" s="46" t="s">
        <v>3459</v>
      </c>
      <c r="G13161" s="46">
        <v>5.202392782223E12</v>
      </c>
      <c r="H13161" s="46" t="s">
        <v>3460</v>
      </c>
      <c r="I13161" s="46" t="s">
        <v>3461</v>
      </c>
      <c r="J13161" s="46" t="s">
        <v>224</v>
      </c>
      <c r="K13161" s="46" t="s">
        <v>63</v>
      </c>
      <c r="L13161" s="45">
        <v>46017.635416666664</v>
      </c>
      <c r="M13161" s="46" t="s">
        <v>123</v>
      </c>
      <c r="N13161" s="45">
        <v>46017.645833333336</v>
      </c>
      <c r="O13161" s="46" t="s">
        <v>123</v>
      </c>
      <c r="P13161" s="46">
        <v>900.0</v>
      </c>
    </row>
    <row r="13162">
      <c r="A13162" s="40">
        <f t="shared" si="1"/>
        <v>46013</v>
      </c>
      <c r="B13162" s="37" t="str">
        <f t="array" ref="B13162">iferror(xlookup($I13162, 'IMPORT VHC Report'!$E:$E, 'IMPORT VHC Report'!$A:$C), )</f>
        <v/>
      </c>
      <c r="C13162" s="44"/>
      <c r="D13162" s="44"/>
      <c r="E13162" s="46" t="s">
        <v>9228</v>
      </c>
      <c r="F13162" s="46" t="s">
        <v>3459</v>
      </c>
      <c r="G13162" s="46">
        <v>5.202392782223E12</v>
      </c>
      <c r="H13162" s="46" t="s">
        <v>3460</v>
      </c>
      <c r="I13162" s="46" t="s">
        <v>3461</v>
      </c>
      <c r="J13162" s="46" t="s">
        <v>125</v>
      </c>
      <c r="K13162" s="46" t="s">
        <v>126</v>
      </c>
      <c r="L13162" s="45">
        <v>46017.65555555555</v>
      </c>
      <c r="M13162" s="46" t="s">
        <v>123</v>
      </c>
      <c r="N13162" s="45">
        <v>46017.697222222225</v>
      </c>
      <c r="O13162" s="46" t="s">
        <v>123</v>
      </c>
      <c r="P13162" s="46">
        <v>3600.0</v>
      </c>
      <c r="S13162" s="46" t="s">
        <v>9229</v>
      </c>
    </row>
    <row r="13163">
      <c r="A13163" s="40">
        <f t="shared" si="1"/>
        <v>46013</v>
      </c>
      <c r="B13163" s="37" t="str">
        <f t="array" ref="B13163">iferror(xlookup($I13163, 'IMPORT VHC Report'!$E:$E, 'IMPORT VHC Report'!$A:$C), )</f>
        <v/>
      </c>
      <c r="C13163" s="44"/>
      <c r="D13163" s="44"/>
      <c r="E13163" s="46" t="s">
        <v>9230</v>
      </c>
      <c r="F13163" s="46" t="s">
        <v>3459</v>
      </c>
      <c r="G13163" s="46">
        <v>5.202392782223E12</v>
      </c>
      <c r="H13163" s="46" t="s">
        <v>3460</v>
      </c>
      <c r="I13163" s="46" t="s">
        <v>3461</v>
      </c>
      <c r="J13163" s="46" t="s">
        <v>125</v>
      </c>
      <c r="K13163" s="46" t="s">
        <v>126</v>
      </c>
      <c r="L13163" s="45">
        <v>46017.697222222225</v>
      </c>
      <c r="M13163" s="46" t="s">
        <v>123</v>
      </c>
      <c r="N13163" s="45">
        <v>46017.729166666664</v>
      </c>
      <c r="O13163" s="46" t="s">
        <v>123</v>
      </c>
      <c r="P13163" s="46">
        <v>2760.0</v>
      </c>
      <c r="S13163" s="46" t="s">
        <v>9231</v>
      </c>
    </row>
    <row r="13164">
      <c r="A13164" s="40">
        <f t="shared" si="1"/>
        <v>46013</v>
      </c>
      <c r="B13164" s="37" t="str">
        <f t="array" ref="B13164">iferror(xlookup($I13164, 'IMPORT VHC Report'!$E:$E, 'IMPORT VHC Report'!$A:$C), )</f>
        <v/>
      </c>
      <c r="C13164" s="44"/>
      <c r="D13164" s="44"/>
      <c r="E13164" s="46" t="s">
        <v>9232</v>
      </c>
      <c r="F13164" s="46" t="s">
        <v>3459</v>
      </c>
      <c r="G13164" s="46">
        <v>5.202392782223E12</v>
      </c>
      <c r="H13164" s="46" t="s">
        <v>3460</v>
      </c>
      <c r="I13164" s="46" t="s">
        <v>3461</v>
      </c>
      <c r="J13164" s="46" t="s">
        <v>125</v>
      </c>
      <c r="K13164" s="46" t="s">
        <v>126</v>
      </c>
      <c r="L13164" s="45">
        <v>46017.697222222225</v>
      </c>
      <c r="M13164" s="46" t="s">
        <v>123</v>
      </c>
      <c r="N13164" s="45">
        <v>46017.729166666664</v>
      </c>
      <c r="O13164" s="46" t="s">
        <v>123</v>
      </c>
      <c r="P13164" s="46">
        <v>2760.0</v>
      </c>
    </row>
    <row r="13165">
      <c r="A13165" s="40">
        <f t="shared" si="1"/>
        <v>46013</v>
      </c>
      <c r="B13165" s="37" t="str">
        <f t="array" ref="B13165">iferror(xlookup($I13165, 'IMPORT VHC Report'!$E:$E, 'IMPORT VHC Report'!$A:$C), )</f>
        <v/>
      </c>
      <c r="C13165" s="44"/>
      <c r="D13165" s="44"/>
      <c r="E13165" s="46" t="s">
        <v>9233</v>
      </c>
      <c r="F13165" s="46" t="s">
        <v>3459</v>
      </c>
      <c r="G13165" s="46">
        <v>5.202392782223E12</v>
      </c>
      <c r="H13165" s="46" t="s">
        <v>3460</v>
      </c>
      <c r="I13165" s="46" t="s">
        <v>3461</v>
      </c>
      <c r="J13165" s="46" t="s">
        <v>125</v>
      </c>
      <c r="K13165" s="46" t="s">
        <v>126</v>
      </c>
      <c r="L13165" s="45">
        <v>46017.697222222225</v>
      </c>
      <c r="M13165" s="46" t="s">
        <v>123</v>
      </c>
      <c r="N13165" s="45">
        <v>46017.729166666664</v>
      </c>
      <c r="O13165" s="46" t="s">
        <v>123</v>
      </c>
      <c r="P13165" s="46">
        <v>2760.0</v>
      </c>
    </row>
    <row r="13166">
      <c r="A13166" s="40">
        <f t="shared" si="1"/>
        <v>46013</v>
      </c>
      <c r="B13166" s="37" t="str">
        <f t="array" ref="B13166">iferror(xlookup($I13166, 'IMPORT VHC Report'!$E:$E, 'IMPORT VHC Report'!$A:$C), )</f>
        <v/>
      </c>
      <c r="C13166" s="44"/>
      <c r="D13166" s="44"/>
      <c r="E13166" s="46" t="s">
        <v>9234</v>
      </c>
      <c r="F13166" s="46" t="s">
        <v>3459</v>
      </c>
      <c r="G13166" s="46">
        <v>5.202392782223E12</v>
      </c>
      <c r="H13166" s="46" t="s">
        <v>3460</v>
      </c>
      <c r="I13166" s="46" t="s">
        <v>3461</v>
      </c>
      <c r="J13166" s="46" t="s">
        <v>224</v>
      </c>
      <c r="K13166" s="46" t="s">
        <v>63</v>
      </c>
      <c r="L13166" s="45">
        <v>46017.71875</v>
      </c>
      <c r="M13166" s="46" t="s">
        <v>123</v>
      </c>
      <c r="N13166" s="45">
        <v>46017.729166666664</v>
      </c>
      <c r="O13166" s="46" t="s">
        <v>123</v>
      </c>
      <c r="P13166" s="46">
        <v>900.0</v>
      </c>
    </row>
    <row r="13167">
      <c r="A13167" s="40">
        <f t="shared" si="1"/>
        <v>46013</v>
      </c>
      <c r="B13167" s="37" t="str">
        <f t="array" ref="B13167">iferror(xlookup($I13167, 'IMPORT VHC Report'!$E:$E, 'IMPORT VHC Report'!$A:$C), )</f>
        <v/>
      </c>
      <c r="C13167" s="44"/>
      <c r="D13167" s="44"/>
      <c r="E13167" s="46" t="s">
        <v>9235</v>
      </c>
      <c r="F13167" s="46" t="s">
        <v>3459</v>
      </c>
      <c r="G13167" s="46">
        <v>5.202392782223E12</v>
      </c>
      <c r="H13167" s="46" t="s">
        <v>3460</v>
      </c>
      <c r="I13167" s="46" t="s">
        <v>3461</v>
      </c>
      <c r="J13167" s="46" t="s">
        <v>132</v>
      </c>
      <c r="K13167" s="46" t="s">
        <v>126</v>
      </c>
      <c r="L13167" s="45">
        <v>46017.729166666664</v>
      </c>
      <c r="M13167" s="46" t="s">
        <v>123</v>
      </c>
      <c r="N13167" s="45">
        <v>46017.770833333336</v>
      </c>
      <c r="O13167" s="46" t="s">
        <v>123</v>
      </c>
      <c r="P13167" s="46">
        <v>3600.0</v>
      </c>
    </row>
    <row r="13168">
      <c r="A13168" s="40">
        <f t="shared" si="1"/>
        <v>46013</v>
      </c>
      <c r="B13168" s="37" t="str">
        <f t="array" ref="B13168">iferror(xlookup($I13168, 'IMPORT VHC Report'!$E:$E, 'IMPORT VHC Report'!$A:$C), )</f>
        <v/>
      </c>
      <c r="C13168" s="44"/>
      <c r="D13168" s="44"/>
      <c r="E13168" s="46" t="s">
        <v>9236</v>
      </c>
      <c r="F13168" s="46" t="s">
        <v>3459</v>
      </c>
      <c r="G13168" s="46">
        <v>5.202392782223E12</v>
      </c>
      <c r="H13168" s="46" t="s">
        <v>3460</v>
      </c>
      <c r="I13168" s="46" t="s">
        <v>3461</v>
      </c>
      <c r="J13168" s="46" t="s">
        <v>134</v>
      </c>
      <c r="K13168" s="46" t="s">
        <v>126</v>
      </c>
      <c r="L13168" s="45">
        <v>46017.770833333336</v>
      </c>
      <c r="M13168" s="46" t="s">
        <v>123</v>
      </c>
      <c r="N13168" s="45">
        <v>46017.791666666664</v>
      </c>
      <c r="O13168" s="46" t="s">
        <v>123</v>
      </c>
      <c r="P13168" s="46">
        <v>1800.0</v>
      </c>
    </row>
    <row r="13169">
      <c r="A13169" s="40">
        <f t="shared" si="1"/>
        <v>46013</v>
      </c>
      <c r="B13169" s="37" t="str">
        <f t="array" ref="B13169">iferror(xlookup($I13169, 'IMPORT VHC Report'!$E:$E, 'IMPORT VHC Report'!$A:$C), )</f>
        <v/>
      </c>
      <c r="C13169" s="44"/>
      <c r="D13169" s="44"/>
      <c r="E13169" s="46" t="s">
        <v>9237</v>
      </c>
      <c r="F13169" s="46" t="s">
        <v>3459</v>
      </c>
      <c r="G13169" s="46">
        <v>5.202392782223E12</v>
      </c>
      <c r="H13169" s="46" t="s">
        <v>3460</v>
      </c>
      <c r="I13169" s="46" t="s">
        <v>3461</v>
      </c>
      <c r="J13169" s="46" t="s">
        <v>224</v>
      </c>
      <c r="K13169" s="46" t="s">
        <v>63</v>
      </c>
      <c r="L13169" s="45">
        <v>46018.416666666664</v>
      </c>
      <c r="M13169" s="46" t="s">
        <v>123</v>
      </c>
      <c r="N13169" s="45">
        <v>46018.791666666664</v>
      </c>
      <c r="O13169" s="46" t="s">
        <v>123</v>
      </c>
      <c r="P13169" s="46">
        <v>32400.0</v>
      </c>
    </row>
    <row r="13170">
      <c r="A13170" s="40">
        <f t="shared" si="1"/>
        <v>46013</v>
      </c>
      <c r="B13170" s="37" t="str">
        <f t="array" ref="B13170">iferror(xlookup($I13170, 'IMPORT VHC Report'!$E:$E, 'IMPORT VHC Report'!$A:$C), )</f>
        <v/>
      </c>
      <c r="C13170" s="44"/>
      <c r="D13170" s="44"/>
      <c r="E13170" s="46" t="s">
        <v>9238</v>
      </c>
      <c r="F13170" s="46" t="s">
        <v>3459</v>
      </c>
      <c r="G13170" s="46">
        <v>5.202392782223E12</v>
      </c>
      <c r="H13170" s="46" t="s">
        <v>3460</v>
      </c>
      <c r="I13170" s="46" t="s">
        <v>3461</v>
      </c>
      <c r="J13170" s="46" t="s">
        <v>224</v>
      </c>
      <c r="K13170" s="46" t="s">
        <v>63</v>
      </c>
      <c r="L13170" s="45">
        <v>46018.53125</v>
      </c>
      <c r="M13170" s="46" t="s">
        <v>123</v>
      </c>
      <c r="N13170" s="45">
        <v>46018.572916666664</v>
      </c>
      <c r="O13170" s="46" t="s">
        <v>123</v>
      </c>
      <c r="P13170" s="46">
        <v>3600.0</v>
      </c>
    </row>
    <row r="13171">
      <c r="A13171" s="40">
        <f t="shared" si="1"/>
        <v>46013</v>
      </c>
      <c r="B13171" s="37" t="str">
        <f t="array" ref="B13171">iferror(xlookup($I13171, 'IMPORT VHC Report'!$E:$E, 'IMPORT VHC Report'!$A:$C), )</f>
        <v/>
      </c>
      <c r="C13171" s="44"/>
      <c r="D13171" s="44"/>
      <c r="E13171" s="46" t="s">
        <v>9239</v>
      </c>
      <c r="F13171" s="46" t="s">
        <v>3459</v>
      </c>
      <c r="G13171" s="46">
        <v>5.202392782223E12</v>
      </c>
      <c r="H13171" s="46" t="s">
        <v>3460</v>
      </c>
      <c r="I13171" s="46" t="s">
        <v>3461</v>
      </c>
      <c r="J13171" s="46" t="s">
        <v>330</v>
      </c>
      <c r="K13171" s="46" t="s">
        <v>126</v>
      </c>
      <c r="L13171" s="45">
        <v>46018.604166666664</v>
      </c>
      <c r="M13171" s="46" t="s">
        <v>123</v>
      </c>
      <c r="N13171" s="45">
        <v>46018.62847222222</v>
      </c>
      <c r="O13171" s="46" t="s">
        <v>123</v>
      </c>
      <c r="P13171" s="46">
        <v>2100.0</v>
      </c>
    </row>
    <row r="13172">
      <c r="A13172" s="40">
        <f t="shared" si="1"/>
        <v>46013</v>
      </c>
      <c r="B13172" s="37" t="str">
        <f t="array" ref="B13172">iferror(xlookup($I13172, 'IMPORT VHC Report'!$E:$E, 'IMPORT VHC Report'!$A:$C), )</f>
        <v/>
      </c>
      <c r="C13172" s="44"/>
      <c r="D13172" s="44"/>
      <c r="E13172" s="46" t="s">
        <v>9240</v>
      </c>
      <c r="F13172" s="46" t="s">
        <v>3459</v>
      </c>
      <c r="G13172" s="46">
        <v>5.202392782223E12</v>
      </c>
      <c r="H13172" s="46" t="s">
        <v>3460</v>
      </c>
      <c r="I13172" s="46" t="s">
        <v>3461</v>
      </c>
      <c r="J13172" s="46" t="s">
        <v>224</v>
      </c>
      <c r="K13172" s="46" t="s">
        <v>63</v>
      </c>
      <c r="L13172" s="45">
        <v>46018.635416666664</v>
      </c>
      <c r="M13172" s="46" t="s">
        <v>123</v>
      </c>
      <c r="N13172" s="45">
        <v>46018.645833333336</v>
      </c>
      <c r="O13172" s="46" t="s">
        <v>123</v>
      </c>
      <c r="P13172" s="46">
        <v>900.0</v>
      </c>
    </row>
    <row r="13173">
      <c r="A13173" s="40">
        <f t="shared" si="1"/>
        <v>46013</v>
      </c>
      <c r="B13173" s="37" t="str">
        <f t="array" ref="B13173">iferror(xlookup($I13173, 'IMPORT VHC Report'!$E:$E, 'IMPORT VHC Report'!$A:$C), )</f>
        <v/>
      </c>
      <c r="C13173" s="44"/>
      <c r="D13173" s="44"/>
      <c r="E13173" s="46" t="s">
        <v>9241</v>
      </c>
      <c r="F13173" s="46" t="s">
        <v>3459</v>
      </c>
      <c r="G13173" s="46">
        <v>5.202392782223E12</v>
      </c>
      <c r="H13173" s="46" t="s">
        <v>3460</v>
      </c>
      <c r="I13173" s="46" t="s">
        <v>3461</v>
      </c>
      <c r="J13173" s="46" t="s">
        <v>224</v>
      </c>
      <c r="K13173" s="46" t="s">
        <v>63</v>
      </c>
      <c r="L13173" s="45">
        <v>46018.708333333336</v>
      </c>
      <c r="M13173" s="46" t="s">
        <v>123</v>
      </c>
      <c r="N13173" s="45">
        <v>46018.71875</v>
      </c>
      <c r="O13173" s="46" t="s">
        <v>123</v>
      </c>
      <c r="P13173" s="46">
        <v>900.0</v>
      </c>
    </row>
    <row r="13174">
      <c r="A13174" s="40">
        <f t="shared" si="1"/>
        <v>46013</v>
      </c>
      <c r="B13174" s="37" t="str">
        <f t="array" ref="B13174">iferror(xlookup($I13174, 'IMPORT VHC Report'!$E:$E, 'IMPORT VHC Report'!$A:$C), )</f>
        <v/>
      </c>
      <c r="C13174" s="44"/>
      <c r="D13174" s="44"/>
      <c r="E13174" s="46" t="s">
        <v>9242</v>
      </c>
      <c r="F13174" s="46" t="s">
        <v>3459</v>
      </c>
      <c r="G13174" s="46">
        <v>5.202392782223E12</v>
      </c>
      <c r="H13174" s="46" t="s">
        <v>3460</v>
      </c>
      <c r="I13174" s="46" t="s">
        <v>3461</v>
      </c>
      <c r="J13174" s="46" t="s">
        <v>132</v>
      </c>
      <c r="K13174" s="46" t="s">
        <v>126</v>
      </c>
      <c r="L13174" s="45">
        <v>46018.729166666664</v>
      </c>
      <c r="M13174" s="46" t="s">
        <v>123</v>
      </c>
      <c r="N13174" s="45">
        <v>46018.770833333336</v>
      </c>
      <c r="O13174" s="46" t="s">
        <v>123</v>
      </c>
      <c r="P13174" s="46">
        <v>3600.0</v>
      </c>
    </row>
    <row r="13175">
      <c r="A13175" s="40">
        <f t="shared" si="1"/>
        <v>46013</v>
      </c>
      <c r="B13175" s="37" t="str">
        <f t="array" ref="B13175">iferror(xlookup($I13175, 'IMPORT VHC Report'!$E:$E, 'IMPORT VHC Report'!$A:$C), )</f>
        <v/>
      </c>
      <c r="C13175" s="44"/>
      <c r="D13175" s="44"/>
      <c r="E13175" s="46" t="s">
        <v>9243</v>
      </c>
      <c r="F13175" s="46" t="s">
        <v>3459</v>
      </c>
      <c r="G13175" s="46">
        <v>5.202392782223E12</v>
      </c>
      <c r="H13175" s="46" t="s">
        <v>3460</v>
      </c>
      <c r="I13175" s="46" t="s">
        <v>3461</v>
      </c>
      <c r="J13175" s="46" t="s">
        <v>134</v>
      </c>
      <c r="K13175" s="46" t="s">
        <v>126</v>
      </c>
      <c r="L13175" s="45">
        <v>46018.770833333336</v>
      </c>
      <c r="M13175" s="46" t="s">
        <v>123</v>
      </c>
      <c r="N13175" s="45">
        <v>46018.791666666664</v>
      </c>
      <c r="O13175" s="46" t="s">
        <v>123</v>
      </c>
      <c r="P13175" s="46">
        <v>1800.0</v>
      </c>
    </row>
    <row r="13176">
      <c r="A13176" s="40">
        <f t="shared" si="1"/>
        <v>46013</v>
      </c>
      <c r="B13176" s="37" t="str">
        <f t="array" ref="B13176">iferror(xlookup($I13176, 'IMPORT VHC Report'!$E:$E, 'IMPORT VHC Report'!$A:$C), )</f>
        <v/>
      </c>
      <c r="C13176" s="44"/>
      <c r="D13176" s="44"/>
      <c r="E13176" s="46" t="s">
        <v>9244</v>
      </c>
      <c r="F13176" s="46" t="s">
        <v>3459</v>
      </c>
      <c r="G13176" s="46">
        <v>5.202392782223E12</v>
      </c>
      <c r="H13176" s="46" t="s">
        <v>3460</v>
      </c>
      <c r="I13176" s="46" t="s">
        <v>3461</v>
      </c>
      <c r="J13176" s="46" t="s">
        <v>224</v>
      </c>
      <c r="K13176" s="46" t="s">
        <v>63</v>
      </c>
      <c r="L13176" s="45">
        <v>46019.416666666664</v>
      </c>
      <c r="M13176" s="46" t="s">
        <v>123</v>
      </c>
      <c r="N13176" s="45">
        <v>46019.791666666664</v>
      </c>
      <c r="O13176" s="46" t="s">
        <v>123</v>
      </c>
      <c r="P13176" s="46">
        <v>32400.0</v>
      </c>
    </row>
    <row r="13177">
      <c r="A13177" s="40">
        <f t="shared" si="1"/>
        <v>46013</v>
      </c>
      <c r="B13177" s="37" t="str">
        <f t="array" ref="B13177">iferror(xlookup($I13177, 'IMPORT VHC Report'!$E:$E, 'IMPORT VHC Report'!$A:$C), )</f>
        <v/>
      </c>
      <c r="C13177" s="44"/>
      <c r="D13177" s="44"/>
      <c r="E13177" s="46" t="s">
        <v>9245</v>
      </c>
      <c r="F13177" s="46" t="s">
        <v>3459</v>
      </c>
      <c r="G13177" s="46">
        <v>5.202392782223E12</v>
      </c>
      <c r="H13177" s="46" t="s">
        <v>3460</v>
      </c>
      <c r="I13177" s="46" t="s">
        <v>3461</v>
      </c>
      <c r="J13177" s="46" t="s">
        <v>134</v>
      </c>
      <c r="K13177" s="46" t="s">
        <v>126</v>
      </c>
      <c r="L13177" s="45">
        <v>46019.5</v>
      </c>
      <c r="M13177" s="46" t="s">
        <v>123</v>
      </c>
      <c r="N13177" s="45">
        <v>46019.510416666664</v>
      </c>
      <c r="O13177" s="46" t="s">
        <v>123</v>
      </c>
      <c r="P13177" s="46">
        <v>900.0</v>
      </c>
    </row>
    <row r="13178">
      <c r="A13178" s="40">
        <f t="shared" si="1"/>
        <v>46013</v>
      </c>
      <c r="B13178" s="37" t="str">
        <f t="array" ref="B13178">iferror(xlookup($I13178, 'IMPORT VHC Report'!$E:$E, 'IMPORT VHC Report'!$A:$C), )</f>
        <v/>
      </c>
      <c r="C13178" s="44"/>
      <c r="D13178" s="44"/>
      <c r="E13178" s="46" t="s">
        <v>9246</v>
      </c>
      <c r="F13178" s="46" t="s">
        <v>3459</v>
      </c>
      <c r="G13178" s="46">
        <v>5.202392782223E12</v>
      </c>
      <c r="H13178" s="46" t="s">
        <v>3460</v>
      </c>
      <c r="I13178" s="46" t="s">
        <v>3461</v>
      </c>
      <c r="J13178" s="46" t="s">
        <v>132</v>
      </c>
      <c r="K13178" s="46" t="s">
        <v>126</v>
      </c>
      <c r="L13178" s="45">
        <v>46019.572916666664</v>
      </c>
      <c r="M13178" s="46" t="s">
        <v>123</v>
      </c>
      <c r="N13178" s="45">
        <v>46019.614583333336</v>
      </c>
      <c r="O13178" s="46" t="s">
        <v>123</v>
      </c>
      <c r="P13178" s="46">
        <v>3600.0</v>
      </c>
    </row>
    <row r="13179">
      <c r="A13179" s="40">
        <f t="shared" si="1"/>
        <v>46013</v>
      </c>
      <c r="B13179" s="37" t="str">
        <f t="array" ref="B13179">iferror(xlookup($I13179, 'IMPORT VHC Report'!$E:$E, 'IMPORT VHC Report'!$A:$C), )</f>
        <v/>
      </c>
      <c r="C13179" s="44"/>
      <c r="D13179" s="44"/>
      <c r="E13179" s="46" t="s">
        <v>9247</v>
      </c>
      <c r="F13179" s="46" t="s">
        <v>3459</v>
      </c>
      <c r="G13179" s="46">
        <v>5.202392782223E12</v>
      </c>
      <c r="H13179" s="46" t="s">
        <v>3460</v>
      </c>
      <c r="I13179" s="46" t="s">
        <v>3461</v>
      </c>
      <c r="J13179" s="46" t="s">
        <v>134</v>
      </c>
      <c r="K13179" s="46" t="s">
        <v>126</v>
      </c>
      <c r="L13179" s="45">
        <v>46019.697916666664</v>
      </c>
      <c r="M13179" s="46" t="s">
        <v>123</v>
      </c>
      <c r="N13179" s="45">
        <v>46019.708333333336</v>
      </c>
      <c r="O13179" s="46" t="s">
        <v>123</v>
      </c>
      <c r="P13179" s="46">
        <v>900.0</v>
      </c>
    </row>
    <row r="13180">
      <c r="A13180" s="40">
        <f t="shared" si="1"/>
        <v>46013</v>
      </c>
      <c r="B13180" s="37" t="str">
        <f t="array" ref="B13180">iferror(xlookup($I13180, 'IMPORT VHC Report'!$E:$E, 'IMPORT VHC Report'!$A:$C), )</f>
        <v/>
      </c>
      <c r="C13180" s="44"/>
      <c r="D13180" s="44"/>
      <c r="E13180" s="46" t="s">
        <v>9248</v>
      </c>
      <c r="F13180" s="46" t="s">
        <v>3607</v>
      </c>
      <c r="G13180" s="46">
        <v>5.202392804111E12</v>
      </c>
      <c r="H13180" s="46" t="s">
        <v>3608</v>
      </c>
      <c r="I13180" s="46" t="s">
        <v>3609</v>
      </c>
      <c r="J13180" s="46" t="s">
        <v>224</v>
      </c>
      <c r="K13180" s="46" t="s">
        <v>63</v>
      </c>
      <c r="L13180" s="45">
        <v>46013.416666666664</v>
      </c>
      <c r="M13180" s="46" t="s">
        <v>123</v>
      </c>
      <c r="N13180" s="45">
        <v>46013.791666666664</v>
      </c>
      <c r="O13180" s="46" t="s">
        <v>123</v>
      </c>
      <c r="P13180" s="46">
        <v>32400.0</v>
      </c>
    </row>
    <row r="13181">
      <c r="A13181" s="40">
        <f t="shared" si="1"/>
        <v>46013</v>
      </c>
      <c r="B13181" s="37" t="str">
        <f t="array" ref="B13181">iferror(xlookup($I13181, 'IMPORT VHC Report'!$E:$E, 'IMPORT VHC Report'!$A:$C), )</f>
        <v/>
      </c>
      <c r="C13181" s="44"/>
      <c r="D13181" s="44"/>
      <c r="E13181" s="46" t="s">
        <v>9249</v>
      </c>
      <c r="F13181" s="46" t="s">
        <v>3607</v>
      </c>
      <c r="G13181" s="46">
        <v>5.202392804111E12</v>
      </c>
      <c r="H13181" s="46" t="s">
        <v>3608</v>
      </c>
      <c r="I13181" s="46" t="s">
        <v>3609</v>
      </c>
      <c r="J13181" s="46" t="s">
        <v>134</v>
      </c>
      <c r="K13181" s="46" t="s">
        <v>126</v>
      </c>
      <c r="L13181" s="45">
        <v>46013.5</v>
      </c>
      <c r="M13181" s="46" t="s">
        <v>123</v>
      </c>
      <c r="N13181" s="45">
        <v>46013.510416666664</v>
      </c>
      <c r="O13181" s="46" t="s">
        <v>123</v>
      </c>
      <c r="P13181" s="46">
        <v>900.0</v>
      </c>
    </row>
    <row r="13182">
      <c r="A13182" s="40">
        <f t="shared" si="1"/>
        <v>46013</v>
      </c>
      <c r="B13182" s="37" t="str">
        <f t="array" ref="B13182">iferror(xlookup($I13182, 'IMPORT VHC Report'!$E:$E, 'IMPORT VHC Report'!$A:$C), )</f>
        <v/>
      </c>
      <c r="C13182" s="44"/>
      <c r="D13182" s="44"/>
      <c r="E13182" s="46" t="s">
        <v>9250</v>
      </c>
      <c r="F13182" s="46" t="s">
        <v>3607</v>
      </c>
      <c r="G13182" s="46">
        <v>5.202392804111E12</v>
      </c>
      <c r="H13182" s="46" t="s">
        <v>3608</v>
      </c>
      <c r="I13182" s="46" t="s">
        <v>3609</v>
      </c>
      <c r="J13182" s="46" t="s">
        <v>132</v>
      </c>
      <c r="K13182" s="46" t="s">
        <v>126</v>
      </c>
      <c r="L13182" s="45">
        <v>46013.583333333336</v>
      </c>
      <c r="M13182" s="46" t="s">
        <v>123</v>
      </c>
      <c r="N13182" s="45">
        <v>46013.625</v>
      </c>
      <c r="O13182" s="46" t="s">
        <v>123</v>
      </c>
      <c r="P13182" s="46">
        <v>3600.0</v>
      </c>
    </row>
    <row r="13183">
      <c r="A13183" s="40">
        <f t="shared" si="1"/>
        <v>46013</v>
      </c>
      <c r="B13183" s="37" t="str">
        <f t="array" ref="B13183">iferror(xlookup($I13183, 'IMPORT VHC Report'!$E:$E, 'IMPORT VHC Report'!$A:$C), )</f>
        <v/>
      </c>
      <c r="C13183" s="44"/>
      <c r="D13183" s="44"/>
      <c r="E13183" s="46" t="s">
        <v>9251</v>
      </c>
      <c r="F13183" s="46" t="s">
        <v>3607</v>
      </c>
      <c r="G13183" s="46">
        <v>5.202392804111E12</v>
      </c>
      <c r="H13183" s="46" t="s">
        <v>3608</v>
      </c>
      <c r="I13183" s="46" t="s">
        <v>3609</v>
      </c>
      <c r="J13183" s="46" t="s">
        <v>134</v>
      </c>
      <c r="K13183" s="46" t="s">
        <v>126</v>
      </c>
      <c r="L13183" s="45">
        <v>46013.708333333336</v>
      </c>
      <c r="M13183" s="46" t="s">
        <v>123</v>
      </c>
      <c r="N13183" s="45">
        <v>46013.71875</v>
      </c>
      <c r="O13183" s="46" t="s">
        <v>123</v>
      </c>
      <c r="P13183" s="46">
        <v>900.0</v>
      </c>
    </row>
    <row r="13184">
      <c r="A13184" s="40">
        <f t="shared" si="1"/>
        <v>46013</v>
      </c>
      <c r="B13184" s="37" t="str">
        <f t="array" ref="B13184">iferror(xlookup($I13184, 'IMPORT VHC Report'!$E:$E, 'IMPORT VHC Report'!$A:$C), )</f>
        <v/>
      </c>
      <c r="C13184" s="44"/>
      <c r="D13184" s="44"/>
      <c r="E13184" s="46" t="s">
        <v>9252</v>
      </c>
      <c r="F13184" s="46" t="s">
        <v>3607</v>
      </c>
      <c r="G13184" s="46">
        <v>5.202392804111E12</v>
      </c>
      <c r="H13184" s="46" t="s">
        <v>3608</v>
      </c>
      <c r="I13184" s="46" t="s">
        <v>3609</v>
      </c>
      <c r="J13184" s="46" t="s">
        <v>224</v>
      </c>
      <c r="K13184" s="46" t="s">
        <v>63</v>
      </c>
      <c r="L13184" s="45">
        <v>46014.416666666664</v>
      </c>
      <c r="M13184" s="46" t="s">
        <v>123</v>
      </c>
      <c r="N13184" s="45">
        <v>46014.46875</v>
      </c>
      <c r="O13184" s="46" t="s">
        <v>123</v>
      </c>
      <c r="P13184" s="46">
        <v>4500.0</v>
      </c>
    </row>
    <row r="13185">
      <c r="A13185" s="40">
        <f t="shared" si="1"/>
        <v>46013</v>
      </c>
      <c r="B13185" s="37" t="str">
        <f t="array" ref="B13185">iferror(xlookup($I13185, 'IMPORT VHC Report'!$E:$E, 'IMPORT VHC Report'!$A:$C), )</f>
        <v/>
      </c>
      <c r="C13185" s="44"/>
      <c r="D13185" s="44"/>
      <c r="E13185" s="46" t="s">
        <v>9253</v>
      </c>
      <c r="F13185" s="46" t="s">
        <v>3607</v>
      </c>
      <c r="G13185" s="46">
        <v>5.202392804111E12</v>
      </c>
      <c r="H13185" s="46" t="s">
        <v>3608</v>
      </c>
      <c r="I13185" s="46" t="s">
        <v>3609</v>
      </c>
      <c r="J13185" s="46" t="s">
        <v>62</v>
      </c>
      <c r="K13185" s="46" t="s">
        <v>63</v>
      </c>
      <c r="L13185" s="45">
        <v>46014.46875</v>
      </c>
      <c r="M13185" s="46" t="s">
        <v>123</v>
      </c>
      <c r="N13185" s="45">
        <v>46014.5</v>
      </c>
      <c r="O13185" s="46" t="s">
        <v>123</v>
      </c>
      <c r="P13185" s="46">
        <v>2700.0</v>
      </c>
    </row>
    <row r="13186">
      <c r="A13186" s="40">
        <f t="shared" si="1"/>
        <v>46013</v>
      </c>
      <c r="B13186" s="37" t="str">
        <f t="array" ref="B13186">iferror(xlookup($I13186, 'IMPORT VHC Report'!$E:$E, 'IMPORT VHC Report'!$A:$C), )</f>
        <v/>
      </c>
      <c r="C13186" s="44"/>
      <c r="D13186" s="44"/>
      <c r="E13186" s="46" t="s">
        <v>9254</v>
      </c>
      <c r="F13186" s="46" t="s">
        <v>3607</v>
      </c>
      <c r="G13186" s="46">
        <v>5.202392804111E12</v>
      </c>
      <c r="H13186" s="46" t="s">
        <v>3608</v>
      </c>
      <c r="I13186" s="46" t="s">
        <v>3609</v>
      </c>
      <c r="J13186" s="46" t="s">
        <v>134</v>
      </c>
      <c r="K13186" s="46" t="s">
        <v>126</v>
      </c>
      <c r="L13186" s="45">
        <v>46014.489583333336</v>
      </c>
      <c r="M13186" s="46" t="s">
        <v>123</v>
      </c>
      <c r="N13186" s="45">
        <v>46014.5</v>
      </c>
      <c r="O13186" s="46" t="s">
        <v>123</v>
      </c>
      <c r="P13186" s="46">
        <v>900.0</v>
      </c>
    </row>
    <row r="13187">
      <c r="A13187" s="40">
        <f t="shared" si="1"/>
        <v>46013</v>
      </c>
      <c r="B13187" s="37" t="str">
        <f t="array" ref="B13187">iferror(xlookup($I13187, 'IMPORT VHC Report'!$E:$E, 'IMPORT VHC Report'!$A:$C), )</f>
        <v/>
      </c>
      <c r="C13187" s="44"/>
      <c r="D13187" s="44"/>
      <c r="E13187" s="46" t="s">
        <v>9255</v>
      </c>
      <c r="F13187" s="46" t="s">
        <v>3607</v>
      </c>
      <c r="G13187" s="46">
        <v>5.202392804111E12</v>
      </c>
      <c r="H13187" s="46" t="s">
        <v>3608</v>
      </c>
      <c r="I13187" s="46" t="s">
        <v>3609</v>
      </c>
      <c r="J13187" s="46" t="s">
        <v>224</v>
      </c>
      <c r="K13187" s="46" t="s">
        <v>63</v>
      </c>
      <c r="L13187" s="45">
        <v>46014.489583333336</v>
      </c>
      <c r="M13187" s="46" t="s">
        <v>123</v>
      </c>
      <c r="N13187" s="45">
        <v>46014.791666666664</v>
      </c>
      <c r="O13187" s="46" t="s">
        <v>123</v>
      </c>
      <c r="P13187" s="46">
        <v>26100.0</v>
      </c>
    </row>
    <row r="13188">
      <c r="A13188" s="40">
        <f t="shared" si="1"/>
        <v>46013</v>
      </c>
      <c r="B13188" s="37" t="str">
        <f t="array" ref="B13188">iferror(xlookup($I13188, 'IMPORT VHC Report'!$E:$E, 'IMPORT VHC Report'!$A:$C), )</f>
        <v/>
      </c>
      <c r="C13188" s="44"/>
      <c r="D13188" s="44"/>
      <c r="E13188" s="46" t="s">
        <v>9256</v>
      </c>
      <c r="F13188" s="46" t="s">
        <v>3607</v>
      </c>
      <c r="G13188" s="46">
        <v>5.202392804111E12</v>
      </c>
      <c r="H13188" s="46" t="s">
        <v>3608</v>
      </c>
      <c r="I13188" s="46" t="s">
        <v>3609</v>
      </c>
      <c r="J13188" s="46" t="s">
        <v>224</v>
      </c>
      <c r="K13188" s="46" t="s">
        <v>63</v>
      </c>
      <c r="L13188" s="45">
        <v>46014.572916666664</v>
      </c>
      <c r="M13188" s="46" t="s">
        <v>123</v>
      </c>
      <c r="N13188" s="45">
        <v>46014.614583333336</v>
      </c>
      <c r="O13188" s="46" t="s">
        <v>123</v>
      </c>
      <c r="P13188" s="46">
        <v>3600.0</v>
      </c>
    </row>
    <row r="13189">
      <c r="A13189" s="40">
        <f t="shared" si="1"/>
        <v>46013</v>
      </c>
      <c r="B13189" s="37" t="str">
        <f t="array" ref="B13189">iferror(xlookup($I13189, 'IMPORT VHC Report'!$E:$E, 'IMPORT VHC Report'!$A:$C), )</f>
        <v/>
      </c>
      <c r="C13189" s="44"/>
      <c r="D13189" s="44"/>
      <c r="E13189" s="46" t="s">
        <v>9257</v>
      </c>
      <c r="F13189" s="46" t="s">
        <v>3607</v>
      </c>
      <c r="G13189" s="46">
        <v>5.202392804111E12</v>
      </c>
      <c r="H13189" s="46" t="s">
        <v>3608</v>
      </c>
      <c r="I13189" s="46" t="s">
        <v>3609</v>
      </c>
      <c r="J13189" s="46" t="s">
        <v>330</v>
      </c>
      <c r="K13189" s="46" t="s">
        <v>126</v>
      </c>
      <c r="L13189" s="45">
        <v>46014.625</v>
      </c>
      <c r="M13189" s="46" t="s">
        <v>123</v>
      </c>
      <c r="N13189" s="45">
        <v>46014.645833333336</v>
      </c>
      <c r="O13189" s="46" t="s">
        <v>123</v>
      </c>
      <c r="P13189" s="46">
        <v>1800.0</v>
      </c>
    </row>
    <row r="13190">
      <c r="A13190" s="40">
        <f t="shared" si="1"/>
        <v>46013</v>
      </c>
      <c r="B13190" s="37" t="str">
        <f t="array" ref="B13190">iferror(xlookup($I13190, 'IMPORT VHC Report'!$E:$E, 'IMPORT VHC Report'!$A:$C), )</f>
        <v/>
      </c>
      <c r="C13190" s="44"/>
      <c r="D13190" s="44"/>
      <c r="E13190" s="46" t="s">
        <v>9258</v>
      </c>
      <c r="F13190" s="46" t="s">
        <v>3607</v>
      </c>
      <c r="G13190" s="46">
        <v>5.202392804111E12</v>
      </c>
      <c r="H13190" s="46" t="s">
        <v>3608</v>
      </c>
      <c r="I13190" s="46" t="s">
        <v>3609</v>
      </c>
      <c r="J13190" s="46" t="s">
        <v>134</v>
      </c>
      <c r="K13190" s="46" t="s">
        <v>126</v>
      </c>
      <c r="L13190" s="45">
        <v>46014.697916666664</v>
      </c>
      <c r="M13190" s="46" t="s">
        <v>123</v>
      </c>
      <c r="N13190" s="45">
        <v>46014.708333333336</v>
      </c>
      <c r="O13190" s="46" t="s">
        <v>123</v>
      </c>
      <c r="P13190" s="46">
        <v>900.0</v>
      </c>
    </row>
    <row r="13191">
      <c r="A13191" s="40">
        <f t="shared" si="1"/>
        <v>46013</v>
      </c>
      <c r="B13191" s="37" t="str">
        <f t="array" ref="B13191">iferror(xlookup($I13191, 'IMPORT VHC Report'!$E:$E, 'IMPORT VHC Report'!$A:$C), )</f>
        <v/>
      </c>
      <c r="C13191" s="44"/>
      <c r="D13191" s="44"/>
      <c r="E13191" s="46" t="s">
        <v>9259</v>
      </c>
      <c r="F13191" s="46" t="s">
        <v>3607</v>
      </c>
      <c r="G13191" s="46">
        <v>5.202392804111E12</v>
      </c>
      <c r="H13191" s="46" t="s">
        <v>3608</v>
      </c>
      <c r="I13191" s="46" t="s">
        <v>3609</v>
      </c>
      <c r="J13191" s="46" t="s">
        <v>136</v>
      </c>
      <c r="K13191" s="46" t="s">
        <v>126</v>
      </c>
      <c r="L13191" s="45">
        <v>46014.708333333336</v>
      </c>
      <c r="M13191" s="46" t="s">
        <v>123</v>
      </c>
      <c r="N13191" s="45">
        <v>46014.75</v>
      </c>
      <c r="O13191" s="46" t="s">
        <v>123</v>
      </c>
      <c r="P13191" s="46">
        <v>3600.0</v>
      </c>
      <c r="S13191" s="46" t="s">
        <v>137</v>
      </c>
    </row>
    <row r="13192">
      <c r="A13192" s="40">
        <f t="shared" si="1"/>
        <v>46013</v>
      </c>
      <c r="B13192" s="37" t="str">
        <f t="array" ref="B13192">iferror(xlookup($I13192, 'IMPORT VHC Report'!$E:$E, 'IMPORT VHC Report'!$A:$C), )</f>
        <v/>
      </c>
      <c r="C13192" s="44"/>
      <c r="D13192" s="44"/>
      <c r="E13192" s="46" t="s">
        <v>9260</v>
      </c>
      <c r="F13192" s="46" t="s">
        <v>3607</v>
      </c>
      <c r="G13192" s="46">
        <v>5.202392804111E12</v>
      </c>
      <c r="H13192" s="46" t="s">
        <v>3608</v>
      </c>
      <c r="I13192" s="46" t="s">
        <v>3609</v>
      </c>
      <c r="J13192" s="46" t="s">
        <v>132</v>
      </c>
      <c r="K13192" s="46" t="s">
        <v>126</v>
      </c>
      <c r="L13192" s="45">
        <v>46014.75</v>
      </c>
      <c r="M13192" s="46" t="s">
        <v>123</v>
      </c>
      <c r="N13192" s="45">
        <v>46014.791666666664</v>
      </c>
      <c r="O13192" s="46" t="s">
        <v>123</v>
      </c>
      <c r="P13192" s="46">
        <v>3600.0</v>
      </c>
    </row>
    <row r="13193">
      <c r="A13193" s="40">
        <f t="shared" si="1"/>
        <v>46013</v>
      </c>
      <c r="B13193" s="37" t="str">
        <f t="array" ref="B13193">iferror(xlookup($I13193, 'IMPORT VHC Report'!$E:$E, 'IMPORT VHC Report'!$A:$C), )</f>
        <v/>
      </c>
      <c r="C13193" s="44"/>
      <c r="D13193" s="44"/>
      <c r="E13193" s="46" t="s">
        <v>9261</v>
      </c>
      <c r="F13193" s="46" t="s">
        <v>3607</v>
      </c>
      <c r="G13193" s="46">
        <v>5.202392804111E12</v>
      </c>
      <c r="H13193" s="46" t="s">
        <v>3608</v>
      </c>
      <c r="I13193" s="46" t="s">
        <v>3609</v>
      </c>
      <c r="J13193" s="46" t="s">
        <v>224</v>
      </c>
      <c r="K13193" s="46" t="s">
        <v>63</v>
      </c>
      <c r="L13193" s="45">
        <v>46015.416666666664</v>
      </c>
      <c r="M13193" s="46" t="s">
        <v>123</v>
      </c>
      <c r="N13193" s="45">
        <v>46015.791666666664</v>
      </c>
      <c r="O13193" s="46" t="s">
        <v>123</v>
      </c>
      <c r="P13193" s="46">
        <v>32400.0</v>
      </c>
    </row>
    <row r="13194">
      <c r="A13194" s="40">
        <f t="shared" si="1"/>
        <v>46013</v>
      </c>
      <c r="B13194" s="37" t="str">
        <f t="array" ref="B13194">iferror(xlookup($I13194, 'IMPORT VHC Report'!$E:$E, 'IMPORT VHC Report'!$A:$C), )</f>
        <v/>
      </c>
      <c r="C13194" s="44"/>
      <c r="D13194" s="44"/>
      <c r="E13194" s="46" t="s">
        <v>9262</v>
      </c>
      <c r="F13194" s="46" t="s">
        <v>3607</v>
      </c>
      <c r="G13194" s="46">
        <v>5.202392804111E12</v>
      </c>
      <c r="H13194" s="46" t="s">
        <v>3608</v>
      </c>
      <c r="I13194" s="46" t="s">
        <v>3609</v>
      </c>
      <c r="J13194" s="46" t="s">
        <v>134</v>
      </c>
      <c r="K13194" s="46" t="s">
        <v>126</v>
      </c>
      <c r="L13194" s="45">
        <v>46015.510416666664</v>
      </c>
      <c r="M13194" s="46" t="s">
        <v>123</v>
      </c>
      <c r="N13194" s="45">
        <v>46015.520833333336</v>
      </c>
      <c r="O13194" s="46" t="s">
        <v>123</v>
      </c>
      <c r="P13194" s="46">
        <v>900.0</v>
      </c>
    </row>
    <row r="13195">
      <c r="A13195" s="40">
        <f t="shared" si="1"/>
        <v>46013</v>
      </c>
      <c r="B13195" s="37" t="str">
        <f t="array" ref="B13195">iferror(xlookup($I13195, 'IMPORT VHC Report'!$E:$E, 'IMPORT VHC Report'!$A:$C), )</f>
        <v/>
      </c>
      <c r="C13195" s="44"/>
      <c r="D13195" s="44"/>
      <c r="E13195" s="46" t="s">
        <v>9263</v>
      </c>
      <c r="F13195" s="46" t="s">
        <v>3607</v>
      </c>
      <c r="G13195" s="46">
        <v>5.202392804111E12</v>
      </c>
      <c r="H13195" s="46" t="s">
        <v>3608</v>
      </c>
      <c r="I13195" s="46" t="s">
        <v>3609</v>
      </c>
      <c r="J13195" s="46" t="s">
        <v>132</v>
      </c>
      <c r="K13195" s="46" t="s">
        <v>126</v>
      </c>
      <c r="L13195" s="45">
        <v>46015.604166666664</v>
      </c>
      <c r="M13195" s="46" t="s">
        <v>123</v>
      </c>
      <c r="N13195" s="45">
        <v>46015.645833333336</v>
      </c>
      <c r="O13195" s="46" t="s">
        <v>123</v>
      </c>
      <c r="P13195" s="46">
        <v>3600.0</v>
      </c>
    </row>
    <row r="13196">
      <c r="A13196" s="40">
        <f t="shared" si="1"/>
        <v>46013</v>
      </c>
      <c r="B13196" s="37" t="str">
        <f t="array" ref="B13196">iferror(xlookup($I13196, 'IMPORT VHC Report'!$E:$E, 'IMPORT VHC Report'!$A:$C), )</f>
        <v/>
      </c>
      <c r="C13196" s="44"/>
      <c r="D13196" s="44"/>
      <c r="E13196" s="46" t="s">
        <v>9264</v>
      </c>
      <c r="F13196" s="46" t="s">
        <v>3607</v>
      </c>
      <c r="G13196" s="46">
        <v>5.202392804111E12</v>
      </c>
      <c r="H13196" s="46" t="s">
        <v>3608</v>
      </c>
      <c r="I13196" s="46" t="s">
        <v>3609</v>
      </c>
      <c r="J13196" s="46" t="s">
        <v>4</v>
      </c>
      <c r="K13196" s="46" t="s">
        <v>126</v>
      </c>
      <c r="L13196" s="45">
        <v>46015.645833333336</v>
      </c>
      <c r="M13196" s="46" t="s">
        <v>123</v>
      </c>
      <c r="N13196" s="45">
        <v>46015.6875</v>
      </c>
      <c r="O13196" s="46" t="s">
        <v>123</v>
      </c>
      <c r="P13196" s="46">
        <v>3600.0</v>
      </c>
      <c r="S13196" s="46" t="s">
        <v>9265</v>
      </c>
    </row>
    <row r="13197">
      <c r="A13197" s="40">
        <f t="shared" si="1"/>
        <v>46013</v>
      </c>
      <c r="B13197" s="37" t="str">
        <f t="array" ref="B13197">iferror(xlookup($I13197, 'IMPORT VHC Report'!$E:$E, 'IMPORT VHC Report'!$A:$C), )</f>
        <v/>
      </c>
      <c r="C13197" s="44"/>
      <c r="D13197" s="44"/>
      <c r="E13197" s="46" t="s">
        <v>9266</v>
      </c>
      <c r="F13197" s="46" t="s">
        <v>3607</v>
      </c>
      <c r="G13197" s="46">
        <v>5.202392804111E12</v>
      </c>
      <c r="H13197" s="46" t="s">
        <v>3608</v>
      </c>
      <c r="I13197" s="46" t="s">
        <v>3609</v>
      </c>
      <c r="J13197" s="46" t="s">
        <v>134</v>
      </c>
      <c r="K13197" s="46" t="s">
        <v>126</v>
      </c>
      <c r="L13197" s="45">
        <v>46015.71875</v>
      </c>
      <c r="M13197" s="46" t="s">
        <v>123</v>
      </c>
      <c r="N13197" s="45">
        <v>46015.729166666664</v>
      </c>
      <c r="O13197" s="46" t="s">
        <v>123</v>
      </c>
      <c r="P13197" s="46">
        <v>900.0</v>
      </c>
    </row>
    <row r="13198">
      <c r="A13198" s="40">
        <f t="shared" si="1"/>
        <v>46013</v>
      </c>
      <c r="B13198" s="37" t="str">
        <f t="array" ref="B13198">iferror(xlookup($I13198, 'IMPORT VHC Report'!$E:$E, 'IMPORT VHC Report'!$A:$C), )</f>
        <v/>
      </c>
      <c r="C13198" s="44"/>
      <c r="D13198" s="44"/>
      <c r="E13198" s="46" t="s">
        <v>9267</v>
      </c>
      <c r="F13198" s="46" t="s">
        <v>3607</v>
      </c>
      <c r="G13198" s="46">
        <v>5.202392804111E12</v>
      </c>
      <c r="H13198" s="46" t="s">
        <v>3608</v>
      </c>
      <c r="I13198" s="46" t="s">
        <v>3609</v>
      </c>
      <c r="J13198" s="46" t="s">
        <v>4</v>
      </c>
      <c r="K13198" s="46" t="s">
        <v>126</v>
      </c>
      <c r="L13198" s="45">
        <v>46015.729166666664</v>
      </c>
      <c r="M13198" s="46" t="s">
        <v>123</v>
      </c>
      <c r="N13198" s="45">
        <v>46015.770833333336</v>
      </c>
      <c r="O13198" s="46" t="s">
        <v>123</v>
      </c>
      <c r="P13198" s="46">
        <v>3600.0</v>
      </c>
      <c r="S13198" s="46" t="s">
        <v>3696</v>
      </c>
    </row>
    <row r="13199">
      <c r="A13199" s="40">
        <f t="shared" si="1"/>
        <v>46013</v>
      </c>
      <c r="B13199" s="37" t="str">
        <f t="array" ref="B13199">iferror(xlookup($I13199, 'IMPORT VHC Report'!$E:$E, 'IMPORT VHC Report'!$A:$C), )</f>
        <v/>
      </c>
      <c r="C13199" s="44"/>
      <c r="D13199" s="44"/>
      <c r="E13199" s="46" t="s">
        <v>9268</v>
      </c>
      <c r="F13199" s="46" t="s">
        <v>3607</v>
      </c>
      <c r="G13199" s="46">
        <v>5.202392804111E12</v>
      </c>
      <c r="H13199" s="46" t="s">
        <v>3608</v>
      </c>
      <c r="I13199" s="46" t="s">
        <v>3609</v>
      </c>
      <c r="J13199" s="46" t="s">
        <v>152</v>
      </c>
      <c r="K13199" s="46" t="s">
        <v>153</v>
      </c>
      <c r="L13199" s="45">
        <v>46016.416666666664</v>
      </c>
      <c r="M13199" s="46" t="s">
        <v>123</v>
      </c>
      <c r="N13199" s="45">
        <v>46016.583333333336</v>
      </c>
      <c r="O13199" s="46" t="s">
        <v>123</v>
      </c>
      <c r="P13199" s="46">
        <v>14400.0</v>
      </c>
      <c r="Q13199" s="46">
        <v>14400.0</v>
      </c>
    </row>
    <row r="13200">
      <c r="A13200" s="40">
        <f t="shared" si="1"/>
        <v>46013</v>
      </c>
      <c r="B13200" s="37" t="str">
        <f t="array" ref="B13200">iferror(xlookup($I13200, 'IMPORT VHC Report'!$E:$E, 'IMPORT VHC Report'!$A:$C), )</f>
        <v/>
      </c>
      <c r="C13200" s="44"/>
      <c r="D13200" s="44"/>
      <c r="E13200" s="46" t="s">
        <v>9269</v>
      </c>
      <c r="F13200" s="46" t="s">
        <v>3607</v>
      </c>
      <c r="G13200" s="46">
        <v>5.202392804111E12</v>
      </c>
      <c r="H13200" s="46" t="s">
        <v>3608</v>
      </c>
      <c r="I13200" s="46" t="s">
        <v>3609</v>
      </c>
      <c r="J13200" s="46" t="s">
        <v>224</v>
      </c>
      <c r="K13200" s="46" t="s">
        <v>63</v>
      </c>
      <c r="L13200" s="45">
        <v>46016.416666666664</v>
      </c>
      <c r="M13200" s="46" t="s">
        <v>123</v>
      </c>
      <c r="N13200" s="45">
        <v>46016.791666666664</v>
      </c>
      <c r="O13200" s="46" t="s">
        <v>123</v>
      </c>
      <c r="P13200" s="46">
        <v>32400.0</v>
      </c>
    </row>
    <row r="13201">
      <c r="A13201" s="40">
        <f t="shared" si="1"/>
        <v>46013</v>
      </c>
      <c r="B13201" s="37" t="str">
        <f t="array" ref="B13201">iferror(xlookup($I13201, 'IMPORT VHC Report'!$E:$E, 'IMPORT VHC Report'!$A:$C), )</f>
        <v/>
      </c>
      <c r="C13201" s="44"/>
      <c r="D13201" s="44"/>
      <c r="E13201" s="46" t="s">
        <v>9270</v>
      </c>
      <c r="F13201" s="46" t="s">
        <v>3607</v>
      </c>
      <c r="G13201" s="46">
        <v>5.202392804111E12</v>
      </c>
      <c r="H13201" s="46" t="s">
        <v>3608</v>
      </c>
      <c r="I13201" s="46" t="s">
        <v>3609</v>
      </c>
      <c r="J13201" s="46" t="s">
        <v>134</v>
      </c>
      <c r="K13201" s="46" t="s">
        <v>126</v>
      </c>
      <c r="L13201" s="45">
        <v>46016.572916666664</v>
      </c>
      <c r="M13201" s="46" t="s">
        <v>123</v>
      </c>
      <c r="N13201" s="45">
        <v>46016.583333333336</v>
      </c>
      <c r="O13201" s="46" t="s">
        <v>123</v>
      </c>
      <c r="P13201" s="46">
        <v>900.0</v>
      </c>
    </row>
    <row r="13202">
      <c r="A13202" s="40">
        <f t="shared" si="1"/>
        <v>46013</v>
      </c>
      <c r="B13202" s="37" t="str">
        <f t="array" ref="B13202">iferror(xlookup($I13202, 'IMPORT VHC Report'!$E:$E, 'IMPORT VHC Report'!$A:$C), )</f>
        <v/>
      </c>
      <c r="C13202" s="44"/>
      <c r="D13202" s="44"/>
      <c r="E13202" s="46" t="s">
        <v>9271</v>
      </c>
      <c r="F13202" s="46" t="s">
        <v>3607</v>
      </c>
      <c r="G13202" s="46">
        <v>5.202392804111E12</v>
      </c>
      <c r="H13202" s="46" t="s">
        <v>3608</v>
      </c>
      <c r="I13202" s="46" t="s">
        <v>3609</v>
      </c>
      <c r="J13202" s="46" t="s">
        <v>132</v>
      </c>
      <c r="K13202" s="46" t="s">
        <v>126</v>
      </c>
      <c r="L13202" s="45">
        <v>46016.583333333336</v>
      </c>
      <c r="M13202" s="46" t="s">
        <v>123</v>
      </c>
      <c r="N13202" s="45">
        <v>46016.625</v>
      </c>
      <c r="O13202" s="46" t="s">
        <v>123</v>
      </c>
      <c r="P13202" s="46">
        <v>3600.0</v>
      </c>
    </row>
    <row r="13203">
      <c r="A13203" s="40">
        <f t="shared" si="1"/>
        <v>46013</v>
      </c>
      <c r="B13203" s="37" t="str">
        <f t="array" ref="B13203">iferror(xlookup($I13203, 'IMPORT VHC Report'!$E:$E, 'IMPORT VHC Report'!$A:$C), )</f>
        <v/>
      </c>
      <c r="C13203" s="44"/>
      <c r="D13203" s="44"/>
      <c r="E13203" s="46" t="s">
        <v>9272</v>
      </c>
      <c r="F13203" s="46" t="s">
        <v>3607</v>
      </c>
      <c r="G13203" s="46">
        <v>5.202392804111E12</v>
      </c>
      <c r="H13203" s="46" t="s">
        <v>3608</v>
      </c>
      <c r="I13203" s="46" t="s">
        <v>3609</v>
      </c>
      <c r="J13203" s="46" t="s">
        <v>134</v>
      </c>
      <c r="K13203" s="46" t="s">
        <v>126</v>
      </c>
      <c r="L13203" s="45">
        <v>46016.78125</v>
      </c>
      <c r="M13203" s="46" t="s">
        <v>123</v>
      </c>
      <c r="N13203" s="45">
        <v>46016.791666666664</v>
      </c>
      <c r="O13203" s="46" t="s">
        <v>123</v>
      </c>
      <c r="P13203" s="46">
        <v>900.0</v>
      </c>
    </row>
    <row r="13204">
      <c r="A13204" s="40">
        <f t="shared" si="1"/>
        <v>46013</v>
      </c>
      <c r="B13204" s="37" t="str">
        <f t="array" ref="B13204">iferror(xlookup($I13204, 'IMPORT VHC Report'!$E:$E, 'IMPORT VHC Report'!$A:$C), )</f>
        <v/>
      </c>
      <c r="C13204" s="44"/>
      <c r="D13204" s="44"/>
      <c r="E13204" s="46" t="s">
        <v>9273</v>
      </c>
      <c r="F13204" s="46" t="s">
        <v>3607</v>
      </c>
      <c r="G13204" s="46">
        <v>5.202392804111E12</v>
      </c>
      <c r="H13204" s="46" t="s">
        <v>3608</v>
      </c>
      <c r="I13204" s="46" t="s">
        <v>3609</v>
      </c>
      <c r="J13204" s="46" t="s">
        <v>224</v>
      </c>
      <c r="K13204" s="46" t="s">
        <v>63</v>
      </c>
      <c r="L13204" s="45">
        <v>46017.416666666664</v>
      </c>
      <c r="M13204" s="46" t="s">
        <v>123</v>
      </c>
      <c r="N13204" s="45">
        <v>46017.791666666664</v>
      </c>
      <c r="O13204" s="46" t="s">
        <v>123</v>
      </c>
      <c r="P13204" s="46">
        <v>32400.0</v>
      </c>
    </row>
    <row r="13205">
      <c r="A13205" s="40">
        <f t="shared" si="1"/>
        <v>46013</v>
      </c>
      <c r="B13205" s="37" t="str">
        <f t="array" ref="B13205">iferror(xlookup($I13205, 'IMPORT VHC Report'!$E:$E, 'IMPORT VHC Report'!$A:$C), )</f>
        <v/>
      </c>
      <c r="C13205" s="44"/>
      <c r="D13205" s="44"/>
      <c r="E13205" s="46" t="s">
        <v>9274</v>
      </c>
      <c r="F13205" s="46" t="s">
        <v>3607</v>
      </c>
      <c r="G13205" s="46">
        <v>5.202392804111E12</v>
      </c>
      <c r="H13205" s="46" t="s">
        <v>3608</v>
      </c>
      <c r="I13205" s="46" t="s">
        <v>3609</v>
      </c>
      <c r="J13205" s="46" t="s">
        <v>134</v>
      </c>
      <c r="K13205" s="46" t="s">
        <v>126</v>
      </c>
      <c r="L13205" s="45">
        <v>46017.5</v>
      </c>
      <c r="M13205" s="46" t="s">
        <v>123</v>
      </c>
      <c r="N13205" s="45">
        <v>46017.510416666664</v>
      </c>
      <c r="O13205" s="46" t="s">
        <v>123</v>
      </c>
      <c r="P13205" s="46">
        <v>900.0</v>
      </c>
    </row>
    <row r="13206">
      <c r="A13206" s="40">
        <f t="shared" si="1"/>
        <v>46013</v>
      </c>
      <c r="B13206" s="37" t="str">
        <f t="array" ref="B13206">iferror(xlookup($I13206, 'IMPORT VHC Report'!$E:$E, 'IMPORT VHC Report'!$A:$C), )</f>
        <v/>
      </c>
      <c r="C13206" s="44"/>
      <c r="D13206" s="44"/>
      <c r="E13206" s="46" t="s">
        <v>9275</v>
      </c>
      <c r="F13206" s="46" t="s">
        <v>3607</v>
      </c>
      <c r="G13206" s="46">
        <v>5.202392804111E12</v>
      </c>
      <c r="H13206" s="46" t="s">
        <v>3608</v>
      </c>
      <c r="I13206" s="46" t="s">
        <v>3609</v>
      </c>
      <c r="J13206" s="46" t="s">
        <v>134</v>
      </c>
      <c r="K13206" s="46" t="s">
        <v>126</v>
      </c>
      <c r="L13206" s="45">
        <v>46017.572916666664</v>
      </c>
      <c r="M13206" s="46" t="s">
        <v>123</v>
      </c>
      <c r="N13206" s="45">
        <v>46017.583333333336</v>
      </c>
      <c r="O13206" s="46" t="s">
        <v>123</v>
      </c>
      <c r="P13206" s="46">
        <v>900.0</v>
      </c>
    </row>
    <row r="13207">
      <c r="A13207" s="40">
        <f t="shared" si="1"/>
        <v>46013</v>
      </c>
      <c r="B13207" s="37" t="str">
        <f t="array" ref="B13207">iferror(xlookup($I13207, 'IMPORT VHC Report'!$E:$E, 'IMPORT VHC Report'!$A:$C), )</f>
        <v/>
      </c>
      <c r="C13207" s="44"/>
      <c r="D13207" s="44"/>
      <c r="E13207" s="46" t="s">
        <v>9276</v>
      </c>
      <c r="F13207" s="46" t="s">
        <v>3607</v>
      </c>
      <c r="G13207" s="46">
        <v>5.202392804111E12</v>
      </c>
      <c r="H13207" s="46" t="s">
        <v>3608</v>
      </c>
      <c r="I13207" s="46" t="s">
        <v>3609</v>
      </c>
      <c r="J13207" s="46" t="s">
        <v>4</v>
      </c>
      <c r="K13207" s="46" t="s">
        <v>126</v>
      </c>
      <c r="L13207" s="45">
        <v>46017.65625</v>
      </c>
      <c r="M13207" s="46" t="s">
        <v>123</v>
      </c>
      <c r="N13207" s="45">
        <v>46017.666666666664</v>
      </c>
      <c r="O13207" s="46" t="s">
        <v>123</v>
      </c>
      <c r="P13207" s="46">
        <v>900.0</v>
      </c>
      <c r="S13207" s="46" t="s">
        <v>9277</v>
      </c>
    </row>
    <row r="13208">
      <c r="A13208" s="40">
        <f t="shared" si="1"/>
        <v>46013</v>
      </c>
      <c r="B13208" s="37" t="str">
        <f t="array" ref="B13208">iferror(xlookup($I13208, 'IMPORT VHC Report'!$E:$E, 'IMPORT VHC Report'!$A:$C), )</f>
        <v/>
      </c>
      <c r="C13208" s="44"/>
      <c r="D13208" s="44"/>
      <c r="E13208" s="46" t="s">
        <v>9278</v>
      </c>
      <c r="F13208" s="46" t="s">
        <v>3607</v>
      </c>
      <c r="G13208" s="46">
        <v>5.202392804111E12</v>
      </c>
      <c r="H13208" s="46" t="s">
        <v>3608</v>
      </c>
      <c r="I13208" s="46" t="s">
        <v>3609</v>
      </c>
      <c r="J13208" s="46" t="s">
        <v>132</v>
      </c>
      <c r="K13208" s="46" t="s">
        <v>126</v>
      </c>
      <c r="L13208" s="45">
        <v>46017.666666666664</v>
      </c>
      <c r="M13208" s="46" t="s">
        <v>123</v>
      </c>
      <c r="N13208" s="45">
        <v>46017.708333333336</v>
      </c>
      <c r="O13208" s="46" t="s">
        <v>123</v>
      </c>
      <c r="P13208" s="46">
        <v>3600.0</v>
      </c>
    </row>
    <row r="13209">
      <c r="A13209" s="40">
        <f t="shared" si="1"/>
        <v>46013</v>
      </c>
      <c r="B13209" s="37" t="str">
        <f t="array" ref="B13209">iferror(xlookup($I13209, 'IMPORT VHC Report'!$E:$E, 'IMPORT VHC Report'!$A:$C), )</f>
        <v/>
      </c>
      <c r="C13209" s="44"/>
      <c r="D13209" s="44"/>
      <c r="E13209" s="46" t="s">
        <v>9279</v>
      </c>
      <c r="F13209" s="46" t="s">
        <v>3607</v>
      </c>
      <c r="G13209" s="46">
        <v>5.202392804111E12</v>
      </c>
      <c r="H13209" s="46" t="s">
        <v>3608</v>
      </c>
      <c r="I13209" s="46" t="s">
        <v>3609</v>
      </c>
      <c r="J13209" s="46" t="s">
        <v>4</v>
      </c>
      <c r="K13209" s="46" t="s">
        <v>126</v>
      </c>
      <c r="L13209" s="45">
        <v>46017.708333333336</v>
      </c>
      <c r="M13209" s="46" t="s">
        <v>123</v>
      </c>
      <c r="N13209" s="45">
        <v>46017.75</v>
      </c>
      <c r="O13209" s="46" t="s">
        <v>123</v>
      </c>
      <c r="P13209" s="46">
        <v>3600.0</v>
      </c>
      <c r="S13209" s="46" t="s">
        <v>9277</v>
      </c>
    </row>
    <row r="13210">
      <c r="A13210" s="40">
        <f t="shared" si="1"/>
        <v>46013</v>
      </c>
      <c r="B13210" s="37" t="str">
        <f t="array" ref="B13210">iferror(xlookup($I13210, 'IMPORT VHC Report'!$E:$E, 'IMPORT VHC Report'!$A:$C), )</f>
        <v/>
      </c>
      <c r="C13210" s="44"/>
      <c r="D13210" s="44"/>
      <c r="E13210" s="46" t="s">
        <v>9280</v>
      </c>
      <c r="F13210" s="46" t="s">
        <v>3698</v>
      </c>
      <c r="G13210" s="46">
        <v>5.566828557583E12</v>
      </c>
      <c r="H13210" s="46" t="s">
        <v>3699</v>
      </c>
      <c r="I13210" s="46" t="s">
        <v>3700</v>
      </c>
      <c r="J13210" s="46" t="s">
        <v>224</v>
      </c>
      <c r="K13210" s="46" t="s">
        <v>63</v>
      </c>
      <c r="L13210" s="45">
        <v>46013.416666666664</v>
      </c>
      <c r="M13210" s="46" t="s">
        <v>123</v>
      </c>
      <c r="N13210" s="45">
        <v>46013.791666666664</v>
      </c>
      <c r="O13210" s="46" t="s">
        <v>123</v>
      </c>
      <c r="P13210" s="46">
        <v>32400.0</v>
      </c>
    </row>
    <row r="13211">
      <c r="A13211" s="40">
        <f t="shared" si="1"/>
        <v>46013</v>
      </c>
      <c r="B13211" s="37" t="str">
        <f t="array" ref="B13211">iferror(xlookup($I13211, 'IMPORT VHC Report'!$E:$E, 'IMPORT VHC Report'!$A:$C), )</f>
        <v/>
      </c>
      <c r="C13211" s="44"/>
      <c r="D13211" s="44"/>
      <c r="E13211" s="46" t="s">
        <v>9281</v>
      </c>
      <c r="F13211" s="46" t="s">
        <v>3698</v>
      </c>
      <c r="G13211" s="46">
        <v>5.566828557583E12</v>
      </c>
      <c r="H13211" s="46" t="s">
        <v>3699</v>
      </c>
      <c r="I13211" s="46" t="s">
        <v>3700</v>
      </c>
      <c r="J13211" s="46" t="s">
        <v>134</v>
      </c>
      <c r="K13211" s="46" t="s">
        <v>126</v>
      </c>
      <c r="L13211" s="45">
        <v>46013.5</v>
      </c>
      <c r="M13211" s="46" t="s">
        <v>123</v>
      </c>
      <c r="N13211" s="45">
        <v>46013.510416666664</v>
      </c>
      <c r="O13211" s="46" t="s">
        <v>123</v>
      </c>
      <c r="P13211" s="46">
        <v>900.0</v>
      </c>
    </row>
    <row r="13212">
      <c r="A13212" s="40">
        <f t="shared" si="1"/>
        <v>46013</v>
      </c>
      <c r="B13212" s="37" t="str">
        <f t="array" ref="B13212">iferror(xlookup($I13212, 'IMPORT VHC Report'!$E:$E, 'IMPORT VHC Report'!$A:$C), )</f>
        <v/>
      </c>
      <c r="C13212" s="44"/>
      <c r="D13212" s="44"/>
      <c r="E13212" s="46" t="s">
        <v>9282</v>
      </c>
      <c r="F13212" s="46" t="s">
        <v>3698</v>
      </c>
      <c r="G13212" s="46">
        <v>5.566828557583E12</v>
      </c>
      <c r="H13212" s="46" t="s">
        <v>3699</v>
      </c>
      <c r="I13212" s="46" t="s">
        <v>3700</v>
      </c>
      <c r="J13212" s="46" t="s">
        <v>134</v>
      </c>
      <c r="K13212" s="46" t="s">
        <v>126</v>
      </c>
      <c r="L13212" s="45">
        <v>46013.572916666664</v>
      </c>
      <c r="M13212" s="46" t="s">
        <v>123</v>
      </c>
      <c r="N13212" s="45">
        <v>46013.583333333336</v>
      </c>
      <c r="O13212" s="46" t="s">
        <v>123</v>
      </c>
      <c r="P13212" s="46">
        <v>900.0</v>
      </c>
    </row>
    <row r="13213">
      <c r="A13213" s="40">
        <f t="shared" si="1"/>
        <v>46013</v>
      </c>
      <c r="B13213" s="37" t="str">
        <f t="array" ref="B13213">iferror(xlookup($I13213, 'IMPORT VHC Report'!$E:$E, 'IMPORT VHC Report'!$A:$C), )</f>
        <v/>
      </c>
      <c r="C13213" s="44"/>
      <c r="D13213" s="44"/>
      <c r="E13213" s="46" t="s">
        <v>9283</v>
      </c>
      <c r="F13213" s="46" t="s">
        <v>3698</v>
      </c>
      <c r="G13213" s="46">
        <v>5.566828557583E12</v>
      </c>
      <c r="H13213" s="46" t="s">
        <v>3699</v>
      </c>
      <c r="I13213" s="46" t="s">
        <v>3700</v>
      </c>
      <c r="J13213" s="46" t="s">
        <v>132</v>
      </c>
      <c r="K13213" s="46" t="s">
        <v>126</v>
      </c>
      <c r="L13213" s="45">
        <v>46013.677083333336</v>
      </c>
      <c r="M13213" s="46" t="s">
        <v>123</v>
      </c>
      <c r="N13213" s="45">
        <v>46013.71875</v>
      </c>
      <c r="O13213" s="46" t="s">
        <v>123</v>
      </c>
      <c r="P13213" s="46">
        <v>3600.0</v>
      </c>
    </row>
    <row r="13214">
      <c r="A13214" s="40">
        <f t="shared" si="1"/>
        <v>46013</v>
      </c>
      <c r="B13214" s="37" t="str">
        <f t="array" ref="B13214">iferror(xlookup($I13214, 'IMPORT VHC Report'!$E:$E, 'IMPORT VHC Report'!$A:$C), )</f>
        <v/>
      </c>
      <c r="C13214" s="44"/>
      <c r="D13214" s="44"/>
      <c r="E13214" s="46" t="s">
        <v>9284</v>
      </c>
      <c r="F13214" s="46" t="s">
        <v>3698</v>
      </c>
      <c r="G13214" s="46">
        <v>5.566828557583E12</v>
      </c>
      <c r="H13214" s="46" t="s">
        <v>3699</v>
      </c>
      <c r="I13214" s="46" t="s">
        <v>3700</v>
      </c>
      <c r="J13214" s="46" t="s">
        <v>224</v>
      </c>
      <c r="K13214" s="46" t="s">
        <v>63</v>
      </c>
      <c r="L13214" s="45">
        <v>46014.416666666664</v>
      </c>
      <c r="M13214" s="46" t="s">
        <v>123</v>
      </c>
      <c r="N13214" s="45">
        <v>46014.791666666664</v>
      </c>
      <c r="O13214" s="46" t="s">
        <v>123</v>
      </c>
      <c r="P13214" s="46">
        <v>32400.0</v>
      </c>
    </row>
    <row r="13215">
      <c r="A13215" s="40">
        <f t="shared" si="1"/>
        <v>46013</v>
      </c>
      <c r="B13215" s="37" t="str">
        <f t="array" ref="B13215">iferror(xlookup($I13215, 'IMPORT VHC Report'!$E:$E, 'IMPORT VHC Report'!$A:$C), )</f>
        <v/>
      </c>
      <c r="C13215" s="44"/>
      <c r="D13215" s="44"/>
      <c r="E13215" s="46" t="s">
        <v>9285</v>
      </c>
      <c r="F13215" s="46" t="s">
        <v>3698</v>
      </c>
      <c r="G13215" s="46">
        <v>5.566828557583E12</v>
      </c>
      <c r="H13215" s="46" t="s">
        <v>3699</v>
      </c>
      <c r="I13215" s="46" t="s">
        <v>3700</v>
      </c>
      <c r="J13215" s="46" t="s">
        <v>125</v>
      </c>
      <c r="K13215" s="46" t="s">
        <v>126</v>
      </c>
      <c r="L13215" s="45">
        <v>46014.5</v>
      </c>
      <c r="M13215" s="46" t="s">
        <v>123</v>
      </c>
      <c r="N13215" s="45">
        <v>46014.541666666664</v>
      </c>
      <c r="O13215" s="46" t="s">
        <v>123</v>
      </c>
      <c r="P13215" s="46">
        <v>3600.0</v>
      </c>
      <c r="S13215" s="46" t="s">
        <v>9286</v>
      </c>
    </row>
    <row r="13216">
      <c r="A13216" s="40">
        <f t="shared" si="1"/>
        <v>46013</v>
      </c>
      <c r="B13216" s="37" t="str">
        <f t="array" ref="B13216">iferror(xlookup($I13216, 'IMPORT VHC Report'!$E:$E, 'IMPORT VHC Report'!$A:$C), )</f>
        <v/>
      </c>
      <c r="C13216" s="44"/>
      <c r="D13216" s="44"/>
      <c r="E13216" s="46" t="s">
        <v>9287</v>
      </c>
      <c r="F13216" s="46" t="s">
        <v>3698</v>
      </c>
      <c r="G13216" s="46">
        <v>5.566828557583E12</v>
      </c>
      <c r="H13216" s="46" t="s">
        <v>3699</v>
      </c>
      <c r="I13216" s="46" t="s">
        <v>3700</v>
      </c>
      <c r="J13216" s="46" t="s">
        <v>132</v>
      </c>
      <c r="K13216" s="46" t="s">
        <v>126</v>
      </c>
      <c r="L13216" s="45">
        <v>46014.604166666664</v>
      </c>
      <c r="M13216" s="46" t="s">
        <v>123</v>
      </c>
      <c r="N13216" s="45">
        <v>46014.645833333336</v>
      </c>
      <c r="O13216" s="46" t="s">
        <v>123</v>
      </c>
      <c r="P13216" s="46">
        <v>3600.0</v>
      </c>
    </row>
    <row r="13217">
      <c r="A13217" s="40">
        <f t="shared" si="1"/>
        <v>46013</v>
      </c>
      <c r="B13217" s="37" t="str">
        <f t="array" ref="B13217">iferror(xlookup($I13217, 'IMPORT VHC Report'!$E:$E, 'IMPORT VHC Report'!$A:$C), )</f>
        <v/>
      </c>
      <c r="C13217" s="44"/>
      <c r="D13217" s="44"/>
      <c r="E13217" s="46" t="s">
        <v>9288</v>
      </c>
      <c r="F13217" s="46" t="s">
        <v>3698</v>
      </c>
      <c r="G13217" s="46">
        <v>5.566828557583E12</v>
      </c>
      <c r="H13217" s="46" t="s">
        <v>3699</v>
      </c>
      <c r="I13217" s="46" t="s">
        <v>3700</v>
      </c>
      <c r="J13217" s="46" t="s">
        <v>134</v>
      </c>
      <c r="K13217" s="46" t="s">
        <v>126</v>
      </c>
      <c r="L13217" s="45">
        <v>46014.645833333336</v>
      </c>
      <c r="M13217" s="46" t="s">
        <v>123</v>
      </c>
      <c r="N13217" s="45">
        <v>46014.65625</v>
      </c>
      <c r="O13217" s="46" t="s">
        <v>123</v>
      </c>
      <c r="P13217" s="46">
        <v>900.0</v>
      </c>
    </row>
    <row r="13218">
      <c r="A13218" s="40">
        <f t="shared" si="1"/>
        <v>46013</v>
      </c>
      <c r="B13218" s="37" t="str">
        <f t="array" ref="B13218">iferror(xlookup($I13218, 'IMPORT VHC Report'!$E:$E, 'IMPORT VHC Report'!$A:$C), )</f>
        <v/>
      </c>
      <c r="C13218" s="44"/>
      <c r="D13218" s="44"/>
      <c r="E13218" s="46" t="s">
        <v>9289</v>
      </c>
      <c r="F13218" s="46" t="s">
        <v>3698</v>
      </c>
      <c r="G13218" s="46">
        <v>5.566828557583E12</v>
      </c>
      <c r="H13218" s="46" t="s">
        <v>3699</v>
      </c>
      <c r="I13218" s="46" t="s">
        <v>3700</v>
      </c>
      <c r="J13218" s="46" t="s">
        <v>134</v>
      </c>
      <c r="K13218" s="46" t="s">
        <v>126</v>
      </c>
      <c r="L13218" s="45">
        <v>46014.65625</v>
      </c>
      <c r="M13218" s="46" t="s">
        <v>123</v>
      </c>
      <c r="N13218" s="45">
        <v>46014.666666666664</v>
      </c>
      <c r="O13218" s="46" t="s">
        <v>123</v>
      </c>
      <c r="P13218" s="46">
        <v>900.0</v>
      </c>
    </row>
    <row r="13219">
      <c r="A13219" s="40">
        <f t="shared" si="1"/>
        <v>46013</v>
      </c>
      <c r="B13219" s="37" t="str">
        <f t="array" ref="B13219">iferror(xlookup($I13219, 'IMPORT VHC Report'!$E:$E, 'IMPORT VHC Report'!$A:$C), )</f>
        <v/>
      </c>
      <c r="C13219" s="44"/>
      <c r="D13219" s="44"/>
      <c r="E13219" s="46" t="s">
        <v>9290</v>
      </c>
      <c r="F13219" s="46" t="s">
        <v>3698</v>
      </c>
      <c r="G13219" s="46">
        <v>5.566828557583E12</v>
      </c>
      <c r="H13219" s="46" t="s">
        <v>3699</v>
      </c>
      <c r="I13219" s="46" t="s">
        <v>3700</v>
      </c>
      <c r="J13219" s="46" t="s">
        <v>4</v>
      </c>
      <c r="K13219" s="46" t="s">
        <v>126</v>
      </c>
      <c r="L13219" s="45">
        <v>46014.666666666664</v>
      </c>
      <c r="M13219" s="46" t="s">
        <v>123</v>
      </c>
      <c r="N13219" s="45">
        <v>46014.6875</v>
      </c>
      <c r="O13219" s="46" t="s">
        <v>123</v>
      </c>
      <c r="P13219" s="46">
        <v>1800.0</v>
      </c>
      <c r="S13219" s="46" t="s">
        <v>9291</v>
      </c>
    </row>
    <row r="13220">
      <c r="A13220" s="40">
        <f t="shared" si="1"/>
        <v>46013</v>
      </c>
      <c r="B13220" s="37" t="str">
        <f t="array" ref="B13220">iferror(xlookup($I13220, 'IMPORT VHC Report'!$E:$E, 'IMPORT VHC Report'!$A:$C), )</f>
        <v/>
      </c>
      <c r="C13220" s="44"/>
      <c r="D13220" s="44"/>
      <c r="E13220" s="46" t="s">
        <v>9292</v>
      </c>
      <c r="F13220" s="46" t="s">
        <v>3698</v>
      </c>
      <c r="G13220" s="46">
        <v>5.566828557583E12</v>
      </c>
      <c r="H13220" s="46" t="s">
        <v>3699</v>
      </c>
      <c r="I13220" s="46" t="s">
        <v>3700</v>
      </c>
      <c r="J13220" s="46" t="s">
        <v>136</v>
      </c>
      <c r="K13220" s="46" t="s">
        <v>126</v>
      </c>
      <c r="L13220" s="45">
        <v>46014.708333333336</v>
      </c>
      <c r="M13220" s="46" t="s">
        <v>123</v>
      </c>
      <c r="N13220" s="45">
        <v>46014.75</v>
      </c>
      <c r="O13220" s="46" t="s">
        <v>123</v>
      </c>
      <c r="P13220" s="46">
        <v>3600.0</v>
      </c>
      <c r="S13220" s="46" t="s">
        <v>137</v>
      </c>
    </row>
    <row r="13221">
      <c r="A13221" s="40">
        <f t="shared" si="1"/>
        <v>46013</v>
      </c>
      <c r="B13221" s="37" t="str">
        <f t="array" ref="B13221">iferror(xlookup($I13221, 'IMPORT VHC Report'!$E:$E, 'IMPORT VHC Report'!$A:$C), )</f>
        <v/>
      </c>
      <c r="C13221" s="44"/>
      <c r="D13221" s="44"/>
      <c r="E13221" s="46" t="s">
        <v>9293</v>
      </c>
      <c r="F13221" s="46" t="s">
        <v>3698</v>
      </c>
      <c r="G13221" s="46">
        <v>5.566828557583E12</v>
      </c>
      <c r="H13221" s="46" t="s">
        <v>3699</v>
      </c>
      <c r="I13221" s="46" t="s">
        <v>3700</v>
      </c>
      <c r="J13221" s="46" t="s">
        <v>178</v>
      </c>
      <c r="K13221" s="46" t="s">
        <v>153</v>
      </c>
      <c r="L13221" s="45">
        <v>46015.416666666664</v>
      </c>
      <c r="M13221" s="46" t="s">
        <v>123</v>
      </c>
      <c r="N13221" s="45">
        <v>46015.791666666664</v>
      </c>
      <c r="O13221" s="46" t="s">
        <v>123</v>
      </c>
      <c r="P13221" s="46">
        <v>32400.0</v>
      </c>
      <c r="Q13221" s="46">
        <v>32400.0</v>
      </c>
    </row>
    <row r="13222">
      <c r="A13222" s="40">
        <f t="shared" si="1"/>
        <v>46013</v>
      </c>
      <c r="B13222" s="37" t="str">
        <f t="array" ref="B13222">iferror(xlookup($I13222, 'IMPORT VHC Report'!$E:$E, 'IMPORT VHC Report'!$A:$C), )</f>
        <v/>
      </c>
      <c r="C13222" s="44"/>
      <c r="D13222" s="44"/>
      <c r="E13222" s="46" t="s">
        <v>9294</v>
      </c>
      <c r="F13222" s="46" t="s">
        <v>3698</v>
      </c>
      <c r="G13222" s="46">
        <v>5.566828557583E12</v>
      </c>
      <c r="H13222" s="46" t="s">
        <v>3699</v>
      </c>
      <c r="I13222" s="46" t="s">
        <v>3700</v>
      </c>
      <c r="J13222" s="46" t="s">
        <v>224</v>
      </c>
      <c r="K13222" s="46" t="s">
        <v>63</v>
      </c>
      <c r="L13222" s="45">
        <v>46015.416666666664</v>
      </c>
      <c r="M13222" s="46" t="s">
        <v>123</v>
      </c>
      <c r="N13222" s="45">
        <v>46015.791666666664</v>
      </c>
      <c r="O13222" s="46" t="s">
        <v>123</v>
      </c>
      <c r="P13222" s="46">
        <v>32400.0</v>
      </c>
    </row>
    <row r="13223">
      <c r="A13223" s="40">
        <f t="shared" si="1"/>
        <v>46013</v>
      </c>
      <c r="B13223" s="37" t="str">
        <f t="array" ref="B13223">iferror(xlookup($I13223, 'IMPORT VHC Report'!$E:$E, 'IMPORT VHC Report'!$A:$C), )</f>
        <v/>
      </c>
      <c r="C13223" s="44"/>
      <c r="D13223" s="44"/>
      <c r="E13223" s="46" t="s">
        <v>9295</v>
      </c>
      <c r="F13223" s="46" t="s">
        <v>3698</v>
      </c>
      <c r="G13223" s="46">
        <v>5.566828557583E12</v>
      </c>
      <c r="H13223" s="46" t="s">
        <v>3699</v>
      </c>
      <c r="I13223" s="46" t="s">
        <v>3700</v>
      </c>
      <c r="J13223" s="46" t="s">
        <v>134</v>
      </c>
      <c r="K13223" s="46" t="s">
        <v>126</v>
      </c>
      <c r="L13223" s="45">
        <v>46015.53125</v>
      </c>
      <c r="M13223" s="46" t="s">
        <v>123</v>
      </c>
      <c r="N13223" s="45">
        <v>46015.541666666664</v>
      </c>
      <c r="O13223" s="46" t="s">
        <v>123</v>
      </c>
      <c r="P13223" s="46">
        <v>900.0</v>
      </c>
    </row>
    <row r="13224">
      <c r="A13224" s="40">
        <f t="shared" si="1"/>
        <v>46013</v>
      </c>
      <c r="B13224" s="37" t="str">
        <f t="array" ref="B13224">iferror(xlookup($I13224, 'IMPORT VHC Report'!$E:$E, 'IMPORT VHC Report'!$A:$C), )</f>
        <v/>
      </c>
      <c r="C13224" s="44"/>
      <c r="D13224" s="44"/>
      <c r="E13224" s="46" t="s">
        <v>9296</v>
      </c>
      <c r="F13224" s="46" t="s">
        <v>3698</v>
      </c>
      <c r="G13224" s="46">
        <v>5.566828557583E12</v>
      </c>
      <c r="H13224" s="46" t="s">
        <v>3699</v>
      </c>
      <c r="I13224" s="46" t="s">
        <v>3700</v>
      </c>
      <c r="J13224" s="46" t="s">
        <v>134</v>
      </c>
      <c r="K13224" s="46" t="s">
        <v>126</v>
      </c>
      <c r="L13224" s="45">
        <v>46015.604166666664</v>
      </c>
      <c r="M13224" s="46" t="s">
        <v>123</v>
      </c>
      <c r="N13224" s="45">
        <v>46015.614583333336</v>
      </c>
      <c r="O13224" s="46" t="s">
        <v>123</v>
      </c>
      <c r="P13224" s="46">
        <v>900.0</v>
      </c>
    </row>
    <row r="13225">
      <c r="A13225" s="40">
        <f t="shared" si="1"/>
        <v>46013</v>
      </c>
      <c r="B13225" s="37" t="str">
        <f t="array" ref="B13225">iferror(xlookup($I13225, 'IMPORT VHC Report'!$E:$E, 'IMPORT VHC Report'!$A:$C), )</f>
        <v/>
      </c>
      <c r="C13225" s="44"/>
      <c r="D13225" s="44"/>
      <c r="E13225" s="46" t="s">
        <v>9297</v>
      </c>
      <c r="F13225" s="46" t="s">
        <v>3698</v>
      </c>
      <c r="G13225" s="46">
        <v>5.566828557583E12</v>
      </c>
      <c r="H13225" s="46" t="s">
        <v>3699</v>
      </c>
      <c r="I13225" s="46" t="s">
        <v>3700</v>
      </c>
      <c r="J13225" s="46" t="s">
        <v>132</v>
      </c>
      <c r="K13225" s="46" t="s">
        <v>126</v>
      </c>
      <c r="L13225" s="45">
        <v>46015.677083333336</v>
      </c>
      <c r="M13225" s="46" t="s">
        <v>123</v>
      </c>
      <c r="N13225" s="45">
        <v>46015.71875</v>
      </c>
      <c r="O13225" s="46" t="s">
        <v>123</v>
      </c>
      <c r="P13225" s="46">
        <v>3600.0</v>
      </c>
    </row>
    <row r="13226">
      <c r="A13226" s="40">
        <f t="shared" si="1"/>
        <v>46013</v>
      </c>
      <c r="B13226" s="37" t="str">
        <f t="array" ref="B13226">iferror(xlookup($I13226, 'IMPORT VHC Report'!$E:$E, 'IMPORT VHC Report'!$A:$C), )</f>
        <v/>
      </c>
      <c r="C13226" s="44"/>
      <c r="D13226" s="44"/>
      <c r="E13226" s="46" t="s">
        <v>9298</v>
      </c>
      <c r="F13226" s="46" t="s">
        <v>3698</v>
      </c>
      <c r="G13226" s="46">
        <v>5.566828557583E12</v>
      </c>
      <c r="H13226" s="46" t="s">
        <v>3699</v>
      </c>
      <c r="I13226" s="46" t="s">
        <v>3700</v>
      </c>
      <c r="J13226" s="46" t="s">
        <v>224</v>
      </c>
      <c r="K13226" s="46" t="s">
        <v>63</v>
      </c>
      <c r="L13226" s="45">
        <v>46016.416666666664</v>
      </c>
      <c r="M13226" s="46" t="s">
        <v>123</v>
      </c>
      <c r="N13226" s="45">
        <v>46016.791666666664</v>
      </c>
      <c r="O13226" s="46" t="s">
        <v>123</v>
      </c>
      <c r="P13226" s="46">
        <v>32400.0</v>
      </c>
    </row>
    <row r="13227">
      <c r="A13227" s="40">
        <f t="shared" si="1"/>
        <v>46013</v>
      </c>
      <c r="B13227" s="37" t="str">
        <f t="array" ref="B13227">iferror(xlookup($I13227, 'IMPORT VHC Report'!$E:$E, 'IMPORT VHC Report'!$A:$C), )</f>
        <v/>
      </c>
      <c r="C13227" s="44"/>
      <c r="D13227" s="44"/>
      <c r="E13227" s="46" t="s">
        <v>9299</v>
      </c>
      <c r="F13227" s="46" t="s">
        <v>3698</v>
      </c>
      <c r="G13227" s="46">
        <v>5.566828557583E12</v>
      </c>
      <c r="H13227" s="46" t="s">
        <v>3699</v>
      </c>
      <c r="I13227" s="46" t="s">
        <v>3700</v>
      </c>
      <c r="J13227" s="46" t="s">
        <v>178</v>
      </c>
      <c r="K13227" s="46" t="s">
        <v>153</v>
      </c>
      <c r="L13227" s="45">
        <v>46016.416666666664</v>
      </c>
      <c r="M13227" s="46" t="s">
        <v>123</v>
      </c>
      <c r="N13227" s="45">
        <v>46016.791666666664</v>
      </c>
      <c r="O13227" s="46" t="s">
        <v>123</v>
      </c>
      <c r="P13227" s="46">
        <v>32400.0</v>
      </c>
      <c r="Q13227" s="46">
        <v>32400.0</v>
      </c>
    </row>
    <row r="13228">
      <c r="A13228" s="40">
        <f t="shared" si="1"/>
        <v>46013</v>
      </c>
      <c r="B13228" s="37" t="str">
        <f t="array" ref="B13228">iferror(xlookup($I13228, 'IMPORT VHC Report'!$E:$E, 'IMPORT VHC Report'!$A:$C), )</f>
        <v/>
      </c>
      <c r="C13228" s="44"/>
      <c r="D13228" s="44"/>
      <c r="E13228" s="46" t="s">
        <v>9300</v>
      </c>
      <c r="F13228" s="46" t="s">
        <v>3698</v>
      </c>
      <c r="G13228" s="46">
        <v>5.566828557583E12</v>
      </c>
      <c r="H13228" s="46" t="s">
        <v>3699</v>
      </c>
      <c r="I13228" s="46" t="s">
        <v>3700</v>
      </c>
      <c r="J13228" s="46" t="s">
        <v>134</v>
      </c>
      <c r="K13228" s="46" t="s">
        <v>126</v>
      </c>
      <c r="L13228" s="45">
        <v>46016.520833333336</v>
      </c>
      <c r="M13228" s="46" t="s">
        <v>123</v>
      </c>
      <c r="N13228" s="45">
        <v>46016.53125</v>
      </c>
      <c r="O13228" s="46" t="s">
        <v>123</v>
      </c>
      <c r="P13228" s="46">
        <v>900.0</v>
      </c>
    </row>
    <row r="13229">
      <c r="A13229" s="40">
        <f t="shared" si="1"/>
        <v>46013</v>
      </c>
      <c r="B13229" s="37" t="str">
        <f t="array" ref="B13229">iferror(xlookup($I13229, 'IMPORT VHC Report'!$E:$E, 'IMPORT VHC Report'!$A:$C), )</f>
        <v/>
      </c>
      <c r="C13229" s="44"/>
      <c r="D13229" s="44"/>
      <c r="E13229" s="46" t="s">
        <v>9301</v>
      </c>
      <c r="F13229" s="46" t="s">
        <v>3698</v>
      </c>
      <c r="G13229" s="46">
        <v>5.566828557583E12</v>
      </c>
      <c r="H13229" s="46" t="s">
        <v>3699</v>
      </c>
      <c r="I13229" s="46" t="s">
        <v>3700</v>
      </c>
      <c r="J13229" s="46" t="s">
        <v>134</v>
      </c>
      <c r="K13229" s="46" t="s">
        <v>126</v>
      </c>
      <c r="L13229" s="45">
        <v>46016.604166666664</v>
      </c>
      <c r="M13229" s="46" t="s">
        <v>123</v>
      </c>
      <c r="N13229" s="45">
        <v>46016.614583333336</v>
      </c>
      <c r="O13229" s="46" t="s">
        <v>123</v>
      </c>
      <c r="P13229" s="46">
        <v>900.0</v>
      </c>
    </row>
    <row r="13230">
      <c r="A13230" s="40">
        <f t="shared" si="1"/>
        <v>46013</v>
      </c>
      <c r="B13230" s="37" t="str">
        <f t="array" ref="B13230">iferror(xlookup($I13230, 'IMPORT VHC Report'!$E:$E, 'IMPORT VHC Report'!$A:$C), )</f>
        <v/>
      </c>
      <c r="C13230" s="44"/>
      <c r="D13230" s="44"/>
      <c r="E13230" s="46" t="s">
        <v>9302</v>
      </c>
      <c r="F13230" s="46" t="s">
        <v>3698</v>
      </c>
      <c r="G13230" s="46">
        <v>5.566828557583E12</v>
      </c>
      <c r="H13230" s="46" t="s">
        <v>3699</v>
      </c>
      <c r="I13230" s="46" t="s">
        <v>3700</v>
      </c>
      <c r="J13230" s="46" t="s">
        <v>132</v>
      </c>
      <c r="K13230" s="46" t="s">
        <v>126</v>
      </c>
      <c r="L13230" s="45">
        <v>46016.677083333336</v>
      </c>
      <c r="M13230" s="46" t="s">
        <v>123</v>
      </c>
      <c r="N13230" s="45">
        <v>46016.71875</v>
      </c>
      <c r="O13230" s="46" t="s">
        <v>123</v>
      </c>
      <c r="P13230" s="46">
        <v>3600.0</v>
      </c>
    </row>
    <row r="13231">
      <c r="A13231" s="40">
        <f t="shared" si="1"/>
        <v>46013</v>
      </c>
      <c r="B13231" s="37" t="str">
        <f t="array" ref="B13231">iferror(xlookup($I13231, 'IMPORT VHC Report'!$E:$E, 'IMPORT VHC Report'!$A:$C), )</f>
        <v/>
      </c>
      <c r="C13231" s="44"/>
      <c r="D13231" s="44"/>
      <c r="E13231" s="46" t="s">
        <v>9303</v>
      </c>
      <c r="F13231" s="46" t="s">
        <v>3698</v>
      </c>
      <c r="G13231" s="46">
        <v>5.566828557583E12</v>
      </c>
      <c r="H13231" s="46" t="s">
        <v>3699</v>
      </c>
      <c r="I13231" s="46" t="s">
        <v>3700</v>
      </c>
      <c r="J13231" s="46" t="s">
        <v>224</v>
      </c>
      <c r="K13231" s="46" t="s">
        <v>63</v>
      </c>
      <c r="L13231" s="45">
        <v>46019.416666666664</v>
      </c>
      <c r="M13231" s="46" t="s">
        <v>123</v>
      </c>
      <c r="N13231" s="45">
        <v>46019.458333333336</v>
      </c>
      <c r="O13231" s="46" t="s">
        <v>123</v>
      </c>
      <c r="P13231" s="46">
        <v>3600.0</v>
      </c>
    </row>
    <row r="13232">
      <c r="A13232" s="40">
        <f t="shared" si="1"/>
        <v>46013</v>
      </c>
      <c r="B13232" s="37" t="str">
        <f t="array" ref="B13232">iferror(xlookup($I13232, 'IMPORT VHC Report'!$E:$E, 'IMPORT VHC Report'!$A:$C), )</f>
        <v/>
      </c>
      <c r="C13232" s="44"/>
      <c r="D13232" s="44"/>
      <c r="E13232" s="46" t="s">
        <v>9304</v>
      </c>
      <c r="F13232" s="46" t="s">
        <v>3698</v>
      </c>
      <c r="G13232" s="46">
        <v>5.566828557583E12</v>
      </c>
      <c r="H13232" s="46" t="s">
        <v>3699</v>
      </c>
      <c r="I13232" s="46" t="s">
        <v>3700</v>
      </c>
      <c r="J13232" s="46" t="s">
        <v>152</v>
      </c>
      <c r="K13232" s="46" t="s">
        <v>153</v>
      </c>
      <c r="L13232" s="45">
        <v>46019.416666666664</v>
      </c>
      <c r="M13232" s="46" t="s">
        <v>123</v>
      </c>
      <c r="N13232" s="45">
        <v>46019.583333333336</v>
      </c>
      <c r="O13232" s="46" t="s">
        <v>123</v>
      </c>
      <c r="P13232" s="46">
        <v>14400.0</v>
      </c>
      <c r="Q13232" s="46">
        <v>14400.0</v>
      </c>
    </row>
    <row r="13233">
      <c r="A13233" s="40">
        <f t="shared" si="1"/>
        <v>46013</v>
      </c>
      <c r="B13233" s="37" t="str">
        <f t="array" ref="B13233">iferror(xlookup($I13233, 'IMPORT VHC Report'!$E:$E, 'IMPORT VHC Report'!$A:$C), )</f>
        <v/>
      </c>
      <c r="C13233" s="44"/>
      <c r="D13233" s="44"/>
      <c r="E13233" s="46" t="s">
        <v>9305</v>
      </c>
      <c r="F13233" s="46" t="s">
        <v>3698</v>
      </c>
      <c r="G13233" s="46">
        <v>5.566828557583E12</v>
      </c>
      <c r="H13233" s="46" t="s">
        <v>3699</v>
      </c>
      <c r="I13233" s="46" t="s">
        <v>3700</v>
      </c>
      <c r="J13233" s="46" t="s">
        <v>62</v>
      </c>
      <c r="K13233" s="46" t="s">
        <v>63</v>
      </c>
      <c r="L13233" s="45">
        <v>46019.458333333336</v>
      </c>
      <c r="M13233" s="46" t="s">
        <v>123</v>
      </c>
      <c r="N13233" s="45">
        <v>46019.479166666664</v>
      </c>
      <c r="O13233" s="46" t="s">
        <v>123</v>
      </c>
      <c r="P13233" s="46">
        <v>1800.0</v>
      </c>
    </row>
    <row r="13234">
      <c r="A13234" s="40">
        <f t="shared" si="1"/>
        <v>46013</v>
      </c>
      <c r="B13234" s="37" t="str">
        <f t="array" ref="B13234">iferror(xlookup($I13234, 'IMPORT VHC Report'!$E:$E, 'IMPORT VHC Report'!$A:$C), )</f>
        <v/>
      </c>
      <c r="C13234" s="44"/>
      <c r="D13234" s="44"/>
      <c r="E13234" s="46" t="s">
        <v>9306</v>
      </c>
      <c r="F13234" s="46" t="s">
        <v>3698</v>
      </c>
      <c r="G13234" s="46">
        <v>5.566828557583E12</v>
      </c>
      <c r="H13234" s="46" t="s">
        <v>3699</v>
      </c>
      <c r="I13234" s="46" t="s">
        <v>3700</v>
      </c>
      <c r="J13234" s="46" t="s">
        <v>224</v>
      </c>
      <c r="K13234" s="46" t="s">
        <v>63</v>
      </c>
      <c r="L13234" s="45">
        <v>46019.479166666664</v>
      </c>
      <c r="M13234" s="46" t="s">
        <v>123</v>
      </c>
      <c r="N13234" s="45">
        <v>46019.791666666664</v>
      </c>
      <c r="O13234" s="46" t="s">
        <v>123</v>
      </c>
      <c r="P13234" s="46">
        <v>27000.0</v>
      </c>
    </row>
    <row r="13235">
      <c r="A13235" s="40">
        <f t="shared" si="1"/>
        <v>46013</v>
      </c>
      <c r="B13235" s="37" t="str">
        <f t="array" ref="B13235">iferror(xlookup($I13235, 'IMPORT VHC Report'!$E:$E, 'IMPORT VHC Report'!$A:$C), )</f>
        <v/>
      </c>
      <c r="C13235" s="44"/>
      <c r="D13235" s="44"/>
      <c r="E13235" s="46" t="s">
        <v>9307</v>
      </c>
      <c r="F13235" s="46" t="s">
        <v>3698</v>
      </c>
      <c r="G13235" s="46">
        <v>5.566828557583E12</v>
      </c>
      <c r="H13235" s="46" t="s">
        <v>3699</v>
      </c>
      <c r="I13235" s="46" t="s">
        <v>3700</v>
      </c>
      <c r="J13235" s="46" t="s">
        <v>134</v>
      </c>
      <c r="K13235" s="46" t="s">
        <v>126</v>
      </c>
      <c r="L13235" s="45">
        <v>46019.53125</v>
      </c>
      <c r="M13235" s="46" t="s">
        <v>123</v>
      </c>
      <c r="N13235" s="45">
        <v>46019.541666666664</v>
      </c>
      <c r="O13235" s="46" t="s">
        <v>123</v>
      </c>
      <c r="P13235" s="46">
        <v>900.0</v>
      </c>
    </row>
    <row r="13236">
      <c r="A13236" s="40">
        <f t="shared" si="1"/>
        <v>46013</v>
      </c>
      <c r="B13236" s="37" t="str">
        <f t="array" ref="B13236">iferror(xlookup($I13236, 'IMPORT VHC Report'!$E:$E, 'IMPORT VHC Report'!$A:$C), )</f>
        <v/>
      </c>
      <c r="C13236" s="44"/>
      <c r="D13236" s="44"/>
      <c r="E13236" s="46" t="s">
        <v>9308</v>
      </c>
      <c r="F13236" s="46" t="s">
        <v>3698</v>
      </c>
      <c r="G13236" s="46">
        <v>5.566828557583E12</v>
      </c>
      <c r="H13236" s="46" t="s">
        <v>3699</v>
      </c>
      <c r="I13236" s="46" t="s">
        <v>3700</v>
      </c>
      <c r="J13236" s="46" t="s">
        <v>132</v>
      </c>
      <c r="K13236" s="46" t="s">
        <v>126</v>
      </c>
      <c r="L13236" s="45">
        <v>46019.583333333336</v>
      </c>
      <c r="M13236" s="46" t="s">
        <v>123</v>
      </c>
      <c r="N13236" s="45">
        <v>46019.625</v>
      </c>
      <c r="O13236" s="46" t="s">
        <v>123</v>
      </c>
      <c r="P13236" s="46">
        <v>3600.0</v>
      </c>
    </row>
    <row r="13237">
      <c r="A13237" s="40">
        <f t="shared" si="1"/>
        <v>46013</v>
      </c>
      <c r="B13237" s="37" t="str">
        <f t="array" ref="B13237">iferror(xlookup($I13237, 'IMPORT VHC Report'!$E:$E, 'IMPORT VHC Report'!$A:$C), )</f>
        <v/>
      </c>
      <c r="C13237" s="44"/>
      <c r="D13237" s="44"/>
      <c r="E13237" s="46" t="s">
        <v>9309</v>
      </c>
      <c r="F13237" s="46" t="s">
        <v>3698</v>
      </c>
      <c r="G13237" s="46">
        <v>5.566828557583E12</v>
      </c>
      <c r="H13237" s="46" t="s">
        <v>3699</v>
      </c>
      <c r="I13237" s="46" t="s">
        <v>3700</v>
      </c>
      <c r="J13237" s="46" t="s">
        <v>134</v>
      </c>
      <c r="K13237" s="46" t="s">
        <v>126</v>
      </c>
      <c r="L13237" s="45">
        <v>46019.71875</v>
      </c>
      <c r="M13237" s="46" t="s">
        <v>123</v>
      </c>
      <c r="N13237" s="45">
        <v>46019.729166666664</v>
      </c>
      <c r="O13237" s="46" t="s">
        <v>123</v>
      </c>
      <c r="P13237" s="46">
        <v>900.0</v>
      </c>
    </row>
    <row r="13238">
      <c r="A13238" s="40">
        <f t="shared" si="1"/>
        <v>46013</v>
      </c>
      <c r="B13238" s="37" t="str">
        <f t="array" ref="B13238">iferror(xlookup($I13238, 'IMPORT VHC Report'!$E:$E, 'IMPORT VHC Report'!$A:$C), )</f>
        <v/>
      </c>
      <c r="C13238" s="44"/>
      <c r="D13238" s="44"/>
      <c r="E13238" s="46" t="s">
        <v>9310</v>
      </c>
      <c r="F13238" s="46" t="s">
        <v>3847</v>
      </c>
      <c r="G13238" s="46">
        <v>5.202378916623E12</v>
      </c>
      <c r="H13238" s="46" t="s">
        <v>3848</v>
      </c>
      <c r="I13238" s="46" t="s">
        <v>3849</v>
      </c>
      <c r="J13238" s="46" t="s">
        <v>224</v>
      </c>
      <c r="K13238" s="46" t="s">
        <v>63</v>
      </c>
      <c r="L13238" s="45">
        <v>46013.458333333336</v>
      </c>
      <c r="M13238" s="46" t="s">
        <v>123</v>
      </c>
      <c r="N13238" s="45">
        <v>46013.833333333336</v>
      </c>
      <c r="O13238" s="46" t="s">
        <v>123</v>
      </c>
      <c r="P13238" s="46">
        <v>32400.0</v>
      </c>
    </row>
    <row r="13239">
      <c r="A13239" s="40">
        <f t="shared" si="1"/>
        <v>46013</v>
      </c>
      <c r="B13239" s="37" t="str">
        <f t="array" ref="B13239">iferror(xlookup($I13239, 'IMPORT VHC Report'!$E:$E, 'IMPORT VHC Report'!$A:$C), )</f>
        <v/>
      </c>
      <c r="C13239" s="44"/>
      <c r="D13239" s="44"/>
      <c r="E13239" s="46" t="s">
        <v>9311</v>
      </c>
      <c r="F13239" s="46" t="s">
        <v>3847</v>
      </c>
      <c r="G13239" s="46">
        <v>5.202378916623E12</v>
      </c>
      <c r="H13239" s="46" t="s">
        <v>3848</v>
      </c>
      <c r="I13239" s="46" t="s">
        <v>3849</v>
      </c>
      <c r="J13239" s="46" t="s">
        <v>132</v>
      </c>
      <c r="K13239" s="46" t="s">
        <v>126</v>
      </c>
      <c r="L13239" s="45">
        <v>46013.572916666664</v>
      </c>
      <c r="M13239" s="46" t="s">
        <v>123</v>
      </c>
      <c r="N13239" s="45">
        <v>46013.614583333336</v>
      </c>
      <c r="O13239" s="46" t="s">
        <v>123</v>
      </c>
      <c r="P13239" s="46">
        <v>3600.0</v>
      </c>
    </row>
    <row r="13240">
      <c r="A13240" s="40">
        <f t="shared" si="1"/>
        <v>46013</v>
      </c>
      <c r="B13240" s="37" t="str">
        <f t="array" ref="B13240">iferror(xlookup($I13240, 'IMPORT VHC Report'!$E:$E, 'IMPORT VHC Report'!$A:$C), )</f>
        <v/>
      </c>
      <c r="C13240" s="44"/>
      <c r="D13240" s="44"/>
      <c r="E13240" s="46" t="s">
        <v>9312</v>
      </c>
      <c r="F13240" s="46" t="s">
        <v>3847</v>
      </c>
      <c r="G13240" s="46">
        <v>5.202378916623E12</v>
      </c>
      <c r="H13240" s="46" t="s">
        <v>3848</v>
      </c>
      <c r="I13240" s="46" t="s">
        <v>3849</v>
      </c>
      <c r="J13240" s="46" t="s">
        <v>134</v>
      </c>
      <c r="K13240" s="46" t="s">
        <v>126</v>
      </c>
      <c r="L13240" s="45">
        <v>46013.677083333336</v>
      </c>
      <c r="M13240" s="46" t="s">
        <v>123</v>
      </c>
      <c r="N13240" s="45">
        <v>46013.6875</v>
      </c>
      <c r="O13240" s="46" t="s">
        <v>123</v>
      </c>
      <c r="P13240" s="46">
        <v>900.0</v>
      </c>
    </row>
    <row r="13241">
      <c r="A13241" s="40">
        <f t="shared" si="1"/>
        <v>46013</v>
      </c>
      <c r="B13241" s="37" t="str">
        <f t="array" ref="B13241">iferror(xlookup($I13241, 'IMPORT VHC Report'!$E:$E, 'IMPORT VHC Report'!$A:$C), )</f>
        <v/>
      </c>
      <c r="C13241" s="44"/>
      <c r="D13241" s="44"/>
      <c r="E13241" s="46" t="s">
        <v>9313</v>
      </c>
      <c r="F13241" s="46" t="s">
        <v>3847</v>
      </c>
      <c r="G13241" s="46">
        <v>5.202378916623E12</v>
      </c>
      <c r="H13241" s="46" t="s">
        <v>3848</v>
      </c>
      <c r="I13241" s="46" t="s">
        <v>3849</v>
      </c>
      <c r="J13241" s="46" t="s">
        <v>134</v>
      </c>
      <c r="K13241" s="46" t="s">
        <v>126</v>
      </c>
      <c r="L13241" s="45">
        <v>46013.75</v>
      </c>
      <c r="M13241" s="46" t="s">
        <v>123</v>
      </c>
      <c r="N13241" s="45">
        <v>46013.760416666664</v>
      </c>
      <c r="O13241" s="46" t="s">
        <v>123</v>
      </c>
      <c r="P13241" s="46">
        <v>900.0</v>
      </c>
    </row>
    <row r="13242">
      <c r="A13242" s="40">
        <f t="shared" si="1"/>
        <v>46013</v>
      </c>
      <c r="B13242" s="37" t="str">
        <f t="array" ref="B13242">iferror(xlookup($I13242, 'IMPORT VHC Report'!$E:$E, 'IMPORT VHC Report'!$A:$C), )</f>
        <v/>
      </c>
      <c r="C13242" s="44"/>
      <c r="D13242" s="44"/>
      <c r="E13242" s="46" t="s">
        <v>9314</v>
      </c>
      <c r="F13242" s="46" t="s">
        <v>3847</v>
      </c>
      <c r="G13242" s="46">
        <v>5.202378916623E12</v>
      </c>
      <c r="H13242" s="46" t="s">
        <v>3848</v>
      </c>
      <c r="I13242" s="46" t="s">
        <v>3849</v>
      </c>
      <c r="J13242" s="46" t="s">
        <v>224</v>
      </c>
      <c r="K13242" s="46" t="s">
        <v>63</v>
      </c>
      <c r="L13242" s="45">
        <v>46014.458333333336</v>
      </c>
      <c r="M13242" s="46" t="s">
        <v>123</v>
      </c>
      <c r="N13242" s="45">
        <v>46014.479166666664</v>
      </c>
      <c r="O13242" s="46" t="s">
        <v>123</v>
      </c>
      <c r="P13242" s="46">
        <v>1800.0</v>
      </c>
    </row>
    <row r="13243">
      <c r="A13243" s="40">
        <f t="shared" si="1"/>
        <v>46013</v>
      </c>
      <c r="B13243" s="37" t="str">
        <f t="array" ref="B13243">iferror(xlookup($I13243, 'IMPORT VHC Report'!$E:$E, 'IMPORT VHC Report'!$A:$C), )</f>
        <v/>
      </c>
      <c r="C13243" s="44"/>
      <c r="D13243" s="44"/>
      <c r="E13243" s="46" t="s">
        <v>9315</v>
      </c>
      <c r="F13243" s="46" t="s">
        <v>3847</v>
      </c>
      <c r="G13243" s="46">
        <v>5.202378916623E12</v>
      </c>
      <c r="H13243" s="46" t="s">
        <v>3848</v>
      </c>
      <c r="I13243" s="46" t="s">
        <v>3849</v>
      </c>
      <c r="J13243" s="46" t="s">
        <v>62</v>
      </c>
      <c r="K13243" s="46" t="s">
        <v>63</v>
      </c>
      <c r="L13243" s="45">
        <v>46014.479166666664</v>
      </c>
      <c r="M13243" s="46" t="s">
        <v>123</v>
      </c>
      <c r="N13243" s="45">
        <v>46014.541666666664</v>
      </c>
      <c r="O13243" s="46" t="s">
        <v>123</v>
      </c>
      <c r="P13243" s="46">
        <v>5400.0</v>
      </c>
    </row>
    <row r="13244">
      <c r="A13244" s="40">
        <f t="shared" si="1"/>
        <v>46013</v>
      </c>
      <c r="B13244" s="37" t="str">
        <f t="array" ref="B13244">iferror(xlookup($I13244, 'IMPORT VHC Report'!$E:$E, 'IMPORT VHC Report'!$A:$C), )</f>
        <v/>
      </c>
      <c r="C13244" s="44"/>
      <c r="D13244" s="44"/>
      <c r="E13244" s="46" t="s">
        <v>9316</v>
      </c>
      <c r="F13244" s="46" t="s">
        <v>3847</v>
      </c>
      <c r="G13244" s="46">
        <v>5.202378916623E12</v>
      </c>
      <c r="H13244" s="46" t="s">
        <v>3848</v>
      </c>
      <c r="I13244" s="46" t="s">
        <v>3849</v>
      </c>
      <c r="J13244" s="46" t="s">
        <v>224</v>
      </c>
      <c r="K13244" s="46" t="s">
        <v>63</v>
      </c>
      <c r="L13244" s="45">
        <v>46014.541666666664</v>
      </c>
      <c r="M13244" s="46" t="s">
        <v>123</v>
      </c>
      <c r="N13244" s="45">
        <v>46014.833333333336</v>
      </c>
      <c r="O13244" s="46" t="s">
        <v>123</v>
      </c>
      <c r="P13244" s="46">
        <v>25200.0</v>
      </c>
    </row>
    <row r="13245">
      <c r="A13245" s="40">
        <f t="shared" si="1"/>
        <v>46013</v>
      </c>
      <c r="B13245" s="37" t="str">
        <f t="array" ref="B13245">iferror(xlookup($I13245, 'IMPORT VHC Report'!$E:$E, 'IMPORT VHC Report'!$A:$C), )</f>
        <v/>
      </c>
      <c r="C13245" s="44"/>
      <c r="D13245" s="44"/>
      <c r="E13245" s="46" t="s">
        <v>9317</v>
      </c>
      <c r="F13245" s="46" t="s">
        <v>3847</v>
      </c>
      <c r="G13245" s="46">
        <v>5.202378916623E12</v>
      </c>
      <c r="H13245" s="46" t="s">
        <v>3848</v>
      </c>
      <c r="I13245" s="46" t="s">
        <v>3849</v>
      </c>
      <c r="J13245" s="46" t="s">
        <v>224</v>
      </c>
      <c r="K13245" s="46" t="s">
        <v>63</v>
      </c>
      <c r="L13245" s="45">
        <v>46014.5625</v>
      </c>
      <c r="M13245" s="46" t="s">
        <v>123</v>
      </c>
      <c r="N13245" s="45">
        <v>46014.604166666664</v>
      </c>
      <c r="O13245" s="46" t="s">
        <v>123</v>
      </c>
      <c r="P13245" s="46">
        <v>3600.0</v>
      </c>
    </row>
    <row r="13246">
      <c r="A13246" s="40">
        <f t="shared" si="1"/>
        <v>46013</v>
      </c>
      <c r="B13246" s="37" t="str">
        <f t="array" ref="B13246">iferror(xlookup($I13246, 'IMPORT VHC Report'!$E:$E, 'IMPORT VHC Report'!$A:$C), )</f>
        <v/>
      </c>
      <c r="C13246" s="44"/>
      <c r="D13246" s="44"/>
      <c r="E13246" s="46" t="s">
        <v>9318</v>
      </c>
      <c r="F13246" s="46" t="s">
        <v>3847</v>
      </c>
      <c r="G13246" s="46">
        <v>5.202378916623E12</v>
      </c>
      <c r="H13246" s="46" t="s">
        <v>3848</v>
      </c>
      <c r="I13246" s="46" t="s">
        <v>3849</v>
      </c>
      <c r="J13246" s="46" t="s">
        <v>224</v>
      </c>
      <c r="K13246" s="46" t="s">
        <v>63</v>
      </c>
      <c r="L13246" s="45">
        <v>46014.6875</v>
      </c>
      <c r="M13246" s="46" t="s">
        <v>123</v>
      </c>
      <c r="N13246" s="45">
        <v>46014.697916666664</v>
      </c>
      <c r="O13246" s="46" t="s">
        <v>123</v>
      </c>
      <c r="P13246" s="46">
        <v>900.0</v>
      </c>
    </row>
    <row r="13247">
      <c r="A13247" s="40">
        <f t="shared" si="1"/>
        <v>46013</v>
      </c>
      <c r="B13247" s="37" t="str">
        <f t="array" ref="B13247">iferror(xlookup($I13247, 'IMPORT VHC Report'!$E:$E, 'IMPORT VHC Report'!$A:$C), )</f>
        <v/>
      </c>
      <c r="C13247" s="44"/>
      <c r="D13247" s="44"/>
      <c r="E13247" s="46" t="s">
        <v>9319</v>
      </c>
      <c r="F13247" s="46" t="s">
        <v>3847</v>
      </c>
      <c r="G13247" s="46">
        <v>5.202378916623E12</v>
      </c>
      <c r="H13247" s="46" t="s">
        <v>3848</v>
      </c>
      <c r="I13247" s="46" t="s">
        <v>3849</v>
      </c>
      <c r="J13247" s="46" t="s">
        <v>136</v>
      </c>
      <c r="K13247" s="46" t="s">
        <v>126</v>
      </c>
      <c r="L13247" s="45">
        <v>46014.708333333336</v>
      </c>
      <c r="M13247" s="46" t="s">
        <v>123</v>
      </c>
      <c r="N13247" s="45">
        <v>46014.75</v>
      </c>
      <c r="O13247" s="46" t="s">
        <v>123</v>
      </c>
      <c r="P13247" s="46">
        <v>3600.0</v>
      </c>
      <c r="S13247" s="46" t="s">
        <v>137</v>
      </c>
    </row>
    <row r="13248">
      <c r="A13248" s="40">
        <f t="shared" si="1"/>
        <v>46013</v>
      </c>
      <c r="B13248" s="37" t="str">
        <f t="array" ref="B13248">iferror(xlookup($I13248, 'IMPORT VHC Report'!$E:$E, 'IMPORT VHC Report'!$A:$C), )</f>
        <v/>
      </c>
      <c r="C13248" s="44"/>
      <c r="D13248" s="44"/>
      <c r="E13248" s="46" t="s">
        <v>9320</v>
      </c>
      <c r="F13248" s="46" t="s">
        <v>3847</v>
      </c>
      <c r="G13248" s="46">
        <v>5.202378916623E12</v>
      </c>
      <c r="H13248" s="46" t="s">
        <v>3848</v>
      </c>
      <c r="I13248" s="46" t="s">
        <v>3849</v>
      </c>
      <c r="J13248" s="46" t="s">
        <v>224</v>
      </c>
      <c r="K13248" s="46" t="s">
        <v>63</v>
      </c>
      <c r="L13248" s="45">
        <v>46014.760416666664</v>
      </c>
      <c r="M13248" s="46" t="s">
        <v>123</v>
      </c>
      <c r="N13248" s="45">
        <v>46014.770833333336</v>
      </c>
      <c r="O13248" s="46" t="s">
        <v>123</v>
      </c>
      <c r="P13248" s="46">
        <v>900.0</v>
      </c>
    </row>
    <row r="13249">
      <c r="A13249" s="40">
        <f t="shared" si="1"/>
        <v>46013</v>
      </c>
      <c r="B13249" s="37" t="str">
        <f t="array" ref="B13249">iferror(xlookup($I13249, 'IMPORT VHC Report'!$E:$E, 'IMPORT VHC Report'!$A:$C), )</f>
        <v/>
      </c>
      <c r="C13249" s="44"/>
      <c r="D13249" s="44"/>
      <c r="E13249" s="46" t="s">
        <v>9321</v>
      </c>
      <c r="F13249" s="46" t="s">
        <v>3847</v>
      </c>
      <c r="G13249" s="46">
        <v>5.202378916623E12</v>
      </c>
      <c r="H13249" s="46" t="s">
        <v>3848</v>
      </c>
      <c r="I13249" s="46" t="s">
        <v>3849</v>
      </c>
      <c r="J13249" s="46" t="s">
        <v>132</v>
      </c>
      <c r="K13249" s="46" t="s">
        <v>126</v>
      </c>
      <c r="L13249" s="45">
        <v>46014.770833333336</v>
      </c>
      <c r="M13249" s="46" t="s">
        <v>123</v>
      </c>
      <c r="N13249" s="45">
        <v>46014.8125</v>
      </c>
      <c r="O13249" s="46" t="s">
        <v>123</v>
      </c>
      <c r="P13249" s="46">
        <v>3600.0</v>
      </c>
    </row>
    <row r="13250">
      <c r="A13250" s="40">
        <f t="shared" si="1"/>
        <v>46013</v>
      </c>
      <c r="B13250" s="37" t="str">
        <f t="array" ref="B13250">iferror(xlookup($I13250, 'IMPORT VHC Report'!$E:$E, 'IMPORT VHC Report'!$A:$C), )</f>
        <v/>
      </c>
      <c r="C13250" s="44"/>
      <c r="D13250" s="44"/>
      <c r="E13250" s="46" t="s">
        <v>9322</v>
      </c>
      <c r="F13250" s="46" t="s">
        <v>3847</v>
      </c>
      <c r="G13250" s="46">
        <v>5.202378916623E12</v>
      </c>
      <c r="H13250" s="46" t="s">
        <v>3848</v>
      </c>
      <c r="I13250" s="46" t="s">
        <v>3849</v>
      </c>
      <c r="J13250" s="46" t="s">
        <v>134</v>
      </c>
      <c r="K13250" s="46" t="s">
        <v>126</v>
      </c>
      <c r="L13250" s="45">
        <v>46014.8125</v>
      </c>
      <c r="M13250" s="46" t="s">
        <v>123</v>
      </c>
      <c r="N13250" s="45">
        <v>46014.833333333336</v>
      </c>
      <c r="O13250" s="46" t="s">
        <v>123</v>
      </c>
      <c r="P13250" s="46">
        <v>1800.0</v>
      </c>
    </row>
    <row r="13251">
      <c r="A13251" s="40">
        <f t="shared" si="1"/>
        <v>46013</v>
      </c>
      <c r="B13251" s="37" t="str">
        <f t="array" ref="B13251">iferror(xlookup($I13251, 'IMPORT VHC Report'!$E:$E, 'IMPORT VHC Report'!$A:$C), )</f>
        <v/>
      </c>
      <c r="C13251" s="44"/>
      <c r="D13251" s="44"/>
      <c r="E13251" s="46" t="s">
        <v>9323</v>
      </c>
      <c r="F13251" s="46" t="s">
        <v>3847</v>
      </c>
      <c r="G13251" s="46">
        <v>5.202378916623E12</v>
      </c>
      <c r="H13251" s="46" t="s">
        <v>3848</v>
      </c>
      <c r="I13251" s="46" t="s">
        <v>3849</v>
      </c>
      <c r="J13251" s="46" t="s">
        <v>224</v>
      </c>
      <c r="K13251" s="46" t="s">
        <v>63</v>
      </c>
      <c r="L13251" s="45">
        <v>46015.458333333336</v>
      </c>
      <c r="M13251" s="46" t="s">
        <v>123</v>
      </c>
      <c r="N13251" s="45">
        <v>46015.833333333336</v>
      </c>
      <c r="O13251" s="46" t="s">
        <v>123</v>
      </c>
      <c r="P13251" s="46">
        <v>32400.0</v>
      </c>
    </row>
    <row r="13252">
      <c r="A13252" s="40">
        <f t="shared" si="1"/>
        <v>46013</v>
      </c>
      <c r="B13252" s="37" t="str">
        <f t="array" ref="B13252">iferror(xlookup($I13252, 'IMPORT VHC Report'!$E:$E, 'IMPORT VHC Report'!$A:$C), )</f>
        <v/>
      </c>
      <c r="C13252" s="44"/>
      <c r="D13252" s="44"/>
      <c r="E13252" s="46" t="s">
        <v>9324</v>
      </c>
      <c r="F13252" s="46" t="s">
        <v>3847</v>
      </c>
      <c r="G13252" s="46">
        <v>5.202378916623E12</v>
      </c>
      <c r="H13252" s="46" t="s">
        <v>3848</v>
      </c>
      <c r="I13252" s="46" t="s">
        <v>3849</v>
      </c>
      <c r="J13252" s="46" t="s">
        <v>134</v>
      </c>
      <c r="K13252" s="46" t="s">
        <v>126</v>
      </c>
      <c r="L13252" s="45">
        <v>46015.541666666664</v>
      </c>
      <c r="M13252" s="46" t="s">
        <v>123</v>
      </c>
      <c r="N13252" s="45">
        <v>46015.552083333336</v>
      </c>
      <c r="O13252" s="46" t="s">
        <v>123</v>
      </c>
      <c r="P13252" s="46">
        <v>900.0</v>
      </c>
    </row>
    <row r="13253">
      <c r="A13253" s="40">
        <f t="shared" si="1"/>
        <v>46013</v>
      </c>
      <c r="B13253" s="37" t="str">
        <f t="array" ref="B13253">iferror(xlookup($I13253, 'IMPORT VHC Report'!$E:$E, 'IMPORT VHC Report'!$A:$C), )</f>
        <v/>
      </c>
      <c r="C13253" s="44"/>
      <c r="D13253" s="44"/>
      <c r="E13253" s="46" t="s">
        <v>9325</v>
      </c>
      <c r="F13253" s="46" t="s">
        <v>3847</v>
      </c>
      <c r="G13253" s="46">
        <v>5.202378916623E12</v>
      </c>
      <c r="H13253" s="46" t="s">
        <v>3848</v>
      </c>
      <c r="I13253" s="46" t="s">
        <v>3849</v>
      </c>
      <c r="J13253" s="46" t="s">
        <v>4</v>
      </c>
      <c r="K13253" s="46" t="s">
        <v>126</v>
      </c>
      <c r="L13253" s="45">
        <v>46015.614583333336</v>
      </c>
      <c r="M13253" s="46" t="s">
        <v>123</v>
      </c>
      <c r="N13253" s="45">
        <v>46015.625</v>
      </c>
      <c r="O13253" s="46" t="s">
        <v>123</v>
      </c>
      <c r="P13253" s="46">
        <v>900.0</v>
      </c>
      <c r="S13253" s="46" t="s">
        <v>3383</v>
      </c>
    </row>
    <row r="13254">
      <c r="A13254" s="40">
        <f t="shared" si="1"/>
        <v>46013</v>
      </c>
      <c r="B13254" s="37" t="str">
        <f t="array" ref="B13254">iferror(xlookup($I13254, 'IMPORT VHC Report'!$E:$E, 'IMPORT VHC Report'!$A:$C), )</f>
        <v/>
      </c>
      <c r="C13254" s="44"/>
      <c r="D13254" s="44"/>
      <c r="E13254" s="46" t="s">
        <v>9326</v>
      </c>
      <c r="F13254" s="46" t="s">
        <v>3847</v>
      </c>
      <c r="G13254" s="46">
        <v>5.202378916623E12</v>
      </c>
      <c r="H13254" s="46" t="s">
        <v>3848</v>
      </c>
      <c r="I13254" s="46" t="s">
        <v>3849</v>
      </c>
      <c r="J13254" s="46" t="s">
        <v>132</v>
      </c>
      <c r="K13254" s="46" t="s">
        <v>126</v>
      </c>
      <c r="L13254" s="45">
        <v>46015.625</v>
      </c>
      <c r="M13254" s="46" t="s">
        <v>123</v>
      </c>
      <c r="N13254" s="45">
        <v>46015.666666666664</v>
      </c>
      <c r="O13254" s="46" t="s">
        <v>123</v>
      </c>
      <c r="P13254" s="46">
        <v>3600.0</v>
      </c>
    </row>
    <row r="13255">
      <c r="A13255" s="40">
        <f t="shared" si="1"/>
        <v>46013</v>
      </c>
      <c r="B13255" s="37" t="str">
        <f t="array" ref="B13255">iferror(xlookup($I13255, 'IMPORT VHC Report'!$E:$E, 'IMPORT VHC Report'!$A:$C), )</f>
        <v/>
      </c>
      <c r="C13255" s="44"/>
      <c r="D13255" s="44"/>
      <c r="E13255" s="46" t="s">
        <v>9327</v>
      </c>
      <c r="F13255" s="46" t="s">
        <v>3847</v>
      </c>
      <c r="G13255" s="46">
        <v>5.202378916623E12</v>
      </c>
      <c r="H13255" s="46" t="s">
        <v>3848</v>
      </c>
      <c r="I13255" s="46" t="s">
        <v>3849</v>
      </c>
      <c r="J13255" s="46" t="s">
        <v>4</v>
      </c>
      <c r="K13255" s="46" t="s">
        <v>126</v>
      </c>
      <c r="L13255" s="45">
        <v>46015.6875</v>
      </c>
      <c r="M13255" s="46" t="s">
        <v>123</v>
      </c>
      <c r="N13255" s="45">
        <v>46015.729166666664</v>
      </c>
      <c r="O13255" s="46" t="s">
        <v>123</v>
      </c>
      <c r="P13255" s="46">
        <v>3600.0</v>
      </c>
      <c r="S13255" s="46" t="s">
        <v>9328</v>
      </c>
    </row>
    <row r="13256">
      <c r="A13256" s="40">
        <f t="shared" si="1"/>
        <v>46013</v>
      </c>
      <c r="B13256" s="37" t="str">
        <f t="array" ref="B13256">iferror(xlookup($I13256, 'IMPORT VHC Report'!$E:$E, 'IMPORT VHC Report'!$A:$C), )</f>
        <v/>
      </c>
      <c r="C13256" s="44"/>
      <c r="D13256" s="44"/>
      <c r="E13256" s="46" t="s">
        <v>9329</v>
      </c>
      <c r="F13256" s="46" t="s">
        <v>3847</v>
      </c>
      <c r="G13256" s="46">
        <v>5.202378916623E12</v>
      </c>
      <c r="H13256" s="46" t="s">
        <v>3848</v>
      </c>
      <c r="I13256" s="46" t="s">
        <v>3849</v>
      </c>
      <c r="J13256" s="46" t="s">
        <v>134</v>
      </c>
      <c r="K13256" s="46" t="s">
        <v>126</v>
      </c>
      <c r="L13256" s="45">
        <v>46015.760416666664</v>
      </c>
      <c r="M13256" s="46" t="s">
        <v>123</v>
      </c>
      <c r="N13256" s="45">
        <v>46015.770833333336</v>
      </c>
      <c r="O13256" s="46" t="s">
        <v>123</v>
      </c>
      <c r="P13256" s="46">
        <v>900.0</v>
      </c>
    </row>
    <row r="13257">
      <c r="A13257" s="40">
        <f t="shared" si="1"/>
        <v>46013</v>
      </c>
      <c r="B13257" s="37" t="str">
        <f t="array" ref="B13257">iferror(xlookup($I13257, 'IMPORT VHC Report'!$E:$E, 'IMPORT VHC Report'!$A:$C), )</f>
        <v/>
      </c>
      <c r="C13257" s="44"/>
      <c r="D13257" s="44"/>
      <c r="E13257" s="46" t="s">
        <v>9330</v>
      </c>
      <c r="F13257" s="46" t="s">
        <v>3847</v>
      </c>
      <c r="G13257" s="46">
        <v>5.202378916623E12</v>
      </c>
      <c r="H13257" s="46" t="s">
        <v>3848</v>
      </c>
      <c r="I13257" s="46" t="s">
        <v>3849</v>
      </c>
      <c r="J13257" s="46" t="s">
        <v>178</v>
      </c>
      <c r="K13257" s="46" t="s">
        <v>153</v>
      </c>
      <c r="L13257" s="45">
        <v>46016.458333333336</v>
      </c>
      <c r="M13257" s="46" t="s">
        <v>123</v>
      </c>
      <c r="N13257" s="45">
        <v>46016.625</v>
      </c>
      <c r="O13257" s="46" t="s">
        <v>123</v>
      </c>
      <c r="P13257" s="46">
        <v>14400.0</v>
      </c>
      <c r="Q13257" s="46">
        <v>14400.0</v>
      </c>
    </row>
    <row r="13258">
      <c r="A13258" s="40">
        <f t="shared" si="1"/>
        <v>46013</v>
      </c>
      <c r="B13258" s="37" t="str">
        <f t="array" ref="B13258">iferror(xlookup($I13258, 'IMPORT VHC Report'!$E:$E, 'IMPORT VHC Report'!$A:$C), )</f>
        <v/>
      </c>
      <c r="C13258" s="44"/>
      <c r="D13258" s="44"/>
      <c r="E13258" s="46" t="s">
        <v>9331</v>
      </c>
      <c r="F13258" s="46" t="s">
        <v>3847</v>
      </c>
      <c r="G13258" s="46">
        <v>5.202378916623E12</v>
      </c>
      <c r="H13258" s="46" t="s">
        <v>3848</v>
      </c>
      <c r="I13258" s="46" t="s">
        <v>3849</v>
      </c>
      <c r="J13258" s="46" t="s">
        <v>224</v>
      </c>
      <c r="K13258" s="46" t="s">
        <v>63</v>
      </c>
      <c r="L13258" s="45">
        <v>46016.458333333336</v>
      </c>
      <c r="M13258" s="46" t="s">
        <v>123</v>
      </c>
      <c r="N13258" s="45">
        <v>46016.833333333336</v>
      </c>
      <c r="O13258" s="46" t="s">
        <v>123</v>
      </c>
      <c r="P13258" s="46">
        <v>32400.0</v>
      </c>
    </row>
    <row r="13259">
      <c r="A13259" s="40">
        <f t="shared" si="1"/>
        <v>46013</v>
      </c>
      <c r="B13259" s="37" t="str">
        <f t="array" ref="B13259">iferror(xlookup($I13259, 'IMPORT VHC Report'!$E:$E, 'IMPORT VHC Report'!$A:$C), )</f>
        <v/>
      </c>
      <c r="C13259" s="44"/>
      <c r="D13259" s="44"/>
      <c r="E13259" s="46" t="s">
        <v>9332</v>
      </c>
      <c r="F13259" s="46" t="s">
        <v>3847</v>
      </c>
      <c r="G13259" s="46">
        <v>5.202378916623E12</v>
      </c>
      <c r="H13259" s="46" t="s">
        <v>3848</v>
      </c>
      <c r="I13259" s="46" t="s">
        <v>3849</v>
      </c>
      <c r="J13259" s="46" t="s">
        <v>134</v>
      </c>
      <c r="K13259" s="46" t="s">
        <v>126</v>
      </c>
      <c r="L13259" s="45">
        <v>46016.541666666664</v>
      </c>
      <c r="M13259" s="46" t="s">
        <v>123</v>
      </c>
      <c r="N13259" s="45">
        <v>46016.552083333336</v>
      </c>
      <c r="O13259" s="46" t="s">
        <v>123</v>
      </c>
      <c r="P13259" s="46">
        <v>900.0</v>
      </c>
    </row>
    <row r="13260">
      <c r="A13260" s="40">
        <f t="shared" si="1"/>
        <v>46013</v>
      </c>
      <c r="B13260" s="37" t="str">
        <f t="array" ref="B13260">iferror(xlookup($I13260, 'IMPORT VHC Report'!$E:$E, 'IMPORT VHC Report'!$A:$C), )</f>
        <v/>
      </c>
      <c r="C13260" s="44"/>
      <c r="D13260" s="44"/>
      <c r="E13260" s="46" t="s">
        <v>9333</v>
      </c>
      <c r="F13260" s="46" t="s">
        <v>3847</v>
      </c>
      <c r="G13260" s="46">
        <v>5.202378916623E12</v>
      </c>
      <c r="H13260" s="46" t="s">
        <v>3848</v>
      </c>
      <c r="I13260" s="46" t="s">
        <v>3849</v>
      </c>
      <c r="J13260" s="46" t="s">
        <v>132</v>
      </c>
      <c r="K13260" s="46" t="s">
        <v>126</v>
      </c>
      <c r="L13260" s="45">
        <v>46016.625</v>
      </c>
      <c r="M13260" s="46" t="s">
        <v>123</v>
      </c>
      <c r="N13260" s="45">
        <v>46016.666666666664</v>
      </c>
      <c r="O13260" s="46" t="s">
        <v>123</v>
      </c>
      <c r="P13260" s="46">
        <v>3600.0</v>
      </c>
    </row>
    <row r="13261">
      <c r="A13261" s="40">
        <f t="shared" si="1"/>
        <v>46013</v>
      </c>
      <c r="B13261" s="37" t="str">
        <f t="array" ref="B13261">iferror(xlookup($I13261, 'IMPORT VHC Report'!$E:$E, 'IMPORT VHC Report'!$A:$C), )</f>
        <v/>
      </c>
      <c r="C13261" s="44"/>
      <c r="D13261" s="44"/>
      <c r="E13261" s="46" t="s">
        <v>9334</v>
      </c>
      <c r="F13261" s="46" t="s">
        <v>3847</v>
      </c>
      <c r="G13261" s="46">
        <v>5.202378916623E12</v>
      </c>
      <c r="H13261" s="46" t="s">
        <v>3848</v>
      </c>
      <c r="I13261" s="46" t="s">
        <v>3849</v>
      </c>
      <c r="J13261" s="46" t="s">
        <v>134</v>
      </c>
      <c r="K13261" s="46" t="s">
        <v>126</v>
      </c>
      <c r="L13261" s="45">
        <v>46016.71875</v>
      </c>
      <c r="M13261" s="46" t="s">
        <v>123</v>
      </c>
      <c r="N13261" s="45">
        <v>46016.729166666664</v>
      </c>
      <c r="O13261" s="46" t="s">
        <v>123</v>
      </c>
      <c r="P13261" s="46">
        <v>900.0</v>
      </c>
    </row>
    <row r="13262">
      <c r="A13262" s="40">
        <f t="shared" si="1"/>
        <v>46013</v>
      </c>
      <c r="B13262" s="37" t="str">
        <f t="array" ref="B13262">iferror(xlookup($I13262, 'IMPORT VHC Report'!$E:$E, 'IMPORT VHC Report'!$A:$C), )</f>
        <v/>
      </c>
      <c r="C13262" s="44"/>
      <c r="D13262" s="44"/>
      <c r="E13262" s="46" t="s">
        <v>9335</v>
      </c>
      <c r="F13262" s="46" t="s">
        <v>3847</v>
      </c>
      <c r="G13262" s="46">
        <v>5.202378916623E12</v>
      </c>
      <c r="H13262" s="46" t="s">
        <v>3848</v>
      </c>
      <c r="I13262" s="46" t="s">
        <v>3849</v>
      </c>
      <c r="J13262" s="46" t="s">
        <v>4</v>
      </c>
      <c r="K13262" s="46" t="s">
        <v>126</v>
      </c>
      <c r="L13262" s="45">
        <v>46016.802083333336</v>
      </c>
      <c r="M13262" s="46" t="s">
        <v>123</v>
      </c>
      <c r="N13262" s="45">
        <v>46016.833333333336</v>
      </c>
      <c r="O13262" s="46" t="s">
        <v>123</v>
      </c>
      <c r="P13262" s="46">
        <v>2700.0</v>
      </c>
      <c r="S13262" s="46" t="s">
        <v>9336</v>
      </c>
    </row>
    <row r="13263">
      <c r="A13263" s="40">
        <f t="shared" si="1"/>
        <v>46013</v>
      </c>
      <c r="B13263" s="37" t="str">
        <f t="array" ref="B13263">iferror(xlookup($I13263, 'IMPORT VHC Report'!$E:$E, 'IMPORT VHC Report'!$A:$C), )</f>
        <v/>
      </c>
      <c r="C13263" s="44"/>
      <c r="D13263" s="44"/>
      <c r="E13263" s="46" t="s">
        <v>9337</v>
      </c>
      <c r="F13263" s="46" t="s">
        <v>3847</v>
      </c>
      <c r="G13263" s="46">
        <v>5.202378916623E12</v>
      </c>
      <c r="H13263" s="46" t="s">
        <v>3848</v>
      </c>
      <c r="I13263" s="46" t="s">
        <v>3849</v>
      </c>
      <c r="J13263" s="46" t="s">
        <v>224</v>
      </c>
      <c r="K13263" s="46" t="s">
        <v>63</v>
      </c>
      <c r="L13263" s="45">
        <v>46019.458333333336</v>
      </c>
      <c r="M13263" s="46" t="s">
        <v>123</v>
      </c>
      <c r="N13263" s="45">
        <v>46019.833333333336</v>
      </c>
      <c r="O13263" s="46" t="s">
        <v>123</v>
      </c>
      <c r="P13263" s="46">
        <v>32400.0</v>
      </c>
    </row>
    <row r="13264">
      <c r="A13264" s="40">
        <f t="shared" si="1"/>
        <v>46013</v>
      </c>
      <c r="B13264" s="37" t="str">
        <f t="array" ref="B13264">iferror(xlookup($I13264, 'IMPORT VHC Report'!$E:$E, 'IMPORT VHC Report'!$A:$C), )</f>
        <v/>
      </c>
      <c r="C13264" s="44"/>
      <c r="D13264" s="44"/>
      <c r="E13264" s="46" t="s">
        <v>9338</v>
      </c>
      <c r="F13264" s="46" t="s">
        <v>3847</v>
      </c>
      <c r="G13264" s="46">
        <v>5.202378916623E12</v>
      </c>
      <c r="H13264" s="46" t="s">
        <v>3848</v>
      </c>
      <c r="I13264" s="46" t="s">
        <v>3849</v>
      </c>
      <c r="J13264" s="46" t="s">
        <v>132</v>
      </c>
      <c r="K13264" s="46" t="s">
        <v>126</v>
      </c>
      <c r="L13264" s="45">
        <v>46019.5</v>
      </c>
      <c r="M13264" s="46" t="s">
        <v>123</v>
      </c>
      <c r="N13264" s="45">
        <v>46019.541666666664</v>
      </c>
      <c r="O13264" s="46" t="s">
        <v>123</v>
      </c>
      <c r="P13264" s="46">
        <v>3600.0</v>
      </c>
    </row>
    <row r="13265">
      <c r="A13265" s="40">
        <f t="shared" si="1"/>
        <v>46013</v>
      </c>
      <c r="B13265" s="37" t="str">
        <f t="array" ref="B13265">iferror(xlookup($I13265, 'IMPORT VHC Report'!$E:$E, 'IMPORT VHC Report'!$A:$C), )</f>
        <v/>
      </c>
      <c r="C13265" s="44"/>
      <c r="D13265" s="44"/>
      <c r="E13265" s="46" t="s">
        <v>9339</v>
      </c>
      <c r="F13265" s="46" t="s">
        <v>3847</v>
      </c>
      <c r="G13265" s="46">
        <v>5.202378916623E12</v>
      </c>
      <c r="H13265" s="46" t="s">
        <v>3848</v>
      </c>
      <c r="I13265" s="46" t="s">
        <v>3849</v>
      </c>
      <c r="J13265" s="46" t="s">
        <v>224</v>
      </c>
      <c r="K13265" s="46" t="s">
        <v>63</v>
      </c>
      <c r="L13265" s="45">
        <v>46019.541666666664</v>
      </c>
      <c r="M13265" s="46" t="s">
        <v>123</v>
      </c>
      <c r="N13265" s="45">
        <v>46019.552083333336</v>
      </c>
      <c r="O13265" s="46" t="s">
        <v>123</v>
      </c>
      <c r="P13265" s="46">
        <v>900.0</v>
      </c>
    </row>
    <row r="13266">
      <c r="A13266" s="40">
        <f t="shared" si="1"/>
        <v>46013</v>
      </c>
      <c r="B13266" s="37" t="str">
        <f t="array" ref="B13266">iferror(xlookup($I13266, 'IMPORT VHC Report'!$E:$E, 'IMPORT VHC Report'!$A:$C), )</f>
        <v/>
      </c>
      <c r="C13266" s="44"/>
      <c r="D13266" s="44"/>
      <c r="E13266" s="46" t="s">
        <v>9340</v>
      </c>
      <c r="F13266" s="46" t="s">
        <v>3847</v>
      </c>
      <c r="G13266" s="46">
        <v>5.202378916623E12</v>
      </c>
      <c r="H13266" s="46" t="s">
        <v>3848</v>
      </c>
      <c r="I13266" s="46" t="s">
        <v>3849</v>
      </c>
      <c r="J13266" s="46" t="s">
        <v>134</v>
      </c>
      <c r="K13266" s="46" t="s">
        <v>126</v>
      </c>
      <c r="L13266" s="45">
        <v>46019.541666666664</v>
      </c>
      <c r="M13266" s="46" t="s">
        <v>123</v>
      </c>
      <c r="N13266" s="45">
        <v>46019.5625</v>
      </c>
      <c r="O13266" s="46" t="s">
        <v>123</v>
      </c>
      <c r="P13266" s="46">
        <v>1800.0</v>
      </c>
    </row>
    <row r="13267">
      <c r="A13267" s="40">
        <f t="shared" si="1"/>
        <v>46013</v>
      </c>
      <c r="B13267" s="37" t="str">
        <f t="array" ref="B13267">iferror(xlookup($I13267, 'IMPORT VHC Report'!$E:$E, 'IMPORT VHC Report'!$A:$C), )</f>
        <v/>
      </c>
      <c r="C13267" s="44"/>
      <c r="D13267" s="44"/>
      <c r="E13267" s="46" t="s">
        <v>9341</v>
      </c>
      <c r="F13267" s="46" t="s">
        <v>3847</v>
      </c>
      <c r="G13267" s="46">
        <v>5.202378916623E12</v>
      </c>
      <c r="H13267" s="46" t="s">
        <v>3848</v>
      </c>
      <c r="I13267" s="46" t="s">
        <v>3849</v>
      </c>
      <c r="J13267" s="46" t="s">
        <v>224</v>
      </c>
      <c r="K13267" s="46" t="s">
        <v>63</v>
      </c>
      <c r="L13267" s="45">
        <v>46019.645833333336</v>
      </c>
      <c r="M13267" s="46" t="s">
        <v>123</v>
      </c>
      <c r="N13267" s="45">
        <v>46019.65625</v>
      </c>
      <c r="O13267" s="46" t="s">
        <v>123</v>
      </c>
      <c r="P13267" s="46">
        <v>900.0</v>
      </c>
    </row>
    <row r="13268">
      <c r="A13268" s="40">
        <f t="shared" si="1"/>
        <v>46013</v>
      </c>
      <c r="B13268" s="37" t="str">
        <f t="array" ref="B13268">iferror(xlookup($I13268, 'IMPORT VHC Report'!$E:$E, 'IMPORT VHC Report'!$A:$C), )</f>
        <v/>
      </c>
      <c r="C13268" s="44"/>
      <c r="D13268" s="44"/>
      <c r="E13268" s="46" t="s">
        <v>9342</v>
      </c>
      <c r="F13268" s="46" t="s">
        <v>3847</v>
      </c>
      <c r="G13268" s="46">
        <v>5.202378916623E12</v>
      </c>
      <c r="H13268" s="46" t="s">
        <v>3848</v>
      </c>
      <c r="I13268" s="46" t="s">
        <v>3849</v>
      </c>
      <c r="J13268" s="46" t="s">
        <v>224</v>
      </c>
      <c r="K13268" s="46" t="s">
        <v>63</v>
      </c>
      <c r="L13268" s="45">
        <v>46019.729166666664</v>
      </c>
      <c r="M13268" s="46" t="s">
        <v>123</v>
      </c>
      <c r="N13268" s="45">
        <v>46019.770833333336</v>
      </c>
      <c r="O13268" s="46" t="s">
        <v>123</v>
      </c>
      <c r="P13268" s="46">
        <v>3600.0</v>
      </c>
    </row>
    <row r="13269">
      <c r="A13269" s="40">
        <f t="shared" si="1"/>
        <v>46013</v>
      </c>
      <c r="B13269" s="37" t="str">
        <f t="array" ref="B13269">iferror(xlookup($I13269, 'IMPORT VHC Report'!$E:$E, 'IMPORT VHC Report'!$A:$C), )</f>
        <v/>
      </c>
      <c r="C13269" s="44"/>
      <c r="D13269" s="44"/>
      <c r="E13269" s="46" t="s">
        <v>9343</v>
      </c>
      <c r="F13269" s="46" t="s">
        <v>3908</v>
      </c>
      <c r="G13269" s="46">
        <v>7.437371735567E12</v>
      </c>
      <c r="H13269" s="46" t="s">
        <v>3909</v>
      </c>
      <c r="I13269" s="46" t="s">
        <v>3910</v>
      </c>
      <c r="J13269" s="46" t="s">
        <v>224</v>
      </c>
      <c r="K13269" s="46" t="s">
        <v>63</v>
      </c>
      <c r="L13269" s="45">
        <v>46013.458333333336</v>
      </c>
      <c r="M13269" s="46" t="s">
        <v>123</v>
      </c>
      <c r="N13269" s="45">
        <v>46013.833333333336</v>
      </c>
      <c r="O13269" s="46" t="s">
        <v>123</v>
      </c>
      <c r="P13269" s="46">
        <v>32400.0</v>
      </c>
    </row>
    <row r="13270">
      <c r="A13270" s="40">
        <f t="shared" si="1"/>
        <v>46013</v>
      </c>
      <c r="B13270" s="37" t="str">
        <f t="array" ref="B13270">iferror(xlookup($I13270, 'IMPORT VHC Report'!$E:$E, 'IMPORT VHC Report'!$A:$C), )</f>
        <v/>
      </c>
      <c r="C13270" s="44"/>
      <c r="D13270" s="44"/>
      <c r="E13270" s="46" t="s">
        <v>9344</v>
      </c>
      <c r="F13270" s="46" t="s">
        <v>3908</v>
      </c>
      <c r="G13270" s="46">
        <v>7.437371735567E12</v>
      </c>
      <c r="H13270" s="46" t="s">
        <v>3909</v>
      </c>
      <c r="I13270" s="46" t="s">
        <v>3910</v>
      </c>
      <c r="J13270" s="46" t="s">
        <v>134</v>
      </c>
      <c r="K13270" s="46" t="s">
        <v>126</v>
      </c>
      <c r="L13270" s="45">
        <v>46013.552083333336</v>
      </c>
      <c r="M13270" s="46" t="s">
        <v>123</v>
      </c>
      <c r="N13270" s="45">
        <v>46013.5625</v>
      </c>
      <c r="O13270" s="46" t="s">
        <v>123</v>
      </c>
      <c r="P13270" s="46">
        <v>900.0</v>
      </c>
    </row>
    <row r="13271">
      <c r="A13271" s="40">
        <f t="shared" si="1"/>
        <v>46013</v>
      </c>
      <c r="B13271" s="37" t="str">
        <f t="array" ref="B13271">iferror(xlookup($I13271, 'IMPORT VHC Report'!$E:$E, 'IMPORT VHC Report'!$A:$C), )</f>
        <v/>
      </c>
      <c r="C13271" s="44"/>
      <c r="D13271" s="44"/>
      <c r="E13271" s="46" t="s">
        <v>9345</v>
      </c>
      <c r="F13271" s="46" t="s">
        <v>3908</v>
      </c>
      <c r="G13271" s="46">
        <v>7.437371735567E12</v>
      </c>
      <c r="H13271" s="46" t="s">
        <v>3909</v>
      </c>
      <c r="I13271" s="46" t="s">
        <v>3910</v>
      </c>
      <c r="J13271" s="46" t="s">
        <v>134</v>
      </c>
      <c r="K13271" s="46" t="s">
        <v>126</v>
      </c>
      <c r="L13271" s="45">
        <v>46013.635416666664</v>
      </c>
      <c r="M13271" s="46" t="s">
        <v>123</v>
      </c>
      <c r="N13271" s="45">
        <v>46013.645833333336</v>
      </c>
      <c r="O13271" s="46" t="s">
        <v>123</v>
      </c>
      <c r="P13271" s="46">
        <v>900.0</v>
      </c>
    </row>
    <row r="13272">
      <c r="A13272" s="40">
        <f t="shared" si="1"/>
        <v>46013</v>
      </c>
      <c r="B13272" s="37" t="str">
        <f t="array" ref="B13272">iferror(xlookup($I13272, 'IMPORT VHC Report'!$E:$E, 'IMPORT VHC Report'!$A:$C), )</f>
        <v/>
      </c>
      <c r="C13272" s="44"/>
      <c r="D13272" s="44"/>
      <c r="E13272" s="46" t="s">
        <v>9346</v>
      </c>
      <c r="F13272" s="46" t="s">
        <v>3908</v>
      </c>
      <c r="G13272" s="46">
        <v>7.437371735567E12</v>
      </c>
      <c r="H13272" s="46" t="s">
        <v>3909</v>
      </c>
      <c r="I13272" s="46" t="s">
        <v>3910</v>
      </c>
      <c r="J13272" s="46" t="s">
        <v>132</v>
      </c>
      <c r="K13272" s="46" t="s">
        <v>126</v>
      </c>
      <c r="L13272" s="45">
        <v>46013.71875</v>
      </c>
      <c r="M13272" s="46" t="s">
        <v>123</v>
      </c>
      <c r="N13272" s="45">
        <v>46013.760416666664</v>
      </c>
      <c r="O13272" s="46" t="s">
        <v>123</v>
      </c>
      <c r="P13272" s="46">
        <v>3600.0</v>
      </c>
    </row>
    <row r="13273">
      <c r="A13273" s="40">
        <f t="shared" si="1"/>
        <v>46013</v>
      </c>
      <c r="B13273" s="37" t="str">
        <f t="array" ref="B13273">iferror(xlookup($I13273, 'IMPORT VHC Report'!$E:$E, 'IMPORT VHC Report'!$A:$C), )</f>
        <v/>
      </c>
      <c r="C13273" s="44"/>
      <c r="D13273" s="44"/>
      <c r="E13273" s="46" t="s">
        <v>9347</v>
      </c>
      <c r="F13273" s="46" t="s">
        <v>3908</v>
      </c>
      <c r="G13273" s="46">
        <v>7.437371735567E12</v>
      </c>
      <c r="H13273" s="46" t="s">
        <v>3909</v>
      </c>
      <c r="I13273" s="46" t="s">
        <v>3910</v>
      </c>
      <c r="J13273" s="46" t="s">
        <v>224</v>
      </c>
      <c r="K13273" s="46" t="s">
        <v>63</v>
      </c>
      <c r="L13273" s="45">
        <v>46014.458333333336</v>
      </c>
      <c r="M13273" s="46" t="s">
        <v>123</v>
      </c>
      <c r="N13273" s="45">
        <v>46014.833333333336</v>
      </c>
      <c r="O13273" s="46" t="s">
        <v>123</v>
      </c>
      <c r="P13273" s="46">
        <v>32400.0</v>
      </c>
    </row>
    <row r="13274">
      <c r="A13274" s="40">
        <f t="shared" si="1"/>
        <v>46013</v>
      </c>
      <c r="B13274" s="37" t="str">
        <f t="array" ref="B13274">iferror(xlookup($I13274, 'IMPORT VHC Report'!$E:$E, 'IMPORT VHC Report'!$A:$C), )</f>
        <v/>
      </c>
      <c r="C13274" s="44"/>
      <c r="D13274" s="44"/>
      <c r="E13274" s="46" t="s">
        <v>9348</v>
      </c>
      <c r="F13274" s="46" t="s">
        <v>3908</v>
      </c>
      <c r="G13274" s="46">
        <v>7.437371735567E12</v>
      </c>
      <c r="H13274" s="46" t="s">
        <v>3909</v>
      </c>
      <c r="I13274" s="46" t="s">
        <v>3910</v>
      </c>
      <c r="J13274" s="46" t="s">
        <v>4</v>
      </c>
      <c r="K13274" s="46" t="s">
        <v>126</v>
      </c>
      <c r="L13274" s="45">
        <v>46014.5</v>
      </c>
      <c r="M13274" s="46" t="s">
        <v>123</v>
      </c>
      <c r="N13274" s="45">
        <v>46014.510416666664</v>
      </c>
      <c r="O13274" s="46" t="s">
        <v>123</v>
      </c>
      <c r="P13274" s="46">
        <v>900.0</v>
      </c>
      <c r="S13274" s="46" t="s">
        <v>9349</v>
      </c>
    </row>
    <row r="13275">
      <c r="A13275" s="40">
        <f t="shared" si="1"/>
        <v>46013</v>
      </c>
      <c r="B13275" s="37" t="str">
        <f t="array" ref="B13275">iferror(xlookup($I13275, 'IMPORT VHC Report'!$E:$E, 'IMPORT VHC Report'!$A:$C), )</f>
        <v/>
      </c>
      <c r="C13275" s="44"/>
      <c r="D13275" s="44"/>
      <c r="E13275" s="46" t="s">
        <v>9350</v>
      </c>
      <c r="F13275" s="46" t="s">
        <v>3908</v>
      </c>
      <c r="G13275" s="46">
        <v>7.437371735567E12</v>
      </c>
      <c r="H13275" s="46" t="s">
        <v>3909</v>
      </c>
      <c r="I13275" s="46" t="s">
        <v>3910</v>
      </c>
      <c r="J13275" s="46" t="s">
        <v>4</v>
      </c>
      <c r="K13275" s="46" t="s">
        <v>126</v>
      </c>
      <c r="L13275" s="45">
        <v>46014.510416666664</v>
      </c>
      <c r="M13275" s="46" t="s">
        <v>123</v>
      </c>
      <c r="N13275" s="45">
        <v>46014.520833333336</v>
      </c>
      <c r="O13275" s="46" t="s">
        <v>123</v>
      </c>
      <c r="P13275" s="46">
        <v>900.0</v>
      </c>
      <c r="S13275" s="46" t="s">
        <v>9351</v>
      </c>
    </row>
    <row r="13276">
      <c r="A13276" s="40">
        <f t="shared" si="1"/>
        <v>46013</v>
      </c>
      <c r="B13276" s="37" t="str">
        <f t="array" ref="B13276">iferror(xlookup($I13276, 'IMPORT VHC Report'!$E:$E, 'IMPORT VHC Report'!$A:$C), )</f>
        <v/>
      </c>
      <c r="C13276" s="44"/>
      <c r="D13276" s="44"/>
      <c r="E13276" s="46" t="s">
        <v>9352</v>
      </c>
      <c r="F13276" s="46" t="s">
        <v>3908</v>
      </c>
      <c r="G13276" s="46">
        <v>7.437371735567E12</v>
      </c>
      <c r="H13276" s="46" t="s">
        <v>3909</v>
      </c>
      <c r="I13276" s="46" t="s">
        <v>3910</v>
      </c>
      <c r="J13276" s="46" t="s">
        <v>4</v>
      </c>
      <c r="K13276" s="46" t="s">
        <v>126</v>
      </c>
      <c r="L13276" s="45">
        <v>46014.520833333336</v>
      </c>
      <c r="M13276" s="46" t="s">
        <v>123</v>
      </c>
      <c r="N13276" s="45">
        <v>46014.53125</v>
      </c>
      <c r="O13276" s="46" t="s">
        <v>123</v>
      </c>
      <c r="P13276" s="46">
        <v>900.0</v>
      </c>
      <c r="S13276" s="46" t="s">
        <v>9353</v>
      </c>
    </row>
    <row r="13277">
      <c r="A13277" s="40">
        <f t="shared" si="1"/>
        <v>46013</v>
      </c>
      <c r="B13277" s="37" t="str">
        <f t="array" ref="B13277">iferror(xlookup($I13277, 'IMPORT VHC Report'!$E:$E, 'IMPORT VHC Report'!$A:$C), )</f>
        <v/>
      </c>
      <c r="C13277" s="44"/>
      <c r="D13277" s="44"/>
      <c r="E13277" s="46" t="s">
        <v>9354</v>
      </c>
      <c r="F13277" s="46" t="s">
        <v>3908</v>
      </c>
      <c r="G13277" s="46">
        <v>7.437371735567E12</v>
      </c>
      <c r="H13277" s="46" t="s">
        <v>3909</v>
      </c>
      <c r="I13277" s="46" t="s">
        <v>3910</v>
      </c>
      <c r="J13277" s="46" t="s">
        <v>4</v>
      </c>
      <c r="K13277" s="46" t="s">
        <v>126</v>
      </c>
      <c r="L13277" s="45">
        <v>46014.53125</v>
      </c>
      <c r="M13277" s="46" t="s">
        <v>123</v>
      </c>
      <c r="N13277" s="45">
        <v>46014.572916666664</v>
      </c>
      <c r="O13277" s="46" t="s">
        <v>123</v>
      </c>
      <c r="P13277" s="46">
        <v>3600.0</v>
      </c>
      <c r="S13277" s="46" t="s">
        <v>9355</v>
      </c>
    </row>
    <row r="13278">
      <c r="A13278" s="40">
        <f t="shared" si="1"/>
        <v>46013</v>
      </c>
      <c r="B13278" s="37" t="str">
        <f t="array" ref="B13278">iferror(xlookup($I13278, 'IMPORT VHC Report'!$E:$E, 'IMPORT VHC Report'!$A:$C), )</f>
        <v/>
      </c>
      <c r="C13278" s="44"/>
      <c r="D13278" s="44"/>
      <c r="E13278" s="46" t="s">
        <v>9356</v>
      </c>
      <c r="F13278" s="46" t="s">
        <v>3908</v>
      </c>
      <c r="G13278" s="46">
        <v>7.437371735567E12</v>
      </c>
      <c r="H13278" s="46" t="s">
        <v>3909</v>
      </c>
      <c r="I13278" s="46" t="s">
        <v>3910</v>
      </c>
      <c r="J13278" s="46" t="s">
        <v>134</v>
      </c>
      <c r="K13278" s="46" t="s">
        <v>126</v>
      </c>
      <c r="L13278" s="45">
        <v>46014.572916666664</v>
      </c>
      <c r="M13278" s="46" t="s">
        <v>123</v>
      </c>
      <c r="N13278" s="45">
        <v>46014.583333333336</v>
      </c>
      <c r="O13278" s="46" t="s">
        <v>123</v>
      </c>
      <c r="P13278" s="46">
        <v>900.0</v>
      </c>
    </row>
    <row r="13279">
      <c r="A13279" s="40">
        <f t="shared" si="1"/>
        <v>46013</v>
      </c>
      <c r="B13279" s="37" t="str">
        <f t="array" ref="B13279">iferror(xlookup($I13279, 'IMPORT VHC Report'!$E:$E, 'IMPORT VHC Report'!$A:$C), )</f>
        <v/>
      </c>
      <c r="C13279" s="44"/>
      <c r="D13279" s="44"/>
      <c r="E13279" s="46" t="s">
        <v>9357</v>
      </c>
      <c r="F13279" s="46" t="s">
        <v>3908</v>
      </c>
      <c r="G13279" s="46">
        <v>7.437371735567E12</v>
      </c>
      <c r="H13279" s="46" t="s">
        <v>3909</v>
      </c>
      <c r="I13279" s="46" t="s">
        <v>3910</v>
      </c>
      <c r="J13279" s="46" t="s">
        <v>134</v>
      </c>
      <c r="K13279" s="46" t="s">
        <v>126</v>
      </c>
      <c r="L13279" s="45">
        <v>46014.635416666664</v>
      </c>
      <c r="M13279" s="46" t="s">
        <v>123</v>
      </c>
      <c r="N13279" s="45">
        <v>46014.645833333336</v>
      </c>
      <c r="O13279" s="46" t="s">
        <v>123</v>
      </c>
      <c r="P13279" s="46">
        <v>900.0</v>
      </c>
    </row>
    <row r="13280">
      <c r="A13280" s="40">
        <f t="shared" si="1"/>
        <v>46013</v>
      </c>
      <c r="B13280" s="37" t="str">
        <f t="array" ref="B13280">iferror(xlookup($I13280, 'IMPORT VHC Report'!$E:$E, 'IMPORT VHC Report'!$A:$C), )</f>
        <v/>
      </c>
      <c r="C13280" s="44"/>
      <c r="D13280" s="44"/>
      <c r="E13280" s="46" t="s">
        <v>9358</v>
      </c>
      <c r="F13280" s="46" t="s">
        <v>3908</v>
      </c>
      <c r="G13280" s="46">
        <v>7.437371735567E12</v>
      </c>
      <c r="H13280" s="46" t="s">
        <v>3909</v>
      </c>
      <c r="I13280" s="46" t="s">
        <v>3910</v>
      </c>
      <c r="J13280" s="46" t="s">
        <v>136</v>
      </c>
      <c r="K13280" s="46" t="s">
        <v>126</v>
      </c>
      <c r="L13280" s="45">
        <v>46014.708333333336</v>
      </c>
      <c r="M13280" s="46" t="s">
        <v>123</v>
      </c>
      <c r="N13280" s="45">
        <v>46014.75</v>
      </c>
      <c r="O13280" s="46" t="s">
        <v>123</v>
      </c>
      <c r="P13280" s="46">
        <v>3600.0</v>
      </c>
      <c r="S13280" s="46" t="s">
        <v>137</v>
      </c>
    </row>
    <row r="13281">
      <c r="A13281" s="40">
        <f t="shared" si="1"/>
        <v>46013</v>
      </c>
      <c r="B13281" s="37" t="str">
        <f t="array" ref="B13281">iferror(xlookup($I13281, 'IMPORT VHC Report'!$E:$E, 'IMPORT VHC Report'!$A:$C), )</f>
        <v/>
      </c>
      <c r="C13281" s="44"/>
      <c r="D13281" s="44"/>
      <c r="E13281" s="46" t="s">
        <v>9359</v>
      </c>
      <c r="F13281" s="46" t="s">
        <v>3908</v>
      </c>
      <c r="G13281" s="46">
        <v>7.437371735567E12</v>
      </c>
      <c r="H13281" s="46" t="s">
        <v>3909</v>
      </c>
      <c r="I13281" s="46" t="s">
        <v>3910</v>
      </c>
      <c r="J13281" s="46" t="s">
        <v>132</v>
      </c>
      <c r="K13281" s="46" t="s">
        <v>126</v>
      </c>
      <c r="L13281" s="45">
        <v>46014.791666666664</v>
      </c>
      <c r="M13281" s="46" t="s">
        <v>123</v>
      </c>
      <c r="N13281" s="45">
        <v>46014.833333333336</v>
      </c>
      <c r="O13281" s="46" t="s">
        <v>123</v>
      </c>
      <c r="P13281" s="46">
        <v>3600.0</v>
      </c>
    </row>
    <row r="13282">
      <c r="A13282" s="40">
        <f t="shared" si="1"/>
        <v>46013</v>
      </c>
      <c r="B13282" s="37" t="str">
        <f t="array" ref="B13282">iferror(xlookup($I13282, 'IMPORT VHC Report'!$E:$E, 'IMPORT VHC Report'!$A:$C), )</f>
        <v/>
      </c>
      <c r="C13282" s="44"/>
      <c r="D13282" s="44"/>
      <c r="E13282" s="46" t="s">
        <v>9360</v>
      </c>
      <c r="F13282" s="46" t="s">
        <v>3908</v>
      </c>
      <c r="G13282" s="46">
        <v>7.437371735567E12</v>
      </c>
      <c r="H13282" s="46" t="s">
        <v>3909</v>
      </c>
      <c r="I13282" s="46" t="s">
        <v>3910</v>
      </c>
      <c r="J13282" s="46" t="s">
        <v>224</v>
      </c>
      <c r="K13282" s="46" t="s">
        <v>63</v>
      </c>
      <c r="L13282" s="45">
        <v>46015.458333333336</v>
      </c>
      <c r="M13282" s="46" t="s">
        <v>123</v>
      </c>
      <c r="N13282" s="45">
        <v>46015.833333333336</v>
      </c>
      <c r="O13282" s="46" t="s">
        <v>123</v>
      </c>
      <c r="P13282" s="46">
        <v>32400.0</v>
      </c>
    </row>
    <row r="13283">
      <c r="A13283" s="40">
        <f t="shared" si="1"/>
        <v>46013</v>
      </c>
      <c r="B13283" s="37" t="str">
        <f t="array" ref="B13283">iferror(xlookup($I13283, 'IMPORT VHC Report'!$E:$E, 'IMPORT VHC Report'!$A:$C), )</f>
        <v/>
      </c>
      <c r="C13283" s="44"/>
      <c r="D13283" s="44"/>
      <c r="E13283" s="46" t="s">
        <v>9361</v>
      </c>
      <c r="F13283" s="46" t="s">
        <v>3908</v>
      </c>
      <c r="G13283" s="46">
        <v>7.437371735567E12</v>
      </c>
      <c r="H13283" s="46" t="s">
        <v>3909</v>
      </c>
      <c r="I13283" s="46" t="s">
        <v>3910</v>
      </c>
      <c r="J13283" s="46" t="s">
        <v>125</v>
      </c>
      <c r="K13283" s="46" t="s">
        <v>126</v>
      </c>
      <c r="L13283" s="45">
        <v>46015.479166666664</v>
      </c>
      <c r="M13283" s="46" t="s">
        <v>123</v>
      </c>
      <c r="N13283" s="45">
        <v>46015.520833333336</v>
      </c>
      <c r="O13283" s="46" t="s">
        <v>123</v>
      </c>
      <c r="P13283" s="46">
        <v>3600.0</v>
      </c>
      <c r="S13283" s="46" t="s">
        <v>9129</v>
      </c>
    </row>
    <row r="13284">
      <c r="A13284" s="40">
        <f t="shared" si="1"/>
        <v>46013</v>
      </c>
      <c r="B13284" s="37" t="str">
        <f t="array" ref="B13284">iferror(xlookup($I13284, 'IMPORT VHC Report'!$E:$E, 'IMPORT VHC Report'!$A:$C), )</f>
        <v/>
      </c>
      <c r="C13284" s="44"/>
      <c r="D13284" s="44"/>
      <c r="E13284" s="46" t="s">
        <v>9362</v>
      </c>
      <c r="F13284" s="46" t="s">
        <v>3908</v>
      </c>
      <c r="G13284" s="46">
        <v>7.437371735567E12</v>
      </c>
      <c r="H13284" s="46" t="s">
        <v>3909</v>
      </c>
      <c r="I13284" s="46" t="s">
        <v>3910</v>
      </c>
      <c r="J13284" s="46" t="s">
        <v>125</v>
      </c>
      <c r="K13284" s="46" t="s">
        <v>126</v>
      </c>
      <c r="L13284" s="45">
        <v>46015.520833333336</v>
      </c>
      <c r="M13284" s="46" t="s">
        <v>123</v>
      </c>
      <c r="N13284" s="45">
        <v>46015.5625</v>
      </c>
      <c r="O13284" s="46" t="s">
        <v>123</v>
      </c>
      <c r="P13284" s="46">
        <v>3600.0</v>
      </c>
    </row>
    <row r="13285">
      <c r="A13285" s="40">
        <f t="shared" si="1"/>
        <v>46013</v>
      </c>
      <c r="B13285" s="37" t="str">
        <f t="array" ref="B13285">iferror(xlookup($I13285, 'IMPORT VHC Report'!$E:$E, 'IMPORT VHC Report'!$A:$C), )</f>
        <v/>
      </c>
      <c r="C13285" s="44"/>
      <c r="D13285" s="44"/>
      <c r="E13285" s="46" t="s">
        <v>9363</v>
      </c>
      <c r="F13285" s="46" t="s">
        <v>3908</v>
      </c>
      <c r="G13285" s="46">
        <v>7.437371735567E12</v>
      </c>
      <c r="H13285" s="46" t="s">
        <v>3909</v>
      </c>
      <c r="I13285" s="46" t="s">
        <v>3910</v>
      </c>
      <c r="J13285" s="46" t="s">
        <v>132</v>
      </c>
      <c r="K13285" s="46" t="s">
        <v>126</v>
      </c>
      <c r="L13285" s="45">
        <v>46015.5625</v>
      </c>
      <c r="M13285" s="46" t="s">
        <v>123</v>
      </c>
      <c r="N13285" s="45">
        <v>46015.604166666664</v>
      </c>
      <c r="O13285" s="46" t="s">
        <v>123</v>
      </c>
      <c r="P13285" s="46">
        <v>3600.0</v>
      </c>
    </row>
    <row r="13286">
      <c r="A13286" s="40">
        <f t="shared" si="1"/>
        <v>46013</v>
      </c>
      <c r="B13286" s="37" t="str">
        <f t="array" ref="B13286">iferror(xlookup($I13286, 'IMPORT VHC Report'!$E:$E, 'IMPORT VHC Report'!$A:$C), )</f>
        <v/>
      </c>
      <c r="C13286" s="44"/>
      <c r="D13286" s="44"/>
      <c r="E13286" s="46" t="s">
        <v>9364</v>
      </c>
      <c r="F13286" s="46" t="s">
        <v>3908</v>
      </c>
      <c r="G13286" s="46">
        <v>7.437371735567E12</v>
      </c>
      <c r="H13286" s="46" t="s">
        <v>3909</v>
      </c>
      <c r="I13286" s="46" t="s">
        <v>3910</v>
      </c>
      <c r="J13286" s="46" t="s">
        <v>4</v>
      </c>
      <c r="K13286" s="46" t="s">
        <v>126</v>
      </c>
      <c r="L13286" s="45">
        <v>46015.61111111111</v>
      </c>
      <c r="M13286" s="46" t="s">
        <v>123</v>
      </c>
      <c r="N13286" s="45">
        <v>46015.64236111111</v>
      </c>
      <c r="O13286" s="46" t="s">
        <v>123</v>
      </c>
      <c r="P13286" s="46">
        <v>2700.0</v>
      </c>
      <c r="S13286" s="46" t="s">
        <v>9365</v>
      </c>
    </row>
    <row r="13287">
      <c r="A13287" s="40">
        <f t="shared" si="1"/>
        <v>46013</v>
      </c>
      <c r="B13287" s="37" t="str">
        <f t="array" ref="B13287">iferror(xlookup($I13287, 'IMPORT VHC Report'!$E:$E, 'IMPORT VHC Report'!$A:$C), )</f>
        <v/>
      </c>
      <c r="C13287" s="44"/>
      <c r="D13287" s="44"/>
      <c r="E13287" s="46" t="s">
        <v>9366</v>
      </c>
      <c r="F13287" s="46" t="s">
        <v>3908</v>
      </c>
      <c r="G13287" s="46">
        <v>7.437371735567E12</v>
      </c>
      <c r="H13287" s="46" t="s">
        <v>3909</v>
      </c>
      <c r="I13287" s="46" t="s">
        <v>3910</v>
      </c>
      <c r="J13287" s="46" t="s">
        <v>4</v>
      </c>
      <c r="K13287" s="46" t="s">
        <v>126</v>
      </c>
      <c r="L13287" s="45">
        <v>46015.64236111111</v>
      </c>
      <c r="M13287" s="46" t="s">
        <v>123</v>
      </c>
      <c r="N13287" s="45">
        <v>46015.694444444445</v>
      </c>
      <c r="O13287" s="46" t="s">
        <v>123</v>
      </c>
      <c r="P13287" s="46">
        <v>4500.0</v>
      </c>
      <c r="S13287" s="46" t="s">
        <v>9367</v>
      </c>
    </row>
    <row r="13288">
      <c r="A13288" s="40">
        <f t="shared" si="1"/>
        <v>46013</v>
      </c>
      <c r="B13288" s="37" t="str">
        <f t="array" ref="B13288">iferror(xlookup($I13288, 'IMPORT VHC Report'!$E:$E, 'IMPORT VHC Report'!$A:$C), )</f>
        <v/>
      </c>
      <c r="C13288" s="44"/>
      <c r="D13288" s="44"/>
      <c r="E13288" s="46" t="s">
        <v>9368</v>
      </c>
      <c r="F13288" s="46" t="s">
        <v>3908</v>
      </c>
      <c r="G13288" s="46">
        <v>7.437371735567E12</v>
      </c>
      <c r="H13288" s="46" t="s">
        <v>3909</v>
      </c>
      <c r="I13288" s="46" t="s">
        <v>3910</v>
      </c>
      <c r="J13288" s="46" t="s">
        <v>134</v>
      </c>
      <c r="K13288" s="46" t="s">
        <v>126</v>
      </c>
      <c r="L13288" s="45">
        <v>46015.694444444445</v>
      </c>
      <c r="M13288" s="46" t="s">
        <v>123</v>
      </c>
      <c r="N13288" s="45">
        <v>46015.70486111111</v>
      </c>
      <c r="O13288" s="46" t="s">
        <v>123</v>
      </c>
      <c r="P13288" s="46">
        <v>900.0</v>
      </c>
    </row>
    <row r="13289">
      <c r="A13289" s="40">
        <f t="shared" si="1"/>
        <v>46013</v>
      </c>
      <c r="B13289" s="37" t="str">
        <f t="array" ref="B13289">iferror(xlookup($I13289, 'IMPORT VHC Report'!$E:$E, 'IMPORT VHC Report'!$A:$C), )</f>
        <v/>
      </c>
      <c r="C13289" s="44"/>
      <c r="D13289" s="44"/>
      <c r="E13289" s="46" t="s">
        <v>9369</v>
      </c>
      <c r="F13289" s="46" t="s">
        <v>3908</v>
      </c>
      <c r="G13289" s="46">
        <v>7.437371735567E12</v>
      </c>
      <c r="H13289" s="46" t="s">
        <v>3909</v>
      </c>
      <c r="I13289" s="46" t="s">
        <v>3910</v>
      </c>
      <c r="J13289" s="46" t="s">
        <v>134</v>
      </c>
      <c r="K13289" s="46" t="s">
        <v>126</v>
      </c>
      <c r="L13289" s="45">
        <v>46015.739583333336</v>
      </c>
      <c r="M13289" s="46" t="s">
        <v>123</v>
      </c>
      <c r="N13289" s="45">
        <v>46015.75</v>
      </c>
      <c r="O13289" s="46" t="s">
        <v>123</v>
      </c>
      <c r="P13289" s="46">
        <v>900.0</v>
      </c>
    </row>
    <row r="13290">
      <c r="A13290" s="40">
        <f t="shared" si="1"/>
        <v>46013</v>
      </c>
      <c r="B13290" s="37" t="str">
        <f t="array" ref="B13290">iferror(xlookup($I13290, 'IMPORT VHC Report'!$E:$E, 'IMPORT VHC Report'!$A:$C), )</f>
        <v/>
      </c>
      <c r="C13290" s="44"/>
      <c r="D13290" s="44"/>
      <c r="E13290" s="46" t="s">
        <v>9370</v>
      </c>
      <c r="F13290" s="46" t="s">
        <v>3908</v>
      </c>
      <c r="G13290" s="46">
        <v>7.437371735567E12</v>
      </c>
      <c r="H13290" s="46" t="s">
        <v>3909</v>
      </c>
      <c r="I13290" s="46" t="s">
        <v>3910</v>
      </c>
      <c r="J13290" s="46" t="s">
        <v>224</v>
      </c>
      <c r="K13290" s="46" t="s">
        <v>63</v>
      </c>
      <c r="L13290" s="45">
        <v>46016.458333333336</v>
      </c>
      <c r="M13290" s="46" t="s">
        <v>123</v>
      </c>
      <c r="N13290" s="45">
        <v>46016.833333333336</v>
      </c>
      <c r="O13290" s="46" t="s">
        <v>123</v>
      </c>
      <c r="P13290" s="46">
        <v>32400.0</v>
      </c>
    </row>
    <row r="13291">
      <c r="A13291" s="40">
        <f t="shared" si="1"/>
        <v>46013</v>
      </c>
      <c r="B13291" s="37" t="str">
        <f t="array" ref="B13291">iferror(xlookup($I13291, 'IMPORT VHC Report'!$E:$E, 'IMPORT VHC Report'!$A:$C), )</f>
        <v/>
      </c>
      <c r="C13291" s="44"/>
      <c r="D13291" s="44"/>
      <c r="E13291" s="46" t="s">
        <v>9371</v>
      </c>
      <c r="F13291" s="46" t="s">
        <v>3908</v>
      </c>
      <c r="G13291" s="46">
        <v>7.437371735567E12</v>
      </c>
      <c r="H13291" s="46" t="s">
        <v>3909</v>
      </c>
      <c r="I13291" s="46" t="s">
        <v>3910</v>
      </c>
      <c r="J13291" s="46" t="s">
        <v>125</v>
      </c>
      <c r="K13291" s="46" t="s">
        <v>126</v>
      </c>
      <c r="L13291" s="45">
        <v>46016.510416666664</v>
      </c>
      <c r="M13291" s="46" t="s">
        <v>123</v>
      </c>
      <c r="N13291" s="45">
        <v>46016.53125</v>
      </c>
      <c r="O13291" s="46" t="s">
        <v>123</v>
      </c>
      <c r="P13291" s="46">
        <v>1800.0</v>
      </c>
    </row>
    <row r="13292">
      <c r="A13292" s="40">
        <f t="shared" si="1"/>
        <v>46013</v>
      </c>
      <c r="B13292" s="37" t="str">
        <f t="array" ref="B13292">iferror(xlookup($I13292, 'IMPORT VHC Report'!$E:$E, 'IMPORT VHC Report'!$A:$C), )</f>
        <v/>
      </c>
      <c r="C13292" s="44"/>
      <c r="D13292" s="44"/>
      <c r="E13292" s="46" t="s">
        <v>9372</v>
      </c>
      <c r="F13292" s="46" t="s">
        <v>3908</v>
      </c>
      <c r="G13292" s="46">
        <v>7.437371735567E12</v>
      </c>
      <c r="H13292" s="46" t="s">
        <v>3909</v>
      </c>
      <c r="I13292" s="46" t="s">
        <v>3910</v>
      </c>
      <c r="J13292" s="46" t="s">
        <v>132</v>
      </c>
      <c r="K13292" s="46" t="s">
        <v>126</v>
      </c>
      <c r="L13292" s="45">
        <v>46016.5625</v>
      </c>
      <c r="M13292" s="46" t="s">
        <v>123</v>
      </c>
      <c r="N13292" s="45">
        <v>46016.604166666664</v>
      </c>
      <c r="O13292" s="46" t="s">
        <v>123</v>
      </c>
      <c r="P13292" s="46">
        <v>3600.0</v>
      </c>
    </row>
    <row r="13293">
      <c r="A13293" s="40">
        <f t="shared" si="1"/>
        <v>46013</v>
      </c>
      <c r="B13293" s="37" t="str">
        <f t="array" ref="B13293">iferror(xlookup($I13293, 'IMPORT VHC Report'!$E:$E, 'IMPORT VHC Report'!$A:$C), )</f>
        <v/>
      </c>
      <c r="C13293" s="44"/>
      <c r="D13293" s="44"/>
      <c r="E13293" s="46" t="s">
        <v>9373</v>
      </c>
      <c r="F13293" s="46" t="s">
        <v>3908</v>
      </c>
      <c r="G13293" s="46">
        <v>7.437371735567E12</v>
      </c>
      <c r="H13293" s="46" t="s">
        <v>3909</v>
      </c>
      <c r="I13293" s="46" t="s">
        <v>3910</v>
      </c>
      <c r="J13293" s="46" t="s">
        <v>134</v>
      </c>
      <c r="K13293" s="46" t="s">
        <v>126</v>
      </c>
      <c r="L13293" s="45">
        <v>46016.666666666664</v>
      </c>
      <c r="M13293" s="46" t="s">
        <v>123</v>
      </c>
      <c r="N13293" s="45">
        <v>46016.677083333336</v>
      </c>
      <c r="O13293" s="46" t="s">
        <v>123</v>
      </c>
      <c r="P13293" s="46">
        <v>900.0</v>
      </c>
    </row>
    <row r="13294">
      <c r="A13294" s="40">
        <f t="shared" si="1"/>
        <v>46013</v>
      </c>
      <c r="B13294" s="37" t="str">
        <f t="array" ref="B13294">iferror(xlookup($I13294, 'IMPORT VHC Report'!$E:$E, 'IMPORT VHC Report'!$A:$C), )</f>
        <v/>
      </c>
      <c r="C13294" s="44"/>
      <c r="D13294" s="44"/>
      <c r="E13294" s="46" t="s">
        <v>9374</v>
      </c>
      <c r="F13294" s="46" t="s">
        <v>3908</v>
      </c>
      <c r="G13294" s="46">
        <v>7.437371735567E12</v>
      </c>
      <c r="H13294" s="46" t="s">
        <v>3909</v>
      </c>
      <c r="I13294" s="46" t="s">
        <v>3910</v>
      </c>
      <c r="J13294" s="46" t="s">
        <v>134</v>
      </c>
      <c r="K13294" s="46" t="s">
        <v>126</v>
      </c>
      <c r="L13294" s="45">
        <v>46016.739583333336</v>
      </c>
      <c r="M13294" s="46" t="s">
        <v>123</v>
      </c>
      <c r="N13294" s="45">
        <v>46016.75</v>
      </c>
      <c r="O13294" s="46" t="s">
        <v>123</v>
      </c>
      <c r="P13294" s="46">
        <v>900.0</v>
      </c>
    </row>
    <row r="13295">
      <c r="A13295" s="40">
        <f t="shared" si="1"/>
        <v>46013</v>
      </c>
      <c r="B13295" s="37" t="str">
        <f t="array" ref="B13295">iferror(xlookup($I13295, 'IMPORT VHC Report'!$E:$E, 'IMPORT VHC Report'!$A:$C), )</f>
        <v/>
      </c>
      <c r="C13295" s="44"/>
      <c r="D13295" s="44"/>
      <c r="E13295" s="46" t="s">
        <v>9375</v>
      </c>
      <c r="F13295" s="46" t="s">
        <v>3908</v>
      </c>
      <c r="G13295" s="46">
        <v>7.437371735567E12</v>
      </c>
      <c r="H13295" s="46" t="s">
        <v>3909</v>
      </c>
      <c r="I13295" s="46" t="s">
        <v>3910</v>
      </c>
      <c r="J13295" s="46" t="s">
        <v>224</v>
      </c>
      <c r="K13295" s="46" t="s">
        <v>63</v>
      </c>
      <c r="L13295" s="45">
        <v>46017.458333333336</v>
      </c>
      <c r="M13295" s="46" t="s">
        <v>123</v>
      </c>
      <c r="N13295" s="45">
        <v>46017.520833333336</v>
      </c>
      <c r="O13295" s="46" t="s">
        <v>123</v>
      </c>
      <c r="P13295" s="46">
        <v>5400.0</v>
      </c>
    </row>
    <row r="13296">
      <c r="A13296" s="40">
        <f t="shared" si="1"/>
        <v>46013</v>
      </c>
      <c r="B13296" s="37" t="str">
        <f t="array" ref="B13296">iferror(xlookup($I13296, 'IMPORT VHC Report'!$E:$E, 'IMPORT VHC Report'!$A:$C), )</f>
        <v/>
      </c>
      <c r="C13296" s="44"/>
      <c r="D13296" s="44"/>
      <c r="E13296" s="46" t="s">
        <v>9376</v>
      </c>
      <c r="F13296" s="46" t="s">
        <v>3908</v>
      </c>
      <c r="G13296" s="46">
        <v>7.437371735567E12</v>
      </c>
      <c r="H13296" s="46" t="s">
        <v>3909</v>
      </c>
      <c r="I13296" s="46" t="s">
        <v>3910</v>
      </c>
      <c r="J13296" s="46" t="s">
        <v>62</v>
      </c>
      <c r="K13296" s="46" t="s">
        <v>63</v>
      </c>
      <c r="L13296" s="45">
        <v>46017.520833333336</v>
      </c>
      <c r="M13296" s="46" t="s">
        <v>123</v>
      </c>
      <c r="N13296" s="45">
        <v>46017.541666666664</v>
      </c>
      <c r="O13296" s="46" t="s">
        <v>123</v>
      </c>
      <c r="P13296" s="46">
        <v>1800.0</v>
      </c>
    </row>
    <row r="13297">
      <c r="A13297" s="40">
        <f t="shared" si="1"/>
        <v>46013</v>
      </c>
      <c r="B13297" s="37" t="str">
        <f t="array" ref="B13297">iferror(xlookup($I13297, 'IMPORT VHC Report'!$E:$E, 'IMPORT VHC Report'!$A:$C), )</f>
        <v/>
      </c>
      <c r="C13297" s="44"/>
      <c r="D13297" s="44"/>
      <c r="E13297" s="46" t="s">
        <v>9377</v>
      </c>
      <c r="F13297" s="46" t="s">
        <v>3908</v>
      </c>
      <c r="G13297" s="46">
        <v>7.437371735567E12</v>
      </c>
      <c r="H13297" s="46" t="s">
        <v>3909</v>
      </c>
      <c r="I13297" s="46" t="s">
        <v>3910</v>
      </c>
      <c r="J13297" s="46" t="s">
        <v>224</v>
      </c>
      <c r="K13297" s="46" t="s">
        <v>63</v>
      </c>
      <c r="L13297" s="45">
        <v>46017.541666666664</v>
      </c>
      <c r="M13297" s="46" t="s">
        <v>123</v>
      </c>
      <c r="N13297" s="45">
        <v>46017.833333333336</v>
      </c>
      <c r="O13297" s="46" t="s">
        <v>123</v>
      </c>
      <c r="P13297" s="46">
        <v>25200.0</v>
      </c>
    </row>
    <row r="13298">
      <c r="A13298" s="40">
        <f t="shared" si="1"/>
        <v>46013</v>
      </c>
      <c r="B13298" s="37" t="str">
        <f t="array" ref="B13298">iferror(xlookup($I13298, 'IMPORT VHC Report'!$E:$E, 'IMPORT VHC Report'!$A:$C), )</f>
        <v/>
      </c>
      <c r="C13298" s="44"/>
      <c r="D13298" s="44"/>
      <c r="E13298" s="46" t="s">
        <v>9378</v>
      </c>
      <c r="F13298" s="46" t="s">
        <v>3908</v>
      </c>
      <c r="G13298" s="46">
        <v>7.437371735567E12</v>
      </c>
      <c r="H13298" s="46" t="s">
        <v>3909</v>
      </c>
      <c r="I13298" s="46" t="s">
        <v>3910</v>
      </c>
      <c r="J13298" s="46" t="s">
        <v>125</v>
      </c>
      <c r="K13298" s="46" t="s">
        <v>126</v>
      </c>
      <c r="L13298" s="45">
        <v>46017.552083333336</v>
      </c>
      <c r="M13298" s="46" t="s">
        <v>123</v>
      </c>
      <c r="N13298" s="45">
        <v>46017.572916666664</v>
      </c>
      <c r="O13298" s="46" t="s">
        <v>123</v>
      </c>
      <c r="P13298" s="46">
        <v>1800.0</v>
      </c>
    </row>
    <row r="13299">
      <c r="A13299" s="40">
        <f t="shared" si="1"/>
        <v>46013</v>
      </c>
      <c r="B13299" s="37" t="str">
        <f t="array" ref="B13299">iferror(xlookup($I13299, 'IMPORT VHC Report'!$E:$E, 'IMPORT VHC Report'!$A:$C), )</f>
        <v/>
      </c>
      <c r="C13299" s="44"/>
      <c r="D13299" s="44"/>
      <c r="E13299" s="46" t="s">
        <v>9379</v>
      </c>
      <c r="F13299" s="46" t="s">
        <v>3908</v>
      </c>
      <c r="G13299" s="46">
        <v>7.437371735567E12</v>
      </c>
      <c r="H13299" s="46" t="s">
        <v>3909</v>
      </c>
      <c r="I13299" s="46" t="s">
        <v>3910</v>
      </c>
      <c r="J13299" s="46" t="s">
        <v>132</v>
      </c>
      <c r="K13299" s="46" t="s">
        <v>126</v>
      </c>
      <c r="L13299" s="45">
        <v>46017.572916666664</v>
      </c>
      <c r="M13299" s="46" t="s">
        <v>123</v>
      </c>
      <c r="N13299" s="45">
        <v>46017.614583333336</v>
      </c>
      <c r="O13299" s="46" t="s">
        <v>123</v>
      </c>
      <c r="P13299" s="46">
        <v>3600.0</v>
      </c>
    </row>
    <row r="13300">
      <c r="A13300" s="40">
        <f t="shared" si="1"/>
        <v>46013</v>
      </c>
      <c r="B13300" s="37" t="str">
        <f t="array" ref="B13300">iferror(xlookup($I13300, 'IMPORT VHC Report'!$E:$E, 'IMPORT VHC Report'!$A:$C), )</f>
        <v/>
      </c>
      <c r="C13300" s="44"/>
      <c r="D13300" s="44"/>
      <c r="E13300" s="46" t="s">
        <v>9380</v>
      </c>
      <c r="F13300" s="46" t="s">
        <v>3908</v>
      </c>
      <c r="G13300" s="46">
        <v>7.437371735567E12</v>
      </c>
      <c r="H13300" s="46" t="s">
        <v>3909</v>
      </c>
      <c r="I13300" s="46" t="s">
        <v>3910</v>
      </c>
      <c r="J13300" s="46" t="s">
        <v>4</v>
      </c>
      <c r="K13300" s="46" t="s">
        <v>126</v>
      </c>
      <c r="L13300" s="45">
        <v>46017.63888888889</v>
      </c>
      <c r="M13300" s="46" t="s">
        <v>123</v>
      </c>
      <c r="N13300" s="45">
        <v>46017.69097222222</v>
      </c>
      <c r="O13300" s="46" t="s">
        <v>123</v>
      </c>
      <c r="P13300" s="46">
        <v>4500.0</v>
      </c>
      <c r="S13300" s="46" t="s">
        <v>9277</v>
      </c>
    </row>
    <row r="13301">
      <c r="A13301" s="40">
        <f t="shared" si="1"/>
        <v>46013</v>
      </c>
      <c r="B13301" s="37" t="str">
        <f t="array" ref="B13301">iferror(xlookup($I13301, 'IMPORT VHC Report'!$E:$E, 'IMPORT VHC Report'!$A:$C), )</f>
        <v/>
      </c>
      <c r="C13301" s="44"/>
      <c r="D13301" s="44"/>
      <c r="E13301" s="46" t="s">
        <v>9381</v>
      </c>
      <c r="F13301" s="46" t="s">
        <v>3908</v>
      </c>
      <c r="G13301" s="46">
        <v>7.437371735567E12</v>
      </c>
      <c r="H13301" s="46" t="s">
        <v>3909</v>
      </c>
      <c r="I13301" s="46" t="s">
        <v>3910</v>
      </c>
      <c r="J13301" s="46" t="s">
        <v>134</v>
      </c>
      <c r="K13301" s="46" t="s">
        <v>126</v>
      </c>
      <c r="L13301" s="45">
        <v>46017.69097222222</v>
      </c>
      <c r="M13301" s="46" t="s">
        <v>123</v>
      </c>
      <c r="N13301" s="45">
        <v>46017.70138888889</v>
      </c>
      <c r="O13301" s="46" t="s">
        <v>123</v>
      </c>
      <c r="P13301" s="46">
        <v>900.0</v>
      </c>
    </row>
    <row r="13302">
      <c r="A13302" s="40">
        <f t="shared" si="1"/>
        <v>46013</v>
      </c>
      <c r="B13302" s="37" t="str">
        <f t="array" ref="B13302">iferror(xlookup($I13302, 'IMPORT VHC Report'!$E:$E, 'IMPORT VHC Report'!$A:$C), )</f>
        <v/>
      </c>
      <c r="C13302" s="44"/>
      <c r="D13302" s="44"/>
      <c r="E13302" s="46" t="s">
        <v>9382</v>
      </c>
      <c r="F13302" s="46" t="s">
        <v>3908</v>
      </c>
      <c r="G13302" s="46">
        <v>7.437371735567E12</v>
      </c>
      <c r="H13302" s="46" t="s">
        <v>3909</v>
      </c>
      <c r="I13302" s="46" t="s">
        <v>3910</v>
      </c>
      <c r="J13302" s="46" t="s">
        <v>134</v>
      </c>
      <c r="K13302" s="46" t="s">
        <v>126</v>
      </c>
      <c r="L13302" s="45">
        <v>46017.75</v>
      </c>
      <c r="M13302" s="46" t="s">
        <v>123</v>
      </c>
      <c r="N13302" s="45">
        <v>46017.760416666664</v>
      </c>
      <c r="O13302" s="46" t="s">
        <v>123</v>
      </c>
      <c r="P13302" s="46">
        <v>900.0</v>
      </c>
    </row>
    <row r="13303">
      <c r="A13303" s="40">
        <f t="shared" si="1"/>
        <v>46013</v>
      </c>
      <c r="B13303" s="37" t="str">
        <f t="array" ref="B13303">iferror(xlookup($I13303, 'IMPORT VHC Report'!$E:$E, 'IMPORT VHC Report'!$A:$C), )</f>
        <v/>
      </c>
      <c r="C13303" s="44"/>
      <c r="D13303" s="44"/>
      <c r="E13303" s="46" t="s">
        <v>9383</v>
      </c>
      <c r="F13303" s="46" t="s">
        <v>3908</v>
      </c>
      <c r="G13303" s="46">
        <v>7.437371735567E12</v>
      </c>
      <c r="H13303" s="46" t="s">
        <v>3909</v>
      </c>
      <c r="I13303" s="46" t="s">
        <v>3910</v>
      </c>
      <c r="J13303" s="46" t="s">
        <v>125</v>
      </c>
      <c r="K13303" s="46" t="s">
        <v>126</v>
      </c>
      <c r="L13303" s="45">
        <v>46017.78125</v>
      </c>
      <c r="M13303" s="46" t="s">
        <v>123</v>
      </c>
      <c r="N13303" s="45">
        <v>46017.802083333336</v>
      </c>
      <c r="O13303" s="46" t="s">
        <v>123</v>
      </c>
      <c r="P13303" s="46">
        <v>1800.0</v>
      </c>
    </row>
    <row r="13304">
      <c r="A13304" s="40">
        <f t="shared" si="1"/>
        <v>46013</v>
      </c>
      <c r="B13304" s="37" t="str">
        <f t="array" ref="B13304">iferror(xlookup($I13304, 'IMPORT VHC Report'!$E:$E, 'IMPORT VHC Report'!$A:$C), )</f>
        <v/>
      </c>
      <c r="C13304" s="44"/>
      <c r="D13304" s="44"/>
      <c r="E13304" s="46" t="s">
        <v>9384</v>
      </c>
      <c r="F13304" s="46" t="s">
        <v>3985</v>
      </c>
      <c r="G13304" s="46">
        <v>7.437401161487E12</v>
      </c>
      <c r="H13304" s="46" t="s">
        <v>3986</v>
      </c>
      <c r="I13304" s="46" t="s">
        <v>3987</v>
      </c>
      <c r="J13304" s="46" t="s">
        <v>224</v>
      </c>
      <c r="K13304" s="46" t="s">
        <v>63</v>
      </c>
      <c r="L13304" s="45">
        <v>46013.5</v>
      </c>
      <c r="M13304" s="46" t="s">
        <v>123</v>
      </c>
      <c r="N13304" s="45">
        <v>46013.614583333336</v>
      </c>
      <c r="O13304" s="46" t="s">
        <v>123</v>
      </c>
      <c r="P13304" s="46">
        <v>9900.0</v>
      </c>
    </row>
    <row r="13305">
      <c r="A13305" s="40">
        <f t="shared" si="1"/>
        <v>46013</v>
      </c>
      <c r="B13305" s="37" t="str">
        <f t="array" ref="B13305">iferror(xlookup($I13305, 'IMPORT VHC Report'!$E:$E, 'IMPORT VHC Report'!$A:$C), )</f>
        <v/>
      </c>
      <c r="C13305" s="44"/>
      <c r="D13305" s="44"/>
      <c r="E13305" s="46" t="s">
        <v>9385</v>
      </c>
      <c r="F13305" s="46" t="s">
        <v>3985</v>
      </c>
      <c r="G13305" s="46">
        <v>7.437401161487E12</v>
      </c>
      <c r="H13305" s="46" t="s">
        <v>3986</v>
      </c>
      <c r="I13305" s="46" t="s">
        <v>3987</v>
      </c>
      <c r="J13305" s="46" t="s">
        <v>178</v>
      </c>
      <c r="K13305" s="46" t="s">
        <v>153</v>
      </c>
      <c r="L13305" s="45">
        <v>46013.5</v>
      </c>
      <c r="M13305" s="46" t="s">
        <v>123</v>
      </c>
      <c r="N13305" s="45">
        <v>46013.875</v>
      </c>
      <c r="O13305" s="46" t="s">
        <v>123</v>
      </c>
      <c r="P13305" s="46">
        <v>32400.0</v>
      </c>
      <c r="Q13305" s="46">
        <v>57600.0</v>
      </c>
      <c r="R13305" s="46" t="s">
        <v>4207</v>
      </c>
    </row>
    <row r="13306">
      <c r="A13306" s="40">
        <f t="shared" si="1"/>
        <v>46013</v>
      </c>
      <c r="B13306" s="37" t="str">
        <f t="array" ref="B13306">iferror(xlookup($I13306, 'IMPORT VHC Report'!$E:$E, 'IMPORT VHC Report'!$A:$C), )</f>
        <v/>
      </c>
      <c r="C13306" s="44"/>
      <c r="D13306" s="44"/>
      <c r="E13306" s="46" t="s">
        <v>9386</v>
      </c>
      <c r="F13306" s="46" t="s">
        <v>3985</v>
      </c>
      <c r="G13306" s="46">
        <v>7.437401161487E12</v>
      </c>
      <c r="H13306" s="46" t="s">
        <v>3986</v>
      </c>
      <c r="I13306" s="46" t="s">
        <v>3987</v>
      </c>
      <c r="J13306" s="46" t="s">
        <v>134</v>
      </c>
      <c r="K13306" s="46" t="s">
        <v>126</v>
      </c>
      <c r="L13306" s="45">
        <v>46013.614583333336</v>
      </c>
      <c r="M13306" s="46" t="s">
        <v>123</v>
      </c>
      <c r="N13306" s="45">
        <v>46013.625</v>
      </c>
      <c r="O13306" s="46" t="s">
        <v>123</v>
      </c>
      <c r="P13306" s="46">
        <v>900.0</v>
      </c>
    </row>
    <row r="13307">
      <c r="A13307" s="40">
        <f t="shared" si="1"/>
        <v>46013</v>
      </c>
      <c r="B13307" s="37" t="str">
        <f t="array" ref="B13307">iferror(xlookup($I13307, 'IMPORT VHC Report'!$E:$E, 'IMPORT VHC Report'!$A:$C), )</f>
        <v/>
      </c>
      <c r="C13307" s="44"/>
      <c r="D13307" s="44"/>
      <c r="E13307" s="46" t="s">
        <v>9387</v>
      </c>
      <c r="F13307" s="46" t="s">
        <v>3985</v>
      </c>
      <c r="G13307" s="46">
        <v>7.437401161487E12</v>
      </c>
      <c r="H13307" s="46" t="s">
        <v>3986</v>
      </c>
      <c r="I13307" s="46" t="s">
        <v>3987</v>
      </c>
      <c r="J13307" s="46" t="s">
        <v>224</v>
      </c>
      <c r="K13307" s="46" t="s">
        <v>63</v>
      </c>
      <c r="L13307" s="45">
        <v>46013.614583333336</v>
      </c>
      <c r="M13307" s="46" t="s">
        <v>123</v>
      </c>
      <c r="N13307" s="45">
        <v>46013.875</v>
      </c>
      <c r="O13307" s="46" t="s">
        <v>123</v>
      </c>
      <c r="P13307" s="46">
        <v>22500.0</v>
      </c>
    </row>
    <row r="13308">
      <c r="A13308" s="40">
        <f t="shared" si="1"/>
        <v>46013</v>
      </c>
      <c r="B13308" s="37" t="str">
        <f t="array" ref="B13308">iferror(xlookup($I13308, 'IMPORT VHC Report'!$E:$E, 'IMPORT VHC Report'!$A:$C), )</f>
        <v/>
      </c>
      <c r="C13308" s="44"/>
      <c r="D13308" s="44"/>
      <c r="E13308" s="46" t="s">
        <v>9388</v>
      </c>
      <c r="F13308" s="46" t="s">
        <v>3985</v>
      </c>
      <c r="G13308" s="46">
        <v>7.437401161487E12</v>
      </c>
      <c r="H13308" s="46" t="s">
        <v>3986</v>
      </c>
      <c r="I13308" s="46" t="s">
        <v>3987</v>
      </c>
      <c r="J13308" s="46" t="s">
        <v>134</v>
      </c>
      <c r="K13308" s="46" t="s">
        <v>126</v>
      </c>
      <c r="L13308" s="45">
        <v>46013.697916666664</v>
      </c>
      <c r="M13308" s="46" t="s">
        <v>123</v>
      </c>
      <c r="N13308" s="45">
        <v>46013.708333333336</v>
      </c>
      <c r="O13308" s="46" t="s">
        <v>123</v>
      </c>
      <c r="P13308" s="46">
        <v>900.0</v>
      </c>
    </row>
    <row r="13309">
      <c r="A13309" s="40">
        <f t="shared" si="1"/>
        <v>46013</v>
      </c>
      <c r="B13309" s="37" t="str">
        <f t="array" ref="B13309">iferror(xlookup($I13309, 'IMPORT VHC Report'!$E:$E, 'IMPORT VHC Report'!$A:$C), )</f>
        <v/>
      </c>
      <c r="C13309" s="44"/>
      <c r="D13309" s="44"/>
      <c r="E13309" s="46" t="s">
        <v>9389</v>
      </c>
      <c r="F13309" s="46" t="s">
        <v>3985</v>
      </c>
      <c r="G13309" s="46">
        <v>7.437401161487E12</v>
      </c>
      <c r="H13309" s="46" t="s">
        <v>3986</v>
      </c>
      <c r="I13309" s="46" t="s">
        <v>3987</v>
      </c>
      <c r="J13309" s="46" t="s">
        <v>132</v>
      </c>
      <c r="K13309" s="46" t="s">
        <v>126</v>
      </c>
      <c r="L13309" s="45">
        <v>46013.770833333336</v>
      </c>
      <c r="M13309" s="46" t="s">
        <v>123</v>
      </c>
      <c r="N13309" s="45">
        <v>46013.8125</v>
      </c>
      <c r="O13309" s="46" t="s">
        <v>123</v>
      </c>
      <c r="P13309" s="46">
        <v>3600.0</v>
      </c>
    </row>
    <row r="13310">
      <c r="A13310" s="40">
        <f t="shared" si="1"/>
        <v>46013</v>
      </c>
      <c r="B13310" s="37" t="str">
        <f t="array" ref="B13310">iferror(xlookup($I13310, 'IMPORT VHC Report'!$E:$E, 'IMPORT VHC Report'!$A:$C), )</f>
        <v/>
      </c>
      <c r="C13310" s="44"/>
      <c r="D13310" s="44"/>
      <c r="E13310" s="46" t="s">
        <v>9390</v>
      </c>
      <c r="F13310" s="46" t="s">
        <v>3985</v>
      </c>
      <c r="G13310" s="46">
        <v>7.437401161487E12</v>
      </c>
      <c r="H13310" s="46" t="s">
        <v>3986</v>
      </c>
      <c r="I13310" s="46" t="s">
        <v>3987</v>
      </c>
      <c r="J13310" s="46" t="s">
        <v>136</v>
      </c>
      <c r="K13310" s="46" t="s">
        <v>126</v>
      </c>
      <c r="L13310" s="45">
        <v>46014.5</v>
      </c>
      <c r="M13310" s="46" t="s">
        <v>123</v>
      </c>
      <c r="N13310" s="45">
        <v>46014.541666666664</v>
      </c>
      <c r="O13310" s="46" t="s">
        <v>123</v>
      </c>
      <c r="P13310" s="46">
        <v>3600.0</v>
      </c>
      <c r="S13310" s="46" t="s">
        <v>137</v>
      </c>
    </row>
    <row r="13311">
      <c r="A13311" s="40">
        <f t="shared" si="1"/>
        <v>46013</v>
      </c>
      <c r="B13311" s="37" t="str">
        <f t="array" ref="B13311">iferror(xlookup($I13311, 'IMPORT VHC Report'!$E:$E, 'IMPORT VHC Report'!$A:$C), )</f>
        <v/>
      </c>
      <c r="C13311" s="44"/>
      <c r="D13311" s="44"/>
      <c r="E13311" s="46" t="s">
        <v>9391</v>
      </c>
      <c r="F13311" s="46" t="s">
        <v>3985</v>
      </c>
      <c r="G13311" s="46">
        <v>7.437401161487E12</v>
      </c>
      <c r="H13311" s="46" t="s">
        <v>3986</v>
      </c>
      <c r="I13311" s="46" t="s">
        <v>3987</v>
      </c>
      <c r="J13311" s="46" t="s">
        <v>178</v>
      </c>
      <c r="K13311" s="46" t="s">
        <v>153</v>
      </c>
      <c r="L13311" s="45">
        <v>46014.5</v>
      </c>
      <c r="M13311" s="46" t="s">
        <v>123</v>
      </c>
      <c r="N13311" s="45">
        <v>46014.875</v>
      </c>
      <c r="O13311" s="46" t="s">
        <v>123</v>
      </c>
      <c r="P13311" s="46">
        <v>32400.0</v>
      </c>
      <c r="Q13311" s="46">
        <v>32400.0</v>
      </c>
    </row>
    <row r="13312">
      <c r="A13312" s="40">
        <f t="shared" si="1"/>
        <v>46013</v>
      </c>
      <c r="B13312" s="37" t="str">
        <f t="array" ref="B13312">iferror(xlookup($I13312, 'IMPORT VHC Report'!$E:$E, 'IMPORT VHC Report'!$A:$C), )</f>
        <v/>
      </c>
      <c r="C13312" s="44"/>
      <c r="D13312" s="44"/>
      <c r="E13312" s="46" t="s">
        <v>9392</v>
      </c>
      <c r="F13312" s="46" t="s">
        <v>3985</v>
      </c>
      <c r="G13312" s="46">
        <v>7.437401161487E12</v>
      </c>
      <c r="H13312" s="46" t="s">
        <v>3986</v>
      </c>
      <c r="I13312" s="46" t="s">
        <v>3987</v>
      </c>
      <c r="J13312" s="46" t="s">
        <v>224</v>
      </c>
      <c r="K13312" s="46" t="s">
        <v>63</v>
      </c>
      <c r="L13312" s="45">
        <v>46014.541666666664</v>
      </c>
      <c r="M13312" s="46" t="s">
        <v>123</v>
      </c>
      <c r="N13312" s="45">
        <v>46014.770833333336</v>
      </c>
      <c r="O13312" s="46" t="s">
        <v>123</v>
      </c>
      <c r="P13312" s="46">
        <v>19800.0</v>
      </c>
    </row>
    <row r="13313">
      <c r="A13313" s="40">
        <f t="shared" si="1"/>
        <v>46013</v>
      </c>
      <c r="B13313" s="37" t="str">
        <f t="array" ref="B13313">iferror(xlookup($I13313, 'IMPORT VHC Report'!$E:$E, 'IMPORT VHC Report'!$A:$C), )</f>
        <v/>
      </c>
      <c r="C13313" s="44"/>
      <c r="D13313" s="44"/>
      <c r="E13313" s="46" t="s">
        <v>9393</v>
      </c>
      <c r="F13313" s="46" t="s">
        <v>3985</v>
      </c>
      <c r="G13313" s="46">
        <v>7.437401161487E12</v>
      </c>
      <c r="H13313" s="46" t="s">
        <v>3986</v>
      </c>
      <c r="I13313" s="46" t="s">
        <v>3987</v>
      </c>
      <c r="J13313" s="46" t="s">
        <v>134</v>
      </c>
      <c r="K13313" s="46" t="s">
        <v>126</v>
      </c>
      <c r="L13313" s="45">
        <v>46014.583333333336</v>
      </c>
      <c r="M13313" s="46" t="s">
        <v>123</v>
      </c>
      <c r="N13313" s="45">
        <v>46014.59375</v>
      </c>
      <c r="O13313" s="46" t="s">
        <v>123</v>
      </c>
      <c r="P13313" s="46">
        <v>900.0</v>
      </c>
    </row>
    <row r="13314">
      <c r="A13314" s="40">
        <f t="shared" si="1"/>
        <v>46013</v>
      </c>
      <c r="B13314" s="37" t="str">
        <f t="array" ref="B13314">iferror(xlookup($I13314, 'IMPORT VHC Report'!$E:$E, 'IMPORT VHC Report'!$A:$C), )</f>
        <v/>
      </c>
      <c r="C13314" s="44"/>
      <c r="D13314" s="44"/>
      <c r="E13314" s="46" t="s">
        <v>9394</v>
      </c>
      <c r="F13314" s="46" t="s">
        <v>3985</v>
      </c>
      <c r="G13314" s="46">
        <v>7.437401161487E12</v>
      </c>
      <c r="H13314" s="46" t="s">
        <v>3986</v>
      </c>
      <c r="I13314" s="46" t="s">
        <v>3987</v>
      </c>
      <c r="J13314" s="46" t="s">
        <v>132</v>
      </c>
      <c r="K13314" s="46" t="s">
        <v>126</v>
      </c>
      <c r="L13314" s="45">
        <v>46014.65625</v>
      </c>
      <c r="M13314" s="46" t="s">
        <v>123</v>
      </c>
      <c r="N13314" s="45">
        <v>46014.697916666664</v>
      </c>
      <c r="O13314" s="46" t="s">
        <v>123</v>
      </c>
      <c r="P13314" s="46">
        <v>3600.0</v>
      </c>
    </row>
    <row r="13315">
      <c r="A13315" s="40">
        <f t="shared" si="1"/>
        <v>46013</v>
      </c>
      <c r="B13315" s="37" t="str">
        <f t="array" ref="B13315">iferror(xlookup($I13315, 'IMPORT VHC Report'!$E:$E, 'IMPORT VHC Report'!$A:$C), )</f>
        <v/>
      </c>
      <c r="C13315" s="44"/>
      <c r="D13315" s="44"/>
      <c r="E13315" s="46" t="s">
        <v>9395</v>
      </c>
      <c r="F13315" s="46" t="s">
        <v>3985</v>
      </c>
      <c r="G13315" s="46">
        <v>7.437401161487E12</v>
      </c>
      <c r="H13315" s="46" t="s">
        <v>3986</v>
      </c>
      <c r="I13315" s="46" t="s">
        <v>3987</v>
      </c>
      <c r="J13315" s="46" t="s">
        <v>134</v>
      </c>
      <c r="K13315" s="46" t="s">
        <v>126</v>
      </c>
      <c r="L13315" s="45">
        <v>46014.760416666664</v>
      </c>
      <c r="M13315" s="46" t="s">
        <v>123</v>
      </c>
      <c r="N13315" s="45">
        <v>46014.770833333336</v>
      </c>
      <c r="O13315" s="46" t="s">
        <v>123</v>
      </c>
      <c r="P13315" s="46">
        <v>900.0</v>
      </c>
    </row>
    <row r="13316">
      <c r="A13316" s="40">
        <f t="shared" si="1"/>
        <v>46013</v>
      </c>
      <c r="B13316" s="37" t="str">
        <f t="array" ref="B13316">iferror(xlookup($I13316, 'IMPORT VHC Report'!$E:$E, 'IMPORT VHC Report'!$A:$C), )</f>
        <v/>
      </c>
      <c r="C13316" s="44"/>
      <c r="D13316" s="44"/>
      <c r="E13316" s="46" t="s">
        <v>9396</v>
      </c>
      <c r="F13316" s="46" t="s">
        <v>3985</v>
      </c>
      <c r="G13316" s="46">
        <v>7.437401161487E12</v>
      </c>
      <c r="H13316" s="46" t="s">
        <v>3986</v>
      </c>
      <c r="I13316" s="46" t="s">
        <v>3987</v>
      </c>
      <c r="J13316" s="46" t="s">
        <v>62</v>
      </c>
      <c r="K13316" s="46" t="s">
        <v>63</v>
      </c>
      <c r="L13316" s="45">
        <v>46014.770833333336</v>
      </c>
      <c r="M13316" s="46" t="s">
        <v>123</v>
      </c>
      <c r="N13316" s="45">
        <v>46014.791666666664</v>
      </c>
      <c r="O13316" s="46" t="s">
        <v>123</v>
      </c>
      <c r="P13316" s="46">
        <v>1800.0</v>
      </c>
    </row>
    <row r="13317">
      <c r="A13317" s="40">
        <f t="shared" si="1"/>
        <v>46013</v>
      </c>
      <c r="B13317" s="37" t="str">
        <f t="array" ref="B13317">iferror(xlookup($I13317, 'IMPORT VHC Report'!$E:$E, 'IMPORT VHC Report'!$A:$C), )</f>
        <v/>
      </c>
      <c r="C13317" s="44"/>
      <c r="D13317" s="44"/>
      <c r="E13317" s="46" t="s">
        <v>9397</v>
      </c>
      <c r="F13317" s="46" t="s">
        <v>3985</v>
      </c>
      <c r="G13317" s="46">
        <v>7.437401161487E12</v>
      </c>
      <c r="H13317" s="46" t="s">
        <v>3986</v>
      </c>
      <c r="I13317" s="46" t="s">
        <v>3987</v>
      </c>
      <c r="J13317" s="46" t="s">
        <v>224</v>
      </c>
      <c r="K13317" s="46" t="s">
        <v>63</v>
      </c>
      <c r="L13317" s="45">
        <v>46014.791666666664</v>
      </c>
      <c r="M13317" s="46" t="s">
        <v>123</v>
      </c>
      <c r="N13317" s="45">
        <v>46014.875</v>
      </c>
      <c r="O13317" s="46" t="s">
        <v>123</v>
      </c>
      <c r="P13317" s="46">
        <v>7200.0</v>
      </c>
    </row>
    <row r="13318">
      <c r="A13318" s="40">
        <f t="shared" si="1"/>
        <v>46013</v>
      </c>
      <c r="B13318" s="37" t="str">
        <f t="array" ref="B13318">iferror(xlookup($I13318, 'IMPORT VHC Report'!$E:$E, 'IMPORT VHC Report'!$A:$C), )</f>
        <v/>
      </c>
      <c r="C13318" s="44"/>
      <c r="D13318" s="44"/>
      <c r="E13318" s="46" t="s">
        <v>9398</v>
      </c>
      <c r="F13318" s="46" t="s">
        <v>3985</v>
      </c>
      <c r="G13318" s="46">
        <v>7.437401161487E12</v>
      </c>
      <c r="H13318" s="46" t="s">
        <v>3986</v>
      </c>
      <c r="I13318" s="46" t="s">
        <v>3987</v>
      </c>
      <c r="J13318" s="46" t="s">
        <v>224</v>
      </c>
      <c r="K13318" s="46" t="s">
        <v>63</v>
      </c>
      <c r="L13318" s="45">
        <v>46017.5</v>
      </c>
      <c r="M13318" s="46" t="s">
        <v>123</v>
      </c>
      <c r="N13318" s="45">
        <v>46017.875</v>
      </c>
      <c r="O13318" s="46" t="s">
        <v>123</v>
      </c>
      <c r="P13318" s="46">
        <v>32400.0</v>
      </c>
    </row>
    <row r="13319">
      <c r="A13319" s="40">
        <f t="shared" si="1"/>
        <v>46013</v>
      </c>
      <c r="B13319" s="37" t="str">
        <f t="array" ref="B13319">iferror(xlookup($I13319, 'IMPORT VHC Report'!$E:$E, 'IMPORT VHC Report'!$A:$C), )</f>
        <v/>
      </c>
      <c r="C13319" s="44"/>
      <c r="D13319" s="44"/>
      <c r="E13319" s="46" t="s">
        <v>9399</v>
      </c>
      <c r="F13319" s="46" t="s">
        <v>3985</v>
      </c>
      <c r="G13319" s="46">
        <v>7.437401161487E12</v>
      </c>
      <c r="H13319" s="46" t="s">
        <v>3986</v>
      </c>
      <c r="I13319" s="46" t="s">
        <v>3987</v>
      </c>
      <c r="J13319" s="46" t="s">
        <v>134</v>
      </c>
      <c r="K13319" s="46" t="s">
        <v>126</v>
      </c>
      <c r="L13319" s="45">
        <v>46017.5625</v>
      </c>
      <c r="M13319" s="46" t="s">
        <v>123</v>
      </c>
      <c r="N13319" s="45">
        <v>46017.572916666664</v>
      </c>
      <c r="O13319" s="46" t="s">
        <v>123</v>
      </c>
      <c r="P13319" s="46">
        <v>900.0</v>
      </c>
    </row>
    <row r="13320">
      <c r="A13320" s="40">
        <f t="shared" si="1"/>
        <v>46013</v>
      </c>
      <c r="B13320" s="37" t="str">
        <f t="array" ref="B13320">iferror(xlookup($I13320, 'IMPORT VHC Report'!$E:$E, 'IMPORT VHC Report'!$A:$C), )</f>
        <v/>
      </c>
      <c r="C13320" s="44"/>
      <c r="D13320" s="44"/>
      <c r="E13320" s="46" t="s">
        <v>9400</v>
      </c>
      <c r="F13320" s="46" t="s">
        <v>3985</v>
      </c>
      <c r="G13320" s="46">
        <v>7.437401161487E12</v>
      </c>
      <c r="H13320" s="46" t="s">
        <v>3986</v>
      </c>
      <c r="I13320" s="46" t="s">
        <v>3987</v>
      </c>
      <c r="J13320" s="46" t="s">
        <v>125</v>
      </c>
      <c r="K13320" s="46" t="s">
        <v>126</v>
      </c>
      <c r="L13320" s="45">
        <v>46017.583333333336</v>
      </c>
      <c r="M13320" s="46" t="s">
        <v>123</v>
      </c>
      <c r="N13320" s="45">
        <v>46017.604166666664</v>
      </c>
      <c r="O13320" s="46" t="s">
        <v>123</v>
      </c>
      <c r="P13320" s="46">
        <v>1800.0</v>
      </c>
      <c r="S13320" s="46" t="s">
        <v>9401</v>
      </c>
    </row>
    <row r="13321">
      <c r="A13321" s="40">
        <f t="shared" si="1"/>
        <v>46013</v>
      </c>
      <c r="B13321" s="37" t="str">
        <f t="array" ref="B13321">iferror(xlookup($I13321, 'IMPORT VHC Report'!$E:$E, 'IMPORT VHC Report'!$A:$C), )</f>
        <v/>
      </c>
      <c r="C13321" s="44"/>
      <c r="D13321" s="44"/>
      <c r="E13321" s="46" t="s">
        <v>9402</v>
      </c>
      <c r="F13321" s="46" t="s">
        <v>3985</v>
      </c>
      <c r="G13321" s="46">
        <v>7.437401161487E12</v>
      </c>
      <c r="H13321" s="46" t="s">
        <v>3986</v>
      </c>
      <c r="I13321" s="46" t="s">
        <v>3987</v>
      </c>
      <c r="J13321" s="46" t="s">
        <v>125</v>
      </c>
      <c r="K13321" s="46" t="s">
        <v>126</v>
      </c>
      <c r="L13321" s="45">
        <v>46017.64236111111</v>
      </c>
      <c r="M13321" s="46" t="s">
        <v>123</v>
      </c>
      <c r="N13321" s="45">
        <v>46017.65625</v>
      </c>
      <c r="O13321" s="46" t="s">
        <v>123</v>
      </c>
      <c r="P13321" s="46">
        <v>1200.0</v>
      </c>
      <c r="S13321" s="46" t="s">
        <v>9403</v>
      </c>
    </row>
    <row r="13322">
      <c r="A13322" s="40">
        <f t="shared" si="1"/>
        <v>46013</v>
      </c>
      <c r="B13322" s="37" t="str">
        <f t="array" ref="B13322">iferror(xlookup($I13322, 'IMPORT VHC Report'!$E:$E, 'IMPORT VHC Report'!$A:$C), )</f>
        <v/>
      </c>
      <c r="C13322" s="44"/>
      <c r="D13322" s="44"/>
      <c r="E13322" s="46" t="s">
        <v>9404</v>
      </c>
      <c r="F13322" s="46" t="s">
        <v>3985</v>
      </c>
      <c r="G13322" s="46">
        <v>7.437401161487E12</v>
      </c>
      <c r="H13322" s="46" t="s">
        <v>3986</v>
      </c>
      <c r="I13322" s="46" t="s">
        <v>3987</v>
      </c>
      <c r="J13322" s="46" t="s">
        <v>134</v>
      </c>
      <c r="K13322" s="46" t="s">
        <v>126</v>
      </c>
      <c r="L13322" s="45">
        <v>46017.65625</v>
      </c>
      <c r="M13322" s="46" t="s">
        <v>123</v>
      </c>
      <c r="N13322" s="45">
        <v>46017.666666666664</v>
      </c>
      <c r="O13322" s="46" t="s">
        <v>123</v>
      </c>
      <c r="P13322" s="46">
        <v>900.0</v>
      </c>
    </row>
    <row r="13323">
      <c r="A13323" s="40">
        <f t="shared" si="1"/>
        <v>46013</v>
      </c>
      <c r="B13323" s="37" t="str">
        <f t="array" ref="B13323">iferror(xlookup($I13323, 'IMPORT VHC Report'!$E:$E, 'IMPORT VHC Report'!$A:$C), )</f>
        <v/>
      </c>
      <c r="C13323" s="44"/>
      <c r="D13323" s="44"/>
      <c r="E13323" s="46" t="s">
        <v>9405</v>
      </c>
      <c r="F13323" s="46" t="s">
        <v>3985</v>
      </c>
      <c r="G13323" s="46">
        <v>7.437401161487E12</v>
      </c>
      <c r="H13323" s="46" t="s">
        <v>3986</v>
      </c>
      <c r="I13323" s="46" t="s">
        <v>3987</v>
      </c>
      <c r="J13323" s="46" t="s">
        <v>125</v>
      </c>
      <c r="K13323" s="46" t="s">
        <v>126</v>
      </c>
      <c r="L13323" s="45">
        <v>46017.666666666664</v>
      </c>
      <c r="M13323" s="46" t="s">
        <v>123</v>
      </c>
      <c r="N13323" s="45">
        <v>46017.708333333336</v>
      </c>
      <c r="O13323" s="46" t="s">
        <v>123</v>
      </c>
      <c r="P13323" s="46">
        <v>3600.0</v>
      </c>
      <c r="S13323" s="46" t="s">
        <v>9406</v>
      </c>
    </row>
    <row r="13324">
      <c r="A13324" s="40">
        <f t="shared" si="1"/>
        <v>46013</v>
      </c>
      <c r="B13324" s="37" t="str">
        <f t="array" ref="B13324">iferror(xlookup($I13324, 'IMPORT VHC Report'!$E:$E, 'IMPORT VHC Report'!$A:$C), )</f>
        <v/>
      </c>
      <c r="C13324" s="44"/>
      <c r="D13324" s="44"/>
      <c r="E13324" s="46" t="s">
        <v>9407</v>
      </c>
      <c r="F13324" s="46" t="s">
        <v>3985</v>
      </c>
      <c r="G13324" s="46">
        <v>7.437401161487E12</v>
      </c>
      <c r="H13324" s="46" t="s">
        <v>3986</v>
      </c>
      <c r="I13324" s="46" t="s">
        <v>3987</v>
      </c>
      <c r="J13324" s="46" t="s">
        <v>125</v>
      </c>
      <c r="K13324" s="46" t="s">
        <v>126</v>
      </c>
      <c r="L13324" s="45">
        <v>46017.666666666664</v>
      </c>
      <c r="M13324" s="46" t="s">
        <v>123</v>
      </c>
      <c r="N13324" s="45">
        <v>46017.708333333336</v>
      </c>
      <c r="O13324" s="46" t="s">
        <v>123</v>
      </c>
      <c r="P13324" s="46">
        <v>3600.0</v>
      </c>
      <c r="S13324" s="46" t="s">
        <v>9406</v>
      </c>
    </row>
    <row r="13325">
      <c r="A13325" s="40">
        <f t="shared" si="1"/>
        <v>46013</v>
      </c>
      <c r="B13325" s="37" t="str">
        <f t="array" ref="B13325">iferror(xlookup($I13325, 'IMPORT VHC Report'!$E:$E, 'IMPORT VHC Report'!$A:$C), )</f>
        <v/>
      </c>
      <c r="C13325" s="44"/>
      <c r="D13325" s="44"/>
      <c r="E13325" s="46" t="s">
        <v>9408</v>
      </c>
      <c r="F13325" s="46" t="s">
        <v>3985</v>
      </c>
      <c r="G13325" s="46">
        <v>7.437401161487E12</v>
      </c>
      <c r="H13325" s="46" t="s">
        <v>3986</v>
      </c>
      <c r="I13325" s="46" t="s">
        <v>3987</v>
      </c>
      <c r="J13325" s="46" t="s">
        <v>132</v>
      </c>
      <c r="K13325" s="46" t="s">
        <v>126</v>
      </c>
      <c r="L13325" s="45">
        <v>46017.729166666664</v>
      </c>
      <c r="M13325" s="46" t="s">
        <v>123</v>
      </c>
      <c r="N13325" s="45">
        <v>46017.770833333336</v>
      </c>
      <c r="O13325" s="46" t="s">
        <v>123</v>
      </c>
      <c r="P13325" s="46">
        <v>3600.0</v>
      </c>
    </row>
    <row r="13326">
      <c r="A13326" s="40">
        <f t="shared" si="1"/>
        <v>46013</v>
      </c>
      <c r="B13326" s="37" t="str">
        <f t="array" ref="B13326">iferror(xlookup($I13326, 'IMPORT VHC Report'!$E:$E, 'IMPORT VHC Report'!$A:$C), )</f>
        <v/>
      </c>
      <c r="C13326" s="44"/>
      <c r="D13326" s="44"/>
      <c r="E13326" s="46" t="s">
        <v>9409</v>
      </c>
      <c r="F13326" s="46" t="s">
        <v>3985</v>
      </c>
      <c r="G13326" s="46">
        <v>7.437401161487E12</v>
      </c>
      <c r="H13326" s="46" t="s">
        <v>3986</v>
      </c>
      <c r="I13326" s="46" t="s">
        <v>3987</v>
      </c>
      <c r="J13326" s="46" t="s">
        <v>125</v>
      </c>
      <c r="K13326" s="46" t="s">
        <v>126</v>
      </c>
      <c r="L13326" s="45">
        <v>46017.78680555556</v>
      </c>
      <c r="M13326" s="46" t="s">
        <v>123</v>
      </c>
      <c r="N13326" s="45">
        <v>46017.79722222222</v>
      </c>
      <c r="O13326" s="46" t="s">
        <v>123</v>
      </c>
      <c r="P13326" s="46">
        <v>900.0</v>
      </c>
      <c r="S13326" s="46" t="s">
        <v>9176</v>
      </c>
    </row>
    <row r="13327">
      <c r="A13327" s="40">
        <f t="shared" si="1"/>
        <v>46013</v>
      </c>
      <c r="B13327" s="37" t="str">
        <f t="array" ref="B13327">iferror(xlookup($I13327, 'IMPORT VHC Report'!$E:$E, 'IMPORT VHC Report'!$A:$C), )</f>
        <v/>
      </c>
      <c r="C13327" s="44"/>
      <c r="D13327" s="44"/>
      <c r="E13327" s="46" t="s">
        <v>9410</v>
      </c>
      <c r="F13327" s="46" t="s">
        <v>3985</v>
      </c>
      <c r="G13327" s="46">
        <v>7.437401161487E12</v>
      </c>
      <c r="H13327" s="46" t="s">
        <v>3986</v>
      </c>
      <c r="I13327" s="46" t="s">
        <v>3987</v>
      </c>
      <c r="J13327" s="46" t="s">
        <v>125</v>
      </c>
      <c r="K13327" s="46" t="s">
        <v>126</v>
      </c>
      <c r="L13327" s="45">
        <v>46017.78680555556</v>
      </c>
      <c r="M13327" s="46" t="s">
        <v>123</v>
      </c>
      <c r="N13327" s="45">
        <v>46017.79722222222</v>
      </c>
      <c r="O13327" s="46" t="s">
        <v>123</v>
      </c>
      <c r="P13327" s="46">
        <v>900.0</v>
      </c>
      <c r="S13327" s="46" t="s">
        <v>9176</v>
      </c>
    </row>
    <row r="13328">
      <c r="A13328" s="40">
        <f t="shared" si="1"/>
        <v>46013</v>
      </c>
      <c r="B13328" s="37" t="str">
        <f t="array" ref="B13328">iferror(xlookup($I13328, 'IMPORT VHC Report'!$E:$E, 'IMPORT VHC Report'!$A:$C), )</f>
        <v/>
      </c>
      <c r="C13328" s="44"/>
      <c r="D13328" s="44"/>
      <c r="E13328" s="46" t="s">
        <v>9411</v>
      </c>
      <c r="F13328" s="46" t="s">
        <v>3985</v>
      </c>
      <c r="G13328" s="46">
        <v>7.437401161487E12</v>
      </c>
      <c r="H13328" s="46" t="s">
        <v>3986</v>
      </c>
      <c r="I13328" s="46" t="s">
        <v>3987</v>
      </c>
      <c r="J13328" s="46" t="s">
        <v>224</v>
      </c>
      <c r="K13328" s="46" t="s">
        <v>63</v>
      </c>
      <c r="L13328" s="45">
        <v>46018.5</v>
      </c>
      <c r="M13328" s="46" t="s">
        <v>123</v>
      </c>
      <c r="N13328" s="45">
        <v>46018.875</v>
      </c>
      <c r="O13328" s="46" t="s">
        <v>123</v>
      </c>
      <c r="P13328" s="46">
        <v>32400.0</v>
      </c>
    </row>
    <row r="13329">
      <c r="A13329" s="40">
        <f t="shared" si="1"/>
        <v>46013</v>
      </c>
      <c r="B13329" s="37" t="str">
        <f t="array" ref="B13329">iferror(xlookup($I13329, 'IMPORT VHC Report'!$E:$E, 'IMPORT VHC Report'!$A:$C), )</f>
        <v/>
      </c>
      <c r="C13329" s="44"/>
      <c r="D13329" s="44"/>
      <c r="E13329" s="46" t="s">
        <v>9412</v>
      </c>
      <c r="F13329" s="46" t="s">
        <v>3985</v>
      </c>
      <c r="G13329" s="46">
        <v>7.437401161487E12</v>
      </c>
      <c r="H13329" s="46" t="s">
        <v>3986</v>
      </c>
      <c r="I13329" s="46" t="s">
        <v>3987</v>
      </c>
      <c r="J13329" s="46" t="s">
        <v>330</v>
      </c>
      <c r="K13329" s="46" t="s">
        <v>126</v>
      </c>
      <c r="L13329" s="45">
        <v>46018.541666666664</v>
      </c>
      <c r="M13329" s="46" t="s">
        <v>123</v>
      </c>
      <c r="N13329" s="45">
        <v>46018.5625</v>
      </c>
      <c r="O13329" s="46" t="s">
        <v>123</v>
      </c>
      <c r="P13329" s="46">
        <v>1800.0</v>
      </c>
    </row>
    <row r="13330">
      <c r="A13330" s="40">
        <f t="shared" si="1"/>
        <v>46013</v>
      </c>
      <c r="B13330" s="37" t="str">
        <f t="array" ref="B13330">iferror(xlookup($I13330, 'IMPORT VHC Report'!$E:$E, 'IMPORT VHC Report'!$A:$C), )</f>
        <v/>
      </c>
      <c r="C13330" s="44"/>
      <c r="D13330" s="44"/>
      <c r="E13330" s="46" t="s">
        <v>9413</v>
      </c>
      <c r="F13330" s="46" t="s">
        <v>3985</v>
      </c>
      <c r="G13330" s="46">
        <v>7.437401161487E12</v>
      </c>
      <c r="H13330" s="46" t="s">
        <v>3986</v>
      </c>
      <c r="I13330" s="46" t="s">
        <v>3987</v>
      </c>
      <c r="J13330" s="46" t="s">
        <v>134</v>
      </c>
      <c r="K13330" s="46" t="s">
        <v>126</v>
      </c>
      <c r="L13330" s="45">
        <v>46018.58541666667</v>
      </c>
      <c r="M13330" s="46" t="s">
        <v>123</v>
      </c>
      <c r="N13330" s="45">
        <v>46018.59583333333</v>
      </c>
      <c r="O13330" s="46" t="s">
        <v>123</v>
      </c>
      <c r="P13330" s="46">
        <v>900.0</v>
      </c>
      <c r="S13330" s="46" t="s">
        <v>9414</v>
      </c>
    </row>
    <row r="13331">
      <c r="A13331" s="40">
        <f t="shared" si="1"/>
        <v>46013</v>
      </c>
      <c r="B13331" s="37" t="str">
        <f t="array" ref="B13331">iferror(xlookup($I13331, 'IMPORT VHC Report'!$E:$E, 'IMPORT VHC Report'!$A:$C), )</f>
        <v/>
      </c>
      <c r="C13331" s="44"/>
      <c r="D13331" s="44"/>
      <c r="E13331" s="46" t="s">
        <v>9415</v>
      </c>
      <c r="F13331" s="46" t="s">
        <v>3985</v>
      </c>
      <c r="G13331" s="46">
        <v>7.437401161487E12</v>
      </c>
      <c r="H13331" s="46" t="s">
        <v>3986</v>
      </c>
      <c r="I13331" s="46" t="s">
        <v>3987</v>
      </c>
      <c r="J13331" s="46" t="s">
        <v>125</v>
      </c>
      <c r="K13331" s="46" t="s">
        <v>126</v>
      </c>
      <c r="L13331" s="45">
        <v>46018.614583333336</v>
      </c>
      <c r="M13331" s="46" t="s">
        <v>123</v>
      </c>
      <c r="N13331" s="45">
        <v>46018.63888888889</v>
      </c>
      <c r="O13331" s="46" t="s">
        <v>123</v>
      </c>
      <c r="P13331" s="46">
        <v>2100.0</v>
      </c>
    </row>
    <row r="13332">
      <c r="A13332" s="40">
        <f t="shared" si="1"/>
        <v>46013</v>
      </c>
      <c r="B13332" s="37" t="str">
        <f t="array" ref="B13332">iferror(xlookup($I13332, 'IMPORT VHC Report'!$E:$E, 'IMPORT VHC Report'!$A:$C), )</f>
        <v/>
      </c>
      <c r="C13332" s="44"/>
      <c r="D13332" s="44"/>
      <c r="E13332" s="46" t="s">
        <v>9416</v>
      </c>
      <c r="F13332" s="46" t="s">
        <v>3985</v>
      </c>
      <c r="G13332" s="46">
        <v>7.437401161487E12</v>
      </c>
      <c r="H13332" s="46" t="s">
        <v>3986</v>
      </c>
      <c r="I13332" s="46" t="s">
        <v>3987</v>
      </c>
      <c r="J13332" s="46" t="s">
        <v>132</v>
      </c>
      <c r="K13332" s="46" t="s">
        <v>126</v>
      </c>
      <c r="L13332" s="45">
        <v>46018.677083333336</v>
      </c>
      <c r="M13332" s="46" t="s">
        <v>123</v>
      </c>
      <c r="N13332" s="45">
        <v>46018.71875</v>
      </c>
      <c r="O13332" s="46" t="s">
        <v>123</v>
      </c>
      <c r="P13332" s="46">
        <v>3600.0</v>
      </c>
    </row>
    <row r="13333">
      <c r="A13333" s="40">
        <f t="shared" si="1"/>
        <v>46013</v>
      </c>
      <c r="B13333" s="37" t="str">
        <f t="array" ref="B13333">iferror(xlookup($I13333, 'IMPORT VHC Report'!$E:$E, 'IMPORT VHC Report'!$A:$C), )</f>
        <v/>
      </c>
      <c r="C13333" s="44"/>
      <c r="D13333" s="44"/>
      <c r="E13333" s="46" t="s">
        <v>9417</v>
      </c>
      <c r="F13333" s="46" t="s">
        <v>3985</v>
      </c>
      <c r="G13333" s="46">
        <v>7.437401161487E12</v>
      </c>
      <c r="H13333" s="46" t="s">
        <v>3986</v>
      </c>
      <c r="I13333" s="46" t="s">
        <v>3987</v>
      </c>
      <c r="J13333" s="46" t="s">
        <v>134</v>
      </c>
      <c r="K13333" s="46" t="s">
        <v>126</v>
      </c>
      <c r="L13333" s="45">
        <v>46018.791666666664</v>
      </c>
      <c r="M13333" s="46" t="s">
        <v>123</v>
      </c>
      <c r="N13333" s="45">
        <v>46018.802083333336</v>
      </c>
      <c r="O13333" s="46" t="s">
        <v>123</v>
      </c>
      <c r="P13333" s="46">
        <v>900.0</v>
      </c>
    </row>
    <row r="13334">
      <c r="A13334" s="40">
        <f t="shared" si="1"/>
        <v>46013</v>
      </c>
      <c r="B13334" s="37" t="str">
        <f t="array" ref="B13334">iferror(xlookup($I13334, 'IMPORT VHC Report'!$E:$E, 'IMPORT VHC Report'!$A:$C), )</f>
        <v/>
      </c>
      <c r="C13334" s="44"/>
      <c r="D13334" s="44"/>
      <c r="E13334" s="46" t="s">
        <v>9418</v>
      </c>
      <c r="F13334" s="46" t="s">
        <v>3985</v>
      </c>
      <c r="G13334" s="46">
        <v>7.437401161487E12</v>
      </c>
      <c r="H13334" s="46" t="s">
        <v>3986</v>
      </c>
      <c r="I13334" s="46" t="s">
        <v>3987</v>
      </c>
      <c r="J13334" s="46" t="s">
        <v>224</v>
      </c>
      <c r="K13334" s="46" t="s">
        <v>63</v>
      </c>
      <c r="L13334" s="45">
        <v>46019.5</v>
      </c>
      <c r="M13334" s="46" t="s">
        <v>123</v>
      </c>
      <c r="N13334" s="45">
        <v>46019.875</v>
      </c>
      <c r="O13334" s="46" t="s">
        <v>123</v>
      </c>
      <c r="P13334" s="46">
        <v>32400.0</v>
      </c>
    </row>
    <row r="13335">
      <c r="A13335" s="40">
        <f t="shared" si="1"/>
        <v>46013</v>
      </c>
      <c r="B13335" s="37" t="str">
        <f t="array" ref="B13335">iferror(xlookup($I13335, 'IMPORT VHC Report'!$E:$E, 'IMPORT VHC Report'!$A:$C), )</f>
        <v/>
      </c>
      <c r="C13335" s="44"/>
      <c r="D13335" s="44"/>
      <c r="E13335" s="46" t="s">
        <v>9419</v>
      </c>
      <c r="F13335" s="46" t="s">
        <v>3985</v>
      </c>
      <c r="G13335" s="46">
        <v>7.437401161487E12</v>
      </c>
      <c r="H13335" s="46" t="s">
        <v>3986</v>
      </c>
      <c r="I13335" s="46" t="s">
        <v>3987</v>
      </c>
      <c r="J13335" s="46" t="s">
        <v>134</v>
      </c>
      <c r="K13335" s="46" t="s">
        <v>126</v>
      </c>
      <c r="L13335" s="45">
        <v>46019.583333333336</v>
      </c>
      <c r="M13335" s="46" t="s">
        <v>123</v>
      </c>
      <c r="N13335" s="45">
        <v>46019.59375</v>
      </c>
      <c r="O13335" s="46" t="s">
        <v>123</v>
      </c>
      <c r="P13335" s="46">
        <v>900.0</v>
      </c>
    </row>
    <row r="13336">
      <c r="A13336" s="40">
        <f t="shared" si="1"/>
        <v>46013</v>
      </c>
      <c r="B13336" s="37" t="str">
        <f t="array" ref="B13336">iferror(xlookup($I13336, 'IMPORT VHC Report'!$E:$E, 'IMPORT VHC Report'!$A:$C), )</f>
        <v/>
      </c>
      <c r="C13336" s="44"/>
      <c r="D13336" s="44"/>
      <c r="E13336" s="46" t="s">
        <v>9420</v>
      </c>
      <c r="F13336" s="46" t="s">
        <v>3985</v>
      </c>
      <c r="G13336" s="46">
        <v>7.437401161487E12</v>
      </c>
      <c r="H13336" s="46" t="s">
        <v>3986</v>
      </c>
      <c r="I13336" s="46" t="s">
        <v>3987</v>
      </c>
      <c r="J13336" s="46" t="s">
        <v>132</v>
      </c>
      <c r="K13336" s="46" t="s">
        <v>126</v>
      </c>
      <c r="L13336" s="45">
        <v>46019.65625</v>
      </c>
      <c r="M13336" s="46" t="s">
        <v>123</v>
      </c>
      <c r="N13336" s="45">
        <v>46019.697916666664</v>
      </c>
      <c r="O13336" s="46" t="s">
        <v>123</v>
      </c>
      <c r="P13336" s="46">
        <v>3600.0</v>
      </c>
    </row>
    <row r="13337">
      <c r="A13337" s="40">
        <f t="shared" si="1"/>
        <v>46013</v>
      </c>
      <c r="B13337" s="37" t="str">
        <f t="array" ref="B13337">iferror(xlookup($I13337, 'IMPORT VHC Report'!$E:$E, 'IMPORT VHC Report'!$A:$C), )</f>
        <v/>
      </c>
      <c r="C13337" s="44"/>
      <c r="D13337" s="44"/>
      <c r="E13337" s="46" t="s">
        <v>9421</v>
      </c>
      <c r="F13337" s="46" t="s">
        <v>3985</v>
      </c>
      <c r="G13337" s="46">
        <v>7.437401161487E12</v>
      </c>
      <c r="H13337" s="46" t="s">
        <v>3986</v>
      </c>
      <c r="I13337" s="46" t="s">
        <v>3987</v>
      </c>
      <c r="J13337" s="46" t="s">
        <v>134</v>
      </c>
      <c r="K13337" s="46" t="s">
        <v>126</v>
      </c>
      <c r="L13337" s="45">
        <v>46019.770833333336</v>
      </c>
      <c r="M13337" s="46" t="s">
        <v>123</v>
      </c>
      <c r="N13337" s="45">
        <v>46019.78125</v>
      </c>
      <c r="O13337" s="46" t="s">
        <v>123</v>
      </c>
      <c r="P13337" s="46">
        <v>900.0</v>
      </c>
    </row>
    <row r="13338">
      <c r="A13338" s="40">
        <f t="shared" si="1"/>
        <v>46013</v>
      </c>
      <c r="B13338" s="37" t="str">
        <f t="array" ref="B13338">iferror(xlookup($I13338, 'IMPORT VHC Report'!$E:$E, 'IMPORT VHC Report'!$A:$C), )</f>
        <v/>
      </c>
      <c r="C13338" s="44"/>
      <c r="D13338" s="44"/>
      <c r="E13338" s="46" t="s">
        <v>9422</v>
      </c>
      <c r="F13338" s="46" t="s">
        <v>4080</v>
      </c>
      <c r="G13338" s="46">
        <v>5.202441056015E12</v>
      </c>
      <c r="H13338" s="46" t="s">
        <v>4081</v>
      </c>
      <c r="I13338" s="46" t="s">
        <v>4082</v>
      </c>
      <c r="J13338" s="46" t="s">
        <v>224</v>
      </c>
      <c r="K13338" s="46" t="s">
        <v>63</v>
      </c>
      <c r="L13338" s="45">
        <v>46013.5</v>
      </c>
      <c r="M13338" s="46" t="s">
        <v>123</v>
      </c>
      <c r="N13338" s="45">
        <v>46013.875</v>
      </c>
      <c r="O13338" s="46" t="s">
        <v>123</v>
      </c>
      <c r="P13338" s="46">
        <v>32400.0</v>
      </c>
    </row>
    <row r="13339">
      <c r="A13339" s="40">
        <f t="shared" si="1"/>
        <v>46013</v>
      </c>
      <c r="B13339" s="37" t="str">
        <f t="array" ref="B13339">iferror(xlookup($I13339, 'IMPORT VHC Report'!$E:$E, 'IMPORT VHC Report'!$A:$C), )</f>
        <v/>
      </c>
      <c r="C13339" s="44"/>
      <c r="D13339" s="44"/>
      <c r="E13339" s="46" t="s">
        <v>9423</v>
      </c>
      <c r="F13339" s="46" t="s">
        <v>4080</v>
      </c>
      <c r="G13339" s="46">
        <v>5.202441056015E12</v>
      </c>
      <c r="H13339" s="46" t="s">
        <v>4081</v>
      </c>
      <c r="I13339" s="46" t="s">
        <v>4082</v>
      </c>
      <c r="J13339" s="46" t="s">
        <v>132</v>
      </c>
      <c r="K13339" s="46" t="s">
        <v>126</v>
      </c>
      <c r="L13339" s="45">
        <v>46013.625</v>
      </c>
      <c r="M13339" s="46" t="s">
        <v>123</v>
      </c>
      <c r="N13339" s="45">
        <v>46013.666666666664</v>
      </c>
      <c r="O13339" s="46" t="s">
        <v>123</v>
      </c>
      <c r="P13339" s="46">
        <v>3600.0</v>
      </c>
    </row>
    <row r="13340">
      <c r="A13340" s="40">
        <f t="shared" si="1"/>
        <v>46013</v>
      </c>
      <c r="B13340" s="37" t="str">
        <f t="array" ref="B13340">iferror(xlookup($I13340, 'IMPORT VHC Report'!$E:$E, 'IMPORT VHC Report'!$A:$C), )</f>
        <v/>
      </c>
      <c r="C13340" s="44"/>
      <c r="D13340" s="44"/>
      <c r="E13340" s="46" t="s">
        <v>9424</v>
      </c>
      <c r="F13340" s="46" t="s">
        <v>4080</v>
      </c>
      <c r="G13340" s="46">
        <v>5.202441056015E12</v>
      </c>
      <c r="H13340" s="46" t="s">
        <v>4081</v>
      </c>
      <c r="I13340" s="46" t="s">
        <v>4082</v>
      </c>
      <c r="J13340" s="46" t="s">
        <v>134</v>
      </c>
      <c r="K13340" s="46" t="s">
        <v>126</v>
      </c>
      <c r="L13340" s="45">
        <v>46013.729166666664</v>
      </c>
      <c r="M13340" s="46" t="s">
        <v>123</v>
      </c>
      <c r="N13340" s="45">
        <v>46013.739583333336</v>
      </c>
      <c r="O13340" s="46" t="s">
        <v>123</v>
      </c>
      <c r="P13340" s="46">
        <v>900.0</v>
      </c>
    </row>
    <row r="13341">
      <c r="A13341" s="40">
        <f t="shared" si="1"/>
        <v>46013</v>
      </c>
      <c r="B13341" s="37" t="str">
        <f t="array" ref="B13341">iferror(xlookup($I13341, 'IMPORT VHC Report'!$E:$E, 'IMPORT VHC Report'!$A:$C), )</f>
        <v/>
      </c>
      <c r="C13341" s="44"/>
      <c r="D13341" s="44"/>
      <c r="E13341" s="46" t="s">
        <v>9425</v>
      </c>
      <c r="F13341" s="46" t="s">
        <v>4080</v>
      </c>
      <c r="G13341" s="46">
        <v>5.202441056015E12</v>
      </c>
      <c r="H13341" s="46" t="s">
        <v>4081</v>
      </c>
      <c r="I13341" s="46" t="s">
        <v>4082</v>
      </c>
      <c r="J13341" s="46" t="s">
        <v>134</v>
      </c>
      <c r="K13341" s="46" t="s">
        <v>126</v>
      </c>
      <c r="L13341" s="45">
        <v>46013.802083333336</v>
      </c>
      <c r="M13341" s="46" t="s">
        <v>123</v>
      </c>
      <c r="N13341" s="45">
        <v>46013.8125</v>
      </c>
      <c r="O13341" s="46" t="s">
        <v>123</v>
      </c>
      <c r="P13341" s="46">
        <v>900.0</v>
      </c>
    </row>
    <row r="13342">
      <c r="A13342" s="40">
        <f t="shared" si="1"/>
        <v>46013</v>
      </c>
      <c r="B13342" s="37" t="str">
        <f t="array" ref="B13342">iferror(xlookup($I13342, 'IMPORT VHC Report'!$E:$E, 'IMPORT VHC Report'!$A:$C), )</f>
        <v/>
      </c>
      <c r="C13342" s="44"/>
      <c r="D13342" s="44"/>
      <c r="E13342" s="46" t="s">
        <v>9426</v>
      </c>
      <c r="F13342" s="46" t="s">
        <v>4080</v>
      </c>
      <c r="G13342" s="46">
        <v>5.202441056015E12</v>
      </c>
      <c r="H13342" s="46" t="s">
        <v>4081</v>
      </c>
      <c r="I13342" s="46" t="s">
        <v>4082</v>
      </c>
      <c r="J13342" s="46" t="s">
        <v>62</v>
      </c>
      <c r="K13342" s="46" t="s">
        <v>63</v>
      </c>
      <c r="L13342" s="45">
        <v>46014.5</v>
      </c>
      <c r="M13342" s="46" t="s">
        <v>123</v>
      </c>
      <c r="N13342" s="45">
        <v>46014.5625</v>
      </c>
      <c r="O13342" s="46" t="s">
        <v>123</v>
      </c>
      <c r="P13342" s="46">
        <v>5400.0</v>
      </c>
    </row>
    <row r="13343">
      <c r="A13343" s="40">
        <f t="shared" si="1"/>
        <v>46013</v>
      </c>
      <c r="B13343" s="37" t="str">
        <f t="array" ref="B13343">iferror(xlookup($I13343, 'IMPORT VHC Report'!$E:$E, 'IMPORT VHC Report'!$A:$C), )</f>
        <v/>
      </c>
      <c r="C13343" s="44"/>
      <c r="D13343" s="44"/>
      <c r="E13343" s="46" t="s">
        <v>9427</v>
      </c>
      <c r="F13343" s="46" t="s">
        <v>4080</v>
      </c>
      <c r="G13343" s="46">
        <v>5.202441056015E12</v>
      </c>
      <c r="H13343" s="46" t="s">
        <v>4081</v>
      </c>
      <c r="I13343" s="46" t="s">
        <v>4082</v>
      </c>
      <c r="J13343" s="46" t="s">
        <v>4</v>
      </c>
      <c r="K13343" s="46" t="s">
        <v>126</v>
      </c>
      <c r="L13343" s="45">
        <v>46014.5</v>
      </c>
      <c r="M13343" s="46" t="s">
        <v>123</v>
      </c>
      <c r="N13343" s="45">
        <v>46014.572916666664</v>
      </c>
      <c r="O13343" s="46" t="s">
        <v>123</v>
      </c>
      <c r="P13343" s="46">
        <v>6300.0</v>
      </c>
      <c r="S13343" s="46" t="s">
        <v>9428</v>
      </c>
    </row>
    <row r="13344">
      <c r="A13344" s="40">
        <f t="shared" si="1"/>
        <v>46013</v>
      </c>
      <c r="B13344" s="37" t="str">
        <f t="array" ref="B13344">iferror(xlookup($I13344, 'IMPORT VHC Report'!$E:$E, 'IMPORT VHC Report'!$A:$C), )</f>
        <v/>
      </c>
      <c r="C13344" s="44"/>
      <c r="D13344" s="44"/>
      <c r="E13344" s="46" t="s">
        <v>9429</v>
      </c>
      <c r="F13344" s="46" t="s">
        <v>4080</v>
      </c>
      <c r="G13344" s="46">
        <v>5.202441056015E12</v>
      </c>
      <c r="H13344" s="46" t="s">
        <v>4081</v>
      </c>
      <c r="I13344" s="46" t="s">
        <v>4082</v>
      </c>
      <c r="J13344" s="46" t="s">
        <v>224</v>
      </c>
      <c r="K13344" s="46" t="s">
        <v>63</v>
      </c>
      <c r="L13344" s="45">
        <v>46014.5625</v>
      </c>
      <c r="M13344" s="46" t="s">
        <v>123</v>
      </c>
      <c r="N13344" s="45">
        <v>46014.875</v>
      </c>
      <c r="O13344" s="46" t="s">
        <v>123</v>
      </c>
      <c r="P13344" s="46">
        <v>27000.0</v>
      </c>
    </row>
    <row r="13345">
      <c r="A13345" s="40">
        <f t="shared" si="1"/>
        <v>46013</v>
      </c>
      <c r="B13345" s="37" t="str">
        <f t="array" ref="B13345">iferror(xlookup($I13345, 'IMPORT VHC Report'!$E:$E, 'IMPORT VHC Report'!$A:$C), )</f>
        <v/>
      </c>
      <c r="C13345" s="44"/>
      <c r="D13345" s="44"/>
      <c r="E13345" s="46" t="s">
        <v>9430</v>
      </c>
      <c r="F13345" s="46" t="s">
        <v>4080</v>
      </c>
      <c r="G13345" s="46">
        <v>5.202441056015E12</v>
      </c>
      <c r="H13345" s="46" t="s">
        <v>4081</v>
      </c>
      <c r="I13345" s="46" t="s">
        <v>4082</v>
      </c>
      <c r="J13345" s="46" t="s">
        <v>132</v>
      </c>
      <c r="K13345" s="46" t="s">
        <v>126</v>
      </c>
      <c r="L13345" s="45">
        <v>46014.614583333336</v>
      </c>
      <c r="M13345" s="46" t="s">
        <v>123</v>
      </c>
      <c r="N13345" s="45">
        <v>46014.65625</v>
      </c>
      <c r="O13345" s="46" t="s">
        <v>123</v>
      </c>
      <c r="P13345" s="46">
        <v>3600.0</v>
      </c>
    </row>
    <row r="13346">
      <c r="A13346" s="40">
        <f t="shared" si="1"/>
        <v>46013</v>
      </c>
      <c r="B13346" s="37" t="str">
        <f t="array" ref="B13346">iferror(xlookup($I13346, 'IMPORT VHC Report'!$E:$E, 'IMPORT VHC Report'!$A:$C), )</f>
        <v/>
      </c>
      <c r="C13346" s="44"/>
      <c r="D13346" s="44"/>
      <c r="E13346" s="46" t="s">
        <v>9431</v>
      </c>
      <c r="F13346" s="46" t="s">
        <v>4080</v>
      </c>
      <c r="G13346" s="46">
        <v>5.202441056015E12</v>
      </c>
      <c r="H13346" s="46" t="s">
        <v>4081</v>
      </c>
      <c r="I13346" s="46" t="s">
        <v>4082</v>
      </c>
      <c r="J13346" s="46" t="s">
        <v>134</v>
      </c>
      <c r="K13346" s="46" t="s">
        <v>126</v>
      </c>
      <c r="L13346" s="45">
        <v>46014.697916666664</v>
      </c>
      <c r="M13346" s="46" t="s">
        <v>123</v>
      </c>
      <c r="N13346" s="45">
        <v>46014.708333333336</v>
      </c>
      <c r="O13346" s="46" t="s">
        <v>123</v>
      </c>
      <c r="P13346" s="46">
        <v>900.0</v>
      </c>
    </row>
    <row r="13347">
      <c r="A13347" s="40">
        <f t="shared" si="1"/>
        <v>46013</v>
      </c>
      <c r="B13347" s="37" t="str">
        <f t="array" ref="B13347">iferror(xlookup($I13347, 'IMPORT VHC Report'!$E:$E, 'IMPORT VHC Report'!$A:$C), )</f>
        <v/>
      </c>
      <c r="C13347" s="44"/>
      <c r="D13347" s="44"/>
      <c r="E13347" s="46" t="s">
        <v>9432</v>
      </c>
      <c r="F13347" s="46" t="s">
        <v>4080</v>
      </c>
      <c r="G13347" s="46">
        <v>5.202441056015E12</v>
      </c>
      <c r="H13347" s="46" t="s">
        <v>4081</v>
      </c>
      <c r="I13347" s="46" t="s">
        <v>4082</v>
      </c>
      <c r="J13347" s="46" t="s">
        <v>136</v>
      </c>
      <c r="K13347" s="46" t="s">
        <v>126</v>
      </c>
      <c r="L13347" s="45">
        <v>46014.708333333336</v>
      </c>
      <c r="M13347" s="46" t="s">
        <v>123</v>
      </c>
      <c r="N13347" s="45">
        <v>46014.75</v>
      </c>
      <c r="O13347" s="46" t="s">
        <v>123</v>
      </c>
      <c r="P13347" s="46">
        <v>3600.0</v>
      </c>
      <c r="S13347" s="46" t="s">
        <v>137</v>
      </c>
    </row>
    <row r="13348">
      <c r="A13348" s="40">
        <f t="shared" si="1"/>
        <v>46013</v>
      </c>
      <c r="B13348" s="37" t="str">
        <f t="array" ref="B13348">iferror(xlookup($I13348, 'IMPORT VHC Report'!$E:$E, 'IMPORT VHC Report'!$A:$C), )</f>
        <v/>
      </c>
      <c r="C13348" s="44"/>
      <c r="D13348" s="44"/>
      <c r="E13348" s="46" t="s">
        <v>9433</v>
      </c>
      <c r="F13348" s="46" t="s">
        <v>4080</v>
      </c>
      <c r="G13348" s="46">
        <v>5.202441056015E12</v>
      </c>
      <c r="H13348" s="46" t="s">
        <v>4081</v>
      </c>
      <c r="I13348" s="46" t="s">
        <v>4082</v>
      </c>
      <c r="J13348" s="46" t="s">
        <v>134</v>
      </c>
      <c r="K13348" s="46" t="s">
        <v>126</v>
      </c>
      <c r="L13348" s="45">
        <v>46014.8125</v>
      </c>
      <c r="M13348" s="46" t="s">
        <v>123</v>
      </c>
      <c r="N13348" s="45">
        <v>46014.822916666664</v>
      </c>
      <c r="O13348" s="46" t="s">
        <v>123</v>
      </c>
      <c r="P13348" s="46">
        <v>900.0</v>
      </c>
    </row>
    <row r="13349">
      <c r="A13349" s="40">
        <f t="shared" si="1"/>
        <v>46013</v>
      </c>
      <c r="B13349" s="37" t="str">
        <f t="array" ref="B13349">iferror(xlookup($I13349, 'IMPORT VHC Report'!$E:$E, 'IMPORT VHC Report'!$A:$C), )</f>
        <v/>
      </c>
      <c r="C13349" s="44"/>
      <c r="D13349" s="44"/>
      <c r="E13349" s="46" t="s">
        <v>9434</v>
      </c>
      <c r="F13349" s="46" t="s">
        <v>4080</v>
      </c>
      <c r="G13349" s="46">
        <v>5.202441056015E12</v>
      </c>
      <c r="H13349" s="46" t="s">
        <v>4081</v>
      </c>
      <c r="I13349" s="46" t="s">
        <v>4082</v>
      </c>
      <c r="J13349" s="46" t="s">
        <v>178</v>
      </c>
      <c r="K13349" s="46" t="s">
        <v>153</v>
      </c>
      <c r="L13349" s="45">
        <v>46015.5</v>
      </c>
      <c r="M13349" s="46" t="s">
        <v>123</v>
      </c>
      <c r="N13349" s="45">
        <v>46015.875</v>
      </c>
      <c r="O13349" s="46" t="s">
        <v>123</v>
      </c>
      <c r="P13349" s="46">
        <v>32400.0</v>
      </c>
      <c r="Q13349" s="46">
        <v>32400.0</v>
      </c>
    </row>
    <row r="13350">
      <c r="A13350" s="40">
        <f t="shared" si="1"/>
        <v>46013</v>
      </c>
      <c r="B13350" s="37" t="str">
        <f t="array" ref="B13350">iferror(xlookup($I13350, 'IMPORT VHC Report'!$E:$E, 'IMPORT VHC Report'!$A:$C), )</f>
        <v/>
      </c>
      <c r="C13350" s="44"/>
      <c r="D13350" s="44"/>
      <c r="E13350" s="46" t="s">
        <v>9435</v>
      </c>
      <c r="F13350" s="46" t="s">
        <v>4080</v>
      </c>
      <c r="G13350" s="46">
        <v>5.202441056015E12</v>
      </c>
      <c r="H13350" s="46" t="s">
        <v>4081</v>
      </c>
      <c r="I13350" s="46" t="s">
        <v>4082</v>
      </c>
      <c r="J13350" s="46" t="s">
        <v>224</v>
      </c>
      <c r="K13350" s="46" t="s">
        <v>63</v>
      </c>
      <c r="L13350" s="45">
        <v>46015.5</v>
      </c>
      <c r="M13350" s="46" t="s">
        <v>123</v>
      </c>
      <c r="N13350" s="45">
        <v>46015.875</v>
      </c>
      <c r="O13350" s="46" t="s">
        <v>123</v>
      </c>
      <c r="P13350" s="46">
        <v>32400.0</v>
      </c>
    </row>
    <row r="13351">
      <c r="A13351" s="40">
        <f t="shared" si="1"/>
        <v>46013</v>
      </c>
      <c r="B13351" s="37" t="str">
        <f t="array" ref="B13351">iferror(xlookup($I13351, 'IMPORT VHC Report'!$E:$E, 'IMPORT VHC Report'!$A:$C), )</f>
        <v/>
      </c>
      <c r="C13351" s="44"/>
      <c r="D13351" s="44"/>
      <c r="E13351" s="46" t="s">
        <v>9436</v>
      </c>
      <c r="F13351" s="46" t="s">
        <v>4080</v>
      </c>
      <c r="G13351" s="46">
        <v>5.202441056015E12</v>
      </c>
      <c r="H13351" s="46" t="s">
        <v>4081</v>
      </c>
      <c r="I13351" s="46" t="s">
        <v>4082</v>
      </c>
      <c r="J13351" s="46" t="s">
        <v>132</v>
      </c>
      <c r="K13351" s="46" t="s">
        <v>126</v>
      </c>
      <c r="L13351" s="45">
        <v>46015.614583333336</v>
      </c>
      <c r="M13351" s="46" t="s">
        <v>123</v>
      </c>
      <c r="N13351" s="45">
        <v>46015.65625</v>
      </c>
      <c r="O13351" s="46" t="s">
        <v>123</v>
      </c>
      <c r="P13351" s="46">
        <v>3600.0</v>
      </c>
    </row>
    <row r="13352">
      <c r="A13352" s="40">
        <f t="shared" si="1"/>
        <v>46013</v>
      </c>
      <c r="B13352" s="37" t="str">
        <f t="array" ref="B13352">iferror(xlookup($I13352, 'IMPORT VHC Report'!$E:$E, 'IMPORT VHC Report'!$A:$C), )</f>
        <v/>
      </c>
      <c r="C13352" s="44"/>
      <c r="D13352" s="44"/>
      <c r="E13352" s="46" t="s">
        <v>9437</v>
      </c>
      <c r="F13352" s="46" t="s">
        <v>4080</v>
      </c>
      <c r="G13352" s="46">
        <v>5.202441056015E12</v>
      </c>
      <c r="H13352" s="46" t="s">
        <v>4081</v>
      </c>
      <c r="I13352" s="46" t="s">
        <v>4082</v>
      </c>
      <c r="J13352" s="46" t="s">
        <v>134</v>
      </c>
      <c r="K13352" s="46" t="s">
        <v>126</v>
      </c>
      <c r="L13352" s="45">
        <v>46015.71875</v>
      </c>
      <c r="M13352" s="46" t="s">
        <v>123</v>
      </c>
      <c r="N13352" s="45">
        <v>46015.729166666664</v>
      </c>
      <c r="O13352" s="46" t="s">
        <v>123</v>
      </c>
      <c r="P13352" s="46">
        <v>900.0</v>
      </c>
    </row>
    <row r="13353">
      <c r="A13353" s="40">
        <f t="shared" si="1"/>
        <v>46013</v>
      </c>
      <c r="B13353" s="37" t="str">
        <f t="array" ref="B13353">iferror(xlookup($I13353, 'IMPORT VHC Report'!$E:$E, 'IMPORT VHC Report'!$A:$C), )</f>
        <v/>
      </c>
      <c r="C13353" s="44"/>
      <c r="D13353" s="44"/>
      <c r="E13353" s="46" t="s">
        <v>9438</v>
      </c>
      <c r="F13353" s="46" t="s">
        <v>4080</v>
      </c>
      <c r="G13353" s="46">
        <v>5.202441056015E12</v>
      </c>
      <c r="H13353" s="46" t="s">
        <v>4081</v>
      </c>
      <c r="I13353" s="46" t="s">
        <v>4082</v>
      </c>
      <c r="J13353" s="46" t="s">
        <v>134</v>
      </c>
      <c r="K13353" s="46" t="s">
        <v>126</v>
      </c>
      <c r="L13353" s="45">
        <v>46015.802083333336</v>
      </c>
      <c r="M13353" s="46" t="s">
        <v>123</v>
      </c>
      <c r="N13353" s="45">
        <v>46015.8125</v>
      </c>
      <c r="O13353" s="46" t="s">
        <v>123</v>
      </c>
      <c r="P13353" s="46">
        <v>900.0</v>
      </c>
    </row>
    <row r="13354">
      <c r="A13354" s="40">
        <f t="shared" si="1"/>
        <v>46013</v>
      </c>
      <c r="B13354" s="37" t="str">
        <f t="array" ref="B13354">iferror(xlookup($I13354, 'IMPORT VHC Report'!$E:$E, 'IMPORT VHC Report'!$A:$C), )</f>
        <v/>
      </c>
      <c r="C13354" s="44"/>
      <c r="D13354" s="44"/>
      <c r="E13354" s="46" t="s">
        <v>9439</v>
      </c>
      <c r="F13354" s="46" t="s">
        <v>4080</v>
      </c>
      <c r="G13354" s="46">
        <v>5.202441056015E12</v>
      </c>
      <c r="H13354" s="46" t="s">
        <v>4081</v>
      </c>
      <c r="I13354" s="46" t="s">
        <v>4082</v>
      </c>
      <c r="J13354" s="46" t="s">
        <v>224</v>
      </c>
      <c r="K13354" s="46" t="s">
        <v>63</v>
      </c>
      <c r="L13354" s="45">
        <v>46016.5</v>
      </c>
      <c r="M13354" s="46" t="s">
        <v>123</v>
      </c>
      <c r="N13354" s="45">
        <v>46016.875</v>
      </c>
      <c r="O13354" s="46" t="s">
        <v>123</v>
      </c>
      <c r="P13354" s="46">
        <v>32400.0</v>
      </c>
    </row>
    <row r="13355">
      <c r="A13355" s="40">
        <f t="shared" si="1"/>
        <v>46013</v>
      </c>
      <c r="B13355" s="37" t="str">
        <f t="array" ref="B13355">iferror(xlookup($I13355, 'IMPORT VHC Report'!$E:$E, 'IMPORT VHC Report'!$A:$C), )</f>
        <v/>
      </c>
      <c r="C13355" s="44"/>
      <c r="D13355" s="44"/>
      <c r="E13355" s="46" t="s">
        <v>9440</v>
      </c>
      <c r="F13355" s="46" t="s">
        <v>4080</v>
      </c>
      <c r="G13355" s="46">
        <v>5.202441056015E12</v>
      </c>
      <c r="H13355" s="46" t="s">
        <v>4081</v>
      </c>
      <c r="I13355" s="46" t="s">
        <v>4082</v>
      </c>
      <c r="J13355" s="46" t="s">
        <v>178</v>
      </c>
      <c r="K13355" s="46" t="s">
        <v>153</v>
      </c>
      <c r="L13355" s="45">
        <v>46016.5</v>
      </c>
      <c r="M13355" s="46" t="s">
        <v>123</v>
      </c>
      <c r="N13355" s="45">
        <v>46016.875</v>
      </c>
      <c r="O13355" s="46" t="s">
        <v>123</v>
      </c>
      <c r="P13355" s="46">
        <v>32400.0</v>
      </c>
      <c r="Q13355" s="46">
        <v>32400.0</v>
      </c>
    </row>
    <row r="13356">
      <c r="A13356" s="40">
        <f t="shared" si="1"/>
        <v>46013</v>
      </c>
      <c r="B13356" s="37" t="str">
        <f t="array" ref="B13356">iferror(xlookup($I13356, 'IMPORT VHC Report'!$E:$E, 'IMPORT VHC Report'!$A:$C), )</f>
        <v/>
      </c>
      <c r="C13356" s="44"/>
      <c r="D13356" s="44"/>
      <c r="E13356" s="46" t="s">
        <v>9441</v>
      </c>
      <c r="F13356" s="46" t="s">
        <v>4080</v>
      </c>
      <c r="G13356" s="46">
        <v>5.202441056015E12</v>
      </c>
      <c r="H13356" s="46" t="s">
        <v>4081</v>
      </c>
      <c r="I13356" s="46" t="s">
        <v>4082</v>
      </c>
      <c r="J13356" s="46" t="s">
        <v>134</v>
      </c>
      <c r="K13356" s="46" t="s">
        <v>126</v>
      </c>
      <c r="L13356" s="45">
        <v>46016.583333333336</v>
      </c>
      <c r="M13356" s="46" t="s">
        <v>123</v>
      </c>
      <c r="N13356" s="45">
        <v>46016.59375</v>
      </c>
      <c r="O13356" s="46" t="s">
        <v>123</v>
      </c>
      <c r="P13356" s="46">
        <v>900.0</v>
      </c>
    </row>
    <row r="13357">
      <c r="A13357" s="40">
        <f t="shared" si="1"/>
        <v>46013</v>
      </c>
      <c r="B13357" s="37" t="str">
        <f t="array" ref="B13357">iferror(xlookup($I13357, 'IMPORT VHC Report'!$E:$E, 'IMPORT VHC Report'!$A:$C), )</f>
        <v/>
      </c>
      <c r="C13357" s="44"/>
      <c r="D13357" s="44"/>
      <c r="E13357" s="46" t="s">
        <v>9442</v>
      </c>
      <c r="F13357" s="46" t="s">
        <v>4080</v>
      </c>
      <c r="G13357" s="46">
        <v>5.202441056015E12</v>
      </c>
      <c r="H13357" s="46" t="s">
        <v>4081</v>
      </c>
      <c r="I13357" s="46" t="s">
        <v>4082</v>
      </c>
      <c r="J13357" s="46" t="s">
        <v>134</v>
      </c>
      <c r="K13357" s="46" t="s">
        <v>126</v>
      </c>
      <c r="L13357" s="45">
        <v>46016.677083333336</v>
      </c>
      <c r="M13357" s="46" t="s">
        <v>123</v>
      </c>
      <c r="N13357" s="45">
        <v>46016.6875</v>
      </c>
      <c r="O13357" s="46" t="s">
        <v>123</v>
      </c>
      <c r="P13357" s="46">
        <v>900.0</v>
      </c>
    </row>
    <row r="13358">
      <c r="A13358" s="40">
        <f t="shared" si="1"/>
        <v>46013</v>
      </c>
      <c r="B13358" s="37" t="str">
        <f t="array" ref="B13358">iferror(xlookup($I13358, 'IMPORT VHC Report'!$E:$E, 'IMPORT VHC Report'!$A:$C), )</f>
        <v/>
      </c>
      <c r="C13358" s="44"/>
      <c r="D13358" s="44"/>
      <c r="E13358" s="46" t="s">
        <v>9443</v>
      </c>
      <c r="F13358" s="46" t="s">
        <v>4080</v>
      </c>
      <c r="G13358" s="46">
        <v>5.202441056015E12</v>
      </c>
      <c r="H13358" s="46" t="s">
        <v>4081</v>
      </c>
      <c r="I13358" s="46" t="s">
        <v>4082</v>
      </c>
      <c r="J13358" s="46" t="s">
        <v>132</v>
      </c>
      <c r="K13358" s="46" t="s">
        <v>126</v>
      </c>
      <c r="L13358" s="45">
        <v>46016.770833333336</v>
      </c>
      <c r="M13358" s="46" t="s">
        <v>123</v>
      </c>
      <c r="N13358" s="45">
        <v>46016.8125</v>
      </c>
      <c r="O13358" s="46" t="s">
        <v>123</v>
      </c>
      <c r="P13358" s="46">
        <v>3600.0</v>
      </c>
    </row>
    <row r="13359">
      <c r="A13359" s="40">
        <f t="shared" si="1"/>
        <v>46013</v>
      </c>
      <c r="B13359" s="37" t="str">
        <f t="array" ref="B13359">iferror(xlookup($I13359, 'IMPORT VHC Report'!$E:$E, 'IMPORT VHC Report'!$A:$C), )</f>
        <v/>
      </c>
      <c r="C13359" s="44"/>
      <c r="D13359" s="44"/>
      <c r="E13359" s="46" t="s">
        <v>9444</v>
      </c>
      <c r="F13359" s="46" t="s">
        <v>4080</v>
      </c>
      <c r="G13359" s="46">
        <v>5.202441056015E12</v>
      </c>
      <c r="H13359" s="46" t="s">
        <v>4081</v>
      </c>
      <c r="I13359" s="46" t="s">
        <v>4082</v>
      </c>
      <c r="J13359" s="46" t="s">
        <v>224</v>
      </c>
      <c r="K13359" s="46" t="s">
        <v>63</v>
      </c>
      <c r="L13359" s="45">
        <v>46017.5</v>
      </c>
      <c r="M13359" s="46" t="s">
        <v>123</v>
      </c>
      <c r="N13359" s="45">
        <v>46017.875</v>
      </c>
      <c r="O13359" s="46" t="s">
        <v>123</v>
      </c>
      <c r="P13359" s="46">
        <v>32400.0</v>
      </c>
    </row>
    <row r="13360">
      <c r="A13360" s="40">
        <f t="shared" si="1"/>
        <v>46013</v>
      </c>
      <c r="B13360" s="37" t="str">
        <f t="array" ref="B13360">iferror(xlookup($I13360, 'IMPORT VHC Report'!$E:$E, 'IMPORT VHC Report'!$A:$C), )</f>
        <v/>
      </c>
      <c r="C13360" s="44"/>
      <c r="D13360" s="44"/>
      <c r="E13360" s="46" t="s">
        <v>9445</v>
      </c>
      <c r="F13360" s="46" t="s">
        <v>4080</v>
      </c>
      <c r="G13360" s="46">
        <v>5.202441056015E12</v>
      </c>
      <c r="H13360" s="46" t="s">
        <v>4081</v>
      </c>
      <c r="I13360" s="46" t="s">
        <v>4082</v>
      </c>
      <c r="J13360" s="46" t="s">
        <v>136</v>
      </c>
      <c r="K13360" s="46" t="s">
        <v>126</v>
      </c>
      <c r="L13360" s="45">
        <v>46017.604166666664</v>
      </c>
      <c r="M13360" s="46" t="s">
        <v>123</v>
      </c>
      <c r="N13360" s="45">
        <v>46017.614583333336</v>
      </c>
      <c r="O13360" s="46" t="s">
        <v>123</v>
      </c>
      <c r="P13360" s="46">
        <v>900.0</v>
      </c>
      <c r="S13360" s="46" t="s">
        <v>9226</v>
      </c>
    </row>
    <row r="13361">
      <c r="A13361" s="40">
        <f t="shared" si="1"/>
        <v>46013</v>
      </c>
      <c r="B13361" s="37" t="str">
        <f t="array" ref="B13361">iferror(xlookup($I13361, 'IMPORT VHC Report'!$E:$E, 'IMPORT VHC Report'!$A:$C), )</f>
        <v/>
      </c>
      <c r="C13361" s="44"/>
      <c r="D13361" s="44"/>
      <c r="E13361" s="46" t="s">
        <v>9446</v>
      </c>
      <c r="F13361" s="46" t="s">
        <v>4080</v>
      </c>
      <c r="G13361" s="46">
        <v>5.202441056015E12</v>
      </c>
      <c r="H13361" s="46" t="s">
        <v>4081</v>
      </c>
      <c r="I13361" s="46" t="s">
        <v>4082</v>
      </c>
      <c r="J13361" s="46" t="s">
        <v>4</v>
      </c>
      <c r="K13361" s="46" t="s">
        <v>126</v>
      </c>
      <c r="L13361" s="45">
        <v>46017.625</v>
      </c>
      <c r="M13361" s="46" t="s">
        <v>123</v>
      </c>
      <c r="N13361" s="45">
        <v>46017.666666666664</v>
      </c>
      <c r="O13361" s="46" t="s">
        <v>123</v>
      </c>
      <c r="P13361" s="46">
        <v>3600.0</v>
      </c>
      <c r="S13361" s="46" t="s">
        <v>9447</v>
      </c>
    </row>
    <row r="13362">
      <c r="A13362" s="40">
        <f t="shared" si="1"/>
        <v>46013</v>
      </c>
      <c r="B13362" s="37" t="str">
        <f t="array" ref="B13362">iferror(xlookup($I13362, 'IMPORT VHC Report'!$E:$E, 'IMPORT VHC Report'!$A:$C), )</f>
        <v/>
      </c>
      <c r="C13362" s="44"/>
      <c r="D13362" s="44"/>
      <c r="E13362" s="46" t="s">
        <v>9448</v>
      </c>
      <c r="F13362" s="46" t="s">
        <v>4080</v>
      </c>
      <c r="G13362" s="46">
        <v>5.202441056015E12</v>
      </c>
      <c r="H13362" s="46" t="s">
        <v>4081</v>
      </c>
      <c r="I13362" s="46" t="s">
        <v>4082</v>
      </c>
      <c r="J13362" s="46" t="s">
        <v>4</v>
      </c>
      <c r="K13362" s="46" t="s">
        <v>126</v>
      </c>
      <c r="L13362" s="45">
        <v>46017.666666666664</v>
      </c>
      <c r="M13362" s="46" t="s">
        <v>123</v>
      </c>
      <c r="N13362" s="45">
        <v>46017.708333333336</v>
      </c>
      <c r="O13362" s="46" t="s">
        <v>123</v>
      </c>
      <c r="P13362" s="46">
        <v>3600.0</v>
      </c>
      <c r="S13362" s="46" t="s">
        <v>9449</v>
      </c>
    </row>
    <row r="13363">
      <c r="A13363" s="40">
        <f t="shared" si="1"/>
        <v>46013</v>
      </c>
      <c r="B13363" s="37" t="str">
        <f t="array" ref="B13363">iferror(xlookup($I13363, 'IMPORT VHC Report'!$E:$E, 'IMPORT VHC Report'!$A:$C), )</f>
        <v/>
      </c>
      <c r="C13363" s="44"/>
      <c r="D13363" s="44"/>
      <c r="E13363" s="46" t="s">
        <v>9450</v>
      </c>
      <c r="F13363" s="46" t="s">
        <v>4080</v>
      </c>
      <c r="G13363" s="46">
        <v>5.202441056015E12</v>
      </c>
      <c r="H13363" s="46" t="s">
        <v>4081</v>
      </c>
      <c r="I13363" s="46" t="s">
        <v>4082</v>
      </c>
      <c r="J13363" s="46" t="s">
        <v>4</v>
      </c>
      <c r="K13363" s="46" t="s">
        <v>126</v>
      </c>
      <c r="L13363" s="45">
        <v>46017.760416666664</v>
      </c>
      <c r="M13363" s="46" t="s">
        <v>123</v>
      </c>
      <c r="N13363" s="45">
        <v>46017.8125</v>
      </c>
      <c r="O13363" s="46" t="s">
        <v>123</v>
      </c>
      <c r="P13363" s="46">
        <v>4500.0</v>
      </c>
      <c r="S13363" s="46" t="s">
        <v>9451</v>
      </c>
    </row>
    <row r="13364">
      <c r="A13364" s="40">
        <f t="shared" si="1"/>
        <v>46013</v>
      </c>
      <c r="B13364" s="37" t="str">
        <f t="array" ref="B13364">iferror(xlookup($I13364, 'IMPORT VHC Report'!$E:$E, 'IMPORT VHC Report'!$A:$C), )</f>
        <v/>
      </c>
      <c r="C13364" s="44"/>
      <c r="D13364" s="44"/>
      <c r="E13364" s="46" t="s">
        <v>9452</v>
      </c>
      <c r="F13364" s="46" t="s">
        <v>4080</v>
      </c>
      <c r="G13364" s="46">
        <v>5.202441056015E12</v>
      </c>
      <c r="H13364" s="46" t="s">
        <v>4081</v>
      </c>
      <c r="I13364" s="46" t="s">
        <v>4082</v>
      </c>
      <c r="J13364" s="46" t="s">
        <v>132</v>
      </c>
      <c r="K13364" s="46" t="s">
        <v>126</v>
      </c>
      <c r="L13364" s="45">
        <v>46017.8125</v>
      </c>
      <c r="M13364" s="46" t="s">
        <v>123</v>
      </c>
      <c r="N13364" s="45">
        <v>46017.854166666664</v>
      </c>
      <c r="O13364" s="46" t="s">
        <v>123</v>
      </c>
      <c r="P13364" s="46">
        <v>3600.0</v>
      </c>
    </row>
    <row r="13365">
      <c r="A13365" s="40">
        <f t="shared" si="1"/>
        <v>46013</v>
      </c>
      <c r="B13365" s="37" t="str">
        <f t="array" ref="B13365">iferror(xlookup($I13365, 'IMPORT VHC Report'!$E:$E, 'IMPORT VHC Report'!$A:$C), )</f>
        <v/>
      </c>
      <c r="C13365" s="44"/>
      <c r="D13365" s="44"/>
      <c r="E13365" s="46" t="s">
        <v>9453</v>
      </c>
      <c r="F13365" s="46" t="s">
        <v>4080</v>
      </c>
      <c r="G13365" s="46">
        <v>5.202441056015E12</v>
      </c>
      <c r="H13365" s="46" t="s">
        <v>4081</v>
      </c>
      <c r="I13365" s="46" t="s">
        <v>4082</v>
      </c>
      <c r="J13365" s="46" t="s">
        <v>134</v>
      </c>
      <c r="K13365" s="46" t="s">
        <v>126</v>
      </c>
      <c r="L13365" s="45">
        <v>46017.854166666664</v>
      </c>
      <c r="M13365" s="46" t="s">
        <v>123</v>
      </c>
      <c r="N13365" s="45">
        <v>46017.875</v>
      </c>
      <c r="O13365" s="46" t="s">
        <v>123</v>
      </c>
      <c r="P13365" s="46">
        <v>1800.0</v>
      </c>
    </row>
    <row r="13366">
      <c r="A13366" s="40">
        <f t="shared" si="1"/>
        <v>46013</v>
      </c>
      <c r="B13366" s="37" t="str">
        <f t="array" ref="B13366">iferror(xlookup($I13366, 'IMPORT VHC Report'!$E:$E, 'IMPORT VHC Report'!$A:$C), )</f>
        <v/>
      </c>
      <c r="C13366" s="44"/>
      <c r="D13366" s="44"/>
      <c r="E13366" s="46" t="s">
        <v>9454</v>
      </c>
      <c r="F13366" s="46" t="s">
        <v>4514</v>
      </c>
      <c r="G13366" s="46">
        <v>1.0333033832463E13</v>
      </c>
      <c r="H13366" s="46" t="s">
        <v>4515</v>
      </c>
      <c r="I13366" s="46" t="s">
        <v>4516</v>
      </c>
      <c r="J13366" s="46" t="s">
        <v>224</v>
      </c>
      <c r="K13366" s="46" t="s">
        <v>63</v>
      </c>
      <c r="L13366" s="45">
        <v>46013.625</v>
      </c>
      <c r="M13366" s="46" t="s">
        <v>123</v>
      </c>
      <c r="N13366" s="45">
        <v>46014.0</v>
      </c>
      <c r="O13366" s="46" t="s">
        <v>123</v>
      </c>
      <c r="P13366" s="46">
        <v>32400.0</v>
      </c>
    </row>
    <row r="13367">
      <c r="A13367" s="40">
        <f t="shared" si="1"/>
        <v>46013</v>
      </c>
      <c r="B13367" s="37" t="str">
        <f t="array" ref="B13367">iferror(xlookup($I13367, 'IMPORT VHC Report'!$E:$E, 'IMPORT VHC Report'!$A:$C), )</f>
        <v/>
      </c>
      <c r="C13367" s="44"/>
      <c r="D13367" s="44"/>
      <c r="E13367" s="46" t="s">
        <v>9455</v>
      </c>
      <c r="F13367" s="46" t="s">
        <v>4514</v>
      </c>
      <c r="G13367" s="46">
        <v>1.0333033832463E13</v>
      </c>
      <c r="H13367" s="46" t="s">
        <v>4515</v>
      </c>
      <c r="I13367" s="46" t="s">
        <v>4516</v>
      </c>
      <c r="J13367" s="46" t="s">
        <v>134</v>
      </c>
      <c r="K13367" s="46" t="s">
        <v>126</v>
      </c>
      <c r="L13367" s="45">
        <v>46013.729166666664</v>
      </c>
      <c r="M13367" s="46" t="s">
        <v>123</v>
      </c>
      <c r="N13367" s="45">
        <v>46013.739583333336</v>
      </c>
      <c r="O13367" s="46" t="s">
        <v>123</v>
      </c>
      <c r="P13367" s="46">
        <v>900.0</v>
      </c>
    </row>
    <row r="13368">
      <c r="A13368" s="40">
        <f t="shared" si="1"/>
        <v>46013</v>
      </c>
      <c r="B13368" s="37" t="str">
        <f t="array" ref="B13368">iferror(xlookup($I13368, 'IMPORT VHC Report'!$E:$E, 'IMPORT VHC Report'!$A:$C), )</f>
        <v/>
      </c>
      <c r="C13368" s="44"/>
      <c r="D13368" s="44"/>
      <c r="E13368" s="46" t="s">
        <v>9456</v>
      </c>
      <c r="F13368" s="46" t="s">
        <v>4514</v>
      </c>
      <c r="G13368" s="46">
        <v>1.0333033832463E13</v>
      </c>
      <c r="H13368" s="46" t="s">
        <v>4515</v>
      </c>
      <c r="I13368" s="46" t="s">
        <v>4516</v>
      </c>
      <c r="J13368" s="46" t="s">
        <v>132</v>
      </c>
      <c r="K13368" s="46" t="s">
        <v>126</v>
      </c>
      <c r="L13368" s="45">
        <v>46013.802083333336</v>
      </c>
      <c r="M13368" s="46" t="s">
        <v>123</v>
      </c>
      <c r="N13368" s="45">
        <v>46013.84375</v>
      </c>
      <c r="O13368" s="46" t="s">
        <v>123</v>
      </c>
      <c r="P13368" s="46">
        <v>3600.0</v>
      </c>
    </row>
    <row r="13369">
      <c r="A13369" s="40">
        <f t="shared" si="1"/>
        <v>46013</v>
      </c>
      <c r="B13369" s="37" t="str">
        <f t="array" ref="B13369">iferror(xlookup($I13369, 'IMPORT VHC Report'!$E:$E, 'IMPORT VHC Report'!$A:$C), )</f>
        <v/>
      </c>
      <c r="C13369" s="44"/>
      <c r="D13369" s="44"/>
      <c r="E13369" s="46" t="s">
        <v>9457</v>
      </c>
      <c r="F13369" s="46" t="s">
        <v>4514</v>
      </c>
      <c r="G13369" s="46">
        <v>1.0333033832463E13</v>
      </c>
      <c r="H13369" s="46" t="s">
        <v>4515</v>
      </c>
      <c r="I13369" s="46" t="s">
        <v>4516</v>
      </c>
      <c r="J13369" s="46" t="s">
        <v>134</v>
      </c>
      <c r="K13369" s="46" t="s">
        <v>126</v>
      </c>
      <c r="L13369" s="45">
        <v>46013.916666666664</v>
      </c>
      <c r="M13369" s="46" t="s">
        <v>123</v>
      </c>
      <c r="N13369" s="45">
        <v>46013.927083333336</v>
      </c>
      <c r="O13369" s="46" t="s">
        <v>123</v>
      </c>
      <c r="P13369" s="46">
        <v>900.0</v>
      </c>
    </row>
    <row r="13370">
      <c r="A13370" s="40">
        <f t="shared" si="1"/>
        <v>46013</v>
      </c>
      <c r="B13370" s="37" t="str">
        <f t="array" ref="B13370">iferror(xlookup($I13370, 'IMPORT VHC Report'!$E:$E, 'IMPORT VHC Report'!$A:$C), )</f>
        <v/>
      </c>
      <c r="C13370" s="44"/>
      <c r="D13370" s="44"/>
      <c r="E13370" s="46" t="s">
        <v>9458</v>
      </c>
      <c r="F13370" s="46" t="s">
        <v>4514</v>
      </c>
      <c r="G13370" s="46">
        <v>1.0333033832463E13</v>
      </c>
      <c r="H13370" s="46" t="s">
        <v>4515</v>
      </c>
      <c r="I13370" s="46" t="s">
        <v>4516</v>
      </c>
      <c r="J13370" s="46" t="s">
        <v>224</v>
      </c>
      <c r="K13370" s="46" t="s">
        <v>63</v>
      </c>
      <c r="L13370" s="45">
        <v>46014.625</v>
      </c>
      <c r="M13370" s="46" t="s">
        <v>123</v>
      </c>
      <c r="N13370" s="45">
        <v>46014.958333333336</v>
      </c>
      <c r="O13370" s="46" t="s">
        <v>123</v>
      </c>
      <c r="P13370" s="46">
        <v>28800.0</v>
      </c>
    </row>
    <row r="13371">
      <c r="A13371" s="40">
        <f t="shared" si="1"/>
        <v>46013</v>
      </c>
      <c r="B13371" s="37" t="str">
        <f t="array" ref="B13371">iferror(xlookup($I13371, 'IMPORT VHC Report'!$E:$E, 'IMPORT VHC Report'!$A:$C), )</f>
        <v/>
      </c>
      <c r="C13371" s="44"/>
      <c r="D13371" s="44"/>
      <c r="E13371" s="46" t="s">
        <v>9459</v>
      </c>
      <c r="F13371" s="46" t="s">
        <v>4514</v>
      </c>
      <c r="G13371" s="46">
        <v>1.0333033832463E13</v>
      </c>
      <c r="H13371" s="46" t="s">
        <v>4515</v>
      </c>
      <c r="I13371" s="46" t="s">
        <v>4516</v>
      </c>
      <c r="J13371" s="46" t="s">
        <v>134</v>
      </c>
      <c r="K13371" s="46" t="s">
        <v>126</v>
      </c>
      <c r="L13371" s="45">
        <v>46014.708333333336</v>
      </c>
      <c r="M13371" s="46" t="s">
        <v>123</v>
      </c>
      <c r="N13371" s="45">
        <v>46014.71875</v>
      </c>
      <c r="O13371" s="46" t="s">
        <v>123</v>
      </c>
      <c r="P13371" s="46">
        <v>900.0</v>
      </c>
    </row>
    <row r="13372">
      <c r="A13372" s="40">
        <f t="shared" si="1"/>
        <v>46013</v>
      </c>
      <c r="B13372" s="37" t="str">
        <f t="array" ref="B13372">iferror(xlookup($I13372, 'IMPORT VHC Report'!$E:$E, 'IMPORT VHC Report'!$A:$C), )</f>
        <v/>
      </c>
      <c r="C13372" s="44"/>
      <c r="D13372" s="44"/>
      <c r="E13372" s="46" t="s">
        <v>9460</v>
      </c>
      <c r="F13372" s="46" t="s">
        <v>4514</v>
      </c>
      <c r="G13372" s="46">
        <v>1.0333033832463E13</v>
      </c>
      <c r="H13372" s="46" t="s">
        <v>4515</v>
      </c>
      <c r="I13372" s="46" t="s">
        <v>4516</v>
      </c>
      <c r="J13372" s="46" t="s">
        <v>134</v>
      </c>
      <c r="K13372" s="46" t="s">
        <v>126</v>
      </c>
      <c r="L13372" s="45">
        <v>46014.78125</v>
      </c>
      <c r="M13372" s="46" t="s">
        <v>123</v>
      </c>
      <c r="N13372" s="45">
        <v>46014.791666666664</v>
      </c>
      <c r="O13372" s="46" t="s">
        <v>123</v>
      </c>
      <c r="P13372" s="46">
        <v>900.0</v>
      </c>
    </row>
    <row r="13373">
      <c r="A13373" s="40">
        <f t="shared" si="1"/>
        <v>46013</v>
      </c>
      <c r="B13373" s="37" t="str">
        <f t="array" ref="B13373">iferror(xlookup($I13373, 'IMPORT VHC Report'!$E:$E, 'IMPORT VHC Report'!$A:$C), )</f>
        <v/>
      </c>
      <c r="C13373" s="44"/>
      <c r="D13373" s="44"/>
      <c r="E13373" s="46" t="s">
        <v>9461</v>
      </c>
      <c r="F13373" s="46" t="s">
        <v>4514</v>
      </c>
      <c r="G13373" s="46">
        <v>1.0333033832463E13</v>
      </c>
      <c r="H13373" s="46" t="s">
        <v>4515</v>
      </c>
      <c r="I13373" s="46" t="s">
        <v>4516</v>
      </c>
      <c r="J13373" s="46" t="s">
        <v>132</v>
      </c>
      <c r="K13373" s="46" t="s">
        <v>126</v>
      </c>
      <c r="L13373" s="45">
        <v>46014.791666666664</v>
      </c>
      <c r="M13373" s="46" t="s">
        <v>123</v>
      </c>
      <c r="N13373" s="45">
        <v>46014.833333333336</v>
      </c>
      <c r="O13373" s="46" t="s">
        <v>123</v>
      </c>
      <c r="P13373" s="46">
        <v>3600.0</v>
      </c>
    </row>
    <row r="13374">
      <c r="A13374" s="40">
        <f t="shared" si="1"/>
        <v>46013</v>
      </c>
      <c r="B13374" s="37" t="str">
        <f t="array" ref="B13374">iferror(xlookup($I13374, 'IMPORT VHC Report'!$E:$E, 'IMPORT VHC Report'!$A:$C), )</f>
        <v/>
      </c>
      <c r="C13374" s="44"/>
      <c r="D13374" s="44"/>
      <c r="E13374" s="46" t="s">
        <v>9462</v>
      </c>
      <c r="F13374" s="46" t="s">
        <v>4514</v>
      </c>
      <c r="G13374" s="46">
        <v>1.0333033832463E13</v>
      </c>
      <c r="H13374" s="46" t="s">
        <v>4515</v>
      </c>
      <c r="I13374" s="46" t="s">
        <v>4516</v>
      </c>
      <c r="J13374" s="46" t="s">
        <v>152</v>
      </c>
      <c r="K13374" s="46" t="s">
        <v>153</v>
      </c>
      <c r="L13374" s="45">
        <v>46014.833333333336</v>
      </c>
      <c r="M13374" s="46" t="s">
        <v>123</v>
      </c>
      <c r="N13374" s="45">
        <v>46015.0</v>
      </c>
      <c r="O13374" s="46" t="s">
        <v>123</v>
      </c>
      <c r="P13374" s="46">
        <v>14400.0</v>
      </c>
      <c r="Q13374" s="46">
        <v>14400.0</v>
      </c>
    </row>
    <row r="13375">
      <c r="A13375" s="40">
        <f t="shared" si="1"/>
        <v>46013</v>
      </c>
      <c r="B13375" s="37" t="str">
        <f t="array" ref="B13375">iferror(xlookup($I13375, 'IMPORT VHC Report'!$E:$E, 'IMPORT VHC Report'!$A:$C), )</f>
        <v/>
      </c>
      <c r="C13375" s="44"/>
      <c r="D13375" s="44"/>
      <c r="E13375" s="46" t="s">
        <v>9463</v>
      </c>
      <c r="F13375" s="46" t="s">
        <v>4514</v>
      </c>
      <c r="G13375" s="46">
        <v>1.0333033832463E13</v>
      </c>
      <c r="H13375" s="46" t="s">
        <v>4515</v>
      </c>
      <c r="I13375" s="46" t="s">
        <v>4516</v>
      </c>
      <c r="J13375" s="46" t="s">
        <v>62</v>
      </c>
      <c r="K13375" s="46" t="s">
        <v>63</v>
      </c>
      <c r="L13375" s="45">
        <v>46014.958333333336</v>
      </c>
      <c r="M13375" s="46" t="s">
        <v>123</v>
      </c>
      <c r="N13375" s="45">
        <v>46014.979166666664</v>
      </c>
      <c r="O13375" s="46" t="s">
        <v>123</v>
      </c>
      <c r="P13375" s="46">
        <v>1800.0</v>
      </c>
    </row>
    <row r="13376">
      <c r="A13376" s="40">
        <f t="shared" si="1"/>
        <v>46013</v>
      </c>
      <c r="B13376" s="37" t="str">
        <f t="array" ref="B13376">iferror(xlookup($I13376, 'IMPORT VHC Report'!$E:$E, 'IMPORT VHC Report'!$A:$C), )</f>
        <v/>
      </c>
      <c r="C13376" s="44"/>
      <c r="D13376" s="44"/>
      <c r="E13376" s="46" t="s">
        <v>9464</v>
      </c>
      <c r="F13376" s="46" t="s">
        <v>4514</v>
      </c>
      <c r="G13376" s="46">
        <v>1.0333033832463E13</v>
      </c>
      <c r="H13376" s="46" t="s">
        <v>4515</v>
      </c>
      <c r="I13376" s="46" t="s">
        <v>4516</v>
      </c>
      <c r="J13376" s="46" t="s">
        <v>224</v>
      </c>
      <c r="K13376" s="46" t="s">
        <v>63</v>
      </c>
      <c r="L13376" s="45">
        <v>46014.979166666664</v>
      </c>
      <c r="M13376" s="46" t="s">
        <v>123</v>
      </c>
      <c r="N13376" s="45">
        <v>46015.0</v>
      </c>
      <c r="O13376" s="46" t="s">
        <v>123</v>
      </c>
      <c r="P13376" s="46">
        <v>1800.0</v>
      </c>
    </row>
    <row r="13377">
      <c r="A13377" s="40">
        <f t="shared" si="1"/>
        <v>46013</v>
      </c>
      <c r="B13377" s="37" t="str">
        <f t="array" ref="B13377">iferror(xlookup($I13377, 'IMPORT VHC Report'!$E:$E, 'IMPORT VHC Report'!$A:$C), )</f>
        <v/>
      </c>
      <c r="C13377" s="44"/>
      <c r="D13377" s="44"/>
      <c r="E13377" s="46" t="s">
        <v>9465</v>
      </c>
      <c r="F13377" s="46" t="s">
        <v>4514</v>
      </c>
      <c r="G13377" s="46">
        <v>1.0333033832463E13</v>
      </c>
      <c r="H13377" s="46" t="s">
        <v>4515</v>
      </c>
      <c r="I13377" s="46" t="s">
        <v>4516</v>
      </c>
      <c r="J13377" s="46" t="s">
        <v>178</v>
      </c>
      <c r="K13377" s="46" t="s">
        <v>153</v>
      </c>
      <c r="L13377" s="45">
        <v>46015.625</v>
      </c>
      <c r="M13377" s="46" t="s">
        <v>123</v>
      </c>
      <c r="N13377" s="45">
        <v>46016.0</v>
      </c>
      <c r="O13377" s="46" t="s">
        <v>123</v>
      </c>
      <c r="P13377" s="46">
        <v>32400.0</v>
      </c>
      <c r="Q13377" s="46">
        <v>32400.0</v>
      </c>
    </row>
    <row r="13378">
      <c r="A13378" s="40">
        <f t="shared" si="1"/>
        <v>46013</v>
      </c>
      <c r="B13378" s="37" t="str">
        <f t="array" ref="B13378">iferror(xlookup($I13378, 'IMPORT VHC Report'!$E:$E, 'IMPORT VHC Report'!$A:$C), )</f>
        <v/>
      </c>
      <c r="C13378" s="44"/>
      <c r="D13378" s="44"/>
      <c r="E13378" s="46" t="s">
        <v>9466</v>
      </c>
      <c r="F13378" s="46" t="s">
        <v>4514</v>
      </c>
      <c r="G13378" s="46">
        <v>1.0333033832463E13</v>
      </c>
      <c r="H13378" s="46" t="s">
        <v>4515</v>
      </c>
      <c r="I13378" s="46" t="s">
        <v>4516</v>
      </c>
      <c r="J13378" s="46" t="s">
        <v>224</v>
      </c>
      <c r="K13378" s="46" t="s">
        <v>63</v>
      </c>
      <c r="L13378" s="45">
        <v>46015.625</v>
      </c>
      <c r="M13378" s="46" t="s">
        <v>123</v>
      </c>
      <c r="N13378" s="45">
        <v>46016.0</v>
      </c>
      <c r="O13378" s="46" t="s">
        <v>123</v>
      </c>
      <c r="P13378" s="46">
        <v>32400.0</v>
      </c>
    </row>
    <row r="13379">
      <c r="A13379" s="40">
        <f t="shared" si="1"/>
        <v>46013</v>
      </c>
      <c r="B13379" s="37" t="str">
        <f t="array" ref="B13379">iferror(xlookup($I13379, 'IMPORT VHC Report'!$E:$E, 'IMPORT VHC Report'!$A:$C), )</f>
        <v/>
      </c>
      <c r="C13379" s="44"/>
      <c r="D13379" s="44"/>
      <c r="E13379" s="46" t="s">
        <v>9467</v>
      </c>
      <c r="F13379" s="46" t="s">
        <v>4514</v>
      </c>
      <c r="G13379" s="46">
        <v>1.0333033832463E13</v>
      </c>
      <c r="H13379" s="46" t="s">
        <v>4515</v>
      </c>
      <c r="I13379" s="46" t="s">
        <v>4516</v>
      </c>
      <c r="J13379" s="46" t="s">
        <v>134</v>
      </c>
      <c r="K13379" s="46" t="s">
        <v>126</v>
      </c>
      <c r="L13379" s="45">
        <v>46015.729166666664</v>
      </c>
      <c r="M13379" s="46" t="s">
        <v>123</v>
      </c>
      <c r="N13379" s="45">
        <v>46015.739583333336</v>
      </c>
      <c r="O13379" s="46" t="s">
        <v>123</v>
      </c>
      <c r="P13379" s="46">
        <v>900.0</v>
      </c>
    </row>
    <row r="13380">
      <c r="A13380" s="40">
        <f t="shared" si="1"/>
        <v>46013</v>
      </c>
      <c r="B13380" s="37" t="str">
        <f t="array" ref="B13380">iferror(xlookup($I13380, 'IMPORT VHC Report'!$E:$E, 'IMPORT VHC Report'!$A:$C), )</f>
        <v/>
      </c>
      <c r="C13380" s="44"/>
      <c r="D13380" s="44"/>
      <c r="E13380" s="46" t="s">
        <v>9468</v>
      </c>
      <c r="F13380" s="46" t="s">
        <v>4514</v>
      </c>
      <c r="G13380" s="46">
        <v>1.0333033832463E13</v>
      </c>
      <c r="H13380" s="46" t="s">
        <v>4515</v>
      </c>
      <c r="I13380" s="46" t="s">
        <v>4516</v>
      </c>
      <c r="J13380" s="46" t="s">
        <v>134</v>
      </c>
      <c r="K13380" s="46" t="s">
        <v>126</v>
      </c>
      <c r="L13380" s="45">
        <v>46015.8125</v>
      </c>
      <c r="M13380" s="46" t="s">
        <v>123</v>
      </c>
      <c r="N13380" s="45">
        <v>46015.822916666664</v>
      </c>
      <c r="O13380" s="46" t="s">
        <v>123</v>
      </c>
      <c r="P13380" s="46">
        <v>900.0</v>
      </c>
    </row>
    <row r="13381">
      <c r="A13381" s="40">
        <f t="shared" si="1"/>
        <v>46013</v>
      </c>
      <c r="B13381" s="37" t="str">
        <f t="array" ref="B13381">iferror(xlookup($I13381, 'IMPORT VHC Report'!$E:$E, 'IMPORT VHC Report'!$A:$C), )</f>
        <v/>
      </c>
      <c r="C13381" s="44"/>
      <c r="D13381" s="44"/>
      <c r="E13381" s="46" t="s">
        <v>9469</v>
      </c>
      <c r="F13381" s="46" t="s">
        <v>4514</v>
      </c>
      <c r="G13381" s="46">
        <v>1.0333033832463E13</v>
      </c>
      <c r="H13381" s="46" t="s">
        <v>4515</v>
      </c>
      <c r="I13381" s="46" t="s">
        <v>4516</v>
      </c>
      <c r="J13381" s="46" t="s">
        <v>132</v>
      </c>
      <c r="K13381" s="46" t="s">
        <v>126</v>
      </c>
      <c r="L13381" s="45">
        <v>46015.885416666664</v>
      </c>
      <c r="M13381" s="46" t="s">
        <v>123</v>
      </c>
      <c r="N13381" s="45">
        <v>46015.927083333336</v>
      </c>
      <c r="O13381" s="46" t="s">
        <v>123</v>
      </c>
      <c r="P13381" s="46">
        <v>3600.0</v>
      </c>
    </row>
    <row r="13382">
      <c r="A13382" s="40">
        <f t="shared" si="1"/>
        <v>46013</v>
      </c>
      <c r="B13382" s="37" t="str">
        <f t="array" ref="B13382">iferror(xlookup($I13382, 'IMPORT VHC Report'!$E:$E, 'IMPORT VHC Report'!$A:$C), )</f>
        <v/>
      </c>
      <c r="C13382" s="44"/>
      <c r="D13382" s="44"/>
      <c r="E13382" s="46" t="s">
        <v>9470</v>
      </c>
      <c r="F13382" s="46" t="s">
        <v>4514</v>
      </c>
      <c r="G13382" s="46">
        <v>1.0333033832463E13</v>
      </c>
      <c r="H13382" s="46" t="s">
        <v>4515</v>
      </c>
      <c r="I13382" s="46" t="s">
        <v>4516</v>
      </c>
      <c r="J13382" s="46" t="s">
        <v>224</v>
      </c>
      <c r="K13382" s="46" t="s">
        <v>63</v>
      </c>
      <c r="L13382" s="45">
        <v>46016.625</v>
      </c>
      <c r="M13382" s="46" t="s">
        <v>123</v>
      </c>
      <c r="N13382" s="45">
        <v>46017.0</v>
      </c>
      <c r="O13382" s="46" t="s">
        <v>123</v>
      </c>
      <c r="P13382" s="46">
        <v>32400.0</v>
      </c>
    </row>
    <row r="13383">
      <c r="A13383" s="40">
        <f t="shared" si="1"/>
        <v>46013</v>
      </c>
      <c r="B13383" s="37" t="str">
        <f t="array" ref="B13383">iferror(xlookup($I13383, 'IMPORT VHC Report'!$E:$E, 'IMPORT VHC Report'!$A:$C), )</f>
        <v/>
      </c>
      <c r="C13383" s="44"/>
      <c r="D13383" s="44"/>
      <c r="E13383" s="46" t="s">
        <v>9471</v>
      </c>
      <c r="F13383" s="46" t="s">
        <v>4514</v>
      </c>
      <c r="G13383" s="46">
        <v>1.0333033832463E13</v>
      </c>
      <c r="H13383" s="46" t="s">
        <v>4515</v>
      </c>
      <c r="I13383" s="46" t="s">
        <v>4516</v>
      </c>
      <c r="J13383" s="46" t="s">
        <v>134</v>
      </c>
      <c r="K13383" s="46" t="s">
        <v>126</v>
      </c>
      <c r="L13383" s="45">
        <v>46016.75</v>
      </c>
      <c r="M13383" s="46" t="s">
        <v>123</v>
      </c>
      <c r="N13383" s="45">
        <v>46016.760416666664</v>
      </c>
      <c r="O13383" s="46" t="s">
        <v>123</v>
      </c>
      <c r="P13383" s="46">
        <v>900.0</v>
      </c>
    </row>
    <row r="13384">
      <c r="A13384" s="40">
        <f t="shared" si="1"/>
        <v>46013</v>
      </c>
      <c r="B13384" s="37" t="str">
        <f t="array" ref="B13384">iferror(xlookup($I13384, 'IMPORT VHC Report'!$E:$E, 'IMPORT VHC Report'!$A:$C), )</f>
        <v/>
      </c>
      <c r="C13384" s="44"/>
      <c r="D13384" s="44"/>
      <c r="E13384" s="46" t="s">
        <v>9472</v>
      </c>
      <c r="F13384" s="46" t="s">
        <v>4514</v>
      </c>
      <c r="G13384" s="46">
        <v>1.0333033832463E13</v>
      </c>
      <c r="H13384" s="46" t="s">
        <v>4515</v>
      </c>
      <c r="I13384" s="46" t="s">
        <v>4516</v>
      </c>
      <c r="J13384" s="46" t="s">
        <v>4</v>
      </c>
      <c r="K13384" s="46" t="s">
        <v>126</v>
      </c>
      <c r="L13384" s="45">
        <v>46016.802083333336</v>
      </c>
      <c r="M13384" s="46" t="s">
        <v>123</v>
      </c>
      <c r="N13384" s="45">
        <v>46016.8125</v>
      </c>
      <c r="O13384" s="46" t="s">
        <v>123</v>
      </c>
      <c r="P13384" s="46">
        <v>900.0</v>
      </c>
      <c r="S13384" s="48" t="s">
        <v>9473</v>
      </c>
    </row>
    <row r="13385">
      <c r="A13385" s="40">
        <f t="shared" si="1"/>
        <v>46013</v>
      </c>
      <c r="B13385" s="37" t="str">
        <f t="array" ref="B13385">iferror(xlookup($I13385, 'IMPORT VHC Report'!$E:$E, 'IMPORT VHC Report'!$A:$C), )</f>
        <v/>
      </c>
      <c r="C13385" s="44"/>
      <c r="D13385" s="44"/>
      <c r="E13385" s="46" t="s">
        <v>9474</v>
      </c>
      <c r="F13385" s="46" t="s">
        <v>4514</v>
      </c>
      <c r="G13385" s="46">
        <v>1.0333033832463E13</v>
      </c>
      <c r="H13385" s="46" t="s">
        <v>4515</v>
      </c>
      <c r="I13385" s="46" t="s">
        <v>4516</v>
      </c>
      <c r="J13385" s="46" t="s">
        <v>4</v>
      </c>
      <c r="K13385" s="46" t="s">
        <v>126</v>
      </c>
      <c r="L13385" s="45">
        <v>46016.802083333336</v>
      </c>
      <c r="M13385" s="46" t="s">
        <v>123</v>
      </c>
      <c r="N13385" s="45">
        <v>46016.8125</v>
      </c>
      <c r="O13385" s="46" t="s">
        <v>123</v>
      </c>
      <c r="P13385" s="46">
        <v>900.0</v>
      </c>
      <c r="S13385" s="48" t="s">
        <v>9473</v>
      </c>
    </row>
    <row r="13386">
      <c r="A13386" s="40">
        <f t="shared" si="1"/>
        <v>46013</v>
      </c>
      <c r="B13386" s="37" t="str">
        <f t="array" ref="B13386">iferror(xlookup($I13386, 'IMPORT VHC Report'!$E:$E, 'IMPORT VHC Report'!$A:$C), )</f>
        <v/>
      </c>
      <c r="C13386" s="44"/>
      <c r="D13386" s="44"/>
      <c r="E13386" s="46" t="s">
        <v>9475</v>
      </c>
      <c r="F13386" s="46" t="s">
        <v>4514</v>
      </c>
      <c r="G13386" s="46">
        <v>1.0333033832463E13</v>
      </c>
      <c r="H13386" s="46" t="s">
        <v>4515</v>
      </c>
      <c r="I13386" s="46" t="s">
        <v>4516</v>
      </c>
      <c r="J13386" s="46" t="s">
        <v>132</v>
      </c>
      <c r="K13386" s="46" t="s">
        <v>126</v>
      </c>
      <c r="L13386" s="45">
        <v>46016.822916666664</v>
      </c>
      <c r="M13386" s="46" t="s">
        <v>123</v>
      </c>
      <c r="N13386" s="45">
        <v>46016.84375</v>
      </c>
      <c r="O13386" s="46" t="s">
        <v>123</v>
      </c>
      <c r="P13386" s="46">
        <v>1800.0</v>
      </c>
    </row>
    <row r="13387">
      <c r="A13387" s="40">
        <f t="shared" si="1"/>
        <v>46013</v>
      </c>
      <c r="B13387" s="37" t="str">
        <f t="array" ref="B13387">iferror(xlookup($I13387, 'IMPORT VHC Report'!$E:$E, 'IMPORT VHC Report'!$A:$C), )</f>
        <v/>
      </c>
      <c r="C13387" s="44"/>
      <c r="D13387" s="44"/>
      <c r="E13387" s="46" t="s">
        <v>9476</v>
      </c>
      <c r="F13387" s="46" t="s">
        <v>4514</v>
      </c>
      <c r="G13387" s="46">
        <v>1.0333033832463E13</v>
      </c>
      <c r="H13387" s="46" t="s">
        <v>4515</v>
      </c>
      <c r="I13387" s="46" t="s">
        <v>4516</v>
      </c>
      <c r="J13387" s="46" t="s">
        <v>224</v>
      </c>
      <c r="K13387" s="46" t="s">
        <v>63</v>
      </c>
      <c r="L13387" s="45">
        <v>46016.84375</v>
      </c>
      <c r="M13387" s="46" t="s">
        <v>123</v>
      </c>
      <c r="N13387" s="45">
        <v>46016.854166666664</v>
      </c>
      <c r="O13387" s="46" t="s">
        <v>123</v>
      </c>
      <c r="P13387" s="46">
        <v>900.0</v>
      </c>
    </row>
    <row r="13388">
      <c r="A13388" s="40">
        <f t="shared" si="1"/>
        <v>46013</v>
      </c>
      <c r="B13388" s="37" t="str">
        <f t="array" ref="B13388">iferror(xlookup($I13388, 'IMPORT VHC Report'!$E:$E, 'IMPORT VHC Report'!$A:$C), )</f>
        <v/>
      </c>
      <c r="C13388" s="44"/>
      <c r="D13388" s="44"/>
      <c r="E13388" s="46" t="s">
        <v>9477</v>
      </c>
      <c r="F13388" s="46" t="s">
        <v>4514</v>
      </c>
      <c r="G13388" s="46">
        <v>1.0333033832463E13</v>
      </c>
      <c r="H13388" s="46" t="s">
        <v>4515</v>
      </c>
      <c r="I13388" s="46" t="s">
        <v>4516</v>
      </c>
      <c r="J13388" s="46" t="s">
        <v>132</v>
      </c>
      <c r="K13388" s="46" t="s">
        <v>126</v>
      </c>
      <c r="L13388" s="45">
        <v>46016.854166666664</v>
      </c>
      <c r="M13388" s="46" t="s">
        <v>123</v>
      </c>
      <c r="N13388" s="45">
        <v>46016.864583333336</v>
      </c>
      <c r="O13388" s="46" t="s">
        <v>123</v>
      </c>
      <c r="P13388" s="46">
        <v>900.0</v>
      </c>
    </row>
    <row r="13389">
      <c r="A13389" s="40">
        <f t="shared" si="1"/>
        <v>46013</v>
      </c>
      <c r="B13389" s="37" t="str">
        <f t="array" ref="B13389">iferror(xlookup($I13389, 'IMPORT VHC Report'!$E:$E, 'IMPORT VHC Report'!$A:$C), )</f>
        <v/>
      </c>
      <c r="C13389" s="44"/>
      <c r="D13389" s="44"/>
      <c r="E13389" s="46" t="s">
        <v>9478</v>
      </c>
      <c r="F13389" s="46" t="s">
        <v>4514</v>
      </c>
      <c r="G13389" s="46">
        <v>1.0333033832463E13</v>
      </c>
      <c r="H13389" s="46" t="s">
        <v>4515</v>
      </c>
      <c r="I13389" s="46" t="s">
        <v>4516</v>
      </c>
      <c r="J13389" s="46" t="s">
        <v>224</v>
      </c>
      <c r="K13389" s="46" t="s">
        <v>63</v>
      </c>
      <c r="L13389" s="45">
        <v>46016.895833333336</v>
      </c>
      <c r="M13389" s="46" t="s">
        <v>123</v>
      </c>
      <c r="N13389" s="45">
        <v>46016.9375</v>
      </c>
      <c r="O13389" s="46" t="s">
        <v>123</v>
      </c>
      <c r="P13389" s="46">
        <v>3600.0</v>
      </c>
    </row>
    <row r="13390">
      <c r="A13390" s="40">
        <f t="shared" si="1"/>
        <v>46013</v>
      </c>
      <c r="B13390" s="37" t="str">
        <f t="array" ref="B13390">iferror(xlookup($I13390, 'IMPORT VHC Report'!$E:$E, 'IMPORT VHC Report'!$A:$C), )</f>
        <v/>
      </c>
      <c r="C13390" s="44"/>
      <c r="D13390" s="44"/>
      <c r="E13390" s="46" t="s">
        <v>9479</v>
      </c>
      <c r="F13390" s="46" t="s">
        <v>4514</v>
      </c>
      <c r="G13390" s="46">
        <v>1.0333033832463E13</v>
      </c>
      <c r="H13390" s="46" t="s">
        <v>4515</v>
      </c>
      <c r="I13390" s="46" t="s">
        <v>4516</v>
      </c>
      <c r="J13390" s="46" t="s">
        <v>134</v>
      </c>
      <c r="K13390" s="46" t="s">
        <v>126</v>
      </c>
      <c r="L13390" s="45">
        <v>46016.916666666664</v>
      </c>
      <c r="M13390" s="46" t="s">
        <v>123</v>
      </c>
      <c r="N13390" s="45">
        <v>46016.927083333336</v>
      </c>
      <c r="O13390" s="46" t="s">
        <v>123</v>
      </c>
      <c r="P13390" s="46">
        <v>900.0</v>
      </c>
    </row>
    <row r="13391">
      <c r="A13391" s="40">
        <f t="shared" si="1"/>
        <v>46013</v>
      </c>
      <c r="B13391" s="37" t="str">
        <f t="array" ref="B13391">iferror(xlookup($I13391, 'IMPORT VHC Report'!$E:$E, 'IMPORT VHC Report'!$A:$C), )</f>
        <v/>
      </c>
      <c r="C13391" s="44"/>
      <c r="D13391" s="44"/>
      <c r="E13391" s="46" t="s">
        <v>9480</v>
      </c>
      <c r="F13391" s="46" t="s">
        <v>4514</v>
      </c>
      <c r="G13391" s="46">
        <v>1.0333033832463E13</v>
      </c>
      <c r="H13391" s="46" t="s">
        <v>4515</v>
      </c>
      <c r="I13391" s="46" t="s">
        <v>4516</v>
      </c>
      <c r="J13391" s="46" t="s">
        <v>152</v>
      </c>
      <c r="K13391" s="46" t="s">
        <v>153</v>
      </c>
      <c r="L13391" s="45">
        <v>46017.625</v>
      </c>
      <c r="M13391" s="46" t="s">
        <v>123</v>
      </c>
      <c r="N13391" s="45">
        <v>46017.791666666664</v>
      </c>
      <c r="O13391" s="46" t="s">
        <v>123</v>
      </c>
      <c r="P13391" s="46">
        <v>14400.0</v>
      </c>
      <c r="Q13391" s="46">
        <v>14400.0</v>
      </c>
    </row>
    <row r="13392">
      <c r="A13392" s="40">
        <f t="shared" si="1"/>
        <v>46013</v>
      </c>
      <c r="B13392" s="37" t="str">
        <f t="array" ref="B13392">iferror(xlookup($I13392, 'IMPORT VHC Report'!$E:$E, 'IMPORT VHC Report'!$A:$C), )</f>
        <v/>
      </c>
      <c r="C13392" s="44"/>
      <c r="D13392" s="44"/>
      <c r="E13392" s="46" t="s">
        <v>9481</v>
      </c>
      <c r="F13392" s="46" t="s">
        <v>4514</v>
      </c>
      <c r="G13392" s="46">
        <v>1.0333033832463E13</v>
      </c>
      <c r="H13392" s="46" t="s">
        <v>4515</v>
      </c>
      <c r="I13392" s="46" t="s">
        <v>4516</v>
      </c>
      <c r="J13392" s="46" t="s">
        <v>224</v>
      </c>
      <c r="K13392" s="46" t="s">
        <v>63</v>
      </c>
      <c r="L13392" s="45">
        <v>46017.625</v>
      </c>
      <c r="M13392" s="46" t="s">
        <v>123</v>
      </c>
      <c r="N13392" s="45">
        <v>46018.0</v>
      </c>
      <c r="O13392" s="46" t="s">
        <v>123</v>
      </c>
      <c r="P13392" s="46">
        <v>32400.0</v>
      </c>
    </row>
    <row r="13393">
      <c r="A13393" s="40">
        <f t="shared" si="1"/>
        <v>46013</v>
      </c>
      <c r="B13393" s="37" t="str">
        <f t="array" ref="B13393">iferror(xlookup($I13393, 'IMPORT VHC Report'!$E:$E, 'IMPORT VHC Report'!$A:$C), )</f>
        <v/>
      </c>
      <c r="C13393" s="44"/>
      <c r="D13393" s="44"/>
      <c r="E13393" s="46" t="s">
        <v>9482</v>
      </c>
      <c r="F13393" s="46" t="s">
        <v>4514</v>
      </c>
      <c r="G13393" s="46">
        <v>1.0333033832463E13</v>
      </c>
      <c r="H13393" s="46" t="s">
        <v>4515</v>
      </c>
      <c r="I13393" s="46" t="s">
        <v>4516</v>
      </c>
      <c r="J13393" s="46" t="s">
        <v>134</v>
      </c>
      <c r="K13393" s="46" t="s">
        <v>126</v>
      </c>
      <c r="L13393" s="45">
        <v>46017.708333333336</v>
      </c>
      <c r="M13393" s="46" t="s">
        <v>123</v>
      </c>
      <c r="N13393" s="45">
        <v>46017.71875</v>
      </c>
      <c r="O13393" s="46" t="s">
        <v>123</v>
      </c>
      <c r="P13393" s="46">
        <v>900.0</v>
      </c>
    </row>
    <row r="13394">
      <c r="A13394" s="40">
        <f t="shared" si="1"/>
        <v>46013</v>
      </c>
      <c r="B13394" s="37" t="str">
        <f t="array" ref="B13394">iferror(xlookup($I13394, 'IMPORT VHC Report'!$E:$E, 'IMPORT VHC Report'!$A:$C), )</f>
        <v/>
      </c>
      <c r="C13394" s="44"/>
      <c r="D13394" s="44"/>
      <c r="E13394" s="46" t="s">
        <v>9483</v>
      </c>
      <c r="F13394" s="46" t="s">
        <v>4514</v>
      </c>
      <c r="G13394" s="46">
        <v>1.0333033832463E13</v>
      </c>
      <c r="H13394" s="46" t="s">
        <v>4515</v>
      </c>
      <c r="I13394" s="46" t="s">
        <v>4516</v>
      </c>
      <c r="J13394" s="46" t="s">
        <v>132</v>
      </c>
      <c r="K13394" s="46" t="s">
        <v>126</v>
      </c>
      <c r="L13394" s="45">
        <v>46017.791666666664</v>
      </c>
      <c r="M13394" s="46" t="s">
        <v>123</v>
      </c>
      <c r="N13394" s="45">
        <v>46017.833333333336</v>
      </c>
      <c r="O13394" s="46" t="s">
        <v>123</v>
      </c>
      <c r="P13394" s="46">
        <v>3600.0</v>
      </c>
    </row>
    <row r="13395">
      <c r="A13395" s="40">
        <f t="shared" si="1"/>
        <v>46013</v>
      </c>
      <c r="B13395" s="37" t="str">
        <f t="array" ref="B13395">iferror(xlookup($I13395, 'IMPORT VHC Report'!$E:$E, 'IMPORT VHC Report'!$A:$C), )</f>
        <v/>
      </c>
      <c r="C13395" s="44"/>
      <c r="D13395" s="44"/>
      <c r="E13395" s="46" t="s">
        <v>9484</v>
      </c>
      <c r="F13395" s="46" t="s">
        <v>4514</v>
      </c>
      <c r="G13395" s="46">
        <v>1.0333033832463E13</v>
      </c>
      <c r="H13395" s="46" t="s">
        <v>4515</v>
      </c>
      <c r="I13395" s="46" t="s">
        <v>4516</v>
      </c>
      <c r="J13395" s="46" t="s">
        <v>125</v>
      </c>
      <c r="K13395" s="46" t="s">
        <v>126</v>
      </c>
      <c r="L13395" s="45">
        <v>46017.895833333336</v>
      </c>
      <c r="M13395" s="46" t="s">
        <v>123</v>
      </c>
      <c r="N13395" s="45">
        <v>46017.958333333336</v>
      </c>
      <c r="O13395" s="46" t="s">
        <v>123</v>
      </c>
      <c r="P13395" s="46">
        <v>5400.0</v>
      </c>
      <c r="S13395" s="46" t="s">
        <v>9485</v>
      </c>
    </row>
    <row r="13396">
      <c r="A13396" s="40">
        <f t="shared" si="1"/>
        <v>46013</v>
      </c>
      <c r="B13396" s="37" t="str">
        <f t="array" ref="B13396">iferror(xlookup($I13396, 'IMPORT VHC Report'!$E:$E, 'IMPORT VHC Report'!$A:$C), )</f>
        <v/>
      </c>
      <c r="C13396" s="44"/>
      <c r="D13396" s="44"/>
      <c r="E13396" s="46" t="s">
        <v>9486</v>
      </c>
      <c r="F13396" s="46" t="s">
        <v>4514</v>
      </c>
      <c r="G13396" s="46">
        <v>1.0333033832463E13</v>
      </c>
      <c r="H13396" s="46" t="s">
        <v>4515</v>
      </c>
      <c r="I13396" s="46" t="s">
        <v>4516</v>
      </c>
      <c r="J13396" s="46" t="s">
        <v>134</v>
      </c>
      <c r="K13396" s="46" t="s">
        <v>126</v>
      </c>
      <c r="L13396" s="45">
        <v>46017.958333333336</v>
      </c>
      <c r="M13396" s="46" t="s">
        <v>123</v>
      </c>
      <c r="N13396" s="45">
        <v>46017.96875</v>
      </c>
      <c r="O13396" s="46" t="s">
        <v>123</v>
      </c>
      <c r="P13396" s="46">
        <v>900.0</v>
      </c>
    </row>
    <row r="13397">
      <c r="A13397" s="40">
        <f t="shared" si="1"/>
        <v>46013</v>
      </c>
      <c r="B13397" s="37" t="str">
        <f t="array" ref="B13397">iferror(xlookup($I13397, 'IMPORT VHC Report'!$E:$E, 'IMPORT VHC Report'!$A:$C), )</f>
        <v/>
      </c>
      <c r="C13397" s="44"/>
      <c r="D13397" s="44"/>
      <c r="E13397" s="46" t="s">
        <v>9487</v>
      </c>
      <c r="F13397" s="46" t="s">
        <v>4579</v>
      </c>
      <c r="G13397" s="46">
        <v>3.61731516675E11</v>
      </c>
      <c r="H13397" s="46" t="s">
        <v>4580</v>
      </c>
      <c r="I13397" s="46" t="s">
        <v>4581</v>
      </c>
      <c r="J13397" s="46" t="s">
        <v>178</v>
      </c>
      <c r="K13397" s="46" t="s">
        <v>153</v>
      </c>
      <c r="L13397" s="45">
        <v>46013.625</v>
      </c>
      <c r="M13397" s="46" t="s">
        <v>123</v>
      </c>
      <c r="N13397" s="45">
        <v>46013.958333333336</v>
      </c>
      <c r="O13397" s="46" t="s">
        <v>123</v>
      </c>
      <c r="P13397" s="46">
        <v>28800.0</v>
      </c>
      <c r="Q13397" s="46">
        <v>28800.0</v>
      </c>
      <c r="R13397" s="46" t="s">
        <v>421</v>
      </c>
      <c r="S13397" s="46" t="s">
        <v>421</v>
      </c>
    </row>
    <row r="13398">
      <c r="A13398" s="40">
        <f t="shared" si="1"/>
        <v>46013</v>
      </c>
      <c r="B13398" s="37" t="str">
        <f t="array" ref="B13398">iferror(xlookup($I13398, 'IMPORT VHC Report'!$E:$E, 'IMPORT VHC Report'!$A:$C), )</f>
        <v/>
      </c>
      <c r="C13398" s="44"/>
      <c r="D13398" s="44"/>
      <c r="E13398" s="46" t="s">
        <v>9488</v>
      </c>
      <c r="F13398" s="46" t="s">
        <v>4579</v>
      </c>
      <c r="G13398" s="46">
        <v>3.61731516675E11</v>
      </c>
      <c r="H13398" s="46" t="s">
        <v>4580</v>
      </c>
      <c r="I13398" s="46" t="s">
        <v>4581</v>
      </c>
      <c r="J13398" s="46" t="s">
        <v>132</v>
      </c>
      <c r="K13398" s="46" t="s">
        <v>126</v>
      </c>
      <c r="L13398" s="45">
        <v>46013.739583333336</v>
      </c>
      <c r="M13398" s="46" t="s">
        <v>123</v>
      </c>
      <c r="N13398" s="45">
        <v>46013.78125</v>
      </c>
      <c r="O13398" s="46" t="s">
        <v>123</v>
      </c>
      <c r="P13398" s="46">
        <v>3600.0</v>
      </c>
    </row>
    <row r="13399">
      <c r="A13399" s="40">
        <f t="shared" si="1"/>
        <v>46013</v>
      </c>
      <c r="B13399" s="37" t="str">
        <f t="array" ref="B13399">iferror(xlookup($I13399, 'IMPORT VHC Report'!$E:$E, 'IMPORT VHC Report'!$A:$C), )</f>
        <v/>
      </c>
      <c r="C13399" s="44"/>
      <c r="D13399" s="44"/>
      <c r="E13399" s="46" t="s">
        <v>9489</v>
      </c>
      <c r="F13399" s="46" t="s">
        <v>4579</v>
      </c>
      <c r="G13399" s="46">
        <v>3.61731516675E11</v>
      </c>
      <c r="H13399" s="46" t="s">
        <v>4580</v>
      </c>
      <c r="I13399" s="46" t="s">
        <v>4581</v>
      </c>
      <c r="J13399" s="46" t="s">
        <v>134</v>
      </c>
      <c r="K13399" s="46" t="s">
        <v>126</v>
      </c>
      <c r="L13399" s="45">
        <v>46013.84375</v>
      </c>
      <c r="M13399" s="46" t="s">
        <v>123</v>
      </c>
      <c r="N13399" s="45">
        <v>46013.854166666664</v>
      </c>
      <c r="O13399" s="46" t="s">
        <v>123</v>
      </c>
      <c r="P13399" s="46">
        <v>900.0</v>
      </c>
    </row>
    <row r="13400">
      <c r="A13400" s="40">
        <f t="shared" si="1"/>
        <v>46013</v>
      </c>
      <c r="B13400" s="37" t="str">
        <f t="array" ref="B13400">iferror(xlookup($I13400, 'IMPORT VHC Report'!$E:$E, 'IMPORT VHC Report'!$A:$C), )</f>
        <v/>
      </c>
      <c r="C13400" s="44"/>
      <c r="D13400" s="44"/>
      <c r="E13400" s="46" t="s">
        <v>9490</v>
      </c>
      <c r="F13400" s="46" t="s">
        <v>4579</v>
      </c>
      <c r="G13400" s="46">
        <v>3.61731516675E11</v>
      </c>
      <c r="H13400" s="46" t="s">
        <v>4580</v>
      </c>
      <c r="I13400" s="46" t="s">
        <v>4581</v>
      </c>
      <c r="J13400" s="46" t="s">
        <v>134</v>
      </c>
      <c r="K13400" s="46" t="s">
        <v>126</v>
      </c>
      <c r="L13400" s="45">
        <v>46013.916666666664</v>
      </c>
      <c r="M13400" s="46" t="s">
        <v>123</v>
      </c>
      <c r="N13400" s="45">
        <v>46013.927083333336</v>
      </c>
      <c r="O13400" s="46" t="s">
        <v>123</v>
      </c>
      <c r="P13400" s="46">
        <v>900.0</v>
      </c>
    </row>
    <row r="13401">
      <c r="A13401" s="40">
        <f t="shared" si="1"/>
        <v>46013</v>
      </c>
      <c r="B13401" s="37" t="str">
        <f t="array" ref="B13401">iferror(xlookup($I13401, 'IMPORT VHC Report'!$E:$E, 'IMPORT VHC Report'!$A:$C), )</f>
        <v/>
      </c>
      <c r="C13401" s="44"/>
      <c r="D13401" s="44"/>
      <c r="E13401" s="46" t="s">
        <v>9491</v>
      </c>
      <c r="F13401" s="46" t="s">
        <v>4579</v>
      </c>
      <c r="G13401" s="46">
        <v>3.61731516675E11</v>
      </c>
      <c r="H13401" s="46" t="s">
        <v>4580</v>
      </c>
      <c r="I13401" s="46" t="s">
        <v>4581</v>
      </c>
      <c r="J13401" s="46" t="s">
        <v>62</v>
      </c>
      <c r="K13401" s="46" t="s">
        <v>63</v>
      </c>
      <c r="L13401" s="45">
        <v>46013.958333333336</v>
      </c>
      <c r="M13401" s="46" t="s">
        <v>123</v>
      </c>
      <c r="N13401" s="45">
        <v>46013.979166666664</v>
      </c>
      <c r="O13401" s="46" t="s">
        <v>123</v>
      </c>
      <c r="P13401" s="46">
        <v>1800.0</v>
      </c>
    </row>
    <row r="13402">
      <c r="A13402" s="40">
        <f t="shared" si="1"/>
        <v>46013</v>
      </c>
      <c r="B13402" s="37" t="str">
        <f t="array" ref="B13402">iferror(xlookup($I13402, 'IMPORT VHC Report'!$E:$E, 'IMPORT VHC Report'!$A:$C), )</f>
        <v/>
      </c>
      <c r="C13402" s="44"/>
      <c r="D13402" s="44"/>
      <c r="E13402" s="46" t="s">
        <v>9492</v>
      </c>
      <c r="F13402" s="46" t="s">
        <v>4579</v>
      </c>
      <c r="G13402" s="46">
        <v>3.61731516675E11</v>
      </c>
      <c r="H13402" s="46" t="s">
        <v>4580</v>
      </c>
      <c r="I13402" s="46" t="s">
        <v>4581</v>
      </c>
      <c r="J13402" s="46" t="s">
        <v>224</v>
      </c>
      <c r="K13402" s="46" t="s">
        <v>63</v>
      </c>
      <c r="L13402" s="45">
        <v>46014.625</v>
      </c>
      <c r="M13402" s="46" t="s">
        <v>123</v>
      </c>
      <c r="N13402" s="45">
        <v>46015.0</v>
      </c>
      <c r="O13402" s="46" t="s">
        <v>123</v>
      </c>
      <c r="P13402" s="46">
        <v>32400.0</v>
      </c>
    </row>
    <row r="13403">
      <c r="A13403" s="40">
        <f t="shared" si="1"/>
        <v>46013</v>
      </c>
      <c r="B13403" s="37" t="str">
        <f t="array" ref="B13403">iferror(xlookup($I13403, 'IMPORT VHC Report'!$E:$E, 'IMPORT VHC Report'!$A:$C), )</f>
        <v/>
      </c>
      <c r="C13403" s="44"/>
      <c r="D13403" s="44"/>
      <c r="E13403" s="46" t="s">
        <v>9493</v>
      </c>
      <c r="F13403" s="46" t="s">
        <v>4579</v>
      </c>
      <c r="G13403" s="46">
        <v>3.61731516675E11</v>
      </c>
      <c r="H13403" s="46" t="s">
        <v>4580</v>
      </c>
      <c r="I13403" s="46" t="s">
        <v>4581</v>
      </c>
      <c r="J13403" s="46" t="s">
        <v>224</v>
      </c>
      <c r="K13403" s="46" t="s">
        <v>63</v>
      </c>
      <c r="L13403" s="45">
        <v>46014.739583333336</v>
      </c>
      <c r="M13403" s="46" t="s">
        <v>123</v>
      </c>
      <c r="N13403" s="45">
        <v>46014.760416666664</v>
      </c>
      <c r="O13403" s="46" t="s">
        <v>123</v>
      </c>
      <c r="P13403" s="46">
        <v>1800.0</v>
      </c>
    </row>
    <row r="13404">
      <c r="A13404" s="40">
        <f t="shared" si="1"/>
        <v>46013</v>
      </c>
      <c r="B13404" s="37" t="str">
        <f t="array" ref="B13404">iferror(xlookup($I13404, 'IMPORT VHC Report'!$E:$E, 'IMPORT VHC Report'!$A:$C), )</f>
        <v/>
      </c>
      <c r="C13404" s="44"/>
      <c r="D13404" s="44"/>
      <c r="E13404" s="46" t="s">
        <v>9494</v>
      </c>
      <c r="F13404" s="46" t="s">
        <v>4579</v>
      </c>
      <c r="G13404" s="46">
        <v>3.61731516675E11</v>
      </c>
      <c r="H13404" s="46" t="s">
        <v>4580</v>
      </c>
      <c r="I13404" s="46" t="s">
        <v>4581</v>
      </c>
      <c r="J13404" s="46" t="s">
        <v>132</v>
      </c>
      <c r="K13404" s="46" t="s">
        <v>126</v>
      </c>
      <c r="L13404" s="45">
        <v>46014.760416666664</v>
      </c>
      <c r="M13404" s="46" t="s">
        <v>123</v>
      </c>
      <c r="N13404" s="45">
        <v>46014.802083333336</v>
      </c>
      <c r="O13404" s="46" t="s">
        <v>123</v>
      </c>
      <c r="P13404" s="46">
        <v>3600.0</v>
      </c>
      <c r="S13404" s="46" t="s">
        <v>9495</v>
      </c>
    </row>
    <row r="13405">
      <c r="A13405" s="40">
        <f t="shared" si="1"/>
        <v>46013</v>
      </c>
      <c r="B13405" s="37" t="str">
        <f t="array" ref="B13405">iferror(xlookup($I13405, 'IMPORT VHC Report'!$E:$E, 'IMPORT VHC Report'!$A:$C), )</f>
        <v/>
      </c>
      <c r="C13405" s="44"/>
      <c r="D13405" s="44"/>
      <c r="E13405" s="46" t="s">
        <v>9496</v>
      </c>
      <c r="F13405" s="46" t="s">
        <v>4579</v>
      </c>
      <c r="G13405" s="46">
        <v>3.61731516675E11</v>
      </c>
      <c r="H13405" s="46" t="s">
        <v>4580</v>
      </c>
      <c r="I13405" s="46" t="s">
        <v>4581</v>
      </c>
      <c r="J13405" s="46" t="s">
        <v>134</v>
      </c>
      <c r="K13405" s="46" t="s">
        <v>126</v>
      </c>
      <c r="L13405" s="45">
        <v>46014.84375</v>
      </c>
      <c r="M13405" s="46" t="s">
        <v>123</v>
      </c>
      <c r="N13405" s="45">
        <v>46014.854166666664</v>
      </c>
      <c r="O13405" s="46" t="s">
        <v>123</v>
      </c>
      <c r="P13405" s="46">
        <v>900.0</v>
      </c>
    </row>
    <row r="13406">
      <c r="A13406" s="40">
        <f t="shared" si="1"/>
        <v>46013</v>
      </c>
      <c r="B13406" s="37" t="str">
        <f t="array" ref="B13406">iferror(xlookup($I13406, 'IMPORT VHC Report'!$E:$E, 'IMPORT VHC Report'!$A:$C), )</f>
        <v/>
      </c>
      <c r="C13406" s="44"/>
      <c r="D13406" s="44"/>
      <c r="E13406" s="46" t="s">
        <v>9497</v>
      </c>
      <c r="F13406" s="46" t="s">
        <v>4579</v>
      </c>
      <c r="G13406" s="46">
        <v>3.61731516675E11</v>
      </c>
      <c r="H13406" s="46" t="s">
        <v>4580</v>
      </c>
      <c r="I13406" s="46" t="s">
        <v>4581</v>
      </c>
      <c r="J13406" s="46" t="s">
        <v>134</v>
      </c>
      <c r="K13406" s="46" t="s">
        <v>126</v>
      </c>
      <c r="L13406" s="45">
        <v>46014.864583333336</v>
      </c>
      <c r="M13406" s="46" t="s">
        <v>123</v>
      </c>
      <c r="N13406" s="45">
        <v>46014.89236111111</v>
      </c>
      <c r="O13406" s="46" t="s">
        <v>123</v>
      </c>
      <c r="P13406" s="46">
        <v>2400.0</v>
      </c>
      <c r="S13406" s="46" t="s">
        <v>1382</v>
      </c>
    </row>
    <row r="13407">
      <c r="A13407" s="40">
        <f t="shared" si="1"/>
        <v>46013</v>
      </c>
      <c r="B13407" s="37" t="str">
        <f t="array" ref="B13407">iferror(xlookup($I13407, 'IMPORT VHC Report'!$E:$E, 'IMPORT VHC Report'!$A:$C), )</f>
        <v/>
      </c>
      <c r="C13407" s="44"/>
      <c r="D13407" s="44"/>
      <c r="E13407" s="46" t="s">
        <v>9498</v>
      </c>
      <c r="F13407" s="46" t="s">
        <v>4579</v>
      </c>
      <c r="G13407" s="46">
        <v>3.61731516675E11</v>
      </c>
      <c r="H13407" s="46" t="s">
        <v>4580</v>
      </c>
      <c r="I13407" s="46" t="s">
        <v>4581</v>
      </c>
      <c r="J13407" s="46" t="s">
        <v>134</v>
      </c>
      <c r="K13407" s="46" t="s">
        <v>126</v>
      </c>
      <c r="L13407" s="45">
        <v>46014.916666666664</v>
      </c>
      <c r="M13407" s="46" t="s">
        <v>123</v>
      </c>
      <c r="N13407" s="45">
        <v>46014.927083333336</v>
      </c>
      <c r="O13407" s="46" t="s">
        <v>123</v>
      </c>
      <c r="P13407" s="46">
        <v>900.0</v>
      </c>
    </row>
    <row r="13408">
      <c r="A13408" s="40">
        <f t="shared" si="1"/>
        <v>46013</v>
      </c>
      <c r="B13408" s="37" t="str">
        <f t="array" ref="B13408">iferror(xlookup($I13408, 'IMPORT VHC Report'!$E:$E, 'IMPORT VHC Report'!$A:$C), )</f>
        <v/>
      </c>
      <c r="C13408" s="44"/>
      <c r="D13408" s="44"/>
      <c r="E13408" s="46" t="s">
        <v>9499</v>
      </c>
      <c r="F13408" s="46" t="s">
        <v>4579</v>
      </c>
      <c r="G13408" s="46">
        <v>3.61731516675E11</v>
      </c>
      <c r="H13408" s="46" t="s">
        <v>4580</v>
      </c>
      <c r="I13408" s="46" t="s">
        <v>4581</v>
      </c>
      <c r="J13408" s="46" t="s">
        <v>224</v>
      </c>
      <c r="K13408" s="46" t="s">
        <v>63</v>
      </c>
      <c r="L13408" s="45">
        <v>46015.625</v>
      </c>
      <c r="M13408" s="46" t="s">
        <v>123</v>
      </c>
      <c r="N13408" s="45">
        <v>46016.0</v>
      </c>
      <c r="O13408" s="46" t="s">
        <v>123</v>
      </c>
      <c r="P13408" s="46">
        <v>32400.0</v>
      </c>
    </row>
    <row r="13409">
      <c r="A13409" s="40">
        <f t="shared" si="1"/>
        <v>46013</v>
      </c>
      <c r="B13409" s="37" t="str">
        <f t="array" ref="B13409">iferror(xlookup($I13409, 'IMPORT VHC Report'!$E:$E, 'IMPORT VHC Report'!$A:$C), )</f>
        <v/>
      </c>
      <c r="C13409" s="44"/>
      <c r="D13409" s="44"/>
      <c r="E13409" s="46" t="s">
        <v>9500</v>
      </c>
      <c r="F13409" s="46" t="s">
        <v>4579</v>
      </c>
      <c r="G13409" s="46">
        <v>3.61731516675E11</v>
      </c>
      <c r="H13409" s="46" t="s">
        <v>4580</v>
      </c>
      <c r="I13409" s="46" t="s">
        <v>4581</v>
      </c>
      <c r="J13409" s="46" t="s">
        <v>134</v>
      </c>
      <c r="K13409" s="46" t="s">
        <v>126</v>
      </c>
      <c r="L13409" s="45">
        <v>46015.708333333336</v>
      </c>
      <c r="M13409" s="46" t="s">
        <v>123</v>
      </c>
      <c r="N13409" s="45">
        <v>46015.71875</v>
      </c>
      <c r="O13409" s="46" t="s">
        <v>123</v>
      </c>
      <c r="P13409" s="46">
        <v>900.0</v>
      </c>
    </row>
    <row r="13410">
      <c r="A13410" s="40">
        <f t="shared" si="1"/>
        <v>46013</v>
      </c>
      <c r="B13410" s="37" t="str">
        <f t="array" ref="B13410">iferror(xlookup($I13410, 'IMPORT VHC Report'!$E:$E, 'IMPORT VHC Report'!$A:$C), )</f>
        <v/>
      </c>
      <c r="C13410" s="44"/>
      <c r="D13410" s="44"/>
      <c r="E13410" s="46" t="s">
        <v>9501</v>
      </c>
      <c r="F13410" s="46" t="s">
        <v>4579</v>
      </c>
      <c r="G13410" s="46">
        <v>3.61731516675E11</v>
      </c>
      <c r="H13410" s="46" t="s">
        <v>4580</v>
      </c>
      <c r="I13410" s="46" t="s">
        <v>4581</v>
      </c>
      <c r="J13410" s="46" t="s">
        <v>134</v>
      </c>
      <c r="K13410" s="46" t="s">
        <v>126</v>
      </c>
      <c r="L13410" s="45">
        <v>46015.71875</v>
      </c>
      <c r="M13410" s="46" t="s">
        <v>123</v>
      </c>
      <c r="N13410" s="45">
        <v>46015.73263888889</v>
      </c>
      <c r="O13410" s="46" t="s">
        <v>123</v>
      </c>
      <c r="P13410" s="46">
        <v>1200.0</v>
      </c>
      <c r="S13410" s="46" t="s">
        <v>1376</v>
      </c>
    </row>
    <row r="13411">
      <c r="A13411" s="40">
        <f t="shared" si="1"/>
        <v>46013</v>
      </c>
      <c r="B13411" s="37" t="str">
        <f t="array" ref="B13411">iferror(xlookup($I13411, 'IMPORT VHC Report'!$E:$E, 'IMPORT VHC Report'!$A:$C), )</f>
        <v/>
      </c>
      <c r="C13411" s="44"/>
      <c r="D13411" s="44"/>
      <c r="E13411" s="46" t="s">
        <v>9502</v>
      </c>
      <c r="F13411" s="46" t="s">
        <v>4579</v>
      </c>
      <c r="G13411" s="46">
        <v>3.61731516675E11</v>
      </c>
      <c r="H13411" s="46" t="s">
        <v>4580</v>
      </c>
      <c r="I13411" s="46" t="s">
        <v>4581</v>
      </c>
      <c r="J13411" s="46" t="s">
        <v>224</v>
      </c>
      <c r="K13411" s="46" t="s">
        <v>63</v>
      </c>
      <c r="L13411" s="45">
        <v>46015.791666666664</v>
      </c>
      <c r="M13411" s="46" t="s">
        <v>123</v>
      </c>
      <c r="N13411" s="45">
        <v>46015.833333333336</v>
      </c>
      <c r="O13411" s="46" t="s">
        <v>123</v>
      </c>
      <c r="P13411" s="46">
        <v>3600.0</v>
      </c>
    </row>
    <row r="13412">
      <c r="A13412" s="40">
        <f t="shared" si="1"/>
        <v>46013</v>
      </c>
      <c r="B13412" s="37" t="str">
        <f t="array" ref="B13412">iferror(xlookup($I13412, 'IMPORT VHC Report'!$E:$E, 'IMPORT VHC Report'!$A:$C), )</f>
        <v/>
      </c>
      <c r="C13412" s="44"/>
      <c r="D13412" s="44"/>
      <c r="E13412" s="46" t="s">
        <v>9503</v>
      </c>
      <c r="F13412" s="46" t="s">
        <v>4579</v>
      </c>
      <c r="G13412" s="46">
        <v>3.61731516675E11</v>
      </c>
      <c r="H13412" s="46" t="s">
        <v>4580</v>
      </c>
      <c r="I13412" s="46" t="s">
        <v>4581</v>
      </c>
      <c r="J13412" s="46" t="s">
        <v>132</v>
      </c>
      <c r="K13412" s="46" t="s">
        <v>126</v>
      </c>
      <c r="L13412" s="45">
        <v>46015.833333333336</v>
      </c>
      <c r="M13412" s="46" t="s">
        <v>123</v>
      </c>
      <c r="N13412" s="45">
        <v>46015.875</v>
      </c>
      <c r="O13412" s="46" t="s">
        <v>123</v>
      </c>
      <c r="P13412" s="46">
        <v>3600.0</v>
      </c>
      <c r="S13412" s="46" t="s">
        <v>9504</v>
      </c>
    </row>
    <row r="13413">
      <c r="A13413" s="40">
        <f t="shared" si="1"/>
        <v>46013</v>
      </c>
      <c r="B13413" s="37" t="str">
        <f t="array" ref="B13413">iferror(xlookup($I13413, 'IMPORT VHC Report'!$E:$E, 'IMPORT VHC Report'!$A:$C), )</f>
        <v/>
      </c>
      <c r="C13413" s="44"/>
      <c r="D13413" s="44"/>
      <c r="E13413" s="46" t="s">
        <v>9505</v>
      </c>
      <c r="F13413" s="46" t="s">
        <v>4579</v>
      </c>
      <c r="G13413" s="46">
        <v>3.61731516675E11</v>
      </c>
      <c r="H13413" s="46" t="s">
        <v>4580</v>
      </c>
      <c r="I13413" s="46" t="s">
        <v>4581</v>
      </c>
      <c r="J13413" s="46" t="s">
        <v>134</v>
      </c>
      <c r="K13413" s="46" t="s">
        <v>126</v>
      </c>
      <c r="L13413" s="45">
        <v>46015.875</v>
      </c>
      <c r="M13413" s="46" t="s">
        <v>123</v>
      </c>
      <c r="N13413" s="45">
        <v>46015.88888888889</v>
      </c>
      <c r="O13413" s="46" t="s">
        <v>123</v>
      </c>
      <c r="P13413" s="46">
        <v>1200.0</v>
      </c>
      <c r="S13413" s="46" t="s">
        <v>1382</v>
      </c>
    </row>
    <row r="13414">
      <c r="A13414" s="40">
        <f t="shared" si="1"/>
        <v>46013</v>
      </c>
      <c r="B13414" s="37" t="str">
        <f t="array" ref="B13414">iferror(xlookup($I13414, 'IMPORT VHC Report'!$E:$E, 'IMPORT VHC Report'!$A:$C), )</f>
        <v/>
      </c>
      <c r="C13414" s="44"/>
      <c r="D13414" s="44"/>
      <c r="E13414" s="46" t="s">
        <v>9506</v>
      </c>
      <c r="F13414" s="46" t="s">
        <v>4579</v>
      </c>
      <c r="G13414" s="46">
        <v>3.61731516675E11</v>
      </c>
      <c r="H13414" s="46" t="s">
        <v>4580</v>
      </c>
      <c r="I13414" s="46" t="s">
        <v>4581</v>
      </c>
      <c r="J13414" s="46" t="s">
        <v>134</v>
      </c>
      <c r="K13414" s="46" t="s">
        <v>126</v>
      </c>
      <c r="L13414" s="45">
        <v>46015.927083333336</v>
      </c>
      <c r="M13414" s="46" t="s">
        <v>123</v>
      </c>
      <c r="N13414" s="45">
        <v>46015.9375</v>
      </c>
      <c r="O13414" s="46" t="s">
        <v>123</v>
      </c>
      <c r="P13414" s="46">
        <v>900.0</v>
      </c>
    </row>
    <row r="13415">
      <c r="A13415" s="40">
        <f t="shared" si="1"/>
        <v>46013</v>
      </c>
      <c r="B13415" s="37" t="str">
        <f t="array" ref="B13415">iferror(xlookup($I13415, 'IMPORT VHC Report'!$E:$E, 'IMPORT VHC Report'!$A:$C), )</f>
        <v/>
      </c>
      <c r="C13415" s="44"/>
      <c r="D13415" s="44"/>
      <c r="E13415" s="46" t="s">
        <v>9507</v>
      </c>
      <c r="F13415" s="46" t="s">
        <v>4579</v>
      </c>
      <c r="G13415" s="46">
        <v>3.61731516675E11</v>
      </c>
      <c r="H13415" s="46" t="s">
        <v>4580</v>
      </c>
      <c r="I13415" s="46" t="s">
        <v>4581</v>
      </c>
      <c r="J13415" s="46" t="s">
        <v>136</v>
      </c>
      <c r="K13415" s="46" t="s">
        <v>126</v>
      </c>
      <c r="L13415" s="45">
        <v>46015.958333333336</v>
      </c>
      <c r="M13415" s="46" t="s">
        <v>123</v>
      </c>
      <c r="N13415" s="45">
        <v>46016.0</v>
      </c>
      <c r="O13415" s="46" t="s">
        <v>123</v>
      </c>
      <c r="P13415" s="46">
        <v>3600.0</v>
      </c>
    </row>
    <row r="13416">
      <c r="A13416" s="40">
        <f t="shared" si="1"/>
        <v>46013</v>
      </c>
      <c r="B13416" s="37" t="str">
        <f t="array" ref="B13416">iferror(xlookup($I13416, 'IMPORT VHC Report'!$E:$E, 'IMPORT VHC Report'!$A:$C), )</f>
        <v/>
      </c>
      <c r="C13416" s="44"/>
      <c r="D13416" s="44"/>
      <c r="E13416" s="46" t="s">
        <v>9508</v>
      </c>
      <c r="F13416" s="46" t="s">
        <v>4579</v>
      </c>
      <c r="G13416" s="46">
        <v>3.61731516675E11</v>
      </c>
      <c r="H13416" s="46" t="s">
        <v>4580</v>
      </c>
      <c r="I13416" s="46" t="s">
        <v>4581</v>
      </c>
      <c r="J13416" s="46" t="s">
        <v>224</v>
      </c>
      <c r="K13416" s="46" t="s">
        <v>63</v>
      </c>
      <c r="L13416" s="45">
        <v>46016.625</v>
      </c>
      <c r="M13416" s="46" t="s">
        <v>123</v>
      </c>
      <c r="N13416" s="45">
        <v>46017.0</v>
      </c>
      <c r="O13416" s="46" t="s">
        <v>123</v>
      </c>
      <c r="P13416" s="46">
        <v>32400.0</v>
      </c>
    </row>
    <row r="13417">
      <c r="A13417" s="40">
        <f t="shared" si="1"/>
        <v>46013</v>
      </c>
      <c r="B13417" s="37" t="str">
        <f t="array" ref="B13417">iferror(xlookup($I13417, 'IMPORT VHC Report'!$E:$E, 'IMPORT VHC Report'!$A:$C), )</f>
        <v/>
      </c>
      <c r="C13417" s="44"/>
      <c r="D13417" s="44"/>
      <c r="E13417" s="46" t="s">
        <v>9509</v>
      </c>
      <c r="F13417" s="46" t="s">
        <v>4579</v>
      </c>
      <c r="G13417" s="46">
        <v>3.61731516675E11</v>
      </c>
      <c r="H13417" s="46" t="s">
        <v>4580</v>
      </c>
      <c r="I13417" s="46" t="s">
        <v>4581</v>
      </c>
      <c r="J13417" s="46" t="s">
        <v>178</v>
      </c>
      <c r="K13417" s="46" t="s">
        <v>153</v>
      </c>
      <c r="L13417" s="45">
        <v>46016.625</v>
      </c>
      <c r="M13417" s="46" t="s">
        <v>123</v>
      </c>
      <c r="N13417" s="45">
        <v>46017.0</v>
      </c>
      <c r="O13417" s="46" t="s">
        <v>123</v>
      </c>
      <c r="P13417" s="46">
        <v>32400.0</v>
      </c>
      <c r="Q13417" s="46">
        <v>32400.0</v>
      </c>
    </row>
    <row r="13418">
      <c r="A13418" s="40">
        <f t="shared" si="1"/>
        <v>46013</v>
      </c>
      <c r="B13418" s="37" t="str">
        <f t="array" ref="B13418">iferror(xlookup($I13418, 'IMPORT VHC Report'!$E:$E, 'IMPORT VHC Report'!$A:$C), )</f>
        <v/>
      </c>
      <c r="C13418" s="44"/>
      <c r="D13418" s="44"/>
      <c r="E13418" s="46" t="s">
        <v>9510</v>
      </c>
      <c r="F13418" s="46" t="s">
        <v>4579</v>
      </c>
      <c r="G13418" s="46">
        <v>3.61731516675E11</v>
      </c>
      <c r="H13418" s="46" t="s">
        <v>4580</v>
      </c>
      <c r="I13418" s="46" t="s">
        <v>4581</v>
      </c>
      <c r="J13418" s="46" t="s">
        <v>132</v>
      </c>
      <c r="K13418" s="46" t="s">
        <v>126</v>
      </c>
      <c r="L13418" s="45">
        <v>46016.729166666664</v>
      </c>
      <c r="M13418" s="46" t="s">
        <v>123</v>
      </c>
      <c r="N13418" s="45">
        <v>46016.770833333336</v>
      </c>
      <c r="O13418" s="46" t="s">
        <v>123</v>
      </c>
      <c r="P13418" s="46">
        <v>3600.0</v>
      </c>
    </row>
    <row r="13419">
      <c r="A13419" s="40">
        <f t="shared" si="1"/>
        <v>46013</v>
      </c>
      <c r="B13419" s="37" t="str">
        <f t="array" ref="B13419">iferror(xlookup($I13419, 'IMPORT VHC Report'!$E:$E, 'IMPORT VHC Report'!$A:$C), )</f>
        <v/>
      </c>
      <c r="C13419" s="44"/>
      <c r="D13419" s="44"/>
      <c r="E13419" s="46" t="s">
        <v>9511</v>
      </c>
      <c r="F13419" s="46" t="s">
        <v>4579</v>
      </c>
      <c r="G13419" s="46">
        <v>3.61731516675E11</v>
      </c>
      <c r="H13419" s="46" t="s">
        <v>4580</v>
      </c>
      <c r="I13419" s="46" t="s">
        <v>4581</v>
      </c>
      <c r="J13419" s="46" t="s">
        <v>134</v>
      </c>
      <c r="K13419" s="46" t="s">
        <v>126</v>
      </c>
      <c r="L13419" s="45">
        <v>46016.84375</v>
      </c>
      <c r="M13419" s="46" t="s">
        <v>123</v>
      </c>
      <c r="N13419" s="45">
        <v>46016.854166666664</v>
      </c>
      <c r="O13419" s="46" t="s">
        <v>123</v>
      </c>
      <c r="P13419" s="46">
        <v>900.0</v>
      </c>
    </row>
    <row r="13420">
      <c r="A13420" s="40">
        <f t="shared" si="1"/>
        <v>46013</v>
      </c>
      <c r="B13420" s="37" t="str">
        <f t="array" ref="B13420">iferror(xlookup($I13420, 'IMPORT VHC Report'!$E:$E, 'IMPORT VHC Report'!$A:$C), )</f>
        <v/>
      </c>
      <c r="C13420" s="44"/>
      <c r="D13420" s="44"/>
      <c r="E13420" s="46" t="s">
        <v>9512</v>
      </c>
      <c r="F13420" s="46" t="s">
        <v>4579</v>
      </c>
      <c r="G13420" s="46">
        <v>3.61731516675E11</v>
      </c>
      <c r="H13420" s="46" t="s">
        <v>4580</v>
      </c>
      <c r="I13420" s="46" t="s">
        <v>4581</v>
      </c>
      <c r="J13420" s="46" t="s">
        <v>134</v>
      </c>
      <c r="K13420" s="46" t="s">
        <v>126</v>
      </c>
      <c r="L13420" s="45">
        <v>46016.927083333336</v>
      </c>
      <c r="M13420" s="46" t="s">
        <v>123</v>
      </c>
      <c r="N13420" s="45">
        <v>46016.9375</v>
      </c>
      <c r="O13420" s="46" t="s">
        <v>123</v>
      </c>
      <c r="P13420" s="46">
        <v>900.0</v>
      </c>
    </row>
    <row r="13421">
      <c r="A13421" s="40">
        <f t="shared" si="1"/>
        <v>46013</v>
      </c>
      <c r="B13421" s="37" t="str">
        <f t="array" ref="B13421">iferror(xlookup($I13421, 'IMPORT VHC Report'!$E:$E, 'IMPORT VHC Report'!$A:$C), )</f>
        <v/>
      </c>
      <c r="C13421" s="44"/>
      <c r="D13421" s="44"/>
      <c r="E13421" s="46" t="s">
        <v>9513</v>
      </c>
      <c r="F13421" s="46" t="s">
        <v>4579</v>
      </c>
      <c r="G13421" s="46">
        <v>3.61731516675E11</v>
      </c>
      <c r="H13421" s="46" t="s">
        <v>4580</v>
      </c>
      <c r="I13421" s="46" t="s">
        <v>4581</v>
      </c>
      <c r="J13421" s="46" t="s">
        <v>224</v>
      </c>
      <c r="K13421" s="46" t="s">
        <v>63</v>
      </c>
      <c r="L13421" s="45">
        <v>46017.625</v>
      </c>
      <c r="M13421" s="46" t="s">
        <v>123</v>
      </c>
      <c r="N13421" s="45">
        <v>46018.0</v>
      </c>
      <c r="O13421" s="46" t="s">
        <v>123</v>
      </c>
      <c r="P13421" s="46">
        <v>32400.0</v>
      </c>
    </row>
    <row r="13422">
      <c r="A13422" s="40">
        <f t="shared" si="1"/>
        <v>46013</v>
      </c>
      <c r="B13422" s="37" t="str">
        <f t="array" ref="B13422">iferror(xlookup($I13422, 'IMPORT VHC Report'!$E:$E, 'IMPORT VHC Report'!$A:$C), )</f>
        <v/>
      </c>
      <c r="C13422" s="44"/>
      <c r="D13422" s="44"/>
      <c r="E13422" s="46" t="s">
        <v>9514</v>
      </c>
      <c r="F13422" s="46" t="s">
        <v>4579</v>
      </c>
      <c r="G13422" s="46">
        <v>3.61731516675E11</v>
      </c>
      <c r="H13422" s="46" t="s">
        <v>4580</v>
      </c>
      <c r="I13422" s="46" t="s">
        <v>4581</v>
      </c>
      <c r="J13422" s="46" t="s">
        <v>134</v>
      </c>
      <c r="K13422" s="46" t="s">
        <v>126</v>
      </c>
      <c r="L13422" s="45">
        <v>46017.71875</v>
      </c>
      <c r="M13422" s="46" t="s">
        <v>123</v>
      </c>
      <c r="N13422" s="45">
        <v>46017.729166666664</v>
      </c>
      <c r="O13422" s="46" t="s">
        <v>123</v>
      </c>
      <c r="P13422" s="46">
        <v>900.0</v>
      </c>
    </row>
    <row r="13423">
      <c r="A13423" s="40">
        <f t="shared" si="1"/>
        <v>46013</v>
      </c>
      <c r="B13423" s="37" t="str">
        <f t="array" ref="B13423">iferror(xlookup($I13423, 'IMPORT VHC Report'!$E:$E, 'IMPORT VHC Report'!$A:$C), )</f>
        <v/>
      </c>
      <c r="C13423" s="44"/>
      <c r="D13423" s="44"/>
      <c r="E13423" s="46" t="s">
        <v>9515</v>
      </c>
      <c r="F13423" s="46" t="s">
        <v>4579</v>
      </c>
      <c r="G13423" s="46">
        <v>3.61731516675E11</v>
      </c>
      <c r="H13423" s="46" t="s">
        <v>4580</v>
      </c>
      <c r="I13423" s="46" t="s">
        <v>4581</v>
      </c>
      <c r="J13423" s="46" t="s">
        <v>134</v>
      </c>
      <c r="K13423" s="46" t="s">
        <v>126</v>
      </c>
      <c r="L13423" s="45">
        <v>46017.791666666664</v>
      </c>
      <c r="M13423" s="46" t="s">
        <v>123</v>
      </c>
      <c r="N13423" s="45">
        <v>46017.819444444445</v>
      </c>
      <c r="O13423" s="46" t="s">
        <v>123</v>
      </c>
      <c r="P13423" s="46">
        <v>2400.0</v>
      </c>
      <c r="S13423" s="46" t="s">
        <v>1382</v>
      </c>
    </row>
    <row r="13424">
      <c r="A13424" s="40">
        <f t="shared" si="1"/>
        <v>46013</v>
      </c>
      <c r="B13424" s="37" t="str">
        <f t="array" ref="B13424">iferror(xlookup($I13424, 'IMPORT VHC Report'!$E:$E, 'IMPORT VHC Report'!$A:$C), )</f>
        <v/>
      </c>
      <c r="C13424" s="44"/>
      <c r="D13424" s="44"/>
      <c r="E13424" s="46" t="s">
        <v>9516</v>
      </c>
      <c r="F13424" s="46" t="s">
        <v>4579</v>
      </c>
      <c r="G13424" s="46">
        <v>3.61731516675E11</v>
      </c>
      <c r="H13424" s="46" t="s">
        <v>4580</v>
      </c>
      <c r="I13424" s="46" t="s">
        <v>4581</v>
      </c>
      <c r="J13424" s="46" t="s">
        <v>134</v>
      </c>
      <c r="K13424" s="46" t="s">
        <v>126</v>
      </c>
      <c r="L13424" s="45">
        <v>46017.822916666664</v>
      </c>
      <c r="M13424" s="46" t="s">
        <v>123</v>
      </c>
      <c r="N13424" s="45">
        <v>46017.833333333336</v>
      </c>
      <c r="O13424" s="46" t="s">
        <v>123</v>
      </c>
      <c r="P13424" s="46">
        <v>900.0</v>
      </c>
    </row>
    <row r="13425">
      <c r="A13425" s="40">
        <f t="shared" si="1"/>
        <v>46013</v>
      </c>
      <c r="B13425" s="37" t="str">
        <f t="array" ref="B13425">iferror(xlookup($I13425, 'IMPORT VHC Report'!$E:$E, 'IMPORT VHC Report'!$A:$C), )</f>
        <v/>
      </c>
      <c r="C13425" s="44"/>
      <c r="D13425" s="44"/>
      <c r="E13425" s="46" t="s">
        <v>9517</v>
      </c>
      <c r="F13425" s="46" t="s">
        <v>4579</v>
      </c>
      <c r="G13425" s="46">
        <v>3.61731516675E11</v>
      </c>
      <c r="H13425" s="46" t="s">
        <v>4580</v>
      </c>
      <c r="I13425" s="46" t="s">
        <v>4581</v>
      </c>
      <c r="J13425" s="46" t="s">
        <v>125</v>
      </c>
      <c r="K13425" s="46" t="s">
        <v>126</v>
      </c>
      <c r="L13425" s="45">
        <v>46017.895833333336</v>
      </c>
      <c r="M13425" s="46" t="s">
        <v>123</v>
      </c>
      <c r="N13425" s="45">
        <v>46017.958333333336</v>
      </c>
      <c r="O13425" s="46" t="s">
        <v>123</v>
      </c>
      <c r="P13425" s="46">
        <v>5400.0</v>
      </c>
    </row>
    <row r="13426">
      <c r="A13426" s="40">
        <f t="shared" si="1"/>
        <v>46013</v>
      </c>
      <c r="B13426" s="37" t="str">
        <f t="array" ref="B13426">iferror(xlookup($I13426, 'IMPORT VHC Report'!$E:$E, 'IMPORT VHC Report'!$A:$C), )</f>
        <v/>
      </c>
      <c r="C13426" s="44"/>
      <c r="D13426" s="44"/>
      <c r="E13426" s="46" t="s">
        <v>9518</v>
      </c>
      <c r="F13426" s="46" t="s">
        <v>4579</v>
      </c>
      <c r="G13426" s="46">
        <v>3.61731516675E11</v>
      </c>
      <c r="H13426" s="46" t="s">
        <v>4580</v>
      </c>
      <c r="I13426" s="46" t="s">
        <v>4581</v>
      </c>
      <c r="J13426" s="46" t="s">
        <v>132</v>
      </c>
      <c r="K13426" s="46" t="s">
        <v>126</v>
      </c>
      <c r="L13426" s="45">
        <v>46017.958333333336</v>
      </c>
      <c r="M13426" s="46" t="s">
        <v>123</v>
      </c>
      <c r="N13426" s="45">
        <v>46018.0</v>
      </c>
      <c r="O13426" s="46" t="s">
        <v>123</v>
      </c>
      <c r="P13426" s="46">
        <v>3600.0</v>
      </c>
    </row>
    <row r="13427">
      <c r="A13427" s="40">
        <f t="shared" si="1"/>
        <v>46013</v>
      </c>
      <c r="B13427" s="37" t="str">
        <f t="array" ref="B13427">iferror(xlookup($I13427, 'IMPORT VHC Report'!$E:$E, 'IMPORT VHC Report'!$A:$C), )</f>
        <v/>
      </c>
      <c r="C13427" s="44"/>
      <c r="D13427" s="44"/>
      <c r="E13427" s="46" t="s">
        <v>9519</v>
      </c>
      <c r="F13427" s="46" t="s">
        <v>4624</v>
      </c>
      <c r="H13427" s="46" t="s">
        <v>4625</v>
      </c>
      <c r="I13427" s="46" t="s">
        <v>4626</v>
      </c>
      <c r="J13427" s="46" t="s">
        <v>224</v>
      </c>
      <c r="K13427" s="46" t="s">
        <v>63</v>
      </c>
      <c r="L13427" s="45">
        <v>46013.625</v>
      </c>
      <c r="M13427" s="46" t="s">
        <v>123</v>
      </c>
      <c r="N13427" s="45">
        <v>46014.0</v>
      </c>
      <c r="O13427" s="46" t="s">
        <v>123</v>
      </c>
      <c r="P13427" s="46">
        <v>32400.0</v>
      </c>
    </row>
    <row r="13428">
      <c r="A13428" s="40">
        <f t="shared" si="1"/>
        <v>46013</v>
      </c>
      <c r="B13428" s="37" t="str">
        <f t="array" ref="B13428">iferror(xlookup($I13428, 'IMPORT VHC Report'!$E:$E, 'IMPORT VHC Report'!$A:$C), )</f>
        <v/>
      </c>
      <c r="C13428" s="44"/>
      <c r="D13428" s="44"/>
      <c r="E13428" s="46" t="s">
        <v>9520</v>
      </c>
      <c r="F13428" s="46" t="s">
        <v>4624</v>
      </c>
      <c r="H13428" s="46" t="s">
        <v>4625</v>
      </c>
      <c r="I13428" s="46" t="s">
        <v>4626</v>
      </c>
      <c r="J13428" s="46" t="s">
        <v>132</v>
      </c>
      <c r="K13428" s="46" t="s">
        <v>126</v>
      </c>
      <c r="L13428" s="45">
        <v>46013.739583333336</v>
      </c>
      <c r="M13428" s="46" t="s">
        <v>123</v>
      </c>
      <c r="N13428" s="45">
        <v>46013.78125</v>
      </c>
      <c r="O13428" s="46" t="s">
        <v>123</v>
      </c>
      <c r="P13428" s="46">
        <v>3600.0</v>
      </c>
    </row>
    <row r="13429">
      <c r="A13429" s="40">
        <f t="shared" si="1"/>
        <v>46013</v>
      </c>
      <c r="B13429" s="37" t="str">
        <f t="array" ref="B13429">iferror(xlookup($I13429, 'IMPORT VHC Report'!$E:$E, 'IMPORT VHC Report'!$A:$C), )</f>
        <v/>
      </c>
      <c r="C13429" s="44"/>
      <c r="D13429" s="44"/>
      <c r="E13429" s="46" t="s">
        <v>9521</v>
      </c>
      <c r="F13429" s="46" t="s">
        <v>4624</v>
      </c>
      <c r="H13429" s="46" t="s">
        <v>4625</v>
      </c>
      <c r="I13429" s="46" t="s">
        <v>4626</v>
      </c>
      <c r="J13429" s="46" t="s">
        <v>134</v>
      </c>
      <c r="K13429" s="46" t="s">
        <v>126</v>
      </c>
      <c r="L13429" s="45">
        <v>46013.875</v>
      </c>
      <c r="M13429" s="46" t="s">
        <v>123</v>
      </c>
      <c r="N13429" s="45">
        <v>46013.885416666664</v>
      </c>
      <c r="O13429" s="46" t="s">
        <v>123</v>
      </c>
      <c r="P13429" s="46">
        <v>900.0</v>
      </c>
    </row>
    <row r="13430">
      <c r="A13430" s="40">
        <f t="shared" si="1"/>
        <v>46013</v>
      </c>
      <c r="B13430" s="37" t="str">
        <f t="array" ref="B13430">iferror(xlookup($I13430, 'IMPORT VHC Report'!$E:$E, 'IMPORT VHC Report'!$A:$C), )</f>
        <v/>
      </c>
      <c r="C13430" s="44"/>
      <c r="D13430" s="44"/>
      <c r="E13430" s="46" t="s">
        <v>9522</v>
      </c>
      <c r="F13430" s="46" t="s">
        <v>4624</v>
      </c>
      <c r="H13430" s="46" t="s">
        <v>4625</v>
      </c>
      <c r="I13430" s="46" t="s">
        <v>4626</v>
      </c>
      <c r="J13430" s="46" t="s">
        <v>134</v>
      </c>
      <c r="K13430" s="46" t="s">
        <v>126</v>
      </c>
      <c r="L13430" s="45">
        <v>46013.958333333336</v>
      </c>
      <c r="M13430" s="46" t="s">
        <v>123</v>
      </c>
      <c r="N13430" s="45">
        <v>46013.96875</v>
      </c>
      <c r="O13430" s="46" t="s">
        <v>123</v>
      </c>
      <c r="P13430" s="46">
        <v>900.0</v>
      </c>
    </row>
    <row r="13431">
      <c r="A13431" s="40">
        <f t="shared" si="1"/>
        <v>46013</v>
      </c>
      <c r="B13431" s="37" t="str">
        <f t="array" ref="B13431">iferror(xlookup($I13431, 'IMPORT VHC Report'!$E:$E, 'IMPORT VHC Report'!$A:$C), )</f>
        <v/>
      </c>
      <c r="C13431" s="44"/>
      <c r="D13431" s="44"/>
      <c r="E13431" s="46" t="s">
        <v>9523</v>
      </c>
      <c r="F13431" s="46" t="s">
        <v>4624</v>
      </c>
      <c r="H13431" s="46" t="s">
        <v>4625</v>
      </c>
      <c r="I13431" s="46" t="s">
        <v>4626</v>
      </c>
      <c r="J13431" s="46" t="s">
        <v>224</v>
      </c>
      <c r="K13431" s="46" t="s">
        <v>63</v>
      </c>
      <c r="L13431" s="45">
        <v>46014.625</v>
      </c>
      <c r="M13431" s="46" t="s">
        <v>123</v>
      </c>
      <c r="N13431" s="45">
        <v>46015.0</v>
      </c>
      <c r="O13431" s="46" t="s">
        <v>123</v>
      </c>
      <c r="P13431" s="46">
        <v>32400.0</v>
      </c>
    </row>
    <row r="13432">
      <c r="A13432" s="40">
        <f t="shared" si="1"/>
        <v>46013</v>
      </c>
      <c r="B13432" s="37" t="str">
        <f t="array" ref="B13432">iferror(xlookup($I13432, 'IMPORT VHC Report'!$E:$E, 'IMPORT VHC Report'!$A:$C), )</f>
        <v/>
      </c>
      <c r="C13432" s="44"/>
      <c r="D13432" s="44"/>
      <c r="E13432" s="46" t="s">
        <v>9524</v>
      </c>
      <c r="F13432" s="46" t="s">
        <v>4624</v>
      </c>
      <c r="H13432" s="46" t="s">
        <v>4625</v>
      </c>
      <c r="I13432" s="46" t="s">
        <v>4626</v>
      </c>
      <c r="J13432" s="46" t="s">
        <v>134</v>
      </c>
      <c r="K13432" s="46" t="s">
        <v>126</v>
      </c>
      <c r="L13432" s="45">
        <v>46014.739583333336</v>
      </c>
      <c r="M13432" s="46" t="s">
        <v>123</v>
      </c>
      <c r="N13432" s="45">
        <v>46014.75</v>
      </c>
      <c r="O13432" s="46" t="s">
        <v>123</v>
      </c>
      <c r="P13432" s="46">
        <v>900.0</v>
      </c>
    </row>
    <row r="13433">
      <c r="A13433" s="40">
        <f t="shared" si="1"/>
        <v>46013</v>
      </c>
      <c r="B13433" s="37" t="str">
        <f t="array" ref="B13433">iferror(xlookup($I13433, 'IMPORT VHC Report'!$E:$E, 'IMPORT VHC Report'!$A:$C), )</f>
        <v/>
      </c>
      <c r="C13433" s="44"/>
      <c r="D13433" s="44"/>
      <c r="E13433" s="46" t="s">
        <v>9525</v>
      </c>
      <c r="F13433" s="46" t="s">
        <v>4624</v>
      </c>
      <c r="H13433" s="46" t="s">
        <v>4625</v>
      </c>
      <c r="I13433" s="46" t="s">
        <v>4626</v>
      </c>
      <c r="J13433" s="46" t="s">
        <v>134</v>
      </c>
      <c r="K13433" s="46" t="s">
        <v>126</v>
      </c>
      <c r="L13433" s="45">
        <v>46014.8125</v>
      </c>
      <c r="M13433" s="46" t="s">
        <v>123</v>
      </c>
      <c r="N13433" s="45">
        <v>46014.822916666664</v>
      </c>
      <c r="O13433" s="46" t="s">
        <v>123</v>
      </c>
      <c r="P13433" s="46">
        <v>900.0</v>
      </c>
    </row>
    <row r="13434">
      <c r="A13434" s="40">
        <f t="shared" si="1"/>
        <v>46013</v>
      </c>
      <c r="B13434" s="37" t="str">
        <f t="array" ref="B13434">iferror(xlookup($I13434, 'IMPORT VHC Report'!$E:$E, 'IMPORT VHC Report'!$A:$C), )</f>
        <v/>
      </c>
      <c r="C13434" s="44"/>
      <c r="D13434" s="44"/>
      <c r="E13434" s="46" t="s">
        <v>9526</v>
      </c>
      <c r="F13434" s="46" t="s">
        <v>4624</v>
      </c>
      <c r="H13434" s="46" t="s">
        <v>4625</v>
      </c>
      <c r="I13434" s="46" t="s">
        <v>4626</v>
      </c>
      <c r="J13434" s="46" t="s">
        <v>132</v>
      </c>
      <c r="K13434" s="46" t="s">
        <v>126</v>
      </c>
      <c r="L13434" s="45">
        <v>46014.885416666664</v>
      </c>
      <c r="M13434" s="46" t="s">
        <v>123</v>
      </c>
      <c r="N13434" s="45">
        <v>46014.927083333336</v>
      </c>
      <c r="O13434" s="46" t="s">
        <v>123</v>
      </c>
      <c r="P13434" s="46">
        <v>3600.0</v>
      </c>
    </row>
    <row r="13435">
      <c r="A13435" s="40">
        <f t="shared" si="1"/>
        <v>46013</v>
      </c>
      <c r="B13435" s="37" t="str">
        <f t="array" ref="B13435">iferror(xlookup($I13435, 'IMPORT VHC Report'!$E:$E, 'IMPORT VHC Report'!$A:$C), )</f>
        <v/>
      </c>
      <c r="C13435" s="44"/>
      <c r="D13435" s="44"/>
      <c r="E13435" s="46" t="s">
        <v>9527</v>
      </c>
      <c r="F13435" s="46" t="s">
        <v>4624</v>
      </c>
      <c r="H13435" s="46" t="s">
        <v>4625</v>
      </c>
      <c r="I13435" s="46" t="s">
        <v>4626</v>
      </c>
      <c r="J13435" s="46" t="s">
        <v>224</v>
      </c>
      <c r="K13435" s="46" t="s">
        <v>63</v>
      </c>
      <c r="L13435" s="45">
        <v>46015.625</v>
      </c>
      <c r="M13435" s="46" t="s">
        <v>123</v>
      </c>
      <c r="N13435" s="45">
        <v>46015.791666666664</v>
      </c>
      <c r="O13435" s="46" t="s">
        <v>123</v>
      </c>
      <c r="P13435" s="46">
        <v>14400.0</v>
      </c>
    </row>
    <row r="13436">
      <c r="A13436" s="40">
        <f t="shared" si="1"/>
        <v>46013</v>
      </c>
      <c r="B13436" s="37" t="str">
        <f t="array" ref="B13436">iferror(xlookup($I13436, 'IMPORT VHC Report'!$E:$E, 'IMPORT VHC Report'!$A:$C), )</f>
        <v/>
      </c>
      <c r="C13436" s="44"/>
      <c r="D13436" s="44"/>
      <c r="E13436" s="46" t="s">
        <v>9528</v>
      </c>
      <c r="F13436" s="46" t="s">
        <v>4624</v>
      </c>
      <c r="H13436" s="46" t="s">
        <v>4625</v>
      </c>
      <c r="I13436" s="46" t="s">
        <v>4626</v>
      </c>
      <c r="J13436" s="46" t="s">
        <v>62</v>
      </c>
      <c r="K13436" s="46" t="s">
        <v>63</v>
      </c>
      <c r="L13436" s="45">
        <v>46015.791666666664</v>
      </c>
      <c r="M13436" s="46" t="s">
        <v>123</v>
      </c>
      <c r="N13436" s="45">
        <v>46015.822916666664</v>
      </c>
      <c r="O13436" s="46" t="s">
        <v>123</v>
      </c>
      <c r="P13436" s="46">
        <v>2700.0</v>
      </c>
    </row>
    <row r="13437">
      <c r="A13437" s="40">
        <f t="shared" si="1"/>
        <v>46013</v>
      </c>
      <c r="B13437" s="37" t="str">
        <f t="array" ref="B13437">iferror(xlookup($I13437, 'IMPORT VHC Report'!$E:$E, 'IMPORT VHC Report'!$A:$C), )</f>
        <v/>
      </c>
      <c r="C13437" s="44"/>
      <c r="D13437" s="44"/>
      <c r="E13437" s="46" t="s">
        <v>9529</v>
      </c>
      <c r="F13437" s="46" t="s">
        <v>4624</v>
      </c>
      <c r="H13437" s="46" t="s">
        <v>4625</v>
      </c>
      <c r="I13437" s="46" t="s">
        <v>4626</v>
      </c>
      <c r="J13437" s="46" t="s">
        <v>224</v>
      </c>
      <c r="K13437" s="46" t="s">
        <v>63</v>
      </c>
      <c r="L13437" s="45">
        <v>46015.822916666664</v>
      </c>
      <c r="M13437" s="46" t="s">
        <v>123</v>
      </c>
      <c r="N13437" s="45">
        <v>46016.0</v>
      </c>
      <c r="O13437" s="46" t="s">
        <v>123</v>
      </c>
      <c r="P13437" s="46">
        <v>15300.0</v>
      </c>
    </row>
    <row r="13438">
      <c r="A13438" s="40">
        <f t="shared" si="1"/>
        <v>46013</v>
      </c>
      <c r="B13438" s="37" t="str">
        <f t="array" ref="B13438">iferror(xlookup($I13438, 'IMPORT VHC Report'!$E:$E, 'IMPORT VHC Report'!$A:$C), )</f>
        <v/>
      </c>
      <c r="C13438" s="44"/>
      <c r="D13438" s="44"/>
      <c r="E13438" s="46" t="s">
        <v>9530</v>
      </c>
      <c r="F13438" s="46" t="s">
        <v>4624</v>
      </c>
      <c r="H13438" s="46" t="s">
        <v>4625</v>
      </c>
      <c r="I13438" s="46" t="s">
        <v>4626</v>
      </c>
      <c r="J13438" s="46" t="s">
        <v>132</v>
      </c>
      <c r="K13438" s="46" t="s">
        <v>126</v>
      </c>
      <c r="L13438" s="45">
        <v>46015.895833333336</v>
      </c>
      <c r="M13438" s="46" t="s">
        <v>123</v>
      </c>
      <c r="N13438" s="45">
        <v>46015.9375</v>
      </c>
      <c r="O13438" s="46" t="s">
        <v>123</v>
      </c>
      <c r="P13438" s="46">
        <v>3600.0</v>
      </c>
    </row>
    <row r="13439">
      <c r="A13439" s="40">
        <f t="shared" si="1"/>
        <v>46013</v>
      </c>
      <c r="B13439" s="37" t="str">
        <f t="array" ref="B13439">iferror(xlookup($I13439, 'IMPORT VHC Report'!$E:$E, 'IMPORT VHC Report'!$A:$C), )</f>
        <v/>
      </c>
      <c r="C13439" s="44"/>
      <c r="D13439" s="44"/>
      <c r="E13439" s="46" t="s">
        <v>9531</v>
      </c>
      <c r="F13439" s="46" t="s">
        <v>4624</v>
      </c>
      <c r="H13439" s="46" t="s">
        <v>4625</v>
      </c>
      <c r="I13439" s="46" t="s">
        <v>4626</v>
      </c>
      <c r="J13439" s="46" t="s">
        <v>134</v>
      </c>
      <c r="K13439" s="46" t="s">
        <v>126</v>
      </c>
      <c r="L13439" s="45">
        <v>46015.9375</v>
      </c>
      <c r="M13439" s="46" t="s">
        <v>123</v>
      </c>
      <c r="N13439" s="45">
        <v>46015.958333333336</v>
      </c>
      <c r="O13439" s="46" t="s">
        <v>123</v>
      </c>
      <c r="P13439" s="46">
        <v>1800.0</v>
      </c>
    </row>
    <row r="13440">
      <c r="A13440" s="40">
        <f t="shared" si="1"/>
        <v>46013</v>
      </c>
      <c r="B13440" s="37" t="str">
        <f t="array" ref="B13440">iferror(xlookup($I13440, 'IMPORT VHC Report'!$E:$E, 'IMPORT VHC Report'!$A:$C), )</f>
        <v/>
      </c>
      <c r="C13440" s="44"/>
      <c r="D13440" s="44"/>
      <c r="E13440" s="46" t="s">
        <v>9532</v>
      </c>
      <c r="F13440" s="46" t="s">
        <v>4624</v>
      </c>
      <c r="H13440" s="46" t="s">
        <v>4625</v>
      </c>
      <c r="I13440" s="46" t="s">
        <v>4626</v>
      </c>
      <c r="J13440" s="46" t="s">
        <v>136</v>
      </c>
      <c r="K13440" s="46" t="s">
        <v>126</v>
      </c>
      <c r="L13440" s="45">
        <v>46015.958333333336</v>
      </c>
      <c r="M13440" s="46" t="s">
        <v>123</v>
      </c>
      <c r="N13440" s="45">
        <v>46016.0</v>
      </c>
      <c r="O13440" s="46" t="s">
        <v>123</v>
      </c>
      <c r="P13440" s="46">
        <v>3600.0</v>
      </c>
    </row>
    <row r="13441">
      <c r="A13441" s="40">
        <f t="shared" si="1"/>
        <v>46013</v>
      </c>
      <c r="B13441" s="37" t="str">
        <f t="array" ref="B13441">iferror(xlookup($I13441, 'IMPORT VHC Report'!$E:$E, 'IMPORT VHC Report'!$A:$C), )</f>
        <v/>
      </c>
      <c r="C13441" s="44"/>
      <c r="D13441" s="44"/>
      <c r="E13441" s="46" t="s">
        <v>9533</v>
      </c>
      <c r="F13441" s="46" t="s">
        <v>4624</v>
      </c>
      <c r="H13441" s="46" t="s">
        <v>4625</v>
      </c>
      <c r="I13441" s="46" t="s">
        <v>4626</v>
      </c>
      <c r="J13441" s="46" t="s">
        <v>224</v>
      </c>
      <c r="K13441" s="46" t="s">
        <v>63</v>
      </c>
      <c r="L13441" s="45">
        <v>46016.625</v>
      </c>
      <c r="M13441" s="46" t="s">
        <v>123</v>
      </c>
      <c r="N13441" s="45">
        <v>46017.0</v>
      </c>
      <c r="O13441" s="46" t="s">
        <v>123</v>
      </c>
      <c r="P13441" s="46">
        <v>32400.0</v>
      </c>
    </row>
    <row r="13442">
      <c r="A13442" s="40">
        <f t="shared" si="1"/>
        <v>46013</v>
      </c>
      <c r="B13442" s="37" t="str">
        <f t="array" ref="B13442">iferror(xlookup($I13442, 'IMPORT VHC Report'!$E:$E, 'IMPORT VHC Report'!$A:$C), )</f>
        <v/>
      </c>
      <c r="C13442" s="44"/>
      <c r="D13442" s="44"/>
      <c r="E13442" s="46" t="s">
        <v>9534</v>
      </c>
      <c r="F13442" s="46" t="s">
        <v>4624</v>
      </c>
      <c r="H13442" s="46" t="s">
        <v>4625</v>
      </c>
      <c r="I13442" s="46" t="s">
        <v>4626</v>
      </c>
      <c r="J13442" s="46" t="s">
        <v>178</v>
      </c>
      <c r="K13442" s="46" t="s">
        <v>153</v>
      </c>
      <c r="L13442" s="45">
        <v>46016.625</v>
      </c>
      <c r="M13442" s="46" t="s">
        <v>123</v>
      </c>
      <c r="N13442" s="45">
        <v>46017.0</v>
      </c>
      <c r="O13442" s="46" t="s">
        <v>123</v>
      </c>
      <c r="P13442" s="46">
        <v>32400.0</v>
      </c>
      <c r="Q13442" s="46">
        <v>32400.0</v>
      </c>
    </row>
    <row r="13443">
      <c r="A13443" s="40">
        <f t="shared" si="1"/>
        <v>46013</v>
      </c>
      <c r="B13443" s="37" t="str">
        <f t="array" ref="B13443">iferror(xlookup($I13443, 'IMPORT VHC Report'!$E:$E, 'IMPORT VHC Report'!$A:$C), )</f>
        <v/>
      </c>
      <c r="C13443" s="44"/>
      <c r="D13443" s="44"/>
      <c r="E13443" s="46" t="s">
        <v>9535</v>
      </c>
      <c r="F13443" s="46" t="s">
        <v>4624</v>
      </c>
      <c r="H13443" s="46" t="s">
        <v>4625</v>
      </c>
      <c r="I13443" s="46" t="s">
        <v>4626</v>
      </c>
      <c r="J13443" s="46" t="s">
        <v>134</v>
      </c>
      <c r="K13443" s="46" t="s">
        <v>126</v>
      </c>
      <c r="L13443" s="45">
        <v>46016.729166666664</v>
      </c>
      <c r="M13443" s="46" t="s">
        <v>123</v>
      </c>
      <c r="N13443" s="45">
        <v>46016.739583333336</v>
      </c>
      <c r="O13443" s="46" t="s">
        <v>123</v>
      </c>
      <c r="P13443" s="46">
        <v>900.0</v>
      </c>
    </row>
    <row r="13444">
      <c r="A13444" s="40">
        <f t="shared" si="1"/>
        <v>46013</v>
      </c>
      <c r="B13444" s="37" t="str">
        <f t="array" ref="B13444">iferror(xlookup($I13444, 'IMPORT VHC Report'!$E:$E, 'IMPORT VHC Report'!$A:$C), )</f>
        <v/>
      </c>
      <c r="C13444" s="44"/>
      <c r="D13444" s="44"/>
      <c r="E13444" s="46" t="s">
        <v>9536</v>
      </c>
      <c r="F13444" s="46" t="s">
        <v>4624</v>
      </c>
      <c r="H13444" s="46" t="s">
        <v>4625</v>
      </c>
      <c r="I13444" s="46" t="s">
        <v>4626</v>
      </c>
      <c r="J13444" s="46" t="s">
        <v>134</v>
      </c>
      <c r="K13444" s="46" t="s">
        <v>126</v>
      </c>
      <c r="L13444" s="45">
        <v>46016.822916666664</v>
      </c>
      <c r="M13444" s="46" t="s">
        <v>123</v>
      </c>
      <c r="N13444" s="45">
        <v>46016.833333333336</v>
      </c>
      <c r="O13444" s="46" t="s">
        <v>123</v>
      </c>
      <c r="P13444" s="46">
        <v>900.0</v>
      </c>
    </row>
    <row r="13445">
      <c r="A13445" s="40">
        <f t="shared" si="1"/>
        <v>46013</v>
      </c>
      <c r="B13445" s="37" t="str">
        <f t="array" ref="B13445">iferror(xlookup($I13445, 'IMPORT VHC Report'!$E:$E, 'IMPORT VHC Report'!$A:$C), )</f>
        <v/>
      </c>
      <c r="C13445" s="44"/>
      <c r="D13445" s="44"/>
      <c r="E13445" s="46" t="s">
        <v>9537</v>
      </c>
      <c r="F13445" s="46" t="s">
        <v>4624</v>
      </c>
      <c r="H13445" s="46" t="s">
        <v>4625</v>
      </c>
      <c r="I13445" s="46" t="s">
        <v>4626</v>
      </c>
      <c r="J13445" s="46" t="s">
        <v>132</v>
      </c>
      <c r="K13445" s="46" t="s">
        <v>126</v>
      </c>
      <c r="L13445" s="45">
        <v>46016.895833333336</v>
      </c>
      <c r="M13445" s="46" t="s">
        <v>123</v>
      </c>
      <c r="N13445" s="45">
        <v>46016.9375</v>
      </c>
      <c r="O13445" s="46" t="s">
        <v>123</v>
      </c>
      <c r="P13445" s="46">
        <v>3600.0</v>
      </c>
    </row>
    <row r="13446">
      <c r="A13446" s="40">
        <f t="shared" si="1"/>
        <v>46013</v>
      </c>
      <c r="B13446" s="37" t="str">
        <f t="array" ref="B13446">iferror(xlookup($I13446, 'IMPORT VHC Report'!$E:$E, 'IMPORT VHC Report'!$A:$C), )</f>
        <v/>
      </c>
      <c r="C13446" s="44"/>
      <c r="D13446" s="44"/>
      <c r="E13446" s="46" t="s">
        <v>9538</v>
      </c>
      <c r="F13446" s="46" t="s">
        <v>4624</v>
      </c>
      <c r="H13446" s="46" t="s">
        <v>4625</v>
      </c>
      <c r="I13446" s="46" t="s">
        <v>4626</v>
      </c>
      <c r="J13446" s="46" t="s">
        <v>224</v>
      </c>
      <c r="K13446" s="46" t="s">
        <v>63</v>
      </c>
      <c r="L13446" s="45">
        <v>46019.625</v>
      </c>
      <c r="M13446" s="46" t="s">
        <v>123</v>
      </c>
      <c r="N13446" s="45">
        <v>46020.0</v>
      </c>
      <c r="O13446" s="46" t="s">
        <v>123</v>
      </c>
      <c r="P13446" s="46">
        <v>32400.0</v>
      </c>
    </row>
    <row r="13447">
      <c r="A13447" s="40">
        <f t="shared" si="1"/>
        <v>46013</v>
      </c>
      <c r="B13447" s="37" t="str">
        <f t="array" ref="B13447">iferror(xlookup($I13447, 'IMPORT VHC Report'!$E:$E, 'IMPORT VHC Report'!$A:$C), )</f>
        <v/>
      </c>
      <c r="C13447" s="44"/>
      <c r="D13447" s="44"/>
      <c r="E13447" s="46" t="s">
        <v>9539</v>
      </c>
      <c r="F13447" s="46" t="s">
        <v>4624</v>
      </c>
      <c r="H13447" s="46" t="s">
        <v>4625</v>
      </c>
      <c r="I13447" s="46" t="s">
        <v>4626</v>
      </c>
      <c r="J13447" s="46" t="s">
        <v>132</v>
      </c>
      <c r="K13447" s="46" t="s">
        <v>126</v>
      </c>
      <c r="L13447" s="45">
        <v>46019.708333333336</v>
      </c>
      <c r="M13447" s="46" t="s">
        <v>123</v>
      </c>
      <c r="N13447" s="45">
        <v>46019.75</v>
      </c>
      <c r="O13447" s="46" t="s">
        <v>123</v>
      </c>
      <c r="P13447" s="46">
        <v>3600.0</v>
      </c>
    </row>
    <row r="13448">
      <c r="A13448" s="40">
        <f t="shared" si="1"/>
        <v>46013</v>
      </c>
      <c r="B13448" s="37" t="str">
        <f t="array" ref="B13448">iferror(xlookup($I13448, 'IMPORT VHC Report'!$E:$E, 'IMPORT VHC Report'!$A:$C), )</f>
        <v/>
      </c>
      <c r="C13448" s="44"/>
      <c r="D13448" s="44"/>
      <c r="E13448" s="46" t="s">
        <v>9540</v>
      </c>
      <c r="F13448" s="46" t="s">
        <v>4624</v>
      </c>
      <c r="H13448" s="46" t="s">
        <v>4625</v>
      </c>
      <c r="I13448" s="46" t="s">
        <v>4626</v>
      </c>
      <c r="J13448" s="46" t="s">
        <v>134</v>
      </c>
      <c r="K13448" s="46" t="s">
        <v>126</v>
      </c>
      <c r="L13448" s="45">
        <v>46019.833333333336</v>
      </c>
      <c r="M13448" s="46" t="s">
        <v>123</v>
      </c>
      <c r="N13448" s="45">
        <v>46019.84375</v>
      </c>
      <c r="O13448" s="46" t="s">
        <v>123</v>
      </c>
      <c r="P13448" s="46">
        <v>900.0</v>
      </c>
    </row>
    <row r="13449">
      <c r="A13449" s="40">
        <f t="shared" si="1"/>
        <v>46013</v>
      </c>
      <c r="B13449" s="37" t="str">
        <f t="array" ref="B13449">iferror(xlookup($I13449, 'IMPORT VHC Report'!$E:$E, 'IMPORT VHC Report'!$A:$C), )</f>
        <v/>
      </c>
      <c r="C13449" s="44"/>
      <c r="D13449" s="44"/>
      <c r="E13449" s="46" t="s">
        <v>9541</v>
      </c>
      <c r="F13449" s="46" t="s">
        <v>4624</v>
      </c>
      <c r="H13449" s="46" t="s">
        <v>4625</v>
      </c>
      <c r="I13449" s="46" t="s">
        <v>4626</v>
      </c>
      <c r="J13449" s="46" t="s">
        <v>134</v>
      </c>
      <c r="K13449" s="46" t="s">
        <v>126</v>
      </c>
      <c r="L13449" s="45">
        <v>46019.927083333336</v>
      </c>
      <c r="M13449" s="46" t="s">
        <v>123</v>
      </c>
      <c r="N13449" s="45">
        <v>46019.9375</v>
      </c>
      <c r="O13449" s="46" t="s">
        <v>123</v>
      </c>
      <c r="P13449" s="46">
        <v>900.0</v>
      </c>
    </row>
    <row r="13450">
      <c r="A13450" s="40">
        <f t="shared" si="1"/>
        <v>46013</v>
      </c>
      <c r="B13450" s="37" t="str">
        <f t="array" ref="B13450">iferror(xlookup($I13450, 'IMPORT VHC Report'!$E:$E, 'IMPORT VHC Report'!$A:$C), )</f>
        <v/>
      </c>
      <c r="C13450" s="44"/>
      <c r="D13450" s="44"/>
      <c r="E13450" s="46" t="s">
        <v>9542</v>
      </c>
      <c r="F13450" s="46" t="s">
        <v>4685</v>
      </c>
      <c r="G13450" s="46">
        <v>9.107717956879E12</v>
      </c>
      <c r="H13450" s="46" t="s">
        <v>4686</v>
      </c>
      <c r="I13450" s="46" t="s">
        <v>4687</v>
      </c>
      <c r="J13450" s="46" t="s">
        <v>224</v>
      </c>
      <c r="K13450" s="46" t="s">
        <v>63</v>
      </c>
      <c r="L13450" s="45">
        <v>46013.625</v>
      </c>
      <c r="M13450" s="46" t="s">
        <v>123</v>
      </c>
      <c r="N13450" s="45">
        <v>46013.927083333336</v>
      </c>
      <c r="O13450" s="46" t="s">
        <v>123</v>
      </c>
      <c r="P13450" s="46">
        <v>26100.0</v>
      </c>
    </row>
    <row r="13451">
      <c r="A13451" s="40">
        <f t="shared" si="1"/>
        <v>46013</v>
      </c>
      <c r="B13451" s="37" t="str">
        <f t="array" ref="B13451">iferror(xlookup($I13451, 'IMPORT VHC Report'!$E:$E, 'IMPORT VHC Report'!$A:$C), )</f>
        <v/>
      </c>
      <c r="C13451" s="44"/>
      <c r="D13451" s="44"/>
      <c r="E13451" s="46" t="s">
        <v>9543</v>
      </c>
      <c r="F13451" s="46" t="s">
        <v>4685</v>
      </c>
      <c r="G13451" s="46">
        <v>9.107717956879E12</v>
      </c>
      <c r="H13451" s="46" t="s">
        <v>4686</v>
      </c>
      <c r="I13451" s="46" t="s">
        <v>4687</v>
      </c>
      <c r="J13451" s="46" t="s">
        <v>134</v>
      </c>
      <c r="K13451" s="46" t="s">
        <v>126</v>
      </c>
      <c r="L13451" s="45">
        <v>46013.71875</v>
      </c>
      <c r="M13451" s="46" t="s">
        <v>123</v>
      </c>
      <c r="N13451" s="45">
        <v>46013.729166666664</v>
      </c>
      <c r="O13451" s="46" t="s">
        <v>123</v>
      </c>
      <c r="P13451" s="46">
        <v>900.0</v>
      </c>
    </row>
    <row r="13452">
      <c r="A13452" s="40">
        <f t="shared" si="1"/>
        <v>46013</v>
      </c>
      <c r="B13452" s="37" t="str">
        <f t="array" ref="B13452">iferror(xlookup($I13452, 'IMPORT VHC Report'!$E:$E, 'IMPORT VHC Report'!$A:$C), )</f>
        <v/>
      </c>
      <c r="C13452" s="44"/>
      <c r="D13452" s="44"/>
      <c r="E13452" s="46" t="s">
        <v>9544</v>
      </c>
      <c r="F13452" s="46" t="s">
        <v>4685</v>
      </c>
      <c r="G13452" s="46">
        <v>9.107717956879E12</v>
      </c>
      <c r="H13452" s="46" t="s">
        <v>4686</v>
      </c>
      <c r="I13452" s="46" t="s">
        <v>4687</v>
      </c>
      <c r="J13452" s="46" t="s">
        <v>134</v>
      </c>
      <c r="K13452" s="46" t="s">
        <v>126</v>
      </c>
      <c r="L13452" s="45">
        <v>46013.791666666664</v>
      </c>
      <c r="M13452" s="46" t="s">
        <v>123</v>
      </c>
      <c r="N13452" s="45">
        <v>46013.802083333336</v>
      </c>
      <c r="O13452" s="46" t="s">
        <v>123</v>
      </c>
      <c r="P13452" s="46">
        <v>900.0</v>
      </c>
    </row>
    <row r="13453">
      <c r="A13453" s="40">
        <f t="shared" si="1"/>
        <v>46013</v>
      </c>
      <c r="B13453" s="37" t="str">
        <f t="array" ref="B13453">iferror(xlookup($I13453, 'IMPORT VHC Report'!$E:$E, 'IMPORT VHC Report'!$A:$C), )</f>
        <v/>
      </c>
      <c r="C13453" s="44"/>
      <c r="D13453" s="44"/>
      <c r="E13453" s="46" t="s">
        <v>9545</v>
      </c>
      <c r="F13453" s="46" t="s">
        <v>4685</v>
      </c>
      <c r="G13453" s="46">
        <v>9.107717956879E12</v>
      </c>
      <c r="H13453" s="46" t="s">
        <v>4686</v>
      </c>
      <c r="I13453" s="46" t="s">
        <v>4687</v>
      </c>
      <c r="J13453" s="46" t="s">
        <v>132</v>
      </c>
      <c r="K13453" s="46" t="s">
        <v>126</v>
      </c>
      <c r="L13453" s="45">
        <v>46013.864583333336</v>
      </c>
      <c r="M13453" s="46" t="s">
        <v>123</v>
      </c>
      <c r="N13453" s="45">
        <v>46013.90625</v>
      </c>
      <c r="O13453" s="46" t="s">
        <v>123</v>
      </c>
      <c r="P13453" s="46">
        <v>3600.0</v>
      </c>
    </row>
    <row r="13454">
      <c r="A13454" s="40">
        <f t="shared" si="1"/>
        <v>46013</v>
      </c>
      <c r="B13454" s="37" t="str">
        <f t="array" ref="B13454">iferror(xlookup($I13454, 'IMPORT VHC Report'!$E:$E, 'IMPORT VHC Report'!$A:$C), )</f>
        <v/>
      </c>
      <c r="C13454" s="44"/>
      <c r="D13454" s="44"/>
      <c r="E13454" s="46" t="s">
        <v>9546</v>
      </c>
      <c r="F13454" s="46" t="s">
        <v>4685</v>
      </c>
      <c r="G13454" s="46">
        <v>9.107717956879E12</v>
      </c>
      <c r="H13454" s="46" t="s">
        <v>4686</v>
      </c>
      <c r="I13454" s="46" t="s">
        <v>4687</v>
      </c>
      <c r="J13454" s="46" t="s">
        <v>62</v>
      </c>
      <c r="K13454" s="46" t="s">
        <v>63</v>
      </c>
      <c r="L13454" s="45">
        <v>46013.927083333336</v>
      </c>
      <c r="M13454" s="46" t="s">
        <v>123</v>
      </c>
      <c r="N13454" s="45">
        <v>46013.947916666664</v>
      </c>
      <c r="O13454" s="46" t="s">
        <v>123</v>
      </c>
      <c r="P13454" s="46">
        <v>1800.0</v>
      </c>
    </row>
    <row r="13455">
      <c r="A13455" s="40">
        <f t="shared" si="1"/>
        <v>46013</v>
      </c>
      <c r="B13455" s="37" t="str">
        <f t="array" ref="B13455">iferror(xlookup($I13455, 'IMPORT VHC Report'!$E:$E, 'IMPORT VHC Report'!$A:$C), )</f>
        <v/>
      </c>
      <c r="C13455" s="44"/>
      <c r="D13455" s="44"/>
      <c r="E13455" s="46" t="s">
        <v>9547</v>
      </c>
      <c r="F13455" s="46" t="s">
        <v>4685</v>
      </c>
      <c r="G13455" s="46">
        <v>9.107717956879E12</v>
      </c>
      <c r="H13455" s="46" t="s">
        <v>4686</v>
      </c>
      <c r="I13455" s="46" t="s">
        <v>4687</v>
      </c>
      <c r="J13455" s="46" t="s">
        <v>224</v>
      </c>
      <c r="K13455" s="46" t="s">
        <v>63</v>
      </c>
      <c r="L13455" s="45">
        <v>46013.947916666664</v>
      </c>
      <c r="M13455" s="46" t="s">
        <v>123</v>
      </c>
      <c r="N13455" s="45">
        <v>46014.0</v>
      </c>
      <c r="O13455" s="46" t="s">
        <v>123</v>
      </c>
      <c r="P13455" s="46">
        <v>4500.0</v>
      </c>
    </row>
    <row r="13456">
      <c r="A13456" s="40">
        <f t="shared" si="1"/>
        <v>46013</v>
      </c>
      <c r="B13456" s="37" t="str">
        <f t="array" ref="B13456">iferror(xlookup($I13456, 'IMPORT VHC Report'!$E:$E, 'IMPORT VHC Report'!$A:$C), )</f>
        <v/>
      </c>
      <c r="C13456" s="44"/>
      <c r="D13456" s="44"/>
      <c r="E13456" s="46" t="s">
        <v>9548</v>
      </c>
      <c r="F13456" s="46" t="s">
        <v>4685</v>
      </c>
      <c r="G13456" s="46">
        <v>9.107717956879E12</v>
      </c>
      <c r="H13456" s="46" t="s">
        <v>4686</v>
      </c>
      <c r="I13456" s="46" t="s">
        <v>4687</v>
      </c>
      <c r="J13456" s="46" t="s">
        <v>224</v>
      </c>
      <c r="K13456" s="46" t="s">
        <v>63</v>
      </c>
      <c r="L13456" s="45">
        <v>46014.625</v>
      </c>
      <c r="M13456" s="46" t="s">
        <v>123</v>
      </c>
      <c r="N13456" s="45">
        <v>46015.0</v>
      </c>
      <c r="O13456" s="46" t="s">
        <v>123</v>
      </c>
      <c r="P13456" s="46">
        <v>32400.0</v>
      </c>
    </row>
    <row r="13457">
      <c r="A13457" s="40">
        <f t="shared" si="1"/>
        <v>46013</v>
      </c>
      <c r="B13457" s="37" t="str">
        <f t="array" ref="B13457">iferror(xlookup($I13457, 'IMPORT VHC Report'!$E:$E, 'IMPORT VHC Report'!$A:$C), )</f>
        <v/>
      </c>
      <c r="C13457" s="44"/>
      <c r="D13457" s="44"/>
      <c r="E13457" s="46" t="s">
        <v>9549</v>
      </c>
      <c r="F13457" s="46" t="s">
        <v>4685</v>
      </c>
      <c r="G13457" s="46">
        <v>9.107717956879E12</v>
      </c>
      <c r="H13457" s="46" t="s">
        <v>4686</v>
      </c>
      <c r="I13457" s="46" t="s">
        <v>4687</v>
      </c>
      <c r="J13457" s="46" t="s">
        <v>132</v>
      </c>
      <c r="K13457" s="46" t="s">
        <v>126</v>
      </c>
      <c r="L13457" s="45">
        <v>46014.739583333336</v>
      </c>
      <c r="M13457" s="46" t="s">
        <v>123</v>
      </c>
      <c r="N13457" s="45">
        <v>46014.78125</v>
      </c>
      <c r="O13457" s="46" t="s">
        <v>123</v>
      </c>
      <c r="P13457" s="46">
        <v>3600.0</v>
      </c>
    </row>
    <row r="13458">
      <c r="A13458" s="40">
        <f t="shared" si="1"/>
        <v>46013</v>
      </c>
      <c r="B13458" s="37" t="str">
        <f t="array" ref="B13458">iferror(xlookup($I13458, 'IMPORT VHC Report'!$E:$E, 'IMPORT VHC Report'!$A:$C), )</f>
        <v/>
      </c>
      <c r="C13458" s="44"/>
      <c r="D13458" s="44"/>
      <c r="E13458" s="46" t="s">
        <v>9550</v>
      </c>
      <c r="F13458" s="46" t="s">
        <v>4685</v>
      </c>
      <c r="G13458" s="46">
        <v>9.107717956879E12</v>
      </c>
      <c r="H13458" s="46" t="s">
        <v>4686</v>
      </c>
      <c r="I13458" s="46" t="s">
        <v>4687</v>
      </c>
      <c r="J13458" s="46" t="s">
        <v>134</v>
      </c>
      <c r="K13458" s="46" t="s">
        <v>126</v>
      </c>
      <c r="L13458" s="45">
        <v>46014.854166666664</v>
      </c>
      <c r="M13458" s="46" t="s">
        <v>123</v>
      </c>
      <c r="N13458" s="45">
        <v>46014.864583333336</v>
      </c>
      <c r="O13458" s="46" t="s">
        <v>123</v>
      </c>
      <c r="P13458" s="46">
        <v>900.0</v>
      </c>
    </row>
    <row r="13459">
      <c r="A13459" s="40">
        <f t="shared" si="1"/>
        <v>46013</v>
      </c>
      <c r="B13459" s="37" t="str">
        <f t="array" ref="B13459">iferror(xlookup($I13459, 'IMPORT VHC Report'!$E:$E, 'IMPORT VHC Report'!$A:$C), )</f>
        <v/>
      </c>
      <c r="C13459" s="44"/>
      <c r="D13459" s="44"/>
      <c r="E13459" s="46" t="s">
        <v>9551</v>
      </c>
      <c r="F13459" s="46" t="s">
        <v>4685</v>
      </c>
      <c r="G13459" s="46">
        <v>9.107717956879E12</v>
      </c>
      <c r="H13459" s="46" t="s">
        <v>4686</v>
      </c>
      <c r="I13459" s="46" t="s">
        <v>4687</v>
      </c>
      <c r="J13459" s="46" t="s">
        <v>134</v>
      </c>
      <c r="K13459" s="46" t="s">
        <v>126</v>
      </c>
      <c r="L13459" s="45">
        <v>46014.927083333336</v>
      </c>
      <c r="M13459" s="46" t="s">
        <v>123</v>
      </c>
      <c r="N13459" s="45">
        <v>46014.9375</v>
      </c>
      <c r="O13459" s="46" t="s">
        <v>123</v>
      </c>
      <c r="P13459" s="46">
        <v>900.0</v>
      </c>
    </row>
    <row r="13460">
      <c r="A13460" s="40">
        <f t="shared" si="1"/>
        <v>46013</v>
      </c>
      <c r="B13460" s="37" t="str">
        <f t="array" ref="B13460">iferror(xlookup($I13460, 'IMPORT VHC Report'!$E:$E, 'IMPORT VHC Report'!$A:$C), )</f>
        <v/>
      </c>
      <c r="C13460" s="44"/>
      <c r="D13460" s="44"/>
      <c r="E13460" s="46" t="s">
        <v>9552</v>
      </c>
      <c r="F13460" s="46" t="s">
        <v>4685</v>
      </c>
      <c r="G13460" s="46">
        <v>9.107717956879E12</v>
      </c>
      <c r="H13460" s="46" t="s">
        <v>4686</v>
      </c>
      <c r="I13460" s="46" t="s">
        <v>4687</v>
      </c>
      <c r="J13460" s="46" t="s">
        <v>224</v>
      </c>
      <c r="K13460" s="46" t="s">
        <v>63</v>
      </c>
      <c r="L13460" s="45">
        <v>46015.625</v>
      </c>
      <c r="M13460" s="46" t="s">
        <v>123</v>
      </c>
      <c r="N13460" s="45">
        <v>46015.895833333336</v>
      </c>
      <c r="O13460" s="46" t="s">
        <v>123</v>
      </c>
      <c r="P13460" s="46">
        <v>23400.0</v>
      </c>
    </row>
    <row r="13461">
      <c r="A13461" s="40">
        <f t="shared" si="1"/>
        <v>46013</v>
      </c>
      <c r="B13461" s="37" t="str">
        <f t="array" ref="B13461">iferror(xlookup($I13461, 'IMPORT VHC Report'!$E:$E, 'IMPORT VHC Report'!$A:$C), )</f>
        <v/>
      </c>
      <c r="C13461" s="44"/>
      <c r="D13461" s="44"/>
      <c r="E13461" s="46" t="s">
        <v>9553</v>
      </c>
      <c r="F13461" s="46" t="s">
        <v>4685</v>
      </c>
      <c r="G13461" s="46">
        <v>9.107717956879E12</v>
      </c>
      <c r="H13461" s="46" t="s">
        <v>4686</v>
      </c>
      <c r="I13461" s="46" t="s">
        <v>4687</v>
      </c>
      <c r="J13461" s="46" t="s">
        <v>134</v>
      </c>
      <c r="K13461" s="46" t="s">
        <v>126</v>
      </c>
      <c r="L13461" s="45">
        <v>46015.708333333336</v>
      </c>
      <c r="M13461" s="46" t="s">
        <v>123</v>
      </c>
      <c r="N13461" s="45">
        <v>46015.71875</v>
      </c>
      <c r="O13461" s="46" t="s">
        <v>123</v>
      </c>
      <c r="P13461" s="46">
        <v>900.0</v>
      </c>
    </row>
    <row r="13462">
      <c r="A13462" s="40">
        <f t="shared" si="1"/>
        <v>46013</v>
      </c>
      <c r="B13462" s="37" t="str">
        <f t="array" ref="B13462">iferror(xlookup($I13462, 'IMPORT VHC Report'!$E:$E, 'IMPORT VHC Report'!$A:$C), )</f>
        <v/>
      </c>
      <c r="C13462" s="44"/>
      <c r="D13462" s="44"/>
      <c r="E13462" s="46" t="s">
        <v>9554</v>
      </c>
      <c r="F13462" s="46" t="s">
        <v>4685</v>
      </c>
      <c r="G13462" s="46">
        <v>9.107717956879E12</v>
      </c>
      <c r="H13462" s="46" t="s">
        <v>4686</v>
      </c>
      <c r="I13462" s="46" t="s">
        <v>4687</v>
      </c>
      <c r="J13462" s="46" t="s">
        <v>134</v>
      </c>
      <c r="K13462" s="46" t="s">
        <v>126</v>
      </c>
      <c r="L13462" s="45">
        <v>46015.791666666664</v>
      </c>
      <c r="M13462" s="46" t="s">
        <v>123</v>
      </c>
      <c r="N13462" s="45">
        <v>46015.802083333336</v>
      </c>
      <c r="O13462" s="46" t="s">
        <v>123</v>
      </c>
      <c r="P13462" s="46">
        <v>900.0</v>
      </c>
    </row>
    <row r="13463">
      <c r="A13463" s="40">
        <f t="shared" si="1"/>
        <v>46013</v>
      </c>
      <c r="B13463" s="37" t="str">
        <f t="array" ref="B13463">iferror(xlookup($I13463, 'IMPORT VHC Report'!$E:$E, 'IMPORT VHC Report'!$A:$C), )</f>
        <v/>
      </c>
      <c r="C13463" s="44"/>
      <c r="D13463" s="44"/>
      <c r="E13463" s="46" t="s">
        <v>9555</v>
      </c>
      <c r="F13463" s="46" t="s">
        <v>4685</v>
      </c>
      <c r="G13463" s="46">
        <v>9.107717956879E12</v>
      </c>
      <c r="H13463" s="46" t="s">
        <v>4686</v>
      </c>
      <c r="I13463" s="46" t="s">
        <v>4687</v>
      </c>
      <c r="J13463" s="46" t="s">
        <v>224</v>
      </c>
      <c r="K13463" s="46" t="s">
        <v>63</v>
      </c>
      <c r="L13463" s="45">
        <v>46015.895833333336</v>
      </c>
      <c r="M13463" s="46" t="s">
        <v>123</v>
      </c>
      <c r="N13463" s="45">
        <v>46015.9375</v>
      </c>
      <c r="O13463" s="46" t="s">
        <v>123</v>
      </c>
      <c r="P13463" s="46">
        <v>3600.0</v>
      </c>
    </row>
    <row r="13464">
      <c r="A13464" s="40">
        <f t="shared" si="1"/>
        <v>46013</v>
      </c>
      <c r="B13464" s="37" t="str">
        <f t="array" ref="B13464">iferror(xlookup($I13464, 'IMPORT VHC Report'!$E:$E, 'IMPORT VHC Report'!$A:$C), )</f>
        <v/>
      </c>
      <c r="C13464" s="44"/>
      <c r="D13464" s="44"/>
      <c r="E13464" s="46" t="s">
        <v>9556</v>
      </c>
      <c r="F13464" s="46" t="s">
        <v>4685</v>
      </c>
      <c r="G13464" s="46">
        <v>9.107717956879E12</v>
      </c>
      <c r="H13464" s="46" t="s">
        <v>4686</v>
      </c>
      <c r="I13464" s="46" t="s">
        <v>4687</v>
      </c>
      <c r="J13464" s="46" t="s">
        <v>132</v>
      </c>
      <c r="K13464" s="46" t="s">
        <v>126</v>
      </c>
      <c r="L13464" s="45">
        <v>46015.895833333336</v>
      </c>
      <c r="M13464" s="46" t="s">
        <v>123</v>
      </c>
      <c r="N13464" s="45">
        <v>46015.9375</v>
      </c>
      <c r="O13464" s="46" t="s">
        <v>123</v>
      </c>
      <c r="P13464" s="46">
        <v>3600.0</v>
      </c>
    </row>
    <row r="13465">
      <c r="A13465" s="40">
        <f t="shared" si="1"/>
        <v>46013</v>
      </c>
      <c r="B13465" s="37" t="str">
        <f t="array" ref="B13465">iferror(xlookup($I13465, 'IMPORT VHC Report'!$E:$E, 'IMPORT VHC Report'!$A:$C), )</f>
        <v/>
      </c>
      <c r="C13465" s="44"/>
      <c r="D13465" s="44"/>
      <c r="E13465" s="46" t="s">
        <v>9557</v>
      </c>
      <c r="F13465" s="46" t="s">
        <v>4685</v>
      </c>
      <c r="G13465" s="46">
        <v>9.107717956879E12</v>
      </c>
      <c r="H13465" s="46" t="s">
        <v>4686</v>
      </c>
      <c r="I13465" s="46" t="s">
        <v>4687</v>
      </c>
      <c r="J13465" s="46" t="s">
        <v>224</v>
      </c>
      <c r="K13465" s="46" t="s">
        <v>63</v>
      </c>
      <c r="L13465" s="45">
        <v>46015.9375</v>
      </c>
      <c r="M13465" s="46" t="s">
        <v>123</v>
      </c>
      <c r="N13465" s="45">
        <v>46016.0</v>
      </c>
      <c r="O13465" s="46" t="s">
        <v>123</v>
      </c>
      <c r="P13465" s="46">
        <v>5400.0</v>
      </c>
    </row>
    <row r="13466">
      <c r="A13466" s="40">
        <f t="shared" si="1"/>
        <v>46013</v>
      </c>
      <c r="B13466" s="37" t="str">
        <f t="array" ref="B13466">iferror(xlookup($I13466, 'IMPORT VHC Report'!$E:$E, 'IMPORT VHC Report'!$A:$C), )</f>
        <v/>
      </c>
      <c r="C13466" s="44"/>
      <c r="D13466" s="44"/>
      <c r="E13466" s="46" t="s">
        <v>9558</v>
      </c>
      <c r="F13466" s="46" t="s">
        <v>4685</v>
      </c>
      <c r="G13466" s="46">
        <v>9.107717956879E12</v>
      </c>
      <c r="H13466" s="46" t="s">
        <v>4686</v>
      </c>
      <c r="I13466" s="46" t="s">
        <v>4687</v>
      </c>
      <c r="J13466" s="46" t="s">
        <v>132</v>
      </c>
      <c r="K13466" s="46" t="s">
        <v>126</v>
      </c>
      <c r="L13466" s="45">
        <v>46015.958333333336</v>
      </c>
      <c r="M13466" s="46" t="s">
        <v>123</v>
      </c>
      <c r="N13466" s="45">
        <v>46015.99930555555</v>
      </c>
      <c r="O13466" s="46" t="s">
        <v>123</v>
      </c>
      <c r="P13466" s="46">
        <v>3540.0</v>
      </c>
    </row>
    <row r="13467">
      <c r="A13467" s="40">
        <f t="shared" si="1"/>
        <v>46013</v>
      </c>
      <c r="B13467" s="37" t="str">
        <f t="array" ref="B13467">iferror(xlookup($I13467, 'IMPORT VHC Report'!$E:$E, 'IMPORT VHC Report'!$A:$C), )</f>
        <v/>
      </c>
      <c r="C13467" s="44"/>
      <c r="D13467" s="44"/>
      <c r="E13467" s="46" t="s">
        <v>9559</v>
      </c>
      <c r="F13467" s="46" t="s">
        <v>4685</v>
      </c>
      <c r="G13467" s="46">
        <v>9.107717956879E12</v>
      </c>
      <c r="H13467" s="46" t="s">
        <v>4686</v>
      </c>
      <c r="I13467" s="46" t="s">
        <v>4687</v>
      </c>
      <c r="J13467" s="46" t="s">
        <v>224</v>
      </c>
      <c r="K13467" s="46" t="s">
        <v>63</v>
      </c>
      <c r="L13467" s="45">
        <v>46016.625</v>
      </c>
      <c r="M13467" s="46" t="s">
        <v>123</v>
      </c>
      <c r="N13467" s="45">
        <v>46017.0</v>
      </c>
      <c r="O13467" s="46" t="s">
        <v>123</v>
      </c>
      <c r="P13467" s="46">
        <v>32400.0</v>
      </c>
    </row>
    <row r="13468">
      <c r="A13468" s="40">
        <f t="shared" si="1"/>
        <v>46013</v>
      </c>
      <c r="B13468" s="37" t="str">
        <f t="array" ref="B13468">iferror(xlookup($I13468, 'IMPORT VHC Report'!$E:$E, 'IMPORT VHC Report'!$A:$C), )</f>
        <v/>
      </c>
      <c r="C13468" s="44"/>
      <c r="D13468" s="44"/>
      <c r="E13468" s="46" t="s">
        <v>9560</v>
      </c>
      <c r="F13468" s="46" t="s">
        <v>4685</v>
      </c>
      <c r="G13468" s="46">
        <v>9.107717956879E12</v>
      </c>
      <c r="H13468" s="46" t="s">
        <v>4686</v>
      </c>
      <c r="I13468" s="46" t="s">
        <v>4687</v>
      </c>
      <c r="J13468" s="46" t="s">
        <v>178</v>
      </c>
      <c r="K13468" s="46" t="s">
        <v>153</v>
      </c>
      <c r="L13468" s="45">
        <v>46016.625</v>
      </c>
      <c r="M13468" s="46" t="s">
        <v>123</v>
      </c>
      <c r="N13468" s="45">
        <v>46017.0</v>
      </c>
      <c r="O13468" s="46" t="s">
        <v>123</v>
      </c>
      <c r="P13468" s="46">
        <v>32400.0</v>
      </c>
      <c r="Q13468" s="46">
        <v>32400.0</v>
      </c>
    </row>
    <row r="13469">
      <c r="A13469" s="40">
        <f t="shared" si="1"/>
        <v>46013</v>
      </c>
      <c r="B13469" s="37" t="str">
        <f t="array" ref="B13469">iferror(xlookup($I13469, 'IMPORT VHC Report'!$E:$E, 'IMPORT VHC Report'!$A:$C), )</f>
        <v/>
      </c>
      <c r="C13469" s="44"/>
      <c r="D13469" s="44"/>
      <c r="E13469" s="46" t="s">
        <v>9561</v>
      </c>
      <c r="F13469" s="46" t="s">
        <v>4685</v>
      </c>
      <c r="G13469" s="46">
        <v>9.107717956879E12</v>
      </c>
      <c r="H13469" s="46" t="s">
        <v>4686</v>
      </c>
      <c r="I13469" s="46" t="s">
        <v>4687</v>
      </c>
      <c r="J13469" s="46" t="s">
        <v>134</v>
      </c>
      <c r="K13469" s="46" t="s">
        <v>126</v>
      </c>
      <c r="L13469" s="45">
        <v>46016.708333333336</v>
      </c>
      <c r="M13469" s="46" t="s">
        <v>123</v>
      </c>
      <c r="N13469" s="45">
        <v>46016.71875</v>
      </c>
      <c r="O13469" s="46" t="s">
        <v>123</v>
      </c>
      <c r="P13469" s="46">
        <v>900.0</v>
      </c>
    </row>
    <row r="13470">
      <c r="A13470" s="40">
        <f t="shared" si="1"/>
        <v>46013</v>
      </c>
      <c r="B13470" s="37" t="str">
        <f t="array" ref="B13470">iferror(xlookup($I13470, 'IMPORT VHC Report'!$E:$E, 'IMPORT VHC Report'!$A:$C), )</f>
        <v/>
      </c>
      <c r="C13470" s="44"/>
      <c r="D13470" s="44"/>
      <c r="E13470" s="46" t="s">
        <v>9562</v>
      </c>
      <c r="F13470" s="46" t="s">
        <v>4685</v>
      </c>
      <c r="G13470" s="46">
        <v>9.107717956879E12</v>
      </c>
      <c r="H13470" s="46" t="s">
        <v>4686</v>
      </c>
      <c r="I13470" s="46" t="s">
        <v>4687</v>
      </c>
      <c r="J13470" s="46" t="s">
        <v>134</v>
      </c>
      <c r="K13470" s="46" t="s">
        <v>126</v>
      </c>
      <c r="L13470" s="45">
        <v>46016.78125</v>
      </c>
      <c r="M13470" s="46" t="s">
        <v>123</v>
      </c>
      <c r="N13470" s="45">
        <v>46016.791666666664</v>
      </c>
      <c r="O13470" s="46" t="s">
        <v>123</v>
      </c>
      <c r="P13470" s="46">
        <v>900.0</v>
      </c>
    </row>
    <row r="13471">
      <c r="A13471" s="40">
        <f t="shared" si="1"/>
        <v>46013</v>
      </c>
      <c r="B13471" s="37" t="str">
        <f t="array" ref="B13471">iferror(xlookup($I13471, 'IMPORT VHC Report'!$E:$E, 'IMPORT VHC Report'!$A:$C), )</f>
        <v/>
      </c>
      <c r="C13471" s="44"/>
      <c r="D13471" s="44"/>
      <c r="E13471" s="46" t="s">
        <v>9563</v>
      </c>
      <c r="F13471" s="46" t="s">
        <v>4685</v>
      </c>
      <c r="G13471" s="46">
        <v>9.107717956879E12</v>
      </c>
      <c r="H13471" s="46" t="s">
        <v>4686</v>
      </c>
      <c r="I13471" s="46" t="s">
        <v>4687</v>
      </c>
      <c r="J13471" s="46" t="s">
        <v>132</v>
      </c>
      <c r="K13471" s="46" t="s">
        <v>126</v>
      </c>
      <c r="L13471" s="45">
        <v>46016.875</v>
      </c>
      <c r="M13471" s="46" t="s">
        <v>123</v>
      </c>
      <c r="N13471" s="45">
        <v>46016.916666666664</v>
      </c>
      <c r="O13471" s="46" t="s">
        <v>123</v>
      </c>
      <c r="P13471" s="46">
        <v>3600.0</v>
      </c>
    </row>
    <row r="13472">
      <c r="A13472" s="40">
        <f t="shared" si="1"/>
        <v>46013</v>
      </c>
      <c r="B13472" s="37" t="str">
        <f t="array" ref="B13472">iferror(xlookup($I13472, 'IMPORT VHC Report'!$E:$E, 'IMPORT VHC Report'!$A:$C), )</f>
        <v/>
      </c>
      <c r="C13472" s="44"/>
      <c r="D13472" s="44"/>
      <c r="E13472" s="46" t="s">
        <v>9564</v>
      </c>
      <c r="F13472" s="46" t="s">
        <v>4685</v>
      </c>
      <c r="G13472" s="46">
        <v>9.107717956879E12</v>
      </c>
      <c r="H13472" s="46" t="s">
        <v>4686</v>
      </c>
      <c r="I13472" s="46" t="s">
        <v>4687</v>
      </c>
      <c r="J13472" s="46" t="s">
        <v>224</v>
      </c>
      <c r="K13472" s="46" t="s">
        <v>63</v>
      </c>
      <c r="L13472" s="45">
        <v>46017.625</v>
      </c>
      <c r="M13472" s="46" t="s">
        <v>123</v>
      </c>
      <c r="N13472" s="45">
        <v>46017.729166666664</v>
      </c>
      <c r="O13472" s="46" t="s">
        <v>123</v>
      </c>
      <c r="P13472" s="46">
        <v>9000.0</v>
      </c>
    </row>
    <row r="13473">
      <c r="A13473" s="40">
        <f t="shared" si="1"/>
        <v>46013</v>
      </c>
      <c r="B13473" s="37" t="str">
        <f t="array" ref="B13473">iferror(xlookup($I13473, 'IMPORT VHC Report'!$E:$E, 'IMPORT VHC Report'!$A:$C), )</f>
        <v/>
      </c>
      <c r="C13473" s="44"/>
      <c r="D13473" s="44"/>
      <c r="E13473" s="46" t="s">
        <v>9565</v>
      </c>
      <c r="F13473" s="46" t="s">
        <v>4685</v>
      </c>
      <c r="G13473" s="46">
        <v>9.107717956879E12</v>
      </c>
      <c r="H13473" s="46" t="s">
        <v>4686</v>
      </c>
      <c r="I13473" s="46" t="s">
        <v>4687</v>
      </c>
      <c r="J13473" s="46" t="s">
        <v>178</v>
      </c>
      <c r="K13473" s="46" t="s">
        <v>153</v>
      </c>
      <c r="L13473" s="45">
        <v>46017.625</v>
      </c>
      <c r="M13473" s="46" t="s">
        <v>123</v>
      </c>
      <c r="N13473" s="45">
        <v>46018.0</v>
      </c>
      <c r="O13473" s="46" t="s">
        <v>123</v>
      </c>
      <c r="P13473" s="46">
        <v>32400.0</v>
      </c>
      <c r="Q13473" s="46">
        <v>28800.0</v>
      </c>
      <c r="R13473" s="46" t="s">
        <v>550</v>
      </c>
    </row>
    <row r="13474">
      <c r="A13474" s="40">
        <f t="shared" si="1"/>
        <v>46013</v>
      </c>
      <c r="B13474" s="37" t="str">
        <f t="array" ref="B13474">iferror(xlookup($I13474, 'IMPORT VHC Report'!$E:$E, 'IMPORT VHC Report'!$A:$C), )</f>
        <v/>
      </c>
      <c r="C13474" s="44"/>
      <c r="D13474" s="44"/>
      <c r="E13474" s="46" t="s">
        <v>9566</v>
      </c>
      <c r="F13474" s="46" t="s">
        <v>4685</v>
      </c>
      <c r="G13474" s="46">
        <v>9.107717956879E12</v>
      </c>
      <c r="H13474" s="46" t="s">
        <v>4686</v>
      </c>
      <c r="I13474" s="46" t="s">
        <v>4687</v>
      </c>
      <c r="J13474" s="46" t="s">
        <v>132</v>
      </c>
      <c r="K13474" s="46" t="s">
        <v>126</v>
      </c>
      <c r="L13474" s="45">
        <v>46017.729166666664</v>
      </c>
      <c r="M13474" s="46" t="s">
        <v>123</v>
      </c>
      <c r="N13474" s="45">
        <v>46017.770833333336</v>
      </c>
      <c r="O13474" s="46" t="s">
        <v>123</v>
      </c>
      <c r="P13474" s="46">
        <v>3600.0</v>
      </c>
    </row>
    <row r="13475">
      <c r="A13475" s="40">
        <f t="shared" si="1"/>
        <v>46013</v>
      </c>
      <c r="B13475" s="37" t="str">
        <f t="array" ref="B13475">iferror(xlookup($I13475, 'IMPORT VHC Report'!$E:$E, 'IMPORT VHC Report'!$A:$C), )</f>
        <v/>
      </c>
      <c r="C13475" s="44"/>
      <c r="D13475" s="44"/>
      <c r="E13475" s="46" t="s">
        <v>9567</v>
      </c>
      <c r="F13475" s="46" t="s">
        <v>4685</v>
      </c>
      <c r="G13475" s="46">
        <v>9.107717956879E12</v>
      </c>
      <c r="H13475" s="46" t="s">
        <v>4686</v>
      </c>
      <c r="I13475" s="46" t="s">
        <v>4687</v>
      </c>
      <c r="J13475" s="46" t="s">
        <v>224</v>
      </c>
      <c r="K13475" s="46" t="s">
        <v>63</v>
      </c>
      <c r="L13475" s="45">
        <v>46017.729166666664</v>
      </c>
      <c r="M13475" s="46" t="s">
        <v>123</v>
      </c>
      <c r="N13475" s="45">
        <v>46018.0</v>
      </c>
      <c r="O13475" s="46" t="s">
        <v>123</v>
      </c>
      <c r="P13475" s="46">
        <v>23400.0</v>
      </c>
    </row>
    <row r="13476">
      <c r="A13476" s="40">
        <f t="shared" si="1"/>
        <v>46013</v>
      </c>
      <c r="B13476" s="37" t="str">
        <f t="array" ref="B13476">iferror(xlookup($I13476, 'IMPORT VHC Report'!$E:$E, 'IMPORT VHC Report'!$A:$C), )</f>
        <v/>
      </c>
      <c r="C13476" s="44"/>
      <c r="D13476" s="44"/>
      <c r="E13476" s="46" t="s">
        <v>9568</v>
      </c>
      <c r="F13476" s="46" t="s">
        <v>4685</v>
      </c>
      <c r="G13476" s="46">
        <v>9.107717956879E12</v>
      </c>
      <c r="H13476" s="46" t="s">
        <v>4686</v>
      </c>
      <c r="I13476" s="46" t="s">
        <v>4687</v>
      </c>
      <c r="J13476" s="46" t="s">
        <v>134</v>
      </c>
      <c r="K13476" s="46" t="s">
        <v>126</v>
      </c>
      <c r="L13476" s="45">
        <v>46017.833333333336</v>
      </c>
      <c r="M13476" s="46" t="s">
        <v>123</v>
      </c>
      <c r="N13476" s="45">
        <v>46017.84375</v>
      </c>
      <c r="O13476" s="46" t="s">
        <v>123</v>
      </c>
      <c r="P13476" s="46">
        <v>900.0</v>
      </c>
    </row>
    <row r="13477">
      <c r="A13477" s="40">
        <f t="shared" si="1"/>
        <v>46013</v>
      </c>
      <c r="B13477" s="37" t="str">
        <f t="array" ref="B13477">iferror(xlookup($I13477, 'IMPORT VHC Report'!$E:$E, 'IMPORT VHC Report'!$A:$C), )</f>
        <v/>
      </c>
      <c r="C13477" s="44"/>
      <c r="D13477" s="44"/>
      <c r="E13477" s="46" t="s">
        <v>9569</v>
      </c>
      <c r="F13477" s="46" t="s">
        <v>4685</v>
      </c>
      <c r="G13477" s="46">
        <v>9.107717956879E12</v>
      </c>
      <c r="H13477" s="46" t="s">
        <v>4686</v>
      </c>
      <c r="I13477" s="46" t="s">
        <v>4687</v>
      </c>
      <c r="J13477" s="46" t="s">
        <v>134</v>
      </c>
      <c r="K13477" s="46" t="s">
        <v>126</v>
      </c>
      <c r="L13477" s="45">
        <v>46017.916666666664</v>
      </c>
      <c r="M13477" s="46" t="s">
        <v>123</v>
      </c>
      <c r="N13477" s="45">
        <v>46017.927083333336</v>
      </c>
      <c r="O13477" s="46" t="s">
        <v>123</v>
      </c>
      <c r="P13477" s="46">
        <v>900.0</v>
      </c>
    </row>
    <row r="13478">
      <c r="A13478" s="40">
        <f t="shared" si="1"/>
        <v>46013</v>
      </c>
      <c r="B13478" s="37" t="str">
        <f t="array" ref="B13478">iferror(xlookup($I13478, 'IMPORT VHC Report'!$E:$E, 'IMPORT VHC Report'!$A:$C), )</f>
        <v/>
      </c>
      <c r="C13478" s="44"/>
      <c r="D13478" s="44"/>
      <c r="E13478" s="46" t="s">
        <v>9570</v>
      </c>
      <c r="F13478" s="46" t="s">
        <v>4913</v>
      </c>
      <c r="G13478" s="46">
        <v>1.0548581777679E13</v>
      </c>
      <c r="H13478" s="46" t="s">
        <v>4914</v>
      </c>
      <c r="I13478" s="46" t="s">
        <v>4915</v>
      </c>
      <c r="J13478" s="46" t="s">
        <v>178</v>
      </c>
      <c r="K13478" s="46" t="s">
        <v>153</v>
      </c>
      <c r="L13478" s="45">
        <v>46013.708333333336</v>
      </c>
      <c r="M13478" s="46" t="s">
        <v>123</v>
      </c>
      <c r="N13478" s="45">
        <v>46014.041666666664</v>
      </c>
      <c r="O13478" s="46" t="s">
        <v>123</v>
      </c>
      <c r="P13478" s="46">
        <v>28800.0</v>
      </c>
      <c r="Q13478" s="46">
        <v>28800.0</v>
      </c>
      <c r="R13478" s="46" t="s">
        <v>421</v>
      </c>
      <c r="S13478" s="46" t="s">
        <v>421</v>
      </c>
    </row>
    <row r="13479">
      <c r="A13479" s="40">
        <f t="shared" si="1"/>
        <v>46013</v>
      </c>
      <c r="B13479" s="37" t="str">
        <f t="array" ref="B13479">iferror(xlookup($I13479, 'IMPORT VHC Report'!$E:$E, 'IMPORT VHC Report'!$A:$C), )</f>
        <v/>
      </c>
      <c r="C13479" s="44"/>
      <c r="D13479" s="44"/>
      <c r="E13479" s="46" t="s">
        <v>9571</v>
      </c>
      <c r="F13479" s="46" t="s">
        <v>4913</v>
      </c>
      <c r="G13479" s="46">
        <v>1.0548581777679E13</v>
      </c>
      <c r="H13479" s="46" t="s">
        <v>4914</v>
      </c>
      <c r="I13479" s="46" t="s">
        <v>4915</v>
      </c>
      <c r="J13479" s="46" t="s">
        <v>134</v>
      </c>
      <c r="K13479" s="46" t="s">
        <v>126</v>
      </c>
      <c r="L13479" s="45">
        <v>46013.822916666664</v>
      </c>
      <c r="M13479" s="46" t="s">
        <v>123</v>
      </c>
      <c r="N13479" s="45">
        <v>46013.833333333336</v>
      </c>
      <c r="O13479" s="46" t="s">
        <v>123</v>
      </c>
      <c r="P13479" s="46">
        <v>900.0</v>
      </c>
    </row>
    <row r="13480">
      <c r="A13480" s="40">
        <f t="shared" si="1"/>
        <v>46013</v>
      </c>
      <c r="B13480" s="37" t="str">
        <f t="array" ref="B13480">iferror(xlookup($I13480, 'IMPORT VHC Report'!$E:$E, 'IMPORT VHC Report'!$A:$C), )</f>
        <v/>
      </c>
      <c r="C13480" s="44"/>
      <c r="D13480" s="44"/>
      <c r="E13480" s="46" t="s">
        <v>9572</v>
      </c>
      <c r="F13480" s="46" t="s">
        <v>4913</v>
      </c>
      <c r="G13480" s="46">
        <v>1.0548581777679E13</v>
      </c>
      <c r="H13480" s="46" t="s">
        <v>4914</v>
      </c>
      <c r="I13480" s="46" t="s">
        <v>4915</v>
      </c>
      <c r="J13480" s="46" t="s">
        <v>134</v>
      </c>
      <c r="K13480" s="46" t="s">
        <v>126</v>
      </c>
      <c r="L13480" s="45">
        <v>46013.895833333336</v>
      </c>
      <c r="M13480" s="46" t="s">
        <v>123</v>
      </c>
      <c r="N13480" s="45">
        <v>46013.90625</v>
      </c>
      <c r="O13480" s="46" t="s">
        <v>123</v>
      </c>
      <c r="P13480" s="46">
        <v>900.0</v>
      </c>
    </row>
    <row r="13481">
      <c r="A13481" s="40">
        <f t="shared" si="1"/>
        <v>46013</v>
      </c>
      <c r="B13481" s="37" t="str">
        <f t="array" ref="B13481">iferror(xlookup($I13481, 'IMPORT VHC Report'!$E:$E, 'IMPORT VHC Report'!$A:$C), )</f>
        <v/>
      </c>
      <c r="C13481" s="44"/>
      <c r="D13481" s="44"/>
      <c r="E13481" s="46" t="s">
        <v>9573</v>
      </c>
      <c r="F13481" s="46" t="s">
        <v>4913</v>
      </c>
      <c r="G13481" s="46">
        <v>1.0548581777679E13</v>
      </c>
      <c r="H13481" s="46" t="s">
        <v>4914</v>
      </c>
      <c r="I13481" s="46" t="s">
        <v>4915</v>
      </c>
      <c r="J13481" s="46" t="s">
        <v>132</v>
      </c>
      <c r="K13481" s="46" t="s">
        <v>126</v>
      </c>
      <c r="L13481" s="45">
        <v>46013.96875</v>
      </c>
      <c r="M13481" s="46" t="s">
        <v>123</v>
      </c>
      <c r="N13481" s="45">
        <v>46014.010416666664</v>
      </c>
      <c r="O13481" s="46" t="s">
        <v>123</v>
      </c>
      <c r="P13481" s="46">
        <v>3600.0</v>
      </c>
    </row>
    <row r="13482">
      <c r="A13482" s="40">
        <f t="shared" si="1"/>
        <v>46013</v>
      </c>
      <c r="B13482" s="37" t="str">
        <f t="array" ref="B13482">iferror(xlookup($I13482, 'IMPORT VHC Report'!$E:$E, 'IMPORT VHC Report'!$A:$C), )</f>
        <v/>
      </c>
      <c r="C13482" s="44"/>
      <c r="D13482" s="44"/>
      <c r="E13482" s="46" t="s">
        <v>9574</v>
      </c>
      <c r="F13482" s="46" t="s">
        <v>4913</v>
      </c>
      <c r="G13482" s="46">
        <v>1.0548581777679E13</v>
      </c>
      <c r="H13482" s="46" t="s">
        <v>4914</v>
      </c>
      <c r="I13482" s="46" t="s">
        <v>4915</v>
      </c>
      <c r="J13482" s="46" t="s">
        <v>4</v>
      </c>
      <c r="K13482" s="46" t="s">
        <v>126</v>
      </c>
      <c r="L13482" s="45">
        <v>46014.708333333336</v>
      </c>
      <c r="M13482" s="46" t="s">
        <v>123</v>
      </c>
      <c r="N13482" s="45">
        <v>46014.71875</v>
      </c>
      <c r="O13482" s="46" t="s">
        <v>123</v>
      </c>
      <c r="P13482" s="46">
        <v>900.0</v>
      </c>
      <c r="S13482" s="46" t="s">
        <v>8895</v>
      </c>
    </row>
    <row r="13483">
      <c r="A13483" s="40">
        <f t="shared" si="1"/>
        <v>46013</v>
      </c>
      <c r="B13483" s="37" t="str">
        <f t="array" ref="B13483">iferror(xlookup($I13483, 'IMPORT VHC Report'!$E:$E, 'IMPORT VHC Report'!$A:$C), )</f>
        <v/>
      </c>
      <c r="C13483" s="44"/>
      <c r="D13483" s="44"/>
      <c r="E13483" s="46" t="s">
        <v>9575</v>
      </c>
      <c r="F13483" s="46" t="s">
        <v>4913</v>
      </c>
      <c r="G13483" s="46">
        <v>1.0548581777679E13</v>
      </c>
      <c r="H13483" s="46" t="s">
        <v>4914</v>
      </c>
      <c r="I13483" s="46" t="s">
        <v>4915</v>
      </c>
      <c r="J13483" s="46" t="s">
        <v>224</v>
      </c>
      <c r="K13483" s="46" t="s">
        <v>63</v>
      </c>
      <c r="L13483" s="45">
        <v>46014.708333333336</v>
      </c>
      <c r="M13483" s="46" t="s">
        <v>123</v>
      </c>
      <c r="N13483" s="45">
        <v>46014.927083333336</v>
      </c>
      <c r="O13483" s="46" t="s">
        <v>123</v>
      </c>
      <c r="P13483" s="46">
        <v>18900.0</v>
      </c>
    </row>
    <row r="13484">
      <c r="A13484" s="40">
        <f t="shared" si="1"/>
        <v>46013</v>
      </c>
      <c r="B13484" s="37" t="str">
        <f t="array" ref="B13484">iferror(xlookup($I13484, 'IMPORT VHC Report'!$E:$E, 'IMPORT VHC Report'!$A:$C), )</f>
        <v/>
      </c>
      <c r="C13484" s="44"/>
      <c r="D13484" s="44"/>
      <c r="E13484" s="46" t="s">
        <v>9576</v>
      </c>
      <c r="F13484" s="46" t="s">
        <v>4913</v>
      </c>
      <c r="G13484" s="46">
        <v>1.0548581777679E13</v>
      </c>
      <c r="H13484" s="46" t="s">
        <v>4914</v>
      </c>
      <c r="I13484" s="46" t="s">
        <v>4915</v>
      </c>
      <c r="J13484" s="46" t="s">
        <v>134</v>
      </c>
      <c r="K13484" s="46" t="s">
        <v>126</v>
      </c>
      <c r="L13484" s="45">
        <v>46014.822916666664</v>
      </c>
      <c r="M13484" s="46" t="s">
        <v>123</v>
      </c>
      <c r="N13484" s="45">
        <v>46014.833333333336</v>
      </c>
      <c r="O13484" s="46" t="s">
        <v>123</v>
      </c>
      <c r="P13484" s="46">
        <v>900.0</v>
      </c>
    </row>
    <row r="13485">
      <c r="A13485" s="40">
        <f t="shared" si="1"/>
        <v>46013</v>
      </c>
      <c r="B13485" s="37" t="str">
        <f t="array" ref="B13485">iferror(xlookup($I13485, 'IMPORT VHC Report'!$E:$E, 'IMPORT VHC Report'!$A:$C), )</f>
        <v/>
      </c>
      <c r="C13485" s="44"/>
      <c r="D13485" s="44"/>
      <c r="E13485" s="46" t="s">
        <v>9577</v>
      </c>
      <c r="F13485" s="46" t="s">
        <v>4913</v>
      </c>
      <c r="G13485" s="46">
        <v>1.0548581777679E13</v>
      </c>
      <c r="H13485" s="46" t="s">
        <v>4914</v>
      </c>
      <c r="I13485" s="46" t="s">
        <v>4915</v>
      </c>
      <c r="J13485" s="46" t="s">
        <v>132</v>
      </c>
      <c r="K13485" s="46" t="s">
        <v>126</v>
      </c>
      <c r="L13485" s="45">
        <v>46014.916666666664</v>
      </c>
      <c r="M13485" s="46" t="s">
        <v>123</v>
      </c>
      <c r="N13485" s="45">
        <v>46014.958333333336</v>
      </c>
      <c r="O13485" s="46" t="s">
        <v>123</v>
      </c>
      <c r="P13485" s="46">
        <v>3600.0</v>
      </c>
    </row>
    <row r="13486">
      <c r="A13486" s="40">
        <f t="shared" si="1"/>
        <v>46013</v>
      </c>
      <c r="B13486" s="37" t="str">
        <f t="array" ref="B13486">iferror(xlookup($I13486, 'IMPORT VHC Report'!$E:$E, 'IMPORT VHC Report'!$A:$C), )</f>
        <v/>
      </c>
      <c r="C13486" s="44"/>
      <c r="D13486" s="44"/>
      <c r="E13486" s="46" t="s">
        <v>9578</v>
      </c>
      <c r="F13486" s="46" t="s">
        <v>4913</v>
      </c>
      <c r="G13486" s="46">
        <v>1.0548581777679E13</v>
      </c>
      <c r="H13486" s="46" t="s">
        <v>4914</v>
      </c>
      <c r="I13486" s="46" t="s">
        <v>4915</v>
      </c>
      <c r="J13486" s="46" t="s">
        <v>224</v>
      </c>
      <c r="K13486" s="46" t="s">
        <v>63</v>
      </c>
      <c r="L13486" s="45">
        <v>46014.9375</v>
      </c>
      <c r="M13486" s="46" t="s">
        <v>123</v>
      </c>
      <c r="N13486" s="45">
        <v>46015.083333333336</v>
      </c>
      <c r="O13486" s="46" t="s">
        <v>123</v>
      </c>
      <c r="P13486" s="46">
        <v>12600.0</v>
      </c>
    </row>
    <row r="13487">
      <c r="A13487" s="40">
        <f t="shared" si="1"/>
        <v>46013</v>
      </c>
      <c r="B13487" s="37" t="str">
        <f t="array" ref="B13487">iferror(xlookup($I13487, 'IMPORT VHC Report'!$E:$E, 'IMPORT VHC Report'!$A:$C), )</f>
        <v/>
      </c>
      <c r="C13487" s="44"/>
      <c r="D13487" s="44"/>
      <c r="E13487" s="46" t="s">
        <v>9579</v>
      </c>
      <c r="F13487" s="46" t="s">
        <v>4913</v>
      </c>
      <c r="G13487" s="46">
        <v>1.0548581777679E13</v>
      </c>
      <c r="H13487" s="46" t="s">
        <v>4914</v>
      </c>
      <c r="I13487" s="46" t="s">
        <v>4915</v>
      </c>
      <c r="J13487" s="46" t="s">
        <v>134</v>
      </c>
      <c r="K13487" s="46" t="s">
        <v>126</v>
      </c>
      <c r="L13487" s="45">
        <v>46015.010416666664</v>
      </c>
      <c r="M13487" s="46" t="s">
        <v>123</v>
      </c>
      <c r="N13487" s="45">
        <v>46015.020833333336</v>
      </c>
      <c r="O13487" s="46" t="s">
        <v>123</v>
      </c>
      <c r="P13487" s="46">
        <v>900.0</v>
      </c>
    </row>
    <row r="13488">
      <c r="A13488" s="40">
        <f t="shared" si="1"/>
        <v>46013</v>
      </c>
      <c r="B13488" s="37" t="str">
        <f t="array" ref="B13488">iferror(xlookup($I13488, 'IMPORT VHC Report'!$E:$E, 'IMPORT VHC Report'!$A:$C), )</f>
        <v/>
      </c>
      <c r="C13488" s="44"/>
      <c r="D13488" s="44"/>
      <c r="E13488" s="46" t="s">
        <v>9580</v>
      </c>
      <c r="F13488" s="46" t="s">
        <v>4913</v>
      </c>
      <c r="G13488" s="46">
        <v>1.0548581777679E13</v>
      </c>
      <c r="H13488" s="46" t="s">
        <v>4914</v>
      </c>
      <c r="I13488" s="46" t="s">
        <v>4915</v>
      </c>
      <c r="J13488" s="46" t="s">
        <v>330</v>
      </c>
      <c r="K13488" s="46" t="s">
        <v>126</v>
      </c>
      <c r="L13488" s="45">
        <v>46015.041666666664</v>
      </c>
      <c r="M13488" s="46" t="s">
        <v>123</v>
      </c>
      <c r="N13488" s="45">
        <v>46015.069444444445</v>
      </c>
      <c r="O13488" s="46" t="s">
        <v>123</v>
      </c>
      <c r="P13488" s="46">
        <v>2400.0</v>
      </c>
    </row>
    <row r="13489">
      <c r="A13489" s="40">
        <f t="shared" si="1"/>
        <v>46013</v>
      </c>
      <c r="B13489" s="37" t="str">
        <f t="array" ref="B13489">iferror(xlookup($I13489, 'IMPORT VHC Report'!$E:$E, 'IMPORT VHC Report'!$A:$C), )</f>
        <v/>
      </c>
      <c r="C13489" s="44"/>
      <c r="D13489" s="44"/>
      <c r="E13489" s="46" t="s">
        <v>9581</v>
      </c>
      <c r="F13489" s="46" t="s">
        <v>4913</v>
      </c>
      <c r="G13489" s="46">
        <v>1.0548581777679E13</v>
      </c>
      <c r="H13489" s="46" t="s">
        <v>4914</v>
      </c>
      <c r="I13489" s="46" t="s">
        <v>4915</v>
      </c>
      <c r="J13489" s="46" t="s">
        <v>125</v>
      </c>
      <c r="K13489" s="46" t="s">
        <v>126</v>
      </c>
      <c r="L13489" s="45">
        <v>46015.708333333336</v>
      </c>
      <c r="M13489" s="46" t="s">
        <v>123</v>
      </c>
      <c r="N13489" s="45">
        <v>46015.71875</v>
      </c>
      <c r="O13489" s="46" t="s">
        <v>123</v>
      </c>
      <c r="P13489" s="46">
        <v>900.0</v>
      </c>
      <c r="S13489" s="46" t="s">
        <v>8706</v>
      </c>
    </row>
    <row r="13490">
      <c r="A13490" s="40">
        <f t="shared" si="1"/>
        <v>46013</v>
      </c>
      <c r="B13490" s="37" t="str">
        <f t="array" ref="B13490">iferror(xlookup($I13490, 'IMPORT VHC Report'!$E:$E, 'IMPORT VHC Report'!$A:$C), )</f>
        <v/>
      </c>
      <c r="C13490" s="44"/>
      <c r="D13490" s="44"/>
      <c r="E13490" s="46" t="s">
        <v>9582</v>
      </c>
      <c r="F13490" s="46" t="s">
        <v>4913</v>
      </c>
      <c r="G13490" s="46">
        <v>1.0548581777679E13</v>
      </c>
      <c r="H13490" s="46" t="s">
        <v>4914</v>
      </c>
      <c r="I13490" s="46" t="s">
        <v>4915</v>
      </c>
      <c r="J13490" s="46" t="s">
        <v>224</v>
      </c>
      <c r="K13490" s="46" t="s">
        <v>63</v>
      </c>
      <c r="L13490" s="45">
        <v>46015.708333333336</v>
      </c>
      <c r="M13490" s="46" t="s">
        <v>123</v>
      </c>
      <c r="N13490" s="45">
        <v>46016.083333333336</v>
      </c>
      <c r="O13490" s="46" t="s">
        <v>123</v>
      </c>
      <c r="P13490" s="46">
        <v>32400.0</v>
      </c>
    </row>
    <row r="13491">
      <c r="A13491" s="40">
        <f t="shared" si="1"/>
        <v>46013</v>
      </c>
      <c r="B13491" s="37" t="str">
        <f t="array" ref="B13491">iferror(xlookup($I13491, 'IMPORT VHC Report'!$E:$E, 'IMPORT VHC Report'!$A:$C), )</f>
        <v/>
      </c>
      <c r="C13491" s="44"/>
      <c r="D13491" s="44"/>
      <c r="E13491" s="46" t="s">
        <v>9583</v>
      </c>
      <c r="F13491" s="46" t="s">
        <v>4913</v>
      </c>
      <c r="G13491" s="46">
        <v>1.0548581777679E13</v>
      </c>
      <c r="H13491" s="46" t="s">
        <v>4914</v>
      </c>
      <c r="I13491" s="46" t="s">
        <v>4915</v>
      </c>
      <c r="J13491" s="46" t="s">
        <v>134</v>
      </c>
      <c r="K13491" s="46" t="s">
        <v>126</v>
      </c>
      <c r="L13491" s="45">
        <v>46015.791666666664</v>
      </c>
      <c r="M13491" s="46" t="s">
        <v>123</v>
      </c>
      <c r="N13491" s="45">
        <v>46015.802083333336</v>
      </c>
      <c r="O13491" s="46" t="s">
        <v>123</v>
      </c>
      <c r="P13491" s="46">
        <v>900.0</v>
      </c>
    </row>
    <row r="13492">
      <c r="A13492" s="40">
        <f t="shared" si="1"/>
        <v>46013</v>
      </c>
      <c r="B13492" s="37" t="str">
        <f t="array" ref="B13492">iferror(xlookup($I13492, 'IMPORT VHC Report'!$E:$E, 'IMPORT VHC Report'!$A:$C), )</f>
        <v/>
      </c>
      <c r="C13492" s="44"/>
      <c r="D13492" s="44"/>
      <c r="E13492" s="46" t="s">
        <v>9584</v>
      </c>
      <c r="F13492" s="46" t="s">
        <v>4913</v>
      </c>
      <c r="G13492" s="46">
        <v>1.0548581777679E13</v>
      </c>
      <c r="H13492" s="46" t="s">
        <v>4914</v>
      </c>
      <c r="I13492" s="46" t="s">
        <v>4915</v>
      </c>
      <c r="J13492" s="46" t="s">
        <v>132</v>
      </c>
      <c r="K13492" s="46" t="s">
        <v>126</v>
      </c>
      <c r="L13492" s="45">
        <v>46015.864583333336</v>
      </c>
      <c r="M13492" s="46" t="s">
        <v>123</v>
      </c>
      <c r="N13492" s="45">
        <v>46015.90625</v>
      </c>
      <c r="O13492" s="46" t="s">
        <v>123</v>
      </c>
      <c r="P13492" s="46">
        <v>3600.0</v>
      </c>
    </row>
    <row r="13493">
      <c r="A13493" s="40">
        <f t="shared" si="1"/>
        <v>46013</v>
      </c>
      <c r="B13493" s="37" t="str">
        <f t="array" ref="B13493">iferror(xlookup($I13493, 'IMPORT VHC Report'!$E:$E, 'IMPORT VHC Report'!$A:$C), )</f>
        <v/>
      </c>
      <c r="C13493" s="44"/>
      <c r="D13493" s="44"/>
      <c r="E13493" s="46" t="s">
        <v>9585</v>
      </c>
      <c r="F13493" s="46" t="s">
        <v>4913</v>
      </c>
      <c r="G13493" s="46">
        <v>1.0548581777679E13</v>
      </c>
      <c r="H13493" s="46" t="s">
        <v>4914</v>
      </c>
      <c r="I13493" s="46" t="s">
        <v>4915</v>
      </c>
      <c r="J13493" s="46" t="s">
        <v>134</v>
      </c>
      <c r="K13493" s="46" t="s">
        <v>126</v>
      </c>
      <c r="L13493" s="45">
        <v>46016.0</v>
      </c>
      <c r="M13493" s="46" t="s">
        <v>123</v>
      </c>
      <c r="N13493" s="45">
        <v>46016.010416666664</v>
      </c>
      <c r="O13493" s="46" t="s">
        <v>123</v>
      </c>
      <c r="P13493" s="46">
        <v>900.0</v>
      </c>
    </row>
    <row r="13494">
      <c r="A13494" s="40">
        <f t="shared" si="1"/>
        <v>46013</v>
      </c>
      <c r="B13494" s="37" t="str">
        <f t="array" ref="B13494">iferror(xlookup($I13494, 'IMPORT VHC Report'!$E:$E, 'IMPORT VHC Report'!$A:$C), )</f>
        <v/>
      </c>
      <c r="C13494" s="44"/>
      <c r="D13494" s="44"/>
      <c r="E13494" s="46" t="s">
        <v>9586</v>
      </c>
      <c r="F13494" s="46" t="s">
        <v>4913</v>
      </c>
      <c r="G13494" s="46">
        <v>1.0548581777679E13</v>
      </c>
      <c r="H13494" s="46" t="s">
        <v>4914</v>
      </c>
      <c r="I13494" s="46" t="s">
        <v>4915</v>
      </c>
      <c r="J13494" s="46" t="s">
        <v>125</v>
      </c>
      <c r="K13494" s="46" t="s">
        <v>126</v>
      </c>
      <c r="L13494" s="45">
        <v>46016.708333333336</v>
      </c>
      <c r="M13494" s="46" t="s">
        <v>123</v>
      </c>
      <c r="N13494" s="45">
        <v>46016.71875</v>
      </c>
      <c r="O13494" s="46" t="s">
        <v>123</v>
      </c>
      <c r="P13494" s="46">
        <v>900.0</v>
      </c>
      <c r="S13494" s="46" t="s">
        <v>9587</v>
      </c>
    </row>
    <row r="13495">
      <c r="A13495" s="40">
        <f t="shared" si="1"/>
        <v>46013</v>
      </c>
      <c r="B13495" s="37" t="str">
        <f t="array" ref="B13495">iferror(xlookup($I13495, 'IMPORT VHC Report'!$E:$E, 'IMPORT VHC Report'!$A:$C), )</f>
        <v/>
      </c>
      <c r="C13495" s="44"/>
      <c r="D13495" s="44"/>
      <c r="E13495" s="46" t="s">
        <v>9588</v>
      </c>
      <c r="F13495" s="46" t="s">
        <v>4913</v>
      </c>
      <c r="G13495" s="46">
        <v>1.0548581777679E13</v>
      </c>
      <c r="H13495" s="46" t="s">
        <v>4914</v>
      </c>
      <c r="I13495" s="46" t="s">
        <v>4915</v>
      </c>
      <c r="J13495" s="46" t="s">
        <v>224</v>
      </c>
      <c r="K13495" s="46" t="s">
        <v>63</v>
      </c>
      <c r="L13495" s="45">
        <v>46016.708333333336</v>
      </c>
      <c r="M13495" s="46" t="s">
        <v>123</v>
      </c>
      <c r="N13495" s="45">
        <v>46016.927083333336</v>
      </c>
      <c r="O13495" s="46" t="s">
        <v>123</v>
      </c>
      <c r="P13495" s="46">
        <v>18900.0</v>
      </c>
    </row>
    <row r="13496">
      <c r="A13496" s="40">
        <f t="shared" si="1"/>
        <v>46013</v>
      </c>
      <c r="B13496" s="37" t="str">
        <f t="array" ref="B13496">iferror(xlookup($I13496, 'IMPORT VHC Report'!$E:$E, 'IMPORT VHC Report'!$A:$C), )</f>
        <v/>
      </c>
      <c r="C13496" s="44"/>
      <c r="D13496" s="44"/>
      <c r="E13496" s="46" t="s">
        <v>9589</v>
      </c>
      <c r="F13496" s="46" t="s">
        <v>4913</v>
      </c>
      <c r="G13496" s="46">
        <v>1.0548581777679E13</v>
      </c>
      <c r="H13496" s="46" t="s">
        <v>4914</v>
      </c>
      <c r="I13496" s="46" t="s">
        <v>4915</v>
      </c>
      <c r="J13496" s="46" t="s">
        <v>134</v>
      </c>
      <c r="K13496" s="46" t="s">
        <v>126</v>
      </c>
      <c r="L13496" s="45">
        <v>46016.802083333336</v>
      </c>
      <c r="M13496" s="46" t="s">
        <v>123</v>
      </c>
      <c r="N13496" s="45">
        <v>46016.8125</v>
      </c>
      <c r="O13496" s="46" t="s">
        <v>123</v>
      </c>
      <c r="P13496" s="46">
        <v>900.0</v>
      </c>
    </row>
    <row r="13497">
      <c r="A13497" s="40">
        <f t="shared" si="1"/>
        <v>46013</v>
      </c>
      <c r="B13497" s="37" t="str">
        <f t="array" ref="B13497">iferror(xlookup($I13497, 'IMPORT VHC Report'!$E:$E, 'IMPORT VHC Report'!$A:$C), )</f>
        <v/>
      </c>
      <c r="C13497" s="44"/>
      <c r="D13497" s="44"/>
      <c r="E13497" s="46" t="s">
        <v>9590</v>
      </c>
      <c r="F13497" s="46" t="s">
        <v>4913</v>
      </c>
      <c r="G13497" s="46">
        <v>1.0548581777679E13</v>
      </c>
      <c r="H13497" s="46" t="s">
        <v>4914</v>
      </c>
      <c r="I13497" s="46" t="s">
        <v>4915</v>
      </c>
      <c r="J13497" s="46" t="s">
        <v>125</v>
      </c>
      <c r="K13497" s="46" t="s">
        <v>126</v>
      </c>
      <c r="L13497" s="45">
        <v>46016.8125</v>
      </c>
      <c r="M13497" s="46" t="s">
        <v>123</v>
      </c>
      <c r="N13497" s="45">
        <v>46016.854166666664</v>
      </c>
      <c r="O13497" s="46" t="s">
        <v>123</v>
      </c>
      <c r="P13497" s="46">
        <v>3600.0</v>
      </c>
      <c r="S13497" s="46" t="s">
        <v>9591</v>
      </c>
    </row>
    <row r="13498">
      <c r="A13498" s="40">
        <f t="shared" si="1"/>
        <v>46013</v>
      </c>
      <c r="B13498" s="37" t="str">
        <f t="array" ref="B13498">iferror(xlookup($I13498, 'IMPORT VHC Report'!$E:$E, 'IMPORT VHC Report'!$A:$C), )</f>
        <v/>
      </c>
      <c r="C13498" s="44"/>
      <c r="D13498" s="44"/>
      <c r="E13498" s="46" t="s">
        <v>9592</v>
      </c>
      <c r="F13498" s="46" t="s">
        <v>4913</v>
      </c>
      <c r="G13498" s="46">
        <v>1.0548581777679E13</v>
      </c>
      <c r="H13498" s="46" t="s">
        <v>4914</v>
      </c>
      <c r="I13498" s="46" t="s">
        <v>4915</v>
      </c>
      <c r="J13498" s="46" t="s">
        <v>125</v>
      </c>
      <c r="K13498" s="46" t="s">
        <v>126</v>
      </c>
      <c r="L13498" s="45">
        <v>46016.8125</v>
      </c>
      <c r="M13498" s="46" t="s">
        <v>123</v>
      </c>
      <c r="N13498" s="45">
        <v>46016.854166666664</v>
      </c>
      <c r="O13498" s="46" t="s">
        <v>123</v>
      </c>
      <c r="P13498" s="46">
        <v>3600.0</v>
      </c>
      <c r="S13498" s="46" t="s">
        <v>9593</v>
      </c>
    </row>
    <row r="13499">
      <c r="A13499" s="40">
        <f t="shared" si="1"/>
        <v>46013</v>
      </c>
      <c r="B13499" s="37" t="str">
        <f t="array" ref="B13499">iferror(xlookup($I13499, 'IMPORT VHC Report'!$E:$E, 'IMPORT VHC Report'!$A:$C), )</f>
        <v/>
      </c>
      <c r="C13499" s="44"/>
      <c r="D13499" s="44"/>
      <c r="E13499" s="46" t="s">
        <v>9594</v>
      </c>
      <c r="F13499" s="46" t="s">
        <v>4913</v>
      </c>
      <c r="G13499" s="46">
        <v>1.0548581777679E13</v>
      </c>
      <c r="H13499" s="46" t="s">
        <v>4914</v>
      </c>
      <c r="I13499" s="46" t="s">
        <v>4915</v>
      </c>
      <c r="J13499" s="46" t="s">
        <v>132</v>
      </c>
      <c r="K13499" s="46" t="s">
        <v>126</v>
      </c>
      <c r="L13499" s="45">
        <v>46016.885416666664</v>
      </c>
      <c r="M13499" s="46" t="s">
        <v>123</v>
      </c>
      <c r="N13499" s="45">
        <v>46016.927083333336</v>
      </c>
      <c r="O13499" s="46" t="s">
        <v>123</v>
      </c>
      <c r="P13499" s="46">
        <v>3600.0</v>
      </c>
    </row>
    <row r="13500">
      <c r="A13500" s="40">
        <f t="shared" si="1"/>
        <v>46013</v>
      </c>
      <c r="B13500" s="37" t="str">
        <f t="array" ref="B13500">iferror(xlookup($I13500, 'IMPORT VHC Report'!$E:$E, 'IMPORT VHC Report'!$A:$C), )</f>
        <v/>
      </c>
      <c r="C13500" s="44"/>
      <c r="D13500" s="44"/>
      <c r="E13500" s="46" t="s">
        <v>9595</v>
      </c>
      <c r="F13500" s="46" t="s">
        <v>4913</v>
      </c>
      <c r="G13500" s="46">
        <v>1.0548581777679E13</v>
      </c>
      <c r="H13500" s="46" t="s">
        <v>4914</v>
      </c>
      <c r="I13500" s="46" t="s">
        <v>4915</v>
      </c>
      <c r="J13500" s="46" t="s">
        <v>62</v>
      </c>
      <c r="K13500" s="46" t="s">
        <v>63</v>
      </c>
      <c r="L13500" s="45">
        <v>46016.927083333336</v>
      </c>
      <c r="M13500" s="46" t="s">
        <v>123</v>
      </c>
      <c r="N13500" s="45">
        <v>46016.947916666664</v>
      </c>
      <c r="O13500" s="46" t="s">
        <v>123</v>
      </c>
      <c r="P13500" s="46">
        <v>1800.0</v>
      </c>
    </row>
    <row r="13501">
      <c r="A13501" s="40">
        <f t="shared" si="1"/>
        <v>46013</v>
      </c>
      <c r="B13501" s="37" t="str">
        <f t="array" ref="B13501">iferror(xlookup($I13501, 'IMPORT VHC Report'!$E:$E, 'IMPORT VHC Report'!$A:$C), )</f>
        <v/>
      </c>
      <c r="C13501" s="44"/>
      <c r="D13501" s="44"/>
      <c r="E13501" s="46" t="s">
        <v>9596</v>
      </c>
      <c r="F13501" s="46" t="s">
        <v>4913</v>
      </c>
      <c r="G13501" s="46">
        <v>1.0548581777679E13</v>
      </c>
      <c r="H13501" s="46" t="s">
        <v>4914</v>
      </c>
      <c r="I13501" s="46" t="s">
        <v>4915</v>
      </c>
      <c r="J13501" s="46" t="s">
        <v>4</v>
      </c>
      <c r="K13501" s="46" t="s">
        <v>126</v>
      </c>
      <c r="L13501" s="45">
        <v>46016.9375</v>
      </c>
      <c r="M13501" s="46" t="s">
        <v>123</v>
      </c>
      <c r="N13501" s="45">
        <v>46016.947916666664</v>
      </c>
      <c r="O13501" s="46" t="s">
        <v>123</v>
      </c>
      <c r="P13501" s="46">
        <v>900.0</v>
      </c>
      <c r="S13501" s="46" t="s">
        <v>8726</v>
      </c>
    </row>
    <row r="13502">
      <c r="A13502" s="40">
        <f t="shared" si="1"/>
        <v>46013</v>
      </c>
      <c r="B13502" s="37" t="str">
        <f t="array" ref="B13502">iferror(xlookup($I13502, 'IMPORT VHC Report'!$E:$E, 'IMPORT VHC Report'!$A:$C), )</f>
        <v/>
      </c>
      <c r="C13502" s="44"/>
      <c r="D13502" s="44"/>
      <c r="E13502" s="46" t="s">
        <v>9597</v>
      </c>
      <c r="F13502" s="46" t="s">
        <v>4913</v>
      </c>
      <c r="G13502" s="46">
        <v>1.0548581777679E13</v>
      </c>
      <c r="H13502" s="46" t="s">
        <v>4914</v>
      </c>
      <c r="I13502" s="46" t="s">
        <v>4915</v>
      </c>
      <c r="J13502" s="46" t="s">
        <v>125</v>
      </c>
      <c r="K13502" s="46" t="s">
        <v>126</v>
      </c>
      <c r="L13502" s="45">
        <v>46016.947916666664</v>
      </c>
      <c r="M13502" s="46" t="s">
        <v>123</v>
      </c>
      <c r="N13502" s="45">
        <v>46016.989583333336</v>
      </c>
      <c r="O13502" s="46" t="s">
        <v>123</v>
      </c>
      <c r="P13502" s="46">
        <v>3600.0</v>
      </c>
      <c r="S13502" s="46" t="s">
        <v>8728</v>
      </c>
    </row>
    <row r="13503">
      <c r="A13503" s="40">
        <f t="shared" si="1"/>
        <v>46013</v>
      </c>
      <c r="B13503" s="37" t="str">
        <f t="array" ref="B13503">iferror(xlookup($I13503, 'IMPORT VHC Report'!$E:$E, 'IMPORT VHC Report'!$A:$C), )</f>
        <v/>
      </c>
      <c r="C13503" s="44"/>
      <c r="D13503" s="44"/>
      <c r="E13503" s="46" t="s">
        <v>9598</v>
      </c>
      <c r="F13503" s="46" t="s">
        <v>4913</v>
      </c>
      <c r="G13503" s="46">
        <v>1.0548581777679E13</v>
      </c>
      <c r="H13503" s="46" t="s">
        <v>4914</v>
      </c>
      <c r="I13503" s="46" t="s">
        <v>4915</v>
      </c>
      <c r="J13503" s="46" t="s">
        <v>224</v>
      </c>
      <c r="K13503" s="46" t="s">
        <v>63</v>
      </c>
      <c r="L13503" s="45">
        <v>46016.947916666664</v>
      </c>
      <c r="M13503" s="46" t="s">
        <v>123</v>
      </c>
      <c r="N13503" s="45">
        <v>46017.083333333336</v>
      </c>
      <c r="O13503" s="46" t="s">
        <v>123</v>
      </c>
      <c r="P13503" s="46">
        <v>11700.0</v>
      </c>
    </row>
    <row r="13504">
      <c r="A13504" s="40">
        <f t="shared" si="1"/>
        <v>46013</v>
      </c>
      <c r="B13504" s="37" t="str">
        <f t="array" ref="B13504">iferror(xlookup($I13504, 'IMPORT VHC Report'!$E:$E, 'IMPORT VHC Report'!$A:$C), )</f>
        <v/>
      </c>
      <c r="C13504" s="44"/>
      <c r="D13504" s="44"/>
      <c r="E13504" s="46" t="s">
        <v>9599</v>
      </c>
      <c r="F13504" s="46" t="s">
        <v>4913</v>
      </c>
      <c r="G13504" s="46">
        <v>1.0548581777679E13</v>
      </c>
      <c r="H13504" s="46" t="s">
        <v>4914</v>
      </c>
      <c r="I13504" s="46" t="s">
        <v>4915</v>
      </c>
      <c r="J13504" s="46" t="s">
        <v>134</v>
      </c>
      <c r="K13504" s="46" t="s">
        <v>126</v>
      </c>
      <c r="L13504" s="45">
        <v>46016.989583333336</v>
      </c>
      <c r="M13504" s="46" t="s">
        <v>123</v>
      </c>
      <c r="N13504" s="45">
        <v>46017.0</v>
      </c>
      <c r="O13504" s="46" t="s">
        <v>123</v>
      </c>
      <c r="P13504" s="46">
        <v>900.0</v>
      </c>
    </row>
    <row r="13505">
      <c r="A13505" s="40">
        <f t="shared" si="1"/>
        <v>46013</v>
      </c>
      <c r="B13505" s="37" t="str">
        <f t="array" ref="B13505">iferror(xlookup($I13505, 'IMPORT VHC Report'!$E:$E, 'IMPORT VHC Report'!$A:$C), )</f>
        <v/>
      </c>
      <c r="C13505" s="44"/>
      <c r="D13505" s="44"/>
      <c r="E13505" s="46" t="s">
        <v>9600</v>
      </c>
      <c r="F13505" s="46" t="s">
        <v>4913</v>
      </c>
      <c r="G13505" s="46">
        <v>1.0548581777679E13</v>
      </c>
      <c r="H13505" s="46" t="s">
        <v>4914</v>
      </c>
      <c r="I13505" s="46" t="s">
        <v>4915</v>
      </c>
      <c r="J13505" s="46" t="s">
        <v>125</v>
      </c>
      <c r="K13505" s="46" t="s">
        <v>126</v>
      </c>
      <c r="L13505" s="45">
        <v>46017.708333333336</v>
      </c>
      <c r="M13505" s="46" t="s">
        <v>123</v>
      </c>
      <c r="N13505" s="45">
        <v>46017.71875</v>
      </c>
      <c r="O13505" s="46" t="s">
        <v>123</v>
      </c>
      <c r="P13505" s="46">
        <v>900.0</v>
      </c>
      <c r="S13505" s="46" t="s">
        <v>9587</v>
      </c>
    </row>
    <row r="13506">
      <c r="A13506" s="40">
        <f t="shared" si="1"/>
        <v>46013</v>
      </c>
      <c r="B13506" s="37" t="str">
        <f t="array" ref="B13506">iferror(xlookup($I13506, 'IMPORT VHC Report'!$E:$E, 'IMPORT VHC Report'!$A:$C), )</f>
        <v/>
      </c>
      <c r="C13506" s="44"/>
      <c r="D13506" s="44"/>
      <c r="E13506" s="46" t="s">
        <v>9601</v>
      </c>
      <c r="F13506" s="46" t="s">
        <v>4913</v>
      </c>
      <c r="G13506" s="46">
        <v>1.0548581777679E13</v>
      </c>
      <c r="H13506" s="46" t="s">
        <v>4914</v>
      </c>
      <c r="I13506" s="46" t="s">
        <v>4915</v>
      </c>
      <c r="J13506" s="46" t="s">
        <v>224</v>
      </c>
      <c r="K13506" s="46" t="s">
        <v>63</v>
      </c>
      <c r="L13506" s="45">
        <v>46017.708333333336</v>
      </c>
      <c r="M13506" s="46" t="s">
        <v>123</v>
      </c>
      <c r="N13506" s="45">
        <v>46018.0</v>
      </c>
      <c r="O13506" s="46" t="s">
        <v>123</v>
      </c>
      <c r="P13506" s="46">
        <v>25200.0</v>
      </c>
    </row>
    <row r="13507">
      <c r="A13507" s="40">
        <f t="shared" si="1"/>
        <v>46013</v>
      </c>
      <c r="B13507" s="37" t="str">
        <f t="array" ref="B13507">iferror(xlookup($I13507, 'IMPORT VHC Report'!$E:$E, 'IMPORT VHC Report'!$A:$C), )</f>
        <v/>
      </c>
      <c r="C13507" s="44"/>
      <c r="D13507" s="44"/>
      <c r="E13507" s="46" t="s">
        <v>9602</v>
      </c>
      <c r="F13507" s="46" t="s">
        <v>4913</v>
      </c>
      <c r="G13507" s="46">
        <v>1.0548581777679E13</v>
      </c>
      <c r="H13507" s="46" t="s">
        <v>4914</v>
      </c>
      <c r="I13507" s="46" t="s">
        <v>4915</v>
      </c>
      <c r="J13507" s="46" t="s">
        <v>134</v>
      </c>
      <c r="K13507" s="46" t="s">
        <v>126</v>
      </c>
      <c r="L13507" s="45">
        <v>46017.802083333336</v>
      </c>
      <c r="M13507" s="46" t="s">
        <v>123</v>
      </c>
      <c r="N13507" s="45">
        <v>46017.8125</v>
      </c>
      <c r="O13507" s="46" t="s">
        <v>123</v>
      </c>
      <c r="P13507" s="46">
        <v>900.0</v>
      </c>
    </row>
    <row r="13508">
      <c r="A13508" s="40">
        <f t="shared" si="1"/>
        <v>46013</v>
      </c>
      <c r="B13508" s="37" t="str">
        <f t="array" ref="B13508">iferror(xlookup($I13508, 'IMPORT VHC Report'!$E:$E, 'IMPORT VHC Report'!$A:$C), )</f>
        <v/>
      </c>
      <c r="C13508" s="44"/>
      <c r="D13508" s="44"/>
      <c r="E13508" s="46" t="s">
        <v>9603</v>
      </c>
      <c r="F13508" s="46" t="s">
        <v>4913</v>
      </c>
      <c r="G13508" s="46">
        <v>1.0548581777679E13</v>
      </c>
      <c r="H13508" s="46" t="s">
        <v>4914</v>
      </c>
      <c r="I13508" s="46" t="s">
        <v>4915</v>
      </c>
      <c r="J13508" s="46" t="s">
        <v>132</v>
      </c>
      <c r="K13508" s="46" t="s">
        <v>126</v>
      </c>
      <c r="L13508" s="45">
        <v>46017.895833333336</v>
      </c>
      <c r="M13508" s="46" t="s">
        <v>123</v>
      </c>
      <c r="N13508" s="45">
        <v>46017.9375</v>
      </c>
      <c r="O13508" s="46" t="s">
        <v>123</v>
      </c>
      <c r="P13508" s="46">
        <v>3600.0</v>
      </c>
    </row>
    <row r="13509">
      <c r="A13509" s="40">
        <f t="shared" si="1"/>
        <v>46013</v>
      </c>
      <c r="B13509" s="37" t="str">
        <f t="array" ref="B13509">iferror(xlookup($I13509, 'IMPORT VHC Report'!$E:$E, 'IMPORT VHC Report'!$A:$C), )</f>
        <v/>
      </c>
      <c r="C13509" s="44"/>
      <c r="D13509" s="44"/>
      <c r="E13509" s="46" t="s">
        <v>9604</v>
      </c>
      <c r="F13509" s="46" t="s">
        <v>4913</v>
      </c>
      <c r="G13509" s="46">
        <v>1.0548581777679E13</v>
      </c>
      <c r="H13509" s="46" t="s">
        <v>4914</v>
      </c>
      <c r="I13509" s="46" t="s">
        <v>4915</v>
      </c>
      <c r="J13509" s="46" t="s">
        <v>224</v>
      </c>
      <c r="K13509" s="46" t="s">
        <v>63</v>
      </c>
      <c r="L13509" s="45">
        <v>46018.0</v>
      </c>
      <c r="M13509" s="46" t="s">
        <v>123</v>
      </c>
      <c r="N13509" s="45">
        <v>46018.010416666664</v>
      </c>
      <c r="O13509" s="46" t="s">
        <v>123</v>
      </c>
      <c r="P13509" s="46">
        <v>900.0</v>
      </c>
    </row>
    <row r="13510">
      <c r="A13510" s="40">
        <f t="shared" si="1"/>
        <v>46013</v>
      </c>
      <c r="B13510" s="37" t="str">
        <f t="array" ref="B13510">iferror(xlookup($I13510, 'IMPORT VHC Report'!$E:$E, 'IMPORT VHC Report'!$A:$C), )</f>
        <v/>
      </c>
      <c r="C13510" s="44"/>
      <c r="D13510" s="44"/>
      <c r="E13510" s="46" t="s">
        <v>9605</v>
      </c>
      <c r="F13510" s="46" t="s">
        <v>4913</v>
      </c>
      <c r="G13510" s="46">
        <v>1.0548581777679E13</v>
      </c>
      <c r="H13510" s="46" t="s">
        <v>4914</v>
      </c>
      <c r="I13510" s="46" t="s">
        <v>4915</v>
      </c>
      <c r="J13510" s="46" t="s">
        <v>136</v>
      </c>
      <c r="K13510" s="46" t="s">
        <v>126</v>
      </c>
      <c r="L13510" s="45">
        <v>46018.0</v>
      </c>
      <c r="M13510" s="46" t="s">
        <v>123</v>
      </c>
      <c r="N13510" s="45">
        <v>46018.0625</v>
      </c>
      <c r="O13510" s="46" t="s">
        <v>123</v>
      </c>
      <c r="P13510" s="46">
        <v>5400.0</v>
      </c>
      <c r="S13510" s="46" t="s">
        <v>8734</v>
      </c>
    </row>
    <row r="13511">
      <c r="A13511" s="40">
        <f t="shared" si="1"/>
        <v>46013</v>
      </c>
      <c r="B13511" s="37" t="str">
        <f t="array" ref="B13511">iferror(xlookup($I13511, 'IMPORT VHC Report'!$E:$E, 'IMPORT VHC Report'!$A:$C), )</f>
        <v/>
      </c>
      <c r="C13511" s="44"/>
      <c r="D13511" s="44"/>
      <c r="E13511" s="46" t="s">
        <v>9606</v>
      </c>
      <c r="F13511" s="46" t="s">
        <v>4913</v>
      </c>
      <c r="G13511" s="46">
        <v>1.0548581777679E13</v>
      </c>
      <c r="H13511" s="46" t="s">
        <v>4914</v>
      </c>
      <c r="I13511" s="46" t="s">
        <v>4915</v>
      </c>
      <c r="J13511" s="46" t="s">
        <v>224</v>
      </c>
      <c r="K13511" s="46" t="s">
        <v>63</v>
      </c>
      <c r="L13511" s="45">
        <v>46018.010416666664</v>
      </c>
      <c r="M13511" s="46" t="s">
        <v>123</v>
      </c>
      <c r="N13511" s="45">
        <v>46018.083333333336</v>
      </c>
      <c r="O13511" s="46" t="s">
        <v>123</v>
      </c>
      <c r="P13511" s="46">
        <v>6300.0</v>
      </c>
    </row>
    <row r="13512">
      <c r="A13512" s="40">
        <f t="shared" si="1"/>
        <v>46013</v>
      </c>
      <c r="B13512" s="37" t="str">
        <f t="array" ref="B13512">iferror(xlookup($I13512, 'IMPORT VHC Report'!$E:$E, 'IMPORT VHC Report'!$A:$C), )</f>
        <v/>
      </c>
      <c r="C13512" s="44"/>
      <c r="D13512" s="44"/>
      <c r="E13512" s="46" t="s">
        <v>9607</v>
      </c>
      <c r="F13512" s="46" t="s">
        <v>4913</v>
      </c>
      <c r="G13512" s="46">
        <v>1.0548581777679E13</v>
      </c>
      <c r="H13512" s="46" t="s">
        <v>4914</v>
      </c>
      <c r="I13512" s="46" t="s">
        <v>4915</v>
      </c>
      <c r="J13512" s="46" t="s">
        <v>134</v>
      </c>
      <c r="K13512" s="46" t="s">
        <v>126</v>
      </c>
      <c r="L13512" s="45">
        <v>46018.072916666664</v>
      </c>
      <c r="M13512" s="46" t="s">
        <v>123</v>
      </c>
      <c r="N13512" s="45">
        <v>46018.083333333336</v>
      </c>
      <c r="O13512" s="46" t="s">
        <v>123</v>
      </c>
      <c r="P13512" s="46">
        <v>900.0</v>
      </c>
    </row>
    <row r="13513">
      <c r="A13513" s="40">
        <f t="shared" si="1"/>
        <v>46013</v>
      </c>
      <c r="B13513" s="37" t="str">
        <f t="array" ref="B13513">iferror(xlookup($I13513, 'IMPORT VHC Report'!$E:$E, 'IMPORT VHC Report'!$A:$C), )</f>
        <v/>
      </c>
      <c r="C13513" s="44"/>
      <c r="D13513" s="44"/>
      <c r="E13513" s="46" t="s">
        <v>9608</v>
      </c>
      <c r="F13513" s="46" t="s">
        <v>4956</v>
      </c>
      <c r="G13513" s="46">
        <v>1.0333034131599E13</v>
      </c>
      <c r="H13513" s="46" t="s">
        <v>4957</v>
      </c>
      <c r="I13513" s="46" t="s">
        <v>4958</v>
      </c>
      <c r="J13513" s="46" t="s">
        <v>224</v>
      </c>
      <c r="K13513" s="46" t="s">
        <v>63</v>
      </c>
      <c r="L13513" s="45">
        <v>46013.708333333336</v>
      </c>
      <c r="M13513" s="46" t="s">
        <v>123</v>
      </c>
      <c r="N13513" s="45">
        <v>46014.010416666664</v>
      </c>
      <c r="O13513" s="46" t="s">
        <v>123</v>
      </c>
      <c r="P13513" s="46">
        <v>26100.0</v>
      </c>
    </row>
    <row r="13514">
      <c r="A13514" s="40">
        <f t="shared" si="1"/>
        <v>46013</v>
      </c>
      <c r="B13514" s="37" t="str">
        <f t="array" ref="B13514">iferror(xlookup($I13514, 'IMPORT VHC Report'!$E:$E, 'IMPORT VHC Report'!$A:$C), )</f>
        <v/>
      </c>
      <c r="C13514" s="44"/>
      <c r="D13514" s="44"/>
      <c r="E13514" s="46" t="s">
        <v>9609</v>
      </c>
      <c r="F13514" s="46" t="s">
        <v>4956</v>
      </c>
      <c r="G13514" s="46">
        <v>1.0333034131599E13</v>
      </c>
      <c r="H13514" s="46" t="s">
        <v>4957</v>
      </c>
      <c r="I13514" s="46" t="s">
        <v>4958</v>
      </c>
      <c r="J13514" s="46" t="s">
        <v>134</v>
      </c>
      <c r="K13514" s="46" t="s">
        <v>126</v>
      </c>
      <c r="L13514" s="45">
        <v>46013.78125</v>
      </c>
      <c r="M13514" s="46" t="s">
        <v>123</v>
      </c>
      <c r="N13514" s="45">
        <v>46013.791666666664</v>
      </c>
      <c r="O13514" s="46" t="s">
        <v>123</v>
      </c>
      <c r="P13514" s="46">
        <v>900.0</v>
      </c>
    </row>
    <row r="13515">
      <c r="A13515" s="40">
        <f t="shared" si="1"/>
        <v>46013</v>
      </c>
      <c r="B13515" s="37" t="str">
        <f t="array" ref="B13515">iferror(xlookup($I13515, 'IMPORT VHC Report'!$E:$E, 'IMPORT VHC Report'!$A:$C), )</f>
        <v/>
      </c>
      <c r="C13515" s="44"/>
      <c r="D13515" s="44"/>
      <c r="E13515" s="46" t="s">
        <v>9610</v>
      </c>
      <c r="F13515" s="46" t="s">
        <v>4956</v>
      </c>
      <c r="G13515" s="46">
        <v>1.0333034131599E13</v>
      </c>
      <c r="H13515" s="46" t="s">
        <v>4957</v>
      </c>
      <c r="I13515" s="46" t="s">
        <v>4958</v>
      </c>
      <c r="J13515" s="46" t="s">
        <v>132</v>
      </c>
      <c r="K13515" s="46" t="s">
        <v>126</v>
      </c>
      <c r="L13515" s="45">
        <v>46013.895833333336</v>
      </c>
      <c r="M13515" s="46" t="s">
        <v>123</v>
      </c>
      <c r="N13515" s="45">
        <v>46013.9375</v>
      </c>
      <c r="O13515" s="46" t="s">
        <v>123</v>
      </c>
      <c r="P13515" s="46">
        <v>3600.0</v>
      </c>
    </row>
    <row r="13516">
      <c r="A13516" s="40">
        <f t="shared" si="1"/>
        <v>46013</v>
      </c>
      <c r="B13516" s="37" t="str">
        <f t="array" ref="B13516">iferror(xlookup($I13516, 'IMPORT VHC Report'!$E:$E, 'IMPORT VHC Report'!$A:$C), )</f>
        <v/>
      </c>
      <c r="C13516" s="44"/>
      <c r="D13516" s="44"/>
      <c r="E13516" s="46" t="s">
        <v>9611</v>
      </c>
      <c r="F13516" s="46" t="s">
        <v>4956</v>
      </c>
      <c r="G13516" s="46">
        <v>1.0333034131599E13</v>
      </c>
      <c r="H13516" s="46" t="s">
        <v>4957</v>
      </c>
      <c r="I13516" s="46" t="s">
        <v>4958</v>
      </c>
      <c r="J13516" s="46" t="s">
        <v>134</v>
      </c>
      <c r="K13516" s="46" t="s">
        <v>126</v>
      </c>
      <c r="L13516" s="45">
        <v>46014.010416666664</v>
      </c>
      <c r="M13516" s="46" t="s">
        <v>123</v>
      </c>
      <c r="N13516" s="45">
        <v>46014.020833333336</v>
      </c>
      <c r="O13516" s="46" t="s">
        <v>123</v>
      </c>
      <c r="P13516" s="46">
        <v>900.0</v>
      </c>
    </row>
    <row r="13517">
      <c r="A13517" s="40">
        <f t="shared" si="1"/>
        <v>46013</v>
      </c>
      <c r="B13517" s="37" t="str">
        <f t="array" ref="B13517">iferror(xlookup($I13517, 'IMPORT VHC Report'!$E:$E, 'IMPORT VHC Report'!$A:$C), )</f>
        <v/>
      </c>
      <c r="C13517" s="44"/>
      <c r="D13517" s="44"/>
      <c r="E13517" s="46" t="s">
        <v>9612</v>
      </c>
      <c r="F13517" s="46" t="s">
        <v>4956</v>
      </c>
      <c r="G13517" s="46">
        <v>1.0333034131599E13</v>
      </c>
      <c r="H13517" s="46" t="s">
        <v>4957</v>
      </c>
      <c r="I13517" s="46" t="s">
        <v>4958</v>
      </c>
      <c r="J13517" s="46" t="s">
        <v>224</v>
      </c>
      <c r="K13517" s="46" t="s">
        <v>63</v>
      </c>
      <c r="L13517" s="45">
        <v>46014.020833333336</v>
      </c>
      <c r="M13517" s="46" t="s">
        <v>123</v>
      </c>
      <c r="N13517" s="45">
        <v>46014.083333333336</v>
      </c>
      <c r="O13517" s="46" t="s">
        <v>123</v>
      </c>
      <c r="P13517" s="46">
        <v>5400.0</v>
      </c>
    </row>
    <row r="13518">
      <c r="A13518" s="40">
        <f t="shared" si="1"/>
        <v>46013</v>
      </c>
      <c r="B13518" s="37" t="str">
        <f t="array" ref="B13518">iferror(xlookup($I13518, 'IMPORT VHC Report'!$E:$E, 'IMPORT VHC Report'!$A:$C), )</f>
        <v/>
      </c>
      <c r="C13518" s="44"/>
      <c r="D13518" s="44"/>
      <c r="E13518" s="46" t="s">
        <v>9613</v>
      </c>
      <c r="F13518" s="46" t="s">
        <v>4956</v>
      </c>
      <c r="G13518" s="46">
        <v>1.0333034131599E13</v>
      </c>
      <c r="H13518" s="46" t="s">
        <v>4957</v>
      </c>
      <c r="I13518" s="46" t="s">
        <v>4958</v>
      </c>
      <c r="J13518" s="46" t="s">
        <v>152</v>
      </c>
      <c r="K13518" s="46" t="s">
        <v>153</v>
      </c>
      <c r="L13518" s="45">
        <v>46014.708333333336</v>
      </c>
      <c r="M13518" s="46" t="s">
        <v>123</v>
      </c>
      <c r="N13518" s="45">
        <v>46015.041666666664</v>
      </c>
      <c r="O13518" s="46" t="s">
        <v>123</v>
      </c>
      <c r="P13518" s="46">
        <v>28800.0</v>
      </c>
      <c r="Q13518" s="46">
        <v>28800.0</v>
      </c>
    </row>
    <row r="13519">
      <c r="A13519" s="40">
        <f t="shared" si="1"/>
        <v>46013</v>
      </c>
      <c r="B13519" s="37" t="str">
        <f t="array" ref="B13519">iferror(xlookup($I13519, 'IMPORT VHC Report'!$E:$E, 'IMPORT VHC Report'!$A:$C), )</f>
        <v/>
      </c>
      <c r="C13519" s="44"/>
      <c r="D13519" s="44"/>
      <c r="E13519" s="46" t="s">
        <v>9614</v>
      </c>
      <c r="F13519" s="46" t="s">
        <v>4956</v>
      </c>
      <c r="G13519" s="46">
        <v>1.0333034131599E13</v>
      </c>
      <c r="H13519" s="46" t="s">
        <v>4957</v>
      </c>
      <c r="I13519" s="46" t="s">
        <v>4958</v>
      </c>
      <c r="J13519" s="46" t="s">
        <v>134</v>
      </c>
      <c r="K13519" s="46" t="s">
        <v>126</v>
      </c>
      <c r="L13519" s="45">
        <v>46014.791666666664</v>
      </c>
      <c r="M13519" s="46" t="s">
        <v>123</v>
      </c>
      <c r="N13519" s="45">
        <v>46014.802083333336</v>
      </c>
      <c r="O13519" s="46" t="s">
        <v>123</v>
      </c>
      <c r="P13519" s="46">
        <v>900.0</v>
      </c>
    </row>
    <row r="13520">
      <c r="A13520" s="40">
        <f t="shared" si="1"/>
        <v>46013</v>
      </c>
      <c r="B13520" s="37" t="str">
        <f t="array" ref="B13520">iferror(xlookup($I13520, 'IMPORT VHC Report'!$E:$E, 'IMPORT VHC Report'!$A:$C), )</f>
        <v/>
      </c>
      <c r="C13520" s="44"/>
      <c r="D13520" s="44"/>
      <c r="E13520" s="46" t="s">
        <v>9615</v>
      </c>
      <c r="F13520" s="46" t="s">
        <v>4956</v>
      </c>
      <c r="G13520" s="46">
        <v>1.0333034131599E13</v>
      </c>
      <c r="H13520" s="46" t="s">
        <v>4957</v>
      </c>
      <c r="I13520" s="46" t="s">
        <v>4958</v>
      </c>
      <c r="J13520" s="46" t="s">
        <v>132</v>
      </c>
      <c r="K13520" s="46" t="s">
        <v>126</v>
      </c>
      <c r="L13520" s="45">
        <v>46014.875</v>
      </c>
      <c r="M13520" s="46" t="s">
        <v>123</v>
      </c>
      <c r="N13520" s="45">
        <v>46014.916666666664</v>
      </c>
      <c r="O13520" s="46" t="s">
        <v>123</v>
      </c>
      <c r="P13520" s="46">
        <v>3600.0</v>
      </c>
    </row>
    <row r="13521">
      <c r="A13521" s="40">
        <f t="shared" si="1"/>
        <v>46013</v>
      </c>
      <c r="B13521" s="37" t="str">
        <f t="array" ref="B13521">iferror(xlookup($I13521, 'IMPORT VHC Report'!$E:$E, 'IMPORT VHC Report'!$A:$C), )</f>
        <v/>
      </c>
      <c r="C13521" s="44"/>
      <c r="D13521" s="44"/>
      <c r="E13521" s="46" t="s">
        <v>9616</v>
      </c>
      <c r="F13521" s="46" t="s">
        <v>4956</v>
      </c>
      <c r="G13521" s="46">
        <v>1.0333034131599E13</v>
      </c>
      <c r="H13521" s="46" t="s">
        <v>4957</v>
      </c>
      <c r="I13521" s="46" t="s">
        <v>4958</v>
      </c>
      <c r="J13521" s="46" t="s">
        <v>134</v>
      </c>
      <c r="K13521" s="46" t="s">
        <v>126</v>
      </c>
      <c r="L13521" s="45">
        <v>46014.979166666664</v>
      </c>
      <c r="M13521" s="46" t="s">
        <v>123</v>
      </c>
      <c r="N13521" s="45">
        <v>46014.989583333336</v>
      </c>
      <c r="O13521" s="46" t="s">
        <v>123</v>
      </c>
      <c r="P13521" s="46">
        <v>900.0</v>
      </c>
    </row>
    <row r="13522">
      <c r="A13522" s="40">
        <f t="shared" si="1"/>
        <v>46013</v>
      </c>
      <c r="B13522" s="37" t="str">
        <f t="array" ref="B13522">iferror(xlookup($I13522, 'IMPORT VHC Report'!$E:$E, 'IMPORT VHC Report'!$A:$C), )</f>
        <v/>
      </c>
      <c r="C13522" s="44"/>
      <c r="D13522" s="44"/>
      <c r="E13522" s="46" t="s">
        <v>9617</v>
      </c>
      <c r="F13522" s="46" t="s">
        <v>4956</v>
      </c>
      <c r="G13522" s="46">
        <v>1.0333034131599E13</v>
      </c>
      <c r="H13522" s="46" t="s">
        <v>4957</v>
      </c>
      <c r="I13522" s="46" t="s">
        <v>4958</v>
      </c>
      <c r="J13522" s="46" t="s">
        <v>224</v>
      </c>
      <c r="K13522" s="46" t="s">
        <v>63</v>
      </c>
      <c r="L13522" s="45">
        <v>46015.708333333336</v>
      </c>
      <c r="M13522" s="46" t="s">
        <v>123</v>
      </c>
      <c r="N13522" s="45">
        <v>46015.802083333336</v>
      </c>
      <c r="O13522" s="46" t="s">
        <v>123</v>
      </c>
      <c r="P13522" s="46">
        <v>8100.0</v>
      </c>
    </row>
    <row r="13523">
      <c r="A13523" s="40">
        <f t="shared" si="1"/>
        <v>46013</v>
      </c>
      <c r="B13523" s="37" t="str">
        <f t="array" ref="B13523">iferror(xlookup($I13523, 'IMPORT VHC Report'!$E:$E, 'IMPORT VHC Report'!$A:$C), )</f>
        <v/>
      </c>
      <c r="C13523" s="44"/>
      <c r="D13523" s="44"/>
      <c r="E13523" s="46" t="s">
        <v>9618</v>
      </c>
      <c r="F13523" s="46" t="s">
        <v>4956</v>
      </c>
      <c r="G13523" s="46">
        <v>1.0333034131599E13</v>
      </c>
      <c r="H13523" s="46" t="s">
        <v>4957</v>
      </c>
      <c r="I13523" s="46" t="s">
        <v>4958</v>
      </c>
      <c r="J13523" s="46" t="s">
        <v>134</v>
      </c>
      <c r="K13523" s="46" t="s">
        <v>126</v>
      </c>
      <c r="L13523" s="45">
        <v>46015.791666666664</v>
      </c>
      <c r="M13523" s="46" t="s">
        <v>123</v>
      </c>
      <c r="N13523" s="45">
        <v>46015.802083333336</v>
      </c>
      <c r="O13523" s="46" t="s">
        <v>123</v>
      </c>
      <c r="P13523" s="46">
        <v>900.0</v>
      </c>
    </row>
    <row r="13524">
      <c r="A13524" s="40">
        <f t="shared" si="1"/>
        <v>46013</v>
      </c>
      <c r="B13524" s="37" t="str">
        <f t="array" ref="B13524">iferror(xlookup($I13524, 'IMPORT VHC Report'!$E:$E, 'IMPORT VHC Report'!$A:$C), )</f>
        <v/>
      </c>
      <c r="C13524" s="44"/>
      <c r="D13524" s="44"/>
      <c r="E13524" s="46" t="s">
        <v>9619</v>
      </c>
      <c r="F13524" s="46" t="s">
        <v>4956</v>
      </c>
      <c r="G13524" s="46">
        <v>1.0333034131599E13</v>
      </c>
      <c r="H13524" s="46" t="s">
        <v>4957</v>
      </c>
      <c r="I13524" s="46" t="s">
        <v>4958</v>
      </c>
      <c r="J13524" s="46" t="s">
        <v>62</v>
      </c>
      <c r="K13524" s="46" t="s">
        <v>63</v>
      </c>
      <c r="L13524" s="45">
        <v>46015.802083333336</v>
      </c>
      <c r="M13524" s="46" t="s">
        <v>123</v>
      </c>
      <c r="N13524" s="45">
        <v>46015.822916666664</v>
      </c>
      <c r="O13524" s="46" t="s">
        <v>123</v>
      </c>
      <c r="P13524" s="46">
        <v>1800.0</v>
      </c>
    </row>
    <row r="13525">
      <c r="A13525" s="40">
        <f t="shared" si="1"/>
        <v>46013</v>
      </c>
      <c r="B13525" s="37" t="str">
        <f t="array" ref="B13525">iferror(xlookup($I13525, 'IMPORT VHC Report'!$E:$E, 'IMPORT VHC Report'!$A:$C), )</f>
        <v/>
      </c>
      <c r="C13525" s="44"/>
      <c r="D13525" s="44"/>
      <c r="E13525" s="46" t="s">
        <v>9620</v>
      </c>
      <c r="F13525" s="46" t="s">
        <v>4956</v>
      </c>
      <c r="G13525" s="46">
        <v>1.0333034131599E13</v>
      </c>
      <c r="H13525" s="46" t="s">
        <v>4957</v>
      </c>
      <c r="I13525" s="46" t="s">
        <v>4958</v>
      </c>
      <c r="J13525" s="46" t="s">
        <v>224</v>
      </c>
      <c r="K13525" s="46" t="s">
        <v>63</v>
      </c>
      <c r="L13525" s="45">
        <v>46015.822916666664</v>
      </c>
      <c r="M13525" s="46" t="s">
        <v>123</v>
      </c>
      <c r="N13525" s="45">
        <v>46015.989583333336</v>
      </c>
      <c r="O13525" s="46" t="s">
        <v>123</v>
      </c>
      <c r="P13525" s="46">
        <v>14400.0</v>
      </c>
    </row>
    <row r="13526">
      <c r="A13526" s="40">
        <f t="shared" si="1"/>
        <v>46013</v>
      </c>
      <c r="B13526" s="37" t="str">
        <f t="array" ref="B13526">iferror(xlookup($I13526, 'IMPORT VHC Report'!$E:$E, 'IMPORT VHC Report'!$A:$C), )</f>
        <v/>
      </c>
      <c r="C13526" s="44"/>
      <c r="D13526" s="44"/>
      <c r="E13526" s="46" t="s">
        <v>9621</v>
      </c>
      <c r="F13526" s="46" t="s">
        <v>4956</v>
      </c>
      <c r="G13526" s="46">
        <v>1.0333034131599E13</v>
      </c>
      <c r="H13526" s="46" t="s">
        <v>4957</v>
      </c>
      <c r="I13526" s="46" t="s">
        <v>4958</v>
      </c>
      <c r="J13526" s="46" t="s">
        <v>134</v>
      </c>
      <c r="K13526" s="46" t="s">
        <v>126</v>
      </c>
      <c r="L13526" s="45">
        <v>46015.989583333336</v>
      </c>
      <c r="M13526" s="46" t="s">
        <v>123</v>
      </c>
      <c r="N13526" s="45">
        <v>46016.0</v>
      </c>
      <c r="O13526" s="46" t="s">
        <v>123</v>
      </c>
      <c r="P13526" s="46">
        <v>900.0</v>
      </c>
    </row>
    <row r="13527">
      <c r="A13527" s="40">
        <f t="shared" si="1"/>
        <v>46013</v>
      </c>
      <c r="B13527" s="37" t="str">
        <f t="array" ref="B13527">iferror(xlookup($I13527, 'IMPORT VHC Report'!$E:$E, 'IMPORT VHC Report'!$A:$C), )</f>
        <v/>
      </c>
      <c r="C13527" s="44"/>
      <c r="D13527" s="44"/>
      <c r="E13527" s="46" t="s">
        <v>9622</v>
      </c>
      <c r="F13527" s="46" t="s">
        <v>4956</v>
      </c>
      <c r="G13527" s="46">
        <v>1.0333034131599E13</v>
      </c>
      <c r="H13527" s="46" t="s">
        <v>4957</v>
      </c>
      <c r="I13527" s="46" t="s">
        <v>4958</v>
      </c>
      <c r="J13527" s="46" t="s">
        <v>136</v>
      </c>
      <c r="K13527" s="46" t="s">
        <v>126</v>
      </c>
      <c r="L13527" s="45">
        <v>46016.0</v>
      </c>
      <c r="M13527" s="46" t="s">
        <v>123</v>
      </c>
      <c r="N13527" s="45">
        <v>46016.041666666664</v>
      </c>
      <c r="O13527" s="46" t="s">
        <v>123</v>
      </c>
      <c r="P13527" s="46">
        <v>3600.0</v>
      </c>
    </row>
    <row r="13528">
      <c r="A13528" s="40">
        <f t="shared" si="1"/>
        <v>46013</v>
      </c>
      <c r="B13528" s="37" t="str">
        <f t="array" ref="B13528">iferror(xlookup($I13528, 'IMPORT VHC Report'!$E:$E, 'IMPORT VHC Report'!$A:$C), )</f>
        <v/>
      </c>
      <c r="C13528" s="44"/>
      <c r="D13528" s="44"/>
      <c r="E13528" s="46" t="s">
        <v>9623</v>
      </c>
      <c r="F13528" s="46" t="s">
        <v>4956</v>
      </c>
      <c r="G13528" s="46">
        <v>1.0333034131599E13</v>
      </c>
      <c r="H13528" s="46" t="s">
        <v>4957</v>
      </c>
      <c r="I13528" s="46" t="s">
        <v>4958</v>
      </c>
      <c r="J13528" s="46" t="s">
        <v>132</v>
      </c>
      <c r="K13528" s="46" t="s">
        <v>126</v>
      </c>
      <c r="L13528" s="45">
        <v>46016.041666666664</v>
      </c>
      <c r="M13528" s="46" t="s">
        <v>123</v>
      </c>
      <c r="N13528" s="45">
        <v>46016.083333333336</v>
      </c>
      <c r="O13528" s="46" t="s">
        <v>123</v>
      </c>
      <c r="P13528" s="46">
        <v>3600.0</v>
      </c>
    </row>
    <row r="13529">
      <c r="A13529" s="40">
        <f t="shared" si="1"/>
        <v>46013</v>
      </c>
      <c r="B13529" s="37" t="str">
        <f t="array" ref="B13529">iferror(xlookup($I13529, 'IMPORT VHC Report'!$E:$E, 'IMPORT VHC Report'!$A:$C), )</f>
        <v/>
      </c>
      <c r="C13529" s="44"/>
      <c r="D13529" s="44"/>
      <c r="E13529" s="46" t="s">
        <v>9624</v>
      </c>
      <c r="F13529" s="46" t="s">
        <v>4956</v>
      </c>
      <c r="G13529" s="46">
        <v>1.0333034131599E13</v>
      </c>
      <c r="H13529" s="46" t="s">
        <v>4957</v>
      </c>
      <c r="I13529" s="46" t="s">
        <v>4958</v>
      </c>
      <c r="J13529" s="46" t="s">
        <v>134</v>
      </c>
      <c r="K13529" s="46" t="s">
        <v>126</v>
      </c>
      <c r="L13529" s="45">
        <v>46016.708333333336</v>
      </c>
      <c r="M13529" s="46" t="s">
        <v>123</v>
      </c>
      <c r="N13529" s="45">
        <v>46016.71875</v>
      </c>
      <c r="O13529" s="46" t="s">
        <v>123</v>
      </c>
      <c r="P13529" s="46">
        <v>900.0</v>
      </c>
    </row>
    <row r="13530">
      <c r="A13530" s="40">
        <f t="shared" si="1"/>
        <v>46013</v>
      </c>
      <c r="B13530" s="37" t="str">
        <f t="array" ref="B13530">iferror(xlookup($I13530, 'IMPORT VHC Report'!$E:$E, 'IMPORT VHC Report'!$A:$C), )</f>
        <v/>
      </c>
      <c r="C13530" s="44"/>
      <c r="D13530" s="44"/>
      <c r="E13530" s="46" t="s">
        <v>9625</v>
      </c>
      <c r="F13530" s="46" t="s">
        <v>4956</v>
      </c>
      <c r="G13530" s="46">
        <v>1.0333034131599E13</v>
      </c>
      <c r="H13530" s="46" t="s">
        <v>4957</v>
      </c>
      <c r="I13530" s="46" t="s">
        <v>4958</v>
      </c>
      <c r="J13530" s="46" t="s">
        <v>224</v>
      </c>
      <c r="K13530" s="46" t="s">
        <v>63</v>
      </c>
      <c r="L13530" s="45">
        <v>46016.708333333336</v>
      </c>
      <c r="M13530" s="46" t="s">
        <v>123</v>
      </c>
      <c r="N13530" s="45">
        <v>46017.083333333336</v>
      </c>
      <c r="O13530" s="46" t="s">
        <v>123</v>
      </c>
      <c r="P13530" s="46">
        <v>32400.0</v>
      </c>
    </row>
    <row r="13531">
      <c r="A13531" s="40">
        <f t="shared" si="1"/>
        <v>46013</v>
      </c>
      <c r="B13531" s="37" t="str">
        <f t="array" ref="B13531">iferror(xlookup($I13531, 'IMPORT VHC Report'!$E:$E, 'IMPORT VHC Report'!$A:$C), )</f>
        <v/>
      </c>
      <c r="C13531" s="44"/>
      <c r="D13531" s="44"/>
      <c r="E13531" s="46" t="s">
        <v>9626</v>
      </c>
      <c r="F13531" s="46" t="s">
        <v>4956</v>
      </c>
      <c r="G13531" s="46">
        <v>1.0333034131599E13</v>
      </c>
      <c r="H13531" s="46" t="s">
        <v>4957</v>
      </c>
      <c r="I13531" s="46" t="s">
        <v>4958</v>
      </c>
      <c r="J13531" s="46" t="s">
        <v>134</v>
      </c>
      <c r="K13531" s="46" t="s">
        <v>126</v>
      </c>
      <c r="L13531" s="45">
        <v>46016.71875</v>
      </c>
      <c r="M13531" s="46" t="s">
        <v>123</v>
      </c>
      <c r="N13531" s="45">
        <v>46016.729166666664</v>
      </c>
      <c r="O13531" s="46" t="s">
        <v>123</v>
      </c>
      <c r="P13531" s="46">
        <v>900.0</v>
      </c>
    </row>
    <row r="13532">
      <c r="A13532" s="40">
        <f t="shared" si="1"/>
        <v>46013</v>
      </c>
      <c r="B13532" s="37" t="str">
        <f t="array" ref="B13532">iferror(xlookup($I13532, 'IMPORT VHC Report'!$E:$E, 'IMPORT VHC Report'!$A:$C), )</f>
        <v/>
      </c>
      <c r="C13532" s="44"/>
      <c r="D13532" s="44"/>
      <c r="E13532" s="46" t="s">
        <v>9627</v>
      </c>
      <c r="F13532" s="46" t="s">
        <v>4956</v>
      </c>
      <c r="G13532" s="46">
        <v>1.0333034131599E13</v>
      </c>
      <c r="H13532" s="46" t="s">
        <v>4957</v>
      </c>
      <c r="I13532" s="46" t="s">
        <v>4958</v>
      </c>
      <c r="J13532" s="46" t="s">
        <v>132</v>
      </c>
      <c r="K13532" s="46" t="s">
        <v>126</v>
      </c>
      <c r="L13532" s="45">
        <v>46016.96875</v>
      </c>
      <c r="M13532" s="46" t="s">
        <v>123</v>
      </c>
      <c r="N13532" s="45">
        <v>46017.010416666664</v>
      </c>
      <c r="O13532" s="46" t="s">
        <v>123</v>
      </c>
      <c r="P13532" s="46">
        <v>3600.0</v>
      </c>
    </row>
    <row r="13533">
      <c r="A13533" s="40">
        <f t="shared" si="1"/>
        <v>46013</v>
      </c>
      <c r="B13533" s="37" t="str">
        <f t="array" ref="B13533">iferror(xlookup($I13533, 'IMPORT VHC Report'!$E:$E, 'IMPORT VHC Report'!$A:$C), )</f>
        <v/>
      </c>
      <c r="C13533" s="44"/>
      <c r="D13533" s="44"/>
      <c r="E13533" s="46" t="s">
        <v>9628</v>
      </c>
      <c r="F13533" s="46" t="s">
        <v>4956</v>
      </c>
      <c r="G13533" s="46">
        <v>1.0333034131599E13</v>
      </c>
      <c r="H13533" s="46" t="s">
        <v>4957</v>
      </c>
      <c r="I13533" s="46" t="s">
        <v>4958</v>
      </c>
      <c r="J13533" s="46" t="s">
        <v>224</v>
      </c>
      <c r="K13533" s="46" t="s">
        <v>63</v>
      </c>
      <c r="L13533" s="45">
        <v>46017.708333333336</v>
      </c>
      <c r="M13533" s="46" t="s">
        <v>123</v>
      </c>
      <c r="N13533" s="45">
        <v>46018.010416666664</v>
      </c>
      <c r="O13533" s="46" t="s">
        <v>123</v>
      </c>
      <c r="P13533" s="46">
        <v>26100.0</v>
      </c>
    </row>
    <row r="13534">
      <c r="A13534" s="40">
        <f t="shared" si="1"/>
        <v>46013</v>
      </c>
      <c r="B13534" s="37" t="str">
        <f t="array" ref="B13534">iferror(xlookup($I13534, 'IMPORT VHC Report'!$E:$E, 'IMPORT VHC Report'!$A:$C), )</f>
        <v/>
      </c>
      <c r="C13534" s="44"/>
      <c r="D13534" s="44"/>
      <c r="E13534" s="46" t="s">
        <v>9629</v>
      </c>
      <c r="F13534" s="46" t="s">
        <v>4956</v>
      </c>
      <c r="G13534" s="46">
        <v>1.0333034131599E13</v>
      </c>
      <c r="H13534" s="46" t="s">
        <v>4957</v>
      </c>
      <c r="I13534" s="46" t="s">
        <v>4958</v>
      </c>
      <c r="J13534" s="46" t="s">
        <v>134</v>
      </c>
      <c r="K13534" s="46" t="s">
        <v>126</v>
      </c>
      <c r="L13534" s="45">
        <v>46017.78125</v>
      </c>
      <c r="M13534" s="46" t="s">
        <v>123</v>
      </c>
      <c r="N13534" s="45">
        <v>46017.791666666664</v>
      </c>
      <c r="O13534" s="46" t="s">
        <v>123</v>
      </c>
      <c r="P13534" s="46">
        <v>900.0</v>
      </c>
    </row>
    <row r="13535">
      <c r="A13535" s="40">
        <f t="shared" si="1"/>
        <v>46013</v>
      </c>
      <c r="B13535" s="37" t="str">
        <f t="array" ref="B13535">iferror(xlookup($I13535, 'IMPORT VHC Report'!$E:$E, 'IMPORT VHC Report'!$A:$C), )</f>
        <v/>
      </c>
      <c r="C13535" s="44"/>
      <c r="D13535" s="44"/>
      <c r="E13535" s="46" t="s">
        <v>9630</v>
      </c>
      <c r="F13535" s="46" t="s">
        <v>4956</v>
      </c>
      <c r="G13535" s="46">
        <v>1.0333034131599E13</v>
      </c>
      <c r="H13535" s="46" t="s">
        <v>4957</v>
      </c>
      <c r="I13535" s="46" t="s">
        <v>4958</v>
      </c>
      <c r="J13535" s="46" t="s">
        <v>125</v>
      </c>
      <c r="K13535" s="46" t="s">
        <v>126</v>
      </c>
      <c r="L13535" s="45">
        <v>46017.895833333336</v>
      </c>
      <c r="M13535" s="46" t="s">
        <v>123</v>
      </c>
      <c r="N13535" s="45">
        <v>46017.958333333336</v>
      </c>
      <c r="O13535" s="46" t="s">
        <v>123</v>
      </c>
      <c r="P13535" s="46">
        <v>5400.0</v>
      </c>
    </row>
    <row r="13536">
      <c r="A13536" s="40">
        <f t="shared" si="1"/>
        <v>46013</v>
      </c>
      <c r="B13536" s="37" t="str">
        <f t="array" ref="B13536">iferror(xlookup($I13536, 'IMPORT VHC Report'!$E:$E, 'IMPORT VHC Report'!$A:$C), )</f>
        <v/>
      </c>
      <c r="C13536" s="44"/>
      <c r="D13536" s="44"/>
      <c r="E13536" s="46" t="s">
        <v>9631</v>
      </c>
      <c r="F13536" s="46" t="s">
        <v>4956</v>
      </c>
      <c r="G13536" s="46">
        <v>1.0333034131599E13</v>
      </c>
      <c r="H13536" s="46" t="s">
        <v>4957</v>
      </c>
      <c r="I13536" s="46" t="s">
        <v>4958</v>
      </c>
      <c r="J13536" s="46" t="s">
        <v>132</v>
      </c>
      <c r="K13536" s="46" t="s">
        <v>126</v>
      </c>
      <c r="L13536" s="45">
        <v>46017.958333333336</v>
      </c>
      <c r="M13536" s="46" t="s">
        <v>123</v>
      </c>
      <c r="N13536" s="45">
        <v>46018.0</v>
      </c>
      <c r="O13536" s="46" t="s">
        <v>123</v>
      </c>
      <c r="P13536" s="46">
        <v>3600.0</v>
      </c>
    </row>
    <row r="13537">
      <c r="A13537" s="40">
        <f t="shared" si="1"/>
        <v>46013</v>
      </c>
      <c r="B13537" s="37" t="str">
        <f t="array" ref="B13537">iferror(xlookup($I13537, 'IMPORT VHC Report'!$E:$E, 'IMPORT VHC Report'!$A:$C), )</f>
        <v/>
      </c>
      <c r="C13537" s="44"/>
      <c r="D13537" s="44"/>
      <c r="E13537" s="46" t="s">
        <v>9632</v>
      </c>
      <c r="F13537" s="46" t="s">
        <v>4956</v>
      </c>
      <c r="G13537" s="46">
        <v>1.0333034131599E13</v>
      </c>
      <c r="H13537" s="46" t="s">
        <v>4957</v>
      </c>
      <c r="I13537" s="46" t="s">
        <v>4958</v>
      </c>
      <c r="J13537" s="46" t="s">
        <v>134</v>
      </c>
      <c r="K13537" s="46" t="s">
        <v>126</v>
      </c>
      <c r="L13537" s="45">
        <v>46018.010416666664</v>
      </c>
      <c r="M13537" s="46" t="s">
        <v>123</v>
      </c>
      <c r="N13537" s="45">
        <v>46018.020833333336</v>
      </c>
      <c r="O13537" s="46" t="s">
        <v>123</v>
      </c>
      <c r="P13537" s="46">
        <v>900.0</v>
      </c>
    </row>
    <row r="13538">
      <c r="A13538" s="40">
        <f t="shared" si="1"/>
        <v>46013</v>
      </c>
      <c r="B13538" s="37" t="str">
        <f t="array" ref="B13538">iferror(xlookup($I13538, 'IMPORT VHC Report'!$E:$E, 'IMPORT VHC Report'!$A:$C), )</f>
        <v/>
      </c>
      <c r="C13538" s="44"/>
      <c r="D13538" s="44"/>
      <c r="E13538" s="46" t="s">
        <v>9633</v>
      </c>
      <c r="F13538" s="46" t="s">
        <v>4956</v>
      </c>
      <c r="G13538" s="46">
        <v>1.0333034131599E13</v>
      </c>
      <c r="H13538" s="46" t="s">
        <v>4957</v>
      </c>
      <c r="I13538" s="46" t="s">
        <v>4958</v>
      </c>
      <c r="J13538" s="46" t="s">
        <v>224</v>
      </c>
      <c r="K13538" s="46" t="s">
        <v>63</v>
      </c>
      <c r="L13538" s="45">
        <v>46018.020833333336</v>
      </c>
      <c r="M13538" s="46" t="s">
        <v>123</v>
      </c>
      <c r="N13538" s="45">
        <v>46018.083333333336</v>
      </c>
      <c r="O13538" s="46" t="s">
        <v>123</v>
      </c>
      <c r="P13538" s="46">
        <v>5400.0</v>
      </c>
    </row>
    <row r="13539">
      <c r="A13539" s="40">
        <f t="shared" si="1"/>
        <v>46013</v>
      </c>
      <c r="B13539" s="37" t="str">
        <f t="array" ref="B13539">iferror(xlookup($I13539, 'IMPORT VHC Report'!$E:$E, 'IMPORT VHC Report'!$A:$C), )</f>
        <v/>
      </c>
      <c r="C13539" s="44"/>
      <c r="D13539" s="44"/>
      <c r="E13539" s="46" t="s">
        <v>9634</v>
      </c>
      <c r="F13539" s="46" t="s">
        <v>4994</v>
      </c>
      <c r="G13539" s="46">
        <v>7.235815845903E12</v>
      </c>
      <c r="H13539" s="46" t="s">
        <v>4995</v>
      </c>
      <c r="I13539" s="46" t="s">
        <v>4996</v>
      </c>
      <c r="J13539" s="46" t="s">
        <v>224</v>
      </c>
      <c r="K13539" s="46" t="s">
        <v>63</v>
      </c>
      <c r="L13539" s="45">
        <v>46013.708333333336</v>
      </c>
      <c r="M13539" s="46" t="s">
        <v>123</v>
      </c>
      <c r="N13539" s="45">
        <v>46013.875</v>
      </c>
      <c r="O13539" s="46" t="s">
        <v>123</v>
      </c>
      <c r="P13539" s="46">
        <v>14400.0</v>
      </c>
    </row>
    <row r="13540">
      <c r="A13540" s="40">
        <f t="shared" si="1"/>
        <v>46013</v>
      </c>
      <c r="B13540" s="37" t="str">
        <f t="array" ref="B13540">iferror(xlookup($I13540, 'IMPORT VHC Report'!$E:$E, 'IMPORT VHC Report'!$A:$C), )</f>
        <v/>
      </c>
      <c r="C13540" s="44"/>
      <c r="D13540" s="44"/>
      <c r="E13540" s="46" t="s">
        <v>9635</v>
      </c>
      <c r="F13540" s="46" t="s">
        <v>4994</v>
      </c>
      <c r="G13540" s="46">
        <v>7.235815845903E12</v>
      </c>
      <c r="H13540" s="46" t="s">
        <v>4995</v>
      </c>
      <c r="I13540" s="46" t="s">
        <v>4996</v>
      </c>
      <c r="J13540" s="46" t="s">
        <v>134</v>
      </c>
      <c r="K13540" s="46" t="s">
        <v>126</v>
      </c>
      <c r="L13540" s="45">
        <v>46013.78125</v>
      </c>
      <c r="M13540" s="46" t="s">
        <v>123</v>
      </c>
      <c r="N13540" s="45">
        <v>46013.791666666664</v>
      </c>
      <c r="O13540" s="46" t="s">
        <v>123</v>
      </c>
      <c r="P13540" s="46">
        <v>900.0</v>
      </c>
    </row>
    <row r="13541">
      <c r="A13541" s="40">
        <f t="shared" si="1"/>
        <v>46013</v>
      </c>
      <c r="B13541" s="37" t="str">
        <f t="array" ref="B13541">iferror(xlookup($I13541, 'IMPORT VHC Report'!$E:$E, 'IMPORT VHC Report'!$A:$C), )</f>
        <v/>
      </c>
      <c r="C13541" s="44"/>
      <c r="D13541" s="44"/>
      <c r="E13541" s="46" t="s">
        <v>9636</v>
      </c>
      <c r="F13541" s="46" t="s">
        <v>4994</v>
      </c>
      <c r="G13541" s="46">
        <v>7.235815845903E12</v>
      </c>
      <c r="H13541" s="46" t="s">
        <v>4995</v>
      </c>
      <c r="I13541" s="46" t="s">
        <v>4996</v>
      </c>
      <c r="J13541" s="46" t="s">
        <v>132</v>
      </c>
      <c r="K13541" s="46" t="s">
        <v>126</v>
      </c>
      <c r="L13541" s="45">
        <v>46013.875</v>
      </c>
      <c r="M13541" s="46" t="s">
        <v>123</v>
      </c>
      <c r="N13541" s="45">
        <v>46013.916666666664</v>
      </c>
      <c r="O13541" s="46" t="s">
        <v>123</v>
      </c>
      <c r="P13541" s="46">
        <v>3600.0</v>
      </c>
    </row>
    <row r="13542">
      <c r="A13542" s="40">
        <f t="shared" si="1"/>
        <v>46013</v>
      </c>
      <c r="B13542" s="37" t="str">
        <f t="array" ref="B13542">iferror(xlookup($I13542, 'IMPORT VHC Report'!$E:$E, 'IMPORT VHC Report'!$A:$C), )</f>
        <v/>
      </c>
      <c r="C13542" s="44"/>
      <c r="D13542" s="44"/>
      <c r="E13542" s="46" t="s">
        <v>9637</v>
      </c>
      <c r="F13542" s="46" t="s">
        <v>4994</v>
      </c>
      <c r="G13542" s="46">
        <v>7.235815845903E12</v>
      </c>
      <c r="H13542" s="46" t="s">
        <v>4995</v>
      </c>
      <c r="I13542" s="46" t="s">
        <v>4996</v>
      </c>
      <c r="J13542" s="46" t="s">
        <v>224</v>
      </c>
      <c r="K13542" s="46" t="s">
        <v>63</v>
      </c>
      <c r="L13542" s="45">
        <v>46013.875</v>
      </c>
      <c r="M13542" s="46" t="s">
        <v>123</v>
      </c>
      <c r="N13542" s="45">
        <v>46014.083333333336</v>
      </c>
      <c r="O13542" s="46" t="s">
        <v>123</v>
      </c>
      <c r="P13542" s="46">
        <v>18000.0</v>
      </c>
    </row>
    <row r="13543">
      <c r="A13543" s="40">
        <f t="shared" si="1"/>
        <v>46013</v>
      </c>
      <c r="B13543" s="37" t="str">
        <f t="array" ref="B13543">iferror(xlookup($I13543, 'IMPORT VHC Report'!$E:$E, 'IMPORT VHC Report'!$A:$C), )</f>
        <v/>
      </c>
      <c r="C13543" s="44"/>
      <c r="D13543" s="44"/>
      <c r="E13543" s="46" t="s">
        <v>9638</v>
      </c>
      <c r="F13543" s="46" t="s">
        <v>4994</v>
      </c>
      <c r="G13543" s="46">
        <v>7.235815845903E12</v>
      </c>
      <c r="H13543" s="46" t="s">
        <v>4995</v>
      </c>
      <c r="I13543" s="46" t="s">
        <v>4996</v>
      </c>
      <c r="J13543" s="46" t="s">
        <v>134</v>
      </c>
      <c r="K13543" s="46" t="s">
        <v>126</v>
      </c>
      <c r="L13543" s="45">
        <v>46014.010416666664</v>
      </c>
      <c r="M13543" s="46" t="s">
        <v>123</v>
      </c>
      <c r="N13543" s="45">
        <v>46014.020833333336</v>
      </c>
      <c r="O13543" s="46" t="s">
        <v>123</v>
      </c>
      <c r="P13543" s="46">
        <v>900.0</v>
      </c>
    </row>
    <row r="13544">
      <c r="A13544" s="40">
        <f t="shared" si="1"/>
        <v>46013</v>
      </c>
      <c r="B13544" s="37" t="str">
        <f t="array" ref="B13544">iferror(xlookup($I13544, 'IMPORT VHC Report'!$E:$E, 'IMPORT VHC Report'!$A:$C), )</f>
        <v/>
      </c>
      <c r="C13544" s="44"/>
      <c r="D13544" s="44"/>
      <c r="E13544" s="46" t="s">
        <v>9639</v>
      </c>
      <c r="F13544" s="46" t="s">
        <v>4994</v>
      </c>
      <c r="G13544" s="46">
        <v>7.235815845903E12</v>
      </c>
      <c r="H13544" s="46" t="s">
        <v>4995</v>
      </c>
      <c r="I13544" s="46" t="s">
        <v>4996</v>
      </c>
      <c r="J13544" s="46" t="s">
        <v>224</v>
      </c>
      <c r="K13544" s="46" t="s">
        <v>63</v>
      </c>
      <c r="L13544" s="45">
        <v>46014.708333333336</v>
      </c>
      <c r="M13544" s="46" t="s">
        <v>123</v>
      </c>
      <c r="N13544" s="45">
        <v>46015.083333333336</v>
      </c>
      <c r="O13544" s="46" t="s">
        <v>123</v>
      </c>
      <c r="P13544" s="46">
        <v>32400.0</v>
      </c>
    </row>
    <row r="13545">
      <c r="A13545" s="40">
        <f t="shared" si="1"/>
        <v>46013</v>
      </c>
      <c r="B13545" s="37" t="str">
        <f t="array" ref="B13545">iferror(xlookup($I13545, 'IMPORT VHC Report'!$E:$E, 'IMPORT VHC Report'!$A:$C), )</f>
        <v/>
      </c>
      <c r="C13545" s="44"/>
      <c r="D13545" s="44"/>
      <c r="E13545" s="46" t="s">
        <v>9640</v>
      </c>
      <c r="F13545" s="46" t="s">
        <v>4994</v>
      </c>
      <c r="G13545" s="46">
        <v>7.235815845903E12</v>
      </c>
      <c r="H13545" s="46" t="s">
        <v>4995</v>
      </c>
      <c r="I13545" s="46" t="s">
        <v>4996</v>
      </c>
      <c r="J13545" s="46" t="s">
        <v>134</v>
      </c>
      <c r="K13545" s="46" t="s">
        <v>126</v>
      </c>
      <c r="L13545" s="45">
        <v>46014.802083333336</v>
      </c>
      <c r="M13545" s="46" t="s">
        <v>123</v>
      </c>
      <c r="N13545" s="45">
        <v>46014.8125</v>
      </c>
      <c r="O13545" s="46" t="s">
        <v>123</v>
      </c>
      <c r="P13545" s="46">
        <v>900.0</v>
      </c>
    </row>
    <row r="13546">
      <c r="A13546" s="40">
        <f t="shared" si="1"/>
        <v>46013</v>
      </c>
      <c r="B13546" s="37" t="str">
        <f t="array" ref="B13546">iferror(xlookup($I13546, 'IMPORT VHC Report'!$E:$E, 'IMPORT VHC Report'!$A:$C), )</f>
        <v/>
      </c>
      <c r="C13546" s="44"/>
      <c r="D13546" s="44"/>
      <c r="E13546" s="46" t="s">
        <v>9641</v>
      </c>
      <c r="F13546" s="46" t="s">
        <v>4994</v>
      </c>
      <c r="G13546" s="46">
        <v>7.235815845903E12</v>
      </c>
      <c r="H13546" s="46" t="s">
        <v>4995</v>
      </c>
      <c r="I13546" s="46" t="s">
        <v>4996</v>
      </c>
      <c r="J13546" s="46" t="s">
        <v>132</v>
      </c>
      <c r="K13546" s="46" t="s">
        <v>126</v>
      </c>
      <c r="L13546" s="45">
        <v>46014.885416666664</v>
      </c>
      <c r="M13546" s="46" t="s">
        <v>123</v>
      </c>
      <c r="N13546" s="45">
        <v>46014.927083333336</v>
      </c>
      <c r="O13546" s="46" t="s">
        <v>123</v>
      </c>
      <c r="P13546" s="46">
        <v>3600.0</v>
      </c>
    </row>
    <row r="13547">
      <c r="A13547" s="40">
        <f t="shared" si="1"/>
        <v>46013</v>
      </c>
      <c r="B13547" s="37" t="str">
        <f t="array" ref="B13547">iferror(xlookup($I13547, 'IMPORT VHC Report'!$E:$E, 'IMPORT VHC Report'!$A:$C), )</f>
        <v/>
      </c>
      <c r="C13547" s="44"/>
      <c r="D13547" s="44"/>
      <c r="E13547" s="46" t="s">
        <v>9642</v>
      </c>
      <c r="F13547" s="46" t="s">
        <v>4994</v>
      </c>
      <c r="G13547" s="46">
        <v>7.235815845903E12</v>
      </c>
      <c r="H13547" s="46" t="s">
        <v>4995</v>
      </c>
      <c r="I13547" s="46" t="s">
        <v>4996</v>
      </c>
      <c r="J13547" s="46" t="s">
        <v>134</v>
      </c>
      <c r="K13547" s="46" t="s">
        <v>126</v>
      </c>
      <c r="L13547" s="45">
        <v>46014.989583333336</v>
      </c>
      <c r="M13547" s="46" t="s">
        <v>123</v>
      </c>
      <c r="N13547" s="45">
        <v>46015.0</v>
      </c>
      <c r="O13547" s="46" t="s">
        <v>123</v>
      </c>
      <c r="P13547" s="46">
        <v>900.0</v>
      </c>
    </row>
    <row r="13548">
      <c r="A13548" s="40">
        <f t="shared" si="1"/>
        <v>46013</v>
      </c>
      <c r="B13548" s="37" t="str">
        <f t="array" ref="B13548">iferror(xlookup($I13548, 'IMPORT VHC Report'!$E:$E, 'IMPORT VHC Report'!$A:$C), )</f>
        <v/>
      </c>
      <c r="C13548" s="44"/>
      <c r="D13548" s="44"/>
      <c r="E13548" s="46" t="s">
        <v>9643</v>
      </c>
      <c r="F13548" s="46" t="s">
        <v>4994</v>
      </c>
      <c r="G13548" s="46">
        <v>7.235815845903E12</v>
      </c>
      <c r="H13548" s="46" t="s">
        <v>4995</v>
      </c>
      <c r="I13548" s="46" t="s">
        <v>4996</v>
      </c>
      <c r="J13548" s="46" t="s">
        <v>178</v>
      </c>
      <c r="K13548" s="46" t="s">
        <v>153</v>
      </c>
      <c r="L13548" s="45">
        <v>46015.708333333336</v>
      </c>
      <c r="M13548" s="46" t="s">
        <v>123</v>
      </c>
      <c r="N13548" s="45">
        <v>46016.083333333336</v>
      </c>
      <c r="O13548" s="46" t="s">
        <v>123</v>
      </c>
      <c r="P13548" s="46">
        <v>32400.0</v>
      </c>
      <c r="Q13548" s="46">
        <v>32400.0</v>
      </c>
    </row>
    <row r="13549">
      <c r="A13549" s="40">
        <f t="shared" si="1"/>
        <v>46013</v>
      </c>
      <c r="B13549" s="37" t="str">
        <f t="array" ref="B13549">iferror(xlookup($I13549, 'IMPORT VHC Report'!$E:$E, 'IMPORT VHC Report'!$A:$C), )</f>
        <v/>
      </c>
      <c r="C13549" s="44"/>
      <c r="D13549" s="44"/>
      <c r="E13549" s="46" t="s">
        <v>9644</v>
      </c>
      <c r="F13549" s="46" t="s">
        <v>4994</v>
      </c>
      <c r="G13549" s="46">
        <v>7.235815845903E12</v>
      </c>
      <c r="H13549" s="46" t="s">
        <v>4995</v>
      </c>
      <c r="I13549" s="46" t="s">
        <v>4996</v>
      </c>
      <c r="J13549" s="46" t="s">
        <v>224</v>
      </c>
      <c r="K13549" s="46" t="s">
        <v>63</v>
      </c>
      <c r="L13549" s="45">
        <v>46015.708333333336</v>
      </c>
      <c r="M13549" s="46" t="s">
        <v>123</v>
      </c>
      <c r="N13549" s="45">
        <v>46016.083333333336</v>
      </c>
      <c r="O13549" s="46" t="s">
        <v>123</v>
      </c>
      <c r="P13549" s="46">
        <v>32400.0</v>
      </c>
    </row>
    <row r="13550">
      <c r="A13550" s="40">
        <f t="shared" si="1"/>
        <v>46013</v>
      </c>
      <c r="B13550" s="37" t="str">
        <f t="array" ref="B13550">iferror(xlookup($I13550, 'IMPORT VHC Report'!$E:$E, 'IMPORT VHC Report'!$A:$C), )</f>
        <v/>
      </c>
      <c r="C13550" s="44"/>
      <c r="D13550" s="44"/>
      <c r="E13550" s="46" t="s">
        <v>9645</v>
      </c>
      <c r="F13550" s="46" t="s">
        <v>4994</v>
      </c>
      <c r="G13550" s="46">
        <v>7.235815845903E12</v>
      </c>
      <c r="H13550" s="46" t="s">
        <v>4995</v>
      </c>
      <c r="I13550" s="46" t="s">
        <v>4996</v>
      </c>
      <c r="J13550" s="46" t="s">
        <v>134</v>
      </c>
      <c r="K13550" s="46" t="s">
        <v>126</v>
      </c>
      <c r="L13550" s="45">
        <v>46015.802083333336</v>
      </c>
      <c r="M13550" s="46" t="s">
        <v>123</v>
      </c>
      <c r="N13550" s="45">
        <v>46015.8125</v>
      </c>
      <c r="O13550" s="46" t="s">
        <v>123</v>
      </c>
      <c r="P13550" s="46">
        <v>900.0</v>
      </c>
    </row>
    <row r="13551">
      <c r="A13551" s="40">
        <f t="shared" si="1"/>
        <v>46013</v>
      </c>
      <c r="B13551" s="37" t="str">
        <f t="array" ref="B13551">iferror(xlookup($I13551, 'IMPORT VHC Report'!$E:$E, 'IMPORT VHC Report'!$A:$C), )</f>
        <v/>
      </c>
      <c r="C13551" s="44"/>
      <c r="D13551" s="44"/>
      <c r="E13551" s="46" t="s">
        <v>9646</v>
      </c>
      <c r="F13551" s="46" t="s">
        <v>4994</v>
      </c>
      <c r="G13551" s="46">
        <v>7.235815845903E12</v>
      </c>
      <c r="H13551" s="46" t="s">
        <v>4995</v>
      </c>
      <c r="I13551" s="46" t="s">
        <v>4996</v>
      </c>
      <c r="J13551" s="46" t="s">
        <v>134</v>
      </c>
      <c r="K13551" s="46" t="s">
        <v>126</v>
      </c>
      <c r="L13551" s="45">
        <v>46015.875</v>
      </c>
      <c r="M13551" s="46" t="s">
        <v>123</v>
      </c>
      <c r="N13551" s="45">
        <v>46015.885416666664</v>
      </c>
      <c r="O13551" s="46" t="s">
        <v>123</v>
      </c>
      <c r="P13551" s="46">
        <v>900.0</v>
      </c>
    </row>
    <row r="13552">
      <c r="A13552" s="40">
        <f t="shared" si="1"/>
        <v>46013</v>
      </c>
      <c r="B13552" s="37" t="str">
        <f t="array" ref="B13552">iferror(xlookup($I13552, 'IMPORT VHC Report'!$E:$E, 'IMPORT VHC Report'!$A:$C), )</f>
        <v/>
      </c>
      <c r="C13552" s="44"/>
      <c r="D13552" s="44"/>
      <c r="E13552" s="46" t="s">
        <v>9647</v>
      </c>
      <c r="F13552" s="46" t="s">
        <v>4994</v>
      </c>
      <c r="G13552" s="46">
        <v>7.235815845903E12</v>
      </c>
      <c r="H13552" s="46" t="s">
        <v>4995</v>
      </c>
      <c r="I13552" s="46" t="s">
        <v>4996</v>
      </c>
      <c r="J13552" s="46" t="s">
        <v>132</v>
      </c>
      <c r="K13552" s="46" t="s">
        <v>126</v>
      </c>
      <c r="L13552" s="45">
        <v>46015.96875</v>
      </c>
      <c r="M13552" s="46" t="s">
        <v>123</v>
      </c>
      <c r="N13552" s="45">
        <v>46016.010416666664</v>
      </c>
      <c r="O13552" s="46" t="s">
        <v>123</v>
      </c>
      <c r="P13552" s="46">
        <v>3600.0</v>
      </c>
    </row>
    <row r="13553">
      <c r="A13553" s="40">
        <f t="shared" si="1"/>
        <v>46013</v>
      </c>
      <c r="B13553" s="37" t="str">
        <f t="array" ref="B13553">iferror(xlookup($I13553, 'IMPORT VHC Report'!$E:$E, 'IMPORT VHC Report'!$A:$C), )</f>
        <v/>
      </c>
      <c r="C13553" s="44"/>
      <c r="D13553" s="44"/>
      <c r="E13553" s="46" t="s">
        <v>9648</v>
      </c>
      <c r="F13553" s="46" t="s">
        <v>4994</v>
      </c>
      <c r="G13553" s="46">
        <v>7.235815845903E12</v>
      </c>
      <c r="H13553" s="46" t="s">
        <v>4995</v>
      </c>
      <c r="I13553" s="46" t="s">
        <v>4996</v>
      </c>
      <c r="J13553" s="46" t="s">
        <v>134</v>
      </c>
      <c r="K13553" s="46" t="s">
        <v>126</v>
      </c>
      <c r="L13553" s="45">
        <v>46016.802083333336</v>
      </c>
      <c r="M13553" s="46" t="s">
        <v>123</v>
      </c>
      <c r="N13553" s="45">
        <v>46016.8125</v>
      </c>
      <c r="O13553" s="46" t="s">
        <v>123</v>
      </c>
      <c r="P13553" s="46">
        <v>900.0</v>
      </c>
    </row>
    <row r="13554">
      <c r="A13554" s="40">
        <f t="shared" si="1"/>
        <v>46013</v>
      </c>
      <c r="B13554" s="37" t="str">
        <f t="array" ref="B13554">iferror(xlookup($I13554, 'IMPORT VHC Report'!$E:$E, 'IMPORT VHC Report'!$A:$C), )</f>
        <v/>
      </c>
      <c r="C13554" s="44"/>
      <c r="D13554" s="44"/>
      <c r="E13554" s="46" t="s">
        <v>9649</v>
      </c>
      <c r="F13554" s="46" t="s">
        <v>4994</v>
      </c>
      <c r="G13554" s="46">
        <v>7.235815845903E12</v>
      </c>
      <c r="H13554" s="46" t="s">
        <v>4995</v>
      </c>
      <c r="I13554" s="46" t="s">
        <v>4996</v>
      </c>
      <c r="J13554" s="46" t="s">
        <v>134</v>
      </c>
      <c r="K13554" s="46" t="s">
        <v>126</v>
      </c>
      <c r="L13554" s="45">
        <v>46016.895833333336</v>
      </c>
      <c r="M13554" s="46" t="s">
        <v>123</v>
      </c>
      <c r="N13554" s="45">
        <v>46016.90625</v>
      </c>
      <c r="O13554" s="46" t="s">
        <v>123</v>
      </c>
      <c r="P13554" s="46">
        <v>900.0</v>
      </c>
    </row>
    <row r="13555">
      <c r="A13555" s="40">
        <f t="shared" si="1"/>
        <v>46013</v>
      </c>
      <c r="B13555" s="37" t="str">
        <f t="array" ref="B13555">iferror(xlookup($I13555, 'IMPORT VHC Report'!$E:$E, 'IMPORT VHC Report'!$A:$C), )</f>
        <v/>
      </c>
      <c r="C13555" s="44"/>
      <c r="D13555" s="44"/>
      <c r="E13555" s="46" t="s">
        <v>9650</v>
      </c>
      <c r="F13555" s="46" t="s">
        <v>4994</v>
      </c>
      <c r="G13555" s="46">
        <v>7.235815845903E12</v>
      </c>
      <c r="H13555" s="46" t="s">
        <v>4995</v>
      </c>
      <c r="I13555" s="46" t="s">
        <v>4996</v>
      </c>
      <c r="J13555" s="46" t="s">
        <v>4</v>
      </c>
      <c r="K13555" s="46" t="s">
        <v>126</v>
      </c>
      <c r="L13555" s="45">
        <v>46016.90625</v>
      </c>
      <c r="M13555" s="46" t="s">
        <v>123</v>
      </c>
      <c r="N13555" s="45">
        <v>46016.9375</v>
      </c>
      <c r="O13555" s="46" t="s">
        <v>123</v>
      </c>
      <c r="P13555" s="46">
        <v>2700.0</v>
      </c>
      <c r="S13555" s="46" t="s">
        <v>9651</v>
      </c>
    </row>
    <row r="13556">
      <c r="A13556" s="40">
        <f t="shared" si="1"/>
        <v>46013</v>
      </c>
      <c r="B13556" s="37" t="str">
        <f t="array" ref="B13556">iferror(xlookup($I13556, 'IMPORT VHC Report'!$E:$E, 'IMPORT VHC Report'!$A:$C), )</f>
        <v/>
      </c>
      <c r="C13556" s="44"/>
      <c r="D13556" s="44"/>
      <c r="E13556" s="46" t="s">
        <v>9652</v>
      </c>
      <c r="F13556" s="46" t="s">
        <v>4994</v>
      </c>
      <c r="G13556" s="46">
        <v>7.235815845903E12</v>
      </c>
      <c r="H13556" s="46" t="s">
        <v>4995</v>
      </c>
      <c r="I13556" s="46" t="s">
        <v>4996</v>
      </c>
      <c r="J13556" s="46" t="s">
        <v>4</v>
      </c>
      <c r="K13556" s="46" t="s">
        <v>126</v>
      </c>
      <c r="L13556" s="45">
        <v>46016.9375</v>
      </c>
      <c r="M13556" s="46" t="s">
        <v>123</v>
      </c>
      <c r="N13556" s="45">
        <v>46016.947916666664</v>
      </c>
      <c r="O13556" s="46" t="s">
        <v>123</v>
      </c>
      <c r="P13556" s="46">
        <v>900.0</v>
      </c>
      <c r="S13556" s="46" t="s">
        <v>9653</v>
      </c>
    </row>
    <row r="13557">
      <c r="A13557" s="40">
        <f t="shared" si="1"/>
        <v>46013</v>
      </c>
      <c r="B13557" s="37" t="str">
        <f t="array" ref="B13557">iferror(xlookup($I13557, 'IMPORT VHC Report'!$E:$E, 'IMPORT VHC Report'!$A:$C), )</f>
        <v/>
      </c>
      <c r="C13557" s="44"/>
      <c r="D13557" s="44"/>
      <c r="E13557" s="46" t="s">
        <v>9654</v>
      </c>
      <c r="F13557" s="46" t="s">
        <v>4994</v>
      </c>
      <c r="G13557" s="46">
        <v>7.235815845903E12</v>
      </c>
      <c r="H13557" s="46" t="s">
        <v>4995</v>
      </c>
      <c r="I13557" s="46" t="s">
        <v>4996</v>
      </c>
      <c r="J13557" s="46" t="s">
        <v>62</v>
      </c>
      <c r="K13557" s="46" t="s">
        <v>63</v>
      </c>
      <c r="L13557" s="45">
        <v>46016.947916666664</v>
      </c>
      <c r="M13557" s="46" t="s">
        <v>123</v>
      </c>
      <c r="N13557" s="45">
        <v>46017.010416666664</v>
      </c>
      <c r="O13557" s="46" t="s">
        <v>123</v>
      </c>
      <c r="P13557" s="46">
        <v>5400.0</v>
      </c>
    </row>
    <row r="13558">
      <c r="A13558" s="40">
        <f t="shared" si="1"/>
        <v>46013</v>
      </c>
      <c r="B13558" s="37" t="str">
        <f t="array" ref="B13558">iferror(xlookup($I13558, 'IMPORT VHC Report'!$E:$E, 'IMPORT VHC Report'!$A:$C), )</f>
        <v/>
      </c>
      <c r="C13558" s="44"/>
      <c r="D13558" s="44"/>
      <c r="E13558" s="46" t="s">
        <v>9655</v>
      </c>
      <c r="F13558" s="46" t="s">
        <v>4994</v>
      </c>
      <c r="G13558" s="46">
        <v>7.235815845903E12</v>
      </c>
      <c r="H13558" s="46" t="s">
        <v>4995</v>
      </c>
      <c r="I13558" s="46" t="s">
        <v>4996</v>
      </c>
      <c r="J13558" s="46" t="s">
        <v>132</v>
      </c>
      <c r="K13558" s="46" t="s">
        <v>126</v>
      </c>
      <c r="L13558" s="45">
        <v>46016.96875</v>
      </c>
      <c r="M13558" s="46" t="s">
        <v>123</v>
      </c>
      <c r="N13558" s="45">
        <v>46017.010416666664</v>
      </c>
      <c r="O13558" s="46" t="s">
        <v>123</v>
      </c>
      <c r="P13558" s="46">
        <v>3600.0</v>
      </c>
    </row>
    <row r="13559">
      <c r="A13559" s="40">
        <f t="shared" si="1"/>
        <v>46013</v>
      </c>
      <c r="B13559" s="37" t="str">
        <f t="array" ref="B13559">iferror(xlookup($I13559, 'IMPORT VHC Report'!$E:$E, 'IMPORT VHC Report'!$A:$C), )</f>
        <v/>
      </c>
      <c r="C13559" s="44"/>
      <c r="D13559" s="44"/>
      <c r="E13559" s="46" t="s">
        <v>9656</v>
      </c>
      <c r="F13559" s="46" t="s">
        <v>4994</v>
      </c>
      <c r="G13559" s="46">
        <v>7.235815845903E12</v>
      </c>
      <c r="H13559" s="46" t="s">
        <v>4995</v>
      </c>
      <c r="I13559" s="46" t="s">
        <v>4996</v>
      </c>
      <c r="J13559" s="46" t="s">
        <v>224</v>
      </c>
      <c r="K13559" s="46" t="s">
        <v>63</v>
      </c>
      <c r="L13559" s="45">
        <v>46017.010416666664</v>
      </c>
      <c r="M13559" s="46" t="s">
        <v>123</v>
      </c>
      <c r="N13559" s="45">
        <v>46017.083333333336</v>
      </c>
      <c r="O13559" s="46" t="s">
        <v>123</v>
      </c>
      <c r="P13559" s="46">
        <v>6300.0</v>
      </c>
    </row>
    <row r="13560">
      <c r="A13560" s="40">
        <f t="shared" si="1"/>
        <v>46013</v>
      </c>
      <c r="B13560" s="37" t="str">
        <f t="array" ref="B13560">iferror(xlookup($I13560, 'IMPORT VHC Report'!$E:$E, 'IMPORT VHC Report'!$A:$C), )</f>
        <v/>
      </c>
      <c r="C13560" s="44"/>
      <c r="D13560" s="44"/>
      <c r="E13560" s="46" t="s">
        <v>9657</v>
      </c>
      <c r="F13560" s="46" t="s">
        <v>4994</v>
      </c>
      <c r="G13560" s="46">
        <v>7.235815845903E12</v>
      </c>
      <c r="H13560" s="46" t="s">
        <v>4995</v>
      </c>
      <c r="I13560" s="46" t="s">
        <v>4996</v>
      </c>
      <c r="J13560" s="46" t="s">
        <v>224</v>
      </c>
      <c r="K13560" s="46" t="s">
        <v>63</v>
      </c>
      <c r="L13560" s="45">
        <v>46017.708333333336</v>
      </c>
      <c r="M13560" s="46" t="s">
        <v>123</v>
      </c>
      <c r="N13560" s="45">
        <v>46017.927083333336</v>
      </c>
      <c r="O13560" s="46" t="s">
        <v>123</v>
      </c>
      <c r="P13560" s="46">
        <v>18900.0</v>
      </c>
    </row>
    <row r="13561">
      <c r="A13561" s="40">
        <f t="shared" si="1"/>
        <v>46013</v>
      </c>
      <c r="B13561" s="37" t="str">
        <f t="array" ref="B13561">iferror(xlookup($I13561, 'IMPORT VHC Report'!$E:$E, 'IMPORT VHC Report'!$A:$C), )</f>
        <v/>
      </c>
      <c r="C13561" s="44"/>
      <c r="D13561" s="44"/>
      <c r="E13561" s="46" t="s">
        <v>9658</v>
      </c>
      <c r="F13561" s="46" t="s">
        <v>4994</v>
      </c>
      <c r="G13561" s="46">
        <v>7.235815845903E12</v>
      </c>
      <c r="H13561" s="46" t="s">
        <v>4995</v>
      </c>
      <c r="I13561" s="46" t="s">
        <v>4996</v>
      </c>
      <c r="J13561" s="46" t="s">
        <v>132</v>
      </c>
      <c r="K13561" s="46" t="s">
        <v>126</v>
      </c>
      <c r="L13561" s="45">
        <v>46017.8125</v>
      </c>
      <c r="M13561" s="46" t="s">
        <v>123</v>
      </c>
      <c r="N13561" s="45">
        <v>46017.854166666664</v>
      </c>
      <c r="O13561" s="46" t="s">
        <v>123</v>
      </c>
      <c r="P13561" s="46">
        <v>3600.0</v>
      </c>
    </row>
    <row r="13562">
      <c r="A13562" s="40">
        <f t="shared" si="1"/>
        <v>46013</v>
      </c>
      <c r="B13562" s="37" t="str">
        <f t="array" ref="B13562">iferror(xlookup($I13562, 'IMPORT VHC Report'!$E:$E, 'IMPORT VHC Report'!$A:$C), )</f>
        <v/>
      </c>
      <c r="C13562" s="44"/>
      <c r="D13562" s="44"/>
      <c r="E13562" s="46" t="s">
        <v>9659</v>
      </c>
      <c r="F13562" s="46" t="s">
        <v>4994</v>
      </c>
      <c r="G13562" s="46">
        <v>7.235815845903E12</v>
      </c>
      <c r="H13562" s="46" t="s">
        <v>4995</v>
      </c>
      <c r="I13562" s="46" t="s">
        <v>4996</v>
      </c>
      <c r="J13562" s="46" t="s">
        <v>125</v>
      </c>
      <c r="K13562" s="46" t="s">
        <v>126</v>
      </c>
      <c r="L13562" s="45">
        <v>46017.895833333336</v>
      </c>
      <c r="M13562" s="46" t="s">
        <v>123</v>
      </c>
      <c r="N13562" s="45">
        <v>46017.958333333336</v>
      </c>
      <c r="O13562" s="46" t="s">
        <v>123</v>
      </c>
      <c r="P13562" s="46">
        <v>5400.0</v>
      </c>
    </row>
    <row r="13563">
      <c r="A13563" s="40">
        <f t="shared" si="1"/>
        <v>46013</v>
      </c>
      <c r="B13563" s="37" t="str">
        <f t="array" ref="B13563">iferror(xlookup($I13563, 'IMPORT VHC Report'!$E:$E, 'IMPORT VHC Report'!$A:$C), )</f>
        <v/>
      </c>
      <c r="C13563" s="44"/>
      <c r="D13563" s="44"/>
      <c r="E13563" s="46" t="s">
        <v>9660</v>
      </c>
      <c r="F13563" s="46" t="s">
        <v>4994</v>
      </c>
      <c r="G13563" s="46">
        <v>7.235815845903E12</v>
      </c>
      <c r="H13563" s="46" t="s">
        <v>4995</v>
      </c>
      <c r="I13563" s="46" t="s">
        <v>4996</v>
      </c>
      <c r="J13563" s="46" t="s">
        <v>224</v>
      </c>
      <c r="K13563" s="46" t="s">
        <v>63</v>
      </c>
      <c r="L13563" s="45">
        <v>46017.927083333336</v>
      </c>
      <c r="M13563" s="46" t="s">
        <v>123</v>
      </c>
      <c r="N13563" s="45">
        <v>46018.083333333336</v>
      </c>
      <c r="O13563" s="46" t="s">
        <v>123</v>
      </c>
      <c r="P13563" s="46">
        <v>13500.0</v>
      </c>
    </row>
    <row r="13564">
      <c r="A13564" s="40">
        <f t="shared" si="1"/>
        <v>46013</v>
      </c>
      <c r="B13564" s="37" t="str">
        <f t="array" ref="B13564">iferror(xlookup($I13564, 'IMPORT VHC Report'!$E:$E, 'IMPORT VHC Report'!$A:$C), )</f>
        <v/>
      </c>
      <c r="C13564" s="44"/>
      <c r="D13564" s="44"/>
      <c r="E13564" s="46" t="s">
        <v>9661</v>
      </c>
      <c r="F13564" s="46" t="s">
        <v>4994</v>
      </c>
      <c r="G13564" s="46">
        <v>7.235815845903E12</v>
      </c>
      <c r="H13564" s="46" t="s">
        <v>4995</v>
      </c>
      <c r="I13564" s="46" t="s">
        <v>4996</v>
      </c>
      <c r="J13564" s="46" t="s">
        <v>134</v>
      </c>
      <c r="K13564" s="46" t="s">
        <v>126</v>
      </c>
      <c r="L13564" s="45">
        <v>46017.958333333336</v>
      </c>
      <c r="M13564" s="46" t="s">
        <v>123</v>
      </c>
      <c r="N13564" s="45">
        <v>46017.96875</v>
      </c>
      <c r="O13564" s="46" t="s">
        <v>123</v>
      </c>
      <c r="P13564" s="46">
        <v>900.0</v>
      </c>
    </row>
    <row r="13565">
      <c r="A13565" s="40">
        <f t="shared" si="1"/>
        <v>46013</v>
      </c>
      <c r="B13565" s="37" t="str">
        <f t="array" ref="B13565">iferror(xlookup($I13565, 'IMPORT VHC Report'!$E:$E, 'IMPORT VHC Report'!$A:$C), )</f>
        <v/>
      </c>
      <c r="C13565" s="44"/>
      <c r="D13565" s="44"/>
      <c r="E13565" s="46" t="s">
        <v>9662</v>
      </c>
      <c r="F13565" s="46" t="s">
        <v>4994</v>
      </c>
      <c r="G13565" s="46">
        <v>7.235815845903E12</v>
      </c>
      <c r="H13565" s="46" t="s">
        <v>4995</v>
      </c>
      <c r="I13565" s="46" t="s">
        <v>4996</v>
      </c>
      <c r="J13565" s="46" t="s">
        <v>134</v>
      </c>
      <c r="K13565" s="46" t="s">
        <v>126</v>
      </c>
      <c r="L13565" s="45">
        <v>46018.010416666664</v>
      </c>
      <c r="M13565" s="46" t="s">
        <v>123</v>
      </c>
      <c r="N13565" s="45">
        <v>46018.020833333336</v>
      </c>
      <c r="O13565" s="46" t="s">
        <v>123</v>
      </c>
      <c r="P13565" s="46">
        <v>900.0</v>
      </c>
    </row>
    <row r="13566">
      <c r="A13566" s="40">
        <f t="shared" si="1"/>
        <v>46013</v>
      </c>
      <c r="B13566" s="37" t="str">
        <f t="array" ref="B13566">iferror(xlookup($I13566, 'IMPORT VHC Report'!$E:$E, 'IMPORT VHC Report'!$A:$C), )</f>
        <v/>
      </c>
      <c r="C13566" s="44"/>
      <c r="D13566" s="44"/>
      <c r="E13566" s="46" t="s">
        <v>9663</v>
      </c>
      <c r="F13566" s="46" t="s">
        <v>5171</v>
      </c>
      <c r="G13566" s="46">
        <v>1.1401945362575E13</v>
      </c>
      <c r="H13566" s="46" t="s">
        <v>5172</v>
      </c>
      <c r="I13566" s="46" t="s">
        <v>5173</v>
      </c>
      <c r="J13566" s="46" t="s">
        <v>4</v>
      </c>
      <c r="K13566" s="46" t="s">
        <v>126</v>
      </c>
      <c r="L13566" s="45">
        <v>46013.791666666664</v>
      </c>
      <c r="M13566" s="46" t="s">
        <v>123</v>
      </c>
      <c r="N13566" s="45">
        <v>46013.8125</v>
      </c>
      <c r="O13566" s="46" t="s">
        <v>123</v>
      </c>
      <c r="P13566" s="46">
        <v>1800.0</v>
      </c>
      <c r="S13566" s="46" t="s">
        <v>8607</v>
      </c>
    </row>
    <row r="13567">
      <c r="A13567" s="40">
        <f t="shared" si="1"/>
        <v>46013</v>
      </c>
      <c r="B13567" s="37" t="str">
        <f t="array" ref="B13567">iferror(xlookup($I13567, 'IMPORT VHC Report'!$E:$E, 'IMPORT VHC Report'!$A:$C), )</f>
        <v/>
      </c>
      <c r="C13567" s="44"/>
      <c r="D13567" s="44"/>
      <c r="E13567" s="46" t="s">
        <v>9664</v>
      </c>
      <c r="F13567" s="46" t="s">
        <v>5171</v>
      </c>
      <c r="G13567" s="46">
        <v>1.1401945362575E13</v>
      </c>
      <c r="H13567" s="46" t="s">
        <v>5172</v>
      </c>
      <c r="I13567" s="46" t="s">
        <v>5173</v>
      </c>
      <c r="J13567" s="46" t="s">
        <v>224</v>
      </c>
      <c r="K13567" s="46" t="s">
        <v>63</v>
      </c>
      <c r="L13567" s="45">
        <v>46013.791666666664</v>
      </c>
      <c r="M13567" s="46" t="s">
        <v>123</v>
      </c>
      <c r="N13567" s="45">
        <v>46013.958333333336</v>
      </c>
      <c r="O13567" s="46" t="s">
        <v>123</v>
      </c>
      <c r="P13567" s="46">
        <v>14400.0</v>
      </c>
    </row>
    <row r="13568">
      <c r="A13568" s="40">
        <f t="shared" si="1"/>
        <v>46013</v>
      </c>
      <c r="B13568" s="37" t="str">
        <f t="array" ref="B13568">iferror(xlookup($I13568, 'IMPORT VHC Report'!$E:$E, 'IMPORT VHC Report'!$A:$C), )</f>
        <v/>
      </c>
      <c r="C13568" s="44"/>
      <c r="D13568" s="44"/>
      <c r="E13568" s="46" t="s">
        <v>9665</v>
      </c>
      <c r="F13568" s="46" t="s">
        <v>5171</v>
      </c>
      <c r="G13568" s="46">
        <v>1.1401945362575E13</v>
      </c>
      <c r="H13568" s="46" t="s">
        <v>5172</v>
      </c>
      <c r="I13568" s="46" t="s">
        <v>5173</v>
      </c>
      <c r="J13568" s="46" t="s">
        <v>132</v>
      </c>
      <c r="K13568" s="46" t="s">
        <v>126</v>
      </c>
      <c r="L13568" s="45">
        <v>46013.895833333336</v>
      </c>
      <c r="M13568" s="46" t="s">
        <v>123</v>
      </c>
      <c r="N13568" s="45">
        <v>46013.9375</v>
      </c>
      <c r="O13568" s="46" t="s">
        <v>123</v>
      </c>
      <c r="P13568" s="46">
        <v>3600.0</v>
      </c>
    </row>
    <row r="13569">
      <c r="A13569" s="40">
        <f t="shared" si="1"/>
        <v>46013</v>
      </c>
      <c r="B13569" s="37" t="str">
        <f t="array" ref="B13569">iferror(xlookup($I13569, 'IMPORT VHC Report'!$E:$E, 'IMPORT VHC Report'!$A:$C), )</f>
        <v/>
      </c>
      <c r="C13569" s="44"/>
      <c r="D13569" s="44"/>
      <c r="E13569" s="46" t="s">
        <v>9666</v>
      </c>
      <c r="F13569" s="46" t="s">
        <v>5171</v>
      </c>
      <c r="G13569" s="46">
        <v>1.1401945362575E13</v>
      </c>
      <c r="H13569" s="46" t="s">
        <v>5172</v>
      </c>
      <c r="I13569" s="46" t="s">
        <v>5173</v>
      </c>
      <c r="J13569" s="46" t="s">
        <v>62</v>
      </c>
      <c r="K13569" s="46" t="s">
        <v>63</v>
      </c>
      <c r="L13569" s="45">
        <v>46013.958333333336</v>
      </c>
      <c r="M13569" s="46" t="s">
        <v>123</v>
      </c>
      <c r="N13569" s="45">
        <v>46013.979166666664</v>
      </c>
      <c r="O13569" s="46" t="s">
        <v>123</v>
      </c>
      <c r="P13569" s="46">
        <v>1800.0</v>
      </c>
    </row>
    <row r="13570">
      <c r="A13570" s="40">
        <f t="shared" si="1"/>
        <v>46013</v>
      </c>
      <c r="B13570" s="37" t="str">
        <f t="array" ref="B13570">iferror(xlookup($I13570, 'IMPORT VHC Report'!$E:$E, 'IMPORT VHC Report'!$A:$C), )</f>
        <v/>
      </c>
      <c r="C13570" s="44"/>
      <c r="D13570" s="44"/>
      <c r="E13570" s="46" t="s">
        <v>9667</v>
      </c>
      <c r="F13570" s="46" t="s">
        <v>5171</v>
      </c>
      <c r="G13570" s="46">
        <v>1.1401945362575E13</v>
      </c>
      <c r="H13570" s="46" t="s">
        <v>5172</v>
      </c>
      <c r="I13570" s="46" t="s">
        <v>5173</v>
      </c>
      <c r="J13570" s="46" t="s">
        <v>330</v>
      </c>
      <c r="K13570" s="46" t="s">
        <v>126</v>
      </c>
      <c r="L13570" s="45">
        <v>46013.958333333336</v>
      </c>
      <c r="M13570" s="46" t="s">
        <v>123</v>
      </c>
      <c r="N13570" s="45">
        <v>46014.0</v>
      </c>
      <c r="O13570" s="46" t="s">
        <v>123</v>
      </c>
      <c r="P13570" s="46">
        <v>3600.0</v>
      </c>
    </row>
    <row r="13571">
      <c r="A13571" s="40">
        <f t="shared" si="1"/>
        <v>46013</v>
      </c>
      <c r="B13571" s="37" t="str">
        <f t="array" ref="B13571">iferror(xlookup($I13571, 'IMPORT VHC Report'!$E:$E, 'IMPORT VHC Report'!$A:$C), )</f>
        <v/>
      </c>
      <c r="C13571" s="44"/>
      <c r="D13571" s="44"/>
      <c r="E13571" s="46" t="s">
        <v>9668</v>
      </c>
      <c r="F13571" s="46" t="s">
        <v>5171</v>
      </c>
      <c r="G13571" s="46">
        <v>1.1401945362575E13</v>
      </c>
      <c r="H13571" s="46" t="s">
        <v>5172</v>
      </c>
      <c r="I13571" s="46" t="s">
        <v>5173</v>
      </c>
      <c r="J13571" s="46" t="s">
        <v>224</v>
      </c>
      <c r="K13571" s="46" t="s">
        <v>63</v>
      </c>
      <c r="L13571" s="45">
        <v>46013.979166666664</v>
      </c>
      <c r="M13571" s="46" t="s">
        <v>123</v>
      </c>
      <c r="N13571" s="45">
        <v>46014.166666666664</v>
      </c>
      <c r="O13571" s="46" t="s">
        <v>123</v>
      </c>
      <c r="P13571" s="46">
        <v>16200.0</v>
      </c>
    </row>
    <row r="13572">
      <c r="A13572" s="40">
        <f t="shared" si="1"/>
        <v>46013</v>
      </c>
      <c r="B13572" s="37" t="str">
        <f t="array" ref="B13572">iferror(xlookup($I13572, 'IMPORT VHC Report'!$E:$E, 'IMPORT VHC Report'!$A:$C), )</f>
        <v/>
      </c>
      <c r="C13572" s="44"/>
      <c r="D13572" s="44"/>
      <c r="E13572" s="46" t="s">
        <v>9669</v>
      </c>
      <c r="F13572" s="46" t="s">
        <v>5171</v>
      </c>
      <c r="G13572" s="46">
        <v>1.1401945362575E13</v>
      </c>
      <c r="H13572" s="46" t="s">
        <v>5172</v>
      </c>
      <c r="I13572" s="46" t="s">
        <v>5173</v>
      </c>
      <c r="J13572" s="46" t="s">
        <v>134</v>
      </c>
      <c r="K13572" s="46" t="s">
        <v>126</v>
      </c>
      <c r="L13572" s="45">
        <v>46014.0</v>
      </c>
      <c r="M13572" s="46" t="s">
        <v>123</v>
      </c>
      <c r="N13572" s="45">
        <v>46014.010416666664</v>
      </c>
      <c r="O13572" s="46" t="s">
        <v>123</v>
      </c>
      <c r="P13572" s="46">
        <v>900.0</v>
      </c>
    </row>
    <row r="13573">
      <c r="A13573" s="40">
        <f t="shared" si="1"/>
        <v>46013</v>
      </c>
      <c r="B13573" s="37" t="str">
        <f t="array" ref="B13573">iferror(xlookup($I13573, 'IMPORT VHC Report'!$E:$E, 'IMPORT VHC Report'!$A:$C), )</f>
        <v/>
      </c>
      <c r="C13573" s="44"/>
      <c r="D13573" s="44"/>
      <c r="E13573" s="46" t="s">
        <v>9670</v>
      </c>
      <c r="F13573" s="46" t="s">
        <v>5171</v>
      </c>
      <c r="G13573" s="46">
        <v>1.1401945362575E13</v>
      </c>
      <c r="H13573" s="46" t="s">
        <v>5172</v>
      </c>
      <c r="I13573" s="46" t="s">
        <v>5173</v>
      </c>
      <c r="J13573" s="46" t="s">
        <v>134</v>
      </c>
      <c r="K13573" s="46" t="s">
        <v>126</v>
      </c>
      <c r="L13573" s="45">
        <v>46014.072916666664</v>
      </c>
      <c r="M13573" s="46" t="s">
        <v>123</v>
      </c>
      <c r="N13573" s="45">
        <v>46014.083333333336</v>
      </c>
      <c r="O13573" s="46" t="s">
        <v>123</v>
      </c>
      <c r="P13573" s="46">
        <v>900.0</v>
      </c>
    </row>
    <row r="13574">
      <c r="A13574" s="40">
        <f t="shared" si="1"/>
        <v>46013</v>
      </c>
      <c r="B13574" s="37" t="str">
        <f t="array" ref="B13574">iferror(xlookup($I13574, 'IMPORT VHC Report'!$E:$E, 'IMPORT VHC Report'!$A:$C), )</f>
        <v/>
      </c>
      <c r="C13574" s="44"/>
      <c r="D13574" s="44"/>
      <c r="E13574" s="46" t="s">
        <v>9671</v>
      </c>
      <c r="F13574" s="46" t="s">
        <v>5171</v>
      </c>
      <c r="G13574" s="46">
        <v>1.1401945362575E13</v>
      </c>
      <c r="H13574" s="46" t="s">
        <v>5172</v>
      </c>
      <c r="I13574" s="46" t="s">
        <v>5173</v>
      </c>
      <c r="J13574" s="46" t="s">
        <v>4</v>
      </c>
      <c r="K13574" s="46" t="s">
        <v>126</v>
      </c>
      <c r="L13574" s="45">
        <v>46014.791666666664</v>
      </c>
      <c r="M13574" s="46" t="s">
        <v>123</v>
      </c>
      <c r="N13574" s="45">
        <v>46014.8125</v>
      </c>
      <c r="O13574" s="46" t="s">
        <v>123</v>
      </c>
      <c r="P13574" s="46">
        <v>1800.0</v>
      </c>
      <c r="S13574" s="46" t="s">
        <v>8745</v>
      </c>
    </row>
    <row r="13575">
      <c r="A13575" s="40">
        <f t="shared" si="1"/>
        <v>46013</v>
      </c>
      <c r="B13575" s="37" t="str">
        <f t="array" ref="B13575">iferror(xlookup($I13575, 'IMPORT VHC Report'!$E:$E, 'IMPORT VHC Report'!$A:$C), )</f>
        <v/>
      </c>
      <c r="C13575" s="44"/>
      <c r="D13575" s="44"/>
      <c r="E13575" s="46" t="s">
        <v>9672</v>
      </c>
      <c r="F13575" s="46" t="s">
        <v>5171</v>
      </c>
      <c r="G13575" s="46">
        <v>1.1401945362575E13</v>
      </c>
      <c r="H13575" s="46" t="s">
        <v>5172</v>
      </c>
      <c r="I13575" s="46" t="s">
        <v>5173</v>
      </c>
      <c r="J13575" s="46" t="s">
        <v>224</v>
      </c>
      <c r="K13575" s="46" t="s">
        <v>63</v>
      </c>
      <c r="L13575" s="45">
        <v>46014.791666666664</v>
      </c>
      <c r="M13575" s="46" t="s">
        <v>123</v>
      </c>
      <c r="N13575" s="45">
        <v>46015.166666666664</v>
      </c>
      <c r="O13575" s="46" t="s">
        <v>123</v>
      </c>
      <c r="P13575" s="46">
        <v>32400.0</v>
      </c>
    </row>
    <row r="13576">
      <c r="A13576" s="40">
        <f t="shared" si="1"/>
        <v>46013</v>
      </c>
      <c r="B13576" s="37" t="str">
        <f t="array" ref="B13576">iferror(xlookup($I13576, 'IMPORT VHC Report'!$E:$E, 'IMPORT VHC Report'!$A:$C), )</f>
        <v/>
      </c>
      <c r="C13576" s="44"/>
      <c r="D13576" s="44"/>
      <c r="E13576" s="46" t="s">
        <v>9673</v>
      </c>
      <c r="F13576" s="46" t="s">
        <v>5171</v>
      </c>
      <c r="G13576" s="46">
        <v>1.1401945362575E13</v>
      </c>
      <c r="H13576" s="46" t="s">
        <v>5172</v>
      </c>
      <c r="I13576" s="46" t="s">
        <v>5173</v>
      </c>
      <c r="J13576" s="46" t="s">
        <v>134</v>
      </c>
      <c r="K13576" s="46" t="s">
        <v>126</v>
      </c>
      <c r="L13576" s="45">
        <v>46014.875</v>
      </c>
      <c r="M13576" s="46" t="s">
        <v>123</v>
      </c>
      <c r="N13576" s="45">
        <v>46014.885416666664</v>
      </c>
      <c r="O13576" s="46" t="s">
        <v>123</v>
      </c>
      <c r="P13576" s="46">
        <v>900.0</v>
      </c>
    </row>
    <row r="13577">
      <c r="A13577" s="40">
        <f t="shared" si="1"/>
        <v>46013</v>
      </c>
      <c r="B13577" s="37" t="str">
        <f t="array" ref="B13577">iferror(xlookup($I13577, 'IMPORT VHC Report'!$E:$E, 'IMPORT VHC Report'!$A:$C), )</f>
        <v/>
      </c>
      <c r="C13577" s="44"/>
      <c r="D13577" s="44"/>
      <c r="E13577" s="46" t="s">
        <v>9674</v>
      </c>
      <c r="F13577" s="46" t="s">
        <v>5171</v>
      </c>
      <c r="G13577" s="46">
        <v>1.1401945362575E13</v>
      </c>
      <c r="H13577" s="46" t="s">
        <v>5172</v>
      </c>
      <c r="I13577" s="46" t="s">
        <v>5173</v>
      </c>
      <c r="J13577" s="46" t="s">
        <v>136</v>
      </c>
      <c r="K13577" s="46" t="s">
        <v>126</v>
      </c>
      <c r="L13577" s="45">
        <v>46014.916666666664</v>
      </c>
      <c r="M13577" s="46" t="s">
        <v>123</v>
      </c>
      <c r="N13577" s="45">
        <v>46015.0</v>
      </c>
      <c r="O13577" s="46" t="s">
        <v>123</v>
      </c>
      <c r="P13577" s="46">
        <v>7200.0</v>
      </c>
    </row>
    <row r="13578">
      <c r="A13578" s="40">
        <f t="shared" si="1"/>
        <v>46013</v>
      </c>
      <c r="B13578" s="37" t="str">
        <f t="array" ref="B13578">iferror(xlookup($I13578, 'IMPORT VHC Report'!$E:$E, 'IMPORT VHC Report'!$A:$C), )</f>
        <v/>
      </c>
      <c r="C13578" s="44"/>
      <c r="D13578" s="44"/>
      <c r="E13578" s="46" t="s">
        <v>9675</v>
      </c>
      <c r="F13578" s="46" t="s">
        <v>5171</v>
      </c>
      <c r="G13578" s="46">
        <v>1.1401945362575E13</v>
      </c>
      <c r="H13578" s="46" t="s">
        <v>5172</v>
      </c>
      <c r="I13578" s="46" t="s">
        <v>5173</v>
      </c>
      <c r="J13578" s="46" t="s">
        <v>132</v>
      </c>
      <c r="K13578" s="46" t="s">
        <v>126</v>
      </c>
      <c r="L13578" s="45">
        <v>46015.020833333336</v>
      </c>
      <c r="M13578" s="46" t="s">
        <v>123</v>
      </c>
      <c r="N13578" s="45">
        <v>46015.0625</v>
      </c>
      <c r="O13578" s="46" t="s">
        <v>123</v>
      </c>
      <c r="P13578" s="46">
        <v>3600.0</v>
      </c>
    </row>
    <row r="13579">
      <c r="A13579" s="40">
        <f t="shared" si="1"/>
        <v>46013</v>
      </c>
      <c r="B13579" s="37" t="str">
        <f t="array" ref="B13579">iferror(xlookup($I13579, 'IMPORT VHC Report'!$E:$E, 'IMPORT VHC Report'!$A:$C), )</f>
        <v/>
      </c>
      <c r="C13579" s="44"/>
      <c r="D13579" s="44"/>
      <c r="E13579" s="46" t="s">
        <v>9676</v>
      </c>
      <c r="F13579" s="46" t="s">
        <v>5171</v>
      </c>
      <c r="G13579" s="46">
        <v>1.1401945362575E13</v>
      </c>
      <c r="H13579" s="46" t="s">
        <v>5172</v>
      </c>
      <c r="I13579" s="46" t="s">
        <v>5173</v>
      </c>
      <c r="J13579" s="46" t="s">
        <v>134</v>
      </c>
      <c r="K13579" s="46" t="s">
        <v>126</v>
      </c>
      <c r="L13579" s="45">
        <v>46015.0625</v>
      </c>
      <c r="M13579" s="46" t="s">
        <v>123</v>
      </c>
      <c r="N13579" s="45">
        <v>46015.072916666664</v>
      </c>
      <c r="O13579" s="46" t="s">
        <v>123</v>
      </c>
      <c r="P13579" s="46">
        <v>900.0</v>
      </c>
    </row>
    <row r="13580">
      <c r="A13580" s="40">
        <f t="shared" si="1"/>
        <v>46013</v>
      </c>
      <c r="B13580" s="37" t="str">
        <f t="array" ref="B13580">iferror(xlookup($I13580, 'IMPORT VHC Report'!$E:$E, 'IMPORT VHC Report'!$A:$C), )</f>
        <v/>
      </c>
      <c r="C13580" s="44"/>
      <c r="D13580" s="44"/>
      <c r="E13580" s="46" t="s">
        <v>9677</v>
      </c>
      <c r="F13580" s="46" t="s">
        <v>5171</v>
      </c>
      <c r="G13580" s="46">
        <v>1.1401945362575E13</v>
      </c>
      <c r="H13580" s="46" t="s">
        <v>5172</v>
      </c>
      <c r="I13580" s="46" t="s">
        <v>5173</v>
      </c>
      <c r="J13580" s="46" t="s">
        <v>224</v>
      </c>
      <c r="K13580" s="46" t="s">
        <v>63</v>
      </c>
      <c r="L13580" s="45">
        <v>46015.791666666664</v>
      </c>
      <c r="M13580" s="46" t="s">
        <v>123</v>
      </c>
      <c r="N13580" s="45">
        <v>46016.166666666664</v>
      </c>
      <c r="O13580" s="46" t="s">
        <v>123</v>
      </c>
      <c r="P13580" s="46">
        <v>32400.0</v>
      </c>
    </row>
    <row r="13581">
      <c r="A13581" s="40">
        <f t="shared" si="1"/>
        <v>46013</v>
      </c>
      <c r="B13581" s="37" t="str">
        <f t="array" ref="B13581">iferror(xlookup($I13581, 'IMPORT VHC Report'!$E:$E, 'IMPORT VHC Report'!$A:$C), )</f>
        <v/>
      </c>
      <c r="C13581" s="44"/>
      <c r="D13581" s="44"/>
      <c r="E13581" s="46" t="s">
        <v>9678</v>
      </c>
      <c r="F13581" s="46" t="s">
        <v>5171</v>
      </c>
      <c r="G13581" s="46">
        <v>1.1401945362575E13</v>
      </c>
      <c r="H13581" s="46" t="s">
        <v>5172</v>
      </c>
      <c r="I13581" s="46" t="s">
        <v>5173</v>
      </c>
      <c r="J13581" s="46" t="s">
        <v>132</v>
      </c>
      <c r="K13581" s="46" t="s">
        <v>126</v>
      </c>
      <c r="L13581" s="45">
        <v>46015.90625</v>
      </c>
      <c r="M13581" s="46" t="s">
        <v>123</v>
      </c>
      <c r="N13581" s="45">
        <v>46015.947916666664</v>
      </c>
      <c r="O13581" s="46" t="s">
        <v>123</v>
      </c>
      <c r="P13581" s="46">
        <v>3600.0</v>
      </c>
    </row>
    <row r="13582">
      <c r="A13582" s="40">
        <f t="shared" si="1"/>
        <v>46013</v>
      </c>
      <c r="B13582" s="37" t="str">
        <f t="array" ref="B13582">iferror(xlookup($I13582, 'IMPORT VHC Report'!$E:$E, 'IMPORT VHC Report'!$A:$C), )</f>
        <v/>
      </c>
      <c r="C13582" s="44"/>
      <c r="D13582" s="44"/>
      <c r="E13582" s="46" t="s">
        <v>9679</v>
      </c>
      <c r="F13582" s="46" t="s">
        <v>5171</v>
      </c>
      <c r="G13582" s="46">
        <v>1.1401945362575E13</v>
      </c>
      <c r="H13582" s="46" t="s">
        <v>5172</v>
      </c>
      <c r="I13582" s="46" t="s">
        <v>5173</v>
      </c>
      <c r="J13582" s="46" t="s">
        <v>134</v>
      </c>
      <c r="K13582" s="46" t="s">
        <v>126</v>
      </c>
      <c r="L13582" s="45">
        <v>46016.010416666664</v>
      </c>
      <c r="M13582" s="46" t="s">
        <v>123</v>
      </c>
      <c r="N13582" s="45">
        <v>46016.020833333336</v>
      </c>
      <c r="O13582" s="46" t="s">
        <v>123</v>
      </c>
      <c r="P13582" s="46">
        <v>900.0</v>
      </c>
    </row>
    <row r="13583">
      <c r="A13583" s="40">
        <f t="shared" si="1"/>
        <v>46013</v>
      </c>
      <c r="B13583" s="37" t="str">
        <f t="array" ref="B13583">iferror(xlookup($I13583, 'IMPORT VHC Report'!$E:$E, 'IMPORT VHC Report'!$A:$C), )</f>
        <v/>
      </c>
      <c r="C13583" s="44"/>
      <c r="D13583" s="44"/>
      <c r="E13583" s="46" t="s">
        <v>9680</v>
      </c>
      <c r="F13583" s="46" t="s">
        <v>5171</v>
      </c>
      <c r="G13583" s="46">
        <v>1.1401945362575E13</v>
      </c>
      <c r="H13583" s="46" t="s">
        <v>5172</v>
      </c>
      <c r="I13583" s="46" t="s">
        <v>5173</v>
      </c>
      <c r="J13583" s="46" t="s">
        <v>134</v>
      </c>
      <c r="K13583" s="46" t="s">
        <v>126</v>
      </c>
      <c r="L13583" s="45">
        <v>46016.083333333336</v>
      </c>
      <c r="M13583" s="46" t="s">
        <v>123</v>
      </c>
      <c r="N13583" s="45">
        <v>46016.09375</v>
      </c>
      <c r="O13583" s="46" t="s">
        <v>123</v>
      </c>
      <c r="P13583" s="46">
        <v>900.0</v>
      </c>
    </row>
    <row r="13584">
      <c r="A13584" s="40">
        <f t="shared" si="1"/>
        <v>46013</v>
      </c>
      <c r="B13584" s="37" t="str">
        <f t="array" ref="B13584">iferror(xlookup($I13584, 'IMPORT VHC Report'!$E:$E, 'IMPORT VHC Report'!$A:$C), )</f>
        <v/>
      </c>
      <c r="C13584" s="44"/>
      <c r="D13584" s="44"/>
      <c r="E13584" s="46" t="s">
        <v>9681</v>
      </c>
      <c r="F13584" s="46" t="s">
        <v>5171</v>
      </c>
      <c r="G13584" s="46">
        <v>1.1401945362575E13</v>
      </c>
      <c r="H13584" s="46" t="s">
        <v>5172</v>
      </c>
      <c r="I13584" s="46" t="s">
        <v>5173</v>
      </c>
      <c r="J13584" s="46" t="s">
        <v>224</v>
      </c>
      <c r="K13584" s="46" t="s">
        <v>63</v>
      </c>
      <c r="L13584" s="45">
        <v>46016.791666666664</v>
      </c>
      <c r="M13584" s="46" t="s">
        <v>123</v>
      </c>
      <c r="N13584" s="45">
        <v>46016.8125</v>
      </c>
      <c r="O13584" s="46" t="s">
        <v>123</v>
      </c>
      <c r="P13584" s="46">
        <v>1800.0</v>
      </c>
    </row>
    <row r="13585">
      <c r="A13585" s="40">
        <f t="shared" si="1"/>
        <v>46013</v>
      </c>
      <c r="B13585" s="37" t="str">
        <f t="array" ref="B13585">iferror(xlookup($I13585, 'IMPORT VHC Report'!$E:$E, 'IMPORT VHC Report'!$A:$C), )</f>
        <v/>
      </c>
      <c r="C13585" s="44"/>
      <c r="D13585" s="44"/>
      <c r="E13585" s="46" t="s">
        <v>9682</v>
      </c>
      <c r="F13585" s="46" t="s">
        <v>5171</v>
      </c>
      <c r="G13585" s="46">
        <v>1.1401945362575E13</v>
      </c>
      <c r="H13585" s="46" t="s">
        <v>5172</v>
      </c>
      <c r="I13585" s="46" t="s">
        <v>5173</v>
      </c>
      <c r="J13585" s="46" t="s">
        <v>224</v>
      </c>
      <c r="K13585" s="46" t="s">
        <v>63</v>
      </c>
      <c r="L13585" s="45">
        <v>46016.84375</v>
      </c>
      <c r="M13585" s="46" t="s">
        <v>123</v>
      </c>
      <c r="N13585" s="45">
        <v>46016.875</v>
      </c>
      <c r="O13585" s="46" t="s">
        <v>123</v>
      </c>
      <c r="P13585" s="46">
        <v>2700.0</v>
      </c>
    </row>
    <row r="13586">
      <c r="A13586" s="40">
        <f t="shared" si="1"/>
        <v>46013</v>
      </c>
      <c r="B13586" s="37" t="str">
        <f t="array" ref="B13586">iferror(xlookup($I13586, 'IMPORT VHC Report'!$E:$E, 'IMPORT VHC Report'!$A:$C), )</f>
        <v/>
      </c>
      <c r="C13586" s="44"/>
      <c r="D13586" s="44"/>
      <c r="E13586" s="46" t="s">
        <v>9683</v>
      </c>
      <c r="F13586" s="46" t="s">
        <v>5171</v>
      </c>
      <c r="G13586" s="46">
        <v>1.1401945362575E13</v>
      </c>
      <c r="H13586" s="46" t="s">
        <v>5172</v>
      </c>
      <c r="I13586" s="46" t="s">
        <v>5173</v>
      </c>
      <c r="J13586" s="46" t="s">
        <v>134</v>
      </c>
      <c r="K13586" s="46" t="s">
        <v>126</v>
      </c>
      <c r="L13586" s="45">
        <v>46016.875</v>
      </c>
      <c r="M13586" s="46" t="s">
        <v>123</v>
      </c>
      <c r="N13586" s="45">
        <v>46016.885416666664</v>
      </c>
      <c r="O13586" s="46" t="s">
        <v>123</v>
      </c>
      <c r="P13586" s="46">
        <v>900.0</v>
      </c>
    </row>
    <row r="13587">
      <c r="A13587" s="40">
        <f t="shared" si="1"/>
        <v>46013</v>
      </c>
      <c r="B13587" s="37" t="str">
        <f t="array" ref="B13587">iferror(xlookup($I13587, 'IMPORT VHC Report'!$E:$E, 'IMPORT VHC Report'!$A:$C), )</f>
        <v/>
      </c>
      <c r="C13587" s="44"/>
      <c r="D13587" s="44"/>
      <c r="E13587" s="46" t="s">
        <v>9684</v>
      </c>
      <c r="F13587" s="46" t="s">
        <v>5171</v>
      </c>
      <c r="G13587" s="46">
        <v>1.1401945362575E13</v>
      </c>
      <c r="H13587" s="46" t="s">
        <v>5172</v>
      </c>
      <c r="I13587" s="46" t="s">
        <v>5173</v>
      </c>
      <c r="J13587" s="46" t="s">
        <v>224</v>
      </c>
      <c r="K13587" s="46" t="s">
        <v>63</v>
      </c>
      <c r="L13587" s="45">
        <v>46016.885416666664</v>
      </c>
      <c r="M13587" s="46" t="s">
        <v>123</v>
      </c>
      <c r="N13587" s="45">
        <v>46016.947916666664</v>
      </c>
      <c r="O13587" s="46" t="s">
        <v>123</v>
      </c>
      <c r="P13587" s="46">
        <v>5400.0</v>
      </c>
    </row>
    <row r="13588">
      <c r="A13588" s="40">
        <f t="shared" si="1"/>
        <v>46013</v>
      </c>
      <c r="B13588" s="37" t="str">
        <f t="array" ref="B13588">iferror(xlookup($I13588, 'IMPORT VHC Report'!$E:$E, 'IMPORT VHC Report'!$A:$C), )</f>
        <v/>
      </c>
      <c r="C13588" s="44"/>
      <c r="D13588" s="44"/>
      <c r="E13588" s="46" t="s">
        <v>9685</v>
      </c>
      <c r="F13588" s="46" t="s">
        <v>5171</v>
      </c>
      <c r="G13588" s="46">
        <v>1.1401945362575E13</v>
      </c>
      <c r="H13588" s="46" t="s">
        <v>5172</v>
      </c>
      <c r="I13588" s="46" t="s">
        <v>5173</v>
      </c>
      <c r="J13588" s="46" t="s">
        <v>134</v>
      </c>
      <c r="K13588" s="46" t="s">
        <v>126</v>
      </c>
      <c r="L13588" s="45">
        <v>46016.947916666664</v>
      </c>
      <c r="M13588" s="46" t="s">
        <v>123</v>
      </c>
      <c r="N13588" s="45">
        <v>46016.958333333336</v>
      </c>
      <c r="O13588" s="46" t="s">
        <v>123</v>
      </c>
      <c r="P13588" s="46">
        <v>900.0</v>
      </c>
    </row>
    <row r="13589">
      <c r="A13589" s="40">
        <f t="shared" si="1"/>
        <v>46013</v>
      </c>
      <c r="B13589" s="37" t="str">
        <f t="array" ref="B13589">iferror(xlookup($I13589, 'IMPORT VHC Report'!$E:$E, 'IMPORT VHC Report'!$A:$C), )</f>
        <v/>
      </c>
      <c r="C13589" s="44"/>
      <c r="D13589" s="44"/>
      <c r="E13589" s="46" t="s">
        <v>9686</v>
      </c>
      <c r="F13589" s="46" t="s">
        <v>5171</v>
      </c>
      <c r="G13589" s="46">
        <v>1.1401945362575E13</v>
      </c>
      <c r="H13589" s="46" t="s">
        <v>5172</v>
      </c>
      <c r="I13589" s="46" t="s">
        <v>5173</v>
      </c>
      <c r="J13589" s="46" t="s">
        <v>224</v>
      </c>
      <c r="K13589" s="46" t="s">
        <v>63</v>
      </c>
      <c r="L13589" s="45">
        <v>46016.958333333336</v>
      </c>
      <c r="M13589" s="46" t="s">
        <v>123</v>
      </c>
      <c r="N13589" s="45">
        <v>46016.99930555555</v>
      </c>
      <c r="O13589" s="46" t="s">
        <v>123</v>
      </c>
      <c r="P13589" s="46">
        <v>3540.0</v>
      </c>
    </row>
    <row r="13590">
      <c r="A13590" s="40">
        <f t="shared" si="1"/>
        <v>46013</v>
      </c>
      <c r="B13590" s="37" t="str">
        <f t="array" ref="B13590">iferror(xlookup($I13590, 'IMPORT VHC Report'!$E:$E, 'IMPORT VHC Report'!$A:$C), )</f>
        <v/>
      </c>
      <c r="C13590" s="44"/>
      <c r="D13590" s="44"/>
      <c r="E13590" s="46" t="s">
        <v>9687</v>
      </c>
      <c r="F13590" s="46" t="s">
        <v>5171</v>
      </c>
      <c r="G13590" s="46">
        <v>1.1401945362575E13</v>
      </c>
      <c r="H13590" s="46" t="s">
        <v>5172</v>
      </c>
      <c r="I13590" s="46" t="s">
        <v>5173</v>
      </c>
      <c r="J13590" s="46" t="s">
        <v>224</v>
      </c>
      <c r="K13590" s="46" t="s">
        <v>63</v>
      </c>
      <c r="L13590" s="45">
        <v>46017.0</v>
      </c>
      <c r="M13590" s="46" t="s">
        <v>123</v>
      </c>
      <c r="N13590" s="45">
        <v>46017.03125</v>
      </c>
      <c r="O13590" s="46" t="s">
        <v>123</v>
      </c>
      <c r="P13590" s="46">
        <v>2700.0</v>
      </c>
    </row>
    <row r="13591">
      <c r="A13591" s="40">
        <f t="shared" si="1"/>
        <v>46013</v>
      </c>
      <c r="B13591" s="37" t="str">
        <f t="array" ref="B13591">iferror(xlookup($I13591, 'IMPORT VHC Report'!$E:$E, 'IMPORT VHC Report'!$A:$C), )</f>
        <v/>
      </c>
      <c r="C13591" s="44"/>
      <c r="D13591" s="44"/>
      <c r="E13591" s="46" t="s">
        <v>9688</v>
      </c>
      <c r="F13591" s="46" t="s">
        <v>5171</v>
      </c>
      <c r="G13591" s="46">
        <v>1.1401945362575E13</v>
      </c>
      <c r="H13591" s="46" t="s">
        <v>5172</v>
      </c>
      <c r="I13591" s="46" t="s">
        <v>5173</v>
      </c>
      <c r="J13591" s="46" t="s">
        <v>132</v>
      </c>
      <c r="K13591" s="46" t="s">
        <v>126</v>
      </c>
      <c r="L13591" s="45">
        <v>46017.03125</v>
      </c>
      <c r="M13591" s="46" t="s">
        <v>123</v>
      </c>
      <c r="N13591" s="45">
        <v>46017.072916666664</v>
      </c>
      <c r="O13591" s="46" t="s">
        <v>123</v>
      </c>
      <c r="P13591" s="46">
        <v>3600.0</v>
      </c>
    </row>
    <row r="13592">
      <c r="A13592" s="40">
        <f t="shared" si="1"/>
        <v>46013</v>
      </c>
      <c r="B13592" s="37" t="str">
        <f t="array" ref="B13592">iferror(xlookup($I13592, 'IMPORT VHC Report'!$E:$E, 'IMPORT VHC Report'!$A:$C), )</f>
        <v/>
      </c>
      <c r="C13592" s="44"/>
      <c r="D13592" s="44"/>
      <c r="E13592" s="46" t="s">
        <v>9689</v>
      </c>
      <c r="F13592" s="46" t="s">
        <v>5171</v>
      </c>
      <c r="G13592" s="46">
        <v>1.1401945362575E13</v>
      </c>
      <c r="H13592" s="46" t="s">
        <v>5172</v>
      </c>
      <c r="I13592" s="46" t="s">
        <v>5173</v>
      </c>
      <c r="J13592" s="46" t="s">
        <v>125</v>
      </c>
      <c r="K13592" s="46" t="s">
        <v>126</v>
      </c>
      <c r="L13592" s="45">
        <v>46017.072916666664</v>
      </c>
      <c r="M13592" s="46" t="s">
        <v>123</v>
      </c>
      <c r="N13592" s="45">
        <v>46017.114583333336</v>
      </c>
      <c r="O13592" s="46" t="s">
        <v>123</v>
      </c>
      <c r="P13592" s="46">
        <v>3600.0</v>
      </c>
      <c r="S13592" s="46" t="s">
        <v>8728</v>
      </c>
    </row>
    <row r="13593">
      <c r="A13593" s="40">
        <f t="shared" si="1"/>
        <v>46013</v>
      </c>
      <c r="B13593" s="37" t="str">
        <f t="array" ref="B13593">iferror(xlookup($I13593, 'IMPORT VHC Report'!$E:$E, 'IMPORT VHC Report'!$A:$C), )</f>
        <v/>
      </c>
      <c r="C13593" s="44"/>
      <c r="D13593" s="44"/>
      <c r="E13593" s="46" t="s">
        <v>9690</v>
      </c>
      <c r="F13593" s="46" t="s">
        <v>5171</v>
      </c>
      <c r="G13593" s="46">
        <v>1.1401945362575E13</v>
      </c>
      <c r="H13593" s="46" t="s">
        <v>5172</v>
      </c>
      <c r="I13593" s="46" t="s">
        <v>5173</v>
      </c>
      <c r="J13593" s="46" t="s">
        <v>224</v>
      </c>
      <c r="K13593" s="46" t="s">
        <v>63</v>
      </c>
      <c r="L13593" s="45">
        <v>46017.114583333336</v>
      </c>
      <c r="M13593" s="46" t="s">
        <v>123</v>
      </c>
      <c r="N13593" s="45">
        <v>46017.145833333336</v>
      </c>
      <c r="O13593" s="46" t="s">
        <v>123</v>
      </c>
      <c r="P13593" s="46">
        <v>2700.0</v>
      </c>
    </row>
    <row r="13594">
      <c r="A13594" s="40">
        <f t="shared" si="1"/>
        <v>46013</v>
      </c>
      <c r="B13594" s="37" t="str">
        <f t="array" ref="B13594">iferror(xlookup($I13594, 'IMPORT VHC Report'!$E:$E, 'IMPORT VHC Report'!$A:$C), )</f>
        <v/>
      </c>
      <c r="C13594" s="44"/>
      <c r="D13594" s="44"/>
      <c r="E13594" s="46" t="s">
        <v>9691</v>
      </c>
      <c r="F13594" s="46" t="s">
        <v>5171</v>
      </c>
      <c r="G13594" s="46">
        <v>1.1401945362575E13</v>
      </c>
      <c r="H13594" s="46" t="s">
        <v>5172</v>
      </c>
      <c r="I13594" s="46" t="s">
        <v>5173</v>
      </c>
      <c r="J13594" s="46" t="s">
        <v>4</v>
      </c>
      <c r="K13594" s="46" t="s">
        <v>126</v>
      </c>
      <c r="L13594" s="45">
        <v>46017.145833333336</v>
      </c>
      <c r="M13594" s="46" t="s">
        <v>123</v>
      </c>
      <c r="N13594" s="45">
        <v>46017.15625</v>
      </c>
      <c r="O13594" s="46" t="s">
        <v>123</v>
      </c>
      <c r="P13594" s="46">
        <v>900.0</v>
      </c>
      <c r="S13594" s="46" t="s">
        <v>9692</v>
      </c>
    </row>
    <row r="13595">
      <c r="A13595" s="40">
        <f t="shared" si="1"/>
        <v>46013</v>
      </c>
      <c r="B13595" s="37" t="str">
        <f t="array" ref="B13595">iferror(xlookup($I13595, 'IMPORT VHC Report'!$E:$E, 'IMPORT VHC Report'!$A:$C), )</f>
        <v/>
      </c>
      <c r="C13595" s="44"/>
      <c r="D13595" s="44"/>
      <c r="E13595" s="46" t="s">
        <v>9693</v>
      </c>
      <c r="F13595" s="46" t="s">
        <v>5171</v>
      </c>
      <c r="G13595" s="46">
        <v>1.1401945362575E13</v>
      </c>
      <c r="H13595" s="46" t="s">
        <v>5172</v>
      </c>
      <c r="I13595" s="46" t="s">
        <v>5173</v>
      </c>
      <c r="J13595" s="46" t="s">
        <v>224</v>
      </c>
      <c r="K13595" s="46" t="s">
        <v>63</v>
      </c>
      <c r="L13595" s="45">
        <v>46017.15625</v>
      </c>
      <c r="M13595" s="46" t="s">
        <v>123</v>
      </c>
      <c r="N13595" s="45">
        <v>46017.166666666664</v>
      </c>
      <c r="O13595" s="46" t="s">
        <v>123</v>
      </c>
      <c r="P13595" s="46">
        <v>900.0</v>
      </c>
    </row>
    <row r="13596">
      <c r="A13596" s="40">
        <f t="shared" si="1"/>
        <v>46013</v>
      </c>
      <c r="B13596" s="37" t="str">
        <f t="array" ref="B13596">iferror(xlookup($I13596, 'IMPORT VHC Report'!$E:$E, 'IMPORT VHC Report'!$A:$C), )</f>
        <v/>
      </c>
      <c r="C13596" s="44"/>
      <c r="D13596" s="44"/>
      <c r="E13596" s="46" t="s">
        <v>9694</v>
      </c>
      <c r="F13596" s="46" t="s">
        <v>5171</v>
      </c>
      <c r="G13596" s="46">
        <v>1.1401945362575E13</v>
      </c>
      <c r="H13596" s="46" t="s">
        <v>5172</v>
      </c>
      <c r="I13596" s="46" t="s">
        <v>5173</v>
      </c>
      <c r="J13596" s="46" t="s">
        <v>4</v>
      </c>
      <c r="K13596" s="46" t="s">
        <v>126</v>
      </c>
      <c r="L13596" s="45">
        <v>46017.645833333336</v>
      </c>
      <c r="M13596" s="46" t="s">
        <v>123</v>
      </c>
      <c r="N13596" s="45">
        <v>46017.65625</v>
      </c>
      <c r="O13596" s="46" t="s">
        <v>123</v>
      </c>
      <c r="P13596" s="46">
        <v>900.0</v>
      </c>
      <c r="S13596" s="46" t="s">
        <v>9695</v>
      </c>
    </row>
    <row r="13597">
      <c r="A13597" s="40">
        <f t="shared" si="1"/>
        <v>46013</v>
      </c>
      <c r="B13597" s="37" t="str">
        <f t="array" ref="B13597">iferror(xlookup($I13597, 'IMPORT VHC Report'!$E:$E, 'IMPORT VHC Report'!$A:$C), )</f>
        <v/>
      </c>
      <c r="C13597" s="44"/>
      <c r="D13597" s="44"/>
      <c r="E13597" s="46" t="s">
        <v>9696</v>
      </c>
      <c r="F13597" s="46" t="s">
        <v>5171</v>
      </c>
      <c r="G13597" s="46">
        <v>1.1401945362575E13</v>
      </c>
      <c r="H13597" s="46" t="s">
        <v>5172</v>
      </c>
      <c r="I13597" s="46" t="s">
        <v>5173</v>
      </c>
      <c r="J13597" s="46" t="s">
        <v>224</v>
      </c>
      <c r="K13597" s="46" t="s">
        <v>63</v>
      </c>
      <c r="L13597" s="45">
        <v>46017.791666666664</v>
      </c>
      <c r="M13597" s="46" t="s">
        <v>123</v>
      </c>
      <c r="N13597" s="45">
        <v>46017.885416666664</v>
      </c>
      <c r="O13597" s="46" t="s">
        <v>123</v>
      </c>
      <c r="P13597" s="46">
        <v>8100.0</v>
      </c>
    </row>
    <row r="13598">
      <c r="A13598" s="40">
        <f t="shared" si="1"/>
        <v>46013</v>
      </c>
      <c r="B13598" s="37" t="str">
        <f t="array" ref="B13598">iferror(xlookup($I13598, 'IMPORT VHC Report'!$E:$E, 'IMPORT VHC Report'!$A:$C), )</f>
        <v/>
      </c>
      <c r="C13598" s="44"/>
      <c r="D13598" s="44"/>
      <c r="E13598" s="46" t="s">
        <v>9697</v>
      </c>
      <c r="F13598" s="46" t="s">
        <v>5171</v>
      </c>
      <c r="G13598" s="46">
        <v>1.1401945362575E13</v>
      </c>
      <c r="H13598" s="46" t="s">
        <v>5172</v>
      </c>
      <c r="I13598" s="46" t="s">
        <v>5173</v>
      </c>
      <c r="J13598" s="46" t="s">
        <v>178</v>
      </c>
      <c r="K13598" s="46" t="s">
        <v>153</v>
      </c>
      <c r="L13598" s="45">
        <v>46017.791666666664</v>
      </c>
      <c r="M13598" s="46" t="s">
        <v>123</v>
      </c>
      <c r="N13598" s="45">
        <v>46018.166666666664</v>
      </c>
      <c r="O13598" s="46" t="s">
        <v>123</v>
      </c>
      <c r="P13598" s="46">
        <v>32400.0</v>
      </c>
      <c r="Q13598" s="46">
        <v>28800.0</v>
      </c>
      <c r="R13598" s="46" t="s">
        <v>9698</v>
      </c>
    </row>
    <row r="13599">
      <c r="A13599" s="40">
        <f t="shared" si="1"/>
        <v>46013</v>
      </c>
      <c r="B13599" s="37" t="str">
        <f t="array" ref="B13599">iferror(xlookup($I13599, 'IMPORT VHC Report'!$E:$E, 'IMPORT VHC Report'!$A:$C), )</f>
        <v/>
      </c>
      <c r="C13599" s="44"/>
      <c r="D13599" s="44"/>
      <c r="E13599" s="46" t="s">
        <v>9699</v>
      </c>
      <c r="F13599" s="46" t="s">
        <v>5171</v>
      </c>
      <c r="G13599" s="46">
        <v>1.1401945362575E13</v>
      </c>
      <c r="H13599" s="46" t="s">
        <v>5172</v>
      </c>
      <c r="I13599" s="46" t="s">
        <v>5173</v>
      </c>
      <c r="J13599" s="46" t="s">
        <v>134</v>
      </c>
      <c r="K13599" s="46" t="s">
        <v>126</v>
      </c>
      <c r="L13599" s="45">
        <v>46017.885416666664</v>
      </c>
      <c r="M13599" s="46" t="s">
        <v>123</v>
      </c>
      <c r="N13599" s="45">
        <v>46017.895833333336</v>
      </c>
      <c r="O13599" s="46" t="s">
        <v>123</v>
      </c>
      <c r="P13599" s="46">
        <v>900.0</v>
      </c>
    </row>
    <row r="13600">
      <c r="A13600" s="40">
        <f t="shared" si="1"/>
        <v>46013</v>
      </c>
      <c r="B13600" s="37" t="str">
        <f t="array" ref="B13600">iferror(xlookup($I13600, 'IMPORT VHC Report'!$E:$E, 'IMPORT VHC Report'!$A:$C), )</f>
        <v/>
      </c>
      <c r="C13600" s="44"/>
      <c r="D13600" s="44"/>
      <c r="E13600" s="46" t="s">
        <v>9700</v>
      </c>
      <c r="F13600" s="46" t="s">
        <v>5171</v>
      </c>
      <c r="G13600" s="46">
        <v>1.1401945362575E13</v>
      </c>
      <c r="H13600" s="46" t="s">
        <v>5172</v>
      </c>
      <c r="I13600" s="46" t="s">
        <v>5173</v>
      </c>
      <c r="J13600" s="46" t="s">
        <v>224</v>
      </c>
      <c r="K13600" s="46" t="s">
        <v>63</v>
      </c>
      <c r="L13600" s="45">
        <v>46017.885416666664</v>
      </c>
      <c r="M13600" s="46" t="s">
        <v>123</v>
      </c>
      <c r="N13600" s="45">
        <v>46018.166666666664</v>
      </c>
      <c r="O13600" s="46" t="s">
        <v>123</v>
      </c>
      <c r="P13600" s="46">
        <v>24300.0</v>
      </c>
    </row>
    <row r="13601">
      <c r="A13601" s="40">
        <f t="shared" si="1"/>
        <v>46013</v>
      </c>
      <c r="B13601" s="37" t="str">
        <f t="array" ref="B13601">iferror(xlookup($I13601, 'IMPORT VHC Report'!$E:$E, 'IMPORT VHC Report'!$A:$C), )</f>
        <v/>
      </c>
      <c r="C13601" s="44"/>
      <c r="D13601" s="44"/>
      <c r="E13601" s="46" t="s">
        <v>9701</v>
      </c>
      <c r="F13601" s="46" t="s">
        <v>5171</v>
      </c>
      <c r="G13601" s="46">
        <v>1.1401945362575E13</v>
      </c>
      <c r="H13601" s="46" t="s">
        <v>5172</v>
      </c>
      <c r="I13601" s="46" t="s">
        <v>5173</v>
      </c>
      <c r="J13601" s="46" t="s">
        <v>134</v>
      </c>
      <c r="K13601" s="46" t="s">
        <v>126</v>
      </c>
      <c r="L13601" s="45">
        <v>46017.958333333336</v>
      </c>
      <c r="M13601" s="46" t="s">
        <v>123</v>
      </c>
      <c r="N13601" s="45">
        <v>46017.96875</v>
      </c>
      <c r="O13601" s="46" t="s">
        <v>123</v>
      </c>
      <c r="P13601" s="46">
        <v>900.0</v>
      </c>
    </row>
    <row r="13602">
      <c r="A13602" s="40">
        <f t="shared" si="1"/>
        <v>46013</v>
      </c>
      <c r="B13602" s="37" t="str">
        <f t="array" ref="B13602">iferror(xlookup($I13602, 'IMPORT VHC Report'!$E:$E, 'IMPORT VHC Report'!$A:$C), )</f>
        <v/>
      </c>
      <c r="C13602" s="44"/>
      <c r="D13602" s="44"/>
      <c r="E13602" s="46" t="s">
        <v>9702</v>
      </c>
      <c r="F13602" s="46" t="s">
        <v>5171</v>
      </c>
      <c r="G13602" s="46">
        <v>1.1401945362575E13</v>
      </c>
      <c r="H13602" s="46" t="s">
        <v>5172</v>
      </c>
      <c r="I13602" s="46" t="s">
        <v>5173</v>
      </c>
      <c r="J13602" s="46" t="s">
        <v>132</v>
      </c>
      <c r="K13602" s="46" t="s">
        <v>126</v>
      </c>
      <c r="L13602" s="45">
        <v>46018.0625</v>
      </c>
      <c r="M13602" s="46" t="s">
        <v>123</v>
      </c>
      <c r="N13602" s="45">
        <v>46018.104166666664</v>
      </c>
      <c r="O13602" s="46" t="s">
        <v>123</v>
      </c>
      <c r="P13602" s="46">
        <v>3600.0</v>
      </c>
    </row>
    <row r="13603">
      <c r="A13603" s="40">
        <f t="shared" si="1"/>
        <v>46013</v>
      </c>
      <c r="B13603" s="37" t="str">
        <f t="array" ref="B13603">iferror(xlookup($I13603, 'IMPORT VHC Report'!$E:$E, 'IMPORT VHC Report'!$A:$C), )</f>
        <v/>
      </c>
      <c r="C13603" s="44"/>
      <c r="D13603" s="44"/>
      <c r="E13603" s="46" t="s">
        <v>9703</v>
      </c>
      <c r="F13603" s="46" t="s">
        <v>5214</v>
      </c>
      <c r="G13603" s="46">
        <v>1.1401980902415E13</v>
      </c>
      <c r="H13603" s="46" t="s">
        <v>5215</v>
      </c>
      <c r="I13603" s="46" t="s">
        <v>5216</v>
      </c>
      <c r="J13603" s="46" t="s">
        <v>4</v>
      </c>
      <c r="K13603" s="46" t="s">
        <v>126</v>
      </c>
      <c r="L13603" s="45">
        <v>46013.791666666664</v>
      </c>
      <c r="M13603" s="46" t="s">
        <v>123</v>
      </c>
      <c r="N13603" s="45">
        <v>46013.8125</v>
      </c>
      <c r="O13603" s="46" t="s">
        <v>123</v>
      </c>
      <c r="P13603" s="46">
        <v>1800.0</v>
      </c>
      <c r="S13603" s="46" t="s">
        <v>8607</v>
      </c>
    </row>
    <row r="13604">
      <c r="A13604" s="40">
        <f t="shared" si="1"/>
        <v>46013</v>
      </c>
      <c r="B13604" s="37" t="str">
        <f t="array" ref="B13604">iferror(xlookup($I13604, 'IMPORT VHC Report'!$E:$E, 'IMPORT VHC Report'!$A:$C), )</f>
        <v/>
      </c>
      <c r="C13604" s="44"/>
      <c r="D13604" s="44"/>
      <c r="E13604" s="46" t="s">
        <v>9704</v>
      </c>
      <c r="F13604" s="46" t="s">
        <v>5214</v>
      </c>
      <c r="G13604" s="46">
        <v>1.1401980902415E13</v>
      </c>
      <c r="H13604" s="46" t="s">
        <v>5215</v>
      </c>
      <c r="I13604" s="46" t="s">
        <v>5216</v>
      </c>
      <c r="J13604" s="46" t="s">
        <v>224</v>
      </c>
      <c r="K13604" s="46" t="s">
        <v>63</v>
      </c>
      <c r="L13604" s="45">
        <v>46013.791666666664</v>
      </c>
      <c r="M13604" s="46" t="s">
        <v>123</v>
      </c>
      <c r="N13604" s="45">
        <v>46014.125</v>
      </c>
      <c r="O13604" s="46" t="s">
        <v>123</v>
      </c>
      <c r="P13604" s="46">
        <v>28800.0</v>
      </c>
    </row>
    <row r="13605">
      <c r="A13605" s="40">
        <f t="shared" si="1"/>
        <v>46013</v>
      </c>
      <c r="B13605" s="37" t="str">
        <f t="array" ref="B13605">iferror(xlookup($I13605, 'IMPORT VHC Report'!$E:$E, 'IMPORT VHC Report'!$A:$C), )</f>
        <v/>
      </c>
      <c r="C13605" s="44"/>
      <c r="D13605" s="44"/>
      <c r="E13605" s="46" t="s">
        <v>9705</v>
      </c>
      <c r="F13605" s="46" t="s">
        <v>5214</v>
      </c>
      <c r="G13605" s="46">
        <v>1.1401980902415E13</v>
      </c>
      <c r="H13605" s="46" t="s">
        <v>5215</v>
      </c>
      <c r="I13605" s="46" t="s">
        <v>5216</v>
      </c>
      <c r="J13605" s="46" t="s">
        <v>134</v>
      </c>
      <c r="K13605" s="46" t="s">
        <v>126</v>
      </c>
      <c r="L13605" s="45">
        <v>46013.885416666664</v>
      </c>
      <c r="M13605" s="46" t="s">
        <v>123</v>
      </c>
      <c r="N13605" s="45">
        <v>46013.895833333336</v>
      </c>
      <c r="O13605" s="46" t="s">
        <v>123</v>
      </c>
      <c r="P13605" s="46">
        <v>900.0</v>
      </c>
    </row>
    <row r="13606">
      <c r="A13606" s="40">
        <f t="shared" si="1"/>
        <v>46013</v>
      </c>
      <c r="B13606" s="37" t="str">
        <f t="array" ref="B13606">iferror(xlookup($I13606, 'IMPORT VHC Report'!$E:$E, 'IMPORT VHC Report'!$A:$C), )</f>
        <v/>
      </c>
      <c r="C13606" s="44"/>
      <c r="D13606" s="44"/>
      <c r="E13606" s="46" t="s">
        <v>9706</v>
      </c>
      <c r="F13606" s="46" t="s">
        <v>5214</v>
      </c>
      <c r="G13606" s="46">
        <v>1.1401980902415E13</v>
      </c>
      <c r="H13606" s="46" t="s">
        <v>5215</v>
      </c>
      <c r="I13606" s="46" t="s">
        <v>5216</v>
      </c>
      <c r="J13606" s="46" t="s">
        <v>330</v>
      </c>
      <c r="K13606" s="46" t="s">
        <v>126</v>
      </c>
      <c r="L13606" s="45">
        <v>46013.90625</v>
      </c>
      <c r="M13606" s="46" t="s">
        <v>123</v>
      </c>
      <c r="N13606" s="45">
        <v>46013.947916666664</v>
      </c>
      <c r="O13606" s="46" t="s">
        <v>123</v>
      </c>
      <c r="P13606" s="46">
        <v>3600.0</v>
      </c>
    </row>
    <row r="13607">
      <c r="A13607" s="40">
        <f t="shared" si="1"/>
        <v>46013</v>
      </c>
      <c r="B13607" s="37" t="str">
        <f t="array" ref="B13607">iferror(xlookup($I13607, 'IMPORT VHC Report'!$E:$E, 'IMPORT VHC Report'!$A:$C), )</f>
        <v/>
      </c>
      <c r="C13607" s="44"/>
      <c r="D13607" s="44"/>
      <c r="E13607" s="46" t="s">
        <v>9707</v>
      </c>
      <c r="F13607" s="46" t="s">
        <v>5214</v>
      </c>
      <c r="G13607" s="46">
        <v>1.1401980902415E13</v>
      </c>
      <c r="H13607" s="46" t="s">
        <v>5215</v>
      </c>
      <c r="I13607" s="46" t="s">
        <v>5216</v>
      </c>
      <c r="J13607" s="46" t="s">
        <v>134</v>
      </c>
      <c r="K13607" s="46" t="s">
        <v>126</v>
      </c>
      <c r="L13607" s="45">
        <v>46013.979166666664</v>
      </c>
      <c r="M13607" s="46" t="s">
        <v>123</v>
      </c>
      <c r="N13607" s="45">
        <v>46013.989583333336</v>
      </c>
      <c r="O13607" s="46" t="s">
        <v>123</v>
      </c>
      <c r="P13607" s="46">
        <v>900.0</v>
      </c>
    </row>
    <row r="13608">
      <c r="A13608" s="40">
        <f t="shared" si="1"/>
        <v>46013</v>
      </c>
      <c r="B13608" s="37" t="str">
        <f t="array" ref="B13608">iferror(xlookup($I13608, 'IMPORT VHC Report'!$E:$E, 'IMPORT VHC Report'!$A:$C), )</f>
        <v/>
      </c>
      <c r="C13608" s="44"/>
      <c r="D13608" s="44"/>
      <c r="E13608" s="46" t="s">
        <v>9708</v>
      </c>
      <c r="F13608" s="46" t="s">
        <v>5214</v>
      </c>
      <c r="G13608" s="46">
        <v>1.1401980902415E13</v>
      </c>
      <c r="H13608" s="46" t="s">
        <v>5215</v>
      </c>
      <c r="I13608" s="46" t="s">
        <v>5216</v>
      </c>
      <c r="J13608" s="46" t="s">
        <v>132</v>
      </c>
      <c r="K13608" s="46" t="s">
        <v>126</v>
      </c>
      <c r="L13608" s="45">
        <v>46014.0625</v>
      </c>
      <c r="M13608" s="46" t="s">
        <v>123</v>
      </c>
      <c r="N13608" s="45">
        <v>46014.104166666664</v>
      </c>
      <c r="O13608" s="46" t="s">
        <v>123</v>
      </c>
      <c r="P13608" s="46">
        <v>3600.0</v>
      </c>
    </row>
    <row r="13609">
      <c r="A13609" s="40">
        <f t="shared" si="1"/>
        <v>46013</v>
      </c>
      <c r="B13609" s="37" t="str">
        <f t="array" ref="B13609">iferror(xlookup($I13609, 'IMPORT VHC Report'!$E:$E, 'IMPORT VHC Report'!$A:$C), )</f>
        <v/>
      </c>
      <c r="C13609" s="44"/>
      <c r="D13609" s="44"/>
      <c r="E13609" s="46" t="s">
        <v>9709</v>
      </c>
      <c r="F13609" s="46" t="s">
        <v>5214</v>
      </c>
      <c r="G13609" s="46">
        <v>1.1401980902415E13</v>
      </c>
      <c r="H13609" s="46" t="s">
        <v>5215</v>
      </c>
      <c r="I13609" s="46" t="s">
        <v>5216</v>
      </c>
      <c r="J13609" s="46" t="s">
        <v>62</v>
      </c>
      <c r="K13609" s="46" t="s">
        <v>63</v>
      </c>
      <c r="L13609" s="45">
        <v>46014.125</v>
      </c>
      <c r="M13609" s="46" t="s">
        <v>123</v>
      </c>
      <c r="N13609" s="45">
        <v>46014.145833333336</v>
      </c>
      <c r="O13609" s="46" t="s">
        <v>123</v>
      </c>
      <c r="P13609" s="46">
        <v>1800.0</v>
      </c>
    </row>
    <row r="13610">
      <c r="A13610" s="40">
        <f t="shared" si="1"/>
        <v>46013</v>
      </c>
      <c r="B13610" s="37" t="str">
        <f t="array" ref="B13610">iferror(xlookup($I13610, 'IMPORT VHC Report'!$E:$E, 'IMPORT VHC Report'!$A:$C), )</f>
        <v/>
      </c>
      <c r="C13610" s="44"/>
      <c r="D13610" s="44"/>
      <c r="E13610" s="46" t="s">
        <v>9710</v>
      </c>
      <c r="F13610" s="46" t="s">
        <v>5214</v>
      </c>
      <c r="G13610" s="46">
        <v>1.1401980902415E13</v>
      </c>
      <c r="H13610" s="46" t="s">
        <v>5215</v>
      </c>
      <c r="I13610" s="46" t="s">
        <v>5216</v>
      </c>
      <c r="J13610" s="46" t="s">
        <v>224</v>
      </c>
      <c r="K13610" s="46" t="s">
        <v>63</v>
      </c>
      <c r="L13610" s="45">
        <v>46014.145833333336</v>
      </c>
      <c r="M13610" s="46" t="s">
        <v>123</v>
      </c>
      <c r="N13610" s="45">
        <v>46014.166666666664</v>
      </c>
      <c r="O13610" s="46" t="s">
        <v>123</v>
      </c>
      <c r="P13610" s="46">
        <v>1800.0</v>
      </c>
    </row>
    <row r="13611">
      <c r="A13611" s="40">
        <f t="shared" si="1"/>
        <v>46013</v>
      </c>
      <c r="B13611" s="37" t="str">
        <f t="array" ref="B13611">iferror(xlookup($I13611, 'IMPORT VHC Report'!$E:$E, 'IMPORT VHC Report'!$A:$C), )</f>
        <v/>
      </c>
      <c r="C13611" s="44"/>
      <c r="D13611" s="44"/>
      <c r="E13611" s="46" t="s">
        <v>9711</v>
      </c>
      <c r="F13611" s="46" t="s">
        <v>5214</v>
      </c>
      <c r="G13611" s="46">
        <v>1.1401980902415E13</v>
      </c>
      <c r="H13611" s="46" t="s">
        <v>5215</v>
      </c>
      <c r="I13611" s="46" t="s">
        <v>5216</v>
      </c>
      <c r="J13611" s="46" t="s">
        <v>4</v>
      </c>
      <c r="K13611" s="46" t="s">
        <v>126</v>
      </c>
      <c r="L13611" s="45">
        <v>46014.791666666664</v>
      </c>
      <c r="M13611" s="46" t="s">
        <v>123</v>
      </c>
      <c r="N13611" s="45">
        <v>46014.8125</v>
      </c>
      <c r="O13611" s="46" t="s">
        <v>123</v>
      </c>
      <c r="P13611" s="46">
        <v>1800.0</v>
      </c>
      <c r="S13611" s="46" t="s">
        <v>8745</v>
      </c>
    </row>
    <row r="13612">
      <c r="A13612" s="40">
        <f t="shared" si="1"/>
        <v>46013</v>
      </c>
      <c r="B13612" s="37" t="str">
        <f t="array" ref="B13612">iferror(xlookup($I13612, 'IMPORT VHC Report'!$E:$E, 'IMPORT VHC Report'!$A:$C), )</f>
        <v/>
      </c>
      <c r="C13612" s="44"/>
      <c r="D13612" s="44"/>
      <c r="E13612" s="46" t="s">
        <v>9712</v>
      </c>
      <c r="F13612" s="46" t="s">
        <v>5214</v>
      </c>
      <c r="G13612" s="46">
        <v>1.1401980902415E13</v>
      </c>
      <c r="H13612" s="46" t="s">
        <v>5215</v>
      </c>
      <c r="I13612" s="46" t="s">
        <v>5216</v>
      </c>
      <c r="J13612" s="46" t="s">
        <v>224</v>
      </c>
      <c r="K13612" s="46" t="s">
        <v>63</v>
      </c>
      <c r="L13612" s="45">
        <v>46014.791666666664</v>
      </c>
      <c r="M13612" s="46" t="s">
        <v>123</v>
      </c>
      <c r="N13612" s="45">
        <v>46015.166666666664</v>
      </c>
      <c r="O13612" s="46" t="s">
        <v>123</v>
      </c>
      <c r="P13612" s="46">
        <v>32400.0</v>
      </c>
    </row>
    <row r="13613">
      <c r="A13613" s="40">
        <f t="shared" si="1"/>
        <v>46013</v>
      </c>
      <c r="B13613" s="37" t="str">
        <f t="array" ref="B13613">iferror(xlookup($I13613, 'IMPORT VHC Report'!$E:$E, 'IMPORT VHC Report'!$A:$C), )</f>
        <v/>
      </c>
      <c r="C13613" s="44"/>
      <c r="D13613" s="44"/>
      <c r="E13613" s="46" t="s">
        <v>9713</v>
      </c>
      <c r="F13613" s="46" t="s">
        <v>5214</v>
      </c>
      <c r="G13613" s="46">
        <v>1.1401980902415E13</v>
      </c>
      <c r="H13613" s="46" t="s">
        <v>5215</v>
      </c>
      <c r="I13613" s="46" t="s">
        <v>5216</v>
      </c>
      <c r="J13613" s="46" t="s">
        <v>134</v>
      </c>
      <c r="K13613" s="46" t="s">
        <v>126</v>
      </c>
      <c r="L13613" s="45">
        <v>46014.875</v>
      </c>
      <c r="M13613" s="46" t="s">
        <v>123</v>
      </c>
      <c r="N13613" s="45">
        <v>46014.885416666664</v>
      </c>
      <c r="O13613" s="46" t="s">
        <v>123</v>
      </c>
      <c r="P13613" s="46">
        <v>900.0</v>
      </c>
    </row>
    <row r="13614">
      <c r="A13614" s="40">
        <f t="shared" si="1"/>
        <v>46013</v>
      </c>
      <c r="B13614" s="37" t="str">
        <f t="array" ref="B13614">iferror(xlookup($I13614, 'IMPORT VHC Report'!$E:$E, 'IMPORT VHC Report'!$A:$C), )</f>
        <v/>
      </c>
      <c r="C13614" s="44"/>
      <c r="D13614" s="44"/>
      <c r="E13614" s="46" t="s">
        <v>9714</v>
      </c>
      <c r="F13614" s="46" t="s">
        <v>5214</v>
      </c>
      <c r="G13614" s="46">
        <v>1.1401980902415E13</v>
      </c>
      <c r="H13614" s="46" t="s">
        <v>5215</v>
      </c>
      <c r="I13614" s="46" t="s">
        <v>5216</v>
      </c>
      <c r="J13614" s="46" t="s">
        <v>136</v>
      </c>
      <c r="K13614" s="46" t="s">
        <v>126</v>
      </c>
      <c r="L13614" s="45">
        <v>46014.916666666664</v>
      </c>
      <c r="M13614" s="46" t="s">
        <v>123</v>
      </c>
      <c r="N13614" s="45">
        <v>46015.0</v>
      </c>
      <c r="O13614" s="46" t="s">
        <v>123</v>
      </c>
      <c r="P13614" s="46">
        <v>7200.0</v>
      </c>
    </row>
    <row r="13615">
      <c r="A13615" s="40">
        <f t="shared" si="1"/>
        <v>46013</v>
      </c>
      <c r="B13615" s="37" t="str">
        <f t="array" ref="B13615">iferror(xlookup($I13615, 'IMPORT VHC Report'!$E:$E, 'IMPORT VHC Report'!$A:$C), )</f>
        <v/>
      </c>
      <c r="C13615" s="44"/>
      <c r="D13615" s="44"/>
      <c r="E13615" s="46" t="s">
        <v>9715</v>
      </c>
      <c r="F13615" s="46" t="s">
        <v>5214</v>
      </c>
      <c r="G13615" s="46">
        <v>1.1401980902415E13</v>
      </c>
      <c r="H13615" s="46" t="s">
        <v>5215</v>
      </c>
      <c r="I13615" s="46" t="s">
        <v>5216</v>
      </c>
      <c r="J13615" s="46" t="s">
        <v>132</v>
      </c>
      <c r="K13615" s="46" t="s">
        <v>126</v>
      </c>
      <c r="L13615" s="45">
        <v>46015.0</v>
      </c>
      <c r="M13615" s="46" t="s">
        <v>123</v>
      </c>
      <c r="N13615" s="45">
        <v>46015.041666666664</v>
      </c>
      <c r="O13615" s="46" t="s">
        <v>123</v>
      </c>
      <c r="P13615" s="46">
        <v>3600.0</v>
      </c>
    </row>
    <row r="13616">
      <c r="A13616" s="40">
        <f t="shared" si="1"/>
        <v>46013</v>
      </c>
      <c r="B13616" s="37" t="str">
        <f t="array" ref="B13616">iferror(xlookup($I13616, 'IMPORT VHC Report'!$E:$E, 'IMPORT VHC Report'!$A:$C), )</f>
        <v/>
      </c>
      <c r="C13616" s="44"/>
      <c r="D13616" s="44"/>
      <c r="E13616" s="46" t="s">
        <v>9716</v>
      </c>
      <c r="F13616" s="46" t="s">
        <v>5214</v>
      </c>
      <c r="G13616" s="46">
        <v>1.1401980902415E13</v>
      </c>
      <c r="H13616" s="46" t="s">
        <v>5215</v>
      </c>
      <c r="I13616" s="46" t="s">
        <v>5216</v>
      </c>
      <c r="J13616" s="46" t="s">
        <v>134</v>
      </c>
      <c r="K13616" s="46" t="s">
        <v>126</v>
      </c>
      <c r="L13616" s="45">
        <v>46015.083333333336</v>
      </c>
      <c r="M13616" s="46" t="s">
        <v>123</v>
      </c>
      <c r="N13616" s="45">
        <v>46015.09375</v>
      </c>
      <c r="O13616" s="46" t="s">
        <v>123</v>
      </c>
      <c r="P13616" s="46">
        <v>900.0</v>
      </c>
    </row>
    <row r="13617">
      <c r="A13617" s="40">
        <f t="shared" si="1"/>
        <v>46013</v>
      </c>
      <c r="B13617" s="37" t="str">
        <f t="array" ref="B13617">iferror(xlookup($I13617, 'IMPORT VHC Report'!$E:$E, 'IMPORT VHC Report'!$A:$C), )</f>
        <v/>
      </c>
      <c r="C13617" s="44"/>
      <c r="D13617" s="44"/>
      <c r="E13617" s="46" t="s">
        <v>9717</v>
      </c>
      <c r="F13617" s="46" t="s">
        <v>5214</v>
      </c>
      <c r="G13617" s="46">
        <v>1.1401980902415E13</v>
      </c>
      <c r="H13617" s="46" t="s">
        <v>5215</v>
      </c>
      <c r="I13617" s="46" t="s">
        <v>5216</v>
      </c>
      <c r="J13617" s="46" t="s">
        <v>224</v>
      </c>
      <c r="K13617" s="46" t="s">
        <v>63</v>
      </c>
      <c r="L13617" s="45">
        <v>46015.791666666664</v>
      </c>
      <c r="M13617" s="46" t="s">
        <v>123</v>
      </c>
      <c r="N13617" s="45">
        <v>46016.166666666664</v>
      </c>
      <c r="O13617" s="46" t="s">
        <v>123</v>
      </c>
      <c r="P13617" s="46">
        <v>32400.0</v>
      </c>
    </row>
    <row r="13618">
      <c r="A13618" s="40">
        <f t="shared" si="1"/>
        <v>46013</v>
      </c>
      <c r="B13618" s="37" t="str">
        <f t="array" ref="B13618">iferror(xlookup($I13618, 'IMPORT VHC Report'!$E:$E, 'IMPORT VHC Report'!$A:$C), )</f>
        <v/>
      </c>
      <c r="C13618" s="44"/>
      <c r="D13618" s="44"/>
      <c r="E13618" s="46" t="s">
        <v>9718</v>
      </c>
      <c r="F13618" s="46" t="s">
        <v>5214</v>
      </c>
      <c r="G13618" s="46">
        <v>1.1401980902415E13</v>
      </c>
      <c r="H13618" s="46" t="s">
        <v>5215</v>
      </c>
      <c r="I13618" s="46" t="s">
        <v>5216</v>
      </c>
      <c r="J13618" s="46" t="s">
        <v>134</v>
      </c>
      <c r="K13618" s="46" t="s">
        <v>126</v>
      </c>
      <c r="L13618" s="45">
        <v>46015.875</v>
      </c>
      <c r="M13618" s="46" t="s">
        <v>123</v>
      </c>
      <c r="N13618" s="45">
        <v>46015.885416666664</v>
      </c>
      <c r="O13618" s="46" t="s">
        <v>123</v>
      </c>
      <c r="P13618" s="46">
        <v>900.0</v>
      </c>
    </row>
    <row r="13619">
      <c r="A13619" s="40">
        <f t="shared" si="1"/>
        <v>46013</v>
      </c>
      <c r="B13619" s="37" t="str">
        <f t="array" ref="B13619">iferror(xlookup($I13619, 'IMPORT VHC Report'!$E:$E, 'IMPORT VHC Report'!$A:$C), )</f>
        <v/>
      </c>
      <c r="C13619" s="44"/>
      <c r="D13619" s="44"/>
      <c r="E13619" s="46" t="s">
        <v>9719</v>
      </c>
      <c r="F13619" s="46" t="s">
        <v>5214</v>
      </c>
      <c r="G13619" s="46">
        <v>1.1401980902415E13</v>
      </c>
      <c r="H13619" s="46" t="s">
        <v>5215</v>
      </c>
      <c r="I13619" s="46" t="s">
        <v>5216</v>
      </c>
      <c r="J13619" s="46" t="s">
        <v>132</v>
      </c>
      <c r="K13619" s="46" t="s">
        <v>126</v>
      </c>
      <c r="L13619" s="45">
        <v>46015.947916666664</v>
      </c>
      <c r="M13619" s="46" t="s">
        <v>123</v>
      </c>
      <c r="N13619" s="45">
        <v>46015.989583333336</v>
      </c>
      <c r="O13619" s="46" t="s">
        <v>123</v>
      </c>
      <c r="P13619" s="46">
        <v>3600.0</v>
      </c>
    </row>
    <row r="13620">
      <c r="A13620" s="40">
        <f t="shared" si="1"/>
        <v>46013</v>
      </c>
      <c r="B13620" s="37" t="str">
        <f t="array" ref="B13620">iferror(xlookup($I13620, 'IMPORT VHC Report'!$E:$E, 'IMPORT VHC Report'!$A:$C), )</f>
        <v/>
      </c>
      <c r="C13620" s="44"/>
      <c r="D13620" s="44"/>
      <c r="E13620" s="46" t="s">
        <v>9720</v>
      </c>
      <c r="F13620" s="46" t="s">
        <v>5214</v>
      </c>
      <c r="G13620" s="46">
        <v>1.1401980902415E13</v>
      </c>
      <c r="H13620" s="46" t="s">
        <v>5215</v>
      </c>
      <c r="I13620" s="46" t="s">
        <v>5216</v>
      </c>
      <c r="J13620" s="46" t="s">
        <v>134</v>
      </c>
      <c r="K13620" s="46" t="s">
        <v>126</v>
      </c>
      <c r="L13620" s="45">
        <v>46016.052083333336</v>
      </c>
      <c r="M13620" s="46" t="s">
        <v>123</v>
      </c>
      <c r="N13620" s="45">
        <v>46016.0625</v>
      </c>
      <c r="O13620" s="46" t="s">
        <v>123</v>
      </c>
      <c r="P13620" s="46">
        <v>900.0</v>
      </c>
    </row>
    <row r="13621">
      <c r="A13621" s="40">
        <f t="shared" si="1"/>
        <v>46013</v>
      </c>
      <c r="B13621" s="37" t="str">
        <f t="array" ref="B13621">iferror(xlookup($I13621, 'IMPORT VHC Report'!$E:$E, 'IMPORT VHC Report'!$A:$C), )</f>
        <v/>
      </c>
      <c r="C13621" s="44"/>
      <c r="D13621" s="44"/>
      <c r="E13621" s="46" t="s">
        <v>9721</v>
      </c>
      <c r="F13621" s="46" t="s">
        <v>5214</v>
      </c>
      <c r="G13621" s="46">
        <v>1.1401980902415E13</v>
      </c>
      <c r="H13621" s="46" t="s">
        <v>5215</v>
      </c>
      <c r="I13621" s="46" t="s">
        <v>5216</v>
      </c>
      <c r="J13621" s="46" t="s">
        <v>224</v>
      </c>
      <c r="K13621" s="46" t="s">
        <v>63</v>
      </c>
      <c r="L13621" s="45">
        <v>46016.791666666664</v>
      </c>
      <c r="M13621" s="46" t="s">
        <v>123</v>
      </c>
      <c r="N13621" s="45">
        <v>46017.166666666664</v>
      </c>
      <c r="O13621" s="46" t="s">
        <v>123</v>
      </c>
      <c r="P13621" s="46">
        <v>32400.0</v>
      </c>
    </row>
    <row r="13622">
      <c r="A13622" s="40">
        <f t="shared" si="1"/>
        <v>46013</v>
      </c>
      <c r="B13622" s="37" t="str">
        <f t="array" ref="B13622">iferror(xlookup($I13622, 'IMPORT VHC Report'!$E:$E, 'IMPORT VHC Report'!$A:$C), )</f>
        <v/>
      </c>
      <c r="C13622" s="44"/>
      <c r="D13622" s="44"/>
      <c r="E13622" s="46" t="s">
        <v>9722</v>
      </c>
      <c r="F13622" s="46" t="s">
        <v>5214</v>
      </c>
      <c r="G13622" s="46">
        <v>1.1401980902415E13</v>
      </c>
      <c r="H13622" s="46" t="s">
        <v>5215</v>
      </c>
      <c r="I13622" s="46" t="s">
        <v>5216</v>
      </c>
      <c r="J13622" s="46" t="s">
        <v>134</v>
      </c>
      <c r="K13622" s="46" t="s">
        <v>126</v>
      </c>
      <c r="L13622" s="45">
        <v>46016.875</v>
      </c>
      <c r="M13622" s="46" t="s">
        <v>123</v>
      </c>
      <c r="N13622" s="45">
        <v>46016.885416666664</v>
      </c>
      <c r="O13622" s="46" t="s">
        <v>123</v>
      </c>
      <c r="P13622" s="46">
        <v>900.0</v>
      </c>
    </row>
    <row r="13623">
      <c r="A13623" s="40">
        <f t="shared" si="1"/>
        <v>46013</v>
      </c>
      <c r="B13623" s="37" t="str">
        <f t="array" ref="B13623">iferror(xlookup($I13623, 'IMPORT VHC Report'!$E:$E, 'IMPORT VHC Report'!$A:$C), )</f>
        <v/>
      </c>
      <c r="C13623" s="44"/>
      <c r="D13623" s="44"/>
      <c r="E13623" s="46" t="s">
        <v>9723</v>
      </c>
      <c r="F13623" s="46" t="s">
        <v>5214</v>
      </c>
      <c r="G13623" s="46">
        <v>1.1401980902415E13</v>
      </c>
      <c r="H13623" s="46" t="s">
        <v>5215</v>
      </c>
      <c r="I13623" s="46" t="s">
        <v>5216</v>
      </c>
      <c r="J13623" s="46" t="s">
        <v>132</v>
      </c>
      <c r="K13623" s="46" t="s">
        <v>126</v>
      </c>
      <c r="L13623" s="45">
        <v>46016.947916666664</v>
      </c>
      <c r="M13623" s="46" t="s">
        <v>123</v>
      </c>
      <c r="N13623" s="45">
        <v>46016.989583333336</v>
      </c>
      <c r="O13623" s="46" t="s">
        <v>123</v>
      </c>
      <c r="P13623" s="46">
        <v>3600.0</v>
      </c>
    </row>
    <row r="13624">
      <c r="A13624" s="40">
        <f t="shared" si="1"/>
        <v>46013</v>
      </c>
      <c r="B13624" s="37" t="str">
        <f t="array" ref="B13624">iferror(xlookup($I13624, 'IMPORT VHC Report'!$E:$E, 'IMPORT VHC Report'!$A:$C), )</f>
        <v/>
      </c>
      <c r="C13624" s="44"/>
      <c r="D13624" s="44"/>
      <c r="E13624" s="46" t="s">
        <v>9724</v>
      </c>
      <c r="F13624" s="46" t="s">
        <v>5214</v>
      </c>
      <c r="G13624" s="46">
        <v>1.1401980902415E13</v>
      </c>
      <c r="H13624" s="46" t="s">
        <v>5215</v>
      </c>
      <c r="I13624" s="46" t="s">
        <v>5216</v>
      </c>
      <c r="J13624" s="46" t="s">
        <v>125</v>
      </c>
      <c r="K13624" s="46" t="s">
        <v>126</v>
      </c>
      <c r="L13624" s="45">
        <v>46017.010416666664</v>
      </c>
      <c r="M13624" s="46" t="s">
        <v>123</v>
      </c>
      <c r="N13624" s="45">
        <v>46017.052083333336</v>
      </c>
      <c r="O13624" s="46" t="s">
        <v>123</v>
      </c>
      <c r="P13624" s="46">
        <v>3600.0</v>
      </c>
      <c r="S13624" s="46" t="s">
        <v>8728</v>
      </c>
    </row>
    <row r="13625">
      <c r="A13625" s="40">
        <f t="shared" si="1"/>
        <v>46013</v>
      </c>
      <c r="B13625" s="37" t="str">
        <f t="array" ref="B13625">iferror(xlookup($I13625, 'IMPORT VHC Report'!$E:$E, 'IMPORT VHC Report'!$A:$C), )</f>
        <v/>
      </c>
      <c r="C13625" s="44"/>
      <c r="D13625" s="44"/>
      <c r="E13625" s="46" t="s">
        <v>9725</v>
      </c>
      <c r="F13625" s="46" t="s">
        <v>5214</v>
      </c>
      <c r="G13625" s="46">
        <v>1.1401980902415E13</v>
      </c>
      <c r="H13625" s="46" t="s">
        <v>5215</v>
      </c>
      <c r="I13625" s="46" t="s">
        <v>5216</v>
      </c>
      <c r="J13625" s="46" t="s">
        <v>134</v>
      </c>
      <c r="K13625" s="46" t="s">
        <v>126</v>
      </c>
      <c r="L13625" s="45">
        <v>46017.0625</v>
      </c>
      <c r="M13625" s="46" t="s">
        <v>123</v>
      </c>
      <c r="N13625" s="45">
        <v>46017.072916666664</v>
      </c>
      <c r="O13625" s="46" t="s">
        <v>123</v>
      </c>
      <c r="P13625" s="46">
        <v>900.0</v>
      </c>
    </row>
    <row r="13626">
      <c r="A13626" s="40">
        <f t="shared" si="1"/>
        <v>46013</v>
      </c>
      <c r="B13626" s="37" t="str">
        <f t="array" ref="B13626">iferror(xlookup($I13626, 'IMPORT VHC Report'!$E:$E, 'IMPORT VHC Report'!$A:$C), )</f>
        <v/>
      </c>
      <c r="C13626" s="44"/>
      <c r="D13626" s="44"/>
      <c r="E13626" s="46" t="s">
        <v>9726</v>
      </c>
      <c r="F13626" s="46" t="s">
        <v>5214</v>
      </c>
      <c r="G13626" s="46">
        <v>1.1401980902415E13</v>
      </c>
      <c r="H13626" s="46" t="s">
        <v>5215</v>
      </c>
      <c r="I13626" s="46" t="s">
        <v>5216</v>
      </c>
      <c r="J13626" s="46" t="s">
        <v>224</v>
      </c>
      <c r="K13626" s="46" t="s">
        <v>63</v>
      </c>
      <c r="L13626" s="45">
        <v>46017.791666666664</v>
      </c>
      <c r="M13626" s="46" t="s">
        <v>123</v>
      </c>
      <c r="N13626" s="45">
        <v>46018.166666666664</v>
      </c>
      <c r="O13626" s="46" t="s">
        <v>123</v>
      </c>
      <c r="P13626" s="46">
        <v>32400.0</v>
      </c>
    </row>
    <row r="13627">
      <c r="A13627" s="40">
        <f t="shared" si="1"/>
        <v>46013</v>
      </c>
      <c r="B13627" s="37" t="str">
        <f t="array" ref="B13627">iferror(xlookup($I13627, 'IMPORT VHC Report'!$E:$E, 'IMPORT VHC Report'!$A:$C), )</f>
        <v/>
      </c>
      <c r="C13627" s="44"/>
      <c r="D13627" s="44"/>
      <c r="E13627" s="46" t="s">
        <v>9727</v>
      </c>
      <c r="F13627" s="46" t="s">
        <v>5214</v>
      </c>
      <c r="G13627" s="46">
        <v>1.1401980902415E13</v>
      </c>
      <c r="H13627" s="46" t="s">
        <v>5215</v>
      </c>
      <c r="I13627" s="46" t="s">
        <v>5216</v>
      </c>
      <c r="J13627" s="46" t="s">
        <v>134</v>
      </c>
      <c r="K13627" s="46" t="s">
        <v>126</v>
      </c>
      <c r="L13627" s="45">
        <v>46017.875</v>
      </c>
      <c r="M13627" s="46" t="s">
        <v>123</v>
      </c>
      <c r="N13627" s="45">
        <v>46017.885416666664</v>
      </c>
      <c r="O13627" s="46" t="s">
        <v>123</v>
      </c>
      <c r="P13627" s="46">
        <v>900.0</v>
      </c>
    </row>
    <row r="13628">
      <c r="A13628" s="40">
        <f t="shared" si="1"/>
        <v>46013</v>
      </c>
      <c r="B13628" s="37" t="str">
        <f t="array" ref="B13628">iferror(xlookup($I13628, 'IMPORT VHC Report'!$E:$E, 'IMPORT VHC Report'!$A:$C), )</f>
        <v/>
      </c>
      <c r="C13628" s="44"/>
      <c r="D13628" s="44"/>
      <c r="E13628" s="46" t="s">
        <v>9728</v>
      </c>
      <c r="F13628" s="46" t="s">
        <v>5214</v>
      </c>
      <c r="G13628" s="46">
        <v>1.1401980902415E13</v>
      </c>
      <c r="H13628" s="46" t="s">
        <v>5215</v>
      </c>
      <c r="I13628" s="46" t="s">
        <v>5216</v>
      </c>
      <c r="J13628" s="46" t="s">
        <v>132</v>
      </c>
      <c r="K13628" s="46" t="s">
        <v>126</v>
      </c>
      <c r="L13628" s="45">
        <v>46017.947916666664</v>
      </c>
      <c r="M13628" s="46" t="s">
        <v>123</v>
      </c>
      <c r="N13628" s="45">
        <v>46017.989583333336</v>
      </c>
      <c r="O13628" s="46" t="s">
        <v>123</v>
      </c>
      <c r="P13628" s="46">
        <v>3600.0</v>
      </c>
    </row>
    <row r="13629">
      <c r="A13629" s="40">
        <f t="shared" si="1"/>
        <v>46013</v>
      </c>
      <c r="B13629" s="37" t="str">
        <f t="array" ref="B13629">iferror(xlookup($I13629, 'IMPORT VHC Report'!$E:$E, 'IMPORT VHC Report'!$A:$C), )</f>
        <v/>
      </c>
      <c r="C13629" s="44"/>
      <c r="D13629" s="44"/>
      <c r="E13629" s="46" t="s">
        <v>9729</v>
      </c>
      <c r="F13629" s="46" t="s">
        <v>5214</v>
      </c>
      <c r="G13629" s="46">
        <v>1.1401980902415E13</v>
      </c>
      <c r="H13629" s="46" t="s">
        <v>5215</v>
      </c>
      <c r="I13629" s="46" t="s">
        <v>5216</v>
      </c>
      <c r="J13629" s="46" t="s">
        <v>134</v>
      </c>
      <c r="K13629" s="46" t="s">
        <v>126</v>
      </c>
      <c r="L13629" s="45">
        <v>46018.09375</v>
      </c>
      <c r="M13629" s="46" t="s">
        <v>123</v>
      </c>
      <c r="N13629" s="45">
        <v>46018.104166666664</v>
      </c>
      <c r="O13629" s="46" t="s">
        <v>123</v>
      </c>
      <c r="P13629" s="46">
        <v>900.0</v>
      </c>
    </row>
    <row r="13630">
      <c r="A13630" s="40">
        <f t="shared" si="1"/>
        <v>46013</v>
      </c>
      <c r="B13630" s="37" t="str">
        <f t="array" ref="B13630">iferror(xlookup($I13630, 'IMPORT VHC Report'!$E:$E, 'IMPORT VHC Report'!$A:$C), )</f>
        <v/>
      </c>
      <c r="C13630" s="44"/>
      <c r="D13630" s="44"/>
      <c r="E13630" s="46" t="s">
        <v>9730</v>
      </c>
      <c r="F13630" s="46" t="s">
        <v>5282</v>
      </c>
      <c r="G13630" s="46">
        <v>1.1279730843407E13</v>
      </c>
      <c r="H13630" s="46" t="s">
        <v>5283</v>
      </c>
      <c r="I13630" s="46" t="s">
        <v>5284</v>
      </c>
      <c r="J13630" s="46" t="s">
        <v>224</v>
      </c>
      <c r="K13630" s="46" t="s">
        <v>63</v>
      </c>
      <c r="L13630" s="45">
        <v>46013.833333333336</v>
      </c>
      <c r="M13630" s="46" t="s">
        <v>123</v>
      </c>
      <c r="N13630" s="45">
        <v>46013.927083333336</v>
      </c>
      <c r="O13630" s="46" t="s">
        <v>123</v>
      </c>
      <c r="P13630" s="46">
        <v>8100.0</v>
      </c>
    </row>
    <row r="13631">
      <c r="A13631" s="40">
        <f t="shared" si="1"/>
        <v>46013</v>
      </c>
      <c r="B13631" s="37" t="str">
        <f t="array" ref="B13631">iferror(xlookup($I13631, 'IMPORT VHC Report'!$E:$E, 'IMPORT VHC Report'!$A:$C), )</f>
        <v/>
      </c>
      <c r="C13631" s="44"/>
      <c r="D13631" s="44"/>
      <c r="E13631" s="46" t="s">
        <v>9731</v>
      </c>
      <c r="F13631" s="46" t="s">
        <v>5282</v>
      </c>
      <c r="G13631" s="46">
        <v>1.1279730843407E13</v>
      </c>
      <c r="H13631" s="46" t="s">
        <v>5283</v>
      </c>
      <c r="I13631" s="46" t="s">
        <v>5284</v>
      </c>
      <c r="J13631" s="46" t="s">
        <v>178</v>
      </c>
      <c r="K13631" s="46" t="s">
        <v>153</v>
      </c>
      <c r="L13631" s="45">
        <v>46013.833333333336</v>
      </c>
      <c r="M13631" s="46" t="s">
        <v>123</v>
      </c>
      <c r="N13631" s="45">
        <v>46014.208333333336</v>
      </c>
      <c r="O13631" s="46" t="s">
        <v>123</v>
      </c>
      <c r="P13631" s="46">
        <v>32400.0</v>
      </c>
      <c r="Q13631" s="46">
        <v>28800.0</v>
      </c>
    </row>
    <row r="13632">
      <c r="A13632" s="40">
        <f t="shared" si="1"/>
        <v>46013</v>
      </c>
      <c r="B13632" s="37" t="str">
        <f t="array" ref="B13632">iferror(xlookup($I13632, 'IMPORT VHC Report'!$E:$E, 'IMPORT VHC Report'!$A:$C), )</f>
        <v/>
      </c>
      <c r="C13632" s="44"/>
      <c r="D13632" s="44"/>
      <c r="E13632" s="46" t="s">
        <v>9732</v>
      </c>
      <c r="F13632" s="46" t="s">
        <v>5282</v>
      </c>
      <c r="G13632" s="46">
        <v>1.1279730843407E13</v>
      </c>
      <c r="H13632" s="46" t="s">
        <v>5283</v>
      </c>
      <c r="I13632" s="46" t="s">
        <v>5284</v>
      </c>
      <c r="J13632" s="46" t="s">
        <v>134</v>
      </c>
      <c r="K13632" s="46" t="s">
        <v>126</v>
      </c>
      <c r="L13632" s="45">
        <v>46013.927083333336</v>
      </c>
      <c r="M13632" s="46" t="s">
        <v>123</v>
      </c>
      <c r="N13632" s="45">
        <v>46013.9375</v>
      </c>
      <c r="O13632" s="46" t="s">
        <v>123</v>
      </c>
      <c r="P13632" s="46">
        <v>900.0</v>
      </c>
    </row>
    <row r="13633">
      <c r="A13633" s="40">
        <f t="shared" si="1"/>
        <v>46013</v>
      </c>
      <c r="B13633" s="37" t="str">
        <f t="array" ref="B13633">iferror(xlookup($I13633, 'IMPORT VHC Report'!$E:$E, 'IMPORT VHC Report'!$A:$C), )</f>
        <v/>
      </c>
      <c r="C13633" s="44"/>
      <c r="D13633" s="44"/>
      <c r="E13633" s="46" t="s">
        <v>9733</v>
      </c>
      <c r="F13633" s="46" t="s">
        <v>5282</v>
      </c>
      <c r="G13633" s="46">
        <v>1.1279730843407E13</v>
      </c>
      <c r="H13633" s="46" t="s">
        <v>5283</v>
      </c>
      <c r="I13633" s="46" t="s">
        <v>5284</v>
      </c>
      <c r="J13633" s="46" t="s">
        <v>224</v>
      </c>
      <c r="K13633" s="46" t="s">
        <v>63</v>
      </c>
      <c r="L13633" s="45">
        <v>46013.927083333336</v>
      </c>
      <c r="M13633" s="46" t="s">
        <v>123</v>
      </c>
      <c r="N13633" s="45">
        <v>46014.083333333336</v>
      </c>
      <c r="O13633" s="46" t="s">
        <v>123</v>
      </c>
      <c r="P13633" s="46">
        <v>13500.0</v>
      </c>
    </row>
    <row r="13634">
      <c r="A13634" s="40">
        <f t="shared" si="1"/>
        <v>46013</v>
      </c>
      <c r="B13634" s="37" t="str">
        <f t="array" ref="B13634">iferror(xlookup($I13634, 'IMPORT VHC Report'!$E:$E, 'IMPORT VHC Report'!$A:$C), )</f>
        <v/>
      </c>
      <c r="C13634" s="44"/>
      <c r="D13634" s="44"/>
      <c r="E13634" s="46" t="s">
        <v>9734</v>
      </c>
      <c r="F13634" s="46" t="s">
        <v>5282</v>
      </c>
      <c r="G13634" s="46">
        <v>1.1279730843407E13</v>
      </c>
      <c r="H13634" s="46" t="s">
        <v>5283</v>
      </c>
      <c r="I13634" s="46" t="s">
        <v>5284</v>
      </c>
      <c r="J13634" s="46" t="s">
        <v>134</v>
      </c>
      <c r="K13634" s="46" t="s">
        <v>126</v>
      </c>
      <c r="L13634" s="45">
        <v>46014.0</v>
      </c>
      <c r="M13634" s="46" t="s">
        <v>123</v>
      </c>
      <c r="N13634" s="45">
        <v>46014.010416666664</v>
      </c>
      <c r="O13634" s="46" t="s">
        <v>123</v>
      </c>
      <c r="P13634" s="46">
        <v>900.0</v>
      </c>
    </row>
    <row r="13635">
      <c r="A13635" s="40">
        <f t="shared" si="1"/>
        <v>46013</v>
      </c>
      <c r="B13635" s="37" t="str">
        <f t="array" ref="B13635">iferror(xlookup($I13635, 'IMPORT VHC Report'!$E:$E, 'IMPORT VHC Report'!$A:$C), )</f>
        <v/>
      </c>
      <c r="C13635" s="44"/>
      <c r="D13635" s="44"/>
      <c r="E13635" s="46" t="s">
        <v>9735</v>
      </c>
      <c r="F13635" s="46" t="s">
        <v>5282</v>
      </c>
      <c r="G13635" s="46">
        <v>1.1279730843407E13</v>
      </c>
      <c r="H13635" s="46" t="s">
        <v>5283</v>
      </c>
      <c r="I13635" s="46" t="s">
        <v>5284</v>
      </c>
      <c r="J13635" s="46" t="s">
        <v>62</v>
      </c>
      <c r="K13635" s="46" t="s">
        <v>63</v>
      </c>
      <c r="L13635" s="45">
        <v>46014.083333333336</v>
      </c>
      <c r="M13635" s="46" t="s">
        <v>123</v>
      </c>
      <c r="N13635" s="45">
        <v>46014.145833333336</v>
      </c>
      <c r="O13635" s="46" t="s">
        <v>123</v>
      </c>
      <c r="P13635" s="46">
        <v>5400.0</v>
      </c>
    </row>
    <row r="13636">
      <c r="A13636" s="40">
        <f t="shared" si="1"/>
        <v>46013</v>
      </c>
      <c r="B13636" s="37" t="str">
        <f t="array" ref="B13636">iferror(xlookup($I13636, 'IMPORT VHC Report'!$E:$E, 'IMPORT VHC Report'!$A:$C), )</f>
        <v/>
      </c>
      <c r="C13636" s="44"/>
      <c r="D13636" s="44"/>
      <c r="E13636" s="46" t="s">
        <v>9736</v>
      </c>
      <c r="F13636" s="46" t="s">
        <v>5282</v>
      </c>
      <c r="G13636" s="46">
        <v>1.1279730843407E13</v>
      </c>
      <c r="H13636" s="46" t="s">
        <v>5283</v>
      </c>
      <c r="I13636" s="46" t="s">
        <v>5284</v>
      </c>
      <c r="J13636" s="46" t="s">
        <v>132</v>
      </c>
      <c r="K13636" s="46" t="s">
        <v>126</v>
      </c>
      <c r="L13636" s="45">
        <v>46014.104166666664</v>
      </c>
      <c r="M13636" s="46" t="s">
        <v>123</v>
      </c>
      <c r="N13636" s="45">
        <v>46014.145833333336</v>
      </c>
      <c r="O13636" s="46" t="s">
        <v>123</v>
      </c>
      <c r="P13636" s="46">
        <v>3600.0</v>
      </c>
    </row>
    <row r="13637">
      <c r="A13637" s="40">
        <f t="shared" si="1"/>
        <v>46013</v>
      </c>
      <c r="B13637" s="37" t="str">
        <f t="array" ref="B13637">iferror(xlookup($I13637, 'IMPORT VHC Report'!$E:$E, 'IMPORT VHC Report'!$A:$C), )</f>
        <v/>
      </c>
      <c r="C13637" s="44"/>
      <c r="D13637" s="44"/>
      <c r="E13637" s="46" t="s">
        <v>9737</v>
      </c>
      <c r="F13637" s="46" t="s">
        <v>5282</v>
      </c>
      <c r="G13637" s="46">
        <v>1.1279730843407E13</v>
      </c>
      <c r="H13637" s="46" t="s">
        <v>5283</v>
      </c>
      <c r="I13637" s="46" t="s">
        <v>5284</v>
      </c>
      <c r="J13637" s="46" t="s">
        <v>224</v>
      </c>
      <c r="K13637" s="46" t="s">
        <v>63</v>
      </c>
      <c r="L13637" s="45">
        <v>46014.145833333336</v>
      </c>
      <c r="M13637" s="46" t="s">
        <v>123</v>
      </c>
      <c r="N13637" s="45">
        <v>46014.208333333336</v>
      </c>
      <c r="O13637" s="46" t="s">
        <v>123</v>
      </c>
      <c r="P13637" s="46">
        <v>5400.0</v>
      </c>
    </row>
    <row r="13638">
      <c r="A13638" s="40">
        <f t="shared" si="1"/>
        <v>46013</v>
      </c>
      <c r="B13638" s="37" t="str">
        <f t="array" ref="B13638">iferror(xlookup($I13638, 'IMPORT VHC Report'!$E:$E, 'IMPORT VHC Report'!$A:$C), )</f>
        <v/>
      </c>
      <c r="C13638" s="44"/>
      <c r="D13638" s="44"/>
      <c r="E13638" s="46" t="s">
        <v>9738</v>
      </c>
      <c r="F13638" s="46" t="s">
        <v>5282</v>
      </c>
      <c r="G13638" s="46">
        <v>1.1279730843407E13</v>
      </c>
      <c r="H13638" s="46" t="s">
        <v>5283</v>
      </c>
      <c r="I13638" s="46" t="s">
        <v>5284</v>
      </c>
      <c r="J13638" s="46" t="s">
        <v>4</v>
      </c>
      <c r="K13638" s="46" t="s">
        <v>126</v>
      </c>
      <c r="L13638" s="45">
        <v>46014.833333333336</v>
      </c>
      <c r="M13638" s="46" t="s">
        <v>123</v>
      </c>
      <c r="N13638" s="45">
        <v>46014.864583333336</v>
      </c>
      <c r="O13638" s="46" t="s">
        <v>123</v>
      </c>
      <c r="P13638" s="46">
        <v>2700.0</v>
      </c>
      <c r="S13638" s="46" t="s">
        <v>9739</v>
      </c>
    </row>
    <row r="13639">
      <c r="A13639" s="40">
        <f t="shared" si="1"/>
        <v>46013</v>
      </c>
      <c r="B13639" s="37" t="str">
        <f t="array" ref="B13639">iferror(xlookup($I13639, 'IMPORT VHC Report'!$E:$E, 'IMPORT VHC Report'!$A:$C), )</f>
        <v/>
      </c>
      <c r="C13639" s="44"/>
      <c r="D13639" s="44"/>
      <c r="E13639" s="46" t="s">
        <v>9740</v>
      </c>
      <c r="F13639" s="46" t="s">
        <v>5282</v>
      </c>
      <c r="G13639" s="46">
        <v>1.1279730843407E13</v>
      </c>
      <c r="H13639" s="46" t="s">
        <v>5283</v>
      </c>
      <c r="I13639" s="46" t="s">
        <v>5284</v>
      </c>
      <c r="J13639" s="46" t="s">
        <v>224</v>
      </c>
      <c r="K13639" s="46" t="s">
        <v>63</v>
      </c>
      <c r="L13639" s="45">
        <v>46014.833333333336</v>
      </c>
      <c r="M13639" s="46" t="s">
        <v>123</v>
      </c>
      <c r="N13639" s="45">
        <v>46015.208333333336</v>
      </c>
      <c r="O13639" s="46" t="s">
        <v>123</v>
      </c>
      <c r="P13639" s="46">
        <v>32400.0</v>
      </c>
    </row>
    <row r="13640">
      <c r="A13640" s="40">
        <f t="shared" si="1"/>
        <v>46013</v>
      </c>
      <c r="B13640" s="37" t="str">
        <f t="array" ref="B13640">iferror(xlookup($I13640, 'IMPORT VHC Report'!$E:$E, 'IMPORT VHC Report'!$A:$C), )</f>
        <v/>
      </c>
      <c r="C13640" s="44"/>
      <c r="D13640" s="44"/>
      <c r="E13640" s="46" t="s">
        <v>9741</v>
      </c>
      <c r="F13640" s="46" t="s">
        <v>5282</v>
      </c>
      <c r="G13640" s="46">
        <v>1.1279730843407E13</v>
      </c>
      <c r="H13640" s="46" t="s">
        <v>5283</v>
      </c>
      <c r="I13640" s="46" t="s">
        <v>5284</v>
      </c>
      <c r="J13640" s="46" t="s">
        <v>330</v>
      </c>
      <c r="K13640" s="46" t="s">
        <v>126</v>
      </c>
      <c r="L13640" s="45">
        <v>46014.864583333336</v>
      </c>
      <c r="M13640" s="46" t="s">
        <v>123</v>
      </c>
      <c r="N13640" s="45">
        <v>46014.90625</v>
      </c>
      <c r="O13640" s="46" t="s">
        <v>123</v>
      </c>
      <c r="P13640" s="46">
        <v>3600.0</v>
      </c>
    </row>
    <row r="13641">
      <c r="A13641" s="40">
        <f t="shared" si="1"/>
        <v>46013</v>
      </c>
      <c r="B13641" s="37" t="str">
        <f t="array" ref="B13641">iferror(xlookup($I13641, 'IMPORT VHC Report'!$E:$E, 'IMPORT VHC Report'!$A:$C), )</f>
        <v/>
      </c>
      <c r="C13641" s="44"/>
      <c r="D13641" s="44"/>
      <c r="E13641" s="46" t="s">
        <v>9742</v>
      </c>
      <c r="F13641" s="46" t="s">
        <v>5282</v>
      </c>
      <c r="G13641" s="46">
        <v>1.1279730843407E13</v>
      </c>
      <c r="H13641" s="46" t="s">
        <v>5283</v>
      </c>
      <c r="I13641" s="46" t="s">
        <v>5284</v>
      </c>
      <c r="J13641" s="46" t="s">
        <v>134</v>
      </c>
      <c r="K13641" s="46" t="s">
        <v>126</v>
      </c>
      <c r="L13641" s="45">
        <v>46014.90625</v>
      </c>
      <c r="M13641" s="46" t="s">
        <v>123</v>
      </c>
      <c r="N13641" s="45">
        <v>46014.916666666664</v>
      </c>
      <c r="O13641" s="46" t="s">
        <v>123</v>
      </c>
      <c r="P13641" s="46">
        <v>900.0</v>
      </c>
    </row>
    <row r="13642">
      <c r="A13642" s="40">
        <f t="shared" si="1"/>
        <v>46013</v>
      </c>
      <c r="B13642" s="37" t="str">
        <f t="array" ref="B13642">iferror(xlookup($I13642, 'IMPORT VHC Report'!$E:$E, 'IMPORT VHC Report'!$A:$C), )</f>
        <v/>
      </c>
      <c r="C13642" s="44"/>
      <c r="D13642" s="44"/>
      <c r="E13642" s="46" t="s">
        <v>9743</v>
      </c>
      <c r="F13642" s="46" t="s">
        <v>5282</v>
      </c>
      <c r="G13642" s="46">
        <v>1.1279730843407E13</v>
      </c>
      <c r="H13642" s="46" t="s">
        <v>5283</v>
      </c>
      <c r="I13642" s="46" t="s">
        <v>5284</v>
      </c>
      <c r="J13642" s="46" t="s">
        <v>136</v>
      </c>
      <c r="K13642" s="46" t="s">
        <v>126</v>
      </c>
      <c r="L13642" s="45">
        <v>46014.916666666664</v>
      </c>
      <c r="M13642" s="46" t="s">
        <v>123</v>
      </c>
      <c r="N13642" s="45">
        <v>46015.0</v>
      </c>
      <c r="O13642" s="46" t="s">
        <v>123</v>
      </c>
      <c r="P13642" s="46">
        <v>7200.0</v>
      </c>
    </row>
    <row r="13643">
      <c r="A13643" s="40">
        <f t="shared" si="1"/>
        <v>46013</v>
      </c>
      <c r="B13643" s="37" t="str">
        <f t="array" ref="B13643">iferror(xlookup($I13643, 'IMPORT VHC Report'!$E:$E, 'IMPORT VHC Report'!$A:$C), )</f>
        <v/>
      </c>
      <c r="C13643" s="44"/>
      <c r="D13643" s="44"/>
      <c r="E13643" s="46" t="s">
        <v>9744</v>
      </c>
      <c r="F13643" s="46" t="s">
        <v>5282</v>
      </c>
      <c r="G13643" s="46">
        <v>1.1279730843407E13</v>
      </c>
      <c r="H13643" s="46" t="s">
        <v>5283</v>
      </c>
      <c r="I13643" s="46" t="s">
        <v>5284</v>
      </c>
      <c r="J13643" s="46" t="s">
        <v>132</v>
      </c>
      <c r="K13643" s="46" t="s">
        <v>126</v>
      </c>
      <c r="L13643" s="45">
        <v>46015.010416666664</v>
      </c>
      <c r="M13643" s="46" t="s">
        <v>123</v>
      </c>
      <c r="N13643" s="45">
        <v>46015.052083333336</v>
      </c>
      <c r="O13643" s="46" t="s">
        <v>123</v>
      </c>
      <c r="P13643" s="46">
        <v>3600.0</v>
      </c>
    </row>
    <row r="13644">
      <c r="A13644" s="40">
        <f t="shared" si="1"/>
        <v>46013</v>
      </c>
      <c r="B13644" s="37" t="str">
        <f t="array" ref="B13644">iferror(xlookup($I13644, 'IMPORT VHC Report'!$E:$E, 'IMPORT VHC Report'!$A:$C), )</f>
        <v/>
      </c>
      <c r="C13644" s="44"/>
      <c r="D13644" s="44"/>
      <c r="E13644" s="46" t="s">
        <v>9745</v>
      </c>
      <c r="F13644" s="46" t="s">
        <v>5282</v>
      </c>
      <c r="G13644" s="46">
        <v>1.1279730843407E13</v>
      </c>
      <c r="H13644" s="46" t="s">
        <v>5283</v>
      </c>
      <c r="I13644" s="46" t="s">
        <v>5284</v>
      </c>
      <c r="J13644" s="46" t="s">
        <v>134</v>
      </c>
      <c r="K13644" s="46" t="s">
        <v>126</v>
      </c>
      <c r="L13644" s="45">
        <v>46015.125</v>
      </c>
      <c r="M13644" s="46" t="s">
        <v>123</v>
      </c>
      <c r="N13644" s="45">
        <v>46015.135416666664</v>
      </c>
      <c r="O13644" s="46" t="s">
        <v>123</v>
      </c>
      <c r="P13644" s="46">
        <v>900.0</v>
      </c>
    </row>
    <row r="13645">
      <c r="A13645" s="40">
        <f t="shared" si="1"/>
        <v>46013</v>
      </c>
      <c r="B13645" s="37" t="str">
        <f t="array" ref="B13645">iferror(xlookup($I13645, 'IMPORT VHC Report'!$E:$E, 'IMPORT VHC Report'!$A:$C), )</f>
        <v/>
      </c>
      <c r="C13645" s="44"/>
      <c r="D13645" s="44"/>
      <c r="E13645" s="46" t="s">
        <v>9746</v>
      </c>
      <c r="F13645" s="46" t="s">
        <v>5282</v>
      </c>
      <c r="G13645" s="46">
        <v>1.1279730843407E13</v>
      </c>
      <c r="H13645" s="46" t="s">
        <v>5283</v>
      </c>
      <c r="I13645" s="46" t="s">
        <v>5284</v>
      </c>
      <c r="J13645" s="46" t="s">
        <v>224</v>
      </c>
      <c r="K13645" s="46" t="s">
        <v>63</v>
      </c>
      <c r="L13645" s="45">
        <v>46015.833333333336</v>
      </c>
      <c r="M13645" s="46" t="s">
        <v>123</v>
      </c>
      <c r="N13645" s="45">
        <v>46016.208333333336</v>
      </c>
      <c r="O13645" s="46" t="s">
        <v>123</v>
      </c>
      <c r="P13645" s="46">
        <v>32400.0</v>
      </c>
    </row>
    <row r="13646">
      <c r="A13646" s="40">
        <f t="shared" si="1"/>
        <v>46013</v>
      </c>
      <c r="B13646" s="37" t="str">
        <f t="array" ref="B13646">iferror(xlookup($I13646, 'IMPORT VHC Report'!$E:$E, 'IMPORT VHC Report'!$A:$C), )</f>
        <v/>
      </c>
      <c r="C13646" s="44"/>
      <c r="D13646" s="44"/>
      <c r="E13646" s="46" t="s">
        <v>9747</v>
      </c>
      <c r="F13646" s="46" t="s">
        <v>5282</v>
      </c>
      <c r="G13646" s="46">
        <v>1.1279730843407E13</v>
      </c>
      <c r="H13646" s="46" t="s">
        <v>5283</v>
      </c>
      <c r="I13646" s="46" t="s">
        <v>5284</v>
      </c>
      <c r="J13646" s="46" t="s">
        <v>178</v>
      </c>
      <c r="K13646" s="46" t="s">
        <v>153</v>
      </c>
      <c r="L13646" s="45">
        <v>46015.833333333336</v>
      </c>
      <c r="M13646" s="46" t="s">
        <v>123</v>
      </c>
      <c r="N13646" s="45">
        <v>46016.208333333336</v>
      </c>
      <c r="O13646" s="46" t="s">
        <v>123</v>
      </c>
      <c r="P13646" s="46">
        <v>32400.0</v>
      </c>
      <c r="Q13646" s="46">
        <v>32400.0</v>
      </c>
    </row>
    <row r="13647">
      <c r="A13647" s="40">
        <f t="shared" si="1"/>
        <v>46013</v>
      </c>
      <c r="B13647" s="37" t="str">
        <f t="array" ref="B13647">iferror(xlookup($I13647, 'IMPORT VHC Report'!$E:$E, 'IMPORT VHC Report'!$A:$C), )</f>
        <v/>
      </c>
      <c r="C13647" s="44"/>
      <c r="D13647" s="44"/>
      <c r="E13647" s="46" t="s">
        <v>9748</v>
      </c>
      <c r="F13647" s="46" t="s">
        <v>5282</v>
      </c>
      <c r="G13647" s="46">
        <v>1.1279730843407E13</v>
      </c>
      <c r="H13647" s="46" t="s">
        <v>5283</v>
      </c>
      <c r="I13647" s="46" t="s">
        <v>5284</v>
      </c>
      <c r="J13647" s="46" t="s">
        <v>134</v>
      </c>
      <c r="K13647" s="46" t="s">
        <v>126</v>
      </c>
      <c r="L13647" s="45">
        <v>46015.9375</v>
      </c>
      <c r="M13647" s="46" t="s">
        <v>123</v>
      </c>
      <c r="N13647" s="45">
        <v>46015.947916666664</v>
      </c>
      <c r="O13647" s="46" t="s">
        <v>123</v>
      </c>
      <c r="P13647" s="46">
        <v>900.0</v>
      </c>
    </row>
    <row r="13648">
      <c r="A13648" s="40">
        <f t="shared" si="1"/>
        <v>46013</v>
      </c>
      <c r="B13648" s="37" t="str">
        <f t="array" ref="B13648">iferror(xlookup($I13648, 'IMPORT VHC Report'!$E:$E, 'IMPORT VHC Report'!$A:$C), )</f>
        <v/>
      </c>
      <c r="C13648" s="44"/>
      <c r="D13648" s="44"/>
      <c r="E13648" s="46" t="s">
        <v>9749</v>
      </c>
      <c r="F13648" s="46" t="s">
        <v>5282</v>
      </c>
      <c r="G13648" s="46">
        <v>1.1279730843407E13</v>
      </c>
      <c r="H13648" s="46" t="s">
        <v>5283</v>
      </c>
      <c r="I13648" s="46" t="s">
        <v>5284</v>
      </c>
      <c r="J13648" s="46" t="s">
        <v>134</v>
      </c>
      <c r="K13648" s="46" t="s">
        <v>126</v>
      </c>
      <c r="L13648" s="45">
        <v>46016.010416666664</v>
      </c>
      <c r="M13648" s="46" t="s">
        <v>123</v>
      </c>
      <c r="N13648" s="45">
        <v>46016.020833333336</v>
      </c>
      <c r="O13648" s="46" t="s">
        <v>123</v>
      </c>
      <c r="P13648" s="46">
        <v>900.0</v>
      </c>
    </row>
    <row r="13649">
      <c r="A13649" s="40">
        <f t="shared" si="1"/>
        <v>46013</v>
      </c>
      <c r="B13649" s="37" t="str">
        <f t="array" ref="B13649">iferror(xlookup($I13649, 'IMPORT VHC Report'!$E:$E, 'IMPORT VHC Report'!$A:$C), )</f>
        <v/>
      </c>
      <c r="C13649" s="44"/>
      <c r="D13649" s="44"/>
      <c r="E13649" s="46" t="s">
        <v>9750</v>
      </c>
      <c r="F13649" s="46" t="s">
        <v>5282</v>
      </c>
      <c r="G13649" s="46">
        <v>1.1279730843407E13</v>
      </c>
      <c r="H13649" s="46" t="s">
        <v>5283</v>
      </c>
      <c r="I13649" s="46" t="s">
        <v>5284</v>
      </c>
      <c r="J13649" s="46" t="s">
        <v>132</v>
      </c>
      <c r="K13649" s="46" t="s">
        <v>126</v>
      </c>
      <c r="L13649" s="45">
        <v>46016.09375</v>
      </c>
      <c r="M13649" s="46" t="s">
        <v>123</v>
      </c>
      <c r="N13649" s="45">
        <v>46016.135416666664</v>
      </c>
      <c r="O13649" s="46" t="s">
        <v>123</v>
      </c>
      <c r="P13649" s="46">
        <v>3600.0</v>
      </c>
    </row>
    <row r="13650">
      <c r="A13650" s="40">
        <f t="shared" si="1"/>
        <v>46013</v>
      </c>
      <c r="B13650" s="37" t="str">
        <f t="array" ref="B13650">iferror(xlookup($I13650, 'IMPORT VHC Report'!$E:$E, 'IMPORT VHC Report'!$A:$C), )</f>
        <v/>
      </c>
      <c r="C13650" s="44"/>
      <c r="D13650" s="44"/>
      <c r="E13650" s="46" t="s">
        <v>9751</v>
      </c>
      <c r="F13650" s="46" t="s">
        <v>5282</v>
      </c>
      <c r="G13650" s="46">
        <v>1.1279730843407E13</v>
      </c>
      <c r="H13650" s="46" t="s">
        <v>5283</v>
      </c>
      <c r="I13650" s="46" t="s">
        <v>5284</v>
      </c>
      <c r="J13650" s="46" t="s">
        <v>224</v>
      </c>
      <c r="K13650" s="46" t="s">
        <v>63</v>
      </c>
      <c r="L13650" s="45">
        <v>46016.833333333336</v>
      </c>
      <c r="M13650" s="46" t="s">
        <v>123</v>
      </c>
      <c r="N13650" s="45">
        <v>46017.208333333336</v>
      </c>
      <c r="O13650" s="46" t="s">
        <v>123</v>
      </c>
      <c r="P13650" s="46">
        <v>32400.0</v>
      </c>
    </row>
    <row r="13651">
      <c r="A13651" s="40">
        <f t="shared" si="1"/>
        <v>46013</v>
      </c>
      <c r="B13651" s="37" t="str">
        <f t="array" ref="B13651">iferror(xlookup($I13651, 'IMPORT VHC Report'!$E:$E, 'IMPORT VHC Report'!$A:$C), )</f>
        <v/>
      </c>
      <c r="C13651" s="44"/>
      <c r="D13651" s="44"/>
      <c r="E13651" s="46" t="s">
        <v>9752</v>
      </c>
      <c r="F13651" s="46" t="s">
        <v>5282</v>
      </c>
      <c r="G13651" s="46">
        <v>1.1279730843407E13</v>
      </c>
      <c r="H13651" s="46" t="s">
        <v>5283</v>
      </c>
      <c r="I13651" s="46" t="s">
        <v>5284</v>
      </c>
      <c r="J13651" s="46" t="s">
        <v>178</v>
      </c>
      <c r="K13651" s="46" t="s">
        <v>153</v>
      </c>
      <c r="L13651" s="45">
        <v>46016.833333333336</v>
      </c>
      <c r="M13651" s="46" t="s">
        <v>123</v>
      </c>
      <c r="N13651" s="45">
        <v>46017.208333333336</v>
      </c>
      <c r="O13651" s="46" t="s">
        <v>123</v>
      </c>
      <c r="P13651" s="46">
        <v>32400.0</v>
      </c>
      <c r="Q13651" s="46">
        <v>32400.0</v>
      </c>
    </row>
    <row r="13652">
      <c r="A13652" s="40">
        <f t="shared" si="1"/>
        <v>46013</v>
      </c>
      <c r="B13652" s="37" t="str">
        <f t="array" ref="B13652">iferror(xlookup($I13652, 'IMPORT VHC Report'!$E:$E, 'IMPORT VHC Report'!$A:$C), )</f>
        <v/>
      </c>
      <c r="C13652" s="44"/>
      <c r="D13652" s="44"/>
      <c r="E13652" s="46" t="s">
        <v>9753</v>
      </c>
      <c r="F13652" s="46" t="s">
        <v>5282</v>
      </c>
      <c r="G13652" s="46">
        <v>1.1279730843407E13</v>
      </c>
      <c r="H13652" s="46" t="s">
        <v>5283</v>
      </c>
      <c r="I13652" s="46" t="s">
        <v>5284</v>
      </c>
      <c r="J13652" s="46" t="s">
        <v>134</v>
      </c>
      <c r="K13652" s="46" t="s">
        <v>126</v>
      </c>
      <c r="L13652" s="45">
        <v>46016.916666666664</v>
      </c>
      <c r="M13652" s="46" t="s">
        <v>123</v>
      </c>
      <c r="N13652" s="45">
        <v>46016.927083333336</v>
      </c>
      <c r="O13652" s="46" t="s">
        <v>123</v>
      </c>
      <c r="P13652" s="46">
        <v>900.0</v>
      </c>
    </row>
    <row r="13653">
      <c r="A13653" s="40">
        <f t="shared" si="1"/>
        <v>46013</v>
      </c>
      <c r="B13653" s="37" t="str">
        <f t="array" ref="B13653">iferror(xlookup($I13653, 'IMPORT VHC Report'!$E:$E, 'IMPORT VHC Report'!$A:$C), )</f>
        <v/>
      </c>
      <c r="C13653" s="44"/>
      <c r="D13653" s="44"/>
      <c r="E13653" s="46" t="s">
        <v>9754</v>
      </c>
      <c r="F13653" s="46" t="s">
        <v>5282</v>
      </c>
      <c r="G13653" s="46">
        <v>1.1279730843407E13</v>
      </c>
      <c r="H13653" s="46" t="s">
        <v>5283</v>
      </c>
      <c r="I13653" s="46" t="s">
        <v>5284</v>
      </c>
      <c r="J13653" s="46" t="s">
        <v>132</v>
      </c>
      <c r="K13653" s="46" t="s">
        <v>126</v>
      </c>
      <c r="L13653" s="45">
        <v>46017.0</v>
      </c>
      <c r="M13653" s="46" t="s">
        <v>123</v>
      </c>
      <c r="N13653" s="45">
        <v>46017.041666666664</v>
      </c>
      <c r="O13653" s="46" t="s">
        <v>123</v>
      </c>
      <c r="P13653" s="46">
        <v>3600.0</v>
      </c>
    </row>
    <row r="13654">
      <c r="A13654" s="40">
        <f t="shared" si="1"/>
        <v>46013</v>
      </c>
      <c r="B13654" s="37" t="str">
        <f t="array" ref="B13654">iferror(xlookup($I13654, 'IMPORT VHC Report'!$E:$E, 'IMPORT VHC Report'!$A:$C), )</f>
        <v/>
      </c>
      <c r="C13654" s="44"/>
      <c r="D13654" s="44"/>
      <c r="E13654" s="46" t="s">
        <v>9755</v>
      </c>
      <c r="F13654" s="46" t="s">
        <v>5282</v>
      </c>
      <c r="G13654" s="46">
        <v>1.1279730843407E13</v>
      </c>
      <c r="H13654" s="46" t="s">
        <v>5283</v>
      </c>
      <c r="I13654" s="46" t="s">
        <v>5284</v>
      </c>
      <c r="J13654" s="46" t="s">
        <v>134</v>
      </c>
      <c r="K13654" s="46" t="s">
        <v>126</v>
      </c>
      <c r="L13654" s="45">
        <v>46017.104166666664</v>
      </c>
      <c r="M13654" s="46" t="s">
        <v>123</v>
      </c>
      <c r="N13654" s="45">
        <v>46017.114583333336</v>
      </c>
      <c r="O13654" s="46" t="s">
        <v>123</v>
      </c>
      <c r="P13654" s="46">
        <v>900.0</v>
      </c>
    </row>
    <row r="13655">
      <c r="A13655" s="40">
        <f t="shared" si="1"/>
        <v>46013</v>
      </c>
      <c r="B13655" s="37" t="str">
        <f t="array" ref="B13655">iferror(xlookup($I13655, 'IMPORT VHC Report'!$E:$E, 'IMPORT VHC Report'!$A:$C), )</f>
        <v/>
      </c>
      <c r="C13655" s="44"/>
      <c r="D13655" s="44"/>
      <c r="E13655" s="46" t="s">
        <v>9756</v>
      </c>
      <c r="F13655" s="46" t="s">
        <v>5282</v>
      </c>
      <c r="G13655" s="46">
        <v>1.1279730843407E13</v>
      </c>
      <c r="H13655" s="46" t="s">
        <v>5283</v>
      </c>
      <c r="I13655" s="46" t="s">
        <v>5284</v>
      </c>
      <c r="J13655" s="46" t="s">
        <v>224</v>
      </c>
      <c r="K13655" s="46" t="s">
        <v>63</v>
      </c>
      <c r="L13655" s="45">
        <v>46017.833333333336</v>
      </c>
      <c r="M13655" s="46" t="s">
        <v>123</v>
      </c>
      <c r="N13655" s="45">
        <v>46018.208333333336</v>
      </c>
      <c r="O13655" s="46" t="s">
        <v>123</v>
      </c>
      <c r="P13655" s="46">
        <v>32400.0</v>
      </c>
    </row>
    <row r="13656">
      <c r="A13656" s="40">
        <f t="shared" si="1"/>
        <v>46013</v>
      </c>
      <c r="B13656" s="37" t="str">
        <f t="array" ref="B13656">iferror(xlookup($I13656, 'IMPORT VHC Report'!$E:$E, 'IMPORT VHC Report'!$A:$C), )</f>
        <v/>
      </c>
      <c r="C13656" s="44"/>
      <c r="D13656" s="44"/>
      <c r="E13656" s="46" t="s">
        <v>9757</v>
      </c>
      <c r="F13656" s="46" t="s">
        <v>5282</v>
      </c>
      <c r="G13656" s="46">
        <v>1.1279730843407E13</v>
      </c>
      <c r="H13656" s="46" t="s">
        <v>5283</v>
      </c>
      <c r="I13656" s="46" t="s">
        <v>5284</v>
      </c>
      <c r="J13656" s="46" t="s">
        <v>178</v>
      </c>
      <c r="K13656" s="46" t="s">
        <v>153</v>
      </c>
      <c r="L13656" s="45">
        <v>46017.833333333336</v>
      </c>
      <c r="M13656" s="46" t="s">
        <v>123</v>
      </c>
      <c r="N13656" s="45">
        <v>46018.208333333336</v>
      </c>
      <c r="O13656" s="46" t="s">
        <v>123</v>
      </c>
      <c r="P13656" s="46">
        <v>32400.0</v>
      </c>
      <c r="Q13656" s="46">
        <v>28800.0</v>
      </c>
    </row>
    <row r="13657">
      <c r="A13657" s="40">
        <f t="shared" si="1"/>
        <v>46013</v>
      </c>
      <c r="B13657" s="37" t="str">
        <f t="array" ref="B13657">iferror(xlookup($I13657, 'IMPORT VHC Report'!$E:$E, 'IMPORT VHC Report'!$A:$C), )</f>
        <v/>
      </c>
      <c r="C13657" s="44"/>
      <c r="D13657" s="44"/>
      <c r="E13657" s="46" t="s">
        <v>9758</v>
      </c>
      <c r="F13657" s="46" t="s">
        <v>5497</v>
      </c>
      <c r="G13657" s="46">
        <v>3.61861297995E11</v>
      </c>
      <c r="H13657" s="46" t="s">
        <v>5498</v>
      </c>
      <c r="I13657" s="46" t="s">
        <v>5499</v>
      </c>
      <c r="J13657" s="46" t="s">
        <v>224</v>
      </c>
      <c r="K13657" s="46" t="s">
        <v>63</v>
      </c>
      <c r="L13657" s="45">
        <v>46013.875</v>
      </c>
      <c r="M13657" s="46" t="s">
        <v>123</v>
      </c>
      <c r="N13657" s="45">
        <v>46014.0</v>
      </c>
      <c r="O13657" s="46" t="s">
        <v>123</v>
      </c>
      <c r="P13657" s="46">
        <v>10800.0</v>
      </c>
    </row>
    <row r="13658">
      <c r="A13658" s="40">
        <f t="shared" si="1"/>
        <v>46013</v>
      </c>
      <c r="B13658" s="37" t="str">
        <f t="array" ref="B13658">iferror(xlookup($I13658, 'IMPORT VHC Report'!$E:$E, 'IMPORT VHC Report'!$A:$C), )</f>
        <v/>
      </c>
      <c r="C13658" s="44"/>
      <c r="D13658" s="44"/>
      <c r="E13658" s="46" t="s">
        <v>9759</v>
      </c>
      <c r="F13658" s="46" t="s">
        <v>5497</v>
      </c>
      <c r="G13658" s="46">
        <v>3.61861297995E11</v>
      </c>
      <c r="H13658" s="46" t="s">
        <v>5498</v>
      </c>
      <c r="I13658" s="46" t="s">
        <v>5499</v>
      </c>
      <c r="J13658" s="46" t="s">
        <v>152</v>
      </c>
      <c r="K13658" s="46" t="s">
        <v>153</v>
      </c>
      <c r="L13658" s="45">
        <v>46013.875</v>
      </c>
      <c r="M13658" s="46" t="s">
        <v>123</v>
      </c>
      <c r="N13658" s="45">
        <v>46014.208333333336</v>
      </c>
      <c r="O13658" s="46" t="s">
        <v>123</v>
      </c>
      <c r="P13658" s="46">
        <v>28800.0</v>
      </c>
      <c r="Q13658" s="46">
        <v>28800.0</v>
      </c>
      <c r="R13658" s="46" t="s">
        <v>9760</v>
      </c>
      <c r="S13658" s="46" t="s">
        <v>9760</v>
      </c>
    </row>
    <row r="13659">
      <c r="A13659" s="40">
        <f t="shared" si="1"/>
        <v>46013</v>
      </c>
      <c r="B13659" s="37" t="str">
        <f t="array" ref="B13659">iferror(xlookup($I13659, 'IMPORT VHC Report'!$E:$E, 'IMPORT VHC Report'!$A:$C), )</f>
        <v/>
      </c>
      <c r="C13659" s="44"/>
      <c r="D13659" s="44"/>
      <c r="E13659" s="46" t="s">
        <v>9761</v>
      </c>
      <c r="F13659" s="46" t="s">
        <v>5497</v>
      </c>
      <c r="G13659" s="46">
        <v>3.61861297995E11</v>
      </c>
      <c r="H13659" s="46" t="s">
        <v>5498</v>
      </c>
      <c r="I13659" s="46" t="s">
        <v>5499</v>
      </c>
      <c r="J13659" s="46" t="s">
        <v>134</v>
      </c>
      <c r="K13659" s="46" t="s">
        <v>126</v>
      </c>
      <c r="L13659" s="45">
        <v>46013.958333333336</v>
      </c>
      <c r="M13659" s="46" t="s">
        <v>123</v>
      </c>
      <c r="N13659" s="45">
        <v>46013.979166666664</v>
      </c>
      <c r="O13659" s="46" t="s">
        <v>123</v>
      </c>
      <c r="P13659" s="46">
        <v>1800.0</v>
      </c>
    </row>
    <row r="13660">
      <c r="A13660" s="40">
        <f t="shared" si="1"/>
        <v>46013</v>
      </c>
      <c r="B13660" s="37" t="str">
        <f t="array" ref="B13660">iferror(xlookup($I13660, 'IMPORT VHC Report'!$E:$E, 'IMPORT VHC Report'!$A:$C), )</f>
        <v/>
      </c>
      <c r="C13660" s="44"/>
      <c r="D13660" s="44"/>
      <c r="E13660" s="46" t="s">
        <v>9762</v>
      </c>
      <c r="F13660" s="46" t="s">
        <v>5497</v>
      </c>
      <c r="G13660" s="46">
        <v>3.61861297995E11</v>
      </c>
      <c r="H13660" s="46" t="s">
        <v>5498</v>
      </c>
      <c r="I13660" s="46" t="s">
        <v>5499</v>
      </c>
      <c r="J13660" s="46" t="s">
        <v>132</v>
      </c>
      <c r="K13660" s="46" t="s">
        <v>126</v>
      </c>
      <c r="L13660" s="45">
        <v>46014.125</v>
      </c>
      <c r="M13660" s="46" t="s">
        <v>123</v>
      </c>
      <c r="N13660" s="45">
        <v>46014.166666666664</v>
      </c>
      <c r="O13660" s="46" t="s">
        <v>123</v>
      </c>
      <c r="P13660" s="46">
        <v>3600.0</v>
      </c>
    </row>
    <row r="13661">
      <c r="A13661" s="40">
        <f t="shared" si="1"/>
        <v>46013</v>
      </c>
      <c r="B13661" s="37" t="str">
        <f t="array" ref="B13661">iferror(xlookup($I13661, 'IMPORT VHC Report'!$E:$E, 'IMPORT VHC Report'!$A:$C), )</f>
        <v/>
      </c>
      <c r="C13661" s="44"/>
      <c r="D13661" s="44"/>
      <c r="E13661" s="46" t="s">
        <v>9763</v>
      </c>
      <c r="F13661" s="46" t="s">
        <v>5497</v>
      </c>
      <c r="G13661" s="46">
        <v>3.61861297995E11</v>
      </c>
      <c r="H13661" s="46" t="s">
        <v>5498</v>
      </c>
      <c r="I13661" s="46" t="s">
        <v>5499</v>
      </c>
      <c r="J13661" s="46" t="s">
        <v>136</v>
      </c>
      <c r="K13661" s="46" t="s">
        <v>126</v>
      </c>
      <c r="L13661" s="45">
        <v>46014.166666666664</v>
      </c>
      <c r="M13661" s="46" t="s">
        <v>123</v>
      </c>
      <c r="N13661" s="45">
        <v>46014.208333333336</v>
      </c>
      <c r="O13661" s="46" t="s">
        <v>123</v>
      </c>
      <c r="P13661" s="46">
        <v>3600.0</v>
      </c>
      <c r="S13661" s="46" t="s">
        <v>137</v>
      </c>
    </row>
    <row r="13662">
      <c r="A13662" s="40">
        <f t="shared" si="1"/>
        <v>46013</v>
      </c>
      <c r="B13662" s="37" t="str">
        <f t="array" ref="B13662">iferror(xlookup($I13662, 'IMPORT VHC Report'!$E:$E, 'IMPORT VHC Report'!$A:$C), )</f>
        <v/>
      </c>
      <c r="C13662" s="44"/>
      <c r="D13662" s="44"/>
      <c r="E13662" s="46" t="s">
        <v>9764</v>
      </c>
      <c r="F13662" s="46" t="s">
        <v>5497</v>
      </c>
      <c r="G13662" s="46">
        <v>3.61861297995E11</v>
      </c>
      <c r="H13662" s="46" t="s">
        <v>5498</v>
      </c>
      <c r="I13662" s="46" t="s">
        <v>5499</v>
      </c>
      <c r="J13662" s="46" t="s">
        <v>224</v>
      </c>
      <c r="K13662" s="46" t="s">
        <v>63</v>
      </c>
      <c r="L13662" s="45">
        <v>46014.875</v>
      </c>
      <c r="M13662" s="46" t="s">
        <v>123</v>
      </c>
      <c r="N13662" s="45">
        <v>46015.166666666664</v>
      </c>
      <c r="O13662" s="46" t="s">
        <v>123</v>
      </c>
      <c r="P13662" s="46">
        <v>25200.0</v>
      </c>
    </row>
    <row r="13663">
      <c r="A13663" s="40">
        <f t="shared" si="1"/>
        <v>46013</v>
      </c>
      <c r="B13663" s="37" t="str">
        <f t="array" ref="B13663">iferror(xlookup($I13663, 'IMPORT VHC Report'!$E:$E, 'IMPORT VHC Report'!$A:$C), )</f>
        <v/>
      </c>
      <c r="C13663" s="44"/>
      <c r="D13663" s="44"/>
      <c r="E13663" s="46" t="s">
        <v>9765</v>
      </c>
      <c r="F13663" s="46" t="s">
        <v>5497</v>
      </c>
      <c r="G13663" s="46">
        <v>3.61861297995E11</v>
      </c>
      <c r="H13663" s="46" t="s">
        <v>5498</v>
      </c>
      <c r="I13663" s="46" t="s">
        <v>5499</v>
      </c>
      <c r="J13663" s="46" t="s">
        <v>125</v>
      </c>
      <c r="K13663" s="46" t="s">
        <v>126</v>
      </c>
      <c r="L13663" s="45">
        <v>46014.88402777778</v>
      </c>
      <c r="M13663" s="46" t="s">
        <v>123</v>
      </c>
      <c r="N13663" s="45">
        <v>46014.888194444444</v>
      </c>
      <c r="O13663" s="46" t="s">
        <v>123</v>
      </c>
      <c r="P13663" s="46">
        <v>360.0</v>
      </c>
      <c r="S13663" s="46" t="s">
        <v>8706</v>
      </c>
    </row>
    <row r="13664">
      <c r="A13664" s="40">
        <f t="shared" si="1"/>
        <v>46013</v>
      </c>
      <c r="B13664" s="37" t="str">
        <f t="array" ref="B13664">iferror(xlookup($I13664, 'IMPORT VHC Report'!$E:$E, 'IMPORT VHC Report'!$A:$C), )</f>
        <v/>
      </c>
      <c r="C13664" s="44"/>
      <c r="D13664" s="44"/>
      <c r="E13664" s="46" t="s">
        <v>9766</v>
      </c>
      <c r="F13664" s="46" t="s">
        <v>5497</v>
      </c>
      <c r="G13664" s="46">
        <v>3.61861297995E11</v>
      </c>
      <c r="H13664" s="46" t="s">
        <v>5498</v>
      </c>
      <c r="I13664" s="46" t="s">
        <v>5499</v>
      </c>
      <c r="J13664" s="46" t="s">
        <v>4</v>
      </c>
      <c r="K13664" s="46" t="s">
        <v>126</v>
      </c>
      <c r="L13664" s="45">
        <v>46014.916666666664</v>
      </c>
      <c r="M13664" s="46" t="s">
        <v>123</v>
      </c>
      <c r="N13664" s="45">
        <v>46014.927083333336</v>
      </c>
      <c r="O13664" s="46" t="s">
        <v>123</v>
      </c>
      <c r="P13664" s="46">
        <v>900.0</v>
      </c>
      <c r="S13664" s="46" t="s">
        <v>8895</v>
      </c>
    </row>
    <row r="13665">
      <c r="A13665" s="40">
        <f t="shared" si="1"/>
        <v>46013</v>
      </c>
      <c r="B13665" s="37" t="str">
        <f t="array" ref="B13665">iferror(xlookup($I13665, 'IMPORT VHC Report'!$E:$E, 'IMPORT VHC Report'!$A:$C), )</f>
        <v/>
      </c>
      <c r="C13665" s="44"/>
      <c r="D13665" s="44"/>
      <c r="E13665" s="46" t="s">
        <v>9767</v>
      </c>
      <c r="F13665" s="46" t="s">
        <v>5497</v>
      </c>
      <c r="G13665" s="46">
        <v>3.61861297995E11</v>
      </c>
      <c r="H13665" s="46" t="s">
        <v>5498</v>
      </c>
      <c r="I13665" s="46" t="s">
        <v>5499</v>
      </c>
      <c r="J13665" s="46" t="s">
        <v>134</v>
      </c>
      <c r="K13665" s="46" t="s">
        <v>126</v>
      </c>
      <c r="L13665" s="45">
        <v>46014.979166666664</v>
      </c>
      <c r="M13665" s="46" t="s">
        <v>123</v>
      </c>
      <c r="N13665" s="45">
        <v>46015.0</v>
      </c>
      <c r="O13665" s="46" t="s">
        <v>123</v>
      </c>
      <c r="P13665" s="46">
        <v>1800.0</v>
      </c>
    </row>
    <row r="13666">
      <c r="A13666" s="40">
        <f t="shared" si="1"/>
        <v>46013</v>
      </c>
      <c r="B13666" s="37" t="str">
        <f t="array" ref="B13666">iferror(xlookup($I13666, 'IMPORT VHC Report'!$E:$E, 'IMPORT VHC Report'!$A:$C), )</f>
        <v/>
      </c>
      <c r="C13666" s="44"/>
      <c r="D13666" s="44"/>
      <c r="E13666" s="46" t="s">
        <v>9768</v>
      </c>
      <c r="F13666" s="46" t="s">
        <v>5497</v>
      </c>
      <c r="G13666" s="46">
        <v>3.61861297995E11</v>
      </c>
      <c r="H13666" s="46" t="s">
        <v>5498</v>
      </c>
      <c r="I13666" s="46" t="s">
        <v>5499</v>
      </c>
      <c r="J13666" s="46" t="s">
        <v>132</v>
      </c>
      <c r="K13666" s="46" t="s">
        <v>126</v>
      </c>
      <c r="L13666" s="45">
        <v>46015.125</v>
      </c>
      <c r="M13666" s="46" t="s">
        <v>123</v>
      </c>
      <c r="N13666" s="45">
        <v>46015.166666666664</v>
      </c>
      <c r="O13666" s="46" t="s">
        <v>123</v>
      </c>
      <c r="P13666" s="46">
        <v>3600.0</v>
      </c>
    </row>
    <row r="13667">
      <c r="A13667" s="40">
        <f t="shared" si="1"/>
        <v>46013</v>
      </c>
      <c r="B13667" s="37" t="str">
        <f t="array" ref="B13667">iferror(xlookup($I13667, 'IMPORT VHC Report'!$E:$E, 'IMPORT VHC Report'!$A:$C), )</f>
        <v/>
      </c>
      <c r="C13667" s="44"/>
      <c r="D13667" s="44"/>
      <c r="E13667" s="46" t="s">
        <v>9769</v>
      </c>
      <c r="F13667" s="46" t="s">
        <v>5497</v>
      </c>
      <c r="G13667" s="46">
        <v>3.61861297995E11</v>
      </c>
      <c r="H13667" s="46" t="s">
        <v>5498</v>
      </c>
      <c r="I13667" s="46" t="s">
        <v>5499</v>
      </c>
      <c r="J13667" s="46" t="s">
        <v>62</v>
      </c>
      <c r="K13667" s="46" t="s">
        <v>63</v>
      </c>
      <c r="L13667" s="45">
        <v>46015.166666666664</v>
      </c>
      <c r="M13667" s="46" t="s">
        <v>123</v>
      </c>
      <c r="N13667" s="45">
        <v>46015.1875</v>
      </c>
      <c r="O13667" s="46" t="s">
        <v>123</v>
      </c>
      <c r="P13667" s="46">
        <v>1800.0</v>
      </c>
    </row>
    <row r="13668">
      <c r="A13668" s="40">
        <f t="shared" si="1"/>
        <v>46013</v>
      </c>
      <c r="B13668" s="37" t="str">
        <f t="array" ref="B13668">iferror(xlookup($I13668, 'IMPORT VHC Report'!$E:$E, 'IMPORT VHC Report'!$A:$C), )</f>
        <v/>
      </c>
      <c r="C13668" s="44"/>
      <c r="D13668" s="44"/>
      <c r="E13668" s="46" t="s">
        <v>9770</v>
      </c>
      <c r="F13668" s="46" t="s">
        <v>5497</v>
      </c>
      <c r="G13668" s="46">
        <v>3.61861297995E11</v>
      </c>
      <c r="H13668" s="46" t="s">
        <v>5498</v>
      </c>
      <c r="I13668" s="46" t="s">
        <v>5499</v>
      </c>
      <c r="J13668" s="46" t="s">
        <v>136</v>
      </c>
      <c r="K13668" s="46" t="s">
        <v>126</v>
      </c>
      <c r="L13668" s="45">
        <v>46015.166666666664</v>
      </c>
      <c r="M13668" s="46" t="s">
        <v>123</v>
      </c>
      <c r="N13668" s="45">
        <v>46015.194444444445</v>
      </c>
      <c r="O13668" s="46" t="s">
        <v>123</v>
      </c>
      <c r="P13668" s="46">
        <v>2400.0</v>
      </c>
      <c r="S13668" s="46" t="s">
        <v>8716</v>
      </c>
    </row>
    <row r="13669">
      <c r="A13669" s="40">
        <f t="shared" si="1"/>
        <v>46013</v>
      </c>
      <c r="B13669" s="37" t="str">
        <f t="array" ref="B13669">iferror(xlookup($I13669, 'IMPORT VHC Report'!$E:$E, 'IMPORT VHC Report'!$A:$C), )</f>
        <v/>
      </c>
      <c r="C13669" s="44"/>
      <c r="D13669" s="44"/>
      <c r="E13669" s="46" t="s">
        <v>9771</v>
      </c>
      <c r="F13669" s="46" t="s">
        <v>5497</v>
      </c>
      <c r="G13669" s="46">
        <v>3.61861297995E11</v>
      </c>
      <c r="H13669" s="46" t="s">
        <v>5498</v>
      </c>
      <c r="I13669" s="46" t="s">
        <v>5499</v>
      </c>
      <c r="J13669" s="46" t="s">
        <v>224</v>
      </c>
      <c r="K13669" s="46" t="s">
        <v>63</v>
      </c>
      <c r="L13669" s="45">
        <v>46015.1875</v>
      </c>
      <c r="M13669" s="46" t="s">
        <v>123</v>
      </c>
      <c r="N13669" s="45">
        <v>46015.25</v>
      </c>
      <c r="O13669" s="46" t="s">
        <v>123</v>
      </c>
      <c r="P13669" s="46">
        <v>5400.0</v>
      </c>
    </row>
    <row r="13670">
      <c r="A13670" s="40">
        <f t="shared" si="1"/>
        <v>46013</v>
      </c>
      <c r="B13670" s="37" t="str">
        <f t="array" ref="B13670">iferror(xlookup($I13670, 'IMPORT VHC Report'!$E:$E, 'IMPORT VHC Report'!$A:$C), )</f>
        <v/>
      </c>
      <c r="C13670" s="44"/>
      <c r="D13670" s="44"/>
      <c r="E13670" s="46" t="s">
        <v>9772</v>
      </c>
      <c r="F13670" s="46" t="s">
        <v>5497</v>
      </c>
      <c r="G13670" s="46">
        <v>3.61861297995E11</v>
      </c>
      <c r="H13670" s="46" t="s">
        <v>5498</v>
      </c>
      <c r="I13670" s="46" t="s">
        <v>5499</v>
      </c>
      <c r="J13670" s="46" t="s">
        <v>125</v>
      </c>
      <c r="K13670" s="46" t="s">
        <v>126</v>
      </c>
      <c r="L13670" s="45">
        <v>46015.875</v>
      </c>
      <c r="M13670" s="46" t="s">
        <v>123</v>
      </c>
      <c r="N13670" s="45">
        <v>46015.885416666664</v>
      </c>
      <c r="O13670" s="46" t="s">
        <v>123</v>
      </c>
      <c r="P13670" s="46">
        <v>900.0</v>
      </c>
      <c r="S13670" s="46" t="s">
        <v>8706</v>
      </c>
    </row>
    <row r="13671">
      <c r="A13671" s="40">
        <f t="shared" si="1"/>
        <v>46013</v>
      </c>
      <c r="B13671" s="37" t="str">
        <f t="array" ref="B13671">iferror(xlookup($I13671, 'IMPORT VHC Report'!$E:$E, 'IMPORT VHC Report'!$A:$C), )</f>
        <v/>
      </c>
      <c r="C13671" s="44"/>
      <c r="D13671" s="44"/>
      <c r="E13671" s="46" t="s">
        <v>9773</v>
      </c>
      <c r="F13671" s="46" t="s">
        <v>5497</v>
      </c>
      <c r="G13671" s="46">
        <v>3.61861297995E11</v>
      </c>
      <c r="H13671" s="46" t="s">
        <v>5498</v>
      </c>
      <c r="I13671" s="46" t="s">
        <v>5499</v>
      </c>
      <c r="J13671" s="46" t="s">
        <v>224</v>
      </c>
      <c r="K13671" s="46" t="s">
        <v>63</v>
      </c>
      <c r="L13671" s="45">
        <v>46015.875</v>
      </c>
      <c r="M13671" s="46" t="s">
        <v>123</v>
      </c>
      <c r="N13671" s="45">
        <v>46016.25</v>
      </c>
      <c r="O13671" s="46" t="s">
        <v>123</v>
      </c>
      <c r="P13671" s="46">
        <v>32400.0</v>
      </c>
    </row>
    <row r="13672">
      <c r="A13672" s="40">
        <f t="shared" si="1"/>
        <v>46013</v>
      </c>
      <c r="B13672" s="37" t="str">
        <f t="array" ref="B13672">iferror(xlookup($I13672, 'IMPORT VHC Report'!$E:$E, 'IMPORT VHC Report'!$A:$C), )</f>
        <v/>
      </c>
      <c r="C13672" s="44"/>
      <c r="D13672" s="44"/>
      <c r="E13672" s="46" t="s">
        <v>9774</v>
      </c>
      <c r="F13672" s="46" t="s">
        <v>5497</v>
      </c>
      <c r="G13672" s="46">
        <v>3.61861297995E11</v>
      </c>
      <c r="H13672" s="46" t="s">
        <v>5498</v>
      </c>
      <c r="I13672" s="46" t="s">
        <v>5499</v>
      </c>
      <c r="J13672" s="46" t="s">
        <v>134</v>
      </c>
      <c r="K13672" s="46" t="s">
        <v>126</v>
      </c>
      <c r="L13672" s="45">
        <v>46016.1875</v>
      </c>
      <c r="M13672" s="46" t="s">
        <v>123</v>
      </c>
      <c r="N13672" s="45">
        <v>46016.208333333336</v>
      </c>
      <c r="O13672" s="46" t="s">
        <v>123</v>
      </c>
      <c r="P13672" s="46">
        <v>1800.0</v>
      </c>
      <c r="S13672" s="46" t="s">
        <v>9775</v>
      </c>
    </row>
    <row r="13673">
      <c r="A13673" s="40">
        <f t="shared" si="1"/>
        <v>46013</v>
      </c>
      <c r="B13673" s="37" t="str">
        <f t="array" ref="B13673">iferror(xlookup($I13673, 'IMPORT VHC Report'!$E:$E, 'IMPORT VHC Report'!$A:$C), )</f>
        <v/>
      </c>
      <c r="C13673" s="44"/>
      <c r="D13673" s="44"/>
      <c r="E13673" s="46" t="s">
        <v>9776</v>
      </c>
      <c r="F13673" s="46" t="s">
        <v>5497</v>
      </c>
      <c r="G13673" s="46">
        <v>3.61861297995E11</v>
      </c>
      <c r="H13673" s="46" t="s">
        <v>5498</v>
      </c>
      <c r="I13673" s="46" t="s">
        <v>5499</v>
      </c>
      <c r="J13673" s="46" t="s">
        <v>132</v>
      </c>
      <c r="K13673" s="46" t="s">
        <v>126</v>
      </c>
      <c r="L13673" s="45">
        <v>46016.208333333336</v>
      </c>
      <c r="M13673" s="46" t="s">
        <v>123</v>
      </c>
      <c r="N13673" s="45">
        <v>46016.25</v>
      </c>
      <c r="O13673" s="46" t="s">
        <v>123</v>
      </c>
      <c r="P13673" s="46">
        <v>3600.0</v>
      </c>
      <c r="S13673" s="46" t="s">
        <v>9777</v>
      </c>
    </row>
    <row r="13674">
      <c r="A13674" s="40">
        <f t="shared" si="1"/>
        <v>46013</v>
      </c>
      <c r="B13674" s="37" t="str">
        <f t="array" ref="B13674">iferror(xlookup($I13674, 'IMPORT VHC Report'!$E:$E, 'IMPORT VHC Report'!$A:$C), )</f>
        <v/>
      </c>
      <c r="C13674" s="44"/>
      <c r="D13674" s="44"/>
      <c r="E13674" s="46" t="s">
        <v>9778</v>
      </c>
      <c r="F13674" s="46" t="s">
        <v>5497</v>
      </c>
      <c r="G13674" s="46">
        <v>3.61861297995E11</v>
      </c>
      <c r="H13674" s="46" t="s">
        <v>5498</v>
      </c>
      <c r="I13674" s="46" t="s">
        <v>5499</v>
      </c>
      <c r="J13674" s="46" t="s">
        <v>125</v>
      </c>
      <c r="K13674" s="46" t="s">
        <v>126</v>
      </c>
      <c r="L13674" s="45">
        <v>46016.875</v>
      </c>
      <c r="M13674" s="46" t="s">
        <v>123</v>
      </c>
      <c r="N13674" s="45">
        <v>46016.881944444445</v>
      </c>
      <c r="O13674" s="46" t="s">
        <v>123</v>
      </c>
      <c r="P13674" s="46">
        <v>600.0</v>
      </c>
      <c r="S13674" s="46" t="s">
        <v>5529</v>
      </c>
    </row>
    <row r="13675">
      <c r="A13675" s="40">
        <f t="shared" si="1"/>
        <v>46013</v>
      </c>
      <c r="B13675" s="37" t="str">
        <f t="array" ref="B13675">iferror(xlookup($I13675, 'IMPORT VHC Report'!$E:$E, 'IMPORT VHC Report'!$A:$C), )</f>
        <v/>
      </c>
      <c r="C13675" s="44"/>
      <c r="D13675" s="44"/>
      <c r="E13675" s="46" t="s">
        <v>9779</v>
      </c>
      <c r="F13675" s="46" t="s">
        <v>5497</v>
      </c>
      <c r="G13675" s="46">
        <v>3.61861297995E11</v>
      </c>
      <c r="H13675" s="46" t="s">
        <v>5498</v>
      </c>
      <c r="I13675" s="46" t="s">
        <v>5499</v>
      </c>
      <c r="J13675" s="46" t="s">
        <v>224</v>
      </c>
      <c r="K13675" s="46" t="s">
        <v>63</v>
      </c>
      <c r="L13675" s="45">
        <v>46016.875</v>
      </c>
      <c r="M13675" s="46" t="s">
        <v>123</v>
      </c>
      <c r="N13675" s="45">
        <v>46017.25</v>
      </c>
      <c r="O13675" s="46" t="s">
        <v>123</v>
      </c>
      <c r="P13675" s="46">
        <v>32400.0</v>
      </c>
    </row>
    <row r="13676">
      <c r="A13676" s="40">
        <f t="shared" si="1"/>
        <v>46013</v>
      </c>
      <c r="B13676" s="37" t="str">
        <f t="array" ref="B13676">iferror(xlookup($I13676, 'IMPORT VHC Report'!$E:$E, 'IMPORT VHC Report'!$A:$C), )</f>
        <v/>
      </c>
      <c r="C13676" s="44"/>
      <c r="D13676" s="44"/>
      <c r="E13676" s="46" t="s">
        <v>9780</v>
      </c>
      <c r="F13676" s="46" t="s">
        <v>5497</v>
      </c>
      <c r="G13676" s="46">
        <v>3.61861297995E11</v>
      </c>
      <c r="H13676" s="46" t="s">
        <v>5498</v>
      </c>
      <c r="I13676" s="46" t="s">
        <v>5499</v>
      </c>
      <c r="J13676" s="46" t="s">
        <v>4</v>
      </c>
      <c r="K13676" s="46" t="s">
        <v>126</v>
      </c>
      <c r="L13676" s="45">
        <v>46016.9375</v>
      </c>
      <c r="M13676" s="46" t="s">
        <v>123</v>
      </c>
      <c r="N13676" s="45">
        <v>46016.947916666664</v>
      </c>
      <c r="O13676" s="46" t="s">
        <v>123</v>
      </c>
      <c r="P13676" s="46">
        <v>900.0</v>
      </c>
      <c r="S13676" s="46" t="s">
        <v>8726</v>
      </c>
    </row>
    <row r="13677">
      <c r="A13677" s="40">
        <f t="shared" si="1"/>
        <v>46013</v>
      </c>
      <c r="B13677" s="37" t="str">
        <f t="array" ref="B13677">iferror(xlookup($I13677, 'IMPORT VHC Report'!$E:$E, 'IMPORT VHC Report'!$A:$C), )</f>
        <v/>
      </c>
      <c r="C13677" s="44"/>
      <c r="D13677" s="44"/>
      <c r="E13677" s="46" t="s">
        <v>9781</v>
      </c>
      <c r="F13677" s="46" t="s">
        <v>5497</v>
      </c>
      <c r="G13677" s="46">
        <v>3.61861297995E11</v>
      </c>
      <c r="H13677" s="46" t="s">
        <v>5498</v>
      </c>
      <c r="I13677" s="46" t="s">
        <v>5499</v>
      </c>
      <c r="J13677" s="46" t="s">
        <v>125</v>
      </c>
      <c r="K13677" s="46" t="s">
        <v>126</v>
      </c>
      <c r="L13677" s="45">
        <v>46016.947916666664</v>
      </c>
      <c r="M13677" s="46" t="s">
        <v>123</v>
      </c>
      <c r="N13677" s="45">
        <v>46016.989583333336</v>
      </c>
      <c r="O13677" s="46" t="s">
        <v>123</v>
      </c>
      <c r="P13677" s="46">
        <v>3600.0</v>
      </c>
      <c r="S13677" s="46" t="s">
        <v>8728</v>
      </c>
    </row>
    <row r="13678">
      <c r="A13678" s="40">
        <f t="shared" si="1"/>
        <v>46013</v>
      </c>
      <c r="B13678" s="37" t="str">
        <f t="array" ref="B13678">iferror(xlookup($I13678, 'IMPORT VHC Report'!$E:$E, 'IMPORT VHC Report'!$A:$C), )</f>
        <v/>
      </c>
      <c r="C13678" s="44"/>
      <c r="D13678" s="44"/>
      <c r="E13678" s="46" t="s">
        <v>9782</v>
      </c>
      <c r="F13678" s="46" t="s">
        <v>5497</v>
      </c>
      <c r="G13678" s="46">
        <v>3.61861297995E11</v>
      </c>
      <c r="H13678" s="46" t="s">
        <v>5498</v>
      </c>
      <c r="I13678" s="46" t="s">
        <v>5499</v>
      </c>
      <c r="J13678" s="46" t="s">
        <v>134</v>
      </c>
      <c r="K13678" s="46" t="s">
        <v>126</v>
      </c>
      <c r="L13678" s="45">
        <v>46017.0</v>
      </c>
      <c r="M13678" s="46" t="s">
        <v>123</v>
      </c>
      <c r="N13678" s="45">
        <v>46017.020833333336</v>
      </c>
      <c r="O13678" s="46" t="s">
        <v>123</v>
      </c>
      <c r="P13678" s="46">
        <v>1800.0</v>
      </c>
    </row>
    <row r="13679">
      <c r="A13679" s="40">
        <f t="shared" si="1"/>
        <v>46013</v>
      </c>
      <c r="B13679" s="37" t="str">
        <f t="array" ref="B13679">iferror(xlookup($I13679, 'IMPORT VHC Report'!$E:$E, 'IMPORT VHC Report'!$A:$C), )</f>
        <v/>
      </c>
      <c r="C13679" s="44"/>
      <c r="D13679" s="44"/>
      <c r="E13679" s="46" t="s">
        <v>9783</v>
      </c>
      <c r="F13679" s="46" t="s">
        <v>5497</v>
      </c>
      <c r="G13679" s="46">
        <v>3.61861297995E11</v>
      </c>
      <c r="H13679" s="46" t="s">
        <v>5498</v>
      </c>
      <c r="I13679" s="46" t="s">
        <v>5499</v>
      </c>
      <c r="J13679" s="46" t="s">
        <v>132</v>
      </c>
      <c r="K13679" s="46" t="s">
        <v>126</v>
      </c>
      <c r="L13679" s="45">
        <v>46017.125</v>
      </c>
      <c r="M13679" s="46" t="s">
        <v>123</v>
      </c>
      <c r="N13679" s="45">
        <v>46017.166666666664</v>
      </c>
      <c r="O13679" s="46" t="s">
        <v>123</v>
      </c>
      <c r="P13679" s="46">
        <v>3600.0</v>
      </c>
    </row>
    <row r="13680">
      <c r="A13680" s="40">
        <f t="shared" si="1"/>
        <v>46013</v>
      </c>
      <c r="B13680" s="37" t="str">
        <f t="array" ref="B13680">iferror(xlookup($I13680, 'IMPORT VHC Report'!$E:$E, 'IMPORT VHC Report'!$A:$C), )</f>
        <v/>
      </c>
      <c r="C13680" s="44"/>
      <c r="D13680" s="44"/>
      <c r="E13680" s="46" t="s">
        <v>9784</v>
      </c>
      <c r="F13680" s="46" t="s">
        <v>5497</v>
      </c>
      <c r="G13680" s="46">
        <v>3.61861297995E11</v>
      </c>
      <c r="H13680" s="46" t="s">
        <v>5498</v>
      </c>
      <c r="I13680" s="46" t="s">
        <v>5499</v>
      </c>
      <c r="J13680" s="46" t="s">
        <v>125</v>
      </c>
      <c r="K13680" s="46" t="s">
        <v>126</v>
      </c>
      <c r="L13680" s="45">
        <v>46017.875</v>
      </c>
      <c r="M13680" s="46" t="s">
        <v>123</v>
      </c>
      <c r="N13680" s="45">
        <v>46017.885416666664</v>
      </c>
      <c r="O13680" s="46" t="s">
        <v>123</v>
      </c>
      <c r="P13680" s="46">
        <v>900.0</v>
      </c>
      <c r="S13680" s="46" t="s">
        <v>5529</v>
      </c>
    </row>
    <row r="13681">
      <c r="A13681" s="40">
        <f t="shared" si="1"/>
        <v>46013</v>
      </c>
      <c r="B13681" s="37" t="str">
        <f t="array" ref="B13681">iferror(xlookup($I13681, 'IMPORT VHC Report'!$E:$E, 'IMPORT VHC Report'!$A:$C), )</f>
        <v/>
      </c>
      <c r="C13681" s="44"/>
      <c r="D13681" s="44"/>
      <c r="E13681" s="46" t="s">
        <v>9785</v>
      </c>
      <c r="F13681" s="46" t="s">
        <v>5497</v>
      </c>
      <c r="G13681" s="46">
        <v>3.61861297995E11</v>
      </c>
      <c r="H13681" s="46" t="s">
        <v>5498</v>
      </c>
      <c r="I13681" s="46" t="s">
        <v>5499</v>
      </c>
      <c r="J13681" s="46" t="s">
        <v>224</v>
      </c>
      <c r="K13681" s="46" t="s">
        <v>63</v>
      </c>
      <c r="L13681" s="45">
        <v>46017.875</v>
      </c>
      <c r="M13681" s="46" t="s">
        <v>123</v>
      </c>
      <c r="N13681" s="45">
        <v>46018.25</v>
      </c>
      <c r="O13681" s="46" t="s">
        <v>123</v>
      </c>
      <c r="P13681" s="46">
        <v>32400.0</v>
      </c>
    </row>
    <row r="13682">
      <c r="A13682" s="40">
        <f t="shared" si="1"/>
        <v>46013</v>
      </c>
      <c r="B13682" s="37" t="str">
        <f t="array" ref="B13682">iferror(xlookup($I13682, 'IMPORT VHC Report'!$E:$E, 'IMPORT VHC Report'!$A:$C), )</f>
        <v/>
      </c>
      <c r="C13682" s="44"/>
      <c r="D13682" s="44"/>
      <c r="E13682" s="46" t="s">
        <v>9786</v>
      </c>
      <c r="F13682" s="46" t="s">
        <v>5497</v>
      </c>
      <c r="G13682" s="46">
        <v>3.61861297995E11</v>
      </c>
      <c r="H13682" s="46" t="s">
        <v>5498</v>
      </c>
      <c r="I13682" s="46" t="s">
        <v>5499</v>
      </c>
      <c r="J13682" s="46" t="s">
        <v>330</v>
      </c>
      <c r="K13682" s="46" t="s">
        <v>126</v>
      </c>
      <c r="L13682" s="45">
        <v>46017.895833333336</v>
      </c>
      <c r="M13682" s="46" t="s">
        <v>123</v>
      </c>
      <c r="N13682" s="45">
        <v>46017.93402777778</v>
      </c>
      <c r="O13682" s="46" t="s">
        <v>123</v>
      </c>
      <c r="P13682" s="46">
        <v>3300.0</v>
      </c>
    </row>
    <row r="13683">
      <c r="A13683" s="40">
        <f t="shared" si="1"/>
        <v>46013</v>
      </c>
      <c r="B13683" s="37" t="str">
        <f t="array" ref="B13683">iferror(xlookup($I13683, 'IMPORT VHC Report'!$E:$E, 'IMPORT VHC Report'!$A:$C), )</f>
        <v/>
      </c>
      <c r="C13683" s="44"/>
      <c r="D13683" s="44"/>
      <c r="E13683" s="46" t="s">
        <v>9787</v>
      </c>
      <c r="F13683" s="46" t="s">
        <v>5497</v>
      </c>
      <c r="G13683" s="46">
        <v>3.61861297995E11</v>
      </c>
      <c r="H13683" s="46" t="s">
        <v>5498</v>
      </c>
      <c r="I13683" s="46" t="s">
        <v>5499</v>
      </c>
      <c r="J13683" s="46" t="s">
        <v>136</v>
      </c>
      <c r="K13683" s="46" t="s">
        <v>126</v>
      </c>
      <c r="L13683" s="45">
        <v>46018.0</v>
      </c>
      <c r="M13683" s="46" t="s">
        <v>123</v>
      </c>
      <c r="N13683" s="45">
        <v>46018.0625</v>
      </c>
      <c r="O13683" s="46" t="s">
        <v>123</v>
      </c>
      <c r="P13683" s="46">
        <v>5400.0</v>
      </c>
      <c r="S13683" s="46" t="s">
        <v>8734</v>
      </c>
    </row>
    <row r="13684">
      <c r="A13684" s="40">
        <f t="shared" si="1"/>
        <v>46013</v>
      </c>
      <c r="B13684" s="37" t="str">
        <f t="array" ref="B13684">iferror(xlookup($I13684, 'IMPORT VHC Report'!$E:$E, 'IMPORT VHC Report'!$A:$C), )</f>
        <v/>
      </c>
      <c r="C13684" s="44"/>
      <c r="D13684" s="44"/>
      <c r="E13684" s="46" t="s">
        <v>9788</v>
      </c>
      <c r="F13684" s="46" t="s">
        <v>5497</v>
      </c>
      <c r="G13684" s="46">
        <v>3.61861297995E11</v>
      </c>
      <c r="H13684" s="46" t="s">
        <v>5498</v>
      </c>
      <c r="I13684" s="46" t="s">
        <v>5499</v>
      </c>
      <c r="J13684" s="46" t="s">
        <v>134</v>
      </c>
      <c r="K13684" s="46" t="s">
        <v>126</v>
      </c>
      <c r="L13684" s="45">
        <v>46018.1875</v>
      </c>
      <c r="M13684" s="46" t="s">
        <v>123</v>
      </c>
      <c r="N13684" s="45">
        <v>46018.208333333336</v>
      </c>
      <c r="O13684" s="46" t="s">
        <v>123</v>
      </c>
      <c r="P13684" s="46">
        <v>1800.0</v>
      </c>
    </row>
    <row r="13685">
      <c r="A13685" s="40">
        <f t="shared" si="1"/>
        <v>46013</v>
      </c>
      <c r="B13685" s="37" t="str">
        <f t="array" ref="B13685">iferror(xlookup($I13685, 'IMPORT VHC Report'!$E:$E, 'IMPORT VHC Report'!$A:$C), )</f>
        <v/>
      </c>
      <c r="C13685" s="44"/>
      <c r="D13685" s="44"/>
      <c r="E13685" s="46" t="s">
        <v>9789</v>
      </c>
      <c r="F13685" s="46" t="s">
        <v>5497</v>
      </c>
      <c r="G13685" s="46">
        <v>3.61861297995E11</v>
      </c>
      <c r="H13685" s="46" t="s">
        <v>5498</v>
      </c>
      <c r="I13685" s="46" t="s">
        <v>5499</v>
      </c>
      <c r="J13685" s="46" t="s">
        <v>132</v>
      </c>
      <c r="K13685" s="46" t="s">
        <v>126</v>
      </c>
      <c r="L13685" s="45">
        <v>46018.208333333336</v>
      </c>
      <c r="M13685" s="46" t="s">
        <v>123</v>
      </c>
      <c r="N13685" s="45">
        <v>46018.25</v>
      </c>
      <c r="O13685" s="46" t="s">
        <v>123</v>
      </c>
      <c r="P13685" s="46">
        <v>3600.0</v>
      </c>
    </row>
    <row r="13686">
      <c r="A13686" s="40">
        <f t="shared" si="1"/>
        <v>46013</v>
      </c>
      <c r="B13686" s="37" t="str">
        <f t="array" ref="B13686">iferror(xlookup($I13686, 'IMPORT VHC Report'!$E:$E, 'IMPORT VHC Report'!$A:$C), )</f>
        <v/>
      </c>
      <c r="C13686" s="44"/>
      <c r="D13686" s="44"/>
      <c r="E13686" s="46" t="s">
        <v>9790</v>
      </c>
      <c r="F13686" s="46" t="s">
        <v>5541</v>
      </c>
      <c r="G13686" s="46">
        <v>3.61861297835E11</v>
      </c>
      <c r="H13686" s="46" t="s">
        <v>5542</v>
      </c>
      <c r="I13686" s="46" t="s">
        <v>5543</v>
      </c>
      <c r="J13686" s="46" t="s">
        <v>125</v>
      </c>
      <c r="K13686" s="46" t="s">
        <v>126</v>
      </c>
      <c r="L13686" s="45">
        <v>46013.875</v>
      </c>
      <c r="M13686" s="46" t="s">
        <v>123</v>
      </c>
      <c r="N13686" s="45">
        <v>46013.881944444445</v>
      </c>
      <c r="O13686" s="46" t="s">
        <v>123</v>
      </c>
      <c r="P13686" s="46">
        <v>600.0</v>
      </c>
      <c r="S13686" s="46" t="s">
        <v>8706</v>
      </c>
    </row>
    <row r="13687">
      <c r="A13687" s="40">
        <f t="shared" si="1"/>
        <v>46013</v>
      </c>
      <c r="B13687" s="37" t="str">
        <f t="array" ref="B13687">iferror(xlookup($I13687, 'IMPORT VHC Report'!$E:$E, 'IMPORT VHC Report'!$A:$C), )</f>
        <v/>
      </c>
      <c r="C13687" s="44"/>
      <c r="D13687" s="44"/>
      <c r="E13687" s="46" t="s">
        <v>9791</v>
      </c>
      <c r="F13687" s="46" t="s">
        <v>5541</v>
      </c>
      <c r="G13687" s="46">
        <v>3.61861297835E11</v>
      </c>
      <c r="H13687" s="46" t="s">
        <v>5542</v>
      </c>
      <c r="I13687" s="46" t="s">
        <v>5543</v>
      </c>
      <c r="J13687" s="46" t="s">
        <v>224</v>
      </c>
      <c r="K13687" s="46" t="s">
        <v>63</v>
      </c>
      <c r="L13687" s="45">
        <v>46013.875</v>
      </c>
      <c r="M13687" s="46" t="s">
        <v>123</v>
      </c>
      <c r="N13687" s="45">
        <v>46014.25</v>
      </c>
      <c r="O13687" s="46" t="s">
        <v>123</v>
      </c>
      <c r="P13687" s="46">
        <v>32400.0</v>
      </c>
    </row>
    <row r="13688">
      <c r="A13688" s="40">
        <f t="shared" si="1"/>
        <v>46013</v>
      </c>
      <c r="B13688" s="37" t="str">
        <f t="array" ref="B13688">iferror(xlookup($I13688, 'IMPORT VHC Report'!$E:$E, 'IMPORT VHC Report'!$A:$C), )</f>
        <v/>
      </c>
      <c r="C13688" s="44"/>
      <c r="D13688" s="44"/>
      <c r="E13688" s="46" t="s">
        <v>9792</v>
      </c>
      <c r="F13688" s="46" t="s">
        <v>5541</v>
      </c>
      <c r="G13688" s="46">
        <v>3.61861297835E11</v>
      </c>
      <c r="H13688" s="46" t="s">
        <v>5542</v>
      </c>
      <c r="I13688" s="46" t="s">
        <v>5543</v>
      </c>
      <c r="J13688" s="46" t="s">
        <v>132</v>
      </c>
      <c r="K13688" s="46" t="s">
        <v>126</v>
      </c>
      <c r="L13688" s="45">
        <v>46014.0</v>
      </c>
      <c r="M13688" s="46" t="s">
        <v>123</v>
      </c>
      <c r="N13688" s="45">
        <v>46014.041666666664</v>
      </c>
      <c r="O13688" s="46" t="s">
        <v>123</v>
      </c>
      <c r="P13688" s="46">
        <v>3600.0</v>
      </c>
    </row>
    <row r="13689">
      <c r="A13689" s="40">
        <f t="shared" si="1"/>
        <v>46013</v>
      </c>
      <c r="B13689" s="37" t="str">
        <f t="array" ref="B13689">iferror(xlookup($I13689, 'IMPORT VHC Report'!$E:$E, 'IMPORT VHC Report'!$A:$C), )</f>
        <v/>
      </c>
      <c r="C13689" s="44"/>
      <c r="D13689" s="44"/>
      <c r="E13689" s="46" t="s">
        <v>9793</v>
      </c>
      <c r="F13689" s="46" t="s">
        <v>5541</v>
      </c>
      <c r="G13689" s="46">
        <v>3.61861297835E11</v>
      </c>
      <c r="H13689" s="46" t="s">
        <v>5542</v>
      </c>
      <c r="I13689" s="46" t="s">
        <v>5543</v>
      </c>
      <c r="J13689" s="46" t="s">
        <v>4</v>
      </c>
      <c r="K13689" s="46" t="s">
        <v>126</v>
      </c>
      <c r="L13689" s="45">
        <v>46014.041666666664</v>
      </c>
      <c r="M13689" s="46" t="s">
        <v>123</v>
      </c>
      <c r="N13689" s="45">
        <v>46014.052083333336</v>
      </c>
      <c r="O13689" s="46" t="s">
        <v>123</v>
      </c>
      <c r="P13689" s="46">
        <v>900.0</v>
      </c>
      <c r="S13689" s="46" t="s">
        <v>8708</v>
      </c>
    </row>
    <row r="13690">
      <c r="A13690" s="40">
        <f t="shared" si="1"/>
        <v>46013</v>
      </c>
      <c r="B13690" s="37" t="str">
        <f t="array" ref="B13690">iferror(xlookup($I13690, 'IMPORT VHC Report'!$E:$E, 'IMPORT VHC Report'!$A:$C), )</f>
        <v/>
      </c>
      <c r="C13690" s="44"/>
      <c r="D13690" s="44"/>
      <c r="E13690" s="46" t="s">
        <v>9794</v>
      </c>
      <c r="F13690" s="46" t="s">
        <v>5541</v>
      </c>
      <c r="G13690" s="46">
        <v>3.61861297835E11</v>
      </c>
      <c r="H13690" s="46" t="s">
        <v>5542</v>
      </c>
      <c r="I13690" s="46" t="s">
        <v>5543</v>
      </c>
      <c r="J13690" s="46" t="s">
        <v>134</v>
      </c>
      <c r="K13690" s="46" t="s">
        <v>126</v>
      </c>
      <c r="L13690" s="45">
        <v>46014.145833333336</v>
      </c>
      <c r="M13690" s="46" t="s">
        <v>123</v>
      </c>
      <c r="N13690" s="45">
        <v>46014.166666666664</v>
      </c>
      <c r="O13690" s="46" t="s">
        <v>123</v>
      </c>
      <c r="P13690" s="46">
        <v>1800.0</v>
      </c>
    </row>
    <row r="13691">
      <c r="A13691" s="40">
        <f t="shared" si="1"/>
        <v>46013</v>
      </c>
      <c r="B13691" s="37" t="str">
        <f t="array" ref="B13691">iferror(xlookup($I13691, 'IMPORT VHC Report'!$E:$E, 'IMPORT VHC Report'!$A:$C), )</f>
        <v/>
      </c>
      <c r="C13691" s="44"/>
      <c r="D13691" s="44"/>
      <c r="E13691" s="46" t="s">
        <v>9795</v>
      </c>
      <c r="F13691" s="46" t="s">
        <v>5541</v>
      </c>
      <c r="G13691" s="46">
        <v>3.61861297835E11</v>
      </c>
      <c r="H13691" s="46" t="s">
        <v>5542</v>
      </c>
      <c r="I13691" s="46" t="s">
        <v>5543</v>
      </c>
      <c r="J13691" s="46" t="s">
        <v>224</v>
      </c>
      <c r="K13691" s="46" t="s">
        <v>63</v>
      </c>
      <c r="L13691" s="45">
        <v>46014.875</v>
      </c>
      <c r="M13691" s="46" t="s">
        <v>123</v>
      </c>
      <c r="N13691" s="45">
        <v>46015.166666666664</v>
      </c>
      <c r="O13691" s="46" t="s">
        <v>123</v>
      </c>
      <c r="P13691" s="46">
        <v>25200.0</v>
      </c>
    </row>
    <row r="13692">
      <c r="A13692" s="40">
        <f t="shared" si="1"/>
        <v>46013</v>
      </c>
      <c r="B13692" s="37" t="str">
        <f t="array" ref="B13692">iferror(xlookup($I13692, 'IMPORT VHC Report'!$E:$E, 'IMPORT VHC Report'!$A:$C), )</f>
        <v/>
      </c>
      <c r="C13692" s="44"/>
      <c r="D13692" s="44"/>
      <c r="E13692" s="46" t="s">
        <v>9796</v>
      </c>
      <c r="F13692" s="46" t="s">
        <v>5541</v>
      </c>
      <c r="G13692" s="46">
        <v>3.61861297835E11</v>
      </c>
      <c r="H13692" s="46" t="s">
        <v>5542</v>
      </c>
      <c r="I13692" s="46" t="s">
        <v>5543</v>
      </c>
      <c r="J13692" s="46" t="s">
        <v>125</v>
      </c>
      <c r="K13692" s="46" t="s">
        <v>126</v>
      </c>
      <c r="L13692" s="45">
        <v>46014.87847222222</v>
      </c>
      <c r="M13692" s="46" t="s">
        <v>123</v>
      </c>
      <c r="N13692" s="45">
        <v>46014.885416666664</v>
      </c>
      <c r="O13692" s="46" t="s">
        <v>123</v>
      </c>
      <c r="P13692" s="46">
        <v>600.0</v>
      </c>
      <c r="S13692" s="46" t="s">
        <v>8706</v>
      </c>
    </row>
    <row r="13693">
      <c r="A13693" s="40">
        <f t="shared" si="1"/>
        <v>46013</v>
      </c>
      <c r="B13693" s="37" t="str">
        <f t="array" ref="B13693">iferror(xlookup($I13693, 'IMPORT VHC Report'!$E:$E, 'IMPORT VHC Report'!$A:$C), )</f>
        <v/>
      </c>
      <c r="C13693" s="44"/>
      <c r="D13693" s="44"/>
      <c r="E13693" s="46" t="s">
        <v>9797</v>
      </c>
      <c r="F13693" s="46" t="s">
        <v>5541</v>
      </c>
      <c r="G13693" s="46">
        <v>3.61861297835E11</v>
      </c>
      <c r="H13693" s="46" t="s">
        <v>5542</v>
      </c>
      <c r="I13693" s="46" t="s">
        <v>5543</v>
      </c>
      <c r="J13693" s="46" t="s">
        <v>132</v>
      </c>
      <c r="K13693" s="46" t="s">
        <v>126</v>
      </c>
      <c r="L13693" s="45">
        <v>46015.0</v>
      </c>
      <c r="M13693" s="46" t="s">
        <v>123</v>
      </c>
      <c r="N13693" s="45">
        <v>46015.041666666664</v>
      </c>
      <c r="O13693" s="46" t="s">
        <v>123</v>
      </c>
      <c r="P13693" s="46">
        <v>3600.0</v>
      </c>
    </row>
    <row r="13694">
      <c r="A13694" s="40">
        <f t="shared" si="1"/>
        <v>46013</v>
      </c>
      <c r="B13694" s="37" t="str">
        <f t="array" ref="B13694">iferror(xlookup($I13694, 'IMPORT VHC Report'!$E:$E, 'IMPORT VHC Report'!$A:$C), )</f>
        <v/>
      </c>
      <c r="C13694" s="44"/>
      <c r="D13694" s="44"/>
      <c r="E13694" s="46" t="s">
        <v>9798</v>
      </c>
      <c r="F13694" s="46" t="s">
        <v>5541</v>
      </c>
      <c r="G13694" s="46">
        <v>3.61861297835E11</v>
      </c>
      <c r="H13694" s="46" t="s">
        <v>5542</v>
      </c>
      <c r="I13694" s="46" t="s">
        <v>5543</v>
      </c>
      <c r="J13694" s="46" t="s">
        <v>330</v>
      </c>
      <c r="K13694" s="46" t="s">
        <v>126</v>
      </c>
      <c r="L13694" s="45">
        <v>46015.072916666664</v>
      </c>
      <c r="M13694" s="46" t="s">
        <v>123</v>
      </c>
      <c r="N13694" s="45">
        <v>46015.09375</v>
      </c>
      <c r="O13694" s="46" t="s">
        <v>123</v>
      </c>
      <c r="P13694" s="46">
        <v>1800.0</v>
      </c>
    </row>
    <row r="13695">
      <c r="A13695" s="40">
        <f t="shared" si="1"/>
        <v>46013</v>
      </c>
      <c r="B13695" s="37" t="str">
        <f t="array" ref="B13695">iferror(xlookup($I13695, 'IMPORT VHC Report'!$E:$E, 'IMPORT VHC Report'!$A:$C), )</f>
        <v/>
      </c>
      <c r="C13695" s="44"/>
      <c r="D13695" s="44"/>
      <c r="E13695" s="46" t="s">
        <v>9799</v>
      </c>
      <c r="F13695" s="46" t="s">
        <v>5541</v>
      </c>
      <c r="G13695" s="46">
        <v>3.61861297835E11</v>
      </c>
      <c r="H13695" s="46" t="s">
        <v>5542</v>
      </c>
      <c r="I13695" s="46" t="s">
        <v>5543</v>
      </c>
      <c r="J13695" s="46" t="s">
        <v>134</v>
      </c>
      <c r="K13695" s="46" t="s">
        <v>126</v>
      </c>
      <c r="L13695" s="45">
        <v>46015.145833333336</v>
      </c>
      <c r="M13695" s="46" t="s">
        <v>123</v>
      </c>
      <c r="N13695" s="45">
        <v>46015.166666666664</v>
      </c>
      <c r="O13695" s="46" t="s">
        <v>123</v>
      </c>
      <c r="P13695" s="46">
        <v>1800.0</v>
      </c>
    </row>
    <row r="13696">
      <c r="A13696" s="40">
        <f t="shared" si="1"/>
        <v>46013</v>
      </c>
      <c r="B13696" s="37" t="str">
        <f t="array" ref="B13696">iferror(xlookup($I13696, 'IMPORT VHC Report'!$E:$E, 'IMPORT VHC Report'!$A:$C), )</f>
        <v/>
      </c>
      <c r="C13696" s="44"/>
      <c r="D13696" s="44"/>
      <c r="E13696" s="46" t="s">
        <v>9800</v>
      </c>
      <c r="F13696" s="46" t="s">
        <v>5541</v>
      </c>
      <c r="G13696" s="46">
        <v>3.61861297835E11</v>
      </c>
      <c r="H13696" s="46" t="s">
        <v>5542</v>
      </c>
      <c r="I13696" s="46" t="s">
        <v>5543</v>
      </c>
      <c r="J13696" s="46" t="s">
        <v>62</v>
      </c>
      <c r="K13696" s="46" t="s">
        <v>63</v>
      </c>
      <c r="L13696" s="45">
        <v>46015.166666666664</v>
      </c>
      <c r="M13696" s="46" t="s">
        <v>123</v>
      </c>
      <c r="N13696" s="45">
        <v>46015.1875</v>
      </c>
      <c r="O13696" s="46" t="s">
        <v>123</v>
      </c>
      <c r="P13696" s="46">
        <v>1800.0</v>
      </c>
    </row>
    <row r="13697">
      <c r="A13697" s="40">
        <f t="shared" si="1"/>
        <v>46013</v>
      </c>
      <c r="B13697" s="37" t="str">
        <f t="array" ref="B13697">iferror(xlookup($I13697, 'IMPORT VHC Report'!$E:$E, 'IMPORT VHC Report'!$A:$C), )</f>
        <v/>
      </c>
      <c r="C13697" s="44"/>
      <c r="D13697" s="44"/>
      <c r="E13697" s="46" t="s">
        <v>9801</v>
      </c>
      <c r="F13697" s="46" t="s">
        <v>5541</v>
      </c>
      <c r="G13697" s="46">
        <v>3.61861297835E11</v>
      </c>
      <c r="H13697" s="46" t="s">
        <v>5542</v>
      </c>
      <c r="I13697" s="46" t="s">
        <v>5543</v>
      </c>
      <c r="J13697" s="46" t="s">
        <v>136</v>
      </c>
      <c r="K13697" s="46" t="s">
        <v>126</v>
      </c>
      <c r="L13697" s="45">
        <v>46015.166666666664</v>
      </c>
      <c r="M13697" s="46" t="s">
        <v>123</v>
      </c>
      <c r="N13697" s="45">
        <v>46015.194444444445</v>
      </c>
      <c r="O13697" s="46" t="s">
        <v>123</v>
      </c>
      <c r="P13697" s="46">
        <v>2400.0</v>
      </c>
      <c r="S13697" s="46" t="s">
        <v>8716</v>
      </c>
    </row>
    <row r="13698">
      <c r="A13698" s="40">
        <f t="shared" si="1"/>
        <v>46013</v>
      </c>
      <c r="B13698" s="37" t="str">
        <f t="array" ref="B13698">iferror(xlookup($I13698, 'IMPORT VHC Report'!$E:$E, 'IMPORT VHC Report'!$A:$C), )</f>
        <v/>
      </c>
      <c r="C13698" s="44"/>
      <c r="D13698" s="44"/>
      <c r="E13698" s="46" t="s">
        <v>9802</v>
      </c>
      <c r="F13698" s="46" t="s">
        <v>5541</v>
      </c>
      <c r="G13698" s="46">
        <v>3.61861297835E11</v>
      </c>
      <c r="H13698" s="46" t="s">
        <v>5542</v>
      </c>
      <c r="I13698" s="46" t="s">
        <v>5543</v>
      </c>
      <c r="J13698" s="46" t="s">
        <v>224</v>
      </c>
      <c r="K13698" s="46" t="s">
        <v>63</v>
      </c>
      <c r="L13698" s="45">
        <v>46015.1875</v>
      </c>
      <c r="M13698" s="46" t="s">
        <v>123</v>
      </c>
      <c r="N13698" s="45">
        <v>46015.25</v>
      </c>
      <c r="O13698" s="46" t="s">
        <v>123</v>
      </c>
      <c r="P13698" s="46">
        <v>5400.0</v>
      </c>
    </row>
    <row r="13699">
      <c r="A13699" s="40">
        <f t="shared" si="1"/>
        <v>46013</v>
      </c>
      <c r="B13699" s="37" t="str">
        <f t="array" ref="B13699">iferror(xlookup($I13699, 'IMPORT VHC Report'!$E:$E, 'IMPORT VHC Report'!$A:$C), )</f>
        <v/>
      </c>
      <c r="C13699" s="44"/>
      <c r="D13699" s="44"/>
      <c r="E13699" s="46" t="s">
        <v>9803</v>
      </c>
      <c r="F13699" s="46" t="s">
        <v>5541</v>
      </c>
      <c r="G13699" s="46">
        <v>3.61861297835E11</v>
      </c>
      <c r="H13699" s="46" t="s">
        <v>5542</v>
      </c>
      <c r="I13699" s="46" t="s">
        <v>5543</v>
      </c>
      <c r="J13699" s="46" t="s">
        <v>125</v>
      </c>
      <c r="K13699" s="46" t="s">
        <v>126</v>
      </c>
      <c r="L13699" s="45">
        <v>46015.875</v>
      </c>
      <c r="M13699" s="46" t="s">
        <v>123</v>
      </c>
      <c r="N13699" s="45">
        <v>46015.885416666664</v>
      </c>
      <c r="O13699" s="46" t="s">
        <v>123</v>
      </c>
      <c r="P13699" s="46">
        <v>900.0</v>
      </c>
      <c r="S13699" s="46" t="s">
        <v>5529</v>
      </c>
    </row>
    <row r="13700">
      <c r="A13700" s="40">
        <f t="shared" si="1"/>
        <v>46013</v>
      </c>
      <c r="B13700" s="37" t="str">
        <f t="array" ref="B13700">iferror(xlookup($I13700, 'IMPORT VHC Report'!$E:$E, 'IMPORT VHC Report'!$A:$C), )</f>
        <v/>
      </c>
      <c r="C13700" s="44"/>
      <c r="D13700" s="44"/>
      <c r="E13700" s="46" t="s">
        <v>9804</v>
      </c>
      <c r="F13700" s="46" t="s">
        <v>5541</v>
      </c>
      <c r="G13700" s="46">
        <v>3.61861297835E11</v>
      </c>
      <c r="H13700" s="46" t="s">
        <v>5542</v>
      </c>
      <c r="I13700" s="46" t="s">
        <v>5543</v>
      </c>
      <c r="J13700" s="46" t="s">
        <v>224</v>
      </c>
      <c r="K13700" s="46" t="s">
        <v>63</v>
      </c>
      <c r="L13700" s="45">
        <v>46015.875</v>
      </c>
      <c r="M13700" s="46" t="s">
        <v>123</v>
      </c>
      <c r="N13700" s="45">
        <v>46016.25</v>
      </c>
      <c r="O13700" s="46" t="s">
        <v>123</v>
      </c>
      <c r="P13700" s="46">
        <v>32400.0</v>
      </c>
    </row>
    <row r="13701">
      <c r="A13701" s="40">
        <f t="shared" si="1"/>
        <v>46013</v>
      </c>
      <c r="B13701" s="37" t="str">
        <f t="array" ref="B13701">iferror(xlookup($I13701, 'IMPORT VHC Report'!$E:$E, 'IMPORT VHC Report'!$A:$C), )</f>
        <v/>
      </c>
      <c r="C13701" s="44"/>
      <c r="D13701" s="44"/>
      <c r="E13701" s="46" t="s">
        <v>9805</v>
      </c>
      <c r="F13701" s="46" t="s">
        <v>5541</v>
      </c>
      <c r="G13701" s="46">
        <v>3.61861297835E11</v>
      </c>
      <c r="H13701" s="46" t="s">
        <v>5542</v>
      </c>
      <c r="I13701" s="46" t="s">
        <v>5543</v>
      </c>
      <c r="J13701" s="46" t="s">
        <v>134</v>
      </c>
      <c r="K13701" s="46" t="s">
        <v>126</v>
      </c>
      <c r="L13701" s="45">
        <v>46015.989583333336</v>
      </c>
      <c r="M13701" s="46" t="s">
        <v>123</v>
      </c>
      <c r="N13701" s="45">
        <v>46016.010416666664</v>
      </c>
      <c r="O13701" s="46" t="s">
        <v>123</v>
      </c>
      <c r="P13701" s="46">
        <v>1800.0</v>
      </c>
    </row>
    <row r="13702">
      <c r="A13702" s="40">
        <f t="shared" si="1"/>
        <v>46013</v>
      </c>
      <c r="B13702" s="37" t="str">
        <f t="array" ref="B13702">iferror(xlookup($I13702, 'IMPORT VHC Report'!$E:$E, 'IMPORT VHC Report'!$A:$C), )</f>
        <v/>
      </c>
      <c r="C13702" s="44"/>
      <c r="D13702" s="44"/>
      <c r="E13702" s="46" t="s">
        <v>9806</v>
      </c>
      <c r="F13702" s="46" t="s">
        <v>5541</v>
      </c>
      <c r="G13702" s="46">
        <v>3.61861297835E11</v>
      </c>
      <c r="H13702" s="46" t="s">
        <v>5542</v>
      </c>
      <c r="I13702" s="46" t="s">
        <v>5543</v>
      </c>
      <c r="J13702" s="46" t="s">
        <v>132</v>
      </c>
      <c r="K13702" s="46" t="s">
        <v>126</v>
      </c>
      <c r="L13702" s="45">
        <v>46016.114583333336</v>
      </c>
      <c r="M13702" s="46" t="s">
        <v>123</v>
      </c>
      <c r="N13702" s="45">
        <v>46016.15625</v>
      </c>
      <c r="O13702" s="46" t="s">
        <v>123</v>
      </c>
      <c r="P13702" s="46">
        <v>3600.0</v>
      </c>
    </row>
    <row r="13703">
      <c r="A13703" s="40">
        <f t="shared" si="1"/>
        <v>46013</v>
      </c>
      <c r="B13703" s="37" t="str">
        <f t="array" ref="B13703">iferror(xlookup($I13703, 'IMPORT VHC Report'!$E:$E, 'IMPORT VHC Report'!$A:$C), )</f>
        <v/>
      </c>
      <c r="C13703" s="44"/>
      <c r="D13703" s="44"/>
      <c r="E13703" s="46" t="s">
        <v>9807</v>
      </c>
      <c r="F13703" s="46" t="s">
        <v>5541</v>
      </c>
      <c r="G13703" s="46">
        <v>3.61861297835E11</v>
      </c>
      <c r="H13703" s="46" t="s">
        <v>5542</v>
      </c>
      <c r="I13703" s="46" t="s">
        <v>5543</v>
      </c>
      <c r="J13703" s="46" t="s">
        <v>125</v>
      </c>
      <c r="K13703" s="46" t="s">
        <v>126</v>
      </c>
      <c r="L13703" s="45">
        <v>46016.875</v>
      </c>
      <c r="M13703" s="46" t="s">
        <v>123</v>
      </c>
      <c r="N13703" s="45">
        <v>46016.881944444445</v>
      </c>
      <c r="O13703" s="46" t="s">
        <v>123</v>
      </c>
      <c r="P13703" s="46">
        <v>600.0</v>
      </c>
    </row>
    <row r="13704">
      <c r="A13704" s="40">
        <f t="shared" si="1"/>
        <v>46013</v>
      </c>
      <c r="B13704" s="37" t="str">
        <f t="array" ref="B13704">iferror(xlookup($I13704, 'IMPORT VHC Report'!$E:$E, 'IMPORT VHC Report'!$A:$C), )</f>
        <v/>
      </c>
      <c r="C13704" s="44"/>
      <c r="D13704" s="44"/>
      <c r="E13704" s="46" t="s">
        <v>9808</v>
      </c>
      <c r="F13704" s="46" t="s">
        <v>5541</v>
      </c>
      <c r="G13704" s="46">
        <v>3.61861297835E11</v>
      </c>
      <c r="H13704" s="46" t="s">
        <v>5542</v>
      </c>
      <c r="I13704" s="46" t="s">
        <v>5543</v>
      </c>
      <c r="J13704" s="46" t="s">
        <v>125</v>
      </c>
      <c r="K13704" s="46" t="s">
        <v>126</v>
      </c>
      <c r="L13704" s="45">
        <v>46016.875</v>
      </c>
      <c r="M13704" s="46" t="s">
        <v>123</v>
      </c>
      <c r="N13704" s="45">
        <v>46016.881944444445</v>
      </c>
      <c r="O13704" s="46" t="s">
        <v>123</v>
      </c>
      <c r="P13704" s="46">
        <v>600.0</v>
      </c>
      <c r="S13704" s="46" t="s">
        <v>5529</v>
      </c>
    </row>
    <row r="13705">
      <c r="A13705" s="40">
        <f t="shared" si="1"/>
        <v>46013</v>
      </c>
      <c r="B13705" s="37" t="str">
        <f t="array" ref="B13705">iferror(xlookup($I13705, 'IMPORT VHC Report'!$E:$E, 'IMPORT VHC Report'!$A:$C), )</f>
        <v/>
      </c>
      <c r="C13705" s="44"/>
      <c r="D13705" s="44"/>
      <c r="E13705" s="46" t="s">
        <v>9809</v>
      </c>
      <c r="F13705" s="46" t="s">
        <v>5541</v>
      </c>
      <c r="G13705" s="46">
        <v>3.61861297835E11</v>
      </c>
      <c r="H13705" s="46" t="s">
        <v>5542</v>
      </c>
      <c r="I13705" s="46" t="s">
        <v>5543</v>
      </c>
      <c r="J13705" s="46" t="s">
        <v>224</v>
      </c>
      <c r="K13705" s="46" t="s">
        <v>63</v>
      </c>
      <c r="L13705" s="45">
        <v>46016.875</v>
      </c>
      <c r="M13705" s="46" t="s">
        <v>123</v>
      </c>
      <c r="N13705" s="45">
        <v>46017.25</v>
      </c>
      <c r="O13705" s="46" t="s">
        <v>123</v>
      </c>
      <c r="P13705" s="46">
        <v>32400.0</v>
      </c>
    </row>
    <row r="13706">
      <c r="A13706" s="40">
        <f t="shared" si="1"/>
        <v>46013</v>
      </c>
      <c r="B13706" s="37" t="str">
        <f t="array" ref="B13706">iferror(xlookup($I13706, 'IMPORT VHC Report'!$E:$E, 'IMPORT VHC Report'!$A:$C), )</f>
        <v/>
      </c>
      <c r="C13706" s="44"/>
      <c r="D13706" s="44"/>
      <c r="E13706" s="46" t="s">
        <v>9810</v>
      </c>
      <c r="F13706" s="46" t="s">
        <v>5541</v>
      </c>
      <c r="G13706" s="46">
        <v>3.61861297835E11</v>
      </c>
      <c r="H13706" s="46" t="s">
        <v>5542</v>
      </c>
      <c r="I13706" s="46" t="s">
        <v>5543</v>
      </c>
      <c r="J13706" s="46" t="s">
        <v>4</v>
      </c>
      <c r="K13706" s="46" t="s">
        <v>126</v>
      </c>
      <c r="L13706" s="45">
        <v>46016.9375</v>
      </c>
      <c r="M13706" s="46" t="s">
        <v>123</v>
      </c>
      <c r="N13706" s="45">
        <v>46016.947916666664</v>
      </c>
      <c r="O13706" s="46" t="s">
        <v>123</v>
      </c>
      <c r="P13706" s="46">
        <v>900.0</v>
      </c>
      <c r="S13706" s="46" t="s">
        <v>8726</v>
      </c>
    </row>
    <row r="13707">
      <c r="A13707" s="40">
        <f t="shared" si="1"/>
        <v>46013</v>
      </c>
      <c r="B13707" s="37" t="str">
        <f t="array" ref="B13707">iferror(xlookup($I13707, 'IMPORT VHC Report'!$E:$E, 'IMPORT VHC Report'!$A:$C), )</f>
        <v/>
      </c>
      <c r="C13707" s="44"/>
      <c r="D13707" s="44"/>
      <c r="E13707" s="46" t="s">
        <v>9811</v>
      </c>
      <c r="F13707" s="46" t="s">
        <v>5541</v>
      </c>
      <c r="G13707" s="46">
        <v>3.61861297835E11</v>
      </c>
      <c r="H13707" s="46" t="s">
        <v>5542</v>
      </c>
      <c r="I13707" s="46" t="s">
        <v>5543</v>
      </c>
      <c r="J13707" s="46" t="s">
        <v>125</v>
      </c>
      <c r="K13707" s="46" t="s">
        <v>126</v>
      </c>
      <c r="L13707" s="45">
        <v>46016.947916666664</v>
      </c>
      <c r="M13707" s="46" t="s">
        <v>123</v>
      </c>
      <c r="N13707" s="45">
        <v>46016.989583333336</v>
      </c>
      <c r="O13707" s="46" t="s">
        <v>123</v>
      </c>
      <c r="P13707" s="46">
        <v>3600.0</v>
      </c>
      <c r="S13707" s="46" t="s">
        <v>8728</v>
      </c>
    </row>
    <row r="13708">
      <c r="A13708" s="40">
        <f t="shared" si="1"/>
        <v>46013</v>
      </c>
      <c r="B13708" s="37" t="str">
        <f t="array" ref="B13708">iferror(xlookup($I13708, 'IMPORT VHC Report'!$E:$E, 'IMPORT VHC Report'!$A:$C), )</f>
        <v/>
      </c>
      <c r="C13708" s="44"/>
      <c r="D13708" s="44"/>
      <c r="E13708" s="46" t="s">
        <v>9812</v>
      </c>
      <c r="F13708" s="46" t="s">
        <v>5541</v>
      </c>
      <c r="G13708" s="46">
        <v>3.61861297835E11</v>
      </c>
      <c r="H13708" s="46" t="s">
        <v>5542</v>
      </c>
      <c r="I13708" s="46" t="s">
        <v>5543</v>
      </c>
      <c r="J13708" s="46" t="s">
        <v>134</v>
      </c>
      <c r="K13708" s="46" t="s">
        <v>126</v>
      </c>
      <c r="L13708" s="45">
        <v>46017.020833333336</v>
      </c>
      <c r="M13708" s="46" t="s">
        <v>123</v>
      </c>
      <c r="N13708" s="45">
        <v>46017.041666666664</v>
      </c>
      <c r="O13708" s="46" t="s">
        <v>123</v>
      </c>
      <c r="P13708" s="46">
        <v>1800.0</v>
      </c>
    </row>
    <row r="13709">
      <c r="A13709" s="40">
        <f t="shared" si="1"/>
        <v>46013</v>
      </c>
      <c r="B13709" s="37" t="str">
        <f t="array" ref="B13709">iferror(xlookup($I13709, 'IMPORT VHC Report'!$E:$E, 'IMPORT VHC Report'!$A:$C), )</f>
        <v/>
      </c>
      <c r="C13709" s="44"/>
      <c r="D13709" s="44"/>
      <c r="E13709" s="46" t="s">
        <v>9813</v>
      </c>
      <c r="F13709" s="46" t="s">
        <v>5541</v>
      </c>
      <c r="G13709" s="46">
        <v>3.61861297835E11</v>
      </c>
      <c r="H13709" s="46" t="s">
        <v>5542</v>
      </c>
      <c r="I13709" s="46" t="s">
        <v>5543</v>
      </c>
      <c r="J13709" s="46" t="s">
        <v>132</v>
      </c>
      <c r="K13709" s="46" t="s">
        <v>126</v>
      </c>
      <c r="L13709" s="45">
        <v>46017.15625</v>
      </c>
      <c r="M13709" s="46" t="s">
        <v>123</v>
      </c>
      <c r="N13709" s="45">
        <v>46017.197916666664</v>
      </c>
      <c r="O13709" s="46" t="s">
        <v>123</v>
      </c>
      <c r="P13709" s="46">
        <v>3600.0</v>
      </c>
    </row>
    <row r="13710">
      <c r="A13710" s="40">
        <f t="shared" si="1"/>
        <v>46013</v>
      </c>
      <c r="B13710" s="37" t="str">
        <f t="array" ref="B13710">iferror(xlookup($I13710, 'IMPORT VHC Report'!$E:$E, 'IMPORT VHC Report'!$A:$C), )</f>
        <v/>
      </c>
      <c r="C13710" s="44"/>
      <c r="D13710" s="44"/>
      <c r="E13710" s="46" t="s">
        <v>9814</v>
      </c>
      <c r="F13710" s="46" t="s">
        <v>5541</v>
      </c>
      <c r="G13710" s="46">
        <v>3.61861297835E11</v>
      </c>
      <c r="H13710" s="46" t="s">
        <v>5542</v>
      </c>
      <c r="I13710" s="46" t="s">
        <v>5543</v>
      </c>
      <c r="J13710" s="46" t="s">
        <v>125</v>
      </c>
      <c r="K13710" s="46" t="s">
        <v>126</v>
      </c>
      <c r="L13710" s="45">
        <v>46017.875</v>
      </c>
      <c r="M13710" s="46" t="s">
        <v>123</v>
      </c>
      <c r="N13710" s="45">
        <v>46017.885416666664</v>
      </c>
      <c r="O13710" s="46" t="s">
        <v>123</v>
      </c>
      <c r="P13710" s="46">
        <v>900.0</v>
      </c>
    </row>
    <row r="13711">
      <c r="A13711" s="40">
        <f t="shared" si="1"/>
        <v>46013</v>
      </c>
      <c r="B13711" s="37" t="str">
        <f t="array" ref="B13711">iferror(xlookup($I13711, 'IMPORT VHC Report'!$E:$E, 'IMPORT VHC Report'!$A:$C), )</f>
        <v/>
      </c>
      <c r="C13711" s="44"/>
      <c r="D13711" s="44"/>
      <c r="E13711" s="46" t="s">
        <v>9815</v>
      </c>
      <c r="F13711" s="46" t="s">
        <v>5541</v>
      </c>
      <c r="G13711" s="46">
        <v>3.61861297835E11</v>
      </c>
      <c r="H13711" s="46" t="s">
        <v>5542</v>
      </c>
      <c r="I13711" s="46" t="s">
        <v>5543</v>
      </c>
      <c r="J13711" s="46" t="s">
        <v>125</v>
      </c>
      <c r="K13711" s="46" t="s">
        <v>126</v>
      </c>
      <c r="L13711" s="45">
        <v>46017.875</v>
      </c>
      <c r="M13711" s="46" t="s">
        <v>123</v>
      </c>
      <c r="N13711" s="45">
        <v>46017.885416666664</v>
      </c>
      <c r="O13711" s="46" t="s">
        <v>123</v>
      </c>
      <c r="P13711" s="46">
        <v>900.0</v>
      </c>
      <c r="S13711" s="46" t="s">
        <v>5529</v>
      </c>
    </row>
    <row r="13712">
      <c r="A13712" s="40">
        <f t="shared" si="1"/>
        <v>46013</v>
      </c>
      <c r="B13712" s="37" t="str">
        <f t="array" ref="B13712">iferror(xlookup($I13712, 'IMPORT VHC Report'!$E:$E, 'IMPORT VHC Report'!$A:$C), )</f>
        <v/>
      </c>
      <c r="C13712" s="44"/>
      <c r="D13712" s="44"/>
      <c r="E13712" s="46" t="s">
        <v>9816</v>
      </c>
      <c r="F13712" s="46" t="s">
        <v>5541</v>
      </c>
      <c r="G13712" s="46">
        <v>3.61861297835E11</v>
      </c>
      <c r="H13712" s="46" t="s">
        <v>5542</v>
      </c>
      <c r="I13712" s="46" t="s">
        <v>5543</v>
      </c>
      <c r="J13712" s="46" t="s">
        <v>224</v>
      </c>
      <c r="K13712" s="46" t="s">
        <v>63</v>
      </c>
      <c r="L13712" s="45">
        <v>46017.875</v>
      </c>
      <c r="M13712" s="46" t="s">
        <v>123</v>
      </c>
      <c r="N13712" s="45">
        <v>46018.25</v>
      </c>
      <c r="O13712" s="46" t="s">
        <v>123</v>
      </c>
      <c r="P13712" s="46">
        <v>32400.0</v>
      </c>
    </row>
    <row r="13713">
      <c r="A13713" s="40">
        <f t="shared" si="1"/>
        <v>46013</v>
      </c>
      <c r="B13713" s="37" t="str">
        <f t="array" ref="B13713">iferror(xlookup($I13713, 'IMPORT VHC Report'!$E:$E, 'IMPORT VHC Report'!$A:$C), )</f>
        <v/>
      </c>
      <c r="C13713" s="44"/>
      <c r="D13713" s="44"/>
      <c r="E13713" s="46" t="s">
        <v>9817</v>
      </c>
      <c r="F13713" s="46" t="s">
        <v>5541</v>
      </c>
      <c r="G13713" s="46">
        <v>3.61861297835E11</v>
      </c>
      <c r="H13713" s="46" t="s">
        <v>5542</v>
      </c>
      <c r="I13713" s="46" t="s">
        <v>5543</v>
      </c>
      <c r="J13713" s="46" t="s">
        <v>136</v>
      </c>
      <c r="K13713" s="46" t="s">
        <v>126</v>
      </c>
      <c r="L13713" s="45">
        <v>46018.0</v>
      </c>
      <c r="M13713" s="46" t="s">
        <v>123</v>
      </c>
      <c r="N13713" s="45">
        <v>46018.0625</v>
      </c>
      <c r="O13713" s="46" t="s">
        <v>123</v>
      </c>
      <c r="P13713" s="46">
        <v>5400.0</v>
      </c>
      <c r="S13713" s="46" t="s">
        <v>8734</v>
      </c>
    </row>
    <row r="13714">
      <c r="A13714" s="40">
        <f t="shared" si="1"/>
        <v>46013</v>
      </c>
      <c r="B13714" s="37" t="str">
        <f t="array" ref="B13714">iferror(xlookup($I13714, 'IMPORT VHC Report'!$E:$E, 'IMPORT VHC Report'!$A:$C), )</f>
        <v/>
      </c>
      <c r="C13714" s="44"/>
      <c r="D13714" s="44"/>
      <c r="E13714" s="46" t="s">
        <v>9818</v>
      </c>
      <c r="F13714" s="46" t="s">
        <v>5541</v>
      </c>
      <c r="G13714" s="46">
        <v>3.61861297835E11</v>
      </c>
      <c r="H13714" s="46" t="s">
        <v>5542</v>
      </c>
      <c r="I13714" s="46" t="s">
        <v>5543</v>
      </c>
      <c r="J13714" s="46" t="s">
        <v>132</v>
      </c>
      <c r="K13714" s="46" t="s">
        <v>126</v>
      </c>
      <c r="L13714" s="45">
        <v>46018.083333333336</v>
      </c>
      <c r="M13714" s="46" t="s">
        <v>123</v>
      </c>
      <c r="N13714" s="45">
        <v>46018.125</v>
      </c>
      <c r="O13714" s="46" t="s">
        <v>123</v>
      </c>
      <c r="P13714" s="46">
        <v>3600.0</v>
      </c>
    </row>
    <row r="13715">
      <c r="A13715" s="40">
        <f t="shared" si="1"/>
        <v>46013</v>
      </c>
      <c r="B13715" s="37" t="str">
        <f t="array" ref="B13715">iferror(xlookup($I13715, 'IMPORT VHC Report'!$E:$E, 'IMPORT VHC Report'!$A:$C), )</f>
        <v/>
      </c>
      <c r="C13715" s="44"/>
      <c r="D13715" s="44"/>
      <c r="E13715" s="46" t="s">
        <v>9819</v>
      </c>
      <c r="F13715" s="46" t="s">
        <v>5541</v>
      </c>
      <c r="G13715" s="46">
        <v>3.61861297835E11</v>
      </c>
      <c r="H13715" s="46" t="s">
        <v>5542</v>
      </c>
      <c r="I13715" s="46" t="s">
        <v>5543</v>
      </c>
      <c r="J13715" s="46" t="s">
        <v>134</v>
      </c>
      <c r="K13715" s="46" t="s">
        <v>126</v>
      </c>
      <c r="L13715" s="45">
        <v>46018.166666666664</v>
      </c>
      <c r="M13715" s="46" t="s">
        <v>123</v>
      </c>
      <c r="N13715" s="45">
        <v>46018.1875</v>
      </c>
      <c r="O13715" s="46" t="s">
        <v>123</v>
      </c>
      <c r="P13715" s="46">
        <v>1800.0</v>
      </c>
    </row>
    <row r="13716">
      <c r="A13716" s="40">
        <f t="shared" si="1"/>
        <v>46013</v>
      </c>
      <c r="B13716" s="37" t="str">
        <f t="array" ref="B13716">iferror(xlookup($I13716, 'IMPORT VHC Report'!$E:$E, 'IMPORT VHC Report'!$A:$C), )</f>
        <v/>
      </c>
      <c r="C13716" s="44"/>
      <c r="D13716" s="44"/>
      <c r="E13716" s="46" t="s">
        <v>9820</v>
      </c>
      <c r="F13716" s="46" t="s">
        <v>5602</v>
      </c>
      <c r="G13716" s="46">
        <v>3.61731350795E11</v>
      </c>
      <c r="H13716" s="46" t="s">
        <v>5603</v>
      </c>
      <c r="I13716" s="46" t="s">
        <v>5604</v>
      </c>
      <c r="J13716" s="46" t="s">
        <v>224</v>
      </c>
      <c r="K13716" s="46" t="s">
        <v>63</v>
      </c>
      <c r="L13716" s="45">
        <v>46013.875</v>
      </c>
      <c r="M13716" s="46" t="s">
        <v>123</v>
      </c>
      <c r="N13716" s="45">
        <v>46014.041666666664</v>
      </c>
      <c r="O13716" s="46" t="s">
        <v>123</v>
      </c>
      <c r="P13716" s="46">
        <v>14400.0</v>
      </c>
    </row>
    <row r="13717">
      <c r="A13717" s="40">
        <f t="shared" si="1"/>
        <v>46013</v>
      </c>
      <c r="B13717" s="37" t="str">
        <f t="array" ref="B13717">iferror(xlookup($I13717, 'IMPORT VHC Report'!$E:$E, 'IMPORT VHC Report'!$A:$C), )</f>
        <v/>
      </c>
      <c r="C13717" s="44"/>
      <c r="D13717" s="44"/>
      <c r="E13717" s="46" t="s">
        <v>9821</v>
      </c>
      <c r="F13717" s="46" t="s">
        <v>5602</v>
      </c>
      <c r="G13717" s="46">
        <v>3.61731350795E11</v>
      </c>
      <c r="H13717" s="46" t="s">
        <v>5603</v>
      </c>
      <c r="I13717" s="46" t="s">
        <v>5604</v>
      </c>
      <c r="J13717" s="46" t="s">
        <v>178</v>
      </c>
      <c r="K13717" s="46" t="s">
        <v>153</v>
      </c>
      <c r="L13717" s="45">
        <v>46013.875</v>
      </c>
      <c r="M13717" s="46" t="s">
        <v>123</v>
      </c>
      <c r="N13717" s="45">
        <v>46014.25</v>
      </c>
      <c r="O13717" s="46" t="s">
        <v>123</v>
      </c>
      <c r="P13717" s="46">
        <v>32400.0</v>
      </c>
      <c r="Q13717" s="46">
        <v>32400.0</v>
      </c>
    </row>
    <row r="13718">
      <c r="A13718" s="40">
        <f t="shared" si="1"/>
        <v>46013</v>
      </c>
      <c r="B13718" s="37" t="str">
        <f t="array" ref="B13718">iferror(xlookup($I13718, 'IMPORT VHC Report'!$E:$E, 'IMPORT VHC Report'!$A:$C), )</f>
        <v/>
      </c>
      <c r="C13718" s="44"/>
      <c r="D13718" s="44"/>
      <c r="E13718" s="46" t="s">
        <v>9822</v>
      </c>
      <c r="F13718" s="46" t="s">
        <v>5602</v>
      </c>
      <c r="G13718" s="46">
        <v>3.61731350795E11</v>
      </c>
      <c r="H13718" s="46" t="s">
        <v>5603</v>
      </c>
      <c r="I13718" s="46" t="s">
        <v>5604</v>
      </c>
      <c r="J13718" s="46" t="s">
        <v>134</v>
      </c>
      <c r="K13718" s="46" t="s">
        <v>126</v>
      </c>
      <c r="L13718" s="45">
        <v>46014.041666666664</v>
      </c>
      <c r="M13718" s="46" t="s">
        <v>123</v>
      </c>
      <c r="N13718" s="45">
        <v>46014.0625</v>
      </c>
      <c r="O13718" s="46" t="s">
        <v>123</v>
      </c>
      <c r="P13718" s="46">
        <v>1800.0</v>
      </c>
    </row>
    <row r="13719">
      <c r="A13719" s="40">
        <f t="shared" si="1"/>
        <v>46013</v>
      </c>
      <c r="B13719" s="37" t="str">
        <f t="array" ref="B13719">iferror(xlookup($I13719, 'IMPORT VHC Report'!$E:$E, 'IMPORT VHC Report'!$A:$C), )</f>
        <v/>
      </c>
      <c r="C13719" s="44"/>
      <c r="D13719" s="44"/>
      <c r="E13719" s="46" t="s">
        <v>9823</v>
      </c>
      <c r="F13719" s="46" t="s">
        <v>5602</v>
      </c>
      <c r="G13719" s="46">
        <v>3.61731350795E11</v>
      </c>
      <c r="H13719" s="46" t="s">
        <v>5603</v>
      </c>
      <c r="I13719" s="46" t="s">
        <v>5604</v>
      </c>
      <c r="J13719" s="46" t="s">
        <v>224</v>
      </c>
      <c r="K13719" s="46" t="s">
        <v>63</v>
      </c>
      <c r="L13719" s="45">
        <v>46014.041666666664</v>
      </c>
      <c r="M13719" s="46" t="s">
        <v>123</v>
      </c>
      <c r="N13719" s="45">
        <v>46014.25</v>
      </c>
      <c r="O13719" s="46" t="s">
        <v>123</v>
      </c>
      <c r="P13719" s="46">
        <v>18000.0</v>
      </c>
    </row>
    <row r="13720">
      <c r="A13720" s="40">
        <f t="shared" si="1"/>
        <v>46013</v>
      </c>
      <c r="B13720" s="37" t="str">
        <f t="array" ref="B13720">iferror(xlookup($I13720, 'IMPORT VHC Report'!$E:$E, 'IMPORT VHC Report'!$A:$C), )</f>
        <v/>
      </c>
      <c r="C13720" s="44"/>
      <c r="D13720" s="44"/>
      <c r="E13720" s="46" t="s">
        <v>9824</v>
      </c>
      <c r="F13720" s="46" t="s">
        <v>5602</v>
      </c>
      <c r="G13720" s="46">
        <v>3.61731350795E11</v>
      </c>
      <c r="H13720" s="46" t="s">
        <v>5603</v>
      </c>
      <c r="I13720" s="46" t="s">
        <v>5604</v>
      </c>
      <c r="J13720" s="46" t="s">
        <v>136</v>
      </c>
      <c r="K13720" s="46" t="s">
        <v>126</v>
      </c>
      <c r="L13720" s="45">
        <v>46014.166666666664</v>
      </c>
      <c r="M13720" s="46" t="s">
        <v>123</v>
      </c>
      <c r="N13720" s="45">
        <v>46014.208333333336</v>
      </c>
      <c r="O13720" s="46" t="s">
        <v>123</v>
      </c>
      <c r="P13720" s="46">
        <v>3600.0</v>
      </c>
      <c r="S13720" s="46" t="s">
        <v>137</v>
      </c>
    </row>
    <row r="13721">
      <c r="A13721" s="40">
        <f t="shared" si="1"/>
        <v>46013</v>
      </c>
      <c r="B13721" s="37" t="str">
        <f t="array" ref="B13721">iferror(xlookup($I13721, 'IMPORT VHC Report'!$E:$E, 'IMPORT VHC Report'!$A:$C), )</f>
        <v/>
      </c>
      <c r="C13721" s="44"/>
      <c r="D13721" s="44"/>
      <c r="E13721" s="46" t="s">
        <v>9825</v>
      </c>
      <c r="F13721" s="46" t="s">
        <v>5602</v>
      </c>
      <c r="G13721" s="46">
        <v>3.61731350795E11</v>
      </c>
      <c r="H13721" s="46" t="s">
        <v>5603</v>
      </c>
      <c r="I13721" s="46" t="s">
        <v>5604</v>
      </c>
      <c r="J13721" s="46" t="s">
        <v>132</v>
      </c>
      <c r="K13721" s="46" t="s">
        <v>126</v>
      </c>
      <c r="L13721" s="45">
        <v>46014.208333333336</v>
      </c>
      <c r="M13721" s="46" t="s">
        <v>123</v>
      </c>
      <c r="N13721" s="45">
        <v>46014.25</v>
      </c>
      <c r="O13721" s="46" t="s">
        <v>123</v>
      </c>
      <c r="P13721" s="46">
        <v>3600.0</v>
      </c>
    </row>
    <row r="13722">
      <c r="A13722" s="40">
        <f t="shared" si="1"/>
        <v>46013</v>
      </c>
      <c r="B13722" s="37" t="str">
        <f t="array" ref="B13722">iferror(xlookup($I13722, 'IMPORT VHC Report'!$E:$E, 'IMPORT VHC Report'!$A:$C), )</f>
        <v/>
      </c>
      <c r="C13722" s="44"/>
      <c r="D13722" s="44"/>
      <c r="E13722" s="46" t="s">
        <v>9826</v>
      </c>
      <c r="F13722" s="46" t="s">
        <v>5602</v>
      </c>
      <c r="G13722" s="46">
        <v>3.61731350795E11</v>
      </c>
      <c r="H13722" s="46" t="s">
        <v>5603</v>
      </c>
      <c r="I13722" s="46" t="s">
        <v>5604</v>
      </c>
      <c r="J13722" s="46" t="s">
        <v>224</v>
      </c>
      <c r="K13722" s="46" t="s">
        <v>63</v>
      </c>
      <c r="L13722" s="45">
        <v>46014.875</v>
      </c>
      <c r="M13722" s="46" t="s">
        <v>123</v>
      </c>
      <c r="N13722" s="45">
        <v>46015.166666666664</v>
      </c>
      <c r="O13722" s="46" t="s">
        <v>123</v>
      </c>
      <c r="P13722" s="46">
        <v>25200.0</v>
      </c>
    </row>
    <row r="13723">
      <c r="A13723" s="40">
        <f t="shared" si="1"/>
        <v>46013</v>
      </c>
      <c r="B13723" s="37" t="str">
        <f t="array" ref="B13723">iferror(xlookup($I13723, 'IMPORT VHC Report'!$E:$E, 'IMPORT VHC Report'!$A:$C), )</f>
        <v/>
      </c>
      <c r="C13723" s="44"/>
      <c r="D13723" s="44"/>
      <c r="E13723" s="46" t="s">
        <v>9827</v>
      </c>
      <c r="F13723" s="46" t="s">
        <v>5602</v>
      </c>
      <c r="G13723" s="46">
        <v>3.61731350795E11</v>
      </c>
      <c r="H13723" s="46" t="s">
        <v>5603</v>
      </c>
      <c r="I13723" s="46" t="s">
        <v>5604</v>
      </c>
      <c r="J13723" s="46" t="s">
        <v>178</v>
      </c>
      <c r="K13723" s="46" t="s">
        <v>153</v>
      </c>
      <c r="L13723" s="45">
        <v>46014.875</v>
      </c>
      <c r="M13723" s="46" t="s">
        <v>123</v>
      </c>
      <c r="N13723" s="45">
        <v>46015.25</v>
      </c>
      <c r="O13723" s="46" t="s">
        <v>123</v>
      </c>
      <c r="P13723" s="46">
        <v>32400.0</v>
      </c>
      <c r="Q13723" s="46">
        <v>32400.0</v>
      </c>
    </row>
    <row r="13724">
      <c r="A13724" s="40">
        <f t="shared" si="1"/>
        <v>46013</v>
      </c>
      <c r="B13724" s="37" t="str">
        <f t="array" ref="B13724">iferror(xlookup($I13724, 'IMPORT VHC Report'!$E:$E, 'IMPORT VHC Report'!$A:$C), )</f>
        <v/>
      </c>
      <c r="C13724" s="44"/>
      <c r="D13724" s="44"/>
      <c r="E13724" s="46" t="s">
        <v>9828</v>
      </c>
      <c r="F13724" s="46" t="s">
        <v>5602</v>
      </c>
      <c r="G13724" s="46">
        <v>3.61731350795E11</v>
      </c>
      <c r="H13724" s="46" t="s">
        <v>5603</v>
      </c>
      <c r="I13724" s="46" t="s">
        <v>5604</v>
      </c>
      <c r="J13724" s="46" t="s">
        <v>62</v>
      </c>
      <c r="K13724" s="46" t="s">
        <v>63</v>
      </c>
      <c r="L13724" s="45">
        <v>46015.166666666664</v>
      </c>
      <c r="M13724" s="46" t="s">
        <v>123</v>
      </c>
      <c r="N13724" s="45">
        <v>46015.25</v>
      </c>
      <c r="O13724" s="46" t="s">
        <v>123</v>
      </c>
      <c r="P13724" s="46">
        <v>7200.0</v>
      </c>
    </row>
    <row r="13725">
      <c r="A13725" s="40">
        <f t="shared" si="1"/>
        <v>46013</v>
      </c>
      <c r="B13725" s="37" t="str">
        <f t="array" ref="B13725">iferror(xlookup($I13725, 'IMPORT VHC Report'!$E:$E, 'IMPORT VHC Report'!$A:$C), )</f>
        <v/>
      </c>
      <c r="C13725" s="44"/>
      <c r="D13725" s="44"/>
      <c r="E13725" s="46" t="s">
        <v>9829</v>
      </c>
      <c r="F13725" s="46" t="s">
        <v>5602</v>
      </c>
      <c r="G13725" s="46">
        <v>3.61731350795E11</v>
      </c>
      <c r="H13725" s="46" t="s">
        <v>5603</v>
      </c>
      <c r="I13725" s="46" t="s">
        <v>5604</v>
      </c>
      <c r="J13725" s="46" t="s">
        <v>134</v>
      </c>
      <c r="K13725" s="46" t="s">
        <v>126</v>
      </c>
      <c r="L13725" s="45">
        <v>46015.1875</v>
      </c>
      <c r="M13725" s="46" t="s">
        <v>123</v>
      </c>
      <c r="N13725" s="45">
        <v>46015.208333333336</v>
      </c>
      <c r="O13725" s="46" t="s">
        <v>123</v>
      </c>
      <c r="P13725" s="46">
        <v>1800.0</v>
      </c>
    </row>
    <row r="13726">
      <c r="A13726" s="40">
        <f t="shared" si="1"/>
        <v>46013</v>
      </c>
      <c r="B13726" s="37" t="str">
        <f t="array" ref="B13726">iferror(xlookup($I13726, 'IMPORT VHC Report'!$E:$E, 'IMPORT VHC Report'!$A:$C), )</f>
        <v/>
      </c>
      <c r="C13726" s="44"/>
      <c r="D13726" s="44"/>
      <c r="E13726" s="46" t="s">
        <v>9830</v>
      </c>
      <c r="F13726" s="46" t="s">
        <v>5602</v>
      </c>
      <c r="G13726" s="46">
        <v>3.61731350795E11</v>
      </c>
      <c r="H13726" s="46" t="s">
        <v>5603</v>
      </c>
      <c r="I13726" s="46" t="s">
        <v>5604</v>
      </c>
      <c r="J13726" s="46" t="s">
        <v>132</v>
      </c>
      <c r="K13726" s="46" t="s">
        <v>126</v>
      </c>
      <c r="L13726" s="45">
        <v>46015.208333333336</v>
      </c>
      <c r="M13726" s="46" t="s">
        <v>123</v>
      </c>
      <c r="N13726" s="45">
        <v>46015.25</v>
      </c>
      <c r="O13726" s="46" t="s">
        <v>123</v>
      </c>
      <c r="P13726" s="46">
        <v>3600.0</v>
      </c>
    </row>
    <row r="13727">
      <c r="A13727" s="40">
        <f t="shared" si="1"/>
        <v>46013</v>
      </c>
      <c r="B13727" s="37" t="str">
        <f t="array" ref="B13727">iferror(xlookup($I13727, 'IMPORT VHC Report'!$E:$E, 'IMPORT VHC Report'!$A:$C), )</f>
        <v/>
      </c>
      <c r="C13727" s="44"/>
      <c r="D13727" s="44"/>
      <c r="E13727" s="46" t="s">
        <v>9831</v>
      </c>
      <c r="F13727" s="46" t="s">
        <v>5602</v>
      </c>
      <c r="G13727" s="46">
        <v>3.61731350795E11</v>
      </c>
      <c r="H13727" s="46" t="s">
        <v>5603</v>
      </c>
      <c r="I13727" s="46" t="s">
        <v>5604</v>
      </c>
      <c r="J13727" s="46" t="s">
        <v>224</v>
      </c>
      <c r="K13727" s="46" t="s">
        <v>63</v>
      </c>
      <c r="L13727" s="45">
        <v>46015.875</v>
      </c>
      <c r="M13727" s="46" t="s">
        <v>123</v>
      </c>
      <c r="N13727" s="45">
        <v>46016.1875</v>
      </c>
      <c r="O13727" s="46" t="s">
        <v>123</v>
      </c>
      <c r="P13727" s="46">
        <v>27000.0</v>
      </c>
    </row>
    <row r="13728">
      <c r="A13728" s="40">
        <f t="shared" si="1"/>
        <v>46013</v>
      </c>
      <c r="B13728" s="37" t="str">
        <f t="array" ref="B13728">iferror(xlookup($I13728, 'IMPORT VHC Report'!$E:$E, 'IMPORT VHC Report'!$A:$C), )</f>
        <v/>
      </c>
      <c r="C13728" s="44"/>
      <c r="D13728" s="44"/>
      <c r="E13728" s="46" t="s">
        <v>9832</v>
      </c>
      <c r="F13728" s="46" t="s">
        <v>5602</v>
      </c>
      <c r="G13728" s="46">
        <v>3.61731350795E11</v>
      </c>
      <c r="H13728" s="46" t="s">
        <v>5603</v>
      </c>
      <c r="I13728" s="46" t="s">
        <v>5604</v>
      </c>
      <c r="J13728" s="46" t="s">
        <v>178</v>
      </c>
      <c r="K13728" s="46" t="s">
        <v>153</v>
      </c>
      <c r="L13728" s="45">
        <v>46015.875</v>
      </c>
      <c r="M13728" s="46" t="s">
        <v>123</v>
      </c>
      <c r="N13728" s="45">
        <v>46016.25</v>
      </c>
      <c r="O13728" s="46" t="s">
        <v>123</v>
      </c>
      <c r="P13728" s="46">
        <v>32400.0</v>
      </c>
      <c r="Q13728" s="46">
        <v>32400.0</v>
      </c>
    </row>
    <row r="13729">
      <c r="A13729" s="40">
        <f t="shared" si="1"/>
        <v>46013</v>
      </c>
      <c r="B13729" s="37" t="str">
        <f t="array" ref="B13729">iferror(xlookup($I13729, 'IMPORT VHC Report'!$E:$E, 'IMPORT VHC Report'!$A:$C), )</f>
        <v/>
      </c>
      <c r="C13729" s="44"/>
      <c r="D13729" s="44"/>
      <c r="E13729" s="46" t="s">
        <v>9833</v>
      </c>
      <c r="F13729" s="46" t="s">
        <v>5602</v>
      </c>
      <c r="G13729" s="46">
        <v>3.61731350795E11</v>
      </c>
      <c r="H13729" s="46" t="s">
        <v>5603</v>
      </c>
      <c r="I13729" s="46" t="s">
        <v>5604</v>
      </c>
      <c r="J13729" s="46" t="s">
        <v>134</v>
      </c>
      <c r="K13729" s="46" t="s">
        <v>126</v>
      </c>
      <c r="L13729" s="45">
        <v>46016.1875</v>
      </c>
      <c r="M13729" s="46" t="s">
        <v>123</v>
      </c>
      <c r="N13729" s="45">
        <v>46016.208333333336</v>
      </c>
      <c r="O13729" s="46" t="s">
        <v>123</v>
      </c>
      <c r="P13729" s="46">
        <v>1800.0</v>
      </c>
    </row>
    <row r="13730">
      <c r="A13730" s="40">
        <f t="shared" si="1"/>
        <v>46013</v>
      </c>
      <c r="B13730" s="37" t="str">
        <f t="array" ref="B13730">iferror(xlookup($I13730, 'IMPORT VHC Report'!$E:$E, 'IMPORT VHC Report'!$A:$C), )</f>
        <v/>
      </c>
      <c r="C13730" s="44"/>
      <c r="D13730" s="44"/>
      <c r="E13730" s="46" t="s">
        <v>9834</v>
      </c>
      <c r="F13730" s="46" t="s">
        <v>5602</v>
      </c>
      <c r="G13730" s="46">
        <v>3.61731350795E11</v>
      </c>
      <c r="H13730" s="46" t="s">
        <v>5603</v>
      </c>
      <c r="I13730" s="46" t="s">
        <v>5604</v>
      </c>
      <c r="J13730" s="46" t="s">
        <v>132</v>
      </c>
      <c r="K13730" s="46" t="s">
        <v>126</v>
      </c>
      <c r="L13730" s="45">
        <v>46016.208333333336</v>
      </c>
      <c r="M13730" s="46" t="s">
        <v>123</v>
      </c>
      <c r="N13730" s="45">
        <v>46016.25</v>
      </c>
      <c r="O13730" s="46" t="s">
        <v>123</v>
      </c>
      <c r="P13730" s="46">
        <v>3600.0</v>
      </c>
    </row>
    <row r="13731">
      <c r="A13731" s="40">
        <f t="shared" si="1"/>
        <v>46013</v>
      </c>
      <c r="B13731" s="37" t="str">
        <f t="array" ref="B13731">iferror(xlookup($I13731, 'IMPORT VHC Report'!$E:$E, 'IMPORT VHC Report'!$A:$C), )</f>
        <v/>
      </c>
      <c r="C13731" s="44"/>
      <c r="D13731" s="44"/>
      <c r="E13731" s="46" t="s">
        <v>9835</v>
      </c>
      <c r="F13731" s="46" t="s">
        <v>5602</v>
      </c>
      <c r="G13731" s="46">
        <v>3.61731350795E11</v>
      </c>
      <c r="H13731" s="46" t="s">
        <v>5603</v>
      </c>
      <c r="I13731" s="46" t="s">
        <v>5604</v>
      </c>
      <c r="J13731" s="46" t="s">
        <v>224</v>
      </c>
      <c r="K13731" s="46" t="s">
        <v>63</v>
      </c>
      <c r="L13731" s="45">
        <v>46016.875</v>
      </c>
      <c r="M13731" s="46" t="s">
        <v>123</v>
      </c>
      <c r="N13731" s="45">
        <v>46016.96875</v>
      </c>
      <c r="O13731" s="46" t="s">
        <v>123</v>
      </c>
      <c r="P13731" s="46">
        <v>8100.0</v>
      </c>
    </row>
    <row r="13732">
      <c r="A13732" s="40">
        <f t="shared" si="1"/>
        <v>46013</v>
      </c>
      <c r="B13732" s="37" t="str">
        <f t="array" ref="B13732">iferror(xlookup($I13732, 'IMPORT VHC Report'!$E:$E, 'IMPORT VHC Report'!$A:$C), )</f>
        <v/>
      </c>
      <c r="C13732" s="44"/>
      <c r="D13732" s="44"/>
      <c r="E13732" s="46" t="s">
        <v>9836</v>
      </c>
      <c r="F13732" s="46" t="s">
        <v>5602</v>
      </c>
      <c r="G13732" s="46">
        <v>3.61731350795E11</v>
      </c>
      <c r="H13732" s="46" t="s">
        <v>5603</v>
      </c>
      <c r="I13732" s="46" t="s">
        <v>5604</v>
      </c>
      <c r="J13732" s="46" t="s">
        <v>178</v>
      </c>
      <c r="K13732" s="46" t="s">
        <v>153</v>
      </c>
      <c r="L13732" s="45">
        <v>46016.875</v>
      </c>
      <c r="M13732" s="46" t="s">
        <v>123</v>
      </c>
      <c r="N13732" s="45">
        <v>46017.25</v>
      </c>
      <c r="O13732" s="46" t="s">
        <v>123</v>
      </c>
      <c r="P13732" s="46">
        <v>32400.0</v>
      </c>
      <c r="Q13732" s="46">
        <v>32400.0</v>
      </c>
    </row>
    <row r="13733">
      <c r="A13733" s="40">
        <f t="shared" si="1"/>
        <v>46013</v>
      </c>
      <c r="B13733" s="37" t="str">
        <f t="array" ref="B13733">iferror(xlookup($I13733, 'IMPORT VHC Report'!$E:$E, 'IMPORT VHC Report'!$A:$C), )</f>
        <v/>
      </c>
      <c r="C13733" s="44"/>
      <c r="D13733" s="44"/>
      <c r="E13733" s="46" t="s">
        <v>9837</v>
      </c>
      <c r="F13733" s="46" t="s">
        <v>5602</v>
      </c>
      <c r="G13733" s="46">
        <v>3.61731350795E11</v>
      </c>
      <c r="H13733" s="46" t="s">
        <v>5603</v>
      </c>
      <c r="I13733" s="46" t="s">
        <v>5604</v>
      </c>
      <c r="J13733" s="46" t="s">
        <v>134</v>
      </c>
      <c r="K13733" s="46" t="s">
        <v>126</v>
      </c>
      <c r="L13733" s="45">
        <v>46016.96875</v>
      </c>
      <c r="M13733" s="46" t="s">
        <v>123</v>
      </c>
      <c r="N13733" s="45">
        <v>46016.989583333336</v>
      </c>
      <c r="O13733" s="46" t="s">
        <v>123</v>
      </c>
      <c r="P13733" s="46">
        <v>1800.0</v>
      </c>
    </row>
    <row r="13734">
      <c r="A13734" s="40">
        <f t="shared" si="1"/>
        <v>46013</v>
      </c>
      <c r="B13734" s="37" t="str">
        <f t="array" ref="B13734">iferror(xlookup($I13734, 'IMPORT VHC Report'!$E:$E, 'IMPORT VHC Report'!$A:$C), )</f>
        <v/>
      </c>
      <c r="C13734" s="44"/>
      <c r="D13734" s="44"/>
      <c r="E13734" s="46" t="s">
        <v>9838</v>
      </c>
      <c r="F13734" s="46" t="s">
        <v>5602</v>
      </c>
      <c r="G13734" s="46">
        <v>3.61731350795E11</v>
      </c>
      <c r="H13734" s="46" t="s">
        <v>5603</v>
      </c>
      <c r="I13734" s="46" t="s">
        <v>5604</v>
      </c>
      <c r="J13734" s="46" t="s">
        <v>224</v>
      </c>
      <c r="K13734" s="46" t="s">
        <v>63</v>
      </c>
      <c r="L13734" s="45">
        <v>46016.96875</v>
      </c>
      <c r="M13734" s="46" t="s">
        <v>123</v>
      </c>
      <c r="N13734" s="45">
        <v>46017.25</v>
      </c>
      <c r="O13734" s="46" t="s">
        <v>123</v>
      </c>
      <c r="P13734" s="46">
        <v>24300.0</v>
      </c>
    </row>
    <row r="13735">
      <c r="A13735" s="40">
        <f t="shared" si="1"/>
        <v>46013</v>
      </c>
      <c r="B13735" s="37" t="str">
        <f t="array" ref="B13735">iferror(xlookup($I13735, 'IMPORT VHC Report'!$E:$E, 'IMPORT VHC Report'!$A:$C), )</f>
        <v/>
      </c>
      <c r="C13735" s="44"/>
      <c r="D13735" s="44"/>
      <c r="E13735" s="46" t="s">
        <v>9839</v>
      </c>
      <c r="F13735" s="46" t="s">
        <v>5602</v>
      </c>
      <c r="G13735" s="46">
        <v>3.61731350795E11</v>
      </c>
      <c r="H13735" s="46" t="s">
        <v>5603</v>
      </c>
      <c r="I13735" s="46" t="s">
        <v>5604</v>
      </c>
      <c r="J13735" s="46" t="s">
        <v>132</v>
      </c>
      <c r="K13735" s="46" t="s">
        <v>126</v>
      </c>
      <c r="L13735" s="45">
        <v>46017.125</v>
      </c>
      <c r="M13735" s="46" t="s">
        <v>123</v>
      </c>
      <c r="N13735" s="45">
        <v>46017.166666666664</v>
      </c>
      <c r="O13735" s="46" t="s">
        <v>123</v>
      </c>
      <c r="P13735" s="46">
        <v>3600.0</v>
      </c>
    </row>
    <row r="13736">
      <c r="A13736" s="40">
        <f t="shared" si="1"/>
        <v>46013</v>
      </c>
      <c r="B13736" s="37" t="str">
        <f t="array" ref="B13736">iferror(xlookup($I13736, 'IMPORT VHC Report'!$E:$E, 'IMPORT VHC Report'!$A:$C), )</f>
        <v/>
      </c>
      <c r="C13736" s="44"/>
      <c r="D13736" s="44"/>
      <c r="E13736" s="46" t="s">
        <v>9840</v>
      </c>
      <c r="F13736" s="46" t="s">
        <v>5602</v>
      </c>
      <c r="G13736" s="46">
        <v>3.61731350795E11</v>
      </c>
      <c r="H13736" s="46" t="s">
        <v>5603</v>
      </c>
      <c r="I13736" s="46" t="s">
        <v>5604</v>
      </c>
      <c r="J13736" s="46" t="s">
        <v>224</v>
      </c>
      <c r="K13736" s="46" t="s">
        <v>63</v>
      </c>
      <c r="L13736" s="45">
        <v>46017.875</v>
      </c>
      <c r="M13736" s="46" t="s">
        <v>123</v>
      </c>
      <c r="N13736" s="45">
        <v>46017.989583333336</v>
      </c>
      <c r="O13736" s="46" t="s">
        <v>123</v>
      </c>
      <c r="P13736" s="46">
        <v>9900.0</v>
      </c>
    </row>
    <row r="13737">
      <c r="A13737" s="40">
        <f t="shared" si="1"/>
        <v>46013</v>
      </c>
      <c r="B13737" s="37" t="str">
        <f t="array" ref="B13737">iferror(xlookup($I13737, 'IMPORT VHC Report'!$E:$E, 'IMPORT VHC Report'!$A:$C), )</f>
        <v/>
      </c>
      <c r="C13737" s="44"/>
      <c r="D13737" s="44"/>
      <c r="E13737" s="46" t="s">
        <v>9841</v>
      </c>
      <c r="F13737" s="46" t="s">
        <v>5602</v>
      </c>
      <c r="G13737" s="46">
        <v>3.61731350795E11</v>
      </c>
      <c r="H13737" s="46" t="s">
        <v>5603</v>
      </c>
      <c r="I13737" s="46" t="s">
        <v>5604</v>
      </c>
      <c r="J13737" s="46" t="s">
        <v>178</v>
      </c>
      <c r="K13737" s="46" t="s">
        <v>153</v>
      </c>
      <c r="L13737" s="45">
        <v>46017.875</v>
      </c>
      <c r="M13737" s="46" t="s">
        <v>123</v>
      </c>
      <c r="N13737" s="45">
        <v>46018.25</v>
      </c>
      <c r="O13737" s="46" t="s">
        <v>123</v>
      </c>
      <c r="P13737" s="46">
        <v>32400.0</v>
      </c>
      <c r="Q13737" s="46">
        <v>32400.0</v>
      </c>
    </row>
    <row r="13738">
      <c r="A13738" s="40">
        <f t="shared" si="1"/>
        <v>46013</v>
      </c>
      <c r="B13738" s="37" t="str">
        <f t="array" ref="B13738">iferror(xlookup($I13738, 'IMPORT VHC Report'!$E:$E, 'IMPORT VHC Report'!$A:$C), )</f>
        <v/>
      </c>
      <c r="C13738" s="44"/>
      <c r="D13738" s="44"/>
      <c r="E13738" s="46" t="s">
        <v>9842</v>
      </c>
      <c r="F13738" s="46" t="s">
        <v>5602</v>
      </c>
      <c r="G13738" s="46">
        <v>3.61731350795E11</v>
      </c>
      <c r="H13738" s="46" t="s">
        <v>5603</v>
      </c>
      <c r="I13738" s="46" t="s">
        <v>5604</v>
      </c>
      <c r="J13738" s="46" t="s">
        <v>134</v>
      </c>
      <c r="K13738" s="46" t="s">
        <v>126</v>
      </c>
      <c r="L13738" s="45">
        <v>46017.989583333336</v>
      </c>
      <c r="M13738" s="46" t="s">
        <v>123</v>
      </c>
      <c r="N13738" s="45">
        <v>46018.010416666664</v>
      </c>
      <c r="O13738" s="46" t="s">
        <v>123</v>
      </c>
      <c r="P13738" s="46">
        <v>1800.0</v>
      </c>
    </row>
    <row r="13739">
      <c r="A13739" s="40">
        <f t="shared" si="1"/>
        <v>46013</v>
      </c>
      <c r="B13739" s="37" t="str">
        <f t="array" ref="B13739">iferror(xlookup($I13739, 'IMPORT VHC Report'!$E:$E, 'IMPORT VHC Report'!$A:$C), )</f>
        <v/>
      </c>
      <c r="C13739" s="44"/>
      <c r="D13739" s="44"/>
      <c r="E13739" s="46" t="s">
        <v>9843</v>
      </c>
      <c r="F13739" s="46" t="s">
        <v>5602</v>
      </c>
      <c r="G13739" s="46">
        <v>3.61731350795E11</v>
      </c>
      <c r="H13739" s="46" t="s">
        <v>5603</v>
      </c>
      <c r="I13739" s="46" t="s">
        <v>5604</v>
      </c>
      <c r="J13739" s="46" t="s">
        <v>224</v>
      </c>
      <c r="K13739" s="46" t="s">
        <v>63</v>
      </c>
      <c r="L13739" s="45">
        <v>46017.989583333336</v>
      </c>
      <c r="M13739" s="46" t="s">
        <v>123</v>
      </c>
      <c r="N13739" s="45">
        <v>46018.25</v>
      </c>
      <c r="O13739" s="46" t="s">
        <v>123</v>
      </c>
      <c r="P13739" s="46">
        <v>22500.0</v>
      </c>
    </row>
    <row r="13740">
      <c r="A13740" s="40">
        <f t="shared" si="1"/>
        <v>46013</v>
      </c>
      <c r="B13740" s="37" t="str">
        <f t="array" ref="B13740">iferror(xlookup($I13740, 'IMPORT VHC Report'!$E:$E, 'IMPORT VHC Report'!$A:$C), )</f>
        <v/>
      </c>
      <c r="C13740" s="44"/>
      <c r="D13740" s="44"/>
      <c r="E13740" s="46" t="s">
        <v>9844</v>
      </c>
      <c r="F13740" s="46" t="s">
        <v>5602</v>
      </c>
      <c r="G13740" s="46">
        <v>3.61731350795E11</v>
      </c>
      <c r="H13740" s="46" t="s">
        <v>5603</v>
      </c>
      <c r="I13740" s="46" t="s">
        <v>5604</v>
      </c>
      <c r="J13740" s="46" t="s">
        <v>132</v>
      </c>
      <c r="K13740" s="46" t="s">
        <v>126</v>
      </c>
      <c r="L13740" s="45">
        <v>46018.114583333336</v>
      </c>
      <c r="M13740" s="46" t="s">
        <v>123</v>
      </c>
      <c r="N13740" s="45">
        <v>46018.15625</v>
      </c>
      <c r="O13740" s="46" t="s">
        <v>123</v>
      </c>
      <c r="P13740" s="46">
        <v>3600.0</v>
      </c>
    </row>
    <row r="13741">
      <c r="A13741" s="40">
        <f t="shared" si="1"/>
        <v>46013</v>
      </c>
      <c r="B13741" s="37" t="str">
        <f t="array" ref="B13741">iferror(xlookup($I13741, 'IMPORT VHC Report'!$E:$E, 'IMPORT VHC Report'!$A:$C), )</f>
        <v/>
      </c>
      <c r="C13741" s="44"/>
      <c r="D13741" s="44"/>
      <c r="E13741" s="46" t="s">
        <v>9845</v>
      </c>
      <c r="F13741" s="46" t="s">
        <v>5613</v>
      </c>
      <c r="G13741" s="46">
        <v>4.967084440335E12</v>
      </c>
      <c r="H13741" s="46" t="s">
        <v>5614</v>
      </c>
      <c r="I13741" s="46" t="s">
        <v>5615</v>
      </c>
      <c r="J13741" s="46" t="s">
        <v>224</v>
      </c>
      <c r="K13741" s="46" t="s">
        <v>63</v>
      </c>
      <c r="L13741" s="45">
        <v>46013.875</v>
      </c>
      <c r="M13741" s="46" t="s">
        <v>123</v>
      </c>
      <c r="N13741" s="45">
        <v>46014.1875</v>
      </c>
      <c r="O13741" s="46" t="s">
        <v>123</v>
      </c>
      <c r="P13741" s="46">
        <v>27000.0</v>
      </c>
    </row>
    <row r="13742">
      <c r="A13742" s="40">
        <f t="shared" si="1"/>
        <v>46013</v>
      </c>
      <c r="B13742" s="37" t="str">
        <f t="array" ref="B13742">iferror(xlookup($I13742, 'IMPORT VHC Report'!$E:$E, 'IMPORT VHC Report'!$A:$C), )</f>
        <v/>
      </c>
      <c r="C13742" s="44"/>
      <c r="D13742" s="44"/>
      <c r="E13742" s="46" t="s">
        <v>9846</v>
      </c>
      <c r="F13742" s="46" t="s">
        <v>5613</v>
      </c>
      <c r="G13742" s="46">
        <v>4.967084440335E12</v>
      </c>
      <c r="H13742" s="46" t="s">
        <v>5614</v>
      </c>
      <c r="I13742" s="46" t="s">
        <v>5615</v>
      </c>
      <c r="J13742" s="46" t="s">
        <v>5617</v>
      </c>
      <c r="K13742" s="46" t="s">
        <v>153</v>
      </c>
      <c r="L13742" s="45">
        <v>46013.875</v>
      </c>
      <c r="M13742" s="46" t="s">
        <v>123</v>
      </c>
      <c r="N13742" s="45">
        <v>46014.25</v>
      </c>
      <c r="O13742" s="46" t="s">
        <v>123</v>
      </c>
      <c r="P13742" s="46">
        <v>32400.0</v>
      </c>
      <c r="Q13742" s="46">
        <v>32400.0</v>
      </c>
      <c r="R13742" s="46" t="s">
        <v>5618</v>
      </c>
      <c r="S13742" s="46" t="s">
        <v>5618</v>
      </c>
    </row>
    <row r="13743">
      <c r="A13743" s="40">
        <f t="shared" si="1"/>
        <v>46013</v>
      </c>
      <c r="B13743" s="37" t="str">
        <f t="array" ref="B13743">iferror(xlookup($I13743, 'IMPORT VHC Report'!$E:$E, 'IMPORT VHC Report'!$A:$C), )</f>
        <v/>
      </c>
      <c r="C13743" s="44"/>
      <c r="D13743" s="44"/>
      <c r="E13743" s="46" t="s">
        <v>9847</v>
      </c>
      <c r="F13743" s="46" t="s">
        <v>5613</v>
      </c>
      <c r="G13743" s="46">
        <v>4.967084440335E12</v>
      </c>
      <c r="H13743" s="46" t="s">
        <v>5614</v>
      </c>
      <c r="I13743" s="46" t="s">
        <v>5615</v>
      </c>
      <c r="J13743" s="46" t="s">
        <v>134</v>
      </c>
      <c r="K13743" s="46" t="s">
        <v>126</v>
      </c>
      <c r="L13743" s="45">
        <v>46014.1875</v>
      </c>
      <c r="M13743" s="46" t="s">
        <v>123</v>
      </c>
      <c r="N13743" s="45">
        <v>46014.208333333336</v>
      </c>
      <c r="O13743" s="46" t="s">
        <v>123</v>
      </c>
      <c r="P13743" s="46">
        <v>1800.0</v>
      </c>
    </row>
    <row r="13744">
      <c r="A13744" s="40">
        <f t="shared" si="1"/>
        <v>46013</v>
      </c>
      <c r="B13744" s="37" t="str">
        <f t="array" ref="B13744">iferror(xlookup($I13744, 'IMPORT VHC Report'!$E:$E, 'IMPORT VHC Report'!$A:$C), )</f>
        <v/>
      </c>
      <c r="C13744" s="44"/>
      <c r="D13744" s="44"/>
      <c r="E13744" s="46" t="s">
        <v>9848</v>
      </c>
      <c r="F13744" s="46" t="s">
        <v>5613</v>
      </c>
      <c r="G13744" s="46">
        <v>4.967084440335E12</v>
      </c>
      <c r="H13744" s="46" t="s">
        <v>5614</v>
      </c>
      <c r="I13744" s="46" t="s">
        <v>5615</v>
      </c>
      <c r="J13744" s="46" t="s">
        <v>132</v>
      </c>
      <c r="K13744" s="46" t="s">
        <v>126</v>
      </c>
      <c r="L13744" s="45">
        <v>46014.208333333336</v>
      </c>
      <c r="M13744" s="46" t="s">
        <v>123</v>
      </c>
      <c r="N13744" s="45">
        <v>46014.25</v>
      </c>
      <c r="O13744" s="46" t="s">
        <v>123</v>
      </c>
      <c r="P13744" s="46">
        <v>3600.0</v>
      </c>
    </row>
    <row r="13745">
      <c r="A13745" s="40">
        <f t="shared" si="1"/>
        <v>46013</v>
      </c>
      <c r="B13745" s="37" t="str">
        <f t="array" ref="B13745">iferror(xlookup($I13745, 'IMPORT VHC Report'!$E:$E, 'IMPORT VHC Report'!$A:$C), )</f>
        <v/>
      </c>
      <c r="C13745" s="44"/>
      <c r="D13745" s="44"/>
      <c r="E13745" s="46" t="s">
        <v>9849</v>
      </c>
      <c r="F13745" s="46" t="s">
        <v>5613</v>
      </c>
      <c r="G13745" s="46">
        <v>4.967084440335E12</v>
      </c>
      <c r="H13745" s="46" t="s">
        <v>5614</v>
      </c>
      <c r="I13745" s="46" t="s">
        <v>5615</v>
      </c>
      <c r="J13745" s="46" t="s">
        <v>224</v>
      </c>
      <c r="K13745" s="46" t="s">
        <v>63</v>
      </c>
      <c r="L13745" s="45">
        <v>46014.875</v>
      </c>
      <c r="M13745" s="46" t="s">
        <v>123</v>
      </c>
      <c r="N13745" s="45">
        <v>46015.166666666664</v>
      </c>
      <c r="O13745" s="46" t="s">
        <v>123</v>
      </c>
      <c r="P13745" s="46">
        <v>25200.0</v>
      </c>
    </row>
    <row r="13746">
      <c r="A13746" s="40">
        <f t="shared" si="1"/>
        <v>46013</v>
      </c>
      <c r="B13746" s="37" t="str">
        <f t="array" ref="B13746">iferror(xlookup($I13746, 'IMPORT VHC Report'!$E:$E, 'IMPORT VHC Report'!$A:$C), )</f>
        <v/>
      </c>
      <c r="C13746" s="44"/>
      <c r="D13746" s="44"/>
      <c r="E13746" s="46" t="s">
        <v>9850</v>
      </c>
      <c r="F13746" s="46" t="s">
        <v>5613</v>
      </c>
      <c r="G13746" s="46">
        <v>4.967084440335E12</v>
      </c>
      <c r="H13746" s="46" t="s">
        <v>5614</v>
      </c>
      <c r="I13746" s="46" t="s">
        <v>5615</v>
      </c>
      <c r="J13746" s="46" t="s">
        <v>5617</v>
      </c>
      <c r="K13746" s="46" t="s">
        <v>153</v>
      </c>
      <c r="L13746" s="45">
        <v>46014.875</v>
      </c>
      <c r="M13746" s="46" t="s">
        <v>123</v>
      </c>
      <c r="N13746" s="45">
        <v>46015.25</v>
      </c>
      <c r="O13746" s="46" t="s">
        <v>123</v>
      </c>
      <c r="P13746" s="46">
        <v>32400.0</v>
      </c>
      <c r="Q13746" s="46">
        <v>32400.0</v>
      </c>
      <c r="R13746" s="46" t="s">
        <v>5618</v>
      </c>
      <c r="S13746" s="46" t="s">
        <v>5618</v>
      </c>
    </row>
    <row r="13747">
      <c r="A13747" s="40">
        <f t="shared" si="1"/>
        <v>46013</v>
      </c>
      <c r="B13747" s="37" t="str">
        <f t="array" ref="B13747">iferror(xlookup($I13747, 'IMPORT VHC Report'!$E:$E, 'IMPORT VHC Report'!$A:$C), )</f>
        <v/>
      </c>
      <c r="C13747" s="44"/>
      <c r="D13747" s="44"/>
      <c r="E13747" s="46" t="s">
        <v>9851</v>
      </c>
      <c r="F13747" s="46" t="s">
        <v>5613</v>
      </c>
      <c r="G13747" s="46">
        <v>4.967084440335E12</v>
      </c>
      <c r="H13747" s="46" t="s">
        <v>5614</v>
      </c>
      <c r="I13747" s="46" t="s">
        <v>5615</v>
      </c>
      <c r="J13747" s="46" t="s">
        <v>62</v>
      </c>
      <c r="K13747" s="46" t="s">
        <v>63</v>
      </c>
      <c r="L13747" s="45">
        <v>46015.166666666664</v>
      </c>
      <c r="M13747" s="46" t="s">
        <v>123</v>
      </c>
      <c r="N13747" s="45">
        <v>46015.25</v>
      </c>
      <c r="O13747" s="46" t="s">
        <v>123</v>
      </c>
      <c r="P13747" s="46">
        <v>7200.0</v>
      </c>
    </row>
    <row r="13748">
      <c r="A13748" s="40">
        <f t="shared" si="1"/>
        <v>46013</v>
      </c>
      <c r="B13748" s="37" t="str">
        <f t="array" ref="B13748">iferror(xlookup($I13748, 'IMPORT VHC Report'!$E:$E, 'IMPORT VHC Report'!$A:$C), )</f>
        <v/>
      </c>
      <c r="C13748" s="44"/>
      <c r="D13748" s="44"/>
      <c r="E13748" s="46" t="s">
        <v>9852</v>
      </c>
      <c r="F13748" s="46" t="s">
        <v>5613</v>
      </c>
      <c r="G13748" s="46">
        <v>4.967084440335E12</v>
      </c>
      <c r="H13748" s="46" t="s">
        <v>5614</v>
      </c>
      <c r="I13748" s="46" t="s">
        <v>5615</v>
      </c>
      <c r="J13748" s="46" t="s">
        <v>134</v>
      </c>
      <c r="K13748" s="46" t="s">
        <v>126</v>
      </c>
      <c r="L13748" s="45">
        <v>46015.1875</v>
      </c>
      <c r="M13748" s="46" t="s">
        <v>123</v>
      </c>
      <c r="N13748" s="45">
        <v>46015.208333333336</v>
      </c>
      <c r="O13748" s="46" t="s">
        <v>123</v>
      </c>
      <c r="P13748" s="46">
        <v>1800.0</v>
      </c>
    </row>
    <row r="13749">
      <c r="A13749" s="40">
        <f t="shared" si="1"/>
        <v>46013</v>
      </c>
      <c r="B13749" s="37" t="str">
        <f t="array" ref="B13749">iferror(xlookup($I13749, 'IMPORT VHC Report'!$E:$E, 'IMPORT VHC Report'!$A:$C), )</f>
        <v/>
      </c>
      <c r="C13749" s="44"/>
      <c r="D13749" s="44"/>
      <c r="E13749" s="46" t="s">
        <v>9853</v>
      </c>
      <c r="F13749" s="46" t="s">
        <v>5613</v>
      </c>
      <c r="G13749" s="46">
        <v>4.967084440335E12</v>
      </c>
      <c r="H13749" s="46" t="s">
        <v>5614</v>
      </c>
      <c r="I13749" s="46" t="s">
        <v>5615</v>
      </c>
      <c r="J13749" s="46" t="s">
        <v>132</v>
      </c>
      <c r="K13749" s="46" t="s">
        <v>126</v>
      </c>
      <c r="L13749" s="45">
        <v>46015.208333333336</v>
      </c>
      <c r="M13749" s="46" t="s">
        <v>123</v>
      </c>
      <c r="N13749" s="45">
        <v>46015.25</v>
      </c>
      <c r="O13749" s="46" t="s">
        <v>123</v>
      </c>
      <c r="P13749" s="46">
        <v>3600.0</v>
      </c>
    </row>
    <row r="13750">
      <c r="A13750" s="40">
        <f t="shared" si="1"/>
        <v>46013</v>
      </c>
      <c r="B13750" s="37" t="str">
        <f t="array" ref="B13750">iferror(xlookup($I13750, 'IMPORT VHC Report'!$E:$E, 'IMPORT VHC Report'!$A:$C), )</f>
        <v/>
      </c>
      <c r="C13750" s="44"/>
      <c r="D13750" s="44"/>
      <c r="E13750" s="46" t="s">
        <v>9854</v>
      </c>
      <c r="F13750" s="46" t="s">
        <v>5613</v>
      </c>
      <c r="G13750" s="46">
        <v>4.967084440335E12</v>
      </c>
      <c r="H13750" s="46" t="s">
        <v>5614</v>
      </c>
      <c r="I13750" s="46" t="s">
        <v>5615</v>
      </c>
      <c r="J13750" s="46" t="s">
        <v>224</v>
      </c>
      <c r="K13750" s="46" t="s">
        <v>63</v>
      </c>
      <c r="L13750" s="45">
        <v>46015.875</v>
      </c>
      <c r="M13750" s="46" t="s">
        <v>123</v>
      </c>
      <c r="N13750" s="45">
        <v>46016.1875</v>
      </c>
      <c r="O13750" s="46" t="s">
        <v>123</v>
      </c>
      <c r="P13750" s="46">
        <v>27000.0</v>
      </c>
    </row>
    <row r="13751">
      <c r="A13751" s="40">
        <f t="shared" si="1"/>
        <v>46013</v>
      </c>
      <c r="B13751" s="37" t="str">
        <f t="array" ref="B13751">iferror(xlookup($I13751, 'IMPORT VHC Report'!$E:$E, 'IMPORT VHC Report'!$A:$C), )</f>
        <v/>
      </c>
      <c r="C13751" s="44"/>
      <c r="D13751" s="44"/>
      <c r="E13751" s="46" t="s">
        <v>9855</v>
      </c>
      <c r="F13751" s="46" t="s">
        <v>5613</v>
      </c>
      <c r="G13751" s="46">
        <v>4.967084440335E12</v>
      </c>
      <c r="H13751" s="46" t="s">
        <v>5614</v>
      </c>
      <c r="I13751" s="46" t="s">
        <v>5615</v>
      </c>
      <c r="J13751" s="46" t="s">
        <v>5617</v>
      </c>
      <c r="K13751" s="46" t="s">
        <v>153</v>
      </c>
      <c r="L13751" s="45">
        <v>46015.875</v>
      </c>
      <c r="M13751" s="46" t="s">
        <v>123</v>
      </c>
      <c r="N13751" s="45">
        <v>46016.25</v>
      </c>
      <c r="O13751" s="46" t="s">
        <v>123</v>
      </c>
      <c r="P13751" s="46">
        <v>32400.0</v>
      </c>
      <c r="Q13751" s="46">
        <v>32400.0</v>
      </c>
      <c r="R13751" s="46" t="s">
        <v>5618</v>
      </c>
      <c r="S13751" s="46" t="s">
        <v>5618</v>
      </c>
    </row>
    <row r="13752">
      <c r="A13752" s="40">
        <f t="shared" si="1"/>
        <v>46013</v>
      </c>
      <c r="B13752" s="37" t="str">
        <f t="array" ref="B13752">iferror(xlookup($I13752, 'IMPORT VHC Report'!$E:$E, 'IMPORT VHC Report'!$A:$C), )</f>
        <v/>
      </c>
      <c r="C13752" s="44"/>
      <c r="D13752" s="44"/>
      <c r="E13752" s="46" t="s">
        <v>9856</v>
      </c>
      <c r="F13752" s="46" t="s">
        <v>5613</v>
      </c>
      <c r="G13752" s="46">
        <v>4.967084440335E12</v>
      </c>
      <c r="H13752" s="46" t="s">
        <v>5614</v>
      </c>
      <c r="I13752" s="46" t="s">
        <v>5615</v>
      </c>
      <c r="J13752" s="46" t="s">
        <v>134</v>
      </c>
      <c r="K13752" s="46" t="s">
        <v>126</v>
      </c>
      <c r="L13752" s="45">
        <v>46016.1875</v>
      </c>
      <c r="M13752" s="46" t="s">
        <v>123</v>
      </c>
      <c r="N13752" s="45">
        <v>46016.208333333336</v>
      </c>
      <c r="O13752" s="46" t="s">
        <v>123</v>
      </c>
      <c r="P13752" s="46">
        <v>1800.0</v>
      </c>
    </row>
    <row r="13753">
      <c r="A13753" s="40">
        <f t="shared" si="1"/>
        <v>46013</v>
      </c>
      <c r="B13753" s="37" t="str">
        <f t="array" ref="B13753">iferror(xlookup($I13753, 'IMPORT VHC Report'!$E:$E, 'IMPORT VHC Report'!$A:$C), )</f>
        <v/>
      </c>
      <c r="C13753" s="44"/>
      <c r="D13753" s="44"/>
      <c r="E13753" s="46" t="s">
        <v>9857</v>
      </c>
      <c r="F13753" s="46" t="s">
        <v>5613</v>
      </c>
      <c r="G13753" s="46">
        <v>4.967084440335E12</v>
      </c>
      <c r="H13753" s="46" t="s">
        <v>5614</v>
      </c>
      <c r="I13753" s="46" t="s">
        <v>5615</v>
      </c>
      <c r="J13753" s="46" t="s">
        <v>132</v>
      </c>
      <c r="K13753" s="46" t="s">
        <v>126</v>
      </c>
      <c r="L13753" s="45">
        <v>46016.208333333336</v>
      </c>
      <c r="M13753" s="46" t="s">
        <v>123</v>
      </c>
      <c r="N13753" s="45">
        <v>46016.25</v>
      </c>
      <c r="O13753" s="46" t="s">
        <v>123</v>
      </c>
      <c r="P13753" s="46">
        <v>3600.0</v>
      </c>
    </row>
    <row r="13754">
      <c r="A13754" s="40">
        <f t="shared" si="1"/>
        <v>46013</v>
      </c>
      <c r="B13754" s="37" t="str">
        <f t="array" ref="B13754">iferror(xlookup($I13754, 'IMPORT VHC Report'!$E:$E, 'IMPORT VHC Report'!$A:$C), )</f>
        <v/>
      </c>
      <c r="C13754" s="44"/>
      <c r="D13754" s="44"/>
      <c r="E13754" s="46" t="s">
        <v>9858</v>
      </c>
      <c r="F13754" s="46" t="s">
        <v>5613</v>
      </c>
      <c r="G13754" s="46">
        <v>4.967084440335E12</v>
      </c>
      <c r="H13754" s="46" t="s">
        <v>5614</v>
      </c>
      <c r="I13754" s="46" t="s">
        <v>5615</v>
      </c>
      <c r="J13754" s="46" t="s">
        <v>224</v>
      </c>
      <c r="K13754" s="46" t="s">
        <v>63</v>
      </c>
      <c r="L13754" s="45">
        <v>46016.875</v>
      </c>
      <c r="M13754" s="46" t="s">
        <v>123</v>
      </c>
      <c r="N13754" s="45">
        <v>46017.1875</v>
      </c>
      <c r="O13754" s="46" t="s">
        <v>123</v>
      </c>
      <c r="P13754" s="46">
        <v>27000.0</v>
      </c>
    </row>
    <row r="13755">
      <c r="A13755" s="40">
        <f t="shared" si="1"/>
        <v>46013</v>
      </c>
      <c r="B13755" s="37" t="str">
        <f t="array" ref="B13755">iferror(xlookup($I13755, 'IMPORT VHC Report'!$E:$E, 'IMPORT VHC Report'!$A:$C), )</f>
        <v/>
      </c>
      <c r="C13755" s="44"/>
      <c r="D13755" s="44"/>
      <c r="E13755" s="46" t="s">
        <v>9859</v>
      </c>
      <c r="F13755" s="46" t="s">
        <v>5613</v>
      </c>
      <c r="G13755" s="46">
        <v>4.967084440335E12</v>
      </c>
      <c r="H13755" s="46" t="s">
        <v>5614</v>
      </c>
      <c r="I13755" s="46" t="s">
        <v>5615</v>
      </c>
      <c r="J13755" s="46" t="s">
        <v>5617</v>
      </c>
      <c r="K13755" s="46" t="s">
        <v>153</v>
      </c>
      <c r="L13755" s="45">
        <v>46016.875</v>
      </c>
      <c r="M13755" s="46" t="s">
        <v>123</v>
      </c>
      <c r="N13755" s="45">
        <v>46017.25</v>
      </c>
      <c r="O13755" s="46" t="s">
        <v>123</v>
      </c>
      <c r="P13755" s="46">
        <v>32400.0</v>
      </c>
      <c r="Q13755" s="46">
        <v>32400.0</v>
      </c>
      <c r="R13755" s="46" t="s">
        <v>5618</v>
      </c>
      <c r="S13755" s="46" t="s">
        <v>5618</v>
      </c>
    </row>
    <row r="13756">
      <c r="A13756" s="40">
        <f t="shared" si="1"/>
        <v>46013</v>
      </c>
      <c r="B13756" s="37" t="str">
        <f t="array" ref="B13756">iferror(xlookup($I13756, 'IMPORT VHC Report'!$E:$E, 'IMPORT VHC Report'!$A:$C), )</f>
        <v/>
      </c>
      <c r="C13756" s="44"/>
      <c r="D13756" s="44"/>
      <c r="E13756" s="46" t="s">
        <v>9860</v>
      </c>
      <c r="F13756" s="46" t="s">
        <v>5613</v>
      </c>
      <c r="G13756" s="46">
        <v>4.967084440335E12</v>
      </c>
      <c r="H13756" s="46" t="s">
        <v>5614</v>
      </c>
      <c r="I13756" s="46" t="s">
        <v>5615</v>
      </c>
      <c r="J13756" s="46" t="s">
        <v>134</v>
      </c>
      <c r="K13756" s="46" t="s">
        <v>126</v>
      </c>
      <c r="L13756" s="45">
        <v>46017.1875</v>
      </c>
      <c r="M13756" s="46" t="s">
        <v>123</v>
      </c>
      <c r="N13756" s="45">
        <v>46017.208333333336</v>
      </c>
      <c r="O13756" s="46" t="s">
        <v>123</v>
      </c>
      <c r="P13756" s="46">
        <v>1800.0</v>
      </c>
    </row>
    <row r="13757">
      <c r="A13757" s="40">
        <f t="shared" si="1"/>
        <v>46013</v>
      </c>
      <c r="B13757" s="37" t="str">
        <f t="array" ref="B13757">iferror(xlookup($I13757, 'IMPORT VHC Report'!$E:$E, 'IMPORT VHC Report'!$A:$C), )</f>
        <v/>
      </c>
      <c r="C13757" s="44"/>
      <c r="D13757" s="44"/>
      <c r="E13757" s="46" t="s">
        <v>9861</v>
      </c>
      <c r="F13757" s="46" t="s">
        <v>5613</v>
      </c>
      <c r="G13757" s="46">
        <v>4.967084440335E12</v>
      </c>
      <c r="H13757" s="46" t="s">
        <v>5614</v>
      </c>
      <c r="I13757" s="46" t="s">
        <v>5615</v>
      </c>
      <c r="J13757" s="46" t="s">
        <v>132</v>
      </c>
      <c r="K13757" s="46" t="s">
        <v>126</v>
      </c>
      <c r="L13757" s="45">
        <v>46017.208333333336</v>
      </c>
      <c r="M13757" s="46" t="s">
        <v>123</v>
      </c>
      <c r="N13757" s="45">
        <v>46017.25</v>
      </c>
      <c r="O13757" s="46" t="s">
        <v>123</v>
      </c>
      <c r="P13757" s="46">
        <v>3600.0</v>
      </c>
    </row>
    <row r="13758">
      <c r="A13758" s="40">
        <f t="shared" si="1"/>
        <v>46013</v>
      </c>
      <c r="B13758" s="37" t="str">
        <f t="array" ref="B13758">iferror(xlookup($I13758, 'IMPORT VHC Report'!$E:$E, 'IMPORT VHC Report'!$A:$C), )</f>
        <v/>
      </c>
      <c r="C13758" s="44"/>
      <c r="D13758" s="44"/>
      <c r="E13758" s="46" t="s">
        <v>9862</v>
      </c>
      <c r="F13758" s="46" t="s">
        <v>5613</v>
      </c>
      <c r="G13758" s="46">
        <v>4.967084440335E12</v>
      </c>
      <c r="H13758" s="46" t="s">
        <v>5614</v>
      </c>
      <c r="I13758" s="46" t="s">
        <v>5615</v>
      </c>
      <c r="J13758" s="46" t="s">
        <v>224</v>
      </c>
      <c r="K13758" s="46" t="s">
        <v>63</v>
      </c>
      <c r="L13758" s="45">
        <v>46017.875</v>
      </c>
      <c r="M13758" s="46" t="s">
        <v>123</v>
      </c>
      <c r="N13758" s="45">
        <v>46018.1875</v>
      </c>
      <c r="O13758" s="46" t="s">
        <v>123</v>
      </c>
      <c r="P13758" s="46">
        <v>27000.0</v>
      </c>
    </row>
    <row r="13759">
      <c r="A13759" s="40">
        <f t="shared" si="1"/>
        <v>46013</v>
      </c>
      <c r="B13759" s="37" t="str">
        <f t="array" ref="B13759">iferror(xlookup($I13759, 'IMPORT VHC Report'!$E:$E, 'IMPORT VHC Report'!$A:$C), )</f>
        <v/>
      </c>
      <c r="C13759" s="44"/>
      <c r="D13759" s="44"/>
      <c r="E13759" s="46" t="s">
        <v>9863</v>
      </c>
      <c r="F13759" s="46" t="s">
        <v>5613</v>
      </c>
      <c r="G13759" s="46">
        <v>4.967084440335E12</v>
      </c>
      <c r="H13759" s="46" t="s">
        <v>5614</v>
      </c>
      <c r="I13759" s="46" t="s">
        <v>5615</v>
      </c>
      <c r="J13759" s="46" t="s">
        <v>5617</v>
      </c>
      <c r="K13759" s="46" t="s">
        <v>153</v>
      </c>
      <c r="L13759" s="45">
        <v>46017.875</v>
      </c>
      <c r="M13759" s="46" t="s">
        <v>123</v>
      </c>
      <c r="N13759" s="45">
        <v>46018.25</v>
      </c>
      <c r="O13759" s="46" t="s">
        <v>123</v>
      </c>
      <c r="P13759" s="46">
        <v>32400.0</v>
      </c>
      <c r="Q13759" s="46">
        <v>32400.0</v>
      </c>
      <c r="R13759" s="46" t="s">
        <v>5618</v>
      </c>
      <c r="S13759" s="46" t="s">
        <v>5618</v>
      </c>
    </row>
    <row r="13760">
      <c r="A13760" s="40">
        <f t="shared" si="1"/>
        <v>46013</v>
      </c>
      <c r="B13760" s="37" t="str">
        <f t="array" ref="B13760">iferror(xlookup($I13760, 'IMPORT VHC Report'!$E:$E, 'IMPORT VHC Report'!$A:$C), )</f>
        <v/>
      </c>
      <c r="C13760" s="44"/>
      <c r="D13760" s="44"/>
      <c r="E13760" s="46" t="s">
        <v>9864</v>
      </c>
      <c r="F13760" s="46" t="s">
        <v>5613</v>
      </c>
      <c r="G13760" s="46">
        <v>4.967084440335E12</v>
      </c>
      <c r="H13760" s="46" t="s">
        <v>5614</v>
      </c>
      <c r="I13760" s="46" t="s">
        <v>5615</v>
      </c>
      <c r="J13760" s="46" t="s">
        <v>134</v>
      </c>
      <c r="K13760" s="46" t="s">
        <v>126</v>
      </c>
      <c r="L13760" s="45">
        <v>46018.1875</v>
      </c>
      <c r="M13760" s="46" t="s">
        <v>123</v>
      </c>
      <c r="N13760" s="45">
        <v>46018.208333333336</v>
      </c>
      <c r="O13760" s="46" t="s">
        <v>123</v>
      </c>
      <c r="P13760" s="46">
        <v>1800.0</v>
      </c>
    </row>
    <row r="13761">
      <c r="A13761" s="40">
        <f t="shared" si="1"/>
        <v>46013</v>
      </c>
      <c r="B13761" s="37" t="str">
        <f t="array" ref="B13761">iferror(xlookup($I13761, 'IMPORT VHC Report'!$E:$E, 'IMPORT VHC Report'!$A:$C), )</f>
        <v/>
      </c>
      <c r="C13761" s="44"/>
      <c r="D13761" s="44"/>
      <c r="E13761" s="46" t="s">
        <v>9865</v>
      </c>
      <c r="F13761" s="46" t="s">
        <v>5613</v>
      </c>
      <c r="G13761" s="46">
        <v>4.967084440335E12</v>
      </c>
      <c r="H13761" s="46" t="s">
        <v>5614</v>
      </c>
      <c r="I13761" s="46" t="s">
        <v>5615</v>
      </c>
      <c r="J13761" s="46" t="s">
        <v>132</v>
      </c>
      <c r="K13761" s="46" t="s">
        <v>126</v>
      </c>
      <c r="L13761" s="45">
        <v>46018.208333333336</v>
      </c>
      <c r="M13761" s="46" t="s">
        <v>123</v>
      </c>
      <c r="N13761" s="45">
        <v>46018.25</v>
      </c>
      <c r="O13761" s="46" t="s">
        <v>123</v>
      </c>
      <c r="P13761" s="46">
        <v>3600.0</v>
      </c>
    </row>
    <row r="13762">
      <c r="A13762" s="40">
        <f t="shared" si="1"/>
        <v>46013</v>
      </c>
      <c r="B13762" s="37" t="str">
        <f t="array" ref="B13762">iferror(xlookup($I13762, 'IMPORT VHC Report'!$E:$E, 'IMPORT VHC Report'!$A:$C), )</f>
        <v/>
      </c>
      <c r="C13762" s="44"/>
      <c r="D13762" s="44"/>
      <c r="E13762" s="46" t="s">
        <v>9866</v>
      </c>
      <c r="F13762" s="46" t="s">
        <v>5703</v>
      </c>
      <c r="G13762" s="46">
        <v>3.61861297715E11</v>
      </c>
      <c r="H13762" s="46" t="s">
        <v>5704</v>
      </c>
      <c r="I13762" s="46" t="s">
        <v>5705</v>
      </c>
      <c r="J13762" s="46" t="s">
        <v>125</v>
      </c>
      <c r="K13762" s="46" t="s">
        <v>126</v>
      </c>
      <c r="L13762" s="45">
        <v>46013.875</v>
      </c>
      <c r="M13762" s="46" t="s">
        <v>123</v>
      </c>
      <c r="N13762" s="45">
        <v>46013.881944444445</v>
      </c>
      <c r="O13762" s="46" t="s">
        <v>123</v>
      </c>
      <c r="P13762" s="46">
        <v>600.0</v>
      </c>
      <c r="S13762" s="46" t="s">
        <v>8706</v>
      </c>
    </row>
    <row r="13763">
      <c r="A13763" s="40">
        <f t="shared" si="1"/>
        <v>46013</v>
      </c>
      <c r="B13763" s="37" t="str">
        <f t="array" ref="B13763">iferror(xlookup($I13763, 'IMPORT VHC Report'!$E:$E, 'IMPORT VHC Report'!$A:$C), )</f>
        <v/>
      </c>
      <c r="C13763" s="44"/>
      <c r="D13763" s="44"/>
      <c r="E13763" s="46" t="s">
        <v>9867</v>
      </c>
      <c r="F13763" s="46" t="s">
        <v>5703</v>
      </c>
      <c r="G13763" s="46">
        <v>3.61861297715E11</v>
      </c>
      <c r="H13763" s="46" t="s">
        <v>5704</v>
      </c>
      <c r="I13763" s="46" t="s">
        <v>5705</v>
      </c>
      <c r="J13763" s="46" t="s">
        <v>125</v>
      </c>
      <c r="K13763" s="46" t="s">
        <v>126</v>
      </c>
      <c r="L13763" s="45">
        <v>46013.875</v>
      </c>
      <c r="M13763" s="46" t="s">
        <v>123</v>
      </c>
      <c r="N13763" s="45">
        <v>46013.881944444445</v>
      </c>
      <c r="O13763" s="46" t="s">
        <v>123</v>
      </c>
      <c r="P13763" s="46">
        <v>600.0</v>
      </c>
      <c r="S13763" s="46" t="s">
        <v>9868</v>
      </c>
    </row>
    <row r="13764">
      <c r="A13764" s="40">
        <f t="shared" si="1"/>
        <v>46013</v>
      </c>
      <c r="B13764" s="37" t="str">
        <f t="array" ref="B13764">iferror(xlookup($I13764, 'IMPORT VHC Report'!$E:$E, 'IMPORT VHC Report'!$A:$C), )</f>
        <v/>
      </c>
      <c r="C13764" s="44"/>
      <c r="D13764" s="44"/>
      <c r="E13764" s="46" t="s">
        <v>9869</v>
      </c>
      <c r="F13764" s="46" t="s">
        <v>5703</v>
      </c>
      <c r="G13764" s="46">
        <v>3.61861297715E11</v>
      </c>
      <c r="H13764" s="46" t="s">
        <v>5704</v>
      </c>
      <c r="I13764" s="46" t="s">
        <v>5705</v>
      </c>
      <c r="J13764" s="46" t="s">
        <v>224</v>
      </c>
      <c r="K13764" s="46" t="s">
        <v>63</v>
      </c>
      <c r="L13764" s="45">
        <v>46013.881944444445</v>
      </c>
      <c r="M13764" s="46" t="s">
        <v>123</v>
      </c>
      <c r="N13764" s="45">
        <v>46014.1875</v>
      </c>
      <c r="O13764" s="46" t="s">
        <v>123</v>
      </c>
      <c r="P13764" s="46">
        <v>26400.0</v>
      </c>
    </row>
    <row r="13765">
      <c r="A13765" s="40">
        <f t="shared" si="1"/>
        <v>46013</v>
      </c>
      <c r="B13765" s="37" t="str">
        <f t="array" ref="B13765">iferror(xlookup($I13765, 'IMPORT VHC Report'!$E:$E, 'IMPORT VHC Report'!$A:$C), )</f>
        <v/>
      </c>
      <c r="C13765" s="44"/>
      <c r="D13765" s="44"/>
      <c r="E13765" s="46" t="s">
        <v>9870</v>
      </c>
      <c r="F13765" s="46" t="s">
        <v>5703</v>
      </c>
      <c r="G13765" s="46">
        <v>3.61861297715E11</v>
      </c>
      <c r="H13765" s="46" t="s">
        <v>5704</v>
      </c>
      <c r="I13765" s="46" t="s">
        <v>5705</v>
      </c>
      <c r="J13765" s="46" t="s">
        <v>4</v>
      </c>
      <c r="K13765" s="46" t="s">
        <v>126</v>
      </c>
      <c r="L13765" s="45">
        <v>46013.927083333336</v>
      </c>
      <c r="M13765" s="46" t="s">
        <v>123</v>
      </c>
      <c r="N13765" s="45">
        <v>46013.96875</v>
      </c>
      <c r="O13765" s="46" t="s">
        <v>123</v>
      </c>
      <c r="P13765" s="46">
        <v>3600.0</v>
      </c>
      <c r="S13765" s="46" t="s">
        <v>9871</v>
      </c>
    </row>
    <row r="13766">
      <c r="A13766" s="40">
        <f t="shared" si="1"/>
        <v>46013</v>
      </c>
      <c r="B13766" s="37" t="str">
        <f t="array" ref="B13766">iferror(xlookup($I13766, 'IMPORT VHC Report'!$E:$E, 'IMPORT VHC Report'!$A:$C), )</f>
        <v/>
      </c>
      <c r="C13766" s="44"/>
      <c r="D13766" s="44"/>
      <c r="E13766" s="46" t="s">
        <v>9872</v>
      </c>
      <c r="F13766" s="46" t="s">
        <v>5703</v>
      </c>
      <c r="G13766" s="46">
        <v>3.61861297715E11</v>
      </c>
      <c r="H13766" s="46" t="s">
        <v>5704</v>
      </c>
      <c r="I13766" s="46" t="s">
        <v>5705</v>
      </c>
      <c r="J13766" s="46" t="s">
        <v>134</v>
      </c>
      <c r="K13766" s="46" t="s">
        <v>126</v>
      </c>
      <c r="L13766" s="45">
        <v>46014.1875</v>
      </c>
      <c r="M13766" s="46" t="s">
        <v>123</v>
      </c>
      <c r="N13766" s="45">
        <v>46014.208333333336</v>
      </c>
      <c r="O13766" s="46" t="s">
        <v>123</v>
      </c>
      <c r="P13766" s="46">
        <v>1800.0</v>
      </c>
    </row>
    <row r="13767">
      <c r="A13767" s="40">
        <f t="shared" si="1"/>
        <v>46013</v>
      </c>
      <c r="B13767" s="37" t="str">
        <f t="array" ref="B13767">iferror(xlookup($I13767, 'IMPORT VHC Report'!$E:$E, 'IMPORT VHC Report'!$A:$C), )</f>
        <v/>
      </c>
      <c r="C13767" s="44"/>
      <c r="D13767" s="44"/>
      <c r="E13767" s="46" t="s">
        <v>9873</v>
      </c>
      <c r="F13767" s="46" t="s">
        <v>5703</v>
      </c>
      <c r="G13767" s="46">
        <v>3.61861297715E11</v>
      </c>
      <c r="H13767" s="46" t="s">
        <v>5704</v>
      </c>
      <c r="I13767" s="46" t="s">
        <v>5705</v>
      </c>
      <c r="J13767" s="46" t="s">
        <v>132</v>
      </c>
      <c r="K13767" s="46" t="s">
        <v>126</v>
      </c>
      <c r="L13767" s="45">
        <v>46014.208333333336</v>
      </c>
      <c r="M13767" s="46" t="s">
        <v>123</v>
      </c>
      <c r="N13767" s="45">
        <v>46014.25</v>
      </c>
      <c r="O13767" s="46" t="s">
        <v>123</v>
      </c>
      <c r="P13767" s="46">
        <v>3600.0</v>
      </c>
    </row>
    <row r="13768">
      <c r="A13768" s="40">
        <f t="shared" si="1"/>
        <v>46013</v>
      </c>
      <c r="B13768" s="37" t="str">
        <f t="array" ref="B13768">iferror(xlookup($I13768, 'IMPORT VHC Report'!$E:$E, 'IMPORT VHC Report'!$A:$C), )</f>
        <v/>
      </c>
      <c r="C13768" s="44"/>
      <c r="D13768" s="44"/>
      <c r="E13768" s="46" t="s">
        <v>9874</v>
      </c>
      <c r="F13768" s="46" t="s">
        <v>5703</v>
      </c>
      <c r="G13768" s="46">
        <v>3.61861297715E11</v>
      </c>
      <c r="H13768" s="46" t="s">
        <v>5704</v>
      </c>
      <c r="I13768" s="46" t="s">
        <v>5705</v>
      </c>
      <c r="J13768" s="46" t="s">
        <v>224</v>
      </c>
      <c r="K13768" s="46" t="s">
        <v>63</v>
      </c>
      <c r="L13768" s="45">
        <v>46014.875</v>
      </c>
      <c r="M13768" s="46" t="s">
        <v>123</v>
      </c>
      <c r="N13768" s="45">
        <v>46015.166666666664</v>
      </c>
      <c r="O13768" s="46" t="s">
        <v>123</v>
      </c>
      <c r="P13768" s="46">
        <v>25200.0</v>
      </c>
    </row>
    <row r="13769">
      <c r="A13769" s="40">
        <f t="shared" si="1"/>
        <v>46013</v>
      </c>
      <c r="B13769" s="37" t="str">
        <f t="array" ref="B13769">iferror(xlookup($I13769, 'IMPORT VHC Report'!$E:$E, 'IMPORT VHC Report'!$A:$C), )</f>
        <v/>
      </c>
      <c r="C13769" s="44"/>
      <c r="D13769" s="44"/>
      <c r="E13769" s="46" t="s">
        <v>9875</v>
      </c>
      <c r="F13769" s="46" t="s">
        <v>5703</v>
      </c>
      <c r="G13769" s="46">
        <v>3.61861297715E11</v>
      </c>
      <c r="H13769" s="46" t="s">
        <v>5704</v>
      </c>
      <c r="I13769" s="46" t="s">
        <v>5705</v>
      </c>
      <c r="J13769" s="46" t="s">
        <v>125</v>
      </c>
      <c r="K13769" s="46" t="s">
        <v>126</v>
      </c>
      <c r="L13769" s="45">
        <v>46014.879166666666</v>
      </c>
      <c r="M13769" s="46" t="s">
        <v>123</v>
      </c>
      <c r="N13769" s="45">
        <v>46014.88611111111</v>
      </c>
      <c r="O13769" s="46" t="s">
        <v>123</v>
      </c>
      <c r="P13769" s="46">
        <v>600.0</v>
      </c>
      <c r="S13769" s="46" t="s">
        <v>8706</v>
      </c>
    </row>
    <row r="13770">
      <c r="A13770" s="40">
        <f t="shared" si="1"/>
        <v>46013</v>
      </c>
      <c r="B13770" s="37" t="str">
        <f t="array" ref="B13770">iferror(xlookup($I13770, 'IMPORT VHC Report'!$E:$E, 'IMPORT VHC Report'!$A:$C), )</f>
        <v/>
      </c>
      <c r="C13770" s="44"/>
      <c r="D13770" s="44"/>
      <c r="E13770" s="46" t="s">
        <v>9876</v>
      </c>
      <c r="F13770" s="46" t="s">
        <v>5703</v>
      </c>
      <c r="G13770" s="46">
        <v>3.61861297715E11</v>
      </c>
      <c r="H13770" s="46" t="s">
        <v>5704</v>
      </c>
      <c r="I13770" s="46" t="s">
        <v>5705</v>
      </c>
      <c r="J13770" s="46" t="s">
        <v>136</v>
      </c>
      <c r="K13770" s="46" t="s">
        <v>126</v>
      </c>
      <c r="L13770" s="45">
        <v>46015.166666666664</v>
      </c>
      <c r="M13770" s="46" t="s">
        <v>123</v>
      </c>
      <c r="N13770" s="45">
        <v>46015.1875</v>
      </c>
      <c r="O13770" s="46" t="s">
        <v>123</v>
      </c>
      <c r="P13770" s="46">
        <v>1800.0</v>
      </c>
      <c r="S13770" s="46" t="s">
        <v>8716</v>
      </c>
    </row>
    <row r="13771">
      <c r="A13771" s="40">
        <f t="shared" si="1"/>
        <v>46013</v>
      </c>
      <c r="B13771" s="37" t="str">
        <f t="array" ref="B13771">iferror(xlookup($I13771, 'IMPORT VHC Report'!$E:$E, 'IMPORT VHC Report'!$A:$C), )</f>
        <v/>
      </c>
      <c r="C13771" s="44"/>
      <c r="D13771" s="44"/>
      <c r="E13771" s="46" t="s">
        <v>9877</v>
      </c>
      <c r="F13771" s="46" t="s">
        <v>5703</v>
      </c>
      <c r="G13771" s="46">
        <v>3.61861297715E11</v>
      </c>
      <c r="H13771" s="46" t="s">
        <v>5704</v>
      </c>
      <c r="I13771" s="46" t="s">
        <v>5705</v>
      </c>
      <c r="J13771" s="46" t="s">
        <v>62</v>
      </c>
      <c r="K13771" s="46" t="s">
        <v>63</v>
      </c>
      <c r="L13771" s="45">
        <v>46015.166666666664</v>
      </c>
      <c r="M13771" s="46" t="s">
        <v>123</v>
      </c>
      <c r="N13771" s="45">
        <v>46015.25</v>
      </c>
      <c r="O13771" s="46" t="s">
        <v>123</v>
      </c>
      <c r="P13771" s="46">
        <v>7200.0</v>
      </c>
    </row>
    <row r="13772">
      <c r="A13772" s="40">
        <f t="shared" si="1"/>
        <v>46013</v>
      </c>
      <c r="B13772" s="37" t="str">
        <f t="array" ref="B13772">iferror(xlookup($I13772, 'IMPORT VHC Report'!$E:$E, 'IMPORT VHC Report'!$A:$C), )</f>
        <v/>
      </c>
      <c r="C13772" s="44"/>
      <c r="D13772" s="44"/>
      <c r="E13772" s="46" t="s">
        <v>9878</v>
      </c>
      <c r="F13772" s="46" t="s">
        <v>5703</v>
      </c>
      <c r="G13772" s="46">
        <v>3.61861297715E11</v>
      </c>
      <c r="H13772" s="46" t="s">
        <v>5704</v>
      </c>
      <c r="I13772" s="46" t="s">
        <v>5705</v>
      </c>
      <c r="J13772" s="46" t="s">
        <v>134</v>
      </c>
      <c r="K13772" s="46" t="s">
        <v>126</v>
      </c>
      <c r="L13772" s="45">
        <v>46015.1875</v>
      </c>
      <c r="M13772" s="46" t="s">
        <v>123</v>
      </c>
      <c r="N13772" s="45">
        <v>46015.208333333336</v>
      </c>
      <c r="O13772" s="46" t="s">
        <v>123</v>
      </c>
      <c r="P13772" s="46">
        <v>1800.0</v>
      </c>
    </row>
    <row r="13773">
      <c r="A13773" s="40">
        <f t="shared" si="1"/>
        <v>46013</v>
      </c>
      <c r="B13773" s="37" t="str">
        <f t="array" ref="B13773">iferror(xlookup($I13773, 'IMPORT VHC Report'!$E:$E, 'IMPORT VHC Report'!$A:$C), )</f>
        <v/>
      </c>
      <c r="C13773" s="44"/>
      <c r="D13773" s="44"/>
      <c r="E13773" s="46" t="s">
        <v>9879</v>
      </c>
      <c r="F13773" s="46" t="s">
        <v>5703</v>
      </c>
      <c r="G13773" s="46">
        <v>3.61861297715E11</v>
      </c>
      <c r="H13773" s="46" t="s">
        <v>5704</v>
      </c>
      <c r="I13773" s="46" t="s">
        <v>5705</v>
      </c>
      <c r="J13773" s="46" t="s">
        <v>132</v>
      </c>
      <c r="K13773" s="46" t="s">
        <v>126</v>
      </c>
      <c r="L13773" s="45">
        <v>46015.208333333336</v>
      </c>
      <c r="M13773" s="46" t="s">
        <v>123</v>
      </c>
      <c r="N13773" s="45">
        <v>46015.25</v>
      </c>
      <c r="O13773" s="46" t="s">
        <v>123</v>
      </c>
      <c r="P13773" s="46">
        <v>3600.0</v>
      </c>
    </row>
    <row r="13774">
      <c r="A13774" s="40">
        <f t="shared" si="1"/>
        <v>46013</v>
      </c>
      <c r="B13774" s="37" t="str">
        <f t="array" ref="B13774">iferror(xlookup($I13774, 'IMPORT VHC Report'!$E:$E, 'IMPORT VHC Report'!$A:$C), )</f>
        <v/>
      </c>
      <c r="C13774" s="44"/>
      <c r="D13774" s="44"/>
      <c r="E13774" s="46" t="s">
        <v>9880</v>
      </c>
      <c r="F13774" s="46" t="s">
        <v>5703</v>
      </c>
      <c r="G13774" s="46">
        <v>3.61861297715E11</v>
      </c>
      <c r="H13774" s="46" t="s">
        <v>5704</v>
      </c>
      <c r="I13774" s="46" t="s">
        <v>5705</v>
      </c>
      <c r="J13774" s="46" t="s">
        <v>125</v>
      </c>
      <c r="K13774" s="46" t="s">
        <v>126</v>
      </c>
      <c r="L13774" s="45">
        <v>46015.875</v>
      </c>
      <c r="M13774" s="46" t="s">
        <v>123</v>
      </c>
      <c r="N13774" s="45">
        <v>46015.885416666664</v>
      </c>
      <c r="O13774" s="46" t="s">
        <v>123</v>
      </c>
      <c r="P13774" s="46">
        <v>900.0</v>
      </c>
      <c r="S13774" s="46" t="s">
        <v>5529</v>
      </c>
    </row>
    <row r="13775">
      <c r="A13775" s="40">
        <f t="shared" si="1"/>
        <v>46013</v>
      </c>
      <c r="B13775" s="37" t="str">
        <f t="array" ref="B13775">iferror(xlookup($I13775, 'IMPORT VHC Report'!$E:$E, 'IMPORT VHC Report'!$A:$C), )</f>
        <v/>
      </c>
      <c r="C13775" s="44"/>
      <c r="D13775" s="44"/>
      <c r="E13775" s="46" t="s">
        <v>9881</v>
      </c>
      <c r="F13775" s="46" t="s">
        <v>5703</v>
      </c>
      <c r="G13775" s="46">
        <v>3.61861297715E11</v>
      </c>
      <c r="H13775" s="46" t="s">
        <v>5704</v>
      </c>
      <c r="I13775" s="46" t="s">
        <v>5705</v>
      </c>
      <c r="J13775" s="46" t="s">
        <v>224</v>
      </c>
      <c r="K13775" s="46" t="s">
        <v>63</v>
      </c>
      <c r="L13775" s="45">
        <v>46015.875</v>
      </c>
      <c r="M13775" s="46" t="s">
        <v>123</v>
      </c>
      <c r="N13775" s="45">
        <v>46016.25</v>
      </c>
      <c r="O13775" s="46" t="s">
        <v>123</v>
      </c>
      <c r="P13775" s="46">
        <v>32400.0</v>
      </c>
    </row>
    <row r="13776">
      <c r="A13776" s="40">
        <f t="shared" si="1"/>
        <v>46013</v>
      </c>
      <c r="B13776" s="37" t="str">
        <f t="array" ref="B13776">iferror(xlookup($I13776, 'IMPORT VHC Report'!$E:$E, 'IMPORT VHC Report'!$A:$C), )</f>
        <v/>
      </c>
      <c r="C13776" s="44"/>
      <c r="D13776" s="44"/>
      <c r="E13776" s="46" t="s">
        <v>9882</v>
      </c>
      <c r="F13776" s="46" t="s">
        <v>5703</v>
      </c>
      <c r="G13776" s="46">
        <v>3.61861297715E11</v>
      </c>
      <c r="H13776" s="46" t="s">
        <v>5704</v>
      </c>
      <c r="I13776" s="46" t="s">
        <v>5705</v>
      </c>
      <c r="J13776" s="46" t="s">
        <v>134</v>
      </c>
      <c r="K13776" s="46" t="s">
        <v>126</v>
      </c>
      <c r="L13776" s="45">
        <v>46016.1875</v>
      </c>
      <c r="M13776" s="46" t="s">
        <v>123</v>
      </c>
      <c r="N13776" s="45">
        <v>46016.208333333336</v>
      </c>
      <c r="O13776" s="46" t="s">
        <v>123</v>
      </c>
      <c r="P13776" s="46">
        <v>1800.0</v>
      </c>
    </row>
    <row r="13777">
      <c r="A13777" s="40">
        <f t="shared" si="1"/>
        <v>46013</v>
      </c>
      <c r="B13777" s="37" t="str">
        <f t="array" ref="B13777">iferror(xlookup($I13777, 'IMPORT VHC Report'!$E:$E, 'IMPORT VHC Report'!$A:$C), )</f>
        <v/>
      </c>
      <c r="C13777" s="44"/>
      <c r="D13777" s="44"/>
      <c r="E13777" s="46" t="s">
        <v>9883</v>
      </c>
      <c r="F13777" s="46" t="s">
        <v>5703</v>
      </c>
      <c r="G13777" s="46">
        <v>3.61861297715E11</v>
      </c>
      <c r="H13777" s="46" t="s">
        <v>5704</v>
      </c>
      <c r="I13777" s="46" t="s">
        <v>5705</v>
      </c>
      <c r="J13777" s="46" t="s">
        <v>132</v>
      </c>
      <c r="K13777" s="46" t="s">
        <v>126</v>
      </c>
      <c r="L13777" s="45">
        <v>46016.208333333336</v>
      </c>
      <c r="M13777" s="46" t="s">
        <v>123</v>
      </c>
      <c r="N13777" s="45">
        <v>46016.25</v>
      </c>
      <c r="O13777" s="46" t="s">
        <v>123</v>
      </c>
      <c r="P13777" s="46">
        <v>3600.0</v>
      </c>
    </row>
    <row r="13778">
      <c r="A13778" s="40">
        <f t="shared" si="1"/>
        <v>46013</v>
      </c>
      <c r="B13778" s="37" t="str">
        <f t="array" ref="B13778">iferror(xlookup($I13778, 'IMPORT VHC Report'!$E:$E, 'IMPORT VHC Report'!$A:$C), )</f>
        <v/>
      </c>
      <c r="C13778" s="44"/>
      <c r="D13778" s="44"/>
      <c r="E13778" s="46" t="s">
        <v>9884</v>
      </c>
      <c r="F13778" s="46" t="s">
        <v>5703</v>
      </c>
      <c r="G13778" s="46">
        <v>3.61861297715E11</v>
      </c>
      <c r="H13778" s="46" t="s">
        <v>5704</v>
      </c>
      <c r="I13778" s="46" t="s">
        <v>5705</v>
      </c>
      <c r="J13778" s="46" t="s">
        <v>125</v>
      </c>
      <c r="K13778" s="46" t="s">
        <v>126</v>
      </c>
      <c r="L13778" s="45">
        <v>46016.875</v>
      </c>
      <c r="M13778" s="46" t="s">
        <v>123</v>
      </c>
      <c r="N13778" s="45">
        <v>46016.881944444445</v>
      </c>
      <c r="O13778" s="46" t="s">
        <v>123</v>
      </c>
      <c r="P13778" s="46">
        <v>600.0</v>
      </c>
      <c r="S13778" s="46" t="s">
        <v>9885</v>
      </c>
    </row>
    <row r="13779">
      <c r="A13779" s="40">
        <f t="shared" si="1"/>
        <v>46013</v>
      </c>
      <c r="B13779" s="37" t="str">
        <f t="array" ref="B13779">iferror(xlookup($I13779, 'IMPORT VHC Report'!$E:$E, 'IMPORT VHC Report'!$A:$C), )</f>
        <v/>
      </c>
      <c r="C13779" s="44"/>
      <c r="D13779" s="44"/>
      <c r="E13779" s="46" t="s">
        <v>9886</v>
      </c>
      <c r="F13779" s="46" t="s">
        <v>5703</v>
      </c>
      <c r="G13779" s="46">
        <v>3.61861297715E11</v>
      </c>
      <c r="H13779" s="46" t="s">
        <v>5704</v>
      </c>
      <c r="I13779" s="46" t="s">
        <v>5705</v>
      </c>
      <c r="J13779" s="46" t="s">
        <v>125</v>
      </c>
      <c r="K13779" s="46" t="s">
        <v>126</v>
      </c>
      <c r="L13779" s="45">
        <v>46016.875</v>
      </c>
      <c r="M13779" s="46" t="s">
        <v>123</v>
      </c>
      <c r="N13779" s="45">
        <v>46016.881944444445</v>
      </c>
      <c r="O13779" s="46" t="s">
        <v>123</v>
      </c>
      <c r="P13779" s="46">
        <v>600.0</v>
      </c>
      <c r="S13779" s="46" t="s">
        <v>5529</v>
      </c>
    </row>
    <row r="13780">
      <c r="A13780" s="40">
        <f t="shared" si="1"/>
        <v>46013</v>
      </c>
      <c r="B13780" s="37" t="str">
        <f t="array" ref="B13780">iferror(xlookup($I13780, 'IMPORT VHC Report'!$E:$E, 'IMPORT VHC Report'!$A:$C), )</f>
        <v/>
      </c>
      <c r="C13780" s="44"/>
      <c r="D13780" s="44"/>
      <c r="E13780" s="46" t="s">
        <v>9887</v>
      </c>
      <c r="F13780" s="46" t="s">
        <v>5703</v>
      </c>
      <c r="G13780" s="46">
        <v>3.61861297715E11</v>
      </c>
      <c r="H13780" s="46" t="s">
        <v>5704</v>
      </c>
      <c r="I13780" s="46" t="s">
        <v>5705</v>
      </c>
      <c r="J13780" s="46" t="s">
        <v>224</v>
      </c>
      <c r="K13780" s="46" t="s">
        <v>63</v>
      </c>
      <c r="L13780" s="45">
        <v>46016.875</v>
      </c>
      <c r="M13780" s="46" t="s">
        <v>123</v>
      </c>
      <c r="N13780" s="45">
        <v>46017.25</v>
      </c>
      <c r="O13780" s="46" t="s">
        <v>123</v>
      </c>
      <c r="P13780" s="46">
        <v>32400.0</v>
      </c>
    </row>
    <row r="13781">
      <c r="A13781" s="40">
        <f t="shared" si="1"/>
        <v>46013</v>
      </c>
      <c r="B13781" s="37" t="str">
        <f t="array" ref="B13781">iferror(xlookup($I13781, 'IMPORT VHC Report'!$E:$E, 'IMPORT VHC Report'!$A:$C), )</f>
        <v/>
      </c>
      <c r="C13781" s="44"/>
      <c r="D13781" s="44"/>
      <c r="E13781" s="46" t="s">
        <v>9888</v>
      </c>
      <c r="F13781" s="46" t="s">
        <v>5703</v>
      </c>
      <c r="G13781" s="46">
        <v>3.61861297715E11</v>
      </c>
      <c r="H13781" s="46" t="s">
        <v>5704</v>
      </c>
      <c r="I13781" s="46" t="s">
        <v>5705</v>
      </c>
      <c r="J13781" s="46" t="s">
        <v>4</v>
      </c>
      <c r="K13781" s="46" t="s">
        <v>126</v>
      </c>
      <c r="L13781" s="45">
        <v>46016.9375</v>
      </c>
      <c r="M13781" s="46" t="s">
        <v>123</v>
      </c>
      <c r="N13781" s="45">
        <v>46016.947916666664</v>
      </c>
      <c r="O13781" s="46" t="s">
        <v>123</v>
      </c>
      <c r="P13781" s="46">
        <v>900.0</v>
      </c>
      <c r="S13781" s="46" t="s">
        <v>8726</v>
      </c>
    </row>
    <row r="13782">
      <c r="A13782" s="40">
        <f t="shared" si="1"/>
        <v>46013</v>
      </c>
      <c r="B13782" s="37" t="str">
        <f t="array" ref="B13782">iferror(xlookup($I13782, 'IMPORT VHC Report'!$E:$E, 'IMPORT VHC Report'!$A:$C), )</f>
        <v/>
      </c>
      <c r="C13782" s="44"/>
      <c r="D13782" s="44"/>
      <c r="E13782" s="46" t="s">
        <v>9889</v>
      </c>
      <c r="F13782" s="46" t="s">
        <v>5703</v>
      </c>
      <c r="G13782" s="46">
        <v>3.61861297715E11</v>
      </c>
      <c r="H13782" s="46" t="s">
        <v>5704</v>
      </c>
      <c r="I13782" s="46" t="s">
        <v>5705</v>
      </c>
      <c r="J13782" s="46" t="s">
        <v>125</v>
      </c>
      <c r="K13782" s="46" t="s">
        <v>126</v>
      </c>
      <c r="L13782" s="45">
        <v>46016.947916666664</v>
      </c>
      <c r="M13782" s="46" t="s">
        <v>123</v>
      </c>
      <c r="N13782" s="45">
        <v>46016.989583333336</v>
      </c>
      <c r="O13782" s="46" t="s">
        <v>123</v>
      </c>
      <c r="P13782" s="46">
        <v>3600.0</v>
      </c>
      <c r="S13782" s="46" t="s">
        <v>8728</v>
      </c>
    </row>
    <row r="13783">
      <c r="A13783" s="40">
        <f t="shared" si="1"/>
        <v>46013</v>
      </c>
      <c r="B13783" s="37" t="str">
        <f t="array" ref="B13783">iferror(xlookup($I13783, 'IMPORT VHC Report'!$E:$E, 'IMPORT VHC Report'!$A:$C), )</f>
        <v/>
      </c>
      <c r="C13783" s="44"/>
      <c r="D13783" s="44"/>
      <c r="E13783" s="46" t="s">
        <v>9890</v>
      </c>
      <c r="F13783" s="46" t="s">
        <v>5703</v>
      </c>
      <c r="G13783" s="46">
        <v>3.61861297715E11</v>
      </c>
      <c r="H13783" s="46" t="s">
        <v>5704</v>
      </c>
      <c r="I13783" s="46" t="s">
        <v>5705</v>
      </c>
      <c r="J13783" s="46" t="s">
        <v>330</v>
      </c>
      <c r="K13783" s="46" t="s">
        <v>126</v>
      </c>
      <c r="L13783" s="45">
        <v>46017.166666666664</v>
      </c>
      <c r="M13783" s="46" t="s">
        <v>123</v>
      </c>
      <c r="N13783" s="45">
        <v>46017.1875</v>
      </c>
      <c r="O13783" s="46" t="s">
        <v>123</v>
      </c>
      <c r="P13783" s="46">
        <v>1800.0</v>
      </c>
    </row>
    <row r="13784">
      <c r="A13784" s="40">
        <f t="shared" si="1"/>
        <v>46013</v>
      </c>
      <c r="B13784" s="37" t="str">
        <f t="array" ref="B13784">iferror(xlookup($I13784, 'IMPORT VHC Report'!$E:$E, 'IMPORT VHC Report'!$A:$C), )</f>
        <v/>
      </c>
      <c r="C13784" s="44"/>
      <c r="D13784" s="44"/>
      <c r="E13784" s="46" t="s">
        <v>9891</v>
      </c>
      <c r="F13784" s="46" t="s">
        <v>5703</v>
      </c>
      <c r="G13784" s="46">
        <v>3.61861297715E11</v>
      </c>
      <c r="H13784" s="46" t="s">
        <v>5704</v>
      </c>
      <c r="I13784" s="46" t="s">
        <v>5705</v>
      </c>
      <c r="J13784" s="46" t="s">
        <v>134</v>
      </c>
      <c r="K13784" s="46" t="s">
        <v>126</v>
      </c>
      <c r="L13784" s="45">
        <v>46017.1875</v>
      </c>
      <c r="M13784" s="46" t="s">
        <v>123</v>
      </c>
      <c r="N13784" s="45">
        <v>46017.208333333336</v>
      </c>
      <c r="O13784" s="46" t="s">
        <v>123</v>
      </c>
      <c r="P13784" s="46">
        <v>1800.0</v>
      </c>
    </row>
    <row r="13785">
      <c r="A13785" s="40">
        <f t="shared" si="1"/>
        <v>46013</v>
      </c>
      <c r="B13785" s="37" t="str">
        <f t="array" ref="B13785">iferror(xlookup($I13785, 'IMPORT VHC Report'!$E:$E, 'IMPORT VHC Report'!$A:$C), )</f>
        <v/>
      </c>
      <c r="C13785" s="44"/>
      <c r="D13785" s="44"/>
      <c r="E13785" s="46" t="s">
        <v>9892</v>
      </c>
      <c r="F13785" s="46" t="s">
        <v>5703</v>
      </c>
      <c r="G13785" s="46">
        <v>3.61861297715E11</v>
      </c>
      <c r="H13785" s="46" t="s">
        <v>5704</v>
      </c>
      <c r="I13785" s="46" t="s">
        <v>5705</v>
      </c>
      <c r="J13785" s="46" t="s">
        <v>132</v>
      </c>
      <c r="K13785" s="46" t="s">
        <v>126</v>
      </c>
      <c r="L13785" s="45">
        <v>46017.208333333336</v>
      </c>
      <c r="M13785" s="46" t="s">
        <v>123</v>
      </c>
      <c r="N13785" s="45">
        <v>46017.25</v>
      </c>
      <c r="O13785" s="46" t="s">
        <v>123</v>
      </c>
      <c r="P13785" s="46">
        <v>3600.0</v>
      </c>
    </row>
    <row r="13786">
      <c r="A13786" s="40">
        <f t="shared" si="1"/>
        <v>46013</v>
      </c>
      <c r="B13786" s="37" t="str">
        <f t="array" ref="B13786">iferror(xlookup($I13786, 'IMPORT VHC Report'!$E:$E, 'IMPORT VHC Report'!$A:$C), )</f>
        <v/>
      </c>
      <c r="C13786" s="44"/>
      <c r="D13786" s="44"/>
      <c r="E13786" s="46" t="s">
        <v>9893</v>
      </c>
      <c r="F13786" s="46" t="s">
        <v>5703</v>
      </c>
      <c r="G13786" s="46">
        <v>3.61861297715E11</v>
      </c>
      <c r="H13786" s="46" t="s">
        <v>5704</v>
      </c>
      <c r="I13786" s="46" t="s">
        <v>5705</v>
      </c>
      <c r="J13786" s="46" t="s">
        <v>224</v>
      </c>
      <c r="K13786" s="46" t="s">
        <v>63</v>
      </c>
      <c r="L13786" s="45">
        <v>46017.875</v>
      </c>
      <c r="M13786" s="46" t="s">
        <v>123</v>
      </c>
      <c r="N13786" s="45">
        <v>46017.979166666664</v>
      </c>
      <c r="O13786" s="46" t="s">
        <v>123</v>
      </c>
      <c r="P13786" s="46">
        <v>9000.0</v>
      </c>
    </row>
    <row r="13787">
      <c r="A13787" s="40">
        <f t="shared" si="1"/>
        <v>46013</v>
      </c>
      <c r="B13787" s="37" t="str">
        <f t="array" ref="B13787">iferror(xlookup($I13787, 'IMPORT VHC Report'!$E:$E, 'IMPORT VHC Report'!$A:$C), )</f>
        <v/>
      </c>
      <c r="C13787" s="44"/>
      <c r="D13787" s="44"/>
      <c r="E13787" s="46" t="s">
        <v>9894</v>
      </c>
      <c r="F13787" s="46" t="s">
        <v>5703</v>
      </c>
      <c r="G13787" s="46">
        <v>3.61861297715E11</v>
      </c>
      <c r="H13787" s="46" t="s">
        <v>5704</v>
      </c>
      <c r="I13787" s="46" t="s">
        <v>5705</v>
      </c>
      <c r="J13787" s="46" t="s">
        <v>178</v>
      </c>
      <c r="K13787" s="46" t="s">
        <v>153</v>
      </c>
      <c r="L13787" s="45">
        <v>46017.875</v>
      </c>
      <c r="M13787" s="46" t="s">
        <v>123</v>
      </c>
      <c r="N13787" s="45">
        <v>46018.25</v>
      </c>
      <c r="O13787" s="46" t="s">
        <v>123</v>
      </c>
      <c r="P13787" s="46">
        <v>32400.0</v>
      </c>
      <c r="Q13787" s="46">
        <v>32400.0</v>
      </c>
    </row>
    <row r="13788">
      <c r="A13788" s="40">
        <f t="shared" si="1"/>
        <v>46013</v>
      </c>
      <c r="B13788" s="37" t="str">
        <f t="array" ref="B13788">iferror(xlookup($I13788, 'IMPORT VHC Report'!$E:$E, 'IMPORT VHC Report'!$A:$C), )</f>
        <v/>
      </c>
      <c r="C13788" s="44"/>
      <c r="D13788" s="44"/>
      <c r="E13788" s="46" t="s">
        <v>9895</v>
      </c>
      <c r="F13788" s="46" t="s">
        <v>5703</v>
      </c>
      <c r="G13788" s="46">
        <v>3.61861297715E11</v>
      </c>
      <c r="H13788" s="46" t="s">
        <v>5704</v>
      </c>
      <c r="I13788" s="46" t="s">
        <v>5705</v>
      </c>
      <c r="J13788" s="46" t="s">
        <v>134</v>
      </c>
      <c r="K13788" s="46" t="s">
        <v>126</v>
      </c>
      <c r="L13788" s="45">
        <v>46017.979166666664</v>
      </c>
      <c r="M13788" s="46" t="s">
        <v>123</v>
      </c>
      <c r="N13788" s="45">
        <v>46018.0</v>
      </c>
      <c r="O13788" s="46" t="s">
        <v>123</v>
      </c>
      <c r="P13788" s="46">
        <v>1800.0</v>
      </c>
    </row>
    <row r="13789">
      <c r="A13789" s="40">
        <f t="shared" si="1"/>
        <v>46013</v>
      </c>
      <c r="B13789" s="37" t="str">
        <f t="array" ref="B13789">iferror(xlookup($I13789, 'IMPORT VHC Report'!$E:$E, 'IMPORT VHC Report'!$A:$C), )</f>
        <v/>
      </c>
      <c r="C13789" s="44"/>
      <c r="D13789" s="44"/>
      <c r="E13789" s="46" t="s">
        <v>9896</v>
      </c>
      <c r="F13789" s="46" t="s">
        <v>5703</v>
      </c>
      <c r="G13789" s="46">
        <v>3.61861297715E11</v>
      </c>
      <c r="H13789" s="46" t="s">
        <v>5704</v>
      </c>
      <c r="I13789" s="46" t="s">
        <v>5705</v>
      </c>
      <c r="J13789" s="46" t="s">
        <v>224</v>
      </c>
      <c r="K13789" s="46" t="s">
        <v>63</v>
      </c>
      <c r="L13789" s="45">
        <v>46017.979166666664</v>
      </c>
      <c r="M13789" s="46" t="s">
        <v>123</v>
      </c>
      <c r="N13789" s="45">
        <v>46018.25</v>
      </c>
      <c r="O13789" s="46" t="s">
        <v>123</v>
      </c>
      <c r="P13789" s="46">
        <v>23400.0</v>
      </c>
    </row>
    <row r="13790">
      <c r="A13790" s="40">
        <f t="shared" si="1"/>
        <v>46013</v>
      </c>
      <c r="B13790" s="37" t="str">
        <f t="array" ref="B13790">iferror(xlookup($I13790, 'IMPORT VHC Report'!$E:$E, 'IMPORT VHC Report'!$A:$C), )</f>
        <v/>
      </c>
      <c r="C13790" s="44"/>
      <c r="D13790" s="44"/>
      <c r="E13790" s="46" t="s">
        <v>9897</v>
      </c>
      <c r="F13790" s="46" t="s">
        <v>5703</v>
      </c>
      <c r="G13790" s="46">
        <v>3.61861297715E11</v>
      </c>
      <c r="H13790" s="46" t="s">
        <v>5704</v>
      </c>
      <c r="I13790" s="46" t="s">
        <v>5705</v>
      </c>
      <c r="J13790" s="46" t="s">
        <v>132</v>
      </c>
      <c r="K13790" s="46" t="s">
        <v>126</v>
      </c>
      <c r="L13790" s="45">
        <v>46018.09375</v>
      </c>
      <c r="M13790" s="46" t="s">
        <v>123</v>
      </c>
      <c r="N13790" s="45">
        <v>46018.135416666664</v>
      </c>
      <c r="O13790" s="46" t="s">
        <v>123</v>
      </c>
      <c r="P13790" s="46">
        <v>3600.0</v>
      </c>
    </row>
    <row r="13791">
      <c r="A13791" s="40">
        <f t="shared" si="1"/>
        <v>46013</v>
      </c>
      <c r="B13791" s="37" t="str">
        <f t="array" ref="B13791">iferror(xlookup($I13791, 'IMPORT VHC Report'!$E:$E, 'IMPORT VHC Report'!$A:$C), )</f>
        <v/>
      </c>
      <c r="C13791" s="44"/>
      <c r="D13791" s="44"/>
      <c r="E13791" s="46" t="s">
        <v>9898</v>
      </c>
      <c r="F13791" s="46" t="s">
        <v>5897</v>
      </c>
      <c r="G13791" s="46">
        <v>7.437355919375E12</v>
      </c>
      <c r="H13791" s="46" t="s">
        <v>5898</v>
      </c>
      <c r="I13791" s="46" t="s">
        <v>5899</v>
      </c>
      <c r="J13791" s="46" t="s">
        <v>330</v>
      </c>
      <c r="K13791" s="46" t="s">
        <v>126</v>
      </c>
      <c r="L13791" s="45">
        <v>46013.916666666664</v>
      </c>
      <c r="M13791" s="46" t="s">
        <v>123</v>
      </c>
      <c r="N13791" s="45">
        <v>46013.927083333336</v>
      </c>
      <c r="O13791" s="46" t="s">
        <v>123</v>
      </c>
      <c r="P13791" s="46">
        <v>900.0</v>
      </c>
    </row>
    <row r="13792">
      <c r="A13792" s="40">
        <f t="shared" si="1"/>
        <v>46013</v>
      </c>
      <c r="B13792" s="37" t="str">
        <f t="array" ref="B13792">iferror(xlookup($I13792, 'IMPORT VHC Report'!$E:$E, 'IMPORT VHC Report'!$A:$C), )</f>
        <v/>
      </c>
      <c r="C13792" s="44"/>
      <c r="D13792" s="44"/>
      <c r="E13792" s="46" t="s">
        <v>9899</v>
      </c>
      <c r="F13792" s="46" t="s">
        <v>5897</v>
      </c>
      <c r="G13792" s="46">
        <v>7.437355919375E12</v>
      </c>
      <c r="H13792" s="46" t="s">
        <v>5898</v>
      </c>
      <c r="I13792" s="46" t="s">
        <v>5899</v>
      </c>
      <c r="J13792" s="46" t="s">
        <v>224</v>
      </c>
      <c r="K13792" s="46" t="s">
        <v>63</v>
      </c>
      <c r="L13792" s="45">
        <v>46013.916666666664</v>
      </c>
      <c r="M13792" s="46" t="s">
        <v>123</v>
      </c>
      <c r="N13792" s="45">
        <v>46014.291666666664</v>
      </c>
      <c r="O13792" s="46" t="s">
        <v>123</v>
      </c>
      <c r="P13792" s="46">
        <v>32400.0</v>
      </c>
    </row>
    <row r="13793">
      <c r="A13793" s="40">
        <f t="shared" si="1"/>
        <v>46013</v>
      </c>
      <c r="B13793" s="37" t="str">
        <f t="array" ref="B13793">iferror(xlookup($I13793, 'IMPORT VHC Report'!$E:$E, 'IMPORT VHC Report'!$A:$C), )</f>
        <v/>
      </c>
      <c r="C13793" s="44"/>
      <c r="D13793" s="44"/>
      <c r="E13793" s="46" t="s">
        <v>9900</v>
      </c>
      <c r="F13793" s="46" t="s">
        <v>5897</v>
      </c>
      <c r="G13793" s="46">
        <v>7.437355919375E12</v>
      </c>
      <c r="H13793" s="46" t="s">
        <v>5898</v>
      </c>
      <c r="I13793" s="46" t="s">
        <v>5899</v>
      </c>
      <c r="J13793" s="46" t="s">
        <v>134</v>
      </c>
      <c r="K13793" s="46" t="s">
        <v>126</v>
      </c>
      <c r="L13793" s="45">
        <v>46014.03125</v>
      </c>
      <c r="M13793" s="46" t="s">
        <v>123</v>
      </c>
      <c r="N13793" s="45">
        <v>46014.041666666664</v>
      </c>
      <c r="O13793" s="46" t="s">
        <v>123</v>
      </c>
      <c r="P13793" s="46">
        <v>900.0</v>
      </c>
    </row>
    <row r="13794">
      <c r="A13794" s="40">
        <f t="shared" si="1"/>
        <v>46013</v>
      </c>
      <c r="B13794" s="37" t="str">
        <f t="array" ref="B13794">iferror(xlookup($I13794, 'IMPORT VHC Report'!$E:$E, 'IMPORT VHC Report'!$A:$C), )</f>
        <v/>
      </c>
      <c r="C13794" s="44"/>
      <c r="D13794" s="44"/>
      <c r="E13794" s="46" t="s">
        <v>9901</v>
      </c>
      <c r="F13794" s="46" t="s">
        <v>5897</v>
      </c>
      <c r="G13794" s="46">
        <v>7.437355919375E12</v>
      </c>
      <c r="H13794" s="46" t="s">
        <v>5898</v>
      </c>
      <c r="I13794" s="46" t="s">
        <v>5899</v>
      </c>
      <c r="J13794" s="46" t="s">
        <v>134</v>
      </c>
      <c r="K13794" s="46" t="s">
        <v>126</v>
      </c>
      <c r="L13794" s="45">
        <v>46014.114583333336</v>
      </c>
      <c r="M13794" s="46" t="s">
        <v>123</v>
      </c>
      <c r="N13794" s="45">
        <v>46014.125</v>
      </c>
      <c r="O13794" s="46" t="s">
        <v>123</v>
      </c>
      <c r="P13794" s="46">
        <v>900.0</v>
      </c>
    </row>
    <row r="13795">
      <c r="A13795" s="40">
        <f t="shared" si="1"/>
        <v>46013</v>
      </c>
      <c r="B13795" s="37" t="str">
        <f t="array" ref="B13795">iferror(xlookup($I13795, 'IMPORT VHC Report'!$E:$E, 'IMPORT VHC Report'!$A:$C), )</f>
        <v/>
      </c>
      <c r="C13795" s="44"/>
      <c r="D13795" s="44"/>
      <c r="E13795" s="46" t="s">
        <v>9902</v>
      </c>
      <c r="F13795" s="46" t="s">
        <v>5897</v>
      </c>
      <c r="G13795" s="46">
        <v>7.437355919375E12</v>
      </c>
      <c r="H13795" s="46" t="s">
        <v>5898</v>
      </c>
      <c r="I13795" s="46" t="s">
        <v>5899</v>
      </c>
      <c r="J13795" s="46" t="s">
        <v>132</v>
      </c>
      <c r="K13795" s="46" t="s">
        <v>126</v>
      </c>
      <c r="L13795" s="45">
        <v>46014.125</v>
      </c>
      <c r="M13795" s="46" t="s">
        <v>123</v>
      </c>
      <c r="N13795" s="45">
        <v>46014.166666666664</v>
      </c>
      <c r="O13795" s="46" t="s">
        <v>123</v>
      </c>
      <c r="P13795" s="46">
        <v>3600.0</v>
      </c>
    </row>
    <row r="13796">
      <c r="A13796" s="40">
        <f t="shared" si="1"/>
        <v>46013</v>
      </c>
      <c r="B13796" s="37" t="str">
        <f t="array" ref="B13796">iferror(xlookup($I13796, 'IMPORT VHC Report'!$E:$E, 'IMPORT VHC Report'!$A:$C), )</f>
        <v/>
      </c>
      <c r="C13796" s="44"/>
      <c r="D13796" s="44"/>
      <c r="E13796" s="46" t="s">
        <v>9903</v>
      </c>
      <c r="F13796" s="46" t="s">
        <v>5897</v>
      </c>
      <c r="G13796" s="46">
        <v>7.437355919375E12</v>
      </c>
      <c r="H13796" s="46" t="s">
        <v>5898</v>
      </c>
      <c r="I13796" s="46" t="s">
        <v>5899</v>
      </c>
      <c r="J13796" s="46" t="s">
        <v>136</v>
      </c>
      <c r="K13796" s="46" t="s">
        <v>126</v>
      </c>
      <c r="L13796" s="45">
        <v>46014.270833333336</v>
      </c>
      <c r="M13796" s="46" t="s">
        <v>123</v>
      </c>
      <c r="N13796" s="45">
        <v>46014.291666666664</v>
      </c>
      <c r="O13796" s="46" t="s">
        <v>123</v>
      </c>
      <c r="P13796" s="46">
        <v>1800.0</v>
      </c>
      <c r="S13796" s="46" t="s">
        <v>137</v>
      </c>
    </row>
    <row r="13797">
      <c r="A13797" s="40">
        <f t="shared" si="1"/>
        <v>46013</v>
      </c>
      <c r="B13797" s="37" t="str">
        <f t="array" ref="B13797">iferror(xlookup($I13797, 'IMPORT VHC Report'!$E:$E, 'IMPORT VHC Report'!$A:$C), )</f>
        <v/>
      </c>
      <c r="C13797" s="44"/>
      <c r="D13797" s="44"/>
      <c r="E13797" s="46" t="s">
        <v>9904</v>
      </c>
      <c r="F13797" s="46" t="s">
        <v>5897</v>
      </c>
      <c r="G13797" s="46">
        <v>7.437355919375E12</v>
      </c>
      <c r="H13797" s="46" t="s">
        <v>5898</v>
      </c>
      <c r="I13797" s="46" t="s">
        <v>5899</v>
      </c>
      <c r="J13797" s="46" t="s">
        <v>224</v>
      </c>
      <c r="K13797" s="46" t="s">
        <v>63</v>
      </c>
      <c r="L13797" s="45">
        <v>46014.916666666664</v>
      </c>
      <c r="M13797" s="46" t="s">
        <v>123</v>
      </c>
      <c r="N13797" s="45">
        <v>46015.291666666664</v>
      </c>
      <c r="O13797" s="46" t="s">
        <v>123</v>
      </c>
      <c r="P13797" s="46">
        <v>32400.0</v>
      </c>
    </row>
    <row r="13798">
      <c r="A13798" s="40">
        <f t="shared" si="1"/>
        <v>46013</v>
      </c>
      <c r="B13798" s="37" t="str">
        <f t="array" ref="B13798">iferror(xlookup($I13798, 'IMPORT VHC Report'!$E:$E, 'IMPORT VHC Report'!$A:$C), )</f>
        <v/>
      </c>
      <c r="C13798" s="44"/>
      <c r="D13798" s="44"/>
      <c r="E13798" s="46" t="s">
        <v>9905</v>
      </c>
      <c r="F13798" s="46" t="s">
        <v>5897</v>
      </c>
      <c r="G13798" s="46">
        <v>7.437355919375E12</v>
      </c>
      <c r="H13798" s="46" t="s">
        <v>5898</v>
      </c>
      <c r="I13798" s="46" t="s">
        <v>5899</v>
      </c>
      <c r="J13798" s="46" t="s">
        <v>132</v>
      </c>
      <c r="K13798" s="46" t="s">
        <v>126</v>
      </c>
      <c r="L13798" s="45">
        <v>46015.03125</v>
      </c>
      <c r="M13798" s="46" t="s">
        <v>123</v>
      </c>
      <c r="N13798" s="45">
        <v>46015.072916666664</v>
      </c>
      <c r="O13798" s="46" t="s">
        <v>123</v>
      </c>
      <c r="P13798" s="46">
        <v>3600.0</v>
      </c>
    </row>
    <row r="13799">
      <c r="A13799" s="40">
        <f t="shared" si="1"/>
        <v>46013</v>
      </c>
      <c r="B13799" s="37" t="str">
        <f t="array" ref="B13799">iferror(xlookup($I13799, 'IMPORT VHC Report'!$E:$E, 'IMPORT VHC Report'!$A:$C), )</f>
        <v/>
      </c>
      <c r="C13799" s="44"/>
      <c r="D13799" s="44"/>
      <c r="E13799" s="46" t="s">
        <v>9906</v>
      </c>
      <c r="F13799" s="46" t="s">
        <v>5897</v>
      </c>
      <c r="G13799" s="46">
        <v>7.437355919375E12</v>
      </c>
      <c r="H13799" s="46" t="s">
        <v>5898</v>
      </c>
      <c r="I13799" s="46" t="s">
        <v>5899</v>
      </c>
      <c r="J13799" s="46" t="s">
        <v>134</v>
      </c>
      <c r="K13799" s="46" t="s">
        <v>126</v>
      </c>
      <c r="L13799" s="45">
        <v>46015.145833333336</v>
      </c>
      <c r="M13799" s="46" t="s">
        <v>123</v>
      </c>
      <c r="N13799" s="45">
        <v>46015.15625</v>
      </c>
      <c r="O13799" s="46" t="s">
        <v>123</v>
      </c>
      <c r="P13799" s="46">
        <v>900.0</v>
      </c>
    </row>
    <row r="13800">
      <c r="A13800" s="40">
        <f t="shared" si="1"/>
        <v>46013</v>
      </c>
      <c r="B13800" s="37" t="str">
        <f t="array" ref="B13800">iferror(xlookup($I13800, 'IMPORT VHC Report'!$E:$E, 'IMPORT VHC Report'!$A:$C), )</f>
        <v/>
      </c>
      <c r="C13800" s="44"/>
      <c r="D13800" s="44"/>
      <c r="E13800" s="46" t="s">
        <v>9907</v>
      </c>
      <c r="F13800" s="46" t="s">
        <v>5897</v>
      </c>
      <c r="G13800" s="46">
        <v>7.437355919375E12</v>
      </c>
      <c r="H13800" s="46" t="s">
        <v>5898</v>
      </c>
      <c r="I13800" s="46" t="s">
        <v>5899</v>
      </c>
      <c r="J13800" s="46" t="s">
        <v>134</v>
      </c>
      <c r="K13800" s="46" t="s">
        <v>126</v>
      </c>
      <c r="L13800" s="45">
        <v>46015.208333333336</v>
      </c>
      <c r="M13800" s="46" t="s">
        <v>123</v>
      </c>
      <c r="N13800" s="45">
        <v>46015.21875</v>
      </c>
      <c r="O13800" s="46" t="s">
        <v>123</v>
      </c>
      <c r="P13800" s="46">
        <v>900.0</v>
      </c>
    </row>
    <row r="13801">
      <c r="A13801" s="40">
        <f t="shared" si="1"/>
        <v>46013</v>
      </c>
      <c r="B13801" s="37" t="str">
        <f t="array" ref="B13801">iferror(xlookup($I13801, 'IMPORT VHC Report'!$E:$E, 'IMPORT VHC Report'!$A:$C), )</f>
        <v/>
      </c>
      <c r="C13801" s="44"/>
      <c r="D13801" s="44"/>
      <c r="E13801" s="46" t="s">
        <v>9908</v>
      </c>
      <c r="F13801" s="46" t="s">
        <v>5897</v>
      </c>
      <c r="G13801" s="46">
        <v>7.437355919375E12</v>
      </c>
      <c r="H13801" s="46" t="s">
        <v>5898</v>
      </c>
      <c r="I13801" s="46" t="s">
        <v>5899</v>
      </c>
      <c r="J13801" s="46" t="s">
        <v>224</v>
      </c>
      <c r="K13801" s="46" t="s">
        <v>63</v>
      </c>
      <c r="L13801" s="45">
        <v>46015.916666666664</v>
      </c>
      <c r="M13801" s="46" t="s">
        <v>123</v>
      </c>
      <c r="N13801" s="45">
        <v>46016.291666666664</v>
      </c>
      <c r="O13801" s="46" t="s">
        <v>123</v>
      </c>
      <c r="P13801" s="46">
        <v>32400.0</v>
      </c>
    </row>
    <row r="13802">
      <c r="A13802" s="40">
        <f t="shared" si="1"/>
        <v>46013</v>
      </c>
      <c r="B13802" s="37" t="str">
        <f t="array" ref="B13802">iferror(xlookup($I13802, 'IMPORT VHC Report'!$E:$E, 'IMPORT VHC Report'!$A:$C), )</f>
        <v/>
      </c>
      <c r="C13802" s="44"/>
      <c r="D13802" s="44"/>
      <c r="E13802" s="46" t="s">
        <v>9909</v>
      </c>
      <c r="F13802" s="46" t="s">
        <v>5897</v>
      </c>
      <c r="G13802" s="46">
        <v>7.437355919375E12</v>
      </c>
      <c r="H13802" s="46" t="s">
        <v>5898</v>
      </c>
      <c r="I13802" s="46" t="s">
        <v>5899</v>
      </c>
      <c r="J13802" s="46" t="s">
        <v>134</v>
      </c>
      <c r="K13802" s="46" t="s">
        <v>126</v>
      </c>
      <c r="L13802" s="45">
        <v>46016.0</v>
      </c>
      <c r="M13802" s="46" t="s">
        <v>123</v>
      </c>
      <c r="N13802" s="45">
        <v>46016.010416666664</v>
      </c>
      <c r="O13802" s="46" t="s">
        <v>123</v>
      </c>
      <c r="P13802" s="46">
        <v>900.0</v>
      </c>
    </row>
    <row r="13803">
      <c r="A13803" s="40">
        <f t="shared" si="1"/>
        <v>46013</v>
      </c>
      <c r="B13803" s="37" t="str">
        <f t="array" ref="B13803">iferror(xlookup($I13803, 'IMPORT VHC Report'!$E:$E, 'IMPORT VHC Report'!$A:$C), )</f>
        <v/>
      </c>
      <c r="C13803" s="44"/>
      <c r="D13803" s="44"/>
      <c r="E13803" s="46" t="s">
        <v>9910</v>
      </c>
      <c r="F13803" s="46" t="s">
        <v>5897</v>
      </c>
      <c r="G13803" s="46">
        <v>7.437355919375E12</v>
      </c>
      <c r="H13803" s="46" t="s">
        <v>5898</v>
      </c>
      <c r="I13803" s="46" t="s">
        <v>5899</v>
      </c>
      <c r="J13803" s="46" t="s">
        <v>134</v>
      </c>
      <c r="K13803" s="46" t="s">
        <v>126</v>
      </c>
      <c r="L13803" s="45">
        <v>46016.083333333336</v>
      </c>
      <c r="M13803" s="46" t="s">
        <v>123</v>
      </c>
      <c r="N13803" s="45">
        <v>46016.09375</v>
      </c>
      <c r="O13803" s="46" t="s">
        <v>123</v>
      </c>
      <c r="P13803" s="46">
        <v>900.0</v>
      </c>
    </row>
    <row r="13804">
      <c r="A13804" s="40">
        <f t="shared" si="1"/>
        <v>46013</v>
      </c>
      <c r="B13804" s="37" t="str">
        <f t="array" ref="B13804">iferror(xlookup($I13804, 'IMPORT VHC Report'!$E:$E, 'IMPORT VHC Report'!$A:$C), )</f>
        <v/>
      </c>
      <c r="C13804" s="44"/>
      <c r="D13804" s="44"/>
      <c r="E13804" s="46" t="s">
        <v>9911</v>
      </c>
      <c r="F13804" s="46" t="s">
        <v>5897</v>
      </c>
      <c r="G13804" s="46">
        <v>7.437355919375E12</v>
      </c>
      <c r="H13804" s="46" t="s">
        <v>5898</v>
      </c>
      <c r="I13804" s="46" t="s">
        <v>5899</v>
      </c>
      <c r="J13804" s="46" t="s">
        <v>132</v>
      </c>
      <c r="K13804" s="46" t="s">
        <v>126</v>
      </c>
      <c r="L13804" s="45">
        <v>46016.15625</v>
      </c>
      <c r="M13804" s="46" t="s">
        <v>123</v>
      </c>
      <c r="N13804" s="45">
        <v>46016.197916666664</v>
      </c>
      <c r="O13804" s="46" t="s">
        <v>123</v>
      </c>
      <c r="P13804" s="46">
        <v>3600.0</v>
      </c>
    </row>
    <row r="13805">
      <c r="A13805" s="40">
        <f t="shared" si="1"/>
        <v>46013</v>
      </c>
      <c r="B13805" s="37" t="str">
        <f t="array" ref="B13805">iferror(xlookup($I13805, 'IMPORT VHC Report'!$E:$E, 'IMPORT VHC Report'!$A:$C), )</f>
        <v/>
      </c>
      <c r="C13805" s="44"/>
      <c r="D13805" s="44"/>
      <c r="E13805" s="46" t="s">
        <v>9912</v>
      </c>
      <c r="F13805" s="46" t="s">
        <v>5897</v>
      </c>
      <c r="G13805" s="46">
        <v>7.437355919375E12</v>
      </c>
      <c r="H13805" s="46" t="s">
        <v>5898</v>
      </c>
      <c r="I13805" s="46" t="s">
        <v>5899</v>
      </c>
      <c r="J13805" s="46" t="s">
        <v>224</v>
      </c>
      <c r="K13805" s="46" t="s">
        <v>63</v>
      </c>
      <c r="L13805" s="45">
        <v>46016.916666666664</v>
      </c>
      <c r="M13805" s="46" t="s">
        <v>123</v>
      </c>
      <c r="N13805" s="45">
        <v>46017.229166666664</v>
      </c>
      <c r="O13805" s="46" t="s">
        <v>123</v>
      </c>
      <c r="P13805" s="46">
        <v>27000.0</v>
      </c>
    </row>
    <row r="13806">
      <c r="A13806" s="40">
        <f t="shared" si="1"/>
        <v>46013</v>
      </c>
      <c r="B13806" s="37" t="str">
        <f t="array" ref="B13806">iferror(xlookup($I13806, 'IMPORT VHC Report'!$E:$E, 'IMPORT VHC Report'!$A:$C), )</f>
        <v/>
      </c>
      <c r="C13806" s="44"/>
      <c r="D13806" s="44"/>
      <c r="E13806" s="46" t="s">
        <v>9913</v>
      </c>
      <c r="F13806" s="46" t="s">
        <v>5897</v>
      </c>
      <c r="G13806" s="46">
        <v>7.437355919375E12</v>
      </c>
      <c r="H13806" s="46" t="s">
        <v>5898</v>
      </c>
      <c r="I13806" s="46" t="s">
        <v>5899</v>
      </c>
      <c r="J13806" s="46" t="s">
        <v>132</v>
      </c>
      <c r="K13806" s="46" t="s">
        <v>126</v>
      </c>
      <c r="L13806" s="45">
        <v>46017.010416666664</v>
      </c>
      <c r="M13806" s="46" t="s">
        <v>123</v>
      </c>
      <c r="N13806" s="45">
        <v>46017.052083333336</v>
      </c>
      <c r="O13806" s="46" t="s">
        <v>123</v>
      </c>
      <c r="P13806" s="46">
        <v>3600.0</v>
      </c>
    </row>
    <row r="13807">
      <c r="A13807" s="40">
        <f t="shared" si="1"/>
        <v>46013</v>
      </c>
      <c r="B13807" s="37" t="str">
        <f t="array" ref="B13807">iferror(xlookup($I13807, 'IMPORT VHC Report'!$E:$E, 'IMPORT VHC Report'!$A:$C), )</f>
        <v/>
      </c>
      <c r="C13807" s="44"/>
      <c r="D13807" s="44"/>
      <c r="E13807" s="46" t="s">
        <v>9914</v>
      </c>
      <c r="F13807" s="46" t="s">
        <v>5897</v>
      </c>
      <c r="G13807" s="46">
        <v>7.437355919375E12</v>
      </c>
      <c r="H13807" s="46" t="s">
        <v>5898</v>
      </c>
      <c r="I13807" s="46" t="s">
        <v>5899</v>
      </c>
      <c r="J13807" s="46" t="s">
        <v>125</v>
      </c>
      <c r="K13807" s="46" t="s">
        <v>126</v>
      </c>
      <c r="L13807" s="45">
        <v>46017.052083333336</v>
      </c>
      <c r="M13807" s="46" t="s">
        <v>123</v>
      </c>
      <c r="N13807" s="45">
        <v>46017.09375</v>
      </c>
      <c r="O13807" s="46" t="s">
        <v>123</v>
      </c>
      <c r="P13807" s="46">
        <v>3600.0</v>
      </c>
      <c r="S13807" s="46" t="s">
        <v>9915</v>
      </c>
    </row>
    <row r="13808">
      <c r="A13808" s="40">
        <f t="shared" si="1"/>
        <v>46013</v>
      </c>
      <c r="B13808" s="37" t="str">
        <f t="array" ref="B13808">iferror(xlookup($I13808, 'IMPORT VHC Report'!$E:$E, 'IMPORT VHC Report'!$A:$C), )</f>
        <v/>
      </c>
      <c r="C13808" s="44"/>
      <c r="D13808" s="44"/>
      <c r="E13808" s="46" t="s">
        <v>9916</v>
      </c>
      <c r="F13808" s="46" t="s">
        <v>5897</v>
      </c>
      <c r="G13808" s="46">
        <v>7.437355919375E12</v>
      </c>
      <c r="H13808" s="46" t="s">
        <v>5898</v>
      </c>
      <c r="I13808" s="46" t="s">
        <v>5899</v>
      </c>
      <c r="J13808" s="46" t="s">
        <v>134</v>
      </c>
      <c r="K13808" s="46" t="s">
        <v>126</v>
      </c>
      <c r="L13808" s="45">
        <v>46017.135416666664</v>
      </c>
      <c r="M13808" s="46" t="s">
        <v>123</v>
      </c>
      <c r="N13808" s="45">
        <v>46017.145833333336</v>
      </c>
      <c r="O13808" s="46" t="s">
        <v>123</v>
      </c>
      <c r="P13808" s="46">
        <v>900.0</v>
      </c>
    </row>
    <row r="13809">
      <c r="A13809" s="40">
        <f t="shared" si="1"/>
        <v>46013</v>
      </c>
      <c r="B13809" s="37" t="str">
        <f t="array" ref="B13809">iferror(xlookup($I13809, 'IMPORT VHC Report'!$E:$E, 'IMPORT VHC Report'!$A:$C), )</f>
        <v/>
      </c>
      <c r="C13809" s="44"/>
      <c r="D13809" s="44"/>
      <c r="E13809" s="46" t="s">
        <v>9917</v>
      </c>
      <c r="F13809" s="46" t="s">
        <v>5897</v>
      </c>
      <c r="G13809" s="46">
        <v>7.437355919375E12</v>
      </c>
      <c r="H13809" s="46" t="s">
        <v>5898</v>
      </c>
      <c r="I13809" s="46" t="s">
        <v>5899</v>
      </c>
      <c r="J13809" s="46" t="s">
        <v>4</v>
      </c>
      <c r="K13809" s="46" t="s">
        <v>126</v>
      </c>
      <c r="L13809" s="45">
        <v>46017.177083333336</v>
      </c>
      <c r="M13809" s="46" t="s">
        <v>123</v>
      </c>
      <c r="N13809" s="45">
        <v>46017.197916666664</v>
      </c>
      <c r="O13809" s="46" t="s">
        <v>123</v>
      </c>
      <c r="P13809" s="46">
        <v>1800.0</v>
      </c>
    </row>
    <row r="13810">
      <c r="A13810" s="40">
        <f t="shared" si="1"/>
        <v>46013</v>
      </c>
      <c r="B13810" s="37" t="str">
        <f t="array" ref="B13810">iferror(xlookup($I13810, 'IMPORT VHC Report'!$E:$E, 'IMPORT VHC Report'!$A:$C), )</f>
        <v/>
      </c>
      <c r="C13810" s="44"/>
      <c r="D13810" s="44"/>
      <c r="E13810" s="46" t="s">
        <v>9918</v>
      </c>
      <c r="F13810" s="46" t="s">
        <v>5897</v>
      </c>
      <c r="G13810" s="46">
        <v>7.437355919375E12</v>
      </c>
      <c r="H13810" s="46" t="s">
        <v>5898</v>
      </c>
      <c r="I13810" s="46" t="s">
        <v>5899</v>
      </c>
      <c r="J13810" s="46" t="s">
        <v>4</v>
      </c>
      <c r="K13810" s="46" t="s">
        <v>126</v>
      </c>
      <c r="L13810" s="45">
        <v>46017.177083333336</v>
      </c>
      <c r="M13810" s="46" t="s">
        <v>123</v>
      </c>
      <c r="N13810" s="45">
        <v>46017.197916666664</v>
      </c>
      <c r="O13810" s="46" t="s">
        <v>123</v>
      </c>
      <c r="P13810" s="46">
        <v>1800.0</v>
      </c>
    </row>
    <row r="13811">
      <c r="A13811" s="40">
        <f t="shared" si="1"/>
        <v>46013</v>
      </c>
      <c r="B13811" s="37" t="str">
        <f t="array" ref="B13811">iferror(xlookup($I13811, 'IMPORT VHC Report'!$E:$E, 'IMPORT VHC Report'!$A:$C), )</f>
        <v/>
      </c>
      <c r="C13811" s="44"/>
      <c r="D13811" s="44"/>
      <c r="E13811" s="46" t="s">
        <v>9919</v>
      </c>
      <c r="F13811" s="46" t="s">
        <v>5897</v>
      </c>
      <c r="G13811" s="46">
        <v>7.437355919375E12</v>
      </c>
      <c r="H13811" s="46" t="s">
        <v>5898</v>
      </c>
      <c r="I13811" s="46" t="s">
        <v>5899</v>
      </c>
      <c r="J13811" s="46" t="s">
        <v>134</v>
      </c>
      <c r="K13811" s="46" t="s">
        <v>126</v>
      </c>
      <c r="L13811" s="45">
        <v>46017.197916666664</v>
      </c>
      <c r="M13811" s="46" t="s">
        <v>123</v>
      </c>
      <c r="N13811" s="45">
        <v>46017.208333333336</v>
      </c>
      <c r="O13811" s="46" t="s">
        <v>123</v>
      </c>
      <c r="P13811" s="46">
        <v>900.0</v>
      </c>
    </row>
    <row r="13812">
      <c r="A13812" s="40">
        <f t="shared" si="1"/>
        <v>46013</v>
      </c>
      <c r="B13812" s="37" t="str">
        <f t="array" ref="B13812">iferror(xlookup($I13812, 'IMPORT VHC Report'!$E:$E, 'IMPORT VHC Report'!$A:$C), )</f>
        <v/>
      </c>
      <c r="C13812" s="44"/>
      <c r="D13812" s="44"/>
      <c r="E13812" s="46" t="s">
        <v>9920</v>
      </c>
      <c r="F13812" s="46" t="s">
        <v>5897</v>
      </c>
      <c r="G13812" s="46">
        <v>7.437355919375E12</v>
      </c>
      <c r="H13812" s="46" t="s">
        <v>5898</v>
      </c>
      <c r="I13812" s="46" t="s">
        <v>5899</v>
      </c>
      <c r="J13812" s="46" t="s">
        <v>62</v>
      </c>
      <c r="K13812" s="46" t="s">
        <v>63</v>
      </c>
      <c r="L13812" s="45">
        <v>46017.229166666664</v>
      </c>
      <c r="M13812" s="46" t="s">
        <v>123</v>
      </c>
      <c r="N13812" s="45">
        <v>46017.25</v>
      </c>
      <c r="O13812" s="46" t="s">
        <v>123</v>
      </c>
      <c r="P13812" s="46">
        <v>1800.0</v>
      </c>
    </row>
    <row r="13813">
      <c r="A13813" s="40">
        <f t="shared" si="1"/>
        <v>46013</v>
      </c>
      <c r="B13813" s="37" t="str">
        <f t="array" ref="B13813">iferror(xlookup($I13813, 'IMPORT VHC Report'!$E:$E, 'IMPORT VHC Report'!$A:$C), )</f>
        <v/>
      </c>
      <c r="C13813" s="44"/>
      <c r="D13813" s="44"/>
      <c r="E13813" s="46" t="s">
        <v>9921</v>
      </c>
      <c r="F13813" s="46" t="s">
        <v>5897</v>
      </c>
      <c r="G13813" s="46">
        <v>7.437355919375E12</v>
      </c>
      <c r="H13813" s="46" t="s">
        <v>5898</v>
      </c>
      <c r="I13813" s="46" t="s">
        <v>5899</v>
      </c>
      <c r="J13813" s="46" t="s">
        <v>224</v>
      </c>
      <c r="K13813" s="46" t="s">
        <v>63</v>
      </c>
      <c r="L13813" s="45">
        <v>46017.25</v>
      </c>
      <c r="M13813" s="46" t="s">
        <v>123</v>
      </c>
      <c r="N13813" s="45">
        <v>46017.291666666664</v>
      </c>
      <c r="O13813" s="46" t="s">
        <v>123</v>
      </c>
      <c r="P13813" s="46">
        <v>3600.0</v>
      </c>
    </row>
    <row r="13814">
      <c r="A13814" s="40">
        <f t="shared" si="1"/>
        <v>46013</v>
      </c>
      <c r="B13814" s="37" t="str">
        <f t="array" ref="B13814">iferror(xlookup($I13814, 'IMPORT VHC Report'!$E:$E, 'IMPORT VHC Report'!$A:$C), )</f>
        <v/>
      </c>
      <c r="C13814" s="44"/>
      <c r="D13814" s="44"/>
      <c r="E13814" s="46" t="s">
        <v>9922</v>
      </c>
      <c r="F13814" s="46" t="s">
        <v>5897</v>
      </c>
      <c r="G13814" s="46">
        <v>7.437355919375E12</v>
      </c>
      <c r="H13814" s="46" t="s">
        <v>5898</v>
      </c>
      <c r="I13814" s="46" t="s">
        <v>5899</v>
      </c>
      <c r="J13814" s="46" t="s">
        <v>224</v>
      </c>
      <c r="K13814" s="46" t="s">
        <v>63</v>
      </c>
      <c r="L13814" s="45">
        <v>46017.916666666664</v>
      </c>
      <c r="M13814" s="46" t="s">
        <v>123</v>
      </c>
      <c r="N13814" s="45">
        <v>46018.291666666664</v>
      </c>
      <c r="O13814" s="46" t="s">
        <v>123</v>
      </c>
      <c r="P13814" s="46">
        <v>32400.0</v>
      </c>
    </row>
    <row r="13815">
      <c r="A13815" s="40">
        <f t="shared" si="1"/>
        <v>46013</v>
      </c>
      <c r="B13815" s="37" t="str">
        <f t="array" ref="B13815">iferror(xlookup($I13815, 'IMPORT VHC Report'!$E:$E, 'IMPORT VHC Report'!$A:$C), )</f>
        <v/>
      </c>
      <c r="C13815" s="44"/>
      <c r="D13815" s="44"/>
      <c r="E13815" s="46" t="s">
        <v>9923</v>
      </c>
      <c r="F13815" s="46" t="s">
        <v>5897</v>
      </c>
      <c r="G13815" s="46">
        <v>7.437355919375E12</v>
      </c>
      <c r="H13815" s="46" t="s">
        <v>5898</v>
      </c>
      <c r="I13815" s="46" t="s">
        <v>5899</v>
      </c>
      <c r="J13815" s="46" t="s">
        <v>134</v>
      </c>
      <c r="K13815" s="46" t="s">
        <v>126</v>
      </c>
      <c r="L13815" s="45">
        <v>46018.041666666664</v>
      </c>
      <c r="M13815" s="46" t="s">
        <v>123</v>
      </c>
      <c r="N13815" s="45">
        <v>46018.052083333336</v>
      </c>
      <c r="O13815" s="46" t="s">
        <v>123</v>
      </c>
      <c r="P13815" s="46">
        <v>900.0</v>
      </c>
    </row>
    <row r="13816">
      <c r="A13816" s="40">
        <f t="shared" si="1"/>
        <v>46013</v>
      </c>
      <c r="B13816" s="37" t="str">
        <f t="array" ref="B13816">iferror(xlookup($I13816, 'IMPORT VHC Report'!$E:$E, 'IMPORT VHC Report'!$A:$C), )</f>
        <v/>
      </c>
      <c r="C13816" s="44"/>
      <c r="D13816" s="44"/>
      <c r="E13816" s="46" t="s">
        <v>9924</v>
      </c>
      <c r="F13816" s="46" t="s">
        <v>5897</v>
      </c>
      <c r="G13816" s="46">
        <v>7.437355919375E12</v>
      </c>
      <c r="H13816" s="46" t="s">
        <v>5898</v>
      </c>
      <c r="I13816" s="46" t="s">
        <v>5899</v>
      </c>
      <c r="J13816" s="46" t="s">
        <v>4</v>
      </c>
      <c r="K13816" s="46" t="s">
        <v>126</v>
      </c>
      <c r="L13816" s="45">
        <v>46018.052083333336</v>
      </c>
      <c r="M13816" s="46" t="s">
        <v>123</v>
      </c>
      <c r="N13816" s="45">
        <v>46018.0625</v>
      </c>
      <c r="O13816" s="46" t="s">
        <v>123</v>
      </c>
      <c r="P13816" s="46">
        <v>900.0</v>
      </c>
      <c r="S13816" s="46" t="s">
        <v>8664</v>
      </c>
    </row>
    <row r="13817">
      <c r="A13817" s="40">
        <f t="shared" si="1"/>
        <v>46013</v>
      </c>
      <c r="B13817" s="37" t="str">
        <f t="array" ref="B13817">iferror(xlookup($I13817, 'IMPORT VHC Report'!$E:$E, 'IMPORT VHC Report'!$A:$C), )</f>
        <v/>
      </c>
      <c r="C13817" s="44"/>
      <c r="D13817" s="44"/>
      <c r="E13817" s="46" t="s">
        <v>9925</v>
      </c>
      <c r="F13817" s="46" t="s">
        <v>5897</v>
      </c>
      <c r="G13817" s="46">
        <v>7.437355919375E12</v>
      </c>
      <c r="H13817" s="46" t="s">
        <v>5898</v>
      </c>
      <c r="I13817" s="46" t="s">
        <v>5899</v>
      </c>
      <c r="J13817" s="46" t="s">
        <v>4</v>
      </c>
      <c r="K13817" s="46" t="s">
        <v>126</v>
      </c>
      <c r="L13817" s="45">
        <v>46018.0625</v>
      </c>
      <c r="M13817" s="46" t="s">
        <v>123</v>
      </c>
      <c r="N13817" s="45">
        <v>46018.072916666664</v>
      </c>
      <c r="O13817" s="46" t="s">
        <v>123</v>
      </c>
      <c r="P13817" s="46">
        <v>900.0</v>
      </c>
      <c r="S13817" s="46" t="s">
        <v>8666</v>
      </c>
    </row>
    <row r="13818">
      <c r="A13818" s="40">
        <f t="shared" si="1"/>
        <v>46013</v>
      </c>
      <c r="B13818" s="37" t="str">
        <f t="array" ref="B13818">iferror(xlookup($I13818, 'IMPORT VHC Report'!$E:$E, 'IMPORT VHC Report'!$A:$C), )</f>
        <v/>
      </c>
      <c r="C13818" s="44"/>
      <c r="D13818" s="44"/>
      <c r="E13818" s="46" t="s">
        <v>9926</v>
      </c>
      <c r="F13818" s="46" t="s">
        <v>5897</v>
      </c>
      <c r="G13818" s="46">
        <v>7.437355919375E12</v>
      </c>
      <c r="H13818" s="46" t="s">
        <v>5898</v>
      </c>
      <c r="I13818" s="46" t="s">
        <v>5899</v>
      </c>
      <c r="J13818" s="46" t="s">
        <v>4</v>
      </c>
      <c r="K13818" s="46" t="s">
        <v>126</v>
      </c>
      <c r="L13818" s="45">
        <v>46018.072916666664</v>
      </c>
      <c r="M13818" s="46" t="s">
        <v>123</v>
      </c>
      <c r="N13818" s="45">
        <v>46018.083333333336</v>
      </c>
      <c r="O13818" s="46" t="s">
        <v>123</v>
      </c>
      <c r="P13818" s="46">
        <v>900.0</v>
      </c>
      <c r="S13818" s="46" t="s">
        <v>8668</v>
      </c>
    </row>
    <row r="13819">
      <c r="A13819" s="40">
        <f t="shared" si="1"/>
        <v>46013</v>
      </c>
      <c r="B13819" s="37" t="str">
        <f t="array" ref="B13819">iferror(xlookup($I13819, 'IMPORT VHC Report'!$E:$E, 'IMPORT VHC Report'!$A:$C), )</f>
        <v/>
      </c>
      <c r="C13819" s="44"/>
      <c r="D13819" s="44"/>
      <c r="E13819" s="46" t="s">
        <v>9927</v>
      </c>
      <c r="F13819" s="46" t="s">
        <v>5897</v>
      </c>
      <c r="G13819" s="46">
        <v>7.437355919375E12</v>
      </c>
      <c r="H13819" s="46" t="s">
        <v>5898</v>
      </c>
      <c r="I13819" s="46" t="s">
        <v>5899</v>
      </c>
      <c r="J13819" s="46" t="s">
        <v>134</v>
      </c>
      <c r="K13819" s="46" t="s">
        <v>126</v>
      </c>
      <c r="L13819" s="45">
        <v>46018.114583333336</v>
      </c>
      <c r="M13819" s="46" t="s">
        <v>123</v>
      </c>
      <c r="N13819" s="45">
        <v>46018.125</v>
      </c>
      <c r="O13819" s="46" t="s">
        <v>123</v>
      </c>
      <c r="P13819" s="46">
        <v>900.0</v>
      </c>
    </row>
    <row r="13820">
      <c r="A13820" s="40">
        <f t="shared" si="1"/>
        <v>46013</v>
      </c>
      <c r="B13820" s="37" t="str">
        <f t="array" ref="B13820">iferror(xlookup($I13820, 'IMPORT VHC Report'!$E:$E, 'IMPORT VHC Report'!$A:$C), )</f>
        <v/>
      </c>
      <c r="C13820" s="44"/>
      <c r="D13820" s="44"/>
      <c r="E13820" s="46" t="s">
        <v>9928</v>
      </c>
      <c r="F13820" s="46" t="s">
        <v>5897</v>
      </c>
      <c r="G13820" s="46">
        <v>7.437355919375E12</v>
      </c>
      <c r="H13820" s="46" t="s">
        <v>5898</v>
      </c>
      <c r="I13820" s="46" t="s">
        <v>5899</v>
      </c>
      <c r="J13820" s="46" t="s">
        <v>132</v>
      </c>
      <c r="K13820" s="46" t="s">
        <v>126</v>
      </c>
      <c r="L13820" s="45">
        <v>46018.125</v>
      </c>
      <c r="M13820" s="46" t="s">
        <v>123</v>
      </c>
      <c r="N13820" s="45">
        <v>46018.15625</v>
      </c>
      <c r="O13820" s="46" t="s">
        <v>123</v>
      </c>
      <c r="P13820" s="46">
        <v>2700.0</v>
      </c>
    </row>
    <row r="13821">
      <c r="A13821" s="40">
        <f t="shared" si="1"/>
        <v>46013</v>
      </c>
      <c r="B13821" s="37" t="str">
        <f t="array" ref="B13821">iferror(xlookup($I13821, 'IMPORT VHC Report'!$E:$E, 'IMPORT VHC Report'!$A:$C), )</f>
        <v/>
      </c>
      <c r="C13821" s="44"/>
      <c r="D13821" s="44"/>
      <c r="E13821" s="46" t="s">
        <v>9929</v>
      </c>
      <c r="F13821" s="46" t="s">
        <v>6013</v>
      </c>
      <c r="G13821" s="46">
        <v>8.904462217231E12</v>
      </c>
      <c r="H13821" s="46" t="s">
        <v>6014</v>
      </c>
      <c r="I13821" s="46" t="s">
        <v>6015</v>
      </c>
      <c r="J13821" s="46" t="s">
        <v>330</v>
      </c>
      <c r="K13821" s="46" t="s">
        <v>126</v>
      </c>
      <c r="L13821" s="45">
        <v>46014.0</v>
      </c>
      <c r="M13821" s="46" t="s">
        <v>123</v>
      </c>
      <c r="N13821" s="45">
        <v>46014.010416666664</v>
      </c>
      <c r="O13821" s="46" t="s">
        <v>123</v>
      </c>
      <c r="P13821" s="46">
        <v>900.0</v>
      </c>
    </row>
    <row r="13822">
      <c r="A13822" s="40">
        <f t="shared" si="1"/>
        <v>46013</v>
      </c>
      <c r="B13822" s="37" t="str">
        <f t="array" ref="B13822">iferror(xlookup($I13822, 'IMPORT VHC Report'!$E:$E, 'IMPORT VHC Report'!$A:$C), )</f>
        <v/>
      </c>
      <c r="C13822" s="44"/>
      <c r="D13822" s="44"/>
      <c r="E13822" s="46" t="s">
        <v>9930</v>
      </c>
      <c r="F13822" s="46" t="s">
        <v>6013</v>
      </c>
      <c r="G13822" s="46">
        <v>8.904462217231E12</v>
      </c>
      <c r="H13822" s="46" t="s">
        <v>6014</v>
      </c>
      <c r="I13822" s="46" t="s">
        <v>6015</v>
      </c>
      <c r="J13822" s="46" t="s">
        <v>152</v>
      </c>
      <c r="K13822" s="46" t="s">
        <v>153</v>
      </c>
      <c r="L13822" s="45">
        <v>46014.0</v>
      </c>
      <c r="M13822" s="46" t="s">
        <v>123</v>
      </c>
      <c r="N13822" s="45">
        <v>46014.375</v>
      </c>
      <c r="O13822" s="46" t="s">
        <v>123</v>
      </c>
      <c r="P13822" s="46">
        <v>32400.0</v>
      </c>
      <c r="Q13822" s="46">
        <v>32400.0</v>
      </c>
      <c r="R13822" s="46" t="s">
        <v>9931</v>
      </c>
      <c r="S13822" s="46" t="s">
        <v>9931</v>
      </c>
    </row>
    <row r="13823">
      <c r="A13823" s="40">
        <f t="shared" si="1"/>
        <v>46013</v>
      </c>
      <c r="B13823" s="37" t="str">
        <f t="array" ref="B13823">iferror(xlookup($I13823, 'IMPORT VHC Report'!$E:$E, 'IMPORT VHC Report'!$A:$C), )</f>
        <v/>
      </c>
      <c r="C13823" s="44"/>
      <c r="D13823" s="44"/>
      <c r="E13823" s="46" t="s">
        <v>9932</v>
      </c>
      <c r="F13823" s="46" t="s">
        <v>6013</v>
      </c>
      <c r="G13823" s="46">
        <v>8.904462217231E12</v>
      </c>
      <c r="H13823" s="46" t="s">
        <v>6014</v>
      </c>
      <c r="I13823" s="46" t="s">
        <v>6015</v>
      </c>
      <c r="J13823" s="46" t="s">
        <v>224</v>
      </c>
      <c r="K13823" s="46" t="s">
        <v>63</v>
      </c>
      <c r="L13823" s="45">
        <v>46014.0</v>
      </c>
      <c r="M13823" s="46" t="s">
        <v>123</v>
      </c>
      <c r="N13823" s="45">
        <v>46014.375</v>
      </c>
      <c r="O13823" s="46" t="s">
        <v>123</v>
      </c>
      <c r="P13823" s="46">
        <v>32400.0</v>
      </c>
    </row>
    <row r="13824">
      <c r="A13824" s="40">
        <f t="shared" si="1"/>
        <v>46013</v>
      </c>
      <c r="B13824" s="37" t="str">
        <f t="array" ref="B13824">iferror(xlookup($I13824, 'IMPORT VHC Report'!$E:$E, 'IMPORT VHC Report'!$A:$C), )</f>
        <v/>
      </c>
      <c r="C13824" s="44"/>
      <c r="D13824" s="44"/>
      <c r="E13824" s="46" t="s">
        <v>9933</v>
      </c>
      <c r="F13824" s="46" t="s">
        <v>6013</v>
      </c>
      <c r="G13824" s="46">
        <v>8.904462217231E12</v>
      </c>
      <c r="H13824" s="46" t="s">
        <v>6014</v>
      </c>
      <c r="I13824" s="46" t="s">
        <v>6015</v>
      </c>
      <c r="J13824" s="46" t="s">
        <v>134</v>
      </c>
      <c r="K13824" s="46" t="s">
        <v>126</v>
      </c>
      <c r="L13824" s="45">
        <v>46014.104166666664</v>
      </c>
      <c r="M13824" s="46" t="s">
        <v>123</v>
      </c>
      <c r="N13824" s="45">
        <v>46014.114583333336</v>
      </c>
      <c r="O13824" s="46" t="s">
        <v>123</v>
      </c>
      <c r="P13824" s="46">
        <v>900.0</v>
      </c>
    </row>
    <row r="13825">
      <c r="A13825" s="40">
        <f t="shared" si="1"/>
        <v>46013</v>
      </c>
      <c r="B13825" s="37" t="str">
        <f t="array" ref="B13825">iferror(xlookup($I13825, 'IMPORT VHC Report'!$E:$E, 'IMPORT VHC Report'!$A:$C), )</f>
        <v/>
      </c>
      <c r="C13825" s="44"/>
      <c r="D13825" s="44"/>
      <c r="E13825" s="46" t="s">
        <v>9934</v>
      </c>
      <c r="F13825" s="46" t="s">
        <v>6013</v>
      </c>
      <c r="G13825" s="46">
        <v>8.904462217231E12</v>
      </c>
      <c r="H13825" s="46" t="s">
        <v>6014</v>
      </c>
      <c r="I13825" s="46" t="s">
        <v>6015</v>
      </c>
      <c r="J13825" s="46" t="s">
        <v>132</v>
      </c>
      <c r="K13825" s="46" t="s">
        <v>126</v>
      </c>
      <c r="L13825" s="45">
        <v>46014.177083333336</v>
      </c>
      <c r="M13825" s="46" t="s">
        <v>123</v>
      </c>
      <c r="N13825" s="45">
        <v>46014.21875</v>
      </c>
      <c r="O13825" s="46" t="s">
        <v>123</v>
      </c>
      <c r="P13825" s="46">
        <v>3600.0</v>
      </c>
    </row>
    <row r="13826">
      <c r="A13826" s="40">
        <f t="shared" si="1"/>
        <v>46013</v>
      </c>
      <c r="B13826" s="37" t="str">
        <f t="array" ref="B13826">iferror(xlookup($I13826, 'IMPORT VHC Report'!$E:$E, 'IMPORT VHC Report'!$A:$C), )</f>
        <v/>
      </c>
      <c r="C13826" s="44"/>
      <c r="D13826" s="44"/>
      <c r="E13826" s="46" t="s">
        <v>9935</v>
      </c>
      <c r="F13826" s="46" t="s">
        <v>6013</v>
      </c>
      <c r="G13826" s="46">
        <v>8.904462217231E12</v>
      </c>
      <c r="H13826" s="46" t="s">
        <v>6014</v>
      </c>
      <c r="I13826" s="46" t="s">
        <v>6015</v>
      </c>
      <c r="J13826" s="46" t="s">
        <v>136</v>
      </c>
      <c r="K13826" s="46" t="s">
        <v>126</v>
      </c>
      <c r="L13826" s="45">
        <v>46014.270833333336</v>
      </c>
      <c r="M13826" s="46" t="s">
        <v>123</v>
      </c>
      <c r="N13826" s="45">
        <v>46014.291666666664</v>
      </c>
      <c r="O13826" s="46" t="s">
        <v>123</v>
      </c>
      <c r="P13826" s="46">
        <v>1800.0</v>
      </c>
      <c r="S13826" s="46" t="s">
        <v>137</v>
      </c>
    </row>
    <row r="13827">
      <c r="A13827" s="40">
        <f t="shared" si="1"/>
        <v>46013</v>
      </c>
      <c r="B13827" s="37" t="str">
        <f t="array" ref="B13827">iferror(xlookup($I13827, 'IMPORT VHC Report'!$E:$E, 'IMPORT VHC Report'!$A:$C), )</f>
        <v/>
      </c>
      <c r="C13827" s="44"/>
      <c r="D13827" s="44"/>
      <c r="E13827" s="46" t="s">
        <v>9936</v>
      </c>
      <c r="F13827" s="46" t="s">
        <v>6013</v>
      </c>
      <c r="G13827" s="46">
        <v>8.904462217231E12</v>
      </c>
      <c r="H13827" s="46" t="s">
        <v>6014</v>
      </c>
      <c r="I13827" s="46" t="s">
        <v>6015</v>
      </c>
      <c r="J13827" s="46" t="s">
        <v>134</v>
      </c>
      <c r="K13827" s="46" t="s">
        <v>126</v>
      </c>
      <c r="L13827" s="45">
        <v>46014.302083333336</v>
      </c>
      <c r="M13827" s="46" t="s">
        <v>123</v>
      </c>
      <c r="N13827" s="45">
        <v>46014.3125</v>
      </c>
      <c r="O13827" s="46" t="s">
        <v>123</v>
      </c>
      <c r="P13827" s="46">
        <v>900.0</v>
      </c>
    </row>
    <row r="13828">
      <c r="A13828" s="40">
        <f t="shared" si="1"/>
        <v>46013</v>
      </c>
      <c r="B13828" s="37" t="str">
        <f t="array" ref="B13828">iferror(xlookup($I13828, 'IMPORT VHC Report'!$E:$E, 'IMPORT VHC Report'!$A:$C), )</f>
        <v/>
      </c>
      <c r="C13828" s="44"/>
      <c r="D13828" s="44"/>
      <c r="E13828" s="46" t="s">
        <v>9937</v>
      </c>
      <c r="F13828" s="46" t="s">
        <v>6013</v>
      </c>
      <c r="G13828" s="46">
        <v>8.904462217231E12</v>
      </c>
      <c r="H13828" s="46" t="s">
        <v>6014</v>
      </c>
      <c r="I13828" s="46" t="s">
        <v>6015</v>
      </c>
      <c r="J13828" s="46" t="s">
        <v>152</v>
      </c>
      <c r="K13828" s="46" t="s">
        <v>153</v>
      </c>
      <c r="L13828" s="45">
        <v>46015.0</v>
      </c>
      <c r="M13828" s="46" t="s">
        <v>123</v>
      </c>
      <c r="N13828" s="45">
        <v>46015.375</v>
      </c>
      <c r="O13828" s="46" t="s">
        <v>123</v>
      </c>
      <c r="P13828" s="46">
        <v>32400.0</v>
      </c>
      <c r="Q13828" s="46">
        <v>32400.0</v>
      </c>
    </row>
    <row r="13829">
      <c r="A13829" s="40">
        <f t="shared" si="1"/>
        <v>46013</v>
      </c>
      <c r="B13829" s="37" t="str">
        <f t="array" ref="B13829">iferror(xlookup($I13829, 'IMPORT VHC Report'!$E:$E, 'IMPORT VHC Report'!$A:$C), )</f>
        <v/>
      </c>
      <c r="C13829" s="44"/>
      <c r="D13829" s="44"/>
      <c r="E13829" s="46" t="s">
        <v>9938</v>
      </c>
      <c r="F13829" s="46" t="s">
        <v>6013</v>
      </c>
      <c r="G13829" s="46">
        <v>8.904462217231E12</v>
      </c>
      <c r="H13829" s="46" t="s">
        <v>6014</v>
      </c>
      <c r="I13829" s="46" t="s">
        <v>6015</v>
      </c>
      <c r="J13829" s="46" t="s">
        <v>224</v>
      </c>
      <c r="K13829" s="46" t="s">
        <v>63</v>
      </c>
      <c r="L13829" s="45">
        <v>46015.0</v>
      </c>
      <c r="M13829" s="46" t="s">
        <v>123</v>
      </c>
      <c r="N13829" s="45">
        <v>46015.375</v>
      </c>
      <c r="O13829" s="46" t="s">
        <v>123</v>
      </c>
      <c r="P13829" s="46">
        <v>32400.0</v>
      </c>
    </row>
    <row r="13830">
      <c r="A13830" s="40">
        <f t="shared" si="1"/>
        <v>46013</v>
      </c>
      <c r="B13830" s="37" t="str">
        <f t="array" ref="B13830">iferror(xlookup($I13830, 'IMPORT VHC Report'!$E:$E, 'IMPORT VHC Report'!$A:$C), )</f>
        <v/>
      </c>
      <c r="C13830" s="44"/>
      <c r="D13830" s="44"/>
      <c r="E13830" s="46" t="s">
        <v>9939</v>
      </c>
      <c r="F13830" s="46" t="s">
        <v>6013</v>
      </c>
      <c r="G13830" s="46">
        <v>8.904462217231E12</v>
      </c>
      <c r="H13830" s="46" t="s">
        <v>6014</v>
      </c>
      <c r="I13830" s="46" t="s">
        <v>6015</v>
      </c>
      <c r="J13830" s="46" t="s">
        <v>134</v>
      </c>
      <c r="K13830" s="46" t="s">
        <v>126</v>
      </c>
      <c r="L13830" s="45">
        <v>46015.114583333336</v>
      </c>
      <c r="M13830" s="46" t="s">
        <v>123</v>
      </c>
      <c r="N13830" s="45">
        <v>46015.125</v>
      </c>
      <c r="O13830" s="46" t="s">
        <v>123</v>
      </c>
      <c r="P13830" s="46">
        <v>900.0</v>
      </c>
    </row>
    <row r="13831">
      <c r="A13831" s="40">
        <f t="shared" si="1"/>
        <v>46013</v>
      </c>
      <c r="B13831" s="37" t="str">
        <f t="array" ref="B13831">iferror(xlookup($I13831, 'IMPORT VHC Report'!$E:$E, 'IMPORT VHC Report'!$A:$C), )</f>
        <v/>
      </c>
      <c r="C13831" s="44"/>
      <c r="D13831" s="44"/>
      <c r="E13831" s="46" t="s">
        <v>9940</v>
      </c>
      <c r="F13831" s="46" t="s">
        <v>6013</v>
      </c>
      <c r="G13831" s="46">
        <v>8.904462217231E12</v>
      </c>
      <c r="H13831" s="46" t="s">
        <v>6014</v>
      </c>
      <c r="I13831" s="46" t="s">
        <v>6015</v>
      </c>
      <c r="J13831" s="46" t="s">
        <v>132</v>
      </c>
      <c r="K13831" s="46" t="s">
        <v>126</v>
      </c>
      <c r="L13831" s="45">
        <v>46015.197916666664</v>
      </c>
      <c r="M13831" s="46" t="s">
        <v>123</v>
      </c>
      <c r="N13831" s="45">
        <v>46015.239583333336</v>
      </c>
      <c r="O13831" s="46" t="s">
        <v>123</v>
      </c>
      <c r="P13831" s="46">
        <v>3600.0</v>
      </c>
    </row>
    <row r="13832">
      <c r="A13832" s="40">
        <f t="shared" si="1"/>
        <v>46013</v>
      </c>
      <c r="B13832" s="37" t="str">
        <f t="array" ref="B13832">iferror(xlookup($I13832, 'IMPORT VHC Report'!$E:$E, 'IMPORT VHC Report'!$A:$C), )</f>
        <v/>
      </c>
      <c r="C13832" s="44"/>
      <c r="D13832" s="44"/>
      <c r="E13832" s="46" t="s">
        <v>9941</v>
      </c>
      <c r="F13832" s="46" t="s">
        <v>6013</v>
      </c>
      <c r="G13832" s="46">
        <v>8.904462217231E12</v>
      </c>
      <c r="H13832" s="46" t="s">
        <v>6014</v>
      </c>
      <c r="I13832" s="46" t="s">
        <v>6015</v>
      </c>
      <c r="J13832" s="46" t="s">
        <v>134</v>
      </c>
      <c r="K13832" s="46" t="s">
        <v>126</v>
      </c>
      <c r="L13832" s="45">
        <v>46015.302083333336</v>
      </c>
      <c r="M13832" s="46" t="s">
        <v>123</v>
      </c>
      <c r="N13832" s="45">
        <v>46015.3125</v>
      </c>
      <c r="O13832" s="46" t="s">
        <v>123</v>
      </c>
      <c r="P13832" s="46">
        <v>900.0</v>
      </c>
    </row>
    <row r="13833">
      <c r="A13833" s="40">
        <f t="shared" si="1"/>
        <v>46013</v>
      </c>
      <c r="B13833" s="37" t="str">
        <f t="array" ref="B13833">iferror(xlookup($I13833, 'IMPORT VHC Report'!$E:$E, 'IMPORT VHC Report'!$A:$C), )</f>
        <v/>
      </c>
      <c r="C13833" s="44"/>
      <c r="D13833" s="44"/>
      <c r="E13833" s="46" t="s">
        <v>9942</v>
      </c>
      <c r="F13833" s="46" t="s">
        <v>6013</v>
      </c>
      <c r="G13833" s="46">
        <v>8.904462217231E12</v>
      </c>
      <c r="H13833" s="46" t="s">
        <v>6014</v>
      </c>
      <c r="I13833" s="46" t="s">
        <v>6015</v>
      </c>
      <c r="J13833" s="46" t="s">
        <v>178</v>
      </c>
      <c r="K13833" s="46" t="s">
        <v>153</v>
      </c>
      <c r="L13833" s="45">
        <v>46016.0</v>
      </c>
      <c r="M13833" s="46" t="s">
        <v>123</v>
      </c>
      <c r="N13833" s="45">
        <v>46016.375</v>
      </c>
      <c r="O13833" s="46" t="s">
        <v>123</v>
      </c>
      <c r="P13833" s="46">
        <v>32400.0</v>
      </c>
      <c r="Q13833" s="46">
        <v>32400.0</v>
      </c>
    </row>
    <row r="13834">
      <c r="A13834" s="40">
        <f t="shared" si="1"/>
        <v>46013</v>
      </c>
      <c r="B13834" s="37" t="str">
        <f t="array" ref="B13834">iferror(xlookup($I13834, 'IMPORT VHC Report'!$E:$E, 'IMPORT VHC Report'!$A:$C), )</f>
        <v/>
      </c>
      <c r="C13834" s="44"/>
      <c r="D13834" s="44"/>
      <c r="E13834" s="46" t="s">
        <v>9943</v>
      </c>
      <c r="F13834" s="46" t="s">
        <v>6013</v>
      </c>
      <c r="G13834" s="46">
        <v>8.904462217231E12</v>
      </c>
      <c r="H13834" s="46" t="s">
        <v>6014</v>
      </c>
      <c r="I13834" s="46" t="s">
        <v>6015</v>
      </c>
      <c r="J13834" s="46" t="s">
        <v>224</v>
      </c>
      <c r="K13834" s="46" t="s">
        <v>63</v>
      </c>
      <c r="L13834" s="45">
        <v>46016.0</v>
      </c>
      <c r="M13834" s="46" t="s">
        <v>123</v>
      </c>
      <c r="N13834" s="45">
        <v>46016.375</v>
      </c>
      <c r="O13834" s="46" t="s">
        <v>123</v>
      </c>
      <c r="P13834" s="46">
        <v>32400.0</v>
      </c>
    </row>
    <row r="13835">
      <c r="A13835" s="40">
        <f t="shared" si="1"/>
        <v>46013</v>
      </c>
      <c r="B13835" s="37" t="str">
        <f t="array" ref="B13835">iferror(xlookup($I13835, 'IMPORT VHC Report'!$E:$E, 'IMPORT VHC Report'!$A:$C), )</f>
        <v/>
      </c>
      <c r="C13835" s="44"/>
      <c r="D13835" s="44"/>
      <c r="E13835" s="46" t="s">
        <v>9944</v>
      </c>
      <c r="F13835" s="46" t="s">
        <v>6013</v>
      </c>
      <c r="G13835" s="46">
        <v>8.904462217231E12</v>
      </c>
      <c r="H13835" s="46" t="s">
        <v>6014</v>
      </c>
      <c r="I13835" s="46" t="s">
        <v>6015</v>
      </c>
      <c r="J13835" s="46" t="s">
        <v>134</v>
      </c>
      <c r="K13835" s="46" t="s">
        <v>126</v>
      </c>
      <c r="L13835" s="45">
        <v>46016.104166666664</v>
      </c>
      <c r="M13835" s="46" t="s">
        <v>123</v>
      </c>
      <c r="N13835" s="45">
        <v>46016.114583333336</v>
      </c>
      <c r="O13835" s="46" t="s">
        <v>123</v>
      </c>
      <c r="P13835" s="46">
        <v>900.0</v>
      </c>
    </row>
    <row r="13836">
      <c r="A13836" s="40">
        <f t="shared" si="1"/>
        <v>46013</v>
      </c>
      <c r="B13836" s="37" t="str">
        <f t="array" ref="B13836">iferror(xlookup($I13836, 'IMPORT VHC Report'!$E:$E, 'IMPORT VHC Report'!$A:$C), )</f>
        <v/>
      </c>
      <c r="C13836" s="44"/>
      <c r="D13836" s="44"/>
      <c r="E13836" s="46" t="s">
        <v>9945</v>
      </c>
      <c r="F13836" s="46" t="s">
        <v>6013</v>
      </c>
      <c r="G13836" s="46">
        <v>8.904462217231E12</v>
      </c>
      <c r="H13836" s="46" t="s">
        <v>6014</v>
      </c>
      <c r="I13836" s="46" t="s">
        <v>6015</v>
      </c>
      <c r="J13836" s="46" t="s">
        <v>132</v>
      </c>
      <c r="K13836" s="46" t="s">
        <v>126</v>
      </c>
      <c r="L13836" s="45">
        <v>46016.177083333336</v>
      </c>
      <c r="M13836" s="46" t="s">
        <v>123</v>
      </c>
      <c r="N13836" s="45">
        <v>46016.21875</v>
      </c>
      <c r="O13836" s="46" t="s">
        <v>123</v>
      </c>
      <c r="P13836" s="46">
        <v>3600.0</v>
      </c>
    </row>
    <row r="13837">
      <c r="A13837" s="40">
        <f t="shared" si="1"/>
        <v>46013</v>
      </c>
      <c r="B13837" s="37" t="str">
        <f t="array" ref="B13837">iferror(xlookup($I13837, 'IMPORT VHC Report'!$E:$E, 'IMPORT VHC Report'!$A:$C), )</f>
        <v/>
      </c>
      <c r="C13837" s="44"/>
      <c r="D13837" s="44"/>
      <c r="E13837" s="46" t="s">
        <v>9946</v>
      </c>
      <c r="F13837" s="46" t="s">
        <v>6013</v>
      </c>
      <c r="G13837" s="46">
        <v>8.904462217231E12</v>
      </c>
      <c r="H13837" s="46" t="s">
        <v>6014</v>
      </c>
      <c r="I13837" s="46" t="s">
        <v>6015</v>
      </c>
      <c r="J13837" s="46" t="s">
        <v>134</v>
      </c>
      <c r="K13837" s="46" t="s">
        <v>126</v>
      </c>
      <c r="L13837" s="45">
        <v>46016.302083333336</v>
      </c>
      <c r="M13837" s="46" t="s">
        <v>123</v>
      </c>
      <c r="N13837" s="45">
        <v>46016.3125</v>
      </c>
      <c r="O13837" s="46" t="s">
        <v>123</v>
      </c>
      <c r="P13837" s="46">
        <v>900.0</v>
      </c>
    </row>
    <row r="13838">
      <c r="A13838" s="40">
        <f t="shared" si="1"/>
        <v>46013</v>
      </c>
      <c r="B13838" s="37" t="str">
        <f t="array" ref="B13838">iferror(xlookup($I13838, 'IMPORT VHC Report'!$E:$E, 'IMPORT VHC Report'!$A:$C), )</f>
        <v/>
      </c>
      <c r="C13838" s="44"/>
      <c r="D13838" s="44"/>
      <c r="E13838" s="46" t="s">
        <v>9947</v>
      </c>
      <c r="F13838" s="46" t="s">
        <v>6013</v>
      </c>
      <c r="G13838" s="46">
        <v>8.904462217231E12</v>
      </c>
      <c r="H13838" s="46" t="s">
        <v>6014</v>
      </c>
      <c r="I13838" s="46" t="s">
        <v>6015</v>
      </c>
      <c r="J13838" s="46" t="s">
        <v>224</v>
      </c>
      <c r="K13838" s="46" t="s">
        <v>63</v>
      </c>
      <c r="L13838" s="45">
        <v>46017.0</v>
      </c>
      <c r="M13838" s="46" t="s">
        <v>123</v>
      </c>
      <c r="N13838" s="45">
        <v>46017.0625</v>
      </c>
      <c r="O13838" s="46" t="s">
        <v>123</v>
      </c>
      <c r="P13838" s="46">
        <v>5400.0</v>
      </c>
    </row>
    <row r="13839">
      <c r="A13839" s="40">
        <f t="shared" si="1"/>
        <v>46013</v>
      </c>
      <c r="B13839" s="37" t="str">
        <f t="array" ref="B13839">iferror(xlookup($I13839, 'IMPORT VHC Report'!$E:$E, 'IMPORT VHC Report'!$A:$C), )</f>
        <v/>
      </c>
      <c r="C13839" s="44"/>
      <c r="D13839" s="44"/>
      <c r="E13839" s="46" t="s">
        <v>9948</v>
      </c>
      <c r="F13839" s="46" t="s">
        <v>6013</v>
      </c>
      <c r="G13839" s="46">
        <v>8.904462217231E12</v>
      </c>
      <c r="H13839" s="46" t="s">
        <v>6014</v>
      </c>
      <c r="I13839" s="46" t="s">
        <v>6015</v>
      </c>
      <c r="J13839" s="46" t="s">
        <v>152</v>
      </c>
      <c r="K13839" s="46" t="s">
        <v>153</v>
      </c>
      <c r="L13839" s="45">
        <v>46017.0</v>
      </c>
      <c r="M13839" s="46" t="s">
        <v>123</v>
      </c>
      <c r="N13839" s="45">
        <v>46017.166666666664</v>
      </c>
      <c r="O13839" s="46" t="s">
        <v>123</v>
      </c>
      <c r="P13839" s="46">
        <v>14400.0</v>
      </c>
      <c r="Q13839" s="46">
        <v>14400.0</v>
      </c>
    </row>
    <row r="13840">
      <c r="A13840" s="40">
        <f t="shared" si="1"/>
        <v>46013</v>
      </c>
      <c r="B13840" s="37" t="str">
        <f t="array" ref="B13840">iferror(xlookup($I13840, 'IMPORT VHC Report'!$E:$E, 'IMPORT VHC Report'!$A:$C), )</f>
        <v/>
      </c>
      <c r="C13840" s="44"/>
      <c r="D13840" s="44"/>
      <c r="E13840" s="46" t="s">
        <v>9949</v>
      </c>
      <c r="F13840" s="46" t="s">
        <v>6013</v>
      </c>
      <c r="G13840" s="46">
        <v>8.904462217231E12</v>
      </c>
      <c r="H13840" s="46" t="s">
        <v>6014</v>
      </c>
      <c r="I13840" s="46" t="s">
        <v>6015</v>
      </c>
      <c r="J13840" s="46" t="s">
        <v>62</v>
      </c>
      <c r="K13840" s="46" t="s">
        <v>63</v>
      </c>
      <c r="L13840" s="45">
        <v>46017.0625</v>
      </c>
      <c r="M13840" s="46" t="s">
        <v>123</v>
      </c>
      <c r="N13840" s="45">
        <v>46017.09375</v>
      </c>
      <c r="O13840" s="46" t="s">
        <v>123</v>
      </c>
      <c r="P13840" s="46">
        <v>2700.0</v>
      </c>
    </row>
    <row r="13841">
      <c r="A13841" s="40">
        <f t="shared" si="1"/>
        <v>46013</v>
      </c>
      <c r="B13841" s="37" t="str">
        <f t="array" ref="B13841">iferror(xlookup($I13841, 'IMPORT VHC Report'!$E:$E, 'IMPORT VHC Report'!$A:$C), )</f>
        <v/>
      </c>
      <c r="C13841" s="44"/>
      <c r="D13841" s="44"/>
      <c r="E13841" s="46" t="s">
        <v>9950</v>
      </c>
      <c r="F13841" s="46" t="s">
        <v>6013</v>
      </c>
      <c r="G13841" s="46">
        <v>8.904462217231E12</v>
      </c>
      <c r="H13841" s="46" t="s">
        <v>6014</v>
      </c>
      <c r="I13841" s="46" t="s">
        <v>6015</v>
      </c>
      <c r="J13841" s="46" t="s">
        <v>134</v>
      </c>
      <c r="K13841" s="46" t="s">
        <v>126</v>
      </c>
      <c r="L13841" s="45">
        <v>46017.083333333336</v>
      </c>
      <c r="M13841" s="46" t="s">
        <v>123</v>
      </c>
      <c r="N13841" s="45">
        <v>46017.09375</v>
      </c>
      <c r="O13841" s="46" t="s">
        <v>123</v>
      </c>
      <c r="P13841" s="46">
        <v>900.0</v>
      </c>
    </row>
    <row r="13842">
      <c r="A13842" s="40">
        <f t="shared" si="1"/>
        <v>46013</v>
      </c>
      <c r="B13842" s="37" t="str">
        <f t="array" ref="B13842">iferror(xlookup($I13842, 'IMPORT VHC Report'!$E:$E, 'IMPORT VHC Report'!$A:$C), )</f>
        <v/>
      </c>
      <c r="C13842" s="44"/>
      <c r="D13842" s="44"/>
      <c r="E13842" s="46" t="s">
        <v>9951</v>
      </c>
      <c r="F13842" s="46" t="s">
        <v>6013</v>
      </c>
      <c r="G13842" s="46">
        <v>8.904462217231E12</v>
      </c>
      <c r="H13842" s="46" t="s">
        <v>6014</v>
      </c>
      <c r="I13842" s="46" t="s">
        <v>6015</v>
      </c>
      <c r="J13842" s="46" t="s">
        <v>224</v>
      </c>
      <c r="K13842" s="46" t="s">
        <v>63</v>
      </c>
      <c r="L13842" s="45">
        <v>46017.09375</v>
      </c>
      <c r="M13842" s="46" t="s">
        <v>123</v>
      </c>
      <c r="N13842" s="45">
        <v>46017.375</v>
      </c>
      <c r="O13842" s="46" t="s">
        <v>123</v>
      </c>
      <c r="P13842" s="46">
        <v>24300.0</v>
      </c>
    </row>
    <row r="13843">
      <c r="A13843" s="40">
        <f t="shared" si="1"/>
        <v>46013</v>
      </c>
      <c r="B13843" s="37" t="str">
        <f t="array" ref="B13843">iferror(xlookup($I13843, 'IMPORT VHC Report'!$E:$E, 'IMPORT VHC Report'!$A:$C), )</f>
        <v/>
      </c>
      <c r="C13843" s="44"/>
      <c r="D13843" s="44"/>
      <c r="E13843" s="46" t="s">
        <v>9952</v>
      </c>
      <c r="F13843" s="46" t="s">
        <v>6013</v>
      </c>
      <c r="G13843" s="46">
        <v>8.904462217231E12</v>
      </c>
      <c r="H13843" s="46" t="s">
        <v>6014</v>
      </c>
      <c r="I13843" s="46" t="s">
        <v>6015</v>
      </c>
      <c r="J13843" s="46" t="s">
        <v>134</v>
      </c>
      <c r="K13843" s="46" t="s">
        <v>126</v>
      </c>
      <c r="L13843" s="45">
        <v>46017.15625</v>
      </c>
      <c r="M13843" s="46" t="s">
        <v>123</v>
      </c>
      <c r="N13843" s="45">
        <v>46017.166666666664</v>
      </c>
      <c r="O13843" s="46" t="s">
        <v>123</v>
      </c>
      <c r="P13843" s="46">
        <v>900.0</v>
      </c>
    </row>
    <row r="13844">
      <c r="A13844" s="40">
        <f t="shared" si="1"/>
        <v>46013</v>
      </c>
      <c r="B13844" s="37" t="str">
        <f t="array" ref="B13844">iferror(xlookup($I13844, 'IMPORT VHC Report'!$E:$E, 'IMPORT VHC Report'!$A:$C), )</f>
        <v/>
      </c>
      <c r="C13844" s="44"/>
      <c r="D13844" s="44"/>
      <c r="E13844" s="46" t="s">
        <v>9953</v>
      </c>
      <c r="F13844" s="46" t="s">
        <v>6013</v>
      </c>
      <c r="G13844" s="46">
        <v>8.904462217231E12</v>
      </c>
      <c r="H13844" s="46" t="s">
        <v>6014</v>
      </c>
      <c r="I13844" s="46" t="s">
        <v>6015</v>
      </c>
      <c r="J13844" s="46" t="s">
        <v>132</v>
      </c>
      <c r="K13844" s="46" t="s">
        <v>126</v>
      </c>
      <c r="L13844" s="45">
        <v>46017.166666666664</v>
      </c>
      <c r="M13844" s="46" t="s">
        <v>123</v>
      </c>
      <c r="N13844" s="45">
        <v>46017.208333333336</v>
      </c>
      <c r="O13844" s="46" t="s">
        <v>123</v>
      </c>
      <c r="P13844" s="46">
        <v>3600.0</v>
      </c>
    </row>
    <row r="13845">
      <c r="A13845" s="40">
        <f t="shared" si="1"/>
        <v>46013</v>
      </c>
      <c r="B13845" s="37" t="str">
        <f t="array" ref="B13845">iferror(xlookup($I13845, 'IMPORT VHC Report'!$E:$E, 'IMPORT VHC Report'!$A:$C), )</f>
        <v/>
      </c>
      <c r="C13845" s="44"/>
      <c r="D13845" s="44"/>
      <c r="E13845" s="46" t="s">
        <v>9954</v>
      </c>
      <c r="F13845" s="46" t="s">
        <v>6013</v>
      </c>
      <c r="G13845" s="46">
        <v>8.904462217231E12</v>
      </c>
      <c r="H13845" s="46" t="s">
        <v>6014</v>
      </c>
      <c r="I13845" s="46" t="s">
        <v>6015</v>
      </c>
      <c r="J13845" s="46" t="s">
        <v>224</v>
      </c>
      <c r="K13845" s="46" t="s">
        <v>63</v>
      </c>
      <c r="L13845" s="45">
        <v>46018.0</v>
      </c>
      <c r="M13845" s="46" t="s">
        <v>123</v>
      </c>
      <c r="N13845" s="45">
        <v>46018.375</v>
      </c>
      <c r="O13845" s="46" t="s">
        <v>123</v>
      </c>
      <c r="P13845" s="46">
        <v>32400.0</v>
      </c>
    </row>
    <row r="13846">
      <c r="A13846" s="40">
        <f t="shared" si="1"/>
        <v>46013</v>
      </c>
      <c r="B13846" s="37" t="str">
        <f t="array" ref="B13846">iferror(xlookup($I13846, 'IMPORT VHC Report'!$E:$E, 'IMPORT VHC Report'!$A:$C), )</f>
        <v/>
      </c>
      <c r="C13846" s="44"/>
      <c r="D13846" s="44"/>
      <c r="E13846" s="46" t="s">
        <v>9955</v>
      </c>
      <c r="F13846" s="46" t="s">
        <v>6013</v>
      </c>
      <c r="G13846" s="46">
        <v>8.904462217231E12</v>
      </c>
      <c r="H13846" s="46" t="s">
        <v>6014</v>
      </c>
      <c r="I13846" s="46" t="s">
        <v>6015</v>
      </c>
      <c r="J13846" s="46" t="s">
        <v>4</v>
      </c>
      <c r="K13846" s="46" t="s">
        <v>126</v>
      </c>
      <c r="L13846" s="45">
        <v>46018.114583333336</v>
      </c>
      <c r="M13846" s="46" t="s">
        <v>123</v>
      </c>
      <c r="N13846" s="45">
        <v>46018.125</v>
      </c>
      <c r="O13846" s="46" t="s">
        <v>123</v>
      </c>
      <c r="P13846" s="46">
        <v>900.0</v>
      </c>
      <c r="S13846" s="46" t="s">
        <v>8664</v>
      </c>
    </row>
    <row r="13847">
      <c r="A13847" s="40">
        <f t="shared" si="1"/>
        <v>46013</v>
      </c>
      <c r="B13847" s="37" t="str">
        <f t="array" ref="B13847">iferror(xlookup($I13847, 'IMPORT VHC Report'!$E:$E, 'IMPORT VHC Report'!$A:$C), )</f>
        <v/>
      </c>
      <c r="C13847" s="44"/>
      <c r="D13847" s="44"/>
      <c r="E13847" s="46" t="s">
        <v>9956</v>
      </c>
      <c r="F13847" s="46" t="s">
        <v>6013</v>
      </c>
      <c r="G13847" s="46">
        <v>8.904462217231E12</v>
      </c>
      <c r="H13847" s="46" t="s">
        <v>6014</v>
      </c>
      <c r="I13847" s="46" t="s">
        <v>6015</v>
      </c>
      <c r="J13847" s="46" t="s">
        <v>134</v>
      </c>
      <c r="K13847" s="46" t="s">
        <v>126</v>
      </c>
      <c r="L13847" s="45">
        <v>46018.125</v>
      </c>
      <c r="M13847" s="46" t="s">
        <v>123</v>
      </c>
      <c r="N13847" s="45">
        <v>46018.145833333336</v>
      </c>
      <c r="O13847" s="46" t="s">
        <v>123</v>
      </c>
      <c r="P13847" s="46">
        <v>1800.0</v>
      </c>
    </row>
    <row r="13848">
      <c r="A13848" s="40">
        <f t="shared" si="1"/>
        <v>46013</v>
      </c>
      <c r="B13848" s="37" t="str">
        <f t="array" ref="B13848">iferror(xlookup($I13848, 'IMPORT VHC Report'!$E:$E, 'IMPORT VHC Report'!$A:$C), )</f>
        <v/>
      </c>
      <c r="C13848" s="44"/>
      <c r="D13848" s="44"/>
      <c r="E13848" s="46" t="s">
        <v>9957</v>
      </c>
      <c r="F13848" s="46" t="s">
        <v>6013</v>
      </c>
      <c r="G13848" s="46">
        <v>8.904462217231E12</v>
      </c>
      <c r="H13848" s="46" t="s">
        <v>6014</v>
      </c>
      <c r="I13848" s="46" t="s">
        <v>6015</v>
      </c>
      <c r="J13848" s="46" t="s">
        <v>4</v>
      </c>
      <c r="K13848" s="46" t="s">
        <v>126</v>
      </c>
      <c r="L13848" s="45">
        <v>46018.145833333336</v>
      </c>
      <c r="M13848" s="46" t="s">
        <v>123</v>
      </c>
      <c r="N13848" s="45">
        <v>46018.15625</v>
      </c>
      <c r="O13848" s="46" t="s">
        <v>123</v>
      </c>
      <c r="P13848" s="46">
        <v>900.0</v>
      </c>
      <c r="S13848" s="46" t="s">
        <v>8666</v>
      </c>
    </row>
    <row r="13849">
      <c r="A13849" s="40">
        <f t="shared" si="1"/>
        <v>46013</v>
      </c>
      <c r="B13849" s="37" t="str">
        <f t="array" ref="B13849">iferror(xlookup($I13849, 'IMPORT VHC Report'!$E:$E, 'IMPORT VHC Report'!$A:$C), )</f>
        <v/>
      </c>
      <c r="C13849" s="44"/>
      <c r="D13849" s="44"/>
      <c r="E13849" s="46" t="s">
        <v>9958</v>
      </c>
      <c r="F13849" s="46" t="s">
        <v>6013</v>
      </c>
      <c r="G13849" s="46">
        <v>8.904462217231E12</v>
      </c>
      <c r="H13849" s="46" t="s">
        <v>6014</v>
      </c>
      <c r="I13849" s="46" t="s">
        <v>6015</v>
      </c>
      <c r="J13849" s="46" t="s">
        <v>4</v>
      </c>
      <c r="K13849" s="46" t="s">
        <v>126</v>
      </c>
      <c r="L13849" s="45">
        <v>46018.15625</v>
      </c>
      <c r="M13849" s="46" t="s">
        <v>123</v>
      </c>
      <c r="N13849" s="45">
        <v>46018.166666666664</v>
      </c>
      <c r="O13849" s="46" t="s">
        <v>123</v>
      </c>
      <c r="P13849" s="46">
        <v>900.0</v>
      </c>
      <c r="S13849" s="46" t="s">
        <v>8668</v>
      </c>
    </row>
    <row r="13850">
      <c r="A13850" s="40">
        <f t="shared" si="1"/>
        <v>46013</v>
      </c>
      <c r="B13850" s="37" t="str">
        <f t="array" ref="B13850">iferror(xlookup($I13850, 'IMPORT VHC Report'!$E:$E, 'IMPORT VHC Report'!$A:$C), )</f>
        <v/>
      </c>
      <c r="C13850" s="44"/>
      <c r="D13850" s="44"/>
      <c r="E13850" s="46" t="s">
        <v>9959</v>
      </c>
      <c r="F13850" s="46" t="s">
        <v>6013</v>
      </c>
      <c r="G13850" s="46">
        <v>8.904462217231E12</v>
      </c>
      <c r="H13850" s="46" t="s">
        <v>6014</v>
      </c>
      <c r="I13850" s="46" t="s">
        <v>6015</v>
      </c>
      <c r="J13850" s="46" t="s">
        <v>132</v>
      </c>
      <c r="K13850" s="46" t="s">
        <v>126</v>
      </c>
      <c r="L13850" s="45">
        <v>46018.270833333336</v>
      </c>
      <c r="M13850" s="46" t="s">
        <v>123</v>
      </c>
      <c r="N13850" s="45">
        <v>46018.291666666664</v>
      </c>
      <c r="O13850" s="46" t="s">
        <v>123</v>
      </c>
      <c r="P13850" s="46">
        <v>1800.0</v>
      </c>
    </row>
    <row r="13851">
      <c r="A13851" s="40">
        <f t="shared" si="1"/>
        <v>46013</v>
      </c>
      <c r="B13851" s="37" t="str">
        <f t="array" ref="B13851">iferror(xlookup($I13851, 'IMPORT VHC Report'!$E:$E, 'IMPORT VHC Report'!$A:$C), )</f>
        <v/>
      </c>
      <c r="C13851" s="44"/>
      <c r="D13851" s="44"/>
      <c r="E13851" s="46" t="s">
        <v>9960</v>
      </c>
      <c r="F13851" s="46" t="s">
        <v>6013</v>
      </c>
      <c r="G13851" s="46">
        <v>8.904462217231E12</v>
      </c>
      <c r="H13851" s="46" t="s">
        <v>6014</v>
      </c>
      <c r="I13851" s="46" t="s">
        <v>6015</v>
      </c>
      <c r="J13851" s="46" t="s">
        <v>330</v>
      </c>
      <c r="K13851" s="46" t="s">
        <v>126</v>
      </c>
      <c r="L13851" s="45">
        <v>46018.322916666664</v>
      </c>
      <c r="M13851" s="46" t="s">
        <v>123</v>
      </c>
      <c r="N13851" s="45">
        <v>46018.354166666664</v>
      </c>
      <c r="O13851" s="46" t="s">
        <v>123</v>
      </c>
      <c r="P13851" s="46">
        <v>2700.0</v>
      </c>
    </row>
    <row r="13852">
      <c r="A13852" s="40">
        <f t="shared" si="1"/>
        <v>46013</v>
      </c>
      <c r="B13852" s="37" t="str">
        <f t="array" ref="B13852">iferror(xlookup($I13852, 'IMPORT VHC Report'!$E:$E, 'IMPORT VHC Report'!$A:$C), )</f>
        <v/>
      </c>
      <c r="C13852" s="44"/>
      <c r="D13852" s="44"/>
      <c r="E13852" s="46" t="s">
        <v>9961</v>
      </c>
      <c r="F13852" s="46" t="s">
        <v>6013</v>
      </c>
      <c r="G13852" s="46">
        <v>8.904462217231E12</v>
      </c>
      <c r="H13852" s="46" t="s">
        <v>6014</v>
      </c>
      <c r="I13852" s="46" t="s">
        <v>6015</v>
      </c>
      <c r="J13852" s="46" t="s">
        <v>132</v>
      </c>
      <c r="K13852" s="46" t="s">
        <v>126</v>
      </c>
      <c r="L13852" s="45">
        <v>46018.354166666664</v>
      </c>
      <c r="M13852" s="46" t="s">
        <v>123</v>
      </c>
      <c r="N13852" s="45">
        <v>46018.375</v>
      </c>
      <c r="O13852" s="46" t="s">
        <v>123</v>
      </c>
      <c r="P13852" s="46">
        <v>1800.0</v>
      </c>
    </row>
    <row r="13853">
      <c r="A13853" s="40">
        <f t="shared" si="1"/>
        <v>46013</v>
      </c>
      <c r="B13853" s="37" t="str">
        <f t="array" ref="B13853">iferror(xlookup($I13853, 'IMPORT VHC Report'!$E:$E, 'IMPORT VHC Report'!$A:$C), )</f>
        <v/>
      </c>
      <c r="C13853" s="44"/>
      <c r="D13853" s="44"/>
      <c r="E13853" s="46" t="s">
        <v>9962</v>
      </c>
      <c r="F13853" s="46" t="s">
        <v>6191</v>
      </c>
      <c r="G13853" s="46">
        <v>1.0548589296399E13</v>
      </c>
      <c r="H13853" s="46" t="s">
        <v>6192</v>
      </c>
      <c r="I13853" s="46" t="s">
        <v>6193</v>
      </c>
      <c r="J13853" s="46" t="s">
        <v>224</v>
      </c>
      <c r="K13853" s="46" t="s">
        <v>63</v>
      </c>
      <c r="L13853" s="45">
        <v>46014.166666666664</v>
      </c>
      <c r="M13853" s="46" t="s">
        <v>123</v>
      </c>
      <c r="N13853" s="45">
        <v>46014.541666666664</v>
      </c>
      <c r="O13853" s="46" t="s">
        <v>123</v>
      </c>
      <c r="P13853" s="46">
        <v>32400.0</v>
      </c>
    </row>
    <row r="13854">
      <c r="A13854" s="40">
        <f t="shared" si="1"/>
        <v>46013</v>
      </c>
      <c r="B13854" s="37" t="str">
        <f t="array" ref="B13854">iferror(xlookup($I13854, 'IMPORT VHC Report'!$E:$E, 'IMPORT VHC Report'!$A:$C), )</f>
        <v/>
      </c>
      <c r="C13854" s="44"/>
      <c r="D13854" s="44"/>
      <c r="E13854" s="46" t="s">
        <v>9963</v>
      </c>
      <c r="F13854" s="46" t="s">
        <v>6191</v>
      </c>
      <c r="G13854" s="46">
        <v>1.0548589296399E13</v>
      </c>
      <c r="H13854" s="46" t="s">
        <v>6192</v>
      </c>
      <c r="I13854" s="46" t="s">
        <v>6193</v>
      </c>
      <c r="J13854" s="46" t="s">
        <v>134</v>
      </c>
      <c r="K13854" s="46" t="s">
        <v>126</v>
      </c>
      <c r="L13854" s="45">
        <v>46014.260416666664</v>
      </c>
      <c r="M13854" s="46" t="s">
        <v>123</v>
      </c>
      <c r="N13854" s="45">
        <v>46014.270833333336</v>
      </c>
      <c r="O13854" s="46" t="s">
        <v>123</v>
      </c>
      <c r="P13854" s="46">
        <v>900.0</v>
      </c>
    </row>
    <row r="13855">
      <c r="A13855" s="40">
        <f t="shared" si="1"/>
        <v>46013</v>
      </c>
      <c r="B13855" s="37" t="str">
        <f t="array" ref="B13855">iferror(xlookup($I13855, 'IMPORT VHC Report'!$E:$E, 'IMPORT VHC Report'!$A:$C), )</f>
        <v/>
      </c>
      <c r="C13855" s="44"/>
      <c r="D13855" s="44"/>
      <c r="E13855" s="46" t="s">
        <v>9964</v>
      </c>
      <c r="F13855" s="46" t="s">
        <v>6191</v>
      </c>
      <c r="G13855" s="46">
        <v>1.0548589296399E13</v>
      </c>
      <c r="H13855" s="46" t="s">
        <v>6192</v>
      </c>
      <c r="I13855" s="46" t="s">
        <v>6193</v>
      </c>
      <c r="J13855" s="46" t="s">
        <v>132</v>
      </c>
      <c r="K13855" s="46" t="s">
        <v>126</v>
      </c>
      <c r="L13855" s="45">
        <v>46014.333333333336</v>
      </c>
      <c r="M13855" s="46" t="s">
        <v>123</v>
      </c>
      <c r="N13855" s="45">
        <v>46014.375</v>
      </c>
      <c r="O13855" s="46" t="s">
        <v>123</v>
      </c>
      <c r="P13855" s="46">
        <v>3600.0</v>
      </c>
    </row>
    <row r="13856">
      <c r="A13856" s="40">
        <f t="shared" si="1"/>
        <v>46013</v>
      </c>
      <c r="B13856" s="37" t="str">
        <f t="array" ref="B13856">iferror(xlookup($I13856, 'IMPORT VHC Report'!$E:$E, 'IMPORT VHC Report'!$A:$C), )</f>
        <v/>
      </c>
      <c r="C13856" s="44"/>
      <c r="D13856" s="44"/>
      <c r="E13856" s="46" t="s">
        <v>9965</v>
      </c>
      <c r="F13856" s="46" t="s">
        <v>6191</v>
      </c>
      <c r="G13856" s="46">
        <v>1.0548589296399E13</v>
      </c>
      <c r="H13856" s="46" t="s">
        <v>6192</v>
      </c>
      <c r="I13856" s="46" t="s">
        <v>6193</v>
      </c>
      <c r="J13856" s="46" t="s">
        <v>134</v>
      </c>
      <c r="K13856" s="46" t="s">
        <v>126</v>
      </c>
      <c r="L13856" s="45">
        <v>46014.46875</v>
      </c>
      <c r="M13856" s="46" t="s">
        <v>123</v>
      </c>
      <c r="N13856" s="45">
        <v>46014.479166666664</v>
      </c>
      <c r="O13856" s="46" t="s">
        <v>123</v>
      </c>
      <c r="P13856" s="46">
        <v>900.0</v>
      </c>
    </row>
    <row r="13857">
      <c r="A13857" s="40">
        <f t="shared" si="1"/>
        <v>46013</v>
      </c>
      <c r="B13857" s="37" t="str">
        <f t="array" ref="B13857">iferror(xlookup($I13857, 'IMPORT VHC Report'!$E:$E, 'IMPORT VHC Report'!$A:$C), )</f>
        <v/>
      </c>
      <c r="C13857" s="44"/>
      <c r="D13857" s="44"/>
      <c r="E13857" s="46" t="s">
        <v>9966</v>
      </c>
      <c r="F13857" s="46" t="s">
        <v>6191</v>
      </c>
      <c r="G13857" s="46">
        <v>1.0548589296399E13</v>
      </c>
      <c r="H13857" s="46" t="s">
        <v>6192</v>
      </c>
      <c r="I13857" s="46" t="s">
        <v>6193</v>
      </c>
      <c r="J13857" s="46" t="s">
        <v>4</v>
      </c>
      <c r="K13857" s="46" t="s">
        <v>126</v>
      </c>
      <c r="L13857" s="45">
        <v>46014.5</v>
      </c>
      <c r="M13857" s="46" t="s">
        <v>123</v>
      </c>
      <c r="N13857" s="45">
        <v>46014.510416666664</v>
      </c>
      <c r="O13857" s="46" t="s">
        <v>123</v>
      </c>
      <c r="P13857" s="46">
        <v>900.0</v>
      </c>
      <c r="S13857" s="46" t="s">
        <v>6931</v>
      </c>
    </row>
    <row r="13858">
      <c r="A13858" s="40">
        <f t="shared" si="1"/>
        <v>46013</v>
      </c>
      <c r="B13858" s="37" t="str">
        <f t="array" ref="B13858">iferror(xlookup($I13858, 'IMPORT VHC Report'!$E:$E, 'IMPORT VHC Report'!$A:$C), )</f>
        <v/>
      </c>
      <c r="C13858" s="44"/>
      <c r="D13858" s="44"/>
      <c r="E13858" s="46" t="s">
        <v>9967</v>
      </c>
      <c r="F13858" s="46" t="s">
        <v>6191</v>
      </c>
      <c r="G13858" s="46">
        <v>1.0548589296399E13</v>
      </c>
      <c r="H13858" s="46" t="s">
        <v>6192</v>
      </c>
      <c r="I13858" s="46" t="s">
        <v>6193</v>
      </c>
      <c r="J13858" s="46" t="s">
        <v>224</v>
      </c>
      <c r="K13858" s="46" t="s">
        <v>63</v>
      </c>
      <c r="L13858" s="45">
        <v>46015.166666666664</v>
      </c>
      <c r="M13858" s="46" t="s">
        <v>123</v>
      </c>
      <c r="N13858" s="45">
        <v>46015.541666666664</v>
      </c>
      <c r="O13858" s="46" t="s">
        <v>123</v>
      </c>
      <c r="P13858" s="46">
        <v>32400.0</v>
      </c>
    </row>
    <row r="13859">
      <c r="A13859" s="40">
        <f t="shared" si="1"/>
        <v>46013</v>
      </c>
      <c r="B13859" s="37" t="str">
        <f t="array" ref="B13859">iferror(xlookup($I13859, 'IMPORT VHC Report'!$E:$E, 'IMPORT VHC Report'!$A:$C), )</f>
        <v/>
      </c>
      <c r="C13859" s="44"/>
      <c r="D13859" s="44"/>
      <c r="E13859" s="46" t="s">
        <v>9968</v>
      </c>
      <c r="F13859" s="46" t="s">
        <v>6191</v>
      </c>
      <c r="G13859" s="46">
        <v>1.0548589296399E13</v>
      </c>
      <c r="H13859" s="46" t="s">
        <v>6192</v>
      </c>
      <c r="I13859" s="46" t="s">
        <v>6193</v>
      </c>
      <c r="J13859" s="46" t="s">
        <v>134</v>
      </c>
      <c r="K13859" s="46" t="s">
        <v>126</v>
      </c>
      <c r="L13859" s="45">
        <v>46015.25</v>
      </c>
      <c r="M13859" s="46" t="s">
        <v>123</v>
      </c>
      <c r="N13859" s="45">
        <v>46015.260416666664</v>
      </c>
      <c r="O13859" s="46" t="s">
        <v>123</v>
      </c>
      <c r="P13859" s="46">
        <v>900.0</v>
      </c>
    </row>
    <row r="13860">
      <c r="A13860" s="40">
        <f t="shared" si="1"/>
        <v>46013</v>
      </c>
      <c r="B13860" s="37" t="str">
        <f t="array" ref="B13860">iferror(xlookup($I13860, 'IMPORT VHC Report'!$E:$E, 'IMPORT VHC Report'!$A:$C), )</f>
        <v/>
      </c>
      <c r="C13860" s="44"/>
      <c r="D13860" s="44"/>
      <c r="E13860" s="46" t="s">
        <v>9969</v>
      </c>
      <c r="F13860" s="46" t="s">
        <v>6191</v>
      </c>
      <c r="G13860" s="46">
        <v>1.0548589296399E13</v>
      </c>
      <c r="H13860" s="46" t="s">
        <v>6192</v>
      </c>
      <c r="I13860" s="46" t="s">
        <v>6193</v>
      </c>
      <c r="J13860" s="46" t="s">
        <v>134</v>
      </c>
      <c r="K13860" s="46" t="s">
        <v>126</v>
      </c>
      <c r="L13860" s="45">
        <v>46015.322916666664</v>
      </c>
      <c r="M13860" s="46" t="s">
        <v>123</v>
      </c>
      <c r="N13860" s="45">
        <v>46015.333333333336</v>
      </c>
      <c r="O13860" s="46" t="s">
        <v>123</v>
      </c>
      <c r="P13860" s="46">
        <v>900.0</v>
      </c>
    </row>
    <row r="13861">
      <c r="A13861" s="40">
        <f t="shared" si="1"/>
        <v>46013</v>
      </c>
      <c r="B13861" s="37" t="str">
        <f t="array" ref="B13861">iferror(xlookup($I13861, 'IMPORT VHC Report'!$E:$E, 'IMPORT VHC Report'!$A:$C), )</f>
        <v/>
      </c>
      <c r="C13861" s="44"/>
      <c r="D13861" s="44"/>
      <c r="E13861" s="46" t="s">
        <v>9970</v>
      </c>
      <c r="F13861" s="46" t="s">
        <v>6191</v>
      </c>
      <c r="G13861" s="46">
        <v>1.0548589296399E13</v>
      </c>
      <c r="H13861" s="46" t="s">
        <v>6192</v>
      </c>
      <c r="I13861" s="46" t="s">
        <v>6193</v>
      </c>
      <c r="J13861" s="46" t="s">
        <v>132</v>
      </c>
      <c r="K13861" s="46" t="s">
        <v>126</v>
      </c>
      <c r="L13861" s="45">
        <v>46015.4375</v>
      </c>
      <c r="M13861" s="46" t="s">
        <v>123</v>
      </c>
      <c r="N13861" s="45">
        <v>46015.479166666664</v>
      </c>
      <c r="O13861" s="46" t="s">
        <v>123</v>
      </c>
      <c r="P13861" s="46">
        <v>3600.0</v>
      </c>
    </row>
    <row r="13862">
      <c r="A13862" s="40">
        <f t="shared" si="1"/>
        <v>46013</v>
      </c>
      <c r="B13862" s="37" t="str">
        <f t="array" ref="B13862">iferror(xlookup($I13862, 'IMPORT VHC Report'!$E:$E, 'IMPORT VHC Report'!$A:$C), )</f>
        <v/>
      </c>
      <c r="C13862" s="44"/>
      <c r="D13862" s="44"/>
      <c r="E13862" s="46" t="s">
        <v>9971</v>
      </c>
      <c r="F13862" s="46" t="s">
        <v>6191</v>
      </c>
      <c r="G13862" s="46">
        <v>1.0548589296399E13</v>
      </c>
      <c r="H13862" s="46" t="s">
        <v>6192</v>
      </c>
      <c r="I13862" s="46" t="s">
        <v>6193</v>
      </c>
      <c r="J13862" s="46" t="s">
        <v>4</v>
      </c>
      <c r="K13862" s="46" t="s">
        <v>126</v>
      </c>
      <c r="L13862" s="45">
        <v>46015.48125</v>
      </c>
      <c r="M13862" s="46" t="s">
        <v>123</v>
      </c>
      <c r="N13862" s="45">
        <v>46015.49166666667</v>
      </c>
      <c r="O13862" s="46" t="s">
        <v>123</v>
      </c>
      <c r="P13862" s="46">
        <v>900.0</v>
      </c>
      <c r="S13862" s="46" t="s">
        <v>9972</v>
      </c>
    </row>
    <row r="13863">
      <c r="A13863" s="40">
        <f t="shared" si="1"/>
        <v>46013</v>
      </c>
      <c r="B13863" s="37" t="str">
        <f t="array" ref="B13863">iferror(xlookup($I13863, 'IMPORT VHC Report'!$E:$E, 'IMPORT VHC Report'!$A:$C), )</f>
        <v/>
      </c>
      <c r="C13863" s="44"/>
      <c r="D13863" s="44"/>
      <c r="E13863" s="46" t="s">
        <v>9973</v>
      </c>
      <c r="F13863" s="46" t="s">
        <v>6191</v>
      </c>
      <c r="G13863" s="46">
        <v>1.0548589296399E13</v>
      </c>
      <c r="H13863" s="46" t="s">
        <v>6192</v>
      </c>
      <c r="I13863" s="46" t="s">
        <v>6193</v>
      </c>
      <c r="J13863" s="46" t="s">
        <v>125</v>
      </c>
      <c r="K13863" s="46" t="s">
        <v>126</v>
      </c>
      <c r="L13863" s="45">
        <v>46015.520833333336</v>
      </c>
      <c r="M13863" s="46" t="s">
        <v>123</v>
      </c>
      <c r="N13863" s="45">
        <v>46015.541666666664</v>
      </c>
      <c r="O13863" s="46" t="s">
        <v>123</v>
      </c>
      <c r="P13863" s="46">
        <v>1800.0</v>
      </c>
    </row>
    <row r="13864">
      <c r="A13864" s="40">
        <f t="shared" si="1"/>
        <v>46013</v>
      </c>
      <c r="B13864" s="37" t="str">
        <f t="array" ref="B13864">iferror(xlookup($I13864, 'IMPORT VHC Report'!$E:$E, 'IMPORT VHC Report'!$A:$C), )</f>
        <v/>
      </c>
      <c r="C13864" s="44"/>
      <c r="D13864" s="44"/>
      <c r="E13864" s="46" t="s">
        <v>9974</v>
      </c>
      <c r="F13864" s="46" t="s">
        <v>6191</v>
      </c>
      <c r="G13864" s="46">
        <v>1.0548589296399E13</v>
      </c>
      <c r="H13864" s="46" t="s">
        <v>6192</v>
      </c>
      <c r="I13864" s="46" t="s">
        <v>6193</v>
      </c>
      <c r="J13864" s="46" t="s">
        <v>224</v>
      </c>
      <c r="K13864" s="46" t="s">
        <v>63</v>
      </c>
      <c r="L13864" s="45">
        <v>46016.166666666664</v>
      </c>
      <c r="M13864" s="46" t="s">
        <v>123</v>
      </c>
      <c r="N13864" s="45">
        <v>46016.541666666664</v>
      </c>
      <c r="O13864" s="46" t="s">
        <v>123</v>
      </c>
      <c r="P13864" s="46">
        <v>32400.0</v>
      </c>
    </row>
    <row r="13865">
      <c r="A13865" s="40">
        <f t="shared" si="1"/>
        <v>46013</v>
      </c>
      <c r="B13865" s="37" t="str">
        <f t="array" ref="B13865">iferror(xlookup($I13865, 'IMPORT VHC Report'!$E:$E, 'IMPORT VHC Report'!$A:$C), )</f>
        <v/>
      </c>
      <c r="C13865" s="44"/>
      <c r="D13865" s="44"/>
      <c r="E13865" s="46" t="s">
        <v>9975</v>
      </c>
      <c r="F13865" s="46" t="s">
        <v>6191</v>
      </c>
      <c r="G13865" s="46">
        <v>1.0548589296399E13</v>
      </c>
      <c r="H13865" s="46" t="s">
        <v>6192</v>
      </c>
      <c r="I13865" s="46" t="s">
        <v>6193</v>
      </c>
      <c r="J13865" s="46" t="s">
        <v>132</v>
      </c>
      <c r="K13865" s="46" t="s">
        <v>126</v>
      </c>
      <c r="L13865" s="45">
        <v>46016.28125</v>
      </c>
      <c r="M13865" s="46" t="s">
        <v>123</v>
      </c>
      <c r="N13865" s="45">
        <v>46016.322916666664</v>
      </c>
      <c r="O13865" s="46" t="s">
        <v>123</v>
      </c>
      <c r="P13865" s="46">
        <v>3600.0</v>
      </c>
    </row>
    <row r="13866">
      <c r="A13866" s="40">
        <f t="shared" si="1"/>
        <v>46013</v>
      </c>
      <c r="B13866" s="37" t="str">
        <f t="array" ref="B13866">iferror(xlookup($I13866, 'IMPORT VHC Report'!$E:$E, 'IMPORT VHC Report'!$A:$C), )</f>
        <v/>
      </c>
      <c r="C13866" s="44"/>
      <c r="D13866" s="44"/>
      <c r="E13866" s="46" t="s">
        <v>9976</v>
      </c>
      <c r="F13866" s="46" t="s">
        <v>6191</v>
      </c>
      <c r="G13866" s="46">
        <v>1.0548589296399E13</v>
      </c>
      <c r="H13866" s="46" t="s">
        <v>6192</v>
      </c>
      <c r="I13866" s="46" t="s">
        <v>6193</v>
      </c>
      <c r="J13866" s="46" t="s">
        <v>134</v>
      </c>
      <c r="K13866" s="46" t="s">
        <v>126</v>
      </c>
      <c r="L13866" s="45">
        <v>46016.385416666664</v>
      </c>
      <c r="M13866" s="46" t="s">
        <v>123</v>
      </c>
      <c r="N13866" s="45">
        <v>46016.395833333336</v>
      </c>
      <c r="O13866" s="46" t="s">
        <v>123</v>
      </c>
      <c r="P13866" s="46">
        <v>900.0</v>
      </c>
    </row>
    <row r="13867">
      <c r="A13867" s="40">
        <f t="shared" si="1"/>
        <v>46013</v>
      </c>
      <c r="B13867" s="37" t="str">
        <f t="array" ref="B13867">iferror(xlookup($I13867, 'IMPORT VHC Report'!$E:$E, 'IMPORT VHC Report'!$A:$C), )</f>
        <v/>
      </c>
      <c r="C13867" s="44"/>
      <c r="D13867" s="44"/>
      <c r="E13867" s="46" t="s">
        <v>9977</v>
      </c>
      <c r="F13867" s="46" t="s">
        <v>6191</v>
      </c>
      <c r="G13867" s="46">
        <v>1.0548589296399E13</v>
      </c>
      <c r="H13867" s="46" t="s">
        <v>6192</v>
      </c>
      <c r="I13867" s="46" t="s">
        <v>6193</v>
      </c>
      <c r="J13867" s="46" t="s">
        <v>4</v>
      </c>
      <c r="K13867" s="46" t="s">
        <v>126</v>
      </c>
      <c r="L13867" s="45">
        <v>46016.427083333336</v>
      </c>
      <c r="M13867" s="46" t="s">
        <v>123</v>
      </c>
      <c r="N13867" s="45">
        <v>46016.46875</v>
      </c>
      <c r="O13867" s="46" t="s">
        <v>123</v>
      </c>
      <c r="P13867" s="46">
        <v>3600.0</v>
      </c>
      <c r="S13867" s="46" t="s">
        <v>9978</v>
      </c>
    </row>
    <row r="13868">
      <c r="A13868" s="40">
        <f t="shared" si="1"/>
        <v>46013</v>
      </c>
      <c r="B13868" s="37" t="str">
        <f t="array" ref="B13868">iferror(xlookup($I13868, 'IMPORT VHC Report'!$E:$E, 'IMPORT VHC Report'!$A:$C), )</f>
        <v/>
      </c>
      <c r="C13868" s="44"/>
      <c r="D13868" s="44"/>
      <c r="E13868" s="46" t="s">
        <v>9979</v>
      </c>
      <c r="F13868" s="46" t="s">
        <v>6191</v>
      </c>
      <c r="G13868" s="46">
        <v>1.0548589296399E13</v>
      </c>
      <c r="H13868" s="46" t="s">
        <v>6192</v>
      </c>
      <c r="I13868" s="46" t="s">
        <v>6193</v>
      </c>
      <c r="J13868" s="46" t="s">
        <v>134</v>
      </c>
      <c r="K13868" s="46" t="s">
        <v>126</v>
      </c>
      <c r="L13868" s="45">
        <v>46016.46875</v>
      </c>
      <c r="M13868" s="46" t="s">
        <v>123</v>
      </c>
      <c r="N13868" s="45">
        <v>46016.479166666664</v>
      </c>
      <c r="O13868" s="46" t="s">
        <v>123</v>
      </c>
      <c r="P13868" s="46">
        <v>900.0</v>
      </c>
    </row>
    <row r="13869">
      <c r="A13869" s="40">
        <f t="shared" si="1"/>
        <v>46013</v>
      </c>
      <c r="B13869" s="37" t="str">
        <f t="array" ref="B13869">iferror(xlookup($I13869, 'IMPORT VHC Report'!$E:$E, 'IMPORT VHC Report'!$A:$C), )</f>
        <v/>
      </c>
      <c r="C13869" s="44"/>
      <c r="D13869" s="44"/>
      <c r="E13869" s="46" t="s">
        <v>9980</v>
      </c>
      <c r="F13869" s="46" t="s">
        <v>6191</v>
      </c>
      <c r="G13869" s="46">
        <v>1.0548589296399E13</v>
      </c>
      <c r="H13869" s="46" t="s">
        <v>6192</v>
      </c>
      <c r="I13869" s="46" t="s">
        <v>6193</v>
      </c>
      <c r="J13869" s="46" t="s">
        <v>224</v>
      </c>
      <c r="K13869" s="46" t="s">
        <v>63</v>
      </c>
      <c r="L13869" s="45">
        <v>46017.166666666664</v>
      </c>
      <c r="M13869" s="46" t="s">
        <v>123</v>
      </c>
      <c r="N13869" s="45">
        <v>46017.322916666664</v>
      </c>
      <c r="O13869" s="46" t="s">
        <v>123</v>
      </c>
      <c r="P13869" s="46">
        <v>13500.0</v>
      </c>
    </row>
    <row r="13870">
      <c r="A13870" s="40">
        <f t="shared" si="1"/>
        <v>46013</v>
      </c>
      <c r="B13870" s="37" t="str">
        <f t="array" ref="B13870">iferror(xlookup($I13870, 'IMPORT VHC Report'!$E:$E, 'IMPORT VHC Report'!$A:$C), )</f>
        <v/>
      </c>
      <c r="C13870" s="44"/>
      <c r="D13870" s="44"/>
      <c r="E13870" s="46" t="s">
        <v>9981</v>
      </c>
      <c r="F13870" s="46" t="s">
        <v>6191</v>
      </c>
      <c r="G13870" s="46">
        <v>1.0548589296399E13</v>
      </c>
      <c r="H13870" s="46" t="s">
        <v>6192</v>
      </c>
      <c r="I13870" s="46" t="s">
        <v>6193</v>
      </c>
      <c r="J13870" s="46" t="s">
        <v>132</v>
      </c>
      <c r="K13870" s="46" t="s">
        <v>126</v>
      </c>
      <c r="L13870" s="45">
        <v>46017.25</v>
      </c>
      <c r="M13870" s="46" t="s">
        <v>123</v>
      </c>
      <c r="N13870" s="45">
        <v>46017.291666666664</v>
      </c>
      <c r="O13870" s="46" t="s">
        <v>123</v>
      </c>
      <c r="P13870" s="46">
        <v>3600.0</v>
      </c>
    </row>
    <row r="13871">
      <c r="A13871" s="40">
        <f t="shared" si="1"/>
        <v>46013</v>
      </c>
      <c r="B13871" s="37" t="str">
        <f t="array" ref="B13871">iferror(xlookup($I13871, 'IMPORT VHC Report'!$E:$E, 'IMPORT VHC Report'!$A:$C), )</f>
        <v/>
      </c>
      <c r="C13871" s="44"/>
      <c r="D13871" s="44"/>
      <c r="E13871" s="46" t="s">
        <v>9982</v>
      </c>
      <c r="F13871" s="46" t="s">
        <v>6191</v>
      </c>
      <c r="G13871" s="46">
        <v>1.0548589296399E13</v>
      </c>
      <c r="H13871" s="46" t="s">
        <v>6192</v>
      </c>
      <c r="I13871" s="46" t="s">
        <v>6193</v>
      </c>
      <c r="J13871" s="46" t="s">
        <v>62</v>
      </c>
      <c r="K13871" s="46" t="s">
        <v>63</v>
      </c>
      <c r="L13871" s="45">
        <v>46017.322916666664</v>
      </c>
      <c r="M13871" s="46" t="s">
        <v>123</v>
      </c>
      <c r="N13871" s="45">
        <v>46017.34375</v>
      </c>
      <c r="O13871" s="46" t="s">
        <v>123</v>
      </c>
      <c r="P13871" s="46">
        <v>1800.0</v>
      </c>
    </row>
    <row r="13872">
      <c r="A13872" s="40">
        <f t="shared" si="1"/>
        <v>46013</v>
      </c>
      <c r="B13872" s="37" t="str">
        <f t="array" ref="B13872">iferror(xlookup($I13872, 'IMPORT VHC Report'!$E:$E, 'IMPORT VHC Report'!$A:$C), )</f>
        <v/>
      </c>
      <c r="C13872" s="44"/>
      <c r="D13872" s="44"/>
      <c r="E13872" s="46" t="s">
        <v>9983</v>
      </c>
      <c r="F13872" s="46" t="s">
        <v>6191</v>
      </c>
      <c r="G13872" s="46">
        <v>1.0548589296399E13</v>
      </c>
      <c r="H13872" s="46" t="s">
        <v>6192</v>
      </c>
      <c r="I13872" s="46" t="s">
        <v>6193</v>
      </c>
      <c r="J13872" s="46" t="s">
        <v>224</v>
      </c>
      <c r="K13872" s="46" t="s">
        <v>63</v>
      </c>
      <c r="L13872" s="45">
        <v>46017.34375</v>
      </c>
      <c r="M13872" s="46" t="s">
        <v>123</v>
      </c>
      <c r="N13872" s="45">
        <v>46017.541666666664</v>
      </c>
      <c r="O13872" s="46" t="s">
        <v>123</v>
      </c>
      <c r="P13872" s="46">
        <v>17100.0</v>
      </c>
    </row>
    <row r="13873">
      <c r="A13873" s="40">
        <f t="shared" si="1"/>
        <v>46013</v>
      </c>
      <c r="B13873" s="37" t="str">
        <f t="array" ref="B13873">iferror(xlookup($I13873, 'IMPORT VHC Report'!$E:$E, 'IMPORT VHC Report'!$A:$C), )</f>
        <v/>
      </c>
      <c r="C13873" s="44"/>
      <c r="D13873" s="44"/>
      <c r="E13873" s="46" t="s">
        <v>9984</v>
      </c>
      <c r="F13873" s="46" t="s">
        <v>6191</v>
      </c>
      <c r="G13873" s="46">
        <v>1.0548589296399E13</v>
      </c>
      <c r="H13873" s="46" t="s">
        <v>6192</v>
      </c>
      <c r="I13873" s="46" t="s">
        <v>6193</v>
      </c>
      <c r="J13873" s="46" t="s">
        <v>134</v>
      </c>
      <c r="K13873" s="46" t="s">
        <v>126</v>
      </c>
      <c r="L13873" s="45">
        <v>46017.364583333336</v>
      </c>
      <c r="M13873" s="46" t="s">
        <v>123</v>
      </c>
      <c r="N13873" s="45">
        <v>46017.375</v>
      </c>
      <c r="O13873" s="46" t="s">
        <v>123</v>
      </c>
      <c r="P13873" s="46">
        <v>900.0</v>
      </c>
    </row>
    <row r="13874">
      <c r="A13874" s="40">
        <f t="shared" si="1"/>
        <v>46013</v>
      </c>
      <c r="B13874" s="37" t="str">
        <f t="array" ref="B13874">iferror(xlookup($I13874, 'IMPORT VHC Report'!$E:$E, 'IMPORT VHC Report'!$A:$C), )</f>
        <v/>
      </c>
      <c r="C13874" s="44"/>
      <c r="D13874" s="44"/>
      <c r="E13874" s="46" t="s">
        <v>9985</v>
      </c>
      <c r="F13874" s="46" t="s">
        <v>6191</v>
      </c>
      <c r="G13874" s="46">
        <v>1.0548589296399E13</v>
      </c>
      <c r="H13874" s="46" t="s">
        <v>6192</v>
      </c>
      <c r="I13874" s="46" t="s">
        <v>6193</v>
      </c>
      <c r="J13874" s="46" t="s">
        <v>152</v>
      </c>
      <c r="K13874" s="46" t="s">
        <v>153</v>
      </c>
      <c r="L13874" s="45">
        <v>46017.375</v>
      </c>
      <c r="M13874" s="46" t="s">
        <v>123</v>
      </c>
      <c r="N13874" s="45">
        <v>46017.541666666664</v>
      </c>
      <c r="O13874" s="46" t="s">
        <v>123</v>
      </c>
      <c r="P13874" s="46">
        <v>14400.0</v>
      </c>
      <c r="Q13874" s="46">
        <v>14400.0</v>
      </c>
    </row>
    <row r="13875">
      <c r="A13875" s="40">
        <f t="shared" si="1"/>
        <v>46013</v>
      </c>
      <c r="B13875" s="37" t="str">
        <f t="array" ref="B13875">iferror(xlookup($I13875, 'IMPORT VHC Report'!$E:$E, 'IMPORT VHC Report'!$A:$C), )</f>
        <v/>
      </c>
      <c r="C13875" s="44"/>
      <c r="D13875" s="44"/>
      <c r="E13875" s="46" t="s">
        <v>9986</v>
      </c>
      <c r="F13875" s="46" t="s">
        <v>6191</v>
      </c>
      <c r="G13875" s="46">
        <v>1.0548589296399E13</v>
      </c>
      <c r="H13875" s="46" t="s">
        <v>6192</v>
      </c>
      <c r="I13875" s="46" t="s">
        <v>6193</v>
      </c>
      <c r="J13875" s="46" t="s">
        <v>134</v>
      </c>
      <c r="K13875" s="46" t="s">
        <v>126</v>
      </c>
      <c r="L13875" s="45">
        <v>46017.46875</v>
      </c>
      <c r="M13875" s="46" t="s">
        <v>123</v>
      </c>
      <c r="N13875" s="45">
        <v>46017.479166666664</v>
      </c>
      <c r="O13875" s="46" t="s">
        <v>123</v>
      </c>
      <c r="P13875" s="46">
        <v>900.0</v>
      </c>
    </row>
    <row r="13876">
      <c r="A13876" s="40">
        <f t="shared" si="1"/>
        <v>46013</v>
      </c>
      <c r="B13876" s="37" t="str">
        <f t="array" ref="B13876">iferror(xlookup($I13876, 'IMPORT VHC Report'!$E:$E, 'IMPORT VHC Report'!$A:$C), )</f>
        <v/>
      </c>
      <c r="C13876" s="44"/>
      <c r="D13876" s="44"/>
      <c r="E13876" s="46" t="s">
        <v>9987</v>
      </c>
      <c r="F13876" s="46" t="s">
        <v>6191</v>
      </c>
      <c r="G13876" s="46">
        <v>1.0548589296399E13</v>
      </c>
      <c r="H13876" s="46" t="s">
        <v>6192</v>
      </c>
      <c r="I13876" s="46" t="s">
        <v>6193</v>
      </c>
      <c r="J13876" s="46" t="s">
        <v>224</v>
      </c>
      <c r="K13876" s="46" t="s">
        <v>63</v>
      </c>
      <c r="L13876" s="45">
        <v>46018.166666666664</v>
      </c>
      <c r="M13876" s="46" t="s">
        <v>123</v>
      </c>
      <c r="N13876" s="45">
        <v>46018.541666666664</v>
      </c>
      <c r="O13876" s="46" t="s">
        <v>123</v>
      </c>
      <c r="P13876" s="46">
        <v>32400.0</v>
      </c>
    </row>
    <row r="13877">
      <c r="A13877" s="40">
        <f t="shared" si="1"/>
        <v>46013</v>
      </c>
      <c r="B13877" s="37" t="str">
        <f t="array" ref="B13877">iferror(xlookup($I13877, 'IMPORT VHC Report'!$E:$E, 'IMPORT VHC Report'!$A:$C), )</f>
        <v/>
      </c>
      <c r="C13877" s="44"/>
      <c r="D13877" s="44"/>
      <c r="E13877" s="46" t="s">
        <v>9988</v>
      </c>
      <c r="F13877" s="46" t="s">
        <v>6191</v>
      </c>
      <c r="G13877" s="46">
        <v>1.0548589296399E13</v>
      </c>
      <c r="H13877" s="46" t="s">
        <v>6192</v>
      </c>
      <c r="I13877" s="46" t="s">
        <v>6193</v>
      </c>
      <c r="J13877" s="46" t="s">
        <v>134</v>
      </c>
      <c r="K13877" s="46" t="s">
        <v>126</v>
      </c>
      <c r="L13877" s="45">
        <v>46018.260416666664</v>
      </c>
      <c r="M13877" s="46" t="s">
        <v>123</v>
      </c>
      <c r="N13877" s="45">
        <v>46018.270833333336</v>
      </c>
      <c r="O13877" s="46" t="s">
        <v>123</v>
      </c>
      <c r="P13877" s="46">
        <v>900.0</v>
      </c>
    </row>
    <row r="13878">
      <c r="A13878" s="40">
        <f t="shared" si="1"/>
        <v>46013</v>
      </c>
      <c r="B13878" s="37" t="str">
        <f t="array" ref="B13878">iferror(xlookup($I13878, 'IMPORT VHC Report'!$E:$E, 'IMPORT VHC Report'!$A:$C), )</f>
        <v/>
      </c>
      <c r="C13878" s="44"/>
      <c r="D13878" s="44"/>
      <c r="E13878" s="46" t="s">
        <v>9989</v>
      </c>
      <c r="F13878" s="46" t="s">
        <v>6191</v>
      </c>
      <c r="G13878" s="46">
        <v>1.0548589296399E13</v>
      </c>
      <c r="H13878" s="46" t="s">
        <v>6192</v>
      </c>
      <c r="I13878" s="46" t="s">
        <v>6193</v>
      </c>
      <c r="J13878" s="46" t="s">
        <v>134</v>
      </c>
      <c r="K13878" s="46" t="s">
        <v>126</v>
      </c>
      <c r="L13878" s="45">
        <v>46018.364583333336</v>
      </c>
      <c r="M13878" s="46" t="s">
        <v>123</v>
      </c>
      <c r="N13878" s="45">
        <v>46018.375</v>
      </c>
      <c r="O13878" s="46" t="s">
        <v>123</v>
      </c>
      <c r="P13878" s="46">
        <v>900.0</v>
      </c>
    </row>
    <row r="13879">
      <c r="A13879" s="40">
        <f t="shared" si="1"/>
        <v>46013</v>
      </c>
      <c r="B13879" s="37" t="str">
        <f t="array" ref="B13879">iferror(xlookup($I13879, 'IMPORT VHC Report'!$E:$E, 'IMPORT VHC Report'!$A:$C), )</f>
        <v/>
      </c>
      <c r="C13879" s="44"/>
      <c r="D13879" s="44"/>
      <c r="E13879" s="46" t="s">
        <v>9990</v>
      </c>
      <c r="F13879" s="46" t="s">
        <v>6191</v>
      </c>
      <c r="G13879" s="46">
        <v>1.0548589296399E13</v>
      </c>
      <c r="H13879" s="46" t="s">
        <v>6192</v>
      </c>
      <c r="I13879" s="46" t="s">
        <v>6193</v>
      </c>
      <c r="J13879" s="46" t="s">
        <v>132</v>
      </c>
      <c r="K13879" s="46" t="s">
        <v>126</v>
      </c>
      <c r="L13879" s="45">
        <v>46018.4375</v>
      </c>
      <c r="M13879" s="46" t="s">
        <v>123</v>
      </c>
      <c r="N13879" s="45">
        <v>46018.479166666664</v>
      </c>
      <c r="O13879" s="46" t="s">
        <v>123</v>
      </c>
      <c r="P13879" s="46">
        <v>3600.0</v>
      </c>
    </row>
    <row r="13880">
      <c r="A13880" s="40">
        <f t="shared" si="1"/>
        <v>46013</v>
      </c>
      <c r="B13880" s="37" t="str">
        <f t="array" ref="B13880">iferror(xlookup($I13880, 'IMPORT VHC Report'!$E:$E, 'IMPORT VHC Report'!$A:$C), )</f>
        <v/>
      </c>
      <c r="C13880" s="44"/>
      <c r="D13880" s="44"/>
      <c r="E13880" s="46" t="s">
        <v>9991</v>
      </c>
      <c r="F13880" s="46" t="s">
        <v>6229</v>
      </c>
      <c r="G13880" s="46">
        <v>9.107766464399E12</v>
      </c>
      <c r="H13880" s="46" t="s">
        <v>6230</v>
      </c>
      <c r="I13880" s="46" t="s">
        <v>6231</v>
      </c>
      <c r="J13880" s="46" t="s">
        <v>330</v>
      </c>
      <c r="K13880" s="46" t="s">
        <v>126</v>
      </c>
      <c r="L13880" s="45">
        <v>46014.166666666664</v>
      </c>
      <c r="M13880" s="46" t="s">
        <v>123</v>
      </c>
      <c r="N13880" s="45">
        <v>46014.177083333336</v>
      </c>
      <c r="O13880" s="46" t="s">
        <v>123</v>
      </c>
      <c r="P13880" s="46">
        <v>900.0</v>
      </c>
    </row>
    <row r="13881">
      <c r="A13881" s="40">
        <f t="shared" si="1"/>
        <v>46013</v>
      </c>
      <c r="B13881" s="37" t="str">
        <f t="array" ref="B13881">iferror(xlookup($I13881, 'IMPORT VHC Report'!$E:$E, 'IMPORT VHC Report'!$A:$C), )</f>
        <v/>
      </c>
      <c r="C13881" s="44"/>
      <c r="D13881" s="44"/>
      <c r="E13881" s="46" t="s">
        <v>9992</v>
      </c>
      <c r="F13881" s="46" t="s">
        <v>6229</v>
      </c>
      <c r="G13881" s="46">
        <v>9.107766464399E12</v>
      </c>
      <c r="H13881" s="46" t="s">
        <v>6230</v>
      </c>
      <c r="I13881" s="46" t="s">
        <v>6231</v>
      </c>
      <c r="J13881" s="46" t="s">
        <v>224</v>
      </c>
      <c r="K13881" s="46" t="s">
        <v>63</v>
      </c>
      <c r="L13881" s="45">
        <v>46014.166666666664</v>
      </c>
      <c r="M13881" s="46" t="s">
        <v>123</v>
      </c>
      <c r="N13881" s="45">
        <v>46014.541666666664</v>
      </c>
      <c r="O13881" s="46" t="s">
        <v>123</v>
      </c>
      <c r="P13881" s="46">
        <v>32400.0</v>
      </c>
    </row>
    <row r="13882">
      <c r="A13882" s="40">
        <f t="shared" si="1"/>
        <v>46013</v>
      </c>
      <c r="B13882" s="37" t="str">
        <f t="array" ref="B13882">iferror(xlookup($I13882, 'IMPORT VHC Report'!$E:$E, 'IMPORT VHC Report'!$A:$C), )</f>
        <v/>
      </c>
      <c r="C13882" s="44"/>
      <c r="D13882" s="44"/>
      <c r="E13882" s="46" t="s">
        <v>9993</v>
      </c>
      <c r="F13882" s="46" t="s">
        <v>6229</v>
      </c>
      <c r="G13882" s="46">
        <v>9.107766464399E12</v>
      </c>
      <c r="H13882" s="46" t="s">
        <v>6230</v>
      </c>
      <c r="I13882" s="46" t="s">
        <v>6231</v>
      </c>
      <c r="J13882" s="46" t="s">
        <v>136</v>
      </c>
      <c r="K13882" s="46" t="s">
        <v>126</v>
      </c>
      <c r="L13882" s="45">
        <v>46014.270833333336</v>
      </c>
      <c r="M13882" s="46" t="s">
        <v>123</v>
      </c>
      <c r="N13882" s="45">
        <v>46014.291666666664</v>
      </c>
      <c r="O13882" s="46" t="s">
        <v>123</v>
      </c>
      <c r="P13882" s="46">
        <v>1800.0</v>
      </c>
      <c r="S13882" s="46" t="s">
        <v>137</v>
      </c>
    </row>
    <row r="13883">
      <c r="A13883" s="40">
        <f t="shared" si="1"/>
        <v>46013</v>
      </c>
      <c r="B13883" s="37" t="str">
        <f t="array" ref="B13883">iferror(xlookup($I13883, 'IMPORT VHC Report'!$E:$E, 'IMPORT VHC Report'!$A:$C), )</f>
        <v/>
      </c>
      <c r="C13883" s="44"/>
      <c r="D13883" s="44"/>
      <c r="E13883" s="46" t="s">
        <v>9994</v>
      </c>
      <c r="F13883" s="46" t="s">
        <v>6229</v>
      </c>
      <c r="G13883" s="46">
        <v>9.107766464399E12</v>
      </c>
      <c r="H13883" s="46" t="s">
        <v>6230</v>
      </c>
      <c r="I13883" s="46" t="s">
        <v>6231</v>
      </c>
      <c r="J13883" s="46" t="s">
        <v>134</v>
      </c>
      <c r="K13883" s="46" t="s">
        <v>126</v>
      </c>
      <c r="L13883" s="45">
        <v>46014.3125</v>
      </c>
      <c r="M13883" s="46" t="s">
        <v>123</v>
      </c>
      <c r="N13883" s="45">
        <v>46014.322916666664</v>
      </c>
      <c r="O13883" s="46" t="s">
        <v>123</v>
      </c>
      <c r="P13883" s="46">
        <v>900.0</v>
      </c>
    </row>
    <row r="13884">
      <c r="A13884" s="40">
        <f t="shared" si="1"/>
        <v>46013</v>
      </c>
      <c r="B13884" s="37" t="str">
        <f t="array" ref="B13884">iferror(xlookup($I13884, 'IMPORT VHC Report'!$E:$E, 'IMPORT VHC Report'!$A:$C), )</f>
        <v/>
      </c>
      <c r="C13884" s="44"/>
      <c r="D13884" s="44"/>
      <c r="E13884" s="46" t="s">
        <v>9995</v>
      </c>
      <c r="F13884" s="46" t="s">
        <v>6229</v>
      </c>
      <c r="G13884" s="46">
        <v>9.107766464399E12</v>
      </c>
      <c r="H13884" s="46" t="s">
        <v>6230</v>
      </c>
      <c r="I13884" s="46" t="s">
        <v>6231</v>
      </c>
      <c r="J13884" s="46" t="s">
        <v>132</v>
      </c>
      <c r="K13884" s="46" t="s">
        <v>126</v>
      </c>
      <c r="L13884" s="45">
        <v>46014.322916666664</v>
      </c>
      <c r="M13884" s="46" t="s">
        <v>123</v>
      </c>
      <c r="N13884" s="45">
        <v>46014.364583333336</v>
      </c>
      <c r="O13884" s="46" t="s">
        <v>123</v>
      </c>
      <c r="P13884" s="46">
        <v>3600.0</v>
      </c>
    </row>
    <row r="13885">
      <c r="A13885" s="40">
        <f t="shared" si="1"/>
        <v>46013</v>
      </c>
      <c r="B13885" s="37" t="str">
        <f t="array" ref="B13885">iferror(xlookup($I13885, 'IMPORT VHC Report'!$E:$E, 'IMPORT VHC Report'!$A:$C), )</f>
        <v/>
      </c>
      <c r="C13885" s="44"/>
      <c r="D13885" s="44"/>
      <c r="E13885" s="46" t="s">
        <v>9996</v>
      </c>
      <c r="F13885" s="46" t="s">
        <v>6229</v>
      </c>
      <c r="G13885" s="46">
        <v>9.107766464399E12</v>
      </c>
      <c r="H13885" s="46" t="s">
        <v>6230</v>
      </c>
      <c r="I13885" s="46" t="s">
        <v>6231</v>
      </c>
      <c r="J13885" s="46" t="s">
        <v>134</v>
      </c>
      <c r="K13885" s="46" t="s">
        <v>126</v>
      </c>
      <c r="L13885" s="45">
        <v>46014.364583333336</v>
      </c>
      <c r="M13885" s="46" t="s">
        <v>123</v>
      </c>
      <c r="N13885" s="45">
        <v>46014.375</v>
      </c>
      <c r="O13885" s="46" t="s">
        <v>123</v>
      </c>
      <c r="P13885" s="46">
        <v>900.0</v>
      </c>
    </row>
    <row r="13886">
      <c r="A13886" s="40">
        <f t="shared" si="1"/>
        <v>46013</v>
      </c>
      <c r="B13886" s="37" t="str">
        <f t="array" ref="B13886">iferror(xlookup($I13886, 'IMPORT VHC Report'!$E:$E, 'IMPORT VHC Report'!$A:$C), )</f>
        <v/>
      </c>
      <c r="C13886" s="44"/>
      <c r="D13886" s="44"/>
      <c r="E13886" s="46" t="s">
        <v>9997</v>
      </c>
      <c r="F13886" s="46" t="s">
        <v>6229</v>
      </c>
      <c r="G13886" s="46">
        <v>9.107766464399E12</v>
      </c>
      <c r="H13886" s="46" t="s">
        <v>6230</v>
      </c>
      <c r="I13886" s="46" t="s">
        <v>6231</v>
      </c>
      <c r="J13886" s="46" t="s">
        <v>224</v>
      </c>
      <c r="K13886" s="46" t="s">
        <v>63</v>
      </c>
      <c r="L13886" s="45">
        <v>46015.166666666664</v>
      </c>
      <c r="M13886" s="46" t="s">
        <v>123</v>
      </c>
      <c r="N13886" s="45">
        <v>46015.541666666664</v>
      </c>
      <c r="O13886" s="46" t="s">
        <v>123</v>
      </c>
      <c r="P13886" s="46">
        <v>32400.0</v>
      </c>
    </row>
    <row r="13887">
      <c r="A13887" s="40">
        <f t="shared" si="1"/>
        <v>46013</v>
      </c>
      <c r="B13887" s="37" t="str">
        <f t="array" ref="B13887">iferror(xlookup($I13887, 'IMPORT VHC Report'!$E:$E, 'IMPORT VHC Report'!$A:$C), )</f>
        <v/>
      </c>
      <c r="C13887" s="44"/>
      <c r="D13887" s="44"/>
      <c r="E13887" s="46" t="s">
        <v>9998</v>
      </c>
      <c r="F13887" s="46" t="s">
        <v>6229</v>
      </c>
      <c r="G13887" s="46">
        <v>9.107766464399E12</v>
      </c>
      <c r="H13887" s="46" t="s">
        <v>6230</v>
      </c>
      <c r="I13887" s="46" t="s">
        <v>6231</v>
      </c>
      <c r="J13887" s="46" t="s">
        <v>134</v>
      </c>
      <c r="K13887" s="46" t="s">
        <v>126</v>
      </c>
      <c r="L13887" s="45">
        <v>46015.479166666664</v>
      </c>
      <c r="M13887" s="46" t="s">
        <v>123</v>
      </c>
      <c r="N13887" s="45">
        <v>46015.5</v>
      </c>
      <c r="O13887" s="46" t="s">
        <v>123</v>
      </c>
      <c r="P13887" s="46">
        <v>1800.0</v>
      </c>
    </row>
    <row r="13888">
      <c r="A13888" s="40">
        <f t="shared" si="1"/>
        <v>46013</v>
      </c>
      <c r="B13888" s="37" t="str">
        <f t="array" ref="B13888">iferror(xlookup($I13888, 'IMPORT VHC Report'!$E:$E, 'IMPORT VHC Report'!$A:$C), )</f>
        <v/>
      </c>
      <c r="C13888" s="44"/>
      <c r="D13888" s="44"/>
      <c r="E13888" s="46" t="s">
        <v>9999</v>
      </c>
      <c r="F13888" s="46" t="s">
        <v>6229</v>
      </c>
      <c r="G13888" s="46">
        <v>9.107766464399E12</v>
      </c>
      <c r="H13888" s="46" t="s">
        <v>6230</v>
      </c>
      <c r="I13888" s="46" t="s">
        <v>6231</v>
      </c>
      <c r="J13888" s="46" t="s">
        <v>132</v>
      </c>
      <c r="K13888" s="46" t="s">
        <v>126</v>
      </c>
      <c r="L13888" s="45">
        <v>46015.5</v>
      </c>
      <c r="M13888" s="46" t="s">
        <v>123</v>
      </c>
      <c r="N13888" s="45">
        <v>46015.541666666664</v>
      </c>
      <c r="O13888" s="46" t="s">
        <v>123</v>
      </c>
      <c r="P13888" s="46">
        <v>3600.0</v>
      </c>
    </row>
    <row r="13889">
      <c r="A13889" s="40">
        <f t="shared" si="1"/>
        <v>46013</v>
      </c>
      <c r="B13889" s="37" t="str">
        <f t="array" ref="B13889">iferror(xlookup($I13889, 'IMPORT VHC Report'!$E:$E, 'IMPORT VHC Report'!$A:$C), )</f>
        <v/>
      </c>
      <c r="C13889" s="44"/>
      <c r="D13889" s="44"/>
      <c r="E13889" s="46" t="s">
        <v>10000</v>
      </c>
      <c r="F13889" s="46" t="s">
        <v>6229</v>
      </c>
      <c r="G13889" s="46">
        <v>9.107766464399E12</v>
      </c>
      <c r="H13889" s="46" t="s">
        <v>6230</v>
      </c>
      <c r="I13889" s="46" t="s">
        <v>6231</v>
      </c>
      <c r="J13889" s="46" t="s">
        <v>224</v>
      </c>
      <c r="K13889" s="46" t="s">
        <v>63</v>
      </c>
      <c r="L13889" s="45">
        <v>46016.166666666664</v>
      </c>
      <c r="M13889" s="46" t="s">
        <v>123</v>
      </c>
      <c r="N13889" s="45">
        <v>46016.322916666664</v>
      </c>
      <c r="O13889" s="46" t="s">
        <v>123</v>
      </c>
      <c r="P13889" s="46">
        <v>13500.0</v>
      </c>
    </row>
    <row r="13890">
      <c r="A13890" s="40">
        <f t="shared" si="1"/>
        <v>46013</v>
      </c>
      <c r="B13890" s="37" t="str">
        <f t="array" ref="B13890">iferror(xlookup($I13890, 'IMPORT VHC Report'!$E:$E, 'IMPORT VHC Report'!$A:$C), )</f>
        <v/>
      </c>
      <c r="C13890" s="44"/>
      <c r="D13890" s="44"/>
      <c r="E13890" s="46" t="s">
        <v>10001</v>
      </c>
      <c r="F13890" s="46" t="s">
        <v>6229</v>
      </c>
      <c r="G13890" s="46">
        <v>9.107766464399E12</v>
      </c>
      <c r="H13890" s="46" t="s">
        <v>6230</v>
      </c>
      <c r="I13890" s="46" t="s">
        <v>6231</v>
      </c>
      <c r="J13890" s="46" t="s">
        <v>62</v>
      </c>
      <c r="K13890" s="46" t="s">
        <v>63</v>
      </c>
      <c r="L13890" s="45">
        <v>46016.322916666664</v>
      </c>
      <c r="M13890" s="46" t="s">
        <v>123</v>
      </c>
      <c r="N13890" s="45">
        <v>46016.34375</v>
      </c>
      <c r="O13890" s="46" t="s">
        <v>123</v>
      </c>
      <c r="P13890" s="46">
        <v>1800.0</v>
      </c>
    </row>
    <row r="13891">
      <c r="A13891" s="40">
        <f t="shared" si="1"/>
        <v>46013</v>
      </c>
      <c r="B13891" s="37" t="str">
        <f t="array" ref="B13891">iferror(xlookup($I13891, 'IMPORT VHC Report'!$E:$E, 'IMPORT VHC Report'!$A:$C), )</f>
        <v/>
      </c>
      <c r="C13891" s="44"/>
      <c r="D13891" s="44"/>
      <c r="E13891" s="46" t="s">
        <v>10002</v>
      </c>
      <c r="F13891" s="46" t="s">
        <v>6229</v>
      </c>
      <c r="G13891" s="46">
        <v>9.107766464399E12</v>
      </c>
      <c r="H13891" s="46" t="s">
        <v>6230</v>
      </c>
      <c r="I13891" s="46" t="s">
        <v>6231</v>
      </c>
      <c r="J13891" s="46" t="s">
        <v>224</v>
      </c>
      <c r="K13891" s="46" t="s">
        <v>63</v>
      </c>
      <c r="L13891" s="45">
        <v>46016.34375</v>
      </c>
      <c r="M13891" s="46" t="s">
        <v>123</v>
      </c>
      <c r="N13891" s="45">
        <v>46016.541666666664</v>
      </c>
      <c r="O13891" s="46" t="s">
        <v>123</v>
      </c>
      <c r="P13891" s="46">
        <v>17100.0</v>
      </c>
    </row>
    <row r="13892">
      <c r="A13892" s="40">
        <f t="shared" si="1"/>
        <v>46013</v>
      </c>
      <c r="B13892" s="37" t="str">
        <f t="array" ref="B13892">iferror(xlookup($I13892, 'IMPORT VHC Report'!$E:$E, 'IMPORT VHC Report'!$A:$C), )</f>
        <v/>
      </c>
      <c r="C13892" s="44"/>
      <c r="D13892" s="44"/>
      <c r="E13892" s="46" t="s">
        <v>10003</v>
      </c>
      <c r="F13892" s="46" t="s">
        <v>6229</v>
      </c>
      <c r="G13892" s="46">
        <v>9.107766464399E12</v>
      </c>
      <c r="H13892" s="46" t="s">
        <v>6230</v>
      </c>
      <c r="I13892" s="46" t="s">
        <v>6231</v>
      </c>
      <c r="J13892" s="46" t="s">
        <v>4</v>
      </c>
      <c r="K13892" s="46" t="s">
        <v>126</v>
      </c>
      <c r="L13892" s="45">
        <v>46016.40625</v>
      </c>
      <c r="M13892" s="46" t="s">
        <v>123</v>
      </c>
      <c r="N13892" s="45">
        <v>46016.479166666664</v>
      </c>
      <c r="O13892" s="46" t="s">
        <v>123</v>
      </c>
      <c r="P13892" s="46">
        <v>6300.0</v>
      </c>
    </row>
    <row r="13893">
      <c r="A13893" s="40">
        <f t="shared" si="1"/>
        <v>46013</v>
      </c>
      <c r="B13893" s="37" t="str">
        <f t="array" ref="B13893">iferror(xlookup($I13893, 'IMPORT VHC Report'!$E:$E, 'IMPORT VHC Report'!$A:$C), )</f>
        <v/>
      </c>
      <c r="C13893" s="44"/>
      <c r="D13893" s="44"/>
      <c r="E13893" s="46" t="s">
        <v>10004</v>
      </c>
      <c r="F13893" s="46" t="s">
        <v>6229</v>
      </c>
      <c r="G13893" s="46">
        <v>9.107766464399E12</v>
      </c>
      <c r="H13893" s="46" t="s">
        <v>6230</v>
      </c>
      <c r="I13893" s="46" t="s">
        <v>6231</v>
      </c>
      <c r="J13893" s="46" t="s">
        <v>134</v>
      </c>
      <c r="K13893" s="46" t="s">
        <v>126</v>
      </c>
      <c r="L13893" s="45">
        <v>46016.479166666664</v>
      </c>
      <c r="M13893" s="46" t="s">
        <v>123</v>
      </c>
      <c r="N13893" s="45">
        <v>46016.5</v>
      </c>
      <c r="O13893" s="46" t="s">
        <v>123</v>
      </c>
      <c r="P13893" s="46">
        <v>1800.0</v>
      </c>
    </row>
    <row r="13894">
      <c r="A13894" s="40">
        <f t="shared" si="1"/>
        <v>46013</v>
      </c>
      <c r="B13894" s="37" t="str">
        <f t="array" ref="B13894">iferror(xlookup($I13894, 'IMPORT VHC Report'!$E:$E, 'IMPORT VHC Report'!$A:$C), )</f>
        <v/>
      </c>
      <c r="C13894" s="44"/>
      <c r="D13894" s="44"/>
      <c r="E13894" s="46" t="s">
        <v>10005</v>
      </c>
      <c r="F13894" s="46" t="s">
        <v>6229</v>
      </c>
      <c r="G13894" s="46">
        <v>9.107766464399E12</v>
      </c>
      <c r="H13894" s="46" t="s">
        <v>6230</v>
      </c>
      <c r="I13894" s="46" t="s">
        <v>6231</v>
      </c>
      <c r="J13894" s="46" t="s">
        <v>132</v>
      </c>
      <c r="K13894" s="46" t="s">
        <v>126</v>
      </c>
      <c r="L13894" s="45">
        <v>46016.5</v>
      </c>
      <c r="M13894" s="46" t="s">
        <v>123</v>
      </c>
      <c r="N13894" s="45">
        <v>46016.541666666664</v>
      </c>
      <c r="O13894" s="46" t="s">
        <v>123</v>
      </c>
      <c r="P13894" s="46">
        <v>3600.0</v>
      </c>
    </row>
    <row r="13895">
      <c r="A13895" s="40">
        <f t="shared" si="1"/>
        <v>46013</v>
      </c>
      <c r="B13895" s="37" t="str">
        <f t="array" ref="B13895">iferror(xlookup($I13895, 'IMPORT VHC Report'!$E:$E, 'IMPORT VHC Report'!$A:$C), )</f>
        <v/>
      </c>
      <c r="C13895" s="44"/>
      <c r="D13895" s="44"/>
      <c r="E13895" s="46" t="s">
        <v>10006</v>
      </c>
      <c r="F13895" s="46" t="s">
        <v>6229</v>
      </c>
      <c r="G13895" s="46">
        <v>9.107766464399E12</v>
      </c>
      <c r="H13895" s="46" t="s">
        <v>6230</v>
      </c>
      <c r="I13895" s="46" t="s">
        <v>6231</v>
      </c>
      <c r="J13895" s="46" t="s">
        <v>224</v>
      </c>
      <c r="K13895" s="46" t="s">
        <v>63</v>
      </c>
      <c r="L13895" s="45">
        <v>46017.166666666664</v>
      </c>
      <c r="M13895" s="46" t="s">
        <v>123</v>
      </c>
      <c r="N13895" s="45">
        <v>46017.541666666664</v>
      </c>
      <c r="O13895" s="46" t="s">
        <v>123</v>
      </c>
      <c r="P13895" s="46">
        <v>32400.0</v>
      </c>
    </row>
    <row r="13896">
      <c r="A13896" s="40">
        <f t="shared" si="1"/>
        <v>46013</v>
      </c>
      <c r="B13896" s="37" t="str">
        <f t="array" ref="B13896">iferror(xlookup($I13896, 'IMPORT VHC Report'!$E:$E, 'IMPORT VHC Report'!$A:$C), )</f>
        <v/>
      </c>
      <c r="C13896" s="44"/>
      <c r="D13896" s="44"/>
      <c r="E13896" s="46" t="s">
        <v>10007</v>
      </c>
      <c r="F13896" s="46" t="s">
        <v>6229</v>
      </c>
      <c r="G13896" s="46">
        <v>9.107766464399E12</v>
      </c>
      <c r="H13896" s="46" t="s">
        <v>6230</v>
      </c>
      <c r="I13896" s="46" t="s">
        <v>6231</v>
      </c>
      <c r="J13896" s="46" t="s">
        <v>125</v>
      </c>
      <c r="K13896" s="46" t="s">
        <v>126</v>
      </c>
      <c r="L13896" s="45">
        <v>46017.208333333336</v>
      </c>
      <c r="M13896" s="46" t="s">
        <v>123</v>
      </c>
      <c r="N13896" s="45">
        <v>46017.25</v>
      </c>
      <c r="O13896" s="46" t="s">
        <v>123</v>
      </c>
      <c r="P13896" s="46">
        <v>3600.0</v>
      </c>
      <c r="S13896" s="46" t="s">
        <v>8728</v>
      </c>
    </row>
    <row r="13897">
      <c r="A13897" s="40">
        <f t="shared" si="1"/>
        <v>46013</v>
      </c>
      <c r="B13897" s="37" t="str">
        <f t="array" ref="B13897">iferror(xlookup($I13897, 'IMPORT VHC Report'!$E:$E, 'IMPORT VHC Report'!$A:$C), )</f>
        <v/>
      </c>
      <c r="C13897" s="44"/>
      <c r="D13897" s="44"/>
      <c r="E13897" s="46" t="s">
        <v>10008</v>
      </c>
      <c r="F13897" s="46" t="s">
        <v>6229</v>
      </c>
      <c r="G13897" s="46">
        <v>9.107766464399E12</v>
      </c>
      <c r="H13897" s="46" t="s">
        <v>6230</v>
      </c>
      <c r="I13897" s="46" t="s">
        <v>6231</v>
      </c>
      <c r="J13897" s="46" t="s">
        <v>132</v>
      </c>
      <c r="K13897" s="46" t="s">
        <v>126</v>
      </c>
      <c r="L13897" s="45">
        <v>46017.25</v>
      </c>
      <c r="M13897" s="46" t="s">
        <v>123</v>
      </c>
      <c r="N13897" s="45">
        <v>46017.291666666664</v>
      </c>
      <c r="O13897" s="46" t="s">
        <v>123</v>
      </c>
      <c r="P13897" s="46">
        <v>3600.0</v>
      </c>
    </row>
    <row r="13898">
      <c r="A13898" s="40">
        <f t="shared" si="1"/>
        <v>46013</v>
      </c>
      <c r="B13898" s="37" t="str">
        <f t="array" ref="B13898">iferror(xlookup($I13898, 'IMPORT VHC Report'!$E:$E, 'IMPORT VHC Report'!$A:$C), )</f>
        <v/>
      </c>
      <c r="C13898" s="44"/>
      <c r="D13898" s="44"/>
      <c r="E13898" s="46" t="s">
        <v>10009</v>
      </c>
      <c r="F13898" s="46" t="s">
        <v>6229</v>
      </c>
      <c r="G13898" s="46">
        <v>9.107766464399E12</v>
      </c>
      <c r="H13898" s="46" t="s">
        <v>6230</v>
      </c>
      <c r="I13898" s="46" t="s">
        <v>6231</v>
      </c>
      <c r="J13898" s="46" t="s">
        <v>134</v>
      </c>
      <c r="K13898" s="46" t="s">
        <v>126</v>
      </c>
      <c r="L13898" s="45">
        <v>46017.47222222222</v>
      </c>
      <c r="M13898" s="46" t="s">
        <v>123</v>
      </c>
      <c r="N13898" s="45">
        <v>46017.48263888889</v>
      </c>
      <c r="O13898" s="46" t="s">
        <v>123</v>
      </c>
      <c r="P13898" s="46">
        <v>900.0</v>
      </c>
    </row>
    <row r="13899">
      <c r="A13899" s="40">
        <f t="shared" si="1"/>
        <v>46013</v>
      </c>
      <c r="B13899" s="37" t="str">
        <f t="array" ref="B13899">iferror(xlookup($I13899, 'IMPORT VHC Report'!$E:$E, 'IMPORT VHC Report'!$A:$C), )</f>
        <v/>
      </c>
      <c r="C13899" s="44"/>
      <c r="D13899" s="44"/>
      <c r="E13899" s="46" t="s">
        <v>10010</v>
      </c>
      <c r="F13899" s="46" t="s">
        <v>6229</v>
      </c>
      <c r="G13899" s="46">
        <v>9.107766464399E12</v>
      </c>
      <c r="H13899" s="46" t="s">
        <v>6230</v>
      </c>
      <c r="I13899" s="46" t="s">
        <v>6231</v>
      </c>
      <c r="J13899" s="46" t="s">
        <v>134</v>
      </c>
      <c r="K13899" s="46" t="s">
        <v>126</v>
      </c>
      <c r="L13899" s="45">
        <v>46017.48263888889</v>
      </c>
      <c r="M13899" s="46" t="s">
        <v>123</v>
      </c>
      <c r="N13899" s="45">
        <v>46017.493055555555</v>
      </c>
      <c r="O13899" s="46" t="s">
        <v>123</v>
      </c>
      <c r="P13899" s="46">
        <v>900.0</v>
      </c>
    </row>
    <row r="13900">
      <c r="A13900" s="40">
        <f t="shared" si="1"/>
        <v>46013</v>
      </c>
      <c r="B13900" s="37" t="str">
        <f t="array" ref="B13900">iferror(xlookup($I13900, 'IMPORT VHC Report'!$E:$E, 'IMPORT VHC Report'!$A:$C), )</f>
        <v/>
      </c>
      <c r="C13900" s="44"/>
      <c r="D13900" s="44"/>
      <c r="E13900" s="46" t="s">
        <v>10011</v>
      </c>
      <c r="F13900" s="46" t="s">
        <v>6229</v>
      </c>
      <c r="G13900" s="46">
        <v>9.107766464399E12</v>
      </c>
      <c r="H13900" s="46" t="s">
        <v>6230</v>
      </c>
      <c r="I13900" s="46" t="s">
        <v>6231</v>
      </c>
      <c r="J13900" s="46" t="s">
        <v>125</v>
      </c>
      <c r="K13900" s="46" t="s">
        <v>126</v>
      </c>
      <c r="L13900" s="45">
        <v>46017.493055555555</v>
      </c>
      <c r="M13900" s="46" t="s">
        <v>123</v>
      </c>
      <c r="N13900" s="45">
        <v>46017.541666666664</v>
      </c>
      <c r="O13900" s="46" t="s">
        <v>123</v>
      </c>
      <c r="P13900" s="46">
        <v>4200.0</v>
      </c>
      <c r="S13900" s="46" t="s">
        <v>10012</v>
      </c>
    </row>
    <row r="13901">
      <c r="A13901" s="40">
        <f t="shared" si="1"/>
        <v>46013</v>
      </c>
      <c r="B13901" s="37" t="str">
        <f t="array" ref="B13901">iferror(xlookup($I13901, 'IMPORT VHC Report'!$E:$E, 'IMPORT VHC Report'!$A:$C), )</f>
        <v/>
      </c>
      <c r="C13901" s="44"/>
      <c r="D13901" s="44"/>
      <c r="E13901" s="46" t="s">
        <v>10013</v>
      </c>
      <c r="F13901" s="46" t="s">
        <v>6229</v>
      </c>
      <c r="G13901" s="46">
        <v>9.107766464399E12</v>
      </c>
      <c r="H13901" s="46" t="s">
        <v>6230</v>
      </c>
      <c r="I13901" s="46" t="s">
        <v>6231</v>
      </c>
      <c r="J13901" s="46" t="s">
        <v>178</v>
      </c>
      <c r="K13901" s="46" t="s">
        <v>153</v>
      </c>
      <c r="L13901" s="45">
        <v>46018.166666666664</v>
      </c>
      <c r="M13901" s="46" t="s">
        <v>123</v>
      </c>
      <c r="N13901" s="45">
        <v>46018.541666666664</v>
      </c>
      <c r="O13901" s="46" t="s">
        <v>123</v>
      </c>
      <c r="P13901" s="46">
        <v>32400.0</v>
      </c>
      <c r="Q13901" s="46">
        <v>28800.0</v>
      </c>
    </row>
    <row r="13902">
      <c r="A13902" s="40">
        <f t="shared" si="1"/>
        <v>46013</v>
      </c>
      <c r="B13902" s="37" t="str">
        <f t="array" ref="B13902">iferror(xlookup($I13902, 'IMPORT VHC Report'!$E:$E, 'IMPORT VHC Report'!$A:$C), )</f>
        <v/>
      </c>
      <c r="C13902" s="44"/>
      <c r="D13902" s="44"/>
      <c r="E13902" s="46" t="s">
        <v>10014</v>
      </c>
      <c r="F13902" s="46" t="s">
        <v>6272</v>
      </c>
      <c r="G13902" s="46">
        <v>8.519267619343E12</v>
      </c>
      <c r="H13902" s="46" t="s">
        <v>6273</v>
      </c>
      <c r="I13902" s="46" t="s">
        <v>6274</v>
      </c>
      <c r="J13902" s="46" t="s">
        <v>224</v>
      </c>
      <c r="K13902" s="46" t="s">
        <v>63</v>
      </c>
      <c r="L13902" s="45">
        <v>46014.166666666664</v>
      </c>
      <c r="M13902" s="46" t="s">
        <v>123</v>
      </c>
      <c r="N13902" s="45">
        <v>46014.510416666664</v>
      </c>
      <c r="O13902" s="46" t="s">
        <v>123</v>
      </c>
      <c r="P13902" s="46">
        <v>29700.0</v>
      </c>
    </row>
    <row r="13903">
      <c r="A13903" s="40">
        <f t="shared" si="1"/>
        <v>46013</v>
      </c>
      <c r="B13903" s="37" t="str">
        <f t="array" ref="B13903">iferror(xlookup($I13903, 'IMPORT VHC Report'!$E:$E, 'IMPORT VHC Report'!$A:$C), )</f>
        <v/>
      </c>
      <c r="C13903" s="44"/>
      <c r="D13903" s="44"/>
      <c r="E13903" s="46" t="s">
        <v>10015</v>
      </c>
      <c r="F13903" s="46" t="s">
        <v>6272</v>
      </c>
      <c r="G13903" s="46">
        <v>8.519267619343E12</v>
      </c>
      <c r="H13903" s="46" t="s">
        <v>6273</v>
      </c>
      <c r="I13903" s="46" t="s">
        <v>6274</v>
      </c>
      <c r="J13903" s="46" t="s">
        <v>134</v>
      </c>
      <c r="K13903" s="46" t="s">
        <v>126</v>
      </c>
      <c r="L13903" s="45">
        <v>46014.260416666664</v>
      </c>
      <c r="M13903" s="46" t="s">
        <v>123</v>
      </c>
      <c r="N13903" s="45">
        <v>46014.270833333336</v>
      </c>
      <c r="O13903" s="46" t="s">
        <v>123</v>
      </c>
      <c r="P13903" s="46">
        <v>900.0</v>
      </c>
    </row>
    <row r="13904">
      <c r="A13904" s="40">
        <f t="shared" si="1"/>
        <v>46013</v>
      </c>
      <c r="B13904" s="37" t="str">
        <f t="array" ref="B13904">iferror(xlookup($I13904, 'IMPORT VHC Report'!$E:$E, 'IMPORT VHC Report'!$A:$C), )</f>
        <v/>
      </c>
      <c r="C13904" s="44"/>
      <c r="D13904" s="44"/>
      <c r="E13904" s="46" t="s">
        <v>10016</v>
      </c>
      <c r="F13904" s="46" t="s">
        <v>6272</v>
      </c>
      <c r="G13904" s="46">
        <v>8.519267619343E12</v>
      </c>
      <c r="H13904" s="46" t="s">
        <v>6273</v>
      </c>
      <c r="I13904" s="46" t="s">
        <v>6274</v>
      </c>
      <c r="J13904" s="46" t="s">
        <v>132</v>
      </c>
      <c r="K13904" s="46" t="s">
        <v>126</v>
      </c>
      <c r="L13904" s="45">
        <v>46014.333333333336</v>
      </c>
      <c r="M13904" s="46" t="s">
        <v>123</v>
      </c>
      <c r="N13904" s="45">
        <v>46014.375</v>
      </c>
      <c r="O13904" s="46" t="s">
        <v>123</v>
      </c>
      <c r="P13904" s="46">
        <v>3600.0</v>
      </c>
    </row>
    <row r="13905">
      <c r="A13905" s="40">
        <f t="shared" si="1"/>
        <v>46013</v>
      </c>
      <c r="B13905" s="37" t="str">
        <f t="array" ref="B13905">iferror(xlookup($I13905, 'IMPORT VHC Report'!$E:$E, 'IMPORT VHC Report'!$A:$C), )</f>
        <v/>
      </c>
      <c r="C13905" s="44"/>
      <c r="D13905" s="44"/>
      <c r="E13905" s="46" t="s">
        <v>10017</v>
      </c>
      <c r="F13905" s="46" t="s">
        <v>6272</v>
      </c>
      <c r="G13905" s="46">
        <v>8.519267619343E12</v>
      </c>
      <c r="H13905" s="46" t="s">
        <v>6273</v>
      </c>
      <c r="I13905" s="46" t="s">
        <v>6274</v>
      </c>
      <c r="J13905" s="46" t="s">
        <v>134</v>
      </c>
      <c r="K13905" s="46" t="s">
        <v>126</v>
      </c>
      <c r="L13905" s="45">
        <v>46014.46875</v>
      </c>
      <c r="M13905" s="46" t="s">
        <v>123</v>
      </c>
      <c r="N13905" s="45">
        <v>46014.479166666664</v>
      </c>
      <c r="O13905" s="46" t="s">
        <v>123</v>
      </c>
      <c r="P13905" s="46">
        <v>900.0</v>
      </c>
    </row>
    <row r="13906">
      <c r="A13906" s="40">
        <f t="shared" si="1"/>
        <v>46013</v>
      </c>
      <c r="B13906" s="37" t="str">
        <f t="array" ref="B13906">iferror(xlookup($I13906, 'IMPORT VHC Report'!$E:$E, 'IMPORT VHC Report'!$A:$C), )</f>
        <v/>
      </c>
      <c r="C13906" s="44"/>
      <c r="D13906" s="44"/>
      <c r="E13906" s="46" t="s">
        <v>10018</v>
      </c>
      <c r="F13906" s="46" t="s">
        <v>6272</v>
      </c>
      <c r="G13906" s="46">
        <v>8.519267619343E12</v>
      </c>
      <c r="H13906" s="46" t="s">
        <v>6273</v>
      </c>
      <c r="I13906" s="46" t="s">
        <v>6274</v>
      </c>
      <c r="J13906" s="46" t="s">
        <v>62</v>
      </c>
      <c r="K13906" s="46" t="s">
        <v>63</v>
      </c>
      <c r="L13906" s="45">
        <v>46014.510416666664</v>
      </c>
      <c r="M13906" s="46" t="s">
        <v>123</v>
      </c>
      <c r="N13906" s="45">
        <v>46014.520833333336</v>
      </c>
      <c r="O13906" s="46" t="s">
        <v>123</v>
      </c>
      <c r="P13906" s="46">
        <v>900.0</v>
      </c>
    </row>
    <row r="13907">
      <c r="A13907" s="40">
        <f t="shared" si="1"/>
        <v>46013</v>
      </c>
      <c r="B13907" s="37" t="str">
        <f t="array" ref="B13907">iferror(xlookup($I13907, 'IMPORT VHC Report'!$E:$E, 'IMPORT VHC Report'!$A:$C), )</f>
        <v/>
      </c>
      <c r="C13907" s="44"/>
      <c r="D13907" s="44"/>
      <c r="E13907" s="46" t="s">
        <v>10019</v>
      </c>
      <c r="F13907" s="46" t="s">
        <v>6272</v>
      </c>
      <c r="G13907" s="46">
        <v>8.519267619343E12</v>
      </c>
      <c r="H13907" s="46" t="s">
        <v>6273</v>
      </c>
      <c r="I13907" s="46" t="s">
        <v>6274</v>
      </c>
      <c r="J13907" s="46" t="s">
        <v>224</v>
      </c>
      <c r="K13907" s="46" t="s">
        <v>63</v>
      </c>
      <c r="L13907" s="45">
        <v>46014.520833333336</v>
      </c>
      <c r="M13907" s="46" t="s">
        <v>123</v>
      </c>
      <c r="N13907" s="45">
        <v>46014.541666666664</v>
      </c>
      <c r="O13907" s="46" t="s">
        <v>123</v>
      </c>
      <c r="P13907" s="46">
        <v>1800.0</v>
      </c>
    </row>
    <row r="13908">
      <c r="A13908" s="40">
        <f t="shared" si="1"/>
        <v>46013</v>
      </c>
      <c r="B13908" s="37" t="str">
        <f t="array" ref="B13908">iferror(xlookup($I13908, 'IMPORT VHC Report'!$E:$E, 'IMPORT VHC Report'!$A:$C), )</f>
        <v/>
      </c>
      <c r="C13908" s="44"/>
      <c r="D13908" s="44"/>
      <c r="E13908" s="46" t="s">
        <v>10020</v>
      </c>
      <c r="F13908" s="46" t="s">
        <v>6272</v>
      </c>
      <c r="G13908" s="46">
        <v>8.519267619343E12</v>
      </c>
      <c r="H13908" s="46" t="s">
        <v>6273</v>
      </c>
      <c r="I13908" s="46" t="s">
        <v>6274</v>
      </c>
      <c r="J13908" s="46" t="s">
        <v>224</v>
      </c>
      <c r="K13908" s="46" t="s">
        <v>63</v>
      </c>
      <c r="L13908" s="45">
        <v>46015.166666666664</v>
      </c>
      <c r="M13908" s="46" t="s">
        <v>123</v>
      </c>
      <c r="N13908" s="45">
        <v>46015.28125</v>
      </c>
      <c r="O13908" s="46" t="s">
        <v>123</v>
      </c>
      <c r="P13908" s="46">
        <v>9900.0</v>
      </c>
    </row>
    <row r="13909">
      <c r="A13909" s="40">
        <f t="shared" si="1"/>
        <v>46013</v>
      </c>
      <c r="B13909" s="37" t="str">
        <f t="array" ref="B13909">iferror(xlookup($I13909, 'IMPORT VHC Report'!$E:$E, 'IMPORT VHC Report'!$A:$C), )</f>
        <v/>
      </c>
      <c r="C13909" s="44"/>
      <c r="D13909" s="44"/>
      <c r="E13909" s="46" t="s">
        <v>10021</v>
      </c>
      <c r="F13909" s="46" t="s">
        <v>6272</v>
      </c>
      <c r="G13909" s="46">
        <v>8.519267619343E12</v>
      </c>
      <c r="H13909" s="46" t="s">
        <v>6273</v>
      </c>
      <c r="I13909" s="46" t="s">
        <v>6274</v>
      </c>
      <c r="J13909" s="46" t="s">
        <v>134</v>
      </c>
      <c r="K13909" s="46" t="s">
        <v>126</v>
      </c>
      <c r="L13909" s="45">
        <v>46015.25</v>
      </c>
      <c r="M13909" s="46" t="s">
        <v>123</v>
      </c>
      <c r="N13909" s="45">
        <v>46015.260416666664</v>
      </c>
      <c r="O13909" s="46" t="s">
        <v>123</v>
      </c>
      <c r="P13909" s="46">
        <v>900.0</v>
      </c>
    </row>
    <row r="13910">
      <c r="A13910" s="40">
        <f t="shared" si="1"/>
        <v>46013</v>
      </c>
      <c r="B13910" s="37" t="str">
        <f t="array" ref="B13910">iferror(xlookup($I13910, 'IMPORT VHC Report'!$E:$E, 'IMPORT VHC Report'!$A:$C), )</f>
        <v/>
      </c>
      <c r="C13910" s="44"/>
      <c r="D13910" s="44"/>
      <c r="E13910" s="46" t="s">
        <v>10022</v>
      </c>
      <c r="F13910" s="46" t="s">
        <v>6272</v>
      </c>
      <c r="G13910" s="46">
        <v>8.519267619343E12</v>
      </c>
      <c r="H13910" s="46" t="s">
        <v>6273</v>
      </c>
      <c r="I13910" s="46" t="s">
        <v>6274</v>
      </c>
      <c r="J13910" s="46" t="s">
        <v>62</v>
      </c>
      <c r="K13910" s="46" t="s">
        <v>63</v>
      </c>
      <c r="L13910" s="45">
        <v>46015.28125</v>
      </c>
      <c r="M13910" s="46" t="s">
        <v>123</v>
      </c>
      <c r="N13910" s="45">
        <v>46015.302083333336</v>
      </c>
      <c r="O13910" s="46" t="s">
        <v>123</v>
      </c>
      <c r="P13910" s="46">
        <v>1800.0</v>
      </c>
    </row>
    <row r="13911">
      <c r="A13911" s="40">
        <f t="shared" si="1"/>
        <v>46013</v>
      </c>
      <c r="B13911" s="37" t="str">
        <f t="array" ref="B13911">iferror(xlookup($I13911, 'IMPORT VHC Report'!$E:$E, 'IMPORT VHC Report'!$A:$C), )</f>
        <v/>
      </c>
      <c r="C13911" s="44"/>
      <c r="D13911" s="44"/>
      <c r="E13911" s="46" t="s">
        <v>10023</v>
      </c>
      <c r="F13911" s="46" t="s">
        <v>6272</v>
      </c>
      <c r="G13911" s="46">
        <v>8.519267619343E12</v>
      </c>
      <c r="H13911" s="46" t="s">
        <v>6273</v>
      </c>
      <c r="I13911" s="46" t="s">
        <v>6274</v>
      </c>
      <c r="J13911" s="46" t="s">
        <v>224</v>
      </c>
      <c r="K13911" s="46" t="s">
        <v>63</v>
      </c>
      <c r="L13911" s="45">
        <v>46015.302083333336</v>
      </c>
      <c r="M13911" s="46" t="s">
        <v>123</v>
      </c>
      <c r="N13911" s="45">
        <v>46015.5</v>
      </c>
      <c r="O13911" s="46" t="s">
        <v>123</v>
      </c>
      <c r="P13911" s="46">
        <v>17100.0</v>
      </c>
    </row>
    <row r="13912">
      <c r="A13912" s="40">
        <f t="shared" si="1"/>
        <v>46013</v>
      </c>
      <c r="B13912" s="37" t="str">
        <f t="array" ref="B13912">iferror(xlookup($I13912, 'IMPORT VHC Report'!$E:$E, 'IMPORT VHC Report'!$A:$C), )</f>
        <v/>
      </c>
      <c r="C13912" s="44"/>
      <c r="D13912" s="44"/>
      <c r="E13912" s="46" t="s">
        <v>10024</v>
      </c>
      <c r="F13912" s="46" t="s">
        <v>6272</v>
      </c>
      <c r="G13912" s="46">
        <v>8.519267619343E12</v>
      </c>
      <c r="H13912" s="46" t="s">
        <v>6273</v>
      </c>
      <c r="I13912" s="46" t="s">
        <v>6274</v>
      </c>
      <c r="J13912" s="46" t="s">
        <v>134</v>
      </c>
      <c r="K13912" s="46" t="s">
        <v>126</v>
      </c>
      <c r="L13912" s="45">
        <v>46015.364583333336</v>
      </c>
      <c r="M13912" s="46" t="s">
        <v>123</v>
      </c>
      <c r="N13912" s="45">
        <v>46015.375</v>
      </c>
      <c r="O13912" s="46" t="s">
        <v>123</v>
      </c>
      <c r="P13912" s="46">
        <v>900.0</v>
      </c>
    </row>
    <row r="13913">
      <c r="A13913" s="40">
        <f t="shared" si="1"/>
        <v>46013</v>
      </c>
      <c r="B13913" s="37" t="str">
        <f t="array" ref="B13913">iferror(xlookup($I13913, 'IMPORT VHC Report'!$E:$E, 'IMPORT VHC Report'!$A:$C), )</f>
        <v/>
      </c>
      <c r="C13913" s="44"/>
      <c r="D13913" s="44"/>
      <c r="E13913" s="46" t="s">
        <v>10025</v>
      </c>
      <c r="F13913" s="46" t="s">
        <v>6272</v>
      </c>
      <c r="G13913" s="46">
        <v>8.519267619343E12</v>
      </c>
      <c r="H13913" s="46" t="s">
        <v>6273</v>
      </c>
      <c r="I13913" s="46" t="s">
        <v>6274</v>
      </c>
      <c r="J13913" s="46" t="s">
        <v>224</v>
      </c>
      <c r="K13913" s="46" t="s">
        <v>63</v>
      </c>
      <c r="L13913" s="45">
        <v>46015.4375</v>
      </c>
      <c r="M13913" s="46" t="s">
        <v>123</v>
      </c>
      <c r="N13913" s="45">
        <v>46015.479166666664</v>
      </c>
      <c r="O13913" s="46" t="s">
        <v>123</v>
      </c>
      <c r="P13913" s="46">
        <v>3600.0</v>
      </c>
    </row>
    <row r="13914">
      <c r="A13914" s="40">
        <f t="shared" si="1"/>
        <v>46013</v>
      </c>
      <c r="B13914" s="37" t="str">
        <f t="array" ref="B13914">iferror(xlookup($I13914, 'IMPORT VHC Report'!$E:$E, 'IMPORT VHC Report'!$A:$C), )</f>
        <v/>
      </c>
      <c r="C13914" s="44"/>
      <c r="D13914" s="44"/>
      <c r="E13914" s="46" t="s">
        <v>10026</v>
      </c>
      <c r="F13914" s="46" t="s">
        <v>6272</v>
      </c>
      <c r="G13914" s="46">
        <v>8.519267619343E12</v>
      </c>
      <c r="H13914" s="46" t="s">
        <v>6273</v>
      </c>
      <c r="I13914" s="46" t="s">
        <v>6274</v>
      </c>
      <c r="J13914" s="46" t="s">
        <v>134</v>
      </c>
      <c r="K13914" s="46" t="s">
        <v>126</v>
      </c>
      <c r="L13914" s="45">
        <v>46015.479166666664</v>
      </c>
      <c r="M13914" s="46" t="s">
        <v>123</v>
      </c>
      <c r="N13914" s="45">
        <v>46015.5</v>
      </c>
      <c r="O13914" s="46" t="s">
        <v>123</v>
      </c>
      <c r="P13914" s="46">
        <v>1800.0</v>
      </c>
    </row>
    <row r="13915">
      <c r="A13915" s="40">
        <f t="shared" si="1"/>
        <v>46013</v>
      </c>
      <c r="B13915" s="37" t="str">
        <f t="array" ref="B13915">iferror(xlookup($I13915, 'IMPORT VHC Report'!$E:$E, 'IMPORT VHC Report'!$A:$C), )</f>
        <v/>
      </c>
      <c r="C13915" s="44"/>
      <c r="D13915" s="44"/>
      <c r="E13915" s="46" t="s">
        <v>10027</v>
      </c>
      <c r="F13915" s="46" t="s">
        <v>6272</v>
      </c>
      <c r="G13915" s="46">
        <v>8.519267619343E12</v>
      </c>
      <c r="H13915" s="46" t="s">
        <v>6273</v>
      </c>
      <c r="I13915" s="46" t="s">
        <v>6274</v>
      </c>
      <c r="J13915" s="46" t="s">
        <v>132</v>
      </c>
      <c r="K13915" s="46" t="s">
        <v>126</v>
      </c>
      <c r="L13915" s="45">
        <v>46015.5</v>
      </c>
      <c r="M13915" s="46" t="s">
        <v>123</v>
      </c>
      <c r="N13915" s="45">
        <v>46015.541666666664</v>
      </c>
      <c r="O13915" s="46" t="s">
        <v>123</v>
      </c>
      <c r="P13915" s="46">
        <v>3600.0</v>
      </c>
    </row>
    <row r="13916">
      <c r="A13916" s="40">
        <f t="shared" si="1"/>
        <v>46013</v>
      </c>
      <c r="B13916" s="37" t="str">
        <f t="array" ref="B13916">iferror(xlookup($I13916, 'IMPORT VHC Report'!$E:$E, 'IMPORT VHC Report'!$A:$C), )</f>
        <v/>
      </c>
      <c r="C13916" s="44"/>
      <c r="D13916" s="44"/>
      <c r="E13916" s="46" t="s">
        <v>10028</v>
      </c>
      <c r="F13916" s="46" t="s">
        <v>6272</v>
      </c>
      <c r="G13916" s="46">
        <v>8.519267619343E12</v>
      </c>
      <c r="H13916" s="46" t="s">
        <v>6273</v>
      </c>
      <c r="I13916" s="46" t="s">
        <v>6274</v>
      </c>
      <c r="J13916" s="46" t="s">
        <v>224</v>
      </c>
      <c r="K13916" s="46" t="s">
        <v>63</v>
      </c>
      <c r="L13916" s="45">
        <v>46016.166666666664</v>
      </c>
      <c r="M13916" s="46" t="s">
        <v>123</v>
      </c>
      <c r="N13916" s="45">
        <v>46016.479166666664</v>
      </c>
      <c r="O13916" s="46" t="s">
        <v>123</v>
      </c>
      <c r="P13916" s="46">
        <v>27000.0</v>
      </c>
    </row>
    <row r="13917">
      <c r="A13917" s="40">
        <f t="shared" si="1"/>
        <v>46013</v>
      </c>
      <c r="B13917" s="37" t="str">
        <f t="array" ref="B13917">iferror(xlookup($I13917, 'IMPORT VHC Report'!$E:$E, 'IMPORT VHC Report'!$A:$C), )</f>
        <v/>
      </c>
      <c r="C13917" s="44"/>
      <c r="D13917" s="44"/>
      <c r="E13917" s="46" t="s">
        <v>10029</v>
      </c>
      <c r="F13917" s="46" t="s">
        <v>6272</v>
      </c>
      <c r="G13917" s="46">
        <v>8.519267619343E12</v>
      </c>
      <c r="H13917" s="46" t="s">
        <v>6273</v>
      </c>
      <c r="I13917" s="46" t="s">
        <v>6274</v>
      </c>
      <c r="J13917" s="46" t="s">
        <v>134</v>
      </c>
      <c r="K13917" s="46" t="s">
        <v>126</v>
      </c>
      <c r="L13917" s="45">
        <v>46016.260416666664</v>
      </c>
      <c r="M13917" s="46" t="s">
        <v>123</v>
      </c>
      <c r="N13917" s="45">
        <v>46016.270833333336</v>
      </c>
      <c r="O13917" s="46" t="s">
        <v>123</v>
      </c>
      <c r="P13917" s="46">
        <v>900.0</v>
      </c>
    </row>
    <row r="13918">
      <c r="A13918" s="40">
        <f t="shared" si="1"/>
        <v>46013</v>
      </c>
      <c r="B13918" s="37" t="str">
        <f t="array" ref="B13918">iferror(xlookup($I13918, 'IMPORT VHC Report'!$E:$E, 'IMPORT VHC Report'!$A:$C), )</f>
        <v/>
      </c>
      <c r="C13918" s="44"/>
      <c r="D13918" s="44"/>
      <c r="E13918" s="46" t="s">
        <v>10030</v>
      </c>
      <c r="F13918" s="46" t="s">
        <v>6272</v>
      </c>
      <c r="G13918" s="46">
        <v>8.519267619343E12</v>
      </c>
      <c r="H13918" s="46" t="s">
        <v>6273</v>
      </c>
      <c r="I13918" s="46" t="s">
        <v>6274</v>
      </c>
      <c r="J13918" s="46" t="s">
        <v>132</v>
      </c>
      <c r="K13918" s="46" t="s">
        <v>126</v>
      </c>
      <c r="L13918" s="45">
        <v>46016.333333333336</v>
      </c>
      <c r="M13918" s="46" t="s">
        <v>123</v>
      </c>
      <c r="N13918" s="45">
        <v>46016.375</v>
      </c>
      <c r="O13918" s="46" t="s">
        <v>123</v>
      </c>
      <c r="P13918" s="46">
        <v>3600.0</v>
      </c>
    </row>
    <row r="13919">
      <c r="A13919" s="40">
        <f t="shared" si="1"/>
        <v>46013</v>
      </c>
      <c r="B13919" s="37" t="str">
        <f t="array" ref="B13919">iferror(xlookup($I13919, 'IMPORT VHC Report'!$E:$E, 'IMPORT VHC Report'!$A:$C), )</f>
        <v/>
      </c>
      <c r="C13919" s="44"/>
      <c r="D13919" s="44"/>
      <c r="E13919" s="46" t="s">
        <v>10031</v>
      </c>
      <c r="F13919" s="46" t="s">
        <v>6272</v>
      </c>
      <c r="G13919" s="46">
        <v>8.519267619343E12</v>
      </c>
      <c r="H13919" s="46" t="s">
        <v>6273</v>
      </c>
      <c r="I13919" s="46" t="s">
        <v>6274</v>
      </c>
      <c r="J13919" s="46" t="s">
        <v>134</v>
      </c>
      <c r="K13919" s="46" t="s">
        <v>126</v>
      </c>
      <c r="L13919" s="45">
        <v>46016.4375</v>
      </c>
      <c r="M13919" s="46" t="s">
        <v>123</v>
      </c>
      <c r="N13919" s="45">
        <v>46016.447916666664</v>
      </c>
      <c r="O13919" s="46" t="s">
        <v>123</v>
      </c>
      <c r="P13919" s="46">
        <v>900.0</v>
      </c>
    </row>
    <row r="13920">
      <c r="A13920" s="40">
        <f t="shared" si="1"/>
        <v>46013</v>
      </c>
      <c r="B13920" s="37" t="str">
        <f t="array" ref="B13920">iferror(xlookup($I13920, 'IMPORT VHC Report'!$E:$E, 'IMPORT VHC Report'!$A:$C), )</f>
        <v/>
      </c>
      <c r="C13920" s="44"/>
      <c r="D13920" s="44"/>
      <c r="E13920" s="46" t="s">
        <v>10032</v>
      </c>
      <c r="F13920" s="46" t="s">
        <v>6272</v>
      </c>
      <c r="G13920" s="46">
        <v>8.519267619343E12</v>
      </c>
      <c r="H13920" s="46" t="s">
        <v>6273</v>
      </c>
      <c r="I13920" s="46" t="s">
        <v>6274</v>
      </c>
      <c r="J13920" s="46" t="s">
        <v>62</v>
      </c>
      <c r="K13920" s="46" t="s">
        <v>63</v>
      </c>
      <c r="L13920" s="45">
        <v>46016.479166666664</v>
      </c>
      <c r="M13920" s="46" t="s">
        <v>123</v>
      </c>
      <c r="N13920" s="45">
        <v>46016.541666666664</v>
      </c>
      <c r="O13920" s="46" t="s">
        <v>123</v>
      </c>
      <c r="P13920" s="46">
        <v>5400.0</v>
      </c>
    </row>
    <row r="13921">
      <c r="A13921" s="40">
        <f t="shared" si="1"/>
        <v>46013</v>
      </c>
      <c r="B13921" s="37" t="str">
        <f t="array" ref="B13921">iferror(xlookup($I13921, 'IMPORT VHC Report'!$E:$E, 'IMPORT VHC Report'!$A:$C), )</f>
        <v/>
      </c>
      <c r="C13921" s="44"/>
      <c r="D13921" s="44"/>
      <c r="E13921" s="46" t="s">
        <v>10033</v>
      </c>
      <c r="F13921" s="46" t="s">
        <v>6272</v>
      </c>
      <c r="G13921" s="46">
        <v>8.519267619343E12</v>
      </c>
      <c r="H13921" s="46" t="s">
        <v>6273</v>
      </c>
      <c r="I13921" s="46" t="s">
        <v>6274</v>
      </c>
      <c r="J13921" s="46" t="s">
        <v>224</v>
      </c>
      <c r="K13921" s="46" t="s">
        <v>63</v>
      </c>
      <c r="L13921" s="45">
        <v>46017.166666666664</v>
      </c>
      <c r="M13921" s="46" t="s">
        <v>123</v>
      </c>
      <c r="N13921" s="45">
        <v>46017.291666666664</v>
      </c>
      <c r="O13921" s="46" t="s">
        <v>123</v>
      </c>
      <c r="P13921" s="46">
        <v>10800.0</v>
      </c>
    </row>
    <row r="13922">
      <c r="A13922" s="40">
        <f t="shared" si="1"/>
        <v>46013</v>
      </c>
      <c r="B13922" s="37" t="str">
        <f t="array" ref="B13922">iferror(xlookup($I13922, 'IMPORT VHC Report'!$E:$E, 'IMPORT VHC Report'!$A:$C), )</f>
        <v/>
      </c>
      <c r="C13922" s="44"/>
      <c r="D13922" s="44"/>
      <c r="E13922" s="46" t="s">
        <v>10034</v>
      </c>
      <c r="F13922" s="46" t="s">
        <v>6272</v>
      </c>
      <c r="G13922" s="46">
        <v>8.519267619343E12</v>
      </c>
      <c r="H13922" s="46" t="s">
        <v>6273</v>
      </c>
      <c r="I13922" s="46" t="s">
        <v>6274</v>
      </c>
      <c r="J13922" s="46" t="s">
        <v>134</v>
      </c>
      <c r="K13922" s="46" t="s">
        <v>126</v>
      </c>
      <c r="L13922" s="45">
        <v>46017.260416666664</v>
      </c>
      <c r="M13922" s="46" t="s">
        <v>123</v>
      </c>
      <c r="N13922" s="45">
        <v>46017.270833333336</v>
      </c>
      <c r="O13922" s="46" t="s">
        <v>123</v>
      </c>
      <c r="P13922" s="46">
        <v>900.0</v>
      </c>
    </row>
    <row r="13923">
      <c r="A13923" s="40">
        <f t="shared" si="1"/>
        <v>46013</v>
      </c>
      <c r="B13923" s="37" t="str">
        <f t="array" ref="B13923">iferror(xlookup($I13923, 'IMPORT VHC Report'!$E:$E, 'IMPORT VHC Report'!$A:$C), )</f>
        <v/>
      </c>
      <c r="C13923" s="44"/>
      <c r="D13923" s="44"/>
      <c r="E13923" s="46" t="s">
        <v>10035</v>
      </c>
      <c r="F13923" s="46" t="s">
        <v>6272</v>
      </c>
      <c r="G13923" s="46">
        <v>8.519267619343E12</v>
      </c>
      <c r="H13923" s="46" t="s">
        <v>6273</v>
      </c>
      <c r="I13923" s="46" t="s">
        <v>6274</v>
      </c>
      <c r="J13923" s="46" t="s">
        <v>62</v>
      </c>
      <c r="K13923" s="46" t="s">
        <v>63</v>
      </c>
      <c r="L13923" s="45">
        <v>46017.291666666664</v>
      </c>
      <c r="M13923" s="46" t="s">
        <v>123</v>
      </c>
      <c r="N13923" s="45">
        <v>46017.333333333336</v>
      </c>
      <c r="O13923" s="46" t="s">
        <v>123</v>
      </c>
      <c r="P13923" s="46">
        <v>3600.0</v>
      </c>
      <c r="S13923" s="46" t="s">
        <v>8947</v>
      </c>
    </row>
    <row r="13924">
      <c r="A13924" s="40">
        <f t="shared" si="1"/>
        <v>46013</v>
      </c>
      <c r="B13924" s="37" t="str">
        <f t="array" ref="B13924">iferror(xlookup($I13924, 'IMPORT VHC Report'!$E:$E, 'IMPORT VHC Report'!$A:$C), )</f>
        <v/>
      </c>
      <c r="C13924" s="44"/>
      <c r="D13924" s="44"/>
      <c r="E13924" s="46" t="s">
        <v>10036</v>
      </c>
      <c r="F13924" s="46" t="s">
        <v>6272</v>
      </c>
      <c r="G13924" s="46">
        <v>8.519267619343E12</v>
      </c>
      <c r="H13924" s="46" t="s">
        <v>6273</v>
      </c>
      <c r="I13924" s="46" t="s">
        <v>6274</v>
      </c>
      <c r="J13924" s="46" t="s">
        <v>132</v>
      </c>
      <c r="K13924" s="46" t="s">
        <v>126</v>
      </c>
      <c r="L13924" s="45">
        <v>46017.333333333336</v>
      </c>
      <c r="M13924" s="46" t="s">
        <v>123</v>
      </c>
      <c r="N13924" s="45">
        <v>46017.375</v>
      </c>
      <c r="O13924" s="46" t="s">
        <v>123</v>
      </c>
      <c r="P13924" s="46">
        <v>3600.0</v>
      </c>
    </row>
    <row r="13925">
      <c r="A13925" s="40">
        <f t="shared" si="1"/>
        <v>46013</v>
      </c>
      <c r="B13925" s="37" t="str">
        <f t="array" ref="B13925">iferror(xlookup($I13925, 'IMPORT VHC Report'!$E:$E, 'IMPORT VHC Report'!$A:$C), )</f>
        <v/>
      </c>
      <c r="C13925" s="44"/>
      <c r="D13925" s="44"/>
      <c r="E13925" s="46" t="s">
        <v>10037</v>
      </c>
      <c r="F13925" s="46" t="s">
        <v>6272</v>
      </c>
      <c r="G13925" s="46">
        <v>8.519267619343E12</v>
      </c>
      <c r="H13925" s="46" t="s">
        <v>6273</v>
      </c>
      <c r="I13925" s="46" t="s">
        <v>6274</v>
      </c>
      <c r="J13925" s="46" t="s">
        <v>224</v>
      </c>
      <c r="K13925" s="46" t="s">
        <v>63</v>
      </c>
      <c r="L13925" s="45">
        <v>46017.333333333336</v>
      </c>
      <c r="M13925" s="46" t="s">
        <v>123</v>
      </c>
      <c r="N13925" s="45">
        <v>46017.5</v>
      </c>
      <c r="O13925" s="46" t="s">
        <v>123</v>
      </c>
      <c r="P13925" s="46">
        <v>14400.0</v>
      </c>
    </row>
    <row r="13926">
      <c r="A13926" s="40">
        <f t="shared" si="1"/>
        <v>46013</v>
      </c>
      <c r="B13926" s="37" t="str">
        <f t="array" ref="B13926">iferror(xlookup($I13926, 'IMPORT VHC Report'!$E:$E, 'IMPORT VHC Report'!$A:$C), )</f>
        <v/>
      </c>
      <c r="C13926" s="44"/>
      <c r="D13926" s="44"/>
      <c r="E13926" s="46" t="s">
        <v>10038</v>
      </c>
      <c r="F13926" s="46" t="s">
        <v>6272</v>
      </c>
      <c r="G13926" s="46">
        <v>8.519267619343E12</v>
      </c>
      <c r="H13926" s="46" t="s">
        <v>6273</v>
      </c>
      <c r="I13926" s="46" t="s">
        <v>6274</v>
      </c>
      <c r="J13926" s="46" t="s">
        <v>134</v>
      </c>
      <c r="K13926" s="46" t="s">
        <v>126</v>
      </c>
      <c r="L13926" s="45">
        <v>46017.4375</v>
      </c>
      <c r="M13926" s="46" t="s">
        <v>123</v>
      </c>
      <c r="N13926" s="45">
        <v>46017.447916666664</v>
      </c>
      <c r="O13926" s="46" t="s">
        <v>123</v>
      </c>
      <c r="P13926" s="46">
        <v>900.0</v>
      </c>
    </row>
    <row r="13927">
      <c r="A13927" s="40">
        <f t="shared" si="1"/>
        <v>46013</v>
      </c>
      <c r="B13927" s="37" t="str">
        <f t="array" ref="B13927">iferror(xlookup($I13927, 'IMPORT VHC Report'!$E:$E, 'IMPORT VHC Report'!$A:$C), )</f>
        <v/>
      </c>
      <c r="C13927" s="44"/>
      <c r="D13927" s="44"/>
      <c r="E13927" s="46" t="s">
        <v>10039</v>
      </c>
      <c r="F13927" s="46" t="s">
        <v>6272</v>
      </c>
      <c r="G13927" s="46">
        <v>8.519267619343E12</v>
      </c>
      <c r="H13927" s="46" t="s">
        <v>6273</v>
      </c>
      <c r="I13927" s="46" t="s">
        <v>6274</v>
      </c>
      <c r="J13927" s="46" t="s">
        <v>125</v>
      </c>
      <c r="K13927" s="46" t="s">
        <v>126</v>
      </c>
      <c r="L13927" s="45">
        <v>46017.46875</v>
      </c>
      <c r="M13927" s="46" t="s">
        <v>123</v>
      </c>
      <c r="N13927" s="45">
        <v>46017.510416666664</v>
      </c>
      <c r="O13927" s="46" t="s">
        <v>123</v>
      </c>
      <c r="P13927" s="46">
        <v>3600.0</v>
      </c>
      <c r="S13927" s="46" t="s">
        <v>9139</v>
      </c>
    </row>
    <row r="13928">
      <c r="A13928" s="40">
        <f t="shared" si="1"/>
        <v>46013</v>
      </c>
      <c r="B13928" s="37" t="str">
        <f t="array" ref="B13928">iferror(xlookup($I13928, 'IMPORT VHC Report'!$E:$E, 'IMPORT VHC Report'!$A:$C), )</f>
        <v/>
      </c>
      <c r="C13928" s="44"/>
      <c r="D13928" s="44"/>
      <c r="E13928" s="46" t="s">
        <v>10040</v>
      </c>
      <c r="F13928" s="46" t="s">
        <v>6272</v>
      </c>
      <c r="G13928" s="46">
        <v>8.519267619343E12</v>
      </c>
      <c r="H13928" s="46" t="s">
        <v>6273</v>
      </c>
      <c r="I13928" s="46" t="s">
        <v>6274</v>
      </c>
      <c r="J13928" s="46" t="s">
        <v>62</v>
      </c>
      <c r="K13928" s="46" t="s">
        <v>63</v>
      </c>
      <c r="L13928" s="45">
        <v>46017.5</v>
      </c>
      <c r="M13928" s="46" t="s">
        <v>123</v>
      </c>
      <c r="N13928" s="45">
        <v>46017.541666666664</v>
      </c>
      <c r="O13928" s="46" t="s">
        <v>123</v>
      </c>
      <c r="P13928" s="46">
        <v>3600.0</v>
      </c>
      <c r="S13928" s="46" t="s">
        <v>9012</v>
      </c>
    </row>
    <row r="13929">
      <c r="A13929" s="40">
        <f t="shared" si="1"/>
        <v>46013</v>
      </c>
      <c r="B13929" s="37" t="str">
        <f t="array" ref="B13929">iferror(xlookup($I13929, 'IMPORT VHC Report'!$E:$E, 'IMPORT VHC Report'!$A:$C), )</f>
        <v/>
      </c>
      <c r="C13929" s="44"/>
      <c r="D13929" s="44"/>
      <c r="E13929" s="46" t="s">
        <v>10041</v>
      </c>
      <c r="F13929" s="46" t="s">
        <v>6272</v>
      </c>
      <c r="G13929" s="46">
        <v>8.519267619343E12</v>
      </c>
      <c r="H13929" s="46" t="s">
        <v>6273</v>
      </c>
      <c r="I13929" s="46" t="s">
        <v>6274</v>
      </c>
      <c r="J13929" s="46" t="s">
        <v>125</v>
      </c>
      <c r="K13929" s="46" t="s">
        <v>126</v>
      </c>
      <c r="L13929" s="45">
        <v>46017.510416666664</v>
      </c>
      <c r="M13929" s="46" t="s">
        <v>123</v>
      </c>
      <c r="N13929" s="45">
        <v>46017.541666666664</v>
      </c>
      <c r="O13929" s="46" t="s">
        <v>123</v>
      </c>
      <c r="P13929" s="46">
        <v>2700.0</v>
      </c>
      <c r="S13929" s="46" t="s">
        <v>10042</v>
      </c>
    </row>
    <row r="13930">
      <c r="A13930" s="40">
        <f t="shared" si="1"/>
        <v>46013</v>
      </c>
      <c r="B13930" s="37" t="str">
        <f t="array" ref="B13930">iferror(xlookup($I13930, 'IMPORT VHC Report'!$E:$E, 'IMPORT VHC Report'!$A:$C), )</f>
        <v/>
      </c>
      <c r="C13930" s="44"/>
      <c r="D13930" s="44"/>
      <c r="E13930" s="46" t="s">
        <v>10043</v>
      </c>
      <c r="F13930" s="46" t="s">
        <v>6272</v>
      </c>
      <c r="G13930" s="46">
        <v>8.519267619343E12</v>
      </c>
      <c r="H13930" s="46" t="s">
        <v>6273</v>
      </c>
      <c r="I13930" s="46" t="s">
        <v>6274</v>
      </c>
      <c r="J13930" s="46" t="s">
        <v>224</v>
      </c>
      <c r="K13930" s="46" t="s">
        <v>63</v>
      </c>
      <c r="L13930" s="45">
        <v>46018.166666666664</v>
      </c>
      <c r="M13930" s="46" t="s">
        <v>123</v>
      </c>
      <c r="N13930" s="45">
        <v>46018.458333333336</v>
      </c>
      <c r="O13930" s="46" t="s">
        <v>123</v>
      </c>
      <c r="P13930" s="46">
        <v>25200.0</v>
      </c>
    </row>
    <row r="13931">
      <c r="A13931" s="40">
        <f t="shared" si="1"/>
        <v>46013</v>
      </c>
      <c r="B13931" s="37" t="str">
        <f t="array" ref="B13931">iferror(xlookup($I13931, 'IMPORT VHC Report'!$E:$E, 'IMPORT VHC Report'!$A:$C), )</f>
        <v/>
      </c>
      <c r="C13931" s="44"/>
      <c r="D13931" s="44"/>
      <c r="E13931" s="46" t="s">
        <v>10044</v>
      </c>
      <c r="F13931" s="46" t="s">
        <v>6272</v>
      </c>
      <c r="G13931" s="46">
        <v>8.519267619343E12</v>
      </c>
      <c r="H13931" s="46" t="s">
        <v>6273</v>
      </c>
      <c r="I13931" s="46" t="s">
        <v>6274</v>
      </c>
      <c r="J13931" s="46" t="s">
        <v>224</v>
      </c>
      <c r="K13931" s="46" t="s">
        <v>63</v>
      </c>
      <c r="L13931" s="45">
        <v>46018.25</v>
      </c>
      <c r="M13931" s="46" t="s">
        <v>123</v>
      </c>
      <c r="N13931" s="45">
        <v>46018.260416666664</v>
      </c>
      <c r="O13931" s="46" t="s">
        <v>123</v>
      </c>
      <c r="P13931" s="46">
        <v>900.0</v>
      </c>
    </row>
    <row r="13932">
      <c r="A13932" s="40">
        <f t="shared" si="1"/>
        <v>46013</v>
      </c>
      <c r="B13932" s="37" t="str">
        <f t="array" ref="B13932">iferror(xlookup($I13932, 'IMPORT VHC Report'!$E:$E, 'IMPORT VHC Report'!$A:$C), )</f>
        <v/>
      </c>
      <c r="C13932" s="44"/>
      <c r="D13932" s="44"/>
      <c r="E13932" s="46" t="s">
        <v>10045</v>
      </c>
      <c r="F13932" s="46" t="s">
        <v>6272</v>
      </c>
      <c r="G13932" s="46">
        <v>8.519267619343E12</v>
      </c>
      <c r="H13932" s="46" t="s">
        <v>6273</v>
      </c>
      <c r="I13932" s="46" t="s">
        <v>6274</v>
      </c>
      <c r="J13932" s="46" t="s">
        <v>224</v>
      </c>
      <c r="K13932" s="46" t="s">
        <v>63</v>
      </c>
      <c r="L13932" s="45">
        <v>46018.333333333336</v>
      </c>
      <c r="M13932" s="46" t="s">
        <v>123</v>
      </c>
      <c r="N13932" s="45">
        <v>46018.34375</v>
      </c>
      <c r="O13932" s="46" t="s">
        <v>123</v>
      </c>
      <c r="P13932" s="46">
        <v>900.0</v>
      </c>
    </row>
    <row r="13933">
      <c r="A13933" s="40">
        <f t="shared" si="1"/>
        <v>46013</v>
      </c>
      <c r="B13933" s="37" t="str">
        <f t="array" ref="B13933">iferror(xlookup($I13933, 'IMPORT VHC Report'!$E:$E, 'IMPORT VHC Report'!$A:$C), )</f>
        <v/>
      </c>
      <c r="C13933" s="44"/>
      <c r="D13933" s="44"/>
      <c r="E13933" s="46" t="s">
        <v>10046</v>
      </c>
      <c r="F13933" s="46" t="s">
        <v>6272</v>
      </c>
      <c r="G13933" s="46">
        <v>8.519267619343E12</v>
      </c>
      <c r="H13933" s="46" t="s">
        <v>6273</v>
      </c>
      <c r="I13933" s="46" t="s">
        <v>6274</v>
      </c>
      <c r="J13933" s="46" t="s">
        <v>224</v>
      </c>
      <c r="K13933" s="46" t="s">
        <v>63</v>
      </c>
      <c r="L13933" s="45">
        <v>46018.416666666664</v>
      </c>
      <c r="M13933" s="46" t="s">
        <v>123</v>
      </c>
      <c r="N13933" s="45">
        <v>46018.479166666664</v>
      </c>
      <c r="O13933" s="46" t="s">
        <v>123</v>
      </c>
      <c r="P13933" s="46">
        <v>5400.0</v>
      </c>
    </row>
    <row r="13934">
      <c r="A13934" s="40">
        <f t="shared" si="1"/>
        <v>46013</v>
      </c>
      <c r="B13934" s="37" t="str">
        <f t="array" ref="B13934">iferror(xlookup($I13934, 'IMPORT VHC Report'!$E:$E, 'IMPORT VHC Report'!$A:$C), )</f>
        <v/>
      </c>
      <c r="C13934" s="44"/>
      <c r="D13934" s="44"/>
      <c r="E13934" s="46" t="s">
        <v>10047</v>
      </c>
      <c r="F13934" s="46" t="s">
        <v>6272</v>
      </c>
      <c r="G13934" s="46">
        <v>8.519267619343E12</v>
      </c>
      <c r="H13934" s="46" t="s">
        <v>6273</v>
      </c>
      <c r="I13934" s="46" t="s">
        <v>6274</v>
      </c>
      <c r="J13934" s="46" t="s">
        <v>134</v>
      </c>
      <c r="K13934" s="46" t="s">
        <v>126</v>
      </c>
      <c r="L13934" s="45">
        <v>46018.479166666664</v>
      </c>
      <c r="M13934" s="46" t="s">
        <v>123</v>
      </c>
      <c r="N13934" s="45">
        <v>46018.5</v>
      </c>
      <c r="O13934" s="46" t="s">
        <v>123</v>
      </c>
      <c r="P13934" s="46">
        <v>1800.0</v>
      </c>
    </row>
    <row r="13935">
      <c r="A13935" s="40">
        <f t="shared" si="1"/>
        <v>46013</v>
      </c>
      <c r="B13935" s="37" t="str">
        <f t="array" ref="B13935">iferror(xlookup($I13935, 'IMPORT VHC Report'!$E:$E, 'IMPORT VHC Report'!$A:$C), )</f>
        <v/>
      </c>
      <c r="C13935" s="44"/>
      <c r="D13935" s="44"/>
      <c r="E13935" s="46" t="s">
        <v>10048</v>
      </c>
      <c r="F13935" s="46" t="s">
        <v>6272</v>
      </c>
      <c r="G13935" s="46">
        <v>8.519267619343E12</v>
      </c>
      <c r="H13935" s="46" t="s">
        <v>6273</v>
      </c>
      <c r="I13935" s="46" t="s">
        <v>6274</v>
      </c>
      <c r="J13935" s="46" t="s">
        <v>224</v>
      </c>
      <c r="K13935" s="46" t="s">
        <v>63</v>
      </c>
      <c r="L13935" s="45">
        <v>46018.479166666664</v>
      </c>
      <c r="M13935" s="46" t="s">
        <v>123</v>
      </c>
      <c r="N13935" s="45">
        <v>46018.541666666664</v>
      </c>
      <c r="O13935" s="46" t="s">
        <v>123</v>
      </c>
      <c r="P13935" s="46">
        <v>5400.0</v>
      </c>
    </row>
    <row r="13936">
      <c r="A13936" s="40">
        <f t="shared" si="1"/>
        <v>46013</v>
      </c>
      <c r="B13936" s="37" t="str">
        <f t="array" ref="B13936">iferror(xlookup($I13936, 'IMPORT VHC Report'!$E:$E, 'IMPORT VHC Report'!$A:$C), )</f>
        <v/>
      </c>
      <c r="C13936" s="44"/>
      <c r="D13936" s="44"/>
      <c r="E13936" s="46" t="s">
        <v>10049</v>
      </c>
      <c r="F13936" s="46" t="s">
        <v>6272</v>
      </c>
      <c r="G13936" s="46">
        <v>8.519267619343E12</v>
      </c>
      <c r="H13936" s="46" t="s">
        <v>6273</v>
      </c>
      <c r="I13936" s="46" t="s">
        <v>6274</v>
      </c>
      <c r="J13936" s="46" t="s">
        <v>132</v>
      </c>
      <c r="K13936" s="46" t="s">
        <v>126</v>
      </c>
      <c r="L13936" s="45">
        <v>46018.5</v>
      </c>
      <c r="M13936" s="46" t="s">
        <v>123</v>
      </c>
      <c r="N13936" s="45">
        <v>46018.541666666664</v>
      </c>
      <c r="O13936" s="46" t="s">
        <v>123</v>
      </c>
      <c r="P13936" s="46">
        <v>3600.0</v>
      </c>
    </row>
    <row r="13937">
      <c r="A13937" s="40">
        <f t="shared" si="1"/>
        <v>46013</v>
      </c>
      <c r="B13937" s="37" t="str">
        <f t="array" ref="B13937">iferror(xlookup($I13937, 'IMPORT VHC Report'!$E:$E, 'IMPORT VHC Report'!$A:$C), )</f>
        <v/>
      </c>
      <c r="C13937" s="44"/>
      <c r="D13937" s="44"/>
      <c r="E13937" s="46" t="s">
        <v>10050</v>
      </c>
      <c r="F13937" s="46" t="s">
        <v>6307</v>
      </c>
      <c r="G13937" s="46">
        <v>1.0005707260559E13</v>
      </c>
      <c r="H13937" s="46" t="s">
        <v>6308</v>
      </c>
      <c r="I13937" s="46" t="s">
        <v>6309</v>
      </c>
      <c r="J13937" s="46" t="s">
        <v>224</v>
      </c>
      <c r="K13937" s="46" t="s">
        <v>63</v>
      </c>
      <c r="L13937" s="45">
        <v>46014.166666666664</v>
      </c>
      <c r="M13937" s="46" t="s">
        <v>123</v>
      </c>
      <c r="N13937" s="45">
        <v>46014.541666666664</v>
      </c>
      <c r="O13937" s="46" t="s">
        <v>123</v>
      </c>
      <c r="P13937" s="46">
        <v>32400.0</v>
      </c>
    </row>
    <row r="13938">
      <c r="A13938" s="40">
        <f t="shared" si="1"/>
        <v>46013</v>
      </c>
      <c r="B13938" s="37" t="str">
        <f t="array" ref="B13938">iferror(xlookup($I13938, 'IMPORT VHC Report'!$E:$E, 'IMPORT VHC Report'!$A:$C), )</f>
        <v/>
      </c>
      <c r="C13938" s="44"/>
      <c r="D13938" s="44"/>
      <c r="E13938" s="46" t="s">
        <v>10051</v>
      </c>
      <c r="F13938" s="46" t="s">
        <v>6307</v>
      </c>
      <c r="G13938" s="46">
        <v>1.0005707260559E13</v>
      </c>
      <c r="H13938" s="46" t="s">
        <v>6308</v>
      </c>
      <c r="I13938" s="46" t="s">
        <v>6309</v>
      </c>
      <c r="J13938" s="46" t="s">
        <v>134</v>
      </c>
      <c r="K13938" s="46" t="s">
        <v>126</v>
      </c>
      <c r="L13938" s="45">
        <v>46014.291666666664</v>
      </c>
      <c r="M13938" s="46" t="s">
        <v>123</v>
      </c>
      <c r="N13938" s="45">
        <v>46014.302083333336</v>
      </c>
      <c r="O13938" s="46" t="s">
        <v>123</v>
      </c>
      <c r="P13938" s="46">
        <v>900.0</v>
      </c>
    </row>
    <row r="13939">
      <c r="A13939" s="40">
        <f t="shared" si="1"/>
        <v>46013</v>
      </c>
      <c r="B13939" s="37" t="str">
        <f t="array" ref="B13939">iferror(xlookup($I13939, 'IMPORT VHC Report'!$E:$E, 'IMPORT VHC Report'!$A:$C), )</f>
        <v/>
      </c>
      <c r="C13939" s="44"/>
      <c r="D13939" s="44"/>
      <c r="E13939" s="46" t="s">
        <v>10052</v>
      </c>
      <c r="F13939" s="46" t="s">
        <v>6307</v>
      </c>
      <c r="G13939" s="46">
        <v>1.0005707260559E13</v>
      </c>
      <c r="H13939" s="46" t="s">
        <v>6308</v>
      </c>
      <c r="I13939" s="46" t="s">
        <v>6309</v>
      </c>
      <c r="J13939" s="46" t="s">
        <v>134</v>
      </c>
      <c r="K13939" s="46" t="s">
        <v>126</v>
      </c>
      <c r="L13939" s="45">
        <v>46014.364583333336</v>
      </c>
      <c r="M13939" s="46" t="s">
        <v>123</v>
      </c>
      <c r="N13939" s="45">
        <v>46014.375</v>
      </c>
      <c r="O13939" s="46" t="s">
        <v>123</v>
      </c>
      <c r="P13939" s="46">
        <v>900.0</v>
      </c>
    </row>
    <row r="13940">
      <c r="A13940" s="40">
        <f t="shared" si="1"/>
        <v>46013</v>
      </c>
      <c r="B13940" s="37" t="str">
        <f t="array" ref="B13940">iferror(xlookup($I13940, 'IMPORT VHC Report'!$E:$E, 'IMPORT VHC Report'!$A:$C), )</f>
        <v/>
      </c>
      <c r="C13940" s="44"/>
      <c r="D13940" s="44"/>
      <c r="E13940" s="46" t="s">
        <v>10053</v>
      </c>
      <c r="F13940" s="46" t="s">
        <v>6307</v>
      </c>
      <c r="G13940" s="46">
        <v>1.0005707260559E13</v>
      </c>
      <c r="H13940" s="46" t="s">
        <v>6308</v>
      </c>
      <c r="I13940" s="46" t="s">
        <v>6309</v>
      </c>
      <c r="J13940" s="46" t="s">
        <v>132</v>
      </c>
      <c r="K13940" s="46" t="s">
        <v>126</v>
      </c>
      <c r="L13940" s="45">
        <v>46014.4375</v>
      </c>
      <c r="M13940" s="46" t="s">
        <v>123</v>
      </c>
      <c r="N13940" s="45">
        <v>46014.479166666664</v>
      </c>
      <c r="O13940" s="46" t="s">
        <v>123</v>
      </c>
      <c r="P13940" s="46">
        <v>3600.0</v>
      </c>
    </row>
    <row r="13941">
      <c r="A13941" s="40">
        <f t="shared" si="1"/>
        <v>46013</v>
      </c>
      <c r="B13941" s="37" t="str">
        <f t="array" ref="B13941">iferror(xlookup($I13941, 'IMPORT VHC Report'!$E:$E, 'IMPORT VHC Report'!$A:$C), )</f>
        <v/>
      </c>
      <c r="C13941" s="44"/>
      <c r="D13941" s="44"/>
      <c r="E13941" s="46" t="s">
        <v>10054</v>
      </c>
      <c r="F13941" s="46" t="s">
        <v>6307</v>
      </c>
      <c r="G13941" s="46">
        <v>1.0005707260559E13</v>
      </c>
      <c r="H13941" s="46" t="s">
        <v>6308</v>
      </c>
      <c r="I13941" s="46" t="s">
        <v>6309</v>
      </c>
      <c r="J13941" s="46" t="s">
        <v>4</v>
      </c>
      <c r="K13941" s="46" t="s">
        <v>126</v>
      </c>
      <c r="L13941" s="45">
        <v>46014.49722222222</v>
      </c>
      <c r="M13941" s="46" t="s">
        <v>123</v>
      </c>
      <c r="N13941" s="45">
        <v>46014.510416666664</v>
      </c>
      <c r="O13941" s="46" t="s">
        <v>123</v>
      </c>
      <c r="P13941" s="46">
        <v>1140.0</v>
      </c>
    </row>
    <row r="13942">
      <c r="A13942" s="40">
        <f t="shared" si="1"/>
        <v>46013</v>
      </c>
      <c r="B13942" s="37" t="str">
        <f t="array" ref="B13942">iferror(xlookup($I13942, 'IMPORT VHC Report'!$E:$E, 'IMPORT VHC Report'!$A:$C), )</f>
        <v/>
      </c>
      <c r="C13942" s="44"/>
      <c r="D13942" s="44"/>
      <c r="E13942" s="46" t="s">
        <v>10055</v>
      </c>
      <c r="F13942" s="46" t="s">
        <v>6307</v>
      </c>
      <c r="G13942" s="46">
        <v>1.0005707260559E13</v>
      </c>
      <c r="H13942" s="46" t="s">
        <v>6308</v>
      </c>
      <c r="I13942" s="46" t="s">
        <v>6309</v>
      </c>
      <c r="J13942" s="46" t="s">
        <v>224</v>
      </c>
      <c r="K13942" s="46" t="s">
        <v>63</v>
      </c>
      <c r="L13942" s="45">
        <v>46015.166666666664</v>
      </c>
      <c r="M13942" s="46" t="s">
        <v>123</v>
      </c>
      <c r="N13942" s="45">
        <v>46015.541666666664</v>
      </c>
      <c r="O13942" s="46" t="s">
        <v>123</v>
      </c>
      <c r="P13942" s="46">
        <v>32400.0</v>
      </c>
    </row>
    <row r="13943">
      <c r="A13943" s="40">
        <f t="shared" si="1"/>
        <v>46013</v>
      </c>
      <c r="B13943" s="37" t="str">
        <f t="array" ref="B13943">iferror(xlookup($I13943, 'IMPORT VHC Report'!$E:$E, 'IMPORT VHC Report'!$A:$C), )</f>
        <v/>
      </c>
      <c r="C13943" s="44"/>
      <c r="D13943" s="44"/>
      <c r="E13943" s="46" t="s">
        <v>10056</v>
      </c>
      <c r="F13943" s="46" t="s">
        <v>6307</v>
      </c>
      <c r="G13943" s="46">
        <v>1.0005707260559E13</v>
      </c>
      <c r="H13943" s="46" t="s">
        <v>6308</v>
      </c>
      <c r="I13943" s="46" t="s">
        <v>6309</v>
      </c>
      <c r="J13943" s="46" t="s">
        <v>134</v>
      </c>
      <c r="K13943" s="46" t="s">
        <v>126</v>
      </c>
      <c r="L13943" s="45">
        <v>46015.25</v>
      </c>
      <c r="M13943" s="46" t="s">
        <v>123</v>
      </c>
      <c r="N13943" s="45">
        <v>46015.260416666664</v>
      </c>
      <c r="O13943" s="46" t="s">
        <v>123</v>
      </c>
      <c r="P13943" s="46">
        <v>900.0</v>
      </c>
    </row>
    <row r="13944">
      <c r="A13944" s="40">
        <f t="shared" si="1"/>
        <v>46013</v>
      </c>
      <c r="B13944" s="37" t="str">
        <f t="array" ref="B13944">iferror(xlookup($I13944, 'IMPORT VHC Report'!$E:$E, 'IMPORT VHC Report'!$A:$C), )</f>
        <v/>
      </c>
      <c r="C13944" s="44"/>
      <c r="D13944" s="44"/>
      <c r="E13944" s="46" t="s">
        <v>10057</v>
      </c>
      <c r="F13944" s="46" t="s">
        <v>6307</v>
      </c>
      <c r="G13944" s="46">
        <v>1.0005707260559E13</v>
      </c>
      <c r="H13944" s="46" t="s">
        <v>6308</v>
      </c>
      <c r="I13944" s="46" t="s">
        <v>6309</v>
      </c>
      <c r="J13944" s="46" t="s">
        <v>134</v>
      </c>
      <c r="K13944" s="46" t="s">
        <v>126</v>
      </c>
      <c r="L13944" s="45">
        <v>46015.322916666664</v>
      </c>
      <c r="M13944" s="46" t="s">
        <v>123</v>
      </c>
      <c r="N13944" s="45">
        <v>46015.333333333336</v>
      </c>
      <c r="O13944" s="46" t="s">
        <v>123</v>
      </c>
      <c r="P13944" s="46">
        <v>900.0</v>
      </c>
    </row>
    <row r="13945">
      <c r="A13945" s="40">
        <f t="shared" si="1"/>
        <v>46013</v>
      </c>
      <c r="B13945" s="37" t="str">
        <f t="array" ref="B13945">iferror(xlookup($I13945, 'IMPORT VHC Report'!$E:$E, 'IMPORT VHC Report'!$A:$C), )</f>
        <v/>
      </c>
      <c r="C13945" s="44"/>
      <c r="D13945" s="44"/>
      <c r="E13945" s="46" t="s">
        <v>10058</v>
      </c>
      <c r="F13945" s="46" t="s">
        <v>6307</v>
      </c>
      <c r="G13945" s="46">
        <v>1.0005707260559E13</v>
      </c>
      <c r="H13945" s="46" t="s">
        <v>6308</v>
      </c>
      <c r="I13945" s="46" t="s">
        <v>6309</v>
      </c>
      <c r="J13945" s="46" t="s">
        <v>132</v>
      </c>
      <c r="K13945" s="46" t="s">
        <v>126</v>
      </c>
      <c r="L13945" s="45">
        <v>46015.4375</v>
      </c>
      <c r="M13945" s="46" t="s">
        <v>123</v>
      </c>
      <c r="N13945" s="45">
        <v>46015.479166666664</v>
      </c>
      <c r="O13945" s="46" t="s">
        <v>123</v>
      </c>
      <c r="P13945" s="46">
        <v>3600.0</v>
      </c>
    </row>
    <row r="13946">
      <c r="A13946" s="40">
        <f t="shared" si="1"/>
        <v>46013</v>
      </c>
      <c r="B13946" s="37" t="str">
        <f t="array" ref="B13946">iferror(xlookup($I13946, 'IMPORT VHC Report'!$E:$E, 'IMPORT VHC Report'!$A:$C), )</f>
        <v/>
      </c>
      <c r="C13946" s="44"/>
      <c r="D13946" s="44"/>
      <c r="E13946" s="46" t="s">
        <v>10059</v>
      </c>
      <c r="F13946" s="46" t="s">
        <v>6307</v>
      </c>
      <c r="G13946" s="46">
        <v>1.0005707260559E13</v>
      </c>
      <c r="H13946" s="46" t="s">
        <v>6308</v>
      </c>
      <c r="I13946" s="46" t="s">
        <v>6309</v>
      </c>
      <c r="J13946" s="46" t="s">
        <v>4</v>
      </c>
      <c r="K13946" s="46" t="s">
        <v>126</v>
      </c>
      <c r="L13946" s="45">
        <v>46015.486805555556</v>
      </c>
      <c r="M13946" s="46" t="s">
        <v>123</v>
      </c>
      <c r="N13946" s="45">
        <v>46015.498611111114</v>
      </c>
      <c r="O13946" s="46" t="s">
        <v>123</v>
      </c>
      <c r="P13946" s="46">
        <v>1020.0</v>
      </c>
      <c r="S13946" s="46" t="s">
        <v>10060</v>
      </c>
    </row>
    <row r="13947">
      <c r="A13947" s="40">
        <f t="shared" si="1"/>
        <v>46013</v>
      </c>
      <c r="B13947" s="37" t="str">
        <f t="array" ref="B13947">iferror(xlookup($I13947, 'IMPORT VHC Report'!$E:$E, 'IMPORT VHC Report'!$A:$C), )</f>
        <v/>
      </c>
      <c r="C13947" s="44"/>
      <c r="D13947" s="44"/>
      <c r="E13947" s="46" t="s">
        <v>10061</v>
      </c>
      <c r="F13947" s="46" t="s">
        <v>6307</v>
      </c>
      <c r="G13947" s="46">
        <v>1.0005707260559E13</v>
      </c>
      <c r="H13947" s="46" t="s">
        <v>6308</v>
      </c>
      <c r="I13947" s="46" t="s">
        <v>6309</v>
      </c>
      <c r="J13947" s="46" t="s">
        <v>125</v>
      </c>
      <c r="K13947" s="46" t="s">
        <v>126</v>
      </c>
      <c r="L13947" s="45">
        <v>46015.520833333336</v>
      </c>
      <c r="M13947" s="46" t="s">
        <v>123</v>
      </c>
      <c r="N13947" s="45">
        <v>46015.541666666664</v>
      </c>
      <c r="O13947" s="46" t="s">
        <v>123</v>
      </c>
      <c r="P13947" s="46">
        <v>1800.0</v>
      </c>
    </row>
    <row r="13948">
      <c r="A13948" s="40">
        <f t="shared" si="1"/>
        <v>46013</v>
      </c>
      <c r="B13948" s="37" t="str">
        <f t="array" ref="B13948">iferror(xlookup($I13948, 'IMPORT VHC Report'!$E:$E, 'IMPORT VHC Report'!$A:$C), )</f>
        <v/>
      </c>
      <c r="C13948" s="44"/>
      <c r="D13948" s="44"/>
      <c r="E13948" s="46" t="s">
        <v>10062</v>
      </c>
      <c r="F13948" s="46" t="s">
        <v>6307</v>
      </c>
      <c r="G13948" s="46">
        <v>1.0005707260559E13</v>
      </c>
      <c r="H13948" s="46" t="s">
        <v>6308</v>
      </c>
      <c r="I13948" s="46" t="s">
        <v>6309</v>
      </c>
      <c r="J13948" s="46" t="s">
        <v>224</v>
      </c>
      <c r="K13948" s="46" t="s">
        <v>63</v>
      </c>
      <c r="L13948" s="45">
        <v>46016.166666666664</v>
      </c>
      <c r="M13948" s="46" t="s">
        <v>123</v>
      </c>
      <c r="N13948" s="45">
        <v>46016.21875</v>
      </c>
      <c r="O13948" s="46" t="s">
        <v>123</v>
      </c>
      <c r="P13948" s="46">
        <v>4500.0</v>
      </c>
    </row>
    <row r="13949">
      <c r="A13949" s="40">
        <f t="shared" si="1"/>
        <v>46013</v>
      </c>
      <c r="B13949" s="37" t="str">
        <f t="array" ref="B13949">iferror(xlookup($I13949, 'IMPORT VHC Report'!$E:$E, 'IMPORT VHC Report'!$A:$C), )</f>
        <v/>
      </c>
      <c r="C13949" s="44"/>
      <c r="D13949" s="44"/>
      <c r="E13949" s="46" t="s">
        <v>10063</v>
      </c>
      <c r="F13949" s="46" t="s">
        <v>6307</v>
      </c>
      <c r="G13949" s="46">
        <v>1.0005707260559E13</v>
      </c>
      <c r="H13949" s="46" t="s">
        <v>6308</v>
      </c>
      <c r="I13949" s="46" t="s">
        <v>6309</v>
      </c>
      <c r="J13949" s="46" t="s">
        <v>62</v>
      </c>
      <c r="K13949" s="46" t="s">
        <v>63</v>
      </c>
      <c r="L13949" s="45">
        <v>46016.21875</v>
      </c>
      <c r="M13949" s="46" t="s">
        <v>123</v>
      </c>
      <c r="N13949" s="45">
        <v>46016.239583333336</v>
      </c>
      <c r="O13949" s="46" t="s">
        <v>123</v>
      </c>
      <c r="P13949" s="46">
        <v>1800.0</v>
      </c>
    </row>
    <row r="13950">
      <c r="A13950" s="40">
        <f t="shared" si="1"/>
        <v>46013</v>
      </c>
      <c r="B13950" s="37" t="str">
        <f t="array" ref="B13950">iferror(xlookup($I13950, 'IMPORT VHC Report'!$E:$E, 'IMPORT VHC Report'!$A:$C), )</f>
        <v/>
      </c>
      <c r="C13950" s="44"/>
      <c r="D13950" s="44"/>
      <c r="E13950" s="46" t="s">
        <v>10064</v>
      </c>
      <c r="F13950" s="46" t="s">
        <v>6307</v>
      </c>
      <c r="G13950" s="46">
        <v>1.0005707260559E13</v>
      </c>
      <c r="H13950" s="46" t="s">
        <v>6308</v>
      </c>
      <c r="I13950" s="46" t="s">
        <v>6309</v>
      </c>
      <c r="J13950" s="46" t="s">
        <v>224</v>
      </c>
      <c r="K13950" s="46" t="s">
        <v>63</v>
      </c>
      <c r="L13950" s="45">
        <v>46016.239583333336</v>
      </c>
      <c r="M13950" s="46" t="s">
        <v>123</v>
      </c>
      <c r="N13950" s="45">
        <v>46016.541666666664</v>
      </c>
      <c r="O13950" s="46" t="s">
        <v>123</v>
      </c>
      <c r="P13950" s="46">
        <v>26100.0</v>
      </c>
    </row>
    <row r="13951">
      <c r="A13951" s="40">
        <f t="shared" si="1"/>
        <v>46013</v>
      </c>
      <c r="B13951" s="37" t="str">
        <f t="array" ref="B13951">iferror(xlookup($I13951, 'IMPORT VHC Report'!$E:$E, 'IMPORT VHC Report'!$A:$C), )</f>
        <v/>
      </c>
      <c r="C13951" s="44"/>
      <c r="D13951" s="44"/>
      <c r="E13951" s="46" t="s">
        <v>10065</v>
      </c>
      <c r="F13951" s="46" t="s">
        <v>6307</v>
      </c>
      <c r="G13951" s="46">
        <v>1.0005707260559E13</v>
      </c>
      <c r="H13951" s="46" t="s">
        <v>6308</v>
      </c>
      <c r="I13951" s="46" t="s">
        <v>6309</v>
      </c>
      <c r="J13951" s="46" t="s">
        <v>134</v>
      </c>
      <c r="K13951" s="46" t="s">
        <v>126</v>
      </c>
      <c r="L13951" s="45">
        <v>46016.260416666664</v>
      </c>
      <c r="M13951" s="46" t="s">
        <v>123</v>
      </c>
      <c r="N13951" s="45">
        <v>46016.270833333336</v>
      </c>
      <c r="O13951" s="46" t="s">
        <v>123</v>
      </c>
      <c r="P13951" s="46">
        <v>900.0</v>
      </c>
    </row>
    <row r="13952">
      <c r="A13952" s="40">
        <f t="shared" si="1"/>
        <v>46013</v>
      </c>
      <c r="B13952" s="37" t="str">
        <f t="array" ref="B13952">iferror(xlookup($I13952, 'IMPORT VHC Report'!$E:$E, 'IMPORT VHC Report'!$A:$C), )</f>
        <v/>
      </c>
      <c r="C13952" s="44"/>
      <c r="D13952" s="44"/>
      <c r="E13952" s="46" t="s">
        <v>10066</v>
      </c>
      <c r="F13952" s="46" t="s">
        <v>6307</v>
      </c>
      <c r="G13952" s="46">
        <v>1.0005707260559E13</v>
      </c>
      <c r="H13952" s="46" t="s">
        <v>6308</v>
      </c>
      <c r="I13952" s="46" t="s">
        <v>6309</v>
      </c>
      <c r="J13952" s="46" t="s">
        <v>134</v>
      </c>
      <c r="K13952" s="46" t="s">
        <v>126</v>
      </c>
      <c r="L13952" s="45">
        <v>46016.34375</v>
      </c>
      <c r="M13952" s="46" t="s">
        <v>123</v>
      </c>
      <c r="N13952" s="45">
        <v>46016.354166666664</v>
      </c>
      <c r="O13952" s="46" t="s">
        <v>123</v>
      </c>
      <c r="P13952" s="46">
        <v>900.0</v>
      </c>
    </row>
    <row r="13953">
      <c r="A13953" s="40">
        <f t="shared" si="1"/>
        <v>46013</v>
      </c>
      <c r="B13953" s="37" t="str">
        <f t="array" ref="B13953">iferror(xlookup($I13953, 'IMPORT VHC Report'!$E:$E, 'IMPORT VHC Report'!$A:$C), )</f>
        <v/>
      </c>
      <c r="C13953" s="44"/>
      <c r="D13953" s="44"/>
      <c r="E13953" s="46" t="s">
        <v>10067</v>
      </c>
      <c r="F13953" s="46" t="s">
        <v>6307</v>
      </c>
      <c r="G13953" s="46">
        <v>1.0005707260559E13</v>
      </c>
      <c r="H13953" s="46" t="s">
        <v>6308</v>
      </c>
      <c r="I13953" s="46" t="s">
        <v>6309</v>
      </c>
      <c r="J13953" s="46" t="s">
        <v>132</v>
      </c>
      <c r="K13953" s="46" t="s">
        <v>126</v>
      </c>
      <c r="L13953" s="45">
        <v>46016.416666666664</v>
      </c>
      <c r="M13953" s="46" t="s">
        <v>123</v>
      </c>
      <c r="N13953" s="45">
        <v>46016.458333333336</v>
      </c>
      <c r="O13953" s="46" t="s">
        <v>123</v>
      </c>
      <c r="P13953" s="46">
        <v>3600.0</v>
      </c>
    </row>
    <row r="13954">
      <c r="A13954" s="40">
        <f t="shared" si="1"/>
        <v>46013</v>
      </c>
      <c r="B13954" s="37" t="str">
        <f t="array" ref="B13954">iferror(xlookup($I13954, 'IMPORT VHC Report'!$E:$E, 'IMPORT VHC Report'!$A:$C), )</f>
        <v/>
      </c>
      <c r="C13954" s="44"/>
      <c r="D13954" s="44"/>
      <c r="E13954" s="46" t="s">
        <v>10068</v>
      </c>
      <c r="F13954" s="46" t="s">
        <v>6307</v>
      </c>
      <c r="G13954" s="46">
        <v>1.0005707260559E13</v>
      </c>
      <c r="H13954" s="46" t="s">
        <v>6308</v>
      </c>
      <c r="I13954" s="46" t="s">
        <v>6309</v>
      </c>
      <c r="J13954" s="46" t="s">
        <v>4</v>
      </c>
      <c r="K13954" s="46" t="s">
        <v>126</v>
      </c>
      <c r="L13954" s="45">
        <v>46016.486805555556</v>
      </c>
      <c r="M13954" s="46" t="s">
        <v>123</v>
      </c>
      <c r="N13954" s="45">
        <v>46016.518055555556</v>
      </c>
      <c r="O13954" s="46" t="s">
        <v>123</v>
      </c>
      <c r="P13954" s="46">
        <v>2700.0</v>
      </c>
      <c r="S13954" s="46" t="s">
        <v>10069</v>
      </c>
    </row>
    <row r="13955">
      <c r="A13955" s="40">
        <f t="shared" si="1"/>
        <v>46013</v>
      </c>
      <c r="B13955" s="37" t="str">
        <f t="array" ref="B13955">iferror(xlookup($I13955, 'IMPORT VHC Report'!$E:$E, 'IMPORT VHC Report'!$A:$C), )</f>
        <v/>
      </c>
      <c r="C13955" s="44"/>
      <c r="D13955" s="44"/>
      <c r="E13955" s="46" t="s">
        <v>10070</v>
      </c>
      <c r="F13955" s="46" t="s">
        <v>6307</v>
      </c>
      <c r="G13955" s="46">
        <v>1.0005707260559E13</v>
      </c>
      <c r="H13955" s="46" t="s">
        <v>6308</v>
      </c>
      <c r="I13955" s="46" t="s">
        <v>6309</v>
      </c>
      <c r="J13955" s="46" t="s">
        <v>224</v>
      </c>
      <c r="K13955" s="46" t="s">
        <v>63</v>
      </c>
      <c r="L13955" s="45">
        <v>46017.166666666664</v>
      </c>
      <c r="M13955" s="46" t="s">
        <v>123</v>
      </c>
      <c r="N13955" s="45">
        <v>46017.541666666664</v>
      </c>
      <c r="O13955" s="46" t="s">
        <v>123</v>
      </c>
      <c r="P13955" s="46">
        <v>32400.0</v>
      </c>
    </row>
    <row r="13956">
      <c r="A13956" s="40">
        <f t="shared" si="1"/>
        <v>46013</v>
      </c>
      <c r="B13956" s="37" t="str">
        <f t="array" ref="B13956">iferror(xlookup($I13956, 'IMPORT VHC Report'!$E:$E, 'IMPORT VHC Report'!$A:$C), )</f>
        <v/>
      </c>
      <c r="C13956" s="44"/>
      <c r="D13956" s="44"/>
      <c r="E13956" s="46" t="s">
        <v>10071</v>
      </c>
      <c r="F13956" s="46" t="s">
        <v>6307</v>
      </c>
      <c r="G13956" s="46">
        <v>1.0005707260559E13</v>
      </c>
      <c r="H13956" s="46" t="s">
        <v>6308</v>
      </c>
      <c r="I13956" s="46" t="s">
        <v>6309</v>
      </c>
      <c r="J13956" s="46" t="s">
        <v>132</v>
      </c>
      <c r="K13956" s="46" t="s">
        <v>126</v>
      </c>
      <c r="L13956" s="45">
        <v>46017.25</v>
      </c>
      <c r="M13956" s="46" t="s">
        <v>123</v>
      </c>
      <c r="N13956" s="45">
        <v>46017.291666666664</v>
      </c>
      <c r="O13956" s="46" t="s">
        <v>123</v>
      </c>
      <c r="P13956" s="46">
        <v>3600.0</v>
      </c>
    </row>
    <row r="13957">
      <c r="A13957" s="40">
        <f t="shared" si="1"/>
        <v>46013</v>
      </c>
      <c r="B13957" s="37" t="str">
        <f t="array" ref="B13957">iferror(xlookup($I13957, 'IMPORT VHC Report'!$E:$E, 'IMPORT VHC Report'!$A:$C), )</f>
        <v/>
      </c>
      <c r="C13957" s="44"/>
      <c r="D13957" s="44"/>
      <c r="E13957" s="46" t="s">
        <v>10072</v>
      </c>
      <c r="F13957" s="46" t="s">
        <v>6307</v>
      </c>
      <c r="G13957" s="46">
        <v>1.0005707260559E13</v>
      </c>
      <c r="H13957" s="46" t="s">
        <v>6308</v>
      </c>
      <c r="I13957" s="46" t="s">
        <v>6309</v>
      </c>
      <c r="J13957" s="46" t="s">
        <v>134</v>
      </c>
      <c r="K13957" s="46" t="s">
        <v>126</v>
      </c>
      <c r="L13957" s="45">
        <v>46017.354166666664</v>
      </c>
      <c r="M13957" s="46" t="s">
        <v>123</v>
      </c>
      <c r="N13957" s="45">
        <v>46017.364583333336</v>
      </c>
      <c r="O13957" s="46" t="s">
        <v>123</v>
      </c>
      <c r="P13957" s="46">
        <v>900.0</v>
      </c>
    </row>
    <row r="13958">
      <c r="A13958" s="40">
        <f t="shared" si="1"/>
        <v>46013</v>
      </c>
      <c r="B13958" s="37" t="str">
        <f t="array" ref="B13958">iferror(xlookup($I13958, 'IMPORT VHC Report'!$E:$E, 'IMPORT VHC Report'!$A:$C), )</f>
        <v/>
      </c>
      <c r="C13958" s="44"/>
      <c r="D13958" s="44"/>
      <c r="E13958" s="46" t="s">
        <v>10073</v>
      </c>
      <c r="F13958" s="46" t="s">
        <v>6307</v>
      </c>
      <c r="G13958" s="46">
        <v>1.0005707260559E13</v>
      </c>
      <c r="H13958" s="46" t="s">
        <v>6308</v>
      </c>
      <c r="I13958" s="46" t="s">
        <v>6309</v>
      </c>
      <c r="J13958" s="46" t="s">
        <v>134</v>
      </c>
      <c r="K13958" s="46" t="s">
        <v>126</v>
      </c>
      <c r="L13958" s="45">
        <v>46017.4375</v>
      </c>
      <c r="M13958" s="46" t="s">
        <v>123</v>
      </c>
      <c r="N13958" s="45">
        <v>46017.447916666664</v>
      </c>
      <c r="O13958" s="46" t="s">
        <v>123</v>
      </c>
      <c r="P13958" s="46">
        <v>900.0</v>
      </c>
    </row>
    <row r="13959">
      <c r="A13959" s="40">
        <f t="shared" si="1"/>
        <v>46013</v>
      </c>
      <c r="B13959" s="37" t="str">
        <f t="array" ref="B13959">iferror(xlookup($I13959, 'IMPORT VHC Report'!$E:$E, 'IMPORT VHC Report'!$A:$C), )</f>
        <v/>
      </c>
      <c r="C13959" s="44"/>
      <c r="D13959" s="44"/>
      <c r="E13959" s="46" t="s">
        <v>10074</v>
      </c>
      <c r="F13959" s="46" t="s">
        <v>6307</v>
      </c>
      <c r="G13959" s="46">
        <v>1.0005707260559E13</v>
      </c>
      <c r="H13959" s="46" t="s">
        <v>6308</v>
      </c>
      <c r="I13959" s="46" t="s">
        <v>6309</v>
      </c>
      <c r="J13959" s="46" t="s">
        <v>125</v>
      </c>
      <c r="K13959" s="46" t="s">
        <v>126</v>
      </c>
      <c r="L13959" s="45">
        <v>46017.447916666664</v>
      </c>
      <c r="M13959" s="46" t="s">
        <v>123</v>
      </c>
      <c r="N13959" s="45">
        <v>46017.489583333336</v>
      </c>
      <c r="O13959" s="46" t="s">
        <v>123</v>
      </c>
      <c r="P13959" s="46">
        <v>3600.0</v>
      </c>
      <c r="S13959" s="46" t="s">
        <v>9139</v>
      </c>
    </row>
    <row r="13960">
      <c r="A13960" s="40">
        <f t="shared" si="1"/>
        <v>46013</v>
      </c>
      <c r="B13960" s="37" t="str">
        <f t="array" ref="B13960">iferror(xlookup($I13960, 'IMPORT VHC Report'!$E:$E, 'IMPORT VHC Report'!$A:$C), )</f>
        <v/>
      </c>
      <c r="C13960" s="44"/>
      <c r="D13960" s="44"/>
      <c r="E13960" s="46" t="s">
        <v>10075</v>
      </c>
      <c r="F13960" s="46" t="s">
        <v>6307</v>
      </c>
      <c r="G13960" s="46">
        <v>1.0005707260559E13</v>
      </c>
      <c r="H13960" s="46" t="s">
        <v>6308</v>
      </c>
      <c r="I13960" s="46" t="s">
        <v>6309</v>
      </c>
      <c r="J13960" s="46" t="s">
        <v>224</v>
      </c>
      <c r="K13960" s="46" t="s">
        <v>63</v>
      </c>
      <c r="L13960" s="45">
        <v>46018.166666666664</v>
      </c>
      <c r="M13960" s="46" t="s">
        <v>123</v>
      </c>
      <c r="N13960" s="45">
        <v>46018.541666666664</v>
      </c>
      <c r="O13960" s="46" t="s">
        <v>123</v>
      </c>
      <c r="P13960" s="46">
        <v>32400.0</v>
      </c>
    </row>
    <row r="13961">
      <c r="A13961" s="40">
        <f t="shared" si="1"/>
        <v>46013</v>
      </c>
      <c r="B13961" s="37" t="str">
        <f t="array" ref="B13961">iferror(xlookup($I13961, 'IMPORT VHC Report'!$E:$E, 'IMPORT VHC Report'!$A:$C), )</f>
        <v/>
      </c>
      <c r="C13961" s="44"/>
      <c r="D13961" s="44"/>
      <c r="E13961" s="46" t="s">
        <v>10076</v>
      </c>
      <c r="F13961" s="46" t="s">
        <v>6307</v>
      </c>
      <c r="G13961" s="46">
        <v>1.0005707260559E13</v>
      </c>
      <c r="H13961" s="46" t="s">
        <v>6308</v>
      </c>
      <c r="I13961" s="46" t="s">
        <v>6309</v>
      </c>
      <c r="J13961" s="46" t="s">
        <v>134</v>
      </c>
      <c r="K13961" s="46" t="s">
        <v>126</v>
      </c>
      <c r="L13961" s="45">
        <v>46018.25</v>
      </c>
      <c r="M13961" s="46" t="s">
        <v>123</v>
      </c>
      <c r="N13961" s="45">
        <v>46018.260416666664</v>
      </c>
      <c r="O13961" s="46" t="s">
        <v>123</v>
      </c>
      <c r="P13961" s="46">
        <v>900.0</v>
      </c>
    </row>
    <row r="13962">
      <c r="A13962" s="40">
        <f t="shared" si="1"/>
        <v>46013</v>
      </c>
      <c r="B13962" s="37" t="str">
        <f t="array" ref="B13962">iferror(xlookup($I13962, 'IMPORT VHC Report'!$E:$E, 'IMPORT VHC Report'!$A:$C), )</f>
        <v/>
      </c>
      <c r="C13962" s="44"/>
      <c r="D13962" s="44"/>
      <c r="E13962" s="46" t="s">
        <v>10077</v>
      </c>
      <c r="F13962" s="46" t="s">
        <v>6307</v>
      </c>
      <c r="G13962" s="46">
        <v>1.0005707260559E13</v>
      </c>
      <c r="H13962" s="46" t="s">
        <v>6308</v>
      </c>
      <c r="I13962" s="46" t="s">
        <v>6309</v>
      </c>
      <c r="J13962" s="46" t="s">
        <v>134</v>
      </c>
      <c r="K13962" s="46" t="s">
        <v>126</v>
      </c>
      <c r="L13962" s="45">
        <v>46018.333333333336</v>
      </c>
      <c r="M13962" s="46" t="s">
        <v>123</v>
      </c>
      <c r="N13962" s="45">
        <v>46018.34375</v>
      </c>
      <c r="O13962" s="46" t="s">
        <v>123</v>
      </c>
      <c r="P13962" s="46">
        <v>900.0</v>
      </c>
    </row>
    <row r="13963">
      <c r="A13963" s="40">
        <f t="shared" si="1"/>
        <v>46013</v>
      </c>
      <c r="B13963" s="37" t="str">
        <f t="array" ref="B13963">iferror(xlookup($I13963, 'IMPORT VHC Report'!$E:$E, 'IMPORT VHC Report'!$A:$C), )</f>
        <v/>
      </c>
      <c r="C13963" s="44"/>
      <c r="D13963" s="44"/>
      <c r="E13963" s="46" t="s">
        <v>10078</v>
      </c>
      <c r="F13963" s="46" t="s">
        <v>6307</v>
      </c>
      <c r="G13963" s="46">
        <v>1.0005707260559E13</v>
      </c>
      <c r="H13963" s="46" t="s">
        <v>6308</v>
      </c>
      <c r="I13963" s="46" t="s">
        <v>6309</v>
      </c>
      <c r="J13963" s="46" t="s">
        <v>132</v>
      </c>
      <c r="K13963" s="46" t="s">
        <v>126</v>
      </c>
      <c r="L13963" s="45">
        <v>46018.416666666664</v>
      </c>
      <c r="M13963" s="46" t="s">
        <v>123</v>
      </c>
      <c r="N13963" s="45">
        <v>46018.458333333336</v>
      </c>
      <c r="O13963" s="46" t="s">
        <v>123</v>
      </c>
      <c r="P13963" s="46">
        <v>3600.0</v>
      </c>
    </row>
    <row r="13964">
      <c r="A13964" s="40">
        <f t="shared" si="1"/>
        <v>46013</v>
      </c>
      <c r="B13964" s="37" t="str">
        <f t="array" ref="B13964">iferror(xlookup($I13964, 'IMPORT VHC Report'!$E:$E, 'IMPORT VHC Report'!$A:$C), )</f>
        <v/>
      </c>
      <c r="C13964" s="44"/>
      <c r="D13964" s="44"/>
      <c r="E13964" s="46" t="s">
        <v>10079</v>
      </c>
      <c r="F13964" s="46" t="s">
        <v>6894</v>
      </c>
      <c r="G13964" s="46">
        <v>3.61731791835E11</v>
      </c>
      <c r="H13964" s="46" t="s">
        <v>6895</v>
      </c>
      <c r="I13964" s="46" t="s">
        <v>6896</v>
      </c>
      <c r="J13964" s="46" t="s">
        <v>224</v>
      </c>
      <c r="K13964" s="46" t="s">
        <v>63</v>
      </c>
      <c r="L13964" s="45">
        <v>46014.416666666664</v>
      </c>
      <c r="M13964" s="46" t="s">
        <v>123</v>
      </c>
      <c r="N13964" s="45">
        <v>46014.4375</v>
      </c>
      <c r="O13964" s="46" t="s">
        <v>123</v>
      </c>
      <c r="P13964" s="46">
        <v>1800.0</v>
      </c>
    </row>
    <row r="13965">
      <c r="A13965" s="40">
        <f t="shared" si="1"/>
        <v>46013</v>
      </c>
      <c r="B13965" s="37" t="str">
        <f t="array" ref="B13965">iferror(xlookup($I13965, 'IMPORT VHC Report'!$E:$E, 'IMPORT VHC Report'!$A:$C), )</f>
        <v/>
      </c>
      <c r="C13965" s="44"/>
      <c r="D13965" s="44"/>
      <c r="E13965" s="46" t="s">
        <v>10080</v>
      </c>
      <c r="F13965" s="46" t="s">
        <v>6894</v>
      </c>
      <c r="G13965" s="46">
        <v>3.61731791835E11</v>
      </c>
      <c r="H13965" s="46" t="s">
        <v>6895</v>
      </c>
      <c r="I13965" s="46" t="s">
        <v>6896</v>
      </c>
      <c r="J13965" s="46" t="s">
        <v>62</v>
      </c>
      <c r="K13965" s="46" t="s">
        <v>63</v>
      </c>
      <c r="L13965" s="45">
        <v>46014.4375</v>
      </c>
      <c r="M13965" s="46" t="s">
        <v>123</v>
      </c>
      <c r="N13965" s="45">
        <v>46014.458333333336</v>
      </c>
      <c r="O13965" s="46" t="s">
        <v>123</v>
      </c>
      <c r="P13965" s="46">
        <v>1800.0</v>
      </c>
    </row>
    <row r="13966">
      <c r="A13966" s="40">
        <f t="shared" si="1"/>
        <v>46013</v>
      </c>
      <c r="B13966" s="37" t="str">
        <f t="array" ref="B13966">iferror(xlookup($I13966, 'IMPORT VHC Report'!$E:$E, 'IMPORT VHC Report'!$A:$C), )</f>
        <v/>
      </c>
      <c r="C13966" s="44"/>
      <c r="D13966" s="44"/>
      <c r="E13966" s="46" t="s">
        <v>10081</v>
      </c>
      <c r="F13966" s="46" t="s">
        <v>6894</v>
      </c>
      <c r="G13966" s="46">
        <v>3.61731791835E11</v>
      </c>
      <c r="H13966" s="46" t="s">
        <v>6895</v>
      </c>
      <c r="I13966" s="46" t="s">
        <v>6896</v>
      </c>
      <c r="J13966" s="46" t="s">
        <v>224</v>
      </c>
      <c r="K13966" s="46" t="s">
        <v>63</v>
      </c>
      <c r="L13966" s="45">
        <v>46014.458333333336</v>
      </c>
      <c r="M13966" s="46" t="s">
        <v>123</v>
      </c>
      <c r="N13966" s="45">
        <v>46014.791666666664</v>
      </c>
      <c r="O13966" s="46" t="s">
        <v>123</v>
      </c>
      <c r="P13966" s="46">
        <v>28800.0</v>
      </c>
    </row>
    <row r="13967">
      <c r="A13967" s="40">
        <f t="shared" si="1"/>
        <v>46013</v>
      </c>
      <c r="B13967" s="37" t="str">
        <f t="array" ref="B13967">iferror(xlookup($I13967, 'IMPORT VHC Report'!$E:$E, 'IMPORT VHC Report'!$A:$C), )</f>
        <v/>
      </c>
      <c r="C13967" s="44"/>
      <c r="D13967" s="44"/>
      <c r="E13967" s="46" t="s">
        <v>10082</v>
      </c>
      <c r="F13967" s="46" t="s">
        <v>6894</v>
      </c>
      <c r="G13967" s="46">
        <v>3.61731791835E11</v>
      </c>
      <c r="H13967" s="46" t="s">
        <v>6895</v>
      </c>
      <c r="I13967" s="46" t="s">
        <v>6896</v>
      </c>
      <c r="J13967" s="46" t="s">
        <v>132</v>
      </c>
      <c r="K13967" s="46" t="s">
        <v>126</v>
      </c>
      <c r="L13967" s="45">
        <v>46014.541666666664</v>
      </c>
      <c r="M13967" s="46" t="s">
        <v>123</v>
      </c>
      <c r="N13967" s="45">
        <v>46014.583333333336</v>
      </c>
      <c r="O13967" s="46" t="s">
        <v>123</v>
      </c>
      <c r="P13967" s="46">
        <v>3600.0</v>
      </c>
    </row>
    <row r="13968">
      <c r="A13968" s="40">
        <f t="shared" si="1"/>
        <v>46013</v>
      </c>
      <c r="B13968" s="37" t="str">
        <f t="array" ref="B13968">iferror(xlookup($I13968, 'IMPORT VHC Report'!$E:$E, 'IMPORT VHC Report'!$A:$C), )</f>
        <v/>
      </c>
      <c r="C13968" s="44"/>
      <c r="D13968" s="44"/>
      <c r="E13968" s="46" t="s">
        <v>10083</v>
      </c>
      <c r="F13968" s="46" t="s">
        <v>6894</v>
      </c>
      <c r="G13968" s="46">
        <v>3.61731791835E11</v>
      </c>
      <c r="H13968" s="46" t="s">
        <v>6895</v>
      </c>
      <c r="I13968" s="46" t="s">
        <v>6896</v>
      </c>
      <c r="J13968" s="46" t="s">
        <v>134</v>
      </c>
      <c r="K13968" s="46" t="s">
        <v>126</v>
      </c>
      <c r="L13968" s="45">
        <v>46014.645833333336</v>
      </c>
      <c r="M13968" s="46" t="s">
        <v>123</v>
      </c>
      <c r="N13968" s="45">
        <v>46014.65625</v>
      </c>
      <c r="O13968" s="46" t="s">
        <v>123</v>
      </c>
      <c r="P13968" s="46">
        <v>900.0</v>
      </c>
    </row>
    <row r="13969">
      <c r="A13969" s="40">
        <f t="shared" si="1"/>
        <v>46013</v>
      </c>
      <c r="B13969" s="37" t="str">
        <f t="array" ref="B13969">iferror(xlookup($I13969, 'IMPORT VHC Report'!$E:$E, 'IMPORT VHC Report'!$A:$C), )</f>
        <v/>
      </c>
      <c r="C13969" s="44"/>
      <c r="D13969" s="44"/>
      <c r="E13969" s="46" t="s">
        <v>10084</v>
      </c>
      <c r="F13969" s="46" t="s">
        <v>6894</v>
      </c>
      <c r="G13969" s="46">
        <v>3.61731791835E11</v>
      </c>
      <c r="H13969" s="46" t="s">
        <v>6895</v>
      </c>
      <c r="I13969" s="46" t="s">
        <v>6896</v>
      </c>
      <c r="J13969" s="46" t="s">
        <v>136</v>
      </c>
      <c r="K13969" s="46" t="s">
        <v>126</v>
      </c>
      <c r="L13969" s="45">
        <v>46014.708333333336</v>
      </c>
      <c r="M13969" s="46" t="s">
        <v>123</v>
      </c>
      <c r="N13969" s="45">
        <v>46014.75</v>
      </c>
      <c r="O13969" s="46" t="s">
        <v>123</v>
      </c>
      <c r="P13969" s="46">
        <v>3600.0</v>
      </c>
      <c r="S13969" s="46" t="s">
        <v>137</v>
      </c>
    </row>
    <row r="13970">
      <c r="A13970" s="40">
        <f t="shared" si="1"/>
        <v>46013</v>
      </c>
      <c r="B13970" s="37" t="str">
        <f t="array" ref="B13970">iferror(xlookup($I13970, 'IMPORT VHC Report'!$E:$E, 'IMPORT VHC Report'!$A:$C), )</f>
        <v/>
      </c>
      <c r="C13970" s="44"/>
      <c r="D13970" s="44"/>
      <c r="E13970" s="46" t="s">
        <v>10085</v>
      </c>
      <c r="F13970" s="46" t="s">
        <v>6894</v>
      </c>
      <c r="G13970" s="46">
        <v>3.61731791835E11</v>
      </c>
      <c r="H13970" s="46" t="s">
        <v>6895</v>
      </c>
      <c r="I13970" s="46" t="s">
        <v>6896</v>
      </c>
      <c r="J13970" s="46" t="s">
        <v>134</v>
      </c>
      <c r="K13970" s="46" t="s">
        <v>126</v>
      </c>
      <c r="L13970" s="45">
        <v>46014.75</v>
      </c>
      <c r="M13970" s="46" t="s">
        <v>123</v>
      </c>
      <c r="N13970" s="45">
        <v>46014.760416666664</v>
      </c>
      <c r="O13970" s="46" t="s">
        <v>123</v>
      </c>
      <c r="P13970" s="46">
        <v>900.0</v>
      </c>
    </row>
    <row r="13971">
      <c r="A13971" s="40">
        <f t="shared" si="1"/>
        <v>46013</v>
      </c>
      <c r="B13971" s="37" t="str">
        <f t="array" ref="B13971">iferror(xlookup($I13971, 'IMPORT VHC Report'!$E:$E, 'IMPORT VHC Report'!$A:$C), )</f>
        <v/>
      </c>
      <c r="C13971" s="44"/>
      <c r="D13971" s="44"/>
      <c r="E13971" s="46" t="s">
        <v>10086</v>
      </c>
      <c r="F13971" s="46" t="s">
        <v>6894</v>
      </c>
      <c r="G13971" s="46">
        <v>3.61731791835E11</v>
      </c>
      <c r="H13971" s="46" t="s">
        <v>6895</v>
      </c>
      <c r="I13971" s="46" t="s">
        <v>6896</v>
      </c>
      <c r="J13971" s="46" t="s">
        <v>224</v>
      </c>
      <c r="K13971" s="46" t="s">
        <v>63</v>
      </c>
      <c r="L13971" s="45">
        <v>46015.416666666664</v>
      </c>
      <c r="M13971" s="46" t="s">
        <v>123</v>
      </c>
      <c r="N13971" s="45">
        <v>46015.791666666664</v>
      </c>
      <c r="O13971" s="46" t="s">
        <v>123</v>
      </c>
      <c r="P13971" s="46">
        <v>32400.0</v>
      </c>
    </row>
    <row r="13972">
      <c r="A13972" s="40">
        <f t="shared" si="1"/>
        <v>46013</v>
      </c>
      <c r="B13972" s="37" t="str">
        <f t="array" ref="B13972">iferror(xlookup($I13972, 'IMPORT VHC Report'!$E:$E, 'IMPORT VHC Report'!$A:$C), )</f>
        <v/>
      </c>
      <c r="C13972" s="44"/>
      <c r="D13972" s="44"/>
      <c r="E13972" s="46" t="s">
        <v>10087</v>
      </c>
      <c r="F13972" s="46" t="s">
        <v>6894</v>
      </c>
      <c r="G13972" s="46">
        <v>3.61731791835E11</v>
      </c>
      <c r="H13972" s="46" t="s">
        <v>6895</v>
      </c>
      <c r="I13972" s="46" t="s">
        <v>6896</v>
      </c>
      <c r="J13972" s="46" t="s">
        <v>125</v>
      </c>
      <c r="K13972" s="46" t="s">
        <v>126</v>
      </c>
      <c r="L13972" s="45">
        <v>46015.479166666664</v>
      </c>
      <c r="M13972" s="46" t="s">
        <v>123</v>
      </c>
      <c r="N13972" s="45">
        <v>46015.520833333336</v>
      </c>
      <c r="O13972" s="46" t="s">
        <v>123</v>
      </c>
      <c r="P13972" s="46">
        <v>3600.0</v>
      </c>
      <c r="S13972" s="46" t="s">
        <v>10088</v>
      </c>
    </row>
    <row r="13973">
      <c r="A13973" s="40">
        <f t="shared" si="1"/>
        <v>46013</v>
      </c>
      <c r="B13973" s="37" t="str">
        <f t="array" ref="B13973">iferror(xlookup($I13973, 'IMPORT VHC Report'!$E:$E, 'IMPORT VHC Report'!$A:$C), )</f>
        <v/>
      </c>
      <c r="C13973" s="44"/>
      <c r="D13973" s="44"/>
      <c r="E13973" s="46" t="s">
        <v>10089</v>
      </c>
      <c r="F13973" s="46" t="s">
        <v>6894</v>
      </c>
      <c r="G13973" s="46">
        <v>3.61731791835E11</v>
      </c>
      <c r="H13973" s="46" t="s">
        <v>6895</v>
      </c>
      <c r="I13973" s="46" t="s">
        <v>6896</v>
      </c>
      <c r="J13973" s="46" t="s">
        <v>125</v>
      </c>
      <c r="K13973" s="46" t="s">
        <v>126</v>
      </c>
      <c r="L13973" s="45">
        <v>46015.52777777778</v>
      </c>
      <c r="M13973" s="46" t="s">
        <v>123</v>
      </c>
      <c r="N13973" s="45">
        <v>46015.5625</v>
      </c>
      <c r="O13973" s="46" t="s">
        <v>123</v>
      </c>
      <c r="P13973" s="46">
        <v>3000.0</v>
      </c>
    </row>
    <row r="13974">
      <c r="A13974" s="40">
        <f t="shared" si="1"/>
        <v>46013</v>
      </c>
      <c r="B13974" s="37" t="str">
        <f t="array" ref="B13974">iferror(xlookup($I13974, 'IMPORT VHC Report'!$E:$E, 'IMPORT VHC Report'!$A:$C), )</f>
        <v/>
      </c>
      <c r="C13974" s="44"/>
      <c r="D13974" s="44"/>
      <c r="E13974" s="46" t="s">
        <v>10090</v>
      </c>
      <c r="F13974" s="46" t="s">
        <v>6894</v>
      </c>
      <c r="G13974" s="46">
        <v>3.61731791835E11</v>
      </c>
      <c r="H13974" s="46" t="s">
        <v>6895</v>
      </c>
      <c r="I13974" s="46" t="s">
        <v>6896</v>
      </c>
      <c r="J13974" s="46" t="s">
        <v>125</v>
      </c>
      <c r="K13974" s="46" t="s">
        <v>126</v>
      </c>
      <c r="L13974" s="45">
        <v>46015.625</v>
      </c>
      <c r="M13974" s="46" t="s">
        <v>123</v>
      </c>
      <c r="N13974" s="45">
        <v>46015.666666666664</v>
      </c>
      <c r="O13974" s="46" t="s">
        <v>123</v>
      </c>
      <c r="P13974" s="46">
        <v>3600.0</v>
      </c>
      <c r="S13974" s="46" t="s">
        <v>9868</v>
      </c>
    </row>
    <row r="13975">
      <c r="A13975" s="40">
        <f t="shared" si="1"/>
        <v>46013</v>
      </c>
      <c r="B13975" s="37" t="str">
        <f t="array" ref="B13975">iferror(xlookup($I13975, 'IMPORT VHC Report'!$E:$E, 'IMPORT VHC Report'!$A:$C), )</f>
        <v/>
      </c>
      <c r="C13975" s="44"/>
      <c r="D13975" s="44"/>
      <c r="E13975" s="46" t="s">
        <v>10091</v>
      </c>
      <c r="F13975" s="46" t="s">
        <v>6894</v>
      </c>
      <c r="G13975" s="46">
        <v>3.61731791835E11</v>
      </c>
      <c r="H13975" s="46" t="s">
        <v>6895</v>
      </c>
      <c r="I13975" s="46" t="s">
        <v>6896</v>
      </c>
      <c r="J13975" s="46" t="s">
        <v>134</v>
      </c>
      <c r="K13975" s="46" t="s">
        <v>126</v>
      </c>
      <c r="L13975" s="45">
        <v>46015.729166666664</v>
      </c>
      <c r="M13975" s="46" t="s">
        <v>123</v>
      </c>
      <c r="N13975" s="45">
        <v>46015.75</v>
      </c>
      <c r="O13975" s="46" t="s">
        <v>123</v>
      </c>
      <c r="P13975" s="46">
        <v>1800.0</v>
      </c>
    </row>
    <row r="13976">
      <c r="A13976" s="40">
        <f t="shared" si="1"/>
        <v>46013</v>
      </c>
      <c r="B13976" s="37" t="str">
        <f t="array" ref="B13976">iferror(xlookup($I13976, 'IMPORT VHC Report'!$E:$E, 'IMPORT VHC Report'!$A:$C), )</f>
        <v/>
      </c>
      <c r="C13976" s="44"/>
      <c r="D13976" s="44"/>
      <c r="E13976" s="46" t="s">
        <v>10092</v>
      </c>
      <c r="F13976" s="46" t="s">
        <v>6894</v>
      </c>
      <c r="G13976" s="46">
        <v>3.61731791835E11</v>
      </c>
      <c r="H13976" s="46" t="s">
        <v>6895</v>
      </c>
      <c r="I13976" s="46" t="s">
        <v>6896</v>
      </c>
      <c r="J13976" s="46" t="s">
        <v>132</v>
      </c>
      <c r="K13976" s="46" t="s">
        <v>126</v>
      </c>
      <c r="L13976" s="45">
        <v>46015.75</v>
      </c>
      <c r="M13976" s="46" t="s">
        <v>123</v>
      </c>
      <c r="N13976" s="45">
        <v>46015.791666666664</v>
      </c>
      <c r="O13976" s="46" t="s">
        <v>123</v>
      </c>
      <c r="P13976" s="46">
        <v>3600.0</v>
      </c>
    </row>
    <row r="13977">
      <c r="A13977" s="40">
        <f t="shared" si="1"/>
        <v>46013</v>
      </c>
      <c r="B13977" s="37" t="str">
        <f t="array" ref="B13977">iferror(xlookup($I13977, 'IMPORT VHC Report'!$E:$E, 'IMPORT VHC Report'!$A:$C), )</f>
        <v/>
      </c>
      <c r="C13977" s="44"/>
      <c r="D13977" s="44"/>
      <c r="E13977" s="46" t="s">
        <v>10093</v>
      </c>
      <c r="F13977" s="46" t="s">
        <v>6894</v>
      </c>
      <c r="G13977" s="46">
        <v>3.61731791835E11</v>
      </c>
      <c r="H13977" s="46" t="s">
        <v>6895</v>
      </c>
      <c r="I13977" s="46" t="s">
        <v>6896</v>
      </c>
      <c r="J13977" s="46" t="s">
        <v>224</v>
      </c>
      <c r="K13977" s="46" t="s">
        <v>63</v>
      </c>
      <c r="L13977" s="45">
        <v>46016.416666666664</v>
      </c>
      <c r="M13977" s="46" t="s">
        <v>123</v>
      </c>
      <c r="N13977" s="45">
        <v>46016.791666666664</v>
      </c>
      <c r="O13977" s="46" t="s">
        <v>123</v>
      </c>
      <c r="P13977" s="46">
        <v>32400.0</v>
      </c>
    </row>
    <row r="13978">
      <c r="A13978" s="40">
        <f t="shared" si="1"/>
        <v>46013</v>
      </c>
      <c r="B13978" s="37" t="str">
        <f t="array" ref="B13978">iferror(xlookup($I13978, 'IMPORT VHC Report'!$E:$E, 'IMPORT VHC Report'!$A:$C), )</f>
        <v/>
      </c>
      <c r="C13978" s="44"/>
      <c r="D13978" s="44"/>
      <c r="E13978" s="46" t="s">
        <v>10094</v>
      </c>
      <c r="F13978" s="46" t="s">
        <v>6894</v>
      </c>
      <c r="G13978" s="46">
        <v>3.61731791835E11</v>
      </c>
      <c r="H13978" s="46" t="s">
        <v>6895</v>
      </c>
      <c r="I13978" s="46" t="s">
        <v>6896</v>
      </c>
      <c r="J13978" s="46" t="s">
        <v>125</v>
      </c>
      <c r="K13978" s="46" t="s">
        <v>126</v>
      </c>
      <c r="L13978" s="45">
        <v>46016.4375</v>
      </c>
      <c r="M13978" s="46" t="s">
        <v>123</v>
      </c>
      <c r="N13978" s="45">
        <v>46016.458333333336</v>
      </c>
      <c r="O13978" s="46" t="s">
        <v>123</v>
      </c>
      <c r="P13978" s="46">
        <v>1800.0</v>
      </c>
    </row>
    <row r="13979">
      <c r="A13979" s="40">
        <f t="shared" si="1"/>
        <v>46013</v>
      </c>
      <c r="B13979" s="37" t="str">
        <f t="array" ref="B13979">iferror(xlookup($I13979, 'IMPORT VHC Report'!$E:$E, 'IMPORT VHC Report'!$A:$C), )</f>
        <v/>
      </c>
      <c r="C13979" s="44"/>
      <c r="D13979" s="44"/>
      <c r="E13979" s="46" t="s">
        <v>10095</v>
      </c>
      <c r="F13979" s="46" t="s">
        <v>6894</v>
      </c>
      <c r="G13979" s="46">
        <v>3.61731791835E11</v>
      </c>
      <c r="H13979" s="46" t="s">
        <v>6895</v>
      </c>
      <c r="I13979" s="46" t="s">
        <v>6896</v>
      </c>
      <c r="J13979" s="46" t="s">
        <v>125</v>
      </c>
      <c r="K13979" s="46" t="s">
        <v>126</v>
      </c>
      <c r="L13979" s="45">
        <v>46016.51458333333</v>
      </c>
      <c r="M13979" s="46" t="s">
        <v>123</v>
      </c>
      <c r="N13979" s="45">
        <v>46016.535416666666</v>
      </c>
      <c r="O13979" s="46" t="s">
        <v>123</v>
      </c>
      <c r="P13979" s="46">
        <v>1800.0</v>
      </c>
    </row>
    <row r="13980">
      <c r="A13980" s="40">
        <f t="shared" si="1"/>
        <v>46013</v>
      </c>
      <c r="B13980" s="37" t="str">
        <f t="array" ref="B13980">iferror(xlookup($I13980, 'IMPORT VHC Report'!$E:$E, 'IMPORT VHC Report'!$A:$C), )</f>
        <v/>
      </c>
      <c r="C13980" s="44"/>
      <c r="D13980" s="44"/>
      <c r="E13980" s="46" t="s">
        <v>10096</v>
      </c>
      <c r="F13980" s="46" t="s">
        <v>6894</v>
      </c>
      <c r="G13980" s="46">
        <v>3.61731791835E11</v>
      </c>
      <c r="H13980" s="46" t="s">
        <v>6895</v>
      </c>
      <c r="I13980" s="46" t="s">
        <v>6896</v>
      </c>
      <c r="J13980" s="46" t="s">
        <v>125</v>
      </c>
      <c r="K13980" s="46" t="s">
        <v>126</v>
      </c>
      <c r="L13980" s="45">
        <v>46016.538194444445</v>
      </c>
      <c r="M13980" s="46" t="s">
        <v>123</v>
      </c>
      <c r="N13980" s="45">
        <v>46016.55902777778</v>
      </c>
      <c r="O13980" s="46" t="s">
        <v>123</v>
      </c>
      <c r="P13980" s="46">
        <v>1800.0</v>
      </c>
    </row>
    <row r="13981">
      <c r="A13981" s="40">
        <f t="shared" si="1"/>
        <v>46013</v>
      </c>
      <c r="B13981" s="37" t="str">
        <f t="array" ref="B13981">iferror(xlookup($I13981, 'IMPORT VHC Report'!$E:$E, 'IMPORT VHC Report'!$A:$C), )</f>
        <v/>
      </c>
      <c r="C13981" s="44"/>
      <c r="D13981" s="44"/>
      <c r="E13981" s="46" t="s">
        <v>10097</v>
      </c>
      <c r="F13981" s="46" t="s">
        <v>6894</v>
      </c>
      <c r="G13981" s="46">
        <v>3.61731791835E11</v>
      </c>
      <c r="H13981" s="46" t="s">
        <v>6895</v>
      </c>
      <c r="I13981" s="46" t="s">
        <v>6896</v>
      </c>
      <c r="J13981" s="46" t="s">
        <v>330</v>
      </c>
      <c r="K13981" s="46" t="s">
        <v>126</v>
      </c>
      <c r="L13981" s="45">
        <v>46016.625</v>
      </c>
      <c r="M13981" s="46" t="s">
        <v>123</v>
      </c>
      <c r="N13981" s="45">
        <v>46016.666666666664</v>
      </c>
      <c r="O13981" s="46" t="s">
        <v>123</v>
      </c>
      <c r="P13981" s="46">
        <v>3600.0</v>
      </c>
    </row>
    <row r="13982">
      <c r="A13982" s="40">
        <f t="shared" si="1"/>
        <v>46013</v>
      </c>
      <c r="B13982" s="37" t="str">
        <f t="array" ref="B13982">iferror(xlookup($I13982, 'IMPORT VHC Report'!$E:$E, 'IMPORT VHC Report'!$A:$C), )</f>
        <v/>
      </c>
      <c r="C13982" s="44"/>
      <c r="D13982" s="44"/>
      <c r="E13982" s="46" t="s">
        <v>10098</v>
      </c>
      <c r="F13982" s="46" t="s">
        <v>6894</v>
      </c>
      <c r="G13982" s="46">
        <v>3.61731791835E11</v>
      </c>
      <c r="H13982" s="46" t="s">
        <v>6895</v>
      </c>
      <c r="I13982" s="46" t="s">
        <v>6896</v>
      </c>
      <c r="J13982" s="46" t="s">
        <v>134</v>
      </c>
      <c r="K13982" s="46" t="s">
        <v>126</v>
      </c>
      <c r="L13982" s="45">
        <v>46016.729166666664</v>
      </c>
      <c r="M13982" s="46" t="s">
        <v>123</v>
      </c>
      <c r="N13982" s="45">
        <v>46016.75</v>
      </c>
      <c r="O13982" s="46" t="s">
        <v>123</v>
      </c>
      <c r="P13982" s="46">
        <v>1800.0</v>
      </c>
    </row>
    <row r="13983">
      <c r="A13983" s="40">
        <f t="shared" si="1"/>
        <v>46013</v>
      </c>
      <c r="B13983" s="37" t="str">
        <f t="array" ref="B13983">iferror(xlookup($I13983, 'IMPORT VHC Report'!$E:$E, 'IMPORT VHC Report'!$A:$C), )</f>
        <v/>
      </c>
      <c r="C13983" s="44"/>
      <c r="D13983" s="44"/>
      <c r="E13983" s="46" t="s">
        <v>10099</v>
      </c>
      <c r="F13983" s="46" t="s">
        <v>6894</v>
      </c>
      <c r="G13983" s="46">
        <v>3.61731791835E11</v>
      </c>
      <c r="H13983" s="46" t="s">
        <v>6895</v>
      </c>
      <c r="I13983" s="46" t="s">
        <v>6896</v>
      </c>
      <c r="J13983" s="46" t="s">
        <v>132</v>
      </c>
      <c r="K13983" s="46" t="s">
        <v>126</v>
      </c>
      <c r="L13983" s="45">
        <v>46016.75</v>
      </c>
      <c r="M13983" s="46" t="s">
        <v>123</v>
      </c>
      <c r="N13983" s="45">
        <v>46016.791666666664</v>
      </c>
      <c r="O13983" s="46" t="s">
        <v>123</v>
      </c>
      <c r="P13983" s="46">
        <v>3600.0</v>
      </c>
    </row>
    <row r="13984">
      <c r="A13984" s="40">
        <f t="shared" si="1"/>
        <v>46013</v>
      </c>
      <c r="B13984" s="37" t="str">
        <f t="array" ref="B13984">iferror(xlookup($I13984, 'IMPORT VHC Report'!$E:$E, 'IMPORT VHC Report'!$A:$C), )</f>
        <v/>
      </c>
      <c r="C13984" s="44"/>
      <c r="D13984" s="44"/>
      <c r="E13984" s="46" t="s">
        <v>10100</v>
      </c>
      <c r="F13984" s="46" t="s">
        <v>6894</v>
      </c>
      <c r="G13984" s="46">
        <v>3.61731791835E11</v>
      </c>
      <c r="H13984" s="46" t="s">
        <v>6895</v>
      </c>
      <c r="I13984" s="46" t="s">
        <v>6896</v>
      </c>
      <c r="J13984" s="46" t="s">
        <v>224</v>
      </c>
      <c r="K13984" s="46" t="s">
        <v>63</v>
      </c>
      <c r="L13984" s="45">
        <v>46017.416666666664</v>
      </c>
      <c r="M13984" s="46" t="s">
        <v>123</v>
      </c>
      <c r="N13984" s="45">
        <v>46017.791666666664</v>
      </c>
      <c r="O13984" s="46" t="s">
        <v>123</v>
      </c>
      <c r="P13984" s="46">
        <v>32400.0</v>
      </c>
    </row>
    <row r="13985">
      <c r="A13985" s="40">
        <f t="shared" si="1"/>
        <v>46013</v>
      </c>
      <c r="B13985" s="37" t="str">
        <f t="array" ref="B13985">iferror(xlookup($I13985, 'IMPORT VHC Report'!$E:$E, 'IMPORT VHC Report'!$A:$C), )</f>
        <v/>
      </c>
      <c r="C13985" s="44"/>
      <c r="D13985" s="44"/>
      <c r="E13985" s="46" t="s">
        <v>10101</v>
      </c>
      <c r="F13985" s="46" t="s">
        <v>6894</v>
      </c>
      <c r="G13985" s="46">
        <v>3.61731791835E11</v>
      </c>
      <c r="H13985" s="46" t="s">
        <v>6895</v>
      </c>
      <c r="I13985" s="46" t="s">
        <v>6896</v>
      </c>
      <c r="J13985" s="46" t="s">
        <v>134</v>
      </c>
      <c r="K13985" s="46" t="s">
        <v>126</v>
      </c>
      <c r="L13985" s="45">
        <v>46017.510416666664</v>
      </c>
      <c r="M13985" s="46" t="s">
        <v>123</v>
      </c>
      <c r="N13985" s="45">
        <v>46017.520833333336</v>
      </c>
      <c r="O13985" s="46" t="s">
        <v>123</v>
      </c>
      <c r="P13985" s="46">
        <v>900.0</v>
      </c>
    </row>
    <row r="13986">
      <c r="A13986" s="40">
        <f t="shared" si="1"/>
        <v>46013</v>
      </c>
      <c r="B13986" s="37" t="str">
        <f t="array" ref="B13986">iferror(xlookup($I13986, 'IMPORT VHC Report'!$E:$E, 'IMPORT VHC Report'!$A:$C), )</f>
        <v/>
      </c>
      <c r="C13986" s="44"/>
      <c r="D13986" s="44"/>
      <c r="E13986" s="46" t="s">
        <v>10102</v>
      </c>
      <c r="F13986" s="46" t="s">
        <v>6894</v>
      </c>
      <c r="G13986" s="46">
        <v>3.61731791835E11</v>
      </c>
      <c r="H13986" s="46" t="s">
        <v>6895</v>
      </c>
      <c r="I13986" s="46" t="s">
        <v>6896</v>
      </c>
      <c r="J13986" s="46" t="s">
        <v>125</v>
      </c>
      <c r="K13986" s="46" t="s">
        <v>126</v>
      </c>
      <c r="L13986" s="45">
        <v>46017.56597222222</v>
      </c>
      <c r="M13986" s="46" t="s">
        <v>123</v>
      </c>
      <c r="N13986" s="45">
        <v>46017.586805555555</v>
      </c>
      <c r="O13986" s="46" t="s">
        <v>123</v>
      </c>
      <c r="P13986" s="46">
        <v>1800.0</v>
      </c>
      <c r="S13986" s="46" t="s">
        <v>9401</v>
      </c>
    </row>
    <row r="13987">
      <c r="A13987" s="40">
        <f t="shared" si="1"/>
        <v>46013</v>
      </c>
      <c r="B13987" s="37" t="str">
        <f t="array" ref="B13987">iferror(xlookup($I13987, 'IMPORT VHC Report'!$E:$E, 'IMPORT VHC Report'!$A:$C), )</f>
        <v/>
      </c>
      <c r="C13987" s="44"/>
      <c r="D13987" s="44"/>
      <c r="E13987" s="46" t="s">
        <v>10103</v>
      </c>
      <c r="F13987" s="46" t="s">
        <v>6894</v>
      </c>
      <c r="G13987" s="46">
        <v>3.61731791835E11</v>
      </c>
      <c r="H13987" s="46" t="s">
        <v>6895</v>
      </c>
      <c r="I13987" s="46" t="s">
        <v>6896</v>
      </c>
      <c r="J13987" s="46" t="s">
        <v>134</v>
      </c>
      <c r="K13987" s="46" t="s">
        <v>126</v>
      </c>
      <c r="L13987" s="45">
        <v>46017.59375</v>
      </c>
      <c r="M13987" s="46" t="s">
        <v>123</v>
      </c>
      <c r="N13987" s="45">
        <v>46017.604166666664</v>
      </c>
      <c r="O13987" s="46" t="s">
        <v>123</v>
      </c>
      <c r="P13987" s="46">
        <v>900.0</v>
      </c>
    </row>
    <row r="13988">
      <c r="A13988" s="40">
        <f t="shared" si="1"/>
        <v>46013</v>
      </c>
      <c r="B13988" s="37" t="str">
        <f t="array" ref="B13988">iferror(xlookup($I13988, 'IMPORT VHC Report'!$E:$E, 'IMPORT VHC Report'!$A:$C), )</f>
        <v/>
      </c>
      <c r="C13988" s="44"/>
      <c r="D13988" s="44"/>
      <c r="E13988" s="46" t="s">
        <v>10104</v>
      </c>
      <c r="F13988" s="46" t="s">
        <v>6894</v>
      </c>
      <c r="G13988" s="46">
        <v>3.61731791835E11</v>
      </c>
      <c r="H13988" s="46" t="s">
        <v>6895</v>
      </c>
      <c r="I13988" s="46" t="s">
        <v>6896</v>
      </c>
      <c r="J13988" s="46" t="s">
        <v>132</v>
      </c>
      <c r="K13988" s="46" t="s">
        <v>126</v>
      </c>
      <c r="L13988" s="45">
        <v>46017.6875</v>
      </c>
      <c r="M13988" s="46" t="s">
        <v>123</v>
      </c>
      <c r="N13988" s="45">
        <v>46017.729166666664</v>
      </c>
      <c r="O13988" s="46" t="s">
        <v>123</v>
      </c>
      <c r="P13988" s="46">
        <v>3600.0</v>
      </c>
    </row>
    <row r="13989">
      <c r="A13989" s="40">
        <f t="shared" si="1"/>
        <v>46013</v>
      </c>
      <c r="B13989" s="37" t="str">
        <f t="array" ref="B13989">iferror(xlookup($I13989, 'IMPORT VHC Report'!$E:$E, 'IMPORT VHC Report'!$A:$C), )</f>
        <v/>
      </c>
      <c r="C13989" s="44"/>
      <c r="D13989" s="44"/>
      <c r="E13989" s="46" t="s">
        <v>10105</v>
      </c>
      <c r="F13989" s="46" t="s">
        <v>6894</v>
      </c>
      <c r="G13989" s="46">
        <v>3.61731791835E11</v>
      </c>
      <c r="H13989" s="46" t="s">
        <v>6895</v>
      </c>
      <c r="I13989" s="46" t="s">
        <v>6896</v>
      </c>
      <c r="J13989" s="46" t="s">
        <v>125</v>
      </c>
      <c r="K13989" s="46" t="s">
        <v>126</v>
      </c>
      <c r="L13989" s="45">
        <v>46017.729166666664</v>
      </c>
      <c r="M13989" s="46" t="s">
        <v>123</v>
      </c>
      <c r="N13989" s="45">
        <v>46017.770833333336</v>
      </c>
      <c r="O13989" s="46" t="s">
        <v>123</v>
      </c>
      <c r="P13989" s="46">
        <v>3600.0</v>
      </c>
      <c r="S13989" s="46" t="s">
        <v>10106</v>
      </c>
    </row>
    <row r="13990">
      <c r="A13990" s="40">
        <f t="shared" si="1"/>
        <v>46013</v>
      </c>
      <c r="B13990" s="37" t="str">
        <f t="array" ref="B13990">iferror(xlookup($I13990, 'IMPORT VHC Report'!$E:$E, 'IMPORT VHC Report'!$A:$C), )</f>
        <v/>
      </c>
      <c r="C13990" s="44"/>
      <c r="D13990" s="44"/>
      <c r="E13990" s="46" t="s">
        <v>10107</v>
      </c>
      <c r="F13990" s="46" t="s">
        <v>6894</v>
      </c>
      <c r="G13990" s="46">
        <v>3.61731791835E11</v>
      </c>
      <c r="H13990" s="46" t="s">
        <v>6895</v>
      </c>
      <c r="I13990" s="46" t="s">
        <v>6896</v>
      </c>
      <c r="J13990" s="46" t="s">
        <v>224</v>
      </c>
      <c r="K13990" s="46" t="s">
        <v>63</v>
      </c>
      <c r="L13990" s="45">
        <v>46018.416666666664</v>
      </c>
      <c r="M13990" s="46" t="s">
        <v>123</v>
      </c>
      <c r="N13990" s="45">
        <v>46018.791666666664</v>
      </c>
      <c r="O13990" s="46" t="s">
        <v>123</v>
      </c>
      <c r="P13990" s="46">
        <v>32400.0</v>
      </c>
    </row>
    <row r="13991">
      <c r="A13991" s="40">
        <f t="shared" si="1"/>
        <v>46013</v>
      </c>
      <c r="B13991" s="37" t="str">
        <f t="array" ref="B13991">iferror(xlookup($I13991, 'IMPORT VHC Report'!$E:$E, 'IMPORT VHC Report'!$A:$C), )</f>
        <v/>
      </c>
      <c r="C13991" s="44"/>
      <c r="D13991" s="44"/>
      <c r="E13991" s="46" t="s">
        <v>10108</v>
      </c>
      <c r="F13991" s="46" t="s">
        <v>6894</v>
      </c>
      <c r="G13991" s="46">
        <v>3.61731791835E11</v>
      </c>
      <c r="H13991" s="46" t="s">
        <v>6895</v>
      </c>
      <c r="I13991" s="46" t="s">
        <v>6896</v>
      </c>
      <c r="J13991" s="46" t="s">
        <v>134</v>
      </c>
      <c r="K13991" s="46" t="s">
        <v>126</v>
      </c>
      <c r="L13991" s="45">
        <v>46018.510416666664</v>
      </c>
      <c r="M13991" s="46" t="s">
        <v>123</v>
      </c>
      <c r="N13991" s="45">
        <v>46018.520833333336</v>
      </c>
      <c r="O13991" s="46" t="s">
        <v>123</v>
      </c>
      <c r="P13991" s="46">
        <v>900.0</v>
      </c>
    </row>
    <row r="13992">
      <c r="A13992" s="40">
        <f t="shared" si="1"/>
        <v>46013</v>
      </c>
      <c r="B13992" s="37" t="str">
        <f t="array" ref="B13992">iferror(xlookup($I13992, 'IMPORT VHC Report'!$E:$E, 'IMPORT VHC Report'!$A:$C), )</f>
        <v/>
      </c>
      <c r="C13992" s="44"/>
      <c r="D13992" s="44"/>
      <c r="E13992" s="46" t="s">
        <v>10109</v>
      </c>
      <c r="F13992" s="46" t="s">
        <v>6894</v>
      </c>
      <c r="G13992" s="46">
        <v>3.61731791835E11</v>
      </c>
      <c r="H13992" s="46" t="s">
        <v>6895</v>
      </c>
      <c r="I13992" s="46" t="s">
        <v>6896</v>
      </c>
      <c r="J13992" s="46" t="s">
        <v>125</v>
      </c>
      <c r="K13992" s="46" t="s">
        <v>126</v>
      </c>
      <c r="L13992" s="45">
        <v>46018.604166666664</v>
      </c>
      <c r="M13992" s="46" t="s">
        <v>123</v>
      </c>
      <c r="N13992" s="45">
        <v>46018.614583333336</v>
      </c>
      <c r="O13992" s="46" t="s">
        <v>123</v>
      </c>
      <c r="P13992" s="46">
        <v>900.0</v>
      </c>
    </row>
    <row r="13993">
      <c r="A13993" s="40">
        <f t="shared" si="1"/>
        <v>46013</v>
      </c>
      <c r="B13993" s="37" t="str">
        <f t="array" ref="B13993">iferror(xlookup($I13993, 'IMPORT VHC Report'!$E:$E, 'IMPORT VHC Report'!$A:$C), )</f>
        <v/>
      </c>
      <c r="C13993" s="44"/>
      <c r="D13993" s="44"/>
      <c r="E13993" s="46" t="s">
        <v>10110</v>
      </c>
      <c r="F13993" s="46" t="s">
        <v>6894</v>
      </c>
      <c r="G13993" s="46">
        <v>3.61731791835E11</v>
      </c>
      <c r="H13993" s="46" t="s">
        <v>6895</v>
      </c>
      <c r="I13993" s="46" t="s">
        <v>6896</v>
      </c>
      <c r="J13993" s="46" t="s">
        <v>132</v>
      </c>
      <c r="K13993" s="46" t="s">
        <v>126</v>
      </c>
      <c r="L13993" s="45">
        <v>46018.614583333336</v>
      </c>
      <c r="M13993" s="46" t="s">
        <v>123</v>
      </c>
      <c r="N13993" s="45">
        <v>46018.65625</v>
      </c>
      <c r="O13993" s="46" t="s">
        <v>123</v>
      </c>
      <c r="P13993" s="46">
        <v>3600.0</v>
      </c>
    </row>
    <row r="13994">
      <c r="A13994" s="40">
        <f t="shared" si="1"/>
        <v>46013</v>
      </c>
      <c r="B13994" s="37" t="str">
        <f t="array" ref="B13994">iferror(xlookup($I13994, 'IMPORT VHC Report'!$E:$E, 'IMPORT VHC Report'!$A:$C), )</f>
        <v/>
      </c>
      <c r="C13994" s="44"/>
      <c r="D13994" s="44"/>
      <c r="E13994" s="46" t="s">
        <v>10111</v>
      </c>
      <c r="F13994" s="46" t="s">
        <v>6894</v>
      </c>
      <c r="G13994" s="46">
        <v>3.61731791835E11</v>
      </c>
      <c r="H13994" s="46" t="s">
        <v>6895</v>
      </c>
      <c r="I13994" s="46" t="s">
        <v>6896</v>
      </c>
      <c r="J13994" s="46" t="s">
        <v>330</v>
      </c>
      <c r="K13994" s="46" t="s">
        <v>126</v>
      </c>
      <c r="L13994" s="45">
        <v>46018.666666666664</v>
      </c>
      <c r="M13994" s="46" t="s">
        <v>123</v>
      </c>
      <c r="N13994" s="45">
        <v>46018.697916666664</v>
      </c>
      <c r="O13994" s="46" t="s">
        <v>123</v>
      </c>
      <c r="P13994" s="46">
        <v>2700.0</v>
      </c>
    </row>
    <row r="13995">
      <c r="A13995" s="40">
        <f t="shared" si="1"/>
        <v>46013</v>
      </c>
      <c r="B13995" s="37" t="str">
        <f t="array" ref="B13995">iferror(xlookup($I13995, 'IMPORT VHC Report'!$E:$E, 'IMPORT VHC Report'!$A:$C), )</f>
        <v/>
      </c>
      <c r="C13995" s="44"/>
      <c r="D13995" s="44"/>
      <c r="E13995" s="46" t="s">
        <v>10112</v>
      </c>
      <c r="F13995" s="46" t="s">
        <v>6894</v>
      </c>
      <c r="G13995" s="46">
        <v>3.61731791835E11</v>
      </c>
      <c r="H13995" s="46" t="s">
        <v>6895</v>
      </c>
      <c r="I13995" s="46" t="s">
        <v>6896</v>
      </c>
      <c r="J13995" s="46" t="s">
        <v>125</v>
      </c>
      <c r="K13995" s="46" t="s">
        <v>126</v>
      </c>
      <c r="L13995" s="45">
        <v>46018.708333333336</v>
      </c>
      <c r="M13995" s="46" t="s">
        <v>123</v>
      </c>
      <c r="N13995" s="45">
        <v>46018.71875</v>
      </c>
      <c r="O13995" s="46" t="s">
        <v>123</v>
      </c>
      <c r="P13995" s="46">
        <v>900.0</v>
      </c>
    </row>
    <row r="13996">
      <c r="A13996" s="40">
        <f t="shared" si="1"/>
        <v>46013</v>
      </c>
      <c r="B13996" s="37" t="str">
        <f t="array" ref="B13996">iferror(xlookup($I13996, 'IMPORT VHC Report'!$E:$E, 'IMPORT VHC Report'!$A:$C), )</f>
        <v/>
      </c>
      <c r="C13996" s="44"/>
      <c r="D13996" s="44"/>
      <c r="E13996" s="46" t="s">
        <v>10113</v>
      </c>
      <c r="F13996" s="46" t="s">
        <v>6894</v>
      </c>
      <c r="G13996" s="46">
        <v>3.61731791835E11</v>
      </c>
      <c r="H13996" s="46" t="s">
        <v>6895</v>
      </c>
      <c r="I13996" s="46" t="s">
        <v>6896</v>
      </c>
      <c r="J13996" s="46" t="s">
        <v>134</v>
      </c>
      <c r="K13996" s="46" t="s">
        <v>126</v>
      </c>
      <c r="L13996" s="45">
        <v>46018.71875</v>
      </c>
      <c r="M13996" s="46" t="s">
        <v>123</v>
      </c>
      <c r="N13996" s="45">
        <v>46018.729166666664</v>
      </c>
      <c r="O13996" s="46" t="s">
        <v>123</v>
      </c>
      <c r="P13996" s="46">
        <v>900.0</v>
      </c>
    </row>
    <row r="13997">
      <c r="A13997" s="40">
        <f t="shared" si="1"/>
        <v>46013</v>
      </c>
      <c r="B13997" s="37" t="str">
        <f t="array" ref="B13997">iferror(xlookup($I13997, 'IMPORT VHC Report'!$E:$E, 'IMPORT VHC Report'!$A:$C), )</f>
        <v/>
      </c>
      <c r="C13997" s="44"/>
      <c r="D13997" s="44"/>
      <c r="E13997" s="46" t="s">
        <v>10114</v>
      </c>
      <c r="F13997" s="46" t="s">
        <v>7271</v>
      </c>
      <c r="G13997" s="46">
        <v>7.631065796495E12</v>
      </c>
      <c r="H13997" s="46" t="s">
        <v>7272</v>
      </c>
      <c r="I13997" s="46" t="s">
        <v>7273</v>
      </c>
      <c r="J13997" s="46" t="s">
        <v>224</v>
      </c>
      <c r="K13997" s="46" t="s">
        <v>63</v>
      </c>
      <c r="L13997" s="45">
        <v>46014.625</v>
      </c>
      <c r="M13997" s="46" t="s">
        <v>123</v>
      </c>
      <c r="N13997" s="45">
        <v>46015.0</v>
      </c>
      <c r="O13997" s="46" t="s">
        <v>123</v>
      </c>
      <c r="P13997" s="46">
        <v>32400.0</v>
      </c>
    </row>
    <row r="13998">
      <c r="A13998" s="40">
        <f t="shared" si="1"/>
        <v>46013</v>
      </c>
      <c r="B13998" s="37" t="str">
        <f t="array" ref="B13998">iferror(xlookup($I13998, 'IMPORT VHC Report'!$E:$E, 'IMPORT VHC Report'!$A:$C), )</f>
        <v/>
      </c>
      <c r="C13998" s="44"/>
      <c r="D13998" s="44"/>
      <c r="E13998" s="46" t="s">
        <v>10115</v>
      </c>
      <c r="F13998" s="46" t="s">
        <v>7271</v>
      </c>
      <c r="G13998" s="46">
        <v>7.631065796495E12</v>
      </c>
      <c r="H13998" s="46" t="s">
        <v>7272</v>
      </c>
      <c r="I13998" s="46" t="s">
        <v>7273</v>
      </c>
      <c r="J13998" s="46" t="s">
        <v>134</v>
      </c>
      <c r="K13998" s="46" t="s">
        <v>126</v>
      </c>
      <c r="L13998" s="45">
        <v>46014.708333333336</v>
      </c>
      <c r="M13998" s="46" t="s">
        <v>123</v>
      </c>
      <c r="N13998" s="45">
        <v>46014.71875</v>
      </c>
      <c r="O13998" s="46" t="s">
        <v>123</v>
      </c>
      <c r="P13998" s="46">
        <v>900.0</v>
      </c>
    </row>
    <row r="13999">
      <c r="A13999" s="40">
        <f t="shared" si="1"/>
        <v>46013</v>
      </c>
      <c r="B13999" s="37" t="str">
        <f t="array" ref="B13999">iferror(xlookup($I13999, 'IMPORT VHC Report'!$E:$E, 'IMPORT VHC Report'!$A:$C), )</f>
        <v/>
      </c>
      <c r="C13999" s="44"/>
      <c r="D13999" s="44"/>
      <c r="E13999" s="46" t="s">
        <v>10116</v>
      </c>
      <c r="F13999" s="46" t="s">
        <v>7271</v>
      </c>
      <c r="G13999" s="46">
        <v>7.631065796495E12</v>
      </c>
      <c r="H13999" s="46" t="s">
        <v>7272</v>
      </c>
      <c r="I13999" s="46" t="s">
        <v>7273</v>
      </c>
      <c r="J13999" s="46" t="s">
        <v>134</v>
      </c>
      <c r="K13999" s="46" t="s">
        <v>126</v>
      </c>
      <c r="L13999" s="45">
        <v>46014.822916666664</v>
      </c>
      <c r="M13999" s="46" t="s">
        <v>123</v>
      </c>
      <c r="N13999" s="45">
        <v>46014.833333333336</v>
      </c>
      <c r="O13999" s="46" t="s">
        <v>123</v>
      </c>
      <c r="P13999" s="46">
        <v>900.0</v>
      </c>
    </row>
    <row r="14000">
      <c r="A14000" s="40">
        <f t="shared" si="1"/>
        <v>46013</v>
      </c>
      <c r="B14000" s="37" t="str">
        <f t="array" ref="B14000">iferror(xlookup($I14000, 'IMPORT VHC Report'!$E:$E, 'IMPORT VHC Report'!$A:$C), )</f>
        <v/>
      </c>
      <c r="C14000" s="44"/>
      <c r="D14000" s="44"/>
      <c r="E14000" s="46" t="s">
        <v>10117</v>
      </c>
      <c r="F14000" s="46" t="s">
        <v>7271</v>
      </c>
      <c r="G14000" s="46">
        <v>7.631065796495E12</v>
      </c>
      <c r="H14000" s="46" t="s">
        <v>7272</v>
      </c>
      <c r="I14000" s="46" t="s">
        <v>7273</v>
      </c>
      <c r="J14000" s="46" t="s">
        <v>132</v>
      </c>
      <c r="K14000" s="46" t="s">
        <v>126</v>
      </c>
      <c r="L14000" s="45">
        <v>46014.895833333336</v>
      </c>
      <c r="M14000" s="46" t="s">
        <v>123</v>
      </c>
      <c r="N14000" s="45">
        <v>46014.9375</v>
      </c>
      <c r="O14000" s="46" t="s">
        <v>123</v>
      </c>
      <c r="P14000" s="46">
        <v>3600.0</v>
      </c>
    </row>
    <row r="14001">
      <c r="A14001" s="40">
        <f t="shared" si="1"/>
        <v>46013</v>
      </c>
      <c r="B14001" s="37" t="str">
        <f t="array" ref="B14001">iferror(xlookup($I14001, 'IMPORT VHC Report'!$E:$E, 'IMPORT VHC Report'!$A:$C), )</f>
        <v/>
      </c>
      <c r="C14001" s="44"/>
      <c r="D14001" s="44"/>
      <c r="E14001" s="46" t="s">
        <v>10118</v>
      </c>
      <c r="F14001" s="46" t="s">
        <v>7271</v>
      </c>
      <c r="G14001" s="46">
        <v>7.631065796495E12</v>
      </c>
      <c r="H14001" s="46" t="s">
        <v>7272</v>
      </c>
      <c r="I14001" s="46" t="s">
        <v>7273</v>
      </c>
      <c r="J14001" s="46" t="s">
        <v>224</v>
      </c>
      <c r="K14001" s="46" t="s">
        <v>63</v>
      </c>
      <c r="L14001" s="45">
        <v>46015.625</v>
      </c>
      <c r="M14001" s="46" t="s">
        <v>123</v>
      </c>
      <c r="N14001" s="45">
        <v>46015.833333333336</v>
      </c>
      <c r="O14001" s="46" t="s">
        <v>123</v>
      </c>
      <c r="P14001" s="46">
        <v>18000.0</v>
      </c>
    </row>
    <row r="14002">
      <c r="A14002" s="40">
        <f t="shared" si="1"/>
        <v>46013</v>
      </c>
      <c r="B14002" s="37" t="str">
        <f t="array" ref="B14002">iferror(xlookup($I14002, 'IMPORT VHC Report'!$E:$E, 'IMPORT VHC Report'!$A:$C), )</f>
        <v/>
      </c>
      <c r="C14002" s="44"/>
      <c r="D14002" s="44"/>
      <c r="E14002" s="46" t="s">
        <v>10119</v>
      </c>
      <c r="F14002" s="46" t="s">
        <v>7271</v>
      </c>
      <c r="G14002" s="46">
        <v>7.631065796495E12</v>
      </c>
      <c r="H14002" s="46" t="s">
        <v>7272</v>
      </c>
      <c r="I14002" s="46" t="s">
        <v>7273</v>
      </c>
      <c r="J14002" s="46" t="s">
        <v>134</v>
      </c>
      <c r="K14002" s="46" t="s">
        <v>126</v>
      </c>
      <c r="L14002" s="45">
        <v>46015.75</v>
      </c>
      <c r="M14002" s="46" t="s">
        <v>123</v>
      </c>
      <c r="N14002" s="45">
        <v>46015.760416666664</v>
      </c>
      <c r="O14002" s="46" t="s">
        <v>123</v>
      </c>
      <c r="P14002" s="46">
        <v>900.0</v>
      </c>
    </row>
    <row r="14003">
      <c r="A14003" s="40">
        <f t="shared" si="1"/>
        <v>46013</v>
      </c>
      <c r="B14003" s="37" t="str">
        <f t="array" ref="B14003">iferror(xlookup($I14003, 'IMPORT VHC Report'!$E:$E, 'IMPORT VHC Report'!$A:$C), )</f>
        <v/>
      </c>
      <c r="C14003" s="44"/>
      <c r="D14003" s="44"/>
      <c r="E14003" s="46" t="s">
        <v>10120</v>
      </c>
      <c r="F14003" s="46" t="s">
        <v>7271</v>
      </c>
      <c r="G14003" s="46">
        <v>7.631065796495E12</v>
      </c>
      <c r="H14003" s="46" t="s">
        <v>7272</v>
      </c>
      <c r="I14003" s="46" t="s">
        <v>7273</v>
      </c>
      <c r="J14003" s="46" t="s">
        <v>134</v>
      </c>
      <c r="K14003" s="46" t="s">
        <v>126</v>
      </c>
      <c r="L14003" s="45">
        <v>46015.822916666664</v>
      </c>
      <c r="M14003" s="46" t="s">
        <v>123</v>
      </c>
      <c r="N14003" s="45">
        <v>46015.833333333336</v>
      </c>
      <c r="O14003" s="46" t="s">
        <v>123</v>
      </c>
      <c r="P14003" s="46">
        <v>900.0</v>
      </c>
    </row>
    <row r="14004">
      <c r="A14004" s="40">
        <f t="shared" si="1"/>
        <v>46013</v>
      </c>
      <c r="B14004" s="37" t="str">
        <f t="array" ref="B14004">iferror(xlookup($I14004, 'IMPORT VHC Report'!$E:$E, 'IMPORT VHC Report'!$A:$C), )</f>
        <v/>
      </c>
      <c r="C14004" s="44"/>
      <c r="D14004" s="44"/>
      <c r="E14004" s="46" t="s">
        <v>10121</v>
      </c>
      <c r="F14004" s="46" t="s">
        <v>7271</v>
      </c>
      <c r="G14004" s="46">
        <v>7.631065796495E12</v>
      </c>
      <c r="H14004" s="46" t="s">
        <v>7272</v>
      </c>
      <c r="I14004" s="46" t="s">
        <v>7273</v>
      </c>
      <c r="J14004" s="46" t="s">
        <v>62</v>
      </c>
      <c r="K14004" s="46" t="s">
        <v>63</v>
      </c>
      <c r="L14004" s="45">
        <v>46015.833333333336</v>
      </c>
      <c r="M14004" s="46" t="s">
        <v>123</v>
      </c>
      <c r="N14004" s="45">
        <v>46015.854166666664</v>
      </c>
      <c r="O14004" s="46" t="s">
        <v>123</v>
      </c>
      <c r="P14004" s="46">
        <v>1800.0</v>
      </c>
    </row>
    <row r="14005">
      <c r="A14005" s="40">
        <f t="shared" si="1"/>
        <v>46013</v>
      </c>
      <c r="B14005" s="37" t="str">
        <f t="array" ref="B14005">iferror(xlookup($I14005, 'IMPORT VHC Report'!$E:$E, 'IMPORT VHC Report'!$A:$C), )</f>
        <v/>
      </c>
      <c r="C14005" s="44"/>
      <c r="D14005" s="44"/>
      <c r="E14005" s="46" t="s">
        <v>10122</v>
      </c>
      <c r="F14005" s="46" t="s">
        <v>7271</v>
      </c>
      <c r="G14005" s="46">
        <v>7.631065796495E12</v>
      </c>
      <c r="H14005" s="46" t="s">
        <v>7272</v>
      </c>
      <c r="I14005" s="46" t="s">
        <v>7273</v>
      </c>
      <c r="J14005" s="46" t="s">
        <v>224</v>
      </c>
      <c r="K14005" s="46" t="s">
        <v>63</v>
      </c>
      <c r="L14005" s="45">
        <v>46015.854166666664</v>
      </c>
      <c r="M14005" s="46" t="s">
        <v>123</v>
      </c>
      <c r="N14005" s="45">
        <v>46016.0</v>
      </c>
      <c r="O14005" s="46" t="s">
        <v>123</v>
      </c>
      <c r="P14005" s="46">
        <v>12600.0</v>
      </c>
    </row>
    <row r="14006">
      <c r="A14006" s="40">
        <f t="shared" si="1"/>
        <v>46013</v>
      </c>
      <c r="B14006" s="37" t="str">
        <f t="array" ref="B14006">iferror(xlookup($I14006, 'IMPORT VHC Report'!$E:$E, 'IMPORT VHC Report'!$A:$C), )</f>
        <v/>
      </c>
      <c r="C14006" s="44"/>
      <c r="D14006" s="44"/>
      <c r="E14006" s="46" t="s">
        <v>10123</v>
      </c>
      <c r="F14006" s="46" t="s">
        <v>7271</v>
      </c>
      <c r="G14006" s="46">
        <v>7.631065796495E12</v>
      </c>
      <c r="H14006" s="46" t="s">
        <v>7272</v>
      </c>
      <c r="I14006" s="46" t="s">
        <v>7273</v>
      </c>
      <c r="J14006" s="46" t="s">
        <v>224</v>
      </c>
      <c r="K14006" s="46" t="s">
        <v>63</v>
      </c>
      <c r="L14006" s="45">
        <v>46015.895833333336</v>
      </c>
      <c r="M14006" s="46" t="s">
        <v>123</v>
      </c>
      <c r="N14006" s="45">
        <v>46015.9375</v>
      </c>
      <c r="O14006" s="46" t="s">
        <v>123</v>
      </c>
      <c r="P14006" s="46">
        <v>3600.0</v>
      </c>
    </row>
    <row r="14007">
      <c r="A14007" s="40">
        <f t="shared" si="1"/>
        <v>46013</v>
      </c>
      <c r="B14007" s="37" t="str">
        <f t="array" ref="B14007">iferror(xlookup($I14007, 'IMPORT VHC Report'!$E:$E, 'IMPORT VHC Report'!$A:$C), )</f>
        <v/>
      </c>
      <c r="C14007" s="44"/>
      <c r="D14007" s="44"/>
      <c r="E14007" s="46" t="s">
        <v>10124</v>
      </c>
      <c r="F14007" s="46" t="s">
        <v>7271</v>
      </c>
      <c r="G14007" s="46">
        <v>7.631065796495E12</v>
      </c>
      <c r="H14007" s="46" t="s">
        <v>7272</v>
      </c>
      <c r="I14007" s="46" t="s">
        <v>7273</v>
      </c>
      <c r="J14007" s="46" t="s">
        <v>132</v>
      </c>
      <c r="K14007" s="46" t="s">
        <v>126</v>
      </c>
      <c r="L14007" s="45">
        <v>46015.916666666664</v>
      </c>
      <c r="M14007" s="46" t="s">
        <v>123</v>
      </c>
      <c r="N14007" s="45">
        <v>46015.958333333336</v>
      </c>
      <c r="O14007" s="46" t="s">
        <v>123</v>
      </c>
      <c r="P14007" s="46">
        <v>3600.0</v>
      </c>
      <c r="S14007" s="46" t="s">
        <v>10125</v>
      </c>
    </row>
    <row r="14008">
      <c r="A14008" s="40">
        <f t="shared" si="1"/>
        <v>46013</v>
      </c>
      <c r="B14008" s="37" t="str">
        <f t="array" ref="B14008">iferror(xlookup($I14008, 'IMPORT VHC Report'!$E:$E, 'IMPORT VHC Report'!$A:$C), )</f>
        <v/>
      </c>
      <c r="C14008" s="44"/>
      <c r="D14008" s="44"/>
      <c r="E14008" s="46" t="s">
        <v>10126</v>
      </c>
      <c r="F14008" s="46" t="s">
        <v>7271</v>
      </c>
      <c r="G14008" s="46">
        <v>7.631065796495E12</v>
      </c>
      <c r="H14008" s="46" t="s">
        <v>7272</v>
      </c>
      <c r="I14008" s="46" t="s">
        <v>7273</v>
      </c>
      <c r="J14008" s="46" t="s">
        <v>136</v>
      </c>
      <c r="K14008" s="46" t="s">
        <v>126</v>
      </c>
      <c r="L14008" s="45">
        <v>46015.958333333336</v>
      </c>
      <c r="M14008" s="46" t="s">
        <v>123</v>
      </c>
      <c r="N14008" s="45">
        <v>46016.0</v>
      </c>
      <c r="O14008" s="46" t="s">
        <v>123</v>
      </c>
      <c r="P14008" s="46">
        <v>3600.0</v>
      </c>
      <c r="S14008" s="46" t="s">
        <v>10127</v>
      </c>
    </row>
    <row r="14009">
      <c r="A14009" s="40">
        <f t="shared" si="1"/>
        <v>46013</v>
      </c>
      <c r="B14009" s="37" t="str">
        <f t="array" ref="B14009">iferror(xlookup($I14009, 'IMPORT VHC Report'!$E:$E, 'IMPORT VHC Report'!$A:$C), )</f>
        <v/>
      </c>
      <c r="C14009" s="44"/>
      <c r="D14009" s="44"/>
      <c r="E14009" s="46" t="s">
        <v>10128</v>
      </c>
      <c r="F14009" s="46" t="s">
        <v>7271</v>
      </c>
      <c r="G14009" s="46">
        <v>7.631065796495E12</v>
      </c>
      <c r="H14009" s="46" t="s">
        <v>7272</v>
      </c>
      <c r="I14009" s="46" t="s">
        <v>7273</v>
      </c>
      <c r="J14009" s="46" t="s">
        <v>224</v>
      </c>
      <c r="K14009" s="46" t="s">
        <v>63</v>
      </c>
      <c r="L14009" s="45">
        <v>46016.625</v>
      </c>
      <c r="M14009" s="46" t="s">
        <v>123</v>
      </c>
      <c r="N14009" s="45">
        <v>46017.0</v>
      </c>
      <c r="O14009" s="46" t="s">
        <v>123</v>
      </c>
      <c r="P14009" s="46">
        <v>32400.0</v>
      </c>
    </row>
    <row r="14010">
      <c r="A14010" s="40">
        <f t="shared" si="1"/>
        <v>46013</v>
      </c>
      <c r="B14010" s="37" t="str">
        <f t="array" ref="B14010">iferror(xlookup($I14010, 'IMPORT VHC Report'!$E:$E, 'IMPORT VHC Report'!$A:$C), )</f>
        <v/>
      </c>
      <c r="C14010" s="44"/>
      <c r="D14010" s="44"/>
      <c r="E14010" s="46" t="s">
        <v>10129</v>
      </c>
      <c r="F14010" s="46" t="s">
        <v>7271</v>
      </c>
      <c r="G14010" s="46">
        <v>7.631065796495E12</v>
      </c>
      <c r="H14010" s="46" t="s">
        <v>7272</v>
      </c>
      <c r="I14010" s="46" t="s">
        <v>7273</v>
      </c>
      <c r="J14010" s="46" t="s">
        <v>178</v>
      </c>
      <c r="K14010" s="46" t="s">
        <v>153</v>
      </c>
      <c r="L14010" s="45">
        <v>46016.625</v>
      </c>
      <c r="M14010" s="46" t="s">
        <v>123</v>
      </c>
      <c r="N14010" s="45">
        <v>46017.0</v>
      </c>
      <c r="O14010" s="46" t="s">
        <v>123</v>
      </c>
      <c r="P14010" s="46">
        <v>32400.0</v>
      </c>
      <c r="Q14010" s="46">
        <v>32400.0</v>
      </c>
    </row>
    <row r="14011">
      <c r="A14011" s="40">
        <f t="shared" si="1"/>
        <v>46013</v>
      </c>
      <c r="B14011" s="37" t="str">
        <f t="array" ref="B14011">iferror(xlookup($I14011, 'IMPORT VHC Report'!$E:$E, 'IMPORT VHC Report'!$A:$C), )</f>
        <v/>
      </c>
      <c r="C14011" s="44"/>
      <c r="D14011" s="44"/>
      <c r="E14011" s="46" t="s">
        <v>10130</v>
      </c>
      <c r="F14011" s="46" t="s">
        <v>7271</v>
      </c>
      <c r="G14011" s="46">
        <v>7.631065796495E12</v>
      </c>
      <c r="H14011" s="46" t="s">
        <v>7272</v>
      </c>
      <c r="I14011" s="46" t="s">
        <v>7273</v>
      </c>
      <c r="J14011" s="46" t="s">
        <v>132</v>
      </c>
      <c r="K14011" s="46" t="s">
        <v>126</v>
      </c>
      <c r="L14011" s="45">
        <v>46016.729166666664</v>
      </c>
      <c r="M14011" s="46" t="s">
        <v>123</v>
      </c>
      <c r="N14011" s="45">
        <v>46016.770833333336</v>
      </c>
      <c r="O14011" s="46" t="s">
        <v>123</v>
      </c>
      <c r="P14011" s="46">
        <v>3600.0</v>
      </c>
    </row>
    <row r="14012">
      <c r="A14012" s="40">
        <f t="shared" si="1"/>
        <v>46013</v>
      </c>
      <c r="B14012" s="37" t="str">
        <f t="array" ref="B14012">iferror(xlookup($I14012, 'IMPORT VHC Report'!$E:$E, 'IMPORT VHC Report'!$A:$C), )</f>
        <v/>
      </c>
      <c r="C14012" s="44"/>
      <c r="D14012" s="44"/>
      <c r="E14012" s="46" t="s">
        <v>10131</v>
      </c>
      <c r="F14012" s="46" t="s">
        <v>7271</v>
      </c>
      <c r="G14012" s="46">
        <v>7.631065796495E12</v>
      </c>
      <c r="H14012" s="46" t="s">
        <v>7272</v>
      </c>
      <c r="I14012" s="46" t="s">
        <v>7273</v>
      </c>
      <c r="J14012" s="46" t="s">
        <v>134</v>
      </c>
      <c r="K14012" s="46" t="s">
        <v>126</v>
      </c>
      <c r="L14012" s="45">
        <v>46016.833333333336</v>
      </c>
      <c r="M14012" s="46" t="s">
        <v>123</v>
      </c>
      <c r="N14012" s="45">
        <v>46016.84375</v>
      </c>
      <c r="O14012" s="46" t="s">
        <v>123</v>
      </c>
      <c r="P14012" s="46">
        <v>900.0</v>
      </c>
    </row>
    <row r="14013">
      <c r="A14013" s="40">
        <f t="shared" si="1"/>
        <v>46013</v>
      </c>
      <c r="B14013" s="37" t="str">
        <f t="array" ref="B14013">iferror(xlookup($I14013, 'IMPORT VHC Report'!$E:$E, 'IMPORT VHC Report'!$A:$C), )</f>
        <v/>
      </c>
      <c r="C14013" s="44"/>
      <c r="D14013" s="44"/>
      <c r="E14013" s="46" t="s">
        <v>10132</v>
      </c>
      <c r="F14013" s="46" t="s">
        <v>7271</v>
      </c>
      <c r="G14013" s="46">
        <v>7.631065796495E12</v>
      </c>
      <c r="H14013" s="46" t="s">
        <v>7272</v>
      </c>
      <c r="I14013" s="46" t="s">
        <v>7273</v>
      </c>
      <c r="J14013" s="46" t="s">
        <v>134</v>
      </c>
      <c r="K14013" s="46" t="s">
        <v>126</v>
      </c>
      <c r="L14013" s="45">
        <v>46016.927083333336</v>
      </c>
      <c r="M14013" s="46" t="s">
        <v>123</v>
      </c>
      <c r="N14013" s="45">
        <v>46016.9375</v>
      </c>
      <c r="O14013" s="46" t="s">
        <v>123</v>
      </c>
      <c r="P14013" s="46">
        <v>900.0</v>
      </c>
    </row>
    <row r="14014">
      <c r="A14014" s="40">
        <f t="shared" si="1"/>
        <v>46013</v>
      </c>
      <c r="B14014" s="37" t="str">
        <f t="array" ref="B14014">iferror(xlookup($I14014, 'IMPORT VHC Report'!$E:$E, 'IMPORT VHC Report'!$A:$C), )</f>
        <v/>
      </c>
      <c r="C14014" s="44"/>
      <c r="D14014" s="44"/>
      <c r="E14014" s="46" t="s">
        <v>10133</v>
      </c>
      <c r="F14014" s="46" t="s">
        <v>7271</v>
      </c>
      <c r="G14014" s="46">
        <v>7.631065796495E12</v>
      </c>
      <c r="H14014" s="46" t="s">
        <v>7272</v>
      </c>
      <c r="I14014" s="46" t="s">
        <v>7273</v>
      </c>
      <c r="J14014" s="46" t="s">
        <v>224</v>
      </c>
      <c r="K14014" s="46" t="s">
        <v>63</v>
      </c>
      <c r="L14014" s="45">
        <v>46017.625</v>
      </c>
      <c r="M14014" s="46" t="s">
        <v>123</v>
      </c>
      <c r="N14014" s="45">
        <v>46018.0</v>
      </c>
      <c r="O14014" s="46" t="s">
        <v>123</v>
      </c>
      <c r="P14014" s="46">
        <v>32400.0</v>
      </c>
    </row>
    <row r="14015">
      <c r="A14015" s="40">
        <f t="shared" si="1"/>
        <v>46013</v>
      </c>
      <c r="B14015" s="37" t="str">
        <f t="array" ref="B14015">iferror(xlookup($I14015, 'IMPORT VHC Report'!$E:$E, 'IMPORT VHC Report'!$A:$C), )</f>
        <v/>
      </c>
      <c r="C14015" s="44"/>
      <c r="D14015" s="44"/>
      <c r="E14015" s="46" t="s">
        <v>10134</v>
      </c>
      <c r="F14015" s="46" t="s">
        <v>7271</v>
      </c>
      <c r="G14015" s="46">
        <v>7.631065796495E12</v>
      </c>
      <c r="H14015" s="46" t="s">
        <v>7272</v>
      </c>
      <c r="I14015" s="46" t="s">
        <v>7273</v>
      </c>
      <c r="J14015" s="46" t="s">
        <v>134</v>
      </c>
      <c r="K14015" s="46" t="s">
        <v>126</v>
      </c>
      <c r="L14015" s="45">
        <v>46017.708333333336</v>
      </c>
      <c r="M14015" s="46" t="s">
        <v>123</v>
      </c>
      <c r="N14015" s="45">
        <v>46017.71875</v>
      </c>
      <c r="O14015" s="46" t="s">
        <v>123</v>
      </c>
      <c r="P14015" s="46">
        <v>900.0</v>
      </c>
    </row>
    <row r="14016">
      <c r="A14016" s="40">
        <f t="shared" si="1"/>
        <v>46013</v>
      </c>
      <c r="B14016" s="37" t="str">
        <f t="array" ref="B14016">iferror(xlookup($I14016, 'IMPORT VHC Report'!$E:$E, 'IMPORT VHC Report'!$A:$C), )</f>
        <v/>
      </c>
      <c r="C14016" s="44"/>
      <c r="D14016" s="44"/>
      <c r="E14016" s="46" t="s">
        <v>10135</v>
      </c>
      <c r="F14016" s="46" t="s">
        <v>7271</v>
      </c>
      <c r="G14016" s="46">
        <v>7.631065796495E12</v>
      </c>
      <c r="H14016" s="46" t="s">
        <v>7272</v>
      </c>
      <c r="I14016" s="46" t="s">
        <v>7273</v>
      </c>
      <c r="J14016" s="46" t="s">
        <v>134</v>
      </c>
      <c r="K14016" s="46" t="s">
        <v>126</v>
      </c>
      <c r="L14016" s="45">
        <v>46017.8125</v>
      </c>
      <c r="M14016" s="46" t="s">
        <v>123</v>
      </c>
      <c r="N14016" s="45">
        <v>46017.822916666664</v>
      </c>
      <c r="O14016" s="46" t="s">
        <v>123</v>
      </c>
      <c r="P14016" s="46">
        <v>900.0</v>
      </c>
    </row>
    <row r="14017">
      <c r="A14017" s="40">
        <f t="shared" si="1"/>
        <v>46013</v>
      </c>
      <c r="B14017" s="37" t="str">
        <f t="array" ref="B14017">iferror(xlookup($I14017, 'IMPORT VHC Report'!$E:$E, 'IMPORT VHC Report'!$A:$C), )</f>
        <v/>
      </c>
      <c r="C14017" s="44"/>
      <c r="D14017" s="44"/>
      <c r="E14017" s="46" t="s">
        <v>10136</v>
      </c>
      <c r="F14017" s="46" t="s">
        <v>7271</v>
      </c>
      <c r="G14017" s="46">
        <v>7.631065796495E12</v>
      </c>
      <c r="H14017" s="46" t="s">
        <v>7272</v>
      </c>
      <c r="I14017" s="46" t="s">
        <v>7273</v>
      </c>
      <c r="J14017" s="46" t="s">
        <v>132</v>
      </c>
      <c r="K14017" s="46" t="s">
        <v>126</v>
      </c>
      <c r="L14017" s="45">
        <v>46017.885416666664</v>
      </c>
      <c r="M14017" s="46" t="s">
        <v>123</v>
      </c>
      <c r="N14017" s="45">
        <v>46017.927083333336</v>
      </c>
      <c r="O14017" s="46" t="s">
        <v>123</v>
      </c>
      <c r="P14017" s="46">
        <v>3600.0</v>
      </c>
    </row>
    <row r="14018">
      <c r="A14018" s="40">
        <f t="shared" si="1"/>
        <v>46013</v>
      </c>
      <c r="B14018" s="37" t="str">
        <f t="array" ref="B14018">iferror(xlookup($I14018, 'IMPORT VHC Report'!$E:$E, 'IMPORT VHC Report'!$A:$C), )</f>
        <v/>
      </c>
      <c r="C14018" s="44"/>
      <c r="D14018" s="44"/>
      <c r="E14018" s="46" t="s">
        <v>10137</v>
      </c>
      <c r="F14018" s="46" t="s">
        <v>7271</v>
      </c>
      <c r="G14018" s="46">
        <v>7.631065796495E12</v>
      </c>
      <c r="H14018" s="46" t="s">
        <v>7272</v>
      </c>
      <c r="I14018" s="46" t="s">
        <v>7273</v>
      </c>
      <c r="J14018" s="46" t="s">
        <v>125</v>
      </c>
      <c r="K14018" s="46" t="s">
        <v>126</v>
      </c>
      <c r="L14018" s="45">
        <v>46017.927083333336</v>
      </c>
      <c r="M14018" s="46" t="s">
        <v>123</v>
      </c>
      <c r="N14018" s="45">
        <v>46017.979166666664</v>
      </c>
      <c r="O14018" s="46" t="s">
        <v>123</v>
      </c>
      <c r="P14018" s="46">
        <v>4500.0</v>
      </c>
    </row>
    <row r="14019">
      <c r="A14019" s="40">
        <f t="shared" si="1"/>
        <v>46013</v>
      </c>
      <c r="B14019" s="37" t="str">
        <f t="array" ref="B14019">iferror(xlookup($I14019, 'IMPORT VHC Report'!$E:$E, 'IMPORT VHC Report'!$A:$C), )</f>
        <v/>
      </c>
      <c r="C14019" s="44"/>
      <c r="D14019" s="44"/>
      <c r="E14019" s="46" t="s">
        <v>10138</v>
      </c>
      <c r="F14019" s="46" t="s">
        <v>7271</v>
      </c>
      <c r="G14019" s="46">
        <v>7.631065796495E12</v>
      </c>
      <c r="H14019" s="46" t="s">
        <v>7272</v>
      </c>
      <c r="I14019" s="46" t="s">
        <v>7273</v>
      </c>
      <c r="J14019" s="46" t="s">
        <v>224</v>
      </c>
      <c r="K14019" s="46" t="s">
        <v>63</v>
      </c>
      <c r="L14019" s="45">
        <v>46018.625</v>
      </c>
      <c r="M14019" s="46" t="s">
        <v>123</v>
      </c>
      <c r="N14019" s="45">
        <v>46019.0</v>
      </c>
      <c r="O14019" s="46" t="s">
        <v>123</v>
      </c>
      <c r="P14019" s="46">
        <v>32400.0</v>
      </c>
    </row>
    <row r="14020">
      <c r="A14020" s="40">
        <f t="shared" si="1"/>
        <v>46013</v>
      </c>
      <c r="B14020" s="37" t="str">
        <f t="array" ref="B14020">iferror(xlookup($I14020, 'IMPORT VHC Report'!$E:$E, 'IMPORT VHC Report'!$A:$C), )</f>
        <v/>
      </c>
      <c r="C14020" s="44"/>
      <c r="D14020" s="44"/>
      <c r="E14020" s="46" t="s">
        <v>10139</v>
      </c>
      <c r="F14020" s="46" t="s">
        <v>7271</v>
      </c>
      <c r="G14020" s="46">
        <v>7.631065796495E12</v>
      </c>
      <c r="H14020" s="46" t="s">
        <v>7272</v>
      </c>
      <c r="I14020" s="46" t="s">
        <v>7273</v>
      </c>
      <c r="J14020" s="46" t="s">
        <v>125</v>
      </c>
      <c r="K14020" s="46" t="s">
        <v>126</v>
      </c>
      <c r="L14020" s="45">
        <v>46018.631944444445</v>
      </c>
      <c r="M14020" s="46" t="s">
        <v>123</v>
      </c>
      <c r="N14020" s="45">
        <v>46018.635416666664</v>
      </c>
      <c r="O14020" s="46" t="s">
        <v>123</v>
      </c>
      <c r="P14020" s="46">
        <v>300.0</v>
      </c>
      <c r="S14020" s="46" t="s">
        <v>10140</v>
      </c>
    </row>
    <row r="14021">
      <c r="A14021" s="40">
        <f t="shared" si="1"/>
        <v>46013</v>
      </c>
      <c r="B14021" s="37" t="str">
        <f t="array" ref="B14021">iferror(xlookup($I14021, 'IMPORT VHC Report'!$E:$E, 'IMPORT VHC Report'!$A:$C), )</f>
        <v/>
      </c>
      <c r="C14021" s="44"/>
      <c r="D14021" s="44"/>
      <c r="E14021" s="46" t="s">
        <v>10141</v>
      </c>
      <c r="F14021" s="46" t="s">
        <v>7271</v>
      </c>
      <c r="G14021" s="46">
        <v>7.631065796495E12</v>
      </c>
      <c r="H14021" s="46" t="s">
        <v>7272</v>
      </c>
      <c r="I14021" s="46" t="s">
        <v>7273</v>
      </c>
      <c r="J14021" s="46" t="s">
        <v>134</v>
      </c>
      <c r="K14021" s="46" t="s">
        <v>126</v>
      </c>
      <c r="L14021" s="45">
        <v>46018.739583333336</v>
      </c>
      <c r="M14021" s="46" t="s">
        <v>123</v>
      </c>
      <c r="N14021" s="45">
        <v>46018.75</v>
      </c>
      <c r="O14021" s="46" t="s">
        <v>123</v>
      </c>
      <c r="P14021" s="46">
        <v>900.0</v>
      </c>
    </row>
    <row r="14022">
      <c r="A14022" s="40">
        <f t="shared" si="1"/>
        <v>46013</v>
      </c>
      <c r="B14022" s="37" t="str">
        <f t="array" ref="B14022">iferror(xlookup($I14022, 'IMPORT VHC Report'!$E:$E, 'IMPORT VHC Report'!$A:$C), )</f>
        <v/>
      </c>
      <c r="C14022" s="44"/>
      <c r="D14022" s="44"/>
      <c r="E14022" s="46" t="s">
        <v>10142</v>
      </c>
      <c r="F14022" s="46" t="s">
        <v>7271</v>
      </c>
      <c r="G14022" s="46">
        <v>7.631065796495E12</v>
      </c>
      <c r="H14022" s="46" t="s">
        <v>7272</v>
      </c>
      <c r="I14022" s="46" t="s">
        <v>7273</v>
      </c>
      <c r="J14022" s="46" t="s">
        <v>132</v>
      </c>
      <c r="K14022" s="46" t="s">
        <v>126</v>
      </c>
      <c r="L14022" s="45">
        <v>46018.8125</v>
      </c>
      <c r="M14022" s="46" t="s">
        <v>123</v>
      </c>
      <c r="N14022" s="45">
        <v>46018.854166666664</v>
      </c>
      <c r="O14022" s="46" t="s">
        <v>123</v>
      </c>
      <c r="P14022" s="46">
        <v>3600.0</v>
      </c>
    </row>
    <row r="14023">
      <c r="A14023" s="40">
        <f t="shared" si="1"/>
        <v>46013</v>
      </c>
      <c r="B14023" s="37" t="str">
        <f t="array" ref="B14023">iferror(xlookup($I14023, 'IMPORT VHC Report'!$E:$E, 'IMPORT VHC Report'!$A:$C), )</f>
        <v/>
      </c>
      <c r="C14023" s="44"/>
      <c r="D14023" s="44"/>
      <c r="E14023" s="46" t="s">
        <v>10143</v>
      </c>
      <c r="F14023" s="46" t="s">
        <v>7271</v>
      </c>
      <c r="G14023" s="46">
        <v>7.631065796495E12</v>
      </c>
      <c r="H14023" s="46" t="s">
        <v>7272</v>
      </c>
      <c r="I14023" s="46" t="s">
        <v>7273</v>
      </c>
      <c r="J14023" s="46" t="s">
        <v>134</v>
      </c>
      <c r="K14023" s="46" t="s">
        <v>126</v>
      </c>
      <c r="L14023" s="45">
        <v>46018.927083333336</v>
      </c>
      <c r="M14023" s="46" t="s">
        <v>123</v>
      </c>
      <c r="N14023" s="45">
        <v>46018.9375</v>
      </c>
      <c r="O14023" s="46" t="s">
        <v>123</v>
      </c>
      <c r="P14023" s="46">
        <v>900.0</v>
      </c>
    </row>
    <row r="14024">
      <c r="A14024" s="40">
        <f t="shared" si="1"/>
        <v>46013</v>
      </c>
      <c r="B14024" s="37" t="str">
        <f t="array" ref="B14024">iferror(xlookup($I14024, 'IMPORT VHC Report'!$E:$E, 'IMPORT VHC Report'!$A:$C), )</f>
        <v/>
      </c>
      <c r="C14024" s="44"/>
      <c r="D14024" s="44"/>
      <c r="E14024" s="46" t="s">
        <v>10144</v>
      </c>
      <c r="F14024" s="46" t="s">
        <v>7271</v>
      </c>
      <c r="G14024" s="46">
        <v>7.631065796495E12</v>
      </c>
      <c r="H14024" s="46" t="s">
        <v>7272</v>
      </c>
      <c r="I14024" s="46" t="s">
        <v>7273</v>
      </c>
      <c r="J14024" s="46" t="s">
        <v>4</v>
      </c>
      <c r="K14024" s="46" t="s">
        <v>126</v>
      </c>
      <c r="L14024" s="45">
        <v>46018.958333333336</v>
      </c>
      <c r="M14024" s="46" t="s">
        <v>123</v>
      </c>
      <c r="N14024" s="45">
        <v>46019.0</v>
      </c>
      <c r="O14024" s="46" t="s">
        <v>123</v>
      </c>
      <c r="P14024" s="46">
        <v>3600.0</v>
      </c>
      <c r="S14024" s="46" t="s">
        <v>10145</v>
      </c>
    </row>
    <row r="14025">
      <c r="A14025" s="40">
        <f t="shared" si="1"/>
        <v>46013</v>
      </c>
      <c r="B14025" s="37" t="str">
        <f t="array" ref="B14025">iferror(xlookup($I14025, 'IMPORT VHC Report'!$E:$E, 'IMPORT VHC Report'!$A:$C), )</f>
        <v/>
      </c>
      <c r="C14025" s="44"/>
      <c r="D14025" s="44"/>
      <c r="E14025" s="46" t="s">
        <v>10146</v>
      </c>
      <c r="F14025" s="46" t="s">
        <v>7271</v>
      </c>
      <c r="G14025" s="46">
        <v>7.631065796495E12</v>
      </c>
      <c r="H14025" s="46" t="s">
        <v>7272</v>
      </c>
      <c r="I14025" s="46" t="s">
        <v>7273</v>
      </c>
      <c r="J14025" s="46" t="s">
        <v>4</v>
      </c>
      <c r="K14025" s="46" t="s">
        <v>126</v>
      </c>
      <c r="L14025" s="45">
        <v>46018.958333333336</v>
      </c>
      <c r="M14025" s="46" t="s">
        <v>123</v>
      </c>
      <c r="N14025" s="45">
        <v>46019.0</v>
      </c>
      <c r="O14025" s="46" t="s">
        <v>123</v>
      </c>
      <c r="P14025" s="46">
        <v>3600.0</v>
      </c>
      <c r="S14025" s="46" t="s">
        <v>10145</v>
      </c>
    </row>
    <row r="14026">
      <c r="A14026" s="40">
        <f t="shared" si="1"/>
        <v>46013</v>
      </c>
      <c r="B14026" s="37" t="str">
        <f t="array" ref="B14026">iferror(xlookup($I14026, 'IMPORT VHC Report'!$E:$E, 'IMPORT VHC Report'!$A:$C), )</f>
        <v/>
      </c>
      <c r="C14026" s="44"/>
      <c r="D14026" s="44"/>
      <c r="E14026" s="46" t="s">
        <v>10147</v>
      </c>
      <c r="F14026" s="46" t="s">
        <v>5129</v>
      </c>
      <c r="G14026" s="46">
        <v>1.1035324543247E13</v>
      </c>
      <c r="H14026" s="46" t="s">
        <v>5130</v>
      </c>
      <c r="I14026" s="46" t="s">
        <v>5131</v>
      </c>
      <c r="J14026" s="46" t="s">
        <v>4</v>
      </c>
      <c r="K14026" s="46" t="s">
        <v>126</v>
      </c>
      <c r="L14026" s="45">
        <v>46014.875</v>
      </c>
      <c r="M14026" s="46" t="s">
        <v>123</v>
      </c>
      <c r="N14026" s="45">
        <v>46014.90625</v>
      </c>
      <c r="O14026" s="46" t="s">
        <v>123</v>
      </c>
      <c r="P14026" s="46">
        <v>2700.0</v>
      </c>
      <c r="S14026" s="46" t="s">
        <v>9739</v>
      </c>
    </row>
    <row r="14027">
      <c r="A14027" s="40">
        <f t="shared" si="1"/>
        <v>46013</v>
      </c>
      <c r="B14027" s="37" t="str">
        <f t="array" ref="B14027">iferror(xlookup($I14027, 'IMPORT VHC Report'!$E:$E, 'IMPORT VHC Report'!$A:$C), )</f>
        <v/>
      </c>
      <c r="C14027" s="44"/>
      <c r="D14027" s="44"/>
      <c r="E14027" s="46" t="s">
        <v>10148</v>
      </c>
      <c r="F14027" s="46" t="s">
        <v>5129</v>
      </c>
      <c r="G14027" s="46">
        <v>1.1035324543247E13</v>
      </c>
      <c r="H14027" s="46" t="s">
        <v>5130</v>
      </c>
      <c r="I14027" s="46" t="s">
        <v>5131</v>
      </c>
      <c r="J14027" s="46" t="s">
        <v>224</v>
      </c>
      <c r="K14027" s="46" t="s">
        <v>63</v>
      </c>
      <c r="L14027" s="45">
        <v>46014.875</v>
      </c>
      <c r="M14027" s="46" t="s">
        <v>123</v>
      </c>
      <c r="N14027" s="45">
        <v>46015.25</v>
      </c>
      <c r="O14027" s="46" t="s">
        <v>123</v>
      </c>
      <c r="P14027" s="46">
        <v>32400.0</v>
      </c>
    </row>
    <row r="14028">
      <c r="A14028" s="40">
        <f t="shared" si="1"/>
        <v>46013</v>
      </c>
      <c r="B14028" s="37" t="str">
        <f t="array" ref="B14028">iferror(xlookup($I14028, 'IMPORT VHC Report'!$E:$E, 'IMPORT VHC Report'!$A:$C), )</f>
        <v/>
      </c>
      <c r="C14028" s="44"/>
      <c r="D14028" s="44"/>
      <c r="E14028" s="46" t="s">
        <v>10149</v>
      </c>
      <c r="F14028" s="46" t="s">
        <v>5129</v>
      </c>
      <c r="G14028" s="46">
        <v>1.1035324543247E13</v>
      </c>
      <c r="H14028" s="46" t="s">
        <v>5130</v>
      </c>
      <c r="I14028" s="46" t="s">
        <v>5131</v>
      </c>
      <c r="J14028" s="46" t="s">
        <v>134</v>
      </c>
      <c r="K14028" s="46" t="s">
        <v>126</v>
      </c>
      <c r="L14028" s="45">
        <v>46014.90625</v>
      </c>
      <c r="M14028" s="46" t="s">
        <v>123</v>
      </c>
      <c r="N14028" s="45">
        <v>46014.916666666664</v>
      </c>
      <c r="O14028" s="46" t="s">
        <v>123</v>
      </c>
      <c r="P14028" s="46">
        <v>900.0</v>
      </c>
    </row>
    <row r="14029">
      <c r="A14029" s="40">
        <f t="shared" si="1"/>
        <v>46013</v>
      </c>
      <c r="B14029" s="37" t="str">
        <f t="array" ref="B14029">iferror(xlookup($I14029, 'IMPORT VHC Report'!$E:$E, 'IMPORT VHC Report'!$A:$C), )</f>
        <v/>
      </c>
      <c r="C14029" s="44"/>
      <c r="D14029" s="44"/>
      <c r="E14029" s="46" t="s">
        <v>10150</v>
      </c>
      <c r="F14029" s="46" t="s">
        <v>5129</v>
      </c>
      <c r="G14029" s="46">
        <v>1.1035324543247E13</v>
      </c>
      <c r="H14029" s="46" t="s">
        <v>5130</v>
      </c>
      <c r="I14029" s="46" t="s">
        <v>5131</v>
      </c>
      <c r="J14029" s="46" t="s">
        <v>136</v>
      </c>
      <c r="K14029" s="46" t="s">
        <v>126</v>
      </c>
      <c r="L14029" s="45">
        <v>46014.916666666664</v>
      </c>
      <c r="M14029" s="46" t="s">
        <v>123</v>
      </c>
      <c r="N14029" s="45">
        <v>46015.0</v>
      </c>
      <c r="O14029" s="46" t="s">
        <v>123</v>
      </c>
      <c r="P14029" s="46">
        <v>7200.0</v>
      </c>
    </row>
    <row r="14030">
      <c r="A14030" s="40">
        <f t="shared" si="1"/>
        <v>46013</v>
      </c>
      <c r="B14030" s="37" t="str">
        <f t="array" ref="B14030">iferror(xlookup($I14030, 'IMPORT VHC Report'!$E:$E, 'IMPORT VHC Report'!$A:$C), )</f>
        <v/>
      </c>
      <c r="C14030" s="44"/>
      <c r="D14030" s="44"/>
      <c r="E14030" s="46" t="s">
        <v>10151</v>
      </c>
      <c r="F14030" s="46" t="s">
        <v>5129</v>
      </c>
      <c r="G14030" s="46">
        <v>1.1035324543247E13</v>
      </c>
      <c r="H14030" s="46" t="s">
        <v>5130</v>
      </c>
      <c r="I14030" s="46" t="s">
        <v>5131</v>
      </c>
      <c r="J14030" s="46" t="s">
        <v>330</v>
      </c>
      <c r="K14030" s="46" t="s">
        <v>126</v>
      </c>
      <c r="L14030" s="45">
        <v>46015.0</v>
      </c>
      <c r="M14030" s="46" t="s">
        <v>123</v>
      </c>
      <c r="N14030" s="45">
        <v>46015.041666666664</v>
      </c>
      <c r="O14030" s="46" t="s">
        <v>123</v>
      </c>
      <c r="P14030" s="46">
        <v>3600.0</v>
      </c>
    </row>
    <row r="14031">
      <c r="A14031" s="40">
        <f t="shared" si="1"/>
        <v>46013</v>
      </c>
      <c r="B14031" s="37" t="str">
        <f t="array" ref="B14031">iferror(xlookup($I14031, 'IMPORT VHC Report'!$E:$E, 'IMPORT VHC Report'!$A:$C), )</f>
        <v/>
      </c>
      <c r="C14031" s="44"/>
      <c r="D14031" s="44"/>
      <c r="E14031" s="46" t="s">
        <v>10152</v>
      </c>
      <c r="F14031" s="46" t="s">
        <v>5129</v>
      </c>
      <c r="G14031" s="46">
        <v>1.1035324543247E13</v>
      </c>
      <c r="H14031" s="46" t="s">
        <v>5130</v>
      </c>
      <c r="I14031" s="46" t="s">
        <v>5131</v>
      </c>
      <c r="J14031" s="46" t="s">
        <v>132</v>
      </c>
      <c r="K14031" s="46" t="s">
        <v>126</v>
      </c>
      <c r="L14031" s="45">
        <v>46015.0625</v>
      </c>
      <c r="M14031" s="46" t="s">
        <v>123</v>
      </c>
      <c r="N14031" s="45">
        <v>46015.104166666664</v>
      </c>
      <c r="O14031" s="46" t="s">
        <v>123</v>
      </c>
      <c r="P14031" s="46">
        <v>3600.0</v>
      </c>
    </row>
    <row r="14032">
      <c r="A14032" s="40">
        <f t="shared" si="1"/>
        <v>46013</v>
      </c>
      <c r="B14032" s="37" t="str">
        <f t="array" ref="B14032">iferror(xlookup($I14032, 'IMPORT VHC Report'!$E:$E, 'IMPORT VHC Report'!$A:$C), )</f>
        <v/>
      </c>
      <c r="C14032" s="44"/>
      <c r="D14032" s="44"/>
      <c r="E14032" s="46" t="s">
        <v>10153</v>
      </c>
      <c r="F14032" s="46" t="s">
        <v>5129</v>
      </c>
      <c r="G14032" s="46">
        <v>1.1035324543247E13</v>
      </c>
      <c r="H14032" s="46" t="s">
        <v>5130</v>
      </c>
      <c r="I14032" s="46" t="s">
        <v>5131</v>
      </c>
      <c r="J14032" s="46" t="s">
        <v>134</v>
      </c>
      <c r="K14032" s="46" t="s">
        <v>126</v>
      </c>
      <c r="L14032" s="45">
        <v>46015.135416666664</v>
      </c>
      <c r="M14032" s="46" t="s">
        <v>123</v>
      </c>
      <c r="N14032" s="45">
        <v>46015.145833333336</v>
      </c>
      <c r="O14032" s="46" t="s">
        <v>123</v>
      </c>
      <c r="P14032" s="46">
        <v>900.0</v>
      </c>
    </row>
    <row r="14033">
      <c r="A14033" s="40">
        <f t="shared" si="1"/>
        <v>46013</v>
      </c>
      <c r="B14033" s="37" t="str">
        <f t="array" ref="B14033">iferror(xlookup($I14033, 'IMPORT VHC Report'!$E:$E, 'IMPORT VHC Report'!$A:$C), )</f>
        <v/>
      </c>
      <c r="C14033" s="44"/>
      <c r="D14033" s="44"/>
      <c r="E14033" s="46" t="s">
        <v>10154</v>
      </c>
      <c r="F14033" s="46" t="s">
        <v>5129</v>
      </c>
      <c r="G14033" s="46">
        <v>1.1035324543247E13</v>
      </c>
      <c r="H14033" s="46" t="s">
        <v>5130</v>
      </c>
      <c r="I14033" s="46" t="s">
        <v>5131</v>
      </c>
      <c r="J14033" s="46" t="s">
        <v>224</v>
      </c>
      <c r="K14033" s="46" t="s">
        <v>63</v>
      </c>
      <c r="L14033" s="45">
        <v>46015.875</v>
      </c>
      <c r="M14033" s="46" t="s">
        <v>123</v>
      </c>
      <c r="N14033" s="45">
        <v>46016.25</v>
      </c>
      <c r="O14033" s="46" t="s">
        <v>123</v>
      </c>
      <c r="P14033" s="46">
        <v>32400.0</v>
      </c>
    </row>
    <row r="14034">
      <c r="A14034" s="40">
        <f t="shared" si="1"/>
        <v>46013</v>
      </c>
      <c r="B14034" s="37" t="str">
        <f t="array" ref="B14034">iferror(xlookup($I14034, 'IMPORT VHC Report'!$E:$E, 'IMPORT VHC Report'!$A:$C), )</f>
        <v/>
      </c>
      <c r="C14034" s="44"/>
      <c r="D14034" s="44"/>
      <c r="E14034" s="46" t="s">
        <v>10155</v>
      </c>
      <c r="F14034" s="46" t="s">
        <v>5129</v>
      </c>
      <c r="G14034" s="46">
        <v>1.1035324543247E13</v>
      </c>
      <c r="H14034" s="46" t="s">
        <v>5130</v>
      </c>
      <c r="I14034" s="46" t="s">
        <v>5131</v>
      </c>
      <c r="J14034" s="46" t="s">
        <v>134</v>
      </c>
      <c r="K14034" s="46" t="s">
        <v>126</v>
      </c>
      <c r="L14034" s="45">
        <v>46015.958333333336</v>
      </c>
      <c r="M14034" s="46" t="s">
        <v>123</v>
      </c>
      <c r="N14034" s="45">
        <v>46015.96875</v>
      </c>
      <c r="O14034" s="46" t="s">
        <v>123</v>
      </c>
      <c r="P14034" s="46">
        <v>900.0</v>
      </c>
    </row>
    <row r="14035">
      <c r="A14035" s="40">
        <f t="shared" si="1"/>
        <v>46013</v>
      </c>
      <c r="B14035" s="37" t="str">
        <f t="array" ref="B14035">iferror(xlookup($I14035, 'IMPORT VHC Report'!$E:$E, 'IMPORT VHC Report'!$A:$C), )</f>
        <v/>
      </c>
      <c r="C14035" s="44"/>
      <c r="D14035" s="44"/>
      <c r="E14035" s="46" t="s">
        <v>10156</v>
      </c>
      <c r="F14035" s="46" t="s">
        <v>5129</v>
      </c>
      <c r="G14035" s="46">
        <v>1.1035324543247E13</v>
      </c>
      <c r="H14035" s="46" t="s">
        <v>5130</v>
      </c>
      <c r="I14035" s="46" t="s">
        <v>5131</v>
      </c>
      <c r="J14035" s="46" t="s">
        <v>132</v>
      </c>
      <c r="K14035" s="46" t="s">
        <v>126</v>
      </c>
      <c r="L14035" s="45">
        <v>46016.03125</v>
      </c>
      <c r="M14035" s="46" t="s">
        <v>123</v>
      </c>
      <c r="N14035" s="45">
        <v>46016.072916666664</v>
      </c>
      <c r="O14035" s="46" t="s">
        <v>123</v>
      </c>
      <c r="P14035" s="46">
        <v>3600.0</v>
      </c>
    </row>
    <row r="14036">
      <c r="A14036" s="40">
        <f t="shared" si="1"/>
        <v>46013</v>
      </c>
      <c r="B14036" s="37" t="str">
        <f t="array" ref="B14036">iferror(xlookup($I14036, 'IMPORT VHC Report'!$E:$E, 'IMPORT VHC Report'!$A:$C), )</f>
        <v/>
      </c>
      <c r="C14036" s="44"/>
      <c r="D14036" s="44"/>
      <c r="E14036" s="46" t="s">
        <v>10157</v>
      </c>
      <c r="F14036" s="46" t="s">
        <v>5129</v>
      </c>
      <c r="G14036" s="46">
        <v>1.1035324543247E13</v>
      </c>
      <c r="H14036" s="46" t="s">
        <v>5130</v>
      </c>
      <c r="I14036" s="46" t="s">
        <v>5131</v>
      </c>
      <c r="J14036" s="46" t="s">
        <v>134</v>
      </c>
      <c r="K14036" s="46" t="s">
        <v>126</v>
      </c>
      <c r="L14036" s="45">
        <v>46016.145833333336</v>
      </c>
      <c r="M14036" s="46" t="s">
        <v>123</v>
      </c>
      <c r="N14036" s="45">
        <v>46016.15625</v>
      </c>
      <c r="O14036" s="46" t="s">
        <v>123</v>
      </c>
      <c r="P14036" s="46">
        <v>900.0</v>
      </c>
    </row>
    <row r="14037">
      <c r="A14037" s="40">
        <f t="shared" si="1"/>
        <v>46013</v>
      </c>
      <c r="B14037" s="37" t="str">
        <f t="array" ref="B14037">iferror(xlookup($I14037, 'IMPORT VHC Report'!$E:$E, 'IMPORT VHC Report'!$A:$C), )</f>
        <v/>
      </c>
      <c r="C14037" s="44"/>
      <c r="D14037" s="44"/>
      <c r="E14037" s="46" t="s">
        <v>10158</v>
      </c>
      <c r="F14037" s="46" t="s">
        <v>5129</v>
      </c>
      <c r="G14037" s="46">
        <v>1.1035324543247E13</v>
      </c>
      <c r="H14037" s="46" t="s">
        <v>5130</v>
      </c>
      <c r="I14037" s="46" t="s">
        <v>5131</v>
      </c>
      <c r="J14037" s="46" t="s">
        <v>224</v>
      </c>
      <c r="K14037" s="46" t="s">
        <v>63</v>
      </c>
      <c r="L14037" s="45">
        <v>46016.875</v>
      </c>
      <c r="M14037" s="46" t="s">
        <v>123</v>
      </c>
      <c r="N14037" s="45">
        <v>46017.25</v>
      </c>
      <c r="O14037" s="46" t="s">
        <v>123</v>
      </c>
      <c r="P14037" s="46">
        <v>32400.0</v>
      </c>
    </row>
    <row r="14038">
      <c r="A14038" s="40">
        <f t="shared" si="1"/>
        <v>46013</v>
      </c>
      <c r="B14038" s="37" t="str">
        <f t="array" ref="B14038">iferror(xlookup($I14038, 'IMPORT VHC Report'!$E:$E, 'IMPORT VHC Report'!$A:$C), )</f>
        <v/>
      </c>
      <c r="C14038" s="44"/>
      <c r="D14038" s="44"/>
      <c r="E14038" s="46" t="s">
        <v>10159</v>
      </c>
      <c r="F14038" s="46" t="s">
        <v>5129</v>
      </c>
      <c r="G14038" s="46">
        <v>1.1035324543247E13</v>
      </c>
      <c r="H14038" s="46" t="s">
        <v>5130</v>
      </c>
      <c r="I14038" s="46" t="s">
        <v>5131</v>
      </c>
      <c r="J14038" s="46" t="s">
        <v>134</v>
      </c>
      <c r="K14038" s="46" t="s">
        <v>126</v>
      </c>
      <c r="L14038" s="45">
        <v>46016.989583333336</v>
      </c>
      <c r="M14038" s="46" t="s">
        <v>123</v>
      </c>
      <c r="N14038" s="45">
        <v>46017.0</v>
      </c>
      <c r="O14038" s="46" t="s">
        <v>123</v>
      </c>
      <c r="P14038" s="46">
        <v>900.0</v>
      </c>
    </row>
    <row r="14039">
      <c r="A14039" s="40">
        <f t="shared" si="1"/>
        <v>46013</v>
      </c>
      <c r="B14039" s="37" t="str">
        <f t="array" ref="B14039">iferror(xlookup($I14039, 'IMPORT VHC Report'!$E:$E, 'IMPORT VHC Report'!$A:$C), )</f>
        <v/>
      </c>
      <c r="C14039" s="44"/>
      <c r="D14039" s="44"/>
      <c r="E14039" s="46" t="s">
        <v>10160</v>
      </c>
      <c r="F14039" s="46" t="s">
        <v>5129</v>
      </c>
      <c r="G14039" s="46">
        <v>1.1035324543247E13</v>
      </c>
      <c r="H14039" s="46" t="s">
        <v>5130</v>
      </c>
      <c r="I14039" s="46" t="s">
        <v>5131</v>
      </c>
      <c r="J14039" s="46" t="s">
        <v>125</v>
      </c>
      <c r="K14039" s="46" t="s">
        <v>126</v>
      </c>
      <c r="L14039" s="45">
        <v>46017.010416666664</v>
      </c>
      <c r="M14039" s="46" t="s">
        <v>123</v>
      </c>
      <c r="N14039" s="45">
        <v>46017.052083333336</v>
      </c>
      <c r="O14039" s="46" t="s">
        <v>123</v>
      </c>
      <c r="P14039" s="46">
        <v>3600.0</v>
      </c>
      <c r="S14039" s="46" t="s">
        <v>8728</v>
      </c>
    </row>
    <row r="14040">
      <c r="A14040" s="40">
        <f t="shared" si="1"/>
        <v>46013</v>
      </c>
      <c r="B14040" s="37" t="str">
        <f t="array" ref="B14040">iferror(xlookup($I14040, 'IMPORT VHC Report'!$E:$E, 'IMPORT VHC Report'!$A:$C), )</f>
        <v/>
      </c>
      <c r="C14040" s="44"/>
      <c r="D14040" s="44"/>
      <c r="E14040" s="46" t="s">
        <v>10161</v>
      </c>
      <c r="F14040" s="46" t="s">
        <v>5129</v>
      </c>
      <c r="G14040" s="46">
        <v>1.1035324543247E13</v>
      </c>
      <c r="H14040" s="46" t="s">
        <v>5130</v>
      </c>
      <c r="I14040" s="46" t="s">
        <v>5131</v>
      </c>
      <c r="J14040" s="46" t="s">
        <v>134</v>
      </c>
      <c r="K14040" s="46" t="s">
        <v>126</v>
      </c>
      <c r="L14040" s="45">
        <v>46017.0625</v>
      </c>
      <c r="M14040" s="46" t="s">
        <v>123</v>
      </c>
      <c r="N14040" s="45">
        <v>46017.072916666664</v>
      </c>
      <c r="O14040" s="46" t="s">
        <v>123</v>
      </c>
      <c r="P14040" s="46">
        <v>900.0</v>
      </c>
    </row>
    <row r="14041">
      <c r="A14041" s="40">
        <f t="shared" si="1"/>
        <v>46013</v>
      </c>
      <c r="B14041" s="37" t="str">
        <f t="array" ref="B14041">iferror(xlookup($I14041, 'IMPORT VHC Report'!$E:$E, 'IMPORT VHC Report'!$A:$C), )</f>
        <v/>
      </c>
      <c r="C14041" s="44"/>
      <c r="D14041" s="44"/>
      <c r="E14041" s="46" t="s">
        <v>10162</v>
      </c>
      <c r="F14041" s="46" t="s">
        <v>5129</v>
      </c>
      <c r="G14041" s="46">
        <v>1.1035324543247E13</v>
      </c>
      <c r="H14041" s="46" t="s">
        <v>5130</v>
      </c>
      <c r="I14041" s="46" t="s">
        <v>5131</v>
      </c>
      <c r="J14041" s="46" t="s">
        <v>132</v>
      </c>
      <c r="K14041" s="46" t="s">
        <v>126</v>
      </c>
      <c r="L14041" s="45">
        <v>46017.135416666664</v>
      </c>
      <c r="M14041" s="46" t="s">
        <v>123</v>
      </c>
      <c r="N14041" s="45">
        <v>46017.177083333336</v>
      </c>
      <c r="O14041" s="46" t="s">
        <v>123</v>
      </c>
      <c r="P14041" s="46">
        <v>3600.0</v>
      </c>
    </row>
    <row r="14042">
      <c r="A14042" s="40">
        <f t="shared" si="1"/>
        <v>46013</v>
      </c>
      <c r="B14042" s="37" t="str">
        <f t="array" ref="B14042">iferror(xlookup($I14042, 'IMPORT VHC Report'!$E:$E, 'IMPORT VHC Report'!$A:$C), )</f>
        <v/>
      </c>
      <c r="C14042" s="44"/>
      <c r="D14042" s="44"/>
      <c r="E14042" s="46" t="s">
        <v>10163</v>
      </c>
      <c r="F14042" s="46" t="s">
        <v>5129</v>
      </c>
      <c r="G14042" s="46">
        <v>1.1035324543247E13</v>
      </c>
      <c r="H14042" s="46" t="s">
        <v>5130</v>
      </c>
      <c r="I14042" s="46" t="s">
        <v>5131</v>
      </c>
      <c r="J14042" s="46" t="s">
        <v>4</v>
      </c>
      <c r="K14042" s="46" t="s">
        <v>126</v>
      </c>
      <c r="L14042" s="45">
        <v>46017.1875</v>
      </c>
      <c r="M14042" s="46" t="s">
        <v>123</v>
      </c>
      <c r="N14042" s="45">
        <v>46017.197916666664</v>
      </c>
      <c r="O14042" s="46" t="s">
        <v>123</v>
      </c>
      <c r="P14042" s="46">
        <v>900.0</v>
      </c>
      <c r="S14042" s="46" t="s">
        <v>10164</v>
      </c>
    </row>
    <row r="14043">
      <c r="A14043" s="40">
        <f t="shared" si="1"/>
        <v>46013</v>
      </c>
      <c r="B14043" s="37" t="str">
        <f t="array" ref="B14043">iferror(xlookup($I14043, 'IMPORT VHC Report'!$E:$E, 'IMPORT VHC Report'!$A:$C), )</f>
        <v/>
      </c>
      <c r="C14043" s="44"/>
      <c r="D14043" s="44"/>
      <c r="E14043" s="46" t="s">
        <v>10165</v>
      </c>
      <c r="F14043" s="46" t="s">
        <v>5129</v>
      </c>
      <c r="G14043" s="46">
        <v>1.1035324543247E13</v>
      </c>
      <c r="H14043" s="46" t="s">
        <v>5130</v>
      </c>
      <c r="I14043" s="46" t="s">
        <v>5131</v>
      </c>
      <c r="J14043" s="46" t="s">
        <v>4</v>
      </c>
      <c r="K14043" s="46" t="s">
        <v>126</v>
      </c>
      <c r="L14043" s="45">
        <v>46017.208333333336</v>
      </c>
      <c r="M14043" s="46" t="s">
        <v>123</v>
      </c>
      <c r="N14043" s="45">
        <v>46017.239583333336</v>
      </c>
      <c r="O14043" s="46" t="s">
        <v>123</v>
      </c>
      <c r="P14043" s="46">
        <v>2700.0</v>
      </c>
      <c r="S14043" s="46" t="s">
        <v>10166</v>
      </c>
    </row>
    <row r="14044">
      <c r="A14044" s="40">
        <f t="shared" si="1"/>
        <v>46013</v>
      </c>
      <c r="B14044" s="37" t="str">
        <f t="array" ref="B14044">iferror(xlookup($I14044, 'IMPORT VHC Report'!$E:$E, 'IMPORT VHC Report'!$A:$C), )</f>
        <v/>
      </c>
      <c r="C14044" s="44"/>
      <c r="D14044" s="44"/>
      <c r="E14044" s="46" t="s">
        <v>10167</v>
      </c>
      <c r="F14044" s="46" t="s">
        <v>5129</v>
      </c>
      <c r="G14044" s="46">
        <v>1.1035324543247E13</v>
      </c>
      <c r="H14044" s="46" t="s">
        <v>5130</v>
      </c>
      <c r="I14044" s="46" t="s">
        <v>5131</v>
      </c>
      <c r="J14044" s="46" t="s">
        <v>224</v>
      </c>
      <c r="K14044" s="46" t="s">
        <v>63</v>
      </c>
      <c r="L14044" s="45">
        <v>46017.875</v>
      </c>
      <c r="M14044" s="46" t="s">
        <v>123</v>
      </c>
      <c r="N14044" s="45">
        <v>46017.895833333336</v>
      </c>
      <c r="O14044" s="46" t="s">
        <v>123</v>
      </c>
      <c r="P14044" s="46">
        <v>1800.0</v>
      </c>
    </row>
    <row r="14045">
      <c r="A14045" s="40">
        <f t="shared" si="1"/>
        <v>46013</v>
      </c>
      <c r="B14045" s="37" t="str">
        <f t="array" ref="B14045">iferror(xlookup($I14045, 'IMPORT VHC Report'!$E:$E, 'IMPORT VHC Report'!$A:$C), )</f>
        <v/>
      </c>
      <c r="C14045" s="44"/>
      <c r="D14045" s="44"/>
      <c r="E14045" s="46" t="s">
        <v>10168</v>
      </c>
      <c r="F14045" s="46" t="s">
        <v>5129</v>
      </c>
      <c r="G14045" s="46">
        <v>1.1035324543247E13</v>
      </c>
      <c r="H14045" s="46" t="s">
        <v>5130</v>
      </c>
      <c r="I14045" s="46" t="s">
        <v>5131</v>
      </c>
      <c r="J14045" s="46" t="s">
        <v>62</v>
      </c>
      <c r="K14045" s="46" t="s">
        <v>63</v>
      </c>
      <c r="L14045" s="45">
        <v>46017.895833333336</v>
      </c>
      <c r="M14045" s="46" t="s">
        <v>123</v>
      </c>
      <c r="N14045" s="45">
        <v>46017.916666666664</v>
      </c>
      <c r="O14045" s="46" t="s">
        <v>123</v>
      </c>
      <c r="P14045" s="46">
        <v>1800.0</v>
      </c>
    </row>
    <row r="14046">
      <c r="A14046" s="40">
        <f t="shared" si="1"/>
        <v>46013</v>
      </c>
      <c r="B14046" s="37" t="str">
        <f t="array" ref="B14046">iferror(xlookup($I14046, 'IMPORT VHC Report'!$E:$E, 'IMPORT VHC Report'!$A:$C), )</f>
        <v/>
      </c>
      <c r="C14046" s="44"/>
      <c r="D14046" s="44"/>
      <c r="E14046" s="46" t="s">
        <v>10169</v>
      </c>
      <c r="F14046" s="46" t="s">
        <v>5129</v>
      </c>
      <c r="G14046" s="46">
        <v>1.1035324543247E13</v>
      </c>
      <c r="H14046" s="46" t="s">
        <v>5130</v>
      </c>
      <c r="I14046" s="46" t="s">
        <v>5131</v>
      </c>
      <c r="J14046" s="46" t="s">
        <v>224</v>
      </c>
      <c r="K14046" s="46" t="s">
        <v>63</v>
      </c>
      <c r="L14046" s="45">
        <v>46017.916666666664</v>
      </c>
      <c r="M14046" s="46" t="s">
        <v>123</v>
      </c>
      <c r="N14046" s="45">
        <v>46018.25</v>
      </c>
      <c r="O14046" s="46" t="s">
        <v>123</v>
      </c>
      <c r="P14046" s="46">
        <v>28800.0</v>
      </c>
    </row>
    <row r="14047">
      <c r="A14047" s="40">
        <f t="shared" si="1"/>
        <v>46013</v>
      </c>
      <c r="B14047" s="37" t="str">
        <f t="array" ref="B14047">iferror(xlookup($I14047, 'IMPORT VHC Report'!$E:$E, 'IMPORT VHC Report'!$A:$C), )</f>
        <v/>
      </c>
      <c r="C14047" s="44"/>
      <c r="D14047" s="44"/>
      <c r="E14047" s="46" t="s">
        <v>10170</v>
      </c>
      <c r="F14047" s="46" t="s">
        <v>5129</v>
      </c>
      <c r="G14047" s="46">
        <v>1.1035324543247E13</v>
      </c>
      <c r="H14047" s="46" t="s">
        <v>5130</v>
      </c>
      <c r="I14047" s="46" t="s">
        <v>5131</v>
      </c>
      <c r="J14047" s="46" t="s">
        <v>134</v>
      </c>
      <c r="K14047" s="46" t="s">
        <v>126</v>
      </c>
      <c r="L14047" s="45">
        <v>46017.979166666664</v>
      </c>
      <c r="M14047" s="46" t="s">
        <v>123</v>
      </c>
      <c r="N14047" s="45">
        <v>46017.989583333336</v>
      </c>
      <c r="O14047" s="46" t="s">
        <v>123</v>
      </c>
      <c r="P14047" s="46">
        <v>900.0</v>
      </c>
    </row>
    <row r="14048">
      <c r="A14048" s="40">
        <f t="shared" si="1"/>
        <v>46013</v>
      </c>
      <c r="B14048" s="37" t="str">
        <f t="array" ref="B14048">iferror(xlookup($I14048, 'IMPORT VHC Report'!$E:$E, 'IMPORT VHC Report'!$A:$C), )</f>
        <v/>
      </c>
      <c r="C14048" s="44"/>
      <c r="D14048" s="44"/>
      <c r="E14048" s="46" t="s">
        <v>10171</v>
      </c>
      <c r="F14048" s="46" t="s">
        <v>5129</v>
      </c>
      <c r="G14048" s="46">
        <v>1.1035324543247E13</v>
      </c>
      <c r="H14048" s="46" t="s">
        <v>5130</v>
      </c>
      <c r="I14048" s="46" t="s">
        <v>5131</v>
      </c>
      <c r="J14048" s="46" t="s">
        <v>134</v>
      </c>
      <c r="K14048" s="46" t="s">
        <v>126</v>
      </c>
      <c r="L14048" s="45">
        <v>46018.052083333336</v>
      </c>
      <c r="M14048" s="46" t="s">
        <v>123</v>
      </c>
      <c r="N14048" s="45">
        <v>46018.0625</v>
      </c>
      <c r="O14048" s="46" t="s">
        <v>123</v>
      </c>
      <c r="P14048" s="46">
        <v>900.0</v>
      </c>
    </row>
    <row r="14049">
      <c r="A14049" s="40">
        <f t="shared" si="1"/>
        <v>46013</v>
      </c>
      <c r="B14049" s="37" t="str">
        <f t="array" ref="B14049">iferror(xlookup($I14049, 'IMPORT VHC Report'!$E:$E, 'IMPORT VHC Report'!$A:$C), )</f>
        <v/>
      </c>
      <c r="C14049" s="44"/>
      <c r="D14049" s="44"/>
      <c r="E14049" s="46" t="s">
        <v>10172</v>
      </c>
      <c r="F14049" s="46" t="s">
        <v>5129</v>
      </c>
      <c r="G14049" s="46">
        <v>1.1035324543247E13</v>
      </c>
      <c r="H14049" s="46" t="s">
        <v>5130</v>
      </c>
      <c r="I14049" s="46" t="s">
        <v>5131</v>
      </c>
      <c r="J14049" s="46" t="s">
        <v>132</v>
      </c>
      <c r="K14049" s="46" t="s">
        <v>126</v>
      </c>
      <c r="L14049" s="45">
        <v>46018.125</v>
      </c>
      <c r="M14049" s="46" t="s">
        <v>123</v>
      </c>
      <c r="N14049" s="45">
        <v>46018.166666666664</v>
      </c>
      <c r="O14049" s="46" t="s">
        <v>123</v>
      </c>
      <c r="P14049" s="46">
        <v>3600.0</v>
      </c>
    </row>
    <row r="14050">
      <c r="A14050" s="40">
        <f t="shared" si="1"/>
        <v>46013</v>
      </c>
      <c r="B14050" s="37" t="str">
        <f t="array" ref="B14050">iferror(xlookup($I14050, 'IMPORT VHC Report'!$E:$E, 'IMPORT VHC Report'!$A:$C), )</f>
        <v/>
      </c>
      <c r="C14050" s="44"/>
      <c r="D14050" s="44"/>
      <c r="E14050" s="46" t="s">
        <v>10173</v>
      </c>
      <c r="F14050" s="46" t="s">
        <v>5129</v>
      </c>
      <c r="G14050" s="46">
        <v>1.1035324543247E13</v>
      </c>
      <c r="H14050" s="46" t="s">
        <v>5130</v>
      </c>
      <c r="I14050" s="46" t="s">
        <v>5131</v>
      </c>
      <c r="J14050" s="46" t="s">
        <v>224</v>
      </c>
      <c r="K14050" s="46" t="s">
        <v>63</v>
      </c>
      <c r="L14050" s="45">
        <v>46018.875</v>
      </c>
      <c r="M14050" s="46" t="s">
        <v>123</v>
      </c>
      <c r="N14050" s="45">
        <v>46019.25</v>
      </c>
      <c r="O14050" s="46" t="s">
        <v>123</v>
      </c>
      <c r="P14050" s="46">
        <v>32400.0</v>
      </c>
    </row>
    <row r="14051">
      <c r="A14051" s="40">
        <f t="shared" si="1"/>
        <v>46013</v>
      </c>
      <c r="B14051" s="37" t="str">
        <f t="array" ref="B14051">iferror(xlookup($I14051, 'IMPORT VHC Report'!$E:$E, 'IMPORT VHC Report'!$A:$C), )</f>
        <v/>
      </c>
      <c r="C14051" s="44"/>
      <c r="D14051" s="44"/>
      <c r="E14051" s="46" t="s">
        <v>10174</v>
      </c>
      <c r="F14051" s="46" t="s">
        <v>5129</v>
      </c>
      <c r="G14051" s="46">
        <v>1.1035324543247E13</v>
      </c>
      <c r="H14051" s="46" t="s">
        <v>5130</v>
      </c>
      <c r="I14051" s="46" t="s">
        <v>5131</v>
      </c>
      <c r="J14051" s="46" t="s">
        <v>132</v>
      </c>
      <c r="K14051" s="46" t="s">
        <v>126</v>
      </c>
      <c r="L14051" s="45">
        <v>46019.0</v>
      </c>
      <c r="M14051" s="46" t="s">
        <v>123</v>
      </c>
      <c r="N14051" s="45">
        <v>46019.041666666664</v>
      </c>
      <c r="O14051" s="46" t="s">
        <v>123</v>
      </c>
      <c r="P14051" s="46">
        <v>3600.0</v>
      </c>
    </row>
    <row r="14052">
      <c r="A14052" s="40">
        <f t="shared" si="1"/>
        <v>46013</v>
      </c>
      <c r="B14052" s="37" t="str">
        <f t="array" ref="B14052">iferror(xlookup($I14052, 'IMPORT VHC Report'!$E:$E, 'IMPORT VHC Report'!$A:$C), )</f>
        <v/>
      </c>
      <c r="C14052" s="44"/>
      <c r="D14052" s="44"/>
      <c r="E14052" s="46" t="s">
        <v>10175</v>
      </c>
      <c r="F14052" s="46" t="s">
        <v>5129</v>
      </c>
      <c r="G14052" s="46">
        <v>1.1035324543247E13</v>
      </c>
      <c r="H14052" s="46" t="s">
        <v>5130</v>
      </c>
      <c r="I14052" s="46" t="s">
        <v>5131</v>
      </c>
      <c r="J14052" s="46" t="s">
        <v>134</v>
      </c>
      <c r="K14052" s="46" t="s">
        <v>126</v>
      </c>
      <c r="L14052" s="45">
        <v>46019.104166666664</v>
      </c>
      <c r="M14052" s="46" t="s">
        <v>123</v>
      </c>
      <c r="N14052" s="45">
        <v>46019.114583333336</v>
      </c>
      <c r="O14052" s="46" t="s">
        <v>123</v>
      </c>
      <c r="P14052" s="46">
        <v>900.0</v>
      </c>
    </row>
    <row r="14053">
      <c r="A14053" s="40">
        <f t="shared" si="1"/>
        <v>46013</v>
      </c>
      <c r="B14053" s="37" t="str">
        <f t="array" ref="B14053">iferror(xlookup($I14053, 'IMPORT VHC Report'!$E:$E, 'IMPORT VHC Report'!$A:$C), )</f>
        <v/>
      </c>
      <c r="C14053" s="44"/>
      <c r="D14053" s="44"/>
      <c r="E14053" s="46" t="s">
        <v>10176</v>
      </c>
      <c r="F14053" s="46" t="s">
        <v>5129</v>
      </c>
      <c r="G14053" s="46">
        <v>1.1035324543247E13</v>
      </c>
      <c r="H14053" s="46" t="s">
        <v>5130</v>
      </c>
      <c r="I14053" s="46" t="s">
        <v>5131</v>
      </c>
      <c r="J14053" s="46" t="s">
        <v>134</v>
      </c>
      <c r="K14053" s="46" t="s">
        <v>126</v>
      </c>
      <c r="L14053" s="45">
        <v>46019.177083333336</v>
      </c>
      <c r="M14053" s="46" t="s">
        <v>123</v>
      </c>
      <c r="N14053" s="45">
        <v>46019.1875</v>
      </c>
      <c r="O14053" s="46" t="s">
        <v>123</v>
      </c>
      <c r="P14053" s="46">
        <v>900.0</v>
      </c>
    </row>
    <row r="14054">
      <c r="A14054" s="40">
        <f t="shared" si="1"/>
        <v>46013</v>
      </c>
      <c r="B14054" s="37" t="str">
        <f t="array" ref="B14054">iferror(xlookup($I14054, 'IMPORT VHC Report'!$E:$E, 'IMPORT VHC Report'!$A:$C), )</f>
        <v/>
      </c>
      <c r="C14054" s="44"/>
      <c r="D14054" s="44"/>
      <c r="E14054" s="46" t="s">
        <v>10177</v>
      </c>
      <c r="F14054" s="46" t="s">
        <v>7558</v>
      </c>
      <c r="G14054" s="46">
        <v>6.839679630095E12</v>
      </c>
      <c r="H14054" s="46" t="s">
        <v>7559</v>
      </c>
      <c r="I14054" s="46" t="s">
        <v>7560</v>
      </c>
      <c r="J14054" s="46" t="s">
        <v>4</v>
      </c>
      <c r="K14054" s="46" t="s">
        <v>126</v>
      </c>
      <c r="L14054" s="45">
        <v>46014.875</v>
      </c>
      <c r="M14054" s="46" t="s">
        <v>123</v>
      </c>
      <c r="N14054" s="45">
        <v>46014.90625</v>
      </c>
      <c r="O14054" s="46" t="s">
        <v>123</v>
      </c>
      <c r="P14054" s="46">
        <v>2700.0</v>
      </c>
      <c r="S14054" s="46" t="s">
        <v>9739</v>
      </c>
    </row>
    <row r="14055">
      <c r="A14055" s="40">
        <f t="shared" si="1"/>
        <v>46013</v>
      </c>
      <c r="B14055" s="37" t="str">
        <f t="array" ref="B14055">iferror(xlookup($I14055, 'IMPORT VHC Report'!$E:$E, 'IMPORT VHC Report'!$A:$C), )</f>
        <v/>
      </c>
      <c r="C14055" s="44"/>
      <c r="D14055" s="44"/>
      <c r="E14055" s="46" t="s">
        <v>10178</v>
      </c>
      <c r="F14055" s="46" t="s">
        <v>7558</v>
      </c>
      <c r="G14055" s="46">
        <v>6.839679630095E12</v>
      </c>
      <c r="H14055" s="46" t="s">
        <v>7559</v>
      </c>
      <c r="I14055" s="46" t="s">
        <v>7560</v>
      </c>
      <c r="J14055" s="46" t="s">
        <v>224</v>
      </c>
      <c r="K14055" s="46" t="s">
        <v>63</v>
      </c>
      <c r="L14055" s="45">
        <v>46014.875</v>
      </c>
      <c r="M14055" s="46" t="s">
        <v>123</v>
      </c>
      <c r="N14055" s="45">
        <v>46015.25</v>
      </c>
      <c r="O14055" s="46" t="s">
        <v>123</v>
      </c>
      <c r="P14055" s="46">
        <v>32400.0</v>
      </c>
    </row>
    <row r="14056">
      <c r="A14056" s="40">
        <f t="shared" si="1"/>
        <v>46013</v>
      </c>
      <c r="B14056" s="37" t="str">
        <f t="array" ref="B14056">iferror(xlookup($I14056, 'IMPORT VHC Report'!$E:$E, 'IMPORT VHC Report'!$A:$C), )</f>
        <v/>
      </c>
      <c r="C14056" s="44"/>
      <c r="D14056" s="44"/>
      <c r="E14056" s="46" t="s">
        <v>10179</v>
      </c>
      <c r="F14056" s="46" t="s">
        <v>7558</v>
      </c>
      <c r="G14056" s="46">
        <v>6.839679630095E12</v>
      </c>
      <c r="H14056" s="46" t="s">
        <v>7559</v>
      </c>
      <c r="I14056" s="46" t="s">
        <v>7560</v>
      </c>
      <c r="J14056" s="46" t="s">
        <v>134</v>
      </c>
      <c r="K14056" s="46" t="s">
        <v>126</v>
      </c>
      <c r="L14056" s="45">
        <v>46014.90625</v>
      </c>
      <c r="M14056" s="46" t="s">
        <v>123</v>
      </c>
      <c r="N14056" s="45">
        <v>46014.916666666664</v>
      </c>
      <c r="O14056" s="46" t="s">
        <v>123</v>
      </c>
      <c r="P14056" s="46">
        <v>900.0</v>
      </c>
    </row>
    <row r="14057">
      <c r="A14057" s="40">
        <f t="shared" si="1"/>
        <v>46013</v>
      </c>
      <c r="B14057" s="37" t="str">
        <f t="array" ref="B14057">iferror(xlookup($I14057, 'IMPORT VHC Report'!$E:$E, 'IMPORT VHC Report'!$A:$C), )</f>
        <v/>
      </c>
      <c r="C14057" s="44"/>
      <c r="D14057" s="44"/>
      <c r="E14057" s="46" t="s">
        <v>10180</v>
      </c>
      <c r="F14057" s="46" t="s">
        <v>7558</v>
      </c>
      <c r="G14057" s="46">
        <v>6.839679630095E12</v>
      </c>
      <c r="H14057" s="46" t="s">
        <v>7559</v>
      </c>
      <c r="I14057" s="46" t="s">
        <v>7560</v>
      </c>
      <c r="J14057" s="46" t="s">
        <v>136</v>
      </c>
      <c r="K14057" s="46" t="s">
        <v>126</v>
      </c>
      <c r="L14057" s="45">
        <v>46014.916666666664</v>
      </c>
      <c r="M14057" s="46" t="s">
        <v>123</v>
      </c>
      <c r="N14057" s="45">
        <v>46015.0</v>
      </c>
      <c r="O14057" s="46" t="s">
        <v>123</v>
      </c>
      <c r="P14057" s="46">
        <v>7200.0</v>
      </c>
    </row>
    <row r="14058">
      <c r="A14058" s="40">
        <f t="shared" si="1"/>
        <v>46013</v>
      </c>
      <c r="B14058" s="37" t="str">
        <f t="array" ref="B14058">iferror(xlookup($I14058, 'IMPORT VHC Report'!$E:$E, 'IMPORT VHC Report'!$A:$C), )</f>
        <v/>
      </c>
      <c r="C14058" s="44"/>
      <c r="D14058" s="44"/>
      <c r="E14058" s="46" t="s">
        <v>10181</v>
      </c>
      <c r="F14058" s="46" t="s">
        <v>7558</v>
      </c>
      <c r="G14058" s="46">
        <v>6.839679630095E12</v>
      </c>
      <c r="H14058" s="46" t="s">
        <v>7559</v>
      </c>
      <c r="I14058" s="46" t="s">
        <v>7560</v>
      </c>
      <c r="J14058" s="46" t="s">
        <v>330</v>
      </c>
      <c r="K14058" s="46" t="s">
        <v>126</v>
      </c>
      <c r="L14058" s="45">
        <v>46015.041666666664</v>
      </c>
      <c r="M14058" s="46" t="s">
        <v>123</v>
      </c>
      <c r="N14058" s="45">
        <v>46015.09027777778</v>
      </c>
      <c r="O14058" s="46" t="s">
        <v>123</v>
      </c>
      <c r="P14058" s="46">
        <v>4200.0</v>
      </c>
    </row>
    <row r="14059">
      <c r="A14059" s="40">
        <f t="shared" si="1"/>
        <v>46013</v>
      </c>
      <c r="B14059" s="37" t="str">
        <f t="array" ref="B14059">iferror(xlookup($I14059, 'IMPORT VHC Report'!$E:$E, 'IMPORT VHC Report'!$A:$C), )</f>
        <v/>
      </c>
      <c r="C14059" s="44"/>
      <c r="D14059" s="44"/>
      <c r="E14059" s="46" t="s">
        <v>10182</v>
      </c>
      <c r="F14059" s="46" t="s">
        <v>7558</v>
      </c>
      <c r="G14059" s="46">
        <v>6.839679630095E12</v>
      </c>
      <c r="H14059" s="46" t="s">
        <v>7559</v>
      </c>
      <c r="I14059" s="46" t="s">
        <v>7560</v>
      </c>
      <c r="J14059" s="46" t="s">
        <v>134</v>
      </c>
      <c r="K14059" s="46" t="s">
        <v>126</v>
      </c>
      <c r="L14059" s="45">
        <v>46015.09027777778</v>
      </c>
      <c r="M14059" s="46" t="s">
        <v>123</v>
      </c>
      <c r="N14059" s="45">
        <v>46015.100694444445</v>
      </c>
      <c r="O14059" s="46" t="s">
        <v>123</v>
      </c>
      <c r="P14059" s="46">
        <v>900.0</v>
      </c>
    </row>
    <row r="14060">
      <c r="A14060" s="40">
        <f t="shared" si="1"/>
        <v>46013</v>
      </c>
      <c r="B14060" s="37" t="str">
        <f t="array" ref="B14060">iferror(xlookup($I14060, 'IMPORT VHC Report'!$E:$E, 'IMPORT VHC Report'!$A:$C), )</f>
        <v/>
      </c>
      <c r="C14060" s="44"/>
      <c r="D14060" s="44"/>
      <c r="E14060" s="46" t="s">
        <v>10183</v>
      </c>
      <c r="F14060" s="46" t="s">
        <v>7558</v>
      </c>
      <c r="G14060" s="46">
        <v>6.839679630095E12</v>
      </c>
      <c r="H14060" s="46" t="s">
        <v>7559</v>
      </c>
      <c r="I14060" s="46" t="s">
        <v>7560</v>
      </c>
      <c r="J14060" s="46" t="s">
        <v>132</v>
      </c>
      <c r="K14060" s="46" t="s">
        <v>126</v>
      </c>
      <c r="L14060" s="45">
        <v>46015.114583333336</v>
      </c>
      <c r="M14060" s="46" t="s">
        <v>123</v>
      </c>
      <c r="N14060" s="45">
        <v>46015.15625</v>
      </c>
      <c r="O14060" s="46" t="s">
        <v>123</v>
      </c>
      <c r="P14060" s="46">
        <v>3600.0</v>
      </c>
    </row>
    <row r="14061">
      <c r="A14061" s="40">
        <f t="shared" si="1"/>
        <v>46013</v>
      </c>
      <c r="B14061" s="37" t="str">
        <f t="array" ref="B14061">iferror(xlookup($I14061, 'IMPORT VHC Report'!$E:$E, 'IMPORT VHC Report'!$A:$C), )</f>
        <v/>
      </c>
      <c r="C14061" s="44"/>
      <c r="D14061" s="44"/>
      <c r="E14061" s="46" t="s">
        <v>10184</v>
      </c>
      <c r="F14061" s="46" t="s">
        <v>7558</v>
      </c>
      <c r="G14061" s="46">
        <v>6.839679630095E12</v>
      </c>
      <c r="H14061" s="46" t="s">
        <v>7559</v>
      </c>
      <c r="I14061" s="46" t="s">
        <v>7560</v>
      </c>
      <c r="J14061" s="46" t="s">
        <v>178</v>
      </c>
      <c r="K14061" s="46" t="s">
        <v>153</v>
      </c>
      <c r="L14061" s="45">
        <v>46015.875</v>
      </c>
      <c r="M14061" s="46" t="s">
        <v>123</v>
      </c>
      <c r="N14061" s="45">
        <v>46016.25</v>
      </c>
      <c r="O14061" s="46" t="s">
        <v>123</v>
      </c>
      <c r="P14061" s="46">
        <v>32400.0</v>
      </c>
      <c r="Q14061" s="46">
        <v>32400.0</v>
      </c>
    </row>
    <row r="14062">
      <c r="A14062" s="40">
        <f t="shared" si="1"/>
        <v>46013</v>
      </c>
      <c r="B14062" s="37" t="str">
        <f t="array" ref="B14062">iferror(xlookup($I14062, 'IMPORT VHC Report'!$E:$E, 'IMPORT VHC Report'!$A:$C), )</f>
        <v/>
      </c>
      <c r="C14062" s="44"/>
      <c r="D14062" s="44"/>
      <c r="E14062" s="46" t="s">
        <v>10185</v>
      </c>
      <c r="F14062" s="46" t="s">
        <v>7558</v>
      </c>
      <c r="G14062" s="46">
        <v>6.839679630095E12</v>
      </c>
      <c r="H14062" s="46" t="s">
        <v>7559</v>
      </c>
      <c r="I14062" s="46" t="s">
        <v>7560</v>
      </c>
      <c r="J14062" s="46" t="s">
        <v>224</v>
      </c>
      <c r="K14062" s="46" t="s">
        <v>63</v>
      </c>
      <c r="L14062" s="45">
        <v>46015.875</v>
      </c>
      <c r="M14062" s="46" t="s">
        <v>123</v>
      </c>
      <c r="N14062" s="45">
        <v>46016.25</v>
      </c>
      <c r="O14062" s="46" t="s">
        <v>123</v>
      </c>
      <c r="P14062" s="46">
        <v>32400.0</v>
      </c>
    </row>
    <row r="14063">
      <c r="A14063" s="40">
        <f t="shared" si="1"/>
        <v>46013</v>
      </c>
      <c r="B14063" s="37" t="str">
        <f t="array" ref="B14063">iferror(xlookup($I14063, 'IMPORT VHC Report'!$E:$E, 'IMPORT VHC Report'!$A:$C), )</f>
        <v/>
      </c>
      <c r="C14063" s="44"/>
      <c r="D14063" s="44"/>
      <c r="E14063" s="46" t="s">
        <v>10186</v>
      </c>
      <c r="F14063" s="46" t="s">
        <v>7558</v>
      </c>
      <c r="G14063" s="46">
        <v>6.839679630095E12</v>
      </c>
      <c r="H14063" s="46" t="s">
        <v>7559</v>
      </c>
      <c r="I14063" s="46" t="s">
        <v>7560</v>
      </c>
      <c r="J14063" s="46" t="s">
        <v>134</v>
      </c>
      <c r="K14063" s="46" t="s">
        <v>126</v>
      </c>
      <c r="L14063" s="45">
        <v>46016.0</v>
      </c>
      <c r="M14063" s="46" t="s">
        <v>123</v>
      </c>
      <c r="N14063" s="45">
        <v>46016.010416666664</v>
      </c>
      <c r="O14063" s="46" t="s">
        <v>123</v>
      </c>
      <c r="P14063" s="46">
        <v>900.0</v>
      </c>
    </row>
    <row r="14064">
      <c r="A14064" s="40">
        <f t="shared" si="1"/>
        <v>46013</v>
      </c>
      <c r="B14064" s="37" t="str">
        <f t="array" ref="B14064">iferror(xlookup($I14064, 'IMPORT VHC Report'!$E:$E, 'IMPORT VHC Report'!$A:$C), )</f>
        <v/>
      </c>
      <c r="C14064" s="44"/>
      <c r="D14064" s="44"/>
      <c r="E14064" s="46" t="s">
        <v>10187</v>
      </c>
      <c r="F14064" s="46" t="s">
        <v>7558</v>
      </c>
      <c r="G14064" s="46">
        <v>6.839679630095E12</v>
      </c>
      <c r="H14064" s="46" t="s">
        <v>7559</v>
      </c>
      <c r="I14064" s="46" t="s">
        <v>7560</v>
      </c>
      <c r="J14064" s="46" t="s">
        <v>134</v>
      </c>
      <c r="K14064" s="46" t="s">
        <v>126</v>
      </c>
      <c r="L14064" s="45">
        <v>46016.072916666664</v>
      </c>
      <c r="M14064" s="46" t="s">
        <v>123</v>
      </c>
      <c r="N14064" s="45">
        <v>46016.083333333336</v>
      </c>
      <c r="O14064" s="46" t="s">
        <v>123</v>
      </c>
      <c r="P14064" s="46">
        <v>900.0</v>
      </c>
    </row>
    <row r="14065">
      <c r="A14065" s="40">
        <f t="shared" si="1"/>
        <v>46013</v>
      </c>
      <c r="B14065" s="37" t="str">
        <f t="array" ref="B14065">iferror(xlookup($I14065, 'IMPORT VHC Report'!$E:$E, 'IMPORT VHC Report'!$A:$C), )</f>
        <v/>
      </c>
      <c r="C14065" s="44"/>
      <c r="D14065" s="44"/>
      <c r="E14065" s="46" t="s">
        <v>10188</v>
      </c>
      <c r="F14065" s="46" t="s">
        <v>7558</v>
      </c>
      <c r="G14065" s="46">
        <v>6.839679630095E12</v>
      </c>
      <c r="H14065" s="46" t="s">
        <v>7559</v>
      </c>
      <c r="I14065" s="46" t="s">
        <v>7560</v>
      </c>
      <c r="J14065" s="46" t="s">
        <v>132</v>
      </c>
      <c r="K14065" s="46" t="s">
        <v>126</v>
      </c>
      <c r="L14065" s="45">
        <v>46016.145833333336</v>
      </c>
      <c r="M14065" s="46" t="s">
        <v>123</v>
      </c>
      <c r="N14065" s="45">
        <v>46016.1875</v>
      </c>
      <c r="O14065" s="46" t="s">
        <v>123</v>
      </c>
      <c r="P14065" s="46">
        <v>3600.0</v>
      </c>
    </row>
    <row r="14066">
      <c r="A14066" s="40">
        <f t="shared" si="1"/>
        <v>46013</v>
      </c>
      <c r="B14066" s="37" t="str">
        <f t="array" ref="B14066">iferror(xlookup($I14066, 'IMPORT VHC Report'!$E:$E, 'IMPORT VHC Report'!$A:$C), )</f>
        <v/>
      </c>
      <c r="C14066" s="44"/>
      <c r="D14066" s="44"/>
      <c r="E14066" s="46" t="s">
        <v>10189</v>
      </c>
      <c r="F14066" s="46" t="s">
        <v>7558</v>
      </c>
      <c r="G14066" s="46">
        <v>6.839679630095E12</v>
      </c>
      <c r="H14066" s="46" t="s">
        <v>7559</v>
      </c>
      <c r="I14066" s="46" t="s">
        <v>7560</v>
      </c>
      <c r="J14066" s="46" t="s">
        <v>224</v>
      </c>
      <c r="K14066" s="46" t="s">
        <v>63</v>
      </c>
      <c r="L14066" s="45">
        <v>46016.875</v>
      </c>
      <c r="M14066" s="46" t="s">
        <v>123</v>
      </c>
      <c r="N14066" s="45">
        <v>46017.25</v>
      </c>
      <c r="O14066" s="46" t="s">
        <v>123</v>
      </c>
      <c r="P14066" s="46">
        <v>32400.0</v>
      </c>
    </row>
    <row r="14067">
      <c r="A14067" s="40">
        <f t="shared" si="1"/>
        <v>46013</v>
      </c>
      <c r="B14067" s="37" t="str">
        <f t="array" ref="B14067">iferror(xlookup($I14067, 'IMPORT VHC Report'!$E:$E, 'IMPORT VHC Report'!$A:$C), )</f>
        <v/>
      </c>
      <c r="C14067" s="44"/>
      <c r="D14067" s="44"/>
      <c r="E14067" s="46" t="s">
        <v>10190</v>
      </c>
      <c r="F14067" s="46" t="s">
        <v>7558</v>
      </c>
      <c r="G14067" s="46">
        <v>6.839679630095E12</v>
      </c>
      <c r="H14067" s="46" t="s">
        <v>7559</v>
      </c>
      <c r="I14067" s="46" t="s">
        <v>7560</v>
      </c>
      <c r="J14067" s="46" t="s">
        <v>132</v>
      </c>
      <c r="K14067" s="46" t="s">
        <v>126</v>
      </c>
      <c r="L14067" s="45">
        <v>46016.993055555555</v>
      </c>
      <c r="M14067" s="46" t="s">
        <v>123</v>
      </c>
      <c r="N14067" s="45">
        <v>46017.03472222222</v>
      </c>
      <c r="O14067" s="46" t="s">
        <v>123</v>
      </c>
      <c r="P14067" s="46">
        <v>3600.0</v>
      </c>
    </row>
    <row r="14068">
      <c r="A14068" s="40">
        <f t="shared" si="1"/>
        <v>46013</v>
      </c>
      <c r="B14068" s="37" t="str">
        <f t="array" ref="B14068">iferror(xlookup($I14068, 'IMPORT VHC Report'!$E:$E, 'IMPORT VHC Report'!$A:$C), )</f>
        <v/>
      </c>
      <c r="C14068" s="44"/>
      <c r="D14068" s="44"/>
      <c r="E14068" s="46" t="s">
        <v>10191</v>
      </c>
      <c r="F14068" s="46" t="s">
        <v>7558</v>
      </c>
      <c r="G14068" s="46">
        <v>6.839679630095E12</v>
      </c>
      <c r="H14068" s="46" t="s">
        <v>7559</v>
      </c>
      <c r="I14068" s="46" t="s">
        <v>7560</v>
      </c>
      <c r="J14068" s="46" t="s">
        <v>125</v>
      </c>
      <c r="K14068" s="46" t="s">
        <v>126</v>
      </c>
      <c r="L14068" s="45">
        <v>46017.03472222222</v>
      </c>
      <c r="M14068" s="46" t="s">
        <v>123</v>
      </c>
      <c r="N14068" s="45">
        <v>46017.07638888889</v>
      </c>
      <c r="O14068" s="46" t="s">
        <v>123</v>
      </c>
      <c r="P14068" s="46">
        <v>3600.0</v>
      </c>
      <c r="S14068" s="46" t="s">
        <v>8728</v>
      </c>
    </row>
    <row r="14069">
      <c r="A14069" s="40">
        <f t="shared" si="1"/>
        <v>46013</v>
      </c>
      <c r="B14069" s="37" t="str">
        <f t="array" ref="B14069">iferror(xlookup($I14069, 'IMPORT VHC Report'!$E:$E, 'IMPORT VHC Report'!$A:$C), )</f>
        <v/>
      </c>
      <c r="C14069" s="44"/>
      <c r="D14069" s="44"/>
      <c r="E14069" s="46" t="s">
        <v>10192</v>
      </c>
      <c r="F14069" s="46" t="s">
        <v>7558</v>
      </c>
      <c r="G14069" s="46">
        <v>6.839679630095E12</v>
      </c>
      <c r="H14069" s="46" t="s">
        <v>7559</v>
      </c>
      <c r="I14069" s="46" t="s">
        <v>7560</v>
      </c>
      <c r="J14069" s="46" t="s">
        <v>134</v>
      </c>
      <c r="K14069" s="46" t="s">
        <v>126</v>
      </c>
      <c r="L14069" s="45">
        <v>46017.09375</v>
      </c>
      <c r="M14069" s="46" t="s">
        <v>123</v>
      </c>
      <c r="N14069" s="45">
        <v>46017.104166666664</v>
      </c>
      <c r="O14069" s="46" t="s">
        <v>123</v>
      </c>
      <c r="P14069" s="46">
        <v>900.0</v>
      </c>
    </row>
    <row r="14070">
      <c r="A14070" s="40">
        <f t="shared" si="1"/>
        <v>46013</v>
      </c>
      <c r="B14070" s="37" t="str">
        <f t="array" ref="B14070">iferror(xlookup($I14070, 'IMPORT VHC Report'!$E:$E, 'IMPORT VHC Report'!$A:$C), )</f>
        <v/>
      </c>
      <c r="C14070" s="44"/>
      <c r="D14070" s="44"/>
      <c r="E14070" s="46" t="s">
        <v>10193</v>
      </c>
      <c r="F14070" s="46" t="s">
        <v>7558</v>
      </c>
      <c r="G14070" s="46">
        <v>6.839679630095E12</v>
      </c>
      <c r="H14070" s="46" t="s">
        <v>7559</v>
      </c>
      <c r="I14070" s="46" t="s">
        <v>7560</v>
      </c>
      <c r="J14070" s="46" t="s">
        <v>134</v>
      </c>
      <c r="K14070" s="46" t="s">
        <v>126</v>
      </c>
      <c r="L14070" s="45">
        <v>46017.166666666664</v>
      </c>
      <c r="M14070" s="46" t="s">
        <v>123</v>
      </c>
      <c r="N14070" s="45">
        <v>46017.177083333336</v>
      </c>
      <c r="O14070" s="46" t="s">
        <v>123</v>
      </c>
      <c r="P14070" s="46">
        <v>900.0</v>
      </c>
    </row>
    <row r="14071">
      <c r="A14071" s="40">
        <f t="shared" si="1"/>
        <v>46013</v>
      </c>
      <c r="B14071" s="37" t="str">
        <f t="array" ref="B14071">iferror(xlookup($I14071, 'IMPORT VHC Report'!$E:$E, 'IMPORT VHC Report'!$A:$C), )</f>
        <v/>
      </c>
      <c r="C14071" s="44"/>
      <c r="D14071" s="44"/>
      <c r="E14071" s="46" t="s">
        <v>10194</v>
      </c>
      <c r="F14071" s="46" t="s">
        <v>7558</v>
      </c>
      <c r="G14071" s="46">
        <v>6.839679630095E12</v>
      </c>
      <c r="H14071" s="46" t="s">
        <v>7559</v>
      </c>
      <c r="I14071" s="46" t="s">
        <v>7560</v>
      </c>
      <c r="J14071" s="46" t="s">
        <v>224</v>
      </c>
      <c r="K14071" s="46" t="s">
        <v>63</v>
      </c>
      <c r="L14071" s="45">
        <v>46017.875</v>
      </c>
      <c r="M14071" s="46" t="s">
        <v>123</v>
      </c>
      <c r="N14071" s="45">
        <v>46018.208333333336</v>
      </c>
      <c r="O14071" s="46" t="s">
        <v>123</v>
      </c>
      <c r="P14071" s="46">
        <v>28800.0</v>
      </c>
    </row>
    <row r="14072">
      <c r="A14072" s="40">
        <f t="shared" si="1"/>
        <v>46013</v>
      </c>
      <c r="B14072" s="37" t="str">
        <f t="array" ref="B14072">iferror(xlookup($I14072, 'IMPORT VHC Report'!$E:$E, 'IMPORT VHC Report'!$A:$C), )</f>
        <v/>
      </c>
      <c r="C14072" s="44"/>
      <c r="D14072" s="44"/>
      <c r="E14072" s="46" t="s">
        <v>10195</v>
      </c>
      <c r="F14072" s="46" t="s">
        <v>7558</v>
      </c>
      <c r="G14072" s="46">
        <v>6.839679630095E12</v>
      </c>
      <c r="H14072" s="46" t="s">
        <v>7559</v>
      </c>
      <c r="I14072" s="46" t="s">
        <v>7560</v>
      </c>
      <c r="J14072" s="46" t="s">
        <v>132</v>
      </c>
      <c r="K14072" s="46" t="s">
        <v>126</v>
      </c>
      <c r="L14072" s="45">
        <v>46017.989583333336</v>
      </c>
      <c r="M14072" s="46" t="s">
        <v>123</v>
      </c>
      <c r="N14072" s="45">
        <v>46018.03125</v>
      </c>
      <c r="O14072" s="46" t="s">
        <v>123</v>
      </c>
      <c r="P14072" s="46">
        <v>3600.0</v>
      </c>
    </row>
    <row r="14073">
      <c r="A14073" s="40">
        <f t="shared" si="1"/>
        <v>46013</v>
      </c>
      <c r="B14073" s="37" t="str">
        <f t="array" ref="B14073">iferror(xlookup($I14073, 'IMPORT VHC Report'!$E:$E, 'IMPORT VHC Report'!$A:$C), )</f>
        <v/>
      </c>
      <c r="C14073" s="44"/>
      <c r="D14073" s="44"/>
      <c r="E14073" s="46" t="s">
        <v>10196</v>
      </c>
      <c r="F14073" s="46" t="s">
        <v>7558</v>
      </c>
      <c r="G14073" s="46">
        <v>6.839679630095E12</v>
      </c>
      <c r="H14073" s="46" t="s">
        <v>7559</v>
      </c>
      <c r="I14073" s="46" t="s">
        <v>7560</v>
      </c>
      <c r="J14073" s="46" t="s">
        <v>134</v>
      </c>
      <c r="K14073" s="46" t="s">
        <v>126</v>
      </c>
      <c r="L14073" s="45">
        <v>46018.09375</v>
      </c>
      <c r="M14073" s="46" t="s">
        <v>123</v>
      </c>
      <c r="N14073" s="45">
        <v>46018.104166666664</v>
      </c>
      <c r="O14073" s="46" t="s">
        <v>123</v>
      </c>
      <c r="P14073" s="46">
        <v>900.0</v>
      </c>
    </row>
    <row r="14074">
      <c r="A14074" s="40">
        <f t="shared" si="1"/>
        <v>46013</v>
      </c>
      <c r="B14074" s="37" t="str">
        <f t="array" ref="B14074">iferror(xlookup($I14074, 'IMPORT VHC Report'!$E:$E, 'IMPORT VHC Report'!$A:$C), )</f>
        <v/>
      </c>
      <c r="C14074" s="44"/>
      <c r="D14074" s="44"/>
      <c r="E14074" s="46" t="s">
        <v>10197</v>
      </c>
      <c r="F14074" s="46" t="s">
        <v>7558</v>
      </c>
      <c r="G14074" s="46">
        <v>6.839679630095E12</v>
      </c>
      <c r="H14074" s="46" t="s">
        <v>7559</v>
      </c>
      <c r="I14074" s="46" t="s">
        <v>7560</v>
      </c>
      <c r="J14074" s="46" t="s">
        <v>134</v>
      </c>
      <c r="K14074" s="46" t="s">
        <v>126</v>
      </c>
      <c r="L14074" s="45">
        <v>46018.166666666664</v>
      </c>
      <c r="M14074" s="46" t="s">
        <v>123</v>
      </c>
      <c r="N14074" s="45">
        <v>46018.177083333336</v>
      </c>
      <c r="O14074" s="46" t="s">
        <v>123</v>
      </c>
      <c r="P14074" s="46">
        <v>900.0</v>
      </c>
    </row>
    <row r="14075">
      <c r="A14075" s="40">
        <f t="shared" si="1"/>
        <v>46013</v>
      </c>
      <c r="B14075" s="37" t="str">
        <f t="array" ref="B14075">iferror(xlookup($I14075, 'IMPORT VHC Report'!$E:$E, 'IMPORT VHC Report'!$A:$C), )</f>
        <v/>
      </c>
      <c r="C14075" s="44"/>
      <c r="D14075" s="44"/>
      <c r="E14075" s="46" t="s">
        <v>10198</v>
      </c>
      <c r="F14075" s="46" t="s">
        <v>7558</v>
      </c>
      <c r="G14075" s="46">
        <v>6.839679630095E12</v>
      </c>
      <c r="H14075" s="46" t="s">
        <v>7559</v>
      </c>
      <c r="I14075" s="46" t="s">
        <v>7560</v>
      </c>
      <c r="J14075" s="46" t="s">
        <v>62</v>
      </c>
      <c r="K14075" s="46" t="s">
        <v>63</v>
      </c>
      <c r="L14075" s="45">
        <v>46018.208333333336</v>
      </c>
      <c r="M14075" s="46" t="s">
        <v>123</v>
      </c>
      <c r="N14075" s="45">
        <v>46018.229166666664</v>
      </c>
      <c r="O14075" s="46" t="s">
        <v>123</v>
      </c>
      <c r="P14075" s="46">
        <v>1800.0</v>
      </c>
    </row>
    <row r="14076">
      <c r="A14076" s="40">
        <f t="shared" si="1"/>
        <v>46013</v>
      </c>
      <c r="B14076" s="37" t="str">
        <f t="array" ref="B14076">iferror(xlookup($I14076, 'IMPORT VHC Report'!$E:$E, 'IMPORT VHC Report'!$A:$C), )</f>
        <v/>
      </c>
      <c r="C14076" s="44"/>
      <c r="D14076" s="44"/>
      <c r="E14076" s="46" t="s">
        <v>10199</v>
      </c>
      <c r="F14076" s="46" t="s">
        <v>7558</v>
      </c>
      <c r="G14076" s="46">
        <v>6.839679630095E12</v>
      </c>
      <c r="H14076" s="46" t="s">
        <v>7559</v>
      </c>
      <c r="I14076" s="46" t="s">
        <v>7560</v>
      </c>
      <c r="J14076" s="46" t="s">
        <v>224</v>
      </c>
      <c r="K14076" s="46" t="s">
        <v>63</v>
      </c>
      <c r="L14076" s="45">
        <v>46018.229166666664</v>
      </c>
      <c r="M14076" s="46" t="s">
        <v>123</v>
      </c>
      <c r="N14076" s="45">
        <v>46018.25</v>
      </c>
      <c r="O14076" s="46" t="s">
        <v>123</v>
      </c>
      <c r="P14076" s="46">
        <v>1800.0</v>
      </c>
    </row>
    <row r="14077">
      <c r="A14077" s="40">
        <f t="shared" si="1"/>
        <v>46013</v>
      </c>
      <c r="B14077" s="37" t="str">
        <f t="array" ref="B14077">iferror(xlookup($I14077, 'IMPORT VHC Report'!$E:$E, 'IMPORT VHC Report'!$A:$C), )</f>
        <v/>
      </c>
      <c r="C14077" s="44"/>
      <c r="D14077" s="44"/>
      <c r="E14077" s="46" t="s">
        <v>10200</v>
      </c>
      <c r="F14077" s="46" t="s">
        <v>7558</v>
      </c>
      <c r="G14077" s="46">
        <v>6.839679630095E12</v>
      </c>
      <c r="H14077" s="46" t="s">
        <v>7559</v>
      </c>
      <c r="I14077" s="46" t="s">
        <v>7560</v>
      </c>
      <c r="J14077" s="46" t="s">
        <v>224</v>
      </c>
      <c r="K14077" s="46" t="s">
        <v>63</v>
      </c>
      <c r="L14077" s="45">
        <v>46018.875</v>
      </c>
      <c r="M14077" s="46" t="s">
        <v>123</v>
      </c>
      <c r="N14077" s="45">
        <v>46019.25</v>
      </c>
      <c r="O14077" s="46" t="s">
        <v>123</v>
      </c>
      <c r="P14077" s="46">
        <v>32400.0</v>
      </c>
    </row>
    <row r="14078">
      <c r="A14078" s="40">
        <f t="shared" si="1"/>
        <v>46013</v>
      </c>
      <c r="B14078" s="37" t="str">
        <f t="array" ref="B14078">iferror(xlookup($I14078, 'IMPORT VHC Report'!$E:$E, 'IMPORT VHC Report'!$A:$C), )</f>
        <v/>
      </c>
      <c r="C14078" s="44"/>
      <c r="D14078" s="44"/>
      <c r="E14078" s="46" t="s">
        <v>10201</v>
      </c>
      <c r="F14078" s="46" t="s">
        <v>7558</v>
      </c>
      <c r="G14078" s="46">
        <v>6.839679630095E12</v>
      </c>
      <c r="H14078" s="46" t="s">
        <v>7559</v>
      </c>
      <c r="I14078" s="46" t="s">
        <v>7560</v>
      </c>
      <c r="J14078" s="46" t="s">
        <v>134</v>
      </c>
      <c r="K14078" s="46" t="s">
        <v>126</v>
      </c>
      <c r="L14078" s="45">
        <v>46019.0</v>
      </c>
      <c r="M14078" s="46" t="s">
        <v>123</v>
      </c>
      <c r="N14078" s="45">
        <v>46019.010416666664</v>
      </c>
      <c r="O14078" s="46" t="s">
        <v>123</v>
      </c>
      <c r="P14078" s="46">
        <v>900.0</v>
      </c>
    </row>
    <row r="14079">
      <c r="A14079" s="40">
        <f t="shared" si="1"/>
        <v>46013</v>
      </c>
      <c r="B14079" s="37" t="str">
        <f t="array" ref="B14079">iferror(xlookup($I14079, 'IMPORT VHC Report'!$E:$E, 'IMPORT VHC Report'!$A:$C), )</f>
        <v/>
      </c>
      <c r="C14079" s="44"/>
      <c r="D14079" s="44"/>
      <c r="E14079" s="46" t="s">
        <v>10202</v>
      </c>
      <c r="F14079" s="46" t="s">
        <v>7558</v>
      </c>
      <c r="G14079" s="46">
        <v>6.839679630095E12</v>
      </c>
      <c r="H14079" s="46" t="s">
        <v>7559</v>
      </c>
      <c r="I14079" s="46" t="s">
        <v>7560</v>
      </c>
      <c r="J14079" s="46" t="s">
        <v>132</v>
      </c>
      <c r="K14079" s="46" t="s">
        <v>126</v>
      </c>
      <c r="L14079" s="45">
        <v>46019.072916666664</v>
      </c>
      <c r="M14079" s="46" t="s">
        <v>123</v>
      </c>
      <c r="N14079" s="45">
        <v>46019.114583333336</v>
      </c>
      <c r="O14079" s="46" t="s">
        <v>123</v>
      </c>
      <c r="P14079" s="46">
        <v>3600.0</v>
      </c>
    </row>
    <row r="14080">
      <c r="A14080" s="40">
        <f t="shared" si="1"/>
        <v>46013</v>
      </c>
      <c r="B14080" s="37" t="str">
        <f t="array" ref="B14080">iferror(xlookup($I14080, 'IMPORT VHC Report'!$E:$E, 'IMPORT VHC Report'!$A:$C), )</f>
        <v/>
      </c>
      <c r="C14080" s="44"/>
      <c r="D14080" s="44"/>
      <c r="E14080" s="46" t="s">
        <v>10203</v>
      </c>
      <c r="F14080" s="46" t="s">
        <v>7558</v>
      </c>
      <c r="G14080" s="46">
        <v>6.839679630095E12</v>
      </c>
      <c r="H14080" s="46" t="s">
        <v>7559</v>
      </c>
      <c r="I14080" s="46" t="s">
        <v>7560</v>
      </c>
      <c r="J14080" s="46" t="s">
        <v>134</v>
      </c>
      <c r="K14080" s="46" t="s">
        <v>126</v>
      </c>
      <c r="L14080" s="45">
        <v>46019.177083333336</v>
      </c>
      <c r="M14080" s="46" t="s">
        <v>123</v>
      </c>
      <c r="N14080" s="45">
        <v>46019.1875</v>
      </c>
      <c r="O14080" s="46" t="s">
        <v>123</v>
      </c>
      <c r="P14080" s="46">
        <v>900.0</v>
      </c>
    </row>
    <row r="14081">
      <c r="A14081" s="40">
        <f t="shared" si="1"/>
        <v>46006</v>
      </c>
      <c r="B14081" s="37" t="str">
        <f t="array" ref="B14081">iferror(xlookup($I14081, 'IMPORT VHC Report'!$E:$E, 'IMPORT VHC Report'!$A:$C), )</f>
        <v/>
      </c>
      <c r="C14081" s="44"/>
      <c r="D14081" s="44"/>
      <c r="E14081" s="46" t="s">
        <v>217</v>
      </c>
      <c r="F14081" s="46" t="s">
        <v>192</v>
      </c>
      <c r="G14081" s="46">
        <v>5.047318720783E12</v>
      </c>
      <c r="H14081" s="46" t="s">
        <v>193</v>
      </c>
      <c r="I14081" s="46" t="s">
        <v>194</v>
      </c>
      <c r="J14081" s="46" t="s">
        <v>196</v>
      </c>
      <c r="K14081" s="46" t="s">
        <v>63</v>
      </c>
      <c r="L14081" s="45">
        <v>46012.75</v>
      </c>
      <c r="M14081" s="46" t="s">
        <v>123</v>
      </c>
      <c r="N14081" s="45">
        <v>46013.125</v>
      </c>
      <c r="O14081" s="46" t="s">
        <v>123</v>
      </c>
      <c r="P14081" s="46">
        <v>32400.0</v>
      </c>
    </row>
    <row r="14082">
      <c r="A14082" s="40">
        <f t="shared" si="1"/>
        <v>46006</v>
      </c>
      <c r="B14082" s="37" t="str">
        <f t="array" ref="B14082">iferror(xlookup($I14082, 'IMPORT VHC Report'!$E:$E, 'IMPORT VHC Report'!$A:$C), )</f>
        <v/>
      </c>
      <c r="C14082" s="44"/>
      <c r="D14082" s="44"/>
      <c r="E14082" s="46" t="s">
        <v>219</v>
      </c>
      <c r="F14082" s="46" t="s">
        <v>192</v>
      </c>
      <c r="G14082" s="46">
        <v>5.047318720783E12</v>
      </c>
      <c r="H14082" s="46" t="s">
        <v>193</v>
      </c>
      <c r="I14082" s="46" t="s">
        <v>194</v>
      </c>
      <c r="J14082" s="46" t="s">
        <v>132</v>
      </c>
      <c r="K14082" s="46" t="s">
        <v>126</v>
      </c>
      <c r="L14082" s="45">
        <v>46012.989583333336</v>
      </c>
      <c r="M14082" s="46" t="s">
        <v>123</v>
      </c>
      <c r="N14082" s="45">
        <v>46013.03125</v>
      </c>
      <c r="O14082" s="46" t="s">
        <v>123</v>
      </c>
      <c r="P14082" s="46">
        <v>3600.0</v>
      </c>
    </row>
    <row r="14083">
      <c r="A14083" s="40">
        <f t="shared" si="1"/>
        <v>46013</v>
      </c>
      <c r="B14083" s="37" t="str">
        <f t="array" ref="B14083">iferror(xlookup($I14083, 'IMPORT VHC Report'!$E:$E, 'IMPORT VHC Report'!$A:$C), )</f>
        <v/>
      </c>
      <c r="C14083" s="44"/>
      <c r="D14083" s="44"/>
      <c r="E14083" s="46" t="s">
        <v>10204</v>
      </c>
      <c r="F14083" s="46" t="s">
        <v>192</v>
      </c>
      <c r="G14083" s="46">
        <v>5.047318720783E12</v>
      </c>
      <c r="H14083" s="46" t="s">
        <v>193</v>
      </c>
      <c r="I14083" s="46" t="s">
        <v>194</v>
      </c>
      <c r="J14083" s="46" t="s">
        <v>125</v>
      </c>
      <c r="K14083" s="46" t="s">
        <v>126</v>
      </c>
      <c r="L14083" s="45">
        <v>46013.75</v>
      </c>
      <c r="M14083" s="46" t="s">
        <v>123</v>
      </c>
      <c r="N14083" s="45">
        <v>46013.760416666664</v>
      </c>
      <c r="O14083" s="46" t="s">
        <v>123</v>
      </c>
      <c r="P14083" s="46">
        <v>900.0</v>
      </c>
      <c r="S14083" s="46" t="s">
        <v>199</v>
      </c>
    </row>
    <row r="14084">
      <c r="A14084" s="40">
        <f t="shared" si="1"/>
        <v>46013</v>
      </c>
      <c r="B14084" s="37" t="str">
        <f t="array" ref="B14084">iferror(xlookup($I14084, 'IMPORT VHC Report'!$E:$E, 'IMPORT VHC Report'!$A:$C), )</f>
        <v/>
      </c>
      <c r="C14084" s="44"/>
      <c r="D14084" s="44"/>
      <c r="E14084" s="46" t="s">
        <v>10205</v>
      </c>
      <c r="F14084" s="46" t="s">
        <v>192</v>
      </c>
      <c r="G14084" s="46">
        <v>5.047318720783E12</v>
      </c>
      <c r="H14084" s="46" t="s">
        <v>193</v>
      </c>
      <c r="I14084" s="46" t="s">
        <v>194</v>
      </c>
      <c r="J14084" s="46" t="s">
        <v>196</v>
      </c>
      <c r="K14084" s="46" t="s">
        <v>63</v>
      </c>
      <c r="L14084" s="45">
        <v>46013.75</v>
      </c>
      <c r="M14084" s="46" t="s">
        <v>123</v>
      </c>
      <c r="N14084" s="45">
        <v>46014.125</v>
      </c>
      <c r="O14084" s="46" t="s">
        <v>123</v>
      </c>
      <c r="P14084" s="46">
        <v>32400.0</v>
      </c>
    </row>
    <row r="14085">
      <c r="A14085" s="40">
        <f t="shared" si="1"/>
        <v>46013</v>
      </c>
      <c r="B14085" s="37" t="str">
        <f t="array" ref="B14085">iferror(xlookup($I14085, 'IMPORT VHC Report'!$E:$E, 'IMPORT VHC Report'!$A:$C), )</f>
        <v/>
      </c>
      <c r="C14085" s="44"/>
      <c r="D14085" s="44"/>
      <c r="E14085" s="46" t="s">
        <v>10206</v>
      </c>
      <c r="F14085" s="46" t="s">
        <v>192</v>
      </c>
      <c r="G14085" s="46">
        <v>5.047318720783E12</v>
      </c>
      <c r="H14085" s="46" t="s">
        <v>193</v>
      </c>
      <c r="I14085" s="46" t="s">
        <v>194</v>
      </c>
      <c r="J14085" s="46" t="s">
        <v>134</v>
      </c>
      <c r="K14085" s="46" t="s">
        <v>126</v>
      </c>
      <c r="L14085" s="45">
        <v>46013.875</v>
      </c>
      <c r="M14085" s="46" t="s">
        <v>123</v>
      </c>
      <c r="N14085" s="45">
        <v>46013.895833333336</v>
      </c>
      <c r="O14085" s="46" t="s">
        <v>123</v>
      </c>
      <c r="P14085" s="46">
        <v>1800.0</v>
      </c>
    </row>
    <row r="14086">
      <c r="A14086" s="40">
        <f t="shared" si="1"/>
        <v>46013</v>
      </c>
      <c r="B14086" s="37" t="str">
        <f t="array" ref="B14086">iferror(xlookup($I14086, 'IMPORT VHC Report'!$E:$E, 'IMPORT VHC Report'!$A:$C), )</f>
        <v/>
      </c>
      <c r="C14086" s="44"/>
      <c r="D14086" s="44"/>
      <c r="E14086" s="46" t="s">
        <v>10207</v>
      </c>
      <c r="F14086" s="46" t="s">
        <v>192</v>
      </c>
      <c r="G14086" s="46">
        <v>5.047318720783E12</v>
      </c>
      <c r="H14086" s="46" t="s">
        <v>193</v>
      </c>
      <c r="I14086" s="46" t="s">
        <v>194</v>
      </c>
      <c r="J14086" s="46" t="s">
        <v>132</v>
      </c>
      <c r="K14086" s="46" t="s">
        <v>126</v>
      </c>
      <c r="L14086" s="45">
        <v>46014.0</v>
      </c>
      <c r="M14086" s="46" t="s">
        <v>123</v>
      </c>
      <c r="N14086" s="45">
        <v>46014.041666666664</v>
      </c>
      <c r="O14086" s="46" t="s">
        <v>123</v>
      </c>
      <c r="P14086" s="46">
        <v>3600.0</v>
      </c>
    </row>
    <row r="14087">
      <c r="A14087" s="40">
        <f t="shared" si="1"/>
        <v>46013</v>
      </c>
      <c r="B14087" s="37" t="str">
        <f t="array" ref="B14087">iferror(xlookup($I14087, 'IMPORT VHC Report'!$E:$E, 'IMPORT VHC Report'!$A:$C), )</f>
        <v/>
      </c>
      <c r="C14087" s="44"/>
      <c r="D14087" s="44"/>
      <c r="E14087" s="46" t="s">
        <v>10208</v>
      </c>
      <c r="F14087" s="46" t="s">
        <v>192</v>
      </c>
      <c r="G14087" s="46">
        <v>5.047318720783E12</v>
      </c>
      <c r="H14087" s="46" t="s">
        <v>193</v>
      </c>
      <c r="I14087" s="46" t="s">
        <v>194</v>
      </c>
      <c r="J14087" s="46" t="s">
        <v>125</v>
      </c>
      <c r="K14087" s="46" t="s">
        <v>126</v>
      </c>
      <c r="L14087" s="45">
        <v>46014.75</v>
      </c>
      <c r="M14087" s="46" t="s">
        <v>123</v>
      </c>
      <c r="N14087" s="45">
        <v>46014.760416666664</v>
      </c>
      <c r="O14087" s="46" t="s">
        <v>123</v>
      </c>
      <c r="P14087" s="46">
        <v>900.0</v>
      </c>
      <c r="S14087" s="46" t="s">
        <v>199</v>
      </c>
    </row>
    <row r="14088">
      <c r="A14088" s="40">
        <f t="shared" si="1"/>
        <v>46013</v>
      </c>
      <c r="B14088" s="37" t="str">
        <f t="array" ref="B14088">iferror(xlookup($I14088, 'IMPORT VHC Report'!$E:$E, 'IMPORT VHC Report'!$A:$C), )</f>
        <v/>
      </c>
      <c r="C14088" s="44"/>
      <c r="D14088" s="44"/>
      <c r="E14088" s="46" t="s">
        <v>10209</v>
      </c>
      <c r="F14088" s="46" t="s">
        <v>192</v>
      </c>
      <c r="G14088" s="46">
        <v>5.047318720783E12</v>
      </c>
      <c r="H14088" s="46" t="s">
        <v>193</v>
      </c>
      <c r="I14088" s="46" t="s">
        <v>194</v>
      </c>
      <c r="J14088" s="46" t="s">
        <v>178</v>
      </c>
      <c r="K14088" s="46" t="s">
        <v>153</v>
      </c>
      <c r="L14088" s="45">
        <v>46014.75</v>
      </c>
      <c r="M14088" s="46" t="s">
        <v>123</v>
      </c>
      <c r="N14088" s="45">
        <v>46015.125</v>
      </c>
      <c r="O14088" s="46" t="s">
        <v>123</v>
      </c>
      <c r="P14088" s="46">
        <v>32400.0</v>
      </c>
      <c r="Q14088" s="46">
        <v>28800.0</v>
      </c>
      <c r="R14088" s="46" t="s">
        <v>10210</v>
      </c>
    </row>
    <row r="14089">
      <c r="A14089" s="40">
        <f t="shared" si="1"/>
        <v>46013</v>
      </c>
      <c r="B14089" s="37" t="str">
        <f t="array" ref="B14089">iferror(xlookup($I14089, 'IMPORT VHC Report'!$E:$E, 'IMPORT VHC Report'!$A:$C), )</f>
        <v/>
      </c>
      <c r="C14089" s="44"/>
      <c r="D14089" s="44"/>
      <c r="E14089" s="46" t="s">
        <v>10211</v>
      </c>
      <c r="F14089" s="46" t="s">
        <v>192</v>
      </c>
      <c r="G14089" s="46">
        <v>5.047318720783E12</v>
      </c>
      <c r="H14089" s="46" t="s">
        <v>193</v>
      </c>
      <c r="I14089" s="46" t="s">
        <v>194</v>
      </c>
      <c r="J14089" s="46" t="s">
        <v>196</v>
      </c>
      <c r="K14089" s="46" t="s">
        <v>63</v>
      </c>
      <c r="L14089" s="45">
        <v>46014.75</v>
      </c>
      <c r="M14089" s="46" t="s">
        <v>123</v>
      </c>
      <c r="N14089" s="45">
        <v>46015.125</v>
      </c>
      <c r="O14089" s="46" t="s">
        <v>123</v>
      </c>
      <c r="P14089" s="46">
        <v>32400.0</v>
      </c>
    </row>
    <row r="14090">
      <c r="A14090" s="40">
        <f t="shared" si="1"/>
        <v>46013</v>
      </c>
      <c r="B14090" s="37" t="str">
        <f t="array" ref="B14090">iferror(xlookup($I14090, 'IMPORT VHC Report'!$E:$E, 'IMPORT VHC Report'!$A:$C), )</f>
        <v/>
      </c>
      <c r="C14090" s="44"/>
      <c r="D14090" s="44"/>
      <c r="E14090" s="46" t="s">
        <v>10212</v>
      </c>
      <c r="F14090" s="46" t="s">
        <v>192</v>
      </c>
      <c r="G14090" s="46">
        <v>5.047318720783E12</v>
      </c>
      <c r="H14090" s="46" t="s">
        <v>193</v>
      </c>
      <c r="I14090" s="46" t="s">
        <v>194</v>
      </c>
      <c r="J14090" s="46" t="s">
        <v>132</v>
      </c>
      <c r="K14090" s="46" t="s">
        <v>126</v>
      </c>
      <c r="L14090" s="45">
        <v>46014.875</v>
      </c>
      <c r="M14090" s="46" t="s">
        <v>123</v>
      </c>
      <c r="N14090" s="45">
        <v>46014.916666666664</v>
      </c>
      <c r="O14090" s="46" t="s">
        <v>123</v>
      </c>
      <c r="P14090" s="46">
        <v>3600.0</v>
      </c>
    </row>
    <row r="14091">
      <c r="A14091" s="40">
        <f t="shared" si="1"/>
        <v>46013</v>
      </c>
      <c r="B14091" s="37" t="str">
        <f t="array" ref="B14091">iferror(xlookup($I14091, 'IMPORT VHC Report'!$E:$E, 'IMPORT VHC Report'!$A:$C), )</f>
        <v/>
      </c>
      <c r="C14091" s="44"/>
      <c r="D14091" s="44"/>
      <c r="E14091" s="46" t="s">
        <v>10213</v>
      </c>
      <c r="F14091" s="46" t="s">
        <v>192</v>
      </c>
      <c r="G14091" s="46">
        <v>5.047318720783E12</v>
      </c>
      <c r="H14091" s="46" t="s">
        <v>193</v>
      </c>
      <c r="I14091" s="46" t="s">
        <v>194</v>
      </c>
      <c r="J14091" s="46" t="s">
        <v>134</v>
      </c>
      <c r="K14091" s="46" t="s">
        <v>126</v>
      </c>
      <c r="L14091" s="45">
        <v>46015.020833333336</v>
      </c>
      <c r="M14091" s="46" t="s">
        <v>123</v>
      </c>
      <c r="N14091" s="45">
        <v>46015.041666666664</v>
      </c>
      <c r="O14091" s="46" t="s">
        <v>123</v>
      </c>
      <c r="P14091" s="46">
        <v>1800.0</v>
      </c>
    </row>
    <row r="14092">
      <c r="A14092" s="40">
        <f t="shared" si="1"/>
        <v>46013</v>
      </c>
      <c r="B14092" s="37" t="str">
        <f t="array" ref="B14092">iferror(xlookup($I14092, 'IMPORT VHC Report'!$E:$E, 'IMPORT VHC Report'!$A:$C), )</f>
        <v/>
      </c>
      <c r="C14092" s="44"/>
      <c r="D14092" s="44"/>
      <c r="E14092" s="46" t="s">
        <v>10214</v>
      </c>
      <c r="F14092" s="46" t="s">
        <v>192</v>
      </c>
      <c r="G14092" s="46">
        <v>5.047318720783E12</v>
      </c>
      <c r="H14092" s="46" t="s">
        <v>193</v>
      </c>
      <c r="I14092" s="46" t="s">
        <v>194</v>
      </c>
      <c r="J14092" s="46" t="s">
        <v>125</v>
      </c>
      <c r="K14092" s="46" t="s">
        <v>126</v>
      </c>
      <c r="L14092" s="45">
        <v>46017.75</v>
      </c>
      <c r="M14092" s="46" t="s">
        <v>123</v>
      </c>
      <c r="N14092" s="45">
        <v>46017.760416666664</v>
      </c>
      <c r="O14092" s="46" t="s">
        <v>123</v>
      </c>
      <c r="P14092" s="46">
        <v>900.0</v>
      </c>
      <c r="S14092" s="46" t="s">
        <v>199</v>
      </c>
    </row>
    <row r="14093">
      <c r="A14093" s="40">
        <f t="shared" si="1"/>
        <v>46013</v>
      </c>
      <c r="B14093" s="37" t="str">
        <f t="array" ref="B14093">iferror(xlookup($I14093, 'IMPORT VHC Report'!$E:$E, 'IMPORT VHC Report'!$A:$C), )</f>
        <v/>
      </c>
      <c r="C14093" s="44"/>
      <c r="D14093" s="44"/>
      <c r="E14093" s="46" t="s">
        <v>10215</v>
      </c>
      <c r="F14093" s="46" t="s">
        <v>192</v>
      </c>
      <c r="G14093" s="46">
        <v>5.047318720783E12</v>
      </c>
      <c r="H14093" s="46" t="s">
        <v>193</v>
      </c>
      <c r="I14093" s="46" t="s">
        <v>194</v>
      </c>
      <c r="J14093" s="46" t="s">
        <v>196</v>
      </c>
      <c r="K14093" s="46" t="s">
        <v>63</v>
      </c>
      <c r="L14093" s="45">
        <v>46017.75</v>
      </c>
      <c r="M14093" s="46" t="s">
        <v>123</v>
      </c>
      <c r="N14093" s="45">
        <v>46017.8125</v>
      </c>
      <c r="O14093" s="46" t="s">
        <v>123</v>
      </c>
      <c r="P14093" s="46">
        <v>5400.0</v>
      </c>
    </row>
    <row r="14094">
      <c r="A14094" s="40">
        <f t="shared" si="1"/>
        <v>46013</v>
      </c>
      <c r="B14094" s="37" t="str">
        <f t="array" ref="B14094">iferror(xlookup($I14094, 'IMPORT VHC Report'!$E:$E, 'IMPORT VHC Report'!$A:$C), )</f>
        <v/>
      </c>
      <c r="C14094" s="44"/>
      <c r="D14094" s="44"/>
      <c r="E14094" s="46" t="s">
        <v>10216</v>
      </c>
      <c r="F14094" s="46" t="s">
        <v>192</v>
      </c>
      <c r="G14094" s="46">
        <v>5.047318720783E12</v>
      </c>
      <c r="H14094" s="46" t="s">
        <v>193</v>
      </c>
      <c r="I14094" s="46" t="s">
        <v>194</v>
      </c>
      <c r="J14094" s="46" t="s">
        <v>178</v>
      </c>
      <c r="K14094" s="46" t="s">
        <v>153</v>
      </c>
      <c r="L14094" s="45">
        <v>46017.75</v>
      </c>
      <c r="M14094" s="46" t="s">
        <v>123</v>
      </c>
      <c r="N14094" s="45">
        <v>46018.125</v>
      </c>
      <c r="O14094" s="46" t="s">
        <v>123</v>
      </c>
      <c r="P14094" s="46">
        <v>32400.0</v>
      </c>
      <c r="Q14094" s="46">
        <v>28800.0</v>
      </c>
      <c r="R14094" s="46" t="s">
        <v>10217</v>
      </c>
    </row>
    <row r="14095">
      <c r="A14095" s="40">
        <f t="shared" si="1"/>
        <v>46013</v>
      </c>
      <c r="B14095" s="37" t="str">
        <f t="array" ref="B14095">iferror(xlookup($I14095, 'IMPORT VHC Report'!$E:$E, 'IMPORT VHC Report'!$A:$C), )</f>
        <v/>
      </c>
      <c r="C14095" s="44"/>
      <c r="D14095" s="44"/>
      <c r="E14095" s="46" t="s">
        <v>10218</v>
      </c>
      <c r="F14095" s="46" t="s">
        <v>192</v>
      </c>
      <c r="G14095" s="46">
        <v>5.047318720783E12</v>
      </c>
      <c r="H14095" s="46" t="s">
        <v>193</v>
      </c>
      <c r="I14095" s="46" t="s">
        <v>194</v>
      </c>
      <c r="J14095" s="46" t="s">
        <v>62</v>
      </c>
      <c r="K14095" s="46" t="s">
        <v>63</v>
      </c>
      <c r="L14095" s="45">
        <v>46017.8125</v>
      </c>
      <c r="M14095" s="46" t="s">
        <v>123</v>
      </c>
      <c r="N14095" s="45">
        <v>46017.833333333336</v>
      </c>
      <c r="O14095" s="46" t="s">
        <v>123</v>
      </c>
      <c r="P14095" s="46">
        <v>1800.0</v>
      </c>
    </row>
    <row r="14096">
      <c r="A14096" s="40">
        <f t="shared" si="1"/>
        <v>46013</v>
      </c>
      <c r="B14096" s="37" t="str">
        <f t="array" ref="B14096">iferror(xlookup($I14096, 'IMPORT VHC Report'!$E:$E, 'IMPORT VHC Report'!$A:$C), )</f>
        <v/>
      </c>
      <c r="C14096" s="44"/>
      <c r="D14096" s="44"/>
      <c r="E14096" s="46" t="s">
        <v>10219</v>
      </c>
      <c r="F14096" s="46" t="s">
        <v>192</v>
      </c>
      <c r="G14096" s="46">
        <v>5.047318720783E12</v>
      </c>
      <c r="H14096" s="46" t="s">
        <v>193</v>
      </c>
      <c r="I14096" s="46" t="s">
        <v>194</v>
      </c>
      <c r="J14096" s="46" t="s">
        <v>196</v>
      </c>
      <c r="K14096" s="46" t="s">
        <v>63</v>
      </c>
      <c r="L14096" s="45">
        <v>46017.833333333336</v>
      </c>
      <c r="M14096" s="46" t="s">
        <v>123</v>
      </c>
      <c r="N14096" s="45">
        <v>46018.125</v>
      </c>
      <c r="O14096" s="46" t="s">
        <v>123</v>
      </c>
      <c r="P14096" s="46">
        <v>25200.0</v>
      </c>
    </row>
    <row r="14097">
      <c r="A14097" s="40">
        <f t="shared" si="1"/>
        <v>46013</v>
      </c>
      <c r="B14097" s="37" t="str">
        <f t="array" ref="B14097">iferror(xlookup($I14097, 'IMPORT VHC Report'!$E:$E, 'IMPORT VHC Report'!$A:$C), )</f>
        <v/>
      </c>
      <c r="C14097" s="44"/>
      <c r="D14097" s="44"/>
      <c r="E14097" s="46" t="s">
        <v>10220</v>
      </c>
      <c r="F14097" s="46" t="s">
        <v>192</v>
      </c>
      <c r="G14097" s="46">
        <v>5.047318720783E12</v>
      </c>
      <c r="H14097" s="46" t="s">
        <v>193</v>
      </c>
      <c r="I14097" s="46" t="s">
        <v>194</v>
      </c>
      <c r="J14097" s="46" t="s">
        <v>132</v>
      </c>
      <c r="K14097" s="46" t="s">
        <v>126</v>
      </c>
      <c r="L14097" s="45">
        <v>46017.875</v>
      </c>
      <c r="M14097" s="46" t="s">
        <v>123</v>
      </c>
      <c r="N14097" s="45">
        <v>46017.916666666664</v>
      </c>
      <c r="O14097" s="46" t="s">
        <v>123</v>
      </c>
      <c r="P14097" s="46">
        <v>3600.0</v>
      </c>
    </row>
    <row r="14098">
      <c r="A14098" s="40">
        <f t="shared" si="1"/>
        <v>46013</v>
      </c>
      <c r="B14098" s="37" t="str">
        <f t="array" ref="B14098">iferror(xlookup($I14098, 'IMPORT VHC Report'!$E:$E, 'IMPORT VHC Report'!$A:$C), )</f>
        <v/>
      </c>
      <c r="C14098" s="44"/>
      <c r="D14098" s="44"/>
      <c r="E14098" s="46" t="s">
        <v>10221</v>
      </c>
      <c r="F14098" s="46" t="s">
        <v>192</v>
      </c>
      <c r="G14098" s="46">
        <v>5.047318720783E12</v>
      </c>
      <c r="H14098" s="46" t="s">
        <v>193</v>
      </c>
      <c r="I14098" s="46" t="s">
        <v>194</v>
      </c>
      <c r="J14098" s="46" t="s">
        <v>134</v>
      </c>
      <c r="K14098" s="46" t="s">
        <v>126</v>
      </c>
      <c r="L14098" s="45">
        <v>46018.020833333336</v>
      </c>
      <c r="M14098" s="46" t="s">
        <v>123</v>
      </c>
      <c r="N14098" s="45">
        <v>46018.041666666664</v>
      </c>
      <c r="O14098" s="46" t="s">
        <v>123</v>
      </c>
      <c r="P14098" s="46">
        <v>1800.0</v>
      </c>
    </row>
    <row r="14099">
      <c r="A14099" s="40">
        <f t="shared" si="1"/>
        <v>46013</v>
      </c>
      <c r="B14099" s="37" t="str">
        <f t="array" ref="B14099">iferror(xlookup($I14099, 'IMPORT VHC Report'!$E:$E, 'IMPORT VHC Report'!$A:$C), )</f>
        <v/>
      </c>
      <c r="C14099" s="44"/>
      <c r="D14099" s="44"/>
      <c r="E14099" s="46" t="s">
        <v>10222</v>
      </c>
      <c r="F14099" s="46" t="s">
        <v>192</v>
      </c>
      <c r="G14099" s="46">
        <v>5.047318720783E12</v>
      </c>
      <c r="H14099" s="46" t="s">
        <v>193</v>
      </c>
      <c r="I14099" s="46" t="s">
        <v>194</v>
      </c>
      <c r="J14099" s="46" t="s">
        <v>125</v>
      </c>
      <c r="K14099" s="46" t="s">
        <v>126</v>
      </c>
      <c r="L14099" s="45">
        <v>46018.75</v>
      </c>
      <c r="M14099" s="46" t="s">
        <v>123</v>
      </c>
      <c r="N14099" s="45">
        <v>46018.760416666664</v>
      </c>
      <c r="O14099" s="46" t="s">
        <v>123</v>
      </c>
      <c r="P14099" s="46">
        <v>900.0</v>
      </c>
      <c r="S14099" s="46" t="s">
        <v>199</v>
      </c>
    </row>
    <row r="14100">
      <c r="A14100" s="40">
        <f t="shared" si="1"/>
        <v>46013</v>
      </c>
      <c r="B14100" s="37" t="str">
        <f t="array" ref="B14100">iferror(xlookup($I14100, 'IMPORT VHC Report'!$E:$E, 'IMPORT VHC Report'!$A:$C), )</f>
        <v/>
      </c>
      <c r="C14100" s="44"/>
      <c r="D14100" s="44"/>
      <c r="E14100" s="46" t="s">
        <v>10223</v>
      </c>
      <c r="F14100" s="46" t="s">
        <v>192</v>
      </c>
      <c r="G14100" s="46">
        <v>5.047318720783E12</v>
      </c>
      <c r="H14100" s="46" t="s">
        <v>193</v>
      </c>
      <c r="I14100" s="46" t="s">
        <v>194</v>
      </c>
      <c r="J14100" s="46" t="s">
        <v>196</v>
      </c>
      <c r="K14100" s="46" t="s">
        <v>63</v>
      </c>
      <c r="L14100" s="45">
        <v>46018.75</v>
      </c>
      <c r="M14100" s="46" t="s">
        <v>123</v>
      </c>
      <c r="N14100" s="45">
        <v>46019.125</v>
      </c>
      <c r="O14100" s="46" t="s">
        <v>123</v>
      </c>
      <c r="P14100" s="46">
        <v>32400.0</v>
      </c>
    </row>
    <row r="14101">
      <c r="A14101" s="40">
        <f t="shared" si="1"/>
        <v>46013</v>
      </c>
      <c r="B14101" s="37" t="str">
        <f t="array" ref="B14101">iferror(xlookup($I14101, 'IMPORT VHC Report'!$E:$E, 'IMPORT VHC Report'!$A:$C), )</f>
        <v/>
      </c>
      <c r="C14101" s="44"/>
      <c r="D14101" s="44"/>
      <c r="E14101" s="46" t="s">
        <v>10224</v>
      </c>
      <c r="F14101" s="46" t="s">
        <v>192</v>
      </c>
      <c r="G14101" s="46">
        <v>5.047318720783E12</v>
      </c>
      <c r="H14101" s="46" t="s">
        <v>193</v>
      </c>
      <c r="I14101" s="46" t="s">
        <v>194</v>
      </c>
      <c r="J14101" s="46" t="s">
        <v>132</v>
      </c>
      <c r="K14101" s="46" t="s">
        <v>126</v>
      </c>
      <c r="L14101" s="45">
        <v>46018.885416666664</v>
      </c>
      <c r="M14101" s="46" t="s">
        <v>123</v>
      </c>
      <c r="N14101" s="45">
        <v>46018.927083333336</v>
      </c>
      <c r="O14101" s="46" t="s">
        <v>123</v>
      </c>
      <c r="P14101" s="46">
        <v>3600.0</v>
      </c>
    </row>
    <row r="14102">
      <c r="A14102" s="40">
        <f t="shared" si="1"/>
        <v>46013</v>
      </c>
      <c r="B14102" s="37" t="str">
        <f t="array" ref="B14102">iferror(xlookup($I14102, 'IMPORT VHC Report'!$E:$E, 'IMPORT VHC Report'!$A:$C), )</f>
        <v/>
      </c>
      <c r="C14102" s="44"/>
      <c r="D14102" s="44"/>
      <c r="E14102" s="46" t="s">
        <v>10225</v>
      </c>
      <c r="F14102" s="46" t="s">
        <v>192</v>
      </c>
      <c r="G14102" s="46">
        <v>5.047318720783E12</v>
      </c>
      <c r="H14102" s="46" t="s">
        <v>193</v>
      </c>
      <c r="I14102" s="46" t="s">
        <v>194</v>
      </c>
      <c r="J14102" s="46" t="s">
        <v>134</v>
      </c>
      <c r="K14102" s="46" t="s">
        <v>126</v>
      </c>
      <c r="L14102" s="45">
        <v>46019.010416666664</v>
      </c>
      <c r="M14102" s="46" t="s">
        <v>123</v>
      </c>
      <c r="N14102" s="45">
        <v>46019.03125</v>
      </c>
      <c r="O14102" s="46" t="s">
        <v>123</v>
      </c>
      <c r="P14102" s="46">
        <v>1800.0</v>
      </c>
    </row>
    <row r="14103">
      <c r="A14103" s="40">
        <f t="shared" si="1"/>
        <v>46013</v>
      </c>
      <c r="B14103" s="37" t="str">
        <f t="array" ref="B14103">iferror(xlookup($I14103, 'IMPORT VHC Report'!$E:$E, 'IMPORT VHC Report'!$A:$C), )</f>
        <v/>
      </c>
      <c r="C14103" s="44"/>
      <c r="D14103" s="44"/>
      <c r="E14103" s="46" t="s">
        <v>10226</v>
      </c>
      <c r="F14103" s="46" t="s">
        <v>192</v>
      </c>
      <c r="G14103" s="46">
        <v>5.047318720783E12</v>
      </c>
      <c r="H14103" s="46" t="s">
        <v>193</v>
      </c>
      <c r="I14103" s="46" t="s">
        <v>194</v>
      </c>
      <c r="J14103" s="46" t="s">
        <v>125</v>
      </c>
      <c r="K14103" s="46" t="s">
        <v>126</v>
      </c>
      <c r="L14103" s="45">
        <v>46019.75</v>
      </c>
      <c r="M14103" s="46" t="s">
        <v>123</v>
      </c>
      <c r="N14103" s="45">
        <v>46019.760416666664</v>
      </c>
      <c r="O14103" s="46" t="s">
        <v>123</v>
      </c>
      <c r="P14103" s="46">
        <v>900.0</v>
      </c>
      <c r="S14103" s="46" t="s">
        <v>199</v>
      </c>
    </row>
    <row r="14104">
      <c r="A14104" s="40">
        <f t="shared" si="1"/>
        <v>46013</v>
      </c>
      <c r="B14104" s="37" t="str">
        <f t="array" ref="B14104">iferror(xlookup($I14104, 'IMPORT VHC Report'!$E:$E, 'IMPORT VHC Report'!$A:$C), )</f>
        <v/>
      </c>
      <c r="C14104" s="44"/>
      <c r="D14104" s="44"/>
      <c r="E14104" s="46" t="s">
        <v>10227</v>
      </c>
      <c r="F14104" s="46" t="s">
        <v>192</v>
      </c>
      <c r="G14104" s="46">
        <v>5.047318720783E12</v>
      </c>
      <c r="H14104" s="46" t="s">
        <v>193</v>
      </c>
      <c r="I14104" s="46" t="s">
        <v>194</v>
      </c>
      <c r="J14104" s="46" t="s">
        <v>196</v>
      </c>
      <c r="K14104" s="46" t="s">
        <v>63</v>
      </c>
      <c r="L14104" s="45">
        <v>46019.75</v>
      </c>
      <c r="M14104" s="46" t="s">
        <v>123</v>
      </c>
      <c r="N14104" s="45">
        <v>46020.125</v>
      </c>
      <c r="O14104" s="46" t="s">
        <v>123</v>
      </c>
      <c r="P14104" s="46">
        <v>32400.0</v>
      </c>
    </row>
    <row r="14105">
      <c r="A14105" s="40">
        <f t="shared" si="1"/>
        <v>46013</v>
      </c>
      <c r="B14105" s="37" t="str">
        <f t="array" ref="B14105">iferror(xlookup($I14105, 'IMPORT VHC Report'!$E:$E, 'IMPORT VHC Report'!$A:$C), )</f>
        <v/>
      </c>
      <c r="C14105" s="44"/>
      <c r="D14105" s="44"/>
      <c r="E14105" s="46" t="s">
        <v>10228</v>
      </c>
      <c r="F14105" s="46" t="s">
        <v>192</v>
      </c>
      <c r="G14105" s="46">
        <v>5.047318720783E12</v>
      </c>
      <c r="H14105" s="46" t="s">
        <v>193</v>
      </c>
      <c r="I14105" s="46" t="s">
        <v>194</v>
      </c>
      <c r="J14105" s="46" t="s">
        <v>134</v>
      </c>
      <c r="K14105" s="46" t="s">
        <v>126</v>
      </c>
      <c r="L14105" s="45">
        <v>46019.854166666664</v>
      </c>
      <c r="M14105" s="46" t="s">
        <v>123</v>
      </c>
      <c r="N14105" s="45">
        <v>46019.875</v>
      </c>
      <c r="O14105" s="46" t="s">
        <v>123</v>
      </c>
      <c r="P14105" s="46">
        <v>1800.0</v>
      </c>
    </row>
    <row r="14106">
      <c r="A14106" s="40">
        <f t="shared" si="1"/>
        <v>46013</v>
      </c>
      <c r="B14106" s="37" t="str">
        <f t="array" ref="B14106">iferror(xlookup($I14106, 'IMPORT VHC Report'!$E:$E, 'IMPORT VHC Report'!$A:$C), )</f>
        <v/>
      </c>
      <c r="C14106" s="44"/>
      <c r="D14106" s="44"/>
      <c r="E14106" s="46" t="s">
        <v>10229</v>
      </c>
      <c r="F14106" s="46" t="s">
        <v>192</v>
      </c>
      <c r="G14106" s="46">
        <v>5.047318720783E12</v>
      </c>
      <c r="H14106" s="46" t="s">
        <v>193</v>
      </c>
      <c r="I14106" s="46" t="s">
        <v>194</v>
      </c>
      <c r="J14106" s="46" t="s">
        <v>132</v>
      </c>
      <c r="K14106" s="46" t="s">
        <v>126</v>
      </c>
      <c r="L14106" s="45">
        <v>46019.989583333336</v>
      </c>
      <c r="M14106" s="46" t="s">
        <v>123</v>
      </c>
      <c r="N14106" s="45">
        <v>46020.03125</v>
      </c>
      <c r="O14106" s="46" t="s">
        <v>123</v>
      </c>
      <c r="P14106" s="46">
        <v>3600.0</v>
      </c>
    </row>
    <row r="14107">
      <c r="A14107" s="40">
        <f t="shared" si="1"/>
        <v>46006</v>
      </c>
      <c r="B14107" s="37" t="str">
        <f t="array" ref="B14107">iferror(xlookup($I14107, 'IMPORT VHC Report'!$E:$E, 'IMPORT VHC Report'!$A:$C), )</f>
        <v/>
      </c>
      <c r="C14107" s="44"/>
      <c r="D14107" s="44"/>
      <c r="E14107" s="46" t="s">
        <v>294</v>
      </c>
      <c r="F14107" s="46" t="s">
        <v>263</v>
      </c>
      <c r="G14107" s="46">
        <v>9.586394042255E12</v>
      </c>
      <c r="H14107" s="46" t="s">
        <v>264</v>
      </c>
      <c r="I14107" s="46" t="s">
        <v>265</v>
      </c>
      <c r="J14107" s="46" t="s">
        <v>196</v>
      </c>
      <c r="K14107" s="46" t="s">
        <v>63</v>
      </c>
      <c r="L14107" s="45">
        <v>46012.791666666664</v>
      </c>
      <c r="M14107" s="46" t="s">
        <v>123</v>
      </c>
      <c r="N14107" s="45">
        <v>46013.166666666664</v>
      </c>
      <c r="O14107" s="46" t="s">
        <v>123</v>
      </c>
      <c r="P14107" s="46">
        <v>32400.0</v>
      </c>
    </row>
    <row r="14108">
      <c r="A14108" s="40">
        <f t="shared" si="1"/>
        <v>46013</v>
      </c>
      <c r="B14108" s="37" t="str">
        <f t="array" ref="B14108">iferror(xlookup($I14108, 'IMPORT VHC Report'!$E:$E, 'IMPORT VHC Report'!$A:$C), )</f>
        <v/>
      </c>
      <c r="C14108" s="44"/>
      <c r="D14108" s="44"/>
      <c r="E14108" s="46" t="s">
        <v>10230</v>
      </c>
      <c r="F14108" s="46" t="s">
        <v>263</v>
      </c>
      <c r="G14108" s="46">
        <v>9.586394042255E12</v>
      </c>
      <c r="H14108" s="46" t="s">
        <v>264</v>
      </c>
      <c r="I14108" s="46" t="s">
        <v>265</v>
      </c>
      <c r="J14108" s="46" t="s">
        <v>134</v>
      </c>
      <c r="K14108" s="46" t="s">
        <v>126</v>
      </c>
      <c r="L14108" s="45">
        <v>46013.072916666664</v>
      </c>
      <c r="M14108" s="46" t="s">
        <v>123</v>
      </c>
      <c r="N14108" s="45">
        <v>46013.09375</v>
      </c>
      <c r="O14108" s="46" t="s">
        <v>123</v>
      </c>
      <c r="P14108" s="46">
        <v>1800.0</v>
      </c>
    </row>
    <row r="14109">
      <c r="A14109" s="40">
        <f t="shared" si="1"/>
        <v>46013</v>
      </c>
      <c r="B14109" s="37" t="str">
        <f t="array" ref="B14109">iferror(xlookup($I14109, 'IMPORT VHC Report'!$E:$E, 'IMPORT VHC Report'!$A:$C), )</f>
        <v/>
      </c>
      <c r="C14109" s="44"/>
      <c r="D14109" s="44"/>
      <c r="E14109" s="46" t="s">
        <v>10231</v>
      </c>
      <c r="F14109" s="46" t="s">
        <v>263</v>
      </c>
      <c r="G14109" s="46">
        <v>9.586394042255E12</v>
      </c>
      <c r="H14109" s="46" t="s">
        <v>264</v>
      </c>
      <c r="I14109" s="46" t="s">
        <v>265</v>
      </c>
      <c r="J14109" s="46" t="s">
        <v>125</v>
      </c>
      <c r="K14109" s="46" t="s">
        <v>126</v>
      </c>
      <c r="L14109" s="45">
        <v>46013.791666666664</v>
      </c>
      <c r="M14109" s="46" t="s">
        <v>123</v>
      </c>
      <c r="N14109" s="45">
        <v>46013.802083333336</v>
      </c>
      <c r="O14109" s="46" t="s">
        <v>123</v>
      </c>
      <c r="P14109" s="46">
        <v>900.0</v>
      </c>
      <c r="S14109" s="46" t="s">
        <v>199</v>
      </c>
    </row>
    <row r="14110">
      <c r="A14110" s="40">
        <f t="shared" si="1"/>
        <v>46013</v>
      </c>
      <c r="B14110" s="37" t="str">
        <f t="array" ref="B14110">iferror(xlookup($I14110, 'IMPORT VHC Report'!$E:$E, 'IMPORT VHC Report'!$A:$C), )</f>
        <v/>
      </c>
      <c r="C14110" s="44"/>
      <c r="D14110" s="44"/>
      <c r="E14110" s="46" t="s">
        <v>10232</v>
      </c>
      <c r="F14110" s="46" t="s">
        <v>263</v>
      </c>
      <c r="G14110" s="46">
        <v>9.586394042255E12</v>
      </c>
      <c r="H14110" s="46" t="s">
        <v>264</v>
      </c>
      <c r="I14110" s="46" t="s">
        <v>265</v>
      </c>
      <c r="J14110" s="46" t="s">
        <v>196</v>
      </c>
      <c r="K14110" s="46" t="s">
        <v>63</v>
      </c>
      <c r="L14110" s="45">
        <v>46013.791666666664</v>
      </c>
      <c r="M14110" s="46" t="s">
        <v>123</v>
      </c>
      <c r="N14110" s="45">
        <v>46014.166666666664</v>
      </c>
      <c r="O14110" s="46" t="s">
        <v>123</v>
      </c>
      <c r="P14110" s="46">
        <v>32400.0</v>
      </c>
    </row>
    <row r="14111">
      <c r="A14111" s="40">
        <f t="shared" si="1"/>
        <v>46013</v>
      </c>
      <c r="B14111" s="37" t="str">
        <f t="array" ref="B14111">iferror(xlookup($I14111, 'IMPORT VHC Report'!$E:$E, 'IMPORT VHC Report'!$A:$C), )</f>
        <v/>
      </c>
      <c r="C14111" s="44"/>
      <c r="D14111" s="44"/>
      <c r="E14111" s="46" t="s">
        <v>10233</v>
      </c>
      <c r="F14111" s="46" t="s">
        <v>263</v>
      </c>
      <c r="G14111" s="46">
        <v>9.586394042255E12</v>
      </c>
      <c r="H14111" s="46" t="s">
        <v>264</v>
      </c>
      <c r="I14111" s="46" t="s">
        <v>265</v>
      </c>
      <c r="J14111" s="46" t="s">
        <v>132</v>
      </c>
      <c r="K14111" s="46" t="s">
        <v>126</v>
      </c>
      <c r="L14111" s="45">
        <v>46013.927083333336</v>
      </c>
      <c r="M14111" s="46" t="s">
        <v>123</v>
      </c>
      <c r="N14111" s="45">
        <v>46013.96875</v>
      </c>
      <c r="O14111" s="46" t="s">
        <v>123</v>
      </c>
      <c r="P14111" s="46">
        <v>3600.0</v>
      </c>
    </row>
    <row r="14112">
      <c r="A14112" s="40">
        <f t="shared" si="1"/>
        <v>46013</v>
      </c>
      <c r="B14112" s="37" t="str">
        <f t="array" ref="B14112">iferror(xlookup($I14112, 'IMPORT VHC Report'!$E:$E, 'IMPORT VHC Report'!$A:$C), )</f>
        <v/>
      </c>
      <c r="C14112" s="44"/>
      <c r="D14112" s="44"/>
      <c r="E14112" s="46" t="s">
        <v>10234</v>
      </c>
      <c r="F14112" s="46" t="s">
        <v>263</v>
      </c>
      <c r="G14112" s="46">
        <v>9.586394042255E12</v>
      </c>
      <c r="H14112" s="46" t="s">
        <v>264</v>
      </c>
      <c r="I14112" s="46" t="s">
        <v>265</v>
      </c>
      <c r="J14112" s="46" t="s">
        <v>134</v>
      </c>
      <c r="K14112" s="46" t="s">
        <v>126</v>
      </c>
      <c r="L14112" s="45">
        <v>46014.083333333336</v>
      </c>
      <c r="M14112" s="46" t="s">
        <v>123</v>
      </c>
      <c r="N14112" s="45">
        <v>46014.104166666664</v>
      </c>
      <c r="O14112" s="46" t="s">
        <v>123</v>
      </c>
      <c r="P14112" s="46">
        <v>1800.0</v>
      </c>
    </row>
    <row r="14113">
      <c r="A14113" s="40">
        <f t="shared" si="1"/>
        <v>46013</v>
      </c>
      <c r="B14113" s="37" t="str">
        <f t="array" ref="B14113">iferror(xlookup($I14113, 'IMPORT VHC Report'!$E:$E, 'IMPORT VHC Report'!$A:$C), )</f>
        <v/>
      </c>
      <c r="C14113" s="44"/>
      <c r="D14113" s="44"/>
      <c r="E14113" s="46" t="s">
        <v>10235</v>
      </c>
      <c r="F14113" s="46" t="s">
        <v>263</v>
      </c>
      <c r="G14113" s="46">
        <v>9.586394042255E12</v>
      </c>
      <c r="H14113" s="46" t="s">
        <v>264</v>
      </c>
      <c r="I14113" s="46" t="s">
        <v>265</v>
      </c>
      <c r="J14113" s="46" t="s">
        <v>125</v>
      </c>
      <c r="K14113" s="46" t="s">
        <v>126</v>
      </c>
      <c r="L14113" s="45">
        <v>46014.791666666664</v>
      </c>
      <c r="M14113" s="46" t="s">
        <v>123</v>
      </c>
      <c r="N14113" s="45">
        <v>46014.802083333336</v>
      </c>
      <c r="O14113" s="46" t="s">
        <v>123</v>
      </c>
      <c r="P14113" s="46">
        <v>900.0</v>
      </c>
      <c r="S14113" s="46" t="s">
        <v>199</v>
      </c>
    </row>
    <row r="14114">
      <c r="A14114" s="40">
        <f t="shared" si="1"/>
        <v>46013</v>
      </c>
      <c r="B14114" s="37" t="str">
        <f t="array" ref="B14114">iferror(xlookup($I14114, 'IMPORT VHC Report'!$E:$E, 'IMPORT VHC Report'!$A:$C), )</f>
        <v/>
      </c>
      <c r="C14114" s="44"/>
      <c r="D14114" s="44"/>
      <c r="E14114" s="46" t="s">
        <v>10236</v>
      </c>
      <c r="F14114" s="46" t="s">
        <v>263</v>
      </c>
      <c r="G14114" s="46">
        <v>9.586394042255E12</v>
      </c>
      <c r="H14114" s="46" t="s">
        <v>264</v>
      </c>
      <c r="I14114" s="46" t="s">
        <v>265</v>
      </c>
      <c r="J14114" s="46" t="s">
        <v>196</v>
      </c>
      <c r="K14114" s="46" t="s">
        <v>63</v>
      </c>
      <c r="L14114" s="45">
        <v>46014.791666666664</v>
      </c>
      <c r="M14114" s="46" t="s">
        <v>123</v>
      </c>
      <c r="N14114" s="45">
        <v>46015.166666666664</v>
      </c>
      <c r="O14114" s="46" t="s">
        <v>123</v>
      </c>
      <c r="P14114" s="46">
        <v>32400.0</v>
      </c>
    </row>
    <row r="14115">
      <c r="A14115" s="40">
        <f t="shared" si="1"/>
        <v>46013</v>
      </c>
      <c r="B14115" s="37" t="str">
        <f t="array" ref="B14115">iferror(xlookup($I14115, 'IMPORT VHC Report'!$E:$E, 'IMPORT VHC Report'!$A:$C), )</f>
        <v/>
      </c>
      <c r="C14115" s="44"/>
      <c r="D14115" s="44"/>
      <c r="E14115" s="46" t="s">
        <v>10237</v>
      </c>
      <c r="F14115" s="46" t="s">
        <v>263</v>
      </c>
      <c r="G14115" s="46">
        <v>9.586394042255E12</v>
      </c>
      <c r="H14115" s="46" t="s">
        <v>264</v>
      </c>
      <c r="I14115" s="46" t="s">
        <v>265</v>
      </c>
      <c r="J14115" s="46" t="s">
        <v>132</v>
      </c>
      <c r="K14115" s="46" t="s">
        <v>126</v>
      </c>
      <c r="L14115" s="45">
        <v>46014.916666666664</v>
      </c>
      <c r="M14115" s="46" t="s">
        <v>123</v>
      </c>
      <c r="N14115" s="45">
        <v>46014.958333333336</v>
      </c>
      <c r="O14115" s="46" t="s">
        <v>123</v>
      </c>
      <c r="P14115" s="46">
        <v>3600.0</v>
      </c>
    </row>
    <row r="14116">
      <c r="A14116" s="40">
        <f t="shared" si="1"/>
        <v>46013</v>
      </c>
      <c r="B14116" s="37" t="str">
        <f t="array" ref="B14116">iferror(xlookup($I14116, 'IMPORT VHC Report'!$E:$E, 'IMPORT VHC Report'!$A:$C), )</f>
        <v/>
      </c>
      <c r="C14116" s="44"/>
      <c r="D14116" s="44"/>
      <c r="E14116" s="46" t="s">
        <v>10238</v>
      </c>
      <c r="F14116" s="46" t="s">
        <v>263</v>
      </c>
      <c r="G14116" s="46">
        <v>9.586394042255E12</v>
      </c>
      <c r="H14116" s="46" t="s">
        <v>264</v>
      </c>
      <c r="I14116" s="46" t="s">
        <v>265</v>
      </c>
      <c r="J14116" s="46" t="s">
        <v>134</v>
      </c>
      <c r="K14116" s="46" t="s">
        <v>126</v>
      </c>
      <c r="L14116" s="45">
        <v>46015.083333333336</v>
      </c>
      <c r="M14116" s="46" t="s">
        <v>123</v>
      </c>
      <c r="N14116" s="45">
        <v>46015.104166666664</v>
      </c>
      <c r="O14116" s="46" t="s">
        <v>123</v>
      </c>
      <c r="P14116" s="46">
        <v>1800.0</v>
      </c>
    </row>
    <row r="14117">
      <c r="A14117" s="40">
        <f t="shared" si="1"/>
        <v>46013</v>
      </c>
      <c r="B14117" s="37" t="str">
        <f t="array" ref="B14117">iferror(xlookup($I14117, 'IMPORT VHC Report'!$E:$E, 'IMPORT VHC Report'!$A:$C), )</f>
        <v/>
      </c>
      <c r="C14117" s="44"/>
      <c r="D14117" s="44"/>
      <c r="E14117" s="46" t="s">
        <v>10239</v>
      </c>
      <c r="F14117" s="46" t="s">
        <v>263</v>
      </c>
      <c r="G14117" s="46">
        <v>9.586394042255E12</v>
      </c>
      <c r="H14117" s="46" t="s">
        <v>264</v>
      </c>
      <c r="I14117" s="46" t="s">
        <v>265</v>
      </c>
      <c r="J14117" s="46" t="s">
        <v>125</v>
      </c>
      <c r="K14117" s="46" t="s">
        <v>126</v>
      </c>
      <c r="L14117" s="45">
        <v>46015.791666666664</v>
      </c>
      <c r="M14117" s="46" t="s">
        <v>123</v>
      </c>
      <c r="N14117" s="45">
        <v>46015.802083333336</v>
      </c>
      <c r="O14117" s="46" t="s">
        <v>123</v>
      </c>
      <c r="P14117" s="46">
        <v>900.0</v>
      </c>
      <c r="S14117" s="46" t="s">
        <v>199</v>
      </c>
    </row>
    <row r="14118">
      <c r="A14118" s="40">
        <f t="shared" si="1"/>
        <v>46013</v>
      </c>
      <c r="B14118" s="37" t="str">
        <f t="array" ref="B14118">iferror(xlookup($I14118, 'IMPORT VHC Report'!$E:$E, 'IMPORT VHC Report'!$A:$C), )</f>
        <v/>
      </c>
      <c r="C14118" s="44"/>
      <c r="D14118" s="44"/>
      <c r="E14118" s="46" t="s">
        <v>10240</v>
      </c>
      <c r="F14118" s="46" t="s">
        <v>263</v>
      </c>
      <c r="G14118" s="46">
        <v>9.586394042255E12</v>
      </c>
      <c r="H14118" s="46" t="s">
        <v>264</v>
      </c>
      <c r="I14118" s="46" t="s">
        <v>265</v>
      </c>
      <c r="J14118" s="46" t="s">
        <v>196</v>
      </c>
      <c r="K14118" s="46" t="s">
        <v>63</v>
      </c>
      <c r="L14118" s="45">
        <v>46015.791666666664</v>
      </c>
      <c r="M14118" s="46" t="s">
        <v>123</v>
      </c>
      <c r="N14118" s="45">
        <v>46016.083333333336</v>
      </c>
      <c r="O14118" s="46" t="s">
        <v>123</v>
      </c>
      <c r="P14118" s="46">
        <v>25200.0</v>
      </c>
    </row>
    <row r="14119">
      <c r="A14119" s="40">
        <f t="shared" si="1"/>
        <v>46013</v>
      </c>
      <c r="B14119" s="37" t="str">
        <f t="array" ref="B14119">iferror(xlookup($I14119, 'IMPORT VHC Report'!$E:$E, 'IMPORT VHC Report'!$A:$C), )</f>
        <v/>
      </c>
      <c r="C14119" s="44"/>
      <c r="D14119" s="44"/>
      <c r="E14119" s="46" t="s">
        <v>10241</v>
      </c>
      <c r="F14119" s="46" t="s">
        <v>263</v>
      </c>
      <c r="G14119" s="46">
        <v>9.586394042255E12</v>
      </c>
      <c r="H14119" s="46" t="s">
        <v>264</v>
      </c>
      <c r="I14119" s="46" t="s">
        <v>265</v>
      </c>
      <c r="J14119" s="46" t="s">
        <v>178</v>
      </c>
      <c r="K14119" s="46" t="s">
        <v>153</v>
      </c>
      <c r="L14119" s="45">
        <v>46015.791666666664</v>
      </c>
      <c r="M14119" s="46" t="s">
        <v>123</v>
      </c>
      <c r="N14119" s="45">
        <v>46016.166666666664</v>
      </c>
      <c r="O14119" s="46" t="s">
        <v>123</v>
      </c>
      <c r="P14119" s="46">
        <v>32400.0</v>
      </c>
      <c r="Q14119" s="46">
        <v>28800.0</v>
      </c>
      <c r="R14119" s="46" t="s">
        <v>10242</v>
      </c>
    </row>
    <row r="14120">
      <c r="A14120" s="40">
        <f t="shared" si="1"/>
        <v>46013</v>
      </c>
      <c r="B14120" s="37" t="str">
        <f t="array" ref="B14120">iferror(xlookup($I14120, 'IMPORT VHC Report'!$E:$E, 'IMPORT VHC Report'!$A:$C), )</f>
        <v/>
      </c>
      <c r="C14120" s="44"/>
      <c r="D14120" s="44"/>
      <c r="E14120" s="46" t="s">
        <v>10243</v>
      </c>
      <c r="F14120" s="46" t="s">
        <v>263</v>
      </c>
      <c r="G14120" s="46">
        <v>9.586394042255E12</v>
      </c>
      <c r="H14120" s="46" t="s">
        <v>264</v>
      </c>
      <c r="I14120" s="46" t="s">
        <v>265</v>
      </c>
      <c r="J14120" s="46" t="s">
        <v>134</v>
      </c>
      <c r="K14120" s="46" t="s">
        <v>126</v>
      </c>
      <c r="L14120" s="45">
        <v>46015.916666666664</v>
      </c>
      <c r="M14120" s="46" t="s">
        <v>123</v>
      </c>
      <c r="N14120" s="45">
        <v>46015.9375</v>
      </c>
      <c r="O14120" s="46" t="s">
        <v>123</v>
      </c>
      <c r="P14120" s="46">
        <v>1800.0</v>
      </c>
    </row>
    <row r="14121">
      <c r="A14121" s="40">
        <f t="shared" si="1"/>
        <v>46013</v>
      </c>
      <c r="B14121" s="37" t="str">
        <f t="array" ref="B14121">iferror(xlookup($I14121, 'IMPORT VHC Report'!$E:$E, 'IMPORT VHC Report'!$A:$C), )</f>
        <v/>
      </c>
      <c r="C14121" s="44"/>
      <c r="D14121" s="44"/>
      <c r="E14121" s="46" t="s">
        <v>10244</v>
      </c>
      <c r="F14121" s="46" t="s">
        <v>263</v>
      </c>
      <c r="G14121" s="46">
        <v>9.586394042255E12</v>
      </c>
      <c r="H14121" s="46" t="s">
        <v>264</v>
      </c>
      <c r="I14121" s="46" t="s">
        <v>265</v>
      </c>
      <c r="J14121" s="46" t="s">
        <v>196</v>
      </c>
      <c r="K14121" s="46" t="s">
        <v>63</v>
      </c>
      <c r="L14121" s="45">
        <v>46016.041666666664</v>
      </c>
      <c r="M14121" s="46" t="s">
        <v>123</v>
      </c>
      <c r="N14121" s="45">
        <v>46016.083333333336</v>
      </c>
      <c r="O14121" s="46" t="s">
        <v>123</v>
      </c>
      <c r="P14121" s="46">
        <v>3600.0</v>
      </c>
    </row>
    <row r="14122">
      <c r="A14122" s="40">
        <f t="shared" si="1"/>
        <v>46013</v>
      </c>
      <c r="B14122" s="37" t="str">
        <f t="array" ref="B14122">iferror(xlookup($I14122, 'IMPORT VHC Report'!$E:$E, 'IMPORT VHC Report'!$A:$C), )</f>
        <v/>
      </c>
      <c r="C14122" s="44"/>
      <c r="D14122" s="44"/>
      <c r="E14122" s="46" t="s">
        <v>10245</v>
      </c>
      <c r="F14122" s="46" t="s">
        <v>263</v>
      </c>
      <c r="G14122" s="46">
        <v>9.586394042255E12</v>
      </c>
      <c r="H14122" s="46" t="s">
        <v>264</v>
      </c>
      <c r="I14122" s="46" t="s">
        <v>265</v>
      </c>
      <c r="J14122" s="46" t="s">
        <v>132</v>
      </c>
      <c r="K14122" s="46" t="s">
        <v>126</v>
      </c>
      <c r="L14122" s="45">
        <v>46016.041666666664</v>
      </c>
      <c r="M14122" s="46" t="s">
        <v>123</v>
      </c>
      <c r="N14122" s="45">
        <v>46016.083333333336</v>
      </c>
      <c r="O14122" s="46" t="s">
        <v>123</v>
      </c>
      <c r="P14122" s="46">
        <v>3600.0</v>
      </c>
    </row>
    <row r="14123">
      <c r="A14123" s="40">
        <f t="shared" si="1"/>
        <v>46013</v>
      </c>
      <c r="B14123" s="37" t="str">
        <f t="array" ref="B14123">iferror(xlookup($I14123, 'IMPORT VHC Report'!$E:$E, 'IMPORT VHC Report'!$A:$C), )</f>
        <v/>
      </c>
      <c r="C14123" s="44"/>
      <c r="D14123" s="44"/>
      <c r="E14123" s="46" t="s">
        <v>10246</v>
      </c>
      <c r="F14123" s="46" t="s">
        <v>263</v>
      </c>
      <c r="G14123" s="46">
        <v>9.586394042255E12</v>
      </c>
      <c r="H14123" s="46" t="s">
        <v>264</v>
      </c>
      <c r="I14123" s="46" t="s">
        <v>265</v>
      </c>
      <c r="J14123" s="46" t="s">
        <v>62</v>
      </c>
      <c r="K14123" s="46" t="s">
        <v>63</v>
      </c>
      <c r="L14123" s="45">
        <v>46016.041666666664</v>
      </c>
      <c r="M14123" s="46" t="s">
        <v>123</v>
      </c>
      <c r="N14123" s="45">
        <v>46016.104166666664</v>
      </c>
      <c r="O14123" s="46" t="s">
        <v>123</v>
      </c>
      <c r="P14123" s="46">
        <v>5400.0</v>
      </c>
    </row>
    <row r="14124">
      <c r="A14124" s="40">
        <f t="shared" si="1"/>
        <v>46013</v>
      </c>
      <c r="B14124" s="37" t="str">
        <f t="array" ref="B14124">iferror(xlookup($I14124, 'IMPORT VHC Report'!$E:$E, 'IMPORT VHC Report'!$A:$C), )</f>
        <v/>
      </c>
      <c r="C14124" s="44"/>
      <c r="D14124" s="44"/>
      <c r="E14124" s="46" t="s">
        <v>10247</v>
      </c>
      <c r="F14124" s="46" t="s">
        <v>263</v>
      </c>
      <c r="G14124" s="46">
        <v>9.586394042255E12</v>
      </c>
      <c r="H14124" s="46" t="s">
        <v>264</v>
      </c>
      <c r="I14124" s="46" t="s">
        <v>265</v>
      </c>
      <c r="J14124" s="46" t="s">
        <v>62</v>
      </c>
      <c r="K14124" s="46" t="s">
        <v>63</v>
      </c>
      <c r="L14124" s="45">
        <v>46016.041666666664</v>
      </c>
      <c r="M14124" s="46" t="s">
        <v>123</v>
      </c>
      <c r="N14124" s="45">
        <v>46016.104166666664</v>
      </c>
      <c r="O14124" s="46" t="s">
        <v>123</v>
      </c>
      <c r="P14124" s="46">
        <v>5400.0</v>
      </c>
    </row>
    <row r="14125">
      <c r="A14125" s="40">
        <f t="shared" si="1"/>
        <v>46013</v>
      </c>
      <c r="B14125" s="37" t="str">
        <f t="array" ref="B14125">iferror(xlookup($I14125, 'IMPORT VHC Report'!$E:$E, 'IMPORT VHC Report'!$A:$C), )</f>
        <v/>
      </c>
      <c r="C14125" s="44"/>
      <c r="D14125" s="44"/>
      <c r="E14125" s="46" t="s">
        <v>10248</v>
      </c>
      <c r="F14125" s="46" t="s">
        <v>263</v>
      </c>
      <c r="G14125" s="46">
        <v>9.586394042255E12</v>
      </c>
      <c r="H14125" s="46" t="s">
        <v>264</v>
      </c>
      <c r="I14125" s="46" t="s">
        <v>265</v>
      </c>
      <c r="J14125" s="46" t="s">
        <v>196</v>
      </c>
      <c r="K14125" s="46" t="s">
        <v>63</v>
      </c>
      <c r="L14125" s="45">
        <v>46016.104166666664</v>
      </c>
      <c r="M14125" s="46" t="s">
        <v>123</v>
      </c>
      <c r="N14125" s="45">
        <v>46016.166666666664</v>
      </c>
      <c r="O14125" s="46" t="s">
        <v>123</v>
      </c>
      <c r="P14125" s="46">
        <v>5400.0</v>
      </c>
    </row>
    <row r="14126">
      <c r="A14126" s="40">
        <f t="shared" si="1"/>
        <v>46013</v>
      </c>
      <c r="B14126" s="37" t="str">
        <f t="array" ref="B14126">iferror(xlookup($I14126, 'IMPORT VHC Report'!$E:$E, 'IMPORT VHC Report'!$A:$C), )</f>
        <v/>
      </c>
      <c r="C14126" s="44"/>
      <c r="D14126" s="44"/>
      <c r="E14126" s="46" t="s">
        <v>10249</v>
      </c>
      <c r="F14126" s="46" t="s">
        <v>263</v>
      </c>
      <c r="G14126" s="46">
        <v>9.586394042255E12</v>
      </c>
      <c r="H14126" s="46" t="s">
        <v>264</v>
      </c>
      <c r="I14126" s="46" t="s">
        <v>265</v>
      </c>
      <c r="J14126" s="46" t="s">
        <v>125</v>
      </c>
      <c r="K14126" s="46" t="s">
        <v>126</v>
      </c>
      <c r="L14126" s="45">
        <v>46016.791666666664</v>
      </c>
      <c r="M14126" s="46" t="s">
        <v>123</v>
      </c>
      <c r="N14126" s="45">
        <v>46016.802083333336</v>
      </c>
      <c r="O14126" s="46" t="s">
        <v>123</v>
      </c>
      <c r="P14126" s="46">
        <v>900.0</v>
      </c>
      <c r="S14126" s="46" t="s">
        <v>199</v>
      </c>
    </row>
    <row r="14127">
      <c r="A14127" s="40">
        <f t="shared" si="1"/>
        <v>46013</v>
      </c>
      <c r="B14127" s="37" t="str">
        <f t="array" ref="B14127">iferror(xlookup($I14127, 'IMPORT VHC Report'!$E:$E, 'IMPORT VHC Report'!$A:$C), )</f>
        <v/>
      </c>
      <c r="C14127" s="44"/>
      <c r="D14127" s="44"/>
      <c r="E14127" s="46" t="s">
        <v>10250</v>
      </c>
      <c r="F14127" s="46" t="s">
        <v>263</v>
      </c>
      <c r="G14127" s="46">
        <v>9.586394042255E12</v>
      </c>
      <c r="H14127" s="46" t="s">
        <v>264</v>
      </c>
      <c r="I14127" s="46" t="s">
        <v>265</v>
      </c>
      <c r="J14127" s="46" t="s">
        <v>178</v>
      </c>
      <c r="K14127" s="46" t="s">
        <v>153</v>
      </c>
      <c r="L14127" s="45">
        <v>46016.791666666664</v>
      </c>
      <c r="M14127" s="46" t="s">
        <v>123</v>
      </c>
      <c r="N14127" s="45">
        <v>46017.166666666664</v>
      </c>
      <c r="O14127" s="46" t="s">
        <v>123</v>
      </c>
      <c r="P14127" s="46">
        <v>32400.0</v>
      </c>
      <c r="Q14127" s="46">
        <v>28800.0</v>
      </c>
      <c r="R14127" s="46" t="s">
        <v>10242</v>
      </c>
    </row>
    <row r="14128">
      <c r="A14128" s="40">
        <f t="shared" si="1"/>
        <v>46013</v>
      </c>
      <c r="B14128" s="37" t="str">
        <f t="array" ref="B14128">iferror(xlookup($I14128, 'IMPORT VHC Report'!$E:$E, 'IMPORT VHC Report'!$A:$C), )</f>
        <v/>
      </c>
      <c r="C14128" s="44"/>
      <c r="D14128" s="44"/>
      <c r="E14128" s="46" t="s">
        <v>10251</v>
      </c>
      <c r="F14128" s="46" t="s">
        <v>263</v>
      </c>
      <c r="G14128" s="46">
        <v>9.586394042255E12</v>
      </c>
      <c r="H14128" s="46" t="s">
        <v>264</v>
      </c>
      <c r="I14128" s="46" t="s">
        <v>265</v>
      </c>
      <c r="J14128" s="46" t="s">
        <v>196</v>
      </c>
      <c r="K14128" s="46" t="s">
        <v>63</v>
      </c>
      <c r="L14128" s="45">
        <v>46016.791666666664</v>
      </c>
      <c r="M14128" s="46" t="s">
        <v>123</v>
      </c>
      <c r="N14128" s="45">
        <v>46017.166666666664</v>
      </c>
      <c r="O14128" s="46" t="s">
        <v>123</v>
      </c>
      <c r="P14128" s="46">
        <v>32400.0</v>
      </c>
    </row>
    <row r="14129">
      <c r="A14129" s="40">
        <f t="shared" si="1"/>
        <v>46013</v>
      </c>
      <c r="B14129" s="37" t="str">
        <f t="array" ref="B14129">iferror(xlookup($I14129, 'IMPORT VHC Report'!$E:$E, 'IMPORT VHC Report'!$A:$C), )</f>
        <v/>
      </c>
      <c r="C14129" s="44"/>
      <c r="D14129" s="44"/>
      <c r="E14129" s="46" t="s">
        <v>10252</v>
      </c>
      <c r="F14129" s="46" t="s">
        <v>263</v>
      </c>
      <c r="G14129" s="46">
        <v>9.586394042255E12</v>
      </c>
      <c r="H14129" s="46" t="s">
        <v>264</v>
      </c>
      <c r="I14129" s="46" t="s">
        <v>265</v>
      </c>
      <c r="J14129" s="46" t="s">
        <v>134</v>
      </c>
      <c r="K14129" s="46" t="s">
        <v>126</v>
      </c>
      <c r="L14129" s="45">
        <v>46016.895833333336</v>
      </c>
      <c r="M14129" s="46" t="s">
        <v>123</v>
      </c>
      <c r="N14129" s="45">
        <v>46016.916666666664</v>
      </c>
      <c r="O14129" s="46" t="s">
        <v>123</v>
      </c>
      <c r="P14129" s="46">
        <v>1800.0</v>
      </c>
    </row>
    <row r="14130">
      <c r="A14130" s="40">
        <f t="shared" si="1"/>
        <v>46013</v>
      </c>
      <c r="B14130" s="37" t="str">
        <f t="array" ref="B14130">iferror(xlookup($I14130, 'IMPORT VHC Report'!$E:$E, 'IMPORT VHC Report'!$A:$C), )</f>
        <v/>
      </c>
      <c r="C14130" s="44"/>
      <c r="D14130" s="44"/>
      <c r="E14130" s="46" t="s">
        <v>10253</v>
      </c>
      <c r="F14130" s="46" t="s">
        <v>263</v>
      </c>
      <c r="G14130" s="46">
        <v>9.586394042255E12</v>
      </c>
      <c r="H14130" s="46" t="s">
        <v>264</v>
      </c>
      <c r="I14130" s="46" t="s">
        <v>265</v>
      </c>
      <c r="J14130" s="46" t="s">
        <v>132</v>
      </c>
      <c r="K14130" s="46" t="s">
        <v>126</v>
      </c>
      <c r="L14130" s="45">
        <v>46017.03125</v>
      </c>
      <c r="M14130" s="46" t="s">
        <v>123</v>
      </c>
      <c r="N14130" s="45">
        <v>46017.072916666664</v>
      </c>
      <c r="O14130" s="46" t="s">
        <v>123</v>
      </c>
      <c r="P14130" s="46">
        <v>3600.0</v>
      </c>
    </row>
    <row r="14131">
      <c r="A14131" s="40">
        <f t="shared" si="1"/>
        <v>46013</v>
      </c>
      <c r="B14131" s="37" t="str">
        <f t="array" ref="B14131">iferror(xlookup($I14131, 'IMPORT VHC Report'!$E:$E, 'IMPORT VHC Report'!$A:$C), )</f>
        <v/>
      </c>
      <c r="C14131" s="44"/>
      <c r="D14131" s="44"/>
      <c r="E14131" s="46" t="s">
        <v>10254</v>
      </c>
      <c r="F14131" s="46" t="s">
        <v>263</v>
      </c>
      <c r="G14131" s="46">
        <v>9.586394042255E12</v>
      </c>
      <c r="H14131" s="46" t="s">
        <v>264</v>
      </c>
      <c r="I14131" s="46" t="s">
        <v>265</v>
      </c>
      <c r="J14131" s="46" t="s">
        <v>125</v>
      </c>
      <c r="K14131" s="46" t="s">
        <v>126</v>
      </c>
      <c r="L14131" s="45">
        <v>46019.791666666664</v>
      </c>
      <c r="M14131" s="46" t="s">
        <v>123</v>
      </c>
      <c r="N14131" s="45">
        <v>46019.802083333336</v>
      </c>
      <c r="O14131" s="46" t="s">
        <v>123</v>
      </c>
      <c r="P14131" s="46">
        <v>900.0</v>
      </c>
      <c r="S14131" s="46" t="s">
        <v>199</v>
      </c>
    </row>
    <row r="14132">
      <c r="A14132" s="40">
        <f t="shared" si="1"/>
        <v>46013</v>
      </c>
      <c r="B14132" s="37" t="str">
        <f t="array" ref="B14132">iferror(xlookup($I14132, 'IMPORT VHC Report'!$E:$E, 'IMPORT VHC Report'!$A:$C), )</f>
        <v/>
      </c>
      <c r="C14132" s="44"/>
      <c r="D14132" s="44"/>
      <c r="E14132" s="46" t="s">
        <v>10255</v>
      </c>
      <c r="F14132" s="46" t="s">
        <v>263</v>
      </c>
      <c r="G14132" s="46">
        <v>9.586394042255E12</v>
      </c>
      <c r="H14132" s="46" t="s">
        <v>264</v>
      </c>
      <c r="I14132" s="46" t="s">
        <v>265</v>
      </c>
      <c r="J14132" s="46" t="s">
        <v>178</v>
      </c>
      <c r="K14132" s="46" t="s">
        <v>153</v>
      </c>
      <c r="L14132" s="45">
        <v>46019.791666666664</v>
      </c>
      <c r="M14132" s="46" t="s">
        <v>123</v>
      </c>
      <c r="N14132" s="45">
        <v>46020.166666666664</v>
      </c>
      <c r="O14132" s="46" t="s">
        <v>123</v>
      </c>
      <c r="P14132" s="46">
        <v>32400.0</v>
      </c>
      <c r="Q14132" s="46">
        <v>28800.0</v>
      </c>
      <c r="R14132" s="46" t="s">
        <v>10256</v>
      </c>
    </row>
    <row r="14133">
      <c r="A14133" s="40">
        <f t="shared" si="1"/>
        <v>46013</v>
      </c>
      <c r="B14133" s="37" t="str">
        <f t="array" ref="B14133">iferror(xlookup($I14133, 'IMPORT VHC Report'!$E:$E, 'IMPORT VHC Report'!$A:$C), )</f>
        <v/>
      </c>
      <c r="C14133" s="44"/>
      <c r="D14133" s="44"/>
      <c r="E14133" s="46" t="s">
        <v>10257</v>
      </c>
      <c r="F14133" s="46" t="s">
        <v>263</v>
      </c>
      <c r="G14133" s="46">
        <v>9.586394042255E12</v>
      </c>
      <c r="H14133" s="46" t="s">
        <v>264</v>
      </c>
      <c r="I14133" s="46" t="s">
        <v>265</v>
      </c>
      <c r="J14133" s="46" t="s">
        <v>196</v>
      </c>
      <c r="K14133" s="46" t="s">
        <v>63</v>
      </c>
      <c r="L14133" s="45">
        <v>46019.791666666664</v>
      </c>
      <c r="M14133" s="46" t="s">
        <v>123</v>
      </c>
      <c r="N14133" s="45">
        <v>46020.166666666664</v>
      </c>
      <c r="O14133" s="46" t="s">
        <v>123</v>
      </c>
      <c r="P14133" s="46">
        <v>32400.0</v>
      </c>
    </row>
    <row r="14134">
      <c r="A14134" s="40">
        <f t="shared" si="1"/>
        <v>46013</v>
      </c>
      <c r="B14134" s="37" t="str">
        <f t="array" ref="B14134">iferror(xlookup($I14134, 'IMPORT VHC Report'!$E:$E, 'IMPORT VHC Report'!$A:$C), )</f>
        <v/>
      </c>
      <c r="C14134" s="44"/>
      <c r="D14134" s="44"/>
      <c r="E14134" s="46" t="s">
        <v>10258</v>
      </c>
      <c r="F14134" s="46" t="s">
        <v>263</v>
      </c>
      <c r="G14134" s="46">
        <v>9.586394042255E12</v>
      </c>
      <c r="H14134" s="46" t="s">
        <v>264</v>
      </c>
      <c r="I14134" s="46" t="s">
        <v>265</v>
      </c>
      <c r="J14134" s="46" t="s">
        <v>132</v>
      </c>
      <c r="K14134" s="46" t="s">
        <v>126</v>
      </c>
      <c r="L14134" s="45">
        <v>46019.916666666664</v>
      </c>
      <c r="M14134" s="46" t="s">
        <v>123</v>
      </c>
      <c r="N14134" s="45">
        <v>46019.958333333336</v>
      </c>
      <c r="O14134" s="46" t="s">
        <v>123</v>
      </c>
      <c r="P14134" s="46">
        <v>3600.0</v>
      </c>
    </row>
    <row r="14135">
      <c r="A14135" s="40">
        <f t="shared" si="1"/>
        <v>46006</v>
      </c>
      <c r="B14135" s="37" t="str">
        <f t="array" ref="B14135">iferror(xlookup($I14135, 'IMPORT VHC Report'!$E:$E, 'IMPORT VHC Report'!$A:$C), )</f>
        <v/>
      </c>
      <c r="C14135" s="44"/>
      <c r="D14135" s="44"/>
      <c r="E14135" s="46" t="s">
        <v>751</v>
      </c>
      <c r="F14135" s="46" t="s">
        <v>728</v>
      </c>
      <c r="G14135" s="46">
        <v>1.0333018822031E13</v>
      </c>
      <c r="H14135" s="46" t="s">
        <v>729</v>
      </c>
      <c r="I14135" s="46" t="s">
        <v>730</v>
      </c>
      <c r="J14135" s="46" t="s">
        <v>196</v>
      </c>
      <c r="K14135" s="46" t="s">
        <v>63</v>
      </c>
      <c r="L14135" s="45">
        <v>46012.916666666664</v>
      </c>
      <c r="M14135" s="46" t="s">
        <v>123</v>
      </c>
      <c r="N14135" s="45">
        <v>46013.291666666664</v>
      </c>
      <c r="O14135" s="46" t="s">
        <v>123</v>
      </c>
      <c r="P14135" s="46">
        <v>32400.0</v>
      </c>
    </row>
    <row r="14136">
      <c r="A14136" s="40">
        <f t="shared" si="1"/>
        <v>46013</v>
      </c>
      <c r="B14136" s="37" t="str">
        <f t="array" ref="B14136">iferror(xlookup($I14136, 'IMPORT VHC Report'!$E:$E, 'IMPORT VHC Report'!$A:$C), )</f>
        <v/>
      </c>
      <c r="C14136" s="44"/>
      <c r="D14136" s="44"/>
      <c r="E14136" s="46" t="s">
        <v>10259</v>
      </c>
      <c r="F14136" s="46" t="s">
        <v>728</v>
      </c>
      <c r="G14136" s="46">
        <v>1.0333018822031E13</v>
      </c>
      <c r="H14136" s="46" t="s">
        <v>729</v>
      </c>
      <c r="I14136" s="46" t="s">
        <v>730</v>
      </c>
      <c r="J14136" s="46" t="s">
        <v>132</v>
      </c>
      <c r="K14136" s="46" t="s">
        <v>126</v>
      </c>
      <c r="L14136" s="45">
        <v>46013.041666666664</v>
      </c>
      <c r="M14136" s="46" t="s">
        <v>123</v>
      </c>
      <c r="N14136" s="45">
        <v>46013.083333333336</v>
      </c>
      <c r="O14136" s="46" t="s">
        <v>123</v>
      </c>
      <c r="P14136" s="46">
        <v>3600.0</v>
      </c>
    </row>
    <row r="14137">
      <c r="A14137" s="40">
        <f t="shared" si="1"/>
        <v>46013</v>
      </c>
      <c r="B14137" s="37" t="str">
        <f t="array" ref="B14137">iferror(xlookup($I14137, 'IMPORT VHC Report'!$E:$E, 'IMPORT VHC Report'!$A:$C), )</f>
        <v/>
      </c>
      <c r="C14137" s="44"/>
      <c r="D14137" s="44"/>
      <c r="E14137" s="46" t="s">
        <v>10260</v>
      </c>
      <c r="F14137" s="46" t="s">
        <v>728</v>
      </c>
      <c r="G14137" s="46">
        <v>1.0333018822031E13</v>
      </c>
      <c r="H14137" s="46" t="s">
        <v>729</v>
      </c>
      <c r="I14137" s="46" t="s">
        <v>730</v>
      </c>
      <c r="J14137" s="46" t="s">
        <v>134</v>
      </c>
      <c r="K14137" s="46" t="s">
        <v>126</v>
      </c>
      <c r="L14137" s="45">
        <v>46013.208333333336</v>
      </c>
      <c r="M14137" s="46" t="s">
        <v>123</v>
      </c>
      <c r="N14137" s="45">
        <v>46013.229166666664</v>
      </c>
      <c r="O14137" s="46" t="s">
        <v>123</v>
      </c>
      <c r="P14137" s="46">
        <v>1800.0</v>
      </c>
    </row>
    <row r="14138">
      <c r="A14138" s="40">
        <f t="shared" si="1"/>
        <v>46013</v>
      </c>
      <c r="B14138" s="37" t="str">
        <f t="array" ref="B14138">iferror(xlookup($I14138, 'IMPORT VHC Report'!$E:$E, 'IMPORT VHC Report'!$A:$C), )</f>
        <v/>
      </c>
      <c r="C14138" s="44"/>
      <c r="D14138" s="44"/>
      <c r="E14138" s="46" t="s">
        <v>10261</v>
      </c>
      <c r="F14138" s="46" t="s">
        <v>728</v>
      </c>
      <c r="G14138" s="46">
        <v>1.0333018822031E13</v>
      </c>
      <c r="H14138" s="46" t="s">
        <v>729</v>
      </c>
      <c r="I14138" s="46" t="s">
        <v>730</v>
      </c>
      <c r="J14138" s="46" t="s">
        <v>125</v>
      </c>
      <c r="K14138" s="46" t="s">
        <v>126</v>
      </c>
      <c r="L14138" s="45">
        <v>46013.916666666664</v>
      </c>
      <c r="M14138" s="46" t="s">
        <v>123</v>
      </c>
      <c r="N14138" s="45">
        <v>46013.927083333336</v>
      </c>
      <c r="O14138" s="46" t="s">
        <v>123</v>
      </c>
      <c r="P14138" s="46">
        <v>900.0</v>
      </c>
      <c r="S14138" s="46" t="s">
        <v>199</v>
      </c>
    </row>
    <row r="14139">
      <c r="A14139" s="40">
        <f t="shared" si="1"/>
        <v>46013</v>
      </c>
      <c r="B14139" s="37" t="str">
        <f t="array" ref="B14139">iferror(xlookup($I14139, 'IMPORT VHC Report'!$E:$E, 'IMPORT VHC Report'!$A:$C), )</f>
        <v/>
      </c>
      <c r="C14139" s="44"/>
      <c r="D14139" s="44"/>
      <c r="E14139" s="46" t="s">
        <v>10262</v>
      </c>
      <c r="F14139" s="46" t="s">
        <v>728</v>
      </c>
      <c r="G14139" s="46">
        <v>1.0333018822031E13</v>
      </c>
      <c r="H14139" s="46" t="s">
        <v>729</v>
      </c>
      <c r="I14139" s="46" t="s">
        <v>730</v>
      </c>
      <c r="J14139" s="46" t="s">
        <v>196</v>
      </c>
      <c r="K14139" s="46" t="s">
        <v>63</v>
      </c>
      <c r="L14139" s="45">
        <v>46013.916666666664</v>
      </c>
      <c r="M14139" s="46" t="s">
        <v>123</v>
      </c>
      <c r="N14139" s="45">
        <v>46014.291666666664</v>
      </c>
      <c r="O14139" s="46" t="s">
        <v>123</v>
      </c>
      <c r="P14139" s="46">
        <v>32400.0</v>
      </c>
    </row>
    <row r="14140">
      <c r="A14140" s="40">
        <f t="shared" si="1"/>
        <v>46013</v>
      </c>
      <c r="B14140" s="37" t="str">
        <f t="array" ref="B14140">iferror(xlookup($I14140, 'IMPORT VHC Report'!$E:$E, 'IMPORT VHC Report'!$A:$C), )</f>
        <v/>
      </c>
      <c r="C14140" s="44"/>
      <c r="D14140" s="44"/>
      <c r="E14140" s="46" t="s">
        <v>10263</v>
      </c>
      <c r="F14140" s="46" t="s">
        <v>728</v>
      </c>
      <c r="G14140" s="46">
        <v>1.0333018822031E13</v>
      </c>
      <c r="H14140" s="46" t="s">
        <v>729</v>
      </c>
      <c r="I14140" s="46" t="s">
        <v>730</v>
      </c>
      <c r="J14140" s="46" t="s">
        <v>134</v>
      </c>
      <c r="K14140" s="46" t="s">
        <v>126</v>
      </c>
      <c r="L14140" s="45">
        <v>46014.020833333336</v>
      </c>
      <c r="M14140" s="46" t="s">
        <v>123</v>
      </c>
      <c r="N14140" s="45">
        <v>46014.041666666664</v>
      </c>
      <c r="O14140" s="46" t="s">
        <v>123</v>
      </c>
      <c r="P14140" s="46">
        <v>1800.0</v>
      </c>
    </row>
    <row r="14141">
      <c r="A14141" s="40">
        <f t="shared" si="1"/>
        <v>46013</v>
      </c>
      <c r="B14141" s="37" t="str">
        <f t="array" ref="B14141">iferror(xlookup($I14141, 'IMPORT VHC Report'!$E:$E, 'IMPORT VHC Report'!$A:$C), )</f>
        <v/>
      </c>
      <c r="C14141" s="44"/>
      <c r="D14141" s="44"/>
      <c r="E14141" s="46" t="s">
        <v>10264</v>
      </c>
      <c r="F14141" s="46" t="s">
        <v>728</v>
      </c>
      <c r="G14141" s="46">
        <v>1.0333018822031E13</v>
      </c>
      <c r="H14141" s="46" t="s">
        <v>729</v>
      </c>
      <c r="I14141" s="46" t="s">
        <v>730</v>
      </c>
      <c r="J14141" s="46" t="s">
        <v>132</v>
      </c>
      <c r="K14141" s="46" t="s">
        <v>126</v>
      </c>
      <c r="L14141" s="45">
        <v>46014.145833333336</v>
      </c>
      <c r="M14141" s="46" t="s">
        <v>123</v>
      </c>
      <c r="N14141" s="45">
        <v>46014.1875</v>
      </c>
      <c r="O14141" s="46" t="s">
        <v>123</v>
      </c>
      <c r="P14141" s="46">
        <v>3600.0</v>
      </c>
    </row>
    <row r="14142">
      <c r="A14142" s="40">
        <f t="shared" si="1"/>
        <v>46013</v>
      </c>
      <c r="B14142" s="37" t="str">
        <f t="array" ref="B14142">iferror(xlookup($I14142, 'IMPORT VHC Report'!$E:$E, 'IMPORT VHC Report'!$A:$C), )</f>
        <v/>
      </c>
      <c r="C14142" s="44"/>
      <c r="D14142" s="44"/>
      <c r="E14142" s="46" t="s">
        <v>10265</v>
      </c>
      <c r="F14142" s="46" t="s">
        <v>728</v>
      </c>
      <c r="G14142" s="46">
        <v>1.0333018822031E13</v>
      </c>
      <c r="H14142" s="46" t="s">
        <v>729</v>
      </c>
      <c r="I14142" s="46" t="s">
        <v>730</v>
      </c>
      <c r="J14142" s="46" t="s">
        <v>125</v>
      </c>
      <c r="K14142" s="46" t="s">
        <v>126</v>
      </c>
      <c r="L14142" s="45">
        <v>46014.916666666664</v>
      </c>
      <c r="M14142" s="46" t="s">
        <v>123</v>
      </c>
      <c r="N14142" s="45">
        <v>46014.927083333336</v>
      </c>
      <c r="O14142" s="46" t="s">
        <v>123</v>
      </c>
      <c r="P14142" s="46">
        <v>900.0</v>
      </c>
      <c r="S14142" s="46" t="s">
        <v>199</v>
      </c>
    </row>
    <row r="14143">
      <c r="A14143" s="40">
        <f t="shared" si="1"/>
        <v>46013</v>
      </c>
      <c r="B14143" s="37" t="str">
        <f t="array" ref="B14143">iferror(xlookup($I14143, 'IMPORT VHC Report'!$E:$E, 'IMPORT VHC Report'!$A:$C), )</f>
        <v/>
      </c>
      <c r="C14143" s="44"/>
      <c r="D14143" s="44"/>
      <c r="E14143" s="46" t="s">
        <v>10266</v>
      </c>
      <c r="F14143" s="46" t="s">
        <v>728</v>
      </c>
      <c r="G14143" s="46">
        <v>1.0333018822031E13</v>
      </c>
      <c r="H14143" s="46" t="s">
        <v>729</v>
      </c>
      <c r="I14143" s="46" t="s">
        <v>730</v>
      </c>
      <c r="J14143" s="46" t="s">
        <v>196</v>
      </c>
      <c r="K14143" s="46" t="s">
        <v>63</v>
      </c>
      <c r="L14143" s="45">
        <v>46014.916666666664</v>
      </c>
      <c r="M14143" s="46" t="s">
        <v>123</v>
      </c>
      <c r="N14143" s="45">
        <v>46015.291666666664</v>
      </c>
      <c r="O14143" s="46" t="s">
        <v>123</v>
      </c>
      <c r="P14143" s="46">
        <v>32400.0</v>
      </c>
    </row>
    <row r="14144">
      <c r="A14144" s="40">
        <f t="shared" si="1"/>
        <v>46013</v>
      </c>
      <c r="B14144" s="37" t="str">
        <f t="array" ref="B14144">iferror(xlookup($I14144, 'IMPORT VHC Report'!$E:$E, 'IMPORT VHC Report'!$A:$C), )</f>
        <v/>
      </c>
      <c r="C14144" s="44"/>
      <c r="D14144" s="44"/>
      <c r="E14144" s="46" t="s">
        <v>10267</v>
      </c>
      <c r="F14144" s="46" t="s">
        <v>728</v>
      </c>
      <c r="G14144" s="46">
        <v>1.0333018822031E13</v>
      </c>
      <c r="H14144" s="46" t="s">
        <v>729</v>
      </c>
      <c r="I14144" s="46" t="s">
        <v>730</v>
      </c>
      <c r="J14144" s="46" t="s">
        <v>134</v>
      </c>
      <c r="K14144" s="46" t="s">
        <v>126</v>
      </c>
      <c r="L14144" s="45">
        <v>46015.03125</v>
      </c>
      <c r="M14144" s="46" t="s">
        <v>123</v>
      </c>
      <c r="N14144" s="45">
        <v>46015.052083333336</v>
      </c>
      <c r="O14144" s="46" t="s">
        <v>123</v>
      </c>
      <c r="P14144" s="46">
        <v>1800.0</v>
      </c>
    </row>
    <row r="14145">
      <c r="A14145" s="40">
        <f t="shared" si="1"/>
        <v>46013</v>
      </c>
      <c r="B14145" s="37" t="str">
        <f t="array" ref="B14145">iferror(xlookup($I14145, 'IMPORT VHC Report'!$E:$E, 'IMPORT VHC Report'!$A:$C), )</f>
        <v/>
      </c>
      <c r="C14145" s="44"/>
      <c r="D14145" s="44"/>
      <c r="E14145" s="46" t="s">
        <v>10268</v>
      </c>
      <c r="F14145" s="46" t="s">
        <v>728</v>
      </c>
      <c r="G14145" s="46">
        <v>1.0333018822031E13</v>
      </c>
      <c r="H14145" s="46" t="s">
        <v>729</v>
      </c>
      <c r="I14145" s="46" t="s">
        <v>730</v>
      </c>
      <c r="J14145" s="46" t="s">
        <v>4</v>
      </c>
      <c r="K14145" s="46" t="s">
        <v>126</v>
      </c>
      <c r="L14145" s="45">
        <v>46015.135416666664</v>
      </c>
      <c r="M14145" s="46" t="s">
        <v>123</v>
      </c>
      <c r="N14145" s="45">
        <v>46015.166666666664</v>
      </c>
      <c r="O14145" s="46" t="s">
        <v>123</v>
      </c>
      <c r="P14145" s="46">
        <v>2700.0</v>
      </c>
      <c r="S14145" s="46" t="s">
        <v>10269</v>
      </c>
    </row>
    <row r="14146">
      <c r="A14146" s="40">
        <f t="shared" si="1"/>
        <v>46013</v>
      </c>
      <c r="B14146" s="37" t="str">
        <f t="array" ref="B14146">iferror(xlookup($I14146, 'IMPORT VHC Report'!$E:$E, 'IMPORT VHC Report'!$A:$C), )</f>
        <v/>
      </c>
      <c r="C14146" s="44"/>
      <c r="D14146" s="44"/>
      <c r="E14146" s="46" t="s">
        <v>10270</v>
      </c>
      <c r="F14146" s="46" t="s">
        <v>728</v>
      </c>
      <c r="G14146" s="46">
        <v>1.0333018822031E13</v>
      </c>
      <c r="H14146" s="46" t="s">
        <v>729</v>
      </c>
      <c r="I14146" s="46" t="s">
        <v>730</v>
      </c>
      <c r="J14146" s="46" t="s">
        <v>132</v>
      </c>
      <c r="K14146" s="46" t="s">
        <v>126</v>
      </c>
      <c r="L14146" s="45">
        <v>46015.166666666664</v>
      </c>
      <c r="M14146" s="46" t="s">
        <v>123</v>
      </c>
      <c r="N14146" s="45">
        <v>46015.208333333336</v>
      </c>
      <c r="O14146" s="46" t="s">
        <v>123</v>
      </c>
      <c r="P14146" s="46">
        <v>3600.0</v>
      </c>
    </row>
    <row r="14147">
      <c r="A14147" s="40">
        <f t="shared" si="1"/>
        <v>46013</v>
      </c>
      <c r="B14147" s="37" t="str">
        <f t="array" ref="B14147">iferror(xlookup($I14147, 'IMPORT VHC Report'!$E:$E, 'IMPORT VHC Report'!$A:$C), )</f>
        <v/>
      </c>
      <c r="C14147" s="44"/>
      <c r="D14147" s="44"/>
      <c r="E14147" s="46" t="s">
        <v>10271</v>
      </c>
      <c r="F14147" s="46" t="s">
        <v>728</v>
      </c>
      <c r="G14147" s="46">
        <v>1.0333018822031E13</v>
      </c>
      <c r="H14147" s="46" t="s">
        <v>729</v>
      </c>
      <c r="I14147" s="46" t="s">
        <v>730</v>
      </c>
      <c r="J14147" s="46" t="s">
        <v>125</v>
      </c>
      <c r="K14147" s="46" t="s">
        <v>126</v>
      </c>
      <c r="L14147" s="45">
        <v>46015.916666666664</v>
      </c>
      <c r="M14147" s="46" t="s">
        <v>123</v>
      </c>
      <c r="N14147" s="45">
        <v>46015.927083333336</v>
      </c>
      <c r="O14147" s="46" t="s">
        <v>123</v>
      </c>
      <c r="P14147" s="46">
        <v>900.0</v>
      </c>
      <c r="S14147" s="46" t="s">
        <v>199</v>
      </c>
    </row>
    <row r="14148">
      <c r="A14148" s="40">
        <f t="shared" si="1"/>
        <v>46013</v>
      </c>
      <c r="B14148" s="37" t="str">
        <f t="array" ref="B14148">iferror(xlookup($I14148, 'IMPORT VHC Report'!$E:$E, 'IMPORT VHC Report'!$A:$C), )</f>
        <v/>
      </c>
      <c r="C14148" s="44"/>
      <c r="D14148" s="44"/>
      <c r="E14148" s="46" t="s">
        <v>10272</v>
      </c>
      <c r="F14148" s="46" t="s">
        <v>728</v>
      </c>
      <c r="G14148" s="46">
        <v>1.0333018822031E13</v>
      </c>
      <c r="H14148" s="46" t="s">
        <v>729</v>
      </c>
      <c r="I14148" s="46" t="s">
        <v>730</v>
      </c>
      <c r="J14148" s="46" t="s">
        <v>196</v>
      </c>
      <c r="K14148" s="46" t="s">
        <v>63</v>
      </c>
      <c r="L14148" s="45">
        <v>46015.916666666664</v>
      </c>
      <c r="M14148" s="46" t="s">
        <v>123</v>
      </c>
      <c r="N14148" s="45">
        <v>46016.291666666664</v>
      </c>
      <c r="O14148" s="46" t="s">
        <v>123</v>
      </c>
      <c r="P14148" s="46">
        <v>32400.0</v>
      </c>
    </row>
    <row r="14149">
      <c r="A14149" s="40">
        <f t="shared" si="1"/>
        <v>46013</v>
      </c>
      <c r="B14149" s="37" t="str">
        <f t="array" ref="B14149">iferror(xlookup($I14149, 'IMPORT VHC Report'!$E:$E, 'IMPORT VHC Report'!$A:$C), )</f>
        <v/>
      </c>
      <c r="C14149" s="44"/>
      <c r="D14149" s="44"/>
      <c r="E14149" s="46" t="s">
        <v>10273</v>
      </c>
      <c r="F14149" s="46" t="s">
        <v>728</v>
      </c>
      <c r="G14149" s="46">
        <v>1.0333018822031E13</v>
      </c>
      <c r="H14149" s="46" t="s">
        <v>729</v>
      </c>
      <c r="I14149" s="46" t="s">
        <v>730</v>
      </c>
      <c r="J14149" s="46" t="s">
        <v>132</v>
      </c>
      <c r="K14149" s="46" t="s">
        <v>126</v>
      </c>
      <c r="L14149" s="45">
        <v>46016.0</v>
      </c>
      <c r="M14149" s="46" t="s">
        <v>123</v>
      </c>
      <c r="N14149" s="45">
        <v>46016.041666666664</v>
      </c>
      <c r="O14149" s="46" t="s">
        <v>123</v>
      </c>
      <c r="P14149" s="46">
        <v>3600.0</v>
      </c>
      <c r="S14149" s="46" t="s">
        <v>10274</v>
      </c>
    </row>
    <row r="14150">
      <c r="A14150" s="40">
        <f t="shared" si="1"/>
        <v>46013</v>
      </c>
      <c r="B14150" s="37" t="str">
        <f t="array" ref="B14150">iferror(xlookup($I14150, 'IMPORT VHC Report'!$E:$E, 'IMPORT VHC Report'!$A:$C), )</f>
        <v/>
      </c>
      <c r="C14150" s="44"/>
      <c r="D14150" s="44"/>
      <c r="E14150" s="46" t="s">
        <v>10275</v>
      </c>
      <c r="F14150" s="46" t="s">
        <v>728</v>
      </c>
      <c r="G14150" s="46">
        <v>1.0333018822031E13</v>
      </c>
      <c r="H14150" s="46" t="s">
        <v>729</v>
      </c>
      <c r="I14150" s="46" t="s">
        <v>730</v>
      </c>
      <c r="J14150" s="46" t="s">
        <v>134</v>
      </c>
      <c r="K14150" s="46" t="s">
        <v>126</v>
      </c>
      <c r="L14150" s="45">
        <v>46016.1875</v>
      </c>
      <c r="M14150" s="46" t="s">
        <v>123</v>
      </c>
      <c r="N14150" s="45">
        <v>46016.208333333336</v>
      </c>
      <c r="O14150" s="46" t="s">
        <v>123</v>
      </c>
      <c r="P14150" s="46">
        <v>1800.0</v>
      </c>
    </row>
    <row r="14151">
      <c r="A14151" s="40">
        <f t="shared" si="1"/>
        <v>46013</v>
      </c>
      <c r="B14151" s="37" t="str">
        <f t="array" ref="B14151">iferror(xlookup($I14151, 'IMPORT VHC Report'!$E:$E, 'IMPORT VHC Report'!$A:$C), )</f>
        <v/>
      </c>
      <c r="C14151" s="44"/>
      <c r="D14151" s="44"/>
      <c r="E14151" s="46" t="s">
        <v>10276</v>
      </c>
      <c r="F14151" s="46" t="s">
        <v>728</v>
      </c>
      <c r="G14151" s="46">
        <v>1.0333018822031E13</v>
      </c>
      <c r="H14151" s="46" t="s">
        <v>729</v>
      </c>
      <c r="I14151" s="46" t="s">
        <v>730</v>
      </c>
      <c r="J14151" s="46" t="s">
        <v>125</v>
      </c>
      <c r="K14151" s="46" t="s">
        <v>126</v>
      </c>
      <c r="L14151" s="45">
        <v>46016.916666666664</v>
      </c>
      <c r="M14151" s="46" t="s">
        <v>123</v>
      </c>
      <c r="N14151" s="45">
        <v>46016.927083333336</v>
      </c>
      <c r="O14151" s="46" t="s">
        <v>123</v>
      </c>
      <c r="P14151" s="46">
        <v>900.0</v>
      </c>
      <c r="S14151" s="46" t="s">
        <v>199</v>
      </c>
    </row>
    <row r="14152">
      <c r="A14152" s="40">
        <f t="shared" si="1"/>
        <v>46013</v>
      </c>
      <c r="B14152" s="37" t="str">
        <f t="array" ref="B14152">iferror(xlookup($I14152, 'IMPORT VHC Report'!$E:$E, 'IMPORT VHC Report'!$A:$C), )</f>
        <v/>
      </c>
      <c r="C14152" s="44"/>
      <c r="D14152" s="44"/>
      <c r="E14152" s="46" t="s">
        <v>10277</v>
      </c>
      <c r="F14152" s="46" t="s">
        <v>728</v>
      </c>
      <c r="G14152" s="46">
        <v>1.0333018822031E13</v>
      </c>
      <c r="H14152" s="46" t="s">
        <v>729</v>
      </c>
      <c r="I14152" s="46" t="s">
        <v>730</v>
      </c>
      <c r="J14152" s="46" t="s">
        <v>196</v>
      </c>
      <c r="K14152" s="46" t="s">
        <v>63</v>
      </c>
      <c r="L14152" s="45">
        <v>46016.916666666664</v>
      </c>
      <c r="M14152" s="46" t="s">
        <v>123</v>
      </c>
      <c r="N14152" s="45">
        <v>46017.145833333336</v>
      </c>
      <c r="O14152" s="46" t="s">
        <v>123</v>
      </c>
      <c r="P14152" s="46">
        <v>19800.0</v>
      </c>
    </row>
    <row r="14153">
      <c r="A14153" s="40">
        <f t="shared" si="1"/>
        <v>46013</v>
      </c>
      <c r="B14153" s="37" t="str">
        <f t="array" ref="B14153">iferror(xlookup($I14153, 'IMPORT VHC Report'!$E:$E, 'IMPORT VHC Report'!$A:$C), )</f>
        <v/>
      </c>
      <c r="C14153" s="44"/>
      <c r="D14153" s="44"/>
      <c r="E14153" s="46" t="s">
        <v>10278</v>
      </c>
      <c r="F14153" s="46" t="s">
        <v>728</v>
      </c>
      <c r="G14153" s="46">
        <v>1.0333018822031E13</v>
      </c>
      <c r="H14153" s="46" t="s">
        <v>729</v>
      </c>
      <c r="I14153" s="46" t="s">
        <v>730</v>
      </c>
      <c r="J14153" s="46" t="s">
        <v>134</v>
      </c>
      <c r="K14153" s="46" t="s">
        <v>126</v>
      </c>
      <c r="L14153" s="45">
        <v>46017.03125</v>
      </c>
      <c r="M14153" s="46" t="s">
        <v>123</v>
      </c>
      <c r="N14153" s="45">
        <v>46017.052083333336</v>
      </c>
      <c r="O14153" s="46" t="s">
        <v>123</v>
      </c>
      <c r="P14153" s="46">
        <v>1800.0</v>
      </c>
    </row>
    <row r="14154">
      <c r="A14154" s="40">
        <f t="shared" si="1"/>
        <v>46013</v>
      </c>
      <c r="B14154" s="37" t="str">
        <f t="array" ref="B14154">iferror(xlookup($I14154, 'IMPORT VHC Report'!$E:$E, 'IMPORT VHC Report'!$A:$C), )</f>
        <v/>
      </c>
      <c r="C14154" s="44"/>
      <c r="D14154" s="44"/>
      <c r="E14154" s="46" t="s">
        <v>10279</v>
      </c>
      <c r="F14154" s="46" t="s">
        <v>728</v>
      </c>
      <c r="G14154" s="46">
        <v>1.0333018822031E13</v>
      </c>
      <c r="H14154" s="46" t="s">
        <v>729</v>
      </c>
      <c r="I14154" s="46" t="s">
        <v>730</v>
      </c>
      <c r="J14154" s="46" t="s">
        <v>62</v>
      </c>
      <c r="K14154" s="46" t="s">
        <v>63</v>
      </c>
      <c r="L14154" s="45">
        <v>46017.145833333336</v>
      </c>
      <c r="M14154" s="46" t="s">
        <v>123</v>
      </c>
      <c r="N14154" s="45">
        <v>46017.208333333336</v>
      </c>
      <c r="O14154" s="46" t="s">
        <v>123</v>
      </c>
      <c r="P14154" s="46">
        <v>5400.0</v>
      </c>
    </row>
    <row r="14155">
      <c r="A14155" s="40">
        <f t="shared" si="1"/>
        <v>46013</v>
      </c>
      <c r="B14155" s="37" t="str">
        <f t="array" ref="B14155">iferror(xlookup($I14155, 'IMPORT VHC Report'!$E:$E, 'IMPORT VHC Report'!$A:$C), )</f>
        <v/>
      </c>
      <c r="C14155" s="44"/>
      <c r="D14155" s="44"/>
      <c r="E14155" s="46" t="s">
        <v>10280</v>
      </c>
      <c r="F14155" s="46" t="s">
        <v>728</v>
      </c>
      <c r="G14155" s="46">
        <v>1.0333018822031E13</v>
      </c>
      <c r="H14155" s="46" t="s">
        <v>729</v>
      </c>
      <c r="I14155" s="46" t="s">
        <v>730</v>
      </c>
      <c r="J14155" s="46" t="s">
        <v>62</v>
      </c>
      <c r="K14155" s="46" t="s">
        <v>63</v>
      </c>
      <c r="L14155" s="45">
        <v>46017.145833333336</v>
      </c>
      <c r="M14155" s="46" t="s">
        <v>123</v>
      </c>
      <c r="N14155" s="45">
        <v>46017.208333333336</v>
      </c>
      <c r="O14155" s="46" t="s">
        <v>123</v>
      </c>
      <c r="P14155" s="46">
        <v>5400.0</v>
      </c>
    </row>
    <row r="14156">
      <c r="A14156" s="40">
        <f t="shared" si="1"/>
        <v>46013</v>
      </c>
      <c r="B14156" s="37" t="str">
        <f t="array" ref="B14156">iferror(xlookup($I14156, 'IMPORT VHC Report'!$E:$E, 'IMPORT VHC Report'!$A:$C), )</f>
        <v/>
      </c>
      <c r="C14156" s="44"/>
      <c r="D14156" s="44"/>
      <c r="E14156" s="46" t="s">
        <v>10281</v>
      </c>
      <c r="F14156" s="46" t="s">
        <v>728</v>
      </c>
      <c r="G14156" s="46">
        <v>1.0333018822031E13</v>
      </c>
      <c r="H14156" s="46" t="s">
        <v>729</v>
      </c>
      <c r="I14156" s="46" t="s">
        <v>730</v>
      </c>
      <c r="J14156" s="46" t="s">
        <v>132</v>
      </c>
      <c r="K14156" s="46" t="s">
        <v>126</v>
      </c>
      <c r="L14156" s="45">
        <v>46017.166666666664</v>
      </c>
      <c r="M14156" s="46" t="s">
        <v>123</v>
      </c>
      <c r="N14156" s="45">
        <v>46017.208333333336</v>
      </c>
      <c r="O14156" s="46" t="s">
        <v>123</v>
      </c>
      <c r="P14156" s="46">
        <v>3600.0</v>
      </c>
    </row>
    <row r="14157">
      <c r="A14157" s="40">
        <f t="shared" si="1"/>
        <v>46013</v>
      </c>
      <c r="B14157" s="37" t="str">
        <f t="array" ref="B14157">iferror(xlookup($I14157, 'IMPORT VHC Report'!$E:$E, 'IMPORT VHC Report'!$A:$C), )</f>
        <v/>
      </c>
      <c r="C14157" s="44"/>
      <c r="D14157" s="44"/>
      <c r="E14157" s="46" t="s">
        <v>10282</v>
      </c>
      <c r="F14157" s="46" t="s">
        <v>728</v>
      </c>
      <c r="G14157" s="46">
        <v>1.0333018822031E13</v>
      </c>
      <c r="H14157" s="46" t="s">
        <v>729</v>
      </c>
      <c r="I14157" s="46" t="s">
        <v>730</v>
      </c>
      <c r="J14157" s="46" t="s">
        <v>196</v>
      </c>
      <c r="K14157" s="46" t="s">
        <v>63</v>
      </c>
      <c r="L14157" s="45">
        <v>46017.166666666664</v>
      </c>
      <c r="M14157" s="46" t="s">
        <v>123</v>
      </c>
      <c r="N14157" s="45">
        <v>46017.208333333336</v>
      </c>
      <c r="O14157" s="46" t="s">
        <v>123</v>
      </c>
      <c r="P14157" s="46">
        <v>3600.0</v>
      </c>
    </row>
    <row r="14158">
      <c r="A14158" s="40">
        <f t="shared" si="1"/>
        <v>46013</v>
      </c>
      <c r="B14158" s="37" t="str">
        <f t="array" ref="B14158">iferror(xlookup($I14158, 'IMPORT VHC Report'!$E:$E, 'IMPORT VHC Report'!$A:$C), )</f>
        <v/>
      </c>
      <c r="C14158" s="44"/>
      <c r="D14158" s="44"/>
      <c r="E14158" s="46" t="s">
        <v>10283</v>
      </c>
      <c r="F14158" s="46" t="s">
        <v>728</v>
      </c>
      <c r="G14158" s="46">
        <v>1.0333018822031E13</v>
      </c>
      <c r="H14158" s="46" t="s">
        <v>729</v>
      </c>
      <c r="I14158" s="46" t="s">
        <v>730</v>
      </c>
      <c r="J14158" s="46" t="s">
        <v>196</v>
      </c>
      <c r="K14158" s="46" t="s">
        <v>63</v>
      </c>
      <c r="L14158" s="45">
        <v>46017.166666666664</v>
      </c>
      <c r="M14158" s="46" t="s">
        <v>123</v>
      </c>
      <c r="N14158" s="45">
        <v>46017.291666666664</v>
      </c>
      <c r="O14158" s="46" t="s">
        <v>123</v>
      </c>
      <c r="P14158" s="46">
        <v>10800.0</v>
      </c>
    </row>
    <row r="14159">
      <c r="A14159" s="40">
        <f t="shared" si="1"/>
        <v>46013</v>
      </c>
      <c r="B14159" s="37" t="str">
        <f t="array" ref="B14159">iferror(xlookup($I14159, 'IMPORT VHC Report'!$E:$E, 'IMPORT VHC Report'!$A:$C), )</f>
        <v/>
      </c>
      <c r="C14159" s="44"/>
      <c r="D14159" s="44"/>
      <c r="E14159" s="46" t="s">
        <v>10284</v>
      </c>
      <c r="F14159" s="46" t="s">
        <v>728</v>
      </c>
      <c r="G14159" s="46">
        <v>1.0333018822031E13</v>
      </c>
      <c r="H14159" s="46" t="s">
        <v>729</v>
      </c>
      <c r="I14159" s="46" t="s">
        <v>730</v>
      </c>
      <c r="J14159" s="46" t="s">
        <v>125</v>
      </c>
      <c r="K14159" s="46" t="s">
        <v>126</v>
      </c>
      <c r="L14159" s="45">
        <v>46019.916666666664</v>
      </c>
      <c r="M14159" s="46" t="s">
        <v>123</v>
      </c>
      <c r="N14159" s="45">
        <v>46019.927083333336</v>
      </c>
      <c r="O14159" s="46" t="s">
        <v>123</v>
      </c>
      <c r="P14159" s="46">
        <v>900.0</v>
      </c>
      <c r="S14159" s="46" t="s">
        <v>199</v>
      </c>
    </row>
    <row r="14160">
      <c r="A14160" s="40">
        <f t="shared" si="1"/>
        <v>46013</v>
      </c>
      <c r="B14160" s="37" t="str">
        <f t="array" ref="B14160">iferror(xlookup($I14160, 'IMPORT VHC Report'!$E:$E, 'IMPORT VHC Report'!$A:$C), )</f>
        <v/>
      </c>
      <c r="C14160" s="44"/>
      <c r="D14160" s="44"/>
      <c r="E14160" s="46" t="s">
        <v>10285</v>
      </c>
      <c r="F14160" s="46" t="s">
        <v>728</v>
      </c>
      <c r="G14160" s="46">
        <v>1.0333018822031E13</v>
      </c>
      <c r="H14160" s="46" t="s">
        <v>729</v>
      </c>
      <c r="I14160" s="46" t="s">
        <v>730</v>
      </c>
      <c r="J14160" s="46" t="s">
        <v>196</v>
      </c>
      <c r="K14160" s="46" t="s">
        <v>63</v>
      </c>
      <c r="L14160" s="45">
        <v>46019.916666666664</v>
      </c>
      <c r="M14160" s="46" t="s">
        <v>123</v>
      </c>
      <c r="N14160" s="45">
        <v>46020.291666666664</v>
      </c>
      <c r="O14160" s="46" t="s">
        <v>123</v>
      </c>
      <c r="P14160" s="46">
        <v>32400.0</v>
      </c>
    </row>
    <row r="14161">
      <c r="A14161" s="40">
        <f t="shared" si="1"/>
        <v>46006</v>
      </c>
      <c r="B14161" s="37" t="str">
        <f t="array" ref="B14161">iferror(xlookup($I14161, 'IMPORT VHC Report'!$E:$E, 'IMPORT VHC Report'!$A:$C), )</f>
        <v/>
      </c>
      <c r="C14161" s="44"/>
      <c r="D14161" s="44"/>
      <c r="E14161" s="46" t="s">
        <v>1526</v>
      </c>
      <c r="F14161" s="46" t="s">
        <v>1500</v>
      </c>
      <c r="G14161" s="46">
        <v>1.1401981374607E13</v>
      </c>
      <c r="H14161" s="46" t="s">
        <v>1501</v>
      </c>
      <c r="I14161" s="46" t="s">
        <v>1502</v>
      </c>
      <c r="J14161" s="46" t="s">
        <v>178</v>
      </c>
      <c r="K14161" s="46" t="s">
        <v>153</v>
      </c>
      <c r="L14161" s="45">
        <v>46012.916666666664</v>
      </c>
      <c r="M14161" s="46" t="s">
        <v>123</v>
      </c>
      <c r="N14161" s="45">
        <v>46013.291666666664</v>
      </c>
      <c r="O14161" s="46" t="s">
        <v>123</v>
      </c>
      <c r="P14161" s="46">
        <v>32400.0</v>
      </c>
      <c r="Q14161" s="46">
        <v>32400.0</v>
      </c>
    </row>
    <row r="14162">
      <c r="A14162" s="40">
        <f t="shared" si="1"/>
        <v>46013</v>
      </c>
      <c r="B14162" s="37" t="str">
        <f t="array" ref="B14162">iferror(xlookup($I14162, 'IMPORT VHC Report'!$E:$E, 'IMPORT VHC Report'!$A:$C), )</f>
        <v/>
      </c>
      <c r="C14162" s="44"/>
      <c r="D14162" s="44"/>
      <c r="E14162" s="46" t="s">
        <v>10286</v>
      </c>
      <c r="F14162" s="46" t="s">
        <v>1500</v>
      </c>
      <c r="G14162" s="46">
        <v>1.1401981374607E13</v>
      </c>
      <c r="H14162" s="46" t="s">
        <v>1501</v>
      </c>
      <c r="I14162" s="46" t="s">
        <v>1502</v>
      </c>
      <c r="J14162" s="46" t="s">
        <v>196</v>
      </c>
      <c r="K14162" s="46" t="s">
        <v>63</v>
      </c>
      <c r="L14162" s="45">
        <v>46013.0</v>
      </c>
      <c r="M14162" s="46" t="s">
        <v>123</v>
      </c>
      <c r="N14162" s="45">
        <v>46013.291666666664</v>
      </c>
      <c r="O14162" s="46" t="s">
        <v>123</v>
      </c>
      <c r="P14162" s="46">
        <v>25200.0</v>
      </c>
    </row>
    <row r="14163">
      <c r="A14163" s="40">
        <f t="shared" si="1"/>
        <v>46013</v>
      </c>
      <c r="B14163" s="37" t="str">
        <f t="array" ref="B14163">iferror(xlookup($I14163, 'IMPORT VHC Report'!$E:$E, 'IMPORT VHC Report'!$A:$C), )</f>
        <v/>
      </c>
      <c r="C14163" s="44"/>
      <c r="D14163" s="44"/>
      <c r="E14163" s="46" t="s">
        <v>10287</v>
      </c>
      <c r="F14163" s="46" t="s">
        <v>1500</v>
      </c>
      <c r="G14163" s="46">
        <v>1.1401981374607E13</v>
      </c>
      <c r="H14163" s="46" t="s">
        <v>1501</v>
      </c>
      <c r="I14163" s="46" t="s">
        <v>1502</v>
      </c>
      <c r="J14163" s="46" t="s">
        <v>134</v>
      </c>
      <c r="K14163" s="46" t="s">
        <v>126</v>
      </c>
      <c r="L14163" s="45">
        <v>46013.052083333336</v>
      </c>
      <c r="M14163" s="46" t="s">
        <v>123</v>
      </c>
      <c r="N14163" s="45">
        <v>46013.072916666664</v>
      </c>
      <c r="O14163" s="46" t="s">
        <v>123</v>
      </c>
      <c r="P14163" s="46">
        <v>1800.0</v>
      </c>
    </row>
    <row r="14164">
      <c r="A14164" s="40">
        <f t="shared" si="1"/>
        <v>46013</v>
      </c>
      <c r="B14164" s="37" t="str">
        <f t="array" ref="B14164">iferror(xlookup($I14164, 'IMPORT VHC Report'!$E:$E, 'IMPORT VHC Report'!$A:$C), )</f>
        <v/>
      </c>
      <c r="C14164" s="44"/>
      <c r="D14164" s="44"/>
      <c r="E14164" s="46" t="s">
        <v>10288</v>
      </c>
      <c r="F14164" s="46" t="s">
        <v>1500</v>
      </c>
      <c r="G14164" s="46">
        <v>1.1401981374607E13</v>
      </c>
      <c r="H14164" s="46" t="s">
        <v>1501</v>
      </c>
      <c r="I14164" s="46" t="s">
        <v>1502</v>
      </c>
      <c r="J14164" s="46" t="s">
        <v>132</v>
      </c>
      <c r="K14164" s="46" t="s">
        <v>126</v>
      </c>
      <c r="L14164" s="45">
        <v>46013.1875</v>
      </c>
      <c r="M14164" s="46" t="s">
        <v>123</v>
      </c>
      <c r="N14164" s="45">
        <v>46013.229166666664</v>
      </c>
      <c r="O14164" s="46" t="s">
        <v>123</v>
      </c>
      <c r="P14164" s="46">
        <v>3600.0</v>
      </c>
    </row>
    <row r="14165">
      <c r="A14165" s="40">
        <f t="shared" si="1"/>
        <v>46013</v>
      </c>
      <c r="B14165" s="37" t="str">
        <f t="array" ref="B14165">iferror(xlookup($I14165, 'IMPORT VHC Report'!$E:$E, 'IMPORT VHC Report'!$A:$C), )</f>
        <v/>
      </c>
      <c r="C14165" s="44"/>
      <c r="D14165" s="44"/>
      <c r="E14165" s="46" t="s">
        <v>10289</v>
      </c>
      <c r="F14165" s="46" t="s">
        <v>1500</v>
      </c>
      <c r="G14165" s="46">
        <v>1.1401981374607E13</v>
      </c>
      <c r="H14165" s="46" t="s">
        <v>1501</v>
      </c>
      <c r="I14165" s="46" t="s">
        <v>1502</v>
      </c>
      <c r="J14165" s="46" t="s">
        <v>125</v>
      </c>
      <c r="K14165" s="46" t="s">
        <v>126</v>
      </c>
      <c r="L14165" s="45">
        <v>46013.916666666664</v>
      </c>
      <c r="M14165" s="46" t="s">
        <v>123</v>
      </c>
      <c r="N14165" s="45">
        <v>46013.927083333336</v>
      </c>
      <c r="O14165" s="46" t="s">
        <v>123</v>
      </c>
      <c r="P14165" s="46">
        <v>900.0</v>
      </c>
      <c r="S14165" s="46" t="s">
        <v>199</v>
      </c>
    </row>
    <row r="14166">
      <c r="A14166" s="40">
        <f t="shared" si="1"/>
        <v>46013</v>
      </c>
      <c r="B14166" s="37" t="str">
        <f t="array" ref="B14166">iferror(xlookup($I14166, 'IMPORT VHC Report'!$E:$E, 'IMPORT VHC Report'!$A:$C), )</f>
        <v/>
      </c>
      <c r="C14166" s="44"/>
      <c r="D14166" s="44"/>
      <c r="E14166" s="46" t="s">
        <v>10290</v>
      </c>
      <c r="F14166" s="46" t="s">
        <v>1500</v>
      </c>
      <c r="G14166" s="46">
        <v>1.1401981374607E13</v>
      </c>
      <c r="H14166" s="46" t="s">
        <v>1501</v>
      </c>
      <c r="I14166" s="46" t="s">
        <v>1502</v>
      </c>
      <c r="J14166" s="46" t="s">
        <v>178</v>
      </c>
      <c r="K14166" s="46" t="s">
        <v>153</v>
      </c>
      <c r="L14166" s="45">
        <v>46013.916666666664</v>
      </c>
      <c r="M14166" s="46" t="s">
        <v>123</v>
      </c>
      <c r="N14166" s="45">
        <v>46014.291666666664</v>
      </c>
      <c r="O14166" s="46" t="s">
        <v>123</v>
      </c>
      <c r="P14166" s="46">
        <v>32400.0</v>
      </c>
      <c r="Q14166" s="46">
        <v>28800.0</v>
      </c>
    </row>
    <row r="14167">
      <c r="A14167" s="40">
        <f t="shared" si="1"/>
        <v>46013</v>
      </c>
      <c r="B14167" s="37" t="str">
        <f t="array" ref="B14167">iferror(xlookup($I14167, 'IMPORT VHC Report'!$E:$E, 'IMPORT VHC Report'!$A:$C), )</f>
        <v/>
      </c>
      <c r="C14167" s="44"/>
      <c r="D14167" s="44"/>
      <c r="E14167" s="46" t="s">
        <v>10291</v>
      </c>
      <c r="F14167" s="46" t="s">
        <v>1500</v>
      </c>
      <c r="G14167" s="46">
        <v>1.1401981374607E13</v>
      </c>
      <c r="H14167" s="46" t="s">
        <v>1501</v>
      </c>
      <c r="I14167" s="46" t="s">
        <v>1502</v>
      </c>
      <c r="J14167" s="46" t="s">
        <v>196</v>
      </c>
      <c r="K14167" s="46" t="s">
        <v>63</v>
      </c>
      <c r="L14167" s="45">
        <v>46013.916666666664</v>
      </c>
      <c r="M14167" s="46" t="s">
        <v>123</v>
      </c>
      <c r="N14167" s="45">
        <v>46014.291666666664</v>
      </c>
      <c r="O14167" s="46" t="s">
        <v>123</v>
      </c>
      <c r="P14167" s="46">
        <v>32400.0</v>
      </c>
    </row>
    <row r="14168">
      <c r="A14168" s="40">
        <f t="shared" si="1"/>
        <v>46013</v>
      </c>
      <c r="B14168" s="37" t="str">
        <f t="array" ref="B14168">iferror(xlookup($I14168, 'IMPORT VHC Report'!$E:$E, 'IMPORT VHC Report'!$A:$C), )</f>
        <v/>
      </c>
      <c r="C14168" s="44"/>
      <c r="D14168" s="44"/>
      <c r="E14168" s="46" t="s">
        <v>10292</v>
      </c>
      <c r="F14168" s="46" t="s">
        <v>1500</v>
      </c>
      <c r="G14168" s="46">
        <v>1.1401981374607E13</v>
      </c>
      <c r="H14168" s="46" t="s">
        <v>1501</v>
      </c>
      <c r="I14168" s="46" t="s">
        <v>1502</v>
      </c>
      <c r="J14168" s="46" t="s">
        <v>134</v>
      </c>
      <c r="K14168" s="46" t="s">
        <v>126</v>
      </c>
      <c r="L14168" s="45">
        <v>46014.03125</v>
      </c>
      <c r="M14168" s="46" t="s">
        <v>123</v>
      </c>
      <c r="N14168" s="45">
        <v>46014.052083333336</v>
      </c>
      <c r="O14168" s="46" t="s">
        <v>123</v>
      </c>
      <c r="P14168" s="46">
        <v>1800.0</v>
      </c>
    </row>
    <row r="14169">
      <c r="A14169" s="40">
        <f t="shared" si="1"/>
        <v>46013</v>
      </c>
      <c r="B14169" s="37" t="str">
        <f t="array" ref="B14169">iferror(xlookup($I14169, 'IMPORT VHC Report'!$E:$E, 'IMPORT VHC Report'!$A:$C), )</f>
        <v/>
      </c>
      <c r="C14169" s="44"/>
      <c r="D14169" s="44"/>
      <c r="E14169" s="46" t="s">
        <v>10293</v>
      </c>
      <c r="F14169" s="46" t="s">
        <v>1500</v>
      </c>
      <c r="G14169" s="46">
        <v>1.1401981374607E13</v>
      </c>
      <c r="H14169" s="46" t="s">
        <v>1501</v>
      </c>
      <c r="I14169" s="46" t="s">
        <v>1502</v>
      </c>
      <c r="J14169" s="46" t="s">
        <v>132</v>
      </c>
      <c r="K14169" s="46" t="s">
        <v>126</v>
      </c>
      <c r="L14169" s="45">
        <v>46014.166666666664</v>
      </c>
      <c r="M14169" s="46" t="s">
        <v>123</v>
      </c>
      <c r="N14169" s="45">
        <v>46014.208333333336</v>
      </c>
      <c r="O14169" s="46" t="s">
        <v>123</v>
      </c>
      <c r="P14169" s="46">
        <v>3600.0</v>
      </c>
    </row>
    <row r="14170">
      <c r="A14170" s="40">
        <f t="shared" si="1"/>
        <v>46013</v>
      </c>
      <c r="B14170" s="37" t="str">
        <f t="array" ref="B14170">iferror(xlookup($I14170, 'IMPORT VHC Report'!$E:$E, 'IMPORT VHC Report'!$A:$C), )</f>
        <v/>
      </c>
      <c r="C14170" s="44"/>
      <c r="D14170" s="44"/>
      <c r="E14170" s="46" t="s">
        <v>10294</v>
      </c>
      <c r="F14170" s="46" t="s">
        <v>1500</v>
      </c>
      <c r="G14170" s="46">
        <v>1.1401981374607E13</v>
      </c>
      <c r="H14170" s="46" t="s">
        <v>1501</v>
      </c>
      <c r="I14170" s="46" t="s">
        <v>1502</v>
      </c>
      <c r="J14170" s="46" t="s">
        <v>125</v>
      </c>
      <c r="K14170" s="46" t="s">
        <v>126</v>
      </c>
      <c r="L14170" s="45">
        <v>46014.916666666664</v>
      </c>
      <c r="M14170" s="46" t="s">
        <v>123</v>
      </c>
      <c r="N14170" s="45">
        <v>46014.927083333336</v>
      </c>
      <c r="O14170" s="46" t="s">
        <v>123</v>
      </c>
      <c r="P14170" s="46">
        <v>900.0</v>
      </c>
      <c r="S14170" s="46" t="s">
        <v>199</v>
      </c>
    </row>
    <row r="14171">
      <c r="A14171" s="40">
        <f t="shared" si="1"/>
        <v>46013</v>
      </c>
      <c r="B14171" s="37" t="str">
        <f t="array" ref="B14171">iferror(xlookup($I14171, 'IMPORT VHC Report'!$E:$E, 'IMPORT VHC Report'!$A:$C), )</f>
        <v/>
      </c>
      <c r="C14171" s="44"/>
      <c r="D14171" s="44"/>
      <c r="E14171" s="46" t="s">
        <v>10295</v>
      </c>
      <c r="F14171" s="46" t="s">
        <v>1500</v>
      </c>
      <c r="G14171" s="46">
        <v>1.1401981374607E13</v>
      </c>
      <c r="H14171" s="46" t="s">
        <v>1501</v>
      </c>
      <c r="I14171" s="46" t="s">
        <v>1502</v>
      </c>
      <c r="J14171" s="46" t="s">
        <v>196</v>
      </c>
      <c r="K14171" s="46" t="s">
        <v>63</v>
      </c>
      <c r="L14171" s="45">
        <v>46014.916666666664</v>
      </c>
      <c r="M14171" s="46" t="s">
        <v>123</v>
      </c>
      <c r="N14171" s="45">
        <v>46014.979166666664</v>
      </c>
      <c r="O14171" s="46" t="s">
        <v>123</v>
      </c>
      <c r="P14171" s="46">
        <v>5400.0</v>
      </c>
    </row>
    <row r="14172">
      <c r="A14172" s="40">
        <f t="shared" si="1"/>
        <v>46013</v>
      </c>
      <c r="B14172" s="37" t="str">
        <f t="array" ref="B14172">iferror(xlookup($I14172, 'IMPORT VHC Report'!$E:$E, 'IMPORT VHC Report'!$A:$C), )</f>
        <v/>
      </c>
      <c r="C14172" s="44"/>
      <c r="D14172" s="44"/>
      <c r="E14172" s="46" t="s">
        <v>10296</v>
      </c>
      <c r="F14172" s="46" t="s">
        <v>1500</v>
      </c>
      <c r="G14172" s="46">
        <v>1.1401981374607E13</v>
      </c>
      <c r="H14172" s="46" t="s">
        <v>1501</v>
      </c>
      <c r="I14172" s="46" t="s">
        <v>1502</v>
      </c>
      <c r="J14172" s="46" t="s">
        <v>136</v>
      </c>
      <c r="K14172" s="46" t="s">
        <v>126</v>
      </c>
      <c r="L14172" s="45">
        <v>46014.958333333336</v>
      </c>
      <c r="M14172" s="46" t="s">
        <v>123</v>
      </c>
      <c r="N14172" s="45">
        <v>46014.979166666664</v>
      </c>
      <c r="O14172" s="46" t="s">
        <v>123</v>
      </c>
      <c r="P14172" s="46">
        <v>1800.0</v>
      </c>
      <c r="S14172" s="46" t="s">
        <v>137</v>
      </c>
    </row>
    <row r="14173">
      <c r="A14173" s="40">
        <f t="shared" si="1"/>
        <v>46013</v>
      </c>
      <c r="B14173" s="37" t="str">
        <f t="array" ref="B14173">iferror(xlookup($I14173, 'IMPORT VHC Report'!$E:$E, 'IMPORT VHC Report'!$A:$C), )</f>
        <v/>
      </c>
      <c r="C14173" s="44"/>
      <c r="D14173" s="44"/>
      <c r="E14173" s="46" t="s">
        <v>10297</v>
      </c>
      <c r="F14173" s="46" t="s">
        <v>1500</v>
      </c>
      <c r="G14173" s="46">
        <v>1.1401981374607E13</v>
      </c>
      <c r="H14173" s="46" t="s">
        <v>1501</v>
      </c>
      <c r="I14173" s="46" t="s">
        <v>1502</v>
      </c>
      <c r="J14173" s="46" t="s">
        <v>62</v>
      </c>
      <c r="K14173" s="46" t="s">
        <v>63</v>
      </c>
      <c r="L14173" s="45">
        <v>46014.979166666664</v>
      </c>
      <c r="M14173" s="46" t="s">
        <v>123</v>
      </c>
      <c r="N14173" s="45">
        <v>46015.0</v>
      </c>
      <c r="O14173" s="46" t="s">
        <v>123</v>
      </c>
      <c r="P14173" s="46">
        <v>1800.0</v>
      </c>
    </row>
    <row r="14174">
      <c r="A14174" s="40">
        <f t="shared" si="1"/>
        <v>46013</v>
      </c>
      <c r="B14174" s="37" t="str">
        <f t="array" ref="B14174">iferror(xlookup($I14174, 'IMPORT VHC Report'!$E:$E, 'IMPORT VHC Report'!$A:$C), )</f>
        <v/>
      </c>
      <c r="C14174" s="44"/>
      <c r="D14174" s="44"/>
      <c r="E14174" s="46" t="s">
        <v>10298</v>
      </c>
      <c r="F14174" s="46" t="s">
        <v>1500</v>
      </c>
      <c r="G14174" s="46">
        <v>1.1401981374607E13</v>
      </c>
      <c r="H14174" s="46" t="s">
        <v>1501</v>
      </c>
      <c r="I14174" s="46" t="s">
        <v>1502</v>
      </c>
      <c r="J14174" s="46" t="s">
        <v>196</v>
      </c>
      <c r="K14174" s="46" t="s">
        <v>63</v>
      </c>
      <c r="L14174" s="45">
        <v>46015.0</v>
      </c>
      <c r="M14174" s="46" t="s">
        <v>123</v>
      </c>
      <c r="N14174" s="45">
        <v>46015.291666666664</v>
      </c>
      <c r="O14174" s="46" t="s">
        <v>123</v>
      </c>
      <c r="P14174" s="46">
        <v>25200.0</v>
      </c>
    </row>
    <row r="14175">
      <c r="A14175" s="40">
        <f t="shared" si="1"/>
        <v>46013</v>
      </c>
      <c r="B14175" s="37" t="str">
        <f t="array" ref="B14175">iferror(xlookup($I14175, 'IMPORT VHC Report'!$E:$E, 'IMPORT VHC Report'!$A:$C), )</f>
        <v/>
      </c>
      <c r="C14175" s="44"/>
      <c r="D14175" s="44"/>
      <c r="E14175" s="46" t="s">
        <v>10299</v>
      </c>
      <c r="F14175" s="46" t="s">
        <v>1500</v>
      </c>
      <c r="G14175" s="46">
        <v>1.1401981374607E13</v>
      </c>
      <c r="H14175" s="46" t="s">
        <v>1501</v>
      </c>
      <c r="I14175" s="46" t="s">
        <v>1502</v>
      </c>
      <c r="J14175" s="46" t="s">
        <v>134</v>
      </c>
      <c r="K14175" s="46" t="s">
        <v>126</v>
      </c>
      <c r="L14175" s="45">
        <v>46015.020833333336</v>
      </c>
      <c r="M14175" s="46" t="s">
        <v>123</v>
      </c>
      <c r="N14175" s="45">
        <v>46015.041666666664</v>
      </c>
      <c r="O14175" s="46" t="s">
        <v>123</v>
      </c>
      <c r="P14175" s="46">
        <v>1800.0</v>
      </c>
    </row>
    <row r="14176">
      <c r="A14176" s="40">
        <f t="shared" si="1"/>
        <v>46013</v>
      </c>
      <c r="B14176" s="37" t="str">
        <f t="array" ref="B14176">iferror(xlookup($I14176, 'IMPORT VHC Report'!$E:$E, 'IMPORT VHC Report'!$A:$C), )</f>
        <v/>
      </c>
      <c r="C14176" s="44"/>
      <c r="D14176" s="44"/>
      <c r="E14176" s="46" t="s">
        <v>10300</v>
      </c>
      <c r="F14176" s="46" t="s">
        <v>1500</v>
      </c>
      <c r="G14176" s="46">
        <v>1.1401981374607E13</v>
      </c>
      <c r="H14176" s="46" t="s">
        <v>1501</v>
      </c>
      <c r="I14176" s="46" t="s">
        <v>1502</v>
      </c>
      <c r="J14176" s="46" t="s">
        <v>132</v>
      </c>
      <c r="K14176" s="46" t="s">
        <v>126</v>
      </c>
      <c r="L14176" s="45">
        <v>46015.145833333336</v>
      </c>
      <c r="M14176" s="46" t="s">
        <v>123</v>
      </c>
      <c r="N14176" s="45">
        <v>46015.1875</v>
      </c>
      <c r="O14176" s="46" t="s">
        <v>123</v>
      </c>
      <c r="P14176" s="46">
        <v>3600.0</v>
      </c>
    </row>
    <row r="14177">
      <c r="A14177" s="40">
        <f t="shared" si="1"/>
        <v>46013</v>
      </c>
      <c r="B14177" s="37" t="str">
        <f t="array" ref="B14177">iferror(xlookup($I14177, 'IMPORT VHC Report'!$E:$E, 'IMPORT VHC Report'!$A:$C), )</f>
        <v/>
      </c>
      <c r="C14177" s="44"/>
      <c r="D14177" s="44"/>
      <c r="E14177" s="46" t="s">
        <v>10301</v>
      </c>
      <c r="F14177" s="46" t="s">
        <v>1500</v>
      </c>
      <c r="G14177" s="46">
        <v>1.1401981374607E13</v>
      </c>
      <c r="H14177" s="46" t="s">
        <v>1501</v>
      </c>
      <c r="I14177" s="46" t="s">
        <v>1502</v>
      </c>
      <c r="J14177" s="46" t="s">
        <v>125</v>
      </c>
      <c r="K14177" s="46" t="s">
        <v>126</v>
      </c>
      <c r="L14177" s="45">
        <v>46017.916666666664</v>
      </c>
      <c r="M14177" s="46" t="s">
        <v>123</v>
      </c>
      <c r="N14177" s="45">
        <v>46017.927083333336</v>
      </c>
      <c r="O14177" s="46" t="s">
        <v>123</v>
      </c>
      <c r="P14177" s="46">
        <v>900.0</v>
      </c>
      <c r="S14177" s="46" t="s">
        <v>199</v>
      </c>
    </row>
    <row r="14178">
      <c r="A14178" s="40">
        <f t="shared" si="1"/>
        <v>46013</v>
      </c>
      <c r="B14178" s="37" t="str">
        <f t="array" ref="B14178">iferror(xlookup($I14178, 'IMPORT VHC Report'!$E:$E, 'IMPORT VHC Report'!$A:$C), )</f>
        <v/>
      </c>
      <c r="C14178" s="44"/>
      <c r="D14178" s="44"/>
      <c r="E14178" s="46" t="s">
        <v>10302</v>
      </c>
      <c r="F14178" s="46" t="s">
        <v>1500</v>
      </c>
      <c r="G14178" s="46">
        <v>1.1401981374607E13</v>
      </c>
      <c r="H14178" s="46" t="s">
        <v>1501</v>
      </c>
      <c r="I14178" s="46" t="s">
        <v>1502</v>
      </c>
      <c r="J14178" s="46" t="s">
        <v>196</v>
      </c>
      <c r="K14178" s="46" t="s">
        <v>63</v>
      </c>
      <c r="L14178" s="45">
        <v>46017.916666666664</v>
      </c>
      <c r="M14178" s="46" t="s">
        <v>123</v>
      </c>
      <c r="N14178" s="45">
        <v>46018.291666666664</v>
      </c>
      <c r="O14178" s="46" t="s">
        <v>123</v>
      </c>
      <c r="P14178" s="46">
        <v>32400.0</v>
      </c>
    </row>
    <row r="14179">
      <c r="A14179" s="40">
        <f t="shared" si="1"/>
        <v>46013</v>
      </c>
      <c r="B14179" s="37" t="str">
        <f t="array" ref="B14179">iferror(xlookup($I14179, 'IMPORT VHC Report'!$E:$E, 'IMPORT VHC Report'!$A:$C), )</f>
        <v/>
      </c>
      <c r="C14179" s="44"/>
      <c r="D14179" s="44"/>
      <c r="E14179" s="46" t="s">
        <v>10303</v>
      </c>
      <c r="F14179" s="46" t="s">
        <v>1500</v>
      </c>
      <c r="G14179" s="46">
        <v>1.1401981374607E13</v>
      </c>
      <c r="H14179" s="46" t="s">
        <v>1501</v>
      </c>
      <c r="I14179" s="46" t="s">
        <v>1502</v>
      </c>
      <c r="J14179" s="46" t="s">
        <v>132</v>
      </c>
      <c r="K14179" s="46" t="s">
        <v>126</v>
      </c>
      <c r="L14179" s="45">
        <v>46018.041666666664</v>
      </c>
      <c r="M14179" s="46" t="s">
        <v>123</v>
      </c>
      <c r="N14179" s="45">
        <v>46018.083333333336</v>
      </c>
      <c r="O14179" s="46" t="s">
        <v>123</v>
      </c>
      <c r="P14179" s="46">
        <v>3600.0</v>
      </c>
    </row>
    <row r="14180">
      <c r="A14180" s="40">
        <f t="shared" si="1"/>
        <v>46013</v>
      </c>
      <c r="B14180" s="37" t="str">
        <f t="array" ref="B14180">iferror(xlookup($I14180, 'IMPORT VHC Report'!$E:$E, 'IMPORT VHC Report'!$A:$C), )</f>
        <v/>
      </c>
      <c r="C14180" s="44"/>
      <c r="D14180" s="44"/>
      <c r="E14180" s="46" t="s">
        <v>10304</v>
      </c>
      <c r="F14180" s="46" t="s">
        <v>1500</v>
      </c>
      <c r="G14180" s="46">
        <v>1.1401981374607E13</v>
      </c>
      <c r="H14180" s="46" t="s">
        <v>1501</v>
      </c>
      <c r="I14180" s="46" t="s">
        <v>1502</v>
      </c>
      <c r="J14180" s="46" t="s">
        <v>134</v>
      </c>
      <c r="K14180" s="46" t="s">
        <v>126</v>
      </c>
      <c r="L14180" s="45">
        <v>46018.1875</v>
      </c>
      <c r="M14180" s="46" t="s">
        <v>123</v>
      </c>
      <c r="N14180" s="45">
        <v>46018.208333333336</v>
      </c>
      <c r="O14180" s="46" t="s">
        <v>123</v>
      </c>
      <c r="P14180" s="46">
        <v>1800.0</v>
      </c>
    </row>
    <row r="14181">
      <c r="A14181" s="40">
        <f t="shared" si="1"/>
        <v>46013</v>
      </c>
      <c r="B14181" s="37" t="str">
        <f t="array" ref="B14181">iferror(xlookup($I14181, 'IMPORT VHC Report'!$E:$E, 'IMPORT VHC Report'!$A:$C), )</f>
        <v/>
      </c>
      <c r="C14181" s="44"/>
      <c r="D14181" s="44"/>
      <c r="E14181" s="46" t="s">
        <v>10305</v>
      </c>
      <c r="F14181" s="46" t="s">
        <v>1500</v>
      </c>
      <c r="G14181" s="46">
        <v>1.1401981374607E13</v>
      </c>
      <c r="H14181" s="46" t="s">
        <v>1501</v>
      </c>
      <c r="I14181" s="46" t="s">
        <v>1502</v>
      </c>
      <c r="J14181" s="46" t="s">
        <v>125</v>
      </c>
      <c r="K14181" s="46" t="s">
        <v>126</v>
      </c>
      <c r="L14181" s="45">
        <v>46018.916666666664</v>
      </c>
      <c r="M14181" s="46" t="s">
        <v>123</v>
      </c>
      <c r="N14181" s="45">
        <v>46018.927083333336</v>
      </c>
      <c r="O14181" s="46" t="s">
        <v>123</v>
      </c>
      <c r="P14181" s="46">
        <v>900.0</v>
      </c>
      <c r="S14181" s="46" t="s">
        <v>199</v>
      </c>
    </row>
    <row r="14182">
      <c r="A14182" s="40">
        <f t="shared" si="1"/>
        <v>46013</v>
      </c>
      <c r="B14182" s="37" t="str">
        <f t="array" ref="B14182">iferror(xlookup($I14182, 'IMPORT VHC Report'!$E:$E, 'IMPORT VHC Report'!$A:$C), )</f>
        <v/>
      </c>
      <c r="C14182" s="44"/>
      <c r="D14182" s="44"/>
      <c r="E14182" s="46" t="s">
        <v>10306</v>
      </c>
      <c r="F14182" s="46" t="s">
        <v>1500</v>
      </c>
      <c r="G14182" s="46">
        <v>1.1401981374607E13</v>
      </c>
      <c r="H14182" s="46" t="s">
        <v>1501</v>
      </c>
      <c r="I14182" s="46" t="s">
        <v>1502</v>
      </c>
      <c r="J14182" s="46" t="s">
        <v>196</v>
      </c>
      <c r="K14182" s="46" t="s">
        <v>63</v>
      </c>
      <c r="L14182" s="45">
        <v>46018.916666666664</v>
      </c>
      <c r="M14182" s="46" t="s">
        <v>123</v>
      </c>
      <c r="N14182" s="45">
        <v>46019.291666666664</v>
      </c>
      <c r="O14182" s="46" t="s">
        <v>123</v>
      </c>
      <c r="P14182" s="46">
        <v>32400.0</v>
      </c>
    </row>
    <row r="14183">
      <c r="A14183" s="40">
        <f t="shared" si="1"/>
        <v>46013</v>
      </c>
      <c r="B14183" s="37" t="str">
        <f t="array" ref="B14183">iferror(xlookup($I14183, 'IMPORT VHC Report'!$E:$E, 'IMPORT VHC Report'!$A:$C), )</f>
        <v/>
      </c>
      <c r="C14183" s="44"/>
      <c r="D14183" s="44"/>
      <c r="E14183" s="46" t="s">
        <v>10307</v>
      </c>
      <c r="F14183" s="46" t="s">
        <v>1500</v>
      </c>
      <c r="G14183" s="46">
        <v>1.1401981374607E13</v>
      </c>
      <c r="H14183" s="46" t="s">
        <v>1501</v>
      </c>
      <c r="I14183" s="46" t="s">
        <v>1502</v>
      </c>
      <c r="J14183" s="46" t="s">
        <v>134</v>
      </c>
      <c r="K14183" s="46" t="s">
        <v>126</v>
      </c>
      <c r="L14183" s="45">
        <v>46019.020833333336</v>
      </c>
      <c r="M14183" s="46" t="s">
        <v>123</v>
      </c>
      <c r="N14183" s="45">
        <v>46019.041666666664</v>
      </c>
      <c r="O14183" s="46" t="s">
        <v>123</v>
      </c>
      <c r="P14183" s="46">
        <v>1800.0</v>
      </c>
    </row>
    <row r="14184">
      <c r="A14184" s="40">
        <f t="shared" si="1"/>
        <v>46013</v>
      </c>
      <c r="B14184" s="37" t="str">
        <f t="array" ref="B14184">iferror(xlookup($I14184, 'IMPORT VHC Report'!$E:$E, 'IMPORT VHC Report'!$A:$C), )</f>
        <v/>
      </c>
      <c r="C14184" s="44"/>
      <c r="D14184" s="44"/>
      <c r="E14184" s="46" t="s">
        <v>10308</v>
      </c>
      <c r="F14184" s="46" t="s">
        <v>1500</v>
      </c>
      <c r="G14184" s="46">
        <v>1.1401981374607E13</v>
      </c>
      <c r="H14184" s="46" t="s">
        <v>1501</v>
      </c>
      <c r="I14184" s="46" t="s">
        <v>1502</v>
      </c>
      <c r="J14184" s="46" t="s">
        <v>132</v>
      </c>
      <c r="K14184" s="46" t="s">
        <v>126</v>
      </c>
      <c r="L14184" s="45">
        <v>46019.166666666664</v>
      </c>
      <c r="M14184" s="46" t="s">
        <v>123</v>
      </c>
      <c r="N14184" s="45">
        <v>46019.208333333336</v>
      </c>
      <c r="O14184" s="46" t="s">
        <v>123</v>
      </c>
      <c r="P14184" s="46">
        <v>3600.0</v>
      </c>
    </row>
    <row r="14185">
      <c r="A14185" s="40">
        <f t="shared" si="1"/>
        <v>46013</v>
      </c>
      <c r="B14185" s="37" t="str">
        <f t="array" ref="B14185">iferror(xlookup($I14185, 'IMPORT VHC Report'!$E:$E, 'IMPORT VHC Report'!$A:$C), )</f>
        <v/>
      </c>
      <c r="C14185" s="44"/>
      <c r="D14185" s="44"/>
      <c r="E14185" s="46" t="s">
        <v>10309</v>
      </c>
      <c r="F14185" s="46" t="s">
        <v>1500</v>
      </c>
      <c r="G14185" s="46">
        <v>1.1401981374607E13</v>
      </c>
      <c r="H14185" s="46" t="s">
        <v>1501</v>
      </c>
      <c r="I14185" s="46" t="s">
        <v>1502</v>
      </c>
      <c r="J14185" s="46" t="s">
        <v>125</v>
      </c>
      <c r="K14185" s="46" t="s">
        <v>126</v>
      </c>
      <c r="L14185" s="45">
        <v>46019.916666666664</v>
      </c>
      <c r="M14185" s="46" t="s">
        <v>123</v>
      </c>
      <c r="N14185" s="45">
        <v>46019.927083333336</v>
      </c>
      <c r="O14185" s="46" t="s">
        <v>123</v>
      </c>
      <c r="P14185" s="46">
        <v>900.0</v>
      </c>
      <c r="S14185" s="46" t="s">
        <v>199</v>
      </c>
    </row>
    <row r="14186">
      <c r="A14186" s="40">
        <f t="shared" si="1"/>
        <v>46013</v>
      </c>
      <c r="B14186" s="37" t="str">
        <f t="array" ref="B14186">iferror(xlookup($I14186, 'IMPORT VHC Report'!$E:$E, 'IMPORT VHC Report'!$A:$C), )</f>
        <v/>
      </c>
      <c r="C14186" s="44"/>
      <c r="D14186" s="44"/>
      <c r="E14186" s="46" t="s">
        <v>10310</v>
      </c>
      <c r="F14186" s="46" t="s">
        <v>1500</v>
      </c>
      <c r="G14186" s="46">
        <v>1.1401981374607E13</v>
      </c>
      <c r="H14186" s="46" t="s">
        <v>1501</v>
      </c>
      <c r="I14186" s="46" t="s">
        <v>1502</v>
      </c>
      <c r="J14186" s="46" t="s">
        <v>196</v>
      </c>
      <c r="K14186" s="46" t="s">
        <v>63</v>
      </c>
      <c r="L14186" s="45">
        <v>46019.916666666664</v>
      </c>
      <c r="M14186" s="46" t="s">
        <v>123</v>
      </c>
      <c r="N14186" s="45">
        <v>46020.291666666664</v>
      </c>
      <c r="O14186" s="46" t="s">
        <v>123</v>
      </c>
      <c r="P14186" s="46">
        <v>32400.0</v>
      </c>
    </row>
    <row r="14187">
      <c r="A14187" s="40">
        <f t="shared" si="1"/>
        <v>46006</v>
      </c>
      <c r="B14187" s="37" t="str">
        <f t="array" ref="B14187">iferror(xlookup($I14187, 'IMPORT VHC Report'!$E:$E, 'IMPORT VHC Report'!$A:$C), )</f>
        <v/>
      </c>
      <c r="C14187" s="44"/>
      <c r="D14187" s="44"/>
      <c r="E14187" s="46" t="s">
        <v>625</v>
      </c>
      <c r="F14187" s="46" t="s">
        <v>591</v>
      </c>
      <c r="G14187" s="46">
        <v>8.303581036047E12</v>
      </c>
      <c r="H14187" s="46" t="s">
        <v>592</v>
      </c>
      <c r="I14187" s="46" t="s">
        <v>593</v>
      </c>
      <c r="J14187" s="46" t="s">
        <v>196</v>
      </c>
      <c r="K14187" s="46" t="s">
        <v>63</v>
      </c>
      <c r="L14187" s="45">
        <v>46012.989583333336</v>
      </c>
      <c r="M14187" s="46" t="s">
        <v>123</v>
      </c>
      <c r="N14187" s="45">
        <v>46013.25</v>
      </c>
      <c r="O14187" s="46" t="s">
        <v>123</v>
      </c>
      <c r="P14187" s="46">
        <v>22500.0</v>
      </c>
    </row>
    <row r="14188">
      <c r="A14188" s="40">
        <f t="shared" si="1"/>
        <v>46013</v>
      </c>
      <c r="B14188" s="37" t="str">
        <f t="array" ref="B14188">iferror(xlookup($I14188, 'IMPORT VHC Report'!$E:$E, 'IMPORT VHC Report'!$A:$C), )</f>
        <v/>
      </c>
      <c r="C14188" s="44"/>
      <c r="D14188" s="44"/>
      <c r="E14188" s="46" t="s">
        <v>10311</v>
      </c>
      <c r="F14188" s="46" t="s">
        <v>591</v>
      </c>
      <c r="G14188" s="46">
        <v>8.303581036047E12</v>
      </c>
      <c r="H14188" s="46" t="s">
        <v>592</v>
      </c>
      <c r="I14188" s="46" t="s">
        <v>593</v>
      </c>
      <c r="J14188" s="46" t="s">
        <v>134</v>
      </c>
      <c r="K14188" s="46" t="s">
        <v>126</v>
      </c>
      <c r="L14188" s="45">
        <v>46013.0</v>
      </c>
      <c r="M14188" s="46" t="s">
        <v>123</v>
      </c>
      <c r="N14188" s="45">
        <v>46013.020833333336</v>
      </c>
      <c r="O14188" s="46" t="s">
        <v>123</v>
      </c>
      <c r="P14188" s="46">
        <v>1800.0</v>
      </c>
    </row>
    <row r="14189">
      <c r="A14189" s="40">
        <f t="shared" si="1"/>
        <v>46013</v>
      </c>
      <c r="B14189" s="37" t="str">
        <f t="array" ref="B14189">iferror(xlookup($I14189, 'IMPORT VHC Report'!$E:$E, 'IMPORT VHC Report'!$A:$C), )</f>
        <v/>
      </c>
      <c r="C14189" s="44"/>
      <c r="D14189" s="44"/>
      <c r="E14189" s="46" t="s">
        <v>10312</v>
      </c>
      <c r="F14189" s="46" t="s">
        <v>591</v>
      </c>
      <c r="G14189" s="46">
        <v>8.303581036047E12</v>
      </c>
      <c r="H14189" s="46" t="s">
        <v>592</v>
      </c>
      <c r="I14189" s="46" t="s">
        <v>593</v>
      </c>
      <c r="J14189" s="46" t="s">
        <v>132</v>
      </c>
      <c r="K14189" s="46" t="s">
        <v>126</v>
      </c>
      <c r="L14189" s="45">
        <v>46013.135416666664</v>
      </c>
      <c r="M14189" s="46" t="s">
        <v>123</v>
      </c>
      <c r="N14189" s="45">
        <v>46013.177083333336</v>
      </c>
      <c r="O14189" s="46" t="s">
        <v>123</v>
      </c>
      <c r="P14189" s="46">
        <v>3600.0</v>
      </c>
    </row>
    <row r="14190">
      <c r="A14190" s="40">
        <f t="shared" si="1"/>
        <v>46013</v>
      </c>
      <c r="B14190" s="37" t="str">
        <f t="array" ref="B14190">iferror(xlookup($I14190, 'IMPORT VHC Report'!$E:$E, 'IMPORT VHC Report'!$A:$C), )</f>
        <v/>
      </c>
      <c r="C14190" s="44"/>
      <c r="D14190" s="44"/>
      <c r="E14190" s="46" t="s">
        <v>10313</v>
      </c>
      <c r="F14190" s="46" t="s">
        <v>591</v>
      </c>
      <c r="G14190" s="46">
        <v>8.303581036047E12</v>
      </c>
      <c r="H14190" s="46" t="s">
        <v>592</v>
      </c>
      <c r="I14190" s="46" t="s">
        <v>593</v>
      </c>
      <c r="J14190" s="46" t="s">
        <v>125</v>
      </c>
      <c r="K14190" s="46" t="s">
        <v>126</v>
      </c>
      <c r="L14190" s="45">
        <v>46013.875</v>
      </c>
      <c r="M14190" s="46" t="s">
        <v>123</v>
      </c>
      <c r="N14190" s="45">
        <v>46013.885416666664</v>
      </c>
      <c r="O14190" s="46" t="s">
        <v>123</v>
      </c>
      <c r="P14190" s="46">
        <v>900.0</v>
      </c>
      <c r="S14190" s="46" t="s">
        <v>199</v>
      </c>
    </row>
    <row r="14191">
      <c r="A14191" s="40">
        <f t="shared" si="1"/>
        <v>46013</v>
      </c>
      <c r="B14191" s="37" t="str">
        <f t="array" ref="B14191">iferror(xlookup($I14191, 'IMPORT VHC Report'!$E:$E, 'IMPORT VHC Report'!$A:$C), )</f>
        <v/>
      </c>
      <c r="C14191" s="44"/>
      <c r="D14191" s="44"/>
      <c r="E14191" s="46" t="s">
        <v>10314</v>
      </c>
      <c r="F14191" s="46" t="s">
        <v>591</v>
      </c>
      <c r="G14191" s="46">
        <v>8.303581036047E12</v>
      </c>
      <c r="H14191" s="46" t="s">
        <v>592</v>
      </c>
      <c r="I14191" s="46" t="s">
        <v>593</v>
      </c>
      <c r="J14191" s="46" t="s">
        <v>196</v>
      </c>
      <c r="K14191" s="46" t="s">
        <v>63</v>
      </c>
      <c r="L14191" s="45">
        <v>46013.875</v>
      </c>
      <c r="M14191" s="46" t="s">
        <v>123</v>
      </c>
      <c r="N14191" s="45">
        <v>46014.25</v>
      </c>
      <c r="O14191" s="46" t="s">
        <v>123</v>
      </c>
      <c r="P14191" s="46">
        <v>32400.0</v>
      </c>
    </row>
    <row r="14192">
      <c r="A14192" s="40">
        <f t="shared" si="1"/>
        <v>46013</v>
      </c>
      <c r="B14192" s="37" t="str">
        <f t="array" ref="B14192">iferror(xlookup($I14192, 'IMPORT VHC Report'!$E:$E, 'IMPORT VHC Report'!$A:$C), )</f>
        <v/>
      </c>
      <c r="C14192" s="44"/>
      <c r="D14192" s="44"/>
      <c r="E14192" s="46" t="s">
        <v>10315</v>
      </c>
      <c r="F14192" s="46" t="s">
        <v>591</v>
      </c>
      <c r="G14192" s="46">
        <v>8.303581036047E12</v>
      </c>
      <c r="H14192" s="46" t="s">
        <v>592</v>
      </c>
      <c r="I14192" s="46" t="s">
        <v>593</v>
      </c>
      <c r="J14192" s="46" t="s">
        <v>134</v>
      </c>
      <c r="K14192" s="46" t="s">
        <v>126</v>
      </c>
      <c r="L14192" s="45">
        <v>46013.989583333336</v>
      </c>
      <c r="M14192" s="46" t="s">
        <v>123</v>
      </c>
      <c r="N14192" s="45">
        <v>46014.010416666664</v>
      </c>
      <c r="O14192" s="46" t="s">
        <v>123</v>
      </c>
      <c r="P14192" s="46">
        <v>1800.0</v>
      </c>
    </row>
    <row r="14193">
      <c r="A14193" s="40">
        <f t="shared" si="1"/>
        <v>46013</v>
      </c>
      <c r="B14193" s="37" t="str">
        <f t="array" ref="B14193">iferror(xlookup($I14193, 'IMPORT VHC Report'!$E:$E, 'IMPORT VHC Report'!$A:$C), )</f>
        <v/>
      </c>
      <c r="C14193" s="44"/>
      <c r="D14193" s="44"/>
      <c r="E14193" s="46" t="s">
        <v>10316</v>
      </c>
      <c r="F14193" s="46" t="s">
        <v>591</v>
      </c>
      <c r="G14193" s="46">
        <v>8.303581036047E12</v>
      </c>
      <c r="H14193" s="46" t="s">
        <v>592</v>
      </c>
      <c r="I14193" s="46" t="s">
        <v>593</v>
      </c>
      <c r="J14193" s="46" t="s">
        <v>132</v>
      </c>
      <c r="K14193" s="46" t="s">
        <v>126</v>
      </c>
      <c r="L14193" s="45">
        <v>46014.125</v>
      </c>
      <c r="M14193" s="46" t="s">
        <v>123</v>
      </c>
      <c r="N14193" s="45">
        <v>46014.166666666664</v>
      </c>
      <c r="O14193" s="46" t="s">
        <v>123</v>
      </c>
      <c r="P14193" s="46">
        <v>3600.0</v>
      </c>
    </row>
    <row r="14194">
      <c r="A14194" s="40">
        <f t="shared" si="1"/>
        <v>46013</v>
      </c>
      <c r="B14194" s="37" t="str">
        <f t="array" ref="B14194">iferror(xlookup($I14194, 'IMPORT VHC Report'!$E:$E, 'IMPORT VHC Report'!$A:$C), )</f>
        <v/>
      </c>
      <c r="C14194" s="44"/>
      <c r="D14194" s="44"/>
      <c r="E14194" s="46" t="s">
        <v>10317</v>
      </c>
      <c r="F14194" s="46" t="s">
        <v>591</v>
      </c>
      <c r="G14194" s="46">
        <v>8.303581036047E12</v>
      </c>
      <c r="H14194" s="46" t="s">
        <v>592</v>
      </c>
      <c r="I14194" s="46" t="s">
        <v>593</v>
      </c>
      <c r="J14194" s="46" t="s">
        <v>125</v>
      </c>
      <c r="K14194" s="46" t="s">
        <v>126</v>
      </c>
      <c r="L14194" s="45">
        <v>46014.875</v>
      </c>
      <c r="M14194" s="46" t="s">
        <v>123</v>
      </c>
      <c r="N14194" s="45">
        <v>46014.885416666664</v>
      </c>
      <c r="O14194" s="46" t="s">
        <v>123</v>
      </c>
      <c r="P14194" s="46">
        <v>900.0</v>
      </c>
      <c r="S14194" s="46" t="s">
        <v>199</v>
      </c>
    </row>
    <row r="14195">
      <c r="A14195" s="40">
        <f t="shared" si="1"/>
        <v>46013</v>
      </c>
      <c r="B14195" s="37" t="str">
        <f t="array" ref="B14195">iferror(xlookup($I14195, 'IMPORT VHC Report'!$E:$E, 'IMPORT VHC Report'!$A:$C), )</f>
        <v/>
      </c>
      <c r="C14195" s="44"/>
      <c r="D14195" s="44"/>
      <c r="E14195" s="46" t="s">
        <v>10318</v>
      </c>
      <c r="F14195" s="46" t="s">
        <v>591</v>
      </c>
      <c r="G14195" s="46">
        <v>8.303581036047E12</v>
      </c>
      <c r="H14195" s="46" t="s">
        <v>592</v>
      </c>
      <c r="I14195" s="46" t="s">
        <v>593</v>
      </c>
      <c r="J14195" s="46" t="s">
        <v>196</v>
      </c>
      <c r="K14195" s="46" t="s">
        <v>63</v>
      </c>
      <c r="L14195" s="45">
        <v>46014.875</v>
      </c>
      <c r="M14195" s="46" t="s">
        <v>123</v>
      </c>
      <c r="N14195" s="45">
        <v>46014.9375</v>
      </c>
      <c r="O14195" s="46" t="s">
        <v>123</v>
      </c>
      <c r="P14195" s="46">
        <v>5400.0</v>
      </c>
    </row>
    <row r="14196">
      <c r="A14196" s="40">
        <f t="shared" si="1"/>
        <v>46013</v>
      </c>
      <c r="B14196" s="37" t="str">
        <f t="array" ref="B14196">iferror(xlookup($I14196, 'IMPORT VHC Report'!$E:$E, 'IMPORT VHC Report'!$A:$C), )</f>
        <v/>
      </c>
      <c r="C14196" s="44"/>
      <c r="D14196" s="44"/>
      <c r="E14196" s="46" t="s">
        <v>10319</v>
      </c>
      <c r="F14196" s="46" t="s">
        <v>591</v>
      </c>
      <c r="G14196" s="46">
        <v>8.303581036047E12</v>
      </c>
      <c r="H14196" s="46" t="s">
        <v>592</v>
      </c>
      <c r="I14196" s="46" t="s">
        <v>593</v>
      </c>
      <c r="J14196" s="46" t="s">
        <v>4</v>
      </c>
      <c r="K14196" s="46" t="s">
        <v>126</v>
      </c>
      <c r="L14196" s="45">
        <v>46014.9375</v>
      </c>
      <c r="M14196" s="46" t="s">
        <v>123</v>
      </c>
      <c r="N14196" s="45">
        <v>46014.958333333336</v>
      </c>
      <c r="O14196" s="46" t="s">
        <v>123</v>
      </c>
      <c r="P14196" s="46">
        <v>1800.0</v>
      </c>
      <c r="S14196" s="46" t="s">
        <v>858</v>
      </c>
    </row>
    <row r="14197">
      <c r="A14197" s="40">
        <f t="shared" si="1"/>
        <v>46013</v>
      </c>
      <c r="B14197" s="37" t="str">
        <f t="array" ref="B14197">iferror(xlookup($I14197, 'IMPORT VHC Report'!$E:$E, 'IMPORT VHC Report'!$A:$C), )</f>
        <v/>
      </c>
      <c r="C14197" s="44"/>
      <c r="D14197" s="44"/>
      <c r="E14197" s="46" t="s">
        <v>10320</v>
      </c>
      <c r="F14197" s="46" t="s">
        <v>591</v>
      </c>
      <c r="G14197" s="46">
        <v>8.303581036047E12</v>
      </c>
      <c r="H14197" s="46" t="s">
        <v>592</v>
      </c>
      <c r="I14197" s="46" t="s">
        <v>593</v>
      </c>
      <c r="J14197" s="46" t="s">
        <v>62</v>
      </c>
      <c r="K14197" s="46" t="s">
        <v>63</v>
      </c>
      <c r="L14197" s="45">
        <v>46014.9375</v>
      </c>
      <c r="M14197" s="46" t="s">
        <v>123</v>
      </c>
      <c r="N14197" s="45">
        <v>46014.958333333336</v>
      </c>
      <c r="O14197" s="46" t="s">
        <v>123</v>
      </c>
      <c r="P14197" s="46">
        <v>1800.0</v>
      </c>
    </row>
    <row r="14198">
      <c r="A14198" s="40">
        <f t="shared" si="1"/>
        <v>46013</v>
      </c>
      <c r="B14198" s="37" t="str">
        <f t="array" ref="B14198">iferror(xlookup($I14198, 'IMPORT VHC Report'!$E:$E, 'IMPORT VHC Report'!$A:$C), )</f>
        <v/>
      </c>
      <c r="C14198" s="44"/>
      <c r="D14198" s="44"/>
      <c r="E14198" s="46" t="s">
        <v>10321</v>
      </c>
      <c r="F14198" s="46" t="s">
        <v>591</v>
      </c>
      <c r="G14198" s="46">
        <v>8.303581036047E12</v>
      </c>
      <c r="H14198" s="46" t="s">
        <v>592</v>
      </c>
      <c r="I14198" s="46" t="s">
        <v>593</v>
      </c>
      <c r="J14198" s="46" t="s">
        <v>136</v>
      </c>
      <c r="K14198" s="46" t="s">
        <v>126</v>
      </c>
      <c r="L14198" s="45">
        <v>46014.958333333336</v>
      </c>
      <c r="M14198" s="46" t="s">
        <v>123</v>
      </c>
      <c r="N14198" s="45">
        <v>46014.979166666664</v>
      </c>
      <c r="O14198" s="46" t="s">
        <v>123</v>
      </c>
      <c r="P14198" s="46">
        <v>1800.0</v>
      </c>
      <c r="S14198" s="46" t="s">
        <v>137</v>
      </c>
    </row>
    <row r="14199">
      <c r="A14199" s="40">
        <f t="shared" si="1"/>
        <v>46013</v>
      </c>
      <c r="B14199" s="37" t="str">
        <f t="array" ref="B14199">iferror(xlookup($I14199, 'IMPORT VHC Report'!$E:$E, 'IMPORT VHC Report'!$A:$C), )</f>
        <v/>
      </c>
      <c r="C14199" s="44"/>
      <c r="D14199" s="44"/>
      <c r="E14199" s="46" t="s">
        <v>10322</v>
      </c>
      <c r="F14199" s="46" t="s">
        <v>591</v>
      </c>
      <c r="G14199" s="46">
        <v>8.303581036047E12</v>
      </c>
      <c r="H14199" s="46" t="s">
        <v>592</v>
      </c>
      <c r="I14199" s="46" t="s">
        <v>593</v>
      </c>
      <c r="J14199" s="46" t="s">
        <v>196</v>
      </c>
      <c r="K14199" s="46" t="s">
        <v>63</v>
      </c>
      <c r="L14199" s="45">
        <v>46014.958333333336</v>
      </c>
      <c r="M14199" s="46" t="s">
        <v>123</v>
      </c>
      <c r="N14199" s="45">
        <v>46015.25</v>
      </c>
      <c r="O14199" s="46" t="s">
        <v>123</v>
      </c>
      <c r="P14199" s="46">
        <v>25200.0</v>
      </c>
    </row>
    <row r="14200">
      <c r="A14200" s="40">
        <f t="shared" si="1"/>
        <v>46013</v>
      </c>
      <c r="B14200" s="37" t="str">
        <f t="array" ref="B14200">iferror(xlookup($I14200, 'IMPORT VHC Report'!$E:$E, 'IMPORT VHC Report'!$A:$C), )</f>
        <v/>
      </c>
      <c r="C14200" s="44"/>
      <c r="D14200" s="44"/>
      <c r="E14200" s="46" t="s">
        <v>10323</v>
      </c>
      <c r="F14200" s="46" t="s">
        <v>591</v>
      </c>
      <c r="G14200" s="46">
        <v>8.303581036047E12</v>
      </c>
      <c r="H14200" s="46" t="s">
        <v>592</v>
      </c>
      <c r="I14200" s="46" t="s">
        <v>593</v>
      </c>
      <c r="J14200" s="46" t="s">
        <v>132</v>
      </c>
      <c r="K14200" s="46" t="s">
        <v>126</v>
      </c>
      <c r="L14200" s="45">
        <v>46015.010416666664</v>
      </c>
      <c r="M14200" s="46" t="s">
        <v>123</v>
      </c>
      <c r="N14200" s="45">
        <v>46015.052083333336</v>
      </c>
      <c r="O14200" s="46" t="s">
        <v>123</v>
      </c>
      <c r="P14200" s="46">
        <v>3600.0</v>
      </c>
    </row>
    <row r="14201">
      <c r="A14201" s="40">
        <f t="shared" si="1"/>
        <v>46013</v>
      </c>
      <c r="B14201" s="37" t="str">
        <f t="array" ref="B14201">iferror(xlookup($I14201, 'IMPORT VHC Report'!$E:$E, 'IMPORT VHC Report'!$A:$C), )</f>
        <v/>
      </c>
      <c r="C14201" s="44"/>
      <c r="D14201" s="44"/>
      <c r="E14201" s="46" t="s">
        <v>10324</v>
      </c>
      <c r="F14201" s="46" t="s">
        <v>591</v>
      </c>
      <c r="G14201" s="46">
        <v>8.303581036047E12</v>
      </c>
      <c r="H14201" s="46" t="s">
        <v>592</v>
      </c>
      <c r="I14201" s="46" t="s">
        <v>593</v>
      </c>
      <c r="J14201" s="46" t="s">
        <v>134</v>
      </c>
      <c r="K14201" s="46" t="s">
        <v>126</v>
      </c>
      <c r="L14201" s="45">
        <v>46015.15625</v>
      </c>
      <c r="M14201" s="46" t="s">
        <v>123</v>
      </c>
      <c r="N14201" s="45">
        <v>46015.177083333336</v>
      </c>
      <c r="O14201" s="46" t="s">
        <v>123</v>
      </c>
      <c r="P14201" s="46">
        <v>1800.0</v>
      </c>
    </row>
    <row r="14202">
      <c r="A14202" s="40">
        <f t="shared" si="1"/>
        <v>46013</v>
      </c>
      <c r="B14202" s="37" t="str">
        <f t="array" ref="B14202">iferror(xlookup($I14202, 'IMPORT VHC Report'!$E:$E, 'IMPORT VHC Report'!$A:$C), )</f>
        <v/>
      </c>
      <c r="C14202" s="44"/>
      <c r="D14202" s="44"/>
      <c r="E14202" s="46" t="s">
        <v>10325</v>
      </c>
      <c r="F14202" s="46" t="s">
        <v>591</v>
      </c>
      <c r="G14202" s="46">
        <v>8.303581036047E12</v>
      </c>
      <c r="H14202" s="46" t="s">
        <v>592</v>
      </c>
      <c r="I14202" s="46" t="s">
        <v>593</v>
      </c>
      <c r="J14202" s="46" t="s">
        <v>125</v>
      </c>
      <c r="K14202" s="46" t="s">
        <v>126</v>
      </c>
      <c r="L14202" s="45">
        <v>46017.875</v>
      </c>
      <c r="M14202" s="46" t="s">
        <v>123</v>
      </c>
      <c r="N14202" s="45">
        <v>46017.885416666664</v>
      </c>
      <c r="O14202" s="46" t="s">
        <v>123</v>
      </c>
      <c r="P14202" s="46">
        <v>900.0</v>
      </c>
      <c r="S14202" s="46" t="s">
        <v>199</v>
      </c>
    </row>
    <row r="14203">
      <c r="A14203" s="40">
        <f t="shared" si="1"/>
        <v>46013</v>
      </c>
      <c r="B14203" s="37" t="str">
        <f t="array" ref="B14203">iferror(xlookup($I14203, 'IMPORT VHC Report'!$E:$E, 'IMPORT VHC Report'!$A:$C), )</f>
        <v/>
      </c>
      <c r="C14203" s="44"/>
      <c r="D14203" s="44"/>
      <c r="E14203" s="46" t="s">
        <v>10326</v>
      </c>
      <c r="F14203" s="46" t="s">
        <v>591</v>
      </c>
      <c r="G14203" s="46">
        <v>8.303581036047E12</v>
      </c>
      <c r="H14203" s="46" t="s">
        <v>592</v>
      </c>
      <c r="I14203" s="46" t="s">
        <v>593</v>
      </c>
      <c r="J14203" s="46" t="s">
        <v>196</v>
      </c>
      <c r="K14203" s="46" t="s">
        <v>63</v>
      </c>
      <c r="L14203" s="45">
        <v>46017.875</v>
      </c>
      <c r="M14203" s="46" t="s">
        <v>123</v>
      </c>
      <c r="N14203" s="45">
        <v>46018.25</v>
      </c>
      <c r="O14203" s="46" t="s">
        <v>123</v>
      </c>
      <c r="P14203" s="46">
        <v>32400.0</v>
      </c>
    </row>
    <row r="14204">
      <c r="A14204" s="40">
        <f t="shared" si="1"/>
        <v>46013</v>
      </c>
      <c r="B14204" s="37" t="str">
        <f t="array" ref="B14204">iferror(xlookup($I14204, 'IMPORT VHC Report'!$E:$E, 'IMPORT VHC Report'!$A:$C), )</f>
        <v/>
      </c>
      <c r="C14204" s="44"/>
      <c r="D14204" s="44"/>
      <c r="E14204" s="46" t="s">
        <v>10327</v>
      </c>
      <c r="F14204" s="46" t="s">
        <v>591</v>
      </c>
      <c r="G14204" s="46">
        <v>8.303581036047E12</v>
      </c>
      <c r="H14204" s="46" t="s">
        <v>592</v>
      </c>
      <c r="I14204" s="46" t="s">
        <v>593</v>
      </c>
      <c r="J14204" s="46" t="s">
        <v>134</v>
      </c>
      <c r="K14204" s="46" t="s">
        <v>126</v>
      </c>
      <c r="L14204" s="45">
        <v>46017.979166666664</v>
      </c>
      <c r="M14204" s="46" t="s">
        <v>123</v>
      </c>
      <c r="N14204" s="45">
        <v>46018.0</v>
      </c>
      <c r="O14204" s="46" t="s">
        <v>123</v>
      </c>
      <c r="P14204" s="46">
        <v>1800.0</v>
      </c>
    </row>
    <row r="14205">
      <c r="A14205" s="40">
        <f t="shared" si="1"/>
        <v>46013</v>
      </c>
      <c r="B14205" s="37" t="str">
        <f t="array" ref="B14205">iferror(xlookup($I14205, 'IMPORT VHC Report'!$E:$E, 'IMPORT VHC Report'!$A:$C), )</f>
        <v/>
      </c>
      <c r="C14205" s="44"/>
      <c r="D14205" s="44"/>
      <c r="E14205" s="46" t="s">
        <v>10328</v>
      </c>
      <c r="F14205" s="46" t="s">
        <v>591</v>
      </c>
      <c r="G14205" s="46">
        <v>8.303581036047E12</v>
      </c>
      <c r="H14205" s="46" t="s">
        <v>592</v>
      </c>
      <c r="I14205" s="46" t="s">
        <v>593</v>
      </c>
      <c r="J14205" s="46" t="s">
        <v>132</v>
      </c>
      <c r="K14205" s="46" t="s">
        <v>126</v>
      </c>
      <c r="L14205" s="45">
        <v>46018.125</v>
      </c>
      <c r="M14205" s="46" t="s">
        <v>123</v>
      </c>
      <c r="N14205" s="45">
        <v>46018.166666666664</v>
      </c>
      <c r="O14205" s="46" t="s">
        <v>123</v>
      </c>
      <c r="P14205" s="46">
        <v>3600.0</v>
      </c>
    </row>
    <row r="14206">
      <c r="A14206" s="40">
        <f t="shared" si="1"/>
        <v>46013</v>
      </c>
      <c r="B14206" s="37" t="str">
        <f t="array" ref="B14206">iferror(xlookup($I14206, 'IMPORT VHC Report'!$E:$E, 'IMPORT VHC Report'!$A:$C), )</f>
        <v/>
      </c>
      <c r="C14206" s="44"/>
      <c r="D14206" s="44"/>
      <c r="E14206" s="46" t="s">
        <v>10329</v>
      </c>
      <c r="F14206" s="46" t="s">
        <v>591</v>
      </c>
      <c r="G14206" s="46">
        <v>8.303581036047E12</v>
      </c>
      <c r="H14206" s="46" t="s">
        <v>592</v>
      </c>
      <c r="I14206" s="46" t="s">
        <v>593</v>
      </c>
      <c r="J14206" s="46" t="s">
        <v>125</v>
      </c>
      <c r="K14206" s="46" t="s">
        <v>126</v>
      </c>
      <c r="L14206" s="45">
        <v>46018.875</v>
      </c>
      <c r="M14206" s="46" t="s">
        <v>123</v>
      </c>
      <c r="N14206" s="45">
        <v>46018.885416666664</v>
      </c>
      <c r="O14206" s="46" t="s">
        <v>123</v>
      </c>
      <c r="P14206" s="46">
        <v>900.0</v>
      </c>
      <c r="S14206" s="46" t="s">
        <v>199</v>
      </c>
    </row>
    <row r="14207">
      <c r="A14207" s="40">
        <f t="shared" si="1"/>
        <v>46013</v>
      </c>
      <c r="B14207" s="37" t="str">
        <f t="array" ref="B14207">iferror(xlookup($I14207, 'IMPORT VHC Report'!$E:$E, 'IMPORT VHC Report'!$A:$C), )</f>
        <v/>
      </c>
      <c r="C14207" s="44"/>
      <c r="D14207" s="44"/>
      <c r="E14207" s="46" t="s">
        <v>10330</v>
      </c>
      <c r="F14207" s="46" t="s">
        <v>591</v>
      </c>
      <c r="G14207" s="46">
        <v>8.303581036047E12</v>
      </c>
      <c r="H14207" s="46" t="s">
        <v>592</v>
      </c>
      <c r="I14207" s="46" t="s">
        <v>593</v>
      </c>
      <c r="J14207" s="46" t="s">
        <v>196</v>
      </c>
      <c r="K14207" s="46" t="s">
        <v>63</v>
      </c>
      <c r="L14207" s="45">
        <v>46018.875</v>
      </c>
      <c r="M14207" s="46" t="s">
        <v>123</v>
      </c>
      <c r="N14207" s="45">
        <v>46018.90625</v>
      </c>
      <c r="O14207" s="46" t="s">
        <v>123</v>
      </c>
      <c r="P14207" s="46">
        <v>2700.0</v>
      </c>
    </row>
    <row r="14208">
      <c r="A14208" s="40">
        <f t="shared" si="1"/>
        <v>46013</v>
      </c>
      <c r="B14208" s="37" t="str">
        <f t="array" ref="B14208">iferror(xlookup($I14208, 'IMPORT VHC Report'!$E:$E, 'IMPORT VHC Report'!$A:$C), )</f>
        <v/>
      </c>
      <c r="C14208" s="44"/>
      <c r="D14208" s="44"/>
      <c r="E14208" s="46" t="s">
        <v>10331</v>
      </c>
      <c r="F14208" s="46" t="s">
        <v>591</v>
      </c>
      <c r="G14208" s="46">
        <v>8.303581036047E12</v>
      </c>
      <c r="H14208" s="46" t="s">
        <v>592</v>
      </c>
      <c r="I14208" s="46" t="s">
        <v>593</v>
      </c>
      <c r="J14208" s="46" t="s">
        <v>62</v>
      </c>
      <c r="K14208" s="46" t="s">
        <v>63</v>
      </c>
      <c r="L14208" s="45">
        <v>46018.90625</v>
      </c>
      <c r="M14208" s="46" t="s">
        <v>123</v>
      </c>
      <c r="N14208" s="45">
        <v>46018.927083333336</v>
      </c>
      <c r="O14208" s="46" t="s">
        <v>123</v>
      </c>
      <c r="P14208" s="46">
        <v>1800.0</v>
      </c>
    </row>
    <row r="14209">
      <c r="A14209" s="40">
        <f t="shared" si="1"/>
        <v>46013</v>
      </c>
      <c r="B14209" s="37" t="str">
        <f t="array" ref="B14209">iferror(xlookup($I14209, 'IMPORT VHC Report'!$E:$E, 'IMPORT VHC Report'!$A:$C), )</f>
        <v/>
      </c>
      <c r="C14209" s="44"/>
      <c r="D14209" s="44"/>
      <c r="E14209" s="46" t="s">
        <v>10332</v>
      </c>
      <c r="F14209" s="46" t="s">
        <v>591</v>
      </c>
      <c r="G14209" s="46">
        <v>8.303581036047E12</v>
      </c>
      <c r="H14209" s="46" t="s">
        <v>592</v>
      </c>
      <c r="I14209" s="46" t="s">
        <v>593</v>
      </c>
      <c r="J14209" s="46" t="s">
        <v>196</v>
      </c>
      <c r="K14209" s="46" t="s">
        <v>63</v>
      </c>
      <c r="L14209" s="45">
        <v>46018.927083333336</v>
      </c>
      <c r="M14209" s="46" t="s">
        <v>123</v>
      </c>
      <c r="N14209" s="45">
        <v>46019.25</v>
      </c>
      <c r="O14209" s="46" t="s">
        <v>123</v>
      </c>
      <c r="P14209" s="46">
        <v>27900.0</v>
      </c>
    </row>
    <row r="14210">
      <c r="A14210" s="40">
        <f t="shared" si="1"/>
        <v>46013</v>
      </c>
      <c r="B14210" s="37" t="str">
        <f t="array" ref="B14210">iferror(xlookup($I14210, 'IMPORT VHC Report'!$E:$E, 'IMPORT VHC Report'!$A:$C), )</f>
        <v/>
      </c>
      <c r="C14210" s="44"/>
      <c r="D14210" s="44"/>
      <c r="E14210" s="46" t="s">
        <v>10333</v>
      </c>
      <c r="F14210" s="46" t="s">
        <v>591</v>
      </c>
      <c r="G14210" s="46">
        <v>8.303581036047E12</v>
      </c>
      <c r="H14210" s="46" t="s">
        <v>592</v>
      </c>
      <c r="I14210" s="46" t="s">
        <v>593</v>
      </c>
      <c r="J14210" s="46" t="s">
        <v>134</v>
      </c>
      <c r="K14210" s="46" t="s">
        <v>126</v>
      </c>
      <c r="L14210" s="45">
        <v>46018.989583333336</v>
      </c>
      <c r="M14210" s="46" t="s">
        <v>123</v>
      </c>
      <c r="N14210" s="45">
        <v>46019.010416666664</v>
      </c>
      <c r="O14210" s="46" t="s">
        <v>123</v>
      </c>
      <c r="P14210" s="46">
        <v>1800.0</v>
      </c>
    </row>
    <row r="14211">
      <c r="A14211" s="40">
        <f t="shared" si="1"/>
        <v>46013</v>
      </c>
      <c r="B14211" s="37" t="str">
        <f t="array" ref="B14211">iferror(xlookup($I14211, 'IMPORT VHC Report'!$E:$E, 'IMPORT VHC Report'!$A:$C), )</f>
        <v/>
      </c>
      <c r="C14211" s="44"/>
      <c r="D14211" s="44"/>
      <c r="E14211" s="46" t="s">
        <v>10334</v>
      </c>
      <c r="F14211" s="46" t="s">
        <v>591</v>
      </c>
      <c r="G14211" s="46">
        <v>8.303581036047E12</v>
      </c>
      <c r="H14211" s="46" t="s">
        <v>592</v>
      </c>
      <c r="I14211" s="46" t="s">
        <v>593</v>
      </c>
      <c r="J14211" s="46" t="s">
        <v>132</v>
      </c>
      <c r="K14211" s="46" t="s">
        <v>126</v>
      </c>
      <c r="L14211" s="45">
        <v>46019.135416666664</v>
      </c>
      <c r="M14211" s="46" t="s">
        <v>123</v>
      </c>
      <c r="N14211" s="45">
        <v>46019.177083333336</v>
      </c>
      <c r="O14211" s="46" t="s">
        <v>123</v>
      </c>
      <c r="P14211" s="46">
        <v>3600.0</v>
      </c>
    </row>
    <row r="14212">
      <c r="A14212" s="40">
        <f t="shared" si="1"/>
        <v>46013</v>
      </c>
      <c r="B14212" s="37" t="str">
        <f t="array" ref="B14212">iferror(xlookup($I14212, 'IMPORT VHC Report'!$E:$E, 'IMPORT VHC Report'!$A:$C), )</f>
        <v/>
      </c>
      <c r="C14212" s="44"/>
      <c r="D14212" s="44"/>
      <c r="E14212" s="46" t="s">
        <v>10335</v>
      </c>
      <c r="F14212" s="46" t="s">
        <v>591</v>
      </c>
      <c r="G14212" s="46">
        <v>8.303581036047E12</v>
      </c>
      <c r="H14212" s="46" t="s">
        <v>592</v>
      </c>
      <c r="I14212" s="46" t="s">
        <v>593</v>
      </c>
      <c r="J14212" s="46" t="s">
        <v>125</v>
      </c>
      <c r="K14212" s="46" t="s">
        <v>126</v>
      </c>
      <c r="L14212" s="45">
        <v>46019.875</v>
      </c>
      <c r="M14212" s="46" t="s">
        <v>123</v>
      </c>
      <c r="N14212" s="45">
        <v>46019.885416666664</v>
      </c>
      <c r="O14212" s="46" t="s">
        <v>123</v>
      </c>
      <c r="P14212" s="46">
        <v>900.0</v>
      </c>
      <c r="S14212" s="46" t="s">
        <v>199</v>
      </c>
    </row>
    <row r="14213">
      <c r="A14213" s="40">
        <f t="shared" si="1"/>
        <v>46013</v>
      </c>
      <c r="B14213" s="37" t="str">
        <f t="array" ref="B14213">iferror(xlookup($I14213, 'IMPORT VHC Report'!$E:$E, 'IMPORT VHC Report'!$A:$C), )</f>
        <v/>
      </c>
      <c r="C14213" s="44"/>
      <c r="D14213" s="44"/>
      <c r="E14213" s="46" t="s">
        <v>10336</v>
      </c>
      <c r="F14213" s="46" t="s">
        <v>591</v>
      </c>
      <c r="G14213" s="46">
        <v>8.303581036047E12</v>
      </c>
      <c r="H14213" s="46" t="s">
        <v>592</v>
      </c>
      <c r="I14213" s="46" t="s">
        <v>593</v>
      </c>
      <c r="J14213" s="46" t="s">
        <v>196</v>
      </c>
      <c r="K14213" s="46" t="s">
        <v>63</v>
      </c>
      <c r="L14213" s="45">
        <v>46019.875</v>
      </c>
      <c r="M14213" s="46" t="s">
        <v>123</v>
      </c>
      <c r="N14213" s="45">
        <v>46020.0</v>
      </c>
      <c r="O14213" s="46" t="s">
        <v>123</v>
      </c>
      <c r="P14213" s="46">
        <v>10800.0</v>
      </c>
    </row>
    <row r="14214">
      <c r="A14214" s="40">
        <f t="shared" si="1"/>
        <v>46013</v>
      </c>
      <c r="B14214" s="37" t="str">
        <f t="array" ref="B14214">iferror(xlookup($I14214, 'IMPORT VHC Report'!$E:$E, 'IMPORT VHC Report'!$A:$C), )</f>
        <v/>
      </c>
      <c r="C14214" s="44"/>
      <c r="D14214" s="44"/>
      <c r="E14214" s="46" t="s">
        <v>10337</v>
      </c>
      <c r="F14214" s="46" t="s">
        <v>591</v>
      </c>
      <c r="G14214" s="46">
        <v>8.303581036047E12</v>
      </c>
      <c r="H14214" s="46" t="s">
        <v>592</v>
      </c>
      <c r="I14214" s="46" t="s">
        <v>593</v>
      </c>
      <c r="J14214" s="46" t="s">
        <v>134</v>
      </c>
      <c r="K14214" s="46" t="s">
        <v>126</v>
      </c>
      <c r="L14214" s="45">
        <v>46019.989583333336</v>
      </c>
      <c r="M14214" s="46" t="s">
        <v>123</v>
      </c>
      <c r="N14214" s="45">
        <v>46020.0</v>
      </c>
      <c r="O14214" s="46" t="s">
        <v>123</v>
      </c>
      <c r="P14214" s="46">
        <v>900.0</v>
      </c>
    </row>
    <row r="14215">
      <c r="A14215" s="40">
        <f t="shared" si="1"/>
        <v>46013</v>
      </c>
      <c r="B14215" s="37" t="str">
        <f t="array" ref="B14215">iferror(xlookup($I14215, 'IMPORT VHC Report'!$E:$E, 'IMPORT VHC Report'!$A:$C), )</f>
        <v/>
      </c>
      <c r="C14215" s="44"/>
      <c r="D14215" s="44"/>
      <c r="E14215" s="46" t="s">
        <v>10338</v>
      </c>
      <c r="F14215" s="46" t="s">
        <v>1557</v>
      </c>
      <c r="H14215" s="46" t="s">
        <v>1558</v>
      </c>
      <c r="I14215" s="46" t="s">
        <v>1559</v>
      </c>
      <c r="J14215" s="46" t="s">
        <v>196</v>
      </c>
      <c r="K14215" s="46" t="s">
        <v>63</v>
      </c>
      <c r="L14215" s="45">
        <v>46013.0</v>
      </c>
      <c r="M14215" s="46" t="s">
        <v>123</v>
      </c>
      <c r="N14215" s="45">
        <v>46013.291666666664</v>
      </c>
      <c r="O14215" s="46" t="s">
        <v>123</v>
      </c>
      <c r="P14215" s="46">
        <v>25200.0</v>
      </c>
    </row>
    <row r="14216">
      <c r="A14216" s="40">
        <f t="shared" si="1"/>
        <v>46013</v>
      </c>
      <c r="B14216" s="37" t="str">
        <f t="array" ref="B14216">iferror(xlookup($I14216, 'IMPORT VHC Report'!$E:$E, 'IMPORT VHC Report'!$A:$C), )</f>
        <v/>
      </c>
      <c r="C14216" s="44"/>
      <c r="D14216" s="44"/>
      <c r="E14216" s="46" t="s">
        <v>10339</v>
      </c>
      <c r="F14216" s="46" t="s">
        <v>1557</v>
      </c>
      <c r="H14216" s="46" t="s">
        <v>1558</v>
      </c>
      <c r="I14216" s="46" t="s">
        <v>1559</v>
      </c>
      <c r="J14216" s="46" t="s">
        <v>134</v>
      </c>
      <c r="K14216" s="46" t="s">
        <v>126</v>
      </c>
      <c r="L14216" s="45">
        <v>46013.010416666664</v>
      </c>
      <c r="M14216" s="46" t="s">
        <v>123</v>
      </c>
      <c r="N14216" s="45">
        <v>46013.03125</v>
      </c>
      <c r="O14216" s="46" t="s">
        <v>123</v>
      </c>
      <c r="P14216" s="46">
        <v>1800.0</v>
      </c>
    </row>
    <row r="14217">
      <c r="A14217" s="40">
        <f t="shared" si="1"/>
        <v>46013</v>
      </c>
      <c r="B14217" s="37" t="str">
        <f t="array" ref="B14217">iferror(xlookup($I14217, 'IMPORT VHC Report'!$E:$E, 'IMPORT VHC Report'!$A:$C), )</f>
        <v/>
      </c>
      <c r="C14217" s="44"/>
      <c r="D14217" s="44"/>
      <c r="E14217" s="46" t="s">
        <v>10340</v>
      </c>
      <c r="F14217" s="46" t="s">
        <v>1557</v>
      </c>
      <c r="H14217" s="46" t="s">
        <v>1558</v>
      </c>
      <c r="I14217" s="46" t="s">
        <v>1559</v>
      </c>
      <c r="J14217" s="46" t="s">
        <v>132</v>
      </c>
      <c r="K14217" s="46" t="s">
        <v>126</v>
      </c>
      <c r="L14217" s="45">
        <v>46013.135416666664</v>
      </c>
      <c r="M14217" s="46" t="s">
        <v>123</v>
      </c>
      <c r="N14217" s="45">
        <v>46013.177083333336</v>
      </c>
      <c r="O14217" s="46" t="s">
        <v>123</v>
      </c>
      <c r="P14217" s="46">
        <v>3600.0</v>
      </c>
    </row>
    <row r="14218">
      <c r="A14218" s="40">
        <f t="shared" si="1"/>
        <v>46013</v>
      </c>
      <c r="B14218" s="37" t="str">
        <f t="array" ref="B14218">iferror(xlookup($I14218, 'IMPORT VHC Report'!$E:$E, 'IMPORT VHC Report'!$A:$C), )</f>
        <v/>
      </c>
      <c r="C14218" s="44"/>
      <c r="D14218" s="44"/>
      <c r="E14218" s="46" t="s">
        <v>10341</v>
      </c>
      <c r="F14218" s="46" t="s">
        <v>1557</v>
      </c>
      <c r="H14218" s="46" t="s">
        <v>1558</v>
      </c>
      <c r="I14218" s="46" t="s">
        <v>1559</v>
      </c>
      <c r="J14218" s="46" t="s">
        <v>125</v>
      </c>
      <c r="K14218" s="46" t="s">
        <v>126</v>
      </c>
      <c r="L14218" s="45">
        <v>46013.916666666664</v>
      </c>
      <c r="M14218" s="46" t="s">
        <v>123</v>
      </c>
      <c r="N14218" s="45">
        <v>46013.927083333336</v>
      </c>
      <c r="O14218" s="46" t="s">
        <v>123</v>
      </c>
      <c r="P14218" s="46">
        <v>900.0</v>
      </c>
      <c r="S14218" s="46" t="s">
        <v>199</v>
      </c>
    </row>
    <row r="14219">
      <c r="A14219" s="40">
        <f t="shared" si="1"/>
        <v>46013</v>
      </c>
      <c r="B14219" s="37" t="str">
        <f t="array" ref="B14219">iferror(xlookup($I14219, 'IMPORT VHC Report'!$E:$E, 'IMPORT VHC Report'!$A:$C), )</f>
        <v/>
      </c>
      <c r="C14219" s="44"/>
      <c r="D14219" s="44"/>
      <c r="E14219" s="46" t="s">
        <v>10342</v>
      </c>
      <c r="F14219" s="46" t="s">
        <v>1557</v>
      </c>
      <c r="H14219" s="46" t="s">
        <v>1558</v>
      </c>
      <c r="I14219" s="46" t="s">
        <v>1559</v>
      </c>
      <c r="J14219" s="46" t="s">
        <v>196</v>
      </c>
      <c r="K14219" s="46" t="s">
        <v>63</v>
      </c>
      <c r="L14219" s="45">
        <v>46013.916666666664</v>
      </c>
      <c r="M14219" s="46" t="s">
        <v>123</v>
      </c>
      <c r="N14219" s="45">
        <v>46014.291666666664</v>
      </c>
      <c r="O14219" s="46" t="s">
        <v>123</v>
      </c>
      <c r="P14219" s="46">
        <v>32400.0</v>
      </c>
    </row>
    <row r="14220">
      <c r="A14220" s="40">
        <f t="shared" si="1"/>
        <v>46013</v>
      </c>
      <c r="B14220" s="37" t="str">
        <f t="array" ref="B14220">iferror(xlookup($I14220, 'IMPORT VHC Report'!$E:$E, 'IMPORT VHC Report'!$A:$C), )</f>
        <v/>
      </c>
      <c r="C14220" s="44"/>
      <c r="D14220" s="44"/>
      <c r="E14220" s="46" t="s">
        <v>10343</v>
      </c>
      <c r="F14220" s="46" t="s">
        <v>1557</v>
      </c>
      <c r="H14220" s="46" t="s">
        <v>1558</v>
      </c>
      <c r="I14220" s="46" t="s">
        <v>1559</v>
      </c>
      <c r="J14220" s="46" t="s">
        <v>132</v>
      </c>
      <c r="K14220" s="46" t="s">
        <v>126</v>
      </c>
      <c r="L14220" s="45">
        <v>46014.0625</v>
      </c>
      <c r="M14220" s="46" t="s">
        <v>123</v>
      </c>
      <c r="N14220" s="45">
        <v>46014.104166666664</v>
      </c>
      <c r="O14220" s="46" t="s">
        <v>123</v>
      </c>
      <c r="P14220" s="46">
        <v>3600.0</v>
      </c>
    </row>
    <row r="14221">
      <c r="A14221" s="40">
        <f t="shared" si="1"/>
        <v>46013</v>
      </c>
      <c r="B14221" s="37" t="str">
        <f t="array" ref="B14221">iferror(xlookup($I14221, 'IMPORT VHC Report'!$E:$E, 'IMPORT VHC Report'!$A:$C), )</f>
        <v/>
      </c>
      <c r="C14221" s="44"/>
      <c r="D14221" s="44"/>
      <c r="E14221" s="46" t="s">
        <v>10344</v>
      </c>
      <c r="F14221" s="46" t="s">
        <v>1557</v>
      </c>
      <c r="H14221" s="46" t="s">
        <v>1558</v>
      </c>
      <c r="I14221" s="46" t="s">
        <v>1559</v>
      </c>
      <c r="J14221" s="46" t="s">
        <v>134</v>
      </c>
      <c r="K14221" s="46" t="s">
        <v>126</v>
      </c>
      <c r="L14221" s="45">
        <v>46014.208333333336</v>
      </c>
      <c r="M14221" s="46" t="s">
        <v>123</v>
      </c>
      <c r="N14221" s="45">
        <v>46014.229166666664</v>
      </c>
      <c r="O14221" s="46" t="s">
        <v>123</v>
      </c>
      <c r="P14221" s="46">
        <v>1800.0</v>
      </c>
    </row>
    <row r="14222">
      <c r="A14222" s="40">
        <f t="shared" si="1"/>
        <v>46013</v>
      </c>
      <c r="B14222" s="37" t="str">
        <f t="array" ref="B14222">iferror(xlookup($I14222, 'IMPORT VHC Report'!$E:$E, 'IMPORT VHC Report'!$A:$C), )</f>
        <v/>
      </c>
      <c r="C14222" s="44"/>
      <c r="D14222" s="44"/>
      <c r="E14222" s="46" t="s">
        <v>10345</v>
      </c>
      <c r="F14222" s="46" t="s">
        <v>1557</v>
      </c>
      <c r="H14222" s="46" t="s">
        <v>1558</v>
      </c>
      <c r="I14222" s="46" t="s">
        <v>1559</v>
      </c>
      <c r="J14222" s="46" t="s">
        <v>125</v>
      </c>
      <c r="K14222" s="46" t="s">
        <v>126</v>
      </c>
      <c r="L14222" s="45">
        <v>46014.916666666664</v>
      </c>
      <c r="M14222" s="46" t="s">
        <v>123</v>
      </c>
      <c r="N14222" s="45">
        <v>46014.927083333336</v>
      </c>
      <c r="O14222" s="46" t="s">
        <v>123</v>
      </c>
      <c r="P14222" s="46">
        <v>900.0</v>
      </c>
      <c r="S14222" s="46" t="s">
        <v>199</v>
      </c>
    </row>
    <row r="14223">
      <c r="A14223" s="40">
        <f t="shared" si="1"/>
        <v>46013</v>
      </c>
      <c r="B14223" s="37" t="str">
        <f t="array" ref="B14223">iferror(xlookup($I14223, 'IMPORT VHC Report'!$E:$E, 'IMPORT VHC Report'!$A:$C), )</f>
        <v/>
      </c>
      <c r="C14223" s="44"/>
      <c r="D14223" s="44"/>
      <c r="E14223" s="46" t="s">
        <v>10346</v>
      </c>
      <c r="F14223" s="46" t="s">
        <v>1557</v>
      </c>
      <c r="H14223" s="46" t="s">
        <v>1558</v>
      </c>
      <c r="I14223" s="46" t="s">
        <v>1559</v>
      </c>
      <c r="J14223" s="46" t="s">
        <v>196</v>
      </c>
      <c r="K14223" s="46" t="s">
        <v>63</v>
      </c>
      <c r="L14223" s="45">
        <v>46014.916666666664</v>
      </c>
      <c r="M14223" s="46" t="s">
        <v>123</v>
      </c>
      <c r="N14223" s="45">
        <v>46014.979166666664</v>
      </c>
      <c r="O14223" s="46" t="s">
        <v>123</v>
      </c>
      <c r="P14223" s="46">
        <v>5400.0</v>
      </c>
    </row>
    <row r="14224">
      <c r="A14224" s="40">
        <f t="shared" si="1"/>
        <v>46013</v>
      </c>
      <c r="B14224" s="37" t="str">
        <f t="array" ref="B14224">iferror(xlookup($I14224, 'IMPORT VHC Report'!$E:$E, 'IMPORT VHC Report'!$A:$C), )</f>
        <v/>
      </c>
      <c r="C14224" s="44"/>
      <c r="D14224" s="44"/>
      <c r="E14224" s="46" t="s">
        <v>10347</v>
      </c>
      <c r="F14224" s="46" t="s">
        <v>1557</v>
      </c>
      <c r="H14224" s="46" t="s">
        <v>1558</v>
      </c>
      <c r="I14224" s="46" t="s">
        <v>1559</v>
      </c>
      <c r="J14224" s="46" t="s">
        <v>136</v>
      </c>
      <c r="K14224" s="46" t="s">
        <v>126</v>
      </c>
      <c r="L14224" s="45">
        <v>46014.958333333336</v>
      </c>
      <c r="M14224" s="46" t="s">
        <v>123</v>
      </c>
      <c r="N14224" s="45">
        <v>46014.979166666664</v>
      </c>
      <c r="O14224" s="46" t="s">
        <v>123</v>
      </c>
      <c r="P14224" s="46">
        <v>1800.0</v>
      </c>
      <c r="S14224" s="46" t="s">
        <v>137</v>
      </c>
    </row>
    <row r="14225">
      <c r="A14225" s="40">
        <f t="shared" si="1"/>
        <v>46013</v>
      </c>
      <c r="B14225" s="37" t="str">
        <f t="array" ref="B14225">iferror(xlookup($I14225, 'IMPORT VHC Report'!$E:$E, 'IMPORT VHC Report'!$A:$C), )</f>
        <v/>
      </c>
      <c r="C14225" s="44"/>
      <c r="D14225" s="44"/>
      <c r="E14225" s="46" t="s">
        <v>10348</v>
      </c>
      <c r="F14225" s="46" t="s">
        <v>1557</v>
      </c>
      <c r="H14225" s="46" t="s">
        <v>1558</v>
      </c>
      <c r="I14225" s="46" t="s">
        <v>1559</v>
      </c>
      <c r="J14225" s="46" t="s">
        <v>62</v>
      </c>
      <c r="K14225" s="46" t="s">
        <v>63</v>
      </c>
      <c r="L14225" s="45">
        <v>46014.979166666664</v>
      </c>
      <c r="M14225" s="46" t="s">
        <v>123</v>
      </c>
      <c r="N14225" s="45">
        <v>46015.0</v>
      </c>
      <c r="O14225" s="46" t="s">
        <v>123</v>
      </c>
      <c r="P14225" s="46">
        <v>1800.0</v>
      </c>
    </row>
    <row r="14226">
      <c r="A14226" s="40">
        <f t="shared" si="1"/>
        <v>46013</v>
      </c>
      <c r="B14226" s="37" t="str">
        <f t="array" ref="B14226">iferror(xlookup($I14226, 'IMPORT VHC Report'!$E:$E, 'IMPORT VHC Report'!$A:$C), )</f>
        <v/>
      </c>
      <c r="C14226" s="44"/>
      <c r="D14226" s="44"/>
      <c r="E14226" s="46" t="s">
        <v>10349</v>
      </c>
      <c r="F14226" s="46" t="s">
        <v>1557</v>
      </c>
      <c r="H14226" s="46" t="s">
        <v>1558</v>
      </c>
      <c r="I14226" s="46" t="s">
        <v>1559</v>
      </c>
      <c r="J14226" s="46" t="s">
        <v>196</v>
      </c>
      <c r="K14226" s="46" t="s">
        <v>63</v>
      </c>
      <c r="L14226" s="45">
        <v>46015.0</v>
      </c>
      <c r="M14226" s="46" t="s">
        <v>123</v>
      </c>
      <c r="N14226" s="45">
        <v>46015.291666666664</v>
      </c>
      <c r="O14226" s="46" t="s">
        <v>123</v>
      </c>
      <c r="P14226" s="46">
        <v>25200.0</v>
      </c>
    </row>
    <row r="14227">
      <c r="A14227" s="40">
        <f t="shared" si="1"/>
        <v>46013</v>
      </c>
      <c r="B14227" s="37" t="str">
        <f t="array" ref="B14227">iferror(xlookup($I14227, 'IMPORT VHC Report'!$E:$E, 'IMPORT VHC Report'!$A:$C), )</f>
        <v/>
      </c>
      <c r="C14227" s="44"/>
      <c r="D14227" s="44"/>
      <c r="E14227" s="46" t="s">
        <v>10350</v>
      </c>
      <c r="F14227" s="46" t="s">
        <v>1557</v>
      </c>
      <c r="H14227" s="46" t="s">
        <v>1558</v>
      </c>
      <c r="I14227" s="46" t="s">
        <v>1559</v>
      </c>
      <c r="J14227" s="46" t="s">
        <v>134</v>
      </c>
      <c r="K14227" s="46" t="s">
        <v>126</v>
      </c>
      <c r="L14227" s="45">
        <v>46015.03125</v>
      </c>
      <c r="M14227" s="46" t="s">
        <v>123</v>
      </c>
      <c r="N14227" s="45">
        <v>46015.052083333336</v>
      </c>
      <c r="O14227" s="46" t="s">
        <v>123</v>
      </c>
      <c r="P14227" s="46">
        <v>1800.0</v>
      </c>
    </row>
    <row r="14228">
      <c r="A14228" s="40">
        <f t="shared" si="1"/>
        <v>46013</v>
      </c>
      <c r="B14228" s="37" t="str">
        <f t="array" ref="B14228">iferror(xlookup($I14228, 'IMPORT VHC Report'!$E:$E, 'IMPORT VHC Report'!$A:$C), )</f>
        <v/>
      </c>
      <c r="C14228" s="44"/>
      <c r="D14228" s="44"/>
      <c r="E14228" s="46" t="s">
        <v>10351</v>
      </c>
      <c r="F14228" s="46" t="s">
        <v>1557</v>
      </c>
      <c r="H14228" s="46" t="s">
        <v>1558</v>
      </c>
      <c r="I14228" s="46" t="s">
        <v>1559</v>
      </c>
      <c r="J14228" s="46" t="s">
        <v>132</v>
      </c>
      <c r="K14228" s="46" t="s">
        <v>126</v>
      </c>
      <c r="L14228" s="45">
        <v>46015.15625</v>
      </c>
      <c r="M14228" s="46" t="s">
        <v>123</v>
      </c>
      <c r="N14228" s="45">
        <v>46015.197916666664</v>
      </c>
      <c r="O14228" s="46" t="s">
        <v>123</v>
      </c>
      <c r="P14228" s="46">
        <v>3600.0</v>
      </c>
    </row>
    <row r="14229">
      <c r="A14229" s="40">
        <f t="shared" si="1"/>
        <v>46013</v>
      </c>
      <c r="B14229" s="37" t="str">
        <f t="array" ref="B14229">iferror(xlookup($I14229, 'IMPORT VHC Report'!$E:$E, 'IMPORT VHC Report'!$A:$C), )</f>
        <v/>
      </c>
      <c r="C14229" s="44"/>
      <c r="D14229" s="44"/>
      <c r="E14229" s="46" t="s">
        <v>10352</v>
      </c>
      <c r="F14229" s="46" t="s">
        <v>1557</v>
      </c>
      <c r="H14229" s="46" t="s">
        <v>1558</v>
      </c>
      <c r="I14229" s="46" t="s">
        <v>1559</v>
      </c>
      <c r="J14229" s="46" t="s">
        <v>125</v>
      </c>
      <c r="K14229" s="46" t="s">
        <v>126</v>
      </c>
      <c r="L14229" s="45">
        <v>46015.916666666664</v>
      </c>
      <c r="M14229" s="46" t="s">
        <v>123</v>
      </c>
      <c r="N14229" s="45">
        <v>46015.927083333336</v>
      </c>
      <c r="O14229" s="46" t="s">
        <v>123</v>
      </c>
      <c r="P14229" s="46">
        <v>900.0</v>
      </c>
      <c r="S14229" s="46" t="s">
        <v>199</v>
      </c>
    </row>
    <row r="14230">
      <c r="A14230" s="40">
        <f t="shared" si="1"/>
        <v>46013</v>
      </c>
      <c r="B14230" s="37" t="str">
        <f t="array" ref="B14230">iferror(xlookup($I14230, 'IMPORT VHC Report'!$E:$E, 'IMPORT VHC Report'!$A:$C), )</f>
        <v/>
      </c>
      <c r="C14230" s="44"/>
      <c r="D14230" s="44"/>
      <c r="E14230" s="46" t="s">
        <v>10353</v>
      </c>
      <c r="F14230" s="46" t="s">
        <v>1557</v>
      </c>
      <c r="H14230" s="46" t="s">
        <v>1558</v>
      </c>
      <c r="I14230" s="46" t="s">
        <v>1559</v>
      </c>
      <c r="J14230" s="46" t="s">
        <v>178</v>
      </c>
      <c r="K14230" s="46" t="s">
        <v>153</v>
      </c>
      <c r="L14230" s="45">
        <v>46015.916666666664</v>
      </c>
      <c r="M14230" s="46" t="s">
        <v>123</v>
      </c>
      <c r="N14230" s="45">
        <v>46016.291666666664</v>
      </c>
      <c r="O14230" s="46" t="s">
        <v>123</v>
      </c>
      <c r="P14230" s="46">
        <v>32400.0</v>
      </c>
      <c r="Q14230" s="46">
        <v>28800.0</v>
      </c>
    </row>
    <row r="14231">
      <c r="A14231" s="40">
        <f t="shared" si="1"/>
        <v>46013</v>
      </c>
      <c r="B14231" s="37" t="str">
        <f t="array" ref="B14231">iferror(xlookup($I14231, 'IMPORT VHC Report'!$E:$E, 'IMPORT VHC Report'!$A:$C), )</f>
        <v/>
      </c>
      <c r="C14231" s="44"/>
      <c r="D14231" s="44"/>
      <c r="E14231" s="46" t="s">
        <v>10354</v>
      </c>
      <c r="F14231" s="46" t="s">
        <v>1557</v>
      </c>
      <c r="H14231" s="46" t="s">
        <v>1558</v>
      </c>
      <c r="I14231" s="46" t="s">
        <v>1559</v>
      </c>
      <c r="J14231" s="46" t="s">
        <v>196</v>
      </c>
      <c r="K14231" s="46" t="s">
        <v>63</v>
      </c>
      <c r="L14231" s="45">
        <v>46015.916666666664</v>
      </c>
      <c r="M14231" s="46" t="s">
        <v>123</v>
      </c>
      <c r="N14231" s="45">
        <v>46016.291666666664</v>
      </c>
      <c r="O14231" s="46" t="s">
        <v>123</v>
      </c>
      <c r="P14231" s="46">
        <v>32400.0</v>
      </c>
    </row>
    <row r="14232">
      <c r="A14232" s="40">
        <f t="shared" si="1"/>
        <v>46013</v>
      </c>
      <c r="B14232" s="37" t="str">
        <f t="array" ref="B14232">iferror(xlookup($I14232, 'IMPORT VHC Report'!$E:$E, 'IMPORT VHC Report'!$A:$C), )</f>
        <v/>
      </c>
      <c r="C14232" s="44"/>
      <c r="D14232" s="44"/>
      <c r="E14232" s="46" t="s">
        <v>10355</v>
      </c>
      <c r="F14232" s="46" t="s">
        <v>1557</v>
      </c>
      <c r="H14232" s="46" t="s">
        <v>1558</v>
      </c>
      <c r="I14232" s="46" t="s">
        <v>1559</v>
      </c>
      <c r="J14232" s="46" t="s">
        <v>134</v>
      </c>
      <c r="K14232" s="46" t="s">
        <v>126</v>
      </c>
      <c r="L14232" s="45">
        <v>46016.020833333336</v>
      </c>
      <c r="M14232" s="46" t="s">
        <v>123</v>
      </c>
      <c r="N14232" s="45">
        <v>46016.041666666664</v>
      </c>
      <c r="O14232" s="46" t="s">
        <v>123</v>
      </c>
      <c r="P14232" s="46">
        <v>1800.0</v>
      </c>
    </row>
    <row r="14233">
      <c r="A14233" s="40">
        <f t="shared" si="1"/>
        <v>46013</v>
      </c>
      <c r="B14233" s="37" t="str">
        <f t="array" ref="B14233">iferror(xlookup($I14233, 'IMPORT VHC Report'!$E:$E, 'IMPORT VHC Report'!$A:$C), )</f>
        <v/>
      </c>
      <c r="C14233" s="44"/>
      <c r="D14233" s="44"/>
      <c r="E14233" s="46" t="s">
        <v>10356</v>
      </c>
      <c r="F14233" s="46" t="s">
        <v>1557</v>
      </c>
      <c r="H14233" s="46" t="s">
        <v>1558</v>
      </c>
      <c r="I14233" s="46" t="s">
        <v>1559</v>
      </c>
      <c r="J14233" s="46" t="s">
        <v>132</v>
      </c>
      <c r="K14233" s="46" t="s">
        <v>126</v>
      </c>
      <c r="L14233" s="45">
        <v>46016.177083333336</v>
      </c>
      <c r="M14233" s="46" t="s">
        <v>123</v>
      </c>
      <c r="N14233" s="45">
        <v>46016.21875</v>
      </c>
      <c r="O14233" s="46" t="s">
        <v>123</v>
      </c>
      <c r="P14233" s="46">
        <v>3600.0</v>
      </c>
    </row>
    <row r="14234">
      <c r="A14234" s="40">
        <f t="shared" si="1"/>
        <v>46013</v>
      </c>
      <c r="B14234" s="37" t="str">
        <f t="array" ref="B14234">iferror(xlookup($I14234, 'IMPORT VHC Report'!$E:$E, 'IMPORT VHC Report'!$A:$C), )</f>
        <v/>
      </c>
      <c r="C14234" s="44"/>
      <c r="D14234" s="44"/>
      <c r="E14234" s="46" t="s">
        <v>10357</v>
      </c>
      <c r="F14234" s="46" t="s">
        <v>1557</v>
      </c>
      <c r="H14234" s="46" t="s">
        <v>1558</v>
      </c>
      <c r="I14234" s="46" t="s">
        <v>1559</v>
      </c>
      <c r="J14234" s="46" t="s">
        <v>125</v>
      </c>
      <c r="K14234" s="46" t="s">
        <v>126</v>
      </c>
      <c r="L14234" s="45">
        <v>46018.916666666664</v>
      </c>
      <c r="M14234" s="46" t="s">
        <v>123</v>
      </c>
      <c r="N14234" s="45">
        <v>46018.927083333336</v>
      </c>
      <c r="O14234" s="46" t="s">
        <v>123</v>
      </c>
      <c r="P14234" s="46">
        <v>900.0</v>
      </c>
      <c r="S14234" s="46" t="s">
        <v>199</v>
      </c>
    </row>
    <row r="14235">
      <c r="A14235" s="40">
        <f t="shared" si="1"/>
        <v>46013</v>
      </c>
      <c r="B14235" s="37" t="str">
        <f t="array" ref="B14235">iferror(xlookup($I14235, 'IMPORT VHC Report'!$E:$E, 'IMPORT VHC Report'!$A:$C), )</f>
        <v/>
      </c>
      <c r="C14235" s="44"/>
      <c r="D14235" s="44"/>
      <c r="E14235" s="46" t="s">
        <v>10358</v>
      </c>
      <c r="F14235" s="46" t="s">
        <v>1557</v>
      </c>
      <c r="H14235" s="46" t="s">
        <v>1558</v>
      </c>
      <c r="I14235" s="46" t="s">
        <v>1559</v>
      </c>
      <c r="J14235" s="46" t="s">
        <v>178</v>
      </c>
      <c r="K14235" s="46" t="s">
        <v>153</v>
      </c>
      <c r="L14235" s="45">
        <v>46018.916666666664</v>
      </c>
      <c r="M14235" s="46" t="s">
        <v>123</v>
      </c>
      <c r="N14235" s="45">
        <v>46019.291666666664</v>
      </c>
      <c r="O14235" s="46" t="s">
        <v>123</v>
      </c>
      <c r="P14235" s="46">
        <v>32400.0</v>
      </c>
      <c r="Q14235" s="46">
        <v>57600.0</v>
      </c>
    </row>
    <row r="14236">
      <c r="A14236" s="40">
        <f t="shared" si="1"/>
        <v>46013</v>
      </c>
      <c r="B14236" s="37" t="str">
        <f t="array" ref="B14236">iferror(xlookup($I14236, 'IMPORT VHC Report'!$E:$E, 'IMPORT VHC Report'!$A:$C), )</f>
        <v/>
      </c>
      <c r="C14236" s="44"/>
      <c r="D14236" s="44"/>
      <c r="E14236" s="46" t="s">
        <v>10359</v>
      </c>
      <c r="F14236" s="46" t="s">
        <v>1557</v>
      </c>
      <c r="H14236" s="46" t="s">
        <v>1558</v>
      </c>
      <c r="I14236" s="46" t="s">
        <v>1559</v>
      </c>
      <c r="J14236" s="46" t="s">
        <v>196</v>
      </c>
      <c r="K14236" s="46" t="s">
        <v>63</v>
      </c>
      <c r="L14236" s="45">
        <v>46018.916666666664</v>
      </c>
      <c r="M14236" s="46" t="s">
        <v>123</v>
      </c>
      <c r="N14236" s="45">
        <v>46019.291666666664</v>
      </c>
      <c r="O14236" s="46" t="s">
        <v>123</v>
      </c>
      <c r="P14236" s="46">
        <v>32400.0</v>
      </c>
    </row>
    <row r="14237">
      <c r="A14237" s="40">
        <f t="shared" si="1"/>
        <v>46013</v>
      </c>
      <c r="B14237" s="37" t="str">
        <f t="array" ref="B14237">iferror(xlookup($I14237, 'IMPORT VHC Report'!$E:$E, 'IMPORT VHC Report'!$A:$C), )</f>
        <v/>
      </c>
      <c r="C14237" s="44"/>
      <c r="D14237" s="44"/>
      <c r="E14237" s="46" t="s">
        <v>10360</v>
      </c>
      <c r="F14237" s="46" t="s">
        <v>1557</v>
      </c>
      <c r="H14237" s="46" t="s">
        <v>1558</v>
      </c>
      <c r="I14237" s="46" t="s">
        <v>1559</v>
      </c>
      <c r="J14237" s="46" t="s">
        <v>134</v>
      </c>
      <c r="K14237" s="46" t="s">
        <v>126</v>
      </c>
      <c r="L14237" s="45">
        <v>46019.03125</v>
      </c>
      <c r="M14237" s="46" t="s">
        <v>123</v>
      </c>
      <c r="N14237" s="45">
        <v>46019.052083333336</v>
      </c>
      <c r="O14237" s="46" t="s">
        <v>123</v>
      </c>
      <c r="P14237" s="46">
        <v>1800.0</v>
      </c>
    </row>
    <row r="14238">
      <c r="A14238" s="40">
        <f t="shared" si="1"/>
        <v>46013</v>
      </c>
      <c r="B14238" s="37" t="str">
        <f t="array" ref="B14238">iferror(xlookup($I14238, 'IMPORT VHC Report'!$E:$E, 'IMPORT VHC Report'!$A:$C), )</f>
        <v/>
      </c>
      <c r="C14238" s="44"/>
      <c r="D14238" s="44"/>
      <c r="E14238" s="46" t="s">
        <v>10361</v>
      </c>
      <c r="F14238" s="46" t="s">
        <v>1557</v>
      </c>
      <c r="H14238" s="46" t="s">
        <v>1558</v>
      </c>
      <c r="I14238" s="46" t="s">
        <v>1559</v>
      </c>
      <c r="J14238" s="46" t="s">
        <v>132</v>
      </c>
      <c r="K14238" s="46" t="s">
        <v>126</v>
      </c>
      <c r="L14238" s="45">
        <v>46019.166666666664</v>
      </c>
      <c r="M14238" s="46" t="s">
        <v>123</v>
      </c>
      <c r="N14238" s="45">
        <v>46019.208333333336</v>
      </c>
      <c r="O14238" s="46" t="s">
        <v>123</v>
      </c>
      <c r="P14238" s="46">
        <v>3600.0</v>
      </c>
    </row>
    <row r="14239">
      <c r="A14239" s="40">
        <f t="shared" si="1"/>
        <v>46013</v>
      </c>
      <c r="B14239" s="37" t="str">
        <f t="array" ref="B14239">iferror(xlookup($I14239, 'IMPORT VHC Report'!$E:$E, 'IMPORT VHC Report'!$A:$C), )</f>
        <v/>
      </c>
      <c r="C14239" s="44"/>
      <c r="D14239" s="44"/>
      <c r="E14239" s="46" t="s">
        <v>10362</v>
      </c>
      <c r="F14239" s="46" t="s">
        <v>1557</v>
      </c>
      <c r="H14239" s="46" t="s">
        <v>1558</v>
      </c>
      <c r="I14239" s="46" t="s">
        <v>1559</v>
      </c>
      <c r="J14239" s="46" t="s">
        <v>125</v>
      </c>
      <c r="K14239" s="46" t="s">
        <v>126</v>
      </c>
      <c r="L14239" s="45">
        <v>46019.916666666664</v>
      </c>
      <c r="M14239" s="46" t="s">
        <v>123</v>
      </c>
      <c r="N14239" s="45">
        <v>46019.927083333336</v>
      </c>
      <c r="O14239" s="46" t="s">
        <v>123</v>
      </c>
      <c r="P14239" s="46">
        <v>900.0</v>
      </c>
      <c r="S14239" s="46" t="s">
        <v>199</v>
      </c>
    </row>
    <row r="14240">
      <c r="A14240" s="40">
        <f t="shared" si="1"/>
        <v>46013</v>
      </c>
      <c r="B14240" s="37" t="str">
        <f t="array" ref="B14240">iferror(xlookup($I14240, 'IMPORT VHC Report'!$E:$E, 'IMPORT VHC Report'!$A:$C), )</f>
        <v/>
      </c>
      <c r="C14240" s="44"/>
      <c r="D14240" s="44"/>
      <c r="E14240" s="46" t="s">
        <v>10363</v>
      </c>
      <c r="F14240" s="46" t="s">
        <v>1557</v>
      </c>
      <c r="H14240" s="46" t="s">
        <v>1558</v>
      </c>
      <c r="I14240" s="46" t="s">
        <v>1559</v>
      </c>
      <c r="J14240" s="46" t="s">
        <v>196</v>
      </c>
      <c r="K14240" s="46" t="s">
        <v>63</v>
      </c>
      <c r="L14240" s="45">
        <v>46019.916666666664</v>
      </c>
      <c r="M14240" s="46" t="s">
        <v>123</v>
      </c>
      <c r="N14240" s="45">
        <v>46020.291666666664</v>
      </c>
      <c r="O14240" s="46" t="s">
        <v>123</v>
      </c>
      <c r="P14240" s="46">
        <v>32400.0</v>
      </c>
    </row>
    <row r="14241">
      <c r="A14241" s="40">
        <f t="shared" si="1"/>
        <v>46013</v>
      </c>
      <c r="B14241" s="37" t="str">
        <f t="array" ref="B14241">iferror(xlookup($I14241, 'IMPORT VHC Report'!$E:$E, 'IMPORT VHC Report'!$A:$C), )</f>
        <v/>
      </c>
      <c r="C14241" s="44"/>
      <c r="D14241" s="44"/>
      <c r="E14241" s="46" t="s">
        <v>10364</v>
      </c>
      <c r="F14241" s="46" t="s">
        <v>1557</v>
      </c>
      <c r="H14241" s="46" t="s">
        <v>1558</v>
      </c>
      <c r="I14241" s="46" t="s">
        <v>1559</v>
      </c>
      <c r="J14241" s="46" t="s">
        <v>178</v>
      </c>
      <c r="K14241" s="46" t="s">
        <v>153</v>
      </c>
      <c r="L14241" s="45">
        <v>46019.916666666664</v>
      </c>
      <c r="M14241" s="46" t="s">
        <v>123</v>
      </c>
      <c r="N14241" s="45">
        <v>46020.291666666664</v>
      </c>
      <c r="O14241" s="46" t="s">
        <v>123</v>
      </c>
      <c r="P14241" s="46">
        <v>32400.0</v>
      </c>
      <c r="Q14241" s="46">
        <v>32400.0</v>
      </c>
    </row>
    <row r="14242">
      <c r="A14242" s="40">
        <f t="shared" si="1"/>
        <v>46013</v>
      </c>
      <c r="B14242" s="37" t="str">
        <f t="array" ref="B14242">iferror(xlookup($I14242, 'IMPORT VHC Report'!$E:$E, 'IMPORT VHC Report'!$A:$C), )</f>
        <v/>
      </c>
      <c r="C14242" s="44"/>
      <c r="D14242" s="44"/>
      <c r="E14242" s="46" t="s">
        <v>10365</v>
      </c>
      <c r="F14242" s="46" t="s">
        <v>1611</v>
      </c>
      <c r="G14242" s="46">
        <v>5.901973593231E12</v>
      </c>
      <c r="H14242" s="46" t="s">
        <v>1612</v>
      </c>
      <c r="I14242" s="46" t="s">
        <v>1613</v>
      </c>
      <c r="J14242" s="46" t="s">
        <v>196</v>
      </c>
      <c r="K14242" s="46" t="s">
        <v>63</v>
      </c>
      <c r="L14242" s="45">
        <v>46013.0</v>
      </c>
      <c r="M14242" s="46" t="s">
        <v>123</v>
      </c>
      <c r="N14242" s="45">
        <v>46013.208333333336</v>
      </c>
      <c r="O14242" s="46" t="s">
        <v>123</v>
      </c>
      <c r="P14242" s="46">
        <v>18000.0</v>
      </c>
    </row>
    <row r="14243">
      <c r="A14243" s="40">
        <f t="shared" si="1"/>
        <v>46013</v>
      </c>
      <c r="B14243" s="37" t="str">
        <f t="array" ref="B14243">iferror(xlookup($I14243, 'IMPORT VHC Report'!$E:$E, 'IMPORT VHC Report'!$A:$C), )</f>
        <v/>
      </c>
      <c r="C14243" s="44"/>
      <c r="D14243" s="44"/>
      <c r="E14243" s="46" t="s">
        <v>10366</v>
      </c>
      <c r="F14243" s="46" t="s">
        <v>1611</v>
      </c>
      <c r="G14243" s="46">
        <v>5.901973593231E12</v>
      </c>
      <c r="H14243" s="46" t="s">
        <v>1612</v>
      </c>
      <c r="I14243" s="46" t="s">
        <v>1613</v>
      </c>
      <c r="J14243" s="46" t="s">
        <v>132</v>
      </c>
      <c r="K14243" s="46" t="s">
        <v>126</v>
      </c>
      <c r="L14243" s="45">
        <v>46013.083333333336</v>
      </c>
      <c r="M14243" s="46" t="s">
        <v>123</v>
      </c>
      <c r="N14243" s="45">
        <v>46013.125</v>
      </c>
      <c r="O14243" s="46" t="s">
        <v>123</v>
      </c>
      <c r="P14243" s="46">
        <v>3600.0</v>
      </c>
    </row>
    <row r="14244">
      <c r="A14244" s="40">
        <f t="shared" si="1"/>
        <v>46013</v>
      </c>
      <c r="B14244" s="37" t="str">
        <f t="array" ref="B14244">iferror(xlookup($I14244, 'IMPORT VHC Report'!$E:$E, 'IMPORT VHC Report'!$A:$C), )</f>
        <v/>
      </c>
      <c r="C14244" s="44"/>
      <c r="D14244" s="44"/>
      <c r="E14244" s="46" t="s">
        <v>10367</v>
      </c>
      <c r="F14244" s="46" t="s">
        <v>1611</v>
      </c>
      <c r="G14244" s="46">
        <v>5.901973593231E12</v>
      </c>
      <c r="H14244" s="46" t="s">
        <v>1612</v>
      </c>
      <c r="I14244" s="46" t="s">
        <v>1613</v>
      </c>
      <c r="J14244" s="46" t="s">
        <v>125</v>
      </c>
      <c r="K14244" s="46" t="s">
        <v>126</v>
      </c>
      <c r="L14244" s="45">
        <v>46013.833333333336</v>
      </c>
      <c r="M14244" s="46" t="s">
        <v>123</v>
      </c>
      <c r="N14244" s="45">
        <v>46013.84375</v>
      </c>
      <c r="O14244" s="46" t="s">
        <v>123</v>
      </c>
      <c r="P14244" s="46">
        <v>900.0</v>
      </c>
      <c r="S14244" s="46" t="s">
        <v>199</v>
      </c>
    </row>
    <row r="14245">
      <c r="A14245" s="40">
        <f t="shared" si="1"/>
        <v>46013</v>
      </c>
      <c r="B14245" s="37" t="str">
        <f t="array" ref="B14245">iferror(xlookup($I14245, 'IMPORT VHC Report'!$E:$E, 'IMPORT VHC Report'!$A:$C), )</f>
        <v/>
      </c>
      <c r="C14245" s="44"/>
      <c r="D14245" s="44"/>
      <c r="E14245" s="46" t="s">
        <v>10368</v>
      </c>
      <c r="F14245" s="46" t="s">
        <v>1611</v>
      </c>
      <c r="G14245" s="46">
        <v>5.901973593231E12</v>
      </c>
      <c r="H14245" s="46" t="s">
        <v>1612</v>
      </c>
      <c r="I14245" s="46" t="s">
        <v>1613</v>
      </c>
      <c r="J14245" s="46" t="s">
        <v>196</v>
      </c>
      <c r="K14245" s="46" t="s">
        <v>63</v>
      </c>
      <c r="L14245" s="45">
        <v>46013.833333333336</v>
      </c>
      <c r="M14245" s="46" t="s">
        <v>123</v>
      </c>
      <c r="N14245" s="45">
        <v>46014.208333333336</v>
      </c>
      <c r="O14245" s="46" t="s">
        <v>123</v>
      </c>
      <c r="P14245" s="46">
        <v>32400.0</v>
      </c>
    </row>
    <row r="14246">
      <c r="A14246" s="40">
        <f t="shared" si="1"/>
        <v>46013</v>
      </c>
      <c r="B14246" s="37" t="str">
        <f t="array" ref="B14246">iferror(xlookup($I14246, 'IMPORT VHC Report'!$E:$E, 'IMPORT VHC Report'!$A:$C), )</f>
        <v/>
      </c>
      <c r="C14246" s="44"/>
      <c r="D14246" s="44"/>
      <c r="E14246" s="46" t="s">
        <v>10369</v>
      </c>
      <c r="F14246" s="46" t="s">
        <v>1611</v>
      </c>
      <c r="G14246" s="46">
        <v>5.901973593231E12</v>
      </c>
      <c r="H14246" s="46" t="s">
        <v>1612</v>
      </c>
      <c r="I14246" s="46" t="s">
        <v>1613</v>
      </c>
      <c r="J14246" s="46" t="s">
        <v>134</v>
      </c>
      <c r="K14246" s="46" t="s">
        <v>126</v>
      </c>
      <c r="L14246" s="45">
        <v>46013.958333333336</v>
      </c>
      <c r="M14246" s="46" t="s">
        <v>123</v>
      </c>
      <c r="N14246" s="45">
        <v>46013.979166666664</v>
      </c>
      <c r="O14246" s="46" t="s">
        <v>123</v>
      </c>
      <c r="P14246" s="46">
        <v>1800.0</v>
      </c>
    </row>
    <row r="14247">
      <c r="A14247" s="40">
        <f t="shared" si="1"/>
        <v>46013</v>
      </c>
      <c r="B14247" s="37" t="str">
        <f t="array" ref="B14247">iferror(xlookup($I14247, 'IMPORT VHC Report'!$E:$E, 'IMPORT VHC Report'!$A:$C), )</f>
        <v/>
      </c>
      <c r="C14247" s="44"/>
      <c r="D14247" s="44"/>
      <c r="E14247" s="46" t="s">
        <v>10370</v>
      </c>
      <c r="F14247" s="46" t="s">
        <v>1611</v>
      </c>
      <c r="G14247" s="46">
        <v>5.901973593231E12</v>
      </c>
      <c r="H14247" s="46" t="s">
        <v>1612</v>
      </c>
      <c r="I14247" s="46" t="s">
        <v>1613</v>
      </c>
      <c r="J14247" s="46" t="s">
        <v>132</v>
      </c>
      <c r="K14247" s="46" t="s">
        <v>126</v>
      </c>
      <c r="L14247" s="45">
        <v>46014.083333333336</v>
      </c>
      <c r="M14247" s="46" t="s">
        <v>123</v>
      </c>
      <c r="N14247" s="45">
        <v>46014.125</v>
      </c>
      <c r="O14247" s="46" t="s">
        <v>123</v>
      </c>
      <c r="P14247" s="46">
        <v>3600.0</v>
      </c>
    </row>
    <row r="14248">
      <c r="A14248" s="40">
        <f t="shared" si="1"/>
        <v>46013</v>
      </c>
      <c r="B14248" s="37" t="str">
        <f t="array" ref="B14248">iferror(xlookup($I14248, 'IMPORT VHC Report'!$E:$E, 'IMPORT VHC Report'!$A:$C), )</f>
        <v/>
      </c>
      <c r="C14248" s="44"/>
      <c r="D14248" s="44"/>
      <c r="E14248" s="46" t="s">
        <v>10371</v>
      </c>
      <c r="F14248" s="46" t="s">
        <v>1611</v>
      </c>
      <c r="G14248" s="46">
        <v>5.901973593231E12</v>
      </c>
      <c r="H14248" s="46" t="s">
        <v>1612</v>
      </c>
      <c r="I14248" s="46" t="s">
        <v>1613</v>
      </c>
      <c r="J14248" s="46" t="s">
        <v>125</v>
      </c>
      <c r="K14248" s="46" t="s">
        <v>126</v>
      </c>
      <c r="L14248" s="45">
        <v>46014.833333333336</v>
      </c>
      <c r="M14248" s="46" t="s">
        <v>123</v>
      </c>
      <c r="N14248" s="45">
        <v>46014.84375</v>
      </c>
      <c r="O14248" s="46" t="s">
        <v>123</v>
      </c>
      <c r="P14248" s="46">
        <v>900.0</v>
      </c>
      <c r="S14248" s="46" t="s">
        <v>199</v>
      </c>
    </row>
    <row r="14249">
      <c r="A14249" s="40">
        <f t="shared" si="1"/>
        <v>46013</v>
      </c>
      <c r="B14249" s="37" t="str">
        <f t="array" ref="B14249">iferror(xlookup($I14249, 'IMPORT VHC Report'!$E:$E, 'IMPORT VHC Report'!$A:$C), )</f>
        <v/>
      </c>
      <c r="C14249" s="44"/>
      <c r="D14249" s="44"/>
      <c r="E14249" s="46" t="s">
        <v>10372</v>
      </c>
      <c r="F14249" s="46" t="s">
        <v>1611</v>
      </c>
      <c r="G14249" s="46">
        <v>5.901973593231E12</v>
      </c>
      <c r="H14249" s="46" t="s">
        <v>1612</v>
      </c>
      <c r="I14249" s="46" t="s">
        <v>1613</v>
      </c>
      <c r="J14249" s="46" t="s">
        <v>196</v>
      </c>
      <c r="K14249" s="46" t="s">
        <v>63</v>
      </c>
      <c r="L14249" s="45">
        <v>46014.833333333336</v>
      </c>
      <c r="M14249" s="46" t="s">
        <v>123</v>
      </c>
      <c r="N14249" s="45">
        <v>46014.9375</v>
      </c>
      <c r="O14249" s="46" t="s">
        <v>123</v>
      </c>
      <c r="P14249" s="46">
        <v>9000.0</v>
      </c>
    </row>
    <row r="14250">
      <c r="A14250" s="40">
        <f t="shared" si="1"/>
        <v>46013</v>
      </c>
      <c r="B14250" s="37" t="str">
        <f t="array" ref="B14250">iferror(xlookup($I14250, 'IMPORT VHC Report'!$E:$E, 'IMPORT VHC Report'!$A:$C), )</f>
        <v/>
      </c>
      <c r="C14250" s="44"/>
      <c r="D14250" s="44"/>
      <c r="E14250" s="46" t="s">
        <v>10373</v>
      </c>
      <c r="F14250" s="46" t="s">
        <v>1611</v>
      </c>
      <c r="G14250" s="46">
        <v>5.901973593231E12</v>
      </c>
      <c r="H14250" s="46" t="s">
        <v>1612</v>
      </c>
      <c r="I14250" s="46" t="s">
        <v>1613</v>
      </c>
      <c r="J14250" s="46" t="s">
        <v>62</v>
      </c>
      <c r="K14250" s="46" t="s">
        <v>63</v>
      </c>
      <c r="L14250" s="45">
        <v>46014.9375</v>
      </c>
      <c r="M14250" s="46" t="s">
        <v>123</v>
      </c>
      <c r="N14250" s="45">
        <v>46014.958333333336</v>
      </c>
      <c r="O14250" s="46" t="s">
        <v>123</v>
      </c>
      <c r="P14250" s="46">
        <v>1800.0</v>
      </c>
    </row>
    <row r="14251">
      <c r="A14251" s="40">
        <f t="shared" si="1"/>
        <v>46013</v>
      </c>
      <c r="B14251" s="37" t="str">
        <f t="array" ref="B14251">iferror(xlookup($I14251, 'IMPORT VHC Report'!$E:$E, 'IMPORT VHC Report'!$A:$C), )</f>
        <v/>
      </c>
      <c r="C14251" s="44"/>
      <c r="D14251" s="44"/>
      <c r="E14251" s="46" t="s">
        <v>10374</v>
      </c>
      <c r="F14251" s="46" t="s">
        <v>1611</v>
      </c>
      <c r="G14251" s="46">
        <v>5.901973593231E12</v>
      </c>
      <c r="H14251" s="46" t="s">
        <v>1612</v>
      </c>
      <c r="I14251" s="46" t="s">
        <v>1613</v>
      </c>
      <c r="J14251" s="46" t="s">
        <v>136</v>
      </c>
      <c r="K14251" s="46" t="s">
        <v>126</v>
      </c>
      <c r="L14251" s="45">
        <v>46014.958333333336</v>
      </c>
      <c r="M14251" s="46" t="s">
        <v>123</v>
      </c>
      <c r="N14251" s="45">
        <v>46014.979166666664</v>
      </c>
      <c r="O14251" s="46" t="s">
        <v>123</v>
      </c>
      <c r="P14251" s="46">
        <v>1800.0</v>
      </c>
      <c r="S14251" s="46" t="s">
        <v>137</v>
      </c>
    </row>
    <row r="14252">
      <c r="A14252" s="40">
        <f t="shared" si="1"/>
        <v>46013</v>
      </c>
      <c r="B14252" s="37" t="str">
        <f t="array" ref="B14252">iferror(xlookup($I14252, 'IMPORT VHC Report'!$E:$E, 'IMPORT VHC Report'!$A:$C), )</f>
        <v/>
      </c>
      <c r="C14252" s="44"/>
      <c r="D14252" s="44"/>
      <c r="E14252" s="46" t="s">
        <v>10375</v>
      </c>
      <c r="F14252" s="46" t="s">
        <v>1611</v>
      </c>
      <c r="G14252" s="46">
        <v>5.901973593231E12</v>
      </c>
      <c r="H14252" s="46" t="s">
        <v>1612</v>
      </c>
      <c r="I14252" s="46" t="s">
        <v>1613</v>
      </c>
      <c r="J14252" s="46" t="s">
        <v>196</v>
      </c>
      <c r="K14252" s="46" t="s">
        <v>63</v>
      </c>
      <c r="L14252" s="45">
        <v>46014.958333333336</v>
      </c>
      <c r="M14252" s="46" t="s">
        <v>123</v>
      </c>
      <c r="N14252" s="45">
        <v>46015.208333333336</v>
      </c>
      <c r="O14252" s="46" t="s">
        <v>123</v>
      </c>
      <c r="P14252" s="46">
        <v>21600.0</v>
      </c>
    </row>
    <row r="14253">
      <c r="A14253" s="40">
        <f t="shared" si="1"/>
        <v>46013</v>
      </c>
      <c r="B14253" s="37" t="str">
        <f t="array" ref="B14253">iferror(xlookup($I14253, 'IMPORT VHC Report'!$E:$E, 'IMPORT VHC Report'!$A:$C), )</f>
        <v/>
      </c>
      <c r="C14253" s="44"/>
      <c r="D14253" s="44"/>
      <c r="E14253" s="46" t="s">
        <v>10376</v>
      </c>
      <c r="F14253" s="46" t="s">
        <v>1611</v>
      </c>
      <c r="G14253" s="46">
        <v>5.901973593231E12</v>
      </c>
      <c r="H14253" s="46" t="s">
        <v>1612</v>
      </c>
      <c r="I14253" s="46" t="s">
        <v>1613</v>
      </c>
      <c r="J14253" s="46" t="s">
        <v>132</v>
      </c>
      <c r="K14253" s="46" t="s">
        <v>126</v>
      </c>
      <c r="L14253" s="45">
        <v>46014.979166666664</v>
      </c>
      <c r="M14253" s="46" t="s">
        <v>123</v>
      </c>
      <c r="N14253" s="45">
        <v>46015.0</v>
      </c>
      <c r="O14253" s="46" t="s">
        <v>123</v>
      </c>
      <c r="P14253" s="46">
        <v>1800.0</v>
      </c>
    </row>
    <row r="14254">
      <c r="A14254" s="40">
        <f t="shared" si="1"/>
        <v>46013</v>
      </c>
      <c r="B14254" s="37" t="str">
        <f t="array" ref="B14254">iferror(xlookup($I14254, 'IMPORT VHC Report'!$E:$E, 'IMPORT VHC Report'!$A:$C), )</f>
        <v/>
      </c>
      <c r="C14254" s="44"/>
      <c r="D14254" s="44"/>
      <c r="E14254" s="46" t="s">
        <v>10377</v>
      </c>
      <c r="F14254" s="46" t="s">
        <v>1611</v>
      </c>
      <c r="G14254" s="46">
        <v>5.901973593231E12</v>
      </c>
      <c r="H14254" s="46" t="s">
        <v>1612</v>
      </c>
      <c r="I14254" s="46" t="s">
        <v>1613</v>
      </c>
      <c r="J14254" s="46" t="s">
        <v>134</v>
      </c>
      <c r="K14254" s="46" t="s">
        <v>126</v>
      </c>
      <c r="L14254" s="45">
        <v>46015.104166666664</v>
      </c>
      <c r="M14254" s="46" t="s">
        <v>123</v>
      </c>
      <c r="N14254" s="45">
        <v>46015.125</v>
      </c>
      <c r="O14254" s="46" t="s">
        <v>123</v>
      </c>
      <c r="P14254" s="46">
        <v>1800.0</v>
      </c>
    </row>
    <row r="14255">
      <c r="A14255" s="40">
        <f t="shared" si="1"/>
        <v>46013</v>
      </c>
      <c r="B14255" s="37" t="str">
        <f t="array" ref="B14255">iferror(xlookup($I14255, 'IMPORT VHC Report'!$E:$E, 'IMPORT VHC Report'!$A:$C), )</f>
        <v/>
      </c>
      <c r="C14255" s="44"/>
      <c r="D14255" s="44"/>
      <c r="E14255" s="46" t="s">
        <v>10378</v>
      </c>
      <c r="F14255" s="46" t="s">
        <v>1611</v>
      </c>
      <c r="G14255" s="46">
        <v>5.901973593231E12</v>
      </c>
      <c r="H14255" s="46" t="s">
        <v>1612</v>
      </c>
      <c r="I14255" s="46" t="s">
        <v>1613</v>
      </c>
      <c r="J14255" s="46" t="s">
        <v>125</v>
      </c>
      <c r="K14255" s="46" t="s">
        <v>126</v>
      </c>
      <c r="L14255" s="45">
        <v>46015.833333333336</v>
      </c>
      <c r="M14255" s="46" t="s">
        <v>123</v>
      </c>
      <c r="N14255" s="45">
        <v>46015.84375</v>
      </c>
      <c r="O14255" s="46" t="s">
        <v>123</v>
      </c>
      <c r="P14255" s="46">
        <v>900.0</v>
      </c>
      <c r="S14255" s="46" t="s">
        <v>199</v>
      </c>
    </row>
    <row r="14256">
      <c r="A14256" s="40">
        <f t="shared" si="1"/>
        <v>46013</v>
      </c>
      <c r="B14256" s="37" t="str">
        <f t="array" ref="B14256">iferror(xlookup($I14256, 'IMPORT VHC Report'!$E:$E, 'IMPORT VHC Report'!$A:$C), )</f>
        <v/>
      </c>
      <c r="C14256" s="44"/>
      <c r="D14256" s="44"/>
      <c r="E14256" s="46" t="s">
        <v>10379</v>
      </c>
      <c r="F14256" s="46" t="s">
        <v>1611</v>
      </c>
      <c r="G14256" s="46">
        <v>5.901973593231E12</v>
      </c>
      <c r="H14256" s="46" t="s">
        <v>1612</v>
      </c>
      <c r="I14256" s="46" t="s">
        <v>1613</v>
      </c>
      <c r="J14256" s="46" t="s">
        <v>196</v>
      </c>
      <c r="K14256" s="46" t="s">
        <v>63</v>
      </c>
      <c r="L14256" s="45">
        <v>46015.833333333336</v>
      </c>
      <c r="M14256" s="46" t="s">
        <v>123</v>
      </c>
      <c r="N14256" s="45">
        <v>46016.208333333336</v>
      </c>
      <c r="O14256" s="46" t="s">
        <v>123</v>
      </c>
      <c r="P14256" s="46">
        <v>32400.0</v>
      </c>
    </row>
    <row r="14257">
      <c r="A14257" s="40">
        <f t="shared" si="1"/>
        <v>46013</v>
      </c>
      <c r="B14257" s="37" t="str">
        <f t="array" ref="B14257">iferror(xlookup($I14257, 'IMPORT VHC Report'!$E:$E, 'IMPORT VHC Report'!$A:$C), )</f>
        <v/>
      </c>
      <c r="C14257" s="44"/>
      <c r="D14257" s="44"/>
      <c r="E14257" s="46" t="s">
        <v>10380</v>
      </c>
      <c r="F14257" s="46" t="s">
        <v>1611</v>
      </c>
      <c r="G14257" s="46">
        <v>5.901973593231E12</v>
      </c>
      <c r="H14257" s="46" t="s">
        <v>1612</v>
      </c>
      <c r="I14257" s="46" t="s">
        <v>1613</v>
      </c>
      <c r="J14257" s="46" t="s">
        <v>134</v>
      </c>
      <c r="K14257" s="46" t="s">
        <v>126</v>
      </c>
      <c r="L14257" s="45">
        <v>46015.9375</v>
      </c>
      <c r="M14257" s="46" t="s">
        <v>123</v>
      </c>
      <c r="N14257" s="45">
        <v>46015.958333333336</v>
      </c>
      <c r="O14257" s="46" t="s">
        <v>123</v>
      </c>
      <c r="P14257" s="46">
        <v>1800.0</v>
      </c>
    </row>
    <row r="14258">
      <c r="A14258" s="40">
        <f t="shared" si="1"/>
        <v>46013</v>
      </c>
      <c r="B14258" s="37" t="str">
        <f t="array" ref="B14258">iferror(xlookup($I14258, 'IMPORT VHC Report'!$E:$E, 'IMPORT VHC Report'!$A:$C), )</f>
        <v/>
      </c>
      <c r="C14258" s="44"/>
      <c r="D14258" s="44"/>
      <c r="E14258" s="46" t="s">
        <v>10381</v>
      </c>
      <c r="F14258" s="46" t="s">
        <v>1611</v>
      </c>
      <c r="G14258" s="46">
        <v>5.901973593231E12</v>
      </c>
      <c r="H14258" s="46" t="s">
        <v>1612</v>
      </c>
      <c r="I14258" s="46" t="s">
        <v>1613</v>
      </c>
      <c r="J14258" s="46" t="s">
        <v>132</v>
      </c>
      <c r="K14258" s="46" t="s">
        <v>126</v>
      </c>
      <c r="L14258" s="45">
        <v>46016.0625</v>
      </c>
      <c r="M14258" s="46" t="s">
        <v>123</v>
      </c>
      <c r="N14258" s="45">
        <v>46016.104166666664</v>
      </c>
      <c r="O14258" s="46" t="s">
        <v>123</v>
      </c>
      <c r="P14258" s="46">
        <v>3600.0</v>
      </c>
    </row>
    <row r="14259">
      <c r="A14259" s="40">
        <f t="shared" si="1"/>
        <v>46013</v>
      </c>
      <c r="B14259" s="37" t="str">
        <f t="array" ref="B14259">iferror(xlookup($I14259, 'IMPORT VHC Report'!$E:$E, 'IMPORT VHC Report'!$A:$C), )</f>
        <v/>
      </c>
      <c r="C14259" s="44"/>
      <c r="D14259" s="44"/>
      <c r="E14259" s="46" t="s">
        <v>10382</v>
      </c>
      <c r="F14259" s="46" t="s">
        <v>1611</v>
      </c>
      <c r="G14259" s="46">
        <v>5.901973593231E12</v>
      </c>
      <c r="H14259" s="46" t="s">
        <v>1612</v>
      </c>
      <c r="I14259" s="46" t="s">
        <v>1613</v>
      </c>
      <c r="J14259" s="46" t="s">
        <v>125</v>
      </c>
      <c r="K14259" s="46" t="s">
        <v>126</v>
      </c>
      <c r="L14259" s="45">
        <v>46016.833333333336</v>
      </c>
      <c r="M14259" s="46" t="s">
        <v>123</v>
      </c>
      <c r="N14259" s="45">
        <v>46016.84375</v>
      </c>
      <c r="O14259" s="46" t="s">
        <v>123</v>
      </c>
      <c r="P14259" s="46">
        <v>900.0</v>
      </c>
      <c r="S14259" s="46" t="s">
        <v>199</v>
      </c>
    </row>
    <row r="14260">
      <c r="A14260" s="40">
        <f t="shared" si="1"/>
        <v>46013</v>
      </c>
      <c r="B14260" s="37" t="str">
        <f t="array" ref="B14260">iferror(xlookup($I14260, 'IMPORT VHC Report'!$E:$E, 'IMPORT VHC Report'!$A:$C), )</f>
        <v/>
      </c>
      <c r="C14260" s="44"/>
      <c r="D14260" s="44"/>
      <c r="E14260" s="46" t="s">
        <v>10383</v>
      </c>
      <c r="F14260" s="46" t="s">
        <v>1611</v>
      </c>
      <c r="G14260" s="46">
        <v>5.901973593231E12</v>
      </c>
      <c r="H14260" s="46" t="s">
        <v>1612</v>
      </c>
      <c r="I14260" s="46" t="s">
        <v>1613</v>
      </c>
      <c r="J14260" s="46" t="s">
        <v>196</v>
      </c>
      <c r="K14260" s="46" t="s">
        <v>63</v>
      </c>
      <c r="L14260" s="45">
        <v>46016.833333333336</v>
      </c>
      <c r="M14260" s="46" t="s">
        <v>123</v>
      </c>
      <c r="N14260" s="45">
        <v>46017.208333333336</v>
      </c>
      <c r="O14260" s="46" t="s">
        <v>123</v>
      </c>
      <c r="P14260" s="46">
        <v>32400.0</v>
      </c>
    </row>
    <row r="14261">
      <c r="A14261" s="40">
        <f t="shared" si="1"/>
        <v>46013</v>
      </c>
      <c r="B14261" s="37" t="str">
        <f t="array" ref="B14261">iferror(xlookup($I14261, 'IMPORT VHC Report'!$E:$E, 'IMPORT VHC Report'!$A:$C), )</f>
        <v/>
      </c>
      <c r="C14261" s="44"/>
      <c r="D14261" s="44"/>
      <c r="E14261" s="46" t="s">
        <v>10384</v>
      </c>
      <c r="F14261" s="46" t="s">
        <v>1611</v>
      </c>
      <c r="G14261" s="46">
        <v>5.901973593231E12</v>
      </c>
      <c r="H14261" s="46" t="s">
        <v>1612</v>
      </c>
      <c r="I14261" s="46" t="s">
        <v>1613</v>
      </c>
      <c r="J14261" s="46" t="s">
        <v>134</v>
      </c>
      <c r="K14261" s="46" t="s">
        <v>126</v>
      </c>
      <c r="L14261" s="45">
        <v>46016.9375</v>
      </c>
      <c r="M14261" s="46" t="s">
        <v>123</v>
      </c>
      <c r="N14261" s="45">
        <v>46016.958333333336</v>
      </c>
      <c r="O14261" s="46" t="s">
        <v>123</v>
      </c>
      <c r="P14261" s="46">
        <v>1800.0</v>
      </c>
    </row>
    <row r="14262">
      <c r="A14262" s="40">
        <f t="shared" si="1"/>
        <v>46013</v>
      </c>
      <c r="B14262" s="37" t="str">
        <f t="array" ref="B14262">iferror(xlookup($I14262, 'IMPORT VHC Report'!$E:$E, 'IMPORT VHC Report'!$A:$C), )</f>
        <v/>
      </c>
      <c r="C14262" s="44"/>
      <c r="D14262" s="44"/>
      <c r="E14262" s="46" t="s">
        <v>10385</v>
      </c>
      <c r="F14262" s="46" t="s">
        <v>1611</v>
      </c>
      <c r="G14262" s="46">
        <v>5.901973593231E12</v>
      </c>
      <c r="H14262" s="46" t="s">
        <v>1612</v>
      </c>
      <c r="I14262" s="46" t="s">
        <v>1613</v>
      </c>
      <c r="J14262" s="46" t="s">
        <v>132</v>
      </c>
      <c r="K14262" s="46" t="s">
        <v>126</v>
      </c>
      <c r="L14262" s="45">
        <v>46017.072916666664</v>
      </c>
      <c r="M14262" s="46" t="s">
        <v>123</v>
      </c>
      <c r="N14262" s="45">
        <v>46017.114583333336</v>
      </c>
      <c r="O14262" s="46" t="s">
        <v>123</v>
      </c>
      <c r="P14262" s="46">
        <v>3600.0</v>
      </c>
    </row>
    <row r="14263">
      <c r="A14263" s="40">
        <f t="shared" si="1"/>
        <v>46013</v>
      </c>
      <c r="B14263" s="37" t="str">
        <f t="array" ref="B14263">iferror(xlookup($I14263, 'IMPORT VHC Report'!$E:$E, 'IMPORT VHC Report'!$A:$C), )</f>
        <v/>
      </c>
      <c r="C14263" s="44"/>
      <c r="D14263" s="44"/>
      <c r="E14263" s="46" t="s">
        <v>10386</v>
      </c>
      <c r="F14263" s="46" t="s">
        <v>1611</v>
      </c>
      <c r="G14263" s="46">
        <v>5.901973593231E12</v>
      </c>
      <c r="H14263" s="46" t="s">
        <v>1612</v>
      </c>
      <c r="I14263" s="46" t="s">
        <v>1613</v>
      </c>
      <c r="J14263" s="46" t="s">
        <v>125</v>
      </c>
      <c r="K14263" s="46" t="s">
        <v>126</v>
      </c>
      <c r="L14263" s="45">
        <v>46019.833333333336</v>
      </c>
      <c r="M14263" s="46" t="s">
        <v>123</v>
      </c>
      <c r="N14263" s="45">
        <v>46019.84375</v>
      </c>
      <c r="O14263" s="46" t="s">
        <v>123</v>
      </c>
      <c r="P14263" s="46">
        <v>900.0</v>
      </c>
      <c r="S14263" s="46" t="s">
        <v>199</v>
      </c>
    </row>
    <row r="14264">
      <c r="A14264" s="40">
        <f t="shared" si="1"/>
        <v>46013</v>
      </c>
      <c r="B14264" s="37" t="str">
        <f t="array" ref="B14264">iferror(xlookup($I14264, 'IMPORT VHC Report'!$E:$E, 'IMPORT VHC Report'!$A:$C), )</f>
        <v/>
      </c>
      <c r="C14264" s="44"/>
      <c r="D14264" s="44"/>
      <c r="E14264" s="46" t="s">
        <v>10387</v>
      </c>
      <c r="F14264" s="46" t="s">
        <v>1611</v>
      </c>
      <c r="G14264" s="46">
        <v>5.901973593231E12</v>
      </c>
      <c r="H14264" s="46" t="s">
        <v>1612</v>
      </c>
      <c r="I14264" s="46" t="s">
        <v>1613</v>
      </c>
      <c r="J14264" s="46" t="s">
        <v>196</v>
      </c>
      <c r="K14264" s="46" t="s">
        <v>63</v>
      </c>
      <c r="L14264" s="45">
        <v>46019.833333333336</v>
      </c>
      <c r="M14264" s="46" t="s">
        <v>123</v>
      </c>
      <c r="N14264" s="45">
        <v>46020.0</v>
      </c>
      <c r="O14264" s="46" t="s">
        <v>123</v>
      </c>
      <c r="P14264" s="46">
        <v>14400.0</v>
      </c>
    </row>
    <row r="14265">
      <c r="A14265" s="40">
        <f t="shared" si="1"/>
        <v>46013</v>
      </c>
      <c r="B14265" s="37" t="str">
        <f t="array" ref="B14265">iferror(xlookup($I14265, 'IMPORT VHC Report'!$E:$E, 'IMPORT VHC Report'!$A:$C), )</f>
        <v/>
      </c>
      <c r="C14265" s="44"/>
      <c r="D14265" s="44"/>
      <c r="E14265" s="46" t="s">
        <v>10388</v>
      </c>
      <c r="F14265" s="46" t="s">
        <v>1611</v>
      </c>
      <c r="G14265" s="46">
        <v>5.901973593231E12</v>
      </c>
      <c r="H14265" s="46" t="s">
        <v>1612</v>
      </c>
      <c r="I14265" s="46" t="s">
        <v>1613</v>
      </c>
      <c r="J14265" s="46" t="s">
        <v>134</v>
      </c>
      <c r="K14265" s="46" t="s">
        <v>126</v>
      </c>
      <c r="L14265" s="45">
        <v>46019.9375</v>
      </c>
      <c r="M14265" s="46" t="s">
        <v>123</v>
      </c>
      <c r="N14265" s="45">
        <v>46019.958333333336</v>
      </c>
      <c r="O14265" s="46" t="s">
        <v>123</v>
      </c>
      <c r="P14265" s="46">
        <v>1800.0</v>
      </c>
    </row>
    <row r="14266">
      <c r="A14266" s="40">
        <f t="shared" si="1"/>
        <v>46013</v>
      </c>
      <c r="B14266" s="37" t="str">
        <f t="array" ref="B14266">iferror(xlookup($I14266, 'IMPORT VHC Report'!$E:$E, 'IMPORT VHC Report'!$A:$C), )</f>
        <v/>
      </c>
      <c r="C14266" s="44"/>
      <c r="D14266" s="44"/>
      <c r="E14266" s="46" t="s">
        <v>10389</v>
      </c>
      <c r="F14266" s="46" t="s">
        <v>1639</v>
      </c>
      <c r="G14266" s="46">
        <v>1.0548627051023E13</v>
      </c>
      <c r="H14266" s="46" t="s">
        <v>1640</v>
      </c>
      <c r="I14266" s="46" t="s">
        <v>1641</v>
      </c>
      <c r="J14266" s="46" t="s">
        <v>132</v>
      </c>
      <c r="K14266" s="46" t="s">
        <v>126</v>
      </c>
      <c r="L14266" s="45">
        <v>46013.0</v>
      </c>
      <c r="M14266" s="46" t="s">
        <v>123</v>
      </c>
      <c r="N14266" s="45">
        <v>46013.020833333336</v>
      </c>
      <c r="O14266" s="46" t="s">
        <v>123</v>
      </c>
      <c r="P14266" s="46">
        <v>1800.0</v>
      </c>
    </row>
    <row r="14267">
      <c r="A14267" s="40">
        <f t="shared" si="1"/>
        <v>46013</v>
      </c>
      <c r="B14267" s="37" t="str">
        <f t="array" ref="B14267">iferror(xlookup($I14267, 'IMPORT VHC Report'!$E:$E, 'IMPORT VHC Report'!$A:$C), )</f>
        <v/>
      </c>
      <c r="C14267" s="44"/>
      <c r="D14267" s="44"/>
      <c r="E14267" s="46" t="s">
        <v>10390</v>
      </c>
      <c r="F14267" s="46" t="s">
        <v>1639</v>
      </c>
      <c r="G14267" s="46">
        <v>1.0548627051023E13</v>
      </c>
      <c r="H14267" s="46" t="s">
        <v>1640</v>
      </c>
      <c r="I14267" s="46" t="s">
        <v>1641</v>
      </c>
      <c r="J14267" s="46" t="s">
        <v>196</v>
      </c>
      <c r="K14267" s="46" t="s">
        <v>63</v>
      </c>
      <c r="L14267" s="45">
        <v>46013.0</v>
      </c>
      <c r="M14267" s="46" t="s">
        <v>123</v>
      </c>
      <c r="N14267" s="45">
        <v>46013.125</v>
      </c>
      <c r="O14267" s="46" t="s">
        <v>123</v>
      </c>
      <c r="P14267" s="46">
        <v>10800.0</v>
      </c>
    </row>
    <row r="14268">
      <c r="A14268" s="40">
        <f t="shared" si="1"/>
        <v>46013</v>
      </c>
      <c r="B14268" s="37" t="str">
        <f t="array" ref="B14268">iferror(xlookup($I14268, 'IMPORT VHC Report'!$E:$E, 'IMPORT VHC Report'!$A:$C), )</f>
        <v/>
      </c>
      <c r="C14268" s="44"/>
      <c r="D14268" s="44"/>
      <c r="E14268" s="46" t="s">
        <v>10391</v>
      </c>
      <c r="F14268" s="46" t="s">
        <v>1639</v>
      </c>
      <c r="G14268" s="46">
        <v>1.0548627051023E13</v>
      </c>
      <c r="H14268" s="46" t="s">
        <v>1640</v>
      </c>
      <c r="I14268" s="46" t="s">
        <v>1641</v>
      </c>
      <c r="J14268" s="46" t="s">
        <v>125</v>
      </c>
      <c r="K14268" s="46" t="s">
        <v>126</v>
      </c>
      <c r="L14268" s="45">
        <v>46013.75</v>
      </c>
      <c r="M14268" s="46" t="s">
        <v>123</v>
      </c>
      <c r="N14268" s="45">
        <v>46013.760416666664</v>
      </c>
      <c r="O14268" s="46" t="s">
        <v>123</v>
      </c>
      <c r="P14268" s="46">
        <v>900.0</v>
      </c>
      <c r="S14268" s="46" t="s">
        <v>199</v>
      </c>
    </row>
    <row r="14269">
      <c r="A14269" s="40">
        <f t="shared" si="1"/>
        <v>46013</v>
      </c>
      <c r="B14269" s="37" t="str">
        <f t="array" ref="B14269">iferror(xlookup($I14269, 'IMPORT VHC Report'!$E:$E, 'IMPORT VHC Report'!$A:$C), )</f>
        <v/>
      </c>
      <c r="C14269" s="44"/>
      <c r="D14269" s="44"/>
      <c r="E14269" s="46" t="s">
        <v>10392</v>
      </c>
      <c r="F14269" s="46" t="s">
        <v>1639</v>
      </c>
      <c r="G14269" s="46">
        <v>1.0548627051023E13</v>
      </c>
      <c r="H14269" s="46" t="s">
        <v>1640</v>
      </c>
      <c r="I14269" s="46" t="s">
        <v>1641</v>
      </c>
      <c r="J14269" s="46" t="s">
        <v>196</v>
      </c>
      <c r="K14269" s="46" t="s">
        <v>63</v>
      </c>
      <c r="L14269" s="45">
        <v>46013.75</v>
      </c>
      <c r="M14269" s="46" t="s">
        <v>123</v>
      </c>
      <c r="N14269" s="45">
        <v>46014.125</v>
      </c>
      <c r="O14269" s="46" t="s">
        <v>123</v>
      </c>
      <c r="P14269" s="46">
        <v>32400.0</v>
      </c>
    </row>
    <row r="14270">
      <c r="A14270" s="40">
        <f t="shared" si="1"/>
        <v>46013</v>
      </c>
      <c r="B14270" s="37" t="str">
        <f t="array" ref="B14270">iferror(xlookup($I14270, 'IMPORT VHC Report'!$E:$E, 'IMPORT VHC Report'!$A:$C), )</f>
        <v/>
      </c>
      <c r="C14270" s="44"/>
      <c r="D14270" s="44"/>
      <c r="E14270" s="46" t="s">
        <v>10393</v>
      </c>
      <c r="F14270" s="46" t="s">
        <v>1639</v>
      </c>
      <c r="G14270" s="46">
        <v>1.0548627051023E13</v>
      </c>
      <c r="H14270" s="46" t="s">
        <v>1640</v>
      </c>
      <c r="I14270" s="46" t="s">
        <v>1641</v>
      </c>
      <c r="J14270" s="46" t="s">
        <v>134</v>
      </c>
      <c r="K14270" s="46" t="s">
        <v>126</v>
      </c>
      <c r="L14270" s="45">
        <v>46013.84375</v>
      </c>
      <c r="M14270" s="46" t="s">
        <v>123</v>
      </c>
      <c r="N14270" s="45">
        <v>46013.864583333336</v>
      </c>
      <c r="O14270" s="46" t="s">
        <v>123</v>
      </c>
      <c r="P14270" s="46">
        <v>1800.0</v>
      </c>
    </row>
    <row r="14271">
      <c r="A14271" s="40">
        <f t="shared" si="1"/>
        <v>46013</v>
      </c>
      <c r="B14271" s="37" t="str">
        <f t="array" ref="B14271">iferror(xlookup($I14271, 'IMPORT VHC Report'!$E:$E, 'IMPORT VHC Report'!$A:$C), )</f>
        <v/>
      </c>
      <c r="C14271" s="44"/>
      <c r="D14271" s="44"/>
      <c r="E14271" s="46" t="s">
        <v>10394</v>
      </c>
      <c r="F14271" s="46" t="s">
        <v>1639</v>
      </c>
      <c r="G14271" s="46">
        <v>1.0548627051023E13</v>
      </c>
      <c r="H14271" s="46" t="s">
        <v>1640</v>
      </c>
      <c r="I14271" s="46" t="s">
        <v>1641</v>
      </c>
      <c r="J14271" s="46" t="s">
        <v>132</v>
      </c>
      <c r="K14271" s="46" t="s">
        <v>126</v>
      </c>
      <c r="L14271" s="45">
        <v>46014.0</v>
      </c>
      <c r="M14271" s="46" t="s">
        <v>123</v>
      </c>
      <c r="N14271" s="45">
        <v>46014.041666666664</v>
      </c>
      <c r="O14271" s="46" t="s">
        <v>123</v>
      </c>
      <c r="P14271" s="46">
        <v>3600.0</v>
      </c>
    </row>
    <row r="14272">
      <c r="A14272" s="40">
        <f t="shared" si="1"/>
        <v>46013</v>
      </c>
      <c r="B14272" s="37" t="str">
        <f t="array" ref="B14272">iferror(xlookup($I14272, 'IMPORT VHC Report'!$E:$E, 'IMPORT VHC Report'!$A:$C), )</f>
        <v/>
      </c>
      <c r="C14272" s="44"/>
      <c r="D14272" s="44"/>
      <c r="E14272" s="46" t="s">
        <v>10395</v>
      </c>
      <c r="F14272" s="46" t="s">
        <v>1639</v>
      </c>
      <c r="G14272" s="46">
        <v>1.0548627051023E13</v>
      </c>
      <c r="H14272" s="46" t="s">
        <v>1640</v>
      </c>
      <c r="I14272" s="46" t="s">
        <v>1641</v>
      </c>
      <c r="J14272" s="46" t="s">
        <v>125</v>
      </c>
      <c r="K14272" s="46" t="s">
        <v>126</v>
      </c>
      <c r="L14272" s="45">
        <v>46016.75</v>
      </c>
      <c r="M14272" s="46" t="s">
        <v>123</v>
      </c>
      <c r="N14272" s="45">
        <v>46016.760416666664</v>
      </c>
      <c r="O14272" s="46" t="s">
        <v>123</v>
      </c>
      <c r="P14272" s="46">
        <v>900.0</v>
      </c>
      <c r="S14272" s="46" t="s">
        <v>199</v>
      </c>
    </row>
    <row r="14273">
      <c r="A14273" s="40">
        <f t="shared" si="1"/>
        <v>46013</v>
      </c>
      <c r="B14273" s="37" t="str">
        <f t="array" ref="B14273">iferror(xlookup($I14273, 'IMPORT VHC Report'!$E:$E, 'IMPORT VHC Report'!$A:$C), )</f>
        <v/>
      </c>
      <c r="C14273" s="44"/>
      <c r="D14273" s="44"/>
      <c r="E14273" s="46" t="s">
        <v>10396</v>
      </c>
      <c r="F14273" s="46" t="s">
        <v>1639</v>
      </c>
      <c r="G14273" s="46">
        <v>1.0548627051023E13</v>
      </c>
      <c r="H14273" s="46" t="s">
        <v>1640</v>
      </c>
      <c r="I14273" s="46" t="s">
        <v>1641</v>
      </c>
      <c r="J14273" s="46" t="s">
        <v>196</v>
      </c>
      <c r="K14273" s="46" t="s">
        <v>63</v>
      </c>
      <c r="L14273" s="45">
        <v>46016.75</v>
      </c>
      <c r="M14273" s="46" t="s">
        <v>123</v>
      </c>
      <c r="N14273" s="45">
        <v>46016.854166666664</v>
      </c>
      <c r="O14273" s="46" t="s">
        <v>123</v>
      </c>
      <c r="P14273" s="46">
        <v>9000.0</v>
      </c>
    </row>
    <row r="14274">
      <c r="A14274" s="40">
        <f t="shared" si="1"/>
        <v>46013</v>
      </c>
      <c r="B14274" s="37" t="str">
        <f t="array" ref="B14274">iferror(xlookup($I14274, 'IMPORT VHC Report'!$E:$E, 'IMPORT VHC Report'!$A:$C), )</f>
        <v/>
      </c>
      <c r="C14274" s="44"/>
      <c r="D14274" s="44"/>
      <c r="E14274" s="46" t="s">
        <v>10397</v>
      </c>
      <c r="F14274" s="46" t="s">
        <v>1639</v>
      </c>
      <c r="G14274" s="46">
        <v>1.0548627051023E13</v>
      </c>
      <c r="H14274" s="46" t="s">
        <v>1640</v>
      </c>
      <c r="I14274" s="46" t="s">
        <v>1641</v>
      </c>
      <c r="J14274" s="46" t="s">
        <v>62</v>
      </c>
      <c r="K14274" s="46" t="s">
        <v>63</v>
      </c>
      <c r="L14274" s="45">
        <v>46016.854166666664</v>
      </c>
      <c r="M14274" s="46" t="s">
        <v>123</v>
      </c>
      <c r="N14274" s="45">
        <v>46016.875</v>
      </c>
      <c r="O14274" s="46" t="s">
        <v>123</v>
      </c>
      <c r="P14274" s="46">
        <v>1800.0</v>
      </c>
    </row>
    <row r="14275">
      <c r="A14275" s="40">
        <f t="shared" si="1"/>
        <v>46013</v>
      </c>
      <c r="B14275" s="37" t="str">
        <f t="array" ref="B14275">iferror(xlookup($I14275, 'IMPORT VHC Report'!$E:$E, 'IMPORT VHC Report'!$A:$C), )</f>
        <v/>
      </c>
      <c r="C14275" s="44"/>
      <c r="D14275" s="44"/>
      <c r="E14275" s="46" t="s">
        <v>10398</v>
      </c>
      <c r="F14275" s="46" t="s">
        <v>1639</v>
      </c>
      <c r="G14275" s="46">
        <v>1.0548627051023E13</v>
      </c>
      <c r="H14275" s="46" t="s">
        <v>1640</v>
      </c>
      <c r="I14275" s="46" t="s">
        <v>1641</v>
      </c>
      <c r="J14275" s="46" t="s">
        <v>196</v>
      </c>
      <c r="K14275" s="46" t="s">
        <v>63</v>
      </c>
      <c r="L14275" s="45">
        <v>46016.875</v>
      </c>
      <c r="M14275" s="46" t="s">
        <v>123</v>
      </c>
      <c r="N14275" s="45">
        <v>46017.125</v>
      </c>
      <c r="O14275" s="46" t="s">
        <v>123</v>
      </c>
      <c r="P14275" s="46">
        <v>21600.0</v>
      </c>
    </row>
    <row r="14276">
      <c r="A14276" s="40">
        <f t="shared" si="1"/>
        <v>46013</v>
      </c>
      <c r="B14276" s="37" t="str">
        <f t="array" ref="B14276">iferror(xlookup($I14276, 'IMPORT VHC Report'!$E:$E, 'IMPORT VHC Report'!$A:$C), )</f>
        <v/>
      </c>
      <c r="C14276" s="44"/>
      <c r="D14276" s="44"/>
      <c r="E14276" s="46" t="s">
        <v>10399</v>
      </c>
      <c r="F14276" s="46" t="s">
        <v>1639</v>
      </c>
      <c r="G14276" s="46">
        <v>1.0548627051023E13</v>
      </c>
      <c r="H14276" s="46" t="s">
        <v>1640</v>
      </c>
      <c r="I14276" s="46" t="s">
        <v>1641</v>
      </c>
      <c r="J14276" s="46" t="s">
        <v>132</v>
      </c>
      <c r="K14276" s="46" t="s">
        <v>126</v>
      </c>
      <c r="L14276" s="45">
        <v>46016.885416666664</v>
      </c>
      <c r="M14276" s="46" t="s">
        <v>123</v>
      </c>
      <c r="N14276" s="45">
        <v>46016.927083333336</v>
      </c>
      <c r="O14276" s="46" t="s">
        <v>123</v>
      </c>
      <c r="P14276" s="46">
        <v>3600.0</v>
      </c>
    </row>
    <row r="14277">
      <c r="A14277" s="40">
        <f t="shared" si="1"/>
        <v>46013</v>
      </c>
      <c r="B14277" s="37" t="str">
        <f t="array" ref="B14277">iferror(xlookup($I14277, 'IMPORT VHC Report'!$E:$E, 'IMPORT VHC Report'!$A:$C), )</f>
        <v/>
      </c>
      <c r="C14277" s="44"/>
      <c r="D14277" s="44"/>
      <c r="E14277" s="46" t="s">
        <v>10400</v>
      </c>
      <c r="F14277" s="46" t="s">
        <v>1639</v>
      </c>
      <c r="G14277" s="46">
        <v>1.0548627051023E13</v>
      </c>
      <c r="H14277" s="46" t="s">
        <v>1640</v>
      </c>
      <c r="I14277" s="46" t="s">
        <v>1641</v>
      </c>
      <c r="J14277" s="46" t="s">
        <v>134</v>
      </c>
      <c r="K14277" s="46" t="s">
        <v>126</v>
      </c>
      <c r="L14277" s="45">
        <v>46017.041666666664</v>
      </c>
      <c r="M14277" s="46" t="s">
        <v>123</v>
      </c>
      <c r="N14277" s="45">
        <v>46017.0625</v>
      </c>
      <c r="O14277" s="46" t="s">
        <v>123</v>
      </c>
      <c r="P14277" s="46">
        <v>1800.0</v>
      </c>
    </row>
    <row r="14278">
      <c r="A14278" s="40">
        <f t="shared" si="1"/>
        <v>46013</v>
      </c>
      <c r="B14278" s="37" t="str">
        <f t="array" ref="B14278">iferror(xlookup($I14278, 'IMPORT VHC Report'!$E:$E, 'IMPORT VHC Report'!$A:$C), )</f>
        <v/>
      </c>
      <c r="C14278" s="44"/>
      <c r="D14278" s="44"/>
      <c r="E14278" s="46" t="s">
        <v>10401</v>
      </c>
      <c r="F14278" s="46" t="s">
        <v>1639</v>
      </c>
      <c r="G14278" s="46">
        <v>1.0548627051023E13</v>
      </c>
      <c r="H14278" s="46" t="s">
        <v>1640</v>
      </c>
      <c r="I14278" s="46" t="s">
        <v>1641</v>
      </c>
      <c r="J14278" s="46" t="s">
        <v>125</v>
      </c>
      <c r="K14278" s="46" t="s">
        <v>126</v>
      </c>
      <c r="L14278" s="45">
        <v>46017.75</v>
      </c>
      <c r="M14278" s="46" t="s">
        <v>123</v>
      </c>
      <c r="N14278" s="45">
        <v>46017.760416666664</v>
      </c>
      <c r="O14278" s="46" t="s">
        <v>123</v>
      </c>
      <c r="P14278" s="46">
        <v>900.0</v>
      </c>
      <c r="S14278" s="46" t="s">
        <v>199</v>
      </c>
    </row>
    <row r="14279">
      <c r="A14279" s="40">
        <f t="shared" si="1"/>
        <v>46013</v>
      </c>
      <c r="B14279" s="37" t="str">
        <f t="array" ref="B14279">iferror(xlookup($I14279, 'IMPORT VHC Report'!$E:$E, 'IMPORT VHC Report'!$A:$C), )</f>
        <v/>
      </c>
      <c r="C14279" s="44"/>
      <c r="D14279" s="44"/>
      <c r="E14279" s="46" t="s">
        <v>10402</v>
      </c>
      <c r="F14279" s="46" t="s">
        <v>1639</v>
      </c>
      <c r="G14279" s="46">
        <v>1.0548627051023E13</v>
      </c>
      <c r="H14279" s="46" t="s">
        <v>1640</v>
      </c>
      <c r="I14279" s="46" t="s">
        <v>1641</v>
      </c>
      <c r="J14279" s="46" t="s">
        <v>196</v>
      </c>
      <c r="K14279" s="46" t="s">
        <v>63</v>
      </c>
      <c r="L14279" s="45">
        <v>46017.75</v>
      </c>
      <c r="M14279" s="46" t="s">
        <v>123</v>
      </c>
      <c r="N14279" s="45">
        <v>46018.125</v>
      </c>
      <c r="O14279" s="46" t="s">
        <v>123</v>
      </c>
      <c r="P14279" s="46">
        <v>32400.0</v>
      </c>
    </row>
    <row r="14280">
      <c r="A14280" s="40">
        <f t="shared" si="1"/>
        <v>46013</v>
      </c>
      <c r="B14280" s="37" t="str">
        <f t="array" ref="B14280">iferror(xlookup($I14280, 'IMPORT VHC Report'!$E:$E, 'IMPORT VHC Report'!$A:$C), )</f>
        <v/>
      </c>
      <c r="C14280" s="44"/>
      <c r="D14280" s="44"/>
      <c r="E14280" s="46" t="s">
        <v>10403</v>
      </c>
      <c r="F14280" s="46" t="s">
        <v>1639</v>
      </c>
      <c r="G14280" s="46">
        <v>1.0548627051023E13</v>
      </c>
      <c r="H14280" s="46" t="s">
        <v>1640</v>
      </c>
      <c r="I14280" s="46" t="s">
        <v>1641</v>
      </c>
      <c r="J14280" s="46" t="s">
        <v>132</v>
      </c>
      <c r="K14280" s="46" t="s">
        <v>126</v>
      </c>
      <c r="L14280" s="45">
        <v>46017.885416666664</v>
      </c>
      <c r="M14280" s="46" t="s">
        <v>123</v>
      </c>
      <c r="N14280" s="45">
        <v>46017.927083333336</v>
      </c>
      <c r="O14280" s="46" t="s">
        <v>123</v>
      </c>
      <c r="P14280" s="46">
        <v>3600.0</v>
      </c>
    </row>
    <row r="14281">
      <c r="A14281" s="40">
        <f t="shared" si="1"/>
        <v>46013</v>
      </c>
      <c r="B14281" s="37" t="str">
        <f t="array" ref="B14281">iferror(xlookup($I14281, 'IMPORT VHC Report'!$E:$E, 'IMPORT VHC Report'!$A:$C), )</f>
        <v/>
      </c>
      <c r="C14281" s="44"/>
      <c r="D14281" s="44"/>
      <c r="E14281" s="46" t="s">
        <v>10404</v>
      </c>
      <c r="F14281" s="46" t="s">
        <v>1639</v>
      </c>
      <c r="G14281" s="46">
        <v>1.0548627051023E13</v>
      </c>
      <c r="H14281" s="46" t="s">
        <v>1640</v>
      </c>
      <c r="I14281" s="46" t="s">
        <v>1641</v>
      </c>
      <c r="J14281" s="46" t="s">
        <v>134</v>
      </c>
      <c r="K14281" s="46" t="s">
        <v>126</v>
      </c>
      <c r="L14281" s="45">
        <v>46018.020833333336</v>
      </c>
      <c r="M14281" s="46" t="s">
        <v>123</v>
      </c>
      <c r="N14281" s="45">
        <v>46018.041666666664</v>
      </c>
      <c r="O14281" s="46" t="s">
        <v>123</v>
      </c>
      <c r="P14281" s="46">
        <v>1800.0</v>
      </c>
    </row>
    <row r="14282">
      <c r="A14282" s="40">
        <f t="shared" si="1"/>
        <v>46013</v>
      </c>
      <c r="B14282" s="37" t="str">
        <f t="array" ref="B14282">iferror(xlookup($I14282, 'IMPORT VHC Report'!$E:$E, 'IMPORT VHC Report'!$A:$C), )</f>
        <v/>
      </c>
      <c r="C14282" s="44"/>
      <c r="D14282" s="44"/>
      <c r="E14282" s="46" t="s">
        <v>10405</v>
      </c>
      <c r="F14282" s="46" t="s">
        <v>1639</v>
      </c>
      <c r="G14282" s="46">
        <v>1.0548627051023E13</v>
      </c>
      <c r="H14282" s="46" t="s">
        <v>1640</v>
      </c>
      <c r="I14282" s="46" t="s">
        <v>1641</v>
      </c>
      <c r="J14282" s="46" t="s">
        <v>125</v>
      </c>
      <c r="K14282" s="46" t="s">
        <v>126</v>
      </c>
      <c r="L14282" s="45">
        <v>46018.75</v>
      </c>
      <c r="M14282" s="46" t="s">
        <v>123</v>
      </c>
      <c r="N14282" s="45">
        <v>46018.760416666664</v>
      </c>
      <c r="O14282" s="46" t="s">
        <v>123</v>
      </c>
      <c r="P14282" s="46">
        <v>900.0</v>
      </c>
      <c r="S14282" s="46" t="s">
        <v>199</v>
      </c>
    </row>
    <row r="14283">
      <c r="A14283" s="40">
        <f t="shared" si="1"/>
        <v>46013</v>
      </c>
      <c r="B14283" s="37" t="str">
        <f t="array" ref="B14283">iferror(xlookup($I14283, 'IMPORT VHC Report'!$E:$E, 'IMPORT VHC Report'!$A:$C), )</f>
        <v/>
      </c>
      <c r="C14283" s="44"/>
      <c r="D14283" s="44"/>
      <c r="E14283" s="46" t="s">
        <v>10406</v>
      </c>
      <c r="F14283" s="46" t="s">
        <v>1639</v>
      </c>
      <c r="G14283" s="46">
        <v>1.0548627051023E13</v>
      </c>
      <c r="H14283" s="46" t="s">
        <v>1640</v>
      </c>
      <c r="I14283" s="46" t="s">
        <v>1641</v>
      </c>
      <c r="J14283" s="46" t="s">
        <v>196</v>
      </c>
      <c r="K14283" s="46" t="s">
        <v>63</v>
      </c>
      <c r="L14283" s="45">
        <v>46018.75</v>
      </c>
      <c r="M14283" s="46" t="s">
        <v>123</v>
      </c>
      <c r="N14283" s="45">
        <v>46019.125</v>
      </c>
      <c r="O14283" s="46" t="s">
        <v>123</v>
      </c>
      <c r="P14283" s="46">
        <v>32400.0</v>
      </c>
    </row>
    <row r="14284">
      <c r="A14284" s="40">
        <f t="shared" si="1"/>
        <v>46013</v>
      </c>
      <c r="B14284" s="37" t="str">
        <f t="array" ref="B14284">iferror(xlookup($I14284, 'IMPORT VHC Report'!$E:$E, 'IMPORT VHC Report'!$A:$C), )</f>
        <v/>
      </c>
      <c r="C14284" s="44"/>
      <c r="D14284" s="44"/>
      <c r="E14284" s="46" t="s">
        <v>10407</v>
      </c>
      <c r="F14284" s="46" t="s">
        <v>1639</v>
      </c>
      <c r="G14284" s="46">
        <v>1.0548627051023E13</v>
      </c>
      <c r="H14284" s="46" t="s">
        <v>1640</v>
      </c>
      <c r="I14284" s="46" t="s">
        <v>1641</v>
      </c>
      <c r="J14284" s="46" t="s">
        <v>132</v>
      </c>
      <c r="K14284" s="46" t="s">
        <v>126</v>
      </c>
      <c r="L14284" s="45">
        <v>46018.895833333336</v>
      </c>
      <c r="M14284" s="46" t="s">
        <v>123</v>
      </c>
      <c r="N14284" s="45">
        <v>46018.9375</v>
      </c>
      <c r="O14284" s="46" t="s">
        <v>123</v>
      </c>
      <c r="P14284" s="46">
        <v>3600.0</v>
      </c>
    </row>
    <row r="14285">
      <c r="A14285" s="40">
        <f t="shared" si="1"/>
        <v>46013</v>
      </c>
      <c r="B14285" s="37" t="str">
        <f t="array" ref="B14285">iferror(xlookup($I14285, 'IMPORT VHC Report'!$E:$E, 'IMPORT VHC Report'!$A:$C), )</f>
        <v/>
      </c>
      <c r="C14285" s="44"/>
      <c r="D14285" s="44"/>
      <c r="E14285" s="46" t="s">
        <v>10408</v>
      </c>
      <c r="F14285" s="46" t="s">
        <v>1639</v>
      </c>
      <c r="G14285" s="46">
        <v>1.0548627051023E13</v>
      </c>
      <c r="H14285" s="46" t="s">
        <v>1640</v>
      </c>
      <c r="I14285" s="46" t="s">
        <v>1641</v>
      </c>
      <c r="J14285" s="46" t="s">
        <v>134</v>
      </c>
      <c r="K14285" s="46" t="s">
        <v>126</v>
      </c>
      <c r="L14285" s="45">
        <v>46019.041666666664</v>
      </c>
      <c r="M14285" s="46" t="s">
        <v>123</v>
      </c>
      <c r="N14285" s="45">
        <v>46019.0625</v>
      </c>
      <c r="O14285" s="46" t="s">
        <v>123</v>
      </c>
      <c r="P14285" s="46">
        <v>1800.0</v>
      </c>
    </row>
    <row r="14286">
      <c r="A14286" s="40">
        <f t="shared" si="1"/>
        <v>46013</v>
      </c>
      <c r="B14286" s="37" t="str">
        <f t="array" ref="B14286">iferror(xlookup($I14286, 'IMPORT VHC Report'!$E:$E, 'IMPORT VHC Report'!$A:$C), )</f>
        <v/>
      </c>
      <c r="C14286" s="44"/>
      <c r="D14286" s="44"/>
      <c r="E14286" s="46" t="s">
        <v>10409</v>
      </c>
      <c r="F14286" s="46" t="s">
        <v>1639</v>
      </c>
      <c r="G14286" s="46">
        <v>1.0548627051023E13</v>
      </c>
      <c r="H14286" s="46" t="s">
        <v>1640</v>
      </c>
      <c r="I14286" s="46" t="s">
        <v>1641</v>
      </c>
      <c r="J14286" s="46" t="s">
        <v>125</v>
      </c>
      <c r="K14286" s="46" t="s">
        <v>126</v>
      </c>
      <c r="L14286" s="45">
        <v>46019.75</v>
      </c>
      <c r="M14286" s="46" t="s">
        <v>123</v>
      </c>
      <c r="N14286" s="45">
        <v>46019.760416666664</v>
      </c>
      <c r="O14286" s="46" t="s">
        <v>123</v>
      </c>
      <c r="P14286" s="46">
        <v>900.0</v>
      </c>
      <c r="S14286" s="46" t="s">
        <v>199</v>
      </c>
    </row>
    <row r="14287">
      <c r="A14287" s="40">
        <f t="shared" si="1"/>
        <v>46013</v>
      </c>
      <c r="B14287" s="37" t="str">
        <f t="array" ref="B14287">iferror(xlookup($I14287, 'IMPORT VHC Report'!$E:$E, 'IMPORT VHC Report'!$A:$C), )</f>
        <v/>
      </c>
      <c r="C14287" s="44"/>
      <c r="D14287" s="44"/>
      <c r="E14287" s="46" t="s">
        <v>10410</v>
      </c>
      <c r="F14287" s="46" t="s">
        <v>1639</v>
      </c>
      <c r="G14287" s="46">
        <v>1.0548627051023E13</v>
      </c>
      <c r="H14287" s="46" t="s">
        <v>1640</v>
      </c>
      <c r="I14287" s="46" t="s">
        <v>1641</v>
      </c>
      <c r="J14287" s="46" t="s">
        <v>196</v>
      </c>
      <c r="K14287" s="46" t="s">
        <v>63</v>
      </c>
      <c r="L14287" s="45">
        <v>46019.75</v>
      </c>
      <c r="M14287" s="46" t="s">
        <v>123</v>
      </c>
      <c r="N14287" s="45">
        <v>46020.0</v>
      </c>
      <c r="O14287" s="46" t="s">
        <v>123</v>
      </c>
      <c r="P14287" s="46">
        <v>21600.0</v>
      </c>
    </row>
    <row r="14288">
      <c r="A14288" s="40">
        <f t="shared" si="1"/>
        <v>46013</v>
      </c>
      <c r="B14288" s="37" t="str">
        <f t="array" ref="B14288">iferror(xlookup($I14288, 'IMPORT VHC Report'!$E:$E, 'IMPORT VHC Report'!$A:$C), )</f>
        <v/>
      </c>
      <c r="C14288" s="44"/>
      <c r="D14288" s="44"/>
      <c r="E14288" s="46" t="s">
        <v>10411</v>
      </c>
      <c r="F14288" s="46" t="s">
        <v>1639</v>
      </c>
      <c r="G14288" s="46">
        <v>1.0548627051023E13</v>
      </c>
      <c r="H14288" s="46" t="s">
        <v>1640</v>
      </c>
      <c r="I14288" s="46" t="s">
        <v>1641</v>
      </c>
      <c r="J14288" s="46" t="s">
        <v>134</v>
      </c>
      <c r="K14288" s="46" t="s">
        <v>126</v>
      </c>
      <c r="L14288" s="45">
        <v>46019.854166666664</v>
      </c>
      <c r="M14288" s="46" t="s">
        <v>123</v>
      </c>
      <c r="N14288" s="45">
        <v>46019.875</v>
      </c>
      <c r="O14288" s="46" t="s">
        <v>123</v>
      </c>
      <c r="P14288" s="46">
        <v>1800.0</v>
      </c>
    </row>
    <row r="14289">
      <c r="A14289" s="40">
        <f t="shared" si="1"/>
        <v>46013</v>
      </c>
      <c r="B14289" s="37" t="str">
        <f t="array" ref="B14289">iferror(xlookup($I14289, 'IMPORT VHC Report'!$E:$E, 'IMPORT VHC Report'!$A:$C), )</f>
        <v/>
      </c>
      <c r="C14289" s="44"/>
      <c r="D14289" s="44"/>
      <c r="E14289" s="46" t="s">
        <v>10412</v>
      </c>
      <c r="F14289" s="46" t="s">
        <v>1639</v>
      </c>
      <c r="G14289" s="46">
        <v>1.0548627051023E13</v>
      </c>
      <c r="H14289" s="46" t="s">
        <v>1640</v>
      </c>
      <c r="I14289" s="46" t="s">
        <v>1641</v>
      </c>
      <c r="J14289" s="46" t="s">
        <v>132</v>
      </c>
      <c r="K14289" s="46" t="s">
        <v>126</v>
      </c>
      <c r="L14289" s="45">
        <v>46019.979166666664</v>
      </c>
      <c r="M14289" s="46" t="s">
        <v>123</v>
      </c>
      <c r="N14289" s="45">
        <v>46020.0</v>
      </c>
      <c r="O14289" s="46" t="s">
        <v>123</v>
      </c>
      <c r="P14289" s="46">
        <v>1800.0</v>
      </c>
    </row>
    <row r="14290">
      <c r="A14290" s="40">
        <f t="shared" si="1"/>
        <v>46013</v>
      </c>
      <c r="B14290" s="37" t="str">
        <f t="array" ref="B14290">iferror(xlookup($I14290, 'IMPORT VHC Report'!$E:$E, 'IMPORT VHC Report'!$A:$C), )</f>
        <v/>
      </c>
      <c r="C14290" s="44"/>
      <c r="D14290" s="44"/>
      <c r="E14290" s="46" t="s">
        <v>10413</v>
      </c>
      <c r="F14290" s="46" t="s">
        <v>1743</v>
      </c>
      <c r="G14290" s="46">
        <v>3.61731349115E11</v>
      </c>
      <c r="H14290" s="46" t="s">
        <v>1744</v>
      </c>
      <c r="I14290" s="46" t="s">
        <v>1745</v>
      </c>
      <c r="J14290" s="46" t="s">
        <v>125</v>
      </c>
      <c r="K14290" s="46" t="s">
        <v>126</v>
      </c>
      <c r="L14290" s="45">
        <v>46013.083333333336</v>
      </c>
      <c r="M14290" s="46" t="s">
        <v>123</v>
      </c>
      <c r="N14290" s="45">
        <v>46013.09375</v>
      </c>
      <c r="O14290" s="46" t="s">
        <v>123</v>
      </c>
      <c r="P14290" s="46">
        <v>900.0</v>
      </c>
      <c r="S14290" s="46" t="s">
        <v>199</v>
      </c>
    </row>
    <row r="14291">
      <c r="A14291" s="40">
        <f t="shared" si="1"/>
        <v>46013</v>
      </c>
      <c r="B14291" s="37" t="str">
        <f t="array" ref="B14291">iferror(xlookup($I14291, 'IMPORT VHC Report'!$E:$E, 'IMPORT VHC Report'!$A:$C), )</f>
        <v/>
      </c>
      <c r="C14291" s="44"/>
      <c r="D14291" s="44"/>
      <c r="E14291" s="46" t="s">
        <v>10414</v>
      </c>
      <c r="F14291" s="46" t="s">
        <v>1743</v>
      </c>
      <c r="G14291" s="46">
        <v>3.61731349115E11</v>
      </c>
      <c r="H14291" s="46" t="s">
        <v>1744</v>
      </c>
      <c r="I14291" s="46" t="s">
        <v>1745</v>
      </c>
      <c r="J14291" s="46" t="s">
        <v>196</v>
      </c>
      <c r="K14291" s="46" t="s">
        <v>63</v>
      </c>
      <c r="L14291" s="45">
        <v>46013.083333333336</v>
      </c>
      <c r="M14291" s="46" t="s">
        <v>123</v>
      </c>
      <c r="N14291" s="45">
        <v>46013.458333333336</v>
      </c>
      <c r="O14291" s="46" t="s">
        <v>123</v>
      </c>
      <c r="P14291" s="46">
        <v>32400.0</v>
      </c>
    </row>
    <row r="14292">
      <c r="A14292" s="40">
        <f t="shared" si="1"/>
        <v>46013</v>
      </c>
      <c r="B14292" s="37" t="str">
        <f t="array" ref="B14292">iferror(xlookup($I14292, 'IMPORT VHC Report'!$E:$E, 'IMPORT VHC Report'!$A:$C), )</f>
        <v/>
      </c>
      <c r="C14292" s="44"/>
      <c r="D14292" s="44"/>
      <c r="E14292" s="46" t="s">
        <v>10415</v>
      </c>
      <c r="F14292" s="46" t="s">
        <v>1743</v>
      </c>
      <c r="G14292" s="46">
        <v>3.61731349115E11</v>
      </c>
      <c r="H14292" s="46" t="s">
        <v>1744</v>
      </c>
      <c r="I14292" s="46" t="s">
        <v>1745</v>
      </c>
      <c r="J14292" s="46" t="s">
        <v>134</v>
      </c>
      <c r="K14292" s="46" t="s">
        <v>126</v>
      </c>
      <c r="L14292" s="45">
        <v>46013.1875</v>
      </c>
      <c r="M14292" s="46" t="s">
        <v>123</v>
      </c>
      <c r="N14292" s="45">
        <v>46013.208333333336</v>
      </c>
      <c r="O14292" s="46" t="s">
        <v>123</v>
      </c>
      <c r="P14292" s="46">
        <v>1800.0</v>
      </c>
    </row>
    <row r="14293">
      <c r="A14293" s="40">
        <f t="shared" si="1"/>
        <v>46013</v>
      </c>
      <c r="B14293" s="37" t="str">
        <f t="array" ref="B14293">iferror(xlookup($I14293, 'IMPORT VHC Report'!$E:$E, 'IMPORT VHC Report'!$A:$C), )</f>
        <v/>
      </c>
      <c r="C14293" s="44"/>
      <c r="D14293" s="44"/>
      <c r="E14293" s="46" t="s">
        <v>10416</v>
      </c>
      <c r="F14293" s="46" t="s">
        <v>1743</v>
      </c>
      <c r="G14293" s="46">
        <v>3.61731349115E11</v>
      </c>
      <c r="H14293" s="46" t="s">
        <v>1744</v>
      </c>
      <c r="I14293" s="46" t="s">
        <v>1745</v>
      </c>
      <c r="J14293" s="46" t="s">
        <v>125</v>
      </c>
      <c r="K14293" s="46" t="s">
        <v>126</v>
      </c>
      <c r="L14293" s="45">
        <v>46013.26875</v>
      </c>
      <c r="M14293" s="46" t="s">
        <v>123</v>
      </c>
      <c r="N14293" s="45">
        <v>46013.27916666667</v>
      </c>
      <c r="O14293" s="46" t="s">
        <v>123</v>
      </c>
      <c r="P14293" s="46">
        <v>900.0</v>
      </c>
      <c r="S14293" s="46" t="s">
        <v>10417</v>
      </c>
    </row>
    <row r="14294">
      <c r="A14294" s="40">
        <f t="shared" si="1"/>
        <v>46013</v>
      </c>
      <c r="B14294" s="37" t="str">
        <f t="array" ref="B14294">iferror(xlookup($I14294, 'IMPORT VHC Report'!$E:$E, 'IMPORT VHC Report'!$A:$C), )</f>
        <v/>
      </c>
      <c r="C14294" s="44"/>
      <c r="D14294" s="44"/>
      <c r="E14294" s="46" t="s">
        <v>10418</v>
      </c>
      <c r="F14294" s="46" t="s">
        <v>1743</v>
      </c>
      <c r="G14294" s="46">
        <v>3.61731349115E11</v>
      </c>
      <c r="H14294" s="46" t="s">
        <v>1744</v>
      </c>
      <c r="I14294" s="46" t="s">
        <v>1745</v>
      </c>
      <c r="J14294" s="46" t="s">
        <v>132</v>
      </c>
      <c r="K14294" s="46" t="s">
        <v>126</v>
      </c>
      <c r="L14294" s="45">
        <v>46013.322916666664</v>
      </c>
      <c r="M14294" s="46" t="s">
        <v>123</v>
      </c>
      <c r="N14294" s="45">
        <v>46013.364583333336</v>
      </c>
      <c r="O14294" s="46" t="s">
        <v>123</v>
      </c>
      <c r="P14294" s="46">
        <v>3600.0</v>
      </c>
    </row>
    <row r="14295">
      <c r="A14295" s="40">
        <f t="shared" si="1"/>
        <v>46013</v>
      </c>
      <c r="B14295" s="37" t="str">
        <f t="array" ref="B14295">iferror(xlookup($I14295, 'IMPORT VHC Report'!$E:$E, 'IMPORT VHC Report'!$A:$C), )</f>
        <v/>
      </c>
      <c r="C14295" s="44"/>
      <c r="D14295" s="44"/>
      <c r="E14295" s="46" t="s">
        <v>10419</v>
      </c>
      <c r="F14295" s="46" t="s">
        <v>1743</v>
      </c>
      <c r="G14295" s="46">
        <v>3.61731349115E11</v>
      </c>
      <c r="H14295" s="46" t="s">
        <v>1744</v>
      </c>
      <c r="I14295" s="46" t="s">
        <v>1745</v>
      </c>
      <c r="J14295" s="46" t="s">
        <v>125</v>
      </c>
      <c r="K14295" s="46" t="s">
        <v>126</v>
      </c>
      <c r="L14295" s="45">
        <v>46013.42569444444</v>
      </c>
      <c r="M14295" s="46" t="s">
        <v>123</v>
      </c>
      <c r="N14295" s="45">
        <v>46013.436111111114</v>
      </c>
      <c r="O14295" s="46" t="s">
        <v>123</v>
      </c>
      <c r="P14295" s="46">
        <v>900.0</v>
      </c>
      <c r="S14295" s="46" t="s">
        <v>10420</v>
      </c>
    </row>
    <row r="14296">
      <c r="A14296" s="40">
        <f t="shared" si="1"/>
        <v>46013</v>
      </c>
      <c r="B14296" s="37" t="str">
        <f t="array" ref="B14296">iferror(xlookup($I14296, 'IMPORT VHC Report'!$E:$E, 'IMPORT VHC Report'!$A:$C), )</f>
        <v/>
      </c>
      <c r="C14296" s="44"/>
      <c r="D14296" s="44"/>
      <c r="E14296" s="46" t="s">
        <v>10421</v>
      </c>
      <c r="F14296" s="46" t="s">
        <v>1743</v>
      </c>
      <c r="G14296" s="46">
        <v>3.61731349115E11</v>
      </c>
      <c r="H14296" s="46" t="s">
        <v>1744</v>
      </c>
      <c r="I14296" s="46" t="s">
        <v>1745</v>
      </c>
      <c r="J14296" s="46" t="s">
        <v>125</v>
      </c>
      <c r="K14296" s="46" t="s">
        <v>126</v>
      </c>
      <c r="L14296" s="45">
        <v>46014.083333333336</v>
      </c>
      <c r="M14296" s="46" t="s">
        <v>123</v>
      </c>
      <c r="N14296" s="45">
        <v>46014.09375</v>
      </c>
      <c r="O14296" s="46" t="s">
        <v>123</v>
      </c>
      <c r="P14296" s="46">
        <v>900.0</v>
      </c>
      <c r="S14296" s="46" t="s">
        <v>199</v>
      </c>
    </row>
    <row r="14297">
      <c r="A14297" s="40">
        <f t="shared" si="1"/>
        <v>46013</v>
      </c>
      <c r="B14297" s="37" t="str">
        <f t="array" ref="B14297">iferror(xlookup($I14297, 'IMPORT VHC Report'!$E:$E, 'IMPORT VHC Report'!$A:$C), )</f>
        <v/>
      </c>
      <c r="C14297" s="44"/>
      <c r="D14297" s="44"/>
      <c r="E14297" s="46" t="s">
        <v>10422</v>
      </c>
      <c r="F14297" s="46" t="s">
        <v>1743</v>
      </c>
      <c r="G14297" s="46">
        <v>3.61731349115E11</v>
      </c>
      <c r="H14297" s="46" t="s">
        <v>1744</v>
      </c>
      <c r="I14297" s="46" t="s">
        <v>1745</v>
      </c>
      <c r="J14297" s="46" t="s">
        <v>196</v>
      </c>
      <c r="K14297" s="46" t="s">
        <v>63</v>
      </c>
      <c r="L14297" s="45">
        <v>46014.083333333336</v>
      </c>
      <c r="M14297" s="46" t="s">
        <v>123</v>
      </c>
      <c r="N14297" s="45">
        <v>46014.458333333336</v>
      </c>
      <c r="O14297" s="46" t="s">
        <v>123</v>
      </c>
      <c r="P14297" s="46">
        <v>32400.0</v>
      </c>
    </row>
    <row r="14298">
      <c r="A14298" s="40">
        <f t="shared" si="1"/>
        <v>46013</v>
      </c>
      <c r="B14298" s="37" t="str">
        <f t="array" ref="B14298">iferror(xlookup($I14298, 'IMPORT VHC Report'!$E:$E, 'IMPORT VHC Report'!$A:$C), )</f>
        <v/>
      </c>
      <c r="C14298" s="44"/>
      <c r="D14298" s="44"/>
      <c r="E14298" s="46" t="s">
        <v>10423</v>
      </c>
      <c r="F14298" s="46" t="s">
        <v>1743</v>
      </c>
      <c r="G14298" s="46">
        <v>3.61731349115E11</v>
      </c>
      <c r="H14298" s="46" t="s">
        <v>1744</v>
      </c>
      <c r="I14298" s="46" t="s">
        <v>1745</v>
      </c>
      <c r="J14298" s="46" t="s">
        <v>134</v>
      </c>
      <c r="K14298" s="46" t="s">
        <v>126</v>
      </c>
      <c r="L14298" s="45">
        <v>46014.197916666664</v>
      </c>
      <c r="M14298" s="46" t="s">
        <v>123</v>
      </c>
      <c r="N14298" s="45">
        <v>46014.21875</v>
      </c>
      <c r="O14298" s="46" t="s">
        <v>123</v>
      </c>
      <c r="P14298" s="46">
        <v>1800.0</v>
      </c>
    </row>
    <row r="14299">
      <c r="A14299" s="40">
        <f t="shared" si="1"/>
        <v>46013</v>
      </c>
      <c r="B14299" s="37" t="str">
        <f t="array" ref="B14299">iferror(xlookup($I14299, 'IMPORT VHC Report'!$E:$E, 'IMPORT VHC Report'!$A:$C), )</f>
        <v/>
      </c>
      <c r="C14299" s="44"/>
      <c r="D14299" s="44"/>
      <c r="E14299" s="46" t="s">
        <v>10424</v>
      </c>
      <c r="F14299" s="46" t="s">
        <v>1743</v>
      </c>
      <c r="G14299" s="46">
        <v>3.61731349115E11</v>
      </c>
      <c r="H14299" s="46" t="s">
        <v>1744</v>
      </c>
      <c r="I14299" s="46" t="s">
        <v>1745</v>
      </c>
      <c r="J14299" s="46" t="s">
        <v>125</v>
      </c>
      <c r="K14299" s="46" t="s">
        <v>126</v>
      </c>
      <c r="L14299" s="45">
        <v>46014.26597222222</v>
      </c>
      <c r="M14299" s="46" t="s">
        <v>123</v>
      </c>
      <c r="N14299" s="45">
        <v>46014.27638888889</v>
      </c>
      <c r="O14299" s="46" t="s">
        <v>123</v>
      </c>
      <c r="P14299" s="46">
        <v>900.0</v>
      </c>
      <c r="S14299" s="46" t="s">
        <v>10425</v>
      </c>
    </row>
    <row r="14300">
      <c r="A14300" s="40">
        <f t="shared" si="1"/>
        <v>46013</v>
      </c>
      <c r="B14300" s="37" t="str">
        <f t="array" ref="B14300">iferror(xlookup($I14300, 'IMPORT VHC Report'!$E:$E, 'IMPORT VHC Report'!$A:$C), )</f>
        <v/>
      </c>
      <c r="C14300" s="44"/>
      <c r="D14300" s="44"/>
      <c r="E14300" s="46" t="s">
        <v>10426</v>
      </c>
      <c r="F14300" s="46" t="s">
        <v>1743</v>
      </c>
      <c r="G14300" s="46">
        <v>3.61731349115E11</v>
      </c>
      <c r="H14300" s="46" t="s">
        <v>1744</v>
      </c>
      <c r="I14300" s="46" t="s">
        <v>1745</v>
      </c>
      <c r="J14300" s="46" t="s">
        <v>132</v>
      </c>
      <c r="K14300" s="46" t="s">
        <v>126</v>
      </c>
      <c r="L14300" s="45">
        <v>46014.322916666664</v>
      </c>
      <c r="M14300" s="46" t="s">
        <v>123</v>
      </c>
      <c r="N14300" s="45">
        <v>46014.364583333336</v>
      </c>
      <c r="O14300" s="46" t="s">
        <v>123</v>
      </c>
      <c r="P14300" s="46">
        <v>3600.0</v>
      </c>
    </row>
    <row r="14301">
      <c r="A14301" s="40">
        <f t="shared" si="1"/>
        <v>46013</v>
      </c>
      <c r="B14301" s="37" t="str">
        <f t="array" ref="B14301">iferror(xlookup($I14301, 'IMPORT VHC Report'!$E:$E, 'IMPORT VHC Report'!$A:$C), )</f>
        <v/>
      </c>
      <c r="C14301" s="44"/>
      <c r="D14301" s="44"/>
      <c r="E14301" s="46" t="s">
        <v>10427</v>
      </c>
      <c r="F14301" s="46" t="s">
        <v>1743</v>
      </c>
      <c r="G14301" s="46">
        <v>3.61731349115E11</v>
      </c>
      <c r="H14301" s="46" t="s">
        <v>1744</v>
      </c>
      <c r="I14301" s="46" t="s">
        <v>1745</v>
      </c>
      <c r="J14301" s="46" t="s">
        <v>125</v>
      </c>
      <c r="K14301" s="46" t="s">
        <v>126</v>
      </c>
      <c r="L14301" s="45">
        <v>46017.083333333336</v>
      </c>
      <c r="M14301" s="46" t="s">
        <v>123</v>
      </c>
      <c r="N14301" s="45">
        <v>46017.09375</v>
      </c>
      <c r="O14301" s="46" t="s">
        <v>123</v>
      </c>
      <c r="P14301" s="46">
        <v>900.0</v>
      </c>
      <c r="S14301" s="46" t="s">
        <v>199</v>
      </c>
    </row>
    <row r="14302">
      <c r="A14302" s="40">
        <f t="shared" si="1"/>
        <v>46013</v>
      </c>
      <c r="B14302" s="37" t="str">
        <f t="array" ref="B14302">iferror(xlookup($I14302, 'IMPORT VHC Report'!$E:$E, 'IMPORT VHC Report'!$A:$C), )</f>
        <v/>
      </c>
      <c r="C14302" s="44"/>
      <c r="D14302" s="44"/>
      <c r="E14302" s="46" t="s">
        <v>10428</v>
      </c>
      <c r="F14302" s="46" t="s">
        <v>1743</v>
      </c>
      <c r="G14302" s="46">
        <v>3.61731349115E11</v>
      </c>
      <c r="H14302" s="46" t="s">
        <v>1744</v>
      </c>
      <c r="I14302" s="46" t="s">
        <v>1745</v>
      </c>
      <c r="J14302" s="46" t="s">
        <v>196</v>
      </c>
      <c r="K14302" s="46" t="s">
        <v>63</v>
      </c>
      <c r="L14302" s="45">
        <v>46017.083333333336</v>
      </c>
      <c r="M14302" s="46" t="s">
        <v>123</v>
      </c>
      <c r="N14302" s="45">
        <v>46017.4375</v>
      </c>
      <c r="O14302" s="46" t="s">
        <v>123</v>
      </c>
      <c r="P14302" s="46">
        <v>30600.0</v>
      </c>
    </row>
    <row r="14303">
      <c r="A14303" s="40">
        <f t="shared" si="1"/>
        <v>46013</v>
      </c>
      <c r="B14303" s="37" t="str">
        <f t="array" ref="B14303">iferror(xlookup($I14303, 'IMPORT VHC Report'!$E:$E, 'IMPORT VHC Report'!$A:$C), )</f>
        <v/>
      </c>
      <c r="C14303" s="44"/>
      <c r="D14303" s="44"/>
      <c r="E14303" s="46" t="s">
        <v>10429</v>
      </c>
      <c r="F14303" s="46" t="s">
        <v>1743</v>
      </c>
      <c r="G14303" s="46">
        <v>3.61731349115E11</v>
      </c>
      <c r="H14303" s="46" t="s">
        <v>1744</v>
      </c>
      <c r="I14303" s="46" t="s">
        <v>1745</v>
      </c>
      <c r="J14303" s="46" t="s">
        <v>132</v>
      </c>
      <c r="K14303" s="46" t="s">
        <v>126</v>
      </c>
      <c r="L14303" s="45">
        <v>46017.197916666664</v>
      </c>
      <c r="M14303" s="46" t="s">
        <v>123</v>
      </c>
      <c r="N14303" s="45">
        <v>46017.239583333336</v>
      </c>
      <c r="O14303" s="46" t="s">
        <v>123</v>
      </c>
      <c r="P14303" s="46">
        <v>3600.0</v>
      </c>
    </row>
    <row r="14304">
      <c r="A14304" s="40">
        <f t="shared" si="1"/>
        <v>46013</v>
      </c>
      <c r="B14304" s="37" t="str">
        <f t="array" ref="B14304">iferror(xlookup($I14304, 'IMPORT VHC Report'!$E:$E, 'IMPORT VHC Report'!$A:$C), )</f>
        <v/>
      </c>
      <c r="C14304" s="44"/>
      <c r="D14304" s="44"/>
      <c r="E14304" s="46" t="s">
        <v>10430</v>
      </c>
      <c r="F14304" s="46" t="s">
        <v>1743</v>
      </c>
      <c r="G14304" s="46">
        <v>3.61731349115E11</v>
      </c>
      <c r="H14304" s="46" t="s">
        <v>1744</v>
      </c>
      <c r="I14304" s="46" t="s">
        <v>1745</v>
      </c>
      <c r="J14304" s="46" t="s">
        <v>134</v>
      </c>
      <c r="K14304" s="46" t="s">
        <v>126</v>
      </c>
      <c r="L14304" s="45">
        <v>46017.333333333336</v>
      </c>
      <c r="M14304" s="46" t="s">
        <v>123</v>
      </c>
      <c r="N14304" s="45">
        <v>46017.354166666664</v>
      </c>
      <c r="O14304" s="46" t="s">
        <v>123</v>
      </c>
      <c r="P14304" s="46">
        <v>1800.0</v>
      </c>
    </row>
    <row r="14305">
      <c r="A14305" s="40">
        <f t="shared" si="1"/>
        <v>46013</v>
      </c>
      <c r="B14305" s="37" t="str">
        <f t="array" ref="B14305">iferror(xlookup($I14305, 'IMPORT VHC Report'!$E:$E, 'IMPORT VHC Report'!$A:$C), )</f>
        <v/>
      </c>
      <c r="C14305" s="44"/>
      <c r="D14305" s="44"/>
      <c r="E14305" s="46" t="s">
        <v>10431</v>
      </c>
      <c r="F14305" s="46" t="s">
        <v>1743</v>
      </c>
      <c r="G14305" s="46">
        <v>3.61731349115E11</v>
      </c>
      <c r="H14305" s="46" t="s">
        <v>1744</v>
      </c>
      <c r="I14305" s="46" t="s">
        <v>1745</v>
      </c>
      <c r="J14305" s="46" t="s">
        <v>62</v>
      </c>
      <c r="K14305" s="46" t="s">
        <v>63</v>
      </c>
      <c r="L14305" s="45">
        <v>46017.4375</v>
      </c>
      <c r="M14305" s="46" t="s">
        <v>123</v>
      </c>
      <c r="N14305" s="45">
        <v>46017.458333333336</v>
      </c>
      <c r="O14305" s="46" t="s">
        <v>123</v>
      </c>
      <c r="P14305" s="46">
        <v>1800.0</v>
      </c>
    </row>
    <row r="14306">
      <c r="A14306" s="40">
        <f t="shared" si="1"/>
        <v>46013</v>
      </c>
      <c r="B14306" s="37" t="str">
        <f t="array" ref="B14306">iferror(xlookup($I14306, 'IMPORT VHC Report'!$E:$E, 'IMPORT VHC Report'!$A:$C), )</f>
        <v/>
      </c>
      <c r="C14306" s="44"/>
      <c r="D14306" s="44"/>
      <c r="E14306" s="46" t="s">
        <v>10432</v>
      </c>
      <c r="F14306" s="46" t="s">
        <v>1743</v>
      </c>
      <c r="G14306" s="46">
        <v>3.61731349115E11</v>
      </c>
      <c r="H14306" s="46" t="s">
        <v>1744</v>
      </c>
      <c r="I14306" s="46" t="s">
        <v>1745</v>
      </c>
      <c r="J14306" s="46" t="s">
        <v>125</v>
      </c>
      <c r="K14306" s="46" t="s">
        <v>126</v>
      </c>
      <c r="L14306" s="45">
        <v>46018.083333333336</v>
      </c>
      <c r="M14306" s="46" t="s">
        <v>123</v>
      </c>
      <c r="N14306" s="45">
        <v>46018.09375</v>
      </c>
      <c r="O14306" s="46" t="s">
        <v>123</v>
      </c>
      <c r="P14306" s="46">
        <v>900.0</v>
      </c>
      <c r="S14306" s="46" t="s">
        <v>199</v>
      </c>
    </row>
    <row r="14307">
      <c r="A14307" s="40">
        <f t="shared" si="1"/>
        <v>46013</v>
      </c>
      <c r="B14307" s="37" t="str">
        <f t="array" ref="B14307">iferror(xlookup($I14307, 'IMPORT VHC Report'!$E:$E, 'IMPORT VHC Report'!$A:$C), )</f>
        <v/>
      </c>
      <c r="C14307" s="44"/>
      <c r="D14307" s="44"/>
      <c r="E14307" s="46" t="s">
        <v>10433</v>
      </c>
      <c r="F14307" s="46" t="s">
        <v>1743</v>
      </c>
      <c r="G14307" s="46">
        <v>3.61731349115E11</v>
      </c>
      <c r="H14307" s="46" t="s">
        <v>1744</v>
      </c>
      <c r="I14307" s="46" t="s">
        <v>1745</v>
      </c>
      <c r="J14307" s="46" t="s">
        <v>196</v>
      </c>
      <c r="K14307" s="46" t="s">
        <v>63</v>
      </c>
      <c r="L14307" s="45">
        <v>46018.083333333336</v>
      </c>
      <c r="M14307" s="46" t="s">
        <v>123</v>
      </c>
      <c r="N14307" s="45">
        <v>46018.458333333336</v>
      </c>
      <c r="O14307" s="46" t="s">
        <v>123</v>
      </c>
      <c r="P14307" s="46">
        <v>32400.0</v>
      </c>
    </row>
    <row r="14308">
      <c r="A14308" s="40">
        <f t="shared" si="1"/>
        <v>46013</v>
      </c>
      <c r="B14308" s="37" t="str">
        <f t="array" ref="B14308">iferror(xlookup($I14308, 'IMPORT VHC Report'!$E:$E, 'IMPORT VHC Report'!$A:$C), )</f>
        <v/>
      </c>
      <c r="C14308" s="44"/>
      <c r="D14308" s="44"/>
      <c r="E14308" s="46" t="s">
        <v>10434</v>
      </c>
      <c r="F14308" s="46" t="s">
        <v>1743</v>
      </c>
      <c r="G14308" s="46">
        <v>3.61731349115E11</v>
      </c>
      <c r="H14308" s="46" t="s">
        <v>1744</v>
      </c>
      <c r="I14308" s="46" t="s">
        <v>1745</v>
      </c>
      <c r="J14308" s="46" t="s">
        <v>132</v>
      </c>
      <c r="K14308" s="46" t="s">
        <v>126</v>
      </c>
      <c r="L14308" s="45">
        <v>46018.208333333336</v>
      </c>
      <c r="M14308" s="46" t="s">
        <v>123</v>
      </c>
      <c r="N14308" s="45">
        <v>46018.25</v>
      </c>
      <c r="O14308" s="46" t="s">
        <v>123</v>
      </c>
      <c r="P14308" s="46">
        <v>3600.0</v>
      </c>
    </row>
    <row r="14309">
      <c r="A14309" s="40">
        <f t="shared" si="1"/>
        <v>46013</v>
      </c>
      <c r="B14309" s="37" t="str">
        <f t="array" ref="B14309">iferror(xlookup($I14309, 'IMPORT VHC Report'!$E:$E, 'IMPORT VHC Report'!$A:$C), )</f>
        <v/>
      </c>
      <c r="C14309" s="44"/>
      <c r="D14309" s="44"/>
      <c r="E14309" s="46" t="s">
        <v>10435</v>
      </c>
      <c r="F14309" s="46" t="s">
        <v>1743</v>
      </c>
      <c r="G14309" s="46">
        <v>3.61731349115E11</v>
      </c>
      <c r="H14309" s="46" t="s">
        <v>1744</v>
      </c>
      <c r="I14309" s="46" t="s">
        <v>1745</v>
      </c>
      <c r="J14309" s="46" t="s">
        <v>134</v>
      </c>
      <c r="K14309" s="46" t="s">
        <v>126</v>
      </c>
      <c r="L14309" s="45">
        <v>46018.354166666664</v>
      </c>
      <c r="M14309" s="46" t="s">
        <v>123</v>
      </c>
      <c r="N14309" s="45">
        <v>46018.375</v>
      </c>
      <c r="O14309" s="46" t="s">
        <v>123</v>
      </c>
      <c r="P14309" s="46">
        <v>1800.0</v>
      </c>
    </row>
    <row r="14310">
      <c r="A14310" s="40">
        <f t="shared" si="1"/>
        <v>46013</v>
      </c>
      <c r="B14310" s="37" t="str">
        <f t="array" ref="B14310">iferror(xlookup($I14310, 'IMPORT VHC Report'!$E:$E, 'IMPORT VHC Report'!$A:$C), )</f>
        <v/>
      </c>
      <c r="C14310" s="44"/>
      <c r="D14310" s="44"/>
      <c r="E14310" s="46" t="s">
        <v>10436</v>
      </c>
      <c r="F14310" s="46" t="s">
        <v>1743</v>
      </c>
      <c r="G14310" s="46">
        <v>3.61731349115E11</v>
      </c>
      <c r="H14310" s="46" t="s">
        <v>1744</v>
      </c>
      <c r="I14310" s="46" t="s">
        <v>1745</v>
      </c>
      <c r="J14310" s="46" t="s">
        <v>125</v>
      </c>
      <c r="K14310" s="46" t="s">
        <v>126</v>
      </c>
      <c r="L14310" s="45">
        <v>46019.083333333336</v>
      </c>
      <c r="M14310" s="46" t="s">
        <v>123</v>
      </c>
      <c r="N14310" s="45">
        <v>46019.09375</v>
      </c>
      <c r="O14310" s="46" t="s">
        <v>123</v>
      </c>
      <c r="P14310" s="46">
        <v>900.0</v>
      </c>
      <c r="S14310" s="46" t="s">
        <v>199</v>
      </c>
    </row>
    <row r="14311">
      <c r="A14311" s="40">
        <f t="shared" si="1"/>
        <v>46013</v>
      </c>
      <c r="B14311" s="37" t="str">
        <f t="array" ref="B14311">iferror(xlookup($I14311, 'IMPORT VHC Report'!$E:$E, 'IMPORT VHC Report'!$A:$C), )</f>
        <v/>
      </c>
      <c r="C14311" s="44"/>
      <c r="D14311" s="44"/>
      <c r="E14311" s="46" t="s">
        <v>10437</v>
      </c>
      <c r="F14311" s="46" t="s">
        <v>1743</v>
      </c>
      <c r="G14311" s="46">
        <v>3.61731349115E11</v>
      </c>
      <c r="H14311" s="46" t="s">
        <v>1744</v>
      </c>
      <c r="I14311" s="46" t="s">
        <v>1745</v>
      </c>
      <c r="J14311" s="46" t="s">
        <v>196</v>
      </c>
      <c r="K14311" s="46" t="s">
        <v>63</v>
      </c>
      <c r="L14311" s="45">
        <v>46019.083333333336</v>
      </c>
      <c r="M14311" s="46" t="s">
        <v>123</v>
      </c>
      <c r="N14311" s="45">
        <v>46019.458333333336</v>
      </c>
      <c r="O14311" s="46" t="s">
        <v>123</v>
      </c>
      <c r="P14311" s="46">
        <v>32400.0</v>
      </c>
    </row>
    <row r="14312">
      <c r="A14312" s="40">
        <f t="shared" si="1"/>
        <v>46013</v>
      </c>
      <c r="B14312" s="37" t="str">
        <f t="array" ref="B14312">iferror(xlookup($I14312, 'IMPORT VHC Report'!$E:$E, 'IMPORT VHC Report'!$A:$C), )</f>
        <v/>
      </c>
      <c r="C14312" s="44"/>
      <c r="D14312" s="44"/>
      <c r="E14312" s="46" t="s">
        <v>10438</v>
      </c>
      <c r="F14312" s="46" t="s">
        <v>1743</v>
      </c>
      <c r="G14312" s="46">
        <v>3.61731349115E11</v>
      </c>
      <c r="H14312" s="46" t="s">
        <v>1744</v>
      </c>
      <c r="I14312" s="46" t="s">
        <v>1745</v>
      </c>
      <c r="J14312" s="46" t="s">
        <v>132</v>
      </c>
      <c r="K14312" s="46" t="s">
        <v>126</v>
      </c>
      <c r="L14312" s="45">
        <v>46019.229166666664</v>
      </c>
      <c r="M14312" s="46" t="s">
        <v>123</v>
      </c>
      <c r="N14312" s="45">
        <v>46019.270833333336</v>
      </c>
      <c r="O14312" s="46" t="s">
        <v>123</v>
      </c>
      <c r="P14312" s="46">
        <v>3600.0</v>
      </c>
    </row>
    <row r="14313">
      <c r="A14313" s="40">
        <f t="shared" si="1"/>
        <v>46013</v>
      </c>
      <c r="B14313" s="37" t="str">
        <f t="array" ref="B14313">iferror(xlookup($I14313, 'IMPORT VHC Report'!$E:$E, 'IMPORT VHC Report'!$A:$C), )</f>
        <v/>
      </c>
      <c r="C14313" s="44"/>
      <c r="D14313" s="44"/>
      <c r="E14313" s="46" t="s">
        <v>10439</v>
      </c>
      <c r="F14313" s="46" t="s">
        <v>1743</v>
      </c>
      <c r="G14313" s="46">
        <v>3.61731349115E11</v>
      </c>
      <c r="H14313" s="46" t="s">
        <v>1744</v>
      </c>
      <c r="I14313" s="46" t="s">
        <v>1745</v>
      </c>
      <c r="J14313" s="46" t="s">
        <v>134</v>
      </c>
      <c r="K14313" s="46" t="s">
        <v>126</v>
      </c>
      <c r="L14313" s="45">
        <v>46019.375</v>
      </c>
      <c r="M14313" s="46" t="s">
        <v>123</v>
      </c>
      <c r="N14313" s="45">
        <v>46019.395833333336</v>
      </c>
      <c r="O14313" s="46" t="s">
        <v>123</v>
      </c>
      <c r="P14313" s="46">
        <v>1800.0</v>
      </c>
    </row>
    <row r="14314">
      <c r="A14314" s="40">
        <f t="shared" si="1"/>
        <v>46013</v>
      </c>
      <c r="B14314" s="37" t="str">
        <f t="array" ref="B14314">iferror(xlookup($I14314, 'IMPORT VHC Report'!$E:$E, 'IMPORT VHC Report'!$A:$C), )</f>
        <v/>
      </c>
      <c r="C14314" s="44"/>
      <c r="D14314" s="44"/>
      <c r="E14314" s="46" t="s">
        <v>10440</v>
      </c>
      <c r="F14314" s="46" t="s">
        <v>1813</v>
      </c>
      <c r="G14314" s="46">
        <v>1.0808000160399E13</v>
      </c>
      <c r="H14314" s="46" t="s">
        <v>1814</v>
      </c>
      <c r="I14314" s="46" t="s">
        <v>1815</v>
      </c>
      <c r="J14314" s="46" t="s">
        <v>125</v>
      </c>
      <c r="K14314" s="46" t="s">
        <v>126</v>
      </c>
      <c r="L14314" s="45">
        <v>46013.125</v>
      </c>
      <c r="M14314" s="46" t="s">
        <v>123</v>
      </c>
      <c r="N14314" s="45">
        <v>46013.135416666664</v>
      </c>
      <c r="O14314" s="46" t="s">
        <v>123</v>
      </c>
      <c r="P14314" s="46">
        <v>900.0</v>
      </c>
      <c r="S14314" s="46" t="s">
        <v>199</v>
      </c>
    </row>
    <row r="14315">
      <c r="A14315" s="40">
        <f t="shared" si="1"/>
        <v>46013</v>
      </c>
      <c r="B14315" s="37" t="str">
        <f t="array" ref="B14315">iferror(xlookup($I14315, 'IMPORT VHC Report'!$E:$E, 'IMPORT VHC Report'!$A:$C), )</f>
        <v/>
      </c>
      <c r="C14315" s="44"/>
      <c r="D14315" s="44"/>
      <c r="E14315" s="46" t="s">
        <v>10441</v>
      </c>
      <c r="F14315" s="46" t="s">
        <v>1813</v>
      </c>
      <c r="G14315" s="46">
        <v>1.0808000160399E13</v>
      </c>
      <c r="H14315" s="46" t="s">
        <v>1814</v>
      </c>
      <c r="I14315" s="46" t="s">
        <v>1815</v>
      </c>
      <c r="J14315" s="46" t="s">
        <v>196</v>
      </c>
      <c r="K14315" s="46" t="s">
        <v>63</v>
      </c>
      <c r="L14315" s="45">
        <v>46013.125</v>
      </c>
      <c r="M14315" s="46" t="s">
        <v>123</v>
      </c>
      <c r="N14315" s="45">
        <v>46013.5</v>
      </c>
      <c r="O14315" s="46" t="s">
        <v>123</v>
      </c>
      <c r="P14315" s="46">
        <v>32400.0</v>
      </c>
    </row>
    <row r="14316">
      <c r="A14316" s="40">
        <f t="shared" si="1"/>
        <v>46013</v>
      </c>
      <c r="B14316" s="37" t="str">
        <f t="array" ref="B14316">iferror(xlookup($I14316, 'IMPORT VHC Report'!$E:$E, 'IMPORT VHC Report'!$A:$C), )</f>
        <v/>
      </c>
      <c r="C14316" s="44"/>
      <c r="D14316" s="44"/>
      <c r="E14316" s="46" t="s">
        <v>10442</v>
      </c>
      <c r="F14316" s="46" t="s">
        <v>1813</v>
      </c>
      <c r="G14316" s="46">
        <v>1.0808000160399E13</v>
      </c>
      <c r="H14316" s="46" t="s">
        <v>1814</v>
      </c>
      <c r="I14316" s="46" t="s">
        <v>1815</v>
      </c>
      <c r="J14316" s="46" t="s">
        <v>134</v>
      </c>
      <c r="K14316" s="46" t="s">
        <v>126</v>
      </c>
      <c r="L14316" s="45">
        <v>46013.260416666664</v>
      </c>
      <c r="M14316" s="46" t="s">
        <v>123</v>
      </c>
      <c r="N14316" s="45">
        <v>46013.28125</v>
      </c>
      <c r="O14316" s="46" t="s">
        <v>123</v>
      </c>
      <c r="P14316" s="46">
        <v>1800.0</v>
      </c>
    </row>
    <row r="14317">
      <c r="A14317" s="40">
        <f t="shared" si="1"/>
        <v>46013</v>
      </c>
      <c r="B14317" s="37" t="str">
        <f t="array" ref="B14317">iferror(xlookup($I14317, 'IMPORT VHC Report'!$E:$E, 'IMPORT VHC Report'!$A:$C), )</f>
        <v/>
      </c>
      <c r="C14317" s="44"/>
      <c r="D14317" s="44"/>
      <c r="E14317" s="46" t="s">
        <v>10443</v>
      </c>
      <c r="F14317" s="46" t="s">
        <v>1813</v>
      </c>
      <c r="G14317" s="46">
        <v>1.0808000160399E13</v>
      </c>
      <c r="H14317" s="46" t="s">
        <v>1814</v>
      </c>
      <c r="I14317" s="46" t="s">
        <v>1815</v>
      </c>
      <c r="J14317" s="46" t="s">
        <v>132</v>
      </c>
      <c r="K14317" s="46" t="s">
        <v>126</v>
      </c>
      <c r="L14317" s="45">
        <v>46013.385416666664</v>
      </c>
      <c r="M14317" s="46" t="s">
        <v>123</v>
      </c>
      <c r="N14317" s="45">
        <v>46013.427083333336</v>
      </c>
      <c r="O14317" s="46" t="s">
        <v>123</v>
      </c>
      <c r="P14317" s="46">
        <v>3600.0</v>
      </c>
    </row>
    <row r="14318">
      <c r="A14318" s="40">
        <f t="shared" si="1"/>
        <v>46013</v>
      </c>
      <c r="B14318" s="37" t="str">
        <f t="array" ref="B14318">iferror(xlookup($I14318, 'IMPORT VHC Report'!$E:$E, 'IMPORT VHC Report'!$A:$C), )</f>
        <v/>
      </c>
      <c r="C14318" s="44"/>
      <c r="D14318" s="44"/>
      <c r="E14318" s="46" t="s">
        <v>10444</v>
      </c>
      <c r="F14318" s="46" t="s">
        <v>1813</v>
      </c>
      <c r="G14318" s="46">
        <v>1.0808000160399E13</v>
      </c>
      <c r="H14318" s="46" t="s">
        <v>1814</v>
      </c>
      <c r="I14318" s="46" t="s">
        <v>1815</v>
      </c>
      <c r="J14318" s="46" t="s">
        <v>125</v>
      </c>
      <c r="K14318" s="46" t="s">
        <v>126</v>
      </c>
      <c r="L14318" s="45">
        <v>46014.125</v>
      </c>
      <c r="M14318" s="46" t="s">
        <v>123</v>
      </c>
      <c r="N14318" s="45">
        <v>46014.135416666664</v>
      </c>
      <c r="O14318" s="46" t="s">
        <v>123</v>
      </c>
      <c r="P14318" s="46">
        <v>900.0</v>
      </c>
      <c r="S14318" s="46" t="s">
        <v>199</v>
      </c>
    </row>
    <row r="14319">
      <c r="A14319" s="40">
        <f t="shared" si="1"/>
        <v>46013</v>
      </c>
      <c r="B14319" s="37" t="str">
        <f t="array" ref="B14319">iferror(xlookup($I14319, 'IMPORT VHC Report'!$E:$E, 'IMPORT VHC Report'!$A:$C), )</f>
        <v/>
      </c>
      <c r="C14319" s="44"/>
      <c r="D14319" s="44"/>
      <c r="E14319" s="46" t="s">
        <v>10445</v>
      </c>
      <c r="F14319" s="46" t="s">
        <v>1813</v>
      </c>
      <c r="G14319" s="46">
        <v>1.0808000160399E13</v>
      </c>
      <c r="H14319" s="46" t="s">
        <v>1814</v>
      </c>
      <c r="I14319" s="46" t="s">
        <v>1815</v>
      </c>
      <c r="J14319" s="46" t="s">
        <v>196</v>
      </c>
      <c r="K14319" s="46" t="s">
        <v>63</v>
      </c>
      <c r="L14319" s="45">
        <v>46014.125</v>
      </c>
      <c r="M14319" s="46" t="s">
        <v>123</v>
      </c>
      <c r="N14319" s="45">
        <v>46014.4375</v>
      </c>
      <c r="O14319" s="46" t="s">
        <v>123</v>
      </c>
      <c r="P14319" s="46">
        <v>27000.0</v>
      </c>
    </row>
    <row r="14320">
      <c r="A14320" s="40">
        <f t="shared" si="1"/>
        <v>46013</v>
      </c>
      <c r="B14320" s="37" t="str">
        <f t="array" ref="B14320">iferror(xlookup($I14320, 'IMPORT VHC Report'!$E:$E, 'IMPORT VHC Report'!$A:$C), )</f>
        <v/>
      </c>
      <c r="C14320" s="44"/>
      <c r="D14320" s="44"/>
      <c r="E14320" s="46" t="s">
        <v>10446</v>
      </c>
      <c r="F14320" s="46" t="s">
        <v>1813</v>
      </c>
      <c r="G14320" s="46">
        <v>1.0808000160399E13</v>
      </c>
      <c r="H14320" s="46" t="s">
        <v>1814</v>
      </c>
      <c r="I14320" s="46" t="s">
        <v>1815</v>
      </c>
      <c r="J14320" s="46" t="s">
        <v>132</v>
      </c>
      <c r="K14320" s="46" t="s">
        <v>126</v>
      </c>
      <c r="L14320" s="45">
        <v>46014.260416666664</v>
      </c>
      <c r="M14320" s="46" t="s">
        <v>123</v>
      </c>
      <c r="N14320" s="45">
        <v>46014.302083333336</v>
      </c>
      <c r="O14320" s="46" t="s">
        <v>123</v>
      </c>
      <c r="P14320" s="46">
        <v>3600.0</v>
      </c>
    </row>
    <row r="14321">
      <c r="A14321" s="40">
        <f t="shared" si="1"/>
        <v>46013</v>
      </c>
      <c r="B14321" s="37" t="str">
        <f t="array" ref="B14321">iferror(xlookup($I14321, 'IMPORT VHC Report'!$E:$E, 'IMPORT VHC Report'!$A:$C), )</f>
        <v/>
      </c>
      <c r="C14321" s="44"/>
      <c r="D14321" s="44"/>
      <c r="E14321" s="46" t="s">
        <v>10447</v>
      </c>
      <c r="F14321" s="46" t="s">
        <v>1813</v>
      </c>
      <c r="G14321" s="46">
        <v>1.0808000160399E13</v>
      </c>
      <c r="H14321" s="46" t="s">
        <v>1814</v>
      </c>
      <c r="I14321" s="46" t="s">
        <v>1815</v>
      </c>
      <c r="J14321" s="46" t="s">
        <v>134</v>
      </c>
      <c r="K14321" s="46" t="s">
        <v>126</v>
      </c>
      <c r="L14321" s="45">
        <v>46014.395833333336</v>
      </c>
      <c r="M14321" s="46" t="s">
        <v>123</v>
      </c>
      <c r="N14321" s="45">
        <v>46014.416666666664</v>
      </c>
      <c r="O14321" s="46" t="s">
        <v>123</v>
      </c>
      <c r="P14321" s="46">
        <v>1800.0</v>
      </c>
    </row>
    <row r="14322">
      <c r="A14322" s="40">
        <f t="shared" si="1"/>
        <v>46013</v>
      </c>
      <c r="B14322" s="37" t="str">
        <f t="array" ref="B14322">iferror(xlookup($I14322, 'IMPORT VHC Report'!$E:$E, 'IMPORT VHC Report'!$A:$C), )</f>
        <v/>
      </c>
      <c r="C14322" s="44"/>
      <c r="D14322" s="44"/>
      <c r="E14322" s="46" t="s">
        <v>10448</v>
      </c>
      <c r="F14322" s="46" t="s">
        <v>1813</v>
      </c>
      <c r="G14322" s="46">
        <v>1.0808000160399E13</v>
      </c>
      <c r="H14322" s="46" t="s">
        <v>1814</v>
      </c>
      <c r="I14322" s="46" t="s">
        <v>1815</v>
      </c>
      <c r="J14322" s="46" t="s">
        <v>62</v>
      </c>
      <c r="K14322" s="46" t="s">
        <v>63</v>
      </c>
      <c r="L14322" s="45">
        <v>46014.4375</v>
      </c>
      <c r="M14322" s="46" t="s">
        <v>123</v>
      </c>
      <c r="N14322" s="45">
        <v>46014.458333333336</v>
      </c>
      <c r="O14322" s="46" t="s">
        <v>123</v>
      </c>
      <c r="P14322" s="46">
        <v>1800.0</v>
      </c>
    </row>
    <row r="14323">
      <c r="A14323" s="40">
        <f t="shared" si="1"/>
        <v>46013</v>
      </c>
      <c r="B14323" s="37" t="str">
        <f t="array" ref="B14323">iferror(xlookup($I14323, 'IMPORT VHC Report'!$E:$E, 'IMPORT VHC Report'!$A:$C), )</f>
        <v/>
      </c>
      <c r="C14323" s="44"/>
      <c r="D14323" s="44"/>
      <c r="E14323" s="46" t="s">
        <v>10449</v>
      </c>
      <c r="F14323" s="46" t="s">
        <v>1813</v>
      </c>
      <c r="G14323" s="46">
        <v>1.0808000160399E13</v>
      </c>
      <c r="H14323" s="46" t="s">
        <v>1814</v>
      </c>
      <c r="I14323" s="46" t="s">
        <v>1815</v>
      </c>
      <c r="J14323" s="46" t="s">
        <v>4</v>
      </c>
      <c r="K14323" s="46" t="s">
        <v>126</v>
      </c>
      <c r="L14323" s="45">
        <v>46014.4375</v>
      </c>
      <c r="M14323" s="46" t="s">
        <v>123</v>
      </c>
      <c r="N14323" s="45">
        <v>46014.46527777778</v>
      </c>
      <c r="O14323" s="46" t="s">
        <v>123</v>
      </c>
      <c r="P14323" s="46">
        <v>2400.0</v>
      </c>
      <c r="S14323" s="46" t="s">
        <v>10450</v>
      </c>
    </row>
    <row r="14324">
      <c r="A14324" s="40">
        <f t="shared" si="1"/>
        <v>46013</v>
      </c>
      <c r="B14324" s="37" t="str">
        <f t="array" ref="B14324">iferror(xlookup($I14324, 'IMPORT VHC Report'!$E:$E, 'IMPORT VHC Report'!$A:$C), )</f>
        <v/>
      </c>
      <c r="C14324" s="44"/>
      <c r="D14324" s="44"/>
      <c r="E14324" s="46" t="s">
        <v>10451</v>
      </c>
      <c r="F14324" s="46" t="s">
        <v>1813</v>
      </c>
      <c r="G14324" s="46">
        <v>1.0808000160399E13</v>
      </c>
      <c r="H14324" s="46" t="s">
        <v>1814</v>
      </c>
      <c r="I14324" s="46" t="s">
        <v>1815</v>
      </c>
      <c r="J14324" s="46" t="s">
        <v>196</v>
      </c>
      <c r="K14324" s="46" t="s">
        <v>63</v>
      </c>
      <c r="L14324" s="45">
        <v>46014.458333333336</v>
      </c>
      <c r="M14324" s="46" t="s">
        <v>123</v>
      </c>
      <c r="N14324" s="45">
        <v>46014.5</v>
      </c>
      <c r="O14324" s="46" t="s">
        <v>123</v>
      </c>
      <c r="P14324" s="46">
        <v>3600.0</v>
      </c>
    </row>
    <row r="14325">
      <c r="A14325" s="40">
        <f t="shared" si="1"/>
        <v>46013</v>
      </c>
      <c r="B14325" s="37" t="str">
        <f t="array" ref="B14325">iferror(xlookup($I14325, 'IMPORT VHC Report'!$E:$E, 'IMPORT VHC Report'!$A:$C), )</f>
        <v/>
      </c>
      <c r="C14325" s="44"/>
      <c r="D14325" s="44"/>
      <c r="E14325" s="46" t="s">
        <v>10452</v>
      </c>
      <c r="F14325" s="46" t="s">
        <v>1813</v>
      </c>
      <c r="G14325" s="46">
        <v>1.0808000160399E13</v>
      </c>
      <c r="H14325" s="46" t="s">
        <v>1814</v>
      </c>
      <c r="I14325" s="46" t="s">
        <v>1815</v>
      </c>
      <c r="J14325" s="46" t="s">
        <v>125</v>
      </c>
      <c r="K14325" s="46" t="s">
        <v>126</v>
      </c>
      <c r="L14325" s="45">
        <v>46015.125</v>
      </c>
      <c r="M14325" s="46" t="s">
        <v>123</v>
      </c>
      <c r="N14325" s="45">
        <v>46015.135416666664</v>
      </c>
      <c r="O14325" s="46" t="s">
        <v>123</v>
      </c>
      <c r="P14325" s="46">
        <v>900.0</v>
      </c>
      <c r="S14325" s="46" t="s">
        <v>199</v>
      </c>
    </row>
    <row r="14326">
      <c r="A14326" s="40">
        <f t="shared" si="1"/>
        <v>46013</v>
      </c>
      <c r="B14326" s="37" t="str">
        <f t="array" ref="B14326">iferror(xlookup($I14326, 'IMPORT VHC Report'!$E:$E, 'IMPORT VHC Report'!$A:$C), )</f>
        <v/>
      </c>
      <c r="C14326" s="44"/>
      <c r="D14326" s="44"/>
      <c r="E14326" s="46" t="s">
        <v>10453</v>
      </c>
      <c r="F14326" s="46" t="s">
        <v>1813</v>
      </c>
      <c r="G14326" s="46">
        <v>1.0808000160399E13</v>
      </c>
      <c r="H14326" s="46" t="s">
        <v>1814</v>
      </c>
      <c r="I14326" s="46" t="s">
        <v>1815</v>
      </c>
      <c r="J14326" s="46" t="s">
        <v>196</v>
      </c>
      <c r="K14326" s="46" t="s">
        <v>63</v>
      </c>
      <c r="L14326" s="45">
        <v>46015.125</v>
      </c>
      <c r="M14326" s="46" t="s">
        <v>123</v>
      </c>
      <c r="N14326" s="45">
        <v>46015.5</v>
      </c>
      <c r="O14326" s="46" t="s">
        <v>123</v>
      </c>
      <c r="P14326" s="46">
        <v>32400.0</v>
      </c>
    </row>
    <row r="14327">
      <c r="A14327" s="40">
        <f t="shared" si="1"/>
        <v>46013</v>
      </c>
      <c r="B14327" s="37" t="str">
        <f t="array" ref="B14327">iferror(xlookup($I14327, 'IMPORT VHC Report'!$E:$E, 'IMPORT VHC Report'!$A:$C), )</f>
        <v/>
      </c>
      <c r="C14327" s="44"/>
      <c r="D14327" s="44"/>
      <c r="E14327" s="46" t="s">
        <v>10454</v>
      </c>
      <c r="F14327" s="46" t="s">
        <v>1813</v>
      </c>
      <c r="G14327" s="46">
        <v>1.0808000160399E13</v>
      </c>
      <c r="H14327" s="46" t="s">
        <v>1814</v>
      </c>
      <c r="I14327" s="46" t="s">
        <v>1815</v>
      </c>
      <c r="J14327" s="46" t="s">
        <v>132</v>
      </c>
      <c r="K14327" s="46" t="s">
        <v>126</v>
      </c>
      <c r="L14327" s="45">
        <v>46015.25</v>
      </c>
      <c r="M14327" s="46" t="s">
        <v>123</v>
      </c>
      <c r="N14327" s="45">
        <v>46015.291666666664</v>
      </c>
      <c r="O14327" s="46" t="s">
        <v>123</v>
      </c>
      <c r="P14327" s="46">
        <v>3600.0</v>
      </c>
    </row>
    <row r="14328">
      <c r="A14328" s="40">
        <f t="shared" si="1"/>
        <v>46013</v>
      </c>
      <c r="B14328" s="37" t="str">
        <f t="array" ref="B14328">iferror(xlookup($I14328, 'IMPORT VHC Report'!$E:$E, 'IMPORT VHC Report'!$A:$C), )</f>
        <v/>
      </c>
      <c r="C14328" s="44"/>
      <c r="D14328" s="44"/>
      <c r="E14328" s="46" t="s">
        <v>10455</v>
      </c>
      <c r="F14328" s="46" t="s">
        <v>1813</v>
      </c>
      <c r="G14328" s="46">
        <v>1.0808000160399E13</v>
      </c>
      <c r="H14328" s="46" t="s">
        <v>1814</v>
      </c>
      <c r="I14328" s="46" t="s">
        <v>1815</v>
      </c>
      <c r="J14328" s="46" t="s">
        <v>134</v>
      </c>
      <c r="K14328" s="46" t="s">
        <v>126</v>
      </c>
      <c r="L14328" s="45">
        <v>46015.395833333336</v>
      </c>
      <c r="M14328" s="46" t="s">
        <v>123</v>
      </c>
      <c r="N14328" s="45">
        <v>46015.416666666664</v>
      </c>
      <c r="O14328" s="46" t="s">
        <v>123</v>
      </c>
      <c r="P14328" s="46">
        <v>1800.0</v>
      </c>
    </row>
    <row r="14329">
      <c r="A14329" s="40">
        <f t="shared" si="1"/>
        <v>46013</v>
      </c>
      <c r="B14329" s="37" t="str">
        <f t="array" ref="B14329">iferror(xlookup($I14329, 'IMPORT VHC Report'!$E:$E, 'IMPORT VHC Report'!$A:$C), )</f>
        <v/>
      </c>
      <c r="C14329" s="44"/>
      <c r="D14329" s="44"/>
      <c r="E14329" s="46" t="s">
        <v>10456</v>
      </c>
      <c r="F14329" s="46" t="s">
        <v>1813</v>
      </c>
      <c r="G14329" s="46">
        <v>1.0808000160399E13</v>
      </c>
      <c r="H14329" s="46" t="s">
        <v>1814</v>
      </c>
      <c r="I14329" s="46" t="s">
        <v>1815</v>
      </c>
      <c r="J14329" s="46" t="s">
        <v>125</v>
      </c>
      <c r="K14329" s="46" t="s">
        <v>126</v>
      </c>
      <c r="L14329" s="45">
        <v>46016.125</v>
      </c>
      <c r="M14329" s="46" t="s">
        <v>123</v>
      </c>
      <c r="N14329" s="45">
        <v>46016.135416666664</v>
      </c>
      <c r="O14329" s="46" t="s">
        <v>123</v>
      </c>
      <c r="P14329" s="46">
        <v>900.0</v>
      </c>
      <c r="S14329" s="46" t="s">
        <v>199</v>
      </c>
    </row>
    <row r="14330">
      <c r="A14330" s="40">
        <f t="shared" si="1"/>
        <v>46013</v>
      </c>
      <c r="B14330" s="37" t="str">
        <f t="array" ref="B14330">iferror(xlookup($I14330, 'IMPORT VHC Report'!$E:$E, 'IMPORT VHC Report'!$A:$C), )</f>
        <v/>
      </c>
      <c r="C14330" s="44"/>
      <c r="D14330" s="44"/>
      <c r="E14330" s="46" t="s">
        <v>10457</v>
      </c>
      <c r="F14330" s="46" t="s">
        <v>1813</v>
      </c>
      <c r="G14330" s="46">
        <v>1.0808000160399E13</v>
      </c>
      <c r="H14330" s="46" t="s">
        <v>1814</v>
      </c>
      <c r="I14330" s="46" t="s">
        <v>1815</v>
      </c>
      <c r="J14330" s="46" t="s">
        <v>196</v>
      </c>
      <c r="K14330" s="46" t="s">
        <v>63</v>
      </c>
      <c r="L14330" s="45">
        <v>46016.125</v>
      </c>
      <c r="M14330" s="46" t="s">
        <v>123</v>
      </c>
      <c r="N14330" s="45">
        <v>46016.5</v>
      </c>
      <c r="O14330" s="46" t="s">
        <v>123</v>
      </c>
      <c r="P14330" s="46">
        <v>32400.0</v>
      </c>
    </row>
    <row r="14331">
      <c r="A14331" s="40">
        <f t="shared" si="1"/>
        <v>46013</v>
      </c>
      <c r="B14331" s="37" t="str">
        <f t="array" ref="B14331">iferror(xlookup($I14331, 'IMPORT VHC Report'!$E:$E, 'IMPORT VHC Report'!$A:$C), )</f>
        <v/>
      </c>
      <c r="C14331" s="44"/>
      <c r="D14331" s="44"/>
      <c r="E14331" s="46" t="s">
        <v>10458</v>
      </c>
      <c r="F14331" s="46" t="s">
        <v>1813</v>
      </c>
      <c r="G14331" s="46">
        <v>1.0808000160399E13</v>
      </c>
      <c r="H14331" s="46" t="s">
        <v>1814</v>
      </c>
      <c r="I14331" s="46" t="s">
        <v>1815</v>
      </c>
      <c r="J14331" s="46" t="s">
        <v>132</v>
      </c>
      <c r="K14331" s="46" t="s">
        <v>126</v>
      </c>
      <c r="L14331" s="45">
        <v>46016.197916666664</v>
      </c>
      <c r="M14331" s="46" t="s">
        <v>123</v>
      </c>
      <c r="N14331" s="45">
        <v>46016.239583333336</v>
      </c>
      <c r="O14331" s="46" t="s">
        <v>123</v>
      </c>
      <c r="P14331" s="46">
        <v>3600.0</v>
      </c>
    </row>
    <row r="14332">
      <c r="A14332" s="40">
        <f t="shared" si="1"/>
        <v>46013</v>
      </c>
      <c r="B14332" s="37" t="str">
        <f t="array" ref="B14332">iferror(xlookup($I14332, 'IMPORT VHC Report'!$E:$E, 'IMPORT VHC Report'!$A:$C), )</f>
        <v/>
      </c>
      <c r="C14332" s="44"/>
      <c r="D14332" s="44"/>
      <c r="E14332" s="46" t="s">
        <v>10459</v>
      </c>
      <c r="F14332" s="46" t="s">
        <v>1813</v>
      </c>
      <c r="G14332" s="46">
        <v>1.0808000160399E13</v>
      </c>
      <c r="H14332" s="46" t="s">
        <v>1814</v>
      </c>
      <c r="I14332" s="46" t="s">
        <v>1815</v>
      </c>
      <c r="J14332" s="46" t="s">
        <v>134</v>
      </c>
      <c r="K14332" s="46" t="s">
        <v>126</v>
      </c>
      <c r="L14332" s="45">
        <v>46016.385416666664</v>
      </c>
      <c r="M14332" s="46" t="s">
        <v>123</v>
      </c>
      <c r="N14332" s="45">
        <v>46016.40625</v>
      </c>
      <c r="O14332" s="46" t="s">
        <v>123</v>
      </c>
      <c r="P14332" s="46">
        <v>1800.0</v>
      </c>
    </row>
    <row r="14333">
      <c r="A14333" s="40">
        <f t="shared" si="1"/>
        <v>46013</v>
      </c>
      <c r="B14333" s="37" t="str">
        <f t="array" ref="B14333">iferror(xlookup($I14333, 'IMPORT VHC Report'!$E:$E, 'IMPORT VHC Report'!$A:$C), )</f>
        <v/>
      </c>
      <c r="C14333" s="44"/>
      <c r="D14333" s="44"/>
      <c r="E14333" s="46" t="s">
        <v>10460</v>
      </c>
      <c r="F14333" s="46" t="s">
        <v>1813</v>
      </c>
      <c r="G14333" s="46">
        <v>1.0808000160399E13</v>
      </c>
      <c r="H14333" s="46" t="s">
        <v>1814</v>
      </c>
      <c r="I14333" s="46" t="s">
        <v>1815</v>
      </c>
      <c r="J14333" s="46" t="s">
        <v>125</v>
      </c>
      <c r="K14333" s="46" t="s">
        <v>126</v>
      </c>
      <c r="L14333" s="45">
        <v>46019.125</v>
      </c>
      <c r="M14333" s="46" t="s">
        <v>123</v>
      </c>
      <c r="N14333" s="45">
        <v>46019.135416666664</v>
      </c>
      <c r="O14333" s="46" t="s">
        <v>123</v>
      </c>
      <c r="P14333" s="46">
        <v>900.0</v>
      </c>
      <c r="S14333" s="46" t="s">
        <v>199</v>
      </c>
    </row>
    <row r="14334">
      <c r="A14334" s="40">
        <f t="shared" si="1"/>
        <v>46013</v>
      </c>
      <c r="B14334" s="37" t="str">
        <f t="array" ref="B14334">iferror(xlookup($I14334, 'IMPORT VHC Report'!$E:$E, 'IMPORT VHC Report'!$A:$C), )</f>
        <v/>
      </c>
      <c r="C14334" s="44"/>
      <c r="D14334" s="44"/>
      <c r="E14334" s="46" t="s">
        <v>10461</v>
      </c>
      <c r="F14334" s="46" t="s">
        <v>1813</v>
      </c>
      <c r="G14334" s="46">
        <v>1.0808000160399E13</v>
      </c>
      <c r="H14334" s="46" t="s">
        <v>1814</v>
      </c>
      <c r="I14334" s="46" t="s">
        <v>1815</v>
      </c>
      <c r="J14334" s="46" t="s">
        <v>196</v>
      </c>
      <c r="K14334" s="46" t="s">
        <v>63</v>
      </c>
      <c r="L14334" s="45">
        <v>46019.125</v>
      </c>
      <c r="M14334" s="46" t="s">
        <v>123</v>
      </c>
      <c r="N14334" s="45">
        <v>46019.5</v>
      </c>
      <c r="O14334" s="46" t="s">
        <v>123</v>
      </c>
      <c r="P14334" s="46">
        <v>32400.0</v>
      </c>
    </row>
    <row r="14335">
      <c r="A14335" s="40">
        <f t="shared" si="1"/>
        <v>46013</v>
      </c>
      <c r="B14335" s="37" t="str">
        <f t="array" ref="B14335">iferror(xlookup($I14335, 'IMPORT VHC Report'!$E:$E, 'IMPORT VHC Report'!$A:$C), )</f>
        <v/>
      </c>
      <c r="C14335" s="44"/>
      <c r="D14335" s="44"/>
      <c r="E14335" s="46" t="s">
        <v>10462</v>
      </c>
      <c r="F14335" s="46" t="s">
        <v>1813</v>
      </c>
      <c r="G14335" s="46">
        <v>1.0808000160399E13</v>
      </c>
      <c r="H14335" s="46" t="s">
        <v>1814</v>
      </c>
      <c r="I14335" s="46" t="s">
        <v>1815</v>
      </c>
      <c r="J14335" s="46" t="s">
        <v>134</v>
      </c>
      <c r="K14335" s="46" t="s">
        <v>126</v>
      </c>
      <c r="L14335" s="45">
        <v>46019.229166666664</v>
      </c>
      <c r="M14335" s="46" t="s">
        <v>123</v>
      </c>
      <c r="N14335" s="45">
        <v>46019.25</v>
      </c>
      <c r="O14335" s="46" t="s">
        <v>123</v>
      </c>
      <c r="P14335" s="46">
        <v>1800.0</v>
      </c>
    </row>
    <row r="14336">
      <c r="A14336" s="40">
        <f t="shared" si="1"/>
        <v>46013</v>
      </c>
      <c r="B14336" s="37" t="str">
        <f t="array" ref="B14336">iferror(xlookup($I14336, 'IMPORT VHC Report'!$E:$E, 'IMPORT VHC Report'!$A:$C), )</f>
        <v/>
      </c>
      <c r="C14336" s="44"/>
      <c r="D14336" s="44"/>
      <c r="E14336" s="46" t="s">
        <v>10463</v>
      </c>
      <c r="F14336" s="46" t="s">
        <v>1813</v>
      </c>
      <c r="G14336" s="46">
        <v>1.0808000160399E13</v>
      </c>
      <c r="H14336" s="46" t="s">
        <v>1814</v>
      </c>
      <c r="I14336" s="46" t="s">
        <v>1815</v>
      </c>
      <c r="J14336" s="46" t="s">
        <v>132</v>
      </c>
      <c r="K14336" s="46" t="s">
        <v>126</v>
      </c>
      <c r="L14336" s="45">
        <v>46019.354166666664</v>
      </c>
      <c r="M14336" s="46" t="s">
        <v>123</v>
      </c>
      <c r="N14336" s="45">
        <v>46019.395833333336</v>
      </c>
      <c r="O14336" s="46" t="s">
        <v>123</v>
      </c>
      <c r="P14336" s="46">
        <v>3600.0</v>
      </c>
    </row>
    <row r="14337">
      <c r="A14337" s="40">
        <f t="shared" si="1"/>
        <v>46013</v>
      </c>
      <c r="B14337" s="37" t="str">
        <f t="array" ref="B14337">iferror(xlookup($I14337, 'IMPORT VHC Report'!$E:$E, 'IMPORT VHC Report'!$A:$C), )</f>
        <v/>
      </c>
      <c r="C14337" s="44"/>
      <c r="D14337" s="44"/>
      <c r="E14337" s="46" t="s">
        <v>10464</v>
      </c>
      <c r="F14337" s="46" t="s">
        <v>2575</v>
      </c>
      <c r="G14337" s="46">
        <v>5.047314693263E12</v>
      </c>
      <c r="H14337" s="46" t="s">
        <v>2576</v>
      </c>
      <c r="I14337" s="46" t="s">
        <v>2577</v>
      </c>
      <c r="J14337" s="46" t="s">
        <v>152</v>
      </c>
      <c r="K14337" s="46" t="s">
        <v>153</v>
      </c>
      <c r="L14337" s="45">
        <v>46013.25</v>
      </c>
      <c r="M14337" s="46" t="s">
        <v>123</v>
      </c>
      <c r="N14337" s="45">
        <v>46013.416666666664</v>
      </c>
      <c r="O14337" s="46" t="s">
        <v>123</v>
      </c>
      <c r="P14337" s="46">
        <v>14400.0</v>
      </c>
      <c r="Q14337" s="46">
        <v>18000.0</v>
      </c>
      <c r="R14337" s="46" t="s">
        <v>10465</v>
      </c>
    </row>
    <row r="14338">
      <c r="A14338" s="40">
        <f t="shared" si="1"/>
        <v>46013</v>
      </c>
      <c r="B14338" s="37" t="str">
        <f t="array" ref="B14338">iferror(xlookup($I14338, 'IMPORT VHC Report'!$E:$E, 'IMPORT VHC Report'!$A:$C), )</f>
        <v/>
      </c>
      <c r="C14338" s="44"/>
      <c r="D14338" s="44"/>
      <c r="E14338" s="46" t="s">
        <v>10466</v>
      </c>
      <c r="F14338" s="46" t="s">
        <v>2575</v>
      </c>
      <c r="G14338" s="46">
        <v>5.047314693263E12</v>
      </c>
      <c r="H14338" s="46" t="s">
        <v>2576</v>
      </c>
      <c r="I14338" s="46" t="s">
        <v>2577</v>
      </c>
      <c r="J14338" s="46" t="s">
        <v>196</v>
      </c>
      <c r="K14338" s="46" t="s">
        <v>63</v>
      </c>
      <c r="L14338" s="45">
        <v>46013.25</v>
      </c>
      <c r="M14338" s="46" t="s">
        <v>123</v>
      </c>
      <c r="N14338" s="45">
        <v>46013.625</v>
      </c>
      <c r="O14338" s="46" t="s">
        <v>123</v>
      </c>
      <c r="P14338" s="46">
        <v>32400.0</v>
      </c>
    </row>
    <row r="14339">
      <c r="A14339" s="40">
        <f t="shared" si="1"/>
        <v>46013</v>
      </c>
      <c r="B14339" s="37" t="str">
        <f t="array" ref="B14339">iferror(xlookup($I14339, 'IMPORT VHC Report'!$E:$E, 'IMPORT VHC Report'!$A:$C), )</f>
        <v/>
      </c>
      <c r="C14339" s="44"/>
      <c r="D14339" s="44"/>
      <c r="E14339" s="46" t="s">
        <v>10467</v>
      </c>
      <c r="F14339" s="46" t="s">
        <v>2575</v>
      </c>
      <c r="G14339" s="46">
        <v>5.047314693263E12</v>
      </c>
      <c r="H14339" s="46" t="s">
        <v>2576</v>
      </c>
      <c r="I14339" s="46" t="s">
        <v>2577</v>
      </c>
      <c r="J14339" s="46" t="s">
        <v>132</v>
      </c>
      <c r="K14339" s="46" t="s">
        <v>126</v>
      </c>
      <c r="L14339" s="45">
        <v>46013.416666666664</v>
      </c>
      <c r="M14339" s="46" t="s">
        <v>123</v>
      </c>
      <c r="N14339" s="45">
        <v>46013.458333333336</v>
      </c>
      <c r="O14339" s="46" t="s">
        <v>123</v>
      </c>
      <c r="P14339" s="46">
        <v>3600.0</v>
      </c>
    </row>
    <row r="14340">
      <c r="A14340" s="40">
        <f t="shared" si="1"/>
        <v>46013</v>
      </c>
      <c r="B14340" s="37" t="str">
        <f t="array" ref="B14340">iferror(xlookup($I14340, 'IMPORT VHC Report'!$E:$E, 'IMPORT VHC Report'!$A:$C), )</f>
        <v/>
      </c>
      <c r="C14340" s="44"/>
      <c r="D14340" s="44"/>
      <c r="E14340" s="46" t="s">
        <v>10468</v>
      </c>
      <c r="F14340" s="46" t="s">
        <v>2575</v>
      </c>
      <c r="G14340" s="46">
        <v>5.047314693263E12</v>
      </c>
      <c r="H14340" s="46" t="s">
        <v>2576</v>
      </c>
      <c r="I14340" s="46" t="s">
        <v>2577</v>
      </c>
      <c r="J14340" s="46" t="s">
        <v>125</v>
      </c>
      <c r="K14340" s="46" t="s">
        <v>126</v>
      </c>
      <c r="L14340" s="45">
        <v>46013.458333333336</v>
      </c>
      <c r="M14340" s="46" t="s">
        <v>123</v>
      </c>
      <c r="N14340" s="45">
        <v>46013.46875</v>
      </c>
      <c r="O14340" s="46" t="s">
        <v>123</v>
      </c>
      <c r="P14340" s="46">
        <v>900.0</v>
      </c>
      <c r="S14340" s="46" t="s">
        <v>199</v>
      </c>
    </row>
    <row r="14341">
      <c r="A14341" s="40">
        <f t="shared" si="1"/>
        <v>46013</v>
      </c>
      <c r="B14341" s="37" t="str">
        <f t="array" ref="B14341">iferror(xlookup($I14341, 'IMPORT VHC Report'!$E:$E, 'IMPORT VHC Report'!$A:$C), )</f>
        <v/>
      </c>
      <c r="C14341" s="44"/>
      <c r="D14341" s="44"/>
      <c r="E14341" s="46" t="s">
        <v>10469</v>
      </c>
      <c r="F14341" s="46" t="s">
        <v>2575</v>
      </c>
      <c r="G14341" s="46">
        <v>5.047314693263E12</v>
      </c>
      <c r="H14341" s="46" t="s">
        <v>2576</v>
      </c>
      <c r="I14341" s="46" t="s">
        <v>2577</v>
      </c>
      <c r="J14341" s="46" t="s">
        <v>134</v>
      </c>
      <c r="K14341" s="46" t="s">
        <v>126</v>
      </c>
      <c r="L14341" s="45">
        <v>46013.46875</v>
      </c>
      <c r="M14341" s="46" t="s">
        <v>123</v>
      </c>
      <c r="N14341" s="45">
        <v>46013.479166666664</v>
      </c>
      <c r="O14341" s="46" t="s">
        <v>123</v>
      </c>
      <c r="P14341" s="46">
        <v>900.0</v>
      </c>
      <c r="S14341" s="46" t="s">
        <v>10470</v>
      </c>
    </row>
    <row r="14342">
      <c r="A14342" s="40">
        <f t="shared" si="1"/>
        <v>46013</v>
      </c>
      <c r="B14342" s="37" t="str">
        <f t="array" ref="B14342">iferror(xlookup($I14342, 'IMPORT VHC Report'!$E:$E, 'IMPORT VHC Report'!$A:$C), )</f>
        <v/>
      </c>
      <c r="C14342" s="44"/>
      <c r="D14342" s="44"/>
      <c r="E14342" s="46" t="s">
        <v>10471</v>
      </c>
      <c r="F14342" s="46" t="s">
        <v>2575</v>
      </c>
      <c r="G14342" s="46">
        <v>5.047314693263E12</v>
      </c>
      <c r="H14342" s="46" t="s">
        <v>2576</v>
      </c>
      <c r="I14342" s="46" t="s">
        <v>2577</v>
      </c>
      <c r="J14342" s="46" t="s">
        <v>125</v>
      </c>
      <c r="K14342" s="46" t="s">
        <v>126</v>
      </c>
      <c r="L14342" s="45">
        <v>46014.25</v>
      </c>
      <c r="M14342" s="46" t="s">
        <v>123</v>
      </c>
      <c r="N14342" s="45">
        <v>46014.260416666664</v>
      </c>
      <c r="O14342" s="46" t="s">
        <v>123</v>
      </c>
      <c r="P14342" s="46">
        <v>900.0</v>
      </c>
      <c r="S14342" s="46" t="s">
        <v>199</v>
      </c>
    </row>
    <row r="14343">
      <c r="A14343" s="40">
        <f t="shared" si="1"/>
        <v>46013</v>
      </c>
      <c r="B14343" s="37" t="str">
        <f t="array" ref="B14343">iferror(xlookup($I14343, 'IMPORT VHC Report'!$E:$E, 'IMPORT VHC Report'!$A:$C), )</f>
        <v/>
      </c>
      <c r="C14343" s="44"/>
      <c r="D14343" s="44"/>
      <c r="E14343" s="46" t="s">
        <v>10472</v>
      </c>
      <c r="F14343" s="46" t="s">
        <v>2575</v>
      </c>
      <c r="G14343" s="46">
        <v>5.047314693263E12</v>
      </c>
      <c r="H14343" s="46" t="s">
        <v>2576</v>
      </c>
      <c r="I14343" s="46" t="s">
        <v>2577</v>
      </c>
      <c r="J14343" s="46" t="s">
        <v>196</v>
      </c>
      <c r="K14343" s="46" t="s">
        <v>63</v>
      </c>
      <c r="L14343" s="45">
        <v>46014.25</v>
      </c>
      <c r="M14343" s="46" t="s">
        <v>123</v>
      </c>
      <c r="N14343" s="45">
        <v>46014.4375</v>
      </c>
      <c r="O14343" s="46" t="s">
        <v>123</v>
      </c>
      <c r="P14343" s="46">
        <v>16200.0</v>
      </c>
    </row>
    <row r="14344">
      <c r="A14344" s="40">
        <f t="shared" si="1"/>
        <v>46013</v>
      </c>
      <c r="B14344" s="37" t="str">
        <f t="array" ref="B14344">iferror(xlookup($I14344, 'IMPORT VHC Report'!$E:$E, 'IMPORT VHC Report'!$A:$C), )</f>
        <v/>
      </c>
      <c r="C14344" s="44"/>
      <c r="D14344" s="44"/>
      <c r="E14344" s="46" t="s">
        <v>10473</v>
      </c>
      <c r="F14344" s="46" t="s">
        <v>2575</v>
      </c>
      <c r="G14344" s="46">
        <v>5.047314693263E12</v>
      </c>
      <c r="H14344" s="46" t="s">
        <v>2576</v>
      </c>
      <c r="I14344" s="46" t="s">
        <v>2577</v>
      </c>
      <c r="J14344" s="46" t="s">
        <v>132</v>
      </c>
      <c r="K14344" s="46" t="s">
        <v>126</v>
      </c>
      <c r="L14344" s="45">
        <v>46014.375</v>
      </c>
      <c r="M14344" s="46" t="s">
        <v>123</v>
      </c>
      <c r="N14344" s="45">
        <v>46014.416666666664</v>
      </c>
      <c r="O14344" s="46" t="s">
        <v>123</v>
      </c>
      <c r="P14344" s="46">
        <v>3600.0</v>
      </c>
    </row>
    <row r="14345">
      <c r="A14345" s="40">
        <f t="shared" si="1"/>
        <v>46013</v>
      </c>
      <c r="B14345" s="37" t="str">
        <f t="array" ref="B14345">iferror(xlookup($I14345, 'IMPORT VHC Report'!$E:$E, 'IMPORT VHC Report'!$A:$C), )</f>
        <v/>
      </c>
      <c r="C14345" s="44"/>
      <c r="D14345" s="44"/>
      <c r="E14345" s="46" t="s">
        <v>10474</v>
      </c>
      <c r="F14345" s="46" t="s">
        <v>2575</v>
      </c>
      <c r="G14345" s="46">
        <v>5.047314693263E12</v>
      </c>
      <c r="H14345" s="46" t="s">
        <v>2576</v>
      </c>
      <c r="I14345" s="46" t="s">
        <v>2577</v>
      </c>
      <c r="J14345" s="46" t="s">
        <v>62</v>
      </c>
      <c r="K14345" s="46" t="s">
        <v>63</v>
      </c>
      <c r="L14345" s="45">
        <v>46014.4375</v>
      </c>
      <c r="M14345" s="46" t="s">
        <v>123</v>
      </c>
      <c r="N14345" s="45">
        <v>46014.458333333336</v>
      </c>
      <c r="O14345" s="46" t="s">
        <v>123</v>
      </c>
      <c r="P14345" s="46">
        <v>1800.0</v>
      </c>
    </row>
    <row r="14346">
      <c r="A14346" s="40">
        <f t="shared" si="1"/>
        <v>46013</v>
      </c>
      <c r="B14346" s="37" t="str">
        <f t="array" ref="B14346">iferror(xlookup($I14346, 'IMPORT VHC Report'!$E:$E, 'IMPORT VHC Report'!$A:$C), )</f>
        <v/>
      </c>
      <c r="C14346" s="44"/>
      <c r="D14346" s="44"/>
      <c r="E14346" s="46" t="s">
        <v>10475</v>
      </c>
      <c r="F14346" s="46" t="s">
        <v>2575</v>
      </c>
      <c r="G14346" s="46">
        <v>5.047314693263E12</v>
      </c>
      <c r="H14346" s="46" t="s">
        <v>2576</v>
      </c>
      <c r="I14346" s="46" t="s">
        <v>2577</v>
      </c>
      <c r="J14346" s="46" t="s">
        <v>196</v>
      </c>
      <c r="K14346" s="46" t="s">
        <v>63</v>
      </c>
      <c r="L14346" s="45">
        <v>46014.458333333336</v>
      </c>
      <c r="M14346" s="46" t="s">
        <v>123</v>
      </c>
      <c r="N14346" s="45">
        <v>46014.625</v>
      </c>
      <c r="O14346" s="46" t="s">
        <v>123</v>
      </c>
      <c r="P14346" s="46">
        <v>14400.0</v>
      </c>
    </row>
    <row r="14347">
      <c r="A14347" s="40">
        <f t="shared" si="1"/>
        <v>46013</v>
      </c>
      <c r="B14347" s="37" t="str">
        <f t="array" ref="B14347">iferror(xlookup($I14347, 'IMPORT VHC Report'!$E:$E, 'IMPORT VHC Report'!$A:$C), )</f>
        <v/>
      </c>
      <c r="C14347" s="44"/>
      <c r="D14347" s="44"/>
      <c r="E14347" s="46" t="s">
        <v>10476</v>
      </c>
      <c r="F14347" s="46" t="s">
        <v>2575</v>
      </c>
      <c r="G14347" s="46">
        <v>5.047314693263E12</v>
      </c>
      <c r="H14347" s="46" t="s">
        <v>2576</v>
      </c>
      <c r="I14347" s="46" t="s">
        <v>2577</v>
      </c>
      <c r="J14347" s="46" t="s">
        <v>134</v>
      </c>
      <c r="K14347" s="46" t="s">
        <v>126</v>
      </c>
      <c r="L14347" s="45">
        <v>46014.53125</v>
      </c>
      <c r="M14347" s="46" t="s">
        <v>123</v>
      </c>
      <c r="N14347" s="45">
        <v>46014.552083333336</v>
      </c>
      <c r="O14347" s="46" t="s">
        <v>123</v>
      </c>
      <c r="P14347" s="46">
        <v>1800.0</v>
      </c>
    </row>
    <row r="14348">
      <c r="A14348" s="40">
        <f t="shared" si="1"/>
        <v>46013</v>
      </c>
      <c r="B14348" s="37" t="str">
        <f t="array" ref="B14348">iferror(xlookup($I14348, 'IMPORT VHC Report'!$E:$E, 'IMPORT VHC Report'!$A:$C), )</f>
        <v/>
      </c>
      <c r="C14348" s="44"/>
      <c r="D14348" s="44"/>
      <c r="E14348" s="46" t="s">
        <v>10477</v>
      </c>
      <c r="F14348" s="46" t="s">
        <v>2575</v>
      </c>
      <c r="G14348" s="46">
        <v>5.047314693263E12</v>
      </c>
      <c r="H14348" s="46" t="s">
        <v>2576</v>
      </c>
      <c r="I14348" s="46" t="s">
        <v>2577</v>
      </c>
      <c r="J14348" s="46" t="s">
        <v>125</v>
      </c>
      <c r="K14348" s="46" t="s">
        <v>126</v>
      </c>
      <c r="L14348" s="45">
        <v>46015.25</v>
      </c>
      <c r="M14348" s="46" t="s">
        <v>123</v>
      </c>
      <c r="N14348" s="45">
        <v>46015.260416666664</v>
      </c>
      <c r="O14348" s="46" t="s">
        <v>123</v>
      </c>
      <c r="P14348" s="46">
        <v>900.0</v>
      </c>
      <c r="S14348" s="46" t="s">
        <v>199</v>
      </c>
    </row>
    <row r="14349">
      <c r="A14349" s="40">
        <f t="shared" si="1"/>
        <v>46013</v>
      </c>
      <c r="B14349" s="37" t="str">
        <f t="array" ref="B14349">iferror(xlookup($I14349, 'IMPORT VHC Report'!$E:$E, 'IMPORT VHC Report'!$A:$C), )</f>
        <v/>
      </c>
      <c r="C14349" s="44"/>
      <c r="D14349" s="44"/>
      <c r="E14349" s="46" t="s">
        <v>10478</v>
      </c>
      <c r="F14349" s="46" t="s">
        <v>2575</v>
      </c>
      <c r="G14349" s="46">
        <v>5.047314693263E12</v>
      </c>
      <c r="H14349" s="46" t="s">
        <v>2576</v>
      </c>
      <c r="I14349" s="46" t="s">
        <v>2577</v>
      </c>
      <c r="J14349" s="46" t="s">
        <v>196</v>
      </c>
      <c r="K14349" s="46" t="s">
        <v>63</v>
      </c>
      <c r="L14349" s="45">
        <v>46015.25</v>
      </c>
      <c r="M14349" s="46" t="s">
        <v>123</v>
      </c>
      <c r="N14349" s="45">
        <v>46015.625</v>
      </c>
      <c r="O14349" s="46" t="s">
        <v>123</v>
      </c>
      <c r="P14349" s="46">
        <v>32400.0</v>
      </c>
    </row>
    <row r="14350">
      <c r="A14350" s="40">
        <f t="shared" si="1"/>
        <v>46013</v>
      </c>
      <c r="B14350" s="37" t="str">
        <f t="array" ref="B14350">iferror(xlookup($I14350, 'IMPORT VHC Report'!$E:$E, 'IMPORT VHC Report'!$A:$C), )</f>
        <v/>
      </c>
      <c r="C14350" s="44"/>
      <c r="D14350" s="44"/>
      <c r="E14350" s="46" t="s">
        <v>10479</v>
      </c>
      <c r="F14350" s="46" t="s">
        <v>2575</v>
      </c>
      <c r="G14350" s="46">
        <v>5.047314693263E12</v>
      </c>
      <c r="H14350" s="46" t="s">
        <v>2576</v>
      </c>
      <c r="I14350" s="46" t="s">
        <v>2577</v>
      </c>
      <c r="J14350" s="46" t="s">
        <v>134</v>
      </c>
      <c r="K14350" s="46" t="s">
        <v>126</v>
      </c>
      <c r="L14350" s="45">
        <v>46015.364583333336</v>
      </c>
      <c r="M14350" s="46" t="s">
        <v>123</v>
      </c>
      <c r="N14350" s="45">
        <v>46015.385416666664</v>
      </c>
      <c r="O14350" s="46" t="s">
        <v>123</v>
      </c>
      <c r="P14350" s="46">
        <v>1800.0</v>
      </c>
    </row>
    <row r="14351">
      <c r="A14351" s="40">
        <f t="shared" si="1"/>
        <v>46013</v>
      </c>
      <c r="B14351" s="37" t="str">
        <f t="array" ref="B14351">iferror(xlookup($I14351, 'IMPORT VHC Report'!$E:$E, 'IMPORT VHC Report'!$A:$C), )</f>
        <v/>
      </c>
      <c r="C14351" s="44"/>
      <c r="D14351" s="44"/>
      <c r="E14351" s="46" t="s">
        <v>10480</v>
      </c>
      <c r="F14351" s="46" t="s">
        <v>2575</v>
      </c>
      <c r="G14351" s="46">
        <v>5.047314693263E12</v>
      </c>
      <c r="H14351" s="46" t="s">
        <v>2576</v>
      </c>
      <c r="I14351" s="46" t="s">
        <v>2577</v>
      </c>
      <c r="J14351" s="46" t="s">
        <v>132</v>
      </c>
      <c r="K14351" s="46" t="s">
        <v>126</v>
      </c>
      <c r="L14351" s="45">
        <v>46015.489583333336</v>
      </c>
      <c r="M14351" s="46" t="s">
        <v>123</v>
      </c>
      <c r="N14351" s="45">
        <v>46015.53125</v>
      </c>
      <c r="O14351" s="46" t="s">
        <v>123</v>
      </c>
      <c r="P14351" s="46">
        <v>3600.0</v>
      </c>
    </row>
    <row r="14352">
      <c r="A14352" s="40">
        <f t="shared" si="1"/>
        <v>46013</v>
      </c>
      <c r="B14352" s="37" t="str">
        <f t="array" ref="B14352">iferror(xlookup($I14352, 'IMPORT VHC Report'!$E:$E, 'IMPORT VHC Report'!$A:$C), )</f>
        <v/>
      </c>
      <c r="C14352" s="44"/>
      <c r="D14352" s="44"/>
      <c r="E14352" s="46" t="s">
        <v>10481</v>
      </c>
      <c r="F14352" s="46" t="s">
        <v>2575</v>
      </c>
      <c r="G14352" s="46">
        <v>5.047314693263E12</v>
      </c>
      <c r="H14352" s="46" t="s">
        <v>2576</v>
      </c>
      <c r="I14352" s="46" t="s">
        <v>2577</v>
      </c>
      <c r="J14352" s="46" t="s">
        <v>125</v>
      </c>
      <c r="K14352" s="46" t="s">
        <v>126</v>
      </c>
      <c r="L14352" s="45">
        <v>46016.25</v>
      </c>
      <c r="M14352" s="46" t="s">
        <v>123</v>
      </c>
      <c r="N14352" s="45">
        <v>46016.260416666664</v>
      </c>
      <c r="O14352" s="46" t="s">
        <v>123</v>
      </c>
      <c r="P14352" s="46">
        <v>900.0</v>
      </c>
      <c r="S14352" s="46" t="s">
        <v>199</v>
      </c>
    </row>
    <row r="14353">
      <c r="A14353" s="40">
        <f t="shared" si="1"/>
        <v>46013</v>
      </c>
      <c r="B14353" s="37" t="str">
        <f t="array" ref="B14353">iferror(xlookup($I14353, 'IMPORT VHC Report'!$E:$E, 'IMPORT VHC Report'!$A:$C), )</f>
        <v/>
      </c>
      <c r="C14353" s="44"/>
      <c r="D14353" s="44"/>
      <c r="E14353" s="46" t="s">
        <v>10482</v>
      </c>
      <c r="F14353" s="46" t="s">
        <v>2575</v>
      </c>
      <c r="G14353" s="46">
        <v>5.047314693263E12</v>
      </c>
      <c r="H14353" s="46" t="s">
        <v>2576</v>
      </c>
      <c r="I14353" s="46" t="s">
        <v>2577</v>
      </c>
      <c r="J14353" s="46" t="s">
        <v>196</v>
      </c>
      <c r="K14353" s="46" t="s">
        <v>63</v>
      </c>
      <c r="L14353" s="45">
        <v>46016.25</v>
      </c>
      <c r="M14353" s="46" t="s">
        <v>123</v>
      </c>
      <c r="N14353" s="45">
        <v>46016.625</v>
      </c>
      <c r="O14353" s="46" t="s">
        <v>123</v>
      </c>
      <c r="P14353" s="46">
        <v>32400.0</v>
      </c>
    </row>
    <row r="14354">
      <c r="A14354" s="40">
        <f t="shared" si="1"/>
        <v>46013</v>
      </c>
      <c r="B14354" s="37" t="str">
        <f t="array" ref="B14354">iferror(xlookup($I14354, 'IMPORT VHC Report'!$E:$E, 'IMPORT VHC Report'!$A:$C), )</f>
        <v/>
      </c>
      <c r="C14354" s="44"/>
      <c r="D14354" s="44"/>
      <c r="E14354" s="46" t="s">
        <v>10483</v>
      </c>
      <c r="F14354" s="46" t="s">
        <v>2575</v>
      </c>
      <c r="G14354" s="46">
        <v>5.047314693263E12</v>
      </c>
      <c r="H14354" s="46" t="s">
        <v>2576</v>
      </c>
      <c r="I14354" s="46" t="s">
        <v>2577</v>
      </c>
      <c r="J14354" s="46" t="s">
        <v>132</v>
      </c>
      <c r="K14354" s="46" t="s">
        <v>126</v>
      </c>
      <c r="L14354" s="45">
        <v>46016.375</v>
      </c>
      <c r="M14354" s="46" t="s">
        <v>123</v>
      </c>
      <c r="N14354" s="45">
        <v>46016.416666666664</v>
      </c>
      <c r="O14354" s="46" t="s">
        <v>123</v>
      </c>
      <c r="P14354" s="46">
        <v>3600.0</v>
      </c>
    </row>
    <row r="14355">
      <c r="A14355" s="40">
        <f t="shared" si="1"/>
        <v>46013</v>
      </c>
      <c r="B14355" s="37" t="str">
        <f t="array" ref="B14355">iferror(xlookup($I14355, 'IMPORT VHC Report'!$E:$E, 'IMPORT VHC Report'!$A:$C), )</f>
        <v/>
      </c>
      <c r="C14355" s="44"/>
      <c r="D14355" s="44"/>
      <c r="E14355" s="46" t="s">
        <v>10484</v>
      </c>
      <c r="F14355" s="46" t="s">
        <v>2575</v>
      </c>
      <c r="G14355" s="46">
        <v>5.047314693263E12</v>
      </c>
      <c r="H14355" s="46" t="s">
        <v>2576</v>
      </c>
      <c r="I14355" s="46" t="s">
        <v>2577</v>
      </c>
      <c r="J14355" s="46" t="s">
        <v>134</v>
      </c>
      <c r="K14355" s="46" t="s">
        <v>126</v>
      </c>
      <c r="L14355" s="45">
        <v>46016.53125</v>
      </c>
      <c r="M14355" s="46" t="s">
        <v>123</v>
      </c>
      <c r="N14355" s="45">
        <v>46016.552083333336</v>
      </c>
      <c r="O14355" s="46" t="s">
        <v>123</v>
      </c>
      <c r="P14355" s="46">
        <v>1800.0</v>
      </c>
    </row>
    <row r="14356">
      <c r="A14356" s="40">
        <f t="shared" si="1"/>
        <v>46013</v>
      </c>
      <c r="B14356" s="37" t="str">
        <f t="array" ref="B14356">iferror(xlookup($I14356, 'IMPORT VHC Report'!$E:$E, 'IMPORT VHC Report'!$A:$C), )</f>
        <v/>
      </c>
      <c r="C14356" s="44"/>
      <c r="D14356" s="44"/>
      <c r="E14356" s="46" t="s">
        <v>10485</v>
      </c>
      <c r="F14356" s="46" t="s">
        <v>2575</v>
      </c>
      <c r="G14356" s="46">
        <v>5.047314693263E12</v>
      </c>
      <c r="H14356" s="46" t="s">
        <v>2576</v>
      </c>
      <c r="I14356" s="46" t="s">
        <v>2577</v>
      </c>
      <c r="J14356" s="46" t="s">
        <v>125</v>
      </c>
      <c r="K14356" s="46" t="s">
        <v>126</v>
      </c>
      <c r="L14356" s="45">
        <v>46017.25</v>
      </c>
      <c r="M14356" s="46" t="s">
        <v>123</v>
      </c>
      <c r="N14356" s="45">
        <v>46017.260416666664</v>
      </c>
      <c r="O14356" s="46" t="s">
        <v>123</v>
      </c>
      <c r="P14356" s="46">
        <v>900.0</v>
      </c>
      <c r="S14356" s="46" t="s">
        <v>199</v>
      </c>
    </row>
    <row r="14357">
      <c r="A14357" s="40">
        <f t="shared" si="1"/>
        <v>46013</v>
      </c>
      <c r="B14357" s="37" t="str">
        <f t="array" ref="B14357">iferror(xlookup($I14357, 'IMPORT VHC Report'!$E:$E, 'IMPORT VHC Report'!$A:$C), )</f>
        <v/>
      </c>
      <c r="C14357" s="44"/>
      <c r="D14357" s="44"/>
      <c r="E14357" s="46" t="s">
        <v>10486</v>
      </c>
      <c r="F14357" s="46" t="s">
        <v>2575</v>
      </c>
      <c r="G14357" s="46">
        <v>5.047314693263E12</v>
      </c>
      <c r="H14357" s="46" t="s">
        <v>2576</v>
      </c>
      <c r="I14357" s="46" t="s">
        <v>2577</v>
      </c>
      <c r="J14357" s="46" t="s">
        <v>196</v>
      </c>
      <c r="K14357" s="46" t="s">
        <v>63</v>
      </c>
      <c r="L14357" s="45">
        <v>46017.25</v>
      </c>
      <c r="M14357" s="46" t="s">
        <v>123</v>
      </c>
      <c r="N14357" s="45">
        <v>46017.625</v>
      </c>
      <c r="O14357" s="46" t="s">
        <v>123</v>
      </c>
      <c r="P14357" s="46">
        <v>32400.0</v>
      </c>
    </row>
    <row r="14358">
      <c r="A14358" s="40">
        <f t="shared" si="1"/>
        <v>46013</v>
      </c>
      <c r="B14358" s="37" t="str">
        <f t="array" ref="B14358">iferror(xlookup($I14358, 'IMPORT VHC Report'!$E:$E, 'IMPORT VHC Report'!$A:$C), )</f>
        <v/>
      </c>
      <c r="C14358" s="44"/>
      <c r="D14358" s="44"/>
      <c r="E14358" s="46" t="s">
        <v>10487</v>
      </c>
      <c r="F14358" s="46" t="s">
        <v>2575</v>
      </c>
      <c r="G14358" s="46">
        <v>5.047314693263E12</v>
      </c>
      <c r="H14358" s="46" t="s">
        <v>2576</v>
      </c>
      <c r="I14358" s="46" t="s">
        <v>2577</v>
      </c>
      <c r="J14358" s="46" t="s">
        <v>132</v>
      </c>
      <c r="K14358" s="46" t="s">
        <v>126</v>
      </c>
      <c r="L14358" s="45">
        <v>46017.375</v>
      </c>
      <c r="M14358" s="46" t="s">
        <v>123</v>
      </c>
      <c r="N14358" s="45">
        <v>46017.416666666664</v>
      </c>
      <c r="O14358" s="46" t="s">
        <v>123</v>
      </c>
      <c r="P14358" s="46">
        <v>3600.0</v>
      </c>
    </row>
    <row r="14359">
      <c r="A14359" s="40">
        <f t="shared" si="1"/>
        <v>46013</v>
      </c>
      <c r="B14359" s="37" t="str">
        <f t="array" ref="B14359">iferror(xlookup($I14359, 'IMPORT VHC Report'!$E:$E, 'IMPORT VHC Report'!$A:$C), )</f>
        <v/>
      </c>
      <c r="C14359" s="44"/>
      <c r="D14359" s="44"/>
      <c r="E14359" s="46" t="s">
        <v>10488</v>
      </c>
      <c r="F14359" s="46" t="s">
        <v>2575</v>
      </c>
      <c r="G14359" s="46">
        <v>5.047314693263E12</v>
      </c>
      <c r="H14359" s="46" t="s">
        <v>2576</v>
      </c>
      <c r="I14359" s="46" t="s">
        <v>2577</v>
      </c>
      <c r="J14359" s="46" t="s">
        <v>134</v>
      </c>
      <c r="K14359" s="46" t="s">
        <v>126</v>
      </c>
      <c r="L14359" s="45">
        <v>46017.520833333336</v>
      </c>
      <c r="M14359" s="46" t="s">
        <v>123</v>
      </c>
      <c r="N14359" s="45">
        <v>46017.541666666664</v>
      </c>
      <c r="O14359" s="46" t="s">
        <v>123</v>
      </c>
      <c r="P14359" s="46">
        <v>1800.0</v>
      </c>
    </row>
    <row r="14360">
      <c r="A14360" s="40">
        <f t="shared" si="1"/>
        <v>46013</v>
      </c>
      <c r="B14360" s="37" t="str">
        <f t="array" ref="B14360">iferror(xlookup($I14360, 'IMPORT VHC Report'!$E:$E, 'IMPORT VHC Report'!$A:$C), )</f>
        <v/>
      </c>
      <c r="C14360" s="44"/>
      <c r="D14360" s="44"/>
      <c r="E14360" s="46" t="s">
        <v>10489</v>
      </c>
      <c r="F14360" s="46" t="s">
        <v>2902</v>
      </c>
      <c r="G14360" s="46">
        <v>1.0333049582991E13</v>
      </c>
      <c r="H14360" s="46" t="s">
        <v>2903</v>
      </c>
      <c r="I14360" s="46" t="s">
        <v>2904</v>
      </c>
      <c r="J14360" s="46" t="s">
        <v>125</v>
      </c>
      <c r="K14360" s="46" t="s">
        <v>126</v>
      </c>
      <c r="L14360" s="45">
        <v>46013.25</v>
      </c>
      <c r="M14360" s="46" t="s">
        <v>123</v>
      </c>
      <c r="N14360" s="45">
        <v>46013.260416666664</v>
      </c>
      <c r="O14360" s="46" t="s">
        <v>123</v>
      </c>
      <c r="P14360" s="46">
        <v>900.0</v>
      </c>
      <c r="S14360" s="46" t="s">
        <v>199</v>
      </c>
    </row>
    <row r="14361">
      <c r="A14361" s="40">
        <f t="shared" si="1"/>
        <v>46013</v>
      </c>
      <c r="B14361" s="37" t="str">
        <f t="array" ref="B14361">iferror(xlookup($I14361, 'IMPORT VHC Report'!$E:$E, 'IMPORT VHC Report'!$A:$C), )</f>
        <v/>
      </c>
      <c r="C14361" s="44"/>
      <c r="D14361" s="44"/>
      <c r="E14361" s="46" t="s">
        <v>10490</v>
      </c>
      <c r="F14361" s="46" t="s">
        <v>2902</v>
      </c>
      <c r="G14361" s="46">
        <v>1.0333049582991E13</v>
      </c>
      <c r="H14361" s="46" t="s">
        <v>2903</v>
      </c>
      <c r="I14361" s="46" t="s">
        <v>2904</v>
      </c>
      <c r="J14361" s="46" t="s">
        <v>196</v>
      </c>
      <c r="K14361" s="46" t="s">
        <v>63</v>
      </c>
      <c r="L14361" s="45">
        <v>46013.25</v>
      </c>
      <c r="M14361" s="46" t="s">
        <v>123</v>
      </c>
      <c r="N14361" s="45">
        <v>46013.625</v>
      </c>
      <c r="O14361" s="46" t="s">
        <v>123</v>
      </c>
      <c r="P14361" s="46">
        <v>32400.0</v>
      </c>
    </row>
    <row r="14362">
      <c r="A14362" s="40">
        <f t="shared" si="1"/>
        <v>46013</v>
      </c>
      <c r="B14362" s="37" t="str">
        <f t="array" ref="B14362">iferror(xlookup($I14362, 'IMPORT VHC Report'!$E:$E, 'IMPORT VHC Report'!$A:$C), )</f>
        <v/>
      </c>
      <c r="C14362" s="44"/>
      <c r="D14362" s="44"/>
      <c r="E14362" s="46" t="s">
        <v>10491</v>
      </c>
      <c r="F14362" s="46" t="s">
        <v>2902</v>
      </c>
      <c r="G14362" s="46">
        <v>1.0333049582991E13</v>
      </c>
      <c r="H14362" s="46" t="s">
        <v>2903</v>
      </c>
      <c r="I14362" s="46" t="s">
        <v>2904</v>
      </c>
      <c r="J14362" s="46" t="s">
        <v>134</v>
      </c>
      <c r="K14362" s="46" t="s">
        <v>126</v>
      </c>
      <c r="L14362" s="45">
        <v>46013.364583333336</v>
      </c>
      <c r="M14362" s="46" t="s">
        <v>123</v>
      </c>
      <c r="N14362" s="45">
        <v>46013.385416666664</v>
      </c>
      <c r="O14362" s="46" t="s">
        <v>123</v>
      </c>
      <c r="P14362" s="46">
        <v>1800.0</v>
      </c>
    </row>
    <row r="14363">
      <c r="A14363" s="40">
        <f t="shared" si="1"/>
        <v>46013</v>
      </c>
      <c r="B14363" s="37" t="str">
        <f t="array" ref="B14363">iferror(xlookup($I14363, 'IMPORT VHC Report'!$E:$E, 'IMPORT VHC Report'!$A:$C), )</f>
        <v/>
      </c>
      <c r="C14363" s="44"/>
      <c r="D14363" s="44"/>
      <c r="E14363" s="46" t="s">
        <v>10492</v>
      </c>
      <c r="F14363" s="46" t="s">
        <v>2902</v>
      </c>
      <c r="G14363" s="46">
        <v>1.0333049582991E13</v>
      </c>
      <c r="H14363" s="46" t="s">
        <v>2903</v>
      </c>
      <c r="I14363" s="46" t="s">
        <v>2904</v>
      </c>
      <c r="J14363" s="46" t="s">
        <v>132</v>
      </c>
      <c r="K14363" s="46" t="s">
        <v>126</v>
      </c>
      <c r="L14363" s="45">
        <v>46013.489583333336</v>
      </c>
      <c r="M14363" s="46" t="s">
        <v>123</v>
      </c>
      <c r="N14363" s="45">
        <v>46013.53125</v>
      </c>
      <c r="O14363" s="46" t="s">
        <v>123</v>
      </c>
      <c r="P14363" s="46">
        <v>3600.0</v>
      </c>
    </row>
    <row r="14364">
      <c r="A14364" s="40">
        <f t="shared" si="1"/>
        <v>46013</v>
      </c>
      <c r="B14364" s="37" t="str">
        <f t="array" ref="B14364">iferror(xlookup($I14364, 'IMPORT VHC Report'!$E:$E, 'IMPORT VHC Report'!$A:$C), )</f>
        <v/>
      </c>
      <c r="C14364" s="44"/>
      <c r="D14364" s="44"/>
      <c r="E14364" s="46" t="s">
        <v>10493</v>
      </c>
      <c r="F14364" s="46" t="s">
        <v>2902</v>
      </c>
      <c r="G14364" s="46">
        <v>1.0333049582991E13</v>
      </c>
      <c r="H14364" s="46" t="s">
        <v>2903</v>
      </c>
      <c r="I14364" s="46" t="s">
        <v>2904</v>
      </c>
      <c r="J14364" s="46" t="s">
        <v>125</v>
      </c>
      <c r="K14364" s="46" t="s">
        <v>126</v>
      </c>
      <c r="L14364" s="45">
        <v>46014.25</v>
      </c>
      <c r="M14364" s="46" t="s">
        <v>123</v>
      </c>
      <c r="N14364" s="45">
        <v>46014.260416666664</v>
      </c>
      <c r="O14364" s="46" t="s">
        <v>123</v>
      </c>
      <c r="P14364" s="46">
        <v>900.0</v>
      </c>
      <c r="S14364" s="46" t="s">
        <v>199</v>
      </c>
    </row>
    <row r="14365">
      <c r="A14365" s="40">
        <f t="shared" si="1"/>
        <v>46013</v>
      </c>
      <c r="B14365" s="37" t="str">
        <f t="array" ref="B14365">iferror(xlookup($I14365, 'IMPORT VHC Report'!$E:$E, 'IMPORT VHC Report'!$A:$C), )</f>
        <v/>
      </c>
      <c r="C14365" s="44"/>
      <c r="D14365" s="44"/>
      <c r="E14365" s="46" t="s">
        <v>10494</v>
      </c>
      <c r="F14365" s="46" t="s">
        <v>2902</v>
      </c>
      <c r="G14365" s="46">
        <v>1.0333049582991E13</v>
      </c>
      <c r="H14365" s="46" t="s">
        <v>2903</v>
      </c>
      <c r="I14365" s="46" t="s">
        <v>2904</v>
      </c>
      <c r="J14365" s="46" t="s">
        <v>196</v>
      </c>
      <c r="K14365" s="46" t="s">
        <v>63</v>
      </c>
      <c r="L14365" s="45">
        <v>46014.25</v>
      </c>
      <c r="M14365" s="46" t="s">
        <v>123</v>
      </c>
      <c r="N14365" s="45">
        <v>46014.4375</v>
      </c>
      <c r="O14365" s="46" t="s">
        <v>123</v>
      </c>
      <c r="P14365" s="46">
        <v>16200.0</v>
      </c>
    </row>
    <row r="14366">
      <c r="A14366" s="40">
        <f t="shared" si="1"/>
        <v>46013</v>
      </c>
      <c r="B14366" s="37" t="str">
        <f t="array" ref="B14366">iferror(xlookup($I14366, 'IMPORT VHC Report'!$E:$E, 'IMPORT VHC Report'!$A:$C), )</f>
        <v/>
      </c>
      <c r="C14366" s="44"/>
      <c r="D14366" s="44"/>
      <c r="E14366" s="46" t="s">
        <v>10495</v>
      </c>
      <c r="F14366" s="46" t="s">
        <v>2902</v>
      </c>
      <c r="G14366" s="46">
        <v>1.0333049582991E13</v>
      </c>
      <c r="H14366" s="46" t="s">
        <v>2903</v>
      </c>
      <c r="I14366" s="46" t="s">
        <v>2904</v>
      </c>
      <c r="J14366" s="46" t="s">
        <v>134</v>
      </c>
      <c r="K14366" s="46" t="s">
        <v>126</v>
      </c>
      <c r="L14366" s="45">
        <v>46014.354166666664</v>
      </c>
      <c r="M14366" s="46" t="s">
        <v>123</v>
      </c>
      <c r="N14366" s="45">
        <v>46014.375</v>
      </c>
      <c r="O14366" s="46" t="s">
        <v>123</v>
      </c>
      <c r="P14366" s="46">
        <v>1800.0</v>
      </c>
    </row>
    <row r="14367">
      <c r="A14367" s="40">
        <f t="shared" si="1"/>
        <v>46013</v>
      </c>
      <c r="B14367" s="37" t="str">
        <f t="array" ref="B14367">iferror(xlookup($I14367, 'IMPORT VHC Report'!$E:$E, 'IMPORT VHC Report'!$A:$C), )</f>
        <v/>
      </c>
      <c r="C14367" s="44"/>
      <c r="D14367" s="44"/>
      <c r="E14367" s="46" t="s">
        <v>10496</v>
      </c>
      <c r="F14367" s="46" t="s">
        <v>2902</v>
      </c>
      <c r="G14367" s="46">
        <v>1.0333049582991E13</v>
      </c>
      <c r="H14367" s="46" t="s">
        <v>2903</v>
      </c>
      <c r="I14367" s="46" t="s">
        <v>2904</v>
      </c>
      <c r="J14367" s="46" t="s">
        <v>62</v>
      </c>
      <c r="K14367" s="46" t="s">
        <v>63</v>
      </c>
      <c r="L14367" s="45">
        <v>46014.4375</v>
      </c>
      <c r="M14367" s="46" t="s">
        <v>123</v>
      </c>
      <c r="N14367" s="45">
        <v>46014.458333333336</v>
      </c>
      <c r="O14367" s="46" t="s">
        <v>123</v>
      </c>
      <c r="P14367" s="46">
        <v>1800.0</v>
      </c>
    </row>
    <row r="14368">
      <c r="A14368" s="40">
        <f t="shared" si="1"/>
        <v>46013</v>
      </c>
      <c r="B14368" s="37" t="str">
        <f t="array" ref="B14368">iferror(xlookup($I14368, 'IMPORT VHC Report'!$E:$E, 'IMPORT VHC Report'!$A:$C), )</f>
        <v/>
      </c>
      <c r="C14368" s="44"/>
      <c r="D14368" s="44"/>
      <c r="E14368" s="46" t="s">
        <v>10497</v>
      </c>
      <c r="F14368" s="46" t="s">
        <v>2902</v>
      </c>
      <c r="G14368" s="46">
        <v>1.0333049582991E13</v>
      </c>
      <c r="H14368" s="46" t="s">
        <v>2903</v>
      </c>
      <c r="I14368" s="46" t="s">
        <v>2904</v>
      </c>
      <c r="J14368" s="46" t="s">
        <v>4</v>
      </c>
      <c r="K14368" s="46" t="s">
        <v>126</v>
      </c>
      <c r="L14368" s="45">
        <v>46014.4375</v>
      </c>
      <c r="M14368" s="46" t="s">
        <v>123</v>
      </c>
      <c r="N14368" s="45">
        <v>46014.46527777778</v>
      </c>
      <c r="O14368" s="46" t="s">
        <v>123</v>
      </c>
      <c r="P14368" s="46">
        <v>2400.0</v>
      </c>
      <c r="S14368" s="46" t="s">
        <v>10450</v>
      </c>
    </row>
    <row r="14369">
      <c r="A14369" s="40">
        <f t="shared" si="1"/>
        <v>46013</v>
      </c>
      <c r="B14369" s="37" t="str">
        <f t="array" ref="B14369">iferror(xlookup($I14369, 'IMPORT VHC Report'!$E:$E, 'IMPORT VHC Report'!$A:$C), )</f>
        <v/>
      </c>
      <c r="C14369" s="44"/>
      <c r="D14369" s="44"/>
      <c r="E14369" s="46" t="s">
        <v>10498</v>
      </c>
      <c r="F14369" s="46" t="s">
        <v>2902</v>
      </c>
      <c r="G14369" s="46">
        <v>1.0333049582991E13</v>
      </c>
      <c r="H14369" s="46" t="s">
        <v>2903</v>
      </c>
      <c r="I14369" s="46" t="s">
        <v>2904</v>
      </c>
      <c r="J14369" s="46" t="s">
        <v>196</v>
      </c>
      <c r="K14369" s="46" t="s">
        <v>63</v>
      </c>
      <c r="L14369" s="45">
        <v>46014.458333333336</v>
      </c>
      <c r="M14369" s="46" t="s">
        <v>123</v>
      </c>
      <c r="N14369" s="45">
        <v>46014.625</v>
      </c>
      <c r="O14369" s="46" t="s">
        <v>123</v>
      </c>
      <c r="P14369" s="46">
        <v>14400.0</v>
      </c>
    </row>
    <row r="14370">
      <c r="A14370" s="40">
        <f t="shared" si="1"/>
        <v>46013</v>
      </c>
      <c r="B14370" s="37" t="str">
        <f t="array" ref="B14370">iferror(xlookup($I14370, 'IMPORT VHC Report'!$E:$E, 'IMPORT VHC Report'!$A:$C), )</f>
        <v/>
      </c>
      <c r="C14370" s="44"/>
      <c r="D14370" s="44"/>
      <c r="E14370" s="46" t="s">
        <v>10499</v>
      </c>
      <c r="F14370" s="46" t="s">
        <v>2902</v>
      </c>
      <c r="G14370" s="46">
        <v>1.0333049582991E13</v>
      </c>
      <c r="H14370" s="46" t="s">
        <v>2903</v>
      </c>
      <c r="I14370" s="46" t="s">
        <v>2904</v>
      </c>
      <c r="J14370" s="46" t="s">
        <v>132</v>
      </c>
      <c r="K14370" s="46" t="s">
        <v>126</v>
      </c>
      <c r="L14370" s="45">
        <v>46014.489583333336</v>
      </c>
      <c r="M14370" s="46" t="s">
        <v>123</v>
      </c>
      <c r="N14370" s="45">
        <v>46014.53125</v>
      </c>
      <c r="O14370" s="46" t="s">
        <v>123</v>
      </c>
      <c r="P14370" s="46">
        <v>3600.0</v>
      </c>
    </row>
    <row r="14371">
      <c r="A14371" s="40">
        <f t="shared" si="1"/>
        <v>46013</v>
      </c>
      <c r="B14371" s="37" t="str">
        <f t="array" ref="B14371">iferror(xlookup($I14371, 'IMPORT VHC Report'!$E:$E, 'IMPORT VHC Report'!$A:$C), )</f>
        <v/>
      </c>
      <c r="C14371" s="44"/>
      <c r="D14371" s="44"/>
      <c r="E14371" s="46" t="s">
        <v>10500</v>
      </c>
      <c r="F14371" s="46" t="s">
        <v>2902</v>
      </c>
      <c r="G14371" s="46">
        <v>1.0333049582991E13</v>
      </c>
      <c r="H14371" s="46" t="s">
        <v>2903</v>
      </c>
      <c r="I14371" s="46" t="s">
        <v>2904</v>
      </c>
      <c r="J14371" s="46" t="s">
        <v>125</v>
      </c>
      <c r="K14371" s="46" t="s">
        <v>126</v>
      </c>
      <c r="L14371" s="45">
        <v>46015.25</v>
      </c>
      <c r="M14371" s="46" t="s">
        <v>123</v>
      </c>
      <c r="N14371" s="45">
        <v>46015.260416666664</v>
      </c>
      <c r="O14371" s="46" t="s">
        <v>123</v>
      </c>
      <c r="P14371" s="46">
        <v>900.0</v>
      </c>
      <c r="S14371" s="46" t="s">
        <v>199</v>
      </c>
    </row>
    <row r="14372">
      <c r="A14372" s="40">
        <f t="shared" si="1"/>
        <v>46013</v>
      </c>
      <c r="B14372" s="37" t="str">
        <f t="array" ref="B14372">iferror(xlookup($I14372, 'IMPORT VHC Report'!$E:$E, 'IMPORT VHC Report'!$A:$C), )</f>
        <v/>
      </c>
      <c r="C14372" s="44"/>
      <c r="D14372" s="44"/>
      <c r="E14372" s="46" t="s">
        <v>10501</v>
      </c>
      <c r="F14372" s="46" t="s">
        <v>2902</v>
      </c>
      <c r="G14372" s="46">
        <v>1.0333049582991E13</v>
      </c>
      <c r="H14372" s="46" t="s">
        <v>2903</v>
      </c>
      <c r="I14372" s="46" t="s">
        <v>2904</v>
      </c>
      <c r="J14372" s="46" t="s">
        <v>196</v>
      </c>
      <c r="K14372" s="46" t="s">
        <v>63</v>
      </c>
      <c r="L14372" s="45">
        <v>46015.25</v>
      </c>
      <c r="M14372" s="46" t="s">
        <v>123</v>
      </c>
      <c r="N14372" s="45">
        <v>46015.625</v>
      </c>
      <c r="O14372" s="46" t="s">
        <v>123</v>
      </c>
      <c r="P14372" s="46">
        <v>32400.0</v>
      </c>
    </row>
    <row r="14373">
      <c r="A14373" s="40">
        <f t="shared" si="1"/>
        <v>46013</v>
      </c>
      <c r="B14373" s="37" t="str">
        <f t="array" ref="B14373">iferror(xlookup($I14373, 'IMPORT VHC Report'!$E:$E, 'IMPORT VHC Report'!$A:$C), )</f>
        <v/>
      </c>
      <c r="C14373" s="44"/>
      <c r="D14373" s="44"/>
      <c r="E14373" s="46" t="s">
        <v>10502</v>
      </c>
      <c r="F14373" s="46" t="s">
        <v>2902</v>
      </c>
      <c r="G14373" s="46">
        <v>1.0333049582991E13</v>
      </c>
      <c r="H14373" s="46" t="s">
        <v>2903</v>
      </c>
      <c r="I14373" s="46" t="s">
        <v>2904</v>
      </c>
      <c r="J14373" s="46" t="s">
        <v>132</v>
      </c>
      <c r="K14373" s="46" t="s">
        <v>126</v>
      </c>
      <c r="L14373" s="45">
        <v>46015.385416666664</v>
      </c>
      <c r="M14373" s="46" t="s">
        <v>123</v>
      </c>
      <c r="N14373" s="45">
        <v>46015.427083333336</v>
      </c>
      <c r="O14373" s="46" t="s">
        <v>123</v>
      </c>
      <c r="P14373" s="46">
        <v>3600.0</v>
      </c>
    </row>
    <row r="14374">
      <c r="A14374" s="40">
        <f t="shared" si="1"/>
        <v>46013</v>
      </c>
      <c r="B14374" s="37" t="str">
        <f t="array" ref="B14374">iferror(xlookup($I14374, 'IMPORT VHC Report'!$E:$E, 'IMPORT VHC Report'!$A:$C), )</f>
        <v/>
      </c>
      <c r="C14374" s="44"/>
      <c r="D14374" s="44"/>
      <c r="E14374" s="46" t="s">
        <v>10503</v>
      </c>
      <c r="F14374" s="46" t="s">
        <v>2902</v>
      </c>
      <c r="G14374" s="46">
        <v>1.0333049582991E13</v>
      </c>
      <c r="H14374" s="46" t="s">
        <v>2903</v>
      </c>
      <c r="I14374" s="46" t="s">
        <v>2904</v>
      </c>
      <c r="J14374" s="46" t="s">
        <v>134</v>
      </c>
      <c r="K14374" s="46" t="s">
        <v>126</v>
      </c>
      <c r="L14374" s="45">
        <v>46015.53125</v>
      </c>
      <c r="M14374" s="46" t="s">
        <v>123</v>
      </c>
      <c r="N14374" s="45">
        <v>46015.552083333336</v>
      </c>
      <c r="O14374" s="46" t="s">
        <v>123</v>
      </c>
      <c r="P14374" s="46">
        <v>1800.0</v>
      </c>
    </row>
    <row r="14375">
      <c r="A14375" s="40">
        <f t="shared" si="1"/>
        <v>46013</v>
      </c>
      <c r="B14375" s="37" t="str">
        <f t="array" ref="B14375">iferror(xlookup($I14375, 'IMPORT VHC Report'!$E:$E, 'IMPORT VHC Report'!$A:$C), )</f>
        <v/>
      </c>
      <c r="C14375" s="44"/>
      <c r="D14375" s="44"/>
      <c r="E14375" s="46" t="s">
        <v>10504</v>
      </c>
      <c r="F14375" s="46" t="s">
        <v>2902</v>
      </c>
      <c r="G14375" s="46">
        <v>1.0333049582991E13</v>
      </c>
      <c r="H14375" s="46" t="s">
        <v>2903</v>
      </c>
      <c r="I14375" s="46" t="s">
        <v>2904</v>
      </c>
      <c r="J14375" s="46" t="s">
        <v>125</v>
      </c>
      <c r="K14375" s="46" t="s">
        <v>126</v>
      </c>
      <c r="L14375" s="45">
        <v>46018.25</v>
      </c>
      <c r="M14375" s="46" t="s">
        <v>123</v>
      </c>
      <c r="N14375" s="45">
        <v>46018.260416666664</v>
      </c>
      <c r="O14375" s="46" t="s">
        <v>123</v>
      </c>
      <c r="P14375" s="46">
        <v>900.0</v>
      </c>
      <c r="S14375" s="46" t="s">
        <v>199</v>
      </c>
    </row>
    <row r="14376">
      <c r="A14376" s="40">
        <f t="shared" si="1"/>
        <v>46013</v>
      </c>
      <c r="B14376" s="37" t="str">
        <f t="array" ref="B14376">iferror(xlookup($I14376, 'IMPORT VHC Report'!$E:$E, 'IMPORT VHC Report'!$A:$C), )</f>
        <v/>
      </c>
      <c r="C14376" s="44"/>
      <c r="D14376" s="44"/>
      <c r="E14376" s="46" t="s">
        <v>10505</v>
      </c>
      <c r="F14376" s="46" t="s">
        <v>2902</v>
      </c>
      <c r="G14376" s="46">
        <v>1.0333049582991E13</v>
      </c>
      <c r="H14376" s="46" t="s">
        <v>2903</v>
      </c>
      <c r="I14376" s="46" t="s">
        <v>2904</v>
      </c>
      <c r="J14376" s="46" t="s">
        <v>196</v>
      </c>
      <c r="K14376" s="46" t="s">
        <v>63</v>
      </c>
      <c r="L14376" s="45">
        <v>46018.25</v>
      </c>
      <c r="M14376" s="46" t="s">
        <v>123</v>
      </c>
      <c r="N14376" s="45">
        <v>46018.625</v>
      </c>
      <c r="O14376" s="46" t="s">
        <v>123</v>
      </c>
      <c r="P14376" s="46">
        <v>32400.0</v>
      </c>
    </row>
    <row r="14377">
      <c r="A14377" s="40">
        <f t="shared" si="1"/>
        <v>46013</v>
      </c>
      <c r="B14377" s="37" t="str">
        <f t="array" ref="B14377">iferror(xlookup($I14377, 'IMPORT VHC Report'!$E:$E, 'IMPORT VHC Report'!$A:$C), )</f>
        <v/>
      </c>
      <c r="C14377" s="44"/>
      <c r="D14377" s="44"/>
      <c r="E14377" s="46" t="s">
        <v>10506</v>
      </c>
      <c r="F14377" s="46" t="s">
        <v>2902</v>
      </c>
      <c r="G14377" s="46">
        <v>1.0333049582991E13</v>
      </c>
      <c r="H14377" s="46" t="s">
        <v>2903</v>
      </c>
      <c r="I14377" s="46" t="s">
        <v>2904</v>
      </c>
      <c r="J14377" s="46" t="s">
        <v>134</v>
      </c>
      <c r="K14377" s="46" t="s">
        <v>126</v>
      </c>
      <c r="L14377" s="45">
        <v>46018.364583333336</v>
      </c>
      <c r="M14377" s="46" t="s">
        <v>123</v>
      </c>
      <c r="N14377" s="45">
        <v>46018.385416666664</v>
      </c>
      <c r="O14377" s="46" t="s">
        <v>123</v>
      </c>
      <c r="P14377" s="46">
        <v>1800.0</v>
      </c>
    </row>
    <row r="14378">
      <c r="A14378" s="40">
        <f t="shared" si="1"/>
        <v>46013</v>
      </c>
      <c r="B14378" s="37" t="str">
        <f t="array" ref="B14378">iferror(xlookup($I14378, 'IMPORT VHC Report'!$E:$E, 'IMPORT VHC Report'!$A:$C), )</f>
        <v/>
      </c>
      <c r="C14378" s="44"/>
      <c r="D14378" s="44"/>
      <c r="E14378" s="46" t="s">
        <v>10507</v>
      </c>
      <c r="F14378" s="46" t="s">
        <v>2902</v>
      </c>
      <c r="G14378" s="46">
        <v>1.0333049582991E13</v>
      </c>
      <c r="H14378" s="46" t="s">
        <v>2903</v>
      </c>
      <c r="I14378" s="46" t="s">
        <v>2904</v>
      </c>
      <c r="J14378" s="46" t="s">
        <v>132</v>
      </c>
      <c r="K14378" s="46" t="s">
        <v>126</v>
      </c>
      <c r="L14378" s="45">
        <v>46018.510416666664</v>
      </c>
      <c r="M14378" s="46" t="s">
        <v>123</v>
      </c>
      <c r="N14378" s="45">
        <v>46018.552083333336</v>
      </c>
      <c r="O14378" s="46" t="s">
        <v>123</v>
      </c>
      <c r="P14378" s="46">
        <v>3600.0</v>
      </c>
    </row>
    <row r="14379">
      <c r="A14379" s="40">
        <f t="shared" si="1"/>
        <v>46013</v>
      </c>
      <c r="B14379" s="37" t="str">
        <f t="array" ref="B14379">iferror(xlookup($I14379, 'IMPORT VHC Report'!$E:$E, 'IMPORT VHC Report'!$A:$C), )</f>
        <v/>
      </c>
      <c r="C14379" s="44"/>
      <c r="D14379" s="44"/>
      <c r="E14379" s="46" t="s">
        <v>10508</v>
      </c>
      <c r="F14379" s="46" t="s">
        <v>2902</v>
      </c>
      <c r="G14379" s="46">
        <v>1.0333049582991E13</v>
      </c>
      <c r="H14379" s="46" t="s">
        <v>2903</v>
      </c>
      <c r="I14379" s="46" t="s">
        <v>2904</v>
      </c>
      <c r="J14379" s="46" t="s">
        <v>125</v>
      </c>
      <c r="K14379" s="46" t="s">
        <v>126</v>
      </c>
      <c r="L14379" s="45">
        <v>46019.25</v>
      </c>
      <c r="M14379" s="46" t="s">
        <v>123</v>
      </c>
      <c r="N14379" s="45">
        <v>46019.260416666664</v>
      </c>
      <c r="O14379" s="46" t="s">
        <v>123</v>
      </c>
      <c r="P14379" s="46">
        <v>900.0</v>
      </c>
      <c r="S14379" s="46" t="s">
        <v>199</v>
      </c>
    </row>
    <row r="14380">
      <c r="A14380" s="40">
        <f t="shared" si="1"/>
        <v>46013</v>
      </c>
      <c r="B14380" s="37" t="str">
        <f t="array" ref="B14380">iferror(xlookup($I14380, 'IMPORT VHC Report'!$E:$E, 'IMPORT VHC Report'!$A:$C), )</f>
        <v/>
      </c>
      <c r="C14380" s="44"/>
      <c r="D14380" s="44"/>
      <c r="E14380" s="46" t="s">
        <v>10509</v>
      </c>
      <c r="F14380" s="46" t="s">
        <v>2902</v>
      </c>
      <c r="G14380" s="46">
        <v>1.0333049582991E13</v>
      </c>
      <c r="H14380" s="46" t="s">
        <v>2903</v>
      </c>
      <c r="I14380" s="46" t="s">
        <v>2904</v>
      </c>
      <c r="J14380" s="46" t="s">
        <v>196</v>
      </c>
      <c r="K14380" s="46" t="s">
        <v>63</v>
      </c>
      <c r="L14380" s="45">
        <v>46019.25</v>
      </c>
      <c r="M14380" s="46" t="s">
        <v>123</v>
      </c>
      <c r="N14380" s="45">
        <v>46019.625</v>
      </c>
      <c r="O14380" s="46" t="s">
        <v>123</v>
      </c>
      <c r="P14380" s="46">
        <v>32400.0</v>
      </c>
    </row>
    <row r="14381">
      <c r="A14381" s="40">
        <f t="shared" si="1"/>
        <v>46013</v>
      </c>
      <c r="B14381" s="37" t="str">
        <f t="array" ref="B14381">iferror(xlookup($I14381, 'IMPORT VHC Report'!$E:$E, 'IMPORT VHC Report'!$A:$C), )</f>
        <v/>
      </c>
      <c r="C14381" s="44"/>
      <c r="D14381" s="44"/>
      <c r="E14381" s="46" t="s">
        <v>10510</v>
      </c>
      <c r="F14381" s="46" t="s">
        <v>2902</v>
      </c>
      <c r="G14381" s="46">
        <v>1.0333049582991E13</v>
      </c>
      <c r="H14381" s="46" t="s">
        <v>2903</v>
      </c>
      <c r="I14381" s="46" t="s">
        <v>2904</v>
      </c>
      <c r="J14381" s="46" t="s">
        <v>134</v>
      </c>
      <c r="K14381" s="46" t="s">
        <v>126</v>
      </c>
      <c r="L14381" s="45">
        <v>46019.34375</v>
      </c>
      <c r="M14381" s="46" t="s">
        <v>123</v>
      </c>
      <c r="N14381" s="45">
        <v>46019.364583333336</v>
      </c>
      <c r="O14381" s="46" t="s">
        <v>123</v>
      </c>
      <c r="P14381" s="46">
        <v>1800.0</v>
      </c>
    </row>
    <row r="14382">
      <c r="A14382" s="40">
        <f t="shared" si="1"/>
        <v>46013</v>
      </c>
      <c r="B14382" s="37" t="str">
        <f t="array" ref="B14382">iferror(xlookup($I14382, 'IMPORT VHC Report'!$E:$E, 'IMPORT VHC Report'!$A:$C), )</f>
        <v/>
      </c>
      <c r="C14382" s="44"/>
      <c r="D14382" s="44"/>
      <c r="E14382" s="46" t="s">
        <v>10511</v>
      </c>
      <c r="F14382" s="46" t="s">
        <v>2902</v>
      </c>
      <c r="G14382" s="46">
        <v>1.0333049582991E13</v>
      </c>
      <c r="H14382" s="46" t="s">
        <v>2903</v>
      </c>
      <c r="I14382" s="46" t="s">
        <v>2904</v>
      </c>
      <c r="J14382" s="46" t="s">
        <v>132</v>
      </c>
      <c r="K14382" s="46" t="s">
        <v>126</v>
      </c>
      <c r="L14382" s="45">
        <v>46019.479166666664</v>
      </c>
      <c r="M14382" s="46" t="s">
        <v>123</v>
      </c>
      <c r="N14382" s="45">
        <v>46019.520833333336</v>
      </c>
      <c r="O14382" s="46" t="s">
        <v>123</v>
      </c>
      <c r="P14382" s="46">
        <v>3600.0</v>
      </c>
    </row>
    <row r="14383">
      <c r="A14383" s="40">
        <f t="shared" si="1"/>
        <v>46013</v>
      </c>
      <c r="B14383" s="37" t="str">
        <f t="array" ref="B14383">iferror(xlookup($I14383, 'IMPORT VHC Report'!$E:$E, 'IMPORT VHC Report'!$A:$C), )</f>
        <v/>
      </c>
      <c r="C14383" s="44"/>
      <c r="D14383" s="44"/>
      <c r="E14383" s="46" t="s">
        <v>10512</v>
      </c>
      <c r="F14383" s="46" t="s">
        <v>3336</v>
      </c>
      <c r="G14383" s="46">
        <v>1.1401981770511E13</v>
      </c>
      <c r="H14383" s="46" t="s">
        <v>3337</v>
      </c>
      <c r="I14383" s="46" t="s">
        <v>3338</v>
      </c>
      <c r="J14383" s="46" t="s">
        <v>125</v>
      </c>
      <c r="K14383" s="46" t="s">
        <v>126</v>
      </c>
      <c r="L14383" s="45">
        <v>46013.375</v>
      </c>
      <c r="M14383" s="46" t="s">
        <v>123</v>
      </c>
      <c r="N14383" s="45">
        <v>46013.385416666664</v>
      </c>
      <c r="O14383" s="46" t="s">
        <v>123</v>
      </c>
      <c r="P14383" s="46">
        <v>900.0</v>
      </c>
      <c r="S14383" s="46" t="s">
        <v>199</v>
      </c>
    </row>
    <row r="14384">
      <c r="A14384" s="40">
        <f t="shared" si="1"/>
        <v>46013</v>
      </c>
      <c r="B14384" s="37" t="str">
        <f t="array" ref="B14384">iferror(xlookup($I14384, 'IMPORT VHC Report'!$E:$E, 'IMPORT VHC Report'!$A:$C), )</f>
        <v/>
      </c>
      <c r="C14384" s="44"/>
      <c r="D14384" s="44"/>
      <c r="E14384" s="46" t="s">
        <v>10513</v>
      </c>
      <c r="F14384" s="46" t="s">
        <v>3336</v>
      </c>
      <c r="G14384" s="46">
        <v>1.1401981770511E13</v>
      </c>
      <c r="H14384" s="46" t="s">
        <v>3337</v>
      </c>
      <c r="I14384" s="46" t="s">
        <v>3338</v>
      </c>
      <c r="J14384" s="46" t="s">
        <v>196</v>
      </c>
      <c r="K14384" s="46" t="s">
        <v>63</v>
      </c>
      <c r="L14384" s="45">
        <v>46013.375</v>
      </c>
      <c r="M14384" s="46" t="s">
        <v>123</v>
      </c>
      <c r="N14384" s="45">
        <v>46013.75</v>
      </c>
      <c r="O14384" s="46" t="s">
        <v>123</v>
      </c>
      <c r="P14384" s="46">
        <v>32400.0</v>
      </c>
    </row>
    <row r="14385">
      <c r="A14385" s="40">
        <f t="shared" si="1"/>
        <v>46013</v>
      </c>
      <c r="B14385" s="37" t="str">
        <f t="array" ref="B14385">iferror(xlookup($I14385, 'IMPORT VHC Report'!$E:$E, 'IMPORT VHC Report'!$A:$C), )</f>
        <v/>
      </c>
      <c r="C14385" s="44"/>
      <c r="D14385" s="44"/>
      <c r="E14385" s="46" t="s">
        <v>10514</v>
      </c>
      <c r="F14385" s="46" t="s">
        <v>3336</v>
      </c>
      <c r="G14385" s="46">
        <v>1.1401981770511E13</v>
      </c>
      <c r="H14385" s="46" t="s">
        <v>3337</v>
      </c>
      <c r="I14385" s="46" t="s">
        <v>3338</v>
      </c>
      <c r="J14385" s="46" t="s">
        <v>134</v>
      </c>
      <c r="K14385" s="46" t="s">
        <v>126</v>
      </c>
      <c r="L14385" s="45">
        <v>46013.5</v>
      </c>
      <c r="M14385" s="46" t="s">
        <v>123</v>
      </c>
      <c r="N14385" s="45">
        <v>46013.520833333336</v>
      </c>
      <c r="O14385" s="46" t="s">
        <v>123</v>
      </c>
      <c r="P14385" s="46">
        <v>1800.0</v>
      </c>
    </row>
    <row r="14386">
      <c r="A14386" s="40">
        <f t="shared" si="1"/>
        <v>46013</v>
      </c>
      <c r="B14386" s="37" t="str">
        <f t="array" ref="B14386">iferror(xlookup($I14386, 'IMPORT VHC Report'!$E:$E, 'IMPORT VHC Report'!$A:$C), )</f>
        <v/>
      </c>
      <c r="C14386" s="44"/>
      <c r="D14386" s="44"/>
      <c r="E14386" s="46" t="s">
        <v>10515</v>
      </c>
      <c r="F14386" s="46" t="s">
        <v>3336</v>
      </c>
      <c r="G14386" s="46">
        <v>1.1401981770511E13</v>
      </c>
      <c r="H14386" s="46" t="s">
        <v>3337</v>
      </c>
      <c r="I14386" s="46" t="s">
        <v>3338</v>
      </c>
      <c r="J14386" s="46" t="s">
        <v>132</v>
      </c>
      <c r="K14386" s="46" t="s">
        <v>126</v>
      </c>
      <c r="L14386" s="45">
        <v>46013.635416666664</v>
      </c>
      <c r="M14386" s="46" t="s">
        <v>123</v>
      </c>
      <c r="N14386" s="45">
        <v>46013.677083333336</v>
      </c>
      <c r="O14386" s="46" t="s">
        <v>123</v>
      </c>
      <c r="P14386" s="46">
        <v>3600.0</v>
      </c>
    </row>
    <row r="14387">
      <c r="A14387" s="40">
        <f t="shared" si="1"/>
        <v>46013</v>
      </c>
      <c r="B14387" s="37" t="str">
        <f t="array" ref="B14387">iferror(xlookup($I14387, 'IMPORT VHC Report'!$E:$E, 'IMPORT VHC Report'!$A:$C), )</f>
        <v/>
      </c>
      <c r="C14387" s="44"/>
      <c r="D14387" s="44"/>
      <c r="E14387" s="46" t="s">
        <v>10516</v>
      </c>
      <c r="F14387" s="46" t="s">
        <v>3336</v>
      </c>
      <c r="G14387" s="46">
        <v>1.1401981770511E13</v>
      </c>
      <c r="H14387" s="46" t="s">
        <v>3337</v>
      </c>
      <c r="I14387" s="46" t="s">
        <v>3338</v>
      </c>
      <c r="J14387" s="46" t="s">
        <v>125</v>
      </c>
      <c r="K14387" s="46" t="s">
        <v>126</v>
      </c>
      <c r="L14387" s="45">
        <v>46014.375</v>
      </c>
      <c r="M14387" s="46" t="s">
        <v>123</v>
      </c>
      <c r="N14387" s="45">
        <v>46014.385416666664</v>
      </c>
      <c r="O14387" s="46" t="s">
        <v>123</v>
      </c>
      <c r="P14387" s="46">
        <v>900.0</v>
      </c>
      <c r="S14387" s="46" t="s">
        <v>199</v>
      </c>
    </row>
    <row r="14388">
      <c r="A14388" s="40">
        <f t="shared" si="1"/>
        <v>46013</v>
      </c>
      <c r="B14388" s="37" t="str">
        <f t="array" ref="B14388">iferror(xlookup($I14388, 'IMPORT VHC Report'!$E:$E, 'IMPORT VHC Report'!$A:$C), )</f>
        <v/>
      </c>
      <c r="C14388" s="44"/>
      <c r="D14388" s="44"/>
      <c r="E14388" s="46" t="s">
        <v>10517</v>
      </c>
      <c r="F14388" s="46" t="s">
        <v>3336</v>
      </c>
      <c r="G14388" s="46">
        <v>1.1401981770511E13</v>
      </c>
      <c r="H14388" s="46" t="s">
        <v>3337</v>
      </c>
      <c r="I14388" s="46" t="s">
        <v>3338</v>
      </c>
      <c r="J14388" s="46" t="s">
        <v>196</v>
      </c>
      <c r="K14388" s="46" t="s">
        <v>63</v>
      </c>
      <c r="L14388" s="45">
        <v>46014.375</v>
      </c>
      <c r="M14388" s="46" t="s">
        <v>123</v>
      </c>
      <c r="N14388" s="45">
        <v>46014.75</v>
      </c>
      <c r="O14388" s="46" t="s">
        <v>123</v>
      </c>
      <c r="P14388" s="46">
        <v>32400.0</v>
      </c>
    </row>
    <row r="14389">
      <c r="A14389" s="40">
        <f t="shared" si="1"/>
        <v>46013</v>
      </c>
      <c r="B14389" s="37" t="str">
        <f t="array" ref="B14389">iferror(xlookup($I14389, 'IMPORT VHC Report'!$E:$E, 'IMPORT VHC Report'!$A:$C), )</f>
        <v/>
      </c>
      <c r="C14389" s="44"/>
      <c r="D14389" s="44"/>
      <c r="E14389" s="46" t="s">
        <v>10518</v>
      </c>
      <c r="F14389" s="46" t="s">
        <v>3336</v>
      </c>
      <c r="G14389" s="46">
        <v>1.1401981770511E13</v>
      </c>
      <c r="H14389" s="46" t="s">
        <v>3337</v>
      </c>
      <c r="I14389" s="46" t="s">
        <v>3338</v>
      </c>
      <c r="J14389" s="46" t="s">
        <v>132</v>
      </c>
      <c r="K14389" s="46" t="s">
        <v>126</v>
      </c>
      <c r="L14389" s="45">
        <v>46014.5</v>
      </c>
      <c r="M14389" s="46" t="s">
        <v>123</v>
      </c>
      <c r="N14389" s="45">
        <v>46014.541666666664</v>
      </c>
      <c r="O14389" s="46" t="s">
        <v>123</v>
      </c>
      <c r="P14389" s="46">
        <v>3600.0</v>
      </c>
    </row>
    <row r="14390">
      <c r="A14390" s="40">
        <f t="shared" si="1"/>
        <v>46013</v>
      </c>
      <c r="B14390" s="37" t="str">
        <f t="array" ref="B14390">iferror(xlookup($I14390, 'IMPORT VHC Report'!$E:$E, 'IMPORT VHC Report'!$A:$C), )</f>
        <v/>
      </c>
      <c r="C14390" s="44"/>
      <c r="D14390" s="44"/>
      <c r="E14390" s="46" t="s">
        <v>10519</v>
      </c>
      <c r="F14390" s="46" t="s">
        <v>3336</v>
      </c>
      <c r="G14390" s="46">
        <v>1.1401981770511E13</v>
      </c>
      <c r="H14390" s="46" t="s">
        <v>3337</v>
      </c>
      <c r="I14390" s="46" t="s">
        <v>3338</v>
      </c>
      <c r="J14390" s="46" t="s">
        <v>134</v>
      </c>
      <c r="K14390" s="46" t="s">
        <v>126</v>
      </c>
      <c r="L14390" s="45">
        <v>46014.645833333336</v>
      </c>
      <c r="M14390" s="46" t="s">
        <v>123</v>
      </c>
      <c r="N14390" s="45">
        <v>46014.666666666664</v>
      </c>
      <c r="O14390" s="46" t="s">
        <v>123</v>
      </c>
      <c r="P14390" s="46">
        <v>1800.0</v>
      </c>
    </row>
    <row r="14391">
      <c r="A14391" s="40">
        <f t="shared" si="1"/>
        <v>46013</v>
      </c>
      <c r="B14391" s="37" t="str">
        <f t="array" ref="B14391">iferror(xlookup($I14391, 'IMPORT VHC Report'!$E:$E, 'IMPORT VHC Report'!$A:$C), )</f>
        <v/>
      </c>
      <c r="C14391" s="44"/>
      <c r="D14391" s="44"/>
      <c r="E14391" s="46" t="s">
        <v>10520</v>
      </c>
      <c r="F14391" s="46" t="s">
        <v>3336</v>
      </c>
      <c r="G14391" s="46">
        <v>1.1401981770511E13</v>
      </c>
      <c r="H14391" s="46" t="s">
        <v>3337</v>
      </c>
      <c r="I14391" s="46" t="s">
        <v>3338</v>
      </c>
      <c r="J14391" s="46" t="s">
        <v>136</v>
      </c>
      <c r="K14391" s="46" t="s">
        <v>126</v>
      </c>
      <c r="L14391" s="45">
        <v>46014.729166666664</v>
      </c>
      <c r="M14391" s="46" t="s">
        <v>123</v>
      </c>
      <c r="N14391" s="45">
        <v>46014.75</v>
      </c>
      <c r="O14391" s="46" t="s">
        <v>123</v>
      </c>
      <c r="P14391" s="46">
        <v>1800.0</v>
      </c>
      <c r="S14391" s="46" t="s">
        <v>137</v>
      </c>
    </row>
    <row r="14392">
      <c r="A14392" s="40">
        <f t="shared" si="1"/>
        <v>46013</v>
      </c>
      <c r="B14392" s="37" t="str">
        <f t="array" ref="B14392">iferror(xlookup($I14392, 'IMPORT VHC Report'!$E:$E, 'IMPORT VHC Report'!$A:$C), )</f>
        <v/>
      </c>
      <c r="C14392" s="44"/>
      <c r="D14392" s="44"/>
      <c r="E14392" s="46" t="s">
        <v>10521</v>
      </c>
      <c r="F14392" s="46" t="s">
        <v>3336</v>
      </c>
      <c r="G14392" s="46">
        <v>1.1401981770511E13</v>
      </c>
      <c r="H14392" s="46" t="s">
        <v>3337</v>
      </c>
      <c r="I14392" s="46" t="s">
        <v>3338</v>
      </c>
      <c r="J14392" s="46" t="s">
        <v>125</v>
      </c>
      <c r="K14392" s="46" t="s">
        <v>126</v>
      </c>
      <c r="L14392" s="45">
        <v>46015.375</v>
      </c>
      <c r="M14392" s="46" t="s">
        <v>123</v>
      </c>
      <c r="N14392" s="45">
        <v>46015.385416666664</v>
      </c>
      <c r="O14392" s="46" t="s">
        <v>123</v>
      </c>
      <c r="P14392" s="46">
        <v>900.0</v>
      </c>
      <c r="S14392" s="46" t="s">
        <v>199</v>
      </c>
    </row>
    <row r="14393">
      <c r="A14393" s="40">
        <f t="shared" si="1"/>
        <v>46013</v>
      </c>
      <c r="B14393" s="37" t="str">
        <f t="array" ref="B14393">iferror(xlookup($I14393, 'IMPORT VHC Report'!$E:$E, 'IMPORT VHC Report'!$A:$C), )</f>
        <v/>
      </c>
      <c r="C14393" s="44"/>
      <c r="D14393" s="44"/>
      <c r="E14393" s="46" t="s">
        <v>10522</v>
      </c>
      <c r="F14393" s="46" t="s">
        <v>3336</v>
      </c>
      <c r="G14393" s="46">
        <v>1.1401981770511E13</v>
      </c>
      <c r="H14393" s="46" t="s">
        <v>3337</v>
      </c>
      <c r="I14393" s="46" t="s">
        <v>3338</v>
      </c>
      <c r="J14393" s="46" t="s">
        <v>196</v>
      </c>
      <c r="K14393" s="46" t="s">
        <v>63</v>
      </c>
      <c r="L14393" s="45">
        <v>46015.375</v>
      </c>
      <c r="M14393" s="46" t="s">
        <v>123</v>
      </c>
      <c r="N14393" s="45">
        <v>46015.708333333336</v>
      </c>
      <c r="O14393" s="46" t="s">
        <v>123</v>
      </c>
      <c r="P14393" s="46">
        <v>28800.0</v>
      </c>
    </row>
    <row r="14394">
      <c r="A14394" s="40">
        <f t="shared" si="1"/>
        <v>46013</v>
      </c>
      <c r="B14394" s="37" t="str">
        <f t="array" ref="B14394">iferror(xlookup($I14394, 'IMPORT VHC Report'!$E:$E, 'IMPORT VHC Report'!$A:$C), )</f>
        <v/>
      </c>
      <c r="C14394" s="44"/>
      <c r="D14394" s="44"/>
      <c r="E14394" s="46" t="s">
        <v>10523</v>
      </c>
      <c r="F14394" s="46" t="s">
        <v>3336</v>
      </c>
      <c r="G14394" s="46">
        <v>1.1401981770511E13</v>
      </c>
      <c r="H14394" s="46" t="s">
        <v>3337</v>
      </c>
      <c r="I14394" s="46" t="s">
        <v>3338</v>
      </c>
      <c r="J14394" s="46" t="s">
        <v>178</v>
      </c>
      <c r="K14394" s="46" t="s">
        <v>153</v>
      </c>
      <c r="L14394" s="45">
        <v>46015.375</v>
      </c>
      <c r="M14394" s="46" t="s">
        <v>123</v>
      </c>
      <c r="N14394" s="45">
        <v>46015.75</v>
      </c>
      <c r="O14394" s="46" t="s">
        <v>123</v>
      </c>
      <c r="P14394" s="46">
        <v>32400.0</v>
      </c>
      <c r="Q14394" s="46">
        <v>14400.0</v>
      </c>
      <c r="R14394" s="46" t="s">
        <v>10524</v>
      </c>
    </row>
    <row r="14395">
      <c r="A14395" s="40">
        <f t="shared" si="1"/>
        <v>46013</v>
      </c>
      <c r="B14395" s="37" t="str">
        <f t="array" ref="B14395">iferror(xlookup($I14395, 'IMPORT VHC Report'!$E:$E, 'IMPORT VHC Report'!$A:$C), )</f>
        <v/>
      </c>
      <c r="C14395" s="44"/>
      <c r="D14395" s="44"/>
      <c r="E14395" s="46" t="s">
        <v>10525</v>
      </c>
      <c r="F14395" s="46" t="s">
        <v>3336</v>
      </c>
      <c r="G14395" s="46">
        <v>1.1401981770511E13</v>
      </c>
      <c r="H14395" s="46" t="s">
        <v>3337</v>
      </c>
      <c r="I14395" s="46" t="s">
        <v>3338</v>
      </c>
      <c r="J14395" s="46" t="s">
        <v>132</v>
      </c>
      <c r="K14395" s="46" t="s">
        <v>126</v>
      </c>
      <c r="L14395" s="45">
        <v>46015.510416666664</v>
      </c>
      <c r="M14395" s="46" t="s">
        <v>123</v>
      </c>
      <c r="N14395" s="45">
        <v>46015.552083333336</v>
      </c>
      <c r="O14395" s="46" t="s">
        <v>123</v>
      </c>
      <c r="P14395" s="46">
        <v>3600.0</v>
      </c>
    </row>
    <row r="14396">
      <c r="A14396" s="40">
        <f t="shared" si="1"/>
        <v>46013</v>
      </c>
      <c r="B14396" s="37" t="str">
        <f t="array" ref="B14396">iferror(xlookup($I14396, 'IMPORT VHC Report'!$E:$E, 'IMPORT VHC Report'!$A:$C), )</f>
        <v/>
      </c>
      <c r="C14396" s="44"/>
      <c r="D14396" s="44"/>
      <c r="E14396" s="46" t="s">
        <v>10526</v>
      </c>
      <c r="F14396" s="46" t="s">
        <v>3336</v>
      </c>
      <c r="G14396" s="46">
        <v>1.1401981770511E13</v>
      </c>
      <c r="H14396" s="46" t="s">
        <v>3337</v>
      </c>
      <c r="I14396" s="46" t="s">
        <v>3338</v>
      </c>
      <c r="J14396" s="46" t="s">
        <v>134</v>
      </c>
      <c r="K14396" s="46" t="s">
        <v>126</v>
      </c>
      <c r="L14396" s="45">
        <v>46015.666666666664</v>
      </c>
      <c r="M14396" s="46" t="s">
        <v>123</v>
      </c>
      <c r="N14396" s="45">
        <v>46015.6875</v>
      </c>
      <c r="O14396" s="46" t="s">
        <v>123</v>
      </c>
      <c r="P14396" s="46">
        <v>1800.0</v>
      </c>
    </row>
    <row r="14397">
      <c r="A14397" s="40">
        <f t="shared" si="1"/>
        <v>46013</v>
      </c>
      <c r="B14397" s="37" t="str">
        <f t="array" ref="B14397">iferror(xlookup($I14397, 'IMPORT VHC Report'!$E:$E, 'IMPORT VHC Report'!$A:$C), )</f>
        <v/>
      </c>
      <c r="C14397" s="44"/>
      <c r="D14397" s="44"/>
      <c r="E14397" s="46" t="s">
        <v>10527</v>
      </c>
      <c r="F14397" s="46" t="s">
        <v>3336</v>
      </c>
      <c r="G14397" s="46">
        <v>1.1401981770511E13</v>
      </c>
      <c r="H14397" s="46" t="s">
        <v>3337</v>
      </c>
      <c r="I14397" s="46" t="s">
        <v>3338</v>
      </c>
      <c r="J14397" s="46" t="s">
        <v>62</v>
      </c>
      <c r="K14397" s="46" t="s">
        <v>63</v>
      </c>
      <c r="L14397" s="45">
        <v>46015.708333333336</v>
      </c>
      <c r="M14397" s="46" t="s">
        <v>123</v>
      </c>
      <c r="N14397" s="45">
        <v>46015.729166666664</v>
      </c>
      <c r="O14397" s="46" t="s">
        <v>123</v>
      </c>
      <c r="P14397" s="46">
        <v>1800.0</v>
      </c>
    </row>
    <row r="14398">
      <c r="A14398" s="40">
        <f t="shared" si="1"/>
        <v>46013</v>
      </c>
      <c r="B14398" s="37" t="str">
        <f t="array" ref="B14398">iferror(xlookup($I14398, 'IMPORT VHC Report'!$E:$E, 'IMPORT VHC Report'!$A:$C), )</f>
        <v/>
      </c>
      <c r="C14398" s="44"/>
      <c r="D14398" s="44"/>
      <c r="E14398" s="46" t="s">
        <v>10528</v>
      </c>
      <c r="F14398" s="46" t="s">
        <v>3336</v>
      </c>
      <c r="G14398" s="46">
        <v>1.1401981770511E13</v>
      </c>
      <c r="H14398" s="46" t="s">
        <v>3337</v>
      </c>
      <c r="I14398" s="46" t="s">
        <v>3338</v>
      </c>
      <c r="J14398" s="46" t="s">
        <v>196</v>
      </c>
      <c r="K14398" s="46" t="s">
        <v>63</v>
      </c>
      <c r="L14398" s="45">
        <v>46015.729166666664</v>
      </c>
      <c r="M14398" s="46" t="s">
        <v>123</v>
      </c>
      <c r="N14398" s="45">
        <v>46015.75</v>
      </c>
      <c r="O14398" s="46" t="s">
        <v>123</v>
      </c>
      <c r="P14398" s="46">
        <v>1800.0</v>
      </c>
    </row>
    <row r="14399">
      <c r="A14399" s="40">
        <f t="shared" si="1"/>
        <v>46013</v>
      </c>
      <c r="B14399" s="37" t="str">
        <f t="array" ref="B14399">iferror(xlookup($I14399, 'IMPORT VHC Report'!$E:$E, 'IMPORT VHC Report'!$A:$C), )</f>
        <v/>
      </c>
      <c r="C14399" s="44"/>
      <c r="D14399" s="44"/>
      <c r="E14399" s="46" t="s">
        <v>10529</v>
      </c>
      <c r="F14399" s="46" t="s">
        <v>3336</v>
      </c>
      <c r="G14399" s="46">
        <v>1.1401981770511E13</v>
      </c>
      <c r="H14399" s="46" t="s">
        <v>3337</v>
      </c>
      <c r="I14399" s="46" t="s">
        <v>3338</v>
      </c>
      <c r="J14399" s="46" t="s">
        <v>125</v>
      </c>
      <c r="K14399" s="46" t="s">
        <v>126</v>
      </c>
      <c r="L14399" s="45">
        <v>46018.375</v>
      </c>
      <c r="M14399" s="46" t="s">
        <v>123</v>
      </c>
      <c r="N14399" s="45">
        <v>46018.385416666664</v>
      </c>
      <c r="O14399" s="46" t="s">
        <v>123</v>
      </c>
      <c r="P14399" s="46">
        <v>900.0</v>
      </c>
      <c r="S14399" s="46" t="s">
        <v>199</v>
      </c>
    </row>
    <row r="14400">
      <c r="A14400" s="40">
        <f t="shared" si="1"/>
        <v>46013</v>
      </c>
      <c r="B14400" s="37" t="str">
        <f t="array" ref="B14400">iferror(xlookup($I14400, 'IMPORT VHC Report'!$E:$E, 'IMPORT VHC Report'!$A:$C), )</f>
        <v/>
      </c>
      <c r="C14400" s="44"/>
      <c r="D14400" s="44"/>
      <c r="E14400" s="46" t="s">
        <v>10530</v>
      </c>
      <c r="F14400" s="46" t="s">
        <v>3336</v>
      </c>
      <c r="G14400" s="46">
        <v>1.1401981770511E13</v>
      </c>
      <c r="H14400" s="46" t="s">
        <v>3337</v>
      </c>
      <c r="I14400" s="46" t="s">
        <v>3338</v>
      </c>
      <c r="J14400" s="46" t="s">
        <v>178</v>
      </c>
      <c r="K14400" s="46" t="s">
        <v>153</v>
      </c>
      <c r="L14400" s="45">
        <v>46018.375</v>
      </c>
      <c r="M14400" s="46" t="s">
        <v>123</v>
      </c>
      <c r="N14400" s="45">
        <v>46018.75</v>
      </c>
      <c r="O14400" s="46" t="s">
        <v>123</v>
      </c>
      <c r="P14400" s="46">
        <v>32400.0</v>
      </c>
      <c r="Q14400" s="46">
        <v>57600.0</v>
      </c>
      <c r="R14400" s="46" t="s">
        <v>10531</v>
      </c>
    </row>
    <row r="14401">
      <c r="A14401" s="40">
        <f t="shared" si="1"/>
        <v>46013</v>
      </c>
      <c r="B14401" s="37" t="str">
        <f t="array" ref="B14401">iferror(xlookup($I14401, 'IMPORT VHC Report'!$E:$E, 'IMPORT VHC Report'!$A:$C), )</f>
        <v/>
      </c>
      <c r="C14401" s="44"/>
      <c r="D14401" s="44"/>
      <c r="E14401" s="46" t="s">
        <v>10532</v>
      </c>
      <c r="F14401" s="46" t="s">
        <v>3336</v>
      </c>
      <c r="G14401" s="46">
        <v>1.1401981770511E13</v>
      </c>
      <c r="H14401" s="46" t="s">
        <v>3337</v>
      </c>
      <c r="I14401" s="46" t="s">
        <v>3338</v>
      </c>
      <c r="J14401" s="46" t="s">
        <v>196</v>
      </c>
      <c r="K14401" s="46" t="s">
        <v>63</v>
      </c>
      <c r="L14401" s="45">
        <v>46018.375</v>
      </c>
      <c r="M14401" s="46" t="s">
        <v>123</v>
      </c>
      <c r="N14401" s="45">
        <v>46018.75</v>
      </c>
      <c r="O14401" s="46" t="s">
        <v>123</v>
      </c>
      <c r="P14401" s="46">
        <v>32400.0</v>
      </c>
    </row>
    <row r="14402">
      <c r="A14402" s="40">
        <f t="shared" si="1"/>
        <v>46013</v>
      </c>
      <c r="B14402" s="37" t="str">
        <f t="array" ref="B14402">iferror(xlookup($I14402, 'IMPORT VHC Report'!$E:$E, 'IMPORT VHC Report'!$A:$C), )</f>
        <v/>
      </c>
      <c r="C14402" s="44"/>
      <c r="D14402" s="44"/>
      <c r="E14402" s="46" t="s">
        <v>10533</v>
      </c>
      <c r="F14402" s="46" t="s">
        <v>3336</v>
      </c>
      <c r="G14402" s="46">
        <v>1.1401981770511E13</v>
      </c>
      <c r="H14402" s="46" t="s">
        <v>3337</v>
      </c>
      <c r="I14402" s="46" t="s">
        <v>3338</v>
      </c>
      <c r="J14402" s="46" t="s">
        <v>132</v>
      </c>
      <c r="K14402" s="46" t="s">
        <v>126</v>
      </c>
      <c r="L14402" s="45">
        <v>46018.510416666664</v>
      </c>
      <c r="M14402" s="46" t="s">
        <v>123</v>
      </c>
      <c r="N14402" s="45">
        <v>46018.552083333336</v>
      </c>
      <c r="O14402" s="46" t="s">
        <v>123</v>
      </c>
      <c r="P14402" s="46">
        <v>3600.0</v>
      </c>
    </row>
    <row r="14403">
      <c r="A14403" s="40">
        <f t="shared" si="1"/>
        <v>46013</v>
      </c>
      <c r="B14403" s="37" t="str">
        <f t="array" ref="B14403">iferror(xlookup($I14403, 'IMPORT VHC Report'!$E:$E, 'IMPORT VHC Report'!$A:$C), )</f>
        <v/>
      </c>
      <c r="C14403" s="44"/>
      <c r="D14403" s="44"/>
      <c r="E14403" s="46" t="s">
        <v>10534</v>
      </c>
      <c r="F14403" s="46" t="s">
        <v>3336</v>
      </c>
      <c r="G14403" s="46">
        <v>1.1401981770511E13</v>
      </c>
      <c r="H14403" s="46" t="s">
        <v>3337</v>
      </c>
      <c r="I14403" s="46" t="s">
        <v>3338</v>
      </c>
      <c r="J14403" s="46" t="s">
        <v>134</v>
      </c>
      <c r="K14403" s="46" t="s">
        <v>126</v>
      </c>
      <c r="L14403" s="45">
        <v>46018.65625</v>
      </c>
      <c r="M14403" s="46" t="s">
        <v>123</v>
      </c>
      <c r="N14403" s="45">
        <v>46018.677083333336</v>
      </c>
      <c r="O14403" s="46" t="s">
        <v>123</v>
      </c>
      <c r="P14403" s="46">
        <v>1800.0</v>
      </c>
    </row>
    <row r="14404">
      <c r="A14404" s="40">
        <f t="shared" si="1"/>
        <v>46013</v>
      </c>
      <c r="B14404" s="37" t="str">
        <f t="array" ref="B14404">iferror(xlookup($I14404, 'IMPORT VHC Report'!$E:$E, 'IMPORT VHC Report'!$A:$C), )</f>
        <v/>
      </c>
      <c r="C14404" s="44"/>
      <c r="D14404" s="44"/>
      <c r="E14404" s="46" t="s">
        <v>10535</v>
      </c>
      <c r="F14404" s="46" t="s">
        <v>3336</v>
      </c>
      <c r="G14404" s="46">
        <v>1.1401981770511E13</v>
      </c>
      <c r="H14404" s="46" t="s">
        <v>3337</v>
      </c>
      <c r="I14404" s="46" t="s">
        <v>3338</v>
      </c>
      <c r="J14404" s="46" t="s">
        <v>125</v>
      </c>
      <c r="K14404" s="46" t="s">
        <v>126</v>
      </c>
      <c r="L14404" s="45">
        <v>46019.375</v>
      </c>
      <c r="M14404" s="46" t="s">
        <v>123</v>
      </c>
      <c r="N14404" s="45">
        <v>46019.385416666664</v>
      </c>
      <c r="O14404" s="46" t="s">
        <v>123</v>
      </c>
      <c r="P14404" s="46">
        <v>900.0</v>
      </c>
      <c r="S14404" s="46" t="s">
        <v>199</v>
      </c>
    </row>
    <row r="14405">
      <c r="A14405" s="40">
        <f t="shared" si="1"/>
        <v>46013</v>
      </c>
      <c r="B14405" s="37" t="str">
        <f t="array" ref="B14405">iferror(xlookup($I14405, 'IMPORT VHC Report'!$E:$E, 'IMPORT VHC Report'!$A:$C), )</f>
        <v/>
      </c>
      <c r="C14405" s="44"/>
      <c r="D14405" s="44"/>
      <c r="E14405" s="46" t="s">
        <v>10536</v>
      </c>
      <c r="F14405" s="46" t="s">
        <v>3336</v>
      </c>
      <c r="G14405" s="46">
        <v>1.1401981770511E13</v>
      </c>
      <c r="H14405" s="46" t="s">
        <v>3337</v>
      </c>
      <c r="I14405" s="46" t="s">
        <v>3338</v>
      </c>
      <c r="J14405" s="46" t="s">
        <v>178</v>
      </c>
      <c r="K14405" s="46" t="s">
        <v>153</v>
      </c>
      <c r="L14405" s="45">
        <v>46019.375</v>
      </c>
      <c r="M14405" s="46" t="s">
        <v>123</v>
      </c>
      <c r="N14405" s="45">
        <v>46019.75</v>
      </c>
      <c r="O14405" s="46" t="s">
        <v>123</v>
      </c>
      <c r="P14405" s="46">
        <v>32400.0</v>
      </c>
      <c r="Q14405" s="46">
        <v>32400.0</v>
      </c>
    </row>
    <row r="14406">
      <c r="A14406" s="40">
        <f t="shared" si="1"/>
        <v>46013</v>
      </c>
      <c r="B14406" s="37" t="str">
        <f t="array" ref="B14406">iferror(xlookup($I14406, 'IMPORT VHC Report'!$E:$E, 'IMPORT VHC Report'!$A:$C), )</f>
        <v/>
      </c>
      <c r="C14406" s="44"/>
      <c r="D14406" s="44"/>
      <c r="E14406" s="46" t="s">
        <v>10537</v>
      </c>
      <c r="F14406" s="46" t="s">
        <v>3336</v>
      </c>
      <c r="G14406" s="46">
        <v>1.1401981770511E13</v>
      </c>
      <c r="H14406" s="46" t="s">
        <v>3337</v>
      </c>
      <c r="I14406" s="46" t="s">
        <v>3338</v>
      </c>
      <c r="J14406" s="46" t="s">
        <v>196</v>
      </c>
      <c r="K14406" s="46" t="s">
        <v>63</v>
      </c>
      <c r="L14406" s="45">
        <v>46019.375</v>
      </c>
      <c r="M14406" s="46" t="s">
        <v>123</v>
      </c>
      <c r="N14406" s="45">
        <v>46019.75</v>
      </c>
      <c r="O14406" s="46" t="s">
        <v>123</v>
      </c>
      <c r="P14406" s="46">
        <v>32400.0</v>
      </c>
    </row>
    <row r="14407">
      <c r="A14407" s="40">
        <f t="shared" si="1"/>
        <v>46013</v>
      </c>
      <c r="B14407" s="37" t="str">
        <f t="array" ref="B14407">iferror(xlookup($I14407, 'IMPORT VHC Report'!$E:$E, 'IMPORT VHC Report'!$A:$C), )</f>
        <v/>
      </c>
      <c r="C14407" s="44"/>
      <c r="D14407" s="44"/>
      <c r="E14407" s="46" t="s">
        <v>10538</v>
      </c>
      <c r="F14407" s="46" t="s">
        <v>3336</v>
      </c>
      <c r="G14407" s="46">
        <v>1.1401981770511E13</v>
      </c>
      <c r="H14407" s="46" t="s">
        <v>3337</v>
      </c>
      <c r="I14407" s="46" t="s">
        <v>3338</v>
      </c>
      <c r="J14407" s="46" t="s">
        <v>132</v>
      </c>
      <c r="K14407" s="46" t="s">
        <v>126</v>
      </c>
      <c r="L14407" s="45">
        <v>46019.5</v>
      </c>
      <c r="M14407" s="46" t="s">
        <v>123</v>
      </c>
      <c r="N14407" s="45">
        <v>46019.541666666664</v>
      </c>
      <c r="O14407" s="46" t="s">
        <v>123</v>
      </c>
      <c r="P14407" s="46">
        <v>3600.0</v>
      </c>
    </row>
    <row r="14408">
      <c r="A14408" s="40">
        <f t="shared" si="1"/>
        <v>46013</v>
      </c>
      <c r="B14408" s="37" t="str">
        <f t="array" ref="B14408">iferror(xlookup($I14408, 'IMPORT VHC Report'!$E:$E, 'IMPORT VHC Report'!$A:$C), )</f>
        <v/>
      </c>
      <c r="C14408" s="44"/>
      <c r="D14408" s="44"/>
      <c r="E14408" s="46" t="s">
        <v>10539</v>
      </c>
      <c r="F14408" s="46" t="s">
        <v>3336</v>
      </c>
      <c r="G14408" s="46">
        <v>1.1401981770511E13</v>
      </c>
      <c r="H14408" s="46" t="s">
        <v>3337</v>
      </c>
      <c r="I14408" s="46" t="s">
        <v>3338</v>
      </c>
      <c r="J14408" s="46" t="s">
        <v>134</v>
      </c>
      <c r="K14408" s="46" t="s">
        <v>126</v>
      </c>
      <c r="L14408" s="45">
        <v>46019.645833333336</v>
      </c>
      <c r="M14408" s="46" t="s">
        <v>123</v>
      </c>
      <c r="N14408" s="45">
        <v>46019.666666666664</v>
      </c>
      <c r="O14408" s="46" t="s">
        <v>123</v>
      </c>
      <c r="P14408" s="46">
        <v>1800.0</v>
      </c>
    </row>
    <row r="14409">
      <c r="A14409" s="40">
        <f t="shared" si="1"/>
        <v>46013</v>
      </c>
      <c r="B14409" s="37" t="str">
        <f t="array" ref="B14409">iferror(xlookup($I14409, 'IMPORT VHC Report'!$E:$E, 'IMPORT VHC Report'!$A:$C), )</f>
        <v/>
      </c>
      <c r="C14409" s="44"/>
      <c r="D14409" s="44"/>
      <c r="E14409" s="46" t="s">
        <v>10540</v>
      </c>
      <c r="F14409" s="46" t="s">
        <v>3434</v>
      </c>
      <c r="G14409" s="46">
        <v>1.0333050571535E13</v>
      </c>
      <c r="H14409" s="46" t="s">
        <v>3435</v>
      </c>
      <c r="I14409" s="46" t="s">
        <v>3436</v>
      </c>
      <c r="J14409" s="46" t="s">
        <v>125</v>
      </c>
      <c r="K14409" s="46" t="s">
        <v>126</v>
      </c>
      <c r="L14409" s="45">
        <v>46013.416666666664</v>
      </c>
      <c r="M14409" s="46" t="s">
        <v>123</v>
      </c>
      <c r="N14409" s="45">
        <v>46013.427083333336</v>
      </c>
      <c r="O14409" s="46" t="s">
        <v>123</v>
      </c>
      <c r="P14409" s="46">
        <v>900.0</v>
      </c>
      <c r="S14409" s="46" t="s">
        <v>199</v>
      </c>
    </row>
    <row r="14410">
      <c r="A14410" s="40">
        <f t="shared" si="1"/>
        <v>46013</v>
      </c>
      <c r="B14410" s="37" t="str">
        <f t="array" ref="B14410">iferror(xlookup($I14410, 'IMPORT VHC Report'!$E:$E, 'IMPORT VHC Report'!$A:$C), )</f>
        <v/>
      </c>
      <c r="C14410" s="44"/>
      <c r="D14410" s="44"/>
      <c r="E14410" s="46" t="s">
        <v>10541</v>
      </c>
      <c r="F14410" s="46" t="s">
        <v>3434</v>
      </c>
      <c r="G14410" s="46">
        <v>1.0333050571535E13</v>
      </c>
      <c r="H14410" s="46" t="s">
        <v>3435</v>
      </c>
      <c r="I14410" s="46" t="s">
        <v>3436</v>
      </c>
      <c r="J14410" s="46" t="s">
        <v>178</v>
      </c>
      <c r="K14410" s="46" t="s">
        <v>153</v>
      </c>
      <c r="L14410" s="45">
        <v>46013.416666666664</v>
      </c>
      <c r="M14410" s="46" t="s">
        <v>123</v>
      </c>
      <c r="N14410" s="45">
        <v>46013.791666666664</v>
      </c>
      <c r="O14410" s="46" t="s">
        <v>123</v>
      </c>
      <c r="P14410" s="46">
        <v>32400.0</v>
      </c>
      <c r="Q14410" s="46">
        <v>32400.0</v>
      </c>
      <c r="R14410" s="46" t="s">
        <v>10542</v>
      </c>
    </row>
    <row r="14411">
      <c r="A14411" s="40">
        <f t="shared" si="1"/>
        <v>46013</v>
      </c>
      <c r="B14411" s="37" t="str">
        <f t="array" ref="B14411">iferror(xlookup($I14411, 'IMPORT VHC Report'!$E:$E, 'IMPORT VHC Report'!$A:$C), )</f>
        <v/>
      </c>
      <c r="C14411" s="44"/>
      <c r="D14411" s="44"/>
      <c r="E14411" s="46" t="s">
        <v>10543</v>
      </c>
      <c r="F14411" s="46" t="s">
        <v>3434</v>
      </c>
      <c r="G14411" s="46">
        <v>1.0333050571535E13</v>
      </c>
      <c r="H14411" s="46" t="s">
        <v>3435</v>
      </c>
      <c r="I14411" s="46" t="s">
        <v>3436</v>
      </c>
      <c r="J14411" s="46" t="s">
        <v>196</v>
      </c>
      <c r="K14411" s="46" t="s">
        <v>63</v>
      </c>
      <c r="L14411" s="45">
        <v>46013.416666666664</v>
      </c>
      <c r="M14411" s="46" t="s">
        <v>123</v>
      </c>
      <c r="N14411" s="45">
        <v>46013.791666666664</v>
      </c>
      <c r="O14411" s="46" t="s">
        <v>123</v>
      </c>
      <c r="P14411" s="46">
        <v>32400.0</v>
      </c>
    </row>
    <row r="14412">
      <c r="A14412" s="40">
        <f t="shared" si="1"/>
        <v>46013</v>
      </c>
      <c r="B14412" s="37" t="str">
        <f t="array" ref="B14412">iferror(xlookup($I14412, 'IMPORT VHC Report'!$E:$E, 'IMPORT VHC Report'!$A:$C), )</f>
        <v/>
      </c>
      <c r="C14412" s="44"/>
      <c r="D14412" s="44"/>
      <c r="E14412" s="46" t="s">
        <v>10544</v>
      </c>
      <c r="F14412" s="46" t="s">
        <v>3434</v>
      </c>
      <c r="G14412" s="46">
        <v>1.0333050571535E13</v>
      </c>
      <c r="H14412" s="46" t="s">
        <v>3435</v>
      </c>
      <c r="I14412" s="46" t="s">
        <v>3436</v>
      </c>
      <c r="J14412" s="46" t="s">
        <v>132</v>
      </c>
      <c r="K14412" s="46" t="s">
        <v>126</v>
      </c>
      <c r="L14412" s="45">
        <v>46013.541666666664</v>
      </c>
      <c r="M14412" s="46" t="s">
        <v>123</v>
      </c>
      <c r="N14412" s="45">
        <v>46013.583333333336</v>
      </c>
      <c r="O14412" s="46" t="s">
        <v>123</v>
      </c>
      <c r="P14412" s="46">
        <v>3600.0</v>
      </c>
    </row>
    <row r="14413">
      <c r="A14413" s="40">
        <f t="shared" si="1"/>
        <v>46013</v>
      </c>
      <c r="B14413" s="37" t="str">
        <f t="array" ref="B14413">iferror(xlookup($I14413, 'IMPORT VHC Report'!$E:$E, 'IMPORT VHC Report'!$A:$C), )</f>
        <v/>
      </c>
      <c r="C14413" s="44"/>
      <c r="D14413" s="44"/>
      <c r="E14413" s="46" t="s">
        <v>10545</v>
      </c>
      <c r="F14413" s="46" t="s">
        <v>3434</v>
      </c>
      <c r="G14413" s="46">
        <v>1.0333050571535E13</v>
      </c>
      <c r="H14413" s="46" t="s">
        <v>3435</v>
      </c>
      <c r="I14413" s="46" t="s">
        <v>3436</v>
      </c>
      <c r="J14413" s="46" t="s">
        <v>134</v>
      </c>
      <c r="K14413" s="46" t="s">
        <v>126</v>
      </c>
      <c r="L14413" s="45">
        <v>46013.6875</v>
      </c>
      <c r="M14413" s="46" t="s">
        <v>123</v>
      </c>
      <c r="N14413" s="45">
        <v>46013.708333333336</v>
      </c>
      <c r="O14413" s="46" t="s">
        <v>123</v>
      </c>
      <c r="P14413" s="46">
        <v>1800.0</v>
      </c>
    </row>
    <row r="14414">
      <c r="A14414" s="40">
        <f t="shared" si="1"/>
        <v>46013</v>
      </c>
      <c r="B14414" s="37" t="str">
        <f t="array" ref="B14414">iferror(xlookup($I14414, 'IMPORT VHC Report'!$E:$E, 'IMPORT VHC Report'!$A:$C), )</f>
        <v/>
      </c>
      <c r="C14414" s="44"/>
      <c r="D14414" s="44"/>
      <c r="E14414" s="46" t="s">
        <v>10546</v>
      </c>
      <c r="F14414" s="46" t="s">
        <v>3434</v>
      </c>
      <c r="G14414" s="46">
        <v>1.0333050571535E13</v>
      </c>
      <c r="H14414" s="46" t="s">
        <v>3435</v>
      </c>
      <c r="I14414" s="46" t="s">
        <v>3436</v>
      </c>
      <c r="J14414" s="46" t="s">
        <v>125</v>
      </c>
      <c r="K14414" s="46" t="s">
        <v>126</v>
      </c>
      <c r="L14414" s="45">
        <v>46014.416666666664</v>
      </c>
      <c r="M14414" s="46" t="s">
        <v>123</v>
      </c>
      <c r="N14414" s="45">
        <v>46014.427083333336</v>
      </c>
      <c r="O14414" s="46" t="s">
        <v>123</v>
      </c>
      <c r="P14414" s="46">
        <v>900.0</v>
      </c>
      <c r="S14414" s="46" t="s">
        <v>199</v>
      </c>
    </row>
    <row r="14415">
      <c r="A14415" s="40">
        <f t="shared" si="1"/>
        <v>46013</v>
      </c>
      <c r="B14415" s="37" t="str">
        <f t="array" ref="B14415">iferror(xlookup($I14415, 'IMPORT VHC Report'!$E:$E, 'IMPORT VHC Report'!$A:$C), )</f>
        <v/>
      </c>
      <c r="C14415" s="44"/>
      <c r="D14415" s="44"/>
      <c r="E14415" s="46" t="s">
        <v>10547</v>
      </c>
      <c r="F14415" s="46" t="s">
        <v>3434</v>
      </c>
      <c r="G14415" s="46">
        <v>1.0333050571535E13</v>
      </c>
      <c r="H14415" s="46" t="s">
        <v>3435</v>
      </c>
      <c r="I14415" s="46" t="s">
        <v>3436</v>
      </c>
      <c r="J14415" s="46" t="s">
        <v>196</v>
      </c>
      <c r="K14415" s="46" t="s">
        <v>63</v>
      </c>
      <c r="L14415" s="45">
        <v>46014.416666666664</v>
      </c>
      <c r="M14415" s="46" t="s">
        <v>123</v>
      </c>
      <c r="N14415" s="45">
        <v>46014.791666666664</v>
      </c>
      <c r="O14415" s="46" t="s">
        <v>123</v>
      </c>
      <c r="P14415" s="46">
        <v>32400.0</v>
      </c>
    </row>
    <row r="14416">
      <c r="A14416" s="40">
        <f t="shared" si="1"/>
        <v>46013</v>
      </c>
      <c r="B14416" s="37" t="str">
        <f t="array" ref="B14416">iferror(xlookup($I14416, 'IMPORT VHC Report'!$E:$E, 'IMPORT VHC Report'!$A:$C), )</f>
        <v/>
      </c>
      <c r="C14416" s="44"/>
      <c r="D14416" s="44"/>
      <c r="E14416" s="46" t="s">
        <v>10548</v>
      </c>
      <c r="F14416" s="46" t="s">
        <v>3434</v>
      </c>
      <c r="G14416" s="46">
        <v>1.0333050571535E13</v>
      </c>
      <c r="H14416" s="46" t="s">
        <v>3435</v>
      </c>
      <c r="I14416" s="46" t="s">
        <v>3436</v>
      </c>
      <c r="J14416" s="46" t="s">
        <v>125</v>
      </c>
      <c r="K14416" s="46" t="s">
        <v>126</v>
      </c>
      <c r="L14416" s="45">
        <v>46014.458333333336</v>
      </c>
      <c r="M14416" s="46" t="s">
        <v>123</v>
      </c>
      <c r="N14416" s="45">
        <v>46014.5</v>
      </c>
      <c r="O14416" s="46" t="s">
        <v>123</v>
      </c>
      <c r="P14416" s="46">
        <v>3600.0</v>
      </c>
      <c r="S14416" s="46" t="s">
        <v>10549</v>
      </c>
    </row>
    <row r="14417">
      <c r="A14417" s="40">
        <f t="shared" si="1"/>
        <v>46013</v>
      </c>
      <c r="B14417" s="37" t="str">
        <f t="array" ref="B14417">iferror(xlookup($I14417, 'IMPORT VHC Report'!$E:$E, 'IMPORT VHC Report'!$A:$C), )</f>
        <v/>
      </c>
      <c r="C14417" s="44"/>
      <c r="D14417" s="44"/>
      <c r="E14417" s="46" t="s">
        <v>10550</v>
      </c>
      <c r="F14417" s="46" t="s">
        <v>3434</v>
      </c>
      <c r="G14417" s="46">
        <v>1.0333050571535E13</v>
      </c>
      <c r="H14417" s="46" t="s">
        <v>3435</v>
      </c>
      <c r="I14417" s="46" t="s">
        <v>3436</v>
      </c>
      <c r="J14417" s="46" t="s">
        <v>132</v>
      </c>
      <c r="K14417" s="46" t="s">
        <v>126</v>
      </c>
      <c r="L14417" s="45">
        <v>46014.541666666664</v>
      </c>
      <c r="M14417" s="46" t="s">
        <v>123</v>
      </c>
      <c r="N14417" s="45">
        <v>46014.583333333336</v>
      </c>
      <c r="O14417" s="46" t="s">
        <v>123</v>
      </c>
      <c r="P14417" s="46">
        <v>3600.0</v>
      </c>
    </row>
    <row r="14418">
      <c r="A14418" s="40">
        <f t="shared" si="1"/>
        <v>46013</v>
      </c>
      <c r="B14418" s="37" t="str">
        <f t="array" ref="B14418">iferror(xlookup($I14418, 'IMPORT VHC Report'!$E:$E, 'IMPORT VHC Report'!$A:$C), )</f>
        <v/>
      </c>
      <c r="C14418" s="44"/>
      <c r="D14418" s="44"/>
      <c r="E14418" s="46" t="s">
        <v>10551</v>
      </c>
      <c r="F14418" s="46" t="s">
        <v>3434</v>
      </c>
      <c r="G14418" s="46">
        <v>1.0333050571535E13</v>
      </c>
      <c r="H14418" s="46" t="s">
        <v>3435</v>
      </c>
      <c r="I14418" s="46" t="s">
        <v>3436</v>
      </c>
      <c r="J14418" s="46" t="s">
        <v>134</v>
      </c>
      <c r="K14418" s="46" t="s">
        <v>126</v>
      </c>
      <c r="L14418" s="45">
        <v>46014.708333333336</v>
      </c>
      <c r="M14418" s="46" t="s">
        <v>123</v>
      </c>
      <c r="N14418" s="45">
        <v>46014.729166666664</v>
      </c>
      <c r="O14418" s="46" t="s">
        <v>123</v>
      </c>
      <c r="P14418" s="46">
        <v>1800.0</v>
      </c>
    </row>
    <row r="14419">
      <c r="A14419" s="40">
        <f t="shared" si="1"/>
        <v>46013</v>
      </c>
      <c r="B14419" s="37" t="str">
        <f t="array" ref="B14419">iferror(xlookup($I14419, 'IMPORT VHC Report'!$E:$E, 'IMPORT VHC Report'!$A:$C), )</f>
        <v/>
      </c>
      <c r="C14419" s="44"/>
      <c r="D14419" s="44"/>
      <c r="E14419" s="46" t="s">
        <v>10552</v>
      </c>
      <c r="F14419" s="46" t="s">
        <v>3434</v>
      </c>
      <c r="G14419" s="46">
        <v>1.0333050571535E13</v>
      </c>
      <c r="H14419" s="46" t="s">
        <v>3435</v>
      </c>
      <c r="I14419" s="46" t="s">
        <v>3436</v>
      </c>
      <c r="J14419" s="46" t="s">
        <v>136</v>
      </c>
      <c r="K14419" s="46" t="s">
        <v>126</v>
      </c>
      <c r="L14419" s="45">
        <v>46014.729166666664</v>
      </c>
      <c r="M14419" s="46" t="s">
        <v>123</v>
      </c>
      <c r="N14419" s="45">
        <v>46014.75</v>
      </c>
      <c r="O14419" s="46" t="s">
        <v>123</v>
      </c>
      <c r="P14419" s="46">
        <v>1800.0</v>
      </c>
      <c r="S14419" s="46" t="s">
        <v>137</v>
      </c>
    </row>
    <row r="14420">
      <c r="A14420" s="40">
        <f t="shared" si="1"/>
        <v>46013</v>
      </c>
      <c r="B14420" s="37" t="str">
        <f t="array" ref="B14420">iferror(xlookup($I14420, 'IMPORT VHC Report'!$E:$E, 'IMPORT VHC Report'!$A:$C), )</f>
        <v/>
      </c>
      <c r="C14420" s="44"/>
      <c r="D14420" s="44"/>
      <c r="E14420" s="46" t="s">
        <v>10553</v>
      </c>
      <c r="F14420" s="46" t="s">
        <v>3434</v>
      </c>
      <c r="G14420" s="46">
        <v>1.0333050571535E13</v>
      </c>
      <c r="H14420" s="46" t="s">
        <v>3435</v>
      </c>
      <c r="I14420" s="46" t="s">
        <v>3436</v>
      </c>
      <c r="J14420" s="46" t="s">
        <v>125</v>
      </c>
      <c r="K14420" s="46" t="s">
        <v>126</v>
      </c>
      <c r="L14420" s="45">
        <v>46015.416666666664</v>
      </c>
      <c r="M14420" s="46" t="s">
        <v>123</v>
      </c>
      <c r="N14420" s="45">
        <v>46015.427083333336</v>
      </c>
      <c r="O14420" s="46" t="s">
        <v>123</v>
      </c>
      <c r="P14420" s="46">
        <v>900.0</v>
      </c>
      <c r="S14420" s="46" t="s">
        <v>199</v>
      </c>
    </row>
    <row r="14421">
      <c r="A14421" s="40">
        <f t="shared" si="1"/>
        <v>46013</v>
      </c>
      <c r="B14421" s="37" t="str">
        <f t="array" ref="B14421">iferror(xlookup($I14421, 'IMPORT VHC Report'!$E:$E, 'IMPORT VHC Report'!$A:$C), )</f>
        <v/>
      </c>
      <c r="C14421" s="44"/>
      <c r="D14421" s="44"/>
      <c r="E14421" s="46" t="s">
        <v>10554</v>
      </c>
      <c r="F14421" s="46" t="s">
        <v>3434</v>
      </c>
      <c r="G14421" s="46">
        <v>1.0333050571535E13</v>
      </c>
      <c r="H14421" s="46" t="s">
        <v>3435</v>
      </c>
      <c r="I14421" s="46" t="s">
        <v>3436</v>
      </c>
      <c r="J14421" s="46" t="s">
        <v>196</v>
      </c>
      <c r="K14421" s="46" t="s">
        <v>63</v>
      </c>
      <c r="L14421" s="45">
        <v>46015.416666666664</v>
      </c>
      <c r="M14421" s="46" t="s">
        <v>123</v>
      </c>
      <c r="N14421" s="45">
        <v>46015.708333333336</v>
      </c>
      <c r="O14421" s="46" t="s">
        <v>123</v>
      </c>
      <c r="P14421" s="46">
        <v>25200.0</v>
      </c>
    </row>
    <row r="14422">
      <c r="A14422" s="40">
        <f t="shared" si="1"/>
        <v>46013</v>
      </c>
      <c r="B14422" s="37" t="str">
        <f t="array" ref="B14422">iferror(xlookup($I14422, 'IMPORT VHC Report'!$E:$E, 'IMPORT VHC Report'!$A:$C), )</f>
        <v/>
      </c>
      <c r="C14422" s="44"/>
      <c r="D14422" s="44"/>
      <c r="E14422" s="46" t="s">
        <v>10555</v>
      </c>
      <c r="F14422" s="46" t="s">
        <v>3434</v>
      </c>
      <c r="G14422" s="46">
        <v>1.0333050571535E13</v>
      </c>
      <c r="H14422" s="46" t="s">
        <v>3435</v>
      </c>
      <c r="I14422" s="46" t="s">
        <v>3436</v>
      </c>
      <c r="J14422" s="46" t="s">
        <v>132</v>
      </c>
      <c r="K14422" s="46" t="s">
        <v>126</v>
      </c>
      <c r="L14422" s="45">
        <v>46015.520833333336</v>
      </c>
      <c r="M14422" s="46" t="s">
        <v>123</v>
      </c>
      <c r="N14422" s="45">
        <v>46015.5625</v>
      </c>
      <c r="O14422" s="46" t="s">
        <v>123</v>
      </c>
      <c r="P14422" s="46">
        <v>3600.0</v>
      </c>
    </row>
    <row r="14423">
      <c r="A14423" s="40">
        <f t="shared" si="1"/>
        <v>46013</v>
      </c>
      <c r="B14423" s="37" t="str">
        <f t="array" ref="B14423">iferror(xlookup($I14423, 'IMPORT VHC Report'!$E:$E, 'IMPORT VHC Report'!$A:$C), )</f>
        <v/>
      </c>
      <c r="C14423" s="44"/>
      <c r="D14423" s="44"/>
      <c r="E14423" s="46" t="s">
        <v>10556</v>
      </c>
      <c r="F14423" s="46" t="s">
        <v>3434</v>
      </c>
      <c r="G14423" s="46">
        <v>1.0333050571535E13</v>
      </c>
      <c r="H14423" s="46" t="s">
        <v>3435</v>
      </c>
      <c r="I14423" s="46" t="s">
        <v>3436</v>
      </c>
      <c r="J14423" s="46" t="s">
        <v>330</v>
      </c>
      <c r="K14423" s="46" t="s">
        <v>126</v>
      </c>
      <c r="L14423" s="45">
        <v>46015.666666666664</v>
      </c>
      <c r="M14423" s="46" t="s">
        <v>123</v>
      </c>
      <c r="N14423" s="45">
        <v>46015.697916666664</v>
      </c>
      <c r="O14423" s="46" t="s">
        <v>123</v>
      </c>
      <c r="P14423" s="46">
        <v>2700.0</v>
      </c>
    </row>
    <row r="14424">
      <c r="A14424" s="40">
        <f t="shared" si="1"/>
        <v>46013</v>
      </c>
      <c r="B14424" s="37" t="str">
        <f t="array" ref="B14424">iferror(xlookup($I14424, 'IMPORT VHC Report'!$E:$E, 'IMPORT VHC Report'!$A:$C), )</f>
        <v/>
      </c>
      <c r="C14424" s="44"/>
      <c r="D14424" s="44"/>
      <c r="E14424" s="46" t="s">
        <v>10557</v>
      </c>
      <c r="F14424" s="46" t="s">
        <v>3434</v>
      </c>
      <c r="G14424" s="46">
        <v>1.0333050571535E13</v>
      </c>
      <c r="H14424" s="46" t="s">
        <v>3435</v>
      </c>
      <c r="I14424" s="46" t="s">
        <v>3436</v>
      </c>
      <c r="J14424" s="46" t="s">
        <v>62</v>
      </c>
      <c r="K14424" s="46" t="s">
        <v>63</v>
      </c>
      <c r="L14424" s="45">
        <v>46015.666666666664</v>
      </c>
      <c r="M14424" s="46" t="s">
        <v>123</v>
      </c>
      <c r="N14424" s="45">
        <v>46015.729166666664</v>
      </c>
      <c r="O14424" s="46" t="s">
        <v>123</v>
      </c>
      <c r="P14424" s="46">
        <v>5400.0</v>
      </c>
    </row>
    <row r="14425">
      <c r="A14425" s="40">
        <f t="shared" si="1"/>
        <v>46013</v>
      </c>
      <c r="B14425" s="37" t="str">
        <f t="array" ref="B14425">iferror(xlookup($I14425, 'IMPORT VHC Report'!$E:$E, 'IMPORT VHC Report'!$A:$C), )</f>
        <v/>
      </c>
      <c r="C14425" s="44"/>
      <c r="D14425" s="44"/>
      <c r="E14425" s="46" t="s">
        <v>10558</v>
      </c>
      <c r="F14425" s="46" t="s">
        <v>3434</v>
      </c>
      <c r="G14425" s="46">
        <v>1.0333050571535E13</v>
      </c>
      <c r="H14425" s="46" t="s">
        <v>3435</v>
      </c>
      <c r="I14425" s="46" t="s">
        <v>3436</v>
      </c>
      <c r="J14425" s="46" t="s">
        <v>136</v>
      </c>
      <c r="K14425" s="46" t="s">
        <v>126</v>
      </c>
      <c r="L14425" s="45">
        <v>46015.708333333336</v>
      </c>
      <c r="M14425" s="46" t="s">
        <v>123</v>
      </c>
      <c r="N14425" s="45">
        <v>46015.73263888889</v>
      </c>
      <c r="O14425" s="46" t="s">
        <v>123</v>
      </c>
      <c r="P14425" s="46">
        <v>2100.0</v>
      </c>
      <c r="S14425" s="46" t="s">
        <v>10559</v>
      </c>
    </row>
    <row r="14426">
      <c r="A14426" s="40">
        <f t="shared" si="1"/>
        <v>46013</v>
      </c>
      <c r="B14426" s="37" t="str">
        <f t="array" ref="B14426">iferror(xlookup($I14426, 'IMPORT VHC Report'!$E:$E, 'IMPORT VHC Report'!$A:$C), )</f>
        <v/>
      </c>
      <c r="C14426" s="44"/>
      <c r="D14426" s="44"/>
      <c r="E14426" s="46" t="s">
        <v>10560</v>
      </c>
      <c r="F14426" s="46" t="s">
        <v>3434</v>
      </c>
      <c r="G14426" s="46">
        <v>1.0333050571535E13</v>
      </c>
      <c r="H14426" s="46" t="s">
        <v>3435</v>
      </c>
      <c r="I14426" s="46" t="s">
        <v>3436</v>
      </c>
      <c r="J14426" s="46" t="s">
        <v>196</v>
      </c>
      <c r="K14426" s="46" t="s">
        <v>63</v>
      </c>
      <c r="L14426" s="45">
        <v>46015.729166666664</v>
      </c>
      <c r="M14426" s="46" t="s">
        <v>123</v>
      </c>
      <c r="N14426" s="45">
        <v>46015.791666666664</v>
      </c>
      <c r="O14426" s="46" t="s">
        <v>123</v>
      </c>
      <c r="P14426" s="46">
        <v>5400.0</v>
      </c>
    </row>
    <row r="14427">
      <c r="A14427" s="40">
        <f t="shared" si="1"/>
        <v>46013</v>
      </c>
      <c r="B14427" s="37" t="str">
        <f t="array" ref="B14427">iferror(xlookup($I14427, 'IMPORT VHC Report'!$E:$E, 'IMPORT VHC Report'!$A:$C), )</f>
        <v/>
      </c>
      <c r="C14427" s="44"/>
      <c r="D14427" s="44"/>
      <c r="E14427" s="46" t="s">
        <v>10561</v>
      </c>
      <c r="F14427" s="46" t="s">
        <v>3434</v>
      </c>
      <c r="G14427" s="46">
        <v>1.0333050571535E13</v>
      </c>
      <c r="H14427" s="46" t="s">
        <v>3435</v>
      </c>
      <c r="I14427" s="46" t="s">
        <v>3436</v>
      </c>
      <c r="J14427" s="46" t="s">
        <v>134</v>
      </c>
      <c r="K14427" s="46" t="s">
        <v>126</v>
      </c>
      <c r="L14427" s="45">
        <v>46015.73333333333</v>
      </c>
      <c r="M14427" s="46" t="s">
        <v>123</v>
      </c>
      <c r="N14427" s="45">
        <v>46015.754166666666</v>
      </c>
      <c r="O14427" s="46" t="s">
        <v>123</v>
      </c>
      <c r="P14427" s="46">
        <v>1800.0</v>
      </c>
    </row>
    <row r="14428">
      <c r="A14428" s="40">
        <f t="shared" si="1"/>
        <v>46013</v>
      </c>
      <c r="B14428" s="37" t="str">
        <f t="array" ref="B14428">iferror(xlookup($I14428, 'IMPORT VHC Report'!$E:$E, 'IMPORT VHC Report'!$A:$C), )</f>
        <v/>
      </c>
      <c r="C14428" s="44"/>
      <c r="D14428" s="44"/>
      <c r="E14428" s="46" t="s">
        <v>10562</v>
      </c>
      <c r="F14428" s="46" t="s">
        <v>3434</v>
      </c>
      <c r="G14428" s="46">
        <v>1.0333050571535E13</v>
      </c>
      <c r="H14428" s="46" t="s">
        <v>3435</v>
      </c>
      <c r="I14428" s="46" t="s">
        <v>3436</v>
      </c>
      <c r="J14428" s="46" t="s">
        <v>125</v>
      </c>
      <c r="K14428" s="46" t="s">
        <v>126</v>
      </c>
      <c r="L14428" s="45">
        <v>46016.416666666664</v>
      </c>
      <c r="M14428" s="46" t="s">
        <v>123</v>
      </c>
      <c r="N14428" s="45">
        <v>46016.427083333336</v>
      </c>
      <c r="O14428" s="46" t="s">
        <v>123</v>
      </c>
      <c r="P14428" s="46">
        <v>900.0</v>
      </c>
      <c r="S14428" s="46" t="s">
        <v>199</v>
      </c>
    </row>
    <row r="14429">
      <c r="A14429" s="40">
        <f t="shared" si="1"/>
        <v>46013</v>
      </c>
      <c r="B14429" s="37" t="str">
        <f t="array" ref="B14429">iferror(xlookup($I14429, 'IMPORT VHC Report'!$E:$E, 'IMPORT VHC Report'!$A:$C), )</f>
        <v/>
      </c>
      <c r="C14429" s="44"/>
      <c r="D14429" s="44"/>
      <c r="E14429" s="46" t="s">
        <v>10563</v>
      </c>
      <c r="F14429" s="46" t="s">
        <v>3434</v>
      </c>
      <c r="G14429" s="46">
        <v>1.0333050571535E13</v>
      </c>
      <c r="H14429" s="46" t="s">
        <v>3435</v>
      </c>
      <c r="I14429" s="46" t="s">
        <v>3436</v>
      </c>
      <c r="J14429" s="46" t="s">
        <v>178</v>
      </c>
      <c r="K14429" s="46" t="s">
        <v>153</v>
      </c>
      <c r="L14429" s="45">
        <v>46016.416666666664</v>
      </c>
      <c r="M14429" s="46" t="s">
        <v>123</v>
      </c>
      <c r="N14429" s="45">
        <v>46016.791666666664</v>
      </c>
      <c r="O14429" s="46" t="s">
        <v>123</v>
      </c>
      <c r="P14429" s="46">
        <v>32400.0</v>
      </c>
      <c r="Q14429" s="46">
        <v>32400.0</v>
      </c>
      <c r="R14429" s="46" t="s">
        <v>10564</v>
      </c>
    </row>
    <row r="14430">
      <c r="A14430" s="40">
        <f t="shared" si="1"/>
        <v>46013</v>
      </c>
      <c r="B14430" s="37" t="str">
        <f t="array" ref="B14430">iferror(xlookup($I14430, 'IMPORT VHC Report'!$E:$E, 'IMPORT VHC Report'!$A:$C), )</f>
        <v/>
      </c>
      <c r="C14430" s="44"/>
      <c r="D14430" s="44"/>
      <c r="E14430" s="46" t="s">
        <v>10565</v>
      </c>
      <c r="F14430" s="46" t="s">
        <v>3434</v>
      </c>
      <c r="G14430" s="46">
        <v>1.0333050571535E13</v>
      </c>
      <c r="H14430" s="46" t="s">
        <v>3435</v>
      </c>
      <c r="I14430" s="46" t="s">
        <v>3436</v>
      </c>
      <c r="J14430" s="46" t="s">
        <v>196</v>
      </c>
      <c r="K14430" s="46" t="s">
        <v>63</v>
      </c>
      <c r="L14430" s="45">
        <v>46016.416666666664</v>
      </c>
      <c r="M14430" s="46" t="s">
        <v>123</v>
      </c>
      <c r="N14430" s="45">
        <v>46016.791666666664</v>
      </c>
      <c r="O14430" s="46" t="s">
        <v>123</v>
      </c>
      <c r="P14430" s="46">
        <v>32400.0</v>
      </c>
    </row>
    <row r="14431">
      <c r="A14431" s="40">
        <f t="shared" si="1"/>
        <v>46013</v>
      </c>
      <c r="B14431" s="37" t="str">
        <f t="array" ref="B14431">iferror(xlookup($I14431, 'IMPORT VHC Report'!$E:$E, 'IMPORT VHC Report'!$A:$C), )</f>
        <v/>
      </c>
      <c r="C14431" s="44"/>
      <c r="D14431" s="44"/>
      <c r="E14431" s="46" t="s">
        <v>10566</v>
      </c>
      <c r="F14431" s="46" t="s">
        <v>3434</v>
      </c>
      <c r="G14431" s="46">
        <v>1.0333050571535E13</v>
      </c>
      <c r="H14431" s="46" t="s">
        <v>3435</v>
      </c>
      <c r="I14431" s="46" t="s">
        <v>3436</v>
      </c>
      <c r="J14431" s="46" t="s">
        <v>132</v>
      </c>
      <c r="K14431" s="46" t="s">
        <v>126</v>
      </c>
      <c r="L14431" s="45">
        <v>46016.541666666664</v>
      </c>
      <c r="M14431" s="46" t="s">
        <v>123</v>
      </c>
      <c r="N14431" s="45">
        <v>46016.583333333336</v>
      </c>
      <c r="O14431" s="46" t="s">
        <v>123</v>
      </c>
      <c r="P14431" s="46">
        <v>3600.0</v>
      </c>
    </row>
    <row r="14432">
      <c r="A14432" s="40">
        <f t="shared" si="1"/>
        <v>46013</v>
      </c>
      <c r="B14432" s="37" t="str">
        <f t="array" ref="B14432">iferror(xlookup($I14432, 'IMPORT VHC Report'!$E:$E, 'IMPORT VHC Report'!$A:$C), )</f>
        <v/>
      </c>
      <c r="C14432" s="44"/>
      <c r="D14432" s="44"/>
      <c r="E14432" s="46" t="s">
        <v>10567</v>
      </c>
      <c r="F14432" s="46" t="s">
        <v>3434</v>
      </c>
      <c r="G14432" s="46">
        <v>1.0333050571535E13</v>
      </c>
      <c r="H14432" s="46" t="s">
        <v>3435</v>
      </c>
      <c r="I14432" s="46" t="s">
        <v>3436</v>
      </c>
      <c r="J14432" s="46" t="s">
        <v>134</v>
      </c>
      <c r="K14432" s="46" t="s">
        <v>126</v>
      </c>
      <c r="L14432" s="45">
        <v>46016.6875</v>
      </c>
      <c r="M14432" s="46" t="s">
        <v>123</v>
      </c>
      <c r="N14432" s="45">
        <v>46016.708333333336</v>
      </c>
      <c r="O14432" s="46" t="s">
        <v>123</v>
      </c>
      <c r="P14432" s="46">
        <v>1800.0</v>
      </c>
    </row>
    <row r="14433">
      <c r="A14433" s="40">
        <f t="shared" si="1"/>
        <v>46013</v>
      </c>
      <c r="B14433" s="37" t="str">
        <f t="array" ref="B14433">iferror(xlookup($I14433, 'IMPORT VHC Report'!$E:$E, 'IMPORT VHC Report'!$A:$C), )</f>
        <v/>
      </c>
      <c r="C14433" s="44"/>
      <c r="D14433" s="44"/>
      <c r="E14433" s="46" t="s">
        <v>10568</v>
      </c>
      <c r="F14433" s="46" t="s">
        <v>3434</v>
      </c>
      <c r="G14433" s="46">
        <v>1.0333050571535E13</v>
      </c>
      <c r="H14433" s="46" t="s">
        <v>3435</v>
      </c>
      <c r="I14433" s="46" t="s">
        <v>3436</v>
      </c>
      <c r="J14433" s="46" t="s">
        <v>125</v>
      </c>
      <c r="K14433" s="46" t="s">
        <v>126</v>
      </c>
      <c r="L14433" s="45">
        <v>46017.416666666664</v>
      </c>
      <c r="M14433" s="46" t="s">
        <v>123</v>
      </c>
      <c r="N14433" s="45">
        <v>46017.427083333336</v>
      </c>
      <c r="O14433" s="46" t="s">
        <v>123</v>
      </c>
      <c r="P14433" s="46">
        <v>900.0</v>
      </c>
      <c r="S14433" s="46" t="s">
        <v>199</v>
      </c>
    </row>
    <row r="14434">
      <c r="A14434" s="40">
        <f t="shared" si="1"/>
        <v>46013</v>
      </c>
      <c r="B14434" s="37" t="str">
        <f t="array" ref="B14434">iferror(xlookup($I14434, 'IMPORT VHC Report'!$E:$E, 'IMPORT VHC Report'!$A:$C), )</f>
        <v/>
      </c>
      <c r="C14434" s="44"/>
      <c r="D14434" s="44"/>
      <c r="E14434" s="46" t="s">
        <v>10569</v>
      </c>
      <c r="F14434" s="46" t="s">
        <v>3434</v>
      </c>
      <c r="G14434" s="46">
        <v>1.0333050571535E13</v>
      </c>
      <c r="H14434" s="46" t="s">
        <v>3435</v>
      </c>
      <c r="I14434" s="46" t="s">
        <v>3436</v>
      </c>
      <c r="J14434" s="46" t="s">
        <v>178</v>
      </c>
      <c r="K14434" s="46" t="s">
        <v>153</v>
      </c>
      <c r="L14434" s="45">
        <v>46017.416666666664</v>
      </c>
      <c r="M14434" s="46" t="s">
        <v>123</v>
      </c>
      <c r="N14434" s="45">
        <v>46017.791666666664</v>
      </c>
      <c r="O14434" s="46" t="s">
        <v>123</v>
      </c>
      <c r="P14434" s="46">
        <v>32400.0</v>
      </c>
      <c r="Q14434" s="46">
        <v>32400.0</v>
      </c>
    </row>
    <row r="14435">
      <c r="A14435" s="40">
        <f t="shared" si="1"/>
        <v>46013</v>
      </c>
      <c r="B14435" s="37" t="str">
        <f t="array" ref="B14435">iferror(xlookup($I14435, 'IMPORT VHC Report'!$E:$E, 'IMPORT VHC Report'!$A:$C), )</f>
        <v/>
      </c>
      <c r="C14435" s="44"/>
      <c r="D14435" s="44"/>
      <c r="E14435" s="46" t="s">
        <v>10570</v>
      </c>
      <c r="F14435" s="46" t="s">
        <v>3434</v>
      </c>
      <c r="G14435" s="46">
        <v>1.0333050571535E13</v>
      </c>
      <c r="H14435" s="46" t="s">
        <v>3435</v>
      </c>
      <c r="I14435" s="46" t="s">
        <v>3436</v>
      </c>
      <c r="J14435" s="46" t="s">
        <v>196</v>
      </c>
      <c r="K14435" s="46" t="s">
        <v>63</v>
      </c>
      <c r="L14435" s="45">
        <v>46017.416666666664</v>
      </c>
      <c r="M14435" s="46" t="s">
        <v>123</v>
      </c>
      <c r="N14435" s="45">
        <v>46017.791666666664</v>
      </c>
      <c r="O14435" s="46" t="s">
        <v>123</v>
      </c>
      <c r="P14435" s="46">
        <v>32400.0</v>
      </c>
    </row>
    <row r="14436">
      <c r="A14436" s="40">
        <f t="shared" si="1"/>
        <v>46013</v>
      </c>
      <c r="B14436" s="37" t="str">
        <f t="array" ref="B14436">iferror(xlookup($I14436, 'IMPORT VHC Report'!$E:$E, 'IMPORT VHC Report'!$A:$C), )</f>
        <v/>
      </c>
      <c r="C14436" s="44"/>
      <c r="D14436" s="44"/>
      <c r="E14436" s="46" t="s">
        <v>10571</v>
      </c>
      <c r="F14436" s="46" t="s">
        <v>3434</v>
      </c>
      <c r="G14436" s="46">
        <v>1.0333050571535E13</v>
      </c>
      <c r="H14436" s="46" t="s">
        <v>3435</v>
      </c>
      <c r="I14436" s="46" t="s">
        <v>3436</v>
      </c>
      <c r="J14436" s="46" t="s">
        <v>132</v>
      </c>
      <c r="K14436" s="46" t="s">
        <v>126</v>
      </c>
      <c r="L14436" s="45">
        <v>46017.552083333336</v>
      </c>
      <c r="M14436" s="46" t="s">
        <v>123</v>
      </c>
      <c r="N14436" s="45">
        <v>46017.59375</v>
      </c>
      <c r="O14436" s="46" t="s">
        <v>123</v>
      </c>
      <c r="P14436" s="46">
        <v>3600.0</v>
      </c>
    </row>
    <row r="14437">
      <c r="A14437" s="40">
        <f t="shared" si="1"/>
        <v>46013</v>
      </c>
      <c r="B14437" s="37" t="str">
        <f t="array" ref="B14437">iferror(xlookup($I14437, 'IMPORT VHC Report'!$E:$E, 'IMPORT VHC Report'!$A:$C), )</f>
        <v/>
      </c>
      <c r="C14437" s="44"/>
      <c r="D14437" s="44"/>
      <c r="E14437" s="46" t="s">
        <v>10572</v>
      </c>
      <c r="F14437" s="46" t="s">
        <v>3434</v>
      </c>
      <c r="G14437" s="46">
        <v>1.0333050571535E13</v>
      </c>
      <c r="H14437" s="46" t="s">
        <v>3435</v>
      </c>
      <c r="I14437" s="46" t="s">
        <v>3436</v>
      </c>
      <c r="J14437" s="46" t="s">
        <v>134</v>
      </c>
      <c r="K14437" s="46" t="s">
        <v>126</v>
      </c>
      <c r="L14437" s="45">
        <v>46017.708333333336</v>
      </c>
      <c r="M14437" s="46" t="s">
        <v>123</v>
      </c>
      <c r="N14437" s="45">
        <v>46017.729166666664</v>
      </c>
      <c r="O14437" s="46" t="s">
        <v>123</v>
      </c>
      <c r="P14437" s="46">
        <v>1800.0</v>
      </c>
    </row>
    <row r="14438">
      <c r="A14438" s="40">
        <f t="shared" si="1"/>
        <v>46013</v>
      </c>
      <c r="B14438" s="37" t="str">
        <f t="array" ref="B14438">iferror(xlookup($I14438, 'IMPORT VHC Report'!$E:$E, 'IMPORT VHC Report'!$A:$C), )</f>
        <v/>
      </c>
      <c r="C14438" s="44"/>
      <c r="D14438" s="44"/>
      <c r="E14438" s="46" t="s">
        <v>10573</v>
      </c>
      <c r="F14438" s="46" t="s">
        <v>3525</v>
      </c>
      <c r="H14438" s="46" t="s">
        <v>3526</v>
      </c>
      <c r="I14438" s="46" t="s">
        <v>3527</v>
      </c>
      <c r="J14438" s="46" t="s">
        <v>125</v>
      </c>
      <c r="K14438" s="46" t="s">
        <v>126</v>
      </c>
      <c r="L14438" s="45">
        <v>46013.416666666664</v>
      </c>
      <c r="M14438" s="46" t="s">
        <v>123</v>
      </c>
      <c r="N14438" s="45">
        <v>46013.427083333336</v>
      </c>
      <c r="O14438" s="46" t="s">
        <v>123</v>
      </c>
      <c r="P14438" s="46">
        <v>900.0</v>
      </c>
      <c r="S14438" s="46" t="s">
        <v>199</v>
      </c>
    </row>
    <row r="14439">
      <c r="A14439" s="40">
        <f t="shared" si="1"/>
        <v>46013</v>
      </c>
      <c r="B14439" s="37" t="str">
        <f t="array" ref="B14439">iferror(xlookup($I14439, 'IMPORT VHC Report'!$E:$E, 'IMPORT VHC Report'!$A:$C), )</f>
        <v/>
      </c>
      <c r="C14439" s="44"/>
      <c r="D14439" s="44"/>
      <c r="E14439" s="46" t="s">
        <v>10574</v>
      </c>
      <c r="F14439" s="46" t="s">
        <v>3525</v>
      </c>
      <c r="H14439" s="46" t="s">
        <v>3526</v>
      </c>
      <c r="I14439" s="46" t="s">
        <v>3527</v>
      </c>
      <c r="J14439" s="46" t="s">
        <v>196</v>
      </c>
      <c r="K14439" s="46" t="s">
        <v>63</v>
      </c>
      <c r="L14439" s="45">
        <v>46013.416666666664</v>
      </c>
      <c r="M14439" s="46" t="s">
        <v>123</v>
      </c>
      <c r="N14439" s="45">
        <v>46013.791666666664</v>
      </c>
      <c r="O14439" s="46" t="s">
        <v>123</v>
      </c>
      <c r="P14439" s="46">
        <v>32400.0</v>
      </c>
    </row>
    <row r="14440">
      <c r="A14440" s="40">
        <f t="shared" si="1"/>
        <v>46013</v>
      </c>
      <c r="B14440" s="37" t="str">
        <f t="array" ref="B14440">iferror(xlookup($I14440, 'IMPORT VHC Report'!$E:$E, 'IMPORT VHC Report'!$A:$C), )</f>
        <v/>
      </c>
      <c r="C14440" s="44"/>
      <c r="D14440" s="44"/>
      <c r="E14440" s="46" t="s">
        <v>10575</v>
      </c>
      <c r="F14440" s="46" t="s">
        <v>3525</v>
      </c>
      <c r="H14440" s="46" t="s">
        <v>3526</v>
      </c>
      <c r="I14440" s="46" t="s">
        <v>3527</v>
      </c>
      <c r="J14440" s="46" t="s">
        <v>134</v>
      </c>
      <c r="K14440" s="46" t="s">
        <v>126</v>
      </c>
      <c r="L14440" s="45">
        <v>46013.520833333336</v>
      </c>
      <c r="M14440" s="46" t="s">
        <v>123</v>
      </c>
      <c r="N14440" s="45">
        <v>46013.541666666664</v>
      </c>
      <c r="O14440" s="46" t="s">
        <v>123</v>
      </c>
      <c r="P14440" s="46">
        <v>1800.0</v>
      </c>
    </row>
    <row r="14441">
      <c r="A14441" s="40">
        <f t="shared" si="1"/>
        <v>46013</v>
      </c>
      <c r="B14441" s="37" t="str">
        <f t="array" ref="B14441">iferror(xlookup($I14441, 'IMPORT VHC Report'!$E:$E, 'IMPORT VHC Report'!$A:$C), )</f>
        <v/>
      </c>
      <c r="C14441" s="44"/>
      <c r="D14441" s="44"/>
      <c r="E14441" s="46" t="s">
        <v>10576</v>
      </c>
      <c r="F14441" s="46" t="s">
        <v>3525</v>
      </c>
      <c r="H14441" s="46" t="s">
        <v>3526</v>
      </c>
      <c r="I14441" s="46" t="s">
        <v>3527</v>
      </c>
      <c r="J14441" s="46" t="s">
        <v>132</v>
      </c>
      <c r="K14441" s="46" t="s">
        <v>126</v>
      </c>
      <c r="L14441" s="45">
        <v>46013.65625</v>
      </c>
      <c r="M14441" s="46" t="s">
        <v>123</v>
      </c>
      <c r="N14441" s="45">
        <v>46013.697916666664</v>
      </c>
      <c r="O14441" s="46" t="s">
        <v>123</v>
      </c>
      <c r="P14441" s="46">
        <v>3600.0</v>
      </c>
    </row>
    <row r="14442">
      <c r="A14442" s="40">
        <f t="shared" si="1"/>
        <v>46013</v>
      </c>
      <c r="B14442" s="37" t="str">
        <f t="array" ref="B14442">iferror(xlookup($I14442, 'IMPORT VHC Report'!$E:$E, 'IMPORT VHC Report'!$A:$C), )</f>
        <v/>
      </c>
      <c r="C14442" s="44"/>
      <c r="D14442" s="44"/>
      <c r="E14442" s="46" t="s">
        <v>10577</v>
      </c>
      <c r="F14442" s="46" t="s">
        <v>3525</v>
      </c>
      <c r="H14442" s="46" t="s">
        <v>3526</v>
      </c>
      <c r="I14442" s="46" t="s">
        <v>3527</v>
      </c>
      <c r="J14442" s="46" t="s">
        <v>125</v>
      </c>
      <c r="K14442" s="46" t="s">
        <v>126</v>
      </c>
      <c r="L14442" s="45">
        <v>46014.416666666664</v>
      </c>
      <c r="M14442" s="46" t="s">
        <v>123</v>
      </c>
      <c r="N14442" s="45">
        <v>46014.427083333336</v>
      </c>
      <c r="O14442" s="46" t="s">
        <v>123</v>
      </c>
      <c r="P14442" s="46">
        <v>900.0</v>
      </c>
      <c r="S14442" s="46" t="s">
        <v>199</v>
      </c>
    </row>
    <row r="14443">
      <c r="A14443" s="40">
        <f t="shared" si="1"/>
        <v>46013</v>
      </c>
      <c r="B14443" s="37" t="str">
        <f t="array" ref="B14443">iferror(xlookup($I14443, 'IMPORT VHC Report'!$E:$E, 'IMPORT VHC Report'!$A:$C), )</f>
        <v/>
      </c>
      <c r="C14443" s="44"/>
      <c r="D14443" s="44"/>
      <c r="E14443" s="46" t="s">
        <v>10578</v>
      </c>
      <c r="F14443" s="46" t="s">
        <v>3525</v>
      </c>
      <c r="H14443" s="46" t="s">
        <v>3526</v>
      </c>
      <c r="I14443" s="46" t="s">
        <v>3527</v>
      </c>
      <c r="J14443" s="46" t="s">
        <v>196</v>
      </c>
      <c r="K14443" s="46" t="s">
        <v>63</v>
      </c>
      <c r="L14443" s="45">
        <v>46014.416666666664</v>
      </c>
      <c r="M14443" s="46" t="s">
        <v>123</v>
      </c>
      <c r="N14443" s="45">
        <v>46014.791666666664</v>
      </c>
      <c r="O14443" s="46" t="s">
        <v>123</v>
      </c>
      <c r="P14443" s="46">
        <v>32400.0</v>
      </c>
    </row>
    <row r="14444">
      <c r="A14444" s="40">
        <f t="shared" si="1"/>
        <v>46013</v>
      </c>
      <c r="B14444" s="37" t="str">
        <f t="array" ref="B14444">iferror(xlookup($I14444, 'IMPORT VHC Report'!$E:$E, 'IMPORT VHC Report'!$A:$C), )</f>
        <v/>
      </c>
      <c r="C14444" s="44"/>
      <c r="D14444" s="44"/>
      <c r="E14444" s="46" t="s">
        <v>10579</v>
      </c>
      <c r="F14444" s="46" t="s">
        <v>3525</v>
      </c>
      <c r="H14444" s="46" t="s">
        <v>3526</v>
      </c>
      <c r="I14444" s="46" t="s">
        <v>3527</v>
      </c>
      <c r="J14444" s="46" t="s">
        <v>134</v>
      </c>
      <c r="K14444" s="46" t="s">
        <v>126</v>
      </c>
      <c r="L14444" s="45">
        <v>46014.53125</v>
      </c>
      <c r="M14444" s="46" t="s">
        <v>123</v>
      </c>
      <c r="N14444" s="45">
        <v>46014.552083333336</v>
      </c>
      <c r="O14444" s="46" t="s">
        <v>123</v>
      </c>
      <c r="P14444" s="46">
        <v>1800.0</v>
      </c>
    </row>
    <row r="14445">
      <c r="A14445" s="40">
        <f t="shared" si="1"/>
        <v>46013</v>
      </c>
      <c r="B14445" s="37" t="str">
        <f t="array" ref="B14445">iferror(xlookup($I14445, 'IMPORT VHC Report'!$E:$E, 'IMPORT VHC Report'!$A:$C), )</f>
        <v/>
      </c>
      <c r="C14445" s="44"/>
      <c r="D14445" s="44"/>
      <c r="E14445" s="46" t="s">
        <v>10580</v>
      </c>
      <c r="F14445" s="46" t="s">
        <v>3525</v>
      </c>
      <c r="H14445" s="46" t="s">
        <v>3526</v>
      </c>
      <c r="I14445" s="46" t="s">
        <v>3527</v>
      </c>
      <c r="J14445" s="46" t="s">
        <v>132</v>
      </c>
      <c r="K14445" s="46" t="s">
        <v>126</v>
      </c>
      <c r="L14445" s="45">
        <v>46014.666666666664</v>
      </c>
      <c r="M14445" s="46" t="s">
        <v>123</v>
      </c>
      <c r="N14445" s="45">
        <v>46014.708333333336</v>
      </c>
      <c r="O14445" s="46" t="s">
        <v>123</v>
      </c>
      <c r="P14445" s="46">
        <v>3600.0</v>
      </c>
    </row>
    <row r="14446">
      <c r="A14446" s="40">
        <f t="shared" si="1"/>
        <v>46013</v>
      </c>
      <c r="B14446" s="37" t="str">
        <f t="array" ref="B14446">iferror(xlookup($I14446, 'IMPORT VHC Report'!$E:$E, 'IMPORT VHC Report'!$A:$C), )</f>
        <v/>
      </c>
      <c r="C14446" s="44"/>
      <c r="D14446" s="44"/>
      <c r="E14446" s="46" t="s">
        <v>10581</v>
      </c>
      <c r="F14446" s="46" t="s">
        <v>3525</v>
      </c>
      <c r="H14446" s="46" t="s">
        <v>3526</v>
      </c>
      <c r="I14446" s="46" t="s">
        <v>3527</v>
      </c>
      <c r="J14446" s="46" t="s">
        <v>136</v>
      </c>
      <c r="K14446" s="46" t="s">
        <v>126</v>
      </c>
      <c r="L14446" s="45">
        <v>46014.729166666664</v>
      </c>
      <c r="M14446" s="46" t="s">
        <v>123</v>
      </c>
      <c r="N14446" s="45">
        <v>46014.75</v>
      </c>
      <c r="O14446" s="46" t="s">
        <v>123</v>
      </c>
      <c r="P14446" s="46">
        <v>1800.0</v>
      </c>
      <c r="S14446" s="46" t="s">
        <v>137</v>
      </c>
    </row>
    <row r="14447">
      <c r="A14447" s="40">
        <f t="shared" si="1"/>
        <v>46013</v>
      </c>
      <c r="B14447" s="37" t="str">
        <f t="array" ref="B14447">iferror(xlookup($I14447, 'IMPORT VHC Report'!$E:$E, 'IMPORT VHC Report'!$A:$C), )</f>
        <v/>
      </c>
      <c r="C14447" s="44"/>
      <c r="D14447" s="44"/>
      <c r="E14447" s="46" t="s">
        <v>10582</v>
      </c>
      <c r="F14447" s="46" t="s">
        <v>3525</v>
      </c>
      <c r="H14447" s="46" t="s">
        <v>3526</v>
      </c>
      <c r="I14447" s="46" t="s">
        <v>3527</v>
      </c>
      <c r="J14447" s="46" t="s">
        <v>125</v>
      </c>
      <c r="K14447" s="46" t="s">
        <v>126</v>
      </c>
      <c r="L14447" s="45">
        <v>46015.416666666664</v>
      </c>
      <c r="M14447" s="46" t="s">
        <v>123</v>
      </c>
      <c r="N14447" s="45">
        <v>46015.427083333336</v>
      </c>
      <c r="O14447" s="46" t="s">
        <v>123</v>
      </c>
      <c r="P14447" s="46">
        <v>900.0</v>
      </c>
      <c r="S14447" s="46" t="s">
        <v>199</v>
      </c>
    </row>
    <row r="14448">
      <c r="A14448" s="40">
        <f t="shared" si="1"/>
        <v>46013</v>
      </c>
      <c r="B14448" s="37" t="str">
        <f t="array" ref="B14448">iferror(xlookup($I14448, 'IMPORT VHC Report'!$E:$E, 'IMPORT VHC Report'!$A:$C), )</f>
        <v/>
      </c>
      <c r="C14448" s="44"/>
      <c r="D14448" s="44"/>
      <c r="E14448" s="46" t="s">
        <v>10583</v>
      </c>
      <c r="F14448" s="46" t="s">
        <v>3525</v>
      </c>
      <c r="H14448" s="46" t="s">
        <v>3526</v>
      </c>
      <c r="I14448" s="46" t="s">
        <v>3527</v>
      </c>
      <c r="J14448" s="46" t="s">
        <v>196</v>
      </c>
      <c r="K14448" s="46" t="s">
        <v>63</v>
      </c>
      <c r="L14448" s="45">
        <v>46015.416666666664</v>
      </c>
      <c r="M14448" s="46" t="s">
        <v>123</v>
      </c>
      <c r="N14448" s="45">
        <v>46015.708333333336</v>
      </c>
      <c r="O14448" s="46" t="s">
        <v>123</v>
      </c>
      <c r="P14448" s="46">
        <v>25200.0</v>
      </c>
    </row>
    <row r="14449">
      <c r="A14449" s="40">
        <f t="shared" si="1"/>
        <v>46013</v>
      </c>
      <c r="B14449" s="37" t="str">
        <f t="array" ref="B14449">iferror(xlookup($I14449, 'IMPORT VHC Report'!$E:$E, 'IMPORT VHC Report'!$A:$C), )</f>
        <v/>
      </c>
      <c r="C14449" s="44"/>
      <c r="D14449" s="44"/>
      <c r="E14449" s="46" t="s">
        <v>10584</v>
      </c>
      <c r="F14449" s="46" t="s">
        <v>3525</v>
      </c>
      <c r="H14449" s="46" t="s">
        <v>3526</v>
      </c>
      <c r="I14449" s="46" t="s">
        <v>3527</v>
      </c>
      <c r="J14449" s="46" t="s">
        <v>132</v>
      </c>
      <c r="K14449" s="46" t="s">
        <v>126</v>
      </c>
      <c r="L14449" s="45">
        <v>46015.541666666664</v>
      </c>
      <c r="M14449" s="46" t="s">
        <v>123</v>
      </c>
      <c r="N14449" s="45">
        <v>46015.583333333336</v>
      </c>
      <c r="O14449" s="46" t="s">
        <v>123</v>
      </c>
      <c r="P14449" s="46">
        <v>3600.0</v>
      </c>
    </row>
    <row r="14450">
      <c r="A14450" s="40">
        <f t="shared" si="1"/>
        <v>46013</v>
      </c>
      <c r="B14450" s="37" t="str">
        <f t="array" ref="B14450">iferror(xlookup($I14450, 'IMPORT VHC Report'!$E:$E, 'IMPORT VHC Report'!$A:$C), )</f>
        <v/>
      </c>
      <c r="C14450" s="44"/>
      <c r="D14450" s="44"/>
      <c r="E14450" s="46" t="s">
        <v>10585</v>
      </c>
      <c r="F14450" s="46" t="s">
        <v>3525</v>
      </c>
      <c r="H14450" s="46" t="s">
        <v>3526</v>
      </c>
      <c r="I14450" s="46" t="s">
        <v>3527</v>
      </c>
      <c r="J14450" s="46" t="s">
        <v>330</v>
      </c>
      <c r="K14450" s="46" t="s">
        <v>126</v>
      </c>
      <c r="L14450" s="45">
        <v>46015.604166666664</v>
      </c>
      <c r="M14450" s="46" t="s">
        <v>123</v>
      </c>
      <c r="N14450" s="45">
        <v>46015.65972222222</v>
      </c>
      <c r="O14450" s="46" t="s">
        <v>123</v>
      </c>
      <c r="P14450" s="46">
        <v>4800.0</v>
      </c>
    </row>
    <row r="14451">
      <c r="A14451" s="40">
        <f t="shared" si="1"/>
        <v>46013</v>
      </c>
      <c r="B14451" s="37" t="str">
        <f t="array" ref="B14451">iferror(xlookup($I14451, 'IMPORT VHC Report'!$E:$E, 'IMPORT VHC Report'!$A:$C), )</f>
        <v/>
      </c>
      <c r="C14451" s="44"/>
      <c r="D14451" s="44"/>
      <c r="E14451" s="46" t="s">
        <v>10586</v>
      </c>
      <c r="F14451" s="46" t="s">
        <v>3525</v>
      </c>
      <c r="H14451" s="46" t="s">
        <v>3526</v>
      </c>
      <c r="I14451" s="46" t="s">
        <v>3527</v>
      </c>
      <c r="J14451" s="46" t="s">
        <v>134</v>
      </c>
      <c r="K14451" s="46" t="s">
        <v>126</v>
      </c>
      <c r="L14451" s="45">
        <v>46015.6875</v>
      </c>
      <c r="M14451" s="46" t="s">
        <v>123</v>
      </c>
      <c r="N14451" s="45">
        <v>46015.708333333336</v>
      </c>
      <c r="O14451" s="46" t="s">
        <v>123</v>
      </c>
      <c r="P14451" s="46">
        <v>1800.0</v>
      </c>
    </row>
    <row r="14452">
      <c r="A14452" s="40">
        <f t="shared" si="1"/>
        <v>46013</v>
      </c>
      <c r="B14452" s="37" t="str">
        <f t="array" ref="B14452">iferror(xlookup($I14452, 'IMPORT VHC Report'!$E:$E, 'IMPORT VHC Report'!$A:$C), )</f>
        <v/>
      </c>
      <c r="C14452" s="44"/>
      <c r="D14452" s="44"/>
      <c r="E14452" s="46" t="s">
        <v>10587</v>
      </c>
      <c r="F14452" s="46" t="s">
        <v>3525</v>
      </c>
      <c r="H14452" s="46" t="s">
        <v>3526</v>
      </c>
      <c r="I14452" s="46" t="s">
        <v>3527</v>
      </c>
      <c r="J14452" s="46" t="s">
        <v>62</v>
      </c>
      <c r="K14452" s="46" t="s">
        <v>63</v>
      </c>
      <c r="L14452" s="45">
        <v>46015.6875</v>
      </c>
      <c r="M14452" s="46" t="s">
        <v>123</v>
      </c>
      <c r="N14452" s="45">
        <v>46015.729166666664</v>
      </c>
      <c r="O14452" s="46" t="s">
        <v>123</v>
      </c>
      <c r="P14452" s="46">
        <v>3600.0</v>
      </c>
    </row>
    <row r="14453">
      <c r="A14453" s="40">
        <f t="shared" si="1"/>
        <v>46013</v>
      </c>
      <c r="B14453" s="37" t="str">
        <f t="array" ref="B14453">iferror(xlookup($I14453, 'IMPORT VHC Report'!$E:$E, 'IMPORT VHC Report'!$A:$C), )</f>
        <v/>
      </c>
      <c r="C14453" s="44"/>
      <c r="D14453" s="44"/>
      <c r="E14453" s="46" t="s">
        <v>10588</v>
      </c>
      <c r="F14453" s="46" t="s">
        <v>3525</v>
      </c>
      <c r="H14453" s="46" t="s">
        <v>3526</v>
      </c>
      <c r="I14453" s="46" t="s">
        <v>3527</v>
      </c>
      <c r="J14453" s="46" t="s">
        <v>136</v>
      </c>
      <c r="K14453" s="46" t="s">
        <v>126</v>
      </c>
      <c r="L14453" s="45">
        <v>46015.708333333336</v>
      </c>
      <c r="M14453" s="46" t="s">
        <v>123</v>
      </c>
      <c r="N14453" s="45">
        <v>46015.729166666664</v>
      </c>
      <c r="O14453" s="46" t="s">
        <v>123</v>
      </c>
      <c r="P14453" s="46">
        <v>1800.0</v>
      </c>
      <c r="S14453" s="46" t="s">
        <v>10559</v>
      </c>
    </row>
    <row r="14454">
      <c r="A14454" s="40">
        <f t="shared" si="1"/>
        <v>46013</v>
      </c>
      <c r="B14454" s="37" t="str">
        <f t="array" ref="B14454">iferror(xlookup($I14454, 'IMPORT VHC Report'!$E:$E, 'IMPORT VHC Report'!$A:$C), )</f>
        <v/>
      </c>
      <c r="C14454" s="44"/>
      <c r="D14454" s="44"/>
      <c r="E14454" s="46" t="s">
        <v>10589</v>
      </c>
      <c r="F14454" s="46" t="s">
        <v>3525</v>
      </c>
      <c r="H14454" s="46" t="s">
        <v>3526</v>
      </c>
      <c r="I14454" s="46" t="s">
        <v>3527</v>
      </c>
      <c r="J14454" s="46" t="s">
        <v>196</v>
      </c>
      <c r="K14454" s="46" t="s">
        <v>63</v>
      </c>
      <c r="L14454" s="45">
        <v>46015.729166666664</v>
      </c>
      <c r="M14454" s="46" t="s">
        <v>123</v>
      </c>
      <c r="N14454" s="45">
        <v>46015.791666666664</v>
      </c>
      <c r="O14454" s="46" t="s">
        <v>123</v>
      </c>
      <c r="P14454" s="46">
        <v>5400.0</v>
      </c>
    </row>
    <row r="14455">
      <c r="A14455" s="40">
        <f t="shared" si="1"/>
        <v>46013</v>
      </c>
      <c r="B14455" s="37" t="str">
        <f t="array" ref="B14455">iferror(xlookup($I14455, 'IMPORT VHC Report'!$E:$E, 'IMPORT VHC Report'!$A:$C), )</f>
        <v/>
      </c>
      <c r="C14455" s="44"/>
      <c r="D14455" s="44"/>
      <c r="E14455" s="46" t="s">
        <v>10590</v>
      </c>
      <c r="F14455" s="46" t="s">
        <v>3525</v>
      </c>
      <c r="H14455" s="46" t="s">
        <v>3526</v>
      </c>
      <c r="I14455" s="46" t="s">
        <v>3527</v>
      </c>
      <c r="J14455" s="46" t="s">
        <v>125</v>
      </c>
      <c r="K14455" s="46" t="s">
        <v>126</v>
      </c>
      <c r="L14455" s="45">
        <v>46018.5</v>
      </c>
      <c r="M14455" s="46" t="s">
        <v>123</v>
      </c>
      <c r="N14455" s="45">
        <v>46018.510416666664</v>
      </c>
      <c r="O14455" s="46" t="s">
        <v>123</v>
      </c>
      <c r="P14455" s="46">
        <v>900.0</v>
      </c>
      <c r="S14455" s="46" t="s">
        <v>199</v>
      </c>
    </row>
    <row r="14456">
      <c r="A14456" s="40">
        <f t="shared" si="1"/>
        <v>46013</v>
      </c>
      <c r="B14456" s="37" t="str">
        <f t="array" ref="B14456">iferror(xlookup($I14456, 'IMPORT VHC Report'!$E:$E, 'IMPORT VHC Report'!$A:$C), )</f>
        <v/>
      </c>
      <c r="C14456" s="44"/>
      <c r="D14456" s="44"/>
      <c r="E14456" s="46" t="s">
        <v>10591</v>
      </c>
      <c r="F14456" s="46" t="s">
        <v>3525</v>
      </c>
      <c r="H14456" s="46" t="s">
        <v>3526</v>
      </c>
      <c r="I14456" s="46" t="s">
        <v>3527</v>
      </c>
      <c r="J14456" s="46" t="s">
        <v>196</v>
      </c>
      <c r="K14456" s="46" t="s">
        <v>63</v>
      </c>
      <c r="L14456" s="45">
        <v>46018.5</v>
      </c>
      <c r="M14456" s="46" t="s">
        <v>123</v>
      </c>
      <c r="N14456" s="45">
        <v>46018.875</v>
      </c>
      <c r="O14456" s="46" t="s">
        <v>123</v>
      </c>
      <c r="P14456" s="46">
        <v>32400.0</v>
      </c>
    </row>
    <row r="14457">
      <c r="A14457" s="40">
        <f t="shared" si="1"/>
        <v>46013</v>
      </c>
      <c r="B14457" s="37" t="str">
        <f t="array" ref="B14457">iferror(xlookup($I14457, 'IMPORT VHC Report'!$E:$E, 'IMPORT VHC Report'!$A:$C), )</f>
        <v/>
      </c>
      <c r="C14457" s="44"/>
      <c r="D14457" s="44"/>
      <c r="E14457" s="46" t="s">
        <v>10592</v>
      </c>
      <c r="F14457" s="46" t="s">
        <v>3525</v>
      </c>
      <c r="H14457" s="46" t="s">
        <v>3526</v>
      </c>
      <c r="I14457" s="46" t="s">
        <v>3527</v>
      </c>
      <c r="J14457" s="46" t="s">
        <v>134</v>
      </c>
      <c r="K14457" s="46" t="s">
        <v>126</v>
      </c>
      <c r="L14457" s="45">
        <v>46018.604166666664</v>
      </c>
      <c r="M14457" s="46" t="s">
        <v>123</v>
      </c>
      <c r="N14457" s="45">
        <v>46018.625</v>
      </c>
      <c r="O14457" s="46" t="s">
        <v>123</v>
      </c>
      <c r="P14457" s="46">
        <v>1800.0</v>
      </c>
    </row>
    <row r="14458">
      <c r="A14458" s="40">
        <f t="shared" si="1"/>
        <v>46013</v>
      </c>
      <c r="B14458" s="37" t="str">
        <f t="array" ref="B14458">iferror(xlookup($I14458, 'IMPORT VHC Report'!$E:$E, 'IMPORT VHC Report'!$A:$C), )</f>
        <v/>
      </c>
      <c r="C14458" s="44"/>
      <c r="D14458" s="44"/>
      <c r="E14458" s="46" t="s">
        <v>10593</v>
      </c>
      <c r="F14458" s="46" t="s">
        <v>3525</v>
      </c>
      <c r="H14458" s="46" t="s">
        <v>3526</v>
      </c>
      <c r="I14458" s="46" t="s">
        <v>3527</v>
      </c>
      <c r="J14458" s="46" t="s">
        <v>132</v>
      </c>
      <c r="K14458" s="46" t="s">
        <v>126</v>
      </c>
      <c r="L14458" s="45">
        <v>46018.75</v>
      </c>
      <c r="M14458" s="46" t="s">
        <v>123</v>
      </c>
      <c r="N14458" s="45">
        <v>46018.791666666664</v>
      </c>
      <c r="O14458" s="46" t="s">
        <v>123</v>
      </c>
      <c r="P14458" s="46">
        <v>3600.0</v>
      </c>
    </row>
    <row r="14459">
      <c r="A14459" s="40">
        <f t="shared" si="1"/>
        <v>46013</v>
      </c>
      <c r="B14459" s="37" t="str">
        <f t="array" ref="B14459">iferror(xlookup($I14459, 'IMPORT VHC Report'!$E:$E, 'IMPORT VHC Report'!$A:$C), )</f>
        <v/>
      </c>
      <c r="C14459" s="44"/>
      <c r="D14459" s="44"/>
      <c r="E14459" s="46" t="s">
        <v>10594</v>
      </c>
      <c r="F14459" s="46" t="s">
        <v>3525</v>
      </c>
      <c r="H14459" s="46" t="s">
        <v>3526</v>
      </c>
      <c r="I14459" s="46" t="s">
        <v>3527</v>
      </c>
      <c r="J14459" s="46" t="s">
        <v>125</v>
      </c>
      <c r="K14459" s="46" t="s">
        <v>126</v>
      </c>
      <c r="L14459" s="45">
        <v>46019.416666666664</v>
      </c>
      <c r="M14459" s="46" t="s">
        <v>123</v>
      </c>
      <c r="N14459" s="45">
        <v>46019.427083333336</v>
      </c>
      <c r="O14459" s="46" t="s">
        <v>123</v>
      </c>
      <c r="P14459" s="46">
        <v>900.0</v>
      </c>
      <c r="S14459" s="46" t="s">
        <v>199</v>
      </c>
    </row>
    <row r="14460">
      <c r="A14460" s="40">
        <f t="shared" si="1"/>
        <v>46013</v>
      </c>
      <c r="B14460" s="37" t="str">
        <f t="array" ref="B14460">iferror(xlookup($I14460, 'IMPORT VHC Report'!$E:$E, 'IMPORT VHC Report'!$A:$C), )</f>
        <v/>
      </c>
      <c r="C14460" s="44"/>
      <c r="D14460" s="44"/>
      <c r="E14460" s="46" t="s">
        <v>10595</v>
      </c>
      <c r="F14460" s="46" t="s">
        <v>3525</v>
      </c>
      <c r="H14460" s="46" t="s">
        <v>3526</v>
      </c>
      <c r="I14460" s="46" t="s">
        <v>3527</v>
      </c>
      <c r="J14460" s="46" t="s">
        <v>196</v>
      </c>
      <c r="K14460" s="46" t="s">
        <v>63</v>
      </c>
      <c r="L14460" s="45">
        <v>46019.416666666664</v>
      </c>
      <c r="M14460" s="46" t="s">
        <v>123</v>
      </c>
      <c r="N14460" s="45">
        <v>46019.791666666664</v>
      </c>
      <c r="O14460" s="46" t="s">
        <v>123</v>
      </c>
      <c r="P14460" s="46">
        <v>32400.0</v>
      </c>
    </row>
    <row r="14461">
      <c r="A14461" s="40">
        <f t="shared" si="1"/>
        <v>46013</v>
      </c>
      <c r="B14461" s="37" t="str">
        <f t="array" ref="B14461">iferror(xlookup($I14461, 'IMPORT VHC Report'!$E:$E, 'IMPORT VHC Report'!$A:$C), )</f>
        <v/>
      </c>
      <c r="C14461" s="44"/>
      <c r="D14461" s="44"/>
      <c r="E14461" s="46" t="s">
        <v>10596</v>
      </c>
      <c r="F14461" s="46" t="s">
        <v>3525</v>
      </c>
      <c r="H14461" s="46" t="s">
        <v>3526</v>
      </c>
      <c r="I14461" s="46" t="s">
        <v>3527</v>
      </c>
      <c r="J14461" s="46" t="s">
        <v>134</v>
      </c>
      <c r="K14461" s="46" t="s">
        <v>126</v>
      </c>
      <c r="L14461" s="45">
        <v>46019.53125</v>
      </c>
      <c r="M14461" s="46" t="s">
        <v>123</v>
      </c>
      <c r="N14461" s="45">
        <v>46019.552083333336</v>
      </c>
      <c r="O14461" s="46" t="s">
        <v>123</v>
      </c>
      <c r="P14461" s="46">
        <v>1800.0</v>
      </c>
    </row>
    <row r="14462">
      <c r="A14462" s="40">
        <f t="shared" si="1"/>
        <v>46013</v>
      </c>
      <c r="B14462" s="37" t="str">
        <f t="array" ref="B14462">iferror(xlookup($I14462, 'IMPORT VHC Report'!$E:$E, 'IMPORT VHC Report'!$A:$C), )</f>
        <v/>
      </c>
      <c r="C14462" s="44"/>
      <c r="D14462" s="44"/>
      <c r="E14462" s="46" t="s">
        <v>10597</v>
      </c>
      <c r="F14462" s="46" t="s">
        <v>3525</v>
      </c>
      <c r="H14462" s="46" t="s">
        <v>3526</v>
      </c>
      <c r="I14462" s="46" t="s">
        <v>3527</v>
      </c>
      <c r="J14462" s="46" t="s">
        <v>132</v>
      </c>
      <c r="K14462" s="46" t="s">
        <v>126</v>
      </c>
      <c r="L14462" s="45">
        <v>46019.65625</v>
      </c>
      <c r="M14462" s="46" t="s">
        <v>123</v>
      </c>
      <c r="N14462" s="45">
        <v>46019.697916666664</v>
      </c>
      <c r="O14462" s="46" t="s">
        <v>123</v>
      </c>
      <c r="P14462" s="46">
        <v>3600.0</v>
      </c>
    </row>
    <row r="14463">
      <c r="A14463" s="40">
        <f t="shared" si="1"/>
        <v>46013</v>
      </c>
      <c r="B14463" s="37" t="str">
        <f t="array" ref="B14463">iferror(xlookup($I14463, 'IMPORT VHC Report'!$E:$E, 'IMPORT VHC Report'!$A:$C), )</f>
        <v/>
      </c>
      <c r="C14463" s="44"/>
      <c r="D14463" s="44"/>
      <c r="E14463" s="46" t="s">
        <v>10598</v>
      </c>
      <c r="F14463" s="46" t="s">
        <v>4017</v>
      </c>
      <c r="G14463" s="46">
        <v>8.904435850895E12</v>
      </c>
      <c r="H14463" s="46" t="s">
        <v>4018</v>
      </c>
      <c r="I14463" s="46" t="s">
        <v>4019</v>
      </c>
      <c r="J14463" s="46" t="s">
        <v>125</v>
      </c>
      <c r="K14463" s="46" t="s">
        <v>126</v>
      </c>
      <c r="L14463" s="45">
        <v>46013.5</v>
      </c>
      <c r="M14463" s="46" t="s">
        <v>123</v>
      </c>
      <c r="N14463" s="45">
        <v>46013.510416666664</v>
      </c>
      <c r="O14463" s="46" t="s">
        <v>123</v>
      </c>
      <c r="P14463" s="46">
        <v>900.0</v>
      </c>
      <c r="S14463" s="46" t="s">
        <v>199</v>
      </c>
    </row>
    <row r="14464">
      <c r="A14464" s="40">
        <f t="shared" si="1"/>
        <v>46013</v>
      </c>
      <c r="B14464" s="37" t="str">
        <f t="array" ref="B14464">iferror(xlookup($I14464, 'IMPORT VHC Report'!$E:$E, 'IMPORT VHC Report'!$A:$C), )</f>
        <v/>
      </c>
      <c r="C14464" s="44"/>
      <c r="D14464" s="44"/>
      <c r="E14464" s="46" t="s">
        <v>10599</v>
      </c>
      <c r="F14464" s="46" t="s">
        <v>4017</v>
      </c>
      <c r="G14464" s="46">
        <v>8.904435850895E12</v>
      </c>
      <c r="H14464" s="46" t="s">
        <v>4018</v>
      </c>
      <c r="I14464" s="46" t="s">
        <v>4019</v>
      </c>
      <c r="J14464" s="46" t="s">
        <v>196</v>
      </c>
      <c r="K14464" s="46" t="s">
        <v>63</v>
      </c>
      <c r="L14464" s="45">
        <v>46013.5</v>
      </c>
      <c r="M14464" s="46" t="s">
        <v>123</v>
      </c>
      <c r="N14464" s="45">
        <v>46013.875</v>
      </c>
      <c r="O14464" s="46" t="s">
        <v>123</v>
      </c>
      <c r="P14464" s="46">
        <v>32400.0</v>
      </c>
    </row>
    <row r="14465">
      <c r="A14465" s="40">
        <f t="shared" si="1"/>
        <v>46013</v>
      </c>
      <c r="B14465" s="37" t="str">
        <f t="array" ref="B14465">iferror(xlookup($I14465, 'IMPORT VHC Report'!$E:$E, 'IMPORT VHC Report'!$A:$C), )</f>
        <v/>
      </c>
      <c r="C14465" s="44"/>
      <c r="D14465" s="44"/>
      <c r="E14465" s="46" t="s">
        <v>10600</v>
      </c>
      <c r="F14465" s="46" t="s">
        <v>4017</v>
      </c>
      <c r="G14465" s="46">
        <v>8.904435850895E12</v>
      </c>
      <c r="H14465" s="46" t="s">
        <v>4018</v>
      </c>
      <c r="I14465" s="46" t="s">
        <v>4019</v>
      </c>
      <c r="J14465" s="46" t="s">
        <v>134</v>
      </c>
      <c r="K14465" s="46" t="s">
        <v>126</v>
      </c>
      <c r="L14465" s="45">
        <v>46013.625</v>
      </c>
      <c r="M14465" s="46" t="s">
        <v>123</v>
      </c>
      <c r="N14465" s="45">
        <v>46013.645833333336</v>
      </c>
      <c r="O14465" s="46" t="s">
        <v>123</v>
      </c>
      <c r="P14465" s="46">
        <v>1800.0</v>
      </c>
    </row>
    <row r="14466">
      <c r="A14466" s="40">
        <f t="shared" si="1"/>
        <v>46013</v>
      </c>
      <c r="B14466" s="37" t="str">
        <f t="array" ref="B14466">iferror(xlookup($I14466, 'IMPORT VHC Report'!$E:$E, 'IMPORT VHC Report'!$A:$C), )</f>
        <v/>
      </c>
      <c r="C14466" s="44"/>
      <c r="D14466" s="44"/>
      <c r="E14466" s="46" t="s">
        <v>10601</v>
      </c>
      <c r="F14466" s="46" t="s">
        <v>4017</v>
      </c>
      <c r="G14466" s="46">
        <v>8.904435850895E12</v>
      </c>
      <c r="H14466" s="46" t="s">
        <v>4018</v>
      </c>
      <c r="I14466" s="46" t="s">
        <v>4019</v>
      </c>
      <c r="J14466" s="46" t="s">
        <v>132</v>
      </c>
      <c r="K14466" s="46" t="s">
        <v>126</v>
      </c>
      <c r="L14466" s="45">
        <v>46013.760416666664</v>
      </c>
      <c r="M14466" s="46" t="s">
        <v>123</v>
      </c>
      <c r="N14466" s="45">
        <v>46013.802083333336</v>
      </c>
      <c r="O14466" s="46" t="s">
        <v>123</v>
      </c>
      <c r="P14466" s="46">
        <v>3600.0</v>
      </c>
    </row>
    <row r="14467">
      <c r="A14467" s="40">
        <f t="shared" si="1"/>
        <v>46013</v>
      </c>
      <c r="B14467" s="37" t="str">
        <f t="array" ref="B14467">iferror(xlookup($I14467, 'IMPORT VHC Report'!$E:$E, 'IMPORT VHC Report'!$A:$C), )</f>
        <v/>
      </c>
      <c r="C14467" s="44"/>
      <c r="D14467" s="44"/>
      <c r="E14467" s="46" t="s">
        <v>10602</v>
      </c>
      <c r="F14467" s="46" t="s">
        <v>4017</v>
      </c>
      <c r="G14467" s="46">
        <v>8.904435850895E12</v>
      </c>
      <c r="H14467" s="46" t="s">
        <v>4018</v>
      </c>
      <c r="I14467" s="46" t="s">
        <v>4019</v>
      </c>
      <c r="J14467" s="46" t="s">
        <v>125</v>
      </c>
      <c r="K14467" s="46" t="s">
        <v>126</v>
      </c>
      <c r="L14467" s="45">
        <v>46014.5</v>
      </c>
      <c r="M14467" s="46" t="s">
        <v>123</v>
      </c>
      <c r="N14467" s="45">
        <v>46014.510416666664</v>
      </c>
      <c r="O14467" s="46" t="s">
        <v>123</v>
      </c>
      <c r="P14467" s="46">
        <v>900.0</v>
      </c>
      <c r="S14467" s="46" t="s">
        <v>199</v>
      </c>
    </row>
    <row r="14468">
      <c r="A14468" s="40">
        <f t="shared" si="1"/>
        <v>46013</v>
      </c>
      <c r="B14468" s="37" t="str">
        <f t="array" ref="B14468">iferror(xlookup($I14468, 'IMPORT VHC Report'!$E:$E, 'IMPORT VHC Report'!$A:$C), )</f>
        <v/>
      </c>
      <c r="C14468" s="44"/>
      <c r="D14468" s="44"/>
      <c r="E14468" s="46" t="s">
        <v>10603</v>
      </c>
      <c r="F14468" s="46" t="s">
        <v>4017</v>
      </c>
      <c r="G14468" s="46">
        <v>8.904435850895E12</v>
      </c>
      <c r="H14468" s="46" t="s">
        <v>4018</v>
      </c>
      <c r="I14468" s="46" t="s">
        <v>4019</v>
      </c>
      <c r="J14468" s="46" t="s">
        <v>196</v>
      </c>
      <c r="K14468" s="46" t="s">
        <v>63</v>
      </c>
      <c r="L14468" s="45">
        <v>46014.5</v>
      </c>
      <c r="M14468" s="46" t="s">
        <v>123</v>
      </c>
      <c r="N14468" s="45">
        <v>46014.875</v>
      </c>
      <c r="O14468" s="46" t="s">
        <v>123</v>
      </c>
      <c r="P14468" s="46">
        <v>32400.0</v>
      </c>
    </row>
    <row r="14469">
      <c r="A14469" s="40">
        <f t="shared" si="1"/>
        <v>46013</v>
      </c>
      <c r="B14469" s="37" t="str">
        <f t="array" ref="B14469">iferror(xlookup($I14469, 'IMPORT VHC Report'!$E:$E, 'IMPORT VHC Report'!$A:$C), )</f>
        <v/>
      </c>
      <c r="C14469" s="44"/>
      <c r="D14469" s="44"/>
      <c r="E14469" s="46" t="s">
        <v>10604</v>
      </c>
      <c r="F14469" s="46" t="s">
        <v>4017</v>
      </c>
      <c r="G14469" s="46">
        <v>8.904435850895E12</v>
      </c>
      <c r="H14469" s="46" t="s">
        <v>4018</v>
      </c>
      <c r="I14469" s="46" t="s">
        <v>4019</v>
      </c>
      <c r="J14469" s="46" t="s">
        <v>178</v>
      </c>
      <c r="K14469" s="46" t="s">
        <v>153</v>
      </c>
      <c r="L14469" s="45">
        <v>46014.5</v>
      </c>
      <c r="M14469" s="46" t="s">
        <v>123</v>
      </c>
      <c r="N14469" s="45">
        <v>46014.875</v>
      </c>
      <c r="O14469" s="46" t="s">
        <v>123</v>
      </c>
      <c r="P14469" s="46">
        <v>32400.0</v>
      </c>
      <c r="Q14469" s="46">
        <v>28800.0</v>
      </c>
      <c r="R14469" s="46" t="s">
        <v>10605</v>
      </c>
    </row>
    <row r="14470">
      <c r="A14470" s="40">
        <f t="shared" si="1"/>
        <v>46013</v>
      </c>
      <c r="B14470" s="37" t="str">
        <f t="array" ref="B14470">iferror(xlookup($I14470, 'IMPORT VHC Report'!$E:$E, 'IMPORT VHC Report'!$A:$C), )</f>
        <v/>
      </c>
      <c r="C14470" s="44"/>
      <c r="D14470" s="44"/>
      <c r="E14470" s="46" t="s">
        <v>10606</v>
      </c>
      <c r="F14470" s="46" t="s">
        <v>4017</v>
      </c>
      <c r="G14470" s="46">
        <v>8.904435850895E12</v>
      </c>
      <c r="H14470" s="46" t="s">
        <v>4018</v>
      </c>
      <c r="I14470" s="46" t="s">
        <v>4019</v>
      </c>
      <c r="J14470" s="46" t="s">
        <v>132</v>
      </c>
      <c r="K14470" s="46" t="s">
        <v>126</v>
      </c>
      <c r="L14470" s="45">
        <v>46014.625</v>
      </c>
      <c r="M14470" s="46" t="s">
        <v>123</v>
      </c>
      <c r="N14470" s="45">
        <v>46014.666666666664</v>
      </c>
      <c r="O14470" s="46" t="s">
        <v>123</v>
      </c>
      <c r="P14470" s="46">
        <v>3600.0</v>
      </c>
    </row>
    <row r="14471">
      <c r="A14471" s="40">
        <f t="shared" si="1"/>
        <v>46013</v>
      </c>
      <c r="B14471" s="37" t="str">
        <f t="array" ref="B14471">iferror(xlookup($I14471, 'IMPORT VHC Report'!$E:$E, 'IMPORT VHC Report'!$A:$C), )</f>
        <v/>
      </c>
      <c r="C14471" s="44"/>
      <c r="D14471" s="44"/>
      <c r="E14471" s="46" t="s">
        <v>10607</v>
      </c>
      <c r="F14471" s="46" t="s">
        <v>4017</v>
      </c>
      <c r="G14471" s="46">
        <v>8.904435850895E12</v>
      </c>
      <c r="H14471" s="46" t="s">
        <v>4018</v>
      </c>
      <c r="I14471" s="46" t="s">
        <v>4019</v>
      </c>
      <c r="J14471" s="46" t="s">
        <v>134</v>
      </c>
      <c r="K14471" s="46" t="s">
        <v>126</v>
      </c>
      <c r="L14471" s="45">
        <v>46014.791666666664</v>
      </c>
      <c r="M14471" s="46" t="s">
        <v>123</v>
      </c>
      <c r="N14471" s="45">
        <v>46014.8125</v>
      </c>
      <c r="O14471" s="46" t="s">
        <v>123</v>
      </c>
      <c r="P14471" s="46">
        <v>1800.0</v>
      </c>
    </row>
    <row r="14472">
      <c r="A14472" s="40">
        <f t="shared" si="1"/>
        <v>46013</v>
      </c>
      <c r="B14472" s="37" t="str">
        <f t="array" ref="B14472">iferror(xlookup($I14472, 'IMPORT VHC Report'!$E:$E, 'IMPORT VHC Report'!$A:$C), )</f>
        <v/>
      </c>
      <c r="C14472" s="44"/>
      <c r="D14472" s="44"/>
      <c r="E14472" s="46" t="s">
        <v>10608</v>
      </c>
      <c r="F14472" s="46" t="s">
        <v>4017</v>
      </c>
      <c r="G14472" s="46">
        <v>8.904435850895E12</v>
      </c>
      <c r="H14472" s="46" t="s">
        <v>4018</v>
      </c>
      <c r="I14472" s="46" t="s">
        <v>4019</v>
      </c>
      <c r="J14472" s="46" t="s">
        <v>125</v>
      </c>
      <c r="K14472" s="46" t="s">
        <v>126</v>
      </c>
      <c r="L14472" s="45">
        <v>46015.5</v>
      </c>
      <c r="M14472" s="46" t="s">
        <v>123</v>
      </c>
      <c r="N14472" s="45">
        <v>46015.510416666664</v>
      </c>
      <c r="O14472" s="46" t="s">
        <v>123</v>
      </c>
      <c r="P14472" s="46">
        <v>900.0</v>
      </c>
      <c r="S14472" s="46" t="s">
        <v>199</v>
      </c>
    </row>
    <row r="14473">
      <c r="A14473" s="40">
        <f t="shared" si="1"/>
        <v>46013</v>
      </c>
      <c r="B14473" s="37" t="str">
        <f t="array" ref="B14473">iferror(xlookup($I14473, 'IMPORT VHC Report'!$E:$E, 'IMPORT VHC Report'!$A:$C), )</f>
        <v/>
      </c>
      <c r="C14473" s="44"/>
      <c r="D14473" s="44"/>
      <c r="E14473" s="46" t="s">
        <v>10609</v>
      </c>
      <c r="F14473" s="46" t="s">
        <v>4017</v>
      </c>
      <c r="G14473" s="46">
        <v>8.904435850895E12</v>
      </c>
      <c r="H14473" s="46" t="s">
        <v>4018</v>
      </c>
      <c r="I14473" s="46" t="s">
        <v>4019</v>
      </c>
      <c r="J14473" s="46" t="s">
        <v>196</v>
      </c>
      <c r="K14473" s="46" t="s">
        <v>63</v>
      </c>
      <c r="L14473" s="45">
        <v>46015.5</v>
      </c>
      <c r="M14473" s="46" t="s">
        <v>123</v>
      </c>
      <c r="N14473" s="45">
        <v>46015.708333333336</v>
      </c>
      <c r="O14473" s="46" t="s">
        <v>123</v>
      </c>
      <c r="P14473" s="46">
        <v>18000.0</v>
      </c>
    </row>
    <row r="14474">
      <c r="A14474" s="40">
        <f t="shared" si="1"/>
        <v>46013</v>
      </c>
      <c r="B14474" s="37" t="str">
        <f t="array" ref="B14474">iferror(xlookup($I14474, 'IMPORT VHC Report'!$E:$E, 'IMPORT VHC Report'!$A:$C), )</f>
        <v/>
      </c>
      <c r="C14474" s="44"/>
      <c r="D14474" s="44"/>
      <c r="E14474" s="46" t="s">
        <v>10610</v>
      </c>
      <c r="F14474" s="46" t="s">
        <v>4017</v>
      </c>
      <c r="G14474" s="46">
        <v>8.904435850895E12</v>
      </c>
      <c r="H14474" s="46" t="s">
        <v>4018</v>
      </c>
      <c r="I14474" s="46" t="s">
        <v>4019</v>
      </c>
      <c r="J14474" s="46" t="s">
        <v>178</v>
      </c>
      <c r="K14474" s="46" t="s">
        <v>153</v>
      </c>
      <c r="L14474" s="45">
        <v>46015.5</v>
      </c>
      <c r="M14474" s="46" t="s">
        <v>123</v>
      </c>
      <c r="N14474" s="45">
        <v>46015.875</v>
      </c>
      <c r="O14474" s="46" t="s">
        <v>123</v>
      </c>
      <c r="P14474" s="46">
        <v>32400.0</v>
      </c>
      <c r="Q14474" s="46">
        <v>28800.0</v>
      </c>
      <c r="R14474" s="46" t="s">
        <v>10611</v>
      </c>
    </row>
    <row r="14475">
      <c r="A14475" s="40">
        <f t="shared" si="1"/>
        <v>46013</v>
      </c>
      <c r="B14475" s="37" t="str">
        <f t="array" ref="B14475">iferror(xlookup($I14475, 'IMPORT VHC Report'!$E:$E, 'IMPORT VHC Report'!$A:$C), )</f>
        <v/>
      </c>
      <c r="C14475" s="44"/>
      <c r="D14475" s="44"/>
      <c r="E14475" s="46" t="s">
        <v>10612</v>
      </c>
      <c r="F14475" s="46" t="s">
        <v>4017</v>
      </c>
      <c r="G14475" s="46">
        <v>8.904435850895E12</v>
      </c>
      <c r="H14475" s="46" t="s">
        <v>4018</v>
      </c>
      <c r="I14475" s="46" t="s">
        <v>4019</v>
      </c>
      <c r="J14475" s="46" t="s">
        <v>134</v>
      </c>
      <c r="K14475" s="46" t="s">
        <v>126</v>
      </c>
      <c r="L14475" s="45">
        <v>46015.604166666664</v>
      </c>
      <c r="M14475" s="46" t="s">
        <v>123</v>
      </c>
      <c r="N14475" s="45">
        <v>46015.625</v>
      </c>
      <c r="O14475" s="46" t="s">
        <v>123</v>
      </c>
      <c r="P14475" s="46">
        <v>1800.0</v>
      </c>
    </row>
    <row r="14476">
      <c r="A14476" s="40">
        <f t="shared" si="1"/>
        <v>46013</v>
      </c>
      <c r="B14476" s="37" t="str">
        <f t="array" ref="B14476">iferror(xlookup($I14476, 'IMPORT VHC Report'!$E:$E, 'IMPORT VHC Report'!$A:$C), )</f>
        <v/>
      </c>
      <c r="C14476" s="44"/>
      <c r="D14476" s="44"/>
      <c r="E14476" s="46" t="s">
        <v>10613</v>
      </c>
      <c r="F14476" s="46" t="s">
        <v>4017</v>
      </c>
      <c r="G14476" s="46">
        <v>8.904435850895E12</v>
      </c>
      <c r="H14476" s="46" t="s">
        <v>4018</v>
      </c>
      <c r="I14476" s="46" t="s">
        <v>4019</v>
      </c>
      <c r="J14476" s="46" t="s">
        <v>62</v>
      </c>
      <c r="K14476" s="46" t="s">
        <v>63</v>
      </c>
      <c r="L14476" s="45">
        <v>46015.708333333336</v>
      </c>
      <c r="M14476" s="46" t="s">
        <v>123</v>
      </c>
      <c r="N14476" s="45">
        <v>46015.770833333336</v>
      </c>
      <c r="O14476" s="46" t="s">
        <v>123</v>
      </c>
      <c r="P14476" s="46">
        <v>5400.0</v>
      </c>
    </row>
    <row r="14477">
      <c r="A14477" s="40">
        <f t="shared" si="1"/>
        <v>46013</v>
      </c>
      <c r="B14477" s="37" t="str">
        <f t="array" ref="B14477">iferror(xlookup($I14477, 'IMPORT VHC Report'!$E:$E, 'IMPORT VHC Report'!$A:$C), )</f>
        <v/>
      </c>
      <c r="C14477" s="44"/>
      <c r="D14477" s="44"/>
      <c r="E14477" s="46" t="s">
        <v>10614</v>
      </c>
      <c r="F14477" s="46" t="s">
        <v>4017</v>
      </c>
      <c r="G14477" s="46">
        <v>8.904435850895E12</v>
      </c>
      <c r="H14477" s="46" t="s">
        <v>4018</v>
      </c>
      <c r="I14477" s="46" t="s">
        <v>4019</v>
      </c>
      <c r="J14477" s="46" t="s">
        <v>132</v>
      </c>
      <c r="K14477" s="46" t="s">
        <v>126</v>
      </c>
      <c r="L14477" s="45">
        <v>46015.729166666664</v>
      </c>
      <c r="M14477" s="46" t="s">
        <v>123</v>
      </c>
      <c r="N14477" s="45">
        <v>46015.770833333336</v>
      </c>
      <c r="O14477" s="46" t="s">
        <v>123</v>
      </c>
      <c r="P14477" s="46">
        <v>3600.0</v>
      </c>
    </row>
    <row r="14478">
      <c r="A14478" s="40">
        <f t="shared" si="1"/>
        <v>46013</v>
      </c>
      <c r="B14478" s="37" t="str">
        <f t="array" ref="B14478">iferror(xlookup($I14478, 'IMPORT VHC Report'!$E:$E, 'IMPORT VHC Report'!$A:$C), )</f>
        <v/>
      </c>
      <c r="C14478" s="44"/>
      <c r="D14478" s="44"/>
      <c r="E14478" s="46" t="s">
        <v>10615</v>
      </c>
      <c r="F14478" s="46" t="s">
        <v>4017</v>
      </c>
      <c r="G14478" s="46">
        <v>8.904435850895E12</v>
      </c>
      <c r="H14478" s="46" t="s">
        <v>4018</v>
      </c>
      <c r="I14478" s="46" t="s">
        <v>4019</v>
      </c>
      <c r="J14478" s="46" t="s">
        <v>196</v>
      </c>
      <c r="K14478" s="46" t="s">
        <v>63</v>
      </c>
      <c r="L14478" s="45">
        <v>46015.729166666664</v>
      </c>
      <c r="M14478" s="46" t="s">
        <v>123</v>
      </c>
      <c r="N14478" s="45">
        <v>46015.875</v>
      </c>
      <c r="O14478" s="46" t="s">
        <v>123</v>
      </c>
      <c r="P14478" s="46">
        <v>12600.0</v>
      </c>
    </row>
    <row r="14479">
      <c r="A14479" s="40">
        <f t="shared" si="1"/>
        <v>46013</v>
      </c>
      <c r="B14479" s="37" t="str">
        <f t="array" ref="B14479">iferror(xlookup($I14479, 'IMPORT VHC Report'!$E:$E, 'IMPORT VHC Report'!$A:$C), )</f>
        <v/>
      </c>
      <c r="C14479" s="44"/>
      <c r="D14479" s="44"/>
      <c r="E14479" s="46" t="s">
        <v>10616</v>
      </c>
      <c r="F14479" s="46" t="s">
        <v>4017</v>
      </c>
      <c r="G14479" s="46">
        <v>8.904435850895E12</v>
      </c>
      <c r="H14479" s="46" t="s">
        <v>4018</v>
      </c>
      <c r="I14479" s="46" t="s">
        <v>4019</v>
      </c>
      <c r="J14479" s="46" t="s">
        <v>125</v>
      </c>
      <c r="K14479" s="46" t="s">
        <v>126</v>
      </c>
      <c r="L14479" s="45">
        <v>46016.416666666664</v>
      </c>
      <c r="M14479" s="46" t="s">
        <v>123</v>
      </c>
      <c r="N14479" s="45">
        <v>46016.427083333336</v>
      </c>
      <c r="O14479" s="46" t="s">
        <v>123</v>
      </c>
      <c r="P14479" s="46">
        <v>900.0</v>
      </c>
      <c r="S14479" s="46" t="s">
        <v>199</v>
      </c>
    </row>
    <row r="14480">
      <c r="A14480" s="40">
        <f t="shared" si="1"/>
        <v>46013</v>
      </c>
      <c r="B14480" s="37" t="str">
        <f t="array" ref="B14480">iferror(xlookup($I14480, 'IMPORT VHC Report'!$E:$E, 'IMPORT VHC Report'!$A:$C), )</f>
        <v/>
      </c>
      <c r="C14480" s="44"/>
      <c r="D14480" s="44"/>
      <c r="E14480" s="46" t="s">
        <v>10617</v>
      </c>
      <c r="F14480" s="46" t="s">
        <v>4017</v>
      </c>
      <c r="G14480" s="46">
        <v>8.904435850895E12</v>
      </c>
      <c r="H14480" s="46" t="s">
        <v>4018</v>
      </c>
      <c r="I14480" s="46" t="s">
        <v>4019</v>
      </c>
      <c r="J14480" s="46" t="s">
        <v>196</v>
      </c>
      <c r="K14480" s="46" t="s">
        <v>63</v>
      </c>
      <c r="L14480" s="45">
        <v>46016.416666666664</v>
      </c>
      <c r="M14480" s="46" t="s">
        <v>123</v>
      </c>
      <c r="N14480" s="45">
        <v>46016.791666666664</v>
      </c>
      <c r="O14480" s="46" t="s">
        <v>123</v>
      </c>
      <c r="P14480" s="46">
        <v>32400.0</v>
      </c>
    </row>
    <row r="14481">
      <c r="A14481" s="40">
        <f t="shared" si="1"/>
        <v>46013</v>
      </c>
      <c r="B14481" s="37" t="str">
        <f t="array" ref="B14481">iferror(xlookup($I14481, 'IMPORT VHC Report'!$E:$E, 'IMPORT VHC Report'!$A:$C), )</f>
        <v/>
      </c>
      <c r="C14481" s="44"/>
      <c r="D14481" s="44"/>
      <c r="E14481" s="46" t="s">
        <v>10618</v>
      </c>
      <c r="F14481" s="46" t="s">
        <v>4017</v>
      </c>
      <c r="G14481" s="46">
        <v>8.904435850895E12</v>
      </c>
      <c r="H14481" s="46" t="s">
        <v>4018</v>
      </c>
      <c r="I14481" s="46" t="s">
        <v>4019</v>
      </c>
      <c r="J14481" s="46" t="s">
        <v>4</v>
      </c>
      <c r="K14481" s="46" t="s">
        <v>126</v>
      </c>
      <c r="L14481" s="45">
        <v>46016.479166666664</v>
      </c>
      <c r="M14481" s="46" t="s">
        <v>123</v>
      </c>
      <c r="N14481" s="45">
        <v>46016.510416666664</v>
      </c>
      <c r="O14481" s="46" t="s">
        <v>123</v>
      </c>
      <c r="P14481" s="46">
        <v>2700.0</v>
      </c>
    </row>
    <row r="14482">
      <c r="A14482" s="40">
        <f t="shared" si="1"/>
        <v>46013</v>
      </c>
      <c r="B14482" s="37" t="str">
        <f t="array" ref="B14482">iferror(xlookup($I14482, 'IMPORT VHC Report'!$E:$E, 'IMPORT VHC Report'!$A:$C), )</f>
        <v/>
      </c>
      <c r="C14482" s="44"/>
      <c r="D14482" s="44"/>
      <c r="E14482" s="46" t="s">
        <v>10619</v>
      </c>
      <c r="F14482" s="46" t="s">
        <v>4017</v>
      </c>
      <c r="G14482" s="46">
        <v>8.904435850895E12</v>
      </c>
      <c r="H14482" s="46" t="s">
        <v>4018</v>
      </c>
      <c r="I14482" s="46" t="s">
        <v>4019</v>
      </c>
      <c r="J14482" s="46" t="s">
        <v>132</v>
      </c>
      <c r="K14482" s="46" t="s">
        <v>126</v>
      </c>
      <c r="L14482" s="45">
        <v>46016.541666666664</v>
      </c>
      <c r="M14482" s="46" t="s">
        <v>123</v>
      </c>
      <c r="N14482" s="45">
        <v>46016.583333333336</v>
      </c>
      <c r="O14482" s="46" t="s">
        <v>123</v>
      </c>
      <c r="P14482" s="46">
        <v>3600.0</v>
      </c>
    </row>
    <row r="14483">
      <c r="A14483" s="40">
        <f t="shared" si="1"/>
        <v>46013</v>
      </c>
      <c r="B14483" s="37" t="str">
        <f t="array" ref="B14483">iferror(xlookup($I14483, 'IMPORT VHC Report'!$E:$E, 'IMPORT VHC Report'!$A:$C), )</f>
        <v/>
      </c>
      <c r="C14483" s="44"/>
      <c r="D14483" s="44"/>
      <c r="E14483" s="46" t="s">
        <v>10620</v>
      </c>
      <c r="F14483" s="46" t="s">
        <v>4017</v>
      </c>
      <c r="G14483" s="46">
        <v>8.904435850895E12</v>
      </c>
      <c r="H14483" s="46" t="s">
        <v>4018</v>
      </c>
      <c r="I14483" s="46" t="s">
        <v>4019</v>
      </c>
      <c r="J14483" s="46" t="s">
        <v>134</v>
      </c>
      <c r="K14483" s="46" t="s">
        <v>126</v>
      </c>
      <c r="L14483" s="45">
        <v>46016.583333333336</v>
      </c>
      <c r="M14483" s="46" t="s">
        <v>123</v>
      </c>
      <c r="N14483" s="45">
        <v>46016.604166666664</v>
      </c>
      <c r="O14483" s="46" t="s">
        <v>123</v>
      </c>
      <c r="P14483" s="46">
        <v>1800.0</v>
      </c>
    </row>
    <row r="14484">
      <c r="A14484" s="40">
        <f t="shared" si="1"/>
        <v>46013</v>
      </c>
      <c r="B14484" s="37" t="str">
        <f t="array" ref="B14484">iferror(xlookup($I14484, 'IMPORT VHC Report'!$E:$E, 'IMPORT VHC Report'!$A:$C), )</f>
        <v/>
      </c>
      <c r="C14484" s="44"/>
      <c r="D14484" s="44"/>
      <c r="E14484" s="46" t="s">
        <v>10621</v>
      </c>
      <c r="F14484" s="46" t="s">
        <v>4017</v>
      </c>
      <c r="G14484" s="46">
        <v>8.904435850895E12</v>
      </c>
      <c r="H14484" s="46" t="s">
        <v>4018</v>
      </c>
      <c r="I14484" s="46" t="s">
        <v>4019</v>
      </c>
      <c r="J14484" s="46" t="s">
        <v>125</v>
      </c>
      <c r="K14484" s="46" t="s">
        <v>126</v>
      </c>
      <c r="L14484" s="45">
        <v>46019.5</v>
      </c>
      <c r="M14484" s="46" t="s">
        <v>123</v>
      </c>
      <c r="N14484" s="45">
        <v>46019.510416666664</v>
      </c>
      <c r="O14484" s="46" t="s">
        <v>123</v>
      </c>
      <c r="P14484" s="46">
        <v>900.0</v>
      </c>
      <c r="S14484" s="46" t="s">
        <v>199</v>
      </c>
    </row>
    <row r="14485">
      <c r="A14485" s="40">
        <f t="shared" si="1"/>
        <v>46013</v>
      </c>
      <c r="B14485" s="37" t="str">
        <f t="array" ref="B14485">iferror(xlookup($I14485, 'IMPORT VHC Report'!$E:$E, 'IMPORT VHC Report'!$A:$C), )</f>
        <v/>
      </c>
      <c r="C14485" s="44"/>
      <c r="D14485" s="44"/>
      <c r="E14485" s="46" t="s">
        <v>10622</v>
      </c>
      <c r="F14485" s="46" t="s">
        <v>4017</v>
      </c>
      <c r="G14485" s="46">
        <v>8.904435850895E12</v>
      </c>
      <c r="H14485" s="46" t="s">
        <v>4018</v>
      </c>
      <c r="I14485" s="46" t="s">
        <v>4019</v>
      </c>
      <c r="J14485" s="46" t="s">
        <v>196</v>
      </c>
      <c r="K14485" s="46" t="s">
        <v>63</v>
      </c>
      <c r="L14485" s="45">
        <v>46019.5</v>
      </c>
      <c r="M14485" s="46" t="s">
        <v>123</v>
      </c>
      <c r="N14485" s="45">
        <v>46019.875</v>
      </c>
      <c r="O14485" s="46" t="s">
        <v>123</v>
      </c>
      <c r="P14485" s="46">
        <v>32400.0</v>
      </c>
    </row>
    <row r="14486">
      <c r="A14486" s="40">
        <f t="shared" si="1"/>
        <v>46013</v>
      </c>
      <c r="B14486" s="37" t="str">
        <f t="array" ref="B14486">iferror(xlookup($I14486, 'IMPORT VHC Report'!$E:$E, 'IMPORT VHC Report'!$A:$C), )</f>
        <v/>
      </c>
      <c r="C14486" s="44"/>
      <c r="D14486" s="44"/>
      <c r="E14486" s="46" t="s">
        <v>10623</v>
      </c>
      <c r="F14486" s="46" t="s">
        <v>4017</v>
      </c>
      <c r="G14486" s="46">
        <v>8.904435850895E12</v>
      </c>
      <c r="H14486" s="46" t="s">
        <v>4018</v>
      </c>
      <c r="I14486" s="46" t="s">
        <v>4019</v>
      </c>
      <c r="J14486" s="46" t="s">
        <v>134</v>
      </c>
      <c r="K14486" s="46" t="s">
        <v>126</v>
      </c>
      <c r="L14486" s="45">
        <v>46019.614583333336</v>
      </c>
      <c r="M14486" s="46" t="s">
        <v>123</v>
      </c>
      <c r="N14486" s="45">
        <v>46019.635416666664</v>
      </c>
      <c r="O14486" s="46" t="s">
        <v>123</v>
      </c>
      <c r="P14486" s="46">
        <v>1800.0</v>
      </c>
    </row>
    <row r="14487">
      <c r="A14487" s="40">
        <f t="shared" si="1"/>
        <v>46013</v>
      </c>
      <c r="B14487" s="37" t="str">
        <f t="array" ref="B14487">iferror(xlookup($I14487, 'IMPORT VHC Report'!$E:$E, 'IMPORT VHC Report'!$A:$C), )</f>
        <v/>
      </c>
      <c r="C14487" s="44"/>
      <c r="D14487" s="44"/>
      <c r="E14487" s="46" t="s">
        <v>10624</v>
      </c>
      <c r="F14487" s="46" t="s">
        <v>4017</v>
      </c>
      <c r="G14487" s="46">
        <v>8.904435850895E12</v>
      </c>
      <c r="H14487" s="46" t="s">
        <v>4018</v>
      </c>
      <c r="I14487" s="46" t="s">
        <v>4019</v>
      </c>
      <c r="J14487" s="46" t="s">
        <v>132</v>
      </c>
      <c r="K14487" s="46" t="s">
        <v>126</v>
      </c>
      <c r="L14487" s="45">
        <v>46019.75</v>
      </c>
      <c r="M14487" s="46" t="s">
        <v>123</v>
      </c>
      <c r="N14487" s="45">
        <v>46019.791666666664</v>
      </c>
      <c r="O14487" s="46" t="s">
        <v>123</v>
      </c>
      <c r="P14487" s="46">
        <v>3600.0</v>
      </c>
    </row>
    <row r="14488">
      <c r="A14488" s="40">
        <f t="shared" si="1"/>
        <v>46013</v>
      </c>
      <c r="B14488" s="37" t="str">
        <f t="array" ref="B14488">iferror(xlookup($I14488, 'IMPORT VHC Report'!$E:$E, 'IMPORT VHC Report'!$A:$C), )</f>
        <v/>
      </c>
      <c r="C14488" s="44"/>
      <c r="D14488" s="44"/>
      <c r="E14488" s="46" t="s">
        <v>10625</v>
      </c>
      <c r="F14488" s="46" t="s">
        <v>4485</v>
      </c>
      <c r="G14488" s="46">
        <v>1.0333019153039E13</v>
      </c>
      <c r="H14488" s="46" t="s">
        <v>4486</v>
      </c>
      <c r="I14488" s="46" t="s">
        <v>4487</v>
      </c>
      <c r="J14488" s="46" t="s">
        <v>125</v>
      </c>
      <c r="K14488" s="46" t="s">
        <v>126</v>
      </c>
      <c r="L14488" s="45">
        <v>46013.625</v>
      </c>
      <c r="M14488" s="46" t="s">
        <v>123</v>
      </c>
      <c r="N14488" s="45">
        <v>46013.635416666664</v>
      </c>
      <c r="O14488" s="46" t="s">
        <v>123</v>
      </c>
      <c r="P14488" s="46">
        <v>900.0</v>
      </c>
      <c r="S14488" s="46" t="s">
        <v>199</v>
      </c>
    </row>
    <row r="14489">
      <c r="A14489" s="40">
        <f t="shared" si="1"/>
        <v>46013</v>
      </c>
      <c r="B14489" s="37" t="str">
        <f t="array" ref="B14489">iferror(xlookup($I14489, 'IMPORT VHC Report'!$E:$E, 'IMPORT VHC Report'!$A:$C), )</f>
        <v/>
      </c>
      <c r="C14489" s="44"/>
      <c r="D14489" s="44"/>
      <c r="E14489" s="46" t="s">
        <v>10626</v>
      </c>
      <c r="F14489" s="46" t="s">
        <v>4485</v>
      </c>
      <c r="G14489" s="46">
        <v>1.0333019153039E13</v>
      </c>
      <c r="H14489" s="46" t="s">
        <v>4486</v>
      </c>
      <c r="I14489" s="46" t="s">
        <v>4487</v>
      </c>
      <c r="J14489" s="46" t="s">
        <v>196</v>
      </c>
      <c r="K14489" s="46" t="s">
        <v>63</v>
      </c>
      <c r="L14489" s="45">
        <v>46013.625</v>
      </c>
      <c r="M14489" s="46" t="s">
        <v>123</v>
      </c>
      <c r="N14489" s="45">
        <v>46014.0</v>
      </c>
      <c r="O14489" s="46" t="s">
        <v>123</v>
      </c>
      <c r="P14489" s="46">
        <v>32400.0</v>
      </c>
    </row>
    <row r="14490">
      <c r="A14490" s="40">
        <f t="shared" si="1"/>
        <v>46013</v>
      </c>
      <c r="B14490" s="37" t="str">
        <f t="array" ref="B14490">iferror(xlookup($I14490, 'IMPORT VHC Report'!$E:$E, 'IMPORT VHC Report'!$A:$C), )</f>
        <v/>
      </c>
      <c r="C14490" s="44"/>
      <c r="D14490" s="44"/>
      <c r="E14490" s="46" t="s">
        <v>10627</v>
      </c>
      <c r="F14490" s="46" t="s">
        <v>4485</v>
      </c>
      <c r="G14490" s="46">
        <v>1.0333019153039E13</v>
      </c>
      <c r="H14490" s="46" t="s">
        <v>4486</v>
      </c>
      <c r="I14490" s="46" t="s">
        <v>4487</v>
      </c>
      <c r="J14490" s="46" t="s">
        <v>134</v>
      </c>
      <c r="K14490" s="46" t="s">
        <v>126</v>
      </c>
      <c r="L14490" s="45">
        <v>46013.739583333336</v>
      </c>
      <c r="M14490" s="46" t="s">
        <v>123</v>
      </c>
      <c r="N14490" s="45">
        <v>46013.760416666664</v>
      </c>
      <c r="O14490" s="46" t="s">
        <v>123</v>
      </c>
      <c r="P14490" s="46">
        <v>1800.0</v>
      </c>
    </row>
    <row r="14491">
      <c r="A14491" s="40">
        <f t="shared" si="1"/>
        <v>46013</v>
      </c>
      <c r="B14491" s="37" t="str">
        <f t="array" ref="B14491">iferror(xlookup($I14491, 'IMPORT VHC Report'!$E:$E, 'IMPORT VHC Report'!$A:$C), )</f>
        <v/>
      </c>
      <c r="C14491" s="44"/>
      <c r="D14491" s="44"/>
      <c r="E14491" s="46" t="s">
        <v>10628</v>
      </c>
      <c r="F14491" s="46" t="s">
        <v>4485</v>
      </c>
      <c r="G14491" s="46">
        <v>1.0333019153039E13</v>
      </c>
      <c r="H14491" s="46" t="s">
        <v>4486</v>
      </c>
      <c r="I14491" s="46" t="s">
        <v>4487</v>
      </c>
      <c r="J14491" s="46" t="s">
        <v>132</v>
      </c>
      <c r="K14491" s="46" t="s">
        <v>126</v>
      </c>
      <c r="L14491" s="45">
        <v>46013.875</v>
      </c>
      <c r="M14491" s="46" t="s">
        <v>123</v>
      </c>
      <c r="N14491" s="45">
        <v>46013.916666666664</v>
      </c>
      <c r="O14491" s="46" t="s">
        <v>123</v>
      </c>
      <c r="P14491" s="46">
        <v>3600.0</v>
      </c>
    </row>
    <row r="14492">
      <c r="A14492" s="40">
        <f t="shared" si="1"/>
        <v>46013</v>
      </c>
      <c r="B14492" s="37" t="str">
        <f t="array" ref="B14492">iferror(xlookup($I14492, 'IMPORT VHC Report'!$E:$E, 'IMPORT VHC Report'!$A:$C), )</f>
        <v/>
      </c>
      <c r="C14492" s="44"/>
      <c r="D14492" s="44"/>
      <c r="E14492" s="46" t="s">
        <v>10629</v>
      </c>
      <c r="F14492" s="46" t="s">
        <v>4485</v>
      </c>
      <c r="G14492" s="46">
        <v>1.0333019153039E13</v>
      </c>
      <c r="H14492" s="46" t="s">
        <v>4486</v>
      </c>
      <c r="I14492" s="46" t="s">
        <v>4487</v>
      </c>
      <c r="J14492" s="46" t="s">
        <v>125</v>
      </c>
      <c r="K14492" s="46" t="s">
        <v>126</v>
      </c>
      <c r="L14492" s="45">
        <v>46014.625</v>
      </c>
      <c r="M14492" s="46" t="s">
        <v>123</v>
      </c>
      <c r="N14492" s="45">
        <v>46014.635416666664</v>
      </c>
      <c r="O14492" s="46" t="s">
        <v>123</v>
      </c>
      <c r="P14492" s="46">
        <v>900.0</v>
      </c>
      <c r="S14492" s="46" t="s">
        <v>199</v>
      </c>
    </row>
    <row r="14493">
      <c r="A14493" s="40">
        <f t="shared" si="1"/>
        <v>46013</v>
      </c>
      <c r="B14493" s="37" t="str">
        <f t="array" ref="B14493">iferror(xlookup($I14493, 'IMPORT VHC Report'!$E:$E, 'IMPORT VHC Report'!$A:$C), )</f>
        <v/>
      </c>
      <c r="C14493" s="44"/>
      <c r="D14493" s="44"/>
      <c r="E14493" s="46" t="s">
        <v>10630</v>
      </c>
      <c r="F14493" s="46" t="s">
        <v>4485</v>
      </c>
      <c r="G14493" s="46">
        <v>1.0333019153039E13</v>
      </c>
      <c r="H14493" s="46" t="s">
        <v>4486</v>
      </c>
      <c r="I14493" s="46" t="s">
        <v>4487</v>
      </c>
      <c r="J14493" s="46" t="s">
        <v>196</v>
      </c>
      <c r="K14493" s="46" t="s">
        <v>63</v>
      </c>
      <c r="L14493" s="45">
        <v>46014.625</v>
      </c>
      <c r="M14493" s="46" t="s">
        <v>123</v>
      </c>
      <c r="N14493" s="45">
        <v>46015.0</v>
      </c>
      <c r="O14493" s="46" t="s">
        <v>123</v>
      </c>
      <c r="P14493" s="46">
        <v>32400.0</v>
      </c>
    </row>
    <row r="14494">
      <c r="A14494" s="40">
        <f t="shared" si="1"/>
        <v>46013</v>
      </c>
      <c r="B14494" s="37" t="str">
        <f t="array" ref="B14494">iferror(xlookup($I14494, 'IMPORT VHC Report'!$E:$E, 'IMPORT VHC Report'!$A:$C), )</f>
        <v/>
      </c>
      <c r="C14494" s="44"/>
      <c r="D14494" s="44"/>
      <c r="E14494" s="46" t="s">
        <v>10631</v>
      </c>
      <c r="F14494" s="46" t="s">
        <v>4485</v>
      </c>
      <c r="G14494" s="46">
        <v>1.0333019153039E13</v>
      </c>
      <c r="H14494" s="46" t="s">
        <v>4486</v>
      </c>
      <c r="I14494" s="46" t="s">
        <v>4487</v>
      </c>
      <c r="J14494" s="46" t="s">
        <v>136</v>
      </c>
      <c r="K14494" s="46" t="s">
        <v>126</v>
      </c>
      <c r="L14494" s="45">
        <v>46014.67222222222</v>
      </c>
      <c r="M14494" s="46" t="s">
        <v>123</v>
      </c>
      <c r="N14494" s="45">
        <v>46014.722916666666</v>
      </c>
      <c r="O14494" s="46" t="s">
        <v>123</v>
      </c>
      <c r="P14494" s="46">
        <v>4380.0</v>
      </c>
      <c r="S14494" s="46" t="s">
        <v>10632</v>
      </c>
    </row>
    <row r="14495">
      <c r="A14495" s="40">
        <f t="shared" si="1"/>
        <v>46013</v>
      </c>
      <c r="B14495" s="37" t="str">
        <f t="array" ref="B14495">iferror(xlookup($I14495, 'IMPORT VHC Report'!$E:$E, 'IMPORT VHC Report'!$A:$C), )</f>
        <v/>
      </c>
      <c r="C14495" s="44"/>
      <c r="D14495" s="44"/>
      <c r="E14495" s="46" t="s">
        <v>10633</v>
      </c>
      <c r="F14495" s="46" t="s">
        <v>4485</v>
      </c>
      <c r="G14495" s="46">
        <v>1.0333019153039E13</v>
      </c>
      <c r="H14495" s="46" t="s">
        <v>4486</v>
      </c>
      <c r="I14495" s="46" t="s">
        <v>4487</v>
      </c>
      <c r="J14495" s="46" t="s">
        <v>134</v>
      </c>
      <c r="K14495" s="46" t="s">
        <v>126</v>
      </c>
      <c r="L14495" s="45">
        <v>46014.739583333336</v>
      </c>
      <c r="M14495" s="46" t="s">
        <v>123</v>
      </c>
      <c r="N14495" s="45">
        <v>46014.760416666664</v>
      </c>
      <c r="O14495" s="46" t="s">
        <v>123</v>
      </c>
      <c r="P14495" s="46">
        <v>1800.0</v>
      </c>
    </row>
    <row r="14496">
      <c r="A14496" s="40">
        <f t="shared" si="1"/>
        <v>46013</v>
      </c>
      <c r="B14496" s="37" t="str">
        <f t="array" ref="B14496">iferror(xlookup($I14496, 'IMPORT VHC Report'!$E:$E, 'IMPORT VHC Report'!$A:$C), )</f>
        <v/>
      </c>
      <c r="C14496" s="44"/>
      <c r="D14496" s="44"/>
      <c r="E14496" s="46" t="s">
        <v>10634</v>
      </c>
      <c r="F14496" s="46" t="s">
        <v>4485</v>
      </c>
      <c r="G14496" s="46">
        <v>1.0333019153039E13</v>
      </c>
      <c r="H14496" s="46" t="s">
        <v>4486</v>
      </c>
      <c r="I14496" s="46" t="s">
        <v>4487</v>
      </c>
      <c r="J14496" s="46" t="s">
        <v>132</v>
      </c>
      <c r="K14496" s="46" t="s">
        <v>126</v>
      </c>
      <c r="L14496" s="45">
        <v>46014.864583333336</v>
      </c>
      <c r="M14496" s="46" t="s">
        <v>123</v>
      </c>
      <c r="N14496" s="45">
        <v>46014.90625</v>
      </c>
      <c r="O14496" s="46" t="s">
        <v>123</v>
      </c>
      <c r="P14496" s="46">
        <v>3600.0</v>
      </c>
    </row>
    <row r="14497">
      <c r="A14497" s="40">
        <f t="shared" si="1"/>
        <v>46013</v>
      </c>
      <c r="B14497" s="37" t="str">
        <f t="array" ref="B14497">iferror(xlookup($I14497, 'IMPORT VHC Report'!$E:$E, 'IMPORT VHC Report'!$A:$C), )</f>
        <v/>
      </c>
      <c r="C14497" s="44"/>
      <c r="D14497" s="44"/>
      <c r="E14497" s="46" t="s">
        <v>10635</v>
      </c>
      <c r="F14497" s="46" t="s">
        <v>4485</v>
      </c>
      <c r="G14497" s="46">
        <v>1.0333019153039E13</v>
      </c>
      <c r="H14497" s="46" t="s">
        <v>4486</v>
      </c>
      <c r="I14497" s="46" t="s">
        <v>4487</v>
      </c>
      <c r="J14497" s="46" t="s">
        <v>125</v>
      </c>
      <c r="K14497" s="46" t="s">
        <v>126</v>
      </c>
      <c r="L14497" s="45">
        <v>46015.625</v>
      </c>
      <c r="M14497" s="46" t="s">
        <v>123</v>
      </c>
      <c r="N14497" s="45">
        <v>46015.635416666664</v>
      </c>
      <c r="O14497" s="46" t="s">
        <v>123</v>
      </c>
      <c r="P14497" s="46">
        <v>900.0</v>
      </c>
      <c r="S14497" s="46" t="s">
        <v>199</v>
      </c>
    </row>
    <row r="14498">
      <c r="A14498" s="40">
        <f t="shared" si="1"/>
        <v>46013</v>
      </c>
      <c r="B14498" s="37" t="str">
        <f t="array" ref="B14498">iferror(xlookup($I14498, 'IMPORT VHC Report'!$E:$E, 'IMPORT VHC Report'!$A:$C), )</f>
        <v/>
      </c>
      <c r="C14498" s="44"/>
      <c r="D14498" s="44"/>
      <c r="E14498" s="46" t="s">
        <v>10636</v>
      </c>
      <c r="F14498" s="46" t="s">
        <v>4485</v>
      </c>
      <c r="G14498" s="46">
        <v>1.0333019153039E13</v>
      </c>
      <c r="H14498" s="46" t="s">
        <v>4486</v>
      </c>
      <c r="I14498" s="46" t="s">
        <v>4487</v>
      </c>
      <c r="J14498" s="46" t="s">
        <v>196</v>
      </c>
      <c r="K14498" s="46" t="s">
        <v>63</v>
      </c>
      <c r="L14498" s="45">
        <v>46015.625</v>
      </c>
      <c r="M14498" s="46" t="s">
        <v>123</v>
      </c>
      <c r="N14498" s="45">
        <v>46016.0</v>
      </c>
      <c r="O14498" s="46" t="s">
        <v>123</v>
      </c>
      <c r="P14498" s="46">
        <v>32400.0</v>
      </c>
    </row>
    <row r="14499">
      <c r="A14499" s="40">
        <f t="shared" si="1"/>
        <v>46013</v>
      </c>
      <c r="B14499" s="37" t="str">
        <f t="array" ref="B14499">iferror(xlookup($I14499, 'IMPORT VHC Report'!$E:$E, 'IMPORT VHC Report'!$A:$C), )</f>
        <v/>
      </c>
      <c r="C14499" s="44"/>
      <c r="D14499" s="44"/>
      <c r="E14499" s="46" t="s">
        <v>10637</v>
      </c>
      <c r="F14499" s="46" t="s">
        <v>4485</v>
      </c>
      <c r="G14499" s="46">
        <v>1.0333019153039E13</v>
      </c>
      <c r="H14499" s="46" t="s">
        <v>4486</v>
      </c>
      <c r="I14499" s="46" t="s">
        <v>4487</v>
      </c>
      <c r="J14499" s="46" t="s">
        <v>178</v>
      </c>
      <c r="K14499" s="46" t="s">
        <v>153</v>
      </c>
      <c r="L14499" s="45">
        <v>46015.625</v>
      </c>
      <c r="M14499" s="46" t="s">
        <v>123</v>
      </c>
      <c r="N14499" s="45">
        <v>46016.0</v>
      </c>
      <c r="O14499" s="46" t="s">
        <v>123</v>
      </c>
      <c r="P14499" s="46">
        <v>32400.0</v>
      </c>
      <c r="Q14499" s="46">
        <v>57600.0</v>
      </c>
      <c r="R14499" s="46" t="s">
        <v>10638</v>
      </c>
    </row>
    <row r="14500">
      <c r="A14500" s="40">
        <f t="shared" si="1"/>
        <v>46013</v>
      </c>
      <c r="B14500" s="37" t="str">
        <f t="array" ref="B14500">iferror(xlookup($I14500, 'IMPORT VHC Report'!$E:$E, 'IMPORT VHC Report'!$A:$C), )</f>
        <v/>
      </c>
      <c r="C14500" s="44"/>
      <c r="D14500" s="44"/>
      <c r="E14500" s="46" t="s">
        <v>10639</v>
      </c>
      <c r="F14500" s="46" t="s">
        <v>4485</v>
      </c>
      <c r="G14500" s="46">
        <v>1.0333019153039E13</v>
      </c>
      <c r="H14500" s="46" t="s">
        <v>4486</v>
      </c>
      <c r="I14500" s="46" t="s">
        <v>4487</v>
      </c>
      <c r="J14500" s="46" t="s">
        <v>132</v>
      </c>
      <c r="K14500" s="46" t="s">
        <v>126</v>
      </c>
      <c r="L14500" s="45">
        <v>46015.760416666664</v>
      </c>
      <c r="M14500" s="46" t="s">
        <v>123</v>
      </c>
      <c r="N14500" s="45">
        <v>46015.802083333336</v>
      </c>
      <c r="O14500" s="46" t="s">
        <v>123</v>
      </c>
      <c r="P14500" s="46">
        <v>3600.0</v>
      </c>
    </row>
    <row r="14501">
      <c r="A14501" s="40">
        <f t="shared" si="1"/>
        <v>46013</v>
      </c>
      <c r="B14501" s="37" t="str">
        <f t="array" ref="B14501">iferror(xlookup($I14501, 'IMPORT VHC Report'!$E:$E, 'IMPORT VHC Report'!$A:$C), )</f>
        <v/>
      </c>
      <c r="C14501" s="44"/>
      <c r="D14501" s="44"/>
      <c r="E14501" s="46" t="s">
        <v>10640</v>
      </c>
      <c r="F14501" s="46" t="s">
        <v>4485</v>
      </c>
      <c r="G14501" s="46">
        <v>1.0333019153039E13</v>
      </c>
      <c r="H14501" s="46" t="s">
        <v>4486</v>
      </c>
      <c r="I14501" s="46" t="s">
        <v>4487</v>
      </c>
      <c r="J14501" s="46" t="s">
        <v>134</v>
      </c>
      <c r="K14501" s="46" t="s">
        <v>126</v>
      </c>
      <c r="L14501" s="45">
        <v>46015.916666666664</v>
      </c>
      <c r="M14501" s="46" t="s">
        <v>123</v>
      </c>
      <c r="N14501" s="45">
        <v>46015.9375</v>
      </c>
      <c r="O14501" s="46" t="s">
        <v>123</v>
      </c>
      <c r="P14501" s="46">
        <v>1800.0</v>
      </c>
    </row>
    <row r="14502">
      <c r="A14502" s="40">
        <f t="shared" si="1"/>
        <v>46013</v>
      </c>
      <c r="B14502" s="37" t="str">
        <f t="array" ref="B14502">iferror(xlookup($I14502, 'IMPORT VHC Report'!$E:$E, 'IMPORT VHC Report'!$A:$C), )</f>
        <v/>
      </c>
      <c r="C14502" s="44"/>
      <c r="D14502" s="44"/>
      <c r="E14502" s="46" t="s">
        <v>10641</v>
      </c>
      <c r="F14502" s="46" t="s">
        <v>4485</v>
      </c>
      <c r="G14502" s="46">
        <v>1.0333019153039E13</v>
      </c>
      <c r="H14502" s="46" t="s">
        <v>4486</v>
      </c>
      <c r="I14502" s="46" t="s">
        <v>4487</v>
      </c>
      <c r="J14502" s="46" t="s">
        <v>125</v>
      </c>
      <c r="K14502" s="46" t="s">
        <v>126</v>
      </c>
      <c r="L14502" s="45">
        <v>46016.625</v>
      </c>
      <c r="M14502" s="46" t="s">
        <v>123</v>
      </c>
      <c r="N14502" s="45">
        <v>46016.635416666664</v>
      </c>
      <c r="O14502" s="46" t="s">
        <v>123</v>
      </c>
      <c r="P14502" s="46">
        <v>900.0</v>
      </c>
      <c r="S14502" s="46" t="s">
        <v>199</v>
      </c>
    </row>
    <row r="14503">
      <c r="A14503" s="40">
        <f t="shared" si="1"/>
        <v>46013</v>
      </c>
      <c r="B14503" s="37" t="str">
        <f t="array" ref="B14503">iferror(xlookup($I14503, 'IMPORT VHC Report'!$E:$E, 'IMPORT VHC Report'!$A:$C), )</f>
        <v/>
      </c>
      <c r="C14503" s="44"/>
      <c r="D14503" s="44"/>
      <c r="E14503" s="46" t="s">
        <v>10642</v>
      </c>
      <c r="F14503" s="46" t="s">
        <v>4485</v>
      </c>
      <c r="G14503" s="46">
        <v>1.0333019153039E13</v>
      </c>
      <c r="H14503" s="46" t="s">
        <v>4486</v>
      </c>
      <c r="I14503" s="46" t="s">
        <v>4487</v>
      </c>
      <c r="J14503" s="46" t="s">
        <v>196</v>
      </c>
      <c r="K14503" s="46" t="s">
        <v>63</v>
      </c>
      <c r="L14503" s="45">
        <v>46016.625</v>
      </c>
      <c r="M14503" s="46" t="s">
        <v>123</v>
      </c>
      <c r="N14503" s="45">
        <v>46016.854166666664</v>
      </c>
      <c r="O14503" s="46" t="s">
        <v>123</v>
      </c>
      <c r="P14503" s="46">
        <v>19800.0</v>
      </c>
    </row>
    <row r="14504">
      <c r="A14504" s="40">
        <f t="shared" si="1"/>
        <v>46013</v>
      </c>
      <c r="B14504" s="37" t="str">
        <f t="array" ref="B14504">iferror(xlookup($I14504, 'IMPORT VHC Report'!$E:$E, 'IMPORT VHC Report'!$A:$C), )</f>
        <v/>
      </c>
      <c r="C14504" s="44"/>
      <c r="D14504" s="44"/>
      <c r="E14504" s="46" t="s">
        <v>10643</v>
      </c>
      <c r="F14504" s="46" t="s">
        <v>4485</v>
      </c>
      <c r="G14504" s="46">
        <v>1.0333019153039E13</v>
      </c>
      <c r="H14504" s="46" t="s">
        <v>4486</v>
      </c>
      <c r="I14504" s="46" t="s">
        <v>4487</v>
      </c>
      <c r="J14504" s="46" t="s">
        <v>178</v>
      </c>
      <c r="K14504" s="46" t="s">
        <v>153</v>
      </c>
      <c r="L14504" s="45">
        <v>46016.625</v>
      </c>
      <c r="M14504" s="46" t="s">
        <v>123</v>
      </c>
      <c r="N14504" s="45">
        <v>46017.0</v>
      </c>
      <c r="O14504" s="46" t="s">
        <v>123</v>
      </c>
      <c r="P14504" s="46">
        <v>32400.0</v>
      </c>
      <c r="Q14504" s="46">
        <v>32400.0</v>
      </c>
    </row>
    <row r="14505">
      <c r="A14505" s="40">
        <f t="shared" si="1"/>
        <v>46013</v>
      </c>
      <c r="B14505" s="37" t="str">
        <f t="array" ref="B14505">iferror(xlookup($I14505, 'IMPORT VHC Report'!$E:$E, 'IMPORT VHC Report'!$A:$C), )</f>
        <v/>
      </c>
      <c r="C14505" s="44"/>
      <c r="D14505" s="44"/>
      <c r="E14505" s="46" t="s">
        <v>10644</v>
      </c>
      <c r="F14505" s="46" t="s">
        <v>4485</v>
      </c>
      <c r="G14505" s="46">
        <v>1.0333019153039E13</v>
      </c>
      <c r="H14505" s="46" t="s">
        <v>4486</v>
      </c>
      <c r="I14505" s="46" t="s">
        <v>4487</v>
      </c>
      <c r="J14505" s="46" t="s">
        <v>134</v>
      </c>
      <c r="K14505" s="46" t="s">
        <v>126</v>
      </c>
      <c r="L14505" s="45">
        <v>46016.75</v>
      </c>
      <c r="M14505" s="46" t="s">
        <v>123</v>
      </c>
      <c r="N14505" s="45">
        <v>46016.770833333336</v>
      </c>
      <c r="O14505" s="46" t="s">
        <v>123</v>
      </c>
      <c r="P14505" s="46">
        <v>1800.0</v>
      </c>
    </row>
    <row r="14506">
      <c r="A14506" s="40">
        <f t="shared" si="1"/>
        <v>46013</v>
      </c>
      <c r="B14506" s="37" t="str">
        <f t="array" ref="B14506">iferror(xlookup($I14506, 'IMPORT VHC Report'!$E:$E, 'IMPORT VHC Report'!$A:$C), )</f>
        <v/>
      </c>
      <c r="C14506" s="44"/>
      <c r="D14506" s="44"/>
      <c r="E14506" s="46" t="s">
        <v>10645</v>
      </c>
      <c r="F14506" s="46" t="s">
        <v>4485</v>
      </c>
      <c r="G14506" s="46">
        <v>1.0333019153039E13</v>
      </c>
      <c r="H14506" s="46" t="s">
        <v>4486</v>
      </c>
      <c r="I14506" s="46" t="s">
        <v>4487</v>
      </c>
      <c r="J14506" s="46" t="s">
        <v>62</v>
      </c>
      <c r="K14506" s="46" t="s">
        <v>63</v>
      </c>
      <c r="L14506" s="45">
        <v>46016.854166666664</v>
      </c>
      <c r="M14506" s="46" t="s">
        <v>123</v>
      </c>
      <c r="N14506" s="45">
        <v>46016.875</v>
      </c>
      <c r="O14506" s="46" t="s">
        <v>123</v>
      </c>
      <c r="P14506" s="46">
        <v>1800.0</v>
      </c>
    </row>
    <row r="14507">
      <c r="A14507" s="40">
        <f t="shared" si="1"/>
        <v>46013</v>
      </c>
      <c r="B14507" s="37" t="str">
        <f t="array" ref="B14507">iferror(xlookup($I14507, 'IMPORT VHC Report'!$E:$E, 'IMPORT VHC Report'!$A:$C), )</f>
        <v/>
      </c>
      <c r="C14507" s="44"/>
      <c r="D14507" s="44"/>
      <c r="E14507" s="46" t="s">
        <v>10646</v>
      </c>
      <c r="F14507" s="46" t="s">
        <v>4485</v>
      </c>
      <c r="G14507" s="46">
        <v>1.0333019153039E13</v>
      </c>
      <c r="H14507" s="46" t="s">
        <v>4486</v>
      </c>
      <c r="I14507" s="46" t="s">
        <v>4487</v>
      </c>
      <c r="J14507" s="46" t="s">
        <v>196</v>
      </c>
      <c r="K14507" s="46" t="s">
        <v>63</v>
      </c>
      <c r="L14507" s="45">
        <v>46016.875</v>
      </c>
      <c r="M14507" s="46" t="s">
        <v>123</v>
      </c>
      <c r="N14507" s="45">
        <v>46017.0</v>
      </c>
      <c r="O14507" s="46" t="s">
        <v>123</v>
      </c>
      <c r="P14507" s="46">
        <v>10800.0</v>
      </c>
    </row>
    <row r="14508">
      <c r="A14508" s="40">
        <f t="shared" si="1"/>
        <v>46013</v>
      </c>
      <c r="B14508" s="37" t="str">
        <f t="array" ref="B14508">iferror(xlookup($I14508, 'IMPORT VHC Report'!$E:$E, 'IMPORT VHC Report'!$A:$C), )</f>
        <v/>
      </c>
      <c r="C14508" s="44"/>
      <c r="D14508" s="44"/>
      <c r="E14508" s="46" t="s">
        <v>10647</v>
      </c>
      <c r="F14508" s="46" t="s">
        <v>4485</v>
      </c>
      <c r="G14508" s="46">
        <v>1.0333019153039E13</v>
      </c>
      <c r="H14508" s="46" t="s">
        <v>4486</v>
      </c>
      <c r="I14508" s="46" t="s">
        <v>4487</v>
      </c>
      <c r="J14508" s="46" t="s">
        <v>132</v>
      </c>
      <c r="K14508" s="46" t="s">
        <v>126</v>
      </c>
      <c r="L14508" s="45">
        <v>46016.895833333336</v>
      </c>
      <c r="M14508" s="46" t="s">
        <v>123</v>
      </c>
      <c r="N14508" s="45">
        <v>46016.9375</v>
      </c>
      <c r="O14508" s="46" t="s">
        <v>123</v>
      </c>
      <c r="P14508" s="46">
        <v>3600.0</v>
      </c>
    </row>
    <row r="14509">
      <c r="A14509" s="40">
        <f t="shared" si="1"/>
        <v>46013</v>
      </c>
      <c r="B14509" s="37" t="str">
        <f t="array" ref="B14509">iferror(xlookup($I14509, 'IMPORT VHC Report'!$E:$E, 'IMPORT VHC Report'!$A:$C), )</f>
        <v/>
      </c>
      <c r="C14509" s="44"/>
      <c r="D14509" s="44"/>
      <c r="E14509" s="46" t="s">
        <v>10648</v>
      </c>
      <c r="F14509" s="46" t="s">
        <v>4485</v>
      </c>
      <c r="G14509" s="46">
        <v>1.0333019153039E13</v>
      </c>
      <c r="H14509" s="46" t="s">
        <v>4486</v>
      </c>
      <c r="I14509" s="46" t="s">
        <v>4487</v>
      </c>
      <c r="J14509" s="46" t="s">
        <v>125</v>
      </c>
      <c r="K14509" s="46" t="s">
        <v>126</v>
      </c>
      <c r="L14509" s="45">
        <v>46019.625</v>
      </c>
      <c r="M14509" s="46" t="s">
        <v>123</v>
      </c>
      <c r="N14509" s="45">
        <v>46019.635416666664</v>
      </c>
      <c r="O14509" s="46" t="s">
        <v>123</v>
      </c>
      <c r="P14509" s="46">
        <v>900.0</v>
      </c>
      <c r="S14509" s="46" t="s">
        <v>199</v>
      </c>
    </row>
    <row r="14510">
      <c r="A14510" s="40">
        <f t="shared" si="1"/>
        <v>46013</v>
      </c>
      <c r="B14510" s="37" t="str">
        <f t="array" ref="B14510">iferror(xlookup($I14510, 'IMPORT VHC Report'!$E:$E, 'IMPORT VHC Report'!$A:$C), )</f>
        <v/>
      </c>
      <c r="C14510" s="44"/>
      <c r="D14510" s="44"/>
      <c r="E14510" s="46" t="s">
        <v>10649</v>
      </c>
      <c r="F14510" s="46" t="s">
        <v>4485</v>
      </c>
      <c r="G14510" s="46">
        <v>1.0333019153039E13</v>
      </c>
      <c r="H14510" s="46" t="s">
        <v>4486</v>
      </c>
      <c r="I14510" s="46" t="s">
        <v>4487</v>
      </c>
      <c r="J14510" s="46" t="s">
        <v>196</v>
      </c>
      <c r="K14510" s="46" t="s">
        <v>63</v>
      </c>
      <c r="L14510" s="45">
        <v>46019.625</v>
      </c>
      <c r="M14510" s="46" t="s">
        <v>123</v>
      </c>
      <c r="N14510" s="45">
        <v>46020.0</v>
      </c>
      <c r="O14510" s="46" t="s">
        <v>123</v>
      </c>
      <c r="P14510" s="46">
        <v>32400.0</v>
      </c>
    </row>
    <row r="14511">
      <c r="A14511" s="40">
        <f t="shared" si="1"/>
        <v>46013</v>
      </c>
      <c r="B14511" s="37" t="str">
        <f t="array" ref="B14511">iferror(xlookup($I14511, 'IMPORT VHC Report'!$E:$E, 'IMPORT VHC Report'!$A:$C), )</f>
        <v/>
      </c>
      <c r="C14511" s="44"/>
      <c r="D14511" s="44"/>
      <c r="E14511" s="46" t="s">
        <v>10650</v>
      </c>
      <c r="F14511" s="46" t="s">
        <v>4485</v>
      </c>
      <c r="G14511" s="46">
        <v>1.0333019153039E13</v>
      </c>
      <c r="H14511" s="46" t="s">
        <v>4486</v>
      </c>
      <c r="I14511" s="46" t="s">
        <v>4487</v>
      </c>
      <c r="J14511" s="46" t="s">
        <v>134</v>
      </c>
      <c r="K14511" s="46" t="s">
        <v>126</v>
      </c>
      <c r="L14511" s="45">
        <v>46019.729166666664</v>
      </c>
      <c r="M14511" s="46" t="s">
        <v>123</v>
      </c>
      <c r="N14511" s="45">
        <v>46019.75</v>
      </c>
      <c r="O14511" s="46" t="s">
        <v>123</v>
      </c>
      <c r="P14511" s="46">
        <v>1800.0</v>
      </c>
    </row>
    <row r="14512">
      <c r="A14512" s="40">
        <f t="shared" si="1"/>
        <v>46013</v>
      </c>
      <c r="B14512" s="37" t="str">
        <f t="array" ref="B14512">iferror(xlookup($I14512, 'IMPORT VHC Report'!$E:$E, 'IMPORT VHC Report'!$A:$C), )</f>
        <v/>
      </c>
      <c r="C14512" s="44"/>
      <c r="D14512" s="44"/>
      <c r="E14512" s="46" t="s">
        <v>10651</v>
      </c>
      <c r="F14512" s="46" t="s">
        <v>4485</v>
      </c>
      <c r="G14512" s="46">
        <v>1.0333019153039E13</v>
      </c>
      <c r="H14512" s="46" t="s">
        <v>4486</v>
      </c>
      <c r="I14512" s="46" t="s">
        <v>4487</v>
      </c>
      <c r="J14512" s="46" t="s">
        <v>132</v>
      </c>
      <c r="K14512" s="46" t="s">
        <v>126</v>
      </c>
      <c r="L14512" s="45">
        <v>46019.875</v>
      </c>
      <c r="M14512" s="46" t="s">
        <v>123</v>
      </c>
      <c r="N14512" s="45">
        <v>46019.916666666664</v>
      </c>
      <c r="O14512" s="46" t="s">
        <v>123</v>
      </c>
      <c r="P14512" s="46">
        <v>3600.0</v>
      </c>
    </row>
    <row r="14513">
      <c r="A14513" s="40">
        <f t="shared" si="1"/>
        <v>46013</v>
      </c>
      <c r="B14513" s="37" t="str">
        <f t="array" ref="B14513">iferror(xlookup($I14513, 'IMPORT VHC Report'!$E:$E, 'IMPORT VHC Report'!$A:$C), )</f>
        <v/>
      </c>
      <c r="C14513" s="44"/>
      <c r="D14513" s="44"/>
      <c r="E14513" s="46" t="s">
        <v>10652</v>
      </c>
      <c r="F14513" s="46" t="s">
        <v>4549</v>
      </c>
      <c r="G14513" s="46">
        <v>1.0548626062351E13</v>
      </c>
      <c r="H14513" s="46" t="s">
        <v>4550</v>
      </c>
      <c r="I14513" s="46" t="s">
        <v>4551</v>
      </c>
      <c r="J14513" s="46" t="s">
        <v>125</v>
      </c>
      <c r="K14513" s="46" t="s">
        <v>126</v>
      </c>
      <c r="L14513" s="45">
        <v>46013.625</v>
      </c>
      <c r="M14513" s="46" t="s">
        <v>123</v>
      </c>
      <c r="N14513" s="45">
        <v>46013.635416666664</v>
      </c>
      <c r="O14513" s="46" t="s">
        <v>123</v>
      </c>
      <c r="P14513" s="46">
        <v>900.0</v>
      </c>
      <c r="S14513" s="46" t="s">
        <v>199</v>
      </c>
    </row>
    <row r="14514">
      <c r="A14514" s="40">
        <f t="shared" si="1"/>
        <v>46013</v>
      </c>
      <c r="B14514" s="37" t="str">
        <f t="array" ref="B14514">iferror(xlookup($I14514, 'IMPORT VHC Report'!$E:$E, 'IMPORT VHC Report'!$A:$C), )</f>
        <v/>
      </c>
      <c r="C14514" s="44"/>
      <c r="D14514" s="44"/>
      <c r="E14514" s="46" t="s">
        <v>10653</v>
      </c>
      <c r="F14514" s="46" t="s">
        <v>4549</v>
      </c>
      <c r="G14514" s="46">
        <v>1.0548626062351E13</v>
      </c>
      <c r="H14514" s="46" t="s">
        <v>4550</v>
      </c>
      <c r="I14514" s="46" t="s">
        <v>4551</v>
      </c>
      <c r="J14514" s="46" t="s">
        <v>196</v>
      </c>
      <c r="K14514" s="46" t="s">
        <v>63</v>
      </c>
      <c r="L14514" s="45">
        <v>46013.625</v>
      </c>
      <c r="M14514" s="46" t="s">
        <v>123</v>
      </c>
      <c r="N14514" s="45">
        <v>46014.0</v>
      </c>
      <c r="O14514" s="46" t="s">
        <v>123</v>
      </c>
      <c r="P14514" s="46">
        <v>32400.0</v>
      </c>
    </row>
    <row r="14515">
      <c r="A14515" s="40">
        <f t="shared" si="1"/>
        <v>46013</v>
      </c>
      <c r="B14515" s="37" t="str">
        <f t="array" ref="B14515">iferror(xlookup($I14515, 'IMPORT VHC Report'!$E:$E, 'IMPORT VHC Report'!$A:$C), )</f>
        <v/>
      </c>
      <c r="C14515" s="44"/>
      <c r="D14515" s="44"/>
      <c r="E14515" s="46" t="s">
        <v>10654</v>
      </c>
      <c r="F14515" s="46" t="s">
        <v>4549</v>
      </c>
      <c r="G14515" s="46">
        <v>1.0548626062351E13</v>
      </c>
      <c r="H14515" s="46" t="s">
        <v>4550</v>
      </c>
      <c r="I14515" s="46" t="s">
        <v>4551</v>
      </c>
      <c r="J14515" s="46" t="s">
        <v>178</v>
      </c>
      <c r="K14515" s="46" t="s">
        <v>153</v>
      </c>
      <c r="L14515" s="45">
        <v>46013.625</v>
      </c>
      <c r="M14515" s="46" t="s">
        <v>123</v>
      </c>
      <c r="N14515" s="45">
        <v>46014.0</v>
      </c>
      <c r="O14515" s="46" t="s">
        <v>123</v>
      </c>
      <c r="P14515" s="46">
        <v>32400.0</v>
      </c>
      <c r="Q14515" s="46">
        <v>32400.0</v>
      </c>
    </row>
    <row r="14516">
      <c r="A14516" s="40">
        <f t="shared" si="1"/>
        <v>46013</v>
      </c>
      <c r="B14516" s="37" t="str">
        <f t="array" ref="B14516">iferror(xlookup($I14516, 'IMPORT VHC Report'!$E:$E, 'IMPORT VHC Report'!$A:$C), )</f>
        <v/>
      </c>
      <c r="C14516" s="44"/>
      <c r="D14516" s="44"/>
      <c r="E14516" s="46" t="s">
        <v>10655</v>
      </c>
      <c r="F14516" s="46" t="s">
        <v>4549</v>
      </c>
      <c r="G14516" s="46">
        <v>1.0548626062351E13</v>
      </c>
      <c r="H14516" s="46" t="s">
        <v>4550</v>
      </c>
      <c r="I14516" s="46" t="s">
        <v>4551</v>
      </c>
      <c r="J14516" s="46" t="s">
        <v>132</v>
      </c>
      <c r="K14516" s="46" t="s">
        <v>126</v>
      </c>
      <c r="L14516" s="45">
        <v>46013.760416666664</v>
      </c>
      <c r="M14516" s="46" t="s">
        <v>123</v>
      </c>
      <c r="N14516" s="45">
        <v>46013.802083333336</v>
      </c>
      <c r="O14516" s="46" t="s">
        <v>123</v>
      </c>
      <c r="P14516" s="46">
        <v>3600.0</v>
      </c>
    </row>
    <row r="14517">
      <c r="A14517" s="40">
        <f t="shared" si="1"/>
        <v>46013</v>
      </c>
      <c r="B14517" s="37" t="str">
        <f t="array" ref="B14517">iferror(xlookup($I14517, 'IMPORT VHC Report'!$E:$E, 'IMPORT VHC Report'!$A:$C), )</f>
        <v/>
      </c>
      <c r="C14517" s="44"/>
      <c r="D14517" s="44"/>
      <c r="E14517" s="46" t="s">
        <v>10656</v>
      </c>
      <c r="F14517" s="46" t="s">
        <v>4549</v>
      </c>
      <c r="G14517" s="46">
        <v>1.0548626062351E13</v>
      </c>
      <c r="H14517" s="46" t="s">
        <v>4550</v>
      </c>
      <c r="I14517" s="46" t="s">
        <v>4551</v>
      </c>
      <c r="J14517" s="46" t="s">
        <v>134</v>
      </c>
      <c r="K14517" s="46" t="s">
        <v>126</v>
      </c>
      <c r="L14517" s="45">
        <v>46013.916666666664</v>
      </c>
      <c r="M14517" s="46" t="s">
        <v>123</v>
      </c>
      <c r="N14517" s="45">
        <v>46013.9375</v>
      </c>
      <c r="O14517" s="46" t="s">
        <v>123</v>
      </c>
      <c r="P14517" s="46">
        <v>1800.0</v>
      </c>
    </row>
    <row r="14518">
      <c r="A14518" s="40">
        <f t="shared" si="1"/>
        <v>46013</v>
      </c>
      <c r="B14518" s="37" t="str">
        <f t="array" ref="B14518">iferror(xlookup($I14518, 'IMPORT VHC Report'!$E:$E, 'IMPORT VHC Report'!$A:$C), )</f>
        <v/>
      </c>
      <c r="C14518" s="44"/>
      <c r="D14518" s="44"/>
      <c r="E14518" s="46" t="s">
        <v>10657</v>
      </c>
      <c r="F14518" s="46" t="s">
        <v>4549</v>
      </c>
      <c r="G14518" s="46">
        <v>1.0548626062351E13</v>
      </c>
      <c r="H14518" s="46" t="s">
        <v>4550</v>
      </c>
      <c r="I14518" s="46" t="s">
        <v>4551</v>
      </c>
      <c r="J14518" s="46" t="s">
        <v>125</v>
      </c>
      <c r="K14518" s="46" t="s">
        <v>126</v>
      </c>
      <c r="L14518" s="45">
        <v>46014.625</v>
      </c>
      <c r="M14518" s="46" t="s">
        <v>123</v>
      </c>
      <c r="N14518" s="45">
        <v>46014.635416666664</v>
      </c>
      <c r="O14518" s="46" t="s">
        <v>123</v>
      </c>
      <c r="P14518" s="46">
        <v>900.0</v>
      </c>
      <c r="S14518" s="46" t="s">
        <v>199</v>
      </c>
    </row>
    <row r="14519">
      <c r="A14519" s="40">
        <f t="shared" si="1"/>
        <v>46013</v>
      </c>
      <c r="B14519" s="37" t="str">
        <f t="array" ref="B14519">iferror(xlookup($I14519, 'IMPORT VHC Report'!$E:$E, 'IMPORT VHC Report'!$A:$C), )</f>
        <v/>
      </c>
      <c r="C14519" s="44"/>
      <c r="D14519" s="44"/>
      <c r="E14519" s="46" t="s">
        <v>10658</v>
      </c>
      <c r="F14519" s="46" t="s">
        <v>4549</v>
      </c>
      <c r="G14519" s="46">
        <v>1.0548626062351E13</v>
      </c>
      <c r="H14519" s="46" t="s">
        <v>4550</v>
      </c>
      <c r="I14519" s="46" t="s">
        <v>4551</v>
      </c>
      <c r="J14519" s="46" t="s">
        <v>178</v>
      </c>
      <c r="K14519" s="46" t="s">
        <v>153</v>
      </c>
      <c r="L14519" s="45">
        <v>46014.625</v>
      </c>
      <c r="M14519" s="46" t="s">
        <v>123</v>
      </c>
      <c r="N14519" s="45">
        <v>46015.0</v>
      </c>
      <c r="O14519" s="46" t="s">
        <v>123</v>
      </c>
      <c r="P14519" s="46">
        <v>32400.0</v>
      </c>
      <c r="Q14519" s="46">
        <v>32400.0</v>
      </c>
    </row>
    <row r="14520">
      <c r="A14520" s="40">
        <f t="shared" si="1"/>
        <v>46013</v>
      </c>
      <c r="B14520" s="37" t="str">
        <f t="array" ref="B14520">iferror(xlookup($I14520, 'IMPORT VHC Report'!$E:$E, 'IMPORT VHC Report'!$A:$C), )</f>
        <v/>
      </c>
      <c r="C14520" s="44"/>
      <c r="D14520" s="44"/>
      <c r="E14520" s="46" t="s">
        <v>10659</v>
      </c>
      <c r="F14520" s="46" t="s">
        <v>4549</v>
      </c>
      <c r="G14520" s="46">
        <v>1.0548626062351E13</v>
      </c>
      <c r="H14520" s="46" t="s">
        <v>4550</v>
      </c>
      <c r="I14520" s="46" t="s">
        <v>4551</v>
      </c>
      <c r="J14520" s="46" t="s">
        <v>196</v>
      </c>
      <c r="K14520" s="46" t="s">
        <v>63</v>
      </c>
      <c r="L14520" s="45">
        <v>46014.625</v>
      </c>
      <c r="M14520" s="46" t="s">
        <v>123</v>
      </c>
      <c r="N14520" s="45">
        <v>46015.0</v>
      </c>
      <c r="O14520" s="46" t="s">
        <v>123</v>
      </c>
      <c r="P14520" s="46">
        <v>32400.0</v>
      </c>
    </row>
    <row r="14521">
      <c r="A14521" s="40">
        <f t="shared" si="1"/>
        <v>46013</v>
      </c>
      <c r="B14521" s="37" t="str">
        <f t="array" ref="B14521">iferror(xlookup($I14521, 'IMPORT VHC Report'!$E:$E, 'IMPORT VHC Report'!$A:$C), )</f>
        <v/>
      </c>
      <c r="C14521" s="44"/>
      <c r="D14521" s="44"/>
      <c r="E14521" s="46" t="s">
        <v>10660</v>
      </c>
      <c r="F14521" s="46" t="s">
        <v>4549</v>
      </c>
      <c r="G14521" s="46">
        <v>1.0548626062351E13</v>
      </c>
      <c r="H14521" s="46" t="s">
        <v>4550</v>
      </c>
      <c r="I14521" s="46" t="s">
        <v>4551</v>
      </c>
      <c r="J14521" s="46" t="s">
        <v>134</v>
      </c>
      <c r="K14521" s="46" t="s">
        <v>126</v>
      </c>
      <c r="L14521" s="45">
        <v>46014.729166666664</v>
      </c>
      <c r="M14521" s="46" t="s">
        <v>123</v>
      </c>
      <c r="N14521" s="45">
        <v>46014.75</v>
      </c>
      <c r="O14521" s="46" t="s">
        <v>123</v>
      </c>
      <c r="P14521" s="46">
        <v>1800.0</v>
      </c>
    </row>
    <row r="14522">
      <c r="A14522" s="40">
        <f t="shared" si="1"/>
        <v>46013</v>
      </c>
      <c r="B14522" s="37" t="str">
        <f t="array" ref="B14522">iferror(xlookup($I14522, 'IMPORT VHC Report'!$E:$E, 'IMPORT VHC Report'!$A:$C), )</f>
        <v/>
      </c>
      <c r="C14522" s="44"/>
      <c r="D14522" s="44"/>
      <c r="E14522" s="46" t="s">
        <v>10661</v>
      </c>
      <c r="F14522" s="46" t="s">
        <v>4549</v>
      </c>
      <c r="G14522" s="46">
        <v>1.0548626062351E13</v>
      </c>
      <c r="H14522" s="46" t="s">
        <v>4550</v>
      </c>
      <c r="I14522" s="46" t="s">
        <v>4551</v>
      </c>
      <c r="J14522" s="46" t="s">
        <v>132</v>
      </c>
      <c r="K14522" s="46" t="s">
        <v>126</v>
      </c>
      <c r="L14522" s="45">
        <v>46014.864583333336</v>
      </c>
      <c r="M14522" s="46" t="s">
        <v>123</v>
      </c>
      <c r="N14522" s="45">
        <v>46014.90625</v>
      </c>
      <c r="O14522" s="46" t="s">
        <v>123</v>
      </c>
      <c r="P14522" s="46">
        <v>3600.0</v>
      </c>
    </row>
    <row r="14523">
      <c r="A14523" s="40">
        <f t="shared" si="1"/>
        <v>46013</v>
      </c>
      <c r="B14523" s="37" t="str">
        <f t="array" ref="B14523">iferror(xlookup($I14523, 'IMPORT VHC Report'!$E:$E, 'IMPORT VHC Report'!$A:$C), )</f>
        <v/>
      </c>
      <c r="C14523" s="44"/>
      <c r="D14523" s="44"/>
      <c r="E14523" s="46" t="s">
        <v>10662</v>
      </c>
      <c r="F14523" s="46" t="s">
        <v>4549</v>
      </c>
      <c r="G14523" s="46">
        <v>1.0548626062351E13</v>
      </c>
      <c r="H14523" s="46" t="s">
        <v>4550</v>
      </c>
      <c r="I14523" s="46" t="s">
        <v>4551</v>
      </c>
      <c r="J14523" s="46" t="s">
        <v>125</v>
      </c>
      <c r="K14523" s="46" t="s">
        <v>126</v>
      </c>
      <c r="L14523" s="45">
        <v>46015.625</v>
      </c>
      <c r="M14523" s="46" t="s">
        <v>123</v>
      </c>
      <c r="N14523" s="45">
        <v>46015.635416666664</v>
      </c>
      <c r="O14523" s="46" t="s">
        <v>123</v>
      </c>
      <c r="P14523" s="46">
        <v>900.0</v>
      </c>
      <c r="S14523" s="46" t="s">
        <v>199</v>
      </c>
    </row>
    <row r="14524">
      <c r="A14524" s="40">
        <f t="shared" si="1"/>
        <v>46013</v>
      </c>
      <c r="B14524" s="37" t="str">
        <f t="array" ref="B14524">iferror(xlookup($I14524, 'IMPORT VHC Report'!$E:$E, 'IMPORT VHC Report'!$A:$C), )</f>
        <v/>
      </c>
      <c r="C14524" s="44"/>
      <c r="D14524" s="44"/>
      <c r="E14524" s="46" t="s">
        <v>10663</v>
      </c>
      <c r="F14524" s="46" t="s">
        <v>4549</v>
      </c>
      <c r="G14524" s="46">
        <v>1.0548626062351E13</v>
      </c>
      <c r="H14524" s="46" t="s">
        <v>4550</v>
      </c>
      <c r="I14524" s="46" t="s">
        <v>4551</v>
      </c>
      <c r="J14524" s="46" t="s">
        <v>196</v>
      </c>
      <c r="K14524" s="46" t="s">
        <v>63</v>
      </c>
      <c r="L14524" s="45">
        <v>46015.625</v>
      </c>
      <c r="M14524" s="46" t="s">
        <v>123</v>
      </c>
      <c r="N14524" s="45">
        <v>46016.0</v>
      </c>
      <c r="O14524" s="46" t="s">
        <v>123</v>
      </c>
      <c r="P14524" s="46">
        <v>32400.0</v>
      </c>
    </row>
    <row r="14525">
      <c r="A14525" s="40">
        <f t="shared" si="1"/>
        <v>46013</v>
      </c>
      <c r="B14525" s="37" t="str">
        <f t="array" ref="B14525">iferror(xlookup($I14525, 'IMPORT VHC Report'!$E:$E, 'IMPORT VHC Report'!$A:$C), )</f>
        <v/>
      </c>
      <c r="C14525" s="44"/>
      <c r="D14525" s="44"/>
      <c r="E14525" s="46" t="s">
        <v>10664</v>
      </c>
      <c r="F14525" s="46" t="s">
        <v>4549</v>
      </c>
      <c r="G14525" s="46">
        <v>1.0548626062351E13</v>
      </c>
      <c r="H14525" s="46" t="s">
        <v>4550</v>
      </c>
      <c r="I14525" s="46" t="s">
        <v>4551</v>
      </c>
      <c r="J14525" s="46" t="s">
        <v>178</v>
      </c>
      <c r="K14525" s="46" t="s">
        <v>153</v>
      </c>
      <c r="L14525" s="45">
        <v>46015.625</v>
      </c>
      <c r="M14525" s="46" t="s">
        <v>123</v>
      </c>
      <c r="N14525" s="45">
        <v>46016.0</v>
      </c>
      <c r="O14525" s="46" t="s">
        <v>123</v>
      </c>
      <c r="P14525" s="46">
        <v>32400.0</v>
      </c>
      <c r="Q14525" s="46">
        <v>64800.0</v>
      </c>
      <c r="R14525" s="46" t="s">
        <v>10665</v>
      </c>
    </row>
    <row r="14526">
      <c r="A14526" s="40">
        <f t="shared" si="1"/>
        <v>46013</v>
      </c>
      <c r="B14526" s="37" t="str">
        <f t="array" ref="B14526">iferror(xlookup($I14526, 'IMPORT VHC Report'!$E:$E, 'IMPORT VHC Report'!$A:$C), )</f>
        <v/>
      </c>
      <c r="C14526" s="44"/>
      <c r="D14526" s="44"/>
      <c r="E14526" s="46" t="s">
        <v>10666</v>
      </c>
      <c r="F14526" s="46" t="s">
        <v>4549</v>
      </c>
      <c r="G14526" s="46">
        <v>1.0548626062351E13</v>
      </c>
      <c r="H14526" s="46" t="s">
        <v>4550</v>
      </c>
      <c r="I14526" s="46" t="s">
        <v>4551</v>
      </c>
      <c r="J14526" s="46" t="s">
        <v>132</v>
      </c>
      <c r="K14526" s="46" t="s">
        <v>126</v>
      </c>
      <c r="L14526" s="45">
        <v>46015.75</v>
      </c>
      <c r="M14526" s="46" t="s">
        <v>123</v>
      </c>
      <c r="N14526" s="45">
        <v>46015.791666666664</v>
      </c>
      <c r="O14526" s="46" t="s">
        <v>123</v>
      </c>
      <c r="P14526" s="46">
        <v>3600.0</v>
      </c>
    </row>
    <row r="14527">
      <c r="A14527" s="40">
        <f t="shared" si="1"/>
        <v>46013</v>
      </c>
      <c r="B14527" s="37" t="str">
        <f t="array" ref="B14527">iferror(xlookup($I14527, 'IMPORT VHC Report'!$E:$E, 'IMPORT VHC Report'!$A:$C), )</f>
        <v/>
      </c>
      <c r="C14527" s="44"/>
      <c r="D14527" s="44"/>
      <c r="E14527" s="46" t="s">
        <v>10667</v>
      </c>
      <c r="F14527" s="46" t="s">
        <v>4549</v>
      </c>
      <c r="G14527" s="46">
        <v>1.0548626062351E13</v>
      </c>
      <c r="H14527" s="46" t="s">
        <v>4550</v>
      </c>
      <c r="I14527" s="46" t="s">
        <v>4551</v>
      </c>
      <c r="J14527" s="46" t="s">
        <v>134</v>
      </c>
      <c r="K14527" s="46" t="s">
        <v>126</v>
      </c>
      <c r="L14527" s="45">
        <v>46015.895833333336</v>
      </c>
      <c r="M14527" s="46" t="s">
        <v>123</v>
      </c>
      <c r="N14527" s="45">
        <v>46015.916666666664</v>
      </c>
      <c r="O14527" s="46" t="s">
        <v>123</v>
      </c>
      <c r="P14527" s="46">
        <v>1800.0</v>
      </c>
    </row>
    <row r="14528">
      <c r="A14528" s="40">
        <f t="shared" si="1"/>
        <v>46013</v>
      </c>
      <c r="B14528" s="37" t="str">
        <f t="array" ref="B14528">iferror(xlookup($I14528, 'IMPORT VHC Report'!$E:$E, 'IMPORT VHC Report'!$A:$C), )</f>
        <v/>
      </c>
      <c r="C14528" s="44"/>
      <c r="D14528" s="44"/>
      <c r="E14528" s="46" t="s">
        <v>10668</v>
      </c>
      <c r="F14528" s="46" t="s">
        <v>4549</v>
      </c>
      <c r="G14528" s="46">
        <v>1.0548626062351E13</v>
      </c>
      <c r="H14528" s="46" t="s">
        <v>4550</v>
      </c>
      <c r="I14528" s="46" t="s">
        <v>4551</v>
      </c>
      <c r="J14528" s="46" t="s">
        <v>125</v>
      </c>
      <c r="K14528" s="46" t="s">
        <v>126</v>
      </c>
      <c r="L14528" s="45">
        <v>46016.625</v>
      </c>
      <c r="M14528" s="46" t="s">
        <v>123</v>
      </c>
      <c r="N14528" s="45">
        <v>46016.635416666664</v>
      </c>
      <c r="O14528" s="46" t="s">
        <v>123</v>
      </c>
      <c r="P14528" s="46">
        <v>900.0</v>
      </c>
      <c r="S14528" s="46" t="s">
        <v>199</v>
      </c>
    </row>
    <row r="14529">
      <c r="A14529" s="40">
        <f t="shared" si="1"/>
        <v>46013</v>
      </c>
      <c r="B14529" s="37" t="str">
        <f t="array" ref="B14529">iferror(xlookup($I14529, 'IMPORT VHC Report'!$E:$E, 'IMPORT VHC Report'!$A:$C), )</f>
        <v/>
      </c>
      <c r="C14529" s="44"/>
      <c r="D14529" s="44"/>
      <c r="E14529" s="46" t="s">
        <v>10669</v>
      </c>
      <c r="F14529" s="46" t="s">
        <v>4549</v>
      </c>
      <c r="G14529" s="46">
        <v>1.0548626062351E13</v>
      </c>
      <c r="H14529" s="46" t="s">
        <v>4550</v>
      </c>
      <c r="I14529" s="46" t="s">
        <v>4551</v>
      </c>
      <c r="J14529" s="46" t="s">
        <v>196</v>
      </c>
      <c r="K14529" s="46" t="s">
        <v>63</v>
      </c>
      <c r="L14529" s="45">
        <v>46016.625</v>
      </c>
      <c r="M14529" s="46" t="s">
        <v>123</v>
      </c>
      <c r="N14529" s="45">
        <v>46016.854166666664</v>
      </c>
      <c r="O14529" s="46" t="s">
        <v>123</v>
      </c>
      <c r="P14529" s="46">
        <v>19800.0</v>
      </c>
    </row>
    <row r="14530">
      <c r="A14530" s="40">
        <f t="shared" si="1"/>
        <v>46013</v>
      </c>
      <c r="B14530" s="37" t="str">
        <f t="array" ref="B14530">iferror(xlookup($I14530, 'IMPORT VHC Report'!$E:$E, 'IMPORT VHC Report'!$A:$C), )</f>
        <v/>
      </c>
      <c r="C14530" s="44"/>
      <c r="D14530" s="44"/>
      <c r="E14530" s="46" t="s">
        <v>10670</v>
      </c>
      <c r="F14530" s="46" t="s">
        <v>4549</v>
      </c>
      <c r="G14530" s="46">
        <v>1.0548626062351E13</v>
      </c>
      <c r="H14530" s="46" t="s">
        <v>4550</v>
      </c>
      <c r="I14530" s="46" t="s">
        <v>4551</v>
      </c>
      <c r="J14530" s="46" t="s">
        <v>178</v>
      </c>
      <c r="K14530" s="46" t="s">
        <v>153</v>
      </c>
      <c r="L14530" s="45">
        <v>46016.625</v>
      </c>
      <c r="M14530" s="46" t="s">
        <v>123</v>
      </c>
      <c r="N14530" s="45">
        <v>46017.0</v>
      </c>
      <c r="O14530" s="46" t="s">
        <v>123</v>
      </c>
      <c r="P14530" s="46">
        <v>32400.0</v>
      </c>
      <c r="Q14530" s="46">
        <v>32400.0</v>
      </c>
    </row>
    <row r="14531">
      <c r="A14531" s="40">
        <f t="shared" si="1"/>
        <v>46013</v>
      </c>
      <c r="B14531" s="37" t="str">
        <f t="array" ref="B14531">iferror(xlookup($I14531, 'IMPORT VHC Report'!$E:$E, 'IMPORT VHC Report'!$A:$C), )</f>
        <v/>
      </c>
      <c r="C14531" s="44"/>
      <c r="D14531" s="44"/>
      <c r="E14531" s="46" t="s">
        <v>10671</v>
      </c>
      <c r="F14531" s="46" t="s">
        <v>4549</v>
      </c>
      <c r="G14531" s="46">
        <v>1.0548626062351E13</v>
      </c>
      <c r="H14531" s="46" t="s">
        <v>4550</v>
      </c>
      <c r="I14531" s="46" t="s">
        <v>4551</v>
      </c>
      <c r="J14531" s="46" t="s">
        <v>134</v>
      </c>
      <c r="K14531" s="46" t="s">
        <v>126</v>
      </c>
      <c r="L14531" s="45">
        <v>46016.739583333336</v>
      </c>
      <c r="M14531" s="46" t="s">
        <v>123</v>
      </c>
      <c r="N14531" s="45">
        <v>46016.760416666664</v>
      </c>
      <c r="O14531" s="46" t="s">
        <v>123</v>
      </c>
      <c r="P14531" s="46">
        <v>1800.0</v>
      </c>
    </row>
    <row r="14532">
      <c r="A14532" s="40">
        <f t="shared" si="1"/>
        <v>46013</v>
      </c>
      <c r="B14532" s="37" t="str">
        <f t="array" ref="B14532">iferror(xlookup($I14532, 'IMPORT VHC Report'!$E:$E, 'IMPORT VHC Report'!$A:$C), )</f>
        <v/>
      </c>
      <c r="C14532" s="44"/>
      <c r="D14532" s="44"/>
      <c r="E14532" s="46" t="s">
        <v>10672</v>
      </c>
      <c r="F14532" s="46" t="s">
        <v>4549</v>
      </c>
      <c r="G14532" s="46">
        <v>1.0548626062351E13</v>
      </c>
      <c r="H14532" s="46" t="s">
        <v>4550</v>
      </c>
      <c r="I14532" s="46" t="s">
        <v>4551</v>
      </c>
      <c r="J14532" s="46" t="s">
        <v>62</v>
      </c>
      <c r="K14532" s="46" t="s">
        <v>63</v>
      </c>
      <c r="L14532" s="45">
        <v>46016.854166666664</v>
      </c>
      <c r="M14532" s="46" t="s">
        <v>123</v>
      </c>
      <c r="N14532" s="45">
        <v>46016.916666666664</v>
      </c>
      <c r="O14532" s="46" t="s">
        <v>123</v>
      </c>
      <c r="P14532" s="46">
        <v>5400.0</v>
      </c>
    </row>
    <row r="14533">
      <c r="A14533" s="40">
        <f t="shared" si="1"/>
        <v>46013</v>
      </c>
      <c r="B14533" s="37" t="str">
        <f t="array" ref="B14533">iferror(xlookup($I14533, 'IMPORT VHC Report'!$E:$E, 'IMPORT VHC Report'!$A:$C), )</f>
        <v/>
      </c>
      <c r="C14533" s="44"/>
      <c r="D14533" s="44"/>
      <c r="E14533" s="46" t="s">
        <v>10673</v>
      </c>
      <c r="F14533" s="46" t="s">
        <v>4549</v>
      </c>
      <c r="G14533" s="46">
        <v>1.0548626062351E13</v>
      </c>
      <c r="H14533" s="46" t="s">
        <v>4550</v>
      </c>
      <c r="I14533" s="46" t="s">
        <v>4551</v>
      </c>
      <c r="J14533" s="46" t="s">
        <v>132</v>
      </c>
      <c r="K14533" s="46" t="s">
        <v>126</v>
      </c>
      <c r="L14533" s="45">
        <v>46016.875</v>
      </c>
      <c r="M14533" s="46" t="s">
        <v>123</v>
      </c>
      <c r="N14533" s="45">
        <v>46016.916666666664</v>
      </c>
      <c r="O14533" s="46" t="s">
        <v>123</v>
      </c>
      <c r="P14533" s="46">
        <v>3600.0</v>
      </c>
    </row>
    <row r="14534">
      <c r="A14534" s="40">
        <f t="shared" si="1"/>
        <v>46013</v>
      </c>
      <c r="B14534" s="37" t="str">
        <f t="array" ref="B14534">iferror(xlookup($I14534, 'IMPORT VHC Report'!$E:$E, 'IMPORT VHC Report'!$A:$C), )</f>
        <v/>
      </c>
      <c r="C14534" s="44"/>
      <c r="D14534" s="44"/>
      <c r="E14534" s="46" t="s">
        <v>10674</v>
      </c>
      <c r="F14534" s="46" t="s">
        <v>4549</v>
      </c>
      <c r="G14534" s="46">
        <v>1.0548626062351E13</v>
      </c>
      <c r="H14534" s="46" t="s">
        <v>4550</v>
      </c>
      <c r="I14534" s="46" t="s">
        <v>4551</v>
      </c>
      <c r="J14534" s="46" t="s">
        <v>196</v>
      </c>
      <c r="K14534" s="46" t="s">
        <v>63</v>
      </c>
      <c r="L14534" s="45">
        <v>46016.875</v>
      </c>
      <c r="M14534" s="46" t="s">
        <v>123</v>
      </c>
      <c r="N14534" s="45">
        <v>46017.0</v>
      </c>
      <c r="O14534" s="46" t="s">
        <v>123</v>
      </c>
      <c r="P14534" s="46">
        <v>10800.0</v>
      </c>
    </row>
    <row r="14535">
      <c r="A14535" s="40">
        <f t="shared" si="1"/>
        <v>46013</v>
      </c>
      <c r="B14535" s="37" t="str">
        <f t="array" ref="B14535">iferror(xlookup($I14535, 'IMPORT VHC Report'!$E:$E, 'IMPORT VHC Report'!$A:$C), )</f>
        <v/>
      </c>
      <c r="C14535" s="44"/>
      <c r="D14535" s="44"/>
      <c r="E14535" s="46" t="s">
        <v>10675</v>
      </c>
      <c r="F14535" s="46" t="s">
        <v>4549</v>
      </c>
      <c r="G14535" s="46">
        <v>1.0548626062351E13</v>
      </c>
      <c r="H14535" s="46" t="s">
        <v>4550</v>
      </c>
      <c r="I14535" s="46" t="s">
        <v>4551</v>
      </c>
      <c r="J14535" s="46" t="s">
        <v>125</v>
      </c>
      <c r="K14535" s="46" t="s">
        <v>126</v>
      </c>
      <c r="L14535" s="45">
        <v>46019.625</v>
      </c>
      <c r="M14535" s="46" t="s">
        <v>123</v>
      </c>
      <c r="N14535" s="45">
        <v>46019.635416666664</v>
      </c>
      <c r="O14535" s="46" t="s">
        <v>123</v>
      </c>
      <c r="P14535" s="46">
        <v>900.0</v>
      </c>
      <c r="S14535" s="46" t="s">
        <v>199</v>
      </c>
    </row>
    <row r="14536">
      <c r="A14536" s="40">
        <f t="shared" si="1"/>
        <v>46013</v>
      </c>
      <c r="B14536" s="37" t="str">
        <f t="array" ref="B14536">iferror(xlookup($I14536, 'IMPORT VHC Report'!$E:$E, 'IMPORT VHC Report'!$A:$C), )</f>
        <v/>
      </c>
      <c r="C14536" s="44"/>
      <c r="D14536" s="44"/>
      <c r="E14536" s="46" t="s">
        <v>10676</v>
      </c>
      <c r="F14536" s="46" t="s">
        <v>4549</v>
      </c>
      <c r="G14536" s="46">
        <v>1.0548626062351E13</v>
      </c>
      <c r="H14536" s="46" t="s">
        <v>4550</v>
      </c>
      <c r="I14536" s="46" t="s">
        <v>4551</v>
      </c>
      <c r="J14536" s="46" t="s">
        <v>178</v>
      </c>
      <c r="K14536" s="46" t="s">
        <v>153</v>
      </c>
      <c r="L14536" s="45">
        <v>46019.625</v>
      </c>
      <c r="M14536" s="46" t="s">
        <v>123</v>
      </c>
      <c r="N14536" s="45">
        <v>46020.0</v>
      </c>
      <c r="O14536" s="46" t="s">
        <v>123</v>
      </c>
      <c r="P14536" s="46">
        <v>32400.0</v>
      </c>
      <c r="Q14536" s="46">
        <v>86400.0</v>
      </c>
      <c r="R14536" s="46" t="s">
        <v>10677</v>
      </c>
    </row>
    <row r="14537">
      <c r="A14537" s="40">
        <f t="shared" si="1"/>
        <v>46013</v>
      </c>
      <c r="B14537" s="37" t="str">
        <f t="array" ref="B14537">iferror(xlookup($I14537, 'IMPORT VHC Report'!$E:$E, 'IMPORT VHC Report'!$A:$C), )</f>
        <v/>
      </c>
      <c r="C14537" s="44"/>
      <c r="D14537" s="44"/>
      <c r="E14537" s="46" t="s">
        <v>10678</v>
      </c>
      <c r="F14537" s="46" t="s">
        <v>4549</v>
      </c>
      <c r="G14537" s="46">
        <v>1.0548626062351E13</v>
      </c>
      <c r="H14537" s="46" t="s">
        <v>4550</v>
      </c>
      <c r="I14537" s="46" t="s">
        <v>4551</v>
      </c>
      <c r="J14537" s="46" t="s">
        <v>196</v>
      </c>
      <c r="K14537" s="46" t="s">
        <v>63</v>
      </c>
      <c r="L14537" s="45">
        <v>46019.625</v>
      </c>
      <c r="M14537" s="46" t="s">
        <v>123</v>
      </c>
      <c r="N14537" s="45">
        <v>46020.0</v>
      </c>
      <c r="O14537" s="46" t="s">
        <v>123</v>
      </c>
      <c r="P14537" s="46">
        <v>32400.0</v>
      </c>
    </row>
    <row r="14538">
      <c r="A14538" s="40">
        <f t="shared" si="1"/>
        <v>46013</v>
      </c>
      <c r="B14538" s="37" t="str">
        <f t="array" ref="B14538">iferror(xlookup($I14538, 'IMPORT VHC Report'!$E:$E, 'IMPORT VHC Report'!$A:$C), )</f>
        <v/>
      </c>
      <c r="C14538" s="44"/>
      <c r="D14538" s="44"/>
      <c r="E14538" s="46" t="s">
        <v>10679</v>
      </c>
      <c r="F14538" s="46" t="s">
        <v>4549</v>
      </c>
      <c r="G14538" s="46">
        <v>1.0548626062351E13</v>
      </c>
      <c r="H14538" s="46" t="s">
        <v>4550</v>
      </c>
      <c r="I14538" s="46" t="s">
        <v>4551</v>
      </c>
      <c r="J14538" s="46" t="s">
        <v>134</v>
      </c>
      <c r="K14538" s="46" t="s">
        <v>126</v>
      </c>
      <c r="L14538" s="45">
        <v>46019.75</v>
      </c>
      <c r="M14538" s="46" t="s">
        <v>123</v>
      </c>
      <c r="N14538" s="45">
        <v>46019.770833333336</v>
      </c>
      <c r="O14538" s="46" t="s">
        <v>123</v>
      </c>
      <c r="P14538" s="46">
        <v>1800.0</v>
      </c>
    </row>
    <row r="14539">
      <c r="A14539" s="40">
        <f t="shared" si="1"/>
        <v>46013</v>
      </c>
      <c r="B14539" s="37" t="str">
        <f t="array" ref="B14539">iferror(xlookup($I14539, 'IMPORT VHC Report'!$E:$E, 'IMPORT VHC Report'!$A:$C), )</f>
        <v/>
      </c>
      <c r="C14539" s="44"/>
      <c r="D14539" s="44"/>
      <c r="E14539" s="46" t="s">
        <v>10680</v>
      </c>
      <c r="F14539" s="46" t="s">
        <v>4549</v>
      </c>
      <c r="G14539" s="46">
        <v>1.0548626062351E13</v>
      </c>
      <c r="H14539" s="46" t="s">
        <v>4550</v>
      </c>
      <c r="I14539" s="46" t="s">
        <v>4551</v>
      </c>
      <c r="J14539" s="46" t="s">
        <v>132</v>
      </c>
      <c r="K14539" s="46" t="s">
        <v>126</v>
      </c>
      <c r="L14539" s="45">
        <v>46019.875</v>
      </c>
      <c r="M14539" s="46" t="s">
        <v>123</v>
      </c>
      <c r="N14539" s="45">
        <v>46019.916666666664</v>
      </c>
      <c r="O14539" s="46" t="s">
        <v>123</v>
      </c>
      <c r="P14539" s="46">
        <v>3600.0</v>
      </c>
    </row>
    <row r="14540">
      <c r="A14540" s="40">
        <f t="shared" si="1"/>
        <v>46013</v>
      </c>
      <c r="B14540" s="37" t="str">
        <f t="array" ref="B14540">iferror(xlookup($I14540, 'IMPORT VHC Report'!$E:$E, 'IMPORT VHC Report'!$A:$C), )</f>
        <v/>
      </c>
      <c r="C14540" s="44"/>
      <c r="D14540" s="44"/>
      <c r="E14540" s="46" t="s">
        <v>10681</v>
      </c>
      <c r="F14540" s="46" t="s">
        <v>4794</v>
      </c>
      <c r="G14540" s="46">
        <v>1.0548588312463E13</v>
      </c>
      <c r="H14540" s="46" t="s">
        <v>4795</v>
      </c>
      <c r="I14540" s="46" t="s">
        <v>4796</v>
      </c>
      <c r="J14540" s="46" t="s">
        <v>125</v>
      </c>
      <c r="K14540" s="46" t="s">
        <v>126</v>
      </c>
      <c r="L14540" s="45">
        <v>46013.666666666664</v>
      </c>
      <c r="M14540" s="46" t="s">
        <v>123</v>
      </c>
      <c r="N14540" s="45">
        <v>46013.677083333336</v>
      </c>
      <c r="O14540" s="46" t="s">
        <v>123</v>
      </c>
      <c r="P14540" s="46">
        <v>900.0</v>
      </c>
      <c r="S14540" s="46" t="s">
        <v>199</v>
      </c>
    </row>
    <row r="14541">
      <c r="A14541" s="40">
        <f t="shared" si="1"/>
        <v>46013</v>
      </c>
      <c r="B14541" s="37" t="str">
        <f t="array" ref="B14541">iferror(xlookup($I14541, 'IMPORT VHC Report'!$E:$E, 'IMPORT VHC Report'!$A:$C), )</f>
        <v/>
      </c>
      <c r="C14541" s="44"/>
      <c r="D14541" s="44"/>
      <c r="E14541" s="46" t="s">
        <v>10682</v>
      </c>
      <c r="F14541" s="46" t="s">
        <v>4794</v>
      </c>
      <c r="G14541" s="46">
        <v>1.0548588312463E13</v>
      </c>
      <c r="H14541" s="46" t="s">
        <v>4795</v>
      </c>
      <c r="I14541" s="46" t="s">
        <v>4796</v>
      </c>
      <c r="J14541" s="46" t="s">
        <v>196</v>
      </c>
      <c r="K14541" s="46" t="s">
        <v>63</v>
      </c>
      <c r="L14541" s="45">
        <v>46013.666666666664</v>
      </c>
      <c r="M14541" s="46" t="s">
        <v>123</v>
      </c>
      <c r="N14541" s="45">
        <v>46014.041666666664</v>
      </c>
      <c r="O14541" s="46" t="s">
        <v>123</v>
      </c>
      <c r="P14541" s="46">
        <v>32400.0</v>
      </c>
    </row>
    <row r="14542">
      <c r="A14542" s="40">
        <f t="shared" si="1"/>
        <v>46013</v>
      </c>
      <c r="B14542" s="37" t="str">
        <f t="array" ref="B14542">iferror(xlookup($I14542, 'IMPORT VHC Report'!$E:$E, 'IMPORT VHC Report'!$A:$C), )</f>
        <v/>
      </c>
      <c r="C14542" s="44"/>
      <c r="D14542" s="44"/>
      <c r="E14542" s="46" t="s">
        <v>10683</v>
      </c>
      <c r="F14542" s="46" t="s">
        <v>4794</v>
      </c>
      <c r="G14542" s="46">
        <v>1.0548588312463E13</v>
      </c>
      <c r="H14542" s="46" t="s">
        <v>4795</v>
      </c>
      <c r="I14542" s="46" t="s">
        <v>4796</v>
      </c>
      <c r="J14542" s="46" t="s">
        <v>134</v>
      </c>
      <c r="K14542" s="46" t="s">
        <v>126</v>
      </c>
      <c r="L14542" s="45">
        <v>46013.770833333336</v>
      </c>
      <c r="M14542" s="46" t="s">
        <v>123</v>
      </c>
      <c r="N14542" s="45">
        <v>46013.791666666664</v>
      </c>
      <c r="O14542" s="46" t="s">
        <v>123</v>
      </c>
      <c r="P14542" s="46">
        <v>1800.0</v>
      </c>
    </row>
    <row r="14543">
      <c r="A14543" s="40">
        <f t="shared" si="1"/>
        <v>46013</v>
      </c>
      <c r="B14543" s="37" t="str">
        <f t="array" ref="B14543">iferror(xlookup($I14543, 'IMPORT VHC Report'!$E:$E, 'IMPORT VHC Report'!$A:$C), )</f>
        <v/>
      </c>
      <c r="C14543" s="44"/>
      <c r="D14543" s="44"/>
      <c r="E14543" s="46" t="s">
        <v>10684</v>
      </c>
      <c r="F14543" s="46" t="s">
        <v>4794</v>
      </c>
      <c r="G14543" s="46">
        <v>1.0548588312463E13</v>
      </c>
      <c r="H14543" s="46" t="s">
        <v>4795</v>
      </c>
      <c r="I14543" s="46" t="s">
        <v>4796</v>
      </c>
      <c r="J14543" s="46" t="s">
        <v>132</v>
      </c>
      <c r="K14543" s="46" t="s">
        <v>126</v>
      </c>
      <c r="L14543" s="45">
        <v>46013.90625</v>
      </c>
      <c r="M14543" s="46" t="s">
        <v>123</v>
      </c>
      <c r="N14543" s="45">
        <v>46013.947916666664</v>
      </c>
      <c r="O14543" s="46" t="s">
        <v>123</v>
      </c>
      <c r="P14543" s="46">
        <v>3600.0</v>
      </c>
    </row>
    <row r="14544">
      <c r="A14544" s="40">
        <f t="shared" si="1"/>
        <v>46013</v>
      </c>
      <c r="B14544" s="37" t="str">
        <f t="array" ref="B14544">iferror(xlookup($I14544, 'IMPORT VHC Report'!$E:$E, 'IMPORT VHC Report'!$A:$C), )</f>
        <v/>
      </c>
      <c r="C14544" s="44"/>
      <c r="D14544" s="44"/>
      <c r="E14544" s="46" t="s">
        <v>10685</v>
      </c>
      <c r="F14544" s="46" t="s">
        <v>4794</v>
      </c>
      <c r="G14544" s="46">
        <v>1.0548588312463E13</v>
      </c>
      <c r="H14544" s="46" t="s">
        <v>4795</v>
      </c>
      <c r="I14544" s="46" t="s">
        <v>4796</v>
      </c>
      <c r="J14544" s="46" t="s">
        <v>125</v>
      </c>
      <c r="K14544" s="46" t="s">
        <v>126</v>
      </c>
      <c r="L14544" s="45">
        <v>46014.666666666664</v>
      </c>
      <c r="M14544" s="46" t="s">
        <v>123</v>
      </c>
      <c r="N14544" s="45">
        <v>46014.677083333336</v>
      </c>
      <c r="O14544" s="46" t="s">
        <v>123</v>
      </c>
      <c r="P14544" s="46">
        <v>900.0</v>
      </c>
      <c r="S14544" s="46" t="s">
        <v>199</v>
      </c>
    </row>
    <row r="14545">
      <c r="A14545" s="40">
        <f t="shared" si="1"/>
        <v>46013</v>
      </c>
      <c r="B14545" s="37" t="str">
        <f t="array" ref="B14545">iferror(xlookup($I14545, 'IMPORT VHC Report'!$E:$E, 'IMPORT VHC Report'!$A:$C), )</f>
        <v/>
      </c>
      <c r="C14545" s="44"/>
      <c r="D14545" s="44"/>
      <c r="E14545" s="46" t="s">
        <v>10686</v>
      </c>
      <c r="F14545" s="46" t="s">
        <v>4794</v>
      </c>
      <c r="G14545" s="46">
        <v>1.0548588312463E13</v>
      </c>
      <c r="H14545" s="46" t="s">
        <v>4795</v>
      </c>
      <c r="I14545" s="46" t="s">
        <v>4796</v>
      </c>
      <c r="J14545" s="46" t="s">
        <v>196</v>
      </c>
      <c r="K14545" s="46" t="s">
        <v>63</v>
      </c>
      <c r="L14545" s="45">
        <v>46014.666666666664</v>
      </c>
      <c r="M14545" s="46" t="s">
        <v>123</v>
      </c>
      <c r="N14545" s="45">
        <v>46015.041666666664</v>
      </c>
      <c r="O14545" s="46" t="s">
        <v>123</v>
      </c>
      <c r="P14545" s="46">
        <v>32400.0</v>
      </c>
    </row>
    <row r="14546">
      <c r="A14546" s="40">
        <f t="shared" si="1"/>
        <v>46013</v>
      </c>
      <c r="B14546" s="37" t="str">
        <f t="array" ref="B14546">iferror(xlookup($I14546, 'IMPORT VHC Report'!$E:$E, 'IMPORT VHC Report'!$A:$C), )</f>
        <v/>
      </c>
      <c r="C14546" s="44"/>
      <c r="D14546" s="44"/>
      <c r="E14546" s="46" t="s">
        <v>10687</v>
      </c>
      <c r="F14546" s="46" t="s">
        <v>4794</v>
      </c>
      <c r="G14546" s="46">
        <v>1.0548588312463E13</v>
      </c>
      <c r="H14546" s="46" t="s">
        <v>4795</v>
      </c>
      <c r="I14546" s="46" t="s">
        <v>4796</v>
      </c>
      <c r="J14546" s="46" t="s">
        <v>4</v>
      </c>
      <c r="K14546" s="46" t="s">
        <v>126</v>
      </c>
      <c r="L14546" s="45">
        <v>46014.677083333336</v>
      </c>
      <c r="M14546" s="46" t="s">
        <v>123</v>
      </c>
      <c r="N14546" s="45">
        <v>46014.6875</v>
      </c>
      <c r="O14546" s="46" t="s">
        <v>123</v>
      </c>
      <c r="P14546" s="46">
        <v>900.0</v>
      </c>
      <c r="S14546" s="46" t="s">
        <v>10688</v>
      </c>
    </row>
    <row r="14547">
      <c r="A14547" s="40">
        <f t="shared" si="1"/>
        <v>46013</v>
      </c>
      <c r="B14547" s="37" t="str">
        <f t="array" ref="B14547">iferror(xlookup($I14547, 'IMPORT VHC Report'!$E:$E, 'IMPORT VHC Report'!$A:$C), )</f>
        <v/>
      </c>
      <c r="C14547" s="44"/>
      <c r="D14547" s="44"/>
      <c r="E14547" s="46" t="s">
        <v>10689</v>
      </c>
      <c r="F14547" s="46" t="s">
        <v>4794</v>
      </c>
      <c r="G14547" s="46">
        <v>1.0548588312463E13</v>
      </c>
      <c r="H14547" s="46" t="s">
        <v>4795</v>
      </c>
      <c r="I14547" s="46" t="s">
        <v>4796</v>
      </c>
      <c r="J14547" s="46" t="s">
        <v>330</v>
      </c>
      <c r="K14547" s="46" t="s">
        <v>126</v>
      </c>
      <c r="L14547" s="45">
        <v>46014.833333333336</v>
      </c>
      <c r="M14547" s="46" t="s">
        <v>123</v>
      </c>
      <c r="N14547" s="45">
        <v>46014.875</v>
      </c>
      <c r="O14547" s="46" t="s">
        <v>123</v>
      </c>
      <c r="P14547" s="46">
        <v>3600.0</v>
      </c>
    </row>
    <row r="14548">
      <c r="A14548" s="40">
        <f t="shared" si="1"/>
        <v>46013</v>
      </c>
      <c r="B14548" s="37" t="str">
        <f t="array" ref="B14548">iferror(xlookup($I14548, 'IMPORT VHC Report'!$E:$E, 'IMPORT VHC Report'!$A:$C), )</f>
        <v/>
      </c>
      <c r="C14548" s="44"/>
      <c r="D14548" s="44"/>
      <c r="E14548" s="46" t="s">
        <v>10690</v>
      </c>
      <c r="F14548" s="46" t="s">
        <v>4794</v>
      </c>
      <c r="G14548" s="46">
        <v>1.0548588312463E13</v>
      </c>
      <c r="H14548" s="46" t="s">
        <v>4795</v>
      </c>
      <c r="I14548" s="46" t="s">
        <v>4796</v>
      </c>
      <c r="J14548" s="46" t="s">
        <v>134</v>
      </c>
      <c r="K14548" s="46" t="s">
        <v>126</v>
      </c>
      <c r="L14548" s="45">
        <v>46014.9375</v>
      </c>
      <c r="M14548" s="46" t="s">
        <v>123</v>
      </c>
      <c r="N14548" s="45">
        <v>46014.958333333336</v>
      </c>
      <c r="O14548" s="46" t="s">
        <v>123</v>
      </c>
      <c r="P14548" s="46">
        <v>1800.0</v>
      </c>
    </row>
    <row r="14549">
      <c r="A14549" s="40">
        <f t="shared" si="1"/>
        <v>46013</v>
      </c>
      <c r="B14549" s="37" t="str">
        <f t="array" ref="B14549">iferror(xlookup($I14549, 'IMPORT VHC Report'!$E:$E, 'IMPORT VHC Report'!$A:$C), )</f>
        <v/>
      </c>
      <c r="C14549" s="44"/>
      <c r="D14549" s="44"/>
      <c r="E14549" s="46" t="s">
        <v>10691</v>
      </c>
      <c r="F14549" s="46" t="s">
        <v>4794</v>
      </c>
      <c r="G14549" s="46">
        <v>1.0548588312463E13</v>
      </c>
      <c r="H14549" s="46" t="s">
        <v>4795</v>
      </c>
      <c r="I14549" s="46" t="s">
        <v>4796</v>
      </c>
      <c r="J14549" s="46" t="s">
        <v>132</v>
      </c>
      <c r="K14549" s="46" t="s">
        <v>126</v>
      </c>
      <c r="L14549" s="45">
        <v>46014.958333333336</v>
      </c>
      <c r="M14549" s="46" t="s">
        <v>123</v>
      </c>
      <c r="N14549" s="45">
        <v>46015.0</v>
      </c>
      <c r="O14549" s="46" t="s">
        <v>123</v>
      </c>
      <c r="P14549" s="46">
        <v>3600.0</v>
      </c>
      <c r="S14549" s="46" t="s">
        <v>10692</v>
      </c>
    </row>
    <row r="14550">
      <c r="A14550" s="40">
        <f t="shared" si="1"/>
        <v>46013</v>
      </c>
      <c r="B14550" s="37" t="str">
        <f t="array" ref="B14550">iferror(xlookup($I14550, 'IMPORT VHC Report'!$E:$E, 'IMPORT VHC Report'!$A:$C), )</f>
        <v/>
      </c>
      <c r="C14550" s="44"/>
      <c r="D14550" s="44"/>
      <c r="E14550" s="46" t="s">
        <v>10693</v>
      </c>
      <c r="F14550" s="46" t="s">
        <v>4794</v>
      </c>
      <c r="G14550" s="46">
        <v>1.0548588312463E13</v>
      </c>
      <c r="H14550" s="46" t="s">
        <v>4795</v>
      </c>
      <c r="I14550" s="46" t="s">
        <v>4796</v>
      </c>
      <c r="J14550" s="46" t="s">
        <v>125</v>
      </c>
      <c r="K14550" s="46" t="s">
        <v>126</v>
      </c>
      <c r="L14550" s="45">
        <v>46015.666666666664</v>
      </c>
      <c r="M14550" s="46" t="s">
        <v>123</v>
      </c>
      <c r="N14550" s="45">
        <v>46015.677083333336</v>
      </c>
      <c r="O14550" s="46" t="s">
        <v>123</v>
      </c>
      <c r="P14550" s="46">
        <v>900.0</v>
      </c>
      <c r="S14550" s="46" t="s">
        <v>199</v>
      </c>
    </row>
    <row r="14551">
      <c r="A14551" s="40">
        <f t="shared" si="1"/>
        <v>46013</v>
      </c>
      <c r="B14551" s="37" t="str">
        <f t="array" ref="B14551">iferror(xlookup($I14551, 'IMPORT VHC Report'!$E:$E, 'IMPORT VHC Report'!$A:$C), )</f>
        <v/>
      </c>
      <c r="C14551" s="44"/>
      <c r="D14551" s="44"/>
      <c r="E14551" s="46" t="s">
        <v>10694</v>
      </c>
      <c r="F14551" s="46" t="s">
        <v>4794</v>
      </c>
      <c r="G14551" s="46">
        <v>1.0548588312463E13</v>
      </c>
      <c r="H14551" s="46" t="s">
        <v>4795</v>
      </c>
      <c r="I14551" s="46" t="s">
        <v>4796</v>
      </c>
      <c r="J14551" s="46" t="s">
        <v>196</v>
      </c>
      <c r="K14551" s="46" t="s">
        <v>63</v>
      </c>
      <c r="L14551" s="45">
        <v>46015.666666666664</v>
      </c>
      <c r="M14551" s="46" t="s">
        <v>123</v>
      </c>
      <c r="N14551" s="45">
        <v>46016.041666666664</v>
      </c>
      <c r="O14551" s="46" t="s">
        <v>123</v>
      </c>
      <c r="P14551" s="46">
        <v>32400.0</v>
      </c>
    </row>
    <row r="14552">
      <c r="A14552" s="40">
        <f t="shared" si="1"/>
        <v>46013</v>
      </c>
      <c r="B14552" s="37" t="str">
        <f t="array" ref="B14552">iferror(xlookup($I14552, 'IMPORT VHC Report'!$E:$E, 'IMPORT VHC Report'!$A:$C), )</f>
        <v/>
      </c>
      <c r="C14552" s="44"/>
      <c r="D14552" s="44"/>
      <c r="E14552" s="46" t="s">
        <v>10695</v>
      </c>
      <c r="F14552" s="46" t="s">
        <v>4794</v>
      </c>
      <c r="G14552" s="46">
        <v>1.0548588312463E13</v>
      </c>
      <c r="H14552" s="46" t="s">
        <v>4795</v>
      </c>
      <c r="I14552" s="46" t="s">
        <v>4796</v>
      </c>
      <c r="J14552" s="46" t="s">
        <v>134</v>
      </c>
      <c r="K14552" s="46" t="s">
        <v>126</v>
      </c>
      <c r="L14552" s="45">
        <v>46015.895833333336</v>
      </c>
      <c r="M14552" s="46" t="s">
        <v>123</v>
      </c>
      <c r="N14552" s="45">
        <v>46015.916666666664</v>
      </c>
      <c r="O14552" s="46" t="s">
        <v>123</v>
      </c>
      <c r="P14552" s="46">
        <v>1800.0</v>
      </c>
      <c r="S14552" s="46" t="s">
        <v>10696</v>
      </c>
    </row>
    <row r="14553">
      <c r="A14553" s="40">
        <f t="shared" si="1"/>
        <v>46013</v>
      </c>
      <c r="B14553" s="37" t="str">
        <f t="array" ref="B14553">iferror(xlookup($I14553, 'IMPORT VHC Report'!$E:$E, 'IMPORT VHC Report'!$A:$C), )</f>
        <v/>
      </c>
      <c r="C14553" s="44"/>
      <c r="D14553" s="44"/>
      <c r="E14553" s="46" t="s">
        <v>10697</v>
      </c>
      <c r="F14553" s="46" t="s">
        <v>4794</v>
      </c>
      <c r="G14553" s="46">
        <v>1.0548588312463E13</v>
      </c>
      <c r="H14553" s="46" t="s">
        <v>4795</v>
      </c>
      <c r="I14553" s="46" t="s">
        <v>4796</v>
      </c>
      <c r="J14553" s="46" t="s">
        <v>132</v>
      </c>
      <c r="K14553" s="46" t="s">
        <v>126</v>
      </c>
      <c r="L14553" s="45">
        <v>46015.916666666664</v>
      </c>
      <c r="M14553" s="46" t="s">
        <v>123</v>
      </c>
      <c r="N14553" s="45">
        <v>46015.958333333336</v>
      </c>
      <c r="O14553" s="46" t="s">
        <v>123</v>
      </c>
      <c r="P14553" s="46">
        <v>3600.0</v>
      </c>
    </row>
    <row r="14554">
      <c r="A14554" s="40">
        <f t="shared" si="1"/>
        <v>46013</v>
      </c>
      <c r="B14554" s="37" t="str">
        <f t="array" ref="B14554">iferror(xlookup($I14554, 'IMPORT VHC Report'!$E:$E, 'IMPORT VHC Report'!$A:$C), )</f>
        <v/>
      </c>
      <c r="C14554" s="44"/>
      <c r="D14554" s="44"/>
      <c r="E14554" s="46" t="s">
        <v>10698</v>
      </c>
      <c r="F14554" s="46" t="s">
        <v>4794</v>
      </c>
      <c r="G14554" s="46">
        <v>1.0548588312463E13</v>
      </c>
      <c r="H14554" s="46" t="s">
        <v>4795</v>
      </c>
      <c r="I14554" s="46" t="s">
        <v>4796</v>
      </c>
      <c r="J14554" s="46" t="s">
        <v>125</v>
      </c>
      <c r="K14554" s="46" t="s">
        <v>126</v>
      </c>
      <c r="L14554" s="45">
        <v>46016.666666666664</v>
      </c>
      <c r="M14554" s="46" t="s">
        <v>123</v>
      </c>
      <c r="N14554" s="45">
        <v>46016.677083333336</v>
      </c>
      <c r="O14554" s="46" t="s">
        <v>123</v>
      </c>
      <c r="P14554" s="46">
        <v>900.0</v>
      </c>
      <c r="S14554" s="46" t="s">
        <v>199</v>
      </c>
    </row>
    <row r="14555">
      <c r="A14555" s="40">
        <f t="shared" si="1"/>
        <v>46013</v>
      </c>
      <c r="B14555" s="37" t="str">
        <f t="array" ref="B14555">iferror(xlookup($I14555, 'IMPORT VHC Report'!$E:$E, 'IMPORT VHC Report'!$A:$C), )</f>
        <v/>
      </c>
      <c r="C14555" s="44"/>
      <c r="D14555" s="44"/>
      <c r="E14555" s="46" t="s">
        <v>10699</v>
      </c>
      <c r="F14555" s="46" t="s">
        <v>4794</v>
      </c>
      <c r="G14555" s="46">
        <v>1.0548588312463E13</v>
      </c>
      <c r="H14555" s="46" t="s">
        <v>4795</v>
      </c>
      <c r="I14555" s="46" t="s">
        <v>4796</v>
      </c>
      <c r="J14555" s="46" t="s">
        <v>196</v>
      </c>
      <c r="K14555" s="46" t="s">
        <v>63</v>
      </c>
      <c r="L14555" s="45">
        <v>46016.666666666664</v>
      </c>
      <c r="M14555" s="46" t="s">
        <v>123</v>
      </c>
      <c r="N14555" s="45">
        <v>46016.833333333336</v>
      </c>
      <c r="O14555" s="46" t="s">
        <v>123</v>
      </c>
      <c r="P14555" s="46">
        <v>14400.0</v>
      </c>
    </row>
    <row r="14556">
      <c r="A14556" s="40">
        <f t="shared" si="1"/>
        <v>46013</v>
      </c>
      <c r="B14556" s="37" t="str">
        <f t="array" ref="B14556">iferror(xlookup($I14556, 'IMPORT VHC Report'!$E:$E, 'IMPORT VHC Report'!$A:$C), )</f>
        <v/>
      </c>
      <c r="C14556" s="44"/>
      <c r="D14556" s="44"/>
      <c r="E14556" s="46" t="s">
        <v>10700</v>
      </c>
      <c r="F14556" s="46" t="s">
        <v>4794</v>
      </c>
      <c r="G14556" s="46">
        <v>1.0548588312463E13</v>
      </c>
      <c r="H14556" s="46" t="s">
        <v>4795</v>
      </c>
      <c r="I14556" s="46" t="s">
        <v>4796</v>
      </c>
      <c r="J14556" s="46" t="s">
        <v>132</v>
      </c>
      <c r="K14556" s="46" t="s">
        <v>126</v>
      </c>
      <c r="L14556" s="45">
        <v>46016.791666666664</v>
      </c>
      <c r="M14556" s="46" t="s">
        <v>123</v>
      </c>
      <c r="N14556" s="45">
        <v>46016.833333333336</v>
      </c>
      <c r="O14556" s="46" t="s">
        <v>123</v>
      </c>
      <c r="P14556" s="46">
        <v>3600.0</v>
      </c>
    </row>
    <row r="14557">
      <c r="A14557" s="40">
        <f t="shared" si="1"/>
        <v>46013</v>
      </c>
      <c r="B14557" s="37" t="str">
        <f t="array" ref="B14557">iferror(xlookup($I14557, 'IMPORT VHC Report'!$E:$E, 'IMPORT VHC Report'!$A:$C), )</f>
        <v/>
      </c>
      <c r="C14557" s="44"/>
      <c r="D14557" s="44"/>
      <c r="E14557" s="46" t="s">
        <v>10701</v>
      </c>
      <c r="F14557" s="46" t="s">
        <v>4794</v>
      </c>
      <c r="G14557" s="46">
        <v>1.0548588312463E13</v>
      </c>
      <c r="H14557" s="46" t="s">
        <v>4795</v>
      </c>
      <c r="I14557" s="46" t="s">
        <v>4796</v>
      </c>
      <c r="J14557" s="46" t="s">
        <v>62</v>
      </c>
      <c r="K14557" s="46" t="s">
        <v>63</v>
      </c>
      <c r="L14557" s="45">
        <v>46016.791666666664</v>
      </c>
      <c r="M14557" s="46" t="s">
        <v>123</v>
      </c>
      <c r="N14557" s="45">
        <v>46016.854166666664</v>
      </c>
      <c r="O14557" s="46" t="s">
        <v>123</v>
      </c>
      <c r="P14557" s="46">
        <v>5400.0</v>
      </c>
    </row>
    <row r="14558">
      <c r="A14558" s="40">
        <f t="shared" si="1"/>
        <v>46013</v>
      </c>
      <c r="B14558" s="37" t="str">
        <f t="array" ref="B14558">iferror(xlookup($I14558, 'IMPORT VHC Report'!$E:$E, 'IMPORT VHC Report'!$A:$C), )</f>
        <v/>
      </c>
      <c r="C14558" s="44"/>
      <c r="D14558" s="44"/>
      <c r="E14558" s="46" t="s">
        <v>10702</v>
      </c>
      <c r="F14558" s="46" t="s">
        <v>4794</v>
      </c>
      <c r="G14558" s="46">
        <v>1.0548588312463E13</v>
      </c>
      <c r="H14558" s="46" t="s">
        <v>4795</v>
      </c>
      <c r="I14558" s="46" t="s">
        <v>4796</v>
      </c>
      <c r="J14558" s="46" t="s">
        <v>196</v>
      </c>
      <c r="K14558" s="46" t="s">
        <v>63</v>
      </c>
      <c r="L14558" s="45">
        <v>46016.854166666664</v>
      </c>
      <c r="M14558" s="46" t="s">
        <v>123</v>
      </c>
      <c r="N14558" s="45">
        <v>46017.041666666664</v>
      </c>
      <c r="O14558" s="46" t="s">
        <v>123</v>
      </c>
      <c r="P14558" s="46">
        <v>16200.0</v>
      </c>
    </row>
    <row r="14559">
      <c r="A14559" s="40">
        <f t="shared" si="1"/>
        <v>46013</v>
      </c>
      <c r="B14559" s="37" t="str">
        <f t="array" ref="B14559">iferror(xlookup($I14559, 'IMPORT VHC Report'!$E:$E, 'IMPORT VHC Report'!$A:$C), )</f>
        <v/>
      </c>
      <c r="C14559" s="44"/>
      <c r="D14559" s="44"/>
      <c r="E14559" s="46" t="s">
        <v>10703</v>
      </c>
      <c r="F14559" s="46" t="s">
        <v>4794</v>
      </c>
      <c r="G14559" s="46">
        <v>1.0548588312463E13</v>
      </c>
      <c r="H14559" s="46" t="s">
        <v>4795</v>
      </c>
      <c r="I14559" s="46" t="s">
        <v>4796</v>
      </c>
      <c r="J14559" s="46" t="s">
        <v>134</v>
      </c>
      <c r="K14559" s="46" t="s">
        <v>126</v>
      </c>
      <c r="L14559" s="45">
        <v>46016.9375</v>
      </c>
      <c r="M14559" s="46" t="s">
        <v>123</v>
      </c>
      <c r="N14559" s="45">
        <v>46016.958333333336</v>
      </c>
      <c r="O14559" s="46" t="s">
        <v>123</v>
      </c>
      <c r="P14559" s="46">
        <v>1800.0</v>
      </c>
    </row>
    <row r="14560">
      <c r="A14560" s="40">
        <f t="shared" si="1"/>
        <v>46013</v>
      </c>
      <c r="B14560" s="37" t="str">
        <f t="array" ref="B14560">iferror(xlookup($I14560, 'IMPORT VHC Report'!$E:$E, 'IMPORT VHC Report'!$A:$C), )</f>
        <v/>
      </c>
      <c r="C14560" s="44"/>
      <c r="D14560" s="44"/>
      <c r="E14560" s="46" t="s">
        <v>10704</v>
      </c>
      <c r="F14560" s="46" t="s">
        <v>4794</v>
      </c>
      <c r="G14560" s="46">
        <v>1.0548588312463E13</v>
      </c>
      <c r="H14560" s="46" t="s">
        <v>4795</v>
      </c>
      <c r="I14560" s="46" t="s">
        <v>4796</v>
      </c>
      <c r="J14560" s="46" t="s">
        <v>125</v>
      </c>
      <c r="K14560" s="46" t="s">
        <v>126</v>
      </c>
      <c r="L14560" s="45">
        <v>46017.666666666664</v>
      </c>
      <c r="M14560" s="46" t="s">
        <v>123</v>
      </c>
      <c r="N14560" s="45">
        <v>46017.677083333336</v>
      </c>
      <c r="O14560" s="46" t="s">
        <v>123</v>
      </c>
      <c r="P14560" s="46">
        <v>900.0</v>
      </c>
      <c r="S14560" s="46" t="s">
        <v>199</v>
      </c>
    </row>
    <row r="14561">
      <c r="A14561" s="40">
        <f t="shared" si="1"/>
        <v>46013</v>
      </c>
      <c r="B14561" s="37" t="str">
        <f t="array" ref="B14561">iferror(xlookup($I14561, 'IMPORT VHC Report'!$E:$E, 'IMPORT VHC Report'!$A:$C), )</f>
        <v/>
      </c>
      <c r="C14561" s="44"/>
      <c r="D14561" s="44"/>
      <c r="E14561" s="46" t="s">
        <v>10705</v>
      </c>
      <c r="F14561" s="46" t="s">
        <v>4794</v>
      </c>
      <c r="G14561" s="46">
        <v>1.0548588312463E13</v>
      </c>
      <c r="H14561" s="46" t="s">
        <v>4795</v>
      </c>
      <c r="I14561" s="46" t="s">
        <v>4796</v>
      </c>
      <c r="J14561" s="46" t="s">
        <v>196</v>
      </c>
      <c r="K14561" s="46" t="s">
        <v>63</v>
      </c>
      <c r="L14561" s="45">
        <v>46017.666666666664</v>
      </c>
      <c r="M14561" s="46" t="s">
        <v>123</v>
      </c>
      <c r="N14561" s="45">
        <v>46018.041666666664</v>
      </c>
      <c r="O14561" s="46" t="s">
        <v>123</v>
      </c>
      <c r="P14561" s="46">
        <v>32400.0</v>
      </c>
    </row>
    <row r="14562">
      <c r="A14562" s="40">
        <f t="shared" si="1"/>
        <v>46013</v>
      </c>
      <c r="B14562" s="37" t="str">
        <f t="array" ref="B14562">iferror(xlookup($I14562, 'IMPORT VHC Report'!$E:$E, 'IMPORT VHC Report'!$A:$C), )</f>
        <v/>
      </c>
      <c r="C14562" s="44"/>
      <c r="D14562" s="44"/>
      <c r="E14562" s="46" t="s">
        <v>10706</v>
      </c>
      <c r="F14562" s="46" t="s">
        <v>4794</v>
      </c>
      <c r="G14562" s="46">
        <v>1.0548588312463E13</v>
      </c>
      <c r="H14562" s="46" t="s">
        <v>4795</v>
      </c>
      <c r="I14562" s="46" t="s">
        <v>4796</v>
      </c>
      <c r="J14562" s="46" t="s">
        <v>134</v>
      </c>
      <c r="K14562" s="46" t="s">
        <v>126</v>
      </c>
      <c r="L14562" s="45">
        <v>46017.78125</v>
      </c>
      <c r="M14562" s="46" t="s">
        <v>123</v>
      </c>
      <c r="N14562" s="45">
        <v>46017.802083333336</v>
      </c>
      <c r="O14562" s="46" t="s">
        <v>123</v>
      </c>
      <c r="P14562" s="46">
        <v>1800.0</v>
      </c>
    </row>
    <row r="14563">
      <c r="A14563" s="40">
        <f t="shared" si="1"/>
        <v>46013</v>
      </c>
      <c r="B14563" s="37" t="str">
        <f t="array" ref="B14563">iferror(xlookup($I14563, 'IMPORT VHC Report'!$E:$E, 'IMPORT VHC Report'!$A:$C), )</f>
        <v/>
      </c>
      <c r="C14563" s="44"/>
      <c r="D14563" s="44"/>
      <c r="E14563" s="46" t="s">
        <v>10707</v>
      </c>
      <c r="F14563" s="46" t="s">
        <v>4794</v>
      </c>
      <c r="G14563" s="46">
        <v>1.0548588312463E13</v>
      </c>
      <c r="H14563" s="46" t="s">
        <v>4795</v>
      </c>
      <c r="I14563" s="46" t="s">
        <v>4796</v>
      </c>
      <c r="J14563" s="46" t="s">
        <v>132</v>
      </c>
      <c r="K14563" s="46" t="s">
        <v>126</v>
      </c>
      <c r="L14563" s="45">
        <v>46017.916666666664</v>
      </c>
      <c r="M14563" s="46" t="s">
        <v>123</v>
      </c>
      <c r="N14563" s="45">
        <v>46017.958333333336</v>
      </c>
      <c r="O14563" s="46" t="s">
        <v>123</v>
      </c>
      <c r="P14563" s="46">
        <v>3600.0</v>
      </c>
    </row>
    <row r="14564">
      <c r="A14564" s="40">
        <f t="shared" si="1"/>
        <v>46013</v>
      </c>
      <c r="B14564" s="37" t="str">
        <f t="array" ref="B14564">iferror(xlookup($I14564, 'IMPORT VHC Report'!$E:$E, 'IMPORT VHC Report'!$A:$C), )</f>
        <v/>
      </c>
      <c r="C14564" s="44"/>
      <c r="D14564" s="44"/>
      <c r="E14564" s="46" t="s">
        <v>10708</v>
      </c>
      <c r="F14564" s="46" t="s">
        <v>5095</v>
      </c>
      <c r="G14564" s="46">
        <v>9.586408388239E12</v>
      </c>
      <c r="H14564" s="46" t="s">
        <v>5096</v>
      </c>
      <c r="I14564" s="46" t="s">
        <v>5097</v>
      </c>
      <c r="J14564" s="46" t="s">
        <v>125</v>
      </c>
      <c r="K14564" s="46" t="s">
        <v>126</v>
      </c>
      <c r="L14564" s="45">
        <v>46013.75</v>
      </c>
      <c r="M14564" s="46" t="s">
        <v>123</v>
      </c>
      <c r="N14564" s="45">
        <v>46013.760416666664</v>
      </c>
      <c r="O14564" s="46" t="s">
        <v>123</v>
      </c>
      <c r="P14564" s="46">
        <v>900.0</v>
      </c>
      <c r="S14564" s="46" t="s">
        <v>199</v>
      </c>
    </row>
    <row r="14565">
      <c r="A14565" s="40">
        <f t="shared" si="1"/>
        <v>46013</v>
      </c>
      <c r="B14565" s="37" t="str">
        <f t="array" ref="B14565">iferror(xlookup($I14565, 'IMPORT VHC Report'!$E:$E, 'IMPORT VHC Report'!$A:$C), )</f>
        <v/>
      </c>
      <c r="C14565" s="44"/>
      <c r="D14565" s="44"/>
      <c r="E14565" s="46" t="s">
        <v>10709</v>
      </c>
      <c r="F14565" s="46" t="s">
        <v>5095</v>
      </c>
      <c r="G14565" s="46">
        <v>9.586408388239E12</v>
      </c>
      <c r="H14565" s="46" t="s">
        <v>5096</v>
      </c>
      <c r="I14565" s="46" t="s">
        <v>5097</v>
      </c>
      <c r="J14565" s="46" t="s">
        <v>196</v>
      </c>
      <c r="K14565" s="46" t="s">
        <v>63</v>
      </c>
      <c r="L14565" s="45">
        <v>46013.75</v>
      </c>
      <c r="M14565" s="46" t="s">
        <v>123</v>
      </c>
      <c r="N14565" s="45">
        <v>46014.125</v>
      </c>
      <c r="O14565" s="46" t="s">
        <v>123</v>
      </c>
      <c r="P14565" s="46">
        <v>32400.0</v>
      </c>
    </row>
    <row r="14566">
      <c r="A14566" s="40">
        <f t="shared" si="1"/>
        <v>46013</v>
      </c>
      <c r="B14566" s="37" t="str">
        <f t="array" ref="B14566">iferror(xlookup($I14566, 'IMPORT VHC Report'!$E:$E, 'IMPORT VHC Report'!$A:$C), )</f>
        <v/>
      </c>
      <c r="C14566" s="44"/>
      <c r="D14566" s="44"/>
      <c r="E14566" s="46" t="s">
        <v>10710</v>
      </c>
      <c r="F14566" s="46" t="s">
        <v>5095</v>
      </c>
      <c r="G14566" s="46">
        <v>9.586408388239E12</v>
      </c>
      <c r="H14566" s="46" t="s">
        <v>5096</v>
      </c>
      <c r="I14566" s="46" t="s">
        <v>5097</v>
      </c>
      <c r="J14566" s="46" t="s">
        <v>4</v>
      </c>
      <c r="K14566" s="46" t="s">
        <v>126</v>
      </c>
      <c r="L14566" s="45">
        <v>46013.760416666664</v>
      </c>
      <c r="M14566" s="46" t="s">
        <v>123</v>
      </c>
      <c r="N14566" s="45">
        <v>46013.770833333336</v>
      </c>
      <c r="O14566" s="46" t="s">
        <v>123</v>
      </c>
      <c r="P14566" s="46">
        <v>900.0</v>
      </c>
      <c r="S14566" s="46" t="s">
        <v>10711</v>
      </c>
    </row>
    <row r="14567">
      <c r="A14567" s="40">
        <f t="shared" si="1"/>
        <v>46013</v>
      </c>
      <c r="B14567" s="37" t="str">
        <f t="array" ref="B14567">iferror(xlookup($I14567, 'IMPORT VHC Report'!$E:$E, 'IMPORT VHC Report'!$A:$C), )</f>
        <v/>
      </c>
      <c r="C14567" s="44"/>
      <c r="D14567" s="44"/>
      <c r="E14567" s="46" t="s">
        <v>10712</v>
      </c>
      <c r="F14567" s="46" t="s">
        <v>5095</v>
      </c>
      <c r="G14567" s="46">
        <v>9.586408388239E12</v>
      </c>
      <c r="H14567" s="46" t="s">
        <v>5096</v>
      </c>
      <c r="I14567" s="46" t="s">
        <v>5097</v>
      </c>
      <c r="J14567" s="46" t="s">
        <v>330</v>
      </c>
      <c r="K14567" s="46" t="s">
        <v>126</v>
      </c>
      <c r="L14567" s="45">
        <v>46013.8125</v>
      </c>
      <c r="M14567" s="46" t="s">
        <v>123</v>
      </c>
      <c r="N14567" s="45">
        <v>46013.854166666664</v>
      </c>
      <c r="O14567" s="46" t="s">
        <v>123</v>
      </c>
      <c r="P14567" s="46">
        <v>3600.0</v>
      </c>
    </row>
    <row r="14568">
      <c r="A14568" s="40">
        <f t="shared" si="1"/>
        <v>46013</v>
      </c>
      <c r="B14568" s="37" t="str">
        <f t="array" ref="B14568">iferror(xlookup($I14568, 'IMPORT VHC Report'!$E:$E, 'IMPORT VHC Report'!$A:$C), )</f>
        <v/>
      </c>
      <c r="C14568" s="44"/>
      <c r="D14568" s="44"/>
      <c r="E14568" s="46" t="s">
        <v>10713</v>
      </c>
      <c r="F14568" s="46" t="s">
        <v>5095</v>
      </c>
      <c r="G14568" s="46">
        <v>9.586408388239E12</v>
      </c>
      <c r="H14568" s="46" t="s">
        <v>5096</v>
      </c>
      <c r="I14568" s="46" t="s">
        <v>5097</v>
      </c>
      <c r="J14568" s="46" t="s">
        <v>134</v>
      </c>
      <c r="K14568" s="46" t="s">
        <v>126</v>
      </c>
      <c r="L14568" s="45">
        <v>46013.854166666664</v>
      </c>
      <c r="M14568" s="46" t="s">
        <v>123</v>
      </c>
      <c r="N14568" s="45">
        <v>46013.864583333336</v>
      </c>
      <c r="O14568" s="46" t="s">
        <v>123</v>
      </c>
      <c r="P14568" s="46">
        <v>900.0</v>
      </c>
    </row>
    <row r="14569">
      <c r="A14569" s="40">
        <f t="shared" si="1"/>
        <v>46013</v>
      </c>
      <c r="B14569" s="37" t="str">
        <f t="array" ref="B14569">iferror(xlookup($I14569, 'IMPORT VHC Report'!$E:$E, 'IMPORT VHC Report'!$A:$C), )</f>
        <v/>
      </c>
      <c r="C14569" s="44"/>
      <c r="D14569" s="44"/>
      <c r="E14569" s="46" t="s">
        <v>10714</v>
      </c>
      <c r="F14569" s="46" t="s">
        <v>5095</v>
      </c>
      <c r="G14569" s="46">
        <v>9.586408388239E12</v>
      </c>
      <c r="H14569" s="46" t="s">
        <v>5096</v>
      </c>
      <c r="I14569" s="46" t="s">
        <v>5097</v>
      </c>
      <c r="J14569" s="46" t="s">
        <v>132</v>
      </c>
      <c r="K14569" s="46" t="s">
        <v>126</v>
      </c>
      <c r="L14569" s="45">
        <v>46013.958333333336</v>
      </c>
      <c r="M14569" s="46" t="s">
        <v>123</v>
      </c>
      <c r="N14569" s="45">
        <v>46014.0</v>
      </c>
      <c r="O14569" s="46" t="s">
        <v>123</v>
      </c>
      <c r="P14569" s="46">
        <v>3600.0</v>
      </c>
    </row>
    <row r="14570">
      <c r="A14570" s="40">
        <f t="shared" si="1"/>
        <v>46013</v>
      </c>
      <c r="B14570" s="37" t="str">
        <f t="array" ref="B14570">iferror(xlookup($I14570, 'IMPORT VHC Report'!$E:$E, 'IMPORT VHC Report'!$A:$C), )</f>
        <v/>
      </c>
      <c r="C14570" s="44"/>
      <c r="D14570" s="44"/>
      <c r="E14570" s="46" t="s">
        <v>10715</v>
      </c>
      <c r="F14570" s="46" t="s">
        <v>5095</v>
      </c>
      <c r="G14570" s="46">
        <v>9.586408388239E12</v>
      </c>
      <c r="H14570" s="46" t="s">
        <v>5096</v>
      </c>
      <c r="I14570" s="46" t="s">
        <v>5097</v>
      </c>
      <c r="J14570" s="46" t="s">
        <v>125</v>
      </c>
      <c r="K14570" s="46" t="s">
        <v>126</v>
      </c>
      <c r="L14570" s="45">
        <v>46014.75</v>
      </c>
      <c r="M14570" s="46" t="s">
        <v>123</v>
      </c>
      <c r="N14570" s="45">
        <v>46014.760416666664</v>
      </c>
      <c r="O14570" s="46" t="s">
        <v>123</v>
      </c>
      <c r="P14570" s="46">
        <v>900.0</v>
      </c>
      <c r="S14570" s="46" t="s">
        <v>199</v>
      </c>
    </row>
    <row r="14571">
      <c r="A14571" s="40">
        <f t="shared" si="1"/>
        <v>46013</v>
      </c>
      <c r="B14571" s="37" t="str">
        <f t="array" ref="B14571">iferror(xlookup($I14571, 'IMPORT VHC Report'!$E:$E, 'IMPORT VHC Report'!$A:$C), )</f>
        <v/>
      </c>
      <c r="C14571" s="44"/>
      <c r="D14571" s="44"/>
      <c r="E14571" s="46" t="s">
        <v>10716</v>
      </c>
      <c r="F14571" s="46" t="s">
        <v>5095</v>
      </c>
      <c r="G14571" s="46">
        <v>9.586408388239E12</v>
      </c>
      <c r="H14571" s="46" t="s">
        <v>5096</v>
      </c>
      <c r="I14571" s="46" t="s">
        <v>5097</v>
      </c>
      <c r="J14571" s="46" t="s">
        <v>196</v>
      </c>
      <c r="K14571" s="46" t="s">
        <v>63</v>
      </c>
      <c r="L14571" s="45">
        <v>46014.75</v>
      </c>
      <c r="M14571" s="46" t="s">
        <v>123</v>
      </c>
      <c r="N14571" s="45">
        <v>46015.125</v>
      </c>
      <c r="O14571" s="46" t="s">
        <v>123</v>
      </c>
      <c r="P14571" s="46">
        <v>32400.0</v>
      </c>
    </row>
    <row r="14572">
      <c r="A14572" s="40">
        <f t="shared" si="1"/>
        <v>46013</v>
      </c>
      <c r="B14572" s="37" t="str">
        <f t="array" ref="B14572">iferror(xlookup($I14572, 'IMPORT VHC Report'!$E:$E, 'IMPORT VHC Report'!$A:$C), )</f>
        <v/>
      </c>
      <c r="C14572" s="44"/>
      <c r="D14572" s="44"/>
      <c r="E14572" s="46" t="s">
        <v>10717</v>
      </c>
      <c r="F14572" s="46" t="s">
        <v>5095</v>
      </c>
      <c r="G14572" s="46">
        <v>9.586408388239E12</v>
      </c>
      <c r="H14572" s="46" t="s">
        <v>5096</v>
      </c>
      <c r="I14572" s="46" t="s">
        <v>5097</v>
      </c>
      <c r="J14572" s="46" t="s">
        <v>134</v>
      </c>
      <c r="K14572" s="46" t="s">
        <v>126</v>
      </c>
      <c r="L14572" s="45">
        <v>46014.854166666664</v>
      </c>
      <c r="M14572" s="46" t="s">
        <v>123</v>
      </c>
      <c r="N14572" s="45">
        <v>46014.875</v>
      </c>
      <c r="O14572" s="46" t="s">
        <v>123</v>
      </c>
      <c r="P14572" s="46">
        <v>1800.0</v>
      </c>
    </row>
    <row r="14573">
      <c r="A14573" s="40">
        <f t="shared" si="1"/>
        <v>46013</v>
      </c>
      <c r="B14573" s="37" t="str">
        <f t="array" ref="B14573">iferror(xlookup($I14573, 'IMPORT VHC Report'!$E:$E, 'IMPORT VHC Report'!$A:$C), )</f>
        <v/>
      </c>
      <c r="C14573" s="44"/>
      <c r="D14573" s="44"/>
      <c r="E14573" s="46" t="s">
        <v>10718</v>
      </c>
      <c r="F14573" s="46" t="s">
        <v>5095</v>
      </c>
      <c r="G14573" s="46">
        <v>9.586408388239E12</v>
      </c>
      <c r="H14573" s="46" t="s">
        <v>5096</v>
      </c>
      <c r="I14573" s="46" t="s">
        <v>5097</v>
      </c>
      <c r="J14573" s="46" t="s">
        <v>132</v>
      </c>
      <c r="K14573" s="46" t="s">
        <v>126</v>
      </c>
      <c r="L14573" s="45">
        <v>46015.0</v>
      </c>
      <c r="M14573" s="46" t="s">
        <v>123</v>
      </c>
      <c r="N14573" s="45">
        <v>46015.041666666664</v>
      </c>
      <c r="O14573" s="46" t="s">
        <v>123</v>
      </c>
      <c r="P14573" s="46">
        <v>3600.0</v>
      </c>
    </row>
    <row r="14574">
      <c r="A14574" s="40">
        <f t="shared" si="1"/>
        <v>46013</v>
      </c>
      <c r="B14574" s="37" t="str">
        <f t="array" ref="B14574">iferror(xlookup($I14574, 'IMPORT VHC Report'!$E:$E, 'IMPORT VHC Report'!$A:$C), )</f>
        <v/>
      </c>
      <c r="C14574" s="44"/>
      <c r="D14574" s="44"/>
      <c r="E14574" s="46" t="s">
        <v>10719</v>
      </c>
      <c r="F14574" s="46" t="s">
        <v>5095</v>
      </c>
      <c r="G14574" s="46">
        <v>9.586408388239E12</v>
      </c>
      <c r="H14574" s="46" t="s">
        <v>5096</v>
      </c>
      <c r="I14574" s="46" t="s">
        <v>5097</v>
      </c>
      <c r="J14574" s="46" t="s">
        <v>125</v>
      </c>
      <c r="K14574" s="46" t="s">
        <v>126</v>
      </c>
      <c r="L14574" s="45">
        <v>46015.75</v>
      </c>
      <c r="M14574" s="46" t="s">
        <v>123</v>
      </c>
      <c r="N14574" s="45">
        <v>46015.760416666664</v>
      </c>
      <c r="O14574" s="46" t="s">
        <v>123</v>
      </c>
      <c r="P14574" s="46">
        <v>900.0</v>
      </c>
      <c r="S14574" s="46" t="s">
        <v>199</v>
      </c>
    </row>
    <row r="14575">
      <c r="A14575" s="40">
        <f t="shared" si="1"/>
        <v>46013</v>
      </c>
      <c r="B14575" s="37" t="str">
        <f t="array" ref="B14575">iferror(xlookup($I14575, 'IMPORT VHC Report'!$E:$E, 'IMPORT VHC Report'!$A:$C), )</f>
        <v/>
      </c>
      <c r="C14575" s="44"/>
      <c r="D14575" s="44"/>
      <c r="E14575" s="46" t="s">
        <v>10720</v>
      </c>
      <c r="F14575" s="46" t="s">
        <v>5095</v>
      </c>
      <c r="G14575" s="46">
        <v>9.586408388239E12</v>
      </c>
      <c r="H14575" s="46" t="s">
        <v>5096</v>
      </c>
      <c r="I14575" s="46" t="s">
        <v>5097</v>
      </c>
      <c r="J14575" s="46" t="s">
        <v>196</v>
      </c>
      <c r="K14575" s="46" t="s">
        <v>63</v>
      </c>
      <c r="L14575" s="45">
        <v>46015.75</v>
      </c>
      <c r="M14575" s="46" t="s">
        <v>123</v>
      </c>
      <c r="N14575" s="45">
        <v>46016.125</v>
      </c>
      <c r="O14575" s="46" t="s">
        <v>123</v>
      </c>
      <c r="P14575" s="46">
        <v>32400.0</v>
      </c>
    </row>
    <row r="14576">
      <c r="A14576" s="40">
        <f t="shared" si="1"/>
        <v>46013</v>
      </c>
      <c r="B14576" s="37" t="str">
        <f t="array" ref="B14576">iferror(xlookup($I14576, 'IMPORT VHC Report'!$E:$E, 'IMPORT VHC Report'!$A:$C), )</f>
        <v/>
      </c>
      <c r="C14576" s="44"/>
      <c r="D14576" s="44"/>
      <c r="E14576" s="46" t="s">
        <v>10721</v>
      </c>
      <c r="F14576" s="46" t="s">
        <v>5095</v>
      </c>
      <c r="G14576" s="46">
        <v>9.586408388239E12</v>
      </c>
      <c r="H14576" s="46" t="s">
        <v>5096</v>
      </c>
      <c r="I14576" s="46" t="s">
        <v>5097</v>
      </c>
      <c r="J14576" s="46" t="s">
        <v>132</v>
      </c>
      <c r="K14576" s="46" t="s">
        <v>126</v>
      </c>
      <c r="L14576" s="45">
        <v>46015.885416666664</v>
      </c>
      <c r="M14576" s="46" t="s">
        <v>123</v>
      </c>
      <c r="N14576" s="45">
        <v>46015.927083333336</v>
      </c>
      <c r="O14576" s="46" t="s">
        <v>123</v>
      </c>
      <c r="P14576" s="46">
        <v>3600.0</v>
      </c>
    </row>
    <row r="14577">
      <c r="A14577" s="40">
        <f t="shared" si="1"/>
        <v>46013</v>
      </c>
      <c r="B14577" s="37" t="str">
        <f t="array" ref="B14577">iferror(xlookup($I14577, 'IMPORT VHC Report'!$E:$E, 'IMPORT VHC Report'!$A:$C), )</f>
        <v/>
      </c>
      <c r="C14577" s="44"/>
      <c r="D14577" s="44"/>
      <c r="E14577" s="46" t="s">
        <v>10722</v>
      </c>
      <c r="F14577" s="46" t="s">
        <v>5095</v>
      </c>
      <c r="G14577" s="46">
        <v>9.586408388239E12</v>
      </c>
      <c r="H14577" s="46" t="s">
        <v>5096</v>
      </c>
      <c r="I14577" s="46" t="s">
        <v>5097</v>
      </c>
      <c r="J14577" s="46" t="s">
        <v>134</v>
      </c>
      <c r="K14577" s="46" t="s">
        <v>126</v>
      </c>
      <c r="L14577" s="45">
        <v>46016.010416666664</v>
      </c>
      <c r="M14577" s="46" t="s">
        <v>123</v>
      </c>
      <c r="N14577" s="45">
        <v>46016.03125</v>
      </c>
      <c r="O14577" s="46" t="s">
        <v>123</v>
      </c>
      <c r="P14577" s="46">
        <v>1800.0</v>
      </c>
    </row>
    <row r="14578">
      <c r="A14578" s="40">
        <f t="shared" si="1"/>
        <v>46013</v>
      </c>
      <c r="B14578" s="37" t="str">
        <f t="array" ref="B14578">iferror(xlookup($I14578, 'IMPORT VHC Report'!$E:$E, 'IMPORT VHC Report'!$A:$C), )</f>
        <v/>
      </c>
      <c r="C14578" s="44"/>
      <c r="D14578" s="44"/>
      <c r="E14578" s="46" t="s">
        <v>10723</v>
      </c>
      <c r="F14578" s="46" t="s">
        <v>5095</v>
      </c>
      <c r="G14578" s="46">
        <v>9.586408388239E12</v>
      </c>
      <c r="H14578" s="46" t="s">
        <v>5096</v>
      </c>
      <c r="I14578" s="46" t="s">
        <v>5097</v>
      </c>
      <c r="J14578" s="46" t="s">
        <v>125</v>
      </c>
      <c r="K14578" s="46" t="s">
        <v>126</v>
      </c>
      <c r="L14578" s="45">
        <v>46016.75</v>
      </c>
      <c r="M14578" s="46" t="s">
        <v>123</v>
      </c>
      <c r="N14578" s="45">
        <v>46016.760416666664</v>
      </c>
      <c r="O14578" s="46" t="s">
        <v>123</v>
      </c>
      <c r="P14578" s="46">
        <v>900.0</v>
      </c>
      <c r="S14578" s="46" t="s">
        <v>199</v>
      </c>
    </row>
    <row r="14579">
      <c r="A14579" s="40">
        <f t="shared" si="1"/>
        <v>46013</v>
      </c>
      <c r="B14579" s="37" t="str">
        <f t="array" ref="B14579">iferror(xlookup($I14579, 'IMPORT VHC Report'!$E:$E, 'IMPORT VHC Report'!$A:$C), )</f>
        <v/>
      </c>
      <c r="C14579" s="44"/>
      <c r="D14579" s="44"/>
      <c r="E14579" s="46" t="s">
        <v>10724</v>
      </c>
      <c r="F14579" s="46" t="s">
        <v>5095</v>
      </c>
      <c r="G14579" s="46">
        <v>9.586408388239E12</v>
      </c>
      <c r="H14579" s="46" t="s">
        <v>5096</v>
      </c>
      <c r="I14579" s="46" t="s">
        <v>5097</v>
      </c>
      <c r="J14579" s="46" t="s">
        <v>196</v>
      </c>
      <c r="K14579" s="46" t="s">
        <v>63</v>
      </c>
      <c r="L14579" s="45">
        <v>46016.75</v>
      </c>
      <c r="M14579" s="46" t="s">
        <v>123</v>
      </c>
      <c r="N14579" s="45">
        <v>46016.833333333336</v>
      </c>
      <c r="O14579" s="46" t="s">
        <v>123</v>
      </c>
      <c r="P14579" s="46">
        <v>7200.0</v>
      </c>
    </row>
    <row r="14580">
      <c r="A14580" s="40">
        <f t="shared" si="1"/>
        <v>46013</v>
      </c>
      <c r="B14580" s="37" t="str">
        <f t="array" ref="B14580">iferror(xlookup($I14580, 'IMPORT VHC Report'!$E:$E, 'IMPORT VHC Report'!$A:$C), )</f>
        <v/>
      </c>
      <c r="C14580" s="44"/>
      <c r="D14580" s="44"/>
      <c r="E14580" s="46" t="s">
        <v>10725</v>
      </c>
      <c r="F14580" s="46" t="s">
        <v>5095</v>
      </c>
      <c r="G14580" s="46">
        <v>9.586408388239E12</v>
      </c>
      <c r="H14580" s="46" t="s">
        <v>5096</v>
      </c>
      <c r="I14580" s="46" t="s">
        <v>5097</v>
      </c>
      <c r="J14580" s="46" t="s">
        <v>62</v>
      </c>
      <c r="K14580" s="46" t="s">
        <v>63</v>
      </c>
      <c r="L14580" s="45">
        <v>46016.833333333336</v>
      </c>
      <c r="M14580" s="46" t="s">
        <v>123</v>
      </c>
      <c r="N14580" s="45">
        <v>46016.854166666664</v>
      </c>
      <c r="O14580" s="46" t="s">
        <v>123</v>
      </c>
      <c r="P14580" s="46">
        <v>1800.0</v>
      </c>
    </row>
    <row r="14581">
      <c r="A14581" s="40">
        <f t="shared" si="1"/>
        <v>46013</v>
      </c>
      <c r="B14581" s="37" t="str">
        <f t="array" ref="B14581">iferror(xlookup($I14581, 'IMPORT VHC Report'!$E:$E, 'IMPORT VHC Report'!$A:$C), )</f>
        <v/>
      </c>
      <c r="C14581" s="44"/>
      <c r="D14581" s="44"/>
      <c r="E14581" s="46" t="s">
        <v>10726</v>
      </c>
      <c r="F14581" s="46" t="s">
        <v>5095</v>
      </c>
      <c r="G14581" s="46">
        <v>9.586408388239E12</v>
      </c>
      <c r="H14581" s="46" t="s">
        <v>5096</v>
      </c>
      <c r="I14581" s="46" t="s">
        <v>5097</v>
      </c>
      <c r="J14581" s="46" t="s">
        <v>196</v>
      </c>
      <c r="K14581" s="46" t="s">
        <v>63</v>
      </c>
      <c r="L14581" s="45">
        <v>46016.854166666664</v>
      </c>
      <c r="M14581" s="46" t="s">
        <v>123</v>
      </c>
      <c r="N14581" s="45">
        <v>46017.125</v>
      </c>
      <c r="O14581" s="46" t="s">
        <v>123</v>
      </c>
      <c r="P14581" s="46">
        <v>23400.0</v>
      </c>
    </row>
    <row r="14582">
      <c r="A14582" s="40">
        <f t="shared" si="1"/>
        <v>46013</v>
      </c>
      <c r="B14582" s="37" t="str">
        <f t="array" ref="B14582">iferror(xlookup($I14582, 'IMPORT VHC Report'!$E:$E, 'IMPORT VHC Report'!$A:$C), )</f>
        <v/>
      </c>
      <c r="C14582" s="44"/>
      <c r="D14582" s="44"/>
      <c r="E14582" s="46" t="s">
        <v>10727</v>
      </c>
      <c r="F14582" s="46" t="s">
        <v>5095</v>
      </c>
      <c r="G14582" s="46">
        <v>9.586408388239E12</v>
      </c>
      <c r="H14582" s="46" t="s">
        <v>5096</v>
      </c>
      <c r="I14582" s="46" t="s">
        <v>5097</v>
      </c>
      <c r="J14582" s="46" t="s">
        <v>134</v>
      </c>
      <c r="K14582" s="46" t="s">
        <v>126</v>
      </c>
      <c r="L14582" s="45">
        <v>46016.875</v>
      </c>
      <c r="M14582" s="46" t="s">
        <v>123</v>
      </c>
      <c r="N14582" s="45">
        <v>46016.895833333336</v>
      </c>
      <c r="O14582" s="46" t="s">
        <v>123</v>
      </c>
      <c r="P14582" s="46">
        <v>1800.0</v>
      </c>
    </row>
    <row r="14583">
      <c r="A14583" s="40">
        <f t="shared" si="1"/>
        <v>46013</v>
      </c>
      <c r="B14583" s="37" t="str">
        <f t="array" ref="B14583">iferror(xlookup($I14583, 'IMPORT VHC Report'!$E:$E, 'IMPORT VHC Report'!$A:$C), )</f>
        <v/>
      </c>
      <c r="C14583" s="44"/>
      <c r="D14583" s="44"/>
      <c r="E14583" s="46" t="s">
        <v>10728</v>
      </c>
      <c r="F14583" s="46" t="s">
        <v>5095</v>
      </c>
      <c r="G14583" s="46">
        <v>9.586408388239E12</v>
      </c>
      <c r="H14583" s="46" t="s">
        <v>5096</v>
      </c>
      <c r="I14583" s="46" t="s">
        <v>5097</v>
      </c>
      <c r="J14583" s="46" t="s">
        <v>132</v>
      </c>
      <c r="K14583" s="46" t="s">
        <v>126</v>
      </c>
      <c r="L14583" s="45">
        <v>46017.0</v>
      </c>
      <c r="M14583" s="46" t="s">
        <v>123</v>
      </c>
      <c r="N14583" s="45">
        <v>46017.041666666664</v>
      </c>
      <c r="O14583" s="46" t="s">
        <v>123</v>
      </c>
      <c r="P14583" s="46">
        <v>3600.0</v>
      </c>
    </row>
    <row r="14584">
      <c r="A14584" s="40">
        <f t="shared" si="1"/>
        <v>46013</v>
      </c>
      <c r="B14584" s="37" t="str">
        <f t="array" ref="B14584">iferror(xlookup($I14584, 'IMPORT VHC Report'!$E:$E, 'IMPORT VHC Report'!$A:$C), )</f>
        <v/>
      </c>
      <c r="C14584" s="44"/>
      <c r="D14584" s="44"/>
      <c r="E14584" s="46" t="s">
        <v>10729</v>
      </c>
      <c r="F14584" s="46" t="s">
        <v>5095</v>
      </c>
      <c r="G14584" s="46">
        <v>9.586408388239E12</v>
      </c>
      <c r="H14584" s="46" t="s">
        <v>5096</v>
      </c>
      <c r="I14584" s="46" t="s">
        <v>5097</v>
      </c>
      <c r="J14584" s="46" t="s">
        <v>125</v>
      </c>
      <c r="K14584" s="46" t="s">
        <v>126</v>
      </c>
      <c r="L14584" s="45">
        <v>46017.75</v>
      </c>
      <c r="M14584" s="46" t="s">
        <v>123</v>
      </c>
      <c r="N14584" s="45">
        <v>46017.760416666664</v>
      </c>
      <c r="O14584" s="46" t="s">
        <v>123</v>
      </c>
      <c r="P14584" s="46">
        <v>900.0</v>
      </c>
      <c r="S14584" s="46" t="s">
        <v>199</v>
      </c>
    </row>
    <row r="14585">
      <c r="A14585" s="40">
        <f t="shared" si="1"/>
        <v>46013</v>
      </c>
      <c r="B14585" s="37" t="str">
        <f t="array" ref="B14585">iferror(xlookup($I14585, 'IMPORT VHC Report'!$E:$E, 'IMPORT VHC Report'!$A:$C), )</f>
        <v/>
      </c>
      <c r="C14585" s="44"/>
      <c r="D14585" s="44"/>
      <c r="E14585" s="46" t="s">
        <v>10730</v>
      </c>
      <c r="F14585" s="46" t="s">
        <v>5095</v>
      </c>
      <c r="G14585" s="46">
        <v>9.586408388239E12</v>
      </c>
      <c r="H14585" s="46" t="s">
        <v>5096</v>
      </c>
      <c r="I14585" s="46" t="s">
        <v>5097</v>
      </c>
      <c r="J14585" s="46" t="s">
        <v>196</v>
      </c>
      <c r="K14585" s="46" t="s">
        <v>63</v>
      </c>
      <c r="L14585" s="45">
        <v>46017.75</v>
      </c>
      <c r="M14585" s="46" t="s">
        <v>123</v>
      </c>
      <c r="N14585" s="45">
        <v>46018.125</v>
      </c>
      <c r="O14585" s="46" t="s">
        <v>123</v>
      </c>
      <c r="P14585" s="46">
        <v>32400.0</v>
      </c>
    </row>
    <row r="14586">
      <c r="A14586" s="40">
        <f t="shared" si="1"/>
        <v>46013</v>
      </c>
      <c r="B14586" s="37" t="str">
        <f t="array" ref="B14586">iferror(xlookup($I14586, 'IMPORT VHC Report'!$E:$E, 'IMPORT VHC Report'!$A:$C), )</f>
        <v/>
      </c>
      <c r="C14586" s="44"/>
      <c r="D14586" s="44"/>
      <c r="E14586" s="46" t="s">
        <v>10731</v>
      </c>
      <c r="F14586" s="46" t="s">
        <v>5095</v>
      </c>
      <c r="G14586" s="46">
        <v>9.586408388239E12</v>
      </c>
      <c r="H14586" s="46" t="s">
        <v>5096</v>
      </c>
      <c r="I14586" s="46" t="s">
        <v>5097</v>
      </c>
      <c r="J14586" s="46" t="s">
        <v>134</v>
      </c>
      <c r="K14586" s="46" t="s">
        <v>126</v>
      </c>
      <c r="L14586" s="45">
        <v>46017.854166666664</v>
      </c>
      <c r="M14586" s="46" t="s">
        <v>123</v>
      </c>
      <c r="N14586" s="45">
        <v>46017.875</v>
      </c>
      <c r="O14586" s="46" t="s">
        <v>123</v>
      </c>
      <c r="P14586" s="46">
        <v>1800.0</v>
      </c>
    </row>
    <row r="14587">
      <c r="A14587" s="40">
        <f t="shared" si="1"/>
        <v>46013</v>
      </c>
      <c r="B14587" s="37" t="str">
        <f t="array" ref="B14587">iferror(xlookup($I14587, 'IMPORT VHC Report'!$E:$E, 'IMPORT VHC Report'!$A:$C), )</f>
        <v/>
      </c>
      <c r="C14587" s="44"/>
      <c r="D14587" s="44"/>
      <c r="E14587" s="46" t="s">
        <v>10732</v>
      </c>
      <c r="F14587" s="46" t="s">
        <v>5095</v>
      </c>
      <c r="G14587" s="46">
        <v>9.586408388239E12</v>
      </c>
      <c r="H14587" s="46" t="s">
        <v>5096</v>
      </c>
      <c r="I14587" s="46" t="s">
        <v>5097</v>
      </c>
      <c r="J14587" s="46" t="s">
        <v>132</v>
      </c>
      <c r="K14587" s="46" t="s">
        <v>126</v>
      </c>
      <c r="L14587" s="45">
        <v>46018.0</v>
      </c>
      <c r="M14587" s="46" t="s">
        <v>123</v>
      </c>
      <c r="N14587" s="45">
        <v>46018.041666666664</v>
      </c>
      <c r="O14587" s="46" t="s">
        <v>123</v>
      </c>
      <c r="P14587" s="46">
        <v>3600.0</v>
      </c>
    </row>
    <row r="14588">
      <c r="A14588" s="40">
        <f t="shared" si="1"/>
        <v>46013</v>
      </c>
      <c r="B14588" s="37" t="str">
        <f t="array" ref="B14588">iferror(xlookup($I14588, 'IMPORT VHC Report'!$E:$E, 'IMPORT VHC Report'!$A:$C), )</f>
        <v/>
      </c>
      <c r="C14588" s="44"/>
      <c r="D14588" s="44"/>
      <c r="E14588" s="46" t="s">
        <v>10733</v>
      </c>
      <c r="F14588" s="46" t="s">
        <v>5441</v>
      </c>
      <c r="G14588" s="46">
        <v>1.0333049701519E13</v>
      </c>
      <c r="H14588" s="46" t="s">
        <v>5442</v>
      </c>
      <c r="I14588" s="46" t="s">
        <v>5443</v>
      </c>
      <c r="J14588" s="46" t="s">
        <v>125</v>
      </c>
      <c r="K14588" s="46" t="s">
        <v>126</v>
      </c>
      <c r="L14588" s="45">
        <v>46013.875</v>
      </c>
      <c r="M14588" s="46" t="s">
        <v>123</v>
      </c>
      <c r="N14588" s="45">
        <v>46013.885416666664</v>
      </c>
      <c r="O14588" s="46" t="s">
        <v>123</v>
      </c>
      <c r="P14588" s="46">
        <v>900.0</v>
      </c>
      <c r="S14588" s="46" t="s">
        <v>199</v>
      </c>
    </row>
    <row r="14589">
      <c r="A14589" s="40">
        <f t="shared" si="1"/>
        <v>46013</v>
      </c>
      <c r="B14589" s="37" t="str">
        <f t="array" ref="B14589">iferror(xlookup($I14589, 'IMPORT VHC Report'!$E:$E, 'IMPORT VHC Report'!$A:$C), )</f>
        <v/>
      </c>
      <c r="C14589" s="44"/>
      <c r="D14589" s="44"/>
      <c r="E14589" s="46" t="s">
        <v>10734</v>
      </c>
      <c r="F14589" s="46" t="s">
        <v>5441</v>
      </c>
      <c r="G14589" s="46">
        <v>1.0333049701519E13</v>
      </c>
      <c r="H14589" s="46" t="s">
        <v>5442</v>
      </c>
      <c r="I14589" s="46" t="s">
        <v>5443</v>
      </c>
      <c r="J14589" s="46" t="s">
        <v>196</v>
      </c>
      <c r="K14589" s="46" t="s">
        <v>63</v>
      </c>
      <c r="L14589" s="45">
        <v>46013.875</v>
      </c>
      <c r="M14589" s="46" t="s">
        <v>123</v>
      </c>
      <c r="N14589" s="45">
        <v>46014.25</v>
      </c>
      <c r="O14589" s="46" t="s">
        <v>123</v>
      </c>
      <c r="P14589" s="46">
        <v>32400.0</v>
      </c>
    </row>
    <row r="14590">
      <c r="A14590" s="40">
        <f t="shared" si="1"/>
        <v>46013</v>
      </c>
      <c r="B14590" s="37" t="str">
        <f t="array" ref="B14590">iferror(xlookup($I14590, 'IMPORT VHC Report'!$E:$E, 'IMPORT VHC Report'!$A:$C), )</f>
        <v/>
      </c>
      <c r="C14590" s="44"/>
      <c r="D14590" s="44"/>
      <c r="E14590" s="46" t="s">
        <v>10735</v>
      </c>
      <c r="F14590" s="46" t="s">
        <v>5441</v>
      </c>
      <c r="G14590" s="46">
        <v>1.0333049701519E13</v>
      </c>
      <c r="H14590" s="46" t="s">
        <v>5442</v>
      </c>
      <c r="I14590" s="46" t="s">
        <v>5443</v>
      </c>
      <c r="J14590" s="46" t="s">
        <v>134</v>
      </c>
      <c r="K14590" s="46" t="s">
        <v>126</v>
      </c>
      <c r="L14590" s="45">
        <v>46014.020833333336</v>
      </c>
      <c r="M14590" s="46" t="s">
        <v>123</v>
      </c>
      <c r="N14590" s="45">
        <v>46014.041666666664</v>
      </c>
      <c r="O14590" s="46" t="s">
        <v>123</v>
      </c>
      <c r="P14590" s="46">
        <v>1800.0</v>
      </c>
    </row>
    <row r="14591">
      <c r="A14591" s="40">
        <f t="shared" si="1"/>
        <v>46013</v>
      </c>
      <c r="B14591" s="37" t="str">
        <f t="array" ref="B14591">iferror(xlookup($I14591, 'IMPORT VHC Report'!$E:$E, 'IMPORT VHC Report'!$A:$C), )</f>
        <v/>
      </c>
      <c r="C14591" s="44"/>
      <c r="D14591" s="44"/>
      <c r="E14591" s="46" t="s">
        <v>10736</v>
      </c>
      <c r="F14591" s="46" t="s">
        <v>5441</v>
      </c>
      <c r="G14591" s="46">
        <v>1.0333049701519E13</v>
      </c>
      <c r="H14591" s="46" t="s">
        <v>5442</v>
      </c>
      <c r="I14591" s="46" t="s">
        <v>5443</v>
      </c>
      <c r="J14591" s="46" t="s">
        <v>132</v>
      </c>
      <c r="K14591" s="46" t="s">
        <v>126</v>
      </c>
      <c r="L14591" s="45">
        <v>46014.135416666664</v>
      </c>
      <c r="M14591" s="46" t="s">
        <v>123</v>
      </c>
      <c r="N14591" s="45">
        <v>46014.177083333336</v>
      </c>
      <c r="O14591" s="46" t="s">
        <v>123</v>
      </c>
      <c r="P14591" s="46">
        <v>3600.0</v>
      </c>
    </row>
    <row r="14592">
      <c r="A14592" s="40">
        <f t="shared" si="1"/>
        <v>46013</v>
      </c>
      <c r="B14592" s="37" t="str">
        <f t="array" ref="B14592">iferror(xlookup($I14592, 'IMPORT VHC Report'!$E:$E, 'IMPORT VHC Report'!$A:$C), )</f>
        <v/>
      </c>
      <c r="C14592" s="44"/>
      <c r="D14592" s="44"/>
      <c r="E14592" s="46" t="s">
        <v>10737</v>
      </c>
      <c r="F14592" s="46" t="s">
        <v>5441</v>
      </c>
      <c r="G14592" s="46">
        <v>1.0333049701519E13</v>
      </c>
      <c r="H14592" s="46" t="s">
        <v>5442</v>
      </c>
      <c r="I14592" s="46" t="s">
        <v>5443</v>
      </c>
      <c r="J14592" s="46" t="s">
        <v>125</v>
      </c>
      <c r="K14592" s="46" t="s">
        <v>126</v>
      </c>
      <c r="L14592" s="45">
        <v>46014.875</v>
      </c>
      <c r="M14592" s="46" t="s">
        <v>123</v>
      </c>
      <c r="N14592" s="45">
        <v>46014.885416666664</v>
      </c>
      <c r="O14592" s="46" t="s">
        <v>123</v>
      </c>
      <c r="P14592" s="46">
        <v>900.0</v>
      </c>
      <c r="S14592" s="46" t="s">
        <v>199</v>
      </c>
    </row>
    <row r="14593">
      <c r="A14593" s="40">
        <f t="shared" si="1"/>
        <v>46013</v>
      </c>
      <c r="B14593" s="37" t="str">
        <f t="array" ref="B14593">iferror(xlookup($I14593, 'IMPORT VHC Report'!$E:$E, 'IMPORT VHC Report'!$A:$C), )</f>
        <v/>
      </c>
      <c r="C14593" s="44"/>
      <c r="D14593" s="44"/>
      <c r="E14593" s="46" t="s">
        <v>10738</v>
      </c>
      <c r="F14593" s="46" t="s">
        <v>5441</v>
      </c>
      <c r="G14593" s="46">
        <v>1.0333049701519E13</v>
      </c>
      <c r="H14593" s="46" t="s">
        <v>5442</v>
      </c>
      <c r="I14593" s="46" t="s">
        <v>5443</v>
      </c>
      <c r="J14593" s="46" t="s">
        <v>196</v>
      </c>
      <c r="K14593" s="46" t="s">
        <v>63</v>
      </c>
      <c r="L14593" s="45">
        <v>46014.875</v>
      </c>
      <c r="M14593" s="46" t="s">
        <v>123</v>
      </c>
      <c r="N14593" s="45">
        <v>46014.9375</v>
      </c>
      <c r="O14593" s="46" t="s">
        <v>123</v>
      </c>
      <c r="P14593" s="46">
        <v>5400.0</v>
      </c>
    </row>
    <row r="14594">
      <c r="A14594" s="40">
        <f t="shared" si="1"/>
        <v>46013</v>
      </c>
      <c r="B14594" s="37" t="str">
        <f t="array" ref="B14594">iferror(xlookup($I14594, 'IMPORT VHC Report'!$E:$E, 'IMPORT VHC Report'!$A:$C), )</f>
        <v/>
      </c>
      <c r="C14594" s="44"/>
      <c r="D14594" s="44"/>
      <c r="E14594" s="46" t="s">
        <v>10739</v>
      </c>
      <c r="F14594" s="46" t="s">
        <v>5441</v>
      </c>
      <c r="G14594" s="46">
        <v>1.0333049701519E13</v>
      </c>
      <c r="H14594" s="46" t="s">
        <v>5442</v>
      </c>
      <c r="I14594" s="46" t="s">
        <v>5443</v>
      </c>
      <c r="J14594" s="46" t="s">
        <v>178</v>
      </c>
      <c r="K14594" s="46" t="s">
        <v>153</v>
      </c>
      <c r="L14594" s="45">
        <v>46014.875</v>
      </c>
      <c r="M14594" s="46" t="s">
        <v>123</v>
      </c>
      <c r="N14594" s="45">
        <v>46015.25</v>
      </c>
      <c r="O14594" s="46" t="s">
        <v>123</v>
      </c>
      <c r="P14594" s="46">
        <v>32400.0</v>
      </c>
      <c r="Q14594" s="46">
        <v>28800.0</v>
      </c>
    </row>
    <row r="14595">
      <c r="A14595" s="40">
        <f t="shared" si="1"/>
        <v>46013</v>
      </c>
      <c r="B14595" s="37" t="str">
        <f t="array" ref="B14595">iferror(xlookup($I14595, 'IMPORT VHC Report'!$E:$E, 'IMPORT VHC Report'!$A:$C), )</f>
        <v/>
      </c>
      <c r="C14595" s="44"/>
      <c r="D14595" s="44"/>
      <c r="E14595" s="46" t="s">
        <v>10740</v>
      </c>
      <c r="F14595" s="46" t="s">
        <v>5441</v>
      </c>
      <c r="G14595" s="46">
        <v>1.0333049701519E13</v>
      </c>
      <c r="H14595" s="46" t="s">
        <v>5442</v>
      </c>
      <c r="I14595" s="46" t="s">
        <v>5443</v>
      </c>
      <c r="J14595" s="46" t="s">
        <v>62</v>
      </c>
      <c r="K14595" s="46" t="s">
        <v>63</v>
      </c>
      <c r="L14595" s="45">
        <v>46014.9375</v>
      </c>
      <c r="M14595" s="46" t="s">
        <v>123</v>
      </c>
      <c r="N14595" s="45">
        <v>46014.958333333336</v>
      </c>
      <c r="O14595" s="46" t="s">
        <v>123</v>
      </c>
      <c r="P14595" s="46">
        <v>1800.0</v>
      </c>
    </row>
    <row r="14596">
      <c r="A14596" s="40">
        <f t="shared" si="1"/>
        <v>46013</v>
      </c>
      <c r="B14596" s="37" t="str">
        <f t="array" ref="B14596">iferror(xlookup($I14596, 'IMPORT VHC Report'!$E:$E, 'IMPORT VHC Report'!$A:$C), )</f>
        <v/>
      </c>
      <c r="C14596" s="44"/>
      <c r="D14596" s="44"/>
      <c r="E14596" s="46" t="s">
        <v>10741</v>
      </c>
      <c r="F14596" s="46" t="s">
        <v>5441</v>
      </c>
      <c r="G14596" s="46">
        <v>1.0333049701519E13</v>
      </c>
      <c r="H14596" s="46" t="s">
        <v>5442</v>
      </c>
      <c r="I14596" s="46" t="s">
        <v>5443</v>
      </c>
      <c r="J14596" s="46" t="s">
        <v>196</v>
      </c>
      <c r="K14596" s="46" t="s">
        <v>63</v>
      </c>
      <c r="L14596" s="45">
        <v>46014.958333333336</v>
      </c>
      <c r="M14596" s="46" t="s">
        <v>123</v>
      </c>
      <c r="N14596" s="45">
        <v>46015.25</v>
      </c>
      <c r="O14596" s="46" t="s">
        <v>123</v>
      </c>
      <c r="P14596" s="46">
        <v>25200.0</v>
      </c>
    </row>
    <row r="14597">
      <c r="A14597" s="40">
        <f t="shared" si="1"/>
        <v>46013</v>
      </c>
      <c r="B14597" s="37" t="str">
        <f t="array" ref="B14597">iferror(xlookup($I14597, 'IMPORT VHC Report'!$E:$E, 'IMPORT VHC Report'!$A:$C), )</f>
        <v/>
      </c>
      <c r="C14597" s="44"/>
      <c r="D14597" s="44"/>
      <c r="E14597" s="46" t="s">
        <v>10742</v>
      </c>
      <c r="F14597" s="46" t="s">
        <v>5441</v>
      </c>
      <c r="G14597" s="46">
        <v>1.0333049701519E13</v>
      </c>
      <c r="H14597" s="46" t="s">
        <v>5442</v>
      </c>
      <c r="I14597" s="46" t="s">
        <v>5443</v>
      </c>
      <c r="J14597" s="46" t="s">
        <v>132</v>
      </c>
      <c r="K14597" s="46" t="s">
        <v>126</v>
      </c>
      <c r="L14597" s="45">
        <v>46015.0</v>
      </c>
      <c r="M14597" s="46" t="s">
        <v>123</v>
      </c>
      <c r="N14597" s="45">
        <v>46015.041666666664</v>
      </c>
      <c r="O14597" s="46" t="s">
        <v>123</v>
      </c>
      <c r="P14597" s="46">
        <v>3600.0</v>
      </c>
    </row>
    <row r="14598">
      <c r="A14598" s="40">
        <f t="shared" si="1"/>
        <v>46013</v>
      </c>
      <c r="B14598" s="37" t="str">
        <f t="array" ref="B14598">iferror(xlookup($I14598, 'IMPORT VHC Report'!$E:$E, 'IMPORT VHC Report'!$A:$C), )</f>
        <v/>
      </c>
      <c r="C14598" s="44"/>
      <c r="D14598" s="44"/>
      <c r="E14598" s="46" t="s">
        <v>10743</v>
      </c>
      <c r="F14598" s="46" t="s">
        <v>5441</v>
      </c>
      <c r="G14598" s="46">
        <v>1.0333049701519E13</v>
      </c>
      <c r="H14598" s="46" t="s">
        <v>5442</v>
      </c>
      <c r="I14598" s="46" t="s">
        <v>5443</v>
      </c>
      <c r="J14598" s="46" t="s">
        <v>134</v>
      </c>
      <c r="K14598" s="46" t="s">
        <v>126</v>
      </c>
      <c r="L14598" s="45">
        <v>46015.15625</v>
      </c>
      <c r="M14598" s="46" t="s">
        <v>123</v>
      </c>
      <c r="N14598" s="45">
        <v>46015.177083333336</v>
      </c>
      <c r="O14598" s="46" t="s">
        <v>123</v>
      </c>
      <c r="P14598" s="46">
        <v>1800.0</v>
      </c>
    </row>
    <row r="14599">
      <c r="A14599" s="40">
        <f t="shared" si="1"/>
        <v>46013</v>
      </c>
      <c r="B14599" s="37" t="str">
        <f t="array" ref="B14599">iferror(xlookup($I14599, 'IMPORT VHC Report'!$E:$E, 'IMPORT VHC Report'!$A:$C), )</f>
        <v/>
      </c>
      <c r="C14599" s="44"/>
      <c r="D14599" s="44"/>
      <c r="E14599" s="46" t="s">
        <v>10744</v>
      </c>
      <c r="F14599" s="46" t="s">
        <v>5441</v>
      </c>
      <c r="G14599" s="46">
        <v>1.0333049701519E13</v>
      </c>
      <c r="H14599" s="46" t="s">
        <v>5442</v>
      </c>
      <c r="I14599" s="46" t="s">
        <v>5443</v>
      </c>
      <c r="J14599" s="46" t="s">
        <v>125</v>
      </c>
      <c r="K14599" s="46" t="s">
        <v>126</v>
      </c>
      <c r="L14599" s="45">
        <v>46015.875</v>
      </c>
      <c r="M14599" s="46" t="s">
        <v>123</v>
      </c>
      <c r="N14599" s="45">
        <v>46015.885416666664</v>
      </c>
      <c r="O14599" s="46" t="s">
        <v>123</v>
      </c>
      <c r="P14599" s="46">
        <v>900.0</v>
      </c>
      <c r="S14599" s="46" t="s">
        <v>199</v>
      </c>
    </row>
    <row r="14600">
      <c r="A14600" s="40">
        <f t="shared" si="1"/>
        <v>46013</v>
      </c>
      <c r="B14600" s="37" t="str">
        <f t="array" ref="B14600">iferror(xlookup($I14600, 'IMPORT VHC Report'!$E:$E, 'IMPORT VHC Report'!$A:$C), )</f>
        <v/>
      </c>
      <c r="C14600" s="44"/>
      <c r="D14600" s="44"/>
      <c r="E14600" s="46" t="s">
        <v>10745</v>
      </c>
      <c r="F14600" s="46" t="s">
        <v>5441</v>
      </c>
      <c r="G14600" s="46">
        <v>1.0333049701519E13</v>
      </c>
      <c r="H14600" s="46" t="s">
        <v>5442</v>
      </c>
      <c r="I14600" s="46" t="s">
        <v>5443</v>
      </c>
      <c r="J14600" s="46" t="s">
        <v>196</v>
      </c>
      <c r="K14600" s="46" t="s">
        <v>63</v>
      </c>
      <c r="L14600" s="45">
        <v>46015.875</v>
      </c>
      <c r="M14600" s="46" t="s">
        <v>123</v>
      </c>
      <c r="N14600" s="45">
        <v>46016.25</v>
      </c>
      <c r="O14600" s="46" t="s">
        <v>123</v>
      </c>
      <c r="P14600" s="46">
        <v>32400.0</v>
      </c>
    </row>
    <row r="14601">
      <c r="A14601" s="40">
        <f t="shared" si="1"/>
        <v>46013</v>
      </c>
      <c r="B14601" s="37" t="str">
        <f t="array" ref="B14601">iferror(xlookup($I14601, 'IMPORT VHC Report'!$E:$E, 'IMPORT VHC Report'!$A:$C), )</f>
        <v/>
      </c>
      <c r="C14601" s="44"/>
      <c r="D14601" s="44"/>
      <c r="E14601" s="46" t="s">
        <v>10746</v>
      </c>
      <c r="F14601" s="46" t="s">
        <v>5441</v>
      </c>
      <c r="G14601" s="46">
        <v>1.0333049701519E13</v>
      </c>
      <c r="H14601" s="46" t="s">
        <v>5442</v>
      </c>
      <c r="I14601" s="46" t="s">
        <v>5443</v>
      </c>
      <c r="J14601" s="46" t="s">
        <v>178</v>
      </c>
      <c r="K14601" s="46" t="s">
        <v>153</v>
      </c>
      <c r="L14601" s="45">
        <v>46015.875</v>
      </c>
      <c r="M14601" s="46" t="s">
        <v>123</v>
      </c>
      <c r="N14601" s="45">
        <v>46016.25</v>
      </c>
      <c r="O14601" s="46" t="s">
        <v>123</v>
      </c>
      <c r="P14601" s="46">
        <v>32400.0</v>
      </c>
      <c r="Q14601" s="46">
        <v>28800.0</v>
      </c>
    </row>
    <row r="14602">
      <c r="A14602" s="40">
        <f t="shared" si="1"/>
        <v>46013</v>
      </c>
      <c r="B14602" s="37" t="str">
        <f t="array" ref="B14602">iferror(xlookup($I14602, 'IMPORT VHC Report'!$E:$E, 'IMPORT VHC Report'!$A:$C), )</f>
        <v/>
      </c>
      <c r="C14602" s="44"/>
      <c r="D14602" s="44"/>
      <c r="E14602" s="46" t="s">
        <v>10747</v>
      </c>
      <c r="F14602" s="46" t="s">
        <v>5441</v>
      </c>
      <c r="G14602" s="46">
        <v>1.0333049701519E13</v>
      </c>
      <c r="H14602" s="46" t="s">
        <v>5442</v>
      </c>
      <c r="I14602" s="46" t="s">
        <v>5443</v>
      </c>
      <c r="J14602" s="46" t="s">
        <v>134</v>
      </c>
      <c r="K14602" s="46" t="s">
        <v>126</v>
      </c>
      <c r="L14602" s="45">
        <v>46015.979166666664</v>
      </c>
      <c r="M14602" s="46" t="s">
        <v>123</v>
      </c>
      <c r="N14602" s="45">
        <v>46016.0</v>
      </c>
      <c r="O14602" s="46" t="s">
        <v>123</v>
      </c>
      <c r="P14602" s="46">
        <v>1800.0</v>
      </c>
    </row>
    <row r="14603">
      <c r="A14603" s="40">
        <f t="shared" si="1"/>
        <v>46013</v>
      </c>
      <c r="B14603" s="37" t="str">
        <f t="array" ref="B14603">iferror(xlookup($I14603, 'IMPORT VHC Report'!$E:$E, 'IMPORT VHC Report'!$A:$C), )</f>
        <v/>
      </c>
      <c r="C14603" s="44"/>
      <c r="D14603" s="44"/>
      <c r="E14603" s="46" t="s">
        <v>10748</v>
      </c>
      <c r="F14603" s="46" t="s">
        <v>5441</v>
      </c>
      <c r="G14603" s="46">
        <v>1.0333049701519E13</v>
      </c>
      <c r="H14603" s="46" t="s">
        <v>5442</v>
      </c>
      <c r="I14603" s="46" t="s">
        <v>5443</v>
      </c>
      <c r="J14603" s="46" t="s">
        <v>132</v>
      </c>
      <c r="K14603" s="46" t="s">
        <v>126</v>
      </c>
      <c r="L14603" s="45">
        <v>46016.135416666664</v>
      </c>
      <c r="M14603" s="46" t="s">
        <v>123</v>
      </c>
      <c r="N14603" s="45">
        <v>46016.177083333336</v>
      </c>
      <c r="O14603" s="46" t="s">
        <v>123</v>
      </c>
      <c r="P14603" s="46">
        <v>3600.0</v>
      </c>
    </row>
    <row r="14604">
      <c r="A14604" s="40">
        <f t="shared" si="1"/>
        <v>46013</v>
      </c>
      <c r="B14604" s="37" t="str">
        <f t="array" ref="B14604">iferror(xlookup($I14604, 'IMPORT VHC Report'!$E:$E, 'IMPORT VHC Report'!$A:$C), )</f>
        <v/>
      </c>
      <c r="C14604" s="44"/>
      <c r="D14604" s="44"/>
      <c r="E14604" s="46" t="s">
        <v>10749</v>
      </c>
      <c r="F14604" s="46" t="s">
        <v>5441</v>
      </c>
      <c r="G14604" s="46">
        <v>1.0333049701519E13</v>
      </c>
      <c r="H14604" s="46" t="s">
        <v>5442</v>
      </c>
      <c r="I14604" s="46" t="s">
        <v>5443</v>
      </c>
      <c r="J14604" s="46" t="s">
        <v>125</v>
      </c>
      <c r="K14604" s="46" t="s">
        <v>126</v>
      </c>
      <c r="L14604" s="45">
        <v>46016.875</v>
      </c>
      <c r="M14604" s="46" t="s">
        <v>123</v>
      </c>
      <c r="N14604" s="45">
        <v>46016.885416666664</v>
      </c>
      <c r="O14604" s="46" t="s">
        <v>123</v>
      </c>
      <c r="P14604" s="46">
        <v>900.0</v>
      </c>
      <c r="S14604" s="46" t="s">
        <v>199</v>
      </c>
    </row>
    <row r="14605">
      <c r="A14605" s="40">
        <f t="shared" si="1"/>
        <v>46013</v>
      </c>
      <c r="B14605" s="37" t="str">
        <f t="array" ref="B14605">iferror(xlookup($I14605, 'IMPORT VHC Report'!$E:$E, 'IMPORT VHC Report'!$A:$C), )</f>
        <v/>
      </c>
      <c r="C14605" s="44"/>
      <c r="D14605" s="44"/>
      <c r="E14605" s="46" t="s">
        <v>10750</v>
      </c>
      <c r="F14605" s="46" t="s">
        <v>5441</v>
      </c>
      <c r="G14605" s="46">
        <v>1.0333049701519E13</v>
      </c>
      <c r="H14605" s="46" t="s">
        <v>5442</v>
      </c>
      <c r="I14605" s="46" t="s">
        <v>5443</v>
      </c>
      <c r="J14605" s="46" t="s">
        <v>178</v>
      </c>
      <c r="K14605" s="46" t="s">
        <v>153</v>
      </c>
      <c r="L14605" s="45">
        <v>46016.875</v>
      </c>
      <c r="M14605" s="46" t="s">
        <v>123</v>
      </c>
      <c r="N14605" s="45">
        <v>46017.25</v>
      </c>
      <c r="O14605" s="46" t="s">
        <v>123</v>
      </c>
      <c r="P14605" s="46">
        <v>32400.0</v>
      </c>
      <c r="Q14605" s="46">
        <v>28800.0</v>
      </c>
    </row>
    <row r="14606">
      <c r="A14606" s="40">
        <f t="shared" si="1"/>
        <v>46013</v>
      </c>
      <c r="B14606" s="37" t="str">
        <f t="array" ref="B14606">iferror(xlookup($I14606, 'IMPORT VHC Report'!$E:$E, 'IMPORT VHC Report'!$A:$C), )</f>
        <v/>
      </c>
      <c r="C14606" s="44"/>
      <c r="D14606" s="44"/>
      <c r="E14606" s="46" t="s">
        <v>10751</v>
      </c>
      <c r="F14606" s="46" t="s">
        <v>5441</v>
      </c>
      <c r="G14606" s="46">
        <v>1.0333049701519E13</v>
      </c>
      <c r="H14606" s="46" t="s">
        <v>5442</v>
      </c>
      <c r="I14606" s="46" t="s">
        <v>5443</v>
      </c>
      <c r="J14606" s="46" t="s">
        <v>196</v>
      </c>
      <c r="K14606" s="46" t="s">
        <v>63</v>
      </c>
      <c r="L14606" s="45">
        <v>46016.875</v>
      </c>
      <c r="M14606" s="46" t="s">
        <v>123</v>
      </c>
      <c r="N14606" s="45">
        <v>46017.25</v>
      </c>
      <c r="O14606" s="46" t="s">
        <v>123</v>
      </c>
      <c r="P14606" s="46">
        <v>32400.0</v>
      </c>
    </row>
    <row r="14607">
      <c r="A14607" s="40">
        <f t="shared" si="1"/>
        <v>46013</v>
      </c>
      <c r="B14607" s="37" t="str">
        <f t="array" ref="B14607">iferror(xlookup($I14607, 'IMPORT VHC Report'!$E:$E, 'IMPORT VHC Report'!$A:$C), )</f>
        <v/>
      </c>
      <c r="C14607" s="44"/>
      <c r="D14607" s="44"/>
      <c r="E14607" s="46" t="s">
        <v>10752</v>
      </c>
      <c r="F14607" s="46" t="s">
        <v>5441</v>
      </c>
      <c r="G14607" s="46">
        <v>1.0333049701519E13</v>
      </c>
      <c r="H14607" s="46" t="s">
        <v>5442</v>
      </c>
      <c r="I14607" s="46" t="s">
        <v>5443</v>
      </c>
      <c r="J14607" s="46" t="s">
        <v>134</v>
      </c>
      <c r="K14607" s="46" t="s">
        <v>126</v>
      </c>
      <c r="L14607" s="45">
        <v>46017.0</v>
      </c>
      <c r="M14607" s="46" t="s">
        <v>123</v>
      </c>
      <c r="N14607" s="45">
        <v>46017.020833333336</v>
      </c>
      <c r="O14607" s="46" t="s">
        <v>123</v>
      </c>
      <c r="P14607" s="46">
        <v>1800.0</v>
      </c>
    </row>
    <row r="14608">
      <c r="A14608" s="40">
        <f t="shared" si="1"/>
        <v>46013</v>
      </c>
      <c r="B14608" s="37" t="str">
        <f t="array" ref="B14608">iferror(xlookup($I14608, 'IMPORT VHC Report'!$E:$E, 'IMPORT VHC Report'!$A:$C), )</f>
        <v/>
      </c>
      <c r="C14608" s="44"/>
      <c r="D14608" s="44"/>
      <c r="E14608" s="46" t="s">
        <v>10753</v>
      </c>
      <c r="F14608" s="46" t="s">
        <v>5441</v>
      </c>
      <c r="G14608" s="46">
        <v>1.0333049701519E13</v>
      </c>
      <c r="H14608" s="46" t="s">
        <v>5442</v>
      </c>
      <c r="I14608" s="46" t="s">
        <v>5443</v>
      </c>
      <c r="J14608" s="46" t="s">
        <v>132</v>
      </c>
      <c r="K14608" s="46" t="s">
        <v>126</v>
      </c>
      <c r="L14608" s="45">
        <v>46017.145833333336</v>
      </c>
      <c r="M14608" s="46" t="s">
        <v>123</v>
      </c>
      <c r="N14608" s="45">
        <v>46017.1875</v>
      </c>
      <c r="O14608" s="46" t="s">
        <v>123</v>
      </c>
      <c r="P14608" s="46">
        <v>3600.0</v>
      </c>
    </row>
    <row r="14609">
      <c r="A14609" s="40">
        <f t="shared" si="1"/>
        <v>46013</v>
      </c>
      <c r="B14609" s="37" t="str">
        <f t="array" ref="B14609">iferror(xlookup($I14609, 'IMPORT VHC Report'!$E:$E, 'IMPORT VHC Report'!$A:$C), )</f>
        <v/>
      </c>
      <c r="C14609" s="44"/>
      <c r="D14609" s="44"/>
      <c r="E14609" s="46" t="s">
        <v>10754</v>
      </c>
      <c r="F14609" s="46" t="s">
        <v>5441</v>
      </c>
      <c r="G14609" s="46">
        <v>1.0333049701519E13</v>
      </c>
      <c r="H14609" s="46" t="s">
        <v>5442</v>
      </c>
      <c r="I14609" s="46" t="s">
        <v>5443</v>
      </c>
      <c r="J14609" s="46" t="s">
        <v>125</v>
      </c>
      <c r="K14609" s="46" t="s">
        <v>126</v>
      </c>
      <c r="L14609" s="45">
        <v>46017.875</v>
      </c>
      <c r="M14609" s="46" t="s">
        <v>123</v>
      </c>
      <c r="N14609" s="45">
        <v>46017.885416666664</v>
      </c>
      <c r="O14609" s="46" t="s">
        <v>123</v>
      </c>
      <c r="P14609" s="46">
        <v>900.0</v>
      </c>
      <c r="S14609" s="46" t="s">
        <v>199</v>
      </c>
    </row>
    <row r="14610">
      <c r="A14610" s="40">
        <f t="shared" si="1"/>
        <v>46013</v>
      </c>
      <c r="B14610" s="37" t="str">
        <f t="array" ref="B14610">iferror(xlookup($I14610, 'IMPORT VHC Report'!$E:$E, 'IMPORT VHC Report'!$A:$C), )</f>
        <v/>
      </c>
      <c r="C14610" s="44"/>
      <c r="D14610" s="44"/>
      <c r="E14610" s="46" t="s">
        <v>10755</v>
      </c>
      <c r="F14610" s="46" t="s">
        <v>5441</v>
      </c>
      <c r="G14610" s="46">
        <v>1.0333049701519E13</v>
      </c>
      <c r="H14610" s="46" t="s">
        <v>5442</v>
      </c>
      <c r="I14610" s="46" t="s">
        <v>5443</v>
      </c>
      <c r="J14610" s="46" t="s">
        <v>196</v>
      </c>
      <c r="K14610" s="46" t="s">
        <v>63</v>
      </c>
      <c r="L14610" s="45">
        <v>46017.875</v>
      </c>
      <c r="M14610" s="46" t="s">
        <v>123</v>
      </c>
      <c r="N14610" s="45">
        <v>46018.25</v>
      </c>
      <c r="O14610" s="46" t="s">
        <v>123</v>
      </c>
      <c r="P14610" s="46">
        <v>32400.0</v>
      </c>
    </row>
    <row r="14611">
      <c r="A14611" s="40">
        <f t="shared" si="1"/>
        <v>46013</v>
      </c>
      <c r="B14611" s="37" t="str">
        <f t="array" ref="B14611">iferror(xlookup($I14611, 'IMPORT VHC Report'!$E:$E, 'IMPORT VHC Report'!$A:$C), )</f>
        <v/>
      </c>
      <c r="C14611" s="44"/>
      <c r="D14611" s="44"/>
      <c r="E14611" s="46" t="s">
        <v>10756</v>
      </c>
      <c r="F14611" s="46" t="s">
        <v>5441</v>
      </c>
      <c r="G14611" s="46">
        <v>1.0333049701519E13</v>
      </c>
      <c r="H14611" s="46" t="s">
        <v>5442</v>
      </c>
      <c r="I14611" s="46" t="s">
        <v>5443</v>
      </c>
      <c r="J14611" s="46" t="s">
        <v>134</v>
      </c>
      <c r="K14611" s="46" t="s">
        <v>126</v>
      </c>
      <c r="L14611" s="45">
        <v>46017.958333333336</v>
      </c>
      <c r="M14611" s="46" t="s">
        <v>123</v>
      </c>
      <c r="N14611" s="45">
        <v>46017.96875</v>
      </c>
      <c r="O14611" s="46" t="s">
        <v>123</v>
      </c>
      <c r="P14611" s="46">
        <v>900.0</v>
      </c>
    </row>
    <row r="14612">
      <c r="A14612" s="40">
        <f t="shared" si="1"/>
        <v>46013</v>
      </c>
      <c r="B14612" s="37" t="str">
        <f t="array" ref="B14612">iferror(xlookup($I14612, 'IMPORT VHC Report'!$E:$E, 'IMPORT VHC Report'!$A:$C), )</f>
        <v/>
      </c>
      <c r="C14612" s="44"/>
      <c r="D14612" s="44"/>
      <c r="E14612" s="46" t="s">
        <v>10757</v>
      </c>
      <c r="F14612" s="46" t="s">
        <v>5441</v>
      </c>
      <c r="G14612" s="46">
        <v>1.0333049701519E13</v>
      </c>
      <c r="H14612" s="46" t="s">
        <v>5442</v>
      </c>
      <c r="I14612" s="46" t="s">
        <v>5443</v>
      </c>
      <c r="J14612" s="46" t="s">
        <v>132</v>
      </c>
      <c r="K14612" s="46" t="s">
        <v>126</v>
      </c>
      <c r="L14612" s="45">
        <v>46018.041666666664</v>
      </c>
      <c r="M14612" s="46" t="s">
        <v>123</v>
      </c>
      <c r="N14612" s="45">
        <v>46018.083333333336</v>
      </c>
      <c r="O14612" s="46" t="s">
        <v>123</v>
      </c>
      <c r="P14612" s="46">
        <v>3600.0</v>
      </c>
    </row>
    <row r="14613">
      <c r="A14613" s="40">
        <f t="shared" si="1"/>
        <v>46013</v>
      </c>
      <c r="B14613" s="37" t="str">
        <f t="array" ref="B14613">iferror(xlookup($I14613, 'IMPORT VHC Report'!$E:$E, 'IMPORT VHC Report'!$A:$C), )</f>
        <v/>
      </c>
      <c r="C14613" s="44"/>
      <c r="D14613" s="44"/>
      <c r="E14613" s="46" t="s">
        <v>10758</v>
      </c>
      <c r="F14613" s="46" t="s">
        <v>5441</v>
      </c>
      <c r="G14613" s="46">
        <v>1.0333049701519E13</v>
      </c>
      <c r="H14613" s="46" t="s">
        <v>5442</v>
      </c>
      <c r="I14613" s="46" t="s">
        <v>5443</v>
      </c>
      <c r="J14613" s="46" t="s">
        <v>178</v>
      </c>
      <c r="K14613" s="46" t="s">
        <v>153</v>
      </c>
      <c r="L14613" s="45">
        <v>46018.083333333336</v>
      </c>
      <c r="M14613" s="46" t="s">
        <v>123</v>
      </c>
      <c r="N14613" s="45">
        <v>46018.25</v>
      </c>
      <c r="O14613" s="46" t="s">
        <v>123</v>
      </c>
      <c r="P14613" s="46">
        <v>14400.0</v>
      </c>
      <c r="Q14613" s="46">
        <v>21600.0</v>
      </c>
    </row>
    <row r="14614">
      <c r="A14614" s="40">
        <f t="shared" si="1"/>
        <v>46013</v>
      </c>
      <c r="B14614" s="37" t="str">
        <f t="array" ref="B14614">iferror(xlookup($I14614, 'IMPORT VHC Report'!$E:$E, 'IMPORT VHC Report'!$A:$C), )</f>
        <v/>
      </c>
      <c r="C14614" s="44"/>
      <c r="D14614" s="44"/>
      <c r="E14614" s="46" t="s">
        <v>10759</v>
      </c>
      <c r="F14614" s="46" t="s">
        <v>5441</v>
      </c>
      <c r="G14614" s="46">
        <v>1.0333049701519E13</v>
      </c>
      <c r="H14614" s="46" t="s">
        <v>5442</v>
      </c>
      <c r="I14614" s="46" t="s">
        <v>5443</v>
      </c>
      <c r="J14614" s="46" t="s">
        <v>134</v>
      </c>
      <c r="K14614" s="46" t="s">
        <v>126</v>
      </c>
      <c r="L14614" s="45">
        <v>46018.145833333336</v>
      </c>
      <c r="M14614" s="46" t="s">
        <v>123</v>
      </c>
      <c r="N14614" s="45">
        <v>46018.166666666664</v>
      </c>
      <c r="O14614" s="46" t="s">
        <v>123</v>
      </c>
      <c r="P14614" s="46">
        <v>1800.0</v>
      </c>
    </row>
    <row r="14615">
      <c r="A14615" s="40">
        <f t="shared" si="1"/>
        <v>46013</v>
      </c>
      <c r="B14615" s="37" t="str">
        <f t="array" ref="B14615">iferror(xlookup($I14615, 'IMPORT VHC Report'!$E:$E, 'IMPORT VHC Report'!$A:$C), )</f>
        <v/>
      </c>
      <c r="C14615" s="44"/>
      <c r="D14615" s="44"/>
      <c r="E14615" s="46" t="s">
        <v>10760</v>
      </c>
      <c r="F14615" s="46" t="s">
        <v>5871</v>
      </c>
      <c r="G14615" s="46">
        <v>3.61744094696E11</v>
      </c>
      <c r="H14615" s="46" t="s">
        <v>5872</v>
      </c>
      <c r="I14615" s="46" t="s">
        <v>5873</v>
      </c>
      <c r="J14615" s="46" t="s">
        <v>125</v>
      </c>
      <c r="K14615" s="46" t="s">
        <v>126</v>
      </c>
      <c r="L14615" s="45">
        <v>46013.916666666664</v>
      </c>
      <c r="M14615" s="46" t="s">
        <v>123</v>
      </c>
      <c r="N14615" s="45">
        <v>46013.927083333336</v>
      </c>
      <c r="O14615" s="46" t="s">
        <v>123</v>
      </c>
      <c r="P14615" s="46">
        <v>900.0</v>
      </c>
      <c r="S14615" s="46" t="s">
        <v>199</v>
      </c>
    </row>
    <row r="14616">
      <c r="A14616" s="40">
        <f t="shared" si="1"/>
        <v>46013</v>
      </c>
      <c r="B14616" s="37" t="str">
        <f t="array" ref="B14616">iferror(xlookup($I14616, 'IMPORT VHC Report'!$E:$E, 'IMPORT VHC Report'!$A:$C), )</f>
        <v/>
      </c>
      <c r="C14616" s="44"/>
      <c r="D14616" s="44"/>
      <c r="E14616" s="46" t="s">
        <v>10761</v>
      </c>
      <c r="F14616" s="46" t="s">
        <v>5871</v>
      </c>
      <c r="G14616" s="46">
        <v>3.61744094696E11</v>
      </c>
      <c r="H14616" s="46" t="s">
        <v>5872</v>
      </c>
      <c r="I14616" s="46" t="s">
        <v>5873</v>
      </c>
      <c r="J14616" s="46" t="s">
        <v>196</v>
      </c>
      <c r="K14616" s="46" t="s">
        <v>63</v>
      </c>
      <c r="L14616" s="45">
        <v>46013.916666666664</v>
      </c>
      <c r="M14616" s="46" t="s">
        <v>123</v>
      </c>
      <c r="N14616" s="45">
        <v>46014.291666666664</v>
      </c>
      <c r="O14616" s="46" t="s">
        <v>123</v>
      </c>
      <c r="P14616" s="46">
        <v>32400.0</v>
      </c>
    </row>
    <row r="14617">
      <c r="A14617" s="40">
        <f t="shared" si="1"/>
        <v>46013</v>
      </c>
      <c r="B14617" s="37" t="str">
        <f t="array" ref="B14617">iferror(xlookup($I14617, 'IMPORT VHC Report'!$E:$E, 'IMPORT VHC Report'!$A:$C), )</f>
        <v/>
      </c>
      <c r="C14617" s="44"/>
      <c r="D14617" s="44"/>
      <c r="E14617" s="46" t="s">
        <v>10762</v>
      </c>
      <c r="F14617" s="46" t="s">
        <v>5871</v>
      </c>
      <c r="G14617" s="46">
        <v>3.61744094696E11</v>
      </c>
      <c r="H14617" s="46" t="s">
        <v>5872</v>
      </c>
      <c r="I14617" s="46" t="s">
        <v>5873</v>
      </c>
      <c r="J14617" s="46" t="s">
        <v>132</v>
      </c>
      <c r="K14617" s="46" t="s">
        <v>126</v>
      </c>
      <c r="L14617" s="45">
        <v>46014.166666666664</v>
      </c>
      <c r="M14617" s="46" t="s">
        <v>123</v>
      </c>
      <c r="N14617" s="45">
        <v>46014.208333333336</v>
      </c>
      <c r="O14617" s="46" t="s">
        <v>123</v>
      </c>
      <c r="P14617" s="46">
        <v>3600.0</v>
      </c>
    </row>
    <row r="14618">
      <c r="A14618" s="40">
        <f t="shared" si="1"/>
        <v>46013</v>
      </c>
      <c r="B14618" s="37" t="str">
        <f t="array" ref="B14618">iferror(xlookup($I14618, 'IMPORT VHC Report'!$E:$E, 'IMPORT VHC Report'!$A:$C), )</f>
        <v/>
      </c>
      <c r="C14618" s="44"/>
      <c r="D14618" s="44"/>
      <c r="E14618" s="46" t="s">
        <v>10763</v>
      </c>
      <c r="F14618" s="46" t="s">
        <v>5871</v>
      </c>
      <c r="G14618" s="46">
        <v>3.61744094696E11</v>
      </c>
      <c r="H14618" s="46" t="s">
        <v>5872</v>
      </c>
      <c r="I14618" s="46" t="s">
        <v>5873</v>
      </c>
      <c r="J14618" s="46" t="s">
        <v>134</v>
      </c>
      <c r="K14618" s="46" t="s">
        <v>126</v>
      </c>
      <c r="L14618" s="45">
        <v>46014.208333333336</v>
      </c>
      <c r="M14618" s="46" t="s">
        <v>123</v>
      </c>
      <c r="N14618" s="45">
        <v>46014.229166666664</v>
      </c>
      <c r="O14618" s="46" t="s">
        <v>123</v>
      </c>
      <c r="P14618" s="46">
        <v>1800.0</v>
      </c>
    </row>
    <row r="14619">
      <c r="A14619" s="40">
        <f t="shared" si="1"/>
        <v>46013</v>
      </c>
      <c r="B14619" s="37" t="str">
        <f t="array" ref="B14619">iferror(xlookup($I14619, 'IMPORT VHC Report'!$E:$E, 'IMPORT VHC Report'!$A:$C), )</f>
        <v/>
      </c>
      <c r="C14619" s="44"/>
      <c r="D14619" s="44"/>
      <c r="E14619" s="46" t="s">
        <v>10764</v>
      </c>
      <c r="F14619" s="46" t="s">
        <v>5871</v>
      </c>
      <c r="G14619" s="46">
        <v>3.61744094696E11</v>
      </c>
      <c r="H14619" s="46" t="s">
        <v>5872</v>
      </c>
      <c r="I14619" s="46" t="s">
        <v>5873</v>
      </c>
      <c r="J14619" s="46" t="s">
        <v>125</v>
      </c>
      <c r="K14619" s="46" t="s">
        <v>126</v>
      </c>
      <c r="L14619" s="45">
        <v>46014.916666666664</v>
      </c>
      <c r="M14619" s="46" t="s">
        <v>123</v>
      </c>
      <c r="N14619" s="45">
        <v>46014.927083333336</v>
      </c>
      <c r="O14619" s="46" t="s">
        <v>123</v>
      </c>
      <c r="P14619" s="46">
        <v>900.0</v>
      </c>
      <c r="S14619" s="46" t="s">
        <v>199</v>
      </c>
    </row>
    <row r="14620">
      <c r="A14620" s="40">
        <f t="shared" si="1"/>
        <v>46013</v>
      </c>
      <c r="B14620" s="37" t="str">
        <f t="array" ref="B14620">iferror(xlookup($I14620, 'IMPORT VHC Report'!$E:$E, 'IMPORT VHC Report'!$A:$C), )</f>
        <v/>
      </c>
      <c r="C14620" s="44"/>
      <c r="D14620" s="44"/>
      <c r="E14620" s="46" t="s">
        <v>10765</v>
      </c>
      <c r="F14620" s="46" t="s">
        <v>5871</v>
      </c>
      <c r="G14620" s="46">
        <v>3.61744094696E11</v>
      </c>
      <c r="H14620" s="46" t="s">
        <v>5872</v>
      </c>
      <c r="I14620" s="46" t="s">
        <v>5873</v>
      </c>
      <c r="J14620" s="46" t="s">
        <v>196</v>
      </c>
      <c r="K14620" s="46" t="s">
        <v>63</v>
      </c>
      <c r="L14620" s="45">
        <v>46014.916666666664</v>
      </c>
      <c r="M14620" s="46" t="s">
        <v>123</v>
      </c>
      <c r="N14620" s="45">
        <v>46014.979166666664</v>
      </c>
      <c r="O14620" s="46" t="s">
        <v>123</v>
      </c>
      <c r="P14620" s="46">
        <v>5400.0</v>
      </c>
    </row>
    <row r="14621">
      <c r="A14621" s="40">
        <f t="shared" si="1"/>
        <v>46013</v>
      </c>
      <c r="B14621" s="37" t="str">
        <f t="array" ref="B14621">iferror(xlookup($I14621, 'IMPORT VHC Report'!$E:$E, 'IMPORT VHC Report'!$A:$C), )</f>
        <v/>
      </c>
      <c r="C14621" s="44"/>
      <c r="D14621" s="44"/>
      <c r="E14621" s="46" t="s">
        <v>10766</v>
      </c>
      <c r="F14621" s="46" t="s">
        <v>5871</v>
      </c>
      <c r="G14621" s="46">
        <v>3.61744094696E11</v>
      </c>
      <c r="H14621" s="46" t="s">
        <v>5872</v>
      </c>
      <c r="I14621" s="46" t="s">
        <v>5873</v>
      </c>
      <c r="J14621" s="46" t="s">
        <v>62</v>
      </c>
      <c r="K14621" s="46" t="s">
        <v>63</v>
      </c>
      <c r="L14621" s="45">
        <v>46014.979166666664</v>
      </c>
      <c r="M14621" s="46" t="s">
        <v>123</v>
      </c>
      <c r="N14621" s="45">
        <v>46015.0</v>
      </c>
      <c r="O14621" s="46" t="s">
        <v>123</v>
      </c>
      <c r="P14621" s="46">
        <v>1800.0</v>
      </c>
    </row>
    <row r="14622">
      <c r="A14622" s="40">
        <f t="shared" si="1"/>
        <v>46013</v>
      </c>
      <c r="B14622" s="37" t="str">
        <f t="array" ref="B14622">iferror(xlookup($I14622, 'IMPORT VHC Report'!$E:$E, 'IMPORT VHC Report'!$A:$C), )</f>
        <v/>
      </c>
      <c r="C14622" s="44"/>
      <c r="D14622" s="44"/>
      <c r="E14622" s="46" t="s">
        <v>10767</v>
      </c>
      <c r="F14622" s="46" t="s">
        <v>5871</v>
      </c>
      <c r="G14622" s="46">
        <v>3.61744094696E11</v>
      </c>
      <c r="H14622" s="46" t="s">
        <v>5872</v>
      </c>
      <c r="I14622" s="46" t="s">
        <v>5873</v>
      </c>
      <c r="J14622" s="46" t="s">
        <v>196</v>
      </c>
      <c r="K14622" s="46" t="s">
        <v>63</v>
      </c>
      <c r="L14622" s="45">
        <v>46015.0</v>
      </c>
      <c r="M14622" s="46" t="s">
        <v>123</v>
      </c>
      <c r="N14622" s="45">
        <v>46015.291666666664</v>
      </c>
      <c r="O14622" s="46" t="s">
        <v>123</v>
      </c>
      <c r="P14622" s="46">
        <v>25200.0</v>
      </c>
    </row>
    <row r="14623">
      <c r="A14623" s="40">
        <f t="shared" si="1"/>
        <v>46013</v>
      </c>
      <c r="B14623" s="37" t="str">
        <f t="array" ref="B14623">iferror(xlookup($I14623, 'IMPORT VHC Report'!$E:$E, 'IMPORT VHC Report'!$A:$C), )</f>
        <v/>
      </c>
      <c r="C14623" s="44"/>
      <c r="D14623" s="44"/>
      <c r="E14623" s="46" t="s">
        <v>10768</v>
      </c>
      <c r="F14623" s="46" t="s">
        <v>5871</v>
      </c>
      <c r="G14623" s="46">
        <v>3.61744094696E11</v>
      </c>
      <c r="H14623" s="46" t="s">
        <v>5872</v>
      </c>
      <c r="I14623" s="46" t="s">
        <v>5873</v>
      </c>
      <c r="J14623" s="46" t="s">
        <v>132</v>
      </c>
      <c r="K14623" s="46" t="s">
        <v>126</v>
      </c>
      <c r="L14623" s="45">
        <v>46015.125</v>
      </c>
      <c r="M14623" s="46" t="s">
        <v>123</v>
      </c>
      <c r="N14623" s="45">
        <v>46015.166666666664</v>
      </c>
      <c r="O14623" s="46" t="s">
        <v>123</v>
      </c>
      <c r="P14623" s="46">
        <v>3600.0</v>
      </c>
    </row>
    <row r="14624">
      <c r="A14624" s="40">
        <f t="shared" si="1"/>
        <v>46013</v>
      </c>
      <c r="B14624" s="37" t="str">
        <f t="array" ref="B14624">iferror(xlookup($I14624, 'IMPORT VHC Report'!$E:$E, 'IMPORT VHC Report'!$A:$C), )</f>
        <v/>
      </c>
      <c r="C14624" s="44"/>
      <c r="D14624" s="44"/>
      <c r="E14624" s="46" t="s">
        <v>10769</v>
      </c>
      <c r="F14624" s="46" t="s">
        <v>5871</v>
      </c>
      <c r="G14624" s="46">
        <v>3.61744094696E11</v>
      </c>
      <c r="H14624" s="46" t="s">
        <v>5872</v>
      </c>
      <c r="I14624" s="46" t="s">
        <v>5873</v>
      </c>
      <c r="J14624" s="46" t="s">
        <v>134</v>
      </c>
      <c r="K14624" s="46" t="s">
        <v>126</v>
      </c>
      <c r="L14624" s="45">
        <v>46015.197916666664</v>
      </c>
      <c r="M14624" s="46" t="s">
        <v>123</v>
      </c>
      <c r="N14624" s="45">
        <v>46015.21875</v>
      </c>
      <c r="O14624" s="46" t="s">
        <v>123</v>
      </c>
      <c r="P14624" s="46">
        <v>1800.0</v>
      </c>
    </row>
    <row r="14625">
      <c r="A14625" s="40">
        <f t="shared" si="1"/>
        <v>46013</v>
      </c>
      <c r="B14625" s="37" t="str">
        <f t="array" ref="B14625">iferror(xlookup($I14625, 'IMPORT VHC Report'!$E:$E, 'IMPORT VHC Report'!$A:$C), )</f>
        <v/>
      </c>
      <c r="C14625" s="44"/>
      <c r="D14625" s="44"/>
      <c r="E14625" s="46" t="s">
        <v>10770</v>
      </c>
      <c r="F14625" s="46" t="s">
        <v>5871</v>
      </c>
      <c r="G14625" s="46">
        <v>3.61744094696E11</v>
      </c>
      <c r="H14625" s="46" t="s">
        <v>5872</v>
      </c>
      <c r="I14625" s="46" t="s">
        <v>5873</v>
      </c>
      <c r="J14625" s="46" t="s">
        <v>4</v>
      </c>
      <c r="K14625" s="46" t="s">
        <v>126</v>
      </c>
      <c r="L14625" s="45">
        <v>46015.21875</v>
      </c>
      <c r="M14625" s="46" t="s">
        <v>123</v>
      </c>
      <c r="N14625" s="45">
        <v>46015.25</v>
      </c>
      <c r="O14625" s="46" t="s">
        <v>123</v>
      </c>
      <c r="P14625" s="46">
        <v>2700.0</v>
      </c>
      <c r="S14625" s="46" t="s">
        <v>10771</v>
      </c>
    </row>
    <row r="14626">
      <c r="A14626" s="40">
        <f t="shared" si="1"/>
        <v>46013</v>
      </c>
      <c r="B14626" s="37" t="str">
        <f t="array" ref="B14626">iferror(xlookup($I14626, 'IMPORT VHC Report'!$E:$E, 'IMPORT VHC Report'!$A:$C), )</f>
        <v/>
      </c>
      <c r="C14626" s="44"/>
      <c r="D14626" s="44"/>
      <c r="E14626" s="46" t="s">
        <v>10772</v>
      </c>
      <c r="F14626" s="46" t="s">
        <v>5871</v>
      </c>
      <c r="G14626" s="46">
        <v>3.61744094696E11</v>
      </c>
      <c r="H14626" s="46" t="s">
        <v>5872</v>
      </c>
      <c r="I14626" s="46" t="s">
        <v>5873</v>
      </c>
      <c r="J14626" s="46" t="s">
        <v>125</v>
      </c>
      <c r="K14626" s="46" t="s">
        <v>126</v>
      </c>
      <c r="L14626" s="45">
        <v>46015.916666666664</v>
      </c>
      <c r="M14626" s="46" t="s">
        <v>123</v>
      </c>
      <c r="N14626" s="45">
        <v>46015.927083333336</v>
      </c>
      <c r="O14626" s="46" t="s">
        <v>123</v>
      </c>
      <c r="P14626" s="46">
        <v>900.0</v>
      </c>
      <c r="S14626" s="46" t="s">
        <v>199</v>
      </c>
    </row>
    <row r="14627">
      <c r="A14627" s="40">
        <f t="shared" si="1"/>
        <v>46013</v>
      </c>
      <c r="B14627" s="37" t="str">
        <f t="array" ref="B14627">iferror(xlookup($I14627, 'IMPORT VHC Report'!$E:$E, 'IMPORT VHC Report'!$A:$C), )</f>
        <v/>
      </c>
      <c r="C14627" s="44"/>
      <c r="D14627" s="44"/>
      <c r="E14627" s="46" t="s">
        <v>10773</v>
      </c>
      <c r="F14627" s="46" t="s">
        <v>5871</v>
      </c>
      <c r="G14627" s="46">
        <v>3.61744094696E11</v>
      </c>
      <c r="H14627" s="46" t="s">
        <v>5872</v>
      </c>
      <c r="I14627" s="46" t="s">
        <v>5873</v>
      </c>
      <c r="J14627" s="46" t="s">
        <v>196</v>
      </c>
      <c r="K14627" s="46" t="s">
        <v>63</v>
      </c>
      <c r="L14627" s="45">
        <v>46015.916666666664</v>
      </c>
      <c r="M14627" s="46" t="s">
        <v>123</v>
      </c>
      <c r="N14627" s="45">
        <v>46016.291666666664</v>
      </c>
      <c r="O14627" s="46" t="s">
        <v>123</v>
      </c>
      <c r="P14627" s="46">
        <v>32400.0</v>
      </c>
    </row>
    <row r="14628">
      <c r="A14628" s="40">
        <f t="shared" si="1"/>
        <v>46013</v>
      </c>
      <c r="B14628" s="37" t="str">
        <f t="array" ref="B14628">iferror(xlookup($I14628, 'IMPORT VHC Report'!$E:$E, 'IMPORT VHC Report'!$A:$C), )</f>
        <v/>
      </c>
      <c r="C14628" s="44"/>
      <c r="D14628" s="44"/>
      <c r="E14628" s="46" t="s">
        <v>10774</v>
      </c>
      <c r="F14628" s="46" t="s">
        <v>5871</v>
      </c>
      <c r="G14628" s="46">
        <v>3.61744094696E11</v>
      </c>
      <c r="H14628" s="46" t="s">
        <v>5872</v>
      </c>
      <c r="I14628" s="46" t="s">
        <v>5873</v>
      </c>
      <c r="J14628" s="46" t="s">
        <v>132</v>
      </c>
      <c r="K14628" s="46" t="s">
        <v>126</v>
      </c>
      <c r="L14628" s="45">
        <v>46016.0</v>
      </c>
      <c r="M14628" s="46" t="s">
        <v>123</v>
      </c>
      <c r="N14628" s="45">
        <v>46016.041666666664</v>
      </c>
      <c r="O14628" s="46" t="s">
        <v>123</v>
      </c>
      <c r="P14628" s="46">
        <v>3600.0</v>
      </c>
    </row>
    <row r="14629">
      <c r="A14629" s="40">
        <f t="shared" si="1"/>
        <v>46013</v>
      </c>
      <c r="B14629" s="37" t="str">
        <f t="array" ref="B14629">iferror(xlookup($I14629, 'IMPORT VHC Report'!$E:$E, 'IMPORT VHC Report'!$A:$C), )</f>
        <v/>
      </c>
      <c r="C14629" s="44"/>
      <c r="D14629" s="44"/>
      <c r="E14629" s="46" t="s">
        <v>10775</v>
      </c>
      <c r="F14629" s="46" t="s">
        <v>5871</v>
      </c>
      <c r="G14629" s="46">
        <v>3.61744094696E11</v>
      </c>
      <c r="H14629" s="46" t="s">
        <v>5872</v>
      </c>
      <c r="I14629" s="46" t="s">
        <v>5873</v>
      </c>
      <c r="J14629" s="46" t="s">
        <v>134</v>
      </c>
      <c r="K14629" s="46" t="s">
        <v>126</v>
      </c>
      <c r="L14629" s="45">
        <v>46016.208333333336</v>
      </c>
      <c r="M14629" s="46" t="s">
        <v>123</v>
      </c>
      <c r="N14629" s="45">
        <v>46016.229166666664</v>
      </c>
      <c r="O14629" s="46" t="s">
        <v>123</v>
      </c>
      <c r="P14629" s="46">
        <v>1800.0</v>
      </c>
      <c r="S14629" s="46" t="s">
        <v>10776</v>
      </c>
    </row>
    <row r="14630">
      <c r="A14630" s="40">
        <f t="shared" si="1"/>
        <v>46013</v>
      </c>
      <c r="B14630" s="37" t="str">
        <f t="array" ref="B14630">iferror(xlookup($I14630, 'IMPORT VHC Report'!$E:$E, 'IMPORT VHC Report'!$A:$C), )</f>
        <v/>
      </c>
      <c r="C14630" s="44"/>
      <c r="D14630" s="44"/>
      <c r="E14630" s="46" t="s">
        <v>10777</v>
      </c>
      <c r="F14630" s="46" t="s">
        <v>5871</v>
      </c>
      <c r="G14630" s="46">
        <v>3.61744094696E11</v>
      </c>
      <c r="H14630" s="46" t="s">
        <v>5872</v>
      </c>
      <c r="I14630" s="46" t="s">
        <v>5873</v>
      </c>
      <c r="J14630" s="46" t="s">
        <v>125</v>
      </c>
      <c r="K14630" s="46" t="s">
        <v>126</v>
      </c>
      <c r="L14630" s="45">
        <v>46016.916666666664</v>
      </c>
      <c r="M14630" s="46" t="s">
        <v>123</v>
      </c>
      <c r="N14630" s="45">
        <v>46016.927083333336</v>
      </c>
      <c r="O14630" s="46" t="s">
        <v>123</v>
      </c>
      <c r="P14630" s="46">
        <v>900.0</v>
      </c>
      <c r="S14630" s="46" t="s">
        <v>199</v>
      </c>
    </row>
    <row r="14631">
      <c r="A14631" s="40">
        <f t="shared" si="1"/>
        <v>46013</v>
      </c>
      <c r="B14631" s="37" t="str">
        <f t="array" ref="B14631">iferror(xlookup($I14631, 'IMPORT VHC Report'!$E:$E, 'IMPORT VHC Report'!$A:$C), )</f>
        <v/>
      </c>
      <c r="C14631" s="44"/>
      <c r="D14631" s="44"/>
      <c r="E14631" s="46" t="s">
        <v>10778</v>
      </c>
      <c r="F14631" s="46" t="s">
        <v>5871</v>
      </c>
      <c r="G14631" s="46">
        <v>3.61744094696E11</v>
      </c>
      <c r="H14631" s="46" t="s">
        <v>5872</v>
      </c>
      <c r="I14631" s="46" t="s">
        <v>5873</v>
      </c>
      <c r="J14631" s="46" t="s">
        <v>196</v>
      </c>
      <c r="K14631" s="46" t="s">
        <v>63</v>
      </c>
      <c r="L14631" s="45">
        <v>46016.916666666664</v>
      </c>
      <c r="M14631" s="46" t="s">
        <v>123</v>
      </c>
      <c r="N14631" s="45">
        <v>46017.291666666664</v>
      </c>
      <c r="O14631" s="46" t="s">
        <v>123</v>
      </c>
      <c r="P14631" s="46">
        <v>32400.0</v>
      </c>
    </row>
    <row r="14632">
      <c r="A14632" s="40">
        <f t="shared" si="1"/>
        <v>46013</v>
      </c>
      <c r="B14632" s="37" t="str">
        <f t="array" ref="B14632">iferror(xlookup($I14632, 'IMPORT VHC Report'!$E:$E, 'IMPORT VHC Report'!$A:$C), )</f>
        <v/>
      </c>
      <c r="C14632" s="44"/>
      <c r="D14632" s="44"/>
      <c r="E14632" s="46" t="s">
        <v>10779</v>
      </c>
      <c r="F14632" s="46" t="s">
        <v>5871</v>
      </c>
      <c r="G14632" s="46">
        <v>3.61744094696E11</v>
      </c>
      <c r="H14632" s="46" t="s">
        <v>5872</v>
      </c>
      <c r="I14632" s="46" t="s">
        <v>5873</v>
      </c>
      <c r="J14632" s="46" t="s">
        <v>178</v>
      </c>
      <c r="K14632" s="46" t="s">
        <v>153</v>
      </c>
      <c r="L14632" s="45">
        <v>46016.916666666664</v>
      </c>
      <c r="M14632" s="46" t="s">
        <v>123</v>
      </c>
      <c r="N14632" s="45">
        <v>46017.291666666664</v>
      </c>
      <c r="O14632" s="46" t="s">
        <v>123</v>
      </c>
      <c r="P14632" s="46">
        <v>32400.0</v>
      </c>
      <c r="Q14632" s="46">
        <v>28800.0</v>
      </c>
      <c r="R14632" s="46" t="s">
        <v>10780</v>
      </c>
    </row>
    <row r="14633">
      <c r="A14633" s="40">
        <f t="shared" si="1"/>
        <v>46013</v>
      </c>
      <c r="B14633" s="37" t="str">
        <f t="array" ref="B14633">iferror(xlookup($I14633, 'IMPORT VHC Report'!$E:$E, 'IMPORT VHC Report'!$A:$C), )</f>
        <v/>
      </c>
      <c r="C14633" s="44"/>
      <c r="D14633" s="44"/>
      <c r="E14633" s="46" t="s">
        <v>10781</v>
      </c>
      <c r="F14633" s="46" t="s">
        <v>5871</v>
      </c>
      <c r="G14633" s="46">
        <v>3.61744094696E11</v>
      </c>
      <c r="H14633" s="46" t="s">
        <v>5872</v>
      </c>
      <c r="I14633" s="46" t="s">
        <v>5873</v>
      </c>
      <c r="J14633" s="46" t="s">
        <v>132</v>
      </c>
      <c r="K14633" s="46" t="s">
        <v>126</v>
      </c>
      <c r="L14633" s="45">
        <v>46017.041666666664</v>
      </c>
      <c r="M14633" s="46" t="s">
        <v>123</v>
      </c>
      <c r="N14633" s="45">
        <v>46017.083333333336</v>
      </c>
      <c r="O14633" s="46" t="s">
        <v>123</v>
      </c>
      <c r="P14633" s="46">
        <v>3600.0</v>
      </c>
    </row>
    <row r="14634">
      <c r="A14634" s="40">
        <f t="shared" si="1"/>
        <v>46013</v>
      </c>
      <c r="B14634" s="37" t="str">
        <f t="array" ref="B14634">iferror(xlookup($I14634, 'IMPORT VHC Report'!$E:$E, 'IMPORT VHC Report'!$A:$C), )</f>
        <v/>
      </c>
      <c r="C14634" s="44"/>
      <c r="D14634" s="44"/>
      <c r="E14634" s="46" t="s">
        <v>10782</v>
      </c>
      <c r="F14634" s="46" t="s">
        <v>5871</v>
      </c>
      <c r="G14634" s="46">
        <v>3.61744094696E11</v>
      </c>
      <c r="H14634" s="46" t="s">
        <v>5872</v>
      </c>
      <c r="I14634" s="46" t="s">
        <v>5873</v>
      </c>
      <c r="J14634" s="46" t="s">
        <v>134</v>
      </c>
      <c r="K14634" s="46" t="s">
        <v>126</v>
      </c>
      <c r="L14634" s="45">
        <v>46017.197916666664</v>
      </c>
      <c r="M14634" s="46" t="s">
        <v>123</v>
      </c>
      <c r="N14634" s="45">
        <v>46017.21875</v>
      </c>
      <c r="O14634" s="46" t="s">
        <v>123</v>
      </c>
      <c r="P14634" s="46">
        <v>1800.0</v>
      </c>
    </row>
    <row r="14635">
      <c r="A14635" s="40">
        <f t="shared" si="1"/>
        <v>46013</v>
      </c>
      <c r="B14635" s="37" t="str">
        <f t="array" ref="B14635">iferror(xlookup($I14635, 'IMPORT VHC Report'!$E:$E, 'IMPORT VHC Report'!$A:$C), )</f>
        <v/>
      </c>
      <c r="C14635" s="44"/>
      <c r="D14635" s="44"/>
      <c r="E14635" s="46" t="s">
        <v>10783</v>
      </c>
      <c r="F14635" s="46" t="s">
        <v>5871</v>
      </c>
      <c r="G14635" s="46">
        <v>3.61744094696E11</v>
      </c>
      <c r="H14635" s="46" t="s">
        <v>5872</v>
      </c>
      <c r="I14635" s="46" t="s">
        <v>5873</v>
      </c>
      <c r="J14635" s="46" t="s">
        <v>125</v>
      </c>
      <c r="K14635" s="46" t="s">
        <v>126</v>
      </c>
      <c r="L14635" s="45">
        <v>46017.916666666664</v>
      </c>
      <c r="M14635" s="46" t="s">
        <v>123</v>
      </c>
      <c r="N14635" s="45">
        <v>46017.927083333336</v>
      </c>
      <c r="O14635" s="46" t="s">
        <v>123</v>
      </c>
      <c r="P14635" s="46">
        <v>900.0</v>
      </c>
      <c r="S14635" s="46" t="s">
        <v>199</v>
      </c>
    </row>
    <row r="14636">
      <c r="A14636" s="40">
        <f t="shared" si="1"/>
        <v>46013</v>
      </c>
      <c r="B14636" s="37" t="str">
        <f t="array" ref="B14636">iferror(xlookup($I14636, 'IMPORT VHC Report'!$E:$E, 'IMPORT VHC Report'!$A:$C), )</f>
        <v/>
      </c>
      <c r="C14636" s="44"/>
      <c r="D14636" s="44"/>
      <c r="E14636" s="46" t="s">
        <v>10784</v>
      </c>
      <c r="F14636" s="46" t="s">
        <v>5871</v>
      </c>
      <c r="G14636" s="46">
        <v>3.61744094696E11</v>
      </c>
      <c r="H14636" s="46" t="s">
        <v>5872</v>
      </c>
      <c r="I14636" s="46" t="s">
        <v>5873</v>
      </c>
      <c r="J14636" s="46" t="s">
        <v>196</v>
      </c>
      <c r="K14636" s="46" t="s">
        <v>63</v>
      </c>
      <c r="L14636" s="45">
        <v>46017.916666666664</v>
      </c>
      <c r="M14636" s="46" t="s">
        <v>123</v>
      </c>
      <c r="N14636" s="45">
        <v>46018.291666666664</v>
      </c>
      <c r="O14636" s="46" t="s">
        <v>123</v>
      </c>
      <c r="P14636" s="46">
        <v>32400.0</v>
      </c>
    </row>
    <row r="14637">
      <c r="A14637" s="40">
        <f t="shared" si="1"/>
        <v>46013</v>
      </c>
      <c r="B14637" s="37" t="str">
        <f t="array" ref="B14637">iferror(xlookup($I14637, 'IMPORT VHC Report'!$E:$E, 'IMPORT VHC Report'!$A:$C), )</f>
        <v/>
      </c>
      <c r="C14637" s="44"/>
      <c r="D14637" s="44"/>
      <c r="E14637" s="46" t="s">
        <v>10785</v>
      </c>
      <c r="F14637" s="46" t="s">
        <v>5871</v>
      </c>
      <c r="G14637" s="46">
        <v>3.61744094696E11</v>
      </c>
      <c r="H14637" s="46" t="s">
        <v>5872</v>
      </c>
      <c r="I14637" s="46" t="s">
        <v>5873</v>
      </c>
      <c r="J14637" s="46" t="s">
        <v>134</v>
      </c>
      <c r="K14637" s="46" t="s">
        <v>126</v>
      </c>
      <c r="L14637" s="45">
        <v>46018.020833333336</v>
      </c>
      <c r="M14637" s="46" t="s">
        <v>123</v>
      </c>
      <c r="N14637" s="45">
        <v>46018.041666666664</v>
      </c>
      <c r="O14637" s="46" t="s">
        <v>123</v>
      </c>
      <c r="P14637" s="46">
        <v>1800.0</v>
      </c>
    </row>
    <row r="14638">
      <c r="A14638" s="40">
        <f t="shared" si="1"/>
        <v>46013</v>
      </c>
      <c r="B14638" s="37" t="str">
        <f t="array" ref="B14638">iferror(xlookup($I14638, 'IMPORT VHC Report'!$E:$E, 'IMPORT VHC Report'!$A:$C), )</f>
        <v/>
      </c>
      <c r="C14638" s="44"/>
      <c r="D14638" s="44"/>
      <c r="E14638" s="46" t="s">
        <v>10786</v>
      </c>
      <c r="F14638" s="46" t="s">
        <v>5871</v>
      </c>
      <c r="G14638" s="46">
        <v>3.61744094696E11</v>
      </c>
      <c r="H14638" s="46" t="s">
        <v>5872</v>
      </c>
      <c r="I14638" s="46" t="s">
        <v>5873</v>
      </c>
      <c r="J14638" s="46" t="s">
        <v>132</v>
      </c>
      <c r="K14638" s="46" t="s">
        <v>126</v>
      </c>
      <c r="L14638" s="45">
        <v>46018.135416666664</v>
      </c>
      <c r="M14638" s="46" t="s">
        <v>123</v>
      </c>
      <c r="N14638" s="45">
        <v>46018.177083333336</v>
      </c>
      <c r="O14638" s="46" t="s">
        <v>123</v>
      </c>
      <c r="P14638" s="46">
        <v>3600.0</v>
      </c>
    </row>
    <row r="14639">
      <c r="A14639" s="40">
        <f t="shared" si="1"/>
        <v>46013</v>
      </c>
      <c r="B14639" s="37" t="str">
        <f t="array" ref="B14639">iferror(xlookup($I14639, 'IMPORT VHC Report'!$E:$E, 'IMPORT VHC Report'!$A:$C), )</f>
        <v/>
      </c>
      <c r="C14639" s="44"/>
      <c r="D14639" s="44"/>
      <c r="E14639" s="46" t="s">
        <v>10787</v>
      </c>
      <c r="F14639" s="46" t="s">
        <v>6087</v>
      </c>
      <c r="G14639" s="46">
        <v>1.0333018682383E13</v>
      </c>
      <c r="H14639" s="46" t="s">
        <v>6088</v>
      </c>
      <c r="I14639" s="46" t="s">
        <v>6089</v>
      </c>
      <c r="J14639" s="46" t="s">
        <v>125</v>
      </c>
      <c r="K14639" s="46" t="s">
        <v>126</v>
      </c>
      <c r="L14639" s="45">
        <v>46014.125</v>
      </c>
      <c r="M14639" s="46" t="s">
        <v>123</v>
      </c>
      <c r="N14639" s="45">
        <v>46014.135416666664</v>
      </c>
      <c r="O14639" s="46" t="s">
        <v>123</v>
      </c>
      <c r="P14639" s="46">
        <v>900.0</v>
      </c>
      <c r="S14639" s="46" t="s">
        <v>199</v>
      </c>
    </row>
    <row r="14640">
      <c r="A14640" s="40">
        <f t="shared" si="1"/>
        <v>46013</v>
      </c>
      <c r="B14640" s="37" t="str">
        <f t="array" ref="B14640">iferror(xlookup($I14640, 'IMPORT VHC Report'!$E:$E, 'IMPORT VHC Report'!$A:$C), )</f>
        <v/>
      </c>
      <c r="C14640" s="44"/>
      <c r="D14640" s="44"/>
      <c r="E14640" s="46" t="s">
        <v>10788</v>
      </c>
      <c r="F14640" s="46" t="s">
        <v>6087</v>
      </c>
      <c r="G14640" s="46">
        <v>1.0333018682383E13</v>
      </c>
      <c r="H14640" s="46" t="s">
        <v>6088</v>
      </c>
      <c r="I14640" s="46" t="s">
        <v>6089</v>
      </c>
      <c r="J14640" s="46" t="s">
        <v>196</v>
      </c>
      <c r="K14640" s="46" t="s">
        <v>63</v>
      </c>
      <c r="L14640" s="45">
        <v>46014.125</v>
      </c>
      <c r="M14640" s="46" t="s">
        <v>123</v>
      </c>
      <c r="N14640" s="45">
        <v>46014.4375</v>
      </c>
      <c r="O14640" s="46" t="s">
        <v>123</v>
      </c>
      <c r="P14640" s="46">
        <v>27000.0</v>
      </c>
    </row>
    <row r="14641">
      <c r="A14641" s="40">
        <f t="shared" si="1"/>
        <v>46013</v>
      </c>
      <c r="B14641" s="37" t="str">
        <f t="array" ref="B14641">iferror(xlookup($I14641, 'IMPORT VHC Report'!$E:$E, 'IMPORT VHC Report'!$A:$C), )</f>
        <v/>
      </c>
      <c r="C14641" s="44"/>
      <c r="D14641" s="44"/>
      <c r="E14641" s="46" t="s">
        <v>10789</v>
      </c>
      <c r="F14641" s="46" t="s">
        <v>6087</v>
      </c>
      <c r="G14641" s="46">
        <v>1.0333018682383E13</v>
      </c>
      <c r="H14641" s="46" t="s">
        <v>6088</v>
      </c>
      <c r="I14641" s="46" t="s">
        <v>6089</v>
      </c>
      <c r="J14641" s="46" t="s">
        <v>178</v>
      </c>
      <c r="K14641" s="46" t="s">
        <v>153</v>
      </c>
      <c r="L14641" s="45">
        <v>46014.125</v>
      </c>
      <c r="M14641" s="46" t="s">
        <v>123</v>
      </c>
      <c r="N14641" s="45">
        <v>46014.5</v>
      </c>
      <c r="O14641" s="46" t="s">
        <v>123</v>
      </c>
      <c r="P14641" s="46">
        <v>32400.0</v>
      </c>
      <c r="Q14641" s="46">
        <v>32400.0</v>
      </c>
    </row>
    <row r="14642">
      <c r="A14642" s="40">
        <f t="shared" si="1"/>
        <v>46013</v>
      </c>
      <c r="B14642" s="37" t="str">
        <f t="array" ref="B14642">iferror(xlookup($I14642, 'IMPORT VHC Report'!$E:$E, 'IMPORT VHC Report'!$A:$C), )</f>
        <v/>
      </c>
      <c r="C14642" s="44"/>
      <c r="D14642" s="44"/>
      <c r="E14642" s="46" t="s">
        <v>10790</v>
      </c>
      <c r="F14642" s="46" t="s">
        <v>6087</v>
      </c>
      <c r="G14642" s="46">
        <v>1.0333018682383E13</v>
      </c>
      <c r="H14642" s="46" t="s">
        <v>6088</v>
      </c>
      <c r="I14642" s="46" t="s">
        <v>6089</v>
      </c>
      <c r="J14642" s="46" t="s">
        <v>134</v>
      </c>
      <c r="K14642" s="46" t="s">
        <v>126</v>
      </c>
      <c r="L14642" s="45">
        <v>46014.229166666664</v>
      </c>
      <c r="M14642" s="46" t="s">
        <v>123</v>
      </c>
      <c r="N14642" s="45">
        <v>46014.25</v>
      </c>
      <c r="O14642" s="46" t="s">
        <v>123</v>
      </c>
      <c r="P14642" s="46">
        <v>1800.0</v>
      </c>
    </row>
    <row r="14643">
      <c r="A14643" s="40">
        <f t="shared" si="1"/>
        <v>46013</v>
      </c>
      <c r="B14643" s="37" t="str">
        <f t="array" ref="B14643">iferror(xlookup($I14643, 'IMPORT VHC Report'!$E:$E, 'IMPORT VHC Report'!$A:$C), )</f>
        <v/>
      </c>
      <c r="C14643" s="44"/>
      <c r="D14643" s="44"/>
      <c r="E14643" s="46" t="s">
        <v>10791</v>
      </c>
      <c r="F14643" s="46" t="s">
        <v>6087</v>
      </c>
      <c r="G14643" s="46">
        <v>1.0333018682383E13</v>
      </c>
      <c r="H14643" s="46" t="s">
        <v>6088</v>
      </c>
      <c r="I14643" s="46" t="s">
        <v>6089</v>
      </c>
      <c r="J14643" s="46" t="s">
        <v>132</v>
      </c>
      <c r="K14643" s="46" t="s">
        <v>126</v>
      </c>
      <c r="L14643" s="45">
        <v>46014.354166666664</v>
      </c>
      <c r="M14643" s="46" t="s">
        <v>123</v>
      </c>
      <c r="N14643" s="45">
        <v>46014.395833333336</v>
      </c>
      <c r="O14643" s="46" t="s">
        <v>123</v>
      </c>
      <c r="P14643" s="46">
        <v>3600.0</v>
      </c>
    </row>
    <row r="14644">
      <c r="A14644" s="40">
        <f t="shared" si="1"/>
        <v>46013</v>
      </c>
      <c r="B14644" s="37" t="str">
        <f t="array" ref="B14644">iferror(xlookup($I14644, 'IMPORT VHC Report'!$E:$E, 'IMPORT VHC Report'!$A:$C), )</f>
        <v/>
      </c>
      <c r="C14644" s="44"/>
      <c r="D14644" s="44"/>
      <c r="E14644" s="46" t="s">
        <v>10792</v>
      </c>
      <c r="F14644" s="46" t="s">
        <v>6087</v>
      </c>
      <c r="G14644" s="46">
        <v>1.0333018682383E13</v>
      </c>
      <c r="H14644" s="46" t="s">
        <v>6088</v>
      </c>
      <c r="I14644" s="46" t="s">
        <v>6089</v>
      </c>
      <c r="J14644" s="46" t="s">
        <v>62</v>
      </c>
      <c r="K14644" s="46" t="s">
        <v>63</v>
      </c>
      <c r="L14644" s="45">
        <v>46014.4375</v>
      </c>
      <c r="M14644" s="46" t="s">
        <v>123</v>
      </c>
      <c r="N14644" s="45">
        <v>46014.458333333336</v>
      </c>
      <c r="O14644" s="46" t="s">
        <v>123</v>
      </c>
      <c r="P14644" s="46">
        <v>1800.0</v>
      </c>
    </row>
    <row r="14645">
      <c r="A14645" s="40">
        <f t="shared" si="1"/>
        <v>46013</v>
      </c>
      <c r="B14645" s="37" t="str">
        <f t="array" ref="B14645">iferror(xlookup($I14645, 'IMPORT VHC Report'!$E:$E, 'IMPORT VHC Report'!$A:$C), )</f>
        <v/>
      </c>
      <c r="C14645" s="44"/>
      <c r="D14645" s="44"/>
      <c r="E14645" s="46" t="s">
        <v>10793</v>
      </c>
      <c r="F14645" s="46" t="s">
        <v>6087</v>
      </c>
      <c r="G14645" s="46">
        <v>1.0333018682383E13</v>
      </c>
      <c r="H14645" s="46" t="s">
        <v>6088</v>
      </c>
      <c r="I14645" s="46" t="s">
        <v>6089</v>
      </c>
      <c r="J14645" s="46" t="s">
        <v>196</v>
      </c>
      <c r="K14645" s="46" t="s">
        <v>63</v>
      </c>
      <c r="L14645" s="45">
        <v>46014.458333333336</v>
      </c>
      <c r="M14645" s="46" t="s">
        <v>123</v>
      </c>
      <c r="N14645" s="45">
        <v>46014.5</v>
      </c>
      <c r="O14645" s="46" t="s">
        <v>123</v>
      </c>
      <c r="P14645" s="46">
        <v>3600.0</v>
      </c>
    </row>
    <row r="14646">
      <c r="A14646" s="40">
        <f t="shared" si="1"/>
        <v>46013</v>
      </c>
      <c r="B14646" s="37" t="str">
        <f t="array" ref="B14646">iferror(xlookup($I14646, 'IMPORT VHC Report'!$E:$E, 'IMPORT VHC Report'!$A:$C), )</f>
        <v/>
      </c>
      <c r="C14646" s="44"/>
      <c r="D14646" s="44"/>
      <c r="E14646" s="46" t="s">
        <v>10794</v>
      </c>
      <c r="F14646" s="46" t="s">
        <v>6087</v>
      </c>
      <c r="G14646" s="46">
        <v>1.0333018682383E13</v>
      </c>
      <c r="H14646" s="46" t="s">
        <v>6088</v>
      </c>
      <c r="I14646" s="46" t="s">
        <v>6089</v>
      </c>
      <c r="J14646" s="46" t="s">
        <v>125</v>
      </c>
      <c r="K14646" s="46" t="s">
        <v>126</v>
      </c>
      <c r="L14646" s="45">
        <v>46015.125</v>
      </c>
      <c r="M14646" s="46" t="s">
        <v>123</v>
      </c>
      <c r="N14646" s="45">
        <v>46015.135416666664</v>
      </c>
      <c r="O14646" s="46" t="s">
        <v>123</v>
      </c>
      <c r="P14646" s="46">
        <v>900.0</v>
      </c>
      <c r="S14646" s="46" t="s">
        <v>199</v>
      </c>
    </row>
    <row r="14647">
      <c r="A14647" s="40">
        <f t="shared" si="1"/>
        <v>46013</v>
      </c>
      <c r="B14647" s="37" t="str">
        <f t="array" ref="B14647">iferror(xlookup($I14647, 'IMPORT VHC Report'!$E:$E, 'IMPORT VHC Report'!$A:$C), )</f>
        <v/>
      </c>
      <c r="C14647" s="44"/>
      <c r="D14647" s="44"/>
      <c r="E14647" s="46" t="s">
        <v>10795</v>
      </c>
      <c r="F14647" s="46" t="s">
        <v>6087</v>
      </c>
      <c r="G14647" s="46">
        <v>1.0333018682383E13</v>
      </c>
      <c r="H14647" s="46" t="s">
        <v>6088</v>
      </c>
      <c r="I14647" s="46" t="s">
        <v>6089</v>
      </c>
      <c r="J14647" s="46" t="s">
        <v>196</v>
      </c>
      <c r="K14647" s="46" t="s">
        <v>63</v>
      </c>
      <c r="L14647" s="45">
        <v>46015.125</v>
      </c>
      <c r="M14647" s="46" t="s">
        <v>123</v>
      </c>
      <c r="N14647" s="45">
        <v>46015.5</v>
      </c>
      <c r="O14647" s="46" t="s">
        <v>123</v>
      </c>
      <c r="P14647" s="46">
        <v>32400.0</v>
      </c>
    </row>
    <row r="14648">
      <c r="A14648" s="40">
        <f t="shared" si="1"/>
        <v>46013</v>
      </c>
      <c r="B14648" s="37" t="str">
        <f t="array" ref="B14648">iferror(xlookup($I14648, 'IMPORT VHC Report'!$E:$E, 'IMPORT VHC Report'!$A:$C), )</f>
        <v/>
      </c>
      <c r="C14648" s="44"/>
      <c r="D14648" s="44"/>
      <c r="E14648" s="46" t="s">
        <v>10796</v>
      </c>
      <c r="F14648" s="46" t="s">
        <v>6087</v>
      </c>
      <c r="G14648" s="46">
        <v>1.0333018682383E13</v>
      </c>
      <c r="H14648" s="46" t="s">
        <v>6088</v>
      </c>
      <c r="I14648" s="46" t="s">
        <v>6089</v>
      </c>
      <c r="J14648" s="46" t="s">
        <v>132</v>
      </c>
      <c r="K14648" s="46" t="s">
        <v>126</v>
      </c>
      <c r="L14648" s="45">
        <v>46015.260416666664</v>
      </c>
      <c r="M14648" s="46" t="s">
        <v>123</v>
      </c>
      <c r="N14648" s="45">
        <v>46015.302083333336</v>
      </c>
      <c r="O14648" s="46" t="s">
        <v>123</v>
      </c>
      <c r="P14648" s="46">
        <v>3600.0</v>
      </c>
    </row>
    <row r="14649">
      <c r="A14649" s="40">
        <f t="shared" si="1"/>
        <v>46013</v>
      </c>
      <c r="B14649" s="37" t="str">
        <f t="array" ref="B14649">iferror(xlookup($I14649, 'IMPORT VHC Report'!$E:$E, 'IMPORT VHC Report'!$A:$C), )</f>
        <v/>
      </c>
      <c r="C14649" s="44"/>
      <c r="D14649" s="44"/>
      <c r="E14649" s="46" t="s">
        <v>10797</v>
      </c>
      <c r="F14649" s="46" t="s">
        <v>6087</v>
      </c>
      <c r="G14649" s="46">
        <v>1.0333018682383E13</v>
      </c>
      <c r="H14649" s="46" t="s">
        <v>6088</v>
      </c>
      <c r="I14649" s="46" t="s">
        <v>6089</v>
      </c>
      <c r="J14649" s="46" t="s">
        <v>134</v>
      </c>
      <c r="K14649" s="46" t="s">
        <v>126</v>
      </c>
      <c r="L14649" s="45">
        <v>46015.40625</v>
      </c>
      <c r="M14649" s="46" t="s">
        <v>123</v>
      </c>
      <c r="N14649" s="45">
        <v>46015.427083333336</v>
      </c>
      <c r="O14649" s="46" t="s">
        <v>123</v>
      </c>
      <c r="P14649" s="46">
        <v>1800.0</v>
      </c>
    </row>
    <row r="14650">
      <c r="A14650" s="40">
        <f t="shared" si="1"/>
        <v>46013</v>
      </c>
      <c r="B14650" s="37" t="str">
        <f t="array" ref="B14650">iferror(xlookup($I14650, 'IMPORT VHC Report'!$E:$E, 'IMPORT VHC Report'!$A:$C), )</f>
        <v/>
      </c>
      <c r="C14650" s="44"/>
      <c r="D14650" s="44"/>
      <c r="E14650" s="46" t="s">
        <v>10798</v>
      </c>
      <c r="F14650" s="46" t="s">
        <v>6087</v>
      </c>
      <c r="G14650" s="46">
        <v>1.0333018682383E13</v>
      </c>
      <c r="H14650" s="46" t="s">
        <v>6088</v>
      </c>
      <c r="I14650" s="46" t="s">
        <v>6089</v>
      </c>
      <c r="J14650" s="46" t="s">
        <v>125</v>
      </c>
      <c r="K14650" s="46" t="s">
        <v>126</v>
      </c>
      <c r="L14650" s="45">
        <v>46016.125</v>
      </c>
      <c r="M14650" s="46" t="s">
        <v>123</v>
      </c>
      <c r="N14650" s="45">
        <v>46016.135416666664</v>
      </c>
      <c r="O14650" s="46" t="s">
        <v>123</v>
      </c>
      <c r="P14650" s="46">
        <v>900.0</v>
      </c>
      <c r="S14650" s="46" t="s">
        <v>199</v>
      </c>
    </row>
    <row r="14651">
      <c r="A14651" s="40">
        <f t="shared" si="1"/>
        <v>46013</v>
      </c>
      <c r="B14651" s="37" t="str">
        <f t="array" ref="B14651">iferror(xlookup($I14651, 'IMPORT VHC Report'!$E:$E, 'IMPORT VHC Report'!$A:$C), )</f>
        <v/>
      </c>
      <c r="C14651" s="44"/>
      <c r="D14651" s="44"/>
      <c r="E14651" s="46" t="s">
        <v>10799</v>
      </c>
      <c r="F14651" s="46" t="s">
        <v>6087</v>
      </c>
      <c r="G14651" s="46">
        <v>1.0333018682383E13</v>
      </c>
      <c r="H14651" s="46" t="s">
        <v>6088</v>
      </c>
      <c r="I14651" s="46" t="s">
        <v>6089</v>
      </c>
      <c r="J14651" s="46" t="s">
        <v>196</v>
      </c>
      <c r="K14651" s="46" t="s">
        <v>63</v>
      </c>
      <c r="L14651" s="45">
        <v>46016.125</v>
      </c>
      <c r="M14651" s="46" t="s">
        <v>123</v>
      </c>
      <c r="N14651" s="45">
        <v>46016.5</v>
      </c>
      <c r="O14651" s="46" t="s">
        <v>123</v>
      </c>
      <c r="P14651" s="46">
        <v>32400.0</v>
      </c>
    </row>
    <row r="14652">
      <c r="A14652" s="40">
        <f t="shared" si="1"/>
        <v>46013</v>
      </c>
      <c r="B14652" s="37" t="str">
        <f t="array" ref="B14652">iferror(xlookup($I14652, 'IMPORT VHC Report'!$E:$E, 'IMPORT VHC Report'!$A:$C), )</f>
        <v/>
      </c>
      <c r="C14652" s="44"/>
      <c r="D14652" s="44"/>
      <c r="E14652" s="46" t="s">
        <v>10800</v>
      </c>
      <c r="F14652" s="46" t="s">
        <v>6087</v>
      </c>
      <c r="G14652" s="46">
        <v>1.0333018682383E13</v>
      </c>
      <c r="H14652" s="46" t="s">
        <v>6088</v>
      </c>
      <c r="I14652" s="46" t="s">
        <v>6089</v>
      </c>
      <c r="J14652" s="46" t="s">
        <v>132</v>
      </c>
      <c r="K14652" s="46" t="s">
        <v>126</v>
      </c>
      <c r="L14652" s="45">
        <v>46016.25</v>
      </c>
      <c r="M14652" s="46" t="s">
        <v>123</v>
      </c>
      <c r="N14652" s="45">
        <v>46016.291666666664</v>
      </c>
      <c r="O14652" s="46" t="s">
        <v>123</v>
      </c>
      <c r="P14652" s="46">
        <v>3600.0</v>
      </c>
    </row>
    <row r="14653">
      <c r="A14653" s="40">
        <f t="shared" si="1"/>
        <v>46013</v>
      </c>
      <c r="B14653" s="37" t="str">
        <f t="array" ref="B14653">iferror(xlookup($I14653, 'IMPORT VHC Report'!$E:$E, 'IMPORT VHC Report'!$A:$C), )</f>
        <v/>
      </c>
      <c r="C14653" s="44"/>
      <c r="D14653" s="44"/>
      <c r="E14653" s="46" t="s">
        <v>10801</v>
      </c>
      <c r="F14653" s="46" t="s">
        <v>6087</v>
      </c>
      <c r="G14653" s="46">
        <v>1.0333018682383E13</v>
      </c>
      <c r="H14653" s="46" t="s">
        <v>6088</v>
      </c>
      <c r="I14653" s="46" t="s">
        <v>6089</v>
      </c>
      <c r="J14653" s="46" t="s">
        <v>134</v>
      </c>
      <c r="K14653" s="46" t="s">
        <v>126</v>
      </c>
      <c r="L14653" s="45">
        <v>46016.40625</v>
      </c>
      <c r="M14653" s="46" t="s">
        <v>123</v>
      </c>
      <c r="N14653" s="45">
        <v>46016.427083333336</v>
      </c>
      <c r="O14653" s="46" t="s">
        <v>123</v>
      </c>
      <c r="P14653" s="46">
        <v>1800.0</v>
      </c>
    </row>
    <row r="14654">
      <c r="A14654" s="40">
        <f t="shared" si="1"/>
        <v>46013</v>
      </c>
      <c r="B14654" s="37" t="str">
        <f t="array" ref="B14654">iferror(xlookup($I14654, 'IMPORT VHC Report'!$E:$E, 'IMPORT VHC Report'!$A:$C), )</f>
        <v/>
      </c>
      <c r="C14654" s="44"/>
      <c r="D14654" s="44"/>
      <c r="E14654" s="46" t="s">
        <v>10802</v>
      </c>
      <c r="F14654" s="46" t="s">
        <v>6087</v>
      </c>
      <c r="G14654" s="46">
        <v>1.0333018682383E13</v>
      </c>
      <c r="H14654" s="46" t="s">
        <v>6088</v>
      </c>
      <c r="I14654" s="46" t="s">
        <v>6089</v>
      </c>
      <c r="J14654" s="46" t="s">
        <v>125</v>
      </c>
      <c r="K14654" s="46" t="s">
        <v>126</v>
      </c>
      <c r="L14654" s="45">
        <v>46017.125</v>
      </c>
      <c r="M14654" s="46" t="s">
        <v>123</v>
      </c>
      <c r="N14654" s="45">
        <v>46017.135416666664</v>
      </c>
      <c r="O14654" s="46" t="s">
        <v>123</v>
      </c>
      <c r="P14654" s="46">
        <v>900.0</v>
      </c>
      <c r="S14654" s="46" t="s">
        <v>199</v>
      </c>
    </row>
    <row r="14655">
      <c r="A14655" s="40">
        <f t="shared" si="1"/>
        <v>46013</v>
      </c>
      <c r="B14655" s="37" t="str">
        <f t="array" ref="B14655">iferror(xlookup($I14655, 'IMPORT VHC Report'!$E:$E, 'IMPORT VHC Report'!$A:$C), )</f>
        <v/>
      </c>
      <c r="C14655" s="44"/>
      <c r="D14655" s="44"/>
      <c r="E14655" s="46" t="s">
        <v>10803</v>
      </c>
      <c r="F14655" s="46" t="s">
        <v>6087</v>
      </c>
      <c r="G14655" s="46">
        <v>1.0333018682383E13</v>
      </c>
      <c r="H14655" s="46" t="s">
        <v>6088</v>
      </c>
      <c r="I14655" s="46" t="s">
        <v>6089</v>
      </c>
      <c r="J14655" s="46" t="s">
        <v>196</v>
      </c>
      <c r="K14655" s="46" t="s">
        <v>63</v>
      </c>
      <c r="L14655" s="45">
        <v>46017.125</v>
      </c>
      <c r="M14655" s="46" t="s">
        <v>123</v>
      </c>
      <c r="N14655" s="45">
        <v>46017.5</v>
      </c>
      <c r="O14655" s="46" t="s">
        <v>123</v>
      </c>
      <c r="P14655" s="46">
        <v>32400.0</v>
      </c>
    </row>
    <row r="14656">
      <c r="A14656" s="40">
        <f t="shared" si="1"/>
        <v>46013</v>
      </c>
      <c r="B14656" s="37" t="str">
        <f t="array" ref="B14656">iferror(xlookup($I14656, 'IMPORT VHC Report'!$E:$E, 'IMPORT VHC Report'!$A:$C), )</f>
        <v/>
      </c>
      <c r="C14656" s="44"/>
      <c r="D14656" s="44"/>
      <c r="E14656" s="46" t="s">
        <v>10804</v>
      </c>
      <c r="F14656" s="46" t="s">
        <v>6087</v>
      </c>
      <c r="G14656" s="46">
        <v>1.0333018682383E13</v>
      </c>
      <c r="H14656" s="46" t="s">
        <v>6088</v>
      </c>
      <c r="I14656" s="46" t="s">
        <v>6089</v>
      </c>
      <c r="J14656" s="46" t="s">
        <v>132</v>
      </c>
      <c r="K14656" s="46" t="s">
        <v>126</v>
      </c>
      <c r="L14656" s="45">
        <v>46017.208333333336</v>
      </c>
      <c r="M14656" s="46" t="s">
        <v>123</v>
      </c>
      <c r="N14656" s="45">
        <v>46017.25</v>
      </c>
      <c r="O14656" s="46" t="s">
        <v>123</v>
      </c>
      <c r="P14656" s="46">
        <v>3600.0</v>
      </c>
    </row>
    <row r="14657">
      <c r="A14657" s="40">
        <f t="shared" si="1"/>
        <v>46013</v>
      </c>
      <c r="B14657" s="37" t="str">
        <f t="array" ref="B14657">iferror(xlookup($I14657, 'IMPORT VHC Report'!$E:$E, 'IMPORT VHC Report'!$A:$C), )</f>
        <v/>
      </c>
      <c r="C14657" s="44"/>
      <c r="D14657" s="44"/>
      <c r="E14657" s="46" t="s">
        <v>10805</v>
      </c>
      <c r="F14657" s="46" t="s">
        <v>6087</v>
      </c>
      <c r="G14657" s="46">
        <v>1.0333018682383E13</v>
      </c>
      <c r="H14657" s="46" t="s">
        <v>6088</v>
      </c>
      <c r="I14657" s="46" t="s">
        <v>6089</v>
      </c>
      <c r="J14657" s="46" t="s">
        <v>134</v>
      </c>
      <c r="K14657" s="46" t="s">
        <v>126</v>
      </c>
      <c r="L14657" s="45">
        <v>46017.364583333336</v>
      </c>
      <c r="M14657" s="46" t="s">
        <v>123</v>
      </c>
      <c r="N14657" s="45">
        <v>46017.385416666664</v>
      </c>
      <c r="O14657" s="46" t="s">
        <v>123</v>
      </c>
      <c r="P14657" s="46">
        <v>1800.0</v>
      </c>
    </row>
    <row r="14658">
      <c r="A14658" s="40">
        <f t="shared" si="1"/>
        <v>46013</v>
      </c>
      <c r="B14658" s="37" t="str">
        <f t="array" ref="B14658">iferror(xlookup($I14658, 'IMPORT VHC Report'!$E:$E, 'IMPORT VHC Report'!$A:$C), )</f>
        <v/>
      </c>
      <c r="C14658" s="44"/>
      <c r="D14658" s="44"/>
      <c r="E14658" s="46" t="s">
        <v>10806</v>
      </c>
      <c r="F14658" s="46" t="s">
        <v>6087</v>
      </c>
      <c r="G14658" s="46">
        <v>1.0333018682383E13</v>
      </c>
      <c r="H14658" s="46" t="s">
        <v>6088</v>
      </c>
      <c r="I14658" s="46" t="s">
        <v>6089</v>
      </c>
      <c r="J14658" s="46" t="s">
        <v>125</v>
      </c>
      <c r="K14658" s="46" t="s">
        <v>126</v>
      </c>
      <c r="L14658" s="45">
        <v>46018.125</v>
      </c>
      <c r="M14658" s="46" t="s">
        <v>123</v>
      </c>
      <c r="N14658" s="45">
        <v>46018.135416666664</v>
      </c>
      <c r="O14658" s="46" t="s">
        <v>123</v>
      </c>
      <c r="P14658" s="46">
        <v>900.0</v>
      </c>
      <c r="S14658" s="46" t="s">
        <v>199</v>
      </c>
    </row>
    <row r="14659">
      <c r="A14659" s="40">
        <f t="shared" si="1"/>
        <v>46013</v>
      </c>
      <c r="B14659" s="37" t="str">
        <f t="array" ref="B14659">iferror(xlookup($I14659, 'IMPORT VHC Report'!$E:$E, 'IMPORT VHC Report'!$A:$C), )</f>
        <v/>
      </c>
      <c r="C14659" s="44"/>
      <c r="D14659" s="44"/>
      <c r="E14659" s="46" t="s">
        <v>10807</v>
      </c>
      <c r="F14659" s="46" t="s">
        <v>6087</v>
      </c>
      <c r="G14659" s="46">
        <v>1.0333018682383E13</v>
      </c>
      <c r="H14659" s="46" t="s">
        <v>6088</v>
      </c>
      <c r="I14659" s="46" t="s">
        <v>6089</v>
      </c>
      <c r="J14659" s="46" t="s">
        <v>196</v>
      </c>
      <c r="K14659" s="46" t="s">
        <v>63</v>
      </c>
      <c r="L14659" s="45">
        <v>46018.125</v>
      </c>
      <c r="M14659" s="46" t="s">
        <v>123</v>
      </c>
      <c r="N14659" s="45">
        <v>46018.5</v>
      </c>
      <c r="O14659" s="46" t="s">
        <v>123</v>
      </c>
      <c r="P14659" s="46">
        <v>32400.0</v>
      </c>
    </row>
    <row r="14660">
      <c r="A14660" s="40">
        <f t="shared" si="1"/>
        <v>46013</v>
      </c>
      <c r="B14660" s="37" t="str">
        <f t="array" ref="B14660">iferror(xlookup($I14660, 'IMPORT VHC Report'!$E:$E, 'IMPORT VHC Report'!$A:$C), )</f>
        <v/>
      </c>
      <c r="C14660" s="44"/>
      <c r="D14660" s="44"/>
      <c r="E14660" s="46" t="s">
        <v>10808</v>
      </c>
      <c r="F14660" s="46" t="s">
        <v>6087</v>
      </c>
      <c r="G14660" s="46">
        <v>1.0333018682383E13</v>
      </c>
      <c r="H14660" s="46" t="s">
        <v>6088</v>
      </c>
      <c r="I14660" s="46" t="s">
        <v>6089</v>
      </c>
      <c r="J14660" s="46" t="s">
        <v>132</v>
      </c>
      <c r="K14660" s="46" t="s">
        <v>126</v>
      </c>
      <c r="L14660" s="45">
        <v>46018.25</v>
      </c>
      <c r="M14660" s="46" t="s">
        <v>123</v>
      </c>
      <c r="N14660" s="45">
        <v>46018.291666666664</v>
      </c>
      <c r="O14660" s="46" t="s">
        <v>123</v>
      </c>
      <c r="P14660" s="46">
        <v>3600.0</v>
      </c>
    </row>
    <row r="14661">
      <c r="A14661" s="40">
        <f t="shared" si="1"/>
        <v>46013</v>
      </c>
      <c r="B14661" s="37" t="str">
        <f t="array" ref="B14661">iferror(xlookup($I14661, 'IMPORT VHC Report'!$E:$E, 'IMPORT VHC Report'!$A:$C), )</f>
        <v/>
      </c>
      <c r="C14661" s="44"/>
      <c r="D14661" s="44"/>
      <c r="E14661" s="46" t="s">
        <v>10809</v>
      </c>
      <c r="F14661" s="46" t="s">
        <v>6087</v>
      </c>
      <c r="G14661" s="46">
        <v>1.0333018682383E13</v>
      </c>
      <c r="H14661" s="46" t="s">
        <v>6088</v>
      </c>
      <c r="I14661" s="46" t="s">
        <v>6089</v>
      </c>
      <c r="J14661" s="46" t="s">
        <v>134</v>
      </c>
      <c r="K14661" s="46" t="s">
        <v>126</v>
      </c>
      <c r="L14661" s="45">
        <v>46018.395833333336</v>
      </c>
      <c r="M14661" s="46" t="s">
        <v>123</v>
      </c>
      <c r="N14661" s="45">
        <v>46018.416666666664</v>
      </c>
      <c r="O14661" s="46" t="s">
        <v>123</v>
      </c>
      <c r="P14661" s="46">
        <v>1800.0</v>
      </c>
    </row>
    <row r="14662">
      <c r="A14662" s="40">
        <f t="shared" si="1"/>
        <v>46013</v>
      </c>
      <c r="B14662" s="37" t="str">
        <f t="array" ref="B14662">iferror(xlookup($I14662, 'IMPORT VHC Report'!$E:$E, 'IMPORT VHC Report'!$A:$C), )</f>
        <v/>
      </c>
      <c r="C14662" s="44"/>
      <c r="D14662" s="44"/>
      <c r="E14662" s="46" t="s">
        <v>10810</v>
      </c>
      <c r="F14662" s="46" t="s">
        <v>6110</v>
      </c>
      <c r="G14662" s="46">
        <v>1.1401961091343E13</v>
      </c>
      <c r="H14662" s="46" t="s">
        <v>6111</v>
      </c>
      <c r="I14662" s="46" t="s">
        <v>6112</v>
      </c>
      <c r="J14662" s="46" t="s">
        <v>125</v>
      </c>
      <c r="K14662" s="46" t="s">
        <v>126</v>
      </c>
      <c r="L14662" s="45">
        <v>46014.125</v>
      </c>
      <c r="M14662" s="46" t="s">
        <v>123</v>
      </c>
      <c r="N14662" s="45">
        <v>46014.135416666664</v>
      </c>
      <c r="O14662" s="46" t="s">
        <v>123</v>
      </c>
      <c r="P14662" s="46">
        <v>900.0</v>
      </c>
      <c r="S14662" s="46" t="s">
        <v>199</v>
      </c>
    </row>
    <row r="14663">
      <c r="A14663" s="40">
        <f t="shared" si="1"/>
        <v>46013</v>
      </c>
      <c r="B14663" s="37" t="str">
        <f t="array" ref="B14663">iferror(xlookup($I14663, 'IMPORT VHC Report'!$E:$E, 'IMPORT VHC Report'!$A:$C), )</f>
        <v/>
      </c>
      <c r="C14663" s="44"/>
      <c r="D14663" s="44"/>
      <c r="E14663" s="46" t="s">
        <v>10811</v>
      </c>
      <c r="F14663" s="46" t="s">
        <v>6110</v>
      </c>
      <c r="G14663" s="46">
        <v>1.1401961091343E13</v>
      </c>
      <c r="H14663" s="46" t="s">
        <v>6111</v>
      </c>
      <c r="I14663" s="46" t="s">
        <v>6112</v>
      </c>
      <c r="J14663" s="46" t="s">
        <v>196</v>
      </c>
      <c r="K14663" s="46" t="s">
        <v>63</v>
      </c>
      <c r="L14663" s="45">
        <v>46014.125</v>
      </c>
      <c r="M14663" s="46" t="s">
        <v>123</v>
      </c>
      <c r="N14663" s="45">
        <v>46014.4375</v>
      </c>
      <c r="O14663" s="46" t="s">
        <v>123</v>
      </c>
      <c r="P14663" s="46">
        <v>27000.0</v>
      </c>
    </row>
    <row r="14664">
      <c r="A14664" s="40">
        <f t="shared" si="1"/>
        <v>46013</v>
      </c>
      <c r="B14664" s="37" t="str">
        <f t="array" ref="B14664">iferror(xlookup($I14664, 'IMPORT VHC Report'!$E:$E, 'IMPORT VHC Report'!$A:$C), )</f>
        <v/>
      </c>
      <c r="C14664" s="44"/>
      <c r="D14664" s="44"/>
      <c r="E14664" s="46" t="s">
        <v>10812</v>
      </c>
      <c r="F14664" s="46" t="s">
        <v>6110</v>
      </c>
      <c r="G14664" s="46">
        <v>1.1401961091343E13</v>
      </c>
      <c r="H14664" s="46" t="s">
        <v>6111</v>
      </c>
      <c r="I14664" s="46" t="s">
        <v>6112</v>
      </c>
      <c r="J14664" s="46" t="s">
        <v>132</v>
      </c>
      <c r="K14664" s="46" t="s">
        <v>126</v>
      </c>
      <c r="L14664" s="45">
        <v>46014.270833333336</v>
      </c>
      <c r="M14664" s="46" t="s">
        <v>123</v>
      </c>
      <c r="N14664" s="45">
        <v>46014.3125</v>
      </c>
      <c r="O14664" s="46" t="s">
        <v>123</v>
      </c>
      <c r="P14664" s="46">
        <v>3600.0</v>
      </c>
    </row>
    <row r="14665">
      <c r="A14665" s="40">
        <f t="shared" si="1"/>
        <v>46013</v>
      </c>
      <c r="B14665" s="37" t="str">
        <f t="array" ref="B14665">iferror(xlookup($I14665, 'IMPORT VHC Report'!$E:$E, 'IMPORT VHC Report'!$A:$C), )</f>
        <v/>
      </c>
      <c r="C14665" s="44"/>
      <c r="D14665" s="44"/>
      <c r="E14665" s="46" t="s">
        <v>10813</v>
      </c>
      <c r="F14665" s="46" t="s">
        <v>6110</v>
      </c>
      <c r="G14665" s="46">
        <v>1.1401961091343E13</v>
      </c>
      <c r="H14665" s="46" t="s">
        <v>6111</v>
      </c>
      <c r="I14665" s="46" t="s">
        <v>6112</v>
      </c>
      <c r="J14665" s="46" t="s">
        <v>134</v>
      </c>
      <c r="K14665" s="46" t="s">
        <v>126</v>
      </c>
      <c r="L14665" s="45">
        <v>46014.416666666664</v>
      </c>
      <c r="M14665" s="46" t="s">
        <v>123</v>
      </c>
      <c r="N14665" s="45">
        <v>46014.4375</v>
      </c>
      <c r="O14665" s="46" t="s">
        <v>123</v>
      </c>
      <c r="P14665" s="46">
        <v>1800.0</v>
      </c>
    </row>
    <row r="14666">
      <c r="A14666" s="40">
        <f t="shared" si="1"/>
        <v>46013</v>
      </c>
      <c r="B14666" s="37" t="str">
        <f t="array" ref="B14666">iferror(xlookup($I14666, 'IMPORT VHC Report'!$E:$E, 'IMPORT VHC Report'!$A:$C), )</f>
        <v/>
      </c>
      <c r="C14666" s="44"/>
      <c r="D14666" s="44"/>
      <c r="E14666" s="46" t="s">
        <v>10814</v>
      </c>
      <c r="F14666" s="46" t="s">
        <v>6110</v>
      </c>
      <c r="G14666" s="46">
        <v>1.1401961091343E13</v>
      </c>
      <c r="H14666" s="46" t="s">
        <v>6111</v>
      </c>
      <c r="I14666" s="46" t="s">
        <v>6112</v>
      </c>
      <c r="J14666" s="46" t="s">
        <v>62</v>
      </c>
      <c r="K14666" s="46" t="s">
        <v>63</v>
      </c>
      <c r="L14666" s="45">
        <v>46014.416666666664</v>
      </c>
      <c r="M14666" s="46" t="s">
        <v>123</v>
      </c>
      <c r="N14666" s="45">
        <v>46014.458333333336</v>
      </c>
      <c r="O14666" s="46" t="s">
        <v>123</v>
      </c>
      <c r="P14666" s="46">
        <v>3600.0</v>
      </c>
    </row>
    <row r="14667">
      <c r="A14667" s="40">
        <f t="shared" si="1"/>
        <v>46013</v>
      </c>
      <c r="B14667" s="37" t="str">
        <f t="array" ref="B14667">iferror(xlookup($I14667, 'IMPORT VHC Report'!$E:$E, 'IMPORT VHC Report'!$A:$C), )</f>
        <v/>
      </c>
      <c r="C14667" s="44"/>
      <c r="D14667" s="44"/>
      <c r="E14667" s="46" t="s">
        <v>10815</v>
      </c>
      <c r="F14667" s="46" t="s">
        <v>6110</v>
      </c>
      <c r="G14667" s="46">
        <v>1.1401961091343E13</v>
      </c>
      <c r="H14667" s="46" t="s">
        <v>6111</v>
      </c>
      <c r="I14667" s="46" t="s">
        <v>6112</v>
      </c>
      <c r="J14667" s="46" t="s">
        <v>4</v>
      </c>
      <c r="K14667" s="46" t="s">
        <v>126</v>
      </c>
      <c r="L14667" s="45">
        <v>46014.4375</v>
      </c>
      <c r="M14667" s="46" t="s">
        <v>123</v>
      </c>
      <c r="N14667" s="45">
        <v>46014.46527777778</v>
      </c>
      <c r="O14667" s="46" t="s">
        <v>123</v>
      </c>
      <c r="P14667" s="46">
        <v>2400.0</v>
      </c>
      <c r="S14667" s="46" t="s">
        <v>10450</v>
      </c>
    </row>
    <row r="14668">
      <c r="A14668" s="40">
        <f t="shared" si="1"/>
        <v>46013</v>
      </c>
      <c r="B14668" s="37" t="str">
        <f t="array" ref="B14668">iferror(xlookup($I14668, 'IMPORT VHC Report'!$E:$E, 'IMPORT VHC Report'!$A:$C), )</f>
        <v/>
      </c>
      <c r="C14668" s="44"/>
      <c r="D14668" s="44"/>
      <c r="E14668" s="46" t="s">
        <v>10816</v>
      </c>
      <c r="F14668" s="46" t="s">
        <v>6110</v>
      </c>
      <c r="G14668" s="46">
        <v>1.1401961091343E13</v>
      </c>
      <c r="H14668" s="46" t="s">
        <v>6111</v>
      </c>
      <c r="I14668" s="46" t="s">
        <v>6112</v>
      </c>
      <c r="J14668" s="46" t="s">
        <v>196</v>
      </c>
      <c r="K14668" s="46" t="s">
        <v>63</v>
      </c>
      <c r="L14668" s="45">
        <v>46014.458333333336</v>
      </c>
      <c r="M14668" s="46" t="s">
        <v>123</v>
      </c>
      <c r="N14668" s="45">
        <v>46014.5</v>
      </c>
      <c r="O14668" s="46" t="s">
        <v>123</v>
      </c>
      <c r="P14668" s="46">
        <v>3600.0</v>
      </c>
    </row>
    <row r="14669">
      <c r="A14669" s="40">
        <f t="shared" si="1"/>
        <v>46013</v>
      </c>
      <c r="B14669" s="37" t="str">
        <f t="array" ref="B14669">iferror(xlookup($I14669, 'IMPORT VHC Report'!$E:$E, 'IMPORT VHC Report'!$A:$C), )</f>
        <v/>
      </c>
      <c r="C14669" s="44"/>
      <c r="D14669" s="44"/>
      <c r="E14669" s="46" t="s">
        <v>10817</v>
      </c>
      <c r="F14669" s="46" t="s">
        <v>6110</v>
      </c>
      <c r="G14669" s="46">
        <v>1.1401961091343E13</v>
      </c>
      <c r="H14669" s="46" t="s">
        <v>6111</v>
      </c>
      <c r="I14669" s="46" t="s">
        <v>6112</v>
      </c>
      <c r="J14669" s="46" t="s">
        <v>125</v>
      </c>
      <c r="K14669" s="46" t="s">
        <v>126</v>
      </c>
      <c r="L14669" s="45">
        <v>46015.125</v>
      </c>
      <c r="M14669" s="46" t="s">
        <v>123</v>
      </c>
      <c r="N14669" s="45">
        <v>46015.135416666664</v>
      </c>
      <c r="O14669" s="46" t="s">
        <v>123</v>
      </c>
      <c r="P14669" s="46">
        <v>900.0</v>
      </c>
      <c r="S14669" s="46" t="s">
        <v>199</v>
      </c>
    </row>
    <row r="14670">
      <c r="A14670" s="40">
        <f t="shared" si="1"/>
        <v>46013</v>
      </c>
      <c r="B14670" s="37" t="str">
        <f t="array" ref="B14670">iferror(xlookup($I14670, 'IMPORT VHC Report'!$E:$E, 'IMPORT VHC Report'!$A:$C), )</f>
        <v/>
      </c>
      <c r="C14670" s="44"/>
      <c r="D14670" s="44"/>
      <c r="E14670" s="46" t="s">
        <v>10818</v>
      </c>
      <c r="F14670" s="46" t="s">
        <v>6110</v>
      </c>
      <c r="G14670" s="46">
        <v>1.1401961091343E13</v>
      </c>
      <c r="H14670" s="46" t="s">
        <v>6111</v>
      </c>
      <c r="I14670" s="46" t="s">
        <v>6112</v>
      </c>
      <c r="J14670" s="46" t="s">
        <v>196</v>
      </c>
      <c r="K14670" s="46" t="s">
        <v>63</v>
      </c>
      <c r="L14670" s="45">
        <v>46015.125</v>
      </c>
      <c r="M14670" s="46" t="s">
        <v>123</v>
      </c>
      <c r="N14670" s="45">
        <v>46015.5</v>
      </c>
      <c r="O14670" s="46" t="s">
        <v>123</v>
      </c>
      <c r="P14670" s="46">
        <v>32400.0</v>
      </c>
    </row>
    <row r="14671">
      <c r="A14671" s="40">
        <f t="shared" si="1"/>
        <v>46013</v>
      </c>
      <c r="B14671" s="37" t="str">
        <f t="array" ref="B14671">iferror(xlookup($I14671, 'IMPORT VHC Report'!$E:$E, 'IMPORT VHC Report'!$A:$C), )</f>
        <v/>
      </c>
      <c r="C14671" s="44"/>
      <c r="D14671" s="44"/>
      <c r="E14671" s="46" t="s">
        <v>10819</v>
      </c>
      <c r="F14671" s="46" t="s">
        <v>6110</v>
      </c>
      <c r="G14671" s="46">
        <v>1.1401961091343E13</v>
      </c>
      <c r="H14671" s="46" t="s">
        <v>6111</v>
      </c>
      <c r="I14671" s="46" t="s">
        <v>6112</v>
      </c>
      <c r="J14671" s="46" t="s">
        <v>134</v>
      </c>
      <c r="K14671" s="46" t="s">
        <v>126</v>
      </c>
      <c r="L14671" s="45">
        <v>46015.25</v>
      </c>
      <c r="M14671" s="46" t="s">
        <v>123</v>
      </c>
      <c r="N14671" s="45">
        <v>46015.270833333336</v>
      </c>
      <c r="O14671" s="46" t="s">
        <v>123</v>
      </c>
      <c r="P14671" s="46">
        <v>1800.0</v>
      </c>
    </row>
    <row r="14672">
      <c r="A14672" s="40">
        <f t="shared" si="1"/>
        <v>46013</v>
      </c>
      <c r="B14672" s="37" t="str">
        <f t="array" ref="B14672">iferror(xlookup($I14672, 'IMPORT VHC Report'!$E:$E, 'IMPORT VHC Report'!$A:$C), )</f>
        <v/>
      </c>
      <c r="C14672" s="44"/>
      <c r="D14672" s="44"/>
      <c r="E14672" s="46" t="s">
        <v>10820</v>
      </c>
      <c r="F14672" s="46" t="s">
        <v>6110</v>
      </c>
      <c r="G14672" s="46">
        <v>1.1401961091343E13</v>
      </c>
      <c r="H14672" s="46" t="s">
        <v>6111</v>
      </c>
      <c r="I14672" s="46" t="s">
        <v>6112</v>
      </c>
      <c r="J14672" s="46" t="s">
        <v>132</v>
      </c>
      <c r="K14672" s="46" t="s">
        <v>126</v>
      </c>
      <c r="L14672" s="45">
        <v>46015.375</v>
      </c>
      <c r="M14672" s="46" t="s">
        <v>123</v>
      </c>
      <c r="N14672" s="45">
        <v>46015.416666666664</v>
      </c>
      <c r="O14672" s="46" t="s">
        <v>123</v>
      </c>
      <c r="P14672" s="46">
        <v>3600.0</v>
      </c>
    </row>
    <row r="14673">
      <c r="A14673" s="40">
        <f t="shared" si="1"/>
        <v>46013</v>
      </c>
      <c r="B14673" s="37" t="str">
        <f t="array" ref="B14673">iferror(xlookup($I14673, 'IMPORT VHC Report'!$E:$E, 'IMPORT VHC Report'!$A:$C), )</f>
        <v/>
      </c>
      <c r="C14673" s="44"/>
      <c r="D14673" s="44"/>
      <c r="E14673" s="46" t="s">
        <v>10821</v>
      </c>
      <c r="F14673" s="46" t="s">
        <v>6110</v>
      </c>
      <c r="G14673" s="46">
        <v>1.1401961091343E13</v>
      </c>
      <c r="H14673" s="46" t="s">
        <v>6111</v>
      </c>
      <c r="I14673" s="46" t="s">
        <v>6112</v>
      </c>
      <c r="J14673" s="46" t="s">
        <v>125</v>
      </c>
      <c r="K14673" s="46" t="s">
        <v>126</v>
      </c>
      <c r="L14673" s="45">
        <v>46016.125</v>
      </c>
      <c r="M14673" s="46" t="s">
        <v>123</v>
      </c>
      <c r="N14673" s="45">
        <v>46016.135416666664</v>
      </c>
      <c r="O14673" s="46" t="s">
        <v>123</v>
      </c>
      <c r="P14673" s="46">
        <v>900.0</v>
      </c>
      <c r="S14673" s="46" t="s">
        <v>199</v>
      </c>
    </row>
    <row r="14674">
      <c r="A14674" s="40">
        <f t="shared" si="1"/>
        <v>46013</v>
      </c>
      <c r="B14674" s="37" t="str">
        <f t="array" ref="B14674">iferror(xlookup($I14674, 'IMPORT VHC Report'!$E:$E, 'IMPORT VHC Report'!$A:$C), )</f>
        <v/>
      </c>
      <c r="C14674" s="44"/>
      <c r="D14674" s="44"/>
      <c r="E14674" s="46" t="s">
        <v>10822</v>
      </c>
      <c r="F14674" s="46" t="s">
        <v>6110</v>
      </c>
      <c r="G14674" s="46">
        <v>1.1401961091343E13</v>
      </c>
      <c r="H14674" s="46" t="s">
        <v>6111</v>
      </c>
      <c r="I14674" s="46" t="s">
        <v>6112</v>
      </c>
      <c r="J14674" s="46" t="s">
        <v>196</v>
      </c>
      <c r="K14674" s="46" t="s">
        <v>63</v>
      </c>
      <c r="L14674" s="45">
        <v>46016.125</v>
      </c>
      <c r="M14674" s="46" t="s">
        <v>123</v>
      </c>
      <c r="N14674" s="45">
        <v>46016.5</v>
      </c>
      <c r="O14674" s="46" t="s">
        <v>123</v>
      </c>
      <c r="P14674" s="46">
        <v>32400.0</v>
      </c>
    </row>
    <row r="14675">
      <c r="A14675" s="40">
        <f t="shared" si="1"/>
        <v>46013</v>
      </c>
      <c r="B14675" s="37" t="str">
        <f t="array" ref="B14675">iferror(xlookup($I14675, 'IMPORT VHC Report'!$E:$E, 'IMPORT VHC Report'!$A:$C), )</f>
        <v/>
      </c>
      <c r="C14675" s="44"/>
      <c r="D14675" s="44"/>
      <c r="E14675" s="46" t="s">
        <v>10823</v>
      </c>
      <c r="F14675" s="46" t="s">
        <v>6110</v>
      </c>
      <c r="G14675" s="46">
        <v>1.1401961091343E13</v>
      </c>
      <c r="H14675" s="46" t="s">
        <v>6111</v>
      </c>
      <c r="I14675" s="46" t="s">
        <v>6112</v>
      </c>
      <c r="J14675" s="46" t="s">
        <v>132</v>
      </c>
      <c r="K14675" s="46" t="s">
        <v>126</v>
      </c>
      <c r="L14675" s="45">
        <v>46016.260416666664</v>
      </c>
      <c r="M14675" s="46" t="s">
        <v>123</v>
      </c>
      <c r="N14675" s="45">
        <v>46016.302083333336</v>
      </c>
      <c r="O14675" s="46" t="s">
        <v>123</v>
      </c>
      <c r="P14675" s="46">
        <v>3600.0</v>
      </c>
    </row>
    <row r="14676">
      <c r="A14676" s="40">
        <f t="shared" si="1"/>
        <v>46013</v>
      </c>
      <c r="B14676" s="37" t="str">
        <f t="array" ref="B14676">iferror(xlookup($I14676, 'IMPORT VHC Report'!$E:$E, 'IMPORT VHC Report'!$A:$C), )</f>
        <v/>
      </c>
      <c r="C14676" s="44"/>
      <c r="D14676" s="44"/>
      <c r="E14676" s="46" t="s">
        <v>10824</v>
      </c>
      <c r="F14676" s="46" t="s">
        <v>6110</v>
      </c>
      <c r="G14676" s="46">
        <v>1.1401961091343E13</v>
      </c>
      <c r="H14676" s="46" t="s">
        <v>6111</v>
      </c>
      <c r="I14676" s="46" t="s">
        <v>6112</v>
      </c>
      <c r="J14676" s="46" t="s">
        <v>134</v>
      </c>
      <c r="K14676" s="46" t="s">
        <v>126</v>
      </c>
      <c r="L14676" s="45">
        <v>46016.416666666664</v>
      </c>
      <c r="M14676" s="46" t="s">
        <v>123</v>
      </c>
      <c r="N14676" s="45">
        <v>46016.4375</v>
      </c>
      <c r="O14676" s="46" t="s">
        <v>123</v>
      </c>
      <c r="P14676" s="46">
        <v>1800.0</v>
      </c>
    </row>
    <row r="14677">
      <c r="A14677" s="40">
        <f t="shared" si="1"/>
        <v>46013</v>
      </c>
      <c r="B14677" s="37" t="str">
        <f t="array" ref="B14677">iferror(xlookup($I14677, 'IMPORT VHC Report'!$E:$E, 'IMPORT VHC Report'!$A:$C), )</f>
        <v/>
      </c>
      <c r="C14677" s="44"/>
      <c r="D14677" s="44"/>
      <c r="E14677" s="46" t="s">
        <v>10825</v>
      </c>
      <c r="F14677" s="46" t="s">
        <v>6110</v>
      </c>
      <c r="G14677" s="46">
        <v>1.1401961091343E13</v>
      </c>
      <c r="H14677" s="46" t="s">
        <v>6111</v>
      </c>
      <c r="I14677" s="46" t="s">
        <v>6112</v>
      </c>
      <c r="J14677" s="46" t="s">
        <v>125</v>
      </c>
      <c r="K14677" s="46" t="s">
        <v>126</v>
      </c>
      <c r="L14677" s="45">
        <v>46017.125</v>
      </c>
      <c r="M14677" s="46" t="s">
        <v>123</v>
      </c>
      <c r="N14677" s="45">
        <v>46017.135416666664</v>
      </c>
      <c r="O14677" s="46" t="s">
        <v>123</v>
      </c>
      <c r="P14677" s="46">
        <v>900.0</v>
      </c>
      <c r="S14677" s="46" t="s">
        <v>199</v>
      </c>
    </row>
    <row r="14678">
      <c r="A14678" s="40">
        <f t="shared" si="1"/>
        <v>46013</v>
      </c>
      <c r="B14678" s="37" t="str">
        <f t="array" ref="B14678">iferror(xlookup($I14678, 'IMPORT VHC Report'!$E:$E, 'IMPORT VHC Report'!$A:$C), )</f>
        <v/>
      </c>
      <c r="C14678" s="44"/>
      <c r="D14678" s="44"/>
      <c r="E14678" s="46" t="s">
        <v>10826</v>
      </c>
      <c r="F14678" s="46" t="s">
        <v>6110</v>
      </c>
      <c r="G14678" s="46">
        <v>1.1401961091343E13</v>
      </c>
      <c r="H14678" s="46" t="s">
        <v>6111</v>
      </c>
      <c r="I14678" s="46" t="s">
        <v>6112</v>
      </c>
      <c r="J14678" s="46" t="s">
        <v>196</v>
      </c>
      <c r="K14678" s="46" t="s">
        <v>63</v>
      </c>
      <c r="L14678" s="45">
        <v>46017.125</v>
      </c>
      <c r="M14678" s="46" t="s">
        <v>123</v>
      </c>
      <c r="N14678" s="45">
        <v>46017.5</v>
      </c>
      <c r="O14678" s="46" t="s">
        <v>123</v>
      </c>
      <c r="P14678" s="46">
        <v>32400.0</v>
      </c>
    </row>
    <row r="14679">
      <c r="A14679" s="40">
        <f t="shared" si="1"/>
        <v>46013</v>
      </c>
      <c r="B14679" s="37" t="str">
        <f t="array" ref="B14679">iferror(xlookup($I14679, 'IMPORT VHC Report'!$E:$E, 'IMPORT VHC Report'!$A:$C), )</f>
        <v/>
      </c>
      <c r="C14679" s="44"/>
      <c r="D14679" s="44"/>
      <c r="E14679" s="46" t="s">
        <v>10827</v>
      </c>
      <c r="F14679" s="46" t="s">
        <v>6110</v>
      </c>
      <c r="G14679" s="46">
        <v>1.1401961091343E13</v>
      </c>
      <c r="H14679" s="46" t="s">
        <v>6111</v>
      </c>
      <c r="I14679" s="46" t="s">
        <v>6112</v>
      </c>
      <c r="J14679" s="46" t="s">
        <v>134</v>
      </c>
      <c r="K14679" s="46" t="s">
        <v>126</v>
      </c>
      <c r="L14679" s="45">
        <v>46017.229166666664</v>
      </c>
      <c r="M14679" s="46" t="s">
        <v>123</v>
      </c>
      <c r="N14679" s="45">
        <v>46017.25</v>
      </c>
      <c r="O14679" s="46" t="s">
        <v>123</v>
      </c>
      <c r="P14679" s="46">
        <v>1800.0</v>
      </c>
    </row>
    <row r="14680">
      <c r="A14680" s="40">
        <f t="shared" si="1"/>
        <v>46013</v>
      </c>
      <c r="B14680" s="37" t="str">
        <f t="array" ref="B14680">iferror(xlookup($I14680, 'IMPORT VHC Report'!$E:$E, 'IMPORT VHC Report'!$A:$C), )</f>
        <v/>
      </c>
      <c r="C14680" s="44"/>
      <c r="D14680" s="44"/>
      <c r="E14680" s="46" t="s">
        <v>10828</v>
      </c>
      <c r="F14680" s="46" t="s">
        <v>6110</v>
      </c>
      <c r="G14680" s="46">
        <v>1.1401961091343E13</v>
      </c>
      <c r="H14680" s="46" t="s">
        <v>6111</v>
      </c>
      <c r="I14680" s="46" t="s">
        <v>6112</v>
      </c>
      <c r="J14680" s="46" t="s">
        <v>132</v>
      </c>
      <c r="K14680" s="46" t="s">
        <v>126</v>
      </c>
      <c r="L14680" s="45">
        <v>46017.385416666664</v>
      </c>
      <c r="M14680" s="46" t="s">
        <v>123</v>
      </c>
      <c r="N14680" s="45">
        <v>46017.427083333336</v>
      </c>
      <c r="O14680" s="46" t="s">
        <v>123</v>
      </c>
      <c r="P14680" s="46">
        <v>3600.0</v>
      </c>
    </row>
    <row r="14681">
      <c r="A14681" s="40">
        <f t="shared" si="1"/>
        <v>46013</v>
      </c>
      <c r="B14681" s="37" t="str">
        <f t="array" ref="B14681">iferror(xlookup($I14681, 'IMPORT VHC Report'!$E:$E, 'IMPORT VHC Report'!$A:$C), )</f>
        <v/>
      </c>
      <c r="C14681" s="44"/>
      <c r="D14681" s="44"/>
      <c r="E14681" s="46" t="s">
        <v>10829</v>
      </c>
      <c r="F14681" s="46" t="s">
        <v>6110</v>
      </c>
      <c r="G14681" s="46">
        <v>1.1401961091343E13</v>
      </c>
      <c r="H14681" s="46" t="s">
        <v>6111</v>
      </c>
      <c r="I14681" s="46" t="s">
        <v>6112</v>
      </c>
      <c r="J14681" s="46" t="s">
        <v>125</v>
      </c>
      <c r="K14681" s="46" t="s">
        <v>126</v>
      </c>
      <c r="L14681" s="45">
        <v>46018.125</v>
      </c>
      <c r="M14681" s="46" t="s">
        <v>123</v>
      </c>
      <c r="N14681" s="45">
        <v>46018.135416666664</v>
      </c>
      <c r="O14681" s="46" t="s">
        <v>123</v>
      </c>
      <c r="P14681" s="46">
        <v>900.0</v>
      </c>
      <c r="S14681" s="46" t="s">
        <v>199</v>
      </c>
    </row>
    <row r="14682">
      <c r="A14682" s="40">
        <f t="shared" si="1"/>
        <v>46013</v>
      </c>
      <c r="B14682" s="37" t="str">
        <f t="array" ref="B14682">iferror(xlookup($I14682, 'IMPORT VHC Report'!$E:$E, 'IMPORT VHC Report'!$A:$C), )</f>
        <v/>
      </c>
      <c r="C14682" s="44"/>
      <c r="D14682" s="44"/>
      <c r="E14682" s="46" t="s">
        <v>10830</v>
      </c>
      <c r="F14682" s="46" t="s">
        <v>6110</v>
      </c>
      <c r="G14682" s="46">
        <v>1.1401961091343E13</v>
      </c>
      <c r="H14682" s="46" t="s">
        <v>6111</v>
      </c>
      <c r="I14682" s="46" t="s">
        <v>6112</v>
      </c>
      <c r="J14682" s="46" t="s">
        <v>196</v>
      </c>
      <c r="K14682" s="46" t="s">
        <v>63</v>
      </c>
      <c r="L14682" s="45">
        <v>46018.125</v>
      </c>
      <c r="M14682" s="46" t="s">
        <v>123</v>
      </c>
      <c r="N14682" s="45">
        <v>46018.5</v>
      </c>
      <c r="O14682" s="46" t="s">
        <v>123</v>
      </c>
      <c r="P14682" s="46">
        <v>32400.0</v>
      </c>
    </row>
    <row r="14683">
      <c r="A14683" s="40">
        <f t="shared" si="1"/>
        <v>46013</v>
      </c>
      <c r="B14683" s="37" t="str">
        <f t="array" ref="B14683">iferror(xlookup($I14683, 'IMPORT VHC Report'!$E:$E, 'IMPORT VHC Report'!$A:$C), )</f>
        <v/>
      </c>
      <c r="C14683" s="44"/>
      <c r="D14683" s="44"/>
      <c r="E14683" s="46" t="s">
        <v>10831</v>
      </c>
      <c r="F14683" s="46" t="s">
        <v>6110</v>
      </c>
      <c r="G14683" s="46">
        <v>1.1401961091343E13</v>
      </c>
      <c r="H14683" s="46" t="s">
        <v>6111</v>
      </c>
      <c r="I14683" s="46" t="s">
        <v>6112</v>
      </c>
      <c r="J14683" s="46" t="s">
        <v>134</v>
      </c>
      <c r="K14683" s="46" t="s">
        <v>126</v>
      </c>
      <c r="L14683" s="45">
        <v>46018.229166666664</v>
      </c>
      <c r="M14683" s="46" t="s">
        <v>123</v>
      </c>
      <c r="N14683" s="45">
        <v>46018.25</v>
      </c>
      <c r="O14683" s="46" t="s">
        <v>123</v>
      </c>
      <c r="P14683" s="46">
        <v>1800.0</v>
      </c>
    </row>
    <row r="14684">
      <c r="A14684" s="40">
        <f t="shared" si="1"/>
        <v>46013</v>
      </c>
      <c r="B14684" s="37" t="str">
        <f t="array" ref="B14684">iferror(xlookup($I14684, 'IMPORT VHC Report'!$E:$E, 'IMPORT VHC Report'!$A:$C), )</f>
        <v/>
      </c>
      <c r="C14684" s="44"/>
      <c r="D14684" s="44"/>
      <c r="E14684" s="46" t="s">
        <v>10832</v>
      </c>
      <c r="F14684" s="46" t="s">
        <v>6110</v>
      </c>
      <c r="G14684" s="46">
        <v>1.1401961091343E13</v>
      </c>
      <c r="H14684" s="46" t="s">
        <v>6111</v>
      </c>
      <c r="I14684" s="46" t="s">
        <v>6112</v>
      </c>
      <c r="J14684" s="46" t="s">
        <v>132</v>
      </c>
      <c r="K14684" s="46" t="s">
        <v>126</v>
      </c>
      <c r="L14684" s="45">
        <v>46018.375</v>
      </c>
      <c r="M14684" s="46" t="s">
        <v>123</v>
      </c>
      <c r="N14684" s="45">
        <v>46018.416666666664</v>
      </c>
      <c r="O14684" s="46" t="s">
        <v>123</v>
      </c>
      <c r="P14684" s="46">
        <v>3600.0</v>
      </c>
    </row>
    <row r="14685">
      <c r="A14685" s="40">
        <f t="shared" si="1"/>
        <v>46013</v>
      </c>
      <c r="B14685" s="37" t="str">
        <f t="array" ref="B14685">iferror(xlookup($I14685, 'IMPORT VHC Report'!$E:$E, 'IMPORT VHC Report'!$A:$C), )</f>
        <v/>
      </c>
      <c r="C14685" s="44"/>
      <c r="D14685" s="44"/>
      <c r="E14685" s="46" t="s">
        <v>10833</v>
      </c>
      <c r="F14685" s="46" t="s">
        <v>6136</v>
      </c>
      <c r="G14685" s="46">
        <v>9.795939875087E12</v>
      </c>
      <c r="H14685" s="46" t="s">
        <v>6137</v>
      </c>
      <c r="I14685" s="46" t="s">
        <v>6138</v>
      </c>
      <c r="J14685" s="46" t="s">
        <v>125</v>
      </c>
      <c r="K14685" s="46" t="s">
        <v>126</v>
      </c>
      <c r="L14685" s="45">
        <v>46014.125</v>
      </c>
      <c r="M14685" s="46" t="s">
        <v>123</v>
      </c>
      <c r="N14685" s="45">
        <v>46014.135416666664</v>
      </c>
      <c r="O14685" s="46" t="s">
        <v>123</v>
      </c>
      <c r="P14685" s="46">
        <v>900.0</v>
      </c>
      <c r="S14685" s="46" t="s">
        <v>199</v>
      </c>
    </row>
    <row r="14686">
      <c r="A14686" s="40">
        <f t="shared" si="1"/>
        <v>46013</v>
      </c>
      <c r="B14686" s="37" t="str">
        <f t="array" ref="B14686">iferror(xlookup($I14686, 'IMPORT VHC Report'!$E:$E, 'IMPORT VHC Report'!$A:$C), )</f>
        <v/>
      </c>
      <c r="C14686" s="44"/>
      <c r="D14686" s="44"/>
      <c r="E14686" s="46" t="s">
        <v>10834</v>
      </c>
      <c r="F14686" s="46" t="s">
        <v>6136</v>
      </c>
      <c r="G14686" s="46">
        <v>9.795939875087E12</v>
      </c>
      <c r="H14686" s="46" t="s">
        <v>6137</v>
      </c>
      <c r="I14686" s="46" t="s">
        <v>6138</v>
      </c>
      <c r="J14686" s="46" t="s">
        <v>196</v>
      </c>
      <c r="K14686" s="46" t="s">
        <v>63</v>
      </c>
      <c r="L14686" s="45">
        <v>46014.125</v>
      </c>
      <c r="M14686" s="46" t="s">
        <v>123</v>
      </c>
      <c r="N14686" s="45">
        <v>46014.4375</v>
      </c>
      <c r="O14686" s="46" t="s">
        <v>123</v>
      </c>
      <c r="P14686" s="46">
        <v>27000.0</v>
      </c>
    </row>
    <row r="14687">
      <c r="A14687" s="40">
        <f t="shared" si="1"/>
        <v>46013</v>
      </c>
      <c r="B14687" s="37" t="str">
        <f t="array" ref="B14687">iferror(xlookup($I14687, 'IMPORT VHC Report'!$E:$E, 'IMPORT VHC Report'!$A:$C), )</f>
        <v/>
      </c>
      <c r="C14687" s="44"/>
      <c r="D14687" s="44"/>
      <c r="E14687" s="46" t="s">
        <v>10835</v>
      </c>
      <c r="F14687" s="46" t="s">
        <v>6136</v>
      </c>
      <c r="G14687" s="46">
        <v>9.795939875087E12</v>
      </c>
      <c r="H14687" s="46" t="s">
        <v>6137</v>
      </c>
      <c r="I14687" s="46" t="s">
        <v>6138</v>
      </c>
      <c r="J14687" s="46" t="s">
        <v>178</v>
      </c>
      <c r="K14687" s="46" t="s">
        <v>153</v>
      </c>
      <c r="L14687" s="45">
        <v>46014.125</v>
      </c>
      <c r="M14687" s="46" t="s">
        <v>123</v>
      </c>
      <c r="N14687" s="45">
        <v>46014.5</v>
      </c>
      <c r="O14687" s="46" t="s">
        <v>123</v>
      </c>
      <c r="P14687" s="46">
        <v>32400.0</v>
      </c>
      <c r="Q14687" s="46">
        <v>86400.0</v>
      </c>
    </row>
    <row r="14688">
      <c r="A14688" s="40">
        <f t="shared" si="1"/>
        <v>46013</v>
      </c>
      <c r="B14688" s="37" t="str">
        <f t="array" ref="B14688">iferror(xlookup($I14688, 'IMPORT VHC Report'!$E:$E, 'IMPORT VHC Report'!$A:$C), )</f>
        <v/>
      </c>
      <c r="C14688" s="44"/>
      <c r="D14688" s="44"/>
      <c r="E14688" s="46" t="s">
        <v>10836</v>
      </c>
      <c r="F14688" s="46" t="s">
        <v>6136</v>
      </c>
      <c r="G14688" s="46">
        <v>9.795939875087E12</v>
      </c>
      <c r="H14688" s="46" t="s">
        <v>6137</v>
      </c>
      <c r="I14688" s="46" t="s">
        <v>6138</v>
      </c>
      <c r="J14688" s="46" t="s">
        <v>134</v>
      </c>
      <c r="K14688" s="46" t="s">
        <v>126</v>
      </c>
      <c r="L14688" s="45">
        <v>46014.229166666664</v>
      </c>
      <c r="M14688" s="46" t="s">
        <v>123</v>
      </c>
      <c r="N14688" s="45">
        <v>46014.25</v>
      </c>
      <c r="O14688" s="46" t="s">
        <v>123</v>
      </c>
      <c r="P14688" s="46">
        <v>1800.0</v>
      </c>
    </row>
    <row r="14689">
      <c r="A14689" s="40">
        <f t="shared" si="1"/>
        <v>46013</v>
      </c>
      <c r="B14689" s="37" t="str">
        <f t="array" ref="B14689">iferror(xlookup($I14689, 'IMPORT VHC Report'!$E:$E, 'IMPORT VHC Report'!$A:$C), )</f>
        <v/>
      </c>
      <c r="C14689" s="44"/>
      <c r="D14689" s="44"/>
      <c r="E14689" s="46" t="s">
        <v>10837</v>
      </c>
      <c r="F14689" s="46" t="s">
        <v>6136</v>
      </c>
      <c r="G14689" s="46">
        <v>9.795939875087E12</v>
      </c>
      <c r="H14689" s="46" t="s">
        <v>6137</v>
      </c>
      <c r="I14689" s="46" t="s">
        <v>6138</v>
      </c>
      <c r="J14689" s="46" t="s">
        <v>132</v>
      </c>
      <c r="K14689" s="46" t="s">
        <v>126</v>
      </c>
      <c r="L14689" s="45">
        <v>46014.375</v>
      </c>
      <c r="M14689" s="46" t="s">
        <v>123</v>
      </c>
      <c r="N14689" s="45">
        <v>46014.416666666664</v>
      </c>
      <c r="O14689" s="46" t="s">
        <v>123</v>
      </c>
      <c r="P14689" s="46">
        <v>3600.0</v>
      </c>
    </row>
    <row r="14690">
      <c r="A14690" s="40">
        <f t="shared" si="1"/>
        <v>46013</v>
      </c>
      <c r="B14690" s="37" t="str">
        <f t="array" ref="B14690">iferror(xlookup($I14690, 'IMPORT VHC Report'!$E:$E, 'IMPORT VHC Report'!$A:$C), )</f>
        <v/>
      </c>
      <c r="C14690" s="44"/>
      <c r="D14690" s="44"/>
      <c r="E14690" s="46" t="s">
        <v>10838</v>
      </c>
      <c r="F14690" s="46" t="s">
        <v>6136</v>
      </c>
      <c r="G14690" s="46">
        <v>9.795939875087E12</v>
      </c>
      <c r="H14690" s="46" t="s">
        <v>6137</v>
      </c>
      <c r="I14690" s="46" t="s">
        <v>6138</v>
      </c>
      <c r="J14690" s="46" t="s">
        <v>4</v>
      </c>
      <c r="K14690" s="46" t="s">
        <v>126</v>
      </c>
      <c r="L14690" s="45">
        <v>46014.416666666664</v>
      </c>
      <c r="M14690" s="46" t="s">
        <v>123</v>
      </c>
      <c r="N14690" s="45">
        <v>46014.458333333336</v>
      </c>
      <c r="O14690" s="46" t="s">
        <v>123</v>
      </c>
      <c r="P14690" s="46">
        <v>3600.0</v>
      </c>
      <c r="S14690" s="46" t="s">
        <v>858</v>
      </c>
    </row>
    <row r="14691">
      <c r="A14691" s="40">
        <f t="shared" si="1"/>
        <v>46013</v>
      </c>
      <c r="B14691" s="37" t="str">
        <f t="array" ref="B14691">iferror(xlookup($I14691, 'IMPORT VHC Report'!$E:$E, 'IMPORT VHC Report'!$A:$C), )</f>
        <v/>
      </c>
      <c r="C14691" s="44"/>
      <c r="D14691" s="44"/>
      <c r="E14691" s="46" t="s">
        <v>10839</v>
      </c>
      <c r="F14691" s="46" t="s">
        <v>6136</v>
      </c>
      <c r="G14691" s="46">
        <v>9.795939875087E12</v>
      </c>
      <c r="H14691" s="46" t="s">
        <v>6137</v>
      </c>
      <c r="I14691" s="46" t="s">
        <v>6138</v>
      </c>
      <c r="J14691" s="46" t="s">
        <v>62</v>
      </c>
      <c r="K14691" s="46" t="s">
        <v>63</v>
      </c>
      <c r="L14691" s="45">
        <v>46014.4375</v>
      </c>
      <c r="M14691" s="46" t="s">
        <v>123</v>
      </c>
      <c r="N14691" s="45">
        <v>46014.458333333336</v>
      </c>
      <c r="O14691" s="46" t="s">
        <v>123</v>
      </c>
      <c r="P14691" s="46">
        <v>1800.0</v>
      </c>
    </row>
    <row r="14692">
      <c r="A14692" s="40">
        <f t="shared" si="1"/>
        <v>46013</v>
      </c>
      <c r="B14692" s="37" t="str">
        <f t="array" ref="B14692">iferror(xlookup($I14692, 'IMPORT VHC Report'!$E:$E, 'IMPORT VHC Report'!$A:$C), )</f>
        <v/>
      </c>
      <c r="C14692" s="44"/>
      <c r="D14692" s="44"/>
      <c r="E14692" s="46" t="s">
        <v>10840</v>
      </c>
      <c r="F14692" s="46" t="s">
        <v>6136</v>
      </c>
      <c r="G14692" s="46">
        <v>9.795939875087E12</v>
      </c>
      <c r="H14692" s="46" t="s">
        <v>6137</v>
      </c>
      <c r="I14692" s="46" t="s">
        <v>6138</v>
      </c>
      <c r="J14692" s="46" t="s">
        <v>196</v>
      </c>
      <c r="K14692" s="46" t="s">
        <v>63</v>
      </c>
      <c r="L14692" s="45">
        <v>46014.458333333336</v>
      </c>
      <c r="M14692" s="46" t="s">
        <v>123</v>
      </c>
      <c r="N14692" s="45">
        <v>46014.5</v>
      </c>
      <c r="O14692" s="46" t="s">
        <v>123</v>
      </c>
      <c r="P14692" s="46">
        <v>3600.0</v>
      </c>
    </row>
    <row r="14693">
      <c r="A14693" s="40">
        <f t="shared" si="1"/>
        <v>46013</v>
      </c>
      <c r="B14693" s="37" t="str">
        <f t="array" ref="B14693">iferror(xlookup($I14693, 'IMPORT VHC Report'!$E:$E, 'IMPORT VHC Report'!$A:$C), )</f>
        <v/>
      </c>
      <c r="C14693" s="44"/>
      <c r="D14693" s="44"/>
      <c r="E14693" s="46" t="s">
        <v>10841</v>
      </c>
      <c r="F14693" s="46" t="s">
        <v>6136</v>
      </c>
      <c r="G14693" s="46">
        <v>9.795939875087E12</v>
      </c>
      <c r="H14693" s="46" t="s">
        <v>6137</v>
      </c>
      <c r="I14693" s="46" t="s">
        <v>6138</v>
      </c>
      <c r="J14693" s="46" t="s">
        <v>125</v>
      </c>
      <c r="K14693" s="46" t="s">
        <v>126</v>
      </c>
      <c r="L14693" s="45">
        <v>46015.125</v>
      </c>
      <c r="M14693" s="46" t="s">
        <v>123</v>
      </c>
      <c r="N14693" s="45">
        <v>46015.135416666664</v>
      </c>
      <c r="O14693" s="46" t="s">
        <v>123</v>
      </c>
      <c r="P14693" s="46">
        <v>900.0</v>
      </c>
      <c r="S14693" s="46" t="s">
        <v>199</v>
      </c>
    </row>
    <row r="14694">
      <c r="A14694" s="40">
        <f t="shared" si="1"/>
        <v>46013</v>
      </c>
      <c r="B14694" s="37" t="str">
        <f t="array" ref="B14694">iferror(xlookup($I14694, 'IMPORT VHC Report'!$E:$E, 'IMPORT VHC Report'!$A:$C), )</f>
        <v/>
      </c>
      <c r="C14694" s="44"/>
      <c r="D14694" s="44"/>
      <c r="E14694" s="46" t="s">
        <v>10842</v>
      </c>
      <c r="F14694" s="46" t="s">
        <v>6136</v>
      </c>
      <c r="G14694" s="46">
        <v>9.795939875087E12</v>
      </c>
      <c r="H14694" s="46" t="s">
        <v>6137</v>
      </c>
      <c r="I14694" s="46" t="s">
        <v>6138</v>
      </c>
      <c r="J14694" s="46" t="s">
        <v>178</v>
      </c>
      <c r="K14694" s="46" t="s">
        <v>153</v>
      </c>
      <c r="L14694" s="45">
        <v>46015.125</v>
      </c>
      <c r="M14694" s="46" t="s">
        <v>123</v>
      </c>
      <c r="N14694" s="45">
        <v>46015.5</v>
      </c>
      <c r="O14694" s="46" t="s">
        <v>123</v>
      </c>
      <c r="P14694" s="46">
        <v>32400.0</v>
      </c>
      <c r="Q14694" s="46">
        <v>32400.0</v>
      </c>
    </row>
    <row r="14695">
      <c r="A14695" s="40">
        <f t="shared" si="1"/>
        <v>46013</v>
      </c>
      <c r="B14695" s="37" t="str">
        <f t="array" ref="B14695">iferror(xlookup($I14695, 'IMPORT VHC Report'!$E:$E, 'IMPORT VHC Report'!$A:$C), )</f>
        <v/>
      </c>
      <c r="C14695" s="44"/>
      <c r="D14695" s="44"/>
      <c r="E14695" s="46" t="s">
        <v>10843</v>
      </c>
      <c r="F14695" s="46" t="s">
        <v>6136</v>
      </c>
      <c r="G14695" s="46">
        <v>9.795939875087E12</v>
      </c>
      <c r="H14695" s="46" t="s">
        <v>6137</v>
      </c>
      <c r="I14695" s="46" t="s">
        <v>6138</v>
      </c>
      <c r="J14695" s="46" t="s">
        <v>196</v>
      </c>
      <c r="K14695" s="46" t="s">
        <v>63</v>
      </c>
      <c r="L14695" s="45">
        <v>46015.125</v>
      </c>
      <c r="M14695" s="46" t="s">
        <v>123</v>
      </c>
      <c r="N14695" s="45">
        <v>46015.5</v>
      </c>
      <c r="O14695" s="46" t="s">
        <v>123</v>
      </c>
      <c r="P14695" s="46">
        <v>32400.0</v>
      </c>
    </row>
    <row r="14696">
      <c r="A14696" s="40">
        <f t="shared" si="1"/>
        <v>46013</v>
      </c>
      <c r="B14696" s="37" t="str">
        <f t="array" ref="B14696">iferror(xlookup($I14696, 'IMPORT VHC Report'!$E:$E, 'IMPORT VHC Report'!$A:$C), )</f>
        <v/>
      </c>
      <c r="C14696" s="44"/>
      <c r="D14696" s="44"/>
      <c r="E14696" s="46" t="s">
        <v>10844</v>
      </c>
      <c r="F14696" s="46" t="s">
        <v>6136</v>
      </c>
      <c r="G14696" s="46">
        <v>9.795939875087E12</v>
      </c>
      <c r="H14696" s="46" t="s">
        <v>6137</v>
      </c>
      <c r="I14696" s="46" t="s">
        <v>6138</v>
      </c>
      <c r="J14696" s="46" t="s">
        <v>134</v>
      </c>
      <c r="K14696" s="46" t="s">
        <v>126</v>
      </c>
      <c r="L14696" s="45">
        <v>46015.229166666664</v>
      </c>
      <c r="M14696" s="46" t="s">
        <v>123</v>
      </c>
      <c r="N14696" s="45">
        <v>46015.25</v>
      </c>
      <c r="O14696" s="46" t="s">
        <v>123</v>
      </c>
      <c r="P14696" s="46">
        <v>1800.0</v>
      </c>
    </row>
    <row r="14697">
      <c r="A14697" s="40">
        <f t="shared" si="1"/>
        <v>46013</v>
      </c>
      <c r="B14697" s="37" t="str">
        <f t="array" ref="B14697">iferror(xlookup($I14697, 'IMPORT VHC Report'!$E:$E, 'IMPORT VHC Report'!$A:$C), )</f>
        <v/>
      </c>
      <c r="C14697" s="44"/>
      <c r="D14697" s="44"/>
      <c r="E14697" s="46" t="s">
        <v>10845</v>
      </c>
      <c r="F14697" s="46" t="s">
        <v>6136</v>
      </c>
      <c r="G14697" s="46">
        <v>9.795939875087E12</v>
      </c>
      <c r="H14697" s="46" t="s">
        <v>6137</v>
      </c>
      <c r="I14697" s="46" t="s">
        <v>6138</v>
      </c>
      <c r="J14697" s="46" t="s">
        <v>132</v>
      </c>
      <c r="K14697" s="46" t="s">
        <v>126</v>
      </c>
      <c r="L14697" s="45">
        <v>46015.364583333336</v>
      </c>
      <c r="M14697" s="46" t="s">
        <v>123</v>
      </c>
      <c r="N14697" s="45">
        <v>46015.40625</v>
      </c>
      <c r="O14697" s="46" t="s">
        <v>123</v>
      </c>
      <c r="P14697" s="46">
        <v>3600.0</v>
      </c>
    </row>
    <row r="14698">
      <c r="A14698" s="40">
        <f t="shared" si="1"/>
        <v>46013</v>
      </c>
      <c r="B14698" s="37" t="str">
        <f t="array" ref="B14698">iferror(xlookup($I14698, 'IMPORT VHC Report'!$E:$E, 'IMPORT VHC Report'!$A:$C), )</f>
        <v/>
      </c>
      <c r="C14698" s="44"/>
      <c r="D14698" s="44"/>
      <c r="E14698" s="46" t="s">
        <v>10846</v>
      </c>
      <c r="F14698" s="46" t="s">
        <v>6136</v>
      </c>
      <c r="G14698" s="46">
        <v>9.795939875087E12</v>
      </c>
      <c r="H14698" s="46" t="s">
        <v>6137</v>
      </c>
      <c r="I14698" s="46" t="s">
        <v>6138</v>
      </c>
      <c r="J14698" s="46" t="s">
        <v>125</v>
      </c>
      <c r="K14698" s="46" t="s">
        <v>126</v>
      </c>
      <c r="L14698" s="45">
        <v>46016.125</v>
      </c>
      <c r="M14698" s="46" t="s">
        <v>123</v>
      </c>
      <c r="N14698" s="45">
        <v>46016.135416666664</v>
      </c>
      <c r="O14698" s="46" t="s">
        <v>123</v>
      </c>
      <c r="P14698" s="46">
        <v>900.0</v>
      </c>
      <c r="S14698" s="46" t="s">
        <v>199</v>
      </c>
    </row>
    <row r="14699">
      <c r="A14699" s="40">
        <f t="shared" si="1"/>
        <v>46013</v>
      </c>
      <c r="B14699" s="37" t="str">
        <f t="array" ref="B14699">iferror(xlookup($I14699, 'IMPORT VHC Report'!$E:$E, 'IMPORT VHC Report'!$A:$C), )</f>
        <v/>
      </c>
      <c r="C14699" s="44"/>
      <c r="D14699" s="44"/>
      <c r="E14699" s="46" t="s">
        <v>10847</v>
      </c>
      <c r="F14699" s="46" t="s">
        <v>6136</v>
      </c>
      <c r="G14699" s="46">
        <v>9.795939875087E12</v>
      </c>
      <c r="H14699" s="46" t="s">
        <v>6137</v>
      </c>
      <c r="I14699" s="46" t="s">
        <v>6138</v>
      </c>
      <c r="J14699" s="46" t="s">
        <v>178</v>
      </c>
      <c r="K14699" s="46" t="s">
        <v>153</v>
      </c>
      <c r="L14699" s="45">
        <v>46016.125</v>
      </c>
      <c r="M14699" s="46" t="s">
        <v>123</v>
      </c>
      <c r="N14699" s="45">
        <v>46016.5</v>
      </c>
      <c r="O14699" s="46" t="s">
        <v>123</v>
      </c>
      <c r="P14699" s="46">
        <v>32400.0</v>
      </c>
      <c r="Q14699" s="46">
        <v>32400.0</v>
      </c>
    </row>
    <row r="14700">
      <c r="A14700" s="40">
        <f t="shared" si="1"/>
        <v>46013</v>
      </c>
      <c r="B14700" s="37" t="str">
        <f t="array" ref="B14700">iferror(xlookup($I14700, 'IMPORT VHC Report'!$E:$E, 'IMPORT VHC Report'!$A:$C), )</f>
        <v/>
      </c>
      <c r="C14700" s="44"/>
      <c r="D14700" s="44"/>
      <c r="E14700" s="46" t="s">
        <v>10848</v>
      </c>
      <c r="F14700" s="46" t="s">
        <v>6136</v>
      </c>
      <c r="G14700" s="46">
        <v>9.795939875087E12</v>
      </c>
      <c r="H14700" s="46" t="s">
        <v>6137</v>
      </c>
      <c r="I14700" s="46" t="s">
        <v>6138</v>
      </c>
      <c r="J14700" s="46" t="s">
        <v>196</v>
      </c>
      <c r="K14700" s="46" t="s">
        <v>63</v>
      </c>
      <c r="L14700" s="45">
        <v>46016.125</v>
      </c>
      <c r="M14700" s="46" t="s">
        <v>123</v>
      </c>
      <c r="N14700" s="45">
        <v>46016.5</v>
      </c>
      <c r="O14700" s="46" t="s">
        <v>123</v>
      </c>
      <c r="P14700" s="46">
        <v>32400.0</v>
      </c>
    </row>
    <row r="14701">
      <c r="A14701" s="40">
        <f t="shared" si="1"/>
        <v>46013</v>
      </c>
      <c r="B14701" s="37" t="str">
        <f t="array" ref="B14701">iferror(xlookup($I14701, 'IMPORT VHC Report'!$E:$E, 'IMPORT VHC Report'!$A:$C), )</f>
        <v/>
      </c>
      <c r="C14701" s="44"/>
      <c r="D14701" s="44"/>
      <c r="E14701" s="46" t="s">
        <v>10849</v>
      </c>
      <c r="F14701" s="46" t="s">
        <v>6136</v>
      </c>
      <c r="G14701" s="46">
        <v>9.795939875087E12</v>
      </c>
      <c r="H14701" s="46" t="s">
        <v>6137</v>
      </c>
      <c r="I14701" s="46" t="s">
        <v>6138</v>
      </c>
      <c r="J14701" s="46" t="s">
        <v>134</v>
      </c>
      <c r="K14701" s="46" t="s">
        <v>126</v>
      </c>
      <c r="L14701" s="45">
        <v>46016.25</v>
      </c>
      <c r="M14701" s="46" t="s">
        <v>123</v>
      </c>
      <c r="N14701" s="45">
        <v>46016.270833333336</v>
      </c>
      <c r="O14701" s="46" t="s">
        <v>123</v>
      </c>
      <c r="P14701" s="46">
        <v>1800.0</v>
      </c>
    </row>
    <row r="14702">
      <c r="A14702" s="40">
        <f t="shared" si="1"/>
        <v>46013</v>
      </c>
      <c r="B14702" s="37" t="str">
        <f t="array" ref="B14702">iferror(xlookup($I14702, 'IMPORT VHC Report'!$E:$E, 'IMPORT VHC Report'!$A:$C), )</f>
        <v/>
      </c>
      <c r="C14702" s="44"/>
      <c r="D14702" s="44"/>
      <c r="E14702" s="46" t="s">
        <v>10850</v>
      </c>
      <c r="F14702" s="46" t="s">
        <v>6136</v>
      </c>
      <c r="G14702" s="46">
        <v>9.795939875087E12</v>
      </c>
      <c r="H14702" s="46" t="s">
        <v>6137</v>
      </c>
      <c r="I14702" s="46" t="s">
        <v>6138</v>
      </c>
      <c r="J14702" s="46" t="s">
        <v>132</v>
      </c>
      <c r="K14702" s="46" t="s">
        <v>126</v>
      </c>
      <c r="L14702" s="45">
        <v>46016.375</v>
      </c>
      <c r="M14702" s="46" t="s">
        <v>123</v>
      </c>
      <c r="N14702" s="45">
        <v>46016.416666666664</v>
      </c>
      <c r="O14702" s="46" t="s">
        <v>123</v>
      </c>
      <c r="P14702" s="46">
        <v>3600.0</v>
      </c>
    </row>
    <row r="14703">
      <c r="A14703" s="40">
        <f t="shared" si="1"/>
        <v>46013</v>
      </c>
      <c r="B14703" s="37" t="str">
        <f t="array" ref="B14703">iferror(xlookup($I14703, 'IMPORT VHC Report'!$E:$E, 'IMPORT VHC Report'!$A:$C), )</f>
        <v/>
      </c>
      <c r="C14703" s="44"/>
      <c r="D14703" s="44"/>
      <c r="E14703" s="46" t="s">
        <v>10851</v>
      </c>
      <c r="F14703" s="46" t="s">
        <v>6136</v>
      </c>
      <c r="G14703" s="46">
        <v>9.795939875087E12</v>
      </c>
      <c r="H14703" s="46" t="s">
        <v>6137</v>
      </c>
      <c r="I14703" s="46" t="s">
        <v>6138</v>
      </c>
      <c r="J14703" s="46" t="s">
        <v>125</v>
      </c>
      <c r="K14703" s="46" t="s">
        <v>126</v>
      </c>
      <c r="L14703" s="45">
        <v>46017.125</v>
      </c>
      <c r="M14703" s="46" t="s">
        <v>123</v>
      </c>
      <c r="N14703" s="45">
        <v>46017.135416666664</v>
      </c>
      <c r="O14703" s="46" t="s">
        <v>123</v>
      </c>
      <c r="P14703" s="46">
        <v>900.0</v>
      </c>
      <c r="S14703" s="46" t="s">
        <v>199</v>
      </c>
    </row>
    <row r="14704">
      <c r="A14704" s="40">
        <f t="shared" si="1"/>
        <v>46013</v>
      </c>
      <c r="B14704" s="37" t="str">
        <f t="array" ref="B14704">iferror(xlookup($I14704, 'IMPORT VHC Report'!$E:$E, 'IMPORT VHC Report'!$A:$C), )</f>
        <v/>
      </c>
      <c r="C14704" s="44"/>
      <c r="D14704" s="44"/>
      <c r="E14704" s="46" t="s">
        <v>10852</v>
      </c>
      <c r="F14704" s="46" t="s">
        <v>6136</v>
      </c>
      <c r="G14704" s="46">
        <v>9.795939875087E12</v>
      </c>
      <c r="H14704" s="46" t="s">
        <v>6137</v>
      </c>
      <c r="I14704" s="46" t="s">
        <v>6138</v>
      </c>
      <c r="J14704" s="46" t="s">
        <v>178</v>
      </c>
      <c r="K14704" s="46" t="s">
        <v>153</v>
      </c>
      <c r="L14704" s="45">
        <v>46017.125</v>
      </c>
      <c r="M14704" s="46" t="s">
        <v>123</v>
      </c>
      <c r="N14704" s="45">
        <v>46017.5</v>
      </c>
      <c r="O14704" s="46" t="s">
        <v>123</v>
      </c>
      <c r="P14704" s="46">
        <v>32400.0</v>
      </c>
      <c r="Q14704" s="46">
        <v>57600.0</v>
      </c>
      <c r="R14704" s="46" t="s">
        <v>550</v>
      </c>
    </row>
    <row r="14705">
      <c r="A14705" s="40">
        <f t="shared" si="1"/>
        <v>46013</v>
      </c>
      <c r="B14705" s="37" t="str">
        <f t="array" ref="B14705">iferror(xlookup($I14705, 'IMPORT VHC Report'!$E:$E, 'IMPORT VHC Report'!$A:$C), )</f>
        <v/>
      </c>
      <c r="C14705" s="44"/>
      <c r="D14705" s="44"/>
      <c r="E14705" s="46" t="s">
        <v>10853</v>
      </c>
      <c r="F14705" s="46" t="s">
        <v>6136</v>
      </c>
      <c r="G14705" s="46">
        <v>9.795939875087E12</v>
      </c>
      <c r="H14705" s="46" t="s">
        <v>6137</v>
      </c>
      <c r="I14705" s="46" t="s">
        <v>6138</v>
      </c>
      <c r="J14705" s="46" t="s">
        <v>196</v>
      </c>
      <c r="K14705" s="46" t="s">
        <v>63</v>
      </c>
      <c r="L14705" s="45">
        <v>46017.125</v>
      </c>
      <c r="M14705" s="46" t="s">
        <v>123</v>
      </c>
      <c r="N14705" s="45">
        <v>46017.5</v>
      </c>
      <c r="O14705" s="46" t="s">
        <v>123</v>
      </c>
      <c r="P14705" s="46">
        <v>32400.0</v>
      </c>
    </row>
    <row r="14706">
      <c r="A14706" s="40">
        <f t="shared" si="1"/>
        <v>46013</v>
      </c>
      <c r="B14706" s="37" t="str">
        <f t="array" ref="B14706">iferror(xlookup($I14706, 'IMPORT VHC Report'!$E:$E, 'IMPORT VHC Report'!$A:$C), )</f>
        <v/>
      </c>
      <c r="C14706" s="44"/>
      <c r="D14706" s="44"/>
      <c r="E14706" s="46" t="s">
        <v>10854</v>
      </c>
      <c r="F14706" s="46" t="s">
        <v>6136</v>
      </c>
      <c r="G14706" s="46">
        <v>9.795939875087E12</v>
      </c>
      <c r="H14706" s="46" t="s">
        <v>6137</v>
      </c>
      <c r="I14706" s="46" t="s">
        <v>6138</v>
      </c>
      <c r="J14706" s="46" t="s">
        <v>134</v>
      </c>
      <c r="K14706" s="46" t="s">
        <v>126</v>
      </c>
      <c r="L14706" s="45">
        <v>46017.229166666664</v>
      </c>
      <c r="M14706" s="46" t="s">
        <v>123</v>
      </c>
      <c r="N14706" s="45">
        <v>46017.25</v>
      </c>
      <c r="O14706" s="46" t="s">
        <v>123</v>
      </c>
      <c r="P14706" s="46">
        <v>1800.0</v>
      </c>
    </row>
    <row r="14707">
      <c r="A14707" s="40">
        <f t="shared" si="1"/>
        <v>46013</v>
      </c>
      <c r="B14707" s="37" t="str">
        <f t="array" ref="B14707">iferror(xlookup($I14707, 'IMPORT VHC Report'!$E:$E, 'IMPORT VHC Report'!$A:$C), )</f>
        <v/>
      </c>
      <c r="C14707" s="44"/>
      <c r="D14707" s="44"/>
      <c r="E14707" s="46" t="s">
        <v>10855</v>
      </c>
      <c r="F14707" s="46" t="s">
        <v>6136</v>
      </c>
      <c r="G14707" s="46">
        <v>9.795939875087E12</v>
      </c>
      <c r="H14707" s="46" t="s">
        <v>6137</v>
      </c>
      <c r="I14707" s="46" t="s">
        <v>6138</v>
      </c>
      <c r="J14707" s="46" t="s">
        <v>132</v>
      </c>
      <c r="K14707" s="46" t="s">
        <v>126</v>
      </c>
      <c r="L14707" s="45">
        <v>46017.375</v>
      </c>
      <c r="M14707" s="46" t="s">
        <v>123</v>
      </c>
      <c r="N14707" s="45">
        <v>46017.416666666664</v>
      </c>
      <c r="O14707" s="46" t="s">
        <v>123</v>
      </c>
      <c r="P14707" s="46">
        <v>3600.0</v>
      </c>
    </row>
    <row r="14708">
      <c r="A14708" s="40">
        <f t="shared" si="1"/>
        <v>46013</v>
      </c>
      <c r="B14708" s="37" t="str">
        <f t="array" ref="B14708">iferror(xlookup($I14708, 'IMPORT VHC Report'!$E:$E, 'IMPORT VHC Report'!$A:$C), )</f>
        <v/>
      </c>
      <c r="C14708" s="44"/>
      <c r="D14708" s="44"/>
      <c r="E14708" s="46" t="s">
        <v>10856</v>
      </c>
      <c r="F14708" s="46" t="s">
        <v>6136</v>
      </c>
      <c r="G14708" s="46">
        <v>9.795939875087E12</v>
      </c>
      <c r="H14708" s="46" t="s">
        <v>6137</v>
      </c>
      <c r="I14708" s="46" t="s">
        <v>6138</v>
      </c>
      <c r="J14708" s="46" t="s">
        <v>125</v>
      </c>
      <c r="K14708" s="46" t="s">
        <v>126</v>
      </c>
      <c r="L14708" s="45">
        <v>46018.125</v>
      </c>
      <c r="M14708" s="46" t="s">
        <v>123</v>
      </c>
      <c r="N14708" s="45">
        <v>46018.135416666664</v>
      </c>
      <c r="O14708" s="46" t="s">
        <v>123</v>
      </c>
      <c r="P14708" s="46">
        <v>900.0</v>
      </c>
      <c r="S14708" s="46" t="s">
        <v>199</v>
      </c>
    </row>
    <row r="14709">
      <c r="A14709" s="40">
        <f t="shared" si="1"/>
        <v>46013</v>
      </c>
      <c r="B14709" s="37" t="str">
        <f t="array" ref="B14709">iferror(xlookup($I14709, 'IMPORT VHC Report'!$E:$E, 'IMPORT VHC Report'!$A:$C), )</f>
        <v/>
      </c>
      <c r="C14709" s="44"/>
      <c r="D14709" s="44"/>
      <c r="E14709" s="46" t="s">
        <v>10857</v>
      </c>
      <c r="F14709" s="46" t="s">
        <v>6136</v>
      </c>
      <c r="G14709" s="46">
        <v>9.795939875087E12</v>
      </c>
      <c r="H14709" s="46" t="s">
        <v>6137</v>
      </c>
      <c r="I14709" s="46" t="s">
        <v>6138</v>
      </c>
      <c r="J14709" s="46" t="s">
        <v>178</v>
      </c>
      <c r="K14709" s="46" t="s">
        <v>153</v>
      </c>
      <c r="L14709" s="45">
        <v>46018.125</v>
      </c>
      <c r="M14709" s="46" t="s">
        <v>123</v>
      </c>
      <c r="N14709" s="45">
        <v>46018.5</v>
      </c>
      <c r="O14709" s="46" t="s">
        <v>123</v>
      </c>
      <c r="P14709" s="46">
        <v>32400.0</v>
      </c>
      <c r="Q14709" s="46">
        <v>32400.0</v>
      </c>
    </row>
    <row r="14710">
      <c r="A14710" s="40">
        <f t="shared" si="1"/>
        <v>46013</v>
      </c>
      <c r="B14710" s="37" t="str">
        <f t="array" ref="B14710">iferror(xlookup($I14710, 'IMPORT VHC Report'!$E:$E, 'IMPORT VHC Report'!$A:$C), )</f>
        <v/>
      </c>
      <c r="C14710" s="44"/>
      <c r="D14710" s="44"/>
      <c r="E14710" s="46" t="s">
        <v>10858</v>
      </c>
      <c r="F14710" s="46" t="s">
        <v>6136</v>
      </c>
      <c r="G14710" s="46">
        <v>9.795939875087E12</v>
      </c>
      <c r="H14710" s="46" t="s">
        <v>6137</v>
      </c>
      <c r="I14710" s="46" t="s">
        <v>6138</v>
      </c>
      <c r="J14710" s="46" t="s">
        <v>196</v>
      </c>
      <c r="K14710" s="46" t="s">
        <v>63</v>
      </c>
      <c r="L14710" s="45">
        <v>46018.125</v>
      </c>
      <c r="M14710" s="46" t="s">
        <v>123</v>
      </c>
      <c r="N14710" s="45">
        <v>46018.5</v>
      </c>
      <c r="O14710" s="46" t="s">
        <v>123</v>
      </c>
      <c r="P14710" s="46">
        <v>32400.0</v>
      </c>
    </row>
    <row r="14711">
      <c r="A14711" s="40">
        <f t="shared" si="1"/>
        <v>46013</v>
      </c>
      <c r="B14711" s="37" t="str">
        <f t="array" ref="B14711">iferror(xlookup($I14711, 'IMPORT VHC Report'!$E:$E, 'IMPORT VHC Report'!$A:$C), )</f>
        <v/>
      </c>
      <c r="C14711" s="44"/>
      <c r="D14711" s="44"/>
      <c r="E14711" s="46" t="s">
        <v>10859</v>
      </c>
      <c r="F14711" s="46" t="s">
        <v>6136</v>
      </c>
      <c r="G14711" s="46">
        <v>9.795939875087E12</v>
      </c>
      <c r="H14711" s="46" t="s">
        <v>6137</v>
      </c>
      <c r="I14711" s="46" t="s">
        <v>6138</v>
      </c>
      <c r="J14711" s="46" t="s">
        <v>132</v>
      </c>
      <c r="K14711" s="46" t="s">
        <v>126</v>
      </c>
      <c r="L14711" s="45">
        <v>46018.25</v>
      </c>
      <c r="M14711" s="46" t="s">
        <v>123</v>
      </c>
      <c r="N14711" s="45">
        <v>46018.291666666664</v>
      </c>
      <c r="O14711" s="46" t="s">
        <v>123</v>
      </c>
      <c r="P14711" s="46">
        <v>3600.0</v>
      </c>
    </row>
    <row r="14712">
      <c r="A14712" s="40">
        <f t="shared" si="1"/>
        <v>46013</v>
      </c>
      <c r="B14712" s="37" t="str">
        <f t="array" ref="B14712">iferror(xlookup($I14712, 'IMPORT VHC Report'!$E:$E, 'IMPORT VHC Report'!$A:$C), )</f>
        <v/>
      </c>
      <c r="C14712" s="44"/>
      <c r="D14712" s="44"/>
      <c r="E14712" s="46" t="s">
        <v>10860</v>
      </c>
      <c r="F14712" s="46" t="s">
        <v>6136</v>
      </c>
      <c r="G14712" s="46">
        <v>9.795939875087E12</v>
      </c>
      <c r="H14712" s="46" t="s">
        <v>6137</v>
      </c>
      <c r="I14712" s="46" t="s">
        <v>6138</v>
      </c>
      <c r="J14712" s="46" t="s">
        <v>134</v>
      </c>
      <c r="K14712" s="46" t="s">
        <v>126</v>
      </c>
      <c r="L14712" s="45">
        <v>46018.40625</v>
      </c>
      <c r="M14712" s="46" t="s">
        <v>123</v>
      </c>
      <c r="N14712" s="45">
        <v>46018.427083333336</v>
      </c>
      <c r="O14712" s="46" t="s">
        <v>123</v>
      </c>
      <c r="P14712" s="46">
        <v>1800.0</v>
      </c>
    </row>
    <row r="14713">
      <c r="A14713" s="40">
        <f t="shared" si="1"/>
        <v>46013</v>
      </c>
      <c r="B14713" s="37" t="str">
        <f t="array" ref="B14713">iferror(xlookup($I14713, 'IMPORT VHC Report'!$E:$E, 'IMPORT VHC Report'!$A:$C), )</f>
        <v/>
      </c>
      <c r="C14713" s="44"/>
      <c r="D14713" s="44"/>
      <c r="E14713" s="46" t="s">
        <v>10861</v>
      </c>
      <c r="F14713" s="46" t="s">
        <v>6830</v>
      </c>
      <c r="H14713" s="46" t="s">
        <v>6831</v>
      </c>
      <c r="I14713" s="46" t="s">
        <v>6832</v>
      </c>
      <c r="J14713" s="46" t="s">
        <v>125</v>
      </c>
      <c r="K14713" s="46" t="s">
        <v>126</v>
      </c>
      <c r="L14713" s="45">
        <v>46014.375</v>
      </c>
      <c r="M14713" s="46" t="s">
        <v>123</v>
      </c>
      <c r="N14713" s="45">
        <v>46014.385416666664</v>
      </c>
      <c r="O14713" s="46" t="s">
        <v>123</v>
      </c>
      <c r="P14713" s="46">
        <v>900.0</v>
      </c>
      <c r="S14713" s="46" t="s">
        <v>199</v>
      </c>
    </row>
    <row r="14714">
      <c r="A14714" s="40">
        <f t="shared" si="1"/>
        <v>46013</v>
      </c>
      <c r="B14714" s="37" t="str">
        <f t="array" ref="B14714">iferror(xlookup($I14714, 'IMPORT VHC Report'!$E:$E, 'IMPORT VHC Report'!$A:$C), )</f>
        <v/>
      </c>
      <c r="C14714" s="44"/>
      <c r="D14714" s="44"/>
      <c r="E14714" s="46" t="s">
        <v>10862</v>
      </c>
      <c r="F14714" s="46" t="s">
        <v>6830</v>
      </c>
      <c r="H14714" s="46" t="s">
        <v>6831</v>
      </c>
      <c r="I14714" s="46" t="s">
        <v>6832</v>
      </c>
      <c r="J14714" s="46" t="s">
        <v>152</v>
      </c>
      <c r="K14714" s="46" t="s">
        <v>153</v>
      </c>
      <c r="L14714" s="45">
        <v>46014.375</v>
      </c>
      <c r="M14714" s="46" t="s">
        <v>123</v>
      </c>
      <c r="N14714" s="45">
        <v>46014.75</v>
      </c>
      <c r="O14714" s="46" t="s">
        <v>123</v>
      </c>
      <c r="P14714" s="46">
        <v>32400.0</v>
      </c>
      <c r="Q14714" s="46">
        <v>32400.0</v>
      </c>
    </row>
    <row r="14715">
      <c r="A14715" s="40">
        <f t="shared" si="1"/>
        <v>46013</v>
      </c>
      <c r="B14715" s="37" t="str">
        <f t="array" ref="B14715">iferror(xlookup($I14715, 'IMPORT VHC Report'!$E:$E, 'IMPORT VHC Report'!$A:$C), )</f>
        <v/>
      </c>
      <c r="C14715" s="44"/>
      <c r="D14715" s="44"/>
      <c r="E14715" s="46" t="s">
        <v>10863</v>
      </c>
      <c r="F14715" s="46" t="s">
        <v>6830</v>
      </c>
      <c r="H14715" s="46" t="s">
        <v>6831</v>
      </c>
      <c r="I14715" s="46" t="s">
        <v>6832</v>
      </c>
      <c r="J14715" s="46" t="s">
        <v>132</v>
      </c>
      <c r="K14715" s="46" t="s">
        <v>126</v>
      </c>
      <c r="L14715" s="45">
        <v>46014.5</v>
      </c>
      <c r="M14715" s="46" t="s">
        <v>123</v>
      </c>
      <c r="N14715" s="45">
        <v>46014.541666666664</v>
      </c>
      <c r="O14715" s="46" t="s">
        <v>123</v>
      </c>
      <c r="P14715" s="46">
        <v>3600.0</v>
      </c>
    </row>
    <row r="14716">
      <c r="A14716" s="40">
        <f t="shared" si="1"/>
        <v>46013</v>
      </c>
      <c r="B14716" s="37" t="str">
        <f t="array" ref="B14716">iferror(xlookup($I14716, 'IMPORT VHC Report'!$E:$E, 'IMPORT VHC Report'!$A:$C), )</f>
        <v/>
      </c>
      <c r="C14716" s="44"/>
      <c r="D14716" s="44"/>
      <c r="E14716" s="46" t="s">
        <v>10864</v>
      </c>
      <c r="F14716" s="46" t="s">
        <v>6830</v>
      </c>
      <c r="H14716" s="46" t="s">
        <v>6831</v>
      </c>
      <c r="I14716" s="46" t="s">
        <v>6832</v>
      </c>
      <c r="J14716" s="46" t="s">
        <v>134</v>
      </c>
      <c r="K14716" s="46" t="s">
        <v>126</v>
      </c>
      <c r="L14716" s="45">
        <v>46014.666666666664</v>
      </c>
      <c r="M14716" s="46" t="s">
        <v>123</v>
      </c>
      <c r="N14716" s="45">
        <v>46014.6875</v>
      </c>
      <c r="O14716" s="46" t="s">
        <v>123</v>
      </c>
      <c r="P14716" s="46">
        <v>1800.0</v>
      </c>
    </row>
    <row r="14717">
      <c r="A14717" s="40">
        <f t="shared" si="1"/>
        <v>46013</v>
      </c>
      <c r="B14717" s="37" t="str">
        <f t="array" ref="B14717">iferror(xlookup($I14717, 'IMPORT VHC Report'!$E:$E, 'IMPORT VHC Report'!$A:$C), )</f>
        <v/>
      </c>
      <c r="C14717" s="44"/>
      <c r="D14717" s="44"/>
      <c r="E14717" s="46" t="s">
        <v>10865</v>
      </c>
      <c r="F14717" s="46" t="s">
        <v>6830</v>
      </c>
      <c r="H14717" s="46" t="s">
        <v>6831</v>
      </c>
      <c r="I14717" s="46" t="s">
        <v>6832</v>
      </c>
      <c r="J14717" s="46" t="s">
        <v>125</v>
      </c>
      <c r="K14717" s="46" t="s">
        <v>126</v>
      </c>
      <c r="L14717" s="45">
        <v>46015.375</v>
      </c>
      <c r="M14717" s="46" t="s">
        <v>123</v>
      </c>
      <c r="N14717" s="45">
        <v>46015.385416666664</v>
      </c>
      <c r="O14717" s="46" t="s">
        <v>123</v>
      </c>
      <c r="P14717" s="46">
        <v>900.0</v>
      </c>
      <c r="S14717" s="46" t="s">
        <v>199</v>
      </c>
    </row>
    <row r="14718">
      <c r="A14718" s="40">
        <f t="shared" si="1"/>
        <v>46013</v>
      </c>
      <c r="B14718" s="37" t="str">
        <f t="array" ref="B14718">iferror(xlookup($I14718, 'IMPORT VHC Report'!$E:$E, 'IMPORT VHC Report'!$A:$C), )</f>
        <v/>
      </c>
      <c r="C14718" s="44"/>
      <c r="D14718" s="44"/>
      <c r="E14718" s="46" t="s">
        <v>10866</v>
      </c>
      <c r="F14718" s="46" t="s">
        <v>6830</v>
      </c>
      <c r="H14718" s="46" t="s">
        <v>6831</v>
      </c>
      <c r="I14718" s="46" t="s">
        <v>6832</v>
      </c>
      <c r="J14718" s="46" t="s">
        <v>196</v>
      </c>
      <c r="K14718" s="46" t="s">
        <v>63</v>
      </c>
      <c r="L14718" s="45">
        <v>46015.375</v>
      </c>
      <c r="M14718" s="46" t="s">
        <v>123</v>
      </c>
      <c r="N14718" s="45">
        <v>46015.708333333336</v>
      </c>
      <c r="O14718" s="46" t="s">
        <v>123</v>
      </c>
      <c r="P14718" s="46">
        <v>28800.0</v>
      </c>
    </row>
    <row r="14719">
      <c r="A14719" s="40">
        <f t="shared" si="1"/>
        <v>46013</v>
      </c>
      <c r="B14719" s="37" t="str">
        <f t="array" ref="B14719">iferror(xlookup($I14719, 'IMPORT VHC Report'!$E:$E, 'IMPORT VHC Report'!$A:$C), )</f>
        <v/>
      </c>
      <c r="C14719" s="44"/>
      <c r="D14719" s="44"/>
      <c r="E14719" s="46" t="s">
        <v>10867</v>
      </c>
      <c r="F14719" s="46" t="s">
        <v>6830</v>
      </c>
      <c r="H14719" s="46" t="s">
        <v>6831</v>
      </c>
      <c r="I14719" s="46" t="s">
        <v>6832</v>
      </c>
      <c r="J14719" s="46" t="s">
        <v>132</v>
      </c>
      <c r="K14719" s="46" t="s">
        <v>126</v>
      </c>
      <c r="L14719" s="45">
        <v>46015.5</v>
      </c>
      <c r="M14719" s="46" t="s">
        <v>123</v>
      </c>
      <c r="N14719" s="45">
        <v>46015.541666666664</v>
      </c>
      <c r="O14719" s="46" t="s">
        <v>123</v>
      </c>
      <c r="P14719" s="46">
        <v>3600.0</v>
      </c>
    </row>
    <row r="14720">
      <c r="A14720" s="40">
        <f t="shared" si="1"/>
        <v>46013</v>
      </c>
      <c r="B14720" s="37" t="str">
        <f t="array" ref="B14720">iferror(xlookup($I14720, 'IMPORT VHC Report'!$E:$E, 'IMPORT VHC Report'!$A:$C), )</f>
        <v/>
      </c>
      <c r="C14720" s="44"/>
      <c r="D14720" s="44"/>
      <c r="E14720" s="46" t="s">
        <v>10868</v>
      </c>
      <c r="F14720" s="46" t="s">
        <v>6830</v>
      </c>
      <c r="H14720" s="46" t="s">
        <v>6831</v>
      </c>
      <c r="I14720" s="46" t="s">
        <v>6832</v>
      </c>
      <c r="J14720" s="46" t="s">
        <v>134</v>
      </c>
      <c r="K14720" s="46" t="s">
        <v>126</v>
      </c>
      <c r="L14720" s="45">
        <v>46015.666666666664</v>
      </c>
      <c r="M14720" s="46" t="s">
        <v>123</v>
      </c>
      <c r="N14720" s="45">
        <v>46015.6875</v>
      </c>
      <c r="O14720" s="46" t="s">
        <v>123</v>
      </c>
      <c r="P14720" s="46">
        <v>1800.0</v>
      </c>
    </row>
    <row r="14721">
      <c r="A14721" s="40">
        <f t="shared" si="1"/>
        <v>46013</v>
      </c>
      <c r="B14721" s="37" t="str">
        <f t="array" ref="B14721">iferror(xlookup($I14721, 'IMPORT VHC Report'!$E:$E, 'IMPORT VHC Report'!$A:$C), )</f>
        <v/>
      </c>
      <c r="C14721" s="44"/>
      <c r="D14721" s="44"/>
      <c r="E14721" s="46" t="s">
        <v>10869</v>
      </c>
      <c r="F14721" s="46" t="s">
        <v>6830</v>
      </c>
      <c r="H14721" s="46" t="s">
        <v>6831</v>
      </c>
      <c r="I14721" s="46" t="s">
        <v>6832</v>
      </c>
      <c r="J14721" s="46" t="s">
        <v>62</v>
      </c>
      <c r="K14721" s="46" t="s">
        <v>63</v>
      </c>
      <c r="L14721" s="45">
        <v>46015.708333333336</v>
      </c>
      <c r="M14721" s="46" t="s">
        <v>123</v>
      </c>
      <c r="N14721" s="45">
        <v>46015.729166666664</v>
      </c>
      <c r="O14721" s="46" t="s">
        <v>123</v>
      </c>
      <c r="P14721" s="46">
        <v>1800.0</v>
      </c>
    </row>
    <row r="14722">
      <c r="A14722" s="40">
        <f t="shared" si="1"/>
        <v>46013</v>
      </c>
      <c r="B14722" s="37" t="str">
        <f t="array" ref="B14722">iferror(xlookup($I14722, 'IMPORT VHC Report'!$E:$E, 'IMPORT VHC Report'!$A:$C), )</f>
        <v/>
      </c>
      <c r="C14722" s="44"/>
      <c r="D14722" s="44"/>
      <c r="E14722" s="46" t="s">
        <v>10870</v>
      </c>
      <c r="F14722" s="46" t="s">
        <v>6830</v>
      </c>
      <c r="H14722" s="46" t="s">
        <v>6831</v>
      </c>
      <c r="I14722" s="46" t="s">
        <v>6832</v>
      </c>
      <c r="J14722" s="46" t="s">
        <v>136</v>
      </c>
      <c r="K14722" s="46" t="s">
        <v>126</v>
      </c>
      <c r="L14722" s="45">
        <v>46015.708333333336</v>
      </c>
      <c r="M14722" s="46" t="s">
        <v>123</v>
      </c>
      <c r="N14722" s="45">
        <v>46015.729166666664</v>
      </c>
      <c r="O14722" s="46" t="s">
        <v>123</v>
      </c>
      <c r="P14722" s="46">
        <v>1800.0</v>
      </c>
      <c r="S14722" s="46" t="s">
        <v>10559</v>
      </c>
    </row>
    <row r="14723">
      <c r="A14723" s="40">
        <f t="shared" si="1"/>
        <v>46013</v>
      </c>
      <c r="B14723" s="37" t="str">
        <f t="array" ref="B14723">iferror(xlookup($I14723, 'IMPORT VHC Report'!$E:$E, 'IMPORT VHC Report'!$A:$C), )</f>
        <v/>
      </c>
      <c r="C14723" s="44"/>
      <c r="D14723" s="44"/>
      <c r="E14723" s="46" t="s">
        <v>10871</v>
      </c>
      <c r="F14723" s="46" t="s">
        <v>6830</v>
      </c>
      <c r="H14723" s="46" t="s">
        <v>6831</v>
      </c>
      <c r="I14723" s="46" t="s">
        <v>6832</v>
      </c>
      <c r="J14723" s="46" t="s">
        <v>4</v>
      </c>
      <c r="K14723" s="46" t="s">
        <v>126</v>
      </c>
      <c r="L14723" s="45">
        <v>46015.729166666664</v>
      </c>
      <c r="M14723" s="46" t="s">
        <v>123</v>
      </c>
      <c r="N14723" s="45">
        <v>46015.75</v>
      </c>
      <c r="O14723" s="46" t="s">
        <v>123</v>
      </c>
      <c r="P14723" s="46">
        <v>1800.0</v>
      </c>
      <c r="S14723" s="46" t="s">
        <v>10872</v>
      </c>
    </row>
    <row r="14724">
      <c r="A14724" s="40">
        <f t="shared" si="1"/>
        <v>46013</v>
      </c>
      <c r="B14724" s="37" t="str">
        <f t="array" ref="B14724">iferror(xlookup($I14724, 'IMPORT VHC Report'!$E:$E, 'IMPORT VHC Report'!$A:$C), )</f>
        <v/>
      </c>
      <c r="C14724" s="44"/>
      <c r="D14724" s="44"/>
      <c r="E14724" s="46" t="s">
        <v>10873</v>
      </c>
      <c r="F14724" s="46" t="s">
        <v>6830</v>
      </c>
      <c r="H14724" s="46" t="s">
        <v>6831</v>
      </c>
      <c r="I14724" s="46" t="s">
        <v>6832</v>
      </c>
      <c r="J14724" s="46" t="s">
        <v>196</v>
      </c>
      <c r="K14724" s="46" t="s">
        <v>63</v>
      </c>
      <c r="L14724" s="45">
        <v>46015.729166666664</v>
      </c>
      <c r="M14724" s="46" t="s">
        <v>123</v>
      </c>
      <c r="N14724" s="45">
        <v>46015.75</v>
      </c>
      <c r="O14724" s="46" t="s">
        <v>123</v>
      </c>
      <c r="P14724" s="46">
        <v>1800.0</v>
      </c>
    </row>
    <row r="14725">
      <c r="A14725" s="40">
        <f t="shared" si="1"/>
        <v>46013</v>
      </c>
      <c r="B14725" s="37" t="str">
        <f t="array" ref="B14725">iferror(xlookup($I14725, 'IMPORT VHC Report'!$E:$E, 'IMPORT VHC Report'!$A:$C), )</f>
        <v/>
      </c>
      <c r="C14725" s="44"/>
      <c r="D14725" s="44"/>
      <c r="E14725" s="46" t="s">
        <v>10874</v>
      </c>
      <c r="F14725" s="46" t="s">
        <v>6830</v>
      </c>
      <c r="H14725" s="46" t="s">
        <v>6831</v>
      </c>
      <c r="I14725" s="46" t="s">
        <v>6832</v>
      </c>
      <c r="J14725" s="46" t="s">
        <v>125</v>
      </c>
      <c r="K14725" s="46" t="s">
        <v>126</v>
      </c>
      <c r="L14725" s="45">
        <v>46016.375</v>
      </c>
      <c r="M14725" s="46" t="s">
        <v>123</v>
      </c>
      <c r="N14725" s="45">
        <v>46016.385416666664</v>
      </c>
      <c r="O14725" s="46" t="s">
        <v>123</v>
      </c>
      <c r="P14725" s="46">
        <v>900.0</v>
      </c>
      <c r="S14725" s="46" t="s">
        <v>199</v>
      </c>
    </row>
    <row r="14726">
      <c r="A14726" s="40">
        <f t="shared" si="1"/>
        <v>46013</v>
      </c>
      <c r="B14726" s="37" t="str">
        <f t="array" ref="B14726">iferror(xlookup($I14726, 'IMPORT VHC Report'!$E:$E, 'IMPORT VHC Report'!$A:$C), )</f>
        <v/>
      </c>
      <c r="C14726" s="44"/>
      <c r="D14726" s="44"/>
      <c r="E14726" s="46" t="s">
        <v>10875</v>
      </c>
      <c r="F14726" s="46" t="s">
        <v>6830</v>
      </c>
      <c r="H14726" s="46" t="s">
        <v>6831</v>
      </c>
      <c r="I14726" s="46" t="s">
        <v>6832</v>
      </c>
      <c r="J14726" s="46" t="s">
        <v>196</v>
      </c>
      <c r="K14726" s="46" t="s">
        <v>63</v>
      </c>
      <c r="L14726" s="45">
        <v>46016.375</v>
      </c>
      <c r="M14726" s="46" t="s">
        <v>123</v>
      </c>
      <c r="N14726" s="45">
        <v>46016.75</v>
      </c>
      <c r="O14726" s="46" t="s">
        <v>123</v>
      </c>
      <c r="P14726" s="46">
        <v>32400.0</v>
      </c>
    </row>
    <row r="14727">
      <c r="A14727" s="40">
        <f t="shared" si="1"/>
        <v>46013</v>
      </c>
      <c r="B14727" s="37" t="str">
        <f t="array" ref="B14727">iferror(xlookup($I14727, 'IMPORT VHC Report'!$E:$E, 'IMPORT VHC Report'!$A:$C), )</f>
        <v/>
      </c>
      <c r="C14727" s="44"/>
      <c r="D14727" s="44"/>
      <c r="E14727" s="46" t="s">
        <v>10876</v>
      </c>
      <c r="F14727" s="46" t="s">
        <v>6830</v>
      </c>
      <c r="H14727" s="46" t="s">
        <v>6831</v>
      </c>
      <c r="I14727" s="46" t="s">
        <v>6832</v>
      </c>
      <c r="J14727" s="46" t="s">
        <v>4</v>
      </c>
      <c r="K14727" s="46" t="s">
        <v>126</v>
      </c>
      <c r="L14727" s="45">
        <v>46016.447916666664</v>
      </c>
      <c r="M14727" s="46" t="s">
        <v>123</v>
      </c>
      <c r="N14727" s="45">
        <v>46016.46875</v>
      </c>
      <c r="O14727" s="46" t="s">
        <v>123</v>
      </c>
      <c r="P14727" s="46">
        <v>1800.0</v>
      </c>
    </row>
    <row r="14728">
      <c r="A14728" s="40">
        <f t="shared" si="1"/>
        <v>46013</v>
      </c>
      <c r="B14728" s="37" t="str">
        <f t="array" ref="B14728">iferror(xlookup($I14728, 'IMPORT VHC Report'!$E:$E, 'IMPORT VHC Report'!$A:$C), )</f>
        <v/>
      </c>
      <c r="C14728" s="44"/>
      <c r="D14728" s="44"/>
      <c r="E14728" s="46" t="s">
        <v>10877</v>
      </c>
      <c r="F14728" s="46" t="s">
        <v>6830</v>
      </c>
      <c r="H14728" s="46" t="s">
        <v>6831</v>
      </c>
      <c r="I14728" s="46" t="s">
        <v>6832</v>
      </c>
      <c r="J14728" s="46" t="s">
        <v>125</v>
      </c>
      <c r="K14728" s="46" t="s">
        <v>126</v>
      </c>
      <c r="L14728" s="45">
        <v>46016.46875</v>
      </c>
      <c r="M14728" s="46" t="s">
        <v>123</v>
      </c>
      <c r="N14728" s="45">
        <v>46016.510416666664</v>
      </c>
      <c r="O14728" s="46" t="s">
        <v>123</v>
      </c>
      <c r="P14728" s="46">
        <v>3600.0</v>
      </c>
      <c r="S14728" s="46" t="s">
        <v>10878</v>
      </c>
    </row>
    <row r="14729">
      <c r="A14729" s="40">
        <f t="shared" si="1"/>
        <v>46013</v>
      </c>
      <c r="B14729" s="37" t="str">
        <f t="array" ref="B14729">iferror(xlookup($I14729, 'IMPORT VHC Report'!$E:$E, 'IMPORT VHC Report'!$A:$C), )</f>
        <v/>
      </c>
      <c r="C14729" s="44"/>
      <c r="D14729" s="44"/>
      <c r="E14729" s="46" t="s">
        <v>10879</v>
      </c>
      <c r="F14729" s="46" t="s">
        <v>6830</v>
      </c>
      <c r="H14729" s="46" t="s">
        <v>6831</v>
      </c>
      <c r="I14729" s="46" t="s">
        <v>6832</v>
      </c>
      <c r="J14729" s="46" t="s">
        <v>330</v>
      </c>
      <c r="K14729" s="46" t="s">
        <v>126</v>
      </c>
      <c r="L14729" s="45">
        <v>46016.5625</v>
      </c>
      <c r="M14729" s="46" t="s">
        <v>123</v>
      </c>
      <c r="N14729" s="45">
        <v>46016.614583333336</v>
      </c>
      <c r="O14729" s="46" t="s">
        <v>123</v>
      </c>
      <c r="P14729" s="46">
        <v>4500.0</v>
      </c>
    </row>
    <row r="14730">
      <c r="A14730" s="40">
        <f t="shared" si="1"/>
        <v>46013</v>
      </c>
      <c r="B14730" s="37" t="str">
        <f t="array" ref="B14730">iferror(xlookup($I14730, 'IMPORT VHC Report'!$E:$E, 'IMPORT VHC Report'!$A:$C), )</f>
        <v/>
      </c>
      <c r="C14730" s="44"/>
      <c r="D14730" s="44"/>
      <c r="E14730" s="46" t="s">
        <v>10880</v>
      </c>
      <c r="F14730" s="46" t="s">
        <v>6830</v>
      </c>
      <c r="H14730" s="46" t="s">
        <v>6831</v>
      </c>
      <c r="I14730" s="46" t="s">
        <v>6832</v>
      </c>
      <c r="J14730" s="46" t="s">
        <v>134</v>
      </c>
      <c r="K14730" s="46" t="s">
        <v>126</v>
      </c>
      <c r="L14730" s="45">
        <v>46016.6875</v>
      </c>
      <c r="M14730" s="46" t="s">
        <v>123</v>
      </c>
      <c r="N14730" s="45">
        <v>46016.708333333336</v>
      </c>
      <c r="O14730" s="46" t="s">
        <v>123</v>
      </c>
      <c r="P14730" s="46">
        <v>1800.0</v>
      </c>
    </row>
    <row r="14731">
      <c r="A14731" s="40">
        <f t="shared" si="1"/>
        <v>46013</v>
      </c>
      <c r="B14731" s="37" t="str">
        <f t="array" ref="B14731">iferror(xlookup($I14731, 'IMPORT VHC Report'!$E:$E, 'IMPORT VHC Report'!$A:$C), )</f>
        <v/>
      </c>
      <c r="C14731" s="44"/>
      <c r="D14731" s="44"/>
      <c r="E14731" s="46" t="s">
        <v>10881</v>
      </c>
      <c r="F14731" s="46" t="s">
        <v>6830</v>
      </c>
      <c r="H14731" s="46" t="s">
        <v>6831</v>
      </c>
      <c r="I14731" s="46" t="s">
        <v>6832</v>
      </c>
      <c r="J14731" s="46" t="s">
        <v>132</v>
      </c>
      <c r="K14731" s="46" t="s">
        <v>126</v>
      </c>
      <c r="L14731" s="45">
        <v>46016.708333333336</v>
      </c>
      <c r="M14731" s="46" t="s">
        <v>123</v>
      </c>
      <c r="N14731" s="45">
        <v>46016.75</v>
      </c>
      <c r="O14731" s="46" t="s">
        <v>123</v>
      </c>
      <c r="P14731" s="46">
        <v>3600.0</v>
      </c>
    </row>
    <row r="14732">
      <c r="A14732" s="40">
        <f t="shared" si="1"/>
        <v>46013</v>
      </c>
      <c r="B14732" s="37" t="str">
        <f t="array" ref="B14732">iferror(xlookup($I14732, 'IMPORT VHC Report'!$E:$E, 'IMPORT VHC Report'!$A:$C), )</f>
        <v/>
      </c>
      <c r="C14732" s="44"/>
      <c r="D14732" s="44"/>
      <c r="E14732" s="46" t="s">
        <v>10882</v>
      </c>
      <c r="F14732" s="46" t="s">
        <v>6830</v>
      </c>
      <c r="H14732" s="46" t="s">
        <v>6831</v>
      </c>
      <c r="I14732" s="46" t="s">
        <v>6832</v>
      </c>
      <c r="J14732" s="46" t="s">
        <v>125</v>
      </c>
      <c r="K14732" s="46" t="s">
        <v>126</v>
      </c>
      <c r="L14732" s="45">
        <v>46017.364583333336</v>
      </c>
      <c r="M14732" s="46" t="s">
        <v>123</v>
      </c>
      <c r="N14732" s="45">
        <v>46017.375</v>
      </c>
      <c r="O14732" s="46" t="s">
        <v>123</v>
      </c>
      <c r="P14732" s="46">
        <v>900.0</v>
      </c>
      <c r="S14732" s="46" t="s">
        <v>199</v>
      </c>
    </row>
    <row r="14733">
      <c r="A14733" s="40">
        <f t="shared" si="1"/>
        <v>46013</v>
      </c>
      <c r="B14733" s="37" t="str">
        <f t="array" ref="B14733">iferror(xlookup($I14733, 'IMPORT VHC Report'!$E:$E, 'IMPORT VHC Report'!$A:$C), )</f>
        <v/>
      </c>
      <c r="C14733" s="44"/>
      <c r="D14733" s="44"/>
      <c r="E14733" s="46" t="s">
        <v>10883</v>
      </c>
      <c r="F14733" s="46" t="s">
        <v>6830</v>
      </c>
      <c r="H14733" s="46" t="s">
        <v>6831</v>
      </c>
      <c r="I14733" s="46" t="s">
        <v>6832</v>
      </c>
      <c r="J14733" s="46" t="s">
        <v>196</v>
      </c>
      <c r="K14733" s="46" t="s">
        <v>63</v>
      </c>
      <c r="L14733" s="45">
        <v>46017.364583333336</v>
      </c>
      <c r="M14733" s="46" t="s">
        <v>123</v>
      </c>
      <c r="N14733" s="45">
        <v>46017.739583333336</v>
      </c>
      <c r="O14733" s="46" t="s">
        <v>123</v>
      </c>
      <c r="P14733" s="46">
        <v>32400.0</v>
      </c>
    </row>
    <row r="14734">
      <c r="A14734" s="40">
        <f t="shared" si="1"/>
        <v>46013</v>
      </c>
      <c r="B14734" s="37" t="str">
        <f t="array" ref="B14734">iferror(xlookup($I14734, 'IMPORT VHC Report'!$E:$E, 'IMPORT VHC Report'!$A:$C), )</f>
        <v/>
      </c>
      <c r="C14734" s="44"/>
      <c r="D14734" s="44"/>
      <c r="E14734" s="46" t="s">
        <v>10884</v>
      </c>
      <c r="F14734" s="46" t="s">
        <v>6830</v>
      </c>
      <c r="H14734" s="46" t="s">
        <v>6831</v>
      </c>
      <c r="I14734" s="46" t="s">
        <v>6832</v>
      </c>
      <c r="J14734" s="46" t="s">
        <v>132</v>
      </c>
      <c r="K14734" s="46" t="s">
        <v>126</v>
      </c>
      <c r="L14734" s="45">
        <v>46017.479166666664</v>
      </c>
      <c r="M14734" s="46" t="s">
        <v>123</v>
      </c>
      <c r="N14734" s="45">
        <v>46017.520833333336</v>
      </c>
      <c r="O14734" s="46" t="s">
        <v>123</v>
      </c>
      <c r="P14734" s="46">
        <v>3600.0</v>
      </c>
    </row>
    <row r="14735">
      <c r="A14735" s="40">
        <f t="shared" si="1"/>
        <v>46013</v>
      </c>
      <c r="B14735" s="37" t="str">
        <f t="array" ref="B14735">iferror(xlookup($I14735, 'IMPORT VHC Report'!$E:$E, 'IMPORT VHC Report'!$A:$C), )</f>
        <v/>
      </c>
      <c r="C14735" s="44"/>
      <c r="D14735" s="44"/>
      <c r="E14735" s="46" t="s">
        <v>10885</v>
      </c>
      <c r="F14735" s="46" t="s">
        <v>6830</v>
      </c>
      <c r="H14735" s="46" t="s">
        <v>6831</v>
      </c>
      <c r="I14735" s="46" t="s">
        <v>6832</v>
      </c>
      <c r="J14735" s="46" t="s">
        <v>134</v>
      </c>
      <c r="K14735" s="46" t="s">
        <v>126</v>
      </c>
      <c r="L14735" s="45">
        <v>46017.645833333336</v>
      </c>
      <c r="M14735" s="46" t="s">
        <v>123</v>
      </c>
      <c r="N14735" s="45">
        <v>46017.666666666664</v>
      </c>
      <c r="O14735" s="46" t="s">
        <v>123</v>
      </c>
      <c r="P14735" s="46">
        <v>1800.0</v>
      </c>
    </row>
    <row r="14736">
      <c r="A14736" s="40">
        <f t="shared" si="1"/>
        <v>46013</v>
      </c>
      <c r="B14736" s="37" t="str">
        <f t="array" ref="B14736">iferror(xlookup($I14736, 'IMPORT VHC Report'!$E:$E, 'IMPORT VHC Report'!$A:$C), )</f>
        <v/>
      </c>
      <c r="C14736" s="44"/>
      <c r="D14736" s="44"/>
      <c r="E14736" s="46" t="s">
        <v>10886</v>
      </c>
      <c r="F14736" s="46" t="s">
        <v>6830</v>
      </c>
      <c r="H14736" s="46" t="s">
        <v>6831</v>
      </c>
      <c r="I14736" s="46" t="s">
        <v>6832</v>
      </c>
      <c r="J14736" s="46" t="s">
        <v>125</v>
      </c>
      <c r="K14736" s="46" t="s">
        <v>126</v>
      </c>
      <c r="L14736" s="45">
        <v>46018.375</v>
      </c>
      <c r="M14736" s="46" t="s">
        <v>123</v>
      </c>
      <c r="N14736" s="45">
        <v>46018.385416666664</v>
      </c>
      <c r="O14736" s="46" t="s">
        <v>123</v>
      </c>
      <c r="P14736" s="46">
        <v>900.0</v>
      </c>
      <c r="S14736" s="46" t="s">
        <v>199</v>
      </c>
    </row>
    <row r="14737">
      <c r="A14737" s="40">
        <f t="shared" si="1"/>
        <v>46013</v>
      </c>
      <c r="B14737" s="37" t="str">
        <f t="array" ref="B14737">iferror(xlookup($I14737, 'IMPORT VHC Report'!$E:$E, 'IMPORT VHC Report'!$A:$C), )</f>
        <v/>
      </c>
      <c r="C14737" s="44"/>
      <c r="D14737" s="44"/>
      <c r="E14737" s="46" t="s">
        <v>10887</v>
      </c>
      <c r="F14737" s="46" t="s">
        <v>6830</v>
      </c>
      <c r="H14737" s="46" t="s">
        <v>6831</v>
      </c>
      <c r="I14737" s="46" t="s">
        <v>6832</v>
      </c>
      <c r="J14737" s="46" t="s">
        <v>196</v>
      </c>
      <c r="K14737" s="46" t="s">
        <v>63</v>
      </c>
      <c r="L14737" s="45">
        <v>46018.375</v>
      </c>
      <c r="M14737" s="46" t="s">
        <v>123</v>
      </c>
      <c r="N14737" s="45">
        <v>46018.75</v>
      </c>
      <c r="O14737" s="46" t="s">
        <v>123</v>
      </c>
      <c r="P14737" s="46">
        <v>32400.0</v>
      </c>
    </row>
    <row r="14738">
      <c r="A14738" s="40">
        <f t="shared" si="1"/>
        <v>46013</v>
      </c>
      <c r="B14738" s="37" t="str">
        <f t="array" ref="B14738">iferror(xlookup($I14738, 'IMPORT VHC Report'!$E:$E, 'IMPORT VHC Report'!$A:$C), )</f>
        <v/>
      </c>
      <c r="C14738" s="44"/>
      <c r="D14738" s="44"/>
      <c r="E14738" s="46" t="s">
        <v>10888</v>
      </c>
      <c r="F14738" s="46" t="s">
        <v>6830</v>
      </c>
      <c r="H14738" s="46" t="s">
        <v>6831</v>
      </c>
      <c r="I14738" s="46" t="s">
        <v>6832</v>
      </c>
      <c r="J14738" s="46" t="s">
        <v>134</v>
      </c>
      <c r="K14738" s="46" t="s">
        <v>126</v>
      </c>
      <c r="L14738" s="45">
        <v>46018.5</v>
      </c>
      <c r="M14738" s="46" t="s">
        <v>123</v>
      </c>
      <c r="N14738" s="45">
        <v>46018.520833333336</v>
      </c>
      <c r="O14738" s="46" t="s">
        <v>123</v>
      </c>
      <c r="P14738" s="46">
        <v>1800.0</v>
      </c>
    </row>
    <row r="14739">
      <c r="A14739" s="40">
        <f t="shared" si="1"/>
        <v>46013</v>
      </c>
      <c r="B14739" s="37" t="str">
        <f t="array" ref="B14739">iferror(xlookup($I14739, 'IMPORT VHC Report'!$E:$E, 'IMPORT VHC Report'!$A:$C), )</f>
        <v/>
      </c>
      <c r="C14739" s="44"/>
      <c r="D14739" s="44"/>
      <c r="E14739" s="46" t="s">
        <v>10889</v>
      </c>
      <c r="F14739" s="46" t="s">
        <v>6830</v>
      </c>
      <c r="H14739" s="46" t="s">
        <v>6831</v>
      </c>
      <c r="I14739" s="46" t="s">
        <v>6832</v>
      </c>
      <c r="J14739" s="46" t="s">
        <v>132</v>
      </c>
      <c r="K14739" s="46" t="s">
        <v>126</v>
      </c>
      <c r="L14739" s="45">
        <v>46018.625</v>
      </c>
      <c r="M14739" s="46" t="s">
        <v>123</v>
      </c>
      <c r="N14739" s="45">
        <v>46018.666666666664</v>
      </c>
      <c r="O14739" s="46" t="s">
        <v>123</v>
      </c>
      <c r="P14739" s="46">
        <v>3600.0</v>
      </c>
    </row>
    <row r="14740">
      <c r="A14740" s="40">
        <f t="shared" si="1"/>
        <v>46013</v>
      </c>
      <c r="B14740" s="37" t="str">
        <f t="array" ref="B14740">iferror(xlookup($I14740, 'IMPORT VHC Report'!$E:$E, 'IMPORT VHC Report'!$A:$C), )</f>
        <v/>
      </c>
      <c r="C14740" s="44"/>
      <c r="D14740" s="44"/>
      <c r="E14740" s="46" t="s">
        <v>10890</v>
      </c>
      <c r="F14740" s="46" t="s">
        <v>6995</v>
      </c>
      <c r="H14740" s="46" t="s">
        <v>6996</v>
      </c>
      <c r="I14740" s="46" t="s">
        <v>6997</v>
      </c>
      <c r="J14740" s="46" t="s">
        <v>125</v>
      </c>
      <c r="K14740" s="46" t="s">
        <v>126</v>
      </c>
      <c r="L14740" s="45">
        <v>46014.5</v>
      </c>
      <c r="M14740" s="46" t="s">
        <v>123</v>
      </c>
      <c r="N14740" s="45">
        <v>46014.510416666664</v>
      </c>
      <c r="O14740" s="46" t="s">
        <v>123</v>
      </c>
      <c r="P14740" s="46">
        <v>900.0</v>
      </c>
      <c r="S14740" s="46" t="s">
        <v>199</v>
      </c>
    </row>
    <row r="14741">
      <c r="A14741" s="40">
        <f t="shared" si="1"/>
        <v>46013</v>
      </c>
      <c r="B14741" s="37" t="str">
        <f t="array" ref="B14741">iferror(xlookup($I14741, 'IMPORT VHC Report'!$E:$E, 'IMPORT VHC Report'!$A:$C), )</f>
        <v/>
      </c>
      <c r="C14741" s="44"/>
      <c r="D14741" s="44"/>
      <c r="E14741" s="46" t="s">
        <v>10891</v>
      </c>
      <c r="F14741" s="46" t="s">
        <v>6995</v>
      </c>
      <c r="H14741" s="46" t="s">
        <v>6996</v>
      </c>
      <c r="I14741" s="46" t="s">
        <v>6997</v>
      </c>
      <c r="J14741" s="46" t="s">
        <v>196</v>
      </c>
      <c r="K14741" s="46" t="s">
        <v>63</v>
      </c>
      <c r="L14741" s="45">
        <v>46014.5</v>
      </c>
      <c r="M14741" s="46" t="s">
        <v>123</v>
      </c>
      <c r="N14741" s="45">
        <v>46014.875</v>
      </c>
      <c r="O14741" s="46" t="s">
        <v>123</v>
      </c>
      <c r="P14741" s="46">
        <v>32400.0</v>
      </c>
    </row>
    <row r="14742">
      <c r="A14742" s="40">
        <f t="shared" si="1"/>
        <v>46013</v>
      </c>
      <c r="B14742" s="37" t="str">
        <f t="array" ref="B14742">iferror(xlookup($I14742, 'IMPORT VHC Report'!$E:$E, 'IMPORT VHC Report'!$A:$C), )</f>
        <v/>
      </c>
      <c r="C14742" s="44"/>
      <c r="D14742" s="44"/>
      <c r="E14742" s="46" t="s">
        <v>10892</v>
      </c>
      <c r="F14742" s="46" t="s">
        <v>6995</v>
      </c>
      <c r="H14742" s="46" t="s">
        <v>6996</v>
      </c>
      <c r="I14742" s="46" t="s">
        <v>6997</v>
      </c>
      <c r="J14742" s="46" t="s">
        <v>134</v>
      </c>
      <c r="K14742" s="46" t="s">
        <v>126</v>
      </c>
      <c r="L14742" s="45">
        <v>46014.604166666664</v>
      </c>
      <c r="M14742" s="46" t="s">
        <v>123</v>
      </c>
      <c r="N14742" s="45">
        <v>46014.625</v>
      </c>
      <c r="O14742" s="46" t="s">
        <v>123</v>
      </c>
      <c r="P14742" s="46">
        <v>1800.0</v>
      </c>
    </row>
    <row r="14743">
      <c r="A14743" s="40">
        <f t="shared" si="1"/>
        <v>46013</v>
      </c>
      <c r="B14743" s="37" t="str">
        <f t="array" ref="B14743">iferror(xlookup($I14743, 'IMPORT VHC Report'!$E:$E, 'IMPORT VHC Report'!$A:$C), )</f>
        <v/>
      </c>
      <c r="C14743" s="44"/>
      <c r="D14743" s="44"/>
      <c r="E14743" s="46" t="s">
        <v>10893</v>
      </c>
      <c r="F14743" s="46" t="s">
        <v>6995</v>
      </c>
      <c r="H14743" s="46" t="s">
        <v>6996</v>
      </c>
      <c r="I14743" s="46" t="s">
        <v>6997</v>
      </c>
      <c r="J14743" s="46" t="s">
        <v>136</v>
      </c>
      <c r="K14743" s="46" t="s">
        <v>126</v>
      </c>
      <c r="L14743" s="45">
        <v>46014.729166666664</v>
      </c>
      <c r="M14743" s="46" t="s">
        <v>123</v>
      </c>
      <c r="N14743" s="45">
        <v>46014.75</v>
      </c>
      <c r="O14743" s="46" t="s">
        <v>123</v>
      </c>
      <c r="P14743" s="46">
        <v>1800.0</v>
      </c>
      <c r="S14743" s="46" t="s">
        <v>137</v>
      </c>
    </row>
    <row r="14744">
      <c r="A14744" s="40">
        <f t="shared" si="1"/>
        <v>46013</v>
      </c>
      <c r="B14744" s="37" t="str">
        <f t="array" ref="B14744">iferror(xlookup($I14744, 'IMPORT VHC Report'!$E:$E, 'IMPORT VHC Report'!$A:$C), )</f>
        <v/>
      </c>
      <c r="C14744" s="44"/>
      <c r="D14744" s="44"/>
      <c r="E14744" s="46" t="s">
        <v>10894</v>
      </c>
      <c r="F14744" s="46" t="s">
        <v>6995</v>
      </c>
      <c r="H14744" s="46" t="s">
        <v>6996</v>
      </c>
      <c r="I14744" s="46" t="s">
        <v>6997</v>
      </c>
      <c r="J14744" s="46" t="s">
        <v>132</v>
      </c>
      <c r="K14744" s="46" t="s">
        <v>126</v>
      </c>
      <c r="L14744" s="45">
        <v>46014.75</v>
      </c>
      <c r="M14744" s="46" t="s">
        <v>123</v>
      </c>
      <c r="N14744" s="45">
        <v>46014.791666666664</v>
      </c>
      <c r="O14744" s="46" t="s">
        <v>123</v>
      </c>
      <c r="P14744" s="46">
        <v>3600.0</v>
      </c>
    </row>
    <row r="14745">
      <c r="A14745" s="40">
        <f t="shared" si="1"/>
        <v>46013</v>
      </c>
      <c r="B14745" s="37" t="str">
        <f t="array" ref="B14745">iferror(xlookup($I14745, 'IMPORT VHC Report'!$E:$E, 'IMPORT VHC Report'!$A:$C), )</f>
        <v/>
      </c>
      <c r="C14745" s="44"/>
      <c r="D14745" s="44"/>
      <c r="E14745" s="46" t="s">
        <v>10895</v>
      </c>
      <c r="F14745" s="46" t="s">
        <v>6995</v>
      </c>
      <c r="H14745" s="46" t="s">
        <v>6996</v>
      </c>
      <c r="I14745" s="46" t="s">
        <v>6997</v>
      </c>
      <c r="J14745" s="46" t="s">
        <v>125</v>
      </c>
      <c r="K14745" s="46" t="s">
        <v>126</v>
      </c>
      <c r="L14745" s="45">
        <v>46015.5</v>
      </c>
      <c r="M14745" s="46" t="s">
        <v>123</v>
      </c>
      <c r="N14745" s="45">
        <v>46015.510416666664</v>
      </c>
      <c r="O14745" s="46" t="s">
        <v>123</v>
      </c>
      <c r="P14745" s="46">
        <v>900.0</v>
      </c>
      <c r="S14745" s="46" t="s">
        <v>199</v>
      </c>
    </row>
    <row r="14746">
      <c r="A14746" s="40">
        <f t="shared" si="1"/>
        <v>46013</v>
      </c>
      <c r="B14746" s="37" t="str">
        <f t="array" ref="B14746">iferror(xlookup($I14746, 'IMPORT VHC Report'!$E:$E, 'IMPORT VHC Report'!$A:$C), )</f>
        <v/>
      </c>
      <c r="C14746" s="44"/>
      <c r="D14746" s="44"/>
      <c r="E14746" s="46" t="s">
        <v>10896</v>
      </c>
      <c r="F14746" s="46" t="s">
        <v>6995</v>
      </c>
      <c r="H14746" s="46" t="s">
        <v>6996</v>
      </c>
      <c r="I14746" s="46" t="s">
        <v>6997</v>
      </c>
      <c r="J14746" s="46" t="s">
        <v>196</v>
      </c>
      <c r="K14746" s="46" t="s">
        <v>63</v>
      </c>
      <c r="L14746" s="45">
        <v>46015.5</v>
      </c>
      <c r="M14746" s="46" t="s">
        <v>123</v>
      </c>
      <c r="N14746" s="45">
        <v>46015.708333333336</v>
      </c>
      <c r="O14746" s="46" t="s">
        <v>123</v>
      </c>
      <c r="P14746" s="46">
        <v>18000.0</v>
      </c>
    </row>
    <row r="14747">
      <c r="A14747" s="40">
        <f t="shared" si="1"/>
        <v>46013</v>
      </c>
      <c r="B14747" s="37" t="str">
        <f t="array" ref="B14747">iferror(xlookup($I14747, 'IMPORT VHC Report'!$E:$E, 'IMPORT VHC Report'!$A:$C), )</f>
        <v/>
      </c>
      <c r="C14747" s="44"/>
      <c r="D14747" s="44"/>
      <c r="E14747" s="46" t="s">
        <v>10897</v>
      </c>
      <c r="F14747" s="46" t="s">
        <v>6995</v>
      </c>
      <c r="H14747" s="46" t="s">
        <v>6996</v>
      </c>
      <c r="I14747" s="46" t="s">
        <v>6997</v>
      </c>
      <c r="J14747" s="46" t="s">
        <v>132</v>
      </c>
      <c r="K14747" s="46" t="s">
        <v>126</v>
      </c>
      <c r="L14747" s="45">
        <v>46015.635416666664</v>
      </c>
      <c r="M14747" s="46" t="s">
        <v>123</v>
      </c>
      <c r="N14747" s="45">
        <v>46015.677083333336</v>
      </c>
      <c r="O14747" s="46" t="s">
        <v>123</v>
      </c>
      <c r="P14747" s="46">
        <v>3600.0</v>
      </c>
    </row>
    <row r="14748">
      <c r="A14748" s="40">
        <f t="shared" si="1"/>
        <v>46013</v>
      </c>
      <c r="B14748" s="37" t="str">
        <f t="array" ref="B14748">iferror(xlookup($I14748, 'IMPORT VHC Report'!$E:$E, 'IMPORT VHC Report'!$A:$C), )</f>
        <v/>
      </c>
      <c r="C14748" s="44"/>
      <c r="D14748" s="44"/>
      <c r="E14748" s="46" t="s">
        <v>10898</v>
      </c>
      <c r="F14748" s="46" t="s">
        <v>6995</v>
      </c>
      <c r="H14748" s="46" t="s">
        <v>6996</v>
      </c>
      <c r="I14748" s="46" t="s">
        <v>6997</v>
      </c>
      <c r="J14748" s="46" t="s">
        <v>136</v>
      </c>
      <c r="K14748" s="46" t="s">
        <v>126</v>
      </c>
      <c r="L14748" s="45">
        <v>46015.708333333336</v>
      </c>
      <c r="M14748" s="46" t="s">
        <v>123</v>
      </c>
      <c r="N14748" s="45">
        <v>46015.729166666664</v>
      </c>
      <c r="O14748" s="46" t="s">
        <v>123</v>
      </c>
      <c r="P14748" s="46">
        <v>1800.0</v>
      </c>
      <c r="S14748" s="46" t="s">
        <v>10559</v>
      </c>
    </row>
    <row r="14749">
      <c r="A14749" s="40">
        <f t="shared" si="1"/>
        <v>46013</v>
      </c>
      <c r="B14749" s="37" t="str">
        <f t="array" ref="B14749">iferror(xlookup($I14749, 'IMPORT VHC Report'!$E:$E, 'IMPORT VHC Report'!$A:$C), )</f>
        <v/>
      </c>
      <c r="C14749" s="44"/>
      <c r="D14749" s="44"/>
      <c r="E14749" s="46" t="s">
        <v>10899</v>
      </c>
      <c r="F14749" s="46" t="s">
        <v>6995</v>
      </c>
      <c r="H14749" s="46" t="s">
        <v>6996</v>
      </c>
      <c r="I14749" s="46" t="s">
        <v>6997</v>
      </c>
      <c r="J14749" s="46" t="s">
        <v>62</v>
      </c>
      <c r="K14749" s="46" t="s">
        <v>63</v>
      </c>
      <c r="L14749" s="45">
        <v>46015.708333333336</v>
      </c>
      <c r="M14749" s="46" t="s">
        <v>123</v>
      </c>
      <c r="N14749" s="45">
        <v>46015.729166666664</v>
      </c>
      <c r="O14749" s="46" t="s">
        <v>123</v>
      </c>
      <c r="P14749" s="46">
        <v>1800.0</v>
      </c>
    </row>
    <row r="14750">
      <c r="A14750" s="40">
        <f t="shared" si="1"/>
        <v>46013</v>
      </c>
      <c r="B14750" s="37" t="str">
        <f t="array" ref="B14750">iferror(xlookup($I14750, 'IMPORT VHC Report'!$E:$E, 'IMPORT VHC Report'!$A:$C), )</f>
        <v/>
      </c>
      <c r="C14750" s="44"/>
      <c r="D14750" s="44"/>
      <c r="E14750" s="46" t="s">
        <v>10900</v>
      </c>
      <c r="F14750" s="46" t="s">
        <v>6995</v>
      </c>
      <c r="H14750" s="46" t="s">
        <v>6996</v>
      </c>
      <c r="I14750" s="46" t="s">
        <v>6997</v>
      </c>
      <c r="J14750" s="46" t="s">
        <v>196</v>
      </c>
      <c r="K14750" s="46" t="s">
        <v>63</v>
      </c>
      <c r="L14750" s="45">
        <v>46015.729166666664</v>
      </c>
      <c r="M14750" s="46" t="s">
        <v>123</v>
      </c>
      <c r="N14750" s="45">
        <v>46015.875</v>
      </c>
      <c r="O14750" s="46" t="s">
        <v>123</v>
      </c>
      <c r="P14750" s="46">
        <v>12600.0</v>
      </c>
    </row>
    <row r="14751">
      <c r="A14751" s="40">
        <f t="shared" si="1"/>
        <v>46013</v>
      </c>
      <c r="B14751" s="37" t="str">
        <f t="array" ref="B14751">iferror(xlookup($I14751, 'IMPORT VHC Report'!$E:$E, 'IMPORT VHC Report'!$A:$C), )</f>
        <v/>
      </c>
      <c r="C14751" s="44"/>
      <c r="D14751" s="44"/>
      <c r="E14751" s="46" t="s">
        <v>10901</v>
      </c>
      <c r="F14751" s="46" t="s">
        <v>6995</v>
      </c>
      <c r="H14751" s="46" t="s">
        <v>6996</v>
      </c>
      <c r="I14751" s="46" t="s">
        <v>6997</v>
      </c>
      <c r="J14751" s="46" t="s">
        <v>134</v>
      </c>
      <c r="K14751" s="46" t="s">
        <v>126</v>
      </c>
      <c r="L14751" s="45">
        <v>46015.791666666664</v>
      </c>
      <c r="M14751" s="46" t="s">
        <v>123</v>
      </c>
      <c r="N14751" s="45">
        <v>46015.8125</v>
      </c>
      <c r="O14751" s="46" t="s">
        <v>123</v>
      </c>
      <c r="P14751" s="46">
        <v>1800.0</v>
      </c>
    </row>
    <row r="14752">
      <c r="A14752" s="40">
        <f t="shared" si="1"/>
        <v>46013</v>
      </c>
      <c r="B14752" s="37" t="str">
        <f t="array" ref="B14752">iferror(xlookup($I14752, 'IMPORT VHC Report'!$E:$E, 'IMPORT VHC Report'!$A:$C), )</f>
        <v/>
      </c>
      <c r="C14752" s="44"/>
      <c r="D14752" s="44"/>
      <c r="E14752" s="46" t="s">
        <v>10902</v>
      </c>
      <c r="F14752" s="46" t="s">
        <v>6995</v>
      </c>
      <c r="H14752" s="46" t="s">
        <v>6996</v>
      </c>
      <c r="I14752" s="46" t="s">
        <v>6997</v>
      </c>
      <c r="J14752" s="46" t="s">
        <v>125</v>
      </c>
      <c r="K14752" s="46" t="s">
        <v>126</v>
      </c>
      <c r="L14752" s="45">
        <v>46016.5</v>
      </c>
      <c r="M14752" s="46" t="s">
        <v>123</v>
      </c>
      <c r="N14752" s="45">
        <v>46016.510416666664</v>
      </c>
      <c r="O14752" s="46" t="s">
        <v>123</v>
      </c>
      <c r="P14752" s="46">
        <v>900.0</v>
      </c>
      <c r="S14752" s="46" t="s">
        <v>199</v>
      </c>
    </row>
    <row r="14753">
      <c r="A14753" s="40">
        <f t="shared" si="1"/>
        <v>46013</v>
      </c>
      <c r="B14753" s="37" t="str">
        <f t="array" ref="B14753">iferror(xlookup($I14753, 'IMPORT VHC Report'!$E:$E, 'IMPORT VHC Report'!$A:$C), )</f>
        <v/>
      </c>
      <c r="C14753" s="44"/>
      <c r="D14753" s="44"/>
      <c r="E14753" s="46" t="s">
        <v>10903</v>
      </c>
      <c r="F14753" s="46" t="s">
        <v>6995</v>
      </c>
      <c r="H14753" s="46" t="s">
        <v>6996</v>
      </c>
      <c r="I14753" s="46" t="s">
        <v>6997</v>
      </c>
      <c r="J14753" s="46" t="s">
        <v>178</v>
      </c>
      <c r="K14753" s="46" t="s">
        <v>153</v>
      </c>
      <c r="L14753" s="45">
        <v>46016.5</v>
      </c>
      <c r="M14753" s="46" t="s">
        <v>123</v>
      </c>
      <c r="N14753" s="45">
        <v>46016.875</v>
      </c>
      <c r="O14753" s="46" t="s">
        <v>123</v>
      </c>
      <c r="P14753" s="46">
        <v>32400.0</v>
      </c>
      <c r="Q14753" s="46">
        <v>28800.0</v>
      </c>
      <c r="R14753" s="46" t="s">
        <v>10904</v>
      </c>
      <c r="S14753" s="46" t="s">
        <v>10905</v>
      </c>
    </row>
    <row r="14754">
      <c r="A14754" s="40">
        <f t="shared" si="1"/>
        <v>46013</v>
      </c>
      <c r="B14754" s="37" t="str">
        <f t="array" ref="B14754">iferror(xlookup($I14754, 'IMPORT VHC Report'!$E:$E, 'IMPORT VHC Report'!$A:$C), )</f>
        <v/>
      </c>
      <c r="C14754" s="44"/>
      <c r="D14754" s="44"/>
      <c r="E14754" s="46" t="s">
        <v>10906</v>
      </c>
      <c r="F14754" s="46" t="s">
        <v>6995</v>
      </c>
      <c r="H14754" s="46" t="s">
        <v>6996</v>
      </c>
      <c r="I14754" s="46" t="s">
        <v>6997</v>
      </c>
      <c r="J14754" s="46" t="s">
        <v>196</v>
      </c>
      <c r="K14754" s="46" t="s">
        <v>63</v>
      </c>
      <c r="L14754" s="45">
        <v>46016.5</v>
      </c>
      <c r="M14754" s="46" t="s">
        <v>123</v>
      </c>
      <c r="N14754" s="45">
        <v>46016.875</v>
      </c>
      <c r="O14754" s="46" t="s">
        <v>123</v>
      </c>
      <c r="P14754" s="46">
        <v>32400.0</v>
      </c>
    </row>
    <row r="14755">
      <c r="A14755" s="40">
        <f t="shared" si="1"/>
        <v>46013</v>
      </c>
      <c r="B14755" s="37" t="str">
        <f t="array" ref="B14755">iferror(xlookup($I14755, 'IMPORT VHC Report'!$E:$E, 'IMPORT VHC Report'!$A:$C), )</f>
        <v/>
      </c>
      <c r="C14755" s="44"/>
      <c r="D14755" s="44"/>
      <c r="E14755" s="46" t="s">
        <v>10907</v>
      </c>
      <c r="F14755" s="46" t="s">
        <v>6995</v>
      </c>
      <c r="H14755" s="46" t="s">
        <v>6996</v>
      </c>
      <c r="I14755" s="46" t="s">
        <v>6997</v>
      </c>
      <c r="J14755" s="46" t="s">
        <v>132</v>
      </c>
      <c r="K14755" s="46" t="s">
        <v>126</v>
      </c>
      <c r="L14755" s="45">
        <v>46016.583333333336</v>
      </c>
      <c r="M14755" s="46" t="s">
        <v>123</v>
      </c>
      <c r="N14755" s="45">
        <v>46016.625</v>
      </c>
      <c r="O14755" s="46" t="s">
        <v>123</v>
      </c>
      <c r="P14755" s="46">
        <v>3600.0</v>
      </c>
    </row>
    <row r="14756">
      <c r="A14756" s="40">
        <f t="shared" si="1"/>
        <v>46013</v>
      </c>
      <c r="B14756" s="37" t="str">
        <f t="array" ref="B14756">iferror(xlookup($I14756, 'IMPORT VHC Report'!$E:$E, 'IMPORT VHC Report'!$A:$C), )</f>
        <v/>
      </c>
      <c r="C14756" s="44"/>
      <c r="D14756" s="44"/>
      <c r="E14756" s="46" t="s">
        <v>10908</v>
      </c>
      <c r="F14756" s="46" t="s">
        <v>6995</v>
      </c>
      <c r="H14756" s="46" t="s">
        <v>6996</v>
      </c>
      <c r="I14756" s="46" t="s">
        <v>6997</v>
      </c>
      <c r="J14756" s="46" t="s">
        <v>134</v>
      </c>
      <c r="K14756" s="46" t="s">
        <v>126</v>
      </c>
      <c r="L14756" s="45">
        <v>46016.760416666664</v>
      </c>
      <c r="M14756" s="46" t="s">
        <v>123</v>
      </c>
      <c r="N14756" s="45">
        <v>46016.78125</v>
      </c>
      <c r="O14756" s="46" t="s">
        <v>123</v>
      </c>
      <c r="P14756" s="46">
        <v>1800.0</v>
      </c>
    </row>
    <row r="14757">
      <c r="A14757" s="40">
        <f t="shared" si="1"/>
        <v>46013</v>
      </c>
      <c r="B14757" s="37" t="str">
        <f t="array" ref="B14757">iferror(xlookup($I14757, 'IMPORT VHC Report'!$E:$E, 'IMPORT VHC Report'!$A:$C), )</f>
        <v/>
      </c>
      <c r="C14757" s="44"/>
      <c r="D14757" s="44"/>
      <c r="E14757" s="46" t="s">
        <v>10909</v>
      </c>
      <c r="F14757" s="46" t="s">
        <v>6995</v>
      </c>
      <c r="H14757" s="46" t="s">
        <v>6996</v>
      </c>
      <c r="I14757" s="46" t="s">
        <v>6997</v>
      </c>
      <c r="J14757" s="46" t="s">
        <v>125</v>
      </c>
      <c r="K14757" s="46" t="s">
        <v>126</v>
      </c>
      <c r="L14757" s="45">
        <v>46017.5</v>
      </c>
      <c r="M14757" s="46" t="s">
        <v>123</v>
      </c>
      <c r="N14757" s="45">
        <v>46017.510416666664</v>
      </c>
      <c r="O14757" s="46" t="s">
        <v>123</v>
      </c>
      <c r="P14757" s="46">
        <v>900.0</v>
      </c>
      <c r="S14757" s="46" t="s">
        <v>199</v>
      </c>
    </row>
    <row r="14758">
      <c r="A14758" s="40">
        <f t="shared" si="1"/>
        <v>46013</v>
      </c>
      <c r="B14758" s="37" t="str">
        <f t="array" ref="B14758">iferror(xlookup($I14758, 'IMPORT VHC Report'!$E:$E, 'IMPORT VHC Report'!$A:$C), )</f>
        <v/>
      </c>
      <c r="C14758" s="44"/>
      <c r="D14758" s="44"/>
      <c r="E14758" s="46" t="s">
        <v>10910</v>
      </c>
      <c r="F14758" s="46" t="s">
        <v>6995</v>
      </c>
      <c r="H14758" s="46" t="s">
        <v>6996</v>
      </c>
      <c r="I14758" s="46" t="s">
        <v>6997</v>
      </c>
      <c r="J14758" s="46" t="s">
        <v>196</v>
      </c>
      <c r="K14758" s="46" t="s">
        <v>63</v>
      </c>
      <c r="L14758" s="45">
        <v>46017.5</v>
      </c>
      <c r="M14758" s="46" t="s">
        <v>123</v>
      </c>
      <c r="N14758" s="45">
        <v>46017.875</v>
      </c>
      <c r="O14758" s="46" t="s">
        <v>123</v>
      </c>
      <c r="P14758" s="46">
        <v>32400.0</v>
      </c>
    </row>
    <row r="14759">
      <c r="A14759" s="40">
        <f t="shared" si="1"/>
        <v>46013</v>
      </c>
      <c r="B14759" s="37" t="str">
        <f t="array" ref="B14759">iferror(xlookup($I14759, 'IMPORT VHC Report'!$E:$E, 'IMPORT VHC Report'!$A:$C), )</f>
        <v/>
      </c>
      <c r="C14759" s="44"/>
      <c r="D14759" s="44"/>
      <c r="E14759" s="46" t="s">
        <v>10911</v>
      </c>
      <c r="F14759" s="46" t="s">
        <v>6995</v>
      </c>
      <c r="H14759" s="46" t="s">
        <v>6996</v>
      </c>
      <c r="I14759" s="46" t="s">
        <v>6997</v>
      </c>
      <c r="J14759" s="46" t="s">
        <v>132</v>
      </c>
      <c r="K14759" s="46" t="s">
        <v>126</v>
      </c>
      <c r="L14759" s="45">
        <v>46017.583333333336</v>
      </c>
      <c r="M14759" s="46" t="s">
        <v>123</v>
      </c>
      <c r="N14759" s="45">
        <v>46017.625</v>
      </c>
      <c r="O14759" s="46" t="s">
        <v>123</v>
      </c>
      <c r="P14759" s="46">
        <v>3600.0</v>
      </c>
    </row>
    <row r="14760">
      <c r="A14760" s="40">
        <f t="shared" si="1"/>
        <v>46013</v>
      </c>
      <c r="B14760" s="37" t="str">
        <f t="array" ref="B14760">iferror(xlookup($I14760, 'IMPORT VHC Report'!$E:$E, 'IMPORT VHC Report'!$A:$C), )</f>
        <v/>
      </c>
      <c r="C14760" s="44"/>
      <c r="D14760" s="44"/>
      <c r="E14760" s="46" t="s">
        <v>10912</v>
      </c>
      <c r="F14760" s="46" t="s">
        <v>6995</v>
      </c>
      <c r="H14760" s="46" t="s">
        <v>6996</v>
      </c>
      <c r="I14760" s="46" t="s">
        <v>6997</v>
      </c>
      <c r="J14760" s="46" t="s">
        <v>134</v>
      </c>
      <c r="K14760" s="46" t="s">
        <v>126</v>
      </c>
      <c r="L14760" s="45">
        <v>46017.770833333336</v>
      </c>
      <c r="M14760" s="46" t="s">
        <v>123</v>
      </c>
      <c r="N14760" s="45">
        <v>46017.791666666664</v>
      </c>
      <c r="O14760" s="46" t="s">
        <v>123</v>
      </c>
      <c r="P14760" s="46">
        <v>1800.0</v>
      </c>
    </row>
    <row r="14761">
      <c r="A14761" s="40">
        <f t="shared" si="1"/>
        <v>46013</v>
      </c>
      <c r="B14761" s="37" t="str">
        <f t="array" ref="B14761">iferror(xlookup($I14761, 'IMPORT VHC Report'!$E:$E, 'IMPORT VHC Report'!$A:$C), )</f>
        <v/>
      </c>
      <c r="C14761" s="44"/>
      <c r="D14761" s="44"/>
      <c r="E14761" s="46" t="s">
        <v>10913</v>
      </c>
      <c r="F14761" s="46" t="s">
        <v>6995</v>
      </c>
      <c r="H14761" s="46" t="s">
        <v>6996</v>
      </c>
      <c r="I14761" s="46" t="s">
        <v>6997</v>
      </c>
      <c r="J14761" s="46" t="s">
        <v>125</v>
      </c>
      <c r="K14761" s="46" t="s">
        <v>126</v>
      </c>
      <c r="L14761" s="45">
        <v>46018.5</v>
      </c>
      <c r="M14761" s="46" t="s">
        <v>123</v>
      </c>
      <c r="N14761" s="45">
        <v>46018.510416666664</v>
      </c>
      <c r="O14761" s="46" t="s">
        <v>123</v>
      </c>
      <c r="P14761" s="46">
        <v>900.0</v>
      </c>
      <c r="S14761" s="46" t="s">
        <v>199</v>
      </c>
    </row>
    <row r="14762">
      <c r="A14762" s="40">
        <f t="shared" si="1"/>
        <v>46013</v>
      </c>
      <c r="B14762" s="37" t="str">
        <f t="array" ref="B14762">iferror(xlookup($I14762, 'IMPORT VHC Report'!$E:$E, 'IMPORT VHC Report'!$A:$C), )</f>
        <v/>
      </c>
      <c r="C14762" s="44"/>
      <c r="D14762" s="44"/>
      <c r="E14762" s="46" t="s">
        <v>10914</v>
      </c>
      <c r="F14762" s="46" t="s">
        <v>6995</v>
      </c>
      <c r="H14762" s="46" t="s">
        <v>6996</v>
      </c>
      <c r="I14762" s="46" t="s">
        <v>6997</v>
      </c>
      <c r="J14762" s="46" t="s">
        <v>196</v>
      </c>
      <c r="K14762" s="46" t="s">
        <v>63</v>
      </c>
      <c r="L14762" s="45">
        <v>46018.5</v>
      </c>
      <c r="M14762" s="46" t="s">
        <v>123</v>
      </c>
      <c r="N14762" s="45">
        <v>46018.875</v>
      </c>
      <c r="O14762" s="46" t="s">
        <v>123</v>
      </c>
      <c r="P14762" s="46">
        <v>32400.0</v>
      </c>
    </row>
    <row r="14763">
      <c r="A14763" s="40">
        <f t="shared" si="1"/>
        <v>46013</v>
      </c>
      <c r="B14763" s="37" t="str">
        <f t="array" ref="B14763">iferror(xlookup($I14763, 'IMPORT VHC Report'!$E:$E, 'IMPORT VHC Report'!$A:$C), )</f>
        <v/>
      </c>
      <c r="C14763" s="44"/>
      <c r="D14763" s="44"/>
      <c r="E14763" s="46" t="s">
        <v>10915</v>
      </c>
      <c r="F14763" s="46" t="s">
        <v>6995</v>
      </c>
      <c r="H14763" s="46" t="s">
        <v>6996</v>
      </c>
      <c r="I14763" s="46" t="s">
        <v>6997</v>
      </c>
      <c r="J14763" s="46" t="s">
        <v>132</v>
      </c>
      <c r="K14763" s="46" t="s">
        <v>126</v>
      </c>
      <c r="L14763" s="45">
        <v>46018.625</v>
      </c>
      <c r="M14763" s="46" t="s">
        <v>123</v>
      </c>
      <c r="N14763" s="45">
        <v>46018.666666666664</v>
      </c>
      <c r="O14763" s="46" t="s">
        <v>123</v>
      </c>
      <c r="P14763" s="46">
        <v>3600.0</v>
      </c>
    </row>
    <row r="14764">
      <c r="A14764" s="40">
        <f t="shared" si="1"/>
        <v>46013</v>
      </c>
      <c r="B14764" s="37" t="str">
        <f t="array" ref="B14764">iferror(xlookup($I14764, 'IMPORT VHC Report'!$E:$E, 'IMPORT VHC Report'!$A:$C), )</f>
        <v/>
      </c>
      <c r="C14764" s="44"/>
      <c r="D14764" s="44"/>
      <c r="E14764" s="46" t="s">
        <v>10916</v>
      </c>
      <c r="F14764" s="46" t="s">
        <v>6995</v>
      </c>
      <c r="H14764" s="46" t="s">
        <v>6996</v>
      </c>
      <c r="I14764" s="46" t="s">
        <v>6997</v>
      </c>
      <c r="J14764" s="46" t="s">
        <v>134</v>
      </c>
      <c r="K14764" s="46" t="s">
        <v>126</v>
      </c>
      <c r="L14764" s="45">
        <v>46018.791666666664</v>
      </c>
      <c r="M14764" s="46" t="s">
        <v>123</v>
      </c>
      <c r="N14764" s="45">
        <v>46018.8125</v>
      </c>
      <c r="O14764" s="46" t="s">
        <v>123</v>
      </c>
      <c r="P14764" s="46">
        <v>1800.0</v>
      </c>
    </row>
    <row r="14765">
      <c r="A14765" s="40">
        <f t="shared" si="1"/>
        <v>46013</v>
      </c>
      <c r="B14765" s="37" t="str">
        <f t="array" ref="B14765">iferror(xlookup($I14765, 'IMPORT VHC Report'!$E:$E, 'IMPORT VHC Report'!$A:$C), )</f>
        <v/>
      </c>
      <c r="C14765" s="44"/>
      <c r="D14765" s="44"/>
      <c r="E14765" s="46" t="s">
        <v>10917</v>
      </c>
      <c r="F14765" s="46" t="s">
        <v>7428</v>
      </c>
      <c r="G14765" s="46">
        <v>3.61731350535E11</v>
      </c>
      <c r="H14765" s="46" t="s">
        <v>7429</v>
      </c>
      <c r="I14765" s="46" t="s">
        <v>7430</v>
      </c>
      <c r="J14765" s="46" t="s">
        <v>125</v>
      </c>
      <c r="K14765" s="46" t="s">
        <v>126</v>
      </c>
      <c r="L14765" s="45">
        <v>46014.833333333336</v>
      </c>
      <c r="M14765" s="46" t="s">
        <v>123</v>
      </c>
      <c r="N14765" s="45">
        <v>46014.84375</v>
      </c>
      <c r="O14765" s="46" t="s">
        <v>123</v>
      </c>
      <c r="P14765" s="46">
        <v>900.0</v>
      </c>
      <c r="S14765" s="46" t="s">
        <v>199</v>
      </c>
    </row>
    <row r="14766">
      <c r="A14766" s="40">
        <f t="shared" si="1"/>
        <v>46013</v>
      </c>
      <c r="B14766" s="37" t="str">
        <f t="array" ref="B14766">iferror(xlookup($I14766, 'IMPORT VHC Report'!$E:$E, 'IMPORT VHC Report'!$A:$C), )</f>
        <v/>
      </c>
      <c r="C14766" s="44"/>
      <c r="D14766" s="44"/>
      <c r="E14766" s="46" t="s">
        <v>10918</v>
      </c>
      <c r="F14766" s="46" t="s">
        <v>7428</v>
      </c>
      <c r="G14766" s="46">
        <v>3.61731350535E11</v>
      </c>
      <c r="H14766" s="46" t="s">
        <v>7429</v>
      </c>
      <c r="I14766" s="46" t="s">
        <v>7430</v>
      </c>
      <c r="J14766" s="46" t="s">
        <v>196</v>
      </c>
      <c r="K14766" s="46" t="s">
        <v>63</v>
      </c>
      <c r="L14766" s="45">
        <v>46014.833333333336</v>
      </c>
      <c r="M14766" s="46" t="s">
        <v>123</v>
      </c>
      <c r="N14766" s="45">
        <v>46015.208333333336</v>
      </c>
      <c r="O14766" s="46" t="s">
        <v>123</v>
      </c>
      <c r="P14766" s="46">
        <v>32400.0</v>
      </c>
    </row>
    <row r="14767">
      <c r="A14767" s="40">
        <f t="shared" si="1"/>
        <v>46013</v>
      </c>
      <c r="B14767" s="37" t="str">
        <f t="array" ref="B14767">iferror(xlookup($I14767, 'IMPORT VHC Report'!$E:$E, 'IMPORT VHC Report'!$A:$C), )</f>
        <v/>
      </c>
      <c r="C14767" s="44"/>
      <c r="D14767" s="44"/>
      <c r="E14767" s="46" t="s">
        <v>10919</v>
      </c>
      <c r="F14767" s="46" t="s">
        <v>7428</v>
      </c>
      <c r="G14767" s="46">
        <v>3.61731350535E11</v>
      </c>
      <c r="H14767" s="46" t="s">
        <v>7429</v>
      </c>
      <c r="I14767" s="46" t="s">
        <v>7430</v>
      </c>
      <c r="J14767" s="46" t="s">
        <v>4</v>
      </c>
      <c r="K14767" s="46" t="s">
        <v>126</v>
      </c>
      <c r="L14767" s="45">
        <v>46014.84375</v>
      </c>
      <c r="M14767" s="46" t="s">
        <v>123</v>
      </c>
      <c r="N14767" s="45">
        <v>46014.875</v>
      </c>
      <c r="O14767" s="46" t="s">
        <v>123</v>
      </c>
      <c r="P14767" s="46">
        <v>2700.0</v>
      </c>
      <c r="S14767" s="46" t="s">
        <v>10920</v>
      </c>
    </row>
    <row r="14768">
      <c r="A14768" s="40">
        <f t="shared" si="1"/>
        <v>46013</v>
      </c>
      <c r="B14768" s="37" t="str">
        <f t="array" ref="B14768">iferror(xlookup($I14768, 'IMPORT VHC Report'!$E:$E, 'IMPORT VHC Report'!$A:$C), )</f>
        <v/>
      </c>
      <c r="C14768" s="44"/>
      <c r="D14768" s="44"/>
      <c r="E14768" s="46" t="s">
        <v>10921</v>
      </c>
      <c r="F14768" s="46" t="s">
        <v>7428</v>
      </c>
      <c r="G14768" s="46">
        <v>3.61731350535E11</v>
      </c>
      <c r="H14768" s="46" t="s">
        <v>7429</v>
      </c>
      <c r="I14768" s="46" t="s">
        <v>7430</v>
      </c>
      <c r="J14768" s="46" t="s">
        <v>134</v>
      </c>
      <c r="K14768" s="46" t="s">
        <v>126</v>
      </c>
      <c r="L14768" s="45">
        <v>46014.9375</v>
      </c>
      <c r="M14768" s="46" t="s">
        <v>123</v>
      </c>
      <c r="N14768" s="45">
        <v>46014.958333333336</v>
      </c>
      <c r="O14768" s="46" t="s">
        <v>123</v>
      </c>
      <c r="P14768" s="46">
        <v>1800.0</v>
      </c>
    </row>
    <row r="14769">
      <c r="A14769" s="40">
        <f t="shared" si="1"/>
        <v>46013</v>
      </c>
      <c r="B14769" s="37" t="str">
        <f t="array" ref="B14769">iferror(xlookup($I14769, 'IMPORT VHC Report'!$E:$E, 'IMPORT VHC Report'!$A:$C), )</f>
        <v/>
      </c>
      <c r="C14769" s="44"/>
      <c r="D14769" s="44"/>
      <c r="E14769" s="46" t="s">
        <v>10922</v>
      </c>
      <c r="F14769" s="46" t="s">
        <v>7428</v>
      </c>
      <c r="G14769" s="46">
        <v>3.61731350535E11</v>
      </c>
      <c r="H14769" s="46" t="s">
        <v>7429</v>
      </c>
      <c r="I14769" s="46" t="s">
        <v>7430</v>
      </c>
      <c r="J14769" s="46" t="s">
        <v>132</v>
      </c>
      <c r="K14769" s="46" t="s">
        <v>126</v>
      </c>
      <c r="L14769" s="45">
        <v>46015.072916666664</v>
      </c>
      <c r="M14769" s="46" t="s">
        <v>123</v>
      </c>
      <c r="N14769" s="45">
        <v>46015.114583333336</v>
      </c>
      <c r="O14769" s="46" t="s">
        <v>123</v>
      </c>
      <c r="P14769" s="46">
        <v>3600.0</v>
      </c>
    </row>
    <row r="14770">
      <c r="A14770" s="40">
        <f t="shared" si="1"/>
        <v>46013</v>
      </c>
      <c r="B14770" s="37" t="str">
        <f t="array" ref="B14770">iferror(xlookup($I14770, 'IMPORT VHC Report'!$E:$E, 'IMPORT VHC Report'!$A:$C), )</f>
        <v/>
      </c>
      <c r="C14770" s="44"/>
      <c r="D14770" s="44"/>
      <c r="E14770" s="46" t="s">
        <v>10923</v>
      </c>
      <c r="F14770" s="46" t="s">
        <v>7428</v>
      </c>
      <c r="G14770" s="46">
        <v>3.61731350535E11</v>
      </c>
      <c r="H14770" s="46" t="s">
        <v>7429</v>
      </c>
      <c r="I14770" s="46" t="s">
        <v>7430</v>
      </c>
      <c r="J14770" s="46" t="s">
        <v>125</v>
      </c>
      <c r="K14770" s="46" t="s">
        <v>126</v>
      </c>
      <c r="L14770" s="45">
        <v>46015.833333333336</v>
      </c>
      <c r="M14770" s="46" t="s">
        <v>123</v>
      </c>
      <c r="N14770" s="45">
        <v>46015.84375</v>
      </c>
      <c r="O14770" s="46" t="s">
        <v>123</v>
      </c>
      <c r="P14770" s="46">
        <v>900.0</v>
      </c>
      <c r="S14770" s="46" t="s">
        <v>199</v>
      </c>
    </row>
    <row r="14771">
      <c r="A14771" s="40">
        <f t="shared" si="1"/>
        <v>46013</v>
      </c>
      <c r="B14771" s="37" t="str">
        <f t="array" ref="B14771">iferror(xlookup($I14771, 'IMPORT VHC Report'!$E:$E, 'IMPORT VHC Report'!$A:$C), )</f>
        <v/>
      </c>
      <c r="C14771" s="44"/>
      <c r="D14771" s="44"/>
      <c r="E14771" s="46" t="s">
        <v>10924</v>
      </c>
      <c r="F14771" s="46" t="s">
        <v>7428</v>
      </c>
      <c r="G14771" s="46">
        <v>3.61731350535E11</v>
      </c>
      <c r="H14771" s="46" t="s">
        <v>7429</v>
      </c>
      <c r="I14771" s="46" t="s">
        <v>7430</v>
      </c>
      <c r="J14771" s="46" t="s">
        <v>178</v>
      </c>
      <c r="K14771" s="46" t="s">
        <v>153</v>
      </c>
      <c r="L14771" s="45">
        <v>46015.833333333336</v>
      </c>
      <c r="M14771" s="46" t="s">
        <v>123</v>
      </c>
      <c r="N14771" s="45">
        <v>46016.208333333336</v>
      </c>
      <c r="O14771" s="46" t="s">
        <v>123</v>
      </c>
      <c r="P14771" s="46">
        <v>32400.0</v>
      </c>
      <c r="Q14771" s="46">
        <v>57600.0</v>
      </c>
      <c r="R14771" s="46" t="s">
        <v>550</v>
      </c>
    </row>
    <row r="14772">
      <c r="A14772" s="40">
        <f t="shared" si="1"/>
        <v>46013</v>
      </c>
      <c r="B14772" s="37" t="str">
        <f t="array" ref="B14772">iferror(xlookup($I14772, 'IMPORT VHC Report'!$E:$E, 'IMPORT VHC Report'!$A:$C), )</f>
        <v/>
      </c>
      <c r="C14772" s="44"/>
      <c r="D14772" s="44"/>
      <c r="E14772" s="46" t="s">
        <v>10925</v>
      </c>
      <c r="F14772" s="46" t="s">
        <v>7428</v>
      </c>
      <c r="G14772" s="46">
        <v>3.61731350535E11</v>
      </c>
      <c r="H14772" s="46" t="s">
        <v>7429</v>
      </c>
      <c r="I14772" s="46" t="s">
        <v>7430</v>
      </c>
      <c r="J14772" s="46" t="s">
        <v>196</v>
      </c>
      <c r="K14772" s="46" t="s">
        <v>63</v>
      </c>
      <c r="L14772" s="45">
        <v>46015.833333333336</v>
      </c>
      <c r="M14772" s="46" t="s">
        <v>123</v>
      </c>
      <c r="N14772" s="45">
        <v>46016.208333333336</v>
      </c>
      <c r="O14772" s="46" t="s">
        <v>123</v>
      </c>
      <c r="P14772" s="46">
        <v>32400.0</v>
      </c>
    </row>
    <row r="14773">
      <c r="A14773" s="40">
        <f t="shared" si="1"/>
        <v>46013</v>
      </c>
      <c r="B14773" s="37" t="str">
        <f t="array" ref="B14773">iferror(xlookup($I14773, 'IMPORT VHC Report'!$E:$E, 'IMPORT VHC Report'!$A:$C), )</f>
        <v/>
      </c>
      <c r="C14773" s="44"/>
      <c r="D14773" s="44"/>
      <c r="E14773" s="46" t="s">
        <v>10926</v>
      </c>
      <c r="F14773" s="46" t="s">
        <v>7428</v>
      </c>
      <c r="G14773" s="46">
        <v>3.61731350535E11</v>
      </c>
      <c r="H14773" s="46" t="s">
        <v>7429</v>
      </c>
      <c r="I14773" s="46" t="s">
        <v>7430</v>
      </c>
      <c r="J14773" s="46" t="s">
        <v>134</v>
      </c>
      <c r="K14773" s="46" t="s">
        <v>126</v>
      </c>
      <c r="L14773" s="45">
        <v>46015.947916666664</v>
      </c>
      <c r="M14773" s="46" t="s">
        <v>123</v>
      </c>
      <c r="N14773" s="45">
        <v>46015.96875</v>
      </c>
      <c r="O14773" s="46" t="s">
        <v>123</v>
      </c>
      <c r="P14773" s="46">
        <v>1800.0</v>
      </c>
    </row>
    <row r="14774">
      <c r="A14774" s="40">
        <f t="shared" si="1"/>
        <v>46013</v>
      </c>
      <c r="B14774" s="37" t="str">
        <f t="array" ref="B14774">iferror(xlookup($I14774, 'IMPORT VHC Report'!$E:$E, 'IMPORT VHC Report'!$A:$C), )</f>
        <v/>
      </c>
      <c r="C14774" s="44"/>
      <c r="D14774" s="44"/>
      <c r="E14774" s="46" t="s">
        <v>10927</v>
      </c>
      <c r="F14774" s="46" t="s">
        <v>7428</v>
      </c>
      <c r="G14774" s="46">
        <v>3.61731350535E11</v>
      </c>
      <c r="H14774" s="46" t="s">
        <v>7429</v>
      </c>
      <c r="I14774" s="46" t="s">
        <v>7430</v>
      </c>
      <c r="J14774" s="46" t="s">
        <v>132</v>
      </c>
      <c r="K14774" s="46" t="s">
        <v>126</v>
      </c>
      <c r="L14774" s="45">
        <v>46016.072916666664</v>
      </c>
      <c r="M14774" s="46" t="s">
        <v>123</v>
      </c>
      <c r="N14774" s="45">
        <v>46016.114583333336</v>
      </c>
      <c r="O14774" s="46" t="s">
        <v>123</v>
      </c>
      <c r="P14774" s="46">
        <v>3600.0</v>
      </c>
    </row>
    <row r="14775">
      <c r="A14775" s="40">
        <f t="shared" si="1"/>
        <v>46013</v>
      </c>
      <c r="B14775" s="37" t="str">
        <f t="array" ref="B14775">iferror(xlookup($I14775, 'IMPORT VHC Report'!$E:$E, 'IMPORT VHC Report'!$A:$C), )</f>
        <v/>
      </c>
      <c r="C14775" s="44"/>
      <c r="D14775" s="44"/>
      <c r="E14775" s="46" t="s">
        <v>10928</v>
      </c>
      <c r="F14775" s="46" t="s">
        <v>7428</v>
      </c>
      <c r="G14775" s="46">
        <v>3.61731350535E11</v>
      </c>
      <c r="H14775" s="46" t="s">
        <v>7429</v>
      </c>
      <c r="I14775" s="46" t="s">
        <v>7430</v>
      </c>
      <c r="J14775" s="46" t="s">
        <v>125</v>
      </c>
      <c r="K14775" s="46" t="s">
        <v>126</v>
      </c>
      <c r="L14775" s="45">
        <v>46016.833333333336</v>
      </c>
      <c r="M14775" s="46" t="s">
        <v>123</v>
      </c>
      <c r="N14775" s="45">
        <v>46016.84375</v>
      </c>
      <c r="O14775" s="46" t="s">
        <v>123</v>
      </c>
      <c r="P14775" s="46">
        <v>900.0</v>
      </c>
      <c r="S14775" s="46" t="s">
        <v>199</v>
      </c>
    </row>
    <row r="14776">
      <c r="A14776" s="40">
        <f t="shared" si="1"/>
        <v>46013</v>
      </c>
      <c r="B14776" s="37" t="str">
        <f t="array" ref="B14776">iferror(xlookup($I14776, 'IMPORT VHC Report'!$E:$E, 'IMPORT VHC Report'!$A:$C), )</f>
        <v/>
      </c>
      <c r="C14776" s="44"/>
      <c r="D14776" s="44"/>
      <c r="E14776" s="46" t="s">
        <v>10929</v>
      </c>
      <c r="F14776" s="46" t="s">
        <v>7428</v>
      </c>
      <c r="G14776" s="46">
        <v>3.61731350535E11</v>
      </c>
      <c r="H14776" s="46" t="s">
        <v>7429</v>
      </c>
      <c r="I14776" s="46" t="s">
        <v>7430</v>
      </c>
      <c r="J14776" s="46" t="s">
        <v>196</v>
      </c>
      <c r="K14776" s="46" t="s">
        <v>63</v>
      </c>
      <c r="L14776" s="45">
        <v>46016.833333333336</v>
      </c>
      <c r="M14776" s="46" t="s">
        <v>123</v>
      </c>
      <c r="N14776" s="45">
        <v>46017.0</v>
      </c>
      <c r="O14776" s="46" t="s">
        <v>123</v>
      </c>
      <c r="P14776" s="46">
        <v>14400.0</v>
      </c>
    </row>
    <row r="14777">
      <c r="A14777" s="40">
        <f t="shared" si="1"/>
        <v>46013</v>
      </c>
      <c r="B14777" s="37" t="str">
        <f t="array" ref="B14777">iferror(xlookup($I14777, 'IMPORT VHC Report'!$E:$E, 'IMPORT VHC Report'!$A:$C), )</f>
        <v/>
      </c>
      <c r="C14777" s="44"/>
      <c r="D14777" s="44"/>
      <c r="E14777" s="46" t="s">
        <v>10930</v>
      </c>
      <c r="F14777" s="46" t="s">
        <v>7428</v>
      </c>
      <c r="G14777" s="46">
        <v>3.61731350535E11</v>
      </c>
      <c r="H14777" s="46" t="s">
        <v>7429</v>
      </c>
      <c r="I14777" s="46" t="s">
        <v>7430</v>
      </c>
      <c r="J14777" s="46" t="s">
        <v>178</v>
      </c>
      <c r="K14777" s="46" t="s">
        <v>153</v>
      </c>
      <c r="L14777" s="45">
        <v>46016.833333333336</v>
      </c>
      <c r="M14777" s="46" t="s">
        <v>123</v>
      </c>
      <c r="N14777" s="45">
        <v>46017.208333333336</v>
      </c>
      <c r="O14777" s="46" t="s">
        <v>123</v>
      </c>
      <c r="P14777" s="46">
        <v>32400.0</v>
      </c>
      <c r="Q14777" s="46">
        <v>32400.0</v>
      </c>
    </row>
    <row r="14778">
      <c r="A14778" s="40">
        <f t="shared" si="1"/>
        <v>46013</v>
      </c>
      <c r="B14778" s="37" t="str">
        <f t="array" ref="B14778">iferror(xlookup($I14778, 'IMPORT VHC Report'!$E:$E, 'IMPORT VHC Report'!$A:$C), )</f>
        <v/>
      </c>
      <c r="C14778" s="44"/>
      <c r="D14778" s="44"/>
      <c r="E14778" s="46" t="s">
        <v>10931</v>
      </c>
      <c r="F14778" s="46" t="s">
        <v>7428</v>
      </c>
      <c r="G14778" s="46">
        <v>3.61731350535E11</v>
      </c>
      <c r="H14778" s="46" t="s">
        <v>7429</v>
      </c>
      <c r="I14778" s="46" t="s">
        <v>7430</v>
      </c>
      <c r="J14778" s="46" t="s">
        <v>134</v>
      </c>
      <c r="K14778" s="46" t="s">
        <v>126</v>
      </c>
      <c r="L14778" s="45">
        <v>46016.9375</v>
      </c>
      <c r="M14778" s="46" t="s">
        <v>123</v>
      </c>
      <c r="N14778" s="45">
        <v>46016.958333333336</v>
      </c>
      <c r="O14778" s="46" t="s">
        <v>123</v>
      </c>
      <c r="P14778" s="46">
        <v>1800.0</v>
      </c>
    </row>
    <row r="14779">
      <c r="A14779" s="40">
        <f t="shared" si="1"/>
        <v>46013</v>
      </c>
      <c r="B14779" s="37" t="str">
        <f t="array" ref="B14779">iferror(xlookup($I14779, 'IMPORT VHC Report'!$E:$E, 'IMPORT VHC Report'!$A:$C), )</f>
        <v/>
      </c>
      <c r="C14779" s="44"/>
      <c r="D14779" s="44"/>
      <c r="E14779" s="46" t="s">
        <v>10932</v>
      </c>
      <c r="F14779" s="46" t="s">
        <v>7428</v>
      </c>
      <c r="G14779" s="46">
        <v>3.61731350535E11</v>
      </c>
      <c r="H14779" s="46" t="s">
        <v>7429</v>
      </c>
      <c r="I14779" s="46" t="s">
        <v>7430</v>
      </c>
      <c r="J14779" s="46" t="s">
        <v>62</v>
      </c>
      <c r="K14779" s="46" t="s">
        <v>63</v>
      </c>
      <c r="L14779" s="45">
        <v>46017.0</v>
      </c>
      <c r="M14779" s="46" t="s">
        <v>123</v>
      </c>
      <c r="N14779" s="45">
        <v>46017.020833333336</v>
      </c>
      <c r="O14779" s="46" t="s">
        <v>123</v>
      </c>
      <c r="P14779" s="46">
        <v>1800.0</v>
      </c>
    </row>
    <row r="14780">
      <c r="A14780" s="40">
        <f t="shared" si="1"/>
        <v>46013</v>
      </c>
      <c r="B14780" s="37" t="str">
        <f t="array" ref="B14780">iferror(xlookup($I14780, 'IMPORT VHC Report'!$E:$E, 'IMPORT VHC Report'!$A:$C), )</f>
        <v/>
      </c>
      <c r="C14780" s="44"/>
      <c r="D14780" s="44"/>
      <c r="E14780" s="46" t="s">
        <v>10933</v>
      </c>
      <c r="F14780" s="46" t="s">
        <v>7428</v>
      </c>
      <c r="G14780" s="46">
        <v>3.61731350535E11</v>
      </c>
      <c r="H14780" s="46" t="s">
        <v>7429</v>
      </c>
      <c r="I14780" s="46" t="s">
        <v>7430</v>
      </c>
      <c r="J14780" s="46" t="s">
        <v>196</v>
      </c>
      <c r="K14780" s="46" t="s">
        <v>63</v>
      </c>
      <c r="L14780" s="45">
        <v>46017.020833333336</v>
      </c>
      <c r="M14780" s="46" t="s">
        <v>123</v>
      </c>
      <c r="N14780" s="45">
        <v>46017.208333333336</v>
      </c>
      <c r="O14780" s="46" t="s">
        <v>123</v>
      </c>
      <c r="P14780" s="46">
        <v>16200.0</v>
      </c>
    </row>
    <row r="14781">
      <c r="A14781" s="40">
        <f t="shared" si="1"/>
        <v>46013</v>
      </c>
      <c r="B14781" s="37" t="str">
        <f t="array" ref="B14781">iferror(xlookup($I14781, 'IMPORT VHC Report'!$E:$E, 'IMPORT VHC Report'!$A:$C), )</f>
        <v/>
      </c>
      <c r="C14781" s="44"/>
      <c r="D14781" s="44"/>
      <c r="E14781" s="46" t="s">
        <v>10934</v>
      </c>
      <c r="F14781" s="46" t="s">
        <v>7428</v>
      </c>
      <c r="G14781" s="46">
        <v>3.61731350535E11</v>
      </c>
      <c r="H14781" s="46" t="s">
        <v>7429</v>
      </c>
      <c r="I14781" s="46" t="s">
        <v>7430</v>
      </c>
      <c r="J14781" s="46" t="s">
        <v>132</v>
      </c>
      <c r="K14781" s="46" t="s">
        <v>126</v>
      </c>
      <c r="L14781" s="45">
        <v>46017.083333333336</v>
      </c>
      <c r="M14781" s="46" t="s">
        <v>123</v>
      </c>
      <c r="N14781" s="45">
        <v>46017.125</v>
      </c>
      <c r="O14781" s="46" t="s">
        <v>123</v>
      </c>
      <c r="P14781" s="46">
        <v>3600.0</v>
      </c>
    </row>
    <row r="14782">
      <c r="A14782" s="40">
        <f t="shared" si="1"/>
        <v>46013</v>
      </c>
      <c r="B14782" s="37" t="str">
        <f t="array" ref="B14782">iferror(xlookup($I14782, 'IMPORT VHC Report'!$E:$E, 'IMPORT VHC Report'!$A:$C), )</f>
        <v/>
      </c>
      <c r="C14782" s="44"/>
      <c r="D14782" s="44"/>
      <c r="E14782" s="46" t="s">
        <v>10935</v>
      </c>
      <c r="F14782" s="46" t="s">
        <v>7428</v>
      </c>
      <c r="G14782" s="46">
        <v>3.61731350535E11</v>
      </c>
      <c r="H14782" s="46" t="s">
        <v>7429</v>
      </c>
      <c r="I14782" s="46" t="s">
        <v>7430</v>
      </c>
      <c r="J14782" s="46" t="s">
        <v>125</v>
      </c>
      <c r="K14782" s="46" t="s">
        <v>126</v>
      </c>
      <c r="L14782" s="45">
        <v>46017.833333333336</v>
      </c>
      <c r="M14782" s="46" t="s">
        <v>123</v>
      </c>
      <c r="N14782" s="45">
        <v>46017.84375</v>
      </c>
      <c r="O14782" s="46" t="s">
        <v>123</v>
      </c>
      <c r="P14782" s="46">
        <v>900.0</v>
      </c>
      <c r="S14782" s="46" t="s">
        <v>199</v>
      </c>
    </row>
    <row r="14783">
      <c r="A14783" s="40">
        <f t="shared" si="1"/>
        <v>46013</v>
      </c>
      <c r="B14783" s="37" t="str">
        <f t="array" ref="B14783">iferror(xlookup($I14783, 'IMPORT VHC Report'!$E:$E, 'IMPORT VHC Report'!$A:$C), )</f>
        <v/>
      </c>
      <c r="C14783" s="44"/>
      <c r="D14783" s="44"/>
      <c r="E14783" s="46" t="s">
        <v>10936</v>
      </c>
      <c r="F14783" s="46" t="s">
        <v>7428</v>
      </c>
      <c r="G14783" s="46">
        <v>3.61731350535E11</v>
      </c>
      <c r="H14783" s="46" t="s">
        <v>7429</v>
      </c>
      <c r="I14783" s="46" t="s">
        <v>7430</v>
      </c>
      <c r="J14783" s="46" t="s">
        <v>196</v>
      </c>
      <c r="K14783" s="46" t="s">
        <v>63</v>
      </c>
      <c r="L14783" s="45">
        <v>46017.833333333336</v>
      </c>
      <c r="M14783" s="46" t="s">
        <v>123</v>
      </c>
      <c r="N14783" s="45">
        <v>46018.208333333336</v>
      </c>
      <c r="O14783" s="46" t="s">
        <v>123</v>
      </c>
      <c r="P14783" s="46">
        <v>32400.0</v>
      </c>
    </row>
    <row r="14784">
      <c r="A14784" s="40">
        <f t="shared" si="1"/>
        <v>46013</v>
      </c>
      <c r="B14784" s="37" t="str">
        <f t="array" ref="B14784">iferror(xlookup($I14784, 'IMPORT VHC Report'!$E:$E, 'IMPORT VHC Report'!$A:$C), )</f>
        <v/>
      </c>
      <c r="C14784" s="44"/>
      <c r="D14784" s="44"/>
      <c r="E14784" s="46" t="s">
        <v>10937</v>
      </c>
      <c r="F14784" s="46" t="s">
        <v>7428</v>
      </c>
      <c r="G14784" s="46">
        <v>3.61731350535E11</v>
      </c>
      <c r="H14784" s="46" t="s">
        <v>7429</v>
      </c>
      <c r="I14784" s="46" t="s">
        <v>7430</v>
      </c>
      <c r="J14784" s="46" t="s">
        <v>132</v>
      </c>
      <c r="K14784" s="46" t="s">
        <v>126</v>
      </c>
      <c r="L14784" s="45">
        <v>46017.979166666664</v>
      </c>
      <c r="M14784" s="46" t="s">
        <v>123</v>
      </c>
      <c r="N14784" s="45">
        <v>46018.020833333336</v>
      </c>
      <c r="O14784" s="46" t="s">
        <v>123</v>
      </c>
      <c r="P14784" s="46">
        <v>3600.0</v>
      </c>
    </row>
    <row r="14785">
      <c r="A14785" s="40">
        <f t="shared" si="1"/>
        <v>46013</v>
      </c>
      <c r="B14785" s="37" t="str">
        <f t="array" ref="B14785">iferror(xlookup($I14785, 'IMPORT VHC Report'!$E:$E, 'IMPORT VHC Report'!$A:$C), )</f>
        <v/>
      </c>
      <c r="C14785" s="44"/>
      <c r="D14785" s="44"/>
      <c r="E14785" s="46" t="s">
        <v>10938</v>
      </c>
      <c r="F14785" s="46" t="s">
        <v>7428</v>
      </c>
      <c r="G14785" s="46">
        <v>3.61731350535E11</v>
      </c>
      <c r="H14785" s="46" t="s">
        <v>7429</v>
      </c>
      <c r="I14785" s="46" t="s">
        <v>7430</v>
      </c>
      <c r="J14785" s="46" t="s">
        <v>134</v>
      </c>
      <c r="K14785" s="46" t="s">
        <v>126</v>
      </c>
      <c r="L14785" s="45">
        <v>46018.125</v>
      </c>
      <c r="M14785" s="46" t="s">
        <v>123</v>
      </c>
      <c r="N14785" s="45">
        <v>46018.145833333336</v>
      </c>
      <c r="O14785" s="46" t="s">
        <v>123</v>
      </c>
      <c r="P14785" s="46">
        <v>1800.0</v>
      </c>
    </row>
    <row r="14786">
      <c r="A14786" s="40">
        <f t="shared" si="1"/>
        <v>46013</v>
      </c>
      <c r="B14786" s="37" t="str">
        <f t="array" ref="B14786">iferror(xlookup($I14786, 'IMPORT VHC Report'!$E:$E, 'IMPORT VHC Report'!$A:$C), )</f>
        <v/>
      </c>
      <c r="C14786" s="44"/>
      <c r="D14786" s="44"/>
      <c r="E14786" s="46" t="s">
        <v>10939</v>
      </c>
      <c r="F14786" s="46" t="s">
        <v>7428</v>
      </c>
      <c r="G14786" s="46">
        <v>3.61731350535E11</v>
      </c>
      <c r="H14786" s="46" t="s">
        <v>7429</v>
      </c>
      <c r="I14786" s="46" t="s">
        <v>7430</v>
      </c>
      <c r="J14786" s="46" t="s">
        <v>125</v>
      </c>
      <c r="K14786" s="46" t="s">
        <v>126</v>
      </c>
      <c r="L14786" s="45">
        <v>46018.833333333336</v>
      </c>
      <c r="M14786" s="46" t="s">
        <v>123</v>
      </c>
      <c r="N14786" s="45">
        <v>46018.84375</v>
      </c>
      <c r="O14786" s="46" t="s">
        <v>123</v>
      </c>
      <c r="P14786" s="46">
        <v>900.0</v>
      </c>
      <c r="S14786" s="46" t="s">
        <v>199</v>
      </c>
    </row>
    <row r="14787">
      <c r="A14787" s="40">
        <f t="shared" si="1"/>
        <v>46013</v>
      </c>
      <c r="B14787" s="37" t="str">
        <f t="array" ref="B14787">iferror(xlookup($I14787, 'IMPORT VHC Report'!$E:$E, 'IMPORT VHC Report'!$A:$C), )</f>
        <v/>
      </c>
      <c r="C14787" s="44"/>
      <c r="D14787" s="44"/>
      <c r="E14787" s="46" t="s">
        <v>10940</v>
      </c>
      <c r="F14787" s="46" t="s">
        <v>7428</v>
      </c>
      <c r="G14787" s="46">
        <v>3.61731350535E11</v>
      </c>
      <c r="H14787" s="46" t="s">
        <v>7429</v>
      </c>
      <c r="I14787" s="46" t="s">
        <v>7430</v>
      </c>
      <c r="J14787" s="46" t="s">
        <v>196</v>
      </c>
      <c r="K14787" s="46" t="s">
        <v>63</v>
      </c>
      <c r="L14787" s="45">
        <v>46018.833333333336</v>
      </c>
      <c r="M14787" s="46" t="s">
        <v>123</v>
      </c>
      <c r="N14787" s="45">
        <v>46019.208333333336</v>
      </c>
      <c r="O14787" s="46" t="s">
        <v>123</v>
      </c>
      <c r="P14787" s="46">
        <v>32400.0</v>
      </c>
    </row>
    <row r="14788">
      <c r="A14788" s="40">
        <f t="shared" si="1"/>
        <v>46013</v>
      </c>
      <c r="B14788" s="37" t="str">
        <f t="array" ref="B14788">iferror(xlookup($I14788, 'IMPORT VHC Report'!$E:$E, 'IMPORT VHC Report'!$A:$C), )</f>
        <v/>
      </c>
      <c r="C14788" s="44"/>
      <c r="D14788" s="44"/>
      <c r="E14788" s="46" t="s">
        <v>10941</v>
      </c>
      <c r="F14788" s="46" t="s">
        <v>7428</v>
      </c>
      <c r="G14788" s="46">
        <v>3.61731350535E11</v>
      </c>
      <c r="H14788" s="46" t="s">
        <v>7429</v>
      </c>
      <c r="I14788" s="46" t="s">
        <v>7430</v>
      </c>
      <c r="J14788" s="46" t="s">
        <v>132</v>
      </c>
      <c r="K14788" s="46" t="s">
        <v>126</v>
      </c>
      <c r="L14788" s="45">
        <v>46018.96875</v>
      </c>
      <c r="M14788" s="46" t="s">
        <v>123</v>
      </c>
      <c r="N14788" s="45">
        <v>46019.010416666664</v>
      </c>
      <c r="O14788" s="46" t="s">
        <v>123</v>
      </c>
      <c r="P14788" s="46">
        <v>3600.0</v>
      </c>
    </row>
    <row r="14789">
      <c r="A14789" s="40">
        <f t="shared" si="1"/>
        <v>46013</v>
      </c>
      <c r="B14789" s="37" t="str">
        <f t="array" ref="B14789">iferror(xlookup($I14789, 'IMPORT VHC Report'!$E:$E, 'IMPORT VHC Report'!$A:$C), )</f>
        <v/>
      </c>
      <c r="C14789" s="44"/>
      <c r="D14789" s="44"/>
      <c r="E14789" s="46" t="s">
        <v>10942</v>
      </c>
      <c r="F14789" s="46" t="s">
        <v>7428</v>
      </c>
      <c r="G14789" s="46">
        <v>3.61731350535E11</v>
      </c>
      <c r="H14789" s="46" t="s">
        <v>7429</v>
      </c>
      <c r="I14789" s="46" t="s">
        <v>7430</v>
      </c>
      <c r="J14789" s="46" t="s">
        <v>134</v>
      </c>
      <c r="K14789" s="46" t="s">
        <v>126</v>
      </c>
      <c r="L14789" s="45">
        <v>46019.104166666664</v>
      </c>
      <c r="M14789" s="46" t="s">
        <v>123</v>
      </c>
      <c r="N14789" s="45">
        <v>46019.125</v>
      </c>
      <c r="O14789" s="46" t="s">
        <v>123</v>
      </c>
      <c r="P14789" s="46">
        <v>1800.0</v>
      </c>
    </row>
    <row r="14790">
      <c r="A14790" s="40">
        <f t="shared" si="1"/>
        <v>46013</v>
      </c>
      <c r="B14790" s="37" t="str">
        <f t="array" ref="B14790">iferror(xlookup($I14790, 'IMPORT VHC Report'!$E:$E, 'IMPORT VHC Report'!$A:$C), )</f>
        <v/>
      </c>
      <c r="C14790" s="44"/>
      <c r="D14790" s="44"/>
      <c r="E14790" s="46" t="s">
        <v>10943</v>
      </c>
      <c r="F14790" s="46" t="s">
        <v>7534</v>
      </c>
      <c r="G14790" s="46">
        <v>1.0333033796879E13</v>
      </c>
      <c r="H14790" s="46" t="s">
        <v>7535</v>
      </c>
      <c r="I14790" s="46" t="s">
        <v>7536</v>
      </c>
      <c r="J14790" s="46" t="s">
        <v>125</v>
      </c>
      <c r="K14790" s="46" t="s">
        <v>126</v>
      </c>
      <c r="L14790" s="45">
        <v>46014.875</v>
      </c>
      <c r="M14790" s="46" t="s">
        <v>123</v>
      </c>
      <c r="N14790" s="45">
        <v>46014.885416666664</v>
      </c>
      <c r="O14790" s="46" t="s">
        <v>123</v>
      </c>
      <c r="P14790" s="46">
        <v>900.0</v>
      </c>
      <c r="S14790" s="46" t="s">
        <v>199</v>
      </c>
    </row>
    <row r="14791">
      <c r="A14791" s="40">
        <f t="shared" si="1"/>
        <v>46013</v>
      </c>
      <c r="B14791" s="37" t="str">
        <f t="array" ref="B14791">iferror(xlookup($I14791, 'IMPORT VHC Report'!$E:$E, 'IMPORT VHC Report'!$A:$C), )</f>
        <v/>
      </c>
      <c r="C14791" s="44"/>
      <c r="D14791" s="44"/>
      <c r="E14791" s="46" t="s">
        <v>10944</v>
      </c>
      <c r="F14791" s="46" t="s">
        <v>7534</v>
      </c>
      <c r="G14791" s="46">
        <v>1.0333033796879E13</v>
      </c>
      <c r="H14791" s="46" t="s">
        <v>7535</v>
      </c>
      <c r="I14791" s="46" t="s">
        <v>7536</v>
      </c>
      <c r="J14791" s="46" t="s">
        <v>196</v>
      </c>
      <c r="K14791" s="46" t="s">
        <v>63</v>
      </c>
      <c r="L14791" s="45">
        <v>46014.875</v>
      </c>
      <c r="M14791" s="46" t="s">
        <v>123</v>
      </c>
      <c r="N14791" s="45">
        <v>46014.9375</v>
      </c>
      <c r="O14791" s="46" t="s">
        <v>123</v>
      </c>
      <c r="P14791" s="46">
        <v>5400.0</v>
      </c>
    </row>
    <row r="14792">
      <c r="A14792" s="40">
        <f t="shared" si="1"/>
        <v>46013</v>
      </c>
      <c r="B14792" s="37" t="str">
        <f t="array" ref="B14792">iferror(xlookup($I14792, 'IMPORT VHC Report'!$E:$E, 'IMPORT VHC Report'!$A:$C), )</f>
        <v/>
      </c>
      <c r="C14792" s="44"/>
      <c r="D14792" s="44"/>
      <c r="E14792" s="46" t="s">
        <v>10945</v>
      </c>
      <c r="F14792" s="46" t="s">
        <v>7534</v>
      </c>
      <c r="G14792" s="46">
        <v>1.0333033796879E13</v>
      </c>
      <c r="H14792" s="46" t="s">
        <v>7535</v>
      </c>
      <c r="I14792" s="46" t="s">
        <v>7536</v>
      </c>
      <c r="J14792" s="46" t="s">
        <v>62</v>
      </c>
      <c r="K14792" s="46" t="s">
        <v>63</v>
      </c>
      <c r="L14792" s="45">
        <v>46014.9375</v>
      </c>
      <c r="M14792" s="46" t="s">
        <v>123</v>
      </c>
      <c r="N14792" s="45">
        <v>46014.958333333336</v>
      </c>
      <c r="O14792" s="46" t="s">
        <v>123</v>
      </c>
      <c r="P14792" s="46">
        <v>1800.0</v>
      </c>
    </row>
    <row r="14793">
      <c r="A14793" s="40">
        <f t="shared" si="1"/>
        <v>46013</v>
      </c>
      <c r="B14793" s="37" t="str">
        <f t="array" ref="B14793">iferror(xlookup($I14793, 'IMPORT VHC Report'!$E:$E, 'IMPORT VHC Report'!$A:$C), )</f>
        <v/>
      </c>
      <c r="C14793" s="44"/>
      <c r="D14793" s="44"/>
      <c r="E14793" s="46" t="s">
        <v>10946</v>
      </c>
      <c r="F14793" s="46" t="s">
        <v>7534</v>
      </c>
      <c r="G14793" s="46">
        <v>1.0333033796879E13</v>
      </c>
      <c r="H14793" s="46" t="s">
        <v>7535</v>
      </c>
      <c r="I14793" s="46" t="s">
        <v>7536</v>
      </c>
      <c r="J14793" s="46" t="s">
        <v>136</v>
      </c>
      <c r="K14793" s="46" t="s">
        <v>126</v>
      </c>
      <c r="L14793" s="45">
        <v>46014.958333333336</v>
      </c>
      <c r="M14793" s="46" t="s">
        <v>123</v>
      </c>
      <c r="N14793" s="45">
        <v>46014.979166666664</v>
      </c>
      <c r="O14793" s="46" t="s">
        <v>123</v>
      </c>
      <c r="P14793" s="46">
        <v>1800.0</v>
      </c>
      <c r="S14793" s="46" t="s">
        <v>137</v>
      </c>
    </row>
    <row r="14794">
      <c r="A14794" s="40">
        <f t="shared" si="1"/>
        <v>46013</v>
      </c>
      <c r="B14794" s="37" t="str">
        <f t="array" ref="B14794">iferror(xlookup($I14794, 'IMPORT VHC Report'!$E:$E, 'IMPORT VHC Report'!$A:$C), )</f>
        <v/>
      </c>
      <c r="C14794" s="44"/>
      <c r="D14794" s="44"/>
      <c r="E14794" s="46" t="s">
        <v>10947</v>
      </c>
      <c r="F14794" s="46" t="s">
        <v>7534</v>
      </c>
      <c r="G14794" s="46">
        <v>1.0333033796879E13</v>
      </c>
      <c r="H14794" s="46" t="s">
        <v>7535</v>
      </c>
      <c r="I14794" s="46" t="s">
        <v>7536</v>
      </c>
      <c r="J14794" s="46" t="s">
        <v>196</v>
      </c>
      <c r="K14794" s="46" t="s">
        <v>63</v>
      </c>
      <c r="L14794" s="45">
        <v>46014.958333333336</v>
      </c>
      <c r="M14794" s="46" t="s">
        <v>123</v>
      </c>
      <c r="N14794" s="45">
        <v>46015.25</v>
      </c>
      <c r="O14794" s="46" t="s">
        <v>123</v>
      </c>
      <c r="P14794" s="46">
        <v>25200.0</v>
      </c>
    </row>
    <row r="14795">
      <c r="A14795" s="40">
        <f t="shared" si="1"/>
        <v>46013</v>
      </c>
      <c r="B14795" s="37" t="str">
        <f t="array" ref="B14795">iferror(xlookup($I14795, 'IMPORT VHC Report'!$E:$E, 'IMPORT VHC Report'!$A:$C), )</f>
        <v/>
      </c>
      <c r="C14795" s="44"/>
      <c r="D14795" s="44"/>
      <c r="E14795" s="46" t="s">
        <v>10948</v>
      </c>
      <c r="F14795" s="46" t="s">
        <v>7534</v>
      </c>
      <c r="G14795" s="46">
        <v>1.0333033796879E13</v>
      </c>
      <c r="H14795" s="46" t="s">
        <v>7535</v>
      </c>
      <c r="I14795" s="46" t="s">
        <v>7536</v>
      </c>
      <c r="J14795" s="46" t="s">
        <v>134</v>
      </c>
      <c r="K14795" s="46" t="s">
        <v>126</v>
      </c>
      <c r="L14795" s="45">
        <v>46014.989583333336</v>
      </c>
      <c r="M14795" s="46" t="s">
        <v>123</v>
      </c>
      <c r="N14795" s="45">
        <v>46015.010416666664</v>
      </c>
      <c r="O14795" s="46" t="s">
        <v>123</v>
      </c>
      <c r="P14795" s="46">
        <v>1800.0</v>
      </c>
    </row>
    <row r="14796">
      <c r="A14796" s="40">
        <f t="shared" si="1"/>
        <v>46013</v>
      </c>
      <c r="B14796" s="37" t="str">
        <f t="array" ref="B14796">iferror(xlookup($I14796, 'IMPORT VHC Report'!$E:$E, 'IMPORT VHC Report'!$A:$C), )</f>
        <v/>
      </c>
      <c r="C14796" s="44"/>
      <c r="D14796" s="44"/>
      <c r="E14796" s="46" t="s">
        <v>10949</v>
      </c>
      <c r="F14796" s="46" t="s">
        <v>7534</v>
      </c>
      <c r="G14796" s="46">
        <v>1.0333033796879E13</v>
      </c>
      <c r="H14796" s="46" t="s">
        <v>7535</v>
      </c>
      <c r="I14796" s="46" t="s">
        <v>7536</v>
      </c>
      <c r="J14796" s="46" t="s">
        <v>132</v>
      </c>
      <c r="K14796" s="46" t="s">
        <v>126</v>
      </c>
      <c r="L14796" s="45">
        <v>46015.135416666664</v>
      </c>
      <c r="M14796" s="46" t="s">
        <v>123</v>
      </c>
      <c r="N14796" s="45">
        <v>46015.177083333336</v>
      </c>
      <c r="O14796" s="46" t="s">
        <v>123</v>
      </c>
      <c r="P14796" s="46">
        <v>3600.0</v>
      </c>
    </row>
    <row r="14797">
      <c r="A14797" s="40">
        <f t="shared" si="1"/>
        <v>46013</v>
      </c>
      <c r="B14797" s="37" t="str">
        <f t="array" ref="B14797">iferror(xlookup($I14797, 'IMPORT VHC Report'!$E:$E, 'IMPORT VHC Report'!$A:$C), )</f>
        <v/>
      </c>
      <c r="C14797" s="44"/>
      <c r="D14797" s="44"/>
      <c r="E14797" s="46" t="s">
        <v>10950</v>
      </c>
      <c r="F14797" s="46" t="s">
        <v>7534</v>
      </c>
      <c r="G14797" s="46">
        <v>1.0333033796879E13</v>
      </c>
      <c r="H14797" s="46" t="s">
        <v>7535</v>
      </c>
      <c r="I14797" s="46" t="s">
        <v>7536</v>
      </c>
      <c r="J14797" s="46" t="s">
        <v>125</v>
      </c>
      <c r="K14797" s="46" t="s">
        <v>126</v>
      </c>
      <c r="L14797" s="45">
        <v>46015.875</v>
      </c>
      <c r="M14797" s="46" t="s">
        <v>123</v>
      </c>
      <c r="N14797" s="45">
        <v>46015.885416666664</v>
      </c>
      <c r="O14797" s="46" t="s">
        <v>123</v>
      </c>
      <c r="P14797" s="46">
        <v>900.0</v>
      </c>
      <c r="S14797" s="46" t="s">
        <v>199</v>
      </c>
    </row>
    <row r="14798">
      <c r="A14798" s="40">
        <f t="shared" si="1"/>
        <v>46013</v>
      </c>
      <c r="B14798" s="37" t="str">
        <f t="array" ref="B14798">iferror(xlookup($I14798, 'IMPORT VHC Report'!$E:$E, 'IMPORT VHC Report'!$A:$C), )</f>
        <v/>
      </c>
      <c r="C14798" s="44"/>
      <c r="D14798" s="44"/>
      <c r="E14798" s="46" t="s">
        <v>10951</v>
      </c>
      <c r="F14798" s="46" t="s">
        <v>7534</v>
      </c>
      <c r="G14798" s="46">
        <v>1.0333033796879E13</v>
      </c>
      <c r="H14798" s="46" t="s">
        <v>7535</v>
      </c>
      <c r="I14798" s="46" t="s">
        <v>7536</v>
      </c>
      <c r="J14798" s="46" t="s">
        <v>196</v>
      </c>
      <c r="K14798" s="46" t="s">
        <v>63</v>
      </c>
      <c r="L14798" s="45">
        <v>46015.875</v>
      </c>
      <c r="M14798" s="46" t="s">
        <v>123</v>
      </c>
      <c r="N14798" s="45">
        <v>46016.25</v>
      </c>
      <c r="O14798" s="46" t="s">
        <v>123</v>
      </c>
      <c r="P14798" s="46">
        <v>32400.0</v>
      </c>
    </row>
    <row r="14799">
      <c r="A14799" s="40">
        <f t="shared" si="1"/>
        <v>46013</v>
      </c>
      <c r="B14799" s="37" t="str">
        <f t="array" ref="B14799">iferror(xlookup($I14799, 'IMPORT VHC Report'!$E:$E, 'IMPORT VHC Report'!$A:$C), )</f>
        <v/>
      </c>
      <c r="C14799" s="44"/>
      <c r="D14799" s="44"/>
      <c r="E14799" s="46" t="s">
        <v>10952</v>
      </c>
      <c r="F14799" s="46" t="s">
        <v>7534</v>
      </c>
      <c r="G14799" s="46">
        <v>1.0333033796879E13</v>
      </c>
      <c r="H14799" s="46" t="s">
        <v>7535</v>
      </c>
      <c r="I14799" s="46" t="s">
        <v>7536</v>
      </c>
      <c r="J14799" s="46" t="s">
        <v>132</v>
      </c>
      <c r="K14799" s="46" t="s">
        <v>126</v>
      </c>
      <c r="L14799" s="45">
        <v>46015.979166666664</v>
      </c>
      <c r="M14799" s="46" t="s">
        <v>123</v>
      </c>
      <c r="N14799" s="45">
        <v>46016.020833333336</v>
      </c>
      <c r="O14799" s="46" t="s">
        <v>123</v>
      </c>
      <c r="P14799" s="46">
        <v>3600.0</v>
      </c>
    </row>
    <row r="14800">
      <c r="A14800" s="40">
        <f t="shared" si="1"/>
        <v>46013</v>
      </c>
      <c r="B14800" s="37" t="str">
        <f t="array" ref="B14800">iferror(xlookup($I14800, 'IMPORT VHC Report'!$E:$E, 'IMPORT VHC Report'!$A:$C), )</f>
        <v/>
      </c>
      <c r="C14800" s="44"/>
      <c r="D14800" s="44"/>
      <c r="E14800" s="46" t="s">
        <v>10953</v>
      </c>
      <c r="F14800" s="46" t="s">
        <v>7534</v>
      </c>
      <c r="G14800" s="46">
        <v>1.0333033796879E13</v>
      </c>
      <c r="H14800" s="46" t="s">
        <v>7535</v>
      </c>
      <c r="I14800" s="46" t="s">
        <v>7536</v>
      </c>
      <c r="J14800" s="46" t="s">
        <v>134</v>
      </c>
      <c r="K14800" s="46" t="s">
        <v>126</v>
      </c>
      <c r="L14800" s="45">
        <v>46016.145833333336</v>
      </c>
      <c r="M14800" s="46" t="s">
        <v>123</v>
      </c>
      <c r="N14800" s="45">
        <v>46016.166666666664</v>
      </c>
      <c r="O14800" s="46" t="s">
        <v>123</v>
      </c>
      <c r="P14800" s="46">
        <v>1800.0</v>
      </c>
    </row>
    <row r="14801">
      <c r="A14801" s="40">
        <f t="shared" si="1"/>
        <v>46013</v>
      </c>
      <c r="B14801" s="37" t="str">
        <f t="array" ref="B14801">iferror(xlookup($I14801, 'IMPORT VHC Report'!$E:$E, 'IMPORT VHC Report'!$A:$C), )</f>
        <v/>
      </c>
      <c r="C14801" s="44"/>
      <c r="D14801" s="44"/>
      <c r="E14801" s="46" t="s">
        <v>10954</v>
      </c>
      <c r="F14801" s="46" t="s">
        <v>7534</v>
      </c>
      <c r="G14801" s="46">
        <v>1.0333033796879E13</v>
      </c>
      <c r="H14801" s="46" t="s">
        <v>7535</v>
      </c>
      <c r="I14801" s="46" t="s">
        <v>7536</v>
      </c>
      <c r="J14801" s="46" t="s">
        <v>125</v>
      </c>
      <c r="K14801" s="46" t="s">
        <v>126</v>
      </c>
      <c r="L14801" s="45">
        <v>46016.875</v>
      </c>
      <c r="M14801" s="46" t="s">
        <v>123</v>
      </c>
      <c r="N14801" s="45">
        <v>46016.885416666664</v>
      </c>
      <c r="O14801" s="46" t="s">
        <v>123</v>
      </c>
      <c r="P14801" s="46">
        <v>900.0</v>
      </c>
      <c r="S14801" s="46" t="s">
        <v>199</v>
      </c>
    </row>
    <row r="14802">
      <c r="A14802" s="40">
        <f t="shared" si="1"/>
        <v>46013</v>
      </c>
      <c r="B14802" s="37" t="str">
        <f t="array" ref="B14802">iferror(xlookup($I14802, 'IMPORT VHC Report'!$E:$E, 'IMPORT VHC Report'!$A:$C), )</f>
        <v/>
      </c>
      <c r="C14802" s="44"/>
      <c r="D14802" s="44"/>
      <c r="E14802" s="46" t="s">
        <v>10955</v>
      </c>
      <c r="F14802" s="46" t="s">
        <v>7534</v>
      </c>
      <c r="G14802" s="46">
        <v>1.0333033796879E13</v>
      </c>
      <c r="H14802" s="46" t="s">
        <v>7535</v>
      </c>
      <c r="I14802" s="46" t="s">
        <v>7536</v>
      </c>
      <c r="J14802" s="46" t="s">
        <v>196</v>
      </c>
      <c r="K14802" s="46" t="s">
        <v>63</v>
      </c>
      <c r="L14802" s="45">
        <v>46016.875</v>
      </c>
      <c r="M14802" s="46" t="s">
        <v>123</v>
      </c>
      <c r="N14802" s="45">
        <v>46017.25</v>
      </c>
      <c r="O14802" s="46" t="s">
        <v>123</v>
      </c>
      <c r="P14802" s="46">
        <v>32400.0</v>
      </c>
    </row>
    <row r="14803">
      <c r="A14803" s="40">
        <f t="shared" si="1"/>
        <v>46013</v>
      </c>
      <c r="B14803" s="37" t="str">
        <f t="array" ref="B14803">iferror(xlookup($I14803, 'IMPORT VHC Report'!$E:$E, 'IMPORT VHC Report'!$A:$C), )</f>
        <v/>
      </c>
      <c r="C14803" s="44"/>
      <c r="D14803" s="44"/>
      <c r="E14803" s="46" t="s">
        <v>10956</v>
      </c>
      <c r="F14803" s="46" t="s">
        <v>7534</v>
      </c>
      <c r="G14803" s="46">
        <v>1.0333033796879E13</v>
      </c>
      <c r="H14803" s="46" t="s">
        <v>7535</v>
      </c>
      <c r="I14803" s="46" t="s">
        <v>7536</v>
      </c>
      <c r="J14803" s="46" t="s">
        <v>134</v>
      </c>
      <c r="K14803" s="46" t="s">
        <v>126</v>
      </c>
      <c r="L14803" s="45">
        <v>46016.979166666664</v>
      </c>
      <c r="M14803" s="46" t="s">
        <v>123</v>
      </c>
      <c r="N14803" s="45">
        <v>46017.0</v>
      </c>
      <c r="O14803" s="46" t="s">
        <v>123</v>
      </c>
      <c r="P14803" s="46">
        <v>1800.0</v>
      </c>
    </row>
    <row r="14804">
      <c r="A14804" s="40">
        <f t="shared" si="1"/>
        <v>46013</v>
      </c>
      <c r="B14804" s="37" t="str">
        <f t="array" ref="B14804">iferror(xlookup($I14804, 'IMPORT VHC Report'!$E:$E, 'IMPORT VHC Report'!$A:$C), )</f>
        <v/>
      </c>
      <c r="C14804" s="44"/>
      <c r="D14804" s="44"/>
      <c r="E14804" s="46" t="s">
        <v>10957</v>
      </c>
      <c r="F14804" s="46" t="s">
        <v>7534</v>
      </c>
      <c r="G14804" s="46">
        <v>1.0333033796879E13</v>
      </c>
      <c r="H14804" s="46" t="s">
        <v>7535</v>
      </c>
      <c r="I14804" s="46" t="s">
        <v>7536</v>
      </c>
      <c r="J14804" s="46" t="s">
        <v>132</v>
      </c>
      <c r="K14804" s="46" t="s">
        <v>126</v>
      </c>
      <c r="L14804" s="45">
        <v>46017.104166666664</v>
      </c>
      <c r="M14804" s="46" t="s">
        <v>123</v>
      </c>
      <c r="N14804" s="45">
        <v>46017.145833333336</v>
      </c>
      <c r="O14804" s="46" t="s">
        <v>123</v>
      </c>
      <c r="P14804" s="46">
        <v>3600.0</v>
      </c>
    </row>
    <row r="14805">
      <c r="A14805" s="40">
        <f t="shared" si="1"/>
        <v>46013</v>
      </c>
      <c r="B14805" s="37" t="str">
        <f t="array" ref="B14805">iferror(xlookup($I14805, 'IMPORT VHC Report'!$E:$E, 'IMPORT VHC Report'!$A:$C), )</f>
        <v/>
      </c>
      <c r="C14805" s="44"/>
      <c r="D14805" s="44"/>
      <c r="E14805" s="46" t="s">
        <v>10958</v>
      </c>
      <c r="F14805" s="46" t="s">
        <v>7534</v>
      </c>
      <c r="G14805" s="46">
        <v>1.0333033796879E13</v>
      </c>
      <c r="H14805" s="46" t="s">
        <v>7535</v>
      </c>
      <c r="I14805" s="46" t="s">
        <v>7536</v>
      </c>
      <c r="J14805" s="46" t="s">
        <v>125</v>
      </c>
      <c r="K14805" s="46" t="s">
        <v>126</v>
      </c>
      <c r="L14805" s="45">
        <v>46017.875</v>
      </c>
      <c r="M14805" s="46" t="s">
        <v>123</v>
      </c>
      <c r="N14805" s="45">
        <v>46017.885416666664</v>
      </c>
      <c r="O14805" s="46" t="s">
        <v>123</v>
      </c>
      <c r="P14805" s="46">
        <v>900.0</v>
      </c>
      <c r="S14805" s="46" t="s">
        <v>199</v>
      </c>
    </row>
    <row r="14806">
      <c r="A14806" s="40">
        <f t="shared" si="1"/>
        <v>46013</v>
      </c>
      <c r="B14806" s="37" t="str">
        <f t="array" ref="B14806">iferror(xlookup($I14806, 'IMPORT VHC Report'!$E:$E, 'IMPORT VHC Report'!$A:$C), )</f>
        <v/>
      </c>
      <c r="C14806" s="44"/>
      <c r="D14806" s="44"/>
      <c r="E14806" s="46" t="s">
        <v>10959</v>
      </c>
      <c r="F14806" s="46" t="s">
        <v>7534</v>
      </c>
      <c r="G14806" s="46">
        <v>1.0333033796879E13</v>
      </c>
      <c r="H14806" s="46" t="s">
        <v>7535</v>
      </c>
      <c r="I14806" s="46" t="s">
        <v>7536</v>
      </c>
      <c r="J14806" s="46" t="s">
        <v>178</v>
      </c>
      <c r="K14806" s="46" t="s">
        <v>153</v>
      </c>
      <c r="L14806" s="45">
        <v>46017.875</v>
      </c>
      <c r="M14806" s="46" t="s">
        <v>123</v>
      </c>
      <c r="N14806" s="45">
        <v>46018.25</v>
      </c>
      <c r="O14806" s="46" t="s">
        <v>123</v>
      </c>
      <c r="P14806" s="46">
        <v>32400.0</v>
      </c>
      <c r="Q14806" s="46">
        <v>28800.0</v>
      </c>
      <c r="R14806" s="46" t="s">
        <v>10960</v>
      </c>
    </row>
    <row r="14807">
      <c r="A14807" s="40">
        <f t="shared" si="1"/>
        <v>46013</v>
      </c>
      <c r="B14807" s="37" t="str">
        <f t="array" ref="B14807">iferror(xlookup($I14807, 'IMPORT VHC Report'!$E:$E, 'IMPORT VHC Report'!$A:$C), )</f>
        <v/>
      </c>
      <c r="C14807" s="44"/>
      <c r="D14807" s="44"/>
      <c r="E14807" s="46" t="s">
        <v>10961</v>
      </c>
      <c r="F14807" s="46" t="s">
        <v>7534</v>
      </c>
      <c r="G14807" s="46">
        <v>1.0333033796879E13</v>
      </c>
      <c r="H14807" s="46" t="s">
        <v>7535</v>
      </c>
      <c r="I14807" s="46" t="s">
        <v>7536</v>
      </c>
      <c r="J14807" s="46" t="s">
        <v>196</v>
      </c>
      <c r="K14807" s="46" t="s">
        <v>63</v>
      </c>
      <c r="L14807" s="45">
        <v>46017.875</v>
      </c>
      <c r="M14807" s="46" t="s">
        <v>123</v>
      </c>
      <c r="N14807" s="45">
        <v>46018.25</v>
      </c>
      <c r="O14807" s="46" t="s">
        <v>123</v>
      </c>
      <c r="P14807" s="46">
        <v>32400.0</v>
      </c>
    </row>
    <row r="14808">
      <c r="A14808" s="40">
        <f t="shared" si="1"/>
        <v>46013</v>
      </c>
      <c r="B14808" s="37" t="str">
        <f t="array" ref="B14808">iferror(xlookup($I14808, 'IMPORT VHC Report'!$E:$E, 'IMPORT VHC Report'!$A:$C), )</f>
        <v/>
      </c>
      <c r="C14808" s="44"/>
      <c r="D14808" s="44"/>
      <c r="E14808" s="46" t="s">
        <v>10962</v>
      </c>
      <c r="F14808" s="46" t="s">
        <v>7534</v>
      </c>
      <c r="G14808" s="46">
        <v>1.0333033796879E13</v>
      </c>
      <c r="H14808" s="46" t="s">
        <v>7535</v>
      </c>
      <c r="I14808" s="46" t="s">
        <v>7536</v>
      </c>
      <c r="J14808" s="46" t="s">
        <v>134</v>
      </c>
      <c r="K14808" s="46" t="s">
        <v>126</v>
      </c>
      <c r="L14808" s="45">
        <v>46018.0</v>
      </c>
      <c r="M14808" s="46" t="s">
        <v>123</v>
      </c>
      <c r="N14808" s="45">
        <v>46018.020833333336</v>
      </c>
      <c r="O14808" s="46" t="s">
        <v>123</v>
      </c>
      <c r="P14808" s="46">
        <v>1800.0</v>
      </c>
    </row>
    <row r="14809">
      <c r="A14809" s="40">
        <f t="shared" si="1"/>
        <v>46013</v>
      </c>
      <c r="B14809" s="37" t="str">
        <f t="array" ref="B14809">iferror(xlookup($I14809, 'IMPORT VHC Report'!$E:$E, 'IMPORT VHC Report'!$A:$C), )</f>
        <v/>
      </c>
      <c r="C14809" s="44"/>
      <c r="D14809" s="44"/>
      <c r="E14809" s="46" t="s">
        <v>10963</v>
      </c>
      <c r="F14809" s="46" t="s">
        <v>7534</v>
      </c>
      <c r="G14809" s="46">
        <v>1.0333033796879E13</v>
      </c>
      <c r="H14809" s="46" t="s">
        <v>7535</v>
      </c>
      <c r="I14809" s="46" t="s">
        <v>7536</v>
      </c>
      <c r="J14809" s="46" t="s">
        <v>132</v>
      </c>
      <c r="K14809" s="46" t="s">
        <v>126</v>
      </c>
      <c r="L14809" s="45">
        <v>46018.125</v>
      </c>
      <c r="M14809" s="46" t="s">
        <v>123</v>
      </c>
      <c r="N14809" s="45">
        <v>46018.166666666664</v>
      </c>
      <c r="O14809" s="46" t="s">
        <v>123</v>
      </c>
      <c r="P14809" s="46">
        <v>3600.0</v>
      </c>
    </row>
    <row r="14810">
      <c r="A14810" s="40">
        <f t="shared" si="1"/>
        <v>46013</v>
      </c>
      <c r="B14810" s="37" t="str">
        <f t="array" ref="B14810">iferror(xlookup($I14810, 'IMPORT VHC Report'!$E:$E, 'IMPORT VHC Report'!$A:$C), )</f>
        <v/>
      </c>
      <c r="C14810" s="44"/>
      <c r="D14810" s="44"/>
      <c r="E14810" s="46" t="s">
        <v>10964</v>
      </c>
      <c r="F14810" s="46" t="s">
        <v>7534</v>
      </c>
      <c r="G14810" s="46">
        <v>1.0333033796879E13</v>
      </c>
      <c r="H14810" s="46" t="s">
        <v>7535</v>
      </c>
      <c r="I14810" s="46" t="s">
        <v>7536</v>
      </c>
      <c r="J14810" s="46" t="s">
        <v>125</v>
      </c>
      <c r="K14810" s="46" t="s">
        <v>126</v>
      </c>
      <c r="L14810" s="45">
        <v>46018.875</v>
      </c>
      <c r="M14810" s="46" t="s">
        <v>123</v>
      </c>
      <c r="N14810" s="45">
        <v>46018.885416666664</v>
      </c>
      <c r="O14810" s="46" t="s">
        <v>123</v>
      </c>
      <c r="P14810" s="46">
        <v>900.0</v>
      </c>
      <c r="S14810" s="46" t="s">
        <v>199</v>
      </c>
    </row>
    <row r="14811">
      <c r="A14811" s="40">
        <f t="shared" si="1"/>
        <v>46013</v>
      </c>
      <c r="B14811" s="37" t="str">
        <f t="array" ref="B14811">iferror(xlookup($I14811, 'IMPORT VHC Report'!$E:$E, 'IMPORT VHC Report'!$A:$C), )</f>
        <v/>
      </c>
      <c r="C14811" s="44"/>
      <c r="D14811" s="44"/>
      <c r="E14811" s="46" t="s">
        <v>10965</v>
      </c>
      <c r="F14811" s="46" t="s">
        <v>7534</v>
      </c>
      <c r="G14811" s="46">
        <v>1.0333033796879E13</v>
      </c>
      <c r="H14811" s="46" t="s">
        <v>7535</v>
      </c>
      <c r="I14811" s="46" t="s">
        <v>7536</v>
      </c>
      <c r="J14811" s="46" t="s">
        <v>196</v>
      </c>
      <c r="K14811" s="46" t="s">
        <v>63</v>
      </c>
      <c r="L14811" s="45">
        <v>46018.875</v>
      </c>
      <c r="M14811" s="46" t="s">
        <v>123</v>
      </c>
      <c r="N14811" s="45">
        <v>46019.25</v>
      </c>
      <c r="O14811" s="46" t="s">
        <v>123</v>
      </c>
      <c r="P14811" s="46">
        <v>32400.0</v>
      </c>
    </row>
    <row r="14812">
      <c r="A14812" s="40">
        <f t="shared" si="1"/>
        <v>46013</v>
      </c>
      <c r="B14812" s="37" t="str">
        <f t="array" ref="B14812">iferror(xlookup($I14812, 'IMPORT VHC Report'!$E:$E, 'IMPORT VHC Report'!$A:$C), )</f>
        <v/>
      </c>
      <c r="C14812" s="44"/>
      <c r="D14812" s="44"/>
      <c r="E14812" s="46" t="s">
        <v>10966</v>
      </c>
      <c r="F14812" s="46" t="s">
        <v>7534</v>
      </c>
      <c r="G14812" s="46">
        <v>1.0333033796879E13</v>
      </c>
      <c r="H14812" s="46" t="s">
        <v>7535</v>
      </c>
      <c r="I14812" s="46" t="s">
        <v>7536</v>
      </c>
      <c r="J14812" s="46" t="s">
        <v>134</v>
      </c>
      <c r="K14812" s="46" t="s">
        <v>126</v>
      </c>
      <c r="L14812" s="45">
        <v>46018.979166666664</v>
      </c>
      <c r="M14812" s="46" t="s">
        <v>123</v>
      </c>
      <c r="N14812" s="45">
        <v>46019.0</v>
      </c>
      <c r="O14812" s="46" t="s">
        <v>123</v>
      </c>
      <c r="P14812" s="46">
        <v>1800.0</v>
      </c>
    </row>
    <row r="14813">
      <c r="A14813" s="40">
        <f t="shared" si="1"/>
        <v>46013</v>
      </c>
      <c r="B14813" s="37" t="str">
        <f t="array" ref="B14813">iferror(xlookup($I14813, 'IMPORT VHC Report'!$E:$E, 'IMPORT VHC Report'!$A:$C), )</f>
        <v/>
      </c>
      <c r="C14813" s="44"/>
      <c r="D14813" s="44"/>
      <c r="E14813" s="46" t="s">
        <v>10967</v>
      </c>
      <c r="F14813" s="46" t="s">
        <v>7534</v>
      </c>
      <c r="G14813" s="46">
        <v>1.0333033796879E13</v>
      </c>
      <c r="H14813" s="46" t="s">
        <v>7535</v>
      </c>
      <c r="I14813" s="46" t="s">
        <v>7536</v>
      </c>
      <c r="J14813" s="46" t="s">
        <v>132</v>
      </c>
      <c r="K14813" s="46" t="s">
        <v>126</v>
      </c>
      <c r="L14813" s="45">
        <v>46019.114583333336</v>
      </c>
      <c r="M14813" s="46" t="s">
        <v>123</v>
      </c>
      <c r="N14813" s="45">
        <v>46019.15625</v>
      </c>
      <c r="O14813" s="46" t="s">
        <v>123</v>
      </c>
      <c r="P14813" s="46">
        <v>3600.0</v>
      </c>
    </row>
    <row r="14814">
      <c r="A14814" s="40">
        <f t="shared" si="1"/>
        <v>46006</v>
      </c>
      <c r="B14814" s="37" t="str">
        <f t="array" ref="B14814">iferror(xlookup($I14814, 'IMPORT VHC Report'!$E:$E, 'IMPORT VHC Report'!$A:$C), )</f>
        <v/>
      </c>
      <c r="C14814" s="44"/>
      <c r="D14814" s="44"/>
      <c r="E14814" s="46" t="s">
        <v>812</v>
      </c>
      <c r="F14814" s="46" t="s">
        <v>790</v>
      </c>
      <c r="G14814" s="46">
        <v>1.0548602304527E13</v>
      </c>
      <c r="H14814" s="46" t="s">
        <v>70</v>
      </c>
      <c r="I14814" s="46" t="s">
        <v>71</v>
      </c>
      <c r="J14814" s="46" t="s">
        <v>791</v>
      </c>
      <c r="K14814" s="46" t="s">
        <v>63</v>
      </c>
      <c r="L14814" s="45">
        <v>46012.916666666664</v>
      </c>
      <c r="M14814" s="46" t="s">
        <v>123</v>
      </c>
      <c r="N14814" s="45">
        <v>46013.291666666664</v>
      </c>
      <c r="O14814" s="46" t="s">
        <v>123</v>
      </c>
      <c r="P14814" s="46">
        <v>32400.0</v>
      </c>
    </row>
    <row r="14815">
      <c r="A14815" s="40">
        <f t="shared" si="1"/>
        <v>46013</v>
      </c>
      <c r="B14815" s="37" t="str">
        <f t="array" ref="B14815">iferror(xlookup($I14815, 'IMPORT VHC Report'!$E:$E, 'IMPORT VHC Report'!$A:$C), )</f>
        <v/>
      </c>
      <c r="C14815" s="44"/>
      <c r="D14815" s="44"/>
      <c r="E14815" s="46" t="s">
        <v>10968</v>
      </c>
      <c r="F14815" s="46" t="s">
        <v>790</v>
      </c>
      <c r="G14815" s="46">
        <v>1.0548602304527E13</v>
      </c>
      <c r="H14815" s="46" t="s">
        <v>70</v>
      </c>
      <c r="I14815" s="46" t="s">
        <v>71</v>
      </c>
      <c r="J14815" s="46" t="s">
        <v>132</v>
      </c>
      <c r="K14815" s="46" t="s">
        <v>126</v>
      </c>
      <c r="L14815" s="45">
        <v>46013.166666666664</v>
      </c>
      <c r="M14815" s="46" t="s">
        <v>123</v>
      </c>
      <c r="N14815" s="45">
        <v>46013.208333333336</v>
      </c>
      <c r="O14815" s="46" t="s">
        <v>123</v>
      </c>
      <c r="P14815" s="46">
        <v>3600.0</v>
      </c>
    </row>
    <row r="14816">
      <c r="A14816" s="40">
        <f t="shared" si="1"/>
        <v>46013</v>
      </c>
      <c r="B14816" s="37" t="str">
        <f t="array" ref="B14816">iferror(xlookup($I14816, 'IMPORT VHC Report'!$E:$E, 'IMPORT VHC Report'!$A:$C), )</f>
        <v/>
      </c>
      <c r="C14816" s="44"/>
      <c r="D14816" s="44"/>
      <c r="E14816" s="46" t="s">
        <v>10969</v>
      </c>
      <c r="F14816" s="46" t="s">
        <v>790</v>
      </c>
      <c r="G14816" s="46">
        <v>1.0548602304527E13</v>
      </c>
      <c r="H14816" s="46" t="s">
        <v>70</v>
      </c>
      <c r="I14816" s="46" t="s">
        <v>71</v>
      </c>
      <c r="J14816" s="46" t="s">
        <v>134</v>
      </c>
      <c r="K14816" s="46" t="s">
        <v>126</v>
      </c>
      <c r="L14816" s="45">
        <v>46013.208333333336</v>
      </c>
      <c r="M14816" s="46" t="s">
        <v>123</v>
      </c>
      <c r="N14816" s="45">
        <v>46013.229166666664</v>
      </c>
      <c r="O14816" s="46" t="s">
        <v>123</v>
      </c>
      <c r="P14816" s="46">
        <v>1800.0</v>
      </c>
    </row>
    <row r="14817">
      <c r="A14817" s="40">
        <f t="shared" si="1"/>
        <v>46013</v>
      </c>
      <c r="B14817" s="37" t="str">
        <f t="array" ref="B14817">iferror(xlookup($I14817, 'IMPORT VHC Report'!$E:$E, 'IMPORT VHC Report'!$A:$C), )</f>
        <v/>
      </c>
      <c r="C14817" s="44"/>
      <c r="D14817" s="44"/>
      <c r="E14817" s="46" t="s">
        <v>10970</v>
      </c>
      <c r="F14817" s="46" t="s">
        <v>790</v>
      </c>
      <c r="G14817" s="46">
        <v>1.0548602304527E13</v>
      </c>
      <c r="H14817" s="46" t="s">
        <v>70</v>
      </c>
      <c r="I14817" s="46" t="s">
        <v>71</v>
      </c>
      <c r="J14817" s="46" t="s">
        <v>791</v>
      </c>
      <c r="K14817" s="46" t="s">
        <v>63</v>
      </c>
      <c r="L14817" s="45">
        <v>46013.916666666664</v>
      </c>
      <c r="M14817" s="46" t="s">
        <v>123</v>
      </c>
      <c r="N14817" s="45">
        <v>46014.291666666664</v>
      </c>
      <c r="O14817" s="46" t="s">
        <v>123</v>
      </c>
      <c r="P14817" s="46">
        <v>32400.0</v>
      </c>
    </row>
    <row r="14818">
      <c r="A14818" s="40">
        <f t="shared" si="1"/>
        <v>46013</v>
      </c>
      <c r="B14818" s="37" t="str">
        <f t="array" ref="B14818">iferror(xlookup($I14818, 'IMPORT VHC Report'!$E:$E, 'IMPORT VHC Report'!$A:$C), )</f>
        <v/>
      </c>
      <c r="C14818" s="44"/>
      <c r="D14818" s="44"/>
      <c r="E14818" s="46" t="s">
        <v>10971</v>
      </c>
      <c r="F14818" s="46" t="s">
        <v>790</v>
      </c>
      <c r="G14818" s="46">
        <v>1.0548602304527E13</v>
      </c>
      <c r="H14818" s="46" t="s">
        <v>70</v>
      </c>
      <c r="I14818" s="46" t="s">
        <v>71</v>
      </c>
      <c r="J14818" s="46" t="s">
        <v>132</v>
      </c>
      <c r="K14818" s="46" t="s">
        <v>126</v>
      </c>
      <c r="L14818" s="45">
        <v>46014.229166666664</v>
      </c>
      <c r="M14818" s="46" t="s">
        <v>123</v>
      </c>
      <c r="N14818" s="45">
        <v>46014.270833333336</v>
      </c>
      <c r="O14818" s="46" t="s">
        <v>123</v>
      </c>
      <c r="P14818" s="46">
        <v>3600.0</v>
      </c>
    </row>
    <row r="14819">
      <c r="A14819" s="40">
        <f t="shared" si="1"/>
        <v>46013</v>
      </c>
      <c r="B14819" s="37" t="str">
        <f t="array" ref="B14819">iferror(xlookup($I14819, 'IMPORT VHC Report'!$E:$E, 'IMPORT VHC Report'!$A:$C), )</f>
        <v/>
      </c>
      <c r="C14819" s="44"/>
      <c r="D14819" s="44"/>
      <c r="E14819" s="46" t="s">
        <v>10972</v>
      </c>
      <c r="F14819" s="46" t="s">
        <v>790</v>
      </c>
      <c r="G14819" s="46">
        <v>1.0548602304527E13</v>
      </c>
      <c r="H14819" s="46" t="s">
        <v>70</v>
      </c>
      <c r="I14819" s="46" t="s">
        <v>71</v>
      </c>
      <c r="J14819" s="46" t="s">
        <v>134</v>
      </c>
      <c r="K14819" s="46" t="s">
        <v>126</v>
      </c>
      <c r="L14819" s="45">
        <v>46014.270833333336</v>
      </c>
      <c r="M14819" s="46" t="s">
        <v>123</v>
      </c>
      <c r="N14819" s="45">
        <v>46014.291666666664</v>
      </c>
      <c r="O14819" s="46" t="s">
        <v>123</v>
      </c>
      <c r="P14819" s="46">
        <v>1800.0</v>
      </c>
    </row>
    <row r="14820">
      <c r="A14820" s="40">
        <f t="shared" si="1"/>
        <v>46013</v>
      </c>
      <c r="B14820" s="37" t="str">
        <f t="array" ref="B14820">iferror(xlookup($I14820, 'IMPORT VHC Report'!$E:$E, 'IMPORT VHC Report'!$A:$C), )</f>
        <v/>
      </c>
      <c r="C14820" s="44"/>
      <c r="D14820" s="44"/>
      <c r="E14820" s="46" t="s">
        <v>10973</v>
      </c>
      <c r="F14820" s="46" t="s">
        <v>790</v>
      </c>
      <c r="G14820" s="46">
        <v>1.0548602304527E13</v>
      </c>
      <c r="H14820" s="46" t="s">
        <v>70</v>
      </c>
      <c r="I14820" s="46" t="s">
        <v>71</v>
      </c>
      <c r="J14820" s="46" t="s">
        <v>178</v>
      </c>
      <c r="K14820" s="46" t="s">
        <v>153</v>
      </c>
      <c r="L14820" s="45">
        <v>46014.916666666664</v>
      </c>
      <c r="M14820" s="46" t="s">
        <v>123</v>
      </c>
      <c r="N14820" s="45">
        <v>46015.291666666664</v>
      </c>
      <c r="O14820" s="46" t="s">
        <v>123</v>
      </c>
      <c r="P14820" s="46">
        <v>32400.0</v>
      </c>
      <c r="Q14820" s="46">
        <v>28800.0</v>
      </c>
    </row>
    <row r="14821">
      <c r="A14821" s="40">
        <f t="shared" si="1"/>
        <v>46013</v>
      </c>
      <c r="B14821" s="37" t="str">
        <f t="array" ref="B14821">iferror(xlookup($I14821, 'IMPORT VHC Report'!$E:$E, 'IMPORT VHC Report'!$A:$C), )</f>
        <v/>
      </c>
      <c r="C14821" s="44"/>
      <c r="D14821" s="44"/>
      <c r="E14821" s="46" t="s">
        <v>10974</v>
      </c>
      <c r="F14821" s="46" t="s">
        <v>790</v>
      </c>
      <c r="G14821" s="46">
        <v>1.0548602304527E13</v>
      </c>
      <c r="H14821" s="46" t="s">
        <v>70</v>
      </c>
      <c r="I14821" s="46" t="s">
        <v>71</v>
      </c>
      <c r="J14821" s="46" t="s">
        <v>791</v>
      </c>
      <c r="K14821" s="46" t="s">
        <v>63</v>
      </c>
      <c r="L14821" s="45">
        <v>46014.916666666664</v>
      </c>
      <c r="M14821" s="46" t="s">
        <v>123</v>
      </c>
      <c r="N14821" s="45">
        <v>46015.291666666664</v>
      </c>
      <c r="O14821" s="46" t="s">
        <v>123</v>
      </c>
      <c r="P14821" s="46">
        <v>32400.0</v>
      </c>
    </row>
    <row r="14822">
      <c r="A14822" s="40">
        <f t="shared" si="1"/>
        <v>46013</v>
      </c>
      <c r="B14822" s="37" t="str">
        <f t="array" ref="B14822">iferror(xlookup($I14822, 'IMPORT VHC Report'!$E:$E, 'IMPORT VHC Report'!$A:$C), )</f>
        <v/>
      </c>
      <c r="C14822" s="44"/>
      <c r="D14822" s="44"/>
      <c r="E14822" s="46" t="s">
        <v>10975</v>
      </c>
      <c r="F14822" s="46" t="s">
        <v>790</v>
      </c>
      <c r="G14822" s="46">
        <v>1.0548602304527E13</v>
      </c>
      <c r="H14822" s="46" t="s">
        <v>70</v>
      </c>
      <c r="I14822" s="46" t="s">
        <v>71</v>
      </c>
      <c r="J14822" s="46" t="s">
        <v>134</v>
      </c>
      <c r="K14822" s="46" t="s">
        <v>126</v>
      </c>
      <c r="L14822" s="45">
        <v>46015.229166666664</v>
      </c>
      <c r="M14822" s="46" t="s">
        <v>123</v>
      </c>
      <c r="N14822" s="45">
        <v>46015.25</v>
      </c>
      <c r="O14822" s="46" t="s">
        <v>123</v>
      </c>
      <c r="P14822" s="46">
        <v>1800.0</v>
      </c>
    </row>
    <row r="14823">
      <c r="A14823" s="40">
        <f t="shared" si="1"/>
        <v>46013</v>
      </c>
      <c r="B14823" s="37" t="str">
        <f t="array" ref="B14823">iferror(xlookup($I14823, 'IMPORT VHC Report'!$E:$E, 'IMPORT VHC Report'!$A:$C), )</f>
        <v/>
      </c>
      <c r="C14823" s="44"/>
      <c r="D14823" s="44"/>
      <c r="E14823" s="46" t="s">
        <v>10976</v>
      </c>
      <c r="F14823" s="46" t="s">
        <v>790</v>
      </c>
      <c r="G14823" s="46">
        <v>1.0548602304527E13</v>
      </c>
      <c r="H14823" s="46" t="s">
        <v>70</v>
      </c>
      <c r="I14823" s="46" t="s">
        <v>71</v>
      </c>
      <c r="J14823" s="46" t="s">
        <v>132</v>
      </c>
      <c r="K14823" s="46" t="s">
        <v>126</v>
      </c>
      <c r="L14823" s="45">
        <v>46015.25</v>
      </c>
      <c r="M14823" s="46" t="s">
        <v>123</v>
      </c>
      <c r="N14823" s="45">
        <v>46015.291666666664</v>
      </c>
      <c r="O14823" s="46" t="s">
        <v>123</v>
      </c>
      <c r="P14823" s="46">
        <v>3600.0</v>
      </c>
    </row>
    <row r="14824">
      <c r="A14824" s="40">
        <f t="shared" si="1"/>
        <v>46013</v>
      </c>
      <c r="B14824" s="37" t="str">
        <f t="array" ref="B14824">iferror(xlookup($I14824, 'IMPORT VHC Report'!$E:$E, 'IMPORT VHC Report'!$A:$C), )</f>
        <v/>
      </c>
      <c r="C14824" s="44"/>
      <c r="D14824" s="44"/>
      <c r="E14824" s="46" t="s">
        <v>10977</v>
      </c>
      <c r="F14824" s="46" t="s">
        <v>790</v>
      </c>
      <c r="G14824" s="46">
        <v>1.0548602304527E13</v>
      </c>
      <c r="H14824" s="46" t="s">
        <v>70</v>
      </c>
      <c r="I14824" s="46" t="s">
        <v>71</v>
      </c>
      <c r="J14824" s="46" t="s">
        <v>62</v>
      </c>
      <c r="K14824" s="46" t="s">
        <v>63</v>
      </c>
      <c r="L14824" s="45">
        <v>46015.916666666664</v>
      </c>
      <c r="M14824" s="46" t="s">
        <v>123</v>
      </c>
      <c r="N14824" s="45">
        <v>46016.083333333336</v>
      </c>
      <c r="O14824" s="46" t="s">
        <v>123</v>
      </c>
      <c r="P14824" s="46">
        <v>14400.0</v>
      </c>
    </row>
    <row r="14825">
      <c r="A14825" s="40">
        <f t="shared" si="1"/>
        <v>46013</v>
      </c>
      <c r="B14825" s="37" t="str">
        <f t="array" ref="B14825">iferror(xlookup($I14825, 'IMPORT VHC Report'!$E:$E, 'IMPORT VHC Report'!$A:$C), )</f>
        <v/>
      </c>
      <c r="C14825" s="44"/>
      <c r="D14825" s="44"/>
      <c r="E14825" s="46" t="s">
        <v>10978</v>
      </c>
      <c r="F14825" s="46" t="s">
        <v>790</v>
      </c>
      <c r="G14825" s="46">
        <v>1.0548602304527E13</v>
      </c>
      <c r="H14825" s="46" t="s">
        <v>70</v>
      </c>
      <c r="I14825" s="46" t="s">
        <v>71</v>
      </c>
      <c r="J14825" s="46" t="s">
        <v>178</v>
      </c>
      <c r="K14825" s="46" t="s">
        <v>153</v>
      </c>
      <c r="L14825" s="45">
        <v>46015.916666666664</v>
      </c>
      <c r="M14825" s="46" t="s">
        <v>123</v>
      </c>
      <c r="N14825" s="45">
        <v>46016.25</v>
      </c>
      <c r="O14825" s="46" t="s">
        <v>123</v>
      </c>
      <c r="P14825" s="46">
        <v>28800.0</v>
      </c>
      <c r="Q14825" s="46">
        <v>28800.0</v>
      </c>
      <c r="R14825" s="46" t="s">
        <v>10242</v>
      </c>
      <c r="S14825" s="46" t="s">
        <v>10242</v>
      </c>
    </row>
    <row r="14826">
      <c r="A14826" s="40">
        <f t="shared" si="1"/>
        <v>46013</v>
      </c>
      <c r="B14826" s="37" t="str">
        <f t="array" ref="B14826">iferror(xlookup($I14826, 'IMPORT VHC Report'!$E:$E, 'IMPORT VHC Report'!$A:$C), )</f>
        <v/>
      </c>
      <c r="C14826" s="44"/>
      <c r="D14826" s="44"/>
      <c r="E14826" s="46" t="s">
        <v>10979</v>
      </c>
      <c r="F14826" s="46" t="s">
        <v>790</v>
      </c>
      <c r="G14826" s="46">
        <v>1.0548602304527E13</v>
      </c>
      <c r="H14826" s="46" t="s">
        <v>70</v>
      </c>
      <c r="I14826" s="46" t="s">
        <v>71</v>
      </c>
      <c r="J14826" s="46" t="s">
        <v>136</v>
      </c>
      <c r="K14826" s="46" t="s">
        <v>126</v>
      </c>
      <c r="L14826" s="45">
        <v>46015.958333333336</v>
      </c>
      <c r="M14826" s="46" t="s">
        <v>123</v>
      </c>
      <c r="N14826" s="45">
        <v>46016.0</v>
      </c>
      <c r="O14826" s="46" t="s">
        <v>123</v>
      </c>
      <c r="P14826" s="46">
        <v>3600.0</v>
      </c>
      <c r="S14826" s="46" t="s">
        <v>137</v>
      </c>
    </row>
    <row r="14827">
      <c r="A14827" s="40">
        <f t="shared" si="1"/>
        <v>46013</v>
      </c>
      <c r="B14827" s="37" t="str">
        <f t="array" ref="B14827">iferror(xlookup($I14827, 'IMPORT VHC Report'!$E:$E, 'IMPORT VHC Report'!$A:$C), )</f>
        <v/>
      </c>
      <c r="C14827" s="44"/>
      <c r="D14827" s="44"/>
      <c r="E14827" s="46" t="s">
        <v>10980</v>
      </c>
      <c r="F14827" s="46" t="s">
        <v>790</v>
      </c>
      <c r="G14827" s="46">
        <v>1.0548602304527E13</v>
      </c>
      <c r="H14827" s="46" t="s">
        <v>70</v>
      </c>
      <c r="I14827" s="46" t="s">
        <v>71</v>
      </c>
      <c r="J14827" s="46" t="s">
        <v>791</v>
      </c>
      <c r="K14827" s="46" t="s">
        <v>63</v>
      </c>
      <c r="L14827" s="45">
        <v>46016.083333333336</v>
      </c>
      <c r="M14827" s="46" t="s">
        <v>123</v>
      </c>
      <c r="N14827" s="45">
        <v>46016.25</v>
      </c>
      <c r="O14827" s="46" t="s">
        <v>123</v>
      </c>
      <c r="P14827" s="46">
        <v>14400.0</v>
      </c>
    </row>
    <row r="14828">
      <c r="A14828" s="40">
        <f t="shared" si="1"/>
        <v>46013</v>
      </c>
      <c r="B14828" s="37" t="str">
        <f t="array" ref="B14828">iferror(xlookup($I14828, 'IMPORT VHC Report'!$E:$E, 'IMPORT VHC Report'!$A:$C), )</f>
        <v/>
      </c>
      <c r="C14828" s="44"/>
      <c r="D14828" s="44"/>
      <c r="E14828" s="46" t="s">
        <v>10981</v>
      </c>
      <c r="F14828" s="46" t="s">
        <v>790</v>
      </c>
      <c r="G14828" s="46">
        <v>1.0548602304527E13</v>
      </c>
      <c r="H14828" s="46" t="s">
        <v>70</v>
      </c>
      <c r="I14828" s="46" t="s">
        <v>71</v>
      </c>
      <c r="J14828" s="46" t="s">
        <v>134</v>
      </c>
      <c r="K14828" s="46" t="s">
        <v>126</v>
      </c>
      <c r="L14828" s="45">
        <v>46016.166666666664</v>
      </c>
      <c r="M14828" s="46" t="s">
        <v>123</v>
      </c>
      <c r="N14828" s="45">
        <v>46016.1875</v>
      </c>
      <c r="O14828" s="46" t="s">
        <v>123</v>
      </c>
      <c r="P14828" s="46">
        <v>1800.0</v>
      </c>
    </row>
    <row r="14829">
      <c r="A14829" s="40">
        <f t="shared" si="1"/>
        <v>46013</v>
      </c>
      <c r="B14829" s="37" t="str">
        <f t="array" ref="B14829">iferror(xlookup($I14829, 'IMPORT VHC Report'!$E:$E, 'IMPORT VHC Report'!$A:$C), )</f>
        <v/>
      </c>
      <c r="C14829" s="44"/>
      <c r="D14829" s="44"/>
      <c r="E14829" s="46" t="s">
        <v>10982</v>
      </c>
      <c r="F14829" s="46" t="s">
        <v>790</v>
      </c>
      <c r="G14829" s="46">
        <v>1.0548602304527E13</v>
      </c>
      <c r="H14829" s="46" t="s">
        <v>70</v>
      </c>
      <c r="I14829" s="46" t="s">
        <v>71</v>
      </c>
      <c r="J14829" s="46" t="s">
        <v>132</v>
      </c>
      <c r="K14829" s="46" t="s">
        <v>126</v>
      </c>
      <c r="L14829" s="45">
        <v>46016.1875</v>
      </c>
      <c r="M14829" s="46" t="s">
        <v>123</v>
      </c>
      <c r="N14829" s="45">
        <v>46016.229166666664</v>
      </c>
      <c r="O14829" s="46" t="s">
        <v>123</v>
      </c>
      <c r="P14829" s="46">
        <v>3600.0</v>
      </c>
    </row>
    <row r="14830">
      <c r="A14830" s="40">
        <f t="shared" si="1"/>
        <v>46013</v>
      </c>
      <c r="B14830" s="37" t="str">
        <f t="array" ref="B14830">iferror(xlookup($I14830, 'IMPORT VHC Report'!$E:$E, 'IMPORT VHC Report'!$A:$C), )</f>
        <v/>
      </c>
      <c r="C14830" s="44"/>
      <c r="D14830" s="44"/>
      <c r="E14830" s="46" t="s">
        <v>10983</v>
      </c>
      <c r="F14830" s="46" t="s">
        <v>790</v>
      </c>
      <c r="G14830" s="46">
        <v>1.0548602304527E13</v>
      </c>
      <c r="H14830" s="46" t="s">
        <v>70</v>
      </c>
      <c r="I14830" s="46" t="s">
        <v>71</v>
      </c>
      <c r="J14830" s="46" t="s">
        <v>178</v>
      </c>
      <c r="K14830" s="46" t="s">
        <v>153</v>
      </c>
      <c r="L14830" s="45">
        <v>46016.916666666664</v>
      </c>
      <c r="M14830" s="46" t="s">
        <v>123</v>
      </c>
      <c r="N14830" s="45">
        <v>46017.25</v>
      </c>
      <c r="O14830" s="46" t="s">
        <v>123</v>
      </c>
      <c r="P14830" s="46">
        <v>28800.0</v>
      </c>
      <c r="Q14830" s="46">
        <v>28800.0</v>
      </c>
      <c r="R14830" s="46" t="s">
        <v>10984</v>
      </c>
      <c r="S14830" s="46" t="s">
        <v>10984</v>
      </c>
    </row>
    <row r="14831">
      <c r="A14831" s="40">
        <f t="shared" si="1"/>
        <v>46013</v>
      </c>
      <c r="B14831" s="37" t="str">
        <f t="array" ref="B14831">iferror(xlookup($I14831, 'IMPORT VHC Report'!$E:$E, 'IMPORT VHC Report'!$A:$C), )</f>
        <v/>
      </c>
      <c r="C14831" s="44"/>
      <c r="D14831" s="44"/>
      <c r="E14831" s="46" t="s">
        <v>10985</v>
      </c>
      <c r="F14831" s="46" t="s">
        <v>790</v>
      </c>
      <c r="G14831" s="46">
        <v>1.0548602304527E13</v>
      </c>
      <c r="H14831" s="46" t="s">
        <v>70</v>
      </c>
      <c r="I14831" s="46" t="s">
        <v>71</v>
      </c>
      <c r="J14831" s="46" t="s">
        <v>791</v>
      </c>
      <c r="K14831" s="46" t="s">
        <v>63</v>
      </c>
      <c r="L14831" s="45">
        <v>46016.916666666664</v>
      </c>
      <c r="M14831" s="46" t="s">
        <v>123</v>
      </c>
      <c r="N14831" s="45">
        <v>46017.25</v>
      </c>
      <c r="O14831" s="46" t="s">
        <v>123</v>
      </c>
      <c r="P14831" s="46">
        <v>28800.0</v>
      </c>
    </row>
    <row r="14832">
      <c r="A14832" s="40">
        <f t="shared" si="1"/>
        <v>46013</v>
      </c>
      <c r="B14832" s="37" t="str">
        <f t="array" ref="B14832">iferror(xlookup($I14832, 'IMPORT VHC Report'!$E:$E, 'IMPORT VHC Report'!$A:$C), )</f>
        <v/>
      </c>
      <c r="C14832" s="44"/>
      <c r="D14832" s="44"/>
      <c r="E14832" s="46" t="s">
        <v>10986</v>
      </c>
      <c r="F14832" s="46" t="s">
        <v>790</v>
      </c>
      <c r="G14832" s="46">
        <v>1.0548602304527E13</v>
      </c>
      <c r="H14832" s="46" t="s">
        <v>70</v>
      </c>
      <c r="I14832" s="46" t="s">
        <v>71</v>
      </c>
      <c r="J14832" s="46" t="s">
        <v>132</v>
      </c>
      <c r="K14832" s="46" t="s">
        <v>126</v>
      </c>
      <c r="L14832" s="45">
        <v>46017.166666666664</v>
      </c>
      <c r="M14832" s="46" t="s">
        <v>123</v>
      </c>
      <c r="N14832" s="45">
        <v>46017.208333333336</v>
      </c>
      <c r="O14832" s="46" t="s">
        <v>123</v>
      </c>
      <c r="P14832" s="46">
        <v>3600.0</v>
      </c>
    </row>
    <row r="14833">
      <c r="A14833" s="40">
        <f t="shared" si="1"/>
        <v>46013</v>
      </c>
      <c r="B14833" s="37" t="str">
        <f t="array" ref="B14833">iferror(xlookup($I14833, 'IMPORT VHC Report'!$E:$E, 'IMPORT VHC Report'!$A:$C), )</f>
        <v/>
      </c>
      <c r="C14833" s="44"/>
      <c r="D14833" s="44"/>
      <c r="E14833" s="46" t="s">
        <v>10987</v>
      </c>
      <c r="F14833" s="46" t="s">
        <v>790</v>
      </c>
      <c r="G14833" s="46">
        <v>1.0548602304527E13</v>
      </c>
      <c r="H14833" s="46" t="s">
        <v>70</v>
      </c>
      <c r="I14833" s="46" t="s">
        <v>71</v>
      </c>
      <c r="J14833" s="46" t="s">
        <v>134</v>
      </c>
      <c r="K14833" s="46" t="s">
        <v>126</v>
      </c>
      <c r="L14833" s="45">
        <v>46017.208333333336</v>
      </c>
      <c r="M14833" s="46" t="s">
        <v>123</v>
      </c>
      <c r="N14833" s="45">
        <v>46017.229166666664</v>
      </c>
      <c r="O14833" s="46" t="s">
        <v>123</v>
      </c>
      <c r="P14833" s="46">
        <v>1800.0</v>
      </c>
    </row>
    <row r="14834">
      <c r="A14834" s="40">
        <f t="shared" si="1"/>
        <v>46013</v>
      </c>
      <c r="B14834" s="37" t="str">
        <f t="array" ref="B14834">iferror(xlookup($I14834, 'IMPORT VHC Report'!$E:$E, 'IMPORT VHC Report'!$A:$C), )</f>
        <v/>
      </c>
      <c r="C14834" s="44"/>
      <c r="D14834" s="44"/>
      <c r="E14834" s="46" t="s">
        <v>10988</v>
      </c>
      <c r="F14834" s="46" t="s">
        <v>790</v>
      </c>
      <c r="G14834" s="46">
        <v>1.0548602304527E13</v>
      </c>
      <c r="H14834" s="46" t="s">
        <v>70</v>
      </c>
      <c r="I14834" s="46" t="s">
        <v>71</v>
      </c>
      <c r="J14834" s="46" t="s">
        <v>791</v>
      </c>
      <c r="K14834" s="46" t="s">
        <v>63</v>
      </c>
      <c r="L14834" s="45">
        <v>46019.916666666664</v>
      </c>
      <c r="M14834" s="46" t="s">
        <v>123</v>
      </c>
      <c r="N14834" s="45">
        <v>46020.291666666664</v>
      </c>
      <c r="O14834" s="46" t="s">
        <v>123</v>
      </c>
      <c r="P14834" s="46">
        <v>32400.0</v>
      </c>
    </row>
    <row r="14835">
      <c r="A14835" s="40">
        <f t="shared" si="1"/>
        <v>46013</v>
      </c>
      <c r="B14835" s="37" t="str">
        <f t="array" ref="B14835">iferror(xlookup($I14835, 'IMPORT VHC Report'!$E:$E, 'IMPORT VHC Report'!$A:$C), )</f>
        <v/>
      </c>
      <c r="C14835" s="44"/>
      <c r="D14835" s="44"/>
      <c r="E14835" s="46" t="s">
        <v>10989</v>
      </c>
      <c r="F14835" s="46" t="s">
        <v>790</v>
      </c>
      <c r="G14835" s="46">
        <v>1.0548602304527E13</v>
      </c>
      <c r="H14835" s="46" t="s">
        <v>70</v>
      </c>
      <c r="I14835" s="46" t="s">
        <v>71</v>
      </c>
      <c r="J14835" s="46" t="s">
        <v>4</v>
      </c>
      <c r="K14835" s="46" t="s">
        <v>126</v>
      </c>
      <c r="L14835" s="45">
        <v>46019.927083333336</v>
      </c>
      <c r="M14835" s="46" t="s">
        <v>123</v>
      </c>
      <c r="N14835" s="45">
        <v>46019.9375</v>
      </c>
      <c r="O14835" s="46" t="s">
        <v>123</v>
      </c>
      <c r="P14835" s="46">
        <v>900.0</v>
      </c>
      <c r="S14835" s="46" t="s">
        <v>3332</v>
      </c>
    </row>
    <row r="14836">
      <c r="A14836" s="40">
        <f t="shared" si="1"/>
        <v>46006</v>
      </c>
      <c r="B14836" s="37" t="str">
        <f t="array" ref="B14836">iferror(xlookup($I14836, 'IMPORT VHC Report'!$E:$E, 'IMPORT VHC Report'!$A:$C), )</f>
        <v/>
      </c>
      <c r="C14836" s="44"/>
      <c r="D14836" s="44"/>
      <c r="E14836" s="46" t="s">
        <v>899</v>
      </c>
      <c r="F14836" s="46" t="s">
        <v>880</v>
      </c>
      <c r="G14836" s="46">
        <v>5.359185373455E12</v>
      </c>
      <c r="H14836" s="46" t="s">
        <v>67</v>
      </c>
      <c r="I14836" s="46" t="s">
        <v>68</v>
      </c>
      <c r="J14836" s="46" t="s">
        <v>791</v>
      </c>
      <c r="K14836" s="46" t="s">
        <v>63</v>
      </c>
      <c r="L14836" s="45">
        <v>46012.916666666664</v>
      </c>
      <c r="M14836" s="46" t="s">
        <v>123</v>
      </c>
      <c r="N14836" s="45">
        <v>46013.291666666664</v>
      </c>
      <c r="O14836" s="46" t="s">
        <v>123</v>
      </c>
      <c r="P14836" s="46">
        <v>32400.0</v>
      </c>
    </row>
    <row r="14837">
      <c r="A14837" s="40">
        <f t="shared" si="1"/>
        <v>46013</v>
      </c>
      <c r="B14837" s="37" t="str">
        <f t="array" ref="B14837">iferror(xlookup($I14837, 'IMPORT VHC Report'!$E:$E, 'IMPORT VHC Report'!$A:$C), )</f>
        <v/>
      </c>
      <c r="C14837" s="44"/>
      <c r="D14837" s="44"/>
      <c r="E14837" s="46" t="s">
        <v>10990</v>
      </c>
      <c r="F14837" s="46" t="s">
        <v>880</v>
      </c>
      <c r="G14837" s="46">
        <v>5.359185373455E12</v>
      </c>
      <c r="H14837" s="46" t="s">
        <v>67</v>
      </c>
      <c r="I14837" s="46" t="s">
        <v>68</v>
      </c>
      <c r="J14837" s="46" t="s">
        <v>132</v>
      </c>
      <c r="K14837" s="46" t="s">
        <v>126</v>
      </c>
      <c r="L14837" s="45">
        <v>46013.166666666664</v>
      </c>
      <c r="M14837" s="46" t="s">
        <v>123</v>
      </c>
      <c r="N14837" s="45">
        <v>46013.208333333336</v>
      </c>
      <c r="O14837" s="46" t="s">
        <v>123</v>
      </c>
      <c r="P14837" s="46">
        <v>3600.0</v>
      </c>
    </row>
    <row r="14838">
      <c r="A14838" s="40">
        <f t="shared" si="1"/>
        <v>46013</v>
      </c>
      <c r="B14838" s="37" t="str">
        <f t="array" ref="B14838">iferror(xlookup($I14838, 'IMPORT VHC Report'!$E:$E, 'IMPORT VHC Report'!$A:$C), )</f>
        <v/>
      </c>
      <c r="C14838" s="44"/>
      <c r="D14838" s="44"/>
      <c r="E14838" s="46" t="s">
        <v>10991</v>
      </c>
      <c r="F14838" s="46" t="s">
        <v>880</v>
      </c>
      <c r="G14838" s="46">
        <v>5.359185373455E12</v>
      </c>
      <c r="H14838" s="46" t="s">
        <v>67</v>
      </c>
      <c r="I14838" s="46" t="s">
        <v>68</v>
      </c>
      <c r="J14838" s="46" t="s">
        <v>134</v>
      </c>
      <c r="K14838" s="46" t="s">
        <v>126</v>
      </c>
      <c r="L14838" s="45">
        <v>46013.208333333336</v>
      </c>
      <c r="M14838" s="46" t="s">
        <v>123</v>
      </c>
      <c r="N14838" s="45">
        <v>46013.229166666664</v>
      </c>
      <c r="O14838" s="46" t="s">
        <v>123</v>
      </c>
      <c r="P14838" s="46">
        <v>1800.0</v>
      </c>
    </row>
    <row r="14839">
      <c r="A14839" s="40">
        <f t="shared" si="1"/>
        <v>46013</v>
      </c>
      <c r="B14839" s="37" t="str">
        <f t="array" ref="B14839">iferror(xlookup($I14839, 'IMPORT VHC Report'!$E:$E, 'IMPORT VHC Report'!$A:$C), )</f>
        <v/>
      </c>
      <c r="C14839" s="44"/>
      <c r="D14839" s="44"/>
      <c r="E14839" s="46" t="s">
        <v>10992</v>
      </c>
      <c r="F14839" s="46" t="s">
        <v>880</v>
      </c>
      <c r="G14839" s="46">
        <v>5.359185373455E12</v>
      </c>
      <c r="H14839" s="46" t="s">
        <v>67</v>
      </c>
      <c r="I14839" s="46" t="s">
        <v>68</v>
      </c>
      <c r="J14839" s="46" t="s">
        <v>791</v>
      </c>
      <c r="K14839" s="46" t="s">
        <v>63</v>
      </c>
      <c r="L14839" s="45">
        <v>46013.916666666664</v>
      </c>
      <c r="M14839" s="46" t="s">
        <v>123</v>
      </c>
      <c r="N14839" s="45">
        <v>46014.291666666664</v>
      </c>
      <c r="O14839" s="46" t="s">
        <v>123</v>
      </c>
      <c r="P14839" s="46">
        <v>32400.0</v>
      </c>
    </row>
    <row r="14840">
      <c r="A14840" s="40">
        <f t="shared" si="1"/>
        <v>46013</v>
      </c>
      <c r="B14840" s="37" t="str">
        <f t="array" ref="B14840">iferror(xlookup($I14840, 'IMPORT VHC Report'!$E:$E, 'IMPORT VHC Report'!$A:$C), )</f>
        <v/>
      </c>
      <c r="C14840" s="44"/>
      <c r="D14840" s="44"/>
      <c r="E14840" s="46" t="s">
        <v>10993</v>
      </c>
      <c r="F14840" s="46" t="s">
        <v>880</v>
      </c>
      <c r="G14840" s="46">
        <v>5.359185373455E12</v>
      </c>
      <c r="H14840" s="46" t="s">
        <v>67</v>
      </c>
      <c r="I14840" s="46" t="s">
        <v>68</v>
      </c>
      <c r="J14840" s="46" t="s">
        <v>132</v>
      </c>
      <c r="K14840" s="46" t="s">
        <v>126</v>
      </c>
      <c r="L14840" s="45">
        <v>46014.166666666664</v>
      </c>
      <c r="M14840" s="46" t="s">
        <v>123</v>
      </c>
      <c r="N14840" s="45">
        <v>46014.208333333336</v>
      </c>
      <c r="O14840" s="46" t="s">
        <v>123</v>
      </c>
      <c r="P14840" s="46">
        <v>3600.0</v>
      </c>
    </row>
    <row r="14841">
      <c r="A14841" s="40">
        <f t="shared" si="1"/>
        <v>46013</v>
      </c>
      <c r="B14841" s="37" t="str">
        <f t="array" ref="B14841">iferror(xlookup($I14841, 'IMPORT VHC Report'!$E:$E, 'IMPORT VHC Report'!$A:$C), )</f>
        <v/>
      </c>
      <c r="C14841" s="44"/>
      <c r="D14841" s="44"/>
      <c r="E14841" s="46" t="s">
        <v>10994</v>
      </c>
      <c r="F14841" s="46" t="s">
        <v>880</v>
      </c>
      <c r="G14841" s="46">
        <v>5.359185373455E12</v>
      </c>
      <c r="H14841" s="46" t="s">
        <v>67</v>
      </c>
      <c r="I14841" s="46" t="s">
        <v>68</v>
      </c>
      <c r="J14841" s="46" t="s">
        <v>134</v>
      </c>
      <c r="K14841" s="46" t="s">
        <v>126</v>
      </c>
      <c r="L14841" s="45">
        <v>46014.208333333336</v>
      </c>
      <c r="M14841" s="46" t="s">
        <v>123</v>
      </c>
      <c r="N14841" s="45">
        <v>46014.229166666664</v>
      </c>
      <c r="O14841" s="46" t="s">
        <v>123</v>
      </c>
      <c r="P14841" s="46">
        <v>1800.0</v>
      </c>
    </row>
    <row r="14842">
      <c r="A14842" s="40">
        <f t="shared" si="1"/>
        <v>46013</v>
      </c>
      <c r="B14842" s="37" t="str">
        <f t="array" ref="B14842">iferror(xlookup($I14842, 'IMPORT VHC Report'!$E:$E, 'IMPORT VHC Report'!$A:$C), )</f>
        <v/>
      </c>
      <c r="C14842" s="44"/>
      <c r="D14842" s="44"/>
      <c r="E14842" s="46" t="s">
        <v>10995</v>
      </c>
      <c r="F14842" s="46" t="s">
        <v>880</v>
      </c>
      <c r="G14842" s="46">
        <v>5.359185373455E12</v>
      </c>
      <c r="H14842" s="46" t="s">
        <v>67</v>
      </c>
      <c r="I14842" s="46" t="s">
        <v>68</v>
      </c>
      <c r="J14842" s="46" t="s">
        <v>791</v>
      </c>
      <c r="K14842" s="46" t="s">
        <v>63</v>
      </c>
      <c r="L14842" s="45">
        <v>46014.916666666664</v>
      </c>
      <c r="M14842" s="46" t="s">
        <v>123</v>
      </c>
      <c r="N14842" s="45">
        <v>46015.291666666664</v>
      </c>
      <c r="O14842" s="46" t="s">
        <v>123</v>
      </c>
      <c r="P14842" s="46">
        <v>32400.0</v>
      </c>
    </row>
    <row r="14843">
      <c r="A14843" s="40">
        <f t="shared" si="1"/>
        <v>46013</v>
      </c>
      <c r="B14843" s="37" t="str">
        <f t="array" ref="B14843">iferror(xlookup($I14843, 'IMPORT VHC Report'!$E:$E, 'IMPORT VHC Report'!$A:$C), )</f>
        <v/>
      </c>
      <c r="C14843" s="44"/>
      <c r="D14843" s="44"/>
      <c r="E14843" s="46" t="s">
        <v>10996</v>
      </c>
      <c r="F14843" s="46" t="s">
        <v>880</v>
      </c>
      <c r="G14843" s="46">
        <v>5.359185373455E12</v>
      </c>
      <c r="H14843" s="46" t="s">
        <v>67</v>
      </c>
      <c r="I14843" s="46" t="s">
        <v>68</v>
      </c>
      <c r="J14843" s="46" t="s">
        <v>134</v>
      </c>
      <c r="K14843" s="46" t="s">
        <v>126</v>
      </c>
      <c r="L14843" s="45">
        <v>46015.229166666664</v>
      </c>
      <c r="M14843" s="46" t="s">
        <v>123</v>
      </c>
      <c r="N14843" s="45">
        <v>46015.25</v>
      </c>
      <c r="O14843" s="46" t="s">
        <v>123</v>
      </c>
      <c r="P14843" s="46">
        <v>1800.0</v>
      </c>
    </row>
    <row r="14844">
      <c r="A14844" s="40">
        <f t="shared" si="1"/>
        <v>46013</v>
      </c>
      <c r="B14844" s="37" t="str">
        <f t="array" ref="B14844">iferror(xlookup($I14844, 'IMPORT VHC Report'!$E:$E, 'IMPORT VHC Report'!$A:$C), )</f>
        <v/>
      </c>
      <c r="C14844" s="44"/>
      <c r="D14844" s="44"/>
      <c r="E14844" s="46" t="s">
        <v>10997</v>
      </c>
      <c r="F14844" s="46" t="s">
        <v>880</v>
      </c>
      <c r="G14844" s="46">
        <v>5.359185373455E12</v>
      </c>
      <c r="H14844" s="46" t="s">
        <v>67</v>
      </c>
      <c r="I14844" s="46" t="s">
        <v>68</v>
      </c>
      <c r="J14844" s="46" t="s">
        <v>132</v>
      </c>
      <c r="K14844" s="46" t="s">
        <v>126</v>
      </c>
      <c r="L14844" s="45">
        <v>46015.25</v>
      </c>
      <c r="M14844" s="46" t="s">
        <v>123</v>
      </c>
      <c r="N14844" s="45">
        <v>46015.291666666664</v>
      </c>
      <c r="O14844" s="46" t="s">
        <v>123</v>
      </c>
      <c r="P14844" s="46">
        <v>3600.0</v>
      </c>
    </row>
    <row r="14845">
      <c r="A14845" s="40">
        <f t="shared" si="1"/>
        <v>46013</v>
      </c>
      <c r="B14845" s="37" t="str">
        <f t="array" ref="B14845">iferror(xlookup($I14845, 'IMPORT VHC Report'!$E:$E, 'IMPORT VHC Report'!$A:$C), )</f>
        <v/>
      </c>
      <c r="C14845" s="44"/>
      <c r="D14845" s="44"/>
      <c r="E14845" s="46" t="s">
        <v>10998</v>
      </c>
      <c r="F14845" s="46" t="s">
        <v>880</v>
      </c>
      <c r="G14845" s="46">
        <v>5.359185373455E12</v>
      </c>
      <c r="H14845" s="46" t="s">
        <v>67</v>
      </c>
      <c r="I14845" s="46" t="s">
        <v>68</v>
      </c>
      <c r="J14845" s="46" t="s">
        <v>62</v>
      </c>
      <c r="K14845" s="46" t="s">
        <v>63</v>
      </c>
      <c r="L14845" s="45">
        <v>46015.916666666664</v>
      </c>
      <c r="M14845" s="46" t="s">
        <v>123</v>
      </c>
      <c r="N14845" s="45">
        <v>46016.083333333336</v>
      </c>
      <c r="O14845" s="46" t="s">
        <v>123</v>
      </c>
      <c r="P14845" s="46">
        <v>14400.0</v>
      </c>
    </row>
    <row r="14846">
      <c r="A14846" s="40">
        <f t="shared" si="1"/>
        <v>46013</v>
      </c>
      <c r="B14846" s="37" t="str">
        <f t="array" ref="B14846">iferror(xlookup($I14846, 'IMPORT VHC Report'!$E:$E, 'IMPORT VHC Report'!$A:$C), )</f>
        <v/>
      </c>
      <c r="C14846" s="44"/>
      <c r="D14846" s="44"/>
      <c r="E14846" s="46" t="s">
        <v>10999</v>
      </c>
      <c r="F14846" s="46" t="s">
        <v>880</v>
      </c>
      <c r="G14846" s="46">
        <v>5.359185373455E12</v>
      </c>
      <c r="H14846" s="46" t="s">
        <v>67</v>
      </c>
      <c r="I14846" s="46" t="s">
        <v>68</v>
      </c>
      <c r="J14846" s="46" t="s">
        <v>136</v>
      </c>
      <c r="K14846" s="46" t="s">
        <v>126</v>
      </c>
      <c r="L14846" s="45">
        <v>46016.0</v>
      </c>
      <c r="M14846" s="46" t="s">
        <v>123</v>
      </c>
      <c r="N14846" s="45">
        <v>46016.041666666664</v>
      </c>
      <c r="O14846" s="46" t="s">
        <v>123</v>
      </c>
      <c r="P14846" s="46">
        <v>3600.0</v>
      </c>
      <c r="S14846" s="46" t="s">
        <v>137</v>
      </c>
    </row>
    <row r="14847">
      <c r="A14847" s="40">
        <f t="shared" si="1"/>
        <v>46013</v>
      </c>
      <c r="B14847" s="37" t="str">
        <f t="array" ref="B14847">iferror(xlookup($I14847, 'IMPORT VHC Report'!$E:$E, 'IMPORT VHC Report'!$A:$C), )</f>
        <v/>
      </c>
      <c r="C14847" s="44"/>
      <c r="D14847" s="44"/>
      <c r="E14847" s="46" t="s">
        <v>11000</v>
      </c>
      <c r="F14847" s="46" t="s">
        <v>880</v>
      </c>
      <c r="G14847" s="46">
        <v>5.359185373455E12</v>
      </c>
      <c r="H14847" s="46" t="s">
        <v>67</v>
      </c>
      <c r="I14847" s="46" t="s">
        <v>68</v>
      </c>
      <c r="J14847" s="46" t="s">
        <v>791</v>
      </c>
      <c r="K14847" s="46" t="s">
        <v>63</v>
      </c>
      <c r="L14847" s="45">
        <v>46016.083333333336</v>
      </c>
      <c r="M14847" s="46" t="s">
        <v>123</v>
      </c>
      <c r="N14847" s="45">
        <v>46016.291666666664</v>
      </c>
      <c r="O14847" s="46" t="s">
        <v>123</v>
      </c>
      <c r="P14847" s="46">
        <v>18000.0</v>
      </c>
    </row>
    <row r="14848">
      <c r="A14848" s="40">
        <f t="shared" si="1"/>
        <v>46013</v>
      </c>
      <c r="B14848" s="37" t="str">
        <f t="array" ref="B14848">iferror(xlookup($I14848, 'IMPORT VHC Report'!$E:$E, 'IMPORT VHC Report'!$A:$C), )</f>
        <v/>
      </c>
      <c r="C14848" s="44"/>
      <c r="D14848" s="44"/>
      <c r="E14848" s="46" t="s">
        <v>11001</v>
      </c>
      <c r="F14848" s="46" t="s">
        <v>880</v>
      </c>
      <c r="G14848" s="46">
        <v>5.359185373455E12</v>
      </c>
      <c r="H14848" s="46" t="s">
        <v>67</v>
      </c>
      <c r="I14848" s="46" t="s">
        <v>68</v>
      </c>
      <c r="J14848" s="46" t="s">
        <v>134</v>
      </c>
      <c r="K14848" s="46" t="s">
        <v>126</v>
      </c>
      <c r="L14848" s="45">
        <v>46016.229166666664</v>
      </c>
      <c r="M14848" s="46" t="s">
        <v>123</v>
      </c>
      <c r="N14848" s="45">
        <v>46016.25</v>
      </c>
      <c r="O14848" s="46" t="s">
        <v>123</v>
      </c>
      <c r="P14848" s="46">
        <v>1800.0</v>
      </c>
    </row>
    <row r="14849">
      <c r="A14849" s="40">
        <f t="shared" si="1"/>
        <v>46013</v>
      </c>
      <c r="B14849" s="37" t="str">
        <f t="array" ref="B14849">iferror(xlookup($I14849, 'IMPORT VHC Report'!$E:$E, 'IMPORT VHC Report'!$A:$C), )</f>
        <v/>
      </c>
      <c r="C14849" s="44"/>
      <c r="D14849" s="44"/>
      <c r="E14849" s="46" t="s">
        <v>11002</v>
      </c>
      <c r="F14849" s="46" t="s">
        <v>880</v>
      </c>
      <c r="G14849" s="46">
        <v>5.359185373455E12</v>
      </c>
      <c r="H14849" s="46" t="s">
        <v>67</v>
      </c>
      <c r="I14849" s="46" t="s">
        <v>68</v>
      </c>
      <c r="J14849" s="46" t="s">
        <v>132</v>
      </c>
      <c r="K14849" s="46" t="s">
        <v>126</v>
      </c>
      <c r="L14849" s="45">
        <v>46016.25</v>
      </c>
      <c r="M14849" s="46" t="s">
        <v>123</v>
      </c>
      <c r="N14849" s="45">
        <v>46016.291666666664</v>
      </c>
      <c r="O14849" s="46" t="s">
        <v>123</v>
      </c>
      <c r="P14849" s="46">
        <v>3600.0</v>
      </c>
    </row>
    <row r="14850">
      <c r="A14850" s="40">
        <f t="shared" si="1"/>
        <v>46013</v>
      </c>
      <c r="B14850" s="37" t="str">
        <f t="array" ref="B14850">iferror(xlookup($I14850, 'IMPORT VHC Report'!$E:$E, 'IMPORT VHC Report'!$A:$C), )</f>
        <v/>
      </c>
      <c r="C14850" s="44"/>
      <c r="D14850" s="44"/>
      <c r="E14850" s="46" t="s">
        <v>11003</v>
      </c>
      <c r="F14850" s="46" t="s">
        <v>880</v>
      </c>
      <c r="G14850" s="46">
        <v>5.359185373455E12</v>
      </c>
      <c r="H14850" s="46" t="s">
        <v>67</v>
      </c>
      <c r="I14850" s="46" t="s">
        <v>68</v>
      </c>
      <c r="J14850" s="46" t="s">
        <v>178</v>
      </c>
      <c r="K14850" s="46" t="s">
        <v>153</v>
      </c>
      <c r="L14850" s="45">
        <v>46016.916666666664</v>
      </c>
      <c r="M14850" s="46" t="s">
        <v>123</v>
      </c>
      <c r="N14850" s="45">
        <v>46017.25</v>
      </c>
      <c r="O14850" s="46" t="s">
        <v>123</v>
      </c>
      <c r="P14850" s="46">
        <v>28800.0</v>
      </c>
      <c r="Q14850" s="46">
        <v>57600.0</v>
      </c>
      <c r="R14850" s="46" t="s">
        <v>11004</v>
      </c>
    </row>
    <row r="14851">
      <c r="A14851" s="40">
        <f t="shared" si="1"/>
        <v>46013</v>
      </c>
      <c r="B14851" s="37" t="str">
        <f t="array" ref="B14851">iferror(xlookup($I14851, 'IMPORT VHC Report'!$E:$E, 'IMPORT VHC Report'!$A:$C), )</f>
        <v/>
      </c>
      <c r="C14851" s="44"/>
      <c r="D14851" s="44"/>
      <c r="E14851" s="46" t="s">
        <v>11005</v>
      </c>
      <c r="F14851" s="46" t="s">
        <v>880</v>
      </c>
      <c r="G14851" s="46">
        <v>5.359185373455E12</v>
      </c>
      <c r="H14851" s="46" t="s">
        <v>67</v>
      </c>
      <c r="I14851" s="46" t="s">
        <v>68</v>
      </c>
      <c r="J14851" s="46" t="s">
        <v>791</v>
      </c>
      <c r="K14851" s="46" t="s">
        <v>63</v>
      </c>
      <c r="L14851" s="45">
        <v>46016.916666666664</v>
      </c>
      <c r="M14851" s="46" t="s">
        <v>123</v>
      </c>
      <c r="N14851" s="45">
        <v>46017.25</v>
      </c>
      <c r="O14851" s="46" t="s">
        <v>123</v>
      </c>
      <c r="P14851" s="46">
        <v>28800.0</v>
      </c>
    </row>
    <row r="14852">
      <c r="A14852" s="40">
        <f t="shared" si="1"/>
        <v>46013</v>
      </c>
      <c r="B14852" s="37" t="str">
        <f t="array" ref="B14852">iferror(xlookup($I14852, 'IMPORT VHC Report'!$E:$E, 'IMPORT VHC Report'!$A:$C), )</f>
        <v/>
      </c>
      <c r="C14852" s="44"/>
      <c r="D14852" s="44"/>
      <c r="E14852" s="46" t="s">
        <v>11006</v>
      </c>
      <c r="F14852" s="46" t="s">
        <v>880</v>
      </c>
      <c r="G14852" s="46">
        <v>5.359185373455E12</v>
      </c>
      <c r="H14852" s="46" t="s">
        <v>67</v>
      </c>
      <c r="I14852" s="46" t="s">
        <v>68</v>
      </c>
      <c r="J14852" s="46" t="s">
        <v>132</v>
      </c>
      <c r="K14852" s="46" t="s">
        <v>126</v>
      </c>
      <c r="L14852" s="45">
        <v>46017.166666666664</v>
      </c>
      <c r="M14852" s="46" t="s">
        <v>123</v>
      </c>
      <c r="N14852" s="45">
        <v>46017.208333333336</v>
      </c>
      <c r="O14852" s="46" t="s">
        <v>123</v>
      </c>
      <c r="P14852" s="46">
        <v>3600.0</v>
      </c>
    </row>
    <row r="14853">
      <c r="A14853" s="40">
        <f t="shared" si="1"/>
        <v>46013</v>
      </c>
      <c r="B14853" s="37" t="str">
        <f t="array" ref="B14853">iferror(xlookup($I14853, 'IMPORT VHC Report'!$E:$E, 'IMPORT VHC Report'!$A:$C), )</f>
        <v/>
      </c>
      <c r="C14853" s="44"/>
      <c r="D14853" s="44"/>
      <c r="E14853" s="46" t="s">
        <v>11007</v>
      </c>
      <c r="F14853" s="46" t="s">
        <v>880</v>
      </c>
      <c r="G14853" s="46">
        <v>5.359185373455E12</v>
      </c>
      <c r="H14853" s="46" t="s">
        <v>67</v>
      </c>
      <c r="I14853" s="46" t="s">
        <v>68</v>
      </c>
      <c r="J14853" s="46" t="s">
        <v>134</v>
      </c>
      <c r="K14853" s="46" t="s">
        <v>126</v>
      </c>
      <c r="L14853" s="45">
        <v>46017.208333333336</v>
      </c>
      <c r="M14853" s="46" t="s">
        <v>123</v>
      </c>
      <c r="N14853" s="45">
        <v>46017.229166666664</v>
      </c>
      <c r="O14853" s="46" t="s">
        <v>123</v>
      </c>
      <c r="P14853" s="46">
        <v>1800.0</v>
      </c>
    </row>
    <row r="14854">
      <c r="A14854" s="40">
        <f t="shared" si="1"/>
        <v>46013</v>
      </c>
      <c r="B14854" s="37" t="str">
        <f t="array" ref="B14854">iferror(xlookup($I14854, 'IMPORT VHC Report'!$E:$E, 'IMPORT VHC Report'!$A:$C), )</f>
        <v/>
      </c>
      <c r="C14854" s="44"/>
      <c r="D14854" s="44"/>
      <c r="E14854" s="46" t="s">
        <v>11008</v>
      </c>
      <c r="F14854" s="46" t="s">
        <v>880</v>
      </c>
      <c r="G14854" s="46">
        <v>5.359185373455E12</v>
      </c>
      <c r="H14854" s="46" t="s">
        <v>67</v>
      </c>
      <c r="I14854" s="46" t="s">
        <v>68</v>
      </c>
      <c r="J14854" s="46" t="s">
        <v>4</v>
      </c>
      <c r="K14854" s="46" t="s">
        <v>126</v>
      </c>
      <c r="L14854" s="45">
        <v>46019.916666666664</v>
      </c>
      <c r="M14854" s="46" t="s">
        <v>123</v>
      </c>
      <c r="N14854" s="45">
        <v>46019.927083333336</v>
      </c>
      <c r="O14854" s="46" t="s">
        <v>123</v>
      </c>
      <c r="P14854" s="46">
        <v>900.0</v>
      </c>
      <c r="S14854" s="46" t="s">
        <v>3332</v>
      </c>
    </row>
    <row r="14855">
      <c r="A14855" s="40">
        <f t="shared" si="1"/>
        <v>46013</v>
      </c>
      <c r="B14855" s="37" t="str">
        <f t="array" ref="B14855">iferror(xlookup($I14855, 'IMPORT VHC Report'!$E:$E, 'IMPORT VHC Report'!$A:$C), )</f>
        <v/>
      </c>
      <c r="C14855" s="44"/>
      <c r="D14855" s="44"/>
      <c r="E14855" s="46" t="s">
        <v>11009</v>
      </c>
      <c r="F14855" s="46" t="s">
        <v>880</v>
      </c>
      <c r="G14855" s="46">
        <v>5.359185373455E12</v>
      </c>
      <c r="H14855" s="46" t="s">
        <v>67</v>
      </c>
      <c r="I14855" s="46" t="s">
        <v>68</v>
      </c>
      <c r="J14855" s="46" t="s">
        <v>791</v>
      </c>
      <c r="K14855" s="46" t="s">
        <v>63</v>
      </c>
      <c r="L14855" s="45">
        <v>46019.916666666664</v>
      </c>
      <c r="M14855" s="46" t="s">
        <v>123</v>
      </c>
      <c r="N14855" s="45">
        <v>46020.291666666664</v>
      </c>
      <c r="O14855" s="46" t="s">
        <v>123</v>
      </c>
      <c r="P14855" s="46">
        <v>32400.0</v>
      </c>
    </row>
    <row r="14856">
      <c r="A14856" s="40">
        <f t="shared" si="1"/>
        <v>46013</v>
      </c>
      <c r="B14856" s="37" t="str">
        <f t="array" ref="B14856">iferror(xlookup($I14856, 'IMPORT VHC Report'!$E:$E, 'IMPORT VHC Report'!$A:$C), )</f>
        <v/>
      </c>
      <c r="C14856" s="44"/>
      <c r="D14856" s="44"/>
      <c r="E14856" s="46" t="s">
        <v>11010</v>
      </c>
      <c r="F14856" s="46" t="s">
        <v>1401</v>
      </c>
      <c r="G14856" s="46">
        <v>8.409870322319E12</v>
      </c>
      <c r="H14856" s="46" t="s">
        <v>84</v>
      </c>
      <c r="I14856" s="46" t="s">
        <v>85</v>
      </c>
      <c r="J14856" s="46" t="s">
        <v>791</v>
      </c>
      <c r="K14856" s="46" t="s">
        <v>63</v>
      </c>
      <c r="L14856" s="45">
        <v>46013.0</v>
      </c>
      <c r="M14856" s="46" t="s">
        <v>123</v>
      </c>
      <c r="N14856" s="45">
        <v>46013.291666666664</v>
      </c>
      <c r="O14856" s="46" t="s">
        <v>123</v>
      </c>
      <c r="P14856" s="46">
        <v>25200.0</v>
      </c>
    </row>
    <row r="14857">
      <c r="A14857" s="40">
        <f t="shared" si="1"/>
        <v>46013</v>
      </c>
      <c r="B14857" s="37" t="str">
        <f t="array" ref="B14857">iferror(xlookup($I14857, 'IMPORT VHC Report'!$E:$E, 'IMPORT VHC Report'!$A:$C), )</f>
        <v/>
      </c>
      <c r="C14857" s="44"/>
      <c r="D14857" s="44"/>
      <c r="E14857" s="46" t="s">
        <v>11011</v>
      </c>
      <c r="F14857" s="46" t="s">
        <v>1401</v>
      </c>
      <c r="G14857" s="46">
        <v>8.409870322319E12</v>
      </c>
      <c r="H14857" s="46" t="s">
        <v>84</v>
      </c>
      <c r="I14857" s="46" t="s">
        <v>85</v>
      </c>
      <c r="J14857" s="46" t="s">
        <v>134</v>
      </c>
      <c r="K14857" s="46" t="s">
        <v>126</v>
      </c>
      <c r="L14857" s="45">
        <v>46013.229166666664</v>
      </c>
      <c r="M14857" s="46" t="s">
        <v>123</v>
      </c>
      <c r="N14857" s="45">
        <v>46013.25</v>
      </c>
      <c r="O14857" s="46" t="s">
        <v>123</v>
      </c>
      <c r="P14857" s="46">
        <v>1800.0</v>
      </c>
    </row>
    <row r="14858">
      <c r="A14858" s="40">
        <f t="shared" si="1"/>
        <v>46013</v>
      </c>
      <c r="B14858" s="37" t="str">
        <f t="array" ref="B14858">iferror(xlookup($I14858, 'IMPORT VHC Report'!$E:$E, 'IMPORT VHC Report'!$A:$C), )</f>
        <v/>
      </c>
      <c r="C14858" s="44"/>
      <c r="D14858" s="44"/>
      <c r="E14858" s="46" t="s">
        <v>11012</v>
      </c>
      <c r="F14858" s="46" t="s">
        <v>1401</v>
      </c>
      <c r="G14858" s="46">
        <v>8.409870322319E12</v>
      </c>
      <c r="H14858" s="46" t="s">
        <v>84</v>
      </c>
      <c r="I14858" s="46" t="s">
        <v>85</v>
      </c>
      <c r="J14858" s="46" t="s">
        <v>132</v>
      </c>
      <c r="K14858" s="46" t="s">
        <v>126</v>
      </c>
      <c r="L14858" s="45">
        <v>46013.25</v>
      </c>
      <c r="M14858" s="46" t="s">
        <v>123</v>
      </c>
      <c r="N14858" s="45">
        <v>46013.291666666664</v>
      </c>
      <c r="O14858" s="46" t="s">
        <v>123</v>
      </c>
      <c r="P14858" s="46">
        <v>3600.0</v>
      </c>
    </row>
    <row r="14859">
      <c r="A14859" s="40">
        <f t="shared" si="1"/>
        <v>46013</v>
      </c>
      <c r="B14859" s="37" t="str">
        <f t="array" ref="B14859">iferror(xlookup($I14859, 'IMPORT VHC Report'!$E:$E, 'IMPORT VHC Report'!$A:$C), )</f>
        <v/>
      </c>
      <c r="C14859" s="44"/>
      <c r="D14859" s="44"/>
      <c r="E14859" s="46" t="s">
        <v>11013</v>
      </c>
      <c r="F14859" s="46" t="s">
        <v>1401</v>
      </c>
      <c r="G14859" s="46">
        <v>8.409870322319E12</v>
      </c>
      <c r="H14859" s="46" t="s">
        <v>84</v>
      </c>
      <c r="I14859" s="46" t="s">
        <v>85</v>
      </c>
      <c r="J14859" s="46" t="s">
        <v>791</v>
      </c>
      <c r="K14859" s="46" t="s">
        <v>63</v>
      </c>
      <c r="L14859" s="45">
        <v>46013.916666666664</v>
      </c>
      <c r="M14859" s="46" t="s">
        <v>123</v>
      </c>
      <c r="N14859" s="45">
        <v>46014.291666666664</v>
      </c>
      <c r="O14859" s="46" t="s">
        <v>123</v>
      </c>
      <c r="P14859" s="46">
        <v>32400.0</v>
      </c>
    </row>
    <row r="14860">
      <c r="A14860" s="40">
        <f t="shared" si="1"/>
        <v>46013</v>
      </c>
      <c r="B14860" s="37" t="str">
        <f t="array" ref="B14860">iferror(xlookup($I14860, 'IMPORT VHC Report'!$E:$E, 'IMPORT VHC Report'!$A:$C), )</f>
        <v/>
      </c>
      <c r="C14860" s="44"/>
      <c r="D14860" s="44"/>
      <c r="E14860" s="46" t="s">
        <v>11014</v>
      </c>
      <c r="F14860" s="46" t="s">
        <v>1401</v>
      </c>
      <c r="G14860" s="46">
        <v>8.409870322319E12</v>
      </c>
      <c r="H14860" s="46" t="s">
        <v>84</v>
      </c>
      <c r="I14860" s="46" t="s">
        <v>85</v>
      </c>
      <c r="J14860" s="46" t="s">
        <v>134</v>
      </c>
      <c r="K14860" s="46" t="s">
        <v>126</v>
      </c>
      <c r="L14860" s="45">
        <v>46014.166666666664</v>
      </c>
      <c r="M14860" s="46" t="s">
        <v>123</v>
      </c>
      <c r="N14860" s="45">
        <v>46014.1875</v>
      </c>
      <c r="O14860" s="46" t="s">
        <v>123</v>
      </c>
      <c r="P14860" s="46">
        <v>1800.0</v>
      </c>
    </row>
    <row r="14861">
      <c r="A14861" s="40">
        <f t="shared" si="1"/>
        <v>46013</v>
      </c>
      <c r="B14861" s="37" t="str">
        <f t="array" ref="B14861">iferror(xlookup($I14861, 'IMPORT VHC Report'!$E:$E, 'IMPORT VHC Report'!$A:$C), )</f>
        <v/>
      </c>
      <c r="C14861" s="44"/>
      <c r="D14861" s="44"/>
      <c r="E14861" s="46" t="s">
        <v>11015</v>
      </c>
      <c r="F14861" s="46" t="s">
        <v>1401</v>
      </c>
      <c r="G14861" s="46">
        <v>8.409870322319E12</v>
      </c>
      <c r="H14861" s="46" t="s">
        <v>84</v>
      </c>
      <c r="I14861" s="46" t="s">
        <v>85</v>
      </c>
      <c r="J14861" s="46" t="s">
        <v>132</v>
      </c>
      <c r="K14861" s="46" t="s">
        <v>126</v>
      </c>
      <c r="L14861" s="45">
        <v>46014.1875</v>
      </c>
      <c r="M14861" s="46" t="s">
        <v>123</v>
      </c>
      <c r="N14861" s="45">
        <v>46014.229166666664</v>
      </c>
      <c r="O14861" s="46" t="s">
        <v>123</v>
      </c>
      <c r="P14861" s="46">
        <v>3600.0</v>
      </c>
    </row>
    <row r="14862">
      <c r="A14862" s="40">
        <f t="shared" si="1"/>
        <v>46013</v>
      </c>
      <c r="B14862" s="37" t="str">
        <f t="array" ref="B14862">iferror(xlookup($I14862, 'IMPORT VHC Report'!$E:$E, 'IMPORT VHC Report'!$A:$C), )</f>
        <v/>
      </c>
      <c r="C14862" s="44"/>
      <c r="D14862" s="44"/>
      <c r="E14862" s="46" t="s">
        <v>11016</v>
      </c>
      <c r="F14862" s="46" t="s">
        <v>1401</v>
      </c>
      <c r="G14862" s="46">
        <v>8.409870322319E12</v>
      </c>
      <c r="H14862" s="46" t="s">
        <v>84</v>
      </c>
      <c r="I14862" s="46" t="s">
        <v>85</v>
      </c>
      <c r="J14862" s="46" t="s">
        <v>62</v>
      </c>
      <c r="K14862" s="46" t="s">
        <v>63</v>
      </c>
      <c r="L14862" s="45">
        <v>46014.916666666664</v>
      </c>
      <c r="M14862" s="46" t="s">
        <v>123</v>
      </c>
      <c r="N14862" s="45">
        <v>46015.083333333336</v>
      </c>
      <c r="O14862" s="46" t="s">
        <v>123</v>
      </c>
      <c r="P14862" s="46">
        <v>14400.0</v>
      </c>
    </row>
    <row r="14863">
      <c r="A14863" s="40">
        <f t="shared" si="1"/>
        <v>46013</v>
      </c>
      <c r="B14863" s="37" t="str">
        <f t="array" ref="B14863">iferror(xlookup($I14863, 'IMPORT VHC Report'!$E:$E, 'IMPORT VHC Report'!$A:$C), )</f>
        <v/>
      </c>
      <c r="C14863" s="44"/>
      <c r="D14863" s="44"/>
      <c r="E14863" s="46" t="s">
        <v>11017</v>
      </c>
      <c r="F14863" s="46" t="s">
        <v>1401</v>
      </c>
      <c r="G14863" s="46">
        <v>8.409870322319E12</v>
      </c>
      <c r="H14863" s="46" t="s">
        <v>84</v>
      </c>
      <c r="I14863" s="46" t="s">
        <v>85</v>
      </c>
      <c r="J14863" s="46" t="s">
        <v>791</v>
      </c>
      <c r="K14863" s="46" t="s">
        <v>63</v>
      </c>
      <c r="L14863" s="45">
        <v>46015.083333333336</v>
      </c>
      <c r="M14863" s="46" t="s">
        <v>123</v>
      </c>
      <c r="N14863" s="45">
        <v>46015.291666666664</v>
      </c>
      <c r="O14863" s="46" t="s">
        <v>123</v>
      </c>
      <c r="P14863" s="46">
        <v>18000.0</v>
      </c>
    </row>
    <row r="14864">
      <c r="A14864" s="40">
        <f t="shared" si="1"/>
        <v>46013</v>
      </c>
      <c r="B14864" s="37" t="str">
        <f t="array" ref="B14864">iferror(xlookup($I14864, 'IMPORT VHC Report'!$E:$E, 'IMPORT VHC Report'!$A:$C), )</f>
        <v/>
      </c>
      <c r="C14864" s="44"/>
      <c r="D14864" s="44"/>
      <c r="E14864" s="46" t="s">
        <v>11018</v>
      </c>
      <c r="F14864" s="46" t="s">
        <v>1401</v>
      </c>
      <c r="G14864" s="46">
        <v>8.409870322319E12</v>
      </c>
      <c r="H14864" s="46" t="s">
        <v>84</v>
      </c>
      <c r="I14864" s="46" t="s">
        <v>85</v>
      </c>
      <c r="J14864" s="46" t="s">
        <v>132</v>
      </c>
      <c r="K14864" s="46" t="s">
        <v>126</v>
      </c>
      <c r="L14864" s="45">
        <v>46015.166666666664</v>
      </c>
      <c r="M14864" s="46" t="s">
        <v>123</v>
      </c>
      <c r="N14864" s="45">
        <v>46015.208333333336</v>
      </c>
      <c r="O14864" s="46" t="s">
        <v>123</v>
      </c>
      <c r="P14864" s="46">
        <v>3600.0</v>
      </c>
    </row>
    <row r="14865">
      <c r="A14865" s="40">
        <f t="shared" si="1"/>
        <v>46013</v>
      </c>
      <c r="B14865" s="37" t="str">
        <f t="array" ref="B14865">iferror(xlookup($I14865, 'IMPORT VHC Report'!$E:$E, 'IMPORT VHC Report'!$A:$C), )</f>
        <v/>
      </c>
      <c r="C14865" s="44"/>
      <c r="D14865" s="44"/>
      <c r="E14865" s="46" t="s">
        <v>11019</v>
      </c>
      <c r="F14865" s="46" t="s">
        <v>1401</v>
      </c>
      <c r="G14865" s="46">
        <v>8.409870322319E12</v>
      </c>
      <c r="H14865" s="46" t="s">
        <v>84</v>
      </c>
      <c r="I14865" s="46" t="s">
        <v>85</v>
      </c>
      <c r="J14865" s="46" t="s">
        <v>134</v>
      </c>
      <c r="K14865" s="46" t="s">
        <v>126</v>
      </c>
      <c r="L14865" s="45">
        <v>46015.208333333336</v>
      </c>
      <c r="M14865" s="46" t="s">
        <v>123</v>
      </c>
      <c r="N14865" s="45">
        <v>46015.229166666664</v>
      </c>
      <c r="O14865" s="46" t="s">
        <v>123</v>
      </c>
      <c r="P14865" s="46">
        <v>1800.0</v>
      </c>
    </row>
    <row r="14866">
      <c r="A14866" s="40">
        <f t="shared" si="1"/>
        <v>46013</v>
      </c>
      <c r="B14866" s="37" t="str">
        <f t="array" ref="B14866">iferror(xlookup($I14866, 'IMPORT VHC Report'!$E:$E, 'IMPORT VHC Report'!$A:$C), )</f>
        <v/>
      </c>
      <c r="C14866" s="44"/>
      <c r="D14866" s="44"/>
      <c r="E14866" s="46" t="s">
        <v>11020</v>
      </c>
      <c r="F14866" s="46" t="s">
        <v>1401</v>
      </c>
      <c r="G14866" s="46">
        <v>8.409870322319E12</v>
      </c>
      <c r="H14866" s="46" t="s">
        <v>84</v>
      </c>
      <c r="I14866" s="46" t="s">
        <v>85</v>
      </c>
      <c r="J14866" s="46" t="s">
        <v>791</v>
      </c>
      <c r="K14866" s="46" t="s">
        <v>63</v>
      </c>
      <c r="L14866" s="45">
        <v>46015.916666666664</v>
      </c>
      <c r="M14866" s="46" t="s">
        <v>123</v>
      </c>
      <c r="N14866" s="45">
        <v>46016.291666666664</v>
      </c>
      <c r="O14866" s="46" t="s">
        <v>123</v>
      </c>
      <c r="P14866" s="46">
        <v>32400.0</v>
      </c>
    </row>
    <row r="14867">
      <c r="A14867" s="40">
        <f t="shared" si="1"/>
        <v>46013</v>
      </c>
      <c r="B14867" s="37" t="str">
        <f t="array" ref="B14867">iferror(xlookup($I14867, 'IMPORT VHC Report'!$E:$E, 'IMPORT VHC Report'!$A:$C), )</f>
        <v/>
      </c>
      <c r="C14867" s="44"/>
      <c r="D14867" s="44"/>
      <c r="E14867" s="46" t="s">
        <v>11021</v>
      </c>
      <c r="F14867" s="46" t="s">
        <v>1401</v>
      </c>
      <c r="G14867" s="46">
        <v>8.409870322319E12</v>
      </c>
      <c r="H14867" s="46" t="s">
        <v>84</v>
      </c>
      <c r="I14867" s="46" t="s">
        <v>85</v>
      </c>
      <c r="J14867" s="46" t="s">
        <v>136</v>
      </c>
      <c r="K14867" s="46" t="s">
        <v>126</v>
      </c>
      <c r="L14867" s="45">
        <v>46016.0</v>
      </c>
      <c r="M14867" s="46" t="s">
        <v>123</v>
      </c>
      <c r="N14867" s="45">
        <v>46016.041666666664</v>
      </c>
      <c r="O14867" s="46" t="s">
        <v>123</v>
      </c>
      <c r="P14867" s="46">
        <v>3600.0</v>
      </c>
      <c r="S14867" s="46" t="s">
        <v>137</v>
      </c>
    </row>
    <row r="14868">
      <c r="A14868" s="40">
        <f t="shared" si="1"/>
        <v>46013</v>
      </c>
      <c r="B14868" s="37" t="str">
        <f t="array" ref="B14868">iferror(xlookup($I14868, 'IMPORT VHC Report'!$E:$E, 'IMPORT VHC Report'!$A:$C), )</f>
        <v/>
      </c>
      <c r="C14868" s="44"/>
      <c r="D14868" s="44"/>
      <c r="E14868" s="46" t="s">
        <v>11022</v>
      </c>
      <c r="F14868" s="46" t="s">
        <v>1401</v>
      </c>
      <c r="G14868" s="46">
        <v>8.409870322319E12</v>
      </c>
      <c r="H14868" s="46" t="s">
        <v>84</v>
      </c>
      <c r="I14868" s="46" t="s">
        <v>85</v>
      </c>
      <c r="J14868" s="46" t="s">
        <v>132</v>
      </c>
      <c r="K14868" s="46" t="s">
        <v>126</v>
      </c>
      <c r="L14868" s="45">
        <v>46016.229166666664</v>
      </c>
      <c r="M14868" s="46" t="s">
        <v>123</v>
      </c>
      <c r="N14868" s="45">
        <v>46016.270833333336</v>
      </c>
      <c r="O14868" s="46" t="s">
        <v>123</v>
      </c>
      <c r="P14868" s="46">
        <v>3600.0</v>
      </c>
    </row>
    <row r="14869">
      <c r="A14869" s="40">
        <f t="shared" si="1"/>
        <v>46013</v>
      </c>
      <c r="B14869" s="37" t="str">
        <f t="array" ref="B14869">iferror(xlookup($I14869, 'IMPORT VHC Report'!$E:$E, 'IMPORT VHC Report'!$A:$C), )</f>
        <v/>
      </c>
      <c r="C14869" s="44"/>
      <c r="D14869" s="44"/>
      <c r="E14869" s="46" t="s">
        <v>11023</v>
      </c>
      <c r="F14869" s="46" t="s">
        <v>1401</v>
      </c>
      <c r="G14869" s="46">
        <v>8.409870322319E12</v>
      </c>
      <c r="H14869" s="46" t="s">
        <v>84</v>
      </c>
      <c r="I14869" s="46" t="s">
        <v>85</v>
      </c>
      <c r="J14869" s="46" t="s">
        <v>134</v>
      </c>
      <c r="K14869" s="46" t="s">
        <v>126</v>
      </c>
      <c r="L14869" s="45">
        <v>46016.270833333336</v>
      </c>
      <c r="M14869" s="46" t="s">
        <v>123</v>
      </c>
      <c r="N14869" s="45">
        <v>46016.291666666664</v>
      </c>
      <c r="O14869" s="46" t="s">
        <v>123</v>
      </c>
      <c r="P14869" s="46">
        <v>1800.0</v>
      </c>
    </row>
    <row r="14870">
      <c r="A14870" s="40">
        <f t="shared" si="1"/>
        <v>46013</v>
      </c>
      <c r="B14870" s="37" t="str">
        <f t="array" ref="B14870">iferror(xlookup($I14870, 'IMPORT VHC Report'!$E:$E, 'IMPORT VHC Report'!$A:$C), )</f>
        <v/>
      </c>
      <c r="C14870" s="44"/>
      <c r="D14870" s="44"/>
      <c r="E14870" s="46" t="s">
        <v>11024</v>
      </c>
      <c r="F14870" s="46" t="s">
        <v>1401</v>
      </c>
      <c r="G14870" s="46">
        <v>8.409870322319E12</v>
      </c>
      <c r="H14870" s="46" t="s">
        <v>84</v>
      </c>
      <c r="I14870" s="46" t="s">
        <v>85</v>
      </c>
      <c r="J14870" s="46" t="s">
        <v>791</v>
      </c>
      <c r="K14870" s="46" t="s">
        <v>63</v>
      </c>
      <c r="L14870" s="45">
        <v>46016.916666666664</v>
      </c>
      <c r="M14870" s="46" t="s">
        <v>123</v>
      </c>
      <c r="N14870" s="45">
        <v>46017.291666666664</v>
      </c>
      <c r="O14870" s="46" t="s">
        <v>123</v>
      </c>
      <c r="P14870" s="46">
        <v>32400.0</v>
      </c>
    </row>
    <row r="14871">
      <c r="A14871" s="40">
        <f t="shared" si="1"/>
        <v>46013</v>
      </c>
      <c r="B14871" s="37" t="str">
        <f t="array" ref="B14871">iferror(xlookup($I14871, 'IMPORT VHC Report'!$E:$E, 'IMPORT VHC Report'!$A:$C), )</f>
        <v/>
      </c>
      <c r="C14871" s="44"/>
      <c r="D14871" s="44"/>
      <c r="E14871" s="46" t="s">
        <v>11025</v>
      </c>
      <c r="F14871" s="46" t="s">
        <v>1401</v>
      </c>
      <c r="G14871" s="46">
        <v>8.409870322319E12</v>
      </c>
      <c r="H14871" s="46" t="s">
        <v>84</v>
      </c>
      <c r="I14871" s="46" t="s">
        <v>85</v>
      </c>
      <c r="J14871" s="46" t="s">
        <v>132</v>
      </c>
      <c r="K14871" s="46" t="s">
        <v>126</v>
      </c>
      <c r="L14871" s="45">
        <v>46017.166666666664</v>
      </c>
      <c r="M14871" s="46" t="s">
        <v>123</v>
      </c>
      <c r="N14871" s="45">
        <v>46017.208333333336</v>
      </c>
      <c r="O14871" s="46" t="s">
        <v>123</v>
      </c>
      <c r="P14871" s="46">
        <v>3600.0</v>
      </c>
    </row>
    <row r="14872">
      <c r="A14872" s="40">
        <f t="shared" si="1"/>
        <v>46013</v>
      </c>
      <c r="B14872" s="37" t="str">
        <f t="array" ref="B14872">iferror(xlookup($I14872, 'IMPORT VHC Report'!$E:$E, 'IMPORT VHC Report'!$A:$C), )</f>
        <v/>
      </c>
      <c r="C14872" s="44"/>
      <c r="D14872" s="44"/>
      <c r="E14872" s="46" t="s">
        <v>11026</v>
      </c>
      <c r="F14872" s="46" t="s">
        <v>1401</v>
      </c>
      <c r="G14872" s="46">
        <v>8.409870322319E12</v>
      </c>
      <c r="H14872" s="46" t="s">
        <v>84</v>
      </c>
      <c r="I14872" s="46" t="s">
        <v>85</v>
      </c>
      <c r="J14872" s="46" t="s">
        <v>134</v>
      </c>
      <c r="K14872" s="46" t="s">
        <v>126</v>
      </c>
      <c r="L14872" s="45">
        <v>46017.208333333336</v>
      </c>
      <c r="M14872" s="46" t="s">
        <v>123</v>
      </c>
      <c r="N14872" s="45">
        <v>46017.229166666664</v>
      </c>
      <c r="O14872" s="46" t="s">
        <v>123</v>
      </c>
      <c r="P14872" s="46">
        <v>1800.0</v>
      </c>
    </row>
    <row r="14873">
      <c r="A14873" s="40">
        <f t="shared" si="1"/>
        <v>46013</v>
      </c>
      <c r="B14873" s="37" t="str">
        <f t="array" ref="B14873">iferror(xlookup($I14873, 'IMPORT VHC Report'!$E:$E, 'IMPORT VHC Report'!$A:$C), )</f>
        <v/>
      </c>
      <c r="C14873" s="44"/>
      <c r="D14873" s="44"/>
      <c r="E14873" s="46" t="s">
        <v>11027</v>
      </c>
      <c r="F14873" s="46" t="s">
        <v>1401</v>
      </c>
      <c r="G14873" s="46">
        <v>8.409870322319E12</v>
      </c>
      <c r="H14873" s="46" t="s">
        <v>84</v>
      </c>
      <c r="I14873" s="46" t="s">
        <v>85</v>
      </c>
      <c r="J14873" s="46" t="s">
        <v>4</v>
      </c>
      <c r="K14873" s="46" t="s">
        <v>126</v>
      </c>
      <c r="L14873" s="45">
        <v>46019.916666666664</v>
      </c>
      <c r="M14873" s="46" t="s">
        <v>123</v>
      </c>
      <c r="N14873" s="45">
        <v>46019.927083333336</v>
      </c>
      <c r="O14873" s="46" t="s">
        <v>123</v>
      </c>
      <c r="P14873" s="46">
        <v>900.0</v>
      </c>
      <c r="S14873" s="46" t="s">
        <v>3332</v>
      </c>
    </row>
    <row r="14874">
      <c r="A14874" s="40">
        <f t="shared" si="1"/>
        <v>46013</v>
      </c>
      <c r="B14874" s="37" t="str">
        <f t="array" ref="B14874">iferror(xlookup($I14874, 'IMPORT VHC Report'!$E:$E, 'IMPORT VHC Report'!$A:$C), )</f>
        <v/>
      </c>
      <c r="C14874" s="44"/>
      <c r="D14874" s="44"/>
      <c r="E14874" s="46" t="s">
        <v>11028</v>
      </c>
      <c r="F14874" s="46" t="s">
        <v>1401</v>
      </c>
      <c r="G14874" s="46">
        <v>8.409870322319E12</v>
      </c>
      <c r="H14874" s="46" t="s">
        <v>84</v>
      </c>
      <c r="I14874" s="46" t="s">
        <v>85</v>
      </c>
      <c r="J14874" s="46" t="s">
        <v>791</v>
      </c>
      <c r="K14874" s="46" t="s">
        <v>63</v>
      </c>
      <c r="L14874" s="45">
        <v>46019.916666666664</v>
      </c>
      <c r="M14874" s="46" t="s">
        <v>123</v>
      </c>
      <c r="N14874" s="45">
        <v>46020.0</v>
      </c>
      <c r="O14874" s="46" t="s">
        <v>123</v>
      </c>
      <c r="P14874" s="46">
        <v>7200.0</v>
      </c>
    </row>
    <row r="14875">
      <c r="A14875" s="40">
        <f t="shared" si="1"/>
        <v>46013</v>
      </c>
      <c r="B14875" s="37" t="str">
        <f t="array" ref="B14875">iferror(xlookup($I14875, 'IMPORT VHC Report'!$E:$E, 'IMPORT VHC Report'!$A:$C), )</f>
        <v/>
      </c>
      <c r="C14875" s="44"/>
      <c r="D14875" s="44"/>
      <c r="E14875" s="46" t="s">
        <v>11029</v>
      </c>
      <c r="F14875" s="46" t="s">
        <v>2715</v>
      </c>
      <c r="G14875" s="46">
        <v>3.61688633916E11</v>
      </c>
      <c r="H14875" s="46" t="s">
        <v>56</v>
      </c>
      <c r="I14875" s="46" t="s">
        <v>57</v>
      </c>
      <c r="J14875" s="46" t="s">
        <v>791</v>
      </c>
      <c r="K14875" s="46" t="s">
        <v>63</v>
      </c>
      <c r="L14875" s="45">
        <v>46013.25</v>
      </c>
      <c r="M14875" s="46" t="s">
        <v>123</v>
      </c>
      <c r="N14875" s="45">
        <v>46013.625</v>
      </c>
      <c r="O14875" s="46" t="s">
        <v>123</v>
      </c>
      <c r="P14875" s="46">
        <v>32400.0</v>
      </c>
    </row>
    <row r="14876">
      <c r="A14876" s="40">
        <f t="shared" si="1"/>
        <v>46013</v>
      </c>
      <c r="B14876" s="37" t="str">
        <f t="array" ref="B14876">iferror(xlookup($I14876, 'IMPORT VHC Report'!$E:$E, 'IMPORT VHC Report'!$A:$C), )</f>
        <v/>
      </c>
      <c r="C14876" s="44"/>
      <c r="D14876" s="44"/>
      <c r="E14876" s="46" t="s">
        <v>11030</v>
      </c>
      <c r="F14876" s="46" t="s">
        <v>2715</v>
      </c>
      <c r="G14876" s="46">
        <v>3.61688633916E11</v>
      </c>
      <c r="H14876" s="46" t="s">
        <v>56</v>
      </c>
      <c r="I14876" s="46" t="s">
        <v>57</v>
      </c>
      <c r="J14876" s="46" t="s">
        <v>330</v>
      </c>
      <c r="K14876" s="46" t="s">
        <v>126</v>
      </c>
      <c r="L14876" s="45">
        <v>46013.333333333336</v>
      </c>
      <c r="M14876" s="46" t="s">
        <v>123</v>
      </c>
      <c r="N14876" s="45">
        <v>46013.364583333336</v>
      </c>
      <c r="O14876" s="46" t="s">
        <v>123</v>
      </c>
      <c r="P14876" s="46">
        <v>2700.0</v>
      </c>
    </row>
    <row r="14877">
      <c r="A14877" s="40">
        <f t="shared" si="1"/>
        <v>46013</v>
      </c>
      <c r="B14877" s="37" t="str">
        <f t="array" ref="B14877">iferror(xlookup($I14877, 'IMPORT VHC Report'!$E:$E, 'IMPORT VHC Report'!$A:$C), )</f>
        <v/>
      </c>
      <c r="C14877" s="44"/>
      <c r="D14877" s="44"/>
      <c r="E14877" s="46" t="s">
        <v>11031</v>
      </c>
      <c r="F14877" s="46" t="s">
        <v>2715</v>
      </c>
      <c r="G14877" s="46">
        <v>3.61688633916E11</v>
      </c>
      <c r="H14877" s="46" t="s">
        <v>56</v>
      </c>
      <c r="I14877" s="46" t="s">
        <v>57</v>
      </c>
      <c r="J14877" s="46" t="s">
        <v>134</v>
      </c>
      <c r="K14877" s="46" t="s">
        <v>126</v>
      </c>
      <c r="L14877" s="45">
        <v>46013.5</v>
      </c>
      <c r="M14877" s="46" t="s">
        <v>123</v>
      </c>
      <c r="N14877" s="45">
        <v>46013.520833333336</v>
      </c>
      <c r="O14877" s="46" t="s">
        <v>123</v>
      </c>
      <c r="P14877" s="46">
        <v>1800.0</v>
      </c>
    </row>
    <row r="14878">
      <c r="A14878" s="40">
        <f t="shared" si="1"/>
        <v>46013</v>
      </c>
      <c r="B14878" s="37" t="str">
        <f t="array" ref="B14878">iferror(xlookup($I14878, 'IMPORT VHC Report'!$E:$E, 'IMPORT VHC Report'!$A:$C), )</f>
        <v/>
      </c>
      <c r="C14878" s="44"/>
      <c r="D14878" s="44"/>
      <c r="E14878" s="46" t="s">
        <v>11032</v>
      </c>
      <c r="F14878" s="46" t="s">
        <v>2715</v>
      </c>
      <c r="G14878" s="46">
        <v>3.61688633916E11</v>
      </c>
      <c r="H14878" s="46" t="s">
        <v>56</v>
      </c>
      <c r="I14878" s="46" t="s">
        <v>57</v>
      </c>
      <c r="J14878" s="46" t="s">
        <v>132</v>
      </c>
      <c r="K14878" s="46" t="s">
        <v>126</v>
      </c>
      <c r="L14878" s="45">
        <v>46013.520833333336</v>
      </c>
      <c r="M14878" s="46" t="s">
        <v>123</v>
      </c>
      <c r="N14878" s="45">
        <v>46013.5625</v>
      </c>
      <c r="O14878" s="46" t="s">
        <v>123</v>
      </c>
      <c r="P14878" s="46">
        <v>3600.0</v>
      </c>
    </row>
    <row r="14879">
      <c r="A14879" s="40">
        <f t="shared" si="1"/>
        <v>46013</v>
      </c>
      <c r="B14879" s="37" t="str">
        <f t="array" ref="B14879">iferror(xlookup($I14879, 'IMPORT VHC Report'!$E:$E, 'IMPORT VHC Report'!$A:$C), )</f>
        <v/>
      </c>
      <c r="C14879" s="44"/>
      <c r="D14879" s="44"/>
      <c r="E14879" s="46" t="s">
        <v>11033</v>
      </c>
      <c r="F14879" s="46" t="s">
        <v>2715</v>
      </c>
      <c r="G14879" s="46">
        <v>3.61688633916E11</v>
      </c>
      <c r="H14879" s="46" t="s">
        <v>56</v>
      </c>
      <c r="I14879" s="46" t="s">
        <v>57</v>
      </c>
      <c r="J14879" s="46" t="s">
        <v>134</v>
      </c>
      <c r="K14879" s="46" t="s">
        <v>126</v>
      </c>
      <c r="L14879" s="45">
        <v>46014.25</v>
      </c>
      <c r="M14879" s="46" t="s">
        <v>123</v>
      </c>
      <c r="N14879" s="45">
        <v>46014.270833333336</v>
      </c>
      <c r="O14879" s="46" t="s">
        <v>123</v>
      </c>
      <c r="P14879" s="46">
        <v>1800.0</v>
      </c>
    </row>
    <row r="14880">
      <c r="A14880" s="40">
        <f t="shared" si="1"/>
        <v>46013</v>
      </c>
      <c r="B14880" s="37" t="str">
        <f t="array" ref="B14880">iferror(xlookup($I14880, 'IMPORT VHC Report'!$E:$E, 'IMPORT VHC Report'!$A:$C), )</f>
        <v/>
      </c>
      <c r="C14880" s="44"/>
      <c r="D14880" s="44"/>
      <c r="E14880" s="46" t="s">
        <v>11034</v>
      </c>
      <c r="F14880" s="46" t="s">
        <v>2715</v>
      </c>
      <c r="G14880" s="46">
        <v>3.61688633916E11</v>
      </c>
      <c r="H14880" s="46" t="s">
        <v>56</v>
      </c>
      <c r="I14880" s="46" t="s">
        <v>57</v>
      </c>
      <c r="J14880" s="46" t="s">
        <v>791</v>
      </c>
      <c r="K14880" s="46" t="s">
        <v>63</v>
      </c>
      <c r="L14880" s="45">
        <v>46014.25</v>
      </c>
      <c r="M14880" s="46" t="s">
        <v>123</v>
      </c>
      <c r="N14880" s="45">
        <v>46014.625</v>
      </c>
      <c r="O14880" s="46" t="s">
        <v>123</v>
      </c>
      <c r="P14880" s="46">
        <v>32400.0</v>
      </c>
    </row>
    <row r="14881">
      <c r="A14881" s="40">
        <f t="shared" si="1"/>
        <v>46013</v>
      </c>
      <c r="B14881" s="37" t="str">
        <f t="array" ref="B14881">iferror(xlookup($I14881, 'IMPORT VHC Report'!$E:$E, 'IMPORT VHC Report'!$A:$C), )</f>
        <v/>
      </c>
      <c r="C14881" s="44"/>
      <c r="D14881" s="44"/>
      <c r="E14881" s="46" t="s">
        <v>11035</v>
      </c>
      <c r="F14881" s="46" t="s">
        <v>2715</v>
      </c>
      <c r="G14881" s="46">
        <v>3.61688633916E11</v>
      </c>
      <c r="H14881" s="46" t="s">
        <v>56</v>
      </c>
      <c r="I14881" s="46" t="s">
        <v>57</v>
      </c>
      <c r="J14881" s="46" t="s">
        <v>132</v>
      </c>
      <c r="K14881" s="46" t="s">
        <v>126</v>
      </c>
      <c r="L14881" s="45">
        <v>46014.541666666664</v>
      </c>
      <c r="M14881" s="46" t="s">
        <v>123</v>
      </c>
      <c r="N14881" s="45">
        <v>46014.583333333336</v>
      </c>
      <c r="O14881" s="46" t="s">
        <v>123</v>
      </c>
      <c r="P14881" s="46">
        <v>3600.0</v>
      </c>
    </row>
    <row r="14882">
      <c r="A14882" s="40">
        <f t="shared" si="1"/>
        <v>46013</v>
      </c>
      <c r="B14882" s="37" t="str">
        <f t="array" ref="B14882">iferror(xlookup($I14882, 'IMPORT VHC Report'!$E:$E, 'IMPORT VHC Report'!$A:$C), )</f>
        <v/>
      </c>
      <c r="C14882" s="44"/>
      <c r="D14882" s="44"/>
      <c r="E14882" s="46" t="s">
        <v>11036</v>
      </c>
      <c r="F14882" s="46" t="s">
        <v>2715</v>
      </c>
      <c r="G14882" s="46">
        <v>3.61688633916E11</v>
      </c>
      <c r="H14882" s="46" t="s">
        <v>56</v>
      </c>
      <c r="I14882" s="46" t="s">
        <v>57</v>
      </c>
      <c r="J14882" s="46" t="s">
        <v>62</v>
      </c>
      <c r="K14882" s="46" t="s">
        <v>63</v>
      </c>
      <c r="L14882" s="45">
        <v>46015.25</v>
      </c>
      <c r="M14882" s="46" t="s">
        <v>123</v>
      </c>
      <c r="N14882" s="45">
        <v>46015.458333333336</v>
      </c>
      <c r="O14882" s="46" t="s">
        <v>123</v>
      </c>
      <c r="P14882" s="46">
        <v>18000.0</v>
      </c>
    </row>
    <row r="14883">
      <c r="A14883" s="40">
        <f t="shared" si="1"/>
        <v>46013</v>
      </c>
      <c r="B14883" s="37" t="str">
        <f t="array" ref="B14883">iferror(xlookup($I14883, 'IMPORT VHC Report'!$E:$E, 'IMPORT VHC Report'!$A:$C), )</f>
        <v/>
      </c>
      <c r="C14883" s="44"/>
      <c r="D14883" s="44"/>
      <c r="E14883" s="46" t="s">
        <v>11037</v>
      </c>
      <c r="F14883" s="46" t="s">
        <v>2715</v>
      </c>
      <c r="G14883" s="46">
        <v>3.61688633916E11</v>
      </c>
      <c r="H14883" s="46" t="s">
        <v>56</v>
      </c>
      <c r="I14883" s="46" t="s">
        <v>57</v>
      </c>
      <c r="J14883" s="46" t="s">
        <v>178</v>
      </c>
      <c r="K14883" s="46" t="s">
        <v>153</v>
      </c>
      <c r="L14883" s="45">
        <v>46015.25</v>
      </c>
      <c r="M14883" s="46" t="s">
        <v>123</v>
      </c>
      <c r="N14883" s="45">
        <v>46015.625</v>
      </c>
      <c r="O14883" s="46" t="s">
        <v>123</v>
      </c>
      <c r="P14883" s="46">
        <v>32400.0</v>
      </c>
      <c r="Q14883" s="46">
        <v>57600.0</v>
      </c>
    </row>
    <row r="14884">
      <c r="A14884" s="40">
        <f t="shared" si="1"/>
        <v>46013</v>
      </c>
      <c r="B14884" s="37" t="str">
        <f t="array" ref="B14884">iferror(xlookup($I14884, 'IMPORT VHC Report'!$E:$E, 'IMPORT VHC Report'!$A:$C), )</f>
        <v/>
      </c>
      <c r="C14884" s="44"/>
      <c r="D14884" s="44"/>
      <c r="E14884" s="46" t="s">
        <v>11038</v>
      </c>
      <c r="F14884" s="46" t="s">
        <v>2715</v>
      </c>
      <c r="G14884" s="46">
        <v>3.61688633916E11</v>
      </c>
      <c r="H14884" s="46" t="s">
        <v>56</v>
      </c>
      <c r="I14884" s="46" t="s">
        <v>57</v>
      </c>
      <c r="J14884" s="46" t="s">
        <v>136</v>
      </c>
      <c r="K14884" s="46" t="s">
        <v>126</v>
      </c>
      <c r="L14884" s="45">
        <v>46015.416666666664</v>
      </c>
      <c r="M14884" s="46" t="s">
        <v>123</v>
      </c>
      <c r="N14884" s="45">
        <v>46015.458333333336</v>
      </c>
      <c r="O14884" s="46" t="s">
        <v>123</v>
      </c>
      <c r="P14884" s="46">
        <v>3600.0</v>
      </c>
      <c r="S14884" s="46" t="s">
        <v>11039</v>
      </c>
    </row>
    <row r="14885">
      <c r="A14885" s="40">
        <f t="shared" si="1"/>
        <v>46013</v>
      </c>
      <c r="B14885" s="37" t="str">
        <f t="array" ref="B14885">iferror(xlookup($I14885, 'IMPORT VHC Report'!$E:$E, 'IMPORT VHC Report'!$A:$C), )</f>
        <v/>
      </c>
      <c r="C14885" s="44"/>
      <c r="D14885" s="44"/>
      <c r="E14885" s="46" t="s">
        <v>11040</v>
      </c>
      <c r="F14885" s="46" t="s">
        <v>2715</v>
      </c>
      <c r="G14885" s="46">
        <v>3.61688633916E11</v>
      </c>
      <c r="H14885" s="46" t="s">
        <v>56</v>
      </c>
      <c r="I14885" s="46" t="s">
        <v>57</v>
      </c>
      <c r="J14885" s="46" t="s">
        <v>791</v>
      </c>
      <c r="K14885" s="46" t="s">
        <v>63</v>
      </c>
      <c r="L14885" s="45">
        <v>46015.416666666664</v>
      </c>
      <c r="M14885" s="46" t="s">
        <v>123</v>
      </c>
      <c r="N14885" s="45">
        <v>46015.625</v>
      </c>
      <c r="O14885" s="46" t="s">
        <v>123</v>
      </c>
      <c r="P14885" s="46">
        <v>18000.0</v>
      </c>
    </row>
    <row r="14886">
      <c r="A14886" s="40">
        <f t="shared" si="1"/>
        <v>46013</v>
      </c>
      <c r="B14886" s="37" t="str">
        <f t="array" ref="B14886">iferror(xlookup($I14886, 'IMPORT VHC Report'!$E:$E, 'IMPORT VHC Report'!$A:$C), )</f>
        <v/>
      </c>
      <c r="C14886" s="44"/>
      <c r="D14886" s="44"/>
      <c r="E14886" s="46" t="s">
        <v>11041</v>
      </c>
      <c r="F14886" s="46" t="s">
        <v>2715</v>
      </c>
      <c r="G14886" s="46">
        <v>3.61688633916E11</v>
      </c>
      <c r="H14886" s="46" t="s">
        <v>56</v>
      </c>
      <c r="I14886" s="46" t="s">
        <v>57</v>
      </c>
      <c r="J14886" s="46" t="s">
        <v>132</v>
      </c>
      <c r="K14886" s="46" t="s">
        <v>126</v>
      </c>
      <c r="L14886" s="45">
        <v>46015.5</v>
      </c>
      <c r="M14886" s="46" t="s">
        <v>123</v>
      </c>
      <c r="N14886" s="45">
        <v>46015.541666666664</v>
      </c>
      <c r="O14886" s="46" t="s">
        <v>123</v>
      </c>
      <c r="P14886" s="46">
        <v>3600.0</v>
      </c>
    </row>
    <row r="14887">
      <c r="A14887" s="40">
        <f t="shared" si="1"/>
        <v>46013</v>
      </c>
      <c r="B14887" s="37" t="str">
        <f t="array" ref="B14887">iferror(xlookup($I14887, 'IMPORT VHC Report'!$E:$E, 'IMPORT VHC Report'!$A:$C), )</f>
        <v/>
      </c>
      <c r="C14887" s="44"/>
      <c r="D14887" s="44"/>
      <c r="E14887" s="46" t="s">
        <v>11042</v>
      </c>
      <c r="F14887" s="46" t="s">
        <v>2715</v>
      </c>
      <c r="G14887" s="46">
        <v>3.61688633916E11</v>
      </c>
      <c r="H14887" s="46" t="s">
        <v>56</v>
      </c>
      <c r="I14887" s="46" t="s">
        <v>57</v>
      </c>
      <c r="J14887" s="46" t="s">
        <v>134</v>
      </c>
      <c r="K14887" s="46" t="s">
        <v>126</v>
      </c>
      <c r="L14887" s="45">
        <v>46015.541666666664</v>
      </c>
      <c r="M14887" s="46" t="s">
        <v>123</v>
      </c>
      <c r="N14887" s="45">
        <v>46015.5625</v>
      </c>
      <c r="O14887" s="46" t="s">
        <v>123</v>
      </c>
      <c r="P14887" s="46">
        <v>1800.0</v>
      </c>
    </row>
    <row r="14888">
      <c r="A14888" s="40">
        <f t="shared" si="1"/>
        <v>46013</v>
      </c>
      <c r="B14888" s="37" t="str">
        <f t="array" ref="B14888">iferror(xlookup($I14888, 'IMPORT VHC Report'!$E:$E, 'IMPORT VHC Report'!$A:$C), )</f>
        <v/>
      </c>
      <c r="C14888" s="44"/>
      <c r="D14888" s="44"/>
      <c r="E14888" s="46" t="s">
        <v>11043</v>
      </c>
      <c r="F14888" s="46" t="s">
        <v>2715</v>
      </c>
      <c r="G14888" s="46">
        <v>3.61688633916E11</v>
      </c>
      <c r="H14888" s="46" t="s">
        <v>56</v>
      </c>
      <c r="I14888" s="46" t="s">
        <v>57</v>
      </c>
      <c r="J14888" s="46" t="s">
        <v>178</v>
      </c>
      <c r="K14888" s="46" t="s">
        <v>153</v>
      </c>
      <c r="L14888" s="45">
        <v>46016.25</v>
      </c>
      <c r="M14888" s="46" t="s">
        <v>123</v>
      </c>
      <c r="N14888" s="45">
        <v>46016.625</v>
      </c>
      <c r="O14888" s="46" t="s">
        <v>123</v>
      </c>
      <c r="P14888" s="46">
        <v>32400.0</v>
      </c>
      <c r="Q14888" s="46">
        <v>32400.0</v>
      </c>
    </row>
    <row r="14889">
      <c r="A14889" s="40">
        <f t="shared" si="1"/>
        <v>46013</v>
      </c>
      <c r="B14889" s="37" t="str">
        <f t="array" ref="B14889">iferror(xlookup($I14889, 'IMPORT VHC Report'!$E:$E, 'IMPORT VHC Report'!$A:$C), )</f>
        <v/>
      </c>
      <c r="C14889" s="44"/>
      <c r="D14889" s="44"/>
      <c r="E14889" s="46" t="s">
        <v>11044</v>
      </c>
      <c r="F14889" s="46" t="s">
        <v>2715</v>
      </c>
      <c r="G14889" s="46">
        <v>3.61688633916E11</v>
      </c>
      <c r="H14889" s="46" t="s">
        <v>56</v>
      </c>
      <c r="I14889" s="46" t="s">
        <v>57</v>
      </c>
      <c r="J14889" s="46" t="s">
        <v>791</v>
      </c>
      <c r="K14889" s="46" t="s">
        <v>63</v>
      </c>
      <c r="L14889" s="45">
        <v>46016.25</v>
      </c>
      <c r="M14889" s="46" t="s">
        <v>123</v>
      </c>
      <c r="N14889" s="45">
        <v>46016.625</v>
      </c>
      <c r="O14889" s="46" t="s">
        <v>123</v>
      </c>
      <c r="P14889" s="46">
        <v>32400.0</v>
      </c>
    </row>
    <row r="14890">
      <c r="A14890" s="40">
        <f t="shared" si="1"/>
        <v>46013</v>
      </c>
      <c r="B14890" s="37" t="str">
        <f t="array" ref="B14890">iferror(xlookup($I14890, 'IMPORT VHC Report'!$E:$E, 'IMPORT VHC Report'!$A:$C), )</f>
        <v/>
      </c>
      <c r="C14890" s="44"/>
      <c r="D14890" s="44"/>
      <c r="E14890" s="46" t="s">
        <v>11045</v>
      </c>
      <c r="F14890" s="46" t="s">
        <v>2715</v>
      </c>
      <c r="G14890" s="46">
        <v>3.61688633916E11</v>
      </c>
      <c r="H14890" s="46" t="s">
        <v>56</v>
      </c>
      <c r="I14890" s="46" t="s">
        <v>57</v>
      </c>
      <c r="J14890" s="46" t="s">
        <v>136</v>
      </c>
      <c r="K14890" s="46" t="s">
        <v>126</v>
      </c>
      <c r="L14890" s="45">
        <v>46016.458333333336</v>
      </c>
      <c r="M14890" s="46" t="s">
        <v>123</v>
      </c>
      <c r="N14890" s="45">
        <v>46016.5</v>
      </c>
      <c r="O14890" s="46" t="s">
        <v>123</v>
      </c>
      <c r="P14890" s="46">
        <v>3600.0</v>
      </c>
      <c r="S14890" s="46" t="s">
        <v>2732</v>
      </c>
    </row>
    <row r="14891">
      <c r="A14891" s="40">
        <f t="shared" si="1"/>
        <v>46013</v>
      </c>
      <c r="B14891" s="37" t="str">
        <f t="array" ref="B14891">iferror(xlookup($I14891, 'IMPORT VHC Report'!$E:$E, 'IMPORT VHC Report'!$A:$C), )</f>
        <v/>
      </c>
      <c r="C14891" s="44"/>
      <c r="D14891" s="44"/>
      <c r="E14891" s="46" t="s">
        <v>11046</v>
      </c>
      <c r="F14891" s="46" t="s">
        <v>2715</v>
      </c>
      <c r="G14891" s="46">
        <v>3.61688633916E11</v>
      </c>
      <c r="H14891" s="46" t="s">
        <v>56</v>
      </c>
      <c r="I14891" s="46" t="s">
        <v>57</v>
      </c>
      <c r="J14891" s="46" t="s">
        <v>132</v>
      </c>
      <c r="K14891" s="46" t="s">
        <v>126</v>
      </c>
      <c r="L14891" s="45">
        <v>46016.5</v>
      </c>
      <c r="M14891" s="46" t="s">
        <v>123</v>
      </c>
      <c r="N14891" s="45">
        <v>46016.541666666664</v>
      </c>
      <c r="O14891" s="46" t="s">
        <v>123</v>
      </c>
      <c r="P14891" s="46">
        <v>3600.0</v>
      </c>
    </row>
    <row r="14892">
      <c r="A14892" s="40">
        <f t="shared" si="1"/>
        <v>46013</v>
      </c>
      <c r="B14892" s="37" t="str">
        <f t="array" ref="B14892">iferror(xlookup($I14892, 'IMPORT VHC Report'!$E:$E, 'IMPORT VHC Report'!$A:$C), )</f>
        <v/>
      </c>
      <c r="C14892" s="44"/>
      <c r="D14892" s="44"/>
      <c r="E14892" s="46" t="s">
        <v>11047</v>
      </c>
      <c r="F14892" s="46" t="s">
        <v>2715</v>
      </c>
      <c r="G14892" s="46">
        <v>3.61688633916E11</v>
      </c>
      <c r="H14892" s="46" t="s">
        <v>56</v>
      </c>
      <c r="I14892" s="46" t="s">
        <v>57</v>
      </c>
      <c r="J14892" s="46" t="s">
        <v>134</v>
      </c>
      <c r="K14892" s="46" t="s">
        <v>126</v>
      </c>
      <c r="L14892" s="45">
        <v>46016.541666666664</v>
      </c>
      <c r="M14892" s="46" t="s">
        <v>123</v>
      </c>
      <c r="N14892" s="45">
        <v>46016.5625</v>
      </c>
      <c r="O14892" s="46" t="s">
        <v>123</v>
      </c>
      <c r="P14892" s="46">
        <v>1800.0</v>
      </c>
    </row>
    <row r="14893">
      <c r="A14893" s="40">
        <f t="shared" si="1"/>
        <v>46013</v>
      </c>
      <c r="B14893" s="37" t="str">
        <f t="array" ref="B14893">iferror(xlookup($I14893, 'IMPORT VHC Report'!$E:$E, 'IMPORT VHC Report'!$A:$C), )</f>
        <v/>
      </c>
      <c r="C14893" s="44"/>
      <c r="D14893" s="44"/>
      <c r="E14893" s="46" t="s">
        <v>11048</v>
      </c>
      <c r="F14893" s="46" t="s">
        <v>2715</v>
      </c>
      <c r="G14893" s="46">
        <v>3.61688633916E11</v>
      </c>
      <c r="H14893" s="46" t="s">
        <v>56</v>
      </c>
      <c r="I14893" s="46" t="s">
        <v>57</v>
      </c>
      <c r="J14893" s="46" t="s">
        <v>178</v>
      </c>
      <c r="K14893" s="46" t="s">
        <v>153</v>
      </c>
      <c r="L14893" s="45">
        <v>46019.25</v>
      </c>
      <c r="M14893" s="46" t="s">
        <v>123</v>
      </c>
      <c r="N14893" s="45">
        <v>46019.625</v>
      </c>
      <c r="O14893" s="46" t="s">
        <v>123</v>
      </c>
      <c r="P14893" s="46">
        <v>32400.0</v>
      </c>
      <c r="Q14893" s="46">
        <v>57600.0</v>
      </c>
    </row>
    <row r="14894">
      <c r="A14894" s="40">
        <f t="shared" si="1"/>
        <v>46013</v>
      </c>
      <c r="B14894" s="37" t="str">
        <f t="array" ref="B14894">iferror(xlookup($I14894, 'IMPORT VHC Report'!$E:$E, 'IMPORT VHC Report'!$A:$C), )</f>
        <v/>
      </c>
      <c r="C14894" s="44"/>
      <c r="D14894" s="44"/>
      <c r="E14894" s="46" t="s">
        <v>11049</v>
      </c>
      <c r="F14894" s="46" t="s">
        <v>2715</v>
      </c>
      <c r="G14894" s="46">
        <v>3.61688633916E11</v>
      </c>
      <c r="H14894" s="46" t="s">
        <v>56</v>
      </c>
      <c r="I14894" s="46" t="s">
        <v>57</v>
      </c>
      <c r="J14894" s="46" t="s">
        <v>791</v>
      </c>
      <c r="K14894" s="46" t="s">
        <v>63</v>
      </c>
      <c r="L14894" s="45">
        <v>46019.25</v>
      </c>
      <c r="M14894" s="46" t="s">
        <v>123</v>
      </c>
      <c r="N14894" s="45">
        <v>46019.625</v>
      </c>
      <c r="O14894" s="46" t="s">
        <v>123</v>
      </c>
      <c r="P14894" s="46">
        <v>32400.0</v>
      </c>
    </row>
    <row r="14895">
      <c r="A14895" s="40">
        <f t="shared" si="1"/>
        <v>46013</v>
      </c>
      <c r="B14895" s="37" t="str">
        <f t="array" ref="B14895">iferror(xlookup($I14895, 'IMPORT VHC Report'!$E:$E, 'IMPORT VHC Report'!$A:$C), )</f>
        <v/>
      </c>
      <c r="C14895" s="44"/>
      <c r="D14895" s="44"/>
      <c r="E14895" s="46" t="s">
        <v>11050</v>
      </c>
      <c r="F14895" s="46" t="s">
        <v>2715</v>
      </c>
      <c r="G14895" s="46">
        <v>3.61688633916E11</v>
      </c>
      <c r="H14895" s="46" t="s">
        <v>56</v>
      </c>
      <c r="I14895" s="46" t="s">
        <v>57</v>
      </c>
      <c r="J14895" s="46" t="s">
        <v>134</v>
      </c>
      <c r="K14895" s="46" t="s">
        <v>126</v>
      </c>
      <c r="L14895" s="45">
        <v>46019.5625</v>
      </c>
      <c r="M14895" s="46" t="s">
        <v>123</v>
      </c>
      <c r="N14895" s="45">
        <v>46019.583333333336</v>
      </c>
      <c r="O14895" s="46" t="s">
        <v>123</v>
      </c>
      <c r="P14895" s="46">
        <v>1800.0</v>
      </c>
    </row>
    <row r="14896">
      <c r="A14896" s="40">
        <f t="shared" si="1"/>
        <v>46013</v>
      </c>
      <c r="B14896" s="37" t="str">
        <f t="array" ref="B14896">iferror(xlookup($I14896, 'IMPORT VHC Report'!$E:$E, 'IMPORT VHC Report'!$A:$C), )</f>
        <v/>
      </c>
      <c r="C14896" s="44"/>
      <c r="D14896" s="44"/>
      <c r="E14896" s="46" t="s">
        <v>11051</v>
      </c>
      <c r="F14896" s="46" t="s">
        <v>2715</v>
      </c>
      <c r="G14896" s="46">
        <v>3.61688633916E11</v>
      </c>
      <c r="H14896" s="46" t="s">
        <v>56</v>
      </c>
      <c r="I14896" s="46" t="s">
        <v>57</v>
      </c>
      <c r="J14896" s="46" t="s">
        <v>132</v>
      </c>
      <c r="K14896" s="46" t="s">
        <v>126</v>
      </c>
      <c r="L14896" s="45">
        <v>46019.583333333336</v>
      </c>
      <c r="M14896" s="46" t="s">
        <v>123</v>
      </c>
      <c r="N14896" s="45">
        <v>46019.625</v>
      </c>
      <c r="O14896" s="46" t="s">
        <v>123</v>
      </c>
      <c r="P14896" s="46">
        <v>3600.0</v>
      </c>
    </row>
    <row r="14897">
      <c r="A14897" s="40">
        <f t="shared" si="1"/>
        <v>46013</v>
      </c>
      <c r="B14897" s="37" t="str">
        <f t="array" ref="B14897">iferror(xlookup($I14897, 'IMPORT VHC Report'!$E:$E, 'IMPORT VHC Report'!$A:$C), )</f>
        <v/>
      </c>
      <c r="C14897" s="44"/>
      <c r="D14897" s="44"/>
      <c r="E14897" s="46" t="s">
        <v>11052</v>
      </c>
      <c r="F14897" s="46" t="s">
        <v>2783</v>
      </c>
      <c r="G14897" s="46">
        <v>7.235815910671E12</v>
      </c>
      <c r="H14897" s="46" t="s">
        <v>2784</v>
      </c>
      <c r="I14897" s="46" t="s">
        <v>2785</v>
      </c>
      <c r="J14897" s="46" t="s">
        <v>791</v>
      </c>
      <c r="K14897" s="46" t="s">
        <v>63</v>
      </c>
      <c r="L14897" s="45">
        <v>46013.25</v>
      </c>
      <c r="M14897" s="46" t="s">
        <v>123</v>
      </c>
      <c r="N14897" s="45">
        <v>46013.625</v>
      </c>
      <c r="O14897" s="46" t="s">
        <v>123</v>
      </c>
      <c r="P14897" s="46">
        <v>32400.0</v>
      </c>
    </row>
    <row r="14898">
      <c r="A14898" s="40">
        <f t="shared" si="1"/>
        <v>46013</v>
      </c>
      <c r="B14898" s="37" t="str">
        <f t="array" ref="B14898">iferror(xlookup($I14898, 'IMPORT VHC Report'!$E:$E, 'IMPORT VHC Report'!$A:$C), )</f>
        <v/>
      </c>
      <c r="C14898" s="44"/>
      <c r="D14898" s="44"/>
      <c r="E14898" s="46" t="s">
        <v>11053</v>
      </c>
      <c r="F14898" s="46" t="s">
        <v>2783</v>
      </c>
      <c r="G14898" s="46">
        <v>7.235815910671E12</v>
      </c>
      <c r="H14898" s="46" t="s">
        <v>2784</v>
      </c>
      <c r="I14898" s="46" t="s">
        <v>2785</v>
      </c>
      <c r="J14898" s="46" t="s">
        <v>125</v>
      </c>
      <c r="K14898" s="46" t="s">
        <v>126</v>
      </c>
      <c r="L14898" s="45">
        <v>46013.38888888889</v>
      </c>
      <c r="M14898" s="46" t="s">
        <v>123</v>
      </c>
      <c r="N14898" s="45">
        <v>46013.395833333336</v>
      </c>
      <c r="O14898" s="46" t="s">
        <v>123</v>
      </c>
      <c r="P14898" s="46">
        <v>600.0</v>
      </c>
      <c r="S14898" s="46" t="s">
        <v>11054</v>
      </c>
    </row>
    <row r="14899">
      <c r="A14899" s="40">
        <f t="shared" si="1"/>
        <v>46013</v>
      </c>
      <c r="B14899" s="37" t="str">
        <f t="array" ref="B14899">iferror(xlookup($I14899, 'IMPORT VHC Report'!$E:$E, 'IMPORT VHC Report'!$A:$C), )</f>
        <v/>
      </c>
      <c r="C14899" s="44"/>
      <c r="D14899" s="44"/>
      <c r="E14899" s="46" t="s">
        <v>11055</v>
      </c>
      <c r="F14899" s="46" t="s">
        <v>2783</v>
      </c>
      <c r="G14899" s="46">
        <v>7.235815910671E12</v>
      </c>
      <c r="H14899" s="46" t="s">
        <v>2784</v>
      </c>
      <c r="I14899" s="46" t="s">
        <v>2785</v>
      </c>
      <c r="J14899" s="46" t="s">
        <v>125</v>
      </c>
      <c r="K14899" s="46" t="s">
        <v>126</v>
      </c>
      <c r="L14899" s="45">
        <v>46013.5</v>
      </c>
      <c r="M14899" s="46" t="s">
        <v>123</v>
      </c>
      <c r="N14899" s="45">
        <v>46013.506944444445</v>
      </c>
      <c r="O14899" s="46" t="s">
        <v>123</v>
      </c>
      <c r="P14899" s="46">
        <v>600.0</v>
      </c>
      <c r="S14899" s="46" t="s">
        <v>11054</v>
      </c>
    </row>
    <row r="14900">
      <c r="A14900" s="40">
        <f t="shared" si="1"/>
        <v>46013</v>
      </c>
      <c r="B14900" s="37" t="str">
        <f t="array" ref="B14900">iferror(xlookup($I14900, 'IMPORT VHC Report'!$E:$E, 'IMPORT VHC Report'!$A:$C), )</f>
        <v/>
      </c>
      <c r="C14900" s="44"/>
      <c r="D14900" s="44"/>
      <c r="E14900" s="46" t="s">
        <v>11056</v>
      </c>
      <c r="F14900" s="46" t="s">
        <v>2783</v>
      </c>
      <c r="G14900" s="46">
        <v>7.235815910671E12</v>
      </c>
      <c r="H14900" s="46" t="s">
        <v>2784</v>
      </c>
      <c r="I14900" s="46" t="s">
        <v>2785</v>
      </c>
      <c r="J14900" s="46" t="s">
        <v>134</v>
      </c>
      <c r="K14900" s="46" t="s">
        <v>126</v>
      </c>
      <c r="L14900" s="45">
        <v>46013.5625</v>
      </c>
      <c r="M14900" s="46" t="s">
        <v>123</v>
      </c>
      <c r="N14900" s="45">
        <v>46013.583333333336</v>
      </c>
      <c r="O14900" s="46" t="s">
        <v>123</v>
      </c>
      <c r="P14900" s="46">
        <v>1800.0</v>
      </c>
    </row>
    <row r="14901">
      <c r="A14901" s="40">
        <f t="shared" si="1"/>
        <v>46013</v>
      </c>
      <c r="B14901" s="37" t="str">
        <f t="array" ref="B14901">iferror(xlookup($I14901, 'IMPORT VHC Report'!$E:$E, 'IMPORT VHC Report'!$A:$C), )</f>
        <v/>
      </c>
      <c r="C14901" s="44"/>
      <c r="D14901" s="44"/>
      <c r="E14901" s="46" t="s">
        <v>11057</v>
      </c>
      <c r="F14901" s="46" t="s">
        <v>2783</v>
      </c>
      <c r="G14901" s="46">
        <v>7.235815910671E12</v>
      </c>
      <c r="H14901" s="46" t="s">
        <v>2784</v>
      </c>
      <c r="I14901" s="46" t="s">
        <v>2785</v>
      </c>
      <c r="J14901" s="46" t="s">
        <v>132</v>
      </c>
      <c r="K14901" s="46" t="s">
        <v>126</v>
      </c>
      <c r="L14901" s="45">
        <v>46013.583333333336</v>
      </c>
      <c r="M14901" s="46" t="s">
        <v>123</v>
      </c>
      <c r="N14901" s="45">
        <v>46013.625</v>
      </c>
      <c r="O14901" s="46" t="s">
        <v>123</v>
      </c>
      <c r="P14901" s="46">
        <v>3600.0</v>
      </c>
    </row>
    <row r="14902">
      <c r="A14902" s="40">
        <f t="shared" si="1"/>
        <v>46013</v>
      </c>
      <c r="B14902" s="37" t="str">
        <f t="array" ref="B14902">iferror(xlookup($I14902, 'IMPORT VHC Report'!$E:$E, 'IMPORT VHC Report'!$A:$C), )</f>
        <v/>
      </c>
      <c r="C14902" s="44"/>
      <c r="D14902" s="44"/>
      <c r="E14902" s="46" t="s">
        <v>11058</v>
      </c>
      <c r="F14902" s="46" t="s">
        <v>2783</v>
      </c>
      <c r="G14902" s="46">
        <v>7.235815910671E12</v>
      </c>
      <c r="H14902" s="46" t="s">
        <v>2784</v>
      </c>
      <c r="I14902" s="46" t="s">
        <v>2785</v>
      </c>
      <c r="J14902" s="46" t="s">
        <v>62</v>
      </c>
      <c r="K14902" s="46" t="s">
        <v>63</v>
      </c>
      <c r="L14902" s="45">
        <v>46014.25</v>
      </c>
      <c r="M14902" s="46" t="s">
        <v>123</v>
      </c>
      <c r="N14902" s="45">
        <v>46014.458333333336</v>
      </c>
      <c r="O14902" s="46" t="s">
        <v>123</v>
      </c>
      <c r="P14902" s="46">
        <v>18000.0</v>
      </c>
    </row>
    <row r="14903">
      <c r="A14903" s="40">
        <f t="shared" si="1"/>
        <v>46013</v>
      </c>
      <c r="B14903" s="37" t="str">
        <f t="array" ref="B14903">iferror(xlookup($I14903, 'IMPORT VHC Report'!$E:$E, 'IMPORT VHC Report'!$A:$C), )</f>
        <v/>
      </c>
      <c r="C14903" s="44"/>
      <c r="D14903" s="44"/>
      <c r="E14903" s="46" t="s">
        <v>11059</v>
      </c>
      <c r="F14903" s="46" t="s">
        <v>2783</v>
      </c>
      <c r="G14903" s="46">
        <v>7.235815910671E12</v>
      </c>
      <c r="H14903" s="46" t="s">
        <v>2784</v>
      </c>
      <c r="I14903" s="46" t="s">
        <v>2785</v>
      </c>
      <c r="J14903" s="46" t="s">
        <v>330</v>
      </c>
      <c r="K14903" s="46" t="s">
        <v>126</v>
      </c>
      <c r="L14903" s="45">
        <v>46014.333333333336</v>
      </c>
      <c r="M14903" s="46" t="s">
        <v>123</v>
      </c>
      <c r="N14903" s="45">
        <v>46014.364583333336</v>
      </c>
      <c r="O14903" s="46" t="s">
        <v>123</v>
      </c>
      <c r="P14903" s="46">
        <v>2700.0</v>
      </c>
      <c r="S14903" s="46" t="s">
        <v>640</v>
      </c>
    </row>
    <row r="14904">
      <c r="A14904" s="40">
        <f t="shared" si="1"/>
        <v>46013</v>
      </c>
      <c r="B14904" s="37" t="str">
        <f t="array" ref="B14904">iferror(xlookup($I14904, 'IMPORT VHC Report'!$E:$E, 'IMPORT VHC Report'!$A:$C), )</f>
        <v/>
      </c>
      <c r="C14904" s="44"/>
      <c r="D14904" s="44"/>
      <c r="E14904" s="46" t="s">
        <v>11060</v>
      </c>
      <c r="F14904" s="46" t="s">
        <v>2783</v>
      </c>
      <c r="G14904" s="46">
        <v>7.235815910671E12</v>
      </c>
      <c r="H14904" s="46" t="s">
        <v>2784</v>
      </c>
      <c r="I14904" s="46" t="s">
        <v>2785</v>
      </c>
      <c r="J14904" s="46" t="s">
        <v>791</v>
      </c>
      <c r="K14904" s="46" t="s">
        <v>63</v>
      </c>
      <c r="L14904" s="45">
        <v>46014.416666666664</v>
      </c>
      <c r="M14904" s="46" t="s">
        <v>123</v>
      </c>
      <c r="N14904" s="45">
        <v>46014.625</v>
      </c>
      <c r="O14904" s="46" t="s">
        <v>123</v>
      </c>
      <c r="P14904" s="46">
        <v>18000.0</v>
      </c>
    </row>
    <row r="14905">
      <c r="A14905" s="40">
        <f t="shared" si="1"/>
        <v>46013</v>
      </c>
      <c r="B14905" s="37" t="str">
        <f t="array" ref="B14905">iferror(xlookup($I14905, 'IMPORT VHC Report'!$E:$E, 'IMPORT VHC Report'!$A:$C), )</f>
        <v/>
      </c>
      <c r="C14905" s="44"/>
      <c r="D14905" s="44"/>
      <c r="E14905" s="46" t="s">
        <v>11061</v>
      </c>
      <c r="F14905" s="46" t="s">
        <v>2783</v>
      </c>
      <c r="G14905" s="46">
        <v>7.235815910671E12</v>
      </c>
      <c r="H14905" s="46" t="s">
        <v>2784</v>
      </c>
      <c r="I14905" s="46" t="s">
        <v>2785</v>
      </c>
      <c r="J14905" s="46" t="s">
        <v>134</v>
      </c>
      <c r="K14905" s="46" t="s">
        <v>126</v>
      </c>
      <c r="L14905" s="45">
        <v>46014.5625</v>
      </c>
      <c r="M14905" s="46" t="s">
        <v>123</v>
      </c>
      <c r="N14905" s="45">
        <v>46014.583333333336</v>
      </c>
      <c r="O14905" s="46" t="s">
        <v>123</v>
      </c>
      <c r="P14905" s="46">
        <v>1800.0</v>
      </c>
    </row>
    <row r="14906">
      <c r="A14906" s="40">
        <f t="shared" si="1"/>
        <v>46013</v>
      </c>
      <c r="B14906" s="37" t="str">
        <f t="array" ref="B14906">iferror(xlookup($I14906, 'IMPORT VHC Report'!$E:$E, 'IMPORT VHC Report'!$A:$C), )</f>
        <v/>
      </c>
      <c r="C14906" s="44"/>
      <c r="D14906" s="44"/>
      <c r="E14906" s="46" t="s">
        <v>11062</v>
      </c>
      <c r="F14906" s="46" t="s">
        <v>2783</v>
      </c>
      <c r="G14906" s="46">
        <v>7.235815910671E12</v>
      </c>
      <c r="H14906" s="46" t="s">
        <v>2784</v>
      </c>
      <c r="I14906" s="46" t="s">
        <v>2785</v>
      </c>
      <c r="J14906" s="46" t="s">
        <v>132</v>
      </c>
      <c r="K14906" s="46" t="s">
        <v>126</v>
      </c>
      <c r="L14906" s="45">
        <v>46014.583333333336</v>
      </c>
      <c r="M14906" s="46" t="s">
        <v>123</v>
      </c>
      <c r="N14906" s="45">
        <v>46014.625</v>
      </c>
      <c r="O14906" s="46" t="s">
        <v>123</v>
      </c>
      <c r="P14906" s="46">
        <v>3600.0</v>
      </c>
    </row>
    <row r="14907">
      <c r="A14907" s="40">
        <f t="shared" si="1"/>
        <v>46013</v>
      </c>
      <c r="B14907" s="37" t="str">
        <f t="array" ref="B14907">iferror(xlookup($I14907, 'IMPORT VHC Report'!$E:$E, 'IMPORT VHC Report'!$A:$C), )</f>
        <v/>
      </c>
      <c r="C14907" s="44"/>
      <c r="D14907" s="44"/>
      <c r="E14907" s="46" t="s">
        <v>11063</v>
      </c>
      <c r="F14907" s="46" t="s">
        <v>2783</v>
      </c>
      <c r="G14907" s="46">
        <v>7.235815910671E12</v>
      </c>
      <c r="H14907" s="46" t="s">
        <v>2784</v>
      </c>
      <c r="I14907" s="46" t="s">
        <v>2785</v>
      </c>
      <c r="J14907" s="46" t="s">
        <v>791</v>
      </c>
      <c r="K14907" s="46" t="s">
        <v>63</v>
      </c>
      <c r="L14907" s="45">
        <v>46015.25</v>
      </c>
      <c r="M14907" s="46" t="s">
        <v>123</v>
      </c>
      <c r="N14907" s="45">
        <v>46015.625</v>
      </c>
      <c r="O14907" s="46" t="s">
        <v>123</v>
      </c>
      <c r="P14907" s="46">
        <v>32400.0</v>
      </c>
    </row>
    <row r="14908">
      <c r="A14908" s="40">
        <f t="shared" si="1"/>
        <v>46013</v>
      </c>
      <c r="B14908" s="37" t="str">
        <f t="array" ref="B14908">iferror(xlookup($I14908, 'IMPORT VHC Report'!$E:$E, 'IMPORT VHC Report'!$A:$C), )</f>
        <v/>
      </c>
      <c r="C14908" s="44"/>
      <c r="D14908" s="44"/>
      <c r="E14908" s="46" t="s">
        <v>11064</v>
      </c>
      <c r="F14908" s="46" t="s">
        <v>2783</v>
      </c>
      <c r="G14908" s="46">
        <v>7.235815910671E12</v>
      </c>
      <c r="H14908" s="46" t="s">
        <v>2784</v>
      </c>
      <c r="I14908" s="46" t="s">
        <v>2785</v>
      </c>
      <c r="J14908" s="46" t="s">
        <v>136</v>
      </c>
      <c r="K14908" s="46" t="s">
        <v>126</v>
      </c>
      <c r="L14908" s="45">
        <v>46015.416666666664</v>
      </c>
      <c r="M14908" s="46" t="s">
        <v>123</v>
      </c>
      <c r="N14908" s="45">
        <v>46015.458333333336</v>
      </c>
      <c r="O14908" s="46" t="s">
        <v>123</v>
      </c>
      <c r="P14908" s="46">
        <v>3600.0</v>
      </c>
      <c r="S14908" s="46" t="s">
        <v>11039</v>
      </c>
    </row>
    <row r="14909">
      <c r="A14909" s="40">
        <f t="shared" si="1"/>
        <v>46013</v>
      </c>
      <c r="B14909" s="37" t="str">
        <f t="array" ref="B14909">iferror(xlookup($I14909, 'IMPORT VHC Report'!$E:$E, 'IMPORT VHC Report'!$A:$C), )</f>
        <v/>
      </c>
      <c r="C14909" s="44"/>
      <c r="D14909" s="44"/>
      <c r="E14909" s="46" t="s">
        <v>11065</v>
      </c>
      <c r="F14909" s="46" t="s">
        <v>2783</v>
      </c>
      <c r="G14909" s="46">
        <v>7.235815910671E12</v>
      </c>
      <c r="H14909" s="46" t="s">
        <v>2784</v>
      </c>
      <c r="I14909" s="46" t="s">
        <v>2785</v>
      </c>
      <c r="J14909" s="46" t="s">
        <v>132</v>
      </c>
      <c r="K14909" s="46" t="s">
        <v>126</v>
      </c>
      <c r="L14909" s="45">
        <v>46015.5</v>
      </c>
      <c r="M14909" s="46" t="s">
        <v>123</v>
      </c>
      <c r="N14909" s="45">
        <v>46015.541666666664</v>
      </c>
      <c r="O14909" s="46" t="s">
        <v>123</v>
      </c>
      <c r="P14909" s="46">
        <v>3600.0</v>
      </c>
    </row>
    <row r="14910">
      <c r="A14910" s="40">
        <f t="shared" si="1"/>
        <v>46013</v>
      </c>
      <c r="B14910" s="37" t="str">
        <f t="array" ref="B14910">iferror(xlookup($I14910, 'IMPORT VHC Report'!$E:$E, 'IMPORT VHC Report'!$A:$C), )</f>
        <v/>
      </c>
      <c r="C14910" s="44"/>
      <c r="D14910" s="44"/>
      <c r="E14910" s="46" t="s">
        <v>11066</v>
      </c>
      <c r="F14910" s="46" t="s">
        <v>2783</v>
      </c>
      <c r="G14910" s="46">
        <v>7.235815910671E12</v>
      </c>
      <c r="H14910" s="46" t="s">
        <v>2784</v>
      </c>
      <c r="I14910" s="46" t="s">
        <v>2785</v>
      </c>
      <c r="J14910" s="46" t="s">
        <v>134</v>
      </c>
      <c r="K14910" s="46" t="s">
        <v>126</v>
      </c>
      <c r="L14910" s="45">
        <v>46015.541666666664</v>
      </c>
      <c r="M14910" s="46" t="s">
        <v>123</v>
      </c>
      <c r="N14910" s="45">
        <v>46015.5625</v>
      </c>
      <c r="O14910" s="46" t="s">
        <v>123</v>
      </c>
      <c r="P14910" s="46">
        <v>1800.0</v>
      </c>
    </row>
    <row r="14911">
      <c r="A14911" s="40">
        <f t="shared" si="1"/>
        <v>46013</v>
      </c>
      <c r="B14911" s="37" t="str">
        <f t="array" ref="B14911">iferror(xlookup($I14911, 'IMPORT VHC Report'!$E:$E, 'IMPORT VHC Report'!$A:$C), )</f>
        <v/>
      </c>
      <c r="C14911" s="44"/>
      <c r="D14911" s="44"/>
      <c r="E14911" s="46" t="s">
        <v>11067</v>
      </c>
      <c r="F14911" s="46" t="s">
        <v>2783</v>
      </c>
      <c r="G14911" s="46">
        <v>7.235815910671E12</v>
      </c>
      <c r="H14911" s="46" t="s">
        <v>2784</v>
      </c>
      <c r="I14911" s="46" t="s">
        <v>2785</v>
      </c>
      <c r="J14911" s="46" t="s">
        <v>791</v>
      </c>
      <c r="K14911" s="46" t="s">
        <v>63</v>
      </c>
      <c r="L14911" s="45">
        <v>46016.25</v>
      </c>
      <c r="M14911" s="46" t="s">
        <v>123</v>
      </c>
      <c r="N14911" s="45">
        <v>46016.625</v>
      </c>
      <c r="O14911" s="46" t="s">
        <v>123</v>
      </c>
      <c r="P14911" s="46">
        <v>32400.0</v>
      </c>
    </row>
    <row r="14912">
      <c r="A14912" s="40">
        <f t="shared" si="1"/>
        <v>46013</v>
      </c>
      <c r="B14912" s="37" t="str">
        <f t="array" ref="B14912">iferror(xlookup($I14912, 'IMPORT VHC Report'!$E:$E, 'IMPORT VHC Report'!$A:$C), )</f>
        <v/>
      </c>
      <c r="C14912" s="44"/>
      <c r="D14912" s="44"/>
      <c r="E14912" s="46" t="s">
        <v>11068</v>
      </c>
      <c r="F14912" s="46" t="s">
        <v>2783</v>
      </c>
      <c r="G14912" s="46">
        <v>7.235815910671E12</v>
      </c>
      <c r="H14912" s="46" t="s">
        <v>2784</v>
      </c>
      <c r="I14912" s="46" t="s">
        <v>2785</v>
      </c>
      <c r="J14912" s="46" t="s">
        <v>178</v>
      </c>
      <c r="K14912" s="46" t="s">
        <v>153</v>
      </c>
      <c r="L14912" s="45">
        <v>46016.25</v>
      </c>
      <c r="M14912" s="46" t="s">
        <v>123</v>
      </c>
      <c r="N14912" s="45">
        <v>46016.625</v>
      </c>
      <c r="O14912" s="46" t="s">
        <v>123</v>
      </c>
      <c r="P14912" s="46">
        <v>32400.0</v>
      </c>
      <c r="Q14912" s="46">
        <v>32400.0</v>
      </c>
    </row>
    <row r="14913">
      <c r="A14913" s="40">
        <f t="shared" si="1"/>
        <v>46013</v>
      </c>
      <c r="B14913" s="37" t="str">
        <f t="array" ref="B14913">iferror(xlookup($I14913, 'IMPORT VHC Report'!$E:$E, 'IMPORT VHC Report'!$A:$C), )</f>
        <v/>
      </c>
      <c r="C14913" s="44"/>
      <c r="D14913" s="44"/>
      <c r="E14913" s="46" t="s">
        <v>11069</v>
      </c>
      <c r="F14913" s="46" t="s">
        <v>2783</v>
      </c>
      <c r="G14913" s="46">
        <v>7.235815910671E12</v>
      </c>
      <c r="H14913" s="46" t="s">
        <v>2784</v>
      </c>
      <c r="I14913" s="46" t="s">
        <v>2785</v>
      </c>
      <c r="J14913" s="46" t="s">
        <v>136</v>
      </c>
      <c r="K14913" s="46" t="s">
        <v>126</v>
      </c>
      <c r="L14913" s="45">
        <v>46016.458333333336</v>
      </c>
      <c r="M14913" s="46" t="s">
        <v>123</v>
      </c>
      <c r="N14913" s="45">
        <v>46016.5</v>
      </c>
      <c r="O14913" s="46" t="s">
        <v>123</v>
      </c>
      <c r="P14913" s="46">
        <v>3600.0</v>
      </c>
      <c r="S14913" s="46" t="s">
        <v>2732</v>
      </c>
    </row>
    <row r="14914">
      <c r="A14914" s="40">
        <f t="shared" si="1"/>
        <v>46013</v>
      </c>
      <c r="B14914" s="37" t="str">
        <f t="array" ref="B14914">iferror(xlookup($I14914, 'IMPORT VHC Report'!$E:$E, 'IMPORT VHC Report'!$A:$C), )</f>
        <v/>
      </c>
      <c r="C14914" s="44"/>
      <c r="D14914" s="44"/>
      <c r="E14914" s="46" t="s">
        <v>11070</v>
      </c>
      <c r="F14914" s="46" t="s">
        <v>2783</v>
      </c>
      <c r="G14914" s="46">
        <v>7.235815910671E12</v>
      </c>
      <c r="H14914" s="46" t="s">
        <v>2784</v>
      </c>
      <c r="I14914" s="46" t="s">
        <v>2785</v>
      </c>
      <c r="J14914" s="46" t="s">
        <v>134</v>
      </c>
      <c r="K14914" s="46" t="s">
        <v>126</v>
      </c>
      <c r="L14914" s="45">
        <v>46016.5625</v>
      </c>
      <c r="M14914" s="46" t="s">
        <v>123</v>
      </c>
      <c r="N14914" s="45">
        <v>46016.583333333336</v>
      </c>
      <c r="O14914" s="46" t="s">
        <v>123</v>
      </c>
      <c r="P14914" s="46">
        <v>1800.0</v>
      </c>
    </row>
    <row r="14915">
      <c r="A14915" s="40">
        <f t="shared" si="1"/>
        <v>46013</v>
      </c>
      <c r="B14915" s="37" t="str">
        <f t="array" ref="B14915">iferror(xlookup($I14915, 'IMPORT VHC Report'!$E:$E, 'IMPORT VHC Report'!$A:$C), )</f>
        <v/>
      </c>
      <c r="C14915" s="44"/>
      <c r="D14915" s="44"/>
      <c r="E14915" s="46" t="s">
        <v>11071</v>
      </c>
      <c r="F14915" s="46" t="s">
        <v>2783</v>
      </c>
      <c r="G14915" s="46">
        <v>7.235815910671E12</v>
      </c>
      <c r="H14915" s="46" t="s">
        <v>2784</v>
      </c>
      <c r="I14915" s="46" t="s">
        <v>2785</v>
      </c>
      <c r="J14915" s="46" t="s">
        <v>132</v>
      </c>
      <c r="K14915" s="46" t="s">
        <v>126</v>
      </c>
      <c r="L14915" s="45">
        <v>46016.583333333336</v>
      </c>
      <c r="M14915" s="46" t="s">
        <v>123</v>
      </c>
      <c r="N14915" s="45">
        <v>46016.625</v>
      </c>
      <c r="O14915" s="46" t="s">
        <v>123</v>
      </c>
      <c r="P14915" s="46">
        <v>3600.0</v>
      </c>
    </row>
    <row r="14916">
      <c r="A14916" s="40">
        <f t="shared" si="1"/>
        <v>46013</v>
      </c>
      <c r="B14916" s="37" t="str">
        <f t="array" ref="B14916">iferror(xlookup($I14916, 'IMPORT VHC Report'!$E:$E, 'IMPORT VHC Report'!$A:$C), )</f>
        <v/>
      </c>
      <c r="C14916" s="44"/>
      <c r="D14916" s="44"/>
      <c r="E14916" s="46" t="s">
        <v>11072</v>
      </c>
      <c r="F14916" s="46" t="s">
        <v>2783</v>
      </c>
      <c r="G14916" s="46">
        <v>7.235815910671E12</v>
      </c>
      <c r="H14916" s="46" t="s">
        <v>2784</v>
      </c>
      <c r="I14916" s="46" t="s">
        <v>2785</v>
      </c>
      <c r="J14916" s="46" t="s">
        <v>791</v>
      </c>
      <c r="K14916" s="46" t="s">
        <v>63</v>
      </c>
      <c r="L14916" s="45">
        <v>46019.25</v>
      </c>
      <c r="M14916" s="46" t="s">
        <v>123</v>
      </c>
      <c r="N14916" s="45">
        <v>46019.625</v>
      </c>
      <c r="O14916" s="46" t="s">
        <v>123</v>
      </c>
      <c r="P14916" s="46">
        <v>32400.0</v>
      </c>
    </row>
    <row r="14917">
      <c r="A14917" s="40">
        <f t="shared" si="1"/>
        <v>46013</v>
      </c>
      <c r="B14917" s="37" t="str">
        <f t="array" ref="B14917">iferror(xlookup($I14917, 'IMPORT VHC Report'!$E:$E, 'IMPORT VHC Report'!$A:$C), )</f>
        <v/>
      </c>
      <c r="C14917" s="44"/>
      <c r="D14917" s="44"/>
      <c r="E14917" s="46" t="s">
        <v>11073</v>
      </c>
      <c r="F14917" s="46" t="s">
        <v>2783</v>
      </c>
      <c r="G14917" s="46">
        <v>7.235815910671E12</v>
      </c>
      <c r="H14917" s="46" t="s">
        <v>2784</v>
      </c>
      <c r="I14917" s="46" t="s">
        <v>2785</v>
      </c>
      <c r="J14917" s="46" t="s">
        <v>132</v>
      </c>
      <c r="K14917" s="46" t="s">
        <v>126</v>
      </c>
      <c r="L14917" s="45">
        <v>46019.5</v>
      </c>
      <c r="M14917" s="46" t="s">
        <v>123</v>
      </c>
      <c r="N14917" s="45">
        <v>46019.541666666664</v>
      </c>
      <c r="O14917" s="46" t="s">
        <v>123</v>
      </c>
      <c r="P14917" s="46">
        <v>3600.0</v>
      </c>
    </row>
    <row r="14918">
      <c r="A14918" s="40">
        <f t="shared" si="1"/>
        <v>46013</v>
      </c>
      <c r="B14918" s="37" t="str">
        <f t="array" ref="B14918">iferror(xlookup($I14918, 'IMPORT VHC Report'!$E:$E, 'IMPORT VHC Report'!$A:$C), )</f>
        <v/>
      </c>
      <c r="C14918" s="44"/>
      <c r="D14918" s="44"/>
      <c r="E14918" s="46" t="s">
        <v>11074</v>
      </c>
      <c r="F14918" s="46" t="s">
        <v>2783</v>
      </c>
      <c r="G14918" s="46">
        <v>7.235815910671E12</v>
      </c>
      <c r="H14918" s="46" t="s">
        <v>2784</v>
      </c>
      <c r="I14918" s="46" t="s">
        <v>2785</v>
      </c>
      <c r="J14918" s="46" t="s">
        <v>134</v>
      </c>
      <c r="K14918" s="46" t="s">
        <v>126</v>
      </c>
      <c r="L14918" s="45">
        <v>46019.541666666664</v>
      </c>
      <c r="M14918" s="46" t="s">
        <v>123</v>
      </c>
      <c r="N14918" s="45">
        <v>46019.5625</v>
      </c>
      <c r="O14918" s="46" t="s">
        <v>123</v>
      </c>
      <c r="P14918" s="46">
        <v>1800.0</v>
      </c>
    </row>
    <row r="14919">
      <c r="A14919" s="40">
        <f t="shared" si="1"/>
        <v>46013</v>
      </c>
      <c r="B14919" s="37" t="str">
        <f t="array" ref="B14919">iferror(xlookup($I14919, 'IMPORT VHC Report'!$E:$E, 'IMPORT VHC Report'!$A:$C), )</f>
        <v/>
      </c>
      <c r="C14919" s="44"/>
      <c r="D14919" s="44"/>
      <c r="E14919" s="46" t="s">
        <v>11075</v>
      </c>
      <c r="F14919" s="46" t="s">
        <v>2859</v>
      </c>
      <c r="G14919" s="46">
        <v>5.202441057551E12</v>
      </c>
      <c r="H14919" s="46" t="s">
        <v>98</v>
      </c>
      <c r="I14919" s="46" t="s">
        <v>99</v>
      </c>
      <c r="J14919" s="46" t="s">
        <v>791</v>
      </c>
      <c r="K14919" s="46" t="s">
        <v>63</v>
      </c>
      <c r="L14919" s="45">
        <v>46013.25</v>
      </c>
      <c r="M14919" s="46" t="s">
        <v>123</v>
      </c>
      <c r="N14919" s="45">
        <v>46013.625</v>
      </c>
      <c r="O14919" s="46" t="s">
        <v>123</v>
      </c>
      <c r="P14919" s="46">
        <v>32400.0</v>
      </c>
    </row>
    <row r="14920">
      <c r="A14920" s="40">
        <f t="shared" si="1"/>
        <v>46013</v>
      </c>
      <c r="B14920" s="37" t="str">
        <f t="array" ref="B14920">iferror(xlookup($I14920, 'IMPORT VHC Report'!$E:$E, 'IMPORT VHC Report'!$A:$C), )</f>
        <v/>
      </c>
      <c r="C14920" s="44"/>
      <c r="D14920" s="44"/>
      <c r="E14920" s="46" t="s">
        <v>11076</v>
      </c>
      <c r="F14920" s="46" t="s">
        <v>2859</v>
      </c>
      <c r="G14920" s="46">
        <v>5.202441057551E12</v>
      </c>
      <c r="H14920" s="46" t="s">
        <v>98</v>
      </c>
      <c r="I14920" s="46" t="s">
        <v>99</v>
      </c>
      <c r="J14920" s="46" t="s">
        <v>134</v>
      </c>
      <c r="K14920" s="46" t="s">
        <v>126</v>
      </c>
      <c r="L14920" s="45">
        <v>46013.5625</v>
      </c>
      <c r="M14920" s="46" t="s">
        <v>123</v>
      </c>
      <c r="N14920" s="45">
        <v>46013.583333333336</v>
      </c>
      <c r="O14920" s="46" t="s">
        <v>123</v>
      </c>
      <c r="P14920" s="46">
        <v>1800.0</v>
      </c>
    </row>
    <row r="14921">
      <c r="A14921" s="40">
        <f t="shared" si="1"/>
        <v>46013</v>
      </c>
      <c r="B14921" s="37" t="str">
        <f t="array" ref="B14921">iferror(xlookup($I14921, 'IMPORT VHC Report'!$E:$E, 'IMPORT VHC Report'!$A:$C), )</f>
        <v/>
      </c>
      <c r="C14921" s="44"/>
      <c r="D14921" s="44"/>
      <c r="E14921" s="46" t="s">
        <v>11077</v>
      </c>
      <c r="F14921" s="46" t="s">
        <v>2859</v>
      </c>
      <c r="G14921" s="46">
        <v>5.202441057551E12</v>
      </c>
      <c r="H14921" s="46" t="s">
        <v>98</v>
      </c>
      <c r="I14921" s="46" t="s">
        <v>99</v>
      </c>
      <c r="J14921" s="46" t="s">
        <v>132</v>
      </c>
      <c r="K14921" s="46" t="s">
        <v>126</v>
      </c>
      <c r="L14921" s="45">
        <v>46013.583333333336</v>
      </c>
      <c r="M14921" s="46" t="s">
        <v>123</v>
      </c>
      <c r="N14921" s="45">
        <v>46013.625</v>
      </c>
      <c r="O14921" s="46" t="s">
        <v>123</v>
      </c>
      <c r="P14921" s="46">
        <v>3600.0</v>
      </c>
    </row>
    <row r="14922">
      <c r="A14922" s="40">
        <f t="shared" si="1"/>
        <v>46013</v>
      </c>
      <c r="B14922" s="37" t="str">
        <f t="array" ref="B14922">iferror(xlookup($I14922, 'IMPORT VHC Report'!$E:$E, 'IMPORT VHC Report'!$A:$C), )</f>
        <v/>
      </c>
      <c r="C14922" s="44"/>
      <c r="D14922" s="44"/>
      <c r="E14922" s="46" t="s">
        <v>11078</v>
      </c>
      <c r="F14922" s="46" t="s">
        <v>2859</v>
      </c>
      <c r="G14922" s="46">
        <v>5.202441057551E12</v>
      </c>
      <c r="H14922" s="46" t="s">
        <v>98</v>
      </c>
      <c r="I14922" s="46" t="s">
        <v>99</v>
      </c>
      <c r="J14922" s="46" t="s">
        <v>134</v>
      </c>
      <c r="K14922" s="46" t="s">
        <v>126</v>
      </c>
      <c r="L14922" s="45">
        <v>46014.25</v>
      </c>
      <c r="M14922" s="46" t="s">
        <v>123</v>
      </c>
      <c r="N14922" s="45">
        <v>46014.270833333336</v>
      </c>
      <c r="O14922" s="46" t="s">
        <v>123</v>
      </c>
      <c r="P14922" s="46">
        <v>1800.0</v>
      </c>
    </row>
    <row r="14923">
      <c r="A14923" s="40">
        <f t="shared" si="1"/>
        <v>46013</v>
      </c>
      <c r="B14923" s="37" t="str">
        <f t="array" ref="B14923">iferror(xlookup($I14923, 'IMPORT VHC Report'!$E:$E, 'IMPORT VHC Report'!$A:$C), )</f>
        <v/>
      </c>
      <c r="C14923" s="44"/>
      <c r="D14923" s="44"/>
      <c r="E14923" s="46" t="s">
        <v>11079</v>
      </c>
      <c r="F14923" s="46" t="s">
        <v>2859</v>
      </c>
      <c r="G14923" s="46">
        <v>5.202441057551E12</v>
      </c>
      <c r="H14923" s="46" t="s">
        <v>98</v>
      </c>
      <c r="I14923" s="46" t="s">
        <v>99</v>
      </c>
      <c r="J14923" s="46" t="s">
        <v>62</v>
      </c>
      <c r="K14923" s="46" t="s">
        <v>63</v>
      </c>
      <c r="L14923" s="45">
        <v>46014.270833333336</v>
      </c>
      <c r="M14923" s="46" t="s">
        <v>123</v>
      </c>
      <c r="N14923" s="45">
        <v>46014.28125</v>
      </c>
      <c r="O14923" s="46" t="s">
        <v>123</v>
      </c>
      <c r="P14923" s="46">
        <v>900.0</v>
      </c>
      <c r="S14923" s="46" t="s">
        <v>11080</v>
      </c>
    </row>
    <row r="14924">
      <c r="A14924" s="40">
        <f t="shared" si="1"/>
        <v>46013</v>
      </c>
      <c r="B14924" s="37" t="str">
        <f t="array" ref="B14924">iferror(xlookup($I14924, 'IMPORT VHC Report'!$E:$E, 'IMPORT VHC Report'!$A:$C), )</f>
        <v/>
      </c>
      <c r="C14924" s="44"/>
      <c r="D14924" s="44"/>
      <c r="E14924" s="46" t="s">
        <v>11081</v>
      </c>
      <c r="F14924" s="46" t="s">
        <v>2859</v>
      </c>
      <c r="G14924" s="46">
        <v>5.202441057551E12</v>
      </c>
      <c r="H14924" s="46" t="s">
        <v>98</v>
      </c>
      <c r="I14924" s="46" t="s">
        <v>99</v>
      </c>
      <c r="J14924" s="46" t="s">
        <v>791</v>
      </c>
      <c r="K14924" s="46" t="s">
        <v>63</v>
      </c>
      <c r="L14924" s="45">
        <v>46014.28125</v>
      </c>
      <c r="M14924" s="46" t="s">
        <v>123</v>
      </c>
      <c r="N14924" s="45">
        <v>46014.583333333336</v>
      </c>
      <c r="O14924" s="46" t="s">
        <v>123</v>
      </c>
      <c r="P14924" s="46">
        <v>26100.0</v>
      </c>
    </row>
    <row r="14925">
      <c r="A14925" s="40">
        <f t="shared" si="1"/>
        <v>46013</v>
      </c>
      <c r="B14925" s="37" t="str">
        <f t="array" ref="B14925">iferror(xlookup($I14925, 'IMPORT VHC Report'!$E:$E, 'IMPORT VHC Report'!$A:$C), )</f>
        <v/>
      </c>
      <c r="C14925" s="44"/>
      <c r="D14925" s="44"/>
      <c r="E14925" s="46" t="s">
        <v>11082</v>
      </c>
      <c r="F14925" s="46" t="s">
        <v>2859</v>
      </c>
      <c r="G14925" s="46">
        <v>5.202441057551E12</v>
      </c>
      <c r="H14925" s="46" t="s">
        <v>98</v>
      </c>
      <c r="I14925" s="46" t="s">
        <v>99</v>
      </c>
      <c r="J14925" s="46" t="s">
        <v>132</v>
      </c>
      <c r="K14925" s="46" t="s">
        <v>126</v>
      </c>
      <c r="L14925" s="45">
        <v>46014.583333333336</v>
      </c>
      <c r="M14925" s="46" t="s">
        <v>123</v>
      </c>
      <c r="N14925" s="45">
        <v>46014.625</v>
      </c>
      <c r="O14925" s="46" t="s">
        <v>123</v>
      </c>
      <c r="P14925" s="46">
        <v>3600.0</v>
      </c>
    </row>
    <row r="14926">
      <c r="A14926" s="40">
        <f t="shared" si="1"/>
        <v>46013</v>
      </c>
      <c r="B14926" s="37" t="str">
        <f t="array" ref="B14926">iferror(xlookup($I14926, 'IMPORT VHC Report'!$E:$E, 'IMPORT VHC Report'!$A:$C), )</f>
        <v/>
      </c>
      <c r="C14926" s="44"/>
      <c r="D14926" s="44"/>
      <c r="E14926" s="46" t="s">
        <v>11083</v>
      </c>
      <c r="F14926" s="46" t="s">
        <v>2859</v>
      </c>
      <c r="G14926" s="46">
        <v>5.202441057551E12</v>
      </c>
      <c r="H14926" s="46" t="s">
        <v>98</v>
      </c>
      <c r="I14926" s="46" t="s">
        <v>99</v>
      </c>
      <c r="J14926" s="46" t="s">
        <v>791</v>
      </c>
      <c r="K14926" s="46" t="s">
        <v>63</v>
      </c>
      <c r="L14926" s="45">
        <v>46015.25</v>
      </c>
      <c r="M14926" s="46" t="s">
        <v>123</v>
      </c>
      <c r="N14926" s="45">
        <v>46015.625</v>
      </c>
      <c r="O14926" s="46" t="s">
        <v>123</v>
      </c>
      <c r="P14926" s="46">
        <v>32400.0</v>
      </c>
    </row>
    <row r="14927">
      <c r="A14927" s="40">
        <f t="shared" si="1"/>
        <v>46013</v>
      </c>
      <c r="B14927" s="37" t="str">
        <f t="array" ref="B14927">iferror(xlookup($I14927, 'IMPORT VHC Report'!$E:$E, 'IMPORT VHC Report'!$A:$C), )</f>
        <v/>
      </c>
      <c r="C14927" s="44"/>
      <c r="D14927" s="44"/>
      <c r="E14927" s="46" t="s">
        <v>11084</v>
      </c>
      <c r="F14927" s="46" t="s">
        <v>2859</v>
      </c>
      <c r="G14927" s="46">
        <v>5.202441057551E12</v>
      </c>
      <c r="H14927" s="46" t="s">
        <v>98</v>
      </c>
      <c r="I14927" s="46" t="s">
        <v>99</v>
      </c>
      <c r="J14927" s="46" t="s">
        <v>330</v>
      </c>
      <c r="K14927" s="46" t="s">
        <v>126</v>
      </c>
      <c r="L14927" s="45">
        <v>46015.375</v>
      </c>
      <c r="M14927" s="46" t="s">
        <v>123</v>
      </c>
      <c r="N14927" s="45">
        <v>46015.416666666664</v>
      </c>
      <c r="O14927" s="46" t="s">
        <v>123</v>
      </c>
      <c r="P14927" s="46">
        <v>3600.0</v>
      </c>
      <c r="S14927" s="46" t="s">
        <v>640</v>
      </c>
    </row>
    <row r="14928">
      <c r="A14928" s="40">
        <f t="shared" si="1"/>
        <v>46013</v>
      </c>
      <c r="B14928" s="37" t="str">
        <f t="array" ref="B14928">iferror(xlookup($I14928, 'IMPORT VHC Report'!$E:$E, 'IMPORT VHC Report'!$A:$C), )</f>
        <v/>
      </c>
      <c r="C14928" s="44"/>
      <c r="D14928" s="44"/>
      <c r="E14928" s="46" t="s">
        <v>11085</v>
      </c>
      <c r="F14928" s="46" t="s">
        <v>2859</v>
      </c>
      <c r="G14928" s="46">
        <v>5.202441057551E12</v>
      </c>
      <c r="H14928" s="46" t="s">
        <v>98</v>
      </c>
      <c r="I14928" s="46" t="s">
        <v>99</v>
      </c>
      <c r="J14928" s="46" t="s">
        <v>136</v>
      </c>
      <c r="K14928" s="46" t="s">
        <v>126</v>
      </c>
      <c r="L14928" s="45">
        <v>46015.416666666664</v>
      </c>
      <c r="M14928" s="46" t="s">
        <v>123</v>
      </c>
      <c r="N14928" s="45">
        <v>46015.458333333336</v>
      </c>
      <c r="O14928" s="46" t="s">
        <v>123</v>
      </c>
      <c r="P14928" s="46">
        <v>3600.0</v>
      </c>
      <c r="S14928" s="46" t="s">
        <v>11039</v>
      </c>
    </row>
    <row r="14929">
      <c r="A14929" s="40">
        <f t="shared" si="1"/>
        <v>46013</v>
      </c>
      <c r="B14929" s="37" t="str">
        <f t="array" ref="B14929">iferror(xlookup($I14929, 'IMPORT VHC Report'!$E:$E, 'IMPORT VHC Report'!$A:$C), )</f>
        <v/>
      </c>
      <c r="C14929" s="44"/>
      <c r="D14929" s="44"/>
      <c r="E14929" s="46" t="s">
        <v>11086</v>
      </c>
      <c r="F14929" s="46" t="s">
        <v>2859</v>
      </c>
      <c r="G14929" s="46">
        <v>5.202441057551E12</v>
      </c>
      <c r="H14929" s="46" t="s">
        <v>98</v>
      </c>
      <c r="I14929" s="46" t="s">
        <v>99</v>
      </c>
      <c r="J14929" s="46" t="s">
        <v>134</v>
      </c>
      <c r="K14929" s="46" t="s">
        <v>126</v>
      </c>
      <c r="L14929" s="45">
        <v>46015.5625</v>
      </c>
      <c r="M14929" s="46" t="s">
        <v>123</v>
      </c>
      <c r="N14929" s="45">
        <v>46015.583333333336</v>
      </c>
      <c r="O14929" s="46" t="s">
        <v>123</v>
      </c>
      <c r="P14929" s="46">
        <v>1800.0</v>
      </c>
    </row>
    <row r="14930">
      <c r="A14930" s="40">
        <f t="shared" si="1"/>
        <v>46013</v>
      </c>
      <c r="B14930" s="37" t="str">
        <f t="array" ref="B14930">iferror(xlookup($I14930, 'IMPORT VHC Report'!$E:$E, 'IMPORT VHC Report'!$A:$C), )</f>
        <v/>
      </c>
      <c r="C14930" s="44"/>
      <c r="D14930" s="44"/>
      <c r="E14930" s="46" t="s">
        <v>11087</v>
      </c>
      <c r="F14930" s="46" t="s">
        <v>2859</v>
      </c>
      <c r="G14930" s="46">
        <v>5.202441057551E12</v>
      </c>
      <c r="H14930" s="46" t="s">
        <v>98</v>
      </c>
      <c r="I14930" s="46" t="s">
        <v>99</v>
      </c>
      <c r="J14930" s="46" t="s">
        <v>132</v>
      </c>
      <c r="K14930" s="46" t="s">
        <v>126</v>
      </c>
      <c r="L14930" s="45">
        <v>46015.583333333336</v>
      </c>
      <c r="M14930" s="46" t="s">
        <v>123</v>
      </c>
      <c r="N14930" s="45">
        <v>46015.625</v>
      </c>
      <c r="O14930" s="46" t="s">
        <v>123</v>
      </c>
      <c r="P14930" s="46">
        <v>3600.0</v>
      </c>
    </row>
    <row r="14931">
      <c r="A14931" s="40">
        <f t="shared" si="1"/>
        <v>46013</v>
      </c>
      <c r="B14931" s="37" t="str">
        <f t="array" ref="B14931">iferror(xlookup($I14931, 'IMPORT VHC Report'!$E:$E, 'IMPORT VHC Report'!$A:$C), )</f>
        <v/>
      </c>
      <c r="C14931" s="44"/>
      <c r="D14931" s="44"/>
      <c r="E14931" s="46" t="s">
        <v>11088</v>
      </c>
      <c r="F14931" s="46" t="s">
        <v>2859</v>
      </c>
      <c r="G14931" s="46">
        <v>5.202441057551E12</v>
      </c>
      <c r="H14931" s="46" t="s">
        <v>98</v>
      </c>
      <c r="I14931" s="46" t="s">
        <v>99</v>
      </c>
      <c r="J14931" s="46" t="s">
        <v>178</v>
      </c>
      <c r="K14931" s="46" t="s">
        <v>153</v>
      </c>
      <c r="L14931" s="45">
        <v>46016.25</v>
      </c>
      <c r="M14931" s="46" t="s">
        <v>123</v>
      </c>
      <c r="N14931" s="45">
        <v>46016.625</v>
      </c>
      <c r="O14931" s="46" t="s">
        <v>123</v>
      </c>
      <c r="P14931" s="46">
        <v>32400.0</v>
      </c>
      <c r="Q14931" s="46">
        <v>32400.0</v>
      </c>
    </row>
    <row r="14932">
      <c r="A14932" s="40">
        <f t="shared" si="1"/>
        <v>46013</v>
      </c>
      <c r="B14932" s="37" t="str">
        <f t="array" ref="B14932">iferror(xlookup($I14932, 'IMPORT VHC Report'!$E:$E, 'IMPORT VHC Report'!$A:$C), )</f>
        <v/>
      </c>
      <c r="C14932" s="44"/>
      <c r="D14932" s="44"/>
      <c r="E14932" s="46" t="s">
        <v>11089</v>
      </c>
      <c r="F14932" s="46" t="s">
        <v>2859</v>
      </c>
      <c r="G14932" s="46">
        <v>5.202441057551E12</v>
      </c>
      <c r="H14932" s="46" t="s">
        <v>98</v>
      </c>
      <c r="I14932" s="46" t="s">
        <v>99</v>
      </c>
      <c r="J14932" s="46" t="s">
        <v>791</v>
      </c>
      <c r="K14932" s="46" t="s">
        <v>63</v>
      </c>
      <c r="L14932" s="45">
        <v>46016.25</v>
      </c>
      <c r="M14932" s="46" t="s">
        <v>123</v>
      </c>
      <c r="N14932" s="45">
        <v>46016.625</v>
      </c>
      <c r="O14932" s="46" t="s">
        <v>123</v>
      </c>
      <c r="P14932" s="46">
        <v>32400.0</v>
      </c>
    </row>
    <row r="14933">
      <c r="A14933" s="40">
        <f t="shared" si="1"/>
        <v>46013</v>
      </c>
      <c r="B14933" s="37" t="str">
        <f t="array" ref="B14933">iferror(xlookup($I14933, 'IMPORT VHC Report'!$E:$E, 'IMPORT VHC Report'!$A:$C), )</f>
        <v/>
      </c>
      <c r="C14933" s="44"/>
      <c r="D14933" s="44"/>
      <c r="E14933" s="46" t="s">
        <v>11090</v>
      </c>
      <c r="F14933" s="46" t="s">
        <v>2859</v>
      </c>
      <c r="G14933" s="46">
        <v>5.202441057551E12</v>
      </c>
      <c r="H14933" s="46" t="s">
        <v>98</v>
      </c>
      <c r="I14933" s="46" t="s">
        <v>99</v>
      </c>
      <c r="J14933" s="46" t="s">
        <v>136</v>
      </c>
      <c r="K14933" s="46" t="s">
        <v>126</v>
      </c>
      <c r="L14933" s="45">
        <v>46016.458333333336</v>
      </c>
      <c r="M14933" s="46" t="s">
        <v>123</v>
      </c>
      <c r="N14933" s="45">
        <v>46016.5</v>
      </c>
      <c r="O14933" s="46" t="s">
        <v>123</v>
      </c>
      <c r="P14933" s="46">
        <v>3600.0</v>
      </c>
      <c r="S14933" s="46" t="s">
        <v>2732</v>
      </c>
    </row>
    <row r="14934">
      <c r="A14934" s="40">
        <f t="shared" si="1"/>
        <v>46013</v>
      </c>
      <c r="B14934" s="37" t="str">
        <f t="array" ref="B14934">iferror(xlookup($I14934, 'IMPORT VHC Report'!$E:$E, 'IMPORT VHC Report'!$A:$C), )</f>
        <v/>
      </c>
      <c r="C14934" s="44"/>
      <c r="D14934" s="44"/>
      <c r="E14934" s="46" t="s">
        <v>11091</v>
      </c>
      <c r="F14934" s="46" t="s">
        <v>2859</v>
      </c>
      <c r="G14934" s="46">
        <v>5.202441057551E12</v>
      </c>
      <c r="H14934" s="46" t="s">
        <v>98</v>
      </c>
      <c r="I14934" s="46" t="s">
        <v>99</v>
      </c>
      <c r="J14934" s="46" t="s">
        <v>134</v>
      </c>
      <c r="K14934" s="46" t="s">
        <v>126</v>
      </c>
      <c r="L14934" s="45">
        <v>46016.5625</v>
      </c>
      <c r="M14934" s="46" t="s">
        <v>123</v>
      </c>
      <c r="N14934" s="45">
        <v>46016.583333333336</v>
      </c>
      <c r="O14934" s="46" t="s">
        <v>123</v>
      </c>
      <c r="P14934" s="46">
        <v>1800.0</v>
      </c>
    </row>
    <row r="14935">
      <c r="A14935" s="40">
        <f t="shared" si="1"/>
        <v>46013</v>
      </c>
      <c r="B14935" s="37" t="str">
        <f t="array" ref="B14935">iferror(xlookup($I14935, 'IMPORT VHC Report'!$E:$E, 'IMPORT VHC Report'!$A:$C), )</f>
        <v/>
      </c>
      <c r="C14935" s="44"/>
      <c r="D14935" s="44"/>
      <c r="E14935" s="46" t="s">
        <v>11092</v>
      </c>
      <c r="F14935" s="46" t="s">
        <v>2859</v>
      </c>
      <c r="G14935" s="46">
        <v>5.202441057551E12</v>
      </c>
      <c r="H14935" s="46" t="s">
        <v>98</v>
      </c>
      <c r="I14935" s="46" t="s">
        <v>99</v>
      </c>
      <c r="J14935" s="46" t="s">
        <v>132</v>
      </c>
      <c r="K14935" s="46" t="s">
        <v>126</v>
      </c>
      <c r="L14935" s="45">
        <v>46016.583333333336</v>
      </c>
      <c r="M14935" s="46" t="s">
        <v>123</v>
      </c>
      <c r="N14935" s="45">
        <v>46016.625</v>
      </c>
      <c r="O14935" s="46" t="s">
        <v>123</v>
      </c>
      <c r="P14935" s="46">
        <v>3600.0</v>
      </c>
    </row>
    <row r="14936">
      <c r="A14936" s="40">
        <f t="shared" si="1"/>
        <v>46013</v>
      </c>
      <c r="B14936" s="37" t="str">
        <f t="array" ref="B14936">iferror(xlookup($I14936, 'IMPORT VHC Report'!$E:$E, 'IMPORT VHC Report'!$A:$C), )</f>
        <v/>
      </c>
      <c r="C14936" s="44"/>
      <c r="D14936" s="44"/>
      <c r="E14936" s="46" t="s">
        <v>11093</v>
      </c>
      <c r="F14936" s="46" t="s">
        <v>2859</v>
      </c>
      <c r="G14936" s="46">
        <v>5.202441057551E12</v>
      </c>
      <c r="H14936" s="46" t="s">
        <v>98</v>
      </c>
      <c r="I14936" s="46" t="s">
        <v>99</v>
      </c>
      <c r="J14936" s="46" t="s">
        <v>178</v>
      </c>
      <c r="K14936" s="46" t="s">
        <v>153</v>
      </c>
      <c r="L14936" s="45">
        <v>46019.25</v>
      </c>
      <c r="M14936" s="46" t="s">
        <v>123</v>
      </c>
      <c r="N14936" s="45">
        <v>46019.625</v>
      </c>
      <c r="O14936" s="46" t="s">
        <v>123</v>
      </c>
      <c r="P14936" s="46">
        <v>32400.0</v>
      </c>
      <c r="Q14936" s="46">
        <v>57600.0</v>
      </c>
      <c r="R14936" s="46" t="s">
        <v>11094</v>
      </c>
    </row>
    <row r="14937">
      <c r="A14937" s="40">
        <f t="shared" si="1"/>
        <v>46013</v>
      </c>
      <c r="B14937" s="37" t="str">
        <f t="array" ref="B14937">iferror(xlookup($I14937, 'IMPORT VHC Report'!$E:$E, 'IMPORT VHC Report'!$A:$C), )</f>
        <v/>
      </c>
      <c r="C14937" s="44"/>
      <c r="D14937" s="44"/>
      <c r="E14937" s="46" t="s">
        <v>11095</v>
      </c>
      <c r="F14937" s="46" t="s">
        <v>2859</v>
      </c>
      <c r="G14937" s="46">
        <v>5.202441057551E12</v>
      </c>
      <c r="H14937" s="46" t="s">
        <v>98</v>
      </c>
      <c r="I14937" s="46" t="s">
        <v>99</v>
      </c>
      <c r="J14937" s="46" t="s">
        <v>791</v>
      </c>
      <c r="K14937" s="46" t="s">
        <v>63</v>
      </c>
      <c r="L14937" s="45">
        <v>46019.25</v>
      </c>
      <c r="M14937" s="46" t="s">
        <v>123</v>
      </c>
      <c r="N14937" s="45">
        <v>46019.625</v>
      </c>
      <c r="O14937" s="46" t="s">
        <v>123</v>
      </c>
      <c r="P14937" s="46">
        <v>32400.0</v>
      </c>
    </row>
    <row r="14938">
      <c r="A14938" s="40">
        <f t="shared" si="1"/>
        <v>46013</v>
      </c>
      <c r="B14938" s="37" t="str">
        <f t="array" ref="B14938">iferror(xlookup($I14938, 'IMPORT VHC Report'!$E:$E, 'IMPORT VHC Report'!$A:$C), )</f>
        <v/>
      </c>
      <c r="C14938" s="44"/>
      <c r="D14938" s="44"/>
      <c r="E14938" s="46" t="s">
        <v>11096</v>
      </c>
      <c r="F14938" s="46" t="s">
        <v>2859</v>
      </c>
      <c r="G14938" s="46">
        <v>5.202441057551E12</v>
      </c>
      <c r="H14938" s="46" t="s">
        <v>98</v>
      </c>
      <c r="I14938" s="46" t="s">
        <v>99</v>
      </c>
      <c r="J14938" s="46" t="s">
        <v>132</v>
      </c>
      <c r="K14938" s="46" t="s">
        <v>126</v>
      </c>
      <c r="L14938" s="45">
        <v>46019.5</v>
      </c>
      <c r="M14938" s="46" t="s">
        <v>123</v>
      </c>
      <c r="N14938" s="45">
        <v>46019.541666666664</v>
      </c>
      <c r="O14938" s="46" t="s">
        <v>123</v>
      </c>
      <c r="P14938" s="46">
        <v>3600.0</v>
      </c>
    </row>
    <row r="14939">
      <c r="A14939" s="40">
        <f t="shared" si="1"/>
        <v>46013</v>
      </c>
      <c r="B14939" s="37" t="str">
        <f t="array" ref="B14939">iferror(xlookup($I14939, 'IMPORT VHC Report'!$E:$E, 'IMPORT VHC Report'!$A:$C), )</f>
        <v/>
      </c>
      <c r="C14939" s="44"/>
      <c r="D14939" s="44"/>
      <c r="E14939" s="46" t="s">
        <v>11097</v>
      </c>
      <c r="F14939" s="46" t="s">
        <v>2859</v>
      </c>
      <c r="G14939" s="46">
        <v>5.202441057551E12</v>
      </c>
      <c r="H14939" s="46" t="s">
        <v>98</v>
      </c>
      <c r="I14939" s="46" t="s">
        <v>99</v>
      </c>
      <c r="J14939" s="46" t="s">
        <v>134</v>
      </c>
      <c r="K14939" s="46" t="s">
        <v>126</v>
      </c>
      <c r="L14939" s="45">
        <v>46019.541666666664</v>
      </c>
      <c r="M14939" s="46" t="s">
        <v>123</v>
      </c>
      <c r="N14939" s="45">
        <v>46019.5625</v>
      </c>
      <c r="O14939" s="46" t="s">
        <v>123</v>
      </c>
      <c r="P14939" s="46">
        <v>1800.0</v>
      </c>
    </row>
    <row r="14940">
      <c r="A14940" s="40">
        <f t="shared" si="1"/>
        <v>46013</v>
      </c>
      <c r="B14940" s="37" t="str">
        <f t="array" ref="B14940">iferror(xlookup($I14940, 'IMPORT VHC Report'!$E:$E, 'IMPORT VHC Report'!$A:$C), )</f>
        <v/>
      </c>
      <c r="C14940" s="44"/>
      <c r="D14940" s="44"/>
      <c r="E14940" s="46" t="s">
        <v>11098</v>
      </c>
      <c r="F14940" s="46" t="s">
        <v>2882</v>
      </c>
      <c r="G14940" s="46">
        <v>9.285050515215E12</v>
      </c>
      <c r="H14940" s="46" t="s">
        <v>96</v>
      </c>
      <c r="I14940" s="46" t="s">
        <v>97</v>
      </c>
      <c r="J14940" s="46" t="s">
        <v>791</v>
      </c>
      <c r="K14940" s="46" t="s">
        <v>63</v>
      </c>
      <c r="L14940" s="45">
        <v>46013.25</v>
      </c>
      <c r="M14940" s="46" t="s">
        <v>123</v>
      </c>
      <c r="N14940" s="45">
        <v>46013.625</v>
      </c>
      <c r="O14940" s="46" t="s">
        <v>123</v>
      </c>
      <c r="P14940" s="46">
        <v>32400.0</v>
      </c>
    </row>
    <row r="14941">
      <c r="A14941" s="40">
        <f t="shared" si="1"/>
        <v>46013</v>
      </c>
      <c r="B14941" s="37" t="str">
        <f t="array" ref="B14941">iferror(xlookup($I14941, 'IMPORT VHC Report'!$E:$E, 'IMPORT VHC Report'!$A:$C), )</f>
        <v/>
      </c>
      <c r="C14941" s="44"/>
      <c r="D14941" s="44"/>
      <c r="E14941" s="46" t="s">
        <v>11099</v>
      </c>
      <c r="F14941" s="46" t="s">
        <v>2882</v>
      </c>
      <c r="G14941" s="46">
        <v>9.285050515215E12</v>
      </c>
      <c r="H14941" s="46" t="s">
        <v>96</v>
      </c>
      <c r="I14941" s="46" t="s">
        <v>97</v>
      </c>
      <c r="J14941" s="46" t="s">
        <v>330</v>
      </c>
      <c r="K14941" s="46" t="s">
        <v>126</v>
      </c>
      <c r="L14941" s="45">
        <v>46013.291666666664</v>
      </c>
      <c r="M14941" s="46" t="s">
        <v>123</v>
      </c>
      <c r="N14941" s="45">
        <v>46013.32638888889</v>
      </c>
      <c r="O14941" s="46" t="s">
        <v>123</v>
      </c>
      <c r="P14941" s="46">
        <v>3000.0</v>
      </c>
    </row>
    <row r="14942">
      <c r="A14942" s="40">
        <f t="shared" si="1"/>
        <v>46013</v>
      </c>
      <c r="B14942" s="37" t="str">
        <f t="array" ref="B14942">iferror(xlookup($I14942, 'IMPORT VHC Report'!$E:$E, 'IMPORT VHC Report'!$A:$C), )</f>
        <v/>
      </c>
      <c r="C14942" s="44"/>
      <c r="D14942" s="44"/>
      <c r="E14942" s="46" t="s">
        <v>11100</v>
      </c>
      <c r="F14942" s="46" t="s">
        <v>2882</v>
      </c>
      <c r="G14942" s="46">
        <v>9.285050515215E12</v>
      </c>
      <c r="H14942" s="46" t="s">
        <v>96</v>
      </c>
      <c r="I14942" s="46" t="s">
        <v>97</v>
      </c>
      <c r="J14942" s="46" t="s">
        <v>134</v>
      </c>
      <c r="K14942" s="46" t="s">
        <v>126</v>
      </c>
      <c r="L14942" s="45">
        <v>46013.5</v>
      </c>
      <c r="M14942" s="46" t="s">
        <v>123</v>
      </c>
      <c r="N14942" s="45">
        <v>46013.520833333336</v>
      </c>
      <c r="O14942" s="46" t="s">
        <v>123</v>
      </c>
      <c r="P14942" s="46">
        <v>1800.0</v>
      </c>
    </row>
    <row r="14943">
      <c r="A14943" s="40">
        <f t="shared" si="1"/>
        <v>46013</v>
      </c>
      <c r="B14943" s="37" t="str">
        <f t="array" ref="B14943">iferror(xlookup($I14943, 'IMPORT VHC Report'!$E:$E, 'IMPORT VHC Report'!$A:$C), )</f>
        <v/>
      </c>
      <c r="C14943" s="44"/>
      <c r="D14943" s="44"/>
      <c r="E14943" s="46" t="s">
        <v>11101</v>
      </c>
      <c r="F14943" s="46" t="s">
        <v>2882</v>
      </c>
      <c r="G14943" s="46">
        <v>9.285050515215E12</v>
      </c>
      <c r="H14943" s="46" t="s">
        <v>96</v>
      </c>
      <c r="I14943" s="46" t="s">
        <v>97</v>
      </c>
      <c r="J14943" s="46" t="s">
        <v>132</v>
      </c>
      <c r="K14943" s="46" t="s">
        <v>126</v>
      </c>
      <c r="L14943" s="45">
        <v>46013.520833333336</v>
      </c>
      <c r="M14943" s="46" t="s">
        <v>123</v>
      </c>
      <c r="N14943" s="45">
        <v>46013.5625</v>
      </c>
      <c r="O14943" s="46" t="s">
        <v>123</v>
      </c>
      <c r="P14943" s="46">
        <v>3600.0</v>
      </c>
    </row>
    <row r="14944">
      <c r="A14944" s="40">
        <f t="shared" si="1"/>
        <v>46013</v>
      </c>
      <c r="B14944" s="37" t="str">
        <f t="array" ref="B14944">iferror(xlookup($I14944, 'IMPORT VHC Report'!$E:$E, 'IMPORT VHC Report'!$A:$C), )</f>
        <v/>
      </c>
      <c r="C14944" s="44"/>
      <c r="D14944" s="44"/>
      <c r="E14944" s="46" t="s">
        <v>11102</v>
      </c>
      <c r="F14944" s="46" t="s">
        <v>2882</v>
      </c>
      <c r="G14944" s="46">
        <v>9.285050515215E12</v>
      </c>
      <c r="H14944" s="46" t="s">
        <v>96</v>
      </c>
      <c r="I14944" s="46" t="s">
        <v>97</v>
      </c>
      <c r="J14944" s="46" t="s">
        <v>62</v>
      </c>
      <c r="K14944" s="46" t="s">
        <v>63</v>
      </c>
      <c r="L14944" s="45">
        <v>46014.25</v>
      </c>
      <c r="M14944" s="46" t="s">
        <v>123</v>
      </c>
      <c r="N14944" s="45">
        <v>46014.416666666664</v>
      </c>
      <c r="O14944" s="46" t="s">
        <v>123</v>
      </c>
      <c r="P14944" s="46">
        <v>14400.0</v>
      </c>
    </row>
    <row r="14945">
      <c r="A14945" s="40">
        <f t="shared" si="1"/>
        <v>46013</v>
      </c>
      <c r="B14945" s="37" t="str">
        <f t="array" ref="B14945">iferror(xlookup($I14945, 'IMPORT VHC Report'!$E:$E, 'IMPORT VHC Report'!$A:$C), )</f>
        <v/>
      </c>
      <c r="C14945" s="44"/>
      <c r="D14945" s="44"/>
      <c r="E14945" s="46" t="s">
        <v>11103</v>
      </c>
      <c r="F14945" s="46" t="s">
        <v>2882</v>
      </c>
      <c r="G14945" s="46">
        <v>9.285050515215E12</v>
      </c>
      <c r="H14945" s="46" t="s">
        <v>96</v>
      </c>
      <c r="I14945" s="46" t="s">
        <v>97</v>
      </c>
      <c r="J14945" s="46" t="s">
        <v>152</v>
      </c>
      <c r="K14945" s="46" t="s">
        <v>153</v>
      </c>
      <c r="L14945" s="45">
        <v>46014.25</v>
      </c>
      <c r="M14945" s="46" t="s">
        <v>123</v>
      </c>
      <c r="N14945" s="45">
        <v>46014.625</v>
      </c>
      <c r="O14945" s="46" t="s">
        <v>123</v>
      </c>
      <c r="P14945" s="46">
        <v>32400.0</v>
      </c>
      <c r="Q14945" s="46">
        <v>28800.0</v>
      </c>
      <c r="R14945" s="46" t="s">
        <v>11104</v>
      </c>
    </row>
    <row r="14946">
      <c r="A14946" s="40">
        <f t="shared" si="1"/>
        <v>46013</v>
      </c>
      <c r="B14946" s="37" t="str">
        <f t="array" ref="B14946">iferror(xlookup($I14946, 'IMPORT VHC Report'!$E:$E, 'IMPORT VHC Report'!$A:$C), )</f>
        <v/>
      </c>
      <c r="C14946" s="44"/>
      <c r="D14946" s="44"/>
      <c r="E14946" s="46" t="s">
        <v>11105</v>
      </c>
      <c r="F14946" s="46" t="s">
        <v>2882</v>
      </c>
      <c r="G14946" s="46">
        <v>9.285050515215E12</v>
      </c>
      <c r="H14946" s="46" t="s">
        <v>96</v>
      </c>
      <c r="I14946" s="46" t="s">
        <v>97</v>
      </c>
      <c r="J14946" s="46" t="s">
        <v>791</v>
      </c>
      <c r="K14946" s="46" t="s">
        <v>63</v>
      </c>
      <c r="L14946" s="45">
        <v>46014.416666666664</v>
      </c>
      <c r="M14946" s="46" t="s">
        <v>123</v>
      </c>
      <c r="N14946" s="45">
        <v>46014.625</v>
      </c>
      <c r="O14946" s="46" t="s">
        <v>123</v>
      </c>
      <c r="P14946" s="46">
        <v>18000.0</v>
      </c>
    </row>
    <row r="14947">
      <c r="A14947" s="40">
        <f t="shared" si="1"/>
        <v>46013</v>
      </c>
      <c r="B14947" s="37" t="str">
        <f t="array" ref="B14947">iferror(xlookup($I14947, 'IMPORT VHC Report'!$E:$E, 'IMPORT VHC Report'!$A:$C), )</f>
        <v/>
      </c>
      <c r="C14947" s="44"/>
      <c r="D14947" s="44"/>
      <c r="E14947" s="46" t="s">
        <v>11106</v>
      </c>
      <c r="F14947" s="46" t="s">
        <v>2882</v>
      </c>
      <c r="G14947" s="46">
        <v>9.285050515215E12</v>
      </c>
      <c r="H14947" s="46" t="s">
        <v>96</v>
      </c>
      <c r="I14947" s="46" t="s">
        <v>97</v>
      </c>
      <c r="J14947" s="46" t="s">
        <v>330</v>
      </c>
      <c r="K14947" s="46" t="s">
        <v>126</v>
      </c>
      <c r="L14947" s="45">
        <v>46014.458333333336</v>
      </c>
      <c r="M14947" s="46" t="s">
        <v>123</v>
      </c>
      <c r="N14947" s="45">
        <v>46014.5</v>
      </c>
      <c r="O14947" s="46" t="s">
        <v>123</v>
      </c>
      <c r="P14947" s="46">
        <v>3600.0</v>
      </c>
      <c r="S14947" s="46" t="s">
        <v>640</v>
      </c>
    </row>
    <row r="14948">
      <c r="A14948" s="40">
        <f t="shared" si="1"/>
        <v>46013</v>
      </c>
      <c r="B14948" s="37" t="str">
        <f t="array" ref="B14948">iferror(xlookup($I14948, 'IMPORT VHC Report'!$E:$E, 'IMPORT VHC Report'!$A:$C), )</f>
        <v/>
      </c>
      <c r="C14948" s="44"/>
      <c r="D14948" s="44"/>
      <c r="E14948" s="46" t="s">
        <v>11107</v>
      </c>
      <c r="F14948" s="46" t="s">
        <v>2882</v>
      </c>
      <c r="G14948" s="46">
        <v>9.285050515215E12</v>
      </c>
      <c r="H14948" s="46" t="s">
        <v>96</v>
      </c>
      <c r="I14948" s="46" t="s">
        <v>97</v>
      </c>
      <c r="J14948" s="46" t="s">
        <v>132</v>
      </c>
      <c r="K14948" s="46" t="s">
        <v>126</v>
      </c>
      <c r="L14948" s="45">
        <v>46014.5</v>
      </c>
      <c r="M14948" s="46" t="s">
        <v>123</v>
      </c>
      <c r="N14948" s="45">
        <v>46014.541666666664</v>
      </c>
      <c r="O14948" s="46" t="s">
        <v>123</v>
      </c>
      <c r="P14948" s="46">
        <v>3600.0</v>
      </c>
    </row>
    <row r="14949">
      <c r="A14949" s="40">
        <f t="shared" si="1"/>
        <v>46013</v>
      </c>
      <c r="B14949" s="37" t="str">
        <f t="array" ref="B14949">iferror(xlookup($I14949, 'IMPORT VHC Report'!$E:$E, 'IMPORT VHC Report'!$A:$C), )</f>
        <v/>
      </c>
      <c r="C14949" s="44"/>
      <c r="D14949" s="44"/>
      <c r="E14949" s="46" t="s">
        <v>11108</v>
      </c>
      <c r="F14949" s="46" t="s">
        <v>2882</v>
      </c>
      <c r="G14949" s="46">
        <v>9.285050515215E12</v>
      </c>
      <c r="H14949" s="46" t="s">
        <v>96</v>
      </c>
      <c r="I14949" s="46" t="s">
        <v>97</v>
      </c>
      <c r="J14949" s="46" t="s">
        <v>134</v>
      </c>
      <c r="K14949" s="46" t="s">
        <v>126</v>
      </c>
      <c r="L14949" s="45">
        <v>46014.541666666664</v>
      </c>
      <c r="M14949" s="46" t="s">
        <v>123</v>
      </c>
      <c r="N14949" s="45">
        <v>46014.5625</v>
      </c>
      <c r="O14949" s="46" t="s">
        <v>123</v>
      </c>
      <c r="P14949" s="46">
        <v>1800.0</v>
      </c>
    </row>
    <row r="14950">
      <c r="A14950" s="40">
        <f t="shared" si="1"/>
        <v>46013</v>
      </c>
      <c r="B14950" s="37" t="str">
        <f t="array" ref="B14950">iferror(xlookup($I14950, 'IMPORT VHC Report'!$E:$E, 'IMPORT VHC Report'!$A:$C), )</f>
        <v/>
      </c>
      <c r="C14950" s="44"/>
      <c r="D14950" s="44"/>
      <c r="E14950" s="46" t="s">
        <v>11109</v>
      </c>
      <c r="F14950" s="46" t="s">
        <v>2882</v>
      </c>
      <c r="G14950" s="46">
        <v>9.285050515215E12</v>
      </c>
      <c r="H14950" s="46" t="s">
        <v>96</v>
      </c>
      <c r="I14950" s="46" t="s">
        <v>97</v>
      </c>
      <c r="J14950" s="46" t="s">
        <v>791</v>
      </c>
      <c r="K14950" s="46" t="s">
        <v>63</v>
      </c>
      <c r="L14950" s="45">
        <v>46015.25</v>
      </c>
      <c r="M14950" s="46" t="s">
        <v>123</v>
      </c>
      <c r="N14950" s="45">
        <v>46015.625</v>
      </c>
      <c r="O14950" s="46" t="s">
        <v>123</v>
      </c>
      <c r="P14950" s="46">
        <v>32400.0</v>
      </c>
    </row>
    <row r="14951">
      <c r="A14951" s="40">
        <f t="shared" si="1"/>
        <v>46013</v>
      </c>
      <c r="B14951" s="37" t="str">
        <f t="array" ref="B14951">iferror(xlookup($I14951, 'IMPORT VHC Report'!$E:$E, 'IMPORT VHC Report'!$A:$C), )</f>
        <v/>
      </c>
      <c r="C14951" s="44"/>
      <c r="D14951" s="44"/>
      <c r="E14951" s="46" t="s">
        <v>11110</v>
      </c>
      <c r="F14951" s="46" t="s">
        <v>2882</v>
      </c>
      <c r="G14951" s="46">
        <v>9.285050515215E12</v>
      </c>
      <c r="H14951" s="46" t="s">
        <v>96</v>
      </c>
      <c r="I14951" s="46" t="s">
        <v>97</v>
      </c>
      <c r="J14951" s="46" t="s">
        <v>136</v>
      </c>
      <c r="K14951" s="46" t="s">
        <v>126</v>
      </c>
      <c r="L14951" s="45">
        <v>46015.416666666664</v>
      </c>
      <c r="M14951" s="46" t="s">
        <v>123</v>
      </c>
      <c r="N14951" s="45">
        <v>46015.458333333336</v>
      </c>
      <c r="O14951" s="46" t="s">
        <v>123</v>
      </c>
      <c r="P14951" s="46">
        <v>3600.0</v>
      </c>
      <c r="S14951" s="46" t="s">
        <v>11039</v>
      </c>
    </row>
    <row r="14952">
      <c r="A14952" s="40">
        <f t="shared" si="1"/>
        <v>46013</v>
      </c>
      <c r="B14952" s="37" t="str">
        <f t="array" ref="B14952">iferror(xlookup($I14952, 'IMPORT VHC Report'!$E:$E, 'IMPORT VHC Report'!$A:$C), )</f>
        <v/>
      </c>
      <c r="C14952" s="44"/>
      <c r="D14952" s="44"/>
      <c r="E14952" s="46" t="s">
        <v>11111</v>
      </c>
      <c r="F14952" s="46" t="s">
        <v>2882</v>
      </c>
      <c r="G14952" s="46">
        <v>9.285050515215E12</v>
      </c>
      <c r="H14952" s="46" t="s">
        <v>96</v>
      </c>
      <c r="I14952" s="46" t="s">
        <v>97</v>
      </c>
      <c r="J14952" s="46" t="s">
        <v>132</v>
      </c>
      <c r="K14952" s="46" t="s">
        <v>126</v>
      </c>
      <c r="L14952" s="45">
        <v>46015.5</v>
      </c>
      <c r="M14952" s="46" t="s">
        <v>123</v>
      </c>
      <c r="N14952" s="45">
        <v>46015.541666666664</v>
      </c>
      <c r="O14952" s="46" t="s">
        <v>123</v>
      </c>
      <c r="P14952" s="46">
        <v>3600.0</v>
      </c>
    </row>
    <row r="14953">
      <c r="A14953" s="40">
        <f t="shared" si="1"/>
        <v>46013</v>
      </c>
      <c r="B14953" s="37" t="str">
        <f t="array" ref="B14953">iferror(xlookup($I14953, 'IMPORT VHC Report'!$E:$E, 'IMPORT VHC Report'!$A:$C), )</f>
        <v/>
      </c>
      <c r="C14953" s="44"/>
      <c r="D14953" s="44"/>
      <c r="E14953" s="46" t="s">
        <v>11112</v>
      </c>
      <c r="F14953" s="46" t="s">
        <v>2882</v>
      </c>
      <c r="G14953" s="46">
        <v>9.285050515215E12</v>
      </c>
      <c r="H14953" s="46" t="s">
        <v>96</v>
      </c>
      <c r="I14953" s="46" t="s">
        <v>97</v>
      </c>
      <c r="J14953" s="46" t="s">
        <v>134</v>
      </c>
      <c r="K14953" s="46" t="s">
        <v>126</v>
      </c>
      <c r="L14953" s="45">
        <v>46015.541666666664</v>
      </c>
      <c r="M14953" s="46" t="s">
        <v>123</v>
      </c>
      <c r="N14953" s="45">
        <v>46015.5625</v>
      </c>
      <c r="O14953" s="46" t="s">
        <v>123</v>
      </c>
      <c r="P14953" s="46">
        <v>1800.0</v>
      </c>
    </row>
    <row r="14954">
      <c r="A14954" s="40">
        <f t="shared" si="1"/>
        <v>46013</v>
      </c>
      <c r="B14954" s="37" t="str">
        <f t="array" ref="B14954">iferror(xlookup($I14954, 'IMPORT VHC Report'!$E:$E, 'IMPORT VHC Report'!$A:$C), )</f>
        <v/>
      </c>
      <c r="C14954" s="44"/>
      <c r="D14954" s="44"/>
      <c r="E14954" s="46" t="s">
        <v>11113</v>
      </c>
      <c r="F14954" s="46" t="s">
        <v>2882</v>
      </c>
      <c r="G14954" s="46">
        <v>9.285050515215E12</v>
      </c>
      <c r="H14954" s="46" t="s">
        <v>96</v>
      </c>
      <c r="I14954" s="46" t="s">
        <v>97</v>
      </c>
      <c r="J14954" s="46" t="s">
        <v>791</v>
      </c>
      <c r="K14954" s="46" t="s">
        <v>63</v>
      </c>
      <c r="L14954" s="45">
        <v>46016.25</v>
      </c>
      <c r="M14954" s="46" t="s">
        <v>123</v>
      </c>
      <c r="N14954" s="45">
        <v>46016.625</v>
      </c>
      <c r="O14954" s="46" t="s">
        <v>123</v>
      </c>
      <c r="P14954" s="46">
        <v>32400.0</v>
      </c>
    </row>
    <row r="14955">
      <c r="A14955" s="40">
        <f t="shared" si="1"/>
        <v>46013</v>
      </c>
      <c r="B14955" s="37" t="str">
        <f t="array" ref="B14955">iferror(xlookup($I14955, 'IMPORT VHC Report'!$E:$E, 'IMPORT VHC Report'!$A:$C), )</f>
        <v/>
      </c>
      <c r="C14955" s="44"/>
      <c r="D14955" s="44"/>
      <c r="E14955" s="46" t="s">
        <v>11114</v>
      </c>
      <c r="F14955" s="46" t="s">
        <v>2882</v>
      </c>
      <c r="G14955" s="46">
        <v>9.285050515215E12</v>
      </c>
      <c r="H14955" s="46" t="s">
        <v>96</v>
      </c>
      <c r="I14955" s="46" t="s">
        <v>97</v>
      </c>
      <c r="J14955" s="46" t="s">
        <v>134</v>
      </c>
      <c r="K14955" s="46" t="s">
        <v>126</v>
      </c>
      <c r="L14955" s="45">
        <v>46016.5625</v>
      </c>
      <c r="M14955" s="46" t="s">
        <v>123</v>
      </c>
      <c r="N14955" s="45">
        <v>46016.583333333336</v>
      </c>
      <c r="O14955" s="46" t="s">
        <v>123</v>
      </c>
      <c r="P14955" s="46">
        <v>1800.0</v>
      </c>
    </row>
    <row r="14956">
      <c r="A14956" s="40">
        <f t="shared" si="1"/>
        <v>46013</v>
      </c>
      <c r="B14956" s="37" t="str">
        <f t="array" ref="B14956">iferror(xlookup($I14956, 'IMPORT VHC Report'!$E:$E, 'IMPORT VHC Report'!$A:$C), )</f>
        <v/>
      </c>
      <c r="C14956" s="44"/>
      <c r="D14956" s="44"/>
      <c r="E14956" s="46" t="s">
        <v>11115</v>
      </c>
      <c r="F14956" s="46" t="s">
        <v>2882</v>
      </c>
      <c r="G14956" s="46">
        <v>9.285050515215E12</v>
      </c>
      <c r="H14956" s="46" t="s">
        <v>96</v>
      </c>
      <c r="I14956" s="46" t="s">
        <v>97</v>
      </c>
      <c r="J14956" s="46" t="s">
        <v>132</v>
      </c>
      <c r="K14956" s="46" t="s">
        <v>126</v>
      </c>
      <c r="L14956" s="45">
        <v>46016.583333333336</v>
      </c>
      <c r="M14956" s="46" t="s">
        <v>123</v>
      </c>
      <c r="N14956" s="45">
        <v>46016.625</v>
      </c>
      <c r="O14956" s="46" t="s">
        <v>123</v>
      </c>
      <c r="P14956" s="46">
        <v>3600.0</v>
      </c>
    </row>
    <row r="14957">
      <c r="A14957" s="40">
        <f t="shared" si="1"/>
        <v>46013</v>
      </c>
      <c r="B14957" s="37" t="str">
        <f t="array" ref="B14957">iferror(xlookup($I14957, 'IMPORT VHC Report'!$E:$E, 'IMPORT VHC Report'!$A:$C), )</f>
        <v/>
      </c>
      <c r="C14957" s="44"/>
      <c r="D14957" s="44"/>
      <c r="E14957" s="46" t="s">
        <v>11116</v>
      </c>
      <c r="F14957" s="46" t="s">
        <v>2882</v>
      </c>
      <c r="G14957" s="46">
        <v>9.285050515215E12</v>
      </c>
      <c r="H14957" s="46" t="s">
        <v>96</v>
      </c>
      <c r="I14957" s="46" t="s">
        <v>97</v>
      </c>
      <c r="J14957" s="46" t="s">
        <v>791</v>
      </c>
      <c r="K14957" s="46" t="s">
        <v>63</v>
      </c>
      <c r="L14957" s="45">
        <v>46019.25</v>
      </c>
      <c r="M14957" s="46" t="s">
        <v>123</v>
      </c>
      <c r="N14957" s="45">
        <v>46019.625</v>
      </c>
      <c r="O14957" s="46" t="s">
        <v>123</v>
      </c>
      <c r="P14957" s="46">
        <v>32400.0</v>
      </c>
    </row>
    <row r="14958">
      <c r="A14958" s="40">
        <f t="shared" si="1"/>
        <v>46013</v>
      </c>
      <c r="B14958" s="37" t="str">
        <f t="array" ref="B14958">iferror(xlookup($I14958, 'IMPORT VHC Report'!$E:$E, 'IMPORT VHC Report'!$A:$C), )</f>
        <v/>
      </c>
      <c r="C14958" s="44"/>
      <c r="D14958" s="44"/>
      <c r="E14958" s="46" t="s">
        <v>11117</v>
      </c>
      <c r="F14958" s="46" t="s">
        <v>2882</v>
      </c>
      <c r="G14958" s="46">
        <v>9.285050515215E12</v>
      </c>
      <c r="H14958" s="46" t="s">
        <v>96</v>
      </c>
      <c r="I14958" s="46" t="s">
        <v>97</v>
      </c>
      <c r="J14958" s="46" t="s">
        <v>134</v>
      </c>
      <c r="K14958" s="46" t="s">
        <v>126</v>
      </c>
      <c r="L14958" s="45">
        <v>46019.5625</v>
      </c>
      <c r="M14958" s="46" t="s">
        <v>123</v>
      </c>
      <c r="N14958" s="45">
        <v>46019.583333333336</v>
      </c>
      <c r="O14958" s="46" t="s">
        <v>123</v>
      </c>
      <c r="P14958" s="46">
        <v>1800.0</v>
      </c>
    </row>
    <row r="14959">
      <c r="A14959" s="40">
        <f t="shared" si="1"/>
        <v>46013</v>
      </c>
      <c r="B14959" s="37" t="str">
        <f t="array" ref="B14959">iferror(xlookup($I14959, 'IMPORT VHC Report'!$E:$E, 'IMPORT VHC Report'!$A:$C), )</f>
        <v/>
      </c>
      <c r="C14959" s="44"/>
      <c r="D14959" s="44"/>
      <c r="E14959" s="46" t="s">
        <v>11118</v>
      </c>
      <c r="F14959" s="46" t="s">
        <v>2882</v>
      </c>
      <c r="G14959" s="46">
        <v>9.285050515215E12</v>
      </c>
      <c r="H14959" s="46" t="s">
        <v>96</v>
      </c>
      <c r="I14959" s="46" t="s">
        <v>97</v>
      </c>
      <c r="J14959" s="46" t="s">
        <v>132</v>
      </c>
      <c r="K14959" s="46" t="s">
        <v>126</v>
      </c>
      <c r="L14959" s="45">
        <v>46019.583333333336</v>
      </c>
      <c r="M14959" s="46" t="s">
        <v>123</v>
      </c>
      <c r="N14959" s="45">
        <v>46019.625</v>
      </c>
      <c r="O14959" s="46" t="s">
        <v>123</v>
      </c>
      <c r="P14959" s="46">
        <v>3600.0</v>
      </c>
    </row>
    <row r="14960">
      <c r="A14960" s="40">
        <f t="shared" si="1"/>
        <v>46013</v>
      </c>
      <c r="B14960" s="37" t="str">
        <f t="array" ref="B14960">iferror(xlookup($I14960, 'IMPORT VHC Report'!$E:$E, 'IMPORT VHC Report'!$A:$C), )</f>
        <v/>
      </c>
      <c r="C14960" s="44"/>
      <c r="D14960" s="44"/>
      <c r="E14960" s="46" t="s">
        <v>11119</v>
      </c>
      <c r="F14960" s="46" t="s">
        <v>4354</v>
      </c>
      <c r="G14960" s="46">
        <v>5.202423769487E12</v>
      </c>
      <c r="H14960" s="46" t="s">
        <v>4355</v>
      </c>
      <c r="I14960" s="46" t="s">
        <v>4356</v>
      </c>
      <c r="J14960" s="46" t="s">
        <v>791</v>
      </c>
      <c r="K14960" s="46" t="s">
        <v>63</v>
      </c>
      <c r="L14960" s="45">
        <v>46013.583333333336</v>
      </c>
      <c r="M14960" s="46" t="s">
        <v>123</v>
      </c>
      <c r="N14960" s="45">
        <v>46013.958333333336</v>
      </c>
      <c r="O14960" s="46" t="s">
        <v>123</v>
      </c>
      <c r="P14960" s="46">
        <v>32400.0</v>
      </c>
    </row>
    <row r="14961">
      <c r="A14961" s="40">
        <f t="shared" si="1"/>
        <v>46013</v>
      </c>
      <c r="B14961" s="37" t="str">
        <f t="array" ref="B14961">iferror(xlookup($I14961, 'IMPORT VHC Report'!$E:$E, 'IMPORT VHC Report'!$A:$C), )</f>
        <v/>
      </c>
      <c r="C14961" s="44"/>
      <c r="D14961" s="44"/>
      <c r="E14961" s="46" t="s">
        <v>11120</v>
      </c>
      <c r="F14961" s="46" t="s">
        <v>4354</v>
      </c>
      <c r="G14961" s="46">
        <v>5.202423769487E12</v>
      </c>
      <c r="H14961" s="46" t="s">
        <v>4355</v>
      </c>
      <c r="I14961" s="46" t="s">
        <v>4356</v>
      </c>
      <c r="J14961" s="46" t="s">
        <v>134</v>
      </c>
      <c r="K14961" s="46" t="s">
        <v>126</v>
      </c>
      <c r="L14961" s="45">
        <v>46013.895833333336</v>
      </c>
      <c r="M14961" s="46" t="s">
        <v>123</v>
      </c>
      <c r="N14961" s="45">
        <v>46013.916666666664</v>
      </c>
      <c r="O14961" s="46" t="s">
        <v>123</v>
      </c>
      <c r="P14961" s="46">
        <v>1800.0</v>
      </c>
    </row>
    <row r="14962">
      <c r="A14962" s="40">
        <f t="shared" si="1"/>
        <v>46013</v>
      </c>
      <c r="B14962" s="37" t="str">
        <f t="array" ref="B14962">iferror(xlookup($I14962, 'IMPORT VHC Report'!$E:$E, 'IMPORT VHC Report'!$A:$C), )</f>
        <v/>
      </c>
      <c r="C14962" s="44"/>
      <c r="D14962" s="44"/>
      <c r="E14962" s="46" t="s">
        <v>11121</v>
      </c>
      <c r="F14962" s="46" t="s">
        <v>4354</v>
      </c>
      <c r="G14962" s="46">
        <v>5.202423769487E12</v>
      </c>
      <c r="H14962" s="46" t="s">
        <v>4355</v>
      </c>
      <c r="I14962" s="46" t="s">
        <v>4356</v>
      </c>
      <c r="J14962" s="46" t="s">
        <v>132</v>
      </c>
      <c r="K14962" s="46" t="s">
        <v>126</v>
      </c>
      <c r="L14962" s="45">
        <v>46013.916666666664</v>
      </c>
      <c r="M14962" s="46" t="s">
        <v>123</v>
      </c>
      <c r="N14962" s="45">
        <v>46013.958333333336</v>
      </c>
      <c r="O14962" s="46" t="s">
        <v>123</v>
      </c>
      <c r="P14962" s="46">
        <v>3600.0</v>
      </c>
    </row>
    <row r="14963">
      <c r="A14963" s="40">
        <f t="shared" si="1"/>
        <v>46013</v>
      </c>
      <c r="B14963" s="37" t="str">
        <f t="array" ref="B14963">iferror(xlookup($I14963, 'IMPORT VHC Report'!$E:$E, 'IMPORT VHC Report'!$A:$C), )</f>
        <v/>
      </c>
      <c r="C14963" s="44"/>
      <c r="D14963" s="44"/>
      <c r="E14963" s="46" t="s">
        <v>11122</v>
      </c>
      <c r="F14963" s="46" t="s">
        <v>4354</v>
      </c>
      <c r="G14963" s="46">
        <v>5.202423769487E12</v>
      </c>
      <c r="H14963" s="46" t="s">
        <v>4355</v>
      </c>
      <c r="I14963" s="46" t="s">
        <v>4356</v>
      </c>
      <c r="J14963" s="46" t="s">
        <v>62</v>
      </c>
      <c r="K14963" s="46" t="s">
        <v>63</v>
      </c>
      <c r="L14963" s="45">
        <v>46014.583333333336</v>
      </c>
      <c r="M14963" s="46" t="s">
        <v>123</v>
      </c>
      <c r="N14963" s="45">
        <v>46014.75</v>
      </c>
      <c r="O14963" s="46" t="s">
        <v>123</v>
      </c>
      <c r="P14963" s="46">
        <v>14400.0</v>
      </c>
    </row>
    <row r="14964">
      <c r="A14964" s="40">
        <f t="shared" si="1"/>
        <v>46013</v>
      </c>
      <c r="B14964" s="37" t="str">
        <f t="array" ref="B14964">iferror(xlookup($I14964, 'IMPORT VHC Report'!$E:$E, 'IMPORT VHC Report'!$A:$C), )</f>
        <v/>
      </c>
      <c r="C14964" s="44"/>
      <c r="D14964" s="44"/>
      <c r="E14964" s="46" t="s">
        <v>11123</v>
      </c>
      <c r="F14964" s="46" t="s">
        <v>4354</v>
      </c>
      <c r="G14964" s="46">
        <v>5.202423769487E12</v>
      </c>
      <c r="H14964" s="46" t="s">
        <v>4355</v>
      </c>
      <c r="I14964" s="46" t="s">
        <v>4356</v>
      </c>
      <c r="J14964" s="46" t="s">
        <v>791</v>
      </c>
      <c r="K14964" s="46" t="s">
        <v>63</v>
      </c>
      <c r="L14964" s="45">
        <v>46014.75</v>
      </c>
      <c r="M14964" s="46" t="s">
        <v>123</v>
      </c>
      <c r="N14964" s="45">
        <v>46014.958333333336</v>
      </c>
      <c r="O14964" s="46" t="s">
        <v>123</v>
      </c>
      <c r="P14964" s="46">
        <v>18000.0</v>
      </c>
    </row>
    <row r="14965">
      <c r="A14965" s="40">
        <f t="shared" si="1"/>
        <v>46013</v>
      </c>
      <c r="B14965" s="37" t="str">
        <f t="array" ref="B14965">iferror(xlookup($I14965, 'IMPORT VHC Report'!$E:$E, 'IMPORT VHC Report'!$A:$C), )</f>
        <v/>
      </c>
      <c r="C14965" s="44"/>
      <c r="D14965" s="44"/>
      <c r="E14965" s="46" t="s">
        <v>11124</v>
      </c>
      <c r="F14965" s="46" t="s">
        <v>4354</v>
      </c>
      <c r="G14965" s="46">
        <v>5.202423769487E12</v>
      </c>
      <c r="H14965" s="46" t="s">
        <v>4355</v>
      </c>
      <c r="I14965" s="46" t="s">
        <v>4356</v>
      </c>
      <c r="J14965" s="46" t="s">
        <v>132</v>
      </c>
      <c r="K14965" s="46" t="s">
        <v>126</v>
      </c>
      <c r="L14965" s="45">
        <v>46014.833333333336</v>
      </c>
      <c r="M14965" s="46" t="s">
        <v>123</v>
      </c>
      <c r="N14965" s="45">
        <v>46014.875</v>
      </c>
      <c r="O14965" s="46" t="s">
        <v>123</v>
      </c>
      <c r="P14965" s="46">
        <v>3600.0</v>
      </c>
    </row>
    <row r="14966">
      <c r="A14966" s="40">
        <f t="shared" si="1"/>
        <v>46013</v>
      </c>
      <c r="B14966" s="37" t="str">
        <f t="array" ref="B14966">iferror(xlookup($I14966, 'IMPORT VHC Report'!$E:$E, 'IMPORT VHC Report'!$A:$C), )</f>
        <v/>
      </c>
      <c r="C14966" s="44"/>
      <c r="D14966" s="44"/>
      <c r="E14966" s="46" t="s">
        <v>11125</v>
      </c>
      <c r="F14966" s="46" t="s">
        <v>4354</v>
      </c>
      <c r="G14966" s="46">
        <v>5.202423769487E12</v>
      </c>
      <c r="H14966" s="46" t="s">
        <v>4355</v>
      </c>
      <c r="I14966" s="46" t="s">
        <v>4356</v>
      </c>
      <c r="J14966" s="46" t="s">
        <v>134</v>
      </c>
      <c r="K14966" s="46" t="s">
        <v>126</v>
      </c>
      <c r="L14966" s="45">
        <v>46014.875</v>
      </c>
      <c r="M14966" s="46" t="s">
        <v>123</v>
      </c>
      <c r="N14966" s="45">
        <v>46014.895833333336</v>
      </c>
      <c r="O14966" s="46" t="s">
        <v>123</v>
      </c>
      <c r="P14966" s="46">
        <v>1800.0</v>
      </c>
    </row>
    <row r="14967">
      <c r="A14967" s="40">
        <f t="shared" si="1"/>
        <v>46013</v>
      </c>
      <c r="B14967" s="37" t="str">
        <f t="array" ref="B14967">iferror(xlookup($I14967, 'IMPORT VHC Report'!$E:$E, 'IMPORT VHC Report'!$A:$C), )</f>
        <v/>
      </c>
      <c r="C14967" s="44"/>
      <c r="D14967" s="44"/>
      <c r="E14967" s="46" t="s">
        <v>11126</v>
      </c>
      <c r="F14967" s="46" t="s">
        <v>4354</v>
      </c>
      <c r="G14967" s="46">
        <v>5.202423769487E12</v>
      </c>
      <c r="H14967" s="46" t="s">
        <v>4355</v>
      </c>
      <c r="I14967" s="46" t="s">
        <v>4356</v>
      </c>
      <c r="J14967" s="46" t="s">
        <v>791</v>
      </c>
      <c r="K14967" s="46" t="s">
        <v>63</v>
      </c>
      <c r="L14967" s="45">
        <v>46015.583333333336</v>
      </c>
      <c r="M14967" s="46" t="s">
        <v>123</v>
      </c>
      <c r="N14967" s="45">
        <v>46015.958333333336</v>
      </c>
      <c r="O14967" s="46" t="s">
        <v>123</v>
      </c>
      <c r="P14967" s="46">
        <v>32400.0</v>
      </c>
    </row>
    <row r="14968">
      <c r="A14968" s="40">
        <f t="shared" si="1"/>
        <v>46013</v>
      </c>
      <c r="B14968" s="37" t="str">
        <f t="array" ref="B14968">iferror(xlookup($I14968, 'IMPORT VHC Report'!$E:$E, 'IMPORT VHC Report'!$A:$C), )</f>
        <v/>
      </c>
      <c r="C14968" s="44"/>
      <c r="D14968" s="44"/>
      <c r="E14968" s="46" t="s">
        <v>11127</v>
      </c>
      <c r="F14968" s="46" t="s">
        <v>4354</v>
      </c>
      <c r="G14968" s="46">
        <v>5.202423769487E12</v>
      </c>
      <c r="H14968" s="46" t="s">
        <v>4355</v>
      </c>
      <c r="I14968" s="46" t="s">
        <v>4356</v>
      </c>
      <c r="J14968" s="46" t="s">
        <v>178</v>
      </c>
      <c r="K14968" s="46" t="s">
        <v>153</v>
      </c>
      <c r="L14968" s="45">
        <v>46015.583333333336</v>
      </c>
      <c r="M14968" s="46" t="s">
        <v>123</v>
      </c>
      <c r="N14968" s="45">
        <v>46015.958333333336</v>
      </c>
      <c r="O14968" s="46" t="s">
        <v>123</v>
      </c>
      <c r="P14968" s="46">
        <v>32400.0</v>
      </c>
    </row>
    <row r="14969">
      <c r="A14969" s="40">
        <f t="shared" si="1"/>
        <v>46013</v>
      </c>
      <c r="B14969" s="37" t="str">
        <f t="array" ref="B14969">iferror(xlookup($I14969, 'IMPORT VHC Report'!$E:$E, 'IMPORT VHC Report'!$A:$C), )</f>
        <v/>
      </c>
      <c r="C14969" s="44"/>
      <c r="D14969" s="44"/>
      <c r="E14969" s="46" t="s">
        <v>11128</v>
      </c>
      <c r="F14969" s="46" t="s">
        <v>4354</v>
      </c>
      <c r="G14969" s="46">
        <v>5.202423769487E12</v>
      </c>
      <c r="H14969" s="46" t="s">
        <v>4355</v>
      </c>
      <c r="I14969" s="46" t="s">
        <v>4356</v>
      </c>
      <c r="J14969" s="46" t="s">
        <v>134</v>
      </c>
      <c r="K14969" s="46" t="s">
        <v>126</v>
      </c>
      <c r="L14969" s="45">
        <v>46015.833333333336</v>
      </c>
      <c r="M14969" s="46" t="s">
        <v>123</v>
      </c>
      <c r="N14969" s="45">
        <v>46015.854166666664</v>
      </c>
      <c r="O14969" s="46" t="s">
        <v>123</v>
      </c>
      <c r="P14969" s="46">
        <v>1800.0</v>
      </c>
    </row>
    <row r="14970">
      <c r="A14970" s="40">
        <f t="shared" si="1"/>
        <v>46013</v>
      </c>
      <c r="B14970" s="37" t="str">
        <f t="array" ref="B14970">iferror(xlookup($I14970, 'IMPORT VHC Report'!$E:$E, 'IMPORT VHC Report'!$A:$C), )</f>
        <v/>
      </c>
      <c r="C14970" s="44"/>
      <c r="D14970" s="44"/>
      <c r="E14970" s="46" t="s">
        <v>11129</v>
      </c>
      <c r="F14970" s="46" t="s">
        <v>4354</v>
      </c>
      <c r="G14970" s="46">
        <v>5.202423769487E12</v>
      </c>
      <c r="H14970" s="46" t="s">
        <v>4355</v>
      </c>
      <c r="I14970" s="46" t="s">
        <v>4356</v>
      </c>
      <c r="J14970" s="46" t="s">
        <v>132</v>
      </c>
      <c r="K14970" s="46" t="s">
        <v>126</v>
      </c>
      <c r="L14970" s="45">
        <v>46015.854166666664</v>
      </c>
      <c r="M14970" s="46" t="s">
        <v>123</v>
      </c>
      <c r="N14970" s="45">
        <v>46015.895833333336</v>
      </c>
      <c r="O14970" s="46" t="s">
        <v>123</v>
      </c>
      <c r="P14970" s="46">
        <v>3600.0</v>
      </c>
    </row>
    <row r="14971">
      <c r="A14971" s="40">
        <f t="shared" si="1"/>
        <v>46013</v>
      </c>
      <c r="B14971" s="37" t="str">
        <f t="array" ref="B14971">iferror(xlookup($I14971, 'IMPORT VHC Report'!$E:$E, 'IMPORT VHC Report'!$A:$C), )</f>
        <v/>
      </c>
      <c r="C14971" s="44"/>
      <c r="D14971" s="44"/>
      <c r="E14971" s="46" t="s">
        <v>11130</v>
      </c>
      <c r="F14971" s="46" t="s">
        <v>4354</v>
      </c>
      <c r="G14971" s="46">
        <v>5.202423769487E12</v>
      </c>
      <c r="H14971" s="46" t="s">
        <v>4355</v>
      </c>
      <c r="I14971" s="46" t="s">
        <v>4356</v>
      </c>
      <c r="J14971" s="46" t="s">
        <v>178</v>
      </c>
      <c r="K14971" s="46" t="s">
        <v>153</v>
      </c>
      <c r="L14971" s="45">
        <v>46016.583333333336</v>
      </c>
      <c r="M14971" s="46" t="s">
        <v>123</v>
      </c>
      <c r="N14971" s="45">
        <v>46016.958333333336</v>
      </c>
      <c r="O14971" s="46" t="s">
        <v>123</v>
      </c>
      <c r="P14971" s="46">
        <v>32400.0</v>
      </c>
      <c r="Q14971" s="46">
        <v>32400.0</v>
      </c>
    </row>
    <row r="14972">
      <c r="A14972" s="40">
        <f t="shared" si="1"/>
        <v>46013</v>
      </c>
      <c r="B14972" s="37" t="str">
        <f t="array" ref="B14972">iferror(xlookup($I14972, 'IMPORT VHC Report'!$E:$E, 'IMPORT VHC Report'!$A:$C), )</f>
        <v/>
      </c>
      <c r="C14972" s="44"/>
      <c r="D14972" s="44"/>
      <c r="E14972" s="46" t="s">
        <v>11131</v>
      </c>
      <c r="F14972" s="46" t="s">
        <v>4354</v>
      </c>
      <c r="G14972" s="46">
        <v>5.202423769487E12</v>
      </c>
      <c r="H14972" s="46" t="s">
        <v>4355</v>
      </c>
      <c r="I14972" s="46" t="s">
        <v>4356</v>
      </c>
      <c r="J14972" s="46" t="s">
        <v>791</v>
      </c>
      <c r="K14972" s="46" t="s">
        <v>63</v>
      </c>
      <c r="L14972" s="45">
        <v>46016.583333333336</v>
      </c>
      <c r="M14972" s="46" t="s">
        <v>123</v>
      </c>
      <c r="N14972" s="45">
        <v>46016.958333333336</v>
      </c>
      <c r="O14972" s="46" t="s">
        <v>123</v>
      </c>
      <c r="P14972" s="46">
        <v>32400.0</v>
      </c>
    </row>
    <row r="14973">
      <c r="A14973" s="40">
        <f t="shared" si="1"/>
        <v>46013</v>
      </c>
      <c r="B14973" s="37" t="str">
        <f t="array" ref="B14973">iferror(xlookup($I14973, 'IMPORT VHC Report'!$E:$E, 'IMPORT VHC Report'!$A:$C), )</f>
        <v/>
      </c>
      <c r="C14973" s="44"/>
      <c r="D14973" s="44"/>
      <c r="E14973" s="46" t="s">
        <v>11132</v>
      </c>
      <c r="F14973" s="46" t="s">
        <v>4354</v>
      </c>
      <c r="G14973" s="46">
        <v>5.202423769487E12</v>
      </c>
      <c r="H14973" s="46" t="s">
        <v>4355</v>
      </c>
      <c r="I14973" s="46" t="s">
        <v>4356</v>
      </c>
      <c r="J14973" s="46" t="s">
        <v>134</v>
      </c>
      <c r="K14973" s="46" t="s">
        <v>126</v>
      </c>
      <c r="L14973" s="45">
        <v>46016.833333333336</v>
      </c>
      <c r="M14973" s="46" t="s">
        <v>123</v>
      </c>
      <c r="N14973" s="45">
        <v>46016.854166666664</v>
      </c>
      <c r="O14973" s="46" t="s">
        <v>123</v>
      </c>
      <c r="P14973" s="46">
        <v>1800.0</v>
      </c>
    </row>
    <row r="14974">
      <c r="A14974" s="40">
        <f t="shared" si="1"/>
        <v>46013</v>
      </c>
      <c r="B14974" s="37" t="str">
        <f t="array" ref="B14974">iferror(xlookup($I14974, 'IMPORT VHC Report'!$E:$E, 'IMPORT VHC Report'!$A:$C), )</f>
        <v/>
      </c>
      <c r="C14974" s="44"/>
      <c r="D14974" s="44"/>
      <c r="E14974" s="46" t="s">
        <v>11133</v>
      </c>
      <c r="F14974" s="46" t="s">
        <v>4354</v>
      </c>
      <c r="G14974" s="46">
        <v>5.202423769487E12</v>
      </c>
      <c r="H14974" s="46" t="s">
        <v>4355</v>
      </c>
      <c r="I14974" s="46" t="s">
        <v>4356</v>
      </c>
      <c r="J14974" s="46" t="s">
        <v>132</v>
      </c>
      <c r="K14974" s="46" t="s">
        <v>126</v>
      </c>
      <c r="L14974" s="45">
        <v>46016.854166666664</v>
      </c>
      <c r="M14974" s="46" t="s">
        <v>123</v>
      </c>
      <c r="N14974" s="45">
        <v>46016.895833333336</v>
      </c>
      <c r="O14974" s="46" t="s">
        <v>123</v>
      </c>
      <c r="P14974" s="46">
        <v>3600.0</v>
      </c>
    </row>
    <row r="14975">
      <c r="A14975" s="40">
        <f t="shared" si="1"/>
        <v>46013</v>
      </c>
      <c r="B14975" s="37" t="str">
        <f t="array" ref="B14975">iferror(xlookup($I14975, 'IMPORT VHC Report'!$E:$E, 'IMPORT VHC Report'!$A:$C), )</f>
        <v/>
      </c>
      <c r="C14975" s="44"/>
      <c r="D14975" s="44"/>
      <c r="E14975" s="46" t="s">
        <v>11134</v>
      </c>
      <c r="F14975" s="46" t="s">
        <v>4354</v>
      </c>
      <c r="G14975" s="46">
        <v>5.202423769487E12</v>
      </c>
      <c r="H14975" s="46" t="s">
        <v>4355</v>
      </c>
      <c r="I14975" s="46" t="s">
        <v>4356</v>
      </c>
      <c r="J14975" s="46" t="s">
        <v>791</v>
      </c>
      <c r="K14975" s="46" t="s">
        <v>63</v>
      </c>
      <c r="L14975" s="45">
        <v>46019.583333333336</v>
      </c>
      <c r="M14975" s="46" t="s">
        <v>123</v>
      </c>
      <c r="N14975" s="45">
        <v>46019.958333333336</v>
      </c>
      <c r="O14975" s="46" t="s">
        <v>123</v>
      </c>
      <c r="P14975" s="46">
        <v>32400.0</v>
      </c>
    </row>
    <row r="14976">
      <c r="A14976" s="40">
        <f t="shared" si="1"/>
        <v>46013</v>
      </c>
      <c r="B14976" s="37" t="str">
        <f t="array" ref="B14976">iferror(xlookup($I14976, 'IMPORT VHC Report'!$E:$E, 'IMPORT VHC Report'!$A:$C), )</f>
        <v/>
      </c>
      <c r="C14976" s="44"/>
      <c r="D14976" s="44"/>
      <c r="E14976" s="46" t="s">
        <v>11135</v>
      </c>
      <c r="F14976" s="46" t="s">
        <v>4354</v>
      </c>
      <c r="G14976" s="46">
        <v>5.202423769487E12</v>
      </c>
      <c r="H14976" s="46" t="s">
        <v>4355</v>
      </c>
      <c r="I14976" s="46" t="s">
        <v>4356</v>
      </c>
      <c r="J14976" s="46" t="s">
        <v>132</v>
      </c>
      <c r="K14976" s="46" t="s">
        <v>126</v>
      </c>
      <c r="L14976" s="45">
        <v>46019.833333333336</v>
      </c>
      <c r="M14976" s="46" t="s">
        <v>123</v>
      </c>
      <c r="N14976" s="45">
        <v>46019.875</v>
      </c>
      <c r="O14976" s="46" t="s">
        <v>123</v>
      </c>
      <c r="P14976" s="46">
        <v>3600.0</v>
      </c>
    </row>
    <row r="14977">
      <c r="A14977" s="40">
        <f t="shared" si="1"/>
        <v>46013</v>
      </c>
      <c r="B14977" s="37" t="str">
        <f t="array" ref="B14977">iferror(xlookup($I14977, 'IMPORT VHC Report'!$E:$E, 'IMPORT VHC Report'!$A:$C), )</f>
        <v/>
      </c>
      <c r="C14977" s="44"/>
      <c r="D14977" s="44"/>
      <c r="E14977" s="46" t="s">
        <v>11136</v>
      </c>
      <c r="F14977" s="46" t="s">
        <v>4354</v>
      </c>
      <c r="G14977" s="46">
        <v>5.202423769487E12</v>
      </c>
      <c r="H14977" s="46" t="s">
        <v>4355</v>
      </c>
      <c r="I14977" s="46" t="s">
        <v>4356</v>
      </c>
      <c r="J14977" s="46" t="s">
        <v>134</v>
      </c>
      <c r="K14977" s="46" t="s">
        <v>126</v>
      </c>
      <c r="L14977" s="45">
        <v>46019.875</v>
      </c>
      <c r="M14977" s="46" t="s">
        <v>123</v>
      </c>
      <c r="N14977" s="45">
        <v>46019.895833333336</v>
      </c>
      <c r="O14977" s="46" t="s">
        <v>123</v>
      </c>
      <c r="P14977" s="46">
        <v>1800.0</v>
      </c>
    </row>
    <row r="14978">
      <c r="A14978" s="40">
        <f t="shared" si="1"/>
        <v>46013</v>
      </c>
      <c r="B14978" s="37" t="str">
        <f t="array" ref="B14978">iferror(xlookup($I14978, 'IMPORT VHC Report'!$E:$E, 'IMPORT VHC Report'!$A:$C), )</f>
        <v/>
      </c>
      <c r="C14978" s="44"/>
      <c r="D14978" s="44"/>
      <c r="E14978" s="46" t="s">
        <v>11137</v>
      </c>
      <c r="F14978" s="46" t="s">
        <v>4412</v>
      </c>
      <c r="G14978" s="46">
        <v>3.61725261136E11</v>
      </c>
      <c r="H14978" s="46" t="s">
        <v>92</v>
      </c>
      <c r="I14978" s="46" t="s">
        <v>93</v>
      </c>
      <c r="J14978" s="46" t="s">
        <v>791</v>
      </c>
      <c r="K14978" s="46" t="s">
        <v>63</v>
      </c>
      <c r="L14978" s="45">
        <v>46013.583333333336</v>
      </c>
      <c r="M14978" s="46" t="s">
        <v>123</v>
      </c>
      <c r="N14978" s="45">
        <v>46013.958333333336</v>
      </c>
      <c r="O14978" s="46" t="s">
        <v>123</v>
      </c>
      <c r="P14978" s="46">
        <v>32400.0</v>
      </c>
    </row>
    <row r="14979">
      <c r="A14979" s="40">
        <f t="shared" si="1"/>
        <v>46013</v>
      </c>
      <c r="B14979" s="37" t="str">
        <f t="array" ref="B14979">iferror(xlookup($I14979, 'IMPORT VHC Report'!$E:$E, 'IMPORT VHC Report'!$A:$C), )</f>
        <v/>
      </c>
      <c r="C14979" s="44"/>
      <c r="D14979" s="44"/>
      <c r="E14979" s="46" t="s">
        <v>11138</v>
      </c>
      <c r="F14979" s="46" t="s">
        <v>4412</v>
      </c>
      <c r="G14979" s="46">
        <v>3.61725261136E11</v>
      </c>
      <c r="H14979" s="46" t="s">
        <v>92</v>
      </c>
      <c r="I14979" s="46" t="s">
        <v>93</v>
      </c>
      <c r="J14979" s="46" t="s">
        <v>134</v>
      </c>
      <c r="K14979" s="46" t="s">
        <v>126</v>
      </c>
      <c r="L14979" s="45">
        <v>46013.875</v>
      </c>
      <c r="M14979" s="46" t="s">
        <v>123</v>
      </c>
      <c r="N14979" s="45">
        <v>46013.895833333336</v>
      </c>
      <c r="O14979" s="46" t="s">
        <v>123</v>
      </c>
      <c r="P14979" s="46">
        <v>1800.0</v>
      </c>
    </row>
    <row r="14980">
      <c r="A14980" s="40">
        <f t="shared" si="1"/>
        <v>46013</v>
      </c>
      <c r="B14980" s="37" t="str">
        <f t="array" ref="B14980">iferror(xlookup($I14980, 'IMPORT VHC Report'!$E:$E, 'IMPORT VHC Report'!$A:$C), )</f>
        <v/>
      </c>
      <c r="C14980" s="44"/>
      <c r="D14980" s="44"/>
      <c r="E14980" s="46" t="s">
        <v>11139</v>
      </c>
      <c r="F14980" s="46" t="s">
        <v>4412</v>
      </c>
      <c r="G14980" s="46">
        <v>3.61725261136E11</v>
      </c>
      <c r="H14980" s="46" t="s">
        <v>92</v>
      </c>
      <c r="I14980" s="46" t="s">
        <v>93</v>
      </c>
      <c r="J14980" s="46" t="s">
        <v>132</v>
      </c>
      <c r="K14980" s="46" t="s">
        <v>126</v>
      </c>
      <c r="L14980" s="45">
        <v>46013.916666666664</v>
      </c>
      <c r="M14980" s="46" t="s">
        <v>123</v>
      </c>
      <c r="N14980" s="45">
        <v>46013.958333333336</v>
      </c>
      <c r="O14980" s="46" t="s">
        <v>123</v>
      </c>
      <c r="P14980" s="46">
        <v>3600.0</v>
      </c>
    </row>
    <row r="14981">
      <c r="A14981" s="40">
        <f t="shared" si="1"/>
        <v>46013</v>
      </c>
      <c r="B14981" s="37" t="str">
        <f t="array" ref="B14981">iferror(xlookup($I14981, 'IMPORT VHC Report'!$E:$E, 'IMPORT VHC Report'!$A:$C), )</f>
        <v/>
      </c>
      <c r="C14981" s="44"/>
      <c r="D14981" s="44"/>
      <c r="E14981" s="46" t="s">
        <v>11140</v>
      </c>
      <c r="F14981" s="46" t="s">
        <v>4412</v>
      </c>
      <c r="G14981" s="46">
        <v>3.61725261136E11</v>
      </c>
      <c r="H14981" s="46" t="s">
        <v>92</v>
      </c>
      <c r="I14981" s="46" t="s">
        <v>93</v>
      </c>
      <c r="J14981" s="46" t="s">
        <v>62</v>
      </c>
      <c r="K14981" s="46" t="s">
        <v>63</v>
      </c>
      <c r="L14981" s="45">
        <v>46014.583333333336</v>
      </c>
      <c r="M14981" s="46" t="s">
        <v>123</v>
      </c>
      <c r="N14981" s="45">
        <v>46014.75</v>
      </c>
      <c r="O14981" s="46" t="s">
        <v>123</v>
      </c>
      <c r="P14981" s="46">
        <v>14400.0</v>
      </c>
    </row>
    <row r="14982">
      <c r="A14982" s="40">
        <f t="shared" si="1"/>
        <v>46013</v>
      </c>
      <c r="B14982" s="37" t="str">
        <f t="array" ref="B14982">iferror(xlookup($I14982, 'IMPORT VHC Report'!$E:$E, 'IMPORT VHC Report'!$A:$C), )</f>
        <v/>
      </c>
      <c r="C14982" s="44"/>
      <c r="D14982" s="44"/>
      <c r="E14982" s="46" t="s">
        <v>11141</v>
      </c>
      <c r="F14982" s="46" t="s">
        <v>4412</v>
      </c>
      <c r="G14982" s="46">
        <v>3.61725261136E11</v>
      </c>
      <c r="H14982" s="46" t="s">
        <v>92</v>
      </c>
      <c r="I14982" s="46" t="s">
        <v>93</v>
      </c>
      <c r="J14982" s="46" t="s">
        <v>791</v>
      </c>
      <c r="K14982" s="46" t="s">
        <v>63</v>
      </c>
      <c r="L14982" s="45">
        <v>46014.75</v>
      </c>
      <c r="M14982" s="46" t="s">
        <v>123</v>
      </c>
      <c r="N14982" s="45">
        <v>46014.958333333336</v>
      </c>
      <c r="O14982" s="46" t="s">
        <v>123</v>
      </c>
      <c r="P14982" s="46">
        <v>18000.0</v>
      </c>
    </row>
    <row r="14983">
      <c r="A14983" s="40">
        <f t="shared" si="1"/>
        <v>46013</v>
      </c>
      <c r="B14983" s="37" t="str">
        <f t="array" ref="B14983">iferror(xlookup($I14983, 'IMPORT VHC Report'!$E:$E, 'IMPORT VHC Report'!$A:$C), )</f>
        <v/>
      </c>
      <c r="C14983" s="44"/>
      <c r="D14983" s="44"/>
      <c r="E14983" s="46" t="s">
        <v>11142</v>
      </c>
      <c r="F14983" s="46" t="s">
        <v>4412</v>
      </c>
      <c r="G14983" s="46">
        <v>3.61725261136E11</v>
      </c>
      <c r="H14983" s="46" t="s">
        <v>92</v>
      </c>
      <c r="I14983" s="46" t="s">
        <v>93</v>
      </c>
      <c r="J14983" s="46" t="s">
        <v>132</v>
      </c>
      <c r="K14983" s="46" t="s">
        <v>126</v>
      </c>
      <c r="L14983" s="45">
        <v>46014.833333333336</v>
      </c>
      <c r="M14983" s="46" t="s">
        <v>123</v>
      </c>
      <c r="N14983" s="45">
        <v>46014.875</v>
      </c>
      <c r="O14983" s="46" t="s">
        <v>123</v>
      </c>
      <c r="P14983" s="46">
        <v>3600.0</v>
      </c>
    </row>
    <row r="14984">
      <c r="A14984" s="40">
        <f t="shared" si="1"/>
        <v>46013</v>
      </c>
      <c r="B14984" s="37" t="str">
        <f t="array" ref="B14984">iferror(xlookup($I14984, 'IMPORT VHC Report'!$E:$E, 'IMPORT VHC Report'!$A:$C), )</f>
        <v/>
      </c>
      <c r="C14984" s="44"/>
      <c r="D14984" s="44"/>
      <c r="E14984" s="46" t="s">
        <v>11143</v>
      </c>
      <c r="F14984" s="46" t="s">
        <v>4412</v>
      </c>
      <c r="G14984" s="46">
        <v>3.61725261136E11</v>
      </c>
      <c r="H14984" s="46" t="s">
        <v>92</v>
      </c>
      <c r="I14984" s="46" t="s">
        <v>93</v>
      </c>
      <c r="J14984" s="46" t="s">
        <v>134</v>
      </c>
      <c r="K14984" s="46" t="s">
        <v>126</v>
      </c>
      <c r="L14984" s="45">
        <v>46014.875</v>
      </c>
      <c r="M14984" s="46" t="s">
        <v>123</v>
      </c>
      <c r="N14984" s="45">
        <v>46014.895833333336</v>
      </c>
      <c r="O14984" s="46" t="s">
        <v>123</v>
      </c>
      <c r="P14984" s="46">
        <v>1800.0</v>
      </c>
    </row>
    <row r="14985">
      <c r="A14985" s="40">
        <f t="shared" si="1"/>
        <v>46013</v>
      </c>
      <c r="B14985" s="37" t="str">
        <f t="array" ref="B14985">iferror(xlookup($I14985, 'IMPORT VHC Report'!$E:$E, 'IMPORT VHC Report'!$A:$C), )</f>
        <v/>
      </c>
      <c r="C14985" s="44"/>
      <c r="D14985" s="44"/>
      <c r="E14985" s="46" t="s">
        <v>11144</v>
      </c>
      <c r="F14985" s="46" t="s">
        <v>4412</v>
      </c>
      <c r="G14985" s="46">
        <v>3.61725261136E11</v>
      </c>
      <c r="H14985" s="46" t="s">
        <v>92</v>
      </c>
      <c r="I14985" s="46" t="s">
        <v>93</v>
      </c>
      <c r="J14985" s="46" t="s">
        <v>791</v>
      </c>
      <c r="K14985" s="46" t="s">
        <v>63</v>
      </c>
      <c r="L14985" s="45">
        <v>46015.583333333336</v>
      </c>
      <c r="M14985" s="46" t="s">
        <v>123</v>
      </c>
      <c r="N14985" s="45">
        <v>46015.958333333336</v>
      </c>
      <c r="O14985" s="46" t="s">
        <v>123</v>
      </c>
      <c r="P14985" s="46">
        <v>32400.0</v>
      </c>
    </row>
    <row r="14986">
      <c r="A14986" s="40">
        <f t="shared" si="1"/>
        <v>46013</v>
      </c>
      <c r="B14986" s="37" t="str">
        <f t="array" ref="B14986">iferror(xlookup($I14986, 'IMPORT VHC Report'!$E:$E, 'IMPORT VHC Report'!$A:$C), )</f>
        <v/>
      </c>
      <c r="C14986" s="44"/>
      <c r="D14986" s="44"/>
      <c r="E14986" s="46" t="s">
        <v>11145</v>
      </c>
      <c r="F14986" s="46" t="s">
        <v>4412</v>
      </c>
      <c r="G14986" s="46">
        <v>3.61725261136E11</v>
      </c>
      <c r="H14986" s="46" t="s">
        <v>92</v>
      </c>
      <c r="I14986" s="46" t="s">
        <v>93</v>
      </c>
      <c r="J14986" s="46" t="s">
        <v>134</v>
      </c>
      <c r="K14986" s="46" t="s">
        <v>126</v>
      </c>
      <c r="L14986" s="45">
        <v>46015.895833333336</v>
      </c>
      <c r="M14986" s="46" t="s">
        <v>123</v>
      </c>
      <c r="N14986" s="45">
        <v>46015.916666666664</v>
      </c>
      <c r="O14986" s="46" t="s">
        <v>123</v>
      </c>
      <c r="P14986" s="46">
        <v>1800.0</v>
      </c>
    </row>
    <row r="14987">
      <c r="A14987" s="40">
        <f t="shared" si="1"/>
        <v>46013</v>
      </c>
      <c r="B14987" s="37" t="str">
        <f t="array" ref="B14987">iferror(xlookup($I14987, 'IMPORT VHC Report'!$E:$E, 'IMPORT VHC Report'!$A:$C), )</f>
        <v/>
      </c>
      <c r="C14987" s="44"/>
      <c r="D14987" s="44"/>
      <c r="E14987" s="46" t="s">
        <v>11146</v>
      </c>
      <c r="F14987" s="46" t="s">
        <v>4412</v>
      </c>
      <c r="G14987" s="46">
        <v>3.61725261136E11</v>
      </c>
      <c r="H14987" s="46" t="s">
        <v>92</v>
      </c>
      <c r="I14987" s="46" t="s">
        <v>93</v>
      </c>
      <c r="J14987" s="46" t="s">
        <v>132</v>
      </c>
      <c r="K14987" s="46" t="s">
        <v>126</v>
      </c>
      <c r="L14987" s="45">
        <v>46015.916666666664</v>
      </c>
      <c r="M14987" s="46" t="s">
        <v>123</v>
      </c>
      <c r="N14987" s="45">
        <v>46015.958333333336</v>
      </c>
      <c r="O14987" s="46" t="s">
        <v>123</v>
      </c>
      <c r="P14987" s="46">
        <v>3600.0</v>
      </c>
    </row>
    <row r="14988">
      <c r="A14988" s="40">
        <f t="shared" si="1"/>
        <v>46013</v>
      </c>
      <c r="B14988" s="37" t="str">
        <f t="array" ref="B14988">iferror(xlookup($I14988, 'IMPORT VHC Report'!$E:$E, 'IMPORT VHC Report'!$A:$C), )</f>
        <v/>
      </c>
      <c r="C14988" s="44"/>
      <c r="D14988" s="44"/>
      <c r="E14988" s="46" t="s">
        <v>11147</v>
      </c>
      <c r="F14988" s="46" t="s">
        <v>4412</v>
      </c>
      <c r="G14988" s="46">
        <v>3.61725261136E11</v>
      </c>
      <c r="H14988" s="46" t="s">
        <v>92</v>
      </c>
      <c r="I14988" s="46" t="s">
        <v>93</v>
      </c>
      <c r="J14988" s="46" t="s">
        <v>791</v>
      </c>
      <c r="K14988" s="46" t="s">
        <v>63</v>
      </c>
      <c r="L14988" s="45">
        <v>46016.583333333336</v>
      </c>
      <c r="M14988" s="46" t="s">
        <v>123</v>
      </c>
      <c r="N14988" s="45">
        <v>46016.958333333336</v>
      </c>
      <c r="O14988" s="46" t="s">
        <v>123</v>
      </c>
      <c r="P14988" s="46">
        <v>32400.0</v>
      </c>
    </row>
    <row r="14989">
      <c r="A14989" s="40">
        <f t="shared" si="1"/>
        <v>46013</v>
      </c>
      <c r="B14989" s="37" t="str">
        <f t="array" ref="B14989">iferror(xlookup($I14989, 'IMPORT VHC Report'!$E:$E, 'IMPORT VHC Report'!$A:$C), )</f>
        <v/>
      </c>
      <c r="C14989" s="44"/>
      <c r="D14989" s="44"/>
      <c r="E14989" s="46" t="s">
        <v>11148</v>
      </c>
      <c r="F14989" s="46" t="s">
        <v>4412</v>
      </c>
      <c r="G14989" s="46">
        <v>3.61725261136E11</v>
      </c>
      <c r="H14989" s="46" t="s">
        <v>92</v>
      </c>
      <c r="I14989" s="46" t="s">
        <v>93</v>
      </c>
      <c r="J14989" s="46" t="s">
        <v>134</v>
      </c>
      <c r="K14989" s="46" t="s">
        <v>126</v>
      </c>
      <c r="L14989" s="45">
        <v>46016.895833333336</v>
      </c>
      <c r="M14989" s="46" t="s">
        <v>123</v>
      </c>
      <c r="N14989" s="45">
        <v>46016.916666666664</v>
      </c>
      <c r="O14989" s="46" t="s">
        <v>123</v>
      </c>
      <c r="P14989" s="46">
        <v>1800.0</v>
      </c>
    </row>
    <row r="14990">
      <c r="A14990" s="40">
        <f t="shared" si="1"/>
        <v>46013</v>
      </c>
      <c r="B14990" s="37" t="str">
        <f t="array" ref="B14990">iferror(xlookup($I14990, 'IMPORT VHC Report'!$E:$E, 'IMPORT VHC Report'!$A:$C), )</f>
        <v/>
      </c>
      <c r="C14990" s="44"/>
      <c r="D14990" s="44"/>
      <c r="E14990" s="46" t="s">
        <v>11149</v>
      </c>
      <c r="F14990" s="46" t="s">
        <v>4412</v>
      </c>
      <c r="G14990" s="46">
        <v>3.61725261136E11</v>
      </c>
      <c r="H14990" s="46" t="s">
        <v>92</v>
      </c>
      <c r="I14990" s="46" t="s">
        <v>93</v>
      </c>
      <c r="J14990" s="46" t="s">
        <v>132</v>
      </c>
      <c r="K14990" s="46" t="s">
        <v>126</v>
      </c>
      <c r="L14990" s="45">
        <v>46016.916666666664</v>
      </c>
      <c r="M14990" s="46" t="s">
        <v>123</v>
      </c>
      <c r="N14990" s="45">
        <v>46016.958333333336</v>
      </c>
      <c r="O14990" s="46" t="s">
        <v>123</v>
      </c>
      <c r="P14990" s="46">
        <v>3600.0</v>
      </c>
    </row>
    <row r="14991">
      <c r="A14991" s="40">
        <f t="shared" si="1"/>
        <v>46013</v>
      </c>
      <c r="B14991" s="37" t="str">
        <f t="array" ref="B14991">iferror(xlookup($I14991, 'IMPORT VHC Report'!$E:$E, 'IMPORT VHC Report'!$A:$C), )</f>
        <v/>
      </c>
      <c r="C14991" s="44"/>
      <c r="D14991" s="44"/>
      <c r="E14991" s="46" t="s">
        <v>11150</v>
      </c>
      <c r="F14991" s="46" t="s">
        <v>4412</v>
      </c>
      <c r="G14991" s="46">
        <v>3.61725261136E11</v>
      </c>
      <c r="H14991" s="46" t="s">
        <v>92</v>
      </c>
      <c r="I14991" s="46" t="s">
        <v>93</v>
      </c>
      <c r="J14991" s="46" t="s">
        <v>791</v>
      </c>
      <c r="K14991" s="46" t="s">
        <v>63</v>
      </c>
      <c r="L14991" s="45">
        <v>46019.583333333336</v>
      </c>
      <c r="M14991" s="46" t="s">
        <v>123</v>
      </c>
      <c r="N14991" s="45">
        <v>46019.958333333336</v>
      </c>
      <c r="O14991" s="46" t="s">
        <v>123</v>
      </c>
      <c r="P14991" s="46">
        <v>32400.0</v>
      </c>
    </row>
    <row r="14992">
      <c r="A14992" s="40">
        <f t="shared" si="1"/>
        <v>46013</v>
      </c>
      <c r="B14992" s="37" t="str">
        <f t="array" ref="B14992">iferror(xlookup($I14992, 'IMPORT VHC Report'!$E:$E, 'IMPORT VHC Report'!$A:$C), )</f>
        <v/>
      </c>
      <c r="C14992" s="44"/>
      <c r="D14992" s="44"/>
      <c r="E14992" s="46" t="s">
        <v>11151</v>
      </c>
      <c r="F14992" s="46" t="s">
        <v>4412</v>
      </c>
      <c r="G14992" s="46">
        <v>3.61725261136E11</v>
      </c>
      <c r="H14992" s="46" t="s">
        <v>92</v>
      </c>
      <c r="I14992" s="46" t="s">
        <v>93</v>
      </c>
      <c r="J14992" s="46" t="s">
        <v>134</v>
      </c>
      <c r="K14992" s="46" t="s">
        <v>126</v>
      </c>
      <c r="L14992" s="45">
        <v>46019.895833333336</v>
      </c>
      <c r="M14992" s="46" t="s">
        <v>123</v>
      </c>
      <c r="N14992" s="45">
        <v>46019.916666666664</v>
      </c>
      <c r="O14992" s="46" t="s">
        <v>123</v>
      </c>
      <c r="P14992" s="46">
        <v>1800.0</v>
      </c>
    </row>
    <row r="14993">
      <c r="A14993" s="40">
        <f t="shared" si="1"/>
        <v>46013</v>
      </c>
      <c r="B14993" s="37" t="str">
        <f t="array" ref="B14993">iferror(xlookup($I14993, 'IMPORT VHC Report'!$E:$E, 'IMPORT VHC Report'!$A:$C), )</f>
        <v/>
      </c>
      <c r="C14993" s="44"/>
      <c r="D14993" s="44"/>
      <c r="E14993" s="46" t="s">
        <v>11152</v>
      </c>
      <c r="F14993" s="46" t="s">
        <v>4412</v>
      </c>
      <c r="G14993" s="46">
        <v>3.61725261136E11</v>
      </c>
      <c r="H14993" s="46" t="s">
        <v>92</v>
      </c>
      <c r="I14993" s="46" t="s">
        <v>93</v>
      </c>
      <c r="J14993" s="46" t="s">
        <v>132</v>
      </c>
      <c r="K14993" s="46" t="s">
        <v>126</v>
      </c>
      <c r="L14993" s="45">
        <v>46019.916666666664</v>
      </c>
      <c r="M14993" s="46" t="s">
        <v>123</v>
      </c>
      <c r="N14993" s="45">
        <v>46019.958333333336</v>
      </c>
      <c r="O14993" s="46" t="s">
        <v>123</v>
      </c>
      <c r="P14993" s="46">
        <v>3600.0</v>
      </c>
    </row>
    <row r="14994">
      <c r="A14994" s="40">
        <f t="shared" si="1"/>
        <v>46013</v>
      </c>
      <c r="B14994" s="37" t="str">
        <f t="array" ref="B14994">iferror(xlookup($I14994, 'IMPORT VHC Report'!$E:$E, 'IMPORT VHC Report'!$A:$C), )</f>
        <v/>
      </c>
      <c r="C14994" s="44"/>
      <c r="D14994" s="44"/>
      <c r="E14994" s="46" t="s">
        <v>11153</v>
      </c>
      <c r="F14994" s="46" t="s">
        <v>4467</v>
      </c>
      <c r="G14994" s="46">
        <v>9.107749325455E12</v>
      </c>
      <c r="H14994" s="46" t="s">
        <v>90</v>
      </c>
      <c r="I14994" s="46" t="s">
        <v>91</v>
      </c>
      <c r="J14994" s="46" t="s">
        <v>791</v>
      </c>
      <c r="K14994" s="46" t="s">
        <v>63</v>
      </c>
      <c r="L14994" s="45">
        <v>46013.583333333336</v>
      </c>
      <c r="M14994" s="46" t="s">
        <v>123</v>
      </c>
      <c r="N14994" s="45">
        <v>46013.958333333336</v>
      </c>
      <c r="O14994" s="46" t="s">
        <v>123</v>
      </c>
      <c r="P14994" s="46">
        <v>32400.0</v>
      </c>
    </row>
    <row r="14995">
      <c r="A14995" s="40">
        <f t="shared" si="1"/>
        <v>46013</v>
      </c>
      <c r="B14995" s="37" t="str">
        <f t="array" ref="B14995">iferror(xlookup($I14995, 'IMPORT VHC Report'!$E:$E, 'IMPORT VHC Report'!$A:$C), )</f>
        <v/>
      </c>
      <c r="C14995" s="44"/>
      <c r="D14995" s="44"/>
      <c r="E14995" s="46" t="s">
        <v>11154</v>
      </c>
      <c r="F14995" s="46" t="s">
        <v>4467</v>
      </c>
      <c r="G14995" s="46">
        <v>9.107749325455E12</v>
      </c>
      <c r="H14995" s="46" t="s">
        <v>90</v>
      </c>
      <c r="I14995" s="46" t="s">
        <v>91</v>
      </c>
      <c r="J14995" s="46" t="s">
        <v>134</v>
      </c>
      <c r="K14995" s="46" t="s">
        <v>126</v>
      </c>
      <c r="L14995" s="45">
        <v>46013.666666666664</v>
      </c>
      <c r="M14995" s="46" t="s">
        <v>123</v>
      </c>
      <c r="N14995" s="45">
        <v>46013.6875</v>
      </c>
      <c r="O14995" s="46" t="s">
        <v>123</v>
      </c>
      <c r="P14995" s="46">
        <v>1800.0</v>
      </c>
    </row>
    <row r="14996">
      <c r="A14996" s="40">
        <f t="shared" si="1"/>
        <v>46013</v>
      </c>
      <c r="B14996" s="37" t="str">
        <f t="array" ref="B14996">iferror(xlookup($I14996, 'IMPORT VHC Report'!$E:$E, 'IMPORT VHC Report'!$A:$C), )</f>
        <v/>
      </c>
      <c r="C14996" s="44"/>
      <c r="D14996" s="44"/>
      <c r="E14996" s="46" t="s">
        <v>11155</v>
      </c>
      <c r="F14996" s="46" t="s">
        <v>4467</v>
      </c>
      <c r="G14996" s="46">
        <v>9.107749325455E12</v>
      </c>
      <c r="H14996" s="46" t="s">
        <v>90</v>
      </c>
      <c r="I14996" s="46" t="s">
        <v>91</v>
      </c>
      <c r="J14996" s="46" t="s">
        <v>132</v>
      </c>
      <c r="K14996" s="46" t="s">
        <v>126</v>
      </c>
      <c r="L14996" s="45">
        <v>46013.875</v>
      </c>
      <c r="M14996" s="46" t="s">
        <v>123</v>
      </c>
      <c r="N14996" s="45">
        <v>46013.916666666664</v>
      </c>
      <c r="O14996" s="46" t="s">
        <v>123</v>
      </c>
      <c r="P14996" s="46">
        <v>3600.0</v>
      </c>
    </row>
    <row r="14997">
      <c r="A14997" s="40">
        <f t="shared" si="1"/>
        <v>46013</v>
      </c>
      <c r="B14997" s="37" t="str">
        <f t="array" ref="B14997">iferror(xlookup($I14997, 'IMPORT VHC Report'!$E:$E, 'IMPORT VHC Report'!$A:$C), )</f>
        <v/>
      </c>
      <c r="C14997" s="44"/>
      <c r="D14997" s="44"/>
      <c r="E14997" s="46" t="s">
        <v>11156</v>
      </c>
      <c r="F14997" s="46" t="s">
        <v>4467</v>
      </c>
      <c r="G14997" s="46">
        <v>9.107749325455E12</v>
      </c>
      <c r="H14997" s="46" t="s">
        <v>90</v>
      </c>
      <c r="I14997" s="46" t="s">
        <v>91</v>
      </c>
      <c r="J14997" s="46" t="s">
        <v>62</v>
      </c>
      <c r="K14997" s="46" t="s">
        <v>63</v>
      </c>
      <c r="L14997" s="45">
        <v>46014.583333333336</v>
      </c>
      <c r="M14997" s="46" t="s">
        <v>123</v>
      </c>
      <c r="N14997" s="45">
        <v>46014.75</v>
      </c>
      <c r="O14997" s="46" t="s">
        <v>123</v>
      </c>
      <c r="P14997" s="46">
        <v>14400.0</v>
      </c>
    </row>
    <row r="14998">
      <c r="A14998" s="40">
        <f t="shared" si="1"/>
        <v>46013</v>
      </c>
      <c r="B14998" s="37" t="str">
        <f t="array" ref="B14998">iferror(xlookup($I14998, 'IMPORT VHC Report'!$E:$E, 'IMPORT VHC Report'!$A:$C), )</f>
        <v/>
      </c>
      <c r="C14998" s="44"/>
      <c r="D14998" s="44"/>
      <c r="E14998" s="46" t="s">
        <v>11157</v>
      </c>
      <c r="F14998" s="46" t="s">
        <v>4467</v>
      </c>
      <c r="G14998" s="46">
        <v>9.107749325455E12</v>
      </c>
      <c r="H14998" s="46" t="s">
        <v>90</v>
      </c>
      <c r="I14998" s="46" t="s">
        <v>91</v>
      </c>
      <c r="J14998" s="46" t="s">
        <v>791</v>
      </c>
      <c r="K14998" s="46" t="s">
        <v>63</v>
      </c>
      <c r="L14998" s="45">
        <v>46014.75</v>
      </c>
      <c r="M14998" s="46" t="s">
        <v>123</v>
      </c>
      <c r="N14998" s="45">
        <v>46014.958333333336</v>
      </c>
      <c r="O14998" s="46" t="s">
        <v>123</v>
      </c>
      <c r="P14998" s="46">
        <v>18000.0</v>
      </c>
    </row>
    <row r="14999">
      <c r="A14999" s="40">
        <f t="shared" si="1"/>
        <v>46013</v>
      </c>
      <c r="B14999" s="37" t="str">
        <f t="array" ref="B14999">iferror(xlookup($I14999, 'IMPORT VHC Report'!$E:$E, 'IMPORT VHC Report'!$A:$C), )</f>
        <v/>
      </c>
      <c r="C14999" s="44"/>
      <c r="D14999" s="44"/>
      <c r="E14999" s="46" t="s">
        <v>11158</v>
      </c>
      <c r="F14999" s="46" t="s">
        <v>4467</v>
      </c>
      <c r="G14999" s="46">
        <v>9.107749325455E12</v>
      </c>
      <c r="H14999" s="46" t="s">
        <v>90</v>
      </c>
      <c r="I14999" s="46" t="s">
        <v>91</v>
      </c>
      <c r="J14999" s="46" t="s">
        <v>134</v>
      </c>
      <c r="K14999" s="46" t="s">
        <v>126</v>
      </c>
      <c r="L14999" s="45">
        <v>46014.895833333336</v>
      </c>
      <c r="M14999" s="46" t="s">
        <v>123</v>
      </c>
      <c r="N14999" s="45">
        <v>46014.916666666664</v>
      </c>
      <c r="O14999" s="46" t="s">
        <v>123</v>
      </c>
      <c r="P14999" s="46">
        <v>1800.0</v>
      </c>
    </row>
    <row r="15000">
      <c r="A15000" s="40">
        <f t="shared" si="1"/>
        <v>46013</v>
      </c>
      <c r="B15000" s="37" t="str">
        <f t="array" ref="B15000">iferror(xlookup($I15000, 'IMPORT VHC Report'!$E:$E, 'IMPORT VHC Report'!$A:$C), )</f>
        <v/>
      </c>
      <c r="C15000" s="44"/>
      <c r="D15000" s="44"/>
      <c r="E15000" s="46" t="s">
        <v>11159</v>
      </c>
      <c r="F15000" s="46" t="s">
        <v>4467</v>
      </c>
      <c r="G15000" s="46">
        <v>9.107749325455E12</v>
      </c>
      <c r="H15000" s="46" t="s">
        <v>90</v>
      </c>
      <c r="I15000" s="46" t="s">
        <v>91</v>
      </c>
      <c r="J15000" s="46" t="s">
        <v>132</v>
      </c>
      <c r="K15000" s="46" t="s">
        <v>126</v>
      </c>
      <c r="L15000" s="45">
        <v>46014.916666666664</v>
      </c>
      <c r="M15000" s="46" t="s">
        <v>123</v>
      </c>
      <c r="N15000" s="45">
        <v>46014.958333333336</v>
      </c>
      <c r="O15000" s="46" t="s">
        <v>123</v>
      </c>
      <c r="P15000" s="46">
        <v>3600.0</v>
      </c>
    </row>
    <row r="15001">
      <c r="A15001" s="40">
        <f t="shared" si="1"/>
        <v>46013</v>
      </c>
      <c r="B15001" s="37" t="str">
        <f t="array" ref="B15001">iferror(xlookup($I15001, 'IMPORT VHC Report'!$E:$E, 'IMPORT VHC Report'!$A:$C), )</f>
        <v/>
      </c>
      <c r="C15001" s="44"/>
      <c r="D15001" s="44"/>
      <c r="E15001" s="46" t="s">
        <v>11160</v>
      </c>
      <c r="F15001" s="46" t="s">
        <v>4467</v>
      </c>
      <c r="G15001" s="46">
        <v>9.107749325455E12</v>
      </c>
      <c r="H15001" s="46" t="s">
        <v>90</v>
      </c>
      <c r="I15001" s="46" t="s">
        <v>91</v>
      </c>
      <c r="J15001" s="46" t="s">
        <v>791</v>
      </c>
      <c r="K15001" s="46" t="s">
        <v>63</v>
      </c>
      <c r="L15001" s="45">
        <v>46015.583333333336</v>
      </c>
      <c r="M15001" s="46" t="s">
        <v>123</v>
      </c>
      <c r="N15001" s="45">
        <v>46015.958333333336</v>
      </c>
      <c r="O15001" s="46" t="s">
        <v>123</v>
      </c>
      <c r="P15001" s="46">
        <v>32400.0</v>
      </c>
    </row>
    <row r="15002">
      <c r="A15002" s="40">
        <f t="shared" si="1"/>
        <v>46013</v>
      </c>
      <c r="B15002" s="37" t="str">
        <f t="array" ref="B15002">iferror(xlookup($I15002, 'IMPORT VHC Report'!$E:$E, 'IMPORT VHC Report'!$A:$C), )</f>
        <v/>
      </c>
      <c r="C15002" s="44"/>
      <c r="D15002" s="44"/>
      <c r="E15002" s="46" t="s">
        <v>11161</v>
      </c>
      <c r="F15002" s="46" t="s">
        <v>4467</v>
      </c>
      <c r="G15002" s="46">
        <v>9.107749325455E12</v>
      </c>
      <c r="H15002" s="46" t="s">
        <v>90</v>
      </c>
      <c r="I15002" s="46" t="s">
        <v>91</v>
      </c>
      <c r="J15002" s="46" t="s">
        <v>136</v>
      </c>
      <c r="K15002" s="46" t="s">
        <v>126</v>
      </c>
      <c r="L15002" s="45">
        <v>46015.600694444445</v>
      </c>
      <c r="M15002" s="46" t="s">
        <v>123</v>
      </c>
      <c r="N15002" s="45">
        <v>46015.61111111111</v>
      </c>
      <c r="O15002" s="46" t="s">
        <v>123</v>
      </c>
      <c r="P15002" s="46">
        <v>900.0</v>
      </c>
    </row>
    <row r="15003">
      <c r="A15003" s="40">
        <f t="shared" si="1"/>
        <v>46013</v>
      </c>
      <c r="B15003" s="37" t="str">
        <f t="array" ref="B15003">iferror(xlookup($I15003, 'IMPORT VHC Report'!$E:$E, 'IMPORT VHC Report'!$A:$C), )</f>
        <v/>
      </c>
      <c r="C15003" s="44"/>
      <c r="D15003" s="44"/>
      <c r="E15003" s="46" t="s">
        <v>11162</v>
      </c>
      <c r="F15003" s="46" t="s">
        <v>4467</v>
      </c>
      <c r="G15003" s="46">
        <v>9.107749325455E12</v>
      </c>
      <c r="H15003" s="46" t="s">
        <v>90</v>
      </c>
      <c r="I15003" s="46" t="s">
        <v>91</v>
      </c>
      <c r="J15003" s="46" t="s">
        <v>134</v>
      </c>
      <c r="K15003" s="46" t="s">
        <v>126</v>
      </c>
      <c r="L15003" s="45">
        <v>46015.833333333336</v>
      </c>
      <c r="M15003" s="46" t="s">
        <v>123</v>
      </c>
      <c r="N15003" s="45">
        <v>46015.854166666664</v>
      </c>
      <c r="O15003" s="46" t="s">
        <v>123</v>
      </c>
      <c r="P15003" s="46">
        <v>1800.0</v>
      </c>
    </row>
    <row r="15004">
      <c r="A15004" s="40">
        <f t="shared" si="1"/>
        <v>46013</v>
      </c>
      <c r="B15004" s="37" t="str">
        <f t="array" ref="B15004">iferror(xlookup($I15004, 'IMPORT VHC Report'!$E:$E, 'IMPORT VHC Report'!$A:$C), )</f>
        <v/>
      </c>
      <c r="C15004" s="44"/>
      <c r="D15004" s="44"/>
      <c r="E15004" s="46" t="s">
        <v>11163</v>
      </c>
      <c r="F15004" s="46" t="s">
        <v>4467</v>
      </c>
      <c r="G15004" s="46">
        <v>9.107749325455E12</v>
      </c>
      <c r="H15004" s="46" t="s">
        <v>90</v>
      </c>
      <c r="I15004" s="46" t="s">
        <v>91</v>
      </c>
      <c r="J15004" s="46" t="s">
        <v>132</v>
      </c>
      <c r="K15004" s="46" t="s">
        <v>126</v>
      </c>
      <c r="L15004" s="45">
        <v>46015.854166666664</v>
      </c>
      <c r="M15004" s="46" t="s">
        <v>123</v>
      </c>
      <c r="N15004" s="45">
        <v>46015.895833333336</v>
      </c>
      <c r="O15004" s="46" t="s">
        <v>123</v>
      </c>
      <c r="P15004" s="46">
        <v>3600.0</v>
      </c>
    </row>
    <row r="15005">
      <c r="A15005" s="40">
        <f t="shared" si="1"/>
        <v>46013</v>
      </c>
      <c r="B15005" s="37" t="str">
        <f t="array" ref="B15005">iferror(xlookup($I15005, 'IMPORT VHC Report'!$E:$E, 'IMPORT VHC Report'!$A:$C), )</f>
        <v/>
      </c>
      <c r="C15005" s="44"/>
      <c r="D15005" s="44"/>
      <c r="E15005" s="46" t="s">
        <v>11164</v>
      </c>
      <c r="F15005" s="46" t="s">
        <v>4467</v>
      </c>
      <c r="G15005" s="46">
        <v>9.107749325455E12</v>
      </c>
      <c r="H15005" s="46" t="s">
        <v>90</v>
      </c>
      <c r="I15005" s="46" t="s">
        <v>91</v>
      </c>
      <c r="J15005" s="46" t="s">
        <v>791</v>
      </c>
      <c r="K15005" s="46" t="s">
        <v>63</v>
      </c>
      <c r="L15005" s="45">
        <v>46016.583333333336</v>
      </c>
      <c r="M15005" s="46" t="s">
        <v>123</v>
      </c>
      <c r="N15005" s="45">
        <v>46016.958333333336</v>
      </c>
      <c r="O15005" s="46" t="s">
        <v>123</v>
      </c>
      <c r="P15005" s="46">
        <v>32400.0</v>
      </c>
    </row>
    <row r="15006">
      <c r="A15006" s="40">
        <f t="shared" si="1"/>
        <v>46013</v>
      </c>
      <c r="B15006" s="37" t="str">
        <f t="array" ref="B15006">iferror(xlookup($I15006, 'IMPORT VHC Report'!$E:$E, 'IMPORT VHC Report'!$A:$C), )</f>
        <v/>
      </c>
      <c r="C15006" s="44"/>
      <c r="D15006" s="44"/>
      <c r="E15006" s="46" t="s">
        <v>11165</v>
      </c>
      <c r="F15006" s="46" t="s">
        <v>4467</v>
      </c>
      <c r="G15006" s="46">
        <v>9.107749325455E12</v>
      </c>
      <c r="H15006" s="46" t="s">
        <v>90</v>
      </c>
      <c r="I15006" s="46" t="s">
        <v>91</v>
      </c>
      <c r="J15006" s="46" t="s">
        <v>134</v>
      </c>
      <c r="K15006" s="46" t="s">
        <v>126</v>
      </c>
      <c r="L15006" s="45">
        <v>46016.895833333336</v>
      </c>
      <c r="M15006" s="46" t="s">
        <v>123</v>
      </c>
      <c r="N15006" s="45">
        <v>46016.916666666664</v>
      </c>
      <c r="O15006" s="46" t="s">
        <v>123</v>
      </c>
      <c r="P15006" s="46">
        <v>1800.0</v>
      </c>
    </row>
    <row r="15007">
      <c r="A15007" s="40">
        <f t="shared" si="1"/>
        <v>46013</v>
      </c>
      <c r="B15007" s="37" t="str">
        <f t="array" ref="B15007">iferror(xlookup($I15007, 'IMPORT VHC Report'!$E:$E, 'IMPORT VHC Report'!$A:$C), )</f>
        <v/>
      </c>
      <c r="C15007" s="44"/>
      <c r="D15007" s="44"/>
      <c r="E15007" s="46" t="s">
        <v>11166</v>
      </c>
      <c r="F15007" s="46" t="s">
        <v>4467</v>
      </c>
      <c r="G15007" s="46">
        <v>9.107749325455E12</v>
      </c>
      <c r="H15007" s="46" t="s">
        <v>90</v>
      </c>
      <c r="I15007" s="46" t="s">
        <v>91</v>
      </c>
      <c r="J15007" s="46" t="s">
        <v>132</v>
      </c>
      <c r="K15007" s="46" t="s">
        <v>126</v>
      </c>
      <c r="L15007" s="45">
        <v>46016.916666666664</v>
      </c>
      <c r="M15007" s="46" t="s">
        <v>123</v>
      </c>
      <c r="N15007" s="45">
        <v>46016.958333333336</v>
      </c>
      <c r="O15007" s="46" t="s">
        <v>123</v>
      </c>
      <c r="P15007" s="46">
        <v>3600.0</v>
      </c>
    </row>
    <row r="15008">
      <c r="A15008" s="40">
        <f t="shared" si="1"/>
        <v>46013</v>
      </c>
      <c r="B15008" s="37" t="str">
        <f t="array" ref="B15008">iferror(xlookup($I15008, 'IMPORT VHC Report'!$E:$E, 'IMPORT VHC Report'!$A:$C), )</f>
        <v/>
      </c>
      <c r="C15008" s="44"/>
      <c r="D15008" s="44"/>
      <c r="E15008" s="46" t="s">
        <v>11167</v>
      </c>
      <c r="F15008" s="46" t="s">
        <v>4467</v>
      </c>
      <c r="G15008" s="46">
        <v>9.107749325455E12</v>
      </c>
      <c r="H15008" s="46" t="s">
        <v>90</v>
      </c>
      <c r="I15008" s="46" t="s">
        <v>91</v>
      </c>
      <c r="J15008" s="46" t="s">
        <v>791</v>
      </c>
      <c r="K15008" s="46" t="s">
        <v>63</v>
      </c>
      <c r="L15008" s="45">
        <v>46019.583333333336</v>
      </c>
      <c r="M15008" s="46" t="s">
        <v>123</v>
      </c>
      <c r="N15008" s="45">
        <v>46019.958333333336</v>
      </c>
      <c r="O15008" s="46" t="s">
        <v>123</v>
      </c>
      <c r="P15008" s="46">
        <v>32400.0</v>
      </c>
    </row>
    <row r="15009">
      <c r="A15009" s="40">
        <f t="shared" si="1"/>
        <v>46013</v>
      </c>
      <c r="B15009" s="37" t="str">
        <f t="array" ref="B15009">iferror(xlookup($I15009, 'IMPORT VHC Report'!$E:$E, 'IMPORT VHC Report'!$A:$C), )</f>
        <v/>
      </c>
      <c r="C15009" s="44"/>
      <c r="D15009" s="44"/>
      <c r="E15009" s="46" t="s">
        <v>11168</v>
      </c>
      <c r="F15009" s="46" t="s">
        <v>4467</v>
      </c>
      <c r="G15009" s="46">
        <v>9.107749325455E12</v>
      </c>
      <c r="H15009" s="46" t="s">
        <v>90</v>
      </c>
      <c r="I15009" s="46" t="s">
        <v>91</v>
      </c>
      <c r="J15009" s="46" t="s">
        <v>152</v>
      </c>
      <c r="K15009" s="46" t="s">
        <v>153</v>
      </c>
      <c r="L15009" s="45">
        <v>46019.583333333336</v>
      </c>
      <c r="M15009" s="46" t="s">
        <v>123</v>
      </c>
      <c r="N15009" s="45">
        <v>46019.958333333336</v>
      </c>
      <c r="O15009" s="46" t="s">
        <v>123</v>
      </c>
      <c r="P15009" s="46">
        <v>32400.0</v>
      </c>
      <c r="Q15009" s="46">
        <v>28800.0</v>
      </c>
    </row>
    <row r="15010">
      <c r="A15010" s="40">
        <f t="shared" si="1"/>
        <v>46013</v>
      </c>
      <c r="B15010" s="37" t="str">
        <f t="array" ref="B15010">iferror(xlookup($I15010, 'IMPORT VHC Report'!$E:$E, 'IMPORT VHC Report'!$A:$C), )</f>
        <v/>
      </c>
      <c r="C15010" s="44"/>
      <c r="D15010" s="44"/>
      <c r="E15010" s="46" t="s">
        <v>11169</v>
      </c>
      <c r="F15010" s="46" t="s">
        <v>4467</v>
      </c>
      <c r="G15010" s="46">
        <v>9.107749325455E12</v>
      </c>
      <c r="H15010" s="46" t="s">
        <v>90</v>
      </c>
      <c r="I15010" s="46" t="s">
        <v>91</v>
      </c>
      <c r="J15010" s="46" t="s">
        <v>134</v>
      </c>
      <c r="K15010" s="46" t="s">
        <v>126</v>
      </c>
      <c r="L15010" s="45">
        <v>46019.833333333336</v>
      </c>
      <c r="M15010" s="46" t="s">
        <v>123</v>
      </c>
      <c r="N15010" s="45">
        <v>46019.854166666664</v>
      </c>
      <c r="O15010" s="46" t="s">
        <v>123</v>
      </c>
      <c r="P15010" s="46">
        <v>1800.0</v>
      </c>
    </row>
    <row r="15011">
      <c r="A15011" s="40">
        <f t="shared" si="1"/>
        <v>46013</v>
      </c>
      <c r="B15011" s="37" t="str">
        <f t="array" ref="B15011">iferror(xlookup($I15011, 'IMPORT VHC Report'!$E:$E, 'IMPORT VHC Report'!$A:$C), )</f>
        <v/>
      </c>
      <c r="C15011" s="44"/>
      <c r="D15011" s="44"/>
      <c r="E15011" s="46" t="s">
        <v>11170</v>
      </c>
      <c r="F15011" s="46" t="s">
        <v>4467</v>
      </c>
      <c r="G15011" s="46">
        <v>9.107749325455E12</v>
      </c>
      <c r="H15011" s="46" t="s">
        <v>90</v>
      </c>
      <c r="I15011" s="46" t="s">
        <v>91</v>
      </c>
      <c r="J15011" s="46" t="s">
        <v>132</v>
      </c>
      <c r="K15011" s="46" t="s">
        <v>126</v>
      </c>
      <c r="L15011" s="45">
        <v>46019.854166666664</v>
      </c>
      <c r="M15011" s="46" t="s">
        <v>123</v>
      </c>
      <c r="N15011" s="45">
        <v>46019.895833333336</v>
      </c>
      <c r="O15011" s="46" t="s">
        <v>123</v>
      </c>
      <c r="P15011" s="46">
        <v>3600.0</v>
      </c>
    </row>
    <row r="15012">
      <c r="A15012" s="40">
        <f t="shared" si="1"/>
        <v>46013</v>
      </c>
      <c r="B15012" s="37" t="str">
        <f t="array" ref="B15012">iferror(xlookup($I15012, 'IMPORT VHC Report'!$E:$E, 'IMPORT VHC Report'!$A:$C), )</f>
        <v/>
      </c>
      <c r="C15012" s="44"/>
      <c r="D15012" s="44"/>
      <c r="E15012" s="46" t="s">
        <v>11171</v>
      </c>
      <c r="F15012" s="46" t="s">
        <v>6581</v>
      </c>
      <c r="G15012" s="46">
        <v>1.0548626331023E13</v>
      </c>
      <c r="H15012" s="46" t="s">
        <v>74</v>
      </c>
      <c r="I15012" s="46" t="s">
        <v>75</v>
      </c>
      <c r="J15012" s="46" t="s">
        <v>791</v>
      </c>
      <c r="K15012" s="46" t="s">
        <v>63</v>
      </c>
      <c r="L15012" s="45">
        <v>46014.25</v>
      </c>
      <c r="M15012" s="46" t="s">
        <v>123</v>
      </c>
      <c r="N15012" s="45">
        <v>46014.625</v>
      </c>
      <c r="O15012" s="46" t="s">
        <v>123</v>
      </c>
      <c r="P15012" s="46">
        <v>32400.0</v>
      </c>
    </row>
    <row r="15013">
      <c r="A15013" s="40">
        <f t="shared" si="1"/>
        <v>46013</v>
      </c>
      <c r="B15013" s="37" t="str">
        <f t="array" ref="B15013">iferror(xlookup($I15013, 'IMPORT VHC Report'!$E:$E, 'IMPORT VHC Report'!$A:$C), )</f>
        <v/>
      </c>
      <c r="C15013" s="44"/>
      <c r="D15013" s="44"/>
      <c r="E15013" s="46" t="s">
        <v>11172</v>
      </c>
      <c r="F15013" s="46" t="s">
        <v>6581</v>
      </c>
      <c r="G15013" s="46">
        <v>1.0548626331023E13</v>
      </c>
      <c r="H15013" s="46" t="s">
        <v>74</v>
      </c>
      <c r="I15013" s="46" t="s">
        <v>75</v>
      </c>
      <c r="J15013" s="46" t="s">
        <v>330</v>
      </c>
      <c r="K15013" s="46" t="s">
        <v>126</v>
      </c>
      <c r="L15013" s="45">
        <v>46014.302083333336</v>
      </c>
      <c r="M15013" s="46" t="s">
        <v>123</v>
      </c>
      <c r="N15013" s="45">
        <v>46014.333333333336</v>
      </c>
      <c r="O15013" s="46" t="s">
        <v>123</v>
      </c>
      <c r="P15013" s="46">
        <v>2700.0</v>
      </c>
    </row>
    <row r="15014">
      <c r="A15014" s="40">
        <f t="shared" si="1"/>
        <v>46013</v>
      </c>
      <c r="B15014" s="37" t="str">
        <f t="array" ref="B15014">iferror(xlookup($I15014, 'IMPORT VHC Report'!$E:$E, 'IMPORT VHC Report'!$A:$C), )</f>
        <v/>
      </c>
      <c r="C15014" s="44"/>
      <c r="D15014" s="44"/>
      <c r="E15014" s="46" t="s">
        <v>11173</v>
      </c>
      <c r="F15014" s="46" t="s">
        <v>6581</v>
      </c>
      <c r="G15014" s="46">
        <v>1.0548626331023E13</v>
      </c>
      <c r="H15014" s="46" t="s">
        <v>74</v>
      </c>
      <c r="I15014" s="46" t="s">
        <v>75</v>
      </c>
      <c r="J15014" s="46" t="s">
        <v>4</v>
      </c>
      <c r="K15014" s="46" t="s">
        <v>126</v>
      </c>
      <c r="L15014" s="45">
        <v>46014.333333333336</v>
      </c>
      <c r="M15014" s="46" t="s">
        <v>123</v>
      </c>
      <c r="N15014" s="45">
        <v>46014.34375</v>
      </c>
      <c r="O15014" s="46" t="s">
        <v>123</v>
      </c>
      <c r="P15014" s="46">
        <v>900.0</v>
      </c>
      <c r="S15014" s="46" t="s">
        <v>11174</v>
      </c>
    </row>
    <row r="15015">
      <c r="A15015" s="40">
        <f t="shared" si="1"/>
        <v>46013</v>
      </c>
      <c r="B15015" s="37" t="str">
        <f t="array" ref="B15015">iferror(xlookup($I15015, 'IMPORT VHC Report'!$E:$E, 'IMPORT VHC Report'!$A:$C), )</f>
        <v/>
      </c>
      <c r="C15015" s="44"/>
      <c r="D15015" s="44"/>
      <c r="E15015" s="46" t="s">
        <v>11175</v>
      </c>
      <c r="F15015" s="46" t="s">
        <v>6581</v>
      </c>
      <c r="G15015" s="46">
        <v>1.0548626331023E13</v>
      </c>
      <c r="H15015" s="46" t="s">
        <v>74</v>
      </c>
      <c r="I15015" s="46" t="s">
        <v>75</v>
      </c>
      <c r="J15015" s="46" t="s">
        <v>134</v>
      </c>
      <c r="K15015" s="46" t="s">
        <v>126</v>
      </c>
      <c r="L15015" s="45">
        <v>46014.5625</v>
      </c>
      <c r="M15015" s="46" t="s">
        <v>123</v>
      </c>
      <c r="N15015" s="45">
        <v>46014.583333333336</v>
      </c>
      <c r="O15015" s="46" t="s">
        <v>123</v>
      </c>
      <c r="P15015" s="46">
        <v>1800.0</v>
      </c>
    </row>
    <row r="15016">
      <c r="A15016" s="40">
        <f t="shared" si="1"/>
        <v>46013</v>
      </c>
      <c r="B15016" s="37" t="str">
        <f t="array" ref="B15016">iferror(xlookup($I15016, 'IMPORT VHC Report'!$E:$E, 'IMPORT VHC Report'!$A:$C), )</f>
        <v/>
      </c>
      <c r="C15016" s="44"/>
      <c r="D15016" s="44"/>
      <c r="E15016" s="46" t="s">
        <v>11176</v>
      </c>
      <c r="F15016" s="46" t="s">
        <v>6581</v>
      </c>
      <c r="G15016" s="46">
        <v>1.0548626331023E13</v>
      </c>
      <c r="H15016" s="46" t="s">
        <v>74</v>
      </c>
      <c r="I15016" s="46" t="s">
        <v>75</v>
      </c>
      <c r="J15016" s="46" t="s">
        <v>132</v>
      </c>
      <c r="K15016" s="46" t="s">
        <v>126</v>
      </c>
      <c r="L15016" s="45">
        <v>46014.583333333336</v>
      </c>
      <c r="M15016" s="46" t="s">
        <v>123</v>
      </c>
      <c r="N15016" s="45">
        <v>46014.625</v>
      </c>
      <c r="O15016" s="46" t="s">
        <v>123</v>
      </c>
      <c r="P15016" s="46">
        <v>3600.0</v>
      </c>
    </row>
    <row r="15017">
      <c r="A15017" s="40">
        <f t="shared" si="1"/>
        <v>46013</v>
      </c>
      <c r="B15017" s="37" t="str">
        <f t="array" ref="B15017">iferror(xlookup($I15017, 'IMPORT VHC Report'!$E:$E, 'IMPORT VHC Report'!$A:$C), )</f>
        <v/>
      </c>
      <c r="C15017" s="44"/>
      <c r="D15017" s="44"/>
      <c r="E15017" s="46" t="s">
        <v>11177</v>
      </c>
      <c r="F15017" s="46" t="s">
        <v>6581</v>
      </c>
      <c r="G15017" s="46">
        <v>1.0548626331023E13</v>
      </c>
      <c r="H15017" s="46" t="s">
        <v>74</v>
      </c>
      <c r="I15017" s="46" t="s">
        <v>75</v>
      </c>
      <c r="J15017" s="46" t="s">
        <v>62</v>
      </c>
      <c r="K15017" s="46" t="s">
        <v>63</v>
      </c>
      <c r="L15017" s="45">
        <v>46015.25</v>
      </c>
      <c r="M15017" s="46" t="s">
        <v>123</v>
      </c>
      <c r="N15017" s="45">
        <v>46015.458333333336</v>
      </c>
      <c r="O15017" s="46" t="s">
        <v>123</v>
      </c>
      <c r="P15017" s="46">
        <v>18000.0</v>
      </c>
    </row>
    <row r="15018">
      <c r="A15018" s="40">
        <f t="shared" si="1"/>
        <v>46013</v>
      </c>
      <c r="B15018" s="37" t="str">
        <f t="array" ref="B15018">iferror(xlookup($I15018, 'IMPORT VHC Report'!$E:$E, 'IMPORT VHC Report'!$A:$C), )</f>
        <v/>
      </c>
      <c r="C15018" s="44"/>
      <c r="D15018" s="44"/>
      <c r="E15018" s="46" t="s">
        <v>11178</v>
      </c>
      <c r="F15018" s="46" t="s">
        <v>6581</v>
      </c>
      <c r="G15018" s="46">
        <v>1.0548626331023E13</v>
      </c>
      <c r="H15018" s="46" t="s">
        <v>74</v>
      </c>
      <c r="I15018" s="46" t="s">
        <v>75</v>
      </c>
      <c r="J15018" s="46" t="s">
        <v>178</v>
      </c>
      <c r="K15018" s="46" t="s">
        <v>153</v>
      </c>
      <c r="L15018" s="45">
        <v>46015.25</v>
      </c>
      <c r="M15018" s="46" t="s">
        <v>123</v>
      </c>
      <c r="N15018" s="45">
        <v>46015.625</v>
      </c>
      <c r="O15018" s="46" t="s">
        <v>123</v>
      </c>
      <c r="P15018" s="46">
        <v>32400.0</v>
      </c>
      <c r="Q15018" s="46">
        <v>28800.0</v>
      </c>
    </row>
    <row r="15019">
      <c r="A15019" s="40">
        <f t="shared" si="1"/>
        <v>46013</v>
      </c>
      <c r="B15019" s="37" t="str">
        <f t="array" ref="B15019">iferror(xlookup($I15019, 'IMPORT VHC Report'!$E:$E, 'IMPORT VHC Report'!$A:$C), )</f>
        <v/>
      </c>
      <c r="C15019" s="44"/>
      <c r="D15019" s="44"/>
      <c r="E15019" s="46" t="s">
        <v>11179</v>
      </c>
      <c r="F15019" s="46" t="s">
        <v>6581</v>
      </c>
      <c r="G15019" s="46">
        <v>1.0548626331023E13</v>
      </c>
      <c r="H15019" s="46" t="s">
        <v>74</v>
      </c>
      <c r="I15019" s="46" t="s">
        <v>75</v>
      </c>
      <c r="J15019" s="46" t="s">
        <v>136</v>
      </c>
      <c r="K15019" s="46" t="s">
        <v>126</v>
      </c>
      <c r="L15019" s="45">
        <v>46015.416666666664</v>
      </c>
      <c r="M15019" s="46" t="s">
        <v>123</v>
      </c>
      <c r="N15019" s="45">
        <v>46015.458333333336</v>
      </c>
      <c r="O15019" s="46" t="s">
        <v>123</v>
      </c>
      <c r="P15019" s="46">
        <v>3600.0</v>
      </c>
      <c r="S15019" s="46" t="s">
        <v>11039</v>
      </c>
    </row>
    <row r="15020">
      <c r="A15020" s="40">
        <f t="shared" si="1"/>
        <v>46013</v>
      </c>
      <c r="B15020" s="37" t="str">
        <f t="array" ref="B15020">iferror(xlookup($I15020, 'IMPORT VHC Report'!$E:$E, 'IMPORT VHC Report'!$A:$C), )</f>
        <v/>
      </c>
      <c r="C15020" s="44"/>
      <c r="D15020" s="44"/>
      <c r="E15020" s="46" t="s">
        <v>11180</v>
      </c>
      <c r="F15020" s="46" t="s">
        <v>6581</v>
      </c>
      <c r="G15020" s="46">
        <v>1.0548626331023E13</v>
      </c>
      <c r="H15020" s="46" t="s">
        <v>74</v>
      </c>
      <c r="I15020" s="46" t="s">
        <v>75</v>
      </c>
      <c r="J15020" s="46" t="s">
        <v>791</v>
      </c>
      <c r="K15020" s="46" t="s">
        <v>63</v>
      </c>
      <c r="L15020" s="45">
        <v>46015.416666666664</v>
      </c>
      <c r="M15020" s="46" t="s">
        <v>123</v>
      </c>
      <c r="N15020" s="45">
        <v>46015.625</v>
      </c>
      <c r="O15020" s="46" t="s">
        <v>123</v>
      </c>
      <c r="P15020" s="46">
        <v>18000.0</v>
      </c>
    </row>
    <row r="15021">
      <c r="A15021" s="40">
        <f t="shared" si="1"/>
        <v>46013</v>
      </c>
      <c r="B15021" s="37" t="str">
        <f t="array" ref="B15021">iferror(xlookup($I15021, 'IMPORT VHC Report'!$E:$E, 'IMPORT VHC Report'!$A:$C), )</f>
        <v/>
      </c>
      <c r="C15021" s="44"/>
      <c r="D15021" s="44"/>
      <c r="E15021" s="46" t="s">
        <v>11181</v>
      </c>
      <c r="F15021" s="46" t="s">
        <v>6581</v>
      </c>
      <c r="G15021" s="46">
        <v>1.0548626331023E13</v>
      </c>
      <c r="H15021" s="46" t="s">
        <v>74</v>
      </c>
      <c r="I15021" s="46" t="s">
        <v>75</v>
      </c>
      <c r="J15021" s="46" t="s">
        <v>134</v>
      </c>
      <c r="K15021" s="46" t="s">
        <v>126</v>
      </c>
      <c r="L15021" s="45">
        <v>46015.5625</v>
      </c>
      <c r="M15021" s="46" t="s">
        <v>123</v>
      </c>
      <c r="N15021" s="45">
        <v>46015.583333333336</v>
      </c>
      <c r="O15021" s="46" t="s">
        <v>123</v>
      </c>
      <c r="P15021" s="46">
        <v>1800.0</v>
      </c>
    </row>
    <row r="15022">
      <c r="A15022" s="40">
        <f t="shared" si="1"/>
        <v>46013</v>
      </c>
      <c r="B15022" s="37" t="str">
        <f t="array" ref="B15022">iferror(xlookup($I15022, 'IMPORT VHC Report'!$E:$E, 'IMPORT VHC Report'!$A:$C), )</f>
        <v/>
      </c>
      <c r="C15022" s="44"/>
      <c r="D15022" s="44"/>
      <c r="E15022" s="46" t="s">
        <v>11182</v>
      </c>
      <c r="F15022" s="46" t="s">
        <v>6581</v>
      </c>
      <c r="G15022" s="46">
        <v>1.0548626331023E13</v>
      </c>
      <c r="H15022" s="46" t="s">
        <v>74</v>
      </c>
      <c r="I15022" s="46" t="s">
        <v>75</v>
      </c>
      <c r="J15022" s="46" t="s">
        <v>132</v>
      </c>
      <c r="K15022" s="46" t="s">
        <v>126</v>
      </c>
      <c r="L15022" s="45">
        <v>46015.583333333336</v>
      </c>
      <c r="M15022" s="46" t="s">
        <v>123</v>
      </c>
      <c r="N15022" s="45">
        <v>46015.625</v>
      </c>
      <c r="O15022" s="46" t="s">
        <v>123</v>
      </c>
      <c r="P15022" s="46">
        <v>3600.0</v>
      </c>
    </row>
    <row r="15023">
      <c r="A15023" s="40">
        <f t="shared" si="1"/>
        <v>46013</v>
      </c>
      <c r="B15023" s="37" t="str">
        <f t="array" ref="B15023">iferror(xlookup($I15023, 'IMPORT VHC Report'!$E:$E, 'IMPORT VHC Report'!$A:$C), )</f>
        <v/>
      </c>
      <c r="C15023" s="44"/>
      <c r="D15023" s="44"/>
      <c r="E15023" s="46" t="s">
        <v>11183</v>
      </c>
      <c r="F15023" s="46" t="s">
        <v>6581</v>
      </c>
      <c r="G15023" s="46">
        <v>1.0548626331023E13</v>
      </c>
      <c r="H15023" s="46" t="s">
        <v>74</v>
      </c>
      <c r="I15023" s="46" t="s">
        <v>75</v>
      </c>
      <c r="J15023" s="46" t="s">
        <v>178</v>
      </c>
      <c r="K15023" s="46" t="s">
        <v>153</v>
      </c>
      <c r="L15023" s="45">
        <v>46016.25</v>
      </c>
      <c r="M15023" s="46" t="s">
        <v>123</v>
      </c>
      <c r="N15023" s="45">
        <v>46016.625</v>
      </c>
      <c r="O15023" s="46" t="s">
        <v>123</v>
      </c>
      <c r="P15023" s="46">
        <v>32400.0</v>
      </c>
      <c r="Q15023" s="46">
        <v>28800.0</v>
      </c>
    </row>
    <row r="15024">
      <c r="A15024" s="40">
        <f t="shared" si="1"/>
        <v>46013</v>
      </c>
      <c r="B15024" s="37" t="str">
        <f t="array" ref="B15024">iferror(xlookup($I15024, 'IMPORT VHC Report'!$E:$E, 'IMPORT VHC Report'!$A:$C), )</f>
        <v/>
      </c>
      <c r="C15024" s="44"/>
      <c r="D15024" s="44"/>
      <c r="E15024" s="46" t="s">
        <v>11184</v>
      </c>
      <c r="F15024" s="46" t="s">
        <v>6581</v>
      </c>
      <c r="G15024" s="46">
        <v>1.0548626331023E13</v>
      </c>
      <c r="H15024" s="46" t="s">
        <v>74</v>
      </c>
      <c r="I15024" s="46" t="s">
        <v>75</v>
      </c>
      <c r="J15024" s="46" t="s">
        <v>791</v>
      </c>
      <c r="K15024" s="46" t="s">
        <v>63</v>
      </c>
      <c r="L15024" s="45">
        <v>46016.25</v>
      </c>
      <c r="M15024" s="46" t="s">
        <v>123</v>
      </c>
      <c r="N15024" s="45">
        <v>46016.625</v>
      </c>
      <c r="O15024" s="46" t="s">
        <v>123</v>
      </c>
      <c r="P15024" s="46">
        <v>32400.0</v>
      </c>
    </row>
    <row r="15025">
      <c r="A15025" s="40">
        <f t="shared" si="1"/>
        <v>46013</v>
      </c>
      <c r="B15025" s="37" t="str">
        <f t="array" ref="B15025">iferror(xlookup($I15025, 'IMPORT VHC Report'!$E:$E, 'IMPORT VHC Report'!$A:$C), )</f>
        <v/>
      </c>
      <c r="C15025" s="44"/>
      <c r="D15025" s="44"/>
      <c r="E15025" s="46" t="s">
        <v>11185</v>
      </c>
      <c r="F15025" s="46" t="s">
        <v>6581</v>
      </c>
      <c r="G15025" s="46">
        <v>1.0548626331023E13</v>
      </c>
      <c r="H15025" s="46" t="s">
        <v>74</v>
      </c>
      <c r="I15025" s="46" t="s">
        <v>75</v>
      </c>
      <c r="J15025" s="46" t="s">
        <v>330</v>
      </c>
      <c r="K15025" s="46" t="s">
        <v>126</v>
      </c>
      <c r="L15025" s="45">
        <v>46016.333333333336</v>
      </c>
      <c r="M15025" s="46" t="s">
        <v>123</v>
      </c>
      <c r="N15025" s="45">
        <v>46016.375</v>
      </c>
      <c r="O15025" s="46" t="s">
        <v>123</v>
      </c>
      <c r="P15025" s="46">
        <v>3600.0</v>
      </c>
      <c r="S15025" s="46" t="s">
        <v>640</v>
      </c>
    </row>
    <row r="15026">
      <c r="A15026" s="40">
        <f t="shared" si="1"/>
        <v>46013</v>
      </c>
      <c r="B15026" s="37" t="str">
        <f t="array" ref="B15026">iferror(xlookup($I15026, 'IMPORT VHC Report'!$E:$E, 'IMPORT VHC Report'!$A:$C), )</f>
        <v/>
      </c>
      <c r="C15026" s="44"/>
      <c r="D15026" s="44"/>
      <c r="E15026" s="46" t="s">
        <v>11186</v>
      </c>
      <c r="F15026" s="46" t="s">
        <v>6581</v>
      </c>
      <c r="G15026" s="46">
        <v>1.0548626331023E13</v>
      </c>
      <c r="H15026" s="46" t="s">
        <v>74</v>
      </c>
      <c r="I15026" s="46" t="s">
        <v>75</v>
      </c>
      <c r="J15026" s="46" t="s">
        <v>136</v>
      </c>
      <c r="K15026" s="46" t="s">
        <v>126</v>
      </c>
      <c r="L15026" s="45">
        <v>46016.458333333336</v>
      </c>
      <c r="M15026" s="46" t="s">
        <v>123</v>
      </c>
      <c r="N15026" s="45">
        <v>46016.5</v>
      </c>
      <c r="O15026" s="46" t="s">
        <v>123</v>
      </c>
      <c r="P15026" s="46">
        <v>3600.0</v>
      </c>
      <c r="S15026" s="46" t="s">
        <v>2732</v>
      </c>
    </row>
    <row r="15027">
      <c r="A15027" s="40">
        <f t="shared" si="1"/>
        <v>46013</v>
      </c>
      <c r="B15027" s="37" t="str">
        <f t="array" ref="B15027">iferror(xlookup($I15027, 'IMPORT VHC Report'!$E:$E, 'IMPORT VHC Report'!$A:$C), )</f>
        <v/>
      </c>
      <c r="C15027" s="44"/>
      <c r="D15027" s="44"/>
      <c r="E15027" s="46" t="s">
        <v>11187</v>
      </c>
      <c r="F15027" s="46" t="s">
        <v>6581</v>
      </c>
      <c r="G15027" s="46">
        <v>1.0548626331023E13</v>
      </c>
      <c r="H15027" s="46" t="s">
        <v>74</v>
      </c>
      <c r="I15027" s="46" t="s">
        <v>75</v>
      </c>
      <c r="J15027" s="46" t="s">
        <v>132</v>
      </c>
      <c r="K15027" s="46" t="s">
        <v>126</v>
      </c>
      <c r="L15027" s="45">
        <v>46016.5</v>
      </c>
      <c r="M15027" s="46" t="s">
        <v>123</v>
      </c>
      <c r="N15027" s="45">
        <v>46016.541666666664</v>
      </c>
      <c r="O15027" s="46" t="s">
        <v>123</v>
      </c>
      <c r="P15027" s="46">
        <v>3600.0</v>
      </c>
    </row>
    <row r="15028">
      <c r="A15028" s="40">
        <f t="shared" si="1"/>
        <v>46013</v>
      </c>
      <c r="B15028" s="37" t="str">
        <f t="array" ref="B15028">iferror(xlookup($I15028, 'IMPORT VHC Report'!$E:$E, 'IMPORT VHC Report'!$A:$C), )</f>
        <v/>
      </c>
      <c r="C15028" s="44"/>
      <c r="D15028" s="44"/>
      <c r="E15028" s="46" t="s">
        <v>11188</v>
      </c>
      <c r="F15028" s="46" t="s">
        <v>6581</v>
      </c>
      <c r="G15028" s="46">
        <v>1.0548626331023E13</v>
      </c>
      <c r="H15028" s="46" t="s">
        <v>74</v>
      </c>
      <c r="I15028" s="46" t="s">
        <v>75</v>
      </c>
      <c r="J15028" s="46" t="s">
        <v>134</v>
      </c>
      <c r="K15028" s="46" t="s">
        <v>126</v>
      </c>
      <c r="L15028" s="45">
        <v>46016.541666666664</v>
      </c>
      <c r="M15028" s="46" t="s">
        <v>123</v>
      </c>
      <c r="N15028" s="45">
        <v>46016.5625</v>
      </c>
      <c r="O15028" s="46" t="s">
        <v>123</v>
      </c>
      <c r="P15028" s="46">
        <v>1800.0</v>
      </c>
    </row>
    <row r="15029">
      <c r="A15029" s="40">
        <f t="shared" si="1"/>
        <v>46013</v>
      </c>
      <c r="B15029" s="37" t="str">
        <f t="array" ref="B15029">iferror(xlookup($I15029, 'IMPORT VHC Report'!$E:$E, 'IMPORT VHC Report'!$A:$C), )</f>
        <v/>
      </c>
      <c r="C15029" s="44"/>
      <c r="D15029" s="44"/>
      <c r="E15029" s="46" t="s">
        <v>11189</v>
      </c>
      <c r="F15029" s="46" t="s">
        <v>6581</v>
      </c>
      <c r="G15029" s="46">
        <v>1.0548626331023E13</v>
      </c>
      <c r="H15029" s="46" t="s">
        <v>74</v>
      </c>
      <c r="I15029" s="46" t="s">
        <v>75</v>
      </c>
      <c r="J15029" s="46" t="s">
        <v>178</v>
      </c>
      <c r="K15029" s="46" t="s">
        <v>153</v>
      </c>
      <c r="L15029" s="45">
        <v>46017.25</v>
      </c>
      <c r="M15029" s="46" t="s">
        <v>123</v>
      </c>
      <c r="N15029" s="45">
        <v>46017.625</v>
      </c>
      <c r="O15029" s="46" t="s">
        <v>123</v>
      </c>
      <c r="P15029" s="46">
        <v>32400.0</v>
      </c>
      <c r="Q15029" s="46">
        <v>28800.0</v>
      </c>
    </row>
    <row r="15030">
      <c r="A15030" s="40">
        <f t="shared" si="1"/>
        <v>46013</v>
      </c>
      <c r="B15030" s="37" t="str">
        <f t="array" ref="B15030">iferror(xlookup($I15030, 'IMPORT VHC Report'!$E:$E, 'IMPORT VHC Report'!$A:$C), )</f>
        <v/>
      </c>
      <c r="C15030" s="44"/>
      <c r="D15030" s="44"/>
      <c r="E15030" s="46" t="s">
        <v>11190</v>
      </c>
      <c r="F15030" s="46" t="s">
        <v>6581</v>
      </c>
      <c r="G15030" s="46">
        <v>1.0548626331023E13</v>
      </c>
      <c r="H15030" s="46" t="s">
        <v>74</v>
      </c>
      <c r="I15030" s="46" t="s">
        <v>75</v>
      </c>
      <c r="J15030" s="46" t="s">
        <v>791</v>
      </c>
      <c r="K15030" s="46" t="s">
        <v>63</v>
      </c>
      <c r="L15030" s="45">
        <v>46017.25</v>
      </c>
      <c r="M15030" s="46" t="s">
        <v>123</v>
      </c>
      <c r="N15030" s="45">
        <v>46017.625</v>
      </c>
      <c r="O15030" s="46" t="s">
        <v>123</v>
      </c>
      <c r="P15030" s="46">
        <v>32400.0</v>
      </c>
    </row>
    <row r="15031">
      <c r="A15031" s="40">
        <f t="shared" si="1"/>
        <v>46013</v>
      </c>
      <c r="B15031" s="37" t="str">
        <f t="array" ref="B15031">iferror(xlookup($I15031, 'IMPORT VHC Report'!$E:$E, 'IMPORT VHC Report'!$A:$C), )</f>
        <v/>
      </c>
      <c r="C15031" s="44"/>
      <c r="D15031" s="44"/>
      <c r="E15031" s="46" t="s">
        <v>11191</v>
      </c>
      <c r="F15031" s="46" t="s">
        <v>6581</v>
      </c>
      <c r="G15031" s="46">
        <v>1.0548626331023E13</v>
      </c>
      <c r="H15031" s="46" t="s">
        <v>74</v>
      </c>
      <c r="I15031" s="46" t="s">
        <v>75</v>
      </c>
      <c r="J15031" s="46" t="s">
        <v>132</v>
      </c>
      <c r="K15031" s="46" t="s">
        <v>126</v>
      </c>
      <c r="L15031" s="45">
        <v>46017.5</v>
      </c>
      <c r="M15031" s="46" t="s">
        <v>123</v>
      </c>
      <c r="N15031" s="45">
        <v>46017.541666666664</v>
      </c>
      <c r="O15031" s="46" t="s">
        <v>123</v>
      </c>
      <c r="P15031" s="46">
        <v>3600.0</v>
      </c>
    </row>
    <row r="15032">
      <c r="A15032" s="40">
        <f t="shared" si="1"/>
        <v>46013</v>
      </c>
      <c r="B15032" s="37" t="str">
        <f t="array" ref="B15032">iferror(xlookup($I15032, 'IMPORT VHC Report'!$E:$E, 'IMPORT VHC Report'!$A:$C), )</f>
        <v/>
      </c>
      <c r="C15032" s="44"/>
      <c r="D15032" s="44"/>
      <c r="E15032" s="46" t="s">
        <v>11192</v>
      </c>
      <c r="F15032" s="46" t="s">
        <v>6581</v>
      </c>
      <c r="G15032" s="46">
        <v>1.0548626331023E13</v>
      </c>
      <c r="H15032" s="46" t="s">
        <v>74</v>
      </c>
      <c r="I15032" s="46" t="s">
        <v>75</v>
      </c>
      <c r="J15032" s="46" t="s">
        <v>134</v>
      </c>
      <c r="K15032" s="46" t="s">
        <v>126</v>
      </c>
      <c r="L15032" s="45">
        <v>46017.541666666664</v>
      </c>
      <c r="M15032" s="46" t="s">
        <v>123</v>
      </c>
      <c r="N15032" s="45">
        <v>46017.5625</v>
      </c>
      <c r="O15032" s="46" t="s">
        <v>123</v>
      </c>
      <c r="P15032" s="46">
        <v>1800.0</v>
      </c>
    </row>
    <row r="15033">
      <c r="A15033" s="40">
        <f t="shared" si="1"/>
        <v>46013</v>
      </c>
      <c r="B15033" s="37" t="str">
        <f t="array" ref="B15033">iferror(xlookup($I15033, 'IMPORT VHC Report'!$E:$E, 'IMPORT VHC Report'!$A:$C), )</f>
        <v/>
      </c>
      <c r="C15033" s="44"/>
      <c r="D15033" s="44"/>
      <c r="E15033" s="46" t="s">
        <v>11193</v>
      </c>
      <c r="F15033" s="46" t="s">
        <v>6581</v>
      </c>
      <c r="G15033" s="46">
        <v>1.0548626331023E13</v>
      </c>
      <c r="H15033" s="46" t="s">
        <v>74</v>
      </c>
      <c r="I15033" s="46" t="s">
        <v>75</v>
      </c>
      <c r="J15033" s="46" t="s">
        <v>791</v>
      </c>
      <c r="K15033" s="46" t="s">
        <v>63</v>
      </c>
      <c r="L15033" s="45">
        <v>46018.25</v>
      </c>
      <c r="M15033" s="46" t="s">
        <v>123</v>
      </c>
      <c r="N15033" s="45">
        <v>46018.625</v>
      </c>
      <c r="O15033" s="46" t="s">
        <v>123</v>
      </c>
      <c r="P15033" s="46">
        <v>32400.0</v>
      </c>
    </row>
    <row r="15034">
      <c r="A15034" s="40">
        <f t="shared" si="1"/>
        <v>46013</v>
      </c>
      <c r="B15034" s="37" t="str">
        <f t="array" ref="B15034">iferror(xlookup($I15034, 'IMPORT VHC Report'!$E:$E, 'IMPORT VHC Report'!$A:$C), )</f>
        <v/>
      </c>
      <c r="C15034" s="44"/>
      <c r="D15034" s="44"/>
      <c r="E15034" s="46" t="s">
        <v>11194</v>
      </c>
      <c r="F15034" s="46" t="s">
        <v>6581</v>
      </c>
      <c r="G15034" s="46">
        <v>1.0548626331023E13</v>
      </c>
      <c r="H15034" s="46" t="s">
        <v>74</v>
      </c>
      <c r="I15034" s="46" t="s">
        <v>75</v>
      </c>
      <c r="J15034" s="46" t="s">
        <v>132</v>
      </c>
      <c r="K15034" s="46" t="s">
        <v>126</v>
      </c>
      <c r="L15034" s="45">
        <v>46018.5</v>
      </c>
      <c r="M15034" s="46" t="s">
        <v>123</v>
      </c>
      <c r="N15034" s="45">
        <v>46018.541666666664</v>
      </c>
      <c r="O15034" s="46" t="s">
        <v>123</v>
      </c>
      <c r="P15034" s="46">
        <v>3600.0</v>
      </c>
    </row>
    <row r="15035">
      <c r="A15035" s="40">
        <f t="shared" si="1"/>
        <v>46013</v>
      </c>
      <c r="B15035" s="37" t="str">
        <f t="array" ref="B15035">iferror(xlookup($I15035, 'IMPORT VHC Report'!$E:$E, 'IMPORT VHC Report'!$A:$C), )</f>
        <v/>
      </c>
      <c r="C15035" s="44"/>
      <c r="D15035" s="44"/>
      <c r="E15035" s="46" t="s">
        <v>11195</v>
      </c>
      <c r="F15035" s="46" t="s">
        <v>6581</v>
      </c>
      <c r="G15035" s="46">
        <v>1.0548626331023E13</v>
      </c>
      <c r="H15035" s="46" t="s">
        <v>74</v>
      </c>
      <c r="I15035" s="46" t="s">
        <v>75</v>
      </c>
      <c r="J15035" s="46" t="s">
        <v>134</v>
      </c>
      <c r="K15035" s="46" t="s">
        <v>126</v>
      </c>
      <c r="L15035" s="45">
        <v>46018.541666666664</v>
      </c>
      <c r="M15035" s="46" t="s">
        <v>123</v>
      </c>
      <c r="N15035" s="45">
        <v>46018.5625</v>
      </c>
      <c r="O15035" s="46" t="s">
        <v>123</v>
      </c>
      <c r="P15035" s="46">
        <v>1800.0</v>
      </c>
    </row>
    <row r="15036">
      <c r="A15036" s="40">
        <f t="shared" si="1"/>
        <v>46013</v>
      </c>
      <c r="B15036" s="37" t="str">
        <f t="array" ref="B15036">iferror(xlookup($I15036, 'IMPORT VHC Report'!$E:$E, 'IMPORT VHC Report'!$A:$C), )</f>
        <v/>
      </c>
      <c r="C15036" s="44"/>
      <c r="D15036" s="44"/>
      <c r="E15036" s="46" t="s">
        <v>11196</v>
      </c>
      <c r="F15036" s="46" t="s">
        <v>6646</v>
      </c>
      <c r="G15036" s="46">
        <v>9.795905227023E12</v>
      </c>
      <c r="H15036" s="46" t="s">
        <v>94</v>
      </c>
      <c r="I15036" s="46" t="s">
        <v>95</v>
      </c>
      <c r="J15036" s="46" t="s">
        <v>62</v>
      </c>
      <c r="K15036" s="46" t="s">
        <v>63</v>
      </c>
      <c r="L15036" s="45">
        <v>46014.25</v>
      </c>
      <c r="M15036" s="46" t="s">
        <v>123</v>
      </c>
      <c r="N15036" s="45">
        <v>46014.416666666664</v>
      </c>
      <c r="O15036" s="46" t="s">
        <v>123</v>
      </c>
      <c r="P15036" s="46">
        <v>14400.0</v>
      </c>
    </row>
    <row r="15037">
      <c r="A15037" s="40">
        <f t="shared" si="1"/>
        <v>46013</v>
      </c>
      <c r="B15037" s="37" t="str">
        <f t="array" ref="B15037">iferror(xlookup($I15037, 'IMPORT VHC Report'!$E:$E, 'IMPORT VHC Report'!$A:$C), )</f>
        <v/>
      </c>
      <c r="C15037" s="44"/>
      <c r="D15037" s="44"/>
      <c r="E15037" s="46" t="s">
        <v>11197</v>
      </c>
      <c r="F15037" s="46" t="s">
        <v>6646</v>
      </c>
      <c r="G15037" s="46">
        <v>9.795905227023E12</v>
      </c>
      <c r="H15037" s="46" t="s">
        <v>94</v>
      </c>
      <c r="I15037" s="46" t="s">
        <v>95</v>
      </c>
      <c r="J15037" s="46" t="s">
        <v>791</v>
      </c>
      <c r="K15037" s="46" t="s">
        <v>63</v>
      </c>
      <c r="L15037" s="45">
        <v>46014.416666666664</v>
      </c>
      <c r="M15037" s="46" t="s">
        <v>123</v>
      </c>
      <c r="N15037" s="45">
        <v>46014.625</v>
      </c>
      <c r="O15037" s="46" t="s">
        <v>123</v>
      </c>
      <c r="P15037" s="46">
        <v>18000.0</v>
      </c>
    </row>
    <row r="15038">
      <c r="A15038" s="40">
        <f t="shared" si="1"/>
        <v>46013</v>
      </c>
      <c r="B15038" s="37" t="str">
        <f t="array" ref="B15038">iferror(xlookup($I15038, 'IMPORT VHC Report'!$E:$E, 'IMPORT VHC Report'!$A:$C), )</f>
        <v/>
      </c>
      <c r="C15038" s="44"/>
      <c r="D15038" s="44"/>
      <c r="E15038" s="46" t="s">
        <v>11198</v>
      </c>
      <c r="F15038" s="46" t="s">
        <v>6646</v>
      </c>
      <c r="G15038" s="46">
        <v>9.795905227023E12</v>
      </c>
      <c r="H15038" s="46" t="s">
        <v>94</v>
      </c>
      <c r="I15038" s="46" t="s">
        <v>95</v>
      </c>
      <c r="J15038" s="46" t="s">
        <v>134</v>
      </c>
      <c r="K15038" s="46" t="s">
        <v>126</v>
      </c>
      <c r="L15038" s="45">
        <v>46014.5625</v>
      </c>
      <c r="M15038" s="46" t="s">
        <v>123</v>
      </c>
      <c r="N15038" s="45">
        <v>46014.583333333336</v>
      </c>
      <c r="O15038" s="46" t="s">
        <v>123</v>
      </c>
      <c r="P15038" s="46">
        <v>1800.0</v>
      </c>
    </row>
    <row r="15039">
      <c r="A15039" s="40">
        <f t="shared" si="1"/>
        <v>46013</v>
      </c>
      <c r="B15039" s="37" t="str">
        <f t="array" ref="B15039">iferror(xlookup($I15039, 'IMPORT VHC Report'!$E:$E, 'IMPORT VHC Report'!$A:$C), )</f>
        <v/>
      </c>
      <c r="C15039" s="44"/>
      <c r="D15039" s="44"/>
      <c r="E15039" s="46" t="s">
        <v>11199</v>
      </c>
      <c r="F15039" s="46" t="s">
        <v>6646</v>
      </c>
      <c r="G15039" s="46">
        <v>9.795905227023E12</v>
      </c>
      <c r="H15039" s="46" t="s">
        <v>94</v>
      </c>
      <c r="I15039" s="46" t="s">
        <v>95</v>
      </c>
      <c r="J15039" s="46" t="s">
        <v>132</v>
      </c>
      <c r="K15039" s="46" t="s">
        <v>126</v>
      </c>
      <c r="L15039" s="45">
        <v>46014.583333333336</v>
      </c>
      <c r="M15039" s="46" t="s">
        <v>123</v>
      </c>
      <c r="N15039" s="45">
        <v>46014.625</v>
      </c>
      <c r="O15039" s="46" t="s">
        <v>123</v>
      </c>
      <c r="P15039" s="46">
        <v>3600.0</v>
      </c>
    </row>
    <row r="15040">
      <c r="A15040" s="40">
        <f t="shared" si="1"/>
        <v>46013</v>
      </c>
      <c r="B15040" s="37" t="str">
        <f t="array" ref="B15040">iferror(xlookup($I15040, 'IMPORT VHC Report'!$E:$E, 'IMPORT VHC Report'!$A:$C), )</f>
        <v/>
      </c>
      <c r="C15040" s="44"/>
      <c r="D15040" s="44"/>
      <c r="E15040" s="46" t="s">
        <v>11200</v>
      </c>
      <c r="F15040" s="46" t="s">
        <v>6646</v>
      </c>
      <c r="G15040" s="46">
        <v>9.795905227023E12</v>
      </c>
      <c r="H15040" s="46" t="s">
        <v>94</v>
      </c>
      <c r="I15040" s="46" t="s">
        <v>95</v>
      </c>
      <c r="J15040" s="46" t="s">
        <v>791</v>
      </c>
      <c r="K15040" s="46" t="s">
        <v>63</v>
      </c>
      <c r="L15040" s="45">
        <v>46015.25</v>
      </c>
      <c r="M15040" s="46" t="s">
        <v>123</v>
      </c>
      <c r="N15040" s="45">
        <v>46015.625</v>
      </c>
      <c r="O15040" s="46" t="s">
        <v>123</v>
      </c>
      <c r="P15040" s="46">
        <v>32400.0</v>
      </c>
    </row>
    <row r="15041">
      <c r="A15041" s="40">
        <f t="shared" si="1"/>
        <v>46013</v>
      </c>
      <c r="B15041" s="37" t="str">
        <f t="array" ref="B15041">iferror(xlookup($I15041, 'IMPORT VHC Report'!$E:$E, 'IMPORT VHC Report'!$A:$C), )</f>
        <v/>
      </c>
      <c r="C15041" s="44"/>
      <c r="D15041" s="44"/>
      <c r="E15041" s="46" t="s">
        <v>11201</v>
      </c>
      <c r="F15041" s="46" t="s">
        <v>6646</v>
      </c>
      <c r="G15041" s="46">
        <v>9.795905227023E12</v>
      </c>
      <c r="H15041" s="46" t="s">
        <v>94</v>
      </c>
      <c r="I15041" s="46" t="s">
        <v>95</v>
      </c>
      <c r="J15041" s="46" t="s">
        <v>136</v>
      </c>
      <c r="K15041" s="46" t="s">
        <v>126</v>
      </c>
      <c r="L15041" s="45">
        <v>46015.416666666664</v>
      </c>
      <c r="M15041" s="46" t="s">
        <v>123</v>
      </c>
      <c r="N15041" s="45">
        <v>46015.458333333336</v>
      </c>
      <c r="O15041" s="46" t="s">
        <v>123</v>
      </c>
      <c r="P15041" s="46">
        <v>3600.0</v>
      </c>
      <c r="S15041" s="46" t="s">
        <v>11039</v>
      </c>
    </row>
    <row r="15042">
      <c r="A15042" s="40">
        <f t="shared" si="1"/>
        <v>46013</v>
      </c>
      <c r="B15042" s="37" t="str">
        <f t="array" ref="B15042">iferror(xlookup($I15042, 'IMPORT VHC Report'!$E:$E, 'IMPORT VHC Report'!$A:$C), )</f>
        <v/>
      </c>
      <c r="C15042" s="44"/>
      <c r="D15042" s="44"/>
      <c r="E15042" s="46" t="s">
        <v>11202</v>
      </c>
      <c r="F15042" s="46" t="s">
        <v>6646</v>
      </c>
      <c r="G15042" s="46">
        <v>9.795905227023E12</v>
      </c>
      <c r="H15042" s="46" t="s">
        <v>94</v>
      </c>
      <c r="I15042" s="46" t="s">
        <v>95</v>
      </c>
      <c r="J15042" s="46" t="s">
        <v>134</v>
      </c>
      <c r="K15042" s="46" t="s">
        <v>126</v>
      </c>
      <c r="L15042" s="45">
        <v>46015.5625</v>
      </c>
      <c r="M15042" s="46" t="s">
        <v>123</v>
      </c>
      <c r="N15042" s="45">
        <v>46015.583333333336</v>
      </c>
      <c r="O15042" s="46" t="s">
        <v>123</v>
      </c>
      <c r="P15042" s="46">
        <v>1800.0</v>
      </c>
    </row>
    <row r="15043">
      <c r="A15043" s="40">
        <f t="shared" si="1"/>
        <v>46013</v>
      </c>
      <c r="B15043" s="37" t="str">
        <f t="array" ref="B15043">iferror(xlookup($I15043, 'IMPORT VHC Report'!$E:$E, 'IMPORT VHC Report'!$A:$C), )</f>
        <v/>
      </c>
      <c r="C15043" s="44"/>
      <c r="D15043" s="44"/>
      <c r="E15043" s="46" t="s">
        <v>11203</v>
      </c>
      <c r="F15043" s="46" t="s">
        <v>6646</v>
      </c>
      <c r="G15043" s="46">
        <v>9.795905227023E12</v>
      </c>
      <c r="H15043" s="46" t="s">
        <v>94</v>
      </c>
      <c r="I15043" s="46" t="s">
        <v>95</v>
      </c>
      <c r="J15043" s="46" t="s">
        <v>132</v>
      </c>
      <c r="K15043" s="46" t="s">
        <v>126</v>
      </c>
      <c r="L15043" s="45">
        <v>46015.583333333336</v>
      </c>
      <c r="M15043" s="46" t="s">
        <v>123</v>
      </c>
      <c r="N15043" s="45">
        <v>46015.625</v>
      </c>
      <c r="O15043" s="46" t="s">
        <v>123</v>
      </c>
      <c r="P15043" s="46">
        <v>3600.0</v>
      </c>
    </row>
    <row r="15044">
      <c r="A15044" s="40">
        <f t="shared" si="1"/>
        <v>46013</v>
      </c>
      <c r="B15044" s="37" t="str">
        <f t="array" ref="B15044">iferror(xlookup($I15044, 'IMPORT VHC Report'!$E:$E, 'IMPORT VHC Report'!$A:$C), )</f>
        <v/>
      </c>
      <c r="C15044" s="44"/>
      <c r="D15044" s="44"/>
      <c r="E15044" s="46" t="s">
        <v>11204</v>
      </c>
      <c r="F15044" s="46" t="s">
        <v>6646</v>
      </c>
      <c r="G15044" s="46">
        <v>9.795905227023E12</v>
      </c>
      <c r="H15044" s="46" t="s">
        <v>94</v>
      </c>
      <c r="I15044" s="46" t="s">
        <v>95</v>
      </c>
      <c r="J15044" s="46" t="s">
        <v>791</v>
      </c>
      <c r="K15044" s="46" t="s">
        <v>63</v>
      </c>
      <c r="L15044" s="45">
        <v>46016.25</v>
      </c>
      <c r="M15044" s="46" t="s">
        <v>123</v>
      </c>
      <c r="N15044" s="45">
        <v>46016.625</v>
      </c>
      <c r="O15044" s="46" t="s">
        <v>123</v>
      </c>
      <c r="P15044" s="46">
        <v>32400.0</v>
      </c>
    </row>
    <row r="15045">
      <c r="A15045" s="40">
        <f t="shared" si="1"/>
        <v>46013</v>
      </c>
      <c r="B15045" s="37" t="str">
        <f t="array" ref="B15045">iferror(xlookup($I15045, 'IMPORT VHC Report'!$E:$E, 'IMPORT VHC Report'!$A:$C), )</f>
        <v/>
      </c>
      <c r="C15045" s="44"/>
      <c r="D15045" s="44"/>
      <c r="E15045" s="46" t="s">
        <v>11205</v>
      </c>
      <c r="F15045" s="46" t="s">
        <v>6646</v>
      </c>
      <c r="G15045" s="46">
        <v>9.795905227023E12</v>
      </c>
      <c r="H15045" s="46" t="s">
        <v>94</v>
      </c>
      <c r="I15045" s="46" t="s">
        <v>95</v>
      </c>
      <c r="J15045" s="46" t="s">
        <v>134</v>
      </c>
      <c r="K15045" s="46" t="s">
        <v>126</v>
      </c>
      <c r="L15045" s="45">
        <v>46016.5625</v>
      </c>
      <c r="M15045" s="46" t="s">
        <v>123</v>
      </c>
      <c r="N15045" s="45">
        <v>46016.583333333336</v>
      </c>
      <c r="O15045" s="46" t="s">
        <v>123</v>
      </c>
      <c r="P15045" s="46">
        <v>1800.0</v>
      </c>
    </row>
    <row r="15046">
      <c r="A15046" s="40">
        <f t="shared" si="1"/>
        <v>46013</v>
      </c>
      <c r="B15046" s="37" t="str">
        <f t="array" ref="B15046">iferror(xlookup($I15046, 'IMPORT VHC Report'!$E:$E, 'IMPORT VHC Report'!$A:$C), )</f>
        <v/>
      </c>
      <c r="C15046" s="44"/>
      <c r="D15046" s="44"/>
      <c r="E15046" s="46" t="s">
        <v>11206</v>
      </c>
      <c r="F15046" s="46" t="s">
        <v>6646</v>
      </c>
      <c r="G15046" s="46">
        <v>9.795905227023E12</v>
      </c>
      <c r="H15046" s="46" t="s">
        <v>94</v>
      </c>
      <c r="I15046" s="46" t="s">
        <v>95</v>
      </c>
      <c r="J15046" s="46" t="s">
        <v>132</v>
      </c>
      <c r="K15046" s="46" t="s">
        <v>126</v>
      </c>
      <c r="L15046" s="45">
        <v>46016.583333333336</v>
      </c>
      <c r="M15046" s="46" t="s">
        <v>123</v>
      </c>
      <c r="N15046" s="45">
        <v>46016.625</v>
      </c>
      <c r="O15046" s="46" t="s">
        <v>123</v>
      </c>
      <c r="P15046" s="46">
        <v>3600.0</v>
      </c>
    </row>
    <row r="15047">
      <c r="A15047" s="40">
        <f t="shared" si="1"/>
        <v>46013</v>
      </c>
      <c r="B15047" s="37" t="str">
        <f t="array" ref="B15047">iferror(xlookup($I15047, 'IMPORT VHC Report'!$E:$E, 'IMPORT VHC Report'!$A:$C), )</f>
        <v/>
      </c>
      <c r="C15047" s="44"/>
      <c r="D15047" s="44"/>
      <c r="E15047" s="46" t="s">
        <v>11207</v>
      </c>
      <c r="F15047" s="46" t="s">
        <v>6646</v>
      </c>
      <c r="G15047" s="46">
        <v>9.795905227023E12</v>
      </c>
      <c r="H15047" s="46" t="s">
        <v>94</v>
      </c>
      <c r="I15047" s="46" t="s">
        <v>95</v>
      </c>
      <c r="J15047" s="46" t="s">
        <v>791</v>
      </c>
      <c r="K15047" s="46" t="s">
        <v>63</v>
      </c>
      <c r="L15047" s="45">
        <v>46017.25</v>
      </c>
      <c r="M15047" s="46" t="s">
        <v>123</v>
      </c>
      <c r="N15047" s="45">
        <v>46017.625</v>
      </c>
      <c r="O15047" s="46" t="s">
        <v>123</v>
      </c>
      <c r="P15047" s="46">
        <v>32400.0</v>
      </c>
    </row>
    <row r="15048">
      <c r="A15048" s="40">
        <f t="shared" si="1"/>
        <v>46013</v>
      </c>
      <c r="B15048" s="37" t="str">
        <f t="array" ref="B15048">iferror(xlookup($I15048, 'IMPORT VHC Report'!$E:$E, 'IMPORT VHC Report'!$A:$C), )</f>
        <v/>
      </c>
      <c r="C15048" s="44"/>
      <c r="D15048" s="44"/>
      <c r="E15048" s="46" t="s">
        <v>11208</v>
      </c>
      <c r="F15048" s="46" t="s">
        <v>6646</v>
      </c>
      <c r="G15048" s="46">
        <v>9.795905227023E12</v>
      </c>
      <c r="H15048" s="46" t="s">
        <v>94</v>
      </c>
      <c r="I15048" s="46" t="s">
        <v>95</v>
      </c>
      <c r="J15048" s="46" t="s">
        <v>134</v>
      </c>
      <c r="K15048" s="46" t="s">
        <v>126</v>
      </c>
      <c r="L15048" s="45">
        <v>46017.5625</v>
      </c>
      <c r="M15048" s="46" t="s">
        <v>123</v>
      </c>
      <c r="N15048" s="45">
        <v>46017.583333333336</v>
      </c>
      <c r="O15048" s="46" t="s">
        <v>123</v>
      </c>
      <c r="P15048" s="46">
        <v>1800.0</v>
      </c>
    </row>
    <row r="15049">
      <c r="A15049" s="40">
        <f t="shared" si="1"/>
        <v>46013</v>
      </c>
      <c r="B15049" s="37" t="str">
        <f t="array" ref="B15049">iferror(xlookup($I15049, 'IMPORT VHC Report'!$E:$E, 'IMPORT VHC Report'!$A:$C), )</f>
        <v/>
      </c>
      <c r="C15049" s="44"/>
      <c r="D15049" s="44"/>
      <c r="E15049" s="46" t="s">
        <v>11209</v>
      </c>
      <c r="F15049" s="46" t="s">
        <v>6646</v>
      </c>
      <c r="G15049" s="46">
        <v>9.795905227023E12</v>
      </c>
      <c r="H15049" s="46" t="s">
        <v>94</v>
      </c>
      <c r="I15049" s="46" t="s">
        <v>95</v>
      </c>
      <c r="J15049" s="46" t="s">
        <v>132</v>
      </c>
      <c r="K15049" s="46" t="s">
        <v>126</v>
      </c>
      <c r="L15049" s="45">
        <v>46017.583333333336</v>
      </c>
      <c r="M15049" s="46" t="s">
        <v>123</v>
      </c>
      <c r="N15049" s="45">
        <v>46017.625</v>
      </c>
      <c r="O15049" s="46" t="s">
        <v>123</v>
      </c>
      <c r="P15049" s="46">
        <v>3600.0</v>
      </c>
    </row>
    <row r="15050">
      <c r="A15050" s="40">
        <f t="shared" si="1"/>
        <v>46013</v>
      </c>
      <c r="B15050" s="37" t="str">
        <f t="array" ref="B15050">iferror(xlookup($I15050, 'IMPORT VHC Report'!$E:$E, 'IMPORT VHC Report'!$A:$C), )</f>
        <v/>
      </c>
      <c r="C15050" s="44"/>
      <c r="D15050" s="44"/>
      <c r="E15050" s="46" t="s">
        <v>11210</v>
      </c>
      <c r="F15050" s="46" t="s">
        <v>6646</v>
      </c>
      <c r="G15050" s="46">
        <v>9.795905227023E12</v>
      </c>
      <c r="H15050" s="46" t="s">
        <v>94</v>
      </c>
      <c r="I15050" s="46" t="s">
        <v>95</v>
      </c>
      <c r="J15050" s="46" t="s">
        <v>791</v>
      </c>
      <c r="K15050" s="46" t="s">
        <v>63</v>
      </c>
      <c r="L15050" s="45">
        <v>46018.25</v>
      </c>
      <c r="M15050" s="46" t="s">
        <v>123</v>
      </c>
      <c r="N15050" s="45">
        <v>46018.625</v>
      </c>
      <c r="O15050" s="46" t="s">
        <v>123</v>
      </c>
      <c r="P15050" s="46">
        <v>32400.0</v>
      </c>
    </row>
    <row r="15051">
      <c r="A15051" s="40">
        <f t="shared" si="1"/>
        <v>46013</v>
      </c>
      <c r="B15051" s="37" t="str">
        <f t="array" ref="B15051">iferror(xlookup($I15051, 'IMPORT VHC Report'!$E:$E, 'IMPORT VHC Report'!$A:$C), )</f>
        <v/>
      </c>
      <c r="C15051" s="44"/>
      <c r="D15051" s="44"/>
      <c r="E15051" s="46" t="s">
        <v>11211</v>
      </c>
      <c r="F15051" s="46" t="s">
        <v>6646</v>
      </c>
      <c r="G15051" s="46">
        <v>9.795905227023E12</v>
      </c>
      <c r="H15051" s="46" t="s">
        <v>94</v>
      </c>
      <c r="I15051" s="46" t="s">
        <v>95</v>
      </c>
      <c r="J15051" s="46" t="s">
        <v>134</v>
      </c>
      <c r="K15051" s="46" t="s">
        <v>126</v>
      </c>
      <c r="L15051" s="45">
        <v>46018.5625</v>
      </c>
      <c r="M15051" s="46" t="s">
        <v>123</v>
      </c>
      <c r="N15051" s="45">
        <v>46018.583333333336</v>
      </c>
      <c r="O15051" s="46" t="s">
        <v>123</v>
      </c>
      <c r="P15051" s="46">
        <v>1800.0</v>
      </c>
    </row>
    <row r="15052">
      <c r="A15052" s="40">
        <f t="shared" si="1"/>
        <v>46013</v>
      </c>
      <c r="B15052" s="37" t="str">
        <f t="array" ref="B15052">iferror(xlookup($I15052, 'IMPORT VHC Report'!$E:$E, 'IMPORT VHC Report'!$A:$C), )</f>
        <v/>
      </c>
      <c r="C15052" s="44"/>
      <c r="D15052" s="44"/>
      <c r="E15052" s="46" t="s">
        <v>11212</v>
      </c>
      <c r="F15052" s="46" t="s">
        <v>6646</v>
      </c>
      <c r="G15052" s="46">
        <v>9.795905227023E12</v>
      </c>
      <c r="H15052" s="46" t="s">
        <v>94</v>
      </c>
      <c r="I15052" s="46" t="s">
        <v>95</v>
      </c>
      <c r="J15052" s="46" t="s">
        <v>132</v>
      </c>
      <c r="K15052" s="46" t="s">
        <v>126</v>
      </c>
      <c r="L15052" s="45">
        <v>46018.583333333336</v>
      </c>
      <c r="M15052" s="46" t="s">
        <v>123</v>
      </c>
      <c r="N15052" s="45">
        <v>46018.625</v>
      </c>
      <c r="O15052" s="46" t="s">
        <v>123</v>
      </c>
      <c r="P15052" s="46">
        <v>3600.0</v>
      </c>
    </row>
    <row r="15053">
      <c r="A15053" s="40">
        <f t="shared" si="1"/>
        <v>46013</v>
      </c>
      <c r="B15053" s="37" t="str">
        <f t="array" ref="B15053">iferror(xlookup($I15053, 'IMPORT VHC Report'!$E:$E, 'IMPORT VHC Report'!$A:$C), )</f>
        <v/>
      </c>
      <c r="C15053" s="44"/>
      <c r="D15053" s="44"/>
      <c r="E15053" s="46" t="s">
        <v>11213</v>
      </c>
      <c r="F15053" s="46" t="s">
        <v>6669</v>
      </c>
      <c r="G15053" s="46">
        <v>5.359149433359E12</v>
      </c>
      <c r="H15053" s="46" t="s">
        <v>72</v>
      </c>
      <c r="I15053" s="46" t="s">
        <v>73</v>
      </c>
      <c r="J15053" s="46" t="s">
        <v>791</v>
      </c>
      <c r="K15053" s="46" t="s">
        <v>63</v>
      </c>
      <c r="L15053" s="45">
        <v>46014.25</v>
      </c>
      <c r="M15053" s="46" t="s">
        <v>123</v>
      </c>
      <c r="N15053" s="45">
        <v>46014.375</v>
      </c>
      <c r="O15053" s="46" t="s">
        <v>123</v>
      </c>
      <c r="P15053" s="46">
        <v>10800.0</v>
      </c>
    </row>
    <row r="15054">
      <c r="A15054" s="40">
        <f t="shared" si="1"/>
        <v>46013</v>
      </c>
      <c r="B15054" s="37" t="str">
        <f t="array" ref="B15054">iferror(xlookup($I15054, 'IMPORT VHC Report'!$E:$E, 'IMPORT VHC Report'!$A:$C), )</f>
        <v/>
      </c>
      <c r="C15054" s="44"/>
      <c r="D15054" s="44"/>
      <c r="E15054" s="46" t="s">
        <v>11214</v>
      </c>
      <c r="F15054" s="46" t="s">
        <v>6669</v>
      </c>
      <c r="G15054" s="46">
        <v>5.359149433359E12</v>
      </c>
      <c r="H15054" s="46" t="s">
        <v>72</v>
      </c>
      <c r="I15054" s="46" t="s">
        <v>73</v>
      </c>
      <c r="J15054" s="46" t="s">
        <v>330</v>
      </c>
      <c r="K15054" s="46" t="s">
        <v>126</v>
      </c>
      <c r="L15054" s="45">
        <v>46014.375</v>
      </c>
      <c r="M15054" s="46" t="s">
        <v>123</v>
      </c>
      <c r="N15054" s="45">
        <v>46014.40625</v>
      </c>
      <c r="O15054" s="46" t="s">
        <v>123</v>
      </c>
      <c r="P15054" s="46">
        <v>2700.0</v>
      </c>
    </row>
    <row r="15055">
      <c r="A15055" s="40">
        <f t="shared" si="1"/>
        <v>46013</v>
      </c>
      <c r="B15055" s="37" t="str">
        <f t="array" ref="B15055">iferror(xlookup($I15055, 'IMPORT VHC Report'!$E:$E, 'IMPORT VHC Report'!$A:$C), )</f>
        <v/>
      </c>
      <c r="C15055" s="44"/>
      <c r="D15055" s="44"/>
      <c r="E15055" s="46" t="s">
        <v>11215</v>
      </c>
      <c r="F15055" s="46" t="s">
        <v>6669</v>
      </c>
      <c r="G15055" s="46">
        <v>5.359149433359E12</v>
      </c>
      <c r="H15055" s="46" t="s">
        <v>72</v>
      </c>
      <c r="I15055" s="46" t="s">
        <v>73</v>
      </c>
      <c r="J15055" s="46" t="s">
        <v>791</v>
      </c>
      <c r="K15055" s="46" t="s">
        <v>63</v>
      </c>
      <c r="L15055" s="45">
        <v>46014.40625</v>
      </c>
      <c r="M15055" s="46" t="s">
        <v>123</v>
      </c>
      <c r="N15055" s="45">
        <v>46014.5625</v>
      </c>
      <c r="O15055" s="46" t="s">
        <v>123</v>
      </c>
      <c r="P15055" s="46">
        <v>13500.0</v>
      </c>
    </row>
    <row r="15056">
      <c r="A15056" s="40">
        <f t="shared" si="1"/>
        <v>46013</v>
      </c>
      <c r="B15056" s="37" t="str">
        <f t="array" ref="B15056">iferror(xlookup($I15056, 'IMPORT VHC Report'!$E:$E, 'IMPORT VHC Report'!$A:$C), )</f>
        <v/>
      </c>
      <c r="C15056" s="44"/>
      <c r="D15056" s="44"/>
      <c r="E15056" s="46" t="s">
        <v>11216</v>
      </c>
      <c r="F15056" s="46" t="s">
        <v>6669</v>
      </c>
      <c r="G15056" s="46">
        <v>5.359149433359E12</v>
      </c>
      <c r="H15056" s="46" t="s">
        <v>72</v>
      </c>
      <c r="I15056" s="46" t="s">
        <v>73</v>
      </c>
      <c r="J15056" s="46" t="s">
        <v>132</v>
      </c>
      <c r="K15056" s="46" t="s">
        <v>126</v>
      </c>
      <c r="L15056" s="45">
        <v>46014.5625</v>
      </c>
      <c r="M15056" s="46" t="s">
        <v>123</v>
      </c>
      <c r="N15056" s="45">
        <v>46014.604166666664</v>
      </c>
      <c r="O15056" s="46" t="s">
        <v>123</v>
      </c>
      <c r="P15056" s="46">
        <v>3600.0</v>
      </c>
    </row>
    <row r="15057">
      <c r="A15057" s="40">
        <f t="shared" si="1"/>
        <v>46013</v>
      </c>
      <c r="B15057" s="37" t="str">
        <f t="array" ref="B15057">iferror(xlookup($I15057, 'IMPORT VHC Report'!$E:$E, 'IMPORT VHC Report'!$A:$C), )</f>
        <v/>
      </c>
      <c r="C15057" s="44"/>
      <c r="D15057" s="44"/>
      <c r="E15057" s="46" t="s">
        <v>11217</v>
      </c>
      <c r="F15057" s="46" t="s">
        <v>6669</v>
      </c>
      <c r="G15057" s="46">
        <v>5.359149433359E12</v>
      </c>
      <c r="H15057" s="46" t="s">
        <v>72</v>
      </c>
      <c r="I15057" s="46" t="s">
        <v>73</v>
      </c>
      <c r="J15057" s="46" t="s">
        <v>134</v>
      </c>
      <c r="K15057" s="46" t="s">
        <v>126</v>
      </c>
      <c r="L15057" s="45">
        <v>46014.604166666664</v>
      </c>
      <c r="M15057" s="46" t="s">
        <v>123</v>
      </c>
      <c r="N15057" s="45">
        <v>46014.625</v>
      </c>
      <c r="O15057" s="46" t="s">
        <v>123</v>
      </c>
      <c r="P15057" s="46">
        <v>1800.0</v>
      </c>
    </row>
    <row r="15058">
      <c r="A15058" s="40">
        <f t="shared" si="1"/>
        <v>46013</v>
      </c>
      <c r="B15058" s="37" t="str">
        <f t="array" ref="B15058">iferror(xlookup($I15058, 'IMPORT VHC Report'!$E:$E, 'IMPORT VHC Report'!$A:$C), )</f>
        <v/>
      </c>
      <c r="C15058" s="44"/>
      <c r="D15058" s="44"/>
      <c r="E15058" s="46" t="s">
        <v>11218</v>
      </c>
      <c r="F15058" s="46" t="s">
        <v>6669</v>
      </c>
      <c r="G15058" s="46">
        <v>5.359149433359E12</v>
      </c>
      <c r="H15058" s="46" t="s">
        <v>72</v>
      </c>
      <c r="I15058" s="46" t="s">
        <v>73</v>
      </c>
      <c r="J15058" s="46" t="s">
        <v>62</v>
      </c>
      <c r="K15058" s="46" t="s">
        <v>63</v>
      </c>
      <c r="L15058" s="45">
        <v>46015.25</v>
      </c>
      <c r="M15058" s="46" t="s">
        <v>123</v>
      </c>
      <c r="N15058" s="45">
        <v>46015.458333333336</v>
      </c>
      <c r="O15058" s="46" t="s">
        <v>123</v>
      </c>
      <c r="P15058" s="46">
        <v>18000.0</v>
      </c>
    </row>
    <row r="15059">
      <c r="A15059" s="40">
        <f t="shared" si="1"/>
        <v>46013</v>
      </c>
      <c r="B15059" s="37" t="str">
        <f t="array" ref="B15059">iferror(xlookup($I15059, 'IMPORT VHC Report'!$E:$E, 'IMPORT VHC Report'!$A:$C), )</f>
        <v/>
      </c>
      <c r="C15059" s="44"/>
      <c r="D15059" s="44"/>
      <c r="E15059" s="46" t="s">
        <v>11219</v>
      </c>
      <c r="F15059" s="46" t="s">
        <v>6669</v>
      </c>
      <c r="G15059" s="46">
        <v>5.359149433359E12</v>
      </c>
      <c r="H15059" s="46" t="s">
        <v>72</v>
      </c>
      <c r="I15059" s="46" t="s">
        <v>73</v>
      </c>
      <c r="J15059" s="46" t="s">
        <v>136</v>
      </c>
      <c r="K15059" s="46" t="s">
        <v>126</v>
      </c>
      <c r="L15059" s="45">
        <v>46015.416666666664</v>
      </c>
      <c r="M15059" s="46" t="s">
        <v>123</v>
      </c>
      <c r="N15059" s="45">
        <v>46015.458333333336</v>
      </c>
      <c r="O15059" s="46" t="s">
        <v>123</v>
      </c>
      <c r="P15059" s="46">
        <v>3600.0</v>
      </c>
      <c r="S15059" s="46" t="s">
        <v>11039</v>
      </c>
    </row>
    <row r="15060">
      <c r="A15060" s="40">
        <f t="shared" si="1"/>
        <v>46013</v>
      </c>
      <c r="B15060" s="37" t="str">
        <f t="array" ref="B15060">iferror(xlookup($I15060, 'IMPORT VHC Report'!$E:$E, 'IMPORT VHC Report'!$A:$C), )</f>
        <v/>
      </c>
      <c r="C15060" s="44"/>
      <c r="D15060" s="44"/>
      <c r="E15060" s="46" t="s">
        <v>11220</v>
      </c>
      <c r="F15060" s="46" t="s">
        <v>6669</v>
      </c>
      <c r="G15060" s="46">
        <v>5.359149433359E12</v>
      </c>
      <c r="H15060" s="46" t="s">
        <v>72</v>
      </c>
      <c r="I15060" s="46" t="s">
        <v>73</v>
      </c>
      <c r="J15060" s="46" t="s">
        <v>791</v>
      </c>
      <c r="K15060" s="46" t="s">
        <v>63</v>
      </c>
      <c r="L15060" s="45">
        <v>46015.458333333336</v>
      </c>
      <c r="M15060" s="46" t="s">
        <v>123</v>
      </c>
      <c r="N15060" s="45">
        <v>46015.625</v>
      </c>
      <c r="O15060" s="46" t="s">
        <v>123</v>
      </c>
      <c r="P15060" s="46">
        <v>14400.0</v>
      </c>
    </row>
    <row r="15061">
      <c r="A15061" s="40">
        <f t="shared" si="1"/>
        <v>46013</v>
      </c>
      <c r="B15061" s="37" t="str">
        <f t="array" ref="B15061">iferror(xlookup($I15061, 'IMPORT VHC Report'!$E:$E, 'IMPORT VHC Report'!$A:$C), )</f>
        <v/>
      </c>
      <c r="C15061" s="44"/>
      <c r="D15061" s="44"/>
      <c r="E15061" s="46" t="s">
        <v>11221</v>
      </c>
      <c r="F15061" s="46" t="s">
        <v>6669</v>
      </c>
      <c r="G15061" s="46">
        <v>5.359149433359E12</v>
      </c>
      <c r="H15061" s="46" t="s">
        <v>72</v>
      </c>
      <c r="I15061" s="46" t="s">
        <v>73</v>
      </c>
      <c r="J15061" s="46" t="s">
        <v>132</v>
      </c>
      <c r="K15061" s="46" t="s">
        <v>126</v>
      </c>
      <c r="L15061" s="45">
        <v>46015.5625</v>
      </c>
      <c r="M15061" s="46" t="s">
        <v>123</v>
      </c>
      <c r="N15061" s="45">
        <v>46015.604166666664</v>
      </c>
      <c r="O15061" s="46" t="s">
        <v>123</v>
      </c>
      <c r="P15061" s="46">
        <v>3600.0</v>
      </c>
    </row>
    <row r="15062">
      <c r="A15062" s="40">
        <f t="shared" si="1"/>
        <v>46013</v>
      </c>
      <c r="B15062" s="37" t="str">
        <f t="array" ref="B15062">iferror(xlookup($I15062, 'IMPORT VHC Report'!$E:$E, 'IMPORT VHC Report'!$A:$C), )</f>
        <v/>
      </c>
      <c r="C15062" s="44"/>
      <c r="D15062" s="44"/>
      <c r="E15062" s="46" t="s">
        <v>11222</v>
      </c>
      <c r="F15062" s="46" t="s">
        <v>6669</v>
      </c>
      <c r="G15062" s="46">
        <v>5.359149433359E12</v>
      </c>
      <c r="H15062" s="46" t="s">
        <v>72</v>
      </c>
      <c r="I15062" s="46" t="s">
        <v>73</v>
      </c>
      <c r="J15062" s="46" t="s">
        <v>134</v>
      </c>
      <c r="K15062" s="46" t="s">
        <v>126</v>
      </c>
      <c r="L15062" s="45">
        <v>46015.604166666664</v>
      </c>
      <c r="M15062" s="46" t="s">
        <v>123</v>
      </c>
      <c r="N15062" s="45">
        <v>46015.625</v>
      </c>
      <c r="O15062" s="46" t="s">
        <v>123</v>
      </c>
      <c r="P15062" s="46">
        <v>1800.0</v>
      </c>
    </row>
    <row r="15063">
      <c r="A15063" s="40">
        <f t="shared" si="1"/>
        <v>46013</v>
      </c>
      <c r="B15063" s="37" t="str">
        <f t="array" ref="B15063">iferror(xlookup($I15063, 'IMPORT VHC Report'!$E:$E, 'IMPORT VHC Report'!$A:$C), )</f>
        <v/>
      </c>
      <c r="C15063" s="44"/>
      <c r="D15063" s="44"/>
      <c r="E15063" s="46" t="s">
        <v>11223</v>
      </c>
      <c r="F15063" s="46" t="s">
        <v>6669</v>
      </c>
      <c r="G15063" s="46">
        <v>5.359149433359E12</v>
      </c>
      <c r="H15063" s="46" t="s">
        <v>72</v>
      </c>
      <c r="I15063" s="46" t="s">
        <v>73</v>
      </c>
      <c r="J15063" s="46" t="s">
        <v>791</v>
      </c>
      <c r="K15063" s="46" t="s">
        <v>63</v>
      </c>
      <c r="L15063" s="45">
        <v>46016.25</v>
      </c>
      <c r="M15063" s="46" t="s">
        <v>123</v>
      </c>
      <c r="N15063" s="45">
        <v>46016.541666666664</v>
      </c>
      <c r="O15063" s="46" t="s">
        <v>123</v>
      </c>
      <c r="P15063" s="46">
        <v>25200.0</v>
      </c>
    </row>
    <row r="15064">
      <c r="A15064" s="40">
        <f t="shared" si="1"/>
        <v>46013</v>
      </c>
      <c r="B15064" s="37" t="str">
        <f t="array" ref="B15064">iferror(xlookup($I15064, 'IMPORT VHC Report'!$E:$E, 'IMPORT VHC Report'!$A:$C), )</f>
        <v/>
      </c>
      <c r="C15064" s="44"/>
      <c r="D15064" s="44"/>
      <c r="E15064" s="46" t="s">
        <v>11224</v>
      </c>
      <c r="F15064" s="46" t="s">
        <v>6669</v>
      </c>
      <c r="G15064" s="46">
        <v>5.359149433359E12</v>
      </c>
      <c r="H15064" s="46" t="s">
        <v>72</v>
      </c>
      <c r="I15064" s="46" t="s">
        <v>73</v>
      </c>
      <c r="J15064" s="46" t="s">
        <v>134</v>
      </c>
      <c r="K15064" s="46" t="s">
        <v>126</v>
      </c>
      <c r="L15064" s="45">
        <v>46016.541666666664</v>
      </c>
      <c r="M15064" s="46" t="s">
        <v>123</v>
      </c>
      <c r="N15064" s="45">
        <v>46016.5625</v>
      </c>
      <c r="O15064" s="46" t="s">
        <v>123</v>
      </c>
      <c r="P15064" s="46">
        <v>1800.0</v>
      </c>
    </row>
    <row r="15065">
      <c r="A15065" s="40">
        <f t="shared" si="1"/>
        <v>46013</v>
      </c>
      <c r="B15065" s="37" t="str">
        <f t="array" ref="B15065">iferror(xlookup($I15065, 'IMPORT VHC Report'!$E:$E, 'IMPORT VHC Report'!$A:$C), )</f>
        <v/>
      </c>
      <c r="C15065" s="44"/>
      <c r="D15065" s="44"/>
      <c r="E15065" s="46" t="s">
        <v>11225</v>
      </c>
      <c r="F15065" s="46" t="s">
        <v>6669</v>
      </c>
      <c r="G15065" s="46">
        <v>5.359149433359E12</v>
      </c>
      <c r="H15065" s="46" t="s">
        <v>72</v>
      </c>
      <c r="I15065" s="46" t="s">
        <v>73</v>
      </c>
      <c r="J15065" s="46" t="s">
        <v>791</v>
      </c>
      <c r="K15065" s="46" t="s">
        <v>63</v>
      </c>
      <c r="L15065" s="45">
        <v>46016.5625</v>
      </c>
      <c r="M15065" s="46" t="s">
        <v>123</v>
      </c>
      <c r="N15065" s="45">
        <v>46016.583333333336</v>
      </c>
      <c r="O15065" s="46" t="s">
        <v>123</v>
      </c>
      <c r="P15065" s="46">
        <v>1800.0</v>
      </c>
    </row>
    <row r="15066">
      <c r="A15066" s="40">
        <f t="shared" si="1"/>
        <v>46013</v>
      </c>
      <c r="B15066" s="37" t="str">
        <f t="array" ref="B15066">iferror(xlookup($I15066, 'IMPORT VHC Report'!$E:$E, 'IMPORT VHC Report'!$A:$C), )</f>
        <v/>
      </c>
      <c r="C15066" s="44"/>
      <c r="D15066" s="44"/>
      <c r="E15066" s="46" t="s">
        <v>11226</v>
      </c>
      <c r="F15066" s="46" t="s">
        <v>6669</v>
      </c>
      <c r="G15066" s="46">
        <v>5.359149433359E12</v>
      </c>
      <c r="H15066" s="46" t="s">
        <v>72</v>
      </c>
      <c r="I15066" s="46" t="s">
        <v>73</v>
      </c>
      <c r="J15066" s="46" t="s">
        <v>132</v>
      </c>
      <c r="K15066" s="46" t="s">
        <v>126</v>
      </c>
      <c r="L15066" s="45">
        <v>46016.583333333336</v>
      </c>
      <c r="M15066" s="46" t="s">
        <v>123</v>
      </c>
      <c r="N15066" s="45">
        <v>46016.625</v>
      </c>
      <c r="O15066" s="46" t="s">
        <v>123</v>
      </c>
      <c r="P15066" s="46">
        <v>3600.0</v>
      </c>
    </row>
    <row r="15067">
      <c r="A15067" s="40">
        <f t="shared" si="1"/>
        <v>46013</v>
      </c>
      <c r="B15067" s="37" t="str">
        <f t="array" ref="B15067">iferror(xlookup($I15067, 'IMPORT VHC Report'!$E:$E, 'IMPORT VHC Report'!$A:$C), )</f>
        <v/>
      </c>
      <c r="C15067" s="44"/>
      <c r="D15067" s="44"/>
      <c r="E15067" s="46" t="s">
        <v>11227</v>
      </c>
      <c r="F15067" s="46" t="s">
        <v>6669</v>
      </c>
      <c r="G15067" s="46">
        <v>5.359149433359E12</v>
      </c>
      <c r="H15067" s="46" t="s">
        <v>72</v>
      </c>
      <c r="I15067" s="46" t="s">
        <v>73</v>
      </c>
      <c r="J15067" s="46" t="s">
        <v>791</v>
      </c>
      <c r="K15067" s="46" t="s">
        <v>63</v>
      </c>
      <c r="L15067" s="45">
        <v>46017.25</v>
      </c>
      <c r="M15067" s="46" t="s">
        <v>123</v>
      </c>
      <c r="N15067" s="45">
        <v>46017.625</v>
      </c>
      <c r="O15067" s="46" t="s">
        <v>123</v>
      </c>
      <c r="P15067" s="46">
        <v>32400.0</v>
      </c>
    </row>
    <row r="15068">
      <c r="A15068" s="40">
        <f t="shared" si="1"/>
        <v>46013</v>
      </c>
      <c r="B15068" s="37" t="str">
        <f t="array" ref="B15068">iferror(xlookup($I15068, 'IMPORT VHC Report'!$E:$E, 'IMPORT VHC Report'!$A:$C), )</f>
        <v/>
      </c>
      <c r="C15068" s="44"/>
      <c r="D15068" s="44"/>
      <c r="E15068" s="46" t="s">
        <v>11228</v>
      </c>
      <c r="F15068" s="46" t="s">
        <v>6669</v>
      </c>
      <c r="G15068" s="46">
        <v>5.359149433359E12</v>
      </c>
      <c r="H15068" s="46" t="s">
        <v>72</v>
      </c>
      <c r="I15068" s="46" t="s">
        <v>73</v>
      </c>
      <c r="J15068" s="46" t="s">
        <v>132</v>
      </c>
      <c r="K15068" s="46" t="s">
        <v>126</v>
      </c>
      <c r="L15068" s="45">
        <v>46017.5625</v>
      </c>
      <c r="M15068" s="46" t="s">
        <v>123</v>
      </c>
      <c r="N15068" s="45">
        <v>46017.604166666664</v>
      </c>
      <c r="O15068" s="46" t="s">
        <v>123</v>
      </c>
      <c r="P15068" s="46">
        <v>3600.0</v>
      </c>
    </row>
    <row r="15069">
      <c r="A15069" s="40">
        <f t="shared" si="1"/>
        <v>46013</v>
      </c>
      <c r="B15069" s="37" t="str">
        <f t="array" ref="B15069">iferror(xlookup($I15069, 'IMPORT VHC Report'!$E:$E, 'IMPORT VHC Report'!$A:$C), )</f>
        <v/>
      </c>
      <c r="C15069" s="44"/>
      <c r="D15069" s="44"/>
      <c r="E15069" s="46" t="s">
        <v>11229</v>
      </c>
      <c r="F15069" s="46" t="s">
        <v>6669</v>
      </c>
      <c r="G15069" s="46">
        <v>5.359149433359E12</v>
      </c>
      <c r="H15069" s="46" t="s">
        <v>72</v>
      </c>
      <c r="I15069" s="46" t="s">
        <v>73</v>
      </c>
      <c r="J15069" s="46" t="s">
        <v>134</v>
      </c>
      <c r="K15069" s="46" t="s">
        <v>126</v>
      </c>
      <c r="L15069" s="45">
        <v>46017.604166666664</v>
      </c>
      <c r="M15069" s="46" t="s">
        <v>123</v>
      </c>
      <c r="N15069" s="45">
        <v>46017.625</v>
      </c>
      <c r="O15069" s="46" t="s">
        <v>123</v>
      </c>
      <c r="P15069" s="46">
        <v>1800.0</v>
      </c>
    </row>
    <row r="15070">
      <c r="A15070" s="40">
        <f t="shared" si="1"/>
        <v>46013</v>
      </c>
      <c r="B15070" s="37" t="str">
        <f t="array" ref="B15070">iferror(xlookup($I15070, 'IMPORT VHC Report'!$E:$E, 'IMPORT VHC Report'!$A:$C), )</f>
        <v/>
      </c>
      <c r="C15070" s="44"/>
      <c r="D15070" s="44"/>
      <c r="E15070" s="46" t="s">
        <v>11230</v>
      </c>
      <c r="F15070" s="46" t="s">
        <v>6669</v>
      </c>
      <c r="G15070" s="46">
        <v>5.359149433359E12</v>
      </c>
      <c r="H15070" s="46" t="s">
        <v>72</v>
      </c>
      <c r="I15070" s="46" t="s">
        <v>73</v>
      </c>
      <c r="J15070" s="46" t="s">
        <v>178</v>
      </c>
      <c r="K15070" s="46" t="s">
        <v>153</v>
      </c>
      <c r="L15070" s="45">
        <v>46018.25</v>
      </c>
      <c r="M15070" s="46" t="s">
        <v>123</v>
      </c>
      <c r="N15070" s="45">
        <v>46018.625</v>
      </c>
      <c r="O15070" s="46" t="s">
        <v>123</v>
      </c>
      <c r="P15070" s="46">
        <v>32400.0</v>
      </c>
      <c r="Q15070" s="46">
        <v>28800.0</v>
      </c>
    </row>
    <row r="15071">
      <c r="A15071" s="40">
        <f t="shared" si="1"/>
        <v>46013</v>
      </c>
      <c r="B15071" s="37" t="str">
        <f t="array" ref="B15071">iferror(xlookup($I15071, 'IMPORT VHC Report'!$E:$E, 'IMPORT VHC Report'!$A:$C), )</f>
        <v/>
      </c>
      <c r="C15071" s="44"/>
      <c r="D15071" s="44"/>
      <c r="E15071" s="46" t="s">
        <v>11231</v>
      </c>
      <c r="F15071" s="46" t="s">
        <v>6669</v>
      </c>
      <c r="G15071" s="46">
        <v>5.359149433359E12</v>
      </c>
      <c r="H15071" s="46" t="s">
        <v>72</v>
      </c>
      <c r="I15071" s="46" t="s">
        <v>73</v>
      </c>
      <c r="J15071" s="46" t="s">
        <v>791</v>
      </c>
      <c r="K15071" s="46" t="s">
        <v>63</v>
      </c>
      <c r="L15071" s="45">
        <v>46018.25</v>
      </c>
      <c r="M15071" s="46" t="s">
        <v>123</v>
      </c>
      <c r="N15071" s="45">
        <v>46018.625</v>
      </c>
      <c r="O15071" s="46" t="s">
        <v>123</v>
      </c>
      <c r="P15071" s="46">
        <v>32400.0</v>
      </c>
    </row>
    <row r="15072">
      <c r="A15072" s="40">
        <f t="shared" si="1"/>
        <v>46013</v>
      </c>
      <c r="B15072" s="37" t="str">
        <f t="array" ref="B15072">iferror(xlookup($I15072, 'IMPORT VHC Report'!$E:$E, 'IMPORT VHC Report'!$A:$C), )</f>
        <v/>
      </c>
      <c r="C15072" s="44"/>
      <c r="D15072" s="44"/>
      <c r="E15072" s="46" t="s">
        <v>11232</v>
      </c>
      <c r="F15072" s="46" t="s">
        <v>6669</v>
      </c>
      <c r="G15072" s="46">
        <v>5.359149433359E12</v>
      </c>
      <c r="H15072" s="46" t="s">
        <v>72</v>
      </c>
      <c r="I15072" s="46" t="s">
        <v>73</v>
      </c>
      <c r="J15072" s="46" t="s">
        <v>132</v>
      </c>
      <c r="K15072" s="46" t="s">
        <v>126</v>
      </c>
      <c r="L15072" s="45">
        <v>46018.5</v>
      </c>
      <c r="M15072" s="46" t="s">
        <v>123</v>
      </c>
      <c r="N15072" s="45">
        <v>46018.541666666664</v>
      </c>
      <c r="O15072" s="46" t="s">
        <v>123</v>
      </c>
      <c r="P15072" s="46">
        <v>3600.0</v>
      </c>
    </row>
    <row r="15073">
      <c r="A15073" s="40">
        <f t="shared" si="1"/>
        <v>46013</v>
      </c>
      <c r="B15073" s="37" t="str">
        <f t="array" ref="B15073">iferror(xlookup($I15073, 'IMPORT VHC Report'!$E:$E, 'IMPORT VHC Report'!$A:$C), )</f>
        <v/>
      </c>
      <c r="C15073" s="44"/>
      <c r="D15073" s="44"/>
      <c r="E15073" s="46" t="s">
        <v>11233</v>
      </c>
      <c r="F15073" s="46" t="s">
        <v>6669</v>
      </c>
      <c r="G15073" s="46">
        <v>5.359149433359E12</v>
      </c>
      <c r="H15073" s="46" t="s">
        <v>72</v>
      </c>
      <c r="I15073" s="46" t="s">
        <v>73</v>
      </c>
      <c r="J15073" s="46" t="s">
        <v>134</v>
      </c>
      <c r="K15073" s="46" t="s">
        <v>126</v>
      </c>
      <c r="L15073" s="45">
        <v>46018.541666666664</v>
      </c>
      <c r="M15073" s="46" t="s">
        <v>123</v>
      </c>
      <c r="N15073" s="45">
        <v>46018.5625</v>
      </c>
      <c r="O15073" s="46" t="s">
        <v>123</v>
      </c>
      <c r="P15073" s="46">
        <v>1800.0</v>
      </c>
    </row>
    <row r="15074">
      <c r="A15074" s="40">
        <f t="shared" si="1"/>
        <v>46013</v>
      </c>
      <c r="B15074" s="37" t="str">
        <f t="array" ref="B15074">iferror(xlookup($I15074, 'IMPORT VHC Report'!$E:$E, 'IMPORT VHC Report'!$A:$C), )</f>
        <v/>
      </c>
      <c r="C15074" s="44"/>
      <c r="D15074" s="44"/>
      <c r="E15074" s="46" t="s">
        <v>11234</v>
      </c>
      <c r="F15074" s="46" t="s">
        <v>6730</v>
      </c>
      <c r="G15074" s="46">
        <v>3.61694652335E11</v>
      </c>
      <c r="H15074" s="46" t="s">
        <v>77</v>
      </c>
      <c r="I15074" s="46" t="s">
        <v>78</v>
      </c>
      <c r="J15074" s="46" t="s">
        <v>791</v>
      </c>
      <c r="K15074" s="46" t="s">
        <v>63</v>
      </c>
      <c r="L15074" s="45">
        <v>46014.25</v>
      </c>
      <c r="M15074" s="46" t="s">
        <v>123</v>
      </c>
      <c r="N15074" s="45">
        <v>46014.625</v>
      </c>
      <c r="O15074" s="46" t="s">
        <v>123</v>
      </c>
      <c r="P15074" s="46">
        <v>32400.0</v>
      </c>
    </row>
    <row r="15075">
      <c r="A15075" s="40">
        <f t="shared" si="1"/>
        <v>46013</v>
      </c>
      <c r="B15075" s="37" t="str">
        <f t="array" ref="B15075">iferror(xlookup($I15075, 'IMPORT VHC Report'!$E:$E, 'IMPORT VHC Report'!$A:$C), )</f>
        <v/>
      </c>
      <c r="C15075" s="44"/>
      <c r="D15075" s="44"/>
      <c r="E15075" s="46" t="s">
        <v>11235</v>
      </c>
      <c r="F15075" s="46" t="s">
        <v>6730</v>
      </c>
      <c r="G15075" s="46">
        <v>3.61694652335E11</v>
      </c>
      <c r="H15075" s="46" t="s">
        <v>77</v>
      </c>
      <c r="I15075" s="46" t="s">
        <v>78</v>
      </c>
      <c r="J15075" s="46" t="s">
        <v>330</v>
      </c>
      <c r="K15075" s="46" t="s">
        <v>126</v>
      </c>
      <c r="L15075" s="45">
        <v>46014.416666666664</v>
      </c>
      <c r="M15075" s="46" t="s">
        <v>123</v>
      </c>
      <c r="N15075" s="45">
        <v>46014.447916666664</v>
      </c>
      <c r="O15075" s="46" t="s">
        <v>123</v>
      </c>
      <c r="P15075" s="46">
        <v>2700.0</v>
      </c>
    </row>
    <row r="15076">
      <c r="A15076" s="40">
        <f t="shared" si="1"/>
        <v>46013</v>
      </c>
      <c r="B15076" s="37" t="str">
        <f t="array" ref="B15076">iferror(xlookup($I15076, 'IMPORT VHC Report'!$E:$E, 'IMPORT VHC Report'!$A:$C), )</f>
        <v/>
      </c>
      <c r="C15076" s="44"/>
      <c r="D15076" s="44"/>
      <c r="E15076" s="46" t="s">
        <v>11236</v>
      </c>
      <c r="F15076" s="46" t="s">
        <v>6730</v>
      </c>
      <c r="G15076" s="46">
        <v>3.61694652335E11</v>
      </c>
      <c r="H15076" s="46" t="s">
        <v>77</v>
      </c>
      <c r="I15076" s="46" t="s">
        <v>78</v>
      </c>
      <c r="J15076" s="46" t="s">
        <v>132</v>
      </c>
      <c r="K15076" s="46" t="s">
        <v>126</v>
      </c>
      <c r="L15076" s="45">
        <v>46014.5</v>
      </c>
      <c r="M15076" s="46" t="s">
        <v>123</v>
      </c>
      <c r="N15076" s="45">
        <v>46014.541666666664</v>
      </c>
      <c r="O15076" s="46" t="s">
        <v>123</v>
      </c>
      <c r="P15076" s="46">
        <v>3600.0</v>
      </c>
    </row>
    <row r="15077">
      <c r="A15077" s="40">
        <f t="shared" si="1"/>
        <v>46013</v>
      </c>
      <c r="B15077" s="37" t="str">
        <f t="array" ref="B15077">iferror(xlookup($I15077, 'IMPORT VHC Report'!$E:$E, 'IMPORT VHC Report'!$A:$C), )</f>
        <v/>
      </c>
      <c r="C15077" s="44"/>
      <c r="D15077" s="44"/>
      <c r="E15077" s="46" t="s">
        <v>11237</v>
      </c>
      <c r="F15077" s="46" t="s">
        <v>6730</v>
      </c>
      <c r="G15077" s="46">
        <v>3.61694652335E11</v>
      </c>
      <c r="H15077" s="46" t="s">
        <v>77</v>
      </c>
      <c r="I15077" s="46" t="s">
        <v>78</v>
      </c>
      <c r="J15077" s="46" t="s">
        <v>134</v>
      </c>
      <c r="K15077" s="46" t="s">
        <v>126</v>
      </c>
      <c r="L15077" s="45">
        <v>46014.541666666664</v>
      </c>
      <c r="M15077" s="46" t="s">
        <v>123</v>
      </c>
      <c r="N15077" s="45">
        <v>46014.5625</v>
      </c>
      <c r="O15077" s="46" t="s">
        <v>123</v>
      </c>
      <c r="P15077" s="46">
        <v>1800.0</v>
      </c>
    </row>
    <row r="15078">
      <c r="A15078" s="40">
        <f t="shared" si="1"/>
        <v>46013</v>
      </c>
      <c r="B15078" s="37" t="str">
        <f t="array" ref="B15078">iferror(xlookup($I15078, 'IMPORT VHC Report'!$E:$E, 'IMPORT VHC Report'!$A:$C), )</f>
        <v/>
      </c>
      <c r="C15078" s="44"/>
      <c r="D15078" s="44"/>
      <c r="E15078" s="46" t="s">
        <v>11238</v>
      </c>
      <c r="F15078" s="46" t="s">
        <v>6730</v>
      </c>
      <c r="G15078" s="46">
        <v>3.61694652335E11</v>
      </c>
      <c r="H15078" s="46" t="s">
        <v>77</v>
      </c>
      <c r="I15078" s="46" t="s">
        <v>78</v>
      </c>
      <c r="J15078" s="46" t="s">
        <v>62</v>
      </c>
      <c r="K15078" s="46" t="s">
        <v>63</v>
      </c>
      <c r="L15078" s="45">
        <v>46015.25</v>
      </c>
      <c r="M15078" s="46" t="s">
        <v>123</v>
      </c>
      <c r="N15078" s="45">
        <v>46015.458333333336</v>
      </c>
      <c r="O15078" s="46" t="s">
        <v>123</v>
      </c>
      <c r="P15078" s="46">
        <v>18000.0</v>
      </c>
    </row>
    <row r="15079">
      <c r="A15079" s="40">
        <f t="shared" si="1"/>
        <v>46013</v>
      </c>
      <c r="B15079" s="37" t="str">
        <f t="array" ref="B15079">iferror(xlookup($I15079, 'IMPORT VHC Report'!$E:$E, 'IMPORT VHC Report'!$A:$C), )</f>
        <v/>
      </c>
      <c r="C15079" s="44"/>
      <c r="D15079" s="44"/>
      <c r="E15079" s="46" t="s">
        <v>11239</v>
      </c>
      <c r="F15079" s="46" t="s">
        <v>6730</v>
      </c>
      <c r="G15079" s="46">
        <v>3.61694652335E11</v>
      </c>
      <c r="H15079" s="46" t="s">
        <v>77</v>
      </c>
      <c r="I15079" s="46" t="s">
        <v>78</v>
      </c>
      <c r="J15079" s="46" t="s">
        <v>178</v>
      </c>
      <c r="K15079" s="46" t="s">
        <v>153</v>
      </c>
      <c r="L15079" s="45">
        <v>46015.25</v>
      </c>
      <c r="M15079" s="46" t="s">
        <v>123</v>
      </c>
      <c r="N15079" s="45">
        <v>46015.625</v>
      </c>
      <c r="O15079" s="46" t="s">
        <v>123</v>
      </c>
      <c r="P15079" s="46">
        <v>32400.0</v>
      </c>
      <c r="Q15079" s="46">
        <v>28800.0</v>
      </c>
      <c r="R15079" s="46" t="s">
        <v>11240</v>
      </c>
    </row>
    <row r="15080">
      <c r="A15080" s="40">
        <f t="shared" si="1"/>
        <v>46013</v>
      </c>
      <c r="B15080" s="37" t="str">
        <f t="array" ref="B15080">iferror(xlookup($I15080, 'IMPORT VHC Report'!$E:$E, 'IMPORT VHC Report'!$A:$C), )</f>
        <v/>
      </c>
      <c r="C15080" s="44"/>
      <c r="D15080" s="44"/>
      <c r="E15080" s="46" t="s">
        <v>11241</v>
      </c>
      <c r="F15080" s="46" t="s">
        <v>6730</v>
      </c>
      <c r="G15080" s="46">
        <v>3.61694652335E11</v>
      </c>
      <c r="H15080" s="46" t="s">
        <v>77</v>
      </c>
      <c r="I15080" s="46" t="s">
        <v>78</v>
      </c>
      <c r="J15080" s="46" t="s">
        <v>136</v>
      </c>
      <c r="K15080" s="46" t="s">
        <v>126</v>
      </c>
      <c r="L15080" s="45">
        <v>46015.416666666664</v>
      </c>
      <c r="M15080" s="46" t="s">
        <v>123</v>
      </c>
      <c r="N15080" s="45">
        <v>46015.458333333336</v>
      </c>
      <c r="O15080" s="46" t="s">
        <v>123</v>
      </c>
      <c r="P15080" s="46">
        <v>3600.0</v>
      </c>
      <c r="S15080" s="46" t="s">
        <v>11039</v>
      </c>
    </row>
    <row r="15081">
      <c r="A15081" s="40">
        <f t="shared" si="1"/>
        <v>46013</v>
      </c>
      <c r="B15081" s="37" t="str">
        <f t="array" ref="B15081">iferror(xlookup($I15081, 'IMPORT VHC Report'!$E:$E, 'IMPORT VHC Report'!$A:$C), )</f>
        <v/>
      </c>
      <c r="C15081" s="44"/>
      <c r="D15081" s="44"/>
      <c r="E15081" s="46" t="s">
        <v>11242</v>
      </c>
      <c r="F15081" s="46" t="s">
        <v>6730</v>
      </c>
      <c r="G15081" s="46">
        <v>3.61694652335E11</v>
      </c>
      <c r="H15081" s="46" t="s">
        <v>77</v>
      </c>
      <c r="I15081" s="46" t="s">
        <v>78</v>
      </c>
      <c r="J15081" s="46" t="s">
        <v>791</v>
      </c>
      <c r="K15081" s="46" t="s">
        <v>63</v>
      </c>
      <c r="L15081" s="45">
        <v>46015.416666666664</v>
      </c>
      <c r="M15081" s="46" t="s">
        <v>123</v>
      </c>
      <c r="N15081" s="45">
        <v>46015.625</v>
      </c>
      <c r="O15081" s="46" t="s">
        <v>123</v>
      </c>
      <c r="P15081" s="46">
        <v>18000.0</v>
      </c>
    </row>
    <row r="15082">
      <c r="A15082" s="40">
        <f t="shared" si="1"/>
        <v>46013</v>
      </c>
      <c r="B15082" s="37" t="str">
        <f t="array" ref="B15082">iferror(xlookup($I15082, 'IMPORT VHC Report'!$E:$E, 'IMPORT VHC Report'!$A:$C), )</f>
        <v/>
      </c>
      <c r="C15082" s="44"/>
      <c r="D15082" s="44"/>
      <c r="E15082" s="46" t="s">
        <v>11243</v>
      </c>
      <c r="F15082" s="46" t="s">
        <v>6730</v>
      </c>
      <c r="G15082" s="46">
        <v>3.61694652335E11</v>
      </c>
      <c r="H15082" s="46" t="s">
        <v>77</v>
      </c>
      <c r="I15082" s="46" t="s">
        <v>78</v>
      </c>
      <c r="J15082" s="46" t="s">
        <v>134</v>
      </c>
      <c r="K15082" s="46" t="s">
        <v>126</v>
      </c>
      <c r="L15082" s="45">
        <v>46015.5625</v>
      </c>
      <c r="M15082" s="46" t="s">
        <v>123</v>
      </c>
      <c r="N15082" s="45">
        <v>46015.583333333336</v>
      </c>
      <c r="O15082" s="46" t="s">
        <v>123</v>
      </c>
      <c r="P15082" s="46">
        <v>1800.0</v>
      </c>
    </row>
    <row r="15083">
      <c r="A15083" s="40">
        <f t="shared" si="1"/>
        <v>46013</v>
      </c>
      <c r="B15083" s="37" t="str">
        <f t="array" ref="B15083">iferror(xlookup($I15083, 'IMPORT VHC Report'!$E:$E, 'IMPORT VHC Report'!$A:$C), )</f>
        <v/>
      </c>
      <c r="C15083" s="44"/>
      <c r="D15083" s="44"/>
      <c r="E15083" s="46" t="s">
        <v>11244</v>
      </c>
      <c r="F15083" s="46" t="s">
        <v>6730</v>
      </c>
      <c r="G15083" s="46">
        <v>3.61694652335E11</v>
      </c>
      <c r="H15083" s="46" t="s">
        <v>77</v>
      </c>
      <c r="I15083" s="46" t="s">
        <v>78</v>
      </c>
      <c r="J15083" s="46" t="s">
        <v>132</v>
      </c>
      <c r="K15083" s="46" t="s">
        <v>126</v>
      </c>
      <c r="L15083" s="45">
        <v>46015.583333333336</v>
      </c>
      <c r="M15083" s="46" t="s">
        <v>123</v>
      </c>
      <c r="N15083" s="45">
        <v>46015.625</v>
      </c>
      <c r="O15083" s="46" t="s">
        <v>123</v>
      </c>
      <c r="P15083" s="46">
        <v>3600.0</v>
      </c>
    </row>
    <row r="15084">
      <c r="A15084" s="40">
        <f t="shared" si="1"/>
        <v>46013</v>
      </c>
      <c r="B15084" s="37" t="str">
        <f t="array" ref="B15084">iferror(xlookup($I15084, 'IMPORT VHC Report'!$E:$E, 'IMPORT VHC Report'!$A:$C), )</f>
        <v/>
      </c>
      <c r="C15084" s="44"/>
      <c r="D15084" s="44"/>
      <c r="E15084" s="46" t="s">
        <v>11245</v>
      </c>
      <c r="F15084" s="46" t="s">
        <v>6730</v>
      </c>
      <c r="G15084" s="46">
        <v>3.61694652335E11</v>
      </c>
      <c r="H15084" s="46" t="s">
        <v>77</v>
      </c>
      <c r="I15084" s="46" t="s">
        <v>78</v>
      </c>
      <c r="J15084" s="46" t="s">
        <v>178</v>
      </c>
      <c r="K15084" s="46" t="s">
        <v>153</v>
      </c>
      <c r="L15084" s="45">
        <v>46016.25</v>
      </c>
      <c r="M15084" s="46" t="s">
        <v>123</v>
      </c>
      <c r="N15084" s="45">
        <v>46016.625</v>
      </c>
      <c r="O15084" s="46" t="s">
        <v>123</v>
      </c>
      <c r="P15084" s="46">
        <v>32400.0</v>
      </c>
      <c r="Q15084" s="46">
        <v>28800.0</v>
      </c>
      <c r="R15084" s="46" t="s">
        <v>11240</v>
      </c>
    </row>
    <row r="15085">
      <c r="A15085" s="40">
        <f t="shared" si="1"/>
        <v>46013</v>
      </c>
      <c r="B15085" s="37" t="str">
        <f t="array" ref="B15085">iferror(xlookup($I15085, 'IMPORT VHC Report'!$E:$E, 'IMPORT VHC Report'!$A:$C), )</f>
        <v/>
      </c>
      <c r="C15085" s="44"/>
      <c r="D15085" s="44"/>
      <c r="E15085" s="46" t="s">
        <v>11246</v>
      </c>
      <c r="F15085" s="46" t="s">
        <v>6730</v>
      </c>
      <c r="G15085" s="46">
        <v>3.61694652335E11</v>
      </c>
      <c r="H15085" s="46" t="s">
        <v>77</v>
      </c>
      <c r="I15085" s="46" t="s">
        <v>78</v>
      </c>
      <c r="J15085" s="46" t="s">
        <v>791</v>
      </c>
      <c r="K15085" s="46" t="s">
        <v>63</v>
      </c>
      <c r="L15085" s="45">
        <v>46016.25</v>
      </c>
      <c r="M15085" s="46" t="s">
        <v>123</v>
      </c>
      <c r="N15085" s="45">
        <v>46016.625</v>
      </c>
      <c r="O15085" s="46" t="s">
        <v>123</v>
      </c>
      <c r="P15085" s="46">
        <v>32400.0</v>
      </c>
    </row>
    <row r="15086">
      <c r="A15086" s="40">
        <f t="shared" si="1"/>
        <v>46013</v>
      </c>
      <c r="B15086" s="37" t="str">
        <f t="array" ref="B15086">iferror(xlookup($I15086, 'IMPORT VHC Report'!$E:$E, 'IMPORT VHC Report'!$A:$C), )</f>
        <v/>
      </c>
      <c r="C15086" s="44"/>
      <c r="D15086" s="44"/>
      <c r="E15086" s="46" t="s">
        <v>11247</v>
      </c>
      <c r="F15086" s="46" t="s">
        <v>6730</v>
      </c>
      <c r="G15086" s="46">
        <v>3.61694652335E11</v>
      </c>
      <c r="H15086" s="46" t="s">
        <v>77</v>
      </c>
      <c r="I15086" s="46" t="s">
        <v>78</v>
      </c>
      <c r="J15086" s="46" t="s">
        <v>330</v>
      </c>
      <c r="K15086" s="46" t="s">
        <v>126</v>
      </c>
      <c r="L15086" s="45">
        <v>46016.416666666664</v>
      </c>
      <c r="M15086" s="46" t="s">
        <v>123</v>
      </c>
      <c r="N15086" s="45">
        <v>46016.458333333336</v>
      </c>
      <c r="O15086" s="46" t="s">
        <v>123</v>
      </c>
      <c r="P15086" s="46">
        <v>3600.0</v>
      </c>
      <c r="S15086" s="46" t="s">
        <v>640</v>
      </c>
    </row>
    <row r="15087">
      <c r="A15087" s="40">
        <f t="shared" si="1"/>
        <v>46013</v>
      </c>
      <c r="B15087" s="37" t="str">
        <f t="array" ref="B15087">iferror(xlookup($I15087, 'IMPORT VHC Report'!$E:$E, 'IMPORT VHC Report'!$A:$C), )</f>
        <v/>
      </c>
      <c r="C15087" s="44"/>
      <c r="D15087" s="44"/>
      <c r="E15087" s="46" t="s">
        <v>11248</v>
      </c>
      <c r="F15087" s="46" t="s">
        <v>6730</v>
      </c>
      <c r="G15087" s="46">
        <v>3.61694652335E11</v>
      </c>
      <c r="H15087" s="46" t="s">
        <v>77</v>
      </c>
      <c r="I15087" s="46" t="s">
        <v>78</v>
      </c>
      <c r="J15087" s="46" t="s">
        <v>136</v>
      </c>
      <c r="K15087" s="46" t="s">
        <v>126</v>
      </c>
      <c r="L15087" s="45">
        <v>46016.458333333336</v>
      </c>
      <c r="M15087" s="46" t="s">
        <v>123</v>
      </c>
      <c r="N15087" s="45">
        <v>46016.5</v>
      </c>
      <c r="O15087" s="46" t="s">
        <v>123</v>
      </c>
      <c r="P15087" s="46">
        <v>3600.0</v>
      </c>
      <c r="S15087" s="46" t="s">
        <v>2732</v>
      </c>
    </row>
    <row r="15088">
      <c r="A15088" s="40">
        <f t="shared" si="1"/>
        <v>46013</v>
      </c>
      <c r="B15088" s="37" t="str">
        <f t="array" ref="B15088">iferror(xlookup($I15088, 'IMPORT VHC Report'!$E:$E, 'IMPORT VHC Report'!$A:$C), )</f>
        <v/>
      </c>
      <c r="C15088" s="44"/>
      <c r="D15088" s="44"/>
      <c r="E15088" s="46" t="s">
        <v>11249</v>
      </c>
      <c r="F15088" s="46" t="s">
        <v>6730</v>
      </c>
      <c r="G15088" s="46">
        <v>3.61694652335E11</v>
      </c>
      <c r="H15088" s="46" t="s">
        <v>77</v>
      </c>
      <c r="I15088" s="46" t="s">
        <v>78</v>
      </c>
      <c r="J15088" s="46" t="s">
        <v>132</v>
      </c>
      <c r="K15088" s="46" t="s">
        <v>126</v>
      </c>
      <c r="L15088" s="45">
        <v>46016.5</v>
      </c>
      <c r="M15088" s="46" t="s">
        <v>123</v>
      </c>
      <c r="N15088" s="45">
        <v>46016.541666666664</v>
      </c>
      <c r="O15088" s="46" t="s">
        <v>123</v>
      </c>
      <c r="P15088" s="46">
        <v>3600.0</v>
      </c>
    </row>
    <row r="15089">
      <c r="A15089" s="40">
        <f t="shared" si="1"/>
        <v>46013</v>
      </c>
      <c r="B15089" s="37" t="str">
        <f t="array" ref="B15089">iferror(xlookup($I15089, 'IMPORT VHC Report'!$E:$E, 'IMPORT VHC Report'!$A:$C), )</f>
        <v/>
      </c>
      <c r="C15089" s="44"/>
      <c r="D15089" s="44"/>
      <c r="E15089" s="46" t="s">
        <v>11250</v>
      </c>
      <c r="F15089" s="46" t="s">
        <v>6730</v>
      </c>
      <c r="G15089" s="46">
        <v>3.61694652335E11</v>
      </c>
      <c r="H15089" s="46" t="s">
        <v>77</v>
      </c>
      <c r="I15089" s="46" t="s">
        <v>78</v>
      </c>
      <c r="J15089" s="46" t="s">
        <v>134</v>
      </c>
      <c r="K15089" s="46" t="s">
        <v>126</v>
      </c>
      <c r="L15089" s="45">
        <v>46016.541666666664</v>
      </c>
      <c r="M15089" s="46" t="s">
        <v>123</v>
      </c>
      <c r="N15089" s="45">
        <v>46016.5625</v>
      </c>
      <c r="O15089" s="46" t="s">
        <v>123</v>
      </c>
      <c r="P15089" s="46">
        <v>1800.0</v>
      </c>
    </row>
    <row r="15090">
      <c r="A15090" s="40">
        <f t="shared" si="1"/>
        <v>46013</v>
      </c>
      <c r="B15090" s="37" t="str">
        <f t="array" ref="B15090">iferror(xlookup($I15090, 'IMPORT VHC Report'!$E:$E, 'IMPORT VHC Report'!$A:$C), )</f>
        <v/>
      </c>
      <c r="C15090" s="44"/>
      <c r="D15090" s="44"/>
      <c r="E15090" s="46" t="s">
        <v>11251</v>
      </c>
      <c r="F15090" s="46" t="s">
        <v>6730</v>
      </c>
      <c r="G15090" s="46">
        <v>3.61694652335E11</v>
      </c>
      <c r="H15090" s="46" t="s">
        <v>77</v>
      </c>
      <c r="I15090" s="46" t="s">
        <v>78</v>
      </c>
      <c r="J15090" s="46" t="s">
        <v>791</v>
      </c>
      <c r="K15090" s="46" t="s">
        <v>63</v>
      </c>
      <c r="L15090" s="45">
        <v>46017.25</v>
      </c>
      <c r="M15090" s="46" t="s">
        <v>123</v>
      </c>
      <c r="N15090" s="45">
        <v>46017.625</v>
      </c>
      <c r="O15090" s="46" t="s">
        <v>123</v>
      </c>
      <c r="P15090" s="46">
        <v>32400.0</v>
      </c>
    </row>
    <row r="15091">
      <c r="A15091" s="40">
        <f t="shared" si="1"/>
        <v>46013</v>
      </c>
      <c r="B15091" s="37" t="str">
        <f t="array" ref="B15091">iferror(xlookup($I15091, 'IMPORT VHC Report'!$E:$E, 'IMPORT VHC Report'!$A:$C), )</f>
        <v/>
      </c>
      <c r="C15091" s="44"/>
      <c r="D15091" s="44"/>
      <c r="E15091" s="46" t="s">
        <v>11252</v>
      </c>
      <c r="F15091" s="46" t="s">
        <v>6730</v>
      </c>
      <c r="G15091" s="46">
        <v>3.61694652335E11</v>
      </c>
      <c r="H15091" s="46" t="s">
        <v>77</v>
      </c>
      <c r="I15091" s="46" t="s">
        <v>78</v>
      </c>
      <c r="J15091" s="46" t="s">
        <v>134</v>
      </c>
      <c r="K15091" s="46" t="s">
        <v>126</v>
      </c>
      <c r="L15091" s="45">
        <v>46017.5625</v>
      </c>
      <c r="M15091" s="46" t="s">
        <v>123</v>
      </c>
      <c r="N15091" s="45">
        <v>46017.583333333336</v>
      </c>
      <c r="O15091" s="46" t="s">
        <v>123</v>
      </c>
      <c r="P15091" s="46">
        <v>1800.0</v>
      </c>
    </row>
    <row r="15092">
      <c r="A15092" s="40">
        <f t="shared" si="1"/>
        <v>46013</v>
      </c>
      <c r="B15092" s="37" t="str">
        <f t="array" ref="B15092">iferror(xlookup($I15092, 'IMPORT VHC Report'!$E:$E, 'IMPORT VHC Report'!$A:$C), )</f>
        <v/>
      </c>
      <c r="C15092" s="44"/>
      <c r="D15092" s="44"/>
      <c r="E15092" s="46" t="s">
        <v>11253</v>
      </c>
      <c r="F15092" s="46" t="s">
        <v>6730</v>
      </c>
      <c r="G15092" s="46">
        <v>3.61694652335E11</v>
      </c>
      <c r="H15092" s="46" t="s">
        <v>77</v>
      </c>
      <c r="I15092" s="46" t="s">
        <v>78</v>
      </c>
      <c r="J15092" s="46" t="s">
        <v>132</v>
      </c>
      <c r="K15092" s="46" t="s">
        <v>126</v>
      </c>
      <c r="L15092" s="45">
        <v>46017.583333333336</v>
      </c>
      <c r="M15092" s="46" t="s">
        <v>123</v>
      </c>
      <c r="N15092" s="45">
        <v>46017.625</v>
      </c>
      <c r="O15092" s="46" t="s">
        <v>123</v>
      </c>
      <c r="P15092" s="46">
        <v>3600.0</v>
      </c>
    </row>
    <row r="15093">
      <c r="A15093" s="40">
        <f t="shared" si="1"/>
        <v>46013</v>
      </c>
      <c r="B15093" s="37" t="str">
        <f t="array" ref="B15093">iferror(xlookup($I15093, 'IMPORT VHC Report'!$E:$E, 'IMPORT VHC Report'!$A:$C), )</f>
        <v/>
      </c>
      <c r="C15093" s="44"/>
      <c r="D15093" s="44"/>
      <c r="E15093" s="46" t="s">
        <v>11254</v>
      </c>
      <c r="F15093" s="46" t="s">
        <v>6730</v>
      </c>
      <c r="G15093" s="46">
        <v>3.61694652335E11</v>
      </c>
      <c r="H15093" s="46" t="s">
        <v>77</v>
      </c>
      <c r="I15093" s="46" t="s">
        <v>78</v>
      </c>
      <c r="J15093" s="46" t="s">
        <v>178</v>
      </c>
      <c r="K15093" s="46" t="s">
        <v>153</v>
      </c>
      <c r="L15093" s="45">
        <v>46018.25</v>
      </c>
      <c r="M15093" s="46" t="s">
        <v>123</v>
      </c>
      <c r="N15093" s="45">
        <v>46018.625</v>
      </c>
      <c r="O15093" s="46" t="s">
        <v>123</v>
      </c>
      <c r="P15093" s="46">
        <v>32400.0</v>
      </c>
      <c r="Q15093" s="46">
        <v>28800.0</v>
      </c>
    </row>
    <row r="15094">
      <c r="A15094" s="40">
        <f t="shared" si="1"/>
        <v>46013</v>
      </c>
      <c r="B15094" s="37" t="str">
        <f t="array" ref="B15094">iferror(xlookup($I15094, 'IMPORT VHC Report'!$E:$E, 'IMPORT VHC Report'!$A:$C), )</f>
        <v/>
      </c>
      <c r="C15094" s="44"/>
      <c r="D15094" s="44"/>
      <c r="E15094" s="46" t="s">
        <v>11255</v>
      </c>
      <c r="F15094" s="46" t="s">
        <v>6730</v>
      </c>
      <c r="G15094" s="46">
        <v>3.61694652335E11</v>
      </c>
      <c r="H15094" s="46" t="s">
        <v>77</v>
      </c>
      <c r="I15094" s="46" t="s">
        <v>78</v>
      </c>
      <c r="J15094" s="46" t="s">
        <v>791</v>
      </c>
      <c r="K15094" s="46" t="s">
        <v>63</v>
      </c>
      <c r="L15094" s="45">
        <v>46018.25</v>
      </c>
      <c r="M15094" s="46" t="s">
        <v>123</v>
      </c>
      <c r="N15094" s="45">
        <v>46018.625</v>
      </c>
      <c r="O15094" s="46" t="s">
        <v>123</v>
      </c>
      <c r="P15094" s="46">
        <v>32400.0</v>
      </c>
    </row>
    <row r="15095">
      <c r="A15095" s="40">
        <f t="shared" si="1"/>
        <v>46013</v>
      </c>
      <c r="B15095" s="37" t="str">
        <f t="array" ref="B15095">iferror(xlookup($I15095, 'IMPORT VHC Report'!$E:$E, 'IMPORT VHC Report'!$A:$C), )</f>
        <v/>
      </c>
      <c r="C15095" s="44"/>
      <c r="D15095" s="44"/>
      <c r="E15095" s="46" t="s">
        <v>11256</v>
      </c>
      <c r="F15095" s="46" t="s">
        <v>6730</v>
      </c>
      <c r="G15095" s="46">
        <v>3.61694652335E11</v>
      </c>
      <c r="H15095" s="46" t="s">
        <v>77</v>
      </c>
      <c r="I15095" s="46" t="s">
        <v>78</v>
      </c>
      <c r="J15095" s="46" t="s">
        <v>132</v>
      </c>
      <c r="K15095" s="46" t="s">
        <v>126</v>
      </c>
      <c r="L15095" s="45">
        <v>46018.5</v>
      </c>
      <c r="M15095" s="46" t="s">
        <v>123</v>
      </c>
      <c r="N15095" s="45">
        <v>46018.541666666664</v>
      </c>
      <c r="O15095" s="46" t="s">
        <v>123</v>
      </c>
      <c r="P15095" s="46">
        <v>3600.0</v>
      </c>
    </row>
    <row r="15096">
      <c r="A15096" s="40">
        <f t="shared" si="1"/>
        <v>46013</v>
      </c>
      <c r="B15096" s="37" t="str">
        <f t="array" ref="B15096">iferror(xlookup($I15096, 'IMPORT VHC Report'!$E:$E, 'IMPORT VHC Report'!$A:$C), )</f>
        <v/>
      </c>
      <c r="C15096" s="44"/>
      <c r="D15096" s="44"/>
      <c r="E15096" s="46" t="s">
        <v>11257</v>
      </c>
      <c r="F15096" s="46" t="s">
        <v>6730</v>
      </c>
      <c r="G15096" s="46">
        <v>3.61694652335E11</v>
      </c>
      <c r="H15096" s="46" t="s">
        <v>77</v>
      </c>
      <c r="I15096" s="46" t="s">
        <v>78</v>
      </c>
      <c r="J15096" s="46" t="s">
        <v>134</v>
      </c>
      <c r="K15096" s="46" t="s">
        <v>126</v>
      </c>
      <c r="L15096" s="45">
        <v>46018.541666666664</v>
      </c>
      <c r="M15096" s="46" t="s">
        <v>123</v>
      </c>
      <c r="N15096" s="45">
        <v>46018.5625</v>
      </c>
      <c r="O15096" s="46" t="s">
        <v>123</v>
      </c>
      <c r="P15096" s="46">
        <v>1800.0</v>
      </c>
    </row>
    <row r="15097">
      <c r="A15097" s="40">
        <f t="shared" si="1"/>
        <v>46013</v>
      </c>
      <c r="B15097" s="37" t="str">
        <f t="array" ref="B15097">iferror(xlookup($I15097, 'IMPORT VHC Report'!$E:$E, 'IMPORT VHC Report'!$A:$C), )</f>
        <v/>
      </c>
      <c r="C15097" s="44"/>
      <c r="D15097" s="44"/>
      <c r="E15097" s="46" t="s">
        <v>11258</v>
      </c>
      <c r="F15097" s="46" t="s">
        <v>7182</v>
      </c>
      <c r="G15097" s="46">
        <v>7.235417198991E12</v>
      </c>
      <c r="H15097" s="46" t="s">
        <v>7183</v>
      </c>
      <c r="I15097" s="46" t="s">
        <v>7184</v>
      </c>
      <c r="J15097" s="46" t="s">
        <v>791</v>
      </c>
      <c r="K15097" s="46" t="s">
        <v>63</v>
      </c>
      <c r="L15097" s="45">
        <v>46014.583333333336</v>
      </c>
      <c r="M15097" s="46" t="s">
        <v>123</v>
      </c>
      <c r="N15097" s="45">
        <v>46014.958333333336</v>
      </c>
      <c r="O15097" s="46" t="s">
        <v>123</v>
      </c>
      <c r="P15097" s="46">
        <v>32400.0</v>
      </c>
    </row>
    <row r="15098">
      <c r="A15098" s="40">
        <f t="shared" si="1"/>
        <v>46013</v>
      </c>
      <c r="B15098" s="37" t="str">
        <f t="array" ref="B15098">iferror(xlookup($I15098, 'IMPORT VHC Report'!$E:$E, 'IMPORT VHC Report'!$A:$C), )</f>
        <v/>
      </c>
      <c r="C15098" s="44"/>
      <c r="D15098" s="44"/>
      <c r="E15098" s="46" t="s">
        <v>11259</v>
      </c>
      <c r="F15098" s="46" t="s">
        <v>7182</v>
      </c>
      <c r="G15098" s="46">
        <v>7.235417198991E12</v>
      </c>
      <c r="H15098" s="46" t="s">
        <v>7183</v>
      </c>
      <c r="I15098" s="46" t="s">
        <v>7184</v>
      </c>
      <c r="J15098" s="46" t="s">
        <v>134</v>
      </c>
      <c r="K15098" s="46" t="s">
        <v>126</v>
      </c>
      <c r="L15098" s="45">
        <v>46014.895833333336</v>
      </c>
      <c r="M15098" s="46" t="s">
        <v>123</v>
      </c>
      <c r="N15098" s="45">
        <v>46014.916666666664</v>
      </c>
      <c r="O15098" s="46" t="s">
        <v>123</v>
      </c>
      <c r="P15098" s="46">
        <v>1800.0</v>
      </c>
    </row>
    <row r="15099">
      <c r="A15099" s="40">
        <f t="shared" si="1"/>
        <v>46013</v>
      </c>
      <c r="B15099" s="37" t="str">
        <f t="array" ref="B15099">iferror(xlookup($I15099, 'IMPORT VHC Report'!$E:$E, 'IMPORT VHC Report'!$A:$C), )</f>
        <v/>
      </c>
      <c r="C15099" s="44"/>
      <c r="D15099" s="44"/>
      <c r="E15099" s="46" t="s">
        <v>11260</v>
      </c>
      <c r="F15099" s="46" t="s">
        <v>7182</v>
      </c>
      <c r="G15099" s="46">
        <v>7.235417198991E12</v>
      </c>
      <c r="H15099" s="46" t="s">
        <v>7183</v>
      </c>
      <c r="I15099" s="46" t="s">
        <v>7184</v>
      </c>
      <c r="J15099" s="46" t="s">
        <v>132</v>
      </c>
      <c r="K15099" s="46" t="s">
        <v>126</v>
      </c>
      <c r="L15099" s="45">
        <v>46014.916666666664</v>
      </c>
      <c r="M15099" s="46" t="s">
        <v>123</v>
      </c>
      <c r="N15099" s="45">
        <v>46014.958333333336</v>
      </c>
      <c r="O15099" s="46" t="s">
        <v>123</v>
      </c>
      <c r="P15099" s="46">
        <v>3600.0</v>
      </c>
    </row>
    <row r="15100">
      <c r="A15100" s="40">
        <f t="shared" si="1"/>
        <v>46013</v>
      </c>
      <c r="B15100" s="37" t="str">
        <f t="array" ref="B15100">iferror(xlookup($I15100, 'IMPORT VHC Report'!$E:$E, 'IMPORT VHC Report'!$A:$C), )</f>
        <v/>
      </c>
      <c r="C15100" s="44"/>
      <c r="D15100" s="44"/>
      <c r="E15100" s="46" t="s">
        <v>11261</v>
      </c>
      <c r="F15100" s="46" t="s">
        <v>7182</v>
      </c>
      <c r="G15100" s="46">
        <v>7.235417198991E12</v>
      </c>
      <c r="H15100" s="46" t="s">
        <v>7183</v>
      </c>
      <c r="I15100" s="46" t="s">
        <v>7184</v>
      </c>
      <c r="J15100" s="46" t="s">
        <v>791</v>
      </c>
      <c r="K15100" s="46" t="s">
        <v>63</v>
      </c>
      <c r="L15100" s="45">
        <v>46015.583333333336</v>
      </c>
      <c r="M15100" s="46" t="s">
        <v>123</v>
      </c>
      <c r="N15100" s="45">
        <v>46015.597916666666</v>
      </c>
      <c r="O15100" s="46" t="s">
        <v>123</v>
      </c>
      <c r="P15100" s="46">
        <v>1260.0</v>
      </c>
    </row>
    <row r="15101">
      <c r="A15101" s="40">
        <f t="shared" si="1"/>
        <v>46013</v>
      </c>
      <c r="B15101" s="37" t="str">
        <f t="array" ref="B15101">iferror(xlookup($I15101, 'IMPORT VHC Report'!$E:$E, 'IMPORT VHC Report'!$A:$C), )</f>
        <v/>
      </c>
      <c r="C15101" s="44"/>
      <c r="D15101" s="44"/>
      <c r="E15101" s="46" t="s">
        <v>11262</v>
      </c>
      <c r="F15101" s="46" t="s">
        <v>7182</v>
      </c>
      <c r="G15101" s="46">
        <v>7.235417198991E12</v>
      </c>
      <c r="H15101" s="46" t="s">
        <v>7183</v>
      </c>
      <c r="I15101" s="46" t="s">
        <v>7184</v>
      </c>
      <c r="J15101" s="46" t="s">
        <v>152</v>
      </c>
      <c r="K15101" s="46" t="s">
        <v>153</v>
      </c>
      <c r="L15101" s="45">
        <v>46015.583333333336</v>
      </c>
      <c r="M15101" s="46" t="s">
        <v>123</v>
      </c>
      <c r="N15101" s="45">
        <v>46015.958333333336</v>
      </c>
      <c r="O15101" s="46" t="s">
        <v>123</v>
      </c>
      <c r="P15101" s="46">
        <v>32400.0</v>
      </c>
      <c r="Q15101" s="46">
        <v>14400.0</v>
      </c>
    </row>
    <row r="15102">
      <c r="A15102" s="40">
        <f t="shared" si="1"/>
        <v>46013</v>
      </c>
      <c r="B15102" s="37" t="str">
        <f t="array" ref="B15102">iferror(xlookup($I15102, 'IMPORT VHC Report'!$E:$E, 'IMPORT VHC Report'!$A:$C), )</f>
        <v/>
      </c>
      <c r="C15102" s="44"/>
      <c r="D15102" s="44"/>
      <c r="E15102" s="46" t="s">
        <v>11263</v>
      </c>
      <c r="F15102" s="46" t="s">
        <v>7182</v>
      </c>
      <c r="G15102" s="46">
        <v>7.235417198991E12</v>
      </c>
      <c r="H15102" s="46" t="s">
        <v>7183</v>
      </c>
      <c r="I15102" s="46" t="s">
        <v>7184</v>
      </c>
      <c r="J15102" s="46" t="s">
        <v>136</v>
      </c>
      <c r="K15102" s="46" t="s">
        <v>126</v>
      </c>
      <c r="L15102" s="45">
        <v>46015.597916666666</v>
      </c>
      <c r="M15102" s="46" t="s">
        <v>123</v>
      </c>
      <c r="N15102" s="45">
        <v>46015.611805555556</v>
      </c>
      <c r="O15102" s="46" t="s">
        <v>123</v>
      </c>
      <c r="P15102" s="46">
        <v>1200.0</v>
      </c>
    </row>
    <row r="15103">
      <c r="A15103" s="40">
        <f t="shared" si="1"/>
        <v>46013</v>
      </c>
      <c r="B15103" s="37" t="str">
        <f t="array" ref="B15103">iferror(xlookup($I15103, 'IMPORT VHC Report'!$E:$E, 'IMPORT VHC Report'!$A:$C), )</f>
        <v/>
      </c>
      <c r="C15103" s="44"/>
      <c r="D15103" s="44"/>
      <c r="E15103" s="46" t="s">
        <v>11264</v>
      </c>
      <c r="F15103" s="46" t="s">
        <v>7182</v>
      </c>
      <c r="G15103" s="46">
        <v>7.235417198991E12</v>
      </c>
      <c r="H15103" s="46" t="s">
        <v>7183</v>
      </c>
      <c r="I15103" s="46" t="s">
        <v>7184</v>
      </c>
      <c r="J15103" s="46" t="s">
        <v>791</v>
      </c>
      <c r="K15103" s="46" t="s">
        <v>63</v>
      </c>
      <c r="L15103" s="45">
        <v>46015.611805555556</v>
      </c>
      <c r="M15103" s="46" t="s">
        <v>123</v>
      </c>
      <c r="N15103" s="45">
        <v>46015.625</v>
      </c>
      <c r="O15103" s="46" t="s">
        <v>123</v>
      </c>
      <c r="P15103" s="46">
        <v>1140.0</v>
      </c>
    </row>
    <row r="15104">
      <c r="A15104" s="40">
        <f t="shared" si="1"/>
        <v>46013</v>
      </c>
      <c r="B15104" s="37" t="str">
        <f t="array" ref="B15104">iferror(xlookup($I15104, 'IMPORT VHC Report'!$E:$E, 'IMPORT VHC Report'!$A:$C), )</f>
        <v/>
      </c>
      <c r="C15104" s="44"/>
      <c r="D15104" s="44"/>
      <c r="E15104" s="46" t="s">
        <v>11265</v>
      </c>
      <c r="F15104" s="46" t="s">
        <v>7182</v>
      </c>
      <c r="G15104" s="46">
        <v>7.235417198991E12</v>
      </c>
      <c r="H15104" s="46" t="s">
        <v>7183</v>
      </c>
      <c r="I15104" s="46" t="s">
        <v>7184</v>
      </c>
      <c r="J15104" s="46" t="s">
        <v>4</v>
      </c>
      <c r="K15104" s="46" t="s">
        <v>126</v>
      </c>
      <c r="L15104" s="45">
        <v>46015.625</v>
      </c>
      <c r="M15104" s="46" t="s">
        <v>123</v>
      </c>
      <c r="N15104" s="45">
        <v>46015.645833333336</v>
      </c>
      <c r="O15104" s="46" t="s">
        <v>123</v>
      </c>
      <c r="P15104" s="46">
        <v>1800.0</v>
      </c>
    </row>
    <row r="15105">
      <c r="A15105" s="40">
        <f t="shared" si="1"/>
        <v>46013</v>
      </c>
      <c r="B15105" s="37" t="str">
        <f t="array" ref="B15105">iferror(xlookup($I15105, 'IMPORT VHC Report'!$E:$E, 'IMPORT VHC Report'!$A:$C), )</f>
        <v/>
      </c>
      <c r="C15105" s="44"/>
      <c r="D15105" s="44"/>
      <c r="E15105" s="46" t="s">
        <v>11266</v>
      </c>
      <c r="F15105" s="46" t="s">
        <v>7182</v>
      </c>
      <c r="G15105" s="46">
        <v>7.235417198991E12</v>
      </c>
      <c r="H15105" s="46" t="s">
        <v>7183</v>
      </c>
      <c r="I15105" s="46" t="s">
        <v>7184</v>
      </c>
      <c r="J15105" s="46" t="s">
        <v>791</v>
      </c>
      <c r="K15105" s="46" t="s">
        <v>63</v>
      </c>
      <c r="L15105" s="45">
        <v>46015.645833333336</v>
      </c>
      <c r="M15105" s="46" t="s">
        <v>123</v>
      </c>
      <c r="N15105" s="45">
        <v>46015.87708333333</v>
      </c>
      <c r="O15105" s="46" t="s">
        <v>123</v>
      </c>
      <c r="P15105" s="46">
        <v>19980.0</v>
      </c>
    </row>
    <row r="15106">
      <c r="A15106" s="40">
        <f t="shared" si="1"/>
        <v>46013</v>
      </c>
      <c r="B15106" s="37" t="str">
        <f t="array" ref="B15106">iferror(xlookup($I15106, 'IMPORT VHC Report'!$E:$E, 'IMPORT VHC Report'!$A:$C), )</f>
        <v/>
      </c>
      <c r="C15106" s="44"/>
      <c r="D15106" s="44"/>
      <c r="E15106" s="46" t="s">
        <v>11267</v>
      </c>
      <c r="F15106" s="46" t="s">
        <v>7182</v>
      </c>
      <c r="G15106" s="46">
        <v>7.235417198991E12</v>
      </c>
      <c r="H15106" s="46" t="s">
        <v>7183</v>
      </c>
      <c r="I15106" s="46" t="s">
        <v>7184</v>
      </c>
      <c r="J15106" s="46" t="s">
        <v>134</v>
      </c>
      <c r="K15106" s="46" t="s">
        <v>126</v>
      </c>
      <c r="L15106" s="45">
        <v>46015.87708333333</v>
      </c>
      <c r="M15106" s="46" t="s">
        <v>123</v>
      </c>
      <c r="N15106" s="45">
        <v>46015.89791666667</v>
      </c>
      <c r="O15106" s="46" t="s">
        <v>123</v>
      </c>
      <c r="P15106" s="46">
        <v>1800.0</v>
      </c>
    </row>
    <row r="15107">
      <c r="A15107" s="40">
        <f t="shared" si="1"/>
        <v>46013</v>
      </c>
      <c r="B15107" s="37" t="str">
        <f t="array" ref="B15107">iferror(xlookup($I15107, 'IMPORT VHC Report'!$E:$E, 'IMPORT VHC Report'!$A:$C), )</f>
        <v/>
      </c>
      <c r="C15107" s="44"/>
      <c r="D15107" s="44"/>
      <c r="E15107" s="46" t="s">
        <v>11268</v>
      </c>
      <c r="F15107" s="46" t="s">
        <v>7182</v>
      </c>
      <c r="G15107" s="46">
        <v>7.235417198991E12</v>
      </c>
      <c r="H15107" s="46" t="s">
        <v>7183</v>
      </c>
      <c r="I15107" s="46" t="s">
        <v>7184</v>
      </c>
      <c r="J15107" s="46" t="s">
        <v>791</v>
      </c>
      <c r="K15107" s="46" t="s">
        <v>63</v>
      </c>
      <c r="L15107" s="45">
        <v>46015.89791666667</v>
      </c>
      <c r="M15107" s="46" t="s">
        <v>123</v>
      </c>
      <c r="N15107" s="45">
        <v>46015.916666666664</v>
      </c>
      <c r="O15107" s="46" t="s">
        <v>123</v>
      </c>
      <c r="P15107" s="46">
        <v>1620.0</v>
      </c>
    </row>
    <row r="15108">
      <c r="A15108" s="40">
        <f t="shared" si="1"/>
        <v>46013</v>
      </c>
      <c r="B15108" s="37" t="str">
        <f t="array" ref="B15108">iferror(xlookup($I15108, 'IMPORT VHC Report'!$E:$E, 'IMPORT VHC Report'!$A:$C), )</f>
        <v/>
      </c>
      <c r="C15108" s="44"/>
      <c r="D15108" s="44"/>
      <c r="E15108" s="46" t="s">
        <v>11269</v>
      </c>
      <c r="F15108" s="46" t="s">
        <v>7182</v>
      </c>
      <c r="G15108" s="46">
        <v>7.235417198991E12</v>
      </c>
      <c r="H15108" s="46" t="s">
        <v>7183</v>
      </c>
      <c r="I15108" s="46" t="s">
        <v>7184</v>
      </c>
      <c r="J15108" s="46" t="s">
        <v>132</v>
      </c>
      <c r="K15108" s="46" t="s">
        <v>126</v>
      </c>
      <c r="L15108" s="45">
        <v>46015.916666666664</v>
      </c>
      <c r="M15108" s="46" t="s">
        <v>123</v>
      </c>
      <c r="N15108" s="45">
        <v>46015.958333333336</v>
      </c>
      <c r="O15108" s="46" t="s">
        <v>123</v>
      </c>
      <c r="P15108" s="46">
        <v>3600.0</v>
      </c>
    </row>
    <row r="15109">
      <c r="A15109" s="40">
        <f t="shared" si="1"/>
        <v>46013</v>
      </c>
      <c r="B15109" s="37" t="str">
        <f t="array" ref="B15109">iferror(xlookup($I15109, 'IMPORT VHC Report'!$E:$E, 'IMPORT VHC Report'!$A:$C), )</f>
        <v/>
      </c>
      <c r="C15109" s="44"/>
      <c r="D15109" s="44"/>
      <c r="E15109" s="46" t="s">
        <v>11270</v>
      </c>
      <c r="F15109" s="46" t="s">
        <v>7182</v>
      </c>
      <c r="G15109" s="46">
        <v>7.235417198991E12</v>
      </c>
      <c r="H15109" s="46" t="s">
        <v>7183</v>
      </c>
      <c r="I15109" s="46" t="s">
        <v>7184</v>
      </c>
      <c r="J15109" s="46" t="s">
        <v>791</v>
      </c>
      <c r="K15109" s="46" t="s">
        <v>63</v>
      </c>
      <c r="L15109" s="45">
        <v>46016.583333333336</v>
      </c>
      <c r="M15109" s="46" t="s">
        <v>123</v>
      </c>
      <c r="N15109" s="45">
        <v>46016.958333333336</v>
      </c>
      <c r="O15109" s="46" t="s">
        <v>123</v>
      </c>
      <c r="P15109" s="46">
        <v>32400.0</v>
      </c>
    </row>
    <row r="15110">
      <c r="A15110" s="40">
        <f t="shared" si="1"/>
        <v>46013</v>
      </c>
      <c r="B15110" s="37" t="str">
        <f t="array" ref="B15110">iferror(xlookup($I15110, 'IMPORT VHC Report'!$E:$E, 'IMPORT VHC Report'!$A:$C), )</f>
        <v/>
      </c>
      <c r="C15110" s="44"/>
      <c r="D15110" s="44"/>
      <c r="E15110" s="46" t="s">
        <v>11271</v>
      </c>
      <c r="F15110" s="46" t="s">
        <v>7182</v>
      </c>
      <c r="G15110" s="46">
        <v>7.235417198991E12</v>
      </c>
      <c r="H15110" s="46" t="s">
        <v>7183</v>
      </c>
      <c r="I15110" s="46" t="s">
        <v>7184</v>
      </c>
      <c r="J15110" s="46" t="s">
        <v>134</v>
      </c>
      <c r="K15110" s="46" t="s">
        <v>126</v>
      </c>
      <c r="L15110" s="45">
        <v>46016.895833333336</v>
      </c>
      <c r="M15110" s="46" t="s">
        <v>123</v>
      </c>
      <c r="N15110" s="45">
        <v>46016.916666666664</v>
      </c>
      <c r="O15110" s="46" t="s">
        <v>123</v>
      </c>
      <c r="P15110" s="46">
        <v>1800.0</v>
      </c>
    </row>
    <row r="15111">
      <c r="A15111" s="40">
        <f t="shared" si="1"/>
        <v>46013</v>
      </c>
      <c r="B15111" s="37" t="str">
        <f t="array" ref="B15111">iferror(xlookup($I15111, 'IMPORT VHC Report'!$E:$E, 'IMPORT VHC Report'!$A:$C), )</f>
        <v/>
      </c>
      <c r="C15111" s="44"/>
      <c r="D15111" s="44"/>
      <c r="E15111" s="46" t="s">
        <v>11272</v>
      </c>
      <c r="F15111" s="46" t="s">
        <v>7182</v>
      </c>
      <c r="G15111" s="46">
        <v>7.235417198991E12</v>
      </c>
      <c r="H15111" s="46" t="s">
        <v>7183</v>
      </c>
      <c r="I15111" s="46" t="s">
        <v>7184</v>
      </c>
      <c r="J15111" s="46" t="s">
        <v>132</v>
      </c>
      <c r="K15111" s="46" t="s">
        <v>126</v>
      </c>
      <c r="L15111" s="45">
        <v>46016.916666666664</v>
      </c>
      <c r="M15111" s="46" t="s">
        <v>123</v>
      </c>
      <c r="N15111" s="45">
        <v>46016.958333333336</v>
      </c>
      <c r="O15111" s="46" t="s">
        <v>123</v>
      </c>
      <c r="P15111" s="46">
        <v>3600.0</v>
      </c>
    </row>
    <row r="15112">
      <c r="A15112" s="40">
        <f t="shared" si="1"/>
        <v>46013</v>
      </c>
      <c r="B15112" s="37" t="str">
        <f t="array" ref="B15112">iferror(xlookup($I15112, 'IMPORT VHC Report'!$E:$E, 'IMPORT VHC Report'!$A:$C), )</f>
        <v/>
      </c>
      <c r="C15112" s="44"/>
      <c r="D15112" s="44"/>
      <c r="E15112" s="46" t="s">
        <v>11273</v>
      </c>
      <c r="F15112" s="46" t="s">
        <v>7182</v>
      </c>
      <c r="G15112" s="46">
        <v>7.235417198991E12</v>
      </c>
      <c r="H15112" s="46" t="s">
        <v>7183</v>
      </c>
      <c r="I15112" s="46" t="s">
        <v>7184</v>
      </c>
      <c r="J15112" s="46" t="s">
        <v>791</v>
      </c>
      <c r="K15112" s="46" t="s">
        <v>63</v>
      </c>
      <c r="L15112" s="45">
        <v>46017.583333333336</v>
      </c>
      <c r="M15112" s="46" t="s">
        <v>123</v>
      </c>
      <c r="N15112" s="45">
        <v>46017.958333333336</v>
      </c>
      <c r="O15112" s="46" t="s">
        <v>123</v>
      </c>
      <c r="P15112" s="46">
        <v>32400.0</v>
      </c>
    </row>
    <row r="15113">
      <c r="A15113" s="40">
        <f t="shared" si="1"/>
        <v>46013</v>
      </c>
      <c r="B15113" s="37" t="str">
        <f t="array" ref="B15113">iferror(xlookup($I15113, 'IMPORT VHC Report'!$E:$E, 'IMPORT VHC Report'!$A:$C), )</f>
        <v/>
      </c>
      <c r="C15113" s="44"/>
      <c r="D15113" s="44"/>
      <c r="E15113" s="46" t="s">
        <v>11274</v>
      </c>
      <c r="F15113" s="46" t="s">
        <v>7182</v>
      </c>
      <c r="G15113" s="46">
        <v>7.235417198991E12</v>
      </c>
      <c r="H15113" s="46" t="s">
        <v>7183</v>
      </c>
      <c r="I15113" s="46" t="s">
        <v>7184</v>
      </c>
      <c r="J15113" s="46" t="s">
        <v>134</v>
      </c>
      <c r="K15113" s="46" t="s">
        <v>126</v>
      </c>
      <c r="L15113" s="45">
        <v>46017.895833333336</v>
      </c>
      <c r="M15113" s="46" t="s">
        <v>123</v>
      </c>
      <c r="N15113" s="45">
        <v>46017.916666666664</v>
      </c>
      <c r="O15113" s="46" t="s">
        <v>123</v>
      </c>
      <c r="P15113" s="46">
        <v>1800.0</v>
      </c>
    </row>
    <row r="15114">
      <c r="A15114" s="40">
        <f t="shared" si="1"/>
        <v>46013</v>
      </c>
      <c r="B15114" s="37" t="str">
        <f t="array" ref="B15114">iferror(xlookup($I15114, 'IMPORT VHC Report'!$E:$E, 'IMPORT VHC Report'!$A:$C), )</f>
        <v/>
      </c>
      <c r="C15114" s="44"/>
      <c r="D15114" s="44"/>
      <c r="E15114" s="46" t="s">
        <v>11275</v>
      </c>
      <c r="F15114" s="46" t="s">
        <v>7182</v>
      </c>
      <c r="G15114" s="46">
        <v>7.235417198991E12</v>
      </c>
      <c r="H15114" s="46" t="s">
        <v>7183</v>
      </c>
      <c r="I15114" s="46" t="s">
        <v>7184</v>
      </c>
      <c r="J15114" s="46" t="s">
        <v>132</v>
      </c>
      <c r="K15114" s="46" t="s">
        <v>126</v>
      </c>
      <c r="L15114" s="45">
        <v>46017.916666666664</v>
      </c>
      <c r="M15114" s="46" t="s">
        <v>123</v>
      </c>
      <c r="N15114" s="45">
        <v>46017.958333333336</v>
      </c>
      <c r="O15114" s="46" t="s">
        <v>123</v>
      </c>
      <c r="P15114" s="46">
        <v>3600.0</v>
      </c>
    </row>
    <row r="15115">
      <c r="A15115" s="40">
        <f t="shared" si="1"/>
        <v>46013</v>
      </c>
      <c r="B15115" s="37" t="str">
        <f t="array" ref="B15115">iferror(xlookup($I15115, 'IMPORT VHC Report'!$E:$E, 'IMPORT VHC Report'!$A:$C), )</f>
        <v/>
      </c>
      <c r="C15115" s="44"/>
      <c r="D15115" s="44"/>
      <c r="E15115" s="46" t="s">
        <v>11276</v>
      </c>
      <c r="F15115" s="46" t="s">
        <v>7182</v>
      </c>
      <c r="G15115" s="46">
        <v>7.235417198991E12</v>
      </c>
      <c r="H15115" s="46" t="s">
        <v>7183</v>
      </c>
      <c r="I15115" s="46" t="s">
        <v>7184</v>
      </c>
      <c r="J15115" s="46" t="s">
        <v>791</v>
      </c>
      <c r="K15115" s="46" t="s">
        <v>63</v>
      </c>
      <c r="L15115" s="45">
        <v>46018.583333333336</v>
      </c>
      <c r="M15115" s="46" t="s">
        <v>123</v>
      </c>
      <c r="N15115" s="45">
        <v>46018.958333333336</v>
      </c>
      <c r="O15115" s="46" t="s">
        <v>123</v>
      </c>
      <c r="P15115" s="46">
        <v>32400.0</v>
      </c>
    </row>
    <row r="15116">
      <c r="A15116" s="40">
        <f t="shared" si="1"/>
        <v>46013</v>
      </c>
      <c r="B15116" s="37" t="str">
        <f t="array" ref="B15116">iferror(xlookup($I15116, 'IMPORT VHC Report'!$E:$E, 'IMPORT VHC Report'!$A:$C), )</f>
        <v/>
      </c>
      <c r="C15116" s="44"/>
      <c r="D15116" s="44"/>
      <c r="E15116" s="46" t="s">
        <v>11277</v>
      </c>
      <c r="F15116" s="46" t="s">
        <v>7182</v>
      </c>
      <c r="G15116" s="46">
        <v>7.235417198991E12</v>
      </c>
      <c r="H15116" s="46" t="s">
        <v>7183</v>
      </c>
      <c r="I15116" s="46" t="s">
        <v>7184</v>
      </c>
      <c r="J15116" s="46" t="s">
        <v>134</v>
      </c>
      <c r="K15116" s="46" t="s">
        <v>126</v>
      </c>
      <c r="L15116" s="45">
        <v>46018.833333333336</v>
      </c>
      <c r="M15116" s="46" t="s">
        <v>123</v>
      </c>
      <c r="N15116" s="45">
        <v>46018.854166666664</v>
      </c>
      <c r="O15116" s="46" t="s">
        <v>123</v>
      </c>
      <c r="P15116" s="46">
        <v>1800.0</v>
      </c>
    </row>
    <row r="15117">
      <c r="A15117" s="40">
        <f t="shared" si="1"/>
        <v>46013</v>
      </c>
      <c r="B15117" s="37" t="str">
        <f t="array" ref="B15117">iferror(xlookup($I15117, 'IMPORT VHC Report'!$E:$E, 'IMPORT VHC Report'!$A:$C), )</f>
        <v/>
      </c>
      <c r="C15117" s="44"/>
      <c r="D15117" s="44"/>
      <c r="E15117" s="46" t="s">
        <v>11278</v>
      </c>
      <c r="F15117" s="46" t="s">
        <v>7182</v>
      </c>
      <c r="G15117" s="46">
        <v>7.235417198991E12</v>
      </c>
      <c r="H15117" s="46" t="s">
        <v>7183</v>
      </c>
      <c r="I15117" s="46" t="s">
        <v>7184</v>
      </c>
      <c r="J15117" s="46" t="s">
        <v>132</v>
      </c>
      <c r="K15117" s="46" t="s">
        <v>126</v>
      </c>
      <c r="L15117" s="45">
        <v>46018.854166666664</v>
      </c>
      <c r="M15117" s="46" t="s">
        <v>123</v>
      </c>
      <c r="N15117" s="45">
        <v>46018.895833333336</v>
      </c>
      <c r="O15117" s="46" t="s">
        <v>123</v>
      </c>
      <c r="P15117" s="46">
        <v>3600.0</v>
      </c>
    </row>
    <row r="15118">
      <c r="A15118" s="40">
        <f t="shared" si="1"/>
        <v>46013</v>
      </c>
      <c r="B15118" s="37" t="str">
        <f t="array" ref="B15118">iferror(xlookup($I15118, 'IMPORT VHC Report'!$E:$E, 'IMPORT VHC Report'!$A:$C), )</f>
        <v/>
      </c>
      <c r="C15118" s="44"/>
      <c r="D15118" s="44"/>
      <c r="E15118" s="46" t="s">
        <v>11279</v>
      </c>
      <c r="F15118" s="46" t="s">
        <v>7252</v>
      </c>
      <c r="G15118" s="46">
        <v>8.409869745551E12</v>
      </c>
      <c r="H15118" s="46" t="s">
        <v>7253</v>
      </c>
      <c r="I15118" s="46" t="s">
        <v>65</v>
      </c>
      <c r="J15118" s="46" t="s">
        <v>791</v>
      </c>
      <c r="K15118" s="46" t="s">
        <v>63</v>
      </c>
      <c r="L15118" s="45">
        <v>46014.583333333336</v>
      </c>
      <c r="M15118" s="46" t="s">
        <v>123</v>
      </c>
      <c r="N15118" s="45">
        <v>46014.958333333336</v>
      </c>
      <c r="O15118" s="46" t="s">
        <v>123</v>
      </c>
      <c r="P15118" s="46">
        <v>32400.0</v>
      </c>
    </row>
    <row r="15119">
      <c r="A15119" s="40">
        <f t="shared" si="1"/>
        <v>46013</v>
      </c>
      <c r="B15119" s="37" t="str">
        <f t="array" ref="B15119">iferror(xlookup($I15119, 'IMPORT VHC Report'!$E:$E, 'IMPORT VHC Report'!$A:$C), )</f>
        <v/>
      </c>
      <c r="C15119" s="44"/>
      <c r="D15119" s="44"/>
      <c r="E15119" s="46" t="s">
        <v>11280</v>
      </c>
      <c r="F15119" s="46" t="s">
        <v>7252</v>
      </c>
      <c r="G15119" s="46">
        <v>8.409869745551E12</v>
      </c>
      <c r="H15119" s="46" t="s">
        <v>7253</v>
      </c>
      <c r="I15119" s="46" t="s">
        <v>65</v>
      </c>
      <c r="J15119" s="46" t="s">
        <v>136</v>
      </c>
      <c r="K15119" s="46" t="s">
        <v>126</v>
      </c>
      <c r="L15119" s="45">
        <v>46014.58541666667</v>
      </c>
      <c r="M15119" s="46" t="s">
        <v>123</v>
      </c>
      <c r="N15119" s="45">
        <v>46014.60625</v>
      </c>
      <c r="O15119" s="46" t="s">
        <v>123</v>
      </c>
      <c r="P15119" s="46">
        <v>1800.0</v>
      </c>
      <c r="S15119" s="46" t="s">
        <v>137</v>
      </c>
    </row>
    <row r="15120">
      <c r="A15120" s="40">
        <f t="shared" si="1"/>
        <v>46013</v>
      </c>
      <c r="B15120" s="37" t="str">
        <f t="array" ref="B15120">iferror(xlookup($I15120, 'IMPORT VHC Report'!$E:$E, 'IMPORT VHC Report'!$A:$C), )</f>
        <v/>
      </c>
      <c r="C15120" s="44"/>
      <c r="D15120" s="44"/>
      <c r="E15120" s="46" t="s">
        <v>11281</v>
      </c>
      <c r="F15120" s="46" t="s">
        <v>7252</v>
      </c>
      <c r="G15120" s="46">
        <v>8.409869745551E12</v>
      </c>
      <c r="H15120" s="46" t="s">
        <v>7253</v>
      </c>
      <c r="I15120" s="46" t="s">
        <v>65</v>
      </c>
      <c r="J15120" s="46" t="s">
        <v>134</v>
      </c>
      <c r="K15120" s="46" t="s">
        <v>126</v>
      </c>
      <c r="L15120" s="45">
        <v>46014.711805555555</v>
      </c>
      <c r="M15120" s="46" t="s">
        <v>123</v>
      </c>
      <c r="N15120" s="45">
        <v>46014.73263888889</v>
      </c>
      <c r="O15120" s="46" t="s">
        <v>123</v>
      </c>
      <c r="P15120" s="46">
        <v>1800.0</v>
      </c>
    </row>
    <row r="15121">
      <c r="A15121" s="40">
        <f t="shared" si="1"/>
        <v>46013</v>
      </c>
      <c r="B15121" s="37" t="str">
        <f t="array" ref="B15121">iferror(xlookup($I15121, 'IMPORT VHC Report'!$E:$E, 'IMPORT VHC Report'!$A:$C), )</f>
        <v/>
      </c>
      <c r="C15121" s="44"/>
      <c r="D15121" s="44"/>
      <c r="E15121" s="46" t="s">
        <v>11282</v>
      </c>
      <c r="F15121" s="46" t="s">
        <v>7252</v>
      </c>
      <c r="G15121" s="46">
        <v>8.409869745551E12</v>
      </c>
      <c r="H15121" s="46" t="s">
        <v>7253</v>
      </c>
      <c r="I15121" s="46" t="s">
        <v>65</v>
      </c>
      <c r="J15121" s="46" t="s">
        <v>132</v>
      </c>
      <c r="K15121" s="46" t="s">
        <v>126</v>
      </c>
      <c r="L15121" s="45">
        <v>46014.73263888889</v>
      </c>
      <c r="M15121" s="46" t="s">
        <v>123</v>
      </c>
      <c r="N15121" s="45">
        <v>46014.774305555555</v>
      </c>
      <c r="O15121" s="46" t="s">
        <v>123</v>
      </c>
      <c r="P15121" s="46">
        <v>3600.0</v>
      </c>
    </row>
    <row r="15122">
      <c r="A15122" s="40">
        <f t="shared" si="1"/>
        <v>46013</v>
      </c>
      <c r="B15122" s="37" t="str">
        <f t="array" ref="B15122">iferror(xlookup($I15122, 'IMPORT VHC Report'!$E:$E, 'IMPORT VHC Report'!$A:$C), )</f>
        <v/>
      </c>
      <c r="C15122" s="44"/>
      <c r="D15122" s="44"/>
      <c r="E15122" s="46" t="s">
        <v>11283</v>
      </c>
      <c r="F15122" s="46" t="s">
        <v>7252</v>
      </c>
      <c r="G15122" s="46">
        <v>8.409869745551E12</v>
      </c>
      <c r="H15122" s="46" t="s">
        <v>7253</v>
      </c>
      <c r="I15122" s="46" t="s">
        <v>65</v>
      </c>
      <c r="J15122" s="46" t="s">
        <v>62</v>
      </c>
      <c r="K15122" s="46" t="s">
        <v>63</v>
      </c>
      <c r="L15122" s="45">
        <v>46015.583333333336</v>
      </c>
      <c r="M15122" s="46" t="s">
        <v>123</v>
      </c>
      <c r="N15122" s="45">
        <v>46015.75</v>
      </c>
      <c r="O15122" s="46" t="s">
        <v>123</v>
      </c>
      <c r="P15122" s="46">
        <v>14400.0</v>
      </c>
    </row>
    <row r="15123">
      <c r="A15123" s="40">
        <f t="shared" si="1"/>
        <v>46013</v>
      </c>
      <c r="B15123" s="37" t="str">
        <f t="array" ref="B15123">iferror(xlookup($I15123, 'IMPORT VHC Report'!$E:$E, 'IMPORT VHC Report'!$A:$C), )</f>
        <v/>
      </c>
      <c r="C15123" s="44"/>
      <c r="D15123" s="44"/>
      <c r="E15123" s="46" t="s">
        <v>11284</v>
      </c>
      <c r="F15123" s="46" t="s">
        <v>7252</v>
      </c>
      <c r="G15123" s="46">
        <v>8.409869745551E12</v>
      </c>
      <c r="H15123" s="46" t="s">
        <v>7253</v>
      </c>
      <c r="I15123" s="46" t="s">
        <v>65</v>
      </c>
      <c r="J15123" s="46" t="s">
        <v>136</v>
      </c>
      <c r="K15123" s="46" t="s">
        <v>126</v>
      </c>
      <c r="L15123" s="45">
        <v>46015.597916666666</v>
      </c>
      <c r="M15123" s="46" t="s">
        <v>123</v>
      </c>
      <c r="N15123" s="45">
        <v>46015.611805555556</v>
      </c>
      <c r="O15123" s="46" t="s">
        <v>123</v>
      </c>
      <c r="P15123" s="46">
        <v>1200.0</v>
      </c>
      <c r="S15123" s="46" t="s">
        <v>11285</v>
      </c>
    </row>
    <row r="15124">
      <c r="A15124" s="40">
        <f t="shared" si="1"/>
        <v>46013</v>
      </c>
      <c r="B15124" s="37" t="str">
        <f t="array" ref="B15124">iferror(xlookup($I15124, 'IMPORT VHC Report'!$E:$E, 'IMPORT VHC Report'!$A:$C), )</f>
        <v/>
      </c>
      <c r="C15124" s="44"/>
      <c r="D15124" s="44"/>
      <c r="E15124" s="46" t="s">
        <v>11286</v>
      </c>
      <c r="F15124" s="46" t="s">
        <v>7252</v>
      </c>
      <c r="G15124" s="46">
        <v>8.409869745551E12</v>
      </c>
      <c r="H15124" s="46" t="s">
        <v>7253</v>
      </c>
      <c r="I15124" s="46" t="s">
        <v>65</v>
      </c>
      <c r="J15124" s="46" t="s">
        <v>4</v>
      </c>
      <c r="K15124" s="46" t="s">
        <v>126</v>
      </c>
      <c r="L15124" s="45">
        <v>46015.66736111111</v>
      </c>
      <c r="M15124" s="46" t="s">
        <v>123</v>
      </c>
      <c r="N15124" s="45">
        <v>46015.6875</v>
      </c>
      <c r="O15124" s="46" t="s">
        <v>123</v>
      </c>
      <c r="P15124" s="46">
        <v>1740.0</v>
      </c>
    </row>
    <row r="15125">
      <c r="A15125" s="40">
        <f t="shared" si="1"/>
        <v>46013</v>
      </c>
      <c r="B15125" s="37" t="str">
        <f t="array" ref="B15125">iferror(xlookup($I15125, 'IMPORT VHC Report'!$E:$E, 'IMPORT VHC Report'!$A:$C), )</f>
        <v/>
      </c>
      <c r="C15125" s="44"/>
      <c r="D15125" s="44"/>
      <c r="E15125" s="46" t="s">
        <v>11287</v>
      </c>
      <c r="F15125" s="46" t="s">
        <v>7252</v>
      </c>
      <c r="G15125" s="46">
        <v>8.409869745551E12</v>
      </c>
      <c r="H15125" s="46" t="s">
        <v>7253</v>
      </c>
      <c r="I15125" s="46" t="s">
        <v>65</v>
      </c>
      <c r="J15125" s="46" t="s">
        <v>791</v>
      </c>
      <c r="K15125" s="46" t="s">
        <v>63</v>
      </c>
      <c r="L15125" s="45">
        <v>46015.75</v>
      </c>
      <c r="M15125" s="46" t="s">
        <v>123</v>
      </c>
      <c r="N15125" s="45">
        <v>46015.958333333336</v>
      </c>
      <c r="O15125" s="46" t="s">
        <v>123</v>
      </c>
      <c r="P15125" s="46">
        <v>18000.0</v>
      </c>
    </row>
    <row r="15126">
      <c r="A15126" s="40">
        <f t="shared" si="1"/>
        <v>46013</v>
      </c>
      <c r="B15126" s="37" t="str">
        <f t="array" ref="B15126">iferror(xlookup($I15126, 'IMPORT VHC Report'!$E:$E, 'IMPORT VHC Report'!$A:$C), )</f>
        <v/>
      </c>
      <c r="C15126" s="44"/>
      <c r="D15126" s="44"/>
      <c r="E15126" s="46" t="s">
        <v>11288</v>
      </c>
      <c r="F15126" s="46" t="s">
        <v>7252</v>
      </c>
      <c r="G15126" s="46">
        <v>8.409869745551E12</v>
      </c>
      <c r="H15126" s="46" t="s">
        <v>7253</v>
      </c>
      <c r="I15126" s="46" t="s">
        <v>65</v>
      </c>
      <c r="J15126" s="46" t="s">
        <v>134</v>
      </c>
      <c r="K15126" s="46" t="s">
        <v>126</v>
      </c>
      <c r="L15126" s="45">
        <v>46015.895833333336</v>
      </c>
      <c r="M15126" s="46" t="s">
        <v>123</v>
      </c>
      <c r="N15126" s="45">
        <v>46015.916666666664</v>
      </c>
      <c r="O15126" s="46" t="s">
        <v>123</v>
      </c>
      <c r="P15126" s="46">
        <v>1800.0</v>
      </c>
    </row>
    <row r="15127">
      <c r="A15127" s="40">
        <f t="shared" si="1"/>
        <v>46013</v>
      </c>
      <c r="B15127" s="37" t="str">
        <f t="array" ref="B15127">iferror(xlookup($I15127, 'IMPORT VHC Report'!$E:$E, 'IMPORT VHC Report'!$A:$C), )</f>
        <v/>
      </c>
      <c r="C15127" s="44"/>
      <c r="D15127" s="44"/>
      <c r="E15127" s="46" t="s">
        <v>11289</v>
      </c>
      <c r="F15127" s="46" t="s">
        <v>7252</v>
      </c>
      <c r="G15127" s="46">
        <v>8.409869745551E12</v>
      </c>
      <c r="H15127" s="46" t="s">
        <v>7253</v>
      </c>
      <c r="I15127" s="46" t="s">
        <v>65</v>
      </c>
      <c r="J15127" s="46" t="s">
        <v>132</v>
      </c>
      <c r="K15127" s="46" t="s">
        <v>126</v>
      </c>
      <c r="L15127" s="45">
        <v>46015.916666666664</v>
      </c>
      <c r="M15127" s="46" t="s">
        <v>123</v>
      </c>
      <c r="N15127" s="45">
        <v>46015.958333333336</v>
      </c>
      <c r="O15127" s="46" t="s">
        <v>123</v>
      </c>
      <c r="P15127" s="46">
        <v>3600.0</v>
      </c>
    </row>
    <row r="15128">
      <c r="A15128" s="40">
        <f t="shared" si="1"/>
        <v>46013</v>
      </c>
      <c r="B15128" s="37" t="str">
        <f t="array" ref="B15128">iferror(xlookup($I15128, 'IMPORT VHC Report'!$E:$E, 'IMPORT VHC Report'!$A:$C), )</f>
        <v/>
      </c>
      <c r="C15128" s="44"/>
      <c r="D15128" s="44"/>
      <c r="E15128" s="46" t="s">
        <v>11290</v>
      </c>
      <c r="F15128" s="46" t="s">
        <v>7252</v>
      </c>
      <c r="G15128" s="46">
        <v>8.409869745551E12</v>
      </c>
      <c r="H15128" s="46" t="s">
        <v>7253</v>
      </c>
      <c r="I15128" s="46" t="s">
        <v>65</v>
      </c>
      <c r="J15128" s="46" t="s">
        <v>791</v>
      </c>
      <c r="K15128" s="46" t="s">
        <v>63</v>
      </c>
      <c r="L15128" s="45">
        <v>46016.583333333336</v>
      </c>
      <c r="M15128" s="46" t="s">
        <v>123</v>
      </c>
      <c r="N15128" s="45">
        <v>46016.958333333336</v>
      </c>
      <c r="O15128" s="46" t="s">
        <v>123</v>
      </c>
      <c r="P15128" s="46">
        <v>32400.0</v>
      </c>
    </row>
    <row r="15129">
      <c r="A15129" s="40">
        <f t="shared" si="1"/>
        <v>46013</v>
      </c>
      <c r="B15129" s="37" t="str">
        <f t="array" ref="B15129">iferror(xlookup($I15129, 'IMPORT VHC Report'!$E:$E, 'IMPORT VHC Report'!$A:$C), )</f>
        <v/>
      </c>
      <c r="C15129" s="44"/>
      <c r="D15129" s="44"/>
      <c r="E15129" s="46" t="s">
        <v>11291</v>
      </c>
      <c r="F15129" s="46" t="s">
        <v>7252</v>
      </c>
      <c r="G15129" s="46">
        <v>8.409869745551E12</v>
      </c>
      <c r="H15129" s="46" t="s">
        <v>7253</v>
      </c>
      <c r="I15129" s="46" t="s">
        <v>65</v>
      </c>
      <c r="J15129" s="46" t="s">
        <v>132</v>
      </c>
      <c r="K15129" s="46" t="s">
        <v>126</v>
      </c>
      <c r="L15129" s="45">
        <v>46016.833333333336</v>
      </c>
      <c r="M15129" s="46" t="s">
        <v>123</v>
      </c>
      <c r="N15129" s="45">
        <v>46016.875</v>
      </c>
      <c r="O15129" s="46" t="s">
        <v>123</v>
      </c>
      <c r="P15129" s="46">
        <v>3600.0</v>
      </c>
    </row>
    <row r="15130">
      <c r="A15130" s="40">
        <f t="shared" si="1"/>
        <v>46013</v>
      </c>
      <c r="B15130" s="37" t="str">
        <f t="array" ref="B15130">iferror(xlookup($I15130, 'IMPORT VHC Report'!$E:$E, 'IMPORT VHC Report'!$A:$C), )</f>
        <v/>
      </c>
      <c r="C15130" s="44"/>
      <c r="D15130" s="44"/>
      <c r="E15130" s="46" t="s">
        <v>11292</v>
      </c>
      <c r="F15130" s="46" t="s">
        <v>7252</v>
      </c>
      <c r="G15130" s="46">
        <v>8.409869745551E12</v>
      </c>
      <c r="H15130" s="46" t="s">
        <v>7253</v>
      </c>
      <c r="I15130" s="46" t="s">
        <v>65</v>
      </c>
      <c r="J15130" s="46" t="s">
        <v>134</v>
      </c>
      <c r="K15130" s="46" t="s">
        <v>126</v>
      </c>
      <c r="L15130" s="45">
        <v>46016.875</v>
      </c>
      <c r="M15130" s="46" t="s">
        <v>123</v>
      </c>
      <c r="N15130" s="45">
        <v>46016.895833333336</v>
      </c>
      <c r="O15130" s="46" t="s">
        <v>123</v>
      </c>
      <c r="P15130" s="46">
        <v>1800.0</v>
      </c>
    </row>
    <row r="15131">
      <c r="A15131" s="40">
        <f t="shared" si="1"/>
        <v>46013</v>
      </c>
      <c r="B15131" s="37" t="str">
        <f t="array" ref="B15131">iferror(xlookup($I15131, 'IMPORT VHC Report'!$E:$E, 'IMPORT VHC Report'!$A:$C), )</f>
        <v/>
      </c>
      <c r="C15131" s="44"/>
      <c r="D15131" s="44"/>
      <c r="E15131" s="46" t="s">
        <v>11293</v>
      </c>
      <c r="F15131" s="46" t="s">
        <v>7252</v>
      </c>
      <c r="G15131" s="46">
        <v>8.409869745551E12</v>
      </c>
      <c r="H15131" s="46" t="s">
        <v>7253</v>
      </c>
      <c r="I15131" s="46" t="s">
        <v>65</v>
      </c>
      <c r="J15131" s="46" t="s">
        <v>791</v>
      </c>
      <c r="K15131" s="46" t="s">
        <v>63</v>
      </c>
      <c r="L15131" s="45">
        <v>46017.583333333336</v>
      </c>
      <c r="M15131" s="46" t="s">
        <v>123</v>
      </c>
      <c r="N15131" s="45">
        <v>46017.958333333336</v>
      </c>
      <c r="O15131" s="46" t="s">
        <v>123</v>
      </c>
      <c r="P15131" s="46">
        <v>32400.0</v>
      </c>
    </row>
    <row r="15132">
      <c r="A15132" s="40">
        <f t="shared" si="1"/>
        <v>46013</v>
      </c>
      <c r="B15132" s="37" t="str">
        <f t="array" ref="B15132">iferror(xlookup($I15132, 'IMPORT VHC Report'!$E:$E, 'IMPORT VHC Report'!$A:$C), )</f>
        <v/>
      </c>
      <c r="C15132" s="44"/>
      <c r="D15132" s="44"/>
      <c r="E15132" s="46" t="s">
        <v>11294</v>
      </c>
      <c r="F15132" s="46" t="s">
        <v>7252</v>
      </c>
      <c r="G15132" s="46">
        <v>8.409869745551E12</v>
      </c>
      <c r="H15132" s="46" t="s">
        <v>7253</v>
      </c>
      <c r="I15132" s="46" t="s">
        <v>65</v>
      </c>
      <c r="J15132" s="46" t="s">
        <v>132</v>
      </c>
      <c r="K15132" s="46" t="s">
        <v>126</v>
      </c>
      <c r="L15132" s="45">
        <v>46017.833333333336</v>
      </c>
      <c r="M15132" s="46" t="s">
        <v>123</v>
      </c>
      <c r="N15132" s="45">
        <v>46017.875</v>
      </c>
      <c r="O15132" s="46" t="s">
        <v>123</v>
      </c>
      <c r="P15132" s="46">
        <v>3600.0</v>
      </c>
    </row>
    <row r="15133">
      <c r="A15133" s="40">
        <f t="shared" si="1"/>
        <v>46013</v>
      </c>
      <c r="B15133" s="37" t="str">
        <f t="array" ref="B15133">iferror(xlookup($I15133, 'IMPORT VHC Report'!$E:$E, 'IMPORT VHC Report'!$A:$C), )</f>
        <v/>
      </c>
      <c r="C15133" s="44"/>
      <c r="D15133" s="44"/>
      <c r="E15133" s="46" t="s">
        <v>11295</v>
      </c>
      <c r="F15133" s="46" t="s">
        <v>7252</v>
      </c>
      <c r="G15133" s="46">
        <v>8.409869745551E12</v>
      </c>
      <c r="H15133" s="46" t="s">
        <v>7253</v>
      </c>
      <c r="I15133" s="46" t="s">
        <v>65</v>
      </c>
      <c r="J15133" s="46" t="s">
        <v>134</v>
      </c>
      <c r="K15133" s="46" t="s">
        <v>126</v>
      </c>
      <c r="L15133" s="45">
        <v>46017.875</v>
      </c>
      <c r="M15133" s="46" t="s">
        <v>123</v>
      </c>
      <c r="N15133" s="45">
        <v>46017.895833333336</v>
      </c>
      <c r="O15133" s="46" t="s">
        <v>123</v>
      </c>
      <c r="P15133" s="46">
        <v>1800.0</v>
      </c>
    </row>
    <row r="15134">
      <c r="A15134" s="40">
        <f t="shared" si="1"/>
        <v>46013</v>
      </c>
      <c r="B15134" s="37" t="str">
        <f t="array" ref="B15134">iferror(xlookup($I15134, 'IMPORT VHC Report'!$E:$E, 'IMPORT VHC Report'!$A:$C), )</f>
        <v/>
      </c>
      <c r="C15134" s="44"/>
      <c r="D15134" s="44"/>
      <c r="E15134" s="46" t="s">
        <v>11296</v>
      </c>
      <c r="F15134" s="46" t="s">
        <v>7252</v>
      </c>
      <c r="G15134" s="46">
        <v>8.409869745551E12</v>
      </c>
      <c r="H15134" s="46" t="s">
        <v>7253</v>
      </c>
      <c r="I15134" s="46" t="s">
        <v>65</v>
      </c>
      <c r="J15134" s="46" t="s">
        <v>791</v>
      </c>
      <c r="K15134" s="46" t="s">
        <v>63</v>
      </c>
      <c r="L15134" s="45">
        <v>46018.583333333336</v>
      </c>
      <c r="M15134" s="46" t="s">
        <v>123</v>
      </c>
      <c r="N15134" s="45">
        <v>46018.958333333336</v>
      </c>
      <c r="O15134" s="46" t="s">
        <v>123</v>
      </c>
      <c r="P15134" s="46">
        <v>32400.0</v>
      </c>
    </row>
    <row r="15135">
      <c r="A15135" s="40">
        <f t="shared" si="1"/>
        <v>46013</v>
      </c>
      <c r="B15135" s="37" t="str">
        <f t="array" ref="B15135">iferror(xlookup($I15135, 'IMPORT VHC Report'!$E:$E, 'IMPORT VHC Report'!$A:$C), )</f>
        <v/>
      </c>
      <c r="C15135" s="44"/>
      <c r="D15135" s="44"/>
      <c r="E15135" s="46" t="s">
        <v>11297</v>
      </c>
      <c r="F15135" s="46" t="s">
        <v>7252</v>
      </c>
      <c r="G15135" s="46">
        <v>8.409869745551E12</v>
      </c>
      <c r="H15135" s="46" t="s">
        <v>7253</v>
      </c>
      <c r="I15135" s="46" t="s">
        <v>65</v>
      </c>
      <c r="J15135" s="46" t="s">
        <v>132</v>
      </c>
      <c r="K15135" s="46" t="s">
        <v>126</v>
      </c>
      <c r="L15135" s="45">
        <v>46018.833333333336</v>
      </c>
      <c r="M15135" s="46" t="s">
        <v>123</v>
      </c>
      <c r="N15135" s="45">
        <v>46018.875</v>
      </c>
      <c r="O15135" s="46" t="s">
        <v>123</v>
      </c>
      <c r="P15135" s="46">
        <v>3600.0</v>
      </c>
    </row>
    <row r="15136">
      <c r="A15136" s="40">
        <f t="shared" si="1"/>
        <v>46013</v>
      </c>
      <c r="B15136" s="37" t="str">
        <f t="array" ref="B15136">iferror(xlookup($I15136, 'IMPORT VHC Report'!$E:$E, 'IMPORT VHC Report'!$A:$C), )</f>
        <v/>
      </c>
      <c r="C15136" s="44"/>
      <c r="D15136" s="44"/>
      <c r="E15136" s="46" t="s">
        <v>11298</v>
      </c>
      <c r="F15136" s="46" t="s">
        <v>7252</v>
      </c>
      <c r="G15136" s="46">
        <v>8.409869745551E12</v>
      </c>
      <c r="H15136" s="46" t="s">
        <v>7253</v>
      </c>
      <c r="I15136" s="46" t="s">
        <v>65</v>
      </c>
      <c r="J15136" s="46" t="s">
        <v>134</v>
      </c>
      <c r="K15136" s="46" t="s">
        <v>126</v>
      </c>
      <c r="L15136" s="45">
        <v>46018.875</v>
      </c>
      <c r="M15136" s="46" t="s">
        <v>123</v>
      </c>
      <c r="N15136" s="45">
        <v>46018.895833333336</v>
      </c>
      <c r="O15136" s="46" t="s">
        <v>123</v>
      </c>
      <c r="P15136" s="46">
        <v>1800.0</v>
      </c>
    </row>
    <row r="15137">
      <c r="A15137" s="40">
        <f t="shared" si="1"/>
        <v>46013</v>
      </c>
      <c r="B15137" s="37" t="str">
        <f t="array" ref="B15137">iferror(xlookup($I15137, 'IMPORT VHC Report'!$E:$E, 'IMPORT VHC Report'!$A:$C), )</f>
        <v/>
      </c>
      <c r="C15137" s="44"/>
      <c r="D15137" s="44"/>
      <c r="E15137" s="46" t="s">
        <v>11299</v>
      </c>
      <c r="F15137" s="46" t="s">
        <v>814</v>
      </c>
      <c r="G15137" s="46">
        <v>8.139562541455E12</v>
      </c>
      <c r="H15137" s="46" t="s">
        <v>88</v>
      </c>
      <c r="I15137" s="46" t="s">
        <v>89</v>
      </c>
      <c r="J15137" s="46" t="s">
        <v>62</v>
      </c>
      <c r="K15137" s="46" t="s">
        <v>63</v>
      </c>
      <c r="L15137" s="45">
        <v>46014.916666666664</v>
      </c>
      <c r="M15137" s="46" t="s">
        <v>123</v>
      </c>
      <c r="N15137" s="45">
        <v>46015.083333333336</v>
      </c>
      <c r="O15137" s="46" t="s">
        <v>123</v>
      </c>
      <c r="P15137" s="46">
        <v>14400.0</v>
      </c>
    </row>
    <row r="15138">
      <c r="A15138" s="40">
        <f t="shared" si="1"/>
        <v>46013</v>
      </c>
      <c r="B15138" s="37" t="str">
        <f t="array" ref="B15138">iferror(xlookup($I15138, 'IMPORT VHC Report'!$E:$E, 'IMPORT VHC Report'!$A:$C), )</f>
        <v/>
      </c>
      <c r="C15138" s="44"/>
      <c r="D15138" s="44"/>
      <c r="E15138" s="46" t="s">
        <v>11300</v>
      </c>
      <c r="F15138" s="46" t="s">
        <v>814</v>
      </c>
      <c r="G15138" s="46">
        <v>8.139562541455E12</v>
      </c>
      <c r="H15138" s="46" t="s">
        <v>88</v>
      </c>
      <c r="I15138" s="46" t="s">
        <v>89</v>
      </c>
      <c r="J15138" s="46" t="s">
        <v>791</v>
      </c>
      <c r="K15138" s="46" t="s">
        <v>63</v>
      </c>
      <c r="L15138" s="45">
        <v>46015.083333333336</v>
      </c>
      <c r="M15138" s="46" t="s">
        <v>123</v>
      </c>
      <c r="N15138" s="45">
        <v>46015.291666666664</v>
      </c>
      <c r="O15138" s="46" t="s">
        <v>123</v>
      </c>
      <c r="P15138" s="46">
        <v>18000.0</v>
      </c>
    </row>
    <row r="15139">
      <c r="A15139" s="40">
        <f t="shared" si="1"/>
        <v>46013</v>
      </c>
      <c r="B15139" s="37" t="str">
        <f t="array" ref="B15139">iferror(xlookup($I15139, 'IMPORT VHC Report'!$E:$E, 'IMPORT VHC Report'!$A:$C), )</f>
        <v/>
      </c>
      <c r="C15139" s="44"/>
      <c r="D15139" s="44"/>
      <c r="E15139" s="46" t="s">
        <v>11301</v>
      </c>
      <c r="F15139" s="46" t="s">
        <v>814</v>
      </c>
      <c r="G15139" s="46">
        <v>8.139562541455E12</v>
      </c>
      <c r="H15139" s="46" t="s">
        <v>88</v>
      </c>
      <c r="I15139" s="46" t="s">
        <v>89</v>
      </c>
      <c r="J15139" s="46" t="s">
        <v>134</v>
      </c>
      <c r="K15139" s="46" t="s">
        <v>126</v>
      </c>
      <c r="L15139" s="45">
        <v>46015.166666666664</v>
      </c>
      <c r="M15139" s="46" t="s">
        <v>123</v>
      </c>
      <c r="N15139" s="45">
        <v>46015.1875</v>
      </c>
      <c r="O15139" s="46" t="s">
        <v>123</v>
      </c>
      <c r="P15139" s="46">
        <v>1800.0</v>
      </c>
    </row>
    <row r="15140">
      <c r="A15140" s="40">
        <f t="shared" si="1"/>
        <v>46013</v>
      </c>
      <c r="B15140" s="37" t="str">
        <f t="array" ref="B15140">iferror(xlookup($I15140, 'IMPORT VHC Report'!$E:$E, 'IMPORT VHC Report'!$A:$C), )</f>
        <v/>
      </c>
      <c r="C15140" s="44"/>
      <c r="D15140" s="44"/>
      <c r="E15140" s="46" t="s">
        <v>11302</v>
      </c>
      <c r="F15140" s="46" t="s">
        <v>814</v>
      </c>
      <c r="G15140" s="46">
        <v>8.139562541455E12</v>
      </c>
      <c r="H15140" s="46" t="s">
        <v>88</v>
      </c>
      <c r="I15140" s="46" t="s">
        <v>89</v>
      </c>
      <c r="J15140" s="46" t="s">
        <v>132</v>
      </c>
      <c r="K15140" s="46" t="s">
        <v>126</v>
      </c>
      <c r="L15140" s="45">
        <v>46015.1875</v>
      </c>
      <c r="M15140" s="46" t="s">
        <v>123</v>
      </c>
      <c r="N15140" s="45">
        <v>46015.229166666664</v>
      </c>
      <c r="O15140" s="46" t="s">
        <v>123</v>
      </c>
      <c r="P15140" s="46">
        <v>3600.0</v>
      </c>
    </row>
    <row r="15141">
      <c r="A15141" s="40">
        <f t="shared" si="1"/>
        <v>46013</v>
      </c>
      <c r="B15141" s="37" t="str">
        <f t="array" ref="B15141">iferror(xlookup($I15141, 'IMPORT VHC Report'!$E:$E, 'IMPORT VHC Report'!$A:$C), )</f>
        <v/>
      </c>
      <c r="C15141" s="44"/>
      <c r="D15141" s="44"/>
      <c r="E15141" s="46" t="s">
        <v>11303</v>
      </c>
      <c r="F15141" s="46" t="s">
        <v>814</v>
      </c>
      <c r="G15141" s="46">
        <v>8.139562541455E12</v>
      </c>
      <c r="H15141" s="46" t="s">
        <v>88</v>
      </c>
      <c r="I15141" s="46" t="s">
        <v>89</v>
      </c>
      <c r="J15141" s="46" t="s">
        <v>791</v>
      </c>
      <c r="K15141" s="46" t="s">
        <v>63</v>
      </c>
      <c r="L15141" s="45">
        <v>46015.916666666664</v>
      </c>
      <c r="M15141" s="46" t="s">
        <v>123</v>
      </c>
      <c r="N15141" s="45">
        <v>46016.25</v>
      </c>
      <c r="O15141" s="46" t="s">
        <v>123</v>
      </c>
      <c r="P15141" s="46">
        <v>28800.0</v>
      </c>
    </row>
    <row r="15142">
      <c r="A15142" s="40">
        <f t="shared" si="1"/>
        <v>46013</v>
      </c>
      <c r="B15142" s="37" t="str">
        <f t="array" ref="B15142">iferror(xlookup($I15142, 'IMPORT VHC Report'!$E:$E, 'IMPORT VHC Report'!$A:$C), )</f>
        <v/>
      </c>
      <c r="C15142" s="44"/>
      <c r="D15142" s="44"/>
      <c r="E15142" s="46" t="s">
        <v>11304</v>
      </c>
      <c r="F15142" s="46" t="s">
        <v>814</v>
      </c>
      <c r="G15142" s="46">
        <v>8.139562541455E12</v>
      </c>
      <c r="H15142" s="46" t="s">
        <v>88</v>
      </c>
      <c r="I15142" s="46" t="s">
        <v>89</v>
      </c>
      <c r="J15142" s="46" t="s">
        <v>178</v>
      </c>
      <c r="K15142" s="46" t="s">
        <v>153</v>
      </c>
      <c r="L15142" s="45">
        <v>46015.916666666664</v>
      </c>
      <c r="M15142" s="46" t="s">
        <v>123</v>
      </c>
      <c r="N15142" s="45">
        <v>46016.25</v>
      </c>
      <c r="O15142" s="46" t="s">
        <v>123</v>
      </c>
      <c r="P15142" s="46">
        <v>28800.0</v>
      </c>
      <c r="Q15142" s="46">
        <v>28800.0</v>
      </c>
      <c r="R15142" s="46" t="s">
        <v>10242</v>
      </c>
      <c r="S15142" s="46" t="s">
        <v>10242</v>
      </c>
    </row>
    <row r="15143">
      <c r="A15143" s="40">
        <f t="shared" si="1"/>
        <v>46013</v>
      </c>
      <c r="B15143" s="37" t="str">
        <f t="array" ref="B15143">iferror(xlookup($I15143, 'IMPORT VHC Report'!$E:$E, 'IMPORT VHC Report'!$A:$C), )</f>
        <v/>
      </c>
      <c r="C15143" s="44"/>
      <c r="D15143" s="44"/>
      <c r="E15143" s="46" t="s">
        <v>11305</v>
      </c>
      <c r="F15143" s="46" t="s">
        <v>814</v>
      </c>
      <c r="G15143" s="46">
        <v>8.139562541455E12</v>
      </c>
      <c r="H15143" s="46" t="s">
        <v>88</v>
      </c>
      <c r="I15143" s="46" t="s">
        <v>89</v>
      </c>
      <c r="J15143" s="46" t="s">
        <v>136</v>
      </c>
      <c r="K15143" s="46" t="s">
        <v>126</v>
      </c>
      <c r="L15143" s="45">
        <v>46015.958333333336</v>
      </c>
      <c r="M15143" s="46" t="s">
        <v>123</v>
      </c>
      <c r="N15143" s="45">
        <v>46016.0</v>
      </c>
      <c r="O15143" s="46" t="s">
        <v>123</v>
      </c>
      <c r="P15143" s="46">
        <v>3600.0</v>
      </c>
      <c r="S15143" s="46" t="s">
        <v>137</v>
      </c>
    </row>
    <row r="15144">
      <c r="A15144" s="40">
        <f t="shared" si="1"/>
        <v>46013</v>
      </c>
      <c r="B15144" s="37" t="str">
        <f t="array" ref="B15144">iferror(xlookup($I15144, 'IMPORT VHC Report'!$E:$E, 'IMPORT VHC Report'!$A:$C), )</f>
        <v/>
      </c>
      <c r="C15144" s="44"/>
      <c r="D15144" s="44"/>
      <c r="E15144" s="46" t="s">
        <v>11306</v>
      </c>
      <c r="F15144" s="46" t="s">
        <v>814</v>
      </c>
      <c r="G15144" s="46">
        <v>8.139562541455E12</v>
      </c>
      <c r="H15144" s="46" t="s">
        <v>88</v>
      </c>
      <c r="I15144" s="46" t="s">
        <v>89</v>
      </c>
      <c r="J15144" s="46" t="s">
        <v>132</v>
      </c>
      <c r="K15144" s="46" t="s">
        <v>126</v>
      </c>
      <c r="L15144" s="45">
        <v>46016.1875</v>
      </c>
      <c r="M15144" s="46" t="s">
        <v>123</v>
      </c>
      <c r="N15144" s="45">
        <v>46016.229166666664</v>
      </c>
      <c r="O15144" s="46" t="s">
        <v>123</v>
      </c>
      <c r="P15144" s="46">
        <v>3600.0</v>
      </c>
    </row>
    <row r="15145">
      <c r="A15145" s="40">
        <f t="shared" si="1"/>
        <v>46013</v>
      </c>
      <c r="B15145" s="37" t="str">
        <f t="array" ref="B15145">iferror(xlookup($I15145, 'IMPORT VHC Report'!$E:$E, 'IMPORT VHC Report'!$A:$C), )</f>
        <v/>
      </c>
      <c r="C15145" s="44"/>
      <c r="D15145" s="44"/>
      <c r="E15145" s="46" t="s">
        <v>11307</v>
      </c>
      <c r="F15145" s="46" t="s">
        <v>814</v>
      </c>
      <c r="G15145" s="46">
        <v>8.139562541455E12</v>
      </c>
      <c r="H15145" s="46" t="s">
        <v>88</v>
      </c>
      <c r="I15145" s="46" t="s">
        <v>89</v>
      </c>
      <c r="J15145" s="46" t="s">
        <v>134</v>
      </c>
      <c r="K15145" s="46" t="s">
        <v>126</v>
      </c>
      <c r="L15145" s="45">
        <v>46016.229166666664</v>
      </c>
      <c r="M15145" s="46" t="s">
        <v>123</v>
      </c>
      <c r="N15145" s="45">
        <v>46016.25</v>
      </c>
      <c r="O15145" s="46" t="s">
        <v>123</v>
      </c>
      <c r="P15145" s="46">
        <v>1800.0</v>
      </c>
    </row>
    <row r="15146">
      <c r="A15146" s="40">
        <f t="shared" si="1"/>
        <v>46013</v>
      </c>
      <c r="B15146" s="37" t="str">
        <f t="array" ref="B15146">iferror(xlookup($I15146, 'IMPORT VHC Report'!$E:$E, 'IMPORT VHC Report'!$A:$C), )</f>
        <v/>
      </c>
      <c r="C15146" s="44"/>
      <c r="D15146" s="44"/>
      <c r="E15146" s="46" t="s">
        <v>11308</v>
      </c>
      <c r="F15146" s="46" t="s">
        <v>814</v>
      </c>
      <c r="G15146" s="46">
        <v>8.139562541455E12</v>
      </c>
      <c r="H15146" s="46" t="s">
        <v>88</v>
      </c>
      <c r="I15146" s="46" t="s">
        <v>89</v>
      </c>
      <c r="J15146" s="46" t="s">
        <v>791</v>
      </c>
      <c r="K15146" s="46" t="s">
        <v>63</v>
      </c>
      <c r="L15146" s="45">
        <v>46016.916666666664</v>
      </c>
      <c r="M15146" s="46" t="s">
        <v>123</v>
      </c>
      <c r="N15146" s="45">
        <v>46017.291666666664</v>
      </c>
      <c r="O15146" s="46" t="s">
        <v>123</v>
      </c>
      <c r="P15146" s="46">
        <v>32400.0</v>
      </c>
    </row>
    <row r="15147">
      <c r="A15147" s="40">
        <f t="shared" si="1"/>
        <v>46013</v>
      </c>
      <c r="B15147" s="37" t="str">
        <f t="array" ref="B15147">iferror(xlookup($I15147, 'IMPORT VHC Report'!$E:$E, 'IMPORT VHC Report'!$A:$C), )</f>
        <v/>
      </c>
      <c r="C15147" s="44"/>
      <c r="D15147" s="44"/>
      <c r="E15147" s="46" t="s">
        <v>11309</v>
      </c>
      <c r="F15147" s="46" t="s">
        <v>814</v>
      </c>
      <c r="G15147" s="46">
        <v>8.139562541455E12</v>
      </c>
      <c r="H15147" s="46" t="s">
        <v>88</v>
      </c>
      <c r="I15147" s="46" t="s">
        <v>89</v>
      </c>
      <c r="J15147" s="46" t="s">
        <v>134</v>
      </c>
      <c r="K15147" s="46" t="s">
        <v>126</v>
      </c>
      <c r="L15147" s="45">
        <v>46017.229166666664</v>
      </c>
      <c r="M15147" s="46" t="s">
        <v>123</v>
      </c>
      <c r="N15147" s="45">
        <v>46017.25</v>
      </c>
      <c r="O15147" s="46" t="s">
        <v>123</v>
      </c>
      <c r="P15147" s="46">
        <v>1800.0</v>
      </c>
    </row>
    <row r="15148">
      <c r="A15148" s="40">
        <f t="shared" si="1"/>
        <v>46013</v>
      </c>
      <c r="B15148" s="37" t="str">
        <f t="array" ref="B15148">iferror(xlookup($I15148, 'IMPORT VHC Report'!$E:$E, 'IMPORT VHC Report'!$A:$C), )</f>
        <v/>
      </c>
      <c r="C15148" s="44"/>
      <c r="D15148" s="44"/>
      <c r="E15148" s="46" t="s">
        <v>11310</v>
      </c>
      <c r="F15148" s="46" t="s">
        <v>814</v>
      </c>
      <c r="G15148" s="46">
        <v>8.139562541455E12</v>
      </c>
      <c r="H15148" s="46" t="s">
        <v>88</v>
      </c>
      <c r="I15148" s="46" t="s">
        <v>89</v>
      </c>
      <c r="J15148" s="46" t="s">
        <v>132</v>
      </c>
      <c r="K15148" s="46" t="s">
        <v>126</v>
      </c>
      <c r="L15148" s="45">
        <v>46017.25</v>
      </c>
      <c r="M15148" s="46" t="s">
        <v>123</v>
      </c>
      <c r="N15148" s="45">
        <v>46017.291666666664</v>
      </c>
      <c r="O15148" s="46" t="s">
        <v>123</v>
      </c>
      <c r="P15148" s="46">
        <v>3600.0</v>
      </c>
    </row>
    <row r="15149">
      <c r="A15149" s="40">
        <f t="shared" si="1"/>
        <v>46013</v>
      </c>
      <c r="B15149" s="37" t="str">
        <f t="array" ref="B15149">iferror(xlookup($I15149, 'IMPORT VHC Report'!$E:$E, 'IMPORT VHC Report'!$A:$C), )</f>
        <v/>
      </c>
      <c r="C15149" s="44"/>
      <c r="D15149" s="44"/>
      <c r="E15149" s="46" t="s">
        <v>11311</v>
      </c>
      <c r="F15149" s="46" t="s">
        <v>814</v>
      </c>
      <c r="G15149" s="46">
        <v>8.139562541455E12</v>
      </c>
      <c r="H15149" s="46" t="s">
        <v>88</v>
      </c>
      <c r="I15149" s="46" t="s">
        <v>89</v>
      </c>
      <c r="J15149" s="46" t="s">
        <v>4</v>
      </c>
      <c r="K15149" s="46" t="s">
        <v>126</v>
      </c>
      <c r="L15149" s="45">
        <v>46017.916666666664</v>
      </c>
      <c r="M15149" s="46" t="s">
        <v>123</v>
      </c>
      <c r="N15149" s="45">
        <v>46017.927083333336</v>
      </c>
      <c r="O15149" s="46" t="s">
        <v>123</v>
      </c>
      <c r="P15149" s="46">
        <v>900.0</v>
      </c>
      <c r="S15149" s="46" t="s">
        <v>3332</v>
      </c>
    </row>
    <row r="15150">
      <c r="A15150" s="40">
        <f t="shared" si="1"/>
        <v>46013</v>
      </c>
      <c r="B15150" s="37" t="str">
        <f t="array" ref="B15150">iferror(xlookup($I15150, 'IMPORT VHC Report'!$E:$E, 'IMPORT VHC Report'!$A:$C), )</f>
        <v/>
      </c>
      <c r="C15150" s="44"/>
      <c r="D15150" s="44"/>
      <c r="E15150" s="46" t="s">
        <v>11312</v>
      </c>
      <c r="F15150" s="46" t="s">
        <v>814</v>
      </c>
      <c r="G15150" s="46">
        <v>8.139562541455E12</v>
      </c>
      <c r="H15150" s="46" t="s">
        <v>88</v>
      </c>
      <c r="I15150" s="46" t="s">
        <v>89</v>
      </c>
      <c r="J15150" s="46" t="s">
        <v>791</v>
      </c>
      <c r="K15150" s="46" t="s">
        <v>63</v>
      </c>
      <c r="L15150" s="45">
        <v>46017.916666666664</v>
      </c>
      <c r="M15150" s="46" t="s">
        <v>123</v>
      </c>
      <c r="N15150" s="45">
        <v>46018.291666666664</v>
      </c>
      <c r="O15150" s="46" t="s">
        <v>123</v>
      </c>
      <c r="P15150" s="46">
        <v>32400.0</v>
      </c>
    </row>
    <row r="15151">
      <c r="A15151" s="40">
        <f t="shared" si="1"/>
        <v>46013</v>
      </c>
      <c r="B15151" s="37" t="str">
        <f t="array" ref="B15151">iferror(xlookup($I15151, 'IMPORT VHC Report'!$E:$E, 'IMPORT VHC Report'!$A:$C), )</f>
        <v/>
      </c>
      <c r="C15151" s="44"/>
      <c r="D15151" s="44"/>
      <c r="E15151" s="46" t="s">
        <v>11313</v>
      </c>
      <c r="F15151" s="46" t="s">
        <v>814</v>
      </c>
      <c r="G15151" s="46">
        <v>8.139562541455E12</v>
      </c>
      <c r="H15151" s="46" t="s">
        <v>88</v>
      </c>
      <c r="I15151" s="46" t="s">
        <v>89</v>
      </c>
      <c r="J15151" s="46" t="s">
        <v>134</v>
      </c>
      <c r="K15151" s="46" t="s">
        <v>126</v>
      </c>
      <c r="L15151" s="45">
        <v>46018.229166666664</v>
      </c>
      <c r="M15151" s="46" t="s">
        <v>123</v>
      </c>
      <c r="N15151" s="45">
        <v>46018.25</v>
      </c>
      <c r="O15151" s="46" t="s">
        <v>123</v>
      </c>
      <c r="P15151" s="46">
        <v>1800.0</v>
      </c>
    </row>
    <row r="15152">
      <c r="A15152" s="40">
        <f t="shared" si="1"/>
        <v>46013</v>
      </c>
      <c r="B15152" s="37" t="str">
        <f t="array" ref="B15152">iferror(xlookup($I15152, 'IMPORT VHC Report'!$E:$E, 'IMPORT VHC Report'!$A:$C), )</f>
        <v/>
      </c>
      <c r="C15152" s="44"/>
      <c r="D15152" s="44"/>
      <c r="E15152" s="46" t="s">
        <v>11314</v>
      </c>
      <c r="F15152" s="46" t="s">
        <v>814</v>
      </c>
      <c r="G15152" s="46">
        <v>8.139562541455E12</v>
      </c>
      <c r="H15152" s="46" t="s">
        <v>88</v>
      </c>
      <c r="I15152" s="46" t="s">
        <v>89</v>
      </c>
      <c r="J15152" s="46" t="s">
        <v>132</v>
      </c>
      <c r="K15152" s="46" t="s">
        <v>126</v>
      </c>
      <c r="L15152" s="45">
        <v>46018.25</v>
      </c>
      <c r="M15152" s="46" t="s">
        <v>123</v>
      </c>
      <c r="N15152" s="45">
        <v>46018.291666666664</v>
      </c>
      <c r="O15152" s="46" t="s">
        <v>123</v>
      </c>
      <c r="P15152" s="46">
        <v>3600.0</v>
      </c>
    </row>
    <row r="15153">
      <c r="A15153" s="40">
        <f t="shared" si="1"/>
        <v>46013</v>
      </c>
      <c r="B15153" s="37" t="str">
        <f t="array" ref="B15153">iferror(xlookup($I15153, 'IMPORT VHC Report'!$E:$E, 'IMPORT VHC Report'!$A:$C), )</f>
        <v/>
      </c>
      <c r="C15153" s="44"/>
      <c r="D15153" s="44"/>
      <c r="E15153" s="46" t="s">
        <v>11315</v>
      </c>
      <c r="F15153" s="46" t="s">
        <v>814</v>
      </c>
      <c r="G15153" s="46">
        <v>8.139562541455E12</v>
      </c>
      <c r="H15153" s="46" t="s">
        <v>88</v>
      </c>
      <c r="I15153" s="46" t="s">
        <v>89</v>
      </c>
      <c r="J15153" s="46" t="s">
        <v>791</v>
      </c>
      <c r="K15153" s="46" t="s">
        <v>63</v>
      </c>
      <c r="L15153" s="45">
        <v>46018.916666666664</v>
      </c>
      <c r="M15153" s="46" t="s">
        <v>123</v>
      </c>
      <c r="N15153" s="45">
        <v>46019.291666666664</v>
      </c>
      <c r="O15153" s="46" t="s">
        <v>123</v>
      </c>
      <c r="P15153" s="46">
        <v>32400.0</v>
      </c>
    </row>
    <row r="15154">
      <c r="A15154" s="40">
        <f t="shared" si="1"/>
        <v>46013</v>
      </c>
      <c r="B15154" s="37" t="str">
        <f t="array" ref="B15154">iferror(xlookup($I15154, 'IMPORT VHC Report'!$E:$E, 'IMPORT VHC Report'!$A:$C), )</f>
        <v/>
      </c>
      <c r="C15154" s="44"/>
      <c r="D15154" s="44"/>
      <c r="E15154" s="46" t="s">
        <v>11316</v>
      </c>
      <c r="F15154" s="46" t="s">
        <v>814</v>
      </c>
      <c r="G15154" s="46">
        <v>8.139562541455E12</v>
      </c>
      <c r="H15154" s="46" t="s">
        <v>88</v>
      </c>
      <c r="I15154" s="46" t="s">
        <v>89</v>
      </c>
      <c r="J15154" s="46" t="s">
        <v>132</v>
      </c>
      <c r="K15154" s="46" t="s">
        <v>126</v>
      </c>
      <c r="L15154" s="45">
        <v>46019.166666666664</v>
      </c>
      <c r="M15154" s="46" t="s">
        <v>123</v>
      </c>
      <c r="N15154" s="45">
        <v>46019.208333333336</v>
      </c>
      <c r="O15154" s="46" t="s">
        <v>123</v>
      </c>
      <c r="P15154" s="46">
        <v>3600.0</v>
      </c>
    </row>
    <row r="15155">
      <c r="A15155" s="40">
        <f t="shared" si="1"/>
        <v>46013</v>
      </c>
      <c r="B15155" s="37" t="str">
        <f t="array" ref="B15155">iferror(xlookup($I15155, 'IMPORT VHC Report'!$E:$E, 'IMPORT VHC Report'!$A:$C), )</f>
        <v/>
      </c>
      <c r="C15155" s="44"/>
      <c r="D15155" s="44"/>
      <c r="E15155" s="46" t="s">
        <v>11317</v>
      </c>
      <c r="F15155" s="46" t="s">
        <v>814</v>
      </c>
      <c r="G15155" s="46">
        <v>8.139562541455E12</v>
      </c>
      <c r="H15155" s="46" t="s">
        <v>88</v>
      </c>
      <c r="I15155" s="46" t="s">
        <v>89</v>
      </c>
      <c r="J15155" s="46" t="s">
        <v>134</v>
      </c>
      <c r="K15155" s="46" t="s">
        <v>126</v>
      </c>
      <c r="L15155" s="45">
        <v>46019.208333333336</v>
      </c>
      <c r="M15155" s="46" t="s">
        <v>123</v>
      </c>
      <c r="N15155" s="45">
        <v>46019.229166666664</v>
      </c>
      <c r="O15155" s="46" t="s">
        <v>123</v>
      </c>
      <c r="P15155" s="46">
        <v>1800.0</v>
      </c>
    </row>
    <row r="15156">
      <c r="A15156" s="40">
        <f t="shared" si="1"/>
        <v>46013</v>
      </c>
      <c r="B15156" s="37" t="str">
        <f t="array" ref="B15156">iferror(xlookup($I15156, 'IMPORT VHC Report'!$E:$E, 'IMPORT VHC Report'!$A:$C), )</f>
        <v/>
      </c>
      <c r="C15156" s="44"/>
      <c r="D15156" s="44"/>
      <c r="E15156" s="46" t="s">
        <v>11318</v>
      </c>
      <c r="F15156" s="46" t="s">
        <v>7574</v>
      </c>
      <c r="G15156" s="46">
        <v>3.61725260976E11</v>
      </c>
      <c r="H15156" s="46" t="s">
        <v>86</v>
      </c>
      <c r="I15156" s="46" t="s">
        <v>87</v>
      </c>
      <c r="J15156" s="46" t="s">
        <v>62</v>
      </c>
      <c r="K15156" s="46" t="s">
        <v>63</v>
      </c>
      <c r="L15156" s="45">
        <v>46014.916666666664</v>
      </c>
      <c r="M15156" s="46" t="s">
        <v>123</v>
      </c>
      <c r="N15156" s="45">
        <v>46015.083333333336</v>
      </c>
      <c r="O15156" s="46" t="s">
        <v>123</v>
      </c>
      <c r="P15156" s="46">
        <v>14400.0</v>
      </c>
    </row>
    <row r="15157">
      <c r="A15157" s="40">
        <f t="shared" si="1"/>
        <v>46013</v>
      </c>
      <c r="B15157" s="37" t="str">
        <f t="array" ref="B15157">iferror(xlookup($I15157, 'IMPORT VHC Report'!$E:$E, 'IMPORT VHC Report'!$A:$C), )</f>
        <v/>
      </c>
      <c r="C15157" s="44"/>
      <c r="D15157" s="44"/>
      <c r="E15157" s="46" t="s">
        <v>11319</v>
      </c>
      <c r="F15157" s="46" t="s">
        <v>7574</v>
      </c>
      <c r="G15157" s="46">
        <v>3.61725260976E11</v>
      </c>
      <c r="H15157" s="46" t="s">
        <v>86</v>
      </c>
      <c r="I15157" s="46" t="s">
        <v>87</v>
      </c>
      <c r="J15157" s="46" t="s">
        <v>791</v>
      </c>
      <c r="K15157" s="46" t="s">
        <v>63</v>
      </c>
      <c r="L15157" s="45">
        <v>46015.083333333336</v>
      </c>
      <c r="M15157" s="46" t="s">
        <v>123</v>
      </c>
      <c r="N15157" s="45">
        <v>46015.291666666664</v>
      </c>
      <c r="O15157" s="46" t="s">
        <v>123</v>
      </c>
      <c r="P15157" s="46">
        <v>18000.0</v>
      </c>
    </row>
    <row r="15158">
      <c r="A15158" s="40">
        <f t="shared" si="1"/>
        <v>46013</v>
      </c>
      <c r="B15158" s="37" t="str">
        <f t="array" ref="B15158">iferror(xlookup($I15158, 'IMPORT VHC Report'!$E:$E, 'IMPORT VHC Report'!$A:$C), )</f>
        <v/>
      </c>
      <c r="C15158" s="44"/>
      <c r="D15158" s="44"/>
      <c r="E15158" s="46" t="s">
        <v>11320</v>
      </c>
      <c r="F15158" s="46" t="s">
        <v>7574</v>
      </c>
      <c r="G15158" s="46">
        <v>3.61725260976E11</v>
      </c>
      <c r="H15158" s="46" t="s">
        <v>86</v>
      </c>
      <c r="I15158" s="46" t="s">
        <v>87</v>
      </c>
      <c r="J15158" s="46" t="s">
        <v>134</v>
      </c>
      <c r="K15158" s="46" t="s">
        <v>126</v>
      </c>
      <c r="L15158" s="45">
        <v>46015.229166666664</v>
      </c>
      <c r="M15158" s="46" t="s">
        <v>123</v>
      </c>
      <c r="N15158" s="45">
        <v>46015.25</v>
      </c>
      <c r="O15158" s="46" t="s">
        <v>123</v>
      </c>
      <c r="P15158" s="46">
        <v>1800.0</v>
      </c>
    </row>
    <row r="15159">
      <c r="A15159" s="40">
        <f t="shared" si="1"/>
        <v>46013</v>
      </c>
      <c r="B15159" s="37" t="str">
        <f t="array" ref="B15159">iferror(xlookup($I15159, 'IMPORT VHC Report'!$E:$E, 'IMPORT VHC Report'!$A:$C), )</f>
        <v/>
      </c>
      <c r="C15159" s="44"/>
      <c r="D15159" s="44"/>
      <c r="E15159" s="46" t="s">
        <v>11321</v>
      </c>
      <c r="F15159" s="46" t="s">
        <v>7574</v>
      </c>
      <c r="G15159" s="46">
        <v>3.61725260976E11</v>
      </c>
      <c r="H15159" s="46" t="s">
        <v>86</v>
      </c>
      <c r="I15159" s="46" t="s">
        <v>87</v>
      </c>
      <c r="J15159" s="46" t="s">
        <v>132</v>
      </c>
      <c r="K15159" s="46" t="s">
        <v>126</v>
      </c>
      <c r="L15159" s="45">
        <v>46015.25</v>
      </c>
      <c r="M15159" s="46" t="s">
        <v>123</v>
      </c>
      <c r="N15159" s="45">
        <v>46015.291666666664</v>
      </c>
      <c r="O15159" s="46" t="s">
        <v>123</v>
      </c>
      <c r="P15159" s="46">
        <v>3600.0</v>
      </c>
    </row>
    <row r="15160">
      <c r="A15160" s="40">
        <f t="shared" si="1"/>
        <v>46013</v>
      </c>
      <c r="B15160" s="37" t="str">
        <f t="array" ref="B15160">iferror(xlookup($I15160, 'IMPORT VHC Report'!$E:$E, 'IMPORT VHC Report'!$A:$C), )</f>
        <v/>
      </c>
      <c r="C15160" s="44"/>
      <c r="D15160" s="44"/>
      <c r="E15160" s="46" t="s">
        <v>11322</v>
      </c>
      <c r="F15160" s="46" t="s">
        <v>7574</v>
      </c>
      <c r="G15160" s="46">
        <v>3.61725260976E11</v>
      </c>
      <c r="H15160" s="46" t="s">
        <v>86</v>
      </c>
      <c r="I15160" s="46" t="s">
        <v>87</v>
      </c>
      <c r="J15160" s="46" t="s">
        <v>791</v>
      </c>
      <c r="K15160" s="46" t="s">
        <v>63</v>
      </c>
      <c r="L15160" s="45">
        <v>46015.916666666664</v>
      </c>
      <c r="M15160" s="46" t="s">
        <v>123</v>
      </c>
      <c r="N15160" s="45">
        <v>46016.291666666664</v>
      </c>
      <c r="O15160" s="46" t="s">
        <v>123</v>
      </c>
      <c r="P15160" s="46">
        <v>32400.0</v>
      </c>
    </row>
    <row r="15161">
      <c r="A15161" s="40">
        <f t="shared" si="1"/>
        <v>46013</v>
      </c>
      <c r="B15161" s="37" t="str">
        <f t="array" ref="B15161">iferror(xlookup($I15161, 'IMPORT VHC Report'!$E:$E, 'IMPORT VHC Report'!$A:$C), )</f>
        <v/>
      </c>
      <c r="C15161" s="44"/>
      <c r="D15161" s="44"/>
      <c r="E15161" s="46" t="s">
        <v>11323</v>
      </c>
      <c r="F15161" s="46" t="s">
        <v>7574</v>
      </c>
      <c r="G15161" s="46">
        <v>3.61725260976E11</v>
      </c>
      <c r="H15161" s="46" t="s">
        <v>86</v>
      </c>
      <c r="I15161" s="46" t="s">
        <v>87</v>
      </c>
      <c r="J15161" s="46" t="s">
        <v>136</v>
      </c>
      <c r="K15161" s="46" t="s">
        <v>126</v>
      </c>
      <c r="L15161" s="45">
        <v>46016.0</v>
      </c>
      <c r="M15161" s="46" t="s">
        <v>123</v>
      </c>
      <c r="N15161" s="45">
        <v>46016.041666666664</v>
      </c>
      <c r="O15161" s="46" t="s">
        <v>123</v>
      </c>
      <c r="P15161" s="46">
        <v>3600.0</v>
      </c>
      <c r="S15161" s="46" t="s">
        <v>137</v>
      </c>
    </row>
    <row r="15162">
      <c r="A15162" s="40">
        <f t="shared" si="1"/>
        <v>46013</v>
      </c>
      <c r="B15162" s="37" t="str">
        <f t="array" ref="B15162">iferror(xlookup($I15162, 'IMPORT VHC Report'!$E:$E, 'IMPORT VHC Report'!$A:$C), )</f>
        <v/>
      </c>
      <c r="C15162" s="44"/>
      <c r="D15162" s="44"/>
      <c r="E15162" s="46" t="s">
        <v>11324</v>
      </c>
      <c r="F15162" s="46" t="s">
        <v>7574</v>
      </c>
      <c r="G15162" s="46">
        <v>3.61725260976E11</v>
      </c>
      <c r="H15162" s="46" t="s">
        <v>86</v>
      </c>
      <c r="I15162" s="46" t="s">
        <v>87</v>
      </c>
      <c r="J15162" s="46" t="s">
        <v>132</v>
      </c>
      <c r="K15162" s="46" t="s">
        <v>126</v>
      </c>
      <c r="L15162" s="45">
        <v>46016.166666666664</v>
      </c>
      <c r="M15162" s="46" t="s">
        <v>123</v>
      </c>
      <c r="N15162" s="45">
        <v>46016.208333333336</v>
      </c>
      <c r="O15162" s="46" t="s">
        <v>123</v>
      </c>
      <c r="P15162" s="46">
        <v>3600.0</v>
      </c>
    </row>
    <row r="15163">
      <c r="A15163" s="40">
        <f t="shared" si="1"/>
        <v>46013</v>
      </c>
      <c r="B15163" s="37" t="str">
        <f t="array" ref="B15163">iferror(xlookup($I15163, 'IMPORT VHC Report'!$E:$E, 'IMPORT VHC Report'!$A:$C), )</f>
        <v/>
      </c>
      <c r="C15163" s="44"/>
      <c r="D15163" s="44"/>
      <c r="E15163" s="46" t="s">
        <v>11325</v>
      </c>
      <c r="F15163" s="46" t="s">
        <v>7574</v>
      </c>
      <c r="G15163" s="46">
        <v>3.61725260976E11</v>
      </c>
      <c r="H15163" s="46" t="s">
        <v>86</v>
      </c>
      <c r="I15163" s="46" t="s">
        <v>87</v>
      </c>
      <c r="J15163" s="46" t="s">
        <v>134</v>
      </c>
      <c r="K15163" s="46" t="s">
        <v>126</v>
      </c>
      <c r="L15163" s="45">
        <v>46016.208333333336</v>
      </c>
      <c r="M15163" s="46" t="s">
        <v>123</v>
      </c>
      <c r="N15163" s="45">
        <v>46016.229166666664</v>
      </c>
      <c r="O15163" s="46" t="s">
        <v>123</v>
      </c>
      <c r="P15163" s="46">
        <v>1800.0</v>
      </c>
    </row>
    <row r="15164">
      <c r="A15164" s="40">
        <f t="shared" si="1"/>
        <v>46013</v>
      </c>
      <c r="B15164" s="37" t="str">
        <f t="array" ref="B15164">iferror(xlookup($I15164, 'IMPORT VHC Report'!$E:$E, 'IMPORT VHC Report'!$A:$C), )</f>
        <v/>
      </c>
      <c r="C15164" s="44"/>
      <c r="D15164" s="44"/>
      <c r="E15164" s="46" t="s">
        <v>11326</v>
      </c>
      <c r="F15164" s="46" t="s">
        <v>7574</v>
      </c>
      <c r="G15164" s="46">
        <v>3.61725260976E11</v>
      </c>
      <c r="H15164" s="46" t="s">
        <v>86</v>
      </c>
      <c r="I15164" s="46" t="s">
        <v>87</v>
      </c>
      <c r="J15164" s="46" t="s">
        <v>791</v>
      </c>
      <c r="K15164" s="46" t="s">
        <v>63</v>
      </c>
      <c r="L15164" s="45">
        <v>46016.916666666664</v>
      </c>
      <c r="M15164" s="46" t="s">
        <v>123</v>
      </c>
      <c r="N15164" s="45">
        <v>46017.25</v>
      </c>
      <c r="O15164" s="46" t="s">
        <v>123</v>
      </c>
      <c r="P15164" s="46">
        <v>28800.0</v>
      </c>
    </row>
    <row r="15165">
      <c r="A15165" s="40">
        <f t="shared" si="1"/>
        <v>46013</v>
      </c>
      <c r="B15165" s="37" t="str">
        <f t="array" ref="B15165">iferror(xlookup($I15165, 'IMPORT VHC Report'!$E:$E, 'IMPORT VHC Report'!$A:$C), )</f>
        <v/>
      </c>
      <c r="C15165" s="44"/>
      <c r="D15165" s="44"/>
      <c r="E15165" s="46" t="s">
        <v>11327</v>
      </c>
      <c r="F15165" s="46" t="s">
        <v>7574</v>
      </c>
      <c r="G15165" s="46">
        <v>3.61725260976E11</v>
      </c>
      <c r="H15165" s="46" t="s">
        <v>86</v>
      </c>
      <c r="I15165" s="46" t="s">
        <v>87</v>
      </c>
      <c r="J15165" s="46" t="s">
        <v>178</v>
      </c>
      <c r="K15165" s="46" t="s">
        <v>153</v>
      </c>
      <c r="L15165" s="45">
        <v>46016.916666666664</v>
      </c>
      <c r="M15165" s="46" t="s">
        <v>123</v>
      </c>
      <c r="N15165" s="45">
        <v>46017.25</v>
      </c>
      <c r="O15165" s="46" t="s">
        <v>123</v>
      </c>
      <c r="P15165" s="46">
        <v>28800.0</v>
      </c>
      <c r="Q15165" s="46">
        <v>28800.0</v>
      </c>
      <c r="R15165" s="46" t="s">
        <v>10984</v>
      </c>
      <c r="S15165" s="46" t="s">
        <v>10984</v>
      </c>
    </row>
    <row r="15166">
      <c r="A15166" s="40">
        <f t="shared" si="1"/>
        <v>46013</v>
      </c>
      <c r="B15166" s="37" t="str">
        <f t="array" ref="B15166">iferror(xlookup($I15166, 'IMPORT VHC Report'!$E:$E, 'IMPORT VHC Report'!$A:$C), )</f>
        <v/>
      </c>
      <c r="C15166" s="44"/>
      <c r="D15166" s="44"/>
      <c r="E15166" s="46" t="s">
        <v>11328</v>
      </c>
      <c r="F15166" s="46" t="s">
        <v>7574</v>
      </c>
      <c r="G15166" s="46">
        <v>3.61725260976E11</v>
      </c>
      <c r="H15166" s="46" t="s">
        <v>86</v>
      </c>
      <c r="I15166" s="46" t="s">
        <v>87</v>
      </c>
      <c r="J15166" s="46" t="s">
        <v>132</v>
      </c>
      <c r="K15166" s="46" t="s">
        <v>126</v>
      </c>
      <c r="L15166" s="45">
        <v>46017.1875</v>
      </c>
      <c r="M15166" s="46" t="s">
        <v>123</v>
      </c>
      <c r="N15166" s="45">
        <v>46017.229166666664</v>
      </c>
      <c r="O15166" s="46" t="s">
        <v>123</v>
      </c>
      <c r="P15166" s="46">
        <v>3600.0</v>
      </c>
    </row>
    <row r="15167">
      <c r="A15167" s="40">
        <f t="shared" si="1"/>
        <v>46013</v>
      </c>
      <c r="B15167" s="37" t="str">
        <f t="array" ref="B15167">iferror(xlookup($I15167, 'IMPORT VHC Report'!$E:$E, 'IMPORT VHC Report'!$A:$C), )</f>
        <v/>
      </c>
      <c r="C15167" s="44"/>
      <c r="D15167" s="44"/>
      <c r="E15167" s="46" t="s">
        <v>11329</v>
      </c>
      <c r="F15167" s="46" t="s">
        <v>7574</v>
      </c>
      <c r="G15167" s="46">
        <v>3.61725260976E11</v>
      </c>
      <c r="H15167" s="46" t="s">
        <v>86</v>
      </c>
      <c r="I15167" s="46" t="s">
        <v>87</v>
      </c>
      <c r="J15167" s="46" t="s">
        <v>134</v>
      </c>
      <c r="K15167" s="46" t="s">
        <v>126</v>
      </c>
      <c r="L15167" s="45">
        <v>46017.229166666664</v>
      </c>
      <c r="M15167" s="46" t="s">
        <v>123</v>
      </c>
      <c r="N15167" s="45">
        <v>46017.25</v>
      </c>
      <c r="O15167" s="46" t="s">
        <v>123</v>
      </c>
      <c r="P15167" s="46">
        <v>1800.0</v>
      </c>
    </row>
    <row r="15168">
      <c r="A15168" s="40">
        <f t="shared" si="1"/>
        <v>46013</v>
      </c>
      <c r="B15168" s="37" t="str">
        <f t="array" ref="B15168">iferror(xlookup($I15168, 'IMPORT VHC Report'!$E:$E, 'IMPORT VHC Report'!$A:$C), )</f>
        <v/>
      </c>
      <c r="C15168" s="44"/>
      <c r="D15168" s="44"/>
      <c r="E15168" s="46" t="s">
        <v>11330</v>
      </c>
      <c r="F15168" s="46" t="s">
        <v>7574</v>
      </c>
      <c r="G15168" s="46">
        <v>3.61725260976E11</v>
      </c>
      <c r="H15168" s="46" t="s">
        <v>86</v>
      </c>
      <c r="I15168" s="46" t="s">
        <v>87</v>
      </c>
      <c r="J15168" s="46" t="s">
        <v>4</v>
      </c>
      <c r="K15168" s="46" t="s">
        <v>126</v>
      </c>
      <c r="L15168" s="45">
        <v>46017.916666666664</v>
      </c>
      <c r="M15168" s="46" t="s">
        <v>123</v>
      </c>
      <c r="N15168" s="45">
        <v>46017.927083333336</v>
      </c>
      <c r="O15168" s="46" t="s">
        <v>123</v>
      </c>
      <c r="P15168" s="46">
        <v>900.0</v>
      </c>
      <c r="S15168" s="46" t="s">
        <v>3332</v>
      </c>
    </row>
    <row r="15169">
      <c r="A15169" s="40">
        <f t="shared" si="1"/>
        <v>46013</v>
      </c>
      <c r="B15169" s="37" t="str">
        <f t="array" ref="B15169">iferror(xlookup($I15169, 'IMPORT VHC Report'!$E:$E, 'IMPORT VHC Report'!$A:$C), )</f>
        <v/>
      </c>
      <c r="C15169" s="44"/>
      <c r="D15169" s="44"/>
      <c r="E15169" s="46" t="s">
        <v>11331</v>
      </c>
      <c r="F15169" s="46" t="s">
        <v>7574</v>
      </c>
      <c r="G15169" s="46">
        <v>3.61725260976E11</v>
      </c>
      <c r="H15169" s="46" t="s">
        <v>86</v>
      </c>
      <c r="I15169" s="46" t="s">
        <v>87</v>
      </c>
      <c r="J15169" s="46" t="s">
        <v>791</v>
      </c>
      <c r="K15169" s="46" t="s">
        <v>63</v>
      </c>
      <c r="L15169" s="45">
        <v>46017.916666666664</v>
      </c>
      <c r="M15169" s="46" t="s">
        <v>123</v>
      </c>
      <c r="N15169" s="45">
        <v>46018.291666666664</v>
      </c>
      <c r="O15169" s="46" t="s">
        <v>123</v>
      </c>
      <c r="P15169" s="46">
        <v>32400.0</v>
      </c>
    </row>
    <row r="15170">
      <c r="A15170" s="40">
        <f t="shared" si="1"/>
        <v>46013</v>
      </c>
      <c r="B15170" s="37" t="str">
        <f t="array" ref="B15170">iferror(xlookup($I15170, 'IMPORT VHC Report'!$E:$E, 'IMPORT VHC Report'!$A:$C), )</f>
        <v/>
      </c>
      <c r="C15170" s="44"/>
      <c r="D15170" s="44"/>
      <c r="E15170" s="46" t="s">
        <v>11332</v>
      </c>
      <c r="F15170" s="46" t="s">
        <v>7574</v>
      </c>
      <c r="G15170" s="46">
        <v>3.61725260976E11</v>
      </c>
      <c r="H15170" s="46" t="s">
        <v>86</v>
      </c>
      <c r="I15170" s="46" t="s">
        <v>87</v>
      </c>
      <c r="J15170" s="46" t="s">
        <v>134</v>
      </c>
      <c r="K15170" s="46" t="s">
        <v>126</v>
      </c>
      <c r="L15170" s="45">
        <v>46018.166666666664</v>
      </c>
      <c r="M15170" s="46" t="s">
        <v>123</v>
      </c>
      <c r="N15170" s="45">
        <v>46018.1875</v>
      </c>
      <c r="O15170" s="46" t="s">
        <v>123</v>
      </c>
      <c r="P15170" s="46">
        <v>1800.0</v>
      </c>
    </row>
    <row r="15171">
      <c r="A15171" s="40">
        <f t="shared" si="1"/>
        <v>46013</v>
      </c>
      <c r="B15171" s="37" t="str">
        <f t="array" ref="B15171">iferror(xlookup($I15171, 'IMPORT VHC Report'!$E:$E, 'IMPORT VHC Report'!$A:$C), )</f>
        <v/>
      </c>
      <c r="C15171" s="44"/>
      <c r="D15171" s="44"/>
      <c r="E15171" s="46" t="s">
        <v>11333</v>
      </c>
      <c r="F15171" s="46" t="s">
        <v>7574</v>
      </c>
      <c r="G15171" s="46">
        <v>3.61725260976E11</v>
      </c>
      <c r="H15171" s="46" t="s">
        <v>86</v>
      </c>
      <c r="I15171" s="46" t="s">
        <v>87</v>
      </c>
      <c r="J15171" s="46" t="s">
        <v>132</v>
      </c>
      <c r="K15171" s="46" t="s">
        <v>126</v>
      </c>
      <c r="L15171" s="45">
        <v>46018.1875</v>
      </c>
      <c r="M15171" s="46" t="s">
        <v>123</v>
      </c>
      <c r="N15171" s="45">
        <v>46018.229166666664</v>
      </c>
      <c r="O15171" s="46" t="s">
        <v>123</v>
      </c>
      <c r="P15171" s="46">
        <v>3600.0</v>
      </c>
    </row>
    <row r="15172">
      <c r="A15172" s="40">
        <f t="shared" si="1"/>
        <v>46013</v>
      </c>
      <c r="B15172" s="37" t="str">
        <f t="array" ref="B15172">iferror(xlookup($I15172, 'IMPORT VHC Report'!$E:$E, 'IMPORT VHC Report'!$A:$C), )</f>
        <v/>
      </c>
      <c r="C15172" s="44"/>
      <c r="D15172" s="44"/>
      <c r="E15172" s="46" t="s">
        <v>11334</v>
      </c>
      <c r="F15172" s="46" t="s">
        <v>7574</v>
      </c>
      <c r="G15172" s="46">
        <v>3.61725260976E11</v>
      </c>
      <c r="H15172" s="46" t="s">
        <v>86</v>
      </c>
      <c r="I15172" s="46" t="s">
        <v>87</v>
      </c>
      <c r="J15172" s="46" t="s">
        <v>791</v>
      </c>
      <c r="K15172" s="46" t="s">
        <v>63</v>
      </c>
      <c r="L15172" s="45">
        <v>46018.916666666664</v>
      </c>
      <c r="M15172" s="46" t="s">
        <v>123</v>
      </c>
      <c r="N15172" s="45">
        <v>46019.291666666664</v>
      </c>
      <c r="O15172" s="46" t="s">
        <v>123</v>
      </c>
      <c r="P15172" s="46">
        <v>32400.0</v>
      </c>
    </row>
    <row r="15173">
      <c r="A15173" s="40">
        <f t="shared" si="1"/>
        <v>46013</v>
      </c>
      <c r="B15173" s="37" t="str">
        <f t="array" ref="B15173">iferror(xlookup($I15173, 'IMPORT VHC Report'!$E:$E, 'IMPORT VHC Report'!$A:$C), )</f>
        <v/>
      </c>
      <c r="C15173" s="44"/>
      <c r="D15173" s="44"/>
      <c r="E15173" s="46" t="s">
        <v>11335</v>
      </c>
      <c r="F15173" s="46" t="s">
        <v>7574</v>
      </c>
      <c r="G15173" s="46">
        <v>3.61725260976E11</v>
      </c>
      <c r="H15173" s="46" t="s">
        <v>86</v>
      </c>
      <c r="I15173" s="46" t="s">
        <v>87</v>
      </c>
      <c r="J15173" s="46" t="s">
        <v>134</v>
      </c>
      <c r="K15173" s="46" t="s">
        <v>126</v>
      </c>
      <c r="L15173" s="45">
        <v>46019.229166666664</v>
      </c>
      <c r="M15173" s="46" t="s">
        <v>123</v>
      </c>
      <c r="N15173" s="45">
        <v>46019.25</v>
      </c>
      <c r="O15173" s="46" t="s">
        <v>123</v>
      </c>
      <c r="P15173" s="46">
        <v>1800.0</v>
      </c>
    </row>
    <row r="15174">
      <c r="A15174" s="40">
        <f t="shared" si="1"/>
        <v>46013</v>
      </c>
      <c r="B15174" s="37" t="str">
        <f t="array" ref="B15174">iferror(xlookup($I15174, 'IMPORT VHC Report'!$E:$E, 'IMPORT VHC Report'!$A:$C), )</f>
        <v/>
      </c>
      <c r="C15174" s="44"/>
      <c r="D15174" s="44"/>
      <c r="E15174" s="46" t="s">
        <v>11336</v>
      </c>
      <c r="F15174" s="46" t="s">
        <v>7574</v>
      </c>
      <c r="G15174" s="46">
        <v>3.61725260976E11</v>
      </c>
      <c r="H15174" s="46" t="s">
        <v>86</v>
      </c>
      <c r="I15174" s="46" t="s">
        <v>87</v>
      </c>
      <c r="J15174" s="46" t="s">
        <v>132</v>
      </c>
      <c r="K15174" s="46" t="s">
        <v>126</v>
      </c>
      <c r="L15174" s="45">
        <v>46019.25</v>
      </c>
      <c r="M15174" s="46" t="s">
        <v>123</v>
      </c>
      <c r="N15174" s="45">
        <v>46019.291666666664</v>
      </c>
      <c r="O15174" s="46" t="s">
        <v>123</v>
      </c>
      <c r="P15174" s="46">
        <v>3600.0</v>
      </c>
    </row>
    <row r="15175">
      <c r="A15175" s="40">
        <f t="shared" si="1"/>
        <v>46006</v>
      </c>
      <c r="B15175" s="37" t="str">
        <f t="array" ref="B15175">iferror(xlookup($I15175, 'IMPORT VHC Report'!$E:$E, 'IMPORT VHC Report'!$A:$C), )</f>
        <v/>
      </c>
      <c r="C15175" s="44"/>
      <c r="D15175" s="44"/>
      <c r="E15175" s="46" t="s">
        <v>1692</v>
      </c>
      <c r="F15175" s="46" t="s">
        <v>1667</v>
      </c>
      <c r="G15175" s="46">
        <v>5.047383497615E12</v>
      </c>
      <c r="H15175" s="46" t="s">
        <v>1668</v>
      </c>
      <c r="I15175" s="46" t="s">
        <v>1669</v>
      </c>
      <c r="J15175" s="46" t="s">
        <v>178</v>
      </c>
      <c r="K15175" s="46" t="s">
        <v>153</v>
      </c>
      <c r="L15175" s="45">
        <v>46012.958333333336</v>
      </c>
      <c r="M15175" s="46" t="s">
        <v>123</v>
      </c>
      <c r="N15175" s="45">
        <v>46013.333333333336</v>
      </c>
      <c r="O15175" s="46" t="s">
        <v>123</v>
      </c>
      <c r="P15175" s="46">
        <v>32400.0</v>
      </c>
      <c r="Q15175" s="46">
        <v>28800.0</v>
      </c>
      <c r="R15175" s="46" t="s">
        <v>1687</v>
      </c>
    </row>
    <row r="15176">
      <c r="A15176" s="40">
        <f t="shared" si="1"/>
        <v>46013</v>
      </c>
      <c r="B15176" s="37" t="str">
        <f t="array" ref="B15176">iferror(xlookup($I15176, 'IMPORT VHC Report'!$E:$E, 'IMPORT VHC Report'!$A:$C), )</f>
        <v/>
      </c>
      <c r="C15176" s="44"/>
      <c r="D15176" s="44"/>
      <c r="E15176" s="46" t="s">
        <v>11337</v>
      </c>
      <c r="F15176" s="46" t="s">
        <v>1667</v>
      </c>
      <c r="G15176" s="46">
        <v>5.047383497615E12</v>
      </c>
      <c r="H15176" s="46" t="s">
        <v>1668</v>
      </c>
      <c r="I15176" s="46" t="s">
        <v>1669</v>
      </c>
      <c r="J15176" s="46" t="s">
        <v>1670</v>
      </c>
      <c r="K15176" s="46" t="s">
        <v>63</v>
      </c>
      <c r="L15176" s="45">
        <v>46013.0</v>
      </c>
      <c r="M15176" s="46" t="s">
        <v>123</v>
      </c>
      <c r="N15176" s="45">
        <v>46013.333333333336</v>
      </c>
      <c r="O15176" s="46" t="s">
        <v>123</v>
      </c>
      <c r="P15176" s="46">
        <v>28800.0</v>
      </c>
    </row>
    <row r="15177">
      <c r="A15177" s="40">
        <f t="shared" si="1"/>
        <v>46013</v>
      </c>
      <c r="B15177" s="37" t="str">
        <f t="array" ref="B15177">iferror(xlookup($I15177, 'IMPORT VHC Report'!$E:$E, 'IMPORT VHC Report'!$A:$C), )</f>
        <v/>
      </c>
      <c r="C15177" s="44"/>
      <c r="D15177" s="44"/>
      <c r="E15177" s="46" t="s">
        <v>11338</v>
      </c>
      <c r="F15177" s="46" t="s">
        <v>1667</v>
      </c>
      <c r="G15177" s="46">
        <v>5.047383497615E12</v>
      </c>
      <c r="H15177" s="46" t="s">
        <v>1668</v>
      </c>
      <c r="I15177" s="46" t="s">
        <v>1669</v>
      </c>
      <c r="J15177" s="46" t="s">
        <v>132</v>
      </c>
      <c r="K15177" s="46" t="s">
        <v>126</v>
      </c>
      <c r="L15177" s="45">
        <v>46013.270833333336</v>
      </c>
      <c r="M15177" s="46" t="s">
        <v>123</v>
      </c>
      <c r="N15177" s="45">
        <v>46013.3125</v>
      </c>
      <c r="O15177" s="46" t="s">
        <v>123</v>
      </c>
      <c r="P15177" s="46">
        <v>3600.0</v>
      </c>
    </row>
    <row r="15178">
      <c r="A15178" s="40">
        <f t="shared" si="1"/>
        <v>46013</v>
      </c>
      <c r="B15178" s="37" t="str">
        <f t="array" ref="B15178">iferror(xlookup($I15178, 'IMPORT VHC Report'!$E:$E, 'IMPORT VHC Report'!$A:$C), )</f>
        <v/>
      </c>
      <c r="C15178" s="44"/>
      <c r="D15178" s="44"/>
      <c r="E15178" s="46" t="s">
        <v>11339</v>
      </c>
      <c r="F15178" s="46" t="s">
        <v>1667</v>
      </c>
      <c r="G15178" s="46">
        <v>5.047383497615E12</v>
      </c>
      <c r="H15178" s="46" t="s">
        <v>1668</v>
      </c>
      <c r="I15178" s="46" t="s">
        <v>1669</v>
      </c>
      <c r="J15178" s="46" t="s">
        <v>134</v>
      </c>
      <c r="K15178" s="46" t="s">
        <v>126</v>
      </c>
      <c r="L15178" s="45">
        <v>46013.3125</v>
      </c>
      <c r="M15178" s="46" t="s">
        <v>123</v>
      </c>
      <c r="N15178" s="45">
        <v>46013.333333333336</v>
      </c>
      <c r="O15178" s="46" t="s">
        <v>123</v>
      </c>
      <c r="P15178" s="46">
        <v>1800.0</v>
      </c>
    </row>
    <row r="15179">
      <c r="A15179" s="40">
        <f t="shared" si="1"/>
        <v>46013</v>
      </c>
      <c r="B15179" s="37" t="str">
        <f t="array" ref="B15179">iferror(xlookup($I15179, 'IMPORT VHC Report'!$E:$E, 'IMPORT VHC Report'!$A:$C), )</f>
        <v/>
      </c>
      <c r="C15179" s="44"/>
      <c r="D15179" s="44"/>
      <c r="E15179" s="46" t="s">
        <v>11340</v>
      </c>
      <c r="F15179" s="46" t="s">
        <v>1667</v>
      </c>
      <c r="G15179" s="46">
        <v>5.047383497615E12</v>
      </c>
      <c r="H15179" s="46" t="s">
        <v>1668</v>
      </c>
      <c r="I15179" s="46" t="s">
        <v>1669</v>
      </c>
      <c r="J15179" s="46" t="s">
        <v>1670</v>
      </c>
      <c r="K15179" s="46" t="s">
        <v>63</v>
      </c>
      <c r="L15179" s="45">
        <v>46013.958333333336</v>
      </c>
      <c r="M15179" s="46" t="s">
        <v>123</v>
      </c>
      <c r="N15179" s="45">
        <v>46014.229166666664</v>
      </c>
      <c r="O15179" s="46" t="s">
        <v>123</v>
      </c>
      <c r="P15179" s="46">
        <v>23400.0</v>
      </c>
    </row>
    <row r="15180">
      <c r="A15180" s="40">
        <f t="shared" si="1"/>
        <v>46013</v>
      </c>
      <c r="B15180" s="37" t="str">
        <f t="array" ref="B15180">iferror(xlookup($I15180, 'IMPORT VHC Report'!$E:$E, 'IMPORT VHC Report'!$A:$C), )</f>
        <v/>
      </c>
      <c r="C15180" s="44"/>
      <c r="D15180" s="44"/>
      <c r="E15180" s="46" t="s">
        <v>11341</v>
      </c>
      <c r="F15180" s="46" t="s">
        <v>1667</v>
      </c>
      <c r="G15180" s="46">
        <v>5.047383497615E12</v>
      </c>
      <c r="H15180" s="46" t="s">
        <v>1668</v>
      </c>
      <c r="I15180" s="46" t="s">
        <v>1669</v>
      </c>
      <c r="J15180" s="46" t="s">
        <v>132</v>
      </c>
      <c r="K15180" s="46" t="s">
        <v>126</v>
      </c>
      <c r="L15180" s="45">
        <v>46014.229166666664</v>
      </c>
      <c r="M15180" s="46" t="s">
        <v>123</v>
      </c>
      <c r="N15180" s="45">
        <v>46014.270833333336</v>
      </c>
      <c r="O15180" s="46" t="s">
        <v>123</v>
      </c>
      <c r="P15180" s="46">
        <v>3600.0</v>
      </c>
    </row>
    <row r="15181">
      <c r="A15181" s="40">
        <f t="shared" si="1"/>
        <v>46013</v>
      </c>
      <c r="B15181" s="37" t="str">
        <f t="array" ref="B15181">iferror(xlookup($I15181, 'IMPORT VHC Report'!$E:$E, 'IMPORT VHC Report'!$A:$C), )</f>
        <v/>
      </c>
      <c r="C15181" s="44"/>
      <c r="D15181" s="44"/>
      <c r="E15181" s="46" t="s">
        <v>11342</v>
      </c>
      <c r="F15181" s="46" t="s">
        <v>1667</v>
      </c>
      <c r="G15181" s="46">
        <v>5.047383497615E12</v>
      </c>
      <c r="H15181" s="46" t="s">
        <v>1668</v>
      </c>
      <c r="I15181" s="46" t="s">
        <v>1669</v>
      </c>
      <c r="J15181" s="46" t="s">
        <v>134</v>
      </c>
      <c r="K15181" s="46" t="s">
        <v>126</v>
      </c>
      <c r="L15181" s="45">
        <v>46014.270833333336</v>
      </c>
      <c r="M15181" s="46" t="s">
        <v>123</v>
      </c>
      <c r="N15181" s="45">
        <v>46014.291666666664</v>
      </c>
      <c r="O15181" s="46" t="s">
        <v>123</v>
      </c>
      <c r="P15181" s="46">
        <v>1800.0</v>
      </c>
    </row>
    <row r="15182">
      <c r="A15182" s="40">
        <f t="shared" si="1"/>
        <v>46013</v>
      </c>
      <c r="B15182" s="37" t="str">
        <f t="array" ref="B15182">iferror(xlookup($I15182, 'IMPORT VHC Report'!$E:$E, 'IMPORT VHC Report'!$A:$C), )</f>
        <v/>
      </c>
      <c r="C15182" s="44"/>
      <c r="D15182" s="44"/>
      <c r="E15182" s="46" t="s">
        <v>11343</v>
      </c>
      <c r="F15182" s="46" t="s">
        <v>1667</v>
      </c>
      <c r="G15182" s="46">
        <v>5.047383497615E12</v>
      </c>
      <c r="H15182" s="46" t="s">
        <v>1668</v>
      </c>
      <c r="I15182" s="46" t="s">
        <v>1669</v>
      </c>
      <c r="J15182" s="46" t="s">
        <v>330</v>
      </c>
      <c r="K15182" s="46" t="s">
        <v>126</v>
      </c>
      <c r="L15182" s="45">
        <v>46014.291666666664</v>
      </c>
      <c r="M15182" s="46" t="s">
        <v>123</v>
      </c>
      <c r="N15182" s="45">
        <v>46014.333333333336</v>
      </c>
      <c r="O15182" s="46" t="s">
        <v>123</v>
      </c>
      <c r="P15182" s="46">
        <v>3600.0</v>
      </c>
    </row>
    <row r="15183">
      <c r="A15183" s="40">
        <f t="shared" si="1"/>
        <v>46013</v>
      </c>
      <c r="B15183" s="37" t="str">
        <f t="array" ref="B15183">iferror(xlookup($I15183, 'IMPORT VHC Report'!$E:$E, 'IMPORT VHC Report'!$A:$C), )</f>
        <v/>
      </c>
      <c r="C15183" s="44"/>
      <c r="D15183" s="44"/>
      <c r="E15183" s="46" t="s">
        <v>11344</v>
      </c>
      <c r="F15183" s="46" t="s">
        <v>1667</v>
      </c>
      <c r="G15183" s="46">
        <v>5.047383497615E12</v>
      </c>
      <c r="H15183" s="46" t="s">
        <v>1668</v>
      </c>
      <c r="I15183" s="46" t="s">
        <v>1669</v>
      </c>
      <c r="J15183" s="46" t="s">
        <v>1670</v>
      </c>
      <c r="K15183" s="46" t="s">
        <v>63</v>
      </c>
      <c r="L15183" s="45">
        <v>46014.958333333336</v>
      </c>
      <c r="M15183" s="46" t="s">
        <v>123</v>
      </c>
      <c r="N15183" s="45">
        <v>46015.333333333336</v>
      </c>
      <c r="O15183" s="46" t="s">
        <v>123</v>
      </c>
      <c r="P15183" s="46">
        <v>32400.0</v>
      </c>
    </row>
    <row r="15184">
      <c r="A15184" s="40">
        <f t="shared" si="1"/>
        <v>46013</v>
      </c>
      <c r="B15184" s="37" t="str">
        <f t="array" ref="B15184">iferror(xlookup($I15184, 'IMPORT VHC Report'!$E:$E, 'IMPORT VHC Report'!$A:$C), )</f>
        <v/>
      </c>
      <c r="C15184" s="44"/>
      <c r="D15184" s="44"/>
      <c r="E15184" s="46" t="s">
        <v>11345</v>
      </c>
      <c r="F15184" s="46" t="s">
        <v>1667</v>
      </c>
      <c r="G15184" s="46">
        <v>5.047383497615E12</v>
      </c>
      <c r="H15184" s="46" t="s">
        <v>1668</v>
      </c>
      <c r="I15184" s="46" t="s">
        <v>1669</v>
      </c>
      <c r="J15184" s="46" t="s">
        <v>132</v>
      </c>
      <c r="K15184" s="46" t="s">
        <v>126</v>
      </c>
      <c r="L15184" s="45">
        <v>46015.125</v>
      </c>
      <c r="M15184" s="46" t="s">
        <v>123</v>
      </c>
      <c r="N15184" s="45">
        <v>46015.166666666664</v>
      </c>
      <c r="O15184" s="46" t="s">
        <v>123</v>
      </c>
      <c r="P15184" s="46">
        <v>3600.0</v>
      </c>
    </row>
    <row r="15185">
      <c r="A15185" s="40">
        <f t="shared" si="1"/>
        <v>46013</v>
      </c>
      <c r="B15185" s="37" t="str">
        <f t="array" ref="B15185">iferror(xlookup($I15185, 'IMPORT VHC Report'!$E:$E, 'IMPORT VHC Report'!$A:$C), )</f>
        <v/>
      </c>
      <c r="C15185" s="44"/>
      <c r="D15185" s="44"/>
      <c r="E15185" s="46" t="s">
        <v>11346</v>
      </c>
      <c r="F15185" s="46" t="s">
        <v>1667</v>
      </c>
      <c r="G15185" s="46">
        <v>5.047383497615E12</v>
      </c>
      <c r="H15185" s="46" t="s">
        <v>1668</v>
      </c>
      <c r="I15185" s="46" t="s">
        <v>1669</v>
      </c>
      <c r="J15185" s="46" t="s">
        <v>134</v>
      </c>
      <c r="K15185" s="46" t="s">
        <v>126</v>
      </c>
      <c r="L15185" s="45">
        <v>46015.166666666664</v>
      </c>
      <c r="M15185" s="46" t="s">
        <v>123</v>
      </c>
      <c r="N15185" s="45">
        <v>46015.1875</v>
      </c>
      <c r="O15185" s="46" t="s">
        <v>123</v>
      </c>
      <c r="P15185" s="46">
        <v>1800.0</v>
      </c>
    </row>
    <row r="15186">
      <c r="A15186" s="40">
        <f t="shared" si="1"/>
        <v>46013</v>
      </c>
      <c r="B15186" s="37" t="str">
        <f t="array" ref="B15186">iferror(xlookup($I15186, 'IMPORT VHC Report'!$E:$E, 'IMPORT VHC Report'!$A:$C), )</f>
        <v/>
      </c>
      <c r="C15186" s="44"/>
      <c r="D15186" s="44"/>
      <c r="E15186" s="46" t="s">
        <v>11347</v>
      </c>
      <c r="F15186" s="46" t="s">
        <v>1667</v>
      </c>
      <c r="G15186" s="46">
        <v>5.047383497615E12</v>
      </c>
      <c r="H15186" s="46" t="s">
        <v>1668</v>
      </c>
      <c r="I15186" s="46" t="s">
        <v>1669</v>
      </c>
      <c r="J15186" s="46" t="s">
        <v>136</v>
      </c>
      <c r="K15186" s="46" t="s">
        <v>126</v>
      </c>
      <c r="L15186" s="45">
        <v>46015.291666666664</v>
      </c>
      <c r="M15186" s="46" t="s">
        <v>123</v>
      </c>
      <c r="N15186" s="45">
        <v>46015.333333333336</v>
      </c>
      <c r="O15186" s="46" t="s">
        <v>123</v>
      </c>
      <c r="P15186" s="46">
        <v>3600.0</v>
      </c>
      <c r="S15186" s="46" t="s">
        <v>1680</v>
      </c>
    </row>
    <row r="15187">
      <c r="A15187" s="40">
        <f t="shared" si="1"/>
        <v>46013</v>
      </c>
      <c r="B15187" s="37" t="str">
        <f t="array" ref="B15187">iferror(xlookup($I15187, 'IMPORT VHC Report'!$E:$E, 'IMPORT VHC Report'!$A:$C), )</f>
        <v/>
      </c>
      <c r="C15187" s="44"/>
      <c r="D15187" s="44"/>
      <c r="E15187" s="46" t="s">
        <v>11348</v>
      </c>
      <c r="F15187" s="46" t="s">
        <v>1667</v>
      </c>
      <c r="G15187" s="46">
        <v>5.047383497615E12</v>
      </c>
      <c r="H15187" s="46" t="s">
        <v>1668</v>
      </c>
      <c r="I15187" s="46" t="s">
        <v>1669</v>
      </c>
      <c r="J15187" s="46" t="s">
        <v>1670</v>
      </c>
      <c r="K15187" s="46" t="s">
        <v>63</v>
      </c>
      <c r="L15187" s="45">
        <v>46015.958333333336</v>
      </c>
      <c r="M15187" s="46" t="s">
        <v>123</v>
      </c>
      <c r="N15187" s="45">
        <v>46016.333333333336</v>
      </c>
      <c r="O15187" s="46" t="s">
        <v>123</v>
      </c>
      <c r="P15187" s="46">
        <v>32400.0</v>
      </c>
    </row>
    <row r="15188">
      <c r="A15188" s="40">
        <f t="shared" si="1"/>
        <v>46013</v>
      </c>
      <c r="B15188" s="37" t="str">
        <f t="array" ref="B15188">iferror(xlookup($I15188, 'IMPORT VHC Report'!$E:$E, 'IMPORT VHC Report'!$A:$C), )</f>
        <v/>
      </c>
      <c r="C15188" s="44"/>
      <c r="D15188" s="44"/>
      <c r="E15188" s="46" t="s">
        <v>11349</v>
      </c>
      <c r="F15188" s="46" t="s">
        <v>1667</v>
      </c>
      <c r="G15188" s="46">
        <v>5.047383497615E12</v>
      </c>
      <c r="H15188" s="46" t="s">
        <v>1668</v>
      </c>
      <c r="I15188" s="46" t="s">
        <v>1669</v>
      </c>
      <c r="J15188" s="46" t="s">
        <v>134</v>
      </c>
      <c r="K15188" s="46" t="s">
        <v>126</v>
      </c>
      <c r="L15188" s="45">
        <v>46016.270833333336</v>
      </c>
      <c r="M15188" s="46" t="s">
        <v>123</v>
      </c>
      <c r="N15188" s="45">
        <v>46016.3125</v>
      </c>
      <c r="O15188" s="46" t="s">
        <v>123</v>
      </c>
      <c r="P15188" s="46">
        <v>3600.0</v>
      </c>
    </row>
    <row r="15189">
      <c r="A15189" s="40">
        <f t="shared" si="1"/>
        <v>46013</v>
      </c>
      <c r="B15189" s="37" t="str">
        <f t="array" ref="B15189">iferror(xlookup($I15189, 'IMPORT VHC Report'!$E:$E, 'IMPORT VHC Report'!$A:$C), )</f>
        <v/>
      </c>
      <c r="C15189" s="44"/>
      <c r="D15189" s="44"/>
      <c r="E15189" s="46" t="s">
        <v>11350</v>
      </c>
      <c r="F15189" s="46" t="s">
        <v>1667</v>
      </c>
      <c r="G15189" s="46">
        <v>5.047383497615E12</v>
      </c>
      <c r="H15189" s="46" t="s">
        <v>1668</v>
      </c>
      <c r="I15189" s="46" t="s">
        <v>1669</v>
      </c>
      <c r="J15189" s="46" t="s">
        <v>132</v>
      </c>
      <c r="K15189" s="46" t="s">
        <v>126</v>
      </c>
      <c r="L15189" s="45">
        <v>46016.3125</v>
      </c>
      <c r="M15189" s="46" t="s">
        <v>123</v>
      </c>
      <c r="N15189" s="45">
        <v>46016.333333333336</v>
      </c>
      <c r="O15189" s="46" t="s">
        <v>123</v>
      </c>
      <c r="P15189" s="46">
        <v>1800.0</v>
      </c>
    </row>
    <row r="15190">
      <c r="A15190" s="40">
        <f t="shared" si="1"/>
        <v>46013</v>
      </c>
      <c r="B15190" s="37" t="str">
        <f t="array" ref="B15190">iferror(xlookup($I15190, 'IMPORT VHC Report'!$E:$E, 'IMPORT VHC Report'!$A:$C), )</f>
        <v/>
      </c>
      <c r="C15190" s="44"/>
      <c r="D15190" s="44"/>
      <c r="E15190" s="46" t="s">
        <v>11351</v>
      </c>
      <c r="F15190" s="46" t="s">
        <v>1667</v>
      </c>
      <c r="G15190" s="46">
        <v>5.047383497615E12</v>
      </c>
      <c r="H15190" s="46" t="s">
        <v>1668</v>
      </c>
      <c r="I15190" s="46" t="s">
        <v>1669</v>
      </c>
      <c r="J15190" s="46" t="s">
        <v>1670</v>
      </c>
      <c r="K15190" s="46" t="s">
        <v>63</v>
      </c>
      <c r="L15190" s="45">
        <v>46016.958333333336</v>
      </c>
      <c r="M15190" s="46" t="s">
        <v>123</v>
      </c>
      <c r="N15190" s="45">
        <v>46017.333333333336</v>
      </c>
      <c r="O15190" s="46" t="s">
        <v>123</v>
      </c>
      <c r="P15190" s="46">
        <v>32400.0</v>
      </c>
    </row>
    <row r="15191">
      <c r="A15191" s="40">
        <f t="shared" si="1"/>
        <v>46013</v>
      </c>
      <c r="B15191" s="37" t="str">
        <f t="array" ref="B15191">iferror(xlookup($I15191, 'IMPORT VHC Report'!$E:$E, 'IMPORT VHC Report'!$A:$C), )</f>
        <v/>
      </c>
      <c r="C15191" s="44"/>
      <c r="D15191" s="44"/>
      <c r="E15191" s="46" t="s">
        <v>11352</v>
      </c>
      <c r="F15191" s="46" t="s">
        <v>1667</v>
      </c>
      <c r="G15191" s="46">
        <v>5.047383497615E12</v>
      </c>
      <c r="H15191" s="46" t="s">
        <v>1668</v>
      </c>
      <c r="I15191" s="46" t="s">
        <v>1669</v>
      </c>
      <c r="J15191" s="46" t="s">
        <v>132</v>
      </c>
      <c r="K15191" s="46" t="s">
        <v>126</v>
      </c>
      <c r="L15191" s="45">
        <v>46017.270833333336</v>
      </c>
      <c r="M15191" s="46" t="s">
        <v>123</v>
      </c>
      <c r="N15191" s="45">
        <v>46017.3125</v>
      </c>
      <c r="O15191" s="46" t="s">
        <v>123</v>
      </c>
      <c r="P15191" s="46">
        <v>3600.0</v>
      </c>
    </row>
    <row r="15192">
      <c r="A15192" s="40">
        <f t="shared" si="1"/>
        <v>46013</v>
      </c>
      <c r="B15192" s="37" t="str">
        <f t="array" ref="B15192">iferror(xlookup($I15192, 'IMPORT VHC Report'!$E:$E, 'IMPORT VHC Report'!$A:$C), )</f>
        <v/>
      </c>
      <c r="C15192" s="44"/>
      <c r="D15192" s="44"/>
      <c r="E15192" s="46" t="s">
        <v>11353</v>
      </c>
      <c r="F15192" s="46" t="s">
        <v>1667</v>
      </c>
      <c r="G15192" s="46">
        <v>5.047383497615E12</v>
      </c>
      <c r="H15192" s="46" t="s">
        <v>1668</v>
      </c>
      <c r="I15192" s="46" t="s">
        <v>1669</v>
      </c>
      <c r="J15192" s="46" t="s">
        <v>134</v>
      </c>
      <c r="K15192" s="46" t="s">
        <v>126</v>
      </c>
      <c r="L15192" s="45">
        <v>46017.3125</v>
      </c>
      <c r="M15192" s="46" t="s">
        <v>123</v>
      </c>
      <c r="N15192" s="45">
        <v>46017.333333333336</v>
      </c>
      <c r="O15192" s="46" t="s">
        <v>123</v>
      </c>
      <c r="P15192" s="46">
        <v>1800.0</v>
      </c>
    </row>
    <row r="15193">
      <c r="A15193" s="40">
        <f t="shared" si="1"/>
        <v>46013</v>
      </c>
      <c r="B15193" s="37" t="str">
        <f t="array" ref="B15193">iferror(xlookup($I15193, 'IMPORT VHC Report'!$E:$E, 'IMPORT VHC Report'!$A:$C), )</f>
        <v/>
      </c>
      <c r="C15193" s="44"/>
      <c r="D15193" s="44"/>
      <c r="E15193" s="46" t="s">
        <v>11354</v>
      </c>
      <c r="F15193" s="46" t="s">
        <v>1667</v>
      </c>
      <c r="G15193" s="46">
        <v>5.047383497615E12</v>
      </c>
      <c r="H15193" s="46" t="s">
        <v>1668</v>
      </c>
      <c r="I15193" s="46" t="s">
        <v>1669</v>
      </c>
      <c r="J15193" s="46" t="s">
        <v>1670</v>
      </c>
      <c r="K15193" s="46" t="s">
        <v>63</v>
      </c>
      <c r="L15193" s="45">
        <v>46019.958333333336</v>
      </c>
      <c r="M15193" s="46" t="s">
        <v>123</v>
      </c>
      <c r="N15193" s="45">
        <v>46020.0</v>
      </c>
      <c r="O15193" s="46" t="s">
        <v>123</v>
      </c>
      <c r="P15193" s="46">
        <v>3600.0</v>
      </c>
    </row>
    <row r="15194">
      <c r="A15194" s="40">
        <f t="shared" si="1"/>
        <v>46013</v>
      </c>
      <c r="B15194" s="37" t="str">
        <f t="array" ref="B15194">iferror(xlookup($I15194, 'IMPORT VHC Report'!$E:$E, 'IMPORT VHC Report'!$A:$C), )</f>
        <v/>
      </c>
      <c r="C15194" s="44"/>
      <c r="D15194" s="44"/>
      <c r="E15194" s="46" t="s">
        <v>11355</v>
      </c>
      <c r="F15194" s="46" t="s">
        <v>3315</v>
      </c>
      <c r="G15194" s="46">
        <v>5.566811301007E12</v>
      </c>
      <c r="H15194" s="46" t="s">
        <v>52</v>
      </c>
      <c r="I15194" s="46" t="s">
        <v>53</v>
      </c>
      <c r="J15194" s="46" t="s">
        <v>1670</v>
      </c>
      <c r="K15194" s="46" t="s">
        <v>63</v>
      </c>
      <c r="L15194" s="45">
        <v>46013.375</v>
      </c>
      <c r="M15194" s="46" t="s">
        <v>123</v>
      </c>
      <c r="N15194" s="45">
        <v>46013.75</v>
      </c>
      <c r="O15194" s="46" t="s">
        <v>123</v>
      </c>
      <c r="P15194" s="46">
        <v>32400.0</v>
      </c>
    </row>
    <row r="15195">
      <c r="A15195" s="40">
        <f t="shared" si="1"/>
        <v>46013</v>
      </c>
      <c r="B15195" s="37" t="str">
        <f t="array" ref="B15195">iferror(xlookup($I15195, 'IMPORT VHC Report'!$E:$E, 'IMPORT VHC Report'!$A:$C), )</f>
        <v/>
      </c>
      <c r="C15195" s="44"/>
      <c r="D15195" s="44"/>
      <c r="E15195" s="46" t="s">
        <v>11356</v>
      </c>
      <c r="F15195" s="46" t="s">
        <v>3315</v>
      </c>
      <c r="G15195" s="46">
        <v>5.566811301007E12</v>
      </c>
      <c r="H15195" s="46" t="s">
        <v>52</v>
      </c>
      <c r="I15195" s="46" t="s">
        <v>53</v>
      </c>
      <c r="J15195" s="46" t="s">
        <v>136</v>
      </c>
      <c r="K15195" s="46" t="s">
        <v>126</v>
      </c>
      <c r="L15195" s="45">
        <v>46013.604166666664</v>
      </c>
      <c r="M15195" s="46" t="s">
        <v>123</v>
      </c>
      <c r="N15195" s="45">
        <v>46013.63402777778</v>
      </c>
      <c r="O15195" s="46" t="s">
        <v>123</v>
      </c>
      <c r="P15195" s="46">
        <v>2580.0</v>
      </c>
      <c r="S15195" s="46" t="s">
        <v>11357</v>
      </c>
    </row>
    <row r="15196">
      <c r="A15196" s="40">
        <f t="shared" si="1"/>
        <v>46013</v>
      </c>
      <c r="B15196" s="37" t="str">
        <f t="array" ref="B15196">iferror(xlookup($I15196, 'IMPORT VHC Report'!$E:$E, 'IMPORT VHC Report'!$A:$C), )</f>
        <v/>
      </c>
      <c r="C15196" s="44"/>
      <c r="D15196" s="44"/>
      <c r="E15196" s="46" t="s">
        <v>11358</v>
      </c>
      <c r="F15196" s="46" t="s">
        <v>3315</v>
      </c>
      <c r="G15196" s="46">
        <v>5.566811301007E12</v>
      </c>
      <c r="H15196" s="46" t="s">
        <v>52</v>
      </c>
      <c r="I15196" s="46" t="s">
        <v>53</v>
      </c>
      <c r="J15196" s="46" t="s">
        <v>132</v>
      </c>
      <c r="K15196" s="46" t="s">
        <v>126</v>
      </c>
      <c r="L15196" s="45">
        <v>46013.645833333336</v>
      </c>
      <c r="M15196" s="46" t="s">
        <v>123</v>
      </c>
      <c r="N15196" s="45">
        <v>46013.6875</v>
      </c>
      <c r="O15196" s="46" t="s">
        <v>123</v>
      </c>
      <c r="P15196" s="46">
        <v>3600.0</v>
      </c>
    </row>
    <row r="15197">
      <c r="A15197" s="40">
        <f t="shared" si="1"/>
        <v>46013</v>
      </c>
      <c r="B15197" s="37" t="str">
        <f t="array" ref="B15197">iferror(xlookup($I15197, 'IMPORT VHC Report'!$E:$E, 'IMPORT VHC Report'!$A:$C), )</f>
        <v/>
      </c>
      <c r="C15197" s="44"/>
      <c r="D15197" s="44"/>
      <c r="E15197" s="46" t="s">
        <v>11359</v>
      </c>
      <c r="F15197" s="46" t="s">
        <v>3315</v>
      </c>
      <c r="G15197" s="46">
        <v>5.566811301007E12</v>
      </c>
      <c r="H15197" s="46" t="s">
        <v>52</v>
      </c>
      <c r="I15197" s="46" t="s">
        <v>53</v>
      </c>
      <c r="J15197" s="46" t="s">
        <v>134</v>
      </c>
      <c r="K15197" s="46" t="s">
        <v>126</v>
      </c>
      <c r="L15197" s="45">
        <v>46013.6875</v>
      </c>
      <c r="M15197" s="46" t="s">
        <v>123</v>
      </c>
      <c r="N15197" s="45">
        <v>46013.708333333336</v>
      </c>
      <c r="O15197" s="46" t="s">
        <v>123</v>
      </c>
      <c r="P15197" s="46">
        <v>1800.0</v>
      </c>
    </row>
    <row r="15198">
      <c r="A15198" s="40">
        <f t="shared" si="1"/>
        <v>46013</v>
      </c>
      <c r="B15198" s="37" t="str">
        <f t="array" ref="B15198">iferror(xlookup($I15198, 'IMPORT VHC Report'!$E:$E, 'IMPORT VHC Report'!$A:$C), )</f>
        <v/>
      </c>
      <c r="C15198" s="44"/>
      <c r="D15198" s="44"/>
      <c r="E15198" s="46" t="s">
        <v>11360</v>
      </c>
      <c r="F15198" s="46" t="s">
        <v>3315</v>
      </c>
      <c r="G15198" s="46">
        <v>5.566811301007E12</v>
      </c>
      <c r="H15198" s="46" t="s">
        <v>52</v>
      </c>
      <c r="I15198" s="46" t="s">
        <v>53</v>
      </c>
      <c r="J15198" s="46" t="s">
        <v>1670</v>
      </c>
      <c r="K15198" s="46" t="s">
        <v>63</v>
      </c>
      <c r="L15198" s="45">
        <v>46014.375</v>
      </c>
      <c r="M15198" s="46" t="s">
        <v>123</v>
      </c>
      <c r="N15198" s="45">
        <v>46014.75</v>
      </c>
      <c r="O15198" s="46" t="s">
        <v>123</v>
      </c>
      <c r="P15198" s="46">
        <v>32400.0</v>
      </c>
    </row>
    <row r="15199">
      <c r="A15199" s="40">
        <f t="shared" si="1"/>
        <v>46013</v>
      </c>
      <c r="B15199" s="37" t="str">
        <f t="array" ref="B15199">iferror(xlookup($I15199, 'IMPORT VHC Report'!$E:$E, 'IMPORT VHC Report'!$A:$C), )</f>
        <v/>
      </c>
      <c r="C15199" s="44"/>
      <c r="D15199" s="44"/>
      <c r="E15199" s="46" t="s">
        <v>11361</v>
      </c>
      <c r="F15199" s="46" t="s">
        <v>3315</v>
      </c>
      <c r="G15199" s="46">
        <v>5.566811301007E12</v>
      </c>
      <c r="H15199" s="46" t="s">
        <v>52</v>
      </c>
      <c r="I15199" s="46" t="s">
        <v>53</v>
      </c>
      <c r="J15199" s="46" t="s">
        <v>136</v>
      </c>
      <c r="K15199" s="46" t="s">
        <v>126</v>
      </c>
      <c r="L15199" s="45">
        <v>46014.458333333336</v>
      </c>
      <c r="M15199" s="46" t="s">
        <v>123</v>
      </c>
      <c r="N15199" s="45">
        <v>46014.489583333336</v>
      </c>
      <c r="O15199" s="46" t="s">
        <v>123</v>
      </c>
      <c r="P15199" s="46">
        <v>2700.0</v>
      </c>
      <c r="S15199" s="46" t="s">
        <v>11362</v>
      </c>
    </row>
    <row r="15200">
      <c r="A15200" s="40">
        <f t="shared" si="1"/>
        <v>46013</v>
      </c>
      <c r="B15200" s="37" t="str">
        <f t="array" ref="B15200">iferror(xlookup($I15200, 'IMPORT VHC Report'!$E:$E, 'IMPORT VHC Report'!$A:$C), )</f>
        <v/>
      </c>
      <c r="C15200" s="44"/>
      <c r="D15200" s="44"/>
      <c r="E15200" s="46" t="s">
        <v>11363</v>
      </c>
      <c r="F15200" s="46" t="s">
        <v>3315</v>
      </c>
      <c r="G15200" s="46">
        <v>5.566811301007E12</v>
      </c>
      <c r="H15200" s="46" t="s">
        <v>52</v>
      </c>
      <c r="I15200" s="46" t="s">
        <v>53</v>
      </c>
      <c r="J15200" s="46" t="s">
        <v>132</v>
      </c>
      <c r="K15200" s="46" t="s">
        <v>126</v>
      </c>
      <c r="L15200" s="45">
        <v>46014.5625</v>
      </c>
      <c r="M15200" s="46" t="s">
        <v>123</v>
      </c>
      <c r="N15200" s="45">
        <v>46014.604166666664</v>
      </c>
      <c r="O15200" s="46" t="s">
        <v>123</v>
      </c>
      <c r="P15200" s="46">
        <v>3600.0</v>
      </c>
    </row>
    <row r="15201">
      <c r="A15201" s="40">
        <f t="shared" si="1"/>
        <v>46013</v>
      </c>
      <c r="B15201" s="37" t="str">
        <f t="array" ref="B15201">iferror(xlookup($I15201, 'IMPORT VHC Report'!$E:$E, 'IMPORT VHC Report'!$A:$C), )</f>
        <v/>
      </c>
      <c r="C15201" s="44"/>
      <c r="D15201" s="44"/>
      <c r="E15201" s="46" t="s">
        <v>11364</v>
      </c>
      <c r="F15201" s="46" t="s">
        <v>3315</v>
      </c>
      <c r="G15201" s="46">
        <v>5.566811301007E12</v>
      </c>
      <c r="H15201" s="46" t="s">
        <v>52</v>
      </c>
      <c r="I15201" s="46" t="s">
        <v>53</v>
      </c>
      <c r="J15201" s="46" t="s">
        <v>134</v>
      </c>
      <c r="K15201" s="46" t="s">
        <v>126</v>
      </c>
      <c r="L15201" s="45">
        <v>46014.729166666664</v>
      </c>
      <c r="M15201" s="46" t="s">
        <v>123</v>
      </c>
      <c r="N15201" s="45">
        <v>46014.75</v>
      </c>
      <c r="O15201" s="46" t="s">
        <v>123</v>
      </c>
      <c r="P15201" s="46">
        <v>1800.0</v>
      </c>
    </row>
    <row r="15202">
      <c r="A15202" s="40">
        <f t="shared" si="1"/>
        <v>46013</v>
      </c>
      <c r="B15202" s="37" t="str">
        <f t="array" ref="B15202">iferror(xlookup($I15202, 'IMPORT VHC Report'!$E:$E, 'IMPORT VHC Report'!$A:$C), )</f>
        <v/>
      </c>
      <c r="C15202" s="44"/>
      <c r="D15202" s="44"/>
      <c r="E15202" s="46" t="s">
        <v>11365</v>
      </c>
      <c r="F15202" s="46" t="s">
        <v>3315</v>
      </c>
      <c r="G15202" s="46">
        <v>5.566811301007E12</v>
      </c>
      <c r="H15202" s="46" t="s">
        <v>52</v>
      </c>
      <c r="I15202" s="46" t="s">
        <v>53</v>
      </c>
      <c r="J15202" s="46" t="s">
        <v>1670</v>
      </c>
      <c r="K15202" s="46" t="s">
        <v>63</v>
      </c>
      <c r="L15202" s="45">
        <v>46015.375</v>
      </c>
      <c r="M15202" s="46" t="s">
        <v>123</v>
      </c>
      <c r="N15202" s="45">
        <v>46015.75</v>
      </c>
      <c r="O15202" s="46" t="s">
        <v>123</v>
      </c>
      <c r="P15202" s="46">
        <v>32400.0</v>
      </c>
    </row>
    <row r="15203">
      <c r="A15203" s="40">
        <f t="shared" si="1"/>
        <v>46013</v>
      </c>
      <c r="B15203" s="37" t="str">
        <f t="array" ref="B15203">iferror(xlookup($I15203, 'IMPORT VHC Report'!$E:$E, 'IMPORT VHC Report'!$A:$C), )</f>
        <v/>
      </c>
      <c r="C15203" s="44"/>
      <c r="D15203" s="44"/>
      <c r="E15203" s="46" t="s">
        <v>11366</v>
      </c>
      <c r="F15203" s="46" t="s">
        <v>3315</v>
      </c>
      <c r="G15203" s="46">
        <v>5.566811301007E12</v>
      </c>
      <c r="H15203" s="46" t="s">
        <v>52</v>
      </c>
      <c r="I15203" s="46" t="s">
        <v>53</v>
      </c>
      <c r="J15203" s="46" t="s">
        <v>136</v>
      </c>
      <c r="K15203" s="46" t="s">
        <v>126</v>
      </c>
      <c r="L15203" s="45">
        <v>46015.583333333336</v>
      </c>
      <c r="M15203" s="46" t="s">
        <v>123</v>
      </c>
      <c r="N15203" s="45">
        <v>46015.625</v>
      </c>
      <c r="O15203" s="46" t="s">
        <v>123</v>
      </c>
      <c r="P15203" s="46">
        <v>3600.0</v>
      </c>
      <c r="S15203" s="46" t="s">
        <v>1680</v>
      </c>
    </row>
    <row r="15204">
      <c r="A15204" s="40">
        <f t="shared" si="1"/>
        <v>46013</v>
      </c>
      <c r="B15204" s="37" t="str">
        <f t="array" ref="B15204">iferror(xlookup($I15204, 'IMPORT VHC Report'!$E:$E, 'IMPORT VHC Report'!$A:$C), )</f>
        <v/>
      </c>
      <c r="C15204" s="44"/>
      <c r="D15204" s="44"/>
      <c r="E15204" s="46" t="s">
        <v>11367</v>
      </c>
      <c r="F15204" s="46" t="s">
        <v>3315</v>
      </c>
      <c r="G15204" s="46">
        <v>5.566811301007E12</v>
      </c>
      <c r="H15204" s="46" t="s">
        <v>52</v>
      </c>
      <c r="I15204" s="46" t="s">
        <v>53</v>
      </c>
      <c r="J15204" s="46" t="s">
        <v>132</v>
      </c>
      <c r="K15204" s="46" t="s">
        <v>126</v>
      </c>
      <c r="L15204" s="45">
        <v>46015.6875</v>
      </c>
      <c r="M15204" s="46" t="s">
        <v>123</v>
      </c>
      <c r="N15204" s="45">
        <v>46015.729166666664</v>
      </c>
      <c r="O15204" s="46" t="s">
        <v>123</v>
      </c>
      <c r="P15204" s="46">
        <v>3600.0</v>
      </c>
    </row>
    <row r="15205">
      <c r="A15205" s="40">
        <f t="shared" si="1"/>
        <v>46013</v>
      </c>
      <c r="B15205" s="37" t="str">
        <f t="array" ref="B15205">iferror(xlookup($I15205, 'IMPORT VHC Report'!$E:$E, 'IMPORT VHC Report'!$A:$C), )</f>
        <v/>
      </c>
      <c r="C15205" s="44"/>
      <c r="D15205" s="44"/>
      <c r="E15205" s="46" t="s">
        <v>11368</v>
      </c>
      <c r="F15205" s="46" t="s">
        <v>3315</v>
      </c>
      <c r="G15205" s="46">
        <v>5.566811301007E12</v>
      </c>
      <c r="H15205" s="46" t="s">
        <v>52</v>
      </c>
      <c r="I15205" s="46" t="s">
        <v>53</v>
      </c>
      <c r="J15205" s="46" t="s">
        <v>134</v>
      </c>
      <c r="K15205" s="46" t="s">
        <v>126</v>
      </c>
      <c r="L15205" s="45">
        <v>46015.729166666664</v>
      </c>
      <c r="M15205" s="46" t="s">
        <v>123</v>
      </c>
      <c r="N15205" s="45">
        <v>46015.75</v>
      </c>
      <c r="O15205" s="46" t="s">
        <v>123</v>
      </c>
      <c r="P15205" s="46">
        <v>1800.0</v>
      </c>
    </row>
    <row r="15206">
      <c r="A15206" s="40">
        <f t="shared" si="1"/>
        <v>46013</v>
      </c>
      <c r="B15206" s="37" t="str">
        <f t="array" ref="B15206">iferror(xlookup($I15206, 'IMPORT VHC Report'!$E:$E, 'IMPORT VHC Report'!$A:$C), )</f>
        <v/>
      </c>
      <c r="C15206" s="44"/>
      <c r="D15206" s="44"/>
      <c r="E15206" s="46" t="s">
        <v>11369</v>
      </c>
      <c r="F15206" s="46" t="s">
        <v>3315</v>
      </c>
      <c r="G15206" s="46">
        <v>5.566811301007E12</v>
      </c>
      <c r="H15206" s="46" t="s">
        <v>52</v>
      </c>
      <c r="I15206" s="46" t="s">
        <v>53</v>
      </c>
      <c r="J15206" s="46" t="s">
        <v>1670</v>
      </c>
      <c r="K15206" s="46" t="s">
        <v>63</v>
      </c>
      <c r="L15206" s="45">
        <v>46016.375</v>
      </c>
      <c r="M15206" s="46" t="s">
        <v>123</v>
      </c>
      <c r="N15206" s="45">
        <v>46016.75</v>
      </c>
      <c r="O15206" s="46" t="s">
        <v>123</v>
      </c>
      <c r="P15206" s="46">
        <v>32400.0</v>
      </c>
    </row>
    <row r="15207">
      <c r="A15207" s="40">
        <f t="shared" si="1"/>
        <v>46013</v>
      </c>
      <c r="B15207" s="37" t="str">
        <f t="array" ref="B15207">iferror(xlookup($I15207, 'IMPORT VHC Report'!$E:$E, 'IMPORT VHC Report'!$A:$C), )</f>
        <v/>
      </c>
      <c r="C15207" s="44"/>
      <c r="D15207" s="44"/>
      <c r="E15207" s="46" t="s">
        <v>11370</v>
      </c>
      <c r="F15207" s="46" t="s">
        <v>3315</v>
      </c>
      <c r="G15207" s="46">
        <v>5.566811301007E12</v>
      </c>
      <c r="H15207" s="46" t="s">
        <v>52</v>
      </c>
      <c r="I15207" s="46" t="s">
        <v>53</v>
      </c>
      <c r="J15207" s="46" t="s">
        <v>136</v>
      </c>
      <c r="K15207" s="46" t="s">
        <v>126</v>
      </c>
      <c r="L15207" s="45">
        <v>46016.458333333336</v>
      </c>
      <c r="M15207" s="46" t="s">
        <v>123</v>
      </c>
      <c r="N15207" s="45">
        <v>46016.5</v>
      </c>
      <c r="O15207" s="46" t="s">
        <v>123</v>
      </c>
      <c r="P15207" s="46">
        <v>3600.0</v>
      </c>
      <c r="S15207" s="46" t="s">
        <v>1683</v>
      </c>
    </row>
    <row r="15208">
      <c r="A15208" s="40">
        <f t="shared" si="1"/>
        <v>46013</v>
      </c>
      <c r="B15208" s="37" t="str">
        <f t="array" ref="B15208">iferror(xlookup($I15208, 'IMPORT VHC Report'!$E:$E, 'IMPORT VHC Report'!$A:$C), )</f>
        <v/>
      </c>
      <c r="C15208" s="44"/>
      <c r="D15208" s="44"/>
      <c r="E15208" s="46" t="s">
        <v>11371</v>
      </c>
      <c r="F15208" s="46" t="s">
        <v>3315</v>
      </c>
      <c r="G15208" s="46">
        <v>5.566811301007E12</v>
      </c>
      <c r="H15208" s="46" t="s">
        <v>52</v>
      </c>
      <c r="I15208" s="46" t="s">
        <v>53</v>
      </c>
      <c r="J15208" s="46" t="s">
        <v>132</v>
      </c>
      <c r="K15208" s="46" t="s">
        <v>126</v>
      </c>
      <c r="L15208" s="45">
        <v>46016.6875</v>
      </c>
      <c r="M15208" s="46" t="s">
        <v>123</v>
      </c>
      <c r="N15208" s="45">
        <v>46016.729166666664</v>
      </c>
      <c r="O15208" s="46" t="s">
        <v>123</v>
      </c>
      <c r="P15208" s="46">
        <v>3600.0</v>
      </c>
    </row>
    <row r="15209">
      <c r="A15209" s="40">
        <f t="shared" si="1"/>
        <v>46013</v>
      </c>
      <c r="B15209" s="37" t="str">
        <f t="array" ref="B15209">iferror(xlookup($I15209, 'IMPORT VHC Report'!$E:$E, 'IMPORT VHC Report'!$A:$C), )</f>
        <v/>
      </c>
      <c r="C15209" s="44"/>
      <c r="D15209" s="44"/>
      <c r="E15209" s="46" t="s">
        <v>11372</v>
      </c>
      <c r="F15209" s="46" t="s">
        <v>3315</v>
      </c>
      <c r="G15209" s="46">
        <v>5.566811301007E12</v>
      </c>
      <c r="H15209" s="46" t="s">
        <v>52</v>
      </c>
      <c r="I15209" s="46" t="s">
        <v>53</v>
      </c>
      <c r="J15209" s="46" t="s">
        <v>134</v>
      </c>
      <c r="K15209" s="46" t="s">
        <v>126</v>
      </c>
      <c r="L15209" s="45">
        <v>46016.729166666664</v>
      </c>
      <c r="M15209" s="46" t="s">
        <v>123</v>
      </c>
      <c r="N15209" s="45">
        <v>46016.75</v>
      </c>
      <c r="O15209" s="46" t="s">
        <v>123</v>
      </c>
      <c r="P15209" s="46">
        <v>1800.0</v>
      </c>
    </row>
    <row r="15210">
      <c r="A15210" s="40">
        <f t="shared" si="1"/>
        <v>46013</v>
      </c>
      <c r="B15210" s="37" t="str">
        <f t="array" ref="B15210">iferror(xlookup($I15210, 'IMPORT VHC Report'!$E:$E, 'IMPORT VHC Report'!$A:$C), )</f>
        <v/>
      </c>
      <c r="C15210" s="44"/>
      <c r="D15210" s="44"/>
      <c r="E15210" s="46" t="s">
        <v>11373</v>
      </c>
      <c r="F15210" s="46" t="s">
        <v>3315</v>
      </c>
      <c r="G15210" s="46">
        <v>5.566811301007E12</v>
      </c>
      <c r="H15210" s="46" t="s">
        <v>52</v>
      </c>
      <c r="I15210" s="46" t="s">
        <v>53</v>
      </c>
      <c r="J15210" s="46" t="s">
        <v>152</v>
      </c>
      <c r="K15210" s="46" t="s">
        <v>153</v>
      </c>
      <c r="L15210" s="45">
        <v>46019.375</v>
      </c>
      <c r="M15210" s="46" t="s">
        <v>123</v>
      </c>
      <c r="N15210" s="45">
        <v>46019.75</v>
      </c>
      <c r="O15210" s="46" t="s">
        <v>123</v>
      </c>
      <c r="P15210" s="46">
        <v>32400.0</v>
      </c>
      <c r="Q15210" s="46">
        <v>32400.0</v>
      </c>
    </row>
    <row r="15211">
      <c r="A15211" s="40">
        <f t="shared" si="1"/>
        <v>46013</v>
      </c>
      <c r="B15211" s="37" t="str">
        <f t="array" ref="B15211">iferror(xlookup($I15211, 'IMPORT VHC Report'!$E:$E, 'IMPORT VHC Report'!$A:$C), )</f>
        <v/>
      </c>
      <c r="C15211" s="44"/>
      <c r="D15211" s="44"/>
      <c r="E15211" s="46" t="s">
        <v>11374</v>
      </c>
      <c r="F15211" s="46" t="s">
        <v>3315</v>
      </c>
      <c r="G15211" s="46">
        <v>5.566811301007E12</v>
      </c>
      <c r="H15211" s="46" t="s">
        <v>52</v>
      </c>
      <c r="I15211" s="46" t="s">
        <v>53</v>
      </c>
      <c r="J15211" s="46" t="s">
        <v>1670</v>
      </c>
      <c r="K15211" s="46" t="s">
        <v>63</v>
      </c>
      <c r="L15211" s="45">
        <v>46019.375</v>
      </c>
      <c r="M15211" s="46" t="s">
        <v>123</v>
      </c>
      <c r="N15211" s="45">
        <v>46019.75</v>
      </c>
      <c r="O15211" s="46" t="s">
        <v>123</v>
      </c>
      <c r="P15211" s="46">
        <v>32400.0</v>
      </c>
    </row>
    <row r="15212">
      <c r="A15212" s="40">
        <f t="shared" si="1"/>
        <v>46013</v>
      </c>
      <c r="B15212" s="37" t="str">
        <f t="array" ref="B15212">iferror(xlookup($I15212, 'IMPORT VHC Report'!$E:$E, 'IMPORT VHC Report'!$A:$C), )</f>
        <v/>
      </c>
      <c r="C15212" s="44"/>
      <c r="D15212" s="44"/>
      <c r="E15212" s="46" t="s">
        <v>11375</v>
      </c>
      <c r="F15212" s="46" t="s">
        <v>3315</v>
      </c>
      <c r="G15212" s="46">
        <v>5.566811301007E12</v>
      </c>
      <c r="H15212" s="46" t="s">
        <v>52</v>
      </c>
      <c r="I15212" s="46" t="s">
        <v>53</v>
      </c>
      <c r="J15212" s="46" t="s">
        <v>132</v>
      </c>
      <c r="K15212" s="46" t="s">
        <v>126</v>
      </c>
      <c r="L15212" s="45">
        <v>46019.6875</v>
      </c>
      <c r="M15212" s="46" t="s">
        <v>123</v>
      </c>
      <c r="N15212" s="45">
        <v>46019.729166666664</v>
      </c>
      <c r="O15212" s="46" t="s">
        <v>123</v>
      </c>
      <c r="P15212" s="46">
        <v>3600.0</v>
      </c>
    </row>
    <row r="15213">
      <c r="A15213" s="40">
        <f t="shared" si="1"/>
        <v>46013</v>
      </c>
      <c r="B15213" s="37" t="str">
        <f t="array" ref="B15213">iferror(xlookup($I15213, 'IMPORT VHC Report'!$E:$E, 'IMPORT VHC Report'!$A:$C), )</f>
        <v/>
      </c>
      <c r="C15213" s="44"/>
      <c r="D15213" s="44"/>
      <c r="E15213" s="46" t="s">
        <v>11376</v>
      </c>
      <c r="F15213" s="46" t="s">
        <v>3315</v>
      </c>
      <c r="G15213" s="46">
        <v>5.566811301007E12</v>
      </c>
      <c r="H15213" s="46" t="s">
        <v>52</v>
      </c>
      <c r="I15213" s="46" t="s">
        <v>53</v>
      </c>
      <c r="J15213" s="46" t="s">
        <v>134</v>
      </c>
      <c r="K15213" s="46" t="s">
        <v>126</v>
      </c>
      <c r="L15213" s="45">
        <v>46019.729166666664</v>
      </c>
      <c r="M15213" s="46" t="s">
        <v>123</v>
      </c>
      <c r="N15213" s="45">
        <v>46019.75</v>
      </c>
      <c r="O15213" s="46" t="s">
        <v>123</v>
      </c>
      <c r="P15213" s="46">
        <v>1800.0</v>
      </c>
    </row>
    <row r="15214">
      <c r="A15214" s="40">
        <f t="shared" si="1"/>
        <v>46013</v>
      </c>
      <c r="B15214" s="37" t="str">
        <f t="array" ref="B15214">iferror(xlookup($I15214, 'IMPORT VHC Report'!$E:$E, 'IMPORT VHC Report'!$A:$C), )</f>
        <v/>
      </c>
      <c r="C15214" s="44"/>
      <c r="D15214" s="44"/>
      <c r="E15214" s="46" t="s">
        <v>11377</v>
      </c>
      <c r="F15214" s="46" t="s">
        <v>4331</v>
      </c>
      <c r="G15214" s="46">
        <v>8.904494969999E12</v>
      </c>
      <c r="H15214" s="46" t="s">
        <v>4332</v>
      </c>
      <c r="I15214" s="46" t="s">
        <v>4333</v>
      </c>
      <c r="J15214" s="46" t="s">
        <v>1670</v>
      </c>
      <c r="K15214" s="46" t="s">
        <v>63</v>
      </c>
      <c r="L15214" s="45">
        <v>46013.583333333336</v>
      </c>
      <c r="M15214" s="46" t="s">
        <v>123</v>
      </c>
      <c r="N15214" s="45">
        <v>46013.958333333336</v>
      </c>
      <c r="O15214" s="46" t="s">
        <v>123</v>
      </c>
      <c r="P15214" s="46">
        <v>32400.0</v>
      </c>
    </row>
    <row r="15215">
      <c r="A15215" s="40">
        <f t="shared" si="1"/>
        <v>46013</v>
      </c>
      <c r="B15215" s="37" t="str">
        <f t="array" ref="B15215">iferror(xlookup($I15215, 'IMPORT VHC Report'!$E:$E, 'IMPORT VHC Report'!$A:$C), )</f>
        <v/>
      </c>
      <c r="C15215" s="44"/>
      <c r="D15215" s="44"/>
      <c r="E15215" s="46" t="s">
        <v>11378</v>
      </c>
      <c r="F15215" s="46" t="s">
        <v>4331</v>
      </c>
      <c r="G15215" s="46">
        <v>8.904494969999E12</v>
      </c>
      <c r="H15215" s="46" t="s">
        <v>4332</v>
      </c>
      <c r="I15215" s="46" t="s">
        <v>4333</v>
      </c>
      <c r="J15215" s="46" t="s">
        <v>134</v>
      </c>
      <c r="K15215" s="46" t="s">
        <v>126</v>
      </c>
      <c r="L15215" s="45">
        <v>46013.666666666664</v>
      </c>
      <c r="M15215" s="46" t="s">
        <v>123</v>
      </c>
      <c r="N15215" s="45">
        <v>46013.6875</v>
      </c>
      <c r="O15215" s="46" t="s">
        <v>123</v>
      </c>
      <c r="P15215" s="46">
        <v>1800.0</v>
      </c>
    </row>
    <row r="15216">
      <c r="A15216" s="40">
        <f t="shared" si="1"/>
        <v>46013</v>
      </c>
      <c r="B15216" s="37" t="str">
        <f t="array" ref="B15216">iferror(xlookup($I15216, 'IMPORT VHC Report'!$E:$E, 'IMPORT VHC Report'!$A:$C), )</f>
        <v/>
      </c>
      <c r="C15216" s="44"/>
      <c r="D15216" s="44"/>
      <c r="E15216" s="46" t="s">
        <v>11379</v>
      </c>
      <c r="F15216" s="46" t="s">
        <v>4331</v>
      </c>
      <c r="G15216" s="46">
        <v>8.904494969999E12</v>
      </c>
      <c r="H15216" s="46" t="s">
        <v>4332</v>
      </c>
      <c r="I15216" s="46" t="s">
        <v>4333</v>
      </c>
      <c r="J15216" s="46" t="s">
        <v>132</v>
      </c>
      <c r="K15216" s="46" t="s">
        <v>126</v>
      </c>
      <c r="L15216" s="45">
        <v>46013.6875</v>
      </c>
      <c r="M15216" s="46" t="s">
        <v>123</v>
      </c>
      <c r="N15216" s="45">
        <v>46013.729166666664</v>
      </c>
      <c r="O15216" s="46" t="s">
        <v>123</v>
      </c>
      <c r="P15216" s="46">
        <v>3600.0</v>
      </c>
    </row>
    <row r="15217">
      <c r="A15217" s="40">
        <f t="shared" si="1"/>
        <v>46013</v>
      </c>
      <c r="B15217" s="37" t="str">
        <f t="array" ref="B15217">iferror(xlookup($I15217, 'IMPORT VHC Report'!$E:$E, 'IMPORT VHC Report'!$A:$C), )</f>
        <v/>
      </c>
      <c r="C15217" s="44"/>
      <c r="D15217" s="44"/>
      <c r="E15217" s="46" t="s">
        <v>11380</v>
      </c>
      <c r="F15217" s="46" t="s">
        <v>4331</v>
      </c>
      <c r="G15217" s="46">
        <v>8.904494969999E12</v>
      </c>
      <c r="H15217" s="46" t="s">
        <v>4332</v>
      </c>
      <c r="I15217" s="46" t="s">
        <v>4333</v>
      </c>
      <c r="J15217" s="46" t="s">
        <v>1670</v>
      </c>
      <c r="K15217" s="46" t="s">
        <v>63</v>
      </c>
      <c r="L15217" s="45">
        <v>46014.583333333336</v>
      </c>
      <c r="M15217" s="46" t="s">
        <v>123</v>
      </c>
      <c r="N15217" s="45">
        <v>46014.958333333336</v>
      </c>
      <c r="O15217" s="46" t="s">
        <v>123</v>
      </c>
      <c r="P15217" s="46">
        <v>32400.0</v>
      </c>
    </row>
    <row r="15218">
      <c r="A15218" s="40">
        <f t="shared" si="1"/>
        <v>46013</v>
      </c>
      <c r="B15218" s="37" t="str">
        <f t="array" ref="B15218">iferror(xlookup($I15218, 'IMPORT VHC Report'!$E:$E, 'IMPORT VHC Report'!$A:$C), )</f>
        <v/>
      </c>
      <c r="C15218" s="44"/>
      <c r="D15218" s="44"/>
      <c r="E15218" s="46" t="s">
        <v>11381</v>
      </c>
      <c r="F15218" s="46" t="s">
        <v>4331</v>
      </c>
      <c r="G15218" s="46">
        <v>8.904494969999E12</v>
      </c>
      <c r="H15218" s="46" t="s">
        <v>4332</v>
      </c>
      <c r="I15218" s="46" t="s">
        <v>4333</v>
      </c>
      <c r="J15218" s="46" t="s">
        <v>134</v>
      </c>
      <c r="K15218" s="46" t="s">
        <v>126</v>
      </c>
      <c r="L15218" s="45">
        <v>46014.895833333336</v>
      </c>
      <c r="M15218" s="46" t="s">
        <v>123</v>
      </c>
      <c r="N15218" s="45">
        <v>46014.916666666664</v>
      </c>
      <c r="O15218" s="46" t="s">
        <v>123</v>
      </c>
      <c r="P15218" s="46">
        <v>1800.0</v>
      </c>
    </row>
    <row r="15219">
      <c r="A15219" s="40">
        <f t="shared" si="1"/>
        <v>46013</v>
      </c>
      <c r="B15219" s="37" t="str">
        <f t="array" ref="B15219">iferror(xlookup($I15219, 'IMPORT VHC Report'!$E:$E, 'IMPORT VHC Report'!$A:$C), )</f>
        <v/>
      </c>
      <c r="C15219" s="44"/>
      <c r="D15219" s="44"/>
      <c r="E15219" s="46" t="s">
        <v>11382</v>
      </c>
      <c r="F15219" s="46" t="s">
        <v>4331</v>
      </c>
      <c r="G15219" s="46">
        <v>8.904494969999E12</v>
      </c>
      <c r="H15219" s="46" t="s">
        <v>4332</v>
      </c>
      <c r="I15219" s="46" t="s">
        <v>4333</v>
      </c>
      <c r="J15219" s="46" t="s">
        <v>132</v>
      </c>
      <c r="K15219" s="46" t="s">
        <v>126</v>
      </c>
      <c r="L15219" s="45">
        <v>46014.916666666664</v>
      </c>
      <c r="M15219" s="46" t="s">
        <v>123</v>
      </c>
      <c r="N15219" s="45">
        <v>46014.958333333336</v>
      </c>
      <c r="O15219" s="46" t="s">
        <v>123</v>
      </c>
      <c r="P15219" s="46">
        <v>3600.0</v>
      </c>
    </row>
    <row r="15220">
      <c r="A15220" s="40">
        <f t="shared" si="1"/>
        <v>46013</v>
      </c>
      <c r="B15220" s="37" t="str">
        <f t="array" ref="B15220">iferror(xlookup($I15220, 'IMPORT VHC Report'!$E:$E, 'IMPORT VHC Report'!$A:$C), )</f>
        <v/>
      </c>
      <c r="C15220" s="44"/>
      <c r="D15220" s="44"/>
      <c r="E15220" s="46" t="s">
        <v>11383</v>
      </c>
      <c r="F15220" s="46" t="s">
        <v>4331</v>
      </c>
      <c r="G15220" s="46">
        <v>8.904494969999E12</v>
      </c>
      <c r="H15220" s="46" t="s">
        <v>4332</v>
      </c>
      <c r="I15220" s="46" t="s">
        <v>4333</v>
      </c>
      <c r="J15220" s="46" t="s">
        <v>136</v>
      </c>
      <c r="K15220" s="46" t="s">
        <v>126</v>
      </c>
      <c r="L15220" s="45">
        <v>46015.583333333336</v>
      </c>
      <c r="M15220" s="46" t="s">
        <v>123</v>
      </c>
      <c r="N15220" s="45">
        <v>46015.625</v>
      </c>
      <c r="O15220" s="46" t="s">
        <v>123</v>
      </c>
      <c r="P15220" s="46">
        <v>3600.0</v>
      </c>
      <c r="S15220" s="46" t="s">
        <v>1680</v>
      </c>
    </row>
    <row r="15221">
      <c r="A15221" s="40">
        <f t="shared" si="1"/>
        <v>46013</v>
      </c>
      <c r="B15221" s="37" t="str">
        <f t="array" ref="B15221">iferror(xlookup($I15221, 'IMPORT VHC Report'!$E:$E, 'IMPORT VHC Report'!$A:$C), )</f>
        <v/>
      </c>
      <c r="C15221" s="44"/>
      <c r="D15221" s="44"/>
      <c r="E15221" s="46" t="s">
        <v>11384</v>
      </c>
      <c r="F15221" s="46" t="s">
        <v>4331</v>
      </c>
      <c r="G15221" s="46">
        <v>8.904494969999E12</v>
      </c>
      <c r="H15221" s="46" t="s">
        <v>4332</v>
      </c>
      <c r="I15221" s="46" t="s">
        <v>4333</v>
      </c>
      <c r="J15221" s="46" t="s">
        <v>1670</v>
      </c>
      <c r="K15221" s="46" t="s">
        <v>63</v>
      </c>
      <c r="L15221" s="45">
        <v>46015.583333333336</v>
      </c>
      <c r="M15221" s="46" t="s">
        <v>123</v>
      </c>
      <c r="N15221" s="45">
        <v>46015.958333333336</v>
      </c>
      <c r="O15221" s="46" t="s">
        <v>123</v>
      </c>
      <c r="P15221" s="46">
        <v>32400.0</v>
      </c>
    </row>
    <row r="15222">
      <c r="A15222" s="40">
        <f t="shared" si="1"/>
        <v>46013</v>
      </c>
      <c r="B15222" s="37" t="str">
        <f t="array" ref="B15222">iferror(xlookup($I15222, 'IMPORT VHC Report'!$E:$E, 'IMPORT VHC Report'!$A:$C), )</f>
        <v/>
      </c>
      <c r="C15222" s="44"/>
      <c r="D15222" s="44"/>
      <c r="E15222" s="46" t="s">
        <v>11385</v>
      </c>
      <c r="F15222" s="46" t="s">
        <v>4331</v>
      </c>
      <c r="G15222" s="46">
        <v>8.904494969999E12</v>
      </c>
      <c r="H15222" s="46" t="s">
        <v>4332</v>
      </c>
      <c r="I15222" s="46" t="s">
        <v>4333</v>
      </c>
      <c r="J15222" s="46" t="s">
        <v>134</v>
      </c>
      <c r="K15222" s="46" t="s">
        <v>126</v>
      </c>
      <c r="L15222" s="45">
        <v>46015.895833333336</v>
      </c>
      <c r="M15222" s="46" t="s">
        <v>123</v>
      </c>
      <c r="N15222" s="45">
        <v>46015.916666666664</v>
      </c>
      <c r="O15222" s="46" t="s">
        <v>123</v>
      </c>
      <c r="P15222" s="46">
        <v>1800.0</v>
      </c>
    </row>
    <row r="15223">
      <c r="A15223" s="40">
        <f t="shared" si="1"/>
        <v>46013</v>
      </c>
      <c r="B15223" s="37" t="str">
        <f t="array" ref="B15223">iferror(xlookup($I15223, 'IMPORT VHC Report'!$E:$E, 'IMPORT VHC Report'!$A:$C), )</f>
        <v/>
      </c>
      <c r="C15223" s="44"/>
      <c r="D15223" s="44"/>
      <c r="E15223" s="46" t="s">
        <v>11386</v>
      </c>
      <c r="F15223" s="46" t="s">
        <v>4331</v>
      </c>
      <c r="G15223" s="46">
        <v>8.904494969999E12</v>
      </c>
      <c r="H15223" s="46" t="s">
        <v>4332</v>
      </c>
      <c r="I15223" s="46" t="s">
        <v>4333</v>
      </c>
      <c r="J15223" s="46" t="s">
        <v>132</v>
      </c>
      <c r="K15223" s="46" t="s">
        <v>126</v>
      </c>
      <c r="L15223" s="45">
        <v>46015.916666666664</v>
      </c>
      <c r="M15223" s="46" t="s">
        <v>123</v>
      </c>
      <c r="N15223" s="45">
        <v>46015.958333333336</v>
      </c>
      <c r="O15223" s="46" t="s">
        <v>123</v>
      </c>
      <c r="P15223" s="46">
        <v>3600.0</v>
      </c>
    </row>
    <row r="15224">
      <c r="A15224" s="40">
        <f t="shared" si="1"/>
        <v>46013</v>
      </c>
      <c r="B15224" s="37" t="str">
        <f t="array" ref="B15224">iferror(xlookup($I15224, 'IMPORT VHC Report'!$E:$E, 'IMPORT VHC Report'!$A:$C), )</f>
        <v/>
      </c>
      <c r="C15224" s="44"/>
      <c r="D15224" s="44"/>
      <c r="E15224" s="46" t="s">
        <v>11387</v>
      </c>
      <c r="F15224" s="46" t="s">
        <v>4331</v>
      </c>
      <c r="G15224" s="46">
        <v>8.904494969999E12</v>
      </c>
      <c r="H15224" s="46" t="s">
        <v>4332</v>
      </c>
      <c r="I15224" s="46" t="s">
        <v>4333</v>
      </c>
      <c r="J15224" s="46" t="s">
        <v>1670</v>
      </c>
      <c r="K15224" s="46" t="s">
        <v>63</v>
      </c>
      <c r="L15224" s="45">
        <v>46016.583333333336</v>
      </c>
      <c r="M15224" s="46" t="s">
        <v>123</v>
      </c>
      <c r="N15224" s="45">
        <v>46016.958333333336</v>
      </c>
      <c r="O15224" s="46" t="s">
        <v>123</v>
      </c>
      <c r="P15224" s="46">
        <v>32400.0</v>
      </c>
    </row>
    <row r="15225">
      <c r="A15225" s="40">
        <f t="shared" si="1"/>
        <v>46013</v>
      </c>
      <c r="B15225" s="37" t="str">
        <f t="array" ref="B15225">iferror(xlookup($I15225, 'IMPORT VHC Report'!$E:$E, 'IMPORT VHC Report'!$A:$C), )</f>
        <v/>
      </c>
      <c r="C15225" s="44"/>
      <c r="D15225" s="44"/>
      <c r="E15225" s="46" t="s">
        <v>11388</v>
      </c>
      <c r="F15225" s="46" t="s">
        <v>4331</v>
      </c>
      <c r="G15225" s="46">
        <v>8.904494969999E12</v>
      </c>
      <c r="H15225" s="46" t="s">
        <v>4332</v>
      </c>
      <c r="I15225" s="46" t="s">
        <v>4333</v>
      </c>
      <c r="J15225" s="46" t="s">
        <v>136</v>
      </c>
      <c r="K15225" s="46" t="s">
        <v>126</v>
      </c>
      <c r="L15225" s="45">
        <v>46016.791666666664</v>
      </c>
      <c r="M15225" s="46" t="s">
        <v>123</v>
      </c>
      <c r="N15225" s="45">
        <v>46016.833333333336</v>
      </c>
      <c r="O15225" s="46" t="s">
        <v>123</v>
      </c>
      <c r="P15225" s="46">
        <v>3600.0</v>
      </c>
      <c r="S15225" s="46" t="s">
        <v>1683</v>
      </c>
    </row>
    <row r="15226">
      <c r="A15226" s="40">
        <f t="shared" si="1"/>
        <v>46013</v>
      </c>
      <c r="B15226" s="37" t="str">
        <f t="array" ref="B15226">iferror(xlookup($I15226, 'IMPORT VHC Report'!$E:$E, 'IMPORT VHC Report'!$A:$C), )</f>
        <v/>
      </c>
      <c r="C15226" s="44"/>
      <c r="D15226" s="44"/>
      <c r="E15226" s="46" t="s">
        <v>11389</v>
      </c>
      <c r="F15226" s="46" t="s">
        <v>4331</v>
      </c>
      <c r="G15226" s="46">
        <v>8.904494969999E12</v>
      </c>
      <c r="H15226" s="46" t="s">
        <v>4332</v>
      </c>
      <c r="I15226" s="46" t="s">
        <v>4333</v>
      </c>
      <c r="J15226" s="46" t="s">
        <v>134</v>
      </c>
      <c r="K15226" s="46" t="s">
        <v>126</v>
      </c>
      <c r="L15226" s="45">
        <v>46016.895833333336</v>
      </c>
      <c r="M15226" s="46" t="s">
        <v>123</v>
      </c>
      <c r="N15226" s="45">
        <v>46016.916666666664</v>
      </c>
      <c r="O15226" s="46" t="s">
        <v>123</v>
      </c>
      <c r="P15226" s="46">
        <v>1800.0</v>
      </c>
    </row>
    <row r="15227">
      <c r="A15227" s="40">
        <f t="shared" si="1"/>
        <v>46013</v>
      </c>
      <c r="B15227" s="37" t="str">
        <f t="array" ref="B15227">iferror(xlookup($I15227, 'IMPORT VHC Report'!$E:$E, 'IMPORT VHC Report'!$A:$C), )</f>
        <v/>
      </c>
      <c r="C15227" s="44"/>
      <c r="D15227" s="44"/>
      <c r="E15227" s="46" t="s">
        <v>11390</v>
      </c>
      <c r="F15227" s="46" t="s">
        <v>4331</v>
      </c>
      <c r="G15227" s="46">
        <v>8.904494969999E12</v>
      </c>
      <c r="H15227" s="46" t="s">
        <v>4332</v>
      </c>
      <c r="I15227" s="46" t="s">
        <v>4333</v>
      </c>
      <c r="J15227" s="46" t="s">
        <v>132</v>
      </c>
      <c r="K15227" s="46" t="s">
        <v>126</v>
      </c>
      <c r="L15227" s="45">
        <v>46016.916666666664</v>
      </c>
      <c r="M15227" s="46" t="s">
        <v>123</v>
      </c>
      <c r="N15227" s="45">
        <v>46016.958333333336</v>
      </c>
      <c r="O15227" s="46" t="s">
        <v>123</v>
      </c>
      <c r="P15227" s="46">
        <v>3600.0</v>
      </c>
    </row>
    <row r="15228">
      <c r="A15228" s="40">
        <f t="shared" si="1"/>
        <v>46013</v>
      </c>
      <c r="B15228" s="37" t="str">
        <f t="array" ref="B15228">iferror(xlookup($I15228, 'IMPORT VHC Report'!$E:$E, 'IMPORT VHC Report'!$A:$C), )</f>
        <v/>
      </c>
      <c r="C15228" s="44"/>
      <c r="D15228" s="44"/>
      <c r="E15228" s="46" t="s">
        <v>11391</v>
      </c>
      <c r="F15228" s="46" t="s">
        <v>4331</v>
      </c>
      <c r="G15228" s="46">
        <v>8.904494969999E12</v>
      </c>
      <c r="H15228" s="46" t="s">
        <v>4332</v>
      </c>
      <c r="I15228" s="46" t="s">
        <v>4333</v>
      </c>
      <c r="J15228" s="46" t="s">
        <v>1670</v>
      </c>
      <c r="K15228" s="46" t="s">
        <v>63</v>
      </c>
      <c r="L15228" s="45">
        <v>46019.583333333336</v>
      </c>
      <c r="M15228" s="46" t="s">
        <v>123</v>
      </c>
      <c r="N15228" s="45">
        <v>46019.958333333336</v>
      </c>
      <c r="O15228" s="46" t="s">
        <v>123</v>
      </c>
      <c r="P15228" s="46">
        <v>32400.0</v>
      </c>
    </row>
    <row r="15229">
      <c r="A15229" s="40">
        <f t="shared" si="1"/>
        <v>46013</v>
      </c>
      <c r="B15229" s="37" t="str">
        <f t="array" ref="B15229">iferror(xlookup($I15229, 'IMPORT VHC Report'!$E:$E, 'IMPORT VHC Report'!$A:$C), )</f>
        <v/>
      </c>
      <c r="C15229" s="44"/>
      <c r="D15229" s="44"/>
      <c r="E15229" s="46" t="s">
        <v>11392</v>
      </c>
      <c r="F15229" s="46" t="s">
        <v>4331</v>
      </c>
      <c r="G15229" s="46">
        <v>8.904494969999E12</v>
      </c>
      <c r="H15229" s="46" t="s">
        <v>4332</v>
      </c>
      <c r="I15229" s="46" t="s">
        <v>4333</v>
      </c>
      <c r="J15229" s="46" t="s">
        <v>134</v>
      </c>
      <c r="K15229" s="46" t="s">
        <v>126</v>
      </c>
      <c r="L15229" s="45">
        <v>46019.708333333336</v>
      </c>
      <c r="M15229" s="46" t="s">
        <v>123</v>
      </c>
      <c r="N15229" s="45">
        <v>46019.729166666664</v>
      </c>
      <c r="O15229" s="46" t="s">
        <v>123</v>
      </c>
      <c r="P15229" s="46">
        <v>1800.0</v>
      </c>
    </row>
    <row r="15230">
      <c r="A15230" s="40">
        <f t="shared" si="1"/>
        <v>46013</v>
      </c>
      <c r="B15230" s="37" t="str">
        <f t="array" ref="B15230">iferror(xlookup($I15230, 'IMPORT VHC Report'!$E:$E, 'IMPORT VHC Report'!$A:$C), )</f>
        <v/>
      </c>
      <c r="C15230" s="44"/>
      <c r="D15230" s="44"/>
      <c r="E15230" s="46" t="s">
        <v>11393</v>
      </c>
      <c r="F15230" s="46" t="s">
        <v>4331</v>
      </c>
      <c r="G15230" s="46">
        <v>8.904494969999E12</v>
      </c>
      <c r="H15230" s="46" t="s">
        <v>4332</v>
      </c>
      <c r="I15230" s="46" t="s">
        <v>4333</v>
      </c>
      <c r="J15230" s="46" t="s">
        <v>132</v>
      </c>
      <c r="K15230" s="46" t="s">
        <v>126</v>
      </c>
      <c r="L15230" s="45">
        <v>46019.729166666664</v>
      </c>
      <c r="M15230" s="46" t="s">
        <v>123</v>
      </c>
      <c r="N15230" s="45">
        <v>46019.770833333336</v>
      </c>
      <c r="O15230" s="46" t="s">
        <v>123</v>
      </c>
      <c r="P15230" s="46">
        <v>3600.0</v>
      </c>
    </row>
    <row r="15231">
      <c r="A15231" s="40">
        <f t="shared" si="1"/>
        <v>46013</v>
      </c>
      <c r="B15231" s="37" t="str">
        <f t="array" ref="B15231">iferror(xlookup($I15231, 'IMPORT VHC Report'!$E:$E, 'IMPORT VHC Report'!$A:$C), )</f>
        <v/>
      </c>
      <c r="C15231" s="44"/>
      <c r="D15231" s="44"/>
      <c r="E15231" s="46" t="s">
        <v>11394</v>
      </c>
      <c r="F15231" s="46" t="s">
        <v>6691</v>
      </c>
      <c r="G15231" s="46">
        <v>5.202419220111E12</v>
      </c>
      <c r="H15231" s="46" t="s">
        <v>81</v>
      </c>
      <c r="I15231" s="46" t="s">
        <v>82</v>
      </c>
      <c r="J15231" s="46" t="s">
        <v>1670</v>
      </c>
      <c r="K15231" s="46" t="s">
        <v>63</v>
      </c>
      <c r="L15231" s="45">
        <v>46014.25</v>
      </c>
      <c r="M15231" s="46" t="s">
        <v>123</v>
      </c>
      <c r="N15231" s="45">
        <v>46014.625</v>
      </c>
      <c r="O15231" s="46" t="s">
        <v>123</v>
      </c>
      <c r="P15231" s="46">
        <v>32400.0</v>
      </c>
    </row>
    <row r="15232">
      <c r="A15232" s="40">
        <f t="shared" si="1"/>
        <v>46013</v>
      </c>
      <c r="B15232" s="37" t="str">
        <f t="array" ref="B15232">iferror(xlookup($I15232, 'IMPORT VHC Report'!$E:$E, 'IMPORT VHC Report'!$A:$C), )</f>
        <v/>
      </c>
      <c r="C15232" s="44"/>
      <c r="D15232" s="44"/>
      <c r="E15232" s="46" t="s">
        <v>11395</v>
      </c>
      <c r="F15232" s="46" t="s">
        <v>6691</v>
      </c>
      <c r="G15232" s="46">
        <v>5.202419220111E12</v>
      </c>
      <c r="H15232" s="46" t="s">
        <v>81</v>
      </c>
      <c r="I15232" s="46" t="s">
        <v>82</v>
      </c>
      <c r="J15232" s="46" t="s">
        <v>178</v>
      </c>
      <c r="K15232" s="46" t="s">
        <v>153</v>
      </c>
      <c r="L15232" s="45">
        <v>46014.25</v>
      </c>
      <c r="M15232" s="46" t="s">
        <v>123</v>
      </c>
      <c r="N15232" s="45">
        <v>46014.625</v>
      </c>
      <c r="O15232" s="46" t="s">
        <v>123</v>
      </c>
      <c r="P15232" s="46">
        <v>32400.0</v>
      </c>
      <c r="Q15232" s="46">
        <v>32400.0</v>
      </c>
      <c r="R15232" s="46" t="s">
        <v>550</v>
      </c>
    </row>
    <row r="15233">
      <c r="A15233" s="40">
        <f t="shared" si="1"/>
        <v>46013</v>
      </c>
      <c r="B15233" s="37" t="str">
        <f t="array" ref="B15233">iferror(xlookup($I15233, 'IMPORT VHC Report'!$E:$E, 'IMPORT VHC Report'!$A:$C), )</f>
        <v/>
      </c>
      <c r="C15233" s="44"/>
      <c r="D15233" s="44"/>
      <c r="E15233" s="46" t="s">
        <v>11396</v>
      </c>
      <c r="F15233" s="46" t="s">
        <v>6691</v>
      </c>
      <c r="G15233" s="46">
        <v>5.202419220111E12</v>
      </c>
      <c r="H15233" s="46" t="s">
        <v>81</v>
      </c>
      <c r="I15233" s="46" t="s">
        <v>82</v>
      </c>
      <c r="J15233" s="46" t="s">
        <v>132</v>
      </c>
      <c r="K15233" s="46" t="s">
        <v>126</v>
      </c>
      <c r="L15233" s="45">
        <v>46014.5625</v>
      </c>
      <c r="M15233" s="46" t="s">
        <v>123</v>
      </c>
      <c r="N15233" s="45">
        <v>46014.604166666664</v>
      </c>
      <c r="O15233" s="46" t="s">
        <v>123</v>
      </c>
      <c r="P15233" s="46">
        <v>3600.0</v>
      </c>
    </row>
    <row r="15234">
      <c r="A15234" s="40">
        <f t="shared" si="1"/>
        <v>46013</v>
      </c>
      <c r="B15234" s="37" t="str">
        <f t="array" ref="B15234">iferror(xlookup($I15234, 'IMPORT VHC Report'!$E:$E, 'IMPORT VHC Report'!$A:$C), )</f>
        <v/>
      </c>
      <c r="C15234" s="44"/>
      <c r="D15234" s="44"/>
      <c r="E15234" s="46" t="s">
        <v>11397</v>
      </c>
      <c r="F15234" s="46" t="s">
        <v>6691</v>
      </c>
      <c r="G15234" s="46">
        <v>5.202419220111E12</v>
      </c>
      <c r="H15234" s="46" t="s">
        <v>81</v>
      </c>
      <c r="I15234" s="46" t="s">
        <v>82</v>
      </c>
      <c r="J15234" s="46" t="s">
        <v>134</v>
      </c>
      <c r="K15234" s="46" t="s">
        <v>126</v>
      </c>
      <c r="L15234" s="45">
        <v>46014.604166666664</v>
      </c>
      <c r="M15234" s="46" t="s">
        <v>123</v>
      </c>
      <c r="N15234" s="45">
        <v>46014.625</v>
      </c>
      <c r="O15234" s="46" t="s">
        <v>123</v>
      </c>
      <c r="P15234" s="46">
        <v>1800.0</v>
      </c>
    </row>
    <row r="15235">
      <c r="A15235" s="40">
        <f t="shared" si="1"/>
        <v>46013</v>
      </c>
      <c r="B15235" s="37" t="str">
        <f t="array" ref="B15235">iferror(xlookup($I15235, 'IMPORT VHC Report'!$E:$E, 'IMPORT VHC Report'!$A:$C), )</f>
        <v/>
      </c>
      <c r="C15235" s="44"/>
      <c r="D15235" s="44"/>
      <c r="E15235" s="46" t="s">
        <v>11398</v>
      </c>
      <c r="F15235" s="46" t="s">
        <v>6691</v>
      </c>
      <c r="G15235" s="46">
        <v>5.202419220111E12</v>
      </c>
      <c r="H15235" s="46" t="s">
        <v>81</v>
      </c>
      <c r="I15235" s="46" t="s">
        <v>82</v>
      </c>
      <c r="J15235" s="46" t="s">
        <v>1670</v>
      </c>
      <c r="K15235" s="46" t="s">
        <v>63</v>
      </c>
      <c r="L15235" s="45">
        <v>46015.25</v>
      </c>
      <c r="M15235" s="46" t="s">
        <v>123</v>
      </c>
      <c r="N15235" s="45">
        <v>46015.291666666664</v>
      </c>
      <c r="O15235" s="46" t="s">
        <v>123</v>
      </c>
      <c r="P15235" s="46">
        <v>3600.0</v>
      </c>
    </row>
    <row r="15236">
      <c r="A15236" s="40">
        <f t="shared" si="1"/>
        <v>46013</v>
      </c>
      <c r="B15236" s="37" t="str">
        <f t="array" ref="B15236">iferror(xlookup($I15236, 'IMPORT VHC Report'!$E:$E, 'IMPORT VHC Report'!$A:$C), )</f>
        <v/>
      </c>
      <c r="C15236" s="44"/>
      <c r="D15236" s="44"/>
      <c r="E15236" s="46" t="s">
        <v>11399</v>
      </c>
      <c r="F15236" s="46" t="s">
        <v>6691</v>
      </c>
      <c r="G15236" s="46">
        <v>5.202419220111E12</v>
      </c>
      <c r="H15236" s="46" t="s">
        <v>81</v>
      </c>
      <c r="I15236" s="46" t="s">
        <v>82</v>
      </c>
      <c r="J15236" s="46" t="s">
        <v>136</v>
      </c>
      <c r="K15236" s="46" t="s">
        <v>126</v>
      </c>
      <c r="L15236" s="45">
        <v>46015.291666666664</v>
      </c>
      <c r="M15236" s="46" t="s">
        <v>123</v>
      </c>
      <c r="N15236" s="45">
        <v>46015.333333333336</v>
      </c>
      <c r="O15236" s="46" t="s">
        <v>123</v>
      </c>
      <c r="P15236" s="46">
        <v>3600.0</v>
      </c>
      <c r="S15236" s="46" t="s">
        <v>1680</v>
      </c>
    </row>
    <row r="15237">
      <c r="A15237" s="40">
        <f t="shared" si="1"/>
        <v>46013</v>
      </c>
      <c r="B15237" s="37" t="str">
        <f t="array" ref="B15237">iferror(xlookup($I15237, 'IMPORT VHC Report'!$E:$E, 'IMPORT VHC Report'!$A:$C), )</f>
        <v/>
      </c>
      <c r="C15237" s="44"/>
      <c r="D15237" s="44"/>
      <c r="E15237" s="46" t="s">
        <v>11400</v>
      </c>
      <c r="F15237" s="46" t="s">
        <v>6691</v>
      </c>
      <c r="G15237" s="46">
        <v>5.202419220111E12</v>
      </c>
      <c r="H15237" s="46" t="s">
        <v>81</v>
      </c>
      <c r="I15237" s="46" t="s">
        <v>82</v>
      </c>
      <c r="J15237" s="46" t="s">
        <v>1670</v>
      </c>
      <c r="K15237" s="46" t="s">
        <v>63</v>
      </c>
      <c r="L15237" s="45">
        <v>46015.333333333336</v>
      </c>
      <c r="M15237" s="46" t="s">
        <v>123</v>
      </c>
      <c r="N15237" s="45">
        <v>46015.520833333336</v>
      </c>
      <c r="O15237" s="46" t="s">
        <v>123</v>
      </c>
      <c r="P15237" s="46">
        <v>16200.0</v>
      </c>
    </row>
    <row r="15238">
      <c r="A15238" s="40">
        <f t="shared" si="1"/>
        <v>46013</v>
      </c>
      <c r="B15238" s="37" t="str">
        <f t="array" ref="B15238">iferror(xlookup($I15238, 'IMPORT VHC Report'!$E:$E, 'IMPORT VHC Report'!$A:$C), )</f>
        <v/>
      </c>
      <c r="C15238" s="44"/>
      <c r="D15238" s="44"/>
      <c r="E15238" s="46" t="s">
        <v>11401</v>
      </c>
      <c r="F15238" s="46" t="s">
        <v>6691</v>
      </c>
      <c r="G15238" s="46">
        <v>5.202419220111E12</v>
      </c>
      <c r="H15238" s="46" t="s">
        <v>81</v>
      </c>
      <c r="I15238" s="46" t="s">
        <v>82</v>
      </c>
      <c r="J15238" s="46" t="s">
        <v>132</v>
      </c>
      <c r="K15238" s="46" t="s">
        <v>126</v>
      </c>
      <c r="L15238" s="45">
        <v>46015.520833333336</v>
      </c>
      <c r="M15238" s="46" t="s">
        <v>123</v>
      </c>
      <c r="N15238" s="45">
        <v>46015.5625</v>
      </c>
      <c r="O15238" s="46" t="s">
        <v>123</v>
      </c>
      <c r="P15238" s="46">
        <v>3600.0</v>
      </c>
    </row>
    <row r="15239">
      <c r="A15239" s="40">
        <f t="shared" si="1"/>
        <v>46013</v>
      </c>
      <c r="B15239" s="37" t="str">
        <f t="array" ref="B15239">iferror(xlookup($I15239, 'IMPORT VHC Report'!$E:$E, 'IMPORT VHC Report'!$A:$C), )</f>
        <v/>
      </c>
      <c r="C15239" s="44"/>
      <c r="D15239" s="44"/>
      <c r="E15239" s="46" t="s">
        <v>11402</v>
      </c>
      <c r="F15239" s="46" t="s">
        <v>6691</v>
      </c>
      <c r="G15239" s="46">
        <v>5.202419220111E12</v>
      </c>
      <c r="H15239" s="46" t="s">
        <v>81</v>
      </c>
      <c r="I15239" s="46" t="s">
        <v>82</v>
      </c>
      <c r="J15239" s="46" t="s">
        <v>134</v>
      </c>
      <c r="K15239" s="46" t="s">
        <v>126</v>
      </c>
      <c r="L15239" s="45">
        <v>46015.5625</v>
      </c>
      <c r="M15239" s="46" t="s">
        <v>123</v>
      </c>
      <c r="N15239" s="45">
        <v>46015.583333333336</v>
      </c>
      <c r="O15239" s="46" t="s">
        <v>123</v>
      </c>
      <c r="P15239" s="46">
        <v>1800.0</v>
      </c>
    </row>
    <row r="15240">
      <c r="A15240" s="40">
        <f t="shared" si="1"/>
        <v>46013</v>
      </c>
      <c r="B15240" s="37" t="str">
        <f t="array" ref="B15240">iferror(xlookup($I15240, 'IMPORT VHC Report'!$E:$E, 'IMPORT VHC Report'!$A:$C), )</f>
        <v/>
      </c>
      <c r="C15240" s="44"/>
      <c r="D15240" s="44"/>
      <c r="E15240" s="46" t="s">
        <v>11403</v>
      </c>
      <c r="F15240" s="46" t="s">
        <v>6691</v>
      </c>
      <c r="G15240" s="46">
        <v>5.202419220111E12</v>
      </c>
      <c r="H15240" s="46" t="s">
        <v>81</v>
      </c>
      <c r="I15240" s="46" t="s">
        <v>82</v>
      </c>
      <c r="J15240" s="46" t="s">
        <v>136</v>
      </c>
      <c r="K15240" s="46" t="s">
        <v>126</v>
      </c>
      <c r="L15240" s="45">
        <v>46015.583333333336</v>
      </c>
      <c r="M15240" s="46" t="s">
        <v>123</v>
      </c>
      <c r="N15240" s="45">
        <v>46015.625</v>
      </c>
      <c r="O15240" s="46" t="s">
        <v>123</v>
      </c>
      <c r="P15240" s="46">
        <v>3600.0</v>
      </c>
      <c r="S15240" s="46" t="s">
        <v>1680</v>
      </c>
    </row>
    <row r="15241">
      <c r="A15241" s="40">
        <f t="shared" si="1"/>
        <v>46013</v>
      </c>
      <c r="B15241" s="37" t="str">
        <f t="array" ref="B15241">iferror(xlookup($I15241, 'IMPORT VHC Report'!$E:$E, 'IMPORT VHC Report'!$A:$C), )</f>
        <v/>
      </c>
      <c r="C15241" s="44"/>
      <c r="D15241" s="44"/>
      <c r="E15241" s="46" t="s">
        <v>11404</v>
      </c>
      <c r="F15241" s="46" t="s">
        <v>6691</v>
      </c>
      <c r="G15241" s="46">
        <v>5.202419220111E12</v>
      </c>
      <c r="H15241" s="46" t="s">
        <v>81</v>
      </c>
      <c r="I15241" s="46" t="s">
        <v>82</v>
      </c>
      <c r="J15241" s="46" t="s">
        <v>1670</v>
      </c>
      <c r="K15241" s="46" t="s">
        <v>63</v>
      </c>
      <c r="L15241" s="45">
        <v>46016.25</v>
      </c>
      <c r="M15241" s="46" t="s">
        <v>123</v>
      </c>
      <c r="N15241" s="45">
        <v>46016.625</v>
      </c>
      <c r="O15241" s="46" t="s">
        <v>123</v>
      </c>
      <c r="P15241" s="46">
        <v>32400.0</v>
      </c>
    </row>
    <row r="15242">
      <c r="A15242" s="40">
        <f t="shared" si="1"/>
        <v>46013</v>
      </c>
      <c r="B15242" s="37" t="str">
        <f t="array" ref="B15242">iferror(xlookup($I15242, 'IMPORT VHC Report'!$E:$E, 'IMPORT VHC Report'!$A:$C), )</f>
        <v/>
      </c>
      <c r="C15242" s="44"/>
      <c r="D15242" s="44"/>
      <c r="E15242" s="46" t="s">
        <v>11405</v>
      </c>
      <c r="F15242" s="46" t="s">
        <v>6691</v>
      </c>
      <c r="G15242" s="46">
        <v>5.202419220111E12</v>
      </c>
      <c r="H15242" s="46" t="s">
        <v>81</v>
      </c>
      <c r="I15242" s="46" t="s">
        <v>82</v>
      </c>
      <c r="J15242" s="46" t="s">
        <v>136</v>
      </c>
      <c r="K15242" s="46" t="s">
        <v>126</v>
      </c>
      <c r="L15242" s="45">
        <v>46016.458333333336</v>
      </c>
      <c r="M15242" s="46" t="s">
        <v>123</v>
      </c>
      <c r="N15242" s="45">
        <v>46016.5</v>
      </c>
      <c r="O15242" s="46" t="s">
        <v>123</v>
      </c>
      <c r="P15242" s="46">
        <v>3600.0</v>
      </c>
      <c r="S15242" s="46" t="s">
        <v>1683</v>
      </c>
    </row>
    <row r="15243">
      <c r="A15243" s="40">
        <f t="shared" si="1"/>
        <v>46013</v>
      </c>
      <c r="B15243" s="37" t="str">
        <f t="array" ref="B15243">iferror(xlookup($I15243, 'IMPORT VHC Report'!$E:$E, 'IMPORT VHC Report'!$A:$C), )</f>
        <v/>
      </c>
      <c r="C15243" s="44"/>
      <c r="D15243" s="44"/>
      <c r="E15243" s="46" t="s">
        <v>11406</v>
      </c>
      <c r="F15243" s="46" t="s">
        <v>6691</v>
      </c>
      <c r="G15243" s="46">
        <v>5.202419220111E12</v>
      </c>
      <c r="H15243" s="46" t="s">
        <v>81</v>
      </c>
      <c r="I15243" s="46" t="s">
        <v>82</v>
      </c>
      <c r="J15243" s="46" t="s">
        <v>132</v>
      </c>
      <c r="K15243" s="46" t="s">
        <v>126</v>
      </c>
      <c r="L15243" s="45">
        <v>46016.5625</v>
      </c>
      <c r="M15243" s="46" t="s">
        <v>123</v>
      </c>
      <c r="N15243" s="45">
        <v>46016.604166666664</v>
      </c>
      <c r="O15243" s="46" t="s">
        <v>123</v>
      </c>
      <c r="P15243" s="46">
        <v>3600.0</v>
      </c>
    </row>
    <row r="15244">
      <c r="A15244" s="40">
        <f t="shared" si="1"/>
        <v>46013</v>
      </c>
      <c r="B15244" s="37" t="str">
        <f t="array" ref="B15244">iferror(xlookup($I15244, 'IMPORT VHC Report'!$E:$E, 'IMPORT VHC Report'!$A:$C), )</f>
        <v/>
      </c>
      <c r="C15244" s="44"/>
      <c r="D15244" s="44"/>
      <c r="E15244" s="46" t="s">
        <v>11407</v>
      </c>
      <c r="F15244" s="46" t="s">
        <v>6691</v>
      </c>
      <c r="G15244" s="46">
        <v>5.202419220111E12</v>
      </c>
      <c r="H15244" s="46" t="s">
        <v>81</v>
      </c>
      <c r="I15244" s="46" t="s">
        <v>82</v>
      </c>
      <c r="J15244" s="46" t="s">
        <v>134</v>
      </c>
      <c r="K15244" s="46" t="s">
        <v>126</v>
      </c>
      <c r="L15244" s="45">
        <v>46016.604166666664</v>
      </c>
      <c r="M15244" s="46" t="s">
        <v>123</v>
      </c>
      <c r="N15244" s="45">
        <v>46016.625</v>
      </c>
      <c r="O15244" s="46" t="s">
        <v>123</v>
      </c>
      <c r="P15244" s="46">
        <v>1800.0</v>
      </c>
    </row>
    <row r="15245">
      <c r="A15245" s="40">
        <f t="shared" si="1"/>
        <v>46013</v>
      </c>
      <c r="B15245" s="37" t="str">
        <f t="array" ref="B15245">iferror(xlookup($I15245, 'IMPORT VHC Report'!$E:$E, 'IMPORT VHC Report'!$A:$C), )</f>
        <v/>
      </c>
      <c r="C15245" s="44"/>
      <c r="D15245" s="44"/>
      <c r="E15245" s="46" t="s">
        <v>11408</v>
      </c>
      <c r="F15245" s="46" t="s">
        <v>6691</v>
      </c>
      <c r="G15245" s="46">
        <v>5.202419220111E12</v>
      </c>
      <c r="H15245" s="46" t="s">
        <v>81</v>
      </c>
      <c r="I15245" s="46" t="s">
        <v>82</v>
      </c>
      <c r="J15245" s="46" t="s">
        <v>1670</v>
      </c>
      <c r="K15245" s="46" t="s">
        <v>63</v>
      </c>
      <c r="L15245" s="45">
        <v>46017.25</v>
      </c>
      <c r="M15245" s="46" t="s">
        <v>123</v>
      </c>
      <c r="N15245" s="45">
        <v>46017.37430555555</v>
      </c>
      <c r="O15245" s="46" t="s">
        <v>123</v>
      </c>
      <c r="P15245" s="46">
        <v>10740.0</v>
      </c>
    </row>
    <row r="15246">
      <c r="A15246" s="40">
        <f t="shared" si="1"/>
        <v>46013</v>
      </c>
      <c r="B15246" s="37" t="str">
        <f t="array" ref="B15246">iferror(xlookup($I15246, 'IMPORT VHC Report'!$E:$E, 'IMPORT VHC Report'!$A:$C), )</f>
        <v/>
      </c>
      <c r="C15246" s="44"/>
      <c r="D15246" s="44"/>
      <c r="E15246" s="46" t="s">
        <v>11409</v>
      </c>
      <c r="F15246" s="46" t="s">
        <v>6691</v>
      </c>
      <c r="G15246" s="46">
        <v>5.202419220111E12</v>
      </c>
      <c r="H15246" s="46" t="s">
        <v>81</v>
      </c>
      <c r="I15246" s="46" t="s">
        <v>82</v>
      </c>
      <c r="J15246" s="46" t="s">
        <v>791</v>
      </c>
      <c r="K15246" s="46" t="s">
        <v>63</v>
      </c>
      <c r="L15246" s="45">
        <v>46017.37430555555</v>
      </c>
      <c r="M15246" s="46" t="s">
        <v>123</v>
      </c>
      <c r="N15246" s="45">
        <v>46017.395833333336</v>
      </c>
      <c r="O15246" s="46" t="s">
        <v>123</v>
      </c>
      <c r="P15246" s="46">
        <v>1860.0</v>
      </c>
    </row>
    <row r="15247">
      <c r="A15247" s="40">
        <f t="shared" si="1"/>
        <v>46013</v>
      </c>
      <c r="B15247" s="37" t="str">
        <f t="array" ref="B15247">iferror(xlookup($I15247, 'IMPORT VHC Report'!$E:$E, 'IMPORT VHC Report'!$A:$C), )</f>
        <v/>
      </c>
      <c r="C15247" s="44"/>
      <c r="D15247" s="44"/>
      <c r="E15247" s="46" t="s">
        <v>11410</v>
      </c>
      <c r="F15247" s="46" t="s">
        <v>6691</v>
      </c>
      <c r="G15247" s="46">
        <v>5.202419220111E12</v>
      </c>
      <c r="H15247" s="46" t="s">
        <v>81</v>
      </c>
      <c r="I15247" s="46" t="s">
        <v>82</v>
      </c>
      <c r="J15247" s="46" t="s">
        <v>1670</v>
      </c>
      <c r="K15247" s="46" t="s">
        <v>63</v>
      </c>
      <c r="L15247" s="45">
        <v>46017.395833333336</v>
      </c>
      <c r="M15247" s="46" t="s">
        <v>123</v>
      </c>
      <c r="N15247" s="45">
        <v>46017.467361111114</v>
      </c>
      <c r="O15247" s="46" t="s">
        <v>123</v>
      </c>
      <c r="P15247" s="46">
        <v>6180.0</v>
      </c>
    </row>
    <row r="15248">
      <c r="A15248" s="40">
        <f t="shared" si="1"/>
        <v>46013</v>
      </c>
      <c r="B15248" s="37" t="str">
        <f t="array" ref="B15248">iferror(xlookup($I15248, 'IMPORT VHC Report'!$E:$E, 'IMPORT VHC Report'!$A:$C), )</f>
        <v/>
      </c>
      <c r="C15248" s="44"/>
      <c r="D15248" s="44"/>
      <c r="E15248" s="46" t="s">
        <v>11411</v>
      </c>
      <c r="F15248" s="46" t="s">
        <v>6691</v>
      </c>
      <c r="G15248" s="46">
        <v>5.202419220111E12</v>
      </c>
      <c r="H15248" s="46" t="s">
        <v>81</v>
      </c>
      <c r="I15248" s="46" t="s">
        <v>82</v>
      </c>
      <c r="J15248" s="46" t="s">
        <v>791</v>
      </c>
      <c r="K15248" s="46" t="s">
        <v>63</v>
      </c>
      <c r="L15248" s="45">
        <v>46017.467361111114</v>
      </c>
      <c r="M15248" s="46" t="s">
        <v>123</v>
      </c>
      <c r="N15248" s="45">
        <v>46017.475</v>
      </c>
      <c r="O15248" s="46" t="s">
        <v>123</v>
      </c>
      <c r="P15248" s="46">
        <v>660.0</v>
      </c>
    </row>
    <row r="15249">
      <c r="A15249" s="40">
        <f t="shared" si="1"/>
        <v>46013</v>
      </c>
      <c r="B15249" s="37" t="str">
        <f t="array" ref="B15249">iferror(xlookup($I15249, 'IMPORT VHC Report'!$E:$E, 'IMPORT VHC Report'!$A:$C), )</f>
        <v/>
      </c>
      <c r="C15249" s="44"/>
      <c r="D15249" s="44"/>
      <c r="E15249" s="46" t="s">
        <v>11412</v>
      </c>
      <c r="F15249" s="46" t="s">
        <v>6691</v>
      </c>
      <c r="G15249" s="46">
        <v>5.202419220111E12</v>
      </c>
      <c r="H15249" s="46" t="s">
        <v>81</v>
      </c>
      <c r="I15249" s="46" t="s">
        <v>82</v>
      </c>
      <c r="J15249" s="46" t="s">
        <v>1670</v>
      </c>
      <c r="K15249" s="46" t="s">
        <v>63</v>
      </c>
      <c r="L15249" s="45">
        <v>46017.475</v>
      </c>
      <c r="M15249" s="46" t="s">
        <v>123</v>
      </c>
      <c r="N15249" s="45">
        <v>46017.520833333336</v>
      </c>
      <c r="O15249" s="46" t="s">
        <v>123</v>
      </c>
      <c r="P15249" s="46">
        <v>3960.0</v>
      </c>
    </row>
    <row r="15250">
      <c r="A15250" s="40">
        <f t="shared" si="1"/>
        <v>46013</v>
      </c>
      <c r="B15250" s="37" t="str">
        <f t="array" ref="B15250">iferror(xlookup($I15250, 'IMPORT VHC Report'!$E:$E, 'IMPORT VHC Report'!$A:$C), )</f>
        <v/>
      </c>
      <c r="C15250" s="44"/>
      <c r="D15250" s="44"/>
      <c r="E15250" s="46" t="s">
        <v>11413</v>
      </c>
      <c r="F15250" s="46" t="s">
        <v>6691</v>
      </c>
      <c r="G15250" s="46">
        <v>5.202419220111E12</v>
      </c>
      <c r="H15250" s="46" t="s">
        <v>81</v>
      </c>
      <c r="I15250" s="46" t="s">
        <v>82</v>
      </c>
      <c r="J15250" s="46" t="s">
        <v>132</v>
      </c>
      <c r="K15250" s="46" t="s">
        <v>126</v>
      </c>
      <c r="L15250" s="45">
        <v>46017.520833333336</v>
      </c>
      <c r="M15250" s="46" t="s">
        <v>123</v>
      </c>
      <c r="N15250" s="45">
        <v>46017.5625</v>
      </c>
      <c r="O15250" s="46" t="s">
        <v>123</v>
      </c>
      <c r="P15250" s="46">
        <v>3600.0</v>
      </c>
    </row>
    <row r="15251">
      <c r="A15251" s="40">
        <f t="shared" si="1"/>
        <v>46013</v>
      </c>
      <c r="B15251" s="37" t="str">
        <f t="array" ref="B15251">iferror(xlookup($I15251, 'IMPORT VHC Report'!$E:$E, 'IMPORT VHC Report'!$A:$C), )</f>
        <v/>
      </c>
      <c r="C15251" s="44"/>
      <c r="D15251" s="44"/>
      <c r="E15251" s="46" t="s">
        <v>11414</v>
      </c>
      <c r="F15251" s="46" t="s">
        <v>6691</v>
      </c>
      <c r="G15251" s="46">
        <v>5.202419220111E12</v>
      </c>
      <c r="H15251" s="46" t="s">
        <v>81</v>
      </c>
      <c r="I15251" s="46" t="s">
        <v>82</v>
      </c>
      <c r="J15251" s="46" t="s">
        <v>134</v>
      </c>
      <c r="K15251" s="46" t="s">
        <v>126</v>
      </c>
      <c r="L15251" s="45">
        <v>46017.5625</v>
      </c>
      <c r="M15251" s="46" t="s">
        <v>123</v>
      </c>
      <c r="N15251" s="45">
        <v>46017.583333333336</v>
      </c>
      <c r="O15251" s="46" t="s">
        <v>123</v>
      </c>
      <c r="P15251" s="46">
        <v>1800.0</v>
      </c>
    </row>
    <row r="15252">
      <c r="A15252" s="40">
        <f t="shared" si="1"/>
        <v>46013</v>
      </c>
      <c r="B15252" s="37" t="str">
        <f t="array" ref="B15252">iferror(xlookup($I15252, 'IMPORT VHC Report'!$E:$E, 'IMPORT VHC Report'!$A:$C), )</f>
        <v/>
      </c>
      <c r="C15252" s="44"/>
      <c r="D15252" s="44"/>
      <c r="E15252" s="46" t="s">
        <v>11415</v>
      </c>
      <c r="F15252" s="46" t="s">
        <v>6691</v>
      </c>
      <c r="G15252" s="46">
        <v>5.202419220111E12</v>
      </c>
      <c r="H15252" s="46" t="s">
        <v>81</v>
      </c>
      <c r="I15252" s="46" t="s">
        <v>82</v>
      </c>
      <c r="J15252" s="46" t="s">
        <v>1670</v>
      </c>
      <c r="K15252" s="46" t="s">
        <v>63</v>
      </c>
      <c r="L15252" s="45">
        <v>46017.583333333336</v>
      </c>
      <c r="M15252" s="46" t="s">
        <v>123</v>
      </c>
      <c r="N15252" s="45">
        <v>46017.625</v>
      </c>
      <c r="O15252" s="46" t="s">
        <v>123</v>
      </c>
      <c r="P15252" s="46">
        <v>3600.0</v>
      </c>
    </row>
    <row r="15253">
      <c r="A15253" s="40">
        <f t="shared" si="1"/>
        <v>46013</v>
      </c>
      <c r="B15253" s="37" t="str">
        <f t="array" ref="B15253">iferror(xlookup($I15253, 'IMPORT VHC Report'!$E:$E, 'IMPORT VHC Report'!$A:$C), )</f>
        <v/>
      </c>
      <c r="C15253" s="44"/>
      <c r="D15253" s="44"/>
      <c r="E15253" s="46" t="s">
        <v>11416</v>
      </c>
      <c r="F15253" s="46" t="s">
        <v>6691</v>
      </c>
      <c r="G15253" s="46">
        <v>5.202419220111E12</v>
      </c>
      <c r="H15253" s="46" t="s">
        <v>81</v>
      </c>
      <c r="I15253" s="46" t="s">
        <v>82</v>
      </c>
      <c r="J15253" s="46" t="s">
        <v>1670</v>
      </c>
      <c r="K15253" s="46" t="s">
        <v>63</v>
      </c>
      <c r="L15253" s="45">
        <v>46018.25</v>
      </c>
      <c r="M15253" s="46" t="s">
        <v>123</v>
      </c>
      <c r="N15253" s="45">
        <v>46018.625</v>
      </c>
      <c r="O15253" s="46" t="s">
        <v>123</v>
      </c>
      <c r="P15253" s="46">
        <v>32400.0</v>
      </c>
    </row>
    <row r="15254">
      <c r="A15254" s="40">
        <f t="shared" si="1"/>
        <v>46013</v>
      </c>
      <c r="B15254" s="37" t="str">
        <f t="array" ref="B15254">iferror(xlookup($I15254, 'IMPORT VHC Report'!$E:$E, 'IMPORT VHC Report'!$A:$C), )</f>
        <v/>
      </c>
      <c r="C15254" s="44"/>
      <c r="D15254" s="44"/>
      <c r="E15254" s="46" t="s">
        <v>11417</v>
      </c>
      <c r="F15254" s="46" t="s">
        <v>6691</v>
      </c>
      <c r="G15254" s="46">
        <v>5.202419220111E12</v>
      </c>
      <c r="H15254" s="46" t="s">
        <v>81</v>
      </c>
      <c r="I15254" s="46" t="s">
        <v>82</v>
      </c>
      <c r="J15254" s="46" t="s">
        <v>134</v>
      </c>
      <c r="K15254" s="46" t="s">
        <v>126</v>
      </c>
      <c r="L15254" s="45">
        <v>46018.354166666664</v>
      </c>
      <c r="M15254" s="46" t="s">
        <v>123</v>
      </c>
      <c r="N15254" s="45">
        <v>46018.375</v>
      </c>
      <c r="O15254" s="46" t="s">
        <v>123</v>
      </c>
      <c r="P15254" s="46">
        <v>1800.0</v>
      </c>
    </row>
    <row r="15255">
      <c r="A15255" s="40">
        <f t="shared" si="1"/>
        <v>46013</v>
      </c>
      <c r="B15255" s="37" t="str">
        <f t="array" ref="B15255">iferror(xlookup($I15255, 'IMPORT VHC Report'!$E:$E, 'IMPORT VHC Report'!$A:$C), )</f>
        <v/>
      </c>
      <c r="C15255" s="44"/>
      <c r="D15255" s="44"/>
      <c r="E15255" s="46" t="s">
        <v>11418</v>
      </c>
      <c r="F15255" s="46" t="s">
        <v>6691</v>
      </c>
      <c r="G15255" s="46">
        <v>5.202419220111E12</v>
      </c>
      <c r="H15255" s="46" t="s">
        <v>81</v>
      </c>
      <c r="I15255" s="46" t="s">
        <v>82</v>
      </c>
      <c r="J15255" s="46" t="s">
        <v>132</v>
      </c>
      <c r="K15255" s="46" t="s">
        <v>126</v>
      </c>
      <c r="L15255" s="45">
        <v>46018.479166666664</v>
      </c>
      <c r="M15255" s="46" t="s">
        <v>123</v>
      </c>
      <c r="N15255" s="45">
        <v>46018.520833333336</v>
      </c>
      <c r="O15255" s="46" t="s">
        <v>123</v>
      </c>
      <c r="P15255" s="46">
        <v>3600.0</v>
      </c>
    </row>
    <row r="15256">
      <c r="A15256" s="40">
        <f t="shared" si="1"/>
        <v>46013</v>
      </c>
      <c r="B15256" s="37" t="str">
        <f t="array" ref="B15256">iferror(xlookup($I15256, 'IMPORT VHC Report'!$E:$E, 'IMPORT VHC Report'!$A:$C), )</f>
        <v/>
      </c>
      <c r="C15256" s="44"/>
      <c r="D15256" s="44"/>
      <c r="E15256" s="46" t="s">
        <v>11419</v>
      </c>
      <c r="F15256" s="46" t="s">
        <v>7202</v>
      </c>
      <c r="G15256" s="46">
        <v>5.566867976335E12</v>
      </c>
      <c r="H15256" s="46" t="s">
        <v>60</v>
      </c>
      <c r="I15256" s="46" t="s">
        <v>61</v>
      </c>
      <c r="J15256" s="46" t="s">
        <v>330</v>
      </c>
      <c r="K15256" s="46" t="s">
        <v>126</v>
      </c>
      <c r="L15256" s="45">
        <v>46014.583333333336</v>
      </c>
      <c r="M15256" s="46" t="s">
        <v>123</v>
      </c>
      <c r="N15256" s="45">
        <v>46014.64166666667</v>
      </c>
      <c r="O15256" s="46" t="s">
        <v>123</v>
      </c>
      <c r="P15256" s="46">
        <v>5040.0</v>
      </c>
      <c r="S15256" s="46" t="s">
        <v>11420</v>
      </c>
    </row>
    <row r="15257">
      <c r="A15257" s="40">
        <f t="shared" si="1"/>
        <v>46013</v>
      </c>
      <c r="B15257" s="37" t="str">
        <f t="array" ref="B15257">iferror(xlookup($I15257, 'IMPORT VHC Report'!$E:$E, 'IMPORT VHC Report'!$A:$C), )</f>
        <v/>
      </c>
      <c r="C15257" s="44"/>
      <c r="D15257" s="44"/>
      <c r="E15257" s="46" t="s">
        <v>11421</v>
      </c>
      <c r="F15257" s="46" t="s">
        <v>7202</v>
      </c>
      <c r="G15257" s="46">
        <v>5.566867976335E12</v>
      </c>
      <c r="H15257" s="46" t="s">
        <v>60</v>
      </c>
      <c r="I15257" s="46" t="s">
        <v>61</v>
      </c>
      <c r="J15257" s="46" t="s">
        <v>1670</v>
      </c>
      <c r="K15257" s="46" t="s">
        <v>63</v>
      </c>
      <c r="L15257" s="45">
        <v>46014.583333333336</v>
      </c>
      <c r="M15257" s="46" t="s">
        <v>123</v>
      </c>
      <c r="N15257" s="45">
        <v>46014.958333333336</v>
      </c>
      <c r="O15257" s="46" t="s">
        <v>123</v>
      </c>
      <c r="P15257" s="46">
        <v>32400.0</v>
      </c>
    </row>
    <row r="15258">
      <c r="A15258" s="40">
        <f t="shared" si="1"/>
        <v>46013</v>
      </c>
      <c r="B15258" s="37" t="str">
        <f t="array" ref="B15258">iferror(xlookup($I15258, 'IMPORT VHC Report'!$E:$E, 'IMPORT VHC Report'!$A:$C), )</f>
        <v/>
      </c>
      <c r="C15258" s="44"/>
      <c r="D15258" s="44"/>
      <c r="E15258" s="46" t="s">
        <v>11422</v>
      </c>
      <c r="F15258" s="46" t="s">
        <v>7202</v>
      </c>
      <c r="G15258" s="46">
        <v>5.566867976335E12</v>
      </c>
      <c r="H15258" s="46" t="s">
        <v>60</v>
      </c>
      <c r="I15258" s="46" t="s">
        <v>61</v>
      </c>
      <c r="J15258" s="46" t="s">
        <v>132</v>
      </c>
      <c r="K15258" s="46" t="s">
        <v>126</v>
      </c>
      <c r="L15258" s="45">
        <v>46014.79513888889</v>
      </c>
      <c r="M15258" s="46" t="s">
        <v>123</v>
      </c>
      <c r="N15258" s="45">
        <v>46014.836805555555</v>
      </c>
      <c r="O15258" s="46" t="s">
        <v>123</v>
      </c>
      <c r="P15258" s="46">
        <v>3600.0</v>
      </c>
    </row>
    <row r="15259">
      <c r="A15259" s="40">
        <f t="shared" si="1"/>
        <v>46013</v>
      </c>
      <c r="B15259" s="37" t="str">
        <f t="array" ref="B15259">iferror(xlookup($I15259, 'IMPORT VHC Report'!$E:$E, 'IMPORT VHC Report'!$A:$C), )</f>
        <v/>
      </c>
      <c r="C15259" s="44"/>
      <c r="D15259" s="44"/>
      <c r="E15259" s="46" t="s">
        <v>11423</v>
      </c>
      <c r="F15259" s="46" t="s">
        <v>7202</v>
      </c>
      <c r="G15259" s="46">
        <v>5.566867976335E12</v>
      </c>
      <c r="H15259" s="46" t="s">
        <v>60</v>
      </c>
      <c r="I15259" s="46" t="s">
        <v>61</v>
      </c>
      <c r="J15259" s="46" t="s">
        <v>134</v>
      </c>
      <c r="K15259" s="46" t="s">
        <v>126</v>
      </c>
      <c r="L15259" s="45">
        <v>46014.836805555555</v>
      </c>
      <c r="M15259" s="46" t="s">
        <v>123</v>
      </c>
      <c r="N15259" s="45">
        <v>46014.85763888889</v>
      </c>
      <c r="O15259" s="46" t="s">
        <v>123</v>
      </c>
      <c r="P15259" s="46">
        <v>1800.0</v>
      </c>
    </row>
    <row r="15260">
      <c r="A15260" s="40">
        <f t="shared" si="1"/>
        <v>46013</v>
      </c>
      <c r="B15260" s="37" t="str">
        <f t="array" ref="B15260">iferror(xlookup($I15260, 'IMPORT VHC Report'!$E:$E, 'IMPORT VHC Report'!$A:$C), )</f>
        <v/>
      </c>
      <c r="C15260" s="44"/>
      <c r="D15260" s="44"/>
      <c r="E15260" s="46" t="s">
        <v>11424</v>
      </c>
      <c r="F15260" s="46" t="s">
        <v>7202</v>
      </c>
      <c r="G15260" s="46">
        <v>5.566867976335E12</v>
      </c>
      <c r="H15260" s="46" t="s">
        <v>60</v>
      </c>
      <c r="I15260" s="46" t="s">
        <v>61</v>
      </c>
      <c r="J15260" s="46" t="s">
        <v>1670</v>
      </c>
      <c r="K15260" s="46" t="s">
        <v>63</v>
      </c>
      <c r="L15260" s="45">
        <v>46014.958333333336</v>
      </c>
      <c r="M15260" s="46" t="s">
        <v>123</v>
      </c>
      <c r="N15260" s="45">
        <v>46014.990277777775</v>
      </c>
      <c r="O15260" s="46" t="s">
        <v>123</v>
      </c>
      <c r="P15260" s="46">
        <v>2760.0</v>
      </c>
    </row>
    <row r="15261">
      <c r="A15261" s="40">
        <f t="shared" si="1"/>
        <v>46013</v>
      </c>
      <c r="B15261" s="37" t="str">
        <f t="array" ref="B15261">iferror(xlookup($I15261, 'IMPORT VHC Report'!$E:$E, 'IMPORT VHC Report'!$A:$C), )</f>
        <v/>
      </c>
      <c r="C15261" s="44"/>
      <c r="D15261" s="44"/>
      <c r="E15261" s="46" t="s">
        <v>11425</v>
      </c>
      <c r="F15261" s="46" t="s">
        <v>7202</v>
      </c>
      <c r="G15261" s="46">
        <v>5.566867976335E12</v>
      </c>
      <c r="H15261" s="46" t="s">
        <v>60</v>
      </c>
      <c r="I15261" s="46" t="s">
        <v>61</v>
      </c>
      <c r="J15261" s="46" t="s">
        <v>1670</v>
      </c>
      <c r="K15261" s="46" t="s">
        <v>63</v>
      </c>
      <c r="L15261" s="45">
        <v>46015.583333333336</v>
      </c>
      <c r="M15261" s="46" t="s">
        <v>123</v>
      </c>
      <c r="N15261" s="45">
        <v>46015.958333333336</v>
      </c>
      <c r="O15261" s="46" t="s">
        <v>123</v>
      </c>
      <c r="P15261" s="46">
        <v>32400.0</v>
      </c>
    </row>
    <row r="15262">
      <c r="A15262" s="40">
        <f t="shared" si="1"/>
        <v>46013</v>
      </c>
      <c r="B15262" s="37" t="str">
        <f t="array" ref="B15262">iferror(xlookup($I15262, 'IMPORT VHC Report'!$E:$E, 'IMPORT VHC Report'!$A:$C), )</f>
        <v/>
      </c>
      <c r="C15262" s="44"/>
      <c r="D15262" s="44"/>
      <c r="E15262" s="46" t="s">
        <v>11426</v>
      </c>
      <c r="F15262" s="46" t="s">
        <v>7202</v>
      </c>
      <c r="G15262" s="46">
        <v>5.566867976335E12</v>
      </c>
      <c r="H15262" s="46" t="s">
        <v>60</v>
      </c>
      <c r="I15262" s="46" t="s">
        <v>61</v>
      </c>
      <c r="J15262" s="46" t="s">
        <v>132</v>
      </c>
      <c r="K15262" s="46" t="s">
        <v>126</v>
      </c>
      <c r="L15262" s="45">
        <v>46015.84027777778</v>
      </c>
      <c r="M15262" s="46" t="s">
        <v>123</v>
      </c>
      <c r="N15262" s="45">
        <v>46015.881944444445</v>
      </c>
      <c r="O15262" s="46" t="s">
        <v>123</v>
      </c>
      <c r="P15262" s="46">
        <v>3600.0</v>
      </c>
    </row>
    <row r="15263">
      <c r="A15263" s="40">
        <f t="shared" si="1"/>
        <v>46013</v>
      </c>
      <c r="B15263" s="37" t="str">
        <f t="array" ref="B15263">iferror(xlookup($I15263, 'IMPORT VHC Report'!$E:$E, 'IMPORT VHC Report'!$A:$C), )</f>
        <v/>
      </c>
      <c r="C15263" s="44"/>
      <c r="D15263" s="44"/>
      <c r="E15263" s="46" t="s">
        <v>11427</v>
      </c>
      <c r="F15263" s="46" t="s">
        <v>7202</v>
      </c>
      <c r="G15263" s="46">
        <v>5.566867976335E12</v>
      </c>
      <c r="H15263" s="46" t="s">
        <v>60</v>
      </c>
      <c r="I15263" s="46" t="s">
        <v>61</v>
      </c>
      <c r="J15263" s="46" t="s">
        <v>134</v>
      </c>
      <c r="K15263" s="46" t="s">
        <v>126</v>
      </c>
      <c r="L15263" s="45">
        <v>46015.881944444445</v>
      </c>
      <c r="M15263" s="46" t="s">
        <v>123</v>
      </c>
      <c r="N15263" s="45">
        <v>46015.90277777778</v>
      </c>
      <c r="O15263" s="46" t="s">
        <v>123</v>
      </c>
      <c r="P15263" s="46">
        <v>1800.0</v>
      </c>
    </row>
    <row r="15264">
      <c r="A15264" s="40">
        <f t="shared" si="1"/>
        <v>46013</v>
      </c>
      <c r="B15264" s="37" t="str">
        <f t="array" ref="B15264">iferror(xlookup($I15264, 'IMPORT VHC Report'!$E:$E, 'IMPORT VHC Report'!$A:$C), )</f>
        <v/>
      </c>
      <c r="C15264" s="44"/>
      <c r="D15264" s="44"/>
      <c r="E15264" s="46" t="s">
        <v>11428</v>
      </c>
      <c r="F15264" s="46" t="s">
        <v>7202</v>
      </c>
      <c r="G15264" s="46">
        <v>5.566867976335E12</v>
      </c>
      <c r="H15264" s="46" t="s">
        <v>60</v>
      </c>
      <c r="I15264" s="46" t="s">
        <v>61</v>
      </c>
      <c r="J15264" s="46" t="s">
        <v>1670</v>
      </c>
      <c r="K15264" s="46" t="s">
        <v>63</v>
      </c>
      <c r="L15264" s="45">
        <v>46016.583333333336</v>
      </c>
      <c r="M15264" s="46" t="s">
        <v>123</v>
      </c>
      <c r="N15264" s="45">
        <v>46016.958333333336</v>
      </c>
      <c r="O15264" s="46" t="s">
        <v>123</v>
      </c>
      <c r="P15264" s="46">
        <v>32400.0</v>
      </c>
    </row>
    <row r="15265">
      <c r="A15265" s="40">
        <f t="shared" si="1"/>
        <v>46013</v>
      </c>
      <c r="B15265" s="37" t="str">
        <f t="array" ref="B15265">iferror(xlookup($I15265, 'IMPORT VHC Report'!$E:$E, 'IMPORT VHC Report'!$A:$C), )</f>
        <v/>
      </c>
      <c r="C15265" s="44"/>
      <c r="D15265" s="44"/>
      <c r="E15265" s="46" t="s">
        <v>11429</v>
      </c>
      <c r="F15265" s="46" t="s">
        <v>7202</v>
      </c>
      <c r="G15265" s="46">
        <v>5.566867976335E12</v>
      </c>
      <c r="H15265" s="46" t="s">
        <v>60</v>
      </c>
      <c r="I15265" s="46" t="s">
        <v>61</v>
      </c>
      <c r="J15265" s="46" t="s">
        <v>132</v>
      </c>
      <c r="K15265" s="46" t="s">
        <v>126</v>
      </c>
      <c r="L15265" s="45">
        <v>46016.833333333336</v>
      </c>
      <c r="M15265" s="46" t="s">
        <v>123</v>
      </c>
      <c r="N15265" s="45">
        <v>46016.875</v>
      </c>
      <c r="O15265" s="46" t="s">
        <v>123</v>
      </c>
      <c r="P15265" s="46">
        <v>3600.0</v>
      </c>
    </row>
    <row r="15266">
      <c r="A15266" s="40">
        <f t="shared" si="1"/>
        <v>46013</v>
      </c>
      <c r="B15266" s="37" t="str">
        <f t="array" ref="B15266">iferror(xlookup($I15266, 'IMPORT VHC Report'!$E:$E, 'IMPORT VHC Report'!$A:$C), )</f>
        <v/>
      </c>
      <c r="C15266" s="44"/>
      <c r="D15266" s="44"/>
      <c r="E15266" s="46" t="s">
        <v>11430</v>
      </c>
      <c r="F15266" s="46" t="s">
        <v>7202</v>
      </c>
      <c r="G15266" s="46">
        <v>5.566867976335E12</v>
      </c>
      <c r="H15266" s="46" t="s">
        <v>60</v>
      </c>
      <c r="I15266" s="46" t="s">
        <v>61</v>
      </c>
      <c r="J15266" s="46" t="s">
        <v>134</v>
      </c>
      <c r="K15266" s="46" t="s">
        <v>126</v>
      </c>
      <c r="L15266" s="45">
        <v>46016.875</v>
      </c>
      <c r="M15266" s="46" t="s">
        <v>123</v>
      </c>
      <c r="N15266" s="45">
        <v>46016.895833333336</v>
      </c>
      <c r="O15266" s="46" t="s">
        <v>123</v>
      </c>
      <c r="P15266" s="46">
        <v>1800.0</v>
      </c>
    </row>
    <row r="15267">
      <c r="A15267" s="40">
        <f t="shared" si="1"/>
        <v>46013</v>
      </c>
      <c r="B15267" s="37" t="str">
        <f t="array" ref="B15267">iferror(xlookup($I15267, 'IMPORT VHC Report'!$E:$E, 'IMPORT VHC Report'!$A:$C), )</f>
        <v/>
      </c>
      <c r="C15267" s="44"/>
      <c r="D15267" s="44"/>
      <c r="E15267" s="46" t="s">
        <v>11431</v>
      </c>
      <c r="F15267" s="46" t="s">
        <v>7202</v>
      </c>
      <c r="G15267" s="46">
        <v>5.566867976335E12</v>
      </c>
      <c r="H15267" s="46" t="s">
        <v>60</v>
      </c>
      <c r="I15267" s="46" t="s">
        <v>61</v>
      </c>
      <c r="J15267" s="46" t="s">
        <v>1670</v>
      </c>
      <c r="K15267" s="46" t="s">
        <v>63</v>
      </c>
      <c r="L15267" s="45">
        <v>46017.583333333336</v>
      </c>
      <c r="M15267" s="46" t="s">
        <v>123</v>
      </c>
      <c r="N15267" s="45">
        <v>46017.958333333336</v>
      </c>
      <c r="O15267" s="46" t="s">
        <v>123</v>
      </c>
      <c r="P15267" s="46">
        <v>32400.0</v>
      </c>
    </row>
    <row r="15268">
      <c r="A15268" s="40">
        <f t="shared" si="1"/>
        <v>46013</v>
      </c>
      <c r="B15268" s="37" t="str">
        <f t="array" ref="B15268">iferror(xlookup($I15268, 'IMPORT VHC Report'!$E:$E, 'IMPORT VHC Report'!$A:$C), )</f>
        <v/>
      </c>
      <c r="C15268" s="44"/>
      <c r="D15268" s="44"/>
      <c r="E15268" s="46" t="s">
        <v>11432</v>
      </c>
      <c r="F15268" s="46" t="s">
        <v>7202</v>
      </c>
      <c r="G15268" s="46">
        <v>5.566867976335E12</v>
      </c>
      <c r="H15268" s="46" t="s">
        <v>60</v>
      </c>
      <c r="I15268" s="46" t="s">
        <v>61</v>
      </c>
      <c r="J15268" s="46" t="s">
        <v>4</v>
      </c>
      <c r="K15268" s="46" t="s">
        <v>126</v>
      </c>
      <c r="L15268" s="45">
        <v>46017.61111111111</v>
      </c>
      <c r="M15268" s="46" t="s">
        <v>123</v>
      </c>
      <c r="N15268" s="45">
        <v>46017.71666666667</v>
      </c>
      <c r="O15268" s="46" t="s">
        <v>123</v>
      </c>
      <c r="P15268" s="46">
        <v>9120.0</v>
      </c>
    </row>
    <row r="15269">
      <c r="A15269" s="40">
        <f t="shared" si="1"/>
        <v>46013</v>
      </c>
      <c r="B15269" s="37" t="str">
        <f t="array" ref="B15269">iferror(xlookup($I15269, 'IMPORT VHC Report'!$E:$E, 'IMPORT VHC Report'!$A:$C), )</f>
        <v/>
      </c>
      <c r="C15269" s="44"/>
      <c r="D15269" s="44"/>
      <c r="E15269" s="46" t="s">
        <v>11433</v>
      </c>
      <c r="F15269" s="46" t="s">
        <v>7202</v>
      </c>
      <c r="G15269" s="46">
        <v>5.566867976335E12</v>
      </c>
      <c r="H15269" s="46" t="s">
        <v>60</v>
      </c>
      <c r="I15269" s="46" t="s">
        <v>61</v>
      </c>
      <c r="J15269" s="46" t="s">
        <v>4</v>
      </c>
      <c r="K15269" s="46" t="s">
        <v>126</v>
      </c>
      <c r="L15269" s="45">
        <v>46017.73055555556</v>
      </c>
      <c r="M15269" s="46" t="s">
        <v>123</v>
      </c>
      <c r="N15269" s="45">
        <v>46017.76388888889</v>
      </c>
      <c r="O15269" s="46" t="s">
        <v>123</v>
      </c>
      <c r="P15269" s="46">
        <v>2880.0</v>
      </c>
      <c r="S15269" s="46" t="s">
        <v>79</v>
      </c>
    </row>
    <row r="15270">
      <c r="A15270" s="40">
        <f t="shared" si="1"/>
        <v>46013</v>
      </c>
      <c r="B15270" s="37" t="str">
        <f t="array" ref="B15270">iferror(xlookup($I15270, 'IMPORT VHC Report'!$E:$E, 'IMPORT VHC Report'!$A:$C), )</f>
        <v/>
      </c>
      <c r="C15270" s="44"/>
      <c r="D15270" s="44"/>
      <c r="E15270" s="46" t="s">
        <v>11434</v>
      </c>
      <c r="F15270" s="46" t="s">
        <v>7202</v>
      </c>
      <c r="G15270" s="46">
        <v>5.566867976335E12</v>
      </c>
      <c r="H15270" s="46" t="s">
        <v>60</v>
      </c>
      <c r="I15270" s="46" t="s">
        <v>61</v>
      </c>
      <c r="J15270" s="46" t="s">
        <v>134</v>
      </c>
      <c r="K15270" s="46" t="s">
        <v>126</v>
      </c>
      <c r="L15270" s="45">
        <v>46017.833333333336</v>
      </c>
      <c r="M15270" s="46" t="s">
        <v>123</v>
      </c>
      <c r="N15270" s="45">
        <v>46017.854166666664</v>
      </c>
      <c r="O15270" s="46" t="s">
        <v>123</v>
      </c>
      <c r="P15270" s="46">
        <v>1800.0</v>
      </c>
    </row>
    <row r="15271">
      <c r="A15271" s="40">
        <f t="shared" si="1"/>
        <v>46013</v>
      </c>
      <c r="B15271" s="37" t="str">
        <f t="array" ref="B15271">iferror(xlookup($I15271, 'IMPORT VHC Report'!$E:$E, 'IMPORT VHC Report'!$A:$C), )</f>
        <v/>
      </c>
      <c r="C15271" s="44"/>
      <c r="D15271" s="44"/>
      <c r="E15271" s="46" t="s">
        <v>11435</v>
      </c>
      <c r="F15271" s="46" t="s">
        <v>7202</v>
      </c>
      <c r="G15271" s="46">
        <v>5.566867976335E12</v>
      </c>
      <c r="H15271" s="46" t="s">
        <v>60</v>
      </c>
      <c r="I15271" s="46" t="s">
        <v>61</v>
      </c>
      <c r="J15271" s="46" t="s">
        <v>132</v>
      </c>
      <c r="K15271" s="46" t="s">
        <v>126</v>
      </c>
      <c r="L15271" s="45">
        <v>46017.854166666664</v>
      </c>
      <c r="M15271" s="46" t="s">
        <v>123</v>
      </c>
      <c r="N15271" s="45">
        <v>46017.895833333336</v>
      </c>
      <c r="O15271" s="46" t="s">
        <v>123</v>
      </c>
      <c r="P15271" s="46">
        <v>3600.0</v>
      </c>
    </row>
    <row r="15272">
      <c r="A15272" s="40">
        <f t="shared" si="1"/>
        <v>46013</v>
      </c>
      <c r="B15272" s="37" t="str">
        <f t="array" ref="B15272">iferror(xlookup($I15272, 'IMPORT VHC Report'!$E:$E, 'IMPORT VHC Report'!$A:$C), )</f>
        <v/>
      </c>
      <c r="C15272" s="44"/>
      <c r="D15272" s="44"/>
      <c r="E15272" s="46" t="s">
        <v>11436</v>
      </c>
      <c r="F15272" s="46" t="s">
        <v>7202</v>
      </c>
      <c r="G15272" s="46">
        <v>5.566867976335E12</v>
      </c>
      <c r="H15272" s="46" t="s">
        <v>60</v>
      </c>
      <c r="I15272" s="46" t="s">
        <v>61</v>
      </c>
      <c r="J15272" s="46" t="s">
        <v>1670</v>
      </c>
      <c r="K15272" s="46" t="s">
        <v>63</v>
      </c>
      <c r="L15272" s="45">
        <v>46018.583333333336</v>
      </c>
      <c r="M15272" s="46" t="s">
        <v>123</v>
      </c>
      <c r="N15272" s="45">
        <v>46018.958333333336</v>
      </c>
      <c r="O15272" s="46" t="s">
        <v>123</v>
      </c>
      <c r="P15272" s="46">
        <v>32400.0</v>
      </c>
    </row>
    <row r="15273">
      <c r="A15273" s="40">
        <f t="shared" si="1"/>
        <v>46013</v>
      </c>
      <c r="B15273" s="37" t="str">
        <f t="array" ref="B15273">iferror(xlookup($I15273, 'IMPORT VHC Report'!$E:$E, 'IMPORT VHC Report'!$A:$C), )</f>
        <v/>
      </c>
      <c r="C15273" s="44"/>
      <c r="D15273" s="44"/>
      <c r="E15273" s="46" t="s">
        <v>11437</v>
      </c>
      <c r="F15273" s="46" t="s">
        <v>7202</v>
      </c>
      <c r="G15273" s="46">
        <v>5.566867976335E12</v>
      </c>
      <c r="H15273" s="46" t="s">
        <v>60</v>
      </c>
      <c r="I15273" s="46" t="s">
        <v>61</v>
      </c>
      <c r="J15273" s="46" t="s">
        <v>132</v>
      </c>
      <c r="K15273" s="46" t="s">
        <v>126</v>
      </c>
      <c r="L15273" s="45">
        <v>46018.8125</v>
      </c>
      <c r="M15273" s="46" t="s">
        <v>123</v>
      </c>
      <c r="N15273" s="45">
        <v>46018.854166666664</v>
      </c>
      <c r="O15273" s="46" t="s">
        <v>123</v>
      </c>
      <c r="P15273" s="46">
        <v>3600.0</v>
      </c>
    </row>
    <row r="15274">
      <c r="A15274" s="40">
        <f t="shared" si="1"/>
        <v>46013</v>
      </c>
      <c r="B15274" s="37" t="str">
        <f t="array" ref="B15274">iferror(xlookup($I15274, 'IMPORT VHC Report'!$E:$E, 'IMPORT VHC Report'!$A:$C), )</f>
        <v/>
      </c>
      <c r="C15274" s="44"/>
      <c r="D15274" s="44"/>
      <c r="E15274" s="46" t="s">
        <v>11438</v>
      </c>
      <c r="F15274" s="46" t="s">
        <v>7202</v>
      </c>
      <c r="G15274" s="46">
        <v>5.566867976335E12</v>
      </c>
      <c r="H15274" s="46" t="s">
        <v>60</v>
      </c>
      <c r="I15274" s="46" t="s">
        <v>61</v>
      </c>
      <c r="J15274" s="46" t="s">
        <v>134</v>
      </c>
      <c r="K15274" s="46" t="s">
        <v>126</v>
      </c>
      <c r="L15274" s="45">
        <v>46018.854166666664</v>
      </c>
      <c r="M15274" s="46" t="s">
        <v>123</v>
      </c>
      <c r="N15274" s="45">
        <v>46018.875</v>
      </c>
      <c r="O15274" s="46" t="s">
        <v>123</v>
      </c>
      <c r="P15274" s="46">
        <v>1800.0</v>
      </c>
    </row>
    <row r="15275">
      <c r="A15275" s="40">
        <f t="shared" si="1"/>
        <v>46013</v>
      </c>
      <c r="B15275" s="37" t="str">
        <f t="array" ref="B15275">iferror(xlookup($I15275, 'IMPORT VHC Report'!$E:$E, 'IMPORT VHC Report'!$A:$C), )</f>
        <v/>
      </c>
      <c r="C15275" s="44"/>
      <c r="D15275" s="44"/>
      <c r="E15275" s="46" t="s">
        <v>11439</v>
      </c>
      <c r="F15275" s="46" t="s">
        <v>7617</v>
      </c>
      <c r="G15275" s="46">
        <v>9.795905277839E12</v>
      </c>
      <c r="H15275" s="46" t="s">
        <v>7618</v>
      </c>
      <c r="I15275" s="46" t="s">
        <v>7619</v>
      </c>
      <c r="J15275" s="46" t="s">
        <v>1670</v>
      </c>
      <c r="K15275" s="46" t="s">
        <v>63</v>
      </c>
      <c r="L15275" s="45">
        <v>46014.958333333336</v>
      </c>
      <c r="M15275" s="46" t="s">
        <v>123</v>
      </c>
      <c r="N15275" s="45">
        <v>46014.96388888889</v>
      </c>
      <c r="O15275" s="46" t="s">
        <v>123</v>
      </c>
      <c r="P15275" s="46">
        <v>480.0</v>
      </c>
    </row>
    <row r="15276">
      <c r="A15276" s="40">
        <f t="shared" si="1"/>
        <v>46013</v>
      </c>
      <c r="B15276" s="37" t="str">
        <f t="array" ref="B15276">iferror(xlookup($I15276, 'IMPORT VHC Report'!$E:$E, 'IMPORT VHC Report'!$A:$C), )</f>
        <v/>
      </c>
      <c r="C15276" s="44"/>
      <c r="D15276" s="44"/>
      <c r="E15276" s="46" t="s">
        <v>11440</v>
      </c>
      <c r="F15276" s="46" t="s">
        <v>7617</v>
      </c>
      <c r="G15276" s="46">
        <v>9.795905277839E12</v>
      </c>
      <c r="H15276" s="46" t="s">
        <v>7618</v>
      </c>
      <c r="I15276" s="46" t="s">
        <v>7619</v>
      </c>
      <c r="J15276" s="46" t="s">
        <v>791</v>
      </c>
      <c r="K15276" s="46" t="s">
        <v>63</v>
      </c>
      <c r="L15276" s="45">
        <v>46014.96388888889</v>
      </c>
      <c r="M15276" s="46" t="s">
        <v>123</v>
      </c>
      <c r="N15276" s="45">
        <v>46014.979166666664</v>
      </c>
      <c r="O15276" s="46" t="s">
        <v>123</v>
      </c>
      <c r="P15276" s="46">
        <v>1320.0</v>
      </c>
    </row>
    <row r="15277">
      <c r="A15277" s="40">
        <f t="shared" si="1"/>
        <v>46013</v>
      </c>
      <c r="B15277" s="37" t="str">
        <f t="array" ref="B15277">iferror(xlookup($I15277, 'IMPORT VHC Report'!$E:$E, 'IMPORT VHC Report'!$A:$C), )</f>
        <v/>
      </c>
      <c r="C15277" s="44"/>
      <c r="D15277" s="44"/>
      <c r="E15277" s="46" t="s">
        <v>11441</v>
      </c>
      <c r="F15277" s="46" t="s">
        <v>7617</v>
      </c>
      <c r="G15277" s="46">
        <v>9.795905277839E12</v>
      </c>
      <c r="H15277" s="46" t="s">
        <v>7618</v>
      </c>
      <c r="I15277" s="46" t="s">
        <v>7619</v>
      </c>
      <c r="J15277" s="46" t="s">
        <v>134</v>
      </c>
      <c r="K15277" s="46" t="s">
        <v>126</v>
      </c>
      <c r="L15277" s="45">
        <v>46014.979166666664</v>
      </c>
      <c r="M15277" s="46" t="s">
        <v>123</v>
      </c>
      <c r="N15277" s="45">
        <v>46015.0</v>
      </c>
      <c r="O15277" s="46" t="s">
        <v>123</v>
      </c>
      <c r="P15277" s="46">
        <v>1800.0</v>
      </c>
    </row>
    <row r="15278">
      <c r="A15278" s="40">
        <f t="shared" si="1"/>
        <v>46013</v>
      </c>
      <c r="B15278" s="37" t="str">
        <f t="array" ref="B15278">iferror(xlookup($I15278, 'IMPORT VHC Report'!$E:$E, 'IMPORT VHC Report'!$A:$C), )</f>
        <v/>
      </c>
      <c r="C15278" s="44"/>
      <c r="D15278" s="44"/>
      <c r="E15278" s="46" t="s">
        <v>11442</v>
      </c>
      <c r="F15278" s="46" t="s">
        <v>7617</v>
      </c>
      <c r="G15278" s="46">
        <v>9.795905277839E12</v>
      </c>
      <c r="H15278" s="46" t="s">
        <v>7618</v>
      </c>
      <c r="I15278" s="46" t="s">
        <v>7619</v>
      </c>
      <c r="J15278" s="46" t="s">
        <v>1670</v>
      </c>
      <c r="K15278" s="46" t="s">
        <v>63</v>
      </c>
      <c r="L15278" s="45">
        <v>46014.979166666664</v>
      </c>
      <c r="M15278" s="46" t="s">
        <v>123</v>
      </c>
      <c r="N15278" s="45">
        <v>46015.041666666664</v>
      </c>
      <c r="O15278" s="46" t="s">
        <v>123</v>
      </c>
      <c r="P15278" s="46">
        <v>5400.0</v>
      </c>
    </row>
    <row r="15279">
      <c r="A15279" s="40">
        <f t="shared" si="1"/>
        <v>46013</v>
      </c>
      <c r="B15279" s="37" t="str">
        <f t="array" ref="B15279">iferror(xlookup($I15279, 'IMPORT VHC Report'!$E:$E, 'IMPORT VHC Report'!$A:$C), )</f>
        <v/>
      </c>
      <c r="C15279" s="44"/>
      <c r="D15279" s="44"/>
      <c r="E15279" s="46" t="s">
        <v>11443</v>
      </c>
      <c r="F15279" s="46" t="s">
        <v>7617</v>
      </c>
      <c r="G15279" s="46">
        <v>9.795905277839E12</v>
      </c>
      <c r="H15279" s="46" t="s">
        <v>7618</v>
      </c>
      <c r="I15279" s="46" t="s">
        <v>7619</v>
      </c>
      <c r="J15279" s="46" t="s">
        <v>132</v>
      </c>
      <c r="K15279" s="46" t="s">
        <v>126</v>
      </c>
      <c r="L15279" s="45">
        <v>46015.0</v>
      </c>
      <c r="M15279" s="46" t="s">
        <v>123</v>
      </c>
      <c r="N15279" s="45">
        <v>46015.041666666664</v>
      </c>
      <c r="O15279" s="46" t="s">
        <v>123</v>
      </c>
      <c r="P15279" s="46">
        <v>3600.0</v>
      </c>
    </row>
    <row r="15280">
      <c r="A15280" s="40">
        <f t="shared" si="1"/>
        <v>46013</v>
      </c>
      <c r="B15280" s="37" t="str">
        <f t="array" ref="B15280">iferror(xlookup($I15280, 'IMPORT VHC Report'!$E:$E, 'IMPORT VHC Report'!$A:$C), )</f>
        <v/>
      </c>
      <c r="C15280" s="44"/>
      <c r="D15280" s="44"/>
      <c r="E15280" s="46" t="s">
        <v>11444</v>
      </c>
      <c r="F15280" s="46" t="s">
        <v>7617</v>
      </c>
      <c r="G15280" s="46">
        <v>9.795905277839E12</v>
      </c>
      <c r="H15280" s="46" t="s">
        <v>7618</v>
      </c>
      <c r="I15280" s="46" t="s">
        <v>7619</v>
      </c>
      <c r="J15280" s="46" t="s">
        <v>791</v>
      </c>
      <c r="K15280" s="46" t="s">
        <v>63</v>
      </c>
      <c r="L15280" s="45">
        <v>46015.041666666664</v>
      </c>
      <c r="M15280" s="46" t="s">
        <v>123</v>
      </c>
      <c r="N15280" s="45">
        <v>46015.097916666666</v>
      </c>
      <c r="O15280" s="46" t="s">
        <v>123</v>
      </c>
      <c r="P15280" s="46">
        <v>4860.0</v>
      </c>
    </row>
    <row r="15281">
      <c r="A15281" s="40">
        <f t="shared" si="1"/>
        <v>46013</v>
      </c>
      <c r="B15281" s="37" t="str">
        <f t="array" ref="B15281">iferror(xlookup($I15281, 'IMPORT VHC Report'!$E:$E, 'IMPORT VHC Report'!$A:$C), )</f>
        <v/>
      </c>
      <c r="C15281" s="44"/>
      <c r="D15281" s="44"/>
      <c r="E15281" s="46" t="s">
        <v>11445</v>
      </c>
      <c r="F15281" s="46" t="s">
        <v>7617</v>
      </c>
      <c r="G15281" s="46">
        <v>9.795905277839E12</v>
      </c>
      <c r="H15281" s="46" t="s">
        <v>7618</v>
      </c>
      <c r="I15281" s="46" t="s">
        <v>7619</v>
      </c>
      <c r="J15281" s="46" t="s">
        <v>1670</v>
      </c>
      <c r="K15281" s="46" t="s">
        <v>63</v>
      </c>
      <c r="L15281" s="45">
        <v>46015.097916666666</v>
      </c>
      <c r="M15281" s="46" t="s">
        <v>123</v>
      </c>
      <c r="N15281" s="45">
        <v>46015.26388888889</v>
      </c>
      <c r="O15281" s="46" t="s">
        <v>123</v>
      </c>
      <c r="P15281" s="46">
        <v>14340.0</v>
      </c>
    </row>
    <row r="15282">
      <c r="A15282" s="40">
        <f t="shared" si="1"/>
        <v>46013</v>
      </c>
      <c r="B15282" s="37" t="str">
        <f t="array" ref="B15282">iferror(xlookup($I15282, 'IMPORT VHC Report'!$E:$E, 'IMPORT VHC Report'!$A:$C), )</f>
        <v/>
      </c>
      <c r="C15282" s="44"/>
      <c r="D15282" s="44"/>
      <c r="E15282" s="46" t="s">
        <v>11446</v>
      </c>
      <c r="F15282" s="46" t="s">
        <v>7617</v>
      </c>
      <c r="G15282" s="46">
        <v>9.795905277839E12</v>
      </c>
      <c r="H15282" s="46" t="s">
        <v>7618</v>
      </c>
      <c r="I15282" s="46" t="s">
        <v>7619</v>
      </c>
      <c r="J15282" s="46" t="s">
        <v>791</v>
      </c>
      <c r="K15282" s="46" t="s">
        <v>63</v>
      </c>
      <c r="L15282" s="45">
        <v>46015.26388888889</v>
      </c>
      <c r="M15282" s="46" t="s">
        <v>123</v>
      </c>
      <c r="N15282" s="45">
        <v>46015.291666666664</v>
      </c>
      <c r="O15282" s="46" t="s">
        <v>123</v>
      </c>
      <c r="P15282" s="46">
        <v>2400.0</v>
      </c>
    </row>
    <row r="15283">
      <c r="A15283" s="40">
        <f t="shared" si="1"/>
        <v>46013</v>
      </c>
      <c r="B15283" s="37" t="str">
        <f t="array" ref="B15283">iferror(xlookup($I15283, 'IMPORT VHC Report'!$E:$E, 'IMPORT VHC Report'!$A:$C), )</f>
        <v/>
      </c>
      <c r="C15283" s="44"/>
      <c r="D15283" s="44"/>
      <c r="E15283" s="46" t="s">
        <v>11447</v>
      </c>
      <c r="F15283" s="46" t="s">
        <v>7617</v>
      </c>
      <c r="G15283" s="46">
        <v>9.795905277839E12</v>
      </c>
      <c r="H15283" s="46" t="s">
        <v>7618</v>
      </c>
      <c r="I15283" s="46" t="s">
        <v>7619</v>
      </c>
      <c r="J15283" s="46" t="s">
        <v>1670</v>
      </c>
      <c r="K15283" s="46" t="s">
        <v>63</v>
      </c>
      <c r="L15283" s="45">
        <v>46015.291666666664</v>
      </c>
      <c r="M15283" s="46" t="s">
        <v>123</v>
      </c>
      <c r="N15283" s="45">
        <v>46015.333333333336</v>
      </c>
      <c r="O15283" s="46" t="s">
        <v>123</v>
      </c>
      <c r="P15283" s="46">
        <v>3600.0</v>
      </c>
    </row>
    <row r="15284">
      <c r="A15284" s="40">
        <f t="shared" si="1"/>
        <v>46013</v>
      </c>
      <c r="B15284" s="37" t="str">
        <f t="array" ref="B15284">iferror(xlookup($I15284, 'IMPORT VHC Report'!$E:$E, 'IMPORT VHC Report'!$A:$C), )</f>
        <v/>
      </c>
      <c r="C15284" s="44"/>
      <c r="D15284" s="44"/>
      <c r="E15284" s="46" t="s">
        <v>11448</v>
      </c>
      <c r="F15284" s="46" t="s">
        <v>7617</v>
      </c>
      <c r="G15284" s="46">
        <v>9.795905277839E12</v>
      </c>
      <c r="H15284" s="46" t="s">
        <v>7618</v>
      </c>
      <c r="I15284" s="46" t="s">
        <v>7619</v>
      </c>
      <c r="J15284" s="46" t="s">
        <v>136</v>
      </c>
      <c r="K15284" s="46" t="s">
        <v>126</v>
      </c>
      <c r="L15284" s="45">
        <v>46015.291666666664</v>
      </c>
      <c r="M15284" s="46" t="s">
        <v>123</v>
      </c>
      <c r="N15284" s="45">
        <v>46015.333333333336</v>
      </c>
      <c r="O15284" s="46" t="s">
        <v>123</v>
      </c>
      <c r="P15284" s="46">
        <v>3600.0</v>
      </c>
      <c r="S15284" s="46" t="s">
        <v>1680</v>
      </c>
    </row>
    <row r="15285">
      <c r="A15285" s="40">
        <f t="shared" si="1"/>
        <v>46013</v>
      </c>
      <c r="B15285" s="37" t="str">
        <f t="array" ref="B15285">iferror(xlookup($I15285, 'IMPORT VHC Report'!$E:$E, 'IMPORT VHC Report'!$A:$C), )</f>
        <v/>
      </c>
      <c r="C15285" s="44"/>
      <c r="D15285" s="44"/>
      <c r="E15285" s="46" t="s">
        <v>11449</v>
      </c>
      <c r="F15285" s="46" t="s">
        <v>7617</v>
      </c>
      <c r="G15285" s="46">
        <v>9.795905277839E12</v>
      </c>
      <c r="H15285" s="46" t="s">
        <v>7618</v>
      </c>
      <c r="I15285" s="46" t="s">
        <v>7619</v>
      </c>
      <c r="J15285" s="46" t="s">
        <v>1670</v>
      </c>
      <c r="K15285" s="46" t="s">
        <v>63</v>
      </c>
      <c r="L15285" s="45">
        <v>46015.958333333336</v>
      </c>
      <c r="M15285" s="46" t="s">
        <v>123</v>
      </c>
      <c r="N15285" s="45">
        <v>46016.333333333336</v>
      </c>
      <c r="O15285" s="46" t="s">
        <v>123</v>
      </c>
      <c r="P15285" s="46">
        <v>32400.0</v>
      </c>
    </row>
    <row r="15286">
      <c r="A15286" s="40">
        <f t="shared" si="1"/>
        <v>46013</v>
      </c>
      <c r="B15286" s="37" t="str">
        <f t="array" ref="B15286">iferror(xlookup($I15286, 'IMPORT VHC Report'!$E:$E, 'IMPORT VHC Report'!$A:$C), )</f>
        <v/>
      </c>
      <c r="C15286" s="44"/>
      <c r="D15286" s="44"/>
      <c r="E15286" s="46" t="s">
        <v>11450</v>
      </c>
      <c r="F15286" s="46" t="s">
        <v>7617</v>
      </c>
      <c r="G15286" s="46">
        <v>9.795905277839E12</v>
      </c>
      <c r="H15286" s="46" t="s">
        <v>7618</v>
      </c>
      <c r="I15286" s="46" t="s">
        <v>7619</v>
      </c>
      <c r="J15286" s="46" t="s">
        <v>132</v>
      </c>
      <c r="K15286" s="46" t="s">
        <v>126</v>
      </c>
      <c r="L15286" s="45">
        <v>46016.270833333336</v>
      </c>
      <c r="M15286" s="46" t="s">
        <v>123</v>
      </c>
      <c r="N15286" s="45">
        <v>46016.3125</v>
      </c>
      <c r="O15286" s="46" t="s">
        <v>123</v>
      </c>
      <c r="P15286" s="46">
        <v>3600.0</v>
      </c>
    </row>
    <row r="15287">
      <c r="A15287" s="40">
        <f t="shared" si="1"/>
        <v>46013</v>
      </c>
      <c r="B15287" s="37" t="str">
        <f t="array" ref="B15287">iferror(xlookup($I15287, 'IMPORT VHC Report'!$E:$E, 'IMPORT VHC Report'!$A:$C), )</f>
        <v/>
      </c>
      <c r="C15287" s="44"/>
      <c r="D15287" s="44"/>
      <c r="E15287" s="46" t="s">
        <v>11451</v>
      </c>
      <c r="F15287" s="46" t="s">
        <v>7617</v>
      </c>
      <c r="G15287" s="46">
        <v>9.795905277839E12</v>
      </c>
      <c r="H15287" s="46" t="s">
        <v>7618</v>
      </c>
      <c r="I15287" s="46" t="s">
        <v>7619</v>
      </c>
      <c r="J15287" s="46" t="s">
        <v>134</v>
      </c>
      <c r="K15287" s="46" t="s">
        <v>126</v>
      </c>
      <c r="L15287" s="45">
        <v>46016.3125</v>
      </c>
      <c r="M15287" s="46" t="s">
        <v>123</v>
      </c>
      <c r="N15287" s="45">
        <v>46016.333333333336</v>
      </c>
      <c r="O15287" s="46" t="s">
        <v>123</v>
      </c>
      <c r="P15287" s="46">
        <v>1800.0</v>
      </c>
    </row>
    <row r="15288">
      <c r="A15288" s="40">
        <f t="shared" si="1"/>
        <v>46013</v>
      </c>
      <c r="B15288" s="37" t="str">
        <f t="array" ref="B15288">iferror(xlookup($I15288, 'IMPORT VHC Report'!$E:$E, 'IMPORT VHC Report'!$A:$C), )</f>
        <v/>
      </c>
      <c r="C15288" s="44"/>
      <c r="D15288" s="44"/>
      <c r="E15288" s="46" t="s">
        <v>11452</v>
      </c>
      <c r="F15288" s="46" t="s">
        <v>7617</v>
      </c>
      <c r="G15288" s="46">
        <v>9.795905277839E12</v>
      </c>
      <c r="H15288" s="46" t="s">
        <v>7618</v>
      </c>
      <c r="I15288" s="46" t="s">
        <v>7619</v>
      </c>
      <c r="J15288" s="46" t="s">
        <v>1670</v>
      </c>
      <c r="K15288" s="46" t="s">
        <v>63</v>
      </c>
      <c r="L15288" s="45">
        <v>46016.958333333336</v>
      </c>
      <c r="M15288" s="46" t="s">
        <v>123</v>
      </c>
      <c r="N15288" s="45">
        <v>46017.333333333336</v>
      </c>
      <c r="O15288" s="46" t="s">
        <v>123</v>
      </c>
      <c r="P15288" s="46">
        <v>32400.0</v>
      </c>
    </row>
    <row r="15289">
      <c r="A15289" s="40">
        <f t="shared" si="1"/>
        <v>46013</v>
      </c>
      <c r="B15289" s="37" t="str">
        <f t="array" ref="B15289">iferror(xlookup($I15289, 'IMPORT VHC Report'!$E:$E, 'IMPORT VHC Report'!$A:$C), )</f>
        <v/>
      </c>
      <c r="C15289" s="44"/>
      <c r="D15289" s="44"/>
      <c r="E15289" s="46" t="s">
        <v>11453</v>
      </c>
      <c r="F15289" s="46" t="s">
        <v>7617</v>
      </c>
      <c r="G15289" s="46">
        <v>9.795905277839E12</v>
      </c>
      <c r="H15289" s="46" t="s">
        <v>7618</v>
      </c>
      <c r="I15289" s="46" t="s">
        <v>7619</v>
      </c>
      <c r="J15289" s="46" t="s">
        <v>134</v>
      </c>
      <c r="K15289" s="46" t="s">
        <v>126</v>
      </c>
      <c r="L15289" s="45">
        <v>46017.270833333336</v>
      </c>
      <c r="M15289" s="46" t="s">
        <v>123</v>
      </c>
      <c r="N15289" s="45">
        <v>46017.291666666664</v>
      </c>
      <c r="O15289" s="46" t="s">
        <v>123</v>
      </c>
      <c r="P15289" s="46">
        <v>1800.0</v>
      </c>
    </row>
    <row r="15290">
      <c r="A15290" s="40">
        <f t="shared" si="1"/>
        <v>46013</v>
      </c>
      <c r="B15290" s="37" t="str">
        <f t="array" ref="B15290">iferror(xlookup($I15290, 'IMPORT VHC Report'!$E:$E, 'IMPORT VHC Report'!$A:$C), )</f>
        <v/>
      </c>
      <c r="C15290" s="44"/>
      <c r="D15290" s="44"/>
      <c r="E15290" s="46" t="s">
        <v>11454</v>
      </c>
      <c r="F15290" s="46" t="s">
        <v>7617</v>
      </c>
      <c r="G15290" s="46">
        <v>9.795905277839E12</v>
      </c>
      <c r="H15290" s="46" t="s">
        <v>7618</v>
      </c>
      <c r="I15290" s="46" t="s">
        <v>7619</v>
      </c>
      <c r="J15290" s="46" t="s">
        <v>132</v>
      </c>
      <c r="K15290" s="46" t="s">
        <v>126</v>
      </c>
      <c r="L15290" s="45">
        <v>46017.291666666664</v>
      </c>
      <c r="M15290" s="46" t="s">
        <v>123</v>
      </c>
      <c r="N15290" s="45">
        <v>46017.333333333336</v>
      </c>
      <c r="O15290" s="46" t="s">
        <v>123</v>
      </c>
      <c r="P15290" s="46">
        <v>3600.0</v>
      </c>
    </row>
    <row r="15291">
      <c r="A15291" s="40">
        <f t="shared" si="1"/>
        <v>46013</v>
      </c>
      <c r="B15291" s="37" t="str">
        <f t="array" ref="B15291">iferror(xlookup($I15291, 'IMPORT VHC Report'!$E:$E, 'IMPORT VHC Report'!$A:$C), )</f>
        <v/>
      </c>
      <c r="C15291" s="44"/>
      <c r="D15291" s="44"/>
      <c r="E15291" s="46" t="s">
        <v>11455</v>
      </c>
      <c r="F15291" s="46" t="s">
        <v>7617</v>
      </c>
      <c r="G15291" s="46">
        <v>9.795905277839E12</v>
      </c>
      <c r="H15291" s="46" t="s">
        <v>7618</v>
      </c>
      <c r="I15291" s="46" t="s">
        <v>7619</v>
      </c>
      <c r="J15291" s="46" t="s">
        <v>152</v>
      </c>
      <c r="K15291" s="46" t="s">
        <v>153</v>
      </c>
      <c r="L15291" s="45">
        <v>46017.958333333336</v>
      </c>
      <c r="M15291" s="46" t="s">
        <v>123</v>
      </c>
      <c r="N15291" s="45">
        <v>46018.333333333336</v>
      </c>
      <c r="O15291" s="46" t="s">
        <v>123</v>
      </c>
      <c r="P15291" s="46">
        <v>32400.0</v>
      </c>
      <c r="Q15291" s="46">
        <v>28800.0</v>
      </c>
    </row>
    <row r="15292">
      <c r="A15292" s="40">
        <f t="shared" si="1"/>
        <v>46013</v>
      </c>
      <c r="B15292" s="37" t="str">
        <f t="array" ref="B15292">iferror(xlookup($I15292, 'IMPORT VHC Report'!$E:$E, 'IMPORT VHC Report'!$A:$C), )</f>
        <v/>
      </c>
      <c r="C15292" s="44"/>
      <c r="D15292" s="44"/>
      <c r="E15292" s="46" t="s">
        <v>11456</v>
      </c>
      <c r="F15292" s="46" t="s">
        <v>7617</v>
      </c>
      <c r="G15292" s="46">
        <v>9.795905277839E12</v>
      </c>
      <c r="H15292" s="46" t="s">
        <v>7618</v>
      </c>
      <c r="I15292" s="46" t="s">
        <v>7619</v>
      </c>
      <c r="J15292" s="46" t="s">
        <v>1670</v>
      </c>
      <c r="K15292" s="46" t="s">
        <v>63</v>
      </c>
      <c r="L15292" s="45">
        <v>46017.958333333336</v>
      </c>
      <c r="M15292" s="46" t="s">
        <v>123</v>
      </c>
      <c r="N15292" s="45">
        <v>46018.333333333336</v>
      </c>
      <c r="O15292" s="46" t="s">
        <v>123</v>
      </c>
      <c r="P15292" s="46">
        <v>32400.0</v>
      </c>
    </row>
    <row r="15293">
      <c r="A15293" s="40">
        <f t="shared" si="1"/>
        <v>46013</v>
      </c>
      <c r="B15293" s="37" t="str">
        <f t="array" ref="B15293">iferror(xlookup($I15293, 'IMPORT VHC Report'!$E:$E, 'IMPORT VHC Report'!$A:$C), )</f>
        <v/>
      </c>
      <c r="C15293" s="44"/>
      <c r="D15293" s="44"/>
      <c r="E15293" s="46" t="s">
        <v>11457</v>
      </c>
      <c r="F15293" s="46" t="s">
        <v>7617</v>
      </c>
      <c r="G15293" s="46">
        <v>9.795905277839E12</v>
      </c>
      <c r="H15293" s="46" t="s">
        <v>7618</v>
      </c>
      <c r="I15293" s="46" t="s">
        <v>7619</v>
      </c>
      <c r="J15293" s="46" t="s">
        <v>134</v>
      </c>
      <c r="K15293" s="46" t="s">
        <v>126</v>
      </c>
      <c r="L15293" s="45">
        <v>46018.0625</v>
      </c>
      <c r="M15293" s="46" t="s">
        <v>123</v>
      </c>
      <c r="N15293" s="45">
        <v>46018.072916666664</v>
      </c>
      <c r="O15293" s="46" t="s">
        <v>123</v>
      </c>
      <c r="P15293" s="46">
        <v>900.0</v>
      </c>
    </row>
    <row r="15294">
      <c r="A15294" s="40">
        <f t="shared" si="1"/>
        <v>46013</v>
      </c>
      <c r="B15294" s="37" t="str">
        <f t="array" ref="B15294">iferror(xlookup($I15294, 'IMPORT VHC Report'!$E:$E, 'IMPORT VHC Report'!$A:$C), )</f>
        <v/>
      </c>
      <c r="C15294" s="44"/>
      <c r="D15294" s="44"/>
      <c r="E15294" s="46" t="s">
        <v>11458</v>
      </c>
      <c r="F15294" s="46" t="s">
        <v>7617</v>
      </c>
      <c r="G15294" s="46">
        <v>9.795905277839E12</v>
      </c>
      <c r="H15294" s="46" t="s">
        <v>7618</v>
      </c>
      <c r="I15294" s="46" t="s">
        <v>7619</v>
      </c>
      <c r="J15294" s="46" t="s">
        <v>132</v>
      </c>
      <c r="K15294" s="46" t="s">
        <v>126</v>
      </c>
      <c r="L15294" s="45">
        <v>46018.291666666664</v>
      </c>
      <c r="M15294" s="46" t="s">
        <v>123</v>
      </c>
      <c r="N15294" s="45">
        <v>46018.333333333336</v>
      </c>
      <c r="O15294" s="46" t="s">
        <v>123</v>
      </c>
      <c r="P15294" s="46">
        <v>3600.0</v>
      </c>
    </row>
    <row r="15295">
      <c r="A15295" s="40">
        <f t="shared" si="1"/>
        <v>46013</v>
      </c>
      <c r="B15295" s="37" t="str">
        <f t="array" ref="B15295">iferror(xlookup($I15295, 'IMPORT VHC Report'!$E:$E, 'IMPORT VHC Report'!$A:$C), )</f>
        <v/>
      </c>
      <c r="C15295" s="44"/>
      <c r="D15295" s="44"/>
      <c r="E15295" s="46" t="s">
        <v>11459</v>
      </c>
      <c r="F15295" s="46" t="s">
        <v>7617</v>
      </c>
      <c r="G15295" s="46">
        <v>9.795905277839E12</v>
      </c>
      <c r="H15295" s="46" t="s">
        <v>7618</v>
      </c>
      <c r="I15295" s="46" t="s">
        <v>7619</v>
      </c>
      <c r="J15295" s="46" t="s">
        <v>1670</v>
      </c>
      <c r="K15295" s="46" t="s">
        <v>63</v>
      </c>
      <c r="L15295" s="45">
        <v>46018.958333333336</v>
      </c>
      <c r="M15295" s="46" t="s">
        <v>123</v>
      </c>
      <c r="N15295" s="45">
        <v>46019.333333333336</v>
      </c>
      <c r="O15295" s="46" t="s">
        <v>123</v>
      </c>
      <c r="P15295" s="46">
        <v>32400.0</v>
      </c>
    </row>
    <row r="15296">
      <c r="A15296" s="40">
        <f t="shared" si="1"/>
        <v>46013</v>
      </c>
      <c r="B15296" s="37" t="str">
        <f t="array" ref="B15296">iferror(xlookup($I15296, 'IMPORT VHC Report'!$E:$E, 'IMPORT VHC Report'!$A:$C), )</f>
        <v/>
      </c>
      <c r="C15296" s="44"/>
      <c r="D15296" s="44"/>
      <c r="E15296" s="46" t="s">
        <v>11460</v>
      </c>
      <c r="F15296" s="46" t="s">
        <v>7617</v>
      </c>
      <c r="G15296" s="46">
        <v>9.795905277839E12</v>
      </c>
      <c r="H15296" s="46" t="s">
        <v>7618</v>
      </c>
      <c r="I15296" s="46" t="s">
        <v>7619</v>
      </c>
      <c r="J15296" s="46" t="s">
        <v>134</v>
      </c>
      <c r="K15296" s="46" t="s">
        <v>126</v>
      </c>
      <c r="L15296" s="45">
        <v>46019.0625</v>
      </c>
      <c r="M15296" s="46" t="s">
        <v>123</v>
      </c>
      <c r="N15296" s="45">
        <v>46019.083333333336</v>
      </c>
      <c r="O15296" s="46" t="s">
        <v>123</v>
      </c>
      <c r="P15296" s="46">
        <v>1800.0</v>
      </c>
    </row>
    <row r="15297">
      <c r="A15297" s="40">
        <f t="shared" si="1"/>
        <v>46013</v>
      </c>
      <c r="B15297" s="37" t="str">
        <f t="array" ref="B15297">iferror(xlookup($I15297, 'IMPORT VHC Report'!$E:$E, 'IMPORT VHC Report'!$A:$C), )</f>
        <v/>
      </c>
      <c r="C15297" s="44"/>
      <c r="D15297" s="44"/>
      <c r="E15297" s="46" t="s">
        <v>11461</v>
      </c>
      <c r="F15297" s="46" t="s">
        <v>7617</v>
      </c>
      <c r="G15297" s="46">
        <v>9.795905277839E12</v>
      </c>
      <c r="H15297" s="46" t="s">
        <v>7618</v>
      </c>
      <c r="I15297" s="46" t="s">
        <v>7619</v>
      </c>
      <c r="J15297" s="46" t="s">
        <v>132</v>
      </c>
      <c r="K15297" s="46" t="s">
        <v>126</v>
      </c>
      <c r="L15297" s="45">
        <v>46019.1875</v>
      </c>
      <c r="M15297" s="46" t="s">
        <v>123</v>
      </c>
      <c r="N15297" s="45">
        <v>46019.229166666664</v>
      </c>
      <c r="O15297" s="46" t="s">
        <v>123</v>
      </c>
      <c r="P15297" s="46">
        <v>3600.0</v>
      </c>
    </row>
    <row r="15298">
      <c r="A15298" s="40">
        <f t="shared" si="1"/>
        <v>46013</v>
      </c>
      <c r="B15298" s="37" t="str">
        <f t="array" ref="B15298">iferror(xlookup($I15298, 'IMPORT VHC Report'!$E:$E, 'IMPORT VHC Report'!$A:$C), )</f>
        <v/>
      </c>
      <c r="C15298" s="44"/>
      <c r="D15298" s="44"/>
      <c r="E15298" s="46" t="s">
        <v>11462</v>
      </c>
      <c r="F15298" s="46" t="s">
        <v>5991</v>
      </c>
      <c r="G15298" s="46">
        <v>3.61731791575E11</v>
      </c>
      <c r="H15298" s="46" t="s">
        <v>5992</v>
      </c>
      <c r="I15298" s="46" t="s">
        <v>5993</v>
      </c>
      <c r="J15298" s="46" t="s">
        <v>5996</v>
      </c>
      <c r="K15298" s="46" t="s">
        <v>63</v>
      </c>
      <c r="L15298" s="45">
        <v>46013.583333333336</v>
      </c>
      <c r="M15298" s="46" t="s">
        <v>123</v>
      </c>
      <c r="N15298" s="45">
        <v>46013.958333333336</v>
      </c>
      <c r="O15298" s="46" t="s">
        <v>123</v>
      </c>
      <c r="P15298" s="46">
        <v>32400.0</v>
      </c>
    </row>
    <row r="15299">
      <c r="A15299" s="40">
        <f t="shared" si="1"/>
        <v>46013</v>
      </c>
      <c r="B15299" s="37" t="str">
        <f t="array" ref="B15299">iferror(xlookup($I15299, 'IMPORT VHC Report'!$E:$E, 'IMPORT VHC Report'!$A:$C), )</f>
        <v/>
      </c>
      <c r="C15299" s="44"/>
      <c r="D15299" s="44"/>
      <c r="E15299" s="46" t="s">
        <v>11463</v>
      </c>
      <c r="F15299" s="46" t="s">
        <v>5991</v>
      </c>
      <c r="G15299" s="46">
        <v>3.61731791575E11</v>
      </c>
      <c r="H15299" s="46" t="s">
        <v>5992</v>
      </c>
      <c r="I15299" s="46" t="s">
        <v>5993</v>
      </c>
      <c r="J15299" s="46" t="s">
        <v>134</v>
      </c>
      <c r="K15299" s="46" t="s">
        <v>126</v>
      </c>
      <c r="L15299" s="45">
        <v>46013.645833333336</v>
      </c>
      <c r="M15299" s="46" t="s">
        <v>123</v>
      </c>
      <c r="N15299" s="45">
        <v>46013.65625</v>
      </c>
      <c r="O15299" s="46" t="s">
        <v>123</v>
      </c>
      <c r="P15299" s="46">
        <v>900.0</v>
      </c>
    </row>
    <row r="15300">
      <c r="A15300" s="40">
        <f t="shared" si="1"/>
        <v>46013</v>
      </c>
      <c r="B15300" s="37" t="str">
        <f t="array" ref="B15300">iferror(xlookup($I15300, 'IMPORT VHC Report'!$E:$E, 'IMPORT VHC Report'!$A:$C), )</f>
        <v/>
      </c>
      <c r="C15300" s="44"/>
      <c r="D15300" s="44"/>
      <c r="E15300" s="46" t="s">
        <v>11464</v>
      </c>
      <c r="F15300" s="46" t="s">
        <v>5991</v>
      </c>
      <c r="G15300" s="46">
        <v>3.61731791575E11</v>
      </c>
      <c r="H15300" s="46" t="s">
        <v>5992</v>
      </c>
      <c r="I15300" s="46" t="s">
        <v>5993</v>
      </c>
      <c r="J15300" s="46" t="s">
        <v>132</v>
      </c>
      <c r="K15300" s="46" t="s">
        <v>126</v>
      </c>
      <c r="L15300" s="45">
        <v>46013.78125</v>
      </c>
      <c r="M15300" s="46" t="s">
        <v>123</v>
      </c>
      <c r="N15300" s="45">
        <v>46013.822916666664</v>
      </c>
      <c r="O15300" s="46" t="s">
        <v>123</v>
      </c>
      <c r="P15300" s="46">
        <v>3600.0</v>
      </c>
    </row>
    <row r="15301">
      <c r="A15301" s="40">
        <f t="shared" si="1"/>
        <v>46013</v>
      </c>
      <c r="B15301" s="37" t="str">
        <f t="array" ref="B15301">iferror(xlookup($I15301, 'IMPORT VHC Report'!$E:$E, 'IMPORT VHC Report'!$A:$C), )</f>
        <v/>
      </c>
      <c r="C15301" s="44"/>
      <c r="D15301" s="44"/>
      <c r="E15301" s="46" t="s">
        <v>11465</v>
      </c>
      <c r="F15301" s="46" t="s">
        <v>5991</v>
      </c>
      <c r="G15301" s="46">
        <v>3.61731791575E11</v>
      </c>
      <c r="H15301" s="46" t="s">
        <v>5992</v>
      </c>
      <c r="I15301" s="46" t="s">
        <v>5993</v>
      </c>
      <c r="J15301" s="46" t="s">
        <v>134</v>
      </c>
      <c r="K15301" s="46" t="s">
        <v>126</v>
      </c>
      <c r="L15301" s="45">
        <v>46013.885416666664</v>
      </c>
      <c r="M15301" s="46" t="s">
        <v>123</v>
      </c>
      <c r="N15301" s="45">
        <v>46013.895833333336</v>
      </c>
      <c r="O15301" s="46" t="s">
        <v>123</v>
      </c>
      <c r="P15301" s="46">
        <v>900.0</v>
      </c>
    </row>
    <row r="15302">
      <c r="A15302" s="40">
        <f t="shared" si="1"/>
        <v>46013</v>
      </c>
      <c r="B15302" s="37" t="str">
        <f t="array" ref="B15302">iferror(xlookup($I15302, 'IMPORT VHC Report'!$E:$E, 'IMPORT VHC Report'!$A:$C), )</f>
        <v/>
      </c>
      <c r="C15302" s="44"/>
      <c r="D15302" s="44"/>
      <c r="E15302" s="46" t="s">
        <v>11466</v>
      </c>
      <c r="F15302" s="46" t="s">
        <v>5991</v>
      </c>
      <c r="G15302" s="46">
        <v>3.61731791575E11</v>
      </c>
      <c r="H15302" s="46" t="s">
        <v>5992</v>
      </c>
      <c r="I15302" s="46" t="s">
        <v>5993</v>
      </c>
      <c r="J15302" s="46" t="s">
        <v>5996</v>
      </c>
      <c r="K15302" s="46" t="s">
        <v>63</v>
      </c>
      <c r="L15302" s="45">
        <v>46014.583333333336</v>
      </c>
      <c r="M15302" s="46" t="s">
        <v>123</v>
      </c>
      <c r="N15302" s="45">
        <v>46014.958333333336</v>
      </c>
      <c r="O15302" s="46" t="s">
        <v>123</v>
      </c>
      <c r="P15302" s="46">
        <v>32400.0</v>
      </c>
    </row>
    <row r="15303">
      <c r="A15303" s="40">
        <f t="shared" si="1"/>
        <v>46013</v>
      </c>
      <c r="B15303" s="37" t="str">
        <f t="array" ref="B15303">iferror(xlookup($I15303, 'IMPORT VHC Report'!$E:$E, 'IMPORT VHC Report'!$A:$C), )</f>
        <v/>
      </c>
      <c r="C15303" s="44"/>
      <c r="D15303" s="44"/>
      <c r="E15303" s="46" t="s">
        <v>11467</v>
      </c>
      <c r="F15303" s="46" t="s">
        <v>5991</v>
      </c>
      <c r="G15303" s="46">
        <v>3.61731791575E11</v>
      </c>
      <c r="H15303" s="46" t="s">
        <v>5992</v>
      </c>
      <c r="I15303" s="46" t="s">
        <v>5993</v>
      </c>
      <c r="J15303" s="46" t="s">
        <v>134</v>
      </c>
      <c r="K15303" s="46" t="s">
        <v>126</v>
      </c>
      <c r="L15303" s="45">
        <v>46014.677083333336</v>
      </c>
      <c r="M15303" s="46" t="s">
        <v>123</v>
      </c>
      <c r="N15303" s="45">
        <v>46014.6875</v>
      </c>
      <c r="O15303" s="46" t="s">
        <v>123</v>
      </c>
      <c r="P15303" s="46">
        <v>900.0</v>
      </c>
    </row>
    <row r="15304">
      <c r="A15304" s="40">
        <f t="shared" si="1"/>
        <v>46013</v>
      </c>
      <c r="B15304" s="37" t="str">
        <f t="array" ref="B15304">iferror(xlookup($I15304, 'IMPORT VHC Report'!$E:$E, 'IMPORT VHC Report'!$A:$C), )</f>
        <v/>
      </c>
      <c r="C15304" s="44"/>
      <c r="D15304" s="44"/>
      <c r="E15304" s="46" t="s">
        <v>11468</v>
      </c>
      <c r="F15304" s="46" t="s">
        <v>5991</v>
      </c>
      <c r="G15304" s="46">
        <v>3.61731791575E11</v>
      </c>
      <c r="H15304" s="46" t="s">
        <v>5992</v>
      </c>
      <c r="I15304" s="46" t="s">
        <v>5993</v>
      </c>
      <c r="J15304" s="46" t="s">
        <v>132</v>
      </c>
      <c r="K15304" s="46" t="s">
        <v>126</v>
      </c>
      <c r="L15304" s="45">
        <v>46014.75</v>
      </c>
      <c r="M15304" s="46" t="s">
        <v>123</v>
      </c>
      <c r="N15304" s="45">
        <v>46014.791666666664</v>
      </c>
      <c r="O15304" s="46" t="s">
        <v>123</v>
      </c>
      <c r="P15304" s="46">
        <v>3600.0</v>
      </c>
    </row>
    <row r="15305">
      <c r="A15305" s="40">
        <f t="shared" si="1"/>
        <v>46013</v>
      </c>
      <c r="B15305" s="37" t="str">
        <f t="array" ref="B15305">iferror(xlookup($I15305, 'IMPORT VHC Report'!$E:$E, 'IMPORT VHC Report'!$A:$C), )</f>
        <v/>
      </c>
      <c r="C15305" s="44"/>
      <c r="D15305" s="44"/>
      <c r="E15305" s="46" t="s">
        <v>11469</v>
      </c>
      <c r="F15305" s="46" t="s">
        <v>5991</v>
      </c>
      <c r="G15305" s="46">
        <v>3.61731791575E11</v>
      </c>
      <c r="H15305" s="46" t="s">
        <v>5992</v>
      </c>
      <c r="I15305" s="46" t="s">
        <v>5993</v>
      </c>
      <c r="J15305" s="46" t="s">
        <v>134</v>
      </c>
      <c r="K15305" s="46" t="s">
        <v>126</v>
      </c>
      <c r="L15305" s="45">
        <v>46014.875</v>
      </c>
      <c r="M15305" s="46" t="s">
        <v>123</v>
      </c>
      <c r="N15305" s="45">
        <v>46014.885416666664</v>
      </c>
      <c r="O15305" s="46" t="s">
        <v>123</v>
      </c>
      <c r="P15305" s="46">
        <v>900.0</v>
      </c>
    </row>
    <row r="15306">
      <c r="A15306" s="40">
        <f t="shared" si="1"/>
        <v>46013</v>
      </c>
      <c r="B15306" s="37" t="str">
        <f t="array" ref="B15306">iferror(xlookup($I15306, 'IMPORT VHC Report'!$E:$E, 'IMPORT VHC Report'!$A:$C), )</f>
        <v/>
      </c>
      <c r="C15306" s="44"/>
      <c r="D15306" s="44"/>
      <c r="E15306" s="46" t="s">
        <v>11470</v>
      </c>
      <c r="F15306" s="46" t="s">
        <v>5991</v>
      </c>
      <c r="G15306" s="46">
        <v>3.61731791575E11</v>
      </c>
      <c r="H15306" s="46" t="s">
        <v>5992</v>
      </c>
      <c r="I15306" s="46" t="s">
        <v>5993</v>
      </c>
      <c r="J15306" s="46" t="s">
        <v>5996</v>
      </c>
      <c r="K15306" s="46" t="s">
        <v>63</v>
      </c>
      <c r="L15306" s="45">
        <v>46015.583333333336</v>
      </c>
      <c r="M15306" s="46" t="s">
        <v>123</v>
      </c>
      <c r="N15306" s="45">
        <v>46015.958333333336</v>
      </c>
      <c r="O15306" s="46" t="s">
        <v>123</v>
      </c>
      <c r="P15306" s="46">
        <v>32400.0</v>
      </c>
    </row>
    <row r="15307">
      <c r="A15307" s="40">
        <f t="shared" si="1"/>
        <v>46013</v>
      </c>
      <c r="B15307" s="37" t="str">
        <f t="array" ref="B15307">iferror(xlookup($I15307, 'IMPORT VHC Report'!$E:$E, 'IMPORT VHC Report'!$A:$C), )</f>
        <v/>
      </c>
      <c r="C15307" s="44"/>
      <c r="D15307" s="44"/>
      <c r="E15307" s="46" t="s">
        <v>11471</v>
      </c>
      <c r="F15307" s="46" t="s">
        <v>5991</v>
      </c>
      <c r="G15307" s="46">
        <v>3.61731791575E11</v>
      </c>
      <c r="H15307" s="46" t="s">
        <v>5992</v>
      </c>
      <c r="I15307" s="46" t="s">
        <v>5993</v>
      </c>
      <c r="J15307" s="46" t="s">
        <v>134</v>
      </c>
      <c r="K15307" s="46" t="s">
        <v>126</v>
      </c>
      <c r="L15307" s="45">
        <v>46015.6875</v>
      </c>
      <c r="M15307" s="46" t="s">
        <v>123</v>
      </c>
      <c r="N15307" s="45">
        <v>46015.697916666664</v>
      </c>
      <c r="O15307" s="46" t="s">
        <v>123</v>
      </c>
      <c r="P15307" s="46">
        <v>900.0</v>
      </c>
    </row>
    <row r="15308">
      <c r="A15308" s="40">
        <f t="shared" si="1"/>
        <v>46013</v>
      </c>
      <c r="B15308" s="37" t="str">
        <f t="array" ref="B15308">iferror(xlookup($I15308, 'IMPORT VHC Report'!$E:$E, 'IMPORT VHC Report'!$A:$C), )</f>
        <v/>
      </c>
      <c r="C15308" s="44"/>
      <c r="D15308" s="44"/>
      <c r="E15308" s="46" t="s">
        <v>11472</v>
      </c>
      <c r="F15308" s="46" t="s">
        <v>5991</v>
      </c>
      <c r="G15308" s="46">
        <v>3.61731791575E11</v>
      </c>
      <c r="H15308" s="46" t="s">
        <v>5992</v>
      </c>
      <c r="I15308" s="46" t="s">
        <v>5993</v>
      </c>
      <c r="J15308" s="46" t="s">
        <v>132</v>
      </c>
      <c r="K15308" s="46" t="s">
        <v>126</v>
      </c>
      <c r="L15308" s="45">
        <v>46015.770833333336</v>
      </c>
      <c r="M15308" s="46" t="s">
        <v>123</v>
      </c>
      <c r="N15308" s="45">
        <v>46015.8125</v>
      </c>
      <c r="O15308" s="46" t="s">
        <v>123</v>
      </c>
      <c r="P15308" s="46">
        <v>3600.0</v>
      </c>
    </row>
    <row r="15309">
      <c r="A15309" s="40">
        <f t="shared" si="1"/>
        <v>46013</v>
      </c>
      <c r="B15309" s="37" t="str">
        <f t="array" ref="B15309">iferror(xlookup($I15309, 'IMPORT VHC Report'!$E:$E, 'IMPORT VHC Report'!$A:$C), )</f>
        <v/>
      </c>
      <c r="C15309" s="44"/>
      <c r="D15309" s="44"/>
      <c r="E15309" s="46" t="s">
        <v>11473</v>
      </c>
      <c r="F15309" s="46" t="s">
        <v>5991</v>
      </c>
      <c r="G15309" s="46">
        <v>3.61731791575E11</v>
      </c>
      <c r="H15309" s="46" t="s">
        <v>5992</v>
      </c>
      <c r="I15309" s="46" t="s">
        <v>5993</v>
      </c>
      <c r="J15309" s="46" t="s">
        <v>134</v>
      </c>
      <c r="K15309" s="46" t="s">
        <v>126</v>
      </c>
      <c r="L15309" s="45">
        <v>46015.875</v>
      </c>
      <c r="M15309" s="46" t="s">
        <v>123</v>
      </c>
      <c r="N15309" s="45">
        <v>46015.885416666664</v>
      </c>
      <c r="O15309" s="46" t="s">
        <v>123</v>
      </c>
      <c r="P15309" s="46">
        <v>900.0</v>
      </c>
    </row>
    <row r="15310">
      <c r="A15310" s="40">
        <f t="shared" si="1"/>
        <v>46013</v>
      </c>
      <c r="B15310" s="37" t="str">
        <f t="array" ref="B15310">iferror(xlookup($I15310, 'IMPORT VHC Report'!$E:$E, 'IMPORT VHC Report'!$A:$C), )</f>
        <v/>
      </c>
      <c r="C15310" s="44"/>
      <c r="D15310" s="44"/>
      <c r="E15310" s="46" t="s">
        <v>11474</v>
      </c>
      <c r="F15310" s="46" t="s">
        <v>5991</v>
      </c>
      <c r="G15310" s="46">
        <v>3.61731791575E11</v>
      </c>
      <c r="H15310" s="46" t="s">
        <v>5992</v>
      </c>
      <c r="I15310" s="46" t="s">
        <v>5993</v>
      </c>
      <c r="J15310" s="46" t="s">
        <v>5996</v>
      </c>
      <c r="K15310" s="46" t="s">
        <v>63</v>
      </c>
      <c r="L15310" s="45">
        <v>46016.583333333336</v>
      </c>
      <c r="M15310" s="46" t="s">
        <v>123</v>
      </c>
      <c r="N15310" s="45">
        <v>46016.958333333336</v>
      </c>
      <c r="O15310" s="46" t="s">
        <v>123</v>
      </c>
      <c r="P15310" s="46">
        <v>32400.0</v>
      </c>
    </row>
    <row r="15311">
      <c r="A15311" s="40">
        <f t="shared" si="1"/>
        <v>46013</v>
      </c>
      <c r="B15311" s="37" t="str">
        <f t="array" ref="B15311">iferror(xlookup($I15311, 'IMPORT VHC Report'!$E:$E, 'IMPORT VHC Report'!$A:$C), )</f>
        <v/>
      </c>
      <c r="C15311" s="44"/>
      <c r="D15311" s="44"/>
      <c r="E15311" s="46" t="s">
        <v>11475</v>
      </c>
      <c r="F15311" s="46" t="s">
        <v>5991</v>
      </c>
      <c r="G15311" s="46">
        <v>3.61731791575E11</v>
      </c>
      <c r="H15311" s="46" t="s">
        <v>5992</v>
      </c>
      <c r="I15311" s="46" t="s">
        <v>5993</v>
      </c>
      <c r="J15311" s="46" t="s">
        <v>134</v>
      </c>
      <c r="K15311" s="46" t="s">
        <v>126</v>
      </c>
      <c r="L15311" s="45">
        <v>46016.6875</v>
      </c>
      <c r="M15311" s="46" t="s">
        <v>123</v>
      </c>
      <c r="N15311" s="45">
        <v>46016.697916666664</v>
      </c>
      <c r="O15311" s="46" t="s">
        <v>123</v>
      </c>
      <c r="P15311" s="46">
        <v>900.0</v>
      </c>
    </row>
    <row r="15312">
      <c r="A15312" s="40">
        <f t="shared" si="1"/>
        <v>46013</v>
      </c>
      <c r="B15312" s="37" t="str">
        <f t="array" ref="B15312">iferror(xlookup($I15312, 'IMPORT VHC Report'!$E:$E, 'IMPORT VHC Report'!$A:$C), )</f>
        <v/>
      </c>
      <c r="C15312" s="44"/>
      <c r="D15312" s="44"/>
      <c r="E15312" s="46" t="s">
        <v>11476</v>
      </c>
      <c r="F15312" s="46" t="s">
        <v>5991</v>
      </c>
      <c r="G15312" s="46">
        <v>3.61731791575E11</v>
      </c>
      <c r="H15312" s="46" t="s">
        <v>5992</v>
      </c>
      <c r="I15312" s="46" t="s">
        <v>5993</v>
      </c>
      <c r="J15312" s="46" t="s">
        <v>132</v>
      </c>
      <c r="K15312" s="46" t="s">
        <v>126</v>
      </c>
      <c r="L15312" s="45">
        <v>46016.760416666664</v>
      </c>
      <c r="M15312" s="46" t="s">
        <v>123</v>
      </c>
      <c r="N15312" s="45">
        <v>46016.802083333336</v>
      </c>
      <c r="O15312" s="46" t="s">
        <v>123</v>
      </c>
      <c r="P15312" s="46">
        <v>3600.0</v>
      </c>
    </row>
    <row r="15313">
      <c r="A15313" s="40">
        <f t="shared" si="1"/>
        <v>46013</v>
      </c>
      <c r="B15313" s="37" t="str">
        <f t="array" ref="B15313">iferror(xlookup($I15313, 'IMPORT VHC Report'!$E:$E, 'IMPORT VHC Report'!$A:$C), )</f>
        <v/>
      </c>
      <c r="C15313" s="44"/>
      <c r="D15313" s="44"/>
      <c r="E15313" s="46" t="s">
        <v>11477</v>
      </c>
      <c r="F15313" s="46" t="s">
        <v>5991</v>
      </c>
      <c r="G15313" s="46">
        <v>3.61731791575E11</v>
      </c>
      <c r="H15313" s="46" t="s">
        <v>5992</v>
      </c>
      <c r="I15313" s="46" t="s">
        <v>5993</v>
      </c>
      <c r="J15313" s="46" t="s">
        <v>134</v>
      </c>
      <c r="K15313" s="46" t="s">
        <v>126</v>
      </c>
      <c r="L15313" s="45">
        <v>46016.875</v>
      </c>
      <c r="M15313" s="46" t="s">
        <v>123</v>
      </c>
      <c r="N15313" s="45">
        <v>46016.885416666664</v>
      </c>
      <c r="O15313" s="46" t="s">
        <v>123</v>
      </c>
      <c r="P15313" s="46">
        <v>900.0</v>
      </c>
    </row>
    <row r="15314">
      <c r="A15314" s="40">
        <f t="shared" si="1"/>
        <v>46013</v>
      </c>
      <c r="B15314" s="37" t="str">
        <f t="array" ref="B15314">iferror(xlookup($I15314, 'IMPORT VHC Report'!$E:$E, 'IMPORT VHC Report'!$A:$C), )</f>
        <v/>
      </c>
      <c r="C15314" s="44"/>
      <c r="D15314" s="44"/>
      <c r="E15314" s="46" t="s">
        <v>11478</v>
      </c>
      <c r="F15314" s="46" t="s">
        <v>5991</v>
      </c>
      <c r="G15314" s="46">
        <v>3.61731791575E11</v>
      </c>
      <c r="H15314" s="46" t="s">
        <v>5992</v>
      </c>
      <c r="I15314" s="46" t="s">
        <v>5993</v>
      </c>
      <c r="J15314" s="46" t="s">
        <v>5996</v>
      </c>
      <c r="K15314" s="46" t="s">
        <v>63</v>
      </c>
      <c r="L15314" s="45">
        <v>46017.583333333336</v>
      </c>
      <c r="M15314" s="46" t="s">
        <v>123</v>
      </c>
      <c r="N15314" s="45">
        <v>46017.958333333336</v>
      </c>
      <c r="O15314" s="46" t="s">
        <v>123</v>
      </c>
      <c r="P15314" s="46">
        <v>32400.0</v>
      </c>
    </row>
    <row r="15315">
      <c r="A15315" s="40">
        <f t="shared" si="1"/>
        <v>46013</v>
      </c>
      <c r="B15315" s="37" t="str">
        <f t="array" ref="B15315">iferror(xlookup($I15315, 'IMPORT VHC Report'!$E:$E, 'IMPORT VHC Report'!$A:$C), )</f>
        <v/>
      </c>
      <c r="C15315" s="44"/>
      <c r="D15315" s="44"/>
      <c r="E15315" s="46" t="s">
        <v>11479</v>
      </c>
      <c r="F15315" s="46" t="s">
        <v>5991</v>
      </c>
      <c r="G15315" s="46">
        <v>3.61731791575E11</v>
      </c>
      <c r="H15315" s="46" t="s">
        <v>5992</v>
      </c>
      <c r="I15315" s="46" t="s">
        <v>5993</v>
      </c>
      <c r="J15315" s="46" t="s">
        <v>134</v>
      </c>
      <c r="K15315" s="46" t="s">
        <v>126</v>
      </c>
      <c r="L15315" s="45">
        <v>46017.677083333336</v>
      </c>
      <c r="M15315" s="46" t="s">
        <v>123</v>
      </c>
      <c r="N15315" s="45">
        <v>46017.6875</v>
      </c>
      <c r="O15315" s="46" t="s">
        <v>123</v>
      </c>
      <c r="P15315" s="46">
        <v>900.0</v>
      </c>
    </row>
    <row r="15316">
      <c r="A15316" s="40">
        <f t="shared" si="1"/>
        <v>46013</v>
      </c>
      <c r="B15316" s="37" t="str">
        <f t="array" ref="B15316">iferror(xlookup($I15316, 'IMPORT VHC Report'!$E:$E, 'IMPORT VHC Report'!$A:$C), )</f>
        <v/>
      </c>
      <c r="C15316" s="44"/>
      <c r="D15316" s="44"/>
      <c r="E15316" s="46" t="s">
        <v>11480</v>
      </c>
      <c r="F15316" s="46" t="s">
        <v>5991</v>
      </c>
      <c r="G15316" s="46">
        <v>3.61731791575E11</v>
      </c>
      <c r="H15316" s="46" t="s">
        <v>5992</v>
      </c>
      <c r="I15316" s="46" t="s">
        <v>5993</v>
      </c>
      <c r="J15316" s="46" t="s">
        <v>132</v>
      </c>
      <c r="K15316" s="46" t="s">
        <v>126</v>
      </c>
      <c r="L15316" s="45">
        <v>46017.75</v>
      </c>
      <c r="M15316" s="46" t="s">
        <v>123</v>
      </c>
      <c r="N15316" s="45">
        <v>46017.791666666664</v>
      </c>
      <c r="O15316" s="46" t="s">
        <v>123</v>
      </c>
      <c r="P15316" s="46">
        <v>3600.0</v>
      </c>
    </row>
    <row r="15317">
      <c r="A15317" s="40">
        <f t="shared" si="1"/>
        <v>46013</v>
      </c>
      <c r="B15317" s="37" t="str">
        <f t="array" ref="B15317">iferror(xlookup($I15317, 'IMPORT VHC Report'!$E:$E, 'IMPORT VHC Report'!$A:$C), )</f>
        <v/>
      </c>
      <c r="C15317" s="44"/>
      <c r="D15317" s="44"/>
      <c r="E15317" s="46" t="s">
        <v>11481</v>
      </c>
      <c r="F15317" s="46" t="s">
        <v>5991</v>
      </c>
      <c r="G15317" s="46">
        <v>3.61731791575E11</v>
      </c>
      <c r="H15317" s="46" t="s">
        <v>5992</v>
      </c>
      <c r="I15317" s="46" t="s">
        <v>5993</v>
      </c>
      <c r="J15317" s="46" t="s">
        <v>134</v>
      </c>
      <c r="K15317" s="46" t="s">
        <v>126</v>
      </c>
      <c r="L15317" s="45">
        <v>46017.864583333336</v>
      </c>
      <c r="M15317" s="46" t="s">
        <v>123</v>
      </c>
      <c r="N15317" s="45">
        <v>46017.875</v>
      </c>
      <c r="O15317" s="46" t="s">
        <v>123</v>
      </c>
      <c r="P15317" s="46">
        <v>900.0</v>
      </c>
    </row>
    <row r="15318">
      <c r="A15318" s="40">
        <f t="shared" si="1"/>
        <v>46013</v>
      </c>
      <c r="B15318" s="37" t="str">
        <f t="array" ref="B15318">iferror(xlookup($I15318, 'IMPORT VHC Report'!$E:$E, 'IMPORT VHC Report'!$A:$C), )</f>
        <v/>
      </c>
      <c r="C15318" s="44"/>
      <c r="D15318" s="44"/>
      <c r="E15318" s="46" t="s">
        <v>11482</v>
      </c>
      <c r="F15318" s="46" t="s">
        <v>7029</v>
      </c>
      <c r="G15318" s="46">
        <v>3.61726424916E11</v>
      </c>
      <c r="H15318" s="46" t="s">
        <v>7030</v>
      </c>
      <c r="I15318" s="46" t="s">
        <v>7031</v>
      </c>
      <c r="J15318" s="46" t="s">
        <v>5996</v>
      </c>
      <c r="K15318" s="46" t="s">
        <v>63</v>
      </c>
      <c r="L15318" s="45">
        <v>46014.5</v>
      </c>
      <c r="M15318" s="46" t="s">
        <v>123</v>
      </c>
      <c r="N15318" s="45">
        <v>46014.875</v>
      </c>
      <c r="O15318" s="46" t="s">
        <v>123</v>
      </c>
      <c r="P15318" s="46">
        <v>32400.0</v>
      </c>
    </row>
    <row r="15319">
      <c r="A15319" s="40">
        <f t="shared" si="1"/>
        <v>46013</v>
      </c>
      <c r="B15319" s="37" t="str">
        <f t="array" ref="B15319">iferror(xlookup($I15319, 'IMPORT VHC Report'!$E:$E, 'IMPORT VHC Report'!$A:$C), )</f>
        <v/>
      </c>
      <c r="C15319" s="44"/>
      <c r="D15319" s="44"/>
      <c r="E15319" s="46" t="s">
        <v>11483</v>
      </c>
      <c r="F15319" s="46" t="s">
        <v>7029</v>
      </c>
      <c r="G15319" s="46">
        <v>3.61726424916E11</v>
      </c>
      <c r="H15319" s="46" t="s">
        <v>7030</v>
      </c>
      <c r="I15319" s="46" t="s">
        <v>7031</v>
      </c>
      <c r="J15319" s="46" t="s">
        <v>134</v>
      </c>
      <c r="K15319" s="46" t="s">
        <v>126</v>
      </c>
      <c r="L15319" s="45">
        <v>46014.59375</v>
      </c>
      <c r="M15319" s="46" t="s">
        <v>123</v>
      </c>
      <c r="N15319" s="45">
        <v>46014.604166666664</v>
      </c>
      <c r="O15319" s="46" t="s">
        <v>123</v>
      </c>
      <c r="P15319" s="46">
        <v>900.0</v>
      </c>
    </row>
    <row r="15320">
      <c r="A15320" s="40">
        <f t="shared" si="1"/>
        <v>46013</v>
      </c>
      <c r="B15320" s="37" t="str">
        <f t="array" ref="B15320">iferror(xlookup($I15320, 'IMPORT VHC Report'!$E:$E, 'IMPORT VHC Report'!$A:$C), )</f>
        <v/>
      </c>
      <c r="C15320" s="44"/>
      <c r="D15320" s="44"/>
      <c r="E15320" s="46" t="s">
        <v>11484</v>
      </c>
      <c r="F15320" s="46" t="s">
        <v>7029</v>
      </c>
      <c r="G15320" s="46">
        <v>3.61726424916E11</v>
      </c>
      <c r="H15320" s="46" t="s">
        <v>7030</v>
      </c>
      <c r="I15320" s="46" t="s">
        <v>7031</v>
      </c>
      <c r="J15320" s="46" t="s">
        <v>132</v>
      </c>
      <c r="K15320" s="46" t="s">
        <v>126</v>
      </c>
      <c r="L15320" s="45">
        <v>46014.677083333336</v>
      </c>
      <c r="M15320" s="46" t="s">
        <v>123</v>
      </c>
      <c r="N15320" s="45">
        <v>46014.71875</v>
      </c>
      <c r="O15320" s="46" t="s">
        <v>123</v>
      </c>
      <c r="P15320" s="46">
        <v>3600.0</v>
      </c>
    </row>
    <row r="15321">
      <c r="A15321" s="40">
        <f t="shared" si="1"/>
        <v>46013</v>
      </c>
      <c r="B15321" s="37" t="str">
        <f t="array" ref="B15321">iferror(xlookup($I15321, 'IMPORT VHC Report'!$E:$E, 'IMPORT VHC Report'!$A:$C), )</f>
        <v/>
      </c>
      <c r="C15321" s="44"/>
      <c r="D15321" s="44"/>
      <c r="E15321" s="46" t="s">
        <v>11485</v>
      </c>
      <c r="F15321" s="46" t="s">
        <v>7029</v>
      </c>
      <c r="G15321" s="46">
        <v>3.61726424916E11</v>
      </c>
      <c r="H15321" s="46" t="s">
        <v>7030</v>
      </c>
      <c r="I15321" s="46" t="s">
        <v>7031</v>
      </c>
      <c r="J15321" s="46" t="s">
        <v>134</v>
      </c>
      <c r="K15321" s="46" t="s">
        <v>126</v>
      </c>
      <c r="L15321" s="45">
        <v>46014.78125</v>
      </c>
      <c r="M15321" s="46" t="s">
        <v>123</v>
      </c>
      <c r="N15321" s="45">
        <v>46014.791666666664</v>
      </c>
      <c r="O15321" s="46" t="s">
        <v>123</v>
      </c>
      <c r="P15321" s="46">
        <v>900.0</v>
      </c>
    </row>
    <row r="15322">
      <c r="A15322" s="40">
        <f t="shared" si="1"/>
        <v>46013</v>
      </c>
      <c r="B15322" s="37" t="str">
        <f t="array" ref="B15322">iferror(xlookup($I15322, 'IMPORT VHC Report'!$E:$E, 'IMPORT VHC Report'!$A:$C), )</f>
        <v/>
      </c>
      <c r="C15322" s="44"/>
      <c r="D15322" s="44"/>
      <c r="E15322" s="46" t="s">
        <v>11486</v>
      </c>
      <c r="F15322" s="46" t="s">
        <v>7029</v>
      </c>
      <c r="G15322" s="46">
        <v>3.61726424916E11</v>
      </c>
      <c r="H15322" s="46" t="s">
        <v>7030</v>
      </c>
      <c r="I15322" s="46" t="s">
        <v>7031</v>
      </c>
      <c r="J15322" s="46" t="s">
        <v>5996</v>
      </c>
      <c r="K15322" s="46" t="s">
        <v>63</v>
      </c>
      <c r="L15322" s="45">
        <v>46015.5</v>
      </c>
      <c r="M15322" s="46" t="s">
        <v>123</v>
      </c>
      <c r="N15322" s="45">
        <v>46015.875</v>
      </c>
      <c r="O15322" s="46" t="s">
        <v>123</v>
      </c>
      <c r="P15322" s="46">
        <v>32400.0</v>
      </c>
    </row>
    <row r="15323">
      <c r="A15323" s="40">
        <f t="shared" si="1"/>
        <v>46013</v>
      </c>
      <c r="B15323" s="37" t="str">
        <f t="array" ref="B15323">iferror(xlookup($I15323, 'IMPORT VHC Report'!$E:$E, 'IMPORT VHC Report'!$A:$C), )</f>
        <v/>
      </c>
      <c r="C15323" s="44"/>
      <c r="D15323" s="44"/>
      <c r="E15323" s="46" t="s">
        <v>11487</v>
      </c>
      <c r="F15323" s="46" t="s">
        <v>7029</v>
      </c>
      <c r="G15323" s="46">
        <v>3.61726424916E11</v>
      </c>
      <c r="H15323" s="46" t="s">
        <v>7030</v>
      </c>
      <c r="I15323" s="46" t="s">
        <v>7031</v>
      </c>
      <c r="J15323" s="46" t="s">
        <v>134</v>
      </c>
      <c r="K15323" s="46" t="s">
        <v>126</v>
      </c>
      <c r="L15323" s="45">
        <v>46015.583333333336</v>
      </c>
      <c r="M15323" s="46" t="s">
        <v>123</v>
      </c>
      <c r="N15323" s="45">
        <v>46015.59375</v>
      </c>
      <c r="O15323" s="46" t="s">
        <v>123</v>
      </c>
      <c r="P15323" s="46">
        <v>900.0</v>
      </c>
    </row>
    <row r="15324">
      <c r="A15324" s="40">
        <f t="shared" si="1"/>
        <v>46013</v>
      </c>
      <c r="B15324" s="37" t="str">
        <f t="array" ref="B15324">iferror(xlookup($I15324, 'IMPORT VHC Report'!$E:$E, 'IMPORT VHC Report'!$A:$C), )</f>
        <v/>
      </c>
      <c r="C15324" s="44"/>
      <c r="D15324" s="44"/>
      <c r="E15324" s="46" t="s">
        <v>11488</v>
      </c>
      <c r="F15324" s="46" t="s">
        <v>7029</v>
      </c>
      <c r="G15324" s="46">
        <v>3.61726424916E11</v>
      </c>
      <c r="H15324" s="46" t="s">
        <v>7030</v>
      </c>
      <c r="I15324" s="46" t="s">
        <v>7031</v>
      </c>
      <c r="J15324" s="46" t="s">
        <v>132</v>
      </c>
      <c r="K15324" s="46" t="s">
        <v>126</v>
      </c>
      <c r="L15324" s="45">
        <v>46015.65625</v>
      </c>
      <c r="M15324" s="46" t="s">
        <v>123</v>
      </c>
      <c r="N15324" s="45">
        <v>46015.697916666664</v>
      </c>
      <c r="O15324" s="46" t="s">
        <v>123</v>
      </c>
      <c r="P15324" s="46">
        <v>3600.0</v>
      </c>
    </row>
    <row r="15325">
      <c r="A15325" s="40">
        <f t="shared" si="1"/>
        <v>46013</v>
      </c>
      <c r="B15325" s="37" t="str">
        <f t="array" ref="B15325">iferror(xlookup($I15325, 'IMPORT VHC Report'!$E:$E, 'IMPORT VHC Report'!$A:$C), )</f>
        <v/>
      </c>
      <c r="C15325" s="44"/>
      <c r="D15325" s="44"/>
      <c r="E15325" s="46" t="s">
        <v>11489</v>
      </c>
      <c r="F15325" s="46" t="s">
        <v>7029</v>
      </c>
      <c r="G15325" s="46">
        <v>3.61726424916E11</v>
      </c>
      <c r="H15325" s="46" t="s">
        <v>7030</v>
      </c>
      <c r="I15325" s="46" t="s">
        <v>7031</v>
      </c>
      <c r="J15325" s="46" t="s">
        <v>134</v>
      </c>
      <c r="K15325" s="46" t="s">
        <v>126</v>
      </c>
      <c r="L15325" s="45">
        <v>46015.760416666664</v>
      </c>
      <c r="M15325" s="46" t="s">
        <v>123</v>
      </c>
      <c r="N15325" s="45">
        <v>46015.770833333336</v>
      </c>
      <c r="O15325" s="46" t="s">
        <v>123</v>
      </c>
      <c r="P15325" s="46">
        <v>900.0</v>
      </c>
    </row>
    <row r="15326">
      <c r="A15326" s="40">
        <f t="shared" si="1"/>
        <v>46013</v>
      </c>
      <c r="B15326" s="37" t="str">
        <f t="array" ref="B15326">iferror(xlookup($I15326, 'IMPORT VHC Report'!$E:$E, 'IMPORT VHC Report'!$A:$C), )</f>
        <v/>
      </c>
      <c r="C15326" s="44"/>
      <c r="D15326" s="44"/>
      <c r="E15326" s="46" t="s">
        <v>11490</v>
      </c>
      <c r="F15326" s="46" t="s">
        <v>7029</v>
      </c>
      <c r="G15326" s="46">
        <v>3.61726424916E11</v>
      </c>
      <c r="H15326" s="46" t="s">
        <v>7030</v>
      </c>
      <c r="I15326" s="46" t="s">
        <v>7031</v>
      </c>
      <c r="J15326" s="46" t="s">
        <v>5996</v>
      </c>
      <c r="K15326" s="46" t="s">
        <v>63</v>
      </c>
      <c r="L15326" s="45">
        <v>46016.5</v>
      </c>
      <c r="M15326" s="46" t="s">
        <v>123</v>
      </c>
      <c r="N15326" s="45">
        <v>46016.875</v>
      </c>
      <c r="O15326" s="46" t="s">
        <v>123</v>
      </c>
      <c r="P15326" s="46">
        <v>32400.0</v>
      </c>
    </row>
    <row r="15327">
      <c r="A15327" s="40">
        <f t="shared" si="1"/>
        <v>46013</v>
      </c>
      <c r="B15327" s="37" t="str">
        <f t="array" ref="B15327">iferror(xlookup($I15327, 'IMPORT VHC Report'!$E:$E, 'IMPORT VHC Report'!$A:$C), )</f>
        <v/>
      </c>
      <c r="C15327" s="44"/>
      <c r="D15327" s="44"/>
      <c r="E15327" s="46" t="s">
        <v>11491</v>
      </c>
      <c r="F15327" s="46" t="s">
        <v>7029</v>
      </c>
      <c r="G15327" s="46">
        <v>3.61726424916E11</v>
      </c>
      <c r="H15327" s="46" t="s">
        <v>7030</v>
      </c>
      <c r="I15327" s="46" t="s">
        <v>7031</v>
      </c>
      <c r="J15327" s="46" t="s">
        <v>134</v>
      </c>
      <c r="K15327" s="46" t="s">
        <v>126</v>
      </c>
      <c r="L15327" s="45">
        <v>46016.583333333336</v>
      </c>
      <c r="M15327" s="46" t="s">
        <v>123</v>
      </c>
      <c r="N15327" s="45">
        <v>46016.59375</v>
      </c>
      <c r="O15327" s="46" t="s">
        <v>123</v>
      </c>
      <c r="P15327" s="46">
        <v>900.0</v>
      </c>
    </row>
    <row r="15328">
      <c r="A15328" s="40">
        <f t="shared" si="1"/>
        <v>46013</v>
      </c>
      <c r="B15328" s="37" t="str">
        <f t="array" ref="B15328">iferror(xlookup($I15328, 'IMPORT VHC Report'!$E:$E, 'IMPORT VHC Report'!$A:$C), )</f>
        <v/>
      </c>
      <c r="C15328" s="44"/>
      <c r="D15328" s="44"/>
      <c r="E15328" s="46" t="s">
        <v>11492</v>
      </c>
      <c r="F15328" s="46" t="s">
        <v>7029</v>
      </c>
      <c r="G15328" s="46">
        <v>3.61726424916E11</v>
      </c>
      <c r="H15328" s="46" t="s">
        <v>7030</v>
      </c>
      <c r="I15328" s="46" t="s">
        <v>7031</v>
      </c>
      <c r="J15328" s="46" t="s">
        <v>132</v>
      </c>
      <c r="K15328" s="46" t="s">
        <v>126</v>
      </c>
      <c r="L15328" s="45">
        <v>46016.697916666664</v>
      </c>
      <c r="M15328" s="46" t="s">
        <v>123</v>
      </c>
      <c r="N15328" s="45">
        <v>46016.739583333336</v>
      </c>
      <c r="O15328" s="46" t="s">
        <v>123</v>
      </c>
      <c r="P15328" s="46">
        <v>3600.0</v>
      </c>
    </row>
    <row r="15329">
      <c r="A15329" s="40">
        <f t="shared" si="1"/>
        <v>46013</v>
      </c>
      <c r="B15329" s="37" t="str">
        <f t="array" ref="B15329">iferror(xlookup($I15329, 'IMPORT VHC Report'!$E:$E, 'IMPORT VHC Report'!$A:$C), )</f>
        <v/>
      </c>
      <c r="C15329" s="44"/>
      <c r="D15329" s="44"/>
      <c r="E15329" s="46" t="s">
        <v>11493</v>
      </c>
      <c r="F15329" s="46" t="s">
        <v>7029</v>
      </c>
      <c r="G15329" s="46">
        <v>3.61726424916E11</v>
      </c>
      <c r="H15329" s="46" t="s">
        <v>7030</v>
      </c>
      <c r="I15329" s="46" t="s">
        <v>7031</v>
      </c>
      <c r="J15329" s="46" t="s">
        <v>134</v>
      </c>
      <c r="K15329" s="46" t="s">
        <v>126</v>
      </c>
      <c r="L15329" s="45">
        <v>46016.802083333336</v>
      </c>
      <c r="M15329" s="46" t="s">
        <v>123</v>
      </c>
      <c r="N15329" s="45">
        <v>46016.8125</v>
      </c>
      <c r="O15329" s="46" t="s">
        <v>123</v>
      </c>
      <c r="P15329" s="46">
        <v>900.0</v>
      </c>
    </row>
    <row r="15330">
      <c r="A15330" s="40">
        <f t="shared" si="1"/>
        <v>46013</v>
      </c>
      <c r="B15330" s="37" t="str">
        <f t="array" ref="B15330">iferror(xlookup($I15330, 'IMPORT VHC Report'!$E:$E, 'IMPORT VHC Report'!$A:$C), )</f>
        <v/>
      </c>
      <c r="C15330" s="44"/>
      <c r="D15330" s="44"/>
      <c r="E15330" s="46" t="s">
        <v>11494</v>
      </c>
      <c r="F15330" s="46" t="s">
        <v>7029</v>
      </c>
      <c r="G15330" s="46">
        <v>3.61726424916E11</v>
      </c>
      <c r="H15330" s="46" t="s">
        <v>7030</v>
      </c>
      <c r="I15330" s="46" t="s">
        <v>7031</v>
      </c>
      <c r="J15330" s="46" t="s">
        <v>5996</v>
      </c>
      <c r="K15330" s="46" t="s">
        <v>63</v>
      </c>
      <c r="L15330" s="45">
        <v>46017.5</v>
      </c>
      <c r="M15330" s="46" t="s">
        <v>123</v>
      </c>
      <c r="N15330" s="45">
        <v>46017.875</v>
      </c>
      <c r="O15330" s="46" t="s">
        <v>123</v>
      </c>
      <c r="P15330" s="46">
        <v>32400.0</v>
      </c>
    </row>
    <row r="15331">
      <c r="A15331" s="40">
        <f t="shared" si="1"/>
        <v>46013</v>
      </c>
      <c r="B15331" s="37" t="str">
        <f t="array" ref="B15331">iferror(xlookup($I15331, 'IMPORT VHC Report'!$E:$E, 'IMPORT VHC Report'!$A:$C), )</f>
        <v/>
      </c>
      <c r="C15331" s="44"/>
      <c r="D15331" s="44"/>
      <c r="E15331" s="46" t="s">
        <v>11495</v>
      </c>
      <c r="F15331" s="46" t="s">
        <v>7029</v>
      </c>
      <c r="G15331" s="46">
        <v>3.61726424916E11</v>
      </c>
      <c r="H15331" s="46" t="s">
        <v>7030</v>
      </c>
      <c r="I15331" s="46" t="s">
        <v>7031</v>
      </c>
      <c r="J15331" s="46" t="s">
        <v>134</v>
      </c>
      <c r="K15331" s="46" t="s">
        <v>126</v>
      </c>
      <c r="L15331" s="45">
        <v>46017.604166666664</v>
      </c>
      <c r="M15331" s="46" t="s">
        <v>123</v>
      </c>
      <c r="N15331" s="45">
        <v>46017.614583333336</v>
      </c>
      <c r="O15331" s="46" t="s">
        <v>123</v>
      </c>
      <c r="P15331" s="46">
        <v>900.0</v>
      </c>
    </row>
    <row r="15332">
      <c r="A15332" s="40">
        <f t="shared" si="1"/>
        <v>46013</v>
      </c>
      <c r="B15332" s="37" t="str">
        <f t="array" ref="B15332">iferror(xlookup($I15332, 'IMPORT VHC Report'!$E:$E, 'IMPORT VHC Report'!$A:$C), )</f>
        <v/>
      </c>
      <c r="C15332" s="44"/>
      <c r="D15332" s="44"/>
      <c r="E15332" s="46" t="s">
        <v>11496</v>
      </c>
      <c r="F15332" s="46" t="s">
        <v>7029</v>
      </c>
      <c r="G15332" s="46">
        <v>3.61726424916E11</v>
      </c>
      <c r="H15332" s="46" t="s">
        <v>7030</v>
      </c>
      <c r="I15332" s="46" t="s">
        <v>7031</v>
      </c>
      <c r="J15332" s="46" t="s">
        <v>132</v>
      </c>
      <c r="K15332" s="46" t="s">
        <v>126</v>
      </c>
      <c r="L15332" s="45">
        <v>46017.677083333336</v>
      </c>
      <c r="M15332" s="46" t="s">
        <v>123</v>
      </c>
      <c r="N15332" s="45">
        <v>46017.71875</v>
      </c>
      <c r="O15332" s="46" t="s">
        <v>123</v>
      </c>
      <c r="P15332" s="46">
        <v>3600.0</v>
      </c>
    </row>
    <row r="15333">
      <c r="A15333" s="40">
        <f t="shared" si="1"/>
        <v>46013</v>
      </c>
      <c r="B15333" s="37" t="str">
        <f t="array" ref="B15333">iferror(xlookup($I15333, 'IMPORT VHC Report'!$E:$E, 'IMPORT VHC Report'!$A:$C), )</f>
        <v/>
      </c>
      <c r="C15333" s="44"/>
      <c r="D15333" s="44"/>
      <c r="E15333" s="46" t="s">
        <v>11497</v>
      </c>
      <c r="F15333" s="46" t="s">
        <v>7029</v>
      </c>
      <c r="G15333" s="46">
        <v>3.61726424916E11</v>
      </c>
      <c r="H15333" s="46" t="s">
        <v>7030</v>
      </c>
      <c r="I15333" s="46" t="s">
        <v>7031</v>
      </c>
      <c r="J15333" s="46" t="s">
        <v>134</v>
      </c>
      <c r="K15333" s="46" t="s">
        <v>126</v>
      </c>
      <c r="L15333" s="45">
        <v>46017.802083333336</v>
      </c>
      <c r="M15333" s="46" t="s">
        <v>123</v>
      </c>
      <c r="N15333" s="45">
        <v>46017.8125</v>
      </c>
      <c r="O15333" s="46" t="s">
        <v>123</v>
      </c>
      <c r="P15333" s="46">
        <v>900.0</v>
      </c>
    </row>
    <row r="15334">
      <c r="A15334" s="40">
        <f t="shared" si="1"/>
        <v>46013</v>
      </c>
      <c r="B15334" s="37" t="str">
        <f t="array" ref="B15334">iferror(xlookup($I15334, 'IMPORT VHC Report'!$E:$E, 'IMPORT VHC Report'!$A:$C), )</f>
        <v/>
      </c>
      <c r="C15334" s="44"/>
      <c r="D15334" s="44"/>
      <c r="E15334" s="46" t="s">
        <v>11498</v>
      </c>
      <c r="F15334" s="46" t="s">
        <v>7029</v>
      </c>
      <c r="G15334" s="46">
        <v>3.61726424916E11</v>
      </c>
      <c r="H15334" s="46" t="s">
        <v>7030</v>
      </c>
      <c r="I15334" s="46" t="s">
        <v>7031</v>
      </c>
      <c r="J15334" s="46" t="s">
        <v>5996</v>
      </c>
      <c r="K15334" s="46" t="s">
        <v>63</v>
      </c>
      <c r="L15334" s="45">
        <v>46018.5</v>
      </c>
      <c r="M15334" s="46" t="s">
        <v>123</v>
      </c>
      <c r="N15334" s="45">
        <v>46018.875</v>
      </c>
      <c r="O15334" s="46" t="s">
        <v>123</v>
      </c>
      <c r="P15334" s="46">
        <v>32400.0</v>
      </c>
    </row>
    <row r="15335">
      <c r="A15335" s="40">
        <f t="shared" si="1"/>
        <v>46013</v>
      </c>
      <c r="B15335" s="37" t="str">
        <f t="array" ref="B15335">iferror(xlookup($I15335, 'IMPORT VHC Report'!$E:$E, 'IMPORT VHC Report'!$A:$C), )</f>
        <v/>
      </c>
      <c r="C15335" s="44"/>
      <c r="D15335" s="44"/>
      <c r="E15335" s="46" t="s">
        <v>11499</v>
      </c>
      <c r="F15335" s="46" t="s">
        <v>7029</v>
      </c>
      <c r="G15335" s="46">
        <v>3.61726424916E11</v>
      </c>
      <c r="H15335" s="46" t="s">
        <v>7030</v>
      </c>
      <c r="I15335" s="46" t="s">
        <v>7031</v>
      </c>
      <c r="J15335" s="46" t="s">
        <v>134</v>
      </c>
      <c r="K15335" s="46" t="s">
        <v>126</v>
      </c>
      <c r="L15335" s="45">
        <v>46018.59375</v>
      </c>
      <c r="M15335" s="46" t="s">
        <v>123</v>
      </c>
      <c r="N15335" s="45">
        <v>46018.604166666664</v>
      </c>
      <c r="O15335" s="46" t="s">
        <v>123</v>
      </c>
      <c r="P15335" s="46">
        <v>900.0</v>
      </c>
    </row>
    <row r="15336">
      <c r="A15336" s="40">
        <f t="shared" si="1"/>
        <v>46013</v>
      </c>
      <c r="B15336" s="37" t="str">
        <f t="array" ref="B15336">iferror(xlookup($I15336, 'IMPORT VHC Report'!$E:$E, 'IMPORT VHC Report'!$A:$C), )</f>
        <v/>
      </c>
      <c r="C15336" s="44"/>
      <c r="D15336" s="44"/>
      <c r="E15336" s="46" t="s">
        <v>11500</v>
      </c>
      <c r="F15336" s="46" t="s">
        <v>7029</v>
      </c>
      <c r="G15336" s="46">
        <v>3.61726424916E11</v>
      </c>
      <c r="H15336" s="46" t="s">
        <v>7030</v>
      </c>
      <c r="I15336" s="46" t="s">
        <v>7031</v>
      </c>
      <c r="J15336" s="46" t="s">
        <v>132</v>
      </c>
      <c r="K15336" s="46" t="s">
        <v>126</v>
      </c>
      <c r="L15336" s="45">
        <v>46018.666666666664</v>
      </c>
      <c r="M15336" s="46" t="s">
        <v>123</v>
      </c>
      <c r="N15336" s="45">
        <v>46018.708333333336</v>
      </c>
      <c r="O15336" s="46" t="s">
        <v>123</v>
      </c>
      <c r="P15336" s="46">
        <v>3600.0</v>
      </c>
    </row>
    <row r="15337">
      <c r="A15337" s="40">
        <f t="shared" si="1"/>
        <v>46013</v>
      </c>
      <c r="B15337" s="37" t="str">
        <f t="array" ref="B15337">iferror(xlookup($I15337, 'IMPORT VHC Report'!$E:$E, 'IMPORT VHC Report'!$A:$C), )</f>
        <v/>
      </c>
      <c r="C15337" s="44"/>
      <c r="D15337" s="44"/>
      <c r="E15337" s="46" t="s">
        <v>11501</v>
      </c>
      <c r="F15337" s="46" t="s">
        <v>7029</v>
      </c>
      <c r="G15337" s="46">
        <v>3.61726424916E11</v>
      </c>
      <c r="H15337" s="46" t="s">
        <v>7030</v>
      </c>
      <c r="I15337" s="46" t="s">
        <v>7031</v>
      </c>
      <c r="J15337" s="46" t="s">
        <v>134</v>
      </c>
      <c r="K15337" s="46" t="s">
        <v>126</v>
      </c>
      <c r="L15337" s="45">
        <v>46018.770833333336</v>
      </c>
      <c r="M15337" s="46" t="s">
        <v>123</v>
      </c>
      <c r="N15337" s="45">
        <v>46018.78125</v>
      </c>
      <c r="O15337" s="46" t="s">
        <v>123</v>
      </c>
      <c r="P15337" s="46">
        <v>900.0</v>
      </c>
    </row>
    <row r="15338">
      <c r="A15338" s="40">
        <f t="shared" si="1"/>
        <v>46013</v>
      </c>
      <c r="B15338" s="37" t="str">
        <f t="array" ref="B15338">iferror(xlookup($I15338, 'IMPORT VHC Report'!$E:$E, 'IMPORT VHC Report'!$A:$C), )</f>
        <v/>
      </c>
      <c r="C15338" s="44"/>
      <c r="D15338" s="44"/>
      <c r="E15338" s="46" t="s">
        <v>11502</v>
      </c>
      <c r="F15338" s="46" t="s">
        <v>3259</v>
      </c>
      <c r="G15338" s="46">
        <v>6.936778850319E12</v>
      </c>
      <c r="H15338" s="46" t="s">
        <v>3260</v>
      </c>
      <c r="I15338" s="46" t="s">
        <v>3261</v>
      </c>
      <c r="J15338" s="46" t="s">
        <v>3262</v>
      </c>
      <c r="K15338" s="46" t="s">
        <v>63</v>
      </c>
      <c r="L15338" s="45">
        <v>46013.375</v>
      </c>
      <c r="M15338" s="46" t="s">
        <v>123</v>
      </c>
      <c r="N15338" s="45">
        <v>46013.75</v>
      </c>
      <c r="O15338" s="46" t="s">
        <v>123</v>
      </c>
      <c r="P15338" s="46">
        <v>32400.0</v>
      </c>
    </row>
    <row r="15339">
      <c r="A15339" s="40">
        <f t="shared" si="1"/>
        <v>46013</v>
      </c>
      <c r="B15339" s="37" t="str">
        <f t="array" ref="B15339">iferror(xlookup($I15339, 'IMPORT VHC Report'!$E:$E, 'IMPORT VHC Report'!$A:$C), )</f>
        <v/>
      </c>
      <c r="C15339" s="44"/>
      <c r="D15339" s="44"/>
      <c r="E15339" s="46" t="s">
        <v>11503</v>
      </c>
      <c r="F15339" s="46" t="s">
        <v>3259</v>
      </c>
      <c r="G15339" s="46">
        <v>6.936778850319E12</v>
      </c>
      <c r="H15339" s="46" t="s">
        <v>3260</v>
      </c>
      <c r="I15339" s="46" t="s">
        <v>3261</v>
      </c>
      <c r="J15339" s="46" t="s">
        <v>134</v>
      </c>
      <c r="K15339" s="46" t="s">
        <v>126</v>
      </c>
      <c r="L15339" s="45">
        <v>46013.489583333336</v>
      </c>
      <c r="M15339" s="46" t="s">
        <v>123</v>
      </c>
      <c r="N15339" s="45">
        <v>46013.5</v>
      </c>
      <c r="O15339" s="46" t="s">
        <v>123</v>
      </c>
      <c r="P15339" s="46">
        <v>900.0</v>
      </c>
    </row>
    <row r="15340">
      <c r="A15340" s="40">
        <f t="shared" si="1"/>
        <v>46013</v>
      </c>
      <c r="B15340" s="37" t="str">
        <f t="array" ref="B15340">iferror(xlookup($I15340, 'IMPORT VHC Report'!$E:$E, 'IMPORT VHC Report'!$A:$C), )</f>
        <v/>
      </c>
      <c r="C15340" s="44"/>
      <c r="D15340" s="44"/>
      <c r="E15340" s="46" t="s">
        <v>11504</v>
      </c>
      <c r="F15340" s="46" t="s">
        <v>3259</v>
      </c>
      <c r="G15340" s="46">
        <v>6.936778850319E12</v>
      </c>
      <c r="H15340" s="46" t="s">
        <v>3260</v>
      </c>
      <c r="I15340" s="46" t="s">
        <v>3261</v>
      </c>
      <c r="J15340" s="46" t="s">
        <v>132</v>
      </c>
      <c r="K15340" s="46" t="s">
        <v>126</v>
      </c>
      <c r="L15340" s="45">
        <v>46013.5625</v>
      </c>
      <c r="M15340" s="46" t="s">
        <v>123</v>
      </c>
      <c r="N15340" s="45">
        <v>46013.604166666664</v>
      </c>
      <c r="O15340" s="46" t="s">
        <v>123</v>
      </c>
      <c r="P15340" s="46">
        <v>3600.0</v>
      </c>
    </row>
    <row r="15341">
      <c r="A15341" s="40">
        <f t="shared" si="1"/>
        <v>46013</v>
      </c>
      <c r="B15341" s="37" t="str">
        <f t="array" ref="B15341">iferror(xlookup($I15341, 'IMPORT VHC Report'!$E:$E, 'IMPORT VHC Report'!$A:$C), )</f>
        <v/>
      </c>
      <c r="C15341" s="44"/>
      <c r="D15341" s="44"/>
      <c r="E15341" s="46" t="s">
        <v>11505</v>
      </c>
      <c r="F15341" s="46" t="s">
        <v>3259</v>
      </c>
      <c r="G15341" s="46">
        <v>6.936778850319E12</v>
      </c>
      <c r="H15341" s="46" t="s">
        <v>3260</v>
      </c>
      <c r="I15341" s="46" t="s">
        <v>3261</v>
      </c>
      <c r="J15341" s="46" t="s">
        <v>134</v>
      </c>
      <c r="K15341" s="46" t="s">
        <v>126</v>
      </c>
      <c r="L15341" s="45">
        <v>46013.666666666664</v>
      </c>
      <c r="M15341" s="46" t="s">
        <v>123</v>
      </c>
      <c r="N15341" s="45">
        <v>46013.677083333336</v>
      </c>
      <c r="O15341" s="46" t="s">
        <v>123</v>
      </c>
      <c r="P15341" s="46">
        <v>900.0</v>
      </c>
    </row>
    <row r="15342">
      <c r="A15342" s="40">
        <f t="shared" si="1"/>
        <v>46013</v>
      </c>
      <c r="B15342" s="37" t="str">
        <f t="array" ref="B15342">iferror(xlookup($I15342, 'IMPORT VHC Report'!$E:$E, 'IMPORT VHC Report'!$A:$C), )</f>
        <v/>
      </c>
      <c r="C15342" s="44"/>
      <c r="D15342" s="44"/>
      <c r="E15342" s="46" t="s">
        <v>11506</v>
      </c>
      <c r="F15342" s="46" t="s">
        <v>3259</v>
      </c>
      <c r="G15342" s="46">
        <v>6.936778850319E12</v>
      </c>
      <c r="H15342" s="46" t="s">
        <v>3260</v>
      </c>
      <c r="I15342" s="46" t="s">
        <v>3261</v>
      </c>
      <c r="J15342" s="46" t="s">
        <v>3262</v>
      </c>
      <c r="K15342" s="46" t="s">
        <v>63</v>
      </c>
      <c r="L15342" s="45">
        <v>46014.375</v>
      </c>
      <c r="M15342" s="46" t="s">
        <v>123</v>
      </c>
      <c r="N15342" s="45">
        <v>46014.75</v>
      </c>
      <c r="O15342" s="46" t="s">
        <v>123</v>
      </c>
      <c r="P15342" s="46">
        <v>32400.0</v>
      </c>
    </row>
    <row r="15343">
      <c r="A15343" s="40">
        <f t="shared" si="1"/>
        <v>46013</v>
      </c>
      <c r="B15343" s="37" t="str">
        <f t="array" ref="B15343">iferror(xlookup($I15343, 'IMPORT VHC Report'!$E:$E, 'IMPORT VHC Report'!$A:$C), )</f>
        <v/>
      </c>
      <c r="C15343" s="44"/>
      <c r="D15343" s="44"/>
      <c r="E15343" s="46" t="s">
        <v>11507</v>
      </c>
      <c r="F15343" s="46" t="s">
        <v>3259</v>
      </c>
      <c r="G15343" s="46">
        <v>6.936778850319E12</v>
      </c>
      <c r="H15343" s="46" t="s">
        <v>3260</v>
      </c>
      <c r="I15343" s="46" t="s">
        <v>3261</v>
      </c>
      <c r="J15343" s="46" t="s">
        <v>134</v>
      </c>
      <c r="K15343" s="46" t="s">
        <v>126</v>
      </c>
      <c r="L15343" s="45">
        <v>46014.458333333336</v>
      </c>
      <c r="M15343" s="46" t="s">
        <v>123</v>
      </c>
      <c r="N15343" s="45">
        <v>46014.46875</v>
      </c>
      <c r="O15343" s="46" t="s">
        <v>123</v>
      </c>
      <c r="P15343" s="46">
        <v>900.0</v>
      </c>
    </row>
    <row r="15344">
      <c r="A15344" s="40">
        <f t="shared" si="1"/>
        <v>46013</v>
      </c>
      <c r="B15344" s="37" t="str">
        <f t="array" ref="B15344">iferror(xlookup($I15344, 'IMPORT VHC Report'!$E:$E, 'IMPORT VHC Report'!$A:$C), )</f>
        <v/>
      </c>
      <c r="C15344" s="44"/>
      <c r="D15344" s="44"/>
      <c r="E15344" s="46" t="s">
        <v>11508</v>
      </c>
      <c r="F15344" s="46" t="s">
        <v>3259</v>
      </c>
      <c r="G15344" s="46">
        <v>6.936778850319E12</v>
      </c>
      <c r="H15344" s="46" t="s">
        <v>3260</v>
      </c>
      <c r="I15344" s="46" t="s">
        <v>3261</v>
      </c>
      <c r="J15344" s="46" t="s">
        <v>132</v>
      </c>
      <c r="K15344" s="46" t="s">
        <v>126</v>
      </c>
      <c r="L15344" s="45">
        <v>46014.572916666664</v>
      </c>
      <c r="M15344" s="46" t="s">
        <v>123</v>
      </c>
      <c r="N15344" s="45">
        <v>46014.614583333336</v>
      </c>
      <c r="O15344" s="46" t="s">
        <v>123</v>
      </c>
      <c r="P15344" s="46">
        <v>3600.0</v>
      </c>
    </row>
    <row r="15345">
      <c r="A15345" s="40">
        <f t="shared" si="1"/>
        <v>46013</v>
      </c>
      <c r="B15345" s="37" t="str">
        <f t="array" ref="B15345">iferror(xlookup($I15345, 'IMPORT VHC Report'!$E:$E, 'IMPORT VHC Report'!$A:$C), )</f>
        <v/>
      </c>
      <c r="C15345" s="44"/>
      <c r="D15345" s="44"/>
      <c r="E15345" s="46" t="s">
        <v>11509</v>
      </c>
      <c r="F15345" s="46" t="s">
        <v>3259</v>
      </c>
      <c r="G15345" s="46">
        <v>6.936778850319E12</v>
      </c>
      <c r="H15345" s="46" t="s">
        <v>3260</v>
      </c>
      <c r="I15345" s="46" t="s">
        <v>3261</v>
      </c>
      <c r="J15345" s="46" t="s">
        <v>134</v>
      </c>
      <c r="K15345" s="46" t="s">
        <v>126</v>
      </c>
      <c r="L15345" s="45">
        <v>46014.677083333336</v>
      </c>
      <c r="M15345" s="46" t="s">
        <v>123</v>
      </c>
      <c r="N15345" s="45">
        <v>46014.6875</v>
      </c>
      <c r="O15345" s="46" t="s">
        <v>123</v>
      </c>
      <c r="P15345" s="46">
        <v>900.0</v>
      </c>
    </row>
    <row r="15346">
      <c r="A15346" s="40">
        <f t="shared" si="1"/>
        <v>46013</v>
      </c>
      <c r="B15346" s="37" t="str">
        <f t="array" ref="B15346">iferror(xlookup($I15346, 'IMPORT VHC Report'!$E:$E, 'IMPORT VHC Report'!$A:$C), )</f>
        <v/>
      </c>
      <c r="C15346" s="44"/>
      <c r="D15346" s="44"/>
      <c r="E15346" s="46" t="s">
        <v>11510</v>
      </c>
      <c r="F15346" s="46" t="s">
        <v>3259</v>
      </c>
      <c r="G15346" s="46">
        <v>6.936778850319E12</v>
      </c>
      <c r="H15346" s="46" t="s">
        <v>3260</v>
      </c>
      <c r="I15346" s="46" t="s">
        <v>3261</v>
      </c>
      <c r="J15346" s="46" t="s">
        <v>3262</v>
      </c>
      <c r="K15346" s="46" t="s">
        <v>63</v>
      </c>
      <c r="L15346" s="45">
        <v>46015.375</v>
      </c>
      <c r="M15346" s="46" t="s">
        <v>123</v>
      </c>
      <c r="N15346" s="45">
        <v>46015.75</v>
      </c>
      <c r="O15346" s="46" t="s">
        <v>123</v>
      </c>
      <c r="P15346" s="46">
        <v>32400.0</v>
      </c>
    </row>
    <row r="15347">
      <c r="A15347" s="40">
        <f t="shared" si="1"/>
        <v>46013</v>
      </c>
      <c r="B15347" s="37" t="str">
        <f t="array" ref="B15347">iferror(xlookup($I15347, 'IMPORT VHC Report'!$E:$E, 'IMPORT VHC Report'!$A:$C), )</f>
        <v/>
      </c>
      <c r="C15347" s="44"/>
      <c r="D15347" s="44"/>
      <c r="E15347" s="46" t="s">
        <v>11511</v>
      </c>
      <c r="F15347" s="46" t="s">
        <v>3259</v>
      </c>
      <c r="G15347" s="46">
        <v>6.936778850319E12</v>
      </c>
      <c r="H15347" s="46" t="s">
        <v>3260</v>
      </c>
      <c r="I15347" s="46" t="s">
        <v>3261</v>
      </c>
      <c r="J15347" s="46" t="s">
        <v>134</v>
      </c>
      <c r="K15347" s="46" t="s">
        <v>126</v>
      </c>
      <c r="L15347" s="45">
        <v>46015.46875</v>
      </c>
      <c r="M15347" s="46" t="s">
        <v>123</v>
      </c>
      <c r="N15347" s="45">
        <v>46015.479166666664</v>
      </c>
      <c r="O15347" s="46" t="s">
        <v>123</v>
      </c>
      <c r="P15347" s="46">
        <v>900.0</v>
      </c>
    </row>
    <row r="15348">
      <c r="A15348" s="40">
        <f t="shared" si="1"/>
        <v>46013</v>
      </c>
      <c r="B15348" s="37" t="str">
        <f t="array" ref="B15348">iferror(xlookup($I15348, 'IMPORT VHC Report'!$E:$E, 'IMPORT VHC Report'!$A:$C), )</f>
        <v/>
      </c>
      <c r="C15348" s="44"/>
      <c r="D15348" s="44"/>
      <c r="E15348" s="46" t="s">
        <v>11512</v>
      </c>
      <c r="F15348" s="46" t="s">
        <v>3259</v>
      </c>
      <c r="G15348" s="46">
        <v>6.936778850319E12</v>
      </c>
      <c r="H15348" s="46" t="s">
        <v>3260</v>
      </c>
      <c r="I15348" s="46" t="s">
        <v>3261</v>
      </c>
      <c r="J15348" s="46" t="s">
        <v>132</v>
      </c>
      <c r="K15348" s="46" t="s">
        <v>126</v>
      </c>
      <c r="L15348" s="45">
        <v>46015.5625</v>
      </c>
      <c r="M15348" s="46" t="s">
        <v>123</v>
      </c>
      <c r="N15348" s="45">
        <v>46015.604166666664</v>
      </c>
      <c r="O15348" s="46" t="s">
        <v>123</v>
      </c>
      <c r="P15348" s="46">
        <v>3600.0</v>
      </c>
    </row>
    <row r="15349">
      <c r="A15349" s="40">
        <f t="shared" si="1"/>
        <v>46013</v>
      </c>
      <c r="B15349" s="37" t="str">
        <f t="array" ref="B15349">iferror(xlookup($I15349, 'IMPORT VHC Report'!$E:$E, 'IMPORT VHC Report'!$A:$C), )</f>
        <v/>
      </c>
      <c r="C15349" s="44"/>
      <c r="D15349" s="44"/>
      <c r="E15349" s="46" t="s">
        <v>11513</v>
      </c>
      <c r="F15349" s="46" t="s">
        <v>3259</v>
      </c>
      <c r="G15349" s="46">
        <v>6.936778850319E12</v>
      </c>
      <c r="H15349" s="46" t="s">
        <v>3260</v>
      </c>
      <c r="I15349" s="46" t="s">
        <v>3261</v>
      </c>
      <c r="J15349" s="46" t="s">
        <v>134</v>
      </c>
      <c r="K15349" s="46" t="s">
        <v>126</v>
      </c>
      <c r="L15349" s="45">
        <v>46015.677083333336</v>
      </c>
      <c r="M15349" s="46" t="s">
        <v>123</v>
      </c>
      <c r="N15349" s="45">
        <v>46015.6875</v>
      </c>
      <c r="O15349" s="46" t="s">
        <v>123</v>
      </c>
      <c r="P15349" s="46">
        <v>900.0</v>
      </c>
    </row>
    <row r="15350">
      <c r="A15350" s="40">
        <f t="shared" si="1"/>
        <v>46013</v>
      </c>
      <c r="B15350" s="37" t="str">
        <f t="array" ref="B15350">iferror(xlookup($I15350, 'IMPORT VHC Report'!$E:$E, 'IMPORT VHC Report'!$A:$C), )</f>
        <v/>
      </c>
      <c r="C15350" s="44"/>
      <c r="D15350" s="44"/>
      <c r="E15350" s="46" t="s">
        <v>11514</v>
      </c>
      <c r="F15350" s="46" t="s">
        <v>3259</v>
      </c>
      <c r="G15350" s="46">
        <v>6.936778850319E12</v>
      </c>
      <c r="H15350" s="46" t="s">
        <v>3260</v>
      </c>
      <c r="I15350" s="46" t="s">
        <v>3261</v>
      </c>
      <c r="J15350" s="46" t="s">
        <v>3262</v>
      </c>
      <c r="K15350" s="46" t="s">
        <v>63</v>
      </c>
      <c r="L15350" s="45">
        <v>46016.375</v>
      </c>
      <c r="M15350" s="46" t="s">
        <v>123</v>
      </c>
      <c r="N15350" s="45">
        <v>46016.75</v>
      </c>
      <c r="O15350" s="46" t="s">
        <v>123</v>
      </c>
      <c r="P15350" s="46">
        <v>32400.0</v>
      </c>
    </row>
    <row r="15351">
      <c r="A15351" s="40">
        <f t="shared" si="1"/>
        <v>46013</v>
      </c>
      <c r="B15351" s="37" t="str">
        <f t="array" ref="B15351">iferror(xlookup($I15351, 'IMPORT VHC Report'!$E:$E, 'IMPORT VHC Report'!$A:$C), )</f>
        <v/>
      </c>
      <c r="C15351" s="44"/>
      <c r="D15351" s="44"/>
      <c r="E15351" s="46" t="s">
        <v>11515</v>
      </c>
      <c r="F15351" s="46" t="s">
        <v>3259</v>
      </c>
      <c r="G15351" s="46">
        <v>6.936778850319E12</v>
      </c>
      <c r="H15351" s="46" t="s">
        <v>3260</v>
      </c>
      <c r="I15351" s="46" t="s">
        <v>3261</v>
      </c>
      <c r="J15351" s="46" t="s">
        <v>134</v>
      </c>
      <c r="K15351" s="46" t="s">
        <v>126</v>
      </c>
      <c r="L15351" s="45">
        <v>46016.479166666664</v>
      </c>
      <c r="M15351" s="46" t="s">
        <v>123</v>
      </c>
      <c r="N15351" s="45">
        <v>46016.489583333336</v>
      </c>
      <c r="O15351" s="46" t="s">
        <v>123</v>
      </c>
      <c r="P15351" s="46">
        <v>900.0</v>
      </c>
    </row>
    <row r="15352">
      <c r="A15352" s="40">
        <f t="shared" si="1"/>
        <v>46013</v>
      </c>
      <c r="B15352" s="37" t="str">
        <f t="array" ref="B15352">iferror(xlookup($I15352, 'IMPORT VHC Report'!$E:$E, 'IMPORT VHC Report'!$A:$C), )</f>
        <v/>
      </c>
      <c r="C15352" s="44"/>
      <c r="D15352" s="44"/>
      <c r="E15352" s="46" t="s">
        <v>11516</v>
      </c>
      <c r="F15352" s="46" t="s">
        <v>3259</v>
      </c>
      <c r="G15352" s="46">
        <v>6.936778850319E12</v>
      </c>
      <c r="H15352" s="46" t="s">
        <v>3260</v>
      </c>
      <c r="I15352" s="46" t="s">
        <v>3261</v>
      </c>
      <c r="J15352" s="46" t="s">
        <v>132</v>
      </c>
      <c r="K15352" s="46" t="s">
        <v>126</v>
      </c>
      <c r="L15352" s="45">
        <v>46016.572916666664</v>
      </c>
      <c r="M15352" s="46" t="s">
        <v>123</v>
      </c>
      <c r="N15352" s="45">
        <v>46016.614583333336</v>
      </c>
      <c r="O15352" s="46" t="s">
        <v>123</v>
      </c>
      <c r="P15352" s="46">
        <v>3600.0</v>
      </c>
    </row>
    <row r="15353">
      <c r="A15353" s="40">
        <f t="shared" si="1"/>
        <v>46013</v>
      </c>
      <c r="B15353" s="37" t="str">
        <f t="array" ref="B15353">iferror(xlookup($I15353, 'IMPORT VHC Report'!$E:$E, 'IMPORT VHC Report'!$A:$C), )</f>
        <v/>
      </c>
      <c r="C15353" s="44"/>
      <c r="D15353" s="44"/>
      <c r="E15353" s="46" t="s">
        <v>11517</v>
      </c>
      <c r="F15353" s="46" t="s">
        <v>3259</v>
      </c>
      <c r="G15353" s="46">
        <v>6.936778850319E12</v>
      </c>
      <c r="H15353" s="46" t="s">
        <v>3260</v>
      </c>
      <c r="I15353" s="46" t="s">
        <v>3261</v>
      </c>
      <c r="J15353" s="46" t="s">
        <v>134</v>
      </c>
      <c r="K15353" s="46" t="s">
        <v>126</v>
      </c>
      <c r="L15353" s="45">
        <v>46016.677083333336</v>
      </c>
      <c r="M15353" s="46" t="s">
        <v>123</v>
      </c>
      <c r="N15353" s="45">
        <v>46016.6875</v>
      </c>
      <c r="O15353" s="46" t="s">
        <v>123</v>
      </c>
      <c r="P15353" s="46">
        <v>900.0</v>
      </c>
    </row>
    <row r="15354">
      <c r="A15354" s="40">
        <f t="shared" si="1"/>
        <v>46013</v>
      </c>
      <c r="B15354" s="37" t="str">
        <f t="array" ref="B15354">iferror(xlookup($I15354, 'IMPORT VHC Report'!$E:$E, 'IMPORT VHC Report'!$A:$C), )</f>
        <v/>
      </c>
      <c r="C15354" s="44"/>
      <c r="D15354" s="44"/>
      <c r="E15354" s="46" t="s">
        <v>11518</v>
      </c>
      <c r="F15354" s="46" t="s">
        <v>3259</v>
      </c>
      <c r="G15354" s="46">
        <v>6.936778850319E12</v>
      </c>
      <c r="H15354" s="46" t="s">
        <v>3260</v>
      </c>
      <c r="I15354" s="46" t="s">
        <v>3261</v>
      </c>
      <c r="J15354" s="46" t="s">
        <v>3262</v>
      </c>
      <c r="K15354" s="46" t="s">
        <v>63</v>
      </c>
      <c r="L15354" s="45">
        <v>46017.375</v>
      </c>
      <c r="M15354" s="46" t="s">
        <v>123</v>
      </c>
      <c r="N15354" s="45">
        <v>46017.75</v>
      </c>
      <c r="O15354" s="46" t="s">
        <v>123</v>
      </c>
      <c r="P15354" s="46">
        <v>32400.0</v>
      </c>
    </row>
    <row r="15355">
      <c r="A15355" s="40">
        <f t="shared" si="1"/>
        <v>46013</v>
      </c>
      <c r="B15355" s="37" t="str">
        <f t="array" ref="B15355">iferror(xlookup($I15355, 'IMPORT VHC Report'!$E:$E, 'IMPORT VHC Report'!$A:$C), )</f>
        <v/>
      </c>
      <c r="C15355" s="44"/>
      <c r="D15355" s="44"/>
      <c r="E15355" s="46" t="s">
        <v>11519</v>
      </c>
      <c r="F15355" s="46" t="s">
        <v>3259</v>
      </c>
      <c r="G15355" s="46">
        <v>6.936778850319E12</v>
      </c>
      <c r="H15355" s="46" t="s">
        <v>3260</v>
      </c>
      <c r="I15355" s="46" t="s">
        <v>3261</v>
      </c>
      <c r="J15355" s="46" t="s">
        <v>134</v>
      </c>
      <c r="K15355" s="46" t="s">
        <v>126</v>
      </c>
      <c r="L15355" s="45">
        <v>46017.4375</v>
      </c>
      <c r="M15355" s="46" t="s">
        <v>123</v>
      </c>
      <c r="N15355" s="45">
        <v>46017.447916666664</v>
      </c>
      <c r="O15355" s="46" t="s">
        <v>123</v>
      </c>
      <c r="P15355" s="46">
        <v>900.0</v>
      </c>
    </row>
    <row r="15356">
      <c r="A15356" s="40">
        <f t="shared" si="1"/>
        <v>46013</v>
      </c>
      <c r="B15356" s="37" t="str">
        <f t="array" ref="B15356">iferror(xlookup($I15356, 'IMPORT VHC Report'!$E:$E, 'IMPORT VHC Report'!$A:$C), )</f>
        <v/>
      </c>
      <c r="C15356" s="44"/>
      <c r="D15356" s="44"/>
      <c r="E15356" s="46" t="s">
        <v>11520</v>
      </c>
      <c r="F15356" s="46" t="s">
        <v>3259</v>
      </c>
      <c r="G15356" s="46">
        <v>6.936778850319E12</v>
      </c>
      <c r="H15356" s="46" t="s">
        <v>3260</v>
      </c>
      <c r="I15356" s="46" t="s">
        <v>3261</v>
      </c>
      <c r="J15356" s="46" t="s">
        <v>132</v>
      </c>
      <c r="K15356" s="46" t="s">
        <v>126</v>
      </c>
      <c r="L15356" s="45">
        <v>46017.53125</v>
      </c>
      <c r="M15356" s="46" t="s">
        <v>123</v>
      </c>
      <c r="N15356" s="45">
        <v>46017.572916666664</v>
      </c>
      <c r="O15356" s="46" t="s">
        <v>123</v>
      </c>
      <c r="P15356" s="46">
        <v>3600.0</v>
      </c>
    </row>
    <row r="15357">
      <c r="A15357" s="40">
        <f t="shared" si="1"/>
        <v>46013</v>
      </c>
      <c r="B15357" s="37" t="str">
        <f t="array" ref="B15357">iferror(xlookup($I15357, 'IMPORT VHC Report'!$E:$E, 'IMPORT VHC Report'!$A:$C), )</f>
        <v/>
      </c>
      <c r="C15357" s="44"/>
      <c r="D15357" s="44"/>
      <c r="E15357" s="46" t="s">
        <v>11521</v>
      </c>
      <c r="F15357" s="46" t="s">
        <v>3259</v>
      </c>
      <c r="G15357" s="46">
        <v>6.936778850319E12</v>
      </c>
      <c r="H15357" s="46" t="s">
        <v>3260</v>
      </c>
      <c r="I15357" s="46" t="s">
        <v>3261</v>
      </c>
      <c r="J15357" s="46" t="s">
        <v>134</v>
      </c>
      <c r="K15357" s="46" t="s">
        <v>126</v>
      </c>
      <c r="L15357" s="45">
        <v>46017.677083333336</v>
      </c>
      <c r="M15357" s="46" t="s">
        <v>123</v>
      </c>
      <c r="N15357" s="45">
        <v>46017.6875</v>
      </c>
      <c r="O15357" s="46" t="s">
        <v>123</v>
      </c>
      <c r="P15357" s="46">
        <v>900.0</v>
      </c>
    </row>
    <row r="15358">
      <c r="A15358" s="40">
        <f t="shared" si="1"/>
        <v>46013</v>
      </c>
      <c r="B15358" s="37" t="str">
        <f t="array" ref="B15358">iferror(xlookup($I15358, 'IMPORT VHC Report'!$E:$E, 'IMPORT VHC Report'!$A:$C), )</f>
        <v/>
      </c>
      <c r="C15358" s="44"/>
      <c r="D15358" s="44"/>
      <c r="E15358" s="46" t="s">
        <v>11522</v>
      </c>
      <c r="F15358" s="46" t="s">
        <v>4888</v>
      </c>
      <c r="G15358" s="46">
        <v>6.392444639375E12</v>
      </c>
      <c r="H15358" s="46" t="s">
        <v>4889</v>
      </c>
      <c r="I15358" s="46" t="s">
        <v>4890</v>
      </c>
      <c r="J15358" s="46" t="s">
        <v>4891</v>
      </c>
      <c r="K15358" s="46" t="s">
        <v>63</v>
      </c>
      <c r="L15358" s="45">
        <v>46013.708333333336</v>
      </c>
      <c r="M15358" s="46" t="s">
        <v>123</v>
      </c>
      <c r="N15358" s="45">
        <v>46014.083333333336</v>
      </c>
      <c r="O15358" s="46" t="s">
        <v>123</v>
      </c>
      <c r="P15358" s="46">
        <v>32400.0</v>
      </c>
    </row>
    <row r="15359">
      <c r="A15359" s="40">
        <f t="shared" si="1"/>
        <v>46013</v>
      </c>
      <c r="B15359" s="37" t="str">
        <f t="array" ref="B15359">iferror(xlookup($I15359, 'IMPORT VHC Report'!$E:$E, 'IMPORT VHC Report'!$A:$C), )</f>
        <v/>
      </c>
      <c r="C15359" s="44"/>
      <c r="D15359" s="44"/>
      <c r="E15359" s="46" t="s">
        <v>11523</v>
      </c>
      <c r="F15359" s="46" t="s">
        <v>4888</v>
      </c>
      <c r="G15359" s="46">
        <v>6.392444639375E12</v>
      </c>
      <c r="H15359" s="46" t="s">
        <v>4889</v>
      </c>
      <c r="I15359" s="46" t="s">
        <v>4890</v>
      </c>
      <c r="J15359" s="46" t="s">
        <v>134</v>
      </c>
      <c r="K15359" s="46" t="s">
        <v>126</v>
      </c>
      <c r="L15359" s="45">
        <v>46013.791666666664</v>
      </c>
      <c r="M15359" s="46" t="s">
        <v>123</v>
      </c>
      <c r="N15359" s="45">
        <v>46013.802083333336</v>
      </c>
      <c r="O15359" s="46" t="s">
        <v>123</v>
      </c>
      <c r="P15359" s="46">
        <v>900.0</v>
      </c>
    </row>
    <row r="15360">
      <c r="A15360" s="40">
        <f t="shared" si="1"/>
        <v>46013</v>
      </c>
      <c r="B15360" s="37" t="str">
        <f t="array" ref="B15360">iferror(xlookup($I15360, 'IMPORT VHC Report'!$E:$E, 'IMPORT VHC Report'!$A:$C), )</f>
        <v/>
      </c>
      <c r="C15360" s="44"/>
      <c r="D15360" s="44"/>
      <c r="E15360" s="46" t="s">
        <v>11524</v>
      </c>
      <c r="F15360" s="46" t="s">
        <v>4888</v>
      </c>
      <c r="G15360" s="46">
        <v>6.392444639375E12</v>
      </c>
      <c r="H15360" s="46" t="s">
        <v>4889</v>
      </c>
      <c r="I15360" s="46" t="s">
        <v>4890</v>
      </c>
      <c r="J15360" s="46" t="s">
        <v>132</v>
      </c>
      <c r="K15360" s="46" t="s">
        <v>126</v>
      </c>
      <c r="L15360" s="45">
        <v>46013.864583333336</v>
      </c>
      <c r="M15360" s="46" t="s">
        <v>123</v>
      </c>
      <c r="N15360" s="45">
        <v>46013.90625</v>
      </c>
      <c r="O15360" s="46" t="s">
        <v>123</v>
      </c>
      <c r="P15360" s="46">
        <v>3600.0</v>
      </c>
    </row>
    <row r="15361">
      <c r="A15361" s="40">
        <f t="shared" si="1"/>
        <v>46013</v>
      </c>
      <c r="B15361" s="37" t="str">
        <f t="array" ref="B15361">iferror(xlookup($I15361, 'IMPORT VHC Report'!$E:$E, 'IMPORT VHC Report'!$A:$C), )</f>
        <v/>
      </c>
      <c r="C15361" s="44"/>
      <c r="D15361" s="44"/>
      <c r="E15361" s="46" t="s">
        <v>11525</v>
      </c>
      <c r="F15361" s="46" t="s">
        <v>4888</v>
      </c>
      <c r="G15361" s="46">
        <v>6.392444639375E12</v>
      </c>
      <c r="H15361" s="46" t="s">
        <v>4889</v>
      </c>
      <c r="I15361" s="46" t="s">
        <v>4890</v>
      </c>
      <c r="J15361" s="46" t="s">
        <v>134</v>
      </c>
      <c r="K15361" s="46" t="s">
        <v>126</v>
      </c>
      <c r="L15361" s="45">
        <v>46014.0</v>
      </c>
      <c r="M15361" s="46" t="s">
        <v>123</v>
      </c>
      <c r="N15361" s="45">
        <v>46014.010416666664</v>
      </c>
      <c r="O15361" s="46" t="s">
        <v>123</v>
      </c>
      <c r="P15361" s="46">
        <v>900.0</v>
      </c>
    </row>
    <row r="15362">
      <c r="A15362" s="40">
        <f t="shared" si="1"/>
        <v>46013</v>
      </c>
      <c r="B15362" s="37" t="str">
        <f t="array" ref="B15362">iferror(xlookup($I15362, 'IMPORT VHC Report'!$E:$E, 'IMPORT VHC Report'!$A:$C), )</f>
        <v/>
      </c>
      <c r="C15362" s="44"/>
      <c r="D15362" s="44"/>
      <c r="E15362" s="46" t="s">
        <v>11526</v>
      </c>
      <c r="F15362" s="46" t="s">
        <v>4888</v>
      </c>
      <c r="G15362" s="46">
        <v>6.392444639375E12</v>
      </c>
      <c r="H15362" s="46" t="s">
        <v>4889</v>
      </c>
      <c r="I15362" s="46" t="s">
        <v>4890</v>
      </c>
      <c r="J15362" s="46" t="s">
        <v>4891</v>
      </c>
      <c r="K15362" s="46" t="s">
        <v>63</v>
      </c>
      <c r="L15362" s="45">
        <v>46014.708333333336</v>
      </c>
      <c r="M15362" s="46" t="s">
        <v>123</v>
      </c>
      <c r="N15362" s="45">
        <v>46015.083333333336</v>
      </c>
      <c r="O15362" s="46" t="s">
        <v>123</v>
      </c>
      <c r="P15362" s="46">
        <v>32400.0</v>
      </c>
    </row>
    <row r="15363">
      <c r="A15363" s="40">
        <f t="shared" si="1"/>
        <v>46013</v>
      </c>
      <c r="B15363" s="37" t="str">
        <f t="array" ref="B15363">iferror(xlookup($I15363, 'IMPORT VHC Report'!$E:$E, 'IMPORT VHC Report'!$A:$C), )</f>
        <v/>
      </c>
      <c r="C15363" s="44"/>
      <c r="D15363" s="44"/>
      <c r="E15363" s="46" t="s">
        <v>11527</v>
      </c>
      <c r="F15363" s="46" t="s">
        <v>4888</v>
      </c>
      <c r="G15363" s="46">
        <v>6.392444639375E12</v>
      </c>
      <c r="H15363" s="46" t="s">
        <v>4889</v>
      </c>
      <c r="I15363" s="46" t="s">
        <v>4890</v>
      </c>
      <c r="J15363" s="46" t="s">
        <v>134</v>
      </c>
      <c r="K15363" s="46" t="s">
        <v>126</v>
      </c>
      <c r="L15363" s="45">
        <v>46014.822916666664</v>
      </c>
      <c r="M15363" s="46" t="s">
        <v>123</v>
      </c>
      <c r="N15363" s="45">
        <v>46014.833333333336</v>
      </c>
      <c r="O15363" s="46" t="s">
        <v>123</v>
      </c>
      <c r="P15363" s="46">
        <v>900.0</v>
      </c>
    </row>
    <row r="15364">
      <c r="A15364" s="40">
        <f t="shared" si="1"/>
        <v>46013</v>
      </c>
      <c r="B15364" s="37" t="str">
        <f t="array" ref="B15364">iferror(xlookup($I15364, 'IMPORT VHC Report'!$E:$E, 'IMPORT VHC Report'!$A:$C), )</f>
        <v/>
      </c>
      <c r="C15364" s="44"/>
      <c r="D15364" s="44"/>
      <c r="E15364" s="46" t="s">
        <v>11528</v>
      </c>
      <c r="F15364" s="46" t="s">
        <v>4888</v>
      </c>
      <c r="G15364" s="46">
        <v>6.392444639375E12</v>
      </c>
      <c r="H15364" s="46" t="s">
        <v>4889</v>
      </c>
      <c r="I15364" s="46" t="s">
        <v>4890</v>
      </c>
      <c r="J15364" s="46" t="s">
        <v>132</v>
      </c>
      <c r="K15364" s="46" t="s">
        <v>126</v>
      </c>
      <c r="L15364" s="45">
        <v>46014.90625</v>
      </c>
      <c r="M15364" s="46" t="s">
        <v>123</v>
      </c>
      <c r="N15364" s="45">
        <v>46014.947916666664</v>
      </c>
      <c r="O15364" s="46" t="s">
        <v>123</v>
      </c>
      <c r="P15364" s="46">
        <v>3600.0</v>
      </c>
    </row>
    <row r="15365">
      <c r="A15365" s="40">
        <f t="shared" si="1"/>
        <v>46013</v>
      </c>
      <c r="B15365" s="37" t="str">
        <f t="array" ref="B15365">iferror(xlookup($I15365, 'IMPORT VHC Report'!$E:$E, 'IMPORT VHC Report'!$A:$C), )</f>
        <v/>
      </c>
      <c r="C15365" s="44"/>
      <c r="D15365" s="44"/>
      <c r="E15365" s="46" t="s">
        <v>11529</v>
      </c>
      <c r="F15365" s="46" t="s">
        <v>4888</v>
      </c>
      <c r="G15365" s="46">
        <v>6.392444639375E12</v>
      </c>
      <c r="H15365" s="46" t="s">
        <v>4889</v>
      </c>
      <c r="I15365" s="46" t="s">
        <v>4890</v>
      </c>
      <c r="J15365" s="46" t="s">
        <v>134</v>
      </c>
      <c r="K15365" s="46" t="s">
        <v>126</v>
      </c>
      <c r="L15365" s="45">
        <v>46015.010416666664</v>
      </c>
      <c r="M15365" s="46" t="s">
        <v>123</v>
      </c>
      <c r="N15365" s="45">
        <v>46015.020833333336</v>
      </c>
      <c r="O15365" s="46" t="s">
        <v>123</v>
      </c>
      <c r="P15365" s="46">
        <v>900.0</v>
      </c>
    </row>
    <row r="15366">
      <c r="A15366" s="40">
        <f t="shared" si="1"/>
        <v>46013</v>
      </c>
      <c r="B15366" s="37" t="str">
        <f t="array" ref="B15366">iferror(xlookup($I15366, 'IMPORT VHC Report'!$E:$E, 'IMPORT VHC Report'!$A:$C), )</f>
        <v/>
      </c>
      <c r="C15366" s="44"/>
      <c r="D15366" s="44"/>
      <c r="E15366" s="46" t="s">
        <v>11530</v>
      </c>
      <c r="F15366" s="46" t="s">
        <v>4888</v>
      </c>
      <c r="G15366" s="46">
        <v>6.392444639375E12</v>
      </c>
      <c r="H15366" s="46" t="s">
        <v>4889</v>
      </c>
      <c r="I15366" s="46" t="s">
        <v>4890</v>
      </c>
      <c r="J15366" s="46" t="s">
        <v>4891</v>
      </c>
      <c r="K15366" s="46" t="s">
        <v>63</v>
      </c>
      <c r="L15366" s="45">
        <v>46015.708333333336</v>
      </c>
      <c r="M15366" s="46" t="s">
        <v>123</v>
      </c>
      <c r="N15366" s="45">
        <v>46016.083333333336</v>
      </c>
      <c r="O15366" s="46" t="s">
        <v>123</v>
      </c>
      <c r="P15366" s="46">
        <v>32400.0</v>
      </c>
    </row>
    <row r="15367">
      <c r="A15367" s="40">
        <f t="shared" si="1"/>
        <v>46013</v>
      </c>
      <c r="B15367" s="37" t="str">
        <f t="array" ref="B15367">iferror(xlookup($I15367, 'IMPORT VHC Report'!$E:$E, 'IMPORT VHC Report'!$A:$C), )</f>
        <v/>
      </c>
      <c r="C15367" s="44"/>
      <c r="D15367" s="44"/>
      <c r="E15367" s="46" t="s">
        <v>11531</v>
      </c>
      <c r="F15367" s="46" t="s">
        <v>4888</v>
      </c>
      <c r="G15367" s="46">
        <v>6.392444639375E12</v>
      </c>
      <c r="H15367" s="46" t="s">
        <v>4889</v>
      </c>
      <c r="I15367" s="46" t="s">
        <v>4890</v>
      </c>
      <c r="J15367" s="46" t="s">
        <v>134</v>
      </c>
      <c r="K15367" s="46" t="s">
        <v>126</v>
      </c>
      <c r="L15367" s="45">
        <v>46015.770833333336</v>
      </c>
      <c r="M15367" s="46" t="s">
        <v>123</v>
      </c>
      <c r="N15367" s="45">
        <v>46015.78125</v>
      </c>
      <c r="O15367" s="46" t="s">
        <v>123</v>
      </c>
      <c r="P15367" s="46">
        <v>900.0</v>
      </c>
    </row>
    <row r="15368">
      <c r="A15368" s="40">
        <f t="shared" si="1"/>
        <v>46013</v>
      </c>
      <c r="B15368" s="37" t="str">
        <f t="array" ref="B15368">iferror(xlookup($I15368, 'IMPORT VHC Report'!$E:$E, 'IMPORT VHC Report'!$A:$C), )</f>
        <v/>
      </c>
      <c r="C15368" s="44"/>
      <c r="D15368" s="44"/>
      <c r="E15368" s="46" t="s">
        <v>11532</v>
      </c>
      <c r="F15368" s="46" t="s">
        <v>4888</v>
      </c>
      <c r="G15368" s="46">
        <v>6.392444639375E12</v>
      </c>
      <c r="H15368" s="46" t="s">
        <v>4889</v>
      </c>
      <c r="I15368" s="46" t="s">
        <v>4890</v>
      </c>
      <c r="J15368" s="46" t="s">
        <v>132</v>
      </c>
      <c r="K15368" s="46" t="s">
        <v>126</v>
      </c>
      <c r="L15368" s="45">
        <v>46015.895833333336</v>
      </c>
      <c r="M15368" s="46" t="s">
        <v>123</v>
      </c>
      <c r="N15368" s="45">
        <v>46015.9375</v>
      </c>
      <c r="O15368" s="46" t="s">
        <v>123</v>
      </c>
      <c r="P15368" s="46">
        <v>3600.0</v>
      </c>
    </row>
    <row r="15369">
      <c r="A15369" s="40">
        <f t="shared" si="1"/>
        <v>46013</v>
      </c>
      <c r="B15369" s="37" t="str">
        <f t="array" ref="B15369">iferror(xlookup($I15369, 'IMPORT VHC Report'!$E:$E, 'IMPORT VHC Report'!$A:$C), )</f>
        <v/>
      </c>
      <c r="C15369" s="44"/>
      <c r="D15369" s="44"/>
      <c r="E15369" s="46" t="s">
        <v>11533</v>
      </c>
      <c r="F15369" s="46" t="s">
        <v>4888</v>
      </c>
      <c r="G15369" s="46">
        <v>6.392444639375E12</v>
      </c>
      <c r="H15369" s="46" t="s">
        <v>4889</v>
      </c>
      <c r="I15369" s="46" t="s">
        <v>4890</v>
      </c>
      <c r="J15369" s="46" t="s">
        <v>134</v>
      </c>
      <c r="K15369" s="46" t="s">
        <v>126</v>
      </c>
      <c r="L15369" s="45">
        <v>46016.010416666664</v>
      </c>
      <c r="M15369" s="46" t="s">
        <v>123</v>
      </c>
      <c r="N15369" s="45">
        <v>46016.020833333336</v>
      </c>
      <c r="O15369" s="46" t="s">
        <v>123</v>
      </c>
      <c r="P15369" s="46">
        <v>900.0</v>
      </c>
    </row>
    <row r="15370">
      <c r="A15370" s="40">
        <f t="shared" si="1"/>
        <v>46013</v>
      </c>
      <c r="B15370" s="37" t="str">
        <f t="array" ref="B15370">iferror(xlookup($I15370, 'IMPORT VHC Report'!$E:$E, 'IMPORT VHC Report'!$A:$C), )</f>
        <v/>
      </c>
      <c r="C15370" s="44"/>
      <c r="D15370" s="44"/>
      <c r="E15370" s="46" t="s">
        <v>11534</v>
      </c>
      <c r="F15370" s="46" t="s">
        <v>4888</v>
      </c>
      <c r="G15370" s="46">
        <v>6.392444639375E12</v>
      </c>
      <c r="H15370" s="46" t="s">
        <v>4889</v>
      </c>
      <c r="I15370" s="46" t="s">
        <v>4890</v>
      </c>
      <c r="J15370" s="46" t="s">
        <v>4891</v>
      </c>
      <c r="K15370" s="46" t="s">
        <v>63</v>
      </c>
      <c r="L15370" s="45">
        <v>46016.708333333336</v>
      </c>
      <c r="M15370" s="46" t="s">
        <v>123</v>
      </c>
      <c r="N15370" s="45">
        <v>46017.083333333336</v>
      </c>
      <c r="O15370" s="46" t="s">
        <v>123</v>
      </c>
      <c r="P15370" s="46">
        <v>32400.0</v>
      </c>
    </row>
    <row r="15371">
      <c r="A15371" s="40">
        <f t="shared" si="1"/>
        <v>46013</v>
      </c>
      <c r="B15371" s="37" t="str">
        <f t="array" ref="B15371">iferror(xlookup($I15371, 'IMPORT VHC Report'!$E:$E, 'IMPORT VHC Report'!$A:$C), )</f>
        <v/>
      </c>
      <c r="C15371" s="44"/>
      <c r="D15371" s="44"/>
      <c r="E15371" s="46" t="s">
        <v>11535</v>
      </c>
      <c r="F15371" s="46" t="s">
        <v>4888</v>
      </c>
      <c r="G15371" s="46">
        <v>6.392444639375E12</v>
      </c>
      <c r="H15371" s="46" t="s">
        <v>4889</v>
      </c>
      <c r="I15371" s="46" t="s">
        <v>4890</v>
      </c>
      <c r="J15371" s="46" t="s">
        <v>134</v>
      </c>
      <c r="K15371" s="46" t="s">
        <v>126</v>
      </c>
      <c r="L15371" s="45">
        <v>46016.8125</v>
      </c>
      <c r="M15371" s="46" t="s">
        <v>123</v>
      </c>
      <c r="N15371" s="45">
        <v>46016.822916666664</v>
      </c>
      <c r="O15371" s="46" t="s">
        <v>123</v>
      </c>
      <c r="P15371" s="46">
        <v>900.0</v>
      </c>
    </row>
    <row r="15372">
      <c r="A15372" s="40">
        <f t="shared" si="1"/>
        <v>46013</v>
      </c>
      <c r="B15372" s="37" t="str">
        <f t="array" ref="B15372">iferror(xlookup($I15372, 'IMPORT VHC Report'!$E:$E, 'IMPORT VHC Report'!$A:$C), )</f>
        <v/>
      </c>
      <c r="C15372" s="44"/>
      <c r="D15372" s="44"/>
      <c r="E15372" s="46" t="s">
        <v>11536</v>
      </c>
      <c r="F15372" s="46" t="s">
        <v>4888</v>
      </c>
      <c r="G15372" s="46">
        <v>6.392444639375E12</v>
      </c>
      <c r="H15372" s="46" t="s">
        <v>4889</v>
      </c>
      <c r="I15372" s="46" t="s">
        <v>4890</v>
      </c>
      <c r="J15372" s="46" t="s">
        <v>132</v>
      </c>
      <c r="K15372" s="46" t="s">
        <v>126</v>
      </c>
      <c r="L15372" s="45">
        <v>46016.885416666664</v>
      </c>
      <c r="M15372" s="46" t="s">
        <v>123</v>
      </c>
      <c r="N15372" s="45">
        <v>46016.927083333336</v>
      </c>
      <c r="O15372" s="46" t="s">
        <v>123</v>
      </c>
      <c r="P15372" s="46">
        <v>3600.0</v>
      </c>
    </row>
    <row r="15373">
      <c r="A15373" s="40">
        <f t="shared" si="1"/>
        <v>46013</v>
      </c>
      <c r="B15373" s="37" t="str">
        <f t="array" ref="B15373">iferror(xlookup($I15373, 'IMPORT VHC Report'!$E:$E, 'IMPORT VHC Report'!$A:$C), )</f>
        <v/>
      </c>
      <c r="C15373" s="44"/>
      <c r="D15373" s="44"/>
      <c r="E15373" s="46" t="s">
        <v>11537</v>
      </c>
      <c r="F15373" s="46" t="s">
        <v>4888</v>
      </c>
      <c r="G15373" s="46">
        <v>6.392444639375E12</v>
      </c>
      <c r="H15373" s="46" t="s">
        <v>4889</v>
      </c>
      <c r="I15373" s="46" t="s">
        <v>4890</v>
      </c>
      <c r="J15373" s="46" t="s">
        <v>134</v>
      </c>
      <c r="K15373" s="46" t="s">
        <v>126</v>
      </c>
      <c r="L15373" s="45">
        <v>46017.010416666664</v>
      </c>
      <c r="M15373" s="46" t="s">
        <v>123</v>
      </c>
      <c r="N15373" s="45">
        <v>46017.020833333336</v>
      </c>
      <c r="O15373" s="46" t="s">
        <v>123</v>
      </c>
      <c r="P15373" s="46">
        <v>900.0</v>
      </c>
    </row>
    <row r="15374">
      <c r="A15374" s="40">
        <f t="shared" si="1"/>
        <v>46013</v>
      </c>
      <c r="B15374" s="37" t="str">
        <f t="array" ref="B15374">iferror(xlookup($I15374, 'IMPORT VHC Report'!$E:$E, 'IMPORT VHC Report'!$A:$C), )</f>
        <v/>
      </c>
      <c r="C15374" s="44"/>
      <c r="D15374" s="44"/>
      <c r="E15374" s="46" t="s">
        <v>11538</v>
      </c>
      <c r="F15374" s="46" t="s">
        <v>4888</v>
      </c>
      <c r="G15374" s="46">
        <v>6.392444639375E12</v>
      </c>
      <c r="H15374" s="46" t="s">
        <v>4889</v>
      </c>
      <c r="I15374" s="46" t="s">
        <v>4890</v>
      </c>
      <c r="J15374" s="46" t="s">
        <v>4891</v>
      </c>
      <c r="K15374" s="46" t="s">
        <v>63</v>
      </c>
      <c r="L15374" s="45">
        <v>46017.708333333336</v>
      </c>
      <c r="M15374" s="46" t="s">
        <v>123</v>
      </c>
      <c r="N15374" s="45">
        <v>46018.083333333336</v>
      </c>
      <c r="O15374" s="46" t="s">
        <v>123</v>
      </c>
      <c r="P15374" s="46">
        <v>32400.0</v>
      </c>
    </row>
    <row r="15375">
      <c r="A15375" s="40">
        <f t="shared" si="1"/>
        <v>46013</v>
      </c>
      <c r="B15375" s="37" t="str">
        <f t="array" ref="B15375">iferror(xlookup($I15375, 'IMPORT VHC Report'!$E:$E, 'IMPORT VHC Report'!$A:$C), )</f>
        <v/>
      </c>
      <c r="C15375" s="44"/>
      <c r="D15375" s="44"/>
      <c r="E15375" s="46" t="s">
        <v>11539</v>
      </c>
      <c r="F15375" s="46" t="s">
        <v>4888</v>
      </c>
      <c r="G15375" s="46">
        <v>6.392444639375E12</v>
      </c>
      <c r="H15375" s="46" t="s">
        <v>4889</v>
      </c>
      <c r="I15375" s="46" t="s">
        <v>4890</v>
      </c>
      <c r="J15375" s="46" t="s">
        <v>134</v>
      </c>
      <c r="K15375" s="46" t="s">
        <v>126</v>
      </c>
      <c r="L15375" s="45">
        <v>46017.8125</v>
      </c>
      <c r="M15375" s="46" t="s">
        <v>123</v>
      </c>
      <c r="N15375" s="45">
        <v>46017.822916666664</v>
      </c>
      <c r="O15375" s="46" t="s">
        <v>123</v>
      </c>
      <c r="P15375" s="46">
        <v>900.0</v>
      </c>
    </row>
    <row r="15376">
      <c r="A15376" s="40">
        <f t="shared" si="1"/>
        <v>46013</v>
      </c>
      <c r="B15376" s="37" t="str">
        <f t="array" ref="B15376">iferror(xlookup($I15376, 'IMPORT VHC Report'!$E:$E, 'IMPORT VHC Report'!$A:$C), )</f>
        <v/>
      </c>
      <c r="C15376" s="44"/>
      <c r="D15376" s="44"/>
      <c r="E15376" s="46" t="s">
        <v>11540</v>
      </c>
      <c r="F15376" s="46" t="s">
        <v>4888</v>
      </c>
      <c r="G15376" s="46">
        <v>6.392444639375E12</v>
      </c>
      <c r="H15376" s="46" t="s">
        <v>4889</v>
      </c>
      <c r="I15376" s="46" t="s">
        <v>4890</v>
      </c>
      <c r="J15376" s="46" t="s">
        <v>132</v>
      </c>
      <c r="K15376" s="46" t="s">
        <v>126</v>
      </c>
      <c r="L15376" s="45">
        <v>46017.895833333336</v>
      </c>
      <c r="M15376" s="46" t="s">
        <v>123</v>
      </c>
      <c r="N15376" s="45">
        <v>46017.9375</v>
      </c>
      <c r="O15376" s="46" t="s">
        <v>123</v>
      </c>
      <c r="P15376" s="46">
        <v>3600.0</v>
      </c>
    </row>
    <row r="15377">
      <c r="A15377" s="40">
        <f t="shared" si="1"/>
        <v>46013</v>
      </c>
      <c r="B15377" s="37" t="str">
        <f t="array" ref="B15377">iferror(xlookup($I15377, 'IMPORT VHC Report'!$E:$E, 'IMPORT VHC Report'!$A:$C), )</f>
        <v/>
      </c>
      <c r="C15377" s="44"/>
      <c r="D15377" s="44"/>
      <c r="E15377" s="46" t="s">
        <v>11541</v>
      </c>
      <c r="F15377" s="46" t="s">
        <v>4888</v>
      </c>
      <c r="G15377" s="46">
        <v>6.392444639375E12</v>
      </c>
      <c r="H15377" s="46" t="s">
        <v>4889</v>
      </c>
      <c r="I15377" s="46" t="s">
        <v>4890</v>
      </c>
      <c r="J15377" s="46" t="s">
        <v>134</v>
      </c>
      <c r="K15377" s="46" t="s">
        <v>126</v>
      </c>
      <c r="L15377" s="45">
        <v>46018.010416666664</v>
      </c>
      <c r="M15377" s="46" t="s">
        <v>123</v>
      </c>
      <c r="N15377" s="45">
        <v>46018.020833333336</v>
      </c>
      <c r="O15377" s="46" t="s">
        <v>123</v>
      </c>
      <c r="P15377" s="46">
        <v>900.0</v>
      </c>
    </row>
    <row r="15378">
      <c r="A15378" s="40">
        <f t="shared" si="1"/>
        <v>46013</v>
      </c>
      <c r="B15378" s="37" t="str">
        <f t="array" ref="B15378">iferror(xlookup($I15378, 'IMPORT VHC Report'!$E:$E, 'IMPORT VHC Report'!$A:$C), )</f>
        <v/>
      </c>
      <c r="C15378" s="44"/>
      <c r="D15378" s="44"/>
      <c r="E15378" s="46" t="s">
        <v>11542</v>
      </c>
      <c r="F15378" s="46" t="s">
        <v>5036</v>
      </c>
      <c r="G15378" s="46">
        <v>4.759846838031E12</v>
      </c>
      <c r="H15378" s="46" t="s">
        <v>5037</v>
      </c>
      <c r="I15378" s="46" t="s">
        <v>5038</v>
      </c>
      <c r="J15378" s="46" t="s">
        <v>4891</v>
      </c>
      <c r="K15378" s="46" t="s">
        <v>63</v>
      </c>
      <c r="L15378" s="45">
        <v>46013.708333333336</v>
      </c>
      <c r="M15378" s="46" t="s">
        <v>123</v>
      </c>
      <c r="N15378" s="45">
        <v>46014.083333333336</v>
      </c>
      <c r="O15378" s="46" t="s">
        <v>123</v>
      </c>
      <c r="P15378" s="46">
        <v>32400.0</v>
      </c>
    </row>
    <row r="15379">
      <c r="A15379" s="40">
        <f t="shared" si="1"/>
        <v>46013</v>
      </c>
      <c r="B15379" s="37" t="str">
        <f t="array" ref="B15379">iferror(xlookup($I15379, 'IMPORT VHC Report'!$E:$E, 'IMPORT VHC Report'!$A:$C), )</f>
        <v/>
      </c>
      <c r="C15379" s="44"/>
      <c r="D15379" s="44"/>
      <c r="E15379" s="46" t="s">
        <v>11543</v>
      </c>
      <c r="F15379" s="46" t="s">
        <v>5036</v>
      </c>
      <c r="G15379" s="46">
        <v>4.759846838031E12</v>
      </c>
      <c r="H15379" s="46" t="s">
        <v>5037</v>
      </c>
      <c r="I15379" s="46" t="s">
        <v>5038</v>
      </c>
      <c r="J15379" s="46" t="s">
        <v>134</v>
      </c>
      <c r="K15379" s="46" t="s">
        <v>126</v>
      </c>
      <c r="L15379" s="45">
        <v>46013.78125</v>
      </c>
      <c r="M15379" s="46" t="s">
        <v>123</v>
      </c>
      <c r="N15379" s="45">
        <v>46013.791666666664</v>
      </c>
      <c r="O15379" s="46" t="s">
        <v>123</v>
      </c>
      <c r="P15379" s="46">
        <v>900.0</v>
      </c>
    </row>
    <row r="15380">
      <c r="A15380" s="40">
        <f t="shared" si="1"/>
        <v>46013</v>
      </c>
      <c r="B15380" s="37" t="str">
        <f t="array" ref="B15380">iferror(xlookup($I15380, 'IMPORT VHC Report'!$E:$E, 'IMPORT VHC Report'!$A:$C), )</f>
        <v/>
      </c>
      <c r="C15380" s="44"/>
      <c r="D15380" s="44"/>
      <c r="E15380" s="46" t="s">
        <v>11544</v>
      </c>
      <c r="F15380" s="46" t="s">
        <v>5036</v>
      </c>
      <c r="G15380" s="46">
        <v>4.759846838031E12</v>
      </c>
      <c r="H15380" s="46" t="s">
        <v>5037</v>
      </c>
      <c r="I15380" s="46" t="s">
        <v>5038</v>
      </c>
      <c r="J15380" s="46" t="s">
        <v>132</v>
      </c>
      <c r="K15380" s="46" t="s">
        <v>126</v>
      </c>
      <c r="L15380" s="45">
        <v>46013.885416666664</v>
      </c>
      <c r="M15380" s="46" t="s">
        <v>123</v>
      </c>
      <c r="N15380" s="45">
        <v>46013.927083333336</v>
      </c>
      <c r="O15380" s="46" t="s">
        <v>123</v>
      </c>
      <c r="P15380" s="46">
        <v>3600.0</v>
      </c>
    </row>
    <row r="15381">
      <c r="A15381" s="40">
        <f t="shared" si="1"/>
        <v>46013</v>
      </c>
      <c r="B15381" s="37" t="str">
        <f t="array" ref="B15381">iferror(xlookup($I15381, 'IMPORT VHC Report'!$E:$E, 'IMPORT VHC Report'!$A:$C), )</f>
        <v/>
      </c>
      <c r="C15381" s="44"/>
      <c r="D15381" s="44"/>
      <c r="E15381" s="46" t="s">
        <v>11545</v>
      </c>
      <c r="F15381" s="46" t="s">
        <v>5036</v>
      </c>
      <c r="G15381" s="46">
        <v>4.759846838031E12</v>
      </c>
      <c r="H15381" s="46" t="s">
        <v>5037</v>
      </c>
      <c r="I15381" s="46" t="s">
        <v>5038</v>
      </c>
      <c r="J15381" s="46" t="s">
        <v>134</v>
      </c>
      <c r="K15381" s="46" t="s">
        <v>126</v>
      </c>
      <c r="L15381" s="45">
        <v>46014.010416666664</v>
      </c>
      <c r="M15381" s="46" t="s">
        <v>123</v>
      </c>
      <c r="N15381" s="45">
        <v>46014.020833333336</v>
      </c>
      <c r="O15381" s="46" t="s">
        <v>123</v>
      </c>
      <c r="P15381" s="46">
        <v>900.0</v>
      </c>
    </row>
    <row r="15382">
      <c r="A15382" s="40">
        <f t="shared" si="1"/>
        <v>46013</v>
      </c>
      <c r="B15382" s="37" t="str">
        <f t="array" ref="B15382">iferror(xlookup($I15382, 'IMPORT VHC Report'!$E:$E, 'IMPORT VHC Report'!$A:$C), )</f>
        <v/>
      </c>
      <c r="C15382" s="44"/>
      <c r="D15382" s="44"/>
      <c r="E15382" s="46" t="s">
        <v>11546</v>
      </c>
      <c r="F15382" s="46" t="s">
        <v>5036</v>
      </c>
      <c r="G15382" s="46">
        <v>4.759846838031E12</v>
      </c>
      <c r="H15382" s="46" t="s">
        <v>5037</v>
      </c>
      <c r="I15382" s="46" t="s">
        <v>5038</v>
      </c>
      <c r="J15382" s="46" t="s">
        <v>4891</v>
      </c>
      <c r="K15382" s="46" t="s">
        <v>63</v>
      </c>
      <c r="L15382" s="45">
        <v>46014.708333333336</v>
      </c>
      <c r="M15382" s="46" t="s">
        <v>123</v>
      </c>
      <c r="N15382" s="45">
        <v>46015.083333333336</v>
      </c>
      <c r="O15382" s="46" t="s">
        <v>123</v>
      </c>
      <c r="P15382" s="46">
        <v>32400.0</v>
      </c>
    </row>
    <row r="15383">
      <c r="A15383" s="40">
        <f t="shared" si="1"/>
        <v>46013</v>
      </c>
      <c r="B15383" s="37" t="str">
        <f t="array" ref="B15383">iferror(xlookup($I15383, 'IMPORT VHC Report'!$E:$E, 'IMPORT VHC Report'!$A:$C), )</f>
        <v/>
      </c>
      <c r="C15383" s="44"/>
      <c r="D15383" s="44"/>
      <c r="E15383" s="46" t="s">
        <v>11547</v>
      </c>
      <c r="F15383" s="46" t="s">
        <v>5036</v>
      </c>
      <c r="G15383" s="46">
        <v>4.759846838031E12</v>
      </c>
      <c r="H15383" s="46" t="s">
        <v>5037</v>
      </c>
      <c r="I15383" s="46" t="s">
        <v>5038</v>
      </c>
      <c r="J15383" s="46" t="s">
        <v>134</v>
      </c>
      <c r="K15383" s="46" t="s">
        <v>126</v>
      </c>
      <c r="L15383" s="45">
        <v>46014.802083333336</v>
      </c>
      <c r="M15383" s="46" t="s">
        <v>123</v>
      </c>
      <c r="N15383" s="45">
        <v>46014.8125</v>
      </c>
      <c r="O15383" s="46" t="s">
        <v>123</v>
      </c>
      <c r="P15383" s="46">
        <v>900.0</v>
      </c>
    </row>
    <row r="15384">
      <c r="A15384" s="40">
        <f t="shared" si="1"/>
        <v>46013</v>
      </c>
      <c r="B15384" s="37" t="str">
        <f t="array" ref="B15384">iferror(xlookup($I15384, 'IMPORT VHC Report'!$E:$E, 'IMPORT VHC Report'!$A:$C), )</f>
        <v/>
      </c>
      <c r="C15384" s="44"/>
      <c r="D15384" s="44"/>
      <c r="E15384" s="46" t="s">
        <v>11548</v>
      </c>
      <c r="F15384" s="46" t="s">
        <v>5036</v>
      </c>
      <c r="G15384" s="46">
        <v>4.759846838031E12</v>
      </c>
      <c r="H15384" s="46" t="s">
        <v>5037</v>
      </c>
      <c r="I15384" s="46" t="s">
        <v>5038</v>
      </c>
      <c r="J15384" s="46" t="s">
        <v>132</v>
      </c>
      <c r="K15384" s="46" t="s">
        <v>126</v>
      </c>
      <c r="L15384" s="45">
        <v>46014.885416666664</v>
      </c>
      <c r="M15384" s="46" t="s">
        <v>123</v>
      </c>
      <c r="N15384" s="45">
        <v>46014.927083333336</v>
      </c>
      <c r="O15384" s="46" t="s">
        <v>123</v>
      </c>
      <c r="P15384" s="46">
        <v>3600.0</v>
      </c>
    </row>
    <row r="15385">
      <c r="A15385" s="40">
        <f t="shared" si="1"/>
        <v>46013</v>
      </c>
      <c r="B15385" s="37" t="str">
        <f t="array" ref="B15385">iferror(xlookup($I15385, 'IMPORT VHC Report'!$E:$E, 'IMPORT VHC Report'!$A:$C), )</f>
        <v/>
      </c>
      <c r="C15385" s="44"/>
      <c r="D15385" s="44"/>
      <c r="E15385" s="46" t="s">
        <v>11549</v>
      </c>
      <c r="F15385" s="46" t="s">
        <v>5036</v>
      </c>
      <c r="G15385" s="46">
        <v>4.759846838031E12</v>
      </c>
      <c r="H15385" s="46" t="s">
        <v>5037</v>
      </c>
      <c r="I15385" s="46" t="s">
        <v>5038</v>
      </c>
      <c r="J15385" s="46" t="s">
        <v>134</v>
      </c>
      <c r="K15385" s="46" t="s">
        <v>126</v>
      </c>
      <c r="L15385" s="45">
        <v>46015.010416666664</v>
      </c>
      <c r="M15385" s="46" t="s">
        <v>123</v>
      </c>
      <c r="N15385" s="45">
        <v>46015.020833333336</v>
      </c>
      <c r="O15385" s="46" t="s">
        <v>123</v>
      </c>
      <c r="P15385" s="46">
        <v>900.0</v>
      </c>
    </row>
    <row r="15386">
      <c r="A15386" s="40">
        <f t="shared" si="1"/>
        <v>46013</v>
      </c>
      <c r="B15386" s="37" t="str">
        <f t="array" ref="B15386">iferror(xlookup($I15386, 'IMPORT VHC Report'!$E:$E, 'IMPORT VHC Report'!$A:$C), )</f>
        <v/>
      </c>
      <c r="C15386" s="44"/>
      <c r="D15386" s="44"/>
      <c r="E15386" s="46" t="s">
        <v>11550</v>
      </c>
      <c r="F15386" s="46" t="s">
        <v>5036</v>
      </c>
      <c r="G15386" s="46">
        <v>4.759846838031E12</v>
      </c>
      <c r="H15386" s="46" t="s">
        <v>5037</v>
      </c>
      <c r="I15386" s="46" t="s">
        <v>5038</v>
      </c>
      <c r="J15386" s="46" t="s">
        <v>4891</v>
      </c>
      <c r="K15386" s="46" t="s">
        <v>63</v>
      </c>
      <c r="L15386" s="45">
        <v>46015.708333333336</v>
      </c>
      <c r="M15386" s="46" t="s">
        <v>123</v>
      </c>
      <c r="N15386" s="45">
        <v>46016.083333333336</v>
      </c>
      <c r="O15386" s="46" t="s">
        <v>123</v>
      </c>
      <c r="P15386" s="46">
        <v>32400.0</v>
      </c>
    </row>
    <row r="15387">
      <c r="A15387" s="40">
        <f t="shared" si="1"/>
        <v>46013</v>
      </c>
      <c r="B15387" s="37" t="str">
        <f t="array" ref="B15387">iferror(xlookup($I15387, 'IMPORT VHC Report'!$E:$E, 'IMPORT VHC Report'!$A:$C), )</f>
        <v/>
      </c>
      <c r="C15387" s="44"/>
      <c r="D15387" s="44"/>
      <c r="E15387" s="46" t="s">
        <v>11551</v>
      </c>
      <c r="F15387" s="46" t="s">
        <v>5036</v>
      </c>
      <c r="G15387" s="46">
        <v>4.759846838031E12</v>
      </c>
      <c r="H15387" s="46" t="s">
        <v>5037</v>
      </c>
      <c r="I15387" s="46" t="s">
        <v>5038</v>
      </c>
      <c r="J15387" s="46" t="s">
        <v>134</v>
      </c>
      <c r="K15387" s="46" t="s">
        <v>126</v>
      </c>
      <c r="L15387" s="45">
        <v>46015.822916666664</v>
      </c>
      <c r="M15387" s="46" t="s">
        <v>123</v>
      </c>
      <c r="N15387" s="45">
        <v>46015.833333333336</v>
      </c>
      <c r="O15387" s="46" t="s">
        <v>123</v>
      </c>
      <c r="P15387" s="46">
        <v>900.0</v>
      </c>
    </row>
    <row r="15388">
      <c r="A15388" s="40">
        <f t="shared" si="1"/>
        <v>46013</v>
      </c>
      <c r="B15388" s="37" t="str">
        <f t="array" ref="B15388">iferror(xlookup($I15388, 'IMPORT VHC Report'!$E:$E, 'IMPORT VHC Report'!$A:$C), )</f>
        <v/>
      </c>
      <c r="C15388" s="44"/>
      <c r="D15388" s="44"/>
      <c r="E15388" s="46" t="s">
        <v>11552</v>
      </c>
      <c r="F15388" s="46" t="s">
        <v>5036</v>
      </c>
      <c r="G15388" s="46">
        <v>4.759846838031E12</v>
      </c>
      <c r="H15388" s="46" t="s">
        <v>5037</v>
      </c>
      <c r="I15388" s="46" t="s">
        <v>5038</v>
      </c>
      <c r="J15388" s="46" t="s">
        <v>132</v>
      </c>
      <c r="K15388" s="46" t="s">
        <v>126</v>
      </c>
      <c r="L15388" s="45">
        <v>46015.895833333336</v>
      </c>
      <c r="M15388" s="46" t="s">
        <v>123</v>
      </c>
      <c r="N15388" s="45">
        <v>46015.9375</v>
      </c>
      <c r="O15388" s="46" t="s">
        <v>123</v>
      </c>
      <c r="P15388" s="46">
        <v>3600.0</v>
      </c>
    </row>
    <row r="15389">
      <c r="A15389" s="40">
        <f t="shared" si="1"/>
        <v>46013</v>
      </c>
      <c r="B15389" s="37" t="str">
        <f t="array" ref="B15389">iferror(xlookup($I15389, 'IMPORT VHC Report'!$E:$E, 'IMPORT VHC Report'!$A:$C), )</f>
        <v/>
      </c>
      <c r="C15389" s="44"/>
      <c r="D15389" s="44"/>
      <c r="E15389" s="46" t="s">
        <v>11553</v>
      </c>
      <c r="F15389" s="46" t="s">
        <v>5036</v>
      </c>
      <c r="G15389" s="46">
        <v>4.759846838031E12</v>
      </c>
      <c r="H15389" s="46" t="s">
        <v>5037</v>
      </c>
      <c r="I15389" s="46" t="s">
        <v>5038</v>
      </c>
      <c r="J15389" s="46" t="s">
        <v>134</v>
      </c>
      <c r="K15389" s="46" t="s">
        <v>126</v>
      </c>
      <c r="L15389" s="45">
        <v>46016.0</v>
      </c>
      <c r="M15389" s="46" t="s">
        <v>123</v>
      </c>
      <c r="N15389" s="45">
        <v>46016.010416666664</v>
      </c>
      <c r="O15389" s="46" t="s">
        <v>123</v>
      </c>
      <c r="P15389" s="46">
        <v>900.0</v>
      </c>
    </row>
    <row r="15390">
      <c r="A15390" s="40">
        <f t="shared" si="1"/>
        <v>46013</v>
      </c>
      <c r="B15390" s="37" t="str">
        <f t="array" ref="B15390">iferror(xlookup($I15390, 'IMPORT VHC Report'!$E:$E, 'IMPORT VHC Report'!$A:$C), )</f>
        <v/>
      </c>
      <c r="C15390" s="44"/>
      <c r="D15390" s="44"/>
      <c r="E15390" s="46" t="s">
        <v>11554</v>
      </c>
      <c r="F15390" s="46" t="s">
        <v>5036</v>
      </c>
      <c r="G15390" s="46">
        <v>4.759846838031E12</v>
      </c>
      <c r="H15390" s="46" t="s">
        <v>5037</v>
      </c>
      <c r="I15390" s="46" t="s">
        <v>5038</v>
      </c>
      <c r="J15390" s="46" t="s">
        <v>4891</v>
      </c>
      <c r="K15390" s="46" t="s">
        <v>63</v>
      </c>
      <c r="L15390" s="45">
        <v>46016.708333333336</v>
      </c>
      <c r="M15390" s="46" t="s">
        <v>123</v>
      </c>
      <c r="N15390" s="45">
        <v>46017.083333333336</v>
      </c>
      <c r="O15390" s="46" t="s">
        <v>123</v>
      </c>
      <c r="P15390" s="46">
        <v>32400.0</v>
      </c>
    </row>
    <row r="15391">
      <c r="A15391" s="40">
        <f t="shared" si="1"/>
        <v>46013</v>
      </c>
      <c r="B15391" s="37" t="str">
        <f t="array" ref="B15391">iferror(xlookup($I15391, 'IMPORT VHC Report'!$E:$E, 'IMPORT VHC Report'!$A:$C), )</f>
        <v/>
      </c>
      <c r="C15391" s="44"/>
      <c r="D15391" s="44"/>
      <c r="E15391" s="46" t="s">
        <v>11555</v>
      </c>
      <c r="F15391" s="46" t="s">
        <v>5036</v>
      </c>
      <c r="G15391" s="46">
        <v>4.759846838031E12</v>
      </c>
      <c r="H15391" s="46" t="s">
        <v>5037</v>
      </c>
      <c r="I15391" s="46" t="s">
        <v>5038</v>
      </c>
      <c r="J15391" s="46" t="s">
        <v>134</v>
      </c>
      <c r="K15391" s="46" t="s">
        <v>126</v>
      </c>
      <c r="L15391" s="45">
        <v>46016.78125</v>
      </c>
      <c r="M15391" s="46" t="s">
        <v>123</v>
      </c>
      <c r="N15391" s="45">
        <v>46016.791666666664</v>
      </c>
      <c r="O15391" s="46" t="s">
        <v>123</v>
      </c>
      <c r="P15391" s="46">
        <v>900.0</v>
      </c>
    </row>
    <row r="15392">
      <c r="A15392" s="40">
        <f t="shared" si="1"/>
        <v>46013</v>
      </c>
      <c r="B15392" s="37" t="str">
        <f t="array" ref="B15392">iferror(xlookup($I15392, 'IMPORT VHC Report'!$E:$E, 'IMPORT VHC Report'!$A:$C), )</f>
        <v/>
      </c>
      <c r="C15392" s="44"/>
      <c r="D15392" s="44"/>
      <c r="E15392" s="46" t="s">
        <v>11556</v>
      </c>
      <c r="F15392" s="46" t="s">
        <v>5036</v>
      </c>
      <c r="G15392" s="46">
        <v>4.759846838031E12</v>
      </c>
      <c r="H15392" s="46" t="s">
        <v>5037</v>
      </c>
      <c r="I15392" s="46" t="s">
        <v>5038</v>
      </c>
      <c r="J15392" s="46" t="s">
        <v>132</v>
      </c>
      <c r="K15392" s="46" t="s">
        <v>126</v>
      </c>
      <c r="L15392" s="45">
        <v>46016.885416666664</v>
      </c>
      <c r="M15392" s="46" t="s">
        <v>123</v>
      </c>
      <c r="N15392" s="45">
        <v>46016.927083333336</v>
      </c>
      <c r="O15392" s="46" t="s">
        <v>123</v>
      </c>
      <c r="P15392" s="46">
        <v>3600.0</v>
      </c>
    </row>
    <row r="15393">
      <c r="A15393" s="40">
        <f t="shared" si="1"/>
        <v>46013</v>
      </c>
      <c r="B15393" s="37" t="str">
        <f t="array" ref="B15393">iferror(xlookup($I15393, 'IMPORT VHC Report'!$E:$E, 'IMPORT VHC Report'!$A:$C), )</f>
        <v/>
      </c>
      <c r="C15393" s="44"/>
      <c r="D15393" s="44"/>
      <c r="E15393" s="46" t="s">
        <v>11557</v>
      </c>
      <c r="F15393" s="46" t="s">
        <v>5036</v>
      </c>
      <c r="G15393" s="46">
        <v>4.759846838031E12</v>
      </c>
      <c r="H15393" s="46" t="s">
        <v>5037</v>
      </c>
      <c r="I15393" s="46" t="s">
        <v>5038</v>
      </c>
      <c r="J15393" s="46" t="s">
        <v>134</v>
      </c>
      <c r="K15393" s="46" t="s">
        <v>126</v>
      </c>
      <c r="L15393" s="45">
        <v>46017.010416666664</v>
      </c>
      <c r="M15393" s="46" t="s">
        <v>123</v>
      </c>
      <c r="N15393" s="45">
        <v>46017.020833333336</v>
      </c>
      <c r="O15393" s="46" t="s">
        <v>123</v>
      </c>
      <c r="P15393" s="46">
        <v>900.0</v>
      </c>
    </row>
    <row r="15394">
      <c r="A15394" s="40">
        <f t="shared" si="1"/>
        <v>46013</v>
      </c>
      <c r="B15394" s="37" t="str">
        <f t="array" ref="B15394">iferror(xlookup($I15394, 'IMPORT VHC Report'!$E:$E, 'IMPORT VHC Report'!$A:$C), )</f>
        <v/>
      </c>
      <c r="C15394" s="44"/>
      <c r="D15394" s="44"/>
      <c r="E15394" s="46" t="s">
        <v>11558</v>
      </c>
      <c r="F15394" s="46" t="s">
        <v>5036</v>
      </c>
      <c r="G15394" s="46">
        <v>4.759846838031E12</v>
      </c>
      <c r="H15394" s="46" t="s">
        <v>5037</v>
      </c>
      <c r="I15394" s="46" t="s">
        <v>5038</v>
      </c>
      <c r="J15394" s="46" t="s">
        <v>4891</v>
      </c>
      <c r="K15394" s="46" t="s">
        <v>63</v>
      </c>
      <c r="L15394" s="45">
        <v>46017.708333333336</v>
      </c>
      <c r="M15394" s="46" t="s">
        <v>123</v>
      </c>
      <c r="N15394" s="45">
        <v>46018.083333333336</v>
      </c>
      <c r="O15394" s="46" t="s">
        <v>123</v>
      </c>
      <c r="P15394" s="46">
        <v>32400.0</v>
      </c>
    </row>
    <row r="15395">
      <c r="A15395" s="40">
        <f t="shared" si="1"/>
        <v>46013</v>
      </c>
      <c r="B15395" s="37" t="str">
        <f t="array" ref="B15395">iferror(xlookup($I15395, 'IMPORT VHC Report'!$E:$E, 'IMPORT VHC Report'!$A:$C), )</f>
        <v/>
      </c>
      <c r="C15395" s="44"/>
      <c r="D15395" s="44"/>
      <c r="E15395" s="46" t="s">
        <v>11559</v>
      </c>
      <c r="F15395" s="46" t="s">
        <v>5036</v>
      </c>
      <c r="G15395" s="46">
        <v>4.759846838031E12</v>
      </c>
      <c r="H15395" s="46" t="s">
        <v>5037</v>
      </c>
      <c r="I15395" s="46" t="s">
        <v>5038</v>
      </c>
      <c r="J15395" s="46" t="s">
        <v>134</v>
      </c>
      <c r="K15395" s="46" t="s">
        <v>126</v>
      </c>
      <c r="L15395" s="45">
        <v>46017.78125</v>
      </c>
      <c r="M15395" s="46" t="s">
        <v>123</v>
      </c>
      <c r="N15395" s="45">
        <v>46017.791666666664</v>
      </c>
      <c r="O15395" s="46" t="s">
        <v>123</v>
      </c>
      <c r="P15395" s="46">
        <v>900.0</v>
      </c>
    </row>
    <row r="15396">
      <c r="A15396" s="40">
        <f t="shared" si="1"/>
        <v>46013</v>
      </c>
      <c r="B15396" s="37" t="str">
        <f t="array" ref="B15396">iferror(xlookup($I15396, 'IMPORT VHC Report'!$E:$E, 'IMPORT VHC Report'!$A:$C), )</f>
        <v/>
      </c>
      <c r="C15396" s="44"/>
      <c r="D15396" s="44"/>
      <c r="E15396" s="46" t="s">
        <v>11560</v>
      </c>
      <c r="F15396" s="46" t="s">
        <v>5036</v>
      </c>
      <c r="G15396" s="46">
        <v>4.759846838031E12</v>
      </c>
      <c r="H15396" s="46" t="s">
        <v>5037</v>
      </c>
      <c r="I15396" s="46" t="s">
        <v>5038</v>
      </c>
      <c r="J15396" s="46" t="s">
        <v>132</v>
      </c>
      <c r="K15396" s="46" t="s">
        <v>126</v>
      </c>
      <c r="L15396" s="45">
        <v>46017.885416666664</v>
      </c>
      <c r="M15396" s="46" t="s">
        <v>123</v>
      </c>
      <c r="N15396" s="45">
        <v>46017.927083333336</v>
      </c>
      <c r="O15396" s="46" t="s">
        <v>123</v>
      </c>
      <c r="P15396" s="46">
        <v>3600.0</v>
      </c>
    </row>
    <row r="15397">
      <c r="A15397" s="40">
        <f t="shared" si="1"/>
        <v>46013</v>
      </c>
      <c r="B15397" s="37" t="str">
        <f t="array" ref="B15397">iferror(xlookup($I15397, 'IMPORT VHC Report'!$E:$E, 'IMPORT VHC Report'!$A:$C), )</f>
        <v/>
      </c>
      <c r="C15397" s="44"/>
      <c r="D15397" s="44"/>
      <c r="E15397" s="46" t="s">
        <v>11561</v>
      </c>
      <c r="F15397" s="46" t="s">
        <v>5036</v>
      </c>
      <c r="G15397" s="46">
        <v>4.759846838031E12</v>
      </c>
      <c r="H15397" s="46" t="s">
        <v>5037</v>
      </c>
      <c r="I15397" s="46" t="s">
        <v>5038</v>
      </c>
      <c r="J15397" s="46" t="s">
        <v>134</v>
      </c>
      <c r="K15397" s="46" t="s">
        <v>126</v>
      </c>
      <c r="L15397" s="45">
        <v>46017.989583333336</v>
      </c>
      <c r="M15397" s="46" t="s">
        <v>123</v>
      </c>
      <c r="N15397" s="45">
        <v>46018.0</v>
      </c>
      <c r="O15397" s="46" t="s">
        <v>123</v>
      </c>
      <c r="P15397" s="46">
        <v>900.0</v>
      </c>
    </row>
    <row r="15398">
      <c r="A15398" s="40">
        <f t="shared" si="1"/>
        <v>46013</v>
      </c>
      <c r="B15398" s="37" t="str">
        <f t="array" ref="B15398">iferror(xlookup($I15398, 'IMPORT VHC Report'!$E:$E, 'IMPORT VHC Report'!$A:$C), )</f>
        <v/>
      </c>
      <c r="C15398" s="44"/>
      <c r="D15398" s="44"/>
      <c r="E15398" s="46" t="s">
        <v>11562</v>
      </c>
      <c r="F15398" s="46" t="s">
        <v>4121</v>
      </c>
      <c r="G15398" s="46">
        <v>3.61724828456E11</v>
      </c>
      <c r="H15398" s="46" t="s">
        <v>4122</v>
      </c>
      <c r="I15398" s="46" t="s">
        <v>4123</v>
      </c>
      <c r="J15398" s="46" t="s">
        <v>4125</v>
      </c>
      <c r="K15398" s="46" t="s">
        <v>63</v>
      </c>
      <c r="L15398" s="45">
        <v>46013.5</v>
      </c>
      <c r="M15398" s="46" t="s">
        <v>123</v>
      </c>
      <c r="N15398" s="45">
        <v>46013.875</v>
      </c>
      <c r="O15398" s="46" t="s">
        <v>123</v>
      </c>
      <c r="P15398" s="46">
        <v>32400.0</v>
      </c>
    </row>
    <row r="15399">
      <c r="A15399" s="40">
        <f t="shared" si="1"/>
        <v>46013</v>
      </c>
      <c r="B15399" s="37" t="str">
        <f t="array" ref="B15399">iferror(xlookup($I15399, 'IMPORT VHC Report'!$E:$E, 'IMPORT VHC Report'!$A:$C), )</f>
        <v/>
      </c>
      <c r="C15399" s="44"/>
      <c r="D15399" s="44"/>
      <c r="E15399" s="46" t="s">
        <v>11563</v>
      </c>
      <c r="F15399" s="46" t="s">
        <v>4121</v>
      </c>
      <c r="G15399" s="46">
        <v>3.61724828456E11</v>
      </c>
      <c r="H15399" s="46" t="s">
        <v>4122</v>
      </c>
      <c r="I15399" s="46" t="s">
        <v>4123</v>
      </c>
      <c r="J15399" s="46" t="s">
        <v>134</v>
      </c>
      <c r="K15399" s="46" t="s">
        <v>126</v>
      </c>
      <c r="L15399" s="45">
        <v>46013.572916666664</v>
      </c>
      <c r="M15399" s="46" t="s">
        <v>123</v>
      </c>
      <c r="N15399" s="45">
        <v>46013.583333333336</v>
      </c>
      <c r="O15399" s="46" t="s">
        <v>123</v>
      </c>
      <c r="P15399" s="46">
        <v>900.0</v>
      </c>
    </row>
    <row r="15400">
      <c r="A15400" s="40">
        <f t="shared" si="1"/>
        <v>46013</v>
      </c>
      <c r="B15400" s="37" t="str">
        <f t="array" ref="B15400">iferror(xlookup($I15400, 'IMPORT VHC Report'!$E:$E, 'IMPORT VHC Report'!$A:$C), )</f>
        <v/>
      </c>
      <c r="C15400" s="44"/>
      <c r="D15400" s="44"/>
      <c r="E15400" s="46" t="s">
        <v>11564</v>
      </c>
      <c r="F15400" s="46" t="s">
        <v>4121</v>
      </c>
      <c r="G15400" s="46">
        <v>3.61724828456E11</v>
      </c>
      <c r="H15400" s="46" t="s">
        <v>4122</v>
      </c>
      <c r="I15400" s="46" t="s">
        <v>4123</v>
      </c>
      <c r="J15400" s="46" t="s">
        <v>132</v>
      </c>
      <c r="K15400" s="46" t="s">
        <v>126</v>
      </c>
      <c r="L15400" s="45">
        <v>46013.65625</v>
      </c>
      <c r="M15400" s="46" t="s">
        <v>123</v>
      </c>
      <c r="N15400" s="45">
        <v>46013.697916666664</v>
      </c>
      <c r="O15400" s="46" t="s">
        <v>123</v>
      </c>
      <c r="P15400" s="46">
        <v>3600.0</v>
      </c>
    </row>
    <row r="15401">
      <c r="A15401" s="40">
        <f t="shared" si="1"/>
        <v>46013</v>
      </c>
      <c r="B15401" s="37" t="str">
        <f t="array" ref="B15401">iferror(xlookup($I15401, 'IMPORT VHC Report'!$E:$E, 'IMPORT VHC Report'!$A:$C), )</f>
        <v/>
      </c>
      <c r="C15401" s="44"/>
      <c r="D15401" s="44"/>
      <c r="E15401" s="46" t="s">
        <v>11565</v>
      </c>
      <c r="F15401" s="46" t="s">
        <v>4121</v>
      </c>
      <c r="G15401" s="46">
        <v>3.61724828456E11</v>
      </c>
      <c r="H15401" s="46" t="s">
        <v>4122</v>
      </c>
      <c r="I15401" s="46" t="s">
        <v>4123</v>
      </c>
      <c r="J15401" s="46" t="s">
        <v>134</v>
      </c>
      <c r="K15401" s="46" t="s">
        <v>126</v>
      </c>
      <c r="L15401" s="45">
        <v>46013.791666666664</v>
      </c>
      <c r="M15401" s="46" t="s">
        <v>123</v>
      </c>
      <c r="N15401" s="45">
        <v>46013.802083333336</v>
      </c>
      <c r="O15401" s="46" t="s">
        <v>123</v>
      </c>
      <c r="P15401" s="46">
        <v>900.0</v>
      </c>
    </row>
    <row r="15402">
      <c r="A15402" s="40">
        <f t="shared" si="1"/>
        <v>46013</v>
      </c>
      <c r="B15402" s="37" t="str">
        <f t="array" ref="B15402">iferror(xlookup($I15402, 'IMPORT VHC Report'!$E:$E, 'IMPORT VHC Report'!$A:$C), )</f>
        <v/>
      </c>
      <c r="C15402" s="44"/>
      <c r="D15402" s="44"/>
      <c r="E15402" s="46" t="s">
        <v>11566</v>
      </c>
      <c r="F15402" s="46" t="s">
        <v>4121</v>
      </c>
      <c r="G15402" s="46">
        <v>3.61724828456E11</v>
      </c>
      <c r="H15402" s="46" t="s">
        <v>4122</v>
      </c>
      <c r="I15402" s="46" t="s">
        <v>4123</v>
      </c>
      <c r="J15402" s="46" t="s">
        <v>4125</v>
      </c>
      <c r="K15402" s="46" t="s">
        <v>63</v>
      </c>
      <c r="L15402" s="45">
        <v>46014.5</v>
      </c>
      <c r="M15402" s="46" t="s">
        <v>123</v>
      </c>
      <c r="N15402" s="45">
        <v>46014.875</v>
      </c>
      <c r="O15402" s="46" t="s">
        <v>123</v>
      </c>
      <c r="P15402" s="46">
        <v>32400.0</v>
      </c>
    </row>
    <row r="15403">
      <c r="A15403" s="40">
        <f t="shared" si="1"/>
        <v>46013</v>
      </c>
      <c r="B15403" s="37" t="str">
        <f t="array" ref="B15403">iferror(xlookup($I15403, 'IMPORT VHC Report'!$E:$E, 'IMPORT VHC Report'!$A:$C), )</f>
        <v/>
      </c>
      <c r="C15403" s="44"/>
      <c r="D15403" s="44"/>
      <c r="E15403" s="46" t="s">
        <v>11567</v>
      </c>
      <c r="F15403" s="46" t="s">
        <v>4121</v>
      </c>
      <c r="G15403" s="46">
        <v>3.61724828456E11</v>
      </c>
      <c r="H15403" s="46" t="s">
        <v>4122</v>
      </c>
      <c r="I15403" s="46" t="s">
        <v>4123</v>
      </c>
      <c r="J15403" s="46" t="s">
        <v>134</v>
      </c>
      <c r="K15403" s="46" t="s">
        <v>126</v>
      </c>
      <c r="L15403" s="45">
        <v>46014.572916666664</v>
      </c>
      <c r="M15403" s="46" t="s">
        <v>123</v>
      </c>
      <c r="N15403" s="45">
        <v>46014.583333333336</v>
      </c>
      <c r="O15403" s="46" t="s">
        <v>123</v>
      </c>
      <c r="P15403" s="46">
        <v>900.0</v>
      </c>
    </row>
    <row r="15404">
      <c r="A15404" s="40">
        <f t="shared" si="1"/>
        <v>46013</v>
      </c>
      <c r="B15404" s="37" t="str">
        <f t="array" ref="B15404">iferror(xlookup($I15404, 'IMPORT VHC Report'!$E:$E, 'IMPORT VHC Report'!$A:$C), )</f>
        <v/>
      </c>
      <c r="C15404" s="44"/>
      <c r="D15404" s="44"/>
      <c r="E15404" s="46" t="s">
        <v>11568</v>
      </c>
      <c r="F15404" s="46" t="s">
        <v>4121</v>
      </c>
      <c r="G15404" s="46">
        <v>3.61724828456E11</v>
      </c>
      <c r="H15404" s="46" t="s">
        <v>4122</v>
      </c>
      <c r="I15404" s="46" t="s">
        <v>4123</v>
      </c>
      <c r="J15404" s="46" t="s">
        <v>132</v>
      </c>
      <c r="K15404" s="46" t="s">
        <v>126</v>
      </c>
      <c r="L15404" s="45">
        <v>46014.645833333336</v>
      </c>
      <c r="M15404" s="46" t="s">
        <v>123</v>
      </c>
      <c r="N15404" s="45">
        <v>46014.6875</v>
      </c>
      <c r="O15404" s="46" t="s">
        <v>123</v>
      </c>
      <c r="P15404" s="46">
        <v>3600.0</v>
      </c>
    </row>
    <row r="15405">
      <c r="A15405" s="40">
        <f t="shared" si="1"/>
        <v>46013</v>
      </c>
      <c r="B15405" s="37" t="str">
        <f t="array" ref="B15405">iferror(xlookup($I15405, 'IMPORT VHC Report'!$E:$E, 'IMPORT VHC Report'!$A:$C), )</f>
        <v/>
      </c>
      <c r="C15405" s="44"/>
      <c r="D15405" s="44"/>
      <c r="E15405" s="46" t="s">
        <v>11569</v>
      </c>
      <c r="F15405" s="46" t="s">
        <v>4121</v>
      </c>
      <c r="G15405" s="46">
        <v>3.61724828456E11</v>
      </c>
      <c r="H15405" s="46" t="s">
        <v>4122</v>
      </c>
      <c r="I15405" s="46" t="s">
        <v>4123</v>
      </c>
      <c r="J15405" s="46" t="s">
        <v>134</v>
      </c>
      <c r="K15405" s="46" t="s">
        <v>126</v>
      </c>
      <c r="L15405" s="45">
        <v>46014.791666666664</v>
      </c>
      <c r="M15405" s="46" t="s">
        <v>123</v>
      </c>
      <c r="N15405" s="45">
        <v>46014.802083333336</v>
      </c>
      <c r="O15405" s="46" t="s">
        <v>123</v>
      </c>
      <c r="P15405" s="46">
        <v>900.0</v>
      </c>
    </row>
    <row r="15406">
      <c r="A15406" s="40">
        <f t="shared" si="1"/>
        <v>46013</v>
      </c>
      <c r="B15406" s="37" t="str">
        <f t="array" ref="B15406">iferror(xlookup($I15406, 'IMPORT VHC Report'!$E:$E, 'IMPORT VHC Report'!$A:$C), )</f>
        <v/>
      </c>
      <c r="C15406" s="44"/>
      <c r="D15406" s="44"/>
      <c r="E15406" s="46" t="s">
        <v>11570</v>
      </c>
      <c r="F15406" s="46" t="s">
        <v>4121</v>
      </c>
      <c r="G15406" s="46">
        <v>3.61724828456E11</v>
      </c>
      <c r="H15406" s="46" t="s">
        <v>4122</v>
      </c>
      <c r="I15406" s="46" t="s">
        <v>4123</v>
      </c>
      <c r="J15406" s="46" t="s">
        <v>178</v>
      </c>
      <c r="K15406" s="46" t="s">
        <v>153</v>
      </c>
      <c r="L15406" s="45">
        <v>46015.5</v>
      </c>
      <c r="M15406" s="46" t="s">
        <v>123</v>
      </c>
      <c r="N15406" s="45">
        <v>46015.875</v>
      </c>
      <c r="O15406" s="46" t="s">
        <v>123</v>
      </c>
      <c r="P15406" s="46">
        <v>32400.0</v>
      </c>
      <c r="Q15406" s="46">
        <v>32400.0</v>
      </c>
    </row>
    <row r="15407">
      <c r="A15407" s="40">
        <f t="shared" si="1"/>
        <v>46013</v>
      </c>
      <c r="B15407" s="37" t="str">
        <f t="array" ref="B15407">iferror(xlookup($I15407, 'IMPORT VHC Report'!$E:$E, 'IMPORT VHC Report'!$A:$C), )</f>
        <v/>
      </c>
      <c r="C15407" s="44"/>
      <c r="D15407" s="44"/>
      <c r="E15407" s="46" t="s">
        <v>11571</v>
      </c>
      <c r="F15407" s="46" t="s">
        <v>4121</v>
      </c>
      <c r="G15407" s="46">
        <v>3.61724828456E11</v>
      </c>
      <c r="H15407" s="46" t="s">
        <v>4122</v>
      </c>
      <c r="I15407" s="46" t="s">
        <v>4123</v>
      </c>
      <c r="J15407" s="46" t="s">
        <v>4125</v>
      </c>
      <c r="K15407" s="46" t="s">
        <v>63</v>
      </c>
      <c r="L15407" s="45">
        <v>46015.5</v>
      </c>
      <c r="M15407" s="46" t="s">
        <v>123</v>
      </c>
      <c r="N15407" s="45">
        <v>46015.875</v>
      </c>
      <c r="O15407" s="46" t="s">
        <v>123</v>
      </c>
      <c r="P15407" s="46">
        <v>32400.0</v>
      </c>
    </row>
    <row r="15408">
      <c r="A15408" s="40">
        <f t="shared" si="1"/>
        <v>46013</v>
      </c>
      <c r="B15408" s="37" t="str">
        <f t="array" ref="B15408">iferror(xlookup($I15408, 'IMPORT VHC Report'!$E:$E, 'IMPORT VHC Report'!$A:$C), )</f>
        <v/>
      </c>
      <c r="C15408" s="44"/>
      <c r="D15408" s="44"/>
      <c r="E15408" s="46" t="s">
        <v>11572</v>
      </c>
      <c r="F15408" s="46" t="s">
        <v>4121</v>
      </c>
      <c r="G15408" s="46">
        <v>3.61724828456E11</v>
      </c>
      <c r="H15408" s="46" t="s">
        <v>4122</v>
      </c>
      <c r="I15408" s="46" t="s">
        <v>4123</v>
      </c>
      <c r="J15408" s="46" t="s">
        <v>134</v>
      </c>
      <c r="K15408" s="46" t="s">
        <v>126</v>
      </c>
      <c r="L15408" s="45">
        <v>46015.59375</v>
      </c>
      <c r="M15408" s="46" t="s">
        <v>123</v>
      </c>
      <c r="N15408" s="45">
        <v>46015.604166666664</v>
      </c>
      <c r="O15408" s="46" t="s">
        <v>123</v>
      </c>
      <c r="P15408" s="46">
        <v>900.0</v>
      </c>
    </row>
    <row r="15409">
      <c r="A15409" s="40">
        <f t="shared" si="1"/>
        <v>46013</v>
      </c>
      <c r="B15409" s="37" t="str">
        <f t="array" ref="B15409">iferror(xlookup($I15409, 'IMPORT VHC Report'!$E:$E, 'IMPORT VHC Report'!$A:$C), )</f>
        <v/>
      </c>
      <c r="C15409" s="44"/>
      <c r="D15409" s="44"/>
      <c r="E15409" s="46" t="s">
        <v>11573</v>
      </c>
      <c r="F15409" s="46" t="s">
        <v>4121</v>
      </c>
      <c r="G15409" s="46">
        <v>3.61724828456E11</v>
      </c>
      <c r="H15409" s="46" t="s">
        <v>4122</v>
      </c>
      <c r="I15409" s="46" t="s">
        <v>4123</v>
      </c>
      <c r="J15409" s="46" t="s">
        <v>132</v>
      </c>
      <c r="K15409" s="46" t="s">
        <v>126</v>
      </c>
      <c r="L15409" s="45">
        <v>46015.697916666664</v>
      </c>
      <c r="M15409" s="46" t="s">
        <v>123</v>
      </c>
      <c r="N15409" s="45">
        <v>46015.739583333336</v>
      </c>
      <c r="O15409" s="46" t="s">
        <v>123</v>
      </c>
      <c r="P15409" s="46">
        <v>3600.0</v>
      </c>
    </row>
    <row r="15410">
      <c r="A15410" s="40">
        <f t="shared" si="1"/>
        <v>46013</v>
      </c>
      <c r="B15410" s="37" t="str">
        <f t="array" ref="B15410">iferror(xlookup($I15410, 'IMPORT VHC Report'!$E:$E, 'IMPORT VHC Report'!$A:$C), )</f>
        <v/>
      </c>
      <c r="C15410" s="44"/>
      <c r="D15410" s="44"/>
      <c r="E15410" s="46" t="s">
        <v>11574</v>
      </c>
      <c r="F15410" s="46" t="s">
        <v>4121</v>
      </c>
      <c r="G15410" s="46">
        <v>3.61724828456E11</v>
      </c>
      <c r="H15410" s="46" t="s">
        <v>4122</v>
      </c>
      <c r="I15410" s="46" t="s">
        <v>4123</v>
      </c>
      <c r="J15410" s="46" t="s">
        <v>134</v>
      </c>
      <c r="K15410" s="46" t="s">
        <v>126</v>
      </c>
      <c r="L15410" s="45">
        <v>46015.802083333336</v>
      </c>
      <c r="M15410" s="46" t="s">
        <v>123</v>
      </c>
      <c r="N15410" s="45">
        <v>46015.8125</v>
      </c>
      <c r="O15410" s="46" t="s">
        <v>123</v>
      </c>
      <c r="P15410" s="46">
        <v>900.0</v>
      </c>
    </row>
    <row r="15411">
      <c r="A15411" s="40">
        <f t="shared" si="1"/>
        <v>46013</v>
      </c>
      <c r="B15411" s="37" t="str">
        <f t="array" ref="B15411">iferror(xlookup($I15411, 'IMPORT VHC Report'!$E:$E, 'IMPORT VHC Report'!$A:$C), )</f>
        <v/>
      </c>
      <c r="C15411" s="44"/>
      <c r="D15411" s="44"/>
      <c r="E15411" s="46" t="s">
        <v>11575</v>
      </c>
      <c r="F15411" s="46" t="s">
        <v>4121</v>
      </c>
      <c r="G15411" s="46">
        <v>3.61724828456E11</v>
      </c>
      <c r="H15411" s="46" t="s">
        <v>4122</v>
      </c>
      <c r="I15411" s="46" t="s">
        <v>4123</v>
      </c>
      <c r="J15411" s="46" t="s">
        <v>178</v>
      </c>
      <c r="K15411" s="46" t="s">
        <v>153</v>
      </c>
      <c r="L15411" s="45">
        <v>46016.5</v>
      </c>
      <c r="M15411" s="46" t="s">
        <v>123</v>
      </c>
      <c r="N15411" s="45">
        <v>46016.875</v>
      </c>
      <c r="O15411" s="46" t="s">
        <v>123</v>
      </c>
      <c r="P15411" s="46">
        <v>32400.0</v>
      </c>
      <c r="Q15411" s="46">
        <v>32400.0</v>
      </c>
    </row>
    <row r="15412">
      <c r="A15412" s="40">
        <f t="shared" si="1"/>
        <v>46013</v>
      </c>
      <c r="B15412" s="37" t="str">
        <f t="array" ref="B15412">iferror(xlookup($I15412, 'IMPORT VHC Report'!$E:$E, 'IMPORT VHC Report'!$A:$C), )</f>
        <v/>
      </c>
      <c r="C15412" s="44"/>
      <c r="D15412" s="44"/>
      <c r="E15412" s="46" t="s">
        <v>11576</v>
      </c>
      <c r="F15412" s="46" t="s">
        <v>4121</v>
      </c>
      <c r="G15412" s="46">
        <v>3.61724828456E11</v>
      </c>
      <c r="H15412" s="46" t="s">
        <v>4122</v>
      </c>
      <c r="I15412" s="46" t="s">
        <v>4123</v>
      </c>
      <c r="J15412" s="46" t="s">
        <v>4125</v>
      </c>
      <c r="K15412" s="46" t="s">
        <v>63</v>
      </c>
      <c r="L15412" s="45">
        <v>46016.5</v>
      </c>
      <c r="M15412" s="46" t="s">
        <v>123</v>
      </c>
      <c r="N15412" s="45">
        <v>46016.875</v>
      </c>
      <c r="O15412" s="46" t="s">
        <v>123</v>
      </c>
      <c r="P15412" s="46">
        <v>32400.0</v>
      </c>
    </row>
    <row r="15413">
      <c r="A15413" s="40">
        <f t="shared" si="1"/>
        <v>46013</v>
      </c>
      <c r="B15413" s="37" t="str">
        <f t="array" ref="B15413">iferror(xlookup($I15413, 'IMPORT VHC Report'!$E:$E, 'IMPORT VHC Report'!$A:$C), )</f>
        <v/>
      </c>
      <c r="C15413" s="44"/>
      <c r="D15413" s="44"/>
      <c r="E15413" s="46" t="s">
        <v>11577</v>
      </c>
      <c r="F15413" s="46" t="s">
        <v>4121</v>
      </c>
      <c r="G15413" s="46">
        <v>3.61724828456E11</v>
      </c>
      <c r="H15413" s="46" t="s">
        <v>4122</v>
      </c>
      <c r="I15413" s="46" t="s">
        <v>4123</v>
      </c>
      <c r="J15413" s="46" t="s">
        <v>134</v>
      </c>
      <c r="K15413" s="46" t="s">
        <v>126</v>
      </c>
      <c r="L15413" s="45">
        <v>46016.572916666664</v>
      </c>
      <c r="M15413" s="46" t="s">
        <v>123</v>
      </c>
      <c r="N15413" s="45">
        <v>46016.583333333336</v>
      </c>
      <c r="O15413" s="46" t="s">
        <v>123</v>
      </c>
      <c r="P15413" s="46">
        <v>900.0</v>
      </c>
    </row>
    <row r="15414">
      <c r="A15414" s="40">
        <f t="shared" si="1"/>
        <v>46013</v>
      </c>
      <c r="B15414" s="37" t="str">
        <f t="array" ref="B15414">iferror(xlookup($I15414, 'IMPORT VHC Report'!$E:$E, 'IMPORT VHC Report'!$A:$C), )</f>
        <v/>
      </c>
      <c r="C15414" s="44"/>
      <c r="D15414" s="44"/>
      <c r="E15414" s="46" t="s">
        <v>11578</v>
      </c>
      <c r="F15414" s="46" t="s">
        <v>4121</v>
      </c>
      <c r="G15414" s="46">
        <v>3.61724828456E11</v>
      </c>
      <c r="H15414" s="46" t="s">
        <v>4122</v>
      </c>
      <c r="I15414" s="46" t="s">
        <v>4123</v>
      </c>
      <c r="J15414" s="46" t="s">
        <v>132</v>
      </c>
      <c r="K15414" s="46" t="s">
        <v>126</v>
      </c>
      <c r="L15414" s="45">
        <v>46016.677083333336</v>
      </c>
      <c r="M15414" s="46" t="s">
        <v>123</v>
      </c>
      <c r="N15414" s="45">
        <v>46016.71875</v>
      </c>
      <c r="O15414" s="46" t="s">
        <v>123</v>
      </c>
      <c r="P15414" s="46">
        <v>3600.0</v>
      </c>
    </row>
    <row r="15415">
      <c r="A15415" s="40">
        <f t="shared" si="1"/>
        <v>46013</v>
      </c>
      <c r="B15415" s="37" t="str">
        <f t="array" ref="B15415">iferror(xlookup($I15415, 'IMPORT VHC Report'!$E:$E, 'IMPORT VHC Report'!$A:$C), )</f>
        <v/>
      </c>
      <c r="C15415" s="44"/>
      <c r="D15415" s="44"/>
      <c r="E15415" s="46" t="s">
        <v>11579</v>
      </c>
      <c r="F15415" s="46" t="s">
        <v>4121</v>
      </c>
      <c r="G15415" s="46">
        <v>3.61724828456E11</v>
      </c>
      <c r="H15415" s="46" t="s">
        <v>4122</v>
      </c>
      <c r="I15415" s="46" t="s">
        <v>4123</v>
      </c>
      <c r="J15415" s="46" t="s">
        <v>134</v>
      </c>
      <c r="K15415" s="46" t="s">
        <v>126</v>
      </c>
      <c r="L15415" s="45">
        <v>46016.802083333336</v>
      </c>
      <c r="M15415" s="46" t="s">
        <v>123</v>
      </c>
      <c r="N15415" s="45">
        <v>46016.8125</v>
      </c>
      <c r="O15415" s="46" t="s">
        <v>123</v>
      </c>
      <c r="P15415" s="46">
        <v>900.0</v>
      </c>
    </row>
    <row r="15416">
      <c r="A15416" s="40">
        <f t="shared" si="1"/>
        <v>46013</v>
      </c>
      <c r="B15416" s="37" t="str">
        <f t="array" ref="B15416">iferror(xlookup($I15416, 'IMPORT VHC Report'!$E:$E, 'IMPORT VHC Report'!$A:$C), )</f>
        <v/>
      </c>
      <c r="C15416" s="44"/>
      <c r="D15416" s="44"/>
      <c r="E15416" s="46" t="s">
        <v>11580</v>
      </c>
      <c r="F15416" s="46" t="s">
        <v>4121</v>
      </c>
      <c r="G15416" s="46">
        <v>3.61724828456E11</v>
      </c>
      <c r="H15416" s="46" t="s">
        <v>4122</v>
      </c>
      <c r="I15416" s="46" t="s">
        <v>4123</v>
      </c>
      <c r="J15416" s="46" t="s">
        <v>178</v>
      </c>
      <c r="K15416" s="46" t="s">
        <v>153</v>
      </c>
      <c r="L15416" s="45">
        <v>46017.5</v>
      </c>
      <c r="M15416" s="46" t="s">
        <v>123</v>
      </c>
      <c r="N15416" s="45">
        <v>46017.875</v>
      </c>
      <c r="O15416" s="46" t="s">
        <v>123</v>
      </c>
      <c r="P15416" s="46">
        <v>32400.0</v>
      </c>
      <c r="Q15416" s="46">
        <v>28800.0</v>
      </c>
      <c r="R15416" s="46" t="s">
        <v>11581</v>
      </c>
    </row>
    <row r="15417">
      <c r="A15417" s="40">
        <f t="shared" si="1"/>
        <v>46013</v>
      </c>
      <c r="B15417" s="37" t="str">
        <f t="array" ref="B15417">iferror(xlookup($I15417, 'IMPORT VHC Report'!$E:$E, 'IMPORT VHC Report'!$A:$C), )</f>
        <v/>
      </c>
      <c r="C15417" s="44"/>
      <c r="D15417" s="44"/>
      <c r="E15417" s="46" t="s">
        <v>11582</v>
      </c>
      <c r="F15417" s="46" t="s">
        <v>4121</v>
      </c>
      <c r="G15417" s="46">
        <v>3.61724828456E11</v>
      </c>
      <c r="H15417" s="46" t="s">
        <v>4122</v>
      </c>
      <c r="I15417" s="46" t="s">
        <v>4123</v>
      </c>
      <c r="J15417" s="46" t="s">
        <v>4125</v>
      </c>
      <c r="K15417" s="46" t="s">
        <v>63</v>
      </c>
      <c r="L15417" s="45">
        <v>46017.5</v>
      </c>
      <c r="M15417" s="46" t="s">
        <v>123</v>
      </c>
      <c r="N15417" s="45">
        <v>46017.875</v>
      </c>
      <c r="O15417" s="46" t="s">
        <v>123</v>
      </c>
      <c r="P15417" s="46">
        <v>32400.0</v>
      </c>
    </row>
    <row r="15418">
      <c r="A15418" s="40">
        <f t="shared" si="1"/>
        <v>46013</v>
      </c>
      <c r="B15418" s="37" t="str">
        <f t="array" ref="B15418">iferror(xlookup($I15418, 'IMPORT VHC Report'!$E:$E, 'IMPORT VHC Report'!$A:$C), )</f>
        <v/>
      </c>
      <c r="C15418" s="44"/>
      <c r="D15418" s="44"/>
      <c r="E15418" s="46" t="s">
        <v>11583</v>
      </c>
      <c r="F15418" s="46" t="s">
        <v>4121</v>
      </c>
      <c r="G15418" s="46">
        <v>3.61724828456E11</v>
      </c>
      <c r="H15418" s="46" t="s">
        <v>4122</v>
      </c>
      <c r="I15418" s="46" t="s">
        <v>4123</v>
      </c>
      <c r="J15418" s="46" t="s">
        <v>134</v>
      </c>
      <c r="K15418" s="46" t="s">
        <v>126</v>
      </c>
      <c r="L15418" s="45">
        <v>46017.5625</v>
      </c>
      <c r="M15418" s="46" t="s">
        <v>123</v>
      </c>
      <c r="N15418" s="45">
        <v>46017.572916666664</v>
      </c>
      <c r="O15418" s="46" t="s">
        <v>123</v>
      </c>
      <c r="P15418" s="46">
        <v>900.0</v>
      </c>
    </row>
    <row r="15419">
      <c r="A15419" s="40">
        <f t="shared" si="1"/>
        <v>46013</v>
      </c>
      <c r="B15419" s="37" t="str">
        <f t="array" ref="B15419">iferror(xlookup($I15419, 'IMPORT VHC Report'!$E:$E, 'IMPORT VHC Report'!$A:$C), )</f>
        <v/>
      </c>
      <c r="C15419" s="44"/>
      <c r="D15419" s="44"/>
      <c r="E15419" s="46" t="s">
        <v>11584</v>
      </c>
      <c r="F15419" s="46" t="s">
        <v>4121</v>
      </c>
      <c r="G15419" s="46">
        <v>3.61724828456E11</v>
      </c>
      <c r="H15419" s="46" t="s">
        <v>4122</v>
      </c>
      <c r="I15419" s="46" t="s">
        <v>4123</v>
      </c>
      <c r="J15419" s="46" t="s">
        <v>132</v>
      </c>
      <c r="K15419" s="46" t="s">
        <v>126</v>
      </c>
      <c r="L15419" s="45">
        <v>46017.697916666664</v>
      </c>
      <c r="M15419" s="46" t="s">
        <v>123</v>
      </c>
      <c r="N15419" s="45">
        <v>46017.739583333336</v>
      </c>
      <c r="O15419" s="46" t="s">
        <v>123</v>
      </c>
      <c r="P15419" s="46">
        <v>3600.0</v>
      </c>
    </row>
    <row r="15420">
      <c r="A15420" s="40">
        <f t="shared" si="1"/>
        <v>46013</v>
      </c>
      <c r="B15420" s="37" t="str">
        <f t="array" ref="B15420">iferror(xlookup($I15420, 'IMPORT VHC Report'!$E:$E, 'IMPORT VHC Report'!$A:$C), )</f>
        <v/>
      </c>
      <c r="C15420" s="44"/>
      <c r="D15420" s="44"/>
      <c r="E15420" s="46" t="s">
        <v>11585</v>
      </c>
      <c r="F15420" s="46" t="s">
        <v>4121</v>
      </c>
      <c r="G15420" s="46">
        <v>3.61724828456E11</v>
      </c>
      <c r="H15420" s="46" t="s">
        <v>4122</v>
      </c>
      <c r="I15420" s="46" t="s">
        <v>4123</v>
      </c>
      <c r="J15420" s="46" t="s">
        <v>134</v>
      </c>
      <c r="K15420" s="46" t="s">
        <v>126</v>
      </c>
      <c r="L15420" s="45">
        <v>46017.802083333336</v>
      </c>
      <c r="M15420" s="46" t="s">
        <v>123</v>
      </c>
      <c r="N15420" s="45">
        <v>46017.8125</v>
      </c>
      <c r="O15420" s="46" t="s">
        <v>123</v>
      </c>
      <c r="P15420" s="46">
        <v>900.0</v>
      </c>
    </row>
    <row r="15421">
      <c r="A15421" s="40">
        <f t="shared" si="1"/>
        <v>46013</v>
      </c>
      <c r="B15421" s="37" t="str">
        <f t="array" ref="B15421">iferror(xlookup($I15421, 'IMPORT VHC Report'!$E:$E, 'IMPORT VHC Report'!$A:$C), )</f>
        <v/>
      </c>
      <c r="C15421" s="44"/>
      <c r="D15421" s="44"/>
      <c r="E15421" s="46" t="s">
        <v>11586</v>
      </c>
      <c r="F15421" s="46" t="s">
        <v>3155</v>
      </c>
      <c r="G15421" s="46">
        <v>3.61744520136E11</v>
      </c>
      <c r="H15421" s="46" t="s">
        <v>3156</v>
      </c>
      <c r="I15421" s="46" t="s">
        <v>3157</v>
      </c>
      <c r="J15421" s="46" t="s">
        <v>3159</v>
      </c>
      <c r="K15421" s="46" t="s">
        <v>63</v>
      </c>
      <c r="L15421" s="45">
        <v>46013.333333333336</v>
      </c>
      <c r="M15421" s="46" t="s">
        <v>123</v>
      </c>
      <c r="N15421" s="45">
        <v>46013.708333333336</v>
      </c>
      <c r="O15421" s="46" t="s">
        <v>123</v>
      </c>
      <c r="P15421" s="46">
        <v>32400.0</v>
      </c>
    </row>
    <row r="15422">
      <c r="A15422" s="40">
        <f t="shared" si="1"/>
        <v>46013</v>
      </c>
      <c r="B15422" s="37" t="str">
        <f t="array" ref="B15422">iferror(xlookup($I15422, 'IMPORT VHC Report'!$E:$E, 'IMPORT VHC Report'!$A:$C), )</f>
        <v/>
      </c>
      <c r="C15422" s="44"/>
      <c r="D15422" s="44"/>
      <c r="E15422" s="46" t="s">
        <v>11587</v>
      </c>
      <c r="F15422" s="46" t="s">
        <v>3155</v>
      </c>
      <c r="G15422" s="46">
        <v>3.61744520136E11</v>
      </c>
      <c r="H15422" s="46" t="s">
        <v>3156</v>
      </c>
      <c r="I15422" s="46" t="s">
        <v>3157</v>
      </c>
      <c r="J15422" s="46" t="s">
        <v>134</v>
      </c>
      <c r="K15422" s="46" t="s">
        <v>126</v>
      </c>
      <c r="L15422" s="45">
        <v>46013.427083333336</v>
      </c>
      <c r="M15422" s="46" t="s">
        <v>123</v>
      </c>
      <c r="N15422" s="45">
        <v>46013.4375</v>
      </c>
      <c r="O15422" s="46" t="s">
        <v>123</v>
      </c>
      <c r="P15422" s="46">
        <v>900.0</v>
      </c>
    </row>
    <row r="15423">
      <c r="A15423" s="40">
        <f t="shared" si="1"/>
        <v>46013</v>
      </c>
      <c r="B15423" s="37" t="str">
        <f t="array" ref="B15423">iferror(xlookup($I15423, 'IMPORT VHC Report'!$E:$E, 'IMPORT VHC Report'!$A:$C), )</f>
        <v/>
      </c>
      <c r="C15423" s="44"/>
      <c r="D15423" s="44"/>
      <c r="E15423" s="46" t="s">
        <v>11588</v>
      </c>
      <c r="F15423" s="46" t="s">
        <v>3155</v>
      </c>
      <c r="G15423" s="46">
        <v>3.61744520136E11</v>
      </c>
      <c r="H15423" s="46" t="s">
        <v>3156</v>
      </c>
      <c r="I15423" s="46" t="s">
        <v>3157</v>
      </c>
      <c r="J15423" s="46" t="s">
        <v>132</v>
      </c>
      <c r="K15423" s="46" t="s">
        <v>126</v>
      </c>
      <c r="L15423" s="45">
        <v>46013.520833333336</v>
      </c>
      <c r="M15423" s="46" t="s">
        <v>123</v>
      </c>
      <c r="N15423" s="45">
        <v>46013.5625</v>
      </c>
      <c r="O15423" s="46" t="s">
        <v>123</v>
      </c>
      <c r="P15423" s="46">
        <v>3600.0</v>
      </c>
    </row>
    <row r="15424">
      <c r="A15424" s="40">
        <f t="shared" si="1"/>
        <v>46013</v>
      </c>
      <c r="B15424" s="37" t="str">
        <f t="array" ref="B15424">iferror(xlookup($I15424, 'IMPORT VHC Report'!$E:$E, 'IMPORT VHC Report'!$A:$C), )</f>
        <v/>
      </c>
      <c r="C15424" s="44"/>
      <c r="D15424" s="44"/>
      <c r="E15424" s="46" t="s">
        <v>11589</v>
      </c>
      <c r="F15424" s="46" t="s">
        <v>3155</v>
      </c>
      <c r="G15424" s="46">
        <v>3.61744520136E11</v>
      </c>
      <c r="H15424" s="46" t="s">
        <v>3156</v>
      </c>
      <c r="I15424" s="46" t="s">
        <v>3157</v>
      </c>
      <c r="J15424" s="46" t="s">
        <v>134</v>
      </c>
      <c r="K15424" s="46" t="s">
        <v>126</v>
      </c>
      <c r="L15424" s="45">
        <v>46013.635416666664</v>
      </c>
      <c r="M15424" s="46" t="s">
        <v>123</v>
      </c>
      <c r="N15424" s="45">
        <v>46013.645833333336</v>
      </c>
      <c r="O15424" s="46" t="s">
        <v>123</v>
      </c>
      <c r="P15424" s="46">
        <v>900.0</v>
      </c>
    </row>
    <row r="15425">
      <c r="A15425" s="40">
        <f t="shared" si="1"/>
        <v>46013</v>
      </c>
      <c r="B15425" s="37" t="str">
        <f t="array" ref="B15425">iferror(xlookup($I15425, 'IMPORT VHC Report'!$E:$E, 'IMPORT VHC Report'!$A:$C), )</f>
        <v/>
      </c>
      <c r="C15425" s="44"/>
      <c r="D15425" s="44"/>
      <c r="E15425" s="46" t="s">
        <v>11590</v>
      </c>
      <c r="F15425" s="46" t="s">
        <v>3155</v>
      </c>
      <c r="G15425" s="46">
        <v>3.61744520136E11</v>
      </c>
      <c r="H15425" s="46" t="s">
        <v>3156</v>
      </c>
      <c r="I15425" s="46" t="s">
        <v>3157</v>
      </c>
      <c r="J15425" s="46" t="s">
        <v>3159</v>
      </c>
      <c r="K15425" s="46" t="s">
        <v>63</v>
      </c>
      <c r="L15425" s="45">
        <v>46014.333333333336</v>
      </c>
      <c r="M15425" s="46" t="s">
        <v>123</v>
      </c>
      <c r="N15425" s="45">
        <v>46014.708333333336</v>
      </c>
      <c r="O15425" s="46" t="s">
        <v>123</v>
      </c>
      <c r="P15425" s="46">
        <v>32400.0</v>
      </c>
    </row>
    <row r="15426">
      <c r="A15426" s="40">
        <f t="shared" si="1"/>
        <v>46013</v>
      </c>
      <c r="B15426" s="37" t="str">
        <f t="array" ref="B15426">iferror(xlookup($I15426, 'IMPORT VHC Report'!$E:$E, 'IMPORT VHC Report'!$A:$C), )</f>
        <v/>
      </c>
      <c r="C15426" s="44"/>
      <c r="D15426" s="44"/>
      <c r="E15426" s="46" t="s">
        <v>11591</v>
      </c>
      <c r="F15426" s="46" t="s">
        <v>3155</v>
      </c>
      <c r="G15426" s="46">
        <v>3.61744520136E11</v>
      </c>
      <c r="H15426" s="46" t="s">
        <v>3156</v>
      </c>
      <c r="I15426" s="46" t="s">
        <v>3157</v>
      </c>
      <c r="J15426" s="46" t="s">
        <v>134</v>
      </c>
      <c r="K15426" s="46" t="s">
        <v>126</v>
      </c>
      <c r="L15426" s="45">
        <v>46014.40625</v>
      </c>
      <c r="M15426" s="46" t="s">
        <v>123</v>
      </c>
      <c r="N15426" s="45">
        <v>46014.416666666664</v>
      </c>
      <c r="O15426" s="46" t="s">
        <v>123</v>
      </c>
      <c r="P15426" s="46">
        <v>900.0</v>
      </c>
    </row>
    <row r="15427">
      <c r="A15427" s="40">
        <f t="shared" si="1"/>
        <v>46013</v>
      </c>
      <c r="B15427" s="37" t="str">
        <f t="array" ref="B15427">iferror(xlookup($I15427, 'IMPORT VHC Report'!$E:$E, 'IMPORT VHC Report'!$A:$C), )</f>
        <v/>
      </c>
      <c r="C15427" s="44"/>
      <c r="D15427" s="44"/>
      <c r="E15427" s="46" t="s">
        <v>11592</v>
      </c>
      <c r="F15427" s="46" t="s">
        <v>3155</v>
      </c>
      <c r="G15427" s="46">
        <v>3.61744520136E11</v>
      </c>
      <c r="H15427" s="46" t="s">
        <v>3156</v>
      </c>
      <c r="I15427" s="46" t="s">
        <v>3157</v>
      </c>
      <c r="J15427" s="46" t="s">
        <v>132</v>
      </c>
      <c r="K15427" s="46" t="s">
        <v>126</v>
      </c>
      <c r="L15427" s="45">
        <v>46014.479166666664</v>
      </c>
      <c r="M15427" s="46" t="s">
        <v>123</v>
      </c>
      <c r="N15427" s="45">
        <v>46014.520833333336</v>
      </c>
      <c r="O15427" s="46" t="s">
        <v>123</v>
      </c>
      <c r="P15427" s="46">
        <v>3600.0</v>
      </c>
    </row>
    <row r="15428">
      <c r="A15428" s="40">
        <f t="shared" si="1"/>
        <v>46013</v>
      </c>
      <c r="B15428" s="37" t="str">
        <f t="array" ref="B15428">iferror(xlookup($I15428, 'IMPORT VHC Report'!$E:$E, 'IMPORT VHC Report'!$A:$C), )</f>
        <v/>
      </c>
      <c r="C15428" s="44"/>
      <c r="D15428" s="44"/>
      <c r="E15428" s="46" t="s">
        <v>11593</v>
      </c>
      <c r="F15428" s="46" t="s">
        <v>3155</v>
      </c>
      <c r="G15428" s="46">
        <v>3.61744520136E11</v>
      </c>
      <c r="H15428" s="46" t="s">
        <v>3156</v>
      </c>
      <c r="I15428" s="46" t="s">
        <v>3157</v>
      </c>
      <c r="J15428" s="46" t="s">
        <v>134</v>
      </c>
      <c r="K15428" s="46" t="s">
        <v>126</v>
      </c>
      <c r="L15428" s="45">
        <v>46014.635416666664</v>
      </c>
      <c r="M15428" s="46" t="s">
        <v>123</v>
      </c>
      <c r="N15428" s="45">
        <v>46014.645833333336</v>
      </c>
      <c r="O15428" s="46" t="s">
        <v>123</v>
      </c>
      <c r="P15428" s="46">
        <v>900.0</v>
      </c>
    </row>
    <row r="15429">
      <c r="A15429" s="40">
        <f t="shared" si="1"/>
        <v>46013</v>
      </c>
      <c r="B15429" s="37" t="str">
        <f t="array" ref="B15429">iferror(xlookup($I15429, 'IMPORT VHC Report'!$E:$E, 'IMPORT VHC Report'!$A:$C), )</f>
        <v/>
      </c>
      <c r="C15429" s="44"/>
      <c r="D15429" s="44"/>
      <c r="E15429" s="46" t="s">
        <v>11594</v>
      </c>
      <c r="F15429" s="46" t="s">
        <v>3155</v>
      </c>
      <c r="G15429" s="46">
        <v>3.61744520136E11</v>
      </c>
      <c r="H15429" s="46" t="s">
        <v>3156</v>
      </c>
      <c r="I15429" s="46" t="s">
        <v>3157</v>
      </c>
      <c r="J15429" s="46" t="s">
        <v>3159</v>
      </c>
      <c r="K15429" s="46" t="s">
        <v>63</v>
      </c>
      <c r="L15429" s="45">
        <v>46015.333333333336</v>
      </c>
      <c r="M15429" s="46" t="s">
        <v>123</v>
      </c>
      <c r="N15429" s="45">
        <v>46015.708333333336</v>
      </c>
      <c r="O15429" s="46" t="s">
        <v>123</v>
      </c>
      <c r="P15429" s="46">
        <v>32400.0</v>
      </c>
    </row>
    <row r="15430">
      <c r="A15430" s="40">
        <f t="shared" si="1"/>
        <v>46013</v>
      </c>
      <c r="B15430" s="37" t="str">
        <f t="array" ref="B15430">iferror(xlookup($I15430, 'IMPORT VHC Report'!$E:$E, 'IMPORT VHC Report'!$A:$C), )</f>
        <v/>
      </c>
      <c r="C15430" s="44"/>
      <c r="D15430" s="44"/>
      <c r="E15430" s="46" t="s">
        <v>11595</v>
      </c>
      <c r="F15430" s="46" t="s">
        <v>3155</v>
      </c>
      <c r="G15430" s="46">
        <v>3.61744520136E11</v>
      </c>
      <c r="H15430" s="46" t="s">
        <v>3156</v>
      </c>
      <c r="I15430" s="46" t="s">
        <v>3157</v>
      </c>
      <c r="J15430" s="46" t="s">
        <v>134</v>
      </c>
      <c r="K15430" s="46" t="s">
        <v>126</v>
      </c>
      <c r="L15430" s="45">
        <v>46015.427083333336</v>
      </c>
      <c r="M15430" s="46" t="s">
        <v>123</v>
      </c>
      <c r="N15430" s="45">
        <v>46015.4375</v>
      </c>
      <c r="O15430" s="46" t="s">
        <v>123</v>
      </c>
      <c r="P15430" s="46">
        <v>900.0</v>
      </c>
    </row>
    <row r="15431">
      <c r="A15431" s="40">
        <f t="shared" si="1"/>
        <v>46013</v>
      </c>
      <c r="B15431" s="37" t="str">
        <f t="array" ref="B15431">iferror(xlookup($I15431, 'IMPORT VHC Report'!$E:$E, 'IMPORT VHC Report'!$A:$C), )</f>
        <v/>
      </c>
      <c r="C15431" s="44"/>
      <c r="D15431" s="44"/>
      <c r="E15431" s="46" t="s">
        <v>11596</v>
      </c>
      <c r="F15431" s="46" t="s">
        <v>3155</v>
      </c>
      <c r="G15431" s="46">
        <v>3.61744520136E11</v>
      </c>
      <c r="H15431" s="46" t="s">
        <v>3156</v>
      </c>
      <c r="I15431" s="46" t="s">
        <v>3157</v>
      </c>
      <c r="J15431" s="46" t="s">
        <v>132</v>
      </c>
      <c r="K15431" s="46" t="s">
        <v>126</v>
      </c>
      <c r="L15431" s="45">
        <v>46015.5</v>
      </c>
      <c r="M15431" s="46" t="s">
        <v>123</v>
      </c>
      <c r="N15431" s="45">
        <v>46015.541666666664</v>
      </c>
      <c r="O15431" s="46" t="s">
        <v>123</v>
      </c>
      <c r="P15431" s="46">
        <v>3600.0</v>
      </c>
    </row>
    <row r="15432">
      <c r="A15432" s="40">
        <f t="shared" si="1"/>
        <v>46013</v>
      </c>
      <c r="B15432" s="37" t="str">
        <f t="array" ref="B15432">iferror(xlookup($I15432, 'IMPORT VHC Report'!$E:$E, 'IMPORT VHC Report'!$A:$C), )</f>
        <v/>
      </c>
      <c r="C15432" s="44"/>
      <c r="D15432" s="44"/>
      <c r="E15432" s="46" t="s">
        <v>11597</v>
      </c>
      <c r="F15432" s="46" t="s">
        <v>3155</v>
      </c>
      <c r="G15432" s="46">
        <v>3.61744520136E11</v>
      </c>
      <c r="H15432" s="46" t="s">
        <v>3156</v>
      </c>
      <c r="I15432" s="46" t="s">
        <v>3157</v>
      </c>
      <c r="J15432" s="46" t="s">
        <v>134</v>
      </c>
      <c r="K15432" s="46" t="s">
        <v>126</v>
      </c>
      <c r="L15432" s="45">
        <v>46015.635416666664</v>
      </c>
      <c r="M15432" s="46" t="s">
        <v>123</v>
      </c>
      <c r="N15432" s="45">
        <v>46015.645833333336</v>
      </c>
      <c r="O15432" s="46" t="s">
        <v>123</v>
      </c>
      <c r="P15432" s="46">
        <v>900.0</v>
      </c>
    </row>
    <row r="15433">
      <c r="A15433" s="40">
        <f t="shared" si="1"/>
        <v>46013</v>
      </c>
      <c r="B15433" s="37" t="str">
        <f t="array" ref="B15433">iferror(xlookup($I15433, 'IMPORT VHC Report'!$E:$E, 'IMPORT VHC Report'!$A:$C), )</f>
        <v/>
      </c>
      <c r="C15433" s="44"/>
      <c r="D15433" s="44"/>
      <c r="E15433" s="46" t="s">
        <v>11598</v>
      </c>
      <c r="F15433" s="46" t="s">
        <v>3155</v>
      </c>
      <c r="G15433" s="46">
        <v>3.61744520136E11</v>
      </c>
      <c r="H15433" s="46" t="s">
        <v>3156</v>
      </c>
      <c r="I15433" s="46" t="s">
        <v>3157</v>
      </c>
      <c r="J15433" s="46" t="s">
        <v>3159</v>
      </c>
      <c r="K15433" s="46" t="s">
        <v>63</v>
      </c>
      <c r="L15433" s="45">
        <v>46016.333333333336</v>
      </c>
      <c r="M15433" s="46" t="s">
        <v>123</v>
      </c>
      <c r="N15433" s="45">
        <v>46016.708333333336</v>
      </c>
      <c r="O15433" s="46" t="s">
        <v>123</v>
      </c>
      <c r="P15433" s="46">
        <v>32400.0</v>
      </c>
    </row>
    <row r="15434">
      <c r="A15434" s="40">
        <f t="shared" si="1"/>
        <v>46013</v>
      </c>
      <c r="B15434" s="37" t="str">
        <f t="array" ref="B15434">iferror(xlookup($I15434, 'IMPORT VHC Report'!$E:$E, 'IMPORT VHC Report'!$A:$C), )</f>
        <v/>
      </c>
      <c r="C15434" s="44"/>
      <c r="D15434" s="44"/>
      <c r="E15434" s="46" t="s">
        <v>11599</v>
      </c>
      <c r="F15434" s="46" t="s">
        <v>3155</v>
      </c>
      <c r="G15434" s="46">
        <v>3.61744520136E11</v>
      </c>
      <c r="H15434" s="46" t="s">
        <v>3156</v>
      </c>
      <c r="I15434" s="46" t="s">
        <v>3157</v>
      </c>
      <c r="J15434" s="46" t="s">
        <v>134</v>
      </c>
      <c r="K15434" s="46" t="s">
        <v>126</v>
      </c>
      <c r="L15434" s="45">
        <v>46016.395833333336</v>
      </c>
      <c r="M15434" s="46" t="s">
        <v>123</v>
      </c>
      <c r="N15434" s="45">
        <v>46016.40625</v>
      </c>
      <c r="O15434" s="46" t="s">
        <v>123</v>
      </c>
      <c r="P15434" s="46">
        <v>900.0</v>
      </c>
    </row>
    <row r="15435">
      <c r="A15435" s="40">
        <f t="shared" si="1"/>
        <v>46013</v>
      </c>
      <c r="B15435" s="37" t="str">
        <f t="array" ref="B15435">iferror(xlookup($I15435, 'IMPORT VHC Report'!$E:$E, 'IMPORT VHC Report'!$A:$C), )</f>
        <v/>
      </c>
      <c r="C15435" s="44"/>
      <c r="D15435" s="44"/>
      <c r="E15435" s="46" t="s">
        <v>11600</v>
      </c>
      <c r="F15435" s="46" t="s">
        <v>3155</v>
      </c>
      <c r="G15435" s="46">
        <v>3.61744520136E11</v>
      </c>
      <c r="H15435" s="46" t="s">
        <v>3156</v>
      </c>
      <c r="I15435" s="46" t="s">
        <v>3157</v>
      </c>
      <c r="J15435" s="46" t="s">
        <v>132</v>
      </c>
      <c r="K15435" s="46" t="s">
        <v>126</v>
      </c>
      <c r="L15435" s="45">
        <v>46016.510416666664</v>
      </c>
      <c r="M15435" s="46" t="s">
        <v>123</v>
      </c>
      <c r="N15435" s="45">
        <v>46016.552083333336</v>
      </c>
      <c r="O15435" s="46" t="s">
        <v>123</v>
      </c>
      <c r="P15435" s="46">
        <v>3600.0</v>
      </c>
    </row>
    <row r="15436">
      <c r="A15436" s="40">
        <f t="shared" si="1"/>
        <v>46013</v>
      </c>
      <c r="B15436" s="37" t="str">
        <f t="array" ref="B15436">iferror(xlookup($I15436, 'IMPORT VHC Report'!$E:$E, 'IMPORT VHC Report'!$A:$C), )</f>
        <v/>
      </c>
      <c r="C15436" s="44"/>
      <c r="D15436" s="44"/>
      <c r="E15436" s="46" t="s">
        <v>11601</v>
      </c>
      <c r="F15436" s="46" t="s">
        <v>3155</v>
      </c>
      <c r="G15436" s="46">
        <v>3.61744520136E11</v>
      </c>
      <c r="H15436" s="46" t="s">
        <v>3156</v>
      </c>
      <c r="I15436" s="46" t="s">
        <v>3157</v>
      </c>
      <c r="J15436" s="46" t="s">
        <v>134</v>
      </c>
      <c r="K15436" s="46" t="s">
        <v>126</v>
      </c>
      <c r="L15436" s="45">
        <v>46016.625</v>
      </c>
      <c r="M15436" s="46" t="s">
        <v>123</v>
      </c>
      <c r="N15436" s="45">
        <v>46016.635416666664</v>
      </c>
      <c r="O15436" s="46" t="s">
        <v>123</v>
      </c>
      <c r="P15436" s="46">
        <v>900.0</v>
      </c>
    </row>
    <row r="15437">
      <c r="A15437" s="40">
        <f t="shared" si="1"/>
        <v>46013</v>
      </c>
      <c r="B15437" s="37" t="str">
        <f t="array" ref="B15437">iferror(xlookup($I15437, 'IMPORT VHC Report'!$E:$E, 'IMPORT VHC Report'!$A:$C), )</f>
        <v/>
      </c>
      <c r="C15437" s="44"/>
      <c r="D15437" s="44"/>
      <c r="E15437" s="46" t="s">
        <v>11602</v>
      </c>
      <c r="F15437" s="46" t="s">
        <v>3155</v>
      </c>
      <c r="G15437" s="46">
        <v>3.61744520136E11</v>
      </c>
      <c r="H15437" s="46" t="s">
        <v>3156</v>
      </c>
      <c r="I15437" s="46" t="s">
        <v>3157</v>
      </c>
      <c r="J15437" s="46" t="s">
        <v>3159</v>
      </c>
      <c r="K15437" s="46" t="s">
        <v>63</v>
      </c>
      <c r="L15437" s="45">
        <v>46017.333333333336</v>
      </c>
      <c r="M15437" s="46" t="s">
        <v>123</v>
      </c>
      <c r="N15437" s="45">
        <v>46017.708333333336</v>
      </c>
      <c r="O15437" s="46" t="s">
        <v>123</v>
      </c>
      <c r="P15437" s="46">
        <v>32400.0</v>
      </c>
    </row>
    <row r="15438">
      <c r="A15438" s="40">
        <f t="shared" si="1"/>
        <v>46013</v>
      </c>
      <c r="B15438" s="37" t="str">
        <f t="array" ref="B15438">iferror(xlookup($I15438, 'IMPORT VHC Report'!$E:$E, 'IMPORT VHC Report'!$A:$C), )</f>
        <v/>
      </c>
      <c r="C15438" s="44"/>
      <c r="D15438" s="44"/>
      <c r="E15438" s="46" t="s">
        <v>11603</v>
      </c>
      <c r="F15438" s="46" t="s">
        <v>3155</v>
      </c>
      <c r="G15438" s="46">
        <v>3.61744520136E11</v>
      </c>
      <c r="H15438" s="46" t="s">
        <v>3156</v>
      </c>
      <c r="I15438" s="46" t="s">
        <v>3157</v>
      </c>
      <c r="J15438" s="46" t="s">
        <v>134</v>
      </c>
      <c r="K15438" s="46" t="s">
        <v>126</v>
      </c>
      <c r="L15438" s="45">
        <v>46017.4375</v>
      </c>
      <c r="M15438" s="46" t="s">
        <v>123</v>
      </c>
      <c r="N15438" s="45">
        <v>46017.447916666664</v>
      </c>
      <c r="O15438" s="46" t="s">
        <v>123</v>
      </c>
      <c r="P15438" s="46">
        <v>900.0</v>
      </c>
    </row>
    <row r="15439">
      <c r="A15439" s="40">
        <f t="shared" si="1"/>
        <v>46013</v>
      </c>
      <c r="B15439" s="37" t="str">
        <f t="array" ref="B15439">iferror(xlookup($I15439, 'IMPORT VHC Report'!$E:$E, 'IMPORT VHC Report'!$A:$C), )</f>
        <v/>
      </c>
      <c r="C15439" s="44"/>
      <c r="D15439" s="44"/>
      <c r="E15439" s="46" t="s">
        <v>11604</v>
      </c>
      <c r="F15439" s="46" t="s">
        <v>3155</v>
      </c>
      <c r="G15439" s="46">
        <v>3.61744520136E11</v>
      </c>
      <c r="H15439" s="46" t="s">
        <v>3156</v>
      </c>
      <c r="I15439" s="46" t="s">
        <v>3157</v>
      </c>
      <c r="J15439" s="46" t="s">
        <v>132</v>
      </c>
      <c r="K15439" s="46" t="s">
        <v>126</v>
      </c>
      <c r="L15439" s="45">
        <v>46017.510416666664</v>
      </c>
      <c r="M15439" s="46" t="s">
        <v>123</v>
      </c>
      <c r="N15439" s="45">
        <v>46017.552083333336</v>
      </c>
      <c r="O15439" s="46" t="s">
        <v>123</v>
      </c>
      <c r="P15439" s="46">
        <v>3600.0</v>
      </c>
    </row>
    <row r="15440">
      <c r="A15440" s="40">
        <f t="shared" si="1"/>
        <v>46013</v>
      </c>
      <c r="B15440" s="37" t="str">
        <f t="array" ref="B15440">iferror(xlookup($I15440, 'IMPORT VHC Report'!$E:$E, 'IMPORT VHC Report'!$A:$C), )</f>
        <v/>
      </c>
      <c r="C15440" s="44"/>
      <c r="D15440" s="44"/>
      <c r="E15440" s="46" t="s">
        <v>11605</v>
      </c>
      <c r="F15440" s="46" t="s">
        <v>3155</v>
      </c>
      <c r="G15440" s="46">
        <v>3.61744520136E11</v>
      </c>
      <c r="H15440" s="46" t="s">
        <v>3156</v>
      </c>
      <c r="I15440" s="46" t="s">
        <v>3157</v>
      </c>
      <c r="J15440" s="46" t="s">
        <v>134</v>
      </c>
      <c r="K15440" s="46" t="s">
        <v>126</v>
      </c>
      <c r="L15440" s="45">
        <v>46017.635416666664</v>
      </c>
      <c r="M15440" s="46" t="s">
        <v>123</v>
      </c>
      <c r="N15440" s="45">
        <v>46017.645833333336</v>
      </c>
      <c r="O15440" s="46" t="s">
        <v>123</v>
      </c>
      <c r="P15440" s="46">
        <v>900.0</v>
      </c>
    </row>
    <row r="15441">
      <c r="A15441" s="40">
        <f t="shared" si="1"/>
        <v>46013</v>
      </c>
      <c r="B15441" s="37" t="str">
        <f t="array" ref="B15441">iferror(xlookup($I15441, 'IMPORT VHC Report'!$E:$E, 'IMPORT VHC Report'!$A:$C), )</f>
        <v/>
      </c>
      <c r="C15441" s="44"/>
      <c r="D15441" s="44"/>
      <c r="E15441" s="46" t="s">
        <v>11606</v>
      </c>
      <c r="F15441" s="46" t="s">
        <v>3181</v>
      </c>
      <c r="G15441" s="46">
        <v>1.1819962468111E13</v>
      </c>
      <c r="H15441" s="46" t="s">
        <v>3182</v>
      </c>
      <c r="I15441" s="46" t="s">
        <v>3183</v>
      </c>
      <c r="J15441" s="46" t="s">
        <v>3159</v>
      </c>
      <c r="K15441" s="46" t="s">
        <v>63</v>
      </c>
      <c r="L15441" s="45">
        <v>46013.333333333336</v>
      </c>
      <c r="M15441" s="46" t="s">
        <v>123</v>
      </c>
      <c r="N15441" s="45">
        <v>46013.708333333336</v>
      </c>
      <c r="O15441" s="46" t="s">
        <v>123</v>
      </c>
      <c r="P15441" s="46">
        <v>32400.0</v>
      </c>
    </row>
    <row r="15442">
      <c r="A15442" s="40">
        <f t="shared" si="1"/>
        <v>46013</v>
      </c>
      <c r="B15442" s="37" t="str">
        <f t="array" ref="B15442">iferror(xlookup($I15442, 'IMPORT VHC Report'!$E:$E, 'IMPORT VHC Report'!$A:$C), )</f>
        <v/>
      </c>
      <c r="C15442" s="44"/>
      <c r="D15442" s="44"/>
      <c r="E15442" s="46" t="s">
        <v>11607</v>
      </c>
      <c r="F15442" s="46" t="s">
        <v>3181</v>
      </c>
      <c r="G15442" s="46">
        <v>1.1819962468111E13</v>
      </c>
      <c r="H15442" s="46" t="s">
        <v>3182</v>
      </c>
      <c r="I15442" s="46" t="s">
        <v>3183</v>
      </c>
      <c r="J15442" s="46" t="s">
        <v>134</v>
      </c>
      <c r="K15442" s="46" t="s">
        <v>126</v>
      </c>
      <c r="L15442" s="45">
        <v>46013.395833333336</v>
      </c>
      <c r="M15442" s="46" t="s">
        <v>123</v>
      </c>
      <c r="N15442" s="45">
        <v>46013.40625</v>
      </c>
      <c r="O15442" s="46" t="s">
        <v>123</v>
      </c>
      <c r="P15442" s="46">
        <v>900.0</v>
      </c>
    </row>
    <row r="15443">
      <c r="A15443" s="40">
        <f t="shared" si="1"/>
        <v>46013</v>
      </c>
      <c r="B15443" s="37" t="str">
        <f t="array" ref="B15443">iferror(xlookup($I15443, 'IMPORT VHC Report'!$E:$E, 'IMPORT VHC Report'!$A:$C), )</f>
        <v/>
      </c>
      <c r="C15443" s="44"/>
      <c r="D15443" s="44"/>
      <c r="E15443" s="46" t="s">
        <v>11608</v>
      </c>
      <c r="F15443" s="46" t="s">
        <v>3181</v>
      </c>
      <c r="G15443" s="46">
        <v>1.1819962468111E13</v>
      </c>
      <c r="H15443" s="46" t="s">
        <v>3182</v>
      </c>
      <c r="I15443" s="46" t="s">
        <v>3183</v>
      </c>
      <c r="J15443" s="46" t="s">
        <v>132</v>
      </c>
      <c r="K15443" s="46" t="s">
        <v>126</v>
      </c>
      <c r="L15443" s="45">
        <v>46013.489583333336</v>
      </c>
      <c r="M15443" s="46" t="s">
        <v>123</v>
      </c>
      <c r="N15443" s="45">
        <v>46013.53125</v>
      </c>
      <c r="O15443" s="46" t="s">
        <v>123</v>
      </c>
      <c r="P15443" s="46">
        <v>3600.0</v>
      </c>
    </row>
    <row r="15444">
      <c r="A15444" s="40">
        <f t="shared" si="1"/>
        <v>46013</v>
      </c>
      <c r="B15444" s="37" t="str">
        <f t="array" ref="B15444">iferror(xlookup($I15444, 'IMPORT VHC Report'!$E:$E, 'IMPORT VHC Report'!$A:$C), )</f>
        <v/>
      </c>
      <c r="C15444" s="44"/>
      <c r="D15444" s="44"/>
      <c r="E15444" s="46" t="s">
        <v>11609</v>
      </c>
      <c r="F15444" s="46" t="s">
        <v>3181</v>
      </c>
      <c r="G15444" s="46">
        <v>1.1819962468111E13</v>
      </c>
      <c r="H15444" s="46" t="s">
        <v>3182</v>
      </c>
      <c r="I15444" s="46" t="s">
        <v>3183</v>
      </c>
      <c r="J15444" s="46" t="s">
        <v>134</v>
      </c>
      <c r="K15444" s="46" t="s">
        <v>126</v>
      </c>
      <c r="L15444" s="45">
        <v>46013.625</v>
      </c>
      <c r="M15444" s="46" t="s">
        <v>123</v>
      </c>
      <c r="N15444" s="45">
        <v>46013.635416666664</v>
      </c>
      <c r="O15444" s="46" t="s">
        <v>123</v>
      </c>
      <c r="P15444" s="46">
        <v>900.0</v>
      </c>
    </row>
    <row r="15445">
      <c r="A15445" s="40">
        <f t="shared" si="1"/>
        <v>46013</v>
      </c>
      <c r="B15445" s="37" t="str">
        <f t="array" ref="B15445">iferror(xlookup($I15445, 'IMPORT VHC Report'!$E:$E, 'IMPORT VHC Report'!$A:$C), )</f>
        <v/>
      </c>
      <c r="C15445" s="44"/>
      <c r="D15445" s="44"/>
      <c r="E15445" s="46" t="s">
        <v>11610</v>
      </c>
      <c r="F15445" s="46" t="s">
        <v>3181</v>
      </c>
      <c r="G15445" s="46">
        <v>1.1819962468111E13</v>
      </c>
      <c r="H15445" s="46" t="s">
        <v>3182</v>
      </c>
      <c r="I15445" s="46" t="s">
        <v>3183</v>
      </c>
      <c r="J15445" s="46" t="s">
        <v>3159</v>
      </c>
      <c r="K15445" s="46" t="s">
        <v>63</v>
      </c>
      <c r="L15445" s="45">
        <v>46014.333333333336</v>
      </c>
      <c r="M15445" s="46" t="s">
        <v>123</v>
      </c>
      <c r="N15445" s="45">
        <v>46014.708333333336</v>
      </c>
      <c r="O15445" s="46" t="s">
        <v>123</v>
      </c>
      <c r="P15445" s="46">
        <v>32400.0</v>
      </c>
    </row>
    <row r="15446">
      <c r="A15446" s="40">
        <f t="shared" si="1"/>
        <v>46013</v>
      </c>
      <c r="B15446" s="37" t="str">
        <f t="array" ref="B15446">iferror(xlookup($I15446, 'IMPORT VHC Report'!$E:$E, 'IMPORT VHC Report'!$A:$C), )</f>
        <v/>
      </c>
      <c r="C15446" s="44"/>
      <c r="D15446" s="44"/>
      <c r="E15446" s="46" t="s">
        <v>11611</v>
      </c>
      <c r="F15446" s="46" t="s">
        <v>3181</v>
      </c>
      <c r="G15446" s="46">
        <v>1.1819962468111E13</v>
      </c>
      <c r="H15446" s="46" t="s">
        <v>3182</v>
      </c>
      <c r="I15446" s="46" t="s">
        <v>3183</v>
      </c>
      <c r="J15446" s="46" t="s">
        <v>134</v>
      </c>
      <c r="K15446" s="46" t="s">
        <v>126</v>
      </c>
      <c r="L15446" s="45">
        <v>46014.427083333336</v>
      </c>
      <c r="M15446" s="46" t="s">
        <v>123</v>
      </c>
      <c r="N15446" s="45">
        <v>46014.4375</v>
      </c>
      <c r="O15446" s="46" t="s">
        <v>123</v>
      </c>
      <c r="P15446" s="46">
        <v>900.0</v>
      </c>
    </row>
    <row r="15447">
      <c r="A15447" s="40">
        <f t="shared" si="1"/>
        <v>46013</v>
      </c>
      <c r="B15447" s="37" t="str">
        <f t="array" ref="B15447">iferror(xlookup($I15447, 'IMPORT VHC Report'!$E:$E, 'IMPORT VHC Report'!$A:$C), )</f>
        <v/>
      </c>
      <c r="C15447" s="44"/>
      <c r="D15447" s="44"/>
      <c r="E15447" s="46" t="s">
        <v>11612</v>
      </c>
      <c r="F15447" s="46" t="s">
        <v>3181</v>
      </c>
      <c r="G15447" s="46">
        <v>1.1819962468111E13</v>
      </c>
      <c r="H15447" s="46" t="s">
        <v>3182</v>
      </c>
      <c r="I15447" s="46" t="s">
        <v>3183</v>
      </c>
      <c r="J15447" s="46" t="s">
        <v>132</v>
      </c>
      <c r="K15447" s="46" t="s">
        <v>126</v>
      </c>
      <c r="L15447" s="45">
        <v>46014.510416666664</v>
      </c>
      <c r="M15447" s="46" t="s">
        <v>123</v>
      </c>
      <c r="N15447" s="45">
        <v>46014.552083333336</v>
      </c>
      <c r="O15447" s="46" t="s">
        <v>123</v>
      </c>
      <c r="P15447" s="46">
        <v>3600.0</v>
      </c>
    </row>
    <row r="15448">
      <c r="A15448" s="40">
        <f t="shared" si="1"/>
        <v>46013</v>
      </c>
      <c r="B15448" s="37" t="str">
        <f t="array" ref="B15448">iferror(xlookup($I15448, 'IMPORT VHC Report'!$E:$E, 'IMPORT VHC Report'!$A:$C), )</f>
        <v/>
      </c>
      <c r="C15448" s="44"/>
      <c r="D15448" s="44"/>
      <c r="E15448" s="46" t="s">
        <v>11613</v>
      </c>
      <c r="F15448" s="46" t="s">
        <v>3181</v>
      </c>
      <c r="G15448" s="46">
        <v>1.1819962468111E13</v>
      </c>
      <c r="H15448" s="46" t="s">
        <v>3182</v>
      </c>
      <c r="I15448" s="46" t="s">
        <v>3183</v>
      </c>
      <c r="J15448" s="46" t="s">
        <v>134</v>
      </c>
      <c r="K15448" s="46" t="s">
        <v>126</v>
      </c>
      <c r="L15448" s="45">
        <v>46014.614583333336</v>
      </c>
      <c r="M15448" s="46" t="s">
        <v>123</v>
      </c>
      <c r="N15448" s="45">
        <v>46014.625</v>
      </c>
      <c r="O15448" s="46" t="s">
        <v>123</v>
      </c>
      <c r="P15448" s="46">
        <v>900.0</v>
      </c>
    </row>
    <row r="15449">
      <c r="A15449" s="40">
        <f t="shared" si="1"/>
        <v>46013</v>
      </c>
      <c r="B15449" s="37" t="str">
        <f t="array" ref="B15449">iferror(xlookup($I15449, 'IMPORT VHC Report'!$E:$E, 'IMPORT VHC Report'!$A:$C), )</f>
        <v/>
      </c>
      <c r="C15449" s="44"/>
      <c r="D15449" s="44"/>
      <c r="E15449" s="46" t="s">
        <v>11614</v>
      </c>
      <c r="F15449" s="46" t="s">
        <v>3181</v>
      </c>
      <c r="G15449" s="46">
        <v>1.1819962468111E13</v>
      </c>
      <c r="H15449" s="46" t="s">
        <v>3182</v>
      </c>
      <c r="I15449" s="46" t="s">
        <v>3183</v>
      </c>
      <c r="J15449" s="46" t="s">
        <v>3159</v>
      </c>
      <c r="K15449" s="46" t="s">
        <v>63</v>
      </c>
      <c r="L15449" s="45">
        <v>46015.333333333336</v>
      </c>
      <c r="M15449" s="46" t="s">
        <v>123</v>
      </c>
      <c r="N15449" s="45">
        <v>46015.708333333336</v>
      </c>
      <c r="O15449" s="46" t="s">
        <v>123</v>
      </c>
      <c r="P15449" s="46">
        <v>32400.0</v>
      </c>
    </row>
    <row r="15450">
      <c r="A15450" s="40">
        <f t="shared" si="1"/>
        <v>46013</v>
      </c>
      <c r="B15450" s="37" t="str">
        <f t="array" ref="B15450">iferror(xlookup($I15450, 'IMPORT VHC Report'!$E:$E, 'IMPORT VHC Report'!$A:$C), )</f>
        <v/>
      </c>
      <c r="C15450" s="44"/>
      <c r="D15450" s="44"/>
      <c r="E15450" s="46" t="s">
        <v>11615</v>
      </c>
      <c r="F15450" s="46" t="s">
        <v>3181</v>
      </c>
      <c r="G15450" s="46">
        <v>1.1819962468111E13</v>
      </c>
      <c r="H15450" s="46" t="s">
        <v>3182</v>
      </c>
      <c r="I15450" s="46" t="s">
        <v>3183</v>
      </c>
      <c r="J15450" s="46" t="s">
        <v>134</v>
      </c>
      <c r="K15450" s="46" t="s">
        <v>126</v>
      </c>
      <c r="L15450" s="45">
        <v>46015.40625</v>
      </c>
      <c r="M15450" s="46" t="s">
        <v>123</v>
      </c>
      <c r="N15450" s="45">
        <v>46015.416666666664</v>
      </c>
      <c r="O15450" s="46" t="s">
        <v>123</v>
      </c>
      <c r="P15450" s="46">
        <v>900.0</v>
      </c>
    </row>
    <row r="15451">
      <c r="A15451" s="40">
        <f t="shared" si="1"/>
        <v>46013</v>
      </c>
      <c r="B15451" s="37" t="str">
        <f t="array" ref="B15451">iferror(xlookup($I15451, 'IMPORT VHC Report'!$E:$E, 'IMPORT VHC Report'!$A:$C), )</f>
        <v/>
      </c>
      <c r="C15451" s="44"/>
      <c r="D15451" s="44"/>
      <c r="E15451" s="46" t="s">
        <v>11616</v>
      </c>
      <c r="F15451" s="46" t="s">
        <v>3181</v>
      </c>
      <c r="G15451" s="46">
        <v>1.1819962468111E13</v>
      </c>
      <c r="H15451" s="46" t="s">
        <v>3182</v>
      </c>
      <c r="I15451" s="46" t="s">
        <v>3183</v>
      </c>
      <c r="J15451" s="46" t="s">
        <v>132</v>
      </c>
      <c r="K15451" s="46" t="s">
        <v>126</v>
      </c>
      <c r="L15451" s="45">
        <v>46015.520833333336</v>
      </c>
      <c r="M15451" s="46" t="s">
        <v>123</v>
      </c>
      <c r="N15451" s="45">
        <v>46015.5625</v>
      </c>
      <c r="O15451" s="46" t="s">
        <v>123</v>
      </c>
      <c r="P15451" s="46">
        <v>3600.0</v>
      </c>
    </row>
    <row r="15452">
      <c r="A15452" s="40">
        <f t="shared" si="1"/>
        <v>46013</v>
      </c>
      <c r="B15452" s="37" t="str">
        <f t="array" ref="B15452">iferror(xlookup($I15452, 'IMPORT VHC Report'!$E:$E, 'IMPORT VHC Report'!$A:$C), )</f>
        <v/>
      </c>
      <c r="C15452" s="44"/>
      <c r="D15452" s="44"/>
      <c r="E15452" s="46" t="s">
        <v>11617</v>
      </c>
      <c r="F15452" s="46" t="s">
        <v>3181</v>
      </c>
      <c r="G15452" s="46">
        <v>1.1819962468111E13</v>
      </c>
      <c r="H15452" s="46" t="s">
        <v>3182</v>
      </c>
      <c r="I15452" s="46" t="s">
        <v>3183</v>
      </c>
      <c r="J15452" s="46" t="s">
        <v>134</v>
      </c>
      <c r="K15452" s="46" t="s">
        <v>126</v>
      </c>
      <c r="L15452" s="45">
        <v>46015.635416666664</v>
      </c>
      <c r="M15452" s="46" t="s">
        <v>123</v>
      </c>
      <c r="N15452" s="45">
        <v>46015.645833333336</v>
      </c>
      <c r="O15452" s="46" t="s">
        <v>123</v>
      </c>
      <c r="P15452" s="46">
        <v>900.0</v>
      </c>
    </row>
    <row r="15453">
      <c r="A15453" s="40">
        <f t="shared" si="1"/>
        <v>46013</v>
      </c>
      <c r="B15453" s="37" t="str">
        <f t="array" ref="B15453">iferror(xlookup($I15453, 'IMPORT VHC Report'!$E:$E, 'IMPORT VHC Report'!$A:$C), )</f>
        <v/>
      </c>
      <c r="C15453" s="44"/>
      <c r="D15453" s="44"/>
      <c r="E15453" s="46" t="s">
        <v>11618</v>
      </c>
      <c r="F15453" s="46" t="s">
        <v>3181</v>
      </c>
      <c r="G15453" s="46">
        <v>1.1819962468111E13</v>
      </c>
      <c r="H15453" s="46" t="s">
        <v>3182</v>
      </c>
      <c r="I15453" s="46" t="s">
        <v>3183</v>
      </c>
      <c r="J15453" s="46" t="s">
        <v>3159</v>
      </c>
      <c r="K15453" s="46" t="s">
        <v>63</v>
      </c>
      <c r="L15453" s="45">
        <v>46016.333333333336</v>
      </c>
      <c r="M15453" s="46" t="s">
        <v>123</v>
      </c>
      <c r="N15453" s="45">
        <v>46016.708333333336</v>
      </c>
      <c r="O15453" s="46" t="s">
        <v>123</v>
      </c>
      <c r="P15453" s="46">
        <v>32400.0</v>
      </c>
    </row>
    <row r="15454">
      <c r="A15454" s="40">
        <f t="shared" si="1"/>
        <v>46013</v>
      </c>
      <c r="B15454" s="37" t="str">
        <f t="array" ref="B15454">iferror(xlookup($I15454, 'IMPORT VHC Report'!$E:$E, 'IMPORT VHC Report'!$A:$C), )</f>
        <v/>
      </c>
      <c r="C15454" s="44"/>
      <c r="D15454" s="44"/>
      <c r="E15454" s="46" t="s">
        <v>11619</v>
      </c>
      <c r="F15454" s="46" t="s">
        <v>3181</v>
      </c>
      <c r="G15454" s="46">
        <v>1.1819962468111E13</v>
      </c>
      <c r="H15454" s="46" t="s">
        <v>3182</v>
      </c>
      <c r="I15454" s="46" t="s">
        <v>3183</v>
      </c>
      <c r="J15454" s="46" t="s">
        <v>134</v>
      </c>
      <c r="K15454" s="46" t="s">
        <v>126</v>
      </c>
      <c r="L15454" s="45">
        <v>46016.40625</v>
      </c>
      <c r="M15454" s="46" t="s">
        <v>123</v>
      </c>
      <c r="N15454" s="45">
        <v>46016.416666666664</v>
      </c>
      <c r="O15454" s="46" t="s">
        <v>123</v>
      </c>
      <c r="P15454" s="46">
        <v>900.0</v>
      </c>
    </row>
    <row r="15455">
      <c r="A15455" s="40">
        <f t="shared" si="1"/>
        <v>46013</v>
      </c>
      <c r="B15455" s="37" t="str">
        <f t="array" ref="B15455">iferror(xlookup($I15455, 'IMPORT VHC Report'!$E:$E, 'IMPORT VHC Report'!$A:$C), )</f>
        <v/>
      </c>
      <c r="C15455" s="44"/>
      <c r="D15455" s="44"/>
      <c r="E15455" s="46" t="s">
        <v>11620</v>
      </c>
      <c r="F15455" s="46" t="s">
        <v>3181</v>
      </c>
      <c r="G15455" s="46">
        <v>1.1819962468111E13</v>
      </c>
      <c r="H15455" s="46" t="s">
        <v>3182</v>
      </c>
      <c r="I15455" s="46" t="s">
        <v>3183</v>
      </c>
      <c r="J15455" s="46" t="s">
        <v>132</v>
      </c>
      <c r="K15455" s="46" t="s">
        <v>126</v>
      </c>
      <c r="L15455" s="45">
        <v>46016.510416666664</v>
      </c>
      <c r="M15455" s="46" t="s">
        <v>123</v>
      </c>
      <c r="N15455" s="45">
        <v>46016.552083333336</v>
      </c>
      <c r="O15455" s="46" t="s">
        <v>123</v>
      </c>
      <c r="P15455" s="46">
        <v>3600.0</v>
      </c>
    </row>
    <row r="15456">
      <c r="A15456" s="40">
        <f t="shared" si="1"/>
        <v>46013</v>
      </c>
      <c r="B15456" s="37" t="str">
        <f t="array" ref="B15456">iferror(xlookup($I15456, 'IMPORT VHC Report'!$E:$E, 'IMPORT VHC Report'!$A:$C), )</f>
        <v/>
      </c>
      <c r="C15456" s="44"/>
      <c r="D15456" s="44"/>
      <c r="E15456" s="46" t="s">
        <v>11621</v>
      </c>
      <c r="F15456" s="46" t="s">
        <v>3181</v>
      </c>
      <c r="G15456" s="46">
        <v>1.1819962468111E13</v>
      </c>
      <c r="H15456" s="46" t="s">
        <v>3182</v>
      </c>
      <c r="I15456" s="46" t="s">
        <v>3183</v>
      </c>
      <c r="J15456" s="46" t="s">
        <v>134</v>
      </c>
      <c r="K15456" s="46" t="s">
        <v>126</v>
      </c>
      <c r="L15456" s="45">
        <v>46016.614583333336</v>
      </c>
      <c r="M15456" s="46" t="s">
        <v>123</v>
      </c>
      <c r="N15456" s="45">
        <v>46016.625</v>
      </c>
      <c r="O15456" s="46" t="s">
        <v>123</v>
      </c>
      <c r="P15456" s="46">
        <v>900.0</v>
      </c>
    </row>
    <row r="15457">
      <c r="A15457" s="40">
        <f t="shared" si="1"/>
        <v>46013</v>
      </c>
      <c r="B15457" s="37" t="str">
        <f t="array" ref="B15457">iferror(xlookup($I15457, 'IMPORT VHC Report'!$E:$E, 'IMPORT VHC Report'!$A:$C), )</f>
        <v/>
      </c>
      <c r="C15457" s="44"/>
      <c r="D15457" s="44"/>
      <c r="E15457" s="46" t="s">
        <v>11622</v>
      </c>
      <c r="F15457" s="46" t="s">
        <v>3181</v>
      </c>
      <c r="G15457" s="46">
        <v>1.1819962468111E13</v>
      </c>
      <c r="H15457" s="46" t="s">
        <v>3182</v>
      </c>
      <c r="I15457" s="46" t="s">
        <v>3183</v>
      </c>
      <c r="J15457" s="46" t="s">
        <v>3159</v>
      </c>
      <c r="K15457" s="46" t="s">
        <v>63</v>
      </c>
      <c r="L15457" s="45">
        <v>46017.333333333336</v>
      </c>
      <c r="M15457" s="46" t="s">
        <v>123</v>
      </c>
      <c r="N15457" s="45">
        <v>46017.708333333336</v>
      </c>
      <c r="O15457" s="46" t="s">
        <v>123</v>
      </c>
      <c r="P15457" s="46">
        <v>32400.0</v>
      </c>
    </row>
    <row r="15458">
      <c r="A15458" s="40">
        <f t="shared" si="1"/>
        <v>46013</v>
      </c>
      <c r="B15458" s="37" t="str">
        <f t="array" ref="B15458">iferror(xlookup($I15458, 'IMPORT VHC Report'!$E:$E, 'IMPORT VHC Report'!$A:$C), )</f>
        <v/>
      </c>
      <c r="C15458" s="44"/>
      <c r="D15458" s="44"/>
      <c r="E15458" s="46" t="s">
        <v>11623</v>
      </c>
      <c r="F15458" s="46" t="s">
        <v>3181</v>
      </c>
      <c r="G15458" s="46">
        <v>1.1819962468111E13</v>
      </c>
      <c r="H15458" s="46" t="s">
        <v>3182</v>
      </c>
      <c r="I15458" s="46" t="s">
        <v>3183</v>
      </c>
      <c r="J15458" s="46" t="s">
        <v>134</v>
      </c>
      <c r="K15458" s="46" t="s">
        <v>126</v>
      </c>
      <c r="L15458" s="45">
        <v>46017.40625</v>
      </c>
      <c r="M15458" s="46" t="s">
        <v>123</v>
      </c>
      <c r="N15458" s="45">
        <v>46017.416666666664</v>
      </c>
      <c r="O15458" s="46" t="s">
        <v>123</v>
      </c>
      <c r="P15458" s="46">
        <v>900.0</v>
      </c>
    </row>
    <row r="15459">
      <c r="A15459" s="40">
        <f t="shared" si="1"/>
        <v>46013</v>
      </c>
      <c r="B15459" s="37" t="str">
        <f t="array" ref="B15459">iferror(xlookup($I15459, 'IMPORT VHC Report'!$E:$E, 'IMPORT VHC Report'!$A:$C), )</f>
        <v/>
      </c>
      <c r="C15459" s="44"/>
      <c r="D15459" s="44"/>
      <c r="E15459" s="46" t="s">
        <v>11624</v>
      </c>
      <c r="F15459" s="46" t="s">
        <v>3181</v>
      </c>
      <c r="G15459" s="46">
        <v>1.1819962468111E13</v>
      </c>
      <c r="H15459" s="46" t="s">
        <v>3182</v>
      </c>
      <c r="I15459" s="46" t="s">
        <v>3183</v>
      </c>
      <c r="J15459" s="46" t="s">
        <v>132</v>
      </c>
      <c r="K15459" s="46" t="s">
        <v>126</v>
      </c>
      <c r="L15459" s="45">
        <v>46017.510416666664</v>
      </c>
      <c r="M15459" s="46" t="s">
        <v>123</v>
      </c>
      <c r="N15459" s="45">
        <v>46017.552083333336</v>
      </c>
      <c r="O15459" s="46" t="s">
        <v>123</v>
      </c>
      <c r="P15459" s="46">
        <v>3600.0</v>
      </c>
    </row>
    <row r="15460">
      <c r="A15460" s="40">
        <f t="shared" si="1"/>
        <v>46013</v>
      </c>
      <c r="B15460" s="37" t="str">
        <f t="array" ref="B15460">iferror(xlookup($I15460, 'IMPORT VHC Report'!$E:$E, 'IMPORT VHC Report'!$A:$C), )</f>
        <v/>
      </c>
      <c r="C15460" s="44"/>
      <c r="D15460" s="44"/>
      <c r="E15460" s="46" t="s">
        <v>11625</v>
      </c>
      <c r="F15460" s="46" t="s">
        <v>3181</v>
      </c>
      <c r="G15460" s="46">
        <v>1.1819962468111E13</v>
      </c>
      <c r="H15460" s="46" t="s">
        <v>3182</v>
      </c>
      <c r="I15460" s="46" t="s">
        <v>3183</v>
      </c>
      <c r="J15460" s="46" t="s">
        <v>134</v>
      </c>
      <c r="K15460" s="46" t="s">
        <v>126</v>
      </c>
      <c r="L15460" s="45">
        <v>46017.625</v>
      </c>
      <c r="M15460" s="46" t="s">
        <v>123</v>
      </c>
      <c r="N15460" s="45">
        <v>46017.635416666664</v>
      </c>
      <c r="O15460" s="46" t="s">
        <v>123</v>
      </c>
      <c r="P15460" s="46">
        <v>900.0</v>
      </c>
    </row>
    <row r="15461">
      <c r="A15461" s="40">
        <f t="shared" si="1"/>
        <v>46006</v>
      </c>
      <c r="B15461" s="37" t="str">
        <f t="array" ref="B15461">iferror(xlookup($I15461, 'IMPORT VHC Report'!$E:$E, 'IMPORT VHC Report'!$A:$C), )</f>
        <v/>
      </c>
      <c r="C15461" s="44"/>
      <c r="D15461" s="44"/>
      <c r="E15461" s="46" t="s">
        <v>355</v>
      </c>
      <c r="F15461" s="46" t="s">
        <v>324</v>
      </c>
      <c r="G15461" s="46">
        <v>3.61731515115E11</v>
      </c>
      <c r="H15461" s="46" t="s">
        <v>325</v>
      </c>
      <c r="I15461" s="46" t="s">
        <v>326</v>
      </c>
      <c r="J15461" s="46" t="s">
        <v>152</v>
      </c>
      <c r="K15461" s="46" t="s">
        <v>153</v>
      </c>
      <c r="L15461" s="45">
        <v>46012.833333333336</v>
      </c>
      <c r="M15461" s="46" t="s">
        <v>123</v>
      </c>
      <c r="N15461" s="45">
        <v>46013.208333333336</v>
      </c>
      <c r="O15461" s="46" t="s">
        <v>123</v>
      </c>
      <c r="P15461" s="46">
        <v>32400.0</v>
      </c>
      <c r="Q15461" s="46">
        <v>32400.0</v>
      </c>
    </row>
    <row r="15462">
      <c r="A15462" s="40">
        <f t="shared" si="1"/>
        <v>46013</v>
      </c>
      <c r="B15462" s="37" t="str">
        <f t="array" ref="B15462">iferror(xlookup($I15462, 'IMPORT VHC Report'!$E:$E, 'IMPORT VHC Report'!$A:$C), )</f>
        <v/>
      </c>
      <c r="C15462" s="44"/>
      <c r="D15462" s="44"/>
      <c r="E15462" s="46" t="s">
        <v>11626</v>
      </c>
      <c r="F15462" s="46" t="s">
        <v>324</v>
      </c>
      <c r="G15462" s="46">
        <v>3.61731515115E11</v>
      </c>
      <c r="H15462" s="46" t="s">
        <v>325</v>
      </c>
      <c r="I15462" s="46" t="s">
        <v>326</v>
      </c>
      <c r="J15462" s="46" t="s">
        <v>332</v>
      </c>
      <c r="K15462" s="46" t="s">
        <v>63</v>
      </c>
      <c r="L15462" s="45">
        <v>46013.0</v>
      </c>
      <c r="M15462" s="46" t="s">
        <v>123</v>
      </c>
      <c r="N15462" s="45">
        <v>46013.208333333336</v>
      </c>
      <c r="O15462" s="46" t="s">
        <v>123</v>
      </c>
      <c r="P15462" s="46">
        <v>18000.0</v>
      </c>
    </row>
    <row r="15463">
      <c r="A15463" s="40">
        <f t="shared" si="1"/>
        <v>46013</v>
      </c>
      <c r="B15463" s="37" t="str">
        <f t="array" ref="B15463">iferror(xlookup($I15463, 'IMPORT VHC Report'!$E:$E, 'IMPORT VHC Report'!$A:$C), )</f>
        <v/>
      </c>
      <c r="C15463" s="44"/>
      <c r="D15463" s="44"/>
      <c r="E15463" s="46" t="s">
        <v>11627</v>
      </c>
      <c r="F15463" s="46" t="s">
        <v>324</v>
      </c>
      <c r="G15463" s="46">
        <v>3.61731515115E11</v>
      </c>
      <c r="H15463" s="46" t="s">
        <v>325</v>
      </c>
      <c r="I15463" s="46" t="s">
        <v>326</v>
      </c>
      <c r="J15463" s="46" t="s">
        <v>132</v>
      </c>
      <c r="K15463" s="46" t="s">
        <v>126</v>
      </c>
      <c r="L15463" s="45">
        <v>46013.010416666664</v>
      </c>
      <c r="M15463" s="46" t="s">
        <v>123</v>
      </c>
      <c r="N15463" s="45">
        <v>46013.052083333336</v>
      </c>
      <c r="O15463" s="46" t="s">
        <v>123</v>
      </c>
      <c r="P15463" s="46">
        <v>3600.0</v>
      </c>
    </row>
    <row r="15464">
      <c r="A15464" s="40">
        <f t="shared" si="1"/>
        <v>46013</v>
      </c>
      <c r="B15464" s="37" t="str">
        <f t="array" ref="B15464">iferror(xlookup($I15464, 'IMPORT VHC Report'!$E:$E, 'IMPORT VHC Report'!$A:$C), )</f>
        <v/>
      </c>
      <c r="C15464" s="44"/>
      <c r="D15464" s="44"/>
      <c r="E15464" s="46" t="s">
        <v>11628</v>
      </c>
      <c r="F15464" s="46" t="s">
        <v>324</v>
      </c>
      <c r="G15464" s="46">
        <v>3.61731515115E11</v>
      </c>
      <c r="H15464" s="46" t="s">
        <v>325</v>
      </c>
      <c r="I15464" s="46" t="s">
        <v>326</v>
      </c>
      <c r="J15464" s="46" t="s">
        <v>330</v>
      </c>
      <c r="K15464" s="46" t="s">
        <v>126</v>
      </c>
      <c r="L15464" s="45">
        <v>46015.833333333336</v>
      </c>
      <c r="M15464" s="46" t="s">
        <v>123</v>
      </c>
      <c r="N15464" s="45">
        <v>46015.84027777778</v>
      </c>
      <c r="O15464" s="46" t="s">
        <v>123</v>
      </c>
      <c r="P15464" s="46">
        <v>600.0</v>
      </c>
    </row>
    <row r="15465">
      <c r="A15465" s="40">
        <f t="shared" si="1"/>
        <v>46013</v>
      </c>
      <c r="B15465" s="37" t="str">
        <f t="array" ref="B15465">iferror(xlookup($I15465, 'IMPORT VHC Report'!$E:$E, 'IMPORT VHC Report'!$A:$C), )</f>
        <v/>
      </c>
      <c r="C15465" s="44"/>
      <c r="D15465" s="44"/>
      <c r="E15465" s="46" t="s">
        <v>11629</v>
      </c>
      <c r="F15465" s="46" t="s">
        <v>324</v>
      </c>
      <c r="G15465" s="46">
        <v>3.61731515115E11</v>
      </c>
      <c r="H15465" s="46" t="s">
        <v>325</v>
      </c>
      <c r="I15465" s="46" t="s">
        <v>326</v>
      </c>
      <c r="J15465" s="46" t="s">
        <v>332</v>
      </c>
      <c r="K15465" s="46" t="s">
        <v>63</v>
      </c>
      <c r="L15465" s="45">
        <v>46015.833333333336</v>
      </c>
      <c r="M15465" s="46" t="s">
        <v>123</v>
      </c>
      <c r="N15465" s="45">
        <v>46016.208333333336</v>
      </c>
      <c r="O15465" s="46" t="s">
        <v>123</v>
      </c>
      <c r="P15465" s="46">
        <v>32400.0</v>
      </c>
    </row>
    <row r="15466">
      <c r="A15466" s="40">
        <f t="shared" si="1"/>
        <v>46013</v>
      </c>
      <c r="B15466" s="37" t="str">
        <f t="array" ref="B15466">iferror(xlookup($I15466, 'IMPORT VHC Report'!$E:$E, 'IMPORT VHC Report'!$A:$C), )</f>
        <v/>
      </c>
      <c r="C15466" s="44"/>
      <c r="D15466" s="44"/>
      <c r="E15466" s="46" t="s">
        <v>11630</v>
      </c>
      <c r="F15466" s="46" t="s">
        <v>324</v>
      </c>
      <c r="G15466" s="46">
        <v>3.61731515115E11</v>
      </c>
      <c r="H15466" s="46" t="s">
        <v>325</v>
      </c>
      <c r="I15466" s="46" t="s">
        <v>326</v>
      </c>
      <c r="J15466" s="46" t="s">
        <v>132</v>
      </c>
      <c r="K15466" s="46" t="s">
        <v>126</v>
      </c>
      <c r="L15466" s="45">
        <v>46015.96875</v>
      </c>
      <c r="M15466" s="46" t="s">
        <v>123</v>
      </c>
      <c r="N15466" s="45">
        <v>46016.010416666664</v>
      </c>
      <c r="O15466" s="46" t="s">
        <v>123</v>
      </c>
      <c r="P15466" s="46">
        <v>3600.0</v>
      </c>
    </row>
    <row r="15467">
      <c r="A15467" s="40">
        <f t="shared" si="1"/>
        <v>46013</v>
      </c>
      <c r="B15467" s="37" t="str">
        <f t="array" ref="B15467">iferror(xlookup($I15467, 'IMPORT VHC Report'!$E:$E, 'IMPORT VHC Report'!$A:$C), )</f>
        <v/>
      </c>
      <c r="C15467" s="44"/>
      <c r="D15467" s="44"/>
      <c r="E15467" s="46" t="s">
        <v>11631</v>
      </c>
      <c r="F15467" s="46" t="s">
        <v>324</v>
      </c>
      <c r="G15467" s="46">
        <v>3.61731515115E11</v>
      </c>
      <c r="H15467" s="46" t="s">
        <v>325</v>
      </c>
      <c r="I15467" s="46" t="s">
        <v>326</v>
      </c>
      <c r="J15467" s="46" t="s">
        <v>136</v>
      </c>
      <c r="K15467" s="46" t="s">
        <v>126</v>
      </c>
      <c r="L15467" s="45">
        <v>46016.041666666664</v>
      </c>
      <c r="M15467" s="46" t="s">
        <v>123</v>
      </c>
      <c r="N15467" s="45">
        <v>46016.083333333336</v>
      </c>
      <c r="O15467" s="46" t="s">
        <v>123</v>
      </c>
      <c r="P15467" s="46">
        <v>3600.0</v>
      </c>
      <c r="S15467" s="46" t="s">
        <v>137</v>
      </c>
    </row>
    <row r="15468">
      <c r="A15468" s="40">
        <f t="shared" si="1"/>
        <v>46013</v>
      </c>
      <c r="B15468" s="37" t="str">
        <f t="array" ref="B15468">iferror(xlookup($I15468, 'IMPORT VHC Report'!$E:$E, 'IMPORT VHC Report'!$A:$C), )</f>
        <v/>
      </c>
      <c r="C15468" s="44"/>
      <c r="D15468" s="44"/>
      <c r="E15468" s="46" t="s">
        <v>11632</v>
      </c>
      <c r="F15468" s="46" t="s">
        <v>324</v>
      </c>
      <c r="G15468" s="46">
        <v>3.61731515115E11</v>
      </c>
      <c r="H15468" s="46" t="s">
        <v>325</v>
      </c>
      <c r="I15468" s="46" t="s">
        <v>326</v>
      </c>
      <c r="J15468" s="46" t="s">
        <v>134</v>
      </c>
      <c r="K15468" s="46" t="s">
        <v>126</v>
      </c>
      <c r="L15468" s="45">
        <v>46016.09375</v>
      </c>
      <c r="M15468" s="46" t="s">
        <v>123</v>
      </c>
      <c r="N15468" s="45">
        <v>46016.114583333336</v>
      </c>
      <c r="O15468" s="46" t="s">
        <v>123</v>
      </c>
      <c r="P15468" s="46">
        <v>1800.0</v>
      </c>
    </row>
    <row r="15469">
      <c r="A15469" s="40">
        <f t="shared" si="1"/>
        <v>46013</v>
      </c>
      <c r="B15469" s="37" t="str">
        <f t="array" ref="B15469">iferror(xlookup($I15469, 'IMPORT VHC Report'!$E:$E, 'IMPORT VHC Report'!$A:$C), )</f>
        <v/>
      </c>
      <c r="C15469" s="44"/>
      <c r="D15469" s="44"/>
      <c r="E15469" s="46" t="s">
        <v>11633</v>
      </c>
      <c r="F15469" s="46" t="s">
        <v>324</v>
      </c>
      <c r="G15469" s="46">
        <v>3.61731515115E11</v>
      </c>
      <c r="H15469" s="46" t="s">
        <v>325</v>
      </c>
      <c r="I15469" s="46" t="s">
        <v>326</v>
      </c>
      <c r="J15469" s="46" t="s">
        <v>4</v>
      </c>
      <c r="K15469" s="46" t="s">
        <v>126</v>
      </c>
      <c r="L15469" s="45">
        <v>46016.114583333336</v>
      </c>
      <c r="M15469" s="46" t="s">
        <v>123</v>
      </c>
      <c r="N15469" s="45">
        <v>46016.125</v>
      </c>
      <c r="O15469" s="46" t="s">
        <v>123</v>
      </c>
      <c r="P15469" s="46">
        <v>900.0</v>
      </c>
      <c r="S15469" s="46" t="s">
        <v>11634</v>
      </c>
    </row>
    <row r="15470">
      <c r="A15470" s="40">
        <f t="shared" si="1"/>
        <v>46013</v>
      </c>
      <c r="B15470" s="37" t="str">
        <f t="array" ref="B15470">iferror(xlookup($I15470, 'IMPORT VHC Report'!$E:$E, 'IMPORT VHC Report'!$A:$C), )</f>
        <v/>
      </c>
      <c r="C15470" s="44"/>
      <c r="D15470" s="44"/>
      <c r="E15470" s="46" t="s">
        <v>11635</v>
      </c>
      <c r="F15470" s="46" t="s">
        <v>324</v>
      </c>
      <c r="G15470" s="46">
        <v>3.61731515115E11</v>
      </c>
      <c r="H15470" s="46" t="s">
        <v>325</v>
      </c>
      <c r="I15470" s="46" t="s">
        <v>326</v>
      </c>
      <c r="J15470" s="46" t="s">
        <v>125</v>
      </c>
      <c r="K15470" s="46" t="s">
        <v>126</v>
      </c>
      <c r="L15470" s="45">
        <v>46016.125</v>
      </c>
      <c r="M15470" s="46" t="s">
        <v>123</v>
      </c>
      <c r="N15470" s="45">
        <v>46016.135416666664</v>
      </c>
      <c r="O15470" s="46" t="s">
        <v>123</v>
      </c>
      <c r="P15470" s="46">
        <v>900.0</v>
      </c>
      <c r="S15470" s="46" t="s">
        <v>11636</v>
      </c>
    </row>
    <row r="15471">
      <c r="A15471" s="40">
        <f t="shared" si="1"/>
        <v>46013</v>
      </c>
      <c r="B15471" s="37" t="str">
        <f t="array" ref="B15471">iferror(xlookup($I15471, 'IMPORT VHC Report'!$E:$E, 'IMPORT VHC Report'!$A:$C), )</f>
        <v/>
      </c>
      <c r="C15471" s="44"/>
      <c r="D15471" s="44"/>
      <c r="E15471" s="46" t="s">
        <v>11637</v>
      </c>
      <c r="F15471" s="46" t="s">
        <v>324</v>
      </c>
      <c r="G15471" s="46">
        <v>3.61731515115E11</v>
      </c>
      <c r="H15471" s="46" t="s">
        <v>325</v>
      </c>
      <c r="I15471" s="46" t="s">
        <v>326</v>
      </c>
      <c r="J15471" s="46" t="s">
        <v>330</v>
      </c>
      <c r="K15471" s="46" t="s">
        <v>126</v>
      </c>
      <c r="L15471" s="45">
        <v>46016.833333333336</v>
      </c>
      <c r="M15471" s="46" t="s">
        <v>123</v>
      </c>
      <c r="N15471" s="45">
        <v>46016.84027777778</v>
      </c>
      <c r="O15471" s="46" t="s">
        <v>123</v>
      </c>
      <c r="P15471" s="46">
        <v>600.0</v>
      </c>
    </row>
    <row r="15472">
      <c r="A15472" s="40">
        <f t="shared" si="1"/>
        <v>46013</v>
      </c>
      <c r="B15472" s="37" t="str">
        <f t="array" ref="B15472">iferror(xlookup($I15472, 'IMPORT VHC Report'!$E:$E, 'IMPORT VHC Report'!$A:$C), )</f>
        <v/>
      </c>
      <c r="C15472" s="44"/>
      <c r="D15472" s="44"/>
      <c r="E15472" s="46" t="s">
        <v>11638</v>
      </c>
      <c r="F15472" s="46" t="s">
        <v>324</v>
      </c>
      <c r="G15472" s="46">
        <v>3.61731515115E11</v>
      </c>
      <c r="H15472" s="46" t="s">
        <v>325</v>
      </c>
      <c r="I15472" s="46" t="s">
        <v>326</v>
      </c>
      <c r="J15472" s="46" t="s">
        <v>332</v>
      </c>
      <c r="K15472" s="46" t="s">
        <v>63</v>
      </c>
      <c r="L15472" s="45">
        <v>46016.833333333336</v>
      </c>
      <c r="M15472" s="46" t="s">
        <v>123</v>
      </c>
      <c r="N15472" s="45">
        <v>46017.208333333336</v>
      </c>
      <c r="O15472" s="46" t="s">
        <v>123</v>
      </c>
      <c r="P15472" s="46">
        <v>32400.0</v>
      </c>
    </row>
    <row r="15473">
      <c r="A15473" s="40">
        <f t="shared" si="1"/>
        <v>46013</v>
      </c>
      <c r="B15473" s="37" t="str">
        <f t="array" ref="B15473">iferror(xlookup($I15473, 'IMPORT VHC Report'!$E:$E, 'IMPORT VHC Report'!$A:$C), )</f>
        <v/>
      </c>
      <c r="C15473" s="44"/>
      <c r="D15473" s="44"/>
      <c r="E15473" s="46" t="s">
        <v>11639</v>
      </c>
      <c r="F15473" s="46" t="s">
        <v>324</v>
      </c>
      <c r="G15473" s="46">
        <v>3.61731515115E11</v>
      </c>
      <c r="H15473" s="46" t="s">
        <v>325</v>
      </c>
      <c r="I15473" s="46" t="s">
        <v>326</v>
      </c>
      <c r="J15473" s="46" t="s">
        <v>134</v>
      </c>
      <c r="K15473" s="46" t="s">
        <v>126</v>
      </c>
      <c r="L15473" s="45">
        <v>46016.947916666664</v>
      </c>
      <c r="M15473" s="46" t="s">
        <v>123</v>
      </c>
      <c r="N15473" s="45">
        <v>46016.96875</v>
      </c>
      <c r="O15473" s="46" t="s">
        <v>123</v>
      </c>
      <c r="P15473" s="46">
        <v>1800.0</v>
      </c>
    </row>
    <row r="15474">
      <c r="A15474" s="40">
        <f t="shared" si="1"/>
        <v>46013</v>
      </c>
      <c r="B15474" s="37" t="str">
        <f t="array" ref="B15474">iferror(xlookup($I15474, 'IMPORT VHC Report'!$E:$E, 'IMPORT VHC Report'!$A:$C), )</f>
        <v/>
      </c>
      <c r="C15474" s="44"/>
      <c r="D15474" s="44"/>
      <c r="E15474" s="46" t="s">
        <v>11640</v>
      </c>
      <c r="F15474" s="46" t="s">
        <v>324</v>
      </c>
      <c r="G15474" s="46">
        <v>3.61731515115E11</v>
      </c>
      <c r="H15474" s="46" t="s">
        <v>325</v>
      </c>
      <c r="I15474" s="46" t="s">
        <v>326</v>
      </c>
      <c r="J15474" s="46" t="s">
        <v>132</v>
      </c>
      <c r="K15474" s="46" t="s">
        <v>126</v>
      </c>
      <c r="L15474" s="45">
        <v>46017.052083333336</v>
      </c>
      <c r="M15474" s="46" t="s">
        <v>123</v>
      </c>
      <c r="N15474" s="45">
        <v>46017.09375</v>
      </c>
      <c r="O15474" s="46" t="s">
        <v>123</v>
      </c>
      <c r="P15474" s="46">
        <v>3600.0</v>
      </c>
    </row>
    <row r="15475">
      <c r="A15475" s="40">
        <f t="shared" si="1"/>
        <v>46013</v>
      </c>
      <c r="B15475" s="37" t="str">
        <f t="array" ref="B15475">iferror(xlookup($I15475, 'IMPORT VHC Report'!$E:$E, 'IMPORT VHC Report'!$A:$C), )</f>
        <v/>
      </c>
      <c r="C15475" s="44"/>
      <c r="D15475" s="44"/>
      <c r="E15475" s="46" t="s">
        <v>11641</v>
      </c>
      <c r="F15475" s="46" t="s">
        <v>324</v>
      </c>
      <c r="G15475" s="46">
        <v>3.61731515115E11</v>
      </c>
      <c r="H15475" s="46" t="s">
        <v>325</v>
      </c>
      <c r="I15475" s="46" t="s">
        <v>326</v>
      </c>
      <c r="J15475" s="46" t="s">
        <v>330</v>
      </c>
      <c r="K15475" s="46" t="s">
        <v>126</v>
      </c>
      <c r="L15475" s="45">
        <v>46017.833333333336</v>
      </c>
      <c r="M15475" s="46" t="s">
        <v>123</v>
      </c>
      <c r="N15475" s="45">
        <v>46017.84027777778</v>
      </c>
      <c r="O15475" s="46" t="s">
        <v>123</v>
      </c>
      <c r="P15475" s="46">
        <v>600.0</v>
      </c>
    </row>
    <row r="15476">
      <c r="A15476" s="40">
        <f t="shared" si="1"/>
        <v>46013</v>
      </c>
      <c r="B15476" s="37" t="str">
        <f t="array" ref="B15476">iferror(xlookup($I15476, 'IMPORT VHC Report'!$E:$E, 'IMPORT VHC Report'!$A:$C), )</f>
        <v/>
      </c>
      <c r="C15476" s="44"/>
      <c r="D15476" s="44"/>
      <c r="E15476" s="46" t="s">
        <v>11642</v>
      </c>
      <c r="F15476" s="46" t="s">
        <v>324</v>
      </c>
      <c r="G15476" s="46">
        <v>3.61731515115E11</v>
      </c>
      <c r="H15476" s="46" t="s">
        <v>325</v>
      </c>
      <c r="I15476" s="46" t="s">
        <v>326</v>
      </c>
      <c r="J15476" s="46" t="s">
        <v>332</v>
      </c>
      <c r="K15476" s="46" t="s">
        <v>63</v>
      </c>
      <c r="L15476" s="45">
        <v>46017.833333333336</v>
      </c>
      <c r="M15476" s="46" t="s">
        <v>123</v>
      </c>
      <c r="N15476" s="45">
        <v>46018.208333333336</v>
      </c>
      <c r="O15476" s="46" t="s">
        <v>123</v>
      </c>
      <c r="P15476" s="46">
        <v>32400.0</v>
      </c>
    </row>
    <row r="15477">
      <c r="A15477" s="40">
        <f t="shared" si="1"/>
        <v>46013</v>
      </c>
      <c r="B15477" s="37" t="str">
        <f t="array" ref="B15477">iferror(xlookup($I15477, 'IMPORT VHC Report'!$E:$E, 'IMPORT VHC Report'!$A:$C), )</f>
        <v/>
      </c>
      <c r="C15477" s="44"/>
      <c r="D15477" s="44"/>
      <c r="E15477" s="46" t="s">
        <v>11643</v>
      </c>
      <c r="F15477" s="46" t="s">
        <v>324</v>
      </c>
      <c r="G15477" s="46">
        <v>3.61731515115E11</v>
      </c>
      <c r="H15477" s="46" t="s">
        <v>325</v>
      </c>
      <c r="I15477" s="46" t="s">
        <v>326</v>
      </c>
      <c r="J15477" s="46" t="s">
        <v>132</v>
      </c>
      <c r="K15477" s="46" t="s">
        <v>126</v>
      </c>
      <c r="L15477" s="45">
        <v>46017.958333333336</v>
      </c>
      <c r="M15477" s="46" t="s">
        <v>123</v>
      </c>
      <c r="N15477" s="45">
        <v>46018.0</v>
      </c>
      <c r="O15477" s="46" t="s">
        <v>123</v>
      </c>
      <c r="P15477" s="46">
        <v>3600.0</v>
      </c>
    </row>
    <row r="15478">
      <c r="A15478" s="40">
        <f t="shared" si="1"/>
        <v>46013</v>
      </c>
      <c r="B15478" s="37" t="str">
        <f t="array" ref="B15478">iferror(xlookup($I15478, 'IMPORT VHC Report'!$E:$E, 'IMPORT VHC Report'!$A:$C), )</f>
        <v/>
      </c>
      <c r="C15478" s="44"/>
      <c r="D15478" s="44"/>
      <c r="E15478" s="46" t="s">
        <v>11644</v>
      </c>
      <c r="F15478" s="46" t="s">
        <v>324</v>
      </c>
      <c r="G15478" s="46">
        <v>3.61731515115E11</v>
      </c>
      <c r="H15478" s="46" t="s">
        <v>325</v>
      </c>
      <c r="I15478" s="46" t="s">
        <v>326</v>
      </c>
      <c r="J15478" s="46" t="s">
        <v>134</v>
      </c>
      <c r="K15478" s="46" t="s">
        <v>126</v>
      </c>
      <c r="L15478" s="45">
        <v>46018.09375</v>
      </c>
      <c r="M15478" s="46" t="s">
        <v>123</v>
      </c>
      <c r="N15478" s="45">
        <v>46018.114583333336</v>
      </c>
      <c r="O15478" s="46" t="s">
        <v>123</v>
      </c>
      <c r="P15478" s="46">
        <v>1800.0</v>
      </c>
    </row>
    <row r="15479">
      <c r="A15479" s="40">
        <f t="shared" si="1"/>
        <v>46013</v>
      </c>
      <c r="B15479" s="37" t="str">
        <f t="array" ref="B15479">iferror(xlookup($I15479, 'IMPORT VHC Report'!$E:$E, 'IMPORT VHC Report'!$A:$C), )</f>
        <v/>
      </c>
      <c r="C15479" s="44"/>
      <c r="D15479" s="44"/>
      <c r="E15479" s="46" t="s">
        <v>11645</v>
      </c>
      <c r="F15479" s="46" t="s">
        <v>324</v>
      </c>
      <c r="G15479" s="46">
        <v>3.61731515115E11</v>
      </c>
      <c r="H15479" s="46" t="s">
        <v>325</v>
      </c>
      <c r="I15479" s="46" t="s">
        <v>326</v>
      </c>
      <c r="J15479" s="46" t="s">
        <v>330</v>
      </c>
      <c r="K15479" s="46" t="s">
        <v>126</v>
      </c>
      <c r="L15479" s="45">
        <v>46018.833333333336</v>
      </c>
      <c r="M15479" s="46" t="s">
        <v>123</v>
      </c>
      <c r="N15479" s="45">
        <v>46018.84027777778</v>
      </c>
      <c r="O15479" s="46" t="s">
        <v>123</v>
      </c>
      <c r="P15479" s="46">
        <v>600.0</v>
      </c>
    </row>
    <row r="15480">
      <c r="A15480" s="40">
        <f t="shared" si="1"/>
        <v>46013</v>
      </c>
      <c r="B15480" s="37" t="str">
        <f t="array" ref="B15480">iferror(xlookup($I15480, 'IMPORT VHC Report'!$E:$E, 'IMPORT VHC Report'!$A:$C), )</f>
        <v/>
      </c>
      <c r="C15480" s="44"/>
      <c r="D15480" s="44"/>
      <c r="E15480" s="46" t="s">
        <v>11646</v>
      </c>
      <c r="F15480" s="46" t="s">
        <v>324</v>
      </c>
      <c r="G15480" s="46">
        <v>3.61731515115E11</v>
      </c>
      <c r="H15480" s="46" t="s">
        <v>325</v>
      </c>
      <c r="I15480" s="46" t="s">
        <v>326</v>
      </c>
      <c r="J15480" s="46" t="s">
        <v>332</v>
      </c>
      <c r="K15480" s="46" t="s">
        <v>63</v>
      </c>
      <c r="L15480" s="45">
        <v>46018.833333333336</v>
      </c>
      <c r="M15480" s="46" t="s">
        <v>123</v>
      </c>
      <c r="N15480" s="45">
        <v>46019.208333333336</v>
      </c>
      <c r="O15480" s="46" t="s">
        <v>123</v>
      </c>
      <c r="P15480" s="46">
        <v>32400.0</v>
      </c>
    </row>
    <row r="15481">
      <c r="A15481" s="40">
        <f t="shared" si="1"/>
        <v>46013</v>
      </c>
      <c r="B15481" s="37" t="str">
        <f t="array" ref="B15481">iferror(xlookup($I15481, 'IMPORT VHC Report'!$E:$E, 'IMPORT VHC Report'!$A:$C), )</f>
        <v/>
      </c>
      <c r="C15481" s="44"/>
      <c r="D15481" s="44"/>
      <c r="E15481" s="46" t="s">
        <v>11647</v>
      </c>
      <c r="F15481" s="46" t="s">
        <v>324</v>
      </c>
      <c r="G15481" s="46">
        <v>3.61731515115E11</v>
      </c>
      <c r="H15481" s="46" t="s">
        <v>325</v>
      </c>
      <c r="I15481" s="46" t="s">
        <v>326</v>
      </c>
      <c r="J15481" s="46" t="s">
        <v>134</v>
      </c>
      <c r="K15481" s="46" t="s">
        <v>126</v>
      </c>
      <c r="L15481" s="45">
        <v>46018.9375</v>
      </c>
      <c r="M15481" s="46" t="s">
        <v>123</v>
      </c>
      <c r="N15481" s="45">
        <v>46018.958333333336</v>
      </c>
      <c r="O15481" s="46" t="s">
        <v>123</v>
      </c>
      <c r="P15481" s="46">
        <v>1800.0</v>
      </c>
    </row>
    <row r="15482">
      <c r="A15482" s="40">
        <f t="shared" si="1"/>
        <v>46013</v>
      </c>
      <c r="B15482" s="37" t="str">
        <f t="array" ref="B15482">iferror(xlookup($I15482, 'IMPORT VHC Report'!$E:$E, 'IMPORT VHC Report'!$A:$C), )</f>
        <v/>
      </c>
      <c r="C15482" s="44"/>
      <c r="D15482" s="44"/>
      <c r="E15482" s="46" t="s">
        <v>11648</v>
      </c>
      <c r="F15482" s="46" t="s">
        <v>324</v>
      </c>
      <c r="G15482" s="46">
        <v>3.61731515115E11</v>
      </c>
      <c r="H15482" s="46" t="s">
        <v>325</v>
      </c>
      <c r="I15482" s="46" t="s">
        <v>326</v>
      </c>
      <c r="J15482" s="46" t="s">
        <v>132</v>
      </c>
      <c r="K15482" s="46" t="s">
        <v>126</v>
      </c>
      <c r="L15482" s="45">
        <v>46019.052083333336</v>
      </c>
      <c r="M15482" s="46" t="s">
        <v>123</v>
      </c>
      <c r="N15482" s="45">
        <v>46019.09375</v>
      </c>
      <c r="O15482" s="46" t="s">
        <v>123</v>
      </c>
      <c r="P15482" s="46">
        <v>3600.0</v>
      </c>
    </row>
    <row r="15483">
      <c r="A15483" s="40">
        <f t="shared" si="1"/>
        <v>46013</v>
      </c>
      <c r="B15483" s="37" t="str">
        <f t="array" ref="B15483">iferror(xlookup($I15483, 'IMPORT VHC Report'!$E:$E, 'IMPORT VHC Report'!$A:$C), )</f>
        <v/>
      </c>
      <c r="C15483" s="44"/>
      <c r="D15483" s="44"/>
      <c r="E15483" s="46" t="s">
        <v>11649</v>
      </c>
      <c r="F15483" s="46" t="s">
        <v>324</v>
      </c>
      <c r="G15483" s="46">
        <v>3.61731515115E11</v>
      </c>
      <c r="H15483" s="46" t="s">
        <v>325</v>
      </c>
      <c r="I15483" s="46" t="s">
        <v>326</v>
      </c>
      <c r="J15483" s="46" t="s">
        <v>330</v>
      </c>
      <c r="K15483" s="46" t="s">
        <v>126</v>
      </c>
      <c r="L15483" s="45">
        <v>46019.833333333336</v>
      </c>
      <c r="M15483" s="46" t="s">
        <v>123</v>
      </c>
      <c r="N15483" s="45">
        <v>46019.84027777778</v>
      </c>
      <c r="O15483" s="46" t="s">
        <v>123</v>
      </c>
      <c r="P15483" s="46">
        <v>600.0</v>
      </c>
    </row>
    <row r="15484">
      <c r="A15484" s="40">
        <f t="shared" si="1"/>
        <v>46013</v>
      </c>
      <c r="B15484" s="37" t="str">
        <f t="array" ref="B15484">iferror(xlookup($I15484, 'IMPORT VHC Report'!$E:$E, 'IMPORT VHC Report'!$A:$C), )</f>
        <v/>
      </c>
      <c r="C15484" s="44"/>
      <c r="D15484" s="44"/>
      <c r="E15484" s="46" t="s">
        <v>11650</v>
      </c>
      <c r="F15484" s="46" t="s">
        <v>324</v>
      </c>
      <c r="G15484" s="46">
        <v>3.61731515115E11</v>
      </c>
      <c r="H15484" s="46" t="s">
        <v>325</v>
      </c>
      <c r="I15484" s="46" t="s">
        <v>326</v>
      </c>
      <c r="J15484" s="46" t="s">
        <v>332</v>
      </c>
      <c r="K15484" s="46" t="s">
        <v>63</v>
      </c>
      <c r="L15484" s="45">
        <v>46019.833333333336</v>
      </c>
      <c r="M15484" s="46" t="s">
        <v>123</v>
      </c>
      <c r="N15484" s="45">
        <v>46020.0</v>
      </c>
      <c r="O15484" s="46" t="s">
        <v>123</v>
      </c>
      <c r="P15484" s="46">
        <v>14400.0</v>
      </c>
    </row>
    <row r="15485">
      <c r="A15485" s="40">
        <f t="shared" si="1"/>
        <v>46013</v>
      </c>
      <c r="B15485" s="37" t="str">
        <f t="array" ref="B15485">iferror(xlookup($I15485, 'IMPORT VHC Report'!$E:$E, 'IMPORT VHC Report'!$A:$C), )</f>
        <v/>
      </c>
      <c r="C15485" s="44"/>
      <c r="D15485" s="44"/>
      <c r="E15485" s="46" t="s">
        <v>11651</v>
      </c>
      <c r="F15485" s="46" t="s">
        <v>324</v>
      </c>
      <c r="G15485" s="46">
        <v>3.61731515115E11</v>
      </c>
      <c r="H15485" s="46" t="s">
        <v>325</v>
      </c>
      <c r="I15485" s="46" t="s">
        <v>326</v>
      </c>
      <c r="J15485" s="46" t="s">
        <v>134</v>
      </c>
      <c r="K15485" s="46" t="s">
        <v>126</v>
      </c>
      <c r="L15485" s="45">
        <v>46019.9375</v>
      </c>
      <c r="M15485" s="46" t="s">
        <v>123</v>
      </c>
      <c r="N15485" s="45">
        <v>46019.958333333336</v>
      </c>
      <c r="O15485" s="46" t="s">
        <v>123</v>
      </c>
      <c r="P15485" s="46">
        <v>1800.0</v>
      </c>
    </row>
    <row r="15486">
      <c r="A15486" s="40">
        <f t="shared" si="1"/>
        <v>46006</v>
      </c>
      <c r="B15486" s="37" t="str">
        <f t="array" ref="B15486">iferror(xlookup($I15486, 'IMPORT VHC Report'!$E:$E, 'IMPORT VHC Report'!$A:$C), )</f>
        <v/>
      </c>
      <c r="C15486" s="44"/>
      <c r="D15486" s="44"/>
      <c r="E15486" s="46" t="s">
        <v>415</v>
      </c>
      <c r="F15486" s="46" t="s">
        <v>386</v>
      </c>
      <c r="G15486" s="46">
        <v>5.202379069967E12</v>
      </c>
      <c r="H15486" s="46" t="s">
        <v>387</v>
      </c>
      <c r="I15486" s="46" t="s">
        <v>388</v>
      </c>
      <c r="J15486" s="46" t="s">
        <v>152</v>
      </c>
      <c r="K15486" s="46" t="s">
        <v>153</v>
      </c>
      <c r="L15486" s="45">
        <v>46012.875</v>
      </c>
      <c r="M15486" s="46" t="s">
        <v>123</v>
      </c>
      <c r="N15486" s="45">
        <v>46013.25</v>
      </c>
      <c r="O15486" s="46" t="s">
        <v>123</v>
      </c>
      <c r="P15486" s="46">
        <v>32400.0</v>
      </c>
      <c r="Q15486" s="46">
        <v>32400.0</v>
      </c>
    </row>
    <row r="15487">
      <c r="A15487" s="40">
        <f t="shared" si="1"/>
        <v>46013</v>
      </c>
      <c r="B15487" s="37" t="str">
        <f t="array" ref="B15487">iferror(xlookup($I15487, 'IMPORT VHC Report'!$E:$E, 'IMPORT VHC Report'!$A:$C), )</f>
        <v/>
      </c>
      <c r="C15487" s="44"/>
      <c r="D15487" s="44"/>
      <c r="E15487" s="46" t="s">
        <v>11652</v>
      </c>
      <c r="F15487" s="46" t="s">
        <v>386</v>
      </c>
      <c r="G15487" s="46">
        <v>5.202379069967E12</v>
      </c>
      <c r="H15487" s="46" t="s">
        <v>387</v>
      </c>
      <c r="I15487" s="46" t="s">
        <v>388</v>
      </c>
      <c r="J15487" s="46" t="s">
        <v>332</v>
      </c>
      <c r="K15487" s="46" t="s">
        <v>63</v>
      </c>
      <c r="L15487" s="45">
        <v>46013.0</v>
      </c>
      <c r="M15487" s="46" t="s">
        <v>123</v>
      </c>
      <c r="N15487" s="45">
        <v>46013.25</v>
      </c>
      <c r="O15487" s="46" t="s">
        <v>123</v>
      </c>
      <c r="P15487" s="46">
        <v>21600.0</v>
      </c>
    </row>
    <row r="15488">
      <c r="A15488" s="40">
        <f t="shared" si="1"/>
        <v>46013</v>
      </c>
      <c r="B15488" s="37" t="str">
        <f t="array" ref="B15488">iferror(xlookup($I15488, 'IMPORT VHC Report'!$E:$E, 'IMPORT VHC Report'!$A:$C), )</f>
        <v/>
      </c>
      <c r="C15488" s="44"/>
      <c r="D15488" s="44"/>
      <c r="E15488" s="46" t="s">
        <v>11653</v>
      </c>
      <c r="F15488" s="46" t="s">
        <v>386</v>
      </c>
      <c r="G15488" s="46">
        <v>5.202379069967E12</v>
      </c>
      <c r="H15488" s="46" t="s">
        <v>387</v>
      </c>
      <c r="I15488" s="46" t="s">
        <v>388</v>
      </c>
      <c r="J15488" s="46" t="s">
        <v>132</v>
      </c>
      <c r="K15488" s="46" t="s">
        <v>126</v>
      </c>
      <c r="L15488" s="45">
        <v>46013.052083333336</v>
      </c>
      <c r="M15488" s="46" t="s">
        <v>123</v>
      </c>
      <c r="N15488" s="45">
        <v>46013.09375</v>
      </c>
      <c r="O15488" s="46" t="s">
        <v>123</v>
      </c>
      <c r="P15488" s="46">
        <v>3600.0</v>
      </c>
    </row>
    <row r="15489">
      <c r="A15489" s="40">
        <f t="shared" si="1"/>
        <v>46013</v>
      </c>
      <c r="B15489" s="37" t="str">
        <f t="array" ref="B15489">iferror(xlookup($I15489, 'IMPORT VHC Report'!$E:$E, 'IMPORT VHC Report'!$A:$C), )</f>
        <v/>
      </c>
      <c r="C15489" s="44"/>
      <c r="D15489" s="44"/>
      <c r="E15489" s="46" t="s">
        <v>11654</v>
      </c>
      <c r="F15489" s="46" t="s">
        <v>386</v>
      </c>
      <c r="G15489" s="46">
        <v>5.202379069967E12</v>
      </c>
      <c r="H15489" s="46" t="s">
        <v>387</v>
      </c>
      <c r="I15489" s="46" t="s">
        <v>388</v>
      </c>
      <c r="J15489" s="46" t="s">
        <v>330</v>
      </c>
      <c r="K15489" s="46" t="s">
        <v>126</v>
      </c>
      <c r="L15489" s="45">
        <v>46013.875</v>
      </c>
      <c r="M15489" s="46" t="s">
        <v>123</v>
      </c>
      <c r="N15489" s="45">
        <v>46013.881944444445</v>
      </c>
      <c r="O15489" s="46" t="s">
        <v>123</v>
      </c>
      <c r="P15489" s="46">
        <v>600.0</v>
      </c>
    </row>
    <row r="15490">
      <c r="A15490" s="40">
        <f t="shared" si="1"/>
        <v>46013</v>
      </c>
      <c r="B15490" s="37" t="str">
        <f t="array" ref="B15490">iferror(xlookup($I15490, 'IMPORT VHC Report'!$E:$E, 'IMPORT VHC Report'!$A:$C), )</f>
        <v/>
      </c>
      <c r="C15490" s="44"/>
      <c r="D15490" s="44"/>
      <c r="E15490" s="46" t="s">
        <v>11655</v>
      </c>
      <c r="F15490" s="46" t="s">
        <v>386</v>
      </c>
      <c r="G15490" s="46">
        <v>5.202379069967E12</v>
      </c>
      <c r="H15490" s="46" t="s">
        <v>387</v>
      </c>
      <c r="I15490" s="46" t="s">
        <v>388</v>
      </c>
      <c r="J15490" s="46" t="s">
        <v>332</v>
      </c>
      <c r="K15490" s="46" t="s">
        <v>63</v>
      </c>
      <c r="L15490" s="45">
        <v>46013.875</v>
      </c>
      <c r="M15490" s="46" t="s">
        <v>123</v>
      </c>
      <c r="N15490" s="45">
        <v>46014.25</v>
      </c>
      <c r="O15490" s="46" t="s">
        <v>123</v>
      </c>
      <c r="P15490" s="46">
        <v>32400.0</v>
      </c>
    </row>
    <row r="15491">
      <c r="A15491" s="40">
        <f t="shared" si="1"/>
        <v>46013</v>
      </c>
      <c r="B15491" s="37" t="str">
        <f t="array" ref="B15491">iferror(xlookup($I15491, 'IMPORT VHC Report'!$E:$E, 'IMPORT VHC Report'!$A:$C), )</f>
        <v/>
      </c>
      <c r="C15491" s="44"/>
      <c r="D15491" s="44"/>
      <c r="E15491" s="46" t="s">
        <v>11656</v>
      </c>
      <c r="F15491" s="46" t="s">
        <v>386</v>
      </c>
      <c r="G15491" s="46">
        <v>5.202379069967E12</v>
      </c>
      <c r="H15491" s="46" t="s">
        <v>387</v>
      </c>
      <c r="I15491" s="46" t="s">
        <v>388</v>
      </c>
      <c r="J15491" s="46" t="s">
        <v>134</v>
      </c>
      <c r="K15491" s="46" t="s">
        <v>126</v>
      </c>
      <c r="L15491" s="45">
        <v>46013.979166666664</v>
      </c>
      <c r="M15491" s="46" t="s">
        <v>123</v>
      </c>
      <c r="N15491" s="45">
        <v>46014.0</v>
      </c>
      <c r="O15491" s="46" t="s">
        <v>123</v>
      </c>
      <c r="P15491" s="46">
        <v>1800.0</v>
      </c>
    </row>
    <row r="15492">
      <c r="A15492" s="40">
        <f t="shared" si="1"/>
        <v>46013</v>
      </c>
      <c r="B15492" s="37" t="str">
        <f t="array" ref="B15492">iferror(xlookup($I15492, 'IMPORT VHC Report'!$E:$E, 'IMPORT VHC Report'!$A:$C), )</f>
        <v/>
      </c>
      <c r="C15492" s="44"/>
      <c r="D15492" s="44"/>
      <c r="E15492" s="46" t="s">
        <v>11657</v>
      </c>
      <c r="F15492" s="46" t="s">
        <v>386</v>
      </c>
      <c r="G15492" s="46">
        <v>5.202379069967E12</v>
      </c>
      <c r="H15492" s="46" t="s">
        <v>387</v>
      </c>
      <c r="I15492" s="46" t="s">
        <v>388</v>
      </c>
      <c r="J15492" s="46" t="s">
        <v>132</v>
      </c>
      <c r="K15492" s="46" t="s">
        <v>126</v>
      </c>
      <c r="L15492" s="45">
        <v>46014.166666666664</v>
      </c>
      <c r="M15492" s="46" t="s">
        <v>123</v>
      </c>
      <c r="N15492" s="45">
        <v>46014.208333333336</v>
      </c>
      <c r="O15492" s="46" t="s">
        <v>123</v>
      </c>
      <c r="P15492" s="46">
        <v>3600.0</v>
      </c>
    </row>
    <row r="15493">
      <c r="A15493" s="40">
        <f t="shared" si="1"/>
        <v>46013</v>
      </c>
      <c r="B15493" s="37" t="str">
        <f t="array" ref="B15493">iferror(xlookup($I15493, 'IMPORT VHC Report'!$E:$E, 'IMPORT VHC Report'!$A:$C), )</f>
        <v/>
      </c>
      <c r="C15493" s="44"/>
      <c r="D15493" s="44"/>
      <c r="E15493" s="46" t="s">
        <v>11658</v>
      </c>
      <c r="F15493" s="46" t="s">
        <v>386</v>
      </c>
      <c r="G15493" s="46">
        <v>5.202379069967E12</v>
      </c>
      <c r="H15493" s="46" t="s">
        <v>387</v>
      </c>
      <c r="I15493" s="46" t="s">
        <v>388</v>
      </c>
      <c r="J15493" s="46" t="s">
        <v>330</v>
      </c>
      <c r="K15493" s="46" t="s">
        <v>126</v>
      </c>
      <c r="L15493" s="45">
        <v>46014.875</v>
      </c>
      <c r="M15493" s="46" t="s">
        <v>123</v>
      </c>
      <c r="N15493" s="45">
        <v>46014.881944444445</v>
      </c>
      <c r="O15493" s="46" t="s">
        <v>123</v>
      </c>
      <c r="P15493" s="46">
        <v>600.0</v>
      </c>
    </row>
    <row r="15494">
      <c r="A15494" s="40">
        <f t="shared" si="1"/>
        <v>46013</v>
      </c>
      <c r="B15494" s="37" t="str">
        <f t="array" ref="B15494">iferror(xlookup($I15494, 'IMPORT VHC Report'!$E:$E, 'IMPORT VHC Report'!$A:$C), )</f>
        <v/>
      </c>
      <c r="C15494" s="44"/>
      <c r="D15494" s="44"/>
      <c r="E15494" s="46" t="s">
        <v>11659</v>
      </c>
      <c r="F15494" s="46" t="s">
        <v>386</v>
      </c>
      <c r="G15494" s="46">
        <v>5.202379069967E12</v>
      </c>
      <c r="H15494" s="46" t="s">
        <v>387</v>
      </c>
      <c r="I15494" s="46" t="s">
        <v>388</v>
      </c>
      <c r="J15494" s="46" t="s">
        <v>332</v>
      </c>
      <c r="K15494" s="46" t="s">
        <v>63</v>
      </c>
      <c r="L15494" s="45">
        <v>46014.875</v>
      </c>
      <c r="M15494" s="46" t="s">
        <v>123</v>
      </c>
      <c r="N15494" s="45">
        <v>46015.25</v>
      </c>
      <c r="O15494" s="46" t="s">
        <v>123</v>
      </c>
      <c r="P15494" s="46">
        <v>32400.0</v>
      </c>
    </row>
    <row r="15495">
      <c r="A15495" s="40">
        <f t="shared" si="1"/>
        <v>46013</v>
      </c>
      <c r="B15495" s="37" t="str">
        <f t="array" ref="B15495">iferror(xlookup($I15495, 'IMPORT VHC Report'!$E:$E, 'IMPORT VHC Report'!$A:$C), )</f>
        <v/>
      </c>
      <c r="C15495" s="44"/>
      <c r="D15495" s="44"/>
      <c r="E15495" s="46" t="s">
        <v>11660</v>
      </c>
      <c r="F15495" s="46" t="s">
        <v>386</v>
      </c>
      <c r="G15495" s="46">
        <v>5.202379069967E12</v>
      </c>
      <c r="H15495" s="46" t="s">
        <v>387</v>
      </c>
      <c r="I15495" s="46" t="s">
        <v>388</v>
      </c>
      <c r="J15495" s="46" t="s">
        <v>132</v>
      </c>
      <c r="K15495" s="46" t="s">
        <v>126</v>
      </c>
      <c r="L15495" s="45">
        <v>46015.0</v>
      </c>
      <c r="M15495" s="46" t="s">
        <v>123</v>
      </c>
      <c r="N15495" s="45">
        <v>46015.041666666664</v>
      </c>
      <c r="O15495" s="46" t="s">
        <v>123</v>
      </c>
      <c r="P15495" s="46">
        <v>3600.0</v>
      </c>
    </row>
    <row r="15496">
      <c r="A15496" s="40">
        <f t="shared" si="1"/>
        <v>46013</v>
      </c>
      <c r="B15496" s="37" t="str">
        <f t="array" ref="B15496">iferror(xlookup($I15496, 'IMPORT VHC Report'!$E:$E, 'IMPORT VHC Report'!$A:$C), )</f>
        <v/>
      </c>
      <c r="C15496" s="44"/>
      <c r="D15496" s="44"/>
      <c r="E15496" s="46" t="s">
        <v>11661</v>
      </c>
      <c r="F15496" s="46" t="s">
        <v>386</v>
      </c>
      <c r="G15496" s="46">
        <v>5.202379069967E12</v>
      </c>
      <c r="H15496" s="46" t="s">
        <v>387</v>
      </c>
      <c r="I15496" s="46" t="s">
        <v>388</v>
      </c>
      <c r="J15496" s="46" t="s">
        <v>134</v>
      </c>
      <c r="K15496" s="46" t="s">
        <v>126</v>
      </c>
      <c r="L15496" s="45">
        <v>46015.1875</v>
      </c>
      <c r="M15496" s="46" t="s">
        <v>123</v>
      </c>
      <c r="N15496" s="45">
        <v>46015.208333333336</v>
      </c>
      <c r="O15496" s="46" t="s">
        <v>123</v>
      </c>
      <c r="P15496" s="46">
        <v>1800.0</v>
      </c>
    </row>
    <row r="15497">
      <c r="A15497" s="40">
        <f t="shared" si="1"/>
        <v>46013</v>
      </c>
      <c r="B15497" s="37" t="str">
        <f t="array" ref="B15497">iferror(xlookup($I15497, 'IMPORT VHC Report'!$E:$E, 'IMPORT VHC Report'!$A:$C), )</f>
        <v/>
      </c>
      <c r="C15497" s="44"/>
      <c r="D15497" s="44"/>
      <c r="E15497" s="46" t="s">
        <v>11662</v>
      </c>
      <c r="F15497" s="46" t="s">
        <v>386</v>
      </c>
      <c r="G15497" s="46">
        <v>5.202379069967E12</v>
      </c>
      <c r="H15497" s="46" t="s">
        <v>387</v>
      </c>
      <c r="I15497" s="46" t="s">
        <v>388</v>
      </c>
      <c r="J15497" s="46" t="s">
        <v>330</v>
      </c>
      <c r="K15497" s="46" t="s">
        <v>126</v>
      </c>
      <c r="L15497" s="45">
        <v>46015.875</v>
      </c>
      <c r="M15497" s="46" t="s">
        <v>123</v>
      </c>
      <c r="N15497" s="45">
        <v>46015.881944444445</v>
      </c>
      <c r="O15497" s="46" t="s">
        <v>123</v>
      </c>
      <c r="P15497" s="46">
        <v>600.0</v>
      </c>
    </row>
    <row r="15498">
      <c r="A15498" s="40">
        <f t="shared" si="1"/>
        <v>46013</v>
      </c>
      <c r="B15498" s="37" t="str">
        <f t="array" ref="B15498">iferror(xlookup($I15498, 'IMPORT VHC Report'!$E:$E, 'IMPORT VHC Report'!$A:$C), )</f>
        <v/>
      </c>
      <c r="C15498" s="44"/>
      <c r="D15498" s="44"/>
      <c r="E15498" s="46" t="s">
        <v>11663</v>
      </c>
      <c r="F15498" s="46" t="s">
        <v>386</v>
      </c>
      <c r="G15498" s="46">
        <v>5.202379069967E12</v>
      </c>
      <c r="H15498" s="46" t="s">
        <v>387</v>
      </c>
      <c r="I15498" s="46" t="s">
        <v>388</v>
      </c>
      <c r="J15498" s="46" t="s">
        <v>332</v>
      </c>
      <c r="K15498" s="46" t="s">
        <v>63</v>
      </c>
      <c r="L15498" s="45">
        <v>46015.875</v>
      </c>
      <c r="M15498" s="46" t="s">
        <v>123</v>
      </c>
      <c r="N15498" s="45">
        <v>46016.25</v>
      </c>
      <c r="O15498" s="46" t="s">
        <v>123</v>
      </c>
      <c r="P15498" s="46">
        <v>32400.0</v>
      </c>
    </row>
    <row r="15499">
      <c r="A15499" s="40">
        <f t="shared" si="1"/>
        <v>46013</v>
      </c>
      <c r="B15499" s="37" t="str">
        <f t="array" ref="B15499">iferror(xlookup($I15499, 'IMPORT VHC Report'!$E:$E, 'IMPORT VHC Report'!$A:$C), )</f>
        <v/>
      </c>
      <c r="C15499" s="44"/>
      <c r="D15499" s="44"/>
      <c r="E15499" s="46" t="s">
        <v>11664</v>
      </c>
      <c r="F15499" s="46" t="s">
        <v>386</v>
      </c>
      <c r="G15499" s="46">
        <v>5.202379069967E12</v>
      </c>
      <c r="H15499" s="46" t="s">
        <v>387</v>
      </c>
      <c r="I15499" s="46" t="s">
        <v>388</v>
      </c>
      <c r="J15499" s="46" t="s">
        <v>132</v>
      </c>
      <c r="K15499" s="46" t="s">
        <v>126</v>
      </c>
      <c r="L15499" s="45">
        <v>46016.0</v>
      </c>
      <c r="M15499" s="46" t="s">
        <v>123</v>
      </c>
      <c r="N15499" s="45">
        <v>46016.041666666664</v>
      </c>
      <c r="O15499" s="46" t="s">
        <v>123</v>
      </c>
      <c r="P15499" s="46">
        <v>3600.0</v>
      </c>
    </row>
    <row r="15500">
      <c r="A15500" s="40">
        <f t="shared" si="1"/>
        <v>46013</v>
      </c>
      <c r="B15500" s="37" t="str">
        <f t="array" ref="B15500">iferror(xlookup($I15500, 'IMPORT VHC Report'!$E:$E, 'IMPORT VHC Report'!$A:$C), )</f>
        <v/>
      </c>
      <c r="C15500" s="44"/>
      <c r="D15500" s="44"/>
      <c r="E15500" s="46" t="s">
        <v>11665</v>
      </c>
      <c r="F15500" s="46" t="s">
        <v>386</v>
      </c>
      <c r="G15500" s="46">
        <v>5.202379069967E12</v>
      </c>
      <c r="H15500" s="46" t="s">
        <v>387</v>
      </c>
      <c r="I15500" s="46" t="s">
        <v>388</v>
      </c>
      <c r="J15500" s="46" t="s">
        <v>136</v>
      </c>
      <c r="K15500" s="46" t="s">
        <v>126</v>
      </c>
      <c r="L15500" s="45">
        <v>46016.041666666664</v>
      </c>
      <c r="M15500" s="46" t="s">
        <v>123</v>
      </c>
      <c r="N15500" s="45">
        <v>46016.083333333336</v>
      </c>
      <c r="O15500" s="46" t="s">
        <v>123</v>
      </c>
      <c r="P15500" s="46">
        <v>3600.0</v>
      </c>
      <c r="S15500" s="46" t="s">
        <v>137</v>
      </c>
    </row>
    <row r="15501">
      <c r="A15501" s="40">
        <f t="shared" si="1"/>
        <v>46013</v>
      </c>
      <c r="B15501" s="37" t="str">
        <f t="array" ref="B15501">iferror(xlookup($I15501, 'IMPORT VHC Report'!$E:$E, 'IMPORT VHC Report'!$A:$C), )</f>
        <v/>
      </c>
      <c r="C15501" s="44"/>
      <c r="D15501" s="44"/>
      <c r="E15501" s="46" t="s">
        <v>11666</v>
      </c>
      <c r="F15501" s="46" t="s">
        <v>386</v>
      </c>
      <c r="G15501" s="46">
        <v>5.202379069967E12</v>
      </c>
      <c r="H15501" s="46" t="s">
        <v>387</v>
      </c>
      <c r="I15501" s="46" t="s">
        <v>388</v>
      </c>
      <c r="J15501" s="46" t="s">
        <v>134</v>
      </c>
      <c r="K15501" s="46" t="s">
        <v>126</v>
      </c>
      <c r="L15501" s="45">
        <v>46016.166666666664</v>
      </c>
      <c r="M15501" s="46" t="s">
        <v>123</v>
      </c>
      <c r="N15501" s="45">
        <v>46016.1875</v>
      </c>
      <c r="O15501" s="46" t="s">
        <v>123</v>
      </c>
      <c r="P15501" s="46">
        <v>1800.0</v>
      </c>
    </row>
    <row r="15502">
      <c r="A15502" s="40">
        <f t="shared" si="1"/>
        <v>46013</v>
      </c>
      <c r="B15502" s="37" t="str">
        <f t="array" ref="B15502">iferror(xlookup($I15502, 'IMPORT VHC Report'!$E:$E, 'IMPORT VHC Report'!$A:$C), )</f>
        <v/>
      </c>
      <c r="C15502" s="44"/>
      <c r="D15502" s="44"/>
      <c r="E15502" s="46" t="s">
        <v>11667</v>
      </c>
      <c r="F15502" s="46" t="s">
        <v>386</v>
      </c>
      <c r="G15502" s="46">
        <v>5.202379069967E12</v>
      </c>
      <c r="H15502" s="46" t="s">
        <v>387</v>
      </c>
      <c r="I15502" s="46" t="s">
        <v>388</v>
      </c>
      <c r="J15502" s="46" t="s">
        <v>330</v>
      </c>
      <c r="K15502" s="46" t="s">
        <v>126</v>
      </c>
      <c r="L15502" s="45">
        <v>46018.875</v>
      </c>
      <c r="M15502" s="46" t="s">
        <v>123</v>
      </c>
      <c r="N15502" s="45">
        <v>46018.881944444445</v>
      </c>
      <c r="O15502" s="46" t="s">
        <v>123</v>
      </c>
      <c r="P15502" s="46">
        <v>600.0</v>
      </c>
    </row>
    <row r="15503">
      <c r="A15503" s="40">
        <f t="shared" si="1"/>
        <v>46013</v>
      </c>
      <c r="B15503" s="37" t="str">
        <f t="array" ref="B15503">iferror(xlookup($I15503, 'IMPORT VHC Report'!$E:$E, 'IMPORT VHC Report'!$A:$C), )</f>
        <v/>
      </c>
      <c r="C15503" s="44"/>
      <c r="D15503" s="44"/>
      <c r="E15503" s="46" t="s">
        <v>11668</v>
      </c>
      <c r="F15503" s="46" t="s">
        <v>386</v>
      </c>
      <c r="G15503" s="46">
        <v>5.202379069967E12</v>
      </c>
      <c r="H15503" s="46" t="s">
        <v>387</v>
      </c>
      <c r="I15503" s="46" t="s">
        <v>388</v>
      </c>
      <c r="J15503" s="46" t="s">
        <v>332</v>
      </c>
      <c r="K15503" s="46" t="s">
        <v>63</v>
      </c>
      <c r="L15503" s="45">
        <v>46018.875</v>
      </c>
      <c r="M15503" s="46" t="s">
        <v>123</v>
      </c>
      <c r="N15503" s="45">
        <v>46019.25</v>
      </c>
      <c r="O15503" s="46" t="s">
        <v>123</v>
      </c>
      <c r="P15503" s="46">
        <v>32400.0</v>
      </c>
    </row>
    <row r="15504">
      <c r="A15504" s="40">
        <f t="shared" si="1"/>
        <v>46013</v>
      </c>
      <c r="B15504" s="37" t="str">
        <f t="array" ref="B15504">iferror(xlookup($I15504, 'IMPORT VHC Report'!$E:$E, 'IMPORT VHC Report'!$A:$C), )</f>
        <v/>
      </c>
      <c r="C15504" s="44"/>
      <c r="D15504" s="44"/>
      <c r="E15504" s="46" t="s">
        <v>11669</v>
      </c>
      <c r="F15504" s="46" t="s">
        <v>386</v>
      </c>
      <c r="G15504" s="46">
        <v>5.202379069967E12</v>
      </c>
      <c r="H15504" s="46" t="s">
        <v>387</v>
      </c>
      <c r="I15504" s="46" t="s">
        <v>388</v>
      </c>
      <c r="J15504" s="46" t="s">
        <v>134</v>
      </c>
      <c r="K15504" s="46" t="s">
        <v>126</v>
      </c>
      <c r="L15504" s="45">
        <v>46019.072916666664</v>
      </c>
      <c r="M15504" s="46" t="s">
        <v>123</v>
      </c>
      <c r="N15504" s="45">
        <v>46019.09375</v>
      </c>
      <c r="O15504" s="46" t="s">
        <v>123</v>
      </c>
      <c r="P15504" s="46">
        <v>1800.0</v>
      </c>
    </row>
    <row r="15505">
      <c r="A15505" s="40">
        <f t="shared" si="1"/>
        <v>46013</v>
      </c>
      <c r="B15505" s="37" t="str">
        <f t="array" ref="B15505">iferror(xlookup($I15505, 'IMPORT VHC Report'!$E:$E, 'IMPORT VHC Report'!$A:$C), )</f>
        <v/>
      </c>
      <c r="C15505" s="44"/>
      <c r="D15505" s="44"/>
      <c r="E15505" s="46" t="s">
        <v>11670</v>
      </c>
      <c r="F15505" s="46" t="s">
        <v>386</v>
      </c>
      <c r="G15505" s="46">
        <v>5.202379069967E12</v>
      </c>
      <c r="H15505" s="46" t="s">
        <v>387</v>
      </c>
      <c r="I15505" s="46" t="s">
        <v>388</v>
      </c>
      <c r="J15505" s="46" t="s">
        <v>132</v>
      </c>
      <c r="K15505" s="46" t="s">
        <v>126</v>
      </c>
      <c r="L15505" s="45">
        <v>46019.166666666664</v>
      </c>
      <c r="M15505" s="46" t="s">
        <v>123</v>
      </c>
      <c r="N15505" s="45">
        <v>46019.208333333336</v>
      </c>
      <c r="O15505" s="46" t="s">
        <v>123</v>
      </c>
      <c r="P15505" s="46">
        <v>3600.0</v>
      </c>
    </row>
    <row r="15506">
      <c r="A15506" s="40">
        <f t="shared" si="1"/>
        <v>46013</v>
      </c>
      <c r="B15506" s="37" t="str">
        <f t="array" ref="B15506">iferror(xlookup($I15506, 'IMPORT VHC Report'!$E:$E, 'IMPORT VHC Report'!$A:$C), )</f>
        <v/>
      </c>
      <c r="C15506" s="44"/>
      <c r="D15506" s="44"/>
      <c r="E15506" s="46" t="s">
        <v>11671</v>
      </c>
      <c r="F15506" s="46" t="s">
        <v>386</v>
      </c>
      <c r="G15506" s="46">
        <v>5.202379069967E12</v>
      </c>
      <c r="H15506" s="46" t="s">
        <v>387</v>
      </c>
      <c r="I15506" s="46" t="s">
        <v>388</v>
      </c>
      <c r="J15506" s="46" t="s">
        <v>330</v>
      </c>
      <c r="K15506" s="46" t="s">
        <v>126</v>
      </c>
      <c r="L15506" s="45">
        <v>46019.875</v>
      </c>
      <c r="M15506" s="46" t="s">
        <v>123</v>
      </c>
      <c r="N15506" s="45">
        <v>46019.881944444445</v>
      </c>
      <c r="O15506" s="46" t="s">
        <v>123</v>
      </c>
      <c r="P15506" s="46">
        <v>600.0</v>
      </c>
    </row>
    <row r="15507">
      <c r="A15507" s="40">
        <f t="shared" si="1"/>
        <v>46013</v>
      </c>
      <c r="B15507" s="37" t="str">
        <f t="array" ref="B15507">iferror(xlookup($I15507, 'IMPORT VHC Report'!$E:$E, 'IMPORT VHC Report'!$A:$C), )</f>
        <v/>
      </c>
      <c r="C15507" s="44"/>
      <c r="D15507" s="44"/>
      <c r="E15507" s="46" t="s">
        <v>11672</v>
      </c>
      <c r="F15507" s="46" t="s">
        <v>386</v>
      </c>
      <c r="G15507" s="46">
        <v>5.202379069967E12</v>
      </c>
      <c r="H15507" s="46" t="s">
        <v>387</v>
      </c>
      <c r="I15507" s="46" t="s">
        <v>388</v>
      </c>
      <c r="J15507" s="46" t="s">
        <v>332</v>
      </c>
      <c r="K15507" s="46" t="s">
        <v>63</v>
      </c>
      <c r="L15507" s="45">
        <v>46019.875</v>
      </c>
      <c r="M15507" s="46" t="s">
        <v>123</v>
      </c>
      <c r="N15507" s="45">
        <v>46020.0</v>
      </c>
      <c r="O15507" s="46" t="s">
        <v>123</v>
      </c>
      <c r="P15507" s="46">
        <v>10800.0</v>
      </c>
    </row>
    <row r="15508">
      <c r="A15508" s="40">
        <f t="shared" si="1"/>
        <v>46013</v>
      </c>
      <c r="B15508" s="37" t="str">
        <f t="array" ref="B15508">iferror(xlookup($I15508, 'IMPORT VHC Report'!$E:$E, 'IMPORT VHC Report'!$A:$C), )</f>
        <v/>
      </c>
      <c r="C15508" s="44"/>
      <c r="D15508" s="44"/>
      <c r="E15508" s="46" t="s">
        <v>11673</v>
      </c>
      <c r="F15508" s="46" t="s">
        <v>386</v>
      </c>
      <c r="G15508" s="46">
        <v>5.202379069967E12</v>
      </c>
      <c r="H15508" s="46" t="s">
        <v>387</v>
      </c>
      <c r="I15508" s="46" t="s">
        <v>388</v>
      </c>
      <c r="J15508" s="46" t="s">
        <v>134</v>
      </c>
      <c r="K15508" s="46" t="s">
        <v>126</v>
      </c>
      <c r="L15508" s="45">
        <v>46019.9375</v>
      </c>
      <c r="M15508" s="46" t="s">
        <v>123</v>
      </c>
      <c r="N15508" s="45">
        <v>46019.958333333336</v>
      </c>
      <c r="O15508" s="46" t="s">
        <v>123</v>
      </c>
      <c r="P15508" s="46">
        <v>1800.0</v>
      </c>
    </row>
    <row r="15509">
      <c r="A15509" s="40">
        <f t="shared" si="1"/>
        <v>46006</v>
      </c>
      <c r="B15509" s="37" t="str">
        <f t="array" ref="B15509">iferror(xlookup($I15509, 'IMPORT VHC Report'!$E:$E, 'IMPORT VHC Report'!$A:$C), )</f>
        <v/>
      </c>
      <c r="C15509" s="44"/>
      <c r="D15509" s="44"/>
      <c r="E15509" s="46" t="s">
        <v>587</v>
      </c>
      <c r="F15509" s="46" t="s">
        <v>560</v>
      </c>
      <c r="G15509" s="46">
        <v>5.566810533775E12</v>
      </c>
      <c r="H15509" s="46" t="s">
        <v>561</v>
      </c>
      <c r="I15509" s="46" t="s">
        <v>562</v>
      </c>
      <c r="J15509" s="46" t="s">
        <v>178</v>
      </c>
      <c r="K15509" s="46" t="s">
        <v>153</v>
      </c>
      <c r="L15509" s="45">
        <v>46012.875</v>
      </c>
      <c r="M15509" s="46" t="s">
        <v>123</v>
      </c>
      <c r="N15509" s="45">
        <v>46013.25</v>
      </c>
      <c r="O15509" s="46" t="s">
        <v>123</v>
      </c>
      <c r="P15509" s="46">
        <v>32400.0</v>
      </c>
      <c r="Q15509" s="46">
        <v>32400.0</v>
      </c>
    </row>
    <row r="15510">
      <c r="A15510" s="40">
        <f t="shared" si="1"/>
        <v>46006</v>
      </c>
      <c r="B15510" s="37" t="str">
        <f t="array" ref="B15510">iferror(xlookup($I15510, 'IMPORT VHC Report'!$E:$E, 'IMPORT VHC Report'!$A:$C), )</f>
        <v/>
      </c>
      <c r="C15510" s="44"/>
      <c r="D15510" s="44"/>
      <c r="E15510" s="46" t="s">
        <v>589</v>
      </c>
      <c r="F15510" s="46" t="s">
        <v>560</v>
      </c>
      <c r="G15510" s="46">
        <v>5.566810533775E12</v>
      </c>
      <c r="H15510" s="46" t="s">
        <v>561</v>
      </c>
      <c r="I15510" s="46" t="s">
        <v>562</v>
      </c>
      <c r="J15510" s="46" t="s">
        <v>332</v>
      </c>
      <c r="K15510" s="46" t="s">
        <v>63</v>
      </c>
      <c r="L15510" s="45">
        <v>46012.979166666664</v>
      </c>
      <c r="M15510" s="46" t="s">
        <v>123</v>
      </c>
      <c r="N15510" s="45">
        <v>46013.25</v>
      </c>
      <c r="O15510" s="46" t="s">
        <v>123</v>
      </c>
      <c r="P15510" s="46">
        <v>23400.0</v>
      </c>
    </row>
    <row r="15511">
      <c r="A15511" s="40">
        <f t="shared" si="1"/>
        <v>46013</v>
      </c>
      <c r="B15511" s="37" t="str">
        <f t="array" ref="B15511">iferror(xlookup($I15511, 'IMPORT VHC Report'!$E:$E, 'IMPORT VHC Report'!$A:$C), )</f>
        <v/>
      </c>
      <c r="C15511" s="44"/>
      <c r="D15511" s="44"/>
      <c r="E15511" s="46" t="s">
        <v>11674</v>
      </c>
      <c r="F15511" s="46" t="s">
        <v>560</v>
      </c>
      <c r="G15511" s="46">
        <v>5.566810533775E12</v>
      </c>
      <c r="H15511" s="46" t="s">
        <v>561</v>
      </c>
      <c r="I15511" s="46" t="s">
        <v>562</v>
      </c>
      <c r="J15511" s="46" t="s">
        <v>132</v>
      </c>
      <c r="K15511" s="46" t="s">
        <v>126</v>
      </c>
      <c r="L15511" s="45">
        <v>46013.145833333336</v>
      </c>
      <c r="M15511" s="46" t="s">
        <v>123</v>
      </c>
      <c r="N15511" s="45">
        <v>46013.1875</v>
      </c>
      <c r="O15511" s="46" t="s">
        <v>123</v>
      </c>
      <c r="P15511" s="46">
        <v>3600.0</v>
      </c>
    </row>
    <row r="15512">
      <c r="A15512" s="40">
        <f t="shared" si="1"/>
        <v>46013</v>
      </c>
      <c r="B15512" s="37" t="str">
        <f t="array" ref="B15512">iferror(xlookup($I15512, 'IMPORT VHC Report'!$E:$E, 'IMPORT VHC Report'!$A:$C), )</f>
        <v/>
      </c>
      <c r="C15512" s="44"/>
      <c r="D15512" s="44"/>
      <c r="E15512" s="46" t="s">
        <v>11675</v>
      </c>
      <c r="F15512" s="46" t="s">
        <v>560</v>
      </c>
      <c r="G15512" s="46">
        <v>5.566810533775E12</v>
      </c>
      <c r="H15512" s="46" t="s">
        <v>561</v>
      </c>
      <c r="I15512" s="46" t="s">
        <v>562</v>
      </c>
      <c r="J15512" s="46" t="s">
        <v>330</v>
      </c>
      <c r="K15512" s="46" t="s">
        <v>126</v>
      </c>
      <c r="L15512" s="45">
        <v>46013.875</v>
      </c>
      <c r="M15512" s="46" t="s">
        <v>123</v>
      </c>
      <c r="N15512" s="45">
        <v>46013.881944444445</v>
      </c>
      <c r="O15512" s="46" t="s">
        <v>123</v>
      </c>
      <c r="P15512" s="46">
        <v>600.0</v>
      </c>
    </row>
    <row r="15513">
      <c r="A15513" s="40">
        <f t="shared" si="1"/>
        <v>46013</v>
      </c>
      <c r="B15513" s="37" t="str">
        <f t="array" ref="B15513">iferror(xlookup($I15513, 'IMPORT VHC Report'!$E:$E, 'IMPORT VHC Report'!$A:$C), )</f>
        <v/>
      </c>
      <c r="C15513" s="44"/>
      <c r="D15513" s="44"/>
      <c r="E15513" s="46" t="s">
        <v>11676</v>
      </c>
      <c r="F15513" s="46" t="s">
        <v>560</v>
      </c>
      <c r="G15513" s="46">
        <v>5.566810533775E12</v>
      </c>
      <c r="H15513" s="46" t="s">
        <v>561</v>
      </c>
      <c r="I15513" s="46" t="s">
        <v>562</v>
      </c>
      <c r="J15513" s="46" t="s">
        <v>332</v>
      </c>
      <c r="K15513" s="46" t="s">
        <v>63</v>
      </c>
      <c r="L15513" s="45">
        <v>46013.875</v>
      </c>
      <c r="M15513" s="46" t="s">
        <v>123</v>
      </c>
      <c r="N15513" s="45">
        <v>46014.25</v>
      </c>
      <c r="O15513" s="46" t="s">
        <v>123</v>
      </c>
      <c r="P15513" s="46">
        <v>32400.0</v>
      </c>
    </row>
    <row r="15514">
      <c r="A15514" s="40">
        <f t="shared" si="1"/>
        <v>46013</v>
      </c>
      <c r="B15514" s="37" t="str">
        <f t="array" ref="B15514">iferror(xlookup($I15514, 'IMPORT VHC Report'!$E:$E, 'IMPORT VHC Report'!$A:$C), )</f>
        <v/>
      </c>
      <c r="C15514" s="44"/>
      <c r="D15514" s="44"/>
      <c r="E15514" s="46" t="s">
        <v>11677</v>
      </c>
      <c r="F15514" s="46" t="s">
        <v>560</v>
      </c>
      <c r="G15514" s="46">
        <v>5.566810533775E12</v>
      </c>
      <c r="H15514" s="46" t="s">
        <v>561</v>
      </c>
      <c r="I15514" s="46" t="s">
        <v>562</v>
      </c>
      <c r="J15514" s="46" t="s">
        <v>125</v>
      </c>
      <c r="K15514" s="46" t="s">
        <v>126</v>
      </c>
      <c r="L15514" s="45">
        <v>46013.881944444445</v>
      </c>
      <c r="M15514" s="46" t="s">
        <v>123</v>
      </c>
      <c r="N15514" s="45">
        <v>46013.885416666664</v>
      </c>
      <c r="O15514" s="46" t="s">
        <v>123</v>
      </c>
      <c r="P15514" s="46">
        <v>300.0</v>
      </c>
      <c r="S15514" s="46" t="s">
        <v>11678</v>
      </c>
    </row>
    <row r="15515">
      <c r="A15515" s="40">
        <f t="shared" si="1"/>
        <v>46013</v>
      </c>
      <c r="B15515" s="37" t="str">
        <f t="array" ref="B15515">iferror(xlookup($I15515, 'IMPORT VHC Report'!$E:$E, 'IMPORT VHC Report'!$A:$C), )</f>
        <v/>
      </c>
      <c r="C15515" s="44"/>
      <c r="D15515" s="44"/>
      <c r="E15515" s="46" t="s">
        <v>11679</v>
      </c>
      <c r="F15515" s="46" t="s">
        <v>560</v>
      </c>
      <c r="G15515" s="46">
        <v>5.566810533775E12</v>
      </c>
      <c r="H15515" s="46" t="s">
        <v>561</v>
      </c>
      <c r="I15515" s="46" t="s">
        <v>562</v>
      </c>
      <c r="J15515" s="46" t="s">
        <v>134</v>
      </c>
      <c r="K15515" s="46" t="s">
        <v>126</v>
      </c>
      <c r="L15515" s="45">
        <v>46013.989583333336</v>
      </c>
      <c r="M15515" s="46" t="s">
        <v>123</v>
      </c>
      <c r="N15515" s="45">
        <v>46014.0</v>
      </c>
      <c r="O15515" s="46" t="s">
        <v>123</v>
      </c>
      <c r="P15515" s="46">
        <v>900.0</v>
      </c>
    </row>
    <row r="15516">
      <c r="A15516" s="40">
        <f t="shared" si="1"/>
        <v>46013</v>
      </c>
      <c r="B15516" s="37" t="str">
        <f t="array" ref="B15516">iferror(xlookup($I15516, 'IMPORT VHC Report'!$E:$E, 'IMPORT VHC Report'!$A:$C), )</f>
        <v/>
      </c>
      <c r="C15516" s="44"/>
      <c r="D15516" s="44"/>
      <c r="E15516" s="46" t="s">
        <v>11680</v>
      </c>
      <c r="F15516" s="46" t="s">
        <v>560</v>
      </c>
      <c r="G15516" s="46">
        <v>5.566810533775E12</v>
      </c>
      <c r="H15516" s="46" t="s">
        <v>561</v>
      </c>
      <c r="I15516" s="46" t="s">
        <v>562</v>
      </c>
      <c r="J15516" s="46" t="s">
        <v>330</v>
      </c>
      <c r="K15516" s="46" t="s">
        <v>126</v>
      </c>
      <c r="L15516" s="45">
        <v>46014.0</v>
      </c>
      <c r="M15516" s="46" t="s">
        <v>123</v>
      </c>
      <c r="N15516" s="45">
        <v>46014.020833333336</v>
      </c>
      <c r="O15516" s="46" t="s">
        <v>123</v>
      </c>
      <c r="P15516" s="46">
        <v>1800.0</v>
      </c>
    </row>
    <row r="15517">
      <c r="A15517" s="40">
        <f t="shared" si="1"/>
        <v>46013</v>
      </c>
      <c r="B15517" s="37" t="str">
        <f t="array" ref="B15517">iferror(xlookup($I15517, 'IMPORT VHC Report'!$E:$E, 'IMPORT VHC Report'!$A:$C), )</f>
        <v/>
      </c>
      <c r="C15517" s="44"/>
      <c r="D15517" s="44"/>
      <c r="E15517" s="46" t="s">
        <v>11681</v>
      </c>
      <c r="F15517" s="46" t="s">
        <v>560</v>
      </c>
      <c r="G15517" s="46">
        <v>5.566810533775E12</v>
      </c>
      <c r="H15517" s="46" t="s">
        <v>561</v>
      </c>
      <c r="I15517" s="46" t="s">
        <v>562</v>
      </c>
      <c r="J15517" s="46" t="s">
        <v>132</v>
      </c>
      <c r="K15517" s="46" t="s">
        <v>126</v>
      </c>
      <c r="L15517" s="45">
        <v>46014.041666666664</v>
      </c>
      <c r="M15517" s="46" t="s">
        <v>123</v>
      </c>
      <c r="N15517" s="45">
        <v>46014.083333333336</v>
      </c>
      <c r="O15517" s="46" t="s">
        <v>123</v>
      </c>
      <c r="P15517" s="46">
        <v>3600.0</v>
      </c>
    </row>
    <row r="15518">
      <c r="A15518" s="40">
        <f t="shared" si="1"/>
        <v>46013</v>
      </c>
      <c r="B15518" s="37" t="str">
        <f t="array" ref="B15518">iferror(xlookup($I15518, 'IMPORT VHC Report'!$E:$E, 'IMPORT VHC Report'!$A:$C), )</f>
        <v/>
      </c>
      <c r="C15518" s="44"/>
      <c r="D15518" s="44"/>
      <c r="E15518" s="46" t="s">
        <v>11682</v>
      </c>
      <c r="F15518" s="46" t="s">
        <v>560</v>
      </c>
      <c r="G15518" s="46">
        <v>5.566810533775E12</v>
      </c>
      <c r="H15518" s="46" t="s">
        <v>561</v>
      </c>
      <c r="I15518" s="46" t="s">
        <v>562</v>
      </c>
      <c r="J15518" s="46" t="s">
        <v>152</v>
      </c>
      <c r="K15518" s="46" t="s">
        <v>153</v>
      </c>
      <c r="L15518" s="45">
        <v>46014.083333333336</v>
      </c>
      <c r="M15518" s="46" t="s">
        <v>123</v>
      </c>
      <c r="N15518" s="45">
        <v>46014.25</v>
      </c>
      <c r="O15518" s="46" t="s">
        <v>123</v>
      </c>
      <c r="P15518" s="46">
        <v>14400.0</v>
      </c>
      <c r="Q15518" s="46">
        <v>14400.0</v>
      </c>
    </row>
    <row r="15519">
      <c r="A15519" s="40">
        <f t="shared" si="1"/>
        <v>46013</v>
      </c>
      <c r="B15519" s="37" t="str">
        <f t="array" ref="B15519">iferror(xlookup($I15519, 'IMPORT VHC Report'!$E:$E, 'IMPORT VHC Report'!$A:$C), )</f>
        <v/>
      </c>
      <c r="C15519" s="44"/>
      <c r="D15519" s="44"/>
      <c r="E15519" s="46" t="s">
        <v>11683</v>
      </c>
      <c r="F15519" s="46" t="s">
        <v>560</v>
      </c>
      <c r="G15519" s="46">
        <v>5.566810533775E12</v>
      </c>
      <c r="H15519" s="46" t="s">
        <v>561</v>
      </c>
      <c r="I15519" s="46" t="s">
        <v>562</v>
      </c>
      <c r="J15519" s="46" t="s">
        <v>330</v>
      </c>
      <c r="K15519" s="46" t="s">
        <v>126</v>
      </c>
      <c r="L15519" s="45">
        <v>46014.875</v>
      </c>
      <c r="M15519" s="46" t="s">
        <v>123</v>
      </c>
      <c r="N15519" s="45">
        <v>46014.881944444445</v>
      </c>
      <c r="O15519" s="46" t="s">
        <v>123</v>
      </c>
      <c r="P15519" s="46">
        <v>600.0</v>
      </c>
    </row>
    <row r="15520">
      <c r="A15520" s="40">
        <f t="shared" si="1"/>
        <v>46013</v>
      </c>
      <c r="B15520" s="37" t="str">
        <f t="array" ref="B15520">iferror(xlookup($I15520, 'IMPORT VHC Report'!$E:$E, 'IMPORT VHC Report'!$A:$C), )</f>
        <v/>
      </c>
      <c r="C15520" s="44"/>
      <c r="D15520" s="44"/>
      <c r="E15520" s="46" t="s">
        <v>11684</v>
      </c>
      <c r="F15520" s="46" t="s">
        <v>560</v>
      </c>
      <c r="G15520" s="46">
        <v>5.566810533775E12</v>
      </c>
      <c r="H15520" s="46" t="s">
        <v>561</v>
      </c>
      <c r="I15520" s="46" t="s">
        <v>562</v>
      </c>
      <c r="J15520" s="46" t="s">
        <v>332</v>
      </c>
      <c r="K15520" s="46" t="s">
        <v>63</v>
      </c>
      <c r="L15520" s="45">
        <v>46014.875</v>
      </c>
      <c r="M15520" s="46" t="s">
        <v>123</v>
      </c>
      <c r="N15520" s="45">
        <v>46015.25</v>
      </c>
      <c r="O15520" s="46" t="s">
        <v>123</v>
      </c>
      <c r="P15520" s="46">
        <v>32400.0</v>
      </c>
    </row>
    <row r="15521">
      <c r="A15521" s="40">
        <f t="shared" si="1"/>
        <v>46013</v>
      </c>
      <c r="B15521" s="37" t="str">
        <f t="array" ref="B15521">iferror(xlookup($I15521, 'IMPORT VHC Report'!$E:$E, 'IMPORT VHC Report'!$A:$C), )</f>
        <v/>
      </c>
      <c r="C15521" s="44"/>
      <c r="D15521" s="44"/>
      <c r="E15521" s="46" t="s">
        <v>11685</v>
      </c>
      <c r="F15521" s="46" t="s">
        <v>560</v>
      </c>
      <c r="G15521" s="46">
        <v>5.566810533775E12</v>
      </c>
      <c r="H15521" s="46" t="s">
        <v>561</v>
      </c>
      <c r="I15521" s="46" t="s">
        <v>562</v>
      </c>
      <c r="J15521" s="46" t="s">
        <v>134</v>
      </c>
      <c r="K15521" s="46" t="s">
        <v>126</v>
      </c>
      <c r="L15521" s="45">
        <v>46015.0</v>
      </c>
      <c r="M15521" s="46" t="s">
        <v>123</v>
      </c>
      <c r="N15521" s="45">
        <v>46015.020833333336</v>
      </c>
      <c r="O15521" s="46" t="s">
        <v>123</v>
      </c>
      <c r="P15521" s="46">
        <v>1800.0</v>
      </c>
    </row>
    <row r="15522">
      <c r="A15522" s="40">
        <f t="shared" si="1"/>
        <v>46013</v>
      </c>
      <c r="B15522" s="37" t="str">
        <f t="array" ref="B15522">iferror(xlookup($I15522, 'IMPORT VHC Report'!$E:$E, 'IMPORT VHC Report'!$A:$C), )</f>
        <v/>
      </c>
      <c r="C15522" s="44"/>
      <c r="D15522" s="44"/>
      <c r="E15522" s="46" t="s">
        <v>11686</v>
      </c>
      <c r="F15522" s="46" t="s">
        <v>560</v>
      </c>
      <c r="G15522" s="46">
        <v>5.566810533775E12</v>
      </c>
      <c r="H15522" s="46" t="s">
        <v>561</v>
      </c>
      <c r="I15522" s="46" t="s">
        <v>562</v>
      </c>
      <c r="J15522" s="46" t="s">
        <v>132</v>
      </c>
      <c r="K15522" s="46" t="s">
        <v>126</v>
      </c>
      <c r="L15522" s="45">
        <v>46015.104166666664</v>
      </c>
      <c r="M15522" s="46" t="s">
        <v>123</v>
      </c>
      <c r="N15522" s="45">
        <v>46015.145833333336</v>
      </c>
      <c r="O15522" s="46" t="s">
        <v>123</v>
      </c>
      <c r="P15522" s="46">
        <v>3600.0</v>
      </c>
    </row>
    <row r="15523">
      <c r="A15523" s="40">
        <f t="shared" si="1"/>
        <v>46013</v>
      </c>
      <c r="B15523" s="37" t="str">
        <f t="array" ref="B15523">iferror(xlookup($I15523, 'IMPORT VHC Report'!$E:$E, 'IMPORT VHC Report'!$A:$C), )</f>
        <v/>
      </c>
      <c r="C15523" s="44"/>
      <c r="D15523" s="44"/>
      <c r="E15523" s="46" t="s">
        <v>11687</v>
      </c>
      <c r="F15523" s="46" t="s">
        <v>560</v>
      </c>
      <c r="G15523" s="46">
        <v>5.566810533775E12</v>
      </c>
      <c r="H15523" s="46" t="s">
        <v>561</v>
      </c>
      <c r="I15523" s="46" t="s">
        <v>562</v>
      </c>
      <c r="J15523" s="46" t="s">
        <v>330</v>
      </c>
      <c r="K15523" s="46" t="s">
        <v>126</v>
      </c>
      <c r="L15523" s="45">
        <v>46015.875</v>
      </c>
      <c r="M15523" s="46" t="s">
        <v>123</v>
      </c>
      <c r="N15523" s="45">
        <v>46015.881944444445</v>
      </c>
      <c r="O15523" s="46" t="s">
        <v>123</v>
      </c>
      <c r="P15523" s="46">
        <v>600.0</v>
      </c>
    </row>
    <row r="15524">
      <c r="A15524" s="40">
        <f t="shared" si="1"/>
        <v>46013</v>
      </c>
      <c r="B15524" s="37" t="str">
        <f t="array" ref="B15524">iferror(xlookup($I15524, 'IMPORT VHC Report'!$E:$E, 'IMPORT VHC Report'!$A:$C), )</f>
        <v/>
      </c>
      <c r="C15524" s="44"/>
      <c r="D15524" s="44"/>
      <c r="E15524" s="46" t="s">
        <v>11688</v>
      </c>
      <c r="F15524" s="46" t="s">
        <v>560</v>
      </c>
      <c r="G15524" s="46">
        <v>5.566810533775E12</v>
      </c>
      <c r="H15524" s="46" t="s">
        <v>561</v>
      </c>
      <c r="I15524" s="46" t="s">
        <v>562</v>
      </c>
      <c r="J15524" s="46" t="s">
        <v>332</v>
      </c>
      <c r="K15524" s="46" t="s">
        <v>63</v>
      </c>
      <c r="L15524" s="45">
        <v>46015.875</v>
      </c>
      <c r="M15524" s="46" t="s">
        <v>123</v>
      </c>
      <c r="N15524" s="45">
        <v>46016.25</v>
      </c>
      <c r="O15524" s="46" t="s">
        <v>123</v>
      </c>
      <c r="P15524" s="46">
        <v>32400.0</v>
      </c>
    </row>
    <row r="15525">
      <c r="A15525" s="40">
        <f t="shared" si="1"/>
        <v>46013</v>
      </c>
      <c r="B15525" s="37" t="str">
        <f t="array" ref="B15525">iferror(xlookup($I15525, 'IMPORT VHC Report'!$E:$E, 'IMPORT VHC Report'!$A:$C), )</f>
        <v/>
      </c>
      <c r="C15525" s="44"/>
      <c r="D15525" s="44"/>
      <c r="E15525" s="46" t="s">
        <v>11689</v>
      </c>
      <c r="F15525" s="46" t="s">
        <v>560</v>
      </c>
      <c r="G15525" s="46">
        <v>5.566810533775E12</v>
      </c>
      <c r="H15525" s="46" t="s">
        <v>561</v>
      </c>
      <c r="I15525" s="46" t="s">
        <v>562</v>
      </c>
      <c r="J15525" s="46" t="s">
        <v>136</v>
      </c>
      <c r="K15525" s="46" t="s">
        <v>126</v>
      </c>
      <c r="L15525" s="45">
        <v>46015.993055555555</v>
      </c>
      <c r="M15525" s="46" t="s">
        <v>123</v>
      </c>
      <c r="N15525" s="45">
        <v>46016.03472222222</v>
      </c>
      <c r="O15525" s="46" t="s">
        <v>123</v>
      </c>
      <c r="P15525" s="46">
        <v>3600.0</v>
      </c>
      <c r="S15525" s="46" t="s">
        <v>4171</v>
      </c>
    </row>
    <row r="15526">
      <c r="A15526" s="40">
        <f t="shared" si="1"/>
        <v>46013</v>
      </c>
      <c r="B15526" s="37" t="str">
        <f t="array" ref="B15526">iferror(xlookup($I15526, 'IMPORT VHC Report'!$E:$E, 'IMPORT VHC Report'!$A:$C), )</f>
        <v/>
      </c>
      <c r="C15526" s="44"/>
      <c r="D15526" s="44"/>
      <c r="E15526" s="46" t="s">
        <v>11690</v>
      </c>
      <c r="F15526" s="46" t="s">
        <v>560</v>
      </c>
      <c r="G15526" s="46">
        <v>5.566810533775E12</v>
      </c>
      <c r="H15526" s="46" t="s">
        <v>561</v>
      </c>
      <c r="I15526" s="46" t="s">
        <v>562</v>
      </c>
      <c r="J15526" s="46" t="s">
        <v>132</v>
      </c>
      <c r="K15526" s="46" t="s">
        <v>126</v>
      </c>
      <c r="L15526" s="45">
        <v>46016.083333333336</v>
      </c>
      <c r="M15526" s="46" t="s">
        <v>123</v>
      </c>
      <c r="N15526" s="45">
        <v>46016.125</v>
      </c>
      <c r="O15526" s="46" t="s">
        <v>123</v>
      </c>
      <c r="P15526" s="46">
        <v>3600.0</v>
      </c>
    </row>
    <row r="15527">
      <c r="A15527" s="40">
        <f t="shared" si="1"/>
        <v>46013</v>
      </c>
      <c r="B15527" s="37" t="str">
        <f t="array" ref="B15527">iferror(xlookup($I15527, 'IMPORT VHC Report'!$E:$E, 'IMPORT VHC Report'!$A:$C), )</f>
        <v/>
      </c>
      <c r="C15527" s="44"/>
      <c r="D15527" s="44"/>
      <c r="E15527" s="46" t="s">
        <v>11691</v>
      </c>
      <c r="F15527" s="46" t="s">
        <v>560</v>
      </c>
      <c r="G15527" s="46">
        <v>5.566810533775E12</v>
      </c>
      <c r="H15527" s="46" t="s">
        <v>561</v>
      </c>
      <c r="I15527" s="46" t="s">
        <v>562</v>
      </c>
      <c r="J15527" s="46" t="s">
        <v>134</v>
      </c>
      <c r="K15527" s="46" t="s">
        <v>126</v>
      </c>
      <c r="L15527" s="45">
        <v>46016.208333333336</v>
      </c>
      <c r="M15527" s="46" t="s">
        <v>123</v>
      </c>
      <c r="N15527" s="45">
        <v>46016.229166666664</v>
      </c>
      <c r="O15527" s="46" t="s">
        <v>123</v>
      </c>
      <c r="P15527" s="46">
        <v>1800.0</v>
      </c>
    </row>
    <row r="15528">
      <c r="A15528" s="40">
        <f t="shared" si="1"/>
        <v>46013</v>
      </c>
      <c r="B15528" s="37" t="str">
        <f t="array" ref="B15528">iferror(xlookup($I15528, 'IMPORT VHC Report'!$E:$E, 'IMPORT VHC Report'!$A:$C), )</f>
        <v/>
      </c>
      <c r="C15528" s="44"/>
      <c r="D15528" s="44"/>
      <c r="E15528" s="46" t="s">
        <v>11692</v>
      </c>
      <c r="F15528" s="46" t="s">
        <v>560</v>
      </c>
      <c r="G15528" s="46">
        <v>5.566810533775E12</v>
      </c>
      <c r="H15528" s="46" t="s">
        <v>561</v>
      </c>
      <c r="I15528" s="46" t="s">
        <v>562</v>
      </c>
      <c r="J15528" s="46" t="s">
        <v>330</v>
      </c>
      <c r="K15528" s="46" t="s">
        <v>126</v>
      </c>
      <c r="L15528" s="45">
        <v>46018.875</v>
      </c>
      <c r="M15528" s="46" t="s">
        <v>123</v>
      </c>
      <c r="N15528" s="45">
        <v>46018.881944444445</v>
      </c>
      <c r="O15528" s="46" t="s">
        <v>123</v>
      </c>
      <c r="P15528" s="46">
        <v>600.0</v>
      </c>
    </row>
    <row r="15529">
      <c r="A15529" s="40">
        <f t="shared" si="1"/>
        <v>46013</v>
      </c>
      <c r="B15529" s="37" t="str">
        <f t="array" ref="B15529">iferror(xlookup($I15529, 'IMPORT VHC Report'!$E:$E, 'IMPORT VHC Report'!$A:$C), )</f>
        <v/>
      </c>
      <c r="C15529" s="44"/>
      <c r="D15529" s="44"/>
      <c r="E15529" s="46" t="s">
        <v>11693</v>
      </c>
      <c r="F15529" s="46" t="s">
        <v>560</v>
      </c>
      <c r="G15529" s="46">
        <v>5.566810533775E12</v>
      </c>
      <c r="H15529" s="46" t="s">
        <v>561</v>
      </c>
      <c r="I15529" s="46" t="s">
        <v>562</v>
      </c>
      <c r="J15529" s="46" t="s">
        <v>332</v>
      </c>
      <c r="K15529" s="46" t="s">
        <v>63</v>
      </c>
      <c r="L15529" s="45">
        <v>46018.875</v>
      </c>
      <c r="M15529" s="46" t="s">
        <v>123</v>
      </c>
      <c r="N15529" s="45">
        <v>46019.25</v>
      </c>
      <c r="O15529" s="46" t="s">
        <v>123</v>
      </c>
      <c r="P15529" s="46">
        <v>32400.0</v>
      </c>
    </row>
    <row r="15530">
      <c r="A15530" s="40">
        <f t="shared" si="1"/>
        <v>46013</v>
      </c>
      <c r="B15530" s="37" t="str">
        <f t="array" ref="B15530">iferror(xlookup($I15530, 'IMPORT VHC Report'!$E:$E, 'IMPORT VHC Report'!$A:$C), )</f>
        <v/>
      </c>
      <c r="C15530" s="44"/>
      <c r="D15530" s="44"/>
      <c r="E15530" s="46" t="s">
        <v>11694</v>
      </c>
      <c r="F15530" s="46" t="s">
        <v>560</v>
      </c>
      <c r="G15530" s="46">
        <v>5.566810533775E12</v>
      </c>
      <c r="H15530" s="46" t="s">
        <v>561</v>
      </c>
      <c r="I15530" s="46" t="s">
        <v>562</v>
      </c>
      <c r="J15530" s="46" t="s">
        <v>134</v>
      </c>
      <c r="K15530" s="46" t="s">
        <v>126</v>
      </c>
      <c r="L15530" s="45">
        <v>46019.0</v>
      </c>
      <c r="M15530" s="46" t="s">
        <v>123</v>
      </c>
      <c r="N15530" s="45">
        <v>46019.020833333336</v>
      </c>
      <c r="O15530" s="46" t="s">
        <v>123</v>
      </c>
      <c r="P15530" s="46">
        <v>1800.0</v>
      </c>
    </row>
    <row r="15531">
      <c r="A15531" s="40">
        <f t="shared" si="1"/>
        <v>46013</v>
      </c>
      <c r="B15531" s="37" t="str">
        <f t="array" ref="B15531">iferror(xlookup($I15531, 'IMPORT VHC Report'!$E:$E, 'IMPORT VHC Report'!$A:$C), )</f>
        <v/>
      </c>
      <c r="C15531" s="44"/>
      <c r="D15531" s="44"/>
      <c r="E15531" s="46" t="s">
        <v>11695</v>
      </c>
      <c r="F15531" s="46" t="s">
        <v>560</v>
      </c>
      <c r="G15531" s="46">
        <v>5.566810533775E12</v>
      </c>
      <c r="H15531" s="46" t="s">
        <v>561</v>
      </c>
      <c r="I15531" s="46" t="s">
        <v>562</v>
      </c>
      <c r="J15531" s="46" t="s">
        <v>132</v>
      </c>
      <c r="K15531" s="46" t="s">
        <v>126</v>
      </c>
      <c r="L15531" s="45">
        <v>46019.104166666664</v>
      </c>
      <c r="M15531" s="46" t="s">
        <v>123</v>
      </c>
      <c r="N15531" s="45">
        <v>46019.145833333336</v>
      </c>
      <c r="O15531" s="46" t="s">
        <v>123</v>
      </c>
      <c r="P15531" s="46">
        <v>3600.0</v>
      </c>
    </row>
    <row r="15532">
      <c r="A15532" s="40">
        <f t="shared" si="1"/>
        <v>46013</v>
      </c>
      <c r="B15532" s="37" t="str">
        <f t="array" ref="B15532">iferror(xlookup($I15532, 'IMPORT VHC Report'!$E:$E, 'IMPORT VHC Report'!$A:$C), )</f>
        <v/>
      </c>
      <c r="C15532" s="44"/>
      <c r="D15532" s="44"/>
      <c r="E15532" s="46" t="s">
        <v>11696</v>
      </c>
      <c r="F15532" s="46" t="s">
        <v>560</v>
      </c>
      <c r="G15532" s="46">
        <v>5.566810533775E12</v>
      </c>
      <c r="H15532" s="46" t="s">
        <v>561</v>
      </c>
      <c r="I15532" s="46" t="s">
        <v>562</v>
      </c>
      <c r="J15532" s="46" t="s">
        <v>330</v>
      </c>
      <c r="K15532" s="46" t="s">
        <v>126</v>
      </c>
      <c r="L15532" s="45">
        <v>46019.875</v>
      </c>
      <c r="M15532" s="46" t="s">
        <v>123</v>
      </c>
      <c r="N15532" s="45">
        <v>46019.881944444445</v>
      </c>
      <c r="O15532" s="46" t="s">
        <v>123</v>
      </c>
      <c r="P15532" s="46">
        <v>600.0</v>
      </c>
    </row>
    <row r="15533">
      <c r="A15533" s="40">
        <f t="shared" si="1"/>
        <v>46013</v>
      </c>
      <c r="B15533" s="37" t="str">
        <f t="array" ref="B15533">iferror(xlookup($I15533, 'IMPORT VHC Report'!$E:$E, 'IMPORT VHC Report'!$A:$C), )</f>
        <v/>
      </c>
      <c r="C15533" s="44"/>
      <c r="D15533" s="44"/>
      <c r="E15533" s="46" t="s">
        <v>11697</v>
      </c>
      <c r="F15533" s="46" t="s">
        <v>560</v>
      </c>
      <c r="G15533" s="46">
        <v>5.566810533775E12</v>
      </c>
      <c r="H15533" s="46" t="s">
        <v>561</v>
      </c>
      <c r="I15533" s="46" t="s">
        <v>562</v>
      </c>
      <c r="J15533" s="46" t="s">
        <v>332</v>
      </c>
      <c r="K15533" s="46" t="s">
        <v>63</v>
      </c>
      <c r="L15533" s="45">
        <v>46019.875</v>
      </c>
      <c r="M15533" s="46" t="s">
        <v>123</v>
      </c>
      <c r="N15533" s="45">
        <v>46020.0</v>
      </c>
      <c r="O15533" s="46" t="s">
        <v>123</v>
      </c>
      <c r="P15533" s="46">
        <v>10800.0</v>
      </c>
    </row>
    <row r="15534">
      <c r="A15534" s="40">
        <f t="shared" si="1"/>
        <v>46013</v>
      </c>
      <c r="B15534" s="37" t="str">
        <f t="array" ref="B15534">iferror(xlookup($I15534, 'IMPORT VHC Report'!$E:$E, 'IMPORT VHC Report'!$A:$C), )</f>
        <v/>
      </c>
      <c r="C15534" s="44"/>
      <c r="D15534" s="44"/>
      <c r="E15534" s="46" t="s">
        <v>11698</v>
      </c>
      <c r="F15534" s="46" t="s">
        <v>560</v>
      </c>
      <c r="G15534" s="46">
        <v>5.566810533775E12</v>
      </c>
      <c r="H15534" s="46" t="s">
        <v>561</v>
      </c>
      <c r="I15534" s="46" t="s">
        <v>562</v>
      </c>
      <c r="J15534" s="46" t="s">
        <v>134</v>
      </c>
      <c r="K15534" s="46" t="s">
        <v>126</v>
      </c>
      <c r="L15534" s="45">
        <v>46019.979166666664</v>
      </c>
      <c r="M15534" s="46" t="s">
        <v>123</v>
      </c>
      <c r="N15534" s="45">
        <v>46020.0</v>
      </c>
      <c r="O15534" s="46" t="s">
        <v>123</v>
      </c>
      <c r="P15534" s="46">
        <v>1800.0</v>
      </c>
    </row>
    <row r="15535">
      <c r="A15535" s="40">
        <f t="shared" si="1"/>
        <v>46013</v>
      </c>
      <c r="B15535" s="37" t="str">
        <f t="array" ref="B15535">iferror(xlookup($I15535, 'IMPORT VHC Report'!$E:$E, 'IMPORT VHC Report'!$A:$C), )</f>
        <v/>
      </c>
      <c r="C15535" s="44"/>
      <c r="D15535" s="44"/>
      <c r="E15535" s="46" t="s">
        <v>11699</v>
      </c>
      <c r="F15535" s="46" t="s">
        <v>560</v>
      </c>
      <c r="G15535" s="46">
        <v>5.566810533775E12</v>
      </c>
      <c r="H15535" s="46" t="s">
        <v>561</v>
      </c>
      <c r="I15535" s="46" t="s">
        <v>562</v>
      </c>
      <c r="J15535" s="46" t="s">
        <v>332</v>
      </c>
      <c r="K15535" s="46" t="s">
        <v>63</v>
      </c>
      <c r="L15535" s="45">
        <v>46019.979166666664</v>
      </c>
      <c r="M15535" s="46" t="s">
        <v>123</v>
      </c>
      <c r="N15535" s="45">
        <v>46020.25</v>
      </c>
      <c r="O15535" s="46" t="s">
        <v>123</v>
      </c>
      <c r="P15535" s="46">
        <v>23400.0</v>
      </c>
    </row>
    <row r="15536">
      <c r="A15536" s="40">
        <f t="shared" si="1"/>
        <v>46006</v>
      </c>
      <c r="B15536" s="37" t="str">
        <f t="array" ref="B15536">iferror(xlookup($I15536, 'IMPORT VHC Report'!$E:$E, 'IMPORT VHC Report'!$A:$C), )</f>
        <v/>
      </c>
      <c r="C15536" s="44"/>
      <c r="D15536" s="44"/>
      <c r="E15536" s="46" t="s">
        <v>725</v>
      </c>
      <c r="F15536" s="46" t="s">
        <v>696</v>
      </c>
      <c r="G15536" s="46">
        <v>1.0548602091791E13</v>
      </c>
      <c r="H15536" s="46" t="s">
        <v>697</v>
      </c>
      <c r="I15536" s="46" t="s">
        <v>698</v>
      </c>
      <c r="J15536" s="46" t="s">
        <v>178</v>
      </c>
      <c r="K15536" s="46" t="s">
        <v>153</v>
      </c>
      <c r="L15536" s="45">
        <v>46012.875</v>
      </c>
      <c r="M15536" s="46" t="s">
        <v>123</v>
      </c>
      <c r="N15536" s="45">
        <v>46013.25</v>
      </c>
      <c r="O15536" s="46" t="s">
        <v>123</v>
      </c>
      <c r="P15536" s="46">
        <v>32400.0</v>
      </c>
      <c r="Q15536" s="46">
        <v>32400.0</v>
      </c>
    </row>
    <row r="15537">
      <c r="A15537" s="40">
        <f t="shared" si="1"/>
        <v>46013</v>
      </c>
      <c r="B15537" s="37" t="str">
        <f t="array" ref="B15537">iferror(xlookup($I15537, 'IMPORT VHC Report'!$E:$E, 'IMPORT VHC Report'!$A:$C), )</f>
        <v/>
      </c>
      <c r="C15537" s="44"/>
      <c r="D15537" s="44"/>
      <c r="E15537" s="46" t="s">
        <v>11700</v>
      </c>
      <c r="F15537" s="46" t="s">
        <v>696</v>
      </c>
      <c r="G15537" s="46">
        <v>1.0548602091791E13</v>
      </c>
      <c r="H15537" s="46" t="s">
        <v>697</v>
      </c>
      <c r="I15537" s="46" t="s">
        <v>698</v>
      </c>
      <c r="J15537" s="46" t="s">
        <v>332</v>
      </c>
      <c r="K15537" s="46" t="s">
        <v>63</v>
      </c>
      <c r="L15537" s="45">
        <v>46013.0</v>
      </c>
      <c r="M15537" s="46" t="s">
        <v>123</v>
      </c>
      <c r="N15537" s="45">
        <v>46013.25</v>
      </c>
      <c r="O15537" s="46" t="s">
        <v>123</v>
      </c>
      <c r="P15537" s="46">
        <v>21600.0</v>
      </c>
    </row>
    <row r="15538">
      <c r="A15538" s="40">
        <f t="shared" si="1"/>
        <v>46013</v>
      </c>
      <c r="B15538" s="37" t="str">
        <f t="array" ref="B15538">iferror(xlookup($I15538, 'IMPORT VHC Report'!$E:$E, 'IMPORT VHC Report'!$A:$C), )</f>
        <v/>
      </c>
      <c r="C15538" s="44"/>
      <c r="D15538" s="44"/>
      <c r="E15538" s="46" t="s">
        <v>11701</v>
      </c>
      <c r="F15538" s="46" t="s">
        <v>696</v>
      </c>
      <c r="G15538" s="46">
        <v>1.0548602091791E13</v>
      </c>
      <c r="H15538" s="46" t="s">
        <v>697</v>
      </c>
      <c r="I15538" s="46" t="s">
        <v>698</v>
      </c>
      <c r="J15538" s="46" t="s">
        <v>132</v>
      </c>
      <c r="K15538" s="46" t="s">
        <v>126</v>
      </c>
      <c r="L15538" s="45">
        <v>46013.104166666664</v>
      </c>
      <c r="M15538" s="46" t="s">
        <v>123</v>
      </c>
      <c r="N15538" s="45">
        <v>46013.145833333336</v>
      </c>
      <c r="O15538" s="46" t="s">
        <v>123</v>
      </c>
      <c r="P15538" s="46">
        <v>3600.0</v>
      </c>
    </row>
    <row r="15539">
      <c r="A15539" s="40">
        <f t="shared" si="1"/>
        <v>46013</v>
      </c>
      <c r="B15539" s="37" t="str">
        <f t="array" ref="B15539">iferror(xlookup($I15539, 'IMPORT VHC Report'!$E:$E, 'IMPORT VHC Report'!$A:$C), )</f>
        <v/>
      </c>
      <c r="C15539" s="44"/>
      <c r="D15539" s="44"/>
      <c r="E15539" s="46" t="s">
        <v>11702</v>
      </c>
      <c r="F15539" s="46" t="s">
        <v>696</v>
      </c>
      <c r="G15539" s="46">
        <v>1.0548602091791E13</v>
      </c>
      <c r="H15539" s="46" t="s">
        <v>697</v>
      </c>
      <c r="I15539" s="46" t="s">
        <v>698</v>
      </c>
      <c r="J15539" s="46" t="s">
        <v>330</v>
      </c>
      <c r="K15539" s="46" t="s">
        <v>126</v>
      </c>
      <c r="L15539" s="45">
        <v>46015.875</v>
      </c>
      <c r="M15539" s="46" t="s">
        <v>123</v>
      </c>
      <c r="N15539" s="45">
        <v>46015.881944444445</v>
      </c>
      <c r="O15539" s="46" t="s">
        <v>123</v>
      </c>
      <c r="P15539" s="46">
        <v>600.0</v>
      </c>
    </row>
    <row r="15540">
      <c r="A15540" s="40">
        <f t="shared" si="1"/>
        <v>46013</v>
      </c>
      <c r="B15540" s="37" t="str">
        <f t="array" ref="B15540">iferror(xlookup($I15540, 'IMPORT VHC Report'!$E:$E, 'IMPORT VHC Report'!$A:$C), )</f>
        <v/>
      </c>
      <c r="C15540" s="44"/>
      <c r="D15540" s="44"/>
      <c r="E15540" s="46" t="s">
        <v>11703</v>
      </c>
      <c r="F15540" s="46" t="s">
        <v>696</v>
      </c>
      <c r="G15540" s="46">
        <v>1.0548602091791E13</v>
      </c>
      <c r="H15540" s="46" t="s">
        <v>697</v>
      </c>
      <c r="I15540" s="46" t="s">
        <v>698</v>
      </c>
      <c r="J15540" s="46" t="s">
        <v>332</v>
      </c>
      <c r="K15540" s="46" t="s">
        <v>63</v>
      </c>
      <c r="L15540" s="45">
        <v>46015.875</v>
      </c>
      <c r="M15540" s="46" t="s">
        <v>123</v>
      </c>
      <c r="N15540" s="45">
        <v>46016.25</v>
      </c>
      <c r="O15540" s="46" t="s">
        <v>123</v>
      </c>
      <c r="P15540" s="46">
        <v>32400.0</v>
      </c>
    </row>
    <row r="15541">
      <c r="A15541" s="40">
        <f t="shared" si="1"/>
        <v>46013</v>
      </c>
      <c r="B15541" s="37" t="str">
        <f t="array" ref="B15541">iferror(xlookup($I15541, 'IMPORT VHC Report'!$E:$E, 'IMPORT VHC Report'!$A:$C), )</f>
        <v/>
      </c>
      <c r="C15541" s="44"/>
      <c r="D15541" s="44"/>
      <c r="E15541" s="46" t="s">
        <v>11704</v>
      </c>
      <c r="F15541" s="46" t="s">
        <v>696</v>
      </c>
      <c r="G15541" s="46">
        <v>1.0548602091791E13</v>
      </c>
      <c r="H15541" s="46" t="s">
        <v>697</v>
      </c>
      <c r="I15541" s="46" t="s">
        <v>698</v>
      </c>
      <c r="J15541" s="46" t="s">
        <v>4</v>
      </c>
      <c r="K15541" s="46" t="s">
        <v>126</v>
      </c>
      <c r="L15541" s="45">
        <v>46015.885416666664</v>
      </c>
      <c r="M15541" s="46" t="s">
        <v>123</v>
      </c>
      <c r="N15541" s="45">
        <v>46015.927083333336</v>
      </c>
      <c r="O15541" s="46" t="s">
        <v>123</v>
      </c>
      <c r="P15541" s="46">
        <v>3600.0</v>
      </c>
      <c r="S15541" s="46" t="s">
        <v>130</v>
      </c>
    </row>
    <row r="15542">
      <c r="A15542" s="40">
        <f t="shared" si="1"/>
        <v>46013</v>
      </c>
      <c r="B15542" s="37" t="str">
        <f t="array" ref="B15542">iferror(xlookup($I15542, 'IMPORT VHC Report'!$E:$E, 'IMPORT VHC Report'!$A:$C), )</f>
        <v/>
      </c>
      <c r="C15542" s="44"/>
      <c r="D15542" s="44"/>
      <c r="E15542" s="46" t="s">
        <v>11705</v>
      </c>
      <c r="F15542" s="46" t="s">
        <v>696</v>
      </c>
      <c r="G15542" s="46">
        <v>1.0548602091791E13</v>
      </c>
      <c r="H15542" s="46" t="s">
        <v>697</v>
      </c>
      <c r="I15542" s="46" t="s">
        <v>698</v>
      </c>
      <c r="J15542" s="46" t="s">
        <v>134</v>
      </c>
      <c r="K15542" s="46" t="s">
        <v>126</v>
      </c>
      <c r="L15542" s="45">
        <v>46016.020833333336</v>
      </c>
      <c r="M15542" s="46" t="s">
        <v>123</v>
      </c>
      <c r="N15542" s="45">
        <v>46016.041666666664</v>
      </c>
      <c r="O15542" s="46" t="s">
        <v>123</v>
      </c>
      <c r="P15542" s="46">
        <v>1800.0</v>
      </c>
    </row>
    <row r="15543">
      <c r="A15543" s="40">
        <f t="shared" si="1"/>
        <v>46013</v>
      </c>
      <c r="B15543" s="37" t="str">
        <f t="array" ref="B15543">iferror(xlookup($I15543, 'IMPORT VHC Report'!$E:$E, 'IMPORT VHC Report'!$A:$C), )</f>
        <v/>
      </c>
      <c r="C15543" s="44"/>
      <c r="D15543" s="44"/>
      <c r="E15543" s="46" t="s">
        <v>11706</v>
      </c>
      <c r="F15543" s="46" t="s">
        <v>696</v>
      </c>
      <c r="G15543" s="46">
        <v>1.0548602091791E13</v>
      </c>
      <c r="H15543" s="46" t="s">
        <v>697</v>
      </c>
      <c r="I15543" s="46" t="s">
        <v>698</v>
      </c>
      <c r="J15543" s="46" t="s">
        <v>136</v>
      </c>
      <c r="K15543" s="46" t="s">
        <v>126</v>
      </c>
      <c r="L15543" s="45">
        <v>46016.041666666664</v>
      </c>
      <c r="M15543" s="46" t="s">
        <v>123</v>
      </c>
      <c r="N15543" s="45">
        <v>46016.083333333336</v>
      </c>
      <c r="O15543" s="46" t="s">
        <v>123</v>
      </c>
      <c r="P15543" s="46">
        <v>3600.0</v>
      </c>
      <c r="S15543" s="46" t="s">
        <v>137</v>
      </c>
    </row>
    <row r="15544">
      <c r="A15544" s="40">
        <f t="shared" si="1"/>
        <v>46013</v>
      </c>
      <c r="B15544" s="37" t="str">
        <f t="array" ref="B15544">iferror(xlookup($I15544, 'IMPORT VHC Report'!$E:$E, 'IMPORT VHC Report'!$A:$C), )</f>
        <v/>
      </c>
      <c r="C15544" s="44"/>
      <c r="D15544" s="44"/>
      <c r="E15544" s="46" t="s">
        <v>11707</v>
      </c>
      <c r="F15544" s="46" t="s">
        <v>696</v>
      </c>
      <c r="G15544" s="46">
        <v>1.0548602091791E13</v>
      </c>
      <c r="H15544" s="46" t="s">
        <v>697</v>
      </c>
      <c r="I15544" s="46" t="s">
        <v>698</v>
      </c>
      <c r="J15544" s="46" t="s">
        <v>132</v>
      </c>
      <c r="K15544" s="46" t="s">
        <v>126</v>
      </c>
      <c r="L15544" s="45">
        <v>46016.166666666664</v>
      </c>
      <c r="M15544" s="46" t="s">
        <v>123</v>
      </c>
      <c r="N15544" s="45">
        <v>46016.208333333336</v>
      </c>
      <c r="O15544" s="46" t="s">
        <v>123</v>
      </c>
      <c r="P15544" s="46">
        <v>3600.0</v>
      </c>
    </row>
    <row r="15545">
      <c r="A15545" s="40">
        <f t="shared" si="1"/>
        <v>46013</v>
      </c>
      <c r="B15545" s="37" t="str">
        <f t="array" ref="B15545">iferror(xlookup($I15545, 'IMPORT VHC Report'!$E:$E, 'IMPORT VHC Report'!$A:$C), )</f>
        <v/>
      </c>
      <c r="C15545" s="44"/>
      <c r="D15545" s="44"/>
      <c r="E15545" s="46" t="s">
        <v>11708</v>
      </c>
      <c r="F15545" s="46" t="s">
        <v>696</v>
      </c>
      <c r="G15545" s="46">
        <v>1.0548602091791E13</v>
      </c>
      <c r="H15545" s="46" t="s">
        <v>697</v>
      </c>
      <c r="I15545" s="46" t="s">
        <v>698</v>
      </c>
      <c r="J15545" s="46" t="s">
        <v>330</v>
      </c>
      <c r="K15545" s="46" t="s">
        <v>126</v>
      </c>
      <c r="L15545" s="45">
        <v>46016.875</v>
      </c>
      <c r="M15545" s="46" t="s">
        <v>123</v>
      </c>
      <c r="N15545" s="45">
        <v>46016.881944444445</v>
      </c>
      <c r="O15545" s="46" t="s">
        <v>123</v>
      </c>
      <c r="P15545" s="46">
        <v>600.0</v>
      </c>
    </row>
    <row r="15546">
      <c r="A15546" s="40">
        <f t="shared" si="1"/>
        <v>46013</v>
      </c>
      <c r="B15546" s="37" t="str">
        <f t="array" ref="B15546">iferror(xlookup($I15546, 'IMPORT VHC Report'!$E:$E, 'IMPORT VHC Report'!$A:$C), )</f>
        <v/>
      </c>
      <c r="C15546" s="44"/>
      <c r="D15546" s="44"/>
      <c r="E15546" s="46" t="s">
        <v>11709</v>
      </c>
      <c r="F15546" s="46" t="s">
        <v>696</v>
      </c>
      <c r="G15546" s="46">
        <v>1.0548602091791E13</v>
      </c>
      <c r="H15546" s="46" t="s">
        <v>697</v>
      </c>
      <c r="I15546" s="46" t="s">
        <v>698</v>
      </c>
      <c r="J15546" s="46" t="s">
        <v>332</v>
      </c>
      <c r="K15546" s="46" t="s">
        <v>63</v>
      </c>
      <c r="L15546" s="45">
        <v>46016.875</v>
      </c>
      <c r="M15546" s="46" t="s">
        <v>123</v>
      </c>
      <c r="N15546" s="45">
        <v>46017.25</v>
      </c>
      <c r="O15546" s="46" t="s">
        <v>123</v>
      </c>
      <c r="P15546" s="46">
        <v>32400.0</v>
      </c>
    </row>
    <row r="15547">
      <c r="A15547" s="40">
        <f t="shared" si="1"/>
        <v>46013</v>
      </c>
      <c r="B15547" s="37" t="str">
        <f t="array" ref="B15547">iferror(xlookup($I15547, 'IMPORT VHC Report'!$E:$E, 'IMPORT VHC Report'!$A:$C), )</f>
        <v/>
      </c>
      <c r="C15547" s="44"/>
      <c r="D15547" s="44"/>
      <c r="E15547" s="46" t="s">
        <v>11710</v>
      </c>
      <c r="F15547" s="46" t="s">
        <v>696</v>
      </c>
      <c r="G15547" s="46">
        <v>1.0548602091791E13</v>
      </c>
      <c r="H15547" s="46" t="s">
        <v>697</v>
      </c>
      <c r="I15547" s="46" t="s">
        <v>698</v>
      </c>
      <c r="J15547" s="46" t="s">
        <v>132</v>
      </c>
      <c r="K15547" s="46" t="s">
        <v>126</v>
      </c>
      <c r="L15547" s="45">
        <v>46016.989583333336</v>
      </c>
      <c r="M15547" s="46" t="s">
        <v>123</v>
      </c>
      <c r="N15547" s="45">
        <v>46017.03125</v>
      </c>
      <c r="O15547" s="46" t="s">
        <v>123</v>
      </c>
      <c r="P15547" s="46">
        <v>3600.0</v>
      </c>
    </row>
    <row r="15548">
      <c r="A15548" s="40">
        <f t="shared" si="1"/>
        <v>46013</v>
      </c>
      <c r="B15548" s="37" t="str">
        <f t="array" ref="B15548">iferror(xlookup($I15548, 'IMPORT VHC Report'!$E:$E, 'IMPORT VHC Report'!$A:$C), )</f>
        <v/>
      </c>
      <c r="C15548" s="44"/>
      <c r="D15548" s="44"/>
      <c r="E15548" s="46" t="s">
        <v>11711</v>
      </c>
      <c r="F15548" s="46" t="s">
        <v>696</v>
      </c>
      <c r="G15548" s="46">
        <v>1.0548602091791E13</v>
      </c>
      <c r="H15548" s="46" t="s">
        <v>697</v>
      </c>
      <c r="I15548" s="46" t="s">
        <v>698</v>
      </c>
      <c r="J15548" s="46" t="s">
        <v>134</v>
      </c>
      <c r="K15548" s="46" t="s">
        <v>126</v>
      </c>
      <c r="L15548" s="45">
        <v>46017.1875</v>
      </c>
      <c r="M15548" s="46" t="s">
        <v>123</v>
      </c>
      <c r="N15548" s="45">
        <v>46017.208333333336</v>
      </c>
      <c r="O15548" s="46" t="s">
        <v>123</v>
      </c>
      <c r="P15548" s="46">
        <v>1800.0</v>
      </c>
    </row>
    <row r="15549">
      <c r="A15549" s="40">
        <f t="shared" si="1"/>
        <v>46013</v>
      </c>
      <c r="B15549" s="37" t="str">
        <f t="array" ref="B15549">iferror(xlookup($I15549, 'IMPORT VHC Report'!$E:$E, 'IMPORT VHC Report'!$A:$C), )</f>
        <v/>
      </c>
      <c r="C15549" s="44"/>
      <c r="D15549" s="44"/>
      <c r="E15549" s="46" t="s">
        <v>11712</v>
      </c>
      <c r="F15549" s="46" t="s">
        <v>696</v>
      </c>
      <c r="G15549" s="46">
        <v>1.0548602091791E13</v>
      </c>
      <c r="H15549" s="46" t="s">
        <v>697</v>
      </c>
      <c r="I15549" s="46" t="s">
        <v>698</v>
      </c>
      <c r="J15549" s="46" t="s">
        <v>4</v>
      </c>
      <c r="K15549" s="46" t="s">
        <v>126</v>
      </c>
      <c r="L15549" s="45">
        <v>46017.208333333336</v>
      </c>
      <c r="M15549" s="46" t="s">
        <v>123</v>
      </c>
      <c r="N15549" s="45">
        <v>46017.25</v>
      </c>
      <c r="O15549" s="46" t="s">
        <v>123</v>
      </c>
      <c r="P15549" s="46">
        <v>3600.0</v>
      </c>
      <c r="S15549" s="46" t="s">
        <v>336</v>
      </c>
    </row>
    <row r="15550">
      <c r="A15550" s="40">
        <f t="shared" si="1"/>
        <v>46013</v>
      </c>
      <c r="B15550" s="37" t="str">
        <f t="array" ref="B15550">iferror(xlookup($I15550, 'IMPORT VHC Report'!$E:$E, 'IMPORT VHC Report'!$A:$C), )</f>
        <v/>
      </c>
      <c r="C15550" s="44"/>
      <c r="D15550" s="44"/>
      <c r="E15550" s="46" t="s">
        <v>11713</v>
      </c>
      <c r="F15550" s="46" t="s">
        <v>696</v>
      </c>
      <c r="G15550" s="46">
        <v>1.0548602091791E13</v>
      </c>
      <c r="H15550" s="46" t="s">
        <v>697</v>
      </c>
      <c r="I15550" s="46" t="s">
        <v>698</v>
      </c>
      <c r="J15550" s="46" t="s">
        <v>330</v>
      </c>
      <c r="K15550" s="46" t="s">
        <v>126</v>
      </c>
      <c r="L15550" s="45">
        <v>46017.875</v>
      </c>
      <c r="M15550" s="46" t="s">
        <v>123</v>
      </c>
      <c r="N15550" s="45">
        <v>46017.881944444445</v>
      </c>
      <c r="O15550" s="46" t="s">
        <v>123</v>
      </c>
      <c r="P15550" s="46">
        <v>600.0</v>
      </c>
    </row>
    <row r="15551">
      <c r="A15551" s="40">
        <f t="shared" si="1"/>
        <v>46013</v>
      </c>
      <c r="B15551" s="37" t="str">
        <f t="array" ref="B15551">iferror(xlookup($I15551, 'IMPORT VHC Report'!$E:$E, 'IMPORT VHC Report'!$A:$C), )</f>
        <v/>
      </c>
      <c r="C15551" s="44"/>
      <c r="D15551" s="44"/>
      <c r="E15551" s="46" t="s">
        <v>11714</v>
      </c>
      <c r="F15551" s="46" t="s">
        <v>696</v>
      </c>
      <c r="G15551" s="46">
        <v>1.0548602091791E13</v>
      </c>
      <c r="H15551" s="46" t="s">
        <v>697</v>
      </c>
      <c r="I15551" s="46" t="s">
        <v>698</v>
      </c>
      <c r="J15551" s="46" t="s">
        <v>332</v>
      </c>
      <c r="K15551" s="46" t="s">
        <v>63</v>
      </c>
      <c r="L15551" s="45">
        <v>46017.875</v>
      </c>
      <c r="M15551" s="46" t="s">
        <v>123</v>
      </c>
      <c r="N15551" s="45">
        <v>46018.25</v>
      </c>
      <c r="O15551" s="46" t="s">
        <v>123</v>
      </c>
      <c r="P15551" s="46">
        <v>32400.0</v>
      </c>
    </row>
    <row r="15552">
      <c r="A15552" s="40">
        <f t="shared" si="1"/>
        <v>46013</v>
      </c>
      <c r="B15552" s="37" t="str">
        <f t="array" ref="B15552">iferror(xlookup($I15552, 'IMPORT VHC Report'!$E:$E, 'IMPORT VHC Report'!$A:$C), )</f>
        <v/>
      </c>
      <c r="C15552" s="44"/>
      <c r="D15552" s="44"/>
      <c r="E15552" s="46" t="s">
        <v>11715</v>
      </c>
      <c r="F15552" s="46" t="s">
        <v>696</v>
      </c>
      <c r="G15552" s="46">
        <v>1.0548602091791E13</v>
      </c>
      <c r="H15552" s="46" t="s">
        <v>697</v>
      </c>
      <c r="I15552" s="46" t="s">
        <v>698</v>
      </c>
      <c r="J15552" s="46" t="s">
        <v>134</v>
      </c>
      <c r="K15552" s="46" t="s">
        <v>126</v>
      </c>
      <c r="L15552" s="45">
        <v>46017.96875</v>
      </c>
      <c r="M15552" s="46" t="s">
        <v>123</v>
      </c>
      <c r="N15552" s="45">
        <v>46017.989583333336</v>
      </c>
      <c r="O15552" s="46" t="s">
        <v>123</v>
      </c>
      <c r="P15552" s="46">
        <v>1800.0</v>
      </c>
    </row>
    <row r="15553">
      <c r="A15553" s="40">
        <f t="shared" si="1"/>
        <v>46013</v>
      </c>
      <c r="B15553" s="37" t="str">
        <f t="array" ref="B15553">iferror(xlookup($I15553, 'IMPORT VHC Report'!$E:$E, 'IMPORT VHC Report'!$A:$C), )</f>
        <v/>
      </c>
      <c r="C15553" s="44"/>
      <c r="D15553" s="44"/>
      <c r="E15553" s="46" t="s">
        <v>11716</v>
      </c>
      <c r="F15553" s="46" t="s">
        <v>696</v>
      </c>
      <c r="G15553" s="46">
        <v>1.0548602091791E13</v>
      </c>
      <c r="H15553" s="46" t="s">
        <v>697</v>
      </c>
      <c r="I15553" s="46" t="s">
        <v>698</v>
      </c>
      <c r="J15553" s="46" t="s">
        <v>132</v>
      </c>
      <c r="K15553" s="46" t="s">
        <v>126</v>
      </c>
      <c r="L15553" s="45">
        <v>46018.145833333336</v>
      </c>
      <c r="M15553" s="46" t="s">
        <v>123</v>
      </c>
      <c r="N15553" s="45">
        <v>46018.1875</v>
      </c>
      <c r="O15553" s="46" t="s">
        <v>123</v>
      </c>
      <c r="P15553" s="46">
        <v>3600.0</v>
      </c>
    </row>
    <row r="15554">
      <c r="A15554" s="40">
        <f t="shared" si="1"/>
        <v>46013</v>
      </c>
      <c r="B15554" s="37" t="str">
        <f t="array" ref="B15554">iferror(xlookup($I15554, 'IMPORT VHC Report'!$E:$E, 'IMPORT VHC Report'!$A:$C), )</f>
        <v/>
      </c>
      <c r="C15554" s="44"/>
      <c r="D15554" s="44"/>
      <c r="E15554" s="46" t="s">
        <v>11717</v>
      </c>
      <c r="F15554" s="46" t="s">
        <v>696</v>
      </c>
      <c r="G15554" s="46">
        <v>1.0548602091791E13</v>
      </c>
      <c r="H15554" s="46" t="s">
        <v>697</v>
      </c>
      <c r="I15554" s="46" t="s">
        <v>698</v>
      </c>
      <c r="J15554" s="46" t="s">
        <v>330</v>
      </c>
      <c r="K15554" s="46" t="s">
        <v>126</v>
      </c>
      <c r="L15554" s="45">
        <v>46018.875</v>
      </c>
      <c r="M15554" s="46" t="s">
        <v>123</v>
      </c>
      <c r="N15554" s="45">
        <v>46018.881944444445</v>
      </c>
      <c r="O15554" s="46" t="s">
        <v>123</v>
      </c>
      <c r="P15554" s="46">
        <v>600.0</v>
      </c>
    </row>
    <row r="15555">
      <c r="A15555" s="40">
        <f t="shared" si="1"/>
        <v>46013</v>
      </c>
      <c r="B15555" s="37" t="str">
        <f t="array" ref="B15555">iferror(xlookup($I15555, 'IMPORT VHC Report'!$E:$E, 'IMPORT VHC Report'!$A:$C), )</f>
        <v/>
      </c>
      <c r="C15555" s="44"/>
      <c r="D15555" s="44"/>
      <c r="E15555" s="46" t="s">
        <v>11718</v>
      </c>
      <c r="F15555" s="46" t="s">
        <v>696</v>
      </c>
      <c r="G15555" s="46">
        <v>1.0548602091791E13</v>
      </c>
      <c r="H15555" s="46" t="s">
        <v>697</v>
      </c>
      <c r="I15555" s="46" t="s">
        <v>698</v>
      </c>
      <c r="J15555" s="46" t="s">
        <v>332</v>
      </c>
      <c r="K15555" s="46" t="s">
        <v>63</v>
      </c>
      <c r="L15555" s="45">
        <v>46018.875</v>
      </c>
      <c r="M15555" s="46" t="s">
        <v>123</v>
      </c>
      <c r="N15555" s="45">
        <v>46019.25</v>
      </c>
      <c r="O15555" s="46" t="s">
        <v>123</v>
      </c>
      <c r="P15555" s="46">
        <v>32400.0</v>
      </c>
    </row>
    <row r="15556">
      <c r="A15556" s="40">
        <f t="shared" si="1"/>
        <v>46013</v>
      </c>
      <c r="B15556" s="37" t="str">
        <f t="array" ref="B15556">iferror(xlookup($I15556, 'IMPORT VHC Report'!$E:$E, 'IMPORT VHC Report'!$A:$C), )</f>
        <v/>
      </c>
      <c r="C15556" s="44"/>
      <c r="D15556" s="44"/>
      <c r="E15556" s="46" t="s">
        <v>11719</v>
      </c>
      <c r="F15556" s="46" t="s">
        <v>696</v>
      </c>
      <c r="G15556" s="46">
        <v>1.0548602091791E13</v>
      </c>
      <c r="H15556" s="46" t="s">
        <v>697</v>
      </c>
      <c r="I15556" s="46" t="s">
        <v>698</v>
      </c>
      <c r="J15556" s="46" t="s">
        <v>134</v>
      </c>
      <c r="K15556" s="46" t="s">
        <v>126</v>
      </c>
      <c r="L15556" s="45">
        <v>46018.989583333336</v>
      </c>
      <c r="M15556" s="46" t="s">
        <v>123</v>
      </c>
      <c r="N15556" s="45">
        <v>46019.010416666664</v>
      </c>
      <c r="O15556" s="46" t="s">
        <v>123</v>
      </c>
      <c r="P15556" s="46">
        <v>1800.0</v>
      </c>
    </row>
    <row r="15557">
      <c r="A15557" s="40">
        <f t="shared" si="1"/>
        <v>46013</v>
      </c>
      <c r="B15557" s="37" t="str">
        <f t="array" ref="B15557">iferror(xlookup($I15557, 'IMPORT VHC Report'!$E:$E, 'IMPORT VHC Report'!$A:$C), )</f>
        <v/>
      </c>
      <c r="C15557" s="44"/>
      <c r="D15557" s="44"/>
      <c r="E15557" s="46" t="s">
        <v>11720</v>
      </c>
      <c r="F15557" s="46" t="s">
        <v>696</v>
      </c>
      <c r="G15557" s="46">
        <v>1.0548602091791E13</v>
      </c>
      <c r="H15557" s="46" t="s">
        <v>697</v>
      </c>
      <c r="I15557" s="46" t="s">
        <v>698</v>
      </c>
      <c r="J15557" s="46" t="s">
        <v>132</v>
      </c>
      <c r="K15557" s="46" t="s">
        <v>126</v>
      </c>
      <c r="L15557" s="45">
        <v>46019.177083333336</v>
      </c>
      <c r="M15557" s="46" t="s">
        <v>123</v>
      </c>
      <c r="N15557" s="45">
        <v>46019.21875</v>
      </c>
      <c r="O15557" s="46" t="s">
        <v>123</v>
      </c>
      <c r="P15557" s="46">
        <v>3600.0</v>
      </c>
    </row>
    <row r="15558">
      <c r="A15558" s="40">
        <f t="shared" si="1"/>
        <v>46013</v>
      </c>
      <c r="B15558" s="37" t="str">
        <f t="array" ref="B15558">iferror(xlookup($I15558, 'IMPORT VHC Report'!$E:$E, 'IMPORT VHC Report'!$A:$C), )</f>
        <v/>
      </c>
      <c r="C15558" s="44"/>
      <c r="D15558" s="44"/>
      <c r="E15558" s="46" t="s">
        <v>11721</v>
      </c>
      <c r="F15558" s="46" t="s">
        <v>696</v>
      </c>
      <c r="G15558" s="46">
        <v>1.0548602091791E13</v>
      </c>
      <c r="H15558" s="46" t="s">
        <v>697</v>
      </c>
      <c r="I15558" s="46" t="s">
        <v>698</v>
      </c>
      <c r="J15558" s="46" t="s">
        <v>330</v>
      </c>
      <c r="K15558" s="46" t="s">
        <v>126</v>
      </c>
      <c r="L15558" s="45">
        <v>46019.875</v>
      </c>
      <c r="M15558" s="46" t="s">
        <v>123</v>
      </c>
      <c r="N15558" s="45">
        <v>46019.881944444445</v>
      </c>
      <c r="O15558" s="46" t="s">
        <v>123</v>
      </c>
      <c r="P15558" s="46">
        <v>600.0</v>
      </c>
    </row>
    <row r="15559">
      <c r="A15559" s="40">
        <f t="shared" si="1"/>
        <v>46013</v>
      </c>
      <c r="B15559" s="37" t="str">
        <f t="array" ref="B15559">iferror(xlookup($I15559, 'IMPORT VHC Report'!$E:$E, 'IMPORT VHC Report'!$A:$C), )</f>
        <v/>
      </c>
      <c r="C15559" s="44"/>
      <c r="D15559" s="44"/>
      <c r="E15559" s="46" t="s">
        <v>11722</v>
      </c>
      <c r="F15559" s="46" t="s">
        <v>696</v>
      </c>
      <c r="G15559" s="46">
        <v>1.0548602091791E13</v>
      </c>
      <c r="H15559" s="46" t="s">
        <v>697</v>
      </c>
      <c r="I15559" s="46" t="s">
        <v>698</v>
      </c>
      <c r="J15559" s="46" t="s">
        <v>332</v>
      </c>
      <c r="K15559" s="46" t="s">
        <v>63</v>
      </c>
      <c r="L15559" s="45">
        <v>46019.875</v>
      </c>
      <c r="M15559" s="46" t="s">
        <v>123</v>
      </c>
      <c r="N15559" s="45">
        <v>46020.0</v>
      </c>
      <c r="O15559" s="46" t="s">
        <v>123</v>
      </c>
      <c r="P15559" s="46">
        <v>10800.0</v>
      </c>
    </row>
    <row r="15560">
      <c r="A15560" s="40">
        <f t="shared" si="1"/>
        <v>46013</v>
      </c>
      <c r="B15560" s="37" t="str">
        <f t="array" ref="B15560">iferror(xlookup($I15560, 'IMPORT VHC Report'!$E:$E, 'IMPORT VHC Report'!$A:$C), )</f>
        <v/>
      </c>
      <c r="C15560" s="44"/>
      <c r="D15560" s="44"/>
      <c r="E15560" s="46" t="s">
        <v>11723</v>
      </c>
      <c r="F15560" s="46" t="s">
        <v>696</v>
      </c>
      <c r="G15560" s="46">
        <v>1.0548602091791E13</v>
      </c>
      <c r="H15560" s="46" t="s">
        <v>697</v>
      </c>
      <c r="I15560" s="46" t="s">
        <v>698</v>
      </c>
      <c r="J15560" s="46" t="s">
        <v>134</v>
      </c>
      <c r="K15560" s="46" t="s">
        <v>126</v>
      </c>
      <c r="L15560" s="45">
        <v>46019.958333333336</v>
      </c>
      <c r="M15560" s="46" t="s">
        <v>123</v>
      </c>
      <c r="N15560" s="45">
        <v>46019.979166666664</v>
      </c>
      <c r="O15560" s="46" t="s">
        <v>123</v>
      </c>
      <c r="P15560" s="46">
        <v>1800.0</v>
      </c>
    </row>
    <row r="15561">
      <c r="A15561" s="40">
        <f t="shared" si="1"/>
        <v>46006</v>
      </c>
      <c r="B15561" s="37" t="str">
        <f t="array" ref="B15561">iferror(xlookup($I15561, 'IMPORT VHC Report'!$E:$E, 'IMPORT VHC Report'!$A:$C), )</f>
        <v/>
      </c>
      <c r="C15561" s="44"/>
      <c r="D15561" s="44"/>
      <c r="E15561" s="46" t="s">
        <v>979</v>
      </c>
      <c r="F15561" s="46" t="s">
        <v>947</v>
      </c>
      <c r="G15561" s="46">
        <v>3.61744117796E11</v>
      </c>
      <c r="H15561" s="46" t="s">
        <v>948</v>
      </c>
      <c r="I15561" s="46" t="s">
        <v>949</v>
      </c>
      <c r="J15561" s="46" t="s">
        <v>178</v>
      </c>
      <c r="K15561" s="46" t="s">
        <v>153</v>
      </c>
      <c r="L15561" s="45">
        <v>46012.958333333336</v>
      </c>
      <c r="M15561" s="46" t="s">
        <v>123</v>
      </c>
      <c r="N15561" s="45">
        <v>46013.125</v>
      </c>
      <c r="O15561" s="46" t="s">
        <v>123</v>
      </c>
      <c r="P15561" s="46">
        <v>14400.0</v>
      </c>
      <c r="Q15561" s="46">
        <v>14400.0</v>
      </c>
    </row>
    <row r="15562">
      <c r="A15562" s="40">
        <f t="shared" si="1"/>
        <v>46006</v>
      </c>
      <c r="B15562" s="37" t="str">
        <f t="array" ref="B15562">iferror(xlookup($I15562, 'IMPORT VHC Report'!$E:$E, 'IMPORT VHC Report'!$A:$C), )</f>
        <v/>
      </c>
      <c r="C15562" s="44"/>
      <c r="D15562" s="44"/>
      <c r="E15562" s="46" t="s">
        <v>980</v>
      </c>
      <c r="F15562" s="46" t="s">
        <v>947</v>
      </c>
      <c r="G15562" s="46">
        <v>3.61744117796E11</v>
      </c>
      <c r="H15562" s="46" t="s">
        <v>948</v>
      </c>
      <c r="I15562" s="46" t="s">
        <v>949</v>
      </c>
      <c r="J15562" s="46" t="s">
        <v>332</v>
      </c>
      <c r="K15562" s="46" t="s">
        <v>63</v>
      </c>
      <c r="L15562" s="45">
        <v>46012.958333333336</v>
      </c>
      <c r="M15562" s="46" t="s">
        <v>123</v>
      </c>
      <c r="N15562" s="45">
        <v>46013.333333333336</v>
      </c>
      <c r="O15562" s="46" t="s">
        <v>123</v>
      </c>
      <c r="P15562" s="46">
        <v>32400.0</v>
      </c>
    </row>
    <row r="15563">
      <c r="A15563" s="40">
        <f t="shared" si="1"/>
        <v>46013</v>
      </c>
      <c r="B15563" s="37" t="str">
        <f t="array" ref="B15563">iferror(xlookup($I15563, 'IMPORT VHC Report'!$E:$E, 'IMPORT VHC Report'!$A:$C), )</f>
        <v/>
      </c>
      <c r="C15563" s="44"/>
      <c r="D15563" s="44"/>
      <c r="E15563" s="46" t="s">
        <v>11724</v>
      </c>
      <c r="F15563" s="46" t="s">
        <v>947</v>
      </c>
      <c r="G15563" s="46">
        <v>3.61744117796E11</v>
      </c>
      <c r="H15563" s="46" t="s">
        <v>948</v>
      </c>
      <c r="I15563" s="46" t="s">
        <v>949</v>
      </c>
      <c r="J15563" s="46" t="s">
        <v>134</v>
      </c>
      <c r="K15563" s="46" t="s">
        <v>126</v>
      </c>
      <c r="L15563" s="45">
        <v>46013.0</v>
      </c>
      <c r="M15563" s="46" t="s">
        <v>123</v>
      </c>
      <c r="N15563" s="45">
        <v>46013.010416666664</v>
      </c>
      <c r="O15563" s="46" t="s">
        <v>123</v>
      </c>
      <c r="P15563" s="46">
        <v>900.0</v>
      </c>
    </row>
    <row r="15564">
      <c r="A15564" s="40">
        <f t="shared" si="1"/>
        <v>46013</v>
      </c>
      <c r="B15564" s="37" t="str">
        <f t="array" ref="B15564">iferror(xlookup($I15564, 'IMPORT VHC Report'!$E:$E, 'IMPORT VHC Report'!$A:$C), )</f>
        <v/>
      </c>
      <c r="C15564" s="44"/>
      <c r="D15564" s="44"/>
      <c r="E15564" s="46" t="s">
        <v>11725</v>
      </c>
      <c r="F15564" s="46" t="s">
        <v>947</v>
      </c>
      <c r="G15564" s="46">
        <v>3.61744117796E11</v>
      </c>
      <c r="H15564" s="46" t="s">
        <v>948</v>
      </c>
      <c r="I15564" s="46" t="s">
        <v>949</v>
      </c>
      <c r="J15564" s="46" t="s">
        <v>132</v>
      </c>
      <c r="K15564" s="46" t="s">
        <v>126</v>
      </c>
      <c r="L15564" s="45">
        <v>46013.125</v>
      </c>
      <c r="M15564" s="46" t="s">
        <v>123</v>
      </c>
      <c r="N15564" s="45">
        <v>46013.166666666664</v>
      </c>
      <c r="O15564" s="46" t="s">
        <v>123</v>
      </c>
      <c r="P15564" s="46">
        <v>3600.0</v>
      </c>
    </row>
    <row r="15565">
      <c r="A15565" s="40">
        <f t="shared" si="1"/>
        <v>46013</v>
      </c>
      <c r="B15565" s="37" t="str">
        <f t="array" ref="B15565">iferror(xlookup($I15565, 'IMPORT VHC Report'!$E:$E, 'IMPORT VHC Report'!$A:$C), )</f>
        <v/>
      </c>
      <c r="C15565" s="44"/>
      <c r="D15565" s="44"/>
      <c r="E15565" s="46" t="s">
        <v>11726</v>
      </c>
      <c r="F15565" s="46" t="s">
        <v>947</v>
      </c>
      <c r="G15565" s="46">
        <v>3.61744117796E11</v>
      </c>
      <c r="H15565" s="46" t="s">
        <v>948</v>
      </c>
      <c r="I15565" s="46" t="s">
        <v>949</v>
      </c>
      <c r="J15565" s="46" t="s">
        <v>134</v>
      </c>
      <c r="K15565" s="46" t="s">
        <v>126</v>
      </c>
      <c r="L15565" s="45">
        <v>46013.229166666664</v>
      </c>
      <c r="M15565" s="46" t="s">
        <v>123</v>
      </c>
      <c r="N15565" s="45">
        <v>46013.239583333336</v>
      </c>
      <c r="O15565" s="46" t="s">
        <v>123</v>
      </c>
      <c r="P15565" s="46">
        <v>900.0</v>
      </c>
    </row>
    <row r="15566">
      <c r="A15566" s="40">
        <f t="shared" si="1"/>
        <v>46013</v>
      </c>
      <c r="B15566" s="37" t="str">
        <f t="array" ref="B15566">iferror(xlookup($I15566, 'IMPORT VHC Report'!$E:$E, 'IMPORT VHC Report'!$A:$C), )</f>
        <v/>
      </c>
      <c r="C15566" s="44"/>
      <c r="D15566" s="44"/>
      <c r="E15566" s="46" t="s">
        <v>11727</v>
      </c>
      <c r="F15566" s="46" t="s">
        <v>947</v>
      </c>
      <c r="G15566" s="46">
        <v>3.61744117796E11</v>
      </c>
      <c r="H15566" s="46" t="s">
        <v>948</v>
      </c>
      <c r="I15566" s="46" t="s">
        <v>949</v>
      </c>
      <c r="J15566" s="46" t="s">
        <v>330</v>
      </c>
      <c r="K15566" s="46" t="s">
        <v>126</v>
      </c>
      <c r="L15566" s="45">
        <v>46013.958333333336</v>
      </c>
      <c r="M15566" s="46" t="s">
        <v>123</v>
      </c>
      <c r="N15566" s="45">
        <v>46013.96527777778</v>
      </c>
      <c r="O15566" s="46" t="s">
        <v>123</v>
      </c>
      <c r="P15566" s="46">
        <v>600.0</v>
      </c>
    </row>
    <row r="15567">
      <c r="A15567" s="40">
        <f t="shared" si="1"/>
        <v>46013</v>
      </c>
      <c r="B15567" s="37" t="str">
        <f t="array" ref="B15567">iferror(xlookup($I15567, 'IMPORT VHC Report'!$E:$E, 'IMPORT VHC Report'!$A:$C), )</f>
        <v/>
      </c>
      <c r="C15567" s="44"/>
      <c r="D15567" s="44"/>
      <c r="E15567" s="46" t="s">
        <v>11728</v>
      </c>
      <c r="F15567" s="46" t="s">
        <v>947</v>
      </c>
      <c r="G15567" s="46">
        <v>3.61744117796E11</v>
      </c>
      <c r="H15567" s="46" t="s">
        <v>948</v>
      </c>
      <c r="I15567" s="46" t="s">
        <v>949</v>
      </c>
      <c r="J15567" s="46" t="s">
        <v>332</v>
      </c>
      <c r="K15567" s="46" t="s">
        <v>63</v>
      </c>
      <c r="L15567" s="45">
        <v>46013.958333333336</v>
      </c>
      <c r="M15567" s="46" t="s">
        <v>123</v>
      </c>
      <c r="N15567" s="45">
        <v>46014.333333333336</v>
      </c>
      <c r="O15567" s="46" t="s">
        <v>123</v>
      </c>
      <c r="P15567" s="46">
        <v>32400.0</v>
      </c>
    </row>
    <row r="15568">
      <c r="A15568" s="40">
        <f t="shared" si="1"/>
        <v>46013</v>
      </c>
      <c r="B15568" s="37" t="str">
        <f t="array" ref="B15568">iferror(xlookup($I15568, 'IMPORT VHC Report'!$E:$E, 'IMPORT VHC Report'!$A:$C), )</f>
        <v/>
      </c>
      <c r="C15568" s="44"/>
      <c r="D15568" s="44"/>
      <c r="E15568" s="46" t="s">
        <v>11729</v>
      </c>
      <c r="F15568" s="46" t="s">
        <v>947</v>
      </c>
      <c r="G15568" s="46">
        <v>3.61744117796E11</v>
      </c>
      <c r="H15568" s="46" t="s">
        <v>948</v>
      </c>
      <c r="I15568" s="46" t="s">
        <v>949</v>
      </c>
      <c r="J15568" s="46" t="s">
        <v>134</v>
      </c>
      <c r="K15568" s="46" t="s">
        <v>126</v>
      </c>
      <c r="L15568" s="45">
        <v>46014.0625</v>
      </c>
      <c r="M15568" s="46" t="s">
        <v>123</v>
      </c>
      <c r="N15568" s="45">
        <v>46014.083333333336</v>
      </c>
      <c r="O15568" s="46" t="s">
        <v>123</v>
      </c>
      <c r="P15568" s="46">
        <v>1800.0</v>
      </c>
    </row>
    <row r="15569">
      <c r="A15569" s="40">
        <f t="shared" si="1"/>
        <v>46013</v>
      </c>
      <c r="B15569" s="37" t="str">
        <f t="array" ref="B15569">iferror(xlookup($I15569, 'IMPORT VHC Report'!$E:$E, 'IMPORT VHC Report'!$A:$C), )</f>
        <v/>
      </c>
      <c r="C15569" s="44"/>
      <c r="D15569" s="44"/>
      <c r="E15569" s="46" t="s">
        <v>11730</v>
      </c>
      <c r="F15569" s="46" t="s">
        <v>947</v>
      </c>
      <c r="G15569" s="46">
        <v>3.61744117796E11</v>
      </c>
      <c r="H15569" s="46" t="s">
        <v>948</v>
      </c>
      <c r="I15569" s="46" t="s">
        <v>949</v>
      </c>
      <c r="J15569" s="46" t="s">
        <v>132</v>
      </c>
      <c r="K15569" s="46" t="s">
        <v>126</v>
      </c>
      <c r="L15569" s="45">
        <v>46014.166666666664</v>
      </c>
      <c r="M15569" s="46" t="s">
        <v>123</v>
      </c>
      <c r="N15569" s="45">
        <v>46014.208333333336</v>
      </c>
      <c r="O15569" s="46" t="s">
        <v>123</v>
      </c>
      <c r="P15569" s="46">
        <v>3600.0</v>
      </c>
    </row>
    <row r="15570">
      <c r="A15570" s="40">
        <f t="shared" si="1"/>
        <v>46013</v>
      </c>
      <c r="B15570" s="37" t="str">
        <f t="array" ref="B15570">iferror(xlookup($I15570, 'IMPORT VHC Report'!$E:$E, 'IMPORT VHC Report'!$A:$C), )</f>
        <v/>
      </c>
      <c r="C15570" s="44"/>
      <c r="D15570" s="44"/>
      <c r="E15570" s="46" t="s">
        <v>11731</v>
      </c>
      <c r="F15570" s="46" t="s">
        <v>947</v>
      </c>
      <c r="G15570" s="46">
        <v>3.61744117796E11</v>
      </c>
      <c r="H15570" s="46" t="s">
        <v>948</v>
      </c>
      <c r="I15570" s="46" t="s">
        <v>949</v>
      </c>
      <c r="J15570" s="46" t="s">
        <v>4</v>
      </c>
      <c r="K15570" s="46" t="s">
        <v>126</v>
      </c>
      <c r="L15570" s="45">
        <v>46014.291666666664</v>
      </c>
      <c r="M15570" s="46" t="s">
        <v>123</v>
      </c>
      <c r="N15570" s="45">
        <v>46014.302083333336</v>
      </c>
      <c r="O15570" s="46" t="s">
        <v>123</v>
      </c>
      <c r="P15570" s="46">
        <v>900.0</v>
      </c>
      <c r="S15570" s="46" t="s">
        <v>11732</v>
      </c>
    </row>
    <row r="15571">
      <c r="A15571" s="40">
        <f t="shared" si="1"/>
        <v>46013</v>
      </c>
      <c r="B15571" s="37" t="str">
        <f t="array" ref="B15571">iferror(xlookup($I15571, 'IMPORT VHC Report'!$E:$E, 'IMPORT VHC Report'!$A:$C), )</f>
        <v/>
      </c>
      <c r="C15571" s="44"/>
      <c r="D15571" s="44"/>
      <c r="E15571" s="46" t="s">
        <v>11733</v>
      </c>
      <c r="F15571" s="46" t="s">
        <v>947</v>
      </c>
      <c r="G15571" s="46">
        <v>3.61744117796E11</v>
      </c>
      <c r="H15571" s="46" t="s">
        <v>948</v>
      </c>
      <c r="I15571" s="46" t="s">
        <v>949</v>
      </c>
      <c r="J15571" s="46" t="s">
        <v>125</v>
      </c>
      <c r="K15571" s="46" t="s">
        <v>126</v>
      </c>
      <c r="L15571" s="45">
        <v>46014.302083333336</v>
      </c>
      <c r="M15571" s="46" t="s">
        <v>123</v>
      </c>
      <c r="N15571" s="45">
        <v>46014.3125</v>
      </c>
      <c r="O15571" s="46" t="s">
        <v>123</v>
      </c>
      <c r="P15571" s="46">
        <v>900.0</v>
      </c>
      <c r="S15571" s="46" t="s">
        <v>11734</v>
      </c>
    </row>
    <row r="15572">
      <c r="A15572" s="40">
        <f t="shared" si="1"/>
        <v>46013</v>
      </c>
      <c r="B15572" s="37" t="str">
        <f t="array" ref="B15572">iferror(xlookup($I15572, 'IMPORT VHC Report'!$E:$E, 'IMPORT VHC Report'!$A:$C), )</f>
        <v/>
      </c>
      <c r="C15572" s="44"/>
      <c r="D15572" s="44"/>
      <c r="E15572" s="46" t="s">
        <v>11735</v>
      </c>
      <c r="F15572" s="46" t="s">
        <v>947</v>
      </c>
      <c r="G15572" s="46">
        <v>3.61744117796E11</v>
      </c>
      <c r="H15572" s="46" t="s">
        <v>948</v>
      </c>
      <c r="I15572" s="46" t="s">
        <v>949</v>
      </c>
      <c r="J15572" s="46" t="s">
        <v>330</v>
      </c>
      <c r="K15572" s="46" t="s">
        <v>126</v>
      </c>
      <c r="L15572" s="45">
        <v>46014.958333333336</v>
      </c>
      <c r="M15572" s="46" t="s">
        <v>123</v>
      </c>
      <c r="N15572" s="45">
        <v>46014.96527777778</v>
      </c>
      <c r="O15572" s="46" t="s">
        <v>123</v>
      </c>
      <c r="P15572" s="46">
        <v>600.0</v>
      </c>
    </row>
    <row r="15573">
      <c r="A15573" s="40">
        <f t="shared" si="1"/>
        <v>46013</v>
      </c>
      <c r="B15573" s="37" t="str">
        <f t="array" ref="B15573">iferror(xlookup($I15573, 'IMPORT VHC Report'!$E:$E, 'IMPORT VHC Report'!$A:$C), )</f>
        <v/>
      </c>
      <c r="C15573" s="44"/>
      <c r="D15573" s="44"/>
      <c r="E15573" s="46" t="s">
        <v>11736</v>
      </c>
      <c r="F15573" s="46" t="s">
        <v>947</v>
      </c>
      <c r="G15573" s="46">
        <v>3.61744117796E11</v>
      </c>
      <c r="H15573" s="46" t="s">
        <v>948</v>
      </c>
      <c r="I15573" s="46" t="s">
        <v>949</v>
      </c>
      <c r="J15573" s="46" t="s">
        <v>332</v>
      </c>
      <c r="K15573" s="46" t="s">
        <v>63</v>
      </c>
      <c r="L15573" s="45">
        <v>46014.958333333336</v>
      </c>
      <c r="M15573" s="46" t="s">
        <v>123</v>
      </c>
      <c r="N15573" s="45">
        <v>46015.333333333336</v>
      </c>
      <c r="O15573" s="46" t="s">
        <v>123</v>
      </c>
      <c r="P15573" s="46">
        <v>32400.0</v>
      </c>
    </row>
    <row r="15574">
      <c r="A15574" s="40">
        <f t="shared" si="1"/>
        <v>46013</v>
      </c>
      <c r="B15574" s="37" t="str">
        <f t="array" ref="B15574">iferror(xlookup($I15574, 'IMPORT VHC Report'!$E:$E, 'IMPORT VHC Report'!$A:$C), )</f>
        <v/>
      </c>
      <c r="C15574" s="44"/>
      <c r="D15574" s="44"/>
      <c r="E15574" s="46" t="s">
        <v>11737</v>
      </c>
      <c r="F15574" s="46" t="s">
        <v>947</v>
      </c>
      <c r="G15574" s="46">
        <v>3.61744117796E11</v>
      </c>
      <c r="H15574" s="46" t="s">
        <v>948</v>
      </c>
      <c r="I15574" s="46" t="s">
        <v>949</v>
      </c>
      <c r="J15574" s="46" t="s">
        <v>134</v>
      </c>
      <c r="K15574" s="46" t="s">
        <v>126</v>
      </c>
      <c r="L15574" s="45">
        <v>46015.0625</v>
      </c>
      <c r="M15574" s="46" t="s">
        <v>123</v>
      </c>
      <c r="N15574" s="45">
        <v>46015.083333333336</v>
      </c>
      <c r="O15574" s="46" t="s">
        <v>123</v>
      </c>
      <c r="P15574" s="46">
        <v>1800.0</v>
      </c>
    </row>
    <row r="15575">
      <c r="A15575" s="40">
        <f t="shared" si="1"/>
        <v>46013</v>
      </c>
      <c r="B15575" s="37" t="str">
        <f t="array" ref="B15575">iferror(xlookup($I15575, 'IMPORT VHC Report'!$E:$E, 'IMPORT VHC Report'!$A:$C), )</f>
        <v/>
      </c>
      <c r="C15575" s="44"/>
      <c r="D15575" s="44"/>
      <c r="E15575" s="46" t="s">
        <v>11738</v>
      </c>
      <c r="F15575" s="46" t="s">
        <v>947</v>
      </c>
      <c r="G15575" s="46">
        <v>3.61744117796E11</v>
      </c>
      <c r="H15575" s="46" t="s">
        <v>948</v>
      </c>
      <c r="I15575" s="46" t="s">
        <v>949</v>
      </c>
      <c r="J15575" s="46" t="s">
        <v>132</v>
      </c>
      <c r="K15575" s="46" t="s">
        <v>126</v>
      </c>
      <c r="L15575" s="45">
        <v>46015.177083333336</v>
      </c>
      <c r="M15575" s="46" t="s">
        <v>123</v>
      </c>
      <c r="N15575" s="45">
        <v>46015.21875</v>
      </c>
      <c r="O15575" s="46" t="s">
        <v>123</v>
      </c>
      <c r="P15575" s="46">
        <v>3600.0</v>
      </c>
    </row>
    <row r="15576">
      <c r="A15576" s="40">
        <f t="shared" si="1"/>
        <v>46013</v>
      </c>
      <c r="B15576" s="37" t="str">
        <f t="array" ref="B15576">iferror(xlookup($I15576, 'IMPORT VHC Report'!$E:$E, 'IMPORT VHC Report'!$A:$C), )</f>
        <v/>
      </c>
      <c r="C15576" s="44"/>
      <c r="D15576" s="44"/>
      <c r="E15576" s="46" t="s">
        <v>11739</v>
      </c>
      <c r="F15576" s="46" t="s">
        <v>947</v>
      </c>
      <c r="G15576" s="46">
        <v>3.61744117796E11</v>
      </c>
      <c r="H15576" s="46" t="s">
        <v>948</v>
      </c>
      <c r="I15576" s="46" t="s">
        <v>949</v>
      </c>
      <c r="J15576" s="46" t="s">
        <v>330</v>
      </c>
      <c r="K15576" s="46" t="s">
        <v>126</v>
      </c>
      <c r="L15576" s="45">
        <v>46015.958333333336</v>
      </c>
      <c r="M15576" s="46" t="s">
        <v>123</v>
      </c>
      <c r="N15576" s="45">
        <v>46015.96527777778</v>
      </c>
      <c r="O15576" s="46" t="s">
        <v>123</v>
      </c>
      <c r="P15576" s="46">
        <v>600.0</v>
      </c>
    </row>
    <row r="15577">
      <c r="A15577" s="40">
        <f t="shared" si="1"/>
        <v>46013</v>
      </c>
      <c r="B15577" s="37" t="str">
        <f t="array" ref="B15577">iferror(xlookup($I15577, 'IMPORT VHC Report'!$E:$E, 'IMPORT VHC Report'!$A:$C), )</f>
        <v/>
      </c>
      <c r="C15577" s="44"/>
      <c r="D15577" s="44"/>
      <c r="E15577" s="46" t="s">
        <v>11740</v>
      </c>
      <c r="F15577" s="46" t="s">
        <v>947</v>
      </c>
      <c r="G15577" s="46">
        <v>3.61744117796E11</v>
      </c>
      <c r="H15577" s="46" t="s">
        <v>948</v>
      </c>
      <c r="I15577" s="46" t="s">
        <v>949</v>
      </c>
      <c r="J15577" s="46" t="s">
        <v>332</v>
      </c>
      <c r="K15577" s="46" t="s">
        <v>63</v>
      </c>
      <c r="L15577" s="45">
        <v>46015.958333333336</v>
      </c>
      <c r="M15577" s="46" t="s">
        <v>123</v>
      </c>
      <c r="N15577" s="45">
        <v>46016.333333333336</v>
      </c>
      <c r="O15577" s="46" t="s">
        <v>123</v>
      </c>
      <c r="P15577" s="46">
        <v>32400.0</v>
      </c>
    </row>
    <row r="15578">
      <c r="A15578" s="40">
        <f t="shared" si="1"/>
        <v>46013</v>
      </c>
      <c r="B15578" s="37" t="str">
        <f t="array" ref="B15578">iferror(xlookup($I15578, 'IMPORT VHC Report'!$E:$E, 'IMPORT VHC Report'!$A:$C), )</f>
        <v/>
      </c>
      <c r="C15578" s="44"/>
      <c r="D15578" s="44"/>
      <c r="E15578" s="46" t="s">
        <v>11741</v>
      </c>
      <c r="F15578" s="46" t="s">
        <v>947</v>
      </c>
      <c r="G15578" s="46">
        <v>3.61744117796E11</v>
      </c>
      <c r="H15578" s="46" t="s">
        <v>948</v>
      </c>
      <c r="I15578" s="46" t="s">
        <v>949</v>
      </c>
      <c r="J15578" s="46" t="s">
        <v>136</v>
      </c>
      <c r="K15578" s="46" t="s">
        <v>126</v>
      </c>
      <c r="L15578" s="45">
        <v>46016.041666666664</v>
      </c>
      <c r="M15578" s="46" t="s">
        <v>123</v>
      </c>
      <c r="N15578" s="45">
        <v>46016.083333333336</v>
      </c>
      <c r="O15578" s="46" t="s">
        <v>123</v>
      </c>
      <c r="P15578" s="46">
        <v>3600.0</v>
      </c>
      <c r="S15578" s="46" t="s">
        <v>137</v>
      </c>
    </row>
    <row r="15579">
      <c r="A15579" s="40">
        <f t="shared" si="1"/>
        <v>46013</v>
      </c>
      <c r="B15579" s="37" t="str">
        <f t="array" ref="B15579">iferror(xlookup($I15579, 'IMPORT VHC Report'!$E:$E, 'IMPORT VHC Report'!$A:$C), )</f>
        <v/>
      </c>
      <c r="C15579" s="44"/>
      <c r="D15579" s="44"/>
      <c r="E15579" s="46" t="s">
        <v>11742</v>
      </c>
      <c r="F15579" s="46" t="s">
        <v>947</v>
      </c>
      <c r="G15579" s="46">
        <v>3.61744117796E11</v>
      </c>
      <c r="H15579" s="46" t="s">
        <v>948</v>
      </c>
      <c r="I15579" s="46" t="s">
        <v>949</v>
      </c>
      <c r="J15579" s="46" t="s">
        <v>134</v>
      </c>
      <c r="K15579" s="46" t="s">
        <v>126</v>
      </c>
      <c r="L15579" s="45">
        <v>46016.083333333336</v>
      </c>
      <c r="M15579" s="46" t="s">
        <v>123</v>
      </c>
      <c r="N15579" s="45">
        <v>46016.104166666664</v>
      </c>
      <c r="O15579" s="46" t="s">
        <v>123</v>
      </c>
      <c r="P15579" s="46">
        <v>1800.0</v>
      </c>
    </row>
    <row r="15580">
      <c r="A15580" s="40">
        <f t="shared" si="1"/>
        <v>46013</v>
      </c>
      <c r="B15580" s="37" t="str">
        <f t="array" ref="B15580">iferror(xlookup($I15580, 'IMPORT VHC Report'!$E:$E, 'IMPORT VHC Report'!$A:$C), )</f>
        <v/>
      </c>
      <c r="C15580" s="44"/>
      <c r="D15580" s="44"/>
      <c r="E15580" s="46" t="s">
        <v>11743</v>
      </c>
      <c r="F15580" s="46" t="s">
        <v>947</v>
      </c>
      <c r="G15580" s="46">
        <v>3.61744117796E11</v>
      </c>
      <c r="H15580" s="46" t="s">
        <v>948</v>
      </c>
      <c r="I15580" s="46" t="s">
        <v>949</v>
      </c>
      <c r="J15580" s="46" t="s">
        <v>132</v>
      </c>
      <c r="K15580" s="46" t="s">
        <v>126</v>
      </c>
      <c r="L15580" s="45">
        <v>46016.208333333336</v>
      </c>
      <c r="M15580" s="46" t="s">
        <v>123</v>
      </c>
      <c r="N15580" s="45">
        <v>46016.25</v>
      </c>
      <c r="O15580" s="46" t="s">
        <v>123</v>
      </c>
      <c r="P15580" s="46">
        <v>3600.0</v>
      </c>
    </row>
    <row r="15581">
      <c r="A15581" s="40">
        <f t="shared" si="1"/>
        <v>46013</v>
      </c>
      <c r="B15581" s="37" t="str">
        <f t="array" ref="B15581">iferror(xlookup($I15581, 'IMPORT VHC Report'!$E:$E, 'IMPORT VHC Report'!$A:$C), )</f>
        <v/>
      </c>
      <c r="C15581" s="44"/>
      <c r="D15581" s="44"/>
      <c r="E15581" s="46" t="s">
        <v>11744</v>
      </c>
      <c r="F15581" s="46" t="s">
        <v>947</v>
      </c>
      <c r="G15581" s="46">
        <v>3.61744117796E11</v>
      </c>
      <c r="H15581" s="46" t="s">
        <v>948</v>
      </c>
      <c r="I15581" s="46" t="s">
        <v>949</v>
      </c>
      <c r="J15581" s="46" t="s">
        <v>330</v>
      </c>
      <c r="K15581" s="46" t="s">
        <v>126</v>
      </c>
      <c r="L15581" s="45">
        <v>46018.958333333336</v>
      </c>
      <c r="M15581" s="46" t="s">
        <v>123</v>
      </c>
      <c r="N15581" s="45">
        <v>46018.96527777778</v>
      </c>
      <c r="O15581" s="46" t="s">
        <v>123</v>
      </c>
      <c r="P15581" s="46">
        <v>600.0</v>
      </c>
    </row>
    <row r="15582">
      <c r="A15582" s="40">
        <f t="shared" si="1"/>
        <v>46013</v>
      </c>
      <c r="B15582" s="37" t="str">
        <f t="array" ref="B15582">iferror(xlookup($I15582, 'IMPORT VHC Report'!$E:$E, 'IMPORT VHC Report'!$A:$C), )</f>
        <v/>
      </c>
      <c r="C15582" s="44"/>
      <c r="D15582" s="44"/>
      <c r="E15582" s="46" t="s">
        <v>11745</v>
      </c>
      <c r="F15582" s="46" t="s">
        <v>947</v>
      </c>
      <c r="G15582" s="46">
        <v>3.61744117796E11</v>
      </c>
      <c r="H15582" s="46" t="s">
        <v>948</v>
      </c>
      <c r="I15582" s="46" t="s">
        <v>949</v>
      </c>
      <c r="J15582" s="46" t="s">
        <v>332</v>
      </c>
      <c r="K15582" s="46" t="s">
        <v>63</v>
      </c>
      <c r="L15582" s="45">
        <v>46018.958333333336</v>
      </c>
      <c r="M15582" s="46" t="s">
        <v>123</v>
      </c>
      <c r="N15582" s="45">
        <v>46019.333333333336</v>
      </c>
      <c r="O15582" s="46" t="s">
        <v>123</v>
      </c>
      <c r="P15582" s="46">
        <v>32400.0</v>
      </c>
    </row>
    <row r="15583">
      <c r="A15583" s="40">
        <f t="shared" si="1"/>
        <v>46013</v>
      </c>
      <c r="B15583" s="37" t="str">
        <f t="array" ref="B15583">iferror(xlookup($I15583, 'IMPORT VHC Report'!$E:$E, 'IMPORT VHC Report'!$A:$C), )</f>
        <v/>
      </c>
      <c r="C15583" s="44"/>
      <c r="D15583" s="44"/>
      <c r="E15583" s="46" t="s">
        <v>11746</v>
      </c>
      <c r="F15583" s="46" t="s">
        <v>947</v>
      </c>
      <c r="G15583" s="46">
        <v>3.61744117796E11</v>
      </c>
      <c r="H15583" s="46" t="s">
        <v>948</v>
      </c>
      <c r="I15583" s="46" t="s">
        <v>949</v>
      </c>
      <c r="J15583" s="46" t="s">
        <v>134</v>
      </c>
      <c r="K15583" s="46" t="s">
        <v>126</v>
      </c>
      <c r="L15583" s="45">
        <v>46019.072916666664</v>
      </c>
      <c r="M15583" s="46" t="s">
        <v>123</v>
      </c>
      <c r="N15583" s="45">
        <v>46019.09375</v>
      </c>
      <c r="O15583" s="46" t="s">
        <v>123</v>
      </c>
      <c r="P15583" s="46">
        <v>1800.0</v>
      </c>
    </row>
    <row r="15584">
      <c r="A15584" s="40">
        <f t="shared" si="1"/>
        <v>46013</v>
      </c>
      <c r="B15584" s="37" t="str">
        <f t="array" ref="B15584">iferror(xlookup($I15584, 'IMPORT VHC Report'!$E:$E, 'IMPORT VHC Report'!$A:$C), )</f>
        <v/>
      </c>
      <c r="C15584" s="44"/>
      <c r="D15584" s="44"/>
      <c r="E15584" s="46" t="s">
        <v>11747</v>
      </c>
      <c r="F15584" s="46" t="s">
        <v>947</v>
      </c>
      <c r="G15584" s="46">
        <v>3.61744117796E11</v>
      </c>
      <c r="H15584" s="46" t="s">
        <v>948</v>
      </c>
      <c r="I15584" s="46" t="s">
        <v>949</v>
      </c>
      <c r="J15584" s="46" t="s">
        <v>132</v>
      </c>
      <c r="K15584" s="46" t="s">
        <v>126</v>
      </c>
      <c r="L15584" s="45">
        <v>46019.1875</v>
      </c>
      <c r="M15584" s="46" t="s">
        <v>123</v>
      </c>
      <c r="N15584" s="45">
        <v>46019.229166666664</v>
      </c>
      <c r="O15584" s="46" t="s">
        <v>123</v>
      </c>
      <c r="P15584" s="46">
        <v>3600.0</v>
      </c>
    </row>
    <row r="15585">
      <c r="A15585" s="40">
        <f t="shared" si="1"/>
        <v>46013</v>
      </c>
      <c r="B15585" s="37" t="str">
        <f t="array" ref="B15585">iferror(xlookup($I15585, 'IMPORT VHC Report'!$E:$E, 'IMPORT VHC Report'!$A:$C), )</f>
        <v/>
      </c>
      <c r="C15585" s="44"/>
      <c r="D15585" s="44"/>
      <c r="E15585" s="46" t="s">
        <v>11748</v>
      </c>
      <c r="F15585" s="46" t="s">
        <v>947</v>
      </c>
      <c r="G15585" s="46">
        <v>3.61744117796E11</v>
      </c>
      <c r="H15585" s="46" t="s">
        <v>948</v>
      </c>
      <c r="I15585" s="46" t="s">
        <v>949</v>
      </c>
      <c r="J15585" s="46" t="s">
        <v>330</v>
      </c>
      <c r="K15585" s="46" t="s">
        <v>126</v>
      </c>
      <c r="L15585" s="45">
        <v>46019.958333333336</v>
      </c>
      <c r="M15585" s="46" t="s">
        <v>123</v>
      </c>
      <c r="N15585" s="45">
        <v>46019.96527777778</v>
      </c>
      <c r="O15585" s="46" t="s">
        <v>123</v>
      </c>
      <c r="P15585" s="46">
        <v>600.0</v>
      </c>
    </row>
    <row r="15586">
      <c r="A15586" s="40">
        <f t="shared" si="1"/>
        <v>46013</v>
      </c>
      <c r="B15586" s="37" t="str">
        <f t="array" ref="B15586">iferror(xlookup($I15586, 'IMPORT VHC Report'!$E:$E, 'IMPORT VHC Report'!$A:$C), )</f>
        <v/>
      </c>
      <c r="C15586" s="44"/>
      <c r="D15586" s="44"/>
      <c r="E15586" s="46" t="s">
        <v>11749</v>
      </c>
      <c r="F15586" s="46" t="s">
        <v>947</v>
      </c>
      <c r="G15586" s="46">
        <v>3.61744117796E11</v>
      </c>
      <c r="H15586" s="46" t="s">
        <v>948</v>
      </c>
      <c r="I15586" s="46" t="s">
        <v>949</v>
      </c>
      <c r="J15586" s="46" t="s">
        <v>332</v>
      </c>
      <c r="K15586" s="46" t="s">
        <v>63</v>
      </c>
      <c r="L15586" s="45">
        <v>46019.958333333336</v>
      </c>
      <c r="M15586" s="46" t="s">
        <v>123</v>
      </c>
      <c r="N15586" s="45">
        <v>46020.333333333336</v>
      </c>
      <c r="O15586" s="46" t="s">
        <v>123</v>
      </c>
      <c r="P15586" s="46">
        <v>32400.0</v>
      </c>
    </row>
    <row r="15587">
      <c r="A15587" s="40">
        <f t="shared" si="1"/>
        <v>46006</v>
      </c>
      <c r="B15587" s="37" t="str">
        <f t="array" ref="B15587">iferror(xlookup($I15587, 'IMPORT VHC Report'!$E:$E, 'IMPORT VHC Report'!$A:$C), )</f>
        <v/>
      </c>
      <c r="C15587" s="44"/>
      <c r="D15587" s="44"/>
      <c r="E15587" s="46" t="s">
        <v>1042</v>
      </c>
      <c r="F15587" s="46" t="s">
        <v>1005</v>
      </c>
      <c r="G15587" s="46">
        <v>5.902016026895E12</v>
      </c>
      <c r="H15587" s="46" t="s">
        <v>1006</v>
      </c>
      <c r="I15587" s="46" t="s">
        <v>1007</v>
      </c>
      <c r="J15587" s="46" t="s">
        <v>332</v>
      </c>
      <c r="K15587" s="46" t="s">
        <v>63</v>
      </c>
      <c r="L15587" s="45">
        <v>46012.979166666664</v>
      </c>
      <c r="M15587" s="46" t="s">
        <v>123</v>
      </c>
      <c r="N15587" s="45">
        <v>46013.25</v>
      </c>
      <c r="O15587" s="46" t="s">
        <v>123</v>
      </c>
      <c r="P15587" s="46">
        <v>23400.0</v>
      </c>
    </row>
    <row r="15588">
      <c r="A15588" s="40">
        <f t="shared" si="1"/>
        <v>46013</v>
      </c>
      <c r="B15588" s="37" t="str">
        <f t="array" ref="B15588">iferror(xlookup($I15588, 'IMPORT VHC Report'!$E:$E, 'IMPORT VHC Report'!$A:$C), )</f>
        <v/>
      </c>
      <c r="C15588" s="44"/>
      <c r="D15588" s="44"/>
      <c r="E15588" s="46" t="s">
        <v>11750</v>
      </c>
      <c r="F15588" s="46" t="s">
        <v>1005</v>
      </c>
      <c r="G15588" s="46">
        <v>5.902016026895E12</v>
      </c>
      <c r="H15588" s="46" t="s">
        <v>1006</v>
      </c>
      <c r="I15588" s="46" t="s">
        <v>1007</v>
      </c>
      <c r="J15588" s="46" t="s">
        <v>132</v>
      </c>
      <c r="K15588" s="46" t="s">
        <v>126</v>
      </c>
      <c r="L15588" s="45">
        <v>46013.09375</v>
      </c>
      <c r="M15588" s="46" t="s">
        <v>123</v>
      </c>
      <c r="N15588" s="45">
        <v>46013.135416666664</v>
      </c>
      <c r="O15588" s="46" t="s">
        <v>123</v>
      </c>
      <c r="P15588" s="46">
        <v>3600.0</v>
      </c>
    </row>
    <row r="15589">
      <c r="A15589" s="40">
        <f t="shared" si="1"/>
        <v>46013</v>
      </c>
      <c r="B15589" s="37" t="str">
        <f t="array" ref="B15589">iferror(xlookup($I15589, 'IMPORT VHC Report'!$E:$E, 'IMPORT VHC Report'!$A:$C), )</f>
        <v/>
      </c>
      <c r="C15589" s="44"/>
      <c r="D15589" s="44"/>
      <c r="E15589" s="46" t="s">
        <v>11751</v>
      </c>
      <c r="F15589" s="46" t="s">
        <v>1005</v>
      </c>
      <c r="G15589" s="46">
        <v>5.902016026895E12</v>
      </c>
      <c r="H15589" s="46" t="s">
        <v>1006</v>
      </c>
      <c r="I15589" s="46" t="s">
        <v>1007</v>
      </c>
      <c r="J15589" s="46" t="s">
        <v>330</v>
      </c>
      <c r="K15589" s="46" t="s">
        <v>126</v>
      </c>
      <c r="L15589" s="45">
        <v>46015.875</v>
      </c>
      <c r="M15589" s="46" t="s">
        <v>123</v>
      </c>
      <c r="N15589" s="45">
        <v>46015.881944444445</v>
      </c>
      <c r="O15589" s="46" t="s">
        <v>123</v>
      </c>
      <c r="P15589" s="46">
        <v>600.0</v>
      </c>
    </row>
    <row r="15590">
      <c r="A15590" s="40">
        <f t="shared" si="1"/>
        <v>46013</v>
      </c>
      <c r="B15590" s="37" t="str">
        <f t="array" ref="B15590">iferror(xlookup($I15590, 'IMPORT VHC Report'!$E:$E, 'IMPORT VHC Report'!$A:$C), )</f>
        <v/>
      </c>
      <c r="C15590" s="44"/>
      <c r="D15590" s="44"/>
      <c r="E15590" s="46" t="s">
        <v>11752</v>
      </c>
      <c r="F15590" s="46" t="s">
        <v>1005</v>
      </c>
      <c r="G15590" s="46">
        <v>5.902016026895E12</v>
      </c>
      <c r="H15590" s="46" t="s">
        <v>1006</v>
      </c>
      <c r="I15590" s="46" t="s">
        <v>1007</v>
      </c>
      <c r="J15590" s="46" t="s">
        <v>332</v>
      </c>
      <c r="K15590" s="46" t="s">
        <v>63</v>
      </c>
      <c r="L15590" s="45">
        <v>46015.875</v>
      </c>
      <c r="M15590" s="46" t="s">
        <v>123</v>
      </c>
      <c r="N15590" s="45">
        <v>46016.25</v>
      </c>
      <c r="O15590" s="46" t="s">
        <v>123</v>
      </c>
      <c r="P15590" s="46">
        <v>32400.0</v>
      </c>
    </row>
    <row r="15591">
      <c r="A15591" s="40">
        <f t="shared" si="1"/>
        <v>46013</v>
      </c>
      <c r="B15591" s="37" t="str">
        <f t="array" ref="B15591">iferror(xlookup($I15591, 'IMPORT VHC Report'!$E:$E, 'IMPORT VHC Report'!$A:$C), )</f>
        <v/>
      </c>
      <c r="C15591" s="44"/>
      <c r="D15591" s="44"/>
      <c r="E15591" s="46" t="s">
        <v>11753</v>
      </c>
      <c r="F15591" s="46" t="s">
        <v>1005</v>
      </c>
      <c r="G15591" s="46">
        <v>5.902016026895E12</v>
      </c>
      <c r="H15591" s="46" t="s">
        <v>1006</v>
      </c>
      <c r="I15591" s="46" t="s">
        <v>1007</v>
      </c>
      <c r="J15591" s="46" t="s">
        <v>136</v>
      </c>
      <c r="K15591" s="46" t="s">
        <v>126</v>
      </c>
      <c r="L15591" s="45">
        <v>46015.993055555555</v>
      </c>
      <c r="M15591" s="46" t="s">
        <v>123</v>
      </c>
      <c r="N15591" s="45">
        <v>46016.03472222222</v>
      </c>
      <c r="O15591" s="46" t="s">
        <v>123</v>
      </c>
      <c r="P15591" s="46">
        <v>3600.0</v>
      </c>
      <c r="S15591" s="46" t="s">
        <v>4171</v>
      </c>
    </row>
    <row r="15592">
      <c r="A15592" s="40">
        <f t="shared" si="1"/>
        <v>46013</v>
      </c>
      <c r="B15592" s="37" t="str">
        <f t="array" ref="B15592">iferror(xlookup($I15592, 'IMPORT VHC Report'!$E:$E, 'IMPORT VHC Report'!$A:$C), )</f>
        <v/>
      </c>
      <c r="C15592" s="44"/>
      <c r="D15592" s="44"/>
      <c r="E15592" s="46" t="s">
        <v>11754</v>
      </c>
      <c r="F15592" s="46" t="s">
        <v>1005</v>
      </c>
      <c r="G15592" s="46">
        <v>5.902016026895E12</v>
      </c>
      <c r="H15592" s="46" t="s">
        <v>1006</v>
      </c>
      <c r="I15592" s="46" t="s">
        <v>1007</v>
      </c>
      <c r="J15592" s="46" t="s">
        <v>132</v>
      </c>
      <c r="K15592" s="46" t="s">
        <v>126</v>
      </c>
      <c r="L15592" s="45">
        <v>46016.03472222222</v>
      </c>
      <c r="M15592" s="46" t="s">
        <v>123</v>
      </c>
      <c r="N15592" s="45">
        <v>46016.07638888889</v>
      </c>
      <c r="O15592" s="46" t="s">
        <v>123</v>
      </c>
      <c r="P15592" s="46">
        <v>3600.0</v>
      </c>
    </row>
    <row r="15593">
      <c r="A15593" s="40">
        <f t="shared" si="1"/>
        <v>46013</v>
      </c>
      <c r="B15593" s="37" t="str">
        <f t="array" ref="B15593">iferror(xlookup($I15593, 'IMPORT VHC Report'!$E:$E, 'IMPORT VHC Report'!$A:$C), )</f>
        <v/>
      </c>
      <c r="C15593" s="44"/>
      <c r="D15593" s="44"/>
      <c r="E15593" s="46" t="s">
        <v>11755</v>
      </c>
      <c r="F15593" s="46" t="s">
        <v>1005</v>
      </c>
      <c r="G15593" s="46">
        <v>5.902016026895E12</v>
      </c>
      <c r="H15593" s="46" t="s">
        <v>1006</v>
      </c>
      <c r="I15593" s="46" t="s">
        <v>1007</v>
      </c>
      <c r="J15593" s="46" t="s">
        <v>125</v>
      </c>
      <c r="K15593" s="46" t="s">
        <v>126</v>
      </c>
      <c r="L15593" s="45">
        <v>46016.125</v>
      </c>
      <c r="M15593" s="46" t="s">
        <v>123</v>
      </c>
      <c r="N15593" s="45">
        <v>46016.129166666666</v>
      </c>
      <c r="O15593" s="46" t="s">
        <v>123</v>
      </c>
      <c r="P15593" s="46">
        <v>360.0</v>
      </c>
      <c r="S15593" s="46" t="s">
        <v>11756</v>
      </c>
    </row>
    <row r="15594">
      <c r="A15594" s="40">
        <f t="shared" si="1"/>
        <v>46013</v>
      </c>
      <c r="B15594" s="37" t="str">
        <f t="array" ref="B15594">iferror(xlookup($I15594, 'IMPORT VHC Report'!$E:$E, 'IMPORT VHC Report'!$A:$C), )</f>
        <v/>
      </c>
      <c r="C15594" s="44"/>
      <c r="D15594" s="44"/>
      <c r="E15594" s="46" t="s">
        <v>11757</v>
      </c>
      <c r="F15594" s="46" t="s">
        <v>1005</v>
      </c>
      <c r="G15594" s="46">
        <v>5.902016026895E12</v>
      </c>
      <c r="H15594" s="46" t="s">
        <v>1006</v>
      </c>
      <c r="I15594" s="46" t="s">
        <v>1007</v>
      </c>
      <c r="J15594" s="46" t="s">
        <v>134</v>
      </c>
      <c r="K15594" s="46" t="s">
        <v>126</v>
      </c>
      <c r="L15594" s="45">
        <v>46016.1875</v>
      </c>
      <c r="M15594" s="46" t="s">
        <v>123</v>
      </c>
      <c r="N15594" s="45">
        <v>46016.208333333336</v>
      </c>
      <c r="O15594" s="46" t="s">
        <v>123</v>
      </c>
      <c r="P15594" s="46">
        <v>1800.0</v>
      </c>
    </row>
    <row r="15595">
      <c r="A15595" s="40">
        <f t="shared" si="1"/>
        <v>46013</v>
      </c>
      <c r="B15595" s="37" t="str">
        <f t="array" ref="B15595">iferror(xlookup($I15595, 'IMPORT VHC Report'!$E:$E, 'IMPORT VHC Report'!$A:$C), )</f>
        <v/>
      </c>
      <c r="C15595" s="44"/>
      <c r="D15595" s="44"/>
      <c r="E15595" s="46" t="s">
        <v>11758</v>
      </c>
      <c r="F15595" s="46" t="s">
        <v>1005</v>
      </c>
      <c r="G15595" s="46">
        <v>5.902016026895E12</v>
      </c>
      <c r="H15595" s="46" t="s">
        <v>1006</v>
      </c>
      <c r="I15595" s="46" t="s">
        <v>1007</v>
      </c>
      <c r="J15595" s="46" t="s">
        <v>330</v>
      </c>
      <c r="K15595" s="46" t="s">
        <v>126</v>
      </c>
      <c r="L15595" s="45">
        <v>46016.875</v>
      </c>
      <c r="M15595" s="46" t="s">
        <v>123</v>
      </c>
      <c r="N15595" s="45">
        <v>46016.881944444445</v>
      </c>
      <c r="O15595" s="46" t="s">
        <v>123</v>
      </c>
      <c r="P15595" s="46">
        <v>600.0</v>
      </c>
    </row>
    <row r="15596">
      <c r="A15596" s="40">
        <f t="shared" si="1"/>
        <v>46013</v>
      </c>
      <c r="B15596" s="37" t="str">
        <f t="array" ref="B15596">iferror(xlookup($I15596, 'IMPORT VHC Report'!$E:$E, 'IMPORT VHC Report'!$A:$C), )</f>
        <v/>
      </c>
      <c r="C15596" s="44"/>
      <c r="D15596" s="44"/>
      <c r="E15596" s="46" t="s">
        <v>11759</v>
      </c>
      <c r="F15596" s="46" t="s">
        <v>1005</v>
      </c>
      <c r="G15596" s="46">
        <v>5.902016026895E12</v>
      </c>
      <c r="H15596" s="46" t="s">
        <v>1006</v>
      </c>
      <c r="I15596" s="46" t="s">
        <v>1007</v>
      </c>
      <c r="J15596" s="46" t="s">
        <v>332</v>
      </c>
      <c r="K15596" s="46" t="s">
        <v>63</v>
      </c>
      <c r="L15596" s="45">
        <v>46016.875</v>
      </c>
      <c r="M15596" s="46" t="s">
        <v>123</v>
      </c>
      <c r="N15596" s="45">
        <v>46017.25</v>
      </c>
      <c r="O15596" s="46" t="s">
        <v>123</v>
      </c>
      <c r="P15596" s="46">
        <v>32400.0</v>
      </c>
    </row>
    <row r="15597">
      <c r="A15597" s="40">
        <f t="shared" si="1"/>
        <v>46013</v>
      </c>
      <c r="B15597" s="37" t="str">
        <f t="array" ref="B15597">iferror(xlookup($I15597, 'IMPORT VHC Report'!$E:$E, 'IMPORT VHC Report'!$A:$C), )</f>
        <v/>
      </c>
      <c r="C15597" s="44"/>
      <c r="D15597" s="44"/>
      <c r="E15597" s="46" t="s">
        <v>11760</v>
      </c>
      <c r="F15597" s="46" t="s">
        <v>1005</v>
      </c>
      <c r="G15597" s="46">
        <v>5.902016026895E12</v>
      </c>
      <c r="H15597" s="46" t="s">
        <v>1006</v>
      </c>
      <c r="I15597" s="46" t="s">
        <v>1007</v>
      </c>
      <c r="J15597" s="46" t="s">
        <v>134</v>
      </c>
      <c r="K15597" s="46" t="s">
        <v>126</v>
      </c>
      <c r="L15597" s="45">
        <v>46017.0</v>
      </c>
      <c r="M15597" s="46" t="s">
        <v>123</v>
      </c>
      <c r="N15597" s="45">
        <v>46017.020833333336</v>
      </c>
      <c r="O15597" s="46" t="s">
        <v>123</v>
      </c>
      <c r="P15597" s="46">
        <v>1800.0</v>
      </c>
    </row>
    <row r="15598">
      <c r="A15598" s="40">
        <f t="shared" si="1"/>
        <v>46013</v>
      </c>
      <c r="B15598" s="37" t="str">
        <f t="array" ref="B15598">iferror(xlookup($I15598, 'IMPORT VHC Report'!$E:$E, 'IMPORT VHC Report'!$A:$C), )</f>
        <v/>
      </c>
      <c r="C15598" s="44"/>
      <c r="D15598" s="44"/>
      <c r="E15598" s="46" t="s">
        <v>11761</v>
      </c>
      <c r="F15598" s="46" t="s">
        <v>1005</v>
      </c>
      <c r="G15598" s="46">
        <v>5.902016026895E12</v>
      </c>
      <c r="H15598" s="46" t="s">
        <v>1006</v>
      </c>
      <c r="I15598" s="46" t="s">
        <v>1007</v>
      </c>
      <c r="J15598" s="46" t="s">
        <v>132</v>
      </c>
      <c r="K15598" s="46" t="s">
        <v>126</v>
      </c>
      <c r="L15598" s="45">
        <v>46017.104166666664</v>
      </c>
      <c r="M15598" s="46" t="s">
        <v>123</v>
      </c>
      <c r="N15598" s="45">
        <v>46017.145833333336</v>
      </c>
      <c r="O15598" s="46" t="s">
        <v>123</v>
      </c>
      <c r="P15598" s="46">
        <v>3600.0</v>
      </c>
    </row>
    <row r="15599">
      <c r="A15599" s="40">
        <f t="shared" si="1"/>
        <v>46013</v>
      </c>
      <c r="B15599" s="37" t="str">
        <f t="array" ref="B15599">iferror(xlookup($I15599, 'IMPORT VHC Report'!$E:$E, 'IMPORT VHC Report'!$A:$C), )</f>
        <v/>
      </c>
      <c r="C15599" s="44"/>
      <c r="D15599" s="44"/>
      <c r="E15599" s="46" t="s">
        <v>11762</v>
      </c>
      <c r="F15599" s="46" t="s">
        <v>1005</v>
      </c>
      <c r="G15599" s="46">
        <v>5.902016026895E12</v>
      </c>
      <c r="H15599" s="46" t="s">
        <v>1006</v>
      </c>
      <c r="I15599" s="46" t="s">
        <v>1007</v>
      </c>
      <c r="J15599" s="46" t="s">
        <v>330</v>
      </c>
      <c r="K15599" s="46" t="s">
        <v>126</v>
      </c>
      <c r="L15599" s="45">
        <v>46017.875</v>
      </c>
      <c r="M15599" s="46" t="s">
        <v>123</v>
      </c>
      <c r="N15599" s="45">
        <v>46017.881944444445</v>
      </c>
      <c r="O15599" s="46" t="s">
        <v>123</v>
      </c>
      <c r="P15599" s="46">
        <v>600.0</v>
      </c>
    </row>
    <row r="15600">
      <c r="A15600" s="40">
        <f t="shared" si="1"/>
        <v>46013</v>
      </c>
      <c r="B15600" s="37" t="str">
        <f t="array" ref="B15600">iferror(xlookup($I15600, 'IMPORT VHC Report'!$E:$E, 'IMPORT VHC Report'!$A:$C), )</f>
        <v/>
      </c>
      <c r="C15600" s="44"/>
      <c r="D15600" s="44"/>
      <c r="E15600" s="46" t="s">
        <v>11763</v>
      </c>
      <c r="F15600" s="46" t="s">
        <v>1005</v>
      </c>
      <c r="G15600" s="46">
        <v>5.902016026895E12</v>
      </c>
      <c r="H15600" s="46" t="s">
        <v>1006</v>
      </c>
      <c r="I15600" s="46" t="s">
        <v>1007</v>
      </c>
      <c r="J15600" s="46" t="s">
        <v>332</v>
      </c>
      <c r="K15600" s="46" t="s">
        <v>63</v>
      </c>
      <c r="L15600" s="45">
        <v>46017.875</v>
      </c>
      <c r="M15600" s="46" t="s">
        <v>123</v>
      </c>
      <c r="N15600" s="45">
        <v>46018.25</v>
      </c>
      <c r="O15600" s="46" t="s">
        <v>123</v>
      </c>
      <c r="P15600" s="46">
        <v>32400.0</v>
      </c>
    </row>
    <row r="15601">
      <c r="A15601" s="40">
        <f t="shared" si="1"/>
        <v>46013</v>
      </c>
      <c r="B15601" s="37" t="str">
        <f t="array" ref="B15601">iferror(xlookup($I15601, 'IMPORT VHC Report'!$E:$E, 'IMPORT VHC Report'!$A:$C), )</f>
        <v/>
      </c>
      <c r="C15601" s="44"/>
      <c r="D15601" s="44"/>
      <c r="E15601" s="46" t="s">
        <v>11764</v>
      </c>
      <c r="F15601" s="46" t="s">
        <v>1005</v>
      </c>
      <c r="G15601" s="46">
        <v>5.902016026895E12</v>
      </c>
      <c r="H15601" s="46" t="s">
        <v>1006</v>
      </c>
      <c r="I15601" s="46" t="s">
        <v>1007</v>
      </c>
      <c r="J15601" s="46" t="s">
        <v>134</v>
      </c>
      <c r="K15601" s="46" t="s">
        <v>126</v>
      </c>
      <c r="L15601" s="45">
        <v>46017.989583333336</v>
      </c>
      <c r="M15601" s="46" t="s">
        <v>123</v>
      </c>
      <c r="N15601" s="45">
        <v>46018.010416666664</v>
      </c>
      <c r="O15601" s="46" t="s">
        <v>123</v>
      </c>
      <c r="P15601" s="46">
        <v>1800.0</v>
      </c>
      <c r="S15601" s="46" t="s">
        <v>11765</v>
      </c>
    </row>
    <row r="15602">
      <c r="A15602" s="40">
        <f t="shared" si="1"/>
        <v>46013</v>
      </c>
      <c r="B15602" s="37" t="str">
        <f t="array" ref="B15602">iferror(xlookup($I15602, 'IMPORT VHC Report'!$E:$E, 'IMPORT VHC Report'!$A:$C), )</f>
        <v/>
      </c>
      <c r="C15602" s="44"/>
      <c r="D15602" s="44"/>
      <c r="E15602" s="46" t="s">
        <v>11766</v>
      </c>
      <c r="F15602" s="46" t="s">
        <v>1005</v>
      </c>
      <c r="G15602" s="46">
        <v>5.902016026895E12</v>
      </c>
      <c r="H15602" s="46" t="s">
        <v>1006</v>
      </c>
      <c r="I15602" s="46" t="s">
        <v>1007</v>
      </c>
      <c r="J15602" s="46" t="s">
        <v>132</v>
      </c>
      <c r="K15602" s="46" t="s">
        <v>126</v>
      </c>
      <c r="L15602" s="45">
        <v>46018.104166666664</v>
      </c>
      <c r="M15602" s="46" t="s">
        <v>123</v>
      </c>
      <c r="N15602" s="45">
        <v>46018.145833333336</v>
      </c>
      <c r="O15602" s="46" t="s">
        <v>123</v>
      </c>
      <c r="P15602" s="46">
        <v>3600.0</v>
      </c>
    </row>
    <row r="15603">
      <c r="A15603" s="40">
        <f t="shared" si="1"/>
        <v>46013</v>
      </c>
      <c r="B15603" s="37" t="str">
        <f t="array" ref="B15603">iferror(xlookup($I15603, 'IMPORT VHC Report'!$E:$E, 'IMPORT VHC Report'!$A:$C), )</f>
        <v/>
      </c>
      <c r="C15603" s="44"/>
      <c r="D15603" s="44"/>
      <c r="E15603" s="46" t="s">
        <v>11767</v>
      </c>
      <c r="F15603" s="46" t="s">
        <v>1005</v>
      </c>
      <c r="G15603" s="46">
        <v>5.902016026895E12</v>
      </c>
      <c r="H15603" s="46" t="s">
        <v>1006</v>
      </c>
      <c r="I15603" s="46" t="s">
        <v>1007</v>
      </c>
      <c r="J15603" s="46" t="s">
        <v>330</v>
      </c>
      <c r="K15603" s="46" t="s">
        <v>126</v>
      </c>
      <c r="L15603" s="45">
        <v>46018.875</v>
      </c>
      <c r="M15603" s="46" t="s">
        <v>123</v>
      </c>
      <c r="N15603" s="45">
        <v>46018.881944444445</v>
      </c>
      <c r="O15603" s="46" t="s">
        <v>123</v>
      </c>
      <c r="P15603" s="46">
        <v>600.0</v>
      </c>
    </row>
    <row r="15604">
      <c r="A15604" s="40">
        <f t="shared" si="1"/>
        <v>46013</v>
      </c>
      <c r="B15604" s="37" t="str">
        <f t="array" ref="B15604">iferror(xlookup($I15604, 'IMPORT VHC Report'!$E:$E, 'IMPORT VHC Report'!$A:$C), )</f>
        <v/>
      </c>
      <c r="C15604" s="44"/>
      <c r="D15604" s="44"/>
      <c r="E15604" s="46" t="s">
        <v>11768</v>
      </c>
      <c r="F15604" s="46" t="s">
        <v>1005</v>
      </c>
      <c r="G15604" s="46">
        <v>5.902016026895E12</v>
      </c>
      <c r="H15604" s="46" t="s">
        <v>1006</v>
      </c>
      <c r="I15604" s="46" t="s">
        <v>1007</v>
      </c>
      <c r="J15604" s="46" t="s">
        <v>332</v>
      </c>
      <c r="K15604" s="46" t="s">
        <v>63</v>
      </c>
      <c r="L15604" s="45">
        <v>46018.875</v>
      </c>
      <c r="M15604" s="46" t="s">
        <v>123</v>
      </c>
      <c r="N15604" s="45">
        <v>46019.25</v>
      </c>
      <c r="O15604" s="46" t="s">
        <v>123</v>
      </c>
      <c r="P15604" s="46">
        <v>32400.0</v>
      </c>
    </row>
    <row r="15605">
      <c r="A15605" s="40">
        <f t="shared" si="1"/>
        <v>46013</v>
      </c>
      <c r="B15605" s="37" t="str">
        <f t="array" ref="B15605">iferror(xlookup($I15605, 'IMPORT VHC Report'!$E:$E, 'IMPORT VHC Report'!$A:$C), )</f>
        <v/>
      </c>
      <c r="C15605" s="44"/>
      <c r="D15605" s="44"/>
      <c r="E15605" s="46" t="s">
        <v>11769</v>
      </c>
      <c r="F15605" s="46" t="s">
        <v>1005</v>
      </c>
      <c r="G15605" s="46">
        <v>5.902016026895E12</v>
      </c>
      <c r="H15605" s="46" t="s">
        <v>1006</v>
      </c>
      <c r="I15605" s="46" t="s">
        <v>1007</v>
      </c>
      <c r="J15605" s="46" t="s">
        <v>132</v>
      </c>
      <c r="K15605" s="46" t="s">
        <v>126</v>
      </c>
      <c r="L15605" s="45">
        <v>46018.989583333336</v>
      </c>
      <c r="M15605" s="46" t="s">
        <v>123</v>
      </c>
      <c r="N15605" s="45">
        <v>46019.03125</v>
      </c>
      <c r="O15605" s="46" t="s">
        <v>123</v>
      </c>
      <c r="P15605" s="46">
        <v>3600.0</v>
      </c>
    </row>
    <row r="15606">
      <c r="A15606" s="40">
        <f t="shared" si="1"/>
        <v>46013</v>
      </c>
      <c r="B15606" s="37" t="str">
        <f t="array" ref="B15606">iferror(xlookup($I15606, 'IMPORT VHC Report'!$E:$E, 'IMPORT VHC Report'!$A:$C), )</f>
        <v/>
      </c>
      <c r="C15606" s="44"/>
      <c r="D15606" s="44"/>
      <c r="E15606" s="46" t="s">
        <v>11770</v>
      </c>
      <c r="F15606" s="46" t="s">
        <v>1005</v>
      </c>
      <c r="G15606" s="46">
        <v>5.902016026895E12</v>
      </c>
      <c r="H15606" s="46" t="s">
        <v>1006</v>
      </c>
      <c r="I15606" s="46" t="s">
        <v>1007</v>
      </c>
      <c r="J15606" s="46" t="s">
        <v>134</v>
      </c>
      <c r="K15606" s="46" t="s">
        <v>126</v>
      </c>
      <c r="L15606" s="45">
        <v>46019.135416666664</v>
      </c>
      <c r="M15606" s="46" t="s">
        <v>123</v>
      </c>
      <c r="N15606" s="45">
        <v>46019.15625</v>
      </c>
      <c r="O15606" s="46" t="s">
        <v>123</v>
      </c>
      <c r="P15606" s="46">
        <v>1800.0</v>
      </c>
    </row>
    <row r="15607">
      <c r="A15607" s="40">
        <f t="shared" si="1"/>
        <v>46013</v>
      </c>
      <c r="B15607" s="37" t="str">
        <f t="array" ref="B15607">iferror(xlookup($I15607, 'IMPORT VHC Report'!$E:$E, 'IMPORT VHC Report'!$A:$C), )</f>
        <v/>
      </c>
      <c r="C15607" s="44"/>
      <c r="D15607" s="44"/>
      <c r="E15607" s="46" t="s">
        <v>11771</v>
      </c>
      <c r="F15607" s="46" t="s">
        <v>1005</v>
      </c>
      <c r="G15607" s="46">
        <v>5.902016026895E12</v>
      </c>
      <c r="H15607" s="46" t="s">
        <v>1006</v>
      </c>
      <c r="I15607" s="46" t="s">
        <v>1007</v>
      </c>
      <c r="J15607" s="46" t="s">
        <v>330</v>
      </c>
      <c r="K15607" s="46" t="s">
        <v>126</v>
      </c>
      <c r="L15607" s="45">
        <v>46019.875</v>
      </c>
      <c r="M15607" s="46" t="s">
        <v>123</v>
      </c>
      <c r="N15607" s="45">
        <v>46019.881944444445</v>
      </c>
      <c r="O15607" s="46" t="s">
        <v>123</v>
      </c>
      <c r="P15607" s="46">
        <v>600.0</v>
      </c>
    </row>
    <row r="15608">
      <c r="A15608" s="40">
        <f t="shared" si="1"/>
        <v>46013</v>
      </c>
      <c r="B15608" s="37" t="str">
        <f t="array" ref="B15608">iferror(xlookup($I15608, 'IMPORT VHC Report'!$E:$E, 'IMPORT VHC Report'!$A:$C), )</f>
        <v/>
      </c>
      <c r="C15608" s="44"/>
      <c r="D15608" s="44"/>
      <c r="E15608" s="46" t="s">
        <v>11772</v>
      </c>
      <c r="F15608" s="46" t="s">
        <v>1005</v>
      </c>
      <c r="G15608" s="46">
        <v>5.902016026895E12</v>
      </c>
      <c r="H15608" s="46" t="s">
        <v>1006</v>
      </c>
      <c r="I15608" s="46" t="s">
        <v>1007</v>
      </c>
      <c r="J15608" s="46" t="s">
        <v>332</v>
      </c>
      <c r="K15608" s="46" t="s">
        <v>63</v>
      </c>
      <c r="L15608" s="45">
        <v>46019.875</v>
      </c>
      <c r="M15608" s="46" t="s">
        <v>123</v>
      </c>
      <c r="N15608" s="45">
        <v>46020.0</v>
      </c>
      <c r="O15608" s="46" t="s">
        <v>123</v>
      </c>
      <c r="P15608" s="46">
        <v>10800.0</v>
      </c>
    </row>
    <row r="15609">
      <c r="A15609" s="40">
        <f t="shared" si="1"/>
        <v>46013</v>
      </c>
      <c r="B15609" s="37" t="str">
        <f t="array" ref="B15609">iferror(xlookup($I15609, 'IMPORT VHC Report'!$E:$E, 'IMPORT VHC Report'!$A:$C), )</f>
        <v/>
      </c>
      <c r="C15609" s="44"/>
      <c r="D15609" s="44"/>
      <c r="E15609" s="46" t="s">
        <v>11773</v>
      </c>
      <c r="F15609" s="46" t="s">
        <v>1005</v>
      </c>
      <c r="G15609" s="46">
        <v>5.902016026895E12</v>
      </c>
      <c r="H15609" s="46" t="s">
        <v>1006</v>
      </c>
      <c r="I15609" s="46" t="s">
        <v>1007</v>
      </c>
      <c r="J15609" s="46" t="s">
        <v>134</v>
      </c>
      <c r="K15609" s="46" t="s">
        <v>126</v>
      </c>
      <c r="L15609" s="45">
        <v>46019.979166666664</v>
      </c>
      <c r="M15609" s="46" t="s">
        <v>123</v>
      </c>
      <c r="N15609" s="45">
        <v>46020.0</v>
      </c>
      <c r="O15609" s="46" t="s">
        <v>123</v>
      </c>
      <c r="P15609" s="46">
        <v>1800.0</v>
      </c>
    </row>
    <row r="15610">
      <c r="A15610" s="40">
        <f t="shared" si="1"/>
        <v>46013</v>
      </c>
      <c r="B15610" s="37" t="str">
        <f t="array" ref="B15610">iferror(xlookup($I15610, 'IMPORT VHC Report'!$E:$E, 'IMPORT VHC Report'!$A:$C), )</f>
        <v/>
      </c>
      <c r="C15610" s="44"/>
      <c r="D15610" s="44"/>
      <c r="E15610" s="46" t="s">
        <v>11774</v>
      </c>
      <c r="F15610" s="46" t="s">
        <v>1005</v>
      </c>
      <c r="G15610" s="46">
        <v>5.902016026895E12</v>
      </c>
      <c r="H15610" s="46" t="s">
        <v>1006</v>
      </c>
      <c r="I15610" s="46" t="s">
        <v>1007</v>
      </c>
      <c r="J15610" s="46" t="s">
        <v>332</v>
      </c>
      <c r="K15610" s="46" t="s">
        <v>63</v>
      </c>
      <c r="L15610" s="45">
        <v>46019.979166666664</v>
      </c>
      <c r="M15610" s="46" t="s">
        <v>123</v>
      </c>
      <c r="N15610" s="45">
        <v>46020.25</v>
      </c>
      <c r="O15610" s="46" t="s">
        <v>123</v>
      </c>
      <c r="P15610" s="46">
        <v>23400.0</v>
      </c>
    </row>
    <row r="15611">
      <c r="A15611" s="40">
        <f t="shared" si="1"/>
        <v>46006</v>
      </c>
      <c r="B15611" s="37" t="str">
        <f t="array" ref="B15611">iferror(xlookup($I15611, 'IMPORT VHC Report'!$E:$E, 'IMPORT VHC Report'!$A:$C), )</f>
        <v/>
      </c>
      <c r="C15611" s="44"/>
      <c r="D15611" s="44"/>
      <c r="E15611" s="46" t="s">
        <v>446</v>
      </c>
      <c r="F15611" s="46" t="s">
        <v>418</v>
      </c>
      <c r="G15611" s="46">
        <v>5.202378807439E12</v>
      </c>
      <c r="H15611" s="46" t="s">
        <v>419</v>
      </c>
      <c r="I15611" s="46" t="s">
        <v>420</v>
      </c>
      <c r="J15611" s="46" t="s">
        <v>332</v>
      </c>
      <c r="K15611" s="46" t="s">
        <v>63</v>
      </c>
      <c r="L15611" s="45">
        <v>46012.989583333336</v>
      </c>
      <c r="M15611" s="46" t="s">
        <v>123</v>
      </c>
      <c r="N15611" s="45">
        <v>46013.25</v>
      </c>
      <c r="O15611" s="46" t="s">
        <v>123</v>
      </c>
      <c r="P15611" s="46">
        <v>22500.0</v>
      </c>
    </row>
    <row r="15612">
      <c r="A15612" s="40">
        <f t="shared" si="1"/>
        <v>46013</v>
      </c>
      <c r="B15612" s="37" t="str">
        <f t="array" ref="B15612">iferror(xlookup($I15612, 'IMPORT VHC Report'!$E:$E, 'IMPORT VHC Report'!$A:$C), )</f>
        <v/>
      </c>
      <c r="C15612" s="44"/>
      <c r="D15612" s="44"/>
      <c r="E15612" s="46" t="s">
        <v>11775</v>
      </c>
      <c r="F15612" s="46" t="s">
        <v>418</v>
      </c>
      <c r="G15612" s="46">
        <v>5.202378807439E12</v>
      </c>
      <c r="H15612" s="46" t="s">
        <v>419</v>
      </c>
      <c r="I15612" s="46" t="s">
        <v>420</v>
      </c>
      <c r="J15612" s="46" t="s">
        <v>132</v>
      </c>
      <c r="K15612" s="46" t="s">
        <v>126</v>
      </c>
      <c r="L15612" s="45">
        <v>46013.145833333336</v>
      </c>
      <c r="M15612" s="46" t="s">
        <v>123</v>
      </c>
      <c r="N15612" s="45">
        <v>46013.1875</v>
      </c>
      <c r="O15612" s="46" t="s">
        <v>123</v>
      </c>
      <c r="P15612" s="46">
        <v>3600.0</v>
      </c>
    </row>
    <row r="15613">
      <c r="A15613" s="40">
        <f t="shared" si="1"/>
        <v>46013</v>
      </c>
      <c r="B15613" s="37" t="str">
        <f t="array" ref="B15613">iferror(xlookup($I15613, 'IMPORT VHC Report'!$E:$E, 'IMPORT VHC Report'!$A:$C), )</f>
        <v/>
      </c>
      <c r="C15613" s="44"/>
      <c r="D15613" s="44"/>
      <c r="E15613" s="46" t="s">
        <v>11776</v>
      </c>
      <c r="F15613" s="46" t="s">
        <v>418</v>
      </c>
      <c r="G15613" s="46">
        <v>5.202378807439E12</v>
      </c>
      <c r="H15613" s="46" t="s">
        <v>419</v>
      </c>
      <c r="I15613" s="46" t="s">
        <v>420</v>
      </c>
      <c r="J15613" s="46" t="s">
        <v>330</v>
      </c>
      <c r="K15613" s="46" t="s">
        <v>126</v>
      </c>
      <c r="L15613" s="45">
        <v>46013.875</v>
      </c>
      <c r="M15613" s="46" t="s">
        <v>123</v>
      </c>
      <c r="N15613" s="45">
        <v>46013.881944444445</v>
      </c>
      <c r="O15613" s="46" t="s">
        <v>123</v>
      </c>
      <c r="P15613" s="46">
        <v>600.0</v>
      </c>
    </row>
    <row r="15614">
      <c r="A15614" s="40">
        <f t="shared" si="1"/>
        <v>46013</v>
      </c>
      <c r="B15614" s="37" t="str">
        <f t="array" ref="B15614">iferror(xlookup($I15614, 'IMPORT VHC Report'!$E:$E, 'IMPORT VHC Report'!$A:$C), )</f>
        <v/>
      </c>
      <c r="C15614" s="44"/>
      <c r="D15614" s="44"/>
      <c r="E15614" s="46" t="s">
        <v>11777</v>
      </c>
      <c r="F15614" s="46" t="s">
        <v>418</v>
      </c>
      <c r="G15614" s="46">
        <v>5.202378807439E12</v>
      </c>
      <c r="H15614" s="46" t="s">
        <v>419</v>
      </c>
      <c r="I15614" s="46" t="s">
        <v>420</v>
      </c>
      <c r="J15614" s="46" t="s">
        <v>332</v>
      </c>
      <c r="K15614" s="46" t="s">
        <v>63</v>
      </c>
      <c r="L15614" s="45">
        <v>46013.875</v>
      </c>
      <c r="M15614" s="46" t="s">
        <v>123</v>
      </c>
      <c r="N15614" s="45">
        <v>46014.25</v>
      </c>
      <c r="O15614" s="46" t="s">
        <v>123</v>
      </c>
      <c r="P15614" s="46">
        <v>32400.0</v>
      </c>
    </row>
    <row r="15615">
      <c r="A15615" s="40">
        <f t="shared" si="1"/>
        <v>46013</v>
      </c>
      <c r="B15615" s="37" t="str">
        <f t="array" ref="B15615">iferror(xlookup($I15615, 'IMPORT VHC Report'!$E:$E, 'IMPORT VHC Report'!$A:$C), )</f>
        <v/>
      </c>
      <c r="C15615" s="44"/>
      <c r="D15615" s="44"/>
      <c r="E15615" s="46" t="s">
        <v>11778</v>
      </c>
      <c r="F15615" s="46" t="s">
        <v>418</v>
      </c>
      <c r="G15615" s="46">
        <v>5.202378807439E12</v>
      </c>
      <c r="H15615" s="46" t="s">
        <v>419</v>
      </c>
      <c r="I15615" s="46" t="s">
        <v>420</v>
      </c>
      <c r="J15615" s="46" t="s">
        <v>134</v>
      </c>
      <c r="K15615" s="46" t="s">
        <v>126</v>
      </c>
      <c r="L15615" s="45">
        <v>46014.010416666664</v>
      </c>
      <c r="M15615" s="46" t="s">
        <v>123</v>
      </c>
      <c r="N15615" s="45">
        <v>46014.03125</v>
      </c>
      <c r="O15615" s="46" t="s">
        <v>123</v>
      </c>
      <c r="P15615" s="46">
        <v>1800.0</v>
      </c>
    </row>
    <row r="15616">
      <c r="A15616" s="40">
        <f t="shared" si="1"/>
        <v>46013</v>
      </c>
      <c r="B15616" s="37" t="str">
        <f t="array" ref="B15616">iferror(xlookup($I15616, 'IMPORT VHC Report'!$E:$E, 'IMPORT VHC Report'!$A:$C), )</f>
        <v/>
      </c>
      <c r="C15616" s="44"/>
      <c r="D15616" s="44"/>
      <c r="E15616" s="46" t="s">
        <v>11779</v>
      </c>
      <c r="F15616" s="46" t="s">
        <v>418</v>
      </c>
      <c r="G15616" s="46">
        <v>5.202378807439E12</v>
      </c>
      <c r="H15616" s="46" t="s">
        <v>419</v>
      </c>
      <c r="I15616" s="46" t="s">
        <v>420</v>
      </c>
      <c r="J15616" s="46" t="s">
        <v>132</v>
      </c>
      <c r="K15616" s="46" t="s">
        <v>126</v>
      </c>
      <c r="L15616" s="45">
        <v>46014.125</v>
      </c>
      <c r="M15616" s="46" t="s">
        <v>123</v>
      </c>
      <c r="N15616" s="45">
        <v>46014.166666666664</v>
      </c>
      <c r="O15616" s="46" t="s">
        <v>123</v>
      </c>
      <c r="P15616" s="46">
        <v>3600.0</v>
      </c>
    </row>
    <row r="15617">
      <c r="A15617" s="40">
        <f t="shared" si="1"/>
        <v>46013</v>
      </c>
      <c r="B15617" s="37" t="str">
        <f t="array" ref="B15617">iferror(xlookup($I15617, 'IMPORT VHC Report'!$E:$E, 'IMPORT VHC Report'!$A:$C), )</f>
        <v/>
      </c>
      <c r="C15617" s="44"/>
      <c r="D15617" s="44"/>
      <c r="E15617" s="46" t="s">
        <v>11780</v>
      </c>
      <c r="F15617" s="46" t="s">
        <v>418</v>
      </c>
      <c r="G15617" s="46">
        <v>5.202378807439E12</v>
      </c>
      <c r="H15617" s="46" t="s">
        <v>419</v>
      </c>
      <c r="I15617" s="46" t="s">
        <v>420</v>
      </c>
      <c r="J15617" s="46" t="s">
        <v>330</v>
      </c>
      <c r="K15617" s="46" t="s">
        <v>126</v>
      </c>
      <c r="L15617" s="45">
        <v>46014.875</v>
      </c>
      <c r="M15617" s="46" t="s">
        <v>123</v>
      </c>
      <c r="N15617" s="45">
        <v>46014.881944444445</v>
      </c>
      <c r="O15617" s="46" t="s">
        <v>123</v>
      </c>
      <c r="P15617" s="46">
        <v>600.0</v>
      </c>
    </row>
    <row r="15618">
      <c r="A15618" s="40">
        <f t="shared" si="1"/>
        <v>46013</v>
      </c>
      <c r="B15618" s="37" t="str">
        <f t="array" ref="B15618">iferror(xlookup($I15618, 'IMPORT VHC Report'!$E:$E, 'IMPORT VHC Report'!$A:$C), )</f>
        <v/>
      </c>
      <c r="C15618" s="44"/>
      <c r="D15618" s="44"/>
      <c r="E15618" s="46" t="s">
        <v>11781</v>
      </c>
      <c r="F15618" s="46" t="s">
        <v>418</v>
      </c>
      <c r="G15618" s="46">
        <v>5.202378807439E12</v>
      </c>
      <c r="H15618" s="46" t="s">
        <v>419</v>
      </c>
      <c r="I15618" s="46" t="s">
        <v>420</v>
      </c>
      <c r="J15618" s="46" t="s">
        <v>332</v>
      </c>
      <c r="K15618" s="46" t="s">
        <v>63</v>
      </c>
      <c r="L15618" s="45">
        <v>46014.875</v>
      </c>
      <c r="M15618" s="46" t="s">
        <v>123</v>
      </c>
      <c r="N15618" s="45">
        <v>46015.25</v>
      </c>
      <c r="O15618" s="46" t="s">
        <v>123</v>
      </c>
      <c r="P15618" s="46">
        <v>32400.0</v>
      </c>
    </row>
    <row r="15619">
      <c r="A15619" s="40">
        <f t="shared" si="1"/>
        <v>46013</v>
      </c>
      <c r="B15619" s="37" t="str">
        <f t="array" ref="B15619">iferror(xlookup($I15619, 'IMPORT VHC Report'!$E:$E, 'IMPORT VHC Report'!$A:$C), )</f>
        <v/>
      </c>
      <c r="C15619" s="44"/>
      <c r="D15619" s="44"/>
      <c r="E15619" s="46" t="s">
        <v>11782</v>
      </c>
      <c r="F15619" s="46" t="s">
        <v>418</v>
      </c>
      <c r="G15619" s="46">
        <v>5.202378807439E12</v>
      </c>
      <c r="H15619" s="46" t="s">
        <v>419</v>
      </c>
      <c r="I15619" s="46" t="s">
        <v>420</v>
      </c>
      <c r="J15619" s="46" t="s">
        <v>132</v>
      </c>
      <c r="K15619" s="46" t="s">
        <v>126</v>
      </c>
      <c r="L15619" s="45">
        <v>46015.041666666664</v>
      </c>
      <c r="M15619" s="46" t="s">
        <v>123</v>
      </c>
      <c r="N15619" s="45">
        <v>46015.083333333336</v>
      </c>
      <c r="O15619" s="46" t="s">
        <v>123</v>
      </c>
      <c r="P15619" s="46">
        <v>3600.0</v>
      </c>
    </row>
    <row r="15620">
      <c r="A15620" s="40">
        <f t="shared" si="1"/>
        <v>46013</v>
      </c>
      <c r="B15620" s="37" t="str">
        <f t="array" ref="B15620">iferror(xlookup($I15620, 'IMPORT VHC Report'!$E:$E, 'IMPORT VHC Report'!$A:$C), )</f>
        <v/>
      </c>
      <c r="C15620" s="44"/>
      <c r="D15620" s="44"/>
      <c r="E15620" s="46" t="s">
        <v>11783</v>
      </c>
      <c r="F15620" s="46" t="s">
        <v>418</v>
      </c>
      <c r="G15620" s="46">
        <v>5.202378807439E12</v>
      </c>
      <c r="H15620" s="46" t="s">
        <v>419</v>
      </c>
      <c r="I15620" s="46" t="s">
        <v>420</v>
      </c>
      <c r="J15620" s="46" t="s">
        <v>134</v>
      </c>
      <c r="K15620" s="46" t="s">
        <v>126</v>
      </c>
      <c r="L15620" s="45">
        <v>46015.166666666664</v>
      </c>
      <c r="M15620" s="46" t="s">
        <v>123</v>
      </c>
      <c r="N15620" s="45">
        <v>46015.1875</v>
      </c>
      <c r="O15620" s="46" t="s">
        <v>123</v>
      </c>
      <c r="P15620" s="46">
        <v>1800.0</v>
      </c>
    </row>
    <row r="15621">
      <c r="A15621" s="40">
        <f t="shared" si="1"/>
        <v>46013</v>
      </c>
      <c r="B15621" s="37" t="str">
        <f t="array" ref="B15621">iferror(xlookup($I15621, 'IMPORT VHC Report'!$E:$E, 'IMPORT VHC Report'!$A:$C), )</f>
        <v/>
      </c>
      <c r="C15621" s="44"/>
      <c r="D15621" s="44"/>
      <c r="E15621" s="46" t="s">
        <v>11784</v>
      </c>
      <c r="F15621" s="46" t="s">
        <v>418</v>
      </c>
      <c r="G15621" s="46">
        <v>5.202378807439E12</v>
      </c>
      <c r="H15621" s="46" t="s">
        <v>419</v>
      </c>
      <c r="I15621" s="46" t="s">
        <v>420</v>
      </c>
      <c r="J15621" s="46" t="s">
        <v>330</v>
      </c>
      <c r="K15621" s="46" t="s">
        <v>126</v>
      </c>
      <c r="L15621" s="45">
        <v>46017.875</v>
      </c>
      <c r="M15621" s="46" t="s">
        <v>123</v>
      </c>
      <c r="N15621" s="45">
        <v>46017.881944444445</v>
      </c>
      <c r="O15621" s="46" t="s">
        <v>123</v>
      </c>
      <c r="P15621" s="46">
        <v>600.0</v>
      </c>
    </row>
    <row r="15622">
      <c r="A15622" s="40">
        <f t="shared" si="1"/>
        <v>46013</v>
      </c>
      <c r="B15622" s="37" t="str">
        <f t="array" ref="B15622">iferror(xlookup($I15622, 'IMPORT VHC Report'!$E:$E, 'IMPORT VHC Report'!$A:$C), )</f>
        <v/>
      </c>
      <c r="C15622" s="44"/>
      <c r="D15622" s="44"/>
      <c r="E15622" s="46" t="s">
        <v>11785</v>
      </c>
      <c r="F15622" s="46" t="s">
        <v>418</v>
      </c>
      <c r="G15622" s="46">
        <v>5.202378807439E12</v>
      </c>
      <c r="H15622" s="46" t="s">
        <v>419</v>
      </c>
      <c r="I15622" s="46" t="s">
        <v>420</v>
      </c>
      <c r="J15622" s="46" t="s">
        <v>332</v>
      </c>
      <c r="K15622" s="46" t="s">
        <v>63</v>
      </c>
      <c r="L15622" s="45">
        <v>46017.875</v>
      </c>
      <c r="M15622" s="46" t="s">
        <v>123</v>
      </c>
      <c r="N15622" s="45">
        <v>46018.25</v>
      </c>
      <c r="O15622" s="46" t="s">
        <v>123</v>
      </c>
      <c r="P15622" s="46">
        <v>32400.0</v>
      </c>
    </row>
    <row r="15623">
      <c r="A15623" s="40">
        <f t="shared" si="1"/>
        <v>46013</v>
      </c>
      <c r="B15623" s="37" t="str">
        <f t="array" ref="B15623">iferror(xlookup($I15623, 'IMPORT VHC Report'!$E:$E, 'IMPORT VHC Report'!$A:$C), )</f>
        <v/>
      </c>
      <c r="C15623" s="44"/>
      <c r="D15623" s="44"/>
      <c r="E15623" s="46" t="s">
        <v>11786</v>
      </c>
      <c r="F15623" s="46" t="s">
        <v>418</v>
      </c>
      <c r="G15623" s="46">
        <v>5.202378807439E12</v>
      </c>
      <c r="H15623" s="46" t="s">
        <v>419</v>
      </c>
      <c r="I15623" s="46" t="s">
        <v>420</v>
      </c>
      <c r="J15623" s="46" t="s">
        <v>132</v>
      </c>
      <c r="K15623" s="46" t="s">
        <v>126</v>
      </c>
      <c r="L15623" s="45">
        <v>46018.010416666664</v>
      </c>
      <c r="M15623" s="46" t="s">
        <v>123</v>
      </c>
      <c r="N15623" s="45">
        <v>46018.052083333336</v>
      </c>
      <c r="O15623" s="46" t="s">
        <v>123</v>
      </c>
      <c r="P15623" s="46">
        <v>3600.0</v>
      </c>
    </row>
    <row r="15624">
      <c r="A15624" s="40">
        <f t="shared" si="1"/>
        <v>46013</v>
      </c>
      <c r="B15624" s="37" t="str">
        <f t="array" ref="B15624">iferror(xlookup($I15624, 'IMPORT VHC Report'!$E:$E, 'IMPORT VHC Report'!$A:$C), )</f>
        <v/>
      </c>
      <c r="C15624" s="44"/>
      <c r="D15624" s="44"/>
      <c r="E15624" s="46" t="s">
        <v>11787</v>
      </c>
      <c r="F15624" s="46" t="s">
        <v>418</v>
      </c>
      <c r="G15624" s="46">
        <v>5.202378807439E12</v>
      </c>
      <c r="H15624" s="46" t="s">
        <v>419</v>
      </c>
      <c r="I15624" s="46" t="s">
        <v>420</v>
      </c>
      <c r="J15624" s="46" t="s">
        <v>134</v>
      </c>
      <c r="K15624" s="46" t="s">
        <v>126</v>
      </c>
      <c r="L15624" s="45">
        <v>46018.1875</v>
      </c>
      <c r="M15624" s="46" t="s">
        <v>123</v>
      </c>
      <c r="N15624" s="45">
        <v>46018.208333333336</v>
      </c>
      <c r="O15624" s="46" t="s">
        <v>123</v>
      </c>
      <c r="P15624" s="46">
        <v>1800.0</v>
      </c>
    </row>
    <row r="15625">
      <c r="A15625" s="40">
        <f t="shared" si="1"/>
        <v>46013</v>
      </c>
      <c r="B15625" s="37" t="str">
        <f t="array" ref="B15625">iferror(xlookup($I15625, 'IMPORT VHC Report'!$E:$E, 'IMPORT VHC Report'!$A:$C), )</f>
        <v/>
      </c>
      <c r="C15625" s="44"/>
      <c r="D15625" s="44"/>
      <c r="E15625" s="46" t="s">
        <v>11788</v>
      </c>
      <c r="F15625" s="46" t="s">
        <v>418</v>
      </c>
      <c r="G15625" s="46">
        <v>5.202378807439E12</v>
      </c>
      <c r="H15625" s="46" t="s">
        <v>419</v>
      </c>
      <c r="I15625" s="46" t="s">
        <v>420</v>
      </c>
      <c r="J15625" s="46" t="s">
        <v>330</v>
      </c>
      <c r="K15625" s="46" t="s">
        <v>126</v>
      </c>
      <c r="L15625" s="45">
        <v>46018.875</v>
      </c>
      <c r="M15625" s="46" t="s">
        <v>123</v>
      </c>
      <c r="N15625" s="45">
        <v>46018.881944444445</v>
      </c>
      <c r="O15625" s="46" t="s">
        <v>123</v>
      </c>
      <c r="P15625" s="46">
        <v>600.0</v>
      </c>
    </row>
    <row r="15626">
      <c r="A15626" s="40">
        <f t="shared" si="1"/>
        <v>46013</v>
      </c>
      <c r="B15626" s="37" t="str">
        <f t="array" ref="B15626">iferror(xlookup($I15626, 'IMPORT VHC Report'!$E:$E, 'IMPORT VHC Report'!$A:$C), )</f>
        <v/>
      </c>
      <c r="C15626" s="44"/>
      <c r="D15626" s="44"/>
      <c r="E15626" s="46" t="s">
        <v>11789</v>
      </c>
      <c r="F15626" s="46" t="s">
        <v>418</v>
      </c>
      <c r="G15626" s="46">
        <v>5.202378807439E12</v>
      </c>
      <c r="H15626" s="46" t="s">
        <v>419</v>
      </c>
      <c r="I15626" s="46" t="s">
        <v>420</v>
      </c>
      <c r="J15626" s="46" t="s">
        <v>332</v>
      </c>
      <c r="K15626" s="46" t="s">
        <v>63</v>
      </c>
      <c r="L15626" s="45">
        <v>46018.875</v>
      </c>
      <c r="M15626" s="46" t="s">
        <v>123</v>
      </c>
      <c r="N15626" s="45">
        <v>46019.25</v>
      </c>
      <c r="O15626" s="46" t="s">
        <v>123</v>
      </c>
      <c r="P15626" s="46">
        <v>32400.0</v>
      </c>
    </row>
    <row r="15627">
      <c r="A15627" s="40">
        <f t="shared" si="1"/>
        <v>46013</v>
      </c>
      <c r="B15627" s="37" t="str">
        <f t="array" ref="B15627">iferror(xlookup($I15627, 'IMPORT VHC Report'!$E:$E, 'IMPORT VHC Report'!$A:$C), )</f>
        <v/>
      </c>
      <c r="C15627" s="44"/>
      <c r="D15627" s="44"/>
      <c r="E15627" s="46" t="s">
        <v>11790</v>
      </c>
      <c r="F15627" s="46" t="s">
        <v>418</v>
      </c>
      <c r="G15627" s="46">
        <v>5.202378807439E12</v>
      </c>
      <c r="H15627" s="46" t="s">
        <v>419</v>
      </c>
      <c r="I15627" s="46" t="s">
        <v>420</v>
      </c>
      <c r="J15627" s="46" t="s">
        <v>132</v>
      </c>
      <c r="K15627" s="46" t="s">
        <v>126</v>
      </c>
      <c r="L15627" s="45">
        <v>46019.03125</v>
      </c>
      <c r="M15627" s="46" t="s">
        <v>123</v>
      </c>
      <c r="N15627" s="45">
        <v>46019.072916666664</v>
      </c>
      <c r="O15627" s="46" t="s">
        <v>123</v>
      </c>
      <c r="P15627" s="46">
        <v>3600.0</v>
      </c>
    </row>
    <row r="15628">
      <c r="A15628" s="40">
        <f t="shared" si="1"/>
        <v>46013</v>
      </c>
      <c r="B15628" s="37" t="str">
        <f t="array" ref="B15628">iferror(xlookup($I15628, 'IMPORT VHC Report'!$E:$E, 'IMPORT VHC Report'!$A:$C), )</f>
        <v/>
      </c>
      <c r="C15628" s="44"/>
      <c r="D15628" s="44"/>
      <c r="E15628" s="46" t="s">
        <v>11791</v>
      </c>
      <c r="F15628" s="46" t="s">
        <v>418</v>
      </c>
      <c r="G15628" s="46">
        <v>5.202378807439E12</v>
      </c>
      <c r="H15628" s="46" t="s">
        <v>419</v>
      </c>
      <c r="I15628" s="46" t="s">
        <v>420</v>
      </c>
      <c r="J15628" s="46" t="s">
        <v>134</v>
      </c>
      <c r="K15628" s="46" t="s">
        <v>126</v>
      </c>
      <c r="L15628" s="45">
        <v>46019.114583333336</v>
      </c>
      <c r="M15628" s="46" t="s">
        <v>123</v>
      </c>
      <c r="N15628" s="45">
        <v>46019.135416666664</v>
      </c>
      <c r="O15628" s="46" t="s">
        <v>123</v>
      </c>
      <c r="P15628" s="46">
        <v>1800.0</v>
      </c>
    </row>
    <row r="15629">
      <c r="A15629" s="40">
        <f t="shared" si="1"/>
        <v>46013</v>
      </c>
      <c r="B15629" s="37" t="str">
        <f t="array" ref="B15629">iferror(xlookup($I15629, 'IMPORT VHC Report'!$E:$E, 'IMPORT VHC Report'!$A:$C), )</f>
        <v/>
      </c>
      <c r="C15629" s="44"/>
      <c r="D15629" s="44"/>
      <c r="E15629" s="46" t="s">
        <v>11792</v>
      </c>
      <c r="F15629" s="46" t="s">
        <v>418</v>
      </c>
      <c r="G15629" s="46">
        <v>5.202378807439E12</v>
      </c>
      <c r="H15629" s="46" t="s">
        <v>419</v>
      </c>
      <c r="I15629" s="46" t="s">
        <v>420</v>
      </c>
      <c r="J15629" s="46" t="s">
        <v>330</v>
      </c>
      <c r="K15629" s="46" t="s">
        <v>126</v>
      </c>
      <c r="L15629" s="45">
        <v>46019.875</v>
      </c>
      <c r="M15629" s="46" t="s">
        <v>123</v>
      </c>
      <c r="N15629" s="45">
        <v>46019.881944444445</v>
      </c>
      <c r="O15629" s="46" t="s">
        <v>123</v>
      </c>
      <c r="P15629" s="46">
        <v>600.0</v>
      </c>
    </row>
    <row r="15630">
      <c r="A15630" s="40">
        <f t="shared" si="1"/>
        <v>46013</v>
      </c>
      <c r="B15630" s="37" t="str">
        <f t="array" ref="B15630">iferror(xlookup($I15630, 'IMPORT VHC Report'!$E:$E, 'IMPORT VHC Report'!$A:$C), )</f>
        <v/>
      </c>
      <c r="C15630" s="44"/>
      <c r="D15630" s="44"/>
      <c r="E15630" s="46" t="s">
        <v>11793</v>
      </c>
      <c r="F15630" s="46" t="s">
        <v>418</v>
      </c>
      <c r="G15630" s="46">
        <v>5.202378807439E12</v>
      </c>
      <c r="H15630" s="46" t="s">
        <v>419</v>
      </c>
      <c r="I15630" s="46" t="s">
        <v>420</v>
      </c>
      <c r="J15630" s="46" t="s">
        <v>332</v>
      </c>
      <c r="K15630" s="46" t="s">
        <v>63</v>
      </c>
      <c r="L15630" s="45">
        <v>46019.875</v>
      </c>
      <c r="M15630" s="46" t="s">
        <v>123</v>
      </c>
      <c r="N15630" s="45">
        <v>46020.0</v>
      </c>
      <c r="O15630" s="46" t="s">
        <v>123</v>
      </c>
      <c r="P15630" s="46">
        <v>10800.0</v>
      </c>
    </row>
    <row r="15631">
      <c r="A15631" s="40">
        <f t="shared" si="1"/>
        <v>46013</v>
      </c>
      <c r="B15631" s="37" t="str">
        <f t="array" ref="B15631">iferror(xlookup($I15631, 'IMPORT VHC Report'!$E:$E, 'IMPORT VHC Report'!$A:$C), )</f>
        <v/>
      </c>
      <c r="C15631" s="44"/>
      <c r="D15631" s="44"/>
      <c r="E15631" s="46" t="s">
        <v>11794</v>
      </c>
      <c r="F15631" s="46" t="s">
        <v>418</v>
      </c>
      <c r="G15631" s="46">
        <v>5.202378807439E12</v>
      </c>
      <c r="H15631" s="46" t="s">
        <v>419</v>
      </c>
      <c r="I15631" s="46" t="s">
        <v>420</v>
      </c>
      <c r="J15631" s="46" t="s">
        <v>134</v>
      </c>
      <c r="K15631" s="46" t="s">
        <v>126</v>
      </c>
      <c r="L15631" s="45">
        <v>46019.989583333336</v>
      </c>
      <c r="M15631" s="46" t="s">
        <v>123</v>
      </c>
      <c r="N15631" s="45">
        <v>46020.0</v>
      </c>
      <c r="O15631" s="46" t="s">
        <v>123</v>
      </c>
      <c r="P15631" s="46">
        <v>900.0</v>
      </c>
    </row>
    <row r="15632">
      <c r="A15632" s="40">
        <f t="shared" si="1"/>
        <v>46013</v>
      </c>
      <c r="B15632" s="37" t="str">
        <f t="array" ref="B15632">iferror(xlookup($I15632, 'IMPORT VHC Report'!$E:$E, 'IMPORT VHC Report'!$A:$C), )</f>
        <v/>
      </c>
      <c r="C15632" s="44"/>
      <c r="D15632" s="44"/>
      <c r="E15632" s="46" t="s">
        <v>11795</v>
      </c>
      <c r="F15632" s="46" t="s">
        <v>418</v>
      </c>
      <c r="G15632" s="46">
        <v>5.202378807439E12</v>
      </c>
      <c r="H15632" s="46" t="s">
        <v>419</v>
      </c>
      <c r="I15632" s="46" t="s">
        <v>420</v>
      </c>
      <c r="J15632" s="46" t="s">
        <v>332</v>
      </c>
      <c r="K15632" s="46" t="s">
        <v>63</v>
      </c>
      <c r="L15632" s="45">
        <v>46019.989583333336</v>
      </c>
      <c r="M15632" s="46" t="s">
        <v>123</v>
      </c>
      <c r="N15632" s="45">
        <v>46020.25</v>
      </c>
      <c r="O15632" s="46" t="s">
        <v>123</v>
      </c>
      <c r="P15632" s="46">
        <v>22500.0</v>
      </c>
    </row>
    <row r="15633">
      <c r="A15633" s="40">
        <f t="shared" si="1"/>
        <v>46013</v>
      </c>
      <c r="B15633" s="37" t="str">
        <f t="array" ref="B15633">iferror(xlookup($I15633, 'IMPORT VHC Report'!$E:$E, 'IMPORT VHC Report'!$A:$C), )</f>
        <v/>
      </c>
      <c r="C15633" s="44"/>
      <c r="D15633" s="44"/>
      <c r="E15633" s="46" t="s">
        <v>11796</v>
      </c>
      <c r="F15633" s="46" t="s">
        <v>1247</v>
      </c>
      <c r="G15633" s="46">
        <v>9.285106592655E12</v>
      </c>
      <c r="H15633" s="46" t="s">
        <v>1248</v>
      </c>
      <c r="I15633" s="46" t="s">
        <v>1249</v>
      </c>
      <c r="J15633" s="46" t="s">
        <v>152</v>
      </c>
      <c r="K15633" s="46" t="s">
        <v>153</v>
      </c>
      <c r="L15633" s="45">
        <v>46013.0</v>
      </c>
      <c r="M15633" s="46" t="s">
        <v>123</v>
      </c>
      <c r="N15633" s="45">
        <v>46013.041666666664</v>
      </c>
      <c r="O15633" s="46" t="s">
        <v>123</v>
      </c>
      <c r="P15633" s="46">
        <v>3600.0</v>
      </c>
      <c r="Q15633" s="46">
        <v>3600.0</v>
      </c>
    </row>
    <row r="15634">
      <c r="A15634" s="40">
        <f t="shared" si="1"/>
        <v>46013</v>
      </c>
      <c r="B15634" s="37" t="str">
        <f t="array" ref="B15634">iferror(xlookup($I15634, 'IMPORT VHC Report'!$E:$E, 'IMPORT VHC Report'!$A:$C), )</f>
        <v/>
      </c>
      <c r="C15634" s="44"/>
      <c r="D15634" s="44"/>
      <c r="E15634" s="46" t="s">
        <v>11797</v>
      </c>
      <c r="F15634" s="46" t="s">
        <v>1247</v>
      </c>
      <c r="G15634" s="46">
        <v>9.285106592655E12</v>
      </c>
      <c r="H15634" s="46" t="s">
        <v>1248</v>
      </c>
      <c r="I15634" s="46" t="s">
        <v>1249</v>
      </c>
      <c r="J15634" s="46" t="s">
        <v>332</v>
      </c>
      <c r="K15634" s="46" t="s">
        <v>63</v>
      </c>
      <c r="L15634" s="45">
        <v>46013.0</v>
      </c>
      <c r="M15634" s="46" t="s">
        <v>123</v>
      </c>
      <c r="N15634" s="45">
        <v>46013.25</v>
      </c>
      <c r="O15634" s="46" t="s">
        <v>123</v>
      </c>
      <c r="P15634" s="46">
        <v>21600.0</v>
      </c>
    </row>
    <row r="15635">
      <c r="A15635" s="40">
        <f t="shared" si="1"/>
        <v>46013</v>
      </c>
      <c r="B15635" s="37" t="str">
        <f t="array" ref="B15635">iferror(xlookup($I15635, 'IMPORT VHC Report'!$E:$E, 'IMPORT VHC Report'!$A:$C), )</f>
        <v/>
      </c>
      <c r="C15635" s="44"/>
      <c r="D15635" s="44"/>
      <c r="E15635" s="46" t="s">
        <v>11798</v>
      </c>
      <c r="F15635" s="46" t="s">
        <v>1247</v>
      </c>
      <c r="G15635" s="46">
        <v>9.285106592655E12</v>
      </c>
      <c r="H15635" s="46" t="s">
        <v>1248</v>
      </c>
      <c r="I15635" s="46" t="s">
        <v>1249</v>
      </c>
      <c r="J15635" s="46" t="s">
        <v>132</v>
      </c>
      <c r="K15635" s="46" t="s">
        <v>126</v>
      </c>
      <c r="L15635" s="45">
        <v>46013.041666666664</v>
      </c>
      <c r="M15635" s="46" t="s">
        <v>123</v>
      </c>
      <c r="N15635" s="45">
        <v>46013.083333333336</v>
      </c>
      <c r="O15635" s="46" t="s">
        <v>123</v>
      </c>
      <c r="P15635" s="46">
        <v>3600.0</v>
      </c>
      <c r="S15635" s="46" t="s">
        <v>286</v>
      </c>
    </row>
    <row r="15636">
      <c r="A15636" s="40">
        <f t="shared" si="1"/>
        <v>46013</v>
      </c>
      <c r="B15636" s="37" t="str">
        <f t="array" ref="B15636">iferror(xlookup($I15636, 'IMPORT VHC Report'!$E:$E, 'IMPORT VHC Report'!$A:$C), )</f>
        <v/>
      </c>
      <c r="C15636" s="44"/>
      <c r="D15636" s="44"/>
      <c r="E15636" s="46" t="s">
        <v>11799</v>
      </c>
      <c r="F15636" s="46" t="s">
        <v>1247</v>
      </c>
      <c r="G15636" s="46">
        <v>9.285106592655E12</v>
      </c>
      <c r="H15636" s="46" t="s">
        <v>1248</v>
      </c>
      <c r="I15636" s="46" t="s">
        <v>1249</v>
      </c>
      <c r="J15636" s="46" t="s">
        <v>330</v>
      </c>
      <c r="K15636" s="46" t="s">
        <v>126</v>
      </c>
      <c r="L15636" s="45">
        <v>46013.083333333336</v>
      </c>
      <c r="M15636" s="46" t="s">
        <v>123</v>
      </c>
      <c r="N15636" s="45">
        <v>46013.09027777778</v>
      </c>
      <c r="O15636" s="46" t="s">
        <v>123</v>
      </c>
      <c r="P15636" s="46">
        <v>600.0</v>
      </c>
      <c r="S15636" s="46" t="s">
        <v>330</v>
      </c>
    </row>
    <row r="15637">
      <c r="A15637" s="40">
        <f t="shared" si="1"/>
        <v>46013</v>
      </c>
      <c r="B15637" s="37" t="str">
        <f t="array" ref="B15637">iferror(xlookup($I15637, 'IMPORT VHC Report'!$E:$E, 'IMPORT VHC Report'!$A:$C), )</f>
        <v/>
      </c>
      <c r="C15637" s="44"/>
      <c r="D15637" s="44"/>
      <c r="E15637" s="46" t="s">
        <v>11800</v>
      </c>
      <c r="F15637" s="46" t="s">
        <v>1247</v>
      </c>
      <c r="G15637" s="46">
        <v>9.285106592655E12</v>
      </c>
      <c r="H15637" s="46" t="s">
        <v>1248</v>
      </c>
      <c r="I15637" s="46" t="s">
        <v>1249</v>
      </c>
      <c r="J15637" s="46" t="s">
        <v>134</v>
      </c>
      <c r="K15637" s="46" t="s">
        <v>126</v>
      </c>
      <c r="L15637" s="45">
        <v>46013.15625</v>
      </c>
      <c r="M15637" s="46" t="s">
        <v>123</v>
      </c>
      <c r="N15637" s="45">
        <v>46013.166666666664</v>
      </c>
      <c r="O15637" s="46" t="s">
        <v>123</v>
      </c>
      <c r="P15637" s="46">
        <v>900.0</v>
      </c>
      <c r="S15637" s="46" t="s">
        <v>286</v>
      </c>
    </row>
    <row r="15638">
      <c r="A15638" s="40">
        <f t="shared" si="1"/>
        <v>46013</v>
      </c>
      <c r="B15638" s="37" t="str">
        <f t="array" ref="B15638">iferror(xlookup($I15638, 'IMPORT VHC Report'!$E:$E, 'IMPORT VHC Report'!$A:$C), )</f>
        <v/>
      </c>
      <c r="C15638" s="44"/>
      <c r="D15638" s="44"/>
      <c r="E15638" s="46" t="s">
        <v>11801</v>
      </c>
      <c r="F15638" s="46" t="s">
        <v>1247</v>
      </c>
      <c r="G15638" s="46">
        <v>9.285106592655E12</v>
      </c>
      <c r="H15638" s="46" t="s">
        <v>1248</v>
      </c>
      <c r="I15638" s="46" t="s">
        <v>1249</v>
      </c>
      <c r="J15638" s="46" t="s">
        <v>330</v>
      </c>
      <c r="K15638" s="46" t="s">
        <v>126</v>
      </c>
      <c r="L15638" s="45">
        <v>46013.875</v>
      </c>
      <c r="M15638" s="46" t="s">
        <v>123</v>
      </c>
      <c r="N15638" s="45">
        <v>46013.881944444445</v>
      </c>
      <c r="O15638" s="46" t="s">
        <v>123</v>
      </c>
      <c r="P15638" s="46">
        <v>600.0</v>
      </c>
    </row>
    <row r="15639">
      <c r="A15639" s="40">
        <f t="shared" si="1"/>
        <v>46013</v>
      </c>
      <c r="B15639" s="37" t="str">
        <f t="array" ref="B15639">iferror(xlookup($I15639, 'IMPORT VHC Report'!$E:$E, 'IMPORT VHC Report'!$A:$C), )</f>
        <v/>
      </c>
      <c r="C15639" s="44"/>
      <c r="D15639" s="44"/>
      <c r="E15639" s="46" t="s">
        <v>11802</v>
      </c>
      <c r="F15639" s="46" t="s">
        <v>1247</v>
      </c>
      <c r="G15639" s="46">
        <v>9.285106592655E12</v>
      </c>
      <c r="H15639" s="46" t="s">
        <v>1248</v>
      </c>
      <c r="I15639" s="46" t="s">
        <v>1249</v>
      </c>
      <c r="J15639" s="46" t="s">
        <v>332</v>
      </c>
      <c r="K15639" s="46" t="s">
        <v>63</v>
      </c>
      <c r="L15639" s="45">
        <v>46013.875</v>
      </c>
      <c r="M15639" s="46" t="s">
        <v>123</v>
      </c>
      <c r="N15639" s="45">
        <v>46014.25</v>
      </c>
      <c r="O15639" s="46" t="s">
        <v>123</v>
      </c>
      <c r="P15639" s="46">
        <v>32400.0</v>
      </c>
    </row>
    <row r="15640">
      <c r="A15640" s="40">
        <f t="shared" si="1"/>
        <v>46013</v>
      </c>
      <c r="B15640" s="37" t="str">
        <f t="array" ref="B15640">iferror(xlookup($I15640, 'IMPORT VHC Report'!$E:$E, 'IMPORT VHC Report'!$A:$C), )</f>
        <v/>
      </c>
      <c r="C15640" s="44"/>
      <c r="D15640" s="44"/>
      <c r="E15640" s="46" t="s">
        <v>11803</v>
      </c>
      <c r="F15640" s="46" t="s">
        <v>1247</v>
      </c>
      <c r="G15640" s="46">
        <v>9.285106592655E12</v>
      </c>
      <c r="H15640" s="46" t="s">
        <v>1248</v>
      </c>
      <c r="I15640" s="46" t="s">
        <v>1249</v>
      </c>
      <c r="J15640" s="46" t="s">
        <v>330</v>
      </c>
      <c r="K15640" s="46" t="s">
        <v>126</v>
      </c>
      <c r="L15640" s="45">
        <v>46013.979166666664</v>
      </c>
      <c r="M15640" s="46" t="s">
        <v>123</v>
      </c>
      <c r="N15640" s="45">
        <v>46014.0</v>
      </c>
      <c r="O15640" s="46" t="s">
        <v>123</v>
      </c>
      <c r="P15640" s="46">
        <v>1800.0</v>
      </c>
    </row>
    <row r="15641">
      <c r="A15641" s="40">
        <f t="shared" si="1"/>
        <v>46013</v>
      </c>
      <c r="B15641" s="37" t="str">
        <f t="array" ref="B15641">iferror(xlookup($I15641, 'IMPORT VHC Report'!$E:$E, 'IMPORT VHC Report'!$A:$C), )</f>
        <v/>
      </c>
      <c r="C15641" s="44"/>
      <c r="D15641" s="44"/>
      <c r="E15641" s="46" t="s">
        <v>11804</v>
      </c>
      <c r="F15641" s="46" t="s">
        <v>1247</v>
      </c>
      <c r="G15641" s="46">
        <v>9.285106592655E12</v>
      </c>
      <c r="H15641" s="46" t="s">
        <v>1248</v>
      </c>
      <c r="I15641" s="46" t="s">
        <v>1249</v>
      </c>
      <c r="J15641" s="46" t="s">
        <v>132</v>
      </c>
      <c r="K15641" s="46" t="s">
        <v>126</v>
      </c>
      <c r="L15641" s="45">
        <v>46014.0</v>
      </c>
      <c r="M15641" s="46" t="s">
        <v>123</v>
      </c>
      <c r="N15641" s="45">
        <v>46014.041666666664</v>
      </c>
      <c r="O15641" s="46" t="s">
        <v>123</v>
      </c>
      <c r="P15641" s="46">
        <v>3600.0</v>
      </c>
    </row>
    <row r="15642">
      <c r="A15642" s="40">
        <f t="shared" si="1"/>
        <v>46013</v>
      </c>
      <c r="B15642" s="37" t="str">
        <f t="array" ref="B15642">iferror(xlookup($I15642, 'IMPORT VHC Report'!$E:$E, 'IMPORT VHC Report'!$A:$C), )</f>
        <v/>
      </c>
      <c r="C15642" s="44"/>
      <c r="D15642" s="44"/>
      <c r="E15642" s="46" t="s">
        <v>11805</v>
      </c>
      <c r="F15642" s="46" t="s">
        <v>1247</v>
      </c>
      <c r="G15642" s="46">
        <v>9.285106592655E12</v>
      </c>
      <c r="H15642" s="46" t="s">
        <v>1248</v>
      </c>
      <c r="I15642" s="46" t="s">
        <v>1249</v>
      </c>
      <c r="J15642" s="46" t="s">
        <v>134</v>
      </c>
      <c r="K15642" s="46" t="s">
        <v>126</v>
      </c>
      <c r="L15642" s="45">
        <v>46014.104166666664</v>
      </c>
      <c r="M15642" s="46" t="s">
        <v>123</v>
      </c>
      <c r="N15642" s="45">
        <v>46014.125</v>
      </c>
      <c r="O15642" s="46" t="s">
        <v>123</v>
      </c>
      <c r="P15642" s="46">
        <v>1800.0</v>
      </c>
    </row>
    <row r="15643">
      <c r="A15643" s="40">
        <f t="shared" si="1"/>
        <v>46013</v>
      </c>
      <c r="B15643" s="37" t="str">
        <f t="array" ref="B15643">iferror(xlookup($I15643, 'IMPORT VHC Report'!$E:$E, 'IMPORT VHC Report'!$A:$C), )</f>
        <v/>
      </c>
      <c r="C15643" s="44"/>
      <c r="D15643" s="44"/>
      <c r="E15643" s="46" t="s">
        <v>11806</v>
      </c>
      <c r="F15643" s="46" t="s">
        <v>1247</v>
      </c>
      <c r="G15643" s="46">
        <v>9.285106592655E12</v>
      </c>
      <c r="H15643" s="46" t="s">
        <v>1248</v>
      </c>
      <c r="I15643" s="46" t="s">
        <v>1249</v>
      </c>
      <c r="J15643" s="46" t="s">
        <v>330</v>
      </c>
      <c r="K15643" s="46" t="s">
        <v>126</v>
      </c>
      <c r="L15643" s="45">
        <v>46014.875</v>
      </c>
      <c r="M15643" s="46" t="s">
        <v>123</v>
      </c>
      <c r="N15643" s="45">
        <v>46014.881944444445</v>
      </c>
      <c r="O15643" s="46" t="s">
        <v>123</v>
      </c>
      <c r="P15643" s="46">
        <v>600.0</v>
      </c>
    </row>
    <row r="15644">
      <c r="A15644" s="40">
        <f t="shared" si="1"/>
        <v>46013</v>
      </c>
      <c r="B15644" s="37" t="str">
        <f t="array" ref="B15644">iferror(xlookup($I15644, 'IMPORT VHC Report'!$E:$E, 'IMPORT VHC Report'!$A:$C), )</f>
        <v/>
      </c>
      <c r="C15644" s="44"/>
      <c r="D15644" s="44"/>
      <c r="E15644" s="46" t="s">
        <v>11807</v>
      </c>
      <c r="F15644" s="46" t="s">
        <v>1247</v>
      </c>
      <c r="G15644" s="46">
        <v>9.285106592655E12</v>
      </c>
      <c r="H15644" s="46" t="s">
        <v>1248</v>
      </c>
      <c r="I15644" s="46" t="s">
        <v>1249</v>
      </c>
      <c r="J15644" s="46" t="s">
        <v>332</v>
      </c>
      <c r="K15644" s="46" t="s">
        <v>63</v>
      </c>
      <c r="L15644" s="45">
        <v>46014.875</v>
      </c>
      <c r="M15644" s="46" t="s">
        <v>123</v>
      </c>
      <c r="N15644" s="45">
        <v>46015.25</v>
      </c>
      <c r="O15644" s="46" t="s">
        <v>123</v>
      </c>
      <c r="P15644" s="46">
        <v>32400.0</v>
      </c>
    </row>
    <row r="15645">
      <c r="A15645" s="40">
        <f t="shared" si="1"/>
        <v>46013</v>
      </c>
      <c r="B15645" s="37" t="str">
        <f t="array" ref="B15645">iferror(xlookup($I15645, 'IMPORT VHC Report'!$E:$E, 'IMPORT VHC Report'!$A:$C), )</f>
        <v/>
      </c>
      <c r="C15645" s="44"/>
      <c r="D15645" s="44"/>
      <c r="E15645" s="46" t="s">
        <v>11808</v>
      </c>
      <c r="F15645" s="46" t="s">
        <v>1247</v>
      </c>
      <c r="G15645" s="46">
        <v>9.285106592655E12</v>
      </c>
      <c r="H15645" s="46" t="s">
        <v>1248</v>
      </c>
      <c r="I15645" s="46" t="s">
        <v>1249</v>
      </c>
      <c r="J15645" s="46" t="s">
        <v>132</v>
      </c>
      <c r="K15645" s="46" t="s">
        <v>126</v>
      </c>
      <c r="L15645" s="45">
        <v>46014.979166666664</v>
      </c>
      <c r="M15645" s="46" t="s">
        <v>123</v>
      </c>
      <c r="N15645" s="45">
        <v>46015.020833333336</v>
      </c>
      <c r="O15645" s="46" t="s">
        <v>123</v>
      </c>
      <c r="P15645" s="46">
        <v>3600.0</v>
      </c>
    </row>
    <row r="15646">
      <c r="A15646" s="40">
        <f t="shared" si="1"/>
        <v>46013</v>
      </c>
      <c r="B15646" s="37" t="str">
        <f t="array" ref="B15646">iferror(xlookup($I15646, 'IMPORT VHC Report'!$E:$E, 'IMPORT VHC Report'!$A:$C), )</f>
        <v/>
      </c>
      <c r="C15646" s="44"/>
      <c r="D15646" s="44"/>
      <c r="E15646" s="46" t="s">
        <v>11809</v>
      </c>
      <c r="F15646" s="46" t="s">
        <v>1247</v>
      </c>
      <c r="G15646" s="46">
        <v>9.285106592655E12</v>
      </c>
      <c r="H15646" s="46" t="s">
        <v>1248</v>
      </c>
      <c r="I15646" s="46" t="s">
        <v>1249</v>
      </c>
      <c r="J15646" s="46" t="s">
        <v>134</v>
      </c>
      <c r="K15646" s="46" t="s">
        <v>126</v>
      </c>
      <c r="L15646" s="45">
        <v>46015.104166666664</v>
      </c>
      <c r="M15646" s="46" t="s">
        <v>123</v>
      </c>
      <c r="N15646" s="45">
        <v>46015.125</v>
      </c>
      <c r="O15646" s="46" t="s">
        <v>123</v>
      </c>
      <c r="P15646" s="46">
        <v>1800.0</v>
      </c>
    </row>
    <row r="15647">
      <c r="A15647" s="40">
        <f t="shared" si="1"/>
        <v>46013</v>
      </c>
      <c r="B15647" s="37" t="str">
        <f t="array" ref="B15647">iferror(xlookup($I15647, 'IMPORT VHC Report'!$E:$E, 'IMPORT VHC Report'!$A:$C), )</f>
        <v/>
      </c>
      <c r="C15647" s="44"/>
      <c r="D15647" s="44"/>
      <c r="E15647" s="46" t="s">
        <v>11810</v>
      </c>
      <c r="F15647" s="46" t="s">
        <v>1247</v>
      </c>
      <c r="G15647" s="46">
        <v>9.285106592655E12</v>
      </c>
      <c r="H15647" s="46" t="s">
        <v>1248</v>
      </c>
      <c r="I15647" s="46" t="s">
        <v>1249</v>
      </c>
      <c r="J15647" s="46" t="s">
        <v>330</v>
      </c>
      <c r="K15647" s="46" t="s">
        <v>126</v>
      </c>
      <c r="L15647" s="45">
        <v>46015.875</v>
      </c>
      <c r="M15647" s="46" t="s">
        <v>123</v>
      </c>
      <c r="N15647" s="45">
        <v>46015.881944444445</v>
      </c>
      <c r="O15647" s="46" t="s">
        <v>123</v>
      </c>
      <c r="P15647" s="46">
        <v>600.0</v>
      </c>
    </row>
    <row r="15648">
      <c r="A15648" s="40">
        <f t="shared" si="1"/>
        <v>46013</v>
      </c>
      <c r="B15648" s="37" t="str">
        <f t="array" ref="B15648">iferror(xlookup($I15648, 'IMPORT VHC Report'!$E:$E, 'IMPORT VHC Report'!$A:$C), )</f>
        <v/>
      </c>
      <c r="C15648" s="44"/>
      <c r="D15648" s="44"/>
      <c r="E15648" s="46" t="s">
        <v>11811</v>
      </c>
      <c r="F15648" s="46" t="s">
        <v>1247</v>
      </c>
      <c r="G15648" s="46">
        <v>9.285106592655E12</v>
      </c>
      <c r="H15648" s="46" t="s">
        <v>1248</v>
      </c>
      <c r="I15648" s="46" t="s">
        <v>1249</v>
      </c>
      <c r="J15648" s="46" t="s">
        <v>332</v>
      </c>
      <c r="K15648" s="46" t="s">
        <v>63</v>
      </c>
      <c r="L15648" s="45">
        <v>46015.875</v>
      </c>
      <c r="M15648" s="46" t="s">
        <v>123</v>
      </c>
      <c r="N15648" s="45">
        <v>46016.25</v>
      </c>
      <c r="O15648" s="46" t="s">
        <v>123</v>
      </c>
      <c r="P15648" s="46">
        <v>32400.0</v>
      </c>
    </row>
    <row r="15649">
      <c r="A15649" s="40">
        <f t="shared" si="1"/>
        <v>46013</v>
      </c>
      <c r="B15649" s="37" t="str">
        <f t="array" ref="B15649">iferror(xlookup($I15649, 'IMPORT VHC Report'!$E:$E, 'IMPORT VHC Report'!$A:$C), )</f>
        <v/>
      </c>
      <c r="C15649" s="44"/>
      <c r="D15649" s="44"/>
      <c r="E15649" s="46" t="s">
        <v>11812</v>
      </c>
      <c r="F15649" s="46" t="s">
        <v>1247</v>
      </c>
      <c r="G15649" s="46">
        <v>9.285106592655E12</v>
      </c>
      <c r="H15649" s="46" t="s">
        <v>1248</v>
      </c>
      <c r="I15649" s="46" t="s">
        <v>1249</v>
      </c>
      <c r="J15649" s="46" t="s">
        <v>136</v>
      </c>
      <c r="K15649" s="46" t="s">
        <v>126</v>
      </c>
      <c r="L15649" s="45">
        <v>46015.993055555555</v>
      </c>
      <c r="M15649" s="46" t="s">
        <v>123</v>
      </c>
      <c r="N15649" s="45">
        <v>46016.03472222222</v>
      </c>
      <c r="O15649" s="46" t="s">
        <v>123</v>
      </c>
      <c r="P15649" s="46">
        <v>3600.0</v>
      </c>
      <c r="S15649" s="46" t="s">
        <v>4171</v>
      </c>
    </row>
    <row r="15650">
      <c r="A15650" s="40">
        <f t="shared" si="1"/>
        <v>46013</v>
      </c>
      <c r="B15650" s="37" t="str">
        <f t="array" ref="B15650">iferror(xlookup($I15650, 'IMPORT VHC Report'!$E:$E, 'IMPORT VHC Report'!$A:$C), )</f>
        <v/>
      </c>
      <c r="C15650" s="44"/>
      <c r="D15650" s="44"/>
      <c r="E15650" s="46" t="s">
        <v>11813</v>
      </c>
      <c r="F15650" s="46" t="s">
        <v>1247</v>
      </c>
      <c r="G15650" s="46">
        <v>9.285106592655E12</v>
      </c>
      <c r="H15650" s="46" t="s">
        <v>1248</v>
      </c>
      <c r="I15650" s="46" t="s">
        <v>1249</v>
      </c>
      <c r="J15650" s="46" t="s">
        <v>132</v>
      </c>
      <c r="K15650" s="46" t="s">
        <v>126</v>
      </c>
      <c r="L15650" s="45">
        <v>46016.0625</v>
      </c>
      <c r="M15650" s="46" t="s">
        <v>123</v>
      </c>
      <c r="N15650" s="45">
        <v>46016.104166666664</v>
      </c>
      <c r="O15650" s="46" t="s">
        <v>123</v>
      </c>
      <c r="P15650" s="46">
        <v>3600.0</v>
      </c>
    </row>
    <row r="15651">
      <c r="A15651" s="40">
        <f t="shared" si="1"/>
        <v>46013</v>
      </c>
      <c r="B15651" s="37" t="str">
        <f t="array" ref="B15651">iferror(xlookup($I15651, 'IMPORT VHC Report'!$E:$E, 'IMPORT VHC Report'!$A:$C), )</f>
        <v/>
      </c>
      <c r="C15651" s="44"/>
      <c r="D15651" s="44"/>
      <c r="E15651" s="46" t="s">
        <v>11814</v>
      </c>
      <c r="F15651" s="46" t="s">
        <v>1247</v>
      </c>
      <c r="G15651" s="46">
        <v>9.285106592655E12</v>
      </c>
      <c r="H15651" s="46" t="s">
        <v>1248</v>
      </c>
      <c r="I15651" s="46" t="s">
        <v>1249</v>
      </c>
      <c r="J15651" s="46" t="s">
        <v>134</v>
      </c>
      <c r="K15651" s="46" t="s">
        <v>126</v>
      </c>
      <c r="L15651" s="45">
        <v>46016.166666666664</v>
      </c>
      <c r="M15651" s="46" t="s">
        <v>123</v>
      </c>
      <c r="N15651" s="45">
        <v>46016.1875</v>
      </c>
      <c r="O15651" s="46" t="s">
        <v>123</v>
      </c>
      <c r="P15651" s="46">
        <v>1800.0</v>
      </c>
    </row>
    <row r="15652">
      <c r="A15652" s="40">
        <f t="shared" si="1"/>
        <v>46013</v>
      </c>
      <c r="B15652" s="37" t="str">
        <f t="array" ref="B15652">iferror(xlookup($I15652, 'IMPORT VHC Report'!$E:$E, 'IMPORT VHC Report'!$A:$C), )</f>
        <v/>
      </c>
      <c r="C15652" s="44"/>
      <c r="D15652" s="44"/>
      <c r="E15652" s="46" t="s">
        <v>11815</v>
      </c>
      <c r="F15652" s="46" t="s">
        <v>1247</v>
      </c>
      <c r="G15652" s="46">
        <v>9.285106592655E12</v>
      </c>
      <c r="H15652" s="46" t="s">
        <v>1248</v>
      </c>
      <c r="I15652" s="46" t="s">
        <v>1249</v>
      </c>
      <c r="J15652" s="46" t="s">
        <v>330</v>
      </c>
      <c r="K15652" s="46" t="s">
        <v>126</v>
      </c>
      <c r="L15652" s="45">
        <v>46018.875</v>
      </c>
      <c r="M15652" s="46" t="s">
        <v>123</v>
      </c>
      <c r="N15652" s="45">
        <v>46018.881944444445</v>
      </c>
      <c r="O15652" s="46" t="s">
        <v>123</v>
      </c>
      <c r="P15652" s="46">
        <v>600.0</v>
      </c>
    </row>
    <row r="15653">
      <c r="A15653" s="40">
        <f t="shared" si="1"/>
        <v>46013</v>
      </c>
      <c r="B15653" s="37" t="str">
        <f t="array" ref="B15653">iferror(xlookup($I15653, 'IMPORT VHC Report'!$E:$E, 'IMPORT VHC Report'!$A:$C), )</f>
        <v/>
      </c>
      <c r="C15653" s="44"/>
      <c r="D15653" s="44"/>
      <c r="E15653" s="46" t="s">
        <v>11816</v>
      </c>
      <c r="F15653" s="46" t="s">
        <v>1247</v>
      </c>
      <c r="G15653" s="46">
        <v>9.285106592655E12</v>
      </c>
      <c r="H15653" s="46" t="s">
        <v>1248</v>
      </c>
      <c r="I15653" s="46" t="s">
        <v>1249</v>
      </c>
      <c r="J15653" s="46" t="s">
        <v>332</v>
      </c>
      <c r="K15653" s="46" t="s">
        <v>63</v>
      </c>
      <c r="L15653" s="45">
        <v>46018.875</v>
      </c>
      <c r="M15653" s="46" t="s">
        <v>123</v>
      </c>
      <c r="N15653" s="45">
        <v>46019.25</v>
      </c>
      <c r="O15653" s="46" t="s">
        <v>123</v>
      </c>
      <c r="P15653" s="46">
        <v>32400.0</v>
      </c>
    </row>
    <row r="15654">
      <c r="A15654" s="40">
        <f t="shared" si="1"/>
        <v>46013</v>
      </c>
      <c r="B15654" s="37" t="str">
        <f t="array" ref="B15654">iferror(xlookup($I15654, 'IMPORT VHC Report'!$E:$E, 'IMPORT VHC Report'!$A:$C), )</f>
        <v/>
      </c>
      <c r="C15654" s="44"/>
      <c r="D15654" s="44"/>
      <c r="E15654" s="46" t="s">
        <v>11817</v>
      </c>
      <c r="F15654" s="46" t="s">
        <v>1247</v>
      </c>
      <c r="G15654" s="46">
        <v>9.285106592655E12</v>
      </c>
      <c r="H15654" s="46" t="s">
        <v>1248</v>
      </c>
      <c r="I15654" s="46" t="s">
        <v>1249</v>
      </c>
      <c r="J15654" s="46" t="s">
        <v>132</v>
      </c>
      <c r="K15654" s="46" t="s">
        <v>126</v>
      </c>
      <c r="L15654" s="45">
        <v>46019.004166666666</v>
      </c>
      <c r="M15654" s="46" t="s">
        <v>123</v>
      </c>
      <c r="N15654" s="45">
        <v>46019.04583333333</v>
      </c>
      <c r="O15654" s="46" t="s">
        <v>123</v>
      </c>
      <c r="P15654" s="46">
        <v>3600.0</v>
      </c>
      <c r="S15654" s="46" t="s">
        <v>11818</v>
      </c>
    </row>
    <row r="15655">
      <c r="A15655" s="40">
        <f t="shared" si="1"/>
        <v>46013</v>
      </c>
      <c r="B15655" s="37" t="str">
        <f t="array" ref="B15655">iferror(xlookup($I15655, 'IMPORT VHC Report'!$E:$E, 'IMPORT VHC Report'!$A:$C), )</f>
        <v/>
      </c>
      <c r="C15655" s="44"/>
      <c r="D15655" s="44"/>
      <c r="E15655" s="46" t="s">
        <v>11819</v>
      </c>
      <c r="F15655" s="46" t="s">
        <v>1247</v>
      </c>
      <c r="G15655" s="46">
        <v>9.285106592655E12</v>
      </c>
      <c r="H15655" s="46" t="s">
        <v>1248</v>
      </c>
      <c r="I15655" s="46" t="s">
        <v>1249</v>
      </c>
      <c r="J15655" s="46" t="s">
        <v>134</v>
      </c>
      <c r="K15655" s="46" t="s">
        <v>126</v>
      </c>
      <c r="L15655" s="45">
        <v>46019.15625</v>
      </c>
      <c r="M15655" s="46" t="s">
        <v>123</v>
      </c>
      <c r="N15655" s="45">
        <v>46019.177083333336</v>
      </c>
      <c r="O15655" s="46" t="s">
        <v>123</v>
      </c>
      <c r="P15655" s="46">
        <v>1800.0</v>
      </c>
    </row>
    <row r="15656">
      <c r="A15656" s="40">
        <f t="shared" si="1"/>
        <v>46013</v>
      </c>
      <c r="B15656" s="37" t="str">
        <f t="array" ref="B15656">iferror(xlookup($I15656, 'IMPORT VHC Report'!$E:$E, 'IMPORT VHC Report'!$A:$C), )</f>
        <v/>
      </c>
      <c r="C15656" s="44"/>
      <c r="D15656" s="44"/>
      <c r="E15656" s="46" t="s">
        <v>11820</v>
      </c>
      <c r="F15656" s="46" t="s">
        <v>1247</v>
      </c>
      <c r="G15656" s="46">
        <v>9.285106592655E12</v>
      </c>
      <c r="H15656" s="46" t="s">
        <v>1248</v>
      </c>
      <c r="I15656" s="46" t="s">
        <v>1249</v>
      </c>
      <c r="J15656" s="46" t="s">
        <v>330</v>
      </c>
      <c r="K15656" s="46" t="s">
        <v>126</v>
      </c>
      <c r="L15656" s="45">
        <v>46019.875</v>
      </c>
      <c r="M15656" s="46" t="s">
        <v>123</v>
      </c>
      <c r="N15656" s="45">
        <v>46019.881944444445</v>
      </c>
      <c r="O15656" s="46" t="s">
        <v>123</v>
      </c>
      <c r="P15656" s="46">
        <v>600.0</v>
      </c>
    </row>
    <row r="15657">
      <c r="A15657" s="40">
        <f t="shared" si="1"/>
        <v>46013</v>
      </c>
      <c r="B15657" s="37" t="str">
        <f t="array" ref="B15657">iferror(xlookup($I15657, 'IMPORT VHC Report'!$E:$E, 'IMPORT VHC Report'!$A:$C), )</f>
        <v/>
      </c>
      <c r="C15657" s="44"/>
      <c r="D15657" s="44"/>
      <c r="E15657" s="46" t="s">
        <v>11821</v>
      </c>
      <c r="F15657" s="46" t="s">
        <v>1247</v>
      </c>
      <c r="G15657" s="46">
        <v>9.285106592655E12</v>
      </c>
      <c r="H15657" s="46" t="s">
        <v>1248</v>
      </c>
      <c r="I15657" s="46" t="s">
        <v>1249</v>
      </c>
      <c r="J15657" s="46" t="s">
        <v>332</v>
      </c>
      <c r="K15657" s="46" t="s">
        <v>63</v>
      </c>
      <c r="L15657" s="45">
        <v>46019.875</v>
      </c>
      <c r="M15657" s="46" t="s">
        <v>123</v>
      </c>
      <c r="N15657" s="45">
        <v>46020.0</v>
      </c>
      <c r="O15657" s="46" t="s">
        <v>123</v>
      </c>
      <c r="P15657" s="46">
        <v>10800.0</v>
      </c>
    </row>
    <row r="15658">
      <c r="A15658" s="40">
        <f t="shared" si="1"/>
        <v>46013</v>
      </c>
      <c r="B15658" s="37" t="str">
        <f t="array" ref="B15658">iferror(xlookup($I15658, 'IMPORT VHC Report'!$E:$E, 'IMPORT VHC Report'!$A:$C), )</f>
        <v/>
      </c>
      <c r="C15658" s="44"/>
      <c r="D15658" s="44"/>
      <c r="E15658" s="46" t="s">
        <v>11822</v>
      </c>
      <c r="F15658" s="46" t="s">
        <v>1247</v>
      </c>
      <c r="G15658" s="46">
        <v>9.285106592655E12</v>
      </c>
      <c r="H15658" s="46" t="s">
        <v>1248</v>
      </c>
      <c r="I15658" s="46" t="s">
        <v>1249</v>
      </c>
      <c r="J15658" s="46" t="s">
        <v>134</v>
      </c>
      <c r="K15658" s="46" t="s">
        <v>126</v>
      </c>
      <c r="L15658" s="45">
        <v>46019.96875</v>
      </c>
      <c r="M15658" s="46" t="s">
        <v>123</v>
      </c>
      <c r="N15658" s="45">
        <v>46019.989583333336</v>
      </c>
      <c r="O15658" s="46" t="s">
        <v>123</v>
      </c>
      <c r="P15658" s="46">
        <v>1800.0</v>
      </c>
    </row>
    <row r="15659">
      <c r="A15659" s="40">
        <f t="shared" si="1"/>
        <v>46013</v>
      </c>
      <c r="B15659" s="37" t="str">
        <f t="array" ref="B15659">iferror(xlookup($I15659, 'IMPORT VHC Report'!$E:$E, 'IMPORT VHC Report'!$A:$C), )</f>
        <v/>
      </c>
      <c r="C15659" s="44"/>
      <c r="D15659" s="44"/>
      <c r="E15659" s="46" t="s">
        <v>11823</v>
      </c>
      <c r="F15659" s="46" t="s">
        <v>1370</v>
      </c>
      <c r="G15659" s="46">
        <v>5.901960272783E12</v>
      </c>
      <c r="H15659" s="46" t="s">
        <v>1371</v>
      </c>
      <c r="I15659" s="46" t="s">
        <v>1372</v>
      </c>
      <c r="J15659" s="46" t="s">
        <v>125</v>
      </c>
      <c r="K15659" s="46" t="s">
        <v>126</v>
      </c>
      <c r="L15659" s="45">
        <v>46013.0</v>
      </c>
      <c r="M15659" s="46" t="s">
        <v>123</v>
      </c>
      <c r="N15659" s="45">
        <v>46013.006944444445</v>
      </c>
      <c r="O15659" s="46" t="s">
        <v>123</v>
      </c>
      <c r="P15659" s="46">
        <v>600.0</v>
      </c>
      <c r="S15659" s="46" t="s">
        <v>127</v>
      </c>
    </row>
    <row r="15660">
      <c r="A15660" s="40">
        <f t="shared" si="1"/>
        <v>46013</v>
      </c>
      <c r="B15660" s="37" t="str">
        <f t="array" ref="B15660">iferror(xlookup($I15660, 'IMPORT VHC Report'!$E:$E, 'IMPORT VHC Report'!$A:$C), )</f>
        <v/>
      </c>
      <c r="C15660" s="44"/>
      <c r="D15660" s="44"/>
      <c r="E15660" s="46" t="s">
        <v>11824</v>
      </c>
      <c r="F15660" s="46" t="s">
        <v>1370</v>
      </c>
      <c r="G15660" s="46">
        <v>5.901960272783E12</v>
      </c>
      <c r="H15660" s="46" t="s">
        <v>1371</v>
      </c>
      <c r="I15660" s="46" t="s">
        <v>1372</v>
      </c>
      <c r="J15660" s="46" t="s">
        <v>122</v>
      </c>
      <c r="K15660" s="46" t="s">
        <v>63</v>
      </c>
      <c r="L15660" s="45">
        <v>46013.0</v>
      </c>
      <c r="M15660" s="46" t="s">
        <v>123</v>
      </c>
      <c r="N15660" s="45">
        <v>46013.375</v>
      </c>
      <c r="O15660" s="46" t="s">
        <v>123</v>
      </c>
      <c r="P15660" s="46">
        <v>32400.0</v>
      </c>
    </row>
    <row r="15661">
      <c r="A15661" s="40">
        <f t="shared" si="1"/>
        <v>46013</v>
      </c>
      <c r="B15661" s="37" t="str">
        <f t="array" ref="B15661">iferror(xlookup($I15661, 'IMPORT VHC Report'!$E:$E, 'IMPORT VHC Report'!$A:$C), )</f>
        <v/>
      </c>
      <c r="C15661" s="44"/>
      <c r="D15661" s="44"/>
      <c r="E15661" s="46" t="s">
        <v>11825</v>
      </c>
      <c r="F15661" s="46" t="s">
        <v>1370</v>
      </c>
      <c r="G15661" s="46">
        <v>5.901960272783E12</v>
      </c>
      <c r="H15661" s="46" t="s">
        <v>1371</v>
      </c>
      <c r="I15661" s="46" t="s">
        <v>1372</v>
      </c>
      <c r="J15661" s="46" t="s">
        <v>134</v>
      </c>
      <c r="K15661" s="46" t="s">
        <v>126</v>
      </c>
      <c r="L15661" s="45">
        <v>46013.083333333336</v>
      </c>
      <c r="M15661" s="46" t="s">
        <v>123</v>
      </c>
      <c r="N15661" s="45">
        <v>46013.104166666664</v>
      </c>
      <c r="O15661" s="46" t="s">
        <v>123</v>
      </c>
      <c r="P15661" s="46">
        <v>1800.0</v>
      </c>
    </row>
    <row r="15662">
      <c r="A15662" s="40">
        <f t="shared" si="1"/>
        <v>46013</v>
      </c>
      <c r="B15662" s="37" t="str">
        <f t="array" ref="B15662">iferror(xlookup($I15662, 'IMPORT VHC Report'!$E:$E, 'IMPORT VHC Report'!$A:$C), )</f>
        <v/>
      </c>
      <c r="C15662" s="44"/>
      <c r="D15662" s="44"/>
      <c r="E15662" s="46" t="s">
        <v>11826</v>
      </c>
      <c r="F15662" s="46" t="s">
        <v>1370</v>
      </c>
      <c r="G15662" s="46">
        <v>5.901960272783E12</v>
      </c>
      <c r="H15662" s="46" t="s">
        <v>1371</v>
      </c>
      <c r="I15662" s="46" t="s">
        <v>1372</v>
      </c>
      <c r="J15662" s="46" t="s">
        <v>134</v>
      </c>
      <c r="K15662" s="46" t="s">
        <v>126</v>
      </c>
      <c r="L15662" s="45">
        <v>46013.104166666664</v>
      </c>
      <c r="M15662" s="46" t="s">
        <v>123</v>
      </c>
      <c r="N15662" s="45">
        <v>46013.131944444445</v>
      </c>
      <c r="O15662" s="46" t="s">
        <v>123</v>
      </c>
      <c r="P15662" s="46">
        <v>2400.0</v>
      </c>
      <c r="S15662" s="46" t="s">
        <v>1376</v>
      </c>
    </row>
    <row r="15663">
      <c r="A15663" s="40">
        <f t="shared" si="1"/>
        <v>46013</v>
      </c>
      <c r="B15663" s="37" t="str">
        <f t="array" ref="B15663">iferror(xlookup($I15663, 'IMPORT VHC Report'!$E:$E, 'IMPORT VHC Report'!$A:$C), )</f>
        <v/>
      </c>
      <c r="C15663" s="44"/>
      <c r="D15663" s="44"/>
      <c r="E15663" s="46" t="s">
        <v>11827</v>
      </c>
      <c r="F15663" s="46" t="s">
        <v>1370</v>
      </c>
      <c r="G15663" s="46">
        <v>5.901960272783E12</v>
      </c>
      <c r="H15663" s="46" t="s">
        <v>1371</v>
      </c>
      <c r="I15663" s="46" t="s">
        <v>1372</v>
      </c>
      <c r="J15663" s="46" t="s">
        <v>132</v>
      </c>
      <c r="K15663" s="46" t="s">
        <v>126</v>
      </c>
      <c r="L15663" s="45">
        <v>46013.208333333336</v>
      </c>
      <c r="M15663" s="46" t="s">
        <v>123</v>
      </c>
      <c r="N15663" s="45">
        <v>46013.25</v>
      </c>
      <c r="O15663" s="46" t="s">
        <v>123</v>
      </c>
      <c r="P15663" s="46">
        <v>3600.0</v>
      </c>
    </row>
    <row r="15664">
      <c r="A15664" s="40">
        <f t="shared" si="1"/>
        <v>46013</v>
      </c>
      <c r="B15664" s="37" t="str">
        <f t="array" ref="B15664">iferror(xlookup($I15664, 'IMPORT VHC Report'!$E:$E, 'IMPORT VHC Report'!$A:$C), )</f>
        <v/>
      </c>
      <c r="C15664" s="44"/>
      <c r="D15664" s="44"/>
      <c r="E15664" s="46" t="s">
        <v>11828</v>
      </c>
      <c r="F15664" s="46" t="s">
        <v>1370</v>
      </c>
      <c r="G15664" s="46">
        <v>5.901960272783E12</v>
      </c>
      <c r="H15664" s="46" t="s">
        <v>1371</v>
      </c>
      <c r="I15664" s="46" t="s">
        <v>1372</v>
      </c>
      <c r="J15664" s="46" t="s">
        <v>125</v>
      </c>
      <c r="K15664" s="46" t="s">
        <v>126</v>
      </c>
      <c r="L15664" s="45">
        <v>46014.0</v>
      </c>
      <c r="M15664" s="46" t="s">
        <v>123</v>
      </c>
      <c r="N15664" s="45">
        <v>46014.006944444445</v>
      </c>
      <c r="O15664" s="46" t="s">
        <v>123</v>
      </c>
      <c r="P15664" s="46">
        <v>600.0</v>
      </c>
      <c r="S15664" s="46" t="s">
        <v>127</v>
      </c>
    </row>
    <row r="15665">
      <c r="A15665" s="40">
        <f t="shared" si="1"/>
        <v>46013</v>
      </c>
      <c r="B15665" s="37" t="str">
        <f t="array" ref="B15665">iferror(xlookup($I15665, 'IMPORT VHC Report'!$E:$E, 'IMPORT VHC Report'!$A:$C), )</f>
        <v/>
      </c>
      <c r="C15665" s="44"/>
      <c r="D15665" s="44"/>
      <c r="E15665" s="46" t="s">
        <v>11829</v>
      </c>
      <c r="F15665" s="46" t="s">
        <v>1370</v>
      </c>
      <c r="G15665" s="46">
        <v>5.901960272783E12</v>
      </c>
      <c r="H15665" s="46" t="s">
        <v>1371</v>
      </c>
      <c r="I15665" s="46" t="s">
        <v>1372</v>
      </c>
      <c r="J15665" s="46" t="s">
        <v>122</v>
      </c>
      <c r="K15665" s="46" t="s">
        <v>63</v>
      </c>
      <c r="L15665" s="45">
        <v>46014.0</v>
      </c>
      <c r="M15665" s="46" t="s">
        <v>123</v>
      </c>
      <c r="N15665" s="45">
        <v>46014.375</v>
      </c>
      <c r="O15665" s="46" t="s">
        <v>123</v>
      </c>
      <c r="P15665" s="46">
        <v>32400.0</v>
      </c>
    </row>
    <row r="15666">
      <c r="A15666" s="40">
        <f t="shared" si="1"/>
        <v>46013</v>
      </c>
      <c r="B15666" s="37" t="str">
        <f t="array" ref="B15666">iferror(xlookup($I15666, 'IMPORT VHC Report'!$E:$E, 'IMPORT VHC Report'!$A:$C), )</f>
        <v/>
      </c>
      <c r="C15666" s="44"/>
      <c r="D15666" s="44"/>
      <c r="E15666" s="46" t="s">
        <v>11830</v>
      </c>
      <c r="F15666" s="46" t="s">
        <v>1370</v>
      </c>
      <c r="G15666" s="46">
        <v>5.901960272783E12</v>
      </c>
      <c r="H15666" s="46" t="s">
        <v>1371</v>
      </c>
      <c r="I15666" s="46" t="s">
        <v>1372</v>
      </c>
      <c r="J15666" s="46" t="s">
        <v>330</v>
      </c>
      <c r="K15666" s="46" t="s">
        <v>126</v>
      </c>
      <c r="L15666" s="45">
        <v>46014.020833333336</v>
      </c>
      <c r="M15666" s="46" t="s">
        <v>123</v>
      </c>
      <c r="N15666" s="45">
        <v>46014.0625</v>
      </c>
      <c r="O15666" s="46" t="s">
        <v>123</v>
      </c>
      <c r="P15666" s="46">
        <v>3600.0</v>
      </c>
    </row>
    <row r="15667">
      <c r="A15667" s="40">
        <f t="shared" si="1"/>
        <v>46013</v>
      </c>
      <c r="B15667" s="37" t="str">
        <f t="array" ref="B15667">iferror(xlookup($I15667, 'IMPORT VHC Report'!$E:$E, 'IMPORT VHC Report'!$A:$C), )</f>
        <v/>
      </c>
      <c r="C15667" s="44"/>
      <c r="D15667" s="44"/>
      <c r="E15667" s="46" t="s">
        <v>11831</v>
      </c>
      <c r="F15667" s="46" t="s">
        <v>1370</v>
      </c>
      <c r="G15667" s="46">
        <v>5.901960272783E12</v>
      </c>
      <c r="H15667" s="46" t="s">
        <v>1371</v>
      </c>
      <c r="I15667" s="46" t="s">
        <v>1372</v>
      </c>
      <c r="J15667" s="46" t="s">
        <v>134</v>
      </c>
      <c r="K15667" s="46" t="s">
        <v>126</v>
      </c>
      <c r="L15667" s="45">
        <v>46014.072916666664</v>
      </c>
      <c r="M15667" s="46" t="s">
        <v>123</v>
      </c>
      <c r="N15667" s="45">
        <v>46014.09375</v>
      </c>
      <c r="O15667" s="46" t="s">
        <v>123</v>
      </c>
      <c r="P15667" s="46">
        <v>1800.0</v>
      </c>
    </row>
    <row r="15668">
      <c r="A15668" s="40">
        <f t="shared" si="1"/>
        <v>46013</v>
      </c>
      <c r="B15668" s="37" t="str">
        <f t="array" ref="B15668">iferror(xlookup($I15668, 'IMPORT VHC Report'!$E:$E, 'IMPORT VHC Report'!$A:$C), )</f>
        <v/>
      </c>
      <c r="C15668" s="44"/>
      <c r="D15668" s="44"/>
      <c r="E15668" s="46" t="s">
        <v>11832</v>
      </c>
      <c r="F15668" s="46" t="s">
        <v>1370</v>
      </c>
      <c r="G15668" s="46">
        <v>5.901960272783E12</v>
      </c>
      <c r="H15668" s="46" t="s">
        <v>1371</v>
      </c>
      <c r="I15668" s="46" t="s">
        <v>1372</v>
      </c>
      <c r="J15668" s="46" t="s">
        <v>134</v>
      </c>
      <c r="K15668" s="46" t="s">
        <v>126</v>
      </c>
      <c r="L15668" s="45">
        <v>46014.09375</v>
      </c>
      <c r="M15668" s="46" t="s">
        <v>123</v>
      </c>
      <c r="N15668" s="45">
        <v>46014.12152777778</v>
      </c>
      <c r="O15668" s="46" t="s">
        <v>123</v>
      </c>
      <c r="P15668" s="46">
        <v>2400.0</v>
      </c>
      <c r="S15668" s="46" t="s">
        <v>1376</v>
      </c>
    </row>
    <row r="15669">
      <c r="A15669" s="40">
        <f t="shared" si="1"/>
        <v>46013</v>
      </c>
      <c r="B15669" s="37" t="str">
        <f t="array" ref="B15669">iferror(xlookup($I15669, 'IMPORT VHC Report'!$E:$E, 'IMPORT VHC Report'!$A:$C), )</f>
        <v/>
      </c>
      <c r="C15669" s="44"/>
      <c r="D15669" s="44"/>
      <c r="E15669" s="46" t="s">
        <v>11833</v>
      </c>
      <c r="F15669" s="46" t="s">
        <v>1370</v>
      </c>
      <c r="G15669" s="46">
        <v>5.901960272783E12</v>
      </c>
      <c r="H15669" s="46" t="s">
        <v>1371</v>
      </c>
      <c r="I15669" s="46" t="s">
        <v>1372</v>
      </c>
      <c r="J15669" s="46" t="s">
        <v>132</v>
      </c>
      <c r="K15669" s="46" t="s">
        <v>126</v>
      </c>
      <c r="L15669" s="45">
        <v>46014.208333333336</v>
      </c>
      <c r="M15669" s="46" t="s">
        <v>123</v>
      </c>
      <c r="N15669" s="45">
        <v>46014.25</v>
      </c>
      <c r="O15669" s="46" t="s">
        <v>123</v>
      </c>
      <c r="P15669" s="46">
        <v>3600.0</v>
      </c>
    </row>
    <row r="15670">
      <c r="A15670" s="40">
        <f t="shared" si="1"/>
        <v>46013</v>
      </c>
      <c r="B15670" s="37" t="str">
        <f t="array" ref="B15670">iferror(xlookup($I15670, 'IMPORT VHC Report'!$E:$E, 'IMPORT VHC Report'!$A:$C), )</f>
        <v/>
      </c>
      <c r="C15670" s="44"/>
      <c r="D15670" s="44"/>
      <c r="E15670" s="46" t="s">
        <v>11834</v>
      </c>
      <c r="F15670" s="46" t="s">
        <v>1370</v>
      </c>
      <c r="G15670" s="46">
        <v>5.901960272783E12</v>
      </c>
      <c r="H15670" s="46" t="s">
        <v>1371</v>
      </c>
      <c r="I15670" s="46" t="s">
        <v>1372</v>
      </c>
      <c r="J15670" s="46" t="s">
        <v>4</v>
      </c>
      <c r="K15670" s="46" t="s">
        <v>126</v>
      </c>
      <c r="L15670" s="45">
        <v>46014.368055555555</v>
      </c>
      <c r="M15670" s="46" t="s">
        <v>123</v>
      </c>
      <c r="N15670" s="45">
        <v>46014.375</v>
      </c>
      <c r="O15670" s="46" t="s">
        <v>123</v>
      </c>
      <c r="P15670" s="46">
        <v>600.0</v>
      </c>
      <c r="S15670" s="46" t="s">
        <v>11835</v>
      </c>
    </row>
    <row r="15671">
      <c r="A15671" s="40">
        <f t="shared" si="1"/>
        <v>46013</v>
      </c>
      <c r="B15671" s="37" t="str">
        <f t="array" ref="B15671">iferror(xlookup($I15671, 'IMPORT VHC Report'!$E:$E, 'IMPORT VHC Report'!$A:$C), )</f>
        <v/>
      </c>
      <c r="C15671" s="44"/>
      <c r="D15671" s="44"/>
      <c r="E15671" s="46" t="s">
        <v>11836</v>
      </c>
      <c r="F15671" s="46" t="s">
        <v>1370</v>
      </c>
      <c r="G15671" s="46">
        <v>5.901960272783E12</v>
      </c>
      <c r="H15671" s="46" t="s">
        <v>1371</v>
      </c>
      <c r="I15671" s="46" t="s">
        <v>1372</v>
      </c>
      <c r="J15671" s="46" t="s">
        <v>125</v>
      </c>
      <c r="K15671" s="46" t="s">
        <v>126</v>
      </c>
      <c r="L15671" s="45">
        <v>46015.0</v>
      </c>
      <c r="M15671" s="46" t="s">
        <v>123</v>
      </c>
      <c r="N15671" s="45">
        <v>46015.006944444445</v>
      </c>
      <c r="O15671" s="46" t="s">
        <v>123</v>
      </c>
      <c r="P15671" s="46">
        <v>600.0</v>
      </c>
      <c r="S15671" s="46" t="s">
        <v>127</v>
      </c>
    </row>
    <row r="15672">
      <c r="A15672" s="40">
        <f t="shared" si="1"/>
        <v>46013</v>
      </c>
      <c r="B15672" s="37" t="str">
        <f t="array" ref="B15672">iferror(xlookup($I15672, 'IMPORT VHC Report'!$E:$E, 'IMPORT VHC Report'!$A:$C), )</f>
        <v/>
      </c>
      <c r="C15672" s="44"/>
      <c r="D15672" s="44"/>
      <c r="E15672" s="46" t="s">
        <v>11837</v>
      </c>
      <c r="F15672" s="46" t="s">
        <v>1370</v>
      </c>
      <c r="G15672" s="46">
        <v>5.901960272783E12</v>
      </c>
      <c r="H15672" s="46" t="s">
        <v>1371</v>
      </c>
      <c r="I15672" s="46" t="s">
        <v>1372</v>
      </c>
      <c r="J15672" s="46" t="s">
        <v>122</v>
      </c>
      <c r="K15672" s="46" t="s">
        <v>63</v>
      </c>
      <c r="L15672" s="45">
        <v>46015.0</v>
      </c>
      <c r="M15672" s="46" t="s">
        <v>123</v>
      </c>
      <c r="N15672" s="45">
        <v>46015.375</v>
      </c>
      <c r="O15672" s="46" t="s">
        <v>123</v>
      </c>
      <c r="P15672" s="46">
        <v>32400.0</v>
      </c>
    </row>
    <row r="15673">
      <c r="A15673" s="40">
        <f t="shared" si="1"/>
        <v>46013</v>
      </c>
      <c r="B15673" s="37" t="str">
        <f t="array" ref="B15673">iferror(xlookup($I15673, 'IMPORT VHC Report'!$E:$E, 'IMPORT VHC Report'!$A:$C), )</f>
        <v/>
      </c>
      <c r="C15673" s="44"/>
      <c r="D15673" s="44"/>
      <c r="E15673" s="46" t="s">
        <v>11838</v>
      </c>
      <c r="F15673" s="46" t="s">
        <v>1370</v>
      </c>
      <c r="G15673" s="46">
        <v>5.901960272783E12</v>
      </c>
      <c r="H15673" s="46" t="s">
        <v>1371</v>
      </c>
      <c r="I15673" s="46" t="s">
        <v>1372</v>
      </c>
      <c r="J15673" s="46" t="s">
        <v>152</v>
      </c>
      <c r="K15673" s="46" t="s">
        <v>153</v>
      </c>
      <c r="L15673" s="45">
        <v>46015.0</v>
      </c>
      <c r="M15673" s="46" t="s">
        <v>123</v>
      </c>
      <c r="N15673" s="45">
        <v>46015.375</v>
      </c>
      <c r="O15673" s="46" t="s">
        <v>123</v>
      </c>
      <c r="P15673" s="46">
        <v>32400.0</v>
      </c>
      <c r="Q15673" s="46">
        <v>28800.0</v>
      </c>
    </row>
    <row r="15674">
      <c r="A15674" s="40">
        <f t="shared" si="1"/>
        <v>46013</v>
      </c>
      <c r="B15674" s="37" t="str">
        <f t="array" ref="B15674">iferror(xlookup($I15674, 'IMPORT VHC Report'!$E:$E, 'IMPORT VHC Report'!$A:$C), )</f>
        <v/>
      </c>
      <c r="C15674" s="44"/>
      <c r="D15674" s="44"/>
      <c r="E15674" s="46" t="s">
        <v>11839</v>
      </c>
      <c r="F15674" s="46" t="s">
        <v>1370</v>
      </c>
      <c r="G15674" s="46">
        <v>5.901960272783E12</v>
      </c>
      <c r="H15674" s="46" t="s">
        <v>1371</v>
      </c>
      <c r="I15674" s="46" t="s">
        <v>1372</v>
      </c>
      <c r="J15674" s="46" t="s">
        <v>132</v>
      </c>
      <c r="K15674" s="46" t="s">
        <v>126</v>
      </c>
      <c r="L15674" s="45">
        <v>46015.072916666664</v>
      </c>
      <c r="M15674" s="46" t="s">
        <v>123</v>
      </c>
      <c r="N15674" s="45">
        <v>46015.114583333336</v>
      </c>
      <c r="O15674" s="46" t="s">
        <v>123</v>
      </c>
      <c r="P15674" s="46">
        <v>3600.0</v>
      </c>
    </row>
    <row r="15675">
      <c r="A15675" s="40">
        <f t="shared" si="1"/>
        <v>46013</v>
      </c>
      <c r="B15675" s="37" t="str">
        <f t="array" ref="B15675">iferror(xlookup($I15675, 'IMPORT VHC Report'!$E:$E, 'IMPORT VHC Report'!$A:$C), )</f>
        <v/>
      </c>
      <c r="C15675" s="44"/>
      <c r="D15675" s="44"/>
      <c r="E15675" s="46" t="s">
        <v>11840</v>
      </c>
      <c r="F15675" s="46" t="s">
        <v>1370</v>
      </c>
      <c r="G15675" s="46">
        <v>5.901960272783E12</v>
      </c>
      <c r="H15675" s="46" t="s">
        <v>1371</v>
      </c>
      <c r="I15675" s="46" t="s">
        <v>1372</v>
      </c>
      <c r="J15675" s="46" t="s">
        <v>134</v>
      </c>
      <c r="K15675" s="46" t="s">
        <v>126</v>
      </c>
      <c r="L15675" s="45">
        <v>46015.229166666664</v>
      </c>
      <c r="M15675" s="46" t="s">
        <v>123</v>
      </c>
      <c r="N15675" s="45">
        <v>46015.25</v>
      </c>
      <c r="O15675" s="46" t="s">
        <v>123</v>
      </c>
      <c r="P15675" s="46">
        <v>1800.0</v>
      </c>
    </row>
    <row r="15676">
      <c r="A15676" s="40">
        <f t="shared" si="1"/>
        <v>46013</v>
      </c>
      <c r="B15676" s="37" t="str">
        <f t="array" ref="B15676">iferror(xlookup($I15676, 'IMPORT VHC Report'!$E:$E, 'IMPORT VHC Report'!$A:$C), )</f>
        <v/>
      </c>
      <c r="C15676" s="44"/>
      <c r="D15676" s="44"/>
      <c r="E15676" s="46" t="s">
        <v>11841</v>
      </c>
      <c r="F15676" s="46" t="s">
        <v>1370</v>
      </c>
      <c r="G15676" s="46">
        <v>5.901960272783E12</v>
      </c>
      <c r="H15676" s="46" t="s">
        <v>1371</v>
      </c>
      <c r="I15676" s="46" t="s">
        <v>1372</v>
      </c>
      <c r="J15676" s="46" t="s">
        <v>136</v>
      </c>
      <c r="K15676" s="46" t="s">
        <v>126</v>
      </c>
      <c r="L15676" s="45">
        <v>46016.0</v>
      </c>
      <c r="M15676" s="46" t="s">
        <v>123</v>
      </c>
      <c r="N15676" s="45">
        <v>46016.041666666664</v>
      </c>
      <c r="O15676" s="46" t="s">
        <v>123</v>
      </c>
      <c r="P15676" s="46">
        <v>3600.0</v>
      </c>
      <c r="S15676" s="46" t="s">
        <v>137</v>
      </c>
    </row>
    <row r="15677">
      <c r="A15677" s="40">
        <f t="shared" si="1"/>
        <v>46013</v>
      </c>
      <c r="B15677" s="37" t="str">
        <f t="array" ref="B15677">iferror(xlookup($I15677, 'IMPORT VHC Report'!$E:$E, 'IMPORT VHC Report'!$A:$C), )</f>
        <v/>
      </c>
      <c r="C15677" s="44"/>
      <c r="D15677" s="44"/>
      <c r="E15677" s="46" t="s">
        <v>11842</v>
      </c>
      <c r="F15677" s="46" t="s">
        <v>1370</v>
      </c>
      <c r="G15677" s="46">
        <v>5.901960272783E12</v>
      </c>
      <c r="H15677" s="46" t="s">
        <v>1371</v>
      </c>
      <c r="I15677" s="46" t="s">
        <v>1372</v>
      </c>
      <c r="J15677" s="46" t="s">
        <v>122</v>
      </c>
      <c r="K15677" s="46" t="s">
        <v>63</v>
      </c>
      <c r="L15677" s="45">
        <v>46016.0</v>
      </c>
      <c r="M15677" s="46" t="s">
        <v>123</v>
      </c>
      <c r="N15677" s="45">
        <v>46016.375</v>
      </c>
      <c r="O15677" s="46" t="s">
        <v>123</v>
      </c>
      <c r="P15677" s="46">
        <v>32400.0</v>
      </c>
    </row>
    <row r="15678">
      <c r="A15678" s="40">
        <f t="shared" si="1"/>
        <v>46013</v>
      </c>
      <c r="B15678" s="37" t="str">
        <f t="array" ref="B15678">iferror(xlookup($I15678, 'IMPORT VHC Report'!$E:$E, 'IMPORT VHC Report'!$A:$C), )</f>
        <v/>
      </c>
      <c r="C15678" s="44"/>
      <c r="D15678" s="44"/>
      <c r="E15678" s="46" t="s">
        <v>11843</v>
      </c>
      <c r="F15678" s="46" t="s">
        <v>1370</v>
      </c>
      <c r="G15678" s="46">
        <v>5.901960272783E12</v>
      </c>
      <c r="H15678" s="46" t="s">
        <v>1371</v>
      </c>
      <c r="I15678" s="46" t="s">
        <v>1372</v>
      </c>
      <c r="J15678" s="46" t="s">
        <v>125</v>
      </c>
      <c r="K15678" s="46" t="s">
        <v>126</v>
      </c>
      <c r="L15678" s="45">
        <v>46016.041666666664</v>
      </c>
      <c r="M15678" s="46" t="s">
        <v>123</v>
      </c>
      <c r="N15678" s="45">
        <v>46016.04861111111</v>
      </c>
      <c r="O15678" s="46" t="s">
        <v>123</v>
      </c>
      <c r="P15678" s="46">
        <v>600.0</v>
      </c>
      <c r="S15678" s="46" t="s">
        <v>127</v>
      </c>
    </row>
    <row r="15679">
      <c r="A15679" s="40">
        <f t="shared" si="1"/>
        <v>46013</v>
      </c>
      <c r="B15679" s="37" t="str">
        <f t="array" ref="B15679">iferror(xlookup($I15679, 'IMPORT VHC Report'!$E:$E, 'IMPORT VHC Report'!$A:$C), )</f>
        <v/>
      </c>
      <c r="C15679" s="44"/>
      <c r="D15679" s="44"/>
      <c r="E15679" s="46" t="s">
        <v>11844</v>
      </c>
      <c r="F15679" s="46" t="s">
        <v>1370</v>
      </c>
      <c r="G15679" s="46">
        <v>5.901960272783E12</v>
      </c>
      <c r="H15679" s="46" t="s">
        <v>1371</v>
      </c>
      <c r="I15679" s="46" t="s">
        <v>1372</v>
      </c>
      <c r="J15679" s="46" t="s">
        <v>132</v>
      </c>
      <c r="K15679" s="46" t="s">
        <v>126</v>
      </c>
      <c r="L15679" s="45">
        <v>46016.125</v>
      </c>
      <c r="M15679" s="46" t="s">
        <v>123</v>
      </c>
      <c r="N15679" s="45">
        <v>46016.166666666664</v>
      </c>
      <c r="O15679" s="46" t="s">
        <v>123</v>
      </c>
      <c r="P15679" s="46">
        <v>3600.0</v>
      </c>
    </row>
    <row r="15680">
      <c r="A15680" s="40">
        <f t="shared" si="1"/>
        <v>46013</v>
      </c>
      <c r="B15680" s="37" t="str">
        <f t="array" ref="B15680">iferror(xlookup($I15680, 'IMPORT VHC Report'!$E:$E, 'IMPORT VHC Report'!$A:$C), )</f>
        <v/>
      </c>
      <c r="C15680" s="44"/>
      <c r="D15680" s="44"/>
      <c r="E15680" s="46" t="s">
        <v>11845</v>
      </c>
      <c r="F15680" s="46" t="s">
        <v>1370</v>
      </c>
      <c r="G15680" s="46">
        <v>5.901960272783E12</v>
      </c>
      <c r="H15680" s="46" t="s">
        <v>1371</v>
      </c>
      <c r="I15680" s="46" t="s">
        <v>1372</v>
      </c>
      <c r="J15680" s="46" t="s">
        <v>134</v>
      </c>
      <c r="K15680" s="46" t="s">
        <v>126</v>
      </c>
      <c r="L15680" s="45">
        <v>46016.26388888889</v>
      </c>
      <c r="M15680" s="46" t="s">
        <v>123</v>
      </c>
      <c r="N15680" s="45">
        <v>46016.291666666664</v>
      </c>
      <c r="O15680" s="46" t="s">
        <v>123</v>
      </c>
      <c r="P15680" s="46">
        <v>2400.0</v>
      </c>
      <c r="S15680" s="46" t="s">
        <v>1376</v>
      </c>
    </row>
    <row r="15681">
      <c r="A15681" s="40">
        <f t="shared" si="1"/>
        <v>46013</v>
      </c>
      <c r="B15681" s="37" t="str">
        <f t="array" ref="B15681">iferror(xlookup($I15681, 'IMPORT VHC Report'!$E:$E, 'IMPORT VHC Report'!$A:$C), )</f>
        <v/>
      </c>
      <c r="C15681" s="44"/>
      <c r="D15681" s="44"/>
      <c r="E15681" s="46" t="s">
        <v>11846</v>
      </c>
      <c r="F15681" s="46" t="s">
        <v>1370</v>
      </c>
      <c r="G15681" s="46">
        <v>5.901960272783E12</v>
      </c>
      <c r="H15681" s="46" t="s">
        <v>1371</v>
      </c>
      <c r="I15681" s="46" t="s">
        <v>1372</v>
      </c>
      <c r="J15681" s="46" t="s">
        <v>134</v>
      </c>
      <c r="K15681" s="46" t="s">
        <v>126</v>
      </c>
      <c r="L15681" s="45">
        <v>46016.291666666664</v>
      </c>
      <c r="M15681" s="46" t="s">
        <v>123</v>
      </c>
      <c r="N15681" s="45">
        <v>46016.3125</v>
      </c>
      <c r="O15681" s="46" t="s">
        <v>123</v>
      </c>
      <c r="P15681" s="46">
        <v>1800.0</v>
      </c>
    </row>
    <row r="15682">
      <c r="A15682" s="40">
        <f t="shared" si="1"/>
        <v>46013</v>
      </c>
      <c r="B15682" s="37" t="str">
        <f t="array" ref="B15682">iferror(xlookup($I15682, 'IMPORT VHC Report'!$E:$E, 'IMPORT VHC Report'!$A:$C), )</f>
        <v/>
      </c>
      <c r="C15682" s="44"/>
      <c r="D15682" s="44"/>
      <c r="E15682" s="46" t="s">
        <v>11847</v>
      </c>
      <c r="F15682" s="46" t="s">
        <v>1370</v>
      </c>
      <c r="G15682" s="46">
        <v>5.901960272783E12</v>
      </c>
      <c r="H15682" s="46" t="s">
        <v>1371</v>
      </c>
      <c r="I15682" s="46" t="s">
        <v>1372</v>
      </c>
      <c r="J15682" s="46" t="s">
        <v>125</v>
      </c>
      <c r="K15682" s="46" t="s">
        <v>126</v>
      </c>
      <c r="L15682" s="45">
        <v>46019.0</v>
      </c>
      <c r="M15682" s="46" t="s">
        <v>123</v>
      </c>
      <c r="N15682" s="45">
        <v>46019.006944444445</v>
      </c>
      <c r="O15682" s="46" t="s">
        <v>123</v>
      </c>
      <c r="P15682" s="46">
        <v>600.0</v>
      </c>
      <c r="S15682" s="46" t="s">
        <v>127</v>
      </c>
    </row>
    <row r="15683">
      <c r="A15683" s="40">
        <f t="shared" si="1"/>
        <v>46013</v>
      </c>
      <c r="B15683" s="37" t="str">
        <f t="array" ref="B15683">iferror(xlookup($I15683, 'IMPORT VHC Report'!$E:$E, 'IMPORT VHC Report'!$A:$C), )</f>
        <v/>
      </c>
      <c r="C15683" s="44"/>
      <c r="D15683" s="44"/>
      <c r="E15683" s="46" t="s">
        <v>11848</v>
      </c>
      <c r="F15683" s="46" t="s">
        <v>1370</v>
      </c>
      <c r="G15683" s="46">
        <v>5.901960272783E12</v>
      </c>
      <c r="H15683" s="46" t="s">
        <v>1371</v>
      </c>
      <c r="I15683" s="46" t="s">
        <v>1372</v>
      </c>
      <c r="J15683" s="46" t="s">
        <v>122</v>
      </c>
      <c r="K15683" s="46" t="s">
        <v>63</v>
      </c>
      <c r="L15683" s="45">
        <v>46019.0</v>
      </c>
      <c r="M15683" s="46" t="s">
        <v>123</v>
      </c>
      <c r="N15683" s="45">
        <v>46019.375</v>
      </c>
      <c r="O15683" s="46" t="s">
        <v>123</v>
      </c>
      <c r="P15683" s="46">
        <v>32400.0</v>
      </c>
    </row>
    <row r="15684">
      <c r="A15684" s="40">
        <f t="shared" si="1"/>
        <v>46013</v>
      </c>
      <c r="B15684" s="37" t="str">
        <f t="array" ref="B15684">iferror(xlookup($I15684, 'IMPORT VHC Report'!$E:$E, 'IMPORT VHC Report'!$A:$C), )</f>
        <v/>
      </c>
      <c r="C15684" s="44"/>
      <c r="D15684" s="44"/>
      <c r="E15684" s="46" t="s">
        <v>11849</v>
      </c>
      <c r="F15684" s="46" t="s">
        <v>1370</v>
      </c>
      <c r="G15684" s="46">
        <v>5.901960272783E12</v>
      </c>
      <c r="H15684" s="46" t="s">
        <v>1371</v>
      </c>
      <c r="I15684" s="46" t="s">
        <v>1372</v>
      </c>
      <c r="J15684" s="46" t="s">
        <v>132</v>
      </c>
      <c r="K15684" s="46" t="s">
        <v>126</v>
      </c>
      <c r="L15684" s="45">
        <v>46019.09375</v>
      </c>
      <c r="M15684" s="46" t="s">
        <v>123</v>
      </c>
      <c r="N15684" s="45">
        <v>46019.135416666664</v>
      </c>
      <c r="O15684" s="46" t="s">
        <v>123</v>
      </c>
      <c r="P15684" s="46">
        <v>3600.0</v>
      </c>
    </row>
    <row r="15685">
      <c r="A15685" s="40">
        <f t="shared" si="1"/>
        <v>46013</v>
      </c>
      <c r="B15685" s="37" t="str">
        <f t="array" ref="B15685">iferror(xlookup($I15685, 'IMPORT VHC Report'!$E:$E, 'IMPORT VHC Report'!$A:$C), )</f>
        <v/>
      </c>
      <c r="C15685" s="44"/>
      <c r="D15685" s="44"/>
      <c r="E15685" s="46" t="s">
        <v>11850</v>
      </c>
      <c r="F15685" s="46" t="s">
        <v>1370</v>
      </c>
      <c r="G15685" s="46">
        <v>5.901960272783E12</v>
      </c>
      <c r="H15685" s="46" t="s">
        <v>1371</v>
      </c>
      <c r="I15685" s="46" t="s">
        <v>1372</v>
      </c>
      <c r="J15685" s="46" t="s">
        <v>134</v>
      </c>
      <c r="K15685" s="46" t="s">
        <v>126</v>
      </c>
      <c r="L15685" s="45">
        <v>46019.256944444445</v>
      </c>
      <c r="M15685" s="46" t="s">
        <v>123</v>
      </c>
      <c r="N15685" s="45">
        <v>46019.305555555555</v>
      </c>
      <c r="O15685" s="46" t="s">
        <v>123</v>
      </c>
      <c r="P15685" s="46">
        <v>4200.0</v>
      </c>
      <c r="S15685" s="46" t="s">
        <v>11851</v>
      </c>
    </row>
    <row r="15686">
      <c r="A15686" s="40">
        <f t="shared" si="1"/>
        <v>46013</v>
      </c>
      <c r="B15686" s="37" t="str">
        <f t="array" ref="B15686">iferror(xlookup($I15686, 'IMPORT VHC Report'!$E:$E, 'IMPORT VHC Report'!$A:$C), )</f>
        <v/>
      </c>
      <c r="C15686" s="44"/>
      <c r="D15686" s="44"/>
      <c r="E15686" s="46" t="s">
        <v>11852</v>
      </c>
      <c r="F15686" s="46" t="s">
        <v>1720</v>
      </c>
      <c r="G15686" s="46">
        <v>3.61750052875E11</v>
      </c>
      <c r="H15686" s="46" t="s">
        <v>1721</v>
      </c>
      <c r="I15686" s="46" t="s">
        <v>1722</v>
      </c>
      <c r="J15686" s="46" t="s">
        <v>332</v>
      </c>
      <c r="K15686" s="46" t="s">
        <v>63</v>
      </c>
      <c r="L15686" s="45">
        <v>46013.0</v>
      </c>
      <c r="M15686" s="46" t="s">
        <v>123</v>
      </c>
      <c r="N15686" s="45">
        <v>46013.208333333336</v>
      </c>
      <c r="O15686" s="46" t="s">
        <v>123</v>
      </c>
      <c r="P15686" s="46">
        <v>18000.0</v>
      </c>
    </row>
    <row r="15687">
      <c r="A15687" s="40">
        <f t="shared" si="1"/>
        <v>46013</v>
      </c>
      <c r="B15687" s="37" t="str">
        <f t="array" ref="B15687">iferror(xlookup($I15687, 'IMPORT VHC Report'!$E:$E, 'IMPORT VHC Report'!$A:$C), )</f>
        <v/>
      </c>
      <c r="C15687" s="44"/>
      <c r="D15687" s="44"/>
      <c r="E15687" s="46" t="s">
        <v>11853</v>
      </c>
      <c r="F15687" s="46" t="s">
        <v>1720</v>
      </c>
      <c r="G15687" s="46">
        <v>3.61750052875E11</v>
      </c>
      <c r="H15687" s="46" t="s">
        <v>1721</v>
      </c>
      <c r="I15687" s="46" t="s">
        <v>1722</v>
      </c>
      <c r="J15687" s="46" t="s">
        <v>134</v>
      </c>
      <c r="K15687" s="46" t="s">
        <v>126</v>
      </c>
      <c r="L15687" s="45">
        <v>46013.145833333336</v>
      </c>
      <c r="M15687" s="46" t="s">
        <v>123</v>
      </c>
      <c r="N15687" s="45">
        <v>46013.166666666664</v>
      </c>
      <c r="O15687" s="46" t="s">
        <v>123</v>
      </c>
      <c r="P15687" s="46">
        <v>1800.0</v>
      </c>
    </row>
    <row r="15688">
      <c r="A15688" s="40">
        <f t="shared" si="1"/>
        <v>46013</v>
      </c>
      <c r="B15688" s="37" t="str">
        <f t="array" ref="B15688">iferror(xlookup($I15688, 'IMPORT VHC Report'!$E:$E, 'IMPORT VHC Report'!$A:$C), )</f>
        <v/>
      </c>
      <c r="C15688" s="44"/>
      <c r="D15688" s="44"/>
      <c r="E15688" s="46" t="s">
        <v>11854</v>
      </c>
      <c r="F15688" s="46" t="s">
        <v>1720</v>
      </c>
      <c r="G15688" s="46">
        <v>3.61750052875E11</v>
      </c>
      <c r="H15688" s="46" t="s">
        <v>1721</v>
      </c>
      <c r="I15688" s="46" t="s">
        <v>1722</v>
      </c>
      <c r="J15688" s="46" t="s">
        <v>132</v>
      </c>
      <c r="K15688" s="46" t="s">
        <v>126</v>
      </c>
      <c r="L15688" s="45">
        <v>46013.166666666664</v>
      </c>
      <c r="M15688" s="46" t="s">
        <v>123</v>
      </c>
      <c r="N15688" s="45">
        <v>46013.208333333336</v>
      </c>
      <c r="O15688" s="46" t="s">
        <v>123</v>
      </c>
      <c r="P15688" s="46">
        <v>3600.0</v>
      </c>
    </row>
    <row r="15689">
      <c r="A15689" s="40">
        <f t="shared" si="1"/>
        <v>46013</v>
      </c>
      <c r="B15689" s="37" t="str">
        <f t="array" ref="B15689">iferror(xlookup($I15689, 'IMPORT VHC Report'!$E:$E, 'IMPORT VHC Report'!$A:$C), )</f>
        <v/>
      </c>
      <c r="C15689" s="44"/>
      <c r="D15689" s="44"/>
      <c r="E15689" s="46" t="s">
        <v>11855</v>
      </c>
      <c r="F15689" s="46" t="s">
        <v>1720</v>
      </c>
      <c r="G15689" s="46">
        <v>3.61750052875E11</v>
      </c>
      <c r="H15689" s="46" t="s">
        <v>1721</v>
      </c>
      <c r="I15689" s="46" t="s">
        <v>1722</v>
      </c>
      <c r="J15689" s="46" t="s">
        <v>332</v>
      </c>
      <c r="K15689" s="46" t="s">
        <v>63</v>
      </c>
      <c r="L15689" s="45">
        <v>46013.833333333336</v>
      </c>
      <c r="M15689" s="46" t="s">
        <v>123</v>
      </c>
      <c r="N15689" s="45">
        <v>46014.208333333336</v>
      </c>
      <c r="O15689" s="46" t="s">
        <v>123</v>
      </c>
      <c r="P15689" s="46">
        <v>32400.0</v>
      </c>
    </row>
    <row r="15690">
      <c r="A15690" s="40">
        <f t="shared" si="1"/>
        <v>46013</v>
      </c>
      <c r="B15690" s="37" t="str">
        <f t="array" ref="B15690">iferror(xlookup($I15690, 'IMPORT VHC Report'!$E:$E, 'IMPORT VHC Report'!$A:$C), )</f>
        <v/>
      </c>
      <c r="C15690" s="44"/>
      <c r="D15690" s="44"/>
      <c r="E15690" s="46" t="s">
        <v>11856</v>
      </c>
      <c r="F15690" s="46" t="s">
        <v>1720</v>
      </c>
      <c r="G15690" s="46">
        <v>3.61750052875E11</v>
      </c>
      <c r="H15690" s="46" t="s">
        <v>1721</v>
      </c>
      <c r="I15690" s="46" t="s">
        <v>1722</v>
      </c>
      <c r="J15690" s="46" t="s">
        <v>134</v>
      </c>
      <c r="K15690" s="46" t="s">
        <v>126</v>
      </c>
      <c r="L15690" s="45">
        <v>46014.145833333336</v>
      </c>
      <c r="M15690" s="46" t="s">
        <v>123</v>
      </c>
      <c r="N15690" s="45">
        <v>46014.166666666664</v>
      </c>
      <c r="O15690" s="46" t="s">
        <v>123</v>
      </c>
      <c r="P15690" s="46">
        <v>1800.0</v>
      </c>
    </row>
    <row r="15691">
      <c r="A15691" s="40">
        <f t="shared" si="1"/>
        <v>46013</v>
      </c>
      <c r="B15691" s="37" t="str">
        <f t="array" ref="B15691">iferror(xlookup($I15691, 'IMPORT VHC Report'!$E:$E, 'IMPORT VHC Report'!$A:$C), )</f>
        <v/>
      </c>
      <c r="C15691" s="44"/>
      <c r="D15691" s="44"/>
      <c r="E15691" s="46" t="s">
        <v>11857</v>
      </c>
      <c r="F15691" s="46" t="s">
        <v>1720</v>
      </c>
      <c r="G15691" s="46">
        <v>3.61750052875E11</v>
      </c>
      <c r="H15691" s="46" t="s">
        <v>1721</v>
      </c>
      <c r="I15691" s="46" t="s">
        <v>1722</v>
      </c>
      <c r="J15691" s="46" t="s">
        <v>132</v>
      </c>
      <c r="K15691" s="46" t="s">
        <v>126</v>
      </c>
      <c r="L15691" s="45">
        <v>46014.166666666664</v>
      </c>
      <c r="M15691" s="46" t="s">
        <v>123</v>
      </c>
      <c r="N15691" s="45">
        <v>46014.208333333336</v>
      </c>
      <c r="O15691" s="46" t="s">
        <v>123</v>
      </c>
      <c r="P15691" s="46">
        <v>3600.0</v>
      </c>
    </row>
    <row r="15692">
      <c r="A15692" s="40">
        <f t="shared" si="1"/>
        <v>46013</v>
      </c>
      <c r="B15692" s="37" t="str">
        <f t="array" ref="B15692">iferror(xlookup($I15692, 'IMPORT VHC Report'!$E:$E, 'IMPORT VHC Report'!$A:$C), )</f>
        <v/>
      </c>
      <c r="C15692" s="44"/>
      <c r="D15692" s="44"/>
      <c r="E15692" s="46" t="s">
        <v>11858</v>
      </c>
      <c r="F15692" s="46" t="s">
        <v>1720</v>
      </c>
      <c r="G15692" s="46">
        <v>3.61750052875E11</v>
      </c>
      <c r="H15692" s="46" t="s">
        <v>1721</v>
      </c>
      <c r="I15692" s="46" t="s">
        <v>1722</v>
      </c>
      <c r="J15692" s="46" t="s">
        <v>332</v>
      </c>
      <c r="K15692" s="46" t="s">
        <v>63</v>
      </c>
      <c r="L15692" s="45">
        <v>46014.833333333336</v>
      </c>
      <c r="M15692" s="46" t="s">
        <v>123</v>
      </c>
      <c r="N15692" s="45">
        <v>46015.208333333336</v>
      </c>
      <c r="O15692" s="46" t="s">
        <v>123</v>
      </c>
      <c r="P15692" s="46">
        <v>32400.0</v>
      </c>
    </row>
    <row r="15693">
      <c r="A15693" s="40">
        <f t="shared" si="1"/>
        <v>46013</v>
      </c>
      <c r="B15693" s="37" t="str">
        <f t="array" ref="B15693">iferror(xlookup($I15693, 'IMPORT VHC Report'!$E:$E, 'IMPORT VHC Report'!$A:$C), )</f>
        <v/>
      </c>
      <c r="C15693" s="44"/>
      <c r="D15693" s="44"/>
      <c r="E15693" s="46" t="s">
        <v>11859</v>
      </c>
      <c r="F15693" s="46" t="s">
        <v>1720</v>
      </c>
      <c r="G15693" s="46">
        <v>3.61750052875E11</v>
      </c>
      <c r="H15693" s="46" t="s">
        <v>1721</v>
      </c>
      <c r="I15693" s="46" t="s">
        <v>1722</v>
      </c>
      <c r="J15693" s="46" t="s">
        <v>134</v>
      </c>
      <c r="K15693" s="46" t="s">
        <v>126</v>
      </c>
      <c r="L15693" s="45">
        <v>46015.145833333336</v>
      </c>
      <c r="M15693" s="46" t="s">
        <v>123</v>
      </c>
      <c r="N15693" s="45">
        <v>46015.166666666664</v>
      </c>
      <c r="O15693" s="46" t="s">
        <v>123</v>
      </c>
      <c r="P15693" s="46">
        <v>1800.0</v>
      </c>
    </row>
    <row r="15694">
      <c r="A15694" s="40">
        <f t="shared" si="1"/>
        <v>46013</v>
      </c>
      <c r="B15694" s="37" t="str">
        <f t="array" ref="B15694">iferror(xlookup($I15694, 'IMPORT VHC Report'!$E:$E, 'IMPORT VHC Report'!$A:$C), )</f>
        <v/>
      </c>
      <c r="C15694" s="44"/>
      <c r="D15694" s="44"/>
      <c r="E15694" s="46" t="s">
        <v>11860</v>
      </c>
      <c r="F15694" s="46" t="s">
        <v>1720</v>
      </c>
      <c r="G15694" s="46">
        <v>3.61750052875E11</v>
      </c>
      <c r="H15694" s="46" t="s">
        <v>1721</v>
      </c>
      <c r="I15694" s="46" t="s">
        <v>1722</v>
      </c>
      <c r="J15694" s="46" t="s">
        <v>132</v>
      </c>
      <c r="K15694" s="46" t="s">
        <v>126</v>
      </c>
      <c r="L15694" s="45">
        <v>46015.166666666664</v>
      </c>
      <c r="M15694" s="46" t="s">
        <v>123</v>
      </c>
      <c r="N15694" s="45">
        <v>46015.208333333336</v>
      </c>
      <c r="O15694" s="46" t="s">
        <v>123</v>
      </c>
      <c r="P15694" s="46">
        <v>3600.0</v>
      </c>
    </row>
    <row r="15695">
      <c r="A15695" s="40">
        <f t="shared" si="1"/>
        <v>46013</v>
      </c>
      <c r="B15695" s="37" t="str">
        <f t="array" ref="B15695">iferror(xlookup($I15695, 'IMPORT VHC Report'!$E:$E, 'IMPORT VHC Report'!$A:$C), )</f>
        <v/>
      </c>
      <c r="C15695" s="44"/>
      <c r="D15695" s="44"/>
      <c r="E15695" s="46" t="s">
        <v>11861</v>
      </c>
      <c r="F15695" s="46" t="s">
        <v>1720</v>
      </c>
      <c r="G15695" s="46">
        <v>3.61750052875E11</v>
      </c>
      <c r="H15695" s="46" t="s">
        <v>1721</v>
      </c>
      <c r="I15695" s="46" t="s">
        <v>1722</v>
      </c>
      <c r="J15695" s="46" t="s">
        <v>136</v>
      </c>
      <c r="K15695" s="46" t="s">
        <v>126</v>
      </c>
      <c r="L15695" s="45">
        <v>46015.666666666664</v>
      </c>
      <c r="M15695" s="46" t="s">
        <v>123</v>
      </c>
      <c r="N15695" s="45">
        <v>46015.833333333336</v>
      </c>
      <c r="O15695" s="46" t="s">
        <v>123</v>
      </c>
      <c r="P15695" s="46">
        <v>14400.0</v>
      </c>
      <c r="S15695" s="46" t="s">
        <v>1098</v>
      </c>
    </row>
    <row r="15696">
      <c r="A15696" s="40">
        <f t="shared" si="1"/>
        <v>46013</v>
      </c>
      <c r="B15696" s="37" t="str">
        <f t="array" ref="B15696">iferror(xlookup($I15696, 'IMPORT VHC Report'!$E:$E, 'IMPORT VHC Report'!$A:$C), )</f>
        <v/>
      </c>
      <c r="C15696" s="44"/>
      <c r="D15696" s="44"/>
      <c r="E15696" s="46" t="s">
        <v>11862</v>
      </c>
      <c r="F15696" s="46" t="s">
        <v>1720</v>
      </c>
      <c r="G15696" s="46">
        <v>3.61750052875E11</v>
      </c>
      <c r="H15696" s="46" t="s">
        <v>1721</v>
      </c>
      <c r="I15696" s="46" t="s">
        <v>1722</v>
      </c>
      <c r="J15696" s="46" t="s">
        <v>332</v>
      </c>
      <c r="K15696" s="46" t="s">
        <v>63</v>
      </c>
      <c r="L15696" s="45">
        <v>46015.666666666664</v>
      </c>
      <c r="M15696" s="46" t="s">
        <v>123</v>
      </c>
      <c r="N15696" s="45">
        <v>46016.041666666664</v>
      </c>
      <c r="O15696" s="46" t="s">
        <v>123</v>
      </c>
      <c r="P15696" s="46">
        <v>32400.0</v>
      </c>
    </row>
    <row r="15697">
      <c r="A15697" s="40">
        <f t="shared" si="1"/>
        <v>46013</v>
      </c>
      <c r="B15697" s="37" t="str">
        <f t="array" ref="B15697">iferror(xlookup($I15697, 'IMPORT VHC Report'!$E:$E, 'IMPORT VHC Report'!$A:$C), )</f>
        <v/>
      </c>
      <c r="C15697" s="44"/>
      <c r="D15697" s="44"/>
      <c r="E15697" s="46" t="s">
        <v>11863</v>
      </c>
      <c r="F15697" s="46" t="s">
        <v>1720</v>
      </c>
      <c r="G15697" s="46">
        <v>3.61750052875E11</v>
      </c>
      <c r="H15697" s="46" t="s">
        <v>1721</v>
      </c>
      <c r="I15697" s="46" t="s">
        <v>1722</v>
      </c>
      <c r="J15697" s="46" t="s">
        <v>134</v>
      </c>
      <c r="K15697" s="46" t="s">
        <v>126</v>
      </c>
      <c r="L15697" s="45">
        <v>46015.833333333336</v>
      </c>
      <c r="M15697" s="46" t="s">
        <v>123</v>
      </c>
      <c r="N15697" s="45">
        <v>46015.854166666664</v>
      </c>
      <c r="O15697" s="46" t="s">
        <v>123</v>
      </c>
      <c r="P15697" s="46">
        <v>1800.0</v>
      </c>
    </row>
    <row r="15698">
      <c r="A15698" s="40">
        <f t="shared" si="1"/>
        <v>46013</v>
      </c>
      <c r="B15698" s="37" t="str">
        <f t="array" ref="B15698">iferror(xlookup($I15698, 'IMPORT VHC Report'!$E:$E, 'IMPORT VHC Report'!$A:$C), )</f>
        <v/>
      </c>
      <c r="C15698" s="44"/>
      <c r="D15698" s="44"/>
      <c r="E15698" s="46" t="s">
        <v>11864</v>
      </c>
      <c r="F15698" s="46" t="s">
        <v>1720</v>
      </c>
      <c r="G15698" s="46">
        <v>3.61750052875E11</v>
      </c>
      <c r="H15698" s="46" t="s">
        <v>1721</v>
      </c>
      <c r="I15698" s="46" t="s">
        <v>1722</v>
      </c>
      <c r="J15698" s="46" t="s">
        <v>132</v>
      </c>
      <c r="K15698" s="46" t="s">
        <v>126</v>
      </c>
      <c r="L15698" s="45">
        <v>46015.854166666664</v>
      </c>
      <c r="M15698" s="46" t="s">
        <v>123</v>
      </c>
      <c r="N15698" s="45">
        <v>46015.895833333336</v>
      </c>
      <c r="O15698" s="46" t="s">
        <v>123</v>
      </c>
      <c r="P15698" s="46">
        <v>3600.0</v>
      </c>
    </row>
    <row r="15699">
      <c r="A15699" s="40">
        <f t="shared" si="1"/>
        <v>46013</v>
      </c>
      <c r="B15699" s="37" t="str">
        <f t="array" ref="B15699">iferror(xlookup($I15699, 'IMPORT VHC Report'!$E:$E, 'IMPORT VHC Report'!$A:$C), )</f>
        <v/>
      </c>
      <c r="C15699" s="44"/>
      <c r="D15699" s="44"/>
      <c r="E15699" s="46" t="s">
        <v>11865</v>
      </c>
      <c r="F15699" s="46" t="s">
        <v>1720</v>
      </c>
      <c r="G15699" s="46">
        <v>3.61750052875E11</v>
      </c>
      <c r="H15699" s="46" t="s">
        <v>1721</v>
      </c>
      <c r="I15699" s="46" t="s">
        <v>1722</v>
      </c>
      <c r="J15699" s="46" t="s">
        <v>332</v>
      </c>
      <c r="K15699" s="46" t="s">
        <v>63</v>
      </c>
      <c r="L15699" s="45">
        <v>46016.833333333336</v>
      </c>
      <c r="M15699" s="46" t="s">
        <v>123</v>
      </c>
      <c r="N15699" s="45">
        <v>46016.875</v>
      </c>
      <c r="O15699" s="46" t="s">
        <v>123</v>
      </c>
      <c r="P15699" s="46">
        <v>3600.0</v>
      </c>
    </row>
    <row r="15700">
      <c r="A15700" s="40">
        <f t="shared" si="1"/>
        <v>46013</v>
      </c>
      <c r="B15700" s="37" t="str">
        <f t="array" ref="B15700">iferror(xlookup($I15700, 'IMPORT VHC Report'!$E:$E, 'IMPORT VHC Report'!$A:$C), )</f>
        <v/>
      </c>
      <c r="C15700" s="44"/>
      <c r="D15700" s="44"/>
      <c r="E15700" s="46" t="s">
        <v>11866</v>
      </c>
      <c r="F15700" s="46" t="s">
        <v>1720</v>
      </c>
      <c r="G15700" s="46">
        <v>3.61750052875E11</v>
      </c>
      <c r="H15700" s="46" t="s">
        <v>1721</v>
      </c>
      <c r="I15700" s="46" t="s">
        <v>1722</v>
      </c>
      <c r="J15700" s="46" t="s">
        <v>62</v>
      </c>
      <c r="K15700" s="46" t="s">
        <v>63</v>
      </c>
      <c r="L15700" s="45">
        <v>46016.875</v>
      </c>
      <c r="M15700" s="46" t="s">
        <v>123</v>
      </c>
      <c r="N15700" s="45">
        <v>46016.958333333336</v>
      </c>
      <c r="O15700" s="46" t="s">
        <v>123</v>
      </c>
      <c r="P15700" s="46">
        <v>7200.0</v>
      </c>
    </row>
    <row r="15701">
      <c r="A15701" s="40">
        <f t="shared" si="1"/>
        <v>46013</v>
      </c>
      <c r="B15701" s="37" t="str">
        <f t="array" ref="B15701">iferror(xlookup($I15701, 'IMPORT VHC Report'!$E:$E, 'IMPORT VHC Report'!$A:$C), )</f>
        <v/>
      </c>
      <c r="C15701" s="44"/>
      <c r="D15701" s="44"/>
      <c r="E15701" s="46" t="s">
        <v>11867</v>
      </c>
      <c r="F15701" s="46" t="s">
        <v>1720</v>
      </c>
      <c r="G15701" s="46">
        <v>3.61750052875E11</v>
      </c>
      <c r="H15701" s="46" t="s">
        <v>1721</v>
      </c>
      <c r="I15701" s="46" t="s">
        <v>1722</v>
      </c>
      <c r="J15701" s="46" t="s">
        <v>332</v>
      </c>
      <c r="K15701" s="46" t="s">
        <v>63</v>
      </c>
      <c r="L15701" s="45">
        <v>46016.958333333336</v>
      </c>
      <c r="M15701" s="46" t="s">
        <v>123</v>
      </c>
      <c r="N15701" s="45">
        <v>46017.208333333336</v>
      </c>
      <c r="O15701" s="46" t="s">
        <v>123</v>
      </c>
      <c r="P15701" s="46">
        <v>21600.0</v>
      </c>
    </row>
    <row r="15702">
      <c r="A15702" s="40">
        <f t="shared" si="1"/>
        <v>46013</v>
      </c>
      <c r="B15702" s="37" t="str">
        <f t="array" ref="B15702">iferror(xlookup($I15702, 'IMPORT VHC Report'!$E:$E, 'IMPORT VHC Report'!$A:$C), )</f>
        <v/>
      </c>
      <c r="C15702" s="44"/>
      <c r="D15702" s="44"/>
      <c r="E15702" s="46" t="s">
        <v>11868</v>
      </c>
      <c r="F15702" s="46" t="s">
        <v>1720</v>
      </c>
      <c r="G15702" s="46">
        <v>3.61750052875E11</v>
      </c>
      <c r="H15702" s="46" t="s">
        <v>1721</v>
      </c>
      <c r="I15702" s="46" t="s">
        <v>1722</v>
      </c>
      <c r="J15702" s="46" t="s">
        <v>134</v>
      </c>
      <c r="K15702" s="46" t="s">
        <v>126</v>
      </c>
      <c r="L15702" s="45">
        <v>46017.145833333336</v>
      </c>
      <c r="M15702" s="46" t="s">
        <v>123</v>
      </c>
      <c r="N15702" s="45">
        <v>46017.166666666664</v>
      </c>
      <c r="O15702" s="46" t="s">
        <v>123</v>
      </c>
      <c r="P15702" s="46">
        <v>1800.0</v>
      </c>
    </row>
    <row r="15703">
      <c r="A15703" s="40">
        <f t="shared" si="1"/>
        <v>46013</v>
      </c>
      <c r="B15703" s="37" t="str">
        <f t="array" ref="B15703">iferror(xlookup($I15703, 'IMPORT VHC Report'!$E:$E, 'IMPORT VHC Report'!$A:$C), )</f>
        <v/>
      </c>
      <c r="C15703" s="44"/>
      <c r="D15703" s="44"/>
      <c r="E15703" s="46" t="s">
        <v>11869</v>
      </c>
      <c r="F15703" s="46" t="s">
        <v>1720</v>
      </c>
      <c r="G15703" s="46">
        <v>3.61750052875E11</v>
      </c>
      <c r="H15703" s="46" t="s">
        <v>1721</v>
      </c>
      <c r="I15703" s="46" t="s">
        <v>1722</v>
      </c>
      <c r="J15703" s="46" t="s">
        <v>132</v>
      </c>
      <c r="K15703" s="46" t="s">
        <v>126</v>
      </c>
      <c r="L15703" s="45">
        <v>46017.166666666664</v>
      </c>
      <c r="M15703" s="46" t="s">
        <v>123</v>
      </c>
      <c r="N15703" s="45">
        <v>46017.208333333336</v>
      </c>
      <c r="O15703" s="46" t="s">
        <v>123</v>
      </c>
      <c r="P15703" s="46">
        <v>3600.0</v>
      </c>
    </row>
    <row r="15704">
      <c r="A15704" s="40">
        <f t="shared" si="1"/>
        <v>46013</v>
      </c>
      <c r="B15704" s="37" t="str">
        <f t="array" ref="B15704">iferror(xlookup($I15704, 'IMPORT VHC Report'!$E:$E, 'IMPORT VHC Report'!$A:$C), )</f>
        <v/>
      </c>
      <c r="C15704" s="44"/>
      <c r="D15704" s="44"/>
      <c r="E15704" s="46" t="s">
        <v>11870</v>
      </c>
      <c r="F15704" s="46" t="s">
        <v>1720</v>
      </c>
      <c r="G15704" s="46">
        <v>3.61750052875E11</v>
      </c>
      <c r="H15704" s="46" t="s">
        <v>1721</v>
      </c>
      <c r="I15704" s="46" t="s">
        <v>1722</v>
      </c>
      <c r="J15704" s="46" t="s">
        <v>332</v>
      </c>
      <c r="K15704" s="46" t="s">
        <v>63</v>
      </c>
      <c r="L15704" s="45">
        <v>46019.833333333336</v>
      </c>
      <c r="M15704" s="46" t="s">
        <v>123</v>
      </c>
      <c r="N15704" s="45">
        <v>46020.0</v>
      </c>
      <c r="O15704" s="46" t="s">
        <v>123</v>
      </c>
      <c r="P15704" s="46">
        <v>14400.0</v>
      </c>
    </row>
    <row r="15705">
      <c r="A15705" s="40">
        <f t="shared" si="1"/>
        <v>46013</v>
      </c>
      <c r="B15705" s="37" t="str">
        <f t="array" ref="B15705">iferror(xlookup($I15705, 'IMPORT VHC Report'!$E:$E, 'IMPORT VHC Report'!$A:$C), )</f>
        <v/>
      </c>
      <c r="C15705" s="44"/>
      <c r="D15705" s="44"/>
      <c r="E15705" s="46" t="s">
        <v>11871</v>
      </c>
      <c r="F15705" s="46" t="s">
        <v>1898</v>
      </c>
      <c r="G15705" s="46">
        <v>3.61731943495E11</v>
      </c>
      <c r="H15705" s="46" t="s">
        <v>1899</v>
      </c>
      <c r="I15705" s="46" t="s">
        <v>1900</v>
      </c>
      <c r="J15705" s="46" t="s">
        <v>330</v>
      </c>
      <c r="K15705" s="46" t="s">
        <v>126</v>
      </c>
      <c r="L15705" s="45">
        <v>46013.166666666664</v>
      </c>
      <c r="M15705" s="46" t="s">
        <v>123</v>
      </c>
      <c r="N15705" s="45">
        <v>46013.17361111111</v>
      </c>
      <c r="O15705" s="46" t="s">
        <v>123</v>
      </c>
      <c r="P15705" s="46">
        <v>600.0</v>
      </c>
    </row>
    <row r="15706">
      <c r="A15706" s="40">
        <f t="shared" si="1"/>
        <v>46013</v>
      </c>
      <c r="B15706" s="37" t="str">
        <f t="array" ref="B15706">iferror(xlookup($I15706, 'IMPORT VHC Report'!$E:$E, 'IMPORT VHC Report'!$A:$C), )</f>
        <v/>
      </c>
      <c r="C15706" s="44"/>
      <c r="D15706" s="44"/>
      <c r="E15706" s="46" t="s">
        <v>11872</v>
      </c>
      <c r="F15706" s="46" t="s">
        <v>1898</v>
      </c>
      <c r="G15706" s="46">
        <v>3.61731943495E11</v>
      </c>
      <c r="H15706" s="46" t="s">
        <v>1899</v>
      </c>
      <c r="I15706" s="46" t="s">
        <v>1900</v>
      </c>
      <c r="J15706" s="46" t="s">
        <v>332</v>
      </c>
      <c r="K15706" s="46" t="s">
        <v>63</v>
      </c>
      <c r="L15706" s="45">
        <v>46013.166666666664</v>
      </c>
      <c r="M15706" s="46" t="s">
        <v>123</v>
      </c>
      <c r="N15706" s="45">
        <v>46013.541666666664</v>
      </c>
      <c r="O15706" s="46" t="s">
        <v>123</v>
      </c>
      <c r="P15706" s="46">
        <v>32400.0</v>
      </c>
    </row>
    <row r="15707">
      <c r="A15707" s="40">
        <f t="shared" si="1"/>
        <v>46013</v>
      </c>
      <c r="B15707" s="37" t="str">
        <f t="array" ref="B15707">iferror(xlookup($I15707, 'IMPORT VHC Report'!$E:$E, 'IMPORT VHC Report'!$A:$C), )</f>
        <v/>
      </c>
      <c r="C15707" s="44"/>
      <c r="D15707" s="44"/>
      <c r="E15707" s="46" t="s">
        <v>11873</v>
      </c>
      <c r="F15707" s="46" t="s">
        <v>1898</v>
      </c>
      <c r="G15707" s="46">
        <v>3.61731943495E11</v>
      </c>
      <c r="H15707" s="46" t="s">
        <v>1899</v>
      </c>
      <c r="I15707" s="46" t="s">
        <v>1900</v>
      </c>
      <c r="J15707" s="46" t="s">
        <v>178</v>
      </c>
      <c r="K15707" s="46" t="s">
        <v>153</v>
      </c>
      <c r="L15707" s="45">
        <v>46013.166666666664</v>
      </c>
      <c r="M15707" s="46" t="s">
        <v>123</v>
      </c>
      <c r="N15707" s="45">
        <v>46013.541666666664</v>
      </c>
      <c r="O15707" s="46" t="s">
        <v>123</v>
      </c>
      <c r="P15707" s="46">
        <v>32400.0</v>
      </c>
      <c r="Q15707" s="46">
        <v>28800.0</v>
      </c>
      <c r="R15707" s="46" t="s">
        <v>11874</v>
      </c>
    </row>
    <row r="15708">
      <c r="A15708" s="40">
        <f t="shared" si="1"/>
        <v>46013</v>
      </c>
      <c r="B15708" s="37" t="str">
        <f t="array" ref="B15708">iferror(xlookup($I15708, 'IMPORT VHC Report'!$E:$E, 'IMPORT VHC Report'!$A:$C), )</f>
        <v/>
      </c>
      <c r="C15708" s="44"/>
      <c r="D15708" s="44"/>
      <c r="E15708" s="46" t="s">
        <v>11875</v>
      </c>
      <c r="F15708" s="46" t="s">
        <v>1898</v>
      </c>
      <c r="G15708" s="46">
        <v>3.61731943495E11</v>
      </c>
      <c r="H15708" s="46" t="s">
        <v>1899</v>
      </c>
      <c r="I15708" s="46" t="s">
        <v>1900</v>
      </c>
      <c r="J15708" s="46" t="s">
        <v>134</v>
      </c>
      <c r="K15708" s="46" t="s">
        <v>126</v>
      </c>
      <c r="L15708" s="45">
        <v>46013.25</v>
      </c>
      <c r="M15708" s="46" t="s">
        <v>123</v>
      </c>
      <c r="N15708" s="45">
        <v>46013.270833333336</v>
      </c>
      <c r="O15708" s="46" t="s">
        <v>123</v>
      </c>
      <c r="P15708" s="46">
        <v>1800.0</v>
      </c>
    </row>
    <row r="15709">
      <c r="A15709" s="40">
        <f t="shared" si="1"/>
        <v>46013</v>
      </c>
      <c r="B15709" s="37" t="str">
        <f t="array" ref="B15709">iferror(xlookup($I15709, 'IMPORT VHC Report'!$E:$E, 'IMPORT VHC Report'!$A:$C), )</f>
        <v/>
      </c>
      <c r="C15709" s="44"/>
      <c r="D15709" s="44"/>
      <c r="E15709" s="46" t="s">
        <v>11876</v>
      </c>
      <c r="F15709" s="46" t="s">
        <v>1898</v>
      </c>
      <c r="G15709" s="46">
        <v>3.61731943495E11</v>
      </c>
      <c r="H15709" s="46" t="s">
        <v>1899</v>
      </c>
      <c r="I15709" s="46" t="s">
        <v>1900</v>
      </c>
      <c r="J15709" s="46" t="s">
        <v>132</v>
      </c>
      <c r="K15709" s="46" t="s">
        <v>126</v>
      </c>
      <c r="L15709" s="45">
        <v>46013.354166666664</v>
      </c>
      <c r="M15709" s="46" t="s">
        <v>123</v>
      </c>
      <c r="N15709" s="45">
        <v>46013.395833333336</v>
      </c>
      <c r="O15709" s="46" t="s">
        <v>123</v>
      </c>
      <c r="P15709" s="46">
        <v>3600.0</v>
      </c>
    </row>
    <row r="15710">
      <c r="A15710" s="40">
        <f t="shared" si="1"/>
        <v>46013</v>
      </c>
      <c r="B15710" s="37" t="str">
        <f t="array" ref="B15710">iferror(xlookup($I15710, 'IMPORT VHC Report'!$E:$E, 'IMPORT VHC Report'!$A:$C), )</f>
        <v/>
      </c>
      <c r="C15710" s="44"/>
      <c r="D15710" s="44"/>
      <c r="E15710" s="46" t="s">
        <v>11877</v>
      </c>
      <c r="F15710" s="46" t="s">
        <v>1898</v>
      </c>
      <c r="G15710" s="46">
        <v>3.61731943495E11</v>
      </c>
      <c r="H15710" s="46" t="s">
        <v>1899</v>
      </c>
      <c r="I15710" s="46" t="s">
        <v>1900</v>
      </c>
      <c r="J15710" s="46" t="s">
        <v>330</v>
      </c>
      <c r="K15710" s="46" t="s">
        <v>126</v>
      </c>
      <c r="L15710" s="45">
        <v>46014.166666666664</v>
      </c>
      <c r="M15710" s="46" t="s">
        <v>123</v>
      </c>
      <c r="N15710" s="45">
        <v>46014.17361111111</v>
      </c>
      <c r="O15710" s="46" t="s">
        <v>123</v>
      </c>
      <c r="P15710" s="46">
        <v>600.0</v>
      </c>
    </row>
    <row r="15711">
      <c r="A15711" s="40">
        <f t="shared" si="1"/>
        <v>46013</v>
      </c>
      <c r="B15711" s="37" t="str">
        <f t="array" ref="B15711">iferror(xlookup($I15711, 'IMPORT VHC Report'!$E:$E, 'IMPORT VHC Report'!$A:$C), )</f>
        <v/>
      </c>
      <c r="C15711" s="44"/>
      <c r="D15711" s="44"/>
      <c r="E15711" s="46" t="s">
        <v>11878</v>
      </c>
      <c r="F15711" s="46" t="s">
        <v>1898</v>
      </c>
      <c r="G15711" s="46">
        <v>3.61731943495E11</v>
      </c>
      <c r="H15711" s="46" t="s">
        <v>1899</v>
      </c>
      <c r="I15711" s="46" t="s">
        <v>1900</v>
      </c>
      <c r="J15711" s="46" t="s">
        <v>332</v>
      </c>
      <c r="K15711" s="46" t="s">
        <v>63</v>
      </c>
      <c r="L15711" s="45">
        <v>46014.166666666664</v>
      </c>
      <c r="M15711" s="46" t="s">
        <v>123</v>
      </c>
      <c r="N15711" s="45">
        <v>46014.541666666664</v>
      </c>
      <c r="O15711" s="46" t="s">
        <v>123</v>
      </c>
      <c r="P15711" s="46">
        <v>32400.0</v>
      </c>
    </row>
    <row r="15712">
      <c r="A15712" s="40">
        <f t="shared" si="1"/>
        <v>46013</v>
      </c>
      <c r="B15712" s="37" t="str">
        <f t="array" ref="B15712">iferror(xlookup($I15712, 'IMPORT VHC Report'!$E:$E, 'IMPORT VHC Report'!$A:$C), )</f>
        <v/>
      </c>
      <c r="C15712" s="44"/>
      <c r="D15712" s="44"/>
      <c r="E15712" s="46" t="s">
        <v>11879</v>
      </c>
      <c r="F15712" s="46" t="s">
        <v>1898</v>
      </c>
      <c r="G15712" s="46">
        <v>3.61731943495E11</v>
      </c>
      <c r="H15712" s="46" t="s">
        <v>1899</v>
      </c>
      <c r="I15712" s="46" t="s">
        <v>1900</v>
      </c>
      <c r="J15712" s="46" t="s">
        <v>132</v>
      </c>
      <c r="K15712" s="46" t="s">
        <v>126</v>
      </c>
      <c r="L15712" s="45">
        <v>46014.25</v>
      </c>
      <c r="M15712" s="46" t="s">
        <v>123</v>
      </c>
      <c r="N15712" s="45">
        <v>46014.291666666664</v>
      </c>
      <c r="O15712" s="46" t="s">
        <v>123</v>
      </c>
      <c r="P15712" s="46">
        <v>3600.0</v>
      </c>
    </row>
    <row r="15713">
      <c r="A15713" s="40">
        <f t="shared" si="1"/>
        <v>46013</v>
      </c>
      <c r="B15713" s="37" t="str">
        <f t="array" ref="B15713">iferror(xlookup($I15713, 'IMPORT VHC Report'!$E:$E, 'IMPORT VHC Report'!$A:$C), )</f>
        <v/>
      </c>
      <c r="C15713" s="44"/>
      <c r="D15713" s="44"/>
      <c r="E15713" s="46" t="s">
        <v>11880</v>
      </c>
      <c r="F15713" s="46" t="s">
        <v>1898</v>
      </c>
      <c r="G15713" s="46">
        <v>3.61731943495E11</v>
      </c>
      <c r="H15713" s="46" t="s">
        <v>1899</v>
      </c>
      <c r="I15713" s="46" t="s">
        <v>1900</v>
      </c>
      <c r="J15713" s="46" t="s">
        <v>330</v>
      </c>
      <c r="K15713" s="46" t="s">
        <v>126</v>
      </c>
      <c r="L15713" s="45">
        <v>46014.416666666664</v>
      </c>
      <c r="M15713" s="46" t="s">
        <v>123</v>
      </c>
      <c r="N15713" s="45">
        <v>46014.4375</v>
      </c>
      <c r="O15713" s="46" t="s">
        <v>123</v>
      </c>
      <c r="P15713" s="46">
        <v>1800.0</v>
      </c>
    </row>
    <row r="15714">
      <c r="A15714" s="40">
        <f t="shared" si="1"/>
        <v>46013</v>
      </c>
      <c r="B15714" s="37" t="str">
        <f t="array" ref="B15714">iferror(xlookup($I15714, 'IMPORT VHC Report'!$E:$E, 'IMPORT VHC Report'!$A:$C), )</f>
        <v/>
      </c>
      <c r="C15714" s="44"/>
      <c r="D15714" s="44"/>
      <c r="E15714" s="46" t="s">
        <v>11881</v>
      </c>
      <c r="F15714" s="46" t="s">
        <v>1898</v>
      </c>
      <c r="G15714" s="46">
        <v>3.61731943495E11</v>
      </c>
      <c r="H15714" s="46" t="s">
        <v>1899</v>
      </c>
      <c r="I15714" s="46" t="s">
        <v>1900</v>
      </c>
      <c r="J15714" s="46" t="s">
        <v>134</v>
      </c>
      <c r="K15714" s="46" t="s">
        <v>126</v>
      </c>
      <c r="L15714" s="45">
        <v>46014.4375</v>
      </c>
      <c r="M15714" s="46" t="s">
        <v>123</v>
      </c>
      <c r="N15714" s="45">
        <v>46014.458333333336</v>
      </c>
      <c r="O15714" s="46" t="s">
        <v>123</v>
      </c>
      <c r="P15714" s="46">
        <v>1800.0</v>
      </c>
    </row>
    <row r="15715">
      <c r="A15715" s="40">
        <f t="shared" si="1"/>
        <v>46013</v>
      </c>
      <c r="B15715" s="37" t="str">
        <f t="array" ref="B15715">iferror(xlookup($I15715, 'IMPORT VHC Report'!$E:$E, 'IMPORT VHC Report'!$A:$C), )</f>
        <v/>
      </c>
      <c r="C15715" s="44"/>
      <c r="D15715" s="44"/>
      <c r="E15715" s="46" t="s">
        <v>11882</v>
      </c>
      <c r="F15715" s="46" t="s">
        <v>1898</v>
      </c>
      <c r="G15715" s="46">
        <v>3.61731943495E11</v>
      </c>
      <c r="H15715" s="46" t="s">
        <v>1899</v>
      </c>
      <c r="I15715" s="46" t="s">
        <v>1900</v>
      </c>
      <c r="J15715" s="46" t="s">
        <v>330</v>
      </c>
      <c r="K15715" s="46" t="s">
        <v>126</v>
      </c>
      <c r="L15715" s="45">
        <v>46015.166666666664</v>
      </c>
      <c r="M15715" s="46" t="s">
        <v>123</v>
      </c>
      <c r="N15715" s="45">
        <v>46015.17361111111</v>
      </c>
      <c r="O15715" s="46" t="s">
        <v>123</v>
      </c>
      <c r="P15715" s="46">
        <v>600.0</v>
      </c>
    </row>
    <row r="15716">
      <c r="A15716" s="40">
        <f t="shared" si="1"/>
        <v>46013</v>
      </c>
      <c r="B15716" s="37" t="str">
        <f t="array" ref="B15716">iferror(xlookup($I15716, 'IMPORT VHC Report'!$E:$E, 'IMPORT VHC Report'!$A:$C), )</f>
        <v/>
      </c>
      <c r="C15716" s="44"/>
      <c r="D15716" s="44"/>
      <c r="E15716" s="46" t="s">
        <v>11883</v>
      </c>
      <c r="F15716" s="46" t="s">
        <v>1898</v>
      </c>
      <c r="G15716" s="46">
        <v>3.61731943495E11</v>
      </c>
      <c r="H15716" s="46" t="s">
        <v>1899</v>
      </c>
      <c r="I15716" s="46" t="s">
        <v>1900</v>
      </c>
      <c r="J15716" s="46" t="s">
        <v>332</v>
      </c>
      <c r="K15716" s="46" t="s">
        <v>63</v>
      </c>
      <c r="L15716" s="45">
        <v>46015.166666666664</v>
      </c>
      <c r="M15716" s="46" t="s">
        <v>123</v>
      </c>
      <c r="N15716" s="45">
        <v>46015.541666666664</v>
      </c>
      <c r="O15716" s="46" t="s">
        <v>123</v>
      </c>
      <c r="P15716" s="46">
        <v>32400.0</v>
      </c>
    </row>
    <row r="15717">
      <c r="A15717" s="40">
        <f t="shared" si="1"/>
        <v>46013</v>
      </c>
      <c r="B15717" s="37" t="str">
        <f t="array" ref="B15717">iferror(xlookup($I15717, 'IMPORT VHC Report'!$E:$E, 'IMPORT VHC Report'!$A:$C), )</f>
        <v/>
      </c>
      <c r="C15717" s="44"/>
      <c r="D15717" s="44"/>
      <c r="E15717" s="46" t="s">
        <v>11884</v>
      </c>
      <c r="F15717" s="46" t="s">
        <v>1898</v>
      </c>
      <c r="G15717" s="46">
        <v>3.61731943495E11</v>
      </c>
      <c r="H15717" s="46" t="s">
        <v>1899</v>
      </c>
      <c r="I15717" s="46" t="s">
        <v>1900</v>
      </c>
      <c r="J15717" s="46" t="s">
        <v>136</v>
      </c>
      <c r="K15717" s="46" t="s">
        <v>126</v>
      </c>
      <c r="L15717" s="45">
        <v>46015.208333333336</v>
      </c>
      <c r="M15717" s="46" t="s">
        <v>123</v>
      </c>
      <c r="N15717" s="45">
        <v>46015.25</v>
      </c>
      <c r="O15717" s="46" t="s">
        <v>123</v>
      </c>
      <c r="P15717" s="46">
        <v>3600.0</v>
      </c>
      <c r="S15717" s="46" t="s">
        <v>137</v>
      </c>
    </row>
    <row r="15718">
      <c r="A15718" s="40">
        <f t="shared" si="1"/>
        <v>46013</v>
      </c>
      <c r="B15718" s="37" t="str">
        <f t="array" ref="B15718">iferror(xlookup($I15718, 'IMPORT VHC Report'!$E:$E, 'IMPORT VHC Report'!$A:$C), )</f>
        <v/>
      </c>
      <c r="C15718" s="44"/>
      <c r="D15718" s="44"/>
      <c r="E15718" s="46" t="s">
        <v>11885</v>
      </c>
      <c r="F15718" s="46" t="s">
        <v>1898</v>
      </c>
      <c r="G15718" s="46">
        <v>3.61731943495E11</v>
      </c>
      <c r="H15718" s="46" t="s">
        <v>1899</v>
      </c>
      <c r="I15718" s="46" t="s">
        <v>1900</v>
      </c>
      <c r="J15718" s="46" t="s">
        <v>132</v>
      </c>
      <c r="K15718" s="46" t="s">
        <v>126</v>
      </c>
      <c r="L15718" s="45">
        <v>46015.270833333336</v>
      </c>
      <c r="M15718" s="46" t="s">
        <v>123</v>
      </c>
      <c r="N15718" s="45">
        <v>46015.3125</v>
      </c>
      <c r="O15718" s="46" t="s">
        <v>123</v>
      </c>
      <c r="P15718" s="46">
        <v>3600.0</v>
      </c>
    </row>
    <row r="15719">
      <c r="A15719" s="40">
        <f t="shared" si="1"/>
        <v>46013</v>
      </c>
      <c r="B15719" s="37" t="str">
        <f t="array" ref="B15719">iferror(xlookup($I15719, 'IMPORT VHC Report'!$E:$E, 'IMPORT VHC Report'!$A:$C), )</f>
        <v/>
      </c>
      <c r="C15719" s="44"/>
      <c r="D15719" s="44"/>
      <c r="E15719" s="46" t="s">
        <v>11886</v>
      </c>
      <c r="F15719" s="46" t="s">
        <v>1898</v>
      </c>
      <c r="G15719" s="46">
        <v>3.61731943495E11</v>
      </c>
      <c r="H15719" s="46" t="s">
        <v>1899</v>
      </c>
      <c r="I15719" s="46" t="s">
        <v>1900</v>
      </c>
      <c r="J15719" s="46" t="s">
        <v>134</v>
      </c>
      <c r="K15719" s="46" t="s">
        <v>126</v>
      </c>
      <c r="L15719" s="45">
        <v>46015.458333333336</v>
      </c>
      <c r="M15719" s="46" t="s">
        <v>123</v>
      </c>
      <c r="N15719" s="45">
        <v>46015.479166666664</v>
      </c>
      <c r="O15719" s="46" t="s">
        <v>123</v>
      </c>
      <c r="P15719" s="46">
        <v>1800.0</v>
      </c>
    </row>
    <row r="15720">
      <c r="A15720" s="40">
        <f t="shared" si="1"/>
        <v>46013</v>
      </c>
      <c r="B15720" s="37" t="str">
        <f t="array" ref="B15720">iferror(xlookup($I15720, 'IMPORT VHC Report'!$E:$E, 'IMPORT VHC Report'!$A:$C), )</f>
        <v/>
      </c>
      <c r="C15720" s="44"/>
      <c r="D15720" s="44"/>
      <c r="E15720" s="46" t="s">
        <v>11887</v>
      </c>
      <c r="F15720" s="46" t="s">
        <v>1898</v>
      </c>
      <c r="G15720" s="46">
        <v>3.61731943495E11</v>
      </c>
      <c r="H15720" s="46" t="s">
        <v>1899</v>
      </c>
      <c r="I15720" s="46" t="s">
        <v>1900</v>
      </c>
      <c r="J15720" s="46" t="s">
        <v>330</v>
      </c>
      <c r="K15720" s="46" t="s">
        <v>126</v>
      </c>
      <c r="L15720" s="45">
        <v>46016.166666666664</v>
      </c>
      <c r="M15720" s="46" t="s">
        <v>123</v>
      </c>
      <c r="N15720" s="45">
        <v>46016.17361111111</v>
      </c>
      <c r="O15720" s="46" t="s">
        <v>123</v>
      </c>
      <c r="P15720" s="46">
        <v>600.0</v>
      </c>
    </row>
    <row r="15721">
      <c r="A15721" s="40">
        <f t="shared" si="1"/>
        <v>46013</v>
      </c>
      <c r="B15721" s="37" t="str">
        <f t="array" ref="B15721">iferror(xlookup($I15721, 'IMPORT VHC Report'!$E:$E, 'IMPORT VHC Report'!$A:$C), )</f>
        <v/>
      </c>
      <c r="C15721" s="44"/>
      <c r="D15721" s="44"/>
      <c r="E15721" s="46" t="s">
        <v>11888</v>
      </c>
      <c r="F15721" s="46" t="s">
        <v>1898</v>
      </c>
      <c r="G15721" s="46">
        <v>3.61731943495E11</v>
      </c>
      <c r="H15721" s="46" t="s">
        <v>1899</v>
      </c>
      <c r="I15721" s="46" t="s">
        <v>1900</v>
      </c>
      <c r="J15721" s="46" t="s">
        <v>332</v>
      </c>
      <c r="K15721" s="46" t="s">
        <v>63</v>
      </c>
      <c r="L15721" s="45">
        <v>46016.166666666664</v>
      </c>
      <c r="M15721" s="46" t="s">
        <v>123</v>
      </c>
      <c r="N15721" s="45">
        <v>46016.541666666664</v>
      </c>
      <c r="O15721" s="46" t="s">
        <v>123</v>
      </c>
      <c r="P15721" s="46">
        <v>32400.0</v>
      </c>
    </row>
    <row r="15722">
      <c r="A15722" s="40">
        <f t="shared" si="1"/>
        <v>46013</v>
      </c>
      <c r="B15722" s="37" t="str">
        <f t="array" ref="B15722">iferror(xlookup($I15722, 'IMPORT VHC Report'!$E:$E, 'IMPORT VHC Report'!$A:$C), )</f>
        <v/>
      </c>
      <c r="C15722" s="44"/>
      <c r="D15722" s="44"/>
      <c r="E15722" s="46" t="s">
        <v>11889</v>
      </c>
      <c r="F15722" s="46" t="s">
        <v>1898</v>
      </c>
      <c r="G15722" s="46">
        <v>3.61731943495E11</v>
      </c>
      <c r="H15722" s="46" t="s">
        <v>1899</v>
      </c>
      <c r="I15722" s="46" t="s">
        <v>1900</v>
      </c>
      <c r="J15722" s="46" t="s">
        <v>132</v>
      </c>
      <c r="K15722" s="46" t="s">
        <v>126</v>
      </c>
      <c r="L15722" s="45">
        <v>46016.229166666664</v>
      </c>
      <c r="M15722" s="46" t="s">
        <v>123</v>
      </c>
      <c r="N15722" s="45">
        <v>46016.270833333336</v>
      </c>
      <c r="O15722" s="46" t="s">
        <v>123</v>
      </c>
      <c r="P15722" s="46">
        <v>3600.0</v>
      </c>
    </row>
    <row r="15723">
      <c r="A15723" s="40">
        <f t="shared" si="1"/>
        <v>46013</v>
      </c>
      <c r="B15723" s="37" t="str">
        <f t="array" ref="B15723">iferror(xlookup($I15723, 'IMPORT VHC Report'!$E:$E, 'IMPORT VHC Report'!$A:$C), )</f>
        <v/>
      </c>
      <c r="C15723" s="44"/>
      <c r="D15723" s="44"/>
      <c r="E15723" s="46" t="s">
        <v>11890</v>
      </c>
      <c r="F15723" s="46" t="s">
        <v>1898</v>
      </c>
      <c r="G15723" s="46">
        <v>3.61731943495E11</v>
      </c>
      <c r="H15723" s="46" t="s">
        <v>1899</v>
      </c>
      <c r="I15723" s="46" t="s">
        <v>1900</v>
      </c>
      <c r="J15723" s="46" t="s">
        <v>134</v>
      </c>
      <c r="K15723" s="46" t="s">
        <v>126</v>
      </c>
      <c r="L15723" s="45">
        <v>46016.4375</v>
      </c>
      <c r="M15723" s="46" t="s">
        <v>123</v>
      </c>
      <c r="N15723" s="45">
        <v>46016.458333333336</v>
      </c>
      <c r="O15723" s="46" t="s">
        <v>123</v>
      </c>
      <c r="P15723" s="46">
        <v>1800.0</v>
      </c>
    </row>
    <row r="15724">
      <c r="A15724" s="40">
        <f t="shared" si="1"/>
        <v>46013</v>
      </c>
      <c r="B15724" s="37" t="str">
        <f t="array" ref="B15724">iferror(xlookup($I15724, 'IMPORT VHC Report'!$E:$E, 'IMPORT VHC Report'!$A:$C), )</f>
        <v/>
      </c>
      <c r="C15724" s="44"/>
      <c r="D15724" s="44"/>
      <c r="E15724" s="46" t="s">
        <v>11891</v>
      </c>
      <c r="F15724" s="46" t="s">
        <v>1898</v>
      </c>
      <c r="G15724" s="46">
        <v>3.61731943495E11</v>
      </c>
      <c r="H15724" s="46" t="s">
        <v>1899</v>
      </c>
      <c r="I15724" s="46" t="s">
        <v>1900</v>
      </c>
      <c r="J15724" s="46" t="s">
        <v>330</v>
      </c>
      <c r="K15724" s="46" t="s">
        <v>126</v>
      </c>
      <c r="L15724" s="45">
        <v>46019.166666666664</v>
      </c>
      <c r="M15724" s="46" t="s">
        <v>123</v>
      </c>
      <c r="N15724" s="45">
        <v>46019.17361111111</v>
      </c>
      <c r="O15724" s="46" t="s">
        <v>123</v>
      </c>
      <c r="P15724" s="46">
        <v>600.0</v>
      </c>
    </row>
    <row r="15725">
      <c r="A15725" s="40">
        <f t="shared" si="1"/>
        <v>46013</v>
      </c>
      <c r="B15725" s="37" t="str">
        <f t="array" ref="B15725">iferror(xlookup($I15725, 'IMPORT VHC Report'!$E:$E, 'IMPORT VHC Report'!$A:$C), )</f>
        <v/>
      </c>
      <c r="C15725" s="44"/>
      <c r="D15725" s="44"/>
      <c r="E15725" s="46" t="s">
        <v>11892</v>
      </c>
      <c r="F15725" s="46" t="s">
        <v>1898</v>
      </c>
      <c r="G15725" s="46">
        <v>3.61731943495E11</v>
      </c>
      <c r="H15725" s="46" t="s">
        <v>1899</v>
      </c>
      <c r="I15725" s="46" t="s">
        <v>1900</v>
      </c>
      <c r="J15725" s="46" t="s">
        <v>178</v>
      </c>
      <c r="K15725" s="46" t="s">
        <v>153</v>
      </c>
      <c r="L15725" s="45">
        <v>46019.166666666664</v>
      </c>
      <c r="M15725" s="46" t="s">
        <v>123</v>
      </c>
      <c r="N15725" s="45">
        <v>46019.541666666664</v>
      </c>
      <c r="O15725" s="46" t="s">
        <v>123</v>
      </c>
      <c r="P15725" s="46">
        <v>32400.0</v>
      </c>
      <c r="Q15725" s="46">
        <v>57600.0</v>
      </c>
      <c r="R15725" s="46" t="s">
        <v>11893</v>
      </c>
    </row>
    <row r="15726">
      <c r="A15726" s="40">
        <f t="shared" si="1"/>
        <v>46013</v>
      </c>
      <c r="B15726" s="37" t="str">
        <f t="array" ref="B15726">iferror(xlookup($I15726, 'IMPORT VHC Report'!$E:$E, 'IMPORT VHC Report'!$A:$C), )</f>
        <v/>
      </c>
      <c r="C15726" s="44"/>
      <c r="D15726" s="44"/>
      <c r="E15726" s="46" t="s">
        <v>11894</v>
      </c>
      <c r="F15726" s="46" t="s">
        <v>1898</v>
      </c>
      <c r="G15726" s="46">
        <v>3.61731943495E11</v>
      </c>
      <c r="H15726" s="46" t="s">
        <v>1899</v>
      </c>
      <c r="I15726" s="46" t="s">
        <v>1900</v>
      </c>
      <c r="J15726" s="46" t="s">
        <v>332</v>
      </c>
      <c r="K15726" s="46" t="s">
        <v>63</v>
      </c>
      <c r="L15726" s="45">
        <v>46019.166666666664</v>
      </c>
      <c r="M15726" s="46" t="s">
        <v>123</v>
      </c>
      <c r="N15726" s="45">
        <v>46019.541666666664</v>
      </c>
      <c r="O15726" s="46" t="s">
        <v>123</v>
      </c>
      <c r="P15726" s="46">
        <v>32400.0</v>
      </c>
    </row>
    <row r="15727">
      <c r="A15727" s="40">
        <f t="shared" si="1"/>
        <v>46013</v>
      </c>
      <c r="B15727" s="37" t="str">
        <f t="array" ref="B15727">iferror(xlookup($I15727, 'IMPORT VHC Report'!$E:$E, 'IMPORT VHC Report'!$A:$C), )</f>
        <v/>
      </c>
      <c r="C15727" s="44"/>
      <c r="D15727" s="44"/>
      <c r="E15727" s="46" t="s">
        <v>11895</v>
      </c>
      <c r="F15727" s="46" t="s">
        <v>1898</v>
      </c>
      <c r="G15727" s="46">
        <v>3.61731943495E11</v>
      </c>
      <c r="H15727" s="46" t="s">
        <v>1899</v>
      </c>
      <c r="I15727" s="46" t="s">
        <v>1900</v>
      </c>
      <c r="J15727" s="46" t="s">
        <v>132</v>
      </c>
      <c r="K15727" s="46" t="s">
        <v>126</v>
      </c>
      <c r="L15727" s="45">
        <v>46019.229166666664</v>
      </c>
      <c r="M15727" s="46" t="s">
        <v>123</v>
      </c>
      <c r="N15727" s="45">
        <v>46019.270833333336</v>
      </c>
      <c r="O15727" s="46" t="s">
        <v>123</v>
      </c>
      <c r="P15727" s="46">
        <v>3600.0</v>
      </c>
    </row>
    <row r="15728">
      <c r="A15728" s="40">
        <f t="shared" si="1"/>
        <v>46013</v>
      </c>
      <c r="B15728" s="37" t="str">
        <f t="array" ref="B15728">iferror(xlookup($I15728, 'IMPORT VHC Report'!$E:$E, 'IMPORT VHC Report'!$A:$C), )</f>
        <v/>
      </c>
      <c r="C15728" s="44"/>
      <c r="D15728" s="44"/>
      <c r="E15728" s="46" t="s">
        <v>11896</v>
      </c>
      <c r="F15728" s="46" t="s">
        <v>1898</v>
      </c>
      <c r="G15728" s="46">
        <v>3.61731943495E11</v>
      </c>
      <c r="H15728" s="46" t="s">
        <v>1899</v>
      </c>
      <c r="I15728" s="46" t="s">
        <v>1900</v>
      </c>
      <c r="J15728" s="46" t="s">
        <v>134</v>
      </c>
      <c r="K15728" s="46" t="s">
        <v>126</v>
      </c>
      <c r="L15728" s="45">
        <v>46019.385416666664</v>
      </c>
      <c r="M15728" s="46" t="s">
        <v>123</v>
      </c>
      <c r="N15728" s="45">
        <v>46019.40625</v>
      </c>
      <c r="O15728" s="46" t="s">
        <v>123</v>
      </c>
      <c r="P15728" s="46">
        <v>1800.0</v>
      </c>
    </row>
    <row r="15729">
      <c r="A15729" s="40">
        <f t="shared" si="1"/>
        <v>46013</v>
      </c>
      <c r="B15729" s="37" t="str">
        <f t="array" ref="B15729">iferror(xlookup($I15729, 'IMPORT VHC Report'!$E:$E, 'IMPORT VHC Report'!$A:$C), )</f>
        <v/>
      </c>
      <c r="C15729" s="44"/>
      <c r="D15729" s="44"/>
      <c r="E15729" s="46" t="s">
        <v>11897</v>
      </c>
      <c r="F15729" s="46" t="s">
        <v>1959</v>
      </c>
      <c r="G15729" s="46">
        <v>3.61750003915E11</v>
      </c>
      <c r="H15729" s="46" t="s">
        <v>1960</v>
      </c>
      <c r="I15729" s="46" t="s">
        <v>1961</v>
      </c>
      <c r="J15729" s="46" t="s">
        <v>330</v>
      </c>
      <c r="K15729" s="46" t="s">
        <v>126</v>
      </c>
      <c r="L15729" s="45">
        <v>46013.166666666664</v>
      </c>
      <c r="M15729" s="46" t="s">
        <v>123</v>
      </c>
      <c r="N15729" s="45">
        <v>46013.17361111111</v>
      </c>
      <c r="O15729" s="46" t="s">
        <v>123</v>
      </c>
      <c r="P15729" s="46">
        <v>600.0</v>
      </c>
    </row>
    <row r="15730">
      <c r="A15730" s="40">
        <f t="shared" si="1"/>
        <v>46013</v>
      </c>
      <c r="B15730" s="37" t="str">
        <f t="array" ref="B15730">iferror(xlookup($I15730, 'IMPORT VHC Report'!$E:$E, 'IMPORT VHC Report'!$A:$C), )</f>
        <v/>
      </c>
      <c r="C15730" s="44"/>
      <c r="D15730" s="44"/>
      <c r="E15730" s="46" t="s">
        <v>11898</v>
      </c>
      <c r="F15730" s="46" t="s">
        <v>1959</v>
      </c>
      <c r="G15730" s="46">
        <v>3.61750003915E11</v>
      </c>
      <c r="H15730" s="46" t="s">
        <v>1960</v>
      </c>
      <c r="I15730" s="46" t="s">
        <v>1961</v>
      </c>
      <c r="J15730" s="46" t="s">
        <v>332</v>
      </c>
      <c r="K15730" s="46" t="s">
        <v>63</v>
      </c>
      <c r="L15730" s="45">
        <v>46013.166666666664</v>
      </c>
      <c r="M15730" s="46" t="s">
        <v>123</v>
      </c>
      <c r="N15730" s="45">
        <v>46013.427083333336</v>
      </c>
      <c r="O15730" s="46" t="s">
        <v>123</v>
      </c>
      <c r="P15730" s="46">
        <v>22500.0</v>
      </c>
    </row>
    <row r="15731">
      <c r="A15731" s="40">
        <f t="shared" si="1"/>
        <v>46013</v>
      </c>
      <c r="B15731" s="37" t="str">
        <f t="array" ref="B15731">iferror(xlookup($I15731, 'IMPORT VHC Report'!$E:$E, 'IMPORT VHC Report'!$A:$C), )</f>
        <v/>
      </c>
      <c r="C15731" s="44"/>
      <c r="D15731" s="44"/>
      <c r="E15731" s="46" t="s">
        <v>11899</v>
      </c>
      <c r="F15731" s="46" t="s">
        <v>1959</v>
      </c>
      <c r="G15731" s="46">
        <v>3.61750003915E11</v>
      </c>
      <c r="H15731" s="46" t="s">
        <v>1960</v>
      </c>
      <c r="I15731" s="46" t="s">
        <v>1961</v>
      </c>
      <c r="J15731" s="46" t="s">
        <v>132</v>
      </c>
      <c r="K15731" s="46" t="s">
        <v>126</v>
      </c>
      <c r="L15731" s="45">
        <v>46013.270833333336</v>
      </c>
      <c r="M15731" s="46" t="s">
        <v>123</v>
      </c>
      <c r="N15731" s="45">
        <v>46013.342361111114</v>
      </c>
      <c r="O15731" s="46" t="s">
        <v>123</v>
      </c>
      <c r="P15731" s="46">
        <v>6180.0</v>
      </c>
    </row>
    <row r="15732">
      <c r="A15732" s="40">
        <f t="shared" si="1"/>
        <v>46013</v>
      </c>
      <c r="B15732" s="37" t="str">
        <f t="array" ref="B15732">iferror(xlookup($I15732, 'IMPORT VHC Report'!$E:$E, 'IMPORT VHC Report'!$A:$C), )</f>
        <v/>
      </c>
      <c r="C15732" s="44"/>
      <c r="D15732" s="44"/>
      <c r="E15732" s="46" t="s">
        <v>11900</v>
      </c>
      <c r="F15732" s="46" t="s">
        <v>1959</v>
      </c>
      <c r="G15732" s="46">
        <v>3.61750003915E11</v>
      </c>
      <c r="H15732" s="46" t="s">
        <v>1960</v>
      </c>
      <c r="I15732" s="46" t="s">
        <v>1961</v>
      </c>
      <c r="J15732" s="46" t="s">
        <v>134</v>
      </c>
      <c r="K15732" s="46" t="s">
        <v>126</v>
      </c>
      <c r="L15732" s="45">
        <v>46013.427083333336</v>
      </c>
      <c r="M15732" s="46" t="s">
        <v>123</v>
      </c>
      <c r="N15732" s="45">
        <v>46013.447916666664</v>
      </c>
      <c r="O15732" s="46" t="s">
        <v>123</v>
      </c>
      <c r="P15732" s="46">
        <v>1800.0</v>
      </c>
    </row>
    <row r="15733">
      <c r="A15733" s="40">
        <f t="shared" si="1"/>
        <v>46013</v>
      </c>
      <c r="B15733" s="37" t="str">
        <f t="array" ref="B15733">iferror(xlookup($I15733, 'IMPORT VHC Report'!$E:$E, 'IMPORT VHC Report'!$A:$C), )</f>
        <v/>
      </c>
      <c r="C15733" s="44"/>
      <c r="D15733" s="44"/>
      <c r="E15733" s="46" t="s">
        <v>11901</v>
      </c>
      <c r="F15733" s="46" t="s">
        <v>1959</v>
      </c>
      <c r="G15733" s="46">
        <v>3.61750003915E11</v>
      </c>
      <c r="H15733" s="46" t="s">
        <v>1960</v>
      </c>
      <c r="I15733" s="46" t="s">
        <v>1961</v>
      </c>
      <c r="J15733" s="46" t="s">
        <v>332</v>
      </c>
      <c r="K15733" s="46" t="s">
        <v>63</v>
      </c>
      <c r="L15733" s="45">
        <v>46013.427083333336</v>
      </c>
      <c r="M15733" s="46" t="s">
        <v>123</v>
      </c>
      <c r="N15733" s="45">
        <v>46013.447916666664</v>
      </c>
      <c r="O15733" s="46" t="s">
        <v>123</v>
      </c>
      <c r="P15733" s="46">
        <v>1800.0</v>
      </c>
      <c r="S15733" s="46" t="s">
        <v>11902</v>
      </c>
    </row>
    <row r="15734">
      <c r="A15734" s="40">
        <f t="shared" si="1"/>
        <v>46013</v>
      </c>
      <c r="B15734" s="37" t="str">
        <f t="array" ref="B15734">iferror(xlookup($I15734, 'IMPORT VHC Report'!$E:$E, 'IMPORT VHC Report'!$A:$C), )</f>
        <v/>
      </c>
      <c r="C15734" s="44"/>
      <c r="D15734" s="44"/>
      <c r="E15734" s="46" t="s">
        <v>11903</v>
      </c>
      <c r="F15734" s="46" t="s">
        <v>1959</v>
      </c>
      <c r="G15734" s="46">
        <v>3.61750003915E11</v>
      </c>
      <c r="H15734" s="46" t="s">
        <v>1960</v>
      </c>
      <c r="I15734" s="46" t="s">
        <v>1961</v>
      </c>
      <c r="J15734" s="46" t="s">
        <v>332</v>
      </c>
      <c r="K15734" s="46" t="s">
        <v>63</v>
      </c>
      <c r="L15734" s="45">
        <v>46013.447916666664</v>
      </c>
      <c r="M15734" s="46" t="s">
        <v>123</v>
      </c>
      <c r="N15734" s="45">
        <v>46013.541666666664</v>
      </c>
      <c r="O15734" s="46" t="s">
        <v>123</v>
      </c>
      <c r="P15734" s="46">
        <v>8100.0</v>
      </c>
    </row>
    <row r="15735">
      <c r="A15735" s="40">
        <f t="shared" si="1"/>
        <v>46013</v>
      </c>
      <c r="B15735" s="37" t="str">
        <f t="array" ref="B15735">iferror(xlookup($I15735, 'IMPORT VHC Report'!$E:$E, 'IMPORT VHC Report'!$A:$C), )</f>
        <v/>
      </c>
      <c r="C15735" s="44"/>
      <c r="D15735" s="44"/>
      <c r="E15735" s="46" t="s">
        <v>11904</v>
      </c>
      <c r="F15735" s="46" t="s">
        <v>1959</v>
      </c>
      <c r="G15735" s="46">
        <v>3.61750003915E11</v>
      </c>
      <c r="H15735" s="46" t="s">
        <v>1960</v>
      </c>
      <c r="I15735" s="46" t="s">
        <v>1961</v>
      </c>
      <c r="J15735" s="46" t="s">
        <v>332</v>
      </c>
      <c r="K15735" s="46" t="s">
        <v>63</v>
      </c>
      <c r="L15735" s="45">
        <v>46013.541666666664</v>
      </c>
      <c r="M15735" s="46" t="s">
        <v>123</v>
      </c>
      <c r="N15735" s="45">
        <v>46013.55069444444</v>
      </c>
      <c r="O15735" s="46" t="s">
        <v>123</v>
      </c>
      <c r="P15735" s="46">
        <v>780.0</v>
      </c>
      <c r="S15735" s="46" t="s">
        <v>11905</v>
      </c>
    </row>
    <row r="15736">
      <c r="A15736" s="40">
        <f t="shared" si="1"/>
        <v>46013</v>
      </c>
      <c r="B15736" s="37" t="str">
        <f t="array" ref="B15736">iferror(xlookup($I15736, 'IMPORT VHC Report'!$E:$E, 'IMPORT VHC Report'!$A:$C), )</f>
        <v/>
      </c>
      <c r="C15736" s="44"/>
      <c r="D15736" s="44"/>
      <c r="E15736" s="46" t="s">
        <v>11906</v>
      </c>
      <c r="F15736" s="46" t="s">
        <v>1959</v>
      </c>
      <c r="G15736" s="46">
        <v>3.61750003915E11</v>
      </c>
      <c r="H15736" s="46" t="s">
        <v>1960</v>
      </c>
      <c r="I15736" s="46" t="s">
        <v>1961</v>
      </c>
      <c r="J15736" s="46" t="s">
        <v>330</v>
      </c>
      <c r="K15736" s="46" t="s">
        <v>126</v>
      </c>
      <c r="L15736" s="45">
        <v>46014.166666666664</v>
      </c>
      <c r="M15736" s="46" t="s">
        <v>123</v>
      </c>
      <c r="N15736" s="45">
        <v>46014.17361111111</v>
      </c>
      <c r="O15736" s="46" t="s">
        <v>123</v>
      </c>
      <c r="P15736" s="46">
        <v>600.0</v>
      </c>
    </row>
    <row r="15737">
      <c r="A15737" s="40">
        <f t="shared" si="1"/>
        <v>46013</v>
      </c>
      <c r="B15737" s="37" t="str">
        <f t="array" ref="B15737">iferror(xlookup($I15737, 'IMPORT VHC Report'!$E:$E, 'IMPORT VHC Report'!$A:$C), )</f>
        <v/>
      </c>
      <c r="C15737" s="44"/>
      <c r="D15737" s="44"/>
      <c r="E15737" s="46" t="s">
        <v>11907</v>
      </c>
      <c r="F15737" s="46" t="s">
        <v>1959</v>
      </c>
      <c r="G15737" s="46">
        <v>3.61750003915E11</v>
      </c>
      <c r="H15737" s="46" t="s">
        <v>1960</v>
      </c>
      <c r="I15737" s="46" t="s">
        <v>1961</v>
      </c>
      <c r="J15737" s="46" t="s">
        <v>332</v>
      </c>
      <c r="K15737" s="46" t="s">
        <v>63</v>
      </c>
      <c r="L15737" s="45">
        <v>46014.166666666664</v>
      </c>
      <c r="M15737" s="46" t="s">
        <v>123</v>
      </c>
      <c r="N15737" s="45">
        <v>46014.17361111111</v>
      </c>
      <c r="O15737" s="46" t="s">
        <v>123</v>
      </c>
      <c r="P15737" s="46">
        <v>600.0</v>
      </c>
    </row>
    <row r="15738">
      <c r="A15738" s="40">
        <f t="shared" si="1"/>
        <v>46013</v>
      </c>
      <c r="B15738" s="37" t="str">
        <f t="array" ref="B15738">iferror(xlookup($I15738, 'IMPORT VHC Report'!$E:$E, 'IMPORT VHC Report'!$A:$C), )</f>
        <v/>
      </c>
      <c r="C15738" s="44"/>
      <c r="D15738" s="44"/>
      <c r="E15738" s="46" t="s">
        <v>11908</v>
      </c>
      <c r="F15738" s="46" t="s">
        <v>1959</v>
      </c>
      <c r="G15738" s="46">
        <v>3.61750003915E11</v>
      </c>
      <c r="H15738" s="46" t="s">
        <v>1960</v>
      </c>
      <c r="I15738" s="46" t="s">
        <v>1961</v>
      </c>
      <c r="J15738" s="46" t="s">
        <v>332</v>
      </c>
      <c r="K15738" s="46" t="s">
        <v>63</v>
      </c>
      <c r="L15738" s="45">
        <v>46014.17361111111</v>
      </c>
      <c r="M15738" s="46" t="s">
        <v>123</v>
      </c>
      <c r="N15738" s="45">
        <v>46014.29513888889</v>
      </c>
      <c r="O15738" s="46" t="s">
        <v>123</v>
      </c>
      <c r="P15738" s="46">
        <v>10500.0</v>
      </c>
    </row>
    <row r="15739">
      <c r="A15739" s="40">
        <f t="shared" si="1"/>
        <v>46013</v>
      </c>
      <c r="B15739" s="37" t="str">
        <f t="array" ref="B15739">iferror(xlookup($I15739, 'IMPORT VHC Report'!$E:$E, 'IMPORT VHC Report'!$A:$C), )</f>
        <v/>
      </c>
      <c r="C15739" s="44"/>
      <c r="D15739" s="44"/>
      <c r="E15739" s="46" t="s">
        <v>11909</v>
      </c>
      <c r="F15739" s="46" t="s">
        <v>1959</v>
      </c>
      <c r="G15739" s="46">
        <v>3.61750003915E11</v>
      </c>
      <c r="H15739" s="46" t="s">
        <v>1960</v>
      </c>
      <c r="I15739" s="46" t="s">
        <v>1961</v>
      </c>
      <c r="J15739" s="46" t="s">
        <v>134</v>
      </c>
      <c r="K15739" s="46" t="s">
        <v>126</v>
      </c>
      <c r="L15739" s="45">
        <v>46014.291666666664</v>
      </c>
      <c r="M15739" s="46" t="s">
        <v>123</v>
      </c>
      <c r="N15739" s="45">
        <v>46014.29513888889</v>
      </c>
      <c r="O15739" s="46" t="s">
        <v>123</v>
      </c>
      <c r="P15739" s="46">
        <v>300.0</v>
      </c>
    </row>
    <row r="15740">
      <c r="A15740" s="40">
        <f t="shared" si="1"/>
        <v>46013</v>
      </c>
      <c r="B15740" s="37" t="str">
        <f t="array" ref="B15740">iferror(xlookup($I15740, 'IMPORT VHC Report'!$E:$E, 'IMPORT VHC Report'!$A:$C), )</f>
        <v/>
      </c>
      <c r="C15740" s="44"/>
      <c r="D15740" s="44"/>
      <c r="E15740" s="46" t="s">
        <v>11910</v>
      </c>
      <c r="F15740" s="46" t="s">
        <v>1959</v>
      </c>
      <c r="G15740" s="46">
        <v>3.61750003915E11</v>
      </c>
      <c r="H15740" s="46" t="s">
        <v>1960</v>
      </c>
      <c r="I15740" s="46" t="s">
        <v>1961</v>
      </c>
      <c r="J15740" s="46" t="s">
        <v>134</v>
      </c>
      <c r="K15740" s="46" t="s">
        <v>126</v>
      </c>
      <c r="L15740" s="45">
        <v>46014.29513888889</v>
      </c>
      <c r="M15740" s="46" t="s">
        <v>123</v>
      </c>
      <c r="N15740" s="45">
        <v>46014.31597222222</v>
      </c>
      <c r="O15740" s="46" t="s">
        <v>123</v>
      </c>
      <c r="P15740" s="46">
        <v>1800.0</v>
      </c>
    </row>
    <row r="15741">
      <c r="A15741" s="40">
        <f t="shared" si="1"/>
        <v>46013</v>
      </c>
      <c r="B15741" s="37" t="str">
        <f t="array" ref="B15741">iferror(xlookup($I15741, 'IMPORT VHC Report'!$E:$E, 'IMPORT VHC Report'!$A:$C), )</f>
        <v/>
      </c>
      <c r="C15741" s="44"/>
      <c r="D15741" s="44"/>
      <c r="E15741" s="46" t="s">
        <v>11911</v>
      </c>
      <c r="F15741" s="46" t="s">
        <v>1959</v>
      </c>
      <c r="G15741" s="46">
        <v>3.61750003915E11</v>
      </c>
      <c r="H15741" s="46" t="s">
        <v>1960</v>
      </c>
      <c r="I15741" s="46" t="s">
        <v>1961</v>
      </c>
      <c r="J15741" s="46" t="s">
        <v>332</v>
      </c>
      <c r="K15741" s="46" t="s">
        <v>63</v>
      </c>
      <c r="L15741" s="45">
        <v>46014.29513888889</v>
      </c>
      <c r="M15741" s="46" t="s">
        <v>123</v>
      </c>
      <c r="N15741" s="45">
        <v>46014.541666666664</v>
      </c>
      <c r="O15741" s="46" t="s">
        <v>123</v>
      </c>
      <c r="P15741" s="46">
        <v>21300.0</v>
      </c>
    </row>
    <row r="15742">
      <c r="A15742" s="40">
        <f t="shared" si="1"/>
        <v>46013</v>
      </c>
      <c r="B15742" s="37" t="str">
        <f t="array" ref="B15742">iferror(xlookup($I15742, 'IMPORT VHC Report'!$E:$E, 'IMPORT VHC Report'!$A:$C), )</f>
        <v/>
      </c>
      <c r="C15742" s="44"/>
      <c r="D15742" s="44"/>
      <c r="E15742" s="46" t="s">
        <v>11912</v>
      </c>
      <c r="F15742" s="46" t="s">
        <v>1959</v>
      </c>
      <c r="G15742" s="46">
        <v>3.61750003915E11</v>
      </c>
      <c r="H15742" s="46" t="s">
        <v>1960</v>
      </c>
      <c r="I15742" s="46" t="s">
        <v>1961</v>
      </c>
      <c r="J15742" s="46" t="s">
        <v>132</v>
      </c>
      <c r="K15742" s="46" t="s">
        <v>126</v>
      </c>
      <c r="L15742" s="45">
        <v>46014.447916666664</v>
      </c>
      <c r="M15742" s="46" t="s">
        <v>123</v>
      </c>
      <c r="N15742" s="45">
        <v>46014.489583333336</v>
      </c>
      <c r="O15742" s="46" t="s">
        <v>123</v>
      </c>
      <c r="P15742" s="46">
        <v>3600.0</v>
      </c>
    </row>
    <row r="15743">
      <c r="A15743" s="40">
        <f t="shared" si="1"/>
        <v>46013</v>
      </c>
      <c r="B15743" s="37" t="str">
        <f t="array" ref="B15743">iferror(xlookup($I15743, 'IMPORT VHC Report'!$E:$E, 'IMPORT VHC Report'!$A:$C), )</f>
        <v/>
      </c>
      <c r="C15743" s="44"/>
      <c r="D15743" s="44"/>
      <c r="E15743" s="46" t="s">
        <v>11913</v>
      </c>
      <c r="F15743" s="46" t="s">
        <v>1959</v>
      </c>
      <c r="G15743" s="46">
        <v>3.61750003915E11</v>
      </c>
      <c r="H15743" s="46" t="s">
        <v>1960</v>
      </c>
      <c r="I15743" s="46" t="s">
        <v>1961</v>
      </c>
      <c r="J15743" s="46" t="s">
        <v>330</v>
      </c>
      <c r="K15743" s="46" t="s">
        <v>126</v>
      </c>
      <c r="L15743" s="45">
        <v>46015.166666666664</v>
      </c>
      <c r="M15743" s="46" t="s">
        <v>123</v>
      </c>
      <c r="N15743" s="45">
        <v>46015.17361111111</v>
      </c>
      <c r="O15743" s="46" t="s">
        <v>123</v>
      </c>
      <c r="P15743" s="46">
        <v>600.0</v>
      </c>
    </row>
    <row r="15744">
      <c r="A15744" s="40">
        <f t="shared" si="1"/>
        <v>46013</v>
      </c>
      <c r="B15744" s="37" t="str">
        <f t="array" ref="B15744">iferror(xlookup($I15744, 'IMPORT VHC Report'!$E:$E, 'IMPORT VHC Report'!$A:$C), )</f>
        <v/>
      </c>
      <c r="C15744" s="44"/>
      <c r="D15744" s="44"/>
      <c r="E15744" s="46" t="s">
        <v>11914</v>
      </c>
      <c r="F15744" s="46" t="s">
        <v>1959</v>
      </c>
      <c r="G15744" s="46">
        <v>3.61750003915E11</v>
      </c>
      <c r="H15744" s="46" t="s">
        <v>1960</v>
      </c>
      <c r="I15744" s="46" t="s">
        <v>1961</v>
      </c>
      <c r="J15744" s="46" t="s">
        <v>332</v>
      </c>
      <c r="K15744" s="46" t="s">
        <v>63</v>
      </c>
      <c r="L15744" s="45">
        <v>46015.166666666664</v>
      </c>
      <c r="M15744" s="46" t="s">
        <v>123</v>
      </c>
      <c r="N15744" s="45">
        <v>46015.541666666664</v>
      </c>
      <c r="O15744" s="46" t="s">
        <v>123</v>
      </c>
      <c r="P15744" s="46">
        <v>32400.0</v>
      </c>
    </row>
    <row r="15745">
      <c r="A15745" s="40">
        <f t="shared" si="1"/>
        <v>46013</v>
      </c>
      <c r="B15745" s="37" t="str">
        <f t="array" ref="B15745">iferror(xlookup($I15745, 'IMPORT VHC Report'!$E:$E, 'IMPORT VHC Report'!$A:$C), )</f>
        <v/>
      </c>
      <c r="C15745" s="44"/>
      <c r="D15745" s="44"/>
      <c r="E15745" s="46" t="s">
        <v>11915</v>
      </c>
      <c r="F15745" s="46" t="s">
        <v>1959</v>
      </c>
      <c r="G15745" s="46">
        <v>3.61750003915E11</v>
      </c>
      <c r="H15745" s="46" t="s">
        <v>1960</v>
      </c>
      <c r="I15745" s="46" t="s">
        <v>1961</v>
      </c>
      <c r="J15745" s="46" t="s">
        <v>136</v>
      </c>
      <c r="K15745" s="46" t="s">
        <v>126</v>
      </c>
      <c r="L15745" s="45">
        <v>46015.208333333336</v>
      </c>
      <c r="M15745" s="46" t="s">
        <v>123</v>
      </c>
      <c r="N15745" s="45">
        <v>46015.25</v>
      </c>
      <c r="O15745" s="46" t="s">
        <v>123</v>
      </c>
      <c r="P15745" s="46">
        <v>3600.0</v>
      </c>
      <c r="S15745" s="46" t="s">
        <v>137</v>
      </c>
    </row>
    <row r="15746">
      <c r="A15746" s="40">
        <f t="shared" si="1"/>
        <v>46013</v>
      </c>
      <c r="B15746" s="37" t="str">
        <f t="array" ref="B15746">iferror(xlookup($I15746, 'IMPORT VHC Report'!$E:$E, 'IMPORT VHC Report'!$A:$C), )</f>
        <v/>
      </c>
      <c r="C15746" s="44"/>
      <c r="D15746" s="44"/>
      <c r="E15746" s="46" t="s">
        <v>11916</v>
      </c>
      <c r="F15746" s="46" t="s">
        <v>1959</v>
      </c>
      <c r="G15746" s="46">
        <v>3.61750003915E11</v>
      </c>
      <c r="H15746" s="46" t="s">
        <v>1960</v>
      </c>
      <c r="I15746" s="46" t="s">
        <v>1961</v>
      </c>
      <c r="J15746" s="46" t="s">
        <v>132</v>
      </c>
      <c r="K15746" s="46" t="s">
        <v>126</v>
      </c>
      <c r="L15746" s="45">
        <v>46015.25</v>
      </c>
      <c r="M15746" s="46" t="s">
        <v>123</v>
      </c>
      <c r="N15746" s="45">
        <v>46015.291666666664</v>
      </c>
      <c r="O15746" s="46" t="s">
        <v>123</v>
      </c>
      <c r="P15746" s="46">
        <v>3600.0</v>
      </c>
    </row>
    <row r="15747">
      <c r="A15747" s="40">
        <f t="shared" si="1"/>
        <v>46013</v>
      </c>
      <c r="B15747" s="37" t="str">
        <f t="array" ref="B15747">iferror(xlookup($I15747, 'IMPORT VHC Report'!$E:$E, 'IMPORT VHC Report'!$A:$C), )</f>
        <v/>
      </c>
      <c r="C15747" s="44"/>
      <c r="D15747" s="44"/>
      <c r="E15747" s="46" t="s">
        <v>11917</v>
      </c>
      <c r="F15747" s="46" t="s">
        <v>1959</v>
      </c>
      <c r="G15747" s="46">
        <v>3.61750003915E11</v>
      </c>
      <c r="H15747" s="46" t="s">
        <v>1960</v>
      </c>
      <c r="I15747" s="46" t="s">
        <v>1961</v>
      </c>
      <c r="J15747" s="46" t="s">
        <v>134</v>
      </c>
      <c r="K15747" s="46" t="s">
        <v>126</v>
      </c>
      <c r="L15747" s="45">
        <v>46015.416666666664</v>
      </c>
      <c r="M15747" s="46" t="s">
        <v>123</v>
      </c>
      <c r="N15747" s="45">
        <v>46015.4375</v>
      </c>
      <c r="O15747" s="46" t="s">
        <v>123</v>
      </c>
      <c r="P15747" s="46">
        <v>1800.0</v>
      </c>
    </row>
    <row r="15748">
      <c r="A15748" s="40">
        <f t="shared" si="1"/>
        <v>46013</v>
      </c>
      <c r="B15748" s="37" t="str">
        <f t="array" ref="B15748">iferror(xlookup($I15748, 'IMPORT VHC Report'!$E:$E, 'IMPORT VHC Report'!$A:$C), )</f>
        <v/>
      </c>
      <c r="C15748" s="44"/>
      <c r="D15748" s="44"/>
      <c r="E15748" s="46" t="s">
        <v>11918</v>
      </c>
      <c r="F15748" s="46" t="s">
        <v>1959</v>
      </c>
      <c r="G15748" s="46">
        <v>3.61750003915E11</v>
      </c>
      <c r="H15748" s="46" t="s">
        <v>1960</v>
      </c>
      <c r="I15748" s="46" t="s">
        <v>1961</v>
      </c>
      <c r="J15748" s="46" t="s">
        <v>4</v>
      </c>
      <c r="K15748" s="46" t="s">
        <v>126</v>
      </c>
      <c r="L15748" s="45">
        <v>46015.510416666664</v>
      </c>
      <c r="M15748" s="46" t="s">
        <v>123</v>
      </c>
      <c r="N15748" s="45">
        <v>46015.520833333336</v>
      </c>
      <c r="O15748" s="46" t="s">
        <v>123</v>
      </c>
      <c r="P15748" s="46">
        <v>900.0</v>
      </c>
      <c r="S15748" s="46" t="s">
        <v>11919</v>
      </c>
    </row>
    <row r="15749">
      <c r="A15749" s="40">
        <f t="shared" si="1"/>
        <v>46013</v>
      </c>
      <c r="B15749" s="37" t="str">
        <f t="array" ref="B15749">iferror(xlookup($I15749, 'IMPORT VHC Report'!$E:$E, 'IMPORT VHC Report'!$A:$C), )</f>
        <v/>
      </c>
      <c r="C15749" s="44"/>
      <c r="D15749" s="44"/>
      <c r="E15749" s="46" t="s">
        <v>11920</v>
      </c>
      <c r="F15749" s="46" t="s">
        <v>1959</v>
      </c>
      <c r="G15749" s="46">
        <v>3.61750003915E11</v>
      </c>
      <c r="H15749" s="46" t="s">
        <v>1960</v>
      </c>
      <c r="I15749" s="46" t="s">
        <v>1961</v>
      </c>
      <c r="J15749" s="46" t="s">
        <v>330</v>
      </c>
      <c r="K15749" s="46" t="s">
        <v>126</v>
      </c>
      <c r="L15749" s="45">
        <v>46018.166666666664</v>
      </c>
      <c r="M15749" s="46" t="s">
        <v>123</v>
      </c>
      <c r="N15749" s="45">
        <v>46018.17361111111</v>
      </c>
      <c r="O15749" s="46" t="s">
        <v>123</v>
      </c>
      <c r="P15749" s="46">
        <v>600.0</v>
      </c>
    </row>
    <row r="15750">
      <c r="A15750" s="40">
        <f t="shared" si="1"/>
        <v>46013</v>
      </c>
      <c r="B15750" s="37" t="str">
        <f t="array" ref="B15750">iferror(xlookup($I15750, 'IMPORT VHC Report'!$E:$E, 'IMPORT VHC Report'!$A:$C), )</f>
        <v/>
      </c>
      <c r="C15750" s="44"/>
      <c r="D15750" s="44"/>
      <c r="E15750" s="46" t="s">
        <v>11921</v>
      </c>
      <c r="F15750" s="46" t="s">
        <v>1959</v>
      </c>
      <c r="G15750" s="46">
        <v>3.61750003915E11</v>
      </c>
      <c r="H15750" s="46" t="s">
        <v>1960</v>
      </c>
      <c r="I15750" s="46" t="s">
        <v>1961</v>
      </c>
      <c r="J15750" s="46" t="s">
        <v>178</v>
      </c>
      <c r="K15750" s="46" t="s">
        <v>153</v>
      </c>
      <c r="L15750" s="45">
        <v>46018.166666666664</v>
      </c>
      <c r="M15750" s="46" t="s">
        <v>123</v>
      </c>
      <c r="N15750" s="45">
        <v>46018.541666666664</v>
      </c>
      <c r="O15750" s="46" t="s">
        <v>123</v>
      </c>
      <c r="P15750" s="46">
        <v>32400.0</v>
      </c>
      <c r="Q15750" s="46">
        <v>28800.0</v>
      </c>
      <c r="R15750" s="46" t="s">
        <v>11922</v>
      </c>
    </row>
    <row r="15751">
      <c r="A15751" s="40">
        <f t="shared" si="1"/>
        <v>46013</v>
      </c>
      <c r="B15751" s="37" t="str">
        <f t="array" ref="B15751">iferror(xlookup($I15751, 'IMPORT VHC Report'!$E:$E, 'IMPORT VHC Report'!$A:$C), )</f>
        <v/>
      </c>
      <c r="C15751" s="44"/>
      <c r="D15751" s="44"/>
      <c r="E15751" s="46" t="s">
        <v>11923</v>
      </c>
      <c r="F15751" s="46" t="s">
        <v>1959</v>
      </c>
      <c r="G15751" s="46">
        <v>3.61750003915E11</v>
      </c>
      <c r="H15751" s="46" t="s">
        <v>1960</v>
      </c>
      <c r="I15751" s="46" t="s">
        <v>1961</v>
      </c>
      <c r="J15751" s="46" t="s">
        <v>332</v>
      </c>
      <c r="K15751" s="46" t="s">
        <v>63</v>
      </c>
      <c r="L15751" s="45">
        <v>46018.166666666664</v>
      </c>
      <c r="M15751" s="46" t="s">
        <v>123</v>
      </c>
      <c r="N15751" s="45">
        <v>46018.541666666664</v>
      </c>
      <c r="O15751" s="46" t="s">
        <v>123</v>
      </c>
      <c r="P15751" s="46">
        <v>32400.0</v>
      </c>
    </row>
    <row r="15752">
      <c r="A15752" s="40">
        <f t="shared" si="1"/>
        <v>46013</v>
      </c>
      <c r="B15752" s="37" t="str">
        <f t="array" ref="B15752">iferror(xlookup($I15752, 'IMPORT VHC Report'!$E:$E, 'IMPORT VHC Report'!$A:$C), )</f>
        <v/>
      </c>
      <c r="C15752" s="44"/>
      <c r="D15752" s="44"/>
      <c r="E15752" s="46" t="s">
        <v>11924</v>
      </c>
      <c r="F15752" s="46" t="s">
        <v>1959</v>
      </c>
      <c r="G15752" s="46">
        <v>3.61750003915E11</v>
      </c>
      <c r="H15752" s="46" t="s">
        <v>1960</v>
      </c>
      <c r="I15752" s="46" t="s">
        <v>1961</v>
      </c>
      <c r="J15752" s="46" t="s">
        <v>134</v>
      </c>
      <c r="K15752" s="46" t="s">
        <v>126</v>
      </c>
      <c r="L15752" s="45">
        <v>46018.270833333336</v>
      </c>
      <c r="M15752" s="46" t="s">
        <v>123</v>
      </c>
      <c r="N15752" s="45">
        <v>46018.291666666664</v>
      </c>
      <c r="O15752" s="46" t="s">
        <v>123</v>
      </c>
      <c r="P15752" s="46">
        <v>1800.0</v>
      </c>
    </row>
    <row r="15753">
      <c r="A15753" s="40">
        <f t="shared" si="1"/>
        <v>46013</v>
      </c>
      <c r="B15753" s="37" t="str">
        <f t="array" ref="B15753">iferror(xlookup($I15753, 'IMPORT VHC Report'!$E:$E, 'IMPORT VHC Report'!$A:$C), )</f>
        <v/>
      </c>
      <c r="C15753" s="44"/>
      <c r="D15753" s="44"/>
      <c r="E15753" s="46" t="s">
        <v>11925</v>
      </c>
      <c r="F15753" s="46" t="s">
        <v>1959</v>
      </c>
      <c r="G15753" s="46">
        <v>3.61750003915E11</v>
      </c>
      <c r="H15753" s="46" t="s">
        <v>1960</v>
      </c>
      <c r="I15753" s="46" t="s">
        <v>1961</v>
      </c>
      <c r="J15753" s="46" t="s">
        <v>132</v>
      </c>
      <c r="K15753" s="46" t="s">
        <v>126</v>
      </c>
      <c r="L15753" s="45">
        <v>46018.40625</v>
      </c>
      <c r="M15753" s="46" t="s">
        <v>123</v>
      </c>
      <c r="N15753" s="45">
        <v>46018.447916666664</v>
      </c>
      <c r="O15753" s="46" t="s">
        <v>123</v>
      </c>
      <c r="P15753" s="46">
        <v>3600.0</v>
      </c>
    </row>
    <row r="15754">
      <c r="A15754" s="40">
        <f t="shared" si="1"/>
        <v>46013</v>
      </c>
      <c r="B15754" s="37" t="str">
        <f t="array" ref="B15754">iferror(xlookup($I15754, 'IMPORT VHC Report'!$E:$E, 'IMPORT VHC Report'!$A:$C), )</f>
        <v/>
      </c>
      <c r="C15754" s="44"/>
      <c r="D15754" s="44"/>
      <c r="E15754" s="46" t="s">
        <v>11926</v>
      </c>
      <c r="F15754" s="46" t="s">
        <v>1959</v>
      </c>
      <c r="G15754" s="46">
        <v>3.61750003915E11</v>
      </c>
      <c r="H15754" s="46" t="s">
        <v>1960</v>
      </c>
      <c r="I15754" s="46" t="s">
        <v>1961</v>
      </c>
      <c r="J15754" s="46" t="s">
        <v>330</v>
      </c>
      <c r="K15754" s="46" t="s">
        <v>126</v>
      </c>
      <c r="L15754" s="45">
        <v>46019.166666666664</v>
      </c>
      <c r="M15754" s="46" t="s">
        <v>123</v>
      </c>
      <c r="N15754" s="45">
        <v>46019.17361111111</v>
      </c>
      <c r="O15754" s="46" t="s">
        <v>123</v>
      </c>
      <c r="P15754" s="46">
        <v>600.0</v>
      </c>
    </row>
    <row r="15755">
      <c r="A15755" s="40">
        <f t="shared" si="1"/>
        <v>46013</v>
      </c>
      <c r="B15755" s="37" t="str">
        <f t="array" ref="B15755">iferror(xlookup($I15755, 'IMPORT VHC Report'!$E:$E, 'IMPORT VHC Report'!$A:$C), )</f>
        <v/>
      </c>
      <c r="C15755" s="44"/>
      <c r="D15755" s="44"/>
      <c r="E15755" s="46" t="s">
        <v>11927</v>
      </c>
      <c r="F15755" s="46" t="s">
        <v>1959</v>
      </c>
      <c r="G15755" s="46">
        <v>3.61750003915E11</v>
      </c>
      <c r="H15755" s="46" t="s">
        <v>1960</v>
      </c>
      <c r="I15755" s="46" t="s">
        <v>1961</v>
      </c>
      <c r="J15755" s="46" t="s">
        <v>332</v>
      </c>
      <c r="K15755" s="46" t="s">
        <v>63</v>
      </c>
      <c r="L15755" s="45">
        <v>46019.166666666664</v>
      </c>
      <c r="M15755" s="46" t="s">
        <v>123</v>
      </c>
      <c r="N15755" s="45">
        <v>46019.541666666664</v>
      </c>
      <c r="O15755" s="46" t="s">
        <v>123</v>
      </c>
      <c r="P15755" s="46">
        <v>32400.0</v>
      </c>
    </row>
    <row r="15756">
      <c r="A15756" s="40">
        <f t="shared" si="1"/>
        <v>46013</v>
      </c>
      <c r="B15756" s="37" t="str">
        <f t="array" ref="B15756">iferror(xlookup($I15756, 'IMPORT VHC Report'!$E:$E, 'IMPORT VHC Report'!$A:$C), )</f>
        <v/>
      </c>
      <c r="C15756" s="44"/>
      <c r="D15756" s="44"/>
      <c r="E15756" s="46" t="s">
        <v>11928</v>
      </c>
      <c r="F15756" s="46" t="s">
        <v>1959</v>
      </c>
      <c r="G15756" s="46">
        <v>3.61750003915E11</v>
      </c>
      <c r="H15756" s="46" t="s">
        <v>1960</v>
      </c>
      <c r="I15756" s="46" t="s">
        <v>1961</v>
      </c>
      <c r="J15756" s="46" t="s">
        <v>134</v>
      </c>
      <c r="K15756" s="46" t="s">
        <v>126</v>
      </c>
      <c r="L15756" s="45">
        <v>46019.270833333336</v>
      </c>
      <c r="M15756" s="46" t="s">
        <v>123</v>
      </c>
      <c r="N15756" s="45">
        <v>46019.291666666664</v>
      </c>
      <c r="O15756" s="46" t="s">
        <v>123</v>
      </c>
      <c r="P15756" s="46">
        <v>1800.0</v>
      </c>
    </row>
    <row r="15757">
      <c r="A15757" s="40">
        <f t="shared" si="1"/>
        <v>46013</v>
      </c>
      <c r="B15757" s="37" t="str">
        <f t="array" ref="B15757">iferror(xlookup($I15757, 'IMPORT VHC Report'!$E:$E, 'IMPORT VHC Report'!$A:$C), )</f>
        <v/>
      </c>
      <c r="C15757" s="44"/>
      <c r="D15757" s="44"/>
      <c r="E15757" s="46" t="s">
        <v>11929</v>
      </c>
      <c r="F15757" s="46" t="s">
        <v>1959</v>
      </c>
      <c r="G15757" s="46">
        <v>3.61750003915E11</v>
      </c>
      <c r="H15757" s="46" t="s">
        <v>1960</v>
      </c>
      <c r="I15757" s="46" t="s">
        <v>1961</v>
      </c>
      <c r="J15757" s="46" t="s">
        <v>132</v>
      </c>
      <c r="K15757" s="46" t="s">
        <v>126</v>
      </c>
      <c r="L15757" s="45">
        <v>46019.40625</v>
      </c>
      <c r="M15757" s="46" t="s">
        <v>123</v>
      </c>
      <c r="N15757" s="45">
        <v>46019.447916666664</v>
      </c>
      <c r="O15757" s="46" t="s">
        <v>123</v>
      </c>
      <c r="P15757" s="46">
        <v>3600.0</v>
      </c>
    </row>
    <row r="15758">
      <c r="A15758" s="40">
        <f t="shared" si="1"/>
        <v>46013</v>
      </c>
      <c r="B15758" s="37" t="str">
        <f t="array" ref="B15758">iferror(xlookup($I15758, 'IMPORT VHC Report'!$E:$E, 'IMPORT VHC Report'!$A:$C), )</f>
        <v/>
      </c>
      <c r="C15758" s="44"/>
      <c r="D15758" s="44"/>
      <c r="E15758" s="46" t="s">
        <v>11930</v>
      </c>
      <c r="F15758" s="46" t="s">
        <v>1999</v>
      </c>
      <c r="G15758" s="46">
        <v>9.795981813775E12</v>
      </c>
      <c r="H15758" s="46" t="s">
        <v>2000</v>
      </c>
      <c r="I15758" s="46" t="s">
        <v>2001</v>
      </c>
      <c r="J15758" s="46" t="s">
        <v>330</v>
      </c>
      <c r="K15758" s="46" t="s">
        <v>126</v>
      </c>
      <c r="L15758" s="45">
        <v>46013.166666666664</v>
      </c>
      <c r="M15758" s="46" t="s">
        <v>123</v>
      </c>
      <c r="N15758" s="45">
        <v>46013.17361111111</v>
      </c>
      <c r="O15758" s="46" t="s">
        <v>123</v>
      </c>
      <c r="P15758" s="46">
        <v>600.0</v>
      </c>
    </row>
    <row r="15759">
      <c r="A15759" s="40">
        <f t="shared" si="1"/>
        <v>46013</v>
      </c>
      <c r="B15759" s="37" t="str">
        <f t="array" ref="B15759">iferror(xlookup($I15759, 'IMPORT VHC Report'!$E:$E, 'IMPORT VHC Report'!$A:$C), )</f>
        <v/>
      </c>
      <c r="C15759" s="44"/>
      <c r="D15759" s="44"/>
      <c r="E15759" s="46" t="s">
        <v>11931</v>
      </c>
      <c r="F15759" s="46" t="s">
        <v>1999</v>
      </c>
      <c r="G15759" s="46">
        <v>9.795981813775E12</v>
      </c>
      <c r="H15759" s="46" t="s">
        <v>2000</v>
      </c>
      <c r="I15759" s="46" t="s">
        <v>2001</v>
      </c>
      <c r="J15759" s="46" t="s">
        <v>152</v>
      </c>
      <c r="K15759" s="46" t="s">
        <v>153</v>
      </c>
      <c r="L15759" s="45">
        <v>46013.166666666664</v>
      </c>
      <c r="M15759" s="46" t="s">
        <v>123</v>
      </c>
      <c r="N15759" s="45">
        <v>46013.541666666664</v>
      </c>
      <c r="O15759" s="46" t="s">
        <v>123</v>
      </c>
      <c r="P15759" s="46">
        <v>32400.0</v>
      </c>
      <c r="Q15759" s="46">
        <v>32400.0</v>
      </c>
    </row>
    <row r="15760">
      <c r="A15760" s="40">
        <f t="shared" si="1"/>
        <v>46013</v>
      </c>
      <c r="B15760" s="37" t="str">
        <f t="array" ref="B15760">iferror(xlookup($I15760, 'IMPORT VHC Report'!$E:$E, 'IMPORT VHC Report'!$A:$C), )</f>
        <v/>
      </c>
      <c r="C15760" s="44"/>
      <c r="D15760" s="44"/>
      <c r="E15760" s="46" t="s">
        <v>11932</v>
      </c>
      <c r="F15760" s="46" t="s">
        <v>1999</v>
      </c>
      <c r="G15760" s="46">
        <v>9.795981813775E12</v>
      </c>
      <c r="H15760" s="46" t="s">
        <v>2000</v>
      </c>
      <c r="I15760" s="46" t="s">
        <v>2001</v>
      </c>
      <c r="J15760" s="46" t="s">
        <v>132</v>
      </c>
      <c r="K15760" s="46" t="s">
        <v>126</v>
      </c>
      <c r="L15760" s="45">
        <v>46013.3125</v>
      </c>
      <c r="M15760" s="46" t="s">
        <v>123</v>
      </c>
      <c r="N15760" s="45">
        <v>46013.354166666664</v>
      </c>
      <c r="O15760" s="46" t="s">
        <v>123</v>
      </c>
      <c r="P15760" s="46">
        <v>3600.0</v>
      </c>
    </row>
    <row r="15761">
      <c r="A15761" s="40">
        <f t="shared" si="1"/>
        <v>46013</v>
      </c>
      <c r="B15761" s="37" t="str">
        <f t="array" ref="B15761">iferror(xlookup($I15761, 'IMPORT VHC Report'!$E:$E, 'IMPORT VHC Report'!$A:$C), )</f>
        <v/>
      </c>
      <c r="C15761" s="44"/>
      <c r="D15761" s="44"/>
      <c r="E15761" s="46" t="s">
        <v>11933</v>
      </c>
      <c r="F15761" s="46" t="s">
        <v>1999</v>
      </c>
      <c r="G15761" s="46">
        <v>9.795981813775E12</v>
      </c>
      <c r="H15761" s="46" t="s">
        <v>2000</v>
      </c>
      <c r="I15761" s="46" t="s">
        <v>2001</v>
      </c>
      <c r="J15761" s="46" t="s">
        <v>134</v>
      </c>
      <c r="K15761" s="46" t="s">
        <v>126</v>
      </c>
      <c r="L15761" s="45">
        <v>46013.458333333336</v>
      </c>
      <c r="M15761" s="46" t="s">
        <v>123</v>
      </c>
      <c r="N15761" s="45">
        <v>46013.479166666664</v>
      </c>
      <c r="O15761" s="46" t="s">
        <v>123</v>
      </c>
      <c r="P15761" s="46">
        <v>1800.0</v>
      </c>
    </row>
    <row r="15762">
      <c r="A15762" s="40">
        <f t="shared" si="1"/>
        <v>46013</v>
      </c>
      <c r="B15762" s="37" t="str">
        <f t="array" ref="B15762">iferror(xlookup($I15762, 'IMPORT VHC Report'!$E:$E, 'IMPORT VHC Report'!$A:$C), )</f>
        <v/>
      </c>
      <c r="C15762" s="44"/>
      <c r="D15762" s="44"/>
      <c r="E15762" s="46" t="s">
        <v>11934</v>
      </c>
      <c r="F15762" s="46" t="s">
        <v>1999</v>
      </c>
      <c r="G15762" s="46">
        <v>9.795981813775E12</v>
      </c>
      <c r="H15762" s="46" t="s">
        <v>2000</v>
      </c>
      <c r="I15762" s="46" t="s">
        <v>2001</v>
      </c>
      <c r="J15762" s="46" t="s">
        <v>330</v>
      </c>
      <c r="K15762" s="46" t="s">
        <v>126</v>
      </c>
      <c r="L15762" s="45">
        <v>46014.166666666664</v>
      </c>
      <c r="M15762" s="46" t="s">
        <v>123</v>
      </c>
      <c r="N15762" s="45">
        <v>46014.17361111111</v>
      </c>
      <c r="O15762" s="46" t="s">
        <v>123</v>
      </c>
      <c r="P15762" s="46">
        <v>600.0</v>
      </c>
    </row>
    <row r="15763">
      <c r="A15763" s="40">
        <f t="shared" si="1"/>
        <v>46013</v>
      </c>
      <c r="B15763" s="37" t="str">
        <f t="array" ref="B15763">iferror(xlookup($I15763, 'IMPORT VHC Report'!$E:$E, 'IMPORT VHC Report'!$A:$C), )</f>
        <v/>
      </c>
      <c r="C15763" s="44"/>
      <c r="D15763" s="44"/>
      <c r="E15763" s="46" t="s">
        <v>11935</v>
      </c>
      <c r="F15763" s="46" t="s">
        <v>1999</v>
      </c>
      <c r="G15763" s="46">
        <v>9.795981813775E12</v>
      </c>
      <c r="H15763" s="46" t="s">
        <v>2000</v>
      </c>
      <c r="I15763" s="46" t="s">
        <v>2001</v>
      </c>
      <c r="J15763" s="46" t="s">
        <v>332</v>
      </c>
      <c r="K15763" s="46" t="s">
        <v>63</v>
      </c>
      <c r="L15763" s="45">
        <v>46014.166666666664</v>
      </c>
      <c r="M15763" s="46" t="s">
        <v>123</v>
      </c>
      <c r="N15763" s="45">
        <v>46014.541666666664</v>
      </c>
      <c r="O15763" s="46" t="s">
        <v>123</v>
      </c>
      <c r="P15763" s="46">
        <v>32400.0</v>
      </c>
    </row>
    <row r="15764">
      <c r="A15764" s="40">
        <f t="shared" si="1"/>
        <v>46013</v>
      </c>
      <c r="B15764" s="37" t="str">
        <f t="array" ref="B15764">iferror(xlookup($I15764, 'IMPORT VHC Report'!$E:$E, 'IMPORT VHC Report'!$A:$C), )</f>
        <v/>
      </c>
      <c r="C15764" s="44"/>
      <c r="D15764" s="44"/>
      <c r="E15764" s="46" t="s">
        <v>11936</v>
      </c>
      <c r="F15764" s="46" t="s">
        <v>1999</v>
      </c>
      <c r="G15764" s="46">
        <v>9.795981813775E12</v>
      </c>
      <c r="H15764" s="46" t="s">
        <v>2000</v>
      </c>
      <c r="I15764" s="46" t="s">
        <v>2001</v>
      </c>
      <c r="J15764" s="46" t="s">
        <v>134</v>
      </c>
      <c r="K15764" s="46" t="s">
        <v>126</v>
      </c>
      <c r="L15764" s="45">
        <v>46014.3125</v>
      </c>
      <c r="M15764" s="46" t="s">
        <v>123</v>
      </c>
      <c r="N15764" s="45">
        <v>46014.333333333336</v>
      </c>
      <c r="O15764" s="46" t="s">
        <v>123</v>
      </c>
      <c r="P15764" s="46">
        <v>1800.0</v>
      </c>
    </row>
    <row r="15765">
      <c r="A15765" s="40">
        <f t="shared" si="1"/>
        <v>46013</v>
      </c>
      <c r="B15765" s="37" t="str">
        <f t="array" ref="B15765">iferror(xlookup($I15765, 'IMPORT VHC Report'!$E:$E, 'IMPORT VHC Report'!$A:$C), )</f>
        <v/>
      </c>
      <c r="C15765" s="44"/>
      <c r="D15765" s="44"/>
      <c r="E15765" s="46" t="s">
        <v>11937</v>
      </c>
      <c r="F15765" s="46" t="s">
        <v>1999</v>
      </c>
      <c r="G15765" s="46">
        <v>9.795981813775E12</v>
      </c>
      <c r="H15765" s="46" t="s">
        <v>2000</v>
      </c>
      <c r="I15765" s="46" t="s">
        <v>2001</v>
      </c>
      <c r="J15765" s="46" t="s">
        <v>132</v>
      </c>
      <c r="K15765" s="46" t="s">
        <v>126</v>
      </c>
      <c r="L15765" s="45">
        <v>46014.416666666664</v>
      </c>
      <c r="M15765" s="46" t="s">
        <v>123</v>
      </c>
      <c r="N15765" s="45">
        <v>46014.458333333336</v>
      </c>
      <c r="O15765" s="46" t="s">
        <v>123</v>
      </c>
      <c r="P15765" s="46">
        <v>3600.0</v>
      </c>
    </row>
    <row r="15766">
      <c r="A15766" s="40">
        <f t="shared" si="1"/>
        <v>46013</v>
      </c>
      <c r="B15766" s="37" t="str">
        <f t="array" ref="B15766">iferror(xlookup($I15766, 'IMPORT VHC Report'!$E:$E, 'IMPORT VHC Report'!$A:$C), )</f>
        <v/>
      </c>
      <c r="C15766" s="44"/>
      <c r="D15766" s="44"/>
      <c r="E15766" s="46" t="s">
        <v>11938</v>
      </c>
      <c r="F15766" s="46" t="s">
        <v>1999</v>
      </c>
      <c r="G15766" s="46">
        <v>9.795981813775E12</v>
      </c>
      <c r="H15766" s="46" t="s">
        <v>2000</v>
      </c>
      <c r="I15766" s="46" t="s">
        <v>2001</v>
      </c>
      <c r="J15766" s="46" t="s">
        <v>330</v>
      </c>
      <c r="K15766" s="46" t="s">
        <v>126</v>
      </c>
      <c r="L15766" s="45">
        <v>46015.166666666664</v>
      </c>
      <c r="M15766" s="46" t="s">
        <v>123</v>
      </c>
      <c r="N15766" s="45">
        <v>46015.17361111111</v>
      </c>
      <c r="O15766" s="46" t="s">
        <v>123</v>
      </c>
      <c r="P15766" s="46">
        <v>600.0</v>
      </c>
    </row>
    <row r="15767">
      <c r="A15767" s="40">
        <f t="shared" si="1"/>
        <v>46013</v>
      </c>
      <c r="B15767" s="37" t="str">
        <f t="array" ref="B15767">iferror(xlookup($I15767, 'IMPORT VHC Report'!$E:$E, 'IMPORT VHC Report'!$A:$C), )</f>
        <v/>
      </c>
      <c r="C15767" s="44"/>
      <c r="D15767" s="44"/>
      <c r="E15767" s="46" t="s">
        <v>11939</v>
      </c>
      <c r="F15767" s="46" t="s">
        <v>1999</v>
      </c>
      <c r="G15767" s="46">
        <v>9.795981813775E12</v>
      </c>
      <c r="H15767" s="46" t="s">
        <v>2000</v>
      </c>
      <c r="I15767" s="46" t="s">
        <v>2001</v>
      </c>
      <c r="J15767" s="46" t="s">
        <v>332</v>
      </c>
      <c r="K15767" s="46" t="s">
        <v>63</v>
      </c>
      <c r="L15767" s="45">
        <v>46015.166666666664</v>
      </c>
      <c r="M15767" s="46" t="s">
        <v>123</v>
      </c>
      <c r="N15767" s="45">
        <v>46015.541666666664</v>
      </c>
      <c r="O15767" s="46" t="s">
        <v>123</v>
      </c>
      <c r="P15767" s="46">
        <v>32400.0</v>
      </c>
    </row>
    <row r="15768">
      <c r="A15768" s="40">
        <f t="shared" si="1"/>
        <v>46013</v>
      </c>
      <c r="B15768" s="37" t="str">
        <f t="array" ref="B15768">iferror(xlookup($I15768, 'IMPORT VHC Report'!$E:$E, 'IMPORT VHC Report'!$A:$C), )</f>
        <v/>
      </c>
      <c r="C15768" s="44"/>
      <c r="D15768" s="44"/>
      <c r="E15768" s="46" t="s">
        <v>11940</v>
      </c>
      <c r="F15768" s="46" t="s">
        <v>1999</v>
      </c>
      <c r="G15768" s="46">
        <v>9.795981813775E12</v>
      </c>
      <c r="H15768" s="46" t="s">
        <v>2000</v>
      </c>
      <c r="I15768" s="46" t="s">
        <v>2001</v>
      </c>
      <c r="J15768" s="46" t="s">
        <v>136</v>
      </c>
      <c r="K15768" s="46" t="s">
        <v>126</v>
      </c>
      <c r="L15768" s="45">
        <v>46015.208333333336</v>
      </c>
      <c r="M15768" s="46" t="s">
        <v>123</v>
      </c>
      <c r="N15768" s="45">
        <v>46015.25</v>
      </c>
      <c r="O15768" s="46" t="s">
        <v>123</v>
      </c>
      <c r="P15768" s="46">
        <v>3600.0</v>
      </c>
      <c r="S15768" s="46" t="s">
        <v>137</v>
      </c>
    </row>
    <row r="15769">
      <c r="A15769" s="40">
        <f t="shared" si="1"/>
        <v>46013</v>
      </c>
      <c r="B15769" s="37" t="str">
        <f t="array" ref="B15769">iferror(xlookup($I15769, 'IMPORT VHC Report'!$E:$E, 'IMPORT VHC Report'!$A:$C), )</f>
        <v/>
      </c>
      <c r="C15769" s="44"/>
      <c r="D15769" s="44"/>
      <c r="E15769" s="46" t="s">
        <v>11941</v>
      </c>
      <c r="F15769" s="46" t="s">
        <v>1999</v>
      </c>
      <c r="G15769" s="46">
        <v>9.795981813775E12</v>
      </c>
      <c r="H15769" s="46" t="s">
        <v>2000</v>
      </c>
      <c r="I15769" s="46" t="s">
        <v>2001</v>
      </c>
      <c r="J15769" s="46" t="s">
        <v>132</v>
      </c>
      <c r="K15769" s="46" t="s">
        <v>126</v>
      </c>
      <c r="L15769" s="45">
        <v>46015.3125</v>
      </c>
      <c r="M15769" s="46" t="s">
        <v>123</v>
      </c>
      <c r="N15769" s="45">
        <v>46015.354166666664</v>
      </c>
      <c r="O15769" s="46" t="s">
        <v>123</v>
      </c>
      <c r="P15769" s="46">
        <v>3600.0</v>
      </c>
    </row>
    <row r="15770">
      <c r="A15770" s="40">
        <f t="shared" si="1"/>
        <v>46013</v>
      </c>
      <c r="B15770" s="37" t="str">
        <f t="array" ref="B15770">iferror(xlookup($I15770, 'IMPORT VHC Report'!$E:$E, 'IMPORT VHC Report'!$A:$C), )</f>
        <v/>
      </c>
      <c r="C15770" s="44"/>
      <c r="D15770" s="44"/>
      <c r="E15770" s="46" t="s">
        <v>11942</v>
      </c>
      <c r="F15770" s="46" t="s">
        <v>1999</v>
      </c>
      <c r="G15770" s="46">
        <v>9.795981813775E12</v>
      </c>
      <c r="H15770" s="46" t="s">
        <v>2000</v>
      </c>
      <c r="I15770" s="46" t="s">
        <v>2001</v>
      </c>
      <c r="J15770" s="46" t="s">
        <v>134</v>
      </c>
      <c r="K15770" s="46" t="s">
        <v>126</v>
      </c>
      <c r="L15770" s="45">
        <v>46015.46875</v>
      </c>
      <c r="M15770" s="46" t="s">
        <v>123</v>
      </c>
      <c r="N15770" s="45">
        <v>46015.489583333336</v>
      </c>
      <c r="O15770" s="46" t="s">
        <v>123</v>
      </c>
      <c r="P15770" s="46">
        <v>1800.0</v>
      </c>
    </row>
    <row r="15771">
      <c r="A15771" s="40">
        <f t="shared" si="1"/>
        <v>46013</v>
      </c>
      <c r="B15771" s="37" t="str">
        <f t="array" ref="B15771">iferror(xlookup($I15771, 'IMPORT VHC Report'!$E:$E, 'IMPORT VHC Report'!$A:$C), )</f>
        <v/>
      </c>
      <c r="C15771" s="44"/>
      <c r="D15771" s="44"/>
      <c r="E15771" s="46" t="s">
        <v>11943</v>
      </c>
      <c r="F15771" s="46" t="s">
        <v>1999</v>
      </c>
      <c r="G15771" s="46">
        <v>9.795981813775E12</v>
      </c>
      <c r="H15771" s="46" t="s">
        <v>2000</v>
      </c>
      <c r="I15771" s="46" t="s">
        <v>2001</v>
      </c>
      <c r="J15771" s="46" t="s">
        <v>4</v>
      </c>
      <c r="K15771" s="46" t="s">
        <v>126</v>
      </c>
      <c r="L15771" s="45">
        <v>46015.489583333336</v>
      </c>
      <c r="M15771" s="46" t="s">
        <v>123</v>
      </c>
      <c r="N15771" s="45">
        <v>46015.5</v>
      </c>
      <c r="O15771" s="46" t="s">
        <v>123</v>
      </c>
      <c r="P15771" s="46">
        <v>900.0</v>
      </c>
      <c r="S15771" s="46" t="s">
        <v>11944</v>
      </c>
    </row>
    <row r="15772">
      <c r="A15772" s="40">
        <f t="shared" si="1"/>
        <v>46013</v>
      </c>
      <c r="B15772" s="37" t="str">
        <f t="array" ref="B15772">iferror(xlookup($I15772, 'IMPORT VHC Report'!$E:$E, 'IMPORT VHC Report'!$A:$C), )</f>
        <v/>
      </c>
      <c r="C15772" s="44"/>
      <c r="D15772" s="44"/>
      <c r="E15772" s="46" t="s">
        <v>11945</v>
      </c>
      <c r="F15772" s="46" t="s">
        <v>1999</v>
      </c>
      <c r="G15772" s="46">
        <v>9.795981813775E12</v>
      </c>
      <c r="H15772" s="46" t="s">
        <v>2000</v>
      </c>
      <c r="I15772" s="46" t="s">
        <v>2001</v>
      </c>
      <c r="J15772" s="46" t="s">
        <v>330</v>
      </c>
      <c r="K15772" s="46" t="s">
        <v>126</v>
      </c>
      <c r="L15772" s="45">
        <v>46016.166666666664</v>
      </c>
      <c r="M15772" s="46" t="s">
        <v>123</v>
      </c>
      <c r="N15772" s="45">
        <v>46016.17361111111</v>
      </c>
      <c r="O15772" s="46" t="s">
        <v>123</v>
      </c>
      <c r="P15772" s="46">
        <v>600.0</v>
      </c>
    </row>
    <row r="15773">
      <c r="A15773" s="40">
        <f t="shared" si="1"/>
        <v>46013</v>
      </c>
      <c r="B15773" s="37" t="str">
        <f t="array" ref="B15773">iferror(xlookup($I15773, 'IMPORT VHC Report'!$E:$E, 'IMPORT VHC Report'!$A:$C), )</f>
        <v/>
      </c>
      <c r="C15773" s="44"/>
      <c r="D15773" s="44"/>
      <c r="E15773" s="46" t="s">
        <v>11946</v>
      </c>
      <c r="F15773" s="46" t="s">
        <v>1999</v>
      </c>
      <c r="G15773" s="46">
        <v>9.795981813775E12</v>
      </c>
      <c r="H15773" s="46" t="s">
        <v>2000</v>
      </c>
      <c r="I15773" s="46" t="s">
        <v>2001</v>
      </c>
      <c r="J15773" s="46" t="s">
        <v>332</v>
      </c>
      <c r="K15773" s="46" t="s">
        <v>63</v>
      </c>
      <c r="L15773" s="45">
        <v>46016.166666666664</v>
      </c>
      <c r="M15773" s="46" t="s">
        <v>123</v>
      </c>
      <c r="N15773" s="45">
        <v>46016.541666666664</v>
      </c>
      <c r="O15773" s="46" t="s">
        <v>123</v>
      </c>
      <c r="P15773" s="46">
        <v>32400.0</v>
      </c>
    </row>
    <row r="15774">
      <c r="A15774" s="40">
        <f t="shared" si="1"/>
        <v>46013</v>
      </c>
      <c r="B15774" s="37" t="str">
        <f t="array" ref="B15774">iferror(xlookup($I15774, 'IMPORT VHC Report'!$E:$E, 'IMPORT VHC Report'!$A:$C), )</f>
        <v/>
      </c>
      <c r="C15774" s="44"/>
      <c r="D15774" s="44"/>
      <c r="E15774" s="46" t="s">
        <v>11947</v>
      </c>
      <c r="F15774" s="46" t="s">
        <v>1999</v>
      </c>
      <c r="G15774" s="46">
        <v>9.795981813775E12</v>
      </c>
      <c r="H15774" s="46" t="s">
        <v>2000</v>
      </c>
      <c r="I15774" s="46" t="s">
        <v>2001</v>
      </c>
      <c r="J15774" s="46" t="s">
        <v>132</v>
      </c>
      <c r="K15774" s="46" t="s">
        <v>126</v>
      </c>
      <c r="L15774" s="45">
        <v>46016.3125</v>
      </c>
      <c r="M15774" s="46" t="s">
        <v>123</v>
      </c>
      <c r="N15774" s="45">
        <v>46016.354166666664</v>
      </c>
      <c r="O15774" s="46" t="s">
        <v>123</v>
      </c>
      <c r="P15774" s="46">
        <v>3600.0</v>
      </c>
    </row>
    <row r="15775">
      <c r="A15775" s="40">
        <f t="shared" si="1"/>
        <v>46013</v>
      </c>
      <c r="B15775" s="37" t="str">
        <f t="array" ref="B15775">iferror(xlookup($I15775, 'IMPORT VHC Report'!$E:$E, 'IMPORT VHC Report'!$A:$C), )</f>
        <v/>
      </c>
      <c r="C15775" s="44"/>
      <c r="D15775" s="44"/>
      <c r="E15775" s="46" t="s">
        <v>11948</v>
      </c>
      <c r="F15775" s="46" t="s">
        <v>1999</v>
      </c>
      <c r="G15775" s="46">
        <v>9.795981813775E12</v>
      </c>
      <c r="H15775" s="46" t="s">
        <v>2000</v>
      </c>
      <c r="I15775" s="46" t="s">
        <v>2001</v>
      </c>
      <c r="J15775" s="46" t="s">
        <v>330</v>
      </c>
      <c r="K15775" s="46" t="s">
        <v>126</v>
      </c>
      <c r="L15775" s="45">
        <v>46016.354166666664</v>
      </c>
      <c r="M15775" s="46" t="s">
        <v>123</v>
      </c>
      <c r="N15775" s="45">
        <v>46016.375</v>
      </c>
      <c r="O15775" s="46" t="s">
        <v>123</v>
      </c>
      <c r="P15775" s="46">
        <v>1800.0</v>
      </c>
    </row>
    <row r="15776">
      <c r="A15776" s="40">
        <f t="shared" si="1"/>
        <v>46013</v>
      </c>
      <c r="B15776" s="37" t="str">
        <f t="array" ref="B15776">iferror(xlookup($I15776, 'IMPORT VHC Report'!$E:$E, 'IMPORT VHC Report'!$A:$C), )</f>
        <v/>
      </c>
      <c r="C15776" s="44"/>
      <c r="D15776" s="44"/>
      <c r="E15776" s="46" t="s">
        <v>11949</v>
      </c>
      <c r="F15776" s="46" t="s">
        <v>1999</v>
      </c>
      <c r="G15776" s="46">
        <v>9.795981813775E12</v>
      </c>
      <c r="H15776" s="46" t="s">
        <v>2000</v>
      </c>
      <c r="I15776" s="46" t="s">
        <v>2001</v>
      </c>
      <c r="J15776" s="46" t="s">
        <v>134</v>
      </c>
      <c r="K15776" s="46" t="s">
        <v>126</v>
      </c>
      <c r="L15776" s="45">
        <v>46016.447916666664</v>
      </c>
      <c r="M15776" s="46" t="s">
        <v>123</v>
      </c>
      <c r="N15776" s="45">
        <v>46016.46875</v>
      </c>
      <c r="O15776" s="46" t="s">
        <v>123</v>
      </c>
      <c r="P15776" s="46">
        <v>1800.0</v>
      </c>
    </row>
    <row r="15777">
      <c r="A15777" s="40">
        <f t="shared" si="1"/>
        <v>46013</v>
      </c>
      <c r="B15777" s="37" t="str">
        <f t="array" ref="B15777">iferror(xlookup($I15777, 'IMPORT VHC Report'!$E:$E, 'IMPORT VHC Report'!$A:$C), )</f>
        <v/>
      </c>
      <c r="C15777" s="44"/>
      <c r="D15777" s="44"/>
      <c r="E15777" s="46" t="s">
        <v>11950</v>
      </c>
      <c r="F15777" s="46" t="s">
        <v>1999</v>
      </c>
      <c r="G15777" s="46">
        <v>9.795981813775E12</v>
      </c>
      <c r="H15777" s="46" t="s">
        <v>2000</v>
      </c>
      <c r="I15777" s="46" t="s">
        <v>2001</v>
      </c>
      <c r="J15777" s="46" t="s">
        <v>330</v>
      </c>
      <c r="K15777" s="46" t="s">
        <v>126</v>
      </c>
      <c r="L15777" s="45">
        <v>46017.166666666664</v>
      </c>
      <c r="M15777" s="46" t="s">
        <v>123</v>
      </c>
      <c r="N15777" s="45">
        <v>46017.17361111111</v>
      </c>
      <c r="O15777" s="46" t="s">
        <v>123</v>
      </c>
      <c r="P15777" s="46">
        <v>600.0</v>
      </c>
    </row>
    <row r="15778">
      <c r="A15778" s="40">
        <f t="shared" si="1"/>
        <v>46013</v>
      </c>
      <c r="B15778" s="37" t="str">
        <f t="array" ref="B15778">iferror(xlookup($I15778, 'IMPORT VHC Report'!$E:$E, 'IMPORT VHC Report'!$A:$C), )</f>
        <v/>
      </c>
      <c r="C15778" s="44"/>
      <c r="D15778" s="44"/>
      <c r="E15778" s="46" t="s">
        <v>11951</v>
      </c>
      <c r="F15778" s="46" t="s">
        <v>1999</v>
      </c>
      <c r="G15778" s="46">
        <v>9.795981813775E12</v>
      </c>
      <c r="H15778" s="46" t="s">
        <v>2000</v>
      </c>
      <c r="I15778" s="46" t="s">
        <v>2001</v>
      </c>
      <c r="J15778" s="46" t="s">
        <v>332</v>
      </c>
      <c r="K15778" s="46" t="s">
        <v>63</v>
      </c>
      <c r="L15778" s="45">
        <v>46017.166666666664</v>
      </c>
      <c r="M15778" s="46" t="s">
        <v>123</v>
      </c>
      <c r="N15778" s="45">
        <v>46017.541666666664</v>
      </c>
      <c r="O15778" s="46" t="s">
        <v>123</v>
      </c>
      <c r="P15778" s="46">
        <v>32400.0</v>
      </c>
    </row>
    <row r="15779">
      <c r="A15779" s="40">
        <f t="shared" si="1"/>
        <v>46013</v>
      </c>
      <c r="B15779" s="37" t="str">
        <f t="array" ref="B15779">iferror(xlookup($I15779, 'IMPORT VHC Report'!$E:$E, 'IMPORT VHC Report'!$A:$C), )</f>
        <v/>
      </c>
      <c r="C15779" s="44"/>
      <c r="D15779" s="44"/>
      <c r="E15779" s="46" t="s">
        <v>11952</v>
      </c>
      <c r="F15779" s="46" t="s">
        <v>1999</v>
      </c>
      <c r="G15779" s="46">
        <v>9.795981813775E12</v>
      </c>
      <c r="H15779" s="46" t="s">
        <v>2000</v>
      </c>
      <c r="I15779" s="46" t="s">
        <v>2001</v>
      </c>
      <c r="J15779" s="46" t="s">
        <v>134</v>
      </c>
      <c r="K15779" s="46" t="s">
        <v>126</v>
      </c>
      <c r="L15779" s="45">
        <v>46017.3125</v>
      </c>
      <c r="M15779" s="46" t="s">
        <v>123</v>
      </c>
      <c r="N15779" s="45">
        <v>46017.333333333336</v>
      </c>
      <c r="O15779" s="46" t="s">
        <v>123</v>
      </c>
      <c r="P15779" s="46">
        <v>1800.0</v>
      </c>
    </row>
    <row r="15780">
      <c r="A15780" s="40">
        <f t="shared" si="1"/>
        <v>46013</v>
      </c>
      <c r="B15780" s="37" t="str">
        <f t="array" ref="B15780">iferror(xlookup($I15780, 'IMPORT VHC Report'!$E:$E, 'IMPORT VHC Report'!$A:$C), )</f>
        <v/>
      </c>
      <c r="C15780" s="44"/>
      <c r="D15780" s="44"/>
      <c r="E15780" s="46" t="s">
        <v>11953</v>
      </c>
      <c r="F15780" s="46" t="s">
        <v>1999</v>
      </c>
      <c r="G15780" s="46">
        <v>9.795981813775E12</v>
      </c>
      <c r="H15780" s="46" t="s">
        <v>2000</v>
      </c>
      <c r="I15780" s="46" t="s">
        <v>2001</v>
      </c>
      <c r="J15780" s="46" t="s">
        <v>132</v>
      </c>
      <c r="K15780" s="46" t="s">
        <v>126</v>
      </c>
      <c r="L15780" s="45">
        <v>46017.4375</v>
      </c>
      <c r="M15780" s="46" t="s">
        <v>123</v>
      </c>
      <c r="N15780" s="45">
        <v>46017.479166666664</v>
      </c>
      <c r="O15780" s="46" t="s">
        <v>123</v>
      </c>
      <c r="P15780" s="46">
        <v>3600.0</v>
      </c>
    </row>
    <row r="15781">
      <c r="A15781" s="40">
        <f t="shared" si="1"/>
        <v>46013</v>
      </c>
      <c r="B15781" s="37" t="str">
        <f t="array" ref="B15781">iferror(xlookup($I15781, 'IMPORT VHC Report'!$E:$E, 'IMPORT VHC Report'!$A:$C), )</f>
        <v/>
      </c>
      <c r="C15781" s="44"/>
      <c r="D15781" s="44"/>
      <c r="E15781" s="46" t="s">
        <v>11954</v>
      </c>
      <c r="F15781" s="46" t="s">
        <v>2061</v>
      </c>
      <c r="G15781" s="46">
        <v>1.0548625681423E13</v>
      </c>
      <c r="H15781" s="46" t="s">
        <v>2062</v>
      </c>
      <c r="I15781" s="46" t="s">
        <v>2063</v>
      </c>
      <c r="J15781" s="46" t="s">
        <v>330</v>
      </c>
      <c r="K15781" s="46" t="s">
        <v>126</v>
      </c>
      <c r="L15781" s="45">
        <v>46013.166666666664</v>
      </c>
      <c r="M15781" s="46" t="s">
        <v>123</v>
      </c>
      <c r="N15781" s="45">
        <v>46013.17361111111</v>
      </c>
      <c r="O15781" s="46" t="s">
        <v>123</v>
      </c>
      <c r="P15781" s="46">
        <v>600.0</v>
      </c>
    </row>
    <row r="15782">
      <c r="A15782" s="40">
        <f t="shared" si="1"/>
        <v>46013</v>
      </c>
      <c r="B15782" s="37" t="str">
        <f t="array" ref="B15782">iferror(xlookup($I15782, 'IMPORT VHC Report'!$E:$E, 'IMPORT VHC Report'!$A:$C), )</f>
        <v/>
      </c>
      <c r="C15782" s="44"/>
      <c r="D15782" s="44"/>
      <c r="E15782" s="46" t="s">
        <v>11955</v>
      </c>
      <c r="F15782" s="46" t="s">
        <v>2061</v>
      </c>
      <c r="G15782" s="46">
        <v>1.0548625681423E13</v>
      </c>
      <c r="H15782" s="46" t="s">
        <v>2062</v>
      </c>
      <c r="I15782" s="46" t="s">
        <v>2063</v>
      </c>
      <c r="J15782" s="46" t="s">
        <v>332</v>
      </c>
      <c r="K15782" s="46" t="s">
        <v>63</v>
      </c>
      <c r="L15782" s="45">
        <v>46013.166666666664</v>
      </c>
      <c r="M15782" s="46" t="s">
        <v>123</v>
      </c>
      <c r="N15782" s="45">
        <v>46013.541666666664</v>
      </c>
      <c r="O15782" s="46" t="s">
        <v>123</v>
      </c>
      <c r="P15782" s="46">
        <v>32400.0</v>
      </c>
    </row>
    <row r="15783">
      <c r="A15783" s="40">
        <f t="shared" si="1"/>
        <v>46013</v>
      </c>
      <c r="B15783" s="37" t="str">
        <f t="array" ref="B15783">iferror(xlookup($I15783, 'IMPORT VHC Report'!$E:$E, 'IMPORT VHC Report'!$A:$C), )</f>
        <v/>
      </c>
      <c r="C15783" s="44"/>
      <c r="D15783" s="44"/>
      <c r="E15783" s="46" t="s">
        <v>11956</v>
      </c>
      <c r="F15783" s="46" t="s">
        <v>2061</v>
      </c>
      <c r="G15783" s="46">
        <v>1.0548625681423E13</v>
      </c>
      <c r="H15783" s="46" t="s">
        <v>2062</v>
      </c>
      <c r="I15783" s="46" t="s">
        <v>2063</v>
      </c>
      <c r="J15783" s="46" t="s">
        <v>132</v>
      </c>
      <c r="K15783" s="46" t="s">
        <v>126</v>
      </c>
      <c r="L15783" s="45">
        <v>46013.208333333336</v>
      </c>
      <c r="M15783" s="46" t="s">
        <v>123</v>
      </c>
      <c r="N15783" s="45">
        <v>46013.25</v>
      </c>
      <c r="O15783" s="46" t="s">
        <v>123</v>
      </c>
      <c r="P15783" s="46">
        <v>3600.0</v>
      </c>
    </row>
    <row r="15784">
      <c r="A15784" s="40">
        <f t="shared" si="1"/>
        <v>46013</v>
      </c>
      <c r="B15784" s="37" t="str">
        <f t="array" ref="B15784">iferror(xlookup($I15784, 'IMPORT VHC Report'!$E:$E, 'IMPORT VHC Report'!$A:$C), )</f>
        <v/>
      </c>
      <c r="C15784" s="44"/>
      <c r="D15784" s="44"/>
      <c r="E15784" s="46" t="s">
        <v>11957</v>
      </c>
      <c r="F15784" s="46" t="s">
        <v>2061</v>
      </c>
      <c r="G15784" s="46">
        <v>1.0548625681423E13</v>
      </c>
      <c r="H15784" s="46" t="s">
        <v>2062</v>
      </c>
      <c r="I15784" s="46" t="s">
        <v>2063</v>
      </c>
      <c r="J15784" s="46" t="s">
        <v>134</v>
      </c>
      <c r="K15784" s="46" t="s">
        <v>126</v>
      </c>
      <c r="L15784" s="45">
        <v>46013.4375</v>
      </c>
      <c r="M15784" s="46" t="s">
        <v>123</v>
      </c>
      <c r="N15784" s="45">
        <v>46013.458333333336</v>
      </c>
      <c r="O15784" s="46" t="s">
        <v>123</v>
      </c>
      <c r="P15784" s="46">
        <v>1800.0</v>
      </c>
    </row>
    <row r="15785">
      <c r="A15785" s="40">
        <f t="shared" si="1"/>
        <v>46013</v>
      </c>
      <c r="B15785" s="37" t="str">
        <f t="array" ref="B15785">iferror(xlookup($I15785, 'IMPORT VHC Report'!$E:$E, 'IMPORT VHC Report'!$A:$C), )</f>
        <v/>
      </c>
      <c r="C15785" s="44"/>
      <c r="D15785" s="44"/>
      <c r="E15785" s="46" t="s">
        <v>11958</v>
      </c>
      <c r="F15785" s="46" t="s">
        <v>2061</v>
      </c>
      <c r="G15785" s="46">
        <v>1.0548625681423E13</v>
      </c>
      <c r="H15785" s="46" t="s">
        <v>2062</v>
      </c>
      <c r="I15785" s="46" t="s">
        <v>2063</v>
      </c>
      <c r="J15785" s="46" t="s">
        <v>330</v>
      </c>
      <c r="K15785" s="46" t="s">
        <v>126</v>
      </c>
      <c r="L15785" s="45">
        <v>46014.166666666664</v>
      </c>
      <c r="M15785" s="46" t="s">
        <v>123</v>
      </c>
      <c r="N15785" s="45">
        <v>46014.17361111111</v>
      </c>
      <c r="O15785" s="46" t="s">
        <v>123</v>
      </c>
      <c r="P15785" s="46">
        <v>600.0</v>
      </c>
    </row>
    <row r="15786">
      <c r="A15786" s="40">
        <f t="shared" si="1"/>
        <v>46013</v>
      </c>
      <c r="B15786" s="37" t="str">
        <f t="array" ref="B15786">iferror(xlookup($I15786, 'IMPORT VHC Report'!$E:$E, 'IMPORT VHC Report'!$A:$C), )</f>
        <v/>
      </c>
      <c r="C15786" s="44"/>
      <c r="D15786" s="44"/>
      <c r="E15786" s="46" t="s">
        <v>11959</v>
      </c>
      <c r="F15786" s="46" t="s">
        <v>2061</v>
      </c>
      <c r="G15786" s="46">
        <v>1.0548625681423E13</v>
      </c>
      <c r="H15786" s="46" t="s">
        <v>2062</v>
      </c>
      <c r="I15786" s="46" t="s">
        <v>2063</v>
      </c>
      <c r="J15786" s="46" t="s">
        <v>332</v>
      </c>
      <c r="K15786" s="46" t="s">
        <v>63</v>
      </c>
      <c r="L15786" s="45">
        <v>46014.166666666664</v>
      </c>
      <c r="M15786" s="46" t="s">
        <v>123</v>
      </c>
      <c r="N15786" s="45">
        <v>46014.541666666664</v>
      </c>
      <c r="O15786" s="46" t="s">
        <v>123</v>
      </c>
      <c r="P15786" s="46">
        <v>32400.0</v>
      </c>
    </row>
    <row r="15787">
      <c r="A15787" s="40">
        <f t="shared" si="1"/>
        <v>46013</v>
      </c>
      <c r="B15787" s="37" t="str">
        <f t="array" ref="B15787">iferror(xlookup($I15787, 'IMPORT VHC Report'!$E:$E, 'IMPORT VHC Report'!$A:$C), )</f>
        <v/>
      </c>
      <c r="C15787" s="44"/>
      <c r="D15787" s="44"/>
      <c r="E15787" s="46" t="s">
        <v>11960</v>
      </c>
      <c r="F15787" s="46" t="s">
        <v>2061</v>
      </c>
      <c r="G15787" s="46">
        <v>1.0548625681423E13</v>
      </c>
      <c r="H15787" s="46" t="s">
        <v>2062</v>
      </c>
      <c r="I15787" s="46" t="s">
        <v>2063</v>
      </c>
      <c r="J15787" s="46" t="s">
        <v>132</v>
      </c>
      <c r="K15787" s="46" t="s">
        <v>126</v>
      </c>
      <c r="L15787" s="45">
        <v>46014.270833333336</v>
      </c>
      <c r="M15787" s="46" t="s">
        <v>123</v>
      </c>
      <c r="N15787" s="45">
        <v>46014.3125</v>
      </c>
      <c r="O15787" s="46" t="s">
        <v>123</v>
      </c>
      <c r="P15787" s="46">
        <v>3600.0</v>
      </c>
    </row>
    <row r="15788">
      <c r="A15788" s="40">
        <f t="shared" si="1"/>
        <v>46013</v>
      </c>
      <c r="B15788" s="37" t="str">
        <f t="array" ref="B15788">iferror(xlookup($I15788, 'IMPORT VHC Report'!$E:$E, 'IMPORT VHC Report'!$A:$C), )</f>
        <v/>
      </c>
      <c r="C15788" s="44"/>
      <c r="D15788" s="44"/>
      <c r="E15788" s="46" t="s">
        <v>11961</v>
      </c>
      <c r="F15788" s="46" t="s">
        <v>2061</v>
      </c>
      <c r="G15788" s="46">
        <v>1.0548625681423E13</v>
      </c>
      <c r="H15788" s="46" t="s">
        <v>2062</v>
      </c>
      <c r="I15788" s="46" t="s">
        <v>2063</v>
      </c>
      <c r="J15788" s="46" t="s">
        <v>134</v>
      </c>
      <c r="K15788" s="46" t="s">
        <v>126</v>
      </c>
      <c r="L15788" s="45">
        <v>46014.395833333336</v>
      </c>
      <c r="M15788" s="46" t="s">
        <v>123</v>
      </c>
      <c r="N15788" s="45">
        <v>46014.416666666664</v>
      </c>
      <c r="O15788" s="46" t="s">
        <v>123</v>
      </c>
      <c r="P15788" s="46">
        <v>1800.0</v>
      </c>
    </row>
    <row r="15789">
      <c r="A15789" s="40">
        <f t="shared" si="1"/>
        <v>46013</v>
      </c>
      <c r="B15789" s="37" t="str">
        <f t="array" ref="B15789">iferror(xlookup($I15789, 'IMPORT VHC Report'!$E:$E, 'IMPORT VHC Report'!$A:$C), )</f>
        <v/>
      </c>
      <c r="C15789" s="44"/>
      <c r="D15789" s="44"/>
      <c r="E15789" s="46" t="s">
        <v>11962</v>
      </c>
      <c r="F15789" s="46" t="s">
        <v>2061</v>
      </c>
      <c r="G15789" s="46">
        <v>1.0548625681423E13</v>
      </c>
      <c r="H15789" s="46" t="s">
        <v>2062</v>
      </c>
      <c r="I15789" s="46" t="s">
        <v>2063</v>
      </c>
      <c r="J15789" s="46" t="s">
        <v>330</v>
      </c>
      <c r="K15789" s="46" t="s">
        <v>126</v>
      </c>
      <c r="L15789" s="45">
        <v>46015.166666666664</v>
      </c>
      <c r="M15789" s="46" t="s">
        <v>123</v>
      </c>
      <c r="N15789" s="45">
        <v>46015.17361111111</v>
      </c>
      <c r="O15789" s="46" t="s">
        <v>123</v>
      </c>
      <c r="P15789" s="46">
        <v>600.0</v>
      </c>
    </row>
    <row r="15790">
      <c r="A15790" s="40">
        <f t="shared" si="1"/>
        <v>46013</v>
      </c>
      <c r="B15790" s="37" t="str">
        <f t="array" ref="B15790">iferror(xlookup($I15790, 'IMPORT VHC Report'!$E:$E, 'IMPORT VHC Report'!$A:$C), )</f>
        <v/>
      </c>
      <c r="C15790" s="44"/>
      <c r="D15790" s="44"/>
      <c r="E15790" s="46" t="s">
        <v>11963</v>
      </c>
      <c r="F15790" s="46" t="s">
        <v>2061</v>
      </c>
      <c r="G15790" s="46">
        <v>1.0548625681423E13</v>
      </c>
      <c r="H15790" s="46" t="s">
        <v>2062</v>
      </c>
      <c r="I15790" s="46" t="s">
        <v>2063</v>
      </c>
      <c r="J15790" s="46" t="s">
        <v>152</v>
      </c>
      <c r="K15790" s="46" t="s">
        <v>153</v>
      </c>
      <c r="L15790" s="45">
        <v>46015.166666666664</v>
      </c>
      <c r="M15790" s="46" t="s">
        <v>123</v>
      </c>
      <c r="N15790" s="45">
        <v>46015.375</v>
      </c>
      <c r="O15790" s="46" t="s">
        <v>123</v>
      </c>
      <c r="P15790" s="46">
        <v>18000.0</v>
      </c>
      <c r="Q15790" s="46">
        <v>14400.0</v>
      </c>
      <c r="R15790" s="46" t="s">
        <v>11964</v>
      </c>
    </row>
    <row r="15791">
      <c r="A15791" s="40">
        <f t="shared" si="1"/>
        <v>46013</v>
      </c>
      <c r="B15791" s="37" t="str">
        <f t="array" ref="B15791">iferror(xlookup($I15791, 'IMPORT VHC Report'!$E:$E, 'IMPORT VHC Report'!$A:$C), )</f>
        <v/>
      </c>
      <c r="C15791" s="44"/>
      <c r="D15791" s="44"/>
      <c r="E15791" s="46" t="s">
        <v>11965</v>
      </c>
      <c r="F15791" s="46" t="s">
        <v>2061</v>
      </c>
      <c r="G15791" s="46">
        <v>1.0548625681423E13</v>
      </c>
      <c r="H15791" s="46" t="s">
        <v>2062</v>
      </c>
      <c r="I15791" s="46" t="s">
        <v>2063</v>
      </c>
      <c r="J15791" s="46" t="s">
        <v>332</v>
      </c>
      <c r="K15791" s="46" t="s">
        <v>63</v>
      </c>
      <c r="L15791" s="45">
        <v>46015.166666666664</v>
      </c>
      <c r="M15791" s="46" t="s">
        <v>123</v>
      </c>
      <c r="N15791" s="45">
        <v>46015.375</v>
      </c>
      <c r="O15791" s="46" t="s">
        <v>123</v>
      </c>
      <c r="P15791" s="46">
        <v>18000.0</v>
      </c>
    </row>
    <row r="15792">
      <c r="A15792" s="40">
        <f t="shared" si="1"/>
        <v>46013</v>
      </c>
      <c r="B15792" s="37" t="str">
        <f t="array" ref="B15792">iferror(xlookup($I15792, 'IMPORT VHC Report'!$E:$E, 'IMPORT VHC Report'!$A:$C), )</f>
        <v/>
      </c>
      <c r="C15792" s="44"/>
      <c r="D15792" s="44"/>
      <c r="E15792" s="46" t="s">
        <v>11966</v>
      </c>
      <c r="F15792" s="46" t="s">
        <v>2061</v>
      </c>
      <c r="G15792" s="46">
        <v>1.0548625681423E13</v>
      </c>
      <c r="H15792" s="46" t="s">
        <v>2062</v>
      </c>
      <c r="I15792" s="46" t="s">
        <v>2063</v>
      </c>
      <c r="J15792" s="46" t="s">
        <v>136</v>
      </c>
      <c r="K15792" s="46" t="s">
        <v>126</v>
      </c>
      <c r="L15792" s="45">
        <v>46015.208333333336</v>
      </c>
      <c r="M15792" s="46" t="s">
        <v>123</v>
      </c>
      <c r="N15792" s="45">
        <v>46015.25</v>
      </c>
      <c r="O15792" s="46" t="s">
        <v>123</v>
      </c>
      <c r="P15792" s="46">
        <v>3600.0</v>
      </c>
      <c r="S15792" s="46" t="s">
        <v>137</v>
      </c>
    </row>
    <row r="15793">
      <c r="A15793" s="40">
        <f t="shared" si="1"/>
        <v>46013</v>
      </c>
      <c r="B15793" s="37" t="str">
        <f t="array" ref="B15793">iferror(xlookup($I15793, 'IMPORT VHC Report'!$E:$E, 'IMPORT VHC Report'!$A:$C), )</f>
        <v/>
      </c>
      <c r="C15793" s="44"/>
      <c r="D15793" s="44"/>
      <c r="E15793" s="46" t="s">
        <v>11967</v>
      </c>
      <c r="F15793" s="46" t="s">
        <v>2061</v>
      </c>
      <c r="G15793" s="46">
        <v>1.0548625681423E13</v>
      </c>
      <c r="H15793" s="46" t="s">
        <v>2062</v>
      </c>
      <c r="I15793" s="46" t="s">
        <v>2063</v>
      </c>
      <c r="J15793" s="46" t="s">
        <v>132</v>
      </c>
      <c r="K15793" s="46" t="s">
        <v>126</v>
      </c>
      <c r="L15793" s="45">
        <v>46015.291666666664</v>
      </c>
      <c r="M15793" s="46" t="s">
        <v>123</v>
      </c>
      <c r="N15793" s="45">
        <v>46015.333333333336</v>
      </c>
      <c r="O15793" s="46" t="s">
        <v>123</v>
      </c>
      <c r="P15793" s="46">
        <v>3600.0</v>
      </c>
    </row>
    <row r="15794">
      <c r="A15794" s="40">
        <f t="shared" si="1"/>
        <v>46013</v>
      </c>
      <c r="B15794" s="37" t="str">
        <f t="array" ref="B15794">iferror(xlookup($I15794, 'IMPORT VHC Report'!$E:$E, 'IMPORT VHC Report'!$A:$C), )</f>
        <v/>
      </c>
      <c r="C15794" s="44"/>
      <c r="D15794" s="44"/>
      <c r="E15794" s="46" t="s">
        <v>11968</v>
      </c>
      <c r="F15794" s="46" t="s">
        <v>2061</v>
      </c>
      <c r="G15794" s="46">
        <v>1.0548625681423E13</v>
      </c>
      <c r="H15794" s="46" t="s">
        <v>2062</v>
      </c>
      <c r="I15794" s="46" t="s">
        <v>2063</v>
      </c>
      <c r="J15794" s="46" t="s">
        <v>332</v>
      </c>
      <c r="K15794" s="46" t="s">
        <v>63</v>
      </c>
      <c r="L15794" s="45">
        <v>46015.375</v>
      </c>
      <c r="M15794" s="46" t="s">
        <v>123</v>
      </c>
      <c r="N15794" s="45">
        <v>46015.479166666664</v>
      </c>
      <c r="O15794" s="46" t="s">
        <v>123</v>
      </c>
      <c r="P15794" s="46">
        <v>9000.0</v>
      </c>
    </row>
    <row r="15795">
      <c r="A15795" s="40">
        <f t="shared" si="1"/>
        <v>46013</v>
      </c>
      <c r="B15795" s="37" t="str">
        <f t="array" ref="B15795">iferror(xlookup($I15795, 'IMPORT VHC Report'!$E:$E, 'IMPORT VHC Report'!$A:$C), )</f>
        <v/>
      </c>
      <c r="C15795" s="44"/>
      <c r="D15795" s="44"/>
      <c r="E15795" s="46" t="s">
        <v>11969</v>
      </c>
      <c r="F15795" s="46" t="s">
        <v>2061</v>
      </c>
      <c r="G15795" s="46">
        <v>1.0548625681423E13</v>
      </c>
      <c r="H15795" s="46" t="s">
        <v>2062</v>
      </c>
      <c r="I15795" s="46" t="s">
        <v>2063</v>
      </c>
      <c r="J15795" s="46" t="s">
        <v>332</v>
      </c>
      <c r="K15795" s="46" t="s">
        <v>63</v>
      </c>
      <c r="L15795" s="45">
        <v>46015.4375</v>
      </c>
      <c r="M15795" s="46" t="s">
        <v>123</v>
      </c>
      <c r="N15795" s="45">
        <v>46015.458333333336</v>
      </c>
      <c r="O15795" s="46" t="s">
        <v>123</v>
      </c>
      <c r="P15795" s="46">
        <v>1800.0</v>
      </c>
    </row>
    <row r="15796">
      <c r="A15796" s="40">
        <f t="shared" si="1"/>
        <v>46013</v>
      </c>
      <c r="B15796" s="37" t="str">
        <f t="array" ref="B15796">iferror(xlookup($I15796, 'IMPORT VHC Report'!$E:$E, 'IMPORT VHC Report'!$A:$C), )</f>
        <v/>
      </c>
      <c r="C15796" s="44"/>
      <c r="D15796" s="44"/>
      <c r="E15796" s="46" t="s">
        <v>11970</v>
      </c>
      <c r="F15796" s="46" t="s">
        <v>2061</v>
      </c>
      <c r="G15796" s="46">
        <v>1.0548625681423E13</v>
      </c>
      <c r="H15796" s="46" t="s">
        <v>2062</v>
      </c>
      <c r="I15796" s="46" t="s">
        <v>2063</v>
      </c>
      <c r="J15796" s="46" t="s">
        <v>134</v>
      </c>
      <c r="K15796" s="46" t="s">
        <v>126</v>
      </c>
      <c r="L15796" s="45">
        <v>46015.479166666664</v>
      </c>
      <c r="M15796" s="46" t="s">
        <v>123</v>
      </c>
      <c r="N15796" s="45">
        <v>46015.489583333336</v>
      </c>
      <c r="O15796" s="46" t="s">
        <v>123</v>
      </c>
      <c r="P15796" s="46">
        <v>900.0</v>
      </c>
    </row>
    <row r="15797">
      <c r="A15797" s="40">
        <f t="shared" si="1"/>
        <v>46013</v>
      </c>
      <c r="B15797" s="37" t="str">
        <f t="array" ref="B15797">iferror(xlookup($I15797, 'IMPORT VHC Report'!$E:$E, 'IMPORT VHC Report'!$A:$C), )</f>
        <v/>
      </c>
      <c r="C15797" s="44"/>
      <c r="D15797" s="44"/>
      <c r="E15797" s="46" t="s">
        <v>11971</v>
      </c>
      <c r="F15797" s="46" t="s">
        <v>2061</v>
      </c>
      <c r="G15797" s="46">
        <v>1.0548625681423E13</v>
      </c>
      <c r="H15797" s="46" t="s">
        <v>2062</v>
      </c>
      <c r="I15797" s="46" t="s">
        <v>2063</v>
      </c>
      <c r="J15797" s="46" t="s">
        <v>332</v>
      </c>
      <c r="K15797" s="46" t="s">
        <v>63</v>
      </c>
      <c r="L15797" s="45">
        <v>46015.479166666664</v>
      </c>
      <c r="M15797" s="46" t="s">
        <v>123</v>
      </c>
      <c r="N15797" s="45">
        <v>46015.541666666664</v>
      </c>
      <c r="O15797" s="46" t="s">
        <v>123</v>
      </c>
      <c r="P15797" s="46">
        <v>5400.0</v>
      </c>
    </row>
    <row r="15798">
      <c r="A15798" s="40">
        <f t="shared" si="1"/>
        <v>46013</v>
      </c>
      <c r="B15798" s="37" t="str">
        <f t="array" ref="B15798">iferror(xlookup($I15798, 'IMPORT VHC Report'!$E:$E, 'IMPORT VHC Report'!$A:$C), )</f>
        <v/>
      </c>
      <c r="C15798" s="44"/>
      <c r="D15798" s="44"/>
      <c r="E15798" s="46" t="s">
        <v>11972</v>
      </c>
      <c r="F15798" s="46" t="s">
        <v>2061</v>
      </c>
      <c r="G15798" s="46">
        <v>1.0548625681423E13</v>
      </c>
      <c r="H15798" s="46" t="s">
        <v>2062</v>
      </c>
      <c r="I15798" s="46" t="s">
        <v>2063</v>
      </c>
      <c r="J15798" s="46" t="s">
        <v>4</v>
      </c>
      <c r="K15798" s="46" t="s">
        <v>126</v>
      </c>
      <c r="L15798" s="45">
        <v>46015.510416666664</v>
      </c>
      <c r="M15798" s="46" t="s">
        <v>123</v>
      </c>
      <c r="N15798" s="45">
        <v>46015.520833333336</v>
      </c>
      <c r="O15798" s="46" t="s">
        <v>123</v>
      </c>
      <c r="P15798" s="46">
        <v>900.0</v>
      </c>
      <c r="S15798" s="46" t="s">
        <v>11973</v>
      </c>
    </row>
    <row r="15799">
      <c r="A15799" s="40">
        <f t="shared" si="1"/>
        <v>46013</v>
      </c>
      <c r="B15799" s="37" t="str">
        <f t="array" ref="B15799">iferror(xlookup($I15799, 'IMPORT VHC Report'!$E:$E, 'IMPORT VHC Report'!$A:$C), )</f>
        <v/>
      </c>
      <c r="C15799" s="44"/>
      <c r="D15799" s="44"/>
      <c r="E15799" s="46" t="s">
        <v>11974</v>
      </c>
      <c r="F15799" s="46" t="s">
        <v>2061</v>
      </c>
      <c r="G15799" s="46">
        <v>1.0548625681423E13</v>
      </c>
      <c r="H15799" s="46" t="s">
        <v>2062</v>
      </c>
      <c r="I15799" s="46" t="s">
        <v>2063</v>
      </c>
      <c r="J15799" s="46" t="s">
        <v>330</v>
      </c>
      <c r="K15799" s="46" t="s">
        <v>126</v>
      </c>
      <c r="L15799" s="45">
        <v>46016.166666666664</v>
      </c>
      <c r="M15799" s="46" t="s">
        <v>123</v>
      </c>
      <c r="N15799" s="45">
        <v>46016.17361111111</v>
      </c>
      <c r="O15799" s="46" t="s">
        <v>123</v>
      </c>
      <c r="P15799" s="46">
        <v>600.0</v>
      </c>
    </row>
    <row r="15800">
      <c r="A15800" s="40">
        <f t="shared" si="1"/>
        <v>46013</v>
      </c>
      <c r="B15800" s="37" t="str">
        <f t="array" ref="B15800">iferror(xlookup($I15800, 'IMPORT VHC Report'!$E:$E, 'IMPORT VHC Report'!$A:$C), )</f>
        <v/>
      </c>
      <c r="C15800" s="44"/>
      <c r="D15800" s="44"/>
      <c r="E15800" s="46" t="s">
        <v>11975</v>
      </c>
      <c r="F15800" s="46" t="s">
        <v>2061</v>
      </c>
      <c r="G15800" s="46">
        <v>1.0548625681423E13</v>
      </c>
      <c r="H15800" s="46" t="s">
        <v>2062</v>
      </c>
      <c r="I15800" s="46" t="s">
        <v>2063</v>
      </c>
      <c r="J15800" s="46" t="s">
        <v>332</v>
      </c>
      <c r="K15800" s="46" t="s">
        <v>63</v>
      </c>
      <c r="L15800" s="45">
        <v>46016.166666666664</v>
      </c>
      <c r="M15800" s="46" t="s">
        <v>123</v>
      </c>
      <c r="N15800" s="45">
        <v>46016.541666666664</v>
      </c>
      <c r="O15800" s="46" t="s">
        <v>123</v>
      </c>
      <c r="P15800" s="46">
        <v>32400.0</v>
      </c>
    </row>
    <row r="15801">
      <c r="A15801" s="40">
        <f t="shared" si="1"/>
        <v>46013</v>
      </c>
      <c r="B15801" s="37" t="str">
        <f t="array" ref="B15801">iferror(xlookup($I15801, 'IMPORT VHC Report'!$E:$E, 'IMPORT VHC Report'!$A:$C), )</f>
        <v/>
      </c>
      <c r="C15801" s="44"/>
      <c r="D15801" s="44"/>
      <c r="E15801" s="46" t="s">
        <v>11976</v>
      </c>
      <c r="F15801" s="46" t="s">
        <v>2061</v>
      </c>
      <c r="G15801" s="46">
        <v>1.0548625681423E13</v>
      </c>
      <c r="H15801" s="46" t="s">
        <v>2062</v>
      </c>
      <c r="I15801" s="46" t="s">
        <v>2063</v>
      </c>
      <c r="J15801" s="46" t="s">
        <v>132</v>
      </c>
      <c r="K15801" s="46" t="s">
        <v>126</v>
      </c>
      <c r="L15801" s="45">
        <v>46016.322916666664</v>
      </c>
      <c r="M15801" s="46" t="s">
        <v>123</v>
      </c>
      <c r="N15801" s="45">
        <v>46016.364583333336</v>
      </c>
      <c r="O15801" s="46" t="s">
        <v>123</v>
      </c>
      <c r="P15801" s="46">
        <v>3600.0</v>
      </c>
    </row>
    <row r="15802">
      <c r="A15802" s="40">
        <f t="shared" si="1"/>
        <v>46013</v>
      </c>
      <c r="B15802" s="37" t="str">
        <f t="array" ref="B15802">iferror(xlookup($I15802, 'IMPORT VHC Report'!$E:$E, 'IMPORT VHC Report'!$A:$C), )</f>
        <v/>
      </c>
      <c r="C15802" s="44"/>
      <c r="D15802" s="44"/>
      <c r="E15802" s="46" t="s">
        <v>11977</v>
      </c>
      <c r="F15802" s="46" t="s">
        <v>2061</v>
      </c>
      <c r="G15802" s="46">
        <v>1.0548625681423E13</v>
      </c>
      <c r="H15802" s="46" t="s">
        <v>2062</v>
      </c>
      <c r="I15802" s="46" t="s">
        <v>2063</v>
      </c>
      <c r="J15802" s="46" t="s">
        <v>134</v>
      </c>
      <c r="K15802" s="46" t="s">
        <v>126</v>
      </c>
      <c r="L15802" s="45">
        <v>46016.458333333336</v>
      </c>
      <c r="M15802" s="46" t="s">
        <v>123</v>
      </c>
      <c r="N15802" s="45">
        <v>46016.479166666664</v>
      </c>
      <c r="O15802" s="46" t="s">
        <v>123</v>
      </c>
      <c r="P15802" s="46">
        <v>1800.0</v>
      </c>
    </row>
    <row r="15803">
      <c r="A15803" s="40">
        <f t="shared" si="1"/>
        <v>46013</v>
      </c>
      <c r="B15803" s="37" t="str">
        <f t="array" ref="B15803">iferror(xlookup($I15803, 'IMPORT VHC Report'!$E:$E, 'IMPORT VHC Report'!$A:$C), )</f>
        <v/>
      </c>
      <c r="C15803" s="44"/>
      <c r="D15803" s="44"/>
      <c r="E15803" s="46" t="s">
        <v>11978</v>
      </c>
      <c r="F15803" s="46" t="s">
        <v>2061</v>
      </c>
      <c r="G15803" s="46">
        <v>1.0548625681423E13</v>
      </c>
      <c r="H15803" s="46" t="s">
        <v>2062</v>
      </c>
      <c r="I15803" s="46" t="s">
        <v>2063</v>
      </c>
      <c r="J15803" s="46" t="s">
        <v>330</v>
      </c>
      <c r="K15803" s="46" t="s">
        <v>126</v>
      </c>
      <c r="L15803" s="45">
        <v>46019.166666666664</v>
      </c>
      <c r="M15803" s="46" t="s">
        <v>123</v>
      </c>
      <c r="N15803" s="45">
        <v>46019.17361111111</v>
      </c>
      <c r="O15803" s="46" t="s">
        <v>123</v>
      </c>
      <c r="P15803" s="46">
        <v>600.0</v>
      </c>
    </row>
    <row r="15804">
      <c r="A15804" s="40">
        <f t="shared" si="1"/>
        <v>46013</v>
      </c>
      <c r="B15804" s="37" t="str">
        <f t="array" ref="B15804">iferror(xlookup($I15804, 'IMPORT VHC Report'!$E:$E, 'IMPORT VHC Report'!$A:$C), )</f>
        <v/>
      </c>
      <c r="C15804" s="44"/>
      <c r="D15804" s="44"/>
      <c r="E15804" s="46" t="s">
        <v>11979</v>
      </c>
      <c r="F15804" s="46" t="s">
        <v>2061</v>
      </c>
      <c r="G15804" s="46">
        <v>1.0548625681423E13</v>
      </c>
      <c r="H15804" s="46" t="s">
        <v>2062</v>
      </c>
      <c r="I15804" s="46" t="s">
        <v>2063</v>
      </c>
      <c r="J15804" s="46" t="s">
        <v>332</v>
      </c>
      <c r="K15804" s="46" t="s">
        <v>63</v>
      </c>
      <c r="L15804" s="45">
        <v>46019.166666666664</v>
      </c>
      <c r="M15804" s="46" t="s">
        <v>123</v>
      </c>
      <c r="N15804" s="45">
        <v>46019.541666666664</v>
      </c>
      <c r="O15804" s="46" t="s">
        <v>123</v>
      </c>
      <c r="P15804" s="46">
        <v>32400.0</v>
      </c>
    </row>
    <row r="15805">
      <c r="A15805" s="40">
        <f t="shared" si="1"/>
        <v>46013</v>
      </c>
      <c r="B15805" s="37" t="str">
        <f t="array" ref="B15805">iferror(xlookup($I15805, 'IMPORT VHC Report'!$E:$E, 'IMPORT VHC Report'!$A:$C), )</f>
        <v/>
      </c>
      <c r="C15805" s="44"/>
      <c r="D15805" s="44"/>
      <c r="E15805" s="46" t="s">
        <v>11980</v>
      </c>
      <c r="F15805" s="46" t="s">
        <v>2061</v>
      </c>
      <c r="G15805" s="46">
        <v>1.0548625681423E13</v>
      </c>
      <c r="H15805" s="46" t="s">
        <v>2062</v>
      </c>
      <c r="I15805" s="46" t="s">
        <v>2063</v>
      </c>
      <c r="J15805" s="46" t="s">
        <v>132</v>
      </c>
      <c r="K15805" s="46" t="s">
        <v>126</v>
      </c>
      <c r="L15805" s="45">
        <v>46019.333333333336</v>
      </c>
      <c r="M15805" s="46" t="s">
        <v>123</v>
      </c>
      <c r="N15805" s="45">
        <v>46019.375</v>
      </c>
      <c r="O15805" s="46" t="s">
        <v>123</v>
      </c>
      <c r="P15805" s="46">
        <v>3600.0</v>
      </c>
    </row>
    <row r="15806">
      <c r="A15806" s="40">
        <f t="shared" si="1"/>
        <v>46013</v>
      </c>
      <c r="B15806" s="37" t="str">
        <f t="array" ref="B15806">iferror(xlookup($I15806, 'IMPORT VHC Report'!$E:$E, 'IMPORT VHC Report'!$A:$C), )</f>
        <v/>
      </c>
      <c r="C15806" s="44"/>
      <c r="D15806" s="44"/>
      <c r="E15806" s="46" t="s">
        <v>11981</v>
      </c>
      <c r="F15806" s="46" t="s">
        <v>2061</v>
      </c>
      <c r="G15806" s="46">
        <v>1.0548625681423E13</v>
      </c>
      <c r="H15806" s="46" t="s">
        <v>2062</v>
      </c>
      <c r="I15806" s="46" t="s">
        <v>2063</v>
      </c>
      <c r="J15806" s="46" t="s">
        <v>134</v>
      </c>
      <c r="K15806" s="46" t="s">
        <v>126</v>
      </c>
      <c r="L15806" s="45">
        <v>46019.458333333336</v>
      </c>
      <c r="M15806" s="46" t="s">
        <v>123</v>
      </c>
      <c r="N15806" s="45">
        <v>46019.479166666664</v>
      </c>
      <c r="O15806" s="46" t="s">
        <v>123</v>
      </c>
      <c r="P15806" s="46">
        <v>1800.0</v>
      </c>
    </row>
    <row r="15807">
      <c r="A15807" s="40">
        <f t="shared" si="1"/>
        <v>46013</v>
      </c>
      <c r="B15807" s="37" t="str">
        <f t="array" ref="B15807">iferror(xlookup($I15807, 'IMPORT VHC Report'!$E:$E, 'IMPORT VHC Report'!$A:$C), )</f>
        <v/>
      </c>
      <c r="C15807" s="44"/>
      <c r="D15807" s="44"/>
      <c r="E15807" s="46" t="s">
        <v>11982</v>
      </c>
      <c r="F15807" s="46" t="s">
        <v>3662</v>
      </c>
      <c r="G15807" s="46">
        <v>5.359144671119E12</v>
      </c>
      <c r="H15807" s="46" t="s">
        <v>3663</v>
      </c>
      <c r="I15807" s="46" t="s">
        <v>3664</v>
      </c>
      <c r="J15807" s="46" t="s">
        <v>330</v>
      </c>
      <c r="K15807" s="46" t="s">
        <v>126</v>
      </c>
      <c r="L15807" s="45">
        <v>46013.416666666664</v>
      </c>
      <c r="M15807" s="46" t="s">
        <v>123</v>
      </c>
      <c r="N15807" s="45">
        <v>46013.42361111111</v>
      </c>
      <c r="O15807" s="46" t="s">
        <v>123</v>
      </c>
      <c r="P15807" s="46">
        <v>600.0</v>
      </c>
    </row>
    <row r="15808">
      <c r="A15808" s="40">
        <f t="shared" si="1"/>
        <v>46013</v>
      </c>
      <c r="B15808" s="37" t="str">
        <f t="array" ref="B15808">iferror(xlookup($I15808, 'IMPORT VHC Report'!$E:$E, 'IMPORT VHC Report'!$A:$C), )</f>
        <v/>
      </c>
      <c r="C15808" s="44"/>
      <c r="D15808" s="44"/>
      <c r="E15808" s="46" t="s">
        <v>11983</v>
      </c>
      <c r="F15808" s="46" t="s">
        <v>3662</v>
      </c>
      <c r="G15808" s="46">
        <v>5.359144671119E12</v>
      </c>
      <c r="H15808" s="46" t="s">
        <v>3663</v>
      </c>
      <c r="I15808" s="46" t="s">
        <v>3664</v>
      </c>
      <c r="J15808" s="46" t="s">
        <v>332</v>
      </c>
      <c r="K15808" s="46" t="s">
        <v>63</v>
      </c>
      <c r="L15808" s="45">
        <v>46013.416666666664</v>
      </c>
      <c r="M15808" s="46" t="s">
        <v>123</v>
      </c>
      <c r="N15808" s="45">
        <v>46013.791666666664</v>
      </c>
      <c r="O15808" s="46" t="s">
        <v>123</v>
      </c>
      <c r="P15808" s="46">
        <v>32400.0</v>
      </c>
    </row>
    <row r="15809">
      <c r="A15809" s="40">
        <f t="shared" si="1"/>
        <v>46013</v>
      </c>
      <c r="B15809" s="37" t="str">
        <f t="array" ref="B15809">iferror(xlookup($I15809, 'IMPORT VHC Report'!$E:$E, 'IMPORT VHC Report'!$A:$C), )</f>
        <v/>
      </c>
      <c r="C15809" s="44"/>
      <c r="D15809" s="44"/>
      <c r="E15809" s="46" t="s">
        <v>11984</v>
      </c>
      <c r="F15809" s="46" t="s">
        <v>3662</v>
      </c>
      <c r="G15809" s="46">
        <v>5.359144671119E12</v>
      </c>
      <c r="H15809" s="46" t="s">
        <v>3663</v>
      </c>
      <c r="I15809" s="46" t="s">
        <v>3664</v>
      </c>
      <c r="J15809" s="46" t="s">
        <v>134</v>
      </c>
      <c r="K15809" s="46" t="s">
        <v>126</v>
      </c>
      <c r="L15809" s="45">
        <v>46013.520833333336</v>
      </c>
      <c r="M15809" s="46" t="s">
        <v>123</v>
      </c>
      <c r="N15809" s="45">
        <v>46013.53125</v>
      </c>
      <c r="O15809" s="46" t="s">
        <v>123</v>
      </c>
      <c r="P15809" s="46">
        <v>900.0</v>
      </c>
    </row>
    <row r="15810">
      <c r="A15810" s="40">
        <f t="shared" si="1"/>
        <v>46013</v>
      </c>
      <c r="B15810" s="37" t="str">
        <f t="array" ref="B15810">iferror(xlookup($I15810, 'IMPORT VHC Report'!$E:$E, 'IMPORT VHC Report'!$A:$C), )</f>
        <v/>
      </c>
      <c r="C15810" s="44"/>
      <c r="D15810" s="44"/>
      <c r="E15810" s="46" t="s">
        <v>11985</v>
      </c>
      <c r="F15810" s="46" t="s">
        <v>3662</v>
      </c>
      <c r="G15810" s="46">
        <v>5.359144671119E12</v>
      </c>
      <c r="H15810" s="46" t="s">
        <v>3663</v>
      </c>
      <c r="I15810" s="46" t="s">
        <v>3664</v>
      </c>
      <c r="J15810" s="46" t="s">
        <v>132</v>
      </c>
      <c r="K15810" s="46" t="s">
        <v>126</v>
      </c>
      <c r="L15810" s="45">
        <v>46013.583333333336</v>
      </c>
      <c r="M15810" s="46" t="s">
        <v>123</v>
      </c>
      <c r="N15810" s="45">
        <v>46013.625</v>
      </c>
      <c r="O15810" s="46" t="s">
        <v>123</v>
      </c>
      <c r="P15810" s="46">
        <v>3600.0</v>
      </c>
    </row>
    <row r="15811">
      <c r="A15811" s="40">
        <f t="shared" si="1"/>
        <v>46013</v>
      </c>
      <c r="B15811" s="37" t="str">
        <f t="array" ref="B15811">iferror(xlookup($I15811, 'IMPORT VHC Report'!$E:$E, 'IMPORT VHC Report'!$A:$C), )</f>
        <v/>
      </c>
      <c r="C15811" s="44"/>
      <c r="D15811" s="44"/>
      <c r="E15811" s="46" t="s">
        <v>11986</v>
      </c>
      <c r="F15811" s="46" t="s">
        <v>3662</v>
      </c>
      <c r="G15811" s="46">
        <v>5.359144671119E12</v>
      </c>
      <c r="H15811" s="46" t="s">
        <v>3663</v>
      </c>
      <c r="I15811" s="46" t="s">
        <v>3664</v>
      </c>
      <c r="J15811" s="46" t="s">
        <v>178</v>
      </c>
      <c r="K15811" s="46" t="s">
        <v>153</v>
      </c>
      <c r="L15811" s="45">
        <v>46013.625</v>
      </c>
      <c r="M15811" s="46" t="s">
        <v>123</v>
      </c>
      <c r="N15811" s="45">
        <v>46013.791666666664</v>
      </c>
      <c r="O15811" s="46" t="s">
        <v>123</v>
      </c>
      <c r="P15811" s="46">
        <v>14400.0</v>
      </c>
      <c r="Q15811" s="46">
        <v>57600.0</v>
      </c>
      <c r="R15811" s="46" t="s">
        <v>11987</v>
      </c>
    </row>
    <row r="15812">
      <c r="A15812" s="40">
        <f t="shared" si="1"/>
        <v>46013</v>
      </c>
      <c r="B15812" s="37" t="str">
        <f t="array" ref="B15812">iferror(xlookup($I15812, 'IMPORT VHC Report'!$E:$E, 'IMPORT VHC Report'!$A:$C), )</f>
        <v/>
      </c>
      <c r="C15812" s="44"/>
      <c r="D15812" s="44"/>
      <c r="E15812" s="46" t="s">
        <v>11988</v>
      </c>
      <c r="F15812" s="46" t="s">
        <v>3662</v>
      </c>
      <c r="G15812" s="46">
        <v>5.359144671119E12</v>
      </c>
      <c r="H15812" s="46" t="s">
        <v>3663</v>
      </c>
      <c r="I15812" s="46" t="s">
        <v>3664</v>
      </c>
      <c r="J15812" s="46" t="s">
        <v>330</v>
      </c>
      <c r="K15812" s="46" t="s">
        <v>126</v>
      </c>
      <c r="L15812" s="45">
        <v>46014.416666666664</v>
      </c>
      <c r="M15812" s="46" t="s">
        <v>123</v>
      </c>
      <c r="N15812" s="45">
        <v>46014.42361111111</v>
      </c>
      <c r="O15812" s="46" t="s">
        <v>123</v>
      </c>
      <c r="P15812" s="46">
        <v>600.0</v>
      </c>
    </row>
    <row r="15813">
      <c r="A15813" s="40">
        <f t="shared" si="1"/>
        <v>46013</v>
      </c>
      <c r="B15813" s="37" t="str">
        <f t="array" ref="B15813">iferror(xlookup($I15813, 'IMPORT VHC Report'!$E:$E, 'IMPORT VHC Report'!$A:$C), )</f>
        <v/>
      </c>
      <c r="C15813" s="44"/>
      <c r="D15813" s="44"/>
      <c r="E15813" s="46" t="s">
        <v>11989</v>
      </c>
      <c r="F15813" s="46" t="s">
        <v>3662</v>
      </c>
      <c r="G15813" s="46">
        <v>5.359144671119E12</v>
      </c>
      <c r="H15813" s="46" t="s">
        <v>3663</v>
      </c>
      <c r="I15813" s="46" t="s">
        <v>3664</v>
      </c>
      <c r="J15813" s="46" t="s">
        <v>332</v>
      </c>
      <c r="K15813" s="46" t="s">
        <v>63</v>
      </c>
      <c r="L15813" s="45">
        <v>46014.416666666664</v>
      </c>
      <c r="M15813" s="46" t="s">
        <v>123</v>
      </c>
      <c r="N15813" s="45">
        <v>46014.791666666664</v>
      </c>
      <c r="O15813" s="46" t="s">
        <v>123</v>
      </c>
      <c r="P15813" s="46">
        <v>32400.0</v>
      </c>
    </row>
    <row r="15814">
      <c r="A15814" s="40">
        <f t="shared" si="1"/>
        <v>46013</v>
      </c>
      <c r="B15814" s="37" t="str">
        <f t="array" ref="B15814">iferror(xlookup($I15814, 'IMPORT VHC Report'!$E:$E, 'IMPORT VHC Report'!$A:$C), )</f>
        <v/>
      </c>
      <c r="C15814" s="44"/>
      <c r="D15814" s="44"/>
      <c r="E15814" s="46" t="s">
        <v>11990</v>
      </c>
      <c r="F15814" s="46" t="s">
        <v>3662</v>
      </c>
      <c r="G15814" s="46">
        <v>5.359144671119E12</v>
      </c>
      <c r="H15814" s="46" t="s">
        <v>3663</v>
      </c>
      <c r="I15814" s="46" t="s">
        <v>3664</v>
      </c>
      <c r="J15814" s="46" t="s">
        <v>178</v>
      </c>
      <c r="K15814" s="46" t="s">
        <v>153</v>
      </c>
      <c r="L15814" s="45">
        <v>46014.416666666664</v>
      </c>
      <c r="M15814" s="46" t="s">
        <v>123</v>
      </c>
      <c r="N15814" s="45">
        <v>46014.791666666664</v>
      </c>
      <c r="O15814" s="46" t="s">
        <v>123</v>
      </c>
      <c r="P15814" s="46">
        <v>32400.0</v>
      </c>
      <c r="Q15814" s="46">
        <v>32400.0</v>
      </c>
    </row>
    <row r="15815">
      <c r="A15815" s="40">
        <f t="shared" si="1"/>
        <v>46013</v>
      </c>
      <c r="B15815" s="37" t="str">
        <f t="array" ref="B15815">iferror(xlookup($I15815, 'IMPORT VHC Report'!$E:$E, 'IMPORT VHC Report'!$A:$C), )</f>
        <v/>
      </c>
      <c r="C15815" s="44"/>
      <c r="D15815" s="44"/>
      <c r="E15815" s="46" t="s">
        <v>11991</v>
      </c>
      <c r="F15815" s="46" t="s">
        <v>3662</v>
      </c>
      <c r="G15815" s="46">
        <v>5.359144671119E12</v>
      </c>
      <c r="H15815" s="46" t="s">
        <v>3663</v>
      </c>
      <c r="I15815" s="46" t="s">
        <v>3664</v>
      </c>
      <c r="J15815" s="46" t="s">
        <v>132</v>
      </c>
      <c r="K15815" s="46" t="s">
        <v>126</v>
      </c>
      <c r="L15815" s="45">
        <v>46014.572916666664</v>
      </c>
      <c r="M15815" s="46" t="s">
        <v>123</v>
      </c>
      <c r="N15815" s="45">
        <v>46014.614583333336</v>
      </c>
      <c r="O15815" s="46" t="s">
        <v>123</v>
      </c>
      <c r="P15815" s="46">
        <v>3600.0</v>
      </c>
    </row>
    <row r="15816">
      <c r="A15816" s="40">
        <f t="shared" si="1"/>
        <v>46013</v>
      </c>
      <c r="B15816" s="37" t="str">
        <f t="array" ref="B15816">iferror(xlookup($I15816, 'IMPORT VHC Report'!$E:$E, 'IMPORT VHC Report'!$A:$C), )</f>
        <v/>
      </c>
      <c r="C15816" s="44"/>
      <c r="D15816" s="44"/>
      <c r="E15816" s="46" t="s">
        <v>11992</v>
      </c>
      <c r="F15816" s="46" t="s">
        <v>3662</v>
      </c>
      <c r="G15816" s="46">
        <v>5.359144671119E12</v>
      </c>
      <c r="H15816" s="46" t="s">
        <v>3663</v>
      </c>
      <c r="I15816" s="46" t="s">
        <v>3664</v>
      </c>
      <c r="J15816" s="46" t="s">
        <v>134</v>
      </c>
      <c r="K15816" s="46" t="s">
        <v>126</v>
      </c>
      <c r="L15816" s="45">
        <v>46014.697916666664</v>
      </c>
      <c r="M15816" s="46" t="s">
        <v>123</v>
      </c>
      <c r="N15816" s="45">
        <v>46014.71875</v>
      </c>
      <c r="O15816" s="46" t="s">
        <v>123</v>
      </c>
      <c r="P15816" s="46">
        <v>1800.0</v>
      </c>
    </row>
    <row r="15817">
      <c r="A15817" s="40">
        <f t="shared" si="1"/>
        <v>46013</v>
      </c>
      <c r="B15817" s="37" t="str">
        <f t="array" ref="B15817">iferror(xlookup($I15817, 'IMPORT VHC Report'!$E:$E, 'IMPORT VHC Report'!$A:$C), )</f>
        <v/>
      </c>
      <c r="C15817" s="44"/>
      <c r="D15817" s="44"/>
      <c r="E15817" s="46" t="s">
        <v>11993</v>
      </c>
      <c r="F15817" s="46" t="s">
        <v>3662</v>
      </c>
      <c r="G15817" s="46">
        <v>5.359144671119E12</v>
      </c>
      <c r="H15817" s="46" t="s">
        <v>3663</v>
      </c>
      <c r="I15817" s="46" t="s">
        <v>3664</v>
      </c>
      <c r="J15817" s="46" t="s">
        <v>330</v>
      </c>
      <c r="K15817" s="46" t="s">
        <v>126</v>
      </c>
      <c r="L15817" s="45">
        <v>46017.416666666664</v>
      </c>
      <c r="M15817" s="46" t="s">
        <v>123</v>
      </c>
      <c r="N15817" s="45">
        <v>46017.42361111111</v>
      </c>
      <c r="O15817" s="46" t="s">
        <v>123</v>
      </c>
      <c r="P15817" s="46">
        <v>600.0</v>
      </c>
    </row>
    <row r="15818">
      <c r="A15818" s="40">
        <f t="shared" si="1"/>
        <v>46013</v>
      </c>
      <c r="B15818" s="37" t="str">
        <f t="array" ref="B15818">iferror(xlookup($I15818, 'IMPORT VHC Report'!$E:$E, 'IMPORT VHC Report'!$A:$C), )</f>
        <v/>
      </c>
      <c r="C15818" s="44"/>
      <c r="D15818" s="44"/>
      <c r="E15818" s="46" t="s">
        <v>11994</v>
      </c>
      <c r="F15818" s="46" t="s">
        <v>3662</v>
      </c>
      <c r="G15818" s="46">
        <v>5.359144671119E12</v>
      </c>
      <c r="H15818" s="46" t="s">
        <v>3663</v>
      </c>
      <c r="I15818" s="46" t="s">
        <v>3664</v>
      </c>
      <c r="J15818" s="46" t="s">
        <v>332</v>
      </c>
      <c r="K15818" s="46" t="s">
        <v>63</v>
      </c>
      <c r="L15818" s="45">
        <v>46017.416666666664</v>
      </c>
      <c r="M15818" s="46" t="s">
        <v>123</v>
      </c>
      <c r="N15818" s="45">
        <v>46017.791666666664</v>
      </c>
      <c r="O15818" s="46" t="s">
        <v>123</v>
      </c>
      <c r="P15818" s="46">
        <v>32400.0</v>
      </c>
    </row>
    <row r="15819">
      <c r="A15819" s="40">
        <f t="shared" si="1"/>
        <v>46013</v>
      </c>
      <c r="B15819" s="37" t="str">
        <f t="array" ref="B15819">iferror(xlookup($I15819, 'IMPORT VHC Report'!$E:$E, 'IMPORT VHC Report'!$A:$C), )</f>
        <v/>
      </c>
      <c r="C15819" s="44"/>
      <c r="D15819" s="44"/>
      <c r="E15819" s="46" t="s">
        <v>11995</v>
      </c>
      <c r="F15819" s="46" t="s">
        <v>3662</v>
      </c>
      <c r="G15819" s="46">
        <v>5.359144671119E12</v>
      </c>
      <c r="H15819" s="46" t="s">
        <v>3663</v>
      </c>
      <c r="I15819" s="46" t="s">
        <v>3664</v>
      </c>
      <c r="J15819" s="46" t="s">
        <v>178</v>
      </c>
      <c r="K15819" s="46" t="s">
        <v>153</v>
      </c>
      <c r="L15819" s="45">
        <v>46017.416666666664</v>
      </c>
      <c r="M15819" s="46" t="s">
        <v>123</v>
      </c>
      <c r="N15819" s="45">
        <v>46017.791666666664</v>
      </c>
      <c r="O15819" s="46" t="s">
        <v>123</v>
      </c>
      <c r="P15819" s="46">
        <v>32400.0</v>
      </c>
      <c r="Q15819" s="46">
        <v>32400.0</v>
      </c>
      <c r="R15819" s="46" t="s">
        <v>11996</v>
      </c>
    </row>
    <row r="15820">
      <c r="A15820" s="40">
        <f t="shared" si="1"/>
        <v>46013</v>
      </c>
      <c r="B15820" s="37" t="str">
        <f t="array" ref="B15820">iferror(xlookup($I15820, 'IMPORT VHC Report'!$E:$E, 'IMPORT VHC Report'!$A:$C), )</f>
        <v/>
      </c>
      <c r="C15820" s="44"/>
      <c r="D15820" s="44"/>
      <c r="E15820" s="46" t="s">
        <v>11997</v>
      </c>
      <c r="F15820" s="46" t="s">
        <v>3662</v>
      </c>
      <c r="G15820" s="46">
        <v>5.359144671119E12</v>
      </c>
      <c r="H15820" s="46" t="s">
        <v>3663</v>
      </c>
      <c r="I15820" s="46" t="s">
        <v>3664</v>
      </c>
      <c r="J15820" s="46" t="s">
        <v>134</v>
      </c>
      <c r="K15820" s="46" t="s">
        <v>126</v>
      </c>
      <c r="L15820" s="45">
        <v>46017.5625</v>
      </c>
      <c r="M15820" s="46" t="s">
        <v>123</v>
      </c>
      <c r="N15820" s="45">
        <v>46017.583333333336</v>
      </c>
      <c r="O15820" s="46" t="s">
        <v>123</v>
      </c>
      <c r="P15820" s="46">
        <v>1800.0</v>
      </c>
    </row>
    <row r="15821">
      <c r="A15821" s="40">
        <f t="shared" si="1"/>
        <v>46013</v>
      </c>
      <c r="B15821" s="37" t="str">
        <f t="array" ref="B15821">iferror(xlookup($I15821, 'IMPORT VHC Report'!$E:$E, 'IMPORT VHC Report'!$A:$C), )</f>
        <v/>
      </c>
      <c r="C15821" s="44"/>
      <c r="D15821" s="44"/>
      <c r="E15821" s="46" t="s">
        <v>11998</v>
      </c>
      <c r="F15821" s="46" t="s">
        <v>3662</v>
      </c>
      <c r="G15821" s="46">
        <v>5.359144671119E12</v>
      </c>
      <c r="H15821" s="46" t="s">
        <v>3663</v>
      </c>
      <c r="I15821" s="46" t="s">
        <v>3664</v>
      </c>
      <c r="J15821" s="46" t="s">
        <v>136</v>
      </c>
      <c r="K15821" s="46" t="s">
        <v>126</v>
      </c>
      <c r="L15821" s="45">
        <v>46017.666666666664</v>
      </c>
      <c r="M15821" s="46" t="s">
        <v>123</v>
      </c>
      <c r="N15821" s="45">
        <v>46017.708333333336</v>
      </c>
      <c r="O15821" s="46" t="s">
        <v>123</v>
      </c>
      <c r="P15821" s="46">
        <v>3600.0</v>
      </c>
      <c r="S15821" s="46" t="s">
        <v>137</v>
      </c>
    </row>
    <row r="15822">
      <c r="A15822" s="40">
        <f t="shared" si="1"/>
        <v>46013</v>
      </c>
      <c r="B15822" s="37" t="str">
        <f t="array" ref="B15822">iferror(xlookup($I15822, 'IMPORT VHC Report'!$E:$E, 'IMPORT VHC Report'!$A:$C), )</f>
        <v/>
      </c>
      <c r="C15822" s="44"/>
      <c r="D15822" s="44"/>
      <c r="E15822" s="46" t="s">
        <v>11999</v>
      </c>
      <c r="F15822" s="46" t="s">
        <v>3662</v>
      </c>
      <c r="G15822" s="46">
        <v>5.359144671119E12</v>
      </c>
      <c r="H15822" s="46" t="s">
        <v>3663</v>
      </c>
      <c r="I15822" s="46" t="s">
        <v>3664</v>
      </c>
      <c r="J15822" s="46" t="s">
        <v>132</v>
      </c>
      <c r="K15822" s="46" t="s">
        <v>126</v>
      </c>
      <c r="L15822" s="45">
        <v>46017.708333333336</v>
      </c>
      <c r="M15822" s="46" t="s">
        <v>123</v>
      </c>
      <c r="N15822" s="45">
        <v>46017.75</v>
      </c>
      <c r="O15822" s="46" t="s">
        <v>123</v>
      </c>
      <c r="P15822" s="46">
        <v>3600.0</v>
      </c>
    </row>
    <row r="15823">
      <c r="A15823" s="40">
        <f t="shared" si="1"/>
        <v>46013</v>
      </c>
      <c r="B15823" s="37" t="str">
        <f t="array" ref="B15823">iferror(xlookup($I15823, 'IMPORT VHC Report'!$E:$E, 'IMPORT VHC Report'!$A:$C), )</f>
        <v/>
      </c>
      <c r="C15823" s="44"/>
      <c r="D15823" s="44"/>
      <c r="E15823" s="46" t="s">
        <v>12000</v>
      </c>
      <c r="F15823" s="46" t="s">
        <v>3662</v>
      </c>
      <c r="G15823" s="46">
        <v>5.359144671119E12</v>
      </c>
      <c r="H15823" s="46" t="s">
        <v>3663</v>
      </c>
      <c r="I15823" s="46" t="s">
        <v>3664</v>
      </c>
      <c r="J15823" s="46" t="s">
        <v>330</v>
      </c>
      <c r="K15823" s="46" t="s">
        <v>126</v>
      </c>
      <c r="L15823" s="45">
        <v>46018.416666666664</v>
      </c>
      <c r="M15823" s="46" t="s">
        <v>123</v>
      </c>
      <c r="N15823" s="45">
        <v>46018.42361111111</v>
      </c>
      <c r="O15823" s="46" t="s">
        <v>123</v>
      </c>
      <c r="P15823" s="46">
        <v>600.0</v>
      </c>
    </row>
    <row r="15824">
      <c r="A15824" s="40">
        <f t="shared" si="1"/>
        <v>46013</v>
      </c>
      <c r="B15824" s="37" t="str">
        <f t="array" ref="B15824">iferror(xlookup($I15824, 'IMPORT VHC Report'!$E:$E, 'IMPORT VHC Report'!$A:$C), )</f>
        <v/>
      </c>
      <c r="C15824" s="44"/>
      <c r="D15824" s="44"/>
      <c r="E15824" s="46" t="s">
        <v>12001</v>
      </c>
      <c r="F15824" s="46" t="s">
        <v>3662</v>
      </c>
      <c r="G15824" s="46">
        <v>5.359144671119E12</v>
      </c>
      <c r="H15824" s="46" t="s">
        <v>3663</v>
      </c>
      <c r="I15824" s="46" t="s">
        <v>3664</v>
      </c>
      <c r="J15824" s="46" t="s">
        <v>332</v>
      </c>
      <c r="K15824" s="46" t="s">
        <v>63</v>
      </c>
      <c r="L15824" s="45">
        <v>46018.416666666664</v>
      </c>
      <c r="M15824" s="46" t="s">
        <v>123</v>
      </c>
      <c r="N15824" s="45">
        <v>46018.791666666664</v>
      </c>
      <c r="O15824" s="46" t="s">
        <v>123</v>
      </c>
      <c r="P15824" s="46">
        <v>32400.0</v>
      </c>
    </row>
    <row r="15825">
      <c r="A15825" s="40">
        <f t="shared" si="1"/>
        <v>46013</v>
      </c>
      <c r="B15825" s="37" t="str">
        <f t="array" ref="B15825">iferror(xlookup($I15825, 'IMPORT VHC Report'!$E:$E, 'IMPORT VHC Report'!$A:$C), )</f>
        <v/>
      </c>
      <c r="C15825" s="44"/>
      <c r="D15825" s="44"/>
      <c r="E15825" s="46" t="s">
        <v>12002</v>
      </c>
      <c r="F15825" s="46" t="s">
        <v>3662</v>
      </c>
      <c r="G15825" s="46">
        <v>5.359144671119E12</v>
      </c>
      <c r="H15825" s="46" t="s">
        <v>3663</v>
      </c>
      <c r="I15825" s="46" t="s">
        <v>3664</v>
      </c>
      <c r="J15825" s="46" t="s">
        <v>330</v>
      </c>
      <c r="K15825" s="46" t="s">
        <v>126</v>
      </c>
      <c r="L15825" s="45">
        <v>46018.5</v>
      </c>
      <c r="M15825" s="46" t="s">
        <v>123</v>
      </c>
      <c r="N15825" s="45">
        <v>46018.541666666664</v>
      </c>
      <c r="O15825" s="46" t="s">
        <v>123</v>
      </c>
      <c r="P15825" s="46">
        <v>3600.0</v>
      </c>
    </row>
    <row r="15826">
      <c r="A15826" s="40">
        <f t="shared" si="1"/>
        <v>46013</v>
      </c>
      <c r="B15826" s="37" t="str">
        <f t="array" ref="B15826">iferror(xlookup($I15826, 'IMPORT VHC Report'!$E:$E, 'IMPORT VHC Report'!$A:$C), )</f>
        <v/>
      </c>
      <c r="C15826" s="44"/>
      <c r="D15826" s="44"/>
      <c r="E15826" s="46" t="s">
        <v>12003</v>
      </c>
      <c r="F15826" s="46" t="s">
        <v>3662</v>
      </c>
      <c r="G15826" s="46">
        <v>5.359144671119E12</v>
      </c>
      <c r="H15826" s="46" t="s">
        <v>3663</v>
      </c>
      <c r="I15826" s="46" t="s">
        <v>3664</v>
      </c>
      <c r="J15826" s="46" t="s">
        <v>134</v>
      </c>
      <c r="K15826" s="46" t="s">
        <v>126</v>
      </c>
      <c r="L15826" s="45">
        <v>46018.541666666664</v>
      </c>
      <c r="M15826" s="46" t="s">
        <v>123</v>
      </c>
      <c r="N15826" s="45">
        <v>46018.5625</v>
      </c>
      <c r="O15826" s="46" t="s">
        <v>123</v>
      </c>
      <c r="P15826" s="46">
        <v>1800.0</v>
      </c>
    </row>
    <row r="15827">
      <c r="A15827" s="40">
        <f t="shared" si="1"/>
        <v>46013</v>
      </c>
      <c r="B15827" s="37" t="str">
        <f t="array" ref="B15827">iferror(xlookup($I15827, 'IMPORT VHC Report'!$E:$E, 'IMPORT VHC Report'!$A:$C), )</f>
        <v/>
      </c>
      <c r="C15827" s="44"/>
      <c r="D15827" s="44"/>
      <c r="E15827" s="46" t="s">
        <v>12004</v>
      </c>
      <c r="F15827" s="46" t="s">
        <v>3662</v>
      </c>
      <c r="G15827" s="46">
        <v>5.359144671119E12</v>
      </c>
      <c r="H15827" s="46" t="s">
        <v>3663</v>
      </c>
      <c r="I15827" s="46" t="s">
        <v>3664</v>
      </c>
      <c r="J15827" s="46" t="s">
        <v>136</v>
      </c>
      <c r="K15827" s="46" t="s">
        <v>126</v>
      </c>
      <c r="L15827" s="45">
        <v>46018.583333333336</v>
      </c>
      <c r="M15827" s="46" t="s">
        <v>123</v>
      </c>
      <c r="N15827" s="45">
        <v>46018.59027777778</v>
      </c>
      <c r="O15827" s="46" t="s">
        <v>123</v>
      </c>
      <c r="P15827" s="46">
        <v>600.0</v>
      </c>
      <c r="S15827" s="46" t="s">
        <v>12005</v>
      </c>
    </row>
    <row r="15828">
      <c r="A15828" s="40">
        <f t="shared" si="1"/>
        <v>46013</v>
      </c>
      <c r="B15828" s="37" t="str">
        <f t="array" ref="B15828">iferror(xlookup($I15828, 'IMPORT VHC Report'!$E:$E, 'IMPORT VHC Report'!$A:$C), )</f>
        <v/>
      </c>
      <c r="C15828" s="44"/>
      <c r="D15828" s="44"/>
      <c r="E15828" s="46" t="s">
        <v>12006</v>
      </c>
      <c r="F15828" s="46" t="s">
        <v>3662</v>
      </c>
      <c r="G15828" s="46">
        <v>5.359144671119E12</v>
      </c>
      <c r="H15828" s="46" t="s">
        <v>3663</v>
      </c>
      <c r="I15828" s="46" t="s">
        <v>3664</v>
      </c>
      <c r="J15828" s="46" t="s">
        <v>4</v>
      </c>
      <c r="K15828" s="46" t="s">
        <v>126</v>
      </c>
      <c r="L15828" s="45">
        <v>46018.59027777778</v>
      </c>
      <c r="M15828" s="46" t="s">
        <v>123</v>
      </c>
      <c r="N15828" s="45">
        <v>46018.600694444445</v>
      </c>
      <c r="O15828" s="46" t="s">
        <v>123</v>
      </c>
      <c r="P15828" s="46">
        <v>900.0</v>
      </c>
      <c r="S15828" s="46" t="s">
        <v>12007</v>
      </c>
    </row>
    <row r="15829">
      <c r="A15829" s="40">
        <f t="shared" si="1"/>
        <v>46013</v>
      </c>
      <c r="B15829" s="37" t="str">
        <f t="array" ref="B15829">iferror(xlookup($I15829, 'IMPORT VHC Report'!$E:$E, 'IMPORT VHC Report'!$A:$C), )</f>
        <v/>
      </c>
      <c r="C15829" s="44"/>
      <c r="D15829" s="44"/>
      <c r="E15829" s="46" t="s">
        <v>12008</v>
      </c>
      <c r="F15829" s="46" t="s">
        <v>3662</v>
      </c>
      <c r="G15829" s="46">
        <v>5.359144671119E12</v>
      </c>
      <c r="H15829" s="46" t="s">
        <v>3663</v>
      </c>
      <c r="I15829" s="46" t="s">
        <v>3664</v>
      </c>
      <c r="J15829" s="46" t="s">
        <v>132</v>
      </c>
      <c r="K15829" s="46" t="s">
        <v>126</v>
      </c>
      <c r="L15829" s="45">
        <v>46018.635416666664</v>
      </c>
      <c r="M15829" s="46" t="s">
        <v>123</v>
      </c>
      <c r="N15829" s="45">
        <v>46018.677083333336</v>
      </c>
      <c r="O15829" s="46" t="s">
        <v>123</v>
      </c>
      <c r="P15829" s="46">
        <v>3600.0</v>
      </c>
    </row>
    <row r="15830">
      <c r="A15830" s="40">
        <f t="shared" si="1"/>
        <v>46013</v>
      </c>
      <c r="B15830" s="37" t="str">
        <f t="array" ref="B15830">iferror(xlookup($I15830, 'IMPORT VHC Report'!$E:$E, 'IMPORT VHC Report'!$A:$C), )</f>
        <v/>
      </c>
      <c r="C15830" s="44"/>
      <c r="D15830" s="44"/>
      <c r="E15830" s="46" t="s">
        <v>12009</v>
      </c>
      <c r="F15830" s="46" t="s">
        <v>3662</v>
      </c>
      <c r="G15830" s="46">
        <v>5.359144671119E12</v>
      </c>
      <c r="H15830" s="46" t="s">
        <v>3663</v>
      </c>
      <c r="I15830" s="46" t="s">
        <v>3664</v>
      </c>
      <c r="J15830" s="46" t="s">
        <v>330</v>
      </c>
      <c r="K15830" s="46" t="s">
        <v>126</v>
      </c>
      <c r="L15830" s="45">
        <v>46019.416666666664</v>
      </c>
      <c r="M15830" s="46" t="s">
        <v>123</v>
      </c>
      <c r="N15830" s="45">
        <v>46019.42361111111</v>
      </c>
      <c r="O15830" s="46" t="s">
        <v>123</v>
      </c>
      <c r="P15830" s="46">
        <v>600.0</v>
      </c>
    </row>
    <row r="15831">
      <c r="A15831" s="40">
        <f t="shared" si="1"/>
        <v>46013</v>
      </c>
      <c r="B15831" s="37" t="str">
        <f t="array" ref="B15831">iferror(xlookup($I15831, 'IMPORT VHC Report'!$E:$E, 'IMPORT VHC Report'!$A:$C), )</f>
        <v/>
      </c>
      <c r="C15831" s="44"/>
      <c r="D15831" s="44"/>
      <c r="E15831" s="46" t="s">
        <v>12010</v>
      </c>
      <c r="F15831" s="46" t="s">
        <v>3662</v>
      </c>
      <c r="G15831" s="46">
        <v>5.359144671119E12</v>
      </c>
      <c r="H15831" s="46" t="s">
        <v>3663</v>
      </c>
      <c r="I15831" s="46" t="s">
        <v>3664</v>
      </c>
      <c r="J15831" s="46" t="s">
        <v>178</v>
      </c>
      <c r="K15831" s="46" t="s">
        <v>153</v>
      </c>
      <c r="L15831" s="45">
        <v>46019.416666666664</v>
      </c>
      <c r="M15831" s="46" t="s">
        <v>123</v>
      </c>
      <c r="N15831" s="45">
        <v>46019.791666666664</v>
      </c>
      <c r="O15831" s="46" t="s">
        <v>123</v>
      </c>
      <c r="P15831" s="46">
        <v>32400.0</v>
      </c>
      <c r="Q15831" s="46">
        <v>57600.0</v>
      </c>
      <c r="R15831" s="46" t="s">
        <v>12011</v>
      </c>
    </row>
    <row r="15832">
      <c r="A15832" s="40">
        <f t="shared" si="1"/>
        <v>46013</v>
      </c>
      <c r="B15832" s="37" t="str">
        <f t="array" ref="B15832">iferror(xlookup($I15832, 'IMPORT VHC Report'!$E:$E, 'IMPORT VHC Report'!$A:$C), )</f>
        <v/>
      </c>
      <c r="C15832" s="44"/>
      <c r="D15832" s="44"/>
      <c r="E15832" s="46" t="s">
        <v>12012</v>
      </c>
      <c r="F15832" s="46" t="s">
        <v>3662</v>
      </c>
      <c r="G15832" s="46">
        <v>5.359144671119E12</v>
      </c>
      <c r="H15832" s="46" t="s">
        <v>3663</v>
      </c>
      <c r="I15832" s="46" t="s">
        <v>3664</v>
      </c>
      <c r="J15832" s="46" t="s">
        <v>332</v>
      </c>
      <c r="K15832" s="46" t="s">
        <v>63</v>
      </c>
      <c r="L15832" s="45">
        <v>46019.416666666664</v>
      </c>
      <c r="M15832" s="46" t="s">
        <v>123</v>
      </c>
      <c r="N15832" s="45">
        <v>46019.791666666664</v>
      </c>
      <c r="O15832" s="46" t="s">
        <v>123</v>
      </c>
      <c r="P15832" s="46">
        <v>32400.0</v>
      </c>
    </row>
    <row r="15833">
      <c r="A15833" s="40">
        <f t="shared" si="1"/>
        <v>46013</v>
      </c>
      <c r="B15833" s="37" t="str">
        <f t="array" ref="B15833">iferror(xlookup($I15833, 'IMPORT VHC Report'!$E:$E, 'IMPORT VHC Report'!$A:$C), )</f>
        <v/>
      </c>
      <c r="C15833" s="44"/>
      <c r="D15833" s="44"/>
      <c r="E15833" s="46" t="s">
        <v>12013</v>
      </c>
      <c r="F15833" s="46" t="s">
        <v>3662</v>
      </c>
      <c r="G15833" s="46">
        <v>5.359144671119E12</v>
      </c>
      <c r="H15833" s="46" t="s">
        <v>3663</v>
      </c>
      <c r="I15833" s="46" t="s">
        <v>3664</v>
      </c>
      <c r="J15833" s="46" t="s">
        <v>134</v>
      </c>
      <c r="K15833" s="46" t="s">
        <v>126</v>
      </c>
      <c r="L15833" s="45">
        <v>46019.53125</v>
      </c>
      <c r="M15833" s="46" t="s">
        <v>123</v>
      </c>
      <c r="N15833" s="45">
        <v>46019.552083333336</v>
      </c>
      <c r="O15833" s="46" t="s">
        <v>123</v>
      </c>
      <c r="P15833" s="46">
        <v>1800.0</v>
      </c>
    </row>
    <row r="15834">
      <c r="A15834" s="40">
        <f t="shared" si="1"/>
        <v>46013</v>
      </c>
      <c r="B15834" s="37" t="str">
        <f t="array" ref="B15834">iferror(xlookup($I15834, 'IMPORT VHC Report'!$E:$E, 'IMPORT VHC Report'!$A:$C), )</f>
        <v/>
      </c>
      <c r="C15834" s="44"/>
      <c r="D15834" s="44"/>
      <c r="E15834" s="46" t="s">
        <v>12014</v>
      </c>
      <c r="F15834" s="46" t="s">
        <v>3662</v>
      </c>
      <c r="G15834" s="46">
        <v>5.359144671119E12</v>
      </c>
      <c r="H15834" s="46" t="s">
        <v>3663</v>
      </c>
      <c r="I15834" s="46" t="s">
        <v>3664</v>
      </c>
      <c r="J15834" s="46" t="s">
        <v>132</v>
      </c>
      <c r="K15834" s="46" t="s">
        <v>126</v>
      </c>
      <c r="L15834" s="45">
        <v>46019.635416666664</v>
      </c>
      <c r="M15834" s="46" t="s">
        <v>123</v>
      </c>
      <c r="N15834" s="45">
        <v>46019.677083333336</v>
      </c>
      <c r="O15834" s="46" t="s">
        <v>123</v>
      </c>
      <c r="P15834" s="46">
        <v>3600.0</v>
      </c>
    </row>
    <row r="15835">
      <c r="A15835" s="40">
        <f t="shared" si="1"/>
        <v>46013</v>
      </c>
      <c r="B15835" s="37" t="str">
        <f t="array" ref="B15835">iferror(xlookup($I15835, 'IMPORT VHC Report'!$E:$E, 'IMPORT VHC Report'!$A:$C), )</f>
        <v/>
      </c>
      <c r="C15835" s="44"/>
      <c r="D15835" s="44"/>
      <c r="E15835" s="46" t="s">
        <v>12015</v>
      </c>
      <c r="F15835" s="46" t="s">
        <v>4047</v>
      </c>
      <c r="G15835" s="46">
        <v>5.901988081807E12</v>
      </c>
      <c r="H15835" s="46" t="s">
        <v>4048</v>
      </c>
      <c r="I15835" s="46" t="s">
        <v>4049</v>
      </c>
      <c r="J15835" s="46" t="s">
        <v>330</v>
      </c>
      <c r="K15835" s="46" t="s">
        <v>126</v>
      </c>
      <c r="L15835" s="45">
        <v>46013.5</v>
      </c>
      <c r="M15835" s="46" t="s">
        <v>123</v>
      </c>
      <c r="N15835" s="45">
        <v>46013.506944444445</v>
      </c>
      <c r="O15835" s="46" t="s">
        <v>123</v>
      </c>
      <c r="P15835" s="46">
        <v>600.0</v>
      </c>
    </row>
    <row r="15836">
      <c r="A15836" s="40">
        <f t="shared" si="1"/>
        <v>46013</v>
      </c>
      <c r="B15836" s="37" t="str">
        <f t="array" ref="B15836">iferror(xlookup($I15836, 'IMPORT VHC Report'!$E:$E, 'IMPORT VHC Report'!$A:$C), )</f>
        <v/>
      </c>
      <c r="C15836" s="44"/>
      <c r="D15836" s="44"/>
      <c r="E15836" s="46" t="s">
        <v>12016</v>
      </c>
      <c r="F15836" s="46" t="s">
        <v>4047</v>
      </c>
      <c r="G15836" s="46">
        <v>5.901988081807E12</v>
      </c>
      <c r="H15836" s="46" t="s">
        <v>4048</v>
      </c>
      <c r="I15836" s="46" t="s">
        <v>4049</v>
      </c>
      <c r="J15836" s="46" t="s">
        <v>332</v>
      </c>
      <c r="K15836" s="46" t="s">
        <v>63</v>
      </c>
      <c r="L15836" s="45">
        <v>46013.5</v>
      </c>
      <c r="M15836" s="46" t="s">
        <v>123</v>
      </c>
      <c r="N15836" s="45">
        <v>46013.875</v>
      </c>
      <c r="O15836" s="46" t="s">
        <v>123</v>
      </c>
      <c r="P15836" s="46">
        <v>32400.0</v>
      </c>
    </row>
    <row r="15837">
      <c r="A15837" s="40">
        <f t="shared" si="1"/>
        <v>46013</v>
      </c>
      <c r="B15837" s="37" t="str">
        <f t="array" ref="B15837">iferror(xlookup($I15837, 'IMPORT VHC Report'!$E:$E, 'IMPORT VHC Report'!$A:$C), )</f>
        <v/>
      </c>
      <c r="C15837" s="44"/>
      <c r="D15837" s="44"/>
      <c r="E15837" s="46" t="s">
        <v>12017</v>
      </c>
      <c r="F15837" s="46" t="s">
        <v>4047</v>
      </c>
      <c r="G15837" s="46">
        <v>5.901988081807E12</v>
      </c>
      <c r="H15837" s="46" t="s">
        <v>4048</v>
      </c>
      <c r="I15837" s="46" t="s">
        <v>4049</v>
      </c>
      <c r="J15837" s="46" t="s">
        <v>132</v>
      </c>
      <c r="K15837" s="46" t="s">
        <v>126</v>
      </c>
      <c r="L15837" s="45">
        <v>46013.635416666664</v>
      </c>
      <c r="M15837" s="46" t="s">
        <v>123</v>
      </c>
      <c r="N15837" s="45">
        <v>46013.677083333336</v>
      </c>
      <c r="O15837" s="46" t="s">
        <v>123</v>
      </c>
      <c r="P15837" s="46">
        <v>3600.0</v>
      </c>
    </row>
    <row r="15838">
      <c r="A15838" s="40">
        <f t="shared" si="1"/>
        <v>46013</v>
      </c>
      <c r="B15838" s="37" t="str">
        <f t="array" ref="B15838">iferror(xlookup($I15838, 'IMPORT VHC Report'!$E:$E, 'IMPORT VHC Report'!$A:$C), )</f>
        <v/>
      </c>
      <c r="C15838" s="44"/>
      <c r="D15838" s="44"/>
      <c r="E15838" s="46" t="s">
        <v>12018</v>
      </c>
      <c r="F15838" s="46" t="s">
        <v>4047</v>
      </c>
      <c r="G15838" s="46">
        <v>5.901988081807E12</v>
      </c>
      <c r="H15838" s="46" t="s">
        <v>4048</v>
      </c>
      <c r="I15838" s="46" t="s">
        <v>4049</v>
      </c>
      <c r="J15838" s="46" t="s">
        <v>134</v>
      </c>
      <c r="K15838" s="46" t="s">
        <v>126</v>
      </c>
      <c r="L15838" s="45">
        <v>46013.760416666664</v>
      </c>
      <c r="M15838" s="46" t="s">
        <v>123</v>
      </c>
      <c r="N15838" s="45">
        <v>46013.78125</v>
      </c>
      <c r="O15838" s="46" t="s">
        <v>123</v>
      </c>
      <c r="P15838" s="46">
        <v>1800.0</v>
      </c>
    </row>
    <row r="15839">
      <c r="A15839" s="40">
        <f t="shared" si="1"/>
        <v>46013</v>
      </c>
      <c r="B15839" s="37" t="str">
        <f t="array" ref="B15839">iferror(xlookup($I15839, 'IMPORT VHC Report'!$E:$E, 'IMPORT VHC Report'!$A:$C), )</f>
        <v/>
      </c>
      <c r="C15839" s="44"/>
      <c r="D15839" s="44"/>
      <c r="E15839" s="46" t="s">
        <v>12019</v>
      </c>
      <c r="F15839" s="46" t="s">
        <v>4047</v>
      </c>
      <c r="G15839" s="46">
        <v>5.901988081807E12</v>
      </c>
      <c r="H15839" s="46" t="s">
        <v>4048</v>
      </c>
      <c r="I15839" s="46" t="s">
        <v>4049</v>
      </c>
      <c r="J15839" s="46" t="s">
        <v>330</v>
      </c>
      <c r="K15839" s="46" t="s">
        <v>126</v>
      </c>
      <c r="L15839" s="45">
        <v>46014.5</v>
      </c>
      <c r="M15839" s="46" t="s">
        <v>123</v>
      </c>
      <c r="N15839" s="45">
        <v>46014.506944444445</v>
      </c>
      <c r="O15839" s="46" t="s">
        <v>123</v>
      </c>
      <c r="P15839" s="46">
        <v>600.0</v>
      </c>
    </row>
    <row r="15840">
      <c r="A15840" s="40">
        <f t="shared" si="1"/>
        <v>46013</v>
      </c>
      <c r="B15840" s="37" t="str">
        <f t="array" ref="B15840">iferror(xlookup($I15840, 'IMPORT VHC Report'!$E:$E, 'IMPORT VHC Report'!$A:$C), )</f>
        <v/>
      </c>
      <c r="C15840" s="44"/>
      <c r="D15840" s="44"/>
      <c r="E15840" s="46" t="s">
        <v>12020</v>
      </c>
      <c r="F15840" s="46" t="s">
        <v>4047</v>
      </c>
      <c r="G15840" s="46">
        <v>5.901988081807E12</v>
      </c>
      <c r="H15840" s="46" t="s">
        <v>4048</v>
      </c>
      <c r="I15840" s="46" t="s">
        <v>4049</v>
      </c>
      <c r="J15840" s="46" t="s">
        <v>332</v>
      </c>
      <c r="K15840" s="46" t="s">
        <v>63</v>
      </c>
      <c r="L15840" s="45">
        <v>46014.5</v>
      </c>
      <c r="M15840" s="46" t="s">
        <v>123</v>
      </c>
      <c r="N15840" s="45">
        <v>46014.875</v>
      </c>
      <c r="O15840" s="46" t="s">
        <v>123</v>
      </c>
      <c r="P15840" s="46">
        <v>32400.0</v>
      </c>
    </row>
    <row r="15841">
      <c r="A15841" s="40">
        <f t="shared" si="1"/>
        <v>46013</v>
      </c>
      <c r="B15841" s="37" t="str">
        <f t="array" ref="B15841">iferror(xlookup($I15841, 'IMPORT VHC Report'!$E:$E, 'IMPORT VHC Report'!$A:$C), )</f>
        <v/>
      </c>
      <c r="C15841" s="44"/>
      <c r="D15841" s="44"/>
      <c r="E15841" s="46" t="s">
        <v>12021</v>
      </c>
      <c r="F15841" s="46" t="s">
        <v>4047</v>
      </c>
      <c r="G15841" s="46">
        <v>5.901988081807E12</v>
      </c>
      <c r="H15841" s="46" t="s">
        <v>4048</v>
      </c>
      <c r="I15841" s="46" t="s">
        <v>4049</v>
      </c>
      <c r="J15841" s="46" t="s">
        <v>330</v>
      </c>
      <c r="K15841" s="46" t="s">
        <v>126</v>
      </c>
      <c r="L15841" s="45">
        <v>46014.541666666664</v>
      </c>
      <c r="M15841" s="46" t="s">
        <v>123</v>
      </c>
      <c r="N15841" s="45">
        <v>46014.60555555556</v>
      </c>
      <c r="O15841" s="46" t="s">
        <v>123</v>
      </c>
      <c r="P15841" s="46">
        <v>5520.0</v>
      </c>
    </row>
    <row r="15842">
      <c r="A15842" s="40">
        <f t="shared" si="1"/>
        <v>46013</v>
      </c>
      <c r="B15842" s="37" t="str">
        <f t="array" ref="B15842">iferror(xlookup($I15842, 'IMPORT VHC Report'!$E:$E, 'IMPORT VHC Report'!$A:$C), )</f>
        <v/>
      </c>
      <c r="C15842" s="44"/>
      <c r="D15842" s="44"/>
      <c r="E15842" s="46" t="s">
        <v>12022</v>
      </c>
      <c r="F15842" s="46" t="s">
        <v>4047</v>
      </c>
      <c r="G15842" s="46">
        <v>5.901988081807E12</v>
      </c>
      <c r="H15842" s="46" t="s">
        <v>4048</v>
      </c>
      <c r="I15842" s="46" t="s">
        <v>4049</v>
      </c>
      <c r="J15842" s="46" t="s">
        <v>132</v>
      </c>
      <c r="K15842" s="46" t="s">
        <v>126</v>
      </c>
      <c r="L15842" s="45">
        <v>46014.60555555556</v>
      </c>
      <c r="M15842" s="46" t="s">
        <v>123</v>
      </c>
      <c r="N15842" s="45">
        <v>46014.64722222222</v>
      </c>
      <c r="O15842" s="46" t="s">
        <v>123</v>
      </c>
      <c r="P15842" s="46">
        <v>3600.0</v>
      </c>
    </row>
    <row r="15843">
      <c r="A15843" s="40">
        <f t="shared" si="1"/>
        <v>46013</v>
      </c>
      <c r="B15843" s="37" t="str">
        <f t="array" ref="B15843">iferror(xlookup($I15843, 'IMPORT VHC Report'!$E:$E, 'IMPORT VHC Report'!$A:$C), )</f>
        <v/>
      </c>
      <c r="C15843" s="44"/>
      <c r="D15843" s="44"/>
      <c r="E15843" s="46" t="s">
        <v>12023</v>
      </c>
      <c r="F15843" s="46" t="s">
        <v>4047</v>
      </c>
      <c r="G15843" s="46">
        <v>5.901988081807E12</v>
      </c>
      <c r="H15843" s="46" t="s">
        <v>4048</v>
      </c>
      <c r="I15843" s="46" t="s">
        <v>4049</v>
      </c>
      <c r="J15843" s="46" t="s">
        <v>125</v>
      </c>
      <c r="K15843" s="46" t="s">
        <v>126</v>
      </c>
      <c r="L15843" s="45">
        <v>46014.74166666667</v>
      </c>
      <c r="M15843" s="46" t="s">
        <v>123</v>
      </c>
      <c r="N15843" s="45">
        <v>46014.77777777778</v>
      </c>
      <c r="O15843" s="46" t="s">
        <v>123</v>
      </c>
      <c r="P15843" s="46">
        <v>3120.0</v>
      </c>
      <c r="S15843" s="46" t="s">
        <v>12024</v>
      </c>
    </row>
    <row r="15844">
      <c r="A15844" s="40">
        <f t="shared" si="1"/>
        <v>46013</v>
      </c>
      <c r="B15844" s="37" t="str">
        <f t="array" ref="B15844">iferror(xlookup($I15844, 'IMPORT VHC Report'!$E:$E, 'IMPORT VHC Report'!$A:$C), )</f>
        <v/>
      </c>
      <c r="C15844" s="44"/>
      <c r="D15844" s="44"/>
      <c r="E15844" s="46" t="s">
        <v>12025</v>
      </c>
      <c r="F15844" s="46" t="s">
        <v>4047</v>
      </c>
      <c r="G15844" s="46">
        <v>5.901988081807E12</v>
      </c>
      <c r="H15844" s="46" t="s">
        <v>4048</v>
      </c>
      <c r="I15844" s="46" t="s">
        <v>4049</v>
      </c>
      <c r="J15844" s="46" t="s">
        <v>134</v>
      </c>
      <c r="K15844" s="46" t="s">
        <v>126</v>
      </c>
      <c r="L15844" s="45">
        <v>46014.77777777778</v>
      </c>
      <c r="M15844" s="46" t="s">
        <v>123</v>
      </c>
      <c r="N15844" s="45">
        <v>46014.79861111111</v>
      </c>
      <c r="O15844" s="46" t="s">
        <v>123</v>
      </c>
      <c r="P15844" s="46">
        <v>1800.0</v>
      </c>
    </row>
    <row r="15845">
      <c r="A15845" s="40">
        <f t="shared" si="1"/>
        <v>46013</v>
      </c>
      <c r="B15845" s="37" t="str">
        <f t="array" ref="B15845">iferror(xlookup($I15845, 'IMPORT VHC Report'!$E:$E, 'IMPORT VHC Report'!$A:$C), )</f>
        <v/>
      </c>
      <c r="C15845" s="44"/>
      <c r="D15845" s="44"/>
      <c r="E15845" s="46" t="s">
        <v>12026</v>
      </c>
      <c r="F15845" s="46" t="s">
        <v>4047</v>
      </c>
      <c r="G15845" s="46">
        <v>5.901988081807E12</v>
      </c>
      <c r="H15845" s="46" t="s">
        <v>4048</v>
      </c>
      <c r="I15845" s="46" t="s">
        <v>4049</v>
      </c>
      <c r="J15845" s="46" t="s">
        <v>136</v>
      </c>
      <c r="K15845" s="46" t="s">
        <v>126</v>
      </c>
      <c r="L15845" s="45">
        <v>46014.79861111111</v>
      </c>
      <c r="M15845" s="46" t="s">
        <v>123</v>
      </c>
      <c r="N15845" s="45">
        <v>46014.805555555555</v>
      </c>
      <c r="O15845" s="46" t="s">
        <v>123</v>
      </c>
      <c r="P15845" s="46">
        <v>600.0</v>
      </c>
      <c r="S15845" s="46" t="s">
        <v>12005</v>
      </c>
    </row>
    <row r="15846">
      <c r="A15846" s="40">
        <f t="shared" si="1"/>
        <v>46013</v>
      </c>
      <c r="B15846" s="37" t="str">
        <f t="array" ref="B15846">iferror(xlookup($I15846, 'IMPORT VHC Report'!$E:$E, 'IMPORT VHC Report'!$A:$C), )</f>
        <v/>
      </c>
      <c r="C15846" s="44"/>
      <c r="D15846" s="44"/>
      <c r="E15846" s="46" t="s">
        <v>12027</v>
      </c>
      <c r="F15846" s="46" t="s">
        <v>4047</v>
      </c>
      <c r="G15846" s="46">
        <v>5.901988081807E12</v>
      </c>
      <c r="H15846" s="46" t="s">
        <v>4048</v>
      </c>
      <c r="I15846" s="46" t="s">
        <v>4049</v>
      </c>
      <c r="J15846" s="46" t="s">
        <v>332</v>
      </c>
      <c r="K15846" s="46" t="s">
        <v>63</v>
      </c>
      <c r="L15846" s="45">
        <v>46014.875</v>
      </c>
      <c r="M15846" s="46" t="s">
        <v>123</v>
      </c>
      <c r="N15846" s="45">
        <v>46014.91111111111</v>
      </c>
      <c r="O15846" s="46" t="s">
        <v>123</v>
      </c>
      <c r="P15846" s="46">
        <v>3120.0</v>
      </c>
    </row>
    <row r="15847">
      <c r="A15847" s="40">
        <f t="shared" si="1"/>
        <v>46013</v>
      </c>
      <c r="B15847" s="37" t="str">
        <f t="array" ref="B15847">iferror(xlookup($I15847, 'IMPORT VHC Report'!$E:$E, 'IMPORT VHC Report'!$A:$C), )</f>
        <v/>
      </c>
      <c r="C15847" s="44"/>
      <c r="D15847" s="44"/>
      <c r="E15847" s="46" t="s">
        <v>12028</v>
      </c>
      <c r="F15847" s="46" t="s">
        <v>4047</v>
      </c>
      <c r="G15847" s="46">
        <v>5.901988081807E12</v>
      </c>
      <c r="H15847" s="46" t="s">
        <v>4048</v>
      </c>
      <c r="I15847" s="46" t="s">
        <v>4049</v>
      </c>
      <c r="J15847" s="46" t="s">
        <v>330</v>
      </c>
      <c r="K15847" s="46" t="s">
        <v>126</v>
      </c>
      <c r="L15847" s="45">
        <v>46017.5</v>
      </c>
      <c r="M15847" s="46" t="s">
        <v>123</v>
      </c>
      <c r="N15847" s="45">
        <v>46017.506944444445</v>
      </c>
      <c r="O15847" s="46" t="s">
        <v>123</v>
      </c>
      <c r="P15847" s="46">
        <v>600.0</v>
      </c>
    </row>
    <row r="15848">
      <c r="A15848" s="40">
        <f t="shared" si="1"/>
        <v>46013</v>
      </c>
      <c r="B15848" s="37" t="str">
        <f t="array" ref="B15848">iferror(xlookup($I15848, 'IMPORT VHC Report'!$E:$E, 'IMPORT VHC Report'!$A:$C), )</f>
        <v/>
      </c>
      <c r="C15848" s="44"/>
      <c r="D15848" s="44"/>
      <c r="E15848" s="46" t="s">
        <v>12029</v>
      </c>
      <c r="F15848" s="46" t="s">
        <v>4047</v>
      </c>
      <c r="G15848" s="46">
        <v>5.901988081807E12</v>
      </c>
      <c r="H15848" s="46" t="s">
        <v>4048</v>
      </c>
      <c r="I15848" s="46" t="s">
        <v>4049</v>
      </c>
      <c r="J15848" s="46" t="s">
        <v>332</v>
      </c>
      <c r="K15848" s="46" t="s">
        <v>63</v>
      </c>
      <c r="L15848" s="45">
        <v>46017.5</v>
      </c>
      <c r="M15848" s="46" t="s">
        <v>123</v>
      </c>
      <c r="N15848" s="45">
        <v>46017.875</v>
      </c>
      <c r="O15848" s="46" t="s">
        <v>123</v>
      </c>
      <c r="P15848" s="46">
        <v>32400.0</v>
      </c>
    </row>
    <row r="15849">
      <c r="A15849" s="40">
        <f t="shared" si="1"/>
        <v>46013</v>
      </c>
      <c r="B15849" s="37" t="str">
        <f t="array" ref="B15849">iferror(xlookup($I15849, 'IMPORT VHC Report'!$E:$E, 'IMPORT VHC Report'!$A:$C), )</f>
        <v/>
      </c>
      <c r="C15849" s="44"/>
      <c r="D15849" s="44"/>
      <c r="E15849" s="46" t="s">
        <v>12030</v>
      </c>
      <c r="F15849" s="46" t="s">
        <v>4047</v>
      </c>
      <c r="G15849" s="46">
        <v>5.901988081807E12</v>
      </c>
      <c r="H15849" s="46" t="s">
        <v>4048</v>
      </c>
      <c r="I15849" s="46" t="s">
        <v>4049</v>
      </c>
      <c r="J15849" s="46" t="s">
        <v>134</v>
      </c>
      <c r="K15849" s="46" t="s">
        <v>126</v>
      </c>
      <c r="L15849" s="45">
        <v>46017.604166666664</v>
      </c>
      <c r="M15849" s="46" t="s">
        <v>123</v>
      </c>
      <c r="N15849" s="45">
        <v>46017.625</v>
      </c>
      <c r="O15849" s="46" t="s">
        <v>123</v>
      </c>
      <c r="P15849" s="46">
        <v>1800.0</v>
      </c>
    </row>
    <row r="15850">
      <c r="A15850" s="40">
        <f t="shared" si="1"/>
        <v>46013</v>
      </c>
      <c r="B15850" s="37" t="str">
        <f t="array" ref="B15850">iferror(xlookup($I15850, 'IMPORT VHC Report'!$E:$E, 'IMPORT VHC Report'!$A:$C), )</f>
        <v/>
      </c>
      <c r="C15850" s="44"/>
      <c r="D15850" s="44"/>
      <c r="E15850" s="46" t="s">
        <v>12031</v>
      </c>
      <c r="F15850" s="46" t="s">
        <v>4047</v>
      </c>
      <c r="G15850" s="46">
        <v>5.901988081807E12</v>
      </c>
      <c r="H15850" s="46" t="s">
        <v>4048</v>
      </c>
      <c r="I15850" s="46" t="s">
        <v>4049</v>
      </c>
      <c r="J15850" s="46" t="s">
        <v>136</v>
      </c>
      <c r="K15850" s="46" t="s">
        <v>126</v>
      </c>
      <c r="L15850" s="45">
        <v>46017.666666666664</v>
      </c>
      <c r="M15850" s="46" t="s">
        <v>123</v>
      </c>
      <c r="N15850" s="45">
        <v>46017.71527777778</v>
      </c>
      <c r="O15850" s="46" t="s">
        <v>123</v>
      </c>
      <c r="P15850" s="46">
        <v>4200.0</v>
      </c>
      <c r="S15850" s="46" t="s">
        <v>137</v>
      </c>
    </row>
    <row r="15851">
      <c r="A15851" s="40">
        <f t="shared" si="1"/>
        <v>46013</v>
      </c>
      <c r="B15851" s="37" t="str">
        <f t="array" ref="B15851">iferror(xlookup($I15851, 'IMPORT VHC Report'!$E:$E, 'IMPORT VHC Report'!$A:$C), )</f>
        <v/>
      </c>
      <c r="C15851" s="44"/>
      <c r="D15851" s="44"/>
      <c r="E15851" s="46" t="s">
        <v>12032</v>
      </c>
      <c r="F15851" s="46" t="s">
        <v>4047</v>
      </c>
      <c r="G15851" s="46">
        <v>5.901988081807E12</v>
      </c>
      <c r="H15851" s="46" t="s">
        <v>4048</v>
      </c>
      <c r="I15851" s="46" t="s">
        <v>4049</v>
      </c>
      <c r="J15851" s="46" t="s">
        <v>132</v>
      </c>
      <c r="K15851" s="46" t="s">
        <v>126</v>
      </c>
      <c r="L15851" s="45">
        <v>46017.75</v>
      </c>
      <c r="M15851" s="46" t="s">
        <v>123</v>
      </c>
      <c r="N15851" s="45">
        <v>46017.791666666664</v>
      </c>
      <c r="O15851" s="46" t="s">
        <v>123</v>
      </c>
      <c r="P15851" s="46">
        <v>3600.0</v>
      </c>
    </row>
    <row r="15852">
      <c r="A15852" s="40">
        <f t="shared" si="1"/>
        <v>46013</v>
      </c>
      <c r="B15852" s="37" t="str">
        <f t="array" ref="B15852">iferror(xlookup($I15852, 'IMPORT VHC Report'!$E:$E, 'IMPORT VHC Report'!$A:$C), )</f>
        <v/>
      </c>
      <c r="C15852" s="44"/>
      <c r="D15852" s="44"/>
      <c r="E15852" s="46" t="s">
        <v>12033</v>
      </c>
      <c r="F15852" s="46" t="s">
        <v>4047</v>
      </c>
      <c r="G15852" s="46">
        <v>5.901988081807E12</v>
      </c>
      <c r="H15852" s="46" t="s">
        <v>4048</v>
      </c>
      <c r="I15852" s="46" t="s">
        <v>4049</v>
      </c>
      <c r="J15852" s="46" t="s">
        <v>330</v>
      </c>
      <c r="K15852" s="46" t="s">
        <v>126</v>
      </c>
      <c r="L15852" s="45">
        <v>46018.5</v>
      </c>
      <c r="M15852" s="46" t="s">
        <v>123</v>
      </c>
      <c r="N15852" s="45">
        <v>46018.506944444445</v>
      </c>
      <c r="O15852" s="46" t="s">
        <v>123</v>
      </c>
      <c r="P15852" s="46">
        <v>600.0</v>
      </c>
    </row>
    <row r="15853">
      <c r="A15853" s="40">
        <f t="shared" si="1"/>
        <v>46013</v>
      </c>
      <c r="B15853" s="37" t="str">
        <f t="array" ref="B15853">iferror(xlookup($I15853, 'IMPORT VHC Report'!$E:$E, 'IMPORT VHC Report'!$A:$C), )</f>
        <v/>
      </c>
      <c r="C15853" s="44"/>
      <c r="D15853" s="44"/>
      <c r="E15853" s="46" t="s">
        <v>12034</v>
      </c>
      <c r="F15853" s="46" t="s">
        <v>4047</v>
      </c>
      <c r="G15853" s="46">
        <v>5.901988081807E12</v>
      </c>
      <c r="H15853" s="46" t="s">
        <v>4048</v>
      </c>
      <c r="I15853" s="46" t="s">
        <v>4049</v>
      </c>
      <c r="J15853" s="46" t="s">
        <v>332</v>
      </c>
      <c r="K15853" s="46" t="s">
        <v>63</v>
      </c>
      <c r="L15853" s="45">
        <v>46018.5</v>
      </c>
      <c r="M15853" s="46" t="s">
        <v>123</v>
      </c>
      <c r="N15853" s="45">
        <v>46018.875</v>
      </c>
      <c r="O15853" s="46" t="s">
        <v>123</v>
      </c>
      <c r="P15853" s="46">
        <v>32400.0</v>
      </c>
    </row>
    <row r="15854">
      <c r="A15854" s="40">
        <f t="shared" si="1"/>
        <v>46013</v>
      </c>
      <c r="B15854" s="37" t="str">
        <f t="array" ref="B15854">iferror(xlookup($I15854, 'IMPORT VHC Report'!$E:$E, 'IMPORT VHC Report'!$A:$C), )</f>
        <v/>
      </c>
      <c r="C15854" s="44"/>
      <c r="D15854" s="44"/>
      <c r="E15854" s="46" t="s">
        <v>12035</v>
      </c>
      <c r="F15854" s="46" t="s">
        <v>4047</v>
      </c>
      <c r="G15854" s="46">
        <v>5.901988081807E12</v>
      </c>
      <c r="H15854" s="46" t="s">
        <v>4048</v>
      </c>
      <c r="I15854" s="46" t="s">
        <v>4049</v>
      </c>
      <c r="J15854" s="46" t="s">
        <v>132</v>
      </c>
      <c r="K15854" s="46" t="s">
        <v>126</v>
      </c>
      <c r="L15854" s="45">
        <v>46018.618055555555</v>
      </c>
      <c r="M15854" s="46" t="s">
        <v>123</v>
      </c>
      <c r="N15854" s="45">
        <v>46018.65972222222</v>
      </c>
      <c r="O15854" s="46" t="s">
        <v>123</v>
      </c>
      <c r="P15854" s="46">
        <v>3600.0</v>
      </c>
    </row>
    <row r="15855">
      <c r="A15855" s="40">
        <f t="shared" si="1"/>
        <v>46013</v>
      </c>
      <c r="B15855" s="37" t="str">
        <f t="array" ref="B15855">iferror(xlookup($I15855, 'IMPORT VHC Report'!$E:$E, 'IMPORT VHC Report'!$A:$C), )</f>
        <v/>
      </c>
      <c r="C15855" s="44"/>
      <c r="D15855" s="44"/>
      <c r="E15855" s="46" t="s">
        <v>12036</v>
      </c>
      <c r="F15855" s="46" t="s">
        <v>4047</v>
      </c>
      <c r="G15855" s="46">
        <v>5.901988081807E12</v>
      </c>
      <c r="H15855" s="46" t="s">
        <v>4048</v>
      </c>
      <c r="I15855" s="46" t="s">
        <v>4049</v>
      </c>
      <c r="J15855" s="46" t="s">
        <v>4</v>
      </c>
      <c r="K15855" s="46" t="s">
        <v>126</v>
      </c>
      <c r="L15855" s="45">
        <v>46018.71875</v>
      </c>
      <c r="M15855" s="46" t="s">
        <v>123</v>
      </c>
      <c r="N15855" s="45">
        <v>46018.729166666664</v>
      </c>
      <c r="O15855" s="46" t="s">
        <v>123</v>
      </c>
      <c r="P15855" s="46">
        <v>900.0</v>
      </c>
      <c r="S15855" s="46" t="s">
        <v>12007</v>
      </c>
    </row>
    <row r="15856">
      <c r="A15856" s="40">
        <f t="shared" si="1"/>
        <v>46013</v>
      </c>
      <c r="B15856" s="37" t="str">
        <f t="array" ref="B15856">iferror(xlookup($I15856, 'IMPORT VHC Report'!$E:$E, 'IMPORT VHC Report'!$A:$C), )</f>
        <v/>
      </c>
      <c r="C15856" s="44"/>
      <c r="D15856" s="44"/>
      <c r="E15856" s="46" t="s">
        <v>12037</v>
      </c>
      <c r="F15856" s="46" t="s">
        <v>4047</v>
      </c>
      <c r="G15856" s="46">
        <v>5.901988081807E12</v>
      </c>
      <c r="H15856" s="46" t="s">
        <v>4048</v>
      </c>
      <c r="I15856" s="46" t="s">
        <v>4049</v>
      </c>
      <c r="J15856" s="46" t="s">
        <v>134</v>
      </c>
      <c r="K15856" s="46" t="s">
        <v>126</v>
      </c>
      <c r="L15856" s="45">
        <v>46018.729166666664</v>
      </c>
      <c r="M15856" s="46" t="s">
        <v>123</v>
      </c>
      <c r="N15856" s="45">
        <v>46018.75</v>
      </c>
      <c r="O15856" s="46" t="s">
        <v>123</v>
      </c>
      <c r="P15856" s="46">
        <v>1800.0</v>
      </c>
    </row>
    <row r="15857">
      <c r="A15857" s="40">
        <f t="shared" si="1"/>
        <v>46013</v>
      </c>
      <c r="B15857" s="37" t="str">
        <f t="array" ref="B15857">iferror(xlookup($I15857, 'IMPORT VHC Report'!$E:$E, 'IMPORT VHC Report'!$A:$C), )</f>
        <v/>
      </c>
      <c r="C15857" s="44"/>
      <c r="D15857" s="44"/>
      <c r="E15857" s="46" t="s">
        <v>12038</v>
      </c>
      <c r="F15857" s="46" t="s">
        <v>4047</v>
      </c>
      <c r="G15857" s="46">
        <v>5.901988081807E12</v>
      </c>
      <c r="H15857" s="46" t="s">
        <v>4048</v>
      </c>
      <c r="I15857" s="46" t="s">
        <v>4049</v>
      </c>
      <c r="J15857" s="46" t="s">
        <v>330</v>
      </c>
      <c r="K15857" s="46" t="s">
        <v>126</v>
      </c>
      <c r="L15857" s="45">
        <v>46019.5</v>
      </c>
      <c r="M15857" s="46" t="s">
        <v>123</v>
      </c>
      <c r="N15857" s="45">
        <v>46019.506944444445</v>
      </c>
      <c r="O15857" s="46" t="s">
        <v>123</v>
      </c>
      <c r="P15857" s="46">
        <v>600.0</v>
      </c>
    </row>
    <row r="15858">
      <c r="A15858" s="40">
        <f t="shared" si="1"/>
        <v>46013</v>
      </c>
      <c r="B15858" s="37" t="str">
        <f t="array" ref="B15858">iferror(xlookup($I15858, 'IMPORT VHC Report'!$E:$E, 'IMPORT VHC Report'!$A:$C), )</f>
        <v/>
      </c>
      <c r="C15858" s="44"/>
      <c r="D15858" s="44"/>
      <c r="E15858" s="46" t="s">
        <v>12039</v>
      </c>
      <c r="F15858" s="46" t="s">
        <v>4047</v>
      </c>
      <c r="G15858" s="46">
        <v>5.901988081807E12</v>
      </c>
      <c r="H15858" s="46" t="s">
        <v>4048</v>
      </c>
      <c r="I15858" s="46" t="s">
        <v>4049</v>
      </c>
      <c r="J15858" s="46" t="s">
        <v>332</v>
      </c>
      <c r="K15858" s="46" t="s">
        <v>63</v>
      </c>
      <c r="L15858" s="45">
        <v>46019.5</v>
      </c>
      <c r="M15858" s="46" t="s">
        <v>123</v>
      </c>
      <c r="N15858" s="45">
        <v>46019.875</v>
      </c>
      <c r="O15858" s="46" t="s">
        <v>123</v>
      </c>
      <c r="P15858" s="46">
        <v>32400.0</v>
      </c>
    </row>
    <row r="15859">
      <c r="A15859" s="40">
        <f t="shared" si="1"/>
        <v>46013</v>
      </c>
      <c r="B15859" s="37" t="str">
        <f t="array" ref="B15859">iferror(xlookup($I15859, 'IMPORT VHC Report'!$E:$E, 'IMPORT VHC Report'!$A:$C), )</f>
        <v/>
      </c>
      <c r="C15859" s="44"/>
      <c r="D15859" s="44"/>
      <c r="E15859" s="46" t="s">
        <v>12040</v>
      </c>
      <c r="F15859" s="46" t="s">
        <v>4047</v>
      </c>
      <c r="G15859" s="46">
        <v>5.901988081807E12</v>
      </c>
      <c r="H15859" s="46" t="s">
        <v>4048</v>
      </c>
      <c r="I15859" s="46" t="s">
        <v>4049</v>
      </c>
      <c r="J15859" s="46" t="s">
        <v>132</v>
      </c>
      <c r="K15859" s="46" t="s">
        <v>126</v>
      </c>
      <c r="L15859" s="45">
        <v>46019.625</v>
      </c>
      <c r="M15859" s="46" t="s">
        <v>123</v>
      </c>
      <c r="N15859" s="45">
        <v>46019.666666666664</v>
      </c>
      <c r="O15859" s="46" t="s">
        <v>123</v>
      </c>
      <c r="P15859" s="46">
        <v>3600.0</v>
      </c>
    </row>
    <row r="15860">
      <c r="A15860" s="40">
        <f t="shared" si="1"/>
        <v>46013</v>
      </c>
      <c r="B15860" s="37" t="str">
        <f t="array" ref="B15860">iferror(xlookup($I15860, 'IMPORT VHC Report'!$E:$E, 'IMPORT VHC Report'!$A:$C), )</f>
        <v/>
      </c>
      <c r="C15860" s="44"/>
      <c r="D15860" s="44"/>
      <c r="E15860" s="46" t="s">
        <v>12041</v>
      </c>
      <c r="F15860" s="46" t="s">
        <v>4047</v>
      </c>
      <c r="G15860" s="46">
        <v>5.901988081807E12</v>
      </c>
      <c r="H15860" s="46" t="s">
        <v>4048</v>
      </c>
      <c r="I15860" s="46" t="s">
        <v>4049</v>
      </c>
      <c r="J15860" s="46" t="s">
        <v>134</v>
      </c>
      <c r="K15860" s="46" t="s">
        <v>126</v>
      </c>
      <c r="L15860" s="45">
        <v>46019.75</v>
      </c>
      <c r="M15860" s="46" t="s">
        <v>123</v>
      </c>
      <c r="N15860" s="45">
        <v>46019.770833333336</v>
      </c>
      <c r="O15860" s="46" t="s">
        <v>123</v>
      </c>
      <c r="P15860" s="46">
        <v>1800.0</v>
      </c>
    </row>
    <row r="15861">
      <c r="A15861" s="40">
        <f t="shared" si="1"/>
        <v>46013</v>
      </c>
      <c r="B15861" s="37" t="str">
        <f t="array" ref="B15861">iferror(xlookup($I15861, 'IMPORT VHC Report'!$E:$E, 'IMPORT VHC Report'!$A:$C), )</f>
        <v/>
      </c>
      <c r="C15861" s="44"/>
      <c r="D15861" s="44"/>
      <c r="E15861" s="46" t="s">
        <v>12042</v>
      </c>
      <c r="F15861" s="46" t="s">
        <v>4295</v>
      </c>
      <c r="G15861" s="46">
        <v>1.0548609842831E13</v>
      </c>
      <c r="H15861" s="46" t="s">
        <v>4296</v>
      </c>
      <c r="I15861" s="46" t="s">
        <v>4297</v>
      </c>
      <c r="J15861" s="46" t="s">
        <v>330</v>
      </c>
      <c r="K15861" s="46" t="s">
        <v>126</v>
      </c>
      <c r="L15861" s="45">
        <v>46013.583333333336</v>
      </c>
      <c r="M15861" s="46" t="s">
        <v>123</v>
      </c>
      <c r="N15861" s="45">
        <v>46013.59027777778</v>
      </c>
      <c r="O15861" s="46" t="s">
        <v>123</v>
      </c>
      <c r="P15861" s="46">
        <v>600.0</v>
      </c>
    </row>
    <row r="15862">
      <c r="A15862" s="40">
        <f t="shared" si="1"/>
        <v>46013</v>
      </c>
      <c r="B15862" s="37" t="str">
        <f t="array" ref="B15862">iferror(xlookup($I15862, 'IMPORT VHC Report'!$E:$E, 'IMPORT VHC Report'!$A:$C), )</f>
        <v/>
      </c>
      <c r="C15862" s="44"/>
      <c r="D15862" s="44"/>
      <c r="E15862" s="46" t="s">
        <v>12043</v>
      </c>
      <c r="F15862" s="46" t="s">
        <v>4295</v>
      </c>
      <c r="G15862" s="46">
        <v>1.0548609842831E13</v>
      </c>
      <c r="H15862" s="46" t="s">
        <v>4296</v>
      </c>
      <c r="I15862" s="46" t="s">
        <v>4297</v>
      </c>
      <c r="J15862" s="46" t="s">
        <v>332</v>
      </c>
      <c r="K15862" s="46" t="s">
        <v>63</v>
      </c>
      <c r="L15862" s="45">
        <v>46013.583333333336</v>
      </c>
      <c r="M15862" s="46" t="s">
        <v>123</v>
      </c>
      <c r="N15862" s="45">
        <v>46013.958333333336</v>
      </c>
      <c r="O15862" s="46" t="s">
        <v>123</v>
      </c>
      <c r="P15862" s="46">
        <v>32400.0</v>
      </c>
    </row>
    <row r="15863">
      <c r="A15863" s="40">
        <f t="shared" si="1"/>
        <v>46013</v>
      </c>
      <c r="B15863" s="37" t="str">
        <f t="array" ref="B15863">iferror(xlookup($I15863, 'IMPORT VHC Report'!$E:$E, 'IMPORT VHC Report'!$A:$C), )</f>
        <v/>
      </c>
      <c r="C15863" s="44"/>
      <c r="D15863" s="44"/>
      <c r="E15863" s="46" t="s">
        <v>12044</v>
      </c>
      <c r="F15863" s="46" t="s">
        <v>4295</v>
      </c>
      <c r="G15863" s="46">
        <v>1.0548609842831E13</v>
      </c>
      <c r="H15863" s="46" t="s">
        <v>4296</v>
      </c>
      <c r="I15863" s="46" t="s">
        <v>4297</v>
      </c>
      <c r="J15863" s="46" t="s">
        <v>132</v>
      </c>
      <c r="K15863" s="46" t="s">
        <v>126</v>
      </c>
      <c r="L15863" s="45">
        <v>46013.6875</v>
      </c>
      <c r="M15863" s="46" t="s">
        <v>123</v>
      </c>
      <c r="N15863" s="45">
        <v>46013.729166666664</v>
      </c>
      <c r="O15863" s="46" t="s">
        <v>123</v>
      </c>
      <c r="P15863" s="46">
        <v>3600.0</v>
      </c>
    </row>
    <row r="15864">
      <c r="A15864" s="40">
        <f t="shared" si="1"/>
        <v>46013</v>
      </c>
      <c r="B15864" s="37" t="str">
        <f t="array" ref="B15864">iferror(xlookup($I15864, 'IMPORT VHC Report'!$E:$E, 'IMPORT VHC Report'!$A:$C), )</f>
        <v/>
      </c>
      <c r="C15864" s="44"/>
      <c r="D15864" s="44"/>
      <c r="E15864" s="46" t="s">
        <v>12045</v>
      </c>
      <c r="F15864" s="46" t="s">
        <v>4295</v>
      </c>
      <c r="G15864" s="46">
        <v>1.0548609842831E13</v>
      </c>
      <c r="H15864" s="46" t="s">
        <v>4296</v>
      </c>
      <c r="I15864" s="46" t="s">
        <v>4297</v>
      </c>
      <c r="J15864" s="46" t="s">
        <v>134</v>
      </c>
      <c r="K15864" s="46" t="s">
        <v>126</v>
      </c>
      <c r="L15864" s="45">
        <v>46013.854166666664</v>
      </c>
      <c r="M15864" s="46" t="s">
        <v>123</v>
      </c>
      <c r="N15864" s="45">
        <v>46013.875</v>
      </c>
      <c r="O15864" s="46" t="s">
        <v>123</v>
      </c>
      <c r="P15864" s="46">
        <v>1800.0</v>
      </c>
    </row>
    <row r="15865">
      <c r="A15865" s="40">
        <f t="shared" si="1"/>
        <v>46013</v>
      </c>
      <c r="B15865" s="37" t="str">
        <f t="array" ref="B15865">iferror(xlookup($I15865, 'IMPORT VHC Report'!$E:$E, 'IMPORT VHC Report'!$A:$C), )</f>
        <v/>
      </c>
      <c r="C15865" s="44"/>
      <c r="D15865" s="44"/>
      <c r="E15865" s="46" t="s">
        <v>12046</v>
      </c>
      <c r="F15865" s="46" t="s">
        <v>4295</v>
      </c>
      <c r="G15865" s="46">
        <v>1.0548609842831E13</v>
      </c>
      <c r="H15865" s="46" t="s">
        <v>4296</v>
      </c>
      <c r="I15865" s="46" t="s">
        <v>4297</v>
      </c>
      <c r="J15865" s="46" t="s">
        <v>330</v>
      </c>
      <c r="K15865" s="46" t="s">
        <v>126</v>
      </c>
      <c r="L15865" s="45">
        <v>46016.583333333336</v>
      </c>
      <c r="M15865" s="46" t="s">
        <v>123</v>
      </c>
      <c r="N15865" s="45">
        <v>46016.59027777778</v>
      </c>
      <c r="O15865" s="46" t="s">
        <v>123</v>
      </c>
      <c r="P15865" s="46">
        <v>600.0</v>
      </c>
    </row>
    <row r="15866">
      <c r="A15866" s="40">
        <f t="shared" si="1"/>
        <v>46013</v>
      </c>
      <c r="B15866" s="37" t="str">
        <f t="array" ref="B15866">iferror(xlookup($I15866, 'IMPORT VHC Report'!$E:$E, 'IMPORT VHC Report'!$A:$C), )</f>
        <v/>
      </c>
      <c r="C15866" s="44"/>
      <c r="D15866" s="44"/>
      <c r="E15866" s="46" t="s">
        <v>12047</v>
      </c>
      <c r="F15866" s="46" t="s">
        <v>4295</v>
      </c>
      <c r="G15866" s="46">
        <v>1.0548609842831E13</v>
      </c>
      <c r="H15866" s="46" t="s">
        <v>4296</v>
      </c>
      <c r="I15866" s="46" t="s">
        <v>4297</v>
      </c>
      <c r="J15866" s="46" t="s">
        <v>332</v>
      </c>
      <c r="K15866" s="46" t="s">
        <v>63</v>
      </c>
      <c r="L15866" s="45">
        <v>46016.583333333336</v>
      </c>
      <c r="M15866" s="46" t="s">
        <v>123</v>
      </c>
      <c r="N15866" s="45">
        <v>46016.958333333336</v>
      </c>
      <c r="O15866" s="46" t="s">
        <v>123</v>
      </c>
      <c r="P15866" s="46">
        <v>32400.0</v>
      </c>
    </row>
    <row r="15867">
      <c r="A15867" s="40">
        <f t="shared" si="1"/>
        <v>46013</v>
      </c>
      <c r="B15867" s="37" t="str">
        <f t="array" ref="B15867">iferror(xlookup($I15867, 'IMPORT VHC Report'!$E:$E, 'IMPORT VHC Report'!$A:$C), )</f>
        <v/>
      </c>
      <c r="C15867" s="44"/>
      <c r="D15867" s="44"/>
      <c r="E15867" s="46" t="s">
        <v>12048</v>
      </c>
      <c r="F15867" s="46" t="s">
        <v>4295</v>
      </c>
      <c r="G15867" s="46">
        <v>1.0548609842831E13</v>
      </c>
      <c r="H15867" s="46" t="s">
        <v>4296</v>
      </c>
      <c r="I15867" s="46" t="s">
        <v>4297</v>
      </c>
      <c r="J15867" s="46" t="s">
        <v>178</v>
      </c>
      <c r="K15867" s="46" t="s">
        <v>153</v>
      </c>
      <c r="L15867" s="45">
        <v>46016.583333333336</v>
      </c>
      <c r="M15867" s="46" t="s">
        <v>123</v>
      </c>
      <c r="N15867" s="45">
        <v>46016.958333333336</v>
      </c>
      <c r="O15867" s="46" t="s">
        <v>123</v>
      </c>
      <c r="P15867" s="46">
        <v>32400.0</v>
      </c>
      <c r="Q15867" s="46">
        <v>28800.0</v>
      </c>
    </row>
    <row r="15868">
      <c r="A15868" s="40">
        <f t="shared" si="1"/>
        <v>46013</v>
      </c>
      <c r="B15868" s="37" t="str">
        <f t="array" ref="B15868">iferror(xlookup($I15868, 'IMPORT VHC Report'!$E:$E, 'IMPORT VHC Report'!$A:$C), )</f>
        <v/>
      </c>
      <c r="C15868" s="44"/>
      <c r="D15868" s="44"/>
      <c r="E15868" s="46" t="s">
        <v>12049</v>
      </c>
      <c r="F15868" s="46" t="s">
        <v>4295</v>
      </c>
      <c r="G15868" s="46">
        <v>1.0548609842831E13</v>
      </c>
      <c r="H15868" s="46" t="s">
        <v>4296</v>
      </c>
      <c r="I15868" s="46" t="s">
        <v>4297</v>
      </c>
      <c r="J15868" s="46" t="s">
        <v>132</v>
      </c>
      <c r="K15868" s="46" t="s">
        <v>126</v>
      </c>
      <c r="L15868" s="45">
        <v>46016.71875</v>
      </c>
      <c r="M15868" s="46" t="s">
        <v>123</v>
      </c>
      <c r="N15868" s="45">
        <v>46016.760416666664</v>
      </c>
      <c r="O15868" s="46" t="s">
        <v>123</v>
      </c>
      <c r="P15868" s="46">
        <v>3600.0</v>
      </c>
    </row>
    <row r="15869">
      <c r="A15869" s="40">
        <f t="shared" si="1"/>
        <v>46013</v>
      </c>
      <c r="B15869" s="37" t="str">
        <f t="array" ref="B15869">iferror(xlookup($I15869, 'IMPORT VHC Report'!$E:$E, 'IMPORT VHC Report'!$A:$C), )</f>
        <v/>
      </c>
      <c r="C15869" s="44"/>
      <c r="D15869" s="44"/>
      <c r="E15869" s="46" t="s">
        <v>12050</v>
      </c>
      <c r="F15869" s="46" t="s">
        <v>4295</v>
      </c>
      <c r="G15869" s="46">
        <v>1.0548609842831E13</v>
      </c>
      <c r="H15869" s="46" t="s">
        <v>4296</v>
      </c>
      <c r="I15869" s="46" t="s">
        <v>4297</v>
      </c>
      <c r="J15869" s="46" t="s">
        <v>134</v>
      </c>
      <c r="K15869" s="46" t="s">
        <v>126</v>
      </c>
      <c r="L15869" s="45">
        <v>46016.84375</v>
      </c>
      <c r="M15869" s="46" t="s">
        <v>123</v>
      </c>
      <c r="N15869" s="45">
        <v>46016.864583333336</v>
      </c>
      <c r="O15869" s="46" t="s">
        <v>123</v>
      </c>
      <c r="P15869" s="46">
        <v>1800.0</v>
      </c>
    </row>
    <row r="15870">
      <c r="A15870" s="40">
        <f t="shared" si="1"/>
        <v>46013</v>
      </c>
      <c r="B15870" s="37" t="str">
        <f t="array" ref="B15870">iferror(xlookup($I15870, 'IMPORT VHC Report'!$E:$E, 'IMPORT VHC Report'!$A:$C), )</f>
        <v/>
      </c>
      <c r="C15870" s="44"/>
      <c r="D15870" s="44"/>
      <c r="E15870" s="46" t="s">
        <v>12051</v>
      </c>
      <c r="F15870" s="46" t="s">
        <v>4295</v>
      </c>
      <c r="G15870" s="46">
        <v>1.0548609842831E13</v>
      </c>
      <c r="H15870" s="46" t="s">
        <v>4296</v>
      </c>
      <c r="I15870" s="46" t="s">
        <v>4297</v>
      </c>
      <c r="J15870" s="46" t="s">
        <v>330</v>
      </c>
      <c r="K15870" s="46" t="s">
        <v>126</v>
      </c>
      <c r="L15870" s="45">
        <v>46017.583333333336</v>
      </c>
      <c r="M15870" s="46" t="s">
        <v>123</v>
      </c>
      <c r="N15870" s="45">
        <v>46017.59027777778</v>
      </c>
      <c r="O15870" s="46" t="s">
        <v>123</v>
      </c>
      <c r="P15870" s="46">
        <v>600.0</v>
      </c>
    </row>
    <row r="15871">
      <c r="A15871" s="40">
        <f t="shared" si="1"/>
        <v>46013</v>
      </c>
      <c r="B15871" s="37" t="str">
        <f t="array" ref="B15871">iferror(xlookup($I15871, 'IMPORT VHC Report'!$E:$E, 'IMPORT VHC Report'!$A:$C), )</f>
        <v/>
      </c>
      <c r="C15871" s="44"/>
      <c r="D15871" s="44"/>
      <c r="E15871" s="46" t="s">
        <v>12052</v>
      </c>
      <c r="F15871" s="46" t="s">
        <v>4295</v>
      </c>
      <c r="G15871" s="46">
        <v>1.0548609842831E13</v>
      </c>
      <c r="H15871" s="46" t="s">
        <v>4296</v>
      </c>
      <c r="I15871" s="46" t="s">
        <v>4297</v>
      </c>
      <c r="J15871" s="46" t="s">
        <v>178</v>
      </c>
      <c r="K15871" s="46" t="s">
        <v>153</v>
      </c>
      <c r="L15871" s="45">
        <v>46017.583333333336</v>
      </c>
      <c r="M15871" s="46" t="s">
        <v>123</v>
      </c>
      <c r="N15871" s="45">
        <v>46017.958333333336</v>
      </c>
      <c r="O15871" s="46" t="s">
        <v>123</v>
      </c>
      <c r="P15871" s="46">
        <v>32400.0</v>
      </c>
      <c r="Q15871" s="46">
        <v>28800.0</v>
      </c>
    </row>
    <row r="15872">
      <c r="A15872" s="40">
        <f t="shared" si="1"/>
        <v>46013</v>
      </c>
      <c r="B15872" s="37" t="str">
        <f t="array" ref="B15872">iferror(xlookup($I15872, 'IMPORT VHC Report'!$E:$E, 'IMPORT VHC Report'!$A:$C), )</f>
        <v/>
      </c>
      <c r="C15872" s="44"/>
      <c r="D15872" s="44"/>
      <c r="E15872" s="46" t="s">
        <v>12053</v>
      </c>
      <c r="F15872" s="46" t="s">
        <v>4295</v>
      </c>
      <c r="G15872" s="46">
        <v>1.0548609842831E13</v>
      </c>
      <c r="H15872" s="46" t="s">
        <v>4296</v>
      </c>
      <c r="I15872" s="46" t="s">
        <v>4297</v>
      </c>
      <c r="J15872" s="46" t="s">
        <v>332</v>
      </c>
      <c r="K15872" s="46" t="s">
        <v>63</v>
      </c>
      <c r="L15872" s="45">
        <v>46017.583333333336</v>
      </c>
      <c r="M15872" s="46" t="s">
        <v>123</v>
      </c>
      <c r="N15872" s="45">
        <v>46017.958333333336</v>
      </c>
      <c r="O15872" s="46" t="s">
        <v>123</v>
      </c>
      <c r="P15872" s="46">
        <v>32400.0</v>
      </c>
    </row>
    <row r="15873">
      <c r="A15873" s="40">
        <f t="shared" si="1"/>
        <v>46013</v>
      </c>
      <c r="B15873" s="37" t="str">
        <f t="array" ref="B15873">iferror(xlookup($I15873, 'IMPORT VHC Report'!$E:$E, 'IMPORT VHC Report'!$A:$C), )</f>
        <v/>
      </c>
      <c r="C15873" s="44"/>
      <c r="D15873" s="44"/>
      <c r="E15873" s="46" t="s">
        <v>12054</v>
      </c>
      <c r="F15873" s="46" t="s">
        <v>4295</v>
      </c>
      <c r="G15873" s="46">
        <v>1.0548609842831E13</v>
      </c>
      <c r="H15873" s="46" t="s">
        <v>4296</v>
      </c>
      <c r="I15873" s="46" t="s">
        <v>4297</v>
      </c>
      <c r="J15873" s="46" t="s">
        <v>134</v>
      </c>
      <c r="K15873" s="46" t="s">
        <v>126</v>
      </c>
      <c r="L15873" s="45">
        <v>46017.645833333336</v>
      </c>
      <c r="M15873" s="46" t="s">
        <v>123</v>
      </c>
      <c r="N15873" s="45">
        <v>46017.666666666664</v>
      </c>
      <c r="O15873" s="46" t="s">
        <v>123</v>
      </c>
      <c r="P15873" s="46">
        <v>1800.0</v>
      </c>
    </row>
    <row r="15874">
      <c r="A15874" s="40">
        <f t="shared" si="1"/>
        <v>46013</v>
      </c>
      <c r="B15874" s="37" t="str">
        <f t="array" ref="B15874">iferror(xlookup($I15874, 'IMPORT VHC Report'!$E:$E, 'IMPORT VHC Report'!$A:$C), )</f>
        <v/>
      </c>
      <c r="C15874" s="44"/>
      <c r="D15874" s="44"/>
      <c r="E15874" s="46" t="s">
        <v>12055</v>
      </c>
      <c r="F15874" s="46" t="s">
        <v>4295</v>
      </c>
      <c r="G15874" s="46">
        <v>1.0548609842831E13</v>
      </c>
      <c r="H15874" s="46" t="s">
        <v>4296</v>
      </c>
      <c r="I15874" s="46" t="s">
        <v>4297</v>
      </c>
      <c r="J15874" s="46" t="s">
        <v>136</v>
      </c>
      <c r="K15874" s="46" t="s">
        <v>126</v>
      </c>
      <c r="L15874" s="45">
        <v>46017.666666666664</v>
      </c>
      <c r="M15874" s="46" t="s">
        <v>123</v>
      </c>
      <c r="N15874" s="45">
        <v>46017.708333333336</v>
      </c>
      <c r="O15874" s="46" t="s">
        <v>123</v>
      </c>
      <c r="P15874" s="46">
        <v>3600.0</v>
      </c>
      <c r="S15874" s="46" t="s">
        <v>137</v>
      </c>
    </row>
    <row r="15875">
      <c r="A15875" s="40">
        <f t="shared" si="1"/>
        <v>46013</v>
      </c>
      <c r="B15875" s="37" t="str">
        <f t="array" ref="B15875">iferror(xlookup($I15875, 'IMPORT VHC Report'!$E:$E, 'IMPORT VHC Report'!$A:$C), )</f>
        <v/>
      </c>
      <c r="C15875" s="44"/>
      <c r="D15875" s="44"/>
      <c r="E15875" s="46" t="s">
        <v>12056</v>
      </c>
      <c r="F15875" s="46" t="s">
        <v>4295</v>
      </c>
      <c r="G15875" s="46">
        <v>1.0548609842831E13</v>
      </c>
      <c r="H15875" s="46" t="s">
        <v>4296</v>
      </c>
      <c r="I15875" s="46" t="s">
        <v>4297</v>
      </c>
      <c r="J15875" s="46" t="s">
        <v>132</v>
      </c>
      <c r="K15875" s="46" t="s">
        <v>126</v>
      </c>
      <c r="L15875" s="45">
        <v>46017.791666666664</v>
      </c>
      <c r="M15875" s="46" t="s">
        <v>123</v>
      </c>
      <c r="N15875" s="45">
        <v>46017.833333333336</v>
      </c>
      <c r="O15875" s="46" t="s">
        <v>123</v>
      </c>
      <c r="P15875" s="46">
        <v>3600.0</v>
      </c>
    </row>
    <row r="15876">
      <c r="A15876" s="40">
        <f t="shared" si="1"/>
        <v>46013</v>
      </c>
      <c r="B15876" s="37" t="str">
        <f t="array" ref="B15876">iferror(xlookup($I15876, 'IMPORT VHC Report'!$E:$E, 'IMPORT VHC Report'!$A:$C), )</f>
        <v/>
      </c>
      <c r="C15876" s="44"/>
      <c r="D15876" s="44"/>
      <c r="E15876" s="46" t="s">
        <v>12057</v>
      </c>
      <c r="F15876" s="46" t="s">
        <v>4295</v>
      </c>
      <c r="G15876" s="46">
        <v>1.0548609842831E13</v>
      </c>
      <c r="H15876" s="46" t="s">
        <v>4296</v>
      </c>
      <c r="I15876" s="46" t="s">
        <v>4297</v>
      </c>
      <c r="J15876" s="46" t="s">
        <v>330</v>
      </c>
      <c r="K15876" s="46" t="s">
        <v>126</v>
      </c>
      <c r="L15876" s="45">
        <v>46018.583333333336</v>
      </c>
      <c r="M15876" s="46" t="s">
        <v>123</v>
      </c>
      <c r="N15876" s="45">
        <v>46018.59027777778</v>
      </c>
      <c r="O15876" s="46" t="s">
        <v>123</v>
      </c>
      <c r="P15876" s="46">
        <v>600.0</v>
      </c>
    </row>
    <row r="15877">
      <c r="A15877" s="40">
        <f t="shared" si="1"/>
        <v>46013</v>
      </c>
      <c r="B15877" s="37" t="str">
        <f t="array" ref="B15877">iferror(xlookup($I15877, 'IMPORT VHC Report'!$E:$E, 'IMPORT VHC Report'!$A:$C), )</f>
        <v/>
      </c>
      <c r="C15877" s="44"/>
      <c r="D15877" s="44"/>
      <c r="E15877" s="46" t="s">
        <v>12058</v>
      </c>
      <c r="F15877" s="46" t="s">
        <v>4295</v>
      </c>
      <c r="G15877" s="46">
        <v>1.0548609842831E13</v>
      </c>
      <c r="H15877" s="46" t="s">
        <v>4296</v>
      </c>
      <c r="I15877" s="46" t="s">
        <v>4297</v>
      </c>
      <c r="J15877" s="46" t="s">
        <v>332</v>
      </c>
      <c r="K15877" s="46" t="s">
        <v>63</v>
      </c>
      <c r="L15877" s="45">
        <v>46018.583333333336</v>
      </c>
      <c r="M15877" s="46" t="s">
        <v>123</v>
      </c>
      <c r="N15877" s="45">
        <v>46018.958333333336</v>
      </c>
      <c r="O15877" s="46" t="s">
        <v>123</v>
      </c>
      <c r="P15877" s="46">
        <v>32400.0</v>
      </c>
    </row>
    <row r="15878">
      <c r="A15878" s="40">
        <f t="shared" si="1"/>
        <v>46013</v>
      </c>
      <c r="B15878" s="37" t="str">
        <f t="array" ref="B15878">iferror(xlookup($I15878, 'IMPORT VHC Report'!$E:$E, 'IMPORT VHC Report'!$A:$C), )</f>
        <v/>
      </c>
      <c r="C15878" s="44"/>
      <c r="D15878" s="44"/>
      <c r="E15878" s="46" t="s">
        <v>12059</v>
      </c>
      <c r="F15878" s="46" t="s">
        <v>4295</v>
      </c>
      <c r="G15878" s="46">
        <v>1.0548609842831E13</v>
      </c>
      <c r="H15878" s="46" t="s">
        <v>4296</v>
      </c>
      <c r="I15878" s="46" t="s">
        <v>4297</v>
      </c>
      <c r="J15878" s="46" t="s">
        <v>330</v>
      </c>
      <c r="K15878" s="46" t="s">
        <v>126</v>
      </c>
      <c r="L15878" s="45">
        <v>46018.614583333336</v>
      </c>
      <c r="M15878" s="46" t="s">
        <v>123</v>
      </c>
      <c r="N15878" s="45">
        <v>46018.65277777778</v>
      </c>
      <c r="O15878" s="46" t="s">
        <v>123</v>
      </c>
      <c r="P15878" s="46">
        <v>3300.0</v>
      </c>
    </row>
    <row r="15879">
      <c r="A15879" s="40">
        <f t="shared" si="1"/>
        <v>46013</v>
      </c>
      <c r="B15879" s="37" t="str">
        <f t="array" ref="B15879">iferror(xlookup($I15879, 'IMPORT VHC Report'!$E:$E, 'IMPORT VHC Report'!$A:$C), )</f>
        <v/>
      </c>
      <c r="C15879" s="44"/>
      <c r="D15879" s="44"/>
      <c r="E15879" s="46" t="s">
        <v>12060</v>
      </c>
      <c r="F15879" s="46" t="s">
        <v>4295</v>
      </c>
      <c r="G15879" s="46">
        <v>1.0548609842831E13</v>
      </c>
      <c r="H15879" s="46" t="s">
        <v>4296</v>
      </c>
      <c r="I15879" s="46" t="s">
        <v>4297</v>
      </c>
      <c r="J15879" s="46" t="s">
        <v>134</v>
      </c>
      <c r="K15879" s="46" t="s">
        <v>126</v>
      </c>
      <c r="L15879" s="45">
        <v>46018.677083333336</v>
      </c>
      <c r="M15879" s="46" t="s">
        <v>123</v>
      </c>
      <c r="N15879" s="45">
        <v>46018.697916666664</v>
      </c>
      <c r="O15879" s="46" t="s">
        <v>123</v>
      </c>
      <c r="P15879" s="46">
        <v>1800.0</v>
      </c>
    </row>
    <row r="15880">
      <c r="A15880" s="40">
        <f t="shared" si="1"/>
        <v>46013</v>
      </c>
      <c r="B15880" s="37" t="str">
        <f t="array" ref="B15880">iferror(xlookup($I15880, 'IMPORT VHC Report'!$E:$E, 'IMPORT VHC Report'!$A:$C), )</f>
        <v/>
      </c>
      <c r="C15880" s="44"/>
      <c r="D15880" s="44"/>
      <c r="E15880" s="46" t="s">
        <v>12061</v>
      </c>
      <c r="F15880" s="46" t="s">
        <v>4295</v>
      </c>
      <c r="G15880" s="46">
        <v>1.0548609842831E13</v>
      </c>
      <c r="H15880" s="46" t="s">
        <v>4296</v>
      </c>
      <c r="I15880" s="46" t="s">
        <v>4297</v>
      </c>
      <c r="J15880" s="46" t="s">
        <v>4</v>
      </c>
      <c r="K15880" s="46" t="s">
        <v>126</v>
      </c>
      <c r="L15880" s="45">
        <v>46018.697916666664</v>
      </c>
      <c r="M15880" s="46" t="s">
        <v>123</v>
      </c>
      <c r="N15880" s="45">
        <v>46018.708333333336</v>
      </c>
      <c r="O15880" s="46" t="s">
        <v>123</v>
      </c>
      <c r="P15880" s="46">
        <v>900.0</v>
      </c>
      <c r="S15880" s="46" t="s">
        <v>12007</v>
      </c>
    </row>
    <row r="15881">
      <c r="A15881" s="40">
        <f t="shared" si="1"/>
        <v>46013</v>
      </c>
      <c r="B15881" s="37" t="str">
        <f t="array" ref="B15881">iferror(xlookup($I15881, 'IMPORT VHC Report'!$E:$E, 'IMPORT VHC Report'!$A:$C), )</f>
        <v/>
      </c>
      <c r="C15881" s="44"/>
      <c r="D15881" s="44"/>
      <c r="E15881" s="46" t="s">
        <v>12062</v>
      </c>
      <c r="F15881" s="46" t="s">
        <v>4295</v>
      </c>
      <c r="G15881" s="46">
        <v>1.0548609842831E13</v>
      </c>
      <c r="H15881" s="46" t="s">
        <v>4296</v>
      </c>
      <c r="I15881" s="46" t="s">
        <v>4297</v>
      </c>
      <c r="J15881" s="46" t="s">
        <v>132</v>
      </c>
      <c r="K15881" s="46" t="s">
        <v>126</v>
      </c>
      <c r="L15881" s="45">
        <v>46018.791666666664</v>
      </c>
      <c r="M15881" s="46" t="s">
        <v>123</v>
      </c>
      <c r="N15881" s="45">
        <v>46018.833333333336</v>
      </c>
      <c r="O15881" s="46" t="s">
        <v>123</v>
      </c>
      <c r="P15881" s="46">
        <v>3600.0</v>
      </c>
    </row>
    <row r="15882">
      <c r="A15882" s="40">
        <f t="shared" si="1"/>
        <v>46013</v>
      </c>
      <c r="B15882" s="37" t="str">
        <f t="array" ref="B15882">iferror(xlookup($I15882, 'IMPORT VHC Report'!$E:$E, 'IMPORT VHC Report'!$A:$C), )</f>
        <v/>
      </c>
      <c r="C15882" s="44"/>
      <c r="D15882" s="44"/>
      <c r="E15882" s="46" t="s">
        <v>12063</v>
      </c>
      <c r="F15882" s="46" t="s">
        <v>4295</v>
      </c>
      <c r="G15882" s="46">
        <v>1.0548609842831E13</v>
      </c>
      <c r="H15882" s="46" t="s">
        <v>4296</v>
      </c>
      <c r="I15882" s="46" t="s">
        <v>4297</v>
      </c>
      <c r="J15882" s="46" t="s">
        <v>330</v>
      </c>
      <c r="K15882" s="46" t="s">
        <v>126</v>
      </c>
      <c r="L15882" s="45">
        <v>46019.583333333336</v>
      </c>
      <c r="M15882" s="46" t="s">
        <v>123</v>
      </c>
      <c r="N15882" s="45">
        <v>46019.59027777778</v>
      </c>
      <c r="O15882" s="46" t="s">
        <v>123</v>
      </c>
      <c r="P15882" s="46">
        <v>600.0</v>
      </c>
    </row>
    <row r="15883">
      <c r="A15883" s="40">
        <f t="shared" si="1"/>
        <v>46013</v>
      </c>
      <c r="B15883" s="37" t="str">
        <f t="array" ref="B15883">iferror(xlookup($I15883, 'IMPORT VHC Report'!$E:$E, 'IMPORT VHC Report'!$A:$C), )</f>
        <v/>
      </c>
      <c r="C15883" s="44"/>
      <c r="D15883" s="44"/>
      <c r="E15883" s="46" t="s">
        <v>12064</v>
      </c>
      <c r="F15883" s="46" t="s">
        <v>4295</v>
      </c>
      <c r="G15883" s="46">
        <v>1.0548609842831E13</v>
      </c>
      <c r="H15883" s="46" t="s">
        <v>4296</v>
      </c>
      <c r="I15883" s="46" t="s">
        <v>4297</v>
      </c>
      <c r="J15883" s="46" t="s">
        <v>332</v>
      </c>
      <c r="K15883" s="46" t="s">
        <v>63</v>
      </c>
      <c r="L15883" s="45">
        <v>46019.583333333336</v>
      </c>
      <c r="M15883" s="46" t="s">
        <v>123</v>
      </c>
      <c r="N15883" s="45">
        <v>46019.958333333336</v>
      </c>
      <c r="O15883" s="46" t="s">
        <v>123</v>
      </c>
      <c r="P15883" s="46">
        <v>32400.0</v>
      </c>
    </row>
    <row r="15884">
      <c r="A15884" s="40">
        <f t="shared" si="1"/>
        <v>46013</v>
      </c>
      <c r="B15884" s="37" t="str">
        <f t="array" ref="B15884">iferror(xlookup($I15884, 'IMPORT VHC Report'!$E:$E, 'IMPORT VHC Report'!$A:$C), )</f>
        <v/>
      </c>
      <c r="C15884" s="44"/>
      <c r="D15884" s="44"/>
      <c r="E15884" s="46" t="s">
        <v>12065</v>
      </c>
      <c r="F15884" s="46" t="s">
        <v>4295</v>
      </c>
      <c r="G15884" s="46">
        <v>1.0548609842831E13</v>
      </c>
      <c r="H15884" s="46" t="s">
        <v>4296</v>
      </c>
      <c r="I15884" s="46" t="s">
        <v>4297</v>
      </c>
      <c r="J15884" s="46" t="s">
        <v>134</v>
      </c>
      <c r="K15884" s="46" t="s">
        <v>126</v>
      </c>
      <c r="L15884" s="45">
        <v>46019.677083333336</v>
      </c>
      <c r="M15884" s="46" t="s">
        <v>123</v>
      </c>
      <c r="N15884" s="45">
        <v>46019.697916666664</v>
      </c>
      <c r="O15884" s="46" t="s">
        <v>123</v>
      </c>
      <c r="P15884" s="46">
        <v>1800.0</v>
      </c>
    </row>
    <row r="15885">
      <c r="A15885" s="40">
        <f t="shared" si="1"/>
        <v>46013</v>
      </c>
      <c r="B15885" s="37" t="str">
        <f t="array" ref="B15885">iferror(xlookup($I15885, 'IMPORT VHC Report'!$E:$E, 'IMPORT VHC Report'!$A:$C), )</f>
        <v/>
      </c>
      <c r="C15885" s="44"/>
      <c r="D15885" s="44"/>
      <c r="E15885" s="46" t="s">
        <v>12066</v>
      </c>
      <c r="F15885" s="46" t="s">
        <v>4295</v>
      </c>
      <c r="G15885" s="46">
        <v>1.0548609842831E13</v>
      </c>
      <c r="H15885" s="46" t="s">
        <v>4296</v>
      </c>
      <c r="I15885" s="46" t="s">
        <v>4297</v>
      </c>
      <c r="J15885" s="46" t="s">
        <v>132</v>
      </c>
      <c r="K15885" s="46" t="s">
        <v>126</v>
      </c>
      <c r="L15885" s="45">
        <v>46019.802083333336</v>
      </c>
      <c r="M15885" s="46" t="s">
        <v>123</v>
      </c>
      <c r="N15885" s="45">
        <v>46019.84375</v>
      </c>
      <c r="O15885" s="46" t="s">
        <v>123</v>
      </c>
      <c r="P15885" s="46">
        <v>3600.0</v>
      </c>
    </row>
    <row r="15886">
      <c r="A15886" s="40">
        <f t="shared" si="1"/>
        <v>46013</v>
      </c>
      <c r="B15886" s="37" t="str">
        <f t="array" ref="B15886">iferror(xlookup($I15886, 'IMPORT VHC Report'!$E:$E, 'IMPORT VHC Report'!$A:$C), )</f>
        <v/>
      </c>
      <c r="C15886" s="44"/>
      <c r="D15886" s="44"/>
      <c r="E15886" s="46" t="s">
        <v>12067</v>
      </c>
      <c r="F15886" s="46" t="s">
        <v>4381</v>
      </c>
      <c r="G15886" s="46">
        <v>5.359149526287E12</v>
      </c>
      <c r="H15886" s="46" t="s">
        <v>4382</v>
      </c>
      <c r="I15886" s="46" t="s">
        <v>4383</v>
      </c>
      <c r="J15886" s="46" t="s">
        <v>330</v>
      </c>
      <c r="K15886" s="46" t="s">
        <v>126</v>
      </c>
      <c r="L15886" s="45">
        <v>46013.583333333336</v>
      </c>
      <c r="M15886" s="46" t="s">
        <v>123</v>
      </c>
      <c r="N15886" s="45">
        <v>46013.59027777778</v>
      </c>
      <c r="O15886" s="46" t="s">
        <v>123</v>
      </c>
      <c r="P15886" s="46">
        <v>600.0</v>
      </c>
    </row>
    <row r="15887">
      <c r="A15887" s="40">
        <f t="shared" si="1"/>
        <v>46013</v>
      </c>
      <c r="B15887" s="37" t="str">
        <f t="array" ref="B15887">iferror(xlookup($I15887, 'IMPORT VHC Report'!$E:$E, 'IMPORT VHC Report'!$A:$C), )</f>
        <v/>
      </c>
      <c r="C15887" s="44"/>
      <c r="D15887" s="44"/>
      <c r="E15887" s="46" t="s">
        <v>12068</v>
      </c>
      <c r="F15887" s="46" t="s">
        <v>4381</v>
      </c>
      <c r="G15887" s="46">
        <v>5.359149526287E12</v>
      </c>
      <c r="H15887" s="46" t="s">
        <v>4382</v>
      </c>
      <c r="I15887" s="46" t="s">
        <v>4383</v>
      </c>
      <c r="J15887" s="46" t="s">
        <v>332</v>
      </c>
      <c r="K15887" s="46" t="s">
        <v>63</v>
      </c>
      <c r="L15887" s="45">
        <v>46013.583333333336</v>
      </c>
      <c r="M15887" s="46" t="s">
        <v>123</v>
      </c>
      <c r="N15887" s="45">
        <v>46013.958333333336</v>
      </c>
      <c r="O15887" s="46" t="s">
        <v>123</v>
      </c>
      <c r="P15887" s="46">
        <v>32400.0</v>
      </c>
    </row>
    <row r="15888">
      <c r="A15888" s="40">
        <f t="shared" si="1"/>
        <v>46013</v>
      </c>
      <c r="B15888" s="37" t="str">
        <f t="array" ref="B15888">iferror(xlookup($I15888, 'IMPORT VHC Report'!$E:$E, 'IMPORT VHC Report'!$A:$C), )</f>
        <v/>
      </c>
      <c r="C15888" s="44"/>
      <c r="D15888" s="44"/>
      <c r="E15888" s="46" t="s">
        <v>12069</v>
      </c>
      <c r="F15888" s="46" t="s">
        <v>4381</v>
      </c>
      <c r="G15888" s="46">
        <v>5.359149526287E12</v>
      </c>
      <c r="H15888" s="46" t="s">
        <v>4382</v>
      </c>
      <c r="I15888" s="46" t="s">
        <v>4383</v>
      </c>
      <c r="J15888" s="46" t="s">
        <v>4</v>
      </c>
      <c r="K15888" s="46" t="s">
        <v>126</v>
      </c>
      <c r="L15888" s="45">
        <v>46013.697916666664</v>
      </c>
      <c r="M15888" s="46" t="s">
        <v>123</v>
      </c>
      <c r="N15888" s="45">
        <v>46013.708333333336</v>
      </c>
      <c r="O15888" s="46" t="s">
        <v>123</v>
      </c>
      <c r="P15888" s="46">
        <v>900.0</v>
      </c>
      <c r="S15888" s="46" t="s">
        <v>3693</v>
      </c>
    </row>
    <row r="15889">
      <c r="A15889" s="40">
        <f t="shared" si="1"/>
        <v>46013</v>
      </c>
      <c r="B15889" s="37" t="str">
        <f t="array" ref="B15889">iferror(xlookup($I15889, 'IMPORT VHC Report'!$E:$E, 'IMPORT VHC Report'!$A:$C), )</f>
        <v/>
      </c>
      <c r="C15889" s="44"/>
      <c r="D15889" s="44"/>
      <c r="E15889" s="46" t="s">
        <v>12070</v>
      </c>
      <c r="F15889" s="46" t="s">
        <v>4381</v>
      </c>
      <c r="G15889" s="46">
        <v>5.359149526287E12</v>
      </c>
      <c r="H15889" s="46" t="s">
        <v>4382</v>
      </c>
      <c r="I15889" s="46" t="s">
        <v>4383</v>
      </c>
      <c r="J15889" s="46" t="s">
        <v>134</v>
      </c>
      <c r="K15889" s="46" t="s">
        <v>126</v>
      </c>
      <c r="L15889" s="45">
        <v>46013.71388888889</v>
      </c>
      <c r="M15889" s="46" t="s">
        <v>123</v>
      </c>
      <c r="N15889" s="45">
        <v>46013.73472222222</v>
      </c>
      <c r="O15889" s="46" t="s">
        <v>123</v>
      </c>
      <c r="P15889" s="46">
        <v>1800.0</v>
      </c>
      <c r="S15889" s="46" t="s">
        <v>12071</v>
      </c>
    </row>
    <row r="15890">
      <c r="A15890" s="40">
        <f t="shared" si="1"/>
        <v>46013</v>
      </c>
      <c r="B15890" s="37" t="str">
        <f t="array" ref="B15890">iferror(xlookup($I15890, 'IMPORT VHC Report'!$E:$E, 'IMPORT VHC Report'!$A:$C), )</f>
        <v/>
      </c>
      <c r="C15890" s="44"/>
      <c r="D15890" s="44"/>
      <c r="E15890" s="46" t="s">
        <v>12072</v>
      </c>
      <c r="F15890" s="46" t="s">
        <v>4381</v>
      </c>
      <c r="G15890" s="46">
        <v>5.359149526287E12</v>
      </c>
      <c r="H15890" s="46" t="s">
        <v>4382</v>
      </c>
      <c r="I15890" s="46" t="s">
        <v>4383</v>
      </c>
      <c r="J15890" s="46" t="s">
        <v>136</v>
      </c>
      <c r="K15890" s="46" t="s">
        <v>126</v>
      </c>
      <c r="L15890" s="45">
        <v>46013.73472222222</v>
      </c>
      <c r="M15890" s="46" t="s">
        <v>123</v>
      </c>
      <c r="N15890" s="45">
        <v>46013.73611111111</v>
      </c>
      <c r="O15890" s="46" t="s">
        <v>123</v>
      </c>
      <c r="P15890" s="46">
        <v>120.0</v>
      </c>
      <c r="S15890" s="46" t="s">
        <v>4327</v>
      </c>
    </row>
    <row r="15891">
      <c r="A15891" s="40">
        <f t="shared" si="1"/>
        <v>46013</v>
      </c>
      <c r="B15891" s="37" t="str">
        <f t="array" ref="B15891">iferror(xlookup($I15891, 'IMPORT VHC Report'!$E:$E, 'IMPORT VHC Report'!$A:$C), )</f>
        <v/>
      </c>
      <c r="C15891" s="44"/>
      <c r="D15891" s="44"/>
      <c r="E15891" s="46" t="s">
        <v>12073</v>
      </c>
      <c r="F15891" s="46" t="s">
        <v>4381</v>
      </c>
      <c r="G15891" s="46">
        <v>5.359149526287E12</v>
      </c>
      <c r="H15891" s="46" t="s">
        <v>4382</v>
      </c>
      <c r="I15891" s="46" t="s">
        <v>4383</v>
      </c>
      <c r="J15891" s="46" t="s">
        <v>132</v>
      </c>
      <c r="K15891" s="46" t="s">
        <v>126</v>
      </c>
      <c r="L15891" s="45">
        <v>46013.8125</v>
      </c>
      <c r="M15891" s="46" t="s">
        <v>123</v>
      </c>
      <c r="N15891" s="45">
        <v>46013.854166666664</v>
      </c>
      <c r="O15891" s="46" t="s">
        <v>123</v>
      </c>
      <c r="P15891" s="46">
        <v>3600.0</v>
      </c>
    </row>
    <row r="15892">
      <c r="A15892" s="40">
        <f t="shared" si="1"/>
        <v>46013</v>
      </c>
      <c r="B15892" s="37" t="str">
        <f t="array" ref="B15892">iferror(xlookup($I15892, 'IMPORT VHC Report'!$E:$E, 'IMPORT VHC Report'!$A:$C), )</f>
        <v/>
      </c>
      <c r="C15892" s="44"/>
      <c r="D15892" s="44"/>
      <c r="E15892" s="46" t="s">
        <v>12074</v>
      </c>
      <c r="F15892" s="46" t="s">
        <v>4381</v>
      </c>
      <c r="G15892" s="46">
        <v>5.359149526287E12</v>
      </c>
      <c r="H15892" s="46" t="s">
        <v>4382</v>
      </c>
      <c r="I15892" s="46" t="s">
        <v>4383</v>
      </c>
      <c r="J15892" s="46" t="s">
        <v>330</v>
      </c>
      <c r="K15892" s="46" t="s">
        <v>126</v>
      </c>
      <c r="L15892" s="45">
        <v>46014.583333333336</v>
      </c>
      <c r="M15892" s="46" t="s">
        <v>123</v>
      </c>
      <c r="N15892" s="45">
        <v>46014.59027777778</v>
      </c>
      <c r="O15892" s="46" t="s">
        <v>123</v>
      </c>
      <c r="P15892" s="46">
        <v>600.0</v>
      </c>
    </row>
    <row r="15893">
      <c r="A15893" s="40">
        <f t="shared" si="1"/>
        <v>46013</v>
      </c>
      <c r="B15893" s="37" t="str">
        <f t="array" ref="B15893">iferror(xlookup($I15893, 'IMPORT VHC Report'!$E:$E, 'IMPORT VHC Report'!$A:$C), )</f>
        <v/>
      </c>
      <c r="C15893" s="44"/>
      <c r="D15893" s="44"/>
      <c r="E15893" s="46" t="s">
        <v>12075</v>
      </c>
      <c r="F15893" s="46" t="s">
        <v>4381</v>
      </c>
      <c r="G15893" s="46">
        <v>5.359149526287E12</v>
      </c>
      <c r="H15893" s="46" t="s">
        <v>4382</v>
      </c>
      <c r="I15893" s="46" t="s">
        <v>4383</v>
      </c>
      <c r="J15893" s="46" t="s">
        <v>332</v>
      </c>
      <c r="K15893" s="46" t="s">
        <v>63</v>
      </c>
      <c r="L15893" s="45">
        <v>46014.583333333336</v>
      </c>
      <c r="M15893" s="46" t="s">
        <v>123</v>
      </c>
      <c r="N15893" s="45">
        <v>46014.958333333336</v>
      </c>
      <c r="O15893" s="46" t="s">
        <v>123</v>
      </c>
      <c r="P15893" s="46">
        <v>32400.0</v>
      </c>
    </row>
    <row r="15894">
      <c r="A15894" s="40">
        <f t="shared" si="1"/>
        <v>46013</v>
      </c>
      <c r="B15894" s="37" t="str">
        <f t="array" ref="B15894">iferror(xlookup($I15894, 'IMPORT VHC Report'!$E:$E, 'IMPORT VHC Report'!$A:$C), )</f>
        <v/>
      </c>
      <c r="C15894" s="44"/>
      <c r="D15894" s="44"/>
      <c r="E15894" s="46" t="s">
        <v>12076</v>
      </c>
      <c r="F15894" s="46" t="s">
        <v>4381</v>
      </c>
      <c r="G15894" s="46">
        <v>5.359149526287E12</v>
      </c>
      <c r="H15894" s="46" t="s">
        <v>4382</v>
      </c>
      <c r="I15894" s="46" t="s">
        <v>4383</v>
      </c>
      <c r="J15894" s="46" t="s">
        <v>125</v>
      </c>
      <c r="K15894" s="46" t="s">
        <v>126</v>
      </c>
      <c r="L15894" s="45">
        <v>46014.60833333333</v>
      </c>
      <c r="M15894" s="46" t="s">
        <v>123</v>
      </c>
      <c r="N15894" s="45">
        <v>46014.63402777778</v>
      </c>
      <c r="O15894" s="46" t="s">
        <v>123</v>
      </c>
      <c r="P15894" s="46">
        <v>2220.0</v>
      </c>
      <c r="S15894" s="46" t="s">
        <v>12077</v>
      </c>
    </row>
    <row r="15895">
      <c r="A15895" s="40">
        <f t="shared" si="1"/>
        <v>46013</v>
      </c>
      <c r="B15895" s="37" t="str">
        <f t="array" ref="B15895">iferror(xlookup($I15895, 'IMPORT VHC Report'!$E:$E, 'IMPORT VHC Report'!$A:$C), )</f>
        <v/>
      </c>
      <c r="C15895" s="44"/>
      <c r="D15895" s="44"/>
      <c r="E15895" s="46" t="s">
        <v>12078</v>
      </c>
      <c r="F15895" s="46" t="s">
        <v>4381</v>
      </c>
      <c r="G15895" s="46">
        <v>5.359149526287E12</v>
      </c>
      <c r="H15895" s="46" t="s">
        <v>4382</v>
      </c>
      <c r="I15895" s="46" t="s">
        <v>4383</v>
      </c>
      <c r="J15895" s="46" t="s">
        <v>125</v>
      </c>
      <c r="K15895" s="46" t="s">
        <v>126</v>
      </c>
      <c r="L15895" s="45">
        <v>46014.6375</v>
      </c>
      <c r="M15895" s="46" t="s">
        <v>123</v>
      </c>
      <c r="N15895" s="45">
        <v>46014.645833333336</v>
      </c>
      <c r="O15895" s="46" t="s">
        <v>123</v>
      </c>
      <c r="P15895" s="46">
        <v>720.0</v>
      </c>
      <c r="S15895" s="46" t="s">
        <v>12077</v>
      </c>
    </row>
    <row r="15896">
      <c r="A15896" s="40">
        <f t="shared" si="1"/>
        <v>46013</v>
      </c>
      <c r="B15896" s="37" t="str">
        <f t="array" ref="B15896">iferror(xlookup($I15896, 'IMPORT VHC Report'!$E:$E, 'IMPORT VHC Report'!$A:$C), )</f>
        <v/>
      </c>
      <c r="C15896" s="44"/>
      <c r="D15896" s="44"/>
      <c r="E15896" s="46" t="s">
        <v>12079</v>
      </c>
      <c r="F15896" s="46" t="s">
        <v>4381</v>
      </c>
      <c r="G15896" s="46">
        <v>5.359149526287E12</v>
      </c>
      <c r="H15896" s="46" t="s">
        <v>4382</v>
      </c>
      <c r="I15896" s="46" t="s">
        <v>4383</v>
      </c>
      <c r="J15896" s="46" t="s">
        <v>132</v>
      </c>
      <c r="K15896" s="46" t="s">
        <v>126</v>
      </c>
      <c r="L15896" s="45">
        <v>46014.71875</v>
      </c>
      <c r="M15896" s="46" t="s">
        <v>123</v>
      </c>
      <c r="N15896" s="45">
        <v>46014.760416666664</v>
      </c>
      <c r="O15896" s="46" t="s">
        <v>123</v>
      </c>
      <c r="P15896" s="46">
        <v>3600.0</v>
      </c>
    </row>
    <row r="15897">
      <c r="A15897" s="40">
        <f t="shared" si="1"/>
        <v>46013</v>
      </c>
      <c r="B15897" s="37" t="str">
        <f t="array" ref="B15897">iferror(xlookup($I15897, 'IMPORT VHC Report'!$E:$E, 'IMPORT VHC Report'!$A:$C), )</f>
        <v/>
      </c>
      <c r="C15897" s="44"/>
      <c r="D15897" s="44"/>
      <c r="E15897" s="46" t="s">
        <v>12080</v>
      </c>
      <c r="F15897" s="46" t="s">
        <v>4381</v>
      </c>
      <c r="G15897" s="46">
        <v>5.359149526287E12</v>
      </c>
      <c r="H15897" s="46" t="s">
        <v>4382</v>
      </c>
      <c r="I15897" s="46" t="s">
        <v>4383</v>
      </c>
      <c r="J15897" s="46" t="s">
        <v>125</v>
      </c>
      <c r="K15897" s="46" t="s">
        <v>126</v>
      </c>
      <c r="L15897" s="45">
        <v>46014.76944444444</v>
      </c>
      <c r="M15897" s="46" t="s">
        <v>123</v>
      </c>
      <c r="N15897" s="45">
        <v>46014.79027777778</v>
      </c>
      <c r="O15897" s="46" t="s">
        <v>123</v>
      </c>
      <c r="P15897" s="46">
        <v>1800.0</v>
      </c>
      <c r="S15897" s="46" t="s">
        <v>12024</v>
      </c>
    </row>
    <row r="15898">
      <c r="A15898" s="40">
        <f t="shared" si="1"/>
        <v>46013</v>
      </c>
      <c r="B15898" s="37" t="str">
        <f t="array" ref="B15898">iferror(xlookup($I15898, 'IMPORT VHC Report'!$E:$E, 'IMPORT VHC Report'!$A:$C), )</f>
        <v/>
      </c>
      <c r="C15898" s="44"/>
      <c r="D15898" s="44"/>
      <c r="E15898" s="46" t="s">
        <v>12081</v>
      </c>
      <c r="F15898" s="46" t="s">
        <v>4381</v>
      </c>
      <c r="G15898" s="46">
        <v>5.359149526287E12</v>
      </c>
      <c r="H15898" s="46" t="s">
        <v>4382</v>
      </c>
      <c r="I15898" s="46" t="s">
        <v>4383</v>
      </c>
      <c r="J15898" s="46" t="s">
        <v>330</v>
      </c>
      <c r="K15898" s="46" t="s">
        <v>126</v>
      </c>
      <c r="L15898" s="45">
        <v>46014.833333333336</v>
      </c>
      <c r="M15898" s="46" t="s">
        <v>123</v>
      </c>
      <c r="N15898" s="45">
        <v>46014.90694444445</v>
      </c>
      <c r="O15898" s="46" t="s">
        <v>123</v>
      </c>
      <c r="P15898" s="46">
        <v>6360.0</v>
      </c>
    </row>
    <row r="15899">
      <c r="A15899" s="40">
        <f t="shared" si="1"/>
        <v>46013</v>
      </c>
      <c r="B15899" s="37" t="str">
        <f t="array" ref="B15899">iferror(xlookup($I15899, 'IMPORT VHC Report'!$E:$E, 'IMPORT VHC Report'!$A:$C), )</f>
        <v/>
      </c>
      <c r="C15899" s="44"/>
      <c r="D15899" s="44"/>
      <c r="E15899" s="46" t="s">
        <v>12082</v>
      </c>
      <c r="F15899" s="46" t="s">
        <v>4381</v>
      </c>
      <c r="G15899" s="46">
        <v>5.359149526287E12</v>
      </c>
      <c r="H15899" s="46" t="s">
        <v>4382</v>
      </c>
      <c r="I15899" s="46" t="s">
        <v>4383</v>
      </c>
      <c r="J15899" s="46" t="s">
        <v>134</v>
      </c>
      <c r="K15899" s="46" t="s">
        <v>126</v>
      </c>
      <c r="L15899" s="45">
        <v>46014.9375</v>
      </c>
      <c r="M15899" s="46" t="s">
        <v>123</v>
      </c>
      <c r="N15899" s="45">
        <v>46014.958333333336</v>
      </c>
      <c r="O15899" s="46" t="s">
        <v>123</v>
      </c>
      <c r="P15899" s="46">
        <v>1800.0</v>
      </c>
    </row>
    <row r="15900">
      <c r="A15900" s="40">
        <f t="shared" si="1"/>
        <v>46013</v>
      </c>
      <c r="B15900" s="37" t="str">
        <f t="array" ref="B15900">iferror(xlookup($I15900, 'IMPORT VHC Report'!$E:$E, 'IMPORT VHC Report'!$A:$C), )</f>
        <v/>
      </c>
      <c r="C15900" s="44"/>
      <c r="D15900" s="44"/>
      <c r="E15900" s="46" t="s">
        <v>12083</v>
      </c>
      <c r="F15900" s="46" t="s">
        <v>4381</v>
      </c>
      <c r="G15900" s="46">
        <v>5.359149526287E12</v>
      </c>
      <c r="H15900" s="46" t="s">
        <v>4382</v>
      </c>
      <c r="I15900" s="46" t="s">
        <v>4383</v>
      </c>
      <c r="J15900" s="46" t="s">
        <v>332</v>
      </c>
      <c r="K15900" s="46" t="s">
        <v>63</v>
      </c>
      <c r="L15900" s="45">
        <v>46014.958333333336</v>
      </c>
      <c r="M15900" s="46" t="s">
        <v>123</v>
      </c>
      <c r="N15900" s="45">
        <v>46014.979166666664</v>
      </c>
      <c r="O15900" s="46" t="s">
        <v>123</v>
      </c>
      <c r="P15900" s="46">
        <v>1800.0</v>
      </c>
    </row>
    <row r="15901">
      <c r="A15901" s="40">
        <f t="shared" si="1"/>
        <v>46013</v>
      </c>
      <c r="B15901" s="37" t="str">
        <f t="array" ref="B15901">iferror(xlookup($I15901, 'IMPORT VHC Report'!$E:$E, 'IMPORT VHC Report'!$A:$C), )</f>
        <v/>
      </c>
      <c r="C15901" s="44"/>
      <c r="D15901" s="44"/>
      <c r="E15901" s="46" t="s">
        <v>12084</v>
      </c>
      <c r="F15901" s="46" t="s">
        <v>4381</v>
      </c>
      <c r="G15901" s="46">
        <v>5.359149526287E12</v>
      </c>
      <c r="H15901" s="46" t="s">
        <v>4382</v>
      </c>
      <c r="I15901" s="46" t="s">
        <v>4383</v>
      </c>
      <c r="J15901" s="46" t="s">
        <v>330</v>
      </c>
      <c r="K15901" s="46" t="s">
        <v>126</v>
      </c>
      <c r="L15901" s="45">
        <v>46015.583333333336</v>
      </c>
      <c r="M15901" s="46" t="s">
        <v>123</v>
      </c>
      <c r="N15901" s="45">
        <v>46015.59027777778</v>
      </c>
      <c r="O15901" s="46" t="s">
        <v>123</v>
      </c>
      <c r="P15901" s="46">
        <v>600.0</v>
      </c>
    </row>
    <row r="15902">
      <c r="A15902" s="40">
        <f t="shared" si="1"/>
        <v>46013</v>
      </c>
      <c r="B15902" s="37" t="str">
        <f t="array" ref="B15902">iferror(xlookup($I15902, 'IMPORT VHC Report'!$E:$E, 'IMPORT VHC Report'!$A:$C), )</f>
        <v/>
      </c>
      <c r="C15902" s="44"/>
      <c r="D15902" s="44"/>
      <c r="E15902" s="46" t="s">
        <v>12085</v>
      </c>
      <c r="F15902" s="46" t="s">
        <v>4381</v>
      </c>
      <c r="G15902" s="46">
        <v>5.359149526287E12</v>
      </c>
      <c r="H15902" s="46" t="s">
        <v>4382</v>
      </c>
      <c r="I15902" s="46" t="s">
        <v>4383</v>
      </c>
      <c r="J15902" s="46" t="s">
        <v>332</v>
      </c>
      <c r="K15902" s="46" t="s">
        <v>63</v>
      </c>
      <c r="L15902" s="45">
        <v>46015.583333333336</v>
      </c>
      <c r="M15902" s="46" t="s">
        <v>123</v>
      </c>
      <c r="N15902" s="45">
        <v>46015.958333333336</v>
      </c>
      <c r="O15902" s="46" t="s">
        <v>123</v>
      </c>
      <c r="P15902" s="46">
        <v>32400.0</v>
      </c>
    </row>
    <row r="15903">
      <c r="A15903" s="40">
        <f t="shared" si="1"/>
        <v>46013</v>
      </c>
      <c r="B15903" s="37" t="str">
        <f t="array" ref="B15903">iferror(xlookup($I15903, 'IMPORT VHC Report'!$E:$E, 'IMPORT VHC Report'!$A:$C), )</f>
        <v/>
      </c>
      <c r="C15903" s="44"/>
      <c r="D15903" s="44"/>
      <c r="E15903" s="46" t="s">
        <v>12086</v>
      </c>
      <c r="F15903" s="46" t="s">
        <v>4381</v>
      </c>
      <c r="G15903" s="46">
        <v>5.359149526287E12</v>
      </c>
      <c r="H15903" s="46" t="s">
        <v>4382</v>
      </c>
      <c r="I15903" s="46" t="s">
        <v>4383</v>
      </c>
      <c r="J15903" s="46" t="s">
        <v>132</v>
      </c>
      <c r="K15903" s="46" t="s">
        <v>126</v>
      </c>
      <c r="L15903" s="45">
        <v>46015.729166666664</v>
      </c>
      <c r="M15903" s="46" t="s">
        <v>123</v>
      </c>
      <c r="N15903" s="45">
        <v>46015.770833333336</v>
      </c>
      <c r="O15903" s="46" t="s">
        <v>123</v>
      </c>
      <c r="P15903" s="46">
        <v>3600.0</v>
      </c>
    </row>
    <row r="15904">
      <c r="A15904" s="40">
        <f t="shared" si="1"/>
        <v>46013</v>
      </c>
      <c r="B15904" s="37" t="str">
        <f t="array" ref="B15904">iferror(xlookup($I15904, 'IMPORT VHC Report'!$E:$E, 'IMPORT VHC Report'!$A:$C), )</f>
        <v/>
      </c>
      <c r="C15904" s="44"/>
      <c r="D15904" s="44"/>
      <c r="E15904" s="46" t="s">
        <v>12087</v>
      </c>
      <c r="F15904" s="46" t="s">
        <v>4381</v>
      </c>
      <c r="G15904" s="46">
        <v>5.359149526287E12</v>
      </c>
      <c r="H15904" s="46" t="s">
        <v>4382</v>
      </c>
      <c r="I15904" s="46" t="s">
        <v>4383</v>
      </c>
      <c r="J15904" s="46" t="s">
        <v>134</v>
      </c>
      <c r="K15904" s="46" t="s">
        <v>126</v>
      </c>
      <c r="L15904" s="45">
        <v>46015.854166666664</v>
      </c>
      <c r="M15904" s="46" t="s">
        <v>123</v>
      </c>
      <c r="N15904" s="45">
        <v>46015.875</v>
      </c>
      <c r="O15904" s="46" t="s">
        <v>123</v>
      </c>
      <c r="P15904" s="46">
        <v>1800.0</v>
      </c>
    </row>
    <row r="15905">
      <c r="A15905" s="40">
        <f t="shared" si="1"/>
        <v>46013</v>
      </c>
      <c r="B15905" s="37" t="str">
        <f t="array" ref="B15905">iferror(xlookup($I15905, 'IMPORT VHC Report'!$E:$E, 'IMPORT VHC Report'!$A:$C), )</f>
        <v/>
      </c>
      <c r="C15905" s="44"/>
      <c r="D15905" s="44"/>
      <c r="E15905" s="46" t="s">
        <v>12088</v>
      </c>
      <c r="F15905" s="46" t="s">
        <v>4381</v>
      </c>
      <c r="G15905" s="46">
        <v>5.359149526287E12</v>
      </c>
      <c r="H15905" s="46" t="s">
        <v>4382</v>
      </c>
      <c r="I15905" s="46" t="s">
        <v>4383</v>
      </c>
      <c r="J15905" s="46" t="s">
        <v>330</v>
      </c>
      <c r="K15905" s="46" t="s">
        <v>126</v>
      </c>
      <c r="L15905" s="45">
        <v>46016.583333333336</v>
      </c>
      <c r="M15905" s="46" t="s">
        <v>123</v>
      </c>
      <c r="N15905" s="45">
        <v>46016.59027777778</v>
      </c>
      <c r="O15905" s="46" t="s">
        <v>123</v>
      </c>
      <c r="P15905" s="46">
        <v>600.0</v>
      </c>
    </row>
    <row r="15906">
      <c r="A15906" s="40">
        <f t="shared" si="1"/>
        <v>46013</v>
      </c>
      <c r="B15906" s="37" t="str">
        <f t="array" ref="B15906">iferror(xlookup($I15906, 'IMPORT VHC Report'!$E:$E, 'IMPORT VHC Report'!$A:$C), )</f>
        <v/>
      </c>
      <c r="C15906" s="44"/>
      <c r="D15906" s="44"/>
      <c r="E15906" s="46" t="s">
        <v>12089</v>
      </c>
      <c r="F15906" s="46" t="s">
        <v>4381</v>
      </c>
      <c r="G15906" s="46">
        <v>5.359149526287E12</v>
      </c>
      <c r="H15906" s="46" t="s">
        <v>4382</v>
      </c>
      <c r="I15906" s="46" t="s">
        <v>4383</v>
      </c>
      <c r="J15906" s="46" t="s">
        <v>332</v>
      </c>
      <c r="K15906" s="46" t="s">
        <v>63</v>
      </c>
      <c r="L15906" s="45">
        <v>46016.583333333336</v>
      </c>
      <c r="M15906" s="46" t="s">
        <v>123</v>
      </c>
      <c r="N15906" s="45">
        <v>46016.958333333336</v>
      </c>
      <c r="O15906" s="46" t="s">
        <v>123</v>
      </c>
      <c r="P15906" s="46">
        <v>32400.0</v>
      </c>
    </row>
    <row r="15907">
      <c r="A15907" s="40">
        <f t="shared" si="1"/>
        <v>46013</v>
      </c>
      <c r="B15907" s="37" t="str">
        <f t="array" ref="B15907">iferror(xlookup($I15907, 'IMPORT VHC Report'!$E:$E, 'IMPORT VHC Report'!$A:$C), )</f>
        <v/>
      </c>
      <c r="C15907" s="44"/>
      <c r="D15907" s="44"/>
      <c r="E15907" s="46" t="s">
        <v>12090</v>
      </c>
      <c r="F15907" s="46" t="s">
        <v>4381</v>
      </c>
      <c r="G15907" s="46">
        <v>5.359149526287E12</v>
      </c>
      <c r="H15907" s="46" t="s">
        <v>4382</v>
      </c>
      <c r="I15907" s="46" t="s">
        <v>4383</v>
      </c>
      <c r="J15907" s="46" t="s">
        <v>134</v>
      </c>
      <c r="K15907" s="46" t="s">
        <v>126</v>
      </c>
      <c r="L15907" s="45">
        <v>46016.71388888889</v>
      </c>
      <c r="M15907" s="46" t="s">
        <v>123</v>
      </c>
      <c r="N15907" s="45">
        <v>46016.73472222222</v>
      </c>
      <c r="O15907" s="46" t="s">
        <v>123</v>
      </c>
      <c r="P15907" s="46">
        <v>1800.0</v>
      </c>
      <c r="S15907" s="46" t="s">
        <v>12091</v>
      </c>
    </row>
    <row r="15908">
      <c r="A15908" s="40">
        <f t="shared" si="1"/>
        <v>46013</v>
      </c>
      <c r="B15908" s="37" t="str">
        <f t="array" ref="B15908">iferror(xlookup($I15908, 'IMPORT VHC Report'!$E:$E, 'IMPORT VHC Report'!$A:$C), )</f>
        <v/>
      </c>
      <c r="C15908" s="44"/>
      <c r="D15908" s="44"/>
      <c r="E15908" s="46" t="s">
        <v>12092</v>
      </c>
      <c r="F15908" s="46" t="s">
        <v>4381</v>
      </c>
      <c r="G15908" s="46">
        <v>5.359149526287E12</v>
      </c>
      <c r="H15908" s="46" t="s">
        <v>4382</v>
      </c>
      <c r="I15908" s="46" t="s">
        <v>4383</v>
      </c>
      <c r="J15908" s="46" t="s">
        <v>132</v>
      </c>
      <c r="K15908" s="46" t="s">
        <v>126</v>
      </c>
      <c r="L15908" s="45">
        <v>46016.8125</v>
      </c>
      <c r="M15908" s="46" t="s">
        <v>123</v>
      </c>
      <c r="N15908" s="45">
        <v>46016.854166666664</v>
      </c>
      <c r="O15908" s="46" t="s">
        <v>123</v>
      </c>
      <c r="P15908" s="46">
        <v>3600.0</v>
      </c>
    </row>
    <row r="15909">
      <c r="A15909" s="40">
        <f t="shared" si="1"/>
        <v>46013</v>
      </c>
      <c r="B15909" s="37" t="str">
        <f t="array" ref="B15909">iferror(xlookup($I15909, 'IMPORT VHC Report'!$E:$E, 'IMPORT VHC Report'!$A:$C), )</f>
        <v/>
      </c>
      <c r="C15909" s="44"/>
      <c r="D15909" s="44"/>
      <c r="E15909" s="46" t="s">
        <v>12093</v>
      </c>
      <c r="F15909" s="46" t="s">
        <v>4381</v>
      </c>
      <c r="G15909" s="46">
        <v>5.359149526287E12</v>
      </c>
      <c r="H15909" s="46" t="s">
        <v>4382</v>
      </c>
      <c r="I15909" s="46" t="s">
        <v>4383</v>
      </c>
      <c r="J15909" s="46" t="s">
        <v>330</v>
      </c>
      <c r="K15909" s="46" t="s">
        <v>126</v>
      </c>
      <c r="L15909" s="45">
        <v>46017.583333333336</v>
      </c>
      <c r="M15909" s="46" t="s">
        <v>123</v>
      </c>
      <c r="N15909" s="45">
        <v>46017.59027777778</v>
      </c>
      <c r="O15909" s="46" t="s">
        <v>123</v>
      </c>
      <c r="P15909" s="46">
        <v>600.0</v>
      </c>
    </row>
    <row r="15910">
      <c r="A15910" s="40">
        <f t="shared" si="1"/>
        <v>46013</v>
      </c>
      <c r="B15910" s="37" t="str">
        <f t="array" ref="B15910">iferror(xlookup($I15910, 'IMPORT VHC Report'!$E:$E, 'IMPORT VHC Report'!$A:$C), )</f>
        <v/>
      </c>
      <c r="C15910" s="44"/>
      <c r="D15910" s="44"/>
      <c r="E15910" s="46" t="s">
        <v>12094</v>
      </c>
      <c r="F15910" s="46" t="s">
        <v>4381</v>
      </c>
      <c r="G15910" s="46">
        <v>5.359149526287E12</v>
      </c>
      <c r="H15910" s="46" t="s">
        <v>4382</v>
      </c>
      <c r="I15910" s="46" t="s">
        <v>4383</v>
      </c>
      <c r="J15910" s="46" t="s">
        <v>332</v>
      </c>
      <c r="K15910" s="46" t="s">
        <v>63</v>
      </c>
      <c r="L15910" s="45">
        <v>46017.583333333336</v>
      </c>
      <c r="M15910" s="46" t="s">
        <v>123</v>
      </c>
      <c r="N15910" s="45">
        <v>46017.958333333336</v>
      </c>
      <c r="O15910" s="46" t="s">
        <v>123</v>
      </c>
      <c r="P15910" s="46">
        <v>32400.0</v>
      </c>
    </row>
    <row r="15911">
      <c r="A15911" s="40">
        <f t="shared" si="1"/>
        <v>46013</v>
      </c>
      <c r="B15911" s="37" t="str">
        <f t="array" ref="B15911">iferror(xlookup($I15911, 'IMPORT VHC Report'!$E:$E, 'IMPORT VHC Report'!$A:$C), )</f>
        <v/>
      </c>
      <c r="C15911" s="44"/>
      <c r="D15911" s="44"/>
      <c r="E15911" s="46" t="s">
        <v>12095</v>
      </c>
      <c r="F15911" s="46" t="s">
        <v>4381</v>
      </c>
      <c r="G15911" s="46">
        <v>5.359149526287E12</v>
      </c>
      <c r="H15911" s="46" t="s">
        <v>4382</v>
      </c>
      <c r="I15911" s="46" t="s">
        <v>4383</v>
      </c>
      <c r="J15911" s="46" t="s">
        <v>136</v>
      </c>
      <c r="K15911" s="46" t="s">
        <v>126</v>
      </c>
      <c r="L15911" s="45">
        <v>46017.666666666664</v>
      </c>
      <c r="M15911" s="46" t="s">
        <v>123</v>
      </c>
      <c r="N15911" s="45">
        <v>46017.71527777778</v>
      </c>
      <c r="O15911" s="46" t="s">
        <v>123</v>
      </c>
      <c r="P15911" s="46">
        <v>4200.0</v>
      </c>
      <c r="S15911" s="46" t="s">
        <v>137</v>
      </c>
    </row>
    <row r="15912">
      <c r="A15912" s="40">
        <f t="shared" si="1"/>
        <v>46013</v>
      </c>
      <c r="B15912" s="37" t="str">
        <f t="array" ref="B15912">iferror(xlookup($I15912, 'IMPORT VHC Report'!$E:$E, 'IMPORT VHC Report'!$A:$C), )</f>
        <v/>
      </c>
      <c r="C15912" s="44"/>
      <c r="D15912" s="44"/>
      <c r="E15912" s="46" t="s">
        <v>12096</v>
      </c>
      <c r="F15912" s="46" t="s">
        <v>4381</v>
      </c>
      <c r="G15912" s="46">
        <v>5.359149526287E12</v>
      </c>
      <c r="H15912" s="46" t="s">
        <v>4382</v>
      </c>
      <c r="I15912" s="46" t="s">
        <v>4383</v>
      </c>
      <c r="J15912" s="46" t="s">
        <v>134</v>
      </c>
      <c r="K15912" s="46" t="s">
        <v>126</v>
      </c>
      <c r="L15912" s="45">
        <v>46017.71527777778</v>
      </c>
      <c r="M15912" s="46" t="s">
        <v>123</v>
      </c>
      <c r="N15912" s="45">
        <v>46017.73611111111</v>
      </c>
      <c r="O15912" s="46" t="s">
        <v>123</v>
      </c>
      <c r="P15912" s="46">
        <v>1800.0</v>
      </c>
    </row>
    <row r="15913">
      <c r="A15913" s="40">
        <f t="shared" si="1"/>
        <v>46013</v>
      </c>
      <c r="B15913" s="37" t="str">
        <f t="array" ref="B15913">iferror(xlookup($I15913, 'IMPORT VHC Report'!$E:$E, 'IMPORT VHC Report'!$A:$C), )</f>
        <v/>
      </c>
      <c r="C15913" s="44"/>
      <c r="D15913" s="44"/>
      <c r="E15913" s="46" t="s">
        <v>12097</v>
      </c>
      <c r="F15913" s="46" t="s">
        <v>4381</v>
      </c>
      <c r="G15913" s="46">
        <v>5.359149526287E12</v>
      </c>
      <c r="H15913" s="46" t="s">
        <v>4382</v>
      </c>
      <c r="I15913" s="46" t="s">
        <v>4383</v>
      </c>
      <c r="J15913" s="46" t="s">
        <v>4</v>
      </c>
      <c r="K15913" s="46" t="s">
        <v>126</v>
      </c>
      <c r="L15913" s="45">
        <v>46017.822916666664</v>
      </c>
      <c r="M15913" s="46" t="s">
        <v>123</v>
      </c>
      <c r="N15913" s="45">
        <v>46017.833333333336</v>
      </c>
      <c r="O15913" s="46" t="s">
        <v>123</v>
      </c>
      <c r="P15913" s="46">
        <v>900.0</v>
      </c>
      <c r="S15913" s="46" t="s">
        <v>12007</v>
      </c>
    </row>
    <row r="15914">
      <c r="A15914" s="40">
        <f t="shared" si="1"/>
        <v>46013</v>
      </c>
      <c r="B15914" s="37" t="str">
        <f t="array" ref="B15914">iferror(xlookup($I15914, 'IMPORT VHC Report'!$E:$E, 'IMPORT VHC Report'!$A:$C), )</f>
        <v/>
      </c>
      <c r="C15914" s="44"/>
      <c r="D15914" s="44"/>
      <c r="E15914" s="46" t="s">
        <v>12098</v>
      </c>
      <c r="F15914" s="46" t="s">
        <v>4381</v>
      </c>
      <c r="G15914" s="46">
        <v>5.359149526287E12</v>
      </c>
      <c r="H15914" s="46" t="s">
        <v>4382</v>
      </c>
      <c r="I15914" s="46" t="s">
        <v>4383</v>
      </c>
      <c r="J15914" s="46" t="s">
        <v>132</v>
      </c>
      <c r="K15914" s="46" t="s">
        <v>126</v>
      </c>
      <c r="L15914" s="45">
        <v>46017.833333333336</v>
      </c>
      <c r="M15914" s="46" t="s">
        <v>123</v>
      </c>
      <c r="N15914" s="45">
        <v>46017.875</v>
      </c>
      <c r="O15914" s="46" t="s">
        <v>123</v>
      </c>
      <c r="P15914" s="46">
        <v>3600.0</v>
      </c>
    </row>
    <row r="15915">
      <c r="A15915" s="40">
        <f t="shared" si="1"/>
        <v>46013</v>
      </c>
      <c r="B15915" s="37" t="str">
        <f t="array" ref="B15915">iferror(xlookup($I15915, 'IMPORT VHC Report'!$E:$E, 'IMPORT VHC Report'!$A:$C), )</f>
        <v/>
      </c>
      <c r="C15915" s="44"/>
      <c r="D15915" s="44"/>
      <c r="E15915" s="46" t="s">
        <v>12099</v>
      </c>
      <c r="F15915" s="46" t="s">
        <v>4435</v>
      </c>
      <c r="G15915" s="46">
        <v>3.61750058635E11</v>
      </c>
      <c r="H15915" s="46" t="s">
        <v>4436</v>
      </c>
      <c r="I15915" s="46" t="s">
        <v>4437</v>
      </c>
      <c r="J15915" s="46" t="s">
        <v>330</v>
      </c>
      <c r="K15915" s="46" t="s">
        <v>126</v>
      </c>
      <c r="L15915" s="45">
        <v>46013.583333333336</v>
      </c>
      <c r="M15915" s="46" t="s">
        <v>123</v>
      </c>
      <c r="N15915" s="45">
        <v>46013.59027777778</v>
      </c>
      <c r="O15915" s="46" t="s">
        <v>123</v>
      </c>
      <c r="P15915" s="46">
        <v>600.0</v>
      </c>
    </row>
    <row r="15916">
      <c r="A15916" s="40">
        <f t="shared" si="1"/>
        <v>46013</v>
      </c>
      <c r="B15916" s="37" t="str">
        <f t="array" ref="B15916">iferror(xlookup($I15916, 'IMPORT VHC Report'!$E:$E, 'IMPORT VHC Report'!$A:$C), )</f>
        <v/>
      </c>
      <c r="C15916" s="44"/>
      <c r="D15916" s="44"/>
      <c r="E15916" s="46" t="s">
        <v>12100</v>
      </c>
      <c r="F15916" s="46" t="s">
        <v>4435</v>
      </c>
      <c r="G15916" s="46">
        <v>3.61750058635E11</v>
      </c>
      <c r="H15916" s="46" t="s">
        <v>4436</v>
      </c>
      <c r="I15916" s="46" t="s">
        <v>4437</v>
      </c>
      <c r="J15916" s="46" t="s">
        <v>332</v>
      </c>
      <c r="K15916" s="46" t="s">
        <v>63</v>
      </c>
      <c r="L15916" s="45">
        <v>46013.583333333336</v>
      </c>
      <c r="M15916" s="46" t="s">
        <v>123</v>
      </c>
      <c r="N15916" s="45">
        <v>46013.958333333336</v>
      </c>
      <c r="O15916" s="46" t="s">
        <v>123</v>
      </c>
      <c r="P15916" s="46">
        <v>32400.0</v>
      </c>
    </row>
    <row r="15917">
      <c r="A15917" s="40">
        <f t="shared" si="1"/>
        <v>46013</v>
      </c>
      <c r="B15917" s="37" t="str">
        <f t="array" ref="B15917">iferror(xlookup($I15917, 'IMPORT VHC Report'!$E:$E, 'IMPORT VHC Report'!$A:$C), )</f>
        <v/>
      </c>
      <c r="C15917" s="44"/>
      <c r="D15917" s="44"/>
      <c r="E15917" s="46" t="s">
        <v>12101</v>
      </c>
      <c r="F15917" s="46" t="s">
        <v>4435</v>
      </c>
      <c r="G15917" s="46">
        <v>3.61750058635E11</v>
      </c>
      <c r="H15917" s="46" t="s">
        <v>4436</v>
      </c>
      <c r="I15917" s="46" t="s">
        <v>4437</v>
      </c>
      <c r="J15917" s="46" t="s">
        <v>125</v>
      </c>
      <c r="K15917" s="46" t="s">
        <v>126</v>
      </c>
      <c r="L15917" s="45">
        <v>46013.597916666666</v>
      </c>
      <c r="M15917" s="46" t="s">
        <v>123</v>
      </c>
      <c r="N15917" s="45">
        <v>46013.600694444445</v>
      </c>
      <c r="O15917" s="46" t="s">
        <v>123</v>
      </c>
      <c r="P15917" s="46">
        <v>240.0</v>
      </c>
      <c r="S15917" s="46" t="s">
        <v>12102</v>
      </c>
    </row>
    <row r="15918">
      <c r="A15918" s="40">
        <f t="shared" si="1"/>
        <v>46013</v>
      </c>
      <c r="B15918" s="37" t="str">
        <f t="array" ref="B15918">iferror(xlookup($I15918, 'IMPORT VHC Report'!$E:$E, 'IMPORT VHC Report'!$A:$C), )</f>
        <v/>
      </c>
      <c r="C15918" s="44"/>
      <c r="D15918" s="44"/>
      <c r="E15918" s="46" t="s">
        <v>12103</v>
      </c>
      <c r="F15918" s="46" t="s">
        <v>4435</v>
      </c>
      <c r="G15918" s="46">
        <v>3.61750058635E11</v>
      </c>
      <c r="H15918" s="46" t="s">
        <v>4436</v>
      </c>
      <c r="I15918" s="46" t="s">
        <v>4437</v>
      </c>
      <c r="J15918" s="46" t="s">
        <v>4</v>
      </c>
      <c r="K15918" s="46" t="s">
        <v>126</v>
      </c>
      <c r="L15918" s="45">
        <v>46013.71875</v>
      </c>
      <c r="M15918" s="46" t="s">
        <v>123</v>
      </c>
      <c r="N15918" s="45">
        <v>46013.729166666664</v>
      </c>
      <c r="O15918" s="46" t="s">
        <v>123</v>
      </c>
      <c r="P15918" s="46">
        <v>900.0</v>
      </c>
      <c r="S15918" s="46" t="s">
        <v>3693</v>
      </c>
    </row>
    <row r="15919">
      <c r="A15919" s="40">
        <f t="shared" si="1"/>
        <v>46013</v>
      </c>
      <c r="B15919" s="37" t="str">
        <f t="array" ref="B15919">iferror(xlookup($I15919, 'IMPORT VHC Report'!$E:$E, 'IMPORT VHC Report'!$A:$C), )</f>
        <v/>
      </c>
      <c r="C15919" s="44"/>
      <c r="D15919" s="44"/>
      <c r="E15919" s="46" t="s">
        <v>12104</v>
      </c>
      <c r="F15919" s="46" t="s">
        <v>4435</v>
      </c>
      <c r="G15919" s="46">
        <v>3.61750058635E11</v>
      </c>
      <c r="H15919" s="46" t="s">
        <v>4436</v>
      </c>
      <c r="I15919" s="46" t="s">
        <v>4437</v>
      </c>
      <c r="J15919" s="46" t="s">
        <v>132</v>
      </c>
      <c r="K15919" s="46" t="s">
        <v>126</v>
      </c>
      <c r="L15919" s="45">
        <v>46013.729166666664</v>
      </c>
      <c r="M15919" s="46" t="s">
        <v>123</v>
      </c>
      <c r="N15919" s="45">
        <v>46013.770833333336</v>
      </c>
      <c r="O15919" s="46" t="s">
        <v>123</v>
      </c>
      <c r="P15919" s="46">
        <v>3600.0</v>
      </c>
    </row>
    <row r="15920">
      <c r="A15920" s="40">
        <f t="shared" si="1"/>
        <v>46013</v>
      </c>
      <c r="B15920" s="37" t="str">
        <f t="array" ref="B15920">iferror(xlookup($I15920, 'IMPORT VHC Report'!$E:$E, 'IMPORT VHC Report'!$A:$C), )</f>
        <v/>
      </c>
      <c r="C15920" s="44"/>
      <c r="D15920" s="44"/>
      <c r="E15920" s="46" t="s">
        <v>12105</v>
      </c>
      <c r="F15920" s="46" t="s">
        <v>4435</v>
      </c>
      <c r="G15920" s="46">
        <v>3.61750058635E11</v>
      </c>
      <c r="H15920" s="46" t="s">
        <v>4436</v>
      </c>
      <c r="I15920" s="46" t="s">
        <v>4437</v>
      </c>
      <c r="J15920" s="46" t="s">
        <v>4</v>
      </c>
      <c r="K15920" s="46" t="s">
        <v>126</v>
      </c>
      <c r="L15920" s="45">
        <v>46013.791666666664</v>
      </c>
      <c r="M15920" s="46" t="s">
        <v>123</v>
      </c>
      <c r="N15920" s="45">
        <v>46013.833333333336</v>
      </c>
      <c r="O15920" s="46" t="s">
        <v>123</v>
      </c>
      <c r="P15920" s="46">
        <v>3600.0</v>
      </c>
      <c r="S15920" s="46" t="s">
        <v>3696</v>
      </c>
    </row>
    <row r="15921">
      <c r="A15921" s="40">
        <f t="shared" si="1"/>
        <v>46013</v>
      </c>
      <c r="B15921" s="37" t="str">
        <f t="array" ref="B15921">iferror(xlookup($I15921, 'IMPORT VHC Report'!$E:$E, 'IMPORT VHC Report'!$A:$C), )</f>
        <v/>
      </c>
      <c r="C15921" s="44"/>
      <c r="D15921" s="44"/>
      <c r="E15921" s="46" t="s">
        <v>12106</v>
      </c>
      <c r="F15921" s="46" t="s">
        <v>4435</v>
      </c>
      <c r="G15921" s="46">
        <v>3.61750058635E11</v>
      </c>
      <c r="H15921" s="46" t="s">
        <v>4436</v>
      </c>
      <c r="I15921" s="46" t="s">
        <v>4437</v>
      </c>
      <c r="J15921" s="46" t="s">
        <v>134</v>
      </c>
      <c r="K15921" s="46" t="s">
        <v>126</v>
      </c>
      <c r="L15921" s="45">
        <v>46013.854166666664</v>
      </c>
      <c r="M15921" s="46" t="s">
        <v>123</v>
      </c>
      <c r="N15921" s="45">
        <v>46013.875</v>
      </c>
      <c r="O15921" s="46" t="s">
        <v>123</v>
      </c>
      <c r="P15921" s="46">
        <v>1800.0</v>
      </c>
    </row>
    <row r="15922">
      <c r="A15922" s="40">
        <f t="shared" si="1"/>
        <v>46013</v>
      </c>
      <c r="B15922" s="37" t="str">
        <f t="array" ref="B15922">iferror(xlookup($I15922, 'IMPORT VHC Report'!$E:$E, 'IMPORT VHC Report'!$A:$C), )</f>
        <v/>
      </c>
      <c r="C15922" s="44"/>
      <c r="D15922" s="44"/>
      <c r="E15922" s="46" t="s">
        <v>12107</v>
      </c>
      <c r="F15922" s="46" t="s">
        <v>4435</v>
      </c>
      <c r="G15922" s="46">
        <v>3.61750058635E11</v>
      </c>
      <c r="H15922" s="46" t="s">
        <v>4436</v>
      </c>
      <c r="I15922" s="46" t="s">
        <v>4437</v>
      </c>
      <c r="J15922" s="46" t="s">
        <v>330</v>
      </c>
      <c r="K15922" s="46" t="s">
        <v>126</v>
      </c>
      <c r="L15922" s="45">
        <v>46014.583333333336</v>
      </c>
      <c r="M15922" s="46" t="s">
        <v>123</v>
      </c>
      <c r="N15922" s="45">
        <v>46014.59027777778</v>
      </c>
      <c r="O15922" s="46" t="s">
        <v>123</v>
      </c>
      <c r="P15922" s="46">
        <v>600.0</v>
      </c>
    </row>
    <row r="15923">
      <c r="A15923" s="40">
        <f t="shared" si="1"/>
        <v>46013</v>
      </c>
      <c r="B15923" s="37" t="str">
        <f t="array" ref="B15923">iferror(xlookup($I15923, 'IMPORT VHC Report'!$E:$E, 'IMPORT VHC Report'!$A:$C), )</f>
        <v/>
      </c>
      <c r="C15923" s="44"/>
      <c r="D15923" s="44"/>
      <c r="E15923" s="46" t="s">
        <v>12108</v>
      </c>
      <c r="F15923" s="46" t="s">
        <v>4435</v>
      </c>
      <c r="G15923" s="46">
        <v>3.61750058635E11</v>
      </c>
      <c r="H15923" s="46" t="s">
        <v>4436</v>
      </c>
      <c r="I15923" s="46" t="s">
        <v>4437</v>
      </c>
      <c r="J15923" s="46" t="s">
        <v>152</v>
      </c>
      <c r="K15923" s="46" t="s">
        <v>153</v>
      </c>
      <c r="L15923" s="45">
        <v>46014.583333333336</v>
      </c>
      <c r="M15923" s="46" t="s">
        <v>123</v>
      </c>
      <c r="N15923" s="45">
        <v>46014.958333333336</v>
      </c>
      <c r="O15923" s="46" t="s">
        <v>123</v>
      </c>
      <c r="P15923" s="46">
        <v>32400.0</v>
      </c>
      <c r="Q15923" s="46">
        <v>32400.0</v>
      </c>
      <c r="R15923" s="46" t="s">
        <v>1598</v>
      </c>
      <c r="S15923" s="46" t="s">
        <v>1598</v>
      </c>
    </row>
    <row r="15924">
      <c r="A15924" s="40">
        <f t="shared" si="1"/>
        <v>46013</v>
      </c>
      <c r="B15924" s="37" t="str">
        <f t="array" ref="B15924">iferror(xlookup($I15924, 'IMPORT VHC Report'!$E:$E, 'IMPORT VHC Report'!$A:$C), )</f>
        <v/>
      </c>
      <c r="C15924" s="44"/>
      <c r="D15924" s="44"/>
      <c r="E15924" s="46" t="s">
        <v>12109</v>
      </c>
      <c r="F15924" s="46" t="s">
        <v>4435</v>
      </c>
      <c r="G15924" s="46">
        <v>3.61750058635E11</v>
      </c>
      <c r="H15924" s="46" t="s">
        <v>4436</v>
      </c>
      <c r="I15924" s="46" t="s">
        <v>4437</v>
      </c>
      <c r="J15924" s="46" t="s">
        <v>132</v>
      </c>
      <c r="K15924" s="46" t="s">
        <v>126</v>
      </c>
      <c r="L15924" s="45">
        <v>46014.697916666664</v>
      </c>
      <c r="M15924" s="46" t="s">
        <v>123</v>
      </c>
      <c r="N15924" s="45">
        <v>46014.739583333336</v>
      </c>
      <c r="O15924" s="46" t="s">
        <v>123</v>
      </c>
      <c r="P15924" s="46">
        <v>3600.0</v>
      </c>
    </row>
    <row r="15925">
      <c r="A15925" s="40">
        <f t="shared" si="1"/>
        <v>46013</v>
      </c>
      <c r="B15925" s="37" t="str">
        <f t="array" ref="B15925">iferror(xlookup($I15925, 'IMPORT VHC Report'!$E:$E, 'IMPORT VHC Report'!$A:$C), )</f>
        <v/>
      </c>
      <c r="C15925" s="44"/>
      <c r="D15925" s="44"/>
      <c r="E15925" s="46" t="s">
        <v>12110</v>
      </c>
      <c r="F15925" s="46" t="s">
        <v>4435</v>
      </c>
      <c r="G15925" s="46">
        <v>3.61750058635E11</v>
      </c>
      <c r="H15925" s="46" t="s">
        <v>4436</v>
      </c>
      <c r="I15925" s="46" t="s">
        <v>4437</v>
      </c>
      <c r="J15925" s="46" t="s">
        <v>134</v>
      </c>
      <c r="K15925" s="46" t="s">
        <v>126</v>
      </c>
      <c r="L15925" s="45">
        <v>46014.822916666664</v>
      </c>
      <c r="M15925" s="46" t="s">
        <v>123</v>
      </c>
      <c r="N15925" s="45">
        <v>46014.84375</v>
      </c>
      <c r="O15925" s="46" t="s">
        <v>123</v>
      </c>
      <c r="P15925" s="46">
        <v>1800.0</v>
      </c>
    </row>
    <row r="15926">
      <c r="A15926" s="40">
        <f t="shared" si="1"/>
        <v>46013</v>
      </c>
      <c r="B15926" s="37" t="str">
        <f t="array" ref="B15926">iferror(xlookup($I15926, 'IMPORT VHC Report'!$E:$E, 'IMPORT VHC Report'!$A:$C), )</f>
        <v/>
      </c>
      <c r="C15926" s="44"/>
      <c r="D15926" s="44"/>
      <c r="E15926" s="46" t="s">
        <v>12111</v>
      </c>
      <c r="F15926" s="46" t="s">
        <v>4435</v>
      </c>
      <c r="G15926" s="46">
        <v>3.61750058635E11</v>
      </c>
      <c r="H15926" s="46" t="s">
        <v>4436</v>
      </c>
      <c r="I15926" s="46" t="s">
        <v>4437</v>
      </c>
      <c r="J15926" s="46" t="s">
        <v>330</v>
      </c>
      <c r="K15926" s="46" t="s">
        <v>126</v>
      </c>
      <c r="L15926" s="45">
        <v>46015.583333333336</v>
      </c>
      <c r="M15926" s="46" t="s">
        <v>123</v>
      </c>
      <c r="N15926" s="45">
        <v>46015.59027777778</v>
      </c>
      <c r="O15926" s="46" t="s">
        <v>123</v>
      </c>
      <c r="P15926" s="46">
        <v>600.0</v>
      </c>
    </row>
    <row r="15927">
      <c r="A15927" s="40">
        <f t="shared" si="1"/>
        <v>46013</v>
      </c>
      <c r="B15927" s="37" t="str">
        <f t="array" ref="B15927">iferror(xlookup($I15927, 'IMPORT VHC Report'!$E:$E, 'IMPORT VHC Report'!$A:$C), )</f>
        <v/>
      </c>
      <c r="C15927" s="44"/>
      <c r="D15927" s="44"/>
      <c r="E15927" s="46" t="s">
        <v>12112</v>
      </c>
      <c r="F15927" s="46" t="s">
        <v>4435</v>
      </c>
      <c r="G15927" s="46">
        <v>3.61750058635E11</v>
      </c>
      <c r="H15927" s="46" t="s">
        <v>4436</v>
      </c>
      <c r="I15927" s="46" t="s">
        <v>4437</v>
      </c>
      <c r="J15927" s="46" t="s">
        <v>332</v>
      </c>
      <c r="K15927" s="46" t="s">
        <v>63</v>
      </c>
      <c r="L15927" s="45">
        <v>46015.583333333336</v>
      </c>
      <c r="M15927" s="46" t="s">
        <v>123</v>
      </c>
      <c r="N15927" s="45">
        <v>46015.958333333336</v>
      </c>
      <c r="O15927" s="46" t="s">
        <v>123</v>
      </c>
      <c r="P15927" s="46">
        <v>32400.0</v>
      </c>
    </row>
    <row r="15928">
      <c r="A15928" s="40">
        <f t="shared" si="1"/>
        <v>46013</v>
      </c>
      <c r="B15928" s="37" t="str">
        <f t="array" ref="B15928">iferror(xlookup($I15928, 'IMPORT VHC Report'!$E:$E, 'IMPORT VHC Report'!$A:$C), )</f>
        <v/>
      </c>
      <c r="C15928" s="44"/>
      <c r="D15928" s="44"/>
      <c r="E15928" s="46" t="s">
        <v>12113</v>
      </c>
      <c r="F15928" s="46" t="s">
        <v>4435</v>
      </c>
      <c r="G15928" s="46">
        <v>3.61750058635E11</v>
      </c>
      <c r="H15928" s="46" t="s">
        <v>4436</v>
      </c>
      <c r="I15928" s="46" t="s">
        <v>4437</v>
      </c>
      <c r="J15928" s="46" t="s">
        <v>134</v>
      </c>
      <c r="K15928" s="46" t="s">
        <v>126</v>
      </c>
      <c r="L15928" s="45">
        <v>46015.677083333336</v>
      </c>
      <c r="M15928" s="46" t="s">
        <v>123</v>
      </c>
      <c r="N15928" s="45">
        <v>46015.697916666664</v>
      </c>
      <c r="O15928" s="46" t="s">
        <v>123</v>
      </c>
      <c r="P15928" s="46">
        <v>1800.0</v>
      </c>
    </row>
    <row r="15929">
      <c r="A15929" s="40">
        <f t="shared" si="1"/>
        <v>46013</v>
      </c>
      <c r="B15929" s="37" t="str">
        <f t="array" ref="B15929">iferror(xlookup($I15929, 'IMPORT VHC Report'!$E:$E, 'IMPORT VHC Report'!$A:$C), )</f>
        <v/>
      </c>
      <c r="C15929" s="44"/>
      <c r="D15929" s="44"/>
      <c r="E15929" s="46" t="s">
        <v>12114</v>
      </c>
      <c r="F15929" s="46" t="s">
        <v>4435</v>
      </c>
      <c r="G15929" s="46">
        <v>3.61750058635E11</v>
      </c>
      <c r="H15929" s="46" t="s">
        <v>4436</v>
      </c>
      <c r="I15929" s="46" t="s">
        <v>4437</v>
      </c>
      <c r="J15929" s="46" t="s">
        <v>136</v>
      </c>
      <c r="K15929" s="46" t="s">
        <v>126</v>
      </c>
      <c r="L15929" s="45">
        <v>46015.697916666664</v>
      </c>
      <c r="M15929" s="46" t="s">
        <v>123</v>
      </c>
      <c r="N15929" s="45">
        <v>46015.70486111111</v>
      </c>
      <c r="O15929" s="46" t="s">
        <v>123</v>
      </c>
      <c r="P15929" s="46">
        <v>600.0</v>
      </c>
      <c r="S15929" s="46" t="s">
        <v>4327</v>
      </c>
    </row>
    <row r="15930">
      <c r="A15930" s="40">
        <f t="shared" si="1"/>
        <v>46013</v>
      </c>
      <c r="B15930" s="37" t="str">
        <f t="array" ref="B15930">iferror(xlookup($I15930, 'IMPORT VHC Report'!$E:$E, 'IMPORT VHC Report'!$A:$C), )</f>
        <v/>
      </c>
      <c r="C15930" s="44"/>
      <c r="D15930" s="44"/>
      <c r="E15930" s="46" t="s">
        <v>12115</v>
      </c>
      <c r="F15930" s="46" t="s">
        <v>4435</v>
      </c>
      <c r="G15930" s="46">
        <v>3.61750058635E11</v>
      </c>
      <c r="H15930" s="46" t="s">
        <v>4436</v>
      </c>
      <c r="I15930" s="46" t="s">
        <v>4437</v>
      </c>
      <c r="J15930" s="46" t="s">
        <v>330</v>
      </c>
      <c r="K15930" s="46" t="s">
        <v>126</v>
      </c>
      <c r="L15930" s="45">
        <v>46015.71875</v>
      </c>
      <c r="M15930" s="46" t="s">
        <v>123</v>
      </c>
      <c r="N15930" s="45">
        <v>46015.76736111111</v>
      </c>
      <c r="O15930" s="46" t="s">
        <v>123</v>
      </c>
      <c r="P15930" s="46">
        <v>4200.0</v>
      </c>
    </row>
    <row r="15931">
      <c r="A15931" s="40">
        <f t="shared" si="1"/>
        <v>46013</v>
      </c>
      <c r="B15931" s="37" t="str">
        <f t="array" ref="B15931">iferror(xlookup($I15931, 'IMPORT VHC Report'!$E:$E, 'IMPORT VHC Report'!$A:$C), )</f>
        <v/>
      </c>
      <c r="C15931" s="44"/>
      <c r="D15931" s="44"/>
      <c r="E15931" s="46" t="s">
        <v>12116</v>
      </c>
      <c r="F15931" s="46" t="s">
        <v>4435</v>
      </c>
      <c r="G15931" s="46">
        <v>3.61750058635E11</v>
      </c>
      <c r="H15931" s="46" t="s">
        <v>4436</v>
      </c>
      <c r="I15931" s="46" t="s">
        <v>4437</v>
      </c>
      <c r="J15931" s="46" t="s">
        <v>132</v>
      </c>
      <c r="K15931" s="46" t="s">
        <v>126</v>
      </c>
      <c r="L15931" s="45">
        <v>46015.78125</v>
      </c>
      <c r="M15931" s="46" t="s">
        <v>123</v>
      </c>
      <c r="N15931" s="45">
        <v>46015.822916666664</v>
      </c>
      <c r="O15931" s="46" t="s">
        <v>123</v>
      </c>
      <c r="P15931" s="46">
        <v>3600.0</v>
      </c>
    </row>
    <row r="15932">
      <c r="A15932" s="40">
        <f t="shared" si="1"/>
        <v>46013</v>
      </c>
      <c r="B15932" s="37" t="str">
        <f t="array" ref="B15932">iferror(xlookup($I15932, 'IMPORT VHC Report'!$E:$E, 'IMPORT VHC Report'!$A:$C), )</f>
        <v/>
      </c>
      <c r="C15932" s="44"/>
      <c r="D15932" s="44"/>
      <c r="E15932" s="46" t="s">
        <v>12117</v>
      </c>
      <c r="F15932" s="46" t="s">
        <v>4435</v>
      </c>
      <c r="G15932" s="46">
        <v>3.61750058635E11</v>
      </c>
      <c r="H15932" s="46" t="s">
        <v>4436</v>
      </c>
      <c r="I15932" s="46" t="s">
        <v>4437</v>
      </c>
      <c r="J15932" s="46" t="s">
        <v>330</v>
      </c>
      <c r="K15932" s="46" t="s">
        <v>126</v>
      </c>
      <c r="L15932" s="45">
        <v>46016.583333333336</v>
      </c>
      <c r="M15932" s="46" t="s">
        <v>123</v>
      </c>
      <c r="N15932" s="45">
        <v>46016.59027777778</v>
      </c>
      <c r="O15932" s="46" t="s">
        <v>123</v>
      </c>
      <c r="P15932" s="46">
        <v>600.0</v>
      </c>
    </row>
    <row r="15933">
      <c r="A15933" s="40">
        <f t="shared" si="1"/>
        <v>46013</v>
      </c>
      <c r="B15933" s="37" t="str">
        <f t="array" ref="B15933">iferror(xlookup($I15933, 'IMPORT VHC Report'!$E:$E, 'IMPORT VHC Report'!$A:$C), )</f>
        <v/>
      </c>
      <c r="C15933" s="44"/>
      <c r="D15933" s="44"/>
      <c r="E15933" s="46" t="s">
        <v>12118</v>
      </c>
      <c r="F15933" s="46" t="s">
        <v>4435</v>
      </c>
      <c r="G15933" s="46">
        <v>3.61750058635E11</v>
      </c>
      <c r="H15933" s="46" t="s">
        <v>4436</v>
      </c>
      <c r="I15933" s="46" t="s">
        <v>4437</v>
      </c>
      <c r="J15933" s="46" t="s">
        <v>332</v>
      </c>
      <c r="K15933" s="46" t="s">
        <v>63</v>
      </c>
      <c r="L15933" s="45">
        <v>46016.583333333336</v>
      </c>
      <c r="M15933" s="46" t="s">
        <v>123</v>
      </c>
      <c r="N15933" s="45">
        <v>46016.958333333336</v>
      </c>
      <c r="O15933" s="46" t="s">
        <v>123</v>
      </c>
      <c r="P15933" s="46">
        <v>32400.0</v>
      </c>
    </row>
    <row r="15934">
      <c r="A15934" s="40">
        <f t="shared" si="1"/>
        <v>46013</v>
      </c>
      <c r="B15934" s="37" t="str">
        <f t="array" ref="B15934">iferror(xlookup($I15934, 'IMPORT VHC Report'!$E:$E, 'IMPORT VHC Report'!$A:$C), )</f>
        <v/>
      </c>
      <c r="C15934" s="44"/>
      <c r="D15934" s="44"/>
      <c r="E15934" s="46" t="s">
        <v>12119</v>
      </c>
      <c r="F15934" s="46" t="s">
        <v>4435</v>
      </c>
      <c r="G15934" s="46">
        <v>3.61750058635E11</v>
      </c>
      <c r="H15934" s="46" t="s">
        <v>4436</v>
      </c>
      <c r="I15934" s="46" t="s">
        <v>4437</v>
      </c>
      <c r="J15934" s="46" t="s">
        <v>132</v>
      </c>
      <c r="K15934" s="46" t="s">
        <v>126</v>
      </c>
      <c r="L15934" s="45">
        <v>46016.739583333336</v>
      </c>
      <c r="M15934" s="46" t="s">
        <v>123</v>
      </c>
      <c r="N15934" s="45">
        <v>46016.78125</v>
      </c>
      <c r="O15934" s="46" t="s">
        <v>123</v>
      </c>
      <c r="P15934" s="46">
        <v>3600.0</v>
      </c>
    </row>
    <row r="15935">
      <c r="A15935" s="40">
        <f t="shared" si="1"/>
        <v>46013</v>
      </c>
      <c r="B15935" s="37" t="str">
        <f t="array" ref="B15935">iferror(xlookup($I15935, 'IMPORT VHC Report'!$E:$E, 'IMPORT VHC Report'!$A:$C), )</f>
        <v/>
      </c>
      <c r="C15935" s="44"/>
      <c r="D15935" s="44"/>
      <c r="E15935" s="46" t="s">
        <v>12120</v>
      </c>
      <c r="F15935" s="46" t="s">
        <v>4435</v>
      </c>
      <c r="G15935" s="46">
        <v>3.61750058635E11</v>
      </c>
      <c r="H15935" s="46" t="s">
        <v>4436</v>
      </c>
      <c r="I15935" s="46" t="s">
        <v>4437</v>
      </c>
      <c r="J15935" s="46" t="s">
        <v>134</v>
      </c>
      <c r="K15935" s="46" t="s">
        <v>126</v>
      </c>
      <c r="L15935" s="45">
        <v>46016.881944444445</v>
      </c>
      <c r="M15935" s="46" t="s">
        <v>123</v>
      </c>
      <c r="N15935" s="45">
        <v>46016.90277777778</v>
      </c>
      <c r="O15935" s="46" t="s">
        <v>123</v>
      </c>
      <c r="P15935" s="46">
        <v>1800.0</v>
      </c>
      <c r="S15935" s="46" t="s">
        <v>12121</v>
      </c>
    </row>
    <row r="15936">
      <c r="A15936" s="40">
        <f t="shared" si="1"/>
        <v>46013</v>
      </c>
      <c r="B15936" s="37" t="str">
        <f t="array" ref="B15936">iferror(xlookup($I15936, 'IMPORT VHC Report'!$E:$E, 'IMPORT VHC Report'!$A:$C), )</f>
        <v/>
      </c>
      <c r="C15936" s="44"/>
      <c r="D15936" s="44"/>
      <c r="E15936" s="46" t="s">
        <v>12122</v>
      </c>
      <c r="F15936" s="46" t="s">
        <v>4435</v>
      </c>
      <c r="G15936" s="46">
        <v>3.61750058635E11</v>
      </c>
      <c r="H15936" s="46" t="s">
        <v>4436</v>
      </c>
      <c r="I15936" s="46" t="s">
        <v>4437</v>
      </c>
      <c r="J15936" s="46" t="s">
        <v>330</v>
      </c>
      <c r="K15936" s="46" t="s">
        <v>126</v>
      </c>
      <c r="L15936" s="45">
        <v>46017.583333333336</v>
      </c>
      <c r="M15936" s="46" t="s">
        <v>123</v>
      </c>
      <c r="N15936" s="45">
        <v>46017.59027777778</v>
      </c>
      <c r="O15936" s="46" t="s">
        <v>123</v>
      </c>
      <c r="P15936" s="46">
        <v>600.0</v>
      </c>
    </row>
    <row r="15937">
      <c r="A15937" s="40">
        <f t="shared" si="1"/>
        <v>46013</v>
      </c>
      <c r="B15937" s="37" t="str">
        <f t="array" ref="B15937">iferror(xlookup($I15937, 'IMPORT VHC Report'!$E:$E, 'IMPORT VHC Report'!$A:$C), )</f>
        <v/>
      </c>
      <c r="C15937" s="44"/>
      <c r="D15937" s="44"/>
      <c r="E15937" s="46" t="s">
        <v>12123</v>
      </c>
      <c r="F15937" s="46" t="s">
        <v>4435</v>
      </c>
      <c r="G15937" s="46">
        <v>3.61750058635E11</v>
      </c>
      <c r="H15937" s="46" t="s">
        <v>4436</v>
      </c>
      <c r="I15937" s="46" t="s">
        <v>4437</v>
      </c>
      <c r="J15937" s="46" t="s">
        <v>332</v>
      </c>
      <c r="K15937" s="46" t="s">
        <v>63</v>
      </c>
      <c r="L15937" s="45">
        <v>46017.583333333336</v>
      </c>
      <c r="M15937" s="46" t="s">
        <v>123</v>
      </c>
      <c r="N15937" s="45">
        <v>46017.958333333336</v>
      </c>
      <c r="O15937" s="46" t="s">
        <v>123</v>
      </c>
      <c r="P15937" s="46">
        <v>32400.0</v>
      </c>
    </row>
    <row r="15938">
      <c r="A15938" s="40">
        <f t="shared" si="1"/>
        <v>46013</v>
      </c>
      <c r="B15938" s="37" t="str">
        <f t="array" ref="B15938">iferror(xlookup($I15938, 'IMPORT VHC Report'!$E:$E, 'IMPORT VHC Report'!$A:$C), )</f>
        <v/>
      </c>
      <c r="C15938" s="44"/>
      <c r="D15938" s="44"/>
      <c r="E15938" s="46" t="s">
        <v>12124</v>
      </c>
      <c r="F15938" s="46" t="s">
        <v>4435</v>
      </c>
      <c r="G15938" s="46">
        <v>3.61750058635E11</v>
      </c>
      <c r="H15938" s="46" t="s">
        <v>4436</v>
      </c>
      <c r="I15938" s="46" t="s">
        <v>4437</v>
      </c>
      <c r="J15938" s="46" t="s">
        <v>136</v>
      </c>
      <c r="K15938" s="46" t="s">
        <v>126</v>
      </c>
      <c r="L15938" s="45">
        <v>46017.666666666664</v>
      </c>
      <c r="M15938" s="46" t="s">
        <v>123</v>
      </c>
      <c r="N15938" s="45">
        <v>46017.71527777778</v>
      </c>
      <c r="O15938" s="46" t="s">
        <v>123</v>
      </c>
      <c r="P15938" s="46">
        <v>4200.0</v>
      </c>
      <c r="S15938" s="46" t="s">
        <v>137</v>
      </c>
    </row>
    <row r="15939">
      <c r="A15939" s="40">
        <f t="shared" si="1"/>
        <v>46013</v>
      </c>
      <c r="B15939" s="37" t="str">
        <f t="array" ref="B15939">iferror(xlookup($I15939, 'IMPORT VHC Report'!$E:$E, 'IMPORT VHC Report'!$A:$C), )</f>
        <v/>
      </c>
      <c r="C15939" s="44"/>
      <c r="D15939" s="44"/>
      <c r="E15939" s="46" t="s">
        <v>12125</v>
      </c>
      <c r="F15939" s="46" t="s">
        <v>4435</v>
      </c>
      <c r="G15939" s="46">
        <v>3.61750058635E11</v>
      </c>
      <c r="H15939" s="46" t="s">
        <v>4436</v>
      </c>
      <c r="I15939" s="46" t="s">
        <v>4437</v>
      </c>
      <c r="J15939" s="46" t="s">
        <v>134</v>
      </c>
      <c r="K15939" s="46" t="s">
        <v>126</v>
      </c>
      <c r="L15939" s="45">
        <v>46017.71527777778</v>
      </c>
      <c r="M15939" s="46" t="s">
        <v>123</v>
      </c>
      <c r="N15939" s="45">
        <v>46017.73611111111</v>
      </c>
      <c r="O15939" s="46" t="s">
        <v>123</v>
      </c>
      <c r="P15939" s="46">
        <v>1800.0</v>
      </c>
    </row>
    <row r="15940">
      <c r="A15940" s="40">
        <f t="shared" si="1"/>
        <v>46013</v>
      </c>
      <c r="B15940" s="37" t="str">
        <f t="array" ref="B15940">iferror(xlookup($I15940, 'IMPORT VHC Report'!$E:$E, 'IMPORT VHC Report'!$A:$C), )</f>
        <v/>
      </c>
      <c r="C15940" s="44"/>
      <c r="D15940" s="44"/>
      <c r="E15940" s="46" t="s">
        <v>12126</v>
      </c>
      <c r="F15940" s="46" t="s">
        <v>4435</v>
      </c>
      <c r="G15940" s="46">
        <v>3.61750058635E11</v>
      </c>
      <c r="H15940" s="46" t="s">
        <v>4436</v>
      </c>
      <c r="I15940" s="46" t="s">
        <v>4437</v>
      </c>
      <c r="J15940" s="46" t="s">
        <v>132</v>
      </c>
      <c r="K15940" s="46" t="s">
        <v>126</v>
      </c>
      <c r="L15940" s="45">
        <v>46017.8125</v>
      </c>
      <c r="M15940" s="46" t="s">
        <v>123</v>
      </c>
      <c r="N15940" s="45">
        <v>46017.854166666664</v>
      </c>
      <c r="O15940" s="46" t="s">
        <v>123</v>
      </c>
      <c r="P15940" s="46">
        <v>3600.0</v>
      </c>
    </row>
    <row r="15941">
      <c r="A15941" s="40">
        <f t="shared" si="1"/>
        <v>46013</v>
      </c>
      <c r="B15941" s="37" t="str">
        <f t="array" ref="B15941">iferror(xlookup($I15941, 'IMPORT VHC Report'!$E:$E, 'IMPORT VHC Report'!$A:$C), )</f>
        <v/>
      </c>
      <c r="C15941" s="44"/>
      <c r="D15941" s="44"/>
      <c r="E15941" s="46" t="s">
        <v>12127</v>
      </c>
      <c r="F15941" s="46" t="s">
        <v>4435</v>
      </c>
      <c r="G15941" s="46">
        <v>3.61750058635E11</v>
      </c>
      <c r="H15941" s="46" t="s">
        <v>4436</v>
      </c>
      <c r="I15941" s="46" t="s">
        <v>4437</v>
      </c>
      <c r="J15941" s="46" t="s">
        <v>4</v>
      </c>
      <c r="K15941" s="46" t="s">
        <v>126</v>
      </c>
      <c r="L15941" s="45">
        <v>46017.854166666664</v>
      </c>
      <c r="M15941" s="46" t="s">
        <v>123</v>
      </c>
      <c r="N15941" s="45">
        <v>46017.864583333336</v>
      </c>
      <c r="O15941" s="46" t="s">
        <v>123</v>
      </c>
      <c r="P15941" s="46">
        <v>900.0</v>
      </c>
      <c r="S15941" s="46" t="s">
        <v>12007</v>
      </c>
    </row>
    <row r="15942">
      <c r="A15942" s="40">
        <f t="shared" si="1"/>
        <v>46013</v>
      </c>
      <c r="B15942" s="37" t="str">
        <f t="array" ref="B15942">iferror(xlookup($I15942, 'IMPORT VHC Report'!$E:$E, 'IMPORT VHC Report'!$A:$C), )</f>
        <v/>
      </c>
      <c r="C15942" s="44"/>
      <c r="D15942" s="44"/>
      <c r="E15942" s="46" t="s">
        <v>12128</v>
      </c>
      <c r="F15942" s="46" t="s">
        <v>5353</v>
      </c>
      <c r="G15942" s="46">
        <v>3.61725484216E11</v>
      </c>
      <c r="H15942" s="46" t="s">
        <v>5354</v>
      </c>
      <c r="I15942" s="46" t="s">
        <v>5355</v>
      </c>
      <c r="J15942" s="46" t="s">
        <v>330</v>
      </c>
      <c r="K15942" s="46" t="s">
        <v>126</v>
      </c>
      <c r="L15942" s="45">
        <v>46013.833333333336</v>
      </c>
      <c r="M15942" s="46" t="s">
        <v>123</v>
      </c>
      <c r="N15942" s="45">
        <v>46013.84027777778</v>
      </c>
      <c r="O15942" s="46" t="s">
        <v>123</v>
      </c>
      <c r="P15942" s="46">
        <v>600.0</v>
      </c>
    </row>
    <row r="15943">
      <c r="A15943" s="40">
        <f t="shared" si="1"/>
        <v>46013</v>
      </c>
      <c r="B15943" s="37" t="str">
        <f t="array" ref="B15943">iferror(xlookup($I15943, 'IMPORT VHC Report'!$E:$E, 'IMPORT VHC Report'!$A:$C), )</f>
        <v/>
      </c>
      <c r="C15943" s="44"/>
      <c r="D15943" s="44"/>
      <c r="E15943" s="46" t="s">
        <v>12129</v>
      </c>
      <c r="F15943" s="46" t="s">
        <v>5353</v>
      </c>
      <c r="G15943" s="46">
        <v>3.61725484216E11</v>
      </c>
      <c r="H15943" s="46" t="s">
        <v>5354</v>
      </c>
      <c r="I15943" s="46" t="s">
        <v>5355</v>
      </c>
      <c r="J15943" s="46" t="s">
        <v>332</v>
      </c>
      <c r="K15943" s="46" t="s">
        <v>63</v>
      </c>
      <c r="L15943" s="45">
        <v>46013.833333333336</v>
      </c>
      <c r="M15943" s="46" t="s">
        <v>123</v>
      </c>
      <c r="N15943" s="45">
        <v>46014.208333333336</v>
      </c>
      <c r="O15943" s="46" t="s">
        <v>123</v>
      </c>
      <c r="P15943" s="46">
        <v>32400.0</v>
      </c>
    </row>
    <row r="15944">
      <c r="A15944" s="40">
        <f t="shared" si="1"/>
        <v>46013</v>
      </c>
      <c r="B15944" s="37" t="str">
        <f t="array" ref="B15944">iferror(xlookup($I15944, 'IMPORT VHC Report'!$E:$E, 'IMPORT VHC Report'!$A:$C), )</f>
        <v/>
      </c>
      <c r="C15944" s="44"/>
      <c r="D15944" s="44"/>
      <c r="E15944" s="46" t="s">
        <v>12130</v>
      </c>
      <c r="F15944" s="46" t="s">
        <v>5353</v>
      </c>
      <c r="G15944" s="46">
        <v>3.61725484216E11</v>
      </c>
      <c r="H15944" s="46" t="s">
        <v>5354</v>
      </c>
      <c r="I15944" s="46" t="s">
        <v>5355</v>
      </c>
      <c r="J15944" s="46" t="s">
        <v>125</v>
      </c>
      <c r="K15944" s="46" t="s">
        <v>126</v>
      </c>
      <c r="L15944" s="45">
        <v>46013.885416666664</v>
      </c>
      <c r="M15944" s="46" t="s">
        <v>123</v>
      </c>
      <c r="N15944" s="45">
        <v>46013.90069444444</v>
      </c>
      <c r="O15944" s="46" t="s">
        <v>123</v>
      </c>
      <c r="P15944" s="46">
        <v>1320.0</v>
      </c>
      <c r="S15944" s="46" t="s">
        <v>12131</v>
      </c>
    </row>
    <row r="15945">
      <c r="A15945" s="40">
        <f t="shared" si="1"/>
        <v>46013</v>
      </c>
      <c r="B15945" s="37" t="str">
        <f t="array" ref="B15945">iferror(xlookup($I15945, 'IMPORT VHC Report'!$E:$E, 'IMPORT VHC Report'!$A:$C), )</f>
        <v/>
      </c>
      <c r="C15945" s="44"/>
      <c r="D15945" s="44"/>
      <c r="E15945" s="46" t="s">
        <v>12132</v>
      </c>
      <c r="F15945" s="46" t="s">
        <v>5353</v>
      </c>
      <c r="G15945" s="46">
        <v>3.61725484216E11</v>
      </c>
      <c r="H15945" s="46" t="s">
        <v>5354</v>
      </c>
      <c r="I15945" s="46" t="s">
        <v>5355</v>
      </c>
      <c r="J15945" s="46" t="s">
        <v>134</v>
      </c>
      <c r="K15945" s="46" t="s">
        <v>126</v>
      </c>
      <c r="L15945" s="45">
        <v>46013.947916666664</v>
      </c>
      <c r="M15945" s="46" t="s">
        <v>123</v>
      </c>
      <c r="N15945" s="45">
        <v>46013.96875</v>
      </c>
      <c r="O15945" s="46" t="s">
        <v>123</v>
      </c>
      <c r="P15945" s="46">
        <v>1800.0</v>
      </c>
    </row>
    <row r="15946">
      <c r="A15946" s="40">
        <f t="shared" si="1"/>
        <v>46013</v>
      </c>
      <c r="B15946" s="37" t="str">
        <f t="array" ref="B15946">iferror(xlookup($I15946, 'IMPORT VHC Report'!$E:$E, 'IMPORT VHC Report'!$A:$C), )</f>
        <v/>
      </c>
      <c r="C15946" s="44"/>
      <c r="D15946" s="44"/>
      <c r="E15946" s="46" t="s">
        <v>12133</v>
      </c>
      <c r="F15946" s="46" t="s">
        <v>5353</v>
      </c>
      <c r="G15946" s="46">
        <v>3.61725484216E11</v>
      </c>
      <c r="H15946" s="46" t="s">
        <v>5354</v>
      </c>
      <c r="I15946" s="46" t="s">
        <v>5355</v>
      </c>
      <c r="J15946" s="46" t="s">
        <v>132</v>
      </c>
      <c r="K15946" s="46" t="s">
        <v>126</v>
      </c>
      <c r="L15946" s="45">
        <v>46014.052083333336</v>
      </c>
      <c r="M15946" s="46" t="s">
        <v>123</v>
      </c>
      <c r="N15946" s="45">
        <v>46014.09375</v>
      </c>
      <c r="O15946" s="46" t="s">
        <v>123</v>
      </c>
      <c r="P15946" s="46">
        <v>3600.0</v>
      </c>
    </row>
    <row r="15947">
      <c r="A15947" s="40">
        <f t="shared" si="1"/>
        <v>46013</v>
      </c>
      <c r="B15947" s="37" t="str">
        <f t="array" ref="B15947">iferror(xlookup($I15947, 'IMPORT VHC Report'!$E:$E, 'IMPORT VHC Report'!$A:$C), )</f>
        <v/>
      </c>
      <c r="C15947" s="44"/>
      <c r="D15947" s="44"/>
      <c r="E15947" s="46" t="s">
        <v>12134</v>
      </c>
      <c r="F15947" s="46" t="s">
        <v>5353</v>
      </c>
      <c r="G15947" s="46">
        <v>3.61725484216E11</v>
      </c>
      <c r="H15947" s="46" t="s">
        <v>5354</v>
      </c>
      <c r="I15947" s="46" t="s">
        <v>5355</v>
      </c>
      <c r="J15947" s="46" t="s">
        <v>330</v>
      </c>
      <c r="K15947" s="46" t="s">
        <v>126</v>
      </c>
      <c r="L15947" s="45">
        <v>46014.833333333336</v>
      </c>
      <c r="M15947" s="46" t="s">
        <v>123</v>
      </c>
      <c r="N15947" s="45">
        <v>46014.84027777778</v>
      </c>
      <c r="O15947" s="46" t="s">
        <v>123</v>
      </c>
      <c r="P15947" s="46">
        <v>600.0</v>
      </c>
    </row>
    <row r="15948">
      <c r="A15948" s="40">
        <f t="shared" si="1"/>
        <v>46013</v>
      </c>
      <c r="B15948" s="37" t="str">
        <f t="array" ref="B15948">iferror(xlookup($I15948, 'IMPORT VHC Report'!$E:$E, 'IMPORT VHC Report'!$A:$C), )</f>
        <v/>
      </c>
      <c r="C15948" s="44"/>
      <c r="D15948" s="44"/>
      <c r="E15948" s="46" t="s">
        <v>12135</v>
      </c>
      <c r="F15948" s="46" t="s">
        <v>5353</v>
      </c>
      <c r="G15948" s="46">
        <v>3.61725484216E11</v>
      </c>
      <c r="H15948" s="46" t="s">
        <v>5354</v>
      </c>
      <c r="I15948" s="46" t="s">
        <v>5355</v>
      </c>
      <c r="J15948" s="46" t="s">
        <v>332</v>
      </c>
      <c r="K15948" s="46" t="s">
        <v>63</v>
      </c>
      <c r="L15948" s="45">
        <v>46014.833333333336</v>
      </c>
      <c r="M15948" s="46" t="s">
        <v>123</v>
      </c>
      <c r="N15948" s="45">
        <v>46015.208333333336</v>
      </c>
      <c r="O15948" s="46" t="s">
        <v>123</v>
      </c>
      <c r="P15948" s="46">
        <v>32400.0</v>
      </c>
    </row>
    <row r="15949">
      <c r="A15949" s="40">
        <f t="shared" si="1"/>
        <v>46013</v>
      </c>
      <c r="B15949" s="37" t="str">
        <f t="array" ref="B15949">iferror(xlookup($I15949, 'IMPORT VHC Report'!$E:$E, 'IMPORT VHC Report'!$A:$C), )</f>
        <v/>
      </c>
      <c r="C15949" s="44"/>
      <c r="D15949" s="44"/>
      <c r="E15949" s="46" t="s">
        <v>12136</v>
      </c>
      <c r="F15949" s="46" t="s">
        <v>5353</v>
      </c>
      <c r="G15949" s="46">
        <v>3.61725484216E11</v>
      </c>
      <c r="H15949" s="46" t="s">
        <v>5354</v>
      </c>
      <c r="I15949" s="46" t="s">
        <v>5355</v>
      </c>
      <c r="J15949" s="46" t="s">
        <v>134</v>
      </c>
      <c r="K15949" s="46" t="s">
        <v>126</v>
      </c>
      <c r="L15949" s="45">
        <v>46014.927083333336</v>
      </c>
      <c r="M15949" s="46" t="s">
        <v>123</v>
      </c>
      <c r="N15949" s="45">
        <v>46014.947916666664</v>
      </c>
      <c r="O15949" s="46" t="s">
        <v>123</v>
      </c>
      <c r="P15949" s="46">
        <v>1800.0</v>
      </c>
    </row>
    <row r="15950">
      <c r="A15950" s="40">
        <f t="shared" si="1"/>
        <v>46013</v>
      </c>
      <c r="B15950" s="37" t="str">
        <f t="array" ref="B15950">iferror(xlookup($I15950, 'IMPORT VHC Report'!$E:$E, 'IMPORT VHC Report'!$A:$C), )</f>
        <v/>
      </c>
      <c r="C15950" s="44"/>
      <c r="D15950" s="44"/>
      <c r="E15950" s="46" t="s">
        <v>12137</v>
      </c>
      <c r="F15950" s="46" t="s">
        <v>5353</v>
      </c>
      <c r="G15950" s="46">
        <v>3.61725484216E11</v>
      </c>
      <c r="H15950" s="46" t="s">
        <v>5354</v>
      </c>
      <c r="I15950" s="46" t="s">
        <v>5355</v>
      </c>
      <c r="J15950" s="46" t="s">
        <v>132</v>
      </c>
      <c r="K15950" s="46" t="s">
        <v>126</v>
      </c>
      <c r="L15950" s="45">
        <v>46015.041666666664</v>
      </c>
      <c r="M15950" s="46" t="s">
        <v>123</v>
      </c>
      <c r="N15950" s="45">
        <v>46015.083333333336</v>
      </c>
      <c r="O15950" s="46" t="s">
        <v>123</v>
      </c>
      <c r="P15950" s="46">
        <v>3600.0</v>
      </c>
    </row>
    <row r="15951">
      <c r="A15951" s="40">
        <f t="shared" si="1"/>
        <v>46013</v>
      </c>
      <c r="B15951" s="37" t="str">
        <f t="array" ref="B15951">iferror(xlookup($I15951, 'IMPORT VHC Report'!$E:$E, 'IMPORT VHC Report'!$A:$C), )</f>
        <v/>
      </c>
      <c r="C15951" s="44"/>
      <c r="D15951" s="44"/>
      <c r="E15951" s="46" t="s">
        <v>12138</v>
      </c>
      <c r="F15951" s="46" t="s">
        <v>5353</v>
      </c>
      <c r="G15951" s="46">
        <v>3.61725484216E11</v>
      </c>
      <c r="H15951" s="46" t="s">
        <v>5354</v>
      </c>
      <c r="I15951" s="46" t="s">
        <v>5355</v>
      </c>
      <c r="J15951" s="46" t="s">
        <v>330</v>
      </c>
      <c r="K15951" s="46" t="s">
        <v>126</v>
      </c>
      <c r="L15951" s="45">
        <v>46015.833333333336</v>
      </c>
      <c r="M15951" s="46" t="s">
        <v>123</v>
      </c>
      <c r="N15951" s="45">
        <v>46015.84027777778</v>
      </c>
      <c r="O15951" s="46" t="s">
        <v>123</v>
      </c>
      <c r="P15951" s="46">
        <v>600.0</v>
      </c>
    </row>
    <row r="15952">
      <c r="A15952" s="40">
        <f t="shared" si="1"/>
        <v>46013</v>
      </c>
      <c r="B15952" s="37" t="str">
        <f t="array" ref="B15952">iferror(xlookup($I15952, 'IMPORT VHC Report'!$E:$E, 'IMPORT VHC Report'!$A:$C), )</f>
        <v/>
      </c>
      <c r="C15952" s="44"/>
      <c r="D15952" s="44"/>
      <c r="E15952" s="46" t="s">
        <v>12139</v>
      </c>
      <c r="F15952" s="46" t="s">
        <v>5353</v>
      </c>
      <c r="G15952" s="46">
        <v>3.61725484216E11</v>
      </c>
      <c r="H15952" s="46" t="s">
        <v>5354</v>
      </c>
      <c r="I15952" s="46" t="s">
        <v>5355</v>
      </c>
      <c r="J15952" s="46" t="s">
        <v>332</v>
      </c>
      <c r="K15952" s="46" t="s">
        <v>63</v>
      </c>
      <c r="L15952" s="45">
        <v>46015.833333333336</v>
      </c>
      <c r="M15952" s="46" t="s">
        <v>123</v>
      </c>
      <c r="N15952" s="45">
        <v>46016.208333333336</v>
      </c>
      <c r="O15952" s="46" t="s">
        <v>123</v>
      </c>
      <c r="P15952" s="46">
        <v>32400.0</v>
      </c>
    </row>
    <row r="15953">
      <c r="A15953" s="40">
        <f t="shared" si="1"/>
        <v>46013</v>
      </c>
      <c r="B15953" s="37" t="str">
        <f t="array" ref="B15953">iferror(xlookup($I15953, 'IMPORT VHC Report'!$E:$E, 'IMPORT VHC Report'!$A:$C), )</f>
        <v/>
      </c>
      <c r="C15953" s="44"/>
      <c r="D15953" s="44"/>
      <c r="E15953" s="46" t="s">
        <v>12140</v>
      </c>
      <c r="F15953" s="46" t="s">
        <v>5353</v>
      </c>
      <c r="G15953" s="46">
        <v>3.61725484216E11</v>
      </c>
      <c r="H15953" s="46" t="s">
        <v>5354</v>
      </c>
      <c r="I15953" s="46" t="s">
        <v>5355</v>
      </c>
      <c r="J15953" s="46" t="s">
        <v>136</v>
      </c>
      <c r="K15953" s="46" t="s">
        <v>126</v>
      </c>
      <c r="L15953" s="45">
        <v>46015.993055555555</v>
      </c>
      <c r="M15953" s="46" t="s">
        <v>123</v>
      </c>
      <c r="N15953" s="45">
        <v>46016.03472222222</v>
      </c>
      <c r="O15953" s="46" t="s">
        <v>123</v>
      </c>
      <c r="P15953" s="46">
        <v>3600.0</v>
      </c>
      <c r="S15953" s="46" t="s">
        <v>4171</v>
      </c>
    </row>
    <row r="15954">
      <c r="A15954" s="40">
        <f t="shared" si="1"/>
        <v>46013</v>
      </c>
      <c r="B15954" s="37" t="str">
        <f t="array" ref="B15954">iferror(xlookup($I15954, 'IMPORT VHC Report'!$E:$E, 'IMPORT VHC Report'!$A:$C), )</f>
        <v/>
      </c>
      <c r="C15954" s="44"/>
      <c r="D15954" s="44"/>
      <c r="E15954" s="46" t="s">
        <v>12141</v>
      </c>
      <c r="F15954" s="46" t="s">
        <v>5353</v>
      </c>
      <c r="G15954" s="46">
        <v>3.61725484216E11</v>
      </c>
      <c r="H15954" s="46" t="s">
        <v>5354</v>
      </c>
      <c r="I15954" s="46" t="s">
        <v>5355</v>
      </c>
      <c r="J15954" s="46" t="s">
        <v>132</v>
      </c>
      <c r="K15954" s="46" t="s">
        <v>126</v>
      </c>
      <c r="L15954" s="45">
        <v>46016.03472222222</v>
      </c>
      <c r="M15954" s="46" t="s">
        <v>123</v>
      </c>
      <c r="N15954" s="45">
        <v>46016.07638888889</v>
      </c>
      <c r="O15954" s="46" t="s">
        <v>123</v>
      </c>
      <c r="P15954" s="46">
        <v>3600.0</v>
      </c>
    </row>
    <row r="15955">
      <c r="A15955" s="40">
        <f t="shared" si="1"/>
        <v>46013</v>
      </c>
      <c r="B15955" s="37" t="str">
        <f t="array" ref="B15955">iferror(xlookup($I15955, 'IMPORT VHC Report'!$E:$E, 'IMPORT VHC Report'!$A:$C), )</f>
        <v/>
      </c>
      <c r="C15955" s="44"/>
      <c r="D15955" s="44"/>
      <c r="E15955" s="46" t="s">
        <v>12142</v>
      </c>
      <c r="F15955" s="46" t="s">
        <v>5353</v>
      </c>
      <c r="G15955" s="46">
        <v>3.61725484216E11</v>
      </c>
      <c r="H15955" s="46" t="s">
        <v>5354</v>
      </c>
      <c r="I15955" s="46" t="s">
        <v>5355</v>
      </c>
      <c r="J15955" s="46" t="s">
        <v>134</v>
      </c>
      <c r="K15955" s="46" t="s">
        <v>126</v>
      </c>
      <c r="L15955" s="45">
        <v>46016.114583333336</v>
      </c>
      <c r="M15955" s="46" t="s">
        <v>123</v>
      </c>
      <c r="N15955" s="45">
        <v>46016.135416666664</v>
      </c>
      <c r="O15955" s="46" t="s">
        <v>123</v>
      </c>
      <c r="P15955" s="46">
        <v>1800.0</v>
      </c>
    </row>
    <row r="15956">
      <c r="A15956" s="40">
        <f t="shared" si="1"/>
        <v>46013</v>
      </c>
      <c r="B15956" s="37" t="str">
        <f t="array" ref="B15956">iferror(xlookup($I15956, 'IMPORT VHC Report'!$E:$E, 'IMPORT VHC Report'!$A:$C), )</f>
        <v/>
      </c>
      <c r="C15956" s="44"/>
      <c r="D15956" s="44"/>
      <c r="E15956" s="46" t="s">
        <v>12143</v>
      </c>
      <c r="F15956" s="46" t="s">
        <v>5353</v>
      </c>
      <c r="G15956" s="46">
        <v>3.61725484216E11</v>
      </c>
      <c r="H15956" s="46" t="s">
        <v>5354</v>
      </c>
      <c r="I15956" s="46" t="s">
        <v>5355</v>
      </c>
      <c r="J15956" s="46" t="s">
        <v>330</v>
      </c>
      <c r="K15956" s="46" t="s">
        <v>126</v>
      </c>
      <c r="L15956" s="45">
        <v>46016.833333333336</v>
      </c>
      <c r="M15956" s="46" t="s">
        <v>123</v>
      </c>
      <c r="N15956" s="45">
        <v>46016.84027777778</v>
      </c>
      <c r="O15956" s="46" t="s">
        <v>123</v>
      </c>
      <c r="P15956" s="46">
        <v>600.0</v>
      </c>
    </row>
    <row r="15957">
      <c r="A15957" s="40">
        <f t="shared" si="1"/>
        <v>46013</v>
      </c>
      <c r="B15957" s="37" t="str">
        <f t="array" ref="B15957">iferror(xlookup($I15957, 'IMPORT VHC Report'!$E:$E, 'IMPORT VHC Report'!$A:$C), )</f>
        <v/>
      </c>
      <c r="C15957" s="44"/>
      <c r="D15957" s="44"/>
      <c r="E15957" s="46" t="s">
        <v>12144</v>
      </c>
      <c r="F15957" s="46" t="s">
        <v>5353</v>
      </c>
      <c r="G15957" s="46">
        <v>3.61725484216E11</v>
      </c>
      <c r="H15957" s="46" t="s">
        <v>5354</v>
      </c>
      <c r="I15957" s="46" t="s">
        <v>5355</v>
      </c>
      <c r="J15957" s="46" t="s">
        <v>332</v>
      </c>
      <c r="K15957" s="46" t="s">
        <v>63</v>
      </c>
      <c r="L15957" s="45">
        <v>46016.833333333336</v>
      </c>
      <c r="M15957" s="46" t="s">
        <v>123</v>
      </c>
      <c r="N15957" s="45">
        <v>46017.208333333336</v>
      </c>
      <c r="O15957" s="46" t="s">
        <v>123</v>
      </c>
      <c r="P15957" s="46">
        <v>32400.0</v>
      </c>
    </row>
    <row r="15958">
      <c r="A15958" s="40">
        <f t="shared" si="1"/>
        <v>46013</v>
      </c>
      <c r="B15958" s="37" t="str">
        <f t="array" ref="B15958">iferror(xlookup($I15958, 'IMPORT VHC Report'!$E:$E, 'IMPORT VHC Report'!$A:$C), )</f>
        <v/>
      </c>
      <c r="C15958" s="44"/>
      <c r="D15958" s="44"/>
      <c r="E15958" s="46" t="s">
        <v>12145</v>
      </c>
      <c r="F15958" s="46" t="s">
        <v>5353</v>
      </c>
      <c r="G15958" s="46">
        <v>3.61725484216E11</v>
      </c>
      <c r="H15958" s="46" t="s">
        <v>5354</v>
      </c>
      <c r="I15958" s="46" t="s">
        <v>5355</v>
      </c>
      <c r="J15958" s="46" t="s">
        <v>134</v>
      </c>
      <c r="K15958" s="46" t="s">
        <v>126</v>
      </c>
      <c r="L15958" s="45">
        <v>46016.958333333336</v>
      </c>
      <c r="M15958" s="46" t="s">
        <v>123</v>
      </c>
      <c r="N15958" s="45">
        <v>46016.979166666664</v>
      </c>
      <c r="O15958" s="46" t="s">
        <v>123</v>
      </c>
      <c r="P15958" s="46">
        <v>1800.0</v>
      </c>
    </row>
    <row r="15959">
      <c r="A15959" s="40">
        <f t="shared" si="1"/>
        <v>46013</v>
      </c>
      <c r="B15959" s="37" t="str">
        <f t="array" ref="B15959">iferror(xlookup($I15959, 'IMPORT VHC Report'!$E:$E, 'IMPORT VHC Report'!$A:$C), )</f>
        <v/>
      </c>
      <c r="C15959" s="44"/>
      <c r="D15959" s="44"/>
      <c r="E15959" s="46" t="s">
        <v>12146</v>
      </c>
      <c r="F15959" s="46" t="s">
        <v>5353</v>
      </c>
      <c r="G15959" s="46">
        <v>3.61725484216E11</v>
      </c>
      <c r="H15959" s="46" t="s">
        <v>5354</v>
      </c>
      <c r="I15959" s="46" t="s">
        <v>5355</v>
      </c>
      <c r="J15959" s="46" t="s">
        <v>132</v>
      </c>
      <c r="K15959" s="46" t="s">
        <v>126</v>
      </c>
      <c r="L15959" s="45">
        <v>46017.0625</v>
      </c>
      <c r="M15959" s="46" t="s">
        <v>123</v>
      </c>
      <c r="N15959" s="45">
        <v>46017.104166666664</v>
      </c>
      <c r="O15959" s="46" t="s">
        <v>123</v>
      </c>
      <c r="P15959" s="46">
        <v>3600.0</v>
      </c>
    </row>
    <row r="15960">
      <c r="A15960" s="40">
        <f t="shared" si="1"/>
        <v>46013</v>
      </c>
      <c r="B15960" s="37" t="str">
        <f t="array" ref="B15960">iferror(xlookup($I15960, 'IMPORT VHC Report'!$E:$E, 'IMPORT VHC Report'!$A:$C), )</f>
        <v/>
      </c>
      <c r="C15960" s="44"/>
      <c r="D15960" s="44"/>
      <c r="E15960" s="46" t="s">
        <v>12147</v>
      </c>
      <c r="F15960" s="46" t="s">
        <v>5353</v>
      </c>
      <c r="G15960" s="46">
        <v>3.61725484216E11</v>
      </c>
      <c r="H15960" s="46" t="s">
        <v>5354</v>
      </c>
      <c r="I15960" s="46" t="s">
        <v>5355</v>
      </c>
      <c r="J15960" s="46" t="s">
        <v>152</v>
      </c>
      <c r="K15960" s="46" t="s">
        <v>153</v>
      </c>
      <c r="L15960" s="45">
        <v>46017.104166666664</v>
      </c>
      <c r="M15960" s="46" t="s">
        <v>123</v>
      </c>
      <c r="N15960" s="45">
        <v>46017.25</v>
      </c>
      <c r="O15960" s="46" t="s">
        <v>123</v>
      </c>
      <c r="P15960" s="46">
        <v>12600.0</v>
      </c>
      <c r="Q15960" s="46">
        <v>12600.0</v>
      </c>
      <c r="R15960" s="46" t="s">
        <v>421</v>
      </c>
      <c r="S15960" s="46" t="s">
        <v>421</v>
      </c>
    </row>
    <row r="15961">
      <c r="A15961" s="40">
        <f t="shared" si="1"/>
        <v>46013</v>
      </c>
      <c r="B15961" s="37" t="str">
        <f t="array" ref="B15961">iferror(xlookup($I15961, 'IMPORT VHC Report'!$E:$E, 'IMPORT VHC Report'!$A:$C), )</f>
        <v/>
      </c>
      <c r="C15961" s="44"/>
      <c r="D15961" s="44"/>
      <c r="E15961" s="46" t="s">
        <v>12148</v>
      </c>
      <c r="F15961" s="46" t="s">
        <v>5353</v>
      </c>
      <c r="G15961" s="46">
        <v>3.61725484216E11</v>
      </c>
      <c r="H15961" s="46" t="s">
        <v>5354</v>
      </c>
      <c r="I15961" s="46" t="s">
        <v>5355</v>
      </c>
      <c r="J15961" s="46" t="s">
        <v>330</v>
      </c>
      <c r="K15961" s="46" t="s">
        <v>126</v>
      </c>
      <c r="L15961" s="45">
        <v>46017.833333333336</v>
      </c>
      <c r="M15961" s="46" t="s">
        <v>123</v>
      </c>
      <c r="N15961" s="45">
        <v>46017.84027777778</v>
      </c>
      <c r="O15961" s="46" t="s">
        <v>123</v>
      </c>
      <c r="P15961" s="46">
        <v>600.0</v>
      </c>
    </row>
    <row r="15962">
      <c r="A15962" s="40">
        <f t="shared" si="1"/>
        <v>46013</v>
      </c>
      <c r="B15962" s="37" t="str">
        <f t="array" ref="B15962">iferror(xlookup($I15962, 'IMPORT VHC Report'!$E:$E, 'IMPORT VHC Report'!$A:$C), )</f>
        <v/>
      </c>
      <c r="C15962" s="44"/>
      <c r="D15962" s="44"/>
      <c r="E15962" s="46" t="s">
        <v>12149</v>
      </c>
      <c r="F15962" s="46" t="s">
        <v>5353</v>
      </c>
      <c r="G15962" s="46">
        <v>3.61725484216E11</v>
      </c>
      <c r="H15962" s="46" t="s">
        <v>5354</v>
      </c>
      <c r="I15962" s="46" t="s">
        <v>5355</v>
      </c>
      <c r="J15962" s="46" t="s">
        <v>152</v>
      </c>
      <c r="K15962" s="46" t="s">
        <v>153</v>
      </c>
      <c r="L15962" s="45">
        <v>46017.833333333336</v>
      </c>
      <c r="M15962" s="46" t="s">
        <v>123</v>
      </c>
      <c r="N15962" s="45">
        <v>46018.208333333336</v>
      </c>
      <c r="O15962" s="46" t="s">
        <v>123</v>
      </c>
      <c r="P15962" s="46">
        <v>32400.0</v>
      </c>
      <c r="Q15962" s="46">
        <v>32400.0</v>
      </c>
    </row>
    <row r="15963">
      <c r="A15963" s="40">
        <f t="shared" si="1"/>
        <v>46013</v>
      </c>
      <c r="B15963" s="37" t="str">
        <f t="array" ref="B15963">iferror(xlookup($I15963, 'IMPORT VHC Report'!$E:$E, 'IMPORT VHC Report'!$A:$C), )</f>
        <v/>
      </c>
      <c r="C15963" s="44"/>
      <c r="D15963" s="44"/>
      <c r="E15963" s="46" t="s">
        <v>12150</v>
      </c>
      <c r="F15963" s="46" t="s">
        <v>5353</v>
      </c>
      <c r="G15963" s="46">
        <v>3.61725484216E11</v>
      </c>
      <c r="H15963" s="46" t="s">
        <v>5354</v>
      </c>
      <c r="I15963" s="46" t="s">
        <v>5355</v>
      </c>
      <c r="J15963" s="46" t="s">
        <v>332</v>
      </c>
      <c r="K15963" s="46" t="s">
        <v>63</v>
      </c>
      <c r="L15963" s="45">
        <v>46017.833333333336</v>
      </c>
      <c r="M15963" s="46" t="s">
        <v>123</v>
      </c>
      <c r="N15963" s="45">
        <v>46018.208333333336</v>
      </c>
      <c r="O15963" s="46" t="s">
        <v>123</v>
      </c>
      <c r="P15963" s="46">
        <v>32400.0</v>
      </c>
    </row>
    <row r="15964">
      <c r="A15964" s="40">
        <f t="shared" si="1"/>
        <v>46013</v>
      </c>
      <c r="B15964" s="37" t="str">
        <f t="array" ref="B15964">iferror(xlookup($I15964, 'IMPORT VHC Report'!$E:$E, 'IMPORT VHC Report'!$A:$C), )</f>
        <v/>
      </c>
      <c r="C15964" s="44"/>
      <c r="D15964" s="44"/>
      <c r="E15964" s="46" t="s">
        <v>12151</v>
      </c>
      <c r="F15964" s="46" t="s">
        <v>5353</v>
      </c>
      <c r="G15964" s="46">
        <v>3.61725484216E11</v>
      </c>
      <c r="H15964" s="46" t="s">
        <v>5354</v>
      </c>
      <c r="I15964" s="46" t="s">
        <v>5355</v>
      </c>
      <c r="J15964" s="46" t="s">
        <v>132</v>
      </c>
      <c r="K15964" s="46" t="s">
        <v>126</v>
      </c>
      <c r="L15964" s="45">
        <v>46018.0</v>
      </c>
      <c r="M15964" s="46" t="s">
        <v>123</v>
      </c>
      <c r="N15964" s="45">
        <v>46018.041666666664</v>
      </c>
      <c r="O15964" s="46" t="s">
        <v>123</v>
      </c>
      <c r="P15964" s="46">
        <v>3600.0</v>
      </c>
    </row>
    <row r="15965">
      <c r="A15965" s="40">
        <f t="shared" si="1"/>
        <v>46013</v>
      </c>
      <c r="B15965" s="37" t="str">
        <f t="array" ref="B15965">iferror(xlookup($I15965, 'IMPORT VHC Report'!$E:$E, 'IMPORT VHC Report'!$A:$C), )</f>
        <v/>
      </c>
      <c r="C15965" s="44"/>
      <c r="D15965" s="44"/>
      <c r="E15965" s="46" t="s">
        <v>12152</v>
      </c>
      <c r="F15965" s="46" t="s">
        <v>5353</v>
      </c>
      <c r="G15965" s="46">
        <v>3.61725484216E11</v>
      </c>
      <c r="H15965" s="46" t="s">
        <v>5354</v>
      </c>
      <c r="I15965" s="46" t="s">
        <v>5355</v>
      </c>
      <c r="J15965" s="46" t="s">
        <v>134</v>
      </c>
      <c r="K15965" s="46" t="s">
        <v>126</v>
      </c>
      <c r="L15965" s="45">
        <v>46018.125</v>
      </c>
      <c r="M15965" s="46" t="s">
        <v>123</v>
      </c>
      <c r="N15965" s="45">
        <v>46018.145833333336</v>
      </c>
      <c r="O15965" s="46" t="s">
        <v>123</v>
      </c>
      <c r="P15965" s="46">
        <v>1800.0</v>
      </c>
    </row>
    <row r="15966">
      <c r="A15966" s="40">
        <f t="shared" si="1"/>
        <v>46013</v>
      </c>
      <c r="B15966" s="37" t="str">
        <f t="array" ref="B15966">iferror(xlookup($I15966, 'IMPORT VHC Report'!$E:$E, 'IMPORT VHC Report'!$A:$C), )</f>
        <v/>
      </c>
      <c r="C15966" s="44"/>
      <c r="D15966" s="44"/>
      <c r="E15966" s="46" t="s">
        <v>12153</v>
      </c>
      <c r="F15966" s="46" t="s">
        <v>5467</v>
      </c>
      <c r="G15966" s="46">
        <v>6.839686960271E12</v>
      </c>
      <c r="H15966" s="46" t="s">
        <v>5468</v>
      </c>
      <c r="I15966" s="46" t="s">
        <v>5469</v>
      </c>
      <c r="J15966" s="46" t="s">
        <v>330</v>
      </c>
      <c r="K15966" s="46" t="s">
        <v>126</v>
      </c>
      <c r="L15966" s="45">
        <v>46013.875</v>
      </c>
      <c r="M15966" s="46" t="s">
        <v>123</v>
      </c>
      <c r="N15966" s="45">
        <v>46013.881944444445</v>
      </c>
      <c r="O15966" s="46" t="s">
        <v>123</v>
      </c>
      <c r="P15966" s="46">
        <v>600.0</v>
      </c>
    </row>
    <row r="15967">
      <c r="A15967" s="40">
        <f t="shared" si="1"/>
        <v>46013</v>
      </c>
      <c r="B15967" s="37" t="str">
        <f t="array" ref="B15967">iferror(xlookup($I15967, 'IMPORT VHC Report'!$E:$E, 'IMPORT VHC Report'!$A:$C), )</f>
        <v/>
      </c>
      <c r="C15967" s="44"/>
      <c r="D15967" s="44"/>
      <c r="E15967" s="46" t="s">
        <v>12154</v>
      </c>
      <c r="F15967" s="46" t="s">
        <v>5467</v>
      </c>
      <c r="G15967" s="46">
        <v>6.839686960271E12</v>
      </c>
      <c r="H15967" s="46" t="s">
        <v>5468</v>
      </c>
      <c r="I15967" s="46" t="s">
        <v>5469</v>
      </c>
      <c r="J15967" s="46" t="s">
        <v>178</v>
      </c>
      <c r="K15967" s="46" t="s">
        <v>153</v>
      </c>
      <c r="L15967" s="45">
        <v>46013.875</v>
      </c>
      <c r="M15967" s="46" t="s">
        <v>123</v>
      </c>
      <c r="N15967" s="45">
        <v>46014.25</v>
      </c>
      <c r="O15967" s="46" t="s">
        <v>123</v>
      </c>
      <c r="P15967" s="46">
        <v>32400.0</v>
      </c>
      <c r="Q15967" s="46">
        <v>32400.0</v>
      </c>
      <c r="R15967" s="46" t="s">
        <v>6679</v>
      </c>
      <c r="S15967" s="46" t="s">
        <v>6679</v>
      </c>
    </row>
    <row r="15968">
      <c r="A15968" s="40">
        <f t="shared" si="1"/>
        <v>46013</v>
      </c>
      <c r="B15968" s="37" t="str">
        <f t="array" ref="B15968">iferror(xlookup($I15968, 'IMPORT VHC Report'!$E:$E, 'IMPORT VHC Report'!$A:$C), )</f>
        <v/>
      </c>
      <c r="C15968" s="44"/>
      <c r="D15968" s="44"/>
      <c r="E15968" s="46" t="s">
        <v>12155</v>
      </c>
      <c r="F15968" s="46" t="s">
        <v>5467</v>
      </c>
      <c r="G15968" s="46">
        <v>6.839686960271E12</v>
      </c>
      <c r="H15968" s="46" t="s">
        <v>5468</v>
      </c>
      <c r="I15968" s="46" t="s">
        <v>5469</v>
      </c>
      <c r="J15968" s="46" t="s">
        <v>332</v>
      </c>
      <c r="K15968" s="46" t="s">
        <v>63</v>
      </c>
      <c r="L15968" s="45">
        <v>46013.875</v>
      </c>
      <c r="M15968" s="46" t="s">
        <v>123</v>
      </c>
      <c r="N15968" s="45">
        <v>46014.25</v>
      </c>
      <c r="O15968" s="46" t="s">
        <v>123</v>
      </c>
      <c r="P15968" s="46">
        <v>32400.0</v>
      </c>
    </row>
    <row r="15969">
      <c r="A15969" s="40">
        <f t="shared" si="1"/>
        <v>46013</v>
      </c>
      <c r="B15969" s="37" t="str">
        <f t="array" ref="B15969">iferror(xlookup($I15969, 'IMPORT VHC Report'!$E:$E, 'IMPORT VHC Report'!$A:$C), )</f>
        <v/>
      </c>
      <c r="C15969" s="44"/>
      <c r="D15969" s="44"/>
      <c r="E15969" s="46" t="s">
        <v>12156</v>
      </c>
      <c r="F15969" s="46" t="s">
        <v>5467</v>
      </c>
      <c r="G15969" s="46">
        <v>6.839686960271E12</v>
      </c>
      <c r="H15969" s="46" t="s">
        <v>5468</v>
      </c>
      <c r="I15969" s="46" t="s">
        <v>5469</v>
      </c>
      <c r="J15969" s="46" t="s">
        <v>134</v>
      </c>
      <c r="K15969" s="46" t="s">
        <v>126</v>
      </c>
      <c r="L15969" s="45">
        <v>46013.979166666664</v>
      </c>
      <c r="M15969" s="46" t="s">
        <v>123</v>
      </c>
      <c r="N15969" s="45">
        <v>46014.0</v>
      </c>
      <c r="O15969" s="46" t="s">
        <v>123</v>
      </c>
      <c r="P15969" s="46">
        <v>1800.0</v>
      </c>
    </row>
    <row r="15970">
      <c r="A15970" s="40">
        <f t="shared" si="1"/>
        <v>46013</v>
      </c>
      <c r="B15970" s="37" t="str">
        <f t="array" ref="B15970">iferror(xlookup($I15970, 'IMPORT VHC Report'!$E:$E, 'IMPORT VHC Report'!$A:$C), )</f>
        <v/>
      </c>
      <c r="C15970" s="44"/>
      <c r="D15970" s="44"/>
      <c r="E15970" s="46" t="s">
        <v>12157</v>
      </c>
      <c r="F15970" s="46" t="s">
        <v>5467</v>
      </c>
      <c r="G15970" s="46">
        <v>6.839686960271E12</v>
      </c>
      <c r="H15970" s="46" t="s">
        <v>5468</v>
      </c>
      <c r="I15970" s="46" t="s">
        <v>5469</v>
      </c>
      <c r="J15970" s="46" t="s">
        <v>132</v>
      </c>
      <c r="K15970" s="46" t="s">
        <v>126</v>
      </c>
      <c r="L15970" s="45">
        <v>46014.083333333336</v>
      </c>
      <c r="M15970" s="46" t="s">
        <v>123</v>
      </c>
      <c r="N15970" s="45">
        <v>46014.125</v>
      </c>
      <c r="O15970" s="46" t="s">
        <v>123</v>
      </c>
      <c r="P15970" s="46">
        <v>3600.0</v>
      </c>
    </row>
    <row r="15971">
      <c r="A15971" s="40">
        <f t="shared" si="1"/>
        <v>46013</v>
      </c>
      <c r="B15971" s="37" t="str">
        <f t="array" ref="B15971">iferror(xlookup($I15971, 'IMPORT VHC Report'!$E:$E, 'IMPORT VHC Report'!$A:$C), )</f>
        <v/>
      </c>
      <c r="C15971" s="44"/>
      <c r="D15971" s="44"/>
      <c r="E15971" s="46" t="s">
        <v>12158</v>
      </c>
      <c r="F15971" s="46" t="s">
        <v>5467</v>
      </c>
      <c r="G15971" s="46">
        <v>6.839686960271E12</v>
      </c>
      <c r="H15971" s="46" t="s">
        <v>5468</v>
      </c>
      <c r="I15971" s="46" t="s">
        <v>5469</v>
      </c>
      <c r="J15971" s="46" t="s">
        <v>330</v>
      </c>
      <c r="K15971" s="46" t="s">
        <v>126</v>
      </c>
      <c r="L15971" s="45">
        <v>46014.875</v>
      </c>
      <c r="M15971" s="46" t="s">
        <v>123</v>
      </c>
      <c r="N15971" s="45">
        <v>46014.881944444445</v>
      </c>
      <c r="O15971" s="46" t="s">
        <v>123</v>
      </c>
      <c r="P15971" s="46">
        <v>600.0</v>
      </c>
    </row>
    <row r="15972">
      <c r="A15972" s="40">
        <f t="shared" si="1"/>
        <v>46013</v>
      </c>
      <c r="B15972" s="37" t="str">
        <f t="array" ref="B15972">iferror(xlookup($I15972, 'IMPORT VHC Report'!$E:$E, 'IMPORT VHC Report'!$A:$C), )</f>
        <v/>
      </c>
      <c r="C15972" s="44"/>
      <c r="D15972" s="44"/>
      <c r="E15972" s="46" t="s">
        <v>12159</v>
      </c>
      <c r="F15972" s="46" t="s">
        <v>5467</v>
      </c>
      <c r="G15972" s="46">
        <v>6.839686960271E12</v>
      </c>
      <c r="H15972" s="46" t="s">
        <v>5468</v>
      </c>
      <c r="I15972" s="46" t="s">
        <v>5469</v>
      </c>
      <c r="J15972" s="46" t="s">
        <v>178</v>
      </c>
      <c r="K15972" s="46" t="s">
        <v>153</v>
      </c>
      <c r="L15972" s="45">
        <v>46014.875</v>
      </c>
      <c r="M15972" s="46" t="s">
        <v>123</v>
      </c>
      <c r="N15972" s="45">
        <v>46015.25</v>
      </c>
      <c r="O15972" s="46" t="s">
        <v>123</v>
      </c>
      <c r="P15972" s="46">
        <v>32400.0</v>
      </c>
      <c r="Q15972" s="46">
        <v>86400.0</v>
      </c>
      <c r="R15972" s="46" t="s">
        <v>12160</v>
      </c>
    </row>
    <row r="15973">
      <c r="A15973" s="40">
        <f t="shared" si="1"/>
        <v>46013</v>
      </c>
      <c r="B15973" s="37" t="str">
        <f t="array" ref="B15973">iferror(xlookup($I15973, 'IMPORT VHC Report'!$E:$E, 'IMPORT VHC Report'!$A:$C), )</f>
        <v/>
      </c>
      <c r="C15973" s="44"/>
      <c r="D15973" s="44"/>
      <c r="E15973" s="46" t="s">
        <v>12161</v>
      </c>
      <c r="F15973" s="46" t="s">
        <v>5467</v>
      </c>
      <c r="G15973" s="46">
        <v>6.839686960271E12</v>
      </c>
      <c r="H15973" s="46" t="s">
        <v>5468</v>
      </c>
      <c r="I15973" s="46" t="s">
        <v>5469</v>
      </c>
      <c r="J15973" s="46" t="s">
        <v>332</v>
      </c>
      <c r="K15973" s="46" t="s">
        <v>63</v>
      </c>
      <c r="L15973" s="45">
        <v>46014.875</v>
      </c>
      <c r="M15973" s="46" t="s">
        <v>123</v>
      </c>
      <c r="N15973" s="45">
        <v>46015.25</v>
      </c>
      <c r="O15973" s="46" t="s">
        <v>123</v>
      </c>
      <c r="P15973" s="46">
        <v>32400.0</v>
      </c>
    </row>
    <row r="15974">
      <c r="A15974" s="40">
        <f t="shared" si="1"/>
        <v>46013</v>
      </c>
      <c r="B15974" s="37" t="str">
        <f t="array" ref="B15974">iferror(xlookup($I15974, 'IMPORT VHC Report'!$E:$E, 'IMPORT VHC Report'!$A:$C), )</f>
        <v/>
      </c>
      <c r="C15974" s="44"/>
      <c r="D15974" s="44"/>
      <c r="E15974" s="46" t="s">
        <v>12162</v>
      </c>
      <c r="F15974" s="46" t="s">
        <v>5467</v>
      </c>
      <c r="G15974" s="46">
        <v>6.839686960271E12</v>
      </c>
      <c r="H15974" s="46" t="s">
        <v>5468</v>
      </c>
      <c r="I15974" s="46" t="s">
        <v>5469</v>
      </c>
      <c r="J15974" s="46" t="s">
        <v>132</v>
      </c>
      <c r="K15974" s="46" t="s">
        <v>126</v>
      </c>
      <c r="L15974" s="45">
        <v>46015.010416666664</v>
      </c>
      <c r="M15974" s="46" t="s">
        <v>123</v>
      </c>
      <c r="N15974" s="45">
        <v>46015.052083333336</v>
      </c>
      <c r="O15974" s="46" t="s">
        <v>123</v>
      </c>
      <c r="P15974" s="46">
        <v>3600.0</v>
      </c>
    </row>
    <row r="15975">
      <c r="A15975" s="40">
        <f t="shared" si="1"/>
        <v>46013</v>
      </c>
      <c r="B15975" s="37" t="str">
        <f t="array" ref="B15975">iferror(xlookup($I15975, 'IMPORT VHC Report'!$E:$E, 'IMPORT VHC Report'!$A:$C), )</f>
        <v/>
      </c>
      <c r="C15975" s="44"/>
      <c r="D15975" s="44"/>
      <c r="E15975" s="46" t="s">
        <v>12163</v>
      </c>
      <c r="F15975" s="46" t="s">
        <v>5467</v>
      </c>
      <c r="G15975" s="46">
        <v>6.839686960271E12</v>
      </c>
      <c r="H15975" s="46" t="s">
        <v>5468</v>
      </c>
      <c r="I15975" s="46" t="s">
        <v>5469</v>
      </c>
      <c r="J15975" s="46" t="s">
        <v>134</v>
      </c>
      <c r="K15975" s="46" t="s">
        <v>126</v>
      </c>
      <c r="L15975" s="45">
        <v>46015.135416666664</v>
      </c>
      <c r="M15975" s="46" t="s">
        <v>123</v>
      </c>
      <c r="N15975" s="45">
        <v>46015.15625</v>
      </c>
      <c r="O15975" s="46" t="s">
        <v>123</v>
      </c>
      <c r="P15975" s="46">
        <v>1800.0</v>
      </c>
    </row>
    <row r="15976">
      <c r="A15976" s="40">
        <f t="shared" si="1"/>
        <v>46013</v>
      </c>
      <c r="B15976" s="37" t="str">
        <f t="array" ref="B15976">iferror(xlookup($I15976, 'IMPORT VHC Report'!$E:$E, 'IMPORT VHC Report'!$A:$C), )</f>
        <v/>
      </c>
      <c r="C15976" s="44"/>
      <c r="D15976" s="44"/>
      <c r="E15976" s="46" t="s">
        <v>12164</v>
      </c>
      <c r="F15976" s="46" t="s">
        <v>5467</v>
      </c>
      <c r="G15976" s="46">
        <v>6.839686960271E12</v>
      </c>
      <c r="H15976" s="46" t="s">
        <v>5468</v>
      </c>
      <c r="I15976" s="46" t="s">
        <v>5469</v>
      </c>
      <c r="J15976" s="46" t="s">
        <v>330</v>
      </c>
      <c r="K15976" s="46" t="s">
        <v>126</v>
      </c>
      <c r="L15976" s="45">
        <v>46015.875</v>
      </c>
      <c r="M15976" s="46" t="s">
        <v>123</v>
      </c>
      <c r="N15976" s="45">
        <v>46015.881944444445</v>
      </c>
      <c r="O15976" s="46" t="s">
        <v>123</v>
      </c>
      <c r="P15976" s="46">
        <v>600.0</v>
      </c>
    </row>
    <row r="15977">
      <c r="A15977" s="40">
        <f t="shared" si="1"/>
        <v>46013</v>
      </c>
      <c r="B15977" s="37" t="str">
        <f t="array" ref="B15977">iferror(xlookup($I15977, 'IMPORT VHC Report'!$E:$E, 'IMPORT VHC Report'!$A:$C), )</f>
        <v/>
      </c>
      <c r="C15977" s="44"/>
      <c r="D15977" s="44"/>
      <c r="E15977" s="46" t="s">
        <v>12165</v>
      </c>
      <c r="F15977" s="46" t="s">
        <v>5467</v>
      </c>
      <c r="G15977" s="46">
        <v>6.839686960271E12</v>
      </c>
      <c r="H15977" s="46" t="s">
        <v>5468</v>
      </c>
      <c r="I15977" s="46" t="s">
        <v>5469</v>
      </c>
      <c r="J15977" s="46" t="s">
        <v>332</v>
      </c>
      <c r="K15977" s="46" t="s">
        <v>63</v>
      </c>
      <c r="L15977" s="45">
        <v>46015.875</v>
      </c>
      <c r="M15977" s="46" t="s">
        <v>123</v>
      </c>
      <c r="N15977" s="45">
        <v>46016.25</v>
      </c>
      <c r="O15977" s="46" t="s">
        <v>123</v>
      </c>
      <c r="P15977" s="46">
        <v>32400.0</v>
      </c>
    </row>
    <row r="15978">
      <c r="A15978" s="40">
        <f t="shared" si="1"/>
        <v>46013</v>
      </c>
      <c r="B15978" s="37" t="str">
        <f t="array" ref="B15978">iferror(xlookup($I15978, 'IMPORT VHC Report'!$E:$E, 'IMPORT VHC Report'!$A:$C), )</f>
        <v/>
      </c>
      <c r="C15978" s="44"/>
      <c r="D15978" s="44"/>
      <c r="E15978" s="46" t="s">
        <v>12166</v>
      </c>
      <c r="F15978" s="46" t="s">
        <v>5467</v>
      </c>
      <c r="G15978" s="46">
        <v>6.839686960271E12</v>
      </c>
      <c r="H15978" s="46" t="s">
        <v>5468</v>
      </c>
      <c r="I15978" s="46" t="s">
        <v>5469</v>
      </c>
      <c r="J15978" s="46" t="s">
        <v>178</v>
      </c>
      <c r="K15978" s="46" t="s">
        <v>153</v>
      </c>
      <c r="L15978" s="45">
        <v>46015.875</v>
      </c>
      <c r="M15978" s="46" t="s">
        <v>123</v>
      </c>
      <c r="N15978" s="45">
        <v>46016.25</v>
      </c>
      <c r="O15978" s="46" t="s">
        <v>123</v>
      </c>
      <c r="P15978" s="46">
        <v>32400.0</v>
      </c>
      <c r="Q15978" s="46">
        <v>32400.0</v>
      </c>
    </row>
    <row r="15979">
      <c r="A15979" s="40">
        <f t="shared" si="1"/>
        <v>46013</v>
      </c>
      <c r="B15979" s="37" t="str">
        <f t="array" ref="B15979">iferror(xlookup($I15979, 'IMPORT VHC Report'!$E:$E, 'IMPORT VHC Report'!$A:$C), )</f>
        <v/>
      </c>
      <c r="C15979" s="44"/>
      <c r="D15979" s="44"/>
      <c r="E15979" s="46" t="s">
        <v>12167</v>
      </c>
      <c r="F15979" s="46" t="s">
        <v>5467</v>
      </c>
      <c r="G15979" s="46">
        <v>6.839686960271E12</v>
      </c>
      <c r="H15979" s="46" t="s">
        <v>5468</v>
      </c>
      <c r="I15979" s="46" t="s">
        <v>5469</v>
      </c>
      <c r="J15979" s="46" t="s">
        <v>136</v>
      </c>
      <c r="K15979" s="46" t="s">
        <v>126</v>
      </c>
      <c r="L15979" s="45">
        <v>46015.916666666664</v>
      </c>
      <c r="M15979" s="46" t="s">
        <v>123</v>
      </c>
      <c r="N15979" s="45">
        <v>46015.958333333336</v>
      </c>
      <c r="O15979" s="46" t="s">
        <v>123</v>
      </c>
      <c r="P15979" s="46">
        <v>3600.0</v>
      </c>
      <c r="S15979" s="46" t="s">
        <v>137</v>
      </c>
    </row>
    <row r="15980">
      <c r="A15980" s="40">
        <f t="shared" si="1"/>
        <v>46013</v>
      </c>
      <c r="B15980" s="37" t="str">
        <f t="array" ref="B15980">iferror(xlookup($I15980, 'IMPORT VHC Report'!$E:$E, 'IMPORT VHC Report'!$A:$C), )</f>
        <v/>
      </c>
      <c r="C15980" s="44"/>
      <c r="D15980" s="44"/>
      <c r="E15980" s="46" t="s">
        <v>12168</v>
      </c>
      <c r="F15980" s="46" t="s">
        <v>5467</v>
      </c>
      <c r="G15980" s="46">
        <v>6.839686960271E12</v>
      </c>
      <c r="H15980" s="46" t="s">
        <v>5468</v>
      </c>
      <c r="I15980" s="46" t="s">
        <v>5469</v>
      </c>
      <c r="J15980" s="46" t="s">
        <v>132</v>
      </c>
      <c r="K15980" s="46" t="s">
        <v>126</v>
      </c>
      <c r="L15980" s="45">
        <v>46015.979166666664</v>
      </c>
      <c r="M15980" s="46" t="s">
        <v>123</v>
      </c>
      <c r="N15980" s="45">
        <v>46015.993055555555</v>
      </c>
      <c r="O15980" s="46" t="s">
        <v>123</v>
      </c>
      <c r="P15980" s="46">
        <v>1200.0</v>
      </c>
    </row>
    <row r="15981">
      <c r="A15981" s="40">
        <f t="shared" si="1"/>
        <v>46013</v>
      </c>
      <c r="B15981" s="37" t="str">
        <f t="array" ref="B15981">iferror(xlookup($I15981, 'IMPORT VHC Report'!$E:$E, 'IMPORT VHC Report'!$A:$C), )</f>
        <v/>
      </c>
      <c r="C15981" s="44"/>
      <c r="D15981" s="44"/>
      <c r="E15981" s="46" t="s">
        <v>12169</v>
      </c>
      <c r="F15981" s="46" t="s">
        <v>5467</v>
      </c>
      <c r="G15981" s="46">
        <v>6.839686960271E12</v>
      </c>
      <c r="H15981" s="46" t="s">
        <v>5468</v>
      </c>
      <c r="I15981" s="46" t="s">
        <v>5469</v>
      </c>
      <c r="J15981" s="46" t="s">
        <v>136</v>
      </c>
      <c r="K15981" s="46" t="s">
        <v>126</v>
      </c>
      <c r="L15981" s="45">
        <v>46015.993055555555</v>
      </c>
      <c r="M15981" s="46" t="s">
        <v>123</v>
      </c>
      <c r="N15981" s="45">
        <v>46016.03472222222</v>
      </c>
      <c r="O15981" s="46" t="s">
        <v>123</v>
      </c>
      <c r="P15981" s="46">
        <v>3600.0</v>
      </c>
      <c r="S15981" s="46" t="s">
        <v>4171</v>
      </c>
    </row>
    <row r="15982">
      <c r="A15982" s="40">
        <f t="shared" si="1"/>
        <v>46013</v>
      </c>
      <c r="B15982" s="37" t="str">
        <f t="array" ref="B15982">iferror(xlookup($I15982, 'IMPORT VHC Report'!$E:$E, 'IMPORT VHC Report'!$A:$C), )</f>
        <v/>
      </c>
      <c r="C15982" s="44"/>
      <c r="D15982" s="44"/>
      <c r="E15982" s="46" t="s">
        <v>12170</v>
      </c>
      <c r="F15982" s="46" t="s">
        <v>5467</v>
      </c>
      <c r="G15982" s="46">
        <v>6.839686960271E12</v>
      </c>
      <c r="H15982" s="46" t="s">
        <v>5468</v>
      </c>
      <c r="I15982" s="46" t="s">
        <v>5469</v>
      </c>
      <c r="J15982" s="46" t="s">
        <v>134</v>
      </c>
      <c r="K15982" s="46" t="s">
        <v>126</v>
      </c>
      <c r="L15982" s="45">
        <v>46016.125</v>
      </c>
      <c r="M15982" s="46" t="s">
        <v>123</v>
      </c>
      <c r="N15982" s="45">
        <v>46016.145833333336</v>
      </c>
      <c r="O15982" s="46" t="s">
        <v>123</v>
      </c>
      <c r="P15982" s="46">
        <v>1800.0</v>
      </c>
    </row>
    <row r="15983">
      <c r="A15983" s="40">
        <f t="shared" si="1"/>
        <v>46013</v>
      </c>
      <c r="B15983" s="37" t="str">
        <f t="array" ref="B15983">iferror(xlookup($I15983, 'IMPORT VHC Report'!$E:$E, 'IMPORT VHC Report'!$A:$C), )</f>
        <v/>
      </c>
      <c r="C15983" s="44"/>
      <c r="D15983" s="44"/>
      <c r="E15983" s="46" t="s">
        <v>12171</v>
      </c>
      <c r="F15983" s="46" t="s">
        <v>5467</v>
      </c>
      <c r="G15983" s="46">
        <v>6.839686960271E12</v>
      </c>
      <c r="H15983" s="46" t="s">
        <v>5468</v>
      </c>
      <c r="I15983" s="46" t="s">
        <v>5469</v>
      </c>
      <c r="J15983" s="46" t="s">
        <v>330</v>
      </c>
      <c r="K15983" s="46" t="s">
        <v>126</v>
      </c>
      <c r="L15983" s="45">
        <v>46016.875</v>
      </c>
      <c r="M15983" s="46" t="s">
        <v>123</v>
      </c>
      <c r="N15983" s="45">
        <v>46016.881944444445</v>
      </c>
      <c r="O15983" s="46" t="s">
        <v>123</v>
      </c>
      <c r="P15983" s="46">
        <v>600.0</v>
      </c>
    </row>
    <row r="15984">
      <c r="A15984" s="40">
        <f t="shared" si="1"/>
        <v>46013</v>
      </c>
      <c r="B15984" s="37" t="str">
        <f t="array" ref="B15984">iferror(xlookup($I15984, 'IMPORT VHC Report'!$E:$E, 'IMPORT VHC Report'!$A:$C), )</f>
        <v/>
      </c>
      <c r="C15984" s="44"/>
      <c r="D15984" s="44"/>
      <c r="E15984" s="46" t="s">
        <v>12172</v>
      </c>
      <c r="F15984" s="46" t="s">
        <v>5467</v>
      </c>
      <c r="G15984" s="46">
        <v>6.839686960271E12</v>
      </c>
      <c r="H15984" s="46" t="s">
        <v>5468</v>
      </c>
      <c r="I15984" s="46" t="s">
        <v>5469</v>
      </c>
      <c r="J15984" s="46" t="s">
        <v>178</v>
      </c>
      <c r="K15984" s="46" t="s">
        <v>153</v>
      </c>
      <c r="L15984" s="45">
        <v>46016.875</v>
      </c>
      <c r="M15984" s="46" t="s">
        <v>123</v>
      </c>
      <c r="N15984" s="45">
        <v>46017.25</v>
      </c>
      <c r="O15984" s="46" t="s">
        <v>123</v>
      </c>
      <c r="P15984" s="46">
        <v>32400.0</v>
      </c>
      <c r="Q15984" s="46">
        <v>32400.0</v>
      </c>
    </row>
    <row r="15985">
      <c r="A15985" s="40">
        <f t="shared" si="1"/>
        <v>46013</v>
      </c>
      <c r="B15985" s="37" t="str">
        <f t="array" ref="B15985">iferror(xlookup($I15985, 'IMPORT VHC Report'!$E:$E, 'IMPORT VHC Report'!$A:$C), )</f>
        <v/>
      </c>
      <c r="C15985" s="44"/>
      <c r="D15985" s="44"/>
      <c r="E15985" s="46" t="s">
        <v>12173</v>
      </c>
      <c r="F15985" s="46" t="s">
        <v>5467</v>
      </c>
      <c r="G15985" s="46">
        <v>6.839686960271E12</v>
      </c>
      <c r="H15985" s="46" t="s">
        <v>5468</v>
      </c>
      <c r="I15985" s="46" t="s">
        <v>5469</v>
      </c>
      <c r="J15985" s="46" t="s">
        <v>332</v>
      </c>
      <c r="K15985" s="46" t="s">
        <v>63</v>
      </c>
      <c r="L15985" s="45">
        <v>46016.875</v>
      </c>
      <c r="M15985" s="46" t="s">
        <v>123</v>
      </c>
      <c r="N15985" s="45">
        <v>46017.25</v>
      </c>
      <c r="O15985" s="46" t="s">
        <v>123</v>
      </c>
      <c r="P15985" s="46">
        <v>32400.0</v>
      </c>
    </row>
    <row r="15986">
      <c r="A15986" s="40">
        <f t="shared" si="1"/>
        <v>46013</v>
      </c>
      <c r="B15986" s="37" t="str">
        <f t="array" ref="B15986">iferror(xlookup($I15986, 'IMPORT VHC Report'!$E:$E, 'IMPORT VHC Report'!$A:$C), )</f>
        <v/>
      </c>
      <c r="C15986" s="44"/>
      <c r="D15986" s="44"/>
      <c r="E15986" s="46" t="s">
        <v>12174</v>
      </c>
      <c r="F15986" s="46" t="s">
        <v>5467</v>
      </c>
      <c r="G15986" s="46">
        <v>6.839686960271E12</v>
      </c>
      <c r="H15986" s="46" t="s">
        <v>5468</v>
      </c>
      <c r="I15986" s="46" t="s">
        <v>5469</v>
      </c>
      <c r="J15986" s="46" t="s">
        <v>134</v>
      </c>
      <c r="K15986" s="46" t="s">
        <v>126</v>
      </c>
      <c r="L15986" s="45">
        <v>46016.989583333336</v>
      </c>
      <c r="M15986" s="46" t="s">
        <v>123</v>
      </c>
      <c r="N15986" s="45">
        <v>46017.010416666664</v>
      </c>
      <c r="O15986" s="46" t="s">
        <v>123</v>
      </c>
      <c r="P15986" s="46">
        <v>1800.0</v>
      </c>
    </row>
    <row r="15987">
      <c r="A15987" s="40">
        <f t="shared" si="1"/>
        <v>46013</v>
      </c>
      <c r="B15987" s="37" t="str">
        <f t="array" ref="B15987">iferror(xlookup($I15987, 'IMPORT VHC Report'!$E:$E, 'IMPORT VHC Report'!$A:$C), )</f>
        <v/>
      </c>
      <c r="C15987" s="44"/>
      <c r="D15987" s="44"/>
      <c r="E15987" s="46" t="s">
        <v>12175</v>
      </c>
      <c r="F15987" s="46" t="s">
        <v>5467</v>
      </c>
      <c r="G15987" s="46">
        <v>6.839686960271E12</v>
      </c>
      <c r="H15987" s="46" t="s">
        <v>5468</v>
      </c>
      <c r="I15987" s="46" t="s">
        <v>5469</v>
      </c>
      <c r="J15987" s="46" t="s">
        <v>132</v>
      </c>
      <c r="K15987" s="46" t="s">
        <v>126</v>
      </c>
      <c r="L15987" s="45">
        <v>46017.09375</v>
      </c>
      <c r="M15987" s="46" t="s">
        <v>123</v>
      </c>
      <c r="N15987" s="45">
        <v>46017.135416666664</v>
      </c>
      <c r="O15987" s="46" t="s">
        <v>123</v>
      </c>
      <c r="P15987" s="46">
        <v>3600.0</v>
      </c>
    </row>
    <row r="15988">
      <c r="A15988" s="40">
        <f t="shared" si="1"/>
        <v>46013</v>
      </c>
      <c r="B15988" s="37" t="str">
        <f t="array" ref="B15988">iferror(xlookup($I15988, 'IMPORT VHC Report'!$E:$E, 'IMPORT VHC Report'!$A:$C), )</f>
        <v/>
      </c>
      <c r="C15988" s="44"/>
      <c r="D15988" s="44"/>
      <c r="E15988" s="46" t="s">
        <v>12176</v>
      </c>
      <c r="F15988" s="46" t="s">
        <v>5467</v>
      </c>
      <c r="G15988" s="46">
        <v>6.839686960271E12</v>
      </c>
      <c r="H15988" s="46" t="s">
        <v>5468</v>
      </c>
      <c r="I15988" s="46" t="s">
        <v>5469</v>
      </c>
      <c r="J15988" s="46" t="s">
        <v>330</v>
      </c>
      <c r="K15988" s="46" t="s">
        <v>126</v>
      </c>
      <c r="L15988" s="45">
        <v>46017.875</v>
      </c>
      <c r="M15988" s="46" t="s">
        <v>123</v>
      </c>
      <c r="N15988" s="45">
        <v>46017.881944444445</v>
      </c>
      <c r="O15988" s="46" t="s">
        <v>123</v>
      </c>
      <c r="P15988" s="46">
        <v>600.0</v>
      </c>
    </row>
    <row r="15989">
      <c r="A15989" s="40">
        <f t="shared" si="1"/>
        <v>46013</v>
      </c>
      <c r="B15989" s="37" t="str">
        <f t="array" ref="B15989">iferror(xlookup($I15989, 'IMPORT VHC Report'!$E:$E, 'IMPORT VHC Report'!$A:$C), )</f>
        <v/>
      </c>
      <c r="C15989" s="44"/>
      <c r="D15989" s="44"/>
      <c r="E15989" s="46" t="s">
        <v>12177</v>
      </c>
      <c r="F15989" s="46" t="s">
        <v>5467</v>
      </c>
      <c r="G15989" s="46">
        <v>6.839686960271E12</v>
      </c>
      <c r="H15989" s="46" t="s">
        <v>5468</v>
      </c>
      <c r="I15989" s="46" t="s">
        <v>5469</v>
      </c>
      <c r="J15989" s="46" t="s">
        <v>332</v>
      </c>
      <c r="K15989" s="46" t="s">
        <v>63</v>
      </c>
      <c r="L15989" s="45">
        <v>46017.875</v>
      </c>
      <c r="M15989" s="46" t="s">
        <v>123</v>
      </c>
      <c r="N15989" s="45">
        <v>46018.25</v>
      </c>
      <c r="O15989" s="46" t="s">
        <v>123</v>
      </c>
      <c r="P15989" s="46">
        <v>32400.0</v>
      </c>
    </row>
    <row r="15990">
      <c r="A15990" s="40">
        <f t="shared" si="1"/>
        <v>46013</v>
      </c>
      <c r="B15990" s="37" t="str">
        <f t="array" ref="B15990">iferror(xlookup($I15990, 'IMPORT VHC Report'!$E:$E, 'IMPORT VHC Report'!$A:$C), )</f>
        <v/>
      </c>
      <c r="C15990" s="44"/>
      <c r="D15990" s="44"/>
      <c r="E15990" s="46" t="s">
        <v>12178</v>
      </c>
      <c r="F15990" s="46" t="s">
        <v>5467</v>
      </c>
      <c r="G15990" s="46">
        <v>6.839686960271E12</v>
      </c>
      <c r="H15990" s="46" t="s">
        <v>5468</v>
      </c>
      <c r="I15990" s="46" t="s">
        <v>5469</v>
      </c>
      <c r="J15990" s="46" t="s">
        <v>134</v>
      </c>
      <c r="K15990" s="46" t="s">
        <v>126</v>
      </c>
      <c r="L15990" s="45">
        <v>46017.96875</v>
      </c>
      <c r="M15990" s="46" t="s">
        <v>123</v>
      </c>
      <c r="N15990" s="45">
        <v>46017.989583333336</v>
      </c>
      <c r="O15990" s="46" t="s">
        <v>123</v>
      </c>
      <c r="P15990" s="46">
        <v>1800.0</v>
      </c>
    </row>
    <row r="15991">
      <c r="A15991" s="40">
        <f t="shared" si="1"/>
        <v>46013</v>
      </c>
      <c r="B15991" s="37" t="str">
        <f t="array" ref="B15991">iferror(xlookup($I15991, 'IMPORT VHC Report'!$E:$E, 'IMPORT VHC Report'!$A:$C), )</f>
        <v/>
      </c>
      <c r="C15991" s="44"/>
      <c r="D15991" s="44"/>
      <c r="E15991" s="46" t="s">
        <v>12179</v>
      </c>
      <c r="F15991" s="46" t="s">
        <v>5467</v>
      </c>
      <c r="G15991" s="46">
        <v>6.839686960271E12</v>
      </c>
      <c r="H15991" s="46" t="s">
        <v>5468</v>
      </c>
      <c r="I15991" s="46" t="s">
        <v>5469</v>
      </c>
      <c r="J15991" s="46" t="s">
        <v>132</v>
      </c>
      <c r="K15991" s="46" t="s">
        <v>126</v>
      </c>
      <c r="L15991" s="45">
        <v>46018.104166666664</v>
      </c>
      <c r="M15991" s="46" t="s">
        <v>123</v>
      </c>
      <c r="N15991" s="45">
        <v>46018.145833333336</v>
      </c>
      <c r="O15991" s="46" t="s">
        <v>123</v>
      </c>
      <c r="P15991" s="46">
        <v>3600.0</v>
      </c>
    </row>
    <row r="15992">
      <c r="A15992" s="40">
        <f t="shared" si="1"/>
        <v>46013</v>
      </c>
      <c r="B15992" s="37" t="str">
        <f t="array" ref="B15992">iferror(xlookup($I15992, 'IMPORT VHC Report'!$E:$E, 'IMPORT VHC Report'!$A:$C), )</f>
        <v/>
      </c>
      <c r="C15992" s="44"/>
      <c r="D15992" s="44"/>
      <c r="E15992" s="46" t="s">
        <v>12180</v>
      </c>
      <c r="F15992" s="46" t="s">
        <v>5641</v>
      </c>
      <c r="G15992" s="46">
        <v>1.1279671882767E13</v>
      </c>
      <c r="H15992" s="46" t="s">
        <v>5642</v>
      </c>
      <c r="I15992" s="46" t="s">
        <v>5643</v>
      </c>
      <c r="J15992" s="46" t="s">
        <v>330</v>
      </c>
      <c r="K15992" s="46" t="s">
        <v>126</v>
      </c>
      <c r="L15992" s="45">
        <v>46013.875</v>
      </c>
      <c r="M15992" s="46" t="s">
        <v>123</v>
      </c>
      <c r="N15992" s="45">
        <v>46013.881944444445</v>
      </c>
      <c r="O15992" s="46" t="s">
        <v>123</v>
      </c>
      <c r="P15992" s="46">
        <v>600.0</v>
      </c>
    </row>
    <row r="15993">
      <c r="A15993" s="40">
        <f t="shared" si="1"/>
        <v>46013</v>
      </c>
      <c r="B15993" s="37" t="str">
        <f t="array" ref="B15993">iferror(xlookup($I15993, 'IMPORT VHC Report'!$E:$E, 'IMPORT VHC Report'!$A:$C), )</f>
        <v/>
      </c>
      <c r="C15993" s="44"/>
      <c r="D15993" s="44"/>
      <c r="E15993" s="46" t="s">
        <v>12181</v>
      </c>
      <c r="F15993" s="46" t="s">
        <v>5641</v>
      </c>
      <c r="G15993" s="46">
        <v>1.1279671882767E13</v>
      </c>
      <c r="H15993" s="46" t="s">
        <v>5642</v>
      </c>
      <c r="I15993" s="46" t="s">
        <v>5643</v>
      </c>
      <c r="J15993" s="46" t="s">
        <v>332</v>
      </c>
      <c r="K15993" s="46" t="s">
        <v>63</v>
      </c>
      <c r="L15993" s="45">
        <v>46013.875</v>
      </c>
      <c r="M15993" s="46" t="s">
        <v>123</v>
      </c>
      <c r="N15993" s="45">
        <v>46014.25</v>
      </c>
      <c r="O15993" s="46" t="s">
        <v>123</v>
      </c>
      <c r="P15993" s="46">
        <v>32400.0</v>
      </c>
    </row>
    <row r="15994">
      <c r="A15994" s="40">
        <f t="shared" si="1"/>
        <v>46013</v>
      </c>
      <c r="B15994" s="37" t="str">
        <f t="array" ref="B15994">iferror(xlookup($I15994, 'IMPORT VHC Report'!$E:$E, 'IMPORT VHC Report'!$A:$C), )</f>
        <v/>
      </c>
      <c r="C15994" s="44"/>
      <c r="D15994" s="44"/>
      <c r="E15994" s="46" t="s">
        <v>12182</v>
      </c>
      <c r="F15994" s="46" t="s">
        <v>5641</v>
      </c>
      <c r="G15994" s="46">
        <v>1.1279671882767E13</v>
      </c>
      <c r="H15994" s="46" t="s">
        <v>5642</v>
      </c>
      <c r="I15994" s="46" t="s">
        <v>5643</v>
      </c>
      <c r="J15994" s="46" t="s">
        <v>4</v>
      </c>
      <c r="K15994" s="46" t="s">
        <v>126</v>
      </c>
      <c r="L15994" s="45">
        <v>46013.885416666664</v>
      </c>
      <c r="M15994" s="46" t="s">
        <v>123</v>
      </c>
      <c r="N15994" s="45">
        <v>46013.927083333336</v>
      </c>
      <c r="O15994" s="46" t="s">
        <v>123</v>
      </c>
      <c r="P15994" s="46">
        <v>3600.0</v>
      </c>
      <c r="S15994" s="46" t="s">
        <v>336</v>
      </c>
    </row>
    <row r="15995">
      <c r="A15995" s="40">
        <f t="shared" si="1"/>
        <v>46013</v>
      </c>
      <c r="B15995" s="37" t="str">
        <f t="array" ref="B15995">iferror(xlookup($I15995, 'IMPORT VHC Report'!$E:$E, 'IMPORT VHC Report'!$A:$C), )</f>
        <v/>
      </c>
      <c r="C15995" s="44"/>
      <c r="D15995" s="44"/>
      <c r="E15995" s="46" t="s">
        <v>12183</v>
      </c>
      <c r="F15995" s="46" t="s">
        <v>5641</v>
      </c>
      <c r="G15995" s="46">
        <v>1.1279671882767E13</v>
      </c>
      <c r="H15995" s="46" t="s">
        <v>5642</v>
      </c>
      <c r="I15995" s="46" t="s">
        <v>5643</v>
      </c>
      <c r="J15995" s="46" t="s">
        <v>132</v>
      </c>
      <c r="K15995" s="46" t="s">
        <v>126</v>
      </c>
      <c r="L15995" s="45">
        <v>46014.041666666664</v>
      </c>
      <c r="M15995" s="46" t="s">
        <v>123</v>
      </c>
      <c r="N15995" s="45">
        <v>46014.083333333336</v>
      </c>
      <c r="O15995" s="46" t="s">
        <v>123</v>
      </c>
      <c r="P15995" s="46">
        <v>3600.0</v>
      </c>
    </row>
    <row r="15996">
      <c r="A15996" s="40">
        <f t="shared" si="1"/>
        <v>46013</v>
      </c>
      <c r="B15996" s="37" t="str">
        <f t="array" ref="B15996">iferror(xlookup($I15996, 'IMPORT VHC Report'!$E:$E, 'IMPORT VHC Report'!$A:$C), )</f>
        <v/>
      </c>
      <c r="C15996" s="44"/>
      <c r="D15996" s="44"/>
      <c r="E15996" s="46" t="s">
        <v>12184</v>
      </c>
      <c r="F15996" s="46" t="s">
        <v>5641</v>
      </c>
      <c r="G15996" s="46">
        <v>1.1279671882767E13</v>
      </c>
      <c r="H15996" s="46" t="s">
        <v>5642</v>
      </c>
      <c r="I15996" s="46" t="s">
        <v>5643</v>
      </c>
      <c r="J15996" s="46" t="s">
        <v>134</v>
      </c>
      <c r="K15996" s="46" t="s">
        <v>126</v>
      </c>
      <c r="L15996" s="45">
        <v>46014.177083333336</v>
      </c>
      <c r="M15996" s="46" t="s">
        <v>123</v>
      </c>
      <c r="N15996" s="45">
        <v>46014.197916666664</v>
      </c>
      <c r="O15996" s="46" t="s">
        <v>123</v>
      </c>
      <c r="P15996" s="46">
        <v>1800.0</v>
      </c>
    </row>
    <row r="15997">
      <c r="A15997" s="40">
        <f t="shared" si="1"/>
        <v>46013</v>
      </c>
      <c r="B15997" s="37" t="str">
        <f t="array" ref="B15997">iferror(xlookup($I15997, 'IMPORT VHC Report'!$E:$E, 'IMPORT VHC Report'!$A:$C), )</f>
        <v/>
      </c>
      <c r="C15997" s="44"/>
      <c r="D15997" s="44"/>
      <c r="E15997" s="46" t="s">
        <v>12185</v>
      </c>
      <c r="F15997" s="46" t="s">
        <v>5641</v>
      </c>
      <c r="G15997" s="46">
        <v>1.1279671882767E13</v>
      </c>
      <c r="H15997" s="46" t="s">
        <v>5642</v>
      </c>
      <c r="I15997" s="46" t="s">
        <v>5643</v>
      </c>
      <c r="J15997" s="46" t="s">
        <v>4</v>
      </c>
      <c r="K15997" s="46" t="s">
        <v>126</v>
      </c>
      <c r="L15997" s="45">
        <v>46014.197916666664</v>
      </c>
      <c r="M15997" s="46" t="s">
        <v>123</v>
      </c>
      <c r="N15997" s="45">
        <v>46014.208333333336</v>
      </c>
      <c r="O15997" s="46" t="s">
        <v>123</v>
      </c>
      <c r="P15997" s="46">
        <v>900.0</v>
      </c>
      <c r="S15997" s="46" t="s">
        <v>3332</v>
      </c>
    </row>
    <row r="15998">
      <c r="A15998" s="40">
        <f t="shared" si="1"/>
        <v>46013</v>
      </c>
      <c r="B15998" s="37" t="str">
        <f t="array" ref="B15998">iferror(xlookup($I15998, 'IMPORT VHC Report'!$E:$E, 'IMPORT VHC Report'!$A:$C), )</f>
        <v/>
      </c>
      <c r="C15998" s="44"/>
      <c r="D15998" s="44"/>
      <c r="E15998" s="46" t="s">
        <v>12186</v>
      </c>
      <c r="F15998" s="46" t="s">
        <v>5641</v>
      </c>
      <c r="G15998" s="46">
        <v>1.1279671882767E13</v>
      </c>
      <c r="H15998" s="46" t="s">
        <v>5642</v>
      </c>
      <c r="I15998" s="46" t="s">
        <v>5643</v>
      </c>
      <c r="J15998" s="46" t="s">
        <v>125</v>
      </c>
      <c r="K15998" s="46" t="s">
        <v>126</v>
      </c>
      <c r="L15998" s="45">
        <v>46014.208333333336</v>
      </c>
      <c r="M15998" s="46" t="s">
        <v>123</v>
      </c>
      <c r="N15998" s="45">
        <v>46014.21875</v>
      </c>
      <c r="O15998" s="46" t="s">
        <v>123</v>
      </c>
      <c r="P15998" s="46">
        <v>900.0</v>
      </c>
      <c r="S15998" s="46" t="s">
        <v>4327</v>
      </c>
    </row>
    <row r="15999">
      <c r="A15999" s="40">
        <f t="shared" si="1"/>
        <v>46013</v>
      </c>
      <c r="B15999" s="37" t="str">
        <f t="array" ref="B15999">iferror(xlookup($I15999, 'IMPORT VHC Report'!$E:$E, 'IMPORT VHC Report'!$A:$C), )</f>
        <v/>
      </c>
      <c r="C15999" s="44"/>
      <c r="D15999" s="44"/>
      <c r="E15999" s="46" t="s">
        <v>12187</v>
      </c>
      <c r="F15999" s="46" t="s">
        <v>5641</v>
      </c>
      <c r="G15999" s="46">
        <v>1.1279671882767E13</v>
      </c>
      <c r="H15999" s="46" t="s">
        <v>5642</v>
      </c>
      <c r="I15999" s="46" t="s">
        <v>5643</v>
      </c>
      <c r="J15999" s="46" t="s">
        <v>330</v>
      </c>
      <c r="K15999" s="46" t="s">
        <v>126</v>
      </c>
      <c r="L15999" s="45">
        <v>46014.875</v>
      </c>
      <c r="M15999" s="46" t="s">
        <v>123</v>
      </c>
      <c r="N15999" s="45">
        <v>46014.881944444445</v>
      </c>
      <c r="O15999" s="46" t="s">
        <v>123</v>
      </c>
      <c r="P15999" s="46">
        <v>600.0</v>
      </c>
    </row>
    <row r="16000">
      <c r="A16000" s="40">
        <f t="shared" si="1"/>
        <v>46013</v>
      </c>
      <c r="B16000" s="37" t="str">
        <f t="array" ref="B16000">iferror(xlookup($I16000, 'IMPORT VHC Report'!$E:$E, 'IMPORT VHC Report'!$A:$C), )</f>
        <v/>
      </c>
      <c r="C16000" s="44"/>
      <c r="D16000" s="44"/>
      <c r="E16000" s="46" t="s">
        <v>12188</v>
      </c>
      <c r="F16000" s="46" t="s">
        <v>5641</v>
      </c>
      <c r="G16000" s="46">
        <v>1.1279671882767E13</v>
      </c>
      <c r="H16000" s="46" t="s">
        <v>5642</v>
      </c>
      <c r="I16000" s="46" t="s">
        <v>5643</v>
      </c>
      <c r="J16000" s="46" t="s">
        <v>332</v>
      </c>
      <c r="K16000" s="46" t="s">
        <v>63</v>
      </c>
      <c r="L16000" s="45">
        <v>46014.875</v>
      </c>
      <c r="M16000" s="46" t="s">
        <v>123</v>
      </c>
      <c r="N16000" s="45">
        <v>46015.25</v>
      </c>
      <c r="O16000" s="46" t="s">
        <v>123</v>
      </c>
      <c r="P16000" s="46">
        <v>32400.0</v>
      </c>
    </row>
    <row r="16001">
      <c r="A16001" s="40">
        <f t="shared" si="1"/>
        <v>46013</v>
      </c>
      <c r="B16001" s="37" t="str">
        <f t="array" ref="B16001">iferror(xlookup($I16001, 'IMPORT VHC Report'!$E:$E, 'IMPORT VHC Report'!$A:$C), )</f>
        <v/>
      </c>
      <c r="C16001" s="44"/>
      <c r="D16001" s="44"/>
      <c r="E16001" s="46" t="s">
        <v>12189</v>
      </c>
      <c r="F16001" s="46" t="s">
        <v>5641</v>
      </c>
      <c r="G16001" s="46">
        <v>1.1279671882767E13</v>
      </c>
      <c r="H16001" s="46" t="s">
        <v>5642</v>
      </c>
      <c r="I16001" s="46" t="s">
        <v>5643</v>
      </c>
      <c r="J16001" s="46" t="s">
        <v>134</v>
      </c>
      <c r="K16001" s="46" t="s">
        <v>126</v>
      </c>
      <c r="L16001" s="45">
        <v>46015.020833333336</v>
      </c>
      <c r="M16001" s="46" t="s">
        <v>123</v>
      </c>
      <c r="N16001" s="45">
        <v>46015.041666666664</v>
      </c>
      <c r="O16001" s="46" t="s">
        <v>123</v>
      </c>
      <c r="P16001" s="46">
        <v>1800.0</v>
      </c>
    </row>
    <row r="16002">
      <c r="A16002" s="40">
        <f t="shared" si="1"/>
        <v>46013</v>
      </c>
      <c r="B16002" s="37" t="str">
        <f t="array" ref="B16002">iferror(xlookup($I16002, 'IMPORT VHC Report'!$E:$E, 'IMPORT VHC Report'!$A:$C), )</f>
        <v/>
      </c>
      <c r="C16002" s="44"/>
      <c r="D16002" s="44"/>
      <c r="E16002" s="46" t="s">
        <v>12190</v>
      </c>
      <c r="F16002" s="46" t="s">
        <v>5641</v>
      </c>
      <c r="G16002" s="46">
        <v>1.1279671882767E13</v>
      </c>
      <c r="H16002" s="46" t="s">
        <v>5642</v>
      </c>
      <c r="I16002" s="46" t="s">
        <v>5643</v>
      </c>
      <c r="J16002" s="46" t="s">
        <v>132</v>
      </c>
      <c r="K16002" s="46" t="s">
        <v>126</v>
      </c>
      <c r="L16002" s="45">
        <v>46015.166666666664</v>
      </c>
      <c r="M16002" s="46" t="s">
        <v>123</v>
      </c>
      <c r="N16002" s="45">
        <v>46015.208333333336</v>
      </c>
      <c r="O16002" s="46" t="s">
        <v>123</v>
      </c>
      <c r="P16002" s="46">
        <v>3600.0</v>
      </c>
    </row>
    <row r="16003">
      <c r="A16003" s="40">
        <f t="shared" si="1"/>
        <v>46013</v>
      </c>
      <c r="B16003" s="37" t="str">
        <f t="array" ref="B16003">iferror(xlookup($I16003, 'IMPORT VHC Report'!$E:$E, 'IMPORT VHC Report'!$A:$C), )</f>
        <v/>
      </c>
      <c r="C16003" s="44"/>
      <c r="D16003" s="44"/>
      <c r="E16003" s="46" t="s">
        <v>12191</v>
      </c>
      <c r="F16003" s="46" t="s">
        <v>5641</v>
      </c>
      <c r="G16003" s="46">
        <v>1.1279671882767E13</v>
      </c>
      <c r="H16003" s="46" t="s">
        <v>5642</v>
      </c>
      <c r="I16003" s="46" t="s">
        <v>5643</v>
      </c>
      <c r="J16003" s="46" t="s">
        <v>4</v>
      </c>
      <c r="K16003" s="46" t="s">
        <v>126</v>
      </c>
      <c r="L16003" s="45">
        <v>46015.208333333336</v>
      </c>
      <c r="M16003" s="46" t="s">
        <v>123</v>
      </c>
      <c r="N16003" s="45">
        <v>46015.21875</v>
      </c>
      <c r="O16003" s="46" t="s">
        <v>123</v>
      </c>
      <c r="P16003" s="46">
        <v>900.0</v>
      </c>
      <c r="S16003" s="46" t="s">
        <v>12192</v>
      </c>
    </row>
    <row r="16004">
      <c r="A16004" s="40">
        <f t="shared" si="1"/>
        <v>46013</v>
      </c>
      <c r="B16004" s="37" t="str">
        <f t="array" ref="B16004">iferror(xlookup($I16004, 'IMPORT VHC Report'!$E:$E, 'IMPORT VHC Report'!$A:$C), )</f>
        <v/>
      </c>
      <c r="C16004" s="44"/>
      <c r="D16004" s="44"/>
      <c r="E16004" s="46" t="s">
        <v>12193</v>
      </c>
      <c r="F16004" s="46" t="s">
        <v>5641</v>
      </c>
      <c r="G16004" s="46">
        <v>1.1279671882767E13</v>
      </c>
      <c r="H16004" s="46" t="s">
        <v>5642</v>
      </c>
      <c r="I16004" s="46" t="s">
        <v>5643</v>
      </c>
      <c r="J16004" s="46" t="s">
        <v>330</v>
      </c>
      <c r="K16004" s="46" t="s">
        <v>126</v>
      </c>
      <c r="L16004" s="45">
        <v>46015.875</v>
      </c>
      <c r="M16004" s="46" t="s">
        <v>123</v>
      </c>
      <c r="N16004" s="45">
        <v>46015.881944444445</v>
      </c>
      <c r="O16004" s="46" t="s">
        <v>123</v>
      </c>
      <c r="P16004" s="46">
        <v>600.0</v>
      </c>
    </row>
    <row r="16005">
      <c r="A16005" s="40">
        <f t="shared" si="1"/>
        <v>46013</v>
      </c>
      <c r="B16005" s="37" t="str">
        <f t="array" ref="B16005">iferror(xlookup($I16005, 'IMPORT VHC Report'!$E:$E, 'IMPORT VHC Report'!$A:$C), )</f>
        <v/>
      </c>
      <c r="C16005" s="44"/>
      <c r="D16005" s="44"/>
      <c r="E16005" s="46" t="s">
        <v>12194</v>
      </c>
      <c r="F16005" s="46" t="s">
        <v>5641</v>
      </c>
      <c r="G16005" s="46">
        <v>1.1279671882767E13</v>
      </c>
      <c r="H16005" s="46" t="s">
        <v>5642</v>
      </c>
      <c r="I16005" s="46" t="s">
        <v>5643</v>
      </c>
      <c r="J16005" s="46" t="s">
        <v>332</v>
      </c>
      <c r="K16005" s="46" t="s">
        <v>63</v>
      </c>
      <c r="L16005" s="45">
        <v>46015.875</v>
      </c>
      <c r="M16005" s="46" t="s">
        <v>123</v>
      </c>
      <c r="N16005" s="45">
        <v>46016.25</v>
      </c>
      <c r="O16005" s="46" t="s">
        <v>123</v>
      </c>
      <c r="P16005" s="46">
        <v>32400.0</v>
      </c>
    </row>
    <row r="16006">
      <c r="A16006" s="40">
        <f t="shared" si="1"/>
        <v>46013</v>
      </c>
      <c r="B16006" s="37" t="str">
        <f t="array" ref="B16006">iferror(xlookup($I16006, 'IMPORT VHC Report'!$E:$E, 'IMPORT VHC Report'!$A:$C), )</f>
        <v/>
      </c>
      <c r="C16006" s="44"/>
      <c r="D16006" s="44"/>
      <c r="E16006" s="46" t="s">
        <v>12195</v>
      </c>
      <c r="F16006" s="46" t="s">
        <v>5641</v>
      </c>
      <c r="G16006" s="46">
        <v>1.1279671882767E13</v>
      </c>
      <c r="H16006" s="46" t="s">
        <v>5642</v>
      </c>
      <c r="I16006" s="46" t="s">
        <v>5643</v>
      </c>
      <c r="J16006" s="46" t="s">
        <v>134</v>
      </c>
      <c r="K16006" s="46" t="s">
        <v>126</v>
      </c>
      <c r="L16006" s="45">
        <v>46016.0</v>
      </c>
      <c r="M16006" s="46" t="s">
        <v>123</v>
      </c>
      <c r="N16006" s="45">
        <v>46016.020833333336</v>
      </c>
      <c r="O16006" s="46" t="s">
        <v>123</v>
      </c>
      <c r="P16006" s="46">
        <v>1800.0</v>
      </c>
    </row>
    <row r="16007">
      <c r="A16007" s="40">
        <f t="shared" si="1"/>
        <v>46013</v>
      </c>
      <c r="B16007" s="37" t="str">
        <f t="array" ref="B16007">iferror(xlookup($I16007, 'IMPORT VHC Report'!$E:$E, 'IMPORT VHC Report'!$A:$C), )</f>
        <v/>
      </c>
      <c r="C16007" s="44"/>
      <c r="D16007" s="44"/>
      <c r="E16007" s="46" t="s">
        <v>12196</v>
      </c>
      <c r="F16007" s="46" t="s">
        <v>5641</v>
      </c>
      <c r="G16007" s="46">
        <v>1.1279671882767E13</v>
      </c>
      <c r="H16007" s="46" t="s">
        <v>5642</v>
      </c>
      <c r="I16007" s="46" t="s">
        <v>5643</v>
      </c>
      <c r="J16007" s="46" t="s">
        <v>136</v>
      </c>
      <c r="K16007" s="46" t="s">
        <v>126</v>
      </c>
      <c r="L16007" s="45">
        <v>46016.041666666664</v>
      </c>
      <c r="M16007" s="46" t="s">
        <v>123</v>
      </c>
      <c r="N16007" s="45">
        <v>46016.083333333336</v>
      </c>
      <c r="O16007" s="46" t="s">
        <v>123</v>
      </c>
      <c r="P16007" s="46">
        <v>3600.0</v>
      </c>
      <c r="S16007" s="46" t="s">
        <v>137</v>
      </c>
    </row>
    <row r="16008">
      <c r="A16008" s="40">
        <f t="shared" si="1"/>
        <v>46013</v>
      </c>
      <c r="B16008" s="37" t="str">
        <f t="array" ref="B16008">iferror(xlookup($I16008, 'IMPORT VHC Report'!$E:$E, 'IMPORT VHC Report'!$A:$C), )</f>
        <v/>
      </c>
      <c r="C16008" s="44"/>
      <c r="D16008" s="44"/>
      <c r="E16008" s="46" t="s">
        <v>12197</v>
      </c>
      <c r="F16008" s="46" t="s">
        <v>5641</v>
      </c>
      <c r="G16008" s="46">
        <v>1.1279671882767E13</v>
      </c>
      <c r="H16008" s="46" t="s">
        <v>5642</v>
      </c>
      <c r="I16008" s="46" t="s">
        <v>5643</v>
      </c>
      <c r="J16008" s="46" t="s">
        <v>132</v>
      </c>
      <c r="K16008" s="46" t="s">
        <v>126</v>
      </c>
      <c r="L16008" s="45">
        <v>46016.083333333336</v>
      </c>
      <c r="M16008" s="46" t="s">
        <v>123</v>
      </c>
      <c r="N16008" s="45">
        <v>46016.125</v>
      </c>
      <c r="O16008" s="46" t="s">
        <v>123</v>
      </c>
      <c r="P16008" s="46">
        <v>3600.0</v>
      </c>
    </row>
    <row r="16009">
      <c r="A16009" s="40">
        <f t="shared" si="1"/>
        <v>46013</v>
      </c>
      <c r="B16009" s="37" t="str">
        <f t="array" ref="B16009">iferror(xlookup($I16009, 'IMPORT VHC Report'!$E:$E, 'IMPORT VHC Report'!$A:$C), )</f>
        <v/>
      </c>
      <c r="C16009" s="44"/>
      <c r="D16009" s="44"/>
      <c r="E16009" s="46" t="s">
        <v>12198</v>
      </c>
      <c r="F16009" s="46" t="s">
        <v>5641</v>
      </c>
      <c r="G16009" s="46">
        <v>1.1279671882767E13</v>
      </c>
      <c r="H16009" s="46" t="s">
        <v>5642</v>
      </c>
      <c r="I16009" s="46" t="s">
        <v>5643</v>
      </c>
      <c r="J16009" s="46" t="s">
        <v>330</v>
      </c>
      <c r="K16009" s="46" t="s">
        <v>126</v>
      </c>
      <c r="L16009" s="45">
        <v>46016.875</v>
      </c>
      <c r="M16009" s="46" t="s">
        <v>123</v>
      </c>
      <c r="N16009" s="45">
        <v>46016.881944444445</v>
      </c>
      <c r="O16009" s="46" t="s">
        <v>123</v>
      </c>
      <c r="P16009" s="46">
        <v>600.0</v>
      </c>
    </row>
    <row r="16010">
      <c r="A16010" s="40">
        <f t="shared" si="1"/>
        <v>46013</v>
      </c>
      <c r="B16010" s="37" t="str">
        <f t="array" ref="B16010">iferror(xlookup($I16010, 'IMPORT VHC Report'!$E:$E, 'IMPORT VHC Report'!$A:$C), )</f>
        <v/>
      </c>
      <c r="C16010" s="44"/>
      <c r="D16010" s="44"/>
      <c r="E16010" s="46" t="s">
        <v>12199</v>
      </c>
      <c r="F16010" s="46" t="s">
        <v>5641</v>
      </c>
      <c r="G16010" s="46">
        <v>1.1279671882767E13</v>
      </c>
      <c r="H16010" s="46" t="s">
        <v>5642</v>
      </c>
      <c r="I16010" s="46" t="s">
        <v>5643</v>
      </c>
      <c r="J16010" s="46" t="s">
        <v>178</v>
      </c>
      <c r="K16010" s="46" t="s">
        <v>153</v>
      </c>
      <c r="L16010" s="45">
        <v>46016.875</v>
      </c>
      <c r="M16010" s="46" t="s">
        <v>123</v>
      </c>
      <c r="N16010" s="45">
        <v>46017.25</v>
      </c>
      <c r="O16010" s="46" t="s">
        <v>123</v>
      </c>
      <c r="P16010" s="46">
        <v>32400.0</v>
      </c>
      <c r="Q16010" s="46">
        <v>57600.0</v>
      </c>
      <c r="R16010" s="46" t="s">
        <v>12200</v>
      </c>
    </row>
    <row r="16011">
      <c r="A16011" s="40">
        <f t="shared" si="1"/>
        <v>46013</v>
      </c>
      <c r="B16011" s="37" t="str">
        <f t="array" ref="B16011">iferror(xlookup($I16011, 'IMPORT VHC Report'!$E:$E, 'IMPORT VHC Report'!$A:$C), )</f>
        <v/>
      </c>
      <c r="C16011" s="44"/>
      <c r="D16011" s="44"/>
      <c r="E16011" s="46" t="s">
        <v>12201</v>
      </c>
      <c r="F16011" s="46" t="s">
        <v>5641</v>
      </c>
      <c r="G16011" s="46">
        <v>1.1279671882767E13</v>
      </c>
      <c r="H16011" s="46" t="s">
        <v>5642</v>
      </c>
      <c r="I16011" s="46" t="s">
        <v>5643</v>
      </c>
      <c r="J16011" s="46" t="s">
        <v>332</v>
      </c>
      <c r="K16011" s="46" t="s">
        <v>63</v>
      </c>
      <c r="L16011" s="45">
        <v>46016.875</v>
      </c>
      <c r="M16011" s="46" t="s">
        <v>123</v>
      </c>
      <c r="N16011" s="45">
        <v>46017.25</v>
      </c>
      <c r="O16011" s="46" t="s">
        <v>123</v>
      </c>
      <c r="P16011" s="46">
        <v>32400.0</v>
      </c>
    </row>
    <row r="16012">
      <c r="A16012" s="40">
        <f t="shared" si="1"/>
        <v>46013</v>
      </c>
      <c r="B16012" s="37" t="str">
        <f t="array" ref="B16012">iferror(xlookup($I16012, 'IMPORT VHC Report'!$E:$E, 'IMPORT VHC Report'!$A:$C), )</f>
        <v/>
      </c>
      <c r="C16012" s="44"/>
      <c r="D16012" s="44"/>
      <c r="E16012" s="46" t="s">
        <v>12202</v>
      </c>
      <c r="F16012" s="46" t="s">
        <v>5641</v>
      </c>
      <c r="G16012" s="46">
        <v>1.1279671882767E13</v>
      </c>
      <c r="H16012" s="46" t="s">
        <v>5642</v>
      </c>
      <c r="I16012" s="46" t="s">
        <v>5643</v>
      </c>
      <c r="J16012" s="46" t="s">
        <v>134</v>
      </c>
      <c r="K16012" s="46" t="s">
        <v>126</v>
      </c>
      <c r="L16012" s="45">
        <v>46016.979166666664</v>
      </c>
      <c r="M16012" s="46" t="s">
        <v>123</v>
      </c>
      <c r="N16012" s="45">
        <v>46017.0</v>
      </c>
      <c r="O16012" s="46" t="s">
        <v>123</v>
      </c>
      <c r="P16012" s="46">
        <v>1800.0</v>
      </c>
    </row>
    <row r="16013">
      <c r="A16013" s="40">
        <f t="shared" si="1"/>
        <v>46013</v>
      </c>
      <c r="B16013" s="37" t="str">
        <f t="array" ref="B16013">iferror(xlookup($I16013, 'IMPORT VHC Report'!$E:$E, 'IMPORT VHC Report'!$A:$C), )</f>
        <v/>
      </c>
      <c r="C16013" s="44"/>
      <c r="D16013" s="44"/>
      <c r="E16013" s="46" t="s">
        <v>12203</v>
      </c>
      <c r="F16013" s="46" t="s">
        <v>5641</v>
      </c>
      <c r="G16013" s="46">
        <v>1.1279671882767E13</v>
      </c>
      <c r="H16013" s="46" t="s">
        <v>5642</v>
      </c>
      <c r="I16013" s="46" t="s">
        <v>5643</v>
      </c>
      <c r="J16013" s="46" t="s">
        <v>132</v>
      </c>
      <c r="K16013" s="46" t="s">
        <v>126</v>
      </c>
      <c r="L16013" s="45">
        <v>46017.135416666664</v>
      </c>
      <c r="M16013" s="46" t="s">
        <v>123</v>
      </c>
      <c r="N16013" s="45">
        <v>46017.177083333336</v>
      </c>
      <c r="O16013" s="46" t="s">
        <v>123</v>
      </c>
      <c r="P16013" s="46">
        <v>3600.0</v>
      </c>
    </row>
    <row r="16014">
      <c r="A16014" s="40">
        <f t="shared" si="1"/>
        <v>46013</v>
      </c>
      <c r="B16014" s="37" t="str">
        <f t="array" ref="B16014">iferror(xlookup($I16014, 'IMPORT VHC Report'!$E:$E, 'IMPORT VHC Report'!$A:$C), )</f>
        <v/>
      </c>
      <c r="C16014" s="44"/>
      <c r="D16014" s="44"/>
      <c r="E16014" s="46" t="s">
        <v>12204</v>
      </c>
      <c r="F16014" s="46" t="s">
        <v>5641</v>
      </c>
      <c r="G16014" s="46">
        <v>1.1279671882767E13</v>
      </c>
      <c r="H16014" s="46" t="s">
        <v>5642</v>
      </c>
      <c r="I16014" s="46" t="s">
        <v>5643</v>
      </c>
      <c r="J16014" s="46" t="s">
        <v>330</v>
      </c>
      <c r="K16014" s="46" t="s">
        <v>126</v>
      </c>
      <c r="L16014" s="45">
        <v>46017.875</v>
      </c>
      <c r="M16014" s="46" t="s">
        <v>123</v>
      </c>
      <c r="N16014" s="45">
        <v>46017.881944444445</v>
      </c>
      <c r="O16014" s="46" t="s">
        <v>123</v>
      </c>
      <c r="P16014" s="46">
        <v>600.0</v>
      </c>
    </row>
    <row r="16015">
      <c r="A16015" s="40">
        <f t="shared" si="1"/>
        <v>46013</v>
      </c>
      <c r="B16015" s="37" t="str">
        <f t="array" ref="B16015">iferror(xlookup($I16015, 'IMPORT VHC Report'!$E:$E, 'IMPORT VHC Report'!$A:$C), )</f>
        <v/>
      </c>
      <c r="C16015" s="44"/>
      <c r="D16015" s="44"/>
      <c r="E16015" s="46" t="s">
        <v>12205</v>
      </c>
      <c r="F16015" s="46" t="s">
        <v>5641</v>
      </c>
      <c r="G16015" s="46">
        <v>1.1279671882767E13</v>
      </c>
      <c r="H16015" s="46" t="s">
        <v>5642</v>
      </c>
      <c r="I16015" s="46" t="s">
        <v>5643</v>
      </c>
      <c r="J16015" s="46" t="s">
        <v>178</v>
      </c>
      <c r="K16015" s="46" t="s">
        <v>153</v>
      </c>
      <c r="L16015" s="45">
        <v>46017.875</v>
      </c>
      <c r="M16015" s="46" t="s">
        <v>123</v>
      </c>
      <c r="N16015" s="45">
        <v>46018.25</v>
      </c>
      <c r="O16015" s="46" t="s">
        <v>123</v>
      </c>
      <c r="P16015" s="46">
        <v>32400.0</v>
      </c>
      <c r="Q16015" s="46">
        <v>32400.0</v>
      </c>
    </row>
    <row r="16016">
      <c r="A16016" s="40">
        <f t="shared" si="1"/>
        <v>46013</v>
      </c>
      <c r="B16016" s="37" t="str">
        <f t="array" ref="B16016">iferror(xlookup($I16016, 'IMPORT VHC Report'!$E:$E, 'IMPORT VHC Report'!$A:$C), )</f>
        <v/>
      </c>
      <c r="C16016" s="44"/>
      <c r="D16016" s="44"/>
      <c r="E16016" s="46" t="s">
        <v>12206</v>
      </c>
      <c r="F16016" s="46" t="s">
        <v>5641</v>
      </c>
      <c r="G16016" s="46">
        <v>1.1279671882767E13</v>
      </c>
      <c r="H16016" s="46" t="s">
        <v>5642</v>
      </c>
      <c r="I16016" s="46" t="s">
        <v>5643</v>
      </c>
      <c r="J16016" s="46" t="s">
        <v>332</v>
      </c>
      <c r="K16016" s="46" t="s">
        <v>63</v>
      </c>
      <c r="L16016" s="45">
        <v>46017.875</v>
      </c>
      <c r="M16016" s="46" t="s">
        <v>123</v>
      </c>
      <c r="N16016" s="45">
        <v>46018.25</v>
      </c>
      <c r="O16016" s="46" t="s">
        <v>123</v>
      </c>
      <c r="P16016" s="46">
        <v>32400.0</v>
      </c>
    </row>
    <row r="16017">
      <c r="A16017" s="40">
        <f t="shared" si="1"/>
        <v>46013</v>
      </c>
      <c r="B16017" s="37" t="str">
        <f t="array" ref="B16017">iferror(xlookup($I16017, 'IMPORT VHC Report'!$E:$E, 'IMPORT VHC Report'!$A:$C), )</f>
        <v/>
      </c>
      <c r="C16017" s="44"/>
      <c r="D16017" s="44"/>
      <c r="E16017" s="46" t="s">
        <v>12207</v>
      </c>
      <c r="F16017" s="46" t="s">
        <v>5641</v>
      </c>
      <c r="G16017" s="46">
        <v>1.1279671882767E13</v>
      </c>
      <c r="H16017" s="46" t="s">
        <v>5642</v>
      </c>
      <c r="I16017" s="46" t="s">
        <v>5643</v>
      </c>
      <c r="J16017" s="46" t="s">
        <v>132</v>
      </c>
      <c r="K16017" s="46" t="s">
        <v>126</v>
      </c>
      <c r="L16017" s="45">
        <v>46017.989583333336</v>
      </c>
      <c r="M16017" s="46" t="s">
        <v>123</v>
      </c>
      <c r="N16017" s="45">
        <v>46018.03125</v>
      </c>
      <c r="O16017" s="46" t="s">
        <v>123</v>
      </c>
      <c r="P16017" s="46">
        <v>3600.0</v>
      </c>
    </row>
    <row r="16018">
      <c r="A16018" s="40">
        <f t="shared" si="1"/>
        <v>46013</v>
      </c>
      <c r="B16018" s="37" t="str">
        <f t="array" ref="B16018">iferror(xlookup($I16018, 'IMPORT VHC Report'!$E:$E, 'IMPORT VHC Report'!$A:$C), )</f>
        <v/>
      </c>
      <c r="C16018" s="44"/>
      <c r="D16018" s="44"/>
      <c r="E16018" s="46" t="s">
        <v>12208</v>
      </c>
      <c r="F16018" s="46" t="s">
        <v>5641</v>
      </c>
      <c r="G16018" s="46">
        <v>1.1279671882767E13</v>
      </c>
      <c r="H16018" s="46" t="s">
        <v>5642</v>
      </c>
      <c r="I16018" s="46" t="s">
        <v>5643</v>
      </c>
      <c r="J16018" s="46" t="s">
        <v>134</v>
      </c>
      <c r="K16018" s="46" t="s">
        <v>126</v>
      </c>
      <c r="L16018" s="45">
        <v>46018.1875</v>
      </c>
      <c r="M16018" s="46" t="s">
        <v>123</v>
      </c>
      <c r="N16018" s="45">
        <v>46018.208333333336</v>
      </c>
      <c r="O16018" s="46" t="s">
        <v>123</v>
      </c>
      <c r="P16018" s="46">
        <v>1800.0</v>
      </c>
    </row>
    <row r="16019">
      <c r="A16019" s="40">
        <f t="shared" si="1"/>
        <v>46013</v>
      </c>
      <c r="B16019" s="37" t="str">
        <f t="array" ref="B16019">iferror(xlookup($I16019, 'IMPORT VHC Report'!$E:$E, 'IMPORT VHC Report'!$A:$C), )</f>
        <v/>
      </c>
      <c r="C16019" s="44"/>
      <c r="D16019" s="44"/>
      <c r="E16019" s="46" t="s">
        <v>12209</v>
      </c>
      <c r="F16019" s="46" t="s">
        <v>5669</v>
      </c>
      <c r="G16019" s="46">
        <v>5.202379009423E12</v>
      </c>
      <c r="H16019" s="46" t="s">
        <v>5670</v>
      </c>
      <c r="I16019" s="46" t="s">
        <v>5671</v>
      </c>
      <c r="J16019" s="46" t="s">
        <v>330</v>
      </c>
      <c r="K16019" s="46" t="s">
        <v>126</v>
      </c>
      <c r="L16019" s="45">
        <v>46013.875</v>
      </c>
      <c r="M16019" s="46" t="s">
        <v>123</v>
      </c>
      <c r="N16019" s="45">
        <v>46013.881944444445</v>
      </c>
      <c r="O16019" s="46" t="s">
        <v>123</v>
      </c>
      <c r="P16019" s="46">
        <v>600.0</v>
      </c>
    </row>
    <row r="16020">
      <c r="A16020" s="40">
        <f t="shared" si="1"/>
        <v>46013</v>
      </c>
      <c r="B16020" s="37" t="str">
        <f t="array" ref="B16020">iferror(xlookup($I16020, 'IMPORT VHC Report'!$E:$E, 'IMPORT VHC Report'!$A:$C), )</f>
        <v/>
      </c>
      <c r="C16020" s="44"/>
      <c r="D16020" s="44"/>
      <c r="E16020" s="46" t="s">
        <v>12210</v>
      </c>
      <c r="F16020" s="46" t="s">
        <v>5669</v>
      </c>
      <c r="G16020" s="46">
        <v>5.202379009423E12</v>
      </c>
      <c r="H16020" s="46" t="s">
        <v>5670</v>
      </c>
      <c r="I16020" s="46" t="s">
        <v>5671</v>
      </c>
      <c r="J16020" s="46" t="s">
        <v>332</v>
      </c>
      <c r="K16020" s="46" t="s">
        <v>63</v>
      </c>
      <c r="L16020" s="45">
        <v>46013.875</v>
      </c>
      <c r="M16020" s="46" t="s">
        <v>123</v>
      </c>
      <c r="N16020" s="45">
        <v>46014.25</v>
      </c>
      <c r="O16020" s="46" t="s">
        <v>123</v>
      </c>
      <c r="P16020" s="46">
        <v>32400.0</v>
      </c>
    </row>
    <row r="16021">
      <c r="A16021" s="40">
        <f t="shared" si="1"/>
        <v>46013</v>
      </c>
      <c r="B16021" s="37" t="str">
        <f t="array" ref="B16021">iferror(xlookup($I16021, 'IMPORT VHC Report'!$E:$E, 'IMPORT VHC Report'!$A:$C), )</f>
        <v/>
      </c>
      <c r="C16021" s="44"/>
      <c r="D16021" s="44"/>
      <c r="E16021" s="46" t="s">
        <v>12211</v>
      </c>
      <c r="F16021" s="46" t="s">
        <v>5669</v>
      </c>
      <c r="G16021" s="46">
        <v>5.202379009423E12</v>
      </c>
      <c r="H16021" s="46" t="s">
        <v>5670</v>
      </c>
      <c r="I16021" s="46" t="s">
        <v>5671</v>
      </c>
      <c r="J16021" s="46" t="s">
        <v>134</v>
      </c>
      <c r="K16021" s="46" t="s">
        <v>126</v>
      </c>
      <c r="L16021" s="45">
        <v>46013.979166666664</v>
      </c>
      <c r="M16021" s="46" t="s">
        <v>123</v>
      </c>
      <c r="N16021" s="45">
        <v>46014.0</v>
      </c>
      <c r="O16021" s="46" t="s">
        <v>123</v>
      </c>
      <c r="P16021" s="46">
        <v>1800.0</v>
      </c>
    </row>
    <row r="16022">
      <c r="A16022" s="40">
        <f t="shared" si="1"/>
        <v>46013</v>
      </c>
      <c r="B16022" s="37" t="str">
        <f t="array" ref="B16022">iferror(xlookup($I16022, 'IMPORT VHC Report'!$E:$E, 'IMPORT VHC Report'!$A:$C), )</f>
        <v/>
      </c>
      <c r="C16022" s="44"/>
      <c r="D16022" s="44"/>
      <c r="E16022" s="46" t="s">
        <v>12212</v>
      </c>
      <c r="F16022" s="46" t="s">
        <v>5669</v>
      </c>
      <c r="G16022" s="46">
        <v>5.202379009423E12</v>
      </c>
      <c r="H16022" s="46" t="s">
        <v>5670</v>
      </c>
      <c r="I16022" s="46" t="s">
        <v>5671</v>
      </c>
      <c r="J16022" s="46" t="s">
        <v>132</v>
      </c>
      <c r="K16022" s="46" t="s">
        <v>126</v>
      </c>
      <c r="L16022" s="45">
        <v>46014.104166666664</v>
      </c>
      <c r="M16022" s="46" t="s">
        <v>123</v>
      </c>
      <c r="N16022" s="45">
        <v>46014.145833333336</v>
      </c>
      <c r="O16022" s="46" t="s">
        <v>123</v>
      </c>
      <c r="P16022" s="46">
        <v>3600.0</v>
      </c>
    </row>
    <row r="16023">
      <c r="A16023" s="40">
        <f t="shared" si="1"/>
        <v>46013</v>
      </c>
      <c r="B16023" s="37" t="str">
        <f t="array" ref="B16023">iferror(xlookup($I16023, 'IMPORT VHC Report'!$E:$E, 'IMPORT VHC Report'!$A:$C), )</f>
        <v/>
      </c>
      <c r="C16023" s="44"/>
      <c r="D16023" s="44"/>
      <c r="E16023" s="46" t="s">
        <v>12213</v>
      </c>
      <c r="F16023" s="46" t="s">
        <v>5669</v>
      </c>
      <c r="G16023" s="46">
        <v>5.202379009423E12</v>
      </c>
      <c r="H16023" s="46" t="s">
        <v>5670</v>
      </c>
      <c r="I16023" s="46" t="s">
        <v>5671</v>
      </c>
      <c r="J16023" s="46" t="s">
        <v>330</v>
      </c>
      <c r="K16023" s="46" t="s">
        <v>126</v>
      </c>
      <c r="L16023" s="45">
        <v>46014.875</v>
      </c>
      <c r="M16023" s="46" t="s">
        <v>123</v>
      </c>
      <c r="N16023" s="45">
        <v>46014.881944444445</v>
      </c>
      <c r="O16023" s="46" t="s">
        <v>123</v>
      </c>
      <c r="P16023" s="46">
        <v>600.0</v>
      </c>
    </row>
    <row r="16024">
      <c r="A16024" s="40">
        <f t="shared" si="1"/>
        <v>46013</v>
      </c>
      <c r="B16024" s="37" t="str">
        <f t="array" ref="B16024">iferror(xlookup($I16024, 'IMPORT VHC Report'!$E:$E, 'IMPORT VHC Report'!$A:$C), )</f>
        <v/>
      </c>
      <c r="C16024" s="44"/>
      <c r="D16024" s="44"/>
      <c r="E16024" s="46" t="s">
        <v>12214</v>
      </c>
      <c r="F16024" s="46" t="s">
        <v>5669</v>
      </c>
      <c r="G16024" s="46">
        <v>5.202379009423E12</v>
      </c>
      <c r="H16024" s="46" t="s">
        <v>5670</v>
      </c>
      <c r="I16024" s="46" t="s">
        <v>5671</v>
      </c>
      <c r="J16024" s="46" t="s">
        <v>152</v>
      </c>
      <c r="K16024" s="46" t="s">
        <v>153</v>
      </c>
      <c r="L16024" s="45">
        <v>46014.875</v>
      </c>
      <c r="M16024" s="46" t="s">
        <v>123</v>
      </c>
      <c r="N16024" s="45">
        <v>46015.25</v>
      </c>
      <c r="O16024" s="46" t="s">
        <v>123</v>
      </c>
      <c r="P16024" s="46">
        <v>32400.0</v>
      </c>
      <c r="Q16024" s="46">
        <v>32400.0</v>
      </c>
    </row>
    <row r="16025">
      <c r="A16025" s="40">
        <f t="shared" si="1"/>
        <v>46013</v>
      </c>
      <c r="B16025" s="37" t="str">
        <f t="array" ref="B16025">iferror(xlookup($I16025, 'IMPORT VHC Report'!$E:$E, 'IMPORT VHC Report'!$A:$C), )</f>
        <v/>
      </c>
      <c r="C16025" s="44"/>
      <c r="D16025" s="44"/>
      <c r="E16025" s="46" t="s">
        <v>12215</v>
      </c>
      <c r="F16025" s="46" t="s">
        <v>5669</v>
      </c>
      <c r="G16025" s="46">
        <v>5.202379009423E12</v>
      </c>
      <c r="H16025" s="46" t="s">
        <v>5670</v>
      </c>
      <c r="I16025" s="46" t="s">
        <v>5671</v>
      </c>
      <c r="J16025" s="46" t="s">
        <v>332</v>
      </c>
      <c r="K16025" s="46" t="s">
        <v>63</v>
      </c>
      <c r="L16025" s="45">
        <v>46014.875</v>
      </c>
      <c r="M16025" s="46" t="s">
        <v>123</v>
      </c>
      <c r="N16025" s="45">
        <v>46015.25</v>
      </c>
      <c r="O16025" s="46" t="s">
        <v>123</v>
      </c>
      <c r="P16025" s="46">
        <v>32400.0</v>
      </c>
    </row>
    <row r="16026">
      <c r="A16026" s="40">
        <f t="shared" si="1"/>
        <v>46013</v>
      </c>
      <c r="B16026" s="37" t="str">
        <f t="array" ref="B16026">iferror(xlookup($I16026, 'IMPORT VHC Report'!$E:$E, 'IMPORT VHC Report'!$A:$C), )</f>
        <v/>
      </c>
      <c r="C16026" s="44"/>
      <c r="D16026" s="44"/>
      <c r="E16026" s="46" t="s">
        <v>12216</v>
      </c>
      <c r="F16026" s="46" t="s">
        <v>5669</v>
      </c>
      <c r="G16026" s="46">
        <v>5.202379009423E12</v>
      </c>
      <c r="H16026" s="46" t="s">
        <v>5670</v>
      </c>
      <c r="I16026" s="46" t="s">
        <v>5671</v>
      </c>
      <c r="J16026" s="46" t="s">
        <v>132</v>
      </c>
      <c r="K16026" s="46" t="s">
        <v>126</v>
      </c>
      <c r="L16026" s="45">
        <v>46015.020833333336</v>
      </c>
      <c r="M16026" s="46" t="s">
        <v>123</v>
      </c>
      <c r="N16026" s="45">
        <v>46015.0625</v>
      </c>
      <c r="O16026" s="46" t="s">
        <v>123</v>
      </c>
      <c r="P16026" s="46">
        <v>3600.0</v>
      </c>
    </row>
    <row r="16027">
      <c r="A16027" s="40">
        <f t="shared" si="1"/>
        <v>46013</v>
      </c>
      <c r="B16027" s="37" t="str">
        <f t="array" ref="B16027">iferror(xlookup($I16027, 'IMPORT VHC Report'!$E:$E, 'IMPORT VHC Report'!$A:$C), )</f>
        <v/>
      </c>
      <c r="C16027" s="44"/>
      <c r="D16027" s="44"/>
      <c r="E16027" s="46" t="s">
        <v>12217</v>
      </c>
      <c r="F16027" s="46" t="s">
        <v>5669</v>
      </c>
      <c r="G16027" s="46">
        <v>5.202379009423E12</v>
      </c>
      <c r="H16027" s="46" t="s">
        <v>5670</v>
      </c>
      <c r="I16027" s="46" t="s">
        <v>5671</v>
      </c>
      <c r="J16027" s="46" t="s">
        <v>134</v>
      </c>
      <c r="K16027" s="46" t="s">
        <v>126</v>
      </c>
      <c r="L16027" s="45">
        <v>46015.145833333336</v>
      </c>
      <c r="M16027" s="46" t="s">
        <v>123</v>
      </c>
      <c r="N16027" s="45">
        <v>46015.166666666664</v>
      </c>
      <c r="O16027" s="46" t="s">
        <v>123</v>
      </c>
      <c r="P16027" s="46">
        <v>1800.0</v>
      </c>
    </row>
    <row r="16028">
      <c r="A16028" s="40">
        <f t="shared" si="1"/>
        <v>46013</v>
      </c>
      <c r="B16028" s="37" t="str">
        <f t="array" ref="B16028">iferror(xlookup($I16028, 'IMPORT VHC Report'!$E:$E, 'IMPORT VHC Report'!$A:$C), )</f>
        <v/>
      </c>
      <c r="C16028" s="44"/>
      <c r="D16028" s="44"/>
      <c r="E16028" s="46" t="s">
        <v>12218</v>
      </c>
      <c r="F16028" s="46" t="s">
        <v>5669</v>
      </c>
      <c r="G16028" s="46">
        <v>5.202379009423E12</v>
      </c>
      <c r="H16028" s="46" t="s">
        <v>5670</v>
      </c>
      <c r="I16028" s="46" t="s">
        <v>5671</v>
      </c>
      <c r="J16028" s="46" t="s">
        <v>330</v>
      </c>
      <c r="K16028" s="46" t="s">
        <v>126</v>
      </c>
      <c r="L16028" s="45">
        <v>46015.875</v>
      </c>
      <c r="M16028" s="46" t="s">
        <v>123</v>
      </c>
      <c r="N16028" s="45">
        <v>46015.881944444445</v>
      </c>
      <c r="O16028" s="46" t="s">
        <v>123</v>
      </c>
      <c r="P16028" s="46">
        <v>600.0</v>
      </c>
    </row>
    <row r="16029">
      <c r="A16029" s="40">
        <f t="shared" si="1"/>
        <v>46013</v>
      </c>
      <c r="B16029" s="37" t="str">
        <f t="array" ref="B16029">iferror(xlookup($I16029, 'IMPORT VHC Report'!$E:$E, 'IMPORT VHC Report'!$A:$C), )</f>
        <v/>
      </c>
      <c r="C16029" s="44"/>
      <c r="D16029" s="44"/>
      <c r="E16029" s="46" t="s">
        <v>12219</v>
      </c>
      <c r="F16029" s="46" t="s">
        <v>5669</v>
      </c>
      <c r="G16029" s="46">
        <v>5.202379009423E12</v>
      </c>
      <c r="H16029" s="46" t="s">
        <v>5670</v>
      </c>
      <c r="I16029" s="46" t="s">
        <v>5671</v>
      </c>
      <c r="J16029" s="46" t="s">
        <v>332</v>
      </c>
      <c r="K16029" s="46" t="s">
        <v>63</v>
      </c>
      <c r="L16029" s="45">
        <v>46015.875</v>
      </c>
      <c r="M16029" s="46" t="s">
        <v>123</v>
      </c>
      <c r="N16029" s="45">
        <v>46016.25</v>
      </c>
      <c r="O16029" s="46" t="s">
        <v>123</v>
      </c>
      <c r="P16029" s="46">
        <v>32400.0</v>
      </c>
    </row>
    <row r="16030">
      <c r="A16030" s="40">
        <f t="shared" si="1"/>
        <v>46013</v>
      </c>
      <c r="B16030" s="37" t="str">
        <f t="array" ref="B16030">iferror(xlookup($I16030, 'IMPORT VHC Report'!$E:$E, 'IMPORT VHC Report'!$A:$C), )</f>
        <v/>
      </c>
      <c r="C16030" s="44"/>
      <c r="D16030" s="44"/>
      <c r="E16030" s="46" t="s">
        <v>12220</v>
      </c>
      <c r="F16030" s="46" t="s">
        <v>5669</v>
      </c>
      <c r="G16030" s="46">
        <v>5.202379009423E12</v>
      </c>
      <c r="H16030" s="46" t="s">
        <v>5670</v>
      </c>
      <c r="I16030" s="46" t="s">
        <v>5671</v>
      </c>
      <c r="J16030" s="46" t="s">
        <v>136</v>
      </c>
      <c r="K16030" s="46" t="s">
        <v>126</v>
      </c>
      <c r="L16030" s="45">
        <v>46015.993055555555</v>
      </c>
      <c r="M16030" s="46" t="s">
        <v>123</v>
      </c>
      <c r="N16030" s="45">
        <v>46016.03472222222</v>
      </c>
      <c r="O16030" s="46" t="s">
        <v>123</v>
      </c>
      <c r="P16030" s="46">
        <v>3600.0</v>
      </c>
      <c r="S16030" s="46" t="s">
        <v>4171</v>
      </c>
    </row>
    <row r="16031">
      <c r="A16031" s="40">
        <f t="shared" si="1"/>
        <v>46013</v>
      </c>
      <c r="B16031" s="37" t="str">
        <f t="array" ref="B16031">iferror(xlookup($I16031, 'IMPORT VHC Report'!$E:$E, 'IMPORT VHC Report'!$A:$C), )</f>
        <v/>
      </c>
      <c r="C16031" s="44"/>
      <c r="D16031" s="44"/>
      <c r="E16031" s="46" t="s">
        <v>12221</v>
      </c>
      <c r="F16031" s="46" t="s">
        <v>5669</v>
      </c>
      <c r="G16031" s="46">
        <v>5.202379009423E12</v>
      </c>
      <c r="H16031" s="46" t="s">
        <v>5670</v>
      </c>
      <c r="I16031" s="46" t="s">
        <v>5671</v>
      </c>
      <c r="J16031" s="46" t="s">
        <v>134</v>
      </c>
      <c r="K16031" s="46" t="s">
        <v>126</v>
      </c>
      <c r="L16031" s="45">
        <v>46016.03472222222</v>
      </c>
      <c r="M16031" s="46" t="s">
        <v>123</v>
      </c>
      <c r="N16031" s="45">
        <v>46016.055555555555</v>
      </c>
      <c r="O16031" s="46" t="s">
        <v>123</v>
      </c>
      <c r="P16031" s="46">
        <v>1800.0</v>
      </c>
    </row>
    <row r="16032">
      <c r="A16032" s="40">
        <f t="shared" si="1"/>
        <v>46013</v>
      </c>
      <c r="B16032" s="37" t="str">
        <f t="array" ref="B16032">iferror(xlookup($I16032, 'IMPORT VHC Report'!$E:$E, 'IMPORT VHC Report'!$A:$C), )</f>
        <v/>
      </c>
      <c r="C16032" s="44"/>
      <c r="D16032" s="44"/>
      <c r="E16032" s="46" t="s">
        <v>12222</v>
      </c>
      <c r="F16032" s="46" t="s">
        <v>5669</v>
      </c>
      <c r="G16032" s="46">
        <v>5.202379009423E12</v>
      </c>
      <c r="H16032" s="46" t="s">
        <v>5670</v>
      </c>
      <c r="I16032" s="46" t="s">
        <v>5671</v>
      </c>
      <c r="J16032" s="46" t="s">
        <v>132</v>
      </c>
      <c r="K16032" s="46" t="s">
        <v>126</v>
      </c>
      <c r="L16032" s="45">
        <v>46016.145833333336</v>
      </c>
      <c r="M16032" s="46" t="s">
        <v>123</v>
      </c>
      <c r="N16032" s="45">
        <v>46016.1875</v>
      </c>
      <c r="O16032" s="46" t="s">
        <v>123</v>
      </c>
      <c r="P16032" s="46">
        <v>3600.0</v>
      </c>
    </row>
    <row r="16033">
      <c r="A16033" s="40">
        <f t="shared" si="1"/>
        <v>46013</v>
      </c>
      <c r="B16033" s="37" t="str">
        <f t="array" ref="B16033">iferror(xlookup($I16033, 'IMPORT VHC Report'!$E:$E, 'IMPORT VHC Report'!$A:$C), )</f>
        <v/>
      </c>
      <c r="C16033" s="44"/>
      <c r="D16033" s="44"/>
      <c r="E16033" s="46" t="s">
        <v>12223</v>
      </c>
      <c r="F16033" s="46" t="s">
        <v>5669</v>
      </c>
      <c r="G16033" s="46">
        <v>5.202379009423E12</v>
      </c>
      <c r="H16033" s="46" t="s">
        <v>5670</v>
      </c>
      <c r="I16033" s="46" t="s">
        <v>5671</v>
      </c>
      <c r="J16033" s="46" t="s">
        <v>330</v>
      </c>
      <c r="K16033" s="46" t="s">
        <v>126</v>
      </c>
      <c r="L16033" s="45">
        <v>46016.875</v>
      </c>
      <c r="M16033" s="46" t="s">
        <v>123</v>
      </c>
      <c r="N16033" s="45">
        <v>46016.881944444445</v>
      </c>
      <c r="O16033" s="46" t="s">
        <v>123</v>
      </c>
      <c r="P16033" s="46">
        <v>600.0</v>
      </c>
    </row>
    <row r="16034">
      <c r="A16034" s="40">
        <f t="shared" si="1"/>
        <v>46013</v>
      </c>
      <c r="B16034" s="37" t="str">
        <f t="array" ref="B16034">iferror(xlookup($I16034, 'IMPORT VHC Report'!$E:$E, 'IMPORT VHC Report'!$A:$C), )</f>
        <v/>
      </c>
      <c r="C16034" s="44"/>
      <c r="D16034" s="44"/>
      <c r="E16034" s="46" t="s">
        <v>12224</v>
      </c>
      <c r="F16034" s="46" t="s">
        <v>5669</v>
      </c>
      <c r="G16034" s="46">
        <v>5.202379009423E12</v>
      </c>
      <c r="H16034" s="46" t="s">
        <v>5670</v>
      </c>
      <c r="I16034" s="46" t="s">
        <v>5671</v>
      </c>
      <c r="J16034" s="46" t="s">
        <v>332</v>
      </c>
      <c r="K16034" s="46" t="s">
        <v>63</v>
      </c>
      <c r="L16034" s="45">
        <v>46016.875</v>
      </c>
      <c r="M16034" s="46" t="s">
        <v>123</v>
      </c>
      <c r="N16034" s="45">
        <v>46017.25</v>
      </c>
      <c r="O16034" s="46" t="s">
        <v>123</v>
      </c>
      <c r="P16034" s="46">
        <v>32400.0</v>
      </c>
    </row>
    <row r="16035">
      <c r="A16035" s="40">
        <f t="shared" si="1"/>
        <v>46013</v>
      </c>
      <c r="B16035" s="37" t="str">
        <f t="array" ref="B16035">iferror(xlookup($I16035, 'IMPORT VHC Report'!$E:$E, 'IMPORT VHC Report'!$A:$C), )</f>
        <v/>
      </c>
      <c r="C16035" s="44"/>
      <c r="D16035" s="44"/>
      <c r="E16035" s="46" t="s">
        <v>12225</v>
      </c>
      <c r="F16035" s="46" t="s">
        <v>5669</v>
      </c>
      <c r="G16035" s="46">
        <v>5.202379009423E12</v>
      </c>
      <c r="H16035" s="46" t="s">
        <v>5670</v>
      </c>
      <c r="I16035" s="46" t="s">
        <v>5671</v>
      </c>
      <c r="J16035" s="46" t="s">
        <v>132</v>
      </c>
      <c r="K16035" s="46" t="s">
        <v>126</v>
      </c>
      <c r="L16035" s="45">
        <v>46016.979166666664</v>
      </c>
      <c r="M16035" s="46" t="s">
        <v>123</v>
      </c>
      <c r="N16035" s="45">
        <v>46017.020833333336</v>
      </c>
      <c r="O16035" s="46" t="s">
        <v>123</v>
      </c>
      <c r="P16035" s="46">
        <v>3600.0</v>
      </c>
    </row>
    <row r="16036">
      <c r="A16036" s="40">
        <f t="shared" si="1"/>
        <v>46013</v>
      </c>
      <c r="B16036" s="37" t="str">
        <f t="array" ref="B16036">iferror(xlookup($I16036, 'IMPORT VHC Report'!$E:$E, 'IMPORT VHC Report'!$A:$C), )</f>
        <v/>
      </c>
      <c r="C16036" s="44"/>
      <c r="D16036" s="44"/>
      <c r="E16036" s="46" t="s">
        <v>12226</v>
      </c>
      <c r="F16036" s="46" t="s">
        <v>5669</v>
      </c>
      <c r="G16036" s="46">
        <v>5.202379009423E12</v>
      </c>
      <c r="H16036" s="46" t="s">
        <v>5670</v>
      </c>
      <c r="I16036" s="46" t="s">
        <v>5671</v>
      </c>
      <c r="J16036" s="46" t="s">
        <v>134</v>
      </c>
      <c r="K16036" s="46" t="s">
        <v>126</v>
      </c>
      <c r="L16036" s="45">
        <v>46017.166666666664</v>
      </c>
      <c r="M16036" s="46" t="s">
        <v>123</v>
      </c>
      <c r="N16036" s="45">
        <v>46017.1875</v>
      </c>
      <c r="O16036" s="46" t="s">
        <v>123</v>
      </c>
      <c r="P16036" s="46">
        <v>1800.0</v>
      </c>
    </row>
    <row r="16037">
      <c r="A16037" s="40">
        <f t="shared" si="1"/>
        <v>46013</v>
      </c>
      <c r="B16037" s="37" t="str">
        <f t="array" ref="B16037">iferror(xlookup($I16037, 'IMPORT VHC Report'!$E:$E, 'IMPORT VHC Report'!$A:$C), )</f>
        <v/>
      </c>
      <c r="C16037" s="44"/>
      <c r="D16037" s="44"/>
      <c r="E16037" s="46" t="s">
        <v>12227</v>
      </c>
      <c r="F16037" s="46" t="s">
        <v>5669</v>
      </c>
      <c r="G16037" s="46">
        <v>5.202379009423E12</v>
      </c>
      <c r="H16037" s="46" t="s">
        <v>5670</v>
      </c>
      <c r="I16037" s="46" t="s">
        <v>5671</v>
      </c>
      <c r="J16037" s="46" t="s">
        <v>330</v>
      </c>
      <c r="K16037" s="46" t="s">
        <v>126</v>
      </c>
      <c r="L16037" s="45">
        <v>46017.875</v>
      </c>
      <c r="M16037" s="46" t="s">
        <v>123</v>
      </c>
      <c r="N16037" s="45">
        <v>46017.881944444445</v>
      </c>
      <c r="O16037" s="46" t="s">
        <v>123</v>
      </c>
      <c r="P16037" s="46">
        <v>600.0</v>
      </c>
    </row>
    <row r="16038">
      <c r="A16038" s="40">
        <f t="shared" si="1"/>
        <v>46013</v>
      </c>
      <c r="B16038" s="37" t="str">
        <f t="array" ref="B16038">iferror(xlookup($I16038, 'IMPORT VHC Report'!$E:$E, 'IMPORT VHC Report'!$A:$C), )</f>
        <v/>
      </c>
      <c r="C16038" s="44"/>
      <c r="D16038" s="44"/>
      <c r="E16038" s="46" t="s">
        <v>12228</v>
      </c>
      <c r="F16038" s="46" t="s">
        <v>5669</v>
      </c>
      <c r="G16038" s="46">
        <v>5.202379009423E12</v>
      </c>
      <c r="H16038" s="46" t="s">
        <v>5670</v>
      </c>
      <c r="I16038" s="46" t="s">
        <v>5671</v>
      </c>
      <c r="J16038" s="46" t="s">
        <v>332</v>
      </c>
      <c r="K16038" s="46" t="s">
        <v>63</v>
      </c>
      <c r="L16038" s="45">
        <v>46017.875</v>
      </c>
      <c r="M16038" s="46" t="s">
        <v>123</v>
      </c>
      <c r="N16038" s="45">
        <v>46018.25</v>
      </c>
      <c r="O16038" s="46" t="s">
        <v>123</v>
      </c>
      <c r="P16038" s="46">
        <v>32400.0</v>
      </c>
    </row>
    <row r="16039">
      <c r="A16039" s="40">
        <f t="shared" si="1"/>
        <v>46013</v>
      </c>
      <c r="B16039" s="37" t="str">
        <f t="array" ref="B16039">iferror(xlookup($I16039, 'IMPORT VHC Report'!$E:$E, 'IMPORT VHC Report'!$A:$C), )</f>
        <v/>
      </c>
      <c r="C16039" s="44"/>
      <c r="D16039" s="44"/>
      <c r="E16039" s="46" t="s">
        <v>12229</v>
      </c>
      <c r="F16039" s="46" t="s">
        <v>5669</v>
      </c>
      <c r="G16039" s="46">
        <v>5.202379009423E12</v>
      </c>
      <c r="H16039" s="46" t="s">
        <v>5670</v>
      </c>
      <c r="I16039" s="46" t="s">
        <v>5671</v>
      </c>
      <c r="J16039" s="46" t="s">
        <v>134</v>
      </c>
      <c r="K16039" s="46" t="s">
        <v>126</v>
      </c>
      <c r="L16039" s="45">
        <v>46017.96875</v>
      </c>
      <c r="M16039" s="46" t="s">
        <v>123</v>
      </c>
      <c r="N16039" s="45">
        <v>46017.989583333336</v>
      </c>
      <c r="O16039" s="46" t="s">
        <v>123</v>
      </c>
      <c r="P16039" s="46">
        <v>1800.0</v>
      </c>
    </row>
    <row r="16040">
      <c r="A16040" s="40">
        <f t="shared" si="1"/>
        <v>46013</v>
      </c>
      <c r="B16040" s="37" t="str">
        <f t="array" ref="B16040">iferror(xlookup($I16040, 'IMPORT VHC Report'!$E:$E, 'IMPORT VHC Report'!$A:$C), )</f>
        <v/>
      </c>
      <c r="C16040" s="44"/>
      <c r="D16040" s="44"/>
      <c r="E16040" s="46" t="s">
        <v>12230</v>
      </c>
      <c r="F16040" s="46" t="s">
        <v>5669</v>
      </c>
      <c r="G16040" s="46">
        <v>5.202379009423E12</v>
      </c>
      <c r="H16040" s="46" t="s">
        <v>5670</v>
      </c>
      <c r="I16040" s="46" t="s">
        <v>5671</v>
      </c>
      <c r="J16040" s="46" t="s">
        <v>132</v>
      </c>
      <c r="K16040" s="46" t="s">
        <v>126</v>
      </c>
      <c r="L16040" s="45">
        <v>46018.083333333336</v>
      </c>
      <c r="M16040" s="46" t="s">
        <v>123</v>
      </c>
      <c r="N16040" s="45">
        <v>46018.125</v>
      </c>
      <c r="O16040" s="46" t="s">
        <v>123</v>
      </c>
      <c r="P16040" s="46">
        <v>3600.0</v>
      </c>
    </row>
    <row r="16041">
      <c r="A16041" s="40">
        <f t="shared" si="1"/>
        <v>46013</v>
      </c>
      <c r="B16041" s="37" t="str">
        <f t="array" ref="B16041">iferror(xlookup($I16041, 'IMPORT VHC Report'!$E:$E, 'IMPORT VHC Report'!$A:$C), )</f>
        <v/>
      </c>
      <c r="C16041" s="44"/>
      <c r="D16041" s="44"/>
      <c r="E16041" s="46" t="s">
        <v>12231</v>
      </c>
      <c r="F16041" s="46" t="s">
        <v>5958</v>
      </c>
      <c r="G16041" s="46">
        <v>5.902015961999E12</v>
      </c>
      <c r="H16041" s="46" t="s">
        <v>5959</v>
      </c>
      <c r="I16041" s="46" t="s">
        <v>5960</v>
      </c>
      <c r="J16041" s="46" t="s">
        <v>330</v>
      </c>
      <c r="K16041" s="46" t="s">
        <v>126</v>
      </c>
      <c r="L16041" s="45">
        <v>46013.958333333336</v>
      </c>
      <c r="M16041" s="46" t="s">
        <v>123</v>
      </c>
      <c r="N16041" s="45">
        <v>46013.96527777778</v>
      </c>
      <c r="O16041" s="46" t="s">
        <v>123</v>
      </c>
      <c r="P16041" s="46">
        <v>600.0</v>
      </c>
    </row>
    <row r="16042">
      <c r="A16042" s="40">
        <f t="shared" si="1"/>
        <v>46013</v>
      </c>
      <c r="B16042" s="37" t="str">
        <f t="array" ref="B16042">iferror(xlookup($I16042, 'IMPORT VHC Report'!$E:$E, 'IMPORT VHC Report'!$A:$C), )</f>
        <v/>
      </c>
      <c r="C16042" s="44"/>
      <c r="D16042" s="44"/>
      <c r="E16042" s="46" t="s">
        <v>12232</v>
      </c>
      <c r="F16042" s="46" t="s">
        <v>5958</v>
      </c>
      <c r="G16042" s="46">
        <v>5.902015961999E12</v>
      </c>
      <c r="H16042" s="46" t="s">
        <v>5959</v>
      </c>
      <c r="I16042" s="46" t="s">
        <v>5960</v>
      </c>
      <c r="J16042" s="46" t="s">
        <v>332</v>
      </c>
      <c r="K16042" s="46" t="s">
        <v>63</v>
      </c>
      <c r="L16042" s="45">
        <v>46013.958333333336</v>
      </c>
      <c r="M16042" s="46" t="s">
        <v>123</v>
      </c>
      <c r="N16042" s="45">
        <v>46014.333333333336</v>
      </c>
      <c r="O16042" s="46" t="s">
        <v>123</v>
      </c>
      <c r="P16042" s="46">
        <v>32400.0</v>
      </c>
    </row>
    <row r="16043">
      <c r="A16043" s="40">
        <f t="shared" si="1"/>
        <v>46013</v>
      </c>
      <c r="B16043" s="37" t="str">
        <f t="array" ref="B16043">iferror(xlookup($I16043, 'IMPORT VHC Report'!$E:$E, 'IMPORT VHC Report'!$A:$C), )</f>
        <v/>
      </c>
      <c r="C16043" s="44"/>
      <c r="D16043" s="44"/>
      <c r="E16043" s="46" t="s">
        <v>12233</v>
      </c>
      <c r="F16043" s="46" t="s">
        <v>5958</v>
      </c>
      <c r="G16043" s="46">
        <v>5.902015961999E12</v>
      </c>
      <c r="H16043" s="46" t="s">
        <v>5959</v>
      </c>
      <c r="I16043" s="46" t="s">
        <v>5960</v>
      </c>
      <c r="J16043" s="46" t="s">
        <v>132</v>
      </c>
      <c r="K16043" s="46" t="s">
        <v>126</v>
      </c>
      <c r="L16043" s="45">
        <v>46014.09375</v>
      </c>
      <c r="M16043" s="46" t="s">
        <v>123</v>
      </c>
      <c r="N16043" s="45">
        <v>46014.135416666664</v>
      </c>
      <c r="O16043" s="46" t="s">
        <v>123</v>
      </c>
      <c r="P16043" s="46">
        <v>3600.0</v>
      </c>
    </row>
    <row r="16044">
      <c r="A16044" s="40">
        <f t="shared" si="1"/>
        <v>46013</v>
      </c>
      <c r="B16044" s="37" t="str">
        <f t="array" ref="B16044">iferror(xlookup($I16044, 'IMPORT VHC Report'!$E:$E, 'IMPORT VHC Report'!$A:$C), )</f>
        <v/>
      </c>
      <c r="C16044" s="44"/>
      <c r="D16044" s="44"/>
      <c r="E16044" s="46" t="s">
        <v>12234</v>
      </c>
      <c r="F16044" s="46" t="s">
        <v>5958</v>
      </c>
      <c r="G16044" s="46">
        <v>5.902015961999E12</v>
      </c>
      <c r="H16044" s="46" t="s">
        <v>5959</v>
      </c>
      <c r="I16044" s="46" t="s">
        <v>5960</v>
      </c>
      <c r="J16044" s="46" t="s">
        <v>134</v>
      </c>
      <c r="K16044" s="46" t="s">
        <v>126</v>
      </c>
      <c r="L16044" s="45">
        <v>46014.239583333336</v>
      </c>
      <c r="M16044" s="46" t="s">
        <v>123</v>
      </c>
      <c r="N16044" s="45">
        <v>46014.260416666664</v>
      </c>
      <c r="O16044" s="46" t="s">
        <v>123</v>
      </c>
      <c r="P16044" s="46">
        <v>1800.0</v>
      </c>
    </row>
    <row r="16045">
      <c r="A16045" s="40">
        <f t="shared" si="1"/>
        <v>46013</v>
      </c>
      <c r="B16045" s="37" t="str">
        <f t="array" ref="B16045">iferror(xlookup($I16045, 'IMPORT VHC Report'!$E:$E, 'IMPORT VHC Report'!$A:$C), )</f>
        <v/>
      </c>
      <c r="C16045" s="44"/>
      <c r="D16045" s="44"/>
      <c r="E16045" s="46" t="s">
        <v>12235</v>
      </c>
      <c r="F16045" s="46" t="s">
        <v>5958</v>
      </c>
      <c r="G16045" s="46">
        <v>5.902015961999E12</v>
      </c>
      <c r="H16045" s="46" t="s">
        <v>5959</v>
      </c>
      <c r="I16045" s="46" t="s">
        <v>5960</v>
      </c>
      <c r="J16045" s="46" t="s">
        <v>4</v>
      </c>
      <c r="K16045" s="46" t="s">
        <v>126</v>
      </c>
      <c r="L16045" s="45">
        <v>46014.260416666664</v>
      </c>
      <c r="M16045" s="46" t="s">
        <v>123</v>
      </c>
      <c r="N16045" s="45">
        <v>46014.270833333336</v>
      </c>
      <c r="O16045" s="46" t="s">
        <v>123</v>
      </c>
      <c r="P16045" s="46">
        <v>900.0</v>
      </c>
      <c r="S16045" s="46" t="s">
        <v>12236</v>
      </c>
    </row>
    <row r="16046">
      <c r="A16046" s="40">
        <f t="shared" si="1"/>
        <v>46013</v>
      </c>
      <c r="B16046" s="37" t="str">
        <f t="array" ref="B16046">iferror(xlookup($I16046, 'IMPORT VHC Report'!$E:$E, 'IMPORT VHC Report'!$A:$C), )</f>
        <v/>
      </c>
      <c r="C16046" s="44"/>
      <c r="D16046" s="44"/>
      <c r="E16046" s="46" t="s">
        <v>12237</v>
      </c>
      <c r="F16046" s="46" t="s">
        <v>5958</v>
      </c>
      <c r="G16046" s="46">
        <v>5.902015961999E12</v>
      </c>
      <c r="H16046" s="46" t="s">
        <v>5959</v>
      </c>
      <c r="I16046" s="46" t="s">
        <v>5960</v>
      </c>
      <c r="J16046" s="46" t="s">
        <v>330</v>
      </c>
      <c r="K16046" s="46" t="s">
        <v>126</v>
      </c>
      <c r="L16046" s="45">
        <v>46014.958333333336</v>
      </c>
      <c r="M16046" s="46" t="s">
        <v>123</v>
      </c>
      <c r="N16046" s="45">
        <v>46014.96527777778</v>
      </c>
      <c r="O16046" s="46" t="s">
        <v>123</v>
      </c>
      <c r="P16046" s="46">
        <v>600.0</v>
      </c>
    </row>
    <row r="16047">
      <c r="A16047" s="40">
        <f t="shared" si="1"/>
        <v>46013</v>
      </c>
      <c r="B16047" s="37" t="str">
        <f t="array" ref="B16047">iferror(xlookup($I16047, 'IMPORT VHC Report'!$E:$E, 'IMPORT VHC Report'!$A:$C), )</f>
        <v/>
      </c>
      <c r="C16047" s="44"/>
      <c r="D16047" s="44"/>
      <c r="E16047" s="46" t="s">
        <v>12238</v>
      </c>
      <c r="F16047" s="46" t="s">
        <v>5958</v>
      </c>
      <c r="G16047" s="46">
        <v>5.902015961999E12</v>
      </c>
      <c r="H16047" s="46" t="s">
        <v>5959</v>
      </c>
      <c r="I16047" s="46" t="s">
        <v>5960</v>
      </c>
      <c r="J16047" s="46" t="s">
        <v>332</v>
      </c>
      <c r="K16047" s="46" t="s">
        <v>63</v>
      </c>
      <c r="L16047" s="45">
        <v>46014.958333333336</v>
      </c>
      <c r="M16047" s="46" t="s">
        <v>123</v>
      </c>
      <c r="N16047" s="45">
        <v>46015.333333333336</v>
      </c>
      <c r="O16047" s="46" t="s">
        <v>123</v>
      </c>
      <c r="P16047" s="46">
        <v>32400.0</v>
      </c>
    </row>
    <row r="16048">
      <c r="A16048" s="40">
        <f t="shared" si="1"/>
        <v>46013</v>
      </c>
      <c r="B16048" s="37" t="str">
        <f t="array" ref="B16048">iferror(xlookup($I16048, 'IMPORT VHC Report'!$E:$E, 'IMPORT VHC Report'!$A:$C), )</f>
        <v/>
      </c>
      <c r="C16048" s="44"/>
      <c r="D16048" s="44"/>
      <c r="E16048" s="46" t="s">
        <v>12239</v>
      </c>
      <c r="F16048" s="46" t="s">
        <v>5958</v>
      </c>
      <c r="G16048" s="46">
        <v>5.902015961999E12</v>
      </c>
      <c r="H16048" s="46" t="s">
        <v>5959</v>
      </c>
      <c r="I16048" s="46" t="s">
        <v>5960</v>
      </c>
      <c r="J16048" s="46" t="s">
        <v>330</v>
      </c>
      <c r="K16048" s="46" t="s">
        <v>126</v>
      </c>
      <c r="L16048" s="45">
        <v>46014.96527777778</v>
      </c>
      <c r="M16048" s="46" t="s">
        <v>123</v>
      </c>
      <c r="N16048" s="45">
        <v>46015.00277777778</v>
      </c>
      <c r="O16048" s="46" t="s">
        <v>123</v>
      </c>
      <c r="P16048" s="46">
        <v>3240.0</v>
      </c>
      <c r="S16048" s="46" t="s">
        <v>640</v>
      </c>
    </row>
    <row r="16049">
      <c r="A16049" s="40">
        <f t="shared" si="1"/>
        <v>46013</v>
      </c>
      <c r="B16049" s="37" t="str">
        <f t="array" ref="B16049">iferror(xlookup($I16049, 'IMPORT VHC Report'!$E:$E, 'IMPORT VHC Report'!$A:$C), )</f>
        <v/>
      </c>
      <c r="C16049" s="44"/>
      <c r="D16049" s="44"/>
      <c r="E16049" s="46" t="s">
        <v>12240</v>
      </c>
      <c r="F16049" s="46" t="s">
        <v>5958</v>
      </c>
      <c r="G16049" s="46">
        <v>5.902015961999E12</v>
      </c>
      <c r="H16049" s="46" t="s">
        <v>5959</v>
      </c>
      <c r="I16049" s="46" t="s">
        <v>5960</v>
      </c>
      <c r="J16049" s="46" t="s">
        <v>134</v>
      </c>
      <c r="K16049" s="46" t="s">
        <v>126</v>
      </c>
      <c r="L16049" s="45">
        <v>46015.0625</v>
      </c>
      <c r="M16049" s="46" t="s">
        <v>123</v>
      </c>
      <c r="N16049" s="45">
        <v>46015.083333333336</v>
      </c>
      <c r="O16049" s="46" t="s">
        <v>123</v>
      </c>
      <c r="P16049" s="46">
        <v>1800.0</v>
      </c>
    </row>
    <row r="16050">
      <c r="A16050" s="40">
        <f t="shared" si="1"/>
        <v>46013</v>
      </c>
      <c r="B16050" s="37" t="str">
        <f t="array" ref="B16050">iferror(xlookup($I16050, 'IMPORT VHC Report'!$E:$E, 'IMPORT VHC Report'!$A:$C), )</f>
        <v/>
      </c>
      <c r="C16050" s="44"/>
      <c r="D16050" s="44"/>
      <c r="E16050" s="46" t="s">
        <v>12241</v>
      </c>
      <c r="F16050" s="46" t="s">
        <v>5958</v>
      </c>
      <c r="G16050" s="46">
        <v>5.902015961999E12</v>
      </c>
      <c r="H16050" s="46" t="s">
        <v>5959</v>
      </c>
      <c r="I16050" s="46" t="s">
        <v>5960</v>
      </c>
      <c r="J16050" s="46" t="s">
        <v>132</v>
      </c>
      <c r="K16050" s="46" t="s">
        <v>126</v>
      </c>
      <c r="L16050" s="45">
        <v>46015.166666666664</v>
      </c>
      <c r="M16050" s="46" t="s">
        <v>123</v>
      </c>
      <c r="N16050" s="45">
        <v>46015.208333333336</v>
      </c>
      <c r="O16050" s="46" t="s">
        <v>123</v>
      </c>
      <c r="P16050" s="46">
        <v>3600.0</v>
      </c>
    </row>
    <row r="16051">
      <c r="A16051" s="40">
        <f t="shared" si="1"/>
        <v>46013</v>
      </c>
      <c r="B16051" s="37" t="str">
        <f t="array" ref="B16051">iferror(xlookup($I16051, 'IMPORT VHC Report'!$E:$E, 'IMPORT VHC Report'!$A:$C), )</f>
        <v/>
      </c>
      <c r="C16051" s="44"/>
      <c r="D16051" s="44"/>
      <c r="E16051" s="46" t="s">
        <v>12242</v>
      </c>
      <c r="F16051" s="46" t="s">
        <v>5958</v>
      </c>
      <c r="G16051" s="46">
        <v>5.902015961999E12</v>
      </c>
      <c r="H16051" s="46" t="s">
        <v>5959</v>
      </c>
      <c r="I16051" s="46" t="s">
        <v>5960</v>
      </c>
      <c r="J16051" s="46" t="s">
        <v>125</v>
      </c>
      <c r="K16051" s="46" t="s">
        <v>126</v>
      </c>
      <c r="L16051" s="45">
        <v>46015.25277777778</v>
      </c>
      <c r="M16051" s="46" t="s">
        <v>123</v>
      </c>
      <c r="N16051" s="45">
        <v>46015.28125</v>
      </c>
      <c r="O16051" s="46" t="s">
        <v>123</v>
      </c>
      <c r="P16051" s="46">
        <v>2460.0</v>
      </c>
      <c r="S16051" s="46" t="s">
        <v>12243</v>
      </c>
    </row>
    <row r="16052">
      <c r="A16052" s="40">
        <f t="shared" si="1"/>
        <v>46013</v>
      </c>
      <c r="B16052" s="37" t="str">
        <f t="array" ref="B16052">iferror(xlookup($I16052, 'IMPORT VHC Report'!$E:$E, 'IMPORT VHC Report'!$A:$C), )</f>
        <v/>
      </c>
      <c r="C16052" s="44"/>
      <c r="D16052" s="44"/>
      <c r="E16052" s="46" t="s">
        <v>12244</v>
      </c>
      <c r="F16052" s="46" t="s">
        <v>5958</v>
      </c>
      <c r="G16052" s="46">
        <v>5.902015961999E12</v>
      </c>
      <c r="H16052" s="46" t="s">
        <v>5959</v>
      </c>
      <c r="I16052" s="46" t="s">
        <v>5960</v>
      </c>
      <c r="J16052" s="46" t="s">
        <v>330</v>
      </c>
      <c r="K16052" s="46" t="s">
        <v>126</v>
      </c>
      <c r="L16052" s="45">
        <v>46015.958333333336</v>
      </c>
      <c r="M16052" s="46" t="s">
        <v>123</v>
      </c>
      <c r="N16052" s="45">
        <v>46015.96527777778</v>
      </c>
      <c r="O16052" s="46" t="s">
        <v>123</v>
      </c>
      <c r="P16052" s="46">
        <v>600.0</v>
      </c>
    </row>
    <row r="16053">
      <c r="A16053" s="40">
        <f t="shared" si="1"/>
        <v>46013</v>
      </c>
      <c r="B16053" s="37" t="str">
        <f t="array" ref="B16053">iferror(xlookup($I16053, 'IMPORT VHC Report'!$E:$E, 'IMPORT VHC Report'!$A:$C), )</f>
        <v/>
      </c>
      <c r="C16053" s="44"/>
      <c r="D16053" s="44"/>
      <c r="E16053" s="46" t="s">
        <v>12245</v>
      </c>
      <c r="F16053" s="46" t="s">
        <v>5958</v>
      </c>
      <c r="G16053" s="46">
        <v>5.902015961999E12</v>
      </c>
      <c r="H16053" s="46" t="s">
        <v>5959</v>
      </c>
      <c r="I16053" s="46" t="s">
        <v>5960</v>
      </c>
      <c r="J16053" s="46" t="s">
        <v>332</v>
      </c>
      <c r="K16053" s="46" t="s">
        <v>63</v>
      </c>
      <c r="L16053" s="45">
        <v>46015.958333333336</v>
      </c>
      <c r="M16053" s="46" t="s">
        <v>123</v>
      </c>
      <c r="N16053" s="45">
        <v>46016.333333333336</v>
      </c>
      <c r="O16053" s="46" t="s">
        <v>123</v>
      </c>
      <c r="P16053" s="46">
        <v>32400.0</v>
      </c>
    </row>
    <row r="16054">
      <c r="A16054" s="40">
        <f t="shared" si="1"/>
        <v>46013</v>
      </c>
      <c r="B16054" s="37" t="str">
        <f t="array" ref="B16054">iferror(xlookup($I16054, 'IMPORT VHC Report'!$E:$E, 'IMPORT VHC Report'!$A:$C), )</f>
        <v/>
      </c>
      <c r="C16054" s="44"/>
      <c r="D16054" s="44"/>
      <c r="E16054" s="46" t="s">
        <v>12246</v>
      </c>
      <c r="F16054" s="46" t="s">
        <v>5958</v>
      </c>
      <c r="G16054" s="46">
        <v>5.902015961999E12</v>
      </c>
      <c r="H16054" s="46" t="s">
        <v>5959</v>
      </c>
      <c r="I16054" s="46" t="s">
        <v>5960</v>
      </c>
      <c r="J16054" s="46" t="s">
        <v>132</v>
      </c>
      <c r="K16054" s="46" t="s">
        <v>126</v>
      </c>
      <c r="L16054" s="45">
        <v>46016.0</v>
      </c>
      <c r="M16054" s="46" t="s">
        <v>123</v>
      </c>
      <c r="N16054" s="45">
        <v>46016.041666666664</v>
      </c>
      <c r="O16054" s="46" t="s">
        <v>123</v>
      </c>
      <c r="P16054" s="46">
        <v>3600.0</v>
      </c>
    </row>
    <row r="16055">
      <c r="A16055" s="40">
        <f t="shared" si="1"/>
        <v>46013</v>
      </c>
      <c r="B16055" s="37" t="str">
        <f t="array" ref="B16055">iferror(xlookup($I16055, 'IMPORT VHC Report'!$E:$E, 'IMPORT VHC Report'!$A:$C), )</f>
        <v/>
      </c>
      <c r="C16055" s="44"/>
      <c r="D16055" s="44"/>
      <c r="E16055" s="46" t="s">
        <v>12247</v>
      </c>
      <c r="F16055" s="46" t="s">
        <v>5958</v>
      </c>
      <c r="G16055" s="46">
        <v>5.902015961999E12</v>
      </c>
      <c r="H16055" s="46" t="s">
        <v>5959</v>
      </c>
      <c r="I16055" s="46" t="s">
        <v>5960</v>
      </c>
      <c r="J16055" s="46" t="s">
        <v>136</v>
      </c>
      <c r="K16055" s="46" t="s">
        <v>126</v>
      </c>
      <c r="L16055" s="45">
        <v>46016.041666666664</v>
      </c>
      <c r="M16055" s="46" t="s">
        <v>123</v>
      </c>
      <c r="N16055" s="45">
        <v>46016.083333333336</v>
      </c>
      <c r="O16055" s="46" t="s">
        <v>123</v>
      </c>
      <c r="P16055" s="46">
        <v>3600.0</v>
      </c>
      <c r="S16055" s="46" t="s">
        <v>137</v>
      </c>
    </row>
    <row r="16056">
      <c r="A16056" s="40">
        <f t="shared" si="1"/>
        <v>46013</v>
      </c>
      <c r="B16056" s="37" t="str">
        <f t="array" ref="B16056">iferror(xlookup($I16056, 'IMPORT VHC Report'!$E:$E, 'IMPORT VHC Report'!$A:$C), )</f>
        <v/>
      </c>
      <c r="C16056" s="44"/>
      <c r="D16056" s="44"/>
      <c r="E16056" s="46" t="s">
        <v>12248</v>
      </c>
      <c r="F16056" s="46" t="s">
        <v>5958</v>
      </c>
      <c r="G16056" s="46">
        <v>5.902015961999E12</v>
      </c>
      <c r="H16056" s="46" t="s">
        <v>5959</v>
      </c>
      <c r="I16056" s="46" t="s">
        <v>5960</v>
      </c>
      <c r="J16056" s="46" t="s">
        <v>134</v>
      </c>
      <c r="K16056" s="46" t="s">
        <v>126</v>
      </c>
      <c r="L16056" s="45">
        <v>46016.1875</v>
      </c>
      <c r="M16056" s="46" t="s">
        <v>123</v>
      </c>
      <c r="N16056" s="45">
        <v>46016.208333333336</v>
      </c>
      <c r="O16056" s="46" t="s">
        <v>123</v>
      </c>
      <c r="P16056" s="46">
        <v>1800.0</v>
      </c>
    </row>
    <row r="16057">
      <c r="A16057" s="40">
        <f t="shared" si="1"/>
        <v>46013</v>
      </c>
      <c r="B16057" s="37" t="str">
        <f t="array" ref="B16057">iferror(xlookup($I16057, 'IMPORT VHC Report'!$E:$E, 'IMPORT VHC Report'!$A:$C), )</f>
        <v/>
      </c>
      <c r="C16057" s="44"/>
      <c r="D16057" s="44"/>
      <c r="E16057" s="46" t="s">
        <v>12249</v>
      </c>
      <c r="F16057" s="46" t="s">
        <v>5958</v>
      </c>
      <c r="G16057" s="46">
        <v>5.902015961999E12</v>
      </c>
      <c r="H16057" s="46" t="s">
        <v>5959</v>
      </c>
      <c r="I16057" s="46" t="s">
        <v>5960</v>
      </c>
      <c r="J16057" s="46" t="s">
        <v>330</v>
      </c>
      <c r="K16057" s="46" t="s">
        <v>126</v>
      </c>
      <c r="L16057" s="45">
        <v>46016.958333333336</v>
      </c>
      <c r="M16057" s="46" t="s">
        <v>123</v>
      </c>
      <c r="N16057" s="45">
        <v>46016.96527777778</v>
      </c>
      <c r="O16057" s="46" t="s">
        <v>123</v>
      </c>
      <c r="P16057" s="46">
        <v>600.0</v>
      </c>
    </row>
    <row r="16058">
      <c r="A16058" s="40">
        <f t="shared" si="1"/>
        <v>46013</v>
      </c>
      <c r="B16058" s="37" t="str">
        <f t="array" ref="B16058">iferror(xlookup($I16058, 'IMPORT VHC Report'!$E:$E, 'IMPORT VHC Report'!$A:$C), )</f>
        <v/>
      </c>
      <c r="C16058" s="44"/>
      <c r="D16058" s="44"/>
      <c r="E16058" s="46" t="s">
        <v>12250</v>
      </c>
      <c r="F16058" s="46" t="s">
        <v>5958</v>
      </c>
      <c r="G16058" s="46">
        <v>5.902015961999E12</v>
      </c>
      <c r="H16058" s="46" t="s">
        <v>5959</v>
      </c>
      <c r="I16058" s="46" t="s">
        <v>5960</v>
      </c>
      <c r="J16058" s="46" t="s">
        <v>178</v>
      </c>
      <c r="K16058" s="46" t="s">
        <v>153</v>
      </c>
      <c r="L16058" s="45">
        <v>46016.958333333336</v>
      </c>
      <c r="M16058" s="46" t="s">
        <v>123</v>
      </c>
      <c r="N16058" s="45">
        <v>46017.333333333336</v>
      </c>
      <c r="O16058" s="46" t="s">
        <v>123</v>
      </c>
      <c r="P16058" s="46">
        <v>32400.0</v>
      </c>
      <c r="Q16058" s="46">
        <v>28800.0</v>
      </c>
      <c r="R16058" s="46" t="s">
        <v>550</v>
      </c>
    </row>
    <row r="16059">
      <c r="A16059" s="40">
        <f t="shared" si="1"/>
        <v>46013</v>
      </c>
      <c r="B16059" s="37" t="str">
        <f t="array" ref="B16059">iferror(xlookup($I16059, 'IMPORT VHC Report'!$E:$E, 'IMPORT VHC Report'!$A:$C), )</f>
        <v/>
      </c>
      <c r="C16059" s="44"/>
      <c r="D16059" s="44"/>
      <c r="E16059" s="46" t="s">
        <v>12251</v>
      </c>
      <c r="F16059" s="46" t="s">
        <v>5958</v>
      </c>
      <c r="G16059" s="46">
        <v>5.902015961999E12</v>
      </c>
      <c r="H16059" s="46" t="s">
        <v>5959</v>
      </c>
      <c r="I16059" s="46" t="s">
        <v>5960</v>
      </c>
      <c r="J16059" s="46" t="s">
        <v>332</v>
      </c>
      <c r="K16059" s="46" t="s">
        <v>63</v>
      </c>
      <c r="L16059" s="45">
        <v>46016.958333333336</v>
      </c>
      <c r="M16059" s="46" t="s">
        <v>123</v>
      </c>
      <c r="N16059" s="45">
        <v>46017.333333333336</v>
      </c>
      <c r="O16059" s="46" t="s">
        <v>123</v>
      </c>
      <c r="P16059" s="46">
        <v>32400.0</v>
      </c>
    </row>
    <row r="16060">
      <c r="A16060" s="40">
        <f t="shared" si="1"/>
        <v>46013</v>
      </c>
      <c r="B16060" s="37" t="str">
        <f t="array" ref="B16060">iferror(xlookup($I16060, 'IMPORT VHC Report'!$E:$E, 'IMPORT VHC Report'!$A:$C), )</f>
        <v/>
      </c>
      <c r="C16060" s="44"/>
      <c r="D16060" s="44"/>
      <c r="E16060" s="46" t="s">
        <v>12252</v>
      </c>
      <c r="F16060" s="46" t="s">
        <v>5958</v>
      </c>
      <c r="G16060" s="46">
        <v>5.902015961999E12</v>
      </c>
      <c r="H16060" s="46" t="s">
        <v>5959</v>
      </c>
      <c r="I16060" s="46" t="s">
        <v>5960</v>
      </c>
      <c r="J16060" s="46" t="s">
        <v>134</v>
      </c>
      <c r="K16060" s="46" t="s">
        <v>126</v>
      </c>
      <c r="L16060" s="45">
        <v>46017.0625</v>
      </c>
      <c r="M16060" s="46" t="s">
        <v>123</v>
      </c>
      <c r="N16060" s="45">
        <v>46017.083333333336</v>
      </c>
      <c r="O16060" s="46" t="s">
        <v>123</v>
      </c>
      <c r="P16060" s="46">
        <v>1800.0</v>
      </c>
    </row>
    <row r="16061">
      <c r="A16061" s="40">
        <f t="shared" si="1"/>
        <v>46013</v>
      </c>
      <c r="B16061" s="37" t="str">
        <f t="array" ref="B16061">iferror(xlookup($I16061, 'IMPORT VHC Report'!$E:$E, 'IMPORT VHC Report'!$A:$C), )</f>
        <v/>
      </c>
      <c r="C16061" s="44"/>
      <c r="D16061" s="44"/>
      <c r="E16061" s="46" t="s">
        <v>12253</v>
      </c>
      <c r="F16061" s="46" t="s">
        <v>5958</v>
      </c>
      <c r="G16061" s="46">
        <v>5.902015961999E12</v>
      </c>
      <c r="H16061" s="46" t="s">
        <v>5959</v>
      </c>
      <c r="I16061" s="46" t="s">
        <v>5960</v>
      </c>
      <c r="J16061" s="46" t="s">
        <v>132</v>
      </c>
      <c r="K16061" s="46" t="s">
        <v>126</v>
      </c>
      <c r="L16061" s="45">
        <v>46017.1875</v>
      </c>
      <c r="M16061" s="46" t="s">
        <v>123</v>
      </c>
      <c r="N16061" s="45">
        <v>46017.229166666664</v>
      </c>
      <c r="O16061" s="46" t="s">
        <v>123</v>
      </c>
      <c r="P16061" s="46">
        <v>3600.0</v>
      </c>
    </row>
    <row r="16062">
      <c r="A16062" s="40">
        <f t="shared" si="1"/>
        <v>46013</v>
      </c>
      <c r="B16062" s="37" t="str">
        <f t="array" ref="B16062">iferror(xlookup($I16062, 'IMPORT VHC Report'!$E:$E, 'IMPORT VHC Report'!$A:$C), )</f>
        <v/>
      </c>
      <c r="C16062" s="44"/>
      <c r="D16062" s="44"/>
      <c r="E16062" s="46" t="s">
        <v>12254</v>
      </c>
      <c r="F16062" s="46" t="s">
        <v>5958</v>
      </c>
      <c r="G16062" s="46">
        <v>5.902015961999E12</v>
      </c>
      <c r="H16062" s="46" t="s">
        <v>5959</v>
      </c>
      <c r="I16062" s="46" t="s">
        <v>5960</v>
      </c>
      <c r="J16062" s="46" t="s">
        <v>330</v>
      </c>
      <c r="K16062" s="46" t="s">
        <v>126</v>
      </c>
      <c r="L16062" s="45">
        <v>46017.958333333336</v>
      </c>
      <c r="M16062" s="46" t="s">
        <v>123</v>
      </c>
      <c r="N16062" s="45">
        <v>46017.96527777778</v>
      </c>
      <c r="O16062" s="46" t="s">
        <v>123</v>
      </c>
      <c r="P16062" s="46">
        <v>600.0</v>
      </c>
    </row>
    <row r="16063">
      <c r="A16063" s="40">
        <f t="shared" si="1"/>
        <v>46013</v>
      </c>
      <c r="B16063" s="37" t="str">
        <f t="array" ref="B16063">iferror(xlookup($I16063, 'IMPORT VHC Report'!$E:$E, 'IMPORT VHC Report'!$A:$C), )</f>
        <v/>
      </c>
      <c r="C16063" s="44"/>
      <c r="D16063" s="44"/>
      <c r="E16063" s="46" t="s">
        <v>12255</v>
      </c>
      <c r="F16063" s="46" t="s">
        <v>5958</v>
      </c>
      <c r="G16063" s="46">
        <v>5.902015961999E12</v>
      </c>
      <c r="H16063" s="46" t="s">
        <v>5959</v>
      </c>
      <c r="I16063" s="46" t="s">
        <v>5960</v>
      </c>
      <c r="J16063" s="46" t="s">
        <v>332</v>
      </c>
      <c r="K16063" s="46" t="s">
        <v>63</v>
      </c>
      <c r="L16063" s="45">
        <v>46017.958333333336</v>
      </c>
      <c r="M16063" s="46" t="s">
        <v>123</v>
      </c>
      <c r="N16063" s="45">
        <v>46018.333333333336</v>
      </c>
      <c r="O16063" s="46" t="s">
        <v>123</v>
      </c>
      <c r="P16063" s="46">
        <v>32400.0</v>
      </c>
    </row>
    <row r="16064">
      <c r="A16064" s="40">
        <f t="shared" si="1"/>
        <v>46013</v>
      </c>
      <c r="B16064" s="37" t="str">
        <f t="array" ref="B16064">iferror(xlookup($I16064, 'IMPORT VHC Report'!$E:$E, 'IMPORT VHC Report'!$A:$C), )</f>
        <v/>
      </c>
      <c r="C16064" s="44"/>
      <c r="D16064" s="44"/>
      <c r="E16064" s="46" t="s">
        <v>12256</v>
      </c>
      <c r="F16064" s="46" t="s">
        <v>5958</v>
      </c>
      <c r="G16064" s="46">
        <v>5.902015961999E12</v>
      </c>
      <c r="H16064" s="46" t="s">
        <v>5959</v>
      </c>
      <c r="I16064" s="46" t="s">
        <v>5960</v>
      </c>
      <c r="J16064" s="46" t="s">
        <v>178</v>
      </c>
      <c r="K16064" s="46" t="s">
        <v>153</v>
      </c>
      <c r="L16064" s="45">
        <v>46017.958333333336</v>
      </c>
      <c r="M16064" s="46" t="s">
        <v>123</v>
      </c>
      <c r="N16064" s="45">
        <v>46018.333333333336</v>
      </c>
      <c r="O16064" s="46" t="s">
        <v>123</v>
      </c>
      <c r="P16064" s="46">
        <v>32400.0</v>
      </c>
      <c r="Q16064" s="46">
        <v>28800.0</v>
      </c>
      <c r="R16064" s="46" t="s">
        <v>550</v>
      </c>
    </row>
    <row r="16065">
      <c r="A16065" s="40">
        <f t="shared" si="1"/>
        <v>46013</v>
      </c>
      <c r="B16065" s="37" t="str">
        <f t="array" ref="B16065">iferror(xlookup($I16065, 'IMPORT VHC Report'!$E:$E, 'IMPORT VHC Report'!$A:$C), )</f>
        <v/>
      </c>
      <c r="C16065" s="44"/>
      <c r="D16065" s="44"/>
      <c r="E16065" s="46" t="s">
        <v>12257</v>
      </c>
      <c r="F16065" s="46" t="s">
        <v>5958</v>
      </c>
      <c r="G16065" s="46">
        <v>5.902015961999E12</v>
      </c>
      <c r="H16065" s="46" t="s">
        <v>5959</v>
      </c>
      <c r="I16065" s="46" t="s">
        <v>5960</v>
      </c>
      <c r="J16065" s="46" t="s">
        <v>132</v>
      </c>
      <c r="K16065" s="46" t="s">
        <v>126</v>
      </c>
      <c r="L16065" s="45">
        <v>46018.114583333336</v>
      </c>
      <c r="M16065" s="46" t="s">
        <v>123</v>
      </c>
      <c r="N16065" s="45">
        <v>46018.15625</v>
      </c>
      <c r="O16065" s="46" t="s">
        <v>123</v>
      </c>
      <c r="P16065" s="46">
        <v>3600.0</v>
      </c>
    </row>
    <row r="16066">
      <c r="A16066" s="40">
        <f t="shared" si="1"/>
        <v>46013</v>
      </c>
      <c r="B16066" s="37" t="str">
        <f t="array" ref="B16066">iferror(xlookup($I16066, 'IMPORT VHC Report'!$E:$E, 'IMPORT VHC Report'!$A:$C), )</f>
        <v/>
      </c>
      <c r="C16066" s="44"/>
      <c r="D16066" s="44"/>
      <c r="E16066" s="46" t="s">
        <v>12258</v>
      </c>
      <c r="F16066" s="46" t="s">
        <v>5958</v>
      </c>
      <c r="G16066" s="46">
        <v>5.902015961999E12</v>
      </c>
      <c r="H16066" s="46" t="s">
        <v>5959</v>
      </c>
      <c r="I16066" s="46" t="s">
        <v>5960</v>
      </c>
      <c r="J16066" s="46" t="s">
        <v>134</v>
      </c>
      <c r="K16066" s="46" t="s">
        <v>126</v>
      </c>
      <c r="L16066" s="45">
        <v>46018.25</v>
      </c>
      <c r="M16066" s="46" t="s">
        <v>123</v>
      </c>
      <c r="N16066" s="45">
        <v>46018.270833333336</v>
      </c>
      <c r="O16066" s="46" t="s">
        <v>123</v>
      </c>
      <c r="P16066" s="46">
        <v>1800.0</v>
      </c>
    </row>
    <row r="16067">
      <c r="A16067" s="40">
        <f t="shared" si="1"/>
        <v>46013</v>
      </c>
      <c r="B16067" s="37" t="str">
        <f t="array" ref="B16067">iferror(xlookup($I16067, 'IMPORT VHC Report'!$E:$E, 'IMPORT VHC Report'!$A:$C), )</f>
        <v/>
      </c>
      <c r="C16067" s="44"/>
      <c r="D16067" s="44"/>
      <c r="E16067" s="46" t="s">
        <v>12259</v>
      </c>
      <c r="F16067" s="46" t="s">
        <v>6161</v>
      </c>
      <c r="G16067" s="46">
        <v>1.0548609971215E13</v>
      </c>
      <c r="H16067" s="46" t="s">
        <v>6162</v>
      </c>
      <c r="I16067" s="46" t="s">
        <v>6163</v>
      </c>
      <c r="J16067" s="46" t="s">
        <v>330</v>
      </c>
      <c r="K16067" s="46" t="s">
        <v>126</v>
      </c>
      <c r="L16067" s="45">
        <v>46014.166666666664</v>
      </c>
      <c r="M16067" s="46" t="s">
        <v>123</v>
      </c>
      <c r="N16067" s="45">
        <v>46014.17361111111</v>
      </c>
      <c r="O16067" s="46" t="s">
        <v>123</v>
      </c>
      <c r="P16067" s="46">
        <v>600.0</v>
      </c>
    </row>
    <row r="16068">
      <c r="A16068" s="40">
        <f t="shared" si="1"/>
        <v>46013</v>
      </c>
      <c r="B16068" s="37" t="str">
        <f t="array" ref="B16068">iferror(xlookup($I16068, 'IMPORT VHC Report'!$E:$E, 'IMPORT VHC Report'!$A:$C), )</f>
        <v/>
      </c>
      <c r="C16068" s="44"/>
      <c r="D16068" s="44"/>
      <c r="E16068" s="46" t="s">
        <v>12260</v>
      </c>
      <c r="F16068" s="46" t="s">
        <v>6161</v>
      </c>
      <c r="G16068" s="46">
        <v>1.0548609971215E13</v>
      </c>
      <c r="H16068" s="46" t="s">
        <v>6162</v>
      </c>
      <c r="I16068" s="46" t="s">
        <v>6163</v>
      </c>
      <c r="J16068" s="46" t="s">
        <v>332</v>
      </c>
      <c r="K16068" s="46" t="s">
        <v>63</v>
      </c>
      <c r="L16068" s="45">
        <v>46014.166666666664</v>
      </c>
      <c r="M16068" s="46" t="s">
        <v>123</v>
      </c>
      <c r="N16068" s="45">
        <v>46014.541666666664</v>
      </c>
      <c r="O16068" s="46" t="s">
        <v>123</v>
      </c>
      <c r="P16068" s="46">
        <v>32400.0</v>
      </c>
    </row>
    <row r="16069">
      <c r="A16069" s="40">
        <f t="shared" si="1"/>
        <v>46013</v>
      </c>
      <c r="B16069" s="37" t="str">
        <f t="array" ref="B16069">iferror(xlookup($I16069, 'IMPORT VHC Report'!$E:$E, 'IMPORT VHC Report'!$A:$C), )</f>
        <v/>
      </c>
      <c r="C16069" s="44"/>
      <c r="D16069" s="44"/>
      <c r="E16069" s="46" t="s">
        <v>12261</v>
      </c>
      <c r="F16069" s="46" t="s">
        <v>6161</v>
      </c>
      <c r="G16069" s="46">
        <v>1.0548609971215E13</v>
      </c>
      <c r="H16069" s="46" t="s">
        <v>6162</v>
      </c>
      <c r="I16069" s="46" t="s">
        <v>6163</v>
      </c>
      <c r="J16069" s="46" t="s">
        <v>134</v>
      </c>
      <c r="K16069" s="46" t="s">
        <v>126</v>
      </c>
      <c r="L16069" s="45">
        <v>46014.229166666664</v>
      </c>
      <c r="M16069" s="46" t="s">
        <v>123</v>
      </c>
      <c r="N16069" s="45">
        <v>46014.25</v>
      </c>
      <c r="O16069" s="46" t="s">
        <v>123</v>
      </c>
      <c r="P16069" s="46">
        <v>1800.0</v>
      </c>
    </row>
    <row r="16070">
      <c r="A16070" s="40">
        <f t="shared" si="1"/>
        <v>46013</v>
      </c>
      <c r="B16070" s="37" t="str">
        <f t="array" ref="B16070">iferror(xlookup($I16070, 'IMPORT VHC Report'!$E:$E, 'IMPORT VHC Report'!$A:$C), )</f>
        <v/>
      </c>
      <c r="C16070" s="44"/>
      <c r="D16070" s="44"/>
      <c r="E16070" s="46" t="s">
        <v>12262</v>
      </c>
      <c r="F16070" s="46" t="s">
        <v>6161</v>
      </c>
      <c r="G16070" s="46">
        <v>1.0548609971215E13</v>
      </c>
      <c r="H16070" s="46" t="s">
        <v>6162</v>
      </c>
      <c r="I16070" s="46" t="s">
        <v>6163</v>
      </c>
      <c r="J16070" s="46" t="s">
        <v>132</v>
      </c>
      <c r="K16070" s="46" t="s">
        <v>126</v>
      </c>
      <c r="L16070" s="45">
        <v>46014.375</v>
      </c>
      <c r="M16070" s="46" t="s">
        <v>123</v>
      </c>
      <c r="N16070" s="45">
        <v>46014.416666666664</v>
      </c>
      <c r="O16070" s="46" t="s">
        <v>123</v>
      </c>
      <c r="P16070" s="46">
        <v>3600.0</v>
      </c>
    </row>
    <row r="16071">
      <c r="A16071" s="40">
        <f t="shared" si="1"/>
        <v>46013</v>
      </c>
      <c r="B16071" s="37" t="str">
        <f t="array" ref="B16071">iferror(xlookup($I16071, 'IMPORT VHC Report'!$E:$E, 'IMPORT VHC Report'!$A:$C), )</f>
        <v/>
      </c>
      <c r="C16071" s="44"/>
      <c r="D16071" s="44"/>
      <c r="E16071" s="46" t="s">
        <v>12263</v>
      </c>
      <c r="F16071" s="46" t="s">
        <v>6161</v>
      </c>
      <c r="G16071" s="46">
        <v>1.0548609971215E13</v>
      </c>
      <c r="H16071" s="46" t="s">
        <v>6162</v>
      </c>
      <c r="I16071" s="46" t="s">
        <v>6163</v>
      </c>
      <c r="J16071" s="46" t="s">
        <v>330</v>
      </c>
      <c r="K16071" s="46" t="s">
        <v>126</v>
      </c>
      <c r="L16071" s="45">
        <v>46015.166666666664</v>
      </c>
      <c r="M16071" s="46" t="s">
        <v>123</v>
      </c>
      <c r="N16071" s="45">
        <v>46015.17361111111</v>
      </c>
      <c r="O16071" s="46" t="s">
        <v>123</v>
      </c>
      <c r="P16071" s="46">
        <v>600.0</v>
      </c>
    </row>
    <row r="16072">
      <c r="A16072" s="40">
        <f t="shared" si="1"/>
        <v>46013</v>
      </c>
      <c r="B16072" s="37" t="str">
        <f t="array" ref="B16072">iferror(xlookup($I16072, 'IMPORT VHC Report'!$E:$E, 'IMPORT VHC Report'!$A:$C), )</f>
        <v/>
      </c>
      <c r="C16072" s="44"/>
      <c r="D16072" s="44"/>
      <c r="E16072" s="46" t="s">
        <v>12264</v>
      </c>
      <c r="F16072" s="46" t="s">
        <v>6161</v>
      </c>
      <c r="G16072" s="46">
        <v>1.0548609971215E13</v>
      </c>
      <c r="H16072" s="46" t="s">
        <v>6162</v>
      </c>
      <c r="I16072" s="46" t="s">
        <v>6163</v>
      </c>
      <c r="J16072" s="46" t="s">
        <v>332</v>
      </c>
      <c r="K16072" s="46" t="s">
        <v>63</v>
      </c>
      <c r="L16072" s="45">
        <v>46015.166666666664</v>
      </c>
      <c r="M16072" s="46" t="s">
        <v>123</v>
      </c>
      <c r="N16072" s="45">
        <v>46015.541666666664</v>
      </c>
      <c r="O16072" s="46" t="s">
        <v>123</v>
      </c>
      <c r="P16072" s="46">
        <v>32400.0</v>
      </c>
    </row>
    <row r="16073">
      <c r="A16073" s="40">
        <f t="shared" si="1"/>
        <v>46013</v>
      </c>
      <c r="B16073" s="37" t="str">
        <f t="array" ref="B16073">iferror(xlookup($I16073, 'IMPORT VHC Report'!$E:$E, 'IMPORT VHC Report'!$A:$C), )</f>
        <v/>
      </c>
      <c r="C16073" s="44"/>
      <c r="D16073" s="44"/>
      <c r="E16073" s="46" t="s">
        <v>12265</v>
      </c>
      <c r="F16073" s="46" t="s">
        <v>6161</v>
      </c>
      <c r="G16073" s="46">
        <v>1.0548609971215E13</v>
      </c>
      <c r="H16073" s="46" t="s">
        <v>6162</v>
      </c>
      <c r="I16073" s="46" t="s">
        <v>6163</v>
      </c>
      <c r="J16073" s="46" t="s">
        <v>136</v>
      </c>
      <c r="K16073" s="46" t="s">
        <v>126</v>
      </c>
      <c r="L16073" s="45">
        <v>46015.208333333336</v>
      </c>
      <c r="M16073" s="46" t="s">
        <v>123</v>
      </c>
      <c r="N16073" s="45">
        <v>46015.25</v>
      </c>
      <c r="O16073" s="46" t="s">
        <v>123</v>
      </c>
      <c r="P16073" s="46">
        <v>3600.0</v>
      </c>
      <c r="S16073" s="46" t="s">
        <v>137</v>
      </c>
    </row>
    <row r="16074">
      <c r="A16074" s="40">
        <f t="shared" si="1"/>
        <v>46013</v>
      </c>
      <c r="B16074" s="37" t="str">
        <f t="array" ref="B16074">iferror(xlookup($I16074, 'IMPORT VHC Report'!$E:$E, 'IMPORT VHC Report'!$A:$C), )</f>
        <v/>
      </c>
      <c r="C16074" s="44"/>
      <c r="D16074" s="44"/>
      <c r="E16074" s="46" t="s">
        <v>12266</v>
      </c>
      <c r="F16074" s="46" t="s">
        <v>6161</v>
      </c>
      <c r="G16074" s="46">
        <v>1.0548609971215E13</v>
      </c>
      <c r="H16074" s="46" t="s">
        <v>6162</v>
      </c>
      <c r="I16074" s="46" t="s">
        <v>6163</v>
      </c>
      <c r="J16074" s="46" t="s">
        <v>134</v>
      </c>
      <c r="K16074" s="46" t="s">
        <v>126</v>
      </c>
      <c r="L16074" s="45">
        <v>46015.333333333336</v>
      </c>
      <c r="M16074" s="46" t="s">
        <v>123</v>
      </c>
      <c r="N16074" s="45">
        <v>46015.354166666664</v>
      </c>
      <c r="O16074" s="46" t="s">
        <v>123</v>
      </c>
      <c r="P16074" s="46">
        <v>1800.0</v>
      </c>
    </row>
    <row r="16075">
      <c r="A16075" s="40">
        <f t="shared" si="1"/>
        <v>46013</v>
      </c>
      <c r="B16075" s="37" t="str">
        <f t="array" ref="B16075">iferror(xlookup($I16075, 'IMPORT VHC Report'!$E:$E, 'IMPORT VHC Report'!$A:$C), )</f>
        <v/>
      </c>
      <c r="C16075" s="44"/>
      <c r="D16075" s="44"/>
      <c r="E16075" s="46" t="s">
        <v>12267</v>
      </c>
      <c r="F16075" s="46" t="s">
        <v>6161</v>
      </c>
      <c r="G16075" s="46">
        <v>1.0548609971215E13</v>
      </c>
      <c r="H16075" s="46" t="s">
        <v>6162</v>
      </c>
      <c r="I16075" s="46" t="s">
        <v>6163</v>
      </c>
      <c r="J16075" s="46" t="s">
        <v>132</v>
      </c>
      <c r="K16075" s="46" t="s">
        <v>126</v>
      </c>
      <c r="L16075" s="45">
        <v>46015.427083333336</v>
      </c>
      <c r="M16075" s="46" t="s">
        <v>123</v>
      </c>
      <c r="N16075" s="45">
        <v>46015.46875</v>
      </c>
      <c r="O16075" s="46" t="s">
        <v>123</v>
      </c>
      <c r="P16075" s="46">
        <v>3600.0</v>
      </c>
    </row>
    <row r="16076">
      <c r="A16076" s="40">
        <f t="shared" si="1"/>
        <v>46013</v>
      </c>
      <c r="B16076" s="37" t="str">
        <f t="array" ref="B16076">iferror(xlookup($I16076, 'IMPORT VHC Report'!$E:$E, 'IMPORT VHC Report'!$A:$C), )</f>
        <v/>
      </c>
      <c r="C16076" s="44"/>
      <c r="D16076" s="44"/>
      <c r="E16076" s="46" t="s">
        <v>12268</v>
      </c>
      <c r="F16076" s="46" t="s">
        <v>6161</v>
      </c>
      <c r="G16076" s="46">
        <v>1.0548609971215E13</v>
      </c>
      <c r="H16076" s="46" t="s">
        <v>6162</v>
      </c>
      <c r="I16076" s="46" t="s">
        <v>6163</v>
      </c>
      <c r="J16076" s="46" t="s">
        <v>4</v>
      </c>
      <c r="K16076" s="46" t="s">
        <v>126</v>
      </c>
      <c r="L16076" s="45">
        <v>46015.5</v>
      </c>
      <c r="M16076" s="46" t="s">
        <v>123</v>
      </c>
      <c r="N16076" s="45">
        <v>46015.510416666664</v>
      </c>
      <c r="O16076" s="46" t="s">
        <v>123</v>
      </c>
      <c r="P16076" s="46">
        <v>900.0</v>
      </c>
      <c r="S16076" s="46" t="s">
        <v>12269</v>
      </c>
    </row>
    <row r="16077">
      <c r="A16077" s="40">
        <f t="shared" si="1"/>
        <v>46013</v>
      </c>
      <c r="B16077" s="37" t="str">
        <f t="array" ref="B16077">iferror(xlookup($I16077, 'IMPORT VHC Report'!$E:$E, 'IMPORT VHC Report'!$A:$C), )</f>
        <v/>
      </c>
      <c r="C16077" s="44"/>
      <c r="D16077" s="44"/>
      <c r="E16077" s="46" t="s">
        <v>12270</v>
      </c>
      <c r="F16077" s="46" t="s">
        <v>6161</v>
      </c>
      <c r="G16077" s="46">
        <v>1.0548609971215E13</v>
      </c>
      <c r="H16077" s="46" t="s">
        <v>6162</v>
      </c>
      <c r="I16077" s="46" t="s">
        <v>6163</v>
      </c>
      <c r="J16077" s="46" t="s">
        <v>4</v>
      </c>
      <c r="K16077" s="46" t="s">
        <v>126</v>
      </c>
      <c r="L16077" s="45">
        <v>46015.52222222222</v>
      </c>
      <c r="M16077" s="46" t="s">
        <v>123</v>
      </c>
      <c r="N16077" s="45">
        <v>46015.532638888886</v>
      </c>
      <c r="O16077" s="46" t="s">
        <v>123</v>
      </c>
      <c r="P16077" s="46">
        <v>900.0</v>
      </c>
      <c r="S16077" s="46" t="s">
        <v>11634</v>
      </c>
    </row>
    <row r="16078">
      <c r="A16078" s="40">
        <f t="shared" si="1"/>
        <v>46013</v>
      </c>
      <c r="B16078" s="37" t="str">
        <f t="array" ref="B16078">iferror(xlookup($I16078, 'IMPORT VHC Report'!$E:$E, 'IMPORT VHC Report'!$A:$C), )</f>
        <v/>
      </c>
      <c r="C16078" s="44"/>
      <c r="D16078" s="44"/>
      <c r="E16078" s="46" t="s">
        <v>12271</v>
      </c>
      <c r="F16078" s="46" t="s">
        <v>6161</v>
      </c>
      <c r="G16078" s="46">
        <v>1.0548609971215E13</v>
      </c>
      <c r="H16078" s="46" t="s">
        <v>6162</v>
      </c>
      <c r="I16078" s="46" t="s">
        <v>6163</v>
      </c>
      <c r="J16078" s="46" t="s">
        <v>330</v>
      </c>
      <c r="K16078" s="46" t="s">
        <v>126</v>
      </c>
      <c r="L16078" s="45">
        <v>46016.166666666664</v>
      </c>
      <c r="M16078" s="46" t="s">
        <v>123</v>
      </c>
      <c r="N16078" s="45">
        <v>46016.17361111111</v>
      </c>
      <c r="O16078" s="46" t="s">
        <v>123</v>
      </c>
      <c r="P16078" s="46">
        <v>600.0</v>
      </c>
    </row>
    <row r="16079">
      <c r="A16079" s="40">
        <f t="shared" si="1"/>
        <v>46013</v>
      </c>
      <c r="B16079" s="37" t="str">
        <f t="array" ref="B16079">iferror(xlookup($I16079, 'IMPORT VHC Report'!$E:$E, 'IMPORT VHC Report'!$A:$C), )</f>
        <v/>
      </c>
      <c r="C16079" s="44"/>
      <c r="D16079" s="44"/>
      <c r="E16079" s="46" t="s">
        <v>12272</v>
      </c>
      <c r="F16079" s="46" t="s">
        <v>6161</v>
      </c>
      <c r="G16079" s="46">
        <v>1.0548609971215E13</v>
      </c>
      <c r="H16079" s="46" t="s">
        <v>6162</v>
      </c>
      <c r="I16079" s="46" t="s">
        <v>6163</v>
      </c>
      <c r="J16079" s="46" t="s">
        <v>332</v>
      </c>
      <c r="K16079" s="46" t="s">
        <v>63</v>
      </c>
      <c r="L16079" s="45">
        <v>46016.166666666664</v>
      </c>
      <c r="M16079" s="46" t="s">
        <v>123</v>
      </c>
      <c r="N16079" s="45">
        <v>46016.541666666664</v>
      </c>
      <c r="O16079" s="46" t="s">
        <v>123</v>
      </c>
      <c r="P16079" s="46">
        <v>32400.0</v>
      </c>
    </row>
    <row r="16080">
      <c r="A16080" s="40">
        <f t="shared" si="1"/>
        <v>46013</v>
      </c>
      <c r="B16080" s="37" t="str">
        <f t="array" ref="B16080">iferror(xlookup($I16080, 'IMPORT VHC Report'!$E:$E, 'IMPORT VHC Report'!$A:$C), )</f>
        <v/>
      </c>
      <c r="C16080" s="44"/>
      <c r="D16080" s="44"/>
      <c r="E16080" s="46" t="s">
        <v>12273</v>
      </c>
      <c r="F16080" s="46" t="s">
        <v>6161</v>
      </c>
      <c r="G16080" s="46">
        <v>1.0548609971215E13</v>
      </c>
      <c r="H16080" s="46" t="s">
        <v>6162</v>
      </c>
      <c r="I16080" s="46" t="s">
        <v>6163</v>
      </c>
      <c r="J16080" s="46" t="s">
        <v>132</v>
      </c>
      <c r="K16080" s="46" t="s">
        <v>126</v>
      </c>
      <c r="L16080" s="45">
        <v>46016.270833333336</v>
      </c>
      <c r="M16080" s="46" t="s">
        <v>123</v>
      </c>
      <c r="N16080" s="45">
        <v>46016.3125</v>
      </c>
      <c r="O16080" s="46" t="s">
        <v>123</v>
      </c>
      <c r="P16080" s="46">
        <v>3600.0</v>
      </c>
    </row>
    <row r="16081">
      <c r="A16081" s="40">
        <f t="shared" si="1"/>
        <v>46013</v>
      </c>
      <c r="B16081" s="37" t="str">
        <f t="array" ref="B16081">iferror(xlookup($I16081, 'IMPORT VHC Report'!$E:$E, 'IMPORT VHC Report'!$A:$C), )</f>
        <v/>
      </c>
      <c r="C16081" s="44"/>
      <c r="D16081" s="44"/>
      <c r="E16081" s="46" t="s">
        <v>12274</v>
      </c>
      <c r="F16081" s="46" t="s">
        <v>6161</v>
      </c>
      <c r="G16081" s="46">
        <v>1.0548609971215E13</v>
      </c>
      <c r="H16081" s="46" t="s">
        <v>6162</v>
      </c>
      <c r="I16081" s="46" t="s">
        <v>6163</v>
      </c>
      <c r="J16081" s="46" t="s">
        <v>134</v>
      </c>
      <c r="K16081" s="46" t="s">
        <v>126</v>
      </c>
      <c r="L16081" s="45">
        <v>46016.416666666664</v>
      </c>
      <c r="M16081" s="46" t="s">
        <v>123</v>
      </c>
      <c r="N16081" s="45">
        <v>46016.4375</v>
      </c>
      <c r="O16081" s="46" t="s">
        <v>123</v>
      </c>
      <c r="P16081" s="46">
        <v>1800.0</v>
      </c>
    </row>
    <row r="16082">
      <c r="A16082" s="40">
        <f t="shared" si="1"/>
        <v>46013</v>
      </c>
      <c r="B16082" s="37" t="str">
        <f t="array" ref="B16082">iferror(xlookup($I16082, 'IMPORT VHC Report'!$E:$E, 'IMPORT VHC Report'!$A:$C), )</f>
        <v/>
      </c>
      <c r="C16082" s="44"/>
      <c r="D16082" s="44"/>
      <c r="E16082" s="46" t="s">
        <v>12275</v>
      </c>
      <c r="F16082" s="46" t="s">
        <v>6161</v>
      </c>
      <c r="G16082" s="46">
        <v>1.0548609971215E13</v>
      </c>
      <c r="H16082" s="46" t="s">
        <v>6162</v>
      </c>
      <c r="I16082" s="46" t="s">
        <v>6163</v>
      </c>
      <c r="J16082" s="46" t="s">
        <v>330</v>
      </c>
      <c r="K16082" s="46" t="s">
        <v>126</v>
      </c>
      <c r="L16082" s="45">
        <v>46017.166666666664</v>
      </c>
      <c r="M16082" s="46" t="s">
        <v>123</v>
      </c>
      <c r="N16082" s="45">
        <v>46017.17361111111</v>
      </c>
      <c r="O16082" s="46" t="s">
        <v>123</v>
      </c>
      <c r="P16082" s="46">
        <v>600.0</v>
      </c>
    </row>
    <row r="16083">
      <c r="A16083" s="40">
        <f t="shared" si="1"/>
        <v>46013</v>
      </c>
      <c r="B16083" s="37" t="str">
        <f t="array" ref="B16083">iferror(xlookup($I16083, 'IMPORT VHC Report'!$E:$E, 'IMPORT VHC Report'!$A:$C), )</f>
        <v/>
      </c>
      <c r="C16083" s="44"/>
      <c r="D16083" s="44"/>
      <c r="E16083" s="46" t="s">
        <v>12276</v>
      </c>
      <c r="F16083" s="46" t="s">
        <v>6161</v>
      </c>
      <c r="G16083" s="46">
        <v>1.0548609971215E13</v>
      </c>
      <c r="H16083" s="46" t="s">
        <v>6162</v>
      </c>
      <c r="I16083" s="46" t="s">
        <v>6163</v>
      </c>
      <c r="J16083" s="46" t="s">
        <v>332</v>
      </c>
      <c r="K16083" s="46" t="s">
        <v>63</v>
      </c>
      <c r="L16083" s="45">
        <v>46017.166666666664</v>
      </c>
      <c r="M16083" s="46" t="s">
        <v>123</v>
      </c>
      <c r="N16083" s="45">
        <v>46017.541666666664</v>
      </c>
      <c r="O16083" s="46" t="s">
        <v>123</v>
      </c>
      <c r="P16083" s="46">
        <v>32400.0</v>
      </c>
    </row>
    <row r="16084">
      <c r="A16084" s="40">
        <f t="shared" si="1"/>
        <v>46013</v>
      </c>
      <c r="B16084" s="37" t="str">
        <f t="array" ref="B16084">iferror(xlookup($I16084, 'IMPORT VHC Report'!$E:$E, 'IMPORT VHC Report'!$A:$C), )</f>
        <v/>
      </c>
      <c r="C16084" s="44"/>
      <c r="D16084" s="44"/>
      <c r="E16084" s="46" t="s">
        <v>12277</v>
      </c>
      <c r="F16084" s="46" t="s">
        <v>6161</v>
      </c>
      <c r="G16084" s="46">
        <v>1.0548609971215E13</v>
      </c>
      <c r="H16084" s="46" t="s">
        <v>6162</v>
      </c>
      <c r="I16084" s="46" t="s">
        <v>6163</v>
      </c>
      <c r="J16084" s="46" t="s">
        <v>132</v>
      </c>
      <c r="K16084" s="46" t="s">
        <v>126</v>
      </c>
      <c r="L16084" s="45">
        <v>46017.229166666664</v>
      </c>
      <c r="M16084" s="46" t="s">
        <v>123</v>
      </c>
      <c r="N16084" s="45">
        <v>46017.270833333336</v>
      </c>
      <c r="O16084" s="46" t="s">
        <v>123</v>
      </c>
      <c r="P16084" s="46">
        <v>3600.0</v>
      </c>
    </row>
    <row r="16085">
      <c r="A16085" s="40">
        <f t="shared" si="1"/>
        <v>46013</v>
      </c>
      <c r="B16085" s="37" t="str">
        <f t="array" ref="B16085">iferror(xlookup($I16085, 'IMPORT VHC Report'!$E:$E, 'IMPORT VHC Report'!$A:$C), )</f>
        <v/>
      </c>
      <c r="C16085" s="44"/>
      <c r="D16085" s="44"/>
      <c r="E16085" s="46" t="s">
        <v>12278</v>
      </c>
      <c r="F16085" s="46" t="s">
        <v>6161</v>
      </c>
      <c r="G16085" s="46">
        <v>1.0548609971215E13</v>
      </c>
      <c r="H16085" s="46" t="s">
        <v>6162</v>
      </c>
      <c r="I16085" s="46" t="s">
        <v>6163</v>
      </c>
      <c r="J16085" s="46" t="s">
        <v>134</v>
      </c>
      <c r="K16085" s="46" t="s">
        <v>126</v>
      </c>
      <c r="L16085" s="45">
        <v>46017.395833333336</v>
      </c>
      <c r="M16085" s="46" t="s">
        <v>123</v>
      </c>
      <c r="N16085" s="45">
        <v>46017.416666666664</v>
      </c>
      <c r="O16085" s="46" t="s">
        <v>123</v>
      </c>
      <c r="P16085" s="46">
        <v>1800.0</v>
      </c>
    </row>
    <row r="16086">
      <c r="A16086" s="40">
        <f t="shared" si="1"/>
        <v>46013</v>
      </c>
      <c r="B16086" s="37" t="str">
        <f t="array" ref="B16086">iferror(xlookup($I16086, 'IMPORT VHC Report'!$E:$E, 'IMPORT VHC Report'!$A:$C), )</f>
        <v/>
      </c>
      <c r="C16086" s="44"/>
      <c r="D16086" s="44"/>
      <c r="E16086" s="46" t="s">
        <v>12279</v>
      </c>
      <c r="F16086" s="46" t="s">
        <v>6161</v>
      </c>
      <c r="G16086" s="46">
        <v>1.0548609971215E13</v>
      </c>
      <c r="H16086" s="46" t="s">
        <v>6162</v>
      </c>
      <c r="I16086" s="46" t="s">
        <v>6163</v>
      </c>
      <c r="J16086" s="46" t="s">
        <v>330</v>
      </c>
      <c r="K16086" s="46" t="s">
        <v>126</v>
      </c>
      <c r="L16086" s="45">
        <v>46018.166666666664</v>
      </c>
      <c r="M16086" s="46" t="s">
        <v>123</v>
      </c>
      <c r="N16086" s="45">
        <v>46018.17361111111</v>
      </c>
      <c r="O16086" s="46" t="s">
        <v>123</v>
      </c>
      <c r="P16086" s="46">
        <v>600.0</v>
      </c>
    </row>
    <row r="16087">
      <c r="A16087" s="40">
        <f t="shared" si="1"/>
        <v>46013</v>
      </c>
      <c r="B16087" s="37" t="str">
        <f t="array" ref="B16087">iferror(xlookup($I16087, 'IMPORT VHC Report'!$E:$E, 'IMPORT VHC Report'!$A:$C), )</f>
        <v/>
      </c>
      <c r="C16087" s="44"/>
      <c r="D16087" s="44"/>
      <c r="E16087" s="46" t="s">
        <v>12280</v>
      </c>
      <c r="F16087" s="46" t="s">
        <v>6161</v>
      </c>
      <c r="G16087" s="46">
        <v>1.0548609971215E13</v>
      </c>
      <c r="H16087" s="46" t="s">
        <v>6162</v>
      </c>
      <c r="I16087" s="46" t="s">
        <v>6163</v>
      </c>
      <c r="J16087" s="46" t="s">
        <v>332</v>
      </c>
      <c r="K16087" s="46" t="s">
        <v>63</v>
      </c>
      <c r="L16087" s="45">
        <v>46018.166666666664</v>
      </c>
      <c r="M16087" s="46" t="s">
        <v>123</v>
      </c>
      <c r="N16087" s="45">
        <v>46018.541666666664</v>
      </c>
      <c r="O16087" s="46" t="s">
        <v>123</v>
      </c>
      <c r="P16087" s="46">
        <v>32400.0</v>
      </c>
    </row>
    <row r="16088">
      <c r="A16088" s="40">
        <f t="shared" si="1"/>
        <v>46013</v>
      </c>
      <c r="B16088" s="37" t="str">
        <f t="array" ref="B16088">iferror(xlookup($I16088, 'IMPORT VHC Report'!$E:$E, 'IMPORT VHC Report'!$A:$C), )</f>
        <v/>
      </c>
      <c r="C16088" s="44"/>
      <c r="D16088" s="44"/>
      <c r="E16088" s="46" t="s">
        <v>12281</v>
      </c>
      <c r="F16088" s="46" t="s">
        <v>6161</v>
      </c>
      <c r="G16088" s="46">
        <v>1.0548609971215E13</v>
      </c>
      <c r="H16088" s="46" t="s">
        <v>6162</v>
      </c>
      <c r="I16088" s="46" t="s">
        <v>6163</v>
      </c>
      <c r="J16088" s="46" t="s">
        <v>132</v>
      </c>
      <c r="K16088" s="46" t="s">
        <v>126</v>
      </c>
      <c r="L16088" s="45">
        <v>46018.229166666664</v>
      </c>
      <c r="M16088" s="46" t="s">
        <v>123</v>
      </c>
      <c r="N16088" s="45">
        <v>46018.270833333336</v>
      </c>
      <c r="O16088" s="46" t="s">
        <v>123</v>
      </c>
      <c r="P16088" s="46">
        <v>3600.0</v>
      </c>
    </row>
    <row r="16089">
      <c r="A16089" s="40">
        <f t="shared" si="1"/>
        <v>46013</v>
      </c>
      <c r="B16089" s="37" t="str">
        <f t="array" ref="B16089">iferror(xlookup($I16089, 'IMPORT VHC Report'!$E:$E, 'IMPORT VHC Report'!$A:$C), )</f>
        <v/>
      </c>
      <c r="C16089" s="44"/>
      <c r="D16089" s="44"/>
      <c r="E16089" s="46" t="s">
        <v>12282</v>
      </c>
      <c r="F16089" s="46" t="s">
        <v>6161</v>
      </c>
      <c r="G16089" s="46">
        <v>1.0548609971215E13</v>
      </c>
      <c r="H16089" s="46" t="s">
        <v>6162</v>
      </c>
      <c r="I16089" s="46" t="s">
        <v>6163</v>
      </c>
      <c r="J16089" s="46" t="s">
        <v>134</v>
      </c>
      <c r="K16089" s="46" t="s">
        <v>126</v>
      </c>
      <c r="L16089" s="45">
        <v>46018.385416666664</v>
      </c>
      <c r="M16089" s="46" t="s">
        <v>123</v>
      </c>
      <c r="N16089" s="45">
        <v>46018.40625</v>
      </c>
      <c r="O16089" s="46" t="s">
        <v>123</v>
      </c>
      <c r="P16089" s="46">
        <v>1800.0</v>
      </c>
    </row>
    <row r="16090">
      <c r="A16090" s="40">
        <f t="shared" si="1"/>
        <v>46013</v>
      </c>
      <c r="B16090" s="37" t="str">
        <f t="array" ref="B16090">iferror(xlookup($I16090, 'IMPORT VHC Report'!$E:$E, 'IMPORT VHC Report'!$A:$C), )</f>
        <v/>
      </c>
      <c r="C16090" s="44"/>
      <c r="D16090" s="44"/>
      <c r="E16090" s="46" t="s">
        <v>12283</v>
      </c>
      <c r="F16090" s="46" t="s">
        <v>6419</v>
      </c>
      <c r="G16090" s="46">
        <v>5.566843512207E12</v>
      </c>
      <c r="H16090" s="46" t="s">
        <v>6420</v>
      </c>
      <c r="I16090" s="46" t="s">
        <v>6421</v>
      </c>
      <c r="J16090" s="46" t="s">
        <v>330</v>
      </c>
      <c r="K16090" s="46" t="s">
        <v>126</v>
      </c>
      <c r="L16090" s="45">
        <v>46014.208333333336</v>
      </c>
      <c r="M16090" s="46" t="s">
        <v>123</v>
      </c>
      <c r="N16090" s="45">
        <v>46014.21527777778</v>
      </c>
      <c r="O16090" s="46" t="s">
        <v>123</v>
      </c>
      <c r="P16090" s="46">
        <v>600.0</v>
      </c>
    </row>
    <row r="16091">
      <c r="A16091" s="40">
        <f t="shared" si="1"/>
        <v>46013</v>
      </c>
      <c r="B16091" s="37" t="str">
        <f t="array" ref="B16091">iferror(xlookup($I16091, 'IMPORT VHC Report'!$E:$E, 'IMPORT VHC Report'!$A:$C), )</f>
        <v/>
      </c>
      <c r="C16091" s="44"/>
      <c r="D16091" s="44"/>
      <c r="E16091" s="46" t="s">
        <v>12284</v>
      </c>
      <c r="F16091" s="46" t="s">
        <v>6419</v>
      </c>
      <c r="G16091" s="46">
        <v>5.566843512207E12</v>
      </c>
      <c r="H16091" s="46" t="s">
        <v>6420</v>
      </c>
      <c r="I16091" s="46" t="s">
        <v>6421</v>
      </c>
      <c r="J16091" s="46" t="s">
        <v>332</v>
      </c>
      <c r="K16091" s="46" t="s">
        <v>63</v>
      </c>
      <c r="L16091" s="45">
        <v>46014.208333333336</v>
      </c>
      <c r="M16091" s="46" t="s">
        <v>123</v>
      </c>
      <c r="N16091" s="45">
        <v>46014.583333333336</v>
      </c>
      <c r="O16091" s="46" t="s">
        <v>123</v>
      </c>
      <c r="P16091" s="46">
        <v>32400.0</v>
      </c>
    </row>
    <row r="16092">
      <c r="A16092" s="40">
        <f t="shared" si="1"/>
        <v>46013</v>
      </c>
      <c r="B16092" s="37" t="str">
        <f t="array" ref="B16092">iferror(xlookup($I16092, 'IMPORT VHC Report'!$E:$E, 'IMPORT VHC Report'!$A:$C), )</f>
        <v/>
      </c>
      <c r="C16092" s="44"/>
      <c r="D16092" s="44"/>
      <c r="E16092" s="46" t="s">
        <v>12285</v>
      </c>
      <c r="F16092" s="46" t="s">
        <v>6419</v>
      </c>
      <c r="G16092" s="46">
        <v>5.566843512207E12</v>
      </c>
      <c r="H16092" s="46" t="s">
        <v>6420</v>
      </c>
      <c r="I16092" s="46" t="s">
        <v>6421</v>
      </c>
      <c r="J16092" s="46" t="s">
        <v>134</v>
      </c>
      <c r="K16092" s="46" t="s">
        <v>126</v>
      </c>
      <c r="L16092" s="45">
        <v>46014.302083333336</v>
      </c>
      <c r="M16092" s="46" t="s">
        <v>123</v>
      </c>
      <c r="N16092" s="45">
        <v>46014.322916666664</v>
      </c>
      <c r="O16092" s="46" t="s">
        <v>123</v>
      </c>
      <c r="P16092" s="46">
        <v>1800.0</v>
      </c>
    </row>
    <row r="16093">
      <c r="A16093" s="40">
        <f t="shared" si="1"/>
        <v>46013</v>
      </c>
      <c r="B16093" s="37" t="str">
        <f t="array" ref="B16093">iferror(xlookup($I16093, 'IMPORT VHC Report'!$E:$E, 'IMPORT VHC Report'!$A:$C), )</f>
        <v/>
      </c>
      <c r="C16093" s="44"/>
      <c r="D16093" s="44"/>
      <c r="E16093" s="46" t="s">
        <v>12286</v>
      </c>
      <c r="F16093" s="46" t="s">
        <v>6419</v>
      </c>
      <c r="G16093" s="46">
        <v>5.566843512207E12</v>
      </c>
      <c r="H16093" s="46" t="s">
        <v>6420</v>
      </c>
      <c r="I16093" s="46" t="s">
        <v>6421</v>
      </c>
      <c r="J16093" s="46" t="s">
        <v>132</v>
      </c>
      <c r="K16093" s="46" t="s">
        <v>126</v>
      </c>
      <c r="L16093" s="45">
        <v>46014.416666666664</v>
      </c>
      <c r="M16093" s="46" t="s">
        <v>123</v>
      </c>
      <c r="N16093" s="45">
        <v>46014.458333333336</v>
      </c>
      <c r="O16093" s="46" t="s">
        <v>123</v>
      </c>
      <c r="P16093" s="46">
        <v>3600.0</v>
      </c>
    </row>
    <row r="16094">
      <c r="A16094" s="40">
        <f t="shared" si="1"/>
        <v>46013</v>
      </c>
      <c r="B16094" s="37" t="str">
        <f t="array" ref="B16094">iferror(xlookup($I16094, 'IMPORT VHC Report'!$E:$E, 'IMPORT VHC Report'!$A:$C), )</f>
        <v/>
      </c>
      <c r="C16094" s="44"/>
      <c r="D16094" s="44"/>
      <c r="E16094" s="46" t="s">
        <v>12287</v>
      </c>
      <c r="F16094" s="46" t="s">
        <v>6419</v>
      </c>
      <c r="G16094" s="46">
        <v>5.566843512207E12</v>
      </c>
      <c r="H16094" s="46" t="s">
        <v>6420</v>
      </c>
      <c r="I16094" s="46" t="s">
        <v>6421</v>
      </c>
      <c r="J16094" s="46" t="s">
        <v>136</v>
      </c>
      <c r="K16094" s="46" t="s">
        <v>126</v>
      </c>
      <c r="L16094" s="45">
        <v>46015.208333333336</v>
      </c>
      <c r="M16094" s="46" t="s">
        <v>123</v>
      </c>
      <c r="N16094" s="45">
        <v>46015.25</v>
      </c>
      <c r="O16094" s="46" t="s">
        <v>123</v>
      </c>
      <c r="P16094" s="46">
        <v>3600.0</v>
      </c>
      <c r="S16094" s="46" t="s">
        <v>137</v>
      </c>
    </row>
    <row r="16095">
      <c r="A16095" s="40">
        <f t="shared" si="1"/>
        <v>46013</v>
      </c>
      <c r="B16095" s="37" t="str">
        <f t="array" ref="B16095">iferror(xlookup($I16095, 'IMPORT VHC Report'!$E:$E, 'IMPORT VHC Report'!$A:$C), )</f>
        <v/>
      </c>
      <c r="C16095" s="44"/>
      <c r="D16095" s="44"/>
      <c r="E16095" s="46" t="s">
        <v>12288</v>
      </c>
      <c r="F16095" s="46" t="s">
        <v>6419</v>
      </c>
      <c r="G16095" s="46">
        <v>5.566843512207E12</v>
      </c>
      <c r="H16095" s="46" t="s">
        <v>6420</v>
      </c>
      <c r="I16095" s="46" t="s">
        <v>6421</v>
      </c>
      <c r="J16095" s="46" t="s">
        <v>332</v>
      </c>
      <c r="K16095" s="46" t="s">
        <v>63</v>
      </c>
      <c r="L16095" s="45">
        <v>46015.208333333336</v>
      </c>
      <c r="M16095" s="46" t="s">
        <v>123</v>
      </c>
      <c r="N16095" s="45">
        <v>46015.583333333336</v>
      </c>
      <c r="O16095" s="46" t="s">
        <v>123</v>
      </c>
      <c r="P16095" s="46">
        <v>32400.0</v>
      </c>
    </row>
    <row r="16096">
      <c r="A16096" s="40">
        <f t="shared" si="1"/>
        <v>46013</v>
      </c>
      <c r="B16096" s="37" t="str">
        <f t="array" ref="B16096">iferror(xlookup($I16096, 'IMPORT VHC Report'!$E:$E, 'IMPORT VHC Report'!$A:$C), )</f>
        <v/>
      </c>
      <c r="C16096" s="44"/>
      <c r="D16096" s="44"/>
      <c r="E16096" s="46" t="s">
        <v>12289</v>
      </c>
      <c r="F16096" s="46" t="s">
        <v>6419</v>
      </c>
      <c r="G16096" s="46">
        <v>5.566843512207E12</v>
      </c>
      <c r="H16096" s="46" t="s">
        <v>6420</v>
      </c>
      <c r="I16096" s="46" t="s">
        <v>6421</v>
      </c>
      <c r="J16096" s="46" t="s">
        <v>330</v>
      </c>
      <c r="K16096" s="46" t="s">
        <v>126</v>
      </c>
      <c r="L16096" s="45">
        <v>46015.25</v>
      </c>
      <c r="M16096" s="46" t="s">
        <v>123</v>
      </c>
      <c r="N16096" s="45">
        <v>46015.256944444445</v>
      </c>
      <c r="O16096" s="46" t="s">
        <v>123</v>
      </c>
      <c r="P16096" s="46">
        <v>600.0</v>
      </c>
    </row>
    <row r="16097">
      <c r="A16097" s="40">
        <f t="shared" si="1"/>
        <v>46013</v>
      </c>
      <c r="B16097" s="37" t="str">
        <f t="array" ref="B16097">iferror(xlookup($I16097, 'IMPORT VHC Report'!$E:$E, 'IMPORT VHC Report'!$A:$C), )</f>
        <v/>
      </c>
      <c r="C16097" s="44"/>
      <c r="D16097" s="44"/>
      <c r="E16097" s="46" t="s">
        <v>12290</v>
      </c>
      <c r="F16097" s="46" t="s">
        <v>6419</v>
      </c>
      <c r="G16097" s="46">
        <v>5.566843512207E12</v>
      </c>
      <c r="H16097" s="46" t="s">
        <v>6420</v>
      </c>
      <c r="I16097" s="46" t="s">
        <v>6421</v>
      </c>
      <c r="J16097" s="46" t="s">
        <v>134</v>
      </c>
      <c r="K16097" s="46" t="s">
        <v>126</v>
      </c>
      <c r="L16097" s="45">
        <v>46015.322916666664</v>
      </c>
      <c r="M16097" s="46" t="s">
        <v>123</v>
      </c>
      <c r="N16097" s="45">
        <v>46015.34375</v>
      </c>
      <c r="O16097" s="46" t="s">
        <v>123</v>
      </c>
      <c r="P16097" s="46">
        <v>1800.0</v>
      </c>
    </row>
    <row r="16098">
      <c r="A16098" s="40">
        <f t="shared" si="1"/>
        <v>46013</v>
      </c>
      <c r="B16098" s="37" t="str">
        <f t="array" ref="B16098">iferror(xlookup($I16098, 'IMPORT VHC Report'!$E:$E, 'IMPORT VHC Report'!$A:$C), )</f>
        <v/>
      </c>
      <c r="C16098" s="44"/>
      <c r="D16098" s="44"/>
      <c r="E16098" s="46" t="s">
        <v>12291</v>
      </c>
      <c r="F16098" s="46" t="s">
        <v>6419</v>
      </c>
      <c r="G16098" s="46">
        <v>5.566843512207E12</v>
      </c>
      <c r="H16098" s="46" t="s">
        <v>6420</v>
      </c>
      <c r="I16098" s="46" t="s">
        <v>6421</v>
      </c>
      <c r="J16098" s="46" t="s">
        <v>132</v>
      </c>
      <c r="K16098" s="46" t="s">
        <v>126</v>
      </c>
      <c r="L16098" s="45">
        <v>46015.447916666664</v>
      </c>
      <c r="M16098" s="46" t="s">
        <v>123</v>
      </c>
      <c r="N16098" s="45">
        <v>46015.489583333336</v>
      </c>
      <c r="O16098" s="46" t="s">
        <v>123</v>
      </c>
      <c r="P16098" s="46">
        <v>3600.0</v>
      </c>
    </row>
    <row r="16099">
      <c r="A16099" s="40">
        <f t="shared" si="1"/>
        <v>46013</v>
      </c>
      <c r="B16099" s="37" t="str">
        <f t="array" ref="B16099">iferror(xlookup($I16099, 'IMPORT VHC Report'!$E:$E, 'IMPORT VHC Report'!$A:$C), )</f>
        <v/>
      </c>
      <c r="C16099" s="44"/>
      <c r="D16099" s="44"/>
      <c r="E16099" s="46" t="s">
        <v>12292</v>
      </c>
      <c r="F16099" s="46" t="s">
        <v>6419</v>
      </c>
      <c r="G16099" s="46">
        <v>5.566843512207E12</v>
      </c>
      <c r="H16099" s="46" t="s">
        <v>6420</v>
      </c>
      <c r="I16099" s="46" t="s">
        <v>6421</v>
      </c>
      <c r="J16099" s="46" t="s">
        <v>330</v>
      </c>
      <c r="K16099" s="46" t="s">
        <v>126</v>
      </c>
      <c r="L16099" s="45">
        <v>46016.208333333336</v>
      </c>
      <c r="M16099" s="46" t="s">
        <v>123</v>
      </c>
      <c r="N16099" s="45">
        <v>46016.21527777778</v>
      </c>
      <c r="O16099" s="46" t="s">
        <v>123</v>
      </c>
      <c r="P16099" s="46">
        <v>600.0</v>
      </c>
    </row>
    <row r="16100">
      <c r="A16100" s="40">
        <f t="shared" si="1"/>
        <v>46013</v>
      </c>
      <c r="B16100" s="37" t="str">
        <f t="array" ref="B16100">iferror(xlookup($I16100, 'IMPORT VHC Report'!$E:$E, 'IMPORT VHC Report'!$A:$C), )</f>
        <v/>
      </c>
      <c r="C16100" s="44"/>
      <c r="D16100" s="44"/>
      <c r="E16100" s="46" t="s">
        <v>12293</v>
      </c>
      <c r="F16100" s="46" t="s">
        <v>6419</v>
      </c>
      <c r="G16100" s="46">
        <v>5.566843512207E12</v>
      </c>
      <c r="H16100" s="46" t="s">
        <v>6420</v>
      </c>
      <c r="I16100" s="46" t="s">
        <v>6421</v>
      </c>
      <c r="J16100" s="46" t="s">
        <v>332</v>
      </c>
      <c r="K16100" s="46" t="s">
        <v>63</v>
      </c>
      <c r="L16100" s="45">
        <v>46016.208333333336</v>
      </c>
      <c r="M16100" s="46" t="s">
        <v>123</v>
      </c>
      <c r="N16100" s="45">
        <v>46016.583333333336</v>
      </c>
      <c r="O16100" s="46" t="s">
        <v>123</v>
      </c>
      <c r="P16100" s="46">
        <v>32400.0</v>
      </c>
    </row>
    <row r="16101">
      <c r="A16101" s="40">
        <f t="shared" si="1"/>
        <v>46013</v>
      </c>
      <c r="B16101" s="37" t="str">
        <f t="array" ref="B16101">iferror(xlookup($I16101, 'IMPORT VHC Report'!$E:$E, 'IMPORT VHC Report'!$A:$C), )</f>
        <v/>
      </c>
      <c r="C16101" s="44"/>
      <c r="D16101" s="44"/>
      <c r="E16101" s="46" t="s">
        <v>12294</v>
      </c>
      <c r="F16101" s="46" t="s">
        <v>6419</v>
      </c>
      <c r="G16101" s="46">
        <v>5.566843512207E12</v>
      </c>
      <c r="H16101" s="46" t="s">
        <v>6420</v>
      </c>
      <c r="I16101" s="46" t="s">
        <v>6421</v>
      </c>
      <c r="J16101" s="46" t="s">
        <v>134</v>
      </c>
      <c r="K16101" s="46" t="s">
        <v>126</v>
      </c>
      <c r="L16101" s="45">
        <v>46016.302083333336</v>
      </c>
      <c r="M16101" s="46" t="s">
        <v>123</v>
      </c>
      <c r="N16101" s="45">
        <v>46016.322916666664</v>
      </c>
      <c r="O16101" s="46" t="s">
        <v>123</v>
      </c>
      <c r="P16101" s="46">
        <v>1800.0</v>
      </c>
    </row>
    <row r="16102">
      <c r="A16102" s="40">
        <f t="shared" si="1"/>
        <v>46013</v>
      </c>
      <c r="B16102" s="37" t="str">
        <f t="array" ref="B16102">iferror(xlookup($I16102, 'IMPORT VHC Report'!$E:$E, 'IMPORT VHC Report'!$A:$C), )</f>
        <v/>
      </c>
      <c r="C16102" s="44"/>
      <c r="D16102" s="44"/>
      <c r="E16102" s="46" t="s">
        <v>12295</v>
      </c>
      <c r="F16102" s="46" t="s">
        <v>6419</v>
      </c>
      <c r="G16102" s="46">
        <v>5.566843512207E12</v>
      </c>
      <c r="H16102" s="46" t="s">
        <v>6420</v>
      </c>
      <c r="I16102" s="46" t="s">
        <v>6421</v>
      </c>
      <c r="J16102" s="46" t="s">
        <v>132</v>
      </c>
      <c r="K16102" s="46" t="s">
        <v>126</v>
      </c>
      <c r="L16102" s="45">
        <v>46016.4375</v>
      </c>
      <c r="M16102" s="46" t="s">
        <v>123</v>
      </c>
      <c r="N16102" s="45">
        <v>46016.479166666664</v>
      </c>
      <c r="O16102" s="46" t="s">
        <v>123</v>
      </c>
      <c r="P16102" s="46">
        <v>3600.0</v>
      </c>
    </row>
    <row r="16103">
      <c r="A16103" s="40">
        <f t="shared" si="1"/>
        <v>46013</v>
      </c>
      <c r="B16103" s="37" t="str">
        <f t="array" ref="B16103">iferror(xlookup($I16103, 'IMPORT VHC Report'!$E:$E, 'IMPORT VHC Report'!$A:$C), )</f>
        <v/>
      </c>
      <c r="C16103" s="44"/>
      <c r="D16103" s="44"/>
      <c r="E16103" s="46" t="s">
        <v>12296</v>
      </c>
      <c r="F16103" s="46" t="s">
        <v>6419</v>
      </c>
      <c r="G16103" s="46">
        <v>5.566843512207E12</v>
      </c>
      <c r="H16103" s="46" t="s">
        <v>6420</v>
      </c>
      <c r="I16103" s="46" t="s">
        <v>6421</v>
      </c>
      <c r="J16103" s="46" t="s">
        <v>330</v>
      </c>
      <c r="K16103" s="46" t="s">
        <v>126</v>
      </c>
      <c r="L16103" s="45">
        <v>46017.208333333336</v>
      </c>
      <c r="M16103" s="46" t="s">
        <v>123</v>
      </c>
      <c r="N16103" s="45">
        <v>46017.21527777778</v>
      </c>
      <c r="O16103" s="46" t="s">
        <v>123</v>
      </c>
      <c r="P16103" s="46">
        <v>600.0</v>
      </c>
    </row>
    <row r="16104">
      <c r="A16104" s="40">
        <f t="shared" si="1"/>
        <v>46013</v>
      </c>
      <c r="B16104" s="37" t="str">
        <f t="array" ref="B16104">iferror(xlookup($I16104, 'IMPORT VHC Report'!$E:$E, 'IMPORT VHC Report'!$A:$C), )</f>
        <v/>
      </c>
      <c r="C16104" s="44"/>
      <c r="D16104" s="44"/>
      <c r="E16104" s="46" t="s">
        <v>12297</v>
      </c>
      <c r="F16104" s="46" t="s">
        <v>6419</v>
      </c>
      <c r="G16104" s="46">
        <v>5.566843512207E12</v>
      </c>
      <c r="H16104" s="46" t="s">
        <v>6420</v>
      </c>
      <c r="I16104" s="46" t="s">
        <v>6421</v>
      </c>
      <c r="J16104" s="46" t="s">
        <v>332</v>
      </c>
      <c r="K16104" s="46" t="s">
        <v>63</v>
      </c>
      <c r="L16104" s="45">
        <v>46017.208333333336</v>
      </c>
      <c r="M16104" s="46" t="s">
        <v>123</v>
      </c>
      <c r="N16104" s="45">
        <v>46017.583333333336</v>
      </c>
      <c r="O16104" s="46" t="s">
        <v>123</v>
      </c>
      <c r="P16104" s="46">
        <v>32400.0</v>
      </c>
    </row>
    <row r="16105">
      <c r="A16105" s="40">
        <f t="shared" si="1"/>
        <v>46013</v>
      </c>
      <c r="B16105" s="37" t="str">
        <f t="array" ref="B16105">iferror(xlookup($I16105, 'IMPORT VHC Report'!$E:$E, 'IMPORT VHC Report'!$A:$C), )</f>
        <v/>
      </c>
      <c r="C16105" s="44"/>
      <c r="D16105" s="44"/>
      <c r="E16105" s="46" t="s">
        <v>12298</v>
      </c>
      <c r="F16105" s="46" t="s">
        <v>6419</v>
      </c>
      <c r="G16105" s="46">
        <v>5.566843512207E12</v>
      </c>
      <c r="H16105" s="46" t="s">
        <v>6420</v>
      </c>
      <c r="I16105" s="46" t="s">
        <v>6421</v>
      </c>
      <c r="J16105" s="46" t="s">
        <v>132</v>
      </c>
      <c r="K16105" s="46" t="s">
        <v>126</v>
      </c>
      <c r="L16105" s="45">
        <v>46017.3125</v>
      </c>
      <c r="M16105" s="46" t="s">
        <v>123</v>
      </c>
      <c r="N16105" s="45">
        <v>46017.354166666664</v>
      </c>
      <c r="O16105" s="46" t="s">
        <v>123</v>
      </c>
      <c r="P16105" s="46">
        <v>3600.0</v>
      </c>
    </row>
    <row r="16106">
      <c r="A16106" s="40">
        <f t="shared" si="1"/>
        <v>46013</v>
      </c>
      <c r="B16106" s="37" t="str">
        <f t="array" ref="B16106">iferror(xlookup($I16106, 'IMPORT VHC Report'!$E:$E, 'IMPORT VHC Report'!$A:$C), )</f>
        <v/>
      </c>
      <c r="C16106" s="44"/>
      <c r="D16106" s="44"/>
      <c r="E16106" s="46" t="s">
        <v>12299</v>
      </c>
      <c r="F16106" s="46" t="s">
        <v>6419</v>
      </c>
      <c r="G16106" s="46">
        <v>5.566843512207E12</v>
      </c>
      <c r="H16106" s="46" t="s">
        <v>6420</v>
      </c>
      <c r="I16106" s="46" t="s">
        <v>6421</v>
      </c>
      <c r="J16106" s="46" t="s">
        <v>134</v>
      </c>
      <c r="K16106" s="46" t="s">
        <v>126</v>
      </c>
      <c r="L16106" s="45">
        <v>46017.479166666664</v>
      </c>
      <c r="M16106" s="46" t="s">
        <v>123</v>
      </c>
      <c r="N16106" s="45">
        <v>46017.5</v>
      </c>
      <c r="O16106" s="46" t="s">
        <v>123</v>
      </c>
      <c r="P16106" s="46">
        <v>1800.0</v>
      </c>
    </row>
    <row r="16107">
      <c r="A16107" s="40">
        <f t="shared" si="1"/>
        <v>46013</v>
      </c>
      <c r="B16107" s="37" t="str">
        <f t="array" ref="B16107">iferror(xlookup($I16107, 'IMPORT VHC Report'!$E:$E, 'IMPORT VHC Report'!$A:$C), )</f>
        <v/>
      </c>
      <c r="C16107" s="44"/>
      <c r="D16107" s="44"/>
      <c r="E16107" s="46" t="s">
        <v>12300</v>
      </c>
      <c r="F16107" s="46" t="s">
        <v>6419</v>
      </c>
      <c r="G16107" s="46">
        <v>5.566843512207E12</v>
      </c>
      <c r="H16107" s="46" t="s">
        <v>6420</v>
      </c>
      <c r="I16107" s="46" t="s">
        <v>6421</v>
      </c>
      <c r="J16107" s="46" t="s">
        <v>332</v>
      </c>
      <c r="K16107" s="46" t="s">
        <v>63</v>
      </c>
      <c r="L16107" s="45">
        <v>46018.166666666664</v>
      </c>
      <c r="M16107" s="46" t="s">
        <v>123</v>
      </c>
      <c r="N16107" s="45">
        <v>46018.541666666664</v>
      </c>
      <c r="O16107" s="46" t="s">
        <v>123</v>
      </c>
      <c r="P16107" s="46">
        <v>32400.0</v>
      </c>
    </row>
    <row r="16108">
      <c r="A16108" s="40">
        <f t="shared" si="1"/>
        <v>46013</v>
      </c>
      <c r="B16108" s="37" t="str">
        <f t="array" ref="B16108">iferror(xlookup($I16108, 'IMPORT VHC Report'!$E:$E, 'IMPORT VHC Report'!$A:$C), )</f>
        <v/>
      </c>
      <c r="C16108" s="44"/>
      <c r="D16108" s="44"/>
      <c r="E16108" s="46" t="s">
        <v>12301</v>
      </c>
      <c r="F16108" s="46" t="s">
        <v>6419</v>
      </c>
      <c r="G16108" s="46">
        <v>5.566843512207E12</v>
      </c>
      <c r="H16108" s="46" t="s">
        <v>6420</v>
      </c>
      <c r="I16108" s="46" t="s">
        <v>6421</v>
      </c>
      <c r="J16108" s="46" t="s">
        <v>330</v>
      </c>
      <c r="K16108" s="46" t="s">
        <v>126</v>
      </c>
      <c r="L16108" s="45">
        <v>46018.208333333336</v>
      </c>
      <c r="M16108" s="46" t="s">
        <v>123</v>
      </c>
      <c r="N16108" s="45">
        <v>46018.21527777778</v>
      </c>
      <c r="O16108" s="46" t="s">
        <v>123</v>
      </c>
      <c r="P16108" s="46">
        <v>600.0</v>
      </c>
    </row>
    <row r="16109">
      <c r="A16109" s="40">
        <f t="shared" si="1"/>
        <v>46013</v>
      </c>
      <c r="B16109" s="37" t="str">
        <f t="array" ref="B16109">iferror(xlookup($I16109, 'IMPORT VHC Report'!$E:$E, 'IMPORT VHC Report'!$A:$C), )</f>
        <v/>
      </c>
      <c r="C16109" s="44"/>
      <c r="D16109" s="44"/>
      <c r="E16109" s="46" t="s">
        <v>12302</v>
      </c>
      <c r="F16109" s="46" t="s">
        <v>6419</v>
      </c>
      <c r="G16109" s="46">
        <v>5.566843512207E12</v>
      </c>
      <c r="H16109" s="46" t="s">
        <v>6420</v>
      </c>
      <c r="I16109" s="46" t="s">
        <v>6421</v>
      </c>
      <c r="J16109" s="46" t="s">
        <v>132</v>
      </c>
      <c r="K16109" s="46" t="s">
        <v>126</v>
      </c>
      <c r="L16109" s="45">
        <v>46018.3125</v>
      </c>
      <c r="M16109" s="46" t="s">
        <v>123</v>
      </c>
      <c r="N16109" s="45">
        <v>46018.354166666664</v>
      </c>
      <c r="O16109" s="46" t="s">
        <v>123</v>
      </c>
      <c r="P16109" s="46">
        <v>3600.0</v>
      </c>
    </row>
    <row r="16110">
      <c r="A16110" s="40">
        <f t="shared" si="1"/>
        <v>46013</v>
      </c>
      <c r="B16110" s="37" t="str">
        <f t="array" ref="B16110">iferror(xlookup($I16110, 'IMPORT VHC Report'!$E:$E, 'IMPORT VHC Report'!$A:$C), )</f>
        <v/>
      </c>
      <c r="C16110" s="44"/>
      <c r="D16110" s="44"/>
      <c r="E16110" s="46" t="s">
        <v>12303</v>
      </c>
      <c r="F16110" s="46" t="s">
        <v>6419</v>
      </c>
      <c r="G16110" s="46">
        <v>5.566843512207E12</v>
      </c>
      <c r="H16110" s="46" t="s">
        <v>6420</v>
      </c>
      <c r="I16110" s="46" t="s">
        <v>6421</v>
      </c>
      <c r="J16110" s="46" t="s">
        <v>134</v>
      </c>
      <c r="K16110" s="46" t="s">
        <v>126</v>
      </c>
      <c r="L16110" s="45">
        <v>46018.4375</v>
      </c>
      <c r="M16110" s="46" t="s">
        <v>123</v>
      </c>
      <c r="N16110" s="45">
        <v>46018.458333333336</v>
      </c>
      <c r="O16110" s="46" t="s">
        <v>123</v>
      </c>
      <c r="P16110" s="46">
        <v>1800.0</v>
      </c>
    </row>
    <row r="16111">
      <c r="A16111" s="40">
        <f t="shared" si="1"/>
        <v>46013</v>
      </c>
      <c r="B16111" s="37" t="str">
        <f t="array" ref="B16111">iferror(xlookup($I16111, 'IMPORT VHC Report'!$E:$E, 'IMPORT VHC Report'!$A:$C), )</f>
        <v/>
      </c>
      <c r="C16111" s="44"/>
      <c r="D16111" s="44"/>
      <c r="E16111" s="46" t="s">
        <v>12304</v>
      </c>
      <c r="F16111" s="46" t="s">
        <v>6419</v>
      </c>
      <c r="G16111" s="46">
        <v>5.566843512207E12</v>
      </c>
      <c r="H16111" s="46" t="s">
        <v>6420</v>
      </c>
      <c r="I16111" s="46" t="s">
        <v>6421</v>
      </c>
      <c r="J16111" s="46" t="s">
        <v>332</v>
      </c>
      <c r="K16111" s="46" t="s">
        <v>63</v>
      </c>
      <c r="L16111" s="45">
        <v>46018.541666666664</v>
      </c>
      <c r="M16111" s="46" t="s">
        <v>123</v>
      </c>
      <c r="N16111" s="45">
        <v>46018.583333333336</v>
      </c>
      <c r="O16111" s="46" t="s">
        <v>123</v>
      </c>
      <c r="P16111" s="46">
        <v>3600.0</v>
      </c>
    </row>
    <row r="16112">
      <c r="A16112" s="40">
        <f t="shared" si="1"/>
        <v>46013</v>
      </c>
      <c r="B16112" s="37" t="str">
        <f t="array" ref="B16112">iferror(xlookup($I16112, 'IMPORT VHC Report'!$E:$E, 'IMPORT VHC Report'!$A:$C), )</f>
        <v/>
      </c>
      <c r="C16112" s="44"/>
      <c r="D16112" s="44"/>
      <c r="E16112" s="46" t="s">
        <v>12305</v>
      </c>
      <c r="F16112" s="46" t="s">
        <v>6959</v>
      </c>
      <c r="G16112" s="46">
        <v>5.359189606799E12</v>
      </c>
      <c r="H16112" s="46" t="s">
        <v>6960</v>
      </c>
      <c r="I16112" s="46" t="s">
        <v>6961</v>
      </c>
      <c r="J16112" s="46" t="s">
        <v>330</v>
      </c>
      <c r="K16112" s="46" t="s">
        <v>126</v>
      </c>
      <c r="L16112" s="45">
        <v>46014.5</v>
      </c>
      <c r="M16112" s="46" t="s">
        <v>123</v>
      </c>
      <c r="N16112" s="45">
        <v>46014.506944444445</v>
      </c>
      <c r="O16112" s="46" t="s">
        <v>123</v>
      </c>
      <c r="P16112" s="46">
        <v>600.0</v>
      </c>
    </row>
    <row r="16113">
      <c r="A16113" s="40">
        <f t="shared" si="1"/>
        <v>46013</v>
      </c>
      <c r="B16113" s="37" t="str">
        <f t="array" ref="B16113">iferror(xlookup($I16113, 'IMPORT VHC Report'!$E:$E, 'IMPORT VHC Report'!$A:$C), )</f>
        <v/>
      </c>
      <c r="C16113" s="44"/>
      <c r="D16113" s="44"/>
      <c r="E16113" s="46" t="s">
        <v>12306</v>
      </c>
      <c r="F16113" s="46" t="s">
        <v>6959</v>
      </c>
      <c r="G16113" s="46">
        <v>5.359189606799E12</v>
      </c>
      <c r="H16113" s="46" t="s">
        <v>6960</v>
      </c>
      <c r="I16113" s="46" t="s">
        <v>6961</v>
      </c>
      <c r="J16113" s="46" t="s">
        <v>152</v>
      </c>
      <c r="K16113" s="46" t="s">
        <v>153</v>
      </c>
      <c r="L16113" s="45">
        <v>46014.5</v>
      </c>
      <c r="M16113" s="46" t="s">
        <v>123</v>
      </c>
      <c r="N16113" s="45">
        <v>46014.875</v>
      </c>
      <c r="O16113" s="46" t="s">
        <v>123</v>
      </c>
      <c r="P16113" s="46">
        <v>32400.0</v>
      </c>
      <c r="Q16113" s="46">
        <v>32400.0</v>
      </c>
    </row>
    <row r="16114">
      <c r="A16114" s="40">
        <f t="shared" si="1"/>
        <v>46013</v>
      </c>
      <c r="B16114" s="37" t="str">
        <f t="array" ref="B16114">iferror(xlookup($I16114, 'IMPORT VHC Report'!$E:$E, 'IMPORT VHC Report'!$A:$C), )</f>
        <v/>
      </c>
      <c r="C16114" s="44"/>
      <c r="D16114" s="44"/>
      <c r="E16114" s="46" t="s">
        <v>12307</v>
      </c>
      <c r="F16114" s="46" t="s">
        <v>6959</v>
      </c>
      <c r="G16114" s="46">
        <v>5.359189606799E12</v>
      </c>
      <c r="H16114" s="46" t="s">
        <v>6960</v>
      </c>
      <c r="I16114" s="46" t="s">
        <v>6961</v>
      </c>
      <c r="J16114" s="46" t="s">
        <v>132</v>
      </c>
      <c r="K16114" s="46" t="s">
        <v>126</v>
      </c>
      <c r="L16114" s="45">
        <v>46014.635416666664</v>
      </c>
      <c r="M16114" s="46" t="s">
        <v>123</v>
      </c>
      <c r="N16114" s="45">
        <v>46014.677083333336</v>
      </c>
      <c r="O16114" s="46" t="s">
        <v>123</v>
      </c>
      <c r="P16114" s="46">
        <v>3600.0</v>
      </c>
    </row>
    <row r="16115">
      <c r="A16115" s="40">
        <f t="shared" si="1"/>
        <v>46013</v>
      </c>
      <c r="B16115" s="37" t="str">
        <f t="array" ref="B16115">iferror(xlookup($I16115, 'IMPORT VHC Report'!$E:$E, 'IMPORT VHC Report'!$A:$C), )</f>
        <v/>
      </c>
      <c r="C16115" s="44"/>
      <c r="D16115" s="44"/>
      <c r="E16115" s="46" t="s">
        <v>12308</v>
      </c>
      <c r="F16115" s="46" t="s">
        <v>6959</v>
      </c>
      <c r="G16115" s="46">
        <v>5.359189606799E12</v>
      </c>
      <c r="H16115" s="46" t="s">
        <v>6960</v>
      </c>
      <c r="I16115" s="46" t="s">
        <v>6961</v>
      </c>
      <c r="J16115" s="46" t="s">
        <v>134</v>
      </c>
      <c r="K16115" s="46" t="s">
        <v>126</v>
      </c>
      <c r="L16115" s="45">
        <v>46014.78125</v>
      </c>
      <c r="M16115" s="46" t="s">
        <v>123</v>
      </c>
      <c r="N16115" s="45">
        <v>46014.802083333336</v>
      </c>
      <c r="O16115" s="46" t="s">
        <v>123</v>
      </c>
      <c r="P16115" s="46">
        <v>1800.0</v>
      </c>
    </row>
    <row r="16116">
      <c r="A16116" s="40">
        <f t="shared" si="1"/>
        <v>46013</v>
      </c>
      <c r="B16116" s="37" t="str">
        <f t="array" ref="B16116">iferror(xlookup($I16116, 'IMPORT VHC Report'!$E:$E, 'IMPORT VHC Report'!$A:$C), )</f>
        <v/>
      </c>
      <c r="C16116" s="44"/>
      <c r="D16116" s="44"/>
      <c r="E16116" s="46" t="s">
        <v>12309</v>
      </c>
      <c r="F16116" s="46" t="s">
        <v>6959</v>
      </c>
      <c r="G16116" s="46">
        <v>5.359189606799E12</v>
      </c>
      <c r="H16116" s="46" t="s">
        <v>6960</v>
      </c>
      <c r="I16116" s="46" t="s">
        <v>6961</v>
      </c>
      <c r="J16116" s="46" t="s">
        <v>330</v>
      </c>
      <c r="K16116" s="46" t="s">
        <v>126</v>
      </c>
      <c r="L16116" s="45">
        <v>46015.5</v>
      </c>
      <c r="M16116" s="46" t="s">
        <v>123</v>
      </c>
      <c r="N16116" s="45">
        <v>46015.506944444445</v>
      </c>
      <c r="O16116" s="46" t="s">
        <v>123</v>
      </c>
      <c r="P16116" s="46">
        <v>600.0</v>
      </c>
    </row>
    <row r="16117">
      <c r="A16117" s="40">
        <f t="shared" si="1"/>
        <v>46013</v>
      </c>
      <c r="B16117" s="37" t="str">
        <f t="array" ref="B16117">iferror(xlookup($I16117, 'IMPORT VHC Report'!$E:$E, 'IMPORT VHC Report'!$A:$C), )</f>
        <v/>
      </c>
      <c r="C16117" s="44"/>
      <c r="D16117" s="44"/>
      <c r="E16117" s="46" t="s">
        <v>12310</v>
      </c>
      <c r="F16117" s="46" t="s">
        <v>6959</v>
      </c>
      <c r="G16117" s="46">
        <v>5.359189606799E12</v>
      </c>
      <c r="H16117" s="46" t="s">
        <v>6960</v>
      </c>
      <c r="I16117" s="46" t="s">
        <v>6961</v>
      </c>
      <c r="J16117" s="46" t="s">
        <v>332</v>
      </c>
      <c r="K16117" s="46" t="s">
        <v>63</v>
      </c>
      <c r="L16117" s="45">
        <v>46015.5</v>
      </c>
      <c r="M16117" s="46" t="s">
        <v>123</v>
      </c>
      <c r="N16117" s="45">
        <v>46015.875</v>
      </c>
      <c r="O16117" s="46" t="s">
        <v>123</v>
      </c>
      <c r="P16117" s="46">
        <v>32400.0</v>
      </c>
    </row>
    <row r="16118">
      <c r="A16118" s="40">
        <f t="shared" si="1"/>
        <v>46013</v>
      </c>
      <c r="B16118" s="37" t="str">
        <f t="array" ref="B16118">iferror(xlookup($I16118, 'IMPORT VHC Report'!$E:$E, 'IMPORT VHC Report'!$A:$C), )</f>
        <v/>
      </c>
      <c r="C16118" s="44"/>
      <c r="D16118" s="44"/>
      <c r="E16118" s="46" t="s">
        <v>12311</v>
      </c>
      <c r="F16118" s="46" t="s">
        <v>6959</v>
      </c>
      <c r="G16118" s="46">
        <v>5.359189606799E12</v>
      </c>
      <c r="H16118" s="46" t="s">
        <v>6960</v>
      </c>
      <c r="I16118" s="46" t="s">
        <v>6961</v>
      </c>
      <c r="J16118" s="46" t="s">
        <v>132</v>
      </c>
      <c r="K16118" s="46" t="s">
        <v>126</v>
      </c>
      <c r="L16118" s="45">
        <v>46015.614583333336</v>
      </c>
      <c r="M16118" s="46" t="s">
        <v>123</v>
      </c>
      <c r="N16118" s="45">
        <v>46015.65625</v>
      </c>
      <c r="O16118" s="46" t="s">
        <v>123</v>
      </c>
      <c r="P16118" s="46">
        <v>3600.0</v>
      </c>
    </row>
    <row r="16119">
      <c r="A16119" s="40">
        <f t="shared" si="1"/>
        <v>46013</v>
      </c>
      <c r="B16119" s="37" t="str">
        <f t="array" ref="B16119">iferror(xlookup($I16119, 'IMPORT VHC Report'!$E:$E, 'IMPORT VHC Report'!$A:$C), )</f>
        <v/>
      </c>
      <c r="C16119" s="44"/>
      <c r="D16119" s="44"/>
      <c r="E16119" s="46" t="s">
        <v>12312</v>
      </c>
      <c r="F16119" s="46" t="s">
        <v>6959</v>
      </c>
      <c r="G16119" s="46">
        <v>5.359189606799E12</v>
      </c>
      <c r="H16119" s="46" t="s">
        <v>6960</v>
      </c>
      <c r="I16119" s="46" t="s">
        <v>6961</v>
      </c>
      <c r="J16119" s="46" t="s">
        <v>136</v>
      </c>
      <c r="K16119" s="46" t="s">
        <v>126</v>
      </c>
      <c r="L16119" s="45">
        <v>46015.65625</v>
      </c>
      <c r="M16119" s="46" t="s">
        <v>123</v>
      </c>
      <c r="N16119" s="45">
        <v>46015.663194444445</v>
      </c>
      <c r="O16119" s="46" t="s">
        <v>123</v>
      </c>
      <c r="P16119" s="46">
        <v>600.0</v>
      </c>
    </row>
    <row r="16120">
      <c r="A16120" s="40">
        <f t="shared" si="1"/>
        <v>46013</v>
      </c>
      <c r="B16120" s="37" t="str">
        <f t="array" ref="B16120">iferror(xlookup($I16120, 'IMPORT VHC Report'!$E:$E, 'IMPORT VHC Report'!$A:$C), )</f>
        <v/>
      </c>
      <c r="C16120" s="44"/>
      <c r="D16120" s="44"/>
      <c r="E16120" s="46" t="s">
        <v>12313</v>
      </c>
      <c r="F16120" s="46" t="s">
        <v>6959</v>
      </c>
      <c r="G16120" s="46">
        <v>5.359189606799E12</v>
      </c>
      <c r="H16120" s="46" t="s">
        <v>6960</v>
      </c>
      <c r="I16120" s="46" t="s">
        <v>6961</v>
      </c>
      <c r="J16120" s="46" t="s">
        <v>134</v>
      </c>
      <c r="K16120" s="46" t="s">
        <v>126</v>
      </c>
      <c r="L16120" s="45">
        <v>46015.78125</v>
      </c>
      <c r="M16120" s="46" t="s">
        <v>123</v>
      </c>
      <c r="N16120" s="45">
        <v>46015.802083333336</v>
      </c>
      <c r="O16120" s="46" t="s">
        <v>123</v>
      </c>
      <c r="P16120" s="46">
        <v>1800.0</v>
      </c>
    </row>
    <row r="16121">
      <c r="A16121" s="40">
        <f t="shared" si="1"/>
        <v>46013</v>
      </c>
      <c r="B16121" s="37" t="str">
        <f t="array" ref="B16121">iferror(xlookup($I16121, 'IMPORT VHC Report'!$E:$E, 'IMPORT VHC Report'!$A:$C), )</f>
        <v/>
      </c>
      <c r="C16121" s="44"/>
      <c r="D16121" s="44"/>
      <c r="E16121" s="46" t="s">
        <v>12314</v>
      </c>
      <c r="F16121" s="46" t="s">
        <v>6959</v>
      </c>
      <c r="G16121" s="46">
        <v>5.359189606799E12</v>
      </c>
      <c r="H16121" s="46" t="s">
        <v>6960</v>
      </c>
      <c r="I16121" s="46" t="s">
        <v>6961</v>
      </c>
      <c r="J16121" s="46" t="s">
        <v>330</v>
      </c>
      <c r="K16121" s="46" t="s">
        <v>126</v>
      </c>
      <c r="L16121" s="45">
        <v>46016.5</v>
      </c>
      <c r="M16121" s="46" t="s">
        <v>123</v>
      </c>
      <c r="N16121" s="45">
        <v>46016.506944444445</v>
      </c>
      <c r="O16121" s="46" t="s">
        <v>123</v>
      </c>
      <c r="P16121" s="46">
        <v>600.0</v>
      </c>
    </row>
    <row r="16122">
      <c r="A16122" s="40">
        <f t="shared" si="1"/>
        <v>46013</v>
      </c>
      <c r="B16122" s="37" t="str">
        <f t="array" ref="B16122">iferror(xlookup($I16122, 'IMPORT VHC Report'!$E:$E, 'IMPORT VHC Report'!$A:$C), )</f>
        <v/>
      </c>
      <c r="C16122" s="44"/>
      <c r="D16122" s="44"/>
      <c r="E16122" s="46" t="s">
        <v>12315</v>
      </c>
      <c r="F16122" s="46" t="s">
        <v>6959</v>
      </c>
      <c r="G16122" s="46">
        <v>5.359189606799E12</v>
      </c>
      <c r="H16122" s="46" t="s">
        <v>6960</v>
      </c>
      <c r="I16122" s="46" t="s">
        <v>6961</v>
      </c>
      <c r="J16122" s="46" t="s">
        <v>332</v>
      </c>
      <c r="K16122" s="46" t="s">
        <v>63</v>
      </c>
      <c r="L16122" s="45">
        <v>46016.5</v>
      </c>
      <c r="M16122" s="46" t="s">
        <v>123</v>
      </c>
      <c r="N16122" s="45">
        <v>46016.875</v>
      </c>
      <c r="O16122" s="46" t="s">
        <v>123</v>
      </c>
      <c r="P16122" s="46">
        <v>32400.0</v>
      </c>
    </row>
    <row r="16123">
      <c r="A16123" s="40">
        <f t="shared" si="1"/>
        <v>46013</v>
      </c>
      <c r="B16123" s="37" t="str">
        <f t="array" ref="B16123">iferror(xlookup($I16123, 'IMPORT VHC Report'!$E:$E, 'IMPORT VHC Report'!$A:$C), )</f>
        <v/>
      </c>
      <c r="C16123" s="44"/>
      <c r="D16123" s="44"/>
      <c r="E16123" s="46" t="s">
        <v>12316</v>
      </c>
      <c r="F16123" s="46" t="s">
        <v>6959</v>
      </c>
      <c r="G16123" s="46">
        <v>5.359189606799E12</v>
      </c>
      <c r="H16123" s="46" t="s">
        <v>6960</v>
      </c>
      <c r="I16123" s="46" t="s">
        <v>6961</v>
      </c>
      <c r="J16123" s="46" t="s">
        <v>132</v>
      </c>
      <c r="K16123" s="46" t="s">
        <v>126</v>
      </c>
      <c r="L16123" s="45">
        <v>46016.604166666664</v>
      </c>
      <c r="M16123" s="46" t="s">
        <v>123</v>
      </c>
      <c r="N16123" s="45">
        <v>46016.645833333336</v>
      </c>
      <c r="O16123" s="46" t="s">
        <v>123</v>
      </c>
      <c r="P16123" s="46">
        <v>3600.0</v>
      </c>
    </row>
    <row r="16124">
      <c r="A16124" s="40">
        <f t="shared" si="1"/>
        <v>46013</v>
      </c>
      <c r="B16124" s="37" t="str">
        <f t="array" ref="B16124">iferror(xlookup($I16124, 'IMPORT VHC Report'!$E:$E, 'IMPORT VHC Report'!$A:$C), )</f>
        <v/>
      </c>
      <c r="C16124" s="44"/>
      <c r="D16124" s="44"/>
      <c r="E16124" s="46" t="s">
        <v>12317</v>
      </c>
      <c r="F16124" s="46" t="s">
        <v>6959</v>
      </c>
      <c r="G16124" s="46">
        <v>5.359189606799E12</v>
      </c>
      <c r="H16124" s="46" t="s">
        <v>6960</v>
      </c>
      <c r="I16124" s="46" t="s">
        <v>6961</v>
      </c>
      <c r="J16124" s="46" t="s">
        <v>134</v>
      </c>
      <c r="K16124" s="46" t="s">
        <v>126</v>
      </c>
      <c r="L16124" s="45">
        <v>46016.78125</v>
      </c>
      <c r="M16124" s="46" t="s">
        <v>123</v>
      </c>
      <c r="N16124" s="45">
        <v>46016.802083333336</v>
      </c>
      <c r="O16124" s="46" t="s">
        <v>123</v>
      </c>
      <c r="P16124" s="46">
        <v>1800.0</v>
      </c>
    </row>
    <row r="16125">
      <c r="A16125" s="40">
        <f t="shared" si="1"/>
        <v>46013</v>
      </c>
      <c r="B16125" s="37" t="str">
        <f t="array" ref="B16125">iferror(xlookup($I16125, 'IMPORT VHC Report'!$E:$E, 'IMPORT VHC Report'!$A:$C), )</f>
        <v/>
      </c>
      <c r="C16125" s="44"/>
      <c r="D16125" s="44"/>
      <c r="E16125" s="46" t="s">
        <v>12318</v>
      </c>
      <c r="F16125" s="46" t="s">
        <v>6959</v>
      </c>
      <c r="G16125" s="46">
        <v>5.359189606799E12</v>
      </c>
      <c r="H16125" s="46" t="s">
        <v>6960</v>
      </c>
      <c r="I16125" s="46" t="s">
        <v>6961</v>
      </c>
      <c r="J16125" s="46" t="s">
        <v>330</v>
      </c>
      <c r="K16125" s="46" t="s">
        <v>126</v>
      </c>
      <c r="L16125" s="45">
        <v>46017.5</v>
      </c>
      <c r="M16125" s="46" t="s">
        <v>123</v>
      </c>
      <c r="N16125" s="45">
        <v>46017.506944444445</v>
      </c>
      <c r="O16125" s="46" t="s">
        <v>123</v>
      </c>
      <c r="P16125" s="46">
        <v>600.0</v>
      </c>
    </row>
    <row r="16126">
      <c r="A16126" s="40">
        <f t="shared" si="1"/>
        <v>46013</v>
      </c>
      <c r="B16126" s="37" t="str">
        <f t="array" ref="B16126">iferror(xlookup($I16126, 'IMPORT VHC Report'!$E:$E, 'IMPORT VHC Report'!$A:$C), )</f>
        <v/>
      </c>
      <c r="C16126" s="44"/>
      <c r="D16126" s="44"/>
      <c r="E16126" s="46" t="s">
        <v>12319</v>
      </c>
      <c r="F16126" s="46" t="s">
        <v>6959</v>
      </c>
      <c r="G16126" s="46">
        <v>5.359189606799E12</v>
      </c>
      <c r="H16126" s="46" t="s">
        <v>6960</v>
      </c>
      <c r="I16126" s="46" t="s">
        <v>6961</v>
      </c>
      <c r="J16126" s="46" t="s">
        <v>332</v>
      </c>
      <c r="K16126" s="46" t="s">
        <v>63</v>
      </c>
      <c r="L16126" s="45">
        <v>46017.5</v>
      </c>
      <c r="M16126" s="46" t="s">
        <v>123</v>
      </c>
      <c r="N16126" s="45">
        <v>46017.875</v>
      </c>
      <c r="O16126" s="46" t="s">
        <v>123</v>
      </c>
      <c r="P16126" s="46">
        <v>32400.0</v>
      </c>
    </row>
    <row r="16127">
      <c r="A16127" s="40">
        <f t="shared" si="1"/>
        <v>46013</v>
      </c>
      <c r="B16127" s="37" t="str">
        <f t="array" ref="B16127">iferror(xlookup($I16127, 'IMPORT VHC Report'!$E:$E, 'IMPORT VHC Report'!$A:$C), )</f>
        <v/>
      </c>
      <c r="C16127" s="44"/>
      <c r="D16127" s="44"/>
      <c r="E16127" s="46" t="s">
        <v>12320</v>
      </c>
      <c r="F16127" s="46" t="s">
        <v>6959</v>
      </c>
      <c r="G16127" s="46">
        <v>5.359189606799E12</v>
      </c>
      <c r="H16127" s="46" t="s">
        <v>6960</v>
      </c>
      <c r="I16127" s="46" t="s">
        <v>6961</v>
      </c>
      <c r="J16127" s="46" t="s">
        <v>132</v>
      </c>
      <c r="K16127" s="46" t="s">
        <v>126</v>
      </c>
      <c r="L16127" s="45">
        <v>46017.625</v>
      </c>
      <c r="M16127" s="46" t="s">
        <v>123</v>
      </c>
      <c r="N16127" s="45">
        <v>46017.666666666664</v>
      </c>
      <c r="O16127" s="46" t="s">
        <v>123</v>
      </c>
      <c r="P16127" s="46">
        <v>3600.0</v>
      </c>
    </row>
    <row r="16128">
      <c r="A16128" s="40">
        <f t="shared" si="1"/>
        <v>46013</v>
      </c>
      <c r="B16128" s="37" t="str">
        <f t="array" ref="B16128">iferror(xlookup($I16128, 'IMPORT VHC Report'!$E:$E, 'IMPORT VHC Report'!$A:$C), )</f>
        <v/>
      </c>
      <c r="C16128" s="44"/>
      <c r="D16128" s="44"/>
      <c r="E16128" s="46" t="s">
        <v>12321</v>
      </c>
      <c r="F16128" s="46" t="s">
        <v>6959</v>
      </c>
      <c r="G16128" s="46">
        <v>5.359189606799E12</v>
      </c>
      <c r="H16128" s="46" t="s">
        <v>6960</v>
      </c>
      <c r="I16128" s="46" t="s">
        <v>6961</v>
      </c>
      <c r="J16128" s="46" t="s">
        <v>136</v>
      </c>
      <c r="K16128" s="46" t="s">
        <v>126</v>
      </c>
      <c r="L16128" s="45">
        <v>46017.666666666664</v>
      </c>
      <c r="M16128" s="46" t="s">
        <v>123</v>
      </c>
      <c r="N16128" s="45">
        <v>46017.71527777778</v>
      </c>
      <c r="O16128" s="46" t="s">
        <v>123</v>
      </c>
      <c r="P16128" s="46">
        <v>4200.0</v>
      </c>
      <c r="S16128" s="46" t="s">
        <v>137</v>
      </c>
    </row>
    <row r="16129">
      <c r="A16129" s="40">
        <f t="shared" si="1"/>
        <v>46013</v>
      </c>
      <c r="B16129" s="37" t="str">
        <f t="array" ref="B16129">iferror(xlookup($I16129, 'IMPORT VHC Report'!$E:$E, 'IMPORT VHC Report'!$A:$C), )</f>
        <v/>
      </c>
      <c r="C16129" s="44"/>
      <c r="D16129" s="44"/>
      <c r="E16129" s="46" t="s">
        <v>12322</v>
      </c>
      <c r="F16129" s="46" t="s">
        <v>6959</v>
      </c>
      <c r="G16129" s="46">
        <v>5.359189606799E12</v>
      </c>
      <c r="H16129" s="46" t="s">
        <v>6960</v>
      </c>
      <c r="I16129" s="46" t="s">
        <v>6961</v>
      </c>
      <c r="J16129" s="46" t="s">
        <v>134</v>
      </c>
      <c r="K16129" s="46" t="s">
        <v>126</v>
      </c>
      <c r="L16129" s="45">
        <v>46017.729166666664</v>
      </c>
      <c r="M16129" s="46" t="s">
        <v>123</v>
      </c>
      <c r="N16129" s="45">
        <v>46017.75</v>
      </c>
      <c r="O16129" s="46" t="s">
        <v>123</v>
      </c>
      <c r="P16129" s="46">
        <v>1800.0</v>
      </c>
    </row>
    <row r="16130">
      <c r="A16130" s="40">
        <f t="shared" si="1"/>
        <v>46013</v>
      </c>
      <c r="B16130" s="37" t="str">
        <f t="array" ref="B16130">iferror(xlookup($I16130, 'IMPORT VHC Report'!$E:$E, 'IMPORT VHC Report'!$A:$C), )</f>
        <v/>
      </c>
      <c r="C16130" s="44"/>
      <c r="D16130" s="44"/>
      <c r="E16130" s="46" t="s">
        <v>12323</v>
      </c>
      <c r="F16130" s="46" t="s">
        <v>6959</v>
      </c>
      <c r="G16130" s="46">
        <v>5.359189606799E12</v>
      </c>
      <c r="H16130" s="46" t="s">
        <v>6960</v>
      </c>
      <c r="I16130" s="46" t="s">
        <v>6961</v>
      </c>
      <c r="J16130" s="46" t="s">
        <v>330</v>
      </c>
      <c r="K16130" s="46" t="s">
        <v>126</v>
      </c>
      <c r="L16130" s="45">
        <v>46018.5</v>
      </c>
      <c r="M16130" s="46" t="s">
        <v>123</v>
      </c>
      <c r="N16130" s="45">
        <v>46018.506944444445</v>
      </c>
      <c r="O16130" s="46" t="s">
        <v>123</v>
      </c>
      <c r="P16130" s="46">
        <v>600.0</v>
      </c>
    </row>
    <row r="16131">
      <c r="A16131" s="40">
        <f t="shared" si="1"/>
        <v>46013</v>
      </c>
      <c r="B16131" s="37" t="str">
        <f t="array" ref="B16131">iferror(xlookup($I16131, 'IMPORT VHC Report'!$E:$E, 'IMPORT VHC Report'!$A:$C), )</f>
        <v/>
      </c>
      <c r="C16131" s="44"/>
      <c r="D16131" s="44"/>
      <c r="E16131" s="46" t="s">
        <v>12324</v>
      </c>
      <c r="F16131" s="46" t="s">
        <v>6959</v>
      </c>
      <c r="G16131" s="46">
        <v>5.359189606799E12</v>
      </c>
      <c r="H16131" s="46" t="s">
        <v>6960</v>
      </c>
      <c r="I16131" s="46" t="s">
        <v>6961</v>
      </c>
      <c r="J16131" s="46" t="s">
        <v>332</v>
      </c>
      <c r="K16131" s="46" t="s">
        <v>63</v>
      </c>
      <c r="L16131" s="45">
        <v>46018.5</v>
      </c>
      <c r="M16131" s="46" t="s">
        <v>123</v>
      </c>
      <c r="N16131" s="45">
        <v>46018.875</v>
      </c>
      <c r="O16131" s="46" t="s">
        <v>123</v>
      </c>
      <c r="P16131" s="46">
        <v>32400.0</v>
      </c>
    </row>
    <row r="16132">
      <c r="A16132" s="40">
        <f t="shared" si="1"/>
        <v>46013</v>
      </c>
      <c r="B16132" s="37" t="str">
        <f t="array" ref="B16132">iferror(xlookup($I16132, 'IMPORT VHC Report'!$E:$E, 'IMPORT VHC Report'!$A:$C), )</f>
        <v/>
      </c>
      <c r="C16132" s="44"/>
      <c r="D16132" s="44"/>
      <c r="E16132" s="46" t="s">
        <v>12325</v>
      </c>
      <c r="F16132" s="46" t="s">
        <v>6959</v>
      </c>
      <c r="G16132" s="46">
        <v>5.359189606799E12</v>
      </c>
      <c r="H16132" s="46" t="s">
        <v>6960</v>
      </c>
      <c r="I16132" s="46" t="s">
        <v>6961</v>
      </c>
      <c r="J16132" s="46" t="s">
        <v>330</v>
      </c>
      <c r="K16132" s="46" t="s">
        <v>126</v>
      </c>
      <c r="L16132" s="45">
        <v>46018.552083333336</v>
      </c>
      <c r="M16132" s="46" t="s">
        <v>123</v>
      </c>
      <c r="N16132" s="45">
        <v>46018.60763888889</v>
      </c>
      <c r="O16132" s="46" t="s">
        <v>123</v>
      </c>
      <c r="P16132" s="46">
        <v>4800.0</v>
      </c>
    </row>
    <row r="16133">
      <c r="A16133" s="40">
        <f t="shared" si="1"/>
        <v>46013</v>
      </c>
      <c r="B16133" s="37" t="str">
        <f t="array" ref="B16133">iferror(xlookup($I16133, 'IMPORT VHC Report'!$E:$E, 'IMPORT VHC Report'!$A:$C), )</f>
        <v/>
      </c>
      <c r="C16133" s="44"/>
      <c r="D16133" s="44"/>
      <c r="E16133" s="46" t="s">
        <v>12326</v>
      </c>
      <c r="F16133" s="46" t="s">
        <v>6959</v>
      </c>
      <c r="G16133" s="46">
        <v>5.359189606799E12</v>
      </c>
      <c r="H16133" s="46" t="s">
        <v>6960</v>
      </c>
      <c r="I16133" s="46" t="s">
        <v>6961</v>
      </c>
      <c r="J16133" s="46" t="s">
        <v>132</v>
      </c>
      <c r="K16133" s="46" t="s">
        <v>126</v>
      </c>
      <c r="L16133" s="45">
        <v>46018.60763888889</v>
      </c>
      <c r="M16133" s="46" t="s">
        <v>123</v>
      </c>
      <c r="N16133" s="45">
        <v>46018.649305555555</v>
      </c>
      <c r="O16133" s="46" t="s">
        <v>123</v>
      </c>
      <c r="P16133" s="46">
        <v>3600.0</v>
      </c>
    </row>
    <row r="16134">
      <c r="A16134" s="40">
        <f t="shared" si="1"/>
        <v>46013</v>
      </c>
      <c r="B16134" s="37" t="str">
        <f t="array" ref="B16134">iferror(xlookup($I16134, 'IMPORT VHC Report'!$E:$E, 'IMPORT VHC Report'!$A:$C), )</f>
        <v/>
      </c>
      <c r="C16134" s="44"/>
      <c r="D16134" s="44"/>
      <c r="E16134" s="46" t="s">
        <v>12327</v>
      </c>
      <c r="F16134" s="46" t="s">
        <v>6959</v>
      </c>
      <c r="G16134" s="46">
        <v>5.359189606799E12</v>
      </c>
      <c r="H16134" s="46" t="s">
        <v>6960</v>
      </c>
      <c r="I16134" s="46" t="s">
        <v>6961</v>
      </c>
      <c r="J16134" s="46" t="s">
        <v>4</v>
      </c>
      <c r="K16134" s="46" t="s">
        <v>126</v>
      </c>
      <c r="L16134" s="45">
        <v>46018.770833333336</v>
      </c>
      <c r="M16134" s="46" t="s">
        <v>123</v>
      </c>
      <c r="N16134" s="45">
        <v>46018.78125</v>
      </c>
      <c r="O16134" s="46" t="s">
        <v>123</v>
      </c>
      <c r="P16134" s="46">
        <v>900.0</v>
      </c>
      <c r="S16134" s="46" t="s">
        <v>12007</v>
      </c>
    </row>
    <row r="16135">
      <c r="A16135" s="40">
        <f t="shared" si="1"/>
        <v>46013</v>
      </c>
      <c r="B16135" s="37" t="str">
        <f t="array" ref="B16135">iferror(xlookup($I16135, 'IMPORT VHC Report'!$E:$E, 'IMPORT VHC Report'!$A:$C), )</f>
        <v/>
      </c>
      <c r="C16135" s="44"/>
      <c r="D16135" s="44"/>
      <c r="E16135" s="46" t="s">
        <v>12328</v>
      </c>
      <c r="F16135" s="46" t="s">
        <v>6959</v>
      </c>
      <c r="G16135" s="46">
        <v>5.359189606799E12</v>
      </c>
      <c r="H16135" s="46" t="s">
        <v>6960</v>
      </c>
      <c r="I16135" s="46" t="s">
        <v>6961</v>
      </c>
      <c r="J16135" s="46" t="s">
        <v>134</v>
      </c>
      <c r="K16135" s="46" t="s">
        <v>126</v>
      </c>
      <c r="L16135" s="45">
        <v>46018.78125</v>
      </c>
      <c r="M16135" s="46" t="s">
        <v>123</v>
      </c>
      <c r="N16135" s="45">
        <v>46018.802083333336</v>
      </c>
      <c r="O16135" s="46" t="s">
        <v>123</v>
      </c>
      <c r="P16135" s="46">
        <v>1800.0</v>
      </c>
    </row>
    <row r="16136">
      <c r="A16136" s="40">
        <f t="shared" si="1"/>
        <v>46013</v>
      </c>
      <c r="B16136" s="37" t="str">
        <f t="array" ref="B16136">iferror(xlookup($I16136, 'IMPORT VHC Report'!$E:$E, 'IMPORT VHC Report'!$A:$C), )</f>
        <v/>
      </c>
      <c r="C16136" s="44"/>
      <c r="D16136" s="44"/>
      <c r="E16136" s="46" t="s">
        <v>12329</v>
      </c>
      <c r="F16136" s="46" t="s">
        <v>7406</v>
      </c>
      <c r="G16136" s="46">
        <v>3.61744044436E11</v>
      </c>
      <c r="H16136" s="46" t="s">
        <v>7407</v>
      </c>
      <c r="I16136" s="46" t="s">
        <v>7408</v>
      </c>
      <c r="J16136" s="46" t="s">
        <v>332</v>
      </c>
      <c r="K16136" s="46" t="s">
        <v>63</v>
      </c>
      <c r="L16136" s="45">
        <v>46014.708333333336</v>
      </c>
      <c r="M16136" s="46" t="s">
        <v>123</v>
      </c>
      <c r="N16136" s="45">
        <v>46015.083333333336</v>
      </c>
      <c r="O16136" s="46" t="s">
        <v>123</v>
      </c>
      <c r="P16136" s="46">
        <v>32400.0</v>
      </c>
    </row>
    <row r="16137">
      <c r="A16137" s="40">
        <f t="shared" si="1"/>
        <v>46013</v>
      </c>
      <c r="B16137" s="37" t="str">
        <f t="array" ref="B16137">iferror(xlookup($I16137, 'IMPORT VHC Report'!$E:$E, 'IMPORT VHC Report'!$A:$C), )</f>
        <v/>
      </c>
      <c r="C16137" s="44"/>
      <c r="D16137" s="44"/>
      <c r="E16137" s="46" t="s">
        <v>12330</v>
      </c>
      <c r="F16137" s="46" t="s">
        <v>7406</v>
      </c>
      <c r="G16137" s="46">
        <v>3.61744044436E11</v>
      </c>
      <c r="H16137" s="46" t="s">
        <v>7407</v>
      </c>
      <c r="I16137" s="46" t="s">
        <v>7408</v>
      </c>
      <c r="J16137" s="46" t="s">
        <v>134</v>
      </c>
      <c r="K16137" s="46" t="s">
        <v>126</v>
      </c>
      <c r="L16137" s="45">
        <v>46015.020833333336</v>
      </c>
      <c r="M16137" s="46" t="s">
        <v>123</v>
      </c>
      <c r="N16137" s="45">
        <v>46015.041666666664</v>
      </c>
      <c r="O16137" s="46" t="s">
        <v>123</v>
      </c>
      <c r="P16137" s="46">
        <v>1800.0</v>
      </c>
    </row>
    <row r="16138">
      <c r="A16138" s="40">
        <f t="shared" si="1"/>
        <v>46013</v>
      </c>
      <c r="B16138" s="37" t="str">
        <f t="array" ref="B16138">iferror(xlookup($I16138, 'IMPORT VHC Report'!$E:$E, 'IMPORT VHC Report'!$A:$C), )</f>
        <v/>
      </c>
      <c r="C16138" s="44"/>
      <c r="D16138" s="44"/>
      <c r="E16138" s="46" t="s">
        <v>12331</v>
      </c>
      <c r="F16138" s="46" t="s">
        <v>7406</v>
      </c>
      <c r="G16138" s="46">
        <v>3.61744044436E11</v>
      </c>
      <c r="H16138" s="46" t="s">
        <v>7407</v>
      </c>
      <c r="I16138" s="46" t="s">
        <v>7408</v>
      </c>
      <c r="J16138" s="46" t="s">
        <v>132</v>
      </c>
      <c r="K16138" s="46" t="s">
        <v>126</v>
      </c>
      <c r="L16138" s="45">
        <v>46015.041666666664</v>
      </c>
      <c r="M16138" s="46" t="s">
        <v>123</v>
      </c>
      <c r="N16138" s="45">
        <v>46015.083333333336</v>
      </c>
      <c r="O16138" s="46" t="s">
        <v>123</v>
      </c>
      <c r="P16138" s="46">
        <v>3600.0</v>
      </c>
    </row>
    <row r="16139">
      <c r="A16139" s="40">
        <f t="shared" si="1"/>
        <v>46013</v>
      </c>
      <c r="B16139" s="37" t="str">
        <f t="array" ref="B16139">iferror(xlookup($I16139, 'IMPORT VHC Report'!$E:$E, 'IMPORT VHC Report'!$A:$C), )</f>
        <v/>
      </c>
      <c r="C16139" s="44"/>
      <c r="D16139" s="44"/>
      <c r="E16139" s="46" t="s">
        <v>12332</v>
      </c>
      <c r="F16139" s="46" t="s">
        <v>7406</v>
      </c>
      <c r="G16139" s="46">
        <v>3.61744044436E11</v>
      </c>
      <c r="H16139" s="46" t="s">
        <v>7407</v>
      </c>
      <c r="I16139" s="46" t="s">
        <v>7408</v>
      </c>
      <c r="J16139" s="46" t="s">
        <v>136</v>
      </c>
      <c r="K16139" s="46" t="s">
        <v>126</v>
      </c>
      <c r="L16139" s="45">
        <v>46015.666666666664</v>
      </c>
      <c r="M16139" s="46" t="s">
        <v>123</v>
      </c>
      <c r="N16139" s="45">
        <v>46015.833333333336</v>
      </c>
      <c r="O16139" s="46" t="s">
        <v>123</v>
      </c>
      <c r="P16139" s="46">
        <v>14400.0</v>
      </c>
      <c r="S16139" s="46" t="s">
        <v>1098</v>
      </c>
    </row>
    <row r="16140">
      <c r="A16140" s="40">
        <f t="shared" si="1"/>
        <v>46013</v>
      </c>
      <c r="B16140" s="37" t="str">
        <f t="array" ref="B16140">iferror(xlookup($I16140, 'IMPORT VHC Report'!$E:$E, 'IMPORT VHC Report'!$A:$C), )</f>
        <v/>
      </c>
      <c r="C16140" s="44"/>
      <c r="D16140" s="44"/>
      <c r="E16140" s="46" t="s">
        <v>12333</v>
      </c>
      <c r="F16140" s="46" t="s">
        <v>7406</v>
      </c>
      <c r="G16140" s="46">
        <v>3.61744044436E11</v>
      </c>
      <c r="H16140" s="46" t="s">
        <v>7407</v>
      </c>
      <c r="I16140" s="46" t="s">
        <v>7408</v>
      </c>
      <c r="J16140" s="46" t="s">
        <v>332</v>
      </c>
      <c r="K16140" s="46" t="s">
        <v>63</v>
      </c>
      <c r="L16140" s="45">
        <v>46015.666666666664</v>
      </c>
      <c r="M16140" s="46" t="s">
        <v>123</v>
      </c>
      <c r="N16140" s="45">
        <v>46015.895833333336</v>
      </c>
      <c r="O16140" s="46" t="s">
        <v>123</v>
      </c>
      <c r="P16140" s="46">
        <v>19800.0</v>
      </c>
    </row>
    <row r="16141">
      <c r="A16141" s="40">
        <f t="shared" si="1"/>
        <v>46013</v>
      </c>
      <c r="B16141" s="37" t="str">
        <f t="array" ref="B16141">iferror(xlookup($I16141, 'IMPORT VHC Report'!$E:$E, 'IMPORT VHC Report'!$A:$C), )</f>
        <v/>
      </c>
      <c r="C16141" s="44"/>
      <c r="D16141" s="44"/>
      <c r="E16141" s="46" t="s">
        <v>12334</v>
      </c>
      <c r="F16141" s="46" t="s">
        <v>7406</v>
      </c>
      <c r="G16141" s="46">
        <v>3.61744044436E11</v>
      </c>
      <c r="H16141" s="46" t="s">
        <v>7407</v>
      </c>
      <c r="I16141" s="46" t="s">
        <v>7408</v>
      </c>
      <c r="J16141" s="46" t="s">
        <v>134</v>
      </c>
      <c r="K16141" s="46" t="s">
        <v>126</v>
      </c>
      <c r="L16141" s="45">
        <v>46015.833333333336</v>
      </c>
      <c r="M16141" s="46" t="s">
        <v>123</v>
      </c>
      <c r="N16141" s="45">
        <v>46015.854166666664</v>
      </c>
      <c r="O16141" s="46" t="s">
        <v>123</v>
      </c>
      <c r="P16141" s="46">
        <v>1800.0</v>
      </c>
    </row>
    <row r="16142">
      <c r="A16142" s="40">
        <f t="shared" si="1"/>
        <v>46013</v>
      </c>
      <c r="B16142" s="37" t="str">
        <f t="array" ref="B16142">iferror(xlookup($I16142, 'IMPORT VHC Report'!$E:$E, 'IMPORT VHC Report'!$A:$C), )</f>
        <v/>
      </c>
      <c r="C16142" s="44"/>
      <c r="D16142" s="44"/>
      <c r="E16142" s="46" t="s">
        <v>12335</v>
      </c>
      <c r="F16142" s="46" t="s">
        <v>7406</v>
      </c>
      <c r="G16142" s="46">
        <v>3.61744044436E11</v>
      </c>
      <c r="H16142" s="46" t="s">
        <v>7407</v>
      </c>
      <c r="I16142" s="46" t="s">
        <v>7408</v>
      </c>
      <c r="J16142" s="46" t="s">
        <v>62</v>
      </c>
      <c r="K16142" s="46" t="s">
        <v>63</v>
      </c>
      <c r="L16142" s="45">
        <v>46015.833333333336</v>
      </c>
      <c r="M16142" s="46" t="s">
        <v>123</v>
      </c>
      <c r="N16142" s="45">
        <v>46015.979166666664</v>
      </c>
      <c r="O16142" s="46" t="s">
        <v>123</v>
      </c>
      <c r="P16142" s="46">
        <v>12600.0</v>
      </c>
    </row>
    <row r="16143">
      <c r="A16143" s="40">
        <f t="shared" si="1"/>
        <v>46013</v>
      </c>
      <c r="B16143" s="37" t="str">
        <f t="array" ref="B16143">iferror(xlookup($I16143, 'IMPORT VHC Report'!$E:$E, 'IMPORT VHC Report'!$A:$C), )</f>
        <v/>
      </c>
      <c r="C16143" s="44"/>
      <c r="D16143" s="44"/>
      <c r="E16143" s="46" t="s">
        <v>12336</v>
      </c>
      <c r="F16143" s="46" t="s">
        <v>7406</v>
      </c>
      <c r="G16143" s="46">
        <v>3.61744044436E11</v>
      </c>
      <c r="H16143" s="46" t="s">
        <v>7407</v>
      </c>
      <c r="I16143" s="46" t="s">
        <v>7408</v>
      </c>
      <c r="J16143" s="46" t="s">
        <v>132</v>
      </c>
      <c r="K16143" s="46" t="s">
        <v>126</v>
      </c>
      <c r="L16143" s="45">
        <v>46015.854166666664</v>
      </c>
      <c r="M16143" s="46" t="s">
        <v>123</v>
      </c>
      <c r="N16143" s="45">
        <v>46015.895833333336</v>
      </c>
      <c r="O16143" s="46" t="s">
        <v>123</v>
      </c>
      <c r="P16143" s="46">
        <v>3600.0</v>
      </c>
    </row>
    <row r="16144">
      <c r="A16144" s="40">
        <f t="shared" si="1"/>
        <v>46013</v>
      </c>
      <c r="B16144" s="37" t="str">
        <f t="array" ref="B16144">iferror(xlookup($I16144, 'IMPORT VHC Report'!$E:$E, 'IMPORT VHC Report'!$A:$C), )</f>
        <v/>
      </c>
      <c r="C16144" s="44"/>
      <c r="D16144" s="44"/>
      <c r="E16144" s="46" t="s">
        <v>12337</v>
      </c>
      <c r="F16144" s="46" t="s">
        <v>7406</v>
      </c>
      <c r="G16144" s="46">
        <v>3.61744044436E11</v>
      </c>
      <c r="H16144" s="46" t="s">
        <v>7407</v>
      </c>
      <c r="I16144" s="46" t="s">
        <v>7408</v>
      </c>
      <c r="J16144" s="46" t="s">
        <v>332</v>
      </c>
      <c r="K16144" s="46" t="s">
        <v>63</v>
      </c>
      <c r="L16144" s="45">
        <v>46015.979166666664</v>
      </c>
      <c r="M16144" s="46" t="s">
        <v>123</v>
      </c>
      <c r="N16144" s="45">
        <v>46016.041666666664</v>
      </c>
      <c r="O16144" s="46" t="s">
        <v>123</v>
      </c>
      <c r="P16144" s="46">
        <v>5400.0</v>
      </c>
    </row>
    <row r="16145">
      <c r="A16145" s="40">
        <f t="shared" si="1"/>
        <v>46013</v>
      </c>
      <c r="B16145" s="37" t="str">
        <f t="array" ref="B16145">iferror(xlookup($I16145, 'IMPORT VHC Report'!$E:$E, 'IMPORT VHC Report'!$A:$C), )</f>
        <v/>
      </c>
      <c r="C16145" s="44"/>
      <c r="D16145" s="44"/>
      <c r="E16145" s="46" t="s">
        <v>12338</v>
      </c>
      <c r="F16145" s="46" t="s">
        <v>7406</v>
      </c>
      <c r="G16145" s="46">
        <v>3.61744044436E11</v>
      </c>
      <c r="H16145" s="46" t="s">
        <v>7407</v>
      </c>
      <c r="I16145" s="46" t="s">
        <v>7408</v>
      </c>
      <c r="J16145" s="46" t="s">
        <v>332</v>
      </c>
      <c r="K16145" s="46" t="s">
        <v>63</v>
      </c>
      <c r="L16145" s="45">
        <v>46016.708333333336</v>
      </c>
      <c r="M16145" s="46" t="s">
        <v>123</v>
      </c>
      <c r="N16145" s="45">
        <v>46017.083333333336</v>
      </c>
      <c r="O16145" s="46" t="s">
        <v>123</v>
      </c>
      <c r="P16145" s="46">
        <v>32400.0</v>
      </c>
    </row>
    <row r="16146">
      <c r="A16146" s="40">
        <f t="shared" si="1"/>
        <v>46013</v>
      </c>
      <c r="B16146" s="37" t="str">
        <f t="array" ref="B16146">iferror(xlookup($I16146, 'IMPORT VHC Report'!$E:$E, 'IMPORT VHC Report'!$A:$C), )</f>
        <v/>
      </c>
      <c r="C16146" s="44"/>
      <c r="D16146" s="44"/>
      <c r="E16146" s="46" t="s">
        <v>12339</v>
      </c>
      <c r="F16146" s="46" t="s">
        <v>7406</v>
      </c>
      <c r="G16146" s="46">
        <v>3.61744044436E11</v>
      </c>
      <c r="H16146" s="46" t="s">
        <v>7407</v>
      </c>
      <c r="I16146" s="46" t="s">
        <v>7408</v>
      </c>
      <c r="J16146" s="46" t="s">
        <v>134</v>
      </c>
      <c r="K16146" s="46" t="s">
        <v>126</v>
      </c>
      <c r="L16146" s="45">
        <v>46017.020833333336</v>
      </c>
      <c r="M16146" s="46" t="s">
        <v>123</v>
      </c>
      <c r="N16146" s="45">
        <v>46017.041666666664</v>
      </c>
      <c r="O16146" s="46" t="s">
        <v>123</v>
      </c>
      <c r="P16146" s="46">
        <v>1800.0</v>
      </c>
    </row>
    <row r="16147">
      <c r="A16147" s="40">
        <f t="shared" si="1"/>
        <v>46013</v>
      </c>
      <c r="B16147" s="37" t="str">
        <f t="array" ref="B16147">iferror(xlookup($I16147, 'IMPORT VHC Report'!$E:$E, 'IMPORT VHC Report'!$A:$C), )</f>
        <v/>
      </c>
      <c r="C16147" s="44"/>
      <c r="D16147" s="44"/>
      <c r="E16147" s="46" t="s">
        <v>12340</v>
      </c>
      <c r="F16147" s="46" t="s">
        <v>7406</v>
      </c>
      <c r="G16147" s="46">
        <v>3.61744044436E11</v>
      </c>
      <c r="H16147" s="46" t="s">
        <v>7407</v>
      </c>
      <c r="I16147" s="46" t="s">
        <v>7408</v>
      </c>
      <c r="J16147" s="46" t="s">
        <v>132</v>
      </c>
      <c r="K16147" s="46" t="s">
        <v>126</v>
      </c>
      <c r="L16147" s="45">
        <v>46017.041666666664</v>
      </c>
      <c r="M16147" s="46" t="s">
        <v>123</v>
      </c>
      <c r="N16147" s="45">
        <v>46017.083333333336</v>
      </c>
      <c r="O16147" s="46" t="s">
        <v>123</v>
      </c>
      <c r="P16147" s="46">
        <v>3600.0</v>
      </c>
    </row>
    <row r="16148">
      <c r="A16148" s="40">
        <f t="shared" si="1"/>
        <v>46013</v>
      </c>
      <c r="B16148" s="37" t="str">
        <f t="array" ref="B16148">iferror(xlookup($I16148, 'IMPORT VHC Report'!$E:$E, 'IMPORT VHC Report'!$A:$C), )</f>
        <v/>
      </c>
      <c r="C16148" s="44"/>
      <c r="D16148" s="44"/>
      <c r="E16148" s="46" t="s">
        <v>12341</v>
      </c>
      <c r="F16148" s="46" t="s">
        <v>7406</v>
      </c>
      <c r="G16148" s="46">
        <v>3.61744044436E11</v>
      </c>
      <c r="H16148" s="46" t="s">
        <v>7407</v>
      </c>
      <c r="I16148" s="46" t="s">
        <v>7408</v>
      </c>
      <c r="J16148" s="46" t="s">
        <v>332</v>
      </c>
      <c r="K16148" s="46" t="s">
        <v>63</v>
      </c>
      <c r="L16148" s="45">
        <v>46017.708333333336</v>
      </c>
      <c r="M16148" s="46" t="s">
        <v>123</v>
      </c>
      <c r="N16148" s="45">
        <v>46018.083333333336</v>
      </c>
      <c r="O16148" s="46" t="s">
        <v>123</v>
      </c>
      <c r="P16148" s="46">
        <v>32400.0</v>
      </c>
    </row>
    <row r="16149">
      <c r="A16149" s="40">
        <f t="shared" si="1"/>
        <v>46013</v>
      </c>
      <c r="B16149" s="37" t="str">
        <f t="array" ref="B16149">iferror(xlookup($I16149, 'IMPORT VHC Report'!$E:$E, 'IMPORT VHC Report'!$A:$C), )</f>
        <v/>
      </c>
      <c r="C16149" s="44"/>
      <c r="D16149" s="44"/>
      <c r="E16149" s="46" t="s">
        <v>12342</v>
      </c>
      <c r="F16149" s="46" t="s">
        <v>7406</v>
      </c>
      <c r="G16149" s="46">
        <v>3.61744044436E11</v>
      </c>
      <c r="H16149" s="46" t="s">
        <v>7407</v>
      </c>
      <c r="I16149" s="46" t="s">
        <v>7408</v>
      </c>
      <c r="J16149" s="46" t="s">
        <v>134</v>
      </c>
      <c r="K16149" s="46" t="s">
        <v>126</v>
      </c>
      <c r="L16149" s="45">
        <v>46018.020833333336</v>
      </c>
      <c r="M16149" s="46" t="s">
        <v>123</v>
      </c>
      <c r="N16149" s="45">
        <v>46018.041666666664</v>
      </c>
      <c r="O16149" s="46" t="s">
        <v>123</v>
      </c>
      <c r="P16149" s="46">
        <v>1800.0</v>
      </c>
    </row>
    <row r="16150">
      <c r="A16150" s="40">
        <f t="shared" si="1"/>
        <v>46013</v>
      </c>
      <c r="B16150" s="37" t="str">
        <f t="array" ref="B16150">iferror(xlookup($I16150, 'IMPORT VHC Report'!$E:$E, 'IMPORT VHC Report'!$A:$C), )</f>
        <v/>
      </c>
      <c r="C16150" s="44"/>
      <c r="D16150" s="44"/>
      <c r="E16150" s="46" t="s">
        <v>12343</v>
      </c>
      <c r="F16150" s="46" t="s">
        <v>7406</v>
      </c>
      <c r="G16150" s="46">
        <v>3.61744044436E11</v>
      </c>
      <c r="H16150" s="46" t="s">
        <v>7407</v>
      </c>
      <c r="I16150" s="46" t="s">
        <v>7408</v>
      </c>
      <c r="J16150" s="46" t="s">
        <v>132</v>
      </c>
      <c r="K16150" s="46" t="s">
        <v>126</v>
      </c>
      <c r="L16150" s="45">
        <v>46018.041666666664</v>
      </c>
      <c r="M16150" s="46" t="s">
        <v>123</v>
      </c>
      <c r="N16150" s="45">
        <v>46018.083333333336</v>
      </c>
      <c r="O16150" s="46" t="s">
        <v>123</v>
      </c>
      <c r="P16150" s="46">
        <v>3600.0</v>
      </c>
    </row>
    <row r="16151">
      <c r="A16151" s="40">
        <f t="shared" si="1"/>
        <v>46013</v>
      </c>
      <c r="B16151" s="37" t="str">
        <f t="array" ref="B16151">iferror(xlookup($I16151, 'IMPORT VHC Report'!$E:$E, 'IMPORT VHC Report'!$A:$C), )</f>
        <v/>
      </c>
      <c r="C16151" s="44"/>
      <c r="D16151" s="44"/>
      <c r="E16151" s="46" t="s">
        <v>12344</v>
      </c>
      <c r="F16151" s="46" t="s">
        <v>7406</v>
      </c>
      <c r="G16151" s="46">
        <v>3.61744044436E11</v>
      </c>
      <c r="H16151" s="46" t="s">
        <v>7407</v>
      </c>
      <c r="I16151" s="46" t="s">
        <v>7408</v>
      </c>
      <c r="J16151" s="46" t="s">
        <v>332</v>
      </c>
      <c r="K16151" s="46" t="s">
        <v>63</v>
      </c>
      <c r="L16151" s="45">
        <v>46018.708333333336</v>
      </c>
      <c r="M16151" s="46" t="s">
        <v>123</v>
      </c>
      <c r="N16151" s="45">
        <v>46019.083333333336</v>
      </c>
      <c r="O16151" s="46" t="s">
        <v>123</v>
      </c>
      <c r="P16151" s="46">
        <v>32400.0</v>
      </c>
    </row>
    <row r="16152">
      <c r="A16152" s="40">
        <f t="shared" si="1"/>
        <v>46013</v>
      </c>
      <c r="B16152" s="37" t="str">
        <f t="array" ref="B16152">iferror(xlookup($I16152, 'IMPORT VHC Report'!$E:$E, 'IMPORT VHC Report'!$A:$C), )</f>
        <v/>
      </c>
      <c r="C16152" s="44"/>
      <c r="D16152" s="44"/>
      <c r="E16152" s="46" t="s">
        <v>12345</v>
      </c>
      <c r="F16152" s="46" t="s">
        <v>7406</v>
      </c>
      <c r="G16152" s="46">
        <v>3.61744044436E11</v>
      </c>
      <c r="H16152" s="46" t="s">
        <v>7407</v>
      </c>
      <c r="I16152" s="46" t="s">
        <v>7408</v>
      </c>
      <c r="J16152" s="46" t="s">
        <v>134</v>
      </c>
      <c r="K16152" s="46" t="s">
        <v>126</v>
      </c>
      <c r="L16152" s="45">
        <v>46019.020833333336</v>
      </c>
      <c r="M16152" s="46" t="s">
        <v>123</v>
      </c>
      <c r="N16152" s="45">
        <v>46019.041666666664</v>
      </c>
      <c r="O16152" s="46" t="s">
        <v>123</v>
      </c>
      <c r="P16152" s="46">
        <v>1800.0</v>
      </c>
    </row>
    <row r="16153">
      <c r="A16153" s="40">
        <f t="shared" si="1"/>
        <v>46013</v>
      </c>
      <c r="B16153" s="37" t="str">
        <f t="array" ref="B16153">iferror(xlookup($I16153, 'IMPORT VHC Report'!$E:$E, 'IMPORT VHC Report'!$A:$C), )</f>
        <v/>
      </c>
      <c r="C16153" s="44"/>
      <c r="D16153" s="44"/>
      <c r="E16153" s="46" t="s">
        <v>12346</v>
      </c>
      <c r="F16153" s="46" t="s">
        <v>7406</v>
      </c>
      <c r="G16153" s="46">
        <v>3.61744044436E11</v>
      </c>
      <c r="H16153" s="46" t="s">
        <v>7407</v>
      </c>
      <c r="I16153" s="46" t="s">
        <v>7408</v>
      </c>
      <c r="J16153" s="46" t="s">
        <v>132</v>
      </c>
      <c r="K16153" s="46" t="s">
        <v>126</v>
      </c>
      <c r="L16153" s="45">
        <v>46019.041666666664</v>
      </c>
      <c r="M16153" s="46" t="s">
        <v>123</v>
      </c>
      <c r="N16153" s="45">
        <v>46019.083333333336</v>
      </c>
      <c r="O16153" s="46" t="s">
        <v>123</v>
      </c>
      <c r="P16153" s="46">
        <v>3600.0</v>
      </c>
    </row>
    <row r="16154">
      <c r="A16154" s="40">
        <f t="shared" si="1"/>
        <v>46013</v>
      </c>
      <c r="B16154" s="37" t="str">
        <f t="array" ref="B16154">iferror(xlookup($I16154, 'IMPORT VHC Report'!$E:$E, 'IMPORT VHC Report'!$A:$C), )</f>
        <v/>
      </c>
      <c r="C16154" s="44"/>
      <c r="D16154" s="44"/>
      <c r="E16154" s="46" t="s">
        <v>12347</v>
      </c>
      <c r="F16154" s="46" t="s">
        <v>497</v>
      </c>
      <c r="G16154" s="46">
        <v>1.1279766049295E13</v>
      </c>
      <c r="H16154" s="46" t="s">
        <v>498</v>
      </c>
      <c r="I16154" s="46" t="s">
        <v>499</v>
      </c>
      <c r="J16154" s="46" t="s">
        <v>330</v>
      </c>
      <c r="K16154" s="46" t="s">
        <v>126</v>
      </c>
      <c r="L16154" s="45">
        <v>46014.875</v>
      </c>
      <c r="M16154" s="46" t="s">
        <v>123</v>
      </c>
      <c r="N16154" s="45">
        <v>46014.881944444445</v>
      </c>
      <c r="O16154" s="46" t="s">
        <v>123</v>
      </c>
      <c r="P16154" s="46">
        <v>600.0</v>
      </c>
    </row>
    <row r="16155">
      <c r="A16155" s="40">
        <f t="shared" si="1"/>
        <v>46013</v>
      </c>
      <c r="B16155" s="37" t="str">
        <f t="array" ref="B16155">iferror(xlookup($I16155, 'IMPORT VHC Report'!$E:$E, 'IMPORT VHC Report'!$A:$C), )</f>
        <v/>
      </c>
      <c r="C16155" s="44"/>
      <c r="D16155" s="44"/>
      <c r="E16155" s="46" t="s">
        <v>12348</v>
      </c>
      <c r="F16155" s="46" t="s">
        <v>497</v>
      </c>
      <c r="G16155" s="46">
        <v>1.1279766049295E13</v>
      </c>
      <c r="H16155" s="46" t="s">
        <v>498</v>
      </c>
      <c r="I16155" s="46" t="s">
        <v>499</v>
      </c>
      <c r="J16155" s="46" t="s">
        <v>332</v>
      </c>
      <c r="K16155" s="46" t="s">
        <v>63</v>
      </c>
      <c r="L16155" s="45">
        <v>46014.875</v>
      </c>
      <c r="M16155" s="46" t="s">
        <v>123</v>
      </c>
      <c r="N16155" s="45">
        <v>46015.25</v>
      </c>
      <c r="O16155" s="46" t="s">
        <v>123</v>
      </c>
      <c r="P16155" s="46">
        <v>32400.0</v>
      </c>
    </row>
    <row r="16156">
      <c r="A16156" s="40">
        <f t="shared" si="1"/>
        <v>46013</v>
      </c>
      <c r="B16156" s="37" t="str">
        <f t="array" ref="B16156">iferror(xlookup($I16156, 'IMPORT VHC Report'!$E:$E, 'IMPORT VHC Report'!$A:$C), )</f>
        <v/>
      </c>
      <c r="C16156" s="44"/>
      <c r="D16156" s="44"/>
      <c r="E16156" s="46" t="s">
        <v>12349</v>
      </c>
      <c r="F16156" s="46" t="s">
        <v>497</v>
      </c>
      <c r="G16156" s="46">
        <v>1.1279766049295E13</v>
      </c>
      <c r="H16156" s="46" t="s">
        <v>498</v>
      </c>
      <c r="I16156" s="46" t="s">
        <v>499</v>
      </c>
      <c r="J16156" s="46" t="s">
        <v>132</v>
      </c>
      <c r="K16156" s="46" t="s">
        <v>126</v>
      </c>
      <c r="L16156" s="45">
        <v>46014.96875</v>
      </c>
      <c r="M16156" s="46" t="s">
        <v>123</v>
      </c>
      <c r="N16156" s="45">
        <v>46015.010416666664</v>
      </c>
      <c r="O16156" s="46" t="s">
        <v>123</v>
      </c>
      <c r="P16156" s="46">
        <v>3600.0</v>
      </c>
    </row>
    <row r="16157">
      <c r="A16157" s="40">
        <f t="shared" si="1"/>
        <v>46013</v>
      </c>
      <c r="B16157" s="37" t="str">
        <f t="array" ref="B16157">iferror(xlookup($I16157, 'IMPORT VHC Report'!$E:$E, 'IMPORT VHC Report'!$A:$C), )</f>
        <v/>
      </c>
      <c r="C16157" s="44"/>
      <c r="D16157" s="44"/>
      <c r="E16157" s="46" t="s">
        <v>12350</v>
      </c>
      <c r="F16157" s="46" t="s">
        <v>497</v>
      </c>
      <c r="G16157" s="46">
        <v>1.1279766049295E13</v>
      </c>
      <c r="H16157" s="46" t="s">
        <v>498</v>
      </c>
      <c r="I16157" s="46" t="s">
        <v>499</v>
      </c>
      <c r="J16157" s="46" t="s">
        <v>134</v>
      </c>
      <c r="K16157" s="46" t="s">
        <v>126</v>
      </c>
      <c r="L16157" s="45">
        <v>46015.177083333336</v>
      </c>
      <c r="M16157" s="46" t="s">
        <v>123</v>
      </c>
      <c r="N16157" s="45">
        <v>46015.197916666664</v>
      </c>
      <c r="O16157" s="46" t="s">
        <v>123</v>
      </c>
      <c r="P16157" s="46">
        <v>1800.0</v>
      </c>
    </row>
    <row r="16158">
      <c r="A16158" s="40">
        <f t="shared" si="1"/>
        <v>46013</v>
      </c>
      <c r="B16158" s="37" t="str">
        <f t="array" ref="B16158">iferror(xlookup($I16158, 'IMPORT VHC Report'!$E:$E, 'IMPORT VHC Report'!$A:$C), )</f>
        <v/>
      </c>
      <c r="C16158" s="44"/>
      <c r="D16158" s="44"/>
      <c r="E16158" s="46" t="s">
        <v>12351</v>
      </c>
      <c r="F16158" s="46" t="s">
        <v>497</v>
      </c>
      <c r="G16158" s="46">
        <v>1.1279766049295E13</v>
      </c>
      <c r="H16158" s="46" t="s">
        <v>498</v>
      </c>
      <c r="I16158" s="46" t="s">
        <v>499</v>
      </c>
      <c r="J16158" s="46" t="s">
        <v>4</v>
      </c>
      <c r="K16158" s="46" t="s">
        <v>126</v>
      </c>
      <c r="L16158" s="45">
        <v>46015.197916666664</v>
      </c>
      <c r="M16158" s="46" t="s">
        <v>123</v>
      </c>
      <c r="N16158" s="45">
        <v>46015.21875</v>
      </c>
      <c r="O16158" s="46" t="s">
        <v>123</v>
      </c>
      <c r="P16158" s="46">
        <v>1800.0</v>
      </c>
    </row>
    <row r="16159">
      <c r="A16159" s="40">
        <f t="shared" si="1"/>
        <v>46013</v>
      </c>
      <c r="B16159" s="37" t="str">
        <f t="array" ref="B16159">iferror(xlookup($I16159, 'IMPORT VHC Report'!$E:$E, 'IMPORT VHC Report'!$A:$C), )</f>
        <v/>
      </c>
      <c r="C16159" s="44"/>
      <c r="D16159" s="44"/>
      <c r="E16159" s="46" t="s">
        <v>12352</v>
      </c>
      <c r="F16159" s="46" t="s">
        <v>497</v>
      </c>
      <c r="G16159" s="46">
        <v>1.1279766049295E13</v>
      </c>
      <c r="H16159" s="46" t="s">
        <v>498</v>
      </c>
      <c r="I16159" s="46" t="s">
        <v>499</v>
      </c>
      <c r="J16159" s="46" t="s">
        <v>330</v>
      </c>
      <c r="K16159" s="46" t="s">
        <v>126</v>
      </c>
      <c r="L16159" s="45">
        <v>46015.875</v>
      </c>
      <c r="M16159" s="46" t="s">
        <v>123</v>
      </c>
      <c r="N16159" s="45">
        <v>46015.881944444445</v>
      </c>
      <c r="O16159" s="46" t="s">
        <v>123</v>
      </c>
      <c r="P16159" s="46">
        <v>600.0</v>
      </c>
    </row>
    <row r="16160">
      <c r="A16160" s="40">
        <f t="shared" si="1"/>
        <v>46013</v>
      </c>
      <c r="B16160" s="37" t="str">
        <f t="array" ref="B16160">iferror(xlookup($I16160, 'IMPORT VHC Report'!$E:$E, 'IMPORT VHC Report'!$A:$C), )</f>
        <v/>
      </c>
      <c r="C16160" s="44"/>
      <c r="D16160" s="44"/>
      <c r="E16160" s="46" t="s">
        <v>12353</v>
      </c>
      <c r="F16160" s="46" t="s">
        <v>497</v>
      </c>
      <c r="G16160" s="46">
        <v>1.1279766049295E13</v>
      </c>
      <c r="H16160" s="46" t="s">
        <v>498</v>
      </c>
      <c r="I16160" s="46" t="s">
        <v>499</v>
      </c>
      <c r="J16160" s="46" t="s">
        <v>332</v>
      </c>
      <c r="K16160" s="46" t="s">
        <v>63</v>
      </c>
      <c r="L16160" s="45">
        <v>46015.875</v>
      </c>
      <c r="M16160" s="46" t="s">
        <v>123</v>
      </c>
      <c r="N16160" s="45">
        <v>46016.25</v>
      </c>
      <c r="O16160" s="46" t="s">
        <v>123</v>
      </c>
      <c r="P16160" s="46">
        <v>32400.0</v>
      </c>
    </row>
    <row r="16161">
      <c r="A16161" s="40">
        <f t="shared" si="1"/>
        <v>46013</v>
      </c>
      <c r="B16161" s="37" t="str">
        <f t="array" ref="B16161">iferror(xlookup($I16161, 'IMPORT VHC Report'!$E:$E, 'IMPORT VHC Report'!$A:$C), )</f>
        <v/>
      </c>
      <c r="C16161" s="44"/>
      <c r="D16161" s="44"/>
      <c r="E16161" s="46" t="s">
        <v>12354</v>
      </c>
      <c r="F16161" s="46" t="s">
        <v>497</v>
      </c>
      <c r="G16161" s="46">
        <v>1.1279766049295E13</v>
      </c>
      <c r="H16161" s="46" t="s">
        <v>498</v>
      </c>
      <c r="I16161" s="46" t="s">
        <v>499</v>
      </c>
      <c r="J16161" s="46" t="s">
        <v>134</v>
      </c>
      <c r="K16161" s="46" t="s">
        <v>126</v>
      </c>
      <c r="L16161" s="45">
        <v>46015.958333333336</v>
      </c>
      <c r="M16161" s="46" t="s">
        <v>123</v>
      </c>
      <c r="N16161" s="45">
        <v>46015.979166666664</v>
      </c>
      <c r="O16161" s="46" t="s">
        <v>123</v>
      </c>
      <c r="P16161" s="46">
        <v>1800.0</v>
      </c>
    </row>
    <row r="16162">
      <c r="A16162" s="40">
        <f t="shared" si="1"/>
        <v>46013</v>
      </c>
      <c r="B16162" s="37" t="str">
        <f t="array" ref="B16162">iferror(xlookup($I16162, 'IMPORT VHC Report'!$E:$E, 'IMPORT VHC Report'!$A:$C), )</f>
        <v/>
      </c>
      <c r="C16162" s="44"/>
      <c r="D16162" s="44"/>
      <c r="E16162" s="46" t="s">
        <v>12355</v>
      </c>
      <c r="F16162" s="46" t="s">
        <v>497</v>
      </c>
      <c r="G16162" s="46">
        <v>1.1279766049295E13</v>
      </c>
      <c r="H16162" s="46" t="s">
        <v>498</v>
      </c>
      <c r="I16162" s="46" t="s">
        <v>499</v>
      </c>
      <c r="J16162" s="46" t="s">
        <v>136</v>
      </c>
      <c r="K16162" s="46" t="s">
        <v>126</v>
      </c>
      <c r="L16162" s="45">
        <v>46016.041666666664</v>
      </c>
      <c r="M16162" s="46" t="s">
        <v>123</v>
      </c>
      <c r="N16162" s="45">
        <v>46016.083333333336</v>
      </c>
      <c r="O16162" s="46" t="s">
        <v>123</v>
      </c>
      <c r="P16162" s="46">
        <v>3600.0</v>
      </c>
      <c r="S16162" s="46" t="s">
        <v>137</v>
      </c>
    </row>
    <row r="16163">
      <c r="A16163" s="40">
        <f t="shared" si="1"/>
        <v>46013</v>
      </c>
      <c r="B16163" s="37" t="str">
        <f t="array" ref="B16163">iferror(xlookup($I16163, 'IMPORT VHC Report'!$E:$E, 'IMPORT VHC Report'!$A:$C), )</f>
        <v/>
      </c>
      <c r="C16163" s="44"/>
      <c r="D16163" s="44"/>
      <c r="E16163" s="46" t="s">
        <v>12356</v>
      </c>
      <c r="F16163" s="46" t="s">
        <v>497</v>
      </c>
      <c r="G16163" s="46">
        <v>1.1279766049295E13</v>
      </c>
      <c r="H16163" s="46" t="s">
        <v>498</v>
      </c>
      <c r="I16163" s="46" t="s">
        <v>499</v>
      </c>
      <c r="J16163" s="46" t="s">
        <v>132</v>
      </c>
      <c r="K16163" s="46" t="s">
        <v>126</v>
      </c>
      <c r="L16163" s="45">
        <v>46016.125</v>
      </c>
      <c r="M16163" s="46" t="s">
        <v>123</v>
      </c>
      <c r="N16163" s="45">
        <v>46016.166666666664</v>
      </c>
      <c r="O16163" s="46" t="s">
        <v>123</v>
      </c>
      <c r="P16163" s="46">
        <v>3600.0</v>
      </c>
    </row>
    <row r="16164">
      <c r="A16164" s="40">
        <f t="shared" si="1"/>
        <v>46013</v>
      </c>
      <c r="B16164" s="37" t="str">
        <f t="array" ref="B16164">iferror(xlookup($I16164, 'IMPORT VHC Report'!$E:$E, 'IMPORT VHC Report'!$A:$C), )</f>
        <v/>
      </c>
      <c r="C16164" s="44"/>
      <c r="D16164" s="44"/>
      <c r="E16164" s="46" t="s">
        <v>12357</v>
      </c>
      <c r="F16164" s="46" t="s">
        <v>497</v>
      </c>
      <c r="G16164" s="46">
        <v>1.1279766049295E13</v>
      </c>
      <c r="H16164" s="46" t="s">
        <v>498</v>
      </c>
      <c r="I16164" s="46" t="s">
        <v>499</v>
      </c>
      <c r="J16164" s="46" t="s">
        <v>330</v>
      </c>
      <c r="K16164" s="46" t="s">
        <v>126</v>
      </c>
      <c r="L16164" s="45">
        <v>46016.875</v>
      </c>
      <c r="M16164" s="46" t="s">
        <v>123</v>
      </c>
      <c r="N16164" s="45">
        <v>46016.881944444445</v>
      </c>
      <c r="O16164" s="46" t="s">
        <v>123</v>
      </c>
      <c r="P16164" s="46">
        <v>600.0</v>
      </c>
    </row>
    <row r="16165">
      <c r="A16165" s="40">
        <f t="shared" si="1"/>
        <v>46013</v>
      </c>
      <c r="B16165" s="37" t="str">
        <f t="array" ref="B16165">iferror(xlookup($I16165, 'IMPORT VHC Report'!$E:$E, 'IMPORT VHC Report'!$A:$C), )</f>
        <v/>
      </c>
      <c r="C16165" s="44"/>
      <c r="D16165" s="44"/>
      <c r="E16165" s="46" t="s">
        <v>12358</v>
      </c>
      <c r="F16165" s="46" t="s">
        <v>497</v>
      </c>
      <c r="G16165" s="46">
        <v>1.1279766049295E13</v>
      </c>
      <c r="H16165" s="46" t="s">
        <v>498</v>
      </c>
      <c r="I16165" s="46" t="s">
        <v>499</v>
      </c>
      <c r="J16165" s="46" t="s">
        <v>332</v>
      </c>
      <c r="K16165" s="46" t="s">
        <v>63</v>
      </c>
      <c r="L16165" s="45">
        <v>46016.875</v>
      </c>
      <c r="M16165" s="46" t="s">
        <v>123</v>
      </c>
      <c r="N16165" s="45">
        <v>46017.25</v>
      </c>
      <c r="O16165" s="46" t="s">
        <v>123</v>
      </c>
      <c r="P16165" s="46">
        <v>32400.0</v>
      </c>
    </row>
    <row r="16166">
      <c r="A16166" s="40">
        <f t="shared" si="1"/>
        <v>46013</v>
      </c>
      <c r="B16166" s="37" t="str">
        <f t="array" ref="B16166">iferror(xlookup($I16166, 'IMPORT VHC Report'!$E:$E, 'IMPORT VHC Report'!$A:$C), )</f>
        <v/>
      </c>
      <c r="C16166" s="44"/>
      <c r="D16166" s="44"/>
      <c r="E16166" s="46" t="s">
        <v>12359</v>
      </c>
      <c r="F16166" s="46" t="s">
        <v>497</v>
      </c>
      <c r="G16166" s="46">
        <v>1.1279766049295E13</v>
      </c>
      <c r="H16166" s="46" t="s">
        <v>498</v>
      </c>
      <c r="I16166" s="46" t="s">
        <v>499</v>
      </c>
      <c r="J16166" s="46" t="s">
        <v>132</v>
      </c>
      <c r="K16166" s="46" t="s">
        <v>126</v>
      </c>
      <c r="L16166" s="45">
        <v>46017.03125</v>
      </c>
      <c r="M16166" s="46" t="s">
        <v>123</v>
      </c>
      <c r="N16166" s="45">
        <v>46017.072916666664</v>
      </c>
      <c r="O16166" s="46" t="s">
        <v>123</v>
      </c>
      <c r="P16166" s="46">
        <v>3600.0</v>
      </c>
    </row>
    <row r="16167">
      <c r="A16167" s="40">
        <f t="shared" si="1"/>
        <v>46013</v>
      </c>
      <c r="B16167" s="37" t="str">
        <f t="array" ref="B16167">iferror(xlookup($I16167, 'IMPORT VHC Report'!$E:$E, 'IMPORT VHC Report'!$A:$C), )</f>
        <v/>
      </c>
      <c r="C16167" s="44"/>
      <c r="D16167" s="44"/>
      <c r="E16167" s="46" t="s">
        <v>12360</v>
      </c>
      <c r="F16167" s="46" t="s">
        <v>497</v>
      </c>
      <c r="G16167" s="46">
        <v>1.1279766049295E13</v>
      </c>
      <c r="H16167" s="46" t="s">
        <v>498</v>
      </c>
      <c r="I16167" s="46" t="s">
        <v>499</v>
      </c>
      <c r="J16167" s="46" t="s">
        <v>134</v>
      </c>
      <c r="K16167" s="46" t="s">
        <v>126</v>
      </c>
      <c r="L16167" s="45">
        <v>46017.177083333336</v>
      </c>
      <c r="M16167" s="46" t="s">
        <v>123</v>
      </c>
      <c r="N16167" s="45">
        <v>46017.197916666664</v>
      </c>
      <c r="O16167" s="46" t="s">
        <v>123</v>
      </c>
      <c r="P16167" s="46">
        <v>1800.0</v>
      </c>
    </row>
    <row r="16168">
      <c r="A16168" s="40">
        <f t="shared" si="1"/>
        <v>46013</v>
      </c>
      <c r="B16168" s="37" t="str">
        <f t="array" ref="B16168">iferror(xlookup($I16168, 'IMPORT VHC Report'!$E:$E, 'IMPORT VHC Report'!$A:$C), )</f>
        <v/>
      </c>
      <c r="C16168" s="44"/>
      <c r="D16168" s="44"/>
      <c r="E16168" s="46" t="s">
        <v>12361</v>
      </c>
      <c r="F16168" s="46" t="s">
        <v>497</v>
      </c>
      <c r="G16168" s="46">
        <v>1.1279766049295E13</v>
      </c>
      <c r="H16168" s="46" t="s">
        <v>498</v>
      </c>
      <c r="I16168" s="46" t="s">
        <v>499</v>
      </c>
      <c r="J16168" s="46" t="s">
        <v>330</v>
      </c>
      <c r="K16168" s="46" t="s">
        <v>126</v>
      </c>
      <c r="L16168" s="45">
        <v>46017.875</v>
      </c>
      <c r="M16168" s="46" t="s">
        <v>123</v>
      </c>
      <c r="N16168" s="45">
        <v>46017.881944444445</v>
      </c>
      <c r="O16168" s="46" t="s">
        <v>123</v>
      </c>
      <c r="P16168" s="46">
        <v>600.0</v>
      </c>
    </row>
    <row r="16169">
      <c r="A16169" s="40">
        <f t="shared" si="1"/>
        <v>46013</v>
      </c>
      <c r="B16169" s="37" t="str">
        <f t="array" ref="B16169">iferror(xlookup($I16169, 'IMPORT VHC Report'!$E:$E, 'IMPORT VHC Report'!$A:$C), )</f>
        <v/>
      </c>
      <c r="C16169" s="44"/>
      <c r="D16169" s="44"/>
      <c r="E16169" s="46" t="s">
        <v>12362</v>
      </c>
      <c r="F16169" s="46" t="s">
        <v>497</v>
      </c>
      <c r="G16169" s="46">
        <v>1.1279766049295E13</v>
      </c>
      <c r="H16169" s="46" t="s">
        <v>498</v>
      </c>
      <c r="I16169" s="46" t="s">
        <v>499</v>
      </c>
      <c r="J16169" s="46" t="s">
        <v>332</v>
      </c>
      <c r="K16169" s="46" t="s">
        <v>63</v>
      </c>
      <c r="L16169" s="45">
        <v>46017.875</v>
      </c>
      <c r="M16169" s="46" t="s">
        <v>123</v>
      </c>
      <c r="N16169" s="45">
        <v>46018.25</v>
      </c>
      <c r="O16169" s="46" t="s">
        <v>123</v>
      </c>
      <c r="P16169" s="46">
        <v>32400.0</v>
      </c>
    </row>
    <row r="16170">
      <c r="A16170" s="40">
        <f t="shared" si="1"/>
        <v>46013</v>
      </c>
      <c r="B16170" s="37" t="str">
        <f t="array" ref="B16170">iferror(xlookup($I16170, 'IMPORT VHC Report'!$E:$E, 'IMPORT VHC Report'!$A:$C), )</f>
        <v/>
      </c>
      <c r="C16170" s="44"/>
      <c r="D16170" s="44"/>
      <c r="E16170" s="46" t="s">
        <v>12363</v>
      </c>
      <c r="F16170" s="46" t="s">
        <v>497</v>
      </c>
      <c r="G16170" s="46">
        <v>1.1279766049295E13</v>
      </c>
      <c r="H16170" s="46" t="s">
        <v>498</v>
      </c>
      <c r="I16170" s="46" t="s">
        <v>499</v>
      </c>
      <c r="J16170" s="46" t="s">
        <v>132</v>
      </c>
      <c r="K16170" s="46" t="s">
        <v>126</v>
      </c>
      <c r="L16170" s="45">
        <v>46018.03125</v>
      </c>
      <c r="M16170" s="46" t="s">
        <v>123</v>
      </c>
      <c r="N16170" s="45">
        <v>46018.072916666664</v>
      </c>
      <c r="O16170" s="46" t="s">
        <v>123</v>
      </c>
      <c r="P16170" s="46">
        <v>3600.0</v>
      </c>
    </row>
    <row r="16171">
      <c r="A16171" s="40">
        <f t="shared" si="1"/>
        <v>46013</v>
      </c>
      <c r="B16171" s="37" t="str">
        <f t="array" ref="B16171">iferror(xlookup($I16171, 'IMPORT VHC Report'!$E:$E, 'IMPORT VHC Report'!$A:$C), )</f>
        <v/>
      </c>
      <c r="C16171" s="44"/>
      <c r="D16171" s="44"/>
      <c r="E16171" s="46" t="s">
        <v>12364</v>
      </c>
      <c r="F16171" s="46" t="s">
        <v>497</v>
      </c>
      <c r="G16171" s="46">
        <v>1.1279766049295E13</v>
      </c>
      <c r="H16171" s="46" t="s">
        <v>498</v>
      </c>
      <c r="I16171" s="46" t="s">
        <v>499</v>
      </c>
      <c r="J16171" s="46" t="s">
        <v>134</v>
      </c>
      <c r="K16171" s="46" t="s">
        <v>126</v>
      </c>
      <c r="L16171" s="45">
        <v>46018.166666666664</v>
      </c>
      <c r="M16171" s="46" t="s">
        <v>123</v>
      </c>
      <c r="N16171" s="45">
        <v>46018.1875</v>
      </c>
      <c r="O16171" s="46" t="s">
        <v>123</v>
      </c>
      <c r="P16171" s="46">
        <v>1800.0</v>
      </c>
    </row>
    <row r="16172">
      <c r="A16172" s="40">
        <f t="shared" si="1"/>
        <v>46013</v>
      </c>
      <c r="B16172" s="37" t="str">
        <f t="array" ref="B16172">iferror(xlookup($I16172, 'IMPORT VHC Report'!$E:$E, 'IMPORT VHC Report'!$A:$C), )</f>
        <v/>
      </c>
      <c r="C16172" s="44"/>
      <c r="D16172" s="44"/>
      <c r="E16172" s="46" t="s">
        <v>12365</v>
      </c>
      <c r="F16172" s="46" t="s">
        <v>497</v>
      </c>
      <c r="G16172" s="46">
        <v>1.1279766049295E13</v>
      </c>
      <c r="H16172" s="46" t="s">
        <v>498</v>
      </c>
      <c r="I16172" s="46" t="s">
        <v>499</v>
      </c>
      <c r="J16172" s="46" t="s">
        <v>330</v>
      </c>
      <c r="K16172" s="46" t="s">
        <v>126</v>
      </c>
      <c r="L16172" s="45">
        <v>46018.875</v>
      </c>
      <c r="M16172" s="46" t="s">
        <v>123</v>
      </c>
      <c r="N16172" s="45">
        <v>46018.881944444445</v>
      </c>
      <c r="O16172" s="46" t="s">
        <v>123</v>
      </c>
      <c r="P16172" s="46">
        <v>600.0</v>
      </c>
    </row>
    <row r="16173">
      <c r="A16173" s="40">
        <f t="shared" si="1"/>
        <v>46013</v>
      </c>
      <c r="B16173" s="37" t="str">
        <f t="array" ref="B16173">iferror(xlookup($I16173, 'IMPORT VHC Report'!$E:$E, 'IMPORT VHC Report'!$A:$C), )</f>
        <v/>
      </c>
      <c r="C16173" s="44"/>
      <c r="D16173" s="44"/>
      <c r="E16173" s="46" t="s">
        <v>12366</v>
      </c>
      <c r="F16173" s="46" t="s">
        <v>497</v>
      </c>
      <c r="G16173" s="46">
        <v>1.1279766049295E13</v>
      </c>
      <c r="H16173" s="46" t="s">
        <v>498</v>
      </c>
      <c r="I16173" s="46" t="s">
        <v>499</v>
      </c>
      <c r="J16173" s="46" t="s">
        <v>178</v>
      </c>
      <c r="K16173" s="46" t="s">
        <v>153</v>
      </c>
      <c r="L16173" s="45">
        <v>46018.875</v>
      </c>
      <c r="M16173" s="46" t="s">
        <v>123</v>
      </c>
      <c r="N16173" s="45">
        <v>46019.25</v>
      </c>
      <c r="O16173" s="46" t="s">
        <v>123</v>
      </c>
      <c r="P16173" s="46">
        <v>32400.0</v>
      </c>
      <c r="Q16173" s="46">
        <v>28800.0</v>
      </c>
      <c r="R16173" s="46" t="s">
        <v>12367</v>
      </c>
    </row>
    <row r="16174">
      <c r="A16174" s="40">
        <f t="shared" si="1"/>
        <v>46013</v>
      </c>
      <c r="B16174" s="37" t="str">
        <f t="array" ref="B16174">iferror(xlookup($I16174, 'IMPORT VHC Report'!$E:$E, 'IMPORT VHC Report'!$A:$C), )</f>
        <v/>
      </c>
      <c r="C16174" s="44"/>
      <c r="D16174" s="44"/>
      <c r="E16174" s="46" t="s">
        <v>12368</v>
      </c>
      <c r="F16174" s="46" t="s">
        <v>497</v>
      </c>
      <c r="G16174" s="46">
        <v>1.1279766049295E13</v>
      </c>
      <c r="H16174" s="46" t="s">
        <v>498</v>
      </c>
      <c r="I16174" s="46" t="s">
        <v>499</v>
      </c>
      <c r="J16174" s="46" t="s">
        <v>332</v>
      </c>
      <c r="K16174" s="46" t="s">
        <v>63</v>
      </c>
      <c r="L16174" s="45">
        <v>46018.875</v>
      </c>
      <c r="M16174" s="46" t="s">
        <v>123</v>
      </c>
      <c r="N16174" s="45">
        <v>46019.25</v>
      </c>
      <c r="O16174" s="46" t="s">
        <v>123</v>
      </c>
      <c r="P16174" s="46">
        <v>32400.0</v>
      </c>
    </row>
    <row r="16175">
      <c r="A16175" s="40">
        <f t="shared" si="1"/>
        <v>46013</v>
      </c>
      <c r="B16175" s="37" t="str">
        <f t="array" ref="B16175">iferror(xlookup($I16175, 'IMPORT VHC Report'!$E:$E, 'IMPORT VHC Report'!$A:$C), )</f>
        <v/>
      </c>
      <c r="C16175" s="44"/>
      <c r="D16175" s="44"/>
      <c r="E16175" s="46" t="s">
        <v>12369</v>
      </c>
      <c r="F16175" s="46" t="s">
        <v>497</v>
      </c>
      <c r="G16175" s="46">
        <v>1.1279766049295E13</v>
      </c>
      <c r="H16175" s="46" t="s">
        <v>498</v>
      </c>
      <c r="I16175" s="46" t="s">
        <v>499</v>
      </c>
      <c r="J16175" s="46" t="s">
        <v>132</v>
      </c>
      <c r="K16175" s="46" t="s">
        <v>126</v>
      </c>
      <c r="L16175" s="45">
        <v>46018.989583333336</v>
      </c>
      <c r="M16175" s="46" t="s">
        <v>123</v>
      </c>
      <c r="N16175" s="45">
        <v>46019.03125</v>
      </c>
      <c r="O16175" s="46" t="s">
        <v>123</v>
      </c>
      <c r="P16175" s="46">
        <v>3600.0</v>
      </c>
    </row>
    <row r="16176">
      <c r="A16176" s="40">
        <f t="shared" si="1"/>
        <v>46013</v>
      </c>
      <c r="B16176" s="37" t="str">
        <f t="array" ref="B16176">iferror(xlookup($I16176, 'IMPORT VHC Report'!$E:$E, 'IMPORT VHC Report'!$A:$C), )</f>
        <v/>
      </c>
      <c r="C16176" s="44"/>
      <c r="D16176" s="44"/>
      <c r="E16176" s="46" t="s">
        <v>12370</v>
      </c>
      <c r="F16176" s="46" t="s">
        <v>497</v>
      </c>
      <c r="G16176" s="46">
        <v>1.1279766049295E13</v>
      </c>
      <c r="H16176" s="46" t="s">
        <v>498</v>
      </c>
      <c r="I16176" s="46" t="s">
        <v>499</v>
      </c>
      <c r="J16176" s="46" t="s">
        <v>134</v>
      </c>
      <c r="K16176" s="46" t="s">
        <v>126</v>
      </c>
      <c r="L16176" s="45">
        <v>46019.145833333336</v>
      </c>
      <c r="M16176" s="46" t="s">
        <v>123</v>
      </c>
      <c r="N16176" s="45">
        <v>46019.166666666664</v>
      </c>
      <c r="O16176" s="46" t="s">
        <v>123</v>
      </c>
      <c r="P16176" s="46">
        <v>1800.0</v>
      </c>
    </row>
    <row r="16177">
      <c r="A16177" s="40">
        <f t="shared" si="1"/>
        <v>46013</v>
      </c>
      <c r="B16177" s="37" t="str">
        <f t="array" ref="B16177">iferror(xlookup($I16177, 'IMPORT VHC Report'!$E:$E, 'IMPORT VHC Report'!$A:$C), )</f>
        <v/>
      </c>
      <c r="C16177" s="44"/>
      <c r="D16177" s="44"/>
      <c r="E16177" s="46" t="s">
        <v>12371</v>
      </c>
      <c r="F16177" s="46" t="s">
        <v>7703</v>
      </c>
      <c r="G16177" s="46">
        <v>6.839674714895E12</v>
      </c>
      <c r="H16177" s="46" t="s">
        <v>7704</v>
      </c>
      <c r="I16177" s="46" t="s">
        <v>7705</v>
      </c>
      <c r="J16177" s="46" t="s">
        <v>125</v>
      </c>
      <c r="K16177" s="46" t="s">
        <v>126</v>
      </c>
      <c r="L16177" s="45">
        <v>46015.041666666664</v>
      </c>
      <c r="M16177" s="46" t="s">
        <v>123</v>
      </c>
      <c r="N16177" s="45">
        <v>46015.04861111111</v>
      </c>
      <c r="O16177" s="46" t="s">
        <v>123</v>
      </c>
      <c r="P16177" s="46">
        <v>600.0</v>
      </c>
      <c r="S16177" s="46" t="s">
        <v>127</v>
      </c>
    </row>
    <row r="16178">
      <c r="A16178" s="40">
        <f t="shared" si="1"/>
        <v>46013</v>
      </c>
      <c r="B16178" s="37" t="str">
        <f t="array" ref="B16178">iferror(xlookup($I16178, 'IMPORT VHC Report'!$E:$E, 'IMPORT VHC Report'!$A:$C), )</f>
        <v/>
      </c>
      <c r="C16178" s="44"/>
      <c r="D16178" s="44"/>
      <c r="E16178" s="46" t="s">
        <v>12372</v>
      </c>
      <c r="F16178" s="46" t="s">
        <v>7703</v>
      </c>
      <c r="G16178" s="46">
        <v>6.839674714895E12</v>
      </c>
      <c r="H16178" s="46" t="s">
        <v>7704</v>
      </c>
      <c r="I16178" s="46" t="s">
        <v>7705</v>
      </c>
      <c r="J16178" s="46" t="s">
        <v>178</v>
      </c>
      <c r="K16178" s="46" t="s">
        <v>153</v>
      </c>
      <c r="L16178" s="45">
        <v>46015.041666666664</v>
      </c>
      <c r="M16178" s="46" t="s">
        <v>123</v>
      </c>
      <c r="N16178" s="45">
        <v>46015.25</v>
      </c>
      <c r="O16178" s="46" t="s">
        <v>123</v>
      </c>
      <c r="P16178" s="46">
        <v>18000.0</v>
      </c>
      <c r="Q16178" s="46">
        <v>18000.0</v>
      </c>
      <c r="R16178" s="46" t="s">
        <v>12373</v>
      </c>
    </row>
    <row r="16179">
      <c r="A16179" s="40">
        <f t="shared" si="1"/>
        <v>46013</v>
      </c>
      <c r="B16179" s="37" t="str">
        <f t="array" ref="B16179">iferror(xlookup($I16179, 'IMPORT VHC Report'!$E:$E, 'IMPORT VHC Report'!$A:$C), )</f>
        <v/>
      </c>
      <c r="C16179" s="44"/>
      <c r="D16179" s="44"/>
      <c r="E16179" s="46" t="s">
        <v>12374</v>
      </c>
      <c r="F16179" s="46" t="s">
        <v>7703</v>
      </c>
      <c r="G16179" s="46">
        <v>6.839674714895E12</v>
      </c>
      <c r="H16179" s="46" t="s">
        <v>7704</v>
      </c>
      <c r="I16179" s="46" t="s">
        <v>7705</v>
      </c>
      <c r="J16179" s="46" t="s">
        <v>122</v>
      </c>
      <c r="K16179" s="46" t="s">
        <v>63</v>
      </c>
      <c r="L16179" s="45">
        <v>46015.041666666664</v>
      </c>
      <c r="M16179" s="46" t="s">
        <v>123</v>
      </c>
      <c r="N16179" s="45">
        <v>46015.416666666664</v>
      </c>
      <c r="O16179" s="46" t="s">
        <v>123</v>
      </c>
      <c r="P16179" s="46">
        <v>32400.0</v>
      </c>
    </row>
    <row r="16180">
      <c r="A16180" s="40">
        <f t="shared" si="1"/>
        <v>46013</v>
      </c>
      <c r="B16180" s="37" t="str">
        <f t="array" ref="B16180">iferror(xlookup($I16180, 'IMPORT VHC Report'!$E:$E, 'IMPORT VHC Report'!$A:$C), )</f>
        <v/>
      </c>
      <c r="C16180" s="44"/>
      <c r="D16180" s="44"/>
      <c r="E16180" s="46" t="s">
        <v>12375</v>
      </c>
      <c r="F16180" s="46" t="s">
        <v>7703</v>
      </c>
      <c r="G16180" s="46">
        <v>6.839674714895E12</v>
      </c>
      <c r="H16180" s="46" t="s">
        <v>7704</v>
      </c>
      <c r="I16180" s="46" t="s">
        <v>7705</v>
      </c>
      <c r="J16180" s="46" t="s">
        <v>134</v>
      </c>
      <c r="K16180" s="46" t="s">
        <v>126</v>
      </c>
      <c r="L16180" s="45">
        <v>46015.125</v>
      </c>
      <c r="M16180" s="46" t="s">
        <v>123</v>
      </c>
      <c r="N16180" s="45">
        <v>46015.145833333336</v>
      </c>
      <c r="O16180" s="46" t="s">
        <v>123</v>
      </c>
      <c r="P16180" s="46">
        <v>1800.0</v>
      </c>
    </row>
    <row r="16181">
      <c r="A16181" s="40">
        <f t="shared" si="1"/>
        <v>46013</v>
      </c>
      <c r="B16181" s="37" t="str">
        <f t="array" ref="B16181">iferror(xlookup($I16181, 'IMPORT VHC Report'!$E:$E, 'IMPORT VHC Report'!$A:$C), )</f>
        <v/>
      </c>
      <c r="C16181" s="44"/>
      <c r="D16181" s="44"/>
      <c r="E16181" s="46" t="s">
        <v>12376</v>
      </c>
      <c r="F16181" s="46" t="s">
        <v>7703</v>
      </c>
      <c r="G16181" s="46">
        <v>6.839674714895E12</v>
      </c>
      <c r="H16181" s="46" t="s">
        <v>7704</v>
      </c>
      <c r="I16181" s="46" t="s">
        <v>7705</v>
      </c>
      <c r="J16181" s="46" t="s">
        <v>132</v>
      </c>
      <c r="K16181" s="46" t="s">
        <v>126</v>
      </c>
      <c r="L16181" s="45">
        <v>46015.270833333336</v>
      </c>
      <c r="M16181" s="46" t="s">
        <v>123</v>
      </c>
      <c r="N16181" s="45">
        <v>46015.3125</v>
      </c>
      <c r="O16181" s="46" t="s">
        <v>123</v>
      </c>
      <c r="P16181" s="46">
        <v>3600.0</v>
      </c>
    </row>
    <row r="16182">
      <c r="A16182" s="40">
        <f t="shared" si="1"/>
        <v>46013</v>
      </c>
      <c r="B16182" s="37" t="str">
        <f t="array" ref="B16182">iferror(xlookup($I16182, 'IMPORT VHC Report'!$E:$E, 'IMPORT VHC Report'!$A:$C), )</f>
        <v/>
      </c>
      <c r="C16182" s="44"/>
      <c r="D16182" s="44"/>
      <c r="E16182" s="46" t="s">
        <v>12377</v>
      </c>
      <c r="F16182" s="46" t="s">
        <v>7703</v>
      </c>
      <c r="G16182" s="46">
        <v>6.839674714895E12</v>
      </c>
      <c r="H16182" s="46" t="s">
        <v>7704</v>
      </c>
      <c r="I16182" s="46" t="s">
        <v>7705</v>
      </c>
      <c r="J16182" s="46" t="s">
        <v>125</v>
      </c>
      <c r="K16182" s="46" t="s">
        <v>126</v>
      </c>
      <c r="L16182" s="45">
        <v>46016.041666666664</v>
      </c>
      <c r="M16182" s="46" t="s">
        <v>123</v>
      </c>
      <c r="N16182" s="45">
        <v>46016.04861111111</v>
      </c>
      <c r="O16182" s="46" t="s">
        <v>123</v>
      </c>
      <c r="P16182" s="46">
        <v>600.0</v>
      </c>
      <c r="S16182" s="46" t="s">
        <v>127</v>
      </c>
    </row>
    <row r="16183">
      <c r="A16183" s="40">
        <f t="shared" si="1"/>
        <v>46013</v>
      </c>
      <c r="B16183" s="37" t="str">
        <f t="array" ref="B16183">iferror(xlookup($I16183, 'IMPORT VHC Report'!$E:$E, 'IMPORT VHC Report'!$A:$C), )</f>
        <v/>
      </c>
      <c r="C16183" s="44"/>
      <c r="D16183" s="44"/>
      <c r="E16183" s="46" t="s">
        <v>12378</v>
      </c>
      <c r="F16183" s="46" t="s">
        <v>7703</v>
      </c>
      <c r="G16183" s="46">
        <v>6.839674714895E12</v>
      </c>
      <c r="H16183" s="46" t="s">
        <v>7704</v>
      </c>
      <c r="I16183" s="46" t="s">
        <v>7705</v>
      </c>
      <c r="J16183" s="46" t="s">
        <v>122</v>
      </c>
      <c r="K16183" s="46" t="s">
        <v>63</v>
      </c>
      <c r="L16183" s="45">
        <v>46016.041666666664</v>
      </c>
      <c r="M16183" s="46" t="s">
        <v>123</v>
      </c>
      <c r="N16183" s="45">
        <v>46016.416666666664</v>
      </c>
      <c r="O16183" s="46" t="s">
        <v>123</v>
      </c>
      <c r="P16183" s="46">
        <v>32400.0</v>
      </c>
    </row>
    <row r="16184">
      <c r="A16184" s="40">
        <f t="shared" si="1"/>
        <v>46013</v>
      </c>
      <c r="B16184" s="37" t="str">
        <f t="array" ref="B16184">iferror(xlookup($I16184, 'IMPORT VHC Report'!$E:$E, 'IMPORT VHC Report'!$A:$C), )</f>
        <v/>
      </c>
      <c r="C16184" s="44"/>
      <c r="D16184" s="44"/>
      <c r="E16184" s="46" t="s">
        <v>12379</v>
      </c>
      <c r="F16184" s="46" t="s">
        <v>7703</v>
      </c>
      <c r="G16184" s="46">
        <v>6.839674714895E12</v>
      </c>
      <c r="H16184" s="46" t="s">
        <v>7704</v>
      </c>
      <c r="I16184" s="46" t="s">
        <v>7705</v>
      </c>
      <c r="J16184" s="46" t="s">
        <v>134</v>
      </c>
      <c r="K16184" s="46" t="s">
        <v>126</v>
      </c>
      <c r="L16184" s="45">
        <v>46016.166666666664</v>
      </c>
      <c r="M16184" s="46" t="s">
        <v>123</v>
      </c>
      <c r="N16184" s="45">
        <v>46016.1875</v>
      </c>
      <c r="O16184" s="46" t="s">
        <v>123</v>
      </c>
      <c r="P16184" s="46">
        <v>1800.0</v>
      </c>
    </row>
    <row r="16185">
      <c r="A16185" s="40">
        <f t="shared" si="1"/>
        <v>46013</v>
      </c>
      <c r="B16185" s="37" t="str">
        <f t="array" ref="B16185">iferror(xlookup($I16185, 'IMPORT VHC Report'!$E:$E, 'IMPORT VHC Report'!$A:$C), )</f>
        <v/>
      </c>
      <c r="C16185" s="44"/>
      <c r="D16185" s="44"/>
      <c r="E16185" s="46" t="s">
        <v>12380</v>
      </c>
      <c r="F16185" s="46" t="s">
        <v>7703</v>
      </c>
      <c r="G16185" s="46">
        <v>6.839674714895E12</v>
      </c>
      <c r="H16185" s="46" t="s">
        <v>7704</v>
      </c>
      <c r="I16185" s="46" t="s">
        <v>7705</v>
      </c>
      <c r="J16185" s="46" t="s">
        <v>132</v>
      </c>
      <c r="K16185" s="46" t="s">
        <v>126</v>
      </c>
      <c r="L16185" s="45">
        <v>46016.291666666664</v>
      </c>
      <c r="M16185" s="46" t="s">
        <v>123</v>
      </c>
      <c r="N16185" s="45">
        <v>46016.333333333336</v>
      </c>
      <c r="O16185" s="46" t="s">
        <v>123</v>
      </c>
      <c r="P16185" s="46">
        <v>3600.0</v>
      </c>
    </row>
    <row r="16186">
      <c r="A16186" s="40">
        <f t="shared" si="1"/>
        <v>46013</v>
      </c>
      <c r="B16186" s="37" t="str">
        <f t="array" ref="B16186">iferror(xlookup($I16186, 'IMPORT VHC Report'!$E:$E, 'IMPORT VHC Report'!$A:$C), )</f>
        <v/>
      </c>
      <c r="C16186" s="44"/>
      <c r="D16186" s="44"/>
      <c r="E16186" s="46" t="s">
        <v>12381</v>
      </c>
      <c r="F16186" s="46" t="s">
        <v>7703</v>
      </c>
      <c r="G16186" s="46">
        <v>6.839674714895E12</v>
      </c>
      <c r="H16186" s="46" t="s">
        <v>7704</v>
      </c>
      <c r="I16186" s="46" t="s">
        <v>7705</v>
      </c>
      <c r="J16186" s="46" t="s">
        <v>125</v>
      </c>
      <c r="K16186" s="46" t="s">
        <v>126</v>
      </c>
      <c r="L16186" s="45">
        <v>46017.041666666664</v>
      </c>
      <c r="M16186" s="46" t="s">
        <v>123</v>
      </c>
      <c r="N16186" s="45">
        <v>46017.04861111111</v>
      </c>
      <c r="O16186" s="46" t="s">
        <v>123</v>
      </c>
      <c r="P16186" s="46">
        <v>600.0</v>
      </c>
      <c r="S16186" s="46" t="s">
        <v>127</v>
      </c>
    </row>
    <row r="16187">
      <c r="A16187" s="40">
        <f t="shared" si="1"/>
        <v>46013</v>
      </c>
      <c r="B16187" s="37" t="str">
        <f t="array" ref="B16187">iferror(xlookup($I16187, 'IMPORT VHC Report'!$E:$E, 'IMPORT VHC Report'!$A:$C), )</f>
        <v/>
      </c>
      <c r="C16187" s="44"/>
      <c r="D16187" s="44"/>
      <c r="E16187" s="46" t="s">
        <v>12382</v>
      </c>
      <c r="F16187" s="46" t="s">
        <v>7703</v>
      </c>
      <c r="G16187" s="46">
        <v>6.839674714895E12</v>
      </c>
      <c r="H16187" s="46" t="s">
        <v>7704</v>
      </c>
      <c r="I16187" s="46" t="s">
        <v>7705</v>
      </c>
      <c r="J16187" s="46" t="s">
        <v>122</v>
      </c>
      <c r="K16187" s="46" t="s">
        <v>63</v>
      </c>
      <c r="L16187" s="45">
        <v>46017.041666666664</v>
      </c>
      <c r="M16187" s="46" t="s">
        <v>123</v>
      </c>
      <c r="N16187" s="45">
        <v>46017.416666666664</v>
      </c>
      <c r="O16187" s="46" t="s">
        <v>123</v>
      </c>
      <c r="P16187" s="46">
        <v>32400.0</v>
      </c>
    </row>
    <row r="16188">
      <c r="A16188" s="40">
        <f t="shared" si="1"/>
        <v>46013</v>
      </c>
      <c r="B16188" s="37" t="str">
        <f t="array" ref="B16188">iferror(xlookup($I16188, 'IMPORT VHC Report'!$E:$E, 'IMPORT VHC Report'!$A:$C), )</f>
        <v/>
      </c>
      <c r="C16188" s="44"/>
      <c r="D16188" s="44"/>
      <c r="E16188" s="46" t="s">
        <v>12383</v>
      </c>
      <c r="F16188" s="46" t="s">
        <v>7703</v>
      </c>
      <c r="G16188" s="46">
        <v>6.839674714895E12</v>
      </c>
      <c r="H16188" s="46" t="s">
        <v>7704</v>
      </c>
      <c r="I16188" s="46" t="s">
        <v>7705</v>
      </c>
      <c r="J16188" s="46" t="s">
        <v>134</v>
      </c>
      <c r="K16188" s="46" t="s">
        <v>126</v>
      </c>
      <c r="L16188" s="45">
        <v>46017.166666666664</v>
      </c>
      <c r="M16188" s="46" t="s">
        <v>123</v>
      </c>
      <c r="N16188" s="45">
        <v>46017.1875</v>
      </c>
      <c r="O16188" s="46" t="s">
        <v>123</v>
      </c>
      <c r="P16188" s="46">
        <v>1800.0</v>
      </c>
    </row>
    <row r="16189">
      <c r="A16189" s="40">
        <f t="shared" si="1"/>
        <v>46013</v>
      </c>
      <c r="B16189" s="37" t="str">
        <f t="array" ref="B16189">iferror(xlookup($I16189, 'IMPORT VHC Report'!$E:$E, 'IMPORT VHC Report'!$A:$C), )</f>
        <v/>
      </c>
      <c r="C16189" s="44"/>
      <c r="D16189" s="44"/>
      <c r="E16189" s="46" t="s">
        <v>12384</v>
      </c>
      <c r="F16189" s="46" t="s">
        <v>7703</v>
      </c>
      <c r="G16189" s="46">
        <v>6.839674714895E12</v>
      </c>
      <c r="H16189" s="46" t="s">
        <v>7704</v>
      </c>
      <c r="I16189" s="46" t="s">
        <v>7705</v>
      </c>
      <c r="J16189" s="46" t="s">
        <v>132</v>
      </c>
      <c r="K16189" s="46" t="s">
        <v>126</v>
      </c>
      <c r="L16189" s="45">
        <v>46017.291666666664</v>
      </c>
      <c r="M16189" s="46" t="s">
        <v>123</v>
      </c>
      <c r="N16189" s="45">
        <v>46017.333333333336</v>
      </c>
      <c r="O16189" s="46" t="s">
        <v>123</v>
      </c>
      <c r="P16189" s="46">
        <v>3600.0</v>
      </c>
    </row>
    <row r="16190">
      <c r="A16190" s="40">
        <f t="shared" si="1"/>
        <v>46013</v>
      </c>
      <c r="B16190" s="37" t="str">
        <f t="array" ref="B16190">iferror(xlookup($I16190, 'IMPORT VHC Report'!$E:$E, 'IMPORT VHC Report'!$A:$C), )</f>
        <v/>
      </c>
      <c r="C16190" s="44"/>
      <c r="D16190" s="44"/>
      <c r="E16190" s="46" t="s">
        <v>12385</v>
      </c>
      <c r="F16190" s="46" t="s">
        <v>7703</v>
      </c>
      <c r="G16190" s="46">
        <v>6.839674714895E12</v>
      </c>
      <c r="H16190" s="46" t="s">
        <v>7704</v>
      </c>
      <c r="I16190" s="46" t="s">
        <v>7705</v>
      </c>
      <c r="J16190" s="46" t="s">
        <v>125</v>
      </c>
      <c r="K16190" s="46" t="s">
        <v>126</v>
      </c>
      <c r="L16190" s="45">
        <v>46018.041666666664</v>
      </c>
      <c r="M16190" s="46" t="s">
        <v>123</v>
      </c>
      <c r="N16190" s="45">
        <v>46018.04861111111</v>
      </c>
      <c r="O16190" s="46" t="s">
        <v>123</v>
      </c>
      <c r="P16190" s="46">
        <v>600.0</v>
      </c>
      <c r="S16190" s="46" t="s">
        <v>127</v>
      </c>
    </row>
    <row r="16191">
      <c r="A16191" s="40">
        <f t="shared" si="1"/>
        <v>46013</v>
      </c>
      <c r="B16191" s="37" t="str">
        <f t="array" ref="B16191">iferror(xlookup($I16191, 'IMPORT VHC Report'!$E:$E, 'IMPORT VHC Report'!$A:$C), )</f>
        <v/>
      </c>
      <c r="C16191" s="44"/>
      <c r="D16191" s="44"/>
      <c r="E16191" s="46" t="s">
        <v>12386</v>
      </c>
      <c r="F16191" s="46" t="s">
        <v>7703</v>
      </c>
      <c r="G16191" s="46">
        <v>6.839674714895E12</v>
      </c>
      <c r="H16191" s="46" t="s">
        <v>7704</v>
      </c>
      <c r="I16191" s="46" t="s">
        <v>7705</v>
      </c>
      <c r="J16191" s="46" t="s">
        <v>122</v>
      </c>
      <c r="K16191" s="46" t="s">
        <v>63</v>
      </c>
      <c r="L16191" s="45">
        <v>46018.041666666664</v>
      </c>
      <c r="M16191" s="46" t="s">
        <v>123</v>
      </c>
      <c r="N16191" s="45">
        <v>46018.416666666664</v>
      </c>
      <c r="O16191" s="46" t="s">
        <v>123</v>
      </c>
      <c r="P16191" s="46">
        <v>32400.0</v>
      </c>
    </row>
    <row r="16192">
      <c r="A16192" s="40">
        <f t="shared" si="1"/>
        <v>46013</v>
      </c>
      <c r="B16192" s="37" t="str">
        <f t="array" ref="B16192">iferror(xlookup($I16192, 'IMPORT VHC Report'!$E:$E, 'IMPORT VHC Report'!$A:$C), )</f>
        <v/>
      </c>
      <c r="C16192" s="44"/>
      <c r="D16192" s="44"/>
      <c r="E16192" s="46" t="s">
        <v>12387</v>
      </c>
      <c r="F16192" s="46" t="s">
        <v>7703</v>
      </c>
      <c r="G16192" s="46">
        <v>6.839674714895E12</v>
      </c>
      <c r="H16192" s="46" t="s">
        <v>7704</v>
      </c>
      <c r="I16192" s="46" t="s">
        <v>7705</v>
      </c>
      <c r="J16192" s="46" t="s">
        <v>134</v>
      </c>
      <c r="K16192" s="46" t="s">
        <v>126</v>
      </c>
      <c r="L16192" s="45">
        <v>46018.145833333336</v>
      </c>
      <c r="M16192" s="46" t="s">
        <v>123</v>
      </c>
      <c r="N16192" s="45">
        <v>46018.166666666664</v>
      </c>
      <c r="O16192" s="46" t="s">
        <v>123</v>
      </c>
      <c r="P16192" s="46">
        <v>1800.0</v>
      </c>
    </row>
    <row r="16193">
      <c r="A16193" s="40">
        <f t="shared" si="1"/>
        <v>46013</v>
      </c>
      <c r="B16193" s="37" t="str">
        <f t="array" ref="B16193">iferror(xlookup($I16193, 'IMPORT VHC Report'!$E:$E, 'IMPORT VHC Report'!$A:$C), )</f>
        <v/>
      </c>
      <c r="C16193" s="44"/>
      <c r="D16193" s="44"/>
      <c r="E16193" s="46" t="s">
        <v>12388</v>
      </c>
      <c r="F16193" s="46" t="s">
        <v>7703</v>
      </c>
      <c r="G16193" s="46">
        <v>6.839674714895E12</v>
      </c>
      <c r="H16193" s="46" t="s">
        <v>7704</v>
      </c>
      <c r="I16193" s="46" t="s">
        <v>7705</v>
      </c>
      <c r="J16193" s="46" t="s">
        <v>132</v>
      </c>
      <c r="K16193" s="46" t="s">
        <v>126</v>
      </c>
      <c r="L16193" s="45">
        <v>46018.3125</v>
      </c>
      <c r="M16193" s="46" t="s">
        <v>123</v>
      </c>
      <c r="N16193" s="45">
        <v>46018.354166666664</v>
      </c>
      <c r="O16193" s="46" t="s">
        <v>123</v>
      </c>
      <c r="P16193" s="46">
        <v>3600.0</v>
      </c>
    </row>
    <row r="16194">
      <c r="A16194" s="40">
        <f t="shared" si="1"/>
        <v>46013</v>
      </c>
      <c r="B16194" s="37" t="str">
        <f t="array" ref="B16194">iferror(xlookup($I16194, 'IMPORT VHC Report'!$E:$E, 'IMPORT VHC Report'!$A:$C), )</f>
        <v/>
      </c>
      <c r="C16194" s="44"/>
      <c r="D16194" s="44"/>
      <c r="E16194" s="46" t="s">
        <v>12389</v>
      </c>
      <c r="F16194" s="46" t="s">
        <v>7703</v>
      </c>
      <c r="G16194" s="46">
        <v>6.839674714895E12</v>
      </c>
      <c r="H16194" s="46" t="s">
        <v>7704</v>
      </c>
      <c r="I16194" s="46" t="s">
        <v>7705</v>
      </c>
      <c r="J16194" s="46" t="s">
        <v>125</v>
      </c>
      <c r="K16194" s="46" t="s">
        <v>126</v>
      </c>
      <c r="L16194" s="45">
        <v>46019.041666666664</v>
      </c>
      <c r="M16194" s="46" t="s">
        <v>123</v>
      </c>
      <c r="N16194" s="45">
        <v>46019.04861111111</v>
      </c>
      <c r="O16194" s="46" t="s">
        <v>123</v>
      </c>
      <c r="P16194" s="46">
        <v>600.0</v>
      </c>
      <c r="S16194" s="46" t="s">
        <v>127</v>
      </c>
    </row>
    <row r="16195">
      <c r="A16195" s="40">
        <f t="shared" si="1"/>
        <v>46013</v>
      </c>
      <c r="B16195" s="37" t="str">
        <f t="array" ref="B16195">iferror(xlookup($I16195, 'IMPORT VHC Report'!$E:$E, 'IMPORT VHC Report'!$A:$C), )</f>
        <v/>
      </c>
      <c r="C16195" s="44"/>
      <c r="D16195" s="44"/>
      <c r="E16195" s="46" t="s">
        <v>12390</v>
      </c>
      <c r="F16195" s="46" t="s">
        <v>7703</v>
      </c>
      <c r="G16195" s="46">
        <v>6.839674714895E12</v>
      </c>
      <c r="H16195" s="46" t="s">
        <v>7704</v>
      </c>
      <c r="I16195" s="46" t="s">
        <v>7705</v>
      </c>
      <c r="J16195" s="46" t="s">
        <v>122</v>
      </c>
      <c r="K16195" s="46" t="s">
        <v>63</v>
      </c>
      <c r="L16195" s="45">
        <v>46019.041666666664</v>
      </c>
      <c r="M16195" s="46" t="s">
        <v>123</v>
      </c>
      <c r="N16195" s="45">
        <v>46019.416666666664</v>
      </c>
      <c r="O16195" s="46" t="s">
        <v>123</v>
      </c>
      <c r="P16195" s="46">
        <v>32400.0</v>
      </c>
    </row>
    <row r="16196">
      <c r="A16196" s="40">
        <f t="shared" si="1"/>
        <v>46013</v>
      </c>
      <c r="B16196" s="37" t="str">
        <f t="array" ref="B16196">iferror(xlookup($I16196, 'IMPORT VHC Report'!$E:$E, 'IMPORT VHC Report'!$A:$C), )</f>
        <v/>
      </c>
      <c r="C16196" s="44"/>
      <c r="D16196" s="44"/>
      <c r="E16196" s="46" t="s">
        <v>12391</v>
      </c>
      <c r="F16196" s="46" t="s">
        <v>7703</v>
      </c>
      <c r="G16196" s="46">
        <v>6.839674714895E12</v>
      </c>
      <c r="H16196" s="46" t="s">
        <v>7704</v>
      </c>
      <c r="I16196" s="46" t="s">
        <v>7705</v>
      </c>
      <c r="J16196" s="46" t="s">
        <v>132</v>
      </c>
      <c r="K16196" s="46" t="s">
        <v>126</v>
      </c>
      <c r="L16196" s="45">
        <v>46019.135416666664</v>
      </c>
      <c r="M16196" s="46" t="s">
        <v>123</v>
      </c>
      <c r="N16196" s="45">
        <v>46019.177083333336</v>
      </c>
      <c r="O16196" s="46" t="s">
        <v>123</v>
      </c>
      <c r="P16196" s="46">
        <v>3600.0</v>
      </c>
    </row>
    <row r="16197">
      <c r="A16197" s="40">
        <f t="shared" si="1"/>
        <v>46013</v>
      </c>
      <c r="B16197" s="37" t="str">
        <f t="array" ref="B16197">iferror(xlookup($I16197, 'IMPORT VHC Report'!$E:$E, 'IMPORT VHC Report'!$A:$C), )</f>
        <v/>
      </c>
      <c r="C16197" s="44"/>
      <c r="D16197" s="44"/>
      <c r="E16197" s="46" t="s">
        <v>12392</v>
      </c>
      <c r="F16197" s="46" t="s">
        <v>7703</v>
      </c>
      <c r="G16197" s="46">
        <v>6.839674714895E12</v>
      </c>
      <c r="H16197" s="46" t="s">
        <v>7704</v>
      </c>
      <c r="I16197" s="46" t="s">
        <v>7705</v>
      </c>
      <c r="J16197" s="46" t="s">
        <v>134</v>
      </c>
      <c r="K16197" s="46" t="s">
        <v>126</v>
      </c>
      <c r="L16197" s="45">
        <v>46019.270833333336</v>
      </c>
      <c r="M16197" s="46" t="s">
        <v>123</v>
      </c>
      <c r="N16197" s="45">
        <v>46019.291666666664</v>
      </c>
      <c r="O16197" s="46" t="s">
        <v>123</v>
      </c>
      <c r="P16197" s="46">
        <v>1800.0</v>
      </c>
    </row>
    <row r="16198">
      <c r="A16198" s="40">
        <f t="shared" si="1"/>
        <v>46013</v>
      </c>
      <c r="B16198" s="37" t="str">
        <f t="array" ref="B16198">iferror(xlookup($I16198, 'IMPORT VHC Report'!$E:$E, 'IMPORT VHC Report'!$A:$C), )</f>
        <v/>
      </c>
      <c r="C16198" s="44"/>
      <c r="D16198" s="44"/>
      <c r="E16198" s="46" t="s">
        <v>12393</v>
      </c>
      <c r="F16198" s="46" t="s">
        <v>7728</v>
      </c>
      <c r="G16198" s="46">
        <v>3.61733077175E11</v>
      </c>
      <c r="H16198" s="46" t="s">
        <v>7729</v>
      </c>
      <c r="I16198" s="46" t="s">
        <v>7730</v>
      </c>
      <c r="J16198" s="46" t="s">
        <v>330</v>
      </c>
      <c r="K16198" s="46" t="s">
        <v>126</v>
      </c>
      <c r="L16198" s="45">
        <v>46015.166666666664</v>
      </c>
      <c r="M16198" s="46" t="s">
        <v>123</v>
      </c>
      <c r="N16198" s="45">
        <v>46015.17361111111</v>
      </c>
      <c r="O16198" s="46" t="s">
        <v>123</v>
      </c>
      <c r="P16198" s="46">
        <v>600.0</v>
      </c>
    </row>
    <row r="16199">
      <c r="A16199" s="40">
        <f t="shared" si="1"/>
        <v>46013</v>
      </c>
      <c r="B16199" s="37" t="str">
        <f t="array" ref="B16199">iferror(xlookup($I16199, 'IMPORT VHC Report'!$E:$E, 'IMPORT VHC Report'!$A:$C), )</f>
        <v/>
      </c>
      <c r="C16199" s="44"/>
      <c r="D16199" s="44"/>
      <c r="E16199" s="46" t="s">
        <v>12394</v>
      </c>
      <c r="F16199" s="46" t="s">
        <v>7728</v>
      </c>
      <c r="G16199" s="46">
        <v>3.61733077175E11</v>
      </c>
      <c r="H16199" s="46" t="s">
        <v>7729</v>
      </c>
      <c r="I16199" s="46" t="s">
        <v>7730</v>
      </c>
      <c r="J16199" s="46" t="s">
        <v>332</v>
      </c>
      <c r="K16199" s="46" t="s">
        <v>63</v>
      </c>
      <c r="L16199" s="45">
        <v>46015.166666666664</v>
      </c>
      <c r="M16199" s="46" t="s">
        <v>123</v>
      </c>
      <c r="N16199" s="45">
        <v>46015.541666666664</v>
      </c>
      <c r="O16199" s="46" t="s">
        <v>123</v>
      </c>
      <c r="P16199" s="46">
        <v>32400.0</v>
      </c>
    </row>
    <row r="16200">
      <c r="A16200" s="40">
        <f t="shared" si="1"/>
        <v>46013</v>
      </c>
      <c r="B16200" s="37" t="str">
        <f t="array" ref="B16200">iferror(xlookup($I16200, 'IMPORT VHC Report'!$E:$E, 'IMPORT VHC Report'!$A:$C), )</f>
        <v/>
      </c>
      <c r="C16200" s="44"/>
      <c r="D16200" s="44"/>
      <c r="E16200" s="46" t="s">
        <v>12395</v>
      </c>
      <c r="F16200" s="46" t="s">
        <v>7728</v>
      </c>
      <c r="G16200" s="46">
        <v>3.61733077175E11</v>
      </c>
      <c r="H16200" s="46" t="s">
        <v>7729</v>
      </c>
      <c r="I16200" s="46" t="s">
        <v>7730</v>
      </c>
      <c r="J16200" s="46" t="s">
        <v>136</v>
      </c>
      <c r="K16200" s="46" t="s">
        <v>126</v>
      </c>
      <c r="L16200" s="45">
        <v>46015.208333333336</v>
      </c>
      <c r="M16200" s="46" t="s">
        <v>123</v>
      </c>
      <c r="N16200" s="45">
        <v>46015.25</v>
      </c>
      <c r="O16200" s="46" t="s">
        <v>123</v>
      </c>
      <c r="P16200" s="46">
        <v>3600.0</v>
      </c>
      <c r="S16200" s="46" t="s">
        <v>137</v>
      </c>
    </row>
    <row r="16201">
      <c r="A16201" s="40">
        <f t="shared" si="1"/>
        <v>46013</v>
      </c>
      <c r="B16201" s="37" t="str">
        <f t="array" ref="B16201">iferror(xlookup($I16201, 'IMPORT VHC Report'!$E:$E, 'IMPORT VHC Report'!$A:$C), )</f>
        <v/>
      </c>
      <c r="C16201" s="44"/>
      <c r="D16201" s="44"/>
      <c r="E16201" s="46" t="s">
        <v>12396</v>
      </c>
      <c r="F16201" s="46" t="s">
        <v>7728</v>
      </c>
      <c r="G16201" s="46">
        <v>3.61733077175E11</v>
      </c>
      <c r="H16201" s="46" t="s">
        <v>7729</v>
      </c>
      <c r="I16201" s="46" t="s">
        <v>7730</v>
      </c>
      <c r="J16201" s="46" t="s">
        <v>134</v>
      </c>
      <c r="K16201" s="46" t="s">
        <v>126</v>
      </c>
      <c r="L16201" s="45">
        <v>46015.25</v>
      </c>
      <c r="M16201" s="46" t="s">
        <v>123</v>
      </c>
      <c r="N16201" s="45">
        <v>46015.270833333336</v>
      </c>
      <c r="O16201" s="46" t="s">
        <v>123</v>
      </c>
      <c r="P16201" s="46">
        <v>1800.0</v>
      </c>
    </row>
    <row r="16202">
      <c r="A16202" s="40">
        <f t="shared" si="1"/>
        <v>46013</v>
      </c>
      <c r="B16202" s="37" t="str">
        <f t="array" ref="B16202">iferror(xlookup($I16202, 'IMPORT VHC Report'!$E:$E, 'IMPORT VHC Report'!$A:$C), )</f>
        <v/>
      </c>
      <c r="C16202" s="44"/>
      <c r="D16202" s="44"/>
      <c r="E16202" s="46" t="s">
        <v>12397</v>
      </c>
      <c r="F16202" s="46" t="s">
        <v>7728</v>
      </c>
      <c r="G16202" s="46">
        <v>3.61733077175E11</v>
      </c>
      <c r="H16202" s="46" t="s">
        <v>7729</v>
      </c>
      <c r="I16202" s="46" t="s">
        <v>7730</v>
      </c>
      <c r="J16202" s="46" t="s">
        <v>4</v>
      </c>
      <c r="K16202" s="46" t="s">
        <v>126</v>
      </c>
      <c r="L16202" s="45">
        <v>46015.270833333336</v>
      </c>
      <c r="M16202" s="46" t="s">
        <v>123</v>
      </c>
      <c r="N16202" s="45">
        <v>46015.3125</v>
      </c>
      <c r="O16202" s="46" t="s">
        <v>123</v>
      </c>
      <c r="P16202" s="46">
        <v>3600.0</v>
      </c>
      <c r="S16202" s="46" t="s">
        <v>336</v>
      </c>
    </row>
    <row r="16203">
      <c r="A16203" s="40">
        <f t="shared" si="1"/>
        <v>46013</v>
      </c>
      <c r="B16203" s="37" t="str">
        <f t="array" ref="B16203">iferror(xlookup($I16203, 'IMPORT VHC Report'!$E:$E, 'IMPORT VHC Report'!$A:$C), )</f>
        <v/>
      </c>
      <c r="C16203" s="44"/>
      <c r="D16203" s="44"/>
      <c r="E16203" s="46" t="s">
        <v>12398</v>
      </c>
      <c r="F16203" s="46" t="s">
        <v>7728</v>
      </c>
      <c r="G16203" s="46">
        <v>3.61733077175E11</v>
      </c>
      <c r="H16203" s="46" t="s">
        <v>7729</v>
      </c>
      <c r="I16203" s="46" t="s">
        <v>7730</v>
      </c>
      <c r="J16203" s="46" t="s">
        <v>132</v>
      </c>
      <c r="K16203" s="46" t="s">
        <v>126</v>
      </c>
      <c r="L16203" s="45">
        <v>46015.385416666664</v>
      </c>
      <c r="M16203" s="46" t="s">
        <v>123</v>
      </c>
      <c r="N16203" s="45">
        <v>46015.427083333336</v>
      </c>
      <c r="O16203" s="46" t="s">
        <v>123</v>
      </c>
      <c r="P16203" s="46">
        <v>3600.0</v>
      </c>
    </row>
    <row r="16204">
      <c r="A16204" s="40">
        <f t="shared" si="1"/>
        <v>46013</v>
      </c>
      <c r="B16204" s="37" t="str">
        <f t="array" ref="B16204">iferror(xlookup($I16204, 'IMPORT VHC Report'!$E:$E, 'IMPORT VHC Report'!$A:$C), )</f>
        <v/>
      </c>
      <c r="C16204" s="44"/>
      <c r="D16204" s="44"/>
      <c r="E16204" s="46" t="s">
        <v>12399</v>
      </c>
      <c r="F16204" s="46" t="s">
        <v>7728</v>
      </c>
      <c r="G16204" s="46">
        <v>3.61733077175E11</v>
      </c>
      <c r="H16204" s="46" t="s">
        <v>7729</v>
      </c>
      <c r="I16204" s="46" t="s">
        <v>7730</v>
      </c>
      <c r="J16204" s="46" t="s">
        <v>4</v>
      </c>
      <c r="K16204" s="46" t="s">
        <v>126</v>
      </c>
      <c r="L16204" s="45">
        <v>46015.46319444444</v>
      </c>
      <c r="M16204" s="46" t="s">
        <v>123</v>
      </c>
      <c r="N16204" s="45">
        <v>46015.47361111111</v>
      </c>
      <c r="O16204" s="46" t="s">
        <v>123</v>
      </c>
      <c r="P16204" s="46">
        <v>900.0</v>
      </c>
      <c r="S16204" s="46" t="s">
        <v>3332</v>
      </c>
    </row>
    <row r="16205">
      <c r="A16205" s="40">
        <f t="shared" si="1"/>
        <v>46013</v>
      </c>
      <c r="B16205" s="37" t="str">
        <f t="array" ref="B16205">iferror(xlookup($I16205, 'IMPORT VHC Report'!$E:$E, 'IMPORT VHC Report'!$A:$C), )</f>
        <v/>
      </c>
      <c r="C16205" s="44"/>
      <c r="D16205" s="44"/>
      <c r="E16205" s="46" t="s">
        <v>12400</v>
      </c>
      <c r="F16205" s="46" t="s">
        <v>7728</v>
      </c>
      <c r="G16205" s="46">
        <v>3.61733077175E11</v>
      </c>
      <c r="H16205" s="46" t="s">
        <v>7729</v>
      </c>
      <c r="I16205" s="46" t="s">
        <v>7730</v>
      </c>
      <c r="J16205" s="46" t="s">
        <v>330</v>
      </c>
      <c r="K16205" s="46" t="s">
        <v>126</v>
      </c>
      <c r="L16205" s="45">
        <v>46016.166666666664</v>
      </c>
      <c r="M16205" s="46" t="s">
        <v>123</v>
      </c>
      <c r="N16205" s="45">
        <v>46016.17361111111</v>
      </c>
      <c r="O16205" s="46" t="s">
        <v>123</v>
      </c>
      <c r="P16205" s="46">
        <v>600.0</v>
      </c>
    </row>
    <row r="16206">
      <c r="A16206" s="40">
        <f t="shared" si="1"/>
        <v>46013</v>
      </c>
      <c r="B16206" s="37" t="str">
        <f t="array" ref="B16206">iferror(xlookup($I16206, 'IMPORT VHC Report'!$E:$E, 'IMPORT VHC Report'!$A:$C), )</f>
        <v/>
      </c>
      <c r="C16206" s="44"/>
      <c r="D16206" s="44"/>
      <c r="E16206" s="46" t="s">
        <v>12401</v>
      </c>
      <c r="F16206" s="46" t="s">
        <v>7728</v>
      </c>
      <c r="G16206" s="46">
        <v>3.61733077175E11</v>
      </c>
      <c r="H16206" s="46" t="s">
        <v>7729</v>
      </c>
      <c r="I16206" s="46" t="s">
        <v>7730</v>
      </c>
      <c r="J16206" s="46" t="s">
        <v>332</v>
      </c>
      <c r="K16206" s="46" t="s">
        <v>63</v>
      </c>
      <c r="L16206" s="45">
        <v>46016.166666666664</v>
      </c>
      <c r="M16206" s="46" t="s">
        <v>123</v>
      </c>
      <c r="N16206" s="45">
        <v>46016.541666666664</v>
      </c>
      <c r="O16206" s="46" t="s">
        <v>123</v>
      </c>
      <c r="P16206" s="46">
        <v>32400.0</v>
      </c>
    </row>
    <row r="16207">
      <c r="A16207" s="40">
        <f t="shared" si="1"/>
        <v>46013</v>
      </c>
      <c r="B16207" s="37" t="str">
        <f t="array" ref="B16207">iferror(xlookup($I16207, 'IMPORT VHC Report'!$E:$E, 'IMPORT VHC Report'!$A:$C), )</f>
        <v/>
      </c>
      <c r="C16207" s="44"/>
      <c r="D16207" s="44"/>
      <c r="E16207" s="46" t="s">
        <v>12402</v>
      </c>
      <c r="F16207" s="46" t="s">
        <v>7728</v>
      </c>
      <c r="G16207" s="46">
        <v>3.61733077175E11</v>
      </c>
      <c r="H16207" s="46" t="s">
        <v>7729</v>
      </c>
      <c r="I16207" s="46" t="s">
        <v>7730</v>
      </c>
      <c r="J16207" s="46" t="s">
        <v>134</v>
      </c>
      <c r="K16207" s="46" t="s">
        <v>126</v>
      </c>
      <c r="L16207" s="45">
        <v>46016.270833333336</v>
      </c>
      <c r="M16207" s="46" t="s">
        <v>123</v>
      </c>
      <c r="N16207" s="45">
        <v>46016.291666666664</v>
      </c>
      <c r="O16207" s="46" t="s">
        <v>123</v>
      </c>
      <c r="P16207" s="46">
        <v>1800.0</v>
      </c>
    </row>
    <row r="16208">
      <c r="A16208" s="40">
        <f t="shared" si="1"/>
        <v>46013</v>
      </c>
      <c r="B16208" s="37" t="str">
        <f t="array" ref="B16208">iferror(xlookup($I16208, 'IMPORT VHC Report'!$E:$E, 'IMPORT VHC Report'!$A:$C), )</f>
        <v/>
      </c>
      <c r="C16208" s="44"/>
      <c r="D16208" s="44"/>
      <c r="E16208" s="46" t="s">
        <v>12403</v>
      </c>
      <c r="F16208" s="46" t="s">
        <v>7728</v>
      </c>
      <c r="G16208" s="46">
        <v>3.61733077175E11</v>
      </c>
      <c r="H16208" s="46" t="s">
        <v>7729</v>
      </c>
      <c r="I16208" s="46" t="s">
        <v>7730</v>
      </c>
      <c r="J16208" s="46" t="s">
        <v>132</v>
      </c>
      <c r="K16208" s="46" t="s">
        <v>126</v>
      </c>
      <c r="L16208" s="45">
        <v>46016.458333333336</v>
      </c>
      <c r="M16208" s="46" t="s">
        <v>123</v>
      </c>
      <c r="N16208" s="45">
        <v>46016.5</v>
      </c>
      <c r="O16208" s="46" t="s">
        <v>123</v>
      </c>
      <c r="P16208" s="46">
        <v>3600.0</v>
      </c>
    </row>
    <row r="16209">
      <c r="A16209" s="40">
        <f t="shared" si="1"/>
        <v>46013</v>
      </c>
      <c r="B16209" s="37" t="str">
        <f t="array" ref="B16209">iferror(xlookup($I16209, 'IMPORT VHC Report'!$E:$E, 'IMPORT VHC Report'!$A:$C), )</f>
        <v/>
      </c>
      <c r="C16209" s="44"/>
      <c r="D16209" s="44"/>
      <c r="E16209" s="46" t="s">
        <v>12404</v>
      </c>
      <c r="F16209" s="46" t="s">
        <v>7728</v>
      </c>
      <c r="G16209" s="46">
        <v>3.61733077175E11</v>
      </c>
      <c r="H16209" s="46" t="s">
        <v>7729</v>
      </c>
      <c r="I16209" s="46" t="s">
        <v>7730</v>
      </c>
      <c r="J16209" s="46" t="s">
        <v>330</v>
      </c>
      <c r="K16209" s="46" t="s">
        <v>126</v>
      </c>
      <c r="L16209" s="45">
        <v>46017.166666666664</v>
      </c>
      <c r="M16209" s="46" t="s">
        <v>123</v>
      </c>
      <c r="N16209" s="45">
        <v>46017.17361111111</v>
      </c>
      <c r="O16209" s="46" t="s">
        <v>123</v>
      </c>
      <c r="P16209" s="46">
        <v>600.0</v>
      </c>
    </row>
    <row r="16210">
      <c r="A16210" s="40">
        <f t="shared" si="1"/>
        <v>46013</v>
      </c>
      <c r="B16210" s="37" t="str">
        <f t="array" ref="B16210">iferror(xlookup($I16210, 'IMPORT VHC Report'!$E:$E, 'IMPORT VHC Report'!$A:$C), )</f>
        <v/>
      </c>
      <c r="C16210" s="44"/>
      <c r="D16210" s="44"/>
      <c r="E16210" s="46" t="s">
        <v>12405</v>
      </c>
      <c r="F16210" s="46" t="s">
        <v>7728</v>
      </c>
      <c r="G16210" s="46">
        <v>3.61733077175E11</v>
      </c>
      <c r="H16210" s="46" t="s">
        <v>7729</v>
      </c>
      <c r="I16210" s="46" t="s">
        <v>7730</v>
      </c>
      <c r="J16210" s="46" t="s">
        <v>332</v>
      </c>
      <c r="K16210" s="46" t="s">
        <v>63</v>
      </c>
      <c r="L16210" s="45">
        <v>46017.166666666664</v>
      </c>
      <c r="M16210" s="46" t="s">
        <v>123</v>
      </c>
      <c r="N16210" s="45">
        <v>46017.541666666664</v>
      </c>
      <c r="O16210" s="46" t="s">
        <v>123</v>
      </c>
      <c r="P16210" s="46">
        <v>32400.0</v>
      </c>
    </row>
    <row r="16211">
      <c r="A16211" s="40">
        <f t="shared" si="1"/>
        <v>46013</v>
      </c>
      <c r="B16211" s="37" t="str">
        <f t="array" ref="B16211">iferror(xlookup($I16211, 'IMPORT VHC Report'!$E:$E, 'IMPORT VHC Report'!$A:$C), )</f>
        <v/>
      </c>
      <c r="C16211" s="44"/>
      <c r="D16211" s="44"/>
      <c r="E16211" s="46" t="s">
        <v>12406</v>
      </c>
      <c r="F16211" s="46" t="s">
        <v>7728</v>
      </c>
      <c r="G16211" s="46">
        <v>3.61733077175E11</v>
      </c>
      <c r="H16211" s="46" t="s">
        <v>7729</v>
      </c>
      <c r="I16211" s="46" t="s">
        <v>7730</v>
      </c>
      <c r="J16211" s="46" t="s">
        <v>132</v>
      </c>
      <c r="K16211" s="46" t="s">
        <v>126</v>
      </c>
      <c r="L16211" s="45">
        <v>46017.270833333336</v>
      </c>
      <c r="M16211" s="46" t="s">
        <v>123</v>
      </c>
      <c r="N16211" s="45">
        <v>46017.3125</v>
      </c>
      <c r="O16211" s="46" t="s">
        <v>123</v>
      </c>
      <c r="P16211" s="46">
        <v>3600.0</v>
      </c>
    </row>
    <row r="16212">
      <c r="A16212" s="40">
        <f t="shared" si="1"/>
        <v>46013</v>
      </c>
      <c r="B16212" s="37" t="str">
        <f t="array" ref="B16212">iferror(xlookup($I16212, 'IMPORT VHC Report'!$E:$E, 'IMPORT VHC Report'!$A:$C), )</f>
        <v/>
      </c>
      <c r="C16212" s="44"/>
      <c r="D16212" s="44"/>
      <c r="E16212" s="46" t="s">
        <v>12407</v>
      </c>
      <c r="F16212" s="46" t="s">
        <v>7728</v>
      </c>
      <c r="G16212" s="46">
        <v>3.61733077175E11</v>
      </c>
      <c r="H16212" s="46" t="s">
        <v>7729</v>
      </c>
      <c r="I16212" s="46" t="s">
        <v>7730</v>
      </c>
      <c r="J16212" s="46" t="s">
        <v>134</v>
      </c>
      <c r="K16212" s="46" t="s">
        <v>126</v>
      </c>
      <c r="L16212" s="45">
        <v>46017.416666666664</v>
      </c>
      <c r="M16212" s="46" t="s">
        <v>123</v>
      </c>
      <c r="N16212" s="45">
        <v>46017.4375</v>
      </c>
      <c r="O16212" s="46" t="s">
        <v>123</v>
      </c>
      <c r="P16212" s="46">
        <v>1800.0</v>
      </c>
    </row>
    <row r="16213">
      <c r="A16213" s="40">
        <f t="shared" si="1"/>
        <v>46013</v>
      </c>
      <c r="B16213" s="37" t="str">
        <f t="array" ref="B16213">iferror(xlookup($I16213, 'IMPORT VHC Report'!$E:$E, 'IMPORT VHC Report'!$A:$C), )</f>
        <v/>
      </c>
      <c r="C16213" s="44"/>
      <c r="D16213" s="44"/>
      <c r="E16213" s="46" t="s">
        <v>12408</v>
      </c>
      <c r="F16213" s="46" t="s">
        <v>7728</v>
      </c>
      <c r="G16213" s="46">
        <v>3.61733077175E11</v>
      </c>
      <c r="H16213" s="46" t="s">
        <v>7729</v>
      </c>
      <c r="I16213" s="46" t="s">
        <v>7730</v>
      </c>
      <c r="J16213" s="46" t="s">
        <v>330</v>
      </c>
      <c r="K16213" s="46" t="s">
        <v>126</v>
      </c>
      <c r="L16213" s="45">
        <v>46018.166666666664</v>
      </c>
      <c r="M16213" s="46" t="s">
        <v>123</v>
      </c>
      <c r="N16213" s="45">
        <v>46018.17361111111</v>
      </c>
      <c r="O16213" s="46" t="s">
        <v>123</v>
      </c>
      <c r="P16213" s="46">
        <v>600.0</v>
      </c>
    </row>
    <row r="16214">
      <c r="A16214" s="40">
        <f t="shared" si="1"/>
        <v>46013</v>
      </c>
      <c r="B16214" s="37" t="str">
        <f t="array" ref="B16214">iferror(xlookup($I16214, 'IMPORT VHC Report'!$E:$E, 'IMPORT VHC Report'!$A:$C), )</f>
        <v/>
      </c>
      <c r="C16214" s="44"/>
      <c r="D16214" s="44"/>
      <c r="E16214" s="46" t="s">
        <v>12409</v>
      </c>
      <c r="F16214" s="46" t="s">
        <v>7728</v>
      </c>
      <c r="G16214" s="46">
        <v>3.61733077175E11</v>
      </c>
      <c r="H16214" s="46" t="s">
        <v>7729</v>
      </c>
      <c r="I16214" s="46" t="s">
        <v>7730</v>
      </c>
      <c r="J16214" s="46" t="s">
        <v>332</v>
      </c>
      <c r="K16214" s="46" t="s">
        <v>63</v>
      </c>
      <c r="L16214" s="45">
        <v>46018.166666666664</v>
      </c>
      <c r="M16214" s="46" t="s">
        <v>123</v>
      </c>
      <c r="N16214" s="45">
        <v>46018.541666666664</v>
      </c>
      <c r="O16214" s="46" t="s">
        <v>123</v>
      </c>
      <c r="P16214" s="46">
        <v>32400.0</v>
      </c>
    </row>
    <row r="16215">
      <c r="A16215" s="40">
        <f t="shared" si="1"/>
        <v>46013</v>
      </c>
      <c r="B16215" s="37" t="str">
        <f t="array" ref="B16215">iferror(xlookup($I16215, 'IMPORT VHC Report'!$E:$E, 'IMPORT VHC Report'!$A:$C), )</f>
        <v/>
      </c>
      <c r="C16215" s="44"/>
      <c r="D16215" s="44"/>
      <c r="E16215" s="46" t="s">
        <v>12410</v>
      </c>
      <c r="F16215" s="46" t="s">
        <v>7728</v>
      </c>
      <c r="G16215" s="46">
        <v>3.61733077175E11</v>
      </c>
      <c r="H16215" s="46" t="s">
        <v>7729</v>
      </c>
      <c r="I16215" s="46" t="s">
        <v>7730</v>
      </c>
      <c r="J16215" s="46" t="s">
        <v>134</v>
      </c>
      <c r="K16215" s="46" t="s">
        <v>126</v>
      </c>
      <c r="L16215" s="45">
        <v>46018.291666666664</v>
      </c>
      <c r="M16215" s="46" t="s">
        <v>123</v>
      </c>
      <c r="N16215" s="45">
        <v>46018.3125</v>
      </c>
      <c r="O16215" s="46" t="s">
        <v>123</v>
      </c>
      <c r="P16215" s="46">
        <v>1800.0</v>
      </c>
    </row>
    <row r="16216">
      <c r="A16216" s="40">
        <f t="shared" si="1"/>
        <v>46013</v>
      </c>
      <c r="B16216" s="37" t="str">
        <f t="array" ref="B16216">iferror(xlookup($I16216, 'IMPORT VHC Report'!$E:$E, 'IMPORT VHC Report'!$A:$C), )</f>
        <v/>
      </c>
      <c r="C16216" s="44"/>
      <c r="D16216" s="44"/>
      <c r="E16216" s="46" t="s">
        <v>12411</v>
      </c>
      <c r="F16216" s="46" t="s">
        <v>7728</v>
      </c>
      <c r="G16216" s="46">
        <v>3.61733077175E11</v>
      </c>
      <c r="H16216" s="46" t="s">
        <v>7729</v>
      </c>
      <c r="I16216" s="46" t="s">
        <v>7730</v>
      </c>
      <c r="J16216" s="46" t="s">
        <v>132</v>
      </c>
      <c r="K16216" s="46" t="s">
        <v>126</v>
      </c>
      <c r="L16216" s="45">
        <v>46018.447916666664</v>
      </c>
      <c r="M16216" s="46" t="s">
        <v>123</v>
      </c>
      <c r="N16216" s="45">
        <v>46018.489583333336</v>
      </c>
      <c r="O16216" s="46" t="s">
        <v>123</v>
      </c>
      <c r="P16216" s="46">
        <v>3600.0</v>
      </c>
    </row>
    <row r="16217">
      <c r="A16217" s="40">
        <f t="shared" si="1"/>
        <v>46013</v>
      </c>
      <c r="B16217" s="37" t="str">
        <f t="array" ref="B16217">iferror(xlookup($I16217, 'IMPORT VHC Report'!$E:$E, 'IMPORT VHC Report'!$A:$C), )</f>
        <v/>
      </c>
      <c r="C16217" s="44"/>
      <c r="D16217" s="44"/>
      <c r="E16217" s="46" t="s">
        <v>12412</v>
      </c>
      <c r="F16217" s="46" t="s">
        <v>7728</v>
      </c>
      <c r="G16217" s="46">
        <v>3.61733077175E11</v>
      </c>
      <c r="H16217" s="46" t="s">
        <v>7729</v>
      </c>
      <c r="I16217" s="46" t="s">
        <v>7730</v>
      </c>
      <c r="J16217" s="46" t="s">
        <v>330</v>
      </c>
      <c r="K16217" s="46" t="s">
        <v>126</v>
      </c>
      <c r="L16217" s="45">
        <v>46019.166666666664</v>
      </c>
      <c r="M16217" s="46" t="s">
        <v>123</v>
      </c>
      <c r="N16217" s="45">
        <v>46019.17361111111</v>
      </c>
      <c r="O16217" s="46" t="s">
        <v>123</v>
      </c>
      <c r="P16217" s="46">
        <v>600.0</v>
      </c>
    </row>
    <row r="16218">
      <c r="A16218" s="40">
        <f t="shared" si="1"/>
        <v>46013</v>
      </c>
      <c r="B16218" s="37" t="str">
        <f t="array" ref="B16218">iferror(xlookup($I16218, 'IMPORT VHC Report'!$E:$E, 'IMPORT VHC Report'!$A:$C), )</f>
        <v/>
      </c>
      <c r="C16218" s="44"/>
      <c r="D16218" s="44"/>
      <c r="E16218" s="46" t="s">
        <v>12413</v>
      </c>
      <c r="F16218" s="46" t="s">
        <v>7728</v>
      </c>
      <c r="G16218" s="46">
        <v>3.61733077175E11</v>
      </c>
      <c r="H16218" s="46" t="s">
        <v>7729</v>
      </c>
      <c r="I16218" s="46" t="s">
        <v>7730</v>
      </c>
      <c r="J16218" s="46" t="s">
        <v>332</v>
      </c>
      <c r="K16218" s="46" t="s">
        <v>63</v>
      </c>
      <c r="L16218" s="45">
        <v>46019.166666666664</v>
      </c>
      <c r="M16218" s="46" t="s">
        <v>123</v>
      </c>
      <c r="N16218" s="45">
        <v>46019.541666666664</v>
      </c>
      <c r="O16218" s="46" t="s">
        <v>123</v>
      </c>
      <c r="P16218" s="46">
        <v>32400.0</v>
      </c>
    </row>
    <row r="16219">
      <c r="A16219" s="40">
        <f t="shared" si="1"/>
        <v>46013</v>
      </c>
      <c r="B16219" s="37" t="str">
        <f t="array" ref="B16219">iferror(xlookup($I16219, 'IMPORT VHC Report'!$E:$E, 'IMPORT VHC Report'!$A:$C), )</f>
        <v/>
      </c>
      <c r="C16219" s="44"/>
      <c r="D16219" s="44"/>
      <c r="E16219" s="46" t="s">
        <v>12414</v>
      </c>
      <c r="F16219" s="46" t="s">
        <v>7728</v>
      </c>
      <c r="G16219" s="46">
        <v>3.61733077175E11</v>
      </c>
      <c r="H16219" s="46" t="s">
        <v>7729</v>
      </c>
      <c r="I16219" s="46" t="s">
        <v>7730</v>
      </c>
      <c r="J16219" s="46" t="s">
        <v>132</v>
      </c>
      <c r="K16219" s="46" t="s">
        <v>126</v>
      </c>
      <c r="L16219" s="45">
        <v>46019.291666666664</v>
      </c>
      <c r="M16219" s="46" t="s">
        <v>123</v>
      </c>
      <c r="N16219" s="45">
        <v>46019.333333333336</v>
      </c>
      <c r="O16219" s="46" t="s">
        <v>123</v>
      </c>
      <c r="P16219" s="46">
        <v>3600.0</v>
      </c>
    </row>
    <row r="16220">
      <c r="A16220" s="40">
        <f t="shared" si="1"/>
        <v>46013</v>
      </c>
      <c r="B16220" s="37" t="str">
        <f t="array" ref="B16220">iferror(xlookup($I16220, 'IMPORT VHC Report'!$E:$E, 'IMPORT VHC Report'!$A:$C), )</f>
        <v/>
      </c>
      <c r="C16220" s="44"/>
      <c r="D16220" s="44"/>
      <c r="E16220" s="46" t="s">
        <v>12415</v>
      </c>
      <c r="F16220" s="46" t="s">
        <v>7728</v>
      </c>
      <c r="G16220" s="46">
        <v>3.61733077175E11</v>
      </c>
      <c r="H16220" s="46" t="s">
        <v>7729</v>
      </c>
      <c r="I16220" s="46" t="s">
        <v>7730</v>
      </c>
      <c r="J16220" s="46" t="s">
        <v>134</v>
      </c>
      <c r="K16220" s="46" t="s">
        <v>126</v>
      </c>
      <c r="L16220" s="45">
        <v>46019.447916666664</v>
      </c>
      <c r="M16220" s="46" t="s">
        <v>123</v>
      </c>
      <c r="N16220" s="45">
        <v>46019.46875</v>
      </c>
      <c r="O16220" s="46" t="s">
        <v>123</v>
      </c>
      <c r="P16220" s="46">
        <v>1800.0</v>
      </c>
    </row>
    <row r="16221">
      <c r="A16221" s="40">
        <f t="shared" si="1"/>
        <v>46013</v>
      </c>
      <c r="B16221" s="37" t="str">
        <f t="array" ref="B16221">iferror(xlookup($I16221, 'IMPORT VHC Report'!$E:$E, 'IMPORT VHC Report'!$A:$C), )</f>
        <v/>
      </c>
      <c r="C16221" s="44"/>
      <c r="D16221" s="44"/>
      <c r="E16221" s="46" t="s">
        <v>12416</v>
      </c>
      <c r="F16221" s="46" t="s">
        <v>7755</v>
      </c>
      <c r="G16221" s="46">
        <v>3.61724667376E11</v>
      </c>
      <c r="H16221" s="46" t="s">
        <v>7756</v>
      </c>
      <c r="I16221" s="46" t="s">
        <v>7757</v>
      </c>
      <c r="J16221" s="46" t="s">
        <v>136</v>
      </c>
      <c r="K16221" s="46" t="s">
        <v>126</v>
      </c>
      <c r="L16221" s="45">
        <v>46015.208333333336</v>
      </c>
      <c r="M16221" s="46" t="s">
        <v>123</v>
      </c>
      <c r="N16221" s="45">
        <v>46015.25</v>
      </c>
      <c r="O16221" s="46" t="s">
        <v>123</v>
      </c>
      <c r="P16221" s="46">
        <v>3600.0</v>
      </c>
      <c r="S16221" s="46" t="s">
        <v>137</v>
      </c>
    </row>
    <row r="16222">
      <c r="A16222" s="40">
        <f t="shared" si="1"/>
        <v>46013</v>
      </c>
      <c r="B16222" s="37" t="str">
        <f t="array" ref="B16222">iferror(xlookup($I16222, 'IMPORT VHC Report'!$E:$E, 'IMPORT VHC Report'!$A:$C), )</f>
        <v/>
      </c>
      <c r="C16222" s="44"/>
      <c r="D16222" s="44"/>
      <c r="E16222" s="46" t="s">
        <v>12417</v>
      </c>
      <c r="F16222" s="46" t="s">
        <v>7755</v>
      </c>
      <c r="G16222" s="46">
        <v>3.61724667376E11</v>
      </c>
      <c r="H16222" s="46" t="s">
        <v>7756</v>
      </c>
      <c r="I16222" s="46" t="s">
        <v>7757</v>
      </c>
      <c r="J16222" s="46" t="s">
        <v>332</v>
      </c>
      <c r="K16222" s="46" t="s">
        <v>63</v>
      </c>
      <c r="L16222" s="45">
        <v>46015.208333333336</v>
      </c>
      <c r="M16222" s="46" t="s">
        <v>123</v>
      </c>
      <c r="N16222" s="45">
        <v>46015.583333333336</v>
      </c>
      <c r="O16222" s="46" t="s">
        <v>123</v>
      </c>
      <c r="P16222" s="46">
        <v>32400.0</v>
      </c>
    </row>
    <row r="16223">
      <c r="A16223" s="40">
        <f t="shared" si="1"/>
        <v>46013</v>
      </c>
      <c r="B16223" s="37" t="str">
        <f t="array" ref="B16223">iferror(xlookup($I16223, 'IMPORT VHC Report'!$E:$E, 'IMPORT VHC Report'!$A:$C), )</f>
        <v/>
      </c>
      <c r="C16223" s="44"/>
      <c r="D16223" s="44"/>
      <c r="E16223" s="46" t="s">
        <v>12418</v>
      </c>
      <c r="F16223" s="46" t="s">
        <v>7755</v>
      </c>
      <c r="G16223" s="46">
        <v>3.61724667376E11</v>
      </c>
      <c r="H16223" s="46" t="s">
        <v>7756</v>
      </c>
      <c r="I16223" s="46" t="s">
        <v>7757</v>
      </c>
      <c r="J16223" s="46" t="s">
        <v>330</v>
      </c>
      <c r="K16223" s="46" t="s">
        <v>126</v>
      </c>
      <c r="L16223" s="45">
        <v>46015.25</v>
      </c>
      <c r="M16223" s="46" t="s">
        <v>123</v>
      </c>
      <c r="N16223" s="45">
        <v>46015.256944444445</v>
      </c>
      <c r="O16223" s="46" t="s">
        <v>123</v>
      </c>
      <c r="P16223" s="46">
        <v>600.0</v>
      </c>
    </row>
    <row r="16224">
      <c r="A16224" s="40">
        <f t="shared" si="1"/>
        <v>46013</v>
      </c>
      <c r="B16224" s="37" t="str">
        <f t="array" ref="B16224">iferror(xlookup($I16224, 'IMPORT VHC Report'!$E:$E, 'IMPORT VHC Report'!$A:$C), )</f>
        <v/>
      </c>
      <c r="C16224" s="44"/>
      <c r="D16224" s="44"/>
      <c r="E16224" s="46" t="s">
        <v>12419</v>
      </c>
      <c r="F16224" s="46" t="s">
        <v>7755</v>
      </c>
      <c r="G16224" s="46">
        <v>3.61724667376E11</v>
      </c>
      <c r="H16224" s="46" t="s">
        <v>7756</v>
      </c>
      <c r="I16224" s="46" t="s">
        <v>7757</v>
      </c>
      <c r="J16224" s="46" t="s">
        <v>4</v>
      </c>
      <c r="K16224" s="46" t="s">
        <v>126</v>
      </c>
      <c r="L16224" s="45">
        <v>46015.256944444445</v>
      </c>
      <c r="M16224" s="46" t="s">
        <v>123</v>
      </c>
      <c r="N16224" s="45">
        <v>46015.291666666664</v>
      </c>
      <c r="O16224" s="46" t="s">
        <v>123</v>
      </c>
      <c r="P16224" s="46">
        <v>3000.0</v>
      </c>
      <c r="S16224" s="46" t="s">
        <v>12420</v>
      </c>
    </row>
    <row r="16225">
      <c r="A16225" s="40">
        <f t="shared" si="1"/>
        <v>46013</v>
      </c>
      <c r="B16225" s="37" t="str">
        <f t="array" ref="B16225">iferror(xlookup($I16225, 'IMPORT VHC Report'!$E:$E, 'IMPORT VHC Report'!$A:$C), )</f>
        <v/>
      </c>
      <c r="C16225" s="44"/>
      <c r="D16225" s="44"/>
      <c r="E16225" s="46" t="s">
        <v>12421</v>
      </c>
      <c r="F16225" s="46" t="s">
        <v>7755</v>
      </c>
      <c r="G16225" s="46">
        <v>3.61724667376E11</v>
      </c>
      <c r="H16225" s="46" t="s">
        <v>7756</v>
      </c>
      <c r="I16225" s="46" t="s">
        <v>7757</v>
      </c>
      <c r="J16225" s="46" t="s">
        <v>132</v>
      </c>
      <c r="K16225" s="46" t="s">
        <v>126</v>
      </c>
      <c r="L16225" s="45">
        <v>46015.354166666664</v>
      </c>
      <c r="M16225" s="46" t="s">
        <v>123</v>
      </c>
      <c r="N16225" s="45">
        <v>46015.395833333336</v>
      </c>
      <c r="O16225" s="46" t="s">
        <v>123</v>
      </c>
      <c r="P16225" s="46">
        <v>3600.0</v>
      </c>
    </row>
    <row r="16226">
      <c r="A16226" s="40">
        <f t="shared" si="1"/>
        <v>46013</v>
      </c>
      <c r="B16226" s="37" t="str">
        <f t="array" ref="B16226">iferror(xlookup($I16226, 'IMPORT VHC Report'!$E:$E, 'IMPORT VHC Report'!$A:$C), )</f>
        <v/>
      </c>
      <c r="C16226" s="44"/>
      <c r="D16226" s="44"/>
      <c r="E16226" s="46" t="s">
        <v>12422</v>
      </c>
      <c r="F16226" s="46" t="s">
        <v>7755</v>
      </c>
      <c r="G16226" s="46">
        <v>3.61724667376E11</v>
      </c>
      <c r="H16226" s="46" t="s">
        <v>7756</v>
      </c>
      <c r="I16226" s="46" t="s">
        <v>7757</v>
      </c>
      <c r="J16226" s="46" t="s">
        <v>134</v>
      </c>
      <c r="K16226" s="46" t="s">
        <v>126</v>
      </c>
      <c r="L16226" s="45">
        <v>46015.489583333336</v>
      </c>
      <c r="M16226" s="46" t="s">
        <v>123</v>
      </c>
      <c r="N16226" s="45">
        <v>46015.510416666664</v>
      </c>
      <c r="O16226" s="46" t="s">
        <v>123</v>
      </c>
      <c r="P16226" s="46">
        <v>1800.0</v>
      </c>
    </row>
    <row r="16227">
      <c r="A16227" s="40">
        <f t="shared" si="1"/>
        <v>46013</v>
      </c>
      <c r="B16227" s="37" t="str">
        <f t="array" ref="B16227">iferror(xlookup($I16227, 'IMPORT VHC Report'!$E:$E, 'IMPORT VHC Report'!$A:$C), )</f>
        <v/>
      </c>
      <c r="C16227" s="44"/>
      <c r="D16227" s="44"/>
      <c r="E16227" s="46" t="s">
        <v>12423</v>
      </c>
      <c r="F16227" s="46" t="s">
        <v>7755</v>
      </c>
      <c r="G16227" s="46">
        <v>3.61724667376E11</v>
      </c>
      <c r="H16227" s="46" t="s">
        <v>7756</v>
      </c>
      <c r="I16227" s="46" t="s">
        <v>7757</v>
      </c>
      <c r="J16227" s="46" t="s">
        <v>330</v>
      </c>
      <c r="K16227" s="46" t="s">
        <v>126</v>
      </c>
      <c r="L16227" s="45">
        <v>46016.208333333336</v>
      </c>
      <c r="M16227" s="46" t="s">
        <v>123</v>
      </c>
      <c r="N16227" s="45">
        <v>46016.21527777778</v>
      </c>
      <c r="O16227" s="46" t="s">
        <v>123</v>
      </c>
      <c r="P16227" s="46">
        <v>600.0</v>
      </c>
    </row>
    <row r="16228">
      <c r="A16228" s="40">
        <f t="shared" si="1"/>
        <v>46013</v>
      </c>
      <c r="B16228" s="37" t="str">
        <f t="array" ref="B16228">iferror(xlookup($I16228, 'IMPORT VHC Report'!$E:$E, 'IMPORT VHC Report'!$A:$C), )</f>
        <v/>
      </c>
      <c r="C16228" s="44"/>
      <c r="D16228" s="44"/>
      <c r="E16228" s="46" t="s">
        <v>12424</v>
      </c>
      <c r="F16228" s="46" t="s">
        <v>7755</v>
      </c>
      <c r="G16228" s="46">
        <v>3.61724667376E11</v>
      </c>
      <c r="H16228" s="46" t="s">
        <v>7756</v>
      </c>
      <c r="I16228" s="46" t="s">
        <v>7757</v>
      </c>
      <c r="J16228" s="46" t="s">
        <v>332</v>
      </c>
      <c r="K16228" s="46" t="s">
        <v>63</v>
      </c>
      <c r="L16228" s="45">
        <v>46016.208333333336</v>
      </c>
      <c r="M16228" s="46" t="s">
        <v>123</v>
      </c>
      <c r="N16228" s="45">
        <v>46016.583333333336</v>
      </c>
      <c r="O16228" s="46" t="s">
        <v>123</v>
      </c>
      <c r="P16228" s="46">
        <v>32400.0</v>
      </c>
    </row>
    <row r="16229">
      <c r="A16229" s="40">
        <f t="shared" si="1"/>
        <v>46013</v>
      </c>
      <c r="B16229" s="37" t="str">
        <f t="array" ref="B16229">iferror(xlookup($I16229, 'IMPORT VHC Report'!$E:$E, 'IMPORT VHC Report'!$A:$C), )</f>
        <v/>
      </c>
      <c r="C16229" s="44"/>
      <c r="D16229" s="44"/>
      <c r="E16229" s="46" t="s">
        <v>12425</v>
      </c>
      <c r="F16229" s="46" t="s">
        <v>7755</v>
      </c>
      <c r="G16229" s="46">
        <v>3.61724667376E11</v>
      </c>
      <c r="H16229" s="46" t="s">
        <v>7756</v>
      </c>
      <c r="I16229" s="46" t="s">
        <v>7757</v>
      </c>
      <c r="J16229" s="46" t="s">
        <v>132</v>
      </c>
      <c r="K16229" s="46" t="s">
        <v>126</v>
      </c>
      <c r="L16229" s="45">
        <v>46016.3125</v>
      </c>
      <c r="M16229" s="46" t="s">
        <v>123</v>
      </c>
      <c r="N16229" s="45">
        <v>46016.354166666664</v>
      </c>
      <c r="O16229" s="46" t="s">
        <v>123</v>
      </c>
      <c r="P16229" s="46">
        <v>3600.0</v>
      </c>
    </row>
    <row r="16230">
      <c r="A16230" s="40">
        <f t="shared" si="1"/>
        <v>46013</v>
      </c>
      <c r="B16230" s="37" t="str">
        <f t="array" ref="B16230">iferror(xlookup($I16230, 'IMPORT VHC Report'!$E:$E, 'IMPORT VHC Report'!$A:$C), )</f>
        <v/>
      </c>
      <c r="C16230" s="44"/>
      <c r="D16230" s="44"/>
      <c r="E16230" s="46" t="s">
        <v>12426</v>
      </c>
      <c r="F16230" s="46" t="s">
        <v>7755</v>
      </c>
      <c r="G16230" s="46">
        <v>3.61724667376E11</v>
      </c>
      <c r="H16230" s="46" t="s">
        <v>7756</v>
      </c>
      <c r="I16230" s="46" t="s">
        <v>7757</v>
      </c>
      <c r="J16230" s="46" t="s">
        <v>134</v>
      </c>
      <c r="K16230" s="46" t="s">
        <v>126</v>
      </c>
      <c r="L16230" s="45">
        <v>46016.4375</v>
      </c>
      <c r="M16230" s="46" t="s">
        <v>123</v>
      </c>
      <c r="N16230" s="45">
        <v>46016.458333333336</v>
      </c>
      <c r="O16230" s="46" t="s">
        <v>123</v>
      </c>
      <c r="P16230" s="46">
        <v>1800.0</v>
      </c>
    </row>
    <row r="16231">
      <c r="A16231" s="40">
        <f t="shared" si="1"/>
        <v>46013</v>
      </c>
      <c r="B16231" s="37" t="str">
        <f t="array" ref="B16231">iferror(xlookup($I16231, 'IMPORT VHC Report'!$E:$E, 'IMPORT VHC Report'!$A:$C), )</f>
        <v/>
      </c>
      <c r="C16231" s="44"/>
      <c r="D16231" s="44"/>
      <c r="E16231" s="46" t="s">
        <v>12427</v>
      </c>
      <c r="F16231" s="46" t="s">
        <v>7755</v>
      </c>
      <c r="G16231" s="46">
        <v>3.61724667376E11</v>
      </c>
      <c r="H16231" s="46" t="s">
        <v>7756</v>
      </c>
      <c r="I16231" s="46" t="s">
        <v>7757</v>
      </c>
      <c r="J16231" s="46" t="s">
        <v>330</v>
      </c>
      <c r="K16231" s="46" t="s">
        <v>126</v>
      </c>
      <c r="L16231" s="45">
        <v>46017.208333333336</v>
      </c>
      <c r="M16231" s="46" t="s">
        <v>123</v>
      </c>
      <c r="N16231" s="45">
        <v>46017.21527777778</v>
      </c>
      <c r="O16231" s="46" t="s">
        <v>123</v>
      </c>
      <c r="P16231" s="46">
        <v>600.0</v>
      </c>
    </row>
    <row r="16232">
      <c r="A16232" s="40">
        <f t="shared" si="1"/>
        <v>46013</v>
      </c>
      <c r="B16232" s="37" t="str">
        <f t="array" ref="B16232">iferror(xlookup($I16232, 'IMPORT VHC Report'!$E:$E, 'IMPORT VHC Report'!$A:$C), )</f>
        <v/>
      </c>
      <c r="C16232" s="44"/>
      <c r="D16232" s="44"/>
      <c r="E16232" s="46" t="s">
        <v>12428</v>
      </c>
      <c r="F16232" s="46" t="s">
        <v>7755</v>
      </c>
      <c r="G16232" s="46">
        <v>3.61724667376E11</v>
      </c>
      <c r="H16232" s="46" t="s">
        <v>7756</v>
      </c>
      <c r="I16232" s="46" t="s">
        <v>7757</v>
      </c>
      <c r="J16232" s="46" t="s">
        <v>332</v>
      </c>
      <c r="K16232" s="46" t="s">
        <v>63</v>
      </c>
      <c r="L16232" s="45">
        <v>46017.208333333336</v>
      </c>
      <c r="M16232" s="46" t="s">
        <v>123</v>
      </c>
      <c r="N16232" s="45">
        <v>46017.583333333336</v>
      </c>
      <c r="O16232" s="46" t="s">
        <v>123</v>
      </c>
      <c r="P16232" s="46">
        <v>32400.0</v>
      </c>
    </row>
    <row r="16233">
      <c r="A16233" s="40">
        <f t="shared" si="1"/>
        <v>46013</v>
      </c>
      <c r="B16233" s="37" t="str">
        <f t="array" ref="B16233">iferror(xlookup($I16233, 'IMPORT VHC Report'!$E:$E, 'IMPORT VHC Report'!$A:$C), )</f>
        <v/>
      </c>
      <c r="C16233" s="44"/>
      <c r="D16233" s="44"/>
      <c r="E16233" s="46" t="s">
        <v>12429</v>
      </c>
      <c r="F16233" s="46" t="s">
        <v>7755</v>
      </c>
      <c r="G16233" s="46">
        <v>3.61724667376E11</v>
      </c>
      <c r="H16233" s="46" t="s">
        <v>7756</v>
      </c>
      <c r="I16233" s="46" t="s">
        <v>7757</v>
      </c>
      <c r="J16233" s="46" t="s">
        <v>132</v>
      </c>
      <c r="K16233" s="46" t="s">
        <v>126</v>
      </c>
      <c r="L16233" s="45">
        <v>46017.34375</v>
      </c>
      <c r="M16233" s="46" t="s">
        <v>123</v>
      </c>
      <c r="N16233" s="45">
        <v>46017.385416666664</v>
      </c>
      <c r="O16233" s="46" t="s">
        <v>123</v>
      </c>
      <c r="P16233" s="46">
        <v>3600.0</v>
      </c>
    </row>
    <row r="16234">
      <c r="A16234" s="40">
        <f t="shared" si="1"/>
        <v>46013</v>
      </c>
      <c r="B16234" s="37" t="str">
        <f t="array" ref="B16234">iferror(xlookup($I16234, 'IMPORT VHC Report'!$E:$E, 'IMPORT VHC Report'!$A:$C), )</f>
        <v/>
      </c>
      <c r="C16234" s="44"/>
      <c r="D16234" s="44"/>
      <c r="E16234" s="46" t="s">
        <v>12430</v>
      </c>
      <c r="F16234" s="46" t="s">
        <v>7755</v>
      </c>
      <c r="G16234" s="46">
        <v>3.61724667376E11</v>
      </c>
      <c r="H16234" s="46" t="s">
        <v>7756</v>
      </c>
      <c r="I16234" s="46" t="s">
        <v>7757</v>
      </c>
      <c r="J16234" s="46" t="s">
        <v>134</v>
      </c>
      <c r="K16234" s="46" t="s">
        <v>126</v>
      </c>
      <c r="L16234" s="45">
        <v>46017.479166666664</v>
      </c>
      <c r="M16234" s="46" t="s">
        <v>123</v>
      </c>
      <c r="N16234" s="45">
        <v>46017.5</v>
      </c>
      <c r="O16234" s="46" t="s">
        <v>123</v>
      </c>
      <c r="P16234" s="46">
        <v>1800.0</v>
      </c>
    </row>
    <row r="16235">
      <c r="A16235" s="40">
        <f t="shared" si="1"/>
        <v>46013</v>
      </c>
      <c r="B16235" s="37" t="str">
        <f t="array" ref="B16235">iferror(xlookup($I16235, 'IMPORT VHC Report'!$E:$E, 'IMPORT VHC Report'!$A:$C), )</f>
        <v/>
      </c>
      <c r="C16235" s="44"/>
      <c r="D16235" s="44"/>
      <c r="E16235" s="46" t="s">
        <v>12431</v>
      </c>
      <c r="F16235" s="46" t="s">
        <v>7755</v>
      </c>
      <c r="G16235" s="46">
        <v>3.61724667376E11</v>
      </c>
      <c r="H16235" s="46" t="s">
        <v>7756</v>
      </c>
      <c r="I16235" s="46" t="s">
        <v>7757</v>
      </c>
      <c r="J16235" s="46" t="s">
        <v>330</v>
      </c>
      <c r="K16235" s="46" t="s">
        <v>126</v>
      </c>
      <c r="L16235" s="45">
        <v>46018.208333333336</v>
      </c>
      <c r="M16235" s="46" t="s">
        <v>123</v>
      </c>
      <c r="N16235" s="45">
        <v>46018.21527777778</v>
      </c>
      <c r="O16235" s="46" t="s">
        <v>123</v>
      </c>
      <c r="P16235" s="46">
        <v>600.0</v>
      </c>
    </row>
    <row r="16236">
      <c r="A16236" s="40">
        <f t="shared" si="1"/>
        <v>46013</v>
      </c>
      <c r="B16236" s="37" t="str">
        <f t="array" ref="B16236">iferror(xlookup($I16236, 'IMPORT VHC Report'!$E:$E, 'IMPORT VHC Report'!$A:$C), )</f>
        <v/>
      </c>
      <c r="C16236" s="44"/>
      <c r="D16236" s="44"/>
      <c r="E16236" s="46" t="s">
        <v>12432</v>
      </c>
      <c r="F16236" s="46" t="s">
        <v>7755</v>
      </c>
      <c r="G16236" s="46">
        <v>3.61724667376E11</v>
      </c>
      <c r="H16236" s="46" t="s">
        <v>7756</v>
      </c>
      <c r="I16236" s="46" t="s">
        <v>7757</v>
      </c>
      <c r="J16236" s="46" t="s">
        <v>332</v>
      </c>
      <c r="K16236" s="46" t="s">
        <v>63</v>
      </c>
      <c r="L16236" s="45">
        <v>46018.208333333336</v>
      </c>
      <c r="M16236" s="46" t="s">
        <v>123</v>
      </c>
      <c r="N16236" s="45">
        <v>46018.583333333336</v>
      </c>
      <c r="O16236" s="46" t="s">
        <v>123</v>
      </c>
      <c r="P16236" s="46">
        <v>32400.0</v>
      </c>
    </row>
    <row r="16237">
      <c r="A16237" s="40">
        <f t="shared" si="1"/>
        <v>46013</v>
      </c>
      <c r="B16237" s="37" t="str">
        <f t="array" ref="B16237">iferror(xlookup($I16237, 'IMPORT VHC Report'!$E:$E, 'IMPORT VHC Report'!$A:$C), )</f>
        <v/>
      </c>
      <c r="C16237" s="44"/>
      <c r="D16237" s="44"/>
      <c r="E16237" s="46" t="s">
        <v>12433</v>
      </c>
      <c r="F16237" s="46" t="s">
        <v>7755</v>
      </c>
      <c r="G16237" s="46">
        <v>3.61724667376E11</v>
      </c>
      <c r="H16237" s="46" t="s">
        <v>7756</v>
      </c>
      <c r="I16237" s="46" t="s">
        <v>7757</v>
      </c>
      <c r="J16237" s="46" t="s">
        <v>132</v>
      </c>
      <c r="K16237" s="46" t="s">
        <v>126</v>
      </c>
      <c r="L16237" s="45">
        <v>46018.322916666664</v>
      </c>
      <c r="M16237" s="46" t="s">
        <v>123</v>
      </c>
      <c r="N16237" s="45">
        <v>46018.364583333336</v>
      </c>
      <c r="O16237" s="46" t="s">
        <v>123</v>
      </c>
      <c r="P16237" s="46">
        <v>3600.0</v>
      </c>
    </row>
    <row r="16238">
      <c r="A16238" s="40">
        <f t="shared" si="1"/>
        <v>46013</v>
      </c>
      <c r="B16238" s="37" t="str">
        <f t="array" ref="B16238">iferror(xlookup($I16238, 'IMPORT VHC Report'!$E:$E, 'IMPORT VHC Report'!$A:$C), )</f>
        <v/>
      </c>
      <c r="C16238" s="44"/>
      <c r="D16238" s="44"/>
      <c r="E16238" s="46" t="s">
        <v>12434</v>
      </c>
      <c r="F16238" s="46" t="s">
        <v>7755</v>
      </c>
      <c r="G16238" s="46">
        <v>3.61724667376E11</v>
      </c>
      <c r="H16238" s="46" t="s">
        <v>7756</v>
      </c>
      <c r="I16238" s="46" t="s">
        <v>7757</v>
      </c>
      <c r="J16238" s="46" t="s">
        <v>134</v>
      </c>
      <c r="K16238" s="46" t="s">
        <v>126</v>
      </c>
      <c r="L16238" s="45">
        <v>46018.447916666664</v>
      </c>
      <c r="M16238" s="46" t="s">
        <v>123</v>
      </c>
      <c r="N16238" s="45">
        <v>46018.46875</v>
      </c>
      <c r="O16238" s="46" t="s">
        <v>123</v>
      </c>
      <c r="P16238" s="46">
        <v>1800.0</v>
      </c>
    </row>
    <row r="16239">
      <c r="A16239" s="40">
        <f t="shared" si="1"/>
        <v>46013</v>
      </c>
      <c r="B16239" s="37" t="str">
        <f t="array" ref="B16239">iferror(xlookup($I16239, 'IMPORT VHC Report'!$E:$E, 'IMPORT VHC Report'!$A:$C), )</f>
        <v/>
      </c>
      <c r="C16239" s="44"/>
      <c r="D16239" s="44"/>
      <c r="E16239" s="46" t="s">
        <v>12435</v>
      </c>
      <c r="F16239" s="46" t="s">
        <v>7755</v>
      </c>
      <c r="G16239" s="46">
        <v>3.61724667376E11</v>
      </c>
      <c r="H16239" s="46" t="s">
        <v>7756</v>
      </c>
      <c r="I16239" s="46" t="s">
        <v>7757</v>
      </c>
      <c r="J16239" s="46" t="s">
        <v>330</v>
      </c>
      <c r="K16239" s="46" t="s">
        <v>126</v>
      </c>
      <c r="L16239" s="45">
        <v>46019.208333333336</v>
      </c>
      <c r="M16239" s="46" t="s">
        <v>123</v>
      </c>
      <c r="N16239" s="45">
        <v>46019.21527777778</v>
      </c>
      <c r="O16239" s="46" t="s">
        <v>123</v>
      </c>
      <c r="P16239" s="46">
        <v>600.0</v>
      </c>
    </row>
    <row r="16240">
      <c r="A16240" s="40">
        <f t="shared" si="1"/>
        <v>46013</v>
      </c>
      <c r="B16240" s="37" t="str">
        <f t="array" ref="B16240">iferror(xlookup($I16240, 'IMPORT VHC Report'!$E:$E, 'IMPORT VHC Report'!$A:$C), )</f>
        <v/>
      </c>
      <c r="C16240" s="44"/>
      <c r="D16240" s="44"/>
      <c r="E16240" s="46" t="s">
        <v>12436</v>
      </c>
      <c r="F16240" s="46" t="s">
        <v>7755</v>
      </c>
      <c r="G16240" s="46">
        <v>3.61724667376E11</v>
      </c>
      <c r="H16240" s="46" t="s">
        <v>7756</v>
      </c>
      <c r="I16240" s="46" t="s">
        <v>7757</v>
      </c>
      <c r="J16240" s="46" t="s">
        <v>332</v>
      </c>
      <c r="K16240" s="46" t="s">
        <v>63</v>
      </c>
      <c r="L16240" s="45">
        <v>46019.208333333336</v>
      </c>
      <c r="M16240" s="46" t="s">
        <v>123</v>
      </c>
      <c r="N16240" s="45">
        <v>46019.583333333336</v>
      </c>
      <c r="O16240" s="46" t="s">
        <v>123</v>
      </c>
      <c r="P16240" s="46">
        <v>32400.0</v>
      </c>
    </row>
    <row r="16241">
      <c r="A16241" s="40">
        <f t="shared" si="1"/>
        <v>46013</v>
      </c>
      <c r="B16241" s="37" t="str">
        <f t="array" ref="B16241">iferror(xlookup($I16241, 'IMPORT VHC Report'!$E:$E, 'IMPORT VHC Report'!$A:$C), )</f>
        <v/>
      </c>
      <c r="C16241" s="44"/>
      <c r="D16241" s="44"/>
      <c r="E16241" s="46" t="s">
        <v>12437</v>
      </c>
      <c r="F16241" s="46" t="s">
        <v>7755</v>
      </c>
      <c r="G16241" s="46">
        <v>3.61724667376E11</v>
      </c>
      <c r="H16241" s="46" t="s">
        <v>7756</v>
      </c>
      <c r="I16241" s="46" t="s">
        <v>7757</v>
      </c>
      <c r="J16241" s="46" t="s">
        <v>132</v>
      </c>
      <c r="K16241" s="46" t="s">
        <v>126</v>
      </c>
      <c r="L16241" s="45">
        <v>46019.34375</v>
      </c>
      <c r="M16241" s="46" t="s">
        <v>123</v>
      </c>
      <c r="N16241" s="45">
        <v>46019.385416666664</v>
      </c>
      <c r="O16241" s="46" t="s">
        <v>123</v>
      </c>
      <c r="P16241" s="46">
        <v>3600.0</v>
      </c>
    </row>
    <row r="16242">
      <c r="A16242" s="40">
        <f t="shared" si="1"/>
        <v>46013</v>
      </c>
      <c r="B16242" s="37" t="str">
        <f t="array" ref="B16242">iferror(xlookup($I16242, 'IMPORT VHC Report'!$E:$E, 'IMPORT VHC Report'!$A:$C), )</f>
        <v/>
      </c>
      <c r="C16242" s="44"/>
      <c r="D16242" s="44"/>
      <c r="E16242" s="46" t="s">
        <v>12438</v>
      </c>
      <c r="F16242" s="46" t="s">
        <v>7755</v>
      </c>
      <c r="G16242" s="46">
        <v>3.61724667376E11</v>
      </c>
      <c r="H16242" s="46" t="s">
        <v>7756</v>
      </c>
      <c r="I16242" s="46" t="s">
        <v>7757</v>
      </c>
      <c r="J16242" s="46" t="s">
        <v>134</v>
      </c>
      <c r="K16242" s="46" t="s">
        <v>126</v>
      </c>
      <c r="L16242" s="45">
        <v>46019.46875</v>
      </c>
      <c r="M16242" s="46" t="s">
        <v>123</v>
      </c>
      <c r="N16242" s="45">
        <v>46019.489583333336</v>
      </c>
      <c r="O16242" s="46" t="s">
        <v>123</v>
      </c>
      <c r="P16242" s="46">
        <v>1800.0</v>
      </c>
    </row>
    <row r="16243">
      <c r="A16243" s="40">
        <f t="shared" si="1"/>
        <v>46013</v>
      </c>
      <c r="B16243" s="37" t="str">
        <f t="array" ref="B16243">iferror(xlookup($I16243, 'IMPORT VHC Report'!$E:$E, 'IMPORT VHC Report'!$A:$C), )</f>
        <v/>
      </c>
      <c r="C16243" s="44"/>
      <c r="D16243" s="44"/>
      <c r="E16243" s="46" t="s">
        <v>12439</v>
      </c>
      <c r="F16243" s="46" t="s">
        <v>7800</v>
      </c>
      <c r="G16243" s="46">
        <v>5.566843775631E12</v>
      </c>
      <c r="H16243" s="46" t="s">
        <v>7801</v>
      </c>
      <c r="I16243" s="46" t="s">
        <v>7802</v>
      </c>
      <c r="J16243" s="46" t="s">
        <v>330</v>
      </c>
      <c r="K16243" s="46" t="s">
        <v>126</v>
      </c>
      <c r="L16243" s="45">
        <v>46015.583333333336</v>
      </c>
      <c r="M16243" s="46" t="s">
        <v>123</v>
      </c>
      <c r="N16243" s="45">
        <v>46015.59027777778</v>
      </c>
      <c r="O16243" s="46" t="s">
        <v>123</v>
      </c>
      <c r="P16243" s="46">
        <v>600.0</v>
      </c>
    </row>
    <row r="16244">
      <c r="A16244" s="40">
        <f t="shared" si="1"/>
        <v>46013</v>
      </c>
      <c r="B16244" s="37" t="str">
        <f t="array" ref="B16244">iferror(xlookup($I16244, 'IMPORT VHC Report'!$E:$E, 'IMPORT VHC Report'!$A:$C), )</f>
        <v/>
      </c>
      <c r="C16244" s="44"/>
      <c r="D16244" s="44"/>
      <c r="E16244" s="46" t="s">
        <v>12440</v>
      </c>
      <c r="F16244" s="46" t="s">
        <v>7800</v>
      </c>
      <c r="G16244" s="46">
        <v>5.566843775631E12</v>
      </c>
      <c r="H16244" s="46" t="s">
        <v>7801</v>
      </c>
      <c r="I16244" s="46" t="s">
        <v>7802</v>
      </c>
      <c r="J16244" s="46" t="s">
        <v>332</v>
      </c>
      <c r="K16244" s="46" t="s">
        <v>63</v>
      </c>
      <c r="L16244" s="45">
        <v>46015.583333333336</v>
      </c>
      <c r="M16244" s="46" t="s">
        <v>123</v>
      </c>
      <c r="N16244" s="45">
        <v>46015.958333333336</v>
      </c>
      <c r="O16244" s="46" t="s">
        <v>123</v>
      </c>
      <c r="P16244" s="46">
        <v>32400.0</v>
      </c>
    </row>
    <row r="16245">
      <c r="A16245" s="40">
        <f t="shared" si="1"/>
        <v>46013</v>
      </c>
      <c r="B16245" s="37" t="str">
        <f t="array" ref="B16245">iferror(xlookup($I16245, 'IMPORT VHC Report'!$E:$E, 'IMPORT VHC Report'!$A:$C), )</f>
        <v/>
      </c>
      <c r="C16245" s="44"/>
      <c r="D16245" s="44"/>
      <c r="E16245" s="46" t="s">
        <v>12441</v>
      </c>
      <c r="F16245" s="46" t="s">
        <v>7800</v>
      </c>
      <c r="G16245" s="46">
        <v>5.566843775631E12</v>
      </c>
      <c r="H16245" s="46" t="s">
        <v>7801</v>
      </c>
      <c r="I16245" s="46" t="s">
        <v>7802</v>
      </c>
      <c r="J16245" s="46" t="s">
        <v>330</v>
      </c>
      <c r="K16245" s="46" t="s">
        <v>126</v>
      </c>
      <c r="L16245" s="45">
        <v>46015.625</v>
      </c>
      <c r="M16245" s="46" t="s">
        <v>123</v>
      </c>
      <c r="N16245" s="45">
        <v>46015.6875</v>
      </c>
      <c r="O16245" s="46" t="s">
        <v>123</v>
      </c>
      <c r="P16245" s="46">
        <v>5400.0</v>
      </c>
    </row>
    <row r="16246">
      <c r="A16246" s="40">
        <f t="shared" si="1"/>
        <v>46013</v>
      </c>
      <c r="B16246" s="37" t="str">
        <f t="array" ref="B16246">iferror(xlookup($I16246, 'IMPORT VHC Report'!$E:$E, 'IMPORT VHC Report'!$A:$C), )</f>
        <v/>
      </c>
      <c r="C16246" s="44"/>
      <c r="D16246" s="44"/>
      <c r="E16246" s="46" t="s">
        <v>12442</v>
      </c>
      <c r="F16246" s="46" t="s">
        <v>7800</v>
      </c>
      <c r="G16246" s="46">
        <v>5.566843775631E12</v>
      </c>
      <c r="H16246" s="46" t="s">
        <v>7801</v>
      </c>
      <c r="I16246" s="46" t="s">
        <v>7802</v>
      </c>
      <c r="J16246" s="46" t="s">
        <v>132</v>
      </c>
      <c r="K16246" s="46" t="s">
        <v>126</v>
      </c>
      <c r="L16246" s="45">
        <v>46015.6875</v>
      </c>
      <c r="M16246" s="46" t="s">
        <v>123</v>
      </c>
      <c r="N16246" s="45">
        <v>46015.729166666664</v>
      </c>
      <c r="O16246" s="46" t="s">
        <v>123</v>
      </c>
      <c r="P16246" s="46">
        <v>3600.0</v>
      </c>
    </row>
    <row r="16247">
      <c r="A16247" s="40">
        <f t="shared" si="1"/>
        <v>46013</v>
      </c>
      <c r="B16247" s="37" t="str">
        <f t="array" ref="B16247">iferror(xlookup($I16247, 'IMPORT VHC Report'!$E:$E, 'IMPORT VHC Report'!$A:$C), )</f>
        <v/>
      </c>
      <c r="C16247" s="44"/>
      <c r="D16247" s="44"/>
      <c r="E16247" s="46" t="s">
        <v>12443</v>
      </c>
      <c r="F16247" s="46" t="s">
        <v>7800</v>
      </c>
      <c r="G16247" s="46">
        <v>5.566843775631E12</v>
      </c>
      <c r="H16247" s="46" t="s">
        <v>7801</v>
      </c>
      <c r="I16247" s="46" t="s">
        <v>7802</v>
      </c>
      <c r="J16247" s="46" t="s">
        <v>134</v>
      </c>
      <c r="K16247" s="46" t="s">
        <v>126</v>
      </c>
      <c r="L16247" s="45">
        <v>46015.8125</v>
      </c>
      <c r="M16247" s="46" t="s">
        <v>123</v>
      </c>
      <c r="N16247" s="45">
        <v>46015.833333333336</v>
      </c>
      <c r="O16247" s="46" t="s">
        <v>123</v>
      </c>
      <c r="P16247" s="46">
        <v>1800.0</v>
      </c>
    </row>
    <row r="16248">
      <c r="A16248" s="40">
        <f t="shared" si="1"/>
        <v>46013</v>
      </c>
      <c r="B16248" s="37" t="str">
        <f t="array" ref="B16248">iferror(xlookup($I16248, 'IMPORT VHC Report'!$E:$E, 'IMPORT VHC Report'!$A:$C), )</f>
        <v/>
      </c>
      <c r="C16248" s="44"/>
      <c r="D16248" s="44"/>
      <c r="E16248" s="46" t="s">
        <v>12444</v>
      </c>
      <c r="F16248" s="46" t="s">
        <v>7800</v>
      </c>
      <c r="G16248" s="46">
        <v>5.566843775631E12</v>
      </c>
      <c r="H16248" s="46" t="s">
        <v>7801</v>
      </c>
      <c r="I16248" s="46" t="s">
        <v>7802</v>
      </c>
      <c r="J16248" s="46" t="s">
        <v>136</v>
      </c>
      <c r="K16248" s="46" t="s">
        <v>126</v>
      </c>
      <c r="L16248" s="45">
        <v>46015.833333333336</v>
      </c>
      <c r="M16248" s="46" t="s">
        <v>123</v>
      </c>
      <c r="N16248" s="45">
        <v>46015.84027777778</v>
      </c>
      <c r="O16248" s="46" t="s">
        <v>123</v>
      </c>
      <c r="P16248" s="46">
        <v>600.0</v>
      </c>
      <c r="S16248" s="46" t="s">
        <v>12005</v>
      </c>
    </row>
    <row r="16249">
      <c r="A16249" s="40">
        <f t="shared" si="1"/>
        <v>46013</v>
      </c>
      <c r="B16249" s="37" t="str">
        <f t="array" ref="B16249">iferror(xlookup($I16249, 'IMPORT VHC Report'!$E:$E, 'IMPORT VHC Report'!$A:$C), )</f>
        <v/>
      </c>
      <c r="C16249" s="44"/>
      <c r="D16249" s="44"/>
      <c r="E16249" s="46" t="s">
        <v>12445</v>
      </c>
      <c r="F16249" s="46" t="s">
        <v>7800</v>
      </c>
      <c r="G16249" s="46">
        <v>5.566843775631E12</v>
      </c>
      <c r="H16249" s="46" t="s">
        <v>7801</v>
      </c>
      <c r="I16249" s="46" t="s">
        <v>7802</v>
      </c>
      <c r="J16249" s="46" t="s">
        <v>4</v>
      </c>
      <c r="K16249" s="46" t="s">
        <v>126</v>
      </c>
      <c r="L16249" s="45">
        <v>46015.84027777778</v>
      </c>
      <c r="M16249" s="46" t="s">
        <v>123</v>
      </c>
      <c r="N16249" s="45">
        <v>46015.850694444445</v>
      </c>
      <c r="O16249" s="46" t="s">
        <v>123</v>
      </c>
      <c r="P16249" s="46">
        <v>900.0</v>
      </c>
      <c r="S16249" s="46" t="s">
        <v>3693</v>
      </c>
    </row>
    <row r="16250">
      <c r="A16250" s="40">
        <f t="shared" si="1"/>
        <v>46013</v>
      </c>
      <c r="B16250" s="37" t="str">
        <f t="array" ref="B16250">iferror(xlookup($I16250, 'IMPORT VHC Report'!$E:$E, 'IMPORT VHC Report'!$A:$C), )</f>
        <v/>
      </c>
      <c r="C16250" s="44"/>
      <c r="D16250" s="44"/>
      <c r="E16250" s="46" t="s">
        <v>12446</v>
      </c>
      <c r="F16250" s="46" t="s">
        <v>7800</v>
      </c>
      <c r="G16250" s="46">
        <v>5.566843775631E12</v>
      </c>
      <c r="H16250" s="46" t="s">
        <v>7801</v>
      </c>
      <c r="I16250" s="46" t="s">
        <v>7802</v>
      </c>
      <c r="J16250" s="46" t="s">
        <v>330</v>
      </c>
      <c r="K16250" s="46" t="s">
        <v>126</v>
      </c>
      <c r="L16250" s="45">
        <v>46016.583333333336</v>
      </c>
      <c r="M16250" s="46" t="s">
        <v>123</v>
      </c>
      <c r="N16250" s="45">
        <v>46016.59027777778</v>
      </c>
      <c r="O16250" s="46" t="s">
        <v>123</v>
      </c>
      <c r="P16250" s="46">
        <v>600.0</v>
      </c>
    </row>
    <row r="16251">
      <c r="A16251" s="40">
        <f t="shared" si="1"/>
        <v>46013</v>
      </c>
      <c r="B16251" s="37" t="str">
        <f t="array" ref="B16251">iferror(xlookup($I16251, 'IMPORT VHC Report'!$E:$E, 'IMPORT VHC Report'!$A:$C), )</f>
        <v/>
      </c>
      <c r="C16251" s="44"/>
      <c r="D16251" s="44"/>
      <c r="E16251" s="46" t="s">
        <v>12447</v>
      </c>
      <c r="F16251" s="46" t="s">
        <v>7800</v>
      </c>
      <c r="G16251" s="46">
        <v>5.566843775631E12</v>
      </c>
      <c r="H16251" s="46" t="s">
        <v>7801</v>
      </c>
      <c r="I16251" s="46" t="s">
        <v>7802</v>
      </c>
      <c r="J16251" s="46" t="s">
        <v>332</v>
      </c>
      <c r="K16251" s="46" t="s">
        <v>63</v>
      </c>
      <c r="L16251" s="45">
        <v>46016.583333333336</v>
      </c>
      <c r="M16251" s="46" t="s">
        <v>123</v>
      </c>
      <c r="N16251" s="45">
        <v>46016.958333333336</v>
      </c>
      <c r="O16251" s="46" t="s">
        <v>123</v>
      </c>
      <c r="P16251" s="46">
        <v>32400.0</v>
      </c>
    </row>
    <row r="16252">
      <c r="A16252" s="40">
        <f t="shared" si="1"/>
        <v>46013</v>
      </c>
      <c r="B16252" s="37" t="str">
        <f t="array" ref="B16252">iferror(xlookup($I16252, 'IMPORT VHC Report'!$E:$E, 'IMPORT VHC Report'!$A:$C), )</f>
        <v/>
      </c>
      <c r="C16252" s="44"/>
      <c r="D16252" s="44"/>
      <c r="E16252" s="46" t="s">
        <v>12448</v>
      </c>
      <c r="F16252" s="46" t="s">
        <v>7800</v>
      </c>
      <c r="G16252" s="46">
        <v>5.566843775631E12</v>
      </c>
      <c r="H16252" s="46" t="s">
        <v>7801</v>
      </c>
      <c r="I16252" s="46" t="s">
        <v>7802</v>
      </c>
      <c r="J16252" s="46" t="s">
        <v>132</v>
      </c>
      <c r="K16252" s="46" t="s">
        <v>126</v>
      </c>
      <c r="L16252" s="45">
        <v>46016.6875</v>
      </c>
      <c r="M16252" s="46" t="s">
        <v>123</v>
      </c>
      <c r="N16252" s="45">
        <v>46016.729166666664</v>
      </c>
      <c r="O16252" s="46" t="s">
        <v>123</v>
      </c>
      <c r="P16252" s="46">
        <v>3600.0</v>
      </c>
    </row>
    <row r="16253">
      <c r="A16253" s="40">
        <f t="shared" si="1"/>
        <v>46013</v>
      </c>
      <c r="B16253" s="37" t="str">
        <f t="array" ref="B16253">iferror(xlookup($I16253, 'IMPORT VHC Report'!$E:$E, 'IMPORT VHC Report'!$A:$C), )</f>
        <v/>
      </c>
      <c r="C16253" s="44"/>
      <c r="D16253" s="44"/>
      <c r="E16253" s="46" t="s">
        <v>12449</v>
      </c>
      <c r="F16253" s="46" t="s">
        <v>7800</v>
      </c>
      <c r="G16253" s="46">
        <v>5.566843775631E12</v>
      </c>
      <c r="H16253" s="46" t="s">
        <v>7801</v>
      </c>
      <c r="I16253" s="46" t="s">
        <v>7802</v>
      </c>
      <c r="J16253" s="46" t="s">
        <v>134</v>
      </c>
      <c r="K16253" s="46" t="s">
        <v>126</v>
      </c>
      <c r="L16253" s="45">
        <v>46016.8125</v>
      </c>
      <c r="M16253" s="46" t="s">
        <v>123</v>
      </c>
      <c r="N16253" s="45">
        <v>46016.833333333336</v>
      </c>
      <c r="O16253" s="46" t="s">
        <v>123</v>
      </c>
      <c r="P16253" s="46">
        <v>1800.0</v>
      </c>
    </row>
    <row r="16254">
      <c r="A16254" s="40">
        <f t="shared" si="1"/>
        <v>46013</v>
      </c>
      <c r="B16254" s="37" t="str">
        <f t="array" ref="B16254">iferror(xlookup($I16254, 'IMPORT VHC Report'!$E:$E, 'IMPORT VHC Report'!$A:$C), )</f>
        <v/>
      </c>
      <c r="C16254" s="44"/>
      <c r="D16254" s="44"/>
      <c r="E16254" s="46" t="s">
        <v>12450</v>
      </c>
      <c r="F16254" s="46" t="s">
        <v>7800</v>
      </c>
      <c r="G16254" s="46">
        <v>5.566843775631E12</v>
      </c>
      <c r="H16254" s="46" t="s">
        <v>7801</v>
      </c>
      <c r="I16254" s="46" t="s">
        <v>7802</v>
      </c>
      <c r="J16254" s="46" t="s">
        <v>330</v>
      </c>
      <c r="K16254" s="46" t="s">
        <v>126</v>
      </c>
      <c r="L16254" s="45">
        <v>46017.583333333336</v>
      </c>
      <c r="M16254" s="46" t="s">
        <v>123</v>
      </c>
      <c r="N16254" s="45">
        <v>46017.59027777778</v>
      </c>
      <c r="O16254" s="46" t="s">
        <v>123</v>
      </c>
      <c r="P16254" s="46">
        <v>600.0</v>
      </c>
    </row>
    <row r="16255">
      <c r="A16255" s="40">
        <f t="shared" si="1"/>
        <v>46013</v>
      </c>
      <c r="B16255" s="37" t="str">
        <f t="array" ref="B16255">iferror(xlookup($I16255, 'IMPORT VHC Report'!$E:$E, 'IMPORT VHC Report'!$A:$C), )</f>
        <v/>
      </c>
      <c r="C16255" s="44"/>
      <c r="D16255" s="44"/>
      <c r="E16255" s="46" t="s">
        <v>12451</v>
      </c>
      <c r="F16255" s="46" t="s">
        <v>7800</v>
      </c>
      <c r="G16255" s="46">
        <v>5.566843775631E12</v>
      </c>
      <c r="H16255" s="46" t="s">
        <v>7801</v>
      </c>
      <c r="I16255" s="46" t="s">
        <v>7802</v>
      </c>
      <c r="J16255" s="46" t="s">
        <v>332</v>
      </c>
      <c r="K16255" s="46" t="s">
        <v>63</v>
      </c>
      <c r="L16255" s="45">
        <v>46017.583333333336</v>
      </c>
      <c r="M16255" s="46" t="s">
        <v>123</v>
      </c>
      <c r="N16255" s="45">
        <v>46017.958333333336</v>
      </c>
      <c r="O16255" s="46" t="s">
        <v>123</v>
      </c>
      <c r="P16255" s="46">
        <v>32400.0</v>
      </c>
    </row>
    <row r="16256">
      <c r="A16256" s="40">
        <f t="shared" si="1"/>
        <v>46013</v>
      </c>
      <c r="B16256" s="37" t="str">
        <f t="array" ref="B16256">iferror(xlookup($I16256, 'IMPORT VHC Report'!$E:$E, 'IMPORT VHC Report'!$A:$C), )</f>
        <v/>
      </c>
      <c r="C16256" s="44"/>
      <c r="D16256" s="44"/>
      <c r="E16256" s="46" t="s">
        <v>12452</v>
      </c>
      <c r="F16256" s="46" t="s">
        <v>7800</v>
      </c>
      <c r="G16256" s="46">
        <v>5.566843775631E12</v>
      </c>
      <c r="H16256" s="46" t="s">
        <v>7801</v>
      </c>
      <c r="I16256" s="46" t="s">
        <v>7802</v>
      </c>
      <c r="J16256" s="46" t="s">
        <v>136</v>
      </c>
      <c r="K16256" s="46" t="s">
        <v>126</v>
      </c>
      <c r="L16256" s="45">
        <v>46017.666666666664</v>
      </c>
      <c r="M16256" s="46" t="s">
        <v>123</v>
      </c>
      <c r="N16256" s="45">
        <v>46017.71527777778</v>
      </c>
      <c r="O16256" s="46" t="s">
        <v>123</v>
      </c>
      <c r="P16256" s="46">
        <v>4200.0</v>
      </c>
      <c r="S16256" s="46" t="s">
        <v>137</v>
      </c>
    </row>
    <row r="16257">
      <c r="A16257" s="40">
        <f t="shared" si="1"/>
        <v>46013</v>
      </c>
      <c r="B16257" s="37" t="str">
        <f t="array" ref="B16257">iferror(xlookup($I16257, 'IMPORT VHC Report'!$E:$E, 'IMPORT VHC Report'!$A:$C), )</f>
        <v/>
      </c>
      <c r="C16257" s="44"/>
      <c r="D16257" s="44"/>
      <c r="E16257" s="46" t="s">
        <v>12453</v>
      </c>
      <c r="F16257" s="46" t="s">
        <v>7800</v>
      </c>
      <c r="G16257" s="46">
        <v>5.566843775631E12</v>
      </c>
      <c r="H16257" s="46" t="s">
        <v>7801</v>
      </c>
      <c r="I16257" s="46" t="s">
        <v>7802</v>
      </c>
      <c r="J16257" s="46" t="s">
        <v>132</v>
      </c>
      <c r="K16257" s="46" t="s">
        <v>126</v>
      </c>
      <c r="L16257" s="45">
        <v>46017.729166666664</v>
      </c>
      <c r="M16257" s="46" t="s">
        <v>123</v>
      </c>
      <c r="N16257" s="45">
        <v>46017.770833333336</v>
      </c>
      <c r="O16257" s="46" t="s">
        <v>123</v>
      </c>
      <c r="P16257" s="46">
        <v>3600.0</v>
      </c>
    </row>
    <row r="16258">
      <c r="A16258" s="40">
        <f t="shared" si="1"/>
        <v>46013</v>
      </c>
      <c r="B16258" s="37" t="str">
        <f t="array" ref="B16258">iferror(xlookup($I16258, 'IMPORT VHC Report'!$E:$E, 'IMPORT VHC Report'!$A:$C), )</f>
        <v/>
      </c>
      <c r="C16258" s="44"/>
      <c r="D16258" s="44"/>
      <c r="E16258" s="46" t="s">
        <v>12454</v>
      </c>
      <c r="F16258" s="46" t="s">
        <v>7800</v>
      </c>
      <c r="G16258" s="46">
        <v>5.566843775631E12</v>
      </c>
      <c r="H16258" s="46" t="s">
        <v>7801</v>
      </c>
      <c r="I16258" s="46" t="s">
        <v>7802</v>
      </c>
      <c r="J16258" s="46" t="s">
        <v>134</v>
      </c>
      <c r="K16258" s="46" t="s">
        <v>126</v>
      </c>
      <c r="L16258" s="45">
        <v>46017.854166666664</v>
      </c>
      <c r="M16258" s="46" t="s">
        <v>123</v>
      </c>
      <c r="N16258" s="45">
        <v>46017.875</v>
      </c>
      <c r="O16258" s="46" t="s">
        <v>123</v>
      </c>
      <c r="P16258" s="46">
        <v>1800.0</v>
      </c>
    </row>
    <row r="16259">
      <c r="A16259" s="40">
        <f t="shared" si="1"/>
        <v>46013</v>
      </c>
      <c r="B16259" s="37" t="str">
        <f t="array" ref="B16259">iferror(xlookup($I16259, 'IMPORT VHC Report'!$E:$E, 'IMPORT VHC Report'!$A:$C), )</f>
        <v/>
      </c>
      <c r="C16259" s="44"/>
      <c r="D16259" s="44"/>
      <c r="E16259" s="46" t="s">
        <v>12455</v>
      </c>
      <c r="F16259" s="46" t="s">
        <v>7800</v>
      </c>
      <c r="G16259" s="46">
        <v>5.566843775631E12</v>
      </c>
      <c r="H16259" s="46" t="s">
        <v>7801</v>
      </c>
      <c r="I16259" s="46" t="s">
        <v>7802</v>
      </c>
      <c r="J16259" s="46" t="s">
        <v>330</v>
      </c>
      <c r="K16259" s="46" t="s">
        <v>126</v>
      </c>
      <c r="L16259" s="45">
        <v>46018.583333333336</v>
      </c>
      <c r="M16259" s="46" t="s">
        <v>123</v>
      </c>
      <c r="N16259" s="45">
        <v>46018.59027777778</v>
      </c>
      <c r="O16259" s="46" t="s">
        <v>123</v>
      </c>
      <c r="P16259" s="46">
        <v>600.0</v>
      </c>
    </row>
    <row r="16260">
      <c r="A16260" s="40">
        <f t="shared" si="1"/>
        <v>46013</v>
      </c>
      <c r="B16260" s="37" t="str">
        <f t="array" ref="B16260">iferror(xlookup($I16260, 'IMPORT VHC Report'!$E:$E, 'IMPORT VHC Report'!$A:$C), )</f>
        <v/>
      </c>
      <c r="C16260" s="44"/>
      <c r="D16260" s="44"/>
      <c r="E16260" s="46" t="s">
        <v>12456</v>
      </c>
      <c r="F16260" s="46" t="s">
        <v>7800</v>
      </c>
      <c r="G16260" s="46">
        <v>5.566843775631E12</v>
      </c>
      <c r="H16260" s="46" t="s">
        <v>7801</v>
      </c>
      <c r="I16260" s="46" t="s">
        <v>7802</v>
      </c>
      <c r="J16260" s="46" t="s">
        <v>332</v>
      </c>
      <c r="K16260" s="46" t="s">
        <v>63</v>
      </c>
      <c r="L16260" s="45">
        <v>46018.583333333336</v>
      </c>
      <c r="M16260" s="46" t="s">
        <v>123</v>
      </c>
      <c r="N16260" s="45">
        <v>46018.958333333336</v>
      </c>
      <c r="O16260" s="46" t="s">
        <v>123</v>
      </c>
      <c r="P16260" s="46">
        <v>32400.0</v>
      </c>
    </row>
    <row r="16261">
      <c r="A16261" s="40">
        <f t="shared" si="1"/>
        <v>46013</v>
      </c>
      <c r="B16261" s="37" t="str">
        <f t="array" ref="B16261">iferror(xlookup($I16261, 'IMPORT VHC Report'!$E:$E, 'IMPORT VHC Report'!$A:$C), )</f>
        <v/>
      </c>
      <c r="C16261" s="44"/>
      <c r="D16261" s="44"/>
      <c r="E16261" s="46" t="s">
        <v>12457</v>
      </c>
      <c r="F16261" s="46" t="s">
        <v>7800</v>
      </c>
      <c r="G16261" s="46">
        <v>5.566843775631E12</v>
      </c>
      <c r="H16261" s="46" t="s">
        <v>7801</v>
      </c>
      <c r="I16261" s="46" t="s">
        <v>7802</v>
      </c>
      <c r="J16261" s="46" t="s">
        <v>330</v>
      </c>
      <c r="K16261" s="46" t="s">
        <v>126</v>
      </c>
      <c r="L16261" s="45">
        <v>46018.666666666664</v>
      </c>
      <c r="M16261" s="46" t="s">
        <v>123</v>
      </c>
      <c r="N16261" s="45">
        <v>46018.708333333336</v>
      </c>
      <c r="O16261" s="46" t="s">
        <v>123</v>
      </c>
      <c r="P16261" s="46">
        <v>3600.0</v>
      </c>
    </row>
    <row r="16262">
      <c r="A16262" s="40">
        <f t="shared" si="1"/>
        <v>46013</v>
      </c>
      <c r="B16262" s="37" t="str">
        <f t="array" ref="B16262">iferror(xlookup($I16262, 'IMPORT VHC Report'!$E:$E, 'IMPORT VHC Report'!$A:$C), )</f>
        <v/>
      </c>
      <c r="C16262" s="44"/>
      <c r="D16262" s="44"/>
      <c r="E16262" s="46" t="s">
        <v>12458</v>
      </c>
      <c r="F16262" s="46" t="s">
        <v>7800</v>
      </c>
      <c r="G16262" s="46">
        <v>5.566843775631E12</v>
      </c>
      <c r="H16262" s="46" t="s">
        <v>7801</v>
      </c>
      <c r="I16262" s="46" t="s">
        <v>7802</v>
      </c>
      <c r="J16262" s="46" t="s">
        <v>132</v>
      </c>
      <c r="K16262" s="46" t="s">
        <v>126</v>
      </c>
      <c r="L16262" s="45">
        <v>46018.71875</v>
      </c>
      <c r="M16262" s="46" t="s">
        <v>123</v>
      </c>
      <c r="N16262" s="45">
        <v>46018.760416666664</v>
      </c>
      <c r="O16262" s="46" t="s">
        <v>123</v>
      </c>
      <c r="P16262" s="46">
        <v>3600.0</v>
      </c>
    </row>
    <row r="16263">
      <c r="A16263" s="40">
        <f t="shared" si="1"/>
        <v>46013</v>
      </c>
      <c r="B16263" s="37" t="str">
        <f t="array" ref="B16263">iferror(xlookup($I16263, 'IMPORT VHC Report'!$E:$E, 'IMPORT VHC Report'!$A:$C), )</f>
        <v/>
      </c>
      <c r="C16263" s="44"/>
      <c r="D16263" s="44"/>
      <c r="E16263" s="46" t="s">
        <v>12459</v>
      </c>
      <c r="F16263" s="46" t="s">
        <v>7800</v>
      </c>
      <c r="G16263" s="46">
        <v>5.566843775631E12</v>
      </c>
      <c r="H16263" s="46" t="s">
        <v>7801</v>
      </c>
      <c r="I16263" s="46" t="s">
        <v>7802</v>
      </c>
      <c r="J16263" s="46" t="s">
        <v>4</v>
      </c>
      <c r="K16263" s="46" t="s">
        <v>126</v>
      </c>
      <c r="L16263" s="45">
        <v>46018.833333333336</v>
      </c>
      <c r="M16263" s="46" t="s">
        <v>123</v>
      </c>
      <c r="N16263" s="45">
        <v>46018.84375</v>
      </c>
      <c r="O16263" s="46" t="s">
        <v>123</v>
      </c>
      <c r="P16263" s="46">
        <v>900.0</v>
      </c>
      <c r="S16263" s="46" t="s">
        <v>12007</v>
      </c>
    </row>
    <row r="16264">
      <c r="A16264" s="40">
        <f t="shared" si="1"/>
        <v>46013</v>
      </c>
      <c r="B16264" s="37" t="str">
        <f t="array" ref="B16264">iferror(xlookup($I16264, 'IMPORT VHC Report'!$E:$E, 'IMPORT VHC Report'!$A:$C), )</f>
        <v/>
      </c>
      <c r="C16264" s="44"/>
      <c r="D16264" s="44"/>
      <c r="E16264" s="46" t="s">
        <v>12460</v>
      </c>
      <c r="F16264" s="46" t="s">
        <v>7800</v>
      </c>
      <c r="G16264" s="46">
        <v>5.566843775631E12</v>
      </c>
      <c r="H16264" s="46" t="s">
        <v>7801</v>
      </c>
      <c r="I16264" s="46" t="s">
        <v>7802</v>
      </c>
      <c r="J16264" s="46" t="s">
        <v>134</v>
      </c>
      <c r="K16264" s="46" t="s">
        <v>126</v>
      </c>
      <c r="L16264" s="45">
        <v>46018.84375</v>
      </c>
      <c r="M16264" s="46" t="s">
        <v>123</v>
      </c>
      <c r="N16264" s="45">
        <v>46018.864583333336</v>
      </c>
      <c r="O16264" s="46" t="s">
        <v>123</v>
      </c>
      <c r="P16264" s="46">
        <v>1800.0</v>
      </c>
    </row>
    <row r="16265">
      <c r="A16265" s="40">
        <f t="shared" si="1"/>
        <v>46013</v>
      </c>
      <c r="B16265" s="37" t="str">
        <f t="array" ref="B16265">iferror(xlookup($I16265, 'IMPORT VHC Report'!$E:$E, 'IMPORT VHC Report'!$A:$C), )</f>
        <v/>
      </c>
      <c r="C16265" s="44"/>
      <c r="D16265" s="44"/>
      <c r="E16265" s="46" t="s">
        <v>12461</v>
      </c>
      <c r="F16265" s="46" t="s">
        <v>7800</v>
      </c>
      <c r="G16265" s="46">
        <v>5.566843775631E12</v>
      </c>
      <c r="H16265" s="46" t="s">
        <v>7801</v>
      </c>
      <c r="I16265" s="46" t="s">
        <v>7802</v>
      </c>
      <c r="J16265" s="46" t="s">
        <v>330</v>
      </c>
      <c r="K16265" s="46" t="s">
        <v>126</v>
      </c>
      <c r="L16265" s="45">
        <v>46019.583333333336</v>
      </c>
      <c r="M16265" s="46" t="s">
        <v>123</v>
      </c>
      <c r="N16265" s="45">
        <v>46019.59027777778</v>
      </c>
      <c r="O16265" s="46" t="s">
        <v>123</v>
      </c>
      <c r="P16265" s="46">
        <v>600.0</v>
      </c>
    </row>
    <row r="16266">
      <c r="A16266" s="40">
        <f t="shared" si="1"/>
        <v>46013</v>
      </c>
      <c r="B16266" s="37" t="str">
        <f t="array" ref="B16266">iferror(xlookup($I16266, 'IMPORT VHC Report'!$E:$E, 'IMPORT VHC Report'!$A:$C), )</f>
        <v/>
      </c>
      <c r="C16266" s="44"/>
      <c r="D16266" s="44"/>
      <c r="E16266" s="46" t="s">
        <v>12462</v>
      </c>
      <c r="F16266" s="46" t="s">
        <v>7800</v>
      </c>
      <c r="G16266" s="46">
        <v>5.566843775631E12</v>
      </c>
      <c r="H16266" s="46" t="s">
        <v>7801</v>
      </c>
      <c r="I16266" s="46" t="s">
        <v>7802</v>
      </c>
      <c r="J16266" s="46" t="s">
        <v>332</v>
      </c>
      <c r="K16266" s="46" t="s">
        <v>63</v>
      </c>
      <c r="L16266" s="45">
        <v>46019.583333333336</v>
      </c>
      <c r="M16266" s="46" t="s">
        <v>123</v>
      </c>
      <c r="N16266" s="45">
        <v>46019.958333333336</v>
      </c>
      <c r="O16266" s="46" t="s">
        <v>123</v>
      </c>
      <c r="P16266" s="46">
        <v>32400.0</v>
      </c>
    </row>
    <row r="16267">
      <c r="A16267" s="40">
        <f t="shared" si="1"/>
        <v>46013</v>
      </c>
      <c r="B16267" s="37" t="str">
        <f t="array" ref="B16267">iferror(xlookup($I16267, 'IMPORT VHC Report'!$E:$E, 'IMPORT VHC Report'!$A:$C), )</f>
        <v/>
      </c>
      <c r="C16267" s="44"/>
      <c r="D16267" s="44"/>
      <c r="E16267" s="46" t="s">
        <v>12463</v>
      </c>
      <c r="F16267" s="46" t="s">
        <v>7800</v>
      </c>
      <c r="G16267" s="46">
        <v>5.566843775631E12</v>
      </c>
      <c r="H16267" s="46" t="s">
        <v>7801</v>
      </c>
      <c r="I16267" s="46" t="s">
        <v>7802</v>
      </c>
      <c r="J16267" s="46" t="s">
        <v>132</v>
      </c>
      <c r="K16267" s="46" t="s">
        <v>126</v>
      </c>
      <c r="L16267" s="45">
        <v>46019.70486111111</v>
      </c>
      <c r="M16267" s="46" t="s">
        <v>123</v>
      </c>
      <c r="N16267" s="45">
        <v>46019.74652777778</v>
      </c>
      <c r="O16267" s="46" t="s">
        <v>123</v>
      </c>
      <c r="P16267" s="46">
        <v>3600.0</v>
      </c>
    </row>
    <row r="16268">
      <c r="A16268" s="40">
        <f t="shared" si="1"/>
        <v>46013</v>
      </c>
      <c r="B16268" s="37" t="str">
        <f t="array" ref="B16268">iferror(xlookup($I16268, 'IMPORT VHC Report'!$E:$E, 'IMPORT VHC Report'!$A:$C), )</f>
        <v/>
      </c>
      <c r="C16268" s="44"/>
      <c r="D16268" s="44"/>
      <c r="E16268" s="46" t="s">
        <v>12464</v>
      </c>
      <c r="F16268" s="46" t="s">
        <v>7800</v>
      </c>
      <c r="G16268" s="46">
        <v>5.566843775631E12</v>
      </c>
      <c r="H16268" s="46" t="s">
        <v>7801</v>
      </c>
      <c r="I16268" s="46" t="s">
        <v>7802</v>
      </c>
      <c r="J16268" s="46" t="s">
        <v>134</v>
      </c>
      <c r="K16268" s="46" t="s">
        <v>126</v>
      </c>
      <c r="L16268" s="45">
        <v>46019.833333333336</v>
      </c>
      <c r="M16268" s="46" t="s">
        <v>123</v>
      </c>
      <c r="N16268" s="45">
        <v>46019.854166666664</v>
      </c>
      <c r="O16268" s="46" t="s">
        <v>123</v>
      </c>
      <c r="P16268" s="46">
        <v>1800.0</v>
      </c>
    </row>
    <row r="16269">
      <c r="A16269" s="40">
        <f t="shared" si="1"/>
        <v>46013</v>
      </c>
      <c r="B16269" s="37" t="str">
        <f t="array" ref="B16269">iferror(xlookup($I16269, 'IMPORT VHC Report'!$E:$E, 'IMPORT VHC Report'!$A:$C), )</f>
        <v/>
      </c>
      <c r="C16269" s="44"/>
      <c r="D16269" s="44"/>
      <c r="E16269" s="46" t="s">
        <v>12465</v>
      </c>
      <c r="F16269" s="46" t="s">
        <v>1083</v>
      </c>
      <c r="G16269" s="46">
        <v>3.61744077956E11</v>
      </c>
      <c r="H16269" s="46" t="s">
        <v>1084</v>
      </c>
      <c r="I16269" s="46" t="s">
        <v>1085</v>
      </c>
      <c r="J16269" s="46" t="s">
        <v>332</v>
      </c>
      <c r="K16269" s="46" t="s">
        <v>63</v>
      </c>
      <c r="L16269" s="45">
        <v>46013.0</v>
      </c>
      <c r="M16269" s="46" t="s">
        <v>123</v>
      </c>
      <c r="N16269" s="45">
        <v>46013.25</v>
      </c>
      <c r="O16269" s="46" t="s">
        <v>123</v>
      </c>
      <c r="P16269" s="46">
        <v>21600.0</v>
      </c>
    </row>
    <row r="16270">
      <c r="A16270" s="40">
        <f t="shared" si="1"/>
        <v>46013</v>
      </c>
      <c r="B16270" s="37" t="str">
        <f t="array" ref="B16270">iferror(xlookup($I16270, 'IMPORT VHC Report'!$E:$E, 'IMPORT VHC Report'!$A:$C), )</f>
        <v/>
      </c>
      <c r="C16270" s="44"/>
      <c r="D16270" s="44"/>
      <c r="E16270" s="46" t="s">
        <v>12466</v>
      </c>
      <c r="F16270" s="46" t="s">
        <v>1083</v>
      </c>
      <c r="G16270" s="46">
        <v>3.61744077956E11</v>
      </c>
      <c r="H16270" s="46" t="s">
        <v>1084</v>
      </c>
      <c r="I16270" s="46" t="s">
        <v>1085</v>
      </c>
      <c r="J16270" s="46" t="s">
        <v>134</v>
      </c>
      <c r="K16270" s="46" t="s">
        <v>126</v>
      </c>
      <c r="L16270" s="45">
        <v>46013.1875</v>
      </c>
      <c r="M16270" s="46" t="s">
        <v>123</v>
      </c>
      <c r="N16270" s="45">
        <v>46013.208333333336</v>
      </c>
      <c r="O16270" s="46" t="s">
        <v>123</v>
      </c>
      <c r="P16270" s="46">
        <v>1800.0</v>
      </c>
    </row>
    <row r="16271">
      <c r="A16271" s="40">
        <f t="shared" si="1"/>
        <v>46013</v>
      </c>
      <c r="B16271" s="37" t="str">
        <f t="array" ref="B16271">iferror(xlookup($I16271, 'IMPORT VHC Report'!$E:$E, 'IMPORT VHC Report'!$A:$C), )</f>
        <v/>
      </c>
      <c r="C16271" s="44"/>
      <c r="D16271" s="44"/>
      <c r="E16271" s="46" t="s">
        <v>12467</v>
      </c>
      <c r="F16271" s="46" t="s">
        <v>1083</v>
      </c>
      <c r="G16271" s="46">
        <v>3.61744077956E11</v>
      </c>
      <c r="H16271" s="46" t="s">
        <v>1084</v>
      </c>
      <c r="I16271" s="46" t="s">
        <v>1085</v>
      </c>
      <c r="J16271" s="46" t="s">
        <v>132</v>
      </c>
      <c r="K16271" s="46" t="s">
        <v>126</v>
      </c>
      <c r="L16271" s="45">
        <v>46013.208333333336</v>
      </c>
      <c r="M16271" s="46" t="s">
        <v>123</v>
      </c>
      <c r="N16271" s="45">
        <v>46013.25</v>
      </c>
      <c r="O16271" s="46" t="s">
        <v>123</v>
      </c>
      <c r="P16271" s="46">
        <v>3600.0</v>
      </c>
    </row>
    <row r="16272">
      <c r="A16272" s="40">
        <f t="shared" si="1"/>
        <v>46013</v>
      </c>
      <c r="B16272" s="37" t="str">
        <f t="array" ref="B16272">iferror(xlookup($I16272, 'IMPORT VHC Report'!$E:$E, 'IMPORT VHC Report'!$A:$C), )</f>
        <v/>
      </c>
      <c r="C16272" s="44"/>
      <c r="D16272" s="44"/>
      <c r="E16272" s="46" t="s">
        <v>12468</v>
      </c>
      <c r="F16272" s="46" t="s">
        <v>1083</v>
      </c>
      <c r="G16272" s="46">
        <v>3.61744077956E11</v>
      </c>
      <c r="H16272" s="46" t="s">
        <v>1084</v>
      </c>
      <c r="I16272" s="46" t="s">
        <v>1085</v>
      </c>
      <c r="J16272" s="46" t="s">
        <v>332</v>
      </c>
      <c r="K16272" s="46" t="s">
        <v>63</v>
      </c>
      <c r="L16272" s="45">
        <v>46013.875</v>
      </c>
      <c r="M16272" s="46" t="s">
        <v>123</v>
      </c>
      <c r="N16272" s="45">
        <v>46014.25</v>
      </c>
      <c r="O16272" s="46" t="s">
        <v>123</v>
      </c>
      <c r="P16272" s="46">
        <v>32400.0</v>
      </c>
    </row>
    <row r="16273">
      <c r="A16273" s="40">
        <f t="shared" si="1"/>
        <v>46013</v>
      </c>
      <c r="B16273" s="37" t="str">
        <f t="array" ref="B16273">iferror(xlookup($I16273, 'IMPORT VHC Report'!$E:$E, 'IMPORT VHC Report'!$A:$C), )</f>
        <v/>
      </c>
      <c r="C16273" s="44"/>
      <c r="D16273" s="44"/>
      <c r="E16273" s="46" t="s">
        <v>12469</v>
      </c>
      <c r="F16273" s="46" t="s">
        <v>1083</v>
      </c>
      <c r="G16273" s="46">
        <v>3.61744077956E11</v>
      </c>
      <c r="H16273" s="46" t="s">
        <v>1084</v>
      </c>
      <c r="I16273" s="46" t="s">
        <v>1085</v>
      </c>
      <c r="J16273" s="46" t="s">
        <v>134</v>
      </c>
      <c r="K16273" s="46" t="s">
        <v>126</v>
      </c>
      <c r="L16273" s="45">
        <v>46014.1875</v>
      </c>
      <c r="M16273" s="46" t="s">
        <v>123</v>
      </c>
      <c r="N16273" s="45">
        <v>46014.208333333336</v>
      </c>
      <c r="O16273" s="46" t="s">
        <v>123</v>
      </c>
      <c r="P16273" s="46">
        <v>1800.0</v>
      </c>
    </row>
    <row r="16274">
      <c r="A16274" s="40">
        <f t="shared" si="1"/>
        <v>46013</v>
      </c>
      <c r="B16274" s="37" t="str">
        <f t="array" ref="B16274">iferror(xlookup($I16274, 'IMPORT VHC Report'!$E:$E, 'IMPORT VHC Report'!$A:$C), )</f>
        <v/>
      </c>
      <c r="C16274" s="44"/>
      <c r="D16274" s="44"/>
      <c r="E16274" s="46" t="s">
        <v>12470</v>
      </c>
      <c r="F16274" s="46" t="s">
        <v>1083</v>
      </c>
      <c r="G16274" s="46">
        <v>3.61744077956E11</v>
      </c>
      <c r="H16274" s="46" t="s">
        <v>1084</v>
      </c>
      <c r="I16274" s="46" t="s">
        <v>1085</v>
      </c>
      <c r="J16274" s="46" t="s">
        <v>132</v>
      </c>
      <c r="K16274" s="46" t="s">
        <v>126</v>
      </c>
      <c r="L16274" s="45">
        <v>46014.208333333336</v>
      </c>
      <c r="M16274" s="46" t="s">
        <v>123</v>
      </c>
      <c r="N16274" s="45">
        <v>46014.25</v>
      </c>
      <c r="O16274" s="46" t="s">
        <v>123</v>
      </c>
      <c r="P16274" s="46">
        <v>3600.0</v>
      </c>
    </row>
    <row r="16275">
      <c r="A16275" s="40">
        <f t="shared" si="1"/>
        <v>46013</v>
      </c>
      <c r="B16275" s="37" t="str">
        <f t="array" ref="B16275">iferror(xlookup($I16275, 'IMPORT VHC Report'!$E:$E, 'IMPORT VHC Report'!$A:$C), )</f>
        <v/>
      </c>
      <c r="C16275" s="44"/>
      <c r="D16275" s="44"/>
      <c r="E16275" s="46" t="s">
        <v>12471</v>
      </c>
      <c r="F16275" s="46" t="s">
        <v>1083</v>
      </c>
      <c r="G16275" s="46">
        <v>3.61744077956E11</v>
      </c>
      <c r="H16275" s="46" t="s">
        <v>1084</v>
      </c>
      <c r="I16275" s="46" t="s">
        <v>1085</v>
      </c>
      <c r="J16275" s="46" t="s">
        <v>332</v>
      </c>
      <c r="K16275" s="46" t="s">
        <v>63</v>
      </c>
      <c r="L16275" s="45">
        <v>46014.875</v>
      </c>
      <c r="M16275" s="46" t="s">
        <v>123</v>
      </c>
      <c r="N16275" s="45">
        <v>46015.0</v>
      </c>
      <c r="O16275" s="46" t="s">
        <v>123</v>
      </c>
      <c r="P16275" s="46">
        <v>10800.0</v>
      </c>
    </row>
    <row r="16276">
      <c r="A16276" s="40">
        <f t="shared" si="1"/>
        <v>46013</v>
      </c>
      <c r="B16276" s="37" t="str">
        <f t="array" ref="B16276">iferror(xlookup($I16276, 'IMPORT VHC Report'!$E:$E, 'IMPORT VHC Report'!$A:$C), )</f>
        <v/>
      </c>
      <c r="C16276" s="44"/>
      <c r="D16276" s="44"/>
      <c r="E16276" s="46" t="s">
        <v>12472</v>
      </c>
      <c r="F16276" s="46" t="s">
        <v>1083</v>
      </c>
      <c r="G16276" s="46">
        <v>3.61744077956E11</v>
      </c>
      <c r="H16276" s="46" t="s">
        <v>1084</v>
      </c>
      <c r="I16276" s="46" t="s">
        <v>1085</v>
      </c>
      <c r="J16276" s="46" t="s">
        <v>62</v>
      </c>
      <c r="K16276" s="46" t="s">
        <v>63</v>
      </c>
      <c r="L16276" s="45">
        <v>46015.0</v>
      </c>
      <c r="M16276" s="46" t="s">
        <v>123</v>
      </c>
      <c r="N16276" s="45">
        <v>46015.083333333336</v>
      </c>
      <c r="O16276" s="46" t="s">
        <v>123</v>
      </c>
      <c r="P16276" s="46">
        <v>7200.0</v>
      </c>
    </row>
    <row r="16277">
      <c r="A16277" s="40">
        <f t="shared" si="1"/>
        <v>46013</v>
      </c>
      <c r="B16277" s="37" t="str">
        <f t="array" ref="B16277">iferror(xlookup($I16277, 'IMPORT VHC Report'!$E:$E, 'IMPORT VHC Report'!$A:$C), )</f>
        <v/>
      </c>
      <c r="C16277" s="44"/>
      <c r="D16277" s="44"/>
      <c r="E16277" s="46" t="s">
        <v>12473</v>
      </c>
      <c r="F16277" s="46" t="s">
        <v>1083</v>
      </c>
      <c r="G16277" s="46">
        <v>3.61744077956E11</v>
      </c>
      <c r="H16277" s="46" t="s">
        <v>1084</v>
      </c>
      <c r="I16277" s="46" t="s">
        <v>1085</v>
      </c>
      <c r="J16277" s="46" t="s">
        <v>332</v>
      </c>
      <c r="K16277" s="46" t="s">
        <v>63</v>
      </c>
      <c r="L16277" s="45">
        <v>46015.083333333336</v>
      </c>
      <c r="M16277" s="46" t="s">
        <v>123</v>
      </c>
      <c r="N16277" s="45">
        <v>46015.25</v>
      </c>
      <c r="O16277" s="46" t="s">
        <v>123</v>
      </c>
      <c r="P16277" s="46">
        <v>14400.0</v>
      </c>
    </row>
    <row r="16278">
      <c r="A16278" s="40">
        <f t="shared" si="1"/>
        <v>46013</v>
      </c>
      <c r="B16278" s="37" t="str">
        <f t="array" ref="B16278">iferror(xlookup($I16278, 'IMPORT VHC Report'!$E:$E, 'IMPORT VHC Report'!$A:$C), )</f>
        <v/>
      </c>
      <c r="C16278" s="44"/>
      <c r="D16278" s="44"/>
      <c r="E16278" s="46" t="s">
        <v>12474</v>
      </c>
      <c r="F16278" s="46" t="s">
        <v>1083</v>
      </c>
      <c r="G16278" s="46">
        <v>3.61744077956E11</v>
      </c>
      <c r="H16278" s="46" t="s">
        <v>1084</v>
      </c>
      <c r="I16278" s="46" t="s">
        <v>1085</v>
      </c>
      <c r="J16278" s="46" t="s">
        <v>134</v>
      </c>
      <c r="K16278" s="46" t="s">
        <v>126</v>
      </c>
      <c r="L16278" s="45">
        <v>46015.1875</v>
      </c>
      <c r="M16278" s="46" t="s">
        <v>123</v>
      </c>
      <c r="N16278" s="45">
        <v>46015.208333333336</v>
      </c>
      <c r="O16278" s="46" t="s">
        <v>123</v>
      </c>
      <c r="P16278" s="46">
        <v>1800.0</v>
      </c>
    </row>
    <row r="16279">
      <c r="A16279" s="40">
        <f t="shared" si="1"/>
        <v>46013</v>
      </c>
      <c r="B16279" s="37" t="str">
        <f t="array" ref="B16279">iferror(xlookup($I16279, 'IMPORT VHC Report'!$E:$E, 'IMPORT VHC Report'!$A:$C), )</f>
        <v/>
      </c>
      <c r="C16279" s="44"/>
      <c r="D16279" s="44"/>
      <c r="E16279" s="46" t="s">
        <v>12475</v>
      </c>
      <c r="F16279" s="46" t="s">
        <v>1083</v>
      </c>
      <c r="G16279" s="46">
        <v>3.61744077956E11</v>
      </c>
      <c r="H16279" s="46" t="s">
        <v>1084</v>
      </c>
      <c r="I16279" s="46" t="s">
        <v>1085</v>
      </c>
      <c r="J16279" s="46" t="s">
        <v>132</v>
      </c>
      <c r="K16279" s="46" t="s">
        <v>126</v>
      </c>
      <c r="L16279" s="45">
        <v>46015.208333333336</v>
      </c>
      <c r="M16279" s="46" t="s">
        <v>123</v>
      </c>
      <c r="N16279" s="45">
        <v>46015.25</v>
      </c>
      <c r="O16279" s="46" t="s">
        <v>123</v>
      </c>
      <c r="P16279" s="46">
        <v>3600.0</v>
      </c>
    </row>
    <row r="16280">
      <c r="A16280" s="40">
        <f t="shared" si="1"/>
        <v>46013</v>
      </c>
      <c r="B16280" s="37" t="str">
        <f t="array" ref="B16280">iferror(xlookup($I16280, 'IMPORT VHC Report'!$E:$E, 'IMPORT VHC Report'!$A:$C), )</f>
        <v/>
      </c>
      <c r="C16280" s="44"/>
      <c r="D16280" s="44"/>
      <c r="E16280" s="46" t="s">
        <v>12476</v>
      </c>
      <c r="F16280" s="46" t="s">
        <v>1083</v>
      </c>
      <c r="G16280" s="46">
        <v>3.61744077956E11</v>
      </c>
      <c r="H16280" s="46" t="s">
        <v>1084</v>
      </c>
      <c r="I16280" s="46" t="s">
        <v>1085</v>
      </c>
      <c r="J16280" s="46" t="s">
        <v>136</v>
      </c>
      <c r="K16280" s="46" t="s">
        <v>126</v>
      </c>
      <c r="L16280" s="45">
        <v>46015.666666666664</v>
      </c>
      <c r="M16280" s="46" t="s">
        <v>123</v>
      </c>
      <c r="N16280" s="45">
        <v>46015.833333333336</v>
      </c>
      <c r="O16280" s="46" t="s">
        <v>123</v>
      </c>
      <c r="P16280" s="46">
        <v>14400.0</v>
      </c>
      <c r="S16280" s="46" t="s">
        <v>1098</v>
      </c>
    </row>
    <row r="16281">
      <c r="A16281" s="40">
        <f t="shared" si="1"/>
        <v>46013</v>
      </c>
      <c r="B16281" s="37" t="str">
        <f t="array" ref="B16281">iferror(xlookup($I16281, 'IMPORT VHC Report'!$E:$E, 'IMPORT VHC Report'!$A:$C), )</f>
        <v/>
      </c>
      <c r="C16281" s="44"/>
      <c r="D16281" s="44"/>
      <c r="E16281" s="46" t="s">
        <v>12477</v>
      </c>
      <c r="F16281" s="46" t="s">
        <v>1083</v>
      </c>
      <c r="G16281" s="46">
        <v>3.61744077956E11</v>
      </c>
      <c r="H16281" s="46" t="s">
        <v>1084</v>
      </c>
      <c r="I16281" s="46" t="s">
        <v>1085</v>
      </c>
      <c r="J16281" s="46" t="s">
        <v>332</v>
      </c>
      <c r="K16281" s="46" t="s">
        <v>63</v>
      </c>
      <c r="L16281" s="45">
        <v>46015.666666666664</v>
      </c>
      <c r="M16281" s="46" t="s">
        <v>123</v>
      </c>
      <c r="N16281" s="45">
        <v>46016.041666666664</v>
      </c>
      <c r="O16281" s="46" t="s">
        <v>123</v>
      </c>
      <c r="P16281" s="46">
        <v>32400.0</v>
      </c>
    </row>
    <row r="16282">
      <c r="A16282" s="40">
        <f t="shared" si="1"/>
        <v>46013</v>
      </c>
      <c r="B16282" s="37" t="str">
        <f t="array" ref="B16282">iferror(xlookup($I16282, 'IMPORT VHC Report'!$E:$E, 'IMPORT VHC Report'!$A:$C), )</f>
        <v/>
      </c>
      <c r="C16282" s="44"/>
      <c r="D16282" s="44"/>
      <c r="E16282" s="46" t="s">
        <v>12478</v>
      </c>
      <c r="F16282" s="46" t="s">
        <v>1083</v>
      </c>
      <c r="G16282" s="46">
        <v>3.61744077956E11</v>
      </c>
      <c r="H16282" s="46" t="s">
        <v>1084</v>
      </c>
      <c r="I16282" s="46" t="s">
        <v>1085</v>
      </c>
      <c r="J16282" s="46" t="s">
        <v>134</v>
      </c>
      <c r="K16282" s="46" t="s">
        <v>126</v>
      </c>
      <c r="L16282" s="45">
        <v>46015.979166666664</v>
      </c>
      <c r="M16282" s="46" t="s">
        <v>123</v>
      </c>
      <c r="N16282" s="45">
        <v>46016.0</v>
      </c>
      <c r="O16282" s="46" t="s">
        <v>123</v>
      </c>
      <c r="P16282" s="46">
        <v>1800.0</v>
      </c>
    </row>
    <row r="16283">
      <c r="A16283" s="40">
        <f t="shared" si="1"/>
        <v>46013</v>
      </c>
      <c r="B16283" s="37" t="str">
        <f t="array" ref="B16283">iferror(xlookup($I16283, 'IMPORT VHC Report'!$E:$E, 'IMPORT VHC Report'!$A:$C), )</f>
        <v/>
      </c>
      <c r="C16283" s="44"/>
      <c r="D16283" s="44"/>
      <c r="E16283" s="46" t="s">
        <v>12479</v>
      </c>
      <c r="F16283" s="46" t="s">
        <v>1083</v>
      </c>
      <c r="G16283" s="46">
        <v>3.61744077956E11</v>
      </c>
      <c r="H16283" s="46" t="s">
        <v>1084</v>
      </c>
      <c r="I16283" s="46" t="s">
        <v>1085</v>
      </c>
      <c r="J16283" s="46" t="s">
        <v>132</v>
      </c>
      <c r="K16283" s="46" t="s">
        <v>126</v>
      </c>
      <c r="L16283" s="45">
        <v>46016.0</v>
      </c>
      <c r="M16283" s="46" t="s">
        <v>123</v>
      </c>
      <c r="N16283" s="45">
        <v>46016.041666666664</v>
      </c>
      <c r="O16283" s="46" t="s">
        <v>123</v>
      </c>
      <c r="P16283" s="46">
        <v>3600.0</v>
      </c>
    </row>
    <row r="16284">
      <c r="A16284" s="40">
        <f t="shared" si="1"/>
        <v>46013</v>
      </c>
      <c r="B16284" s="37" t="str">
        <f t="array" ref="B16284">iferror(xlookup($I16284, 'IMPORT VHC Report'!$E:$E, 'IMPORT VHC Report'!$A:$C), )</f>
        <v/>
      </c>
      <c r="C16284" s="44"/>
      <c r="D16284" s="44"/>
      <c r="E16284" s="46" t="s">
        <v>12480</v>
      </c>
      <c r="F16284" s="46" t="s">
        <v>1083</v>
      </c>
      <c r="G16284" s="46">
        <v>3.61744077956E11</v>
      </c>
      <c r="H16284" s="46" t="s">
        <v>1084</v>
      </c>
      <c r="I16284" s="46" t="s">
        <v>1085</v>
      </c>
      <c r="J16284" s="46" t="s">
        <v>332</v>
      </c>
      <c r="K16284" s="46" t="s">
        <v>63</v>
      </c>
      <c r="L16284" s="45">
        <v>46016.875</v>
      </c>
      <c r="M16284" s="46" t="s">
        <v>123</v>
      </c>
      <c r="N16284" s="45">
        <v>46017.25</v>
      </c>
      <c r="O16284" s="46" t="s">
        <v>123</v>
      </c>
      <c r="P16284" s="46">
        <v>32400.0</v>
      </c>
    </row>
    <row r="16285">
      <c r="A16285" s="40">
        <f t="shared" si="1"/>
        <v>46013</v>
      </c>
      <c r="B16285" s="37" t="str">
        <f t="array" ref="B16285">iferror(xlookup($I16285, 'IMPORT VHC Report'!$E:$E, 'IMPORT VHC Report'!$A:$C), )</f>
        <v/>
      </c>
      <c r="C16285" s="44"/>
      <c r="D16285" s="44"/>
      <c r="E16285" s="46" t="s">
        <v>12481</v>
      </c>
      <c r="F16285" s="46" t="s">
        <v>1083</v>
      </c>
      <c r="G16285" s="46">
        <v>3.61744077956E11</v>
      </c>
      <c r="H16285" s="46" t="s">
        <v>1084</v>
      </c>
      <c r="I16285" s="46" t="s">
        <v>1085</v>
      </c>
      <c r="J16285" s="46" t="s">
        <v>134</v>
      </c>
      <c r="K16285" s="46" t="s">
        <v>126</v>
      </c>
      <c r="L16285" s="45">
        <v>46017.1875</v>
      </c>
      <c r="M16285" s="46" t="s">
        <v>123</v>
      </c>
      <c r="N16285" s="45">
        <v>46017.208333333336</v>
      </c>
      <c r="O16285" s="46" t="s">
        <v>123</v>
      </c>
      <c r="P16285" s="46">
        <v>1800.0</v>
      </c>
    </row>
    <row r="16286">
      <c r="A16286" s="40">
        <f t="shared" si="1"/>
        <v>46013</v>
      </c>
      <c r="B16286" s="37" t="str">
        <f t="array" ref="B16286">iferror(xlookup($I16286, 'IMPORT VHC Report'!$E:$E, 'IMPORT VHC Report'!$A:$C), )</f>
        <v/>
      </c>
      <c r="C16286" s="44"/>
      <c r="D16286" s="44"/>
      <c r="E16286" s="46" t="s">
        <v>12482</v>
      </c>
      <c r="F16286" s="46" t="s">
        <v>1083</v>
      </c>
      <c r="G16286" s="46">
        <v>3.61744077956E11</v>
      </c>
      <c r="H16286" s="46" t="s">
        <v>1084</v>
      </c>
      <c r="I16286" s="46" t="s">
        <v>1085</v>
      </c>
      <c r="J16286" s="46" t="s">
        <v>132</v>
      </c>
      <c r="K16286" s="46" t="s">
        <v>126</v>
      </c>
      <c r="L16286" s="45">
        <v>46017.208333333336</v>
      </c>
      <c r="M16286" s="46" t="s">
        <v>123</v>
      </c>
      <c r="N16286" s="45">
        <v>46017.25</v>
      </c>
      <c r="O16286" s="46" t="s">
        <v>123</v>
      </c>
      <c r="P16286" s="46">
        <v>3600.0</v>
      </c>
    </row>
    <row r="16287">
      <c r="A16287" s="40">
        <f t="shared" si="1"/>
        <v>46013</v>
      </c>
      <c r="B16287" s="37" t="str">
        <f t="array" ref="B16287">iferror(xlookup($I16287, 'IMPORT VHC Report'!$E:$E, 'IMPORT VHC Report'!$A:$C), )</f>
        <v/>
      </c>
      <c r="C16287" s="44"/>
      <c r="D16287" s="44"/>
      <c r="E16287" s="46" t="s">
        <v>12483</v>
      </c>
      <c r="F16287" s="46" t="s">
        <v>1083</v>
      </c>
      <c r="G16287" s="46">
        <v>3.61744077956E11</v>
      </c>
      <c r="H16287" s="46" t="s">
        <v>1084</v>
      </c>
      <c r="I16287" s="46" t="s">
        <v>1085</v>
      </c>
      <c r="J16287" s="46" t="s">
        <v>332</v>
      </c>
      <c r="K16287" s="46" t="s">
        <v>63</v>
      </c>
      <c r="L16287" s="45">
        <v>46019.875</v>
      </c>
      <c r="M16287" s="46" t="s">
        <v>123</v>
      </c>
      <c r="N16287" s="45">
        <v>46020.0</v>
      </c>
      <c r="O16287" s="46" t="s">
        <v>123</v>
      </c>
      <c r="P16287" s="46">
        <v>10800.0</v>
      </c>
    </row>
    <row r="16288">
      <c r="A16288" s="40">
        <f t="shared" si="1"/>
        <v>46013</v>
      </c>
      <c r="B16288" s="37" t="str">
        <f t="array" ref="B16288">iferror(xlookup($I16288, 'IMPORT VHC Report'!$E:$E, 'IMPORT VHC Report'!$A:$C), )</f>
        <v/>
      </c>
      <c r="C16288" s="44"/>
      <c r="D16288" s="44"/>
      <c r="E16288" s="46" t="s">
        <v>12484</v>
      </c>
      <c r="F16288" s="46" t="s">
        <v>1303</v>
      </c>
      <c r="G16288" s="46">
        <v>3.61731348935E11</v>
      </c>
      <c r="H16288" s="46" t="s">
        <v>1304</v>
      </c>
      <c r="I16288" s="46" t="s">
        <v>1305</v>
      </c>
      <c r="J16288" s="46" t="s">
        <v>132</v>
      </c>
      <c r="K16288" s="46" t="s">
        <v>126</v>
      </c>
      <c r="L16288" s="45">
        <v>46013.0</v>
      </c>
      <c r="M16288" s="46" t="s">
        <v>123</v>
      </c>
      <c r="N16288" s="45">
        <v>46013.020833333336</v>
      </c>
      <c r="O16288" s="46" t="s">
        <v>123</v>
      </c>
      <c r="P16288" s="46">
        <v>1800.0</v>
      </c>
    </row>
    <row r="16289">
      <c r="A16289" s="40">
        <f t="shared" si="1"/>
        <v>46013</v>
      </c>
      <c r="B16289" s="37" t="str">
        <f t="array" ref="B16289">iferror(xlookup($I16289, 'IMPORT VHC Report'!$E:$E, 'IMPORT VHC Report'!$A:$C), )</f>
        <v/>
      </c>
      <c r="C16289" s="44"/>
      <c r="D16289" s="44"/>
      <c r="E16289" s="46" t="s">
        <v>12485</v>
      </c>
      <c r="F16289" s="46" t="s">
        <v>1303</v>
      </c>
      <c r="G16289" s="46">
        <v>3.61731348935E11</v>
      </c>
      <c r="H16289" s="46" t="s">
        <v>1304</v>
      </c>
      <c r="I16289" s="46" t="s">
        <v>1305</v>
      </c>
      <c r="J16289" s="46" t="s">
        <v>332</v>
      </c>
      <c r="K16289" s="46" t="s">
        <v>63</v>
      </c>
      <c r="L16289" s="45">
        <v>46013.0</v>
      </c>
      <c r="M16289" s="46" t="s">
        <v>123</v>
      </c>
      <c r="N16289" s="45">
        <v>46013.041666666664</v>
      </c>
      <c r="O16289" s="46" t="s">
        <v>123</v>
      </c>
      <c r="P16289" s="46">
        <v>3600.0</v>
      </c>
    </row>
    <row r="16290">
      <c r="A16290" s="40">
        <f t="shared" si="1"/>
        <v>46013</v>
      </c>
      <c r="B16290" s="37" t="str">
        <f t="array" ref="B16290">iferror(xlookup($I16290, 'IMPORT VHC Report'!$E:$E, 'IMPORT VHC Report'!$A:$C), )</f>
        <v/>
      </c>
      <c r="C16290" s="44"/>
      <c r="D16290" s="44"/>
      <c r="E16290" s="46" t="s">
        <v>12486</v>
      </c>
      <c r="F16290" s="46" t="s">
        <v>1303</v>
      </c>
      <c r="G16290" s="46">
        <v>3.61731348935E11</v>
      </c>
      <c r="H16290" s="46" t="s">
        <v>1304</v>
      </c>
      <c r="I16290" s="46" t="s">
        <v>1305</v>
      </c>
      <c r="J16290" s="46" t="s">
        <v>134</v>
      </c>
      <c r="K16290" s="46" t="s">
        <v>126</v>
      </c>
      <c r="L16290" s="45">
        <v>46013.020833333336</v>
      </c>
      <c r="M16290" s="46" t="s">
        <v>123</v>
      </c>
      <c r="N16290" s="45">
        <v>46013.041666666664</v>
      </c>
      <c r="O16290" s="46" t="s">
        <v>123</v>
      </c>
      <c r="P16290" s="46">
        <v>1800.0</v>
      </c>
    </row>
    <row r="16291">
      <c r="A16291" s="40">
        <f t="shared" si="1"/>
        <v>46013</v>
      </c>
      <c r="B16291" s="37" t="str">
        <f t="array" ref="B16291">iferror(xlookup($I16291, 'IMPORT VHC Report'!$E:$E, 'IMPORT VHC Report'!$A:$C), )</f>
        <v/>
      </c>
      <c r="C16291" s="44"/>
      <c r="D16291" s="44"/>
      <c r="E16291" s="46" t="s">
        <v>12487</v>
      </c>
      <c r="F16291" s="46" t="s">
        <v>1303</v>
      </c>
      <c r="G16291" s="46">
        <v>3.61731348935E11</v>
      </c>
      <c r="H16291" s="46" t="s">
        <v>1304</v>
      </c>
      <c r="I16291" s="46" t="s">
        <v>1305</v>
      </c>
      <c r="J16291" s="46" t="s">
        <v>332</v>
      </c>
      <c r="K16291" s="46" t="s">
        <v>63</v>
      </c>
      <c r="L16291" s="45">
        <v>46013.666666666664</v>
      </c>
      <c r="M16291" s="46" t="s">
        <v>123</v>
      </c>
      <c r="N16291" s="45">
        <v>46014.041666666664</v>
      </c>
      <c r="O16291" s="46" t="s">
        <v>123</v>
      </c>
      <c r="P16291" s="46">
        <v>32400.0</v>
      </c>
    </row>
    <row r="16292">
      <c r="A16292" s="40">
        <f t="shared" si="1"/>
        <v>46013</v>
      </c>
      <c r="B16292" s="37" t="str">
        <f t="array" ref="B16292">iferror(xlookup($I16292, 'IMPORT VHC Report'!$E:$E, 'IMPORT VHC Report'!$A:$C), )</f>
        <v/>
      </c>
      <c r="C16292" s="44"/>
      <c r="D16292" s="44"/>
      <c r="E16292" s="46" t="s">
        <v>12488</v>
      </c>
      <c r="F16292" s="46" t="s">
        <v>1303</v>
      </c>
      <c r="G16292" s="46">
        <v>3.61731348935E11</v>
      </c>
      <c r="H16292" s="46" t="s">
        <v>1304</v>
      </c>
      <c r="I16292" s="46" t="s">
        <v>1305</v>
      </c>
      <c r="J16292" s="46" t="s">
        <v>132</v>
      </c>
      <c r="K16292" s="46" t="s">
        <v>126</v>
      </c>
      <c r="L16292" s="45">
        <v>46013.979166666664</v>
      </c>
      <c r="M16292" s="46" t="s">
        <v>123</v>
      </c>
      <c r="N16292" s="45">
        <v>46014.020833333336</v>
      </c>
      <c r="O16292" s="46" t="s">
        <v>123</v>
      </c>
      <c r="P16292" s="46">
        <v>3600.0</v>
      </c>
    </row>
    <row r="16293">
      <c r="A16293" s="40">
        <f t="shared" si="1"/>
        <v>46013</v>
      </c>
      <c r="B16293" s="37" t="str">
        <f t="array" ref="B16293">iferror(xlookup($I16293, 'IMPORT VHC Report'!$E:$E, 'IMPORT VHC Report'!$A:$C), )</f>
        <v/>
      </c>
      <c r="C16293" s="44"/>
      <c r="D16293" s="44"/>
      <c r="E16293" s="46" t="s">
        <v>12489</v>
      </c>
      <c r="F16293" s="46" t="s">
        <v>1303</v>
      </c>
      <c r="G16293" s="46">
        <v>3.61731348935E11</v>
      </c>
      <c r="H16293" s="46" t="s">
        <v>1304</v>
      </c>
      <c r="I16293" s="46" t="s">
        <v>1305</v>
      </c>
      <c r="J16293" s="46" t="s">
        <v>134</v>
      </c>
      <c r="K16293" s="46" t="s">
        <v>126</v>
      </c>
      <c r="L16293" s="45">
        <v>46014.020833333336</v>
      </c>
      <c r="M16293" s="46" t="s">
        <v>123</v>
      </c>
      <c r="N16293" s="45">
        <v>46014.041666666664</v>
      </c>
      <c r="O16293" s="46" t="s">
        <v>123</v>
      </c>
      <c r="P16293" s="46">
        <v>1800.0</v>
      </c>
    </row>
    <row r="16294">
      <c r="A16294" s="40">
        <f t="shared" si="1"/>
        <v>46013</v>
      </c>
      <c r="B16294" s="37" t="str">
        <f t="array" ref="B16294">iferror(xlookup($I16294, 'IMPORT VHC Report'!$E:$E, 'IMPORT VHC Report'!$A:$C), )</f>
        <v/>
      </c>
      <c r="C16294" s="44"/>
      <c r="D16294" s="44"/>
      <c r="E16294" s="46" t="s">
        <v>12490</v>
      </c>
      <c r="F16294" s="46" t="s">
        <v>1303</v>
      </c>
      <c r="G16294" s="46">
        <v>3.61731348935E11</v>
      </c>
      <c r="H16294" s="46" t="s">
        <v>1304</v>
      </c>
      <c r="I16294" s="46" t="s">
        <v>1305</v>
      </c>
      <c r="J16294" s="46" t="s">
        <v>332</v>
      </c>
      <c r="K16294" s="46" t="s">
        <v>63</v>
      </c>
      <c r="L16294" s="45">
        <v>46014.666666666664</v>
      </c>
      <c r="M16294" s="46" t="s">
        <v>123</v>
      </c>
      <c r="N16294" s="45">
        <v>46014.895833333336</v>
      </c>
      <c r="O16294" s="46" t="s">
        <v>123</v>
      </c>
      <c r="P16294" s="46">
        <v>19800.0</v>
      </c>
    </row>
    <row r="16295">
      <c r="A16295" s="40">
        <f t="shared" si="1"/>
        <v>46013</v>
      </c>
      <c r="B16295" s="37" t="str">
        <f t="array" ref="B16295">iferror(xlookup($I16295, 'IMPORT VHC Report'!$E:$E, 'IMPORT VHC Report'!$A:$C), )</f>
        <v/>
      </c>
      <c r="C16295" s="44"/>
      <c r="D16295" s="44"/>
      <c r="E16295" s="46" t="s">
        <v>12491</v>
      </c>
      <c r="F16295" s="46" t="s">
        <v>1303</v>
      </c>
      <c r="G16295" s="46">
        <v>3.61731348935E11</v>
      </c>
      <c r="H16295" s="46" t="s">
        <v>1304</v>
      </c>
      <c r="I16295" s="46" t="s">
        <v>1305</v>
      </c>
      <c r="J16295" s="46" t="s">
        <v>62</v>
      </c>
      <c r="K16295" s="46" t="s">
        <v>63</v>
      </c>
      <c r="L16295" s="45">
        <v>46014.895833333336</v>
      </c>
      <c r="M16295" s="46" t="s">
        <v>123</v>
      </c>
      <c r="N16295" s="45">
        <v>46014.979166666664</v>
      </c>
      <c r="O16295" s="46" t="s">
        <v>123</v>
      </c>
      <c r="P16295" s="46">
        <v>7200.0</v>
      </c>
    </row>
    <row r="16296">
      <c r="A16296" s="40">
        <f t="shared" si="1"/>
        <v>46013</v>
      </c>
      <c r="B16296" s="37" t="str">
        <f t="array" ref="B16296">iferror(xlookup($I16296, 'IMPORT VHC Report'!$E:$E, 'IMPORT VHC Report'!$A:$C), )</f>
        <v/>
      </c>
      <c r="C16296" s="44"/>
      <c r="D16296" s="44"/>
      <c r="E16296" s="46" t="s">
        <v>12492</v>
      </c>
      <c r="F16296" s="46" t="s">
        <v>1303</v>
      </c>
      <c r="G16296" s="46">
        <v>3.61731348935E11</v>
      </c>
      <c r="H16296" s="46" t="s">
        <v>1304</v>
      </c>
      <c r="I16296" s="46" t="s">
        <v>1305</v>
      </c>
      <c r="J16296" s="46" t="s">
        <v>132</v>
      </c>
      <c r="K16296" s="46" t="s">
        <v>126</v>
      </c>
      <c r="L16296" s="45">
        <v>46014.979166666664</v>
      </c>
      <c r="M16296" s="46" t="s">
        <v>123</v>
      </c>
      <c r="N16296" s="45">
        <v>46015.020833333336</v>
      </c>
      <c r="O16296" s="46" t="s">
        <v>123</v>
      </c>
      <c r="P16296" s="46">
        <v>3600.0</v>
      </c>
    </row>
    <row r="16297">
      <c r="A16297" s="40">
        <f t="shared" si="1"/>
        <v>46013</v>
      </c>
      <c r="B16297" s="37" t="str">
        <f t="array" ref="B16297">iferror(xlookup($I16297, 'IMPORT VHC Report'!$E:$E, 'IMPORT VHC Report'!$A:$C), )</f>
        <v/>
      </c>
      <c r="C16297" s="44"/>
      <c r="D16297" s="44"/>
      <c r="E16297" s="46" t="s">
        <v>12493</v>
      </c>
      <c r="F16297" s="46" t="s">
        <v>1303</v>
      </c>
      <c r="G16297" s="46">
        <v>3.61731348935E11</v>
      </c>
      <c r="H16297" s="46" t="s">
        <v>1304</v>
      </c>
      <c r="I16297" s="46" t="s">
        <v>1305</v>
      </c>
      <c r="J16297" s="46" t="s">
        <v>332</v>
      </c>
      <c r="K16297" s="46" t="s">
        <v>63</v>
      </c>
      <c r="L16297" s="45">
        <v>46014.979166666664</v>
      </c>
      <c r="M16297" s="46" t="s">
        <v>123</v>
      </c>
      <c r="N16297" s="45">
        <v>46015.041666666664</v>
      </c>
      <c r="O16297" s="46" t="s">
        <v>123</v>
      </c>
      <c r="P16297" s="46">
        <v>5400.0</v>
      </c>
    </row>
    <row r="16298">
      <c r="A16298" s="40">
        <f t="shared" si="1"/>
        <v>46013</v>
      </c>
      <c r="B16298" s="37" t="str">
        <f t="array" ref="B16298">iferror(xlookup($I16298, 'IMPORT VHC Report'!$E:$E, 'IMPORT VHC Report'!$A:$C), )</f>
        <v/>
      </c>
      <c r="C16298" s="44"/>
      <c r="D16298" s="44"/>
      <c r="E16298" s="46" t="s">
        <v>12494</v>
      </c>
      <c r="F16298" s="46" t="s">
        <v>1303</v>
      </c>
      <c r="G16298" s="46">
        <v>3.61731348935E11</v>
      </c>
      <c r="H16298" s="46" t="s">
        <v>1304</v>
      </c>
      <c r="I16298" s="46" t="s">
        <v>1305</v>
      </c>
      <c r="J16298" s="46" t="s">
        <v>134</v>
      </c>
      <c r="K16298" s="46" t="s">
        <v>126</v>
      </c>
      <c r="L16298" s="45">
        <v>46015.020833333336</v>
      </c>
      <c r="M16298" s="46" t="s">
        <v>123</v>
      </c>
      <c r="N16298" s="45">
        <v>46015.041666666664</v>
      </c>
      <c r="O16298" s="46" t="s">
        <v>123</v>
      </c>
      <c r="P16298" s="46">
        <v>1800.0</v>
      </c>
    </row>
    <row r="16299">
      <c r="A16299" s="40">
        <f t="shared" si="1"/>
        <v>46013</v>
      </c>
      <c r="B16299" s="37" t="str">
        <f t="array" ref="B16299">iferror(xlookup($I16299, 'IMPORT VHC Report'!$E:$E, 'IMPORT VHC Report'!$A:$C), )</f>
        <v/>
      </c>
      <c r="C16299" s="44"/>
      <c r="D16299" s="44"/>
      <c r="E16299" s="46" t="s">
        <v>12495</v>
      </c>
      <c r="F16299" s="46" t="s">
        <v>1303</v>
      </c>
      <c r="G16299" s="46">
        <v>3.61731348935E11</v>
      </c>
      <c r="H16299" s="46" t="s">
        <v>1304</v>
      </c>
      <c r="I16299" s="46" t="s">
        <v>1305</v>
      </c>
      <c r="J16299" s="46" t="s">
        <v>136</v>
      </c>
      <c r="K16299" s="46" t="s">
        <v>126</v>
      </c>
      <c r="L16299" s="45">
        <v>46015.666666666664</v>
      </c>
      <c r="M16299" s="46" t="s">
        <v>123</v>
      </c>
      <c r="N16299" s="45">
        <v>46015.833333333336</v>
      </c>
      <c r="O16299" s="46" t="s">
        <v>123</v>
      </c>
      <c r="P16299" s="46">
        <v>14400.0</v>
      </c>
      <c r="S16299" s="46" t="s">
        <v>1098</v>
      </c>
    </row>
    <row r="16300">
      <c r="A16300" s="40">
        <f t="shared" si="1"/>
        <v>46013</v>
      </c>
      <c r="B16300" s="37" t="str">
        <f t="array" ref="B16300">iferror(xlookup($I16300, 'IMPORT VHC Report'!$E:$E, 'IMPORT VHC Report'!$A:$C), )</f>
        <v/>
      </c>
      <c r="C16300" s="44"/>
      <c r="D16300" s="44"/>
      <c r="E16300" s="46" t="s">
        <v>12496</v>
      </c>
      <c r="F16300" s="46" t="s">
        <v>1303</v>
      </c>
      <c r="G16300" s="46">
        <v>3.61731348935E11</v>
      </c>
      <c r="H16300" s="46" t="s">
        <v>1304</v>
      </c>
      <c r="I16300" s="46" t="s">
        <v>1305</v>
      </c>
      <c r="J16300" s="46" t="s">
        <v>332</v>
      </c>
      <c r="K16300" s="46" t="s">
        <v>63</v>
      </c>
      <c r="L16300" s="45">
        <v>46015.666666666664</v>
      </c>
      <c r="M16300" s="46" t="s">
        <v>123</v>
      </c>
      <c r="N16300" s="45">
        <v>46016.041666666664</v>
      </c>
      <c r="O16300" s="46" t="s">
        <v>123</v>
      </c>
      <c r="P16300" s="46">
        <v>32400.0</v>
      </c>
    </row>
    <row r="16301">
      <c r="A16301" s="40">
        <f t="shared" si="1"/>
        <v>46013</v>
      </c>
      <c r="B16301" s="37" t="str">
        <f t="array" ref="B16301">iferror(xlookup($I16301, 'IMPORT VHC Report'!$E:$E, 'IMPORT VHC Report'!$A:$C), )</f>
        <v/>
      </c>
      <c r="C16301" s="44"/>
      <c r="D16301" s="44"/>
      <c r="E16301" s="46" t="s">
        <v>12497</v>
      </c>
      <c r="F16301" s="46" t="s">
        <v>1303</v>
      </c>
      <c r="G16301" s="46">
        <v>3.61731348935E11</v>
      </c>
      <c r="H16301" s="46" t="s">
        <v>1304</v>
      </c>
      <c r="I16301" s="46" t="s">
        <v>1305</v>
      </c>
      <c r="J16301" s="46" t="s">
        <v>132</v>
      </c>
      <c r="K16301" s="46" t="s">
        <v>126</v>
      </c>
      <c r="L16301" s="45">
        <v>46015.833333333336</v>
      </c>
      <c r="M16301" s="46" t="s">
        <v>123</v>
      </c>
      <c r="N16301" s="45">
        <v>46015.875</v>
      </c>
      <c r="O16301" s="46" t="s">
        <v>123</v>
      </c>
      <c r="P16301" s="46">
        <v>3600.0</v>
      </c>
    </row>
    <row r="16302">
      <c r="A16302" s="40">
        <f t="shared" si="1"/>
        <v>46013</v>
      </c>
      <c r="B16302" s="37" t="str">
        <f t="array" ref="B16302">iferror(xlookup($I16302, 'IMPORT VHC Report'!$E:$E, 'IMPORT VHC Report'!$A:$C), )</f>
        <v/>
      </c>
      <c r="C16302" s="44"/>
      <c r="D16302" s="44"/>
      <c r="E16302" s="46" t="s">
        <v>12498</v>
      </c>
      <c r="F16302" s="46" t="s">
        <v>1303</v>
      </c>
      <c r="G16302" s="46">
        <v>3.61731348935E11</v>
      </c>
      <c r="H16302" s="46" t="s">
        <v>1304</v>
      </c>
      <c r="I16302" s="46" t="s">
        <v>1305</v>
      </c>
      <c r="J16302" s="46" t="s">
        <v>134</v>
      </c>
      <c r="K16302" s="46" t="s">
        <v>126</v>
      </c>
      <c r="L16302" s="45">
        <v>46015.875</v>
      </c>
      <c r="M16302" s="46" t="s">
        <v>123</v>
      </c>
      <c r="N16302" s="45">
        <v>46015.895833333336</v>
      </c>
      <c r="O16302" s="46" t="s">
        <v>123</v>
      </c>
      <c r="P16302" s="46">
        <v>1800.0</v>
      </c>
    </row>
    <row r="16303">
      <c r="A16303" s="40">
        <f t="shared" si="1"/>
        <v>46013</v>
      </c>
      <c r="B16303" s="37" t="str">
        <f t="array" ref="B16303">iferror(xlookup($I16303, 'IMPORT VHC Report'!$E:$E, 'IMPORT VHC Report'!$A:$C), )</f>
        <v/>
      </c>
      <c r="C16303" s="44"/>
      <c r="D16303" s="44"/>
      <c r="E16303" s="46" t="s">
        <v>12499</v>
      </c>
      <c r="F16303" s="46" t="s">
        <v>1303</v>
      </c>
      <c r="G16303" s="46">
        <v>3.61731348935E11</v>
      </c>
      <c r="H16303" s="46" t="s">
        <v>1304</v>
      </c>
      <c r="I16303" s="46" t="s">
        <v>1305</v>
      </c>
      <c r="J16303" s="46" t="s">
        <v>332</v>
      </c>
      <c r="K16303" s="46" t="s">
        <v>63</v>
      </c>
      <c r="L16303" s="45">
        <v>46016.666666666664</v>
      </c>
      <c r="M16303" s="46" t="s">
        <v>123</v>
      </c>
      <c r="N16303" s="45">
        <v>46017.041666666664</v>
      </c>
      <c r="O16303" s="46" t="s">
        <v>123</v>
      </c>
      <c r="P16303" s="46">
        <v>32400.0</v>
      </c>
    </row>
    <row r="16304">
      <c r="A16304" s="40">
        <f t="shared" si="1"/>
        <v>46013</v>
      </c>
      <c r="B16304" s="37" t="str">
        <f t="array" ref="B16304">iferror(xlookup($I16304, 'IMPORT VHC Report'!$E:$E, 'IMPORT VHC Report'!$A:$C), )</f>
        <v/>
      </c>
      <c r="C16304" s="44"/>
      <c r="D16304" s="44"/>
      <c r="E16304" s="46" t="s">
        <v>12500</v>
      </c>
      <c r="F16304" s="46" t="s">
        <v>1303</v>
      </c>
      <c r="G16304" s="46">
        <v>3.61731348935E11</v>
      </c>
      <c r="H16304" s="46" t="s">
        <v>1304</v>
      </c>
      <c r="I16304" s="46" t="s">
        <v>1305</v>
      </c>
      <c r="J16304" s="46" t="s">
        <v>132</v>
      </c>
      <c r="K16304" s="46" t="s">
        <v>126</v>
      </c>
      <c r="L16304" s="45">
        <v>46016.979166666664</v>
      </c>
      <c r="M16304" s="46" t="s">
        <v>123</v>
      </c>
      <c r="N16304" s="45">
        <v>46017.020833333336</v>
      </c>
      <c r="O16304" s="46" t="s">
        <v>123</v>
      </c>
      <c r="P16304" s="46">
        <v>3600.0</v>
      </c>
    </row>
    <row r="16305">
      <c r="A16305" s="40">
        <f t="shared" si="1"/>
        <v>46013</v>
      </c>
      <c r="B16305" s="37" t="str">
        <f t="array" ref="B16305">iferror(xlookup($I16305, 'IMPORT VHC Report'!$E:$E, 'IMPORT VHC Report'!$A:$C), )</f>
        <v/>
      </c>
      <c r="C16305" s="44"/>
      <c r="D16305" s="44"/>
      <c r="E16305" s="46" t="s">
        <v>12501</v>
      </c>
      <c r="F16305" s="46" t="s">
        <v>1303</v>
      </c>
      <c r="G16305" s="46">
        <v>3.61731348935E11</v>
      </c>
      <c r="H16305" s="46" t="s">
        <v>1304</v>
      </c>
      <c r="I16305" s="46" t="s">
        <v>1305</v>
      </c>
      <c r="J16305" s="46" t="s">
        <v>134</v>
      </c>
      <c r="K16305" s="46" t="s">
        <v>126</v>
      </c>
      <c r="L16305" s="45">
        <v>46017.020833333336</v>
      </c>
      <c r="M16305" s="46" t="s">
        <v>123</v>
      </c>
      <c r="N16305" s="45">
        <v>46017.041666666664</v>
      </c>
      <c r="O16305" s="46" t="s">
        <v>123</v>
      </c>
      <c r="P16305" s="46">
        <v>1800.0</v>
      </c>
    </row>
    <row r="16306">
      <c r="A16306" s="40">
        <f t="shared" si="1"/>
        <v>46013</v>
      </c>
      <c r="B16306" s="37" t="str">
        <f t="array" ref="B16306">iferror(xlookup($I16306, 'IMPORT VHC Report'!$E:$E, 'IMPORT VHC Report'!$A:$C), )</f>
        <v/>
      </c>
      <c r="C16306" s="44"/>
      <c r="D16306" s="44"/>
      <c r="E16306" s="46" t="s">
        <v>12502</v>
      </c>
      <c r="F16306" s="46" t="s">
        <v>1303</v>
      </c>
      <c r="G16306" s="46">
        <v>3.61731348935E11</v>
      </c>
      <c r="H16306" s="46" t="s">
        <v>1304</v>
      </c>
      <c r="I16306" s="46" t="s">
        <v>1305</v>
      </c>
      <c r="J16306" s="46" t="s">
        <v>332</v>
      </c>
      <c r="K16306" s="46" t="s">
        <v>63</v>
      </c>
      <c r="L16306" s="45">
        <v>46019.666666666664</v>
      </c>
      <c r="M16306" s="46" t="s">
        <v>123</v>
      </c>
      <c r="N16306" s="45">
        <v>46020.0</v>
      </c>
      <c r="O16306" s="46" t="s">
        <v>123</v>
      </c>
      <c r="P16306" s="46">
        <v>28800.0</v>
      </c>
    </row>
    <row r="16307">
      <c r="A16307" s="40">
        <f t="shared" si="1"/>
        <v>46013</v>
      </c>
      <c r="B16307" s="37" t="str">
        <f t="array" ref="B16307">iferror(xlookup($I16307, 'IMPORT VHC Report'!$E:$E, 'IMPORT VHC Report'!$A:$C), )</f>
        <v/>
      </c>
      <c r="C16307" s="44"/>
      <c r="D16307" s="44"/>
      <c r="E16307" s="46" t="s">
        <v>12503</v>
      </c>
      <c r="F16307" s="46" t="s">
        <v>1303</v>
      </c>
      <c r="G16307" s="46">
        <v>3.61731348935E11</v>
      </c>
      <c r="H16307" s="46" t="s">
        <v>1304</v>
      </c>
      <c r="I16307" s="46" t="s">
        <v>1305</v>
      </c>
      <c r="J16307" s="46" t="s">
        <v>132</v>
      </c>
      <c r="K16307" s="46" t="s">
        <v>126</v>
      </c>
      <c r="L16307" s="45">
        <v>46019.979166666664</v>
      </c>
      <c r="M16307" s="46" t="s">
        <v>123</v>
      </c>
      <c r="N16307" s="45">
        <v>46020.0</v>
      </c>
      <c r="O16307" s="46" t="s">
        <v>123</v>
      </c>
      <c r="P16307" s="46">
        <v>1800.0</v>
      </c>
    </row>
    <row r="16308">
      <c r="A16308" s="40">
        <f t="shared" si="1"/>
        <v>46013</v>
      </c>
      <c r="B16308" s="37" t="str">
        <f t="array" ref="B16308">iferror(xlookup($I16308, 'IMPORT VHC Report'!$E:$E, 'IMPORT VHC Report'!$A:$C), )</f>
        <v/>
      </c>
      <c r="C16308" s="44"/>
      <c r="D16308" s="44"/>
      <c r="E16308" s="46" t="s">
        <v>12504</v>
      </c>
      <c r="F16308" s="46" t="s">
        <v>2740</v>
      </c>
      <c r="G16308" s="46">
        <v>3.61734092356E11</v>
      </c>
      <c r="H16308" s="46" t="s">
        <v>2741</v>
      </c>
      <c r="I16308" s="46" t="s">
        <v>2742</v>
      </c>
      <c r="J16308" s="46" t="s">
        <v>332</v>
      </c>
      <c r="K16308" s="46" t="s">
        <v>63</v>
      </c>
      <c r="L16308" s="45">
        <v>46013.25</v>
      </c>
      <c r="M16308" s="46" t="s">
        <v>123</v>
      </c>
      <c r="N16308" s="45">
        <v>46013.625</v>
      </c>
      <c r="O16308" s="46" t="s">
        <v>123</v>
      </c>
      <c r="P16308" s="46">
        <v>32400.0</v>
      </c>
    </row>
    <row r="16309">
      <c r="A16309" s="40">
        <f t="shared" si="1"/>
        <v>46013</v>
      </c>
      <c r="B16309" s="37" t="str">
        <f t="array" ref="B16309">iferror(xlookup($I16309, 'IMPORT VHC Report'!$E:$E, 'IMPORT VHC Report'!$A:$C), )</f>
        <v/>
      </c>
      <c r="C16309" s="44"/>
      <c r="D16309" s="44"/>
      <c r="E16309" s="46" t="s">
        <v>12505</v>
      </c>
      <c r="F16309" s="46" t="s">
        <v>2740</v>
      </c>
      <c r="G16309" s="46">
        <v>3.61734092356E11</v>
      </c>
      <c r="H16309" s="46" t="s">
        <v>2741</v>
      </c>
      <c r="I16309" s="46" t="s">
        <v>2742</v>
      </c>
      <c r="J16309" s="46" t="s">
        <v>134</v>
      </c>
      <c r="K16309" s="46" t="s">
        <v>126</v>
      </c>
      <c r="L16309" s="45">
        <v>46013.5625</v>
      </c>
      <c r="M16309" s="46" t="s">
        <v>123</v>
      </c>
      <c r="N16309" s="45">
        <v>46013.583333333336</v>
      </c>
      <c r="O16309" s="46" t="s">
        <v>123</v>
      </c>
      <c r="P16309" s="46">
        <v>1800.0</v>
      </c>
    </row>
    <row r="16310">
      <c r="A16310" s="40">
        <f t="shared" si="1"/>
        <v>46013</v>
      </c>
      <c r="B16310" s="37" t="str">
        <f t="array" ref="B16310">iferror(xlookup($I16310, 'IMPORT VHC Report'!$E:$E, 'IMPORT VHC Report'!$A:$C), )</f>
        <v/>
      </c>
      <c r="C16310" s="44"/>
      <c r="D16310" s="44"/>
      <c r="E16310" s="46" t="s">
        <v>12506</v>
      </c>
      <c r="F16310" s="46" t="s">
        <v>2740</v>
      </c>
      <c r="G16310" s="46">
        <v>3.61734092356E11</v>
      </c>
      <c r="H16310" s="46" t="s">
        <v>2741</v>
      </c>
      <c r="I16310" s="46" t="s">
        <v>2742</v>
      </c>
      <c r="J16310" s="46" t="s">
        <v>132</v>
      </c>
      <c r="K16310" s="46" t="s">
        <v>126</v>
      </c>
      <c r="L16310" s="45">
        <v>46013.583333333336</v>
      </c>
      <c r="M16310" s="46" t="s">
        <v>123</v>
      </c>
      <c r="N16310" s="45">
        <v>46013.625</v>
      </c>
      <c r="O16310" s="46" t="s">
        <v>123</v>
      </c>
      <c r="P16310" s="46">
        <v>3600.0</v>
      </c>
    </row>
    <row r="16311">
      <c r="A16311" s="40">
        <f t="shared" si="1"/>
        <v>46013</v>
      </c>
      <c r="B16311" s="37" t="str">
        <f t="array" ref="B16311">iferror(xlookup($I16311, 'IMPORT VHC Report'!$E:$E, 'IMPORT VHC Report'!$A:$C), )</f>
        <v/>
      </c>
      <c r="C16311" s="44"/>
      <c r="D16311" s="44"/>
      <c r="E16311" s="46" t="s">
        <v>12507</v>
      </c>
      <c r="F16311" s="46" t="s">
        <v>2740</v>
      </c>
      <c r="G16311" s="46">
        <v>3.61734092356E11</v>
      </c>
      <c r="H16311" s="46" t="s">
        <v>2741</v>
      </c>
      <c r="I16311" s="46" t="s">
        <v>2742</v>
      </c>
      <c r="J16311" s="46" t="s">
        <v>332</v>
      </c>
      <c r="K16311" s="46" t="s">
        <v>63</v>
      </c>
      <c r="L16311" s="45">
        <v>46014.25</v>
      </c>
      <c r="M16311" s="46" t="s">
        <v>123</v>
      </c>
      <c r="N16311" s="45">
        <v>46014.625</v>
      </c>
      <c r="O16311" s="46" t="s">
        <v>123</v>
      </c>
      <c r="P16311" s="46">
        <v>32400.0</v>
      </c>
    </row>
    <row r="16312">
      <c r="A16312" s="40">
        <f t="shared" si="1"/>
        <v>46013</v>
      </c>
      <c r="B16312" s="37" t="str">
        <f t="array" ref="B16312">iferror(xlookup($I16312, 'IMPORT VHC Report'!$E:$E, 'IMPORT VHC Report'!$A:$C), )</f>
        <v/>
      </c>
      <c r="C16312" s="44"/>
      <c r="D16312" s="44"/>
      <c r="E16312" s="46" t="s">
        <v>12508</v>
      </c>
      <c r="F16312" s="46" t="s">
        <v>2740</v>
      </c>
      <c r="G16312" s="46">
        <v>3.61734092356E11</v>
      </c>
      <c r="H16312" s="46" t="s">
        <v>2741</v>
      </c>
      <c r="I16312" s="46" t="s">
        <v>2742</v>
      </c>
      <c r="J16312" s="46" t="s">
        <v>134</v>
      </c>
      <c r="K16312" s="46" t="s">
        <v>126</v>
      </c>
      <c r="L16312" s="45">
        <v>46014.5625</v>
      </c>
      <c r="M16312" s="46" t="s">
        <v>123</v>
      </c>
      <c r="N16312" s="45">
        <v>46014.583333333336</v>
      </c>
      <c r="O16312" s="46" t="s">
        <v>123</v>
      </c>
      <c r="P16312" s="46">
        <v>1800.0</v>
      </c>
    </row>
    <row r="16313">
      <c r="A16313" s="40">
        <f t="shared" si="1"/>
        <v>46013</v>
      </c>
      <c r="B16313" s="37" t="str">
        <f t="array" ref="B16313">iferror(xlookup($I16313, 'IMPORT VHC Report'!$E:$E, 'IMPORT VHC Report'!$A:$C), )</f>
        <v/>
      </c>
      <c r="C16313" s="44"/>
      <c r="D16313" s="44"/>
      <c r="E16313" s="46" t="s">
        <v>12509</v>
      </c>
      <c r="F16313" s="46" t="s">
        <v>2740</v>
      </c>
      <c r="G16313" s="46">
        <v>3.61734092356E11</v>
      </c>
      <c r="H16313" s="46" t="s">
        <v>2741</v>
      </c>
      <c r="I16313" s="46" t="s">
        <v>2742</v>
      </c>
      <c r="J16313" s="46" t="s">
        <v>132</v>
      </c>
      <c r="K16313" s="46" t="s">
        <v>126</v>
      </c>
      <c r="L16313" s="45">
        <v>46014.583333333336</v>
      </c>
      <c r="M16313" s="46" t="s">
        <v>123</v>
      </c>
      <c r="N16313" s="45">
        <v>46014.625</v>
      </c>
      <c r="O16313" s="46" t="s">
        <v>123</v>
      </c>
      <c r="P16313" s="46">
        <v>3600.0</v>
      </c>
    </row>
    <row r="16314">
      <c r="A16314" s="40">
        <f t="shared" si="1"/>
        <v>46013</v>
      </c>
      <c r="B16314" s="37" t="str">
        <f t="array" ref="B16314">iferror(xlookup($I16314, 'IMPORT VHC Report'!$E:$E, 'IMPORT VHC Report'!$A:$C), )</f>
        <v/>
      </c>
      <c r="C16314" s="44"/>
      <c r="D16314" s="44"/>
      <c r="E16314" s="46" t="s">
        <v>12510</v>
      </c>
      <c r="F16314" s="46" t="s">
        <v>2740</v>
      </c>
      <c r="G16314" s="46">
        <v>3.61734092356E11</v>
      </c>
      <c r="H16314" s="46" t="s">
        <v>2741</v>
      </c>
      <c r="I16314" s="46" t="s">
        <v>2742</v>
      </c>
      <c r="J16314" s="46" t="s">
        <v>132</v>
      </c>
      <c r="K16314" s="46" t="s">
        <v>126</v>
      </c>
      <c r="L16314" s="45">
        <v>46015.458333333336</v>
      </c>
      <c r="M16314" s="46" t="s">
        <v>123</v>
      </c>
      <c r="N16314" s="45">
        <v>46015.5</v>
      </c>
      <c r="O16314" s="46" t="s">
        <v>123</v>
      </c>
      <c r="P16314" s="46">
        <v>3600.0</v>
      </c>
    </row>
    <row r="16315">
      <c r="A16315" s="40">
        <f t="shared" si="1"/>
        <v>46013</v>
      </c>
      <c r="B16315" s="37" t="str">
        <f t="array" ref="B16315">iferror(xlookup($I16315, 'IMPORT VHC Report'!$E:$E, 'IMPORT VHC Report'!$A:$C), )</f>
        <v/>
      </c>
      <c r="C16315" s="44"/>
      <c r="D16315" s="44"/>
      <c r="E16315" s="46" t="s">
        <v>12511</v>
      </c>
      <c r="F16315" s="46" t="s">
        <v>2740</v>
      </c>
      <c r="G16315" s="46">
        <v>3.61734092356E11</v>
      </c>
      <c r="H16315" s="46" t="s">
        <v>2741</v>
      </c>
      <c r="I16315" s="46" t="s">
        <v>2742</v>
      </c>
      <c r="J16315" s="46" t="s">
        <v>332</v>
      </c>
      <c r="K16315" s="46" t="s">
        <v>63</v>
      </c>
      <c r="L16315" s="45">
        <v>46015.458333333336</v>
      </c>
      <c r="M16315" s="46" t="s">
        <v>123</v>
      </c>
      <c r="N16315" s="45">
        <v>46015.833333333336</v>
      </c>
      <c r="O16315" s="46" t="s">
        <v>123</v>
      </c>
      <c r="P16315" s="46">
        <v>32400.0</v>
      </c>
    </row>
    <row r="16316">
      <c r="A16316" s="40">
        <f t="shared" si="1"/>
        <v>46013</v>
      </c>
      <c r="B16316" s="37" t="str">
        <f t="array" ref="B16316">iferror(xlookup($I16316, 'IMPORT VHC Report'!$E:$E, 'IMPORT VHC Report'!$A:$C), )</f>
        <v/>
      </c>
      <c r="C16316" s="44"/>
      <c r="D16316" s="44"/>
      <c r="E16316" s="46" t="s">
        <v>12512</v>
      </c>
      <c r="F16316" s="46" t="s">
        <v>2740</v>
      </c>
      <c r="G16316" s="46">
        <v>3.61734092356E11</v>
      </c>
      <c r="H16316" s="46" t="s">
        <v>2741</v>
      </c>
      <c r="I16316" s="46" t="s">
        <v>2742</v>
      </c>
      <c r="J16316" s="46" t="s">
        <v>134</v>
      </c>
      <c r="K16316" s="46" t="s">
        <v>126</v>
      </c>
      <c r="L16316" s="45">
        <v>46015.5</v>
      </c>
      <c r="M16316" s="46" t="s">
        <v>123</v>
      </c>
      <c r="N16316" s="45">
        <v>46015.520833333336</v>
      </c>
      <c r="O16316" s="46" t="s">
        <v>123</v>
      </c>
      <c r="P16316" s="46">
        <v>1800.0</v>
      </c>
    </row>
    <row r="16317">
      <c r="A16317" s="40">
        <f t="shared" si="1"/>
        <v>46013</v>
      </c>
      <c r="B16317" s="37" t="str">
        <f t="array" ref="B16317">iferror(xlookup($I16317, 'IMPORT VHC Report'!$E:$E, 'IMPORT VHC Report'!$A:$C), )</f>
        <v/>
      </c>
      <c r="C16317" s="44"/>
      <c r="D16317" s="44"/>
      <c r="E16317" s="46" t="s">
        <v>12513</v>
      </c>
      <c r="F16317" s="46" t="s">
        <v>2740</v>
      </c>
      <c r="G16317" s="46">
        <v>3.61734092356E11</v>
      </c>
      <c r="H16317" s="46" t="s">
        <v>2741</v>
      </c>
      <c r="I16317" s="46" t="s">
        <v>2742</v>
      </c>
      <c r="J16317" s="46" t="s">
        <v>136</v>
      </c>
      <c r="K16317" s="46" t="s">
        <v>126</v>
      </c>
      <c r="L16317" s="45">
        <v>46015.666666666664</v>
      </c>
      <c r="M16317" s="46" t="s">
        <v>123</v>
      </c>
      <c r="N16317" s="45">
        <v>46015.833333333336</v>
      </c>
      <c r="O16317" s="46" t="s">
        <v>123</v>
      </c>
      <c r="P16317" s="46">
        <v>14400.0</v>
      </c>
      <c r="S16317" s="46" t="s">
        <v>1098</v>
      </c>
    </row>
    <row r="16318">
      <c r="A16318" s="40">
        <f t="shared" si="1"/>
        <v>46013</v>
      </c>
      <c r="B16318" s="37" t="str">
        <f t="array" ref="B16318">iferror(xlookup($I16318, 'IMPORT VHC Report'!$E:$E, 'IMPORT VHC Report'!$A:$C), )</f>
        <v/>
      </c>
      <c r="C16318" s="44"/>
      <c r="D16318" s="44"/>
      <c r="E16318" s="46" t="s">
        <v>12514</v>
      </c>
      <c r="F16318" s="46" t="s">
        <v>2740</v>
      </c>
      <c r="G16318" s="46">
        <v>3.61734092356E11</v>
      </c>
      <c r="H16318" s="46" t="s">
        <v>2741</v>
      </c>
      <c r="I16318" s="46" t="s">
        <v>2742</v>
      </c>
      <c r="J16318" s="46" t="s">
        <v>332</v>
      </c>
      <c r="K16318" s="46" t="s">
        <v>63</v>
      </c>
      <c r="L16318" s="45">
        <v>46016.333333333336</v>
      </c>
      <c r="M16318" s="46" t="s">
        <v>123</v>
      </c>
      <c r="N16318" s="45">
        <v>46016.375</v>
      </c>
      <c r="O16318" s="46" t="s">
        <v>123</v>
      </c>
      <c r="P16318" s="46">
        <v>3600.0</v>
      </c>
    </row>
    <row r="16319">
      <c r="A16319" s="40">
        <f t="shared" si="1"/>
        <v>46013</v>
      </c>
      <c r="B16319" s="37" t="str">
        <f t="array" ref="B16319">iferror(xlookup($I16319, 'IMPORT VHC Report'!$E:$E, 'IMPORT VHC Report'!$A:$C), )</f>
        <v/>
      </c>
      <c r="C16319" s="44"/>
      <c r="D16319" s="44"/>
      <c r="E16319" s="46" t="s">
        <v>12515</v>
      </c>
      <c r="F16319" s="46" t="s">
        <v>2740</v>
      </c>
      <c r="G16319" s="46">
        <v>3.61734092356E11</v>
      </c>
      <c r="H16319" s="46" t="s">
        <v>2741</v>
      </c>
      <c r="I16319" s="46" t="s">
        <v>2742</v>
      </c>
      <c r="J16319" s="46" t="s">
        <v>62</v>
      </c>
      <c r="K16319" s="46" t="s">
        <v>63</v>
      </c>
      <c r="L16319" s="45">
        <v>46016.375</v>
      </c>
      <c r="M16319" s="46" t="s">
        <v>123</v>
      </c>
      <c r="N16319" s="45">
        <v>46016.458333333336</v>
      </c>
      <c r="O16319" s="46" t="s">
        <v>123</v>
      </c>
      <c r="P16319" s="46">
        <v>7200.0</v>
      </c>
    </row>
    <row r="16320">
      <c r="A16320" s="40">
        <f t="shared" si="1"/>
        <v>46013</v>
      </c>
      <c r="B16320" s="37" t="str">
        <f t="array" ref="B16320">iferror(xlookup($I16320, 'IMPORT VHC Report'!$E:$E, 'IMPORT VHC Report'!$A:$C), )</f>
        <v/>
      </c>
      <c r="C16320" s="44"/>
      <c r="D16320" s="44"/>
      <c r="E16320" s="46" t="s">
        <v>12516</v>
      </c>
      <c r="F16320" s="46" t="s">
        <v>2740</v>
      </c>
      <c r="G16320" s="46">
        <v>3.61734092356E11</v>
      </c>
      <c r="H16320" s="46" t="s">
        <v>2741</v>
      </c>
      <c r="I16320" s="46" t="s">
        <v>2742</v>
      </c>
      <c r="J16320" s="46" t="s">
        <v>332</v>
      </c>
      <c r="K16320" s="46" t="s">
        <v>63</v>
      </c>
      <c r="L16320" s="45">
        <v>46016.458333333336</v>
      </c>
      <c r="M16320" s="46" t="s">
        <v>123</v>
      </c>
      <c r="N16320" s="45">
        <v>46016.708333333336</v>
      </c>
      <c r="O16320" s="46" t="s">
        <v>123</v>
      </c>
      <c r="P16320" s="46">
        <v>21600.0</v>
      </c>
    </row>
    <row r="16321">
      <c r="A16321" s="40">
        <f t="shared" si="1"/>
        <v>46013</v>
      </c>
      <c r="B16321" s="37" t="str">
        <f t="array" ref="B16321">iferror(xlookup($I16321, 'IMPORT VHC Report'!$E:$E, 'IMPORT VHC Report'!$A:$C), )</f>
        <v/>
      </c>
      <c r="C16321" s="44"/>
      <c r="D16321" s="44"/>
      <c r="E16321" s="46" t="s">
        <v>12517</v>
      </c>
      <c r="F16321" s="46" t="s">
        <v>2740</v>
      </c>
      <c r="G16321" s="46">
        <v>3.61734092356E11</v>
      </c>
      <c r="H16321" s="46" t="s">
        <v>2741</v>
      </c>
      <c r="I16321" s="46" t="s">
        <v>2742</v>
      </c>
      <c r="J16321" s="46" t="s">
        <v>134</v>
      </c>
      <c r="K16321" s="46" t="s">
        <v>126</v>
      </c>
      <c r="L16321" s="45">
        <v>46016.645833333336</v>
      </c>
      <c r="M16321" s="46" t="s">
        <v>123</v>
      </c>
      <c r="N16321" s="45">
        <v>46016.666666666664</v>
      </c>
      <c r="O16321" s="46" t="s">
        <v>123</v>
      </c>
      <c r="P16321" s="46">
        <v>1800.0</v>
      </c>
    </row>
    <row r="16322">
      <c r="A16322" s="40">
        <f t="shared" si="1"/>
        <v>46013</v>
      </c>
      <c r="B16322" s="37" t="str">
        <f t="array" ref="B16322">iferror(xlookup($I16322, 'IMPORT VHC Report'!$E:$E, 'IMPORT VHC Report'!$A:$C), )</f>
        <v/>
      </c>
      <c r="C16322" s="44"/>
      <c r="D16322" s="44"/>
      <c r="E16322" s="46" t="s">
        <v>12518</v>
      </c>
      <c r="F16322" s="46" t="s">
        <v>2740</v>
      </c>
      <c r="G16322" s="46">
        <v>3.61734092356E11</v>
      </c>
      <c r="H16322" s="46" t="s">
        <v>2741</v>
      </c>
      <c r="I16322" s="46" t="s">
        <v>2742</v>
      </c>
      <c r="J16322" s="46" t="s">
        <v>132</v>
      </c>
      <c r="K16322" s="46" t="s">
        <v>126</v>
      </c>
      <c r="L16322" s="45">
        <v>46016.666666666664</v>
      </c>
      <c r="M16322" s="46" t="s">
        <v>123</v>
      </c>
      <c r="N16322" s="45">
        <v>46016.708333333336</v>
      </c>
      <c r="O16322" s="46" t="s">
        <v>123</v>
      </c>
      <c r="P16322" s="46">
        <v>3600.0</v>
      </c>
    </row>
    <row r="16323">
      <c r="A16323" s="40">
        <f t="shared" si="1"/>
        <v>46013</v>
      </c>
      <c r="B16323" s="37" t="str">
        <f t="array" ref="B16323">iferror(xlookup($I16323, 'IMPORT VHC Report'!$E:$E, 'IMPORT VHC Report'!$A:$C), )</f>
        <v/>
      </c>
      <c r="C16323" s="44"/>
      <c r="D16323" s="44"/>
      <c r="E16323" s="46" t="s">
        <v>12519</v>
      </c>
      <c r="F16323" s="46" t="s">
        <v>2740</v>
      </c>
      <c r="G16323" s="46">
        <v>3.61734092356E11</v>
      </c>
      <c r="H16323" s="46" t="s">
        <v>2741</v>
      </c>
      <c r="I16323" s="46" t="s">
        <v>2742</v>
      </c>
      <c r="J16323" s="46" t="s">
        <v>332</v>
      </c>
      <c r="K16323" s="46" t="s">
        <v>63</v>
      </c>
      <c r="L16323" s="45">
        <v>46019.25</v>
      </c>
      <c r="M16323" s="46" t="s">
        <v>123</v>
      </c>
      <c r="N16323" s="45">
        <v>46019.625</v>
      </c>
      <c r="O16323" s="46" t="s">
        <v>123</v>
      </c>
      <c r="P16323" s="46">
        <v>32400.0</v>
      </c>
    </row>
    <row r="16324">
      <c r="A16324" s="40">
        <f t="shared" si="1"/>
        <v>46013</v>
      </c>
      <c r="B16324" s="37" t="str">
        <f t="array" ref="B16324">iferror(xlookup($I16324, 'IMPORT VHC Report'!$E:$E, 'IMPORT VHC Report'!$A:$C), )</f>
        <v/>
      </c>
      <c r="C16324" s="44"/>
      <c r="D16324" s="44"/>
      <c r="E16324" s="46" t="s">
        <v>12520</v>
      </c>
      <c r="F16324" s="46" t="s">
        <v>2740</v>
      </c>
      <c r="G16324" s="46">
        <v>3.61734092356E11</v>
      </c>
      <c r="H16324" s="46" t="s">
        <v>2741</v>
      </c>
      <c r="I16324" s="46" t="s">
        <v>2742</v>
      </c>
      <c r="J16324" s="46" t="s">
        <v>134</v>
      </c>
      <c r="K16324" s="46" t="s">
        <v>126</v>
      </c>
      <c r="L16324" s="45">
        <v>46019.5625</v>
      </c>
      <c r="M16324" s="46" t="s">
        <v>123</v>
      </c>
      <c r="N16324" s="45">
        <v>46019.583333333336</v>
      </c>
      <c r="O16324" s="46" t="s">
        <v>123</v>
      </c>
      <c r="P16324" s="46">
        <v>1800.0</v>
      </c>
    </row>
    <row r="16325">
      <c r="A16325" s="40">
        <f t="shared" si="1"/>
        <v>46013</v>
      </c>
      <c r="B16325" s="37" t="str">
        <f t="array" ref="B16325">iferror(xlookup($I16325, 'IMPORT VHC Report'!$E:$E, 'IMPORT VHC Report'!$A:$C), )</f>
        <v/>
      </c>
      <c r="C16325" s="44"/>
      <c r="D16325" s="44"/>
      <c r="E16325" s="46" t="s">
        <v>12521</v>
      </c>
      <c r="F16325" s="46" t="s">
        <v>2740</v>
      </c>
      <c r="G16325" s="46">
        <v>3.61734092356E11</v>
      </c>
      <c r="H16325" s="46" t="s">
        <v>2741</v>
      </c>
      <c r="I16325" s="46" t="s">
        <v>2742</v>
      </c>
      <c r="J16325" s="46" t="s">
        <v>132</v>
      </c>
      <c r="K16325" s="46" t="s">
        <v>126</v>
      </c>
      <c r="L16325" s="45">
        <v>46019.583333333336</v>
      </c>
      <c r="M16325" s="46" t="s">
        <v>123</v>
      </c>
      <c r="N16325" s="45">
        <v>46019.625</v>
      </c>
      <c r="O16325" s="46" t="s">
        <v>123</v>
      </c>
      <c r="P16325" s="46">
        <v>3600.0</v>
      </c>
    </row>
    <row r="16326">
      <c r="A16326" s="40">
        <f t="shared" si="1"/>
        <v>46013</v>
      </c>
      <c r="B16326" s="37" t="str">
        <f t="array" ref="B16326">iferror(xlookup($I16326, 'IMPORT VHC Report'!$E:$E, 'IMPORT VHC Report'!$A:$C), )</f>
        <v/>
      </c>
      <c r="C16326" s="44"/>
      <c r="D16326" s="44"/>
      <c r="E16326" s="46" t="s">
        <v>12522</v>
      </c>
      <c r="F16326" s="46" t="s">
        <v>3962</v>
      </c>
      <c r="G16326" s="46">
        <v>3.61726424736E11</v>
      </c>
      <c r="H16326" s="46" t="s">
        <v>3963</v>
      </c>
      <c r="I16326" s="46" t="s">
        <v>3964</v>
      </c>
      <c r="J16326" s="46" t="s">
        <v>332</v>
      </c>
      <c r="K16326" s="46" t="s">
        <v>63</v>
      </c>
      <c r="L16326" s="45">
        <v>46013.5</v>
      </c>
      <c r="M16326" s="46" t="s">
        <v>123</v>
      </c>
      <c r="N16326" s="45">
        <v>46013.875</v>
      </c>
      <c r="O16326" s="46" t="s">
        <v>123</v>
      </c>
      <c r="P16326" s="46">
        <v>32400.0</v>
      </c>
    </row>
    <row r="16327">
      <c r="A16327" s="40">
        <f t="shared" si="1"/>
        <v>46013</v>
      </c>
      <c r="B16327" s="37" t="str">
        <f t="array" ref="B16327">iferror(xlookup($I16327, 'IMPORT VHC Report'!$E:$E, 'IMPORT VHC Report'!$A:$C), )</f>
        <v/>
      </c>
      <c r="C16327" s="44"/>
      <c r="D16327" s="44"/>
      <c r="E16327" s="46" t="s">
        <v>12523</v>
      </c>
      <c r="F16327" s="46" t="s">
        <v>3962</v>
      </c>
      <c r="G16327" s="46">
        <v>3.61726424736E11</v>
      </c>
      <c r="H16327" s="46" t="s">
        <v>3963</v>
      </c>
      <c r="I16327" s="46" t="s">
        <v>3964</v>
      </c>
      <c r="J16327" s="46" t="s">
        <v>134</v>
      </c>
      <c r="K16327" s="46" t="s">
        <v>126</v>
      </c>
      <c r="L16327" s="45">
        <v>46013.8125</v>
      </c>
      <c r="M16327" s="46" t="s">
        <v>123</v>
      </c>
      <c r="N16327" s="45">
        <v>46013.833333333336</v>
      </c>
      <c r="O16327" s="46" t="s">
        <v>123</v>
      </c>
      <c r="P16327" s="46">
        <v>1800.0</v>
      </c>
    </row>
    <row r="16328">
      <c r="A16328" s="40">
        <f t="shared" si="1"/>
        <v>46013</v>
      </c>
      <c r="B16328" s="37" t="str">
        <f t="array" ref="B16328">iferror(xlookup($I16328, 'IMPORT VHC Report'!$E:$E, 'IMPORT VHC Report'!$A:$C), )</f>
        <v/>
      </c>
      <c r="C16328" s="44"/>
      <c r="D16328" s="44"/>
      <c r="E16328" s="46" t="s">
        <v>12524</v>
      </c>
      <c r="F16328" s="46" t="s">
        <v>3962</v>
      </c>
      <c r="G16328" s="46">
        <v>3.61726424736E11</v>
      </c>
      <c r="H16328" s="46" t="s">
        <v>3963</v>
      </c>
      <c r="I16328" s="46" t="s">
        <v>3964</v>
      </c>
      <c r="J16328" s="46" t="s">
        <v>132</v>
      </c>
      <c r="K16328" s="46" t="s">
        <v>126</v>
      </c>
      <c r="L16328" s="45">
        <v>46013.833333333336</v>
      </c>
      <c r="M16328" s="46" t="s">
        <v>123</v>
      </c>
      <c r="N16328" s="45">
        <v>46013.875</v>
      </c>
      <c r="O16328" s="46" t="s">
        <v>123</v>
      </c>
      <c r="P16328" s="46">
        <v>3600.0</v>
      </c>
    </row>
    <row r="16329">
      <c r="A16329" s="40">
        <f t="shared" si="1"/>
        <v>46013</v>
      </c>
      <c r="B16329" s="37" t="str">
        <f t="array" ref="B16329">iferror(xlookup($I16329, 'IMPORT VHC Report'!$E:$E, 'IMPORT VHC Report'!$A:$C), )</f>
        <v/>
      </c>
      <c r="C16329" s="44"/>
      <c r="D16329" s="44"/>
      <c r="E16329" s="46" t="s">
        <v>12525</v>
      </c>
      <c r="F16329" s="46" t="s">
        <v>3962</v>
      </c>
      <c r="G16329" s="46">
        <v>3.61726424736E11</v>
      </c>
      <c r="H16329" s="46" t="s">
        <v>3963</v>
      </c>
      <c r="I16329" s="46" t="s">
        <v>3964</v>
      </c>
      <c r="J16329" s="46" t="s">
        <v>332</v>
      </c>
      <c r="K16329" s="46" t="s">
        <v>63</v>
      </c>
      <c r="L16329" s="45">
        <v>46014.5</v>
      </c>
      <c r="M16329" s="46" t="s">
        <v>123</v>
      </c>
      <c r="N16329" s="45">
        <v>46014.875</v>
      </c>
      <c r="O16329" s="46" t="s">
        <v>123</v>
      </c>
      <c r="P16329" s="46">
        <v>32400.0</v>
      </c>
    </row>
    <row r="16330">
      <c r="A16330" s="40">
        <f t="shared" si="1"/>
        <v>46013</v>
      </c>
      <c r="B16330" s="37" t="str">
        <f t="array" ref="B16330">iferror(xlookup($I16330, 'IMPORT VHC Report'!$E:$E, 'IMPORT VHC Report'!$A:$C), )</f>
        <v/>
      </c>
      <c r="C16330" s="44"/>
      <c r="D16330" s="44"/>
      <c r="E16330" s="46" t="s">
        <v>12526</v>
      </c>
      <c r="F16330" s="46" t="s">
        <v>3962</v>
      </c>
      <c r="G16330" s="46">
        <v>3.61726424736E11</v>
      </c>
      <c r="H16330" s="46" t="s">
        <v>3963</v>
      </c>
      <c r="I16330" s="46" t="s">
        <v>3964</v>
      </c>
      <c r="J16330" s="46" t="s">
        <v>134</v>
      </c>
      <c r="K16330" s="46" t="s">
        <v>126</v>
      </c>
      <c r="L16330" s="45">
        <v>46014.8125</v>
      </c>
      <c r="M16330" s="46" t="s">
        <v>123</v>
      </c>
      <c r="N16330" s="45">
        <v>46014.833333333336</v>
      </c>
      <c r="O16330" s="46" t="s">
        <v>123</v>
      </c>
      <c r="P16330" s="46">
        <v>1800.0</v>
      </c>
    </row>
    <row r="16331">
      <c r="A16331" s="40">
        <f t="shared" si="1"/>
        <v>46013</v>
      </c>
      <c r="B16331" s="37" t="str">
        <f t="array" ref="B16331">iferror(xlookup($I16331, 'IMPORT VHC Report'!$E:$E, 'IMPORT VHC Report'!$A:$C), )</f>
        <v/>
      </c>
      <c r="C16331" s="44"/>
      <c r="D16331" s="44"/>
      <c r="E16331" s="46" t="s">
        <v>12527</v>
      </c>
      <c r="F16331" s="46" t="s">
        <v>3962</v>
      </c>
      <c r="G16331" s="46">
        <v>3.61726424736E11</v>
      </c>
      <c r="H16331" s="46" t="s">
        <v>3963</v>
      </c>
      <c r="I16331" s="46" t="s">
        <v>3964</v>
      </c>
      <c r="J16331" s="46" t="s">
        <v>132</v>
      </c>
      <c r="K16331" s="46" t="s">
        <v>126</v>
      </c>
      <c r="L16331" s="45">
        <v>46014.833333333336</v>
      </c>
      <c r="M16331" s="46" t="s">
        <v>123</v>
      </c>
      <c r="N16331" s="45">
        <v>46014.875</v>
      </c>
      <c r="O16331" s="46" t="s">
        <v>123</v>
      </c>
      <c r="P16331" s="46">
        <v>3600.0</v>
      </c>
    </row>
    <row r="16332">
      <c r="A16332" s="40">
        <f t="shared" si="1"/>
        <v>46013</v>
      </c>
      <c r="B16332" s="37" t="str">
        <f t="array" ref="B16332">iferror(xlookup($I16332, 'IMPORT VHC Report'!$E:$E, 'IMPORT VHC Report'!$A:$C), )</f>
        <v/>
      </c>
      <c r="C16332" s="44"/>
      <c r="D16332" s="44"/>
      <c r="E16332" s="46" t="s">
        <v>12528</v>
      </c>
      <c r="F16332" s="46" t="s">
        <v>3962</v>
      </c>
      <c r="G16332" s="46">
        <v>3.61726424736E11</v>
      </c>
      <c r="H16332" s="46" t="s">
        <v>3963</v>
      </c>
      <c r="I16332" s="46" t="s">
        <v>3964</v>
      </c>
      <c r="J16332" s="46" t="s">
        <v>332</v>
      </c>
      <c r="K16332" s="46" t="s">
        <v>63</v>
      </c>
      <c r="L16332" s="45">
        <v>46015.458333333336</v>
      </c>
      <c r="M16332" s="46" t="s">
        <v>123</v>
      </c>
      <c r="N16332" s="45">
        <v>46015.520833333336</v>
      </c>
      <c r="O16332" s="46" t="s">
        <v>123</v>
      </c>
      <c r="P16332" s="46">
        <v>5400.0</v>
      </c>
    </row>
    <row r="16333">
      <c r="A16333" s="40">
        <f t="shared" si="1"/>
        <v>46013</v>
      </c>
      <c r="B16333" s="37" t="str">
        <f t="array" ref="B16333">iferror(xlookup($I16333, 'IMPORT VHC Report'!$E:$E, 'IMPORT VHC Report'!$A:$C), )</f>
        <v/>
      </c>
      <c r="C16333" s="44"/>
      <c r="D16333" s="44"/>
      <c r="E16333" s="46" t="s">
        <v>12529</v>
      </c>
      <c r="F16333" s="46" t="s">
        <v>3962</v>
      </c>
      <c r="G16333" s="46">
        <v>3.61726424736E11</v>
      </c>
      <c r="H16333" s="46" t="s">
        <v>3963</v>
      </c>
      <c r="I16333" s="46" t="s">
        <v>3964</v>
      </c>
      <c r="J16333" s="46" t="s">
        <v>62</v>
      </c>
      <c r="K16333" s="46" t="s">
        <v>63</v>
      </c>
      <c r="L16333" s="45">
        <v>46015.520833333336</v>
      </c>
      <c r="M16333" s="46" t="s">
        <v>123</v>
      </c>
      <c r="N16333" s="45">
        <v>46015.604166666664</v>
      </c>
      <c r="O16333" s="46" t="s">
        <v>123</v>
      </c>
      <c r="P16333" s="46">
        <v>7200.0</v>
      </c>
    </row>
    <row r="16334">
      <c r="A16334" s="40">
        <f t="shared" si="1"/>
        <v>46013</v>
      </c>
      <c r="B16334" s="37" t="str">
        <f t="array" ref="B16334">iferror(xlookup($I16334, 'IMPORT VHC Report'!$E:$E, 'IMPORT VHC Report'!$A:$C), )</f>
        <v/>
      </c>
      <c r="C16334" s="44"/>
      <c r="D16334" s="44"/>
      <c r="E16334" s="46" t="s">
        <v>12530</v>
      </c>
      <c r="F16334" s="46" t="s">
        <v>3962</v>
      </c>
      <c r="G16334" s="46">
        <v>3.61726424736E11</v>
      </c>
      <c r="H16334" s="46" t="s">
        <v>3963</v>
      </c>
      <c r="I16334" s="46" t="s">
        <v>3964</v>
      </c>
      <c r="J16334" s="46" t="s">
        <v>134</v>
      </c>
      <c r="K16334" s="46" t="s">
        <v>126</v>
      </c>
      <c r="L16334" s="45">
        <v>46015.604166666664</v>
      </c>
      <c r="M16334" s="46" t="s">
        <v>123</v>
      </c>
      <c r="N16334" s="45">
        <v>46015.625</v>
      </c>
      <c r="O16334" s="46" t="s">
        <v>123</v>
      </c>
      <c r="P16334" s="46">
        <v>1800.0</v>
      </c>
    </row>
    <row r="16335">
      <c r="A16335" s="40">
        <f t="shared" si="1"/>
        <v>46013</v>
      </c>
      <c r="B16335" s="37" t="str">
        <f t="array" ref="B16335">iferror(xlookup($I16335, 'IMPORT VHC Report'!$E:$E, 'IMPORT VHC Report'!$A:$C), )</f>
        <v/>
      </c>
      <c r="C16335" s="44"/>
      <c r="D16335" s="44"/>
      <c r="E16335" s="46" t="s">
        <v>12531</v>
      </c>
      <c r="F16335" s="46" t="s">
        <v>3962</v>
      </c>
      <c r="G16335" s="46">
        <v>3.61726424736E11</v>
      </c>
      <c r="H16335" s="46" t="s">
        <v>3963</v>
      </c>
      <c r="I16335" s="46" t="s">
        <v>3964</v>
      </c>
      <c r="J16335" s="46" t="s">
        <v>332</v>
      </c>
      <c r="K16335" s="46" t="s">
        <v>63</v>
      </c>
      <c r="L16335" s="45">
        <v>46015.604166666664</v>
      </c>
      <c r="M16335" s="46" t="s">
        <v>123</v>
      </c>
      <c r="N16335" s="45">
        <v>46015.833333333336</v>
      </c>
      <c r="O16335" s="46" t="s">
        <v>123</v>
      </c>
      <c r="P16335" s="46">
        <v>19800.0</v>
      </c>
    </row>
    <row r="16336">
      <c r="A16336" s="40">
        <f t="shared" si="1"/>
        <v>46013</v>
      </c>
      <c r="B16336" s="37" t="str">
        <f t="array" ref="B16336">iferror(xlookup($I16336, 'IMPORT VHC Report'!$E:$E, 'IMPORT VHC Report'!$A:$C), )</f>
        <v/>
      </c>
      <c r="C16336" s="44"/>
      <c r="D16336" s="44"/>
      <c r="E16336" s="46" t="s">
        <v>12532</v>
      </c>
      <c r="F16336" s="46" t="s">
        <v>3962</v>
      </c>
      <c r="G16336" s="46">
        <v>3.61726424736E11</v>
      </c>
      <c r="H16336" s="46" t="s">
        <v>3963</v>
      </c>
      <c r="I16336" s="46" t="s">
        <v>3964</v>
      </c>
      <c r="J16336" s="46" t="s">
        <v>132</v>
      </c>
      <c r="K16336" s="46" t="s">
        <v>126</v>
      </c>
      <c r="L16336" s="45">
        <v>46015.625</v>
      </c>
      <c r="M16336" s="46" t="s">
        <v>123</v>
      </c>
      <c r="N16336" s="45">
        <v>46015.666666666664</v>
      </c>
      <c r="O16336" s="46" t="s">
        <v>123</v>
      </c>
      <c r="P16336" s="46">
        <v>3600.0</v>
      </c>
    </row>
    <row r="16337">
      <c r="A16337" s="40">
        <f t="shared" si="1"/>
        <v>46013</v>
      </c>
      <c r="B16337" s="37" t="str">
        <f t="array" ref="B16337">iferror(xlookup($I16337, 'IMPORT VHC Report'!$E:$E, 'IMPORT VHC Report'!$A:$C), )</f>
        <v/>
      </c>
      <c r="C16337" s="44"/>
      <c r="D16337" s="44"/>
      <c r="E16337" s="46" t="s">
        <v>12533</v>
      </c>
      <c r="F16337" s="46" t="s">
        <v>3962</v>
      </c>
      <c r="G16337" s="46">
        <v>3.61726424736E11</v>
      </c>
      <c r="H16337" s="46" t="s">
        <v>3963</v>
      </c>
      <c r="I16337" s="46" t="s">
        <v>3964</v>
      </c>
      <c r="J16337" s="46" t="s">
        <v>136</v>
      </c>
      <c r="K16337" s="46" t="s">
        <v>126</v>
      </c>
      <c r="L16337" s="45">
        <v>46015.666666666664</v>
      </c>
      <c r="M16337" s="46" t="s">
        <v>123</v>
      </c>
      <c r="N16337" s="45">
        <v>46015.833333333336</v>
      </c>
      <c r="O16337" s="46" t="s">
        <v>123</v>
      </c>
      <c r="P16337" s="46">
        <v>14400.0</v>
      </c>
      <c r="S16337" s="46" t="s">
        <v>1098</v>
      </c>
    </row>
    <row r="16338">
      <c r="A16338" s="40">
        <f t="shared" si="1"/>
        <v>46013</v>
      </c>
      <c r="B16338" s="37" t="str">
        <f t="array" ref="B16338">iferror(xlookup($I16338, 'IMPORT VHC Report'!$E:$E, 'IMPORT VHC Report'!$A:$C), )</f>
        <v/>
      </c>
      <c r="C16338" s="44"/>
      <c r="D16338" s="44"/>
      <c r="E16338" s="46" t="s">
        <v>12534</v>
      </c>
      <c r="F16338" s="46" t="s">
        <v>3962</v>
      </c>
      <c r="G16338" s="46">
        <v>3.61726424736E11</v>
      </c>
      <c r="H16338" s="46" t="s">
        <v>3963</v>
      </c>
      <c r="I16338" s="46" t="s">
        <v>3964</v>
      </c>
      <c r="J16338" s="46" t="s">
        <v>332</v>
      </c>
      <c r="K16338" s="46" t="s">
        <v>63</v>
      </c>
      <c r="L16338" s="45">
        <v>46016.5</v>
      </c>
      <c r="M16338" s="46" t="s">
        <v>123</v>
      </c>
      <c r="N16338" s="45">
        <v>46016.875</v>
      </c>
      <c r="O16338" s="46" t="s">
        <v>123</v>
      </c>
      <c r="P16338" s="46">
        <v>32400.0</v>
      </c>
    </row>
    <row r="16339">
      <c r="A16339" s="40">
        <f t="shared" si="1"/>
        <v>46013</v>
      </c>
      <c r="B16339" s="37" t="str">
        <f t="array" ref="B16339">iferror(xlookup($I16339, 'IMPORT VHC Report'!$E:$E, 'IMPORT VHC Report'!$A:$C), )</f>
        <v/>
      </c>
      <c r="C16339" s="44"/>
      <c r="D16339" s="44"/>
      <c r="E16339" s="46" t="s">
        <v>12535</v>
      </c>
      <c r="F16339" s="46" t="s">
        <v>3962</v>
      </c>
      <c r="G16339" s="46">
        <v>3.61726424736E11</v>
      </c>
      <c r="H16339" s="46" t="s">
        <v>3963</v>
      </c>
      <c r="I16339" s="46" t="s">
        <v>3964</v>
      </c>
      <c r="J16339" s="46" t="s">
        <v>134</v>
      </c>
      <c r="K16339" s="46" t="s">
        <v>126</v>
      </c>
      <c r="L16339" s="45">
        <v>46016.8125</v>
      </c>
      <c r="M16339" s="46" t="s">
        <v>123</v>
      </c>
      <c r="N16339" s="45">
        <v>46016.833333333336</v>
      </c>
      <c r="O16339" s="46" t="s">
        <v>123</v>
      </c>
      <c r="P16339" s="46">
        <v>1800.0</v>
      </c>
    </row>
    <row r="16340">
      <c r="A16340" s="40">
        <f t="shared" si="1"/>
        <v>46013</v>
      </c>
      <c r="B16340" s="37" t="str">
        <f t="array" ref="B16340">iferror(xlookup($I16340, 'IMPORT VHC Report'!$E:$E, 'IMPORT VHC Report'!$A:$C), )</f>
        <v/>
      </c>
      <c r="C16340" s="44"/>
      <c r="D16340" s="44"/>
      <c r="E16340" s="46" t="s">
        <v>12536</v>
      </c>
      <c r="F16340" s="46" t="s">
        <v>3962</v>
      </c>
      <c r="G16340" s="46">
        <v>3.61726424736E11</v>
      </c>
      <c r="H16340" s="46" t="s">
        <v>3963</v>
      </c>
      <c r="I16340" s="46" t="s">
        <v>3964</v>
      </c>
      <c r="J16340" s="46" t="s">
        <v>132</v>
      </c>
      <c r="K16340" s="46" t="s">
        <v>126</v>
      </c>
      <c r="L16340" s="45">
        <v>46016.833333333336</v>
      </c>
      <c r="M16340" s="46" t="s">
        <v>123</v>
      </c>
      <c r="N16340" s="45">
        <v>46016.875</v>
      </c>
      <c r="O16340" s="46" t="s">
        <v>123</v>
      </c>
      <c r="P16340" s="46">
        <v>3600.0</v>
      </c>
    </row>
    <row r="16341">
      <c r="A16341" s="40">
        <f t="shared" si="1"/>
        <v>46013</v>
      </c>
      <c r="B16341" s="37" t="str">
        <f t="array" ref="B16341">iferror(xlookup($I16341, 'IMPORT VHC Report'!$E:$E, 'IMPORT VHC Report'!$A:$C), )</f>
        <v/>
      </c>
      <c r="C16341" s="44"/>
      <c r="D16341" s="44"/>
      <c r="E16341" s="46" t="s">
        <v>12537</v>
      </c>
      <c r="F16341" s="46" t="s">
        <v>3962</v>
      </c>
      <c r="G16341" s="46">
        <v>3.61726424736E11</v>
      </c>
      <c r="H16341" s="46" t="s">
        <v>3963</v>
      </c>
      <c r="I16341" s="46" t="s">
        <v>3964</v>
      </c>
      <c r="J16341" s="46" t="s">
        <v>332</v>
      </c>
      <c r="K16341" s="46" t="s">
        <v>63</v>
      </c>
      <c r="L16341" s="45">
        <v>46019.5</v>
      </c>
      <c r="M16341" s="46" t="s">
        <v>123</v>
      </c>
      <c r="N16341" s="45">
        <v>46019.875</v>
      </c>
      <c r="O16341" s="46" t="s">
        <v>123</v>
      </c>
      <c r="P16341" s="46">
        <v>32400.0</v>
      </c>
    </row>
    <row r="16342">
      <c r="A16342" s="40">
        <f t="shared" si="1"/>
        <v>46013</v>
      </c>
      <c r="B16342" s="37" t="str">
        <f t="array" ref="B16342">iferror(xlookup($I16342, 'IMPORT VHC Report'!$E:$E, 'IMPORT VHC Report'!$A:$C), )</f>
        <v/>
      </c>
      <c r="C16342" s="44"/>
      <c r="D16342" s="44"/>
      <c r="E16342" s="46" t="s">
        <v>12538</v>
      </c>
      <c r="F16342" s="46" t="s">
        <v>3962</v>
      </c>
      <c r="G16342" s="46">
        <v>3.61726424736E11</v>
      </c>
      <c r="H16342" s="46" t="s">
        <v>3963</v>
      </c>
      <c r="I16342" s="46" t="s">
        <v>3964</v>
      </c>
      <c r="J16342" s="46" t="s">
        <v>134</v>
      </c>
      <c r="K16342" s="46" t="s">
        <v>126</v>
      </c>
      <c r="L16342" s="45">
        <v>46019.8125</v>
      </c>
      <c r="M16342" s="46" t="s">
        <v>123</v>
      </c>
      <c r="N16342" s="45">
        <v>46019.833333333336</v>
      </c>
      <c r="O16342" s="46" t="s">
        <v>123</v>
      </c>
      <c r="P16342" s="46">
        <v>1800.0</v>
      </c>
    </row>
    <row r="16343">
      <c r="A16343" s="40">
        <f t="shared" si="1"/>
        <v>46013</v>
      </c>
      <c r="B16343" s="37" t="str">
        <f t="array" ref="B16343">iferror(xlookup($I16343, 'IMPORT VHC Report'!$E:$E, 'IMPORT VHC Report'!$A:$C), )</f>
        <v/>
      </c>
      <c r="C16343" s="44"/>
      <c r="D16343" s="44"/>
      <c r="E16343" s="46" t="s">
        <v>12539</v>
      </c>
      <c r="F16343" s="46" t="s">
        <v>3962</v>
      </c>
      <c r="G16343" s="46">
        <v>3.61726424736E11</v>
      </c>
      <c r="H16343" s="46" t="s">
        <v>3963</v>
      </c>
      <c r="I16343" s="46" t="s">
        <v>3964</v>
      </c>
      <c r="J16343" s="46" t="s">
        <v>132</v>
      </c>
      <c r="K16343" s="46" t="s">
        <v>126</v>
      </c>
      <c r="L16343" s="45">
        <v>46019.833333333336</v>
      </c>
      <c r="M16343" s="46" t="s">
        <v>123</v>
      </c>
      <c r="N16343" s="45">
        <v>46019.875</v>
      </c>
      <c r="O16343" s="46" t="s">
        <v>123</v>
      </c>
      <c r="P16343" s="46">
        <v>3600.0</v>
      </c>
    </row>
    <row r="16344">
      <c r="A16344" s="40">
        <f t="shared" si="1"/>
        <v>46013</v>
      </c>
      <c r="B16344" s="37" t="str">
        <f t="array" ref="B16344">iferror(xlookup($I16344, 'IMPORT VHC Report'!$E:$E, 'IMPORT VHC Report'!$A:$C), )</f>
        <v/>
      </c>
      <c r="C16344" s="44"/>
      <c r="D16344" s="44"/>
      <c r="E16344" s="46" t="s">
        <v>12540</v>
      </c>
      <c r="F16344" s="46" t="s">
        <v>6514</v>
      </c>
      <c r="G16344" s="46">
        <v>3.61725486956E11</v>
      </c>
      <c r="H16344" s="46" t="s">
        <v>6515</v>
      </c>
      <c r="I16344" s="46" t="s">
        <v>6516</v>
      </c>
      <c r="J16344" s="46" t="s">
        <v>332</v>
      </c>
      <c r="K16344" s="46" t="s">
        <v>63</v>
      </c>
      <c r="L16344" s="45">
        <v>46014.208333333336</v>
      </c>
      <c r="M16344" s="46" t="s">
        <v>123</v>
      </c>
      <c r="N16344" s="45">
        <v>46014.4375</v>
      </c>
      <c r="O16344" s="46" t="s">
        <v>123</v>
      </c>
      <c r="P16344" s="46">
        <v>19800.0</v>
      </c>
    </row>
    <row r="16345">
      <c r="A16345" s="40">
        <f t="shared" si="1"/>
        <v>46013</v>
      </c>
      <c r="B16345" s="37" t="str">
        <f t="array" ref="B16345">iferror(xlookup($I16345, 'IMPORT VHC Report'!$E:$E, 'IMPORT VHC Report'!$A:$C), )</f>
        <v/>
      </c>
      <c r="C16345" s="44"/>
      <c r="D16345" s="44"/>
      <c r="E16345" s="46" t="s">
        <v>12541</v>
      </c>
      <c r="F16345" s="46" t="s">
        <v>6514</v>
      </c>
      <c r="G16345" s="46">
        <v>3.61725486956E11</v>
      </c>
      <c r="H16345" s="46" t="s">
        <v>6515</v>
      </c>
      <c r="I16345" s="46" t="s">
        <v>6516</v>
      </c>
      <c r="J16345" s="46" t="s">
        <v>62</v>
      </c>
      <c r="K16345" s="46" t="s">
        <v>63</v>
      </c>
      <c r="L16345" s="45">
        <v>46014.4375</v>
      </c>
      <c r="M16345" s="46" t="s">
        <v>123</v>
      </c>
      <c r="N16345" s="45">
        <v>46014.541666666664</v>
      </c>
      <c r="O16345" s="46" t="s">
        <v>123</v>
      </c>
      <c r="P16345" s="46">
        <v>9000.0</v>
      </c>
    </row>
    <row r="16346">
      <c r="A16346" s="40">
        <f t="shared" si="1"/>
        <v>46013</v>
      </c>
      <c r="B16346" s="37" t="str">
        <f t="array" ref="B16346">iferror(xlookup($I16346, 'IMPORT VHC Report'!$E:$E, 'IMPORT VHC Report'!$A:$C), )</f>
        <v/>
      </c>
      <c r="C16346" s="44"/>
      <c r="D16346" s="44"/>
      <c r="E16346" s="46" t="s">
        <v>12542</v>
      </c>
      <c r="F16346" s="46" t="s">
        <v>6514</v>
      </c>
      <c r="G16346" s="46">
        <v>3.61725486956E11</v>
      </c>
      <c r="H16346" s="46" t="s">
        <v>6515</v>
      </c>
      <c r="I16346" s="46" t="s">
        <v>6516</v>
      </c>
      <c r="J16346" s="46" t="s">
        <v>134</v>
      </c>
      <c r="K16346" s="46" t="s">
        <v>126</v>
      </c>
      <c r="L16346" s="45">
        <v>46014.520833333336</v>
      </c>
      <c r="M16346" s="46" t="s">
        <v>123</v>
      </c>
      <c r="N16346" s="45">
        <v>46014.541666666664</v>
      </c>
      <c r="O16346" s="46" t="s">
        <v>123</v>
      </c>
      <c r="P16346" s="46">
        <v>1800.0</v>
      </c>
    </row>
    <row r="16347">
      <c r="A16347" s="40">
        <f t="shared" si="1"/>
        <v>46013</v>
      </c>
      <c r="B16347" s="37" t="str">
        <f t="array" ref="B16347">iferror(xlookup($I16347, 'IMPORT VHC Report'!$E:$E, 'IMPORT VHC Report'!$A:$C), )</f>
        <v/>
      </c>
      <c r="C16347" s="44"/>
      <c r="D16347" s="44"/>
      <c r="E16347" s="46" t="s">
        <v>12543</v>
      </c>
      <c r="F16347" s="46" t="s">
        <v>6514</v>
      </c>
      <c r="G16347" s="46">
        <v>3.61725486956E11</v>
      </c>
      <c r="H16347" s="46" t="s">
        <v>6515</v>
      </c>
      <c r="I16347" s="46" t="s">
        <v>6516</v>
      </c>
      <c r="J16347" s="46" t="s">
        <v>332</v>
      </c>
      <c r="K16347" s="46" t="s">
        <v>63</v>
      </c>
      <c r="L16347" s="45">
        <v>46014.520833333336</v>
      </c>
      <c r="M16347" s="46" t="s">
        <v>123</v>
      </c>
      <c r="N16347" s="45">
        <v>46014.583333333336</v>
      </c>
      <c r="O16347" s="46" t="s">
        <v>123</v>
      </c>
      <c r="P16347" s="46">
        <v>5400.0</v>
      </c>
    </row>
    <row r="16348">
      <c r="A16348" s="40">
        <f t="shared" si="1"/>
        <v>46013</v>
      </c>
      <c r="B16348" s="37" t="str">
        <f t="array" ref="B16348">iferror(xlookup($I16348, 'IMPORT VHC Report'!$E:$E, 'IMPORT VHC Report'!$A:$C), )</f>
        <v/>
      </c>
      <c r="C16348" s="44"/>
      <c r="D16348" s="44"/>
      <c r="E16348" s="46" t="s">
        <v>12544</v>
      </c>
      <c r="F16348" s="46" t="s">
        <v>6514</v>
      </c>
      <c r="G16348" s="46">
        <v>3.61725486956E11</v>
      </c>
      <c r="H16348" s="46" t="s">
        <v>6515</v>
      </c>
      <c r="I16348" s="46" t="s">
        <v>6516</v>
      </c>
      <c r="J16348" s="46" t="s">
        <v>132</v>
      </c>
      <c r="K16348" s="46" t="s">
        <v>126</v>
      </c>
      <c r="L16348" s="45">
        <v>46014.541666666664</v>
      </c>
      <c r="M16348" s="46" t="s">
        <v>123</v>
      </c>
      <c r="N16348" s="45">
        <v>46014.583333333336</v>
      </c>
      <c r="O16348" s="46" t="s">
        <v>123</v>
      </c>
      <c r="P16348" s="46">
        <v>3600.0</v>
      </c>
    </row>
    <row r="16349">
      <c r="A16349" s="40">
        <f t="shared" si="1"/>
        <v>46013</v>
      </c>
      <c r="B16349" s="37" t="str">
        <f t="array" ref="B16349">iferror(xlookup($I16349, 'IMPORT VHC Report'!$E:$E, 'IMPORT VHC Report'!$A:$C), )</f>
        <v/>
      </c>
      <c r="C16349" s="44"/>
      <c r="D16349" s="44"/>
      <c r="E16349" s="46" t="s">
        <v>12545</v>
      </c>
      <c r="F16349" s="46" t="s">
        <v>6514</v>
      </c>
      <c r="G16349" s="46">
        <v>3.61725486956E11</v>
      </c>
      <c r="H16349" s="46" t="s">
        <v>6515</v>
      </c>
      <c r="I16349" s="46" t="s">
        <v>6516</v>
      </c>
      <c r="J16349" s="46" t="s">
        <v>134</v>
      </c>
      <c r="K16349" s="46" t="s">
        <v>126</v>
      </c>
      <c r="L16349" s="45">
        <v>46015.458333333336</v>
      </c>
      <c r="M16349" s="46" t="s">
        <v>123</v>
      </c>
      <c r="N16349" s="45">
        <v>46015.479166666664</v>
      </c>
      <c r="O16349" s="46" t="s">
        <v>123</v>
      </c>
      <c r="P16349" s="46">
        <v>1800.0</v>
      </c>
    </row>
    <row r="16350">
      <c r="A16350" s="40">
        <f t="shared" si="1"/>
        <v>46013</v>
      </c>
      <c r="B16350" s="37" t="str">
        <f t="array" ref="B16350">iferror(xlookup($I16350, 'IMPORT VHC Report'!$E:$E, 'IMPORT VHC Report'!$A:$C), )</f>
        <v/>
      </c>
      <c r="C16350" s="44"/>
      <c r="D16350" s="44"/>
      <c r="E16350" s="46" t="s">
        <v>12546</v>
      </c>
      <c r="F16350" s="46" t="s">
        <v>6514</v>
      </c>
      <c r="G16350" s="46">
        <v>3.61725486956E11</v>
      </c>
      <c r="H16350" s="46" t="s">
        <v>6515</v>
      </c>
      <c r="I16350" s="46" t="s">
        <v>6516</v>
      </c>
      <c r="J16350" s="46" t="s">
        <v>332</v>
      </c>
      <c r="K16350" s="46" t="s">
        <v>63</v>
      </c>
      <c r="L16350" s="45">
        <v>46015.458333333336</v>
      </c>
      <c r="M16350" s="46" t="s">
        <v>123</v>
      </c>
      <c r="N16350" s="45">
        <v>46015.833333333336</v>
      </c>
      <c r="O16350" s="46" t="s">
        <v>123</v>
      </c>
      <c r="P16350" s="46">
        <v>32400.0</v>
      </c>
    </row>
    <row r="16351">
      <c r="A16351" s="40">
        <f t="shared" si="1"/>
        <v>46013</v>
      </c>
      <c r="B16351" s="37" t="str">
        <f t="array" ref="B16351">iferror(xlookup($I16351, 'IMPORT VHC Report'!$E:$E, 'IMPORT VHC Report'!$A:$C), )</f>
        <v/>
      </c>
      <c r="C16351" s="44"/>
      <c r="D16351" s="44"/>
      <c r="E16351" s="46" t="s">
        <v>12547</v>
      </c>
      <c r="F16351" s="46" t="s">
        <v>6514</v>
      </c>
      <c r="G16351" s="46">
        <v>3.61725486956E11</v>
      </c>
      <c r="H16351" s="46" t="s">
        <v>6515</v>
      </c>
      <c r="I16351" s="46" t="s">
        <v>6516</v>
      </c>
      <c r="J16351" s="46" t="s">
        <v>132</v>
      </c>
      <c r="K16351" s="46" t="s">
        <v>126</v>
      </c>
      <c r="L16351" s="45">
        <v>46015.479166666664</v>
      </c>
      <c r="M16351" s="46" t="s">
        <v>123</v>
      </c>
      <c r="N16351" s="45">
        <v>46015.520833333336</v>
      </c>
      <c r="O16351" s="46" t="s">
        <v>123</v>
      </c>
      <c r="P16351" s="46">
        <v>3600.0</v>
      </c>
    </row>
    <row r="16352">
      <c r="A16352" s="40">
        <f t="shared" si="1"/>
        <v>46013</v>
      </c>
      <c r="B16352" s="37" t="str">
        <f t="array" ref="B16352">iferror(xlookup($I16352, 'IMPORT VHC Report'!$E:$E, 'IMPORT VHC Report'!$A:$C), )</f>
        <v/>
      </c>
      <c r="C16352" s="44"/>
      <c r="D16352" s="44"/>
      <c r="E16352" s="46" t="s">
        <v>12548</v>
      </c>
      <c r="F16352" s="46" t="s">
        <v>6514</v>
      </c>
      <c r="G16352" s="46">
        <v>3.61725486956E11</v>
      </c>
      <c r="H16352" s="46" t="s">
        <v>6515</v>
      </c>
      <c r="I16352" s="46" t="s">
        <v>6516</v>
      </c>
      <c r="J16352" s="46" t="s">
        <v>136</v>
      </c>
      <c r="K16352" s="46" t="s">
        <v>126</v>
      </c>
      <c r="L16352" s="45">
        <v>46015.666666666664</v>
      </c>
      <c r="M16352" s="46" t="s">
        <v>123</v>
      </c>
      <c r="N16352" s="45">
        <v>46015.833333333336</v>
      </c>
      <c r="O16352" s="46" t="s">
        <v>123</v>
      </c>
      <c r="P16352" s="46">
        <v>14400.0</v>
      </c>
      <c r="S16352" s="46" t="s">
        <v>1098</v>
      </c>
    </row>
    <row r="16353">
      <c r="A16353" s="40">
        <f t="shared" si="1"/>
        <v>46013</v>
      </c>
      <c r="B16353" s="37" t="str">
        <f t="array" ref="B16353">iferror(xlookup($I16353, 'IMPORT VHC Report'!$E:$E, 'IMPORT VHC Report'!$A:$C), )</f>
        <v/>
      </c>
      <c r="C16353" s="44"/>
      <c r="D16353" s="44"/>
      <c r="E16353" s="46" t="s">
        <v>12549</v>
      </c>
      <c r="F16353" s="46" t="s">
        <v>6514</v>
      </c>
      <c r="G16353" s="46">
        <v>3.61725486956E11</v>
      </c>
      <c r="H16353" s="46" t="s">
        <v>6515</v>
      </c>
      <c r="I16353" s="46" t="s">
        <v>6516</v>
      </c>
      <c r="J16353" s="46" t="s">
        <v>332</v>
      </c>
      <c r="K16353" s="46" t="s">
        <v>63</v>
      </c>
      <c r="L16353" s="45">
        <v>46016.333333333336</v>
      </c>
      <c r="M16353" s="46" t="s">
        <v>123</v>
      </c>
      <c r="N16353" s="45">
        <v>46016.708333333336</v>
      </c>
      <c r="O16353" s="46" t="s">
        <v>123</v>
      </c>
      <c r="P16353" s="46">
        <v>32400.0</v>
      </c>
    </row>
    <row r="16354">
      <c r="A16354" s="40">
        <f t="shared" si="1"/>
        <v>46013</v>
      </c>
      <c r="B16354" s="37" t="str">
        <f t="array" ref="B16354">iferror(xlookup($I16354, 'IMPORT VHC Report'!$E:$E, 'IMPORT VHC Report'!$A:$C), )</f>
        <v/>
      </c>
      <c r="C16354" s="44"/>
      <c r="D16354" s="44"/>
      <c r="E16354" s="46" t="s">
        <v>12550</v>
      </c>
      <c r="F16354" s="46" t="s">
        <v>6514</v>
      </c>
      <c r="G16354" s="46">
        <v>3.61725486956E11</v>
      </c>
      <c r="H16354" s="46" t="s">
        <v>6515</v>
      </c>
      <c r="I16354" s="46" t="s">
        <v>6516</v>
      </c>
      <c r="J16354" s="46" t="s">
        <v>134</v>
      </c>
      <c r="K16354" s="46" t="s">
        <v>126</v>
      </c>
      <c r="L16354" s="45">
        <v>46016.645833333336</v>
      </c>
      <c r="M16354" s="46" t="s">
        <v>123</v>
      </c>
      <c r="N16354" s="45">
        <v>46016.666666666664</v>
      </c>
      <c r="O16354" s="46" t="s">
        <v>123</v>
      </c>
      <c r="P16354" s="46">
        <v>1800.0</v>
      </c>
    </row>
    <row r="16355">
      <c r="A16355" s="40">
        <f t="shared" si="1"/>
        <v>46013</v>
      </c>
      <c r="B16355" s="37" t="str">
        <f t="array" ref="B16355">iferror(xlookup($I16355, 'IMPORT VHC Report'!$E:$E, 'IMPORT VHC Report'!$A:$C), )</f>
        <v/>
      </c>
      <c r="C16355" s="44"/>
      <c r="D16355" s="44"/>
      <c r="E16355" s="46" t="s">
        <v>12551</v>
      </c>
      <c r="F16355" s="46" t="s">
        <v>6514</v>
      </c>
      <c r="G16355" s="46">
        <v>3.61725486956E11</v>
      </c>
      <c r="H16355" s="46" t="s">
        <v>6515</v>
      </c>
      <c r="I16355" s="46" t="s">
        <v>6516</v>
      </c>
      <c r="J16355" s="46" t="s">
        <v>132</v>
      </c>
      <c r="K16355" s="46" t="s">
        <v>126</v>
      </c>
      <c r="L16355" s="45">
        <v>46016.666666666664</v>
      </c>
      <c r="M16355" s="46" t="s">
        <v>123</v>
      </c>
      <c r="N16355" s="45">
        <v>46016.708333333336</v>
      </c>
      <c r="O16355" s="46" t="s">
        <v>123</v>
      </c>
      <c r="P16355" s="46">
        <v>3600.0</v>
      </c>
    </row>
    <row r="16356">
      <c r="A16356" s="40">
        <f t="shared" si="1"/>
        <v>46013</v>
      </c>
      <c r="B16356" s="37" t="str">
        <f t="array" ref="B16356">iferror(xlookup($I16356, 'IMPORT VHC Report'!$E:$E, 'IMPORT VHC Report'!$A:$C), )</f>
        <v/>
      </c>
      <c r="C16356" s="44"/>
      <c r="D16356" s="44"/>
      <c r="E16356" s="46" t="s">
        <v>12552</v>
      </c>
      <c r="F16356" s="46" t="s">
        <v>6514</v>
      </c>
      <c r="G16356" s="46">
        <v>3.61725486956E11</v>
      </c>
      <c r="H16356" s="46" t="s">
        <v>6515</v>
      </c>
      <c r="I16356" s="46" t="s">
        <v>6516</v>
      </c>
      <c r="J16356" s="46" t="s">
        <v>332</v>
      </c>
      <c r="K16356" s="46" t="s">
        <v>63</v>
      </c>
      <c r="L16356" s="45">
        <v>46017.208333333336</v>
      </c>
      <c r="M16356" s="46" t="s">
        <v>123</v>
      </c>
      <c r="N16356" s="45">
        <v>46017.583333333336</v>
      </c>
      <c r="O16356" s="46" t="s">
        <v>123</v>
      </c>
      <c r="P16356" s="46">
        <v>32400.0</v>
      </c>
    </row>
    <row r="16357">
      <c r="A16357" s="40">
        <f t="shared" si="1"/>
        <v>46013</v>
      </c>
      <c r="B16357" s="37" t="str">
        <f t="array" ref="B16357">iferror(xlookup($I16357, 'IMPORT VHC Report'!$E:$E, 'IMPORT VHC Report'!$A:$C), )</f>
        <v/>
      </c>
      <c r="C16357" s="44"/>
      <c r="D16357" s="44"/>
      <c r="E16357" s="46" t="s">
        <v>12553</v>
      </c>
      <c r="F16357" s="46" t="s">
        <v>6514</v>
      </c>
      <c r="G16357" s="46">
        <v>3.61725486956E11</v>
      </c>
      <c r="H16357" s="46" t="s">
        <v>6515</v>
      </c>
      <c r="I16357" s="46" t="s">
        <v>6516</v>
      </c>
      <c r="J16357" s="46" t="s">
        <v>134</v>
      </c>
      <c r="K16357" s="46" t="s">
        <v>126</v>
      </c>
      <c r="L16357" s="45">
        <v>46017.520833333336</v>
      </c>
      <c r="M16357" s="46" t="s">
        <v>123</v>
      </c>
      <c r="N16357" s="45">
        <v>46017.541666666664</v>
      </c>
      <c r="O16357" s="46" t="s">
        <v>123</v>
      </c>
      <c r="P16357" s="46">
        <v>1800.0</v>
      </c>
    </row>
    <row r="16358">
      <c r="A16358" s="40">
        <f t="shared" si="1"/>
        <v>46013</v>
      </c>
      <c r="B16358" s="37" t="str">
        <f t="array" ref="B16358">iferror(xlookup($I16358, 'IMPORT VHC Report'!$E:$E, 'IMPORT VHC Report'!$A:$C), )</f>
        <v/>
      </c>
      <c r="C16358" s="44"/>
      <c r="D16358" s="44"/>
      <c r="E16358" s="46" t="s">
        <v>12554</v>
      </c>
      <c r="F16358" s="46" t="s">
        <v>6514</v>
      </c>
      <c r="G16358" s="46">
        <v>3.61725486956E11</v>
      </c>
      <c r="H16358" s="46" t="s">
        <v>6515</v>
      </c>
      <c r="I16358" s="46" t="s">
        <v>6516</v>
      </c>
      <c r="J16358" s="46" t="s">
        <v>132</v>
      </c>
      <c r="K16358" s="46" t="s">
        <v>126</v>
      </c>
      <c r="L16358" s="45">
        <v>46017.541666666664</v>
      </c>
      <c r="M16358" s="46" t="s">
        <v>123</v>
      </c>
      <c r="N16358" s="45">
        <v>46017.583333333336</v>
      </c>
      <c r="O16358" s="46" t="s">
        <v>123</v>
      </c>
      <c r="P16358" s="46">
        <v>3600.0</v>
      </c>
    </row>
    <row r="16359">
      <c r="A16359" s="40">
        <f t="shared" si="1"/>
        <v>46013</v>
      </c>
      <c r="B16359" s="37" t="str">
        <f t="array" ref="B16359">iferror(xlookup($I16359, 'IMPORT VHC Report'!$E:$E, 'IMPORT VHC Report'!$A:$C), )</f>
        <v/>
      </c>
      <c r="C16359" s="44"/>
      <c r="D16359" s="44"/>
      <c r="E16359" s="46" t="s">
        <v>12555</v>
      </c>
      <c r="F16359" s="46" t="s">
        <v>6514</v>
      </c>
      <c r="G16359" s="46">
        <v>3.61725486956E11</v>
      </c>
      <c r="H16359" s="46" t="s">
        <v>6515</v>
      </c>
      <c r="I16359" s="46" t="s">
        <v>6516</v>
      </c>
      <c r="J16359" s="46" t="s">
        <v>332</v>
      </c>
      <c r="K16359" s="46" t="s">
        <v>63</v>
      </c>
      <c r="L16359" s="45">
        <v>46018.208333333336</v>
      </c>
      <c r="M16359" s="46" t="s">
        <v>123</v>
      </c>
      <c r="N16359" s="45">
        <v>46018.583333333336</v>
      </c>
      <c r="O16359" s="46" t="s">
        <v>123</v>
      </c>
      <c r="P16359" s="46">
        <v>32400.0</v>
      </c>
    </row>
    <row r="16360">
      <c r="A16360" s="40">
        <f t="shared" si="1"/>
        <v>46013</v>
      </c>
      <c r="B16360" s="37" t="str">
        <f t="array" ref="B16360">iferror(xlookup($I16360, 'IMPORT VHC Report'!$E:$E, 'IMPORT VHC Report'!$A:$C), )</f>
        <v/>
      </c>
      <c r="C16360" s="44"/>
      <c r="D16360" s="44"/>
      <c r="E16360" s="46" t="s">
        <v>12556</v>
      </c>
      <c r="F16360" s="46" t="s">
        <v>6514</v>
      </c>
      <c r="G16360" s="46">
        <v>3.61725486956E11</v>
      </c>
      <c r="H16360" s="46" t="s">
        <v>6515</v>
      </c>
      <c r="I16360" s="46" t="s">
        <v>6516</v>
      </c>
      <c r="J16360" s="46" t="s">
        <v>134</v>
      </c>
      <c r="K16360" s="46" t="s">
        <v>126</v>
      </c>
      <c r="L16360" s="45">
        <v>46018.520833333336</v>
      </c>
      <c r="M16360" s="46" t="s">
        <v>123</v>
      </c>
      <c r="N16360" s="45">
        <v>46018.541666666664</v>
      </c>
      <c r="O16360" s="46" t="s">
        <v>123</v>
      </c>
      <c r="P16360" s="46">
        <v>1800.0</v>
      </c>
    </row>
    <row r="16361">
      <c r="A16361" s="40">
        <f t="shared" si="1"/>
        <v>46013</v>
      </c>
      <c r="B16361" s="37" t="str">
        <f t="array" ref="B16361">iferror(xlookup($I16361, 'IMPORT VHC Report'!$E:$E, 'IMPORT VHC Report'!$A:$C), )</f>
        <v/>
      </c>
      <c r="C16361" s="44"/>
      <c r="D16361" s="44"/>
      <c r="E16361" s="46" t="s">
        <v>12557</v>
      </c>
      <c r="F16361" s="46" t="s">
        <v>6514</v>
      </c>
      <c r="G16361" s="46">
        <v>3.61725486956E11</v>
      </c>
      <c r="H16361" s="46" t="s">
        <v>6515</v>
      </c>
      <c r="I16361" s="46" t="s">
        <v>6516</v>
      </c>
      <c r="J16361" s="46" t="s">
        <v>132</v>
      </c>
      <c r="K16361" s="46" t="s">
        <v>126</v>
      </c>
      <c r="L16361" s="45">
        <v>46018.541666666664</v>
      </c>
      <c r="M16361" s="46" t="s">
        <v>123</v>
      </c>
      <c r="N16361" s="45">
        <v>46018.583333333336</v>
      </c>
      <c r="O16361" s="46" t="s">
        <v>123</v>
      </c>
      <c r="P16361" s="46">
        <v>3600.0</v>
      </c>
    </row>
    <row r="16362">
      <c r="A16362" s="40">
        <f t="shared" si="1"/>
        <v>46013</v>
      </c>
      <c r="B16362" s="37" t="str">
        <f t="array" ref="B16362">iferror(xlookup($I16362, 'IMPORT VHC Report'!$E:$E, 'IMPORT VHC Report'!$A:$C), )</f>
        <v/>
      </c>
      <c r="C16362" s="44"/>
      <c r="D16362" s="44"/>
      <c r="E16362" s="46" t="s">
        <v>12558</v>
      </c>
      <c r="F16362" s="46" t="s">
        <v>6808</v>
      </c>
      <c r="G16362" s="46">
        <v>3.61694632195E11</v>
      </c>
      <c r="H16362" s="46" t="s">
        <v>6809</v>
      </c>
      <c r="I16362" s="46" t="s">
        <v>6810</v>
      </c>
      <c r="J16362" s="46" t="s">
        <v>332</v>
      </c>
      <c r="K16362" s="46" t="s">
        <v>63</v>
      </c>
      <c r="L16362" s="45">
        <v>46014.375</v>
      </c>
      <c r="M16362" s="46" t="s">
        <v>123</v>
      </c>
      <c r="N16362" s="45">
        <v>46014.75</v>
      </c>
      <c r="O16362" s="46" t="s">
        <v>123</v>
      </c>
      <c r="P16362" s="46">
        <v>32400.0</v>
      </c>
    </row>
    <row r="16363">
      <c r="A16363" s="40">
        <f t="shared" si="1"/>
        <v>46013</v>
      </c>
      <c r="B16363" s="37" t="str">
        <f t="array" ref="B16363">iferror(xlookup($I16363, 'IMPORT VHC Report'!$E:$E, 'IMPORT VHC Report'!$A:$C), )</f>
        <v/>
      </c>
      <c r="C16363" s="44"/>
      <c r="D16363" s="44"/>
      <c r="E16363" s="46" t="s">
        <v>12559</v>
      </c>
      <c r="F16363" s="46" t="s">
        <v>6808</v>
      </c>
      <c r="G16363" s="46">
        <v>3.61694632195E11</v>
      </c>
      <c r="H16363" s="46" t="s">
        <v>6809</v>
      </c>
      <c r="I16363" s="46" t="s">
        <v>6810</v>
      </c>
      <c r="J16363" s="46" t="s">
        <v>134</v>
      </c>
      <c r="K16363" s="46" t="s">
        <v>126</v>
      </c>
      <c r="L16363" s="45">
        <v>46014.6875</v>
      </c>
      <c r="M16363" s="46" t="s">
        <v>123</v>
      </c>
      <c r="N16363" s="45">
        <v>46014.708333333336</v>
      </c>
      <c r="O16363" s="46" t="s">
        <v>123</v>
      </c>
      <c r="P16363" s="46">
        <v>1800.0</v>
      </c>
    </row>
    <row r="16364">
      <c r="A16364" s="40">
        <f t="shared" si="1"/>
        <v>46013</v>
      </c>
      <c r="B16364" s="37" t="str">
        <f t="array" ref="B16364">iferror(xlookup($I16364, 'IMPORT VHC Report'!$E:$E, 'IMPORT VHC Report'!$A:$C), )</f>
        <v/>
      </c>
      <c r="C16364" s="44"/>
      <c r="D16364" s="44"/>
      <c r="E16364" s="46" t="s">
        <v>12560</v>
      </c>
      <c r="F16364" s="46" t="s">
        <v>6808</v>
      </c>
      <c r="G16364" s="46">
        <v>3.61694632195E11</v>
      </c>
      <c r="H16364" s="46" t="s">
        <v>6809</v>
      </c>
      <c r="I16364" s="46" t="s">
        <v>6810</v>
      </c>
      <c r="J16364" s="46" t="s">
        <v>132</v>
      </c>
      <c r="K16364" s="46" t="s">
        <v>126</v>
      </c>
      <c r="L16364" s="45">
        <v>46014.708333333336</v>
      </c>
      <c r="M16364" s="46" t="s">
        <v>123</v>
      </c>
      <c r="N16364" s="45">
        <v>46014.75</v>
      </c>
      <c r="O16364" s="46" t="s">
        <v>123</v>
      </c>
      <c r="P16364" s="46">
        <v>3600.0</v>
      </c>
    </row>
    <row r="16365">
      <c r="A16365" s="40">
        <f t="shared" si="1"/>
        <v>46013</v>
      </c>
      <c r="B16365" s="37" t="str">
        <f t="array" ref="B16365">iferror(xlookup($I16365, 'IMPORT VHC Report'!$E:$E, 'IMPORT VHC Report'!$A:$C), )</f>
        <v/>
      </c>
      <c r="C16365" s="44"/>
      <c r="D16365" s="44"/>
      <c r="E16365" s="46" t="s">
        <v>12561</v>
      </c>
      <c r="F16365" s="46" t="s">
        <v>6808</v>
      </c>
      <c r="G16365" s="46">
        <v>3.61694632195E11</v>
      </c>
      <c r="H16365" s="46" t="s">
        <v>6809</v>
      </c>
      <c r="I16365" s="46" t="s">
        <v>6810</v>
      </c>
      <c r="J16365" s="46" t="s">
        <v>332</v>
      </c>
      <c r="K16365" s="46" t="s">
        <v>63</v>
      </c>
      <c r="L16365" s="45">
        <v>46015.458333333336</v>
      </c>
      <c r="M16365" s="46" t="s">
        <v>123</v>
      </c>
      <c r="N16365" s="45">
        <v>46015.833333333336</v>
      </c>
      <c r="O16365" s="46" t="s">
        <v>123</v>
      </c>
      <c r="P16365" s="46">
        <v>32400.0</v>
      </c>
    </row>
    <row r="16366">
      <c r="A16366" s="40">
        <f t="shared" si="1"/>
        <v>46013</v>
      </c>
      <c r="B16366" s="37" t="str">
        <f t="array" ref="B16366">iferror(xlookup($I16366, 'IMPORT VHC Report'!$E:$E, 'IMPORT VHC Report'!$A:$C), )</f>
        <v/>
      </c>
      <c r="C16366" s="44"/>
      <c r="D16366" s="44"/>
      <c r="E16366" s="46" t="s">
        <v>12562</v>
      </c>
      <c r="F16366" s="46" t="s">
        <v>6808</v>
      </c>
      <c r="G16366" s="46">
        <v>3.61694632195E11</v>
      </c>
      <c r="H16366" s="46" t="s">
        <v>6809</v>
      </c>
      <c r="I16366" s="46" t="s">
        <v>6810</v>
      </c>
      <c r="J16366" s="46" t="s">
        <v>134</v>
      </c>
      <c r="K16366" s="46" t="s">
        <v>126</v>
      </c>
      <c r="L16366" s="45">
        <v>46015.604166666664</v>
      </c>
      <c r="M16366" s="46" t="s">
        <v>123</v>
      </c>
      <c r="N16366" s="45">
        <v>46015.625</v>
      </c>
      <c r="O16366" s="46" t="s">
        <v>123</v>
      </c>
      <c r="P16366" s="46">
        <v>1800.0</v>
      </c>
    </row>
    <row r="16367">
      <c r="A16367" s="40">
        <f t="shared" si="1"/>
        <v>46013</v>
      </c>
      <c r="B16367" s="37" t="str">
        <f t="array" ref="B16367">iferror(xlookup($I16367, 'IMPORT VHC Report'!$E:$E, 'IMPORT VHC Report'!$A:$C), )</f>
        <v/>
      </c>
      <c r="C16367" s="44"/>
      <c r="D16367" s="44"/>
      <c r="E16367" s="46" t="s">
        <v>12563</v>
      </c>
      <c r="F16367" s="46" t="s">
        <v>6808</v>
      </c>
      <c r="G16367" s="46">
        <v>3.61694632195E11</v>
      </c>
      <c r="H16367" s="46" t="s">
        <v>6809</v>
      </c>
      <c r="I16367" s="46" t="s">
        <v>6810</v>
      </c>
      <c r="J16367" s="46" t="s">
        <v>132</v>
      </c>
      <c r="K16367" s="46" t="s">
        <v>126</v>
      </c>
      <c r="L16367" s="45">
        <v>46015.625</v>
      </c>
      <c r="M16367" s="46" t="s">
        <v>123</v>
      </c>
      <c r="N16367" s="45">
        <v>46015.666666666664</v>
      </c>
      <c r="O16367" s="46" t="s">
        <v>123</v>
      </c>
      <c r="P16367" s="46">
        <v>3600.0</v>
      </c>
    </row>
    <row r="16368">
      <c r="A16368" s="40">
        <f t="shared" si="1"/>
        <v>46013</v>
      </c>
      <c r="B16368" s="37" t="str">
        <f t="array" ref="B16368">iferror(xlookup($I16368, 'IMPORT VHC Report'!$E:$E, 'IMPORT VHC Report'!$A:$C), )</f>
        <v/>
      </c>
      <c r="C16368" s="44"/>
      <c r="D16368" s="44"/>
      <c r="E16368" s="46" t="s">
        <v>12564</v>
      </c>
      <c r="F16368" s="46" t="s">
        <v>6808</v>
      </c>
      <c r="G16368" s="46">
        <v>3.61694632195E11</v>
      </c>
      <c r="H16368" s="46" t="s">
        <v>6809</v>
      </c>
      <c r="I16368" s="46" t="s">
        <v>6810</v>
      </c>
      <c r="J16368" s="46" t="s">
        <v>136</v>
      </c>
      <c r="K16368" s="46" t="s">
        <v>126</v>
      </c>
      <c r="L16368" s="45">
        <v>46015.666666666664</v>
      </c>
      <c r="M16368" s="46" t="s">
        <v>123</v>
      </c>
      <c r="N16368" s="45">
        <v>46015.833333333336</v>
      </c>
      <c r="O16368" s="46" t="s">
        <v>123</v>
      </c>
      <c r="P16368" s="46">
        <v>14400.0</v>
      </c>
      <c r="S16368" s="46" t="s">
        <v>1098</v>
      </c>
    </row>
    <row r="16369">
      <c r="A16369" s="40">
        <f t="shared" si="1"/>
        <v>46013</v>
      </c>
      <c r="B16369" s="37" t="str">
        <f t="array" ref="B16369">iferror(xlookup($I16369, 'IMPORT VHC Report'!$E:$E, 'IMPORT VHC Report'!$A:$C), )</f>
        <v/>
      </c>
      <c r="C16369" s="44"/>
      <c r="D16369" s="44"/>
      <c r="E16369" s="46" t="s">
        <v>12565</v>
      </c>
      <c r="F16369" s="46" t="s">
        <v>6808</v>
      </c>
      <c r="G16369" s="46">
        <v>3.61694632195E11</v>
      </c>
      <c r="H16369" s="46" t="s">
        <v>6809</v>
      </c>
      <c r="I16369" s="46" t="s">
        <v>6810</v>
      </c>
      <c r="J16369" s="46" t="s">
        <v>332</v>
      </c>
      <c r="K16369" s="46" t="s">
        <v>63</v>
      </c>
      <c r="L16369" s="45">
        <v>46016.375</v>
      </c>
      <c r="M16369" s="46" t="s">
        <v>123</v>
      </c>
      <c r="N16369" s="45">
        <v>46016.541666666664</v>
      </c>
      <c r="O16369" s="46" t="s">
        <v>123</v>
      </c>
      <c r="P16369" s="46">
        <v>14400.0</v>
      </c>
    </row>
    <row r="16370">
      <c r="A16370" s="40">
        <f t="shared" si="1"/>
        <v>46013</v>
      </c>
      <c r="B16370" s="37" t="str">
        <f t="array" ref="B16370">iferror(xlookup($I16370, 'IMPORT VHC Report'!$E:$E, 'IMPORT VHC Report'!$A:$C), )</f>
        <v/>
      </c>
      <c r="C16370" s="44"/>
      <c r="D16370" s="44"/>
      <c r="E16370" s="46" t="s">
        <v>12566</v>
      </c>
      <c r="F16370" s="46" t="s">
        <v>6808</v>
      </c>
      <c r="G16370" s="46">
        <v>3.61694632195E11</v>
      </c>
      <c r="H16370" s="46" t="s">
        <v>6809</v>
      </c>
      <c r="I16370" s="46" t="s">
        <v>6810</v>
      </c>
      <c r="J16370" s="46" t="s">
        <v>62</v>
      </c>
      <c r="K16370" s="46" t="s">
        <v>63</v>
      </c>
      <c r="L16370" s="45">
        <v>46016.541666666664</v>
      </c>
      <c r="M16370" s="46" t="s">
        <v>123</v>
      </c>
      <c r="N16370" s="45">
        <v>46016.625</v>
      </c>
      <c r="O16370" s="46" t="s">
        <v>123</v>
      </c>
      <c r="P16370" s="46">
        <v>7200.0</v>
      </c>
    </row>
    <row r="16371">
      <c r="A16371" s="40">
        <f t="shared" si="1"/>
        <v>46013</v>
      </c>
      <c r="B16371" s="37" t="str">
        <f t="array" ref="B16371">iferror(xlookup($I16371, 'IMPORT VHC Report'!$E:$E, 'IMPORT VHC Report'!$A:$C), )</f>
        <v/>
      </c>
      <c r="C16371" s="44"/>
      <c r="D16371" s="44"/>
      <c r="E16371" s="46" t="s">
        <v>12567</v>
      </c>
      <c r="F16371" s="46" t="s">
        <v>6808</v>
      </c>
      <c r="G16371" s="46">
        <v>3.61694632195E11</v>
      </c>
      <c r="H16371" s="46" t="s">
        <v>6809</v>
      </c>
      <c r="I16371" s="46" t="s">
        <v>6810</v>
      </c>
      <c r="J16371" s="46" t="s">
        <v>332</v>
      </c>
      <c r="K16371" s="46" t="s">
        <v>63</v>
      </c>
      <c r="L16371" s="45">
        <v>46016.625</v>
      </c>
      <c r="M16371" s="46" t="s">
        <v>123</v>
      </c>
      <c r="N16371" s="45">
        <v>46016.75</v>
      </c>
      <c r="O16371" s="46" t="s">
        <v>123</v>
      </c>
      <c r="P16371" s="46">
        <v>10800.0</v>
      </c>
    </row>
    <row r="16372">
      <c r="A16372" s="40">
        <f t="shared" si="1"/>
        <v>46013</v>
      </c>
      <c r="B16372" s="37" t="str">
        <f t="array" ref="B16372">iferror(xlookup($I16372, 'IMPORT VHC Report'!$E:$E, 'IMPORT VHC Report'!$A:$C), )</f>
        <v/>
      </c>
      <c r="C16372" s="44"/>
      <c r="D16372" s="44"/>
      <c r="E16372" s="46" t="s">
        <v>12568</v>
      </c>
      <c r="F16372" s="46" t="s">
        <v>6808</v>
      </c>
      <c r="G16372" s="46">
        <v>3.61694632195E11</v>
      </c>
      <c r="H16372" s="46" t="s">
        <v>6809</v>
      </c>
      <c r="I16372" s="46" t="s">
        <v>6810</v>
      </c>
      <c r="J16372" s="46" t="s">
        <v>134</v>
      </c>
      <c r="K16372" s="46" t="s">
        <v>126</v>
      </c>
      <c r="L16372" s="45">
        <v>46016.6875</v>
      </c>
      <c r="M16372" s="46" t="s">
        <v>123</v>
      </c>
      <c r="N16372" s="45">
        <v>46016.708333333336</v>
      </c>
      <c r="O16372" s="46" t="s">
        <v>123</v>
      </c>
      <c r="P16372" s="46">
        <v>1800.0</v>
      </c>
    </row>
    <row r="16373">
      <c r="A16373" s="40">
        <f t="shared" si="1"/>
        <v>46013</v>
      </c>
      <c r="B16373" s="37" t="str">
        <f t="array" ref="B16373">iferror(xlookup($I16373, 'IMPORT VHC Report'!$E:$E, 'IMPORT VHC Report'!$A:$C), )</f>
        <v/>
      </c>
      <c r="C16373" s="44"/>
      <c r="D16373" s="44"/>
      <c r="E16373" s="46" t="s">
        <v>12569</v>
      </c>
      <c r="F16373" s="46" t="s">
        <v>6808</v>
      </c>
      <c r="G16373" s="46">
        <v>3.61694632195E11</v>
      </c>
      <c r="H16373" s="46" t="s">
        <v>6809</v>
      </c>
      <c r="I16373" s="46" t="s">
        <v>6810</v>
      </c>
      <c r="J16373" s="46" t="s">
        <v>132</v>
      </c>
      <c r="K16373" s="46" t="s">
        <v>126</v>
      </c>
      <c r="L16373" s="45">
        <v>46016.708333333336</v>
      </c>
      <c r="M16373" s="46" t="s">
        <v>123</v>
      </c>
      <c r="N16373" s="45">
        <v>46016.75</v>
      </c>
      <c r="O16373" s="46" t="s">
        <v>123</v>
      </c>
      <c r="P16373" s="46">
        <v>3600.0</v>
      </c>
    </row>
    <row r="16374">
      <c r="A16374" s="40">
        <f t="shared" si="1"/>
        <v>46013</v>
      </c>
      <c r="B16374" s="37" t="str">
        <f t="array" ref="B16374">iferror(xlookup($I16374, 'IMPORT VHC Report'!$E:$E, 'IMPORT VHC Report'!$A:$C), )</f>
        <v/>
      </c>
      <c r="C16374" s="44"/>
      <c r="D16374" s="44"/>
      <c r="E16374" s="46" t="s">
        <v>12570</v>
      </c>
      <c r="F16374" s="46" t="s">
        <v>6808</v>
      </c>
      <c r="G16374" s="46">
        <v>3.61694632195E11</v>
      </c>
      <c r="H16374" s="46" t="s">
        <v>6809</v>
      </c>
      <c r="I16374" s="46" t="s">
        <v>6810</v>
      </c>
      <c r="J16374" s="46" t="s">
        <v>332</v>
      </c>
      <c r="K16374" s="46" t="s">
        <v>63</v>
      </c>
      <c r="L16374" s="45">
        <v>46017.375</v>
      </c>
      <c r="M16374" s="46" t="s">
        <v>123</v>
      </c>
      <c r="N16374" s="45">
        <v>46017.75</v>
      </c>
      <c r="O16374" s="46" t="s">
        <v>123</v>
      </c>
      <c r="P16374" s="46">
        <v>32400.0</v>
      </c>
    </row>
    <row r="16375">
      <c r="A16375" s="40">
        <f t="shared" si="1"/>
        <v>46013</v>
      </c>
      <c r="B16375" s="37" t="str">
        <f t="array" ref="B16375">iferror(xlookup($I16375, 'IMPORT VHC Report'!$E:$E, 'IMPORT VHC Report'!$A:$C), )</f>
        <v/>
      </c>
      <c r="C16375" s="44"/>
      <c r="D16375" s="44"/>
      <c r="E16375" s="46" t="s">
        <v>12571</v>
      </c>
      <c r="F16375" s="46" t="s">
        <v>6808</v>
      </c>
      <c r="G16375" s="46">
        <v>3.61694632195E11</v>
      </c>
      <c r="H16375" s="46" t="s">
        <v>6809</v>
      </c>
      <c r="I16375" s="46" t="s">
        <v>6810</v>
      </c>
      <c r="J16375" s="46" t="s">
        <v>134</v>
      </c>
      <c r="K16375" s="46" t="s">
        <v>126</v>
      </c>
      <c r="L16375" s="45">
        <v>46017.6875</v>
      </c>
      <c r="M16375" s="46" t="s">
        <v>123</v>
      </c>
      <c r="N16375" s="45">
        <v>46017.708333333336</v>
      </c>
      <c r="O16375" s="46" t="s">
        <v>123</v>
      </c>
      <c r="P16375" s="46">
        <v>1800.0</v>
      </c>
    </row>
    <row r="16376">
      <c r="A16376" s="40">
        <f t="shared" si="1"/>
        <v>46013</v>
      </c>
      <c r="B16376" s="37" t="str">
        <f t="array" ref="B16376">iferror(xlookup($I16376, 'IMPORT VHC Report'!$E:$E, 'IMPORT VHC Report'!$A:$C), )</f>
        <v/>
      </c>
      <c r="C16376" s="44"/>
      <c r="D16376" s="44"/>
      <c r="E16376" s="46" t="s">
        <v>12572</v>
      </c>
      <c r="F16376" s="46" t="s">
        <v>6808</v>
      </c>
      <c r="G16376" s="46">
        <v>3.61694632195E11</v>
      </c>
      <c r="H16376" s="46" t="s">
        <v>6809</v>
      </c>
      <c r="I16376" s="46" t="s">
        <v>6810</v>
      </c>
      <c r="J16376" s="46" t="s">
        <v>132</v>
      </c>
      <c r="K16376" s="46" t="s">
        <v>126</v>
      </c>
      <c r="L16376" s="45">
        <v>46017.708333333336</v>
      </c>
      <c r="M16376" s="46" t="s">
        <v>123</v>
      </c>
      <c r="N16376" s="45">
        <v>46017.75</v>
      </c>
      <c r="O16376" s="46" t="s">
        <v>123</v>
      </c>
      <c r="P16376" s="46">
        <v>3600.0</v>
      </c>
    </row>
    <row r="16377">
      <c r="A16377" s="40">
        <f t="shared" si="1"/>
        <v>46013</v>
      </c>
      <c r="B16377" s="37" t="str">
        <f t="array" ref="B16377">iferror(xlookup($I16377, 'IMPORT VHC Report'!$E:$E, 'IMPORT VHC Report'!$A:$C), )</f>
        <v/>
      </c>
      <c r="C16377" s="44"/>
      <c r="D16377" s="44"/>
      <c r="E16377" s="46" t="s">
        <v>12573</v>
      </c>
      <c r="F16377" s="46" t="s">
        <v>6808</v>
      </c>
      <c r="G16377" s="46">
        <v>3.61694632195E11</v>
      </c>
      <c r="H16377" s="46" t="s">
        <v>6809</v>
      </c>
      <c r="I16377" s="46" t="s">
        <v>6810</v>
      </c>
      <c r="J16377" s="46" t="s">
        <v>332</v>
      </c>
      <c r="K16377" s="46" t="s">
        <v>63</v>
      </c>
      <c r="L16377" s="45">
        <v>46018.375</v>
      </c>
      <c r="M16377" s="46" t="s">
        <v>123</v>
      </c>
      <c r="N16377" s="45">
        <v>46018.75</v>
      </c>
      <c r="O16377" s="46" t="s">
        <v>123</v>
      </c>
      <c r="P16377" s="46">
        <v>32400.0</v>
      </c>
    </row>
    <row r="16378">
      <c r="A16378" s="40">
        <f t="shared" si="1"/>
        <v>46013</v>
      </c>
      <c r="B16378" s="37" t="str">
        <f t="array" ref="B16378">iferror(xlookup($I16378, 'IMPORT VHC Report'!$E:$E, 'IMPORT VHC Report'!$A:$C), )</f>
        <v/>
      </c>
      <c r="C16378" s="44"/>
      <c r="D16378" s="44"/>
      <c r="E16378" s="46" t="s">
        <v>12574</v>
      </c>
      <c r="F16378" s="46" t="s">
        <v>6808</v>
      </c>
      <c r="G16378" s="46">
        <v>3.61694632195E11</v>
      </c>
      <c r="H16378" s="46" t="s">
        <v>6809</v>
      </c>
      <c r="I16378" s="46" t="s">
        <v>6810</v>
      </c>
      <c r="J16378" s="46" t="s">
        <v>134</v>
      </c>
      <c r="K16378" s="46" t="s">
        <v>126</v>
      </c>
      <c r="L16378" s="45">
        <v>46018.6875</v>
      </c>
      <c r="M16378" s="46" t="s">
        <v>123</v>
      </c>
      <c r="N16378" s="45">
        <v>46018.708333333336</v>
      </c>
      <c r="O16378" s="46" t="s">
        <v>123</v>
      </c>
      <c r="P16378" s="46">
        <v>1800.0</v>
      </c>
    </row>
    <row r="16379">
      <c r="A16379" s="40">
        <f t="shared" si="1"/>
        <v>46013</v>
      </c>
      <c r="B16379" s="37" t="str">
        <f t="array" ref="B16379">iferror(xlookup($I16379, 'IMPORT VHC Report'!$E:$E, 'IMPORT VHC Report'!$A:$C), )</f>
        <v/>
      </c>
      <c r="C16379" s="44"/>
      <c r="D16379" s="44"/>
      <c r="E16379" s="46" t="s">
        <v>12575</v>
      </c>
      <c r="F16379" s="46" t="s">
        <v>6808</v>
      </c>
      <c r="G16379" s="46">
        <v>3.61694632195E11</v>
      </c>
      <c r="H16379" s="46" t="s">
        <v>6809</v>
      </c>
      <c r="I16379" s="46" t="s">
        <v>6810</v>
      </c>
      <c r="J16379" s="46" t="s">
        <v>132</v>
      </c>
      <c r="K16379" s="46" t="s">
        <v>126</v>
      </c>
      <c r="L16379" s="45">
        <v>46018.708333333336</v>
      </c>
      <c r="M16379" s="46" t="s">
        <v>123</v>
      </c>
      <c r="N16379" s="45">
        <v>46018.75</v>
      </c>
      <c r="O16379" s="46" t="s">
        <v>123</v>
      </c>
      <c r="P16379" s="46">
        <v>3600.0</v>
      </c>
    </row>
    <row r="16380">
      <c r="A16380" s="40">
        <f t="shared" si="1"/>
        <v>46013</v>
      </c>
      <c r="B16380" s="37" t="str">
        <f t="array" ref="B16380">iferror(xlookup($I16380, 'IMPORT VHC Report'!$E:$E, 'IMPORT VHC Report'!$A:$C), )</f>
        <v/>
      </c>
      <c r="C16380" s="44"/>
      <c r="D16380" s="44"/>
      <c r="E16380" s="46" t="s">
        <v>12576</v>
      </c>
      <c r="F16380" s="46" t="s">
        <v>7306</v>
      </c>
      <c r="G16380" s="46">
        <v>3.61724666876E11</v>
      </c>
      <c r="H16380" s="46" t="s">
        <v>7307</v>
      </c>
      <c r="I16380" s="46" t="s">
        <v>7308</v>
      </c>
      <c r="J16380" s="46" t="s">
        <v>332</v>
      </c>
      <c r="K16380" s="46" t="s">
        <v>63</v>
      </c>
      <c r="L16380" s="45">
        <v>46014.625</v>
      </c>
      <c r="M16380" s="46" t="s">
        <v>123</v>
      </c>
      <c r="N16380" s="45">
        <v>46014.708333333336</v>
      </c>
      <c r="O16380" s="46" t="s">
        <v>123</v>
      </c>
      <c r="P16380" s="46">
        <v>7200.0</v>
      </c>
    </row>
    <row r="16381">
      <c r="A16381" s="40">
        <f t="shared" si="1"/>
        <v>46013</v>
      </c>
      <c r="B16381" s="37" t="str">
        <f t="array" ref="B16381">iferror(xlookup($I16381, 'IMPORT VHC Report'!$E:$E, 'IMPORT VHC Report'!$A:$C), )</f>
        <v/>
      </c>
      <c r="C16381" s="44"/>
      <c r="D16381" s="44"/>
      <c r="E16381" s="46" t="s">
        <v>12577</v>
      </c>
      <c r="F16381" s="46" t="s">
        <v>7306</v>
      </c>
      <c r="G16381" s="46">
        <v>3.61724666876E11</v>
      </c>
      <c r="H16381" s="46" t="s">
        <v>7307</v>
      </c>
      <c r="I16381" s="46" t="s">
        <v>7308</v>
      </c>
      <c r="J16381" s="46" t="s">
        <v>62</v>
      </c>
      <c r="K16381" s="46" t="s">
        <v>63</v>
      </c>
      <c r="L16381" s="45">
        <v>46014.708333333336</v>
      </c>
      <c r="M16381" s="46" t="s">
        <v>123</v>
      </c>
      <c r="N16381" s="45">
        <v>46014.791666666664</v>
      </c>
      <c r="O16381" s="46" t="s">
        <v>123</v>
      </c>
      <c r="P16381" s="46">
        <v>7200.0</v>
      </c>
    </row>
    <row r="16382">
      <c r="A16382" s="40">
        <f t="shared" si="1"/>
        <v>46013</v>
      </c>
      <c r="B16382" s="37" t="str">
        <f t="array" ref="B16382">iferror(xlookup($I16382, 'IMPORT VHC Report'!$E:$E, 'IMPORT VHC Report'!$A:$C), )</f>
        <v/>
      </c>
      <c r="C16382" s="44"/>
      <c r="D16382" s="44"/>
      <c r="E16382" s="46" t="s">
        <v>12578</v>
      </c>
      <c r="F16382" s="46" t="s">
        <v>7306</v>
      </c>
      <c r="G16382" s="46">
        <v>3.61724666876E11</v>
      </c>
      <c r="H16382" s="46" t="s">
        <v>7307</v>
      </c>
      <c r="I16382" s="46" t="s">
        <v>7308</v>
      </c>
      <c r="J16382" s="46" t="s">
        <v>332</v>
      </c>
      <c r="K16382" s="46" t="s">
        <v>63</v>
      </c>
      <c r="L16382" s="45">
        <v>46014.791666666664</v>
      </c>
      <c r="M16382" s="46" t="s">
        <v>123</v>
      </c>
      <c r="N16382" s="45">
        <v>46015.0</v>
      </c>
      <c r="O16382" s="46" t="s">
        <v>123</v>
      </c>
      <c r="P16382" s="46">
        <v>18000.0</v>
      </c>
    </row>
    <row r="16383">
      <c r="A16383" s="40">
        <f t="shared" si="1"/>
        <v>46013</v>
      </c>
      <c r="B16383" s="37" t="str">
        <f t="array" ref="B16383">iferror(xlookup($I16383, 'IMPORT VHC Report'!$E:$E, 'IMPORT VHC Report'!$A:$C), )</f>
        <v/>
      </c>
      <c r="C16383" s="44"/>
      <c r="D16383" s="44"/>
      <c r="E16383" s="46" t="s">
        <v>12579</v>
      </c>
      <c r="F16383" s="46" t="s">
        <v>7306</v>
      </c>
      <c r="G16383" s="46">
        <v>3.61724666876E11</v>
      </c>
      <c r="H16383" s="46" t="s">
        <v>7307</v>
      </c>
      <c r="I16383" s="46" t="s">
        <v>7308</v>
      </c>
      <c r="J16383" s="46" t="s">
        <v>134</v>
      </c>
      <c r="K16383" s="46" t="s">
        <v>126</v>
      </c>
      <c r="L16383" s="45">
        <v>46014.9375</v>
      </c>
      <c r="M16383" s="46" t="s">
        <v>123</v>
      </c>
      <c r="N16383" s="45">
        <v>46014.958333333336</v>
      </c>
      <c r="O16383" s="46" t="s">
        <v>123</v>
      </c>
      <c r="P16383" s="46">
        <v>1800.0</v>
      </c>
    </row>
    <row r="16384">
      <c r="A16384" s="40">
        <f t="shared" si="1"/>
        <v>46013</v>
      </c>
      <c r="B16384" s="37" t="str">
        <f t="array" ref="B16384">iferror(xlookup($I16384, 'IMPORT VHC Report'!$E:$E, 'IMPORT VHC Report'!$A:$C), )</f>
        <v/>
      </c>
      <c r="C16384" s="44"/>
      <c r="D16384" s="44"/>
      <c r="E16384" s="46" t="s">
        <v>12580</v>
      </c>
      <c r="F16384" s="46" t="s">
        <v>7306</v>
      </c>
      <c r="G16384" s="46">
        <v>3.61724666876E11</v>
      </c>
      <c r="H16384" s="46" t="s">
        <v>7307</v>
      </c>
      <c r="I16384" s="46" t="s">
        <v>7308</v>
      </c>
      <c r="J16384" s="46" t="s">
        <v>132</v>
      </c>
      <c r="K16384" s="46" t="s">
        <v>126</v>
      </c>
      <c r="L16384" s="45">
        <v>46014.958333333336</v>
      </c>
      <c r="M16384" s="46" t="s">
        <v>123</v>
      </c>
      <c r="N16384" s="45">
        <v>46015.0</v>
      </c>
      <c r="O16384" s="46" t="s">
        <v>123</v>
      </c>
      <c r="P16384" s="46">
        <v>3600.0</v>
      </c>
    </row>
    <row r="16385">
      <c r="A16385" s="40">
        <f t="shared" si="1"/>
        <v>46013</v>
      </c>
      <c r="B16385" s="37" t="str">
        <f t="array" ref="B16385">iferror(xlookup($I16385, 'IMPORT VHC Report'!$E:$E, 'IMPORT VHC Report'!$A:$C), )</f>
        <v/>
      </c>
      <c r="C16385" s="44"/>
      <c r="D16385" s="44"/>
      <c r="E16385" s="46" t="s">
        <v>12581</v>
      </c>
      <c r="F16385" s="46" t="s">
        <v>7306</v>
      </c>
      <c r="G16385" s="46">
        <v>3.61724666876E11</v>
      </c>
      <c r="H16385" s="46" t="s">
        <v>7307</v>
      </c>
      <c r="I16385" s="46" t="s">
        <v>7308</v>
      </c>
      <c r="J16385" s="46" t="s">
        <v>136</v>
      </c>
      <c r="K16385" s="46" t="s">
        <v>126</v>
      </c>
      <c r="L16385" s="45">
        <v>46015.666666666664</v>
      </c>
      <c r="M16385" s="46" t="s">
        <v>123</v>
      </c>
      <c r="N16385" s="45">
        <v>46015.833333333336</v>
      </c>
      <c r="O16385" s="46" t="s">
        <v>123</v>
      </c>
      <c r="P16385" s="46">
        <v>14400.0</v>
      </c>
      <c r="S16385" s="46" t="s">
        <v>1098</v>
      </c>
    </row>
    <row r="16386">
      <c r="A16386" s="40">
        <f t="shared" si="1"/>
        <v>46013</v>
      </c>
      <c r="B16386" s="37" t="str">
        <f t="array" ref="B16386">iferror(xlookup($I16386, 'IMPORT VHC Report'!$E:$E, 'IMPORT VHC Report'!$A:$C), )</f>
        <v/>
      </c>
      <c r="C16386" s="44"/>
      <c r="D16386" s="44"/>
      <c r="E16386" s="46" t="s">
        <v>12582</v>
      </c>
      <c r="F16386" s="46" t="s">
        <v>7306</v>
      </c>
      <c r="G16386" s="46">
        <v>3.61724666876E11</v>
      </c>
      <c r="H16386" s="46" t="s">
        <v>7307</v>
      </c>
      <c r="I16386" s="46" t="s">
        <v>7308</v>
      </c>
      <c r="J16386" s="46" t="s">
        <v>332</v>
      </c>
      <c r="K16386" s="46" t="s">
        <v>63</v>
      </c>
      <c r="L16386" s="45">
        <v>46015.666666666664</v>
      </c>
      <c r="M16386" s="46" t="s">
        <v>123</v>
      </c>
      <c r="N16386" s="45">
        <v>46016.041666666664</v>
      </c>
      <c r="O16386" s="46" t="s">
        <v>123</v>
      </c>
      <c r="P16386" s="46">
        <v>32400.0</v>
      </c>
    </row>
    <row r="16387">
      <c r="A16387" s="40">
        <f t="shared" si="1"/>
        <v>46013</v>
      </c>
      <c r="B16387" s="37" t="str">
        <f t="array" ref="B16387">iferror(xlookup($I16387, 'IMPORT VHC Report'!$E:$E, 'IMPORT VHC Report'!$A:$C), )</f>
        <v/>
      </c>
      <c r="C16387" s="44"/>
      <c r="D16387" s="44"/>
      <c r="E16387" s="46" t="s">
        <v>12583</v>
      </c>
      <c r="F16387" s="46" t="s">
        <v>7306</v>
      </c>
      <c r="G16387" s="46">
        <v>3.61724666876E11</v>
      </c>
      <c r="H16387" s="46" t="s">
        <v>7307</v>
      </c>
      <c r="I16387" s="46" t="s">
        <v>7308</v>
      </c>
      <c r="J16387" s="46" t="s">
        <v>134</v>
      </c>
      <c r="K16387" s="46" t="s">
        <v>126</v>
      </c>
      <c r="L16387" s="45">
        <v>46015.979166666664</v>
      </c>
      <c r="M16387" s="46" t="s">
        <v>123</v>
      </c>
      <c r="N16387" s="45">
        <v>46016.0</v>
      </c>
      <c r="O16387" s="46" t="s">
        <v>123</v>
      </c>
      <c r="P16387" s="46">
        <v>1800.0</v>
      </c>
    </row>
    <row r="16388">
      <c r="A16388" s="40">
        <f t="shared" si="1"/>
        <v>46013</v>
      </c>
      <c r="B16388" s="37" t="str">
        <f t="array" ref="B16388">iferror(xlookup($I16388, 'IMPORT VHC Report'!$E:$E, 'IMPORT VHC Report'!$A:$C), )</f>
        <v/>
      </c>
      <c r="C16388" s="44"/>
      <c r="D16388" s="44"/>
      <c r="E16388" s="46" t="s">
        <v>12584</v>
      </c>
      <c r="F16388" s="46" t="s">
        <v>7306</v>
      </c>
      <c r="G16388" s="46">
        <v>3.61724666876E11</v>
      </c>
      <c r="H16388" s="46" t="s">
        <v>7307</v>
      </c>
      <c r="I16388" s="46" t="s">
        <v>7308</v>
      </c>
      <c r="J16388" s="46" t="s">
        <v>132</v>
      </c>
      <c r="K16388" s="46" t="s">
        <v>126</v>
      </c>
      <c r="L16388" s="45">
        <v>46016.0</v>
      </c>
      <c r="M16388" s="46" t="s">
        <v>123</v>
      </c>
      <c r="N16388" s="45">
        <v>46016.041666666664</v>
      </c>
      <c r="O16388" s="46" t="s">
        <v>123</v>
      </c>
      <c r="P16388" s="46">
        <v>3600.0</v>
      </c>
    </row>
    <row r="16389">
      <c r="A16389" s="40">
        <f t="shared" si="1"/>
        <v>46013</v>
      </c>
      <c r="B16389" s="37" t="str">
        <f t="array" ref="B16389">iferror(xlookup($I16389, 'IMPORT VHC Report'!$E:$E, 'IMPORT VHC Report'!$A:$C), )</f>
        <v/>
      </c>
      <c r="C16389" s="44"/>
      <c r="D16389" s="44"/>
      <c r="E16389" s="46" t="s">
        <v>12585</v>
      </c>
      <c r="F16389" s="46" t="s">
        <v>7306</v>
      </c>
      <c r="G16389" s="46">
        <v>3.61724666876E11</v>
      </c>
      <c r="H16389" s="46" t="s">
        <v>7307</v>
      </c>
      <c r="I16389" s="46" t="s">
        <v>7308</v>
      </c>
      <c r="J16389" s="46" t="s">
        <v>332</v>
      </c>
      <c r="K16389" s="46" t="s">
        <v>63</v>
      </c>
      <c r="L16389" s="45">
        <v>46016.625</v>
      </c>
      <c r="M16389" s="46" t="s">
        <v>123</v>
      </c>
      <c r="N16389" s="45">
        <v>46017.0</v>
      </c>
      <c r="O16389" s="46" t="s">
        <v>123</v>
      </c>
      <c r="P16389" s="46">
        <v>32400.0</v>
      </c>
    </row>
    <row r="16390">
      <c r="A16390" s="40">
        <f t="shared" si="1"/>
        <v>46013</v>
      </c>
      <c r="B16390" s="37" t="str">
        <f t="array" ref="B16390">iferror(xlookup($I16390, 'IMPORT VHC Report'!$E:$E, 'IMPORT VHC Report'!$A:$C), )</f>
        <v/>
      </c>
      <c r="C16390" s="44"/>
      <c r="D16390" s="44"/>
      <c r="E16390" s="46" t="s">
        <v>12586</v>
      </c>
      <c r="F16390" s="46" t="s">
        <v>7306</v>
      </c>
      <c r="G16390" s="46">
        <v>3.61724666876E11</v>
      </c>
      <c r="H16390" s="46" t="s">
        <v>7307</v>
      </c>
      <c r="I16390" s="46" t="s">
        <v>7308</v>
      </c>
      <c r="J16390" s="46" t="s">
        <v>134</v>
      </c>
      <c r="K16390" s="46" t="s">
        <v>126</v>
      </c>
      <c r="L16390" s="45">
        <v>46016.9375</v>
      </c>
      <c r="M16390" s="46" t="s">
        <v>123</v>
      </c>
      <c r="N16390" s="45">
        <v>46016.958333333336</v>
      </c>
      <c r="O16390" s="46" t="s">
        <v>123</v>
      </c>
      <c r="P16390" s="46">
        <v>1800.0</v>
      </c>
    </row>
    <row r="16391">
      <c r="A16391" s="40">
        <f t="shared" si="1"/>
        <v>46013</v>
      </c>
      <c r="B16391" s="37" t="str">
        <f t="array" ref="B16391">iferror(xlookup($I16391, 'IMPORT VHC Report'!$E:$E, 'IMPORT VHC Report'!$A:$C), )</f>
        <v/>
      </c>
      <c r="C16391" s="44"/>
      <c r="D16391" s="44"/>
      <c r="E16391" s="46" t="s">
        <v>12587</v>
      </c>
      <c r="F16391" s="46" t="s">
        <v>7306</v>
      </c>
      <c r="G16391" s="46">
        <v>3.61724666876E11</v>
      </c>
      <c r="H16391" s="46" t="s">
        <v>7307</v>
      </c>
      <c r="I16391" s="46" t="s">
        <v>7308</v>
      </c>
      <c r="J16391" s="46" t="s">
        <v>132</v>
      </c>
      <c r="K16391" s="46" t="s">
        <v>126</v>
      </c>
      <c r="L16391" s="45">
        <v>46016.958333333336</v>
      </c>
      <c r="M16391" s="46" t="s">
        <v>123</v>
      </c>
      <c r="N16391" s="45">
        <v>46017.0</v>
      </c>
      <c r="O16391" s="46" t="s">
        <v>123</v>
      </c>
      <c r="P16391" s="46">
        <v>3600.0</v>
      </c>
    </row>
    <row r="16392">
      <c r="A16392" s="40">
        <f t="shared" si="1"/>
        <v>46013</v>
      </c>
      <c r="B16392" s="37" t="str">
        <f t="array" ref="B16392">iferror(xlookup($I16392, 'IMPORT VHC Report'!$E:$E, 'IMPORT VHC Report'!$A:$C), )</f>
        <v/>
      </c>
      <c r="C16392" s="44"/>
      <c r="D16392" s="44"/>
      <c r="E16392" s="46" t="s">
        <v>12588</v>
      </c>
      <c r="F16392" s="46" t="s">
        <v>7306</v>
      </c>
      <c r="G16392" s="46">
        <v>3.61724666876E11</v>
      </c>
      <c r="H16392" s="46" t="s">
        <v>7307</v>
      </c>
      <c r="I16392" s="46" t="s">
        <v>7308</v>
      </c>
      <c r="J16392" s="46" t="s">
        <v>332</v>
      </c>
      <c r="K16392" s="46" t="s">
        <v>63</v>
      </c>
      <c r="L16392" s="45">
        <v>46017.625</v>
      </c>
      <c r="M16392" s="46" t="s">
        <v>123</v>
      </c>
      <c r="N16392" s="45">
        <v>46018.0</v>
      </c>
      <c r="O16392" s="46" t="s">
        <v>123</v>
      </c>
      <c r="P16392" s="46">
        <v>32400.0</v>
      </c>
    </row>
    <row r="16393">
      <c r="A16393" s="40">
        <f t="shared" si="1"/>
        <v>46013</v>
      </c>
      <c r="B16393" s="37" t="str">
        <f t="array" ref="B16393">iferror(xlookup($I16393, 'IMPORT VHC Report'!$E:$E, 'IMPORT VHC Report'!$A:$C), )</f>
        <v/>
      </c>
      <c r="C16393" s="44"/>
      <c r="D16393" s="44"/>
      <c r="E16393" s="46" t="s">
        <v>12589</v>
      </c>
      <c r="F16393" s="46" t="s">
        <v>7306</v>
      </c>
      <c r="G16393" s="46">
        <v>3.61724666876E11</v>
      </c>
      <c r="H16393" s="46" t="s">
        <v>7307</v>
      </c>
      <c r="I16393" s="46" t="s">
        <v>7308</v>
      </c>
      <c r="J16393" s="46" t="s">
        <v>134</v>
      </c>
      <c r="K16393" s="46" t="s">
        <v>126</v>
      </c>
      <c r="L16393" s="45">
        <v>46017.9375</v>
      </c>
      <c r="M16393" s="46" t="s">
        <v>123</v>
      </c>
      <c r="N16393" s="45">
        <v>46017.958333333336</v>
      </c>
      <c r="O16393" s="46" t="s">
        <v>123</v>
      </c>
      <c r="P16393" s="46">
        <v>1800.0</v>
      </c>
    </row>
    <row r="16394">
      <c r="A16394" s="40">
        <f t="shared" si="1"/>
        <v>46013</v>
      </c>
      <c r="B16394" s="37" t="str">
        <f t="array" ref="B16394">iferror(xlookup($I16394, 'IMPORT VHC Report'!$E:$E, 'IMPORT VHC Report'!$A:$C), )</f>
        <v/>
      </c>
      <c r="C16394" s="44"/>
      <c r="D16394" s="44"/>
      <c r="E16394" s="46" t="s">
        <v>12590</v>
      </c>
      <c r="F16394" s="46" t="s">
        <v>7306</v>
      </c>
      <c r="G16394" s="46">
        <v>3.61724666876E11</v>
      </c>
      <c r="H16394" s="46" t="s">
        <v>7307</v>
      </c>
      <c r="I16394" s="46" t="s">
        <v>7308</v>
      </c>
      <c r="J16394" s="46" t="s">
        <v>132</v>
      </c>
      <c r="K16394" s="46" t="s">
        <v>126</v>
      </c>
      <c r="L16394" s="45">
        <v>46017.958333333336</v>
      </c>
      <c r="M16394" s="46" t="s">
        <v>123</v>
      </c>
      <c r="N16394" s="45">
        <v>46018.0</v>
      </c>
      <c r="O16394" s="46" t="s">
        <v>123</v>
      </c>
      <c r="P16394" s="46">
        <v>3600.0</v>
      </c>
    </row>
    <row r="16395">
      <c r="A16395" s="40">
        <f t="shared" si="1"/>
        <v>46013</v>
      </c>
      <c r="B16395" s="37" t="str">
        <f t="array" ref="B16395">iferror(xlookup($I16395, 'IMPORT VHC Report'!$E:$E, 'IMPORT VHC Report'!$A:$C), )</f>
        <v/>
      </c>
      <c r="C16395" s="44"/>
      <c r="D16395" s="44"/>
      <c r="E16395" s="46" t="s">
        <v>12591</v>
      </c>
      <c r="F16395" s="46" t="s">
        <v>7306</v>
      </c>
      <c r="G16395" s="46">
        <v>3.61724666876E11</v>
      </c>
      <c r="H16395" s="46" t="s">
        <v>7307</v>
      </c>
      <c r="I16395" s="46" t="s">
        <v>7308</v>
      </c>
      <c r="J16395" s="46" t="s">
        <v>332</v>
      </c>
      <c r="K16395" s="46" t="s">
        <v>63</v>
      </c>
      <c r="L16395" s="45">
        <v>46018.625</v>
      </c>
      <c r="M16395" s="46" t="s">
        <v>123</v>
      </c>
      <c r="N16395" s="45">
        <v>46019.0</v>
      </c>
      <c r="O16395" s="46" t="s">
        <v>123</v>
      </c>
      <c r="P16395" s="46">
        <v>32400.0</v>
      </c>
    </row>
    <row r="16396">
      <c r="A16396" s="40">
        <f t="shared" si="1"/>
        <v>46013</v>
      </c>
      <c r="B16396" s="37" t="str">
        <f t="array" ref="B16396">iferror(xlookup($I16396, 'IMPORT VHC Report'!$E:$E, 'IMPORT VHC Report'!$A:$C), )</f>
        <v/>
      </c>
      <c r="C16396" s="44"/>
      <c r="D16396" s="44"/>
      <c r="E16396" s="46" t="s">
        <v>12592</v>
      </c>
      <c r="F16396" s="46" t="s">
        <v>7306</v>
      </c>
      <c r="G16396" s="46">
        <v>3.61724666876E11</v>
      </c>
      <c r="H16396" s="46" t="s">
        <v>7307</v>
      </c>
      <c r="I16396" s="46" t="s">
        <v>7308</v>
      </c>
      <c r="J16396" s="46" t="s">
        <v>134</v>
      </c>
      <c r="K16396" s="46" t="s">
        <v>126</v>
      </c>
      <c r="L16396" s="45">
        <v>46018.9375</v>
      </c>
      <c r="M16396" s="46" t="s">
        <v>123</v>
      </c>
      <c r="N16396" s="45">
        <v>46018.958333333336</v>
      </c>
      <c r="O16396" s="46" t="s">
        <v>123</v>
      </c>
      <c r="P16396" s="46">
        <v>1800.0</v>
      </c>
    </row>
    <row r="16397">
      <c r="A16397" s="40">
        <f t="shared" si="1"/>
        <v>46013</v>
      </c>
      <c r="B16397" s="37" t="str">
        <f t="array" ref="B16397">iferror(xlookup($I16397, 'IMPORT VHC Report'!$E:$E, 'IMPORT VHC Report'!$A:$C), )</f>
        <v/>
      </c>
      <c r="C16397" s="44"/>
      <c r="D16397" s="44"/>
      <c r="E16397" s="46" t="s">
        <v>12593</v>
      </c>
      <c r="F16397" s="46" t="s">
        <v>7306</v>
      </c>
      <c r="G16397" s="46">
        <v>3.61724666876E11</v>
      </c>
      <c r="H16397" s="46" t="s">
        <v>7307</v>
      </c>
      <c r="I16397" s="46" t="s">
        <v>7308</v>
      </c>
      <c r="J16397" s="46" t="s">
        <v>132</v>
      </c>
      <c r="K16397" s="46" t="s">
        <v>126</v>
      </c>
      <c r="L16397" s="45">
        <v>46018.958333333336</v>
      </c>
      <c r="M16397" s="46" t="s">
        <v>123</v>
      </c>
      <c r="N16397" s="45">
        <v>46019.0</v>
      </c>
      <c r="O16397" s="46" t="s">
        <v>123</v>
      </c>
      <c r="P16397" s="46">
        <v>3600.0</v>
      </c>
    </row>
    <row r="16398">
      <c r="A16398" s="40">
        <f t="shared" si="1"/>
        <v>46013</v>
      </c>
      <c r="B16398" s="37" t="str">
        <f t="array" ref="B16398">iferror(xlookup($I16398, 'IMPORT VHC Report'!$E:$E, 'IMPORT VHC Report'!$A:$C), )</f>
        <v/>
      </c>
      <c r="C16398" s="44"/>
      <c r="D16398" s="44"/>
      <c r="E16398" s="46" t="s">
        <v>12594</v>
      </c>
      <c r="F16398" s="46" t="s">
        <v>7453</v>
      </c>
      <c r="G16398" s="46">
        <v>5.902016055567E12</v>
      </c>
      <c r="H16398" s="46" t="s">
        <v>7454</v>
      </c>
      <c r="I16398" s="46" t="s">
        <v>7455</v>
      </c>
      <c r="J16398" s="46" t="s">
        <v>332</v>
      </c>
      <c r="K16398" s="46" t="s">
        <v>63</v>
      </c>
      <c r="L16398" s="45">
        <v>46014.875</v>
      </c>
      <c r="M16398" s="46" t="s">
        <v>123</v>
      </c>
      <c r="N16398" s="45">
        <v>46015.25</v>
      </c>
      <c r="O16398" s="46" t="s">
        <v>123</v>
      </c>
      <c r="P16398" s="46">
        <v>32400.0</v>
      </c>
    </row>
    <row r="16399">
      <c r="A16399" s="40">
        <f t="shared" si="1"/>
        <v>46013</v>
      </c>
      <c r="B16399" s="37" t="str">
        <f t="array" ref="B16399">iferror(xlookup($I16399, 'IMPORT VHC Report'!$E:$E, 'IMPORT VHC Report'!$A:$C), )</f>
        <v/>
      </c>
      <c r="C16399" s="44"/>
      <c r="D16399" s="44"/>
      <c r="E16399" s="46" t="s">
        <v>12595</v>
      </c>
      <c r="F16399" s="46" t="s">
        <v>7453</v>
      </c>
      <c r="G16399" s="46">
        <v>5.902016055567E12</v>
      </c>
      <c r="H16399" s="46" t="s">
        <v>7454</v>
      </c>
      <c r="I16399" s="46" t="s">
        <v>7455</v>
      </c>
      <c r="J16399" s="46" t="s">
        <v>134</v>
      </c>
      <c r="K16399" s="46" t="s">
        <v>126</v>
      </c>
      <c r="L16399" s="45">
        <v>46015.1875</v>
      </c>
      <c r="M16399" s="46" t="s">
        <v>123</v>
      </c>
      <c r="N16399" s="45">
        <v>46015.208333333336</v>
      </c>
      <c r="O16399" s="46" t="s">
        <v>123</v>
      </c>
      <c r="P16399" s="46">
        <v>1800.0</v>
      </c>
    </row>
    <row r="16400">
      <c r="A16400" s="40">
        <f t="shared" si="1"/>
        <v>46013</v>
      </c>
      <c r="B16400" s="37" t="str">
        <f t="array" ref="B16400">iferror(xlookup($I16400, 'IMPORT VHC Report'!$E:$E, 'IMPORT VHC Report'!$A:$C), )</f>
        <v/>
      </c>
      <c r="C16400" s="44"/>
      <c r="D16400" s="44"/>
      <c r="E16400" s="46" t="s">
        <v>12596</v>
      </c>
      <c r="F16400" s="46" t="s">
        <v>7453</v>
      </c>
      <c r="G16400" s="46">
        <v>5.902016055567E12</v>
      </c>
      <c r="H16400" s="46" t="s">
        <v>7454</v>
      </c>
      <c r="I16400" s="46" t="s">
        <v>7455</v>
      </c>
      <c r="J16400" s="46" t="s">
        <v>132</v>
      </c>
      <c r="K16400" s="46" t="s">
        <v>126</v>
      </c>
      <c r="L16400" s="45">
        <v>46015.208333333336</v>
      </c>
      <c r="M16400" s="46" t="s">
        <v>123</v>
      </c>
      <c r="N16400" s="45">
        <v>46015.25</v>
      </c>
      <c r="O16400" s="46" t="s">
        <v>123</v>
      </c>
      <c r="P16400" s="46">
        <v>3600.0</v>
      </c>
    </row>
    <row r="16401">
      <c r="A16401" s="40">
        <f t="shared" si="1"/>
        <v>46013</v>
      </c>
      <c r="B16401" s="37" t="str">
        <f t="array" ref="B16401">iferror(xlookup($I16401, 'IMPORT VHC Report'!$E:$E, 'IMPORT VHC Report'!$A:$C), )</f>
        <v/>
      </c>
      <c r="C16401" s="44"/>
      <c r="D16401" s="44"/>
      <c r="E16401" s="46" t="s">
        <v>12597</v>
      </c>
      <c r="F16401" s="46" t="s">
        <v>7453</v>
      </c>
      <c r="G16401" s="46">
        <v>5.902016055567E12</v>
      </c>
      <c r="H16401" s="46" t="s">
        <v>7454</v>
      </c>
      <c r="I16401" s="46" t="s">
        <v>7455</v>
      </c>
      <c r="J16401" s="46" t="s">
        <v>136</v>
      </c>
      <c r="K16401" s="46" t="s">
        <v>126</v>
      </c>
      <c r="L16401" s="45">
        <v>46015.666666666664</v>
      </c>
      <c r="M16401" s="46" t="s">
        <v>123</v>
      </c>
      <c r="N16401" s="45">
        <v>46015.833333333336</v>
      </c>
      <c r="O16401" s="46" t="s">
        <v>123</v>
      </c>
      <c r="P16401" s="46">
        <v>14400.0</v>
      </c>
      <c r="S16401" s="46" t="s">
        <v>1098</v>
      </c>
    </row>
    <row r="16402">
      <c r="A16402" s="40">
        <f t="shared" si="1"/>
        <v>46013</v>
      </c>
      <c r="B16402" s="37" t="str">
        <f t="array" ref="B16402">iferror(xlookup($I16402, 'IMPORT VHC Report'!$E:$E, 'IMPORT VHC Report'!$A:$C), )</f>
        <v/>
      </c>
      <c r="C16402" s="44"/>
      <c r="D16402" s="44"/>
      <c r="E16402" s="46" t="s">
        <v>12598</v>
      </c>
      <c r="F16402" s="46" t="s">
        <v>7453</v>
      </c>
      <c r="G16402" s="46">
        <v>5.902016055567E12</v>
      </c>
      <c r="H16402" s="46" t="s">
        <v>7454</v>
      </c>
      <c r="I16402" s="46" t="s">
        <v>7455</v>
      </c>
      <c r="J16402" s="46" t="s">
        <v>332</v>
      </c>
      <c r="K16402" s="46" t="s">
        <v>63</v>
      </c>
      <c r="L16402" s="45">
        <v>46015.666666666664</v>
      </c>
      <c r="M16402" s="46" t="s">
        <v>123</v>
      </c>
      <c r="N16402" s="45">
        <v>46016.041666666664</v>
      </c>
      <c r="O16402" s="46" t="s">
        <v>123</v>
      </c>
      <c r="P16402" s="46">
        <v>32400.0</v>
      </c>
    </row>
    <row r="16403">
      <c r="A16403" s="40">
        <f t="shared" si="1"/>
        <v>46013</v>
      </c>
      <c r="B16403" s="37" t="str">
        <f t="array" ref="B16403">iferror(xlookup($I16403, 'IMPORT VHC Report'!$E:$E, 'IMPORT VHC Report'!$A:$C), )</f>
        <v/>
      </c>
      <c r="C16403" s="44"/>
      <c r="D16403" s="44"/>
      <c r="E16403" s="46" t="s">
        <v>12599</v>
      </c>
      <c r="F16403" s="46" t="s">
        <v>7453</v>
      </c>
      <c r="G16403" s="46">
        <v>5.902016055567E12</v>
      </c>
      <c r="H16403" s="46" t="s">
        <v>7454</v>
      </c>
      <c r="I16403" s="46" t="s">
        <v>7455</v>
      </c>
      <c r="J16403" s="46" t="s">
        <v>134</v>
      </c>
      <c r="K16403" s="46" t="s">
        <v>126</v>
      </c>
      <c r="L16403" s="45">
        <v>46015.979166666664</v>
      </c>
      <c r="M16403" s="46" t="s">
        <v>123</v>
      </c>
      <c r="N16403" s="45">
        <v>46016.0</v>
      </c>
      <c r="O16403" s="46" t="s">
        <v>123</v>
      </c>
      <c r="P16403" s="46">
        <v>1800.0</v>
      </c>
    </row>
    <row r="16404">
      <c r="A16404" s="40">
        <f t="shared" si="1"/>
        <v>46013</v>
      </c>
      <c r="B16404" s="37" t="str">
        <f t="array" ref="B16404">iferror(xlookup($I16404, 'IMPORT VHC Report'!$E:$E, 'IMPORT VHC Report'!$A:$C), )</f>
        <v/>
      </c>
      <c r="C16404" s="44"/>
      <c r="D16404" s="44"/>
      <c r="E16404" s="46" t="s">
        <v>12600</v>
      </c>
      <c r="F16404" s="46" t="s">
        <v>7453</v>
      </c>
      <c r="G16404" s="46">
        <v>5.902016055567E12</v>
      </c>
      <c r="H16404" s="46" t="s">
        <v>7454</v>
      </c>
      <c r="I16404" s="46" t="s">
        <v>7455</v>
      </c>
      <c r="J16404" s="46" t="s">
        <v>132</v>
      </c>
      <c r="K16404" s="46" t="s">
        <v>126</v>
      </c>
      <c r="L16404" s="45">
        <v>46016.0</v>
      </c>
      <c r="M16404" s="46" t="s">
        <v>123</v>
      </c>
      <c r="N16404" s="45">
        <v>46016.041666666664</v>
      </c>
      <c r="O16404" s="46" t="s">
        <v>123</v>
      </c>
      <c r="P16404" s="46">
        <v>3600.0</v>
      </c>
    </row>
    <row r="16405">
      <c r="A16405" s="40">
        <f t="shared" si="1"/>
        <v>46013</v>
      </c>
      <c r="B16405" s="37" t="str">
        <f t="array" ref="B16405">iferror(xlookup($I16405, 'IMPORT VHC Report'!$E:$E, 'IMPORT VHC Report'!$A:$C), )</f>
        <v/>
      </c>
      <c r="C16405" s="44"/>
      <c r="D16405" s="44"/>
      <c r="E16405" s="46" t="s">
        <v>12601</v>
      </c>
      <c r="F16405" s="46" t="s">
        <v>7453</v>
      </c>
      <c r="G16405" s="46">
        <v>5.902016055567E12</v>
      </c>
      <c r="H16405" s="46" t="s">
        <v>7454</v>
      </c>
      <c r="I16405" s="46" t="s">
        <v>7455</v>
      </c>
      <c r="J16405" s="46" t="s">
        <v>332</v>
      </c>
      <c r="K16405" s="46" t="s">
        <v>63</v>
      </c>
      <c r="L16405" s="45">
        <v>46016.875</v>
      </c>
      <c r="M16405" s="46" t="s">
        <v>123</v>
      </c>
      <c r="N16405" s="45">
        <v>46017.25</v>
      </c>
      <c r="O16405" s="46" t="s">
        <v>123</v>
      </c>
      <c r="P16405" s="46">
        <v>32400.0</v>
      </c>
    </row>
    <row r="16406">
      <c r="A16406" s="40">
        <f t="shared" si="1"/>
        <v>46013</v>
      </c>
      <c r="B16406" s="37" t="str">
        <f t="array" ref="B16406">iferror(xlookup($I16406, 'IMPORT VHC Report'!$E:$E, 'IMPORT VHC Report'!$A:$C), )</f>
        <v/>
      </c>
      <c r="C16406" s="44"/>
      <c r="D16406" s="44"/>
      <c r="E16406" s="46" t="s">
        <v>12602</v>
      </c>
      <c r="F16406" s="46" t="s">
        <v>7453</v>
      </c>
      <c r="G16406" s="46">
        <v>5.902016055567E12</v>
      </c>
      <c r="H16406" s="46" t="s">
        <v>7454</v>
      </c>
      <c r="I16406" s="46" t="s">
        <v>7455</v>
      </c>
      <c r="J16406" s="46" t="s">
        <v>134</v>
      </c>
      <c r="K16406" s="46" t="s">
        <v>126</v>
      </c>
      <c r="L16406" s="45">
        <v>46017.1875</v>
      </c>
      <c r="M16406" s="46" t="s">
        <v>123</v>
      </c>
      <c r="N16406" s="45">
        <v>46017.208333333336</v>
      </c>
      <c r="O16406" s="46" t="s">
        <v>123</v>
      </c>
      <c r="P16406" s="46">
        <v>1800.0</v>
      </c>
    </row>
    <row r="16407">
      <c r="A16407" s="40">
        <f t="shared" si="1"/>
        <v>46013</v>
      </c>
      <c r="B16407" s="37" t="str">
        <f t="array" ref="B16407">iferror(xlookup($I16407, 'IMPORT VHC Report'!$E:$E, 'IMPORT VHC Report'!$A:$C), )</f>
        <v/>
      </c>
      <c r="C16407" s="44"/>
      <c r="D16407" s="44"/>
      <c r="E16407" s="46" t="s">
        <v>12603</v>
      </c>
      <c r="F16407" s="46" t="s">
        <v>7453</v>
      </c>
      <c r="G16407" s="46">
        <v>5.902016055567E12</v>
      </c>
      <c r="H16407" s="46" t="s">
        <v>7454</v>
      </c>
      <c r="I16407" s="46" t="s">
        <v>7455</v>
      </c>
      <c r="J16407" s="46" t="s">
        <v>132</v>
      </c>
      <c r="K16407" s="46" t="s">
        <v>126</v>
      </c>
      <c r="L16407" s="45">
        <v>46017.208333333336</v>
      </c>
      <c r="M16407" s="46" t="s">
        <v>123</v>
      </c>
      <c r="N16407" s="45">
        <v>46017.25</v>
      </c>
      <c r="O16407" s="46" t="s">
        <v>123</v>
      </c>
      <c r="P16407" s="46">
        <v>3600.0</v>
      </c>
    </row>
    <row r="16408">
      <c r="A16408" s="40">
        <f t="shared" si="1"/>
        <v>46013</v>
      </c>
      <c r="B16408" s="37" t="str">
        <f t="array" ref="B16408">iferror(xlookup($I16408, 'IMPORT VHC Report'!$E:$E, 'IMPORT VHC Report'!$A:$C), )</f>
        <v/>
      </c>
      <c r="C16408" s="44"/>
      <c r="D16408" s="44"/>
      <c r="E16408" s="46" t="s">
        <v>12604</v>
      </c>
      <c r="F16408" s="46" t="s">
        <v>7453</v>
      </c>
      <c r="G16408" s="46">
        <v>5.902016055567E12</v>
      </c>
      <c r="H16408" s="46" t="s">
        <v>7454</v>
      </c>
      <c r="I16408" s="46" t="s">
        <v>7455</v>
      </c>
      <c r="J16408" s="46" t="s">
        <v>62</v>
      </c>
      <c r="K16408" s="46" t="s">
        <v>63</v>
      </c>
      <c r="L16408" s="45">
        <v>46017.875</v>
      </c>
      <c r="M16408" s="46" t="s">
        <v>123</v>
      </c>
      <c r="N16408" s="45">
        <v>46017.958333333336</v>
      </c>
      <c r="O16408" s="46" t="s">
        <v>123</v>
      </c>
      <c r="P16408" s="46">
        <v>7200.0</v>
      </c>
    </row>
    <row r="16409">
      <c r="A16409" s="40">
        <f t="shared" si="1"/>
        <v>46013</v>
      </c>
      <c r="B16409" s="37" t="str">
        <f t="array" ref="B16409">iferror(xlookup($I16409, 'IMPORT VHC Report'!$E:$E, 'IMPORT VHC Report'!$A:$C), )</f>
        <v/>
      </c>
      <c r="C16409" s="44"/>
      <c r="D16409" s="44"/>
      <c r="E16409" s="46" t="s">
        <v>12605</v>
      </c>
      <c r="F16409" s="46" t="s">
        <v>7453</v>
      </c>
      <c r="G16409" s="46">
        <v>5.902016055567E12</v>
      </c>
      <c r="H16409" s="46" t="s">
        <v>7454</v>
      </c>
      <c r="I16409" s="46" t="s">
        <v>7455</v>
      </c>
      <c r="J16409" s="46" t="s">
        <v>332</v>
      </c>
      <c r="K16409" s="46" t="s">
        <v>63</v>
      </c>
      <c r="L16409" s="45">
        <v>46017.958333333336</v>
      </c>
      <c r="M16409" s="46" t="s">
        <v>123</v>
      </c>
      <c r="N16409" s="45">
        <v>46018.25</v>
      </c>
      <c r="O16409" s="46" t="s">
        <v>123</v>
      </c>
      <c r="P16409" s="46">
        <v>25200.0</v>
      </c>
    </row>
    <row r="16410">
      <c r="A16410" s="40">
        <f t="shared" si="1"/>
        <v>46013</v>
      </c>
      <c r="B16410" s="37" t="str">
        <f t="array" ref="B16410">iferror(xlookup($I16410, 'IMPORT VHC Report'!$E:$E, 'IMPORT VHC Report'!$A:$C), )</f>
        <v/>
      </c>
      <c r="C16410" s="44"/>
      <c r="D16410" s="44"/>
      <c r="E16410" s="46" t="s">
        <v>12606</v>
      </c>
      <c r="F16410" s="46" t="s">
        <v>7453</v>
      </c>
      <c r="G16410" s="46">
        <v>5.902016055567E12</v>
      </c>
      <c r="H16410" s="46" t="s">
        <v>7454</v>
      </c>
      <c r="I16410" s="46" t="s">
        <v>7455</v>
      </c>
      <c r="J16410" s="46" t="s">
        <v>134</v>
      </c>
      <c r="K16410" s="46" t="s">
        <v>126</v>
      </c>
      <c r="L16410" s="45">
        <v>46018.1875</v>
      </c>
      <c r="M16410" s="46" t="s">
        <v>123</v>
      </c>
      <c r="N16410" s="45">
        <v>46018.208333333336</v>
      </c>
      <c r="O16410" s="46" t="s">
        <v>123</v>
      </c>
      <c r="P16410" s="46">
        <v>1800.0</v>
      </c>
    </row>
    <row r="16411">
      <c r="A16411" s="40">
        <f t="shared" si="1"/>
        <v>46013</v>
      </c>
      <c r="B16411" s="37" t="str">
        <f t="array" ref="B16411">iferror(xlookup($I16411, 'IMPORT VHC Report'!$E:$E, 'IMPORT VHC Report'!$A:$C), )</f>
        <v/>
      </c>
      <c r="C16411" s="44"/>
      <c r="D16411" s="44"/>
      <c r="E16411" s="46" t="s">
        <v>12607</v>
      </c>
      <c r="F16411" s="46" t="s">
        <v>7453</v>
      </c>
      <c r="G16411" s="46">
        <v>5.902016055567E12</v>
      </c>
      <c r="H16411" s="46" t="s">
        <v>7454</v>
      </c>
      <c r="I16411" s="46" t="s">
        <v>7455</v>
      </c>
      <c r="J16411" s="46" t="s">
        <v>132</v>
      </c>
      <c r="K16411" s="46" t="s">
        <v>126</v>
      </c>
      <c r="L16411" s="45">
        <v>46018.208333333336</v>
      </c>
      <c r="M16411" s="46" t="s">
        <v>123</v>
      </c>
      <c r="N16411" s="45">
        <v>46018.25</v>
      </c>
      <c r="O16411" s="46" t="s">
        <v>123</v>
      </c>
      <c r="P16411" s="46">
        <v>3600.0</v>
      </c>
    </row>
    <row r="16412">
      <c r="A16412" s="40">
        <f t="shared" si="1"/>
        <v>46013</v>
      </c>
      <c r="B16412" s="37" t="str">
        <f t="array" ref="B16412">iferror(xlookup($I16412, 'IMPORT VHC Report'!$E:$E, 'IMPORT VHC Report'!$A:$C), )</f>
        <v/>
      </c>
      <c r="C16412" s="44"/>
      <c r="D16412" s="44"/>
      <c r="E16412" s="46" t="s">
        <v>12608</v>
      </c>
      <c r="F16412" s="46" t="s">
        <v>7453</v>
      </c>
      <c r="G16412" s="46">
        <v>5.902016055567E12</v>
      </c>
      <c r="H16412" s="46" t="s">
        <v>7454</v>
      </c>
      <c r="I16412" s="46" t="s">
        <v>7455</v>
      </c>
      <c r="J16412" s="46" t="s">
        <v>332</v>
      </c>
      <c r="K16412" s="46" t="s">
        <v>63</v>
      </c>
      <c r="L16412" s="45">
        <v>46018.875</v>
      </c>
      <c r="M16412" s="46" t="s">
        <v>123</v>
      </c>
      <c r="N16412" s="45">
        <v>46019.25</v>
      </c>
      <c r="O16412" s="46" t="s">
        <v>123</v>
      </c>
      <c r="P16412" s="46">
        <v>32400.0</v>
      </c>
    </row>
    <row r="16413">
      <c r="A16413" s="40">
        <f t="shared" si="1"/>
        <v>46013</v>
      </c>
      <c r="B16413" s="37" t="str">
        <f t="array" ref="B16413">iferror(xlookup($I16413, 'IMPORT VHC Report'!$E:$E, 'IMPORT VHC Report'!$A:$C), )</f>
        <v/>
      </c>
      <c r="C16413" s="44"/>
      <c r="D16413" s="44"/>
      <c r="E16413" s="46" t="s">
        <v>12609</v>
      </c>
      <c r="F16413" s="46" t="s">
        <v>7453</v>
      </c>
      <c r="G16413" s="46">
        <v>5.902016055567E12</v>
      </c>
      <c r="H16413" s="46" t="s">
        <v>7454</v>
      </c>
      <c r="I16413" s="46" t="s">
        <v>7455</v>
      </c>
      <c r="J16413" s="46" t="s">
        <v>134</v>
      </c>
      <c r="K16413" s="46" t="s">
        <v>126</v>
      </c>
      <c r="L16413" s="45">
        <v>46019.1875</v>
      </c>
      <c r="M16413" s="46" t="s">
        <v>123</v>
      </c>
      <c r="N16413" s="45">
        <v>46019.208333333336</v>
      </c>
      <c r="O16413" s="46" t="s">
        <v>123</v>
      </c>
      <c r="P16413" s="46">
        <v>1800.0</v>
      </c>
    </row>
    <row r="16414">
      <c r="A16414" s="40">
        <f t="shared" si="1"/>
        <v>46013</v>
      </c>
      <c r="B16414" s="37" t="str">
        <f t="array" ref="B16414">iferror(xlookup($I16414, 'IMPORT VHC Report'!$E:$E, 'IMPORT VHC Report'!$A:$C), )</f>
        <v/>
      </c>
      <c r="C16414" s="44"/>
      <c r="D16414" s="44"/>
      <c r="E16414" s="46" t="s">
        <v>12610</v>
      </c>
      <c r="F16414" s="46" t="s">
        <v>7453</v>
      </c>
      <c r="G16414" s="46">
        <v>5.902016055567E12</v>
      </c>
      <c r="H16414" s="46" t="s">
        <v>7454</v>
      </c>
      <c r="I16414" s="46" t="s">
        <v>7455</v>
      </c>
      <c r="J16414" s="46" t="s">
        <v>132</v>
      </c>
      <c r="K16414" s="46" t="s">
        <v>126</v>
      </c>
      <c r="L16414" s="45">
        <v>46019.208333333336</v>
      </c>
      <c r="M16414" s="46" t="s">
        <v>123</v>
      </c>
      <c r="N16414" s="45">
        <v>46019.25</v>
      </c>
      <c r="O16414" s="46" t="s">
        <v>123</v>
      </c>
      <c r="P16414" s="46">
        <v>3600.0</v>
      </c>
    </row>
    <row r="16415">
      <c r="A16415" s="40">
        <f t="shared" si="1"/>
        <v>46006</v>
      </c>
      <c r="B16415" s="37" t="str">
        <f t="array" ref="B16415">iferror(xlookup($I16415, 'IMPORT VHC Report'!$E:$E, 'IMPORT VHC Report'!$A:$C), )</f>
        <v/>
      </c>
      <c r="C16415" s="44"/>
      <c r="D16415" s="44"/>
      <c r="E16415" s="46" t="s">
        <v>151</v>
      </c>
      <c r="F16415" s="46" t="s">
        <v>119</v>
      </c>
      <c r="H16415" s="46" t="s">
        <v>120</v>
      </c>
      <c r="I16415" s="46" t="s">
        <v>121</v>
      </c>
      <c r="J16415" s="46" t="s">
        <v>152</v>
      </c>
      <c r="K16415" s="46" t="s">
        <v>153</v>
      </c>
      <c r="L16415" s="45">
        <v>46012.666666666664</v>
      </c>
      <c r="M16415" s="46" t="s">
        <v>123</v>
      </c>
      <c r="N16415" s="45">
        <v>46013.041666666664</v>
      </c>
      <c r="O16415" s="46" t="s">
        <v>123</v>
      </c>
      <c r="P16415" s="46">
        <v>32400.0</v>
      </c>
      <c r="Q16415" s="46">
        <v>28800.0</v>
      </c>
      <c r="R16415" s="46" t="s">
        <v>152</v>
      </c>
    </row>
    <row r="16416">
      <c r="A16416" s="40">
        <f t="shared" si="1"/>
        <v>46006</v>
      </c>
      <c r="B16416" s="37" t="str">
        <f t="array" ref="B16416">iferror(xlookup($I16416, 'IMPORT VHC Report'!$E:$E, 'IMPORT VHC Report'!$A:$C), )</f>
        <v/>
      </c>
      <c r="C16416" s="44"/>
      <c r="D16416" s="44"/>
      <c r="E16416" s="46" t="s">
        <v>154</v>
      </c>
      <c r="F16416" s="46" t="s">
        <v>119</v>
      </c>
      <c r="H16416" s="46" t="s">
        <v>120</v>
      </c>
      <c r="I16416" s="46" t="s">
        <v>121</v>
      </c>
      <c r="J16416" s="46" t="s">
        <v>122</v>
      </c>
      <c r="K16416" s="46" t="s">
        <v>63</v>
      </c>
      <c r="L16416" s="45">
        <v>46012.666666666664</v>
      </c>
      <c r="M16416" s="46" t="s">
        <v>123</v>
      </c>
      <c r="N16416" s="45">
        <v>46013.041666666664</v>
      </c>
      <c r="O16416" s="46" t="s">
        <v>123</v>
      </c>
      <c r="P16416" s="46">
        <v>32400.0</v>
      </c>
    </row>
    <row r="16417">
      <c r="A16417" s="40">
        <f t="shared" si="1"/>
        <v>46013</v>
      </c>
      <c r="B16417" s="37" t="str">
        <f t="array" ref="B16417">iferror(xlookup($I16417, 'IMPORT VHC Report'!$E:$E, 'IMPORT VHC Report'!$A:$C), )</f>
        <v/>
      </c>
      <c r="C16417" s="44"/>
      <c r="D16417" s="44"/>
      <c r="E16417" s="46" t="s">
        <v>12611</v>
      </c>
      <c r="F16417" s="46" t="s">
        <v>119</v>
      </c>
      <c r="H16417" s="46" t="s">
        <v>120</v>
      </c>
      <c r="I16417" s="46" t="s">
        <v>121</v>
      </c>
      <c r="J16417" s="46" t="s">
        <v>125</v>
      </c>
      <c r="K16417" s="46" t="s">
        <v>126</v>
      </c>
      <c r="L16417" s="45">
        <v>46015.666666666664</v>
      </c>
      <c r="M16417" s="46" t="s">
        <v>123</v>
      </c>
      <c r="N16417" s="45">
        <v>46015.67361111111</v>
      </c>
      <c r="O16417" s="46" t="s">
        <v>123</v>
      </c>
      <c r="P16417" s="46">
        <v>600.0</v>
      </c>
      <c r="S16417" s="46" t="s">
        <v>127</v>
      </c>
    </row>
    <row r="16418">
      <c r="A16418" s="40">
        <f t="shared" si="1"/>
        <v>46013</v>
      </c>
      <c r="B16418" s="37" t="str">
        <f t="array" ref="B16418">iferror(xlookup($I16418, 'IMPORT VHC Report'!$E:$E, 'IMPORT VHC Report'!$A:$C), )</f>
        <v/>
      </c>
      <c r="C16418" s="44"/>
      <c r="D16418" s="44"/>
      <c r="E16418" s="46" t="s">
        <v>12612</v>
      </c>
      <c r="F16418" s="46" t="s">
        <v>119</v>
      </c>
      <c r="H16418" s="46" t="s">
        <v>120</v>
      </c>
      <c r="I16418" s="46" t="s">
        <v>121</v>
      </c>
      <c r="J16418" s="46" t="s">
        <v>122</v>
      </c>
      <c r="K16418" s="46" t="s">
        <v>63</v>
      </c>
      <c r="L16418" s="45">
        <v>46015.666666666664</v>
      </c>
      <c r="M16418" s="46" t="s">
        <v>123</v>
      </c>
      <c r="N16418" s="45">
        <v>46016.041666666664</v>
      </c>
      <c r="O16418" s="46" t="s">
        <v>123</v>
      </c>
      <c r="P16418" s="46">
        <v>32400.0</v>
      </c>
    </row>
    <row r="16419">
      <c r="A16419" s="40">
        <f t="shared" si="1"/>
        <v>46013</v>
      </c>
      <c r="B16419" s="37" t="str">
        <f t="array" ref="B16419">iferror(xlookup($I16419, 'IMPORT VHC Report'!$E:$E, 'IMPORT VHC Report'!$A:$C), )</f>
        <v/>
      </c>
      <c r="C16419" s="44"/>
      <c r="D16419" s="44"/>
      <c r="E16419" s="46" t="s">
        <v>12613</v>
      </c>
      <c r="F16419" s="46" t="s">
        <v>119</v>
      </c>
      <c r="H16419" s="46" t="s">
        <v>120</v>
      </c>
      <c r="I16419" s="46" t="s">
        <v>121</v>
      </c>
      <c r="J16419" s="46" t="s">
        <v>178</v>
      </c>
      <c r="K16419" s="46" t="s">
        <v>153</v>
      </c>
      <c r="L16419" s="45">
        <v>46015.666666666664</v>
      </c>
      <c r="M16419" s="46" t="s">
        <v>123</v>
      </c>
      <c r="N16419" s="45">
        <v>46016.041666666664</v>
      </c>
      <c r="O16419" s="46" t="s">
        <v>123</v>
      </c>
      <c r="P16419" s="46">
        <v>32400.0</v>
      </c>
      <c r="Q16419" s="46">
        <v>57600.0</v>
      </c>
      <c r="R16419" s="46" t="s">
        <v>12614</v>
      </c>
    </row>
    <row r="16420">
      <c r="A16420" s="40">
        <f t="shared" si="1"/>
        <v>46013</v>
      </c>
      <c r="B16420" s="37" t="str">
        <f t="array" ref="B16420">iferror(xlookup($I16420, 'IMPORT VHC Report'!$E:$E, 'IMPORT VHC Report'!$A:$C), )</f>
        <v/>
      </c>
      <c r="C16420" s="44"/>
      <c r="D16420" s="44"/>
      <c r="E16420" s="46" t="s">
        <v>12615</v>
      </c>
      <c r="F16420" s="46" t="s">
        <v>119</v>
      </c>
      <c r="H16420" s="46" t="s">
        <v>120</v>
      </c>
      <c r="I16420" s="46" t="s">
        <v>121</v>
      </c>
      <c r="J16420" s="46" t="s">
        <v>132</v>
      </c>
      <c r="K16420" s="46" t="s">
        <v>126</v>
      </c>
      <c r="L16420" s="45">
        <v>46015.78125</v>
      </c>
      <c r="M16420" s="46" t="s">
        <v>123</v>
      </c>
      <c r="N16420" s="45">
        <v>46015.822916666664</v>
      </c>
      <c r="O16420" s="46" t="s">
        <v>123</v>
      </c>
      <c r="P16420" s="46">
        <v>3600.0</v>
      </c>
    </row>
    <row r="16421">
      <c r="A16421" s="40">
        <f t="shared" si="1"/>
        <v>46013</v>
      </c>
      <c r="B16421" s="37" t="str">
        <f t="array" ref="B16421">iferror(xlookup($I16421, 'IMPORT VHC Report'!$E:$E, 'IMPORT VHC Report'!$A:$C), )</f>
        <v/>
      </c>
      <c r="C16421" s="44"/>
      <c r="D16421" s="44"/>
      <c r="E16421" s="46" t="s">
        <v>12616</v>
      </c>
      <c r="F16421" s="46" t="s">
        <v>119</v>
      </c>
      <c r="H16421" s="46" t="s">
        <v>120</v>
      </c>
      <c r="I16421" s="46" t="s">
        <v>121</v>
      </c>
      <c r="J16421" s="46" t="s">
        <v>134</v>
      </c>
      <c r="K16421" s="46" t="s">
        <v>126</v>
      </c>
      <c r="L16421" s="45">
        <v>46015.895833333336</v>
      </c>
      <c r="M16421" s="46" t="s">
        <v>123</v>
      </c>
      <c r="N16421" s="45">
        <v>46015.916666666664</v>
      </c>
      <c r="O16421" s="46" t="s">
        <v>123</v>
      </c>
      <c r="P16421" s="46">
        <v>1800.0</v>
      </c>
    </row>
    <row r="16422">
      <c r="A16422" s="40">
        <f t="shared" si="1"/>
        <v>46013</v>
      </c>
      <c r="B16422" s="37" t="str">
        <f t="array" ref="B16422">iferror(xlookup($I16422, 'IMPORT VHC Report'!$E:$E, 'IMPORT VHC Report'!$A:$C), )</f>
        <v/>
      </c>
      <c r="C16422" s="44"/>
      <c r="D16422" s="44"/>
      <c r="E16422" s="46" t="s">
        <v>12617</v>
      </c>
      <c r="F16422" s="46" t="s">
        <v>119</v>
      </c>
      <c r="H16422" s="46" t="s">
        <v>120</v>
      </c>
      <c r="I16422" s="46" t="s">
        <v>121</v>
      </c>
      <c r="J16422" s="46" t="s">
        <v>125</v>
      </c>
      <c r="K16422" s="46" t="s">
        <v>126</v>
      </c>
      <c r="L16422" s="45">
        <v>46016.666666666664</v>
      </c>
      <c r="M16422" s="46" t="s">
        <v>123</v>
      </c>
      <c r="N16422" s="45">
        <v>46016.67361111111</v>
      </c>
      <c r="O16422" s="46" t="s">
        <v>123</v>
      </c>
      <c r="P16422" s="46">
        <v>600.0</v>
      </c>
      <c r="S16422" s="46" t="s">
        <v>127</v>
      </c>
    </row>
    <row r="16423">
      <c r="A16423" s="40">
        <f t="shared" si="1"/>
        <v>46013</v>
      </c>
      <c r="B16423" s="37" t="str">
        <f t="array" ref="B16423">iferror(xlookup($I16423, 'IMPORT VHC Report'!$E:$E, 'IMPORT VHC Report'!$A:$C), )</f>
        <v/>
      </c>
      <c r="C16423" s="44"/>
      <c r="D16423" s="44"/>
      <c r="E16423" s="46" t="s">
        <v>12618</v>
      </c>
      <c r="F16423" s="46" t="s">
        <v>119</v>
      </c>
      <c r="H16423" s="46" t="s">
        <v>120</v>
      </c>
      <c r="I16423" s="46" t="s">
        <v>121</v>
      </c>
      <c r="J16423" s="46" t="s">
        <v>178</v>
      </c>
      <c r="K16423" s="46" t="s">
        <v>153</v>
      </c>
      <c r="L16423" s="45">
        <v>46016.666666666664</v>
      </c>
      <c r="M16423" s="46" t="s">
        <v>123</v>
      </c>
      <c r="N16423" s="45">
        <v>46017.041666666664</v>
      </c>
      <c r="O16423" s="46" t="s">
        <v>123</v>
      </c>
      <c r="P16423" s="46">
        <v>32400.0</v>
      </c>
      <c r="Q16423" s="46">
        <v>32400.0</v>
      </c>
    </row>
    <row r="16424">
      <c r="A16424" s="40">
        <f t="shared" si="1"/>
        <v>46013</v>
      </c>
      <c r="B16424" s="37" t="str">
        <f t="array" ref="B16424">iferror(xlookup($I16424, 'IMPORT VHC Report'!$E:$E, 'IMPORT VHC Report'!$A:$C), )</f>
        <v/>
      </c>
      <c r="C16424" s="44"/>
      <c r="D16424" s="44"/>
      <c r="E16424" s="46" t="s">
        <v>12619</v>
      </c>
      <c r="F16424" s="46" t="s">
        <v>119</v>
      </c>
      <c r="H16424" s="46" t="s">
        <v>120</v>
      </c>
      <c r="I16424" s="46" t="s">
        <v>121</v>
      </c>
      <c r="J16424" s="46" t="s">
        <v>122</v>
      </c>
      <c r="K16424" s="46" t="s">
        <v>63</v>
      </c>
      <c r="L16424" s="45">
        <v>46016.666666666664</v>
      </c>
      <c r="M16424" s="46" t="s">
        <v>123</v>
      </c>
      <c r="N16424" s="45">
        <v>46017.041666666664</v>
      </c>
      <c r="O16424" s="46" t="s">
        <v>123</v>
      </c>
      <c r="P16424" s="46">
        <v>32400.0</v>
      </c>
    </row>
    <row r="16425">
      <c r="A16425" s="40">
        <f t="shared" si="1"/>
        <v>46013</v>
      </c>
      <c r="B16425" s="37" t="str">
        <f t="array" ref="B16425">iferror(xlookup($I16425, 'IMPORT VHC Report'!$E:$E, 'IMPORT VHC Report'!$A:$C), )</f>
        <v/>
      </c>
      <c r="C16425" s="44"/>
      <c r="D16425" s="44"/>
      <c r="E16425" s="46" t="s">
        <v>12620</v>
      </c>
      <c r="F16425" s="46" t="s">
        <v>119</v>
      </c>
      <c r="H16425" s="46" t="s">
        <v>120</v>
      </c>
      <c r="I16425" s="46" t="s">
        <v>121</v>
      </c>
      <c r="J16425" s="46" t="s">
        <v>134</v>
      </c>
      <c r="K16425" s="46" t="s">
        <v>126</v>
      </c>
      <c r="L16425" s="45">
        <v>46016.770833333336</v>
      </c>
      <c r="M16425" s="46" t="s">
        <v>123</v>
      </c>
      <c r="N16425" s="45">
        <v>46016.791666666664</v>
      </c>
      <c r="O16425" s="46" t="s">
        <v>123</v>
      </c>
      <c r="P16425" s="46">
        <v>1800.0</v>
      </c>
    </row>
    <row r="16426">
      <c r="A16426" s="40">
        <f t="shared" si="1"/>
        <v>46013</v>
      </c>
      <c r="B16426" s="37" t="str">
        <f t="array" ref="B16426">iferror(xlookup($I16426, 'IMPORT VHC Report'!$E:$E, 'IMPORT VHC Report'!$A:$C), )</f>
        <v/>
      </c>
      <c r="C16426" s="44"/>
      <c r="D16426" s="44"/>
      <c r="E16426" s="46" t="s">
        <v>12621</v>
      </c>
      <c r="F16426" s="46" t="s">
        <v>119</v>
      </c>
      <c r="H16426" s="46" t="s">
        <v>120</v>
      </c>
      <c r="I16426" s="46" t="s">
        <v>121</v>
      </c>
      <c r="J16426" s="46" t="s">
        <v>132</v>
      </c>
      <c r="K16426" s="46" t="s">
        <v>126</v>
      </c>
      <c r="L16426" s="45">
        <v>46016.875</v>
      </c>
      <c r="M16426" s="46" t="s">
        <v>123</v>
      </c>
      <c r="N16426" s="45">
        <v>46016.916666666664</v>
      </c>
      <c r="O16426" s="46" t="s">
        <v>123</v>
      </c>
      <c r="P16426" s="46">
        <v>3600.0</v>
      </c>
    </row>
    <row r="16427">
      <c r="A16427" s="40">
        <f t="shared" si="1"/>
        <v>46013</v>
      </c>
      <c r="B16427" s="37" t="str">
        <f t="array" ref="B16427">iferror(xlookup($I16427, 'IMPORT VHC Report'!$E:$E, 'IMPORT VHC Report'!$A:$C), )</f>
        <v/>
      </c>
      <c r="C16427" s="44"/>
      <c r="D16427" s="44"/>
      <c r="E16427" s="46" t="s">
        <v>12622</v>
      </c>
      <c r="F16427" s="46" t="s">
        <v>119</v>
      </c>
      <c r="H16427" s="46" t="s">
        <v>120</v>
      </c>
      <c r="I16427" s="46" t="s">
        <v>121</v>
      </c>
      <c r="J16427" s="46" t="s">
        <v>125</v>
      </c>
      <c r="K16427" s="46" t="s">
        <v>126</v>
      </c>
      <c r="L16427" s="45">
        <v>46017.666666666664</v>
      </c>
      <c r="M16427" s="46" t="s">
        <v>123</v>
      </c>
      <c r="N16427" s="45">
        <v>46017.67361111111</v>
      </c>
      <c r="O16427" s="46" t="s">
        <v>123</v>
      </c>
      <c r="P16427" s="46">
        <v>600.0</v>
      </c>
      <c r="S16427" s="46" t="s">
        <v>127</v>
      </c>
    </row>
    <row r="16428">
      <c r="A16428" s="40">
        <f t="shared" si="1"/>
        <v>46013</v>
      </c>
      <c r="B16428" s="37" t="str">
        <f t="array" ref="B16428">iferror(xlookup($I16428, 'IMPORT VHC Report'!$E:$E, 'IMPORT VHC Report'!$A:$C), )</f>
        <v/>
      </c>
      <c r="C16428" s="44"/>
      <c r="D16428" s="44"/>
      <c r="E16428" s="46" t="s">
        <v>12623</v>
      </c>
      <c r="F16428" s="46" t="s">
        <v>119</v>
      </c>
      <c r="H16428" s="46" t="s">
        <v>120</v>
      </c>
      <c r="I16428" s="46" t="s">
        <v>121</v>
      </c>
      <c r="J16428" s="46" t="s">
        <v>178</v>
      </c>
      <c r="K16428" s="46" t="s">
        <v>153</v>
      </c>
      <c r="L16428" s="45">
        <v>46017.666666666664</v>
      </c>
      <c r="M16428" s="46" t="s">
        <v>123</v>
      </c>
      <c r="N16428" s="45">
        <v>46017.833333333336</v>
      </c>
      <c r="O16428" s="46" t="s">
        <v>123</v>
      </c>
      <c r="P16428" s="46">
        <v>14400.0</v>
      </c>
      <c r="Q16428" s="46">
        <v>14400.0</v>
      </c>
      <c r="R16428" s="46" t="s">
        <v>12624</v>
      </c>
    </row>
    <row r="16429">
      <c r="A16429" s="40">
        <f t="shared" si="1"/>
        <v>46013</v>
      </c>
      <c r="B16429" s="37" t="str">
        <f t="array" ref="B16429">iferror(xlookup($I16429, 'IMPORT VHC Report'!$E:$E, 'IMPORT VHC Report'!$A:$C), )</f>
        <v/>
      </c>
      <c r="C16429" s="44"/>
      <c r="D16429" s="44"/>
      <c r="E16429" s="46" t="s">
        <v>12625</v>
      </c>
      <c r="F16429" s="46" t="s">
        <v>119</v>
      </c>
      <c r="H16429" s="46" t="s">
        <v>120</v>
      </c>
      <c r="I16429" s="46" t="s">
        <v>121</v>
      </c>
      <c r="J16429" s="46" t="s">
        <v>122</v>
      </c>
      <c r="K16429" s="46" t="s">
        <v>63</v>
      </c>
      <c r="L16429" s="45">
        <v>46017.666666666664</v>
      </c>
      <c r="M16429" s="46" t="s">
        <v>123</v>
      </c>
      <c r="N16429" s="45">
        <v>46018.041666666664</v>
      </c>
      <c r="O16429" s="46" t="s">
        <v>123</v>
      </c>
      <c r="P16429" s="46">
        <v>32400.0</v>
      </c>
    </row>
    <row r="16430">
      <c r="A16430" s="40">
        <f t="shared" si="1"/>
        <v>46013</v>
      </c>
      <c r="B16430" s="37" t="str">
        <f t="array" ref="B16430">iferror(xlookup($I16430, 'IMPORT VHC Report'!$E:$E, 'IMPORT VHC Report'!$A:$C), )</f>
        <v/>
      </c>
      <c r="C16430" s="44"/>
      <c r="D16430" s="44"/>
      <c r="E16430" s="46" t="s">
        <v>12626</v>
      </c>
      <c r="F16430" s="46" t="s">
        <v>119</v>
      </c>
      <c r="H16430" s="46" t="s">
        <v>120</v>
      </c>
      <c r="I16430" s="46" t="s">
        <v>121</v>
      </c>
      <c r="J16430" s="46" t="s">
        <v>132</v>
      </c>
      <c r="K16430" s="46" t="s">
        <v>126</v>
      </c>
      <c r="L16430" s="45">
        <v>46017.791666666664</v>
      </c>
      <c r="M16430" s="46" t="s">
        <v>123</v>
      </c>
      <c r="N16430" s="45">
        <v>46017.833333333336</v>
      </c>
      <c r="O16430" s="46" t="s">
        <v>123</v>
      </c>
      <c r="P16430" s="46">
        <v>3600.0</v>
      </c>
    </row>
    <row r="16431">
      <c r="A16431" s="40">
        <f t="shared" si="1"/>
        <v>46013</v>
      </c>
      <c r="B16431" s="37" t="str">
        <f t="array" ref="B16431">iferror(xlookup($I16431, 'IMPORT VHC Report'!$E:$E, 'IMPORT VHC Report'!$A:$C), )</f>
        <v/>
      </c>
      <c r="C16431" s="44"/>
      <c r="D16431" s="44"/>
      <c r="E16431" s="46" t="s">
        <v>12627</v>
      </c>
      <c r="F16431" s="46" t="s">
        <v>119</v>
      </c>
      <c r="H16431" s="46" t="s">
        <v>120</v>
      </c>
      <c r="I16431" s="46" t="s">
        <v>121</v>
      </c>
      <c r="J16431" s="46" t="s">
        <v>134</v>
      </c>
      <c r="K16431" s="46" t="s">
        <v>126</v>
      </c>
      <c r="L16431" s="45">
        <v>46017.927083333336</v>
      </c>
      <c r="M16431" s="46" t="s">
        <v>123</v>
      </c>
      <c r="N16431" s="45">
        <v>46017.947916666664</v>
      </c>
      <c r="O16431" s="46" t="s">
        <v>123</v>
      </c>
      <c r="P16431" s="46">
        <v>1800.0</v>
      </c>
    </row>
    <row r="16432">
      <c r="A16432" s="40">
        <f t="shared" si="1"/>
        <v>46013</v>
      </c>
      <c r="B16432" s="37" t="str">
        <f t="array" ref="B16432">iferror(xlookup($I16432, 'IMPORT VHC Report'!$E:$E, 'IMPORT VHC Report'!$A:$C), )</f>
        <v/>
      </c>
      <c r="C16432" s="44"/>
      <c r="D16432" s="44"/>
      <c r="E16432" s="46" t="s">
        <v>12628</v>
      </c>
      <c r="F16432" s="46" t="s">
        <v>119</v>
      </c>
      <c r="H16432" s="46" t="s">
        <v>120</v>
      </c>
      <c r="I16432" s="46" t="s">
        <v>121</v>
      </c>
      <c r="J16432" s="46" t="s">
        <v>125</v>
      </c>
      <c r="K16432" s="46" t="s">
        <v>126</v>
      </c>
      <c r="L16432" s="45">
        <v>46018.666666666664</v>
      </c>
      <c r="M16432" s="46" t="s">
        <v>123</v>
      </c>
      <c r="N16432" s="45">
        <v>46018.67361111111</v>
      </c>
      <c r="O16432" s="46" t="s">
        <v>123</v>
      </c>
      <c r="P16432" s="46">
        <v>600.0</v>
      </c>
      <c r="S16432" s="46" t="s">
        <v>127</v>
      </c>
    </row>
    <row r="16433">
      <c r="A16433" s="40">
        <f t="shared" si="1"/>
        <v>46013</v>
      </c>
      <c r="B16433" s="37" t="str">
        <f t="array" ref="B16433">iferror(xlookup($I16433, 'IMPORT VHC Report'!$E:$E, 'IMPORT VHC Report'!$A:$C), )</f>
        <v/>
      </c>
      <c r="C16433" s="44"/>
      <c r="D16433" s="44"/>
      <c r="E16433" s="46" t="s">
        <v>12629</v>
      </c>
      <c r="F16433" s="46" t="s">
        <v>119</v>
      </c>
      <c r="H16433" s="46" t="s">
        <v>120</v>
      </c>
      <c r="I16433" s="46" t="s">
        <v>121</v>
      </c>
      <c r="J16433" s="46" t="s">
        <v>178</v>
      </c>
      <c r="K16433" s="46" t="s">
        <v>153</v>
      </c>
      <c r="L16433" s="45">
        <v>46018.666666666664</v>
      </c>
      <c r="M16433" s="46" t="s">
        <v>123</v>
      </c>
      <c r="N16433" s="45">
        <v>46019.041666666664</v>
      </c>
      <c r="O16433" s="46" t="s">
        <v>123</v>
      </c>
      <c r="P16433" s="46">
        <v>32400.0</v>
      </c>
      <c r="Q16433" s="46">
        <v>57600.0</v>
      </c>
      <c r="R16433" s="46" t="s">
        <v>12614</v>
      </c>
    </row>
    <row r="16434">
      <c r="A16434" s="40">
        <f t="shared" si="1"/>
        <v>46013</v>
      </c>
      <c r="B16434" s="37" t="str">
        <f t="array" ref="B16434">iferror(xlookup($I16434, 'IMPORT VHC Report'!$E:$E, 'IMPORT VHC Report'!$A:$C), )</f>
        <v/>
      </c>
      <c r="C16434" s="44"/>
      <c r="D16434" s="44"/>
      <c r="E16434" s="46" t="s">
        <v>12630</v>
      </c>
      <c r="F16434" s="46" t="s">
        <v>119</v>
      </c>
      <c r="H16434" s="46" t="s">
        <v>120</v>
      </c>
      <c r="I16434" s="46" t="s">
        <v>121</v>
      </c>
      <c r="J16434" s="46" t="s">
        <v>122</v>
      </c>
      <c r="K16434" s="46" t="s">
        <v>63</v>
      </c>
      <c r="L16434" s="45">
        <v>46018.666666666664</v>
      </c>
      <c r="M16434" s="46" t="s">
        <v>123</v>
      </c>
      <c r="N16434" s="45">
        <v>46019.041666666664</v>
      </c>
      <c r="O16434" s="46" t="s">
        <v>123</v>
      </c>
      <c r="P16434" s="46">
        <v>32400.0</v>
      </c>
    </row>
    <row r="16435">
      <c r="A16435" s="40">
        <f t="shared" si="1"/>
        <v>46013</v>
      </c>
      <c r="B16435" s="37" t="str">
        <f t="array" ref="B16435">iferror(xlookup($I16435, 'IMPORT VHC Report'!$E:$E, 'IMPORT VHC Report'!$A:$C), )</f>
        <v/>
      </c>
      <c r="C16435" s="44"/>
      <c r="D16435" s="44"/>
      <c r="E16435" s="46" t="s">
        <v>12631</v>
      </c>
      <c r="F16435" s="46" t="s">
        <v>119</v>
      </c>
      <c r="H16435" s="46" t="s">
        <v>120</v>
      </c>
      <c r="I16435" s="46" t="s">
        <v>121</v>
      </c>
      <c r="J16435" s="46" t="s">
        <v>132</v>
      </c>
      <c r="K16435" s="46" t="s">
        <v>126</v>
      </c>
      <c r="L16435" s="45">
        <v>46018.78125</v>
      </c>
      <c r="M16435" s="46" t="s">
        <v>123</v>
      </c>
      <c r="N16435" s="45">
        <v>46018.822916666664</v>
      </c>
      <c r="O16435" s="46" t="s">
        <v>123</v>
      </c>
      <c r="P16435" s="46">
        <v>3600.0</v>
      </c>
    </row>
    <row r="16436">
      <c r="A16436" s="40">
        <f t="shared" si="1"/>
        <v>46013</v>
      </c>
      <c r="B16436" s="37" t="str">
        <f t="array" ref="B16436">iferror(xlookup($I16436, 'IMPORT VHC Report'!$E:$E, 'IMPORT VHC Report'!$A:$C), )</f>
        <v/>
      </c>
      <c r="C16436" s="44"/>
      <c r="D16436" s="44"/>
      <c r="E16436" s="46" t="s">
        <v>12632</v>
      </c>
      <c r="F16436" s="46" t="s">
        <v>119</v>
      </c>
      <c r="H16436" s="46" t="s">
        <v>120</v>
      </c>
      <c r="I16436" s="46" t="s">
        <v>121</v>
      </c>
      <c r="J16436" s="46" t="s">
        <v>134</v>
      </c>
      <c r="K16436" s="46" t="s">
        <v>126</v>
      </c>
      <c r="L16436" s="45">
        <v>46018.916666666664</v>
      </c>
      <c r="M16436" s="46" t="s">
        <v>123</v>
      </c>
      <c r="N16436" s="45">
        <v>46018.9375</v>
      </c>
      <c r="O16436" s="46" t="s">
        <v>123</v>
      </c>
      <c r="P16436" s="46">
        <v>1800.0</v>
      </c>
    </row>
    <row r="16437">
      <c r="A16437" s="40">
        <f t="shared" si="1"/>
        <v>46013</v>
      </c>
      <c r="B16437" s="37" t="str">
        <f t="array" ref="B16437">iferror(xlookup($I16437, 'IMPORT VHC Report'!$E:$E, 'IMPORT VHC Report'!$A:$C), )</f>
        <v/>
      </c>
      <c r="C16437" s="44"/>
      <c r="D16437" s="44"/>
      <c r="E16437" s="46" t="s">
        <v>12633</v>
      </c>
      <c r="F16437" s="46" t="s">
        <v>119</v>
      </c>
      <c r="H16437" s="46" t="s">
        <v>120</v>
      </c>
      <c r="I16437" s="46" t="s">
        <v>121</v>
      </c>
      <c r="J16437" s="46" t="s">
        <v>125</v>
      </c>
      <c r="K16437" s="46" t="s">
        <v>126</v>
      </c>
      <c r="L16437" s="45">
        <v>46019.666666666664</v>
      </c>
      <c r="M16437" s="46" t="s">
        <v>123</v>
      </c>
      <c r="N16437" s="45">
        <v>46019.67361111111</v>
      </c>
      <c r="O16437" s="46" t="s">
        <v>123</v>
      </c>
      <c r="P16437" s="46">
        <v>600.0</v>
      </c>
      <c r="S16437" s="46" t="s">
        <v>127</v>
      </c>
    </row>
    <row r="16438">
      <c r="A16438" s="40">
        <f t="shared" si="1"/>
        <v>46013</v>
      </c>
      <c r="B16438" s="37" t="str">
        <f t="array" ref="B16438">iferror(xlookup($I16438, 'IMPORT VHC Report'!$E:$E, 'IMPORT VHC Report'!$A:$C), )</f>
        <v/>
      </c>
      <c r="C16438" s="44"/>
      <c r="D16438" s="44"/>
      <c r="E16438" s="46" t="s">
        <v>12634</v>
      </c>
      <c r="F16438" s="46" t="s">
        <v>119</v>
      </c>
      <c r="H16438" s="46" t="s">
        <v>120</v>
      </c>
      <c r="I16438" s="46" t="s">
        <v>121</v>
      </c>
      <c r="J16438" s="46" t="s">
        <v>178</v>
      </c>
      <c r="K16438" s="46" t="s">
        <v>153</v>
      </c>
      <c r="L16438" s="45">
        <v>46019.666666666664</v>
      </c>
      <c r="M16438" s="46" t="s">
        <v>123</v>
      </c>
      <c r="N16438" s="45">
        <v>46020.041666666664</v>
      </c>
      <c r="O16438" s="46" t="s">
        <v>123</v>
      </c>
      <c r="P16438" s="46">
        <v>32400.0</v>
      </c>
      <c r="Q16438" s="46">
        <v>32400.0</v>
      </c>
    </row>
    <row r="16439">
      <c r="A16439" s="40">
        <f t="shared" si="1"/>
        <v>46013</v>
      </c>
      <c r="B16439" s="37" t="str">
        <f t="array" ref="B16439">iferror(xlookup($I16439, 'IMPORT VHC Report'!$E:$E, 'IMPORT VHC Report'!$A:$C), )</f>
        <v/>
      </c>
      <c r="C16439" s="44"/>
      <c r="D16439" s="44"/>
      <c r="E16439" s="46" t="s">
        <v>12635</v>
      </c>
      <c r="F16439" s="46" t="s">
        <v>119</v>
      </c>
      <c r="H16439" s="46" t="s">
        <v>120</v>
      </c>
      <c r="I16439" s="46" t="s">
        <v>121</v>
      </c>
      <c r="J16439" s="46" t="s">
        <v>122</v>
      </c>
      <c r="K16439" s="46" t="s">
        <v>63</v>
      </c>
      <c r="L16439" s="45">
        <v>46019.666666666664</v>
      </c>
      <c r="M16439" s="46" t="s">
        <v>123</v>
      </c>
      <c r="N16439" s="45">
        <v>46020.041666666664</v>
      </c>
      <c r="O16439" s="46" t="s">
        <v>123</v>
      </c>
      <c r="P16439" s="46">
        <v>32400.0</v>
      </c>
    </row>
    <row r="16440">
      <c r="A16440" s="40">
        <f t="shared" si="1"/>
        <v>46013</v>
      </c>
      <c r="B16440" s="37" t="str">
        <f t="array" ref="B16440">iferror(xlookup($I16440, 'IMPORT VHC Report'!$E:$E, 'IMPORT VHC Report'!$A:$C), )</f>
        <v/>
      </c>
      <c r="C16440" s="44"/>
      <c r="D16440" s="44"/>
      <c r="E16440" s="46" t="s">
        <v>12636</v>
      </c>
      <c r="F16440" s="46" t="s">
        <v>119</v>
      </c>
      <c r="H16440" s="46" t="s">
        <v>120</v>
      </c>
      <c r="I16440" s="46" t="s">
        <v>121</v>
      </c>
      <c r="J16440" s="46" t="s">
        <v>132</v>
      </c>
      <c r="K16440" s="46" t="s">
        <v>126</v>
      </c>
      <c r="L16440" s="45">
        <v>46019.770833333336</v>
      </c>
      <c r="M16440" s="46" t="s">
        <v>123</v>
      </c>
      <c r="N16440" s="45">
        <v>46019.8125</v>
      </c>
      <c r="O16440" s="46" t="s">
        <v>123</v>
      </c>
      <c r="P16440" s="46">
        <v>3600.0</v>
      </c>
    </row>
    <row r="16441">
      <c r="A16441" s="40">
        <f t="shared" si="1"/>
        <v>46013</v>
      </c>
      <c r="B16441" s="37" t="str">
        <f t="array" ref="B16441">iferror(xlookup($I16441, 'IMPORT VHC Report'!$E:$E, 'IMPORT VHC Report'!$A:$C), )</f>
        <v/>
      </c>
      <c r="C16441" s="44"/>
      <c r="D16441" s="44"/>
      <c r="E16441" s="46" t="s">
        <v>12637</v>
      </c>
      <c r="F16441" s="46" t="s">
        <v>119</v>
      </c>
      <c r="H16441" s="46" t="s">
        <v>120</v>
      </c>
      <c r="I16441" s="46" t="s">
        <v>121</v>
      </c>
      <c r="J16441" s="46" t="s">
        <v>134</v>
      </c>
      <c r="K16441" s="46" t="s">
        <v>126</v>
      </c>
      <c r="L16441" s="45">
        <v>46019.927083333336</v>
      </c>
      <c r="M16441" s="46" t="s">
        <v>123</v>
      </c>
      <c r="N16441" s="45">
        <v>46019.947916666664</v>
      </c>
      <c r="O16441" s="46" t="s">
        <v>123</v>
      </c>
      <c r="P16441" s="46">
        <v>1800.0</v>
      </c>
    </row>
    <row r="16442">
      <c r="A16442" s="40">
        <f t="shared" si="1"/>
        <v>46006</v>
      </c>
      <c r="B16442" s="37" t="str">
        <f t="array" ref="B16442">iferror(xlookup($I16442, 'IMPORT VHC Report'!$E:$E, 'IMPORT VHC Report'!$A:$C), )</f>
        <v/>
      </c>
      <c r="C16442" s="44"/>
      <c r="D16442" s="44"/>
      <c r="E16442" s="46" t="s">
        <v>7878</v>
      </c>
      <c r="F16442" s="46" t="s">
        <v>1276</v>
      </c>
      <c r="G16442" s="46">
        <v>1.3475806334735E13</v>
      </c>
      <c r="H16442" s="46" t="s">
        <v>1277</v>
      </c>
      <c r="I16442" s="46" t="s">
        <v>1278</v>
      </c>
      <c r="J16442" s="46" t="s">
        <v>152</v>
      </c>
      <c r="K16442" s="46" t="s">
        <v>153</v>
      </c>
      <c r="L16442" s="45">
        <v>46012.875</v>
      </c>
      <c r="M16442" s="46" t="s">
        <v>123</v>
      </c>
      <c r="N16442" s="45">
        <v>46013.25</v>
      </c>
      <c r="O16442" s="46" t="s">
        <v>123</v>
      </c>
      <c r="P16442" s="46">
        <v>32400.0</v>
      </c>
      <c r="Q16442" s="46">
        <v>28800.0</v>
      </c>
      <c r="R16442" s="46" t="s">
        <v>7879</v>
      </c>
    </row>
    <row r="16443">
      <c r="A16443" s="40">
        <f t="shared" si="1"/>
        <v>46013</v>
      </c>
      <c r="B16443" s="37" t="str">
        <f t="array" ref="B16443">iferror(xlookup($I16443, 'IMPORT VHC Report'!$E:$E, 'IMPORT VHC Report'!$A:$C), )</f>
        <v/>
      </c>
      <c r="C16443" s="44"/>
      <c r="D16443" s="44"/>
      <c r="E16443" s="46" t="s">
        <v>12638</v>
      </c>
      <c r="F16443" s="46" t="s">
        <v>1276</v>
      </c>
      <c r="G16443" s="46">
        <v>1.3475806334735E13</v>
      </c>
      <c r="H16443" s="46" t="s">
        <v>1277</v>
      </c>
      <c r="I16443" s="46" t="s">
        <v>1278</v>
      </c>
      <c r="J16443" s="46" t="s">
        <v>132</v>
      </c>
      <c r="K16443" s="46" t="s">
        <v>126</v>
      </c>
      <c r="L16443" s="45">
        <v>46013.0</v>
      </c>
      <c r="M16443" s="46" t="s">
        <v>123</v>
      </c>
      <c r="N16443" s="45">
        <v>46013.041666666664</v>
      </c>
      <c r="O16443" s="46" t="s">
        <v>123</v>
      </c>
      <c r="P16443" s="46">
        <v>3600.0</v>
      </c>
    </row>
    <row r="16444">
      <c r="A16444" s="40">
        <f t="shared" si="1"/>
        <v>46013</v>
      </c>
      <c r="B16444" s="37" t="str">
        <f t="array" ref="B16444">iferror(xlookup($I16444, 'IMPORT VHC Report'!$E:$E, 'IMPORT VHC Report'!$A:$C), )</f>
        <v/>
      </c>
      <c r="C16444" s="44"/>
      <c r="D16444" s="44"/>
      <c r="E16444" s="46" t="s">
        <v>12639</v>
      </c>
      <c r="F16444" s="46" t="s">
        <v>1276</v>
      </c>
      <c r="G16444" s="46">
        <v>1.3475806334735E13</v>
      </c>
      <c r="H16444" s="46" t="s">
        <v>1277</v>
      </c>
      <c r="I16444" s="46" t="s">
        <v>1278</v>
      </c>
      <c r="J16444" s="46" t="s">
        <v>122</v>
      </c>
      <c r="K16444" s="46" t="s">
        <v>63</v>
      </c>
      <c r="L16444" s="45">
        <v>46013.0</v>
      </c>
      <c r="M16444" s="46" t="s">
        <v>123</v>
      </c>
      <c r="N16444" s="45">
        <v>46013.25</v>
      </c>
      <c r="O16444" s="46" t="s">
        <v>123</v>
      </c>
      <c r="P16444" s="46">
        <v>21600.0</v>
      </c>
    </row>
    <row r="16445">
      <c r="A16445" s="40">
        <f t="shared" si="1"/>
        <v>46013</v>
      </c>
      <c r="B16445" s="37" t="str">
        <f t="array" ref="B16445">iferror(xlookup($I16445, 'IMPORT VHC Report'!$E:$E, 'IMPORT VHC Report'!$A:$C), )</f>
        <v/>
      </c>
      <c r="C16445" s="44"/>
      <c r="D16445" s="44"/>
      <c r="E16445" s="46" t="s">
        <v>12640</v>
      </c>
      <c r="F16445" s="46" t="s">
        <v>1276</v>
      </c>
      <c r="G16445" s="46">
        <v>1.3475806334735E13</v>
      </c>
      <c r="H16445" s="46" t="s">
        <v>1277</v>
      </c>
      <c r="I16445" s="46" t="s">
        <v>1278</v>
      </c>
      <c r="J16445" s="46" t="s">
        <v>134</v>
      </c>
      <c r="K16445" s="46" t="s">
        <v>126</v>
      </c>
      <c r="L16445" s="45">
        <v>46013.166666666664</v>
      </c>
      <c r="M16445" s="46" t="s">
        <v>123</v>
      </c>
      <c r="N16445" s="45">
        <v>46013.1875</v>
      </c>
      <c r="O16445" s="46" t="s">
        <v>123</v>
      </c>
      <c r="P16445" s="46">
        <v>1800.0</v>
      </c>
    </row>
    <row r="16446">
      <c r="A16446" s="40">
        <f t="shared" si="1"/>
        <v>46013</v>
      </c>
      <c r="B16446" s="37" t="str">
        <f t="array" ref="B16446">iferror(xlookup($I16446, 'IMPORT VHC Report'!$E:$E, 'IMPORT VHC Report'!$A:$C), )</f>
        <v/>
      </c>
      <c r="C16446" s="44"/>
      <c r="D16446" s="44"/>
      <c r="E16446" s="46" t="s">
        <v>12641</v>
      </c>
      <c r="F16446" s="46" t="s">
        <v>1276</v>
      </c>
      <c r="G16446" s="46">
        <v>1.3475806334735E13</v>
      </c>
      <c r="H16446" s="46" t="s">
        <v>1277</v>
      </c>
      <c r="I16446" s="46" t="s">
        <v>1278</v>
      </c>
      <c r="J16446" s="46" t="s">
        <v>125</v>
      </c>
      <c r="K16446" s="46" t="s">
        <v>126</v>
      </c>
      <c r="L16446" s="45">
        <v>46015.875</v>
      </c>
      <c r="M16446" s="46" t="s">
        <v>123</v>
      </c>
      <c r="N16446" s="45">
        <v>46015.881944444445</v>
      </c>
      <c r="O16446" s="46" t="s">
        <v>123</v>
      </c>
      <c r="P16446" s="46">
        <v>600.0</v>
      </c>
      <c r="S16446" s="46" t="s">
        <v>127</v>
      </c>
    </row>
    <row r="16447">
      <c r="A16447" s="40">
        <f t="shared" si="1"/>
        <v>46013</v>
      </c>
      <c r="B16447" s="37" t="str">
        <f t="array" ref="B16447">iferror(xlookup($I16447, 'IMPORT VHC Report'!$E:$E, 'IMPORT VHC Report'!$A:$C), )</f>
        <v/>
      </c>
      <c r="C16447" s="44"/>
      <c r="D16447" s="44"/>
      <c r="E16447" s="46" t="s">
        <v>12642</v>
      </c>
      <c r="F16447" s="46" t="s">
        <v>1276</v>
      </c>
      <c r="G16447" s="46">
        <v>1.3475806334735E13</v>
      </c>
      <c r="H16447" s="46" t="s">
        <v>1277</v>
      </c>
      <c r="I16447" s="46" t="s">
        <v>1278</v>
      </c>
      <c r="J16447" s="46" t="s">
        <v>122</v>
      </c>
      <c r="K16447" s="46" t="s">
        <v>63</v>
      </c>
      <c r="L16447" s="45">
        <v>46015.875</v>
      </c>
      <c r="M16447" s="46" t="s">
        <v>123</v>
      </c>
      <c r="N16447" s="45">
        <v>46016.25</v>
      </c>
      <c r="O16447" s="46" t="s">
        <v>123</v>
      </c>
      <c r="P16447" s="46">
        <v>32400.0</v>
      </c>
    </row>
    <row r="16448">
      <c r="A16448" s="40">
        <f t="shared" si="1"/>
        <v>46013</v>
      </c>
      <c r="B16448" s="37" t="str">
        <f t="array" ref="B16448">iferror(xlookup($I16448, 'IMPORT VHC Report'!$E:$E, 'IMPORT VHC Report'!$A:$C), )</f>
        <v/>
      </c>
      <c r="C16448" s="44"/>
      <c r="D16448" s="44"/>
      <c r="E16448" s="46" t="s">
        <v>12643</v>
      </c>
      <c r="F16448" s="46" t="s">
        <v>1276</v>
      </c>
      <c r="G16448" s="46">
        <v>1.3475806334735E13</v>
      </c>
      <c r="H16448" s="46" t="s">
        <v>1277</v>
      </c>
      <c r="I16448" s="46" t="s">
        <v>1278</v>
      </c>
      <c r="J16448" s="46" t="s">
        <v>4</v>
      </c>
      <c r="K16448" s="46" t="s">
        <v>126</v>
      </c>
      <c r="L16448" s="45">
        <v>46015.947916666664</v>
      </c>
      <c r="M16448" s="46" t="s">
        <v>123</v>
      </c>
      <c r="N16448" s="45">
        <v>46015.958333333336</v>
      </c>
      <c r="O16448" s="46" t="s">
        <v>123</v>
      </c>
      <c r="P16448" s="46">
        <v>900.0</v>
      </c>
      <c r="S16448" s="46" t="s">
        <v>12644</v>
      </c>
    </row>
    <row r="16449">
      <c r="A16449" s="40">
        <f t="shared" si="1"/>
        <v>46013</v>
      </c>
      <c r="B16449" s="37" t="str">
        <f t="array" ref="B16449">iferror(xlookup($I16449, 'IMPORT VHC Report'!$E:$E, 'IMPORT VHC Report'!$A:$C), )</f>
        <v/>
      </c>
      <c r="C16449" s="44"/>
      <c r="D16449" s="44"/>
      <c r="E16449" s="46" t="s">
        <v>12645</v>
      </c>
      <c r="F16449" s="46" t="s">
        <v>1276</v>
      </c>
      <c r="G16449" s="46">
        <v>1.3475806334735E13</v>
      </c>
      <c r="H16449" s="46" t="s">
        <v>1277</v>
      </c>
      <c r="I16449" s="46" t="s">
        <v>1278</v>
      </c>
      <c r="J16449" s="46" t="s">
        <v>134</v>
      </c>
      <c r="K16449" s="46" t="s">
        <v>126</v>
      </c>
      <c r="L16449" s="45">
        <v>46015.958333333336</v>
      </c>
      <c r="M16449" s="46" t="s">
        <v>123</v>
      </c>
      <c r="N16449" s="45">
        <v>46015.979166666664</v>
      </c>
      <c r="O16449" s="46" t="s">
        <v>123</v>
      </c>
      <c r="P16449" s="46">
        <v>1800.0</v>
      </c>
    </row>
    <row r="16450">
      <c r="A16450" s="40">
        <f t="shared" si="1"/>
        <v>46013</v>
      </c>
      <c r="B16450" s="37" t="str">
        <f t="array" ref="B16450">iferror(xlookup($I16450, 'IMPORT VHC Report'!$E:$E, 'IMPORT VHC Report'!$A:$C), )</f>
        <v/>
      </c>
      <c r="C16450" s="44"/>
      <c r="D16450" s="44"/>
      <c r="E16450" s="46" t="s">
        <v>12646</v>
      </c>
      <c r="F16450" s="46" t="s">
        <v>1276</v>
      </c>
      <c r="G16450" s="46">
        <v>1.3475806334735E13</v>
      </c>
      <c r="H16450" s="46" t="s">
        <v>1277</v>
      </c>
      <c r="I16450" s="46" t="s">
        <v>1278</v>
      </c>
      <c r="J16450" s="46" t="s">
        <v>132</v>
      </c>
      <c r="K16450" s="46" t="s">
        <v>126</v>
      </c>
      <c r="L16450" s="45">
        <v>46016.041666666664</v>
      </c>
      <c r="M16450" s="46" t="s">
        <v>123</v>
      </c>
      <c r="N16450" s="45">
        <v>46016.083333333336</v>
      </c>
      <c r="O16450" s="46" t="s">
        <v>123</v>
      </c>
      <c r="P16450" s="46">
        <v>3600.0</v>
      </c>
    </row>
    <row r="16451">
      <c r="A16451" s="40">
        <f t="shared" si="1"/>
        <v>46013</v>
      </c>
      <c r="B16451" s="37" t="str">
        <f t="array" ref="B16451">iferror(xlookup($I16451, 'IMPORT VHC Report'!$E:$E, 'IMPORT VHC Report'!$A:$C), )</f>
        <v/>
      </c>
      <c r="C16451" s="44"/>
      <c r="D16451" s="44"/>
      <c r="E16451" s="46" t="s">
        <v>12647</v>
      </c>
      <c r="F16451" s="46" t="s">
        <v>1276</v>
      </c>
      <c r="G16451" s="46">
        <v>1.3475806334735E13</v>
      </c>
      <c r="H16451" s="46" t="s">
        <v>1277</v>
      </c>
      <c r="I16451" s="46" t="s">
        <v>1278</v>
      </c>
      <c r="J16451" s="46" t="s">
        <v>125</v>
      </c>
      <c r="K16451" s="46" t="s">
        <v>126</v>
      </c>
      <c r="L16451" s="45">
        <v>46016.875</v>
      </c>
      <c r="M16451" s="46" t="s">
        <v>123</v>
      </c>
      <c r="N16451" s="45">
        <v>46016.881944444445</v>
      </c>
      <c r="O16451" s="46" t="s">
        <v>123</v>
      </c>
      <c r="P16451" s="46">
        <v>600.0</v>
      </c>
      <c r="S16451" s="46" t="s">
        <v>127</v>
      </c>
    </row>
    <row r="16452">
      <c r="A16452" s="40">
        <f t="shared" si="1"/>
        <v>46013</v>
      </c>
      <c r="B16452" s="37" t="str">
        <f t="array" ref="B16452">iferror(xlookup($I16452, 'IMPORT VHC Report'!$E:$E, 'IMPORT VHC Report'!$A:$C), )</f>
        <v/>
      </c>
      <c r="C16452" s="44"/>
      <c r="D16452" s="44"/>
      <c r="E16452" s="46" t="s">
        <v>12648</v>
      </c>
      <c r="F16452" s="46" t="s">
        <v>1276</v>
      </c>
      <c r="G16452" s="46">
        <v>1.3475806334735E13</v>
      </c>
      <c r="H16452" s="46" t="s">
        <v>1277</v>
      </c>
      <c r="I16452" s="46" t="s">
        <v>1278</v>
      </c>
      <c r="J16452" s="46" t="s">
        <v>122</v>
      </c>
      <c r="K16452" s="46" t="s">
        <v>63</v>
      </c>
      <c r="L16452" s="45">
        <v>46016.875</v>
      </c>
      <c r="M16452" s="46" t="s">
        <v>123</v>
      </c>
      <c r="N16452" s="45">
        <v>46017.25</v>
      </c>
      <c r="O16452" s="46" t="s">
        <v>123</v>
      </c>
      <c r="P16452" s="46">
        <v>32400.0</v>
      </c>
    </row>
    <row r="16453">
      <c r="A16453" s="40">
        <f t="shared" si="1"/>
        <v>46013</v>
      </c>
      <c r="B16453" s="37" t="str">
        <f t="array" ref="B16453">iferror(xlookup($I16453, 'IMPORT VHC Report'!$E:$E, 'IMPORT VHC Report'!$A:$C), )</f>
        <v/>
      </c>
      <c r="C16453" s="44"/>
      <c r="D16453" s="44"/>
      <c r="E16453" s="46" t="s">
        <v>12649</v>
      </c>
      <c r="F16453" s="46" t="s">
        <v>1276</v>
      </c>
      <c r="G16453" s="46">
        <v>1.3475806334735E13</v>
      </c>
      <c r="H16453" s="46" t="s">
        <v>1277</v>
      </c>
      <c r="I16453" s="46" t="s">
        <v>1278</v>
      </c>
      <c r="J16453" s="46" t="s">
        <v>178</v>
      </c>
      <c r="K16453" s="46" t="s">
        <v>153</v>
      </c>
      <c r="L16453" s="45">
        <v>46016.875</v>
      </c>
      <c r="M16453" s="46" t="s">
        <v>123</v>
      </c>
      <c r="N16453" s="45">
        <v>46017.25</v>
      </c>
      <c r="O16453" s="46" t="s">
        <v>123</v>
      </c>
      <c r="P16453" s="46">
        <v>32400.0</v>
      </c>
      <c r="Q16453" s="46">
        <v>32400.0</v>
      </c>
    </row>
    <row r="16454">
      <c r="A16454" s="40">
        <f t="shared" si="1"/>
        <v>46013</v>
      </c>
      <c r="B16454" s="37" t="str">
        <f t="array" ref="B16454">iferror(xlookup($I16454, 'IMPORT VHC Report'!$E:$E, 'IMPORT VHC Report'!$A:$C), )</f>
        <v/>
      </c>
      <c r="C16454" s="44"/>
      <c r="D16454" s="44"/>
      <c r="E16454" s="46" t="s">
        <v>12650</v>
      </c>
      <c r="F16454" s="46" t="s">
        <v>1276</v>
      </c>
      <c r="G16454" s="46">
        <v>1.3475806334735E13</v>
      </c>
      <c r="H16454" s="46" t="s">
        <v>1277</v>
      </c>
      <c r="I16454" s="46" t="s">
        <v>1278</v>
      </c>
      <c r="J16454" s="46" t="s">
        <v>134</v>
      </c>
      <c r="K16454" s="46" t="s">
        <v>126</v>
      </c>
      <c r="L16454" s="45">
        <v>46016.958333333336</v>
      </c>
      <c r="M16454" s="46" t="s">
        <v>123</v>
      </c>
      <c r="N16454" s="45">
        <v>46016.979166666664</v>
      </c>
      <c r="O16454" s="46" t="s">
        <v>123</v>
      </c>
      <c r="P16454" s="46">
        <v>1800.0</v>
      </c>
    </row>
    <row r="16455">
      <c r="A16455" s="40">
        <f t="shared" si="1"/>
        <v>46013</v>
      </c>
      <c r="B16455" s="37" t="str">
        <f t="array" ref="B16455">iferror(xlookup($I16455, 'IMPORT VHC Report'!$E:$E, 'IMPORT VHC Report'!$A:$C), )</f>
        <v/>
      </c>
      <c r="C16455" s="44"/>
      <c r="D16455" s="44"/>
      <c r="E16455" s="46" t="s">
        <v>12651</v>
      </c>
      <c r="F16455" s="46" t="s">
        <v>1276</v>
      </c>
      <c r="G16455" s="46">
        <v>1.3475806334735E13</v>
      </c>
      <c r="H16455" s="46" t="s">
        <v>1277</v>
      </c>
      <c r="I16455" s="46" t="s">
        <v>1278</v>
      </c>
      <c r="J16455" s="46" t="s">
        <v>132</v>
      </c>
      <c r="K16455" s="46" t="s">
        <v>126</v>
      </c>
      <c r="L16455" s="45">
        <v>46017.083333333336</v>
      </c>
      <c r="M16455" s="46" t="s">
        <v>123</v>
      </c>
      <c r="N16455" s="45">
        <v>46017.125</v>
      </c>
      <c r="O16455" s="46" t="s">
        <v>123</v>
      </c>
      <c r="P16455" s="46">
        <v>3600.0</v>
      </c>
    </row>
    <row r="16456">
      <c r="A16456" s="40">
        <f t="shared" si="1"/>
        <v>46013</v>
      </c>
      <c r="B16456" s="37" t="str">
        <f t="array" ref="B16456">iferror(xlookup($I16456, 'IMPORT VHC Report'!$E:$E, 'IMPORT VHC Report'!$A:$C), )</f>
        <v/>
      </c>
      <c r="C16456" s="44"/>
      <c r="D16456" s="44"/>
      <c r="E16456" s="46" t="s">
        <v>12652</v>
      </c>
      <c r="F16456" s="46" t="s">
        <v>1276</v>
      </c>
      <c r="G16456" s="46">
        <v>1.3475806334735E13</v>
      </c>
      <c r="H16456" s="46" t="s">
        <v>1277</v>
      </c>
      <c r="I16456" s="46" t="s">
        <v>1278</v>
      </c>
      <c r="J16456" s="46" t="s">
        <v>125</v>
      </c>
      <c r="K16456" s="46" t="s">
        <v>126</v>
      </c>
      <c r="L16456" s="45">
        <v>46017.875</v>
      </c>
      <c r="M16456" s="46" t="s">
        <v>123</v>
      </c>
      <c r="N16456" s="45">
        <v>46017.881944444445</v>
      </c>
      <c r="O16456" s="46" t="s">
        <v>123</v>
      </c>
      <c r="P16456" s="46">
        <v>600.0</v>
      </c>
      <c r="S16456" s="46" t="s">
        <v>127</v>
      </c>
    </row>
    <row r="16457">
      <c r="A16457" s="40">
        <f t="shared" si="1"/>
        <v>46013</v>
      </c>
      <c r="B16457" s="37" t="str">
        <f t="array" ref="B16457">iferror(xlookup($I16457, 'IMPORT VHC Report'!$E:$E, 'IMPORT VHC Report'!$A:$C), )</f>
        <v/>
      </c>
      <c r="C16457" s="44"/>
      <c r="D16457" s="44"/>
      <c r="E16457" s="46" t="s">
        <v>12653</v>
      </c>
      <c r="F16457" s="46" t="s">
        <v>1276</v>
      </c>
      <c r="G16457" s="46">
        <v>1.3475806334735E13</v>
      </c>
      <c r="H16457" s="46" t="s">
        <v>1277</v>
      </c>
      <c r="I16457" s="46" t="s">
        <v>1278</v>
      </c>
      <c r="J16457" s="46" t="s">
        <v>122</v>
      </c>
      <c r="K16457" s="46" t="s">
        <v>63</v>
      </c>
      <c r="L16457" s="45">
        <v>46017.875</v>
      </c>
      <c r="M16457" s="46" t="s">
        <v>123</v>
      </c>
      <c r="N16457" s="45">
        <v>46018.25</v>
      </c>
      <c r="O16457" s="46" t="s">
        <v>123</v>
      </c>
      <c r="P16457" s="46">
        <v>32400.0</v>
      </c>
    </row>
    <row r="16458">
      <c r="A16458" s="40">
        <f t="shared" si="1"/>
        <v>46013</v>
      </c>
      <c r="B16458" s="37" t="str">
        <f t="array" ref="B16458">iferror(xlookup($I16458, 'IMPORT VHC Report'!$E:$E, 'IMPORT VHC Report'!$A:$C), )</f>
        <v/>
      </c>
      <c r="C16458" s="44"/>
      <c r="D16458" s="44"/>
      <c r="E16458" s="46" t="s">
        <v>12654</v>
      </c>
      <c r="F16458" s="46" t="s">
        <v>1276</v>
      </c>
      <c r="G16458" s="46">
        <v>1.3475806334735E13</v>
      </c>
      <c r="H16458" s="46" t="s">
        <v>1277</v>
      </c>
      <c r="I16458" s="46" t="s">
        <v>1278</v>
      </c>
      <c r="J16458" s="46" t="s">
        <v>134</v>
      </c>
      <c r="K16458" s="46" t="s">
        <v>126</v>
      </c>
      <c r="L16458" s="45">
        <v>46017.947916666664</v>
      </c>
      <c r="M16458" s="46" t="s">
        <v>123</v>
      </c>
      <c r="N16458" s="45">
        <v>46017.96875</v>
      </c>
      <c r="O16458" s="46" t="s">
        <v>123</v>
      </c>
      <c r="P16458" s="46">
        <v>1800.0</v>
      </c>
    </row>
    <row r="16459">
      <c r="A16459" s="40">
        <f t="shared" si="1"/>
        <v>46013</v>
      </c>
      <c r="B16459" s="37" t="str">
        <f t="array" ref="B16459">iferror(xlookup($I16459, 'IMPORT VHC Report'!$E:$E, 'IMPORT VHC Report'!$A:$C), )</f>
        <v/>
      </c>
      <c r="C16459" s="44"/>
      <c r="D16459" s="44"/>
      <c r="E16459" s="46" t="s">
        <v>12655</v>
      </c>
      <c r="F16459" s="46" t="s">
        <v>1276</v>
      </c>
      <c r="G16459" s="46">
        <v>1.3475806334735E13</v>
      </c>
      <c r="H16459" s="46" t="s">
        <v>1277</v>
      </c>
      <c r="I16459" s="46" t="s">
        <v>1278</v>
      </c>
      <c r="J16459" s="46" t="s">
        <v>132</v>
      </c>
      <c r="K16459" s="46" t="s">
        <v>126</v>
      </c>
      <c r="L16459" s="45">
        <v>46018.072916666664</v>
      </c>
      <c r="M16459" s="46" t="s">
        <v>123</v>
      </c>
      <c r="N16459" s="45">
        <v>46018.114583333336</v>
      </c>
      <c r="O16459" s="46" t="s">
        <v>123</v>
      </c>
      <c r="P16459" s="46">
        <v>3600.0</v>
      </c>
    </row>
    <row r="16460">
      <c r="A16460" s="40">
        <f t="shared" si="1"/>
        <v>46013</v>
      </c>
      <c r="B16460" s="37" t="str">
        <f t="array" ref="B16460">iferror(xlookup($I16460, 'IMPORT VHC Report'!$E:$E, 'IMPORT VHC Report'!$A:$C), )</f>
        <v/>
      </c>
      <c r="C16460" s="44"/>
      <c r="D16460" s="44"/>
      <c r="E16460" s="46" t="s">
        <v>12656</v>
      </c>
      <c r="F16460" s="46" t="s">
        <v>1276</v>
      </c>
      <c r="G16460" s="46">
        <v>1.3475806334735E13</v>
      </c>
      <c r="H16460" s="46" t="s">
        <v>1277</v>
      </c>
      <c r="I16460" s="46" t="s">
        <v>1278</v>
      </c>
      <c r="J16460" s="46" t="s">
        <v>125</v>
      </c>
      <c r="K16460" s="46" t="s">
        <v>126</v>
      </c>
      <c r="L16460" s="45">
        <v>46018.875</v>
      </c>
      <c r="M16460" s="46" t="s">
        <v>123</v>
      </c>
      <c r="N16460" s="45">
        <v>46018.881944444445</v>
      </c>
      <c r="O16460" s="46" t="s">
        <v>123</v>
      </c>
      <c r="P16460" s="46">
        <v>600.0</v>
      </c>
      <c r="S16460" s="46" t="s">
        <v>127</v>
      </c>
    </row>
    <row r="16461">
      <c r="A16461" s="40">
        <f t="shared" si="1"/>
        <v>46013</v>
      </c>
      <c r="B16461" s="37" t="str">
        <f t="array" ref="B16461">iferror(xlookup($I16461, 'IMPORT VHC Report'!$E:$E, 'IMPORT VHC Report'!$A:$C), )</f>
        <v/>
      </c>
      <c r="C16461" s="44"/>
      <c r="D16461" s="44"/>
      <c r="E16461" s="46" t="s">
        <v>12657</v>
      </c>
      <c r="F16461" s="46" t="s">
        <v>1276</v>
      </c>
      <c r="G16461" s="46">
        <v>1.3475806334735E13</v>
      </c>
      <c r="H16461" s="46" t="s">
        <v>1277</v>
      </c>
      <c r="I16461" s="46" t="s">
        <v>1278</v>
      </c>
      <c r="J16461" s="46" t="s">
        <v>122</v>
      </c>
      <c r="K16461" s="46" t="s">
        <v>63</v>
      </c>
      <c r="L16461" s="45">
        <v>46018.875</v>
      </c>
      <c r="M16461" s="46" t="s">
        <v>123</v>
      </c>
      <c r="N16461" s="45">
        <v>46019.25</v>
      </c>
      <c r="O16461" s="46" t="s">
        <v>123</v>
      </c>
      <c r="P16461" s="46">
        <v>32400.0</v>
      </c>
    </row>
    <row r="16462">
      <c r="A16462" s="40">
        <f t="shared" si="1"/>
        <v>46013</v>
      </c>
      <c r="B16462" s="37" t="str">
        <f t="array" ref="B16462">iferror(xlookup($I16462, 'IMPORT VHC Report'!$E:$E, 'IMPORT VHC Report'!$A:$C), )</f>
        <v/>
      </c>
      <c r="C16462" s="44"/>
      <c r="D16462" s="44"/>
      <c r="E16462" s="46" t="s">
        <v>12658</v>
      </c>
      <c r="F16462" s="46" t="s">
        <v>1276</v>
      </c>
      <c r="G16462" s="46">
        <v>1.3475806334735E13</v>
      </c>
      <c r="H16462" s="46" t="s">
        <v>1277</v>
      </c>
      <c r="I16462" s="46" t="s">
        <v>1278</v>
      </c>
      <c r="J16462" s="46" t="s">
        <v>132</v>
      </c>
      <c r="K16462" s="46" t="s">
        <v>126</v>
      </c>
      <c r="L16462" s="45">
        <v>46018.947916666664</v>
      </c>
      <c r="M16462" s="46" t="s">
        <v>123</v>
      </c>
      <c r="N16462" s="45">
        <v>46018.989583333336</v>
      </c>
      <c r="O16462" s="46" t="s">
        <v>123</v>
      </c>
      <c r="P16462" s="46">
        <v>3600.0</v>
      </c>
    </row>
    <row r="16463">
      <c r="A16463" s="40">
        <f t="shared" si="1"/>
        <v>46013</v>
      </c>
      <c r="B16463" s="37" t="str">
        <f t="array" ref="B16463">iferror(xlookup($I16463, 'IMPORT VHC Report'!$E:$E, 'IMPORT VHC Report'!$A:$C), )</f>
        <v/>
      </c>
      <c r="C16463" s="44"/>
      <c r="D16463" s="44"/>
      <c r="E16463" s="46" t="s">
        <v>12659</v>
      </c>
      <c r="F16463" s="46" t="s">
        <v>1276</v>
      </c>
      <c r="G16463" s="46">
        <v>1.3475806334735E13</v>
      </c>
      <c r="H16463" s="46" t="s">
        <v>1277</v>
      </c>
      <c r="I16463" s="46" t="s">
        <v>1278</v>
      </c>
      <c r="J16463" s="46" t="s">
        <v>134</v>
      </c>
      <c r="K16463" s="46" t="s">
        <v>126</v>
      </c>
      <c r="L16463" s="45">
        <v>46019.114583333336</v>
      </c>
      <c r="M16463" s="46" t="s">
        <v>123</v>
      </c>
      <c r="N16463" s="45">
        <v>46019.135416666664</v>
      </c>
      <c r="O16463" s="46" t="s">
        <v>123</v>
      </c>
      <c r="P16463" s="46">
        <v>1800.0</v>
      </c>
    </row>
    <row r="16464">
      <c r="A16464" s="40">
        <f t="shared" si="1"/>
        <v>46013</v>
      </c>
      <c r="B16464" s="37" t="str">
        <f t="array" ref="B16464">iferror(xlookup($I16464, 'IMPORT VHC Report'!$E:$E, 'IMPORT VHC Report'!$A:$C), )</f>
        <v/>
      </c>
      <c r="C16464" s="44"/>
      <c r="D16464" s="44"/>
      <c r="E16464" s="46" t="s">
        <v>12660</v>
      </c>
      <c r="F16464" s="46" t="s">
        <v>1276</v>
      </c>
      <c r="G16464" s="46">
        <v>1.3475806334735E13</v>
      </c>
      <c r="H16464" s="46" t="s">
        <v>1277</v>
      </c>
      <c r="I16464" s="46" t="s">
        <v>1278</v>
      </c>
      <c r="J16464" s="46" t="s">
        <v>125</v>
      </c>
      <c r="K16464" s="46" t="s">
        <v>126</v>
      </c>
      <c r="L16464" s="45">
        <v>46019.875</v>
      </c>
      <c r="M16464" s="46" t="s">
        <v>123</v>
      </c>
      <c r="N16464" s="45">
        <v>46019.881944444445</v>
      </c>
      <c r="O16464" s="46" t="s">
        <v>123</v>
      </c>
      <c r="P16464" s="46">
        <v>600.0</v>
      </c>
      <c r="S16464" s="46" t="s">
        <v>127</v>
      </c>
    </row>
    <row r="16465">
      <c r="A16465" s="40">
        <f t="shared" si="1"/>
        <v>46013</v>
      </c>
      <c r="B16465" s="37" t="str">
        <f t="array" ref="B16465">iferror(xlookup($I16465, 'IMPORT VHC Report'!$E:$E, 'IMPORT VHC Report'!$A:$C), )</f>
        <v/>
      </c>
      <c r="C16465" s="44"/>
      <c r="D16465" s="44"/>
      <c r="E16465" s="46" t="s">
        <v>12661</v>
      </c>
      <c r="F16465" s="46" t="s">
        <v>1276</v>
      </c>
      <c r="G16465" s="46">
        <v>1.3475806334735E13</v>
      </c>
      <c r="H16465" s="46" t="s">
        <v>1277</v>
      </c>
      <c r="I16465" s="46" t="s">
        <v>1278</v>
      </c>
      <c r="J16465" s="46" t="s">
        <v>122</v>
      </c>
      <c r="K16465" s="46" t="s">
        <v>63</v>
      </c>
      <c r="L16465" s="45">
        <v>46019.875</v>
      </c>
      <c r="M16465" s="46" t="s">
        <v>123</v>
      </c>
      <c r="N16465" s="45">
        <v>46020.0</v>
      </c>
      <c r="O16465" s="46" t="s">
        <v>123</v>
      </c>
      <c r="P16465" s="46">
        <v>10800.0</v>
      </c>
    </row>
    <row r="16466">
      <c r="A16466" s="40">
        <f t="shared" si="1"/>
        <v>46013</v>
      </c>
      <c r="B16466" s="37" t="str">
        <f t="array" ref="B16466">iferror(xlookup($I16466, 'IMPORT VHC Report'!$E:$E, 'IMPORT VHC Report'!$A:$C), )</f>
        <v/>
      </c>
      <c r="C16466" s="44"/>
      <c r="D16466" s="44"/>
      <c r="E16466" s="46" t="s">
        <v>12662</v>
      </c>
      <c r="F16466" s="46" t="s">
        <v>1107</v>
      </c>
      <c r="H16466" s="46" t="s">
        <v>1108</v>
      </c>
      <c r="I16466" s="46" t="s">
        <v>1109</v>
      </c>
      <c r="J16466" s="46" t="s">
        <v>122</v>
      </c>
      <c r="K16466" s="46" t="s">
        <v>63</v>
      </c>
      <c r="L16466" s="45">
        <v>46013.0</v>
      </c>
      <c r="M16466" s="46" t="s">
        <v>123</v>
      </c>
      <c r="N16466" s="45">
        <v>46013.166666666664</v>
      </c>
      <c r="O16466" s="46" t="s">
        <v>123</v>
      </c>
      <c r="P16466" s="46">
        <v>14400.0</v>
      </c>
    </row>
    <row r="16467">
      <c r="A16467" s="40">
        <f t="shared" si="1"/>
        <v>46013</v>
      </c>
      <c r="B16467" s="37" t="str">
        <f t="array" ref="B16467">iferror(xlookup($I16467, 'IMPORT VHC Report'!$E:$E, 'IMPORT VHC Report'!$A:$C), )</f>
        <v/>
      </c>
      <c r="C16467" s="44"/>
      <c r="D16467" s="44"/>
      <c r="E16467" s="46" t="s">
        <v>12663</v>
      </c>
      <c r="F16467" s="46" t="s">
        <v>1107</v>
      </c>
      <c r="H16467" s="46" t="s">
        <v>1108</v>
      </c>
      <c r="I16467" s="46" t="s">
        <v>1109</v>
      </c>
      <c r="J16467" s="46" t="s">
        <v>134</v>
      </c>
      <c r="K16467" s="46" t="s">
        <v>126</v>
      </c>
      <c r="L16467" s="45">
        <v>46013.0625</v>
      </c>
      <c r="M16467" s="46" t="s">
        <v>123</v>
      </c>
      <c r="N16467" s="45">
        <v>46013.083333333336</v>
      </c>
      <c r="O16467" s="46" t="s">
        <v>123</v>
      </c>
      <c r="P16467" s="46">
        <v>1800.0</v>
      </c>
    </row>
    <row r="16468">
      <c r="A16468" s="40">
        <f t="shared" si="1"/>
        <v>46013</v>
      </c>
      <c r="B16468" s="37" t="str">
        <f t="array" ref="B16468">iferror(xlookup($I16468, 'IMPORT VHC Report'!$E:$E, 'IMPORT VHC Report'!$A:$C), )</f>
        <v/>
      </c>
      <c r="C16468" s="44"/>
      <c r="D16468" s="44"/>
      <c r="E16468" s="46" t="s">
        <v>12664</v>
      </c>
      <c r="F16468" s="46" t="s">
        <v>1107</v>
      </c>
      <c r="H16468" s="46" t="s">
        <v>1108</v>
      </c>
      <c r="I16468" s="46" t="s">
        <v>1109</v>
      </c>
      <c r="J16468" s="46" t="s">
        <v>125</v>
      </c>
      <c r="K16468" s="46" t="s">
        <v>126</v>
      </c>
      <c r="L16468" s="45">
        <v>46013.791666666664</v>
      </c>
      <c r="M16468" s="46" t="s">
        <v>123</v>
      </c>
      <c r="N16468" s="45">
        <v>46013.79861111111</v>
      </c>
      <c r="O16468" s="46" t="s">
        <v>123</v>
      </c>
      <c r="P16468" s="46">
        <v>600.0</v>
      </c>
      <c r="S16468" s="46" t="s">
        <v>127</v>
      </c>
    </row>
    <row r="16469">
      <c r="A16469" s="40">
        <f t="shared" si="1"/>
        <v>46013</v>
      </c>
      <c r="B16469" s="37" t="str">
        <f t="array" ref="B16469">iferror(xlookup($I16469, 'IMPORT VHC Report'!$E:$E, 'IMPORT VHC Report'!$A:$C), )</f>
        <v/>
      </c>
      <c r="C16469" s="44"/>
      <c r="D16469" s="44"/>
      <c r="E16469" s="46" t="s">
        <v>12665</v>
      </c>
      <c r="F16469" s="46" t="s">
        <v>1107</v>
      </c>
      <c r="H16469" s="46" t="s">
        <v>1108</v>
      </c>
      <c r="I16469" s="46" t="s">
        <v>1109</v>
      </c>
      <c r="J16469" s="46" t="s">
        <v>122</v>
      </c>
      <c r="K16469" s="46" t="s">
        <v>63</v>
      </c>
      <c r="L16469" s="45">
        <v>46013.791666666664</v>
      </c>
      <c r="M16469" s="46" t="s">
        <v>123</v>
      </c>
      <c r="N16469" s="45">
        <v>46014.166666666664</v>
      </c>
      <c r="O16469" s="46" t="s">
        <v>123</v>
      </c>
      <c r="P16469" s="46">
        <v>32400.0</v>
      </c>
    </row>
    <row r="16470">
      <c r="A16470" s="40">
        <f t="shared" si="1"/>
        <v>46013</v>
      </c>
      <c r="B16470" s="37" t="str">
        <f t="array" ref="B16470">iferror(xlookup($I16470, 'IMPORT VHC Report'!$E:$E, 'IMPORT VHC Report'!$A:$C), )</f>
        <v/>
      </c>
      <c r="C16470" s="44"/>
      <c r="D16470" s="44"/>
      <c r="E16470" s="46" t="s">
        <v>12666</v>
      </c>
      <c r="F16470" s="46" t="s">
        <v>1107</v>
      </c>
      <c r="H16470" s="46" t="s">
        <v>1108</v>
      </c>
      <c r="I16470" s="46" t="s">
        <v>1109</v>
      </c>
      <c r="J16470" s="46" t="s">
        <v>178</v>
      </c>
      <c r="K16470" s="46" t="s">
        <v>153</v>
      </c>
      <c r="L16470" s="45">
        <v>46013.791666666664</v>
      </c>
      <c r="M16470" s="46" t="s">
        <v>123</v>
      </c>
      <c r="N16470" s="45">
        <v>46014.166666666664</v>
      </c>
      <c r="O16470" s="46" t="s">
        <v>123</v>
      </c>
      <c r="P16470" s="46">
        <v>32400.0</v>
      </c>
      <c r="Q16470" s="46">
        <v>57600.0</v>
      </c>
      <c r="R16470" s="46" t="s">
        <v>12667</v>
      </c>
    </row>
    <row r="16471">
      <c r="A16471" s="40">
        <f t="shared" si="1"/>
        <v>46013</v>
      </c>
      <c r="B16471" s="37" t="str">
        <f t="array" ref="B16471">iferror(xlookup($I16471, 'IMPORT VHC Report'!$E:$E, 'IMPORT VHC Report'!$A:$C), )</f>
        <v/>
      </c>
      <c r="C16471" s="44"/>
      <c r="D16471" s="44"/>
      <c r="E16471" s="46" t="s">
        <v>12668</v>
      </c>
      <c r="F16471" s="46" t="s">
        <v>1107</v>
      </c>
      <c r="H16471" s="46" t="s">
        <v>1108</v>
      </c>
      <c r="I16471" s="46" t="s">
        <v>1109</v>
      </c>
      <c r="J16471" s="46" t="s">
        <v>134</v>
      </c>
      <c r="K16471" s="46" t="s">
        <v>126</v>
      </c>
      <c r="L16471" s="45">
        <v>46013.875</v>
      </c>
      <c r="M16471" s="46" t="s">
        <v>123</v>
      </c>
      <c r="N16471" s="45">
        <v>46013.895833333336</v>
      </c>
      <c r="O16471" s="46" t="s">
        <v>123</v>
      </c>
      <c r="P16471" s="46">
        <v>1800.0</v>
      </c>
    </row>
    <row r="16472">
      <c r="A16472" s="40">
        <f t="shared" si="1"/>
        <v>46013</v>
      </c>
      <c r="B16472" s="37" t="str">
        <f t="array" ref="B16472">iferror(xlookup($I16472, 'IMPORT VHC Report'!$E:$E, 'IMPORT VHC Report'!$A:$C), )</f>
        <v/>
      </c>
      <c r="C16472" s="44"/>
      <c r="D16472" s="44"/>
      <c r="E16472" s="46" t="s">
        <v>12669</v>
      </c>
      <c r="F16472" s="46" t="s">
        <v>1107</v>
      </c>
      <c r="H16472" s="46" t="s">
        <v>1108</v>
      </c>
      <c r="I16472" s="46" t="s">
        <v>1109</v>
      </c>
      <c r="J16472" s="46" t="s">
        <v>132</v>
      </c>
      <c r="K16472" s="46" t="s">
        <v>126</v>
      </c>
      <c r="L16472" s="45">
        <v>46013.989583333336</v>
      </c>
      <c r="M16472" s="46" t="s">
        <v>123</v>
      </c>
      <c r="N16472" s="45">
        <v>46014.03125</v>
      </c>
      <c r="O16472" s="46" t="s">
        <v>123</v>
      </c>
      <c r="P16472" s="46">
        <v>3600.0</v>
      </c>
    </row>
    <row r="16473">
      <c r="A16473" s="40">
        <f t="shared" si="1"/>
        <v>46013</v>
      </c>
      <c r="B16473" s="37" t="str">
        <f t="array" ref="B16473">iferror(xlookup($I16473, 'IMPORT VHC Report'!$E:$E, 'IMPORT VHC Report'!$A:$C), )</f>
        <v/>
      </c>
      <c r="C16473" s="44"/>
      <c r="D16473" s="44"/>
      <c r="E16473" s="46" t="s">
        <v>12670</v>
      </c>
      <c r="F16473" s="46" t="s">
        <v>1107</v>
      </c>
      <c r="H16473" s="46" t="s">
        <v>1108</v>
      </c>
      <c r="I16473" s="46" t="s">
        <v>1109</v>
      </c>
      <c r="J16473" s="46" t="s">
        <v>125</v>
      </c>
      <c r="K16473" s="46" t="s">
        <v>126</v>
      </c>
      <c r="L16473" s="45">
        <v>46014.791666666664</v>
      </c>
      <c r="M16473" s="46" t="s">
        <v>123</v>
      </c>
      <c r="N16473" s="45">
        <v>46014.79861111111</v>
      </c>
      <c r="O16473" s="46" t="s">
        <v>123</v>
      </c>
      <c r="P16473" s="46">
        <v>600.0</v>
      </c>
      <c r="S16473" s="46" t="s">
        <v>127</v>
      </c>
    </row>
    <row r="16474">
      <c r="A16474" s="40">
        <f t="shared" si="1"/>
        <v>46013</v>
      </c>
      <c r="B16474" s="37" t="str">
        <f t="array" ref="B16474">iferror(xlookup($I16474, 'IMPORT VHC Report'!$E:$E, 'IMPORT VHC Report'!$A:$C), )</f>
        <v/>
      </c>
      <c r="C16474" s="44"/>
      <c r="D16474" s="44"/>
      <c r="E16474" s="46" t="s">
        <v>12671</v>
      </c>
      <c r="F16474" s="46" t="s">
        <v>1107</v>
      </c>
      <c r="H16474" s="46" t="s">
        <v>1108</v>
      </c>
      <c r="I16474" s="46" t="s">
        <v>1109</v>
      </c>
      <c r="J16474" s="46" t="s">
        <v>178</v>
      </c>
      <c r="K16474" s="46" t="s">
        <v>153</v>
      </c>
      <c r="L16474" s="45">
        <v>46014.791666666664</v>
      </c>
      <c r="M16474" s="46" t="s">
        <v>123</v>
      </c>
      <c r="N16474" s="45">
        <v>46015.166666666664</v>
      </c>
      <c r="O16474" s="46" t="s">
        <v>123</v>
      </c>
      <c r="P16474" s="46">
        <v>32400.0</v>
      </c>
      <c r="Q16474" s="46">
        <v>32400.0</v>
      </c>
    </row>
    <row r="16475">
      <c r="A16475" s="40">
        <f t="shared" si="1"/>
        <v>46013</v>
      </c>
      <c r="B16475" s="37" t="str">
        <f t="array" ref="B16475">iferror(xlookup($I16475, 'IMPORT VHC Report'!$E:$E, 'IMPORT VHC Report'!$A:$C), )</f>
        <v/>
      </c>
      <c r="C16475" s="44"/>
      <c r="D16475" s="44"/>
      <c r="E16475" s="46" t="s">
        <v>12672</v>
      </c>
      <c r="F16475" s="46" t="s">
        <v>1107</v>
      </c>
      <c r="H16475" s="46" t="s">
        <v>1108</v>
      </c>
      <c r="I16475" s="46" t="s">
        <v>1109</v>
      </c>
      <c r="J16475" s="46" t="s">
        <v>122</v>
      </c>
      <c r="K16475" s="46" t="s">
        <v>63</v>
      </c>
      <c r="L16475" s="45">
        <v>46014.791666666664</v>
      </c>
      <c r="M16475" s="46" t="s">
        <v>123</v>
      </c>
      <c r="N16475" s="45">
        <v>46015.166666666664</v>
      </c>
      <c r="O16475" s="46" t="s">
        <v>123</v>
      </c>
      <c r="P16475" s="46">
        <v>32400.0</v>
      </c>
    </row>
    <row r="16476">
      <c r="A16476" s="40">
        <f t="shared" si="1"/>
        <v>46013</v>
      </c>
      <c r="B16476" s="37" t="str">
        <f t="array" ref="B16476">iferror(xlookup($I16476, 'IMPORT VHC Report'!$E:$E, 'IMPORT VHC Report'!$A:$C), )</f>
        <v/>
      </c>
      <c r="C16476" s="44"/>
      <c r="D16476" s="44"/>
      <c r="E16476" s="46" t="s">
        <v>12673</v>
      </c>
      <c r="F16476" s="46" t="s">
        <v>1107</v>
      </c>
      <c r="H16476" s="46" t="s">
        <v>1108</v>
      </c>
      <c r="I16476" s="46" t="s">
        <v>1109</v>
      </c>
      <c r="J16476" s="46" t="s">
        <v>134</v>
      </c>
      <c r="K16476" s="46" t="s">
        <v>126</v>
      </c>
      <c r="L16476" s="45">
        <v>46014.875</v>
      </c>
      <c r="M16476" s="46" t="s">
        <v>123</v>
      </c>
      <c r="N16476" s="45">
        <v>46014.895833333336</v>
      </c>
      <c r="O16476" s="46" t="s">
        <v>123</v>
      </c>
      <c r="P16476" s="46">
        <v>1800.0</v>
      </c>
    </row>
    <row r="16477">
      <c r="A16477" s="40">
        <f t="shared" si="1"/>
        <v>46013</v>
      </c>
      <c r="B16477" s="37" t="str">
        <f t="array" ref="B16477">iferror(xlookup($I16477, 'IMPORT VHC Report'!$E:$E, 'IMPORT VHC Report'!$A:$C), )</f>
        <v/>
      </c>
      <c r="C16477" s="44"/>
      <c r="D16477" s="44"/>
      <c r="E16477" s="46" t="s">
        <v>12674</v>
      </c>
      <c r="F16477" s="46" t="s">
        <v>1107</v>
      </c>
      <c r="H16477" s="46" t="s">
        <v>1108</v>
      </c>
      <c r="I16477" s="46" t="s">
        <v>1109</v>
      </c>
      <c r="J16477" s="46" t="s">
        <v>132</v>
      </c>
      <c r="K16477" s="46" t="s">
        <v>126</v>
      </c>
      <c r="L16477" s="45">
        <v>46015.0</v>
      </c>
      <c r="M16477" s="46" t="s">
        <v>123</v>
      </c>
      <c r="N16477" s="45">
        <v>46015.041666666664</v>
      </c>
      <c r="O16477" s="46" t="s">
        <v>123</v>
      </c>
      <c r="P16477" s="46">
        <v>3600.0</v>
      </c>
    </row>
    <row r="16478">
      <c r="A16478" s="40">
        <f t="shared" si="1"/>
        <v>46013</v>
      </c>
      <c r="B16478" s="37" t="str">
        <f t="array" ref="B16478">iferror(xlookup($I16478, 'IMPORT VHC Report'!$E:$E, 'IMPORT VHC Report'!$A:$C), )</f>
        <v/>
      </c>
      <c r="C16478" s="44"/>
      <c r="D16478" s="44"/>
      <c r="E16478" s="46" t="s">
        <v>12675</v>
      </c>
      <c r="F16478" s="46" t="s">
        <v>1107</v>
      </c>
      <c r="H16478" s="46" t="s">
        <v>1108</v>
      </c>
      <c r="I16478" s="46" t="s">
        <v>1109</v>
      </c>
      <c r="J16478" s="46" t="s">
        <v>125</v>
      </c>
      <c r="K16478" s="46" t="s">
        <v>126</v>
      </c>
      <c r="L16478" s="45">
        <v>46017.791666666664</v>
      </c>
      <c r="M16478" s="46" t="s">
        <v>123</v>
      </c>
      <c r="N16478" s="45">
        <v>46017.79861111111</v>
      </c>
      <c r="O16478" s="46" t="s">
        <v>123</v>
      </c>
      <c r="P16478" s="46">
        <v>600.0</v>
      </c>
      <c r="S16478" s="46" t="s">
        <v>127</v>
      </c>
    </row>
    <row r="16479">
      <c r="A16479" s="40">
        <f t="shared" si="1"/>
        <v>46013</v>
      </c>
      <c r="B16479" s="37" t="str">
        <f t="array" ref="B16479">iferror(xlookup($I16479, 'IMPORT VHC Report'!$E:$E, 'IMPORT VHC Report'!$A:$C), )</f>
        <v/>
      </c>
      <c r="C16479" s="44"/>
      <c r="D16479" s="44"/>
      <c r="E16479" s="46" t="s">
        <v>12676</v>
      </c>
      <c r="F16479" s="46" t="s">
        <v>1107</v>
      </c>
      <c r="H16479" s="46" t="s">
        <v>1108</v>
      </c>
      <c r="I16479" s="46" t="s">
        <v>1109</v>
      </c>
      <c r="J16479" s="46" t="s">
        <v>122</v>
      </c>
      <c r="K16479" s="46" t="s">
        <v>63</v>
      </c>
      <c r="L16479" s="45">
        <v>46017.791666666664</v>
      </c>
      <c r="M16479" s="46" t="s">
        <v>123</v>
      </c>
      <c r="N16479" s="45">
        <v>46018.166666666664</v>
      </c>
      <c r="O16479" s="46" t="s">
        <v>123</v>
      </c>
      <c r="P16479" s="46">
        <v>32400.0</v>
      </c>
    </row>
    <row r="16480">
      <c r="A16480" s="40">
        <f t="shared" si="1"/>
        <v>46013</v>
      </c>
      <c r="B16480" s="37" t="str">
        <f t="array" ref="B16480">iferror(xlookup($I16480, 'IMPORT VHC Report'!$E:$E, 'IMPORT VHC Report'!$A:$C), )</f>
        <v/>
      </c>
      <c r="C16480" s="44"/>
      <c r="D16480" s="44"/>
      <c r="E16480" s="46" t="s">
        <v>12677</v>
      </c>
      <c r="F16480" s="46" t="s">
        <v>1107</v>
      </c>
      <c r="H16480" s="46" t="s">
        <v>1108</v>
      </c>
      <c r="I16480" s="46" t="s">
        <v>1109</v>
      </c>
      <c r="J16480" s="46" t="s">
        <v>178</v>
      </c>
      <c r="K16480" s="46" t="s">
        <v>153</v>
      </c>
      <c r="L16480" s="45">
        <v>46017.958333333336</v>
      </c>
      <c r="M16480" s="46" t="s">
        <v>123</v>
      </c>
      <c r="N16480" s="45">
        <v>46018.0</v>
      </c>
      <c r="O16480" s="46" t="s">
        <v>123</v>
      </c>
      <c r="P16480" s="46">
        <v>3600.0</v>
      </c>
      <c r="Q16480" s="46">
        <v>3600.0</v>
      </c>
      <c r="R16480" s="46" t="s">
        <v>12678</v>
      </c>
      <c r="S16480" s="46" t="s">
        <v>12678</v>
      </c>
    </row>
    <row r="16481">
      <c r="A16481" s="40">
        <f t="shared" si="1"/>
        <v>46013</v>
      </c>
      <c r="B16481" s="37" t="str">
        <f t="array" ref="B16481">iferror(xlookup($I16481, 'IMPORT VHC Report'!$E:$E, 'IMPORT VHC Report'!$A:$C), )</f>
        <v/>
      </c>
      <c r="C16481" s="44"/>
      <c r="D16481" s="44"/>
      <c r="E16481" s="46" t="s">
        <v>12679</v>
      </c>
      <c r="F16481" s="46" t="s">
        <v>1107</v>
      </c>
      <c r="H16481" s="46" t="s">
        <v>1108</v>
      </c>
      <c r="I16481" s="46" t="s">
        <v>1109</v>
      </c>
      <c r="J16481" s="46" t="s">
        <v>178</v>
      </c>
      <c r="K16481" s="46" t="s">
        <v>153</v>
      </c>
      <c r="L16481" s="45">
        <v>46018.0</v>
      </c>
      <c r="M16481" s="46" t="s">
        <v>123</v>
      </c>
      <c r="N16481" s="45">
        <v>46018.166666666664</v>
      </c>
      <c r="O16481" s="46" t="s">
        <v>123</v>
      </c>
      <c r="P16481" s="46">
        <v>14400.0</v>
      </c>
      <c r="Q16481" s="46">
        <v>14400.0</v>
      </c>
    </row>
    <row r="16482">
      <c r="A16482" s="40">
        <f t="shared" si="1"/>
        <v>46013</v>
      </c>
      <c r="B16482" s="37" t="str">
        <f t="array" ref="B16482">iferror(xlookup($I16482, 'IMPORT VHC Report'!$E:$E, 'IMPORT VHC Report'!$A:$C), )</f>
        <v/>
      </c>
      <c r="C16482" s="44"/>
      <c r="D16482" s="44"/>
      <c r="E16482" s="46" t="s">
        <v>12680</v>
      </c>
      <c r="F16482" s="46" t="s">
        <v>1107</v>
      </c>
      <c r="H16482" s="46" t="s">
        <v>1108</v>
      </c>
      <c r="I16482" s="46" t="s">
        <v>1109</v>
      </c>
      <c r="J16482" s="46" t="s">
        <v>134</v>
      </c>
      <c r="K16482" s="46" t="s">
        <v>126</v>
      </c>
      <c r="L16482" s="45">
        <v>46018.052083333336</v>
      </c>
      <c r="M16482" s="46" t="s">
        <v>123</v>
      </c>
      <c r="N16482" s="45">
        <v>46018.072916666664</v>
      </c>
      <c r="O16482" s="46" t="s">
        <v>123</v>
      </c>
      <c r="P16482" s="46">
        <v>1800.0</v>
      </c>
    </row>
    <row r="16483">
      <c r="A16483" s="40">
        <f t="shared" si="1"/>
        <v>46013</v>
      </c>
      <c r="B16483" s="37" t="str">
        <f t="array" ref="B16483">iferror(xlookup($I16483, 'IMPORT VHC Report'!$E:$E, 'IMPORT VHC Report'!$A:$C), )</f>
        <v/>
      </c>
      <c r="C16483" s="44"/>
      <c r="D16483" s="44"/>
      <c r="E16483" s="46" t="s">
        <v>12681</v>
      </c>
      <c r="F16483" s="46" t="s">
        <v>1107</v>
      </c>
      <c r="H16483" s="46" t="s">
        <v>1108</v>
      </c>
      <c r="I16483" s="46" t="s">
        <v>1109</v>
      </c>
      <c r="J16483" s="46" t="s">
        <v>125</v>
      </c>
      <c r="K16483" s="46" t="s">
        <v>126</v>
      </c>
      <c r="L16483" s="45">
        <v>46018.791666666664</v>
      </c>
      <c r="M16483" s="46" t="s">
        <v>123</v>
      </c>
      <c r="N16483" s="45">
        <v>46018.79861111111</v>
      </c>
      <c r="O16483" s="46" t="s">
        <v>123</v>
      </c>
      <c r="P16483" s="46">
        <v>600.0</v>
      </c>
      <c r="S16483" s="46" t="s">
        <v>127</v>
      </c>
    </row>
    <row r="16484">
      <c r="A16484" s="40">
        <f t="shared" si="1"/>
        <v>46013</v>
      </c>
      <c r="B16484" s="37" t="str">
        <f t="array" ref="B16484">iferror(xlookup($I16484, 'IMPORT VHC Report'!$E:$E, 'IMPORT VHC Report'!$A:$C), )</f>
        <v/>
      </c>
      <c r="C16484" s="44"/>
      <c r="D16484" s="44"/>
      <c r="E16484" s="46" t="s">
        <v>12682</v>
      </c>
      <c r="F16484" s="46" t="s">
        <v>1107</v>
      </c>
      <c r="H16484" s="46" t="s">
        <v>1108</v>
      </c>
      <c r="I16484" s="46" t="s">
        <v>1109</v>
      </c>
      <c r="J16484" s="46" t="s">
        <v>178</v>
      </c>
      <c r="K16484" s="46" t="s">
        <v>153</v>
      </c>
      <c r="L16484" s="45">
        <v>46018.791666666664</v>
      </c>
      <c r="M16484" s="46" t="s">
        <v>123</v>
      </c>
      <c r="N16484" s="45">
        <v>46019.166666666664</v>
      </c>
      <c r="O16484" s="46" t="s">
        <v>123</v>
      </c>
      <c r="P16484" s="46">
        <v>32400.0</v>
      </c>
      <c r="Q16484" s="46">
        <v>57600.0</v>
      </c>
      <c r="R16484" s="46" t="s">
        <v>12667</v>
      </c>
    </row>
    <row r="16485">
      <c r="A16485" s="40">
        <f t="shared" si="1"/>
        <v>46013</v>
      </c>
      <c r="B16485" s="37" t="str">
        <f t="array" ref="B16485">iferror(xlookup($I16485, 'IMPORT VHC Report'!$E:$E, 'IMPORT VHC Report'!$A:$C), )</f>
        <v/>
      </c>
      <c r="C16485" s="44"/>
      <c r="D16485" s="44"/>
      <c r="E16485" s="46" t="s">
        <v>12683</v>
      </c>
      <c r="F16485" s="46" t="s">
        <v>1107</v>
      </c>
      <c r="H16485" s="46" t="s">
        <v>1108</v>
      </c>
      <c r="I16485" s="46" t="s">
        <v>1109</v>
      </c>
      <c r="J16485" s="46" t="s">
        <v>122</v>
      </c>
      <c r="K16485" s="46" t="s">
        <v>63</v>
      </c>
      <c r="L16485" s="45">
        <v>46018.791666666664</v>
      </c>
      <c r="M16485" s="46" t="s">
        <v>123</v>
      </c>
      <c r="N16485" s="45">
        <v>46019.166666666664</v>
      </c>
      <c r="O16485" s="46" t="s">
        <v>123</v>
      </c>
      <c r="P16485" s="46">
        <v>32400.0</v>
      </c>
    </row>
    <row r="16486">
      <c r="A16486" s="40">
        <f t="shared" si="1"/>
        <v>46013</v>
      </c>
      <c r="B16486" s="37" t="str">
        <f t="array" ref="B16486">iferror(xlookup($I16486, 'IMPORT VHC Report'!$E:$E, 'IMPORT VHC Report'!$A:$C), )</f>
        <v/>
      </c>
      <c r="C16486" s="44"/>
      <c r="D16486" s="44"/>
      <c r="E16486" s="46" t="s">
        <v>12684</v>
      </c>
      <c r="F16486" s="46" t="s">
        <v>1107</v>
      </c>
      <c r="H16486" s="46" t="s">
        <v>1108</v>
      </c>
      <c r="I16486" s="46" t="s">
        <v>1109</v>
      </c>
      <c r="J16486" s="46" t="s">
        <v>134</v>
      </c>
      <c r="K16486" s="46" t="s">
        <v>126</v>
      </c>
      <c r="L16486" s="45">
        <v>46018.875</v>
      </c>
      <c r="M16486" s="46" t="s">
        <v>123</v>
      </c>
      <c r="N16486" s="45">
        <v>46018.895833333336</v>
      </c>
      <c r="O16486" s="46" t="s">
        <v>123</v>
      </c>
      <c r="P16486" s="46">
        <v>1800.0</v>
      </c>
    </row>
    <row r="16487">
      <c r="A16487" s="40">
        <f t="shared" si="1"/>
        <v>46013</v>
      </c>
      <c r="B16487" s="37" t="str">
        <f t="array" ref="B16487">iferror(xlookup($I16487, 'IMPORT VHC Report'!$E:$E, 'IMPORT VHC Report'!$A:$C), )</f>
        <v/>
      </c>
      <c r="C16487" s="44"/>
      <c r="D16487" s="44"/>
      <c r="E16487" s="46" t="s">
        <v>12685</v>
      </c>
      <c r="F16487" s="46" t="s">
        <v>1107</v>
      </c>
      <c r="H16487" s="46" t="s">
        <v>1108</v>
      </c>
      <c r="I16487" s="46" t="s">
        <v>1109</v>
      </c>
      <c r="J16487" s="46" t="s">
        <v>132</v>
      </c>
      <c r="K16487" s="46" t="s">
        <v>126</v>
      </c>
      <c r="L16487" s="45">
        <v>46019.0</v>
      </c>
      <c r="M16487" s="46" t="s">
        <v>123</v>
      </c>
      <c r="N16487" s="45">
        <v>46019.041666666664</v>
      </c>
      <c r="O16487" s="46" t="s">
        <v>123</v>
      </c>
      <c r="P16487" s="46">
        <v>3600.0</v>
      </c>
    </row>
    <row r="16488">
      <c r="A16488" s="40">
        <f t="shared" si="1"/>
        <v>46013</v>
      </c>
      <c r="B16488" s="37" t="str">
        <f t="array" ref="B16488">iferror(xlookup($I16488, 'IMPORT VHC Report'!$E:$E, 'IMPORT VHC Report'!$A:$C), )</f>
        <v/>
      </c>
      <c r="C16488" s="44"/>
      <c r="D16488" s="44"/>
      <c r="E16488" s="46" t="s">
        <v>12686</v>
      </c>
      <c r="F16488" s="46" t="s">
        <v>1107</v>
      </c>
      <c r="H16488" s="46" t="s">
        <v>1108</v>
      </c>
      <c r="I16488" s="46" t="s">
        <v>1109</v>
      </c>
      <c r="J16488" s="46" t="s">
        <v>125</v>
      </c>
      <c r="K16488" s="46" t="s">
        <v>126</v>
      </c>
      <c r="L16488" s="45">
        <v>46019.791666666664</v>
      </c>
      <c r="M16488" s="46" t="s">
        <v>123</v>
      </c>
      <c r="N16488" s="45">
        <v>46019.79861111111</v>
      </c>
      <c r="O16488" s="46" t="s">
        <v>123</v>
      </c>
      <c r="P16488" s="46">
        <v>600.0</v>
      </c>
      <c r="S16488" s="46" t="s">
        <v>127</v>
      </c>
    </row>
    <row r="16489">
      <c r="A16489" s="40">
        <f t="shared" si="1"/>
        <v>46013</v>
      </c>
      <c r="B16489" s="37" t="str">
        <f t="array" ref="B16489">iferror(xlookup($I16489, 'IMPORT VHC Report'!$E:$E, 'IMPORT VHC Report'!$A:$C), )</f>
        <v/>
      </c>
      <c r="C16489" s="44"/>
      <c r="D16489" s="44"/>
      <c r="E16489" s="46" t="s">
        <v>12687</v>
      </c>
      <c r="F16489" s="46" t="s">
        <v>1107</v>
      </c>
      <c r="H16489" s="46" t="s">
        <v>1108</v>
      </c>
      <c r="I16489" s="46" t="s">
        <v>1109</v>
      </c>
      <c r="J16489" s="46" t="s">
        <v>122</v>
      </c>
      <c r="K16489" s="46" t="s">
        <v>63</v>
      </c>
      <c r="L16489" s="45">
        <v>46019.791666666664</v>
      </c>
      <c r="M16489" s="46" t="s">
        <v>123</v>
      </c>
      <c r="N16489" s="45">
        <v>46020.0</v>
      </c>
      <c r="O16489" s="46" t="s">
        <v>123</v>
      </c>
      <c r="P16489" s="46">
        <v>18000.0</v>
      </c>
    </row>
    <row r="16490">
      <c r="A16490" s="40">
        <f t="shared" si="1"/>
        <v>46013</v>
      </c>
      <c r="B16490" s="37" t="str">
        <f t="array" ref="B16490">iferror(xlookup($I16490, 'IMPORT VHC Report'!$E:$E, 'IMPORT VHC Report'!$A:$C), )</f>
        <v/>
      </c>
      <c r="C16490" s="44"/>
      <c r="D16490" s="44"/>
      <c r="E16490" s="46" t="s">
        <v>12688</v>
      </c>
      <c r="F16490" s="46" t="s">
        <v>1107</v>
      </c>
      <c r="H16490" s="46" t="s">
        <v>1108</v>
      </c>
      <c r="I16490" s="46" t="s">
        <v>1109</v>
      </c>
      <c r="J16490" s="46" t="s">
        <v>178</v>
      </c>
      <c r="K16490" s="46" t="s">
        <v>153</v>
      </c>
      <c r="L16490" s="45">
        <v>46019.791666666664</v>
      </c>
      <c r="M16490" s="46" t="s">
        <v>123</v>
      </c>
      <c r="N16490" s="45">
        <v>46020.166666666664</v>
      </c>
      <c r="O16490" s="46" t="s">
        <v>123</v>
      </c>
      <c r="P16490" s="46">
        <v>32400.0</v>
      </c>
      <c r="Q16490" s="46">
        <v>32400.0</v>
      </c>
    </row>
    <row r="16491">
      <c r="A16491" s="40">
        <f t="shared" si="1"/>
        <v>46013</v>
      </c>
      <c r="B16491" s="37" t="str">
        <f t="array" ref="B16491">iferror(xlookup($I16491, 'IMPORT VHC Report'!$E:$E, 'IMPORT VHC Report'!$A:$C), )</f>
        <v/>
      </c>
      <c r="C16491" s="44"/>
      <c r="D16491" s="44"/>
      <c r="E16491" s="46" t="s">
        <v>12689</v>
      </c>
      <c r="F16491" s="46" t="s">
        <v>1107</v>
      </c>
      <c r="H16491" s="46" t="s">
        <v>1108</v>
      </c>
      <c r="I16491" s="46" t="s">
        <v>1109</v>
      </c>
      <c r="J16491" s="46" t="s">
        <v>132</v>
      </c>
      <c r="K16491" s="46" t="s">
        <v>126</v>
      </c>
      <c r="L16491" s="45">
        <v>46019.885416666664</v>
      </c>
      <c r="M16491" s="46" t="s">
        <v>123</v>
      </c>
      <c r="N16491" s="45">
        <v>46019.927083333336</v>
      </c>
      <c r="O16491" s="46" t="s">
        <v>123</v>
      </c>
      <c r="P16491" s="46">
        <v>3600.0</v>
      </c>
    </row>
    <row r="16492">
      <c r="A16492" s="40">
        <f t="shared" si="1"/>
        <v>46013</v>
      </c>
      <c r="B16492" s="37" t="str">
        <f t="array" ref="B16492">iferror(xlookup($I16492, 'IMPORT VHC Report'!$E:$E, 'IMPORT VHC Report'!$A:$C), )</f>
        <v/>
      </c>
      <c r="C16492" s="44"/>
      <c r="D16492" s="44"/>
      <c r="E16492" s="46" t="s">
        <v>12690</v>
      </c>
      <c r="F16492" s="46" t="s">
        <v>1467</v>
      </c>
      <c r="G16492" s="46">
        <v>3.61825398056E11</v>
      </c>
      <c r="H16492" s="46" t="s">
        <v>1468</v>
      </c>
      <c r="I16492" s="46" t="s">
        <v>1469</v>
      </c>
      <c r="J16492" s="46" t="s">
        <v>122</v>
      </c>
      <c r="K16492" s="46" t="s">
        <v>63</v>
      </c>
      <c r="L16492" s="45">
        <v>46013.0</v>
      </c>
      <c r="M16492" s="46" t="s">
        <v>123</v>
      </c>
      <c r="N16492" s="45">
        <v>46013.208333333336</v>
      </c>
      <c r="O16492" s="46" t="s">
        <v>123</v>
      </c>
      <c r="P16492" s="46">
        <v>18000.0</v>
      </c>
    </row>
    <row r="16493">
      <c r="A16493" s="40">
        <f t="shared" si="1"/>
        <v>46013</v>
      </c>
      <c r="B16493" s="37" t="str">
        <f t="array" ref="B16493">iferror(xlookup($I16493, 'IMPORT VHC Report'!$E:$E, 'IMPORT VHC Report'!$A:$C), )</f>
        <v/>
      </c>
      <c r="C16493" s="44"/>
      <c r="D16493" s="44"/>
      <c r="E16493" s="46" t="s">
        <v>12691</v>
      </c>
      <c r="F16493" s="46" t="s">
        <v>1467</v>
      </c>
      <c r="G16493" s="46">
        <v>3.61825398056E11</v>
      </c>
      <c r="H16493" s="46" t="s">
        <v>1468</v>
      </c>
      <c r="I16493" s="46" t="s">
        <v>1469</v>
      </c>
      <c r="J16493" s="46" t="s">
        <v>134</v>
      </c>
      <c r="K16493" s="46" t="s">
        <v>126</v>
      </c>
      <c r="L16493" s="45">
        <v>46013.083333333336</v>
      </c>
      <c r="M16493" s="46" t="s">
        <v>123</v>
      </c>
      <c r="N16493" s="45">
        <v>46013.104166666664</v>
      </c>
      <c r="O16493" s="46" t="s">
        <v>123</v>
      </c>
      <c r="P16493" s="46">
        <v>1800.0</v>
      </c>
    </row>
    <row r="16494">
      <c r="A16494" s="40">
        <f t="shared" si="1"/>
        <v>46013</v>
      </c>
      <c r="B16494" s="37" t="str">
        <f t="array" ref="B16494">iferror(xlookup($I16494, 'IMPORT VHC Report'!$E:$E, 'IMPORT VHC Report'!$A:$C), )</f>
        <v/>
      </c>
      <c r="C16494" s="44"/>
      <c r="D16494" s="44"/>
      <c r="E16494" s="46" t="s">
        <v>12692</v>
      </c>
      <c r="F16494" s="46" t="s">
        <v>1467</v>
      </c>
      <c r="G16494" s="46">
        <v>3.61825398056E11</v>
      </c>
      <c r="H16494" s="46" t="s">
        <v>1468</v>
      </c>
      <c r="I16494" s="46" t="s">
        <v>1469</v>
      </c>
      <c r="J16494" s="46" t="s">
        <v>125</v>
      </c>
      <c r="K16494" s="46" t="s">
        <v>126</v>
      </c>
      <c r="L16494" s="45">
        <v>46013.833333333336</v>
      </c>
      <c r="M16494" s="46" t="s">
        <v>123</v>
      </c>
      <c r="N16494" s="45">
        <v>46013.84027777778</v>
      </c>
      <c r="O16494" s="46" t="s">
        <v>123</v>
      </c>
      <c r="P16494" s="46">
        <v>600.0</v>
      </c>
      <c r="S16494" s="46" t="s">
        <v>127</v>
      </c>
    </row>
    <row r="16495">
      <c r="A16495" s="40">
        <f t="shared" si="1"/>
        <v>46013</v>
      </c>
      <c r="B16495" s="37" t="str">
        <f t="array" ref="B16495">iferror(xlookup($I16495, 'IMPORT VHC Report'!$E:$E, 'IMPORT VHC Report'!$A:$C), )</f>
        <v/>
      </c>
      <c r="C16495" s="44"/>
      <c r="D16495" s="44"/>
      <c r="E16495" s="46" t="s">
        <v>12693</v>
      </c>
      <c r="F16495" s="46" t="s">
        <v>1467</v>
      </c>
      <c r="G16495" s="46">
        <v>3.61825398056E11</v>
      </c>
      <c r="H16495" s="46" t="s">
        <v>1468</v>
      </c>
      <c r="I16495" s="46" t="s">
        <v>1469</v>
      </c>
      <c r="J16495" s="46" t="s">
        <v>122</v>
      </c>
      <c r="K16495" s="46" t="s">
        <v>63</v>
      </c>
      <c r="L16495" s="45">
        <v>46013.833333333336</v>
      </c>
      <c r="M16495" s="46" t="s">
        <v>123</v>
      </c>
      <c r="N16495" s="45">
        <v>46014.208333333336</v>
      </c>
      <c r="O16495" s="46" t="s">
        <v>123</v>
      </c>
      <c r="P16495" s="46">
        <v>32400.0</v>
      </c>
    </row>
    <row r="16496">
      <c r="A16496" s="40">
        <f t="shared" si="1"/>
        <v>46013</v>
      </c>
      <c r="B16496" s="37" t="str">
        <f t="array" ref="B16496">iferror(xlookup($I16496, 'IMPORT VHC Report'!$E:$E, 'IMPORT VHC Report'!$A:$C), )</f>
        <v/>
      </c>
      <c r="C16496" s="44"/>
      <c r="D16496" s="44"/>
      <c r="E16496" s="46" t="s">
        <v>12694</v>
      </c>
      <c r="F16496" s="46" t="s">
        <v>1467</v>
      </c>
      <c r="G16496" s="46">
        <v>3.61825398056E11</v>
      </c>
      <c r="H16496" s="46" t="s">
        <v>1468</v>
      </c>
      <c r="I16496" s="46" t="s">
        <v>1469</v>
      </c>
      <c r="J16496" s="46" t="s">
        <v>134</v>
      </c>
      <c r="K16496" s="46" t="s">
        <v>126</v>
      </c>
      <c r="L16496" s="45">
        <v>46013.916666666664</v>
      </c>
      <c r="M16496" s="46" t="s">
        <v>123</v>
      </c>
      <c r="N16496" s="45">
        <v>46013.9375</v>
      </c>
      <c r="O16496" s="46" t="s">
        <v>123</v>
      </c>
      <c r="P16496" s="46">
        <v>1800.0</v>
      </c>
    </row>
    <row r="16497">
      <c r="A16497" s="40">
        <f t="shared" si="1"/>
        <v>46013</v>
      </c>
      <c r="B16497" s="37" t="str">
        <f t="array" ref="B16497">iferror(xlookup($I16497, 'IMPORT VHC Report'!$E:$E, 'IMPORT VHC Report'!$A:$C), )</f>
        <v/>
      </c>
      <c r="C16497" s="44"/>
      <c r="D16497" s="44"/>
      <c r="E16497" s="46" t="s">
        <v>12695</v>
      </c>
      <c r="F16497" s="46" t="s">
        <v>1467</v>
      </c>
      <c r="G16497" s="46">
        <v>3.61825398056E11</v>
      </c>
      <c r="H16497" s="46" t="s">
        <v>1468</v>
      </c>
      <c r="I16497" s="46" t="s">
        <v>1469</v>
      </c>
      <c r="J16497" s="46" t="s">
        <v>132</v>
      </c>
      <c r="K16497" s="46" t="s">
        <v>126</v>
      </c>
      <c r="L16497" s="45">
        <v>46014.03125</v>
      </c>
      <c r="M16497" s="46" t="s">
        <v>123</v>
      </c>
      <c r="N16497" s="45">
        <v>46014.072916666664</v>
      </c>
      <c r="O16497" s="46" t="s">
        <v>123</v>
      </c>
      <c r="P16497" s="46">
        <v>3600.0</v>
      </c>
    </row>
    <row r="16498">
      <c r="A16498" s="40">
        <f t="shared" si="1"/>
        <v>46013</v>
      </c>
      <c r="B16498" s="37" t="str">
        <f t="array" ref="B16498">iferror(xlookup($I16498, 'IMPORT VHC Report'!$E:$E, 'IMPORT VHC Report'!$A:$C), )</f>
        <v/>
      </c>
      <c r="C16498" s="44"/>
      <c r="D16498" s="44"/>
      <c r="E16498" s="46" t="s">
        <v>12696</v>
      </c>
      <c r="F16498" s="46" t="s">
        <v>1467</v>
      </c>
      <c r="G16498" s="46">
        <v>3.61825398056E11</v>
      </c>
      <c r="H16498" s="46" t="s">
        <v>1468</v>
      </c>
      <c r="I16498" s="46" t="s">
        <v>1469</v>
      </c>
      <c r="J16498" s="46" t="s">
        <v>152</v>
      </c>
      <c r="K16498" s="46" t="s">
        <v>153</v>
      </c>
      <c r="L16498" s="45">
        <v>46016.0</v>
      </c>
      <c r="M16498" s="46" t="s">
        <v>123</v>
      </c>
      <c r="N16498" s="45">
        <v>46016.208333333336</v>
      </c>
      <c r="O16498" s="46" t="s">
        <v>123</v>
      </c>
      <c r="P16498" s="46">
        <v>18000.0</v>
      </c>
      <c r="Q16498" s="46">
        <v>28800.0</v>
      </c>
    </row>
    <row r="16499">
      <c r="A16499" s="40">
        <f t="shared" si="1"/>
        <v>46013</v>
      </c>
      <c r="B16499" s="37" t="str">
        <f t="array" ref="B16499">iferror(xlookup($I16499, 'IMPORT VHC Report'!$E:$E, 'IMPORT VHC Report'!$A:$C), )</f>
        <v/>
      </c>
      <c r="C16499" s="44"/>
      <c r="D16499" s="44"/>
      <c r="E16499" s="46" t="s">
        <v>12697</v>
      </c>
      <c r="F16499" s="46" t="s">
        <v>1467</v>
      </c>
      <c r="G16499" s="46">
        <v>3.61825398056E11</v>
      </c>
      <c r="H16499" s="46" t="s">
        <v>1468</v>
      </c>
      <c r="I16499" s="46" t="s">
        <v>1469</v>
      </c>
      <c r="J16499" s="46" t="s">
        <v>125</v>
      </c>
      <c r="K16499" s="46" t="s">
        <v>126</v>
      </c>
      <c r="L16499" s="45">
        <v>46016.833333333336</v>
      </c>
      <c r="M16499" s="46" t="s">
        <v>123</v>
      </c>
      <c r="N16499" s="45">
        <v>46016.84027777778</v>
      </c>
      <c r="O16499" s="46" t="s">
        <v>123</v>
      </c>
      <c r="P16499" s="46">
        <v>600.0</v>
      </c>
      <c r="S16499" s="46" t="s">
        <v>127</v>
      </c>
    </row>
    <row r="16500">
      <c r="A16500" s="40">
        <f t="shared" si="1"/>
        <v>46013</v>
      </c>
      <c r="B16500" s="37" t="str">
        <f t="array" ref="B16500">iferror(xlookup($I16500, 'IMPORT VHC Report'!$E:$E, 'IMPORT VHC Report'!$A:$C), )</f>
        <v/>
      </c>
      <c r="C16500" s="44"/>
      <c r="D16500" s="44"/>
      <c r="E16500" s="46" t="s">
        <v>12698</v>
      </c>
      <c r="F16500" s="46" t="s">
        <v>1467</v>
      </c>
      <c r="G16500" s="46">
        <v>3.61825398056E11</v>
      </c>
      <c r="H16500" s="46" t="s">
        <v>1468</v>
      </c>
      <c r="I16500" s="46" t="s">
        <v>1469</v>
      </c>
      <c r="J16500" s="46" t="s">
        <v>178</v>
      </c>
      <c r="K16500" s="46" t="s">
        <v>153</v>
      </c>
      <c r="L16500" s="45">
        <v>46016.833333333336</v>
      </c>
      <c r="M16500" s="46" t="s">
        <v>123</v>
      </c>
      <c r="N16500" s="45">
        <v>46017.208333333336</v>
      </c>
      <c r="O16500" s="46" t="s">
        <v>123</v>
      </c>
      <c r="P16500" s="46">
        <v>32400.0</v>
      </c>
      <c r="Q16500" s="46">
        <v>32400.0</v>
      </c>
    </row>
    <row r="16501">
      <c r="A16501" s="40">
        <f t="shared" si="1"/>
        <v>46013</v>
      </c>
      <c r="B16501" s="37" t="str">
        <f t="array" ref="B16501">iferror(xlookup($I16501, 'IMPORT VHC Report'!$E:$E, 'IMPORT VHC Report'!$A:$C), )</f>
        <v/>
      </c>
      <c r="C16501" s="44"/>
      <c r="D16501" s="44"/>
      <c r="E16501" s="46" t="s">
        <v>12699</v>
      </c>
      <c r="F16501" s="46" t="s">
        <v>1467</v>
      </c>
      <c r="G16501" s="46">
        <v>3.61825398056E11</v>
      </c>
      <c r="H16501" s="46" t="s">
        <v>1468</v>
      </c>
      <c r="I16501" s="46" t="s">
        <v>1469</v>
      </c>
      <c r="J16501" s="46" t="s">
        <v>122</v>
      </c>
      <c r="K16501" s="46" t="s">
        <v>63</v>
      </c>
      <c r="L16501" s="45">
        <v>46016.833333333336</v>
      </c>
      <c r="M16501" s="46" t="s">
        <v>123</v>
      </c>
      <c r="N16501" s="45">
        <v>46017.208333333336</v>
      </c>
      <c r="O16501" s="46" t="s">
        <v>123</v>
      </c>
      <c r="P16501" s="46">
        <v>32400.0</v>
      </c>
    </row>
    <row r="16502">
      <c r="A16502" s="40">
        <f t="shared" si="1"/>
        <v>46013</v>
      </c>
      <c r="B16502" s="37" t="str">
        <f t="array" ref="B16502">iferror(xlookup($I16502, 'IMPORT VHC Report'!$E:$E, 'IMPORT VHC Report'!$A:$C), )</f>
        <v/>
      </c>
      <c r="C16502" s="44"/>
      <c r="D16502" s="44"/>
      <c r="E16502" s="46" t="s">
        <v>12700</v>
      </c>
      <c r="F16502" s="46" t="s">
        <v>1467</v>
      </c>
      <c r="G16502" s="46">
        <v>3.61825398056E11</v>
      </c>
      <c r="H16502" s="46" t="s">
        <v>1468</v>
      </c>
      <c r="I16502" s="46" t="s">
        <v>1469</v>
      </c>
      <c r="J16502" s="46" t="s">
        <v>134</v>
      </c>
      <c r="K16502" s="46" t="s">
        <v>126</v>
      </c>
      <c r="L16502" s="45">
        <v>46016.916666666664</v>
      </c>
      <c r="M16502" s="46" t="s">
        <v>123</v>
      </c>
      <c r="N16502" s="45">
        <v>46016.9375</v>
      </c>
      <c r="O16502" s="46" t="s">
        <v>123</v>
      </c>
      <c r="P16502" s="46">
        <v>1800.0</v>
      </c>
    </row>
    <row r="16503">
      <c r="A16503" s="40">
        <f t="shared" si="1"/>
        <v>46013</v>
      </c>
      <c r="B16503" s="37" t="str">
        <f t="array" ref="B16503">iferror(xlookup($I16503, 'IMPORT VHC Report'!$E:$E, 'IMPORT VHC Report'!$A:$C), )</f>
        <v/>
      </c>
      <c r="C16503" s="44"/>
      <c r="D16503" s="44"/>
      <c r="E16503" s="46" t="s">
        <v>12701</v>
      </c>
      <c r="F16503" s="46" t="s">
        <v>1467</v>
      </c>
      <c r="G16503" s="46">
        <v>3.61825398056E11</v>
      </c>
      <c r="H16503" s="46" t="s">
        <v>1468</v>
      </c>
      <c r="I16503" s="46" t="s">
        <v>1469</v>
      </c>
      <c r="J16503" s="46" t="s">
        <v>132</v>
      </c>
      <c r="K16503" s="46" t="s">
        <v>126</v>
      </c>
      <c r="L16503" s="45">
        <v>46017.0</v>
      </c>
      <c r="M16503" s="46" t="s">
        <v>123</v>
      </c>
      <c r="N16503" s="45">
        <v>46017.041666666664</v>
      </c>
      <c r="O16503" s="46" t="s">
        <v>123</v>
      </c>
      <c r="P16503" s="46">
        <v>3600.0</v>
      </c>
    </row>
    <row r="16504">
      <c r="A16504" s="40">
        <f t="shared" si="1"/>
        <v>46013</v>
      </c>
      <c r="B16504" s="37" t="str">
        <f t="array" ref="B16504">iferror(xlookup($I16504, 'IMPORT VHC Report'!$E:$E, 'IMPORT VHC Report'!$A:$C), )</f>
        <v/>
      </c>
      <c r="C16504" s="44"/>
      <c r="D16504" s="44"/>
      <c r="E16504" s="46" t="s">
        <v>12702</v>
      </c>
      <c r="F16504" s="46" t="s">
        <v>1467</v>
      </c>
      <c r="G16504" s="46">
        <v>3.61825398056E11</v>
      </c>
      <c r="H16504" s="46" t="s">
        <v>1468</v>
      </c>
      <c r="I16504" s="46" t="s">
        <v>1469</v>
      </c>
      <c r="J16504" s="46" t="s">
        <v>125</v>
      </c>
      <c r="K16504" s="46" t="s">
        <v>126</v>
      </c>
      <c r="L16504" s="45">
        <v>46017.833333333336</v>
      </c>
      <c r="M16504" s="46" t="s">
        <v>123</v>
      </c>
      <c r="N16504" s="45">
        <v>46017.84027777778</v>
      </c>
      <c r="O16504" s="46" t="s">
        <v>123</v>
      </c>
      <c r="P16504" s="46">
        <v>600.0</v>
      </c>
      <c r="S16504" s="46" t="s">
        <v>127</v>
      </c>
    </row>
    <row r="16505">
      <c r="A16505" s="40">
        <f t="shared" si="1"/>
        <v>46013</v>
      </c>
      <c r="B16505" s="37" t="str">
        <f t="array" ref="B16505">iferror(xlookup($I16505, 'IMPORT VHC Report'!$E:$E, 'IMPORT VHC Report'!$A:$C), )</f>
        <v/>
      </c>
      <c r="C16505" s="44"/>
      <c r="D16505" s="44"/>
      <c r="E16505" s="46" t="s">
        <v>12703</v>
      </c>
      <c r="F16505" s="46" t="s">
        <v>1467</v>
      </c>
      <c r="G16505" s="46">
        <v>3.61825398056E11</v>
      </c>
      <c r="H16505" s="46" t="s">
        <v>1468</v>
      </c>
      <c r="I16505" s="46" t="s">
        <v>1469</v>
      </c>
      <c r="J16505" s="46" t="s">
        <v>122</v>
      </c>
      <c r="K16505" s="46" t="s">
        <v>63</v>
      </c>
      <c r="L16505" s="45">
        <v>46017.833333333336</v>
      </c>
      <c r="M16505" s="46" t="s">
        <v>123</v>
      </c>
      <c r="N16505" s="45">
        <v>46018.208333333336</v>
      </c>
      <c r="O16505" s="46" t="s">
        <v>123</v>
      </c>
      <c r="P16505" s="46">
        <v>32400.0</v>
      </c>
    </row>
    <row r="16506">
      <c r="A16506" s="40">
        <f t="shared" si="1"/>
        <v>46013</v>
      </c>
      <c r="B16506" s="37" t="str">
        <f t="array" ref="B16506">iferror(xlookup($I16506, 'IMPORT VHC Report'!$E:$E, 'IMPORT VHC Report'!$A:$C), )</f>
        <v/>
      </c>
      <c r="C16506" s="44"/>
      <c r="D16506" s="44"/>
      <c r="E16506" s="46" t="s">
        <v>12704</v>
      </c>
      <c r="F16506" s="46" t="s">
        <v>1467</v>
      </c>
      <c r="G16506" s="46">
        <v>3.61825398056E11</v>
      </c>
      <c r="H16506" s="46" t="s">
        <v>1468</v>
      </c>
      <c r="I16506" s="46" t="s">
        <v>1469</v>
      </c>
      <c r="J16506" s="46" t="s">
        <v>134</v>
      </c>
      <c r="K16506" s="46" t="s">
        <v>126</v>
      </c>
      <c r="L16506" s="45">
        <v>46017.9375</v>
      </c>
      <c r="M16506" s="46" t="s">
        <v>123</v>
      </c>
      <c r="N16506" s="45">
        <v>46017.958333333336</v>
      </c>
      <c r="O16506" s="46" t="s">
        <v>123</v>
      </c>
      <c r="P16506" s="46">
        <v>1800.0</v>
      </c>
    </row>
    <row r="16507">
      <c r="A16507" s="40">
        <f t="shared" si="1"/>
        <v>46013</v>
      </c>
      <c r="B16507" s="37" t="str">
        <f t="array" ref="B16507">iferror(xlookup($I16507, 'IMPORT VHC Report'!$E:$E, 'IMPORT VHC Report'!$A:$C), )</f>
        <v/>
      </c>
      <c r="C16507" s="44"/>
      <c r="D16507" s="44"/>
      <c r="E16507" s="46" t="s">
        <v>12705</v>
      </c>
      <c r="F16507" s="46" t="s">
        <v>1467</v>
      </c>
      <c r="G16507" s="46">
        <v>3.61825398056E11</v>
      </c>
      <c r="H16507" s="46" t="s">
        <v>1468</v>
      </c>
      <c r="I16507" s="46" t="s">
        <v>1469</v>
      </c>
      <c r="J16507" s="46" t="s">
        <v>132</v>
      </c>
      <c r="K16507" s="46" t="s">
        <v>126</v>
      </c>
      <c r="L16507" s="45">
        <v>46018.0</v>
      </c>
      <c r="M16507" s="46" t="s">
        <v>123</v>
      </c>
      <c r="N16507" s="45">
        <v>46018.041666666664</v>
      </c>
      <c r="O16507" s="46" t="s">
        <v>123</v>
      </c>
      <c r="P16507" s="46">
        <v>3600.0</v>
      </c>
    </row>
    <row r="16508">
      <c r="A16508" s="40">
        <f t="shared" si="1"/>
        <v>46013</v>
      </c>
      <c r="B16508" s="37" t="str">
        <f t="array" ref="B16508">iferror(xlookup($I16508, 'IMPORT VHC Report'!$E:$E, 'IMPORT VHC Report'!$A:$C), )</f>
        <v/>
      </c>
      <c r="C16508" s="44"/>
      <c r="D16508" s="44"/>
      <c r="E16508" s="46" t="s">
        <v>12706</v>
      </c>
      <c r="F16508" s="46" t="s">
        <v>1467</v>
      </c>
      <c r="G16508" s="46">
        <v>3.61825398056E11</v>
      </c>
      <c r="H16508" s="46" t="s">
        <v>1468</v>
      </c>
      <c r="I16508" s="46" t="s">
        <v>1469</v>
      </c>
      <c r="J16508" s="46" t="s">
        <v>125</v>
      </c>
      <c r="K16508" s="46" t="s">
        <v>126</v>
      </c>
      <c r="L16508" s="45">
        <v>46018.833333333336</v>
      </c>
      <c r="M16508" s="46" t="s">
        <v>123</v>
      </c>
      <c r="N16508" s="45">
        <v>46018.84027777778</v>
      </c>
      <c r="O16508" s="46" t="s">
        <v>123</v>
      </c>
      <c r="P16508" s="46">
        <v>600.0</v>
      </c>
      <c r="S16508" s="46" t="s">
        <v>127</v>
      </c>
    </row>
    <row r="16509">
      <c r="A16509" s="40">
        <f t="shared" si="1"/>
        <v>46013</v>
      </c>
      <c r="B16509" s="37" t="str">
        <f t="array" ref="B16509">iferror(xlookup($I16509, 'IMPORT VHC Report'!$E:$E, 'IMPORT VHC Report'!$A:$C), )</f>
        <v/>
      </c>
      <c r="C16509" s="44"/>
      <c r="D16509" s="44"/>
      <c r="E16509" s="46" t="s">
        <v>12707</v>
      </c>
      <c r="F16509" s="46" t="s">
        <v>1467</v>
      </c>
      <c r="G16509" s="46">
        <v>3.61825398056E11</v>
      </c>
      <c r="H16509" s="46" t="s">
        <v>1468</v>
      </c>
      <c r="I16509" s="46" t="s">
        <v>1469</v>
      </c>
      <c r="J16509" s="46" t="s">
        <v>122</v>
      </c>
      <c r="K16509" s="46" t="s">
        <v>63</v>
      </c>
      <c r="L16509" s="45">
        <v>46018.833333333336</v>
      </c>
      <c r="M16509" s="46" t="s">
        <v>123</v>
      </c>
      <c r="N16509" s="45">
        <v>46019.208333333336</v>
      </c>
      <c r="O16509" s="46" t="s">
        <v>123</v>
      </c>
      <c r="P16509" s="46">
        <v>32400.0</v>
      </c>
    </row>
    <row r="16510">
      <c r="A16510" s="40">
        <f t="shared" si="1"/>
        <v>46013</v>
      </c>
      <c r="B16510" s="37" t="str">
        <f t="array" ref="B16510">iferror(xlookup($I16510, 'IMPORT VHC Report'!$E:$E, 'IMPORT VHC Report'!$A:$C), )</f>
        <v/>
      </c>
      <c r="C16510" s="44"/>
      <c r="D16510" s="44"/>
      <c r="E16510" s="46" t="s">
        <v>12708</v>
      </c>
      <c r="F16510" s="46" t="s">
        <v>1467</v>
      </c>
      <c r="G16510" s="46">
        <v>3.61825398056E11</v>
      </c>
      <c r="H16510" s="46" t="s">
        <v>1468</v>
      </c>
      <c r="I16510" s="46" t="s">
        <v>1469</v>
      </c>
      <c r="J16510" s="46" t="s">
        <v>132</v>
      </c>
      <c r="K16510" s="46" t="s">
        <v>126</v>
      </c>
      <c r="L16510" s="45">
        <v>46018.895833333336</v>
      </c>
      <c r="M16510" s="46" t="s">
        <v>123</v>
      </c>
      <c r="N16510" s="45">
        <v>46018.9375</v>
      </c>
      <c r="O16510" s="46" t="s">
        <v>123</v>
      </c>
      <c r="P16510" s="46">
        <v>3600.0</v>
      </c>
    </row>
    <row r="16511">
      <c r="A16511" s="40">
        <f t="shared" si="1"/>
        <v>46013</v>
      </c>
      <c r="B16511" s="37" t="str">
        <f t="array" ref="B16511">iferror(xlookup($I16511, 'IMPORT VHC Report'!$E:$E, 'IMPORT VHC Report'!$A:$C), )</f>
        <v/>
      </c>
      <c r="C16511" s="44"/>
      <c r="D16511" s="44"/>
      <c r="E16511" s="46" t="s">
        <v>12709</v>
      </c>
      <c r="F16511" s="46" t="s">
        <v>1467</v>
      </c>
      <c r="G16511" s="46">
        <v>3.61825398056E11</v>
      </c>
      <c r="H16511" s="46" t="s">
        <v>1468</v>
      </c>
      <c r="I16511" s="46" t="s">
        <v>1469</v>
      </c>
      <c r="J16511" s="46" t="s">
        <v>134</v>
      </c>
      <c r="K16511" s="46" t="s">
        <v>126</v>
      </c>
      <c r="L16511" s="45">
        <v>46019.052083333336</v>
      </c>
      <c r="M16511" s="46" t="s">
        <v>123</v>
      </c>
      <c r="N16511" s="45">
        <v>46019.072916666664</v>
      </c>
      <c r="O16511" s="46" t="s">
        <v>123</v>
      </c>
      <c r="P16511" s="46">
        <v>1800.0</v>
      </c>
    </row>
    <row r="16512">
      <c r="A16512" s="40">
        <f t="shared" si="1"/>
        <v>46013</v>
      </c>
      <c r="B16512" s="37" t="str">
        <f t="array" ref="B16512">iferror(xlookup($I16512, 'IMPORT VHC Report'!$E:$E, 'IMPORT VHC Report'!$A:$C), )</f>
        <v/>
      </c>
      <c r="C16512" s="44"/>
      <c r="D16512" s="44"/>
      <c r="E16512" s="46" t="s">
        <v>12710</v>
      </c>
      <c r="F16512" s="46" t="s">
        <v>1467</v>
      </c>
      <c r="G16512" s="46">
        <v>3.61825398056E11</v>
      </c>
      <c r="H16512" s="46" t="s">
        <v>1468</v>
      </c>
      <c r="I16512" s="46" t="s">
        <v>1469</v>
      </c>
      <c r="J16512" s="46" t="s">
        <v>125</v>
      </c>
      <c r="K16512" s="46" t="s">
        <v>126</v>
      </c>
      <c r="L16512" s="45">
        <v>46019.833333333336</v>
      </c>
      <c r="M16512" s="46" t="s">
        <v>123</v>
      </c>
      <c r="N16512" s="45">
        <v>46019.84027777778</v>
      </c>
      <c r="O16512" s="46" t="s">
        <v>123</v>
      </c>
      <c r="P16512" s="46">
        <v>600.0</v>
      </c>
      <c r="S16512" s="46" t="s">
        <v>127</v>
      </c>
    </row>
    <row r="16513">
      <c r="A16513" s="40">
        <f t="shared" si="1"/>
        <v>46013</v>
      </c>
      <c r="B16513" s="37" t="str">
        <f t="array" ref="B16513">iferror(xlookup($I16513, 'IMPORT VHC Report'!$E:$E, 'IMPORT VHC Report'!$A:$C), )</f>
        <v/>
      </c>
      <c r="C16513" s="44"/>
      <c r="D16513" s="44"/>
      <c r="E16513" s="46" t="s">
        <v>12711</v>
      </c>
      <c r="F16513" s="46" t="s">
        <v>1467</v>
      </c>
      <c r="G16513" s="46">
        <v>3.61825398056E11</v>
      </c>
      <c r="H16513" s="46" t="s">
        <v>1468</v>
      </c>
      <c r="I16513" s="46" t="s">
        <v>1469</v>
      </c>
      <c r="J16513" s="46" t="s">
        <v>122</v>
      </c>
      <c r="K16513" s="46" t="s">
        <v>63</v>
      </c>
      <c r="L16513" s="45">
        <v>46019.833333333336</v>
      </c>
      <c r="M16513" s="46" t="s">
        <v>123</v>
      </c>
      <c r="N16513" s="45">
        <v>46020.0</v>
      </c>
      <c r="O16513" s="46" t="s">
        <v>123</v>
      </c>
      <c r="P16513" s="46">
        <v>14400.0</v>
      </c>
    </row>
    <row r="16514">
      <c r="A16514" s="40">
        <f t="shared" si="1"/>
        <v>46013</v>
      </c>
      <c r="B16514" s="37" t="str">
        <f t="array" ref="B16514">iferror(xlookup($I16514, 'IMPORT VHC Report'!$E:$E, 'IMPORT VHC Report'!$A:$C), )</f>
        <v/>
      </c>
      <c r="C16514" s="44"/>
      <c r="D16514" s="44"/>
      <c r="E16514" s="46" t="s">
        <v>12712</v>
      </c>
      <c r="F16514" s="46" t="s">
        <v>1467</v>
      </c>
      <c r="G16514" s="46">
        <v>3.61825398056E11</v>
      </c>
      <c r="H16514" s="46" t="s">
        <v>1468</v>
      </c>
      <c r="I16514" s="46" t="s">
        <v>1469</v>
      </c>
      <c r="J16514" s="46" t="s">
        <v>132</v>
      </c>
      <c r="K16514" s="46" t="s">
        <v>126</v>
      </c>
      <c r="L16514" s="45">
        <v>46019.958333333336</v>
      </c>
      <c r="M16514" s="46" t="s">
        <v>123</v>
      </c>
      <c r="N16514" s="45">
        <v>46020.0</v>
      </c>
      <c r="O16514" s="46" t="s">
        <v>123</v>
      </c>
      <c r="P16514" s="46">
        <v>3600.0</v>
      </c>
    </row>
    <row r="16515">
      <c r="A16515" s="40">
        <f t="shared" si="1"/>
        <v>46013</v>
      </c>
      <c r="B16515" s="37" t="str">
        <f t="array" ref="B16515">iferror(xlookup($I16515, 'IMPORT VHC Report'!$E:$E, 'IMPORT VHC Report'!$A:$C), )</f>
        <v/>
      </c>
      <c r="C16515" s="44"/>
      <c r="D16515" s="44"/>
      <c r="E16515" s="46" t="s">
        <v>12713</v>
      </c>
      <c r="F16515" s="46" t="s">
        <v>1528</v>
      </c>
      <c r="H16515" s="46" t="s">
        <v>1529</v>
      </c>
      <c r="I16515" s="46" t="s">
        <v>1530</v>
      </c>
      <c r="J16515" s="46" t="s">
        <v>122</v>
      </c>
      <c r="K16515" s="46" t="s">
        <v>63</v>
      </c>
      <c r="L16515" s="45">
        <v>46013.0</v>
      </c>
      <c r="M16515" s="46" t="s">
        <v>123</v>
      </c>
      <c r="N16515" s="45">
        <v>46013.041666666664</v>
      </c>
      <c r="O16515" s="46" t="s">
        <v>123</v>
      </c>
      <c r="P16515" s="46">
        <v>3600.0</v>
      </c>
    </row>
    <row r="16516">
      <c r="A16516" s="40">
        <f t="shared" si="1"/>
        <v>46013</v>
      </c>
      <c r="B16516" s="37" t="str">
        <f t="array" ref="B16516">iferror(xlookup($I16516, 'IMPORT VHC Report'!$E:$E, 'IMPORT VHC Report'!$A:$C), )</f>
        <v/>
      </c>
      <c r="C16516" s="44"/>
      <c r="D16516" s="44"/>
      <c r="E16516" s="46" t="s">
        <v>12714</v>
      </c>
      <c r="F16516" s="46" t="s">
        <v>1528</v>
      </c>
      <c r="H16516" s="46" t="s">
        <v>1529</v>
      </c>
      <c r="I16516" s="46" t="s">
        <v>1530</v>
      </c>
      <c r="J16516" s="46" t="s">
        <v>125</v>
      </c>
      <c r="K16516" s="46" t="s">
        <v>126</v>
      </c>
      <c r="L16516" s="45">
        <v>46013.666666666664</v>
      </c>
      <c r="M16516" s="46" t="s">
        <v>123</v>
      </c>
      <c r="N16516" s="45">
        <v>46013.67361111111</v>
      </c>
      <c r="O16516" s="46" t="s">
        <v>123</v>
      </c>
      <c r="P16516" s="46">
        <v>600.0</v>
      </c>
      <c r="S16516" s="46" t="s">
        <v>127</v>
      </c>
    </row>
    <row r="16517">
      <c r="A16517" s="40">
        <f t="shared" si="1"/>
        <v>46013</v>
      </c>
      <c r="B16517" s="37" t="str">
        <f t="array" ref="B16517">iferror(xlookup($I16517, 'IMPORT VHC Report'!$E:$E, 'IMPORT VHC Report'!$A:$C), )</f>
        <v/>
      </c>
      <c r="C16517" s="44"/>
      <c r="D16517" s="44"/>
      <c r="E16517" s="46" t="s">
        <v>12715</v>
      </c>
      <c r="F16517" s="46" t="s">
        <v>1528</v>
      </c>
      <c r="H16517" s="46" t="s">
        <v>1529</v>
      </c>
      <c r="I16517" s="46" t="s">
        <v>1530</v>
      </c>
      <c r="J16517" s="46" t="s">
        <v>178</v>
      </c>
      <c r="K16517" s="46" t="s">
        <v>153</v>
      </c>
      <c r="L16517" s="45">
        <v>46013.666666666664</v>
      </c>
      <c r="M16517" s="46" t="s">
        <v>123</v>
      </c>
      <c r="N16517" s="45">
        <v>46014.041666666664</v>
      </c>
      <c r="O16517" s="46" t="s">
        <v>123</v>
      </c>
      <c r="P16517" s="46">
        <v>32400.0</v>
      </c>
      <c r="Q16517" s="46">
        <v>57600.0</v>
      </c>
      <c r="R16517" s="46" t="s">
        <v>12716</v>
      </c>
    </row>
    <row r="16518">
      <c r="A16518" s="40">
        <f t="shared" si="1"/>
        <v>46013</v>
      </c>
      <c r="B16518" s="37" t="str">
        <f t="array" ref="B16518">iferror(xlookup($I16518, 'IMPORT VHC Report'!$E:$E, 'IMPORT VHC Report'!$A:$C), )</f>
        <v/>
      </c>
      <c r="C16518" s="44"/>
      <c r="D16518" s="44"/>
      <c r="E16518" s="46" t="s">
        <v>12717</v>
      </c>
      <c r="F16518" s="46" t="s">
        <v>1528</v>
      </c>
      <c r="H16518" s="46" t="s">
        <v>1529</v>
      </c>
      <c r="I16518" s="46" t="s">
        <v>1530</v>
      </c>
      <c r="J16518" s="46" t="s">
        <v>122</v>
      </c>
      <c r="K16518" s="46" t="s">
        <v>63</v>
      </c>
      <c r="L16518" s="45">
        <v>46013.666666666664</v>
      </c>
      <c r="M16518" s="46" t="s">
        <v>123</v>
      </c>
      <c r="N16518" s="45">
        <v>46014.041666666664</v>
      </c>
      <c r="O16518" s="46" t="s">
        <v>123</v>
      </c>
      <c r="P16518" s="46">
        <v>32400.0</v>
      </c>
    </row>
    <row r="16519">
      <c r="A16519" s="40">
        <f t="shared" si="1"/>
        <v>46013</v>
      </c>
      <c r="B16519" s="37" t="str">
        <f t="array" ref="B16519">iferror(xlookup($I16519, 'IMPORT VHC Report'!$E:$E, 'IMPORT VHC Report'!$A:$C), )</f>
        <v/>
      </c>
      <c r="C16519" s="44"/>
      <c r="D16519" s="44"/>
      <c r="E16519" s="46" t="s">
        <v>12718</v>
      </c>
      <c r="F16519" s="46" t="s">
        <v>1528</v>
      </c>
      <c r="H16519" s="46" t="s">
        <v>1529</v>
      </c>
      <c r="I16519" s="46" t="s">
        <v>1530</v>
      </c>
      <c r="J16519" s="46" t="s">
        <v>134</v>
      </c>
      <c r="K16519" s="46" t="s">
        <v>126</v>
      </c>
      <c r="L16519" s="45">
        <v>46013.75</v>
      </c>
      <c r="M16519" s="46" t="s">
        <v>123</v>
      </c>
      <c r="N16519" s="45">
        <v>46013.770833333336</v>
      </c>
      <c r="O16519" s="46" t="s">
        <v>123</v>
      </c>
      <c r="P16519" s="46">
        <v>1800.0</v>
      </c>
    </row>
    <row r="16520">
      <c r="A16520" s="40">
        <f t="shared" si="1"/>
        <v>46013</v>
      </c>
      <c r="B16520" s="37" t="str">
        <f t="array" ref="B16520">iferror(xlookup($I16520, 'IMPORT VHC Report'!$E:$E, 'IMPORT VHC Report'!$A:$C), )</f>
        <v/>
      </c>
      <c r="C16520" s="44"/>
      <c r="D16520" s="44"/>
      <c r="E16520" s="46" t="s">
        <v>12719</v>
      </c>
      <c r="F16520" s="46" t="s">
        <v>1528</v>
      </c>
      <c r="H16520" s="46" t="s">
        <v>1529</v>
      </c>
      <c r="I16520" s="46" t="s">
        <v>1530</v>
      </c>
      <c r="J16520" s="46" t="s">
        <v>132</v>
      </c>
      <c r="K16520" s="46" t="s">
        <v>126</v>
      </c>
      <c r="L16520" s="45">
        <v>46013.90625</v>
      </c>
      <c r="M16520" s="46" t="s">
        <v>123</v>
      </c>
      <c r="N16520" s="45">
        <v>46013.947916666664</v>
      </c>
      <c r="O16520" s="46" t="s">
        <v>123</v>
      </c>
      <c r="P16520" s="46">
        <v>3600.0</v>
      </c>
    </row>
    <row r="16521">
      <c r="A16521" s="40">
        <f t="shared" si="1"/>
        <v>46013</v>
      </c>
      <c r="B16521" s="37" t="str">
        <f t="array" ref="B16521">iferror(xlookup($I16521, 'IMPORT VHC Report'!$E:$E, 'IMPORT VHC Report'!$A:$C), )</f>
        <v/>
      </c>
      <c r="C16521" s="44"/>
      <c r="D16521" s="44"/>
      <c r="E16521" s="46" t="s">
        <v>12720</v>
      </c>
      <c r="F16521" s="46" t="s">
        <v>1528</v>
      </c>
      <c r="H16521" s="46" t="s">
        <v>1529</v>
      </c>
      <c r="I16521" s="46" t="s">
        <v>1530</v>
      </c>
      <c r="J16521" s="46" t="s">
        <v>125</v>
      </c>
      <c r="K16521" s="46" t="s">
        <v>126</v>
      </c>
      <c r="L16521" s="45">
        <v>46014.666666666664</v>
      </c>
      <c r="M16521" s="46" t="s">
        <v>123</v>
      </c>
      <c r="N16521" s="45">
        <v>46014.67361111111</v>
      </c>
      <c r="O16521" s="46" t="s">
        <v>123</v>
      </c>
      <c r="P16521" s="46">
        <v>600.0</v>
      </c>
      <c r="S16521" s="46" t="s">
        <v>127</v>
      </c>
    </row>
    <row r="16522">
      <c r="A16522" s="40">
        <f t="shared" si="1"/>
        <v>46013</v>
      </c>
      <c r="B16522" s="37" t="str">
        <f t="array" ref="B16522">iferror(xlookup($I16522, 'IMPORT VHC Report'!$E:$E, 'IMPORT VHC Report'!$A:$C), )</f>
        <v/>
      </c>
      <c r="C16522" s="44"/>
      <c r="D16522" s="44"/>
      <c r="E16522" s="46" t="s">
        <v>12721</v>
      </c>
      <c r="F16522" s="46" t="s">
        <v>1528</v>
      </c>
      <c r="H16522" s="46" t="s">
        <v>1529</v>
      </c>
      <c r="I16522" s="46" t="s">
        <v>1530</v>
      </c>
      <c r="J16522" s="46" t="s">
        <v>122</v>
      </c>
      <c r="K16522" s="46" t="s">
        <v>63</v>
      </c>
      <c r="L16522" s="45">
        <v>46014.666666666664</v>
      </c>
      <c r="M16522" s="46" t="s">
        <v>123</v>
      </c>
      <c r="N16522" s="45">
        <v>46015.041666666664</v>
      </c>
      <c r="O16522" s="46" t="s">
        <v>123</v>
      </c>
      <c r="P16522" s="46">
        <v>32400.0</v>
      </c>
    </row>
    <row r="16523">
      <c r="A16523" s="40">
        <f t="shared" si="1"/>
        <v>46013</v>
      </c>
      <c r="B16523" s="37" t="str">
        <f t="array" ref="B16523">iferror(xlookup($I16523, 'IMPORT VHC Report'!$E:$E, 'IMPORT VHC Report'!$A:$C), )</f>
        <v/>
      </c>
      <c r="C16523" s="44"/>
      <c r="D16523" s="44"/>
      <c r="E16523" s="46" t="s">
        <v>12722</v>
      </c>
      <c r="F16523" s="46" t="s">
        <v>1528</v>
      </c>
      <c r="H16523" s="46" t="s">
        <v>1529</v>
      </c>
      <c r="I16523" s="46" t="s">
        <v>1530</v>
      </c>
      <c r="J16523" s="46" t="s">
        <v>178</v>
      </c>
      <c r="K16523" s="46" t="s">
        <v>153</v>
      </c>
      <c r="L16523" s="45">
        <v>46014.666666666664</v>
      </c>
      <c r="M16523" s="46" t="s">
        <v>123</v>
      </c>
      <c r="N16523" s="45">
        <v>46015.041666666664</v>
      </c>
      <c r="O16523" s="46" t="s">
        <v>123</v>
      </c>
      <c r="P16523" s="46">
        <v>32400.0</v>
      </c>
      <c r="Q16523" s="46">
        <v>32400.0</v>
      </c>
    </row>
    <row r="16524">
      <c r="A16524" s="40">
        <f t="shared" si="1"/>
        <v>46013</v>
      </c>
      <c r="B16524" s="37" t="str">
        <f t="array" ref="B16524">iferror(xlookup($I16524, 'IMPORT VHC Report'!$E:$E, 'IMPORT VHC Report'!$A:$C), )</f>
        <v/>
      </c>
      <c r="C16524" s="44"/>
      <c r="D16524" s="44"/>
      <c r="E16524" s="46" t="s">
        <v>12723</v>
      </c>
      <c r="F16524" s="46" t="s">
        <v>1528</v>
      </c>
      <c r="H16524" s="46" t="s">
        <v>1529</v>
      </c>
      <c r="I16524" s="46" t="s">
        <v>1530</v>
      </c>
      <c r="J16524" s="46" t="s">
        <v>134</v>
      </c>
      <c r="K16524" s="46" t="s">
        <v>126</v>
      </c>
      <c r="L16524" s="45">
        <v>46014.75</v>
      </c>
      <c r="M16524" s="46" t="s">
        <v>123</v>
      </c>
      <c r="N16524" s="45">
        <v>46014.770833333336</v>
      </c>
      <c r="O16524" s="46" t="s">
        <v>123</v>
      </c>
      <c r="P16524" s="46">
        <v>1800.0</v>
      </c>
    </row>
    <row r="16525">
      <c r="A16525" s="40">
        <f t="shared" si="1"/>
        <v>46013</v>
      </c>
      <c r="B16525" s="37" t="str">
        <f t="array" ref="B16525">iferror(xlookup($I16525, 'IMPORT VHC Report'!$E:$E, 'IMPORT VHC Report'!$A:$C), )</f>
        <v/>
      </c>
      <c r="C16525" s="44"/>
      <c r="D16525" s="44"/>
      <c r="E16525" s="46" t="s">
        <v>12724</v>
      </c>
      <c r="F16525" s="46" t="s">
        <v>1528</v>
      </c>
      <c r="H16525" s="46" t="s">
        <v>1529</v>
      </c>
      <c r="I16525" s="46" t="s">
        <v>1530</v>
      </c>
      <c r="J16525" s="46" t="s">
        <v>132</v>
      </c>
      <c r="K16525" s="46" t="s">
        <v>126</v>
      </c>
      <c r="L16525" s="45">
        <v>46014.885416666664</v>
      </c>
      <c r="M16525" s="46" t="s">
        <v>123</v>
      </c>
      <c r="N16525" s="45">
        <v>46014.927083333336</v>
      </c>
      <c r="O16525" s="46" t="s">
        <v>123</v>
      </c>
      <c r="P16525" s="46">
        <v>3600.0</v>
      </c>
    </row>
    <row r="16526">
      <c r="A16526" s="40">
        <f t="shared" si="1"/>
        <v>46013</v>
      </c>
      <c r="B16526" s="37" t="str">
        <f t="array" ref="B16526">iferror(xlookup($I16526, 'IMPORT VHC Report'!$E:$E, 'IMPORT VHC Report'!$A:$C), )</f>
        <v/>
      </c>
      <c r="C16526" s="44"/>
      <c r="D16526" s="44"/>
      <c r="E16526" s="46" t="s">
        <v>12725</v>
      </c>
      <c r="F16526" s="46" t="s">
        <v>1528</v>
      </c>
      <c r="H16526" s="46" t="s">
        <v>1529</v>
      </c>
      <c r="I16526" s="46" t="s">
        <v>1530</v>
      </c>
      <c r="J16526" s="46" t="s">
        <v>125</v>
      </c>
      <c r="K16526" s="46" t="s">
        <v>126</v>
      </c>
      <c r="L16526" s="45">
        <v>46016.666666666664</v>
      </c>
      <c r="M16526" s="46" t="s">
        <v>123</v>
      </c>
      <c r="N16526" s="45">
        <v>46016.67361111111</v>
      </c>
      <c r="O16526" s="46" t="s">
        <v>123</v>
      </c>
      <c r="P16526" s="46">
        <v>600.0</v>
      </c>
      <c r="S16526" s="46" t="s">
        <v>127</v>
      </c>
    </row>
    <row r="16527">
      <c r="A16527" s="40">
        <f t="shared" si="1"/>
        <v>46013</v>
      </c>
      <c r="B16527" s="37" t="str">
        <f t="array" ref="B16527">iferror(xlookup($I16527, 'IMPORT VHC Report'!$E:$E, 'IMPORT VHC Report'!$A:$C), )</f>
        <v/>
      </c>
      <c r="C16527" s="44"/>
      <c r="D16527" s="44"/>
      <c r="E16527" s="46" t="s">
        <v>12726</v>
      </c>
      <c r="F16527" s="46" t="s">
        <v>1528</v>
      </c>
      <c r="H16527" s="46" t="s">
        <v>1529</v>
      </c>
      <c r="I16527" s="46" t="s">
        <v>1530</v>
      </c>
      <c r="J16527" s="46" t="s">
        <v>122</v>
      </c>
      <c r="K16527" s="46" t="s">
        <v>63</v>
      </c>
      <c r="L16527" s="45">
        <v>46016.666666666664</v>
      </c>
      <c r="M16527" s="46" t="s">
        <v>123</v>
      </c>
      <c r="N16527" s="45">
        <v>46017.041666666664</v>
      </c>
      <c r="O16527" s="46" t="s">
        <v>123</v>
      </c>
      <c r="P16527" s="46">
        <v>32400.0</v>
      </c>
    </row>
    <row r="16528">
      <c r="A16528" s="40">
        <f t="shared" si="1"/>
        <v>46013</v>
      </c>
      <c r="B16528" s="37" t="str">
        <f t="array" ref="B16528">iferror(xlookup($I16528, 'IMPORT VHC Report'!$E:$E, 'IMPORT VHC Report'!$A:$C), )</f>
        <v/>
      </c>
      <c r="C16528" s="44"/>
      <c r="D16528" s="44"/>
      <c r="E16528" s="46" t="s">
        <v>12727</v>
      </c>
      <c r="F16528" s="46" t="s">
        <v>1528</v>
      </c>
      <c r="H16528" s="46" t="s">
        <v>1529</v>
      </c>
      <c r="I16528" s="46" t="s">
        <v>1530</v>
      </c>
      <c r="J16528" s="46" t="s">
        <v>134</v>
      </c>
      <c r="K16528" s="46" t="s">
        <v>126</v>
      </c>
      <c r="L16528" s="45">
        <v>46016.75</v>
      </c>
      <c r="M16528" s="46" t="s">
        <v>123</v>
      </c>
      <c r="N16528" s="45">
        <v>46016.770833333336</v>
      </c>
      <c r="O16528" s="46" t="s">
        <v>123</v>
      </c>
      <c r="P16528" s="46">
        <v>1800.0</v>
      </c>
    </row>
    <row r="16529">
      <c r="A16529" s="40">
        <f t="shared" si="1"/>
        <v>46013</v>
      </c>
      <c r="B16529" s="37" t="str">
        <f t="array" ref="B16529">iferror(xlookup($I16529, 'IMPORT VHC Report'!$E:$E, 'IMPORT VHC Report'!$A:$C), )</f>
        <v/>
      </c>
      <c r="C16529" s="44"/>
      <c r="D16529" s="44"/>
      <c r="E16529" s="46" t="s">
        <v>12728</v>
      </c>
      <c r="F16529" s="46" t="s">
        <v>1528</v>
      </c>
      <c r="H16529" s="46" t="s">
        <v>1529</v>
      </c>
      <c r="I16529" s="46" t="s">
        <v>1530</v>
      </c>
      <c r="J16529" s="46" t="s">
        <v>132</v>
      </c>
      <c r="K16529" s="46" t="s">
        <v>126</v>
      </c>
      <c r="L16529" s="45">
        <v>46016.916666666664</v>
      </c>
      <c r="M16529" s="46" t="s">
        <v>123</v>
      </c>
      <c r="N16529" s="45">
        <v>46016.958333333336</v>
      </c>
      <c r="O16529" s="46" t="s">
        <v>123</v>
      </c>
      <c r="P16529" s="46">
        <v>3600.0</v>
      </c>
    </row>
    <row r="16530">
      <c r="A16530" s="40">
        <f t="shared" si="1"/>
        <v>46013</v>
      </c>
      <c r="B16530" s="37" t="str">
        <f t="array" ref="B16530">iferror(xlookup($I16530, 'IMPORT VHC Report'!$E:$E, 'IMPORT VHC Report'!$A:$C), )</f>
        <v/>
      </c>
      <c r="C16530" s="44"/>
      <c r="D16530" s="44"/>
      <c r="E16530" s="46" t="s">
        <v>12729</v>
      </c>
      <c r="F16530" s="46" t="s">
        <v>1528</v>
      </c>
      <c r="H16530" s="46" t="s">
        <v>1529</v>
      </c>
      <c r="I16530" s="46" t="s">
        <v>1530</v>
      </c>
      <c r="J16530" s="46" t="s">
        <v>125</v>
      </c>
      <c r="K16530" s="46" t="s">
        <v>126</v>
      </c>
      <c r="L16530" s="45">
        <v>46018.666666666664</v>
      </c>
      <c r="M16530" s="46" t="s">
        <v>123</v>
      </c>
      <c r="N16530" s="45">
        <v>46018.67361111111</v>
      </c>
      <c r="O16530" s="46" t="s">
        <v>123</v>
      </c>
      <c r="P16530" s="46">
        <v>600.0</v>
      </c>
      <c r="S16530" s="46" t="s">
        <v>127</v>
      </c>
    </row>
    <row r="16531">
      <c r="A16531" s="40">
        <f t="shared" si="1"/>
        <v>46013</v>
      </c>
      <c r="B16531" s="37" t="str">
        <f t="array" ref="B16531">iferror(xlookup($I16531, 'IMPORT VHC Report'!$E:$E, 'IMPORT VHC Report'!$A:$C), )</f>
        <v/>
      </c>
      <c r="C16531" s="44"/>
      <c r="D16531" s="44"/>
      <c r="E16531" s="46" t="s">
        <v>12730</v>
      </c>
      <c r="F16531" s="46" t="s">
        <v>1528</v>
      </c>
      <c r="H16531" s="46" t="s">
        <v>1529</v>
      </c>
      <c r="I16531" s="46" t="s">
        <v>1530</v>
      </c>
      <c r="J16531" s="46" t="s">
        <v>178</v>
      </c>
      <c r="K16531" s="46" t="s">
        <v>153</v>
      </c>
      <c r="L16531" s="45">
        <v>46018.666666666664</v>
      </c>
      <c r="M16531" s="46" t="s">
        <v>123</v>
      </c>
      <c r="N16531" s="45">
        <v>46019.041666666664</v>
      </c>
      <c r="O16531" s="46" t="s">
        <v>123</v>
      </c>
      <c r="P16531" s="46">
        <v>32400.0</v>
      </c>
      <c r="Q16531" s="46">
        <v>28800.0</v>
      </c>
      <c r="R16531" s="46" t="s">
        <v>12716</v>
      </c>
    </row>
    <row r="16532">
      <c r="A16532" s="40">
        <f t="shared" si="1"/>
        <v>46013</v>
      </c>
      <c r="B16532" s="37" t="str">
        <f t="array" ref="B16532">iferror(xlookup($I16532, 'IMPORT VHC Report'!$E:$E, 'IMPORT VHC Report'!$A:$C), )</f>
        <v/>
      </c>
      <c r="C16532" s="44"/>
      <c r="D16532" s="44"/>
      <c r="E16532" s="46" t="s">
        <v>12731</v>
      </c>
      <c r="F16532" s="46" t="s">
        <v>1528</v>
      </c>
      <c r="H16532" s="46" t="s">
        <v>1529</v>
      </c>
      <c r="I16532" s="46" t="s">
        <v>1530</v>
      </c>
      <c r="J16532" s="46" t="s">
        <v>122</v>
      </c>
      <c r="K16532" s="46" t="s">
        <v>63</v>
      </c>
      <c r="L16532" s="45">
        <v>46018.666666666664</v>
      </c>
      <c r="M16532" s="46" t="s">
        <v>123</v>
      </c>
      <c r="N16532" s="45">
        <v>46019.041666666664</v>
      </c>
      <c r="O16532" s="46" t="s">
        <v>123</v>
      </c>
      <c r="P16532" s="46">
        <v>32400.0</v>
      </c>
    </row>
    <row r="16533">
      <c r="A16533" s="40">
        <f t="shared" si="1"/>
        <v>46013</v>
      </c>
      <c r="B16533" s="37" t="str">
        <f t="array" ref="B16533">iferror(xlookup($I16533, 'IMPORT VHC Report'!$E:$E, 'IMPORT VHC Report'!$A:$C), )</f>
        <v/>
      </c>
      <c r="C16533" s="44"/>
      <c r="D16533" s="44"/>
      <c r="E16533" s="46" t="s">
        <v>12732</v>
      </c>
      <c r="F16533" s="46" t="s">
        <v>1528</v>
      </c>
      <c r="H16533" s="46" t="s">
        <v>1529</v>
      </c>
      <c r="I16533" s="46" t="s">
        <v>1530</v>
      </c>
      <c r="J16533" s="46" t="s">
        <v>134</v>
      </c>
      <c r="K16533" s="46" t="s">
        <v>126</v>
      </c>
      <c r="L16533" s="45">
        <v>46018.729166666664</v>
      </c>
      <c r="M16533" s="46" t="s">
        <v>123</v>
      </c>
      <c r="N16533" s="45">
        <v>46018.75</v>
      </c>
      <c r="O16533" s="46" t="s">
        <v>123</v>
      </c>
      <c r="P16533" s="46">
        <v>1800.0</v>
      </c>
    </row>
    <row r="16534">
      <c r="A16534" s="40">
        <f t="shared" si="1"/>
        <v>46013</v>
      </c>
      <c r="B16534" s="37" t="str">
        <f t="array" ref="B16534">iferror(xlookup($I16534, 'IMPORT VHC Report'!$E:$E, 'IMPORT VHC Report'!$A:$C), )</f>
        <v/>
      </c>
      <c r="C16534" s="44"/>
      <c r="D16534" s="44"/>
      <c r="E16534" s="46" t="s">
        <v>12733</v>
      </c>
      <c r="F16534" s="46" t="s">
        <v>1528</v>
      </c>
      <c r="H16534" s="46" t="s">
        <v>1529</v>
      </c>
      <c r="I16534" s="46" t="s">
        <v>1530</v>
      </c>
      <c r="J16534" s="46" t="s">
        <v>132</v>
      </c>
      <c r="K16534" s="46" t="s">
        <v>126</v>
      </c>
      <c r="L16534" s="45">
        <v>46018.885416666664</v>
      </c>
      <c r="M16534" s="46" t="s">
        <v>123</v>
      </c>
      <c r="N16534" s="45">
        <v>46018.927083333336</v>
      </c>
      <c r="O16534" s="46" t="s">
        <v>123</v>
      </c>
      <c r="P16534" s="46">
        <v>3600.0</v>
      </c>
    </row>
    <row r="16535">
      <c r="A16535" s="40">
        <f t="shared" si="1"/>
        <v>46013</v>
      </c>
      <c r="B16535" s="37" t="str">
        <f t="array" ref="B16535">iferror(xlookup($I16535, 'IMPORT VHC Report'!$E:$E, 'IMPORT VHC Report'!$A:$C), )</f>
        <v/>
      </c>
      <c r="C16535" s="44"/>
      <c r="D16535" s="44"/>
      <c r="E16535" s="46" t="s">
        <v>12734</v>
      </c>
      <c r="F16535" s="46" t="s">
        <v>1528</v>
      </c>
      <c r="H16535" s="46" t="s">
        <v>1529</v>
      </c>
      <c r="I16535" s="46" t="s">
        <v>1530</v>
      </c>
      <c r="J16535" s="46" t="s">
        <v>125</v>
      </c>
      <c r="K16535" s="46" t="s">
        <v>126</v>
      </c>
      <c r="L16535" s="45">
        <v>46019.666666666664</v>
      </c>
      <c r="M16535" s="46" t="s">
        <v>123</v>
      </c>
      <c r="N16535" s="45">
        <v>46019.67361111111</v>
      </c>
      <c r="O16535" s="46" t="s">
        <v>123</v>
      </c>
      <c r="P16535" s="46">
        <v>600.0</v>
      </c>
      <c r="S16535" s="46" t="s">
        <v>127</v>
      </c>
    </row>
    <row r="16536">
      <c r="A16536" s="40">
        <f t="shared" si="1"/>
        <v>46013</v>
      </c>
      <c r="B16536" s="37" t="str">
        <f t="array" ref="B16536">iferror(xlookup($I16536, 'IMPORT VHC Report'!$E:$E, 'IMPORT VHC Report'!$A:$C), )</f>
        <v/>
      </c>
      <c r="C16536" s="44"/>
      <c r="D16536" s="44"/>
      <c r="E16536" s="46" t="s">
        <v>12735</v>
      </c>
      <c r="F16536" s="46" t="s">
        <v>1528</v>
      </c>
      <c r="H16536" s="46" t="s">
        <v>1529</v>
      </c>
      <c r="I16536" s="46" t="s">
        <v>1530</v>
      </c>
      <c r="J16536" s="46" t="s">
        <v>122</v>
      </c>
      <c r="K16536" s="46" t="s">
        <v>63</v>
      </c>
      <c r="L16536" s="45">
        <v>46019.666666666664</v>
      </c>
      <c r="M16536" s="46" t="s">
        <v>123</v>
      </c>
      <c r="N16536" s="45">
        <v>46020.0</v>
      </c>
      <c r="O16536" s="46" t="s">
        <v>123</v>
      </c>
      <c r="P16536" s="46">
        <v>28800.0</v>
      </c>
    </row>
    <row r="16537">
      <c r="A16537" s="40">
        <f t="shared" si="1"/>
        <v>46013</v>
      </c>
      <c r="B16537" s="37" t="str">
        <f t="array" ref="B16537">iferror(xlookup($I16537, 'IMPORT VHC Report'!$E:$E, 'IMPORT VHC Report'!$A:$C), )</f>
        <v/>
      </c>
      <c r="C16537" s="44"/>
      <c r="D16537" s="44"/>
      <c r="E16537" s="46" t="s">
        <v>12736</v>
      </c>
      <c r="F16537" s="46" t="s">
        <v>1528</v>
      </c>
      <c r="H16537" s="46" t="s">
        <v>1529</v>
      </c>
      <c r="I16537" s="46" t="s">
        <v>1530</v>
      </c>
      <c r="J16537" s="46" t="s">
        <v>134</v>
      </c>
      <c r="K16537" s="46" t="s">
        <v>126</v>
      </c>
      <c r="L16537" s="45">
        <v>46019.75</v>
      </c>
      <c r="M16537" s="46" t="s">
        <v>123</v>
      </c>
      <c r="N16537" s="45">
        <v>46019.770833333336</v>
      </c>
      <c r="O16537" s="46" t="s">
        <v>123</v>
      </c>
      <c r="P16537" s="46">
        <v>1800.0</v>
      </c>
    </row>
    <row r="16538">
      <c r="A16538" s="40">
        <f t="shared" si="1"/>
        <v>46013</v>
      </c>
      <c r="B16538" s="37" t="str">
        <f t="array" ref="B16538">iferror(xlookup($I16538, 'IMPORT VHC Report'!$E:$E, 'IMPORT VHC Report'!$A:$C), )</f>
        <v/>
      </c>
      <c r="C16538" s="44"/>
      <c r="D16538" s="44"/>
      <c r="E16538" s="46" t="s">
        <v>12737</v>
      </c>
      <c r="F16538" s="46" t="s">
        <v>1528</v>
      </c>
      <c r="H16538" s="46" t="s">
        <v>1529</v>
      </c>
      <c r="I16538" s="46" t="s">
        <v>1530</v>
      </c>
      <c r="J16538" s="46" t="s">
        <v>132</v>
      </c>
      <c r="K16538" s="46" t="s">
        <v>126</v>
      </c>
      <c r="L16538" s="45">
        <v>46019.895833333336</v>
      </c>
      <c r="M16538" s="46" t="s">
        <v>123</v>
      </c>
      <c r="N16538" s="45">
        <v>46019.9375</v>
      </c>
      <c r="O16538" s="46" t="s">
        <v>123</v>
      </c>
      <c r="P16538" s="46">
        <v>3600.0</v>
      </c>
    </row>
    <row r="16539">
      <c r="A16539" s="40">
        <f t="shared" si="1"/>
        <v>46013</v>
      </c>
      <c r="B16539" s="37" t="str">
        <f t="array" ref="B16539">iferror(xlookup($I16539, 'IMPORT VHC Report'!$E:$E, 'IMPORT VHC Report'!$A:$C), )</f>
        <v/>
      </c>
      <c r="C16539" s="44"/>
      <c r="D16539" s="44"/>
      <c r="E16539" s="46" t="s">
        <v>12738</v>
      </c>
      <c r="F16539" s="46" t="s">
        <v>1582</v>
      </c>
      <c r="H16539" s="46" t="s">
        <v>1583</v>
      </c>
      <c r="I16539" s="46" t="s">
        <v>1584</v>
      </c>
      <c r="J16539" s="46" t="s">
        <v>122</v>
      </c>
      <c r="K16539" s="46" t="s">
        <v>63</v>
      </c>
      <c r="L16539" s="45">
        <v>46013.0</v>
      </c>
      <c r="M16539" s="46" t="s">
        <v>123</v>
      </c>
      <c r="N16539" s="45">
        <v>46013.291666666664</v>
      </c>
      <c r="O16539" s="46" t="s">
        <v>123</v>
      </c>
      <c r="P16539" s="46">
        <v>25200.0</v>
      </c>
    </row>
    <row r="16540">
      <c r="A16540" s="40">
        <f t="shared" si="1"/>
        <v>46013</v>
      </c>
      <c r="B16540" s="37" t="str">
        <f t="array" ref="B16540">iferror(xlookup($I16540, 'IMPORT VHC Report'!$E:$E, 'IMPORT VHC Report'!$A:$C), )</f>
        <v/>
      </c>
      <c r="C16540" s="44"/>
      <c r="D16540" s="44"/>
      <c r="E16540" s="46" t="s">
        <v>12739</v>
      </c>
      <c r="F16540" s="46" t="s">
        <v>1582</v>
      </c>
      <c r="H16540" s="46" t="s">
        <v>1583</v>
      </c>
      <c r="I16540" s="46" t="s">
        <v>1584</v>
      </c>
      <c r="J16540" s="46" t="s">
        <v>134</v>
      </c>
      <c r="K16540" s="46" t="s">
        <v>126</v>
      </c>
      <c r="L16540" s="45">
        <v>46013.020833333336</v>
      </c>
      <c r="M16540" s="46" t="s">
        <v>123</v>
      </c>
      <c r="N16540" s="45">
        <v>46013.041666666664</v>
      </c>
      <c r="O16540" s="46" t="s">
        <v>123</v>
      </c>
      <c r="P16540" s="46">
        <v>1800.0</v>
      </c>
    </row>
    <row r="16541">
      <c r="A16541" s="40">
        <f t="shared" si="1"/>
        <v>46013</v>
      </c>
      <c r="B16541" s="37" t="str">
        <f t="array" ref="B16541">iferror(xlookup($I16541, 'IMPORT VHC Report'!$E:$E, 'IMPORT VHC Report'!$A:$C), )</f>
        <v/>
      </c>
      <c r="C16541" s="44"/>
      <c r="D16541" s="44"/>
      <c r="E16541" s="46" t="s">
        <v>12740</v>
      </c>
      <c r="F16541" s="46" t="s">
        <v>1582</v>
      </c>
      <c r="H16541" s="46" t="s">
        <v>1583</v>
      </c>
      <c r="I16541" s="46" t="s">
        <v>1584</v>
      </c>
      <c r="J16541" s="46" t="s">
        <v>132</v>
      </c>
      <c r="K16541" s="46" t="s">
        <v>126</v>
      </c>
      <c r="L16541" s="45">
        <v>46013.166666666664</v>
      </c>
      <c r="M16541" s="46" t="s">
        <v>123</v>
      </c>
      <c r="N16541" s="45">
        <v>46013.208333333336</v>
      </c>
      <c r="O16541" s="46" t="s">
        <v>123</v>
      </c>
      <c r="P16541" s="46">
        <v>3600.0</v>
      </c>
    </row>
    <row r="16542">
      <c r="A16542" s="40">
        <f t="shared" si="1"/>
        <v>46013</v>
      </c>
      <c r="B16542" s="37" t="str">
        <f t="array" ref="B16542">iferror(xlookup($I16542, 'IMPORT VHC Report'!$E:$E, 'IMPORT VHC Report'!$A:$C), )</f>
        <v/>
      </c>
      <c r="C16542" s="44"/>
      <c r="D16542" s="44"/>
      <c r="E16542" s="46" t="s">
        <v>12741</v>
      </c>
      <c r="F16542" s="46" t="s">
        <v>1582</v>
      </c>
      <c r="H16542" s="46" t="s">
        <v>1583</v>
      </c>
      <c r="I16542" s="46" t="s">
        <v>1584</v>
      </c>
      <c r="J16542" s="46" t="s">
        <v>125</v>
      </c>
      <c r="K16542" s="46" t="s">
        <v>126</v>
      </c>
      <c r="L16542" s="45">
        <v>46013.916666666664</v>
      </c>
      <c r="M16542" s="46" t="s">
        <v>123</v>
      </c>
      <c r="N16542" s="45">
        <v>46013.92361111111</v>
      </c>
      <c r="O16542" s="46" t="s">
        <v>123</v>
      </c>
      <c r="P16542" s="46">
        <v>600.0</v>
      </c>
      <c r="S16542" s="46" t="s">
        <v>127</v>
      </c>
    </row>
    <row r="16543">
      <c r="A16543" s="40">
        <f t="shared" si="1"/>
        <v>46013</v>
      </c>
      <c r="B16543" s="37" t="str">
        <f t="array" ref="B16543">iferror(xlookup($I16543, 'IMPORT VHC Report'!$E:$E, 'IMPORT VHC Report'!$A:$C), )</f>
        <v/>
      </c>
      <c r="C16543" s="44"/>
      <c r="D16543" s="44"/>
      <c r="E16543" s="46" t="s">
        <v>12742</v>
      </c>
      <c r="F16543" s="46" t="s">
        <v>1582</v>
      </c>
      <c r="H16543" s="46" t="s">
        <v>1583</v>
      </c>
      <c r="I16543" s="46" t="s">
        <v>1584</v>
      </c>
      <c r="J16543" s="46" t="s">
        <v>178</v>
      </c>
      <c r="K16543" s="46" t="s">
        <v>153</v>
      </c>
      <c r="L16543" s="45">
        <v>46013.916666666664</v>
      </c>
      <c r="M16543" s="46" t="s">
        <v>123</v>
      </c>
      <c r="N16543" s="45">
        <v>46014.291666666664</v>
      </c>
      <c r="O16543" s="46" t="s">
        <v>123</v>
      </c>
      <c r="P16543" s="46">
        <v>32400.0</v>
      </c>
      <c r="Q16543" s="46">
        <v>32400.0</v>
      </c>
    </row>
    <row r="16544">
      <c r="A16544" s="40">
        <f t="shared" si="1"/>
        <v>46013</v>
      </c>
      <c r="B16544" s="37" t="str">
        <f t="array" ref="B16544">iferror(xlookup($I16544, 'IMPORT VHC Report'!$E:$E, 'IMPORT VHC Report'!$A:$C), )</f>
        <v/>
      </c>
      <c r="C16544" s="44"/>
      <c r="D16544" s="44"/>
      <c r="E16544" s="46" t="s">
        <v>12743</v>
      </c>
      <c r="F16544" s="46" t="s">
        <v>1582</v>
      </c>
      <c r="H16544" s="46" t="s">
        <v>1583</v>
      </c>
      <c r="I16544" s="46" t="s">
        <v>1584</v>
      </c>
      <c r="J16544" s="46" t="s">
        <v>122</v>
      </c>
      <c r="K16544" s="46" t="s">
        <v>63</v>
      </c>
      <c r="L16544" s="45">
        <v>46013.916666666664</v>
      </c>
      <c r="M16544" s="46" t="s">
        <v>123</v>
      </c>
      <c r="N16544" s="45">
        <v>46014.291666666664</v>
      </c>
      <c r="O16544" s="46" t="s">
        <v>123</v>
      </c>
      <c r="P16544" s="46">
        <v>32400.0</v>
      </c>
    </row>
    <row r="16545">
      <c r="A16545" s="40">
        <f t="shared" si="1"/>
        <v>46013</v>
      </c>
      <c r="B16545" s="37" t="str">
        <f t="array" ref="B16545">iferror(xlookup($I16545, 'IMPORT VHC Report'!$E:$E, 'IMPORT VHC Report'!$A:$C), )</f>
        <v/>
      </c>
      <c r="C16545" s="44"/>
      <c r="D16545" s="44"/>
      <c r="E16545" s="46" t="s">
        <v>12744</v>
      </c>
      <c r="F16545" s="46" t="s">
        <v>1582</v>
      </c>
      <c r="H16545" s="46" t="s">
        <v>1583</v>
      </c>
      <c r="I16545" s="46" t="s">
        <v>1584</v>
      </c>
      <c r="J16545" s="46" t="s">
        <v>134</v>
      </c>
      <c r="K16545" s="46" t="s">
        <v>126</v>
      </c>
      <c r="L16545" s="45">
        <v>46014.0</v>
      </c>
      <c r="M16545" s="46" t="s">
        <v>123</v>
      </c>
      <c r="N16545" s="45">
        <v>46014.020833333336</v>
      </c>
      <c r="O16545" s="46" t="s">
        <v>123</v>
      </c>
      <c r="P16545" s="46">
        <v>1800.0</v>
      </c>
    </row>
    <row r="16546">
      <c r="A16546" s="40">
        <f t="shared" si="1"/>
        <v>46013</v>
      </c>
      <c r="B16546" s="37" t="str">
        <f t="array" ref="B16546">iferror(xlookup($I16546, 'IMPORT VHC Report'!$E:$E, 'IMPORT VHC Report'!$A:$C), )</f>
        <v/>
      </c>
      <c r="C16546" s="44"/>
      <c r="D16546" s="44"/>
      <c r="E16546" s="46" t="s">
        <v>12745</v>
      </c>
      <c r="F16546" s="46" t="s">
        <v>1582</v>
      </c>
      <c r="H16546" s="46" t="s">
        <v>1583</v>
      </c>
      <c r="I16546" s="46" t="s">
        <v>1584</v>
      </c>
      <c r="J16546" s="46" t="s">
        <v>132</v>
      </c>
      <c r="K16546" s="46" t="s">
        <v>126</v>
      </c>
      <c r="L16546" s="45">
        <v>46014.114583333336</v>
      </c>
      <c r="M16546" s="46" t="s">
        <v>123</v>
      </c>
      <c r="N16546" s="45">
        <v>46014.15625</v>
      </c>
      <c r="O16546" s="46" t="s">
        <v>123</v>
      </c>
      <c r="P16546" s="46">
        <v>3600.0</v>
      </c>
    </row>
    <row r="16547">
      <c r="A16547" s="40">
        <f t="shared" si="1"/>
        <v>46013</v>
      </c>
      <c r="B16547" s="37" t="str">
        <f t="array" ref="B16547">iferror(xlookup($I16547, 'IMPORT VHC Report'!$E:$E, 'IMPORT VHC Report'!$A:$C), )</f>
        <v/>
      </c>
      <c r="C16547" s="44"/>
      <c r="D16547" s="44"/>
      <c r="E16547" s="46" t="s">
        <v>12746</v>
      </c>
      <c r="F16547" s="46" t="s">
        <v>1582</v>
      </c>
      <c r="H16547" s="46" t="s">
        <v>1583</v>
      </c>
      <c r="I16547" s="46" t="s">
        <v>1584</v>
      </c>
      <c r="J16547" s="46" t="s">
        <v>125</v>
      </c>
      <c r="K16547" s="46" t="s">
        <v>126</v>
      </c>
      <c r="L16547" s="45">
        <v>46014.916666666664</v>
      </c>
      <c r="M16547" s="46" t="s">
        <v>123</v>
      </c>
      <c r="N16547" s="45">
        <v>46014.92361111111</v>
      </c>
      <c r="O16547" s="46" t="s">
        <v>123</v>
      </c>
      <c r="P16547" s="46">
        <v>600.0</v>
      </c>
      <c r="S16547" s="46" t="s">
        <v>127</v>
      </c>
    </row>
    <row r="16548">
      <c r="A16548" s="40">
        <f t="shared" si="1"/>
        <v>46013</v>
      </c>
      <c r="B16548" s="37" t="str">
        <f t="array" ref="B16548">iferror(xlookup($I16548, 'IMPORT VHC Report'!$E:$E, 'IMPORT VHC Report'!$A:$C), )</f>
        <v/>
      </c>
      <c r="C16548" s="44"/>
      <c r="D16548" s="44"/>
      <c r="E16548" s="46" t="s">
        <v>12747</v>
      </c>
      <c r="F16548" s="46" t="s">
        <v>1582</v>
      </c>
      <c r="H16548" s="46" t="s">
        <v>1583</v>
      </c>
      <c r="I16548" s="46" t="s">
        <v>1584</v>
      </c>
      <c r="J16548" s="46" t="s">
        <v>122</v>
      </c>
      <c r="K16548" s="46" t="s">
        <v>63</v>
      </c>
      <c r="L16548" s="45">
        <v>46014.916666666664</v>
      </c>
      <c r="M16548" s="46" t="s">
        <v>123</v>
      </c>
      <c r="N16548" s="45">
        <v>46015.291666666664</v>
      </c>
      <c r="O16548" s="46" t="s">
        <v>123</v>
      </c>
      <c r="P16548" s="46">
        <v>32400.0</v>
      </c>
    </row>
    <row r="16549">
      <c r="A16549" s="40">
        <f t="shared" si="1"/>
        <v>46013</v>
      </c>
      <c r="B16549" s="37" t="str">
        <f t="array" ref="B16549">iferror(xlookup($I16549, 'IMPORT VHC Report'!$E:$E, 'IMPORT VHC Report'!$A:$C), )</f>
        <v/>
      </c>
      <c r="C16549" s="44"/>
      <c r="D16549" s="44"/>
      <c r="E16549" s="46" t="s">
        <v>12748</v>
      </c>
      <c r="F16549" s="46" t="s">
        <v>1582</v>
      </c>
      <c r="H16549" s="46" t="s">
        <v>1583</v>
      </c>
      <c r="I16549" s="46" t="s">
        <v>1584</v>
      </c>
      <c r="J16549" s="46" t="s">
        <v>134</v>
      </c>
      <c r="K16549" s="46" t="s">
        <v>126</v>
      </c>
      <c r="L16549" s="45">
        <v>46015.0</v>
      </c>
      <c r="M16549" s="46" t="s">
        <v>123</v>
      </c>
      <c r="N16549" s="45">
        <v>46015.020833333336</v>
      </c>
      <c r="O16549" s="46" t="s">
        <v>123</v>
      </c>
      <c r="P16549" s="46">
        <v>1800.0</v>
      </c>
    </row>
    <row r="16550">
      <c r="A16550" s="40">
        <f t="shared" si="1"/>
        <v>46013</v>
      </c>
      <c r="B16550" s="37" t="str">
        <f t="array" ref="B16550">iferror(xlookup($I16550, 'IMPORT VHC Report'!$E:$E, 'IMPORT VHC Report'!$A:$C), )</f>
        <v/>
      </c>
      <c r="C16550" s="44"/>
      <c r="D16550" s="44"/>
      <c r="E16550" s="46" t="s">
        <v>12749</v>
      </c>
      <c r="F16550" s="46" t="s">
        <v>1582</v>
      </c>
      <c r="H16550" s="46" t="s">
        <v>1583</v>
      </c>
      <c r="I16550" s="46" t="s">
        <v>1584</v>
      </c>
      <c r="J16550" s="46" t="s">
        <v>132</v>
      </c>
      <c r="K16550" s="46" t="s">
        <v>126</v>
      </c>
      <c r="L16550" s="45">
        <v>46015.15625</v>
      </c>
      <c r="M16550" s="46" t="s">
        <v>123</v>
      </c>
      <c r="N16550" s="45">
        <v>46015.197916666664</v>
      </c>
      <c r="O16550" s="46" t="s">
        <v>123</v>
      </c>
      <c r="P16550" s="46">
        <v>3600.0</v>
      </c>
    </row>
    <row r="16551">
      <c r="A16551" s="40">
        <f t="shared" si="1"/>
        <v>46013</v>
      </c>
      <c r="B16551" s="37" t="str">
        <f t="array" ref="B16551">iferror(xlookup($I16551, 'IMPORT VHC Report'!$E:$E, 'IMPORT VHC Report'!$A:$C), )</f>
        <v/>
      </c>
      <c r="C16551" s="44"/>
      <c r="D16551" s="44"/>
      <c r="E16551" s="46" t="s">
        <v>12750</v>
      </c>
      <c r="F16551" s="46" t="s">
        <v>1582</v>
      </c>
      <c r="H16551" s="46" t="s">
        <v>1583</v>
      </c>
      <c r="I16551" s="46" t="s">
        <v>1584</v>
      </c>
      <c r="J16551" s="46" t="s">
        <v>125</v>
      </c>
      <c r="K16551" s="46" t="s">
        <v>126</v>
      </c>
      <c r="L16551" s="45">
        <v>46015.916666666664</v>
      </c>
      <c r="M16551" s="46" t="s">
        <v>123</v>
      </c>
      <c r="N16551" s="45">
        <v>46015.92361111111</v>
      </c>
      <c r="O16551" s="46" t="s">
        <v>123</v>
      </c>
      <c r="P16551" s="46">
        <v>600.0</v>
      </c>
      <c r="S16551" s="46" t="s">
        <v>127</v>
      </c>
    </row>
    <row r="16552">
      <c r="A16552" s="40">
        <f t="shared" si="1"/>
        <v>46013</v>
      </c>
      <c r="B16552" s="37" t="str">
        <f t="array" ref="B16552">iferror(xlookup($I16552, 'IMPORT VHC Report'!$E:$E, 'IMPORT VHC Report'!$A:$C), )</f>
        <v/>
      </c>
      <c r="C16552" s="44"/>
      <c r="D16552" s="44"/>
      <c r="E16552" s="46" t="s">
        <v>12751</v>
      </c>
      <c r="F16552" s="46" t="s">
        <v>1582</v>
      </c>
      <c r="H16552" s="46" t="s">
        <v>1583</v>
      </c>
      <c r="I16552" s="46" t="s">
        <v>1584</v>
      </c>
      <c r="J16552" s="46" t="s">
        <v>122</v>
      </c>
      <c r="K16552" s="46" t="s">
        <v>63</v>
      </c>
      <c r="L16552" s="45">
        <v>46015.916666666664</v>
      </c>
      <c r="M16552" s="46" t="s">
        <v>123</v>
      </c>
      <c r="N16552" s="45">
        <v>46016.291666666664</v>
      </c>
      <c r="O16552" s="46" t="s">
        <v>123</v>
      </c>
      <c r="P16552" s="46">
        <v>32400.0</v>
      </c>
    </row>
    <row r="16553">
      <c r="A16553" s="40">
        <f t="shared" si="1"/>
        <v>46013</v>
      </c>
      <c r="B16553" s="37" t="str">
        <f t="array" ref="B16553">iferror(xlookup($I16553, 'IMPORT VHC Report'!$E:$E, 'IMPORT VHC Report'!$A:$C), )</f>
        <v/>
      </c>
      <c r="C16553" s="44"/>
      <c r="D16553" s="44"/>
      <c r="E16553" s="46" t="s">
        <v>12752</v>
      </c>
      <c r="F16553" s="46" t="s">
        <v>1582</v>
      </c>
      <c r="H16553" s="46" t="s">
        <v>1583</v>
      </c>
      <c r="I16553" s="46" t="s">
        <v>1584</v>
      </c>
      <c r="J16553" s="46" t="s">
        <v>134</v>
      </c>
      <c r="K16553" s="46" t="s">
        <v>126</v>
      </c>
      <c r="L16553" s="45">
        <v>46016.020833333336</v>
      </c>
      <c r="M16553" s="46" t="s">
        <v>123</v>
      </c>
      <c r="N16553" s="45">
        <v>46016.041666666664</v>
      </c>
      <c r="O16553" s="46" t="s">
        <v>123</v>
      </c>
      <c r="P16553" s="46">
        <v>1800.0</v>
      </c>
    </row>
    <row r="16554">
      <c r="A16554" s="40">
        <f t="shared" si="1"/>
        <v>46013</v>
      </c>
      <c r="B16554" s="37" t="str">
        <f t="array" ref="B16554">iferror(xlookup($I16554, 'IMPORT VHC Report'!$E:$E, 'IMPORT VHC Report'!$A:$C), )</f>
        <v/>
      </c>
      <c r="C16554" s="44"/>
      <c r="D16554" s="44"/>
      <c r="E16554" s="46" t="s">
        <v>12753</v>
      </c>
      <c r="F16554" s="46" t="s">
        <v>1582</v>
      </c>
      <c r="H16554" s="46" t="s">
        <v>1583</v>
      </c>
      <c r="I16554" s="46" t="s">
        <v>1584</v>
      </c>
      <c r="J16554" s="46" t="s">
        <v>132</v>
      </c>
      <c r="K16554" s="46" t="s">
        <v>126</v>
      </c>
      <c r="L16554" s="45">
        <v>46016.166666666664</v>
      </c>
      <c r="M16554" s="46" t="s">
        <v>123</v>
      </c>
      <c r="N16554" s="45">
        <v>46016.208333333336</v>
      </c>
      <c r="O16554" s="46" t="s">
        <v>123</v>
      </c>
      <c r="P16554" s="46">
        <v>3600.0</v>
      </c>
    </row>
    <row r="16555">
      <c r="A16555" s="40">
        <f t="shared" si="1"/>
        <v>46013</v>
      </c>
      <c r="B16555" s="37" t="str">
        <f t="array" ref="B16555">iferror(xlookup($I16555, 'IMPORT VHC Report'!$E:$E, 'IMPORT VHC Report'!$A:$C), )</f>
        <v/>
      </c>
      <c r="C16555" s="44"/>
      <c r="D16555" s="44"/>
      <c r="E16555" s="46" t="s">
        <v>12754</v>
      </c>
      <c r="F16555" s="46" t="s">
        <v>1582</v>
      </c>
      <c r="H16555" s="46" t="s">
        <v>1583</v>
      </c>
      <c r="I16555" s="46" t="s">
        <v>1584</v>
      </c>
      <c r="J16555" s="46" t="s">
        <v>125</v>
      </c>
      <c r="K16555" s="46" t="s">
        <v>126</v>
      </c>
      <c r="L16555" s="45">
        <v>46016.916666666664</v>
      </c>
      <c r="M16555" s="46" t="s">
        <v>123</v>
      </c>
      <c r="N16555" s="45">
        <v>46016.92361111111</v>
      </c>
      <c r="O16555" s="46" t="s">
        <v>123</v>
      </c>
      <c r="P16555" s="46">
        <v>600.0</v>
      </c>
      <c r="S16555" s="46" t="s">
        <v>127</v>
      </c>
    </row>
    <row r="16556">
      <c r="A16556" s="40">
        <f t="shared" si="1"/>
        <v>46013</v>
      </c>
      <c r="B16556" s="37" t="str">
        <f t="array" ref="B16556">iferror(xlookup($I16556, 'IMPORT VHC Report'!$E:$E, 'IMPORT VHC Report'!$A:$C), )</f>
        <v/>
      </c>
      <c r="C16556" s="44"/>
      <c r="D16556" s="44"/>
      <c r="E16556" s="46" t="s">
        <v>12755</v>
      </c>
      <c r="F16556" s="46" t="s">
        <v>1582</v>
      </c>
      <c r="H16556" s="46" t="s">
        <v>1583</v>
      </c>
      <c r="I16556" s="46" t="s">
        <v>1584</v>
      </c>
      <c r="J16556" s="46" t="s">
        <v>178</v>
      </c>
      <c r="K16556" s="46" t="s">
        <v>153</v>
      </c>
      <c r="L16556" s="45">
        <v>46016.916666666664</v>
      </c>
      <c r="M16556" s="46" t="s">
        <v>123</v>
      </c>
      <c r="N16556" s="45">
        <v>46017.291666666664</v>
      </c>
      <c r="O16556" s="46" t="s">
        <v>123</v>
      </c>
      <c r="P16556" s="46">
        <v>32400.0</v>
      </c>
      <c r="Q16556" s="46">
        <v>32400.0</v>
      </c>
    </row>
    <row r="16557">
      <c r="A16557" s="40">
        <f t="shared" si="1"/>
        <v>46013</v>
      </c>
      <c r="B16557" s="37" t="str">
        <f t="array" ref="B16557">iferror(xlookup($I16557, 'IMPORT VHC Report'!$E:$E, 'IMPORT VHC Report'!$A:$C), )</f>
        <v/>
      </c>
      <c r="C16557" s="44"/>
      <c r="D16557" s="44"/>
      <c r="E16557" s="46" t="s">
        <v>12756</v>
      </c>
      <c r="F16557" s="46" t="s">
        <v>1582</v>
      </c>
      <c r="H16557" s="46" t="s">
        <v>1583</v>
      </c>
      <c r="I16557" s="46" t="s">
        <v>1584</v>
      </c>
      <c r="J16557" s="46" t="s">
        <v>122</v>
      </c>
      <c r="K16557" s="46" t="s">
        <v>63</v>
      </c>
      <c r="L16557" s="45">
        <v>46016.916666666664</v>
      </c>
      <c r="M16557" s="46" t="s">
        <v>123</v>
      </c>
      <c r="N16557" s="45">
        <v>46017.291666666664</v>
      </c>
      <c r="O16557" s="46" t="s">
        <v>123</v>
      </c>
      <c r="P16557" s="46">
        <v>32400.0</v>
      </c>
    </row>
    <row r="16558">
      <c r="A16558" s="40">
        <f t="shared" si="1"/>
        <v>46013</v>
      </c>
      <c r="B16558" s="37" t="str">
        <f t="array" ref="B16558">iferror(xlookup($I16558, 'IMPORT VHC Report'!$E:$E, 'IMPORT VHC Report'!$A:$C), )</f>
        <v/>
      </c>
      <c r="C16558" s="44"/>
      <c r="D16558" s="44"/>
      <c r="E16558" s="46" t="s">
        <v>12757</v>
      </c>
      <c r="F16558" s="46" t="s">
        <v>1582</v>
      </c>
      <c r="H16558" s="46" t="s">
        <v>1583</v>
      </c>
      <c r="I16558" s="46" t="s">
        <v>1584</v>
      </c>
      <c r="J16558" s="46" t="s">
        <v>132</v>
      </c>
      <c r="K16558" s="46" t="s">
        <v>126</v>
      </c>
      <c r="L16558" s="45">
        <v>46016.989583333336</v>
      </c>
      <c r="M16558" s="46" t="s">
        <v>123</v>
      </c>
      <c r="N16558" s="45">
        <v>46017.03125</v>
      </c>
      <c r="O16558" s="46" t="s">
        <v>123</v>
      </c>
      <c r="P16558" s="46">
        <v>3600.0</v>
      </c>
    </row>
    <row r="16559">
      <c r="A16559" s="40">
        <f t="shared" si="1"/>
        <v>46013</v>
      </c>
      <c r="B16559" s="37" t="str">
        <f t="array" ref="B16559">iferror(xlookup($I16559, 'IMPORT VHC Report'!$E:$E, 'IMPORT VHC Report'!$A:$C), )</f>
        <v/>
      </c>
      <c r="C16559" s="44"/>
      <c r="D16559" s="44"/>
      <c r="E16559" s="46" t="s">
        <v>12758</v>
      </c>
      <c r="F16559" s="46" t="s">
        <v>1582</v>
      </c>
      <c r="H16559" s="46" t="s">
        <v>1583</v>
      </c>
      <c r="I16559" s="46" t="s">
        <v>1584</v>
      </c>
      <c r="J16559" s="46" t="s">
        <v>134</v>
      </c>
      <c r="K16559" s="46" t="s">
        <v>126</v>
      </c>
      <c r="L16559" s="45">
        <v>46017.145833333336</v>
      </c>
      <c r="M16559" s="46" t="s">
        <v>123</v>
      </c>
      <c r="N16559" s="45">
        <v>46017.166666666664</v>
      </c>
      <c r="O16559" s="46" t="s">
        <v>123</v>
      </c>
      <c r="P16559" s="46">
        <v>1800.0</v>
      </c>
    </row>
    <row r="16560">
      <c r="A16560" s="40">
        <f t="shared" si="1"/>
        <v>46013</v>
      </c>
      <c r="B16560" s="37" t="str">
        <f t="array" ref="B16560">iferror(xlookup($I16560, 'IMPORT VHC Report'!$E:$E, 'IMPORT VHC Report'!$A:$C), )</f>
        <v/>
      </c>
      <c r="C16560" s="44"/>
      <c r="D16560" s="44"/>
      <c r="E16560" s="46" t="s">
        <v>12759</v>
      </c>
      <c r="F16560" s="46" t="s">
        <v>1582</v>
      </c>
      <c r="H16560" s="46" t="s">
        <v>1583</v>
      </c>
      <c r="I16560" s="46" t="s">
        <v>1584</v>
      </c>
      <c r="J16560" s="46" t="s">
        <v>125</v>
      </c>
      <c r="K16560" s="46" t="s">
        <v>126</v>
      </c>
      <c r="L16560" s="45">
        <v>46019.916666666664</v>
      </c>
      <c r="M16560" s="46" t="s">
        <v>123</v>
      </c>
      <c r="N16560" s="45">
        <v>46019.92361111111</v>
      </c>
      <c r="O16560" s="46" t="s">
        <v>123</v>
      </c>
      <c r="P16560" s="46">
        <v>600.0</v>
      </c>
      <c r="S16560" s="46" t="s">
        <v>127</v>
      </c>
    </row>
    <row r="16561">
      <c r="A16561" s="40">
        <f t="shared" si="1"/>
        <v>46013</v>
      </c>
      <c r="B16561" s="37" t="str">
        <f t="array" ref="B16561">iferror(xlookup($I16561, 'IMPORT VHC Report'!$E:$E, 'IMPORT VHC Report'!$A:$C), )</f>
        <v/>
      </c>
      <c r="C16561" s="44"/>
      <c r="D16561" s="44"/>
      <c r="E16561" s="46" t="s">
        <v>12760</v>
      </c>
      <c r="F16561" s="46" t="s">
        <v>1582</v>
      </c>
      <c r="H16561" s="46" t="s">
        <v>1583</v>
      </c>
      <c r="I16561" s="46" t="s">
        <v>1584</v>
      </c>
      <c r="J16561" s="46" t="s">
        <v>122</v>
      </c>
      <c r="K16561" s="46" t="s">
        <v>63</v>
      </c>
      <c r="L16561" s="45">
        <v>46019.916666666664</v>
      </c>
      <c r="M16561" s="46" t="s">
        <v>123</v>
      </c>
      <c r="N16561" s="45">
        <v>46020.0</v>
      </c>
      <c r="O16561" s="46" t="s">
        <v>123</v>
      </c>
      <c r="P16561" s="46">
        <v>7200.0</v>
      </c>
    </row>
    <row r="16562">
      <c r="A16562" s="40">
        <f t="shared" si="1"/>
        <v>46013</v>
      </c>
      <c r="B16562" s="37" t="str">
        <f t="array" ref="B16562">iferror(xlookup($I16562, 'IMPORT VHC Report'!$E:$E, 'IMPORT VHC Report'!$A:$C), )</f>
        <v/>
      </c>
      <c r="C16562" s="44"/>
      <c r="D16562" s="44"/>
      <c r="E16562" s="46" t="s">
        <v>12761</v>
      </c>
      <c r="F16562" s="46" t="s">
        <v>1582</v>
      </c>
      <c r="H16562" s="46" t="s">
        <v>1583</v>
      </c>
      <c r="I16562" s="46" t="s">
        <v>1584</v>
      </c>
      <c r="J16562" s="46" t="s">
        <v>178</v>
      </c>
      <c r="K16562" s="46" t="s">
        <v>153</v>
      </c>
      <c r="L16562" s="45">
        <v>46019.916666666664</v>
      </c>
      <c r="M16562" s="46" t="s">
        <v>123</v>
      </c>
      <c r="N16562" s="45">
        <v>46020.291666666664</v>
      </c>
      <c r="O16562" s="46" t="s">
        <v>123</v>
      </c>
      <c r="P16562" s="46">
        <v>32400.0</v>
      </c>
      <c r="Q16562" s="46">
        <v>32400.0</v>
      </c>
    </row>
    <row r="16563">
      <c r="A16563" s="40">
        <f t="shared" si="1"/>
        <v>46013</v>
      </c>
      <c r="B16563" s="37" t="str">
        <f t="array" ref="B16563">iferror(xlookup($I16563, 'IMPORT VHC Report'!$E:$E, 'IMPORT VHC Report'!$A:$C), )</f>
        <v/>
      </c>
      <c r="C16563" s="44"/>
      <c r="D16563" s="44"/>
      <c r="E16563" s="46" t="s">
        <v>12762</v>
      </c>
      <c r="F16563" s="46" t="s">
        <v>1694</v>
      </c>
      <c r="H16563" s="46" t="s">
        <v>1695</v>
      </c>
      <c r="I16563" s="46" t="s">
        <v>1696</v>
      </c>
      <c r="J16563" s="46" t="s">
        <v>122</v>
      </c>
      <c r="K16563" s="46" t="s">
        <v>63</v>
      </c>
      <c r="L16563" s="45">
        <v>46013.0</v>
      </c>
      <c r="M16563" s="46" t="s">
        <v>123</v>
      </c>
      <c r="N16563" s="45">
        <v>46013.25</v>
      </c>
      <c r="O16563" s="46" t="s">
        <v>123</v>
      </c>
      <c r="P16563" s="46">
        <v>21600.0</v>
      </c>
    </row>
    <row r="16564">
      <c r="A16564" s="40">
        <f t="shared" si="1"/>
        <v>46013</v>
      </c>
      <c r="B16564" s="37" t="str">
        <f t="array" ref="B16564">iferror(xlookup($I16564, 'IMPORT VHC Report'!$E:$E, 'IMPORT VHC Report'!$A:$C), )</f>
        <v/>
      </c>
      <c r="C16564" s="44"/>
      <c r="D16564" s="44"/>
      <c r="E16564" s="46" t="s">
        <v>12763</v>
      </c>
      <c r="F16564" s="46" t="s">
        <v>1694</v>
      </c>
      <c r="H16564" s="46" t="s">
        <v>1695</v>
      </c>
      <c r="I16564" s="46" t="s">
        <v>1696</v>
      </c>
      <c r="J16564" s="46" t="s">
        <v>134</v>
      </c>
      <c r="K16564" s="46" t="s">
        <v>126</v>
      </c>
      <c r="L16564" s="45">
        <v>46013.041666666664</v>
      </c>
      <c r="M16564" s="46" t="s">
        <v>123</v>
      </c>
      <c r="N16564" s="45">
        <v>46013.0625</v>
      </c>
      <c r="O16564" s="46" t="s">
        <v>123</v>
      </c>
      <c r="P16564" s="46">
        <v>1800.0</v>
      </c>
    </row>
    <row r="16565">
      <c r="A16565" s="40">
        <f t="shared" si="1"/>
        <v>46013</v>
      </c>
      <c r="B16565" s="37" t="str">
        <f t="array" ref="B16565">iferror(xlookup($I16565, 'IMPORT VHC Report'!$E:$E, 'IMPORT VHC Report'!$A:$C), )</f>
        <v/>
      </c>
      <c r="C16565" s="44"/>
      <c r="D16565" s="44"/>
      <c r="E16565" s="46" t="s">
        <v>12764</v>
      </c>
      <c r="F16565" s="46" t="s">
        <v>1694</v>
      </c>
      <c r="H16565" s="46" t="s">
        <v>1695</v>
      </c>
      <c r="I16565" s="46" t="s">
        <v>1696</v>
      </c>
      <c r="J16565" s="46" t="s">
        <v>132</v>
      </c>
      <c r="K16565" s="46" t="s">
        <v>126</v>
      </c>
      <c r="L16565" s="45">
        <v>46013.125</v>
      </c>
      <c r="M16565" s="46" t="s">
        <v>123</v>
      </c>
      <c r="N16565" s="45">
        <v>46013.166666666664</v>
      </c>
      <c r="O16565" s="46" t="s">
        <v>123</v>
      </c>
      <c r="P16565" s="46">
        <v>3600.0</v>
      </c>
    </row>
    <row r="16566">
      <c r="A16566" s="40">
        <f t="shared" si="1"/>
        <v>46013</v>
      </c>
      <c r="B16566" s="37" t="str">
        <f t="array" ref="B16566">iferror(xlookup($I16566, 'IMPORT VHC Report'!$E:$E, 'IMPORT VHC Report'!$A:$C), )</f>
        <v/>
      </c>
      <c r="C16566" s="44"/>
      <c r="D16566" s="44"/>
      <c r="E16566" s="46" t="s">
        <v>12765</v>
      </c>
      <c r="F16566" s="46" t="s">
        <v>1694</v>
      </c>
      <c r="H16566" s="46" t="s">
        <v>1695</v>
      </c>
      <c r="I16566" s="46" t="s">
        <v>1696</v>
      </c>
      <c r="J16566" s="46" t="s">
        <v>125</v>
      </c>
      <c r="K16566" s="46" t="s">
        <v>126</v>
      </c>
      <c r="L16566" s="45">
        <v>46013.875</v>
      </c>
      <c r="M16566" s="46" t="s">
        <v>123</v>
      </c>
      <c r="N16566" s="45">
        <v>46013.881944444445</v>
      </c>
      <c r="O16566" s="46" t="s">
        <v>123</v>
      </c>
      <c r="P16566" s="46">
        <v>600.0</v>
      </c>
      <c r="S16566" s="46" t="s">
        <v>127</v>
      </c>
    </row>
    <row r="16567">
      <c r="A16567" s="40">
        <f t="shared" si="1"/>
        <v>46013</v>
      </c>
      <c r="B16567" s="37" t="str">
        <f t="array" ref="B16567">iferror(xlookup($I16567, 'IMPORT VHC Report'!$E:$E, 'IMPORT VHC Report'!$A:$C), )</f>
        <v/>
      </c>
      <c r="C16567" s="44"/>
      <c r="D16567" s="44"/>
      <c r="E16567" s="46" t="s">
        <v>12766</v>
      </c>
      <c r="F16567" s="46" t="s">
        <v>1694</v>
      </c>
      <c r="H16567" s="46" t="s">
        <v>1695</v>
      </c>
      <c r="I16567" s="46" t="s">
        <v>1696</v>
      </c>
      <c r="J16567" s="46" t="s">
        <v>122</v>
      </c>
      <c r="K16567" s="46" t="s">
        <v>63</v>
      </c>
      <c r="L16567" s="45">
        <v>46013.875</v>
      </c>
      <c r="M16567" s="46" t="s">
        <v>123</v>
      </c>
      <c r="N16567" s="45">
        <v>46014.25</v>
      </c>
      <c r="O16567" s="46" t="s">
        <v>123</v>
      </c>
      <c r="P16567" s="46">
        <v>32400.0</v>
      </c>
    </row>
    <row r="16568">
      <c r="A16568" s="40">
        <f t="shared" si="1"/>
        <v>46013</v>
      </c>
      <c r="B16568" s="37" t="str">
        <f t="array" ref="B16568">iferror(xlookup($I16568, 'IMPORT VHC Report'!$E:$E, 'IMPORT VHC Report'!$A:$C), )</f>
        <v/>
      </c>
      <c r="C16568" s="44"/>
      <c r="D16568" s="44"/>
      <c r="E16568" s="46" t="s">
        <v>12767</v>
      </c>
      <c r="F16568" s="46" t="s">
        <v>1694</v>
      </c>
      <c r="H16568" s="46" t="s">
        <v>1695</v>
      </c>
      <c r="I16568" s="46" t="s">
        <v>1696</v>
      </c>
      <c r="J16568" s="46" t="s">
        <v>134</v>
      </c>
      <c r="K16568" s="46" t="s">
        <v>126</v>
      </c>
      <c r="L16568" s="45">
        <v>46013.958333333336</v>
      </c>
      <c r="M16568" s="46" t="s">
        <v>123</v>
      </c>
      <c r="N16568" s="45">
        <v>46013.979166666664</v>
      </c>
      <c r="O16568" s="46" t="s">
        <v>123</v>
      </c>
      <c r="P16568" s="46">
        <v>1800.0</v>
      </c>
    </row>
    <row r="16569">
      <c r="A16569" s="40">
        <f t="shared" si="1"/>
        <v>46013</v>
      </c>
      <c r="B16569" s="37" t="str">
        <f t="array" ref="B16569">iferror(xlookup($I16569, 'IMPORT VHC Report'!$E:$E, 'IMPORT VHC Report'!$A:$C), )</f>
        <v/>
      </c>
      <c r="C16569" s="44"/>
      <c r="D16569" s="44"/>
      <c r="E16569" s="46" t="s">
        <v>12768</v>
      </c>
      <c r="F16569" s="46" t="s">
        <v>1694</v>
      </c>
      <c r="H16569" s="46" t="s">
        <v>1695</v>
      </c>
      <c r="I16569" s="46" t="s">
        <v>1696</v>
      </c>
      <c r="J16569" s="46" t="s">
        <v>132</v>
      </c>
      <c r="K16569" s="46" t="s">
        <v>126</v>
      </c>
      <c r="L16569" s="45">
        <v>46014.072916666664</v>
      </c>
      <c r="M16569" s="46" t="s">
        <v>123</v>
      </c>
      <c r="N16569" s="45">
        <v>46014.114583333336</v>
      </c>
      <c r="O16569" s="46" t="s">
        <v>123</v>
      </c>
      <c r="P16569" s="46">
        <v>3600.0</v>
      </c>
    </row>
    <row r="16570">
      <c r="A16570" s="40">
        <f t="shared" si="1"/>
        <v>46013</v>
      </c>
      <c r="B16570" s="37" t="str">
        <f t="array" ref="B16570">iferror(xlookup($I16570, 'IMPORT VHC Report'!$E:$E, 'IMPORT VHC Report'!$A:$C), )</f>
        <v/>
      </c>
      <c r="C16570" s="44"/>
      <c r="D16570" s="44"/>
      <c r="E16570" s="46" t="s">
        <v>12769</v>
      </c>
      <c r="F16570" s="46" t="s">
        <v>1694</v>
      </c>
      <c r="H16570" s="46" t="s">
        <v>1695</v>
      </c>
      <c r="I16570" s="46" t="s">
        <v>1696</v>
      </c>
      <c r="J16570" s="46" t="s">
        <v>125</v>
      </c>
      <c r="K16570" s="46" t="s">
        <v>126</v>
      </c>
      <c r="L16570" s="45">
        <v>46014.875</v>
      </c>
      <c r="M16570" s="46" t="s">
        <v>123</v>
      </c>
      <c r="N16570" s="45">
        <v>46014.881944444445</v>
      </c>
      <c r="O16570" s="46" t="s">
        <v>123</v>
      </c>
      <c r="P16570" s="46">
        <v>600.0</v>
      </c>
      <c r="S16570" s="46" t="s">
        <v>127</v>
      </c>
    </row>
    <row r="16571">
      <c r="A16571" s="40">
        <f t="shared" si="1"/>
        <v>46013</v>
      </c>
      <c r="B16571" s="37" t="str">
        <f t="array" ref="B16571">iferror(xlookup($I16571, 'IMPORT VHC Report'!$E:$E, 'IMPORT VHC Report'!$A:$C), )</f>
        <v/>
      </c>
      <c r="C16571" s="44"/>
      <c r="D16571" s="44"/>
      <c r="E16571" s="46" t="s">
        <v>12770</v>
      </c>
      <c r="F16571" s="46" t="s">
        <v>1694</v>
      </c>
      <c r="H16571" s="46" t="s">
        <v>1695</v>
      </c>
      <c r="I16571" s="46" t="s">
        <v>1696</v>
      </c>
      <c r="J16571" s="46" t="s">
        <v>122</v>
      </c>
      <c r="K16571" s="46" t="s">
        <v>63</v>
      </c>
      <c r="L16571" s="45">
        <v>46014.875</v>
      </c>
      <c r="M16571" s="46" t="s">
        <v>123</v>
      </c>
      <c r="N16571" s="45">
        <v>46015.25</v>
      </c>
      <c r="O16571" s="46" t="s">
        <v>123</v>
      </c>
      <c r="P16571" s="46">
        <v>32400.0</v>
      </c>
    </row>
    <row r="16572">
      <c r="A16572" s="40">
        <f t="shared" si="1"/>
        <v>46013</v>
      </c>
      <c r="B16572" s="37" t="str">
        <f t="array" ref="B16572">iferror(xlookup($I16572, 'IMPORT VHC Report'!$E:$E, 'IMPORT VHC Report'!$A:$C), )</f>
        <v/>
      </c>
      <c r="C16572" s="44"/>
      <c r="D16572" s="44"/>
      <c r="E16572" s="46" t="s">
        <v>12771</v>
      </c>
      <c r="F16572" s="46" t="s">
        <v>1694</v>
      </c>
      <c r="H16572" s="46" t="s">
        <v>1695</v>
      </c>
      <c r="I16572" s="46" t="s">
        <v>1696</v>
      </c>
      <c r="J16572" s="46" t="s">
        <v>134</v>
      </c>
      <c r="K16572" s="46" t="s">
        <v>126</v>
      </c>
      <c r="L16572" s="45">
        <v>46014.958333333336</v>
      </c>
      <c r="M16572" s="46" t="s">
        <v>123</v>
      </c>
      <c r="N16572" s="45">
        <v>46014.979166666664</v>
      </c>
      <c r="O16572" s="46" t="s">
        <v>123</v>
      </c>
      <c r="P16572" s="46">
        <v>1800.0</v>
      </c>
    </row>
    <row r="16573">
      <c r="A16573" s="40">
        <f t="shared" si="1"/>
        <v>46013</v>
      </c>
      <c r="B16573" s="37" t="str">
        <f t="array" ref="B16573">iferror(xlookup($I16573, 'IMPORT VHC Report'!$E:$E, 'IMPORT VHC Report'!$A:$C), )</f>
        <v/>
      </c>
      <c r="C16573" s="44"/>
      <c r="D16573" s="44"/>
      <c r="E16573" s="46" t="s">
        <v>12772</v>
      </c>
      <c r="F16573" s="46" t="s">
        <v>1694</v>
      </c>
      <c r="H16573" s="46" t="s">
        <v>1695</v>
      </c>
      <c r="I16573" s="46" t="s">
        <v>1696</v>
      </c>
      <c r="J16573" s="46" t="s">
        <v>132</v>
      </c>
      <c r="K16573" s="46" t="s">
        <v>126</v>
      </c>
      <c r="L16573" s="45">
        <v>46015.072916666664</v>
      </c>
      <c r="M16573" s="46" t="s">
        <v>123</v>
      </c>
      <c r="N16573" s="45">
        <v>46015.114583333336</v>
      </c>
      <c r="O16573" s="46" t="s">
        <v>123</v>
      </c>
      <c r="P16573" s="46">
        <v>3600.0</v>
      </c>
    </row>
    <row r="16574">
      <c r="A16574" s="40">
        <f t="shared" si="1"/>
        <v>46013</v>
      </c>
      <c r="B16574" s="37" t="str">
        <f t="array" ref="B16574">iferror(xlookup($I16574, 'IMPORT VHC Report'!$E:$E, 'IMPORT VHC Report'!$A:$C), )</f>
        <v/>
      </c>
      <c r="C16574" s="44"/>
      <c r="D16574" s="44"/>
      <c r="E16574" s="46" t="s">
        <v>12773</v>
      </c>
      <c r="F16574" s="46" t="s">
        <v>1694</v>
      </c>
      <c r="H16574" s="46" t="s">
        <v>1695</v>
      </c>
      <c r="I16574" s="46" t="s">
        <v>1696</v>
      </c>
      <c r="J16574" s="46" t="s">
        <v>125</v>
      </c>
      <c r="K16574" s="46" t="s">
        <v>126</v>
      </c>
      <c r="L16574" s="45">
        <v>46015.875</v>
      </c>
      <c r="M16574" s="46" t="s">
        <v>123</v>
      </c>
      <c r="N16574" s="45">
        <v>46015.881944444445</v>
      </c>
      <c r="O16574" s="46" t="s">
        <v>123</v>
      </c>
      <c r="P16574" s="46">
        <v>600.0</v>
      </c>
      <c r="S16574" s="46" t="s">
        <v>127</v>
      </c>
    </row>
    <row r="16575">
      <c r="A16575" s="40">
        <f t="shared" si="1"/>
        <v>46013</v>
      </c>
      <c r="B16575" s="37" t="str">
        <f t="array" ref="B16575">iferror(xlookup($I16575, 'IMPORT VHC Report'!$E:$E, 'IMPORT VHC Report'!$A:$C), )</f>
        <v/>
      </c>
      <c r="C16575" s="44"/>
      <c r="D16575" s="44"/>
      <c r="E16575" s="46" t="s">
        <v>12774</v>
      </c>
      <c r="F16575" s="46" t="s">
        <v>1694</v>
      </c>
      <c r="H16575" s="46" t="s">
        <v>1695</v>
      </c>
      <c r="I16575" s="46" t="s">
        <v>1696</v>
      </c>
      <c r="J16575" s="46" t="s">
        <v>178</v>
      </c>
      <c r="K16575" s="46" t="s">
        <v>153</v>
      </c>
      <c r="L16575" s="45">
        <v>46015.875</v>
      </c>
      <c r="M16575" s="46" t="s">
        <v>123</v>
      </c>
      <c r="N16575" s="45">
        <v>46016.25</v>
      </c>
      <c r="O16575" s="46" t="s">
        <v>123</v>
      </c>
      <c r="P16575" s="46">
        <v>32400.0</v>
      </c>
      <c r="Q16575" s="46">
        <v>28800.0</v>
      </c>
      <c r="R16575" s="46" t="s">
        <v>12775</v>
      </c>
    </row>
    <row r="16576">
      <c r="A16576" s="40">
        <f t="shared" si="1"/>
        <v>46013</v>
      </c>
      <c r="B16576" s="37" t="str">
        <f t="array" ref="B16576">iferror(xlookup($I16576, 'IMPORT VHC Report'!$E:$E, 'IMPORT VHC Report'!$A:$C), )</f>
        <v/>
      </c>
      <c r="C16576" s="44"/>
      <c r="D16576" s="44"/>
      <c r="E16576" s="46" t="s">
        <v>12776</v>
      </c>
      <c r="F16576" s="46" t="s">
        <v>1694</v>
      </c>
      <c r="H16576" s="46" t="s">
        <v>1695</v>
      </c>
      <c r="I16576" s="46" t="s">
        <v>1696</v>
      </c>
      <c r="J16576" s="46" t="s">
        <v>122</v>
      </c>
      <c r="K16576" s="46" t="s">
        <v>63</v>
      </c>
      <c r="L16576" s="45">
        <v>46015.875</v>
      </c>
      <c r="M16576" s="46" t="s">
        <v>123</v>
      </c>
      <c r="N16576" s="45">
        <v>46016.25</v>
      </c>
      <c r="O16576" s="46" t="s">
        <v>123</v>
      </c>
      <c r="P16576" s="46">
        <v>32400.0</v>
      </c>
    </row>
    <row r="16577">
      <c r="A16577" s="40">
        <f t="shared" si="1"/>
        <v>46013</v>
      </c>
      <c r="B16577" s="37" t="str">
        <f t="array" ref="B16577">iferror(xlookup($I16577, 'IMPORT VHC Report'!$E:$E, 'IMPORT VHC Report'!$A:$C), )</f>
        <v/>
      </c>
      <c r="C16577" s="44"/>
      <c r="D16577" s="44"/>
      <c r="E16577" s="46" t="s">
        <v>12777</v>
      </c>
      <c r="F16577" s="46" t="s">
        <v>1694</v>
      </c>
      <c r="H16577" s="46" t="s">
        <v>1695</v>
      </c>
      <c r="I16577" s="46" t="s">
        <v>1696</v>
      </c>
      <c r="J16577" s="46" t="s">
        <v>134</v>
      </c>
      <c r="K16577" s="46" t="s">
        <v>126</v>
      </c>
      <c r="L16577" s="45">
        <v>46015.979166666664</v>
      </c>
      <c r="M16577" s="46" t="s">
        <v>123</v>
      </c>
      <c r="N16577" s="45">
        <v>46016.0</v>
      </c>
      <c r="O16577" s="46" t="s">
        <v>123</v>
      </c>
      <c r="P16577" s="46">
        <v>1800.0</v>
      </c>
    </row>
    <row r="16578">
      <c r="A16578" s="40">
        <f t="shared" si="1"/>
        <v>46013</v>
      </c>
      <c r="B16578" s="37" t="str">
        <f t="array" ref="B16578">iferror(xlookup($I16578, 'IMPORT VHC Report'!$E:$E, 'IMPORT VHC Report'!$A:$C), )</f>
        <v/>
      </c>
      <c r="C16578" s="44"/>
      <c r="D16578" s="44"/>
      <c r="E16578" s="46" t="s">
        <v>12778</v>
      </c>
      <c r="F16578" s="46" t="s">
        <v>1694</v>
      </c>
      <c r="H16578" s="46" t="s">
        <v>1695</v>
      </c>
      <c r="I16578" s="46" t="s">
        <v>1696</v>
      </c>
      <c r="J16578" s="46" t="s">
        <v>132</v>
      </c>
      <c r="K16578" s="46" t="s">
        <v>126</v>
      </c>
      <c r="L16578" s="45">
        <v>46016.083333333336</v>
      </c>
      <c r="M16578" s="46" t="s">
        <v>123</v>
      </c>
      <c r="N16578" s="45">
        <v>46016.125</v>
      </c>
      <c r="O16578" s="46" t="s">
        <v>123</v>
      </c>
      <c r="P16578" s="46">
        <v>3600.0</v>
      </c>
    </row>
    <row r="16579">
      <c r="A16579" s="40">
        <f t="shared" si="1"/>
        <v>46013</v>
      </c>
      <c r="B16579" s="37" t="str">
        <f t="array" ref="B16579">iferror(xlookup($I16579, 'IMPORT VHC Report'!$E:$E, 'IMPORT VHC Report'!$A:$C), )</f>
        <v/>
      </c>
      <c r="C16579" s="44"/>
      <c r="D16579" s="44"/>
      <c r="E16579" s="46" t="s">
        <v>12779</v>
      </c>
      <c r="F16579" s="46" t="s">
        <v>1694</v>
      </c>
      <c r="H16579" s="46" t="s">
        <v>1695</v>
      </c>
      <c r="I16579" s="46" t="s">
        <v>1696</v>
      </c>
      <c r="J16579" s="46" t="s">
        <v>125</v>
      </c>
      <c r="K16579" s="46" t="s">
        <v>126</v>
      </c>
      <c r="L16579" s="45">
        <v>46018.875</v>
      </c>
      <c r="M16579" s="46" t="s">
        <v>123</v>
      </c>
      <c r="N16579" s="45">
        <v>46018.881944444445</v>
      </c>
      <c r="O16579" s="46" t="s">
        <v>123</v>
      </c>
      <c r="P16579" s="46">
        <v>600.0</v>
      </c>
      <c r="S16579" s="46" t="s">
        <v>127</v>
      </c>
    </row>
    <row r="16580">
      <c r="A16580" s="40">
        <f t="shared" si="1"/>
        <v>46013</v>
      </c>
      <c r="B16580" s="37" t="str">
        <f t="array" ref="B16580">iferror(xlookup($I16580, 'IMPORT VHC Report'!$E:$E, 'IMPORT VHC Report'!$A:$C), )</f>
        <v/>
      </c>
      <c r="C16580" s="44"/>
      <c r="D16580" s="44"/>
      <c r="E16580" s="46" t="s">
        <v>12780</v>
      </c>
      <c r="F16580" s="46" t="s">
        <v>1694</v>
      </c>
      <c r="H16580" s="46" t="s">
        <v>1695</v>
      </c>
      <c r="I16580" s="46" t="s">
        <v>1696</v>
      </c>
      <c r="J16580" s="46" t="s">
        <v>122</v>
      </c>
      <c r="K16580" s="46" t="s">
        <v>63</v>
      </c>
      <c r="L16580" s="45">
        <v>46018.875</v>
      </c>
      <c r="M16580" s="46" t="s">
        <v>123</v>
      </c>
      <c r="N16580" s="45">
        <v>46019.25</v>
      </c>
      <c r="O16580" s="46" t="s">
        <v>123</v>
      </c>
      <c r="P16580" s="46">
        <v>32400.0</v>
      </c>
    </row>
    <row r="16581">
      <c r="A16581" s="40">
        <f t="shared" si="1"/>
        <v>46013</v>
      </c>
      <c r="B16581" s="37" t="str">
        <f t="array" ref="B16581">iferror(xlookup($I16581, 'IMPORT VHC Report'!$E:$E, 'IMPORT VHC Report'!$A:$C), )</f>
        <v/>
      </c>
      <c r="C16581" s="44"/>
      <c r="D16581" s="44"/>
      <c r="E16581" s="46" t="s">
        <v>12781</v>
      </c>
      <c r="F16581" s="46" t="s">
        <v>1694</v>
      </c>
      <c r="H16581" s="46" t="s">
        <v>1695</v>
      </c>
      <c r="I16581" s="46" t="s">
        <v>1696</v>
      </c>
      <c r="J16581" s="46" t="s">
        <v>132</v>
      </c>
      <c r="K16581" s="46" t="s">
        <v>126</v>
      </c>
      <c r="L16581" s="45">
        <v>46018.947916666664</v>
      </c>
      <c r="M16581" s="46" t="s">
        <v>123</v>
      </c>
      <c r="N16581" s="45">
        <v>46018.989583333336</v>
      </c>
      <c r="O16581" s="46" t="s">
        <v>123</v>
      </c>
      <c r="P16581" s="46">
        <v>3600.0</v>
      </c>
    </row>
    <row r="16582">
      <c r="A16582" s="40">
        <f t="shared" si="1"/>
        <v>46013</v>
      </c>
      <c r="B16582" s="37" t="str">
        <f t="array" ref="B16582">iferror(xlookup($I16582, 'IMPORT VHC Report'!$E:$E, 'IMPORT VHC Report'!$A:$C), )</f>
        <v/>
      </c>
      <c r="C16582" s="44"/>
      <c r="D16582" s="44"/>
      <c r="E16582" s="46" t="s">
        <v>12782</v>
      </c>
      <c r="F16582" s="46" t="s">
        <v>1694</v>
      </c>
      <c r="H16582" s="46" t="s">
        <v>1695</v>
      </c>
      <c r="I16582" s="46" t="s">
        <v>1696</v>
      </c>
      <c r="J16582" s="46" t="s">
        <v>134</v>
      </c>
      <c r="K16582" s="46" t="s">
        <v>126</v>
      </c>
      <c r="L16582" s="45">
        <v>46019.135416666664</v>
      </c>
      <c r="M16582" s="46" t="s">
        <v>123</v>
      </c>
      <c r="N16582" s="45">
        <v>46019.15625</v>
      </c>
      <c r="O16582" s="46" t="s">
        <v>123</v>
      </c>
      <c r="P16582" s="46">
        <v>1800.0</v>
      </c>
    </row>
    <row r="16583">
      <c r="A16583" s="40">
        <f t="shared" si="1"/>
        <v>46013</v>
      </c>
      <c r="B16583" s="37" t="str">
        <f t="array" ref="B16583">iferror(xlookup($I16583, 'IMPORT VHC Report'!$E:$E, 'IMPORT VHC Report'!$A:$C), )</f>
        <v/>
      </c>
      <c r="C16583" s="44"/>
      <c r="D16583" s="44"/>
      <c r="E16583" s="46" t="s">
        <v>12783</v>
      </c>
      <c r="F16583" s="46" t="s">
        <v>1694</v>
      </c>
      <c r="H16583" s="46" t="s">
        <v>1695</v>
      </c>
      <c r="I16583" s="46" t="s">
        <v>1696</v>
      </c>
      <c r="J16583" s="46" t="s">
        <v>125</v>
      </c>
      <c r="K16583" s="46" t="s">
        <v>126</v>
      </c>
      <c r="L16583" s="45">
        <v>46019.875</v>
      </c>
      <c r="M16583" s="46" t="s">
        <v>123</v>
      </c>
      <c r="N16583" s="45">
        <v>46019.881944444445</v>
      </c>
      <c r="O16583" s="46" t="s">
        <v>123</v>
      </c>
      <c r="P16583" s="46">
        <v>600.0</v>
      </c>
      <c r="S16583" s="46" t="s">
        <v>127</v>
      </c>
    </row>
    <row r="16584">
      <c r="A16584" s="40">
        <f t="shared" si="1"/>
        <v>46013</v>
      </c>
      <c r="B16584" s="37" t="str">
        <f t="array" ref="B16584">iferror(xlookup($I16584, 'IMPORT VHC Report'!$E:$E, 'IMPORT VHC Report'!$A:$C), )</f>
        <v/>
      </c>
      <c r="C16584" s="44"/>
      <c r="D16584" s="44"/>
      <c r="E16584" s="46" t="s">
        <v>12784</v>
      </c>
      <c r="F16584" s="46" t="s">
        <v>1694</v>
      </c>
      <c r="H16584" s="46" t="s">
        <v>1695</v>
      </c>
      <c r="I16584" s="46" t="s">
        <v>1696</v>
      </c>
      <c r="J16584" s="46" t="s">
        <v>122</v>
      </c>
      <c r="K16584" s="46" t="s">
        <v>63</v>
      </c>
      <c r="L16584" s="45">
        <v>46019.875</v>
      </c>
      <c r="M16584" s="46" t="s">
        <v>123</v>
      </c>
      <c r="N16584" s="45">
        <v>46020.0</v>
      </c>
      <c r="O16584" s="46" t="s">
        <v>123</v>
      </c>
      <c r="P16584" s="46">
        <v>10800.0</v>
      </c>
    </row>
    <row r="16585">
      <c r="A16585" s="40">
        <f t="shared" si="1"/>
        <v>46013</v>
      </c>
      <c r="B16585" s="37" t="str">
        <f t="array" ref="B16585">iferror(xlookup($I16585, 'IMPORT VHC Report'!$E:$E, 'IMPORT VHC Report'!$A:$C), )</f>
        <v/>
      </c>
      <c r="C16585" s="44"/>
      <c r="D16585" s="44"/>
      <c r="E16585" s="46" t="s">
        <v>12785</v>
      </c>
      <c r="F16585" s="46" t="s">
        <v>2347</v>
      </c>
      <c r="G16585" s="46">
        <v>3.61825394516E11</v>
      </c>
      <c r="H16585" s="46" t="s">
        <v>2348</v>
      </c>
      <c r="I16585" s="46" t="s">
        <v>2349</v>
      </c>
      <c r="J16585" s="46" t="s">
        <v>125</v>
      </c>
      <c r="K16585" s="46" t="s">
        <v>126</v>
      </c>
      <c r="L16585" s="45">
        <v>46013.208333333336</v>
      </c>
      <c r="M16585" s="46" t="s">
        <v>123</v>
      </c>
      <c r="N16585" s="45">
        <v>46013.21527777778</v>
      </c>
      <c r="O16585" s="46" t="s">
        <v>123</v>
      </c>
      <c r="P16585" s="46">
        <v>600.0</v>
      </c>
      <c r="S16585" s="46" t="s">
        <v>127</v>
      </c>
    </row>
    <row r="16586">
      <c r="A16586" s="40">
        <f t="shared" si="1"/>
        <v>46013</v>
      </c>
      <c r="B16586" s="37" t="str">
        <f t="array" ref="B16586">iferror(xlookup($I16586, 'IMPORT VHC Report'!$E:$E, 'IMPORT VHC Report'!$A:$C), )</f>
        <v/>
      </c>
      <c r="C16586" s="44"/>
      <c r="D16586" s="44"/>
      <c r="E16586" s="46" t="s">
        <v>12786</v>
      </c>
      <c r="F16586" s="46" t="s">
        <v>2347</v>
      </c>
      <c r="G16586" s="46">
        <v>3.61825394516E11</v>
      </c>
      <c r="H16586" s="46" t="s">
        <v>2348</v>
      </c>
      <c r="I16586" s="46" t="s">
        <v>2349</v>
      </c>
      <c r="J16586" s="46" t="s">
        <v>122</v>
      </c>
      <c r="K16586" s="46" t="s">
        <v>63</v>
      </c>
      <c r="L16586" s="45">
        <v>46013.208333333336</v>
      </c>
      <c r="M16586" s="46" t="s">
        <v>123</v>
      </c>
      <c r="N16586" s="45">
        <v>46013.583333333336</v>
      </c>
      <c r="O16586" s="46" t="s">
        <v>123</v>
      </c>
      <c r="P16586" s="46">
        <v>32400.0</v>
      </c>
    </row>
    <row r="16587">
      <c r="A16587" s="40">
        <f t="shared" si="1"/>
        <v>46013</v>
      </c>
      <c r="B16587" s="37" t="str">
        <f t="array" ref="B16587">iferror(xlookup($I16587, 'IMPORT VHC Report'!$E:$E, 'IMPORT VHC Report'!$A:$C), )</f>
        <v/>
      </c>
      <c r="C16587" s="44"/>
      <c r="D16587" s="44"/>
      <c r="E16587" s="46" t="s">
        <v>12787</v>
      </c>
      <c r="F16587" s="46" t="s">
        <v>2347</v>
      </c>
      <c r="G16587" s="46">
        <v>3.61825394516E11</v>
      </c>
      <c r="H16587" s="46" t="s">
        <v>2348</v>
      </c>
      <c r="I16587" s="46" t="s">
        <v>2349</v>
      </c>
      <c r="J16587" s="46" t="s">
        <v>132</v>
      </c>
      <c r="K16587" s="46" t="s">
        <v>126</v>
      </c>
      <c r="L16587" s="45">
        <v>46013.333333333336</v>
      </c>
      <c r="M16587" s="46" t="s">
        <v>123</v>
      </c>
      <c r="N16587" s="45">
        <v>46013.375</v>
      </c>
      <c r="O16587" s="46" t="s">
        <v>123</v>
      </c>
      <c r="P16587" s="46">
        <v>3600.0</v>
      </c>
    </row>
    <row r="16588">
      <c r="A16588" s="40">
        <f t="shared" si="1"/>
        <v>46013</v>
      </c>
      <c r="B16588" s="37" t="str">
        <f t="array" ref="B16588">iferror(xlookup($I16588, 'IMPORT VHC Report'!$E:$E, 'IMPORT VHC Report'!$A:$C), )</f>
        <v/>
      </c>
      <c r="C16588" s="44"/>
      <c r="D16588" s="44"/>
      <c r="E16588" s="46" t="s">
        <v>12788</v>
      </c>
      <c r="F16588" s="46" t="s">
        <v>2347</v>
      </c>
      <c r="G16588" s="46">
        <v>3.61825394516E11</v>
      </c>
      <c r="H16588" s="46" t="s">
        <v>2348</v>
      </c>
      <c r="I16588" s="46" t="s">
        <v>2349</v>
      </c>
      <c r="J16588" s="46" t="s">
        <v>134</v>
      </c>
      <c r="K16588" s="46" t="s">
        <v>126</v>
      </c>
      <c r="L16588" s="45">
        <v>46013.46875</v>
      </c>
      <c r="M16588" s="46" t="s">
        <v>123</v>
      </c>
      <c r="N16588" s="45">
        <v>46013.489583333336</v>
      </c>
      <c r="O16588" s="46" t="s">
        <v>123</v>
      </c>
      <c r="P16588" s="46">
        <v>1800.0</v>
      </c>
    </row>
    <row r="16589">
      <c r="A16589" s="40">
        <f t="shared" si="1"/>
        <v>46013</v>
      </c>
      <c r="B16589" s="37" t="str">
        <f t="array" ref="B16589">iferror(xlookup($I16589, 'IMPORT VHC Report'!$E:$E, 'IMPORT VHC Report'!$A:$C), )</f>
        <v/>
      </c>
      <c r="C16589" s="44"/>
      <c r="D16589" s="44"/>
      <c r="E16589" s="46" t="s">
        <v>12789</v>
      </c>
      <c r="F16589" s="46" t="s">
        <v>2347</v>
      </c>
      <c r="G16589" s="46">
        <v>3.61825394516E11</v>
      </c>
      <c r="H16589" s="46" t="s">
        <v>2348</v>
      </c>
      <c r="I16589" s="46" t="s">
        <v>2349</v>
      </c>
      <c r="J16589" s="46" t="s">
        <v>125</v>
      </c>
      <c r="K16589" s="46" t="s">
        <v>126</v>
      </c>
      <c r="L16589" s="45">
        <v>46014.208333333336</v>
      </c>
      <c r="M16589" s="46" t="s">
        <v>123</v>
      </c>
      <c r="N16589" s="45">
        <v>46014.21527777778</v>
      </c>
      <c r="O16589" s="46" t="s">
        <v>123</v>
      </c>
      <c r="P16589" s="46">
        <v>600.0</v>
      </c>
      <c r="S16589" s="46" t="s">
        <v>127</v>
      </c>
    </row>
    <row r="16590">
      <c r="A16590" s="40">
        <f t="shared" si="1"/>
        <v>46013</v>
      </c>
      <c r="B16590" s="37" t="str">
        <f t="array" ref="B16590">iferror(xlookup($I16590, 'IMPORT VHC Report'!$E:$E, 'IMPORT VHC Report'!$A:$C), )</f>
        <v/>
      </c>
      <c r="C16590" s="44"/>
      <c r="D16590" s="44"/>
      <c r="E16590" s="46" t="s">
        <v>12790</v>
      </c>
      <c r="F16590" s="46" t="s">
        <v>2347</v>
      </c>
      <c r="G16590" s="46">
        <v>3.61825394516E11</v>
      </c>
      <c r="H16590" s="46" t="s">
        <v>2348</v>
      </c>
      <c r="I16590" s="46" t="s">
        <v>2349</v>
      </c>
      <c r="J16590" s="46" t="s">
        <v>122</v>
      </c>
      <c r="K16590" s="46" t="s">
        <v>63</v>
      </c>
      <c r="L16590" s="45">
        <v>46014.208333333336</v>
      </c>
      <c r="M16590" s="46" t="s">
        <v>123</v>
      </c>
      <c r="N16590" s="45">
        <v>46014.583333333336</v>
      </c>
      <c r="O16590" s="46" t="s">
        <v>123</v>
      </c>
      <c r="P16590" s="46">
        <v>32400.0</v>
      </c>
    </row>
    <row r="16591">
      <c r="A16591" s="40">
        <f t="shared" si="1"/>
        <v>46013</v>
      </c>
      <c r="B16591" s="37" t="str">
        <f t="array" ref="B16591">iferror(xlookup($I16591, 'IMPORT VHC Report'!$E:$E, 'IMPORT VHC Report'!$A:$C), )</f>
        <v/>
      </c>
      <c r="C16591" s="44"/>
      <c r="D16591" s="44"/>
      <c r="E16591" s="46" t="s">
        <v>12791</v>
      </c>
      <c r="F16591" s="46" t="s">
        <v>2347</v>
      </c>
      <c r="G16591" s="46">
        <v>3.61825394516E11</v>
      </c>
      <c r="H16591" s="46" t="s">
        <v>2348</v>
      </c>
      <c r="I16591" s="46" t="s">
        <v>2349</v>
      </c>
      <c r="J16591" s="46" t="s">
        <v>132</v>
      </c>
      <c r="K16591" s="46" t="s">
        <v>126</v>
      </c>
      <c r="L16591" s="45">
        <v>46014.333333333336</v>
      </c>
      <c r="M16591" s="46" t="s">
        <v>123</v>
      </c>
      <c r="N16591" s="45">
        <v>46014.375</v>
      </c>
      <c r="O16591" s="46" t="s">
        <v>123</v>
      </c>
      <c r="P16591" s="46">
        <v>3600.0</v>
      </c>
    </row>
    <row r="16592">
      <c r="A16592" s="40">
        <f t="shared" si="1"/>
        <v>46013</v>
      </c>
      <c r="B16592" s="37" t="str">
        <f t="array" ref="B16592">iferror(xlookup($I16592, 'IMPORT VHC Report'!$E:$E, 'IMPORT VHC Report'!$A:$C), )</f>
        <v/>
      </c>
      <c r="C16592" s="44"/>
      <c r="D16592" s="44"/>
      <c r="E16592" s="46" t="s">
        <v>12792</v>
      </c>
      <c r="F16592" s="46" t="s">
        <v>2347</v>
      </c>
      <c r="G16592" s="46">
        <v>3.61825394516E11</v>
      </c>
      <c r="H16592" s="46" t="s">
        <v>2348</v>
      </c>
      <c r="I16592" s="46" t="s">
        <v>2349</v>
      </c>
      <c r="J16592" s="46" t="s">
        <v>134</v>
      </c>
      <c r="K16592" s="46" t="s">
        <v>126</v>
      </c>
      <c r="L16592" s="45">
        <v>46014.46875</v>
      </c>
      <c r="M16592" s="46" t="s">
        <v>123</v>
      </c>
      <c r="N16592" s="45">
        <v>46014.489583333336</v>
      </c>
      <c r="O16592" s="46" t="s">
        <v>123</v>
      </c>
      <c r="P16592" s="46">
        <v>1800.0</v>
      </c>
    </row>
    <row r="16593">
      <c r="A16593" s="40">
        <f t="shared" si="1"/>
        <v>46013</v>
      </c>
      <c r="B16593" s="37" t="str">
        <f t="array" ref="B16593">iferror(xlookup($I16593, 'IMPORT VHC Report'!$E:$E, 'IMPORT VHC Report'!$A:$C), )</f>
        <v/>
      </c>
      <c r="C16593" s="44"/>
      <c r="D16593" s="44"/>
      <c r="E16593" s="46" t="s">
        <v>12793</v>
      </c>
      <c r="F16593" s="46" t="s">
        <v>2347</v>
      </c>
      <c r="G16593" s="46">
        <v>3.61825394516E11</v>
      </c>
      <c r="H16593" s="46" t="s">
        <v>2348</v>
      </c>
      <c r="I16593" s="46" t="s">
        <v>2349</v>
      </c>
      <c r="J16593" s="46" t="s">
        <v>125</v>
      </c>
      <c r="K16593" s="46" t="s">
        <v>126</v>
      </c>
      <c r="L16593" s="45">
        <v>46015.208333333336</v>
      </c>
      <c r="M16593" s="46" t="s">
        <v>123</v>
      </c>
      <c r="N16593" s="45">
        <v>46015.21527777778</v>
      </c>
      <c r="O16593" s="46" t="s">
        <v>123</v>
      </c>
      <c r="P16593" s="46">
        <v>600.0</v>
      </c>
      <c r="S16593" s="46" t="s">
        <v>127</v>
      </c>
    </row>
    <row r="16594">
      <c r="A16594" s="40">
        <f t="shared" si="1"/>
        <v>46013</v>
      </c>
      <c r="B16594" s="37" t="str">
        <f t="array" ref="B16594">iferror(xlookup($I16594, 'IMPORT VHC Report'!$E:$E, 'IMPORT VHC Report'!$A:$C), )</f>
        <v/>
      </c>
      <c r="C16594" s="44"/>
      <c r="D16594" s="44"/>
      <c r="E16594" s="46" t="s">
        <v>12794</v>
      </c>
      <c r="F16594" s="46" t="s">
        <v>2347</v>
      </c>
      <c r="G16594" s="46">
        <v>3.61825394516E11</v>
      </c>
      <c r="H16594" s="46" t="s">
        <v>2348</v>
      </c>
      <c r="I16594" s="46" t="s">
        <v>2349</v>
      </c>
      <c r="J16594" s="46" t="s">
        <v>122</v>
      </c>
      <c r="K16594" s="46" t="s">
        <v>63</v>
      </c>
      <c r="L16594" s="45">
        <v>46015.208333333336</v>
      </c>
      <c r="M16594" s="46" t="s">
        <v>123</v>
      </c>
      <c r="N16594" s="45">
        <v>46015.583333333336</v>
      </c>
      <c r="O16594" s="46" t="s">
        <v>123</v>
      </c>
      <c r="P16594" s="46">
        <v>32400.0</v>
      </c>
    </row>
    <row r="16595">
      <c r="A16595" s="40">
        <f t="shared" si="1"/>
        <v>46013</v>
      </c>
      <c r="B16595" s="37" t="str">
        <f t="array" ref="B16595">iferror(xlookup($I16595, 'IMPORT VHC Report'!$E:$E, 'IMPORT VHC Report'!$A:$C), )</f>
        <v/>
      </c>
      <c r="C16595" s="44"/>
      <c r="D16595" s="44"/>
      <c r="E16595" s="46" t="s">
        <v>12795</v>
      </c>
      <c r="F16595" s="46" t="s">
        <v>2347</v>
      </c>
      <c r="G16595" s="46">
        <v>3.61825394516E11</v>
      </c>
      <c r="H16595" s="46" t="s">
        <v>2348</v>
      </c>
      <c r="I16595" s="46" t="s">
        <v>2349</v>
      </c>
      <c r="J16595" s="46" t="s">
        <v>178</v>
      </c>
      <c r="K16595" s="46" t="s">
        <v>153</v>
      </c>
      <c r="L16595" s="45">
        <v>46015.208333333336</v>
      </c>
      <c r="M16595" s="46" t="s">
        <v>123</v>
      </c>
      <c r="N16595" s="45">
        <v>46015.583333333336</v>
      </c>
      <c r="O16595" s="46" t="s">
        <v>123</v>
      </c>
      <c r="P16595" s="46">
        <v>32400.0</v>
      </c>
      <c r="Q16595" s="46">
        <v>28800.0</v>
      </c>
    </row>
    <row r="16596">
      <c r="A16596" s="40">
        <f t="shared" si="1"/>
        <v>46013</v>
      </c>
      <c r="B16596" s="37" t="str">
        <f t="array" ref="B16596">iferror(xlookup($I16596, 'IMPORT VHC Report'!$E:$E, 'IMPORT VHC Report'!$A:$C), )</f>
        <v/>
      </c>
      <c r="C16596" s="44"/>
      <c r="D16596" s="44"/>
      <c r="E16596" s="46" t="s">
        <v>12796</v>
      </c>
      <c r="F16596" s="46" t="s">
        <v>2347</v>
      </c>
      <c r="G16596" s="46">
        <v>3.61825394516E11</v>
      </c>
      <c r="H16596" s="46" t="s">
        <v>2348</v>
      </c>
      <c r="I16596" s="46" t="s">
        <v>2349</v>
      </c>
      <c r="J16596" s="46" t="s">
        <v>132</v>
      </c>
      <c r="K16596" s="46" t="s">
        <v>126</v>
      </c>
      <c r="L16596" s="45">
        <v>46015.3125</v>
      </c>
      <c r="M16596" s="46" t="s">
        <v>123</v>
      </c>
      <c r="N16596" s="45">
        <v>46015.354166666664</v>
      </c>
      <c r="O16596" s="46" t="s">
        <v>123</v>
      </c>
      <c r="P16596" s="46">
        <v>3600.0</v>
      </c>
    </row>
    <row r="16597">
      <c r="A16597" s="40">
        <f t="shared" si="1"/>
        <v>46013</v>
      </c>
      <c r="B16597" s="37" t="str">
        <f t="array" ref="B16597">iferror(xlookup($I16597, 'IMPORT VHC Report'!$E:$E, 'IMPORT VHC Report'!$A:$C), )</f>
        <v/>
      </c>
      <c r="C16597" s="44"/>
      <c r="D16597" s="44"/>
      <c r="E16597" s="46" t="s">
        <v>12797</v>
      </c>
      <c r="F16597" s="46" t="s">
        <v>2347</v>
      </c>
      <c r="G16597" s="46">
        <v>3.61825394516E11</v>
      </c>
      <c r="H16597" s="46" t="s">
        <v>2348</v>
      </c>
      <c r="I16597" s="46" t="s">
        <v>2349</v>
      </c>
      <c r="J16597" s="46" t="s">
        <v>136</v>
      </c>
      <c r="K16597" s="46" t="s">
        <v>126</v>
      </c>
      <c r="L16597" s="45">
        <v>46015.416666666664</v>
      </c>
      <c r="M16597" s="46" t="s">
        <v>123</v>
      </c>
      <c r="N16597" s="45">
        <v>46015.447916666664</v>
      </c>
      <c r="O16597" s="46" t="s">
        <v>123</v>
      </c>
      <c r="P16597" s="46">
        <v>2700.0</v>
      </c>
      <c r="S16597" s="46" t="s">
        <v>137</v>
      </c>
    </row>
    <row r="16598">
      <c r="A16598" s="40">
        <f t="shared" si="1"/>
        <v>46013</v>
      </c>
      <c r="B16598" s="37" t="str">
        <f t="array" ref="B16598">iferror(xlookup($I16598, 'IMPORT VHC Report'!$E:$E, 'IMPORT VHC Report'!$A:$C), )</f>
        <v/>
      </c>
      <c r="C16598" s="44"/>
      <c r="D16598" s="44"/>
      <c r="E16598" s="46" t="s">
        <v>12798</v>
      </c>
      <c r="F16598" s="46" t="s">
        <v>2347</v>
      </c>
      <c r="G16598" s="46">
        <v>3.61825394516E11</v>
      </c>
      <c r="H16598" s="46" t="s">
        <v>2348</v>
      </c>
      <c r="I16598" s="46" t="s">
        <v>2349</v>
      </c>
      <c r="J16598" s="46" t="s">
        <v>134</v>
      </c>
      <c r="K16598" s="46" t="s">
        <v>126</v>
      </c>
      <c r="L16598" s="45">
        <v>46015.46875</v>
      </c>
      <c r="M16598" s="46" t="s">
        <v>123</v>
      </c>
      <c r="N16598" s="45">
        <v>46015.489583333336</v>
      </c>
      <c r="O16598" s="46" t="s">
        <v>123</v>
      </c>
      <c r="P16598" s="46">
        <v>1800.0</v>
      </c>
    </row>
    <row r="16599">
      <c r="A16599" s="40">
        <f t="shared" si="1"/>
        <v>46013</v>
      </c>
      <c r="B16599" s="37" t="str">
        <f t="array" ref="B16599">iferror(xlookup($I16599, 'IMPORT VHC Report'!$E:$E, 'IMPORT VHC Report'!$A:$C), )</f>
        <v/>
      </c>
      <c r="C16599" s="44"/>
      <c r="D16599" s="44"/>
      <c r="E16599" s="46" t="s">
        <v>12799</v>
      </c>
      <c r="F16599" s="46" t="s">
        <v>2347</v>
      </c>
      <c r="G16599" s="46">
        <v>3.61825394516E11</v>
      </c>
      <c r="H16599" s="46" t="s">
        <v>2348</v>
      </c>
      <c r="I16599" s="46" t="s">
        <v>2349</v>
      </c>
      <c r="J16599" s="46" t="s">
        <v>125</v>
      </c>
      <c r="K16599" s="46" t="s">
        <v>126</v>
      </c>
      <c r="L16599" s="45">
        <v>46018.208333333336</v>
      </c>
      <c r="M16599" s="46" t="s">
        <v>123</v>
      </c>
      <c r="N16599" s="45">
        <v>46018.21527777778</v>
      </c>
      <c r="O16599" s="46" t="s">
        <v>123</v>
      </c>
      <c r="P16599" s="46">
        <v>600.0</v>
      </c>
      <c r="S16599" s="46" t="s">
        <v>127</v>
      </c>
    </row>
    <row r="16600">
      <c r="A16600" s="40">
        <f t="shared" si="1"/>
        <v>46013</v>
      </c>
      <c r="B16600" s="37" t="str">
        <f t="array" ref="B16600">iferror(xlookup($I16600, 'IMPORT VHC Report'!$E:$E, 'IMPORT VHC Report'!$A:$C), )</f>
        <v/>
      </c>
      <c r="C16600" s="44"/>
      <c r="D16600" s="44"/>
      <c r="E16600" s="46" t="s">
        <v>12800</v>
      </c>
      <c r="F16600" s="46" t="s">
        <v>2347</v>
      </c>
      <c r="G16600" s="46">
        <v>3.61825394516E11</v>
      </c>
      <c r="H16600" s="46" t="s">
        <v>2348</v>
      </c>
      <c r="I16600" s="46" t="s">
        <v>2349</v>
      </c>
      <c r="J16600" s="46" t="s">
        <v>178</v>
      </c>
      <c r="K16600" s="46" t="s">
        <v>153</v>
      </c>
      <c r="L16600" s="45">
        <v>46018.208333333336</v>
      </c>
      <c r="M16600" s="46" t="s">
        <v>123</v>
      </c>
      <c r="N16600" s="45">
        <v>46018.583333333336</v>
      </c>
      <c r="O16600" s="46" t="s">
        <v>123</v>
      </c>
      <c r="P16600" s="46">
        <v>32400.0</v>
      </c>
      <c r="Q16600" s="46">
        <v>28800.0</v>
      </c>
    </row>
    <row r="16601">
      <c r="A16601" s="40">
        <f t="shared" si="1"/>
        <v>46013</v>
      </c>
      <c r="B16601" s="37" t="str">
        <f t="array" ref="B16601">iferror(xlookup($I16601, 'IMPORT VHC Report'!$E:$E, 'IMPORT VHC Report'!$A:$C), )</f>
        <v/>
      </c>
      <c r="C16601" s="44"/>
      <c r="D16601" s="44"/>
      <c r="E16601" s="46" t="s">
        <v>12801</v>
      </c>
      <c r="F16601" s="46" t="s">
        <v>2347</v>
      </c>
      <c r="G16601" s="46">
        <v>3.61825394516E11</v>
      </c>
      <c r="H16601" s="46" t="s">
        <v>2348</v>
      </c>
      <c r="I16601" s="46" t="s">
        <v>2349</v>
      </c>
      <c r="J16601" s="46" t="s">
        <v>122</v>
      </c>
      <c r="K16601" s="46" t="s">
        <v>63</v>
      </c>
      <c r="L16601" s="45">
        <v>46018.208333333336</v>
      </c>
      <c r="M16601" s="46" t="s">
        <v>123</v>
      </c>
      <c r="N16601" s="45">
        <v>46018.583333333336</v>
      </c>
      <c r="O16601" s="46" t="s">
        <v>123</v>
      </c>
      <c r="P16601" s="46">
        <v>32400.0</v>
      </c>
    </row>
    <row r="16602">
      <c r="A16602" s="40">
        <f t="shared" si="1"/>
        <v>46013</v>
      </c>
      <c r="B16602" s="37" t="str">
        <f t="array" ref="B16602">iferror(xlookup($I16602, 'IMPORT VHC Report'!$E:$E, 'IMPORT VHC Report'!$A:$C), )</f>
        <v/>
      </c>
      <c r="C16602" s="44"/>
      <c r="D16602" s="44"/>
      <c r="E16602" s="46" t="s">
        <v>12802</v>
      </c>
      <c r="F16602" s="46" t="s">
        <v>2347</v>
      </c>
      <c r="G16602" s="46">
        <v>3.61825394516E11</v>
      </c>
      <c r="H16602" s="46" t="s">
        <v>2348</v>
      </c>
      <c r="I16602" s="46" t="s">
        <v>2349</v>
      </c>
      <c r="J16602" s="46" t="s">
        <v>134</v>
      </c>
      <c r="K16602" s="46" t="s">
        <v>126</v>
      </c>
      <c r="L16602" s="45">
        <v>46018.302083333336</v>
      </c>
      <c r="M16602" s="46" t="s">
        <v>123</v>
      </c>
      <c r="N16602" s="45">
        <v>46018.322916666664</v>
      </c>
      <c r="O16602" s="46" t="s">
        <v>123</v>
      </c>
      <c r="P16602" s="46">
        <v>1800.0</v>
      </c>
    </row>
    <row r="16603">
      <c r="A16603" s="40">
        <f t="shared" si="1"/>
        <v>46013</v>
      </c>
      <c r="B16603" s="37" t="str">
        <f t="array" ref="B16603">iferror(xlookup($I16603, 'IMPORT VHC Report'!$E:$E, 'IMPORT VHC Report'!$A:$C), )</f>
        <v/>
      </c>
      <c r="C16603" s="44"/>
      <c r="D16603" s="44"/>
      <c r="E16603" s="46" t="s">
        <v>12803</v>
      </c>
      <c r="F16603" s="46" t="s">
        <v>2347</v>
      </c>
      <c r="G16603" s="46">
        <v>3.61825394516E11</v>
      </c>
      <c r="H16603" s="46" t="s">
        <v>2348</v>
      </c>
      <c r="I16603" s="46" t="s">
        <v>2349</v>
      </c>
      <c r="J16603" s="46" t="s">
        <v>132</v>
      </c>
      <c r="K16603" s="46" t="s">
        <v>126</v>
      </c>
      <c r="L16603" s="45">
        <v>46018.46875</v>
      </c>
      <c r="M16603" s="46" t="s">
        <v>123</v>
      </c>
      <c r="N16603" s="45">
        <v>46018.510416666664</v>
      </c>
      <c r="O16603" s="46" t="s">
        <v>123</v>
      </c>
      <c r="P16603" s="46">
        <v>3600.0</v>
      </c>
    </row>
    <row r="16604">
      <c r="A16604" s="40">
        <f t="shared" si="1"/>
        <v>46013</v>
      </c>
      <c r="B16604" s="37" t="str">
        <f t="array" ref="B16604">iferror(xlookup($I16604, 'IMPORT VHC Report'!$E:$E, 'IMPORT VHC Report'!$A:$C), )</f>
        <v/>
      </c>
      <c r="C16604" s="44"/>
      <c r="D16604" s="44"/>
      <c r="E16604" s="46" t="s">
        <v>12804</v>
      </c>
      <c r="F16604" s="46" t="s">
        <v>2347</v>
      </c>
      <c r="G16604" s="46">
        <v>3.61825394516E11</v>
      </c>
      <c r="H16604" s="46" t="s">
        <v>2348</v>
      </c>
      <c r="I16604" s="46" t="s">
        <v>2349</v>
      </c>
      <c r="J16604" s="46" t="s">
        <v>125</v>
      </c>
      <c r="K16604" s="46" t="s">
        <v>126</v>
      </c>
      <c r="L16604" s="45">
        <v>46019.208333333336</v>
      </c>
      <c r="M16604" s="46" t="s">
        <v>123</v>
      </c>
      <c r="N16604" s="45">
        <v>46019.21527777778</v>
      </c>
      <c r="O16604" s="46" t="s">
        <v>123</v>
      </c>
      <c r="P16604" s="46">
        <v>600.0</v>
      </c>
      <c r="S16604" s="46" t="s">
        <v>127</v>
      </c>
    </row>
    <row r="16605">
      <c r="A16605" s="40">
        <f t="shared" si="1"/>
        <v>46013</v>
      </c>
      <c r="B16605" s="37" t="str">
        <f t="array" ref="B16605">iferror(xlookup($I16605, 'IMPORT VHC Report'!$E:$E, 'IMPORT VHC Report'!$A:$C), )</f>
        <v/>
      </c>
      <c r="C16605" s="44"/>
      <c r="D16605" s="44"/>
      <c r="E16605" s="46" t="s">
        <v>12805</v>
      </c>
      <c r="F16605" s="46" t="s">
        <v>2347</v>
      </c>
      <c r="G16605" s="46">
        <v>3.61825394516E11</v>
      </c>
      <c r="H16605" s="46" t="s">
        <v>2348</v>
      </c>
      <c r="I16605" s="46" t="s">
        <v>2349</v>
      </c>
      <c r="J16605" s="46" t="s">
        <v>122</v>
      </c>
      <c r="K16605" s="46" t="s">
        <v>63</v>
      </c>
      <c r="L16605" s="45">
        <v>46019.208333333336</v>
      </c>
      <c r="M16605" s="46" t="s">
        <v>123</v>
      </c>
      <c r="N16605" s="45">
        <v>46019.583333333336</v>
      </c>
      <c r="O16605" s="46" t="s">
        <v>123</v>
      </c>
      <c r="P16605" s="46">
        <v>32400.0</v>
      </c>
    </row>
    <row r="16606">
      <c r="A16606" s="40">
        <f t="shared" si="1"/>
        <v>46013</v>
      </c>
      <c r="B16606" s="37" t="str">
        <f t="array" ref="B16606">iferror(xlookup($I16606, 'IMPORT VHC Report'!$E:$E, 'IMPORT VHC Report'!$A:$C), )</f>
        <v/>
      </c>
      <c r="C16606" s="44"/>
      <c r="D16606" s="44"/>
      <c r="E16606" s="46" t="s">
        <v>12806</v>
      </c>
      <c r="F16606" s="46" t="s">
        <v>2347</v>
      </c>
      <c r="G16606" s="46">
        <v>3.61825394516E11</v>
      </c>
      <c r="H16606" s="46" t="s">
        <v>2348</v>
      </c>
      <c r="I16606" s="46" t="s">
        <v>2349</v>
      </c>
      <c r="J16606" s="46" t="s">
        <v>132</v>
      </c>
      <c r="K16606" s="46" t="s">
        <v>126</v>
      </c>
      <c r="L16606" s="45">
        <v>46019.28125</v>
      </c>
      <c r="M16606" s="46" t="s">
        <v>123</v>
      </c>
      <c r="N16606" s="45">
        <v>46019.322916666664</v>
      </c>
      <c r="O16606" s="46" t="s">
        <v>123</v>
      </c>
      <c r="P16606" s="46">
        <v>3600.0</v>
      </c>
    </row>
    <row r="16607">
      <c r="A16607" s="40">
        <f t="shared" si="1"/>
        <v>46013</v>
      </c>
      <c r="B16607" s="37" t="str">
        <f t="array" ref="B16607">iferror(xlookup($I16607, 'IMPORT VHC Report'!$E:$E, 'IMPORT VHC Report'!$A:$C), )</f>
        <v/>
      </c>
      <c r="C16607" s="44"/>
      <c r="D16607" s="44"/>
      <c r="E16607" s="46" t="s">
        <v>12807</v>
      </c>
      <c r="F16607" s="46" t="s">
        <v>2347</v>
      </c>
      <c r="G16607" s="46">
        <v>3.61825394516E11</v>
      </c>
      <c r="H16607" s="46" t="s">
        <v>2348</v>
      </c>
      <c r="I16607" s="46" t="s">
        <v>2349</v>
      </c>
      <c r="J16607" s="46" t="s">
        <v>134</v>
      </c>
      <c r="K16607" s="46" t="s">
        <v>126</v>
      </c>
      <c r="L16607" s="45">
        <v>46019.4375</v>
      </c>
      <c r="M16607" s="46" t="s">
        <v>123</v>
      </c>
      <c r="N16607" s="45">
        <v>46019.458333333336</v>
      </c>
      <c r="O16607" s="46" t="s">
        <v>123</v>
      </c>
      <c r="P16607" s="46">
        <v>1800.0</v>
      </c>
    </row>
    <row r="16608">
      <c r="A16608" s="40">
        <f t="shared" si="1"/>
        <v>46013</v>
      </c>
      <c r="B16608" s="37" t="str">
        <f t="array" ref="B16608">iferror(xlookup($I16608, 'IMPORT VHC Report'!$E:$E, 'IMPORT VHC Report'!$A:$C), )</f>
        <v/>
      </c>
      <c r="C16608" s="44"/>
      <c r="D16608" s="44"/>
      <c r="E16608" s="46" t="s">
        <v>12808</v>
      </c>
      <c r="F16608" s="46" t="s">
        <v>2493</v>
      </c>
      <c r="H16608" s="46" t="s">
        <v>2494</v>
      </c>
      <c r="I16608" s="46" t="s">
        <v>2495</v>
      </c>
      <c r="J16608" s="46" t="s">
        <v>125</v>
      </c>
      <c r="K16608" s="46" t="s">
        <v>126</v>
      </c>
      <c r="L16608" s="45">
        <v>46013.208333333336</v>
      </c>
      <c r="M16608" s="46" t="s">
        <v>123</v>
      </c>
      <c r="N16608" s="45">
        <v>46013.21527777778</v>
      </c>
      <c r="O16608" s="46" t="s">
        <v>123</v>
      </c>
      <c r="P16608" s="46">
        <v>600.0</v>
      </c>
      <c r="S16608" s="46" t="s">
        <v>127</v>
      </c>
    </row>
    <row r="16609">
      <c r="A16609" s="40">
        <f t="shared" si="1"/>
        <v>46013</v>
      </c>
      <c r="B16609" s="37" t="str">
        <f t="array" ref="B16609">iferror(xlookup($I16609, 'IMPORT VHC Report'!$E:$E, 'IMPORT VHC Report'!$A:$C), )</f>
        <v/>
      </c>
      <c r="C16609" s="44"/>
      <c r="D16609" s="44"/>
      <c r="E16609" s="46" t="s">
        <v>12809</v>
      </c>
      <c r="F16609" s="46" t="s">
        <v>2493</v>
      </c>
      <c r="H16609" s="46" t="s">
        <v>2494</v>
      </c>
      <c r="I16609" s="46" t="s">
        <v>2495</v>
      </c>
      <c r="J16609" s="46" t="s">
        <v>122</v>
      </c>
      <c r="K16609" s="46" t="s">
        <v>63</v>
      </c>
      <c r="L16609" s="45">
        <v>46013.208333333336</v>
      </c>
      <c r="M16609" s="46" t="s">
        <v>123</v>
      </c>
      <c r="N16609" s="45">
        <v>46013.583333333336</v>
      </c>
      <c r="O16609" s="46" t="s">
        <v>123</v>
      </c>
      <c r="P16609" s="46">
        <v>32400.0</v>
      </c>
    </row>
    <row r="16610">
      <c r="A16610" s="40">
        <f t="shared" si="1"/>
        <v>46013</v>
      </c>
      <c r="B16610" s="37" t="str">
        <f t="array" ref="B16610">iferror(xlookup($I16610, 'IMPORT VHC Report'!$E:$E, 'IMPORT VHC Report'!$A:$C), )</f>
        <v/>
      </c>
      <c r="C16610" s="44"/>
      <c r="D16610" s="44"/>
      <c r="E16610" s="46" t="s">
        <v>12810</v>
      </c>
      <c r="F16610" s="46" t="s">
        <v>2493</v>
      </c>
      <c r="H16610" s="46" t="s">
        <v>2494</v>
      </c>
      <c r="I16610" s="46" t="s">
        <v>2495</v>
      </c>
      <c r="J16610" s="46" t="s">
        <v>134</v>
      </c>
      <c r="K16610" s="46" t="s">
        <v>126</v>
      </c>
      <c r="L16610" s="45">
        <v>46013.291666666664</v>
      </c>
      <c r="M16610" s="46" t="s">
        <v>123</v>
      </c>
      <c r="N16610" s="45">
        <v>46013.3125</v>
      </c>
      <c r="O16610" s="46" t="s">
        <v>123</v>
      </c>
      <c r="P16610" s="46">
        <v>1800.0</v>
      </c>
    </row>
    <row r="16611">
      <c r="A16611" s="40">
        <f t="shared" si="1"/>
        <v>46013</v>
      </c>
      <c r="B16611" s="37" t="str">
        <f t="array" ref="B16611">iferror(xlookup($I16611, 'IMPORT VHC Report'!$E:$E, 'IMPORT VHC Report'!$A:$C), )</f>
        <v/>
      </c>
      <c r="C16611" s="44"/>
      <c r="D16611" s="44"/>
      <c r="E16611" s="46" t="s">
        <v>12811</v>
      </c>
      <c r="F16611" s="46" t="s">
        <v>2493</v>
      </c>
      <c r="H16611" s="46" t="s">
        <v>2494</v>
      </c>
      <c r="I16611" s="46" t="s">
        <v>2495</v>
      </c>
      <c r="J16611" s="46" t="s">
        <v>132</v>
      </c>
      <c r="K16611" s="46" t="s">
        <v>126</v>
      </c>
      <c r="L16611" s="45">
        <v>46013.40625</v>
      </c>
      <c r="M16611" s="46" t="s">
        <v>123</v>
      </c>
      <c r="N16611" s="45">
        <v>46013.447916666664</v>
      </c>
      <c r="O16611" s="46" t="s">
        <v>123</v>
      </c>
      <c r="P16611" s="46">
        <v>3600.0</v>
      </c>
    </row>
    <row r="16612">
      <c r="A16612" s="40">
        <f t="shared" si="1"/>
        <v>46013</v>
      </c>
      <c r="B16612" s="37" t="str">
        <f t="array" ref="B16612">iferror(xlookup($I16612, 'IMPORT VHC Report'!$E:$E, 'IMPORT VHC Report'!$A:$C), )</f>
        <v/>
      </c>
      <c r="C16612" s="44"/>
      <c r="D16612" s="44"/>
      <c r="E16612" s="46" t="s">
        <v>12812</v>
      </c>
      <c r="F16612" s="46" t="s">
        <v>2493</v>
      </c>
      <c r="H16612" s="46" t="s">
        <v>2494</v>
      </c>
      <c r="I16612" s="46" t="s">
        <v>2495</v>
      </c>
      <c r="J16612" s="46" t="s">
        <v>125</v>
      </c>
      <c r="K16612" s="46" t="s">
        <v>126</v>
      </c>
      <c r="L16612" s="45">
        <v>46014.208333333336</v>
      </c>
      <c r="M16612" s="46" t="s">
        <v>123</v>
      </c>
      <c r="N16612" s="45">
        <v>46014.21527777778</v>
      </c>
      <c r="O16612" s="46" t="s">
        <v>123</v>
      </c>
      <c r="P16612" s="46">
        <v>600.0</v>
      </c>
      <c r="S16612" s="46" t="s">
        <v>127</v>
      </c>
    </row>
    <row r="16613">
      <c r="A16613" s="40">
        <f t="shared" si="1"/>
        <v>46013</v>
      </c>
      <c r="B16613" s="37" t="str">
        <f t="array" ref="B16613">iferror(xlookup($I16613, 'IMPORT VHC Report'!$E:$E, 'IMPORT VHC Report'!$A:$C), )</f>
        <v/>
      </c>
      <c r="C16613" s="44"/>
      <c r="D16613" s="44"/>
      <c r="E16613" s="46" t="s">
        <v>12813</v>
      </c>
      <c r="F16613" s="46" t="s">
        <v>2493</v>
      </c>
      <c r="H16613" s="46" t="s">
        <v>2494</v>
      </c>
      <c r="I16613" s="46" t="s">
        <v>2495</v>
      </c>
      <c r="J16613" s="46" t="s">
        <v>122</v>
      </c>
      <c r="K16613" s="46" t="s">
        <v>63</v>
      </c>
      <c r="L16613" s="45">
        <v>46014.208333333336</v>
      </c>
      <c r="M16613" s="46" t="s">
        <v>123</v>
      </c>
      <c r="N16613" s="45">
        <v>46014.583333333336</v>
      </c>
      <c r="O16613" s="46" t="s">
        <v>123</v>
      </c>
      <c r="P16613" s="46">
        <v>32400.0</v>
      </c>
    </row>
    <row r="16614">
      <c r="A16614" s="40">
        <f t="shared" si="1"/>
        <v>46013</v>
      </c>
      <c r="B16614" s="37" t="str">
        <f t="array" ref="B16614">iferror(xlookup($I16614, 'IMPORT VHC Report'!$E:$E, 'IMPORT VHC Report'!$A:$C), )</f>
        <v/>
      </c>
      <c r="C16614" s="44"/>
      <c r="D16614" s="44"/>
      <c r="E16614" s="46" t="s">
        <v>12814</v>
      </c>
      <c r="F16614" s="46" t="s">
        <v>2493</v>
      </c>
      <c r="H16614" s="46" t="s">
        <v>2494</v>
      </c>
      <c r="I16614" s="46" t="s">
        <v>2495</v>
      </c>
      <c r="J16614" s="46" t="s">
        <v>134</v>
      </c>
      <c r="K16614" s="46" t="s">
        <v>126</v>
      </c>
      <c r="L16614" s="45">
        <v>46014.291666666664</v>
      </c>
      <c r="M16614" s="46" t="s">
        <v>123</v>
      </c>
      <c r="N16614" s="45">
        <v>46014.3125</v>
      </c>
      <c r="O16614" s="46" t="s">
        <v>123</v>
      </c>
      <c r="P16614" s="46">
        <v>1800.0</v>
      </c>
    </row>
    <row r="16615">
      <c r="A16615" s="40">
        <f t="shared" si="1"/>
        <v>46013</v>
      </c>
      <c r="B16615" s="37" t="str">
        <f t="array" ref="B16615">iferror(xlookup($I16615, 'IMPORT VHC Report'!$E:$E, 'IMPORT VHC Report'!$A:$C), )</f>
        <v/>
      </c>
      <c r="C16615" s="44"/>
      <c r="D16615" s="44"/>
      <c r="E16615" s="46" t="s">
        <v>12815</v>
      </c>
      <c r="F16615" s="46" t="s">
        <v>2493</v>
      </c>
      <c r="H16615" s="46" t="s">
        <v>2494</v>
      </c>
      <c r="I16615" s="46" t="s">
        <v>2495</v>
      </c>
      <c r="J16615" s="46" t="s">
        <v>132</v>
      </c>
      <c r="K16615" s="46" t="s">
        <v>126</v>
      </c>
      <c r="L16615" s="45">
        <v>46014.416666666664</v>
      </c>
      <c r="M16615" s="46" t="s">
        <v>123</v>
      </c>
      <c r="N16615" s="45">
        <v>46014.458333333336</v>
      </c>
      <c r="O16615" s="46" t="s">
        <v>123</v>
      </c>
      <c r="P16615" s="46">
        <v>3600.0</v>
      </c>
    </row>
    <row r="16616">
      <c r="A16616" s="40">
        <f t="shared" si="1"/>
        <v>46013</v>
      </c>
      <c r="B16616" s="37" t="str">
        <f t="array" ref="B16616">iferror(xlookup($I16616, 'IMPORT VHC Report'!$E:$E, 'IMPORT VHC Report'!$A:$C), )</f>
        <v/>
      </c>
      <c r="C16616" s="44"/>
      <c r="D16616" s="44"/>
      <c r="E16616" s="46" t="s">
        <v>12816</v>
      </c>
      <c r="F16616" s="46" t="s">
        <v>2493</v>
      </c>
      <c r="H16616" s="46" t="s">
        <v>2494</v>
      </c>
      <c r="I16616" s="46" t="s">
        <v>2495</v>
      </c>
      <c r="J16616" s="46" t="s">
        <v>125</v>
      </c>
      <c r="K16616" s="46" t="s">
        <v>126</v>
      </c>
      <c r="L16616" s="45">
        <v>46015.208333333336</v>
      </c>
      <c r="M16616" s="46" t="s">
        <v>123</v>
      </c>
      <c r="N16616" s="45">
        <v>46015.21527777778</v>
      </c>
      <c r="O16616" s="46" t="s">
        <v>123</v>
      </c>
      <c r="P16616" s="46">
        <v>600.0</v>
      </c>
      <c r="S16616" s="46" t="s">
        <v>127</v>
      </c>
    </row>
    <row r="16617">
      <c r="A16617" s="40">
        <f t="shared" si="1"/>
        <v>46013</v>
      </c>
      <c r="B16617" s="37" t="str">
        <f t="array" ref="B16617">iferror(xlookup($I16617, 'IMPORT VHC Report'!$E:$E, 'IMPORT VHC Report'!$A:$C), )</f>
        <v/>
      </c>
      <c r="C16617" s="44"/>
      <c r="D16617" s="44"/>
      <c r="E16617" s="46" t="s">
        <v>12817</v>
      </c>
      <c r="F16617" s="46" t="s">
        <v>2493</v>
      </c>
      <c r="H16617" s="46" t="s">
        <v>2494</v>
      </c>
      <c r="I16617" s="46" t="s">
        <v>2495</v>
      </c>
      <c r="J16617" s="46" t="s">
        <v>122</v>
      </c>
      <c r="K16617" s="46" t="s">
        <v>63</v>
      </c>
      <c r="L16617" s="45">
        <v>46015.208333333336</v>
      </c>
      <c r="M16617" s="46" t="s">
        <v>123</v>
      </c>
      <c r="N16617" s="45">
        <v>46015.583333333336</v>
      </c>
      <c r="O16617" s="46" t="s">
        <v>123</v>
      </c>
      <c r="P16617" s="46">
        <v>32400.0</v>
      </c>
    </row>
    <row r="16618">
      <c r="A16618" s="40">
        <f t="shared" si="1"/>
        <v>46013</v>
      </c>
      <c r="B16618" s="37" t="str">
        <f t="array" ref="B16618">iferror(xlookup($I16618, 'IMPORT VHC Report'!$E:$E, 'IMPORT VHC Report'!$A:$C), )</f>
        <v/>
      </c>
      <c r="C16618" s="44"/>
      <c r="D16618" s="44"/>
      <c r="E16618" s="46" t="s">
        <v>12818</v>
      </c>
      <c r="F16618" s="46" t="s">
        <v>2493</v>
      </c>
      <c r="H16618" s="46" t="s">
        <v>2494</v>
      </c>
      <c r="I16618" s="46" t="s">
        <v>2495</v>
      </c>
      <c r="J16618" s="46" t="s">
        <v>178</v>
      </c>
      <c r="K16618" s="46" t="s">
        <v>153</v>
      </c>
      <c r="L16618" s="45">
        <v>46015.21875</v>
      </c>
      <c r="M16618" s="46" t="s">
        <v>123</v>
      </c>
      <c r="N16618" s="45">
        <v>46015.59375</v>
      </c>
      <c r="O16618" s="46" t="s">
        <v>123</v>
      </c>
      <c r="P16618" s="46">
        <v>32400.0</v>
      </c>
      <c r="Q16618" s="46">
        <v>57600.0</v>
      </c>
    </row>
    <row r="16619">
      <c r="A16619" s="40">
        <f t="shared" si="1"/>
        <v>46013</v>
      </c>
      <c r="B16619" s="37" t="str">
        <f t="array" ref="B16619">iferror(xlookup($I16619, 'IMPORT VHC Report'!$E:$E, 'IMPORT VHC Report'!$A:$C), )</f>
        <v/>
      </c>
      <c r="C16619" s="44"/>
      <c r="D16619" s="44"/>
      <c r="E16619" s="46" t="s">
        <v>12819</v>
      </c>
      <c r="F16619" s="46" t="s">
        <v>2493</v>
      </c>
      <c r="H16619" s="46" t="s">
        <v>2494</v>
      </c>
      <c r="I16619" s="46" t="s">
        <v>2495</v>
      </c>
      <c r="J16619" s="46" t="s">
        <v>134</v>
      </c>
      <c r="K16619" s="46" t="s">
        <v>126</v>
      </c>
      <c r="L16619" s="45">
        <v>46015.354166666664</v>
      </c>
      <c r="M16619" s="46" t="s">
        <v>123</v>
      </c>
      <c r="N16619" s="45">
        <v>46015.375</v>
      </c>
      <c r="O16619" s="46" t="s">
        <v>123</v>
      </c>
      <c r="P16619" s="46">
        <v>1800.0</v>
      </c>
    </row>
    <row r="16620">
      <c r="A16620" s="40">
        <f t="shared" si="1"/>
        <v>46013</v>
      </c>
      <c r="B16620" s="37" t="str">
        <f t="array" ref="B16620">iferror(xlookup($I16620, 'IMPORT VHC Report'!$E:$E, 'IMPORT VHC Report'!$A:$C), )</f>
        <v/>
      </c>
      <c r="C16620" s="44"/>
      <c r="D16620" s="44"/>
      <c r="E16620" s="46" t="s">
        <v>12820</v>
      </c>
      <c r="F16620" s="46" t="s">
        <v>2493</v>
      </c>
      <c r="H16620" s="46" t="s">
        <v>2494</v>
      </c>
      <c r="I16620" s="46" t="s">
        <v>2495</v>
      </c>
      <c r="J16620" s="46" t="s">
        <v>136</v>
      </c>
      <c r="K16620" s="46" t="s">
        <v>126</v>
      </c>
      <c r="L16620" s="45">
        <v>46015.416666666664</v>
      </c>
      <c r="M16620" s="46" t="s">
        <v>123</v>
      </c>
      <c r="N16620" s="45">
        <v>46015.447916666664</v>
      </c>
      <c r="O16620" s="46" t="s">
        <v>123</v>
      </c>
      <c r="P16620" s="46">
        <v>2700.0</v>
      </c>
      <c r="S16620" s="46" t="s">
        <v>137</v>
      </c>
    </row>
    <row r="16621">
      <c r="A16621" s="40">
        <f t="shared" si="1"/>
        <v>46013</v>
      </c>
      <c r="B16621" s="37" t="str">
        <f t="array" ref="B16621">iferror(xlookup($I16621, 'IMPORT VHC Report'!$E:$E, 'IMPORT VHC Report'!$A:$C), )</f>
        <v/>
      </c>
      <c r="C16621" s="44"/>
      <c r="D16621" s="44"/>
      <c r="E16621" s="46" t="s">
        <v>12821</v>
      </c>
      <c r="F16621" s="46" t="s">
        <v>2493</v>
      </c>
      <c r="H16621" s="46" t="s">
        <v>2494</v>
      </c>
      <c r="I16621" s="46" t="s">
        <v>2495</v>
      </c>
      <c r="J16621" s="46" t="s">
        <v>132</v>
      </c>
      <c r="K16621" s="46" t="s">
        <v>126</v>
      </c>
      <c r="L16621" s="45">
        <v>46015.489583333336</v>
      </c>
      <c r="M16621" s="46" t="s">
        <v>123</v>
      </c>
      <c r="N16621" s="45">
        <v>46015.53125</v>
      </c>
      <c r="O16621" s="46" t="s">
        <v>123</v>
      </c>
      <c r="P16621" s="46">
        <v>3600.0</v>
      </c>
    </row>
    <row r="16622">
      <c r="A16622" s="40">
        <f t="shared" si="1"/>
        <v>46013</v>
      </c>
      <c r="B16622" s="37" t="str">
        <f t="array" ref="B16622">iferror(xlookup($I16622, 'IMPORT VHC Report'!$E:$E, 'IMPORT VHC Report'!$A:$C), )</f>
        <v/>
      </c>
      <c r="C16622" s="44"/>
      <c r="D16622" s="44"/>
      <c r="E16622" s="46" t="s">
        <v>12822</v>
      </c>
      <c r="F16622" s="46" t="s">
        <v>2493</v>
      </c>
      <c r="H16622" s="46" t="s">
        <v>2494</v>
      </c>
      <c r="I16622" s="46" t="s">
        <v>2495</v>
      </c>
      <c r="J16622" s="46" t="s">
        <v>125</v>
      </c>
      <c r="K16622" s="46" t="s">
        <v>126</v>
      </c>
      <c r="L16622" s="45">
        <v>46016.208333333336</v>
      </c>
      <c r="M16622" s="46" t="s">
        <v>123</v>
      </c>
      <c r="N16622" s="45">
        <v>46016.21527777778</v>
      </c>
      <c r="O16622" s="46" t="s">
        <v>123</v>
      </c>
      <c r="P16622" s="46">
        <v>600.0</v>
      </c>
      <c r="S16622" s="46" t="s">
        <v>127</v>
      </c>
    </row>
    <row r="16623">
      <c r="A16623" s="40">
        <f t="shared" si="1"/>
        <v>46013</v>
      </c>
      <c r="B16623" s="37" t="str">
        <f t="array" ref="B16623">iferror(xlookup($I16623, 'IMPORT VHC Report'!$E:$E, 'IMPORT VHC Report'!$A:$C), )</f>
        <v/>
      </c>
      <c r="C16623" s="44"/>
      <c r="D16623" s="44"/>
      <c r="E16623" s="46" t="s">
        <v>12823</v>
      </c>
      <c r="F16623" s="46" t="s">
        <v>2493</v>
      </c>
      <c r="H16623" s="46" t="s">
        <v>2494</v>
      </c>
      <c r="I16623" s="46" t="s">
        <v>2495</v>
      </c>
      <c r="J16623" s="46" t="s">
        <v>178</v>
      </c>
      <c r="K16623" s="46" t="s">
        <v>153</v>
      </c>
      <c r="L16623" s="45">
        <v>46016.208333333336</v>
      </c>
      <c r="M16623" s="46" t="s">
        <v>123</v>
      </c>
      <c r="N16623" s="45">
        <v>46016.583333333336</v>
      </c>
      <c r="O16623" s="46" t="s">
        <v>123</v>
      </c>
      <c r="P16623" s="46">
        <v>32400.0</v>
      </c>
      <c r="Q16623" s="46">
        <v>32400.0</v>
      </c>
    </row>
    <row r="16624">
      <c r="A16624" s="40">
        <f t="shared" si="1"/>
        <v>46013</v>
      </c>
      <c r="B16624" s="37" t="str">
        <f t="array" ref="B16624">iferror(xlookup($I16624, 'IMPORT VHC Report'!$E:$E, 'IMPORT VHC Report'!$A:$C), )</f>
        <v/>
      </c>
      <c r="C16624" s="44"/>
      <c r="D16624" s="44"/>
      <c r="E16624" s="46" t="s">
        <v>12824</v>
      </c>
      <c r="F16624" s="46" t="s">
        <v>2493</v>
      </c>
      <c r="H16624" s="46" t="s">
        <v>2494</v>
      </c>
      <c r="I16624" s="46" t="s">
        <v>2495</v>
      </c>
      <c r="J16624" s="46" t="s">
        <v>122</v>
      </c>
      <c r="K16624" s="46" t="s">
        <v>63</v>
      </c>
      <c r="L16624" s="45">
        <v>46016.208333333336</v>
      </c>
      <c r="M16624" s="46" t="s">
        <v>123</v>
      </c>
      <c r="N16624" s="45">
        <v>46016.583333333336</v>
      </c>
      <c r="O16624" s="46" t="s">
        <v>123</v>
      </c>
      <c r="P16624" s="46">
        <v>32400.0</v>
      </c>
    </row>
    <row r="16625">
      <c r="A16625" s="40">
        <f t="shared" si="1"/>
        <v>46013</v>
      </c>
      <c r="B16625" s="37" t="str">
        <f t="array" ref="B16625">iferror(xlookup($I16625, 'IMPORT VHC Report'!$E:$E, 'IMPORT VHC Report'!$A:$C), )</f>
        <v/>
      </c>
      <c r="C16625" s="44"/>
      <c r="D16625" s="44"/>
      <c r="E16625" s="46" t="s">
        <v>12825</v>
      </c>
      <c r="F16625" s="46" t="s">
        <v>2493</v>
      </c>
      <c r="H16625" s="46" t="s">
        <v>2494</v>
      </c>
      <c r="I16625" s="46" t="s">
        <v>2495</v>
      </c>
      <c r="J16625" s="46" t="s">
        <v>132</v>
      </c>
      <c r="K16625" s="46" t="s">
        <v>126</v>
      </c>
      <c r="L16625" s="45">
        <v>46016.364583333336</v>
      </c>
      <c r="M16625" s="46" t="s">
        <v>123</v>
      </c>
      <c r="N16625" s="45">
        <v>46016.40625</v>
      </c>
      <c r="O16625" s="46" t="s">
        <v>123</v>
      </c>
      <c r="P16625" s="46">
        <v>3600.0</v>
      </c>
    </row>
    <row r="16626">
      <c r="A16626" s="40">
        <f t="shared" si="1"/>
        <v>46013</v>
      </c>
      <c r="B16626" s="37" t="str">
        <f t="array" ref="B16626">iferror(xlookup($I16626, 'IMPORT VHC Report'!$E:$E, 'IMPORT VHC Report'!$A:$C), )</f>
        <v/>
      </c>
      <c r="C16626" s="44"/>
      <c r="D16626" s="44"/>
      <c r="E16626" s="46" t="s">
        <v>12826</v>
      </c>
      <c r="F16626" s="46" t="s">
        <v>2493</v>
      </c>
      <c r="H16626" s="46" t="s">
        <v>2494</v>
      </c>
      <c r="I16626" s="46" t="s">
        <v>2495</v>
      </c>
      <c r="J16626" s="46" t="s">
        <v>134</v>
      </c>
      <c r="K16626" s="46" t="s">
        <v>126</v>
      </c>
      <c r="L16626" s="45">
        <v>46016.5</v>
      </c>
      <c r="M16626" s="46" t="s">
        <v>123</v>
      </c>
      <c r="N16626" s="45">
        <v>46016.520833333336</v>
      </c>
      <c r="O16626" s="46" t="s">
        <v>123</v>
      </c>
      <c r="P16626" s="46">
        <v>1800.0</v>
      </c>
    </row>
    <row r="16627">
      <c r="A16627" s="40">
        <f t="shared" si="1"/>
        <v>46013</v>
      </c>
      <c r="B16627" s="37" t="str">
        <f t="array" ref="B16627">iferror(xlookup($I16627, 'IMPORT VHC Report'!$E:$E, 'IMPORT VHC Report'!$A:$C), )</f>
        <v/>
      </c>
      <c r="C16627" s="44"/>
      <c r="D16627" s="44"/>
      <c r="E16627" s="46" t="s">
        <v>12827</v>
      </c>
      <c r="F16627" s="46" t="s">
        <v>2493</v>
      </c>
      <c r="H16627" s="46" t="s">
        <v>2494</v>
      </c>
      <c r="I16627" s="46" t="s">
        <v>2495</v>
      </c>
      <c r="J16627" s="46" t="s">
        <v>125</v>
      </c>
      <c r="K16627" s="46" t="s">
        <v>126</v>
      </c>
      <c r="L16627" s="45">
        <v>46017.208333333336</v>
      </c>
      <c r="M16627" s="46" t="s">
        <v>123</v>
      </c>
      <c r="N16627" s="45">
        <v>46017.21527777778</v>
      </c>
      <c r="O16627" s="46" t="s">
        <v>123</v>
      </c>
      <c r="P16627" s="46">
        <v>600.0</v>
      </c>
      <c r="S16627" s="46" t="s">
        <v>127</v>
      </c>
    </row>
    <row r="16628">
      <c r="A16628" s="40">
        <f t="shared" si="1"/>
        <v>46013</v>
      </c>
      <c r="B16628" s="37" t="str">
        <f t="array" ref="B16628">iferror(xlookup($I16628, 'IMPORT VHC Report'!$E:$E, 'IMPORT VHC Report'!$A:$C), )</f>
        <v/>
      </c>
      <c r="C16628" s="44"/>
      <c r="D16628" s="44"/>
      <c r="E16628" s="46" t="s">
        <v>12828</v>
      </c>
      <c r="F16628" s="46" t="s">
        <v>2493</v>
      </c>
      <c r="H16628" s="46" t="s">
        <v>2494</v>
      </c>
      <c r="I16628" s="46" t="s">
        <v>2495</v>
      </c>
      <c r="J16628" s="46" t="s">
        <v>122</v>
      </c>
      <c r="K16628" s="46" t="s">
        <v>63</v>
      </c>
      <c r="L16628" s="45">
        <v>46017.208333333336</v>
      </c>
      <c r="M16628" s="46" t="s">
        <v>123</v>
      </c>
      <c r="N16628" s="45">
        <v>46017.583333333336</v>
      </c>
      <c r="O16628" s="46" t="s">
        <v>123</v>
      </c>
      <c r="P16628" s="46">
        <v>32400.0</v>
      </c>
    </row>
    <row r="16629">
      <c r="A16629" s="40">
        <f t="shared" si="1"/>
        <v>46013</v>
      </c>
      <c r="B16629" s="37" t="str">
        <f t="array" ref="B16629">iferror(xlookup($I16629, 'IMPORT VHC Report'!$E:$E, 'IMPORT VHC Report'!$A:$C), )</f>
        <v/>
      </c>
      <c r="C16629" s="44"/>
      <c r="D16629" s="44"/>
      <c r="E16629" s="46" t="s">
        <v>12829</v>
      </c>
      <c r="F16629" s="46" t="s">
        <v>2493</v>
      </c>
      <c r="H16629" s="46" t="s">
        <v>2494</v>
      </c>
      <c r="I16629" s="46" t="s">
        <v>2495</v>
      </c>
      <c r="J16629" s="46" t="s">
        <v>134</v>
      </c>
      <c r="K16629" s="46" t="s">
        <v>126</v>
      </c>
      <c r="L16629" s="45">
        <v>46017.354166666664</v>
      </c>
      <c r="M16629" s="46" t="s">
        <v>123</v>
      </c>
      <c r="N16629" s="45">
        <v>46017.375</v>
      </c>
      <c r="O16629" s="46" t="s">
        <v>123</v>
      </c>
      <c r="P16629" s="46">
        <v>1800.0</v>
      </c>
    </row>
    <row r="16630">
      <c r="A16630" s="40">
        <f t="shared" si="1"/>
        <v>46013</v>
      </c>
      <c r="B16630" s="37" t="str">
        <f t="array" ref="B16630">iferror(xlookup($I16630, 'IMPORT VHC Report'!$E:$E, 'IMPORT VHC Report'!$A:$C), )</f>
        <v/>
      </c>
      <c r="C16630" s="44"/>
      <c r="D16630" s="44"/>
      <c r="E16630" s="46" t="s">
        <v>12830</v>
      </c>
      <c r="F16630" s="46" t="s">
        <v>2493</v>
      </c>
      <c r="H16630" s="46" t="s">
        <v>2494</v>
      </c>
      <c r="I16630" s="46" t="s">
        <v>2495</v>
      </c>
      <c r="J16630" s="46" t="s">
        <v>132</v>
      </c>
      <c r="K16630" s="46" t="s">
        <v>126</v>
      </c>
      <c r="L16630" s="45">
        <v>46017.46875</v>
      </c>
      <c r="M16630" s="46" t="s">
        <v>123</v>
      </c>
      <c r="N16630" s="45">
        <v>46017.510416666664</v>
      </c>
      <c r="O16630" s="46" t="s">
        <v>123</v>
      </c>
      <c r="P16630" s="46">
        <v>3600.0</v>
      </c>
    </row>
    <row r="16631">
      <c r="A16631" s="40">
        <f t="shared" si="1"/>
        <v>46013</v>
      </c>
      <c r="B16631" s="37" t="str">
        <f t="array" ref="B16631">iferror(xlookup($I16631, 'IMPORT VHC Report'!$E:$E, 'IMPORT VHC Report'!$A:$C), )</f>
        <v/>
      </c>
      <c r="C16631" s="44"/>
      <c r="D16631" s="44"/>
      <c r="E16631" s="46" t="s">
        <v>12831</v>
      </c>
      <c r="F16631" s="46" t="s">
        <v>2519</v>
      </c>
      <c r="H16631" s="46" t="s">
        <v>2520</v>
      </c>
      <c r="I16631" s="46" t="s">
        <v>2521</v>
      </c>
      <c r="J16631" s="46" t="s">
        <v>125</v>
      </c>
      <c r="K16631" s="46" t="s">
        <v>126</v>
      </c>
      <c r="L16631" s="45">
        <v>46013.25</v>
      </c>
      <c r="M16631" s="46" t="s">
        <v>123</v>
      </c>
      <c r="N16631" s="45">
        <v>46013.256944444445</v>
      </c>
      <c r="O16631" s="46" t="s">
        <v>123</v>
      </c>
      <c r="P16631" s="46">
        <v>600.0</v>
      </c>
      <c r="S16631" s="46" t="s">
        <v>127</v>
      </c>
    </row>
    <row r="16632">
      <c r="A16632" s="40">
        <f t="shared" si="1"/>
        <v>46013</v>
      </c>
      <c r="B16632" s="37" t="str">
        <f t="array" ref="B16632">iferror(xlookup($I16632, 'IMPORT VHC Report'!$E:$E, 'IMPORT VHC Report'!$A:$C), )</f>
        <v/>
      </c>
      <c r="C16632" s="44"/>
      <c r="D16632" s="44"/>
      <c r="E16632" s="46" t="s">
        <v>12832</v>
      </c>
      <c r="F16632" s="46" t="s">
        <v>2519</v>
      </c>
      <c r="H16632" s="46" t="s">
        <v>2520</v>
      </c>
      <c r="I16632" s="46" t="s">
        <v>2521</v>
      </c>
      <c r="J16632" s="46" t="s">
        <v>122</v>
      </c>
      <c r="K16632" s="46" t="s">
        <v>63</v>
      </c>
      <c r="L16632" s="45">
        <v>46013.25</v>
      </c>
      <c r="M16632" s="46" t="s">
        <v>123</v>
      </c>
      <c r="N16632" s="45">
        <v>46013.625</v>
      </c>
      <c r="O16632" s="46" t="s">
        <v>123</v>
      </c>
      <c r="P16632" s="46">
        <v>32400.0</v>
      </c>
    </row>
    <row r="16633">
      <c r="A16633" s="40">
        <f t="shared" si="1"/>
        <v>46013</v>
      </c>
      <c r="B16633" s="37" t="str">
        <f t="array" ref="B16633">iferror(xlookup($I16633, 'IMPORT VHC Report'!$E:$E, 'IMPORT VHC Report'!$A:$C), )</f>
        <v/>
      </c>
      <c r="C16633" s="44"/>
      <c r="D16633" s="44"/>
      <c r="E16633" s="46" t="s">
        <v>12833</v>
      </c>
      <c r="F16633" s="46" t="s">
        <v>2519</v>
      </c>
      <c r="H16633" s="46" t="s">
        <v>2520</v>
      </c>
      <c r="I16633" s="46" t="s">
        <v>2521</v>
      </c>
      <c r="J16633" s="46" t="s">
        <v>134</v>
      </c>
      <c r="K16633" s="46" t="s">
        <v>126</v>
      </c>
      <c r="L16633" s="45">
        <v>46013.333333333336</v>
      </c>
      <c r="M16633" s="46" t="s">
        <v>123</v>
      </c>
      <c r="N16633" s="45">
        <v>46013.354166666664</v>
      </c>
      <c r="O16633" s="46" t="s">
        <v>123</v>
      </c>
      <c r="P16633" s="46">
        <v>1800.0</v>
      </c>
    </row>
    <row r="16634">
      <c r="A16634" s="40">
        <f t="shared" si="1"/>
        <v>46013</v>
      </c>
      <c r="B16634" s="37" t="str">
        <f t="array" ref="B16634">iferror(xlookup($I16634, 'IMPORT VHC Report'!$E:$E, 'IMPORT VHC Report'!$A:$C), )</f>
        <v/>
      </c>
      <c r="C16634" s="44"/>
      <c r="D16634" s="44"/>
      <c r="E16634" s="46" t="s">
        <v>12834</v>
      </c>
      <c r="F16634" s="46" t="s">
        <v>2519</v>
      </c>
      <c r="H16634" s="46" t="s">
        <v>2520</v>
      </c>
      <c r="I16634" s="46" t="s">
        <v>2521</v>
      </c>
      <c r="J16634" s="46" t="s">
        <v>132</v>
      </c>
      <c r="K16634" s="46" t="s">
        <v>126</v>
      </c>
      <c r="L16634" s="45">
        <v>46013.447916666664</v>
      </c>
      <c r="M16634" s="46" t="s">
        <v>123</v>
      </c>
      <c r="N16634" s="45">
        <v>46013.489583333336</v>
      </c>
      <c r="O16634" s="46" t="s">
        <v>123</v>
      </c>
      <c r="P16634" s="46">
        <v>3600.0</v>
      </c>
    </row>
    <row r="16635">
      <c r="A16635" s="40">
        <f t="shared" si="1"/>
        <v>46013</v>
      </c>
      <c r="B16635" s="37" t="str">
        <f t="array" ref="B16635">iferror(xlookup($I16635, 'IMPORT VHC Report'!$E:$E, 'IMPORT VHC Report'!$A:$C), )</f>
        <v/>
      </c>
      <c r="C16635" s="44"/>
      <c r="D16635" s="44"/>
      <c r="E16635" s="46" t="s">
        <v>12835</v>
      </c>
      <c r="F16635" s="46" t="s">
        <v>2519</v>
      </c>
      <c r="H16635" s="46" t="s">
        <v>2520</v>
      </c>
      <c r="I16635" s="46" t="s">
        <v>2521</v>
      </c>
      <c r="J16635" s="46" t="s">
        <v>125</v>
      </c>
      <c r="K16635" s="46" t="s">
        <v>126</v>
      </c>
      <c r="L16635" s="45">
        <v>46014.25</v>
      </c>
      <c r="M16635" s="46" t="s">
        <v>123</v>
      </c>
      <c r="N16635" s="45">
        <v>46014.256944444445</v>
      </c>
      <c r="O16635" s="46" t="s">
        <v>123</v>
      </c>
      <c r="P16635" s="46">
        <v>600.0</v>
      </c>
      <c r="S16635" s="46" t="s">
        <v>127</v>
      </c>
    </row>
    <row r="16636">
      <c r="A16636" s="40">
        <f t="shared" si="1"/>
        <v>46013</v>
      </c>
      <c r="B16636" s="37" t="str">
        <f t="array" ref="B16636">iferror(xlookup($I16636, 'IMPORT VHC Report'!$E:$E, 'IMPORT VHC Report'!$A:$C), )</f>
        <v/>
      </c>
      <c r="C16636" s="44"/>
      <c r="D16636" s="44"/>
      <c r="E16636" s="46" t="s">
        <v>12836</v>
      </c>
      <c r="F16636" s="46" t="s">
        <v>2519</v>
      </c>
      <c r="H16636" s="46" t="s">
        <v>2520</v>
      </c>
      <c r="I16636" s="46" t="s">
        <v>2521</v>
      </c>
      <c r="J16636" s="46" t="s">
        <v>122</v>
      </c>
      <c r="K16636" s="46" t="s">
        <v>63</v>
      </c>
      <c r="L16636" s="45">
        <v>46014.25</v>
      </c>
      <c r="M16636" s="46" t="s">
        <v>123</v>
      </c>
      <c r="N16636" s="45">
        <v>46014.625</v>
      </c>
      <c r="O16636" s="46" t="s">
        <v>123</v>
      </c>
      <c r="P16636" s="46">
        <v>32400.0</v>
      </c>
    </row>
    <row r="16637">
      <c r="A16637" s="40">
        <f t="shared" si="1"/>
        <v>46013</v>
      </c>
      <c r="B16637" s="37" t="str">
        <f t="array" ref="B16637">iferror(xlookup($I16637, 'IMPORT VHC Report'!$E:$E, 'IMPORT VHC Report'!$A:$C), )</f>
        <v/>
      </c>
      <c r="C16637" s="44"/>
      <c r="D16637" s="44"/>
      <c r="E16637" s="46" t="s">
        <v>12837</v>
      </c>
      <c r="F16637" s="46" t="s">
        <v>2519</v>
      </c>
      <c r="H16637" s="46" t="s">
        <v>2520</v>
      </c>
      <c r="I16637" s="46" t="s">
        <v>2521</v>
      </c>
      <c r="J16637" s="46" t="s">
        <v>134</v>
      </c>
      <c r="K16637" s="46" t="s">
        <v>126</v>
      </c>
      <c r="L16637" s="45">
        <v>46014.333333333336</v>
      </c>
      <c r="M16637" s="46" t="s">
        <v>123</v>
      </c>
      <c r="N16637" s="45">
        <v>46014.354166666664</v>
      </c>
      <c r="O16637" s="46" t="s">
        <v>123</v>
      </c>
      <c r="P16637" s="46">
        <v>1800.0</v>
      </c>
    </row>
    <row r="16638">
      <c r="A16638" s="40">
        <f t="shared" si="1"/>
        <v>46013</v>
      </c>
      <c r="B16638" s="37" t="str">
        <f t="array" ref="B16638">iferror(xlookup($I16638, 'IMPORT VHC Report'!$E:$E, 'IMPORT VHC Report'!$A:$C), )</f>
        <v/>
      </c>
      <c r="C16638" s="44"/>
      <c r="D16638" s="44"/>
      <c r="E16638" s="46" t="s">
        <v>12838</v>
      </c>
      <c r="F16638" s="46" t="s">
        <v>2519</v>
      </c>
      <c r="H16638" s="46" t="s">
        <v>2520</v>
      </c>
      <c r="I16638" s="46" t="s">
        <v>2521</v>
      </c>
      <c r="J16638" s="46" t="s">
        <v>132</v>
      </c>
      <c r="K16638" s="46" t="s">
        <v>126</v>
      </c>
      <c r="L16638" s="45">
        <v>46014.458333333336</v>
      </c>
      <c r="M16638" s="46" t="s">
        <v>123</v>
      </c>
      <c r="N16638" s="45">
        <v>46014.5</v>
      </c>
      <c r="O16638" s="46" t="s">
        <v>123</v>
      </c>
      <c r="P16638" s="46">
        <v>3600.0</v>
      </c>
    </row>
    <row r="16639">
      <c r="A16639" s="40">
        <f t="shared" si="1"/>
        <v>46013</v>
      </c>
      <c r="B16639" s="37" t="str">
        <f t="array" ref="B16639">iferror(xlookup($I16639, 'IMPORT VHC Report'!$E:$E, 'IMPORT VHC Report'!$A:$C), )</f>
        <v/>
      </c>
      <c r="C16639" s="44"/>
      <c r="D16639" s="44"/>
      <c r="E16639" s="46" t="s">
        <v>12839</v>
      </c>
      <c r="F16639" s="46" t="s">
        <v>2519</v>
      </c>
      <c r="H16639" s="46" t="s">
        <v>2520</v>
      </c>
      <c r="I16639" s="46" t="s">
        <v>2521</v>
      </c>
      <c r="J16639" s="46" t="s">
        <v>125</v>
      </c>
      <c r="K16639" s="46" t="s">
        <v>126</v>
      </c>
      <c r="L16639" s="45">
        <v>46015.25</v>
      </c>
      <c r="M16639" s="46" t="s">
        <v>123</v>
      </c>
      <c r="N16639" s="45">
        <v>46015.256944444445</v>
      </c>
      <c r="O16639" s="46" t="s">
        <v>123</v>
      </c>
      <c r="P16639" s="46">
        <v>600.0</v>
      </c>
      <c r="S16639" s="46" t="s">
        <v>127</v>
      </c>
    </row>
    <row r="16640">
      <c r="A16640" s="40">
        <f t="shared" si="1"/>
        <v>46013</v>
      </c>
      <c r="B16640" s="37" t="str">
        <f t="array" ref="B16640">iferror(xlookup($I16640, 'IMPORT VHC Report'!$E:$E, 'IMPORT VHC Report'!$A:$C), )</f>
        <v/>
      </c>
      <c r="C16640" s="44"/>
      <c r="D16640" s="44"/>
      <c r="E16640" s="46" t="s">
        <v>12840</v>
      </c>
      <c r="F16640" s="46" t="s">
        <v>2519</v>
      </c>
      <c r="H16640" s="46" t="s">
        <v>2520</v>
      </c>
      <c r="I16640" s="46" t="s">
        <v>2521</v>
      </c>
      <c r="J16640" s="46" t="s">
        <v>122</v>
      </c>
      <c r="K16640" s="46" t="s">
        <v>63</v>
      </c>
      <c r="L16640" s="45">
        <v>46015.25</v>
      </c>
      <c r="M16640" s="46" t="s">
        <v>123</v>
      </c>
      <c r="N16640" s="45">
        <v>46015.625</v>
      </c>
      <c r="O16640" s="46" t="s">
        <v>123</v>
      </c>
      <c r="P16640" s="46">
        <v>32400.0</v>
      </c>
    </row>
    <row r="16641">
      <c r="A16641" s="40">
        <f t="shared" si="1"/>
        <v>46013</v>
      </c>
      <c r="B16641" s="37" t="str">
        <f t="array" ref="B16641">iferror(xlookup($I16641, 'IMPORT VHC Report'!$E:$E, 'IMPORT VHC Report'!$A:$C), )</f>
        <v/>
      </c>
      <c r="C16641" s="44"/>
      <c r="D16641" s="44"/>
      <c r="E16641" s="46" t="s">
        <v>12841</v>
      </c>
      <c r="F16641" s="46" t="s">
        <v>2519</v>
      </c>
      <c r="H16641" s="46" t="s">
        <v>2520</v>
      </c>
      <c r="I16641" s="46" t="s">
        <v>2521</v>
      </c>
      <c r="J16641" s="46" t="s">
        <v>134</v>
      </c>
      <c r="K16641" s="46" t="s">
        <v>126</v>
      </c>
      <c r="L16641" s="45">
        <v>46015.333333333336</v>
      </c>
      <c r="M16641" s="46" t="s">
        <v>123</v>
      </c>
      <c r="N16641" s="45">
        <v>46015.354166666664</v>
      </c>
      <c r="O16641" s="46" t="s">
        <v>123</v>
      </c>
      <c r="P16641" s="46">
        <v>1800.0</v>
      </c>
    </row>
    <row r="16642">
      <c r="A16642" s="40">
        <f t="shared" si="1"/>
        <v>46013</v>
      </c>
      <c r="B16642" s="37" t="str">
        <f t="array" ref="B16642">iferror(xlookup($I16642, 'IMPORT VHC Report'!$E:$E, 'IMPORT VHC Report'!$A:$C), )</f>
        <v/>
      </c>
      <c r="C16642" s="44"/>
      <c r="D16642" s="44"/>
      <c r="E16642" s="46" t="s">
        <v>12842</v>
      </c>
      <c r="F16642" s="46" t="s">
        <v>2519</v>
      </c>
      <c r="H16642" s="46" t="s">
        <v>2520</v>
      </c>
      <c r="I16642" s="46" t="s">
        <v>2521</v>
      </c>
      <c r="J16642" s="46" t="s">
        <v>136</v>
      </c>
      <c r="K16642" s="46" t="s">
        <v>126</v>
      </c>
      <c r="L16642" s="45">
        <v>46015.416666666664</v>
      </c>
      <c r="M16642" s="46" t="s">
        <v>123</v>
      </c>
      <c r="N16642" s="45">
        <v>46015.447916666664</v>
      </c>
      <c r="O16642" s="46" t="s">
        <v>123</v>
      </c>
      <c r="P16642" s="46">
        <v>2700.0</v>
      </c>
      <c r="S16642" s="46" t="s">
        <v>137</v>
      </c>
    </row>
    <row r="16643">
      <c r="A16643" s="40">
        <f t="shared" si="1"/>
        <v>46013</v>
      </c>
      <c r="B16643" s="37" t="str">
        <f t="array" ref="B16643">iferror(xlookup($I16643, 'IMPORT VHC Report'!$E:$E, 'IMPORT VHC Report'!$A:$C), )</f>
        <v/>
      </c>
      <c r="C16643" s="44"/>
      <c r="D16643" s="44"/>
      <c r="E16643" s="46" t="s">
        <v>12843</v>
      </c>
      <c r="F16643" s="46" t="s">
        <v>2519</v>
      </c>
      <c r="H16643" s="46" t="s">
        <v>2520</v>
      </c>
      <c r="I16643" s="46" t="s">
        <v>2521</v>
      </c>
      <c r="J16643" s="46" t="s">
        <v>132</v>
      </c>
      <c r="K16643" s="46" t="s">
        <v>126</v>
      </c>
      <c r="L16643" s="45">
        <v>46015.583333333336</v>
      </c>
      <c r="M16643" s="46" t="s">
        <v>123</v>
      </c>
      <c r="N16643" s="45">
        <v>46015.625</v>
      </c>
      <c r="O16643" s="46" t="s">
        <v>123</v>
      </c>
      <c r="P16643" s="46">
        <v>3600.0</v>
      </c>
    </row>
    <row r="16644">
      <c r="A16644" s="40">
        <f t="shared" si="1"/>
        <v>46013</v>
      </c>
      <c r="B16644" s="37" t="str">
        <f t="array" ref="B16644">iferror(xlookup($I16644, 'IMPORT VHC Report'!$E:$E, 'IMPORT VHC Report'!$A:$C), )</f>
        <v/>
      </c>
      <c r="C16644" s="44"/>
      <c r="D16644" s="44"/>
      <c r="E16644" s="46" t="s">
        <v>12844</v>
      </c>
      <c r="F16644" s="46" t="s">
        <v>2519</v>
      </c>
      <c r="H16644" s="46" t="s">
        <v>2520</v>
      </c>
      <c r="I16644" s="46" t="s">
        <v>2521</v>
      </c>
      <c r="J16644" s="46" t="s">
        <v>125</v>
      </c>
      <c r="K16644" s="46" t="s">
        <v>126</v>
      </c>
      <c r="L16644" s="45">
        <v>46016.25</v>
      </c>
      <c r="M16644" s="46" t="s">
        <v>123</v>
      </c>
      <c r="N16644" s="45">
        <v>46016.256944444445</v>
      </c>
      <c r="O16644" s="46" t="s">
        <v>123</v>
      </c>
      <c r="P16644" s="46">
        <v>600.0</v>
      </c>
      <c r="S16644" s="46" t="s">
        <v>127</v>
      </c>
    </row>
    <row r="16645">
      <c r="A16645" s="40">
        <f t="shared" si="1"/>
        <v>46013</v>
      </c>
      <c r="B16645" s="37" t="str">
        <f t="array" ref="B16645">iferror(xlookup($I16645, 'IMPORT VHC Report'!$E:$E, 'IMPORT VHC Report'!$A:$C), )</f>
        <v/>
      </c>
      <c r="C16645" s="44"/>
      <c r="D16645" s="44"/>
      <c r="E16645" s="46" t="s">
        <v>12845</v>
      </c>
      <c r="F16645" s="46" t="s">
        <v>2519</v>
      </c>
      <c r="H16645" s="46" t="s">
        <v>2520</v>
      </c>
      <c r="I16645" s="46" t="s">
        <v>2521</v>
      </c>
      <c r="J16645" s="46" t="s">
        <v>178</v>
      </c>
      <c r="K16645" s="46" t="s">
        <v>153</v>
      </c>
      <c r="L16645" s="45">
        <v>46016.25</v>
      </c>
      <c r="M16645" s="46" t="s">
        <v>123</v>
      </c>
      <c r="N16645" s="45">
        <v>46016.625</v>
      </c>
      <c r="O16645" s="46" t="s">
        <v>123</v>
      </c>
      <c r="P16645" s="46">
        <v>32400.0</v>
      </c>
      <c r="Q16645" s="46">
        <v>57600.0</v>
      </c>
    </row>
    <row r="16646">
      <c r="A16646" s="40">
        <f t="shared" si="1"/>
        <v>46013</v>
      </c>
      <c r="B16646" s="37" t="str">
        <f t="array" ref="B16646">iferror(xlookup($I16646, 'IMPORT VHC Report'!$E:$E, 'IMPORT VHC Report'!$A:$C), )</f>
        <v/>
      </c>
      <c r="C16646" s="44"/>
      <c r="D16646" s="44"/>
      <c r="E16646" s="46" t="s">
        <v>12846</v>
      </c>
      <c r="F16646" s="46" t="s">
        <v>2519</v>
      </c>
      <c r="H16646" s="46" t="s">
        <v>2520</v>
      </c>
      <c r="I16646" s="46" t="s">
        <v>2521</v>
      </c>
      <c r="J16646" s="46" t="s">
        <v>122</v>
      </c>
      <c r="K16646" s="46" t="s">
        <v>63</v>
      </c>
      <c r="L16646" s="45">
        <v>46016.25</v>
      </c>
      <c r="M16646" s="46" t="s">
        <v>123</v>
      </c>
      <c r="N16646" s="45">
        <v>46016.625</v>
      </c>
      <c r="O16646" s="46" t="s">
        <v>123</v>
      </c>
      <c r="P16646" s="46">
        <v>32400.0</v>
      </c>
    </row>
    <row r="16647">
      <c r="A16647" s="40">
        <f t="shared" si="1"/>
        <v>46013</v>
      </c>
      <c r="B16647" s="37" t="str">
        <f t="array" ref="B16647">iferror(xlookup($I16647, 'IMPORT VHC Report'!$E:$E, 'IMPORT VHC Report'!$A:$C), )</f>
        <v/>
      </c>
      <c r="C16647" s="44"/>
      <c r="D16647" s="44"/>
      <c r="E16647" s="46" t="s">
        <v>12847</v>
      </c>
      <c r="F16647" s="46" t="s">
        <v>2519</v>
      </c>
      <c r="H16647" s="46" t="s">
        <v>2520</v>
      </c>
      <c r="I16647" s="46" t="s">
        <v>2521</v>
      </c>
      <c r="J16647" s="46" t="s">
        <v>134</v>
      </c>
      <c r="K16647" s="46" t="s">
        <v>126</v>
      </c>
      <c r="L16647" s="45">
        <v>46016.34375</v>
      </c>
      <c r="M16647" s="46" t="s">
        <v>123</v>
      </c>
      <c r="N16647" s="45">
        <v>46016.364583333336</v>
      </c>
      <c r="O16647" s="46" t="s">
        <v>123</v>
      </c>
      <c r="P16647" s="46">
        <v>1800.0</v>
      </c>
    </row>
    <row r="16648">
      <c r="A16648" s="40">
        <f t="shared" si="1"/>
        <v>46013</v>
      </c>
      <c r="B16648" s="37" t="str">
        <f t="array" ref="B16648">iferror(xlookup($I16648, 'IMPORT VHC Report'!$E:$E, 'IMPORT VHC Report'!$A:$C), )</f>
        <v/>
      </c>
      <c r="C16648" s="44"/>
      <c r="D16648" s="44"/>
      <c r="E16648" s="46" t="s">
        <v>12848</v>
      </c>
      <c r="F16648" s="46" t="s">
        <v>2519</v>
      </c>
      <c r="H16648" s="46" t="s">
        <v>2520</v>
      </c>
      <c r="I16648" s="46" t="s">
        <v>2521</v>
      </c>
      <c r="J16648" s="46" t="s">
        <v>132</v>
      </c>
      <c r="K16648" s="46" t="s">
        <v>126</v>
      </c>
      <c r="L16648" s="45">
        <v>46016.458333333336</v>
      </c>
      <c r="M16648" s="46" t="s">
        <v>123</v>
      </c>
      <c r="N16648" s="45">
        <v>46016.5</v>
      </c>
      <c r="O16648" s="46" t="s">
        <v>123</v>
      </c>
      <c r="P16648" s="46">
        <v>3600.0</v>
      </c>
    </row>
    <row r="16649">
      <c r="A16649" s="40">
        <f t="shared" si="1"/>
        <v>46013</v>
      </c>
      <c r="B16649" s="37" t="str">
        <f t="array" ref="B16649">iferror(xlookup($I16649, 'IMPORT VHC Report'!$E:$E, 'IMPORT VHC Report'!$A:$C), )</f>
        <v/>
      </c>
      <c r="C16649" s="44"/>
      <c r="D16649" s="44"/>
      <c r="E16649" s="46" t="s">
        <v>12849</v>
      </c>
      <c r="F16649" s="46" t="s">
        <v>2519</v>
      </c>
      <c r="H16649" s="46" t="s">
        <v>2520</v>
      </c>
      <c r="I16649" s="46" t="s">
        <v>2521</v>
      </c>
      <c r="J16649" s="46" t="s">
        <v>125</v>
      </c>
      <c r="K16649" s="46" t="s">
        <v>126</v>
      </c>
      <c r="L16649" s="45">
        <v>46017.25</v>
      </c>
      <c r="M16649" s="46" t="s">
        <v>123</v>
      </c>
      <c r="N16649" s="45">
        <v>46017.256944444445</v>
      </c>
      <c r="O16649" s="46" t="s">
        <v>123</v>
      </c>
      <c r="P16649" s="46">
        <v>600.0</v>
      </c>
      <c r="S16649" s="46" t="s">
        <v>127</v>
      </c>
    </row>
    <row r="16650">
      <c r="A16650" s="40">
        <f t="shared" si="1"/>
        <v>46013</v>
      </c>
      <c r="B16650" s="37" t="str">
        <f t="array" ref="B16650">iferror(xlookup($I16650, 'IMPORT VHC Report'!$E:$E, 'IMPORT VHC Report'!$A:$C), )</f>
        <v/>
      </c>
      <c r="C16650" s="44"/>
      <c r="D16650" s="44"/>
      <c r="E16650" s="46" t="s">
        <v>12850</v>
      </c>
      <c r="F16650" s="46" t="s">
        <v>2519</v>
      </c>
      <c r="H16650" s="46" t="s">
        <v>2520</v>
      </c>
      <c r="I16650" s="46" t="s">
        <v>2521</v>
      </c>
      <c r="J16650" s="46" t="s">
        <v>178</v>
      </c>
      <c r="K16650" s="46" t="s">
        <v>153</v>
      </c>
      <c r="L16650" s="45">
        <v>46017.25</v>
      </c>
      <c r="M16650" s="46" t="s">
        <v>123</v>
      </c>
      <c r="N16650" s="45">
        <v>46017.625</v>
      </c>
      <c r="O16650" s="46" t="s">
        <v>123</v>
      </c>
      <c r="P16650" s="46">
        <v>32400.0</v>
      </c>
      <c r="Q16650" s="46">
        <v>32400.0</v>
      </c>
    </row>
    <row r="16651">
      <c r="A16651" s="40">
        <f t="shared" si="1"/>
        <v>46013</v>
      </c>
      <c r="B16651" s="37" t="str">
        <f t="array" ref="B16651">iferror(xlookup($I16651, 'IMPORT VHC Report'!$E:$E, 'IMPORT VHC Report'!$A:$C), )</f>
        <v/>
      </c>
      <c r="C16651" s="44"/>
      <c r="D16651" s="44"/>
      <c r="E16651" s="46" t="s">
        <v>12851</v>
      </c>
      <c r="F16651" s="46" t="s">
        <v>2519</v>
      </c>
      <c r="H16651" s="46" t="s">
        <v>2520</v>
      </c>
      <c r="I16651" s="46" t="s">
        <v>2521</v>
      </c>
      <c r="J16651" s="46" t="s">
        <v>122</v>
      </c>
      <c r="K16651" s="46" t="s">
        <v>63</v>
      </c>
      <c r="L16651" s="45">
        <v>46017.25</v>
      </c>
      <c r="M16651" s="46" t="s">
        <v>123</v>
      </c>
      <c r="N16651" s="45">
        <v>46017.625</v>
      </c>
      <c r="O16651" s="46" t="s">
        <v>123</v>
      </c>
      <c r="P16651" s="46">
        <v>32400.0</v>
      </c>
    </row>
    <row r="16652">
      <c r="A16652" s="40">
        <f t="shared" si="1"/>
        <v>46013</v>
      </c>
      <c r="B16652" s="37" t="str">
        <f t="array" ref="B16652">iferror(xlookup($I16652, 'IMPORT VHC Report'!$E:$E, 'IMPORT VHC Report'!$A:$C), )</f>
        <v/>
      </c>
      <c r="C16652" s="44"/>
      <c r="D16652" s="44"/>
      <c r="E16652" s="46" t="s">
        <v>12852</v>
      </c>
      <c r="F16652" s="46" t="s">
        <v>2519</v>
      </c>
      <c r="H16652" s="46" t="s">
        <v>2520</v>
      </c>
      <c r="I16652" s="46" t="s">
        <v>2521</v>
      </c>
      <c r="J16652" s="46" t="s">
        <v>132</v>
      </c>
      <c r="K16652" s="46" t="s">
        <v>126</v>
      </c>
      <c r="L16652" s="45">
        <v>46017.375</v>
      </c>
      <c r="M16652" s="46" t="s">
        <v>123</v>
      </c>
      <c r="N16652" s="45">
        <v>46017.416666666664</v>
      </c>
      <c r="O16652" s="46" t="s">
        <v>123</v>
      </c>
      <c r="P16652" s="46">
        <v>3600.0</v>
      </c>
    </row>
    <row r="16653">
      <c r="A16653" s="40">
        <f t="shared" si="1"/>
        <v>46013</v>
      </c>
      <c r="B16653" s="37" t="str">
        <f t="array" ref="B16653">iferror(xlookup($I16653, 'IMPORT VHC Report'!$E:$E, 'IMPORT VHC Report'!$A:$C), )</f>
        <v/>
      </c>
      <c r="C16653" s="44"/>
      <c r="D16653" s="44"/>
      <c r="E16653" s="46" t="s">
        <v>12853</v>
      </c>
      <c r="F16653" s="46" t="s">
        <v>2519</v>
      </c>
      <c r="H16653" s="46" t="s">
        <v>2520</v>
      </c>
      <c r="I16653" s="46" t="s">
        <v>2521</v>
      </c>
      <c r="J16653" s="46" t="s">
        <v>134</v>
      </c>
      <c r="K16653" s="46" t="s">
        <v>126</v>
      </c>
      <c r="L16653" s="45">
        <v>46017.510416666664</v>
      </c>
      <c r="M16653" s="46" t="s">
        <v>123</v>
      </c>
      <c r="N16653" s="45">
        <v>46017.53125</v>
      </c>
      <c r="O16653" s="46" t="s">
        <v>123</v>
      </c>
      <c r="P16653" s="46">
        <v>1800.0</v>
      </c>
    </row>
    <row r="16654">
      <c r="A16654" s="40">
        <f t="shared" si="1"/>
        <v>46013</v>
      </c>
      <c r="B16654" s="37" t="str">
        <f t="array" ref="B16654">iferror(xlookup($I16654, 'IMPORT VHC Report'!$E:$E, 'IMPORT VHC Report'!$A:$C), )</f>
        <v/>
      </c>
      <c r="C16654" s="44"/>
      <c r="D16654" s="44"/>
      <c r="E16654" s="46" t="s">
        <v>12854</v>
      </c>
      <c r="F16654" s="46" t="s">
        <v>2630</v>
      </c>
      <c r="H16654" s="46" t="s">
        <v>2631</v>
      </c>
      <c r="I16654" s="46" t="s">
        <v>2632</v>
      </c>
      <c r="J16654" s="46" t="s">
        <v>125</v>
      </c>
      <c r="K16654" s="46" t="s">
        <v>126</v>
      </c>
      <c r="L16654" s="45">
        <v>46013.25</v>
      </c>
      <c r="M16654" s="46" t="s">
        <v>123</v>
      </c>
      <c r="N16654" s="45">
        <v>46013.256944444445</v>
      </c>
      <c r="O16654" s="46" t="s">
        <v>123</v>
      </c>
      <c r="P16654" s="46">
        <v>600.0</v>
      </c>
      <c r="S16654" s="46" t="s">
        <v>127</v>
      </c>
    </row>
    <row r="16655">
      <c r="A16655" s="40">
        <f t="shared" si="1"/>
        <v>46013</v>
      </c>
      <c r="B16655" s="37" t="str">
        <f t="array" ref="B16655">iferror(xlookup($I16655, 'IMPORT VHC Report'!$E:$E, 'IMPORT VHC Report'!$A:$C), )</f>
        <v/>
      </c>
      <c r="C16655" s="44"/>
      <c r="D16655" s="44"/>
      <c r="E16655" s="46" t="s">
        <v>12855</v>
      </c>
      <c r="F16655" s="46" t="s">
        <v>2630</v>
      </c>
      <c r="H16655" s="46" t="s">
        <v>2631</v>
      </c>
      <c r="I16655" s="46" t="s">
        <v>2632</v>
      </c>
      <c r="J16655" s="46" t="s">
        <v>122</v>
      </c>
      <c r="K16655" s="46" t="s">
        <v>63</v>
      </c>
      <c r="L16655" s="45">
        <v>46013.25</v>
      </c>
      <c r="M16655" s="46" t="s">
        <v>123</v>
      </c>
      <c r="N16655" s="45">
        <v>46013.625</v>
      </c>
      <c r="O16655" s="46" t="s">
        <v>123</v>
      </c>
      <c r="P16655" s="46">
        <v>32400.0</v>
      </c>
    </row>
    <row r="16656">
      <c r="A16656" s="40">
        <f t="shared" si="1"/>
        <v>46013</v>
      </c>
      <c r="B16656" s="37" t="str">
        <f t="array" ref="B16656">iferror(xlookup($I16656, 'IMPORT VHC Report'!$E:$E, 'IMPORT VHC Report'!$A:$C), )</f>
        <v/>
      </c>
      <c r="C16656" s="44"/>
      <c r="D16656" s="44"/>
      <c r="E16656" s="46" t="s">
        <v>12856</v>
      </c>
      <c r="F16656" s="46" t="s">
        <v>2630</v>
      </c>
      <c r="H16656" s="46" t="s">
        <v>2631</v>
      </c>
      <c r="I16656" s="46" t="s">
        <v>2632</v>
      </c>
      <c r="J16656" s="46" t="s">
        <v>134</v>
      </c>
      <c r="K16656" s="46" t="s">
        <v>126</v>
      </c>
      <c r="L16656" s="45">
        <v>46013.333333333336</v>
      </c>
      <c r="M16656" s="46" t="s">
        <v>123</v>
      </c>
      <c r="N16656" s="45">
        <v>46013.354166666664</v>
      </c>
      <c r="O16656" s="46" t="s">
        <v>123</v>
      </c>
      <c r="P16656" s="46">
        <v>1800.0</v>
      </c>
    </row>
    <row r="16657">
      <c r="A16657" s="40">
        <f t="shared" si="1"/>
        <v>46013</v>
      </c>
      <c r="B16657" s="37" t="str">
        <f t="array" ref="B16657">iferror(xlookup($I16657, 'IMPORT VHC Report'!$E:$E, 'IMPORT VHC Report'!$A:$C), )</f>
        <v/>
      </c>
      <c r="C16657" s="44"/>
      <c r="D16657" s="44"/>
      <c r="E16657" s="46" t="s">
        <v>12857</v>
      </c>
      <c r="F16657" s="46" t="s">
        <v>2630</v>
      </c>
      <c r="H16657" s="46" t="s">
        <v>2631</v>
      </c>
      <c r="I16657" s="46" t="s">
        <v>2632</v>
      </c>
      <c r="J16657" s="46" t="s">
        <v>132</v>
      </c>
      <c r="K16657" s="46" t="s">
        <v>126</v>
      </c>
      <c r="L16657" s="45">
        <v>46013.458333333336</v>
      </c>
      <c r="M16657" s="46" t="s">
        <v>123</v>
      </c>
      <c r="N16657" s="45">
        <v>46013.5</v>
      </c>
      <c r="O16657" s="46" t="s">
        <v>123</v>
      </c>
      <c r="P16657" s="46">
        <v>3600.0</v>
      </c>
    </row>
    <row r="16658">
      <c r="A16658" s="40">
        <f t="shared" si="1"/>
        <v>46013</v>
      </c>
      <c r="B16658" s="37" t="str">
        <f t="array" ref="B16658">iferror(xlookup($I16658, 'IMPORT VHC Report'!$E:$E, 'IMPORT VHC Report'!$A:$C), )</f>
        <v/>
      </c>
      <c r="C16658" s="44"/>
      <c r="D16658" s="44"/>
      <c r="E16658" s="46" t="s">
        <v>12858</v>
      </c>
      <c r="F16658" s="46" t="s">
        <v>2630</v>
      </c>
      <c r="H16658" s="46" t="s">
        <v>2631</v>
      </c>
      <c r="I16658" s="46" t="s">
        <v>2632</v>
      </c>
      <c r="J16658" s="46" t="s">
        <v>125</v>
      </c>
      <c r="K16658" s="46" t="s">
        <v>126</v>
      </c>
      <c r="L16658" s="45">
        <v>46014.25</v>
      </c>
      <c r="M16658" s="46" t="s">
        <v>123</v>
      </c>
      <c r="N16658" s="45">
        <v>46014.256944444445</v>
      </c>
      <c r="O16658" s="46" t="s">
        <v>123</v>
      </c>
      <c r="P16658" s="46">
        <v>600.0</v>
      </c>
      <c r="S16658" s="46" t="s">
        <v>127</v>
      </c>
    </row>
    <row r="16659">
      <c r="A16659" s="40">
        <f t="shared" si="1"/>
        <v>46013</v>
      </c>
      <c r="B16659" s="37" t="str">
        <f t="array" ref="B16659">iferror(xlookup($I16659, 'IMPORT VHC Report'!$E:$E, 'IMPORT VHC Report'!$A:$C), )</f>
        <v/>
      </c>
      <c r="C16659" s="44"/>
      <c r="D16659" s="44"/>
      <c r="E16659" s="46" t="s">
        <v>12859</v>
      </c>
      <c r="F16659" s="46" t="s">
        <v>2630</v>
      </c>
      <c r="H16659" s="46" t="s">
        <v>2631</v>
      </c>
      <c r="I16659" s="46" t="s">
        <v>2632</v>
      </c>
      <c r="J16659" s="46" t="s">
        <v>122</v>
      </c>
      <c r="K16659" s="46" t="s">
        <v>63</v>
      </c>
      <c r="L16659" s="45">
        <v>46014.25</v>
      </c>
      <c r="M16659" s="46" t="s">
        <v>123</v>
      </c>
      <c r="N16659" s="45">
        <v>46014.625</v>
      </c>
      <c r="O16659" s="46" t="s">
        <v>123</v>
      </c>
      <c r="P16659" s="46">
        <v>32400.0</v>
      </c>
    </row>
    <row r="16660">
      <c r="A16660" s="40">
        <f t="shared" si="1"/>
        <v>46013</v>
      </c>
      <c r="B16660" s="37" t="str">
        <f t="array" ref="B16660">iferror(xlookup($I16660, 'IMPORT VHC Report'!$E:$E, 'IMPORT VHC Report'!$A:$C), )</f>
        <v/>
      </c>
      <c r="C16660" s="44"/>
      <c r="D16660" s="44"/>
      <c r="E16660" s="46" t="s">
        <v>12860</v>
      </c>
      <c r="F16660" s="46" t="s">
        <v>2630</v>
      </c>
      <c r="H16660" s="46" t="s">
        <v>2631</v>
      </c>
      <c r="I16660" s="46" t="s">
        <v>2632</v>
      </c>
      <c r="J16660" s="46" t="s">
        <v>132</v>
      </c>
      <c r="K16660" s="46" t="s">
        <v>126</v>
      </c>
      <c r="L16660" s="45">
        <v>46014.375</v>
      </c>
      <c r="M16660" s="46" t="s">
        <v>123</v>
      </c>
      <c r="N16660" s="45">
        <v>46014.416666666664</v>
      </c>
      <c r="O16660" s="46" t="s">
        <v>123</v>
      </c>
      <c r="P16660" s="46">
        <v>3600.0</v>
      </c>
    </row>
    <row r="16661">
      <c r="A16661" s="40">
        <f t="shared" si="1"/>
        <v>46013</v>
      </c>
      <c r="B16661" s="37" t="str">
        <f t="array" ref="B16661">iferror(xlookup($I16661, 'IMPORT VHC Report'!$E:$E, 'IMPORT VHC Report'!$A:$C), )</f>
        <v/>
      </c>
      <c r="C16661" s="44"/>
      <c r="D16661" s="44"/>
      <c r="E16661" s="46" t="s">
        <v>12861</v>
      </c>
      <c r="F16661" s="46" t="s">
        <v>2630</v>
      </c>
      <c r="H16661" s="46" t="s">
        <v>2631</v>
      </c>
      <c r="I16661" s="46" t="s">
        <v>2632</v>
      </c>
      <c r="J16661" s="46" t="s">
        <v>134</v>
      </c>
      <c r="K16661" s="46" t="s">
        <v>126</v>
      </c>
      <c r="L16661" s="45">
        <v>46014.510416666664</v>
      </c>
      <c r="M16661" s="46" t="s">
        <v>123</v>
      </c>
      <c r="N16661" s="45">
        <v>46014.53125</v>
      </c>
      <c r="O16661" s="46" t="s">
        <v>123</v>
      </c>
      <c r="P16661" s="46">
        <v>1800.0</v>
      </c>
    </row>
    <row r="16662">
      <c r="A16662" s="40">
        <f t="shared" si="1"/>
        <v>46013</v>
      </c>
      <c r="B16662" s="37" t="str">
        <f t="array" ref="B16662">iferror(xlookup($I16662, 'IMPORT VHC Report'!$E:$E, 'IMPORT VHC Report'!$A:$C), )</f>
        <v/>
      </c>
      <c r="C16662" s="44"/>
      <c r="D16662" s="44"/>
      <c r="E16662" s="46" t="s">
        <v>12862</v>
      </c>
      <c r="F16662" s="46" t="s">
        <v>2630</v>
      </c>
      <c r="H16662" s="46" t="s">
        <v>2631</v>
      </c>
      <c r="I16662" s="46" t="s">
        <v>2632</v>
      </c>
      <c r="J16662" s="46" t="s">
        <v>125</v>
      </c>
      <c r="K16662" s="46" t="s">
        <v>126</v>
      </c>
      <c r="L16662" s="45">
        <v>46017.25</v>
      </c>
      <c r="M16662" s="46" t="s">
        <v>123</v>
      </c>
      <c r="N16662" s="45">
        <v>46017.256944444445</v>
      </c>
      <c r="O16662" s="46" t="s">
        <v>123</v>
      </c>
      <c r="P16662" s="46">
        <v>600.0</v>
      </c>
      <c r="S16662" s="46" t="s">
        <v>127</v>
      </c>
    </row>
    <row r="16663">
      <c r="A16663" s="40">
        <f t="shared" si="1"/>
        <v>46013</v>
      </c>
      <c r="B16663" s="37" t="str">
        <f t="array" ref="B16663">iferror(xlookup($I16663, 'IMPORT VHC Report'!$E:$E, 'IMPORT VHC Report'!$A:$C), )</f>
        <v/>
      </c>
      <c r="C16663" s="44"/>
      <c r="D16663" s="44"/>
      <c r="E16663" s="46" t="s">
        <v>12863</v>
      </c>
      <c r="F16663" s="46" t="s">
        <v>2630</v>
      </c>
      <c r="H16663" s="46" t="s">
        <v>2631</v>
      </c>
      <c r="I16663" s="46" t="s">
        <v>2632</v>
      </c>
      <c r="J16663" s="46" t="s">
        <v>122</v>
      </c>
      <c r="K16663" s="46" t="s">
        <v>63</v>
      </c>
      <c r="L16663" s="45">
        <v>46017.25</v>
      </c>
      <c r="M16663" s="46" t="s">
        <v>123</v>
      </c>
      <c r="N16663" s="45">
        <v>46017.625</v>
      </c>
      <c r="O16663" s="46" t="s">
        <v>123</v>
      </c>
      <c r="P16663" s="46">
        <v>32400.0</v>
      </c>
    </row>
    <row r="16664">
      <c r="A16664" s="40">
        <f t="shared" si="1"/>
        <v>46013</v>
      </c>
      <c r="B16664" s="37" t="str">
        <f t="array" ref="B16664">iferror(xlookup($I16664, 'IMPORT VHC Report'!$E:$E, 'IMPORT VHC Report'!$A:$C), )</f>
        <v/>
      </c>
      <c r="C16664" s="44"/>
      <c r="D16664" s="44"/>
      <c r="E16664" s="46" t="s">
        <v>12864</v>
      </c>
      <c r="F16664" s="46" t="s">
        <v>2630</v>
      </c>
      <c r="H16664" s="46" t="s">
        <v>2631</v>
      </c>
      <c r="I16664" s="46" t="s">
        <v>2632</v>
      </c>
      <c r="J16664" s="46" t="s">
        <v>178</v>
      </c>
      <c r="K16664" s="46" t="s">
        <v>153</v>
      </c>
      <c r="L16664" s="45">
        <v>46017.25</v>
      </c>
      <c r="M16664" s="46" t="s">
        <v>123</v>
      </c>
      <c r="N16664" s="45">
        <v>46017.625</v>
      </c>
      <c r="O16664" s="46" t="s">
        <v>123</v>
      </c>
      <c r="P16664" s="46">
        <v>32400.0</v>
      </c>
      <c r="Q16664" s="46">
        <v>28800.0</v>
      </c>
      <c r="R16664" s="46" t="s">
        <v>12865</v>
      </c>
    </row>
    <row r="16665">
      <c r="A16665" s="40">
        <f t="shared" si="1"/>
        <v>46013</v>
      </c>
      <c r="B16665" s="37" t="str">
        <f t="array" ref="B16665">iferror(xlookup($I16665, 'IMPORT VHC Report'!$E:$E, 'IMPORT VHC Report'!$A:$C), )</f>
        <v/>
      </c>
      <c r="C16665" s="44"/>
      <c r="D16665" s="44"/>
      <c r="E16665" s="46" t="s">
        <v>12866</v>
      </c>
      <c r="F16665" s="46" t="s">
        <v>2630</v>
      </c>
      <c r="H16665" s="46" t="s">
        <v>2631</v>
      </c>
      <c r="I16665" s="46" t="s">
        <v>2632</v>
      </c>
      <c r="J16665" s="46" t="s">
        <v>134</v>
      </c>
      <c r="K16665" s="46" t="s">
        <v>126</v>
      </c>
      <c r="L16665" s="45">
        <v>46017.333333333336</v>
      </c>
      <c r="M16665" s="46" t="s">
        <v>123</v>
      </c>
      <c r="N16665" s="45">
        <v>46017.354166666664</v>
      </c>
      <c r="O16665" s="46" t="s">
        <v>123</v>
      </c>
      <c r="P16665" s="46">
        <v>1800.0</v>
      </c>
    </row>
    <row r="16666">
      <c r="A16666" s="40">
        <f t="shared" si="1"/>
        <v>46013</v>
      </c>
      <c r="B16666" s="37" t="str">
        <f t="array" ref="B16666">iferror(xlookup($I16666, 'IMPORT VHC Report'!$E:$E, 'IMPORT VHC Report'!$A:$C), )</f>
        <v/>
      </c>
      <c r="C16666" s="44"/>
      <c r="D16666" s="44"/>
      <c r="E16666" s="46" t="s">
        <v>12867</v>
      </c>
      <c r="F16666" s="46" t="s">
        <v>2630</v>
      </c>
      <c r="H16666" s="46" t="s">
        <v>2631</v>
      </c>
      <c r="I16666" s="46" t="s">
        <v>2632</v>
      </c>
      <c r="J16666" s="46" t="s">
        <v>132</v>
      </c>
      <c r="K16666" s="46" t="s">
        <v>126</v>
      </c>
      <c r="L16666" s="45">
        <v>46017.458333333336</v>
      </c>
      <c r="M16666" s="46" t="s">
        <v>123</v>
      </c>
      <c r="N16666" s="45">
        <v>46017.5</v>
      </c>
      <c r="O16666" s="46" t="s">
        <v>123</v>
      </c>
      <c r="P16666" s="46">
        <v>3600.0</v>
      </c>
    </row>
    <row r="16667">
      <c r="A16667" s="40">
        <f t="shared" si="1"/>
        <v>46013</v>
      </c>
      <c r="B16667" s="37" t="str">
        <f t="array" ref="B16667">iferror(xlookup($I16667, 'IMPORT VHC Report'!$E:$E, 'IMPORT VHC Report'!$A:$C), )</f>
        <v/>
      </c>
      <c r="C16667" s="44"/>
      <c r="D16667" s="44"/>
      <c r="E16667" s="46" t="s">
        <v>12868</v>
      </c>
      <c r="F16667" s="46" t="s">
        <v>2630</v>
      </c>
      <c r="H16667" s="46" t="s">
        <v>2631</v>
      </c>
      <c r="I16667" s="46" t="s">
        <v>2632</v>
      </c>
      <c r="J16667" s="46" t="s">
        <v>125</v>
      </c>
      <c r="K16667" s="46" t="s">
        <v>126</v>
      </c>
      <c r="L16667" s="45">
        <v>46018.25</v>
      </c>
      <c r="M16667" s="46" t="s">
        <v>123</v>
      </c>
      <c r="N16667" s="45">
        <v>46018.256944444445</v>
      </c>
      <c r="O16667" s="46" t="s">
        <v>123</v>
      </c>
      <c r="P16667" s="46">
        <v>600.0</v>
      </c>
      <c r="S16667" s="46" t="s">
        <v>127</v>
      </c>
    </row>
    <row r="16668">
      <c r="A16668" s="40">
        <f t="shared" si="1"/>
        <v>46013</v>
      </c>
      <c r="B16668" s="37" t="str">
        <f t="array" ref="B16668">iferror(xlookup($I16668, 'IMPORT VHC Report'!$E:$E, 'IMPORT VHC Report'!$A:$C), )</f>
        <v/>
      </c>
      <c r="C16668" s="44"/>
      <c r="D16668" s="44"/>
      <c r="E16668" s="46" t="s">
        <v>12869</v>
      </c>
      <c r="F16668" s="46" t="s">
        <v>2630</v>
      </c>
      <c r="H16668" s="46" t="s">
        <v>2631</v>
      </c>
      <c r="I16668" s="46" t="s">
        <v>2632</v>
      </c>
      <c r="J16668" s="46" t="s">
        <v>122</v>
      </c>
      <c r="K16668" s="46" t="s">
        <v>63</v>
      </c>
      <c r="L16668" s="45">
        <v>46018.25</v>
      </c>
      <c r="M16668" s="46" t="s">
        <v>123</v>
      </c>
      <c r="N16668" s="45">
        <v>46018.625</v>
      </c>
      <c r="O16668" s="46" t="s">
        <v>123</v>
      </c>
      <c r="P16668" s="46">
        <v>32400.0</v>
      </c>
    </row>
    <row r="16669">
      <c r="A16669" s="40">
        <f t="shared" si="1"/>
        <v>46013</v>
      </c>
      <c r="B16669" s="37" t="str">
        <f t="array" ref="B16669">iferror(xlookup($I16669, 'IMPORT VHC Report'!$E:$E, 'IMPORT VHC Report'!$A:$C), )</f>
        <v/>
      </c>
      <c r="C16669" s="44"/>
      <c r="D16669" s="44"/>
      <c r="E16669" s="46" t="s">
        <v>12870</v>
      </c>
      <c r="F16669" s="46" t="s">
        <v>2630</v>
      </c>
      <c r="H16669" s="46" t="s">
        <v>2631</v>
      </c>
      <c r="I16669" s="46" t="s">
        <v>2632</v>
      </c>
      <c r="J16669" s="46" t="s">
        <v>132</v>
      </c>
      <c r="K16669" s="46" t="s">
        <v>126</v>
      </c>
      <c r="L16669" s="45">
        <v>46018.333333333336</v>
      </c>
      <c r="M16669" s="46" t="s">
        <v>123</v>
      </c>
      <c r="N16669" s="45">
        <v>46018.375</v>
      </c>
      <c r="O16669" s="46" t="s">
        <v>123</v>
      </c>
      <c r="P16669" s="46">
        <v>3600.0</v>
      </c>
    </row>
    <row r="16670">
      <c r="A16670" s="40">
        <f t="shared" si="1"/>
        <v>46013</v>
      </c>
      <c r="B16670" s="37" t="str">
        <f t="array" ref="B16670">iferror(xlookup($I16670, 'IMPORT VHC Report'!$E:$E, 'IMPORT VHC Report'!$A:$C), )</f>
        <v/>
      </c>
      <c r="C16670" s="44"/>
      <c r="D16670" s="44"/>
      <c r="E16670" s="46" t="s">
        <v>12871</v>
      </c>
      <c r="F16670" s="46" t="s">
        <v>2630</v>
      </c>
      <c r="H16670" s="46" t="s">
        <v>2631</v>
      </c>
      <c r="I16670" s="46" t="s">
        <v>2632</v>
      </c>
      <c r="J16670" s="46" t="s">
        <v>134</v>
      </c>
      <c r="K16670" s="46" t="s">
        <v>126</v>
      </c>
      <c r="L16670" s="45">
        <v>46018.447916666664</v>
      </c>
      <c r="M16670" s="46" t="s">
        <v>123</v>
      </c>
      <c r="N16670" s="45">
        <v>46018.46875</v>
      </c>
      <c r="O16670" s="46" t="s">
        <v>123</v>
      </c>
      <c r="P16670" s="46">
        <v>1800.0</v>
      </c>
    </row>
    <row r="16671">
      <c r="A16671" s="40">
        <f t="shared" si="1"/>
        <v>46013</v>
      </c>
      <c r="B16671" s="37" t="str">
        <f t="array" ref="B16671">iferror(xlookup($I16671, 'IMPORT VHC Report'!$E:$E, 'IMPORT VHC Report'!$A:$C), )</f>
        <v/>
      </c>
      <c r="C16671" s="44"/>
      <c r="D16671" s="44"/>
      <c r="E16671" s="46" t="s">
        <v>12872</v>
      </c>
      <c r="F16671" s="46" t="s">
        <v>2630</v>
      </c>
      <c r="H16671" s="46" t="s">
        <v>2631</v>
      </c>
      <c r="I16671" s="46" t="s">
        <v>2632</v>
      </c>
      <c r="J16671" s="46" t="s">
        <v>125</v>
      </c>
      <c r="K16671" s="46" t="s">
        <v>126</v>
      </c>
      <c r="L16671" s="45">
        <v>46019.25</v>
      </c>
      <c r="M16671" s="46" t="s">
        <v>123</v>
      </c>
      <c r="N16671" s="45">
        <v>46019.256944444445</v>
      </c>
      <c r="O16671" s="46" t="s">
        <v>123</v>
      </c>
      <c r="P16671" s="46">
        <v>600.0</v>
      </c>
      <c r="S16671" s="46" t="s">
        <v>127</v>
      </c>
    </row>
    <row r="16672">
      <c r="A16672" s="40">
        <f t="shared" si="1"/>
        <v>46013</v>
      </c>
      <c r="B16672" s="37" t="str">
        <f t="array" ref="B16672">iferror(xlookup($I16672, 'IMPORT VHC Report'!$E:$E, 'IMPORT VHC Report'!$A:$C), )</f>
        <v/>
      </c>
      <c r="C16672" s="44"/>
      <c r="D16672" s="44"/>
      <c r="E16672" s="46" t="s">
        <v>12873</v>
      </c>
      <c r="F16672" s="46" t="s">
        <v>2630</v>
      </c>
      <c r="H16672" s="46" t="s">
        <v>2631</v>
      </c>
      <c r="I16672" s="46" t="s">
        <v>2632</v>
      </c>
      <c r="J16672" s="46" t="s">
        <v>122</v>
      </c>
      <c r="K16672" s="46" t="s">
        <v>63</v>
      </c>
      <c r="L16672" s="45">
        <v>46019.25</v>
      </c>
      <c r="M16672" s="46" t="s">
        <v>123</v>
      </c>
      <c r="N16672" s="45">
        <v>46019.625</v>
      </c>
      <c r="O16672" s="46" t="s">
        <v>123</v>
      </c>
      <c r="P16672" s="46">
        <v>32400.0</v>
      </c>
    </row>
    <row r="16673">
      <c r="A16673" s="40">
        <f t="shared" si="1"/>
        <v>46013</v>
      </c>
      <c r="B16673" s="37" t="str">
        <f t="array" ref="B16673">iferror(xlookup($I16673, 'IMPORT VHC Report'!$E:$E, 'IMPORT VHC Report'!$A:$C), )</f>
        <v/>
      </c>
      <c r="C16673" s="44"/>
      <c r="D16673" s="44"/>
      <c r="E16673" s="46" t="s">
        <v>12874</v>
      </c>
      <c r="F16673" s="46" t="s">
        <v>2630</v>
      </c>
      <c r="H16673" s="46" t="s">
        <v>2631</v>
      </c>
      <c r="I16673" s="46" t="s">
        <v>2632</v>
      </c>
      <c r="J16673" s="46" t="s">
        <v>134</v>
      </c>
      <c r="K16673" s="46" t="s">
        <v>126</v>
      </c>
      <c r="L16673" s="45">
        <v>46019.354166666664</v>
      </c>
      <c r="M16673" s="46" t="s">
        <v>123</v>
      </c>
      <c r="N16673" s="45">
        <v>46019.375</v>
      </c>
      <c r="O16673" s="46" t="s">
        <v>123</v>
      </c>
      <c r="P16673" s="46">
        <v>1800.0</v>
      </c>
    </row>
    <row r="16674">
      <c r="A16674" s="40">
        <f t="shared" si="1"/>
        <v>46013</v>
      </c>
      <c r="B16674" s="37" t="str">
        <f t="array" ref="B16674">iferror(xlookup($I16674, 'IMPORT VHC Report'!$E:$E, 'IMPORT VHC Report'!$A:$C), )</f>
        <v/>
      </c>
      <c r="C16674" s="44"/>
      <c r="D16674" s="44"/>
      <c r="E16674" s="46" t="s">
        <v>12875</v>
      </c>
      <c r="F16674" s="46" t="s">
        <v>2630</v>
      </c>
      <c r="H16674" s="46" t="s">
        <v>2631</v>
      </c>
      <c r="I16674" s="46" t="s">
        <v>2632</v>
      </c>
      <c r="J16674" s="46" t="s">
        <v>132</v>
      </c>
      <c r="K16674" s="46" t="s">
        <v>126</v>
      </c>
      <c r="L16674" s="45">
        <v>46019.479166666664</v>
      </c>
      <c r="M16674" s="46" t="s">
        <v>123</v>
      </c>
      <c r="N16674" s="45">
        <v>46019.520833333336</v>
      </c>
      <c r="O16674" s="46" t="s">
        <v>123</v>
      </c>
      <c r="P16674" s="46">
        <v>3600.0</v>
      </c>
    </row>
    <row r="16675">
      <c r="A16675" s="40">
        <f t="shared" si="1"/>
        <v>46013</v>
      </c>
      <c r="B16675" s="37" t="str">
        <f t="array" ref="B16675">iferror(xlookup($I16675, 'IMPORT VHC Report'!$E:$E, 'IMPORT VHC Report'!$A:$C), )</f>
        <v/>
      </c>
      <c r="C16675" s="44"/>
      <c r="D16675" s="44"/>
      <c r="E16675" s="46" t="s">
        <v>12876</v>
      </c>
      <c r="F16675" s="46" t="s">
        <v>3097</v>
      </c>
      <c r="H16675" s="46" t="s">
        <v>3098</v>
      </c>
      <c r="I16675" s="46" t="s">
        <v>3099</v>
      </c>
      <c r="J16675" s="46" t="s">
        <v>125</v>
      </c>
      <c r="K16675" s="46" t="s">
        <v>126</v>
      </c>
      <c r="L16675" s="45">
        <v>46013.291666666664</v>
      </c>
      <c r="M16675" s="46" t="s">
        <v>123</v>
      </c>
      <c r="N16675" s="45">
        <v>46013.29861111111</v>
      </c>
      <c r="O16675" s="46" t="s">
        <v>123</v>
      </c>
      <c r="P16675" s="46">
        <v>600.0</v>
      </c>
      <c r="S16675" s="46" t="s">
        <v>127</v>
      </c>
    </row>
    <row r="16676">
      <c r="A16676" s="40">
        <f t="shared" si="1"/>
        <v>46013</v>
      </c>
      <c r="B16676" s="37" t="str">
        <f t="array" ref="B16676">iferror(xlookup($I16676, 'IMPORT VHC Report'!$E:$E, 'IMPORT VHC Report'!$A:$C), )</f>
        <v/>
      </c>
      <c r="C16676" s="44"/>
      <c r="D16676" s="44"/>
      <c r="E16676" s="46" t="s">
        <v>12877</v>
      </c>
      <c r="F16676" s="46" t="s">
        <v>3097</v>
      </c>
      <c r="H16676" s="46" t="s">
        <v>3098</v>
      </c>
      <c r="I16676" s="46" t="s">
        <v>3099</v>
      </c>
      <c r="J16676" s="46" t="s">
        <v>122</v>
      </c>
      <c r="K16676" s="46" t="s">
        <v>63</v>
      </c>
      <c r="L16676" s="45">
        <v>46013.291666666664</v>
      </c>
      <c r="M16676" s="46" t="s">
        <v>123</v>
      </c>
      <c r="N16676" s="45">
        <v>46013.666666666664</v>
      </c>
      <c r="O16676" s="46" t="s">
        <v>123</v>
      </c>
      <c r="P16676" s="46">
        <v>32400.0</v>
      </c>
    </row>
    <row r="16677">
      <c r="A16677" s="40">
        <f t="shared" si="1"/>
        <v>46013</v>
      </c>
      <c r="B16677" s="37" t="str">
        <f t="array" ref="B16677">iferror(xlookup($I16677, 'IMPORT VHC Report'!$E:$E, 'IMPORT VHC Report'!$A:$C), )</f>
        <v/>
      </c>
      <c r="C16677" s="44"/>
      <c r="D16677" s="44"/>
      <c r="E16677" s="46" t="s">
        <v>12878</v>
      </c>
      <c r="F16677" s="46" t="s">
        <v>3097</v>
      </c>
      <c r="H16677" s="46" t="s">
        <v>3098</v>
      </c>
      <c r="I16677" s="46" t="s">
        <v>3099</v>
      </c>
      <c r="J16677" s="46" t="s">
        <v>134</v>
      </c>
      <c r="K16677" s="46" t="s">
        <v>126</v>
      </c>
      <c r="L16677" s="45">
        <v>46013.381944444445</v>
      </c>
      <c r="M16677" s="46" t="s">
        <v>123</v>
      </c>
      <c r="N16677" s="45">
        <v>46013.40277777778</v>
      </c>
      <c r="O16677" s="46" t="s">
        <v>123</v>
      </c>
      <c r="P16677" s="46">
        <v>1800.0</v>
      </c>
    </row>
    <row r="16678">
      <c r="A16678" s="40">
        <f t="shared" si="1"/>
        <v>46013</v>
      </c>
      <c r="B16678" s="37" t="str">
        <f t="array" ref="B16678">iferror(xlookup($I16678, 'IMPORT VHC Report'!$E:$E, 'IMPORT VHC Report'!$A:$C), )</f>
        <v/>
      </c>
      <c r="C16678" s="44"/>
      <c r="D16678" s="44"/>
      <c r="E16678" s="46" t="s">
        <v>12879</v>
      </c>
      <c r="F16678" s="46" t="s">
        <v>3097</v>
      </c>
      <c r="H16678" s="46" t="s">
        <v>3098</v>
      </c>
      <c r="I16678" s="46" t="s">
        <v>3099</v>
      </c>
      <c r="J16678" s="46" t="s">
        <v>132</v>
      </c>
      <c r="K16678" s="46" t="s">
        <v>126</v>
      </c>
      <c r="L16678" s="45">
        <v>46013.5</v>
      </c>
      <c r="M16678" s="46" t="s">
        <v>123</v>
      </c>
      <c r="N16678" s="45">
        <v>46013.541666666664</v>
      </c>
      <c r="O16678" s="46" t="s">
        <v>123</v>
      </c>
      <c r="P16678" s="46">
        <v>3600.0</v>
      </c>
    </row>
    <row r="16679">
      <c r="A16679" s="40">
        <f t="shared" si="1"/>
        <v>46013</v>
      </c>
      <c r="B16679" s="37" t="str">
        <f t="array" ref="B16679">iferror(xlookup($I16679, 'IMPORT VHC Report'!$E:$E, 'IMPORT VHC Report'!$A:$C), )</f>
        <v/>
      </c>
      <c r="C16679" s="44"/>
      <c r="D16679" s="44"/>
      <c r="E16679" s="46" t="s">
        <v>12880</v>
      </c>
      <c r="F16679" s="46" t="s">
        <v>3097</v>
      </c>
      <c r="H16679" s="46" t="s">
        <v>3098</v>
      </c>
      <c r="I16679" s="46" t="s">
        <v>3099</v>
      </c>
      <c r="J16679" s="46" t="s">
        <v>125</v>
      </c>
      <c r="K16679" s="46" t="s">
        <v>126</v>
      </c>
      <c r="L16679" s="45">
        <v>46013.541666666664</v>
      </c>
      <c r="M16679" s="46" t="s">
        <v>123</v>
      </c>
      <c r="N16679" s="45">
        <v>46013.54861111111</v>
      </c>
      <c r="O16679" s="46" t="s">
        <v>123</v>
      </c>
      <c r="P16679" s="46">
        <v>600.0</v>
      </c>
      <c r="S16679" s="46" t="s">
        <v>12881</v>
      </c>
    </row>
    <row r="16680">
      <c r="A16680" s="40">
        <f t="shared" si="1"/>
        <v>46013</v>
      </c>
      <c r="B16680" s="37" t="str">
        <f t="array" ref="B16680">iferror(xlookup($I16680, 'IMPORT VHC Report'!$E:$E, 'IMPORT VHC Report'!$A:$C), )</f>
        <v/>
      </c>
      <c r="C16680" s="44"/>
      <c r="D16680" s="44"/>
      <c r="E16680" s="46" t="s">
        <v>12882</v>
      </c>
      <c r="F16680" s="46" t="s">
        <v>3097</v>
      </c>
      <c r="H16680" s="46" t="s">
        <v>3098</v>
      </c>
      <c r="I16680" s="46" t="s">
        <v>3099</v>
      </c>
      <c r="J16680" s="46" t="s">
        <v>136</v>
      </c>
      <c r="K16680" s="46" t="s">
        <v>126</v>
      </c>
      <c r="L16680" s="45">
        <v>46013.583333333336</v>
      </c>
      <c r="M16680" s="46" t="s">
        <v>123</v>
      </c>
      <c r="N16680" s="45">
        <v>46013.625</v>
      </c>
      <c r="O16680" s="46" t="s">
        <v>123</v>
      </c>
      <c r="P16680" s="46">
        <v>3600.0</v>
      </c>
      <c r="S16680" s="46" t="s">
        <v>12883</v>
      </c>
    </row>
    <row r="16681">
      <c r="A16681" s="40">
        <f t="shared" si="1"/>
        <v>46013</v>
      </c>
      <c r="B16681" s="37" t="str">
        <f t="array" ref="B16681">iferror(xlookup($I16681, 'IMPORT VHC Report'!$E:$E, 'IMPORT VHC Report'!$A:$C), )</f>
        <v/>
      </c>
      <c r="C16681" s="44"/>
      <c r="D16681" s="44"/>
      <c r="E16681" s="46" t="s">
        <v>12884</v>
      </c>
      <c r="F16681" s="46" t="s">
        <v>3097</v>
      </c>
      <c r="H16681" s="46" t="s">
        <v>3098</v>
      </c>
      <c r="I16681" s="46" t="s">
        <v>3099</v>
      </c>
      <c r="J16681" s="46" t="s">
        <v>125</v>
      </c>
      <c r="K16681" s="46" t="s">
        <v>126</v>
      </c>
      <c r="L16681" s="45">
        <v>46014.291666666664</v>
      </c>
      <c r="M16681" s="46" t="s">
        <v>123</v>
      </c>
      <c r="N16681" s="45">
        <v>46014.29861111111</v>
      </c>
      <c r="O16681" s="46" t="s">
        <v>123</v>
      </c>
      <c r="P16681" s="46">
        <v>600.0</v>
      </c>
      <c r="S16681" s="46" t="s">
        <v>127</v>
      </c>
    </row>
    <row r="16682">
      <c r="A16682" s="40">
        <f t="shared" si="1"/>
        <v>46013</v>
      </c>
      <c r="B16682" s="37" t="str">
        <f t="array" ref="B16682">iferror(xlookup($I16682, 'IMPORT VHC Report'!$E:$E, 'IMPORT VHC Report'!$A:$C), )</f>
        <v/>
      </c>
      <c r="C16682" s="44"/>
      <c r="D16682" s="44"/>
      <c r="E16682" s="46" t="s">
        <v>12885</v>
      </c>
      <c r="F16682" s="46" t="s">
        <v>3097</v>
      </c>
      <c r="H16682" s="46" t="s">
        <v>3098</v>
      </c>
      <c r="I16682" s="46" t="s">
        <v>3099</v>
      </c>
      <c r="J16682" s="46" t="s">
        <v>122</v>
      </c>
      <c r="K16682" s="46" t="s">
        <v>63</v>
      </c>
      <c r="L16682" s="45">
        <v>46014.291666666664</v>
      </c>
      <c r="M16682" s="46" t="s">
        <v>123</v>
      </c>
      <c r="N16682" s="45">
        <v>46014.666666666664</v>
      </c>
      <c r="O16682" s="46" t="s">
        <v>123</v>
      </c>
      <c r="P16682" s="46">
        <v>32400.0</v>
      </c>
    </row>
    <row r="16683">
      <c r="A16683" s="40">
        <f t="shared" si="1"/>
        <v>46013</v>
      </c>
      <c r="B16683" s="37" t="str">
        <f t="array" ref="B16683">iferror(xlookup($I16683, 'IMPORT VHC Report'!$E:$E, 'IMPORT VHC Report'!$A:$C), )</f>
        <v/>
      </c>
      <c r="C16683" s="44"/>
      <c r="D16683" s="44"/>
      <c r="E16683" s="46" t="s">
        <v>12886</v>
      </c>
      <c r="F16683" s="46" t="s">
        <v>3097</v>
      </c>
      <c r="H16683" s="46" t="s">
        <v>3098</v>
      </c>
      <c r="I16683" s="46" t="s">
        <v>3099</v>
      </c>
      <c r="J16683" s="46" t="s">
        <v>132</v>
      </c>
      <c r="K16683" s="46" t="s">
        <v>126</v>
      </c>
      <c r="L16683" s="45">
        <v>46014.364583333336</v>
      </c>
      <c r="M16683" s="46" t="s">
        <v>123</v>
      </c>
      <c r="N16683" s="45">
        <v>46014.40625</v>
      </c>
      <c r="O16683" s="46" t="s">
        <v>123</v>
      </c>
      <c r="P16683" s="46">
        <v>3600.0</v>
      </c>
    </row>
    <row r="16684">
      <c r="A16684" s="40">
        <f t="shared" si="1"/>
        <v>46013</v>
      </c>
      <c r="B16684" s="37" t="str">
        <f t="array" ref="B16684">iferror(xlookup($I16684, 'IMPORT VHC Report'!$E:$E, 'IMPORT VHC Report'!$A:$C), )</f>
        <v/>
      </c>
      <c r="C16684" s="44"/>
      <c r="D16684" s="44"/>
      <c r="E16684" s="46" t="s">
        <v>12887</v>
      </c>
      <c r="F16684" s="46" t="s">
        <v>3097</v>
      </c>
      <c r="H16684" s="46" t="s">
        <v>3098</v>
      </c>
      <c r="I16684" s="46" t="s">
        <v>3099</v>
      </c>
      <c r="J16684" s="46" t="s">
        <v>134</v>
      </c>
      <c r="K16684" s="46" t="s">
        <v>126</v>
      </c>
      <c r="L16684" s="45">
        <v>46014.489583333336</v>
      </c>
      <c r="M16684" s="46" t="s">
        <v>123</v>
      </c>
      <c r="N16684" s="45">
        <v>46014.510416666664</v>
      </c>
      <c r="O16684" s="46" t="s">
        <v>123</v>
      </c>
      <c r="P16684" s="46">
        <v>1800.0</v>
      </c>
    </row>
    <row r="16685">
      <c r="A16685" s="40">
        <f t="shared" si="1"/>
        <v>46013</v>
      </c>
      <c r="B16685" s="37" t="str">
        <f t="array" ref="B16685">iferror(xlookup($I16685, 'IMPORT VHC Report'!$E:$E, 'IMPORT VHC Report'!$A:$C), )</f>
        <v/>
      </c>
      <c r="C16685" s="44"/>
      <c r="D16685" s="44"/>
      <c r="E16685" s="46" t="s">
        <v>12888</v>
      </c>
      <c r="F16685" s="46" t="s">
        <v>3097</v>
      </c>
      <c r="H16685" s="46" t="s">
        <v>3098</v>
      </c>
      <c r="I16685" s="46" t="s">
        <v>3099</v>
      </c>
      <c r="J16685" s="46" t="s">
        <v>125</v>
      </c>
      <c r="K16685" s="46" t="s">
        <v>126</v>
      </c>
      <c r="L16685" s="45">
        <v>46015.291666666664</v>
      </c>
      <c r="M16685" s="46" t="s">
        <v>123</v>
      </c>
      <c r="N16685" s="45">
        <v>46015.29861111111</v>
      </c>
      <c r="O16685" s="46" t="s">
        <v>123</v>
      </c>
      <c r="P16685" s="46">
        <v>600.0</v>
      </c>
      <c r="S16685" s="46" t="s">
        <v>127</v>
      </c>
    </row>
    <row r="16686">
      <c r="A16686" s="40">
        <f t="shared" si="1"/>
        <v>46013</v>
      </c>
      <c r="B16686" s="37" t="str">
        <f t="array" ref="B16686">iferror(xlookup($I16686, 'IMPORT VHC Report'!$E:$E, 'IMPORT VHC Report'!$A:$C), )</f>
        <v/>
      </c>
      <c r="C16686" s="44"/>
      <c r="D16686" s="44"/>
      <c r="E16686" s="46" t="s">
        <v>12889</v>
      </c>
      <c r="F16686" s="46" t="s">
        <v>3097</v>
      </c>
      <c r="H16686" s="46" t="s">
        <v>3098</v>
      </c>
      <c r="I16686" s="46" t="s">
        <v>3099</v>
      </c>
      <c r="J16686" s="46" t="s">
        <v>122</v>
      </c>
      <c r="K16686" s="46" t="s">
        <v>63</v>
      </c>
      <c r="L16686" s="45">
        <v>46015.291666666664</v>
      </c>
      <c r="M16686" s="46" t="s">
        <v>123</v>
      </c>
      <c r="N16686" s="45">
        <v>46015.666666666664</v>
      </c>
      <c r="O16686" s="46" t="s">
        <v>123</v>
      </c>
      <c r="P16686" s="46">
        <v>32400.0</v>
      </c>
    </row>
    <row r="16687">
      <c r="A16687" s="40">
        <f t="shared" si="1"/>
        <v>46013</v>
      </c>
      <c r="B16687" s="37" t="str">
        <f t="array" ref="B16687">iferror(xlookup($I16687, 'IMPORT VHC Report'!$E:$E, 'IMPORT VHC Report'!$A:$C), )</f>
        <v/>
      </c>
      <c r="C16687" s="44"/>
      <c r="D16687" s="44"/>
      <c r="E16687" s="46" t="s">
        <v>12890</v>
      </c>
      <c r="F16687" s="46" t="s">
        <v>3097</v>
      </c>
      <c r="H16687" s="46" t="s">
        <v>3098</v>
      </c>
      <c r="I16687" s="46" t="s">
        <v>3099</v>
      </c>
      <c r="J16687" s="46" t="s">
        <v>134</v>
      </c>
      <c r="K16687" s="46" t="s">
        <v>126</v>
      </c>
      <c r="L16687" s="45">
        <v>46015.395833333336</v>
      </c>
      <c r="M16687" s="46" t="s">
        <v>123</v>
      </c>
      <c r="N16687" s="45">
        <v>46015.416666666664</v>
      </c>
      <c r="O16687" s="46" t="s">
        <v>123</v>
      </c>
      <c r="P16687" s="46">
        <v>1800.0</v>
      </c>
    </row>
    <row r="16688">
      <c r="A16688" s="40">
        <f t="shared" si="1"/>
        <v>46013</v>
      </c>
      <c r="B16688" s="37" t="str">
        <f t="array" ref="B16688">iferror(xlookup($I16688, 'IMPORT VHC Report'!$E:$E, 'IMPORT VHC Report'!$A:$C), )</f>
        <v/>
      </c>
      <c r="C16688" s="44"/>
      <c r="D16688" s="44"/>
      <c r="E16688" s="46" t="s">
        <v>12891</v>
      </c>
      <c r="F16688" s="46" t="s">
        <v>3097</v>
      </c>
      <c r="H16688" s="46" t="s">
        <v>3098</v>
      </c>
      <c r="I16688" s="46" t="s">
        <v>3099</v>
      </c>
      <c r="J16688" s="46" t="s">
        <v>136</v>
      </c>
      <c r="K16688" s="46" t="s">
        <v>126</v>
      </c>
      <c r="L16688" s="45">
        <v>46015.416666666664</v>
      </c>
      <c r="M16688" s="46" t="s">
        <v>123</v>
      </c>
      <c r="N16688" s="45">
        <v>46015.447916666664</v>
      </c>
      <c r="O16688" s="46" t="s">
        <v>123</v>
      </c>
      <c r="P16688" s="46">
        <v>2700.0</v>
      </c>
      <c r="S16688" s="46" t="s">
        <v>137</v>
      </c>
    </row>
    <row r="16689">
      <c r="A16689" s="40">
        <f t="shared" si="1"/>
        <v>46013</v>
      </c>
      <c r="B16689" s="37" t="str">
        <f t="array" ref="B16689">iferror(xlookup($I16689, 'IMPORT VHC Report'!$E:$E, 'IMPORT VHC Report'!$A:$C), )</f>
        <v/>
      </c>
      <c r="C16689" s="44"/>
      <c r="D16689" s="44"/>
      <c r="E16689" s="46" t="s">
        <v>12892</v>
      </c>
      <c r="F16689" s="46" t="s">
        <v>3097</v>
      </c>
      <c r="H16689" s="46" t="s">
        <v>3098</v>
      </c>
      <c r="I16689" s="46" t="s">
        <v>3099</v>
      </c>
      <c r="J16689" s="46" t="s">
        <v>132</v>
      </c>
      <c r="K16689" s="46" t="s">
        <v>126</v>
      </c>
      <c r="L16689" s="45">
        <v>46015.53125</v>
      </c>
      <c r="M16689" s="46" t="s">
        <v>123</v>
      </c>
      <c r="N16689" s="45">
        <v>46015.572916666664</v>
      </c>
      <c r="O16689" s="46" t="s">
        <v>123</v>
      </c>
      <c r="P16689" s="46">
        <v>3600.0</v>
      </c>
    </row>
    <row r="16690">
      <c r="A16690" s="40">
        <f t="shared" si="1"/>
        <v>46013</v>
      </c>
      <c r="B16690" s="37" t="str">
        <f t="array" ref="B16690">iferror(xlookup($I16690, 'IMPORT VHC Report'!$E:$E, 'IMPORT VHC Report'!$A:$C), )</f>
        <v/>
      </c>
      <c r="C16690" s="44"/>
      <c r="D16690" s="44"/>
      <c r="E16690" s="46" t="s">
        <v>12893</v>
      </c>
      <c r="F16690" s="46" t="s">
        <v>3097</v>
      </c>
      <c r="H16690" s="46" t="s">
        <v>3098</v>
      </c>
      <c r="I16690" s="46" t="s">
        <v>3099</v>
      </c>
      <c r="J16690" s="46" t="s">
        <v>125</v>
      </c>
      <c r="K16690" s="46" t="s">
        <v>126</v>
      </c>
      <c r="L16690" s="45">
        <v>46016.291666666664</v>
      </c>
      <c r="M16690" s="46" t="s">
        <v>123</v>
      </c>
      <c r="N16690" s="45">
        <v>46016.29861111111</v>
      </c>
      <c r="O16690" s="46" t="s">
        <v>123</v>
      </c>
      <c r="P16690" s="46">
        <v>600.0</v>
      </c>
      <c r="S16690" s="46" t="s">
        <v>127</v>
      </c>
    </row>
    <row r="16691">
      <c r="A16691" s="40">
        <f t="shared" si="1"/>
        <v>46013</v>
      </c>
      <c r="B16691" s="37" t="str">
        <f t="array" ref="B16691">iferror(xlookup($I16691, 'IMPORT VHC Report'!$E:$E, 'IMPORT VHC Report'!$A:$C), )</f>
        <v/>
      </c>
      <c r="C16691" s="44"/>
      <c r="D16691" s="44"/>
      <c r="E16691" s="46" t="s">
        <v>12894</v>
      </c>
      <c r="F16691" s="46" t="s">
        <v>3097</v>
      </c>
      <c r="H16691" s="46" t="s">
        <v>3098</v>
      </c>
      <c r="I16691" s="46" t="s">
        <v>3099</v>
      </c>
      <c r="J16691" s="46" t="s">
        <v>178</v>
      </c>
      <c r="K16691" s="46" t="s">
        <v>153</v>
      </c>
      <c r="L16691" s="45">
        <v>46016.291666666664</v>
      </c>
      <c r="M16691" s="46" t="s">
        <v>123</v>
      </c>
      <c r="N16691" s="45">
        <v>46016.666666666664</v>
      </c>
      <c r="O16691" s="46" t="s">
        <v>123</v>
      </c>
      <c r="P16691" s="46">
        <v>32400.0</v>
      </c>
      <c r="Q16691" s="46">
        <v>28800.0</v>
      </c>
    </row>
    <row r="16692">
      <c r="A16692" s="40">
        <f t="shared" si="1"/>
        <v>46013</v>
      </c>
      <c r="B16692" s="37" t="str">
        <f t="array" ref="B16692">iferror(xlookup($I16692, 'IMPORT VHC Report'!$E:$E, 'IMPORT VHC Report'!$A:$C), )</f>
        <v/>
      </c>
      <c r="C16692" s="44"/>
      <c r="D16692" s="44"/>
      <c r="E16692" s="46" t="s">
        <v>12895</v>
      </c>
      <c r="F16692" s="46" t="s">
        <v>3097</v>
      </c>
      <c r="H16692" s="46" t="s">
        <v>3098</v>
      </c>
      <c r="I16692" s="46" t="s">
        <v>3099</v>
      </c>
      <c r="J16692" s="46" t="s">
        <v>122</v>
      </c>
      <c r="K16692" s="46" t="s">
        <v>63</v>
      </c>
      <c r="L16692" s="45">
        <v>46016.291666666664</v>
      </c>
      <c r="M16692" s="46" t="s">
        <v>123</v>
      </c>
      <c r="N16692" s="45">
        <v>46016.666666666664</v>
      </c>
      <c r="O16692" s="46" t="s">
        <v>123</v>
      </c>
      <c r="P16692" s="46">
        <v>32400.0</v>
      </c>
    </row>
    <row r="16693">
      <c r="A16693" s="40">
        <f t="shared" si="1"/>
        <v>46013</v>
      </c>
      <c r="B16693" s="37" t="str">
        <f t="array" ref="B16693">iferror(xlookup($I16693, 'IMPORT VHC Report'!$E:$E, 'IMPORT VHC Report'!$A:$C), )</f>
        <v/>
      </c>
      <c r="C16693" s="44"/>
      <c r="D16693" s="44"/>
      <c r="E16693" s="46" t="s">
        <v>12896</v>
      </c>
      <c r="F16693" s="46" t="s">
        <v>3097</v>
      </c>
      <c r="H16693" s="46" t="s">
        <v>3098</v>
      </c>
      <c r="I16693" s="46" t="s">
        <v>3099</v>
      </c>
      <c r="J16693" s="46" t="s">
        <v>132</v>
      </c>
      <c r="K16693" s="46" t="s">
        <v>126</v>
      </c>
      <c r="L16693" s="45">
        <v>46016.364583333336</v>
      </c>
      <c r="M16693" s="46" t="s">
        <v>123</v>
      </c>
      <c r="N16693" s="45">
        <v>46016.40625</v>
      </c>
      <c r="O16693" s="46" t="s">
        <v>123</v>
      </c>
      <c r="P16693" s="46">
        <v>3600.0</v>
      </c>
    </row>
    <row r="16694">
      <c r="A16694" s="40">
        <f t="shared" si="1"/>
        <v>46013</v>
      </c>
      <c r="B16694" s="37" t="str">
        <f t="array" ref="B16694">iferror(xlookup($I16694, 'IMPORT VHC Report'!$E:$E, 'IMPORT VHC Report'!$A:$C), )</f>
        <v/>
      </c>
      <c r="C16694" s="44"/>
      <c r="D16694" s="44"/>
      <c r="E16694" s="46" t="s">
        <v>12897</v>
      </c>
      <c r="F16694" s="46" t="s">
        <v>3097</v>
      </c>
      <c r="H16694" s="46" t="s">
        <v>3098</v>
      </c>
      <c r="I16694" s="46" t="s">
        <v>3099</v>
      </c>
      <c r="J16694" s="46" t="s">
        <v>134</v>
      </c>
      <c r="K16694" s="46" t="s">
        <v>126</v>
      </c>
      <c r="L16694" s="45">
        <v>46016.552083333336</v>
      </c>
      <c r="M16694" s="46" t="s">
        <v>123</v>
      </c>
      <c r="N16694" s="45">
        <v>46016.572916666664</v>
      </c>
      <c r="O16694" s="46" t="s">
        <v>123</v>
      </c>
      <c r="P16694" s="46">
        <v>1800.0</v>
      </c>
    </row>
    <row r="16695">
      <c r="A16695" s="40">
        <f t="shared" si="1"/>
        <v>46013</v>
      </c>
      <c r="B16695" s="37" t="str">
        <f t="array" ref="B16695">iferror(xlookup($I16695, 'IMPORT VHC Report'!$E:$E, 'IMPORT VHC Report'!$A:$C), )</f>
        <v/>
      </c>
      <c r="C16695" s="44"/>
      <c r="D16695" s="44"/>
      <c r="E16695" s="46" t="s">
        <v>12898</v>
      </c>
      <c r="F16695" s="46" t="s">
        <v>3097</v>
      </c>
      <c r="H16695" s="46" t="s">
        <v>3098</v>
      </c>
      <c r="I16695" s="46" t="s">
        <v>3099</v>
      </c>
      <c r="J16695" s="46" t="s">
        <v>125</v>
      </c>
      <c r="K16695" s="46" t="s">
        <v>126</v>
      </c>
      <c r="L16695" s="45">
        <v>46019.291666666664</v>
      </c>
      <c r="M16695" s="46" t="s">
        <v>123</v>
      </c>
      <c r="N16695" s="45">
        <v>46019.29861111111</v>
      </c>
      <c r="O16695" s="46" t="s">
        <v>123</v>
      </c>
      <c r="P16695" s="46">
        <v>600.0</v>
      </c>
      <c r="S16695" s="46" t="s">
        <v>127</v>
      </c>
    </row>
    <row r="16696">
      <c r="A16696" s="40">
        <f t="shared" si="1"/>
        <v>46013</v>
      </c>
      <c r="B16696" s="37" t="str">
        <f t="array" ref="B16696">iferror(xlookup($I16696, 'IMPORT VHC Report'!$E:$E, 'IMPORT VHC Report'!$A:$C), )</f>
        <v/>
      </c>
      <c r="C16696" s="44"/>
      <c r="D16696" s="44"/>
      <c r="E16696" s="46" t="s">
        <v>12899</v>
      </c>
      <c r="F16696" s="46" t="s">
        <v>3097</v>
      </c>
      <c r="H16696" s="46" t="s">
        <v>3098</v>
      </c>
      <c r="I16696" s="46" t="s">
        <v>3099</v>
      </c>
      <c r="J16696" s="46" t="s">
        <v>178</v>
      </c>
      <c r="K16696" s="46" t="s">
        <v>153</v>
      </c>
      <c r="L16696" s="45">
        <v>46019.291666666664</v>
      </c>
      <c r="M16696" s="46" t="s">
        <v>123</v>
      </c>
      <c r="N16696" s="45">
        <v>46019.666666666664</v>
      </c>
      <c r="O16696" s="46" t="s">
        <v>123</v>
      </c>
      <c r="P16696" s="46">
        <v>32400.0</v>
      </c>
      <c r="Q16696" s="46">
        <v>57600.0</v>
      </c>
    </row>
    <row r="16697">
      <c r="A16697" s="40">
        <f t="shared" si="1"/>
        <v>46013</v>
      </c>
      <c r="B16697" s="37" t="str">
        <f t="array" ref="B16697">iferror(xlookup($I16697, 'IMPORT VHC Report'!$E:$E, 'IMPORT VHC Report'!$A:$C), )</f>
        <v/>
      </c>
      <c r="C16697" s="44"/>
      <c r="D16697" s="44"/>
      <c r="E16697" s="46" t="s">
        <v>12900</v>
      </c>
      <c r="F16697" s="46" t="s">
        <v>3097</v>
      </c>
      <c r="H16697" s="46" t="s">
        <v>3098</v>
      </c>
      <c r="I16697" s="46" t="s">
        <v>3099</v>
      </c>
      <c r="J16697" s="46" t="s">
        <v>122</v>
      </c>
      <c r="K16697" s="46" t="s">
        <v>63</v>
      </c>
      <c r="L16697" s="45">
        <v>46019.291666666664</v>
      </c>
      <c r="M16697" s="46" t="s">
        <v>123</v>
      </c>
      <c r="N16697" s="45">
        <v>46019.666666666664</v>
      </c>
      <c r="O16697" s="46" t="s">
        <v>123</v>
      </c>
      <c r="P16697" s="46">
        <v>32400.0</v>
      </c>
    </row>
    <row r="16698">
      <c r="A16698" s="40">
        <f t="shared" si="1"/>
        <v>46013</v>
      </c>
      <c r="B16698" s="37" t="str">
        <f t="array" ref="B16698">iferror(xlookup($I16698, 'IMPORT VHC Report'!$E:$E, 'IMPORT VHC Report'!$A:$C), )</f>
        <v/>
      </c>
      <c r="C16698" s="44"/>
      <c r="D16698" s="44"/>
      <c r="E16698" s="46" t="s">
        <v>12901</v>
      </c>
      <c r="F16698" s="46" t="s">
        <v>3097</v>
      </c>
      <c r="H16698" s="46" t="s">
        <v>3098</v>
      </c>
      <c r="I16698" s="46" t="s">
        <v>3099</v>
      </c>
      <c r="J16698" s="46" t="s">
        <v>132</v>
      </c>
      <c r="K16698" s="46" t="s">
        <v>126</v>
      </c>
      <c r="L16698" s="45">
        <v>46019.354166666664</v>
      </c>
      <c r="M16698" s="46" t="s">
        <v>123</v>
      </c>
      <c r="N16698" s="45">
        <v>46019.395833333336</v>
      </c>
      <c r="O16698" s="46" t="s">
        <v>123</v>
      </c>
      <c r="P16698" s="46">
        <v>3600.0</v>
      </c>
    </row>
    <row r="16699">
      <c r="A16699" s="40">
        <f t="shared" si="1"/>
        <v>46013</v>
      </c>
      <c r="B16699" s="37" t="str">
        <f t="array" ref="B16699">iferror(xlookup($I16699, 'IMPORT VHC Report'!$E:$E, 'IMPORT VHC Report'!$A:$C), )</f>
        <v/>
      </c>
      <c r="C16699" s="44"/>
      <c r="D16699" s="44"/>
      <c r="E16699" s="46" t="s">
        <v>12902</v>
      </c>
      <c r="F16699" s="46" t="s">
        <v>3097</v>
      </c>
      <c r="H16699" s="46" t="s">
        <v>3098</v>
      </c>
      <c r="I16699" s="46" t="s">
        <v>3099</v>
      </c>
      <c r="J16699" s="46" t="s">
        <v>134</v>
      </c>
      <c r="K16699" s="46" t="s">
        <v>126</v>
      </c>
      <c r="L16699" s="45">
        <v>46019.520833333336</v>
      </c>
      <c r="M16699" s="46" t="s">
        <v>123</v>
      </c>
      <c r="N16699" s="45">
        <v>46019.541666666664</v>
      </c>
      <c r="O16699" s="46" t="s">
        <v>123</v>
      </c>
      <c r="P16699" s="46">
        <v>1800.0</v>
      </c>
    </row>
    <row r="16700">
      <c r="A16700" s="40">
        <f t="shared" si="1"/>
        <v>46013</v>
      </c>
      <c r="B16700" s="37" t="str">
        <f t="array" ref="B16700">iferror(xlookup($I16700, 'IMPORT VHC Report'!$E:$E, 'IMPORT VHC Report'!$A:$C), )</f>
        <v/>
      </c>
      <c r="C16700" s="44"/>
      <c r="D16700" s="44"/>
      <c r="E16700" s="46" t="s">
        <v>12903</v>
      </c>
      <c r="F16700" s="46" t="s">
        <v>3403</v>
      </c>
      <c r="G16700" s="46">
        <v>1.3477715168271E13</v>
      </c>
      <c r="H16700" s="46" t="s">
        <v>3404</v>
      </c>
      <c r="I16700" s="46" t="s">
        <v>3405</v>
      </c>
      <c r="J16700" s="46" t="s">
        <v>125</v>
      </c>
      <c r="K16700" s="46" t="s">
        <v>126</v>
      </c>
      <c r="L16700" s="45">
        <v>46013.416666666664</v>
      </c>
      <c r="M16700" s="46" t="s">
        <v>123</v>
      </c>
      <c r="N16700" s="45">
        <v>46013.42361111111</v>
      </c>
      <c r="O16700" s="46" t="s">
        <v>123</v>
      </c>
      <c r="P16700" s="46">
        <v>600.0</v>
      </c>
      <c r="S16700" s="46" t="s">
        <v>127</v>
      </c>
    </row>
    <row r="16701">
      <c r="A16701" s="40">
        <f t="shared" si="1"/>
        <v>46013</v>
      </c>
      <c r="B16701" s="37" t="str">
        <f t="array" ref="B16701">iferror(xlookup($I16701, 'IMPORT VHC Report'!$E:$E, 'IMPORT VHC Report'!$A:$C), )</f>
        <v/>
      </c>
      <c r="C16701" s="44"/>
      <c r="D16701" s="44"/>
      <c r="E16701" s="46" t="s">
        <v>12904</v>
      </c>
      <c r="F16701" s="46" t="s">
        <v>3403</v>
      </c>
      <c r="G16701" s="46">
        <v>1.3477715168271E13</v>
      </c>
      <c r="H16701" s="46" t="s">
        <v>3404</v>
      </c>
      <c r="I16701" s="46" t="s">
        <v>3405</v>
      </c>
      <c r="J16701" s="46" t="s">
        <v>122</v>
      </c>
      <c r="K16701" s="46" t="s">
        <v>63</v>
      </c>
      <c r="L16701" s="45">
        <v>46013.416666666664</v>
      </c>
      <c r="M16701" s="46" t="s">
        <v>123</v>
      </c>
      <c r="N16701" s="45">
        <v>46013.791666666664</v>
      </c>
      <c r="O16701" s="46" t="s">
        <v>123</v>
      </c>
      <c r="P16701" s="46">
        <v>32400.0</v>
      </c>
    </row>
    <row r="16702">
      <c r="A16702" s="40">
        <f t="shared" si="1"/>
        <v>46013</v>
      </c>
      <c r="B16702" s="37" t="str">
        <f t="array" ref="B16702">iferror(xlookup($I16702, 'IMPORT VHC Report'!$E:$E, 'IMPORT VHC Report'!$A:$C), )</f>
        <v/>
      </c>
      <c r="C16702" s="44"/>
      <c r="D16702" s="44"/>
      <c r="E16702" s="46" t="s">
        <v>12905</v>
      </c>
      <c r="F16702" s="46" t="s">
        <v>3403</v>
      </c>
      <c r="G16702" s="46">
        <v>1.3477715168271E13</v>
      </c>
      <c r="H16702" s="46" t="s">
        <v>3404</v>
      </c>
      <c r="I16702" s="46" t="s">
        <v>3405</v>
      </c>
      <c r="J16702" s="46" t="s">
        <v>134</v>
      </c>
      <c r="K16702" s="46" t="s">
        <v>126</v>
      </c>
      <c r="L16702" s="45">
        <v>46013.5</v>
      </c>
      <c r="M16702" s="46" t="s">
        <v>123</v>
      </c>
      <c r="N16702" s="45">
        <v>46013.520833333336</v>
      </c>
      <c r="O16702" s="46" t="s">
        <v>123</v>
      </c>
      <c r="P16702" s="46">
        <v>1800.0</v>
      </c>
    </row>
    <row r="16703">
      <c r="A16703" s="40">
        <f t="shared" si="1"/>
        <v>46013</v>
      </c>
      <c r="B16703" s="37" t="str">
        <f t="array" ref="B16703">iferror(xlookup($I16703, 'IMPORT VHC Report'!$E:$E, 'IMPORT VHC Report'!$A:$C), )</f>
        <v/>
      </c>
      <c r="C16703" s="44"/>
      <c r="D16703" s="44"/>
      <c r="E16703" s="46" t="s">
        <v>12906</v>
      </c>
      <c r="F16703" s="46" t="s">
        <v>3403</v>
      </c>
      <c r="G16703" s="46">
        <v>1.3477715168271E13</v>
      </c>
      <c r="H16703" s="46" t="s">
        <v>3404</v>
      </c>
      <c r="I16703" s="46" t="s">
        <v>3405</v>
      </c>
      <c r="J16703" s="46" t="s">
        <v>125</v>
      </c>
      <c r="K16703" s="46" t="s">
        <v>126</v>
      </c>
      <c r="L16703" s="45">
        <v>46013.552083333336</v>
      </c>
      <c r="M16703" s="46" t="s">
        <v>123</v>
      </c>
      <c r="N16703" s="45">
        <v>46013.55902777778</v>
      </c>
      <c r="O16703" s="46" t="s">
        <v>123</v>
      </c>
      <c r="P16703" s="46">
        <v>600.0</v>
      </c>
      <c r="S16703" s="46" t="s">
        <v>12881</v>
      </c>
    </row>
    <row r="16704">
      <c r="A16704" s="40">
        <f t="shared" si="1"/>
        <v>46013</v>
      </c>
      <c r="B16704" s="37" t="str">
        <f t="array" ref="B16704">iferror(xlookup($I16704, 'IMPORT VHC Report'!$E:$E, 'IMPORT VHC Report'!$A:$C), )</f>
        <v/>
      </c>
      <c r="C16704" s="44"/>
      <c r="D16704" s="44"/>
      <c r="E16704" s="46" t="s">
        <v>12907</v>
      </c>
      <c r="F16704" s="46" t="s">
        <v>3403</v>
      </c>
      <c r="G16704" s="46">
        <v>1.3477715168271E13</v>
      </c>
      <c r="H16704" s="46" t="s">
        <v>3404</v>
      </c>
      <c r="I16704" s="46" t="s">
        <v>3405</v>
      </c>
      <c r="J16704" s="46" t="s">
        <v>136</v>
      </c>
      <c r="K16704" s="46" t="s">
        <v>126</v>
      </c>
      <c r="L16704" s="45">
        <v>46013.625</v>
      </c>
      <c r="M16704" s="46" t="s">
        <v>123</v>
      </c>
      <c r="N16704" s="45">
        <v>46013.669444444444</v>
      </c>
      <c r="O16704" s="46" t="s">
        <v>123</v>
      </c>
      <c r="P16704" s="46">
        <v>3840.0</v>
      </c>
      <c r="S16704" s="46" t="s">
        <v>12883</v>
      </c>
    </row>
    <row r="16705">
      <c r="A16705" s="40">
        <f t="shared" si="1"/>
        <v>46013</v>
      </c>
      <c r="B16705" s="37" t="str">
        <f t="array" ref="B16705">iferror(xlookup($I16705, 'IMPORT VHC Report'!$E:$E, 'IMPORT VHC Report'!$A:$C), )</f>
        <v/>
      </c>
      <c r="C16705" s="44"/>
      <c r="D16705" s="44"/>
      <c r="E16705" s="46" t="s">
        <v>12908</v>
      </c>
      <c r="F16705" s="46" t="s">
        <v>3403</v>
      </c>
      <c r="G16705" s="46">
        <v>1.3477715168271E13</v>
      </c>
      <c r="H16705" s="46" t="s">
        <v>3404</v>
      </c>
      <c r="I16705" s="46" t="s">
        <v>3405</v>
      </c>
      <c r="J16705" s="46" t="s">
        <v>132</v>
      </c>
      <c r="K16705" s="46" t="s">
        <v>126</v>
      </c>
      <c r="L16705" s="45">
        <v>46013.669444444444</v>
      </c>
      <c r="M16705" s="46" t="s">
        <v>123</v>
      </c>
      <c r="N16705" s="45">
        <v>46013.71111111111</v>
      </c>
      <c r="O16705" s="46" t="s">
        <v>123</v>
      </c>
      <c r="P16705" s="46">
        <v>3600.0</v>
      </c>
    </row>
    <row r="16706">
      <c r="A16706" s="40">
        <f t="shared" si="1"/>
        <v>46013</v>
      </c>
      <c r="B16706" s="37" t="str">
        <f t="array" ref="B16706">iferror(xlookup($I16706, 'IMPORT VHC Report'!$E:$E, 'IMPORT VHC Report'!$A:$C), )</f>
        <v/>
      </c>
      <c r="C16706" s="44"/>
      <c r="D16706" s="44"/>
      <c r="E16706" s="46" t="s">
        <v>12909</v>
      </c>
      <c r="F16706" s="46" t="s">
        <v>3403</v>
      </c>
      <c r="G16706" s="46">
        <v>1.3477715168271E13</v>
      </c>
      <c r="H16706" s="46" t="s">
        <v>3404</v>
      </c>
      <c r="I16706" s="46" t="s">
        <v>3405</v>
      </c>
      <c r="J16706" s="46" t="s">
        <v>125</v>
      </c>
      <c r="K16706" s="46" t="s">
        <v>126</v>
      </c>
      <c r="L16706" s="45">
        <v>46016.416666666664</v>
      </c>
      <c r="M16706" s="46" t="s">
        <v>123</v>
      </c>
      <c r="N16706" s="45">
        <v>46016.42361111111</v>
      </c>
      <c r="O16706" s="46" t="s">
        <v>123</v>
      </c>
      <c r="P16706" s="46">
        <v>600.0</v>
      </c>
      <c r="S16706" s="46" t="s">
        <v>127</v>
      </c>
    </row>
    <row r="16707">
      <c r="A16707" s="40">
        <f t="shared" si="1"/>
        <v>46013</v>
      </c>
      <c r="B16707" s="37" t="str">
        <f t="array" ref="B16707">iferror(xlookup($I16707, 'IMPORT VHC Report'!$E:$E, 'IMPORT VHC Report'!$A:$C), )</f>
        <v/>
      </c>
      <c r="C16707" s="44"/>
      <c r="D16707" s="44"/>
      <c r="E16707" s="46" t="s">
        <v>12910</v>
      </c>
      <c r="F16707" s="46" t="s">
        <v>3403</v>
      </c>
      <c r="G16707" s="46">
        <v>1.3477715168271E13</v>
      </c>
      <c r="H16707" s="46" t="s">
        <v>3404</v>
      </c>
      <c r="I16707" s="46" t="s">
        <v>3405</v>
      </c>
      <c r="J16707" s="46" t="s">
        <v>122</v>
      </c>
      <c r="K16707" s="46" t="s">
        <v>63</v>
      </c>
      <c r="L16707" s="45">
        <v>46016.416666666664</v>
      </c>
      <c r="M16707" s="46" t="s">
        <v>123</v>
      </c>
      <c r="N16707" s="45">
        <v>46016.791666666664</v>
      </c>
      <c r="O16707" s="46" t="s">
        <v>123</v>
      </c>
      <c r="P16707" s="46">
        <v>32400.0</v>
      </c>
    </row>
    <row r="16708">
      <c r="A16708" s="40">
        <f t="shared" si="1"/>
        <v>46013</v>
      </c>
      <c r="B16708" s="37" t="str">
        <f t="array" ref="B16708">iferror(xlookup($I16708, 'IMPORT VHC Report'!$E:$E, 'IMPORT VHC Report'!$A:$C), )</f>
        <v/>
      </c>
      <c r="C16708" s="44"/>
      <c r="D16708" s="44"/>
      <c r="E16708" s="46" t="s">
        <v>12911</v>
      </c>
      <c r="F16708" s="46" t="s">
        <v>3403</v>
      </c>
      <c r="G16708" s="46">
        <v>1.3477715168271E13</v>
      </c>
      <c r="H16708" s="46" t="s">
        <v>3404</v>
      </c>
      <c r="I16708" s="46" t="s">
        <v>3405</v>
      </c>
      <c r="J16708" s="46" t="s">
        <v>134</v>
      </c>
      <c r="K16708" s="46" t="s">
        <v>126</v>
      </c>
      <c r="L16708" s="45">
        <v>46016.5</v>
      </c>
      <c r="M16708" s="46" t="s">
        <v>123</v>
      </c>
      <c r="N16708" s="45">
        <v>46016.520833333336</v>
      </c>
      <c r="O16708" s="46" t="s">
        <v>123</v>
      </c>
      <c r="P16708" s="46">
        <v>1800.0</v>
      </c>
    </row>
    <row r="16709">
      <c r="A16709" s="40">
        <f t="shared" si="1"/>
        <v>46013</v>
      </c>
      <c r="B16709" s="37" t="str">
        <f t="array" ref="B16709">iferror(xlookup($I16709, 'IMPORT VHC Report'!$E:$E, 'IMPORT VHC Report'!$A:$C), )</f>
        <v/>
      </c>
      <c r="C16709" s="44"/>
      <c r="D16709" s="44"/>
      <c r="E16709" s="46" t="s">
        <v>12912</v>
      </c>
      <c r="F16709" s="46" t="s">
        <v>3403</v>
      </c>
      <c r="G16709" s="46">
        <v>1.3477715168271E13</v>
      </c>
      <c r="H16709" s="46" t="s">
        <v>3404</v>
      </c>
      <c r="I16709" s="46" t="s">
        <v>3405</v>
      </c>
      <c r="J16709" s="46" t="s">
        <v>132</v>
      </c>
      <c r="K16709" s="46" t="s">
        <v>126</v>
      </c>
      <c r="L16709" s="45">
        <v>46016.614583333336</v>
      </c>
      <c r="M16709" s="46" t="s">
        <v>123</v>
      </c>
      <c r="N16709" s="45">
        <v>46016.65625</v>
      </c>
      <c r="O16709" s="46" t="s">
        <v>123</v>
      </c>
      <c r="P16709" s="46">
        <v>3600.0</v>
      </c>
    </row>
    <row r="16710">
      <c r="A16710" s="40">
        <f t="shared" si="1"/>
        <v>46013</v>
      </c>
      <c r="B16710" s="37" t="str">
        <f t="array" ref="B16710">iferror(xlookup($I16710, 'IMPORT VHC Report'!$E:$E, 'IMPORT VHC Report'!$A:$C), )</f>
        <v/>
      </c>
      <c r="C16710" s="44"/>
      <c r="D16710" s="44"/>
      <c r="E16710" s="46" t="s">
        <v>12913</v>
      </c>
      <c r="F16710" s="46" t="s">
        <v>3403</v>
      </c>
      <c r="G16710" s="46">
        <v>1.3477715168271E13</v>
      </c>
      <c r="H16710" s="46" t="s">
        <v>3404</v>
      </c>
      <c r="I16710" s="46" t="s">
        <v>3405</v>
      </c>
      <c r="J16710" s="46" t="s">
        <v>125</v>
      </c>
      <c r="K16710" s="46" t="s">
        <v>126</v>
      </c>
      <c r="L16710" s="45">
        <v>46017.416666666664</v>
      </c>
      <c r="M16710" s="46" t="s">
        <v>123</v>
      </c>
      <c r="N16710" s="45">
        <v>46017.42361111111</v>
      </c>
      <c r="O16710" s="46" t="s">
        <v>123</v>
      </c>
      <c r="P16710" s="46">
        <v>600.0</v>
      </c>
      <c r="S16710" s="46" t="s">
        <v>127</v>
      </c>
    </row>
    <row r="16711">
      <c r="A16711" s="40">
        <f t="shared" si="1"/>
        <v>46013</v>
      </c>
      <c r="B16711" s="37" t="str">
        <f t="array" ref="B16711">iferror(xlookup($I16711, 'IMPORT VHC Report'!$E:$E, 'IMPORT VHC Report'!$A:$C), )</f>
        <v/>
      </c>
      <c r="C16711" s="44"/>
      <c r="D16711" s="44"/>
      <c r="E16711" s="46" t="s">
        <v>12914</v>
      </c>
      <c r="F16711" s="46" t="s">
        <v>3403</v>
      </c>
      <c r="G16711" s="46">
        <v>1.3477715168271E13</v>
      </c>
      <c r="H16711" s="46" t="s">
        <v>3404</v>
      </c>
      <c r="I16711" s="46" t="s">
        <v>3405</v>
      </c>
      <c r="J16711" s="46" t="s">
        <v>122</v>
      </c>
      <c r="K16711" s="46" t="s">
        <v>63</v>
      </c>
      <c r="L16711" s="45">
        <v>46017.416666666664</v>
      </c>
      <c r="M16711" s="46" t="s">
        <v>123</v>
      </c>
      <c r="N16711" s="45">
        <v>46017.791666666664</v>
      </c>
      <c r="O16711" s="46" t="s">
        <v>123</v>
      </c>
      <c r="P16711" s="46">
        <v>32400.0</v>
      </c>
    </row>
    <row r="16712">
      <c r="A16712" s="40">
        <f t="shared" si="1"/>
        <v>46013</v>
      </c>
      <c r="B16712" s="37" t="str">
        <f t="array" ref="B16712">iferror(xlookup($I16712, 'IMPORT VHC Report'!$E:$E, 'IMPORT VHC Report'!$A:$C), )</f>
        <v/>
      </c>
      <c r="C16712" s="44"/>
      <c r="D16712" s="44"/>
      <c r="E16712" s="46" t="s">
        <v>12915</v>
      </c>
      <c r="F16712" s="46" t="s">
        <v>3403</v>
      </c>
      <c r="G16712" s="46">
        <v>1.3477715168271E13</v>
      </c>
      <c r="H16712" s="46" t="s">
        <v>3404</v>
      </c>
      <c r="I16712" s="46" t="s">
        <v>3405</v>
      </c>
      <c r="J16712" s="46" t="s">
        <v>132</v>
      </c>
      <c r="K16712" s="46" t="s">
        <v>126</v>
      </c>
      <c r="L16712" s="45">
        <v>46017.583333333336</v>
      </c>
      <c r="M16712" s="46" t="s">
        <v>123</v>
      </c>
      <c r="N16712" s="45">
        <v>46017.625</v>
      </c>
      <c r="O16712" s="46" t="s">
        <v>123</v>
      </c>
      <c r="P16712" s="46">
        <v>3600.0</v>
      </c>
    </row>
    <row r="16713">
      <c r="A16713" s="40">
        <f t="shared" si="1"/>
        <v>46013</v>
      </c>
      <c r="B16713" s="37" t="str">
        <f t="array" ref="B16713">iferror(xlookup($I16713, 'IMPORT VHC Report'!$E:$E, 'IMPORT VHC Report'!$A:$C), )</f>
        <v/>
      </c>
      <c r="C16713" s="44"/>
      <c r="D16713" s="44"/>
      <c r="E16713" s="46" t="s">
        <v>12916</v>
      </c>
      <c r="F16713" s="46" t="s">
        <v>3403</v>
      </c>
      <c r="G16713" s="46">
        <v>1.3477715168271E13</v>
      </c>
      <c r="H16713" s="46" t="s">
        <v>3404</v>
      </c>
      <c r="I16713" s="46" t="s">
        <v>3405</v>
      </c>
      <c r="J16713" s="46" t="s">
        <v>134</v>
      </c>
      <c r="K16713" s="46" t="s">
        <v>126</v>
      </c>
      <c r="L16713" s="45">
        <v>46017.708333333336</v>
      </c>
      <c r="M16713" s="46" t="s">
        <v>123</v>
      </c>
      <c r="N16713" s="45">
        <v>46017.729166666664</v>
      </c>
      <c r="O16713" s="46" t="s">
        <v>123</v>
      </c>
      <c r="P16713" s="46">
        <v>1800.0</v>
      </c>
    </row>
    <row r="16714">
      <c r="A16714" s="40">
        <f t="shared" si="1"/>
        <v>46013</v>
      </c>
      <c r="B16714" s="37" t="str">
        <f t="array" ref="B16714">iferror(xlookup($I16714, 'IMPORT VHC Report'!$E:$E, 'IMPORT VHC Report'!$A:$C), )</f>
        <v/>
      </c>
      <c r="C16714" s="44"/>
      <c r="D16714" s="44"/>
      <c r="E16714" s="46" t="s">
        <v>12917</v>
      </c>
      <c r="F16714" s="46" t="s">
        <v>3403</v>
      </c>
      <c r="G16714" s="46">
        <v>1.3477715168271E13</v>
      </c>
      <c r="H16714" s="46" t="s">
        <v>3404</v>
      </c>
      <c r="I16714" s="46" t="s">
        <v>3405</v>
      </c>
      <c r="J16714" s="46" t="s">
        <v>125</v>
      </c>
      <c r="K16714" s="46" t="s">
        <v>126</v>
      </c>
      <c r="L16714" s="45">
        <v>46018.416666666664</v>
      </c>
      <c r="M16714" s="46" t="s">
        <v>123</v>
      </c>
      <c r="N16714" s="45">
        <v>46018.42361111111</v>
      </c>
      <c r="O16714" s="46" t="s">
        <v>123</v>
      </c>
      <c r="P16714" s="46">
        <v>600.0</v>
      </c>
      <c r="S16714" s="46" t="s">
        <v>127</v>
      </c>
    </row>
    <row r="16715">
      <c r="A16715" s="40">
        <f t="shared" si="1"/>
        <v>46013</v>
      </c>
      <c r="B16715" s="37" t="str">
        <f t="array" ref="B16715">iferror(xlookup($I16715, 'IMPORT VHC Report'!$E:$E, 'IMPORT VHC Report'!$A:$C), )</f>
        <v/>
      </c>
      <c r="C16715" s="44"/>
      <c r="D16715" s="44"/>
      <c r="E16715" s="46" t="s">
        <v>12918</v>
      </c>
      <c r="F16715" s="46" t="s">
        <v>3403</v>
      </c>
      <c r="G16715" s="46">
        <v>1.3477715168271E13</v>
      </c>
      <c r="H16715" s="46" t="s">
        <v>3404</v>
      </c>
      <c r="I16715" s="46" t="s">
        <v>3405</v>
      </c>
      <c r="J16715" s="46" t="s">
        <v>122</v>
      </c>
      <c r="K16715" s="46" t="s">
        <v>63</v>
      </c>
      <c r="L16715" s="45">
        <v>46018.416666666664</v>
      </c>
      <c r="M16715" s="46" t="s">
        <v>123</v>
      </c>
      <c r="N16715" s="45">
        <v>46018.791666666664</v>
      </c>
      <c r="O16715" s="46" t="s">
        <v>123</v>
      </c>
      <c r="P16715" s="46">
        <v>32400.0</v>
      </c>
    </row>
    <row r="16716">
      <c r="A16716" s="40">
        <f t="shared" si="1"/>
        <v>46013</v>
      </c>
      <c r="B16716" s="37" t="str">
        <f t="array" ref="B16716">iferror(xlookup($I16716, 'IMPORT VHC Report'!$E:$E, 'IMPORT VHC Report'!$A:$C), )</f>
        <v/>
      </c>
      <c r="C16716" s="44"/>
      <c r="D16716" s="44"/>
      <c r="E16716" s="46" t="s">
        <v>12919</v>
      </c>
      <c r="F16716" s="46" t="s">
        <v>3403</v>
      </c>
      <c r="G16716" s="46">
        <v>1.3477715168271E13</v>
      </c>
      <c r="H16716" s="46" t="s">
        <v>3404</v>
      </c>
      <c r="I16716" s="46" t="s">
        <v>3405</v>
      </c>
      <c r="J16716" s="46" t="s">
        <v>132</v>
      </c>
      <c r="K16716" s="46" t="s">
        <v>126</v>
      </c>
      <c r="L16716" s="45">
        <v>46018.5</v>
      </c>
      <c r="M16716" s="46" t="s">
        <v>123</v>
      </c>
      <c r="N16716" s="45">
        <v>46018.541666666664</v>
      </c>
      <c r="O16716" s="46" t="s">
        <v>123</v>
      </c>
      <c r="P16716" s="46">
        <v>3600.0</v>
      </c>
    </row>
    <row r="16717">
      <c r="A16717" s="40">
        <f t="shared" si="1"/>
        <v>46013</v>
      </c>
      <c r="B16717" s="37" t="str">
        <f t="array" ref="B16717">iferror(xlookup($I16717, 'IMPORT VHC Report'!$E:$E, 'IMPORT VHC Report'!$A:$C), )</f>
        <v/>
      </c>
      <c r="C16717" s="44"/>
      <c r="D16717" s="44"/>
      <c r="E16717" s="46" t="s">
        <v>12920</v>
      </c>
      <c r="F16717" s="46" t="s">
        <v>3403</v>
      </c>
      <c r="G16717" s="46">
        <v>1.3477715168271E13</v>
      </c>
      <c r="H16717" s="46" t="s">
        <v>3404</v>
      </c>
      <c r="I16717" s="46" t="s">
        <v>3405</v>
      </c>
      <c r="J16717" s="46" t="s">
        <v>134</v>
      </c>
      <c r="K16717" s="46" t="s">
        <v>126</v>
      </c>
      <c r="L16717" s="45">
        <v>46018.635416666664</v>
      </c>
      <c r="M16717" s="46" t="s">
        <v>123</v>
      </c>
      <c r="N16717" s="45">
        <v>46018.65625</v>
      </c>
      <c r="O16717" s="46" t="s">
        <v>123</v>
      </c>
      <c r="P16717" s="46">
        <v>1800.0</v>
      </c>
    </row>
    <row r="16718">
      <c r="A16718" s="40">
        <f t="shared" si="1"/>
        <v>46013</v>
      </c>
      <c r="B16718" s="37" t="str">
        <f t="array" ref="B16718">iferror(xlookup($I16718, 'IMPORT VHC Report'!$E:$E, 'IMPORT VHC Report'!$A:$C), )</f>
        <v/>
      </c>
      <c r="C16718" s="44"/>
      <c r="D16718" s="44"/>
      <c r="E16718" s="46" t="s">
        <v>12921</v>
      </c>
      <c r="F16718" s="46" t="s">
        <v>3403</v>
      </c>
      <c r="G16718" s="46">
        <v>1.3477715168271E13</v>
      </c>
      <c r="H16718" s="46" t="s">
        <v>3404</v>
      </c>
      <c r="I16718" s="46" t="s">
        <v>3405</v>
      </c>
      <c r="J16718" s="46" t="s">
        <v>125</v>
      </c>
      <c r="K16718" s="46" t="s">
        <v>126</v>
      </c>
      <c r="L16718" s="45">
        <v>46019.416666666664</v>
      </c>
      <c r="M16718" s="46" t="s">
        <v>123</v>
      </c>
      <c r="N16718" s="45">
        <v>46019.42361111111</v>
      </c>
      <c r="O16718" s="46" t="s">
        <v>123</v>
      </c>
      <c r="P16718" s="46">
        <v>600.0</v>
      </c>
      <c r="S16718" s="46" t="s">
        <v>127</v>
      </c>
    </row>
    <row r="16719">
      <c r="A16719" s="40">
        <f t="shared" si="1"/>
        <v>46013</v>
      </c>
      <c r="B16719" s="37" t="str">
        <f t="array" ref="B16719">iferror(xlookup($I16719, 'IMPORT VHC Report'!$E:$E, 'IMPORT VHC Report'!$A:$C), )</f>
        <v/>
      </c>
      <c r="C16719" s="44"/>
      <c r="D16719" s="44"/>
      <c r="E16719" s="46" t="s">
        <v>12922</v>
      </c>
      <c r="F16719" s="46" t="s">
        <v>3403</v>
      </c>
      <c r="G16719" s="46">
        <v>1.3477715168271E13</v>
      </c>
      <c r="H16719" s="46" t="s">
        <v>3404</v>
      </c>
      <c r="I16719" s="46" t="s">
        <v>3405</v>
      </c>
      <c r="J16719" s="46" t="s">
        <v>122</v>
      </c>
      <c r="K16719" s="46" t="s">
        <v>63</v>
      </c>
      <c r="L16719" s="45">
        <v>46019.416666666664</v>
      </c>
      <c r="M16719" s="46" t="s">
        <v>123</v>
      </c>
      <c r="N16719" s="45">
        <v>46019.791666666664</v>
      </c>
      <c r="O16719" s="46" t="s">
        <v>123</v>
      </c>
      <c r="P16719" s="46">
        <v>32400.0</v>
      </c>
    </row>
    <row r="16720">
      <c r="A16720" s="40">
        <f t="shared" si="1"/>
        <v>46013</v>
      </c>
      <c r="B16720" s="37" t="str">
        <f t="array" ref="B16720">iferror(xlookup($I16720, 'IMPORT VHC Report'!$E:$E, 'IMPORT VHC Report'!$A:$C), )</f>
        <v/>
      </c>
      <c r="C16720" s="44"/>
      <c r="D16720" s="44"/>
      <c r="E16720" s="46" t="s">
        <v>12923</v>
      </c>
      <c r="F16720" s="46" t="s">
        <v>3403</v>
      </c>
      <c r="G16720" s="46">
        <v>1.3477715168271E13</v>
      </c>
      <c r="H16720" s="46" t="s">
        <v>3404</v>
      </c>
      <c r="I16720" s="46" t="s">
        <v>3405</v>
      </c>
      <c r="J16720" s="46" t="s">
        <v>132</v>
      </c>
      <c r="K16720" s="46" t="s">
        <v>126</v>
      </c>
      <c r="L16720" s="45">
        <v>46019.541666666664</v>
      </c>
      <c r="M16720" s="46" t="s">
        <v>123</v>
      </c>
      <c r="N16720" s="45">
        <v>46019.583333333336</v>
      </c>
      <c r="O16720" s="46" t="s">
        <v>123</v>
      </c>
      <c r="P16720" s="46">
        <v>3600.0</v>
      </c>
    </row>
    <row r="16721">
      <c r="A16721" s="40">
        <f t="shared" si="1"/>
        <v>46013</v>
      </c>
      <c r="B16721" s="37" t="str">
        <f t="array" ref="B16721">iferror(xlookup($I16721, 'IMPORT VHC Report'!$E:$E, 'IMPORT VHC Report'!$A:$C), )</f>
        <v/>
      </c>
      <c r="C16721" s="44"/>
      <c r="D16721" s="44"/>
      <c r="E16721" s="46" t="s">
        <v>12924</v>
      </c>
      <c r="F16721" s="46" t="s">
        <v>3403</v>
      </c>
      <c r="G16721" s="46">
        <v>1.3477715168271E13</v>
      </c>
      <c r="H16721" s="46" t="s">
        <v>3404</v>
      </c>
      <c r="I16721" s="46" t="s">
        <v>3405</v>
      </c>
      <c r="J16721" s="46" t="s">
        <v>134</v>
      </c>
      <c r="K16721" s="46" t="s">
        <v>126</v>
      </c>
      <c r="L16721" s="45">
        <v>46019.677083333336</v>
      </c>
      <c r="M16721" s="46" t="s">
        <v>123</v>
      </c>
      <c r="N16721" s="45">
        <v>46019.697916666664</v>
      </c>
      <c r="O16721" s="46" t="s">
        <v>123</v>
      </c>
      <c r="P16721" s="46">
        <v>1800.0</v>
      </c>
    </row>
    <row r="16722">
      <c r="A16722" s="40">
        <f t="shared" si="1"/>
        <v>46013</v>
      </c>
      <c r="B16722" s="37" t="str">
        <f t="array" ref="B16722">iferror(xlookup($I16722, 'IMPORT VHC Report'!$E:$E, 'IMPORT VHC Report'!$A:$C), )</f>
        <v/>
      </c>
      <c r="C16722" s="44"/>
      <c r="D16722" s="44"/>
      <c r="E16722" s="46" t="s">
        <v>12925</v>
      </c>
      <c r="F16722" s="46" t="s">
        <v>3554</v>
      </c>
      <c r="G16722" s="46">
        <v>3.61825397936E11</v>
      </c>
      <c r="H16722" s="46" t="s">
        <v>3555</v>
      </c>
      <c r="I16722" s="46" t="s">
        <v>3556</v>
      </c>
      <c r="J16722" s="46" t="s">
        <v>125</v>
      </c>
      <c r="K16722" s="46" t="s">
        <v>126</v>
      </c>
      <c r="L16722" s="45">
        <v>46013.416666666664</v>
      </c>
      <c r="M16722" s="46" t="s">
        <v>123</v>
      </c>
      <c r="N16722" s="45">
        <v>46013.42361111111</v>
      </c>
      <c r="O16722" s="46" t="s">
        <v>123</v>
      </c>
      <c r="P16722" s="46">
        <v>600.0</v>
      </c>
      <c r="S16722" s="46" t="s">
        <v>127</v>
      </c>
    </row>
    <row r="16723">
      <c r="A16723" s="40">
        <f t="shared" si="1"/>
        <v>46013</v>
      </c>
      <c r="B16723" s="37" t="str">
        <f t="array" ref="B16723">iferror(xlookup($I16723, 'IMPORT VHC Report'!$E:$E, 'IMPORT VHC Report'!$A:$C), )</f>
        <v/>
      </c>
      <c r="C16723" s="44"/>
      <c r="D16723" s="44"/>
      <c r="E16723" s="46" t="s">
        <v>12926</v>
      </c>
      <c r="F16723" s="46" t="s">
        <v>3554</v>
      </c>
      <c r="G16723" s="46">
        <v>3.61825397936E11</v>
      </c>
      <c r="H16723" s="46" t="s">
        <v>3555</v>
      </c>
      <c r="I16723" s="46" t="s">
        <v>3556</v>
      </c>
      <c r="J16723" s="46" t="s">
        <v>122</v>
      </c>
      <c r="K16723" s="46" t="s">
        <v>63</v>
      </c>
      <c r="L16723" s="45">
        <v>46013.416666666664</v>
      </c>
      <c r="M16723" s="46" t="s">
        <v>123</v>
      </c>
      <c r="N16723" s="45">
        <v>46013.791666666664</v>
      </c>
      <c r="O16723" s="46" t="s">
        <v>123</v>
      </c>
      <c r="P16723" s="46">
        <v>32400.0</v>
      </c>
    </row>
    <row r="16724">
      <c r="A16724" s="40">
        <f t="shared" si="1"/>
        <v>46013</v>
      </c>
      <c r="B16724" s="37" t="str">
        <f t="array" ref="B16724">iferror(xlookup($I16724, 'IMPORT VHC Report'!$E:$E, 'IMPORT VHC Report'!$A:$C), )</f>
        <v/>
      </c>
      <c r="C16724" s="44"/>
      <c r="D16724" s="44"/>
      <c r="E16724" s="46" t="s">
        <v>12927</v>
      </c>
      <c r="F16724" s="46" t="s">
        <v>3554</v>
      </c>
      <c r="G16724" s="46">
        <v>3.61825397936E11</v>
      </c>
      <c r="H16724" s="46" t="s">
        <v>3555</v>
      </c>
      <c r="I16724" s="46" t="s">
        <v>3556</v>
      </c>
      <c r="J16724" s="46" t="s">
        <v>134</v>
      </c>
      <c r="K16724" s="46" t="s">
        <v>126</v>
      </c>
      <c r="L16724" s="45">
        <v>46013.5</v>
      </c>
      <c r="M16724" s="46" t="s">
        <v>123</v>
      </c>
      <c r="N16724" s="45">
        <v>46013.520833333336</v>
      </c>
      <c r="O16724" s="46" t="s">
        <v>123</v>
      </c>
      <c r="P16724" s="46">
        <v>1800.0</v>
      </c>
    </row>
    <row r="16725">
      <c r="A16725" s="40">
        <f t="shared" si="1"/>
        <v>46013</v>
      </c>
      <c r="B16725" s="37" t="str">
        <f t="array" ref="B16725">iferror(xlookup($I16725, 'IMPORT VHC Report'!$E:$E, 'IMPORT VHC Report'!$A:$C), )</f>
        <v/>
      </c>
      <c r="C16725" s="44"/>
      <c r="D16725" s="44"/>
      <c r="E16725" s="46" t="s">
        <v>12928</v>
      </c>
      <c r="F16725" s="46" t="s">
        <v>3554</v>
      </c>
      <c r="G16725" s="46">
        <v>3.61825397936E11</v>
      </c>
      <c r="H16725" s="46" t="s">
        <v>3555</v>
      </c>
      <c r="I16725" s="46" t="s">
        <v>3556</v>
      </c>
      <c r="J16725" s="46" t="s">
        <v>125</v>
      </c>
      <c r="K16725" s="46" t="s">
        <v>126</v>
      </c>
      <c r="L16725" s="45">
        <v>46013.5625</v>
      </c>
      <c r="M16725" s="46" t="s">
        <v>123</v>
      </c>
      <c r="N16725" s="45">
        <v>46013.569444444445</v>
      </c>
      <c r="O16725" s="46" t="s">
        <v>123</v>
      </c>
      <c r="P16725" s="46">
        <v>600.0</v>
      </c>
      <c r="S16725" s="46" t="s">
        <v>12881</v>
      </c>
    </row>
    <row r="16726">
      <c r="A16726" s="40">
        <f t="shared" si="1"/>
        <v>46013</v>
      </c>
      <c r="B16726" s="37" t="str">
        <f t="array" ref="B16726">iferror(xlookup($I16726, 'IMPORT VHC Report'!$E:$E, 'IMPORT VHC Report'!$A:$C), )</f>
        <v/>
      </c>
      <c r="C16726" s="44"/>
      <c r="D16726" s="44"/>
      <c r="E16726" s="46" t="s">
        <v>12929</v>
      </c>
      <c r="F16726" s="46" t="s">
        <v>3554</v>
      </c>
      <c r="G16726" s="46">
        <v>3.61825397936E11</v>
      </c>
      <c r="H16726" s="46" t="s">
        <v>3555</v>
      </c>
      <c r="I16726" s="46" t="s">
        <v>3556</v>
      </c>
      <c r="J16726" s="46" t="s">
        <v>132</v>
      </c>
      <c r="K16726" s="46" t="s">
        <v>126</v>
      </c>
      <c r="L16726" s="45">
        <v>46013.572916666664</v>
      </c>
      <c r="M16726" s="46" t="s">
        <v>123</v>
      </c>
      <c r="N16726" s="45">
        <v>46013.614583333336</v>
      </c>
      <c r="O16726" s="46" t="s">
        <v>123</v>
      </c>
      <c r="P16726" s="46">
        <v>3600.0</v>
      </c>
    </row>
    <row r="16727">
      <c r="A16727" s="40">
        <f t="shared" si="1"/>
        <v>46013</v>
      </c>
      <c r="B16727" s="37" t="str">
        <f t="array" ref="B16727">iferror(xlookup($I16727, 'IMPORT VHC Report'!$E:$E, 'IMPORT VHC Report'!$A:$C), )</f>
        <v/>
      </c>
      <c r="C16727" s="44"/>
      <c r="D16727" s="44"/>
      <c r="E16727" s="46" t="s">
        <v>12930</v>
      </c>
      <c r="F16727" s="46" t="s">
        <v>3554</v>
      </c>
      <c r="G16727" s="46">
        <v>3.61825397936E11</v>
      </c>
      <c r="H16727" s="46" t="s">
        <v>3555</v>
      </c>
      <c r="I16727" s="46" t="s">
        <v>3556</v>
      </c>
      <c r="J16727" s="46" t="s">
        <v>125</v>
      </c>
      <c r="K16727" s="46" t="s">
        <v>126</v>
      </c>
      <c r="L16727" s="45">
        <v>46014.416666666664</v>
      </c>
      <c r="M16727" s="46" t="s">
        <v>123</v>
      </c>
      <c r="N16727" s="45">
        <v>46014.42361111111</v>
      </c>
      <c r="O16727" s="46" t="s">
        <v>123</v>
      </c>
      <c r="P16727" s="46">
        <v>600.0</v>
      </c>
      <c r="S16727" s="46" t="s">
        <v>127</v>
      </c>
    </row>
    <row r="16728">
      <c r="A16728" s="40">
        <f t="shared" si="1"/>
        <v>46013</v>
      </c>
      <c r="B16728" s="37" t="str">
        <f t="array" ref="B16728">iferror(xlookup($I16728, 'IMPORT VHC Report'!$E:$E, 'IMPORT VHC Report'!$A:$C), )</f>
        <v/>
      </c>
      <c r="C16728" s="44"/>
      <c r="D16728" s="44"/>
      <c r="E16728" s="46" t="s">
        <v>12931</v>
      </c>
      <c r="F16728" s="46" t="s">
        <v>3554</v>
      </c>
      <c r="G16728" s="46">
        <v>3.61825397936E11</v>
      </c>
      <c r="H16728" s="46" t="s">
        <v>3555</v>
      </c>
      <c r="I16728" s="46" t="s">
        <v>3556</v>
      </c>
      <c r="J16728" s="46" t="s">
        <v>122</v>
      </c>
      <c r="K16728" s="46" t="s">
        <v>63</v>
      </c>
      <c r="L16728" s="45">
        <v>46014.416666666664</v>
      </c>
      <c r="M16728" s="46" t="s">
        <v>123</v>
      </c>
      <c r="N16728" s="45">
        <v>46014.791666666664</v>
      </c>
      <c r="O16728" s="46" t="s">
        <v>123</v>
      </c>
      <c r="P16728" s="46">
        <v>32400.0</v>
      </c>
    </row>
    <row r="16729">
      <c r="A16729" s="40">
        <f t="shared" si="1"/>
        <v>46013</v>
      </c>
      <c r="B16729" s="37" t="str">
        <f t="array" ref="B16729">iferror(xlookup($I16729, 'IMPORT VHC Report'!$E:$E, 'IMPORT VHC Report'!$A:$C), )</f>
        <v/>
      </c>
      <c r="C16729" s="44"/>
      <c r="D16729" s="44"/>
      <c r="E16729" s="46" t="s">
        <v>12932</v>
      </c>
      <c r="F16729" s="46" t="s">
        <v>3554</v>
      </c>
      <c r="G16729" s="46">
        <v>3.61825397936E11</v>
      </c>
      <c r="H16729" s="46" t="s">
        <v>3555</v>
      </c>
      <c r="I16729" s="46" t="s">
        <v>3556</v>
      </c>
      <c r="J16729" s="46" t="s">
        <v>132</v>
      </c>
      <c r="K16729" s="46" t="s">
        <v>126</v>
      </c>
      <c r="L16729" s="45">
        <v>46014.541666666664</v>
      </c>
      <c r="M16729" s="46" t="s">
        <v>123</v>
      </c>
      <c r="N16729" s="45">
        <v>46014.583333333336</v>
      </c>
      <c r="O16729" s="46" t="s">
        <v>123</v>
      </c>
      <c r="P16729" s="46">
        <v>3600.0</v>
      </c>
    </row>
    <row r="16730">
      <c r="A16730" s="40">
        <f t="shared" si="1"/>
        <v>46013</v>
      </c>
      <c r="B16730" s="37" t="str">
        <f t="array" ref="B16730">iferror(xlookup($I16730, 'IMPORT VHC Report'!$E:$E, 'IMPORT VHC Report'!$A:$C), )</f>
        <v/>
      </c>
      <c r="C16730" s="44"/>
      <c r="D16730" s="44"/>
      <c r="E16730" s="46" t="s">
        <v>12933</v>
      </c>
      <c r="F16730" s="46" t="s">
        <v>3554</v>
      </c>
      <c r="G16730" s="46">
        <v>3.61825397936E11</v>
      </c>
      <c r="H16730" s="46" t="s">
        <v>3555</v>
      </c>
      <c r="I16730" s="46" t="s">
        <v>3556</v>
      </c>
      <c r="J16730" s="46" t="s">
        <v>136</v>
      </c>
      <c r="K16730" s="46" t="s">
        <v>126</v>
      </c>
      <c r="L16730" s="45">
        <v>46014.635416666664</v>
      </c>
      <c r="M16730" s="46" t="s">
        <v>123</v>
      </c>
      <c r="N16730" s="45">
        <v>46014.67916666667</v>
      </c>
      <c r="O16730" s="46" t="s">
        <v>123</v>
      </c>
      <c r="P16730" s="46">
        <v>3780.0</v>
      </c>
      <c r="S16730" s="46" t="s">
        <v>12883</v>
      </c>
    </row>
    <row r="16731">
      <c r="A16731" s="40">
        <f t="shared" si="1"/>
        <v>46013</v>
      </c>
      <c r="B16731" s="37" t="str">
        <f t="array" ref="B16731">iferror(xlookup($I16731, 'IMPORT VHC Report'!$E:$E, 'IMPORT VHC Report'!$A:$C), )</f>
        <v/>
      </c>
      <c r="C16731" s="44"/>
      <c r="D16731" s="44"/>
      <c r="E16731" s="46" t="s">
        <v>12934</v>
      </c>
      <c r="F16731" s="46" t="s">
        <v>3554</v>
      </c>
      <c r="G16731" s="46">
        <v>3.61825397936E11</v>
      </c>
      <c r="H16731" s="46" t="s">
        <v>3555</v>
      </c>
      <c r="I16731" s="46" t="s">
        <v>3556</v>
      </c>
      <c r="J16731" s="46" t="s">
        <v>134</v>
      </c>
      <c r="K16731" s="46" t="s">
        <v>126</v>
      </c>
      <c r="L16731" s="45">
        <v>46014.708333333336</v>
      </c>
      <c r="M16731" s="46" t="s">
        <v>123</v>
      </c>
      <c r="N16731" s="45">
        <v>46014.729166666664</v>
      </c>
      <c r="O16731" s="46" t="s">
        <v>123</v>
      </c>
      <c r="P16731" s="46">
        <v>1800.0</v>
      </c>
    </row>
    <row r="16732">
      <c r="A16732" s="40">
        <f t="shared" si="1"/>
        <v>46013</v>
      </c>
      <c r="B16732" s="37" t="str">
        <f t="array" ref="B16732">iferror(xlookup($I16732, 'IMPORT VHC Report'!$E:$E, 'IMPORT VHC Report'!$A:$C), )</f>
        <v/>
      </c>
      <c r="C16732" s="44"/>
      <c r="D16732" s="44"/>
      <c r="E16732" s="46" t="s">
        <v>12935</v>
      </c>
      <c r="F16732" s="46" t="s">
        <v>3554</v>
      </c>
      <c r="G16732" s="46">
        <v>3.61825397936E11</v>
      </c>
      <c r="H16732" s="46" t="s">
        <v>3555</v>
      </c>
      <c r="I16732" s="46" t="s">
        <v>3556</v>
      </c>
      <c r="J16732" s="46" t="s">
        <v>136</v>
      </c>
      <c r="K16732" s="46" t="s">
        <v>126</v>
      </c>
      <c r="L16732" s="45">
        <v>46015.416666666664</v>
      </c>
      <c r="M16732" s="46" t="s">
        <v>123</v>
      </c>
      <c r="N16732" s="45">
        <v>46015.447916666664</v>
      </c>
      <c r="O16732" s="46" t="s">
        <v>123</v>
      </c>
      <c r="P16732" s="46">
        <v>2700.0</v>
      </c>
      <c r="S16732" s="46" t="s">
        <v>137</v>
      </c>
    </row>
    <row r="16733">
      <c r="A16733" s="40">
        <f t="shared" si="1"/>
        <v>46013</v>
      </c>
      <c r="B16733" s="37" t="str">
        <f t="array" ref="B16733">iferror(xlookup($I16733, 'IMPORT VHC Report'!$E:$E, 'IMPORT VHC Report'!$A:$C), )</f>
        <v/>
      </c>
      <c r="C16733" s="44"/>
      <c r="D16733" s="44"/>
      <c r="E16733" s="46" t="s">
        <v>12936</v>
      </c>
      <c r="F16733" s="46" t="s">
        <v>3554</v>
      </c>
      <c r="G16733" s="46">
        <v>3.61825397936E11</v>
      </c>
      <c r="H16733" s="46" t="s">
        <v>3555</v>
      </c>
      <c r="I16733" s="46" t="s">
        <v>3556</v>
      </c>
      <c r="J16733" s="46" t="s">
        <v>122</v>
      </c>
      <c r="K16733" s="46" t="s">
        <v>63</v>
      </c>
      <c r="L16733" s="45">
        <v>46015.416666666664</v>
      </c>
      <c r="M16733" s="46" t="s">
        <v>123</v>
      </c>
      <c r="N16733" s="45">
        <v>46015.791666666664</v>
      </c>
      <c r="O16733" s="46" t="s">
        <v>123</v>
      </c>
      <c r="P16733" s="46">
        <v>32400.0</v>
      </c>
    </row>
    <row r="16734">
      <c r="A16734" s="40">
        <f t="shared" si="1"/>
        <v>46013</v>
      </c>
      <c r="B16734" s="37" t="str">
        <f t="array" ref="B16734">iferror(xlookup($I16734, 'IMPORT VHC Report'!$E:$E, 'IMPORT VHC Report'!$A:$C), )</f>
        <v/>
      </c>
      <c r="C16734" s="44"/>
      <c r="D16734" s="44"/>
      <c r="E16734" s="46" t="s">
        <v>12937</v>
      </c>
      <c r="F16734" s="46" t="s">
        <v>3554</v>
      </c>
      <c r="G16734" s="46">
        <v>3.61825397936E11</v>
      </c>
      <c r="H16734" s="46" t="s">
        <v>3555</v>
      </c>
      <c r="I16734" s="46" t="s">
        <v>3556</v>
      </c>
      <c r="J16734" s="46" t="s">
        <v>178</v>
      </c>
      <c r="K16734" s="46" t="s">
        <v>153</v>
      </c>
      <c r="L16734" s="45">
        <v>46015.416666666664</v>
      </c>
      <c r="M16734" s="46" t="s">
        <v>123</v>
      </c>
      <c r="N16734" s="45">
        <v>46015.791666666664</v>
      </c>
      <c r="O16734" s="46" t="s">
        <v>123</v>
      </c>
      <c r="P16734" s="46">
        <v>32400.0</v>
      </c>
      <c r="Q16734" s="46">
        <v>86400.0</v>
      </c>
    </row>
    <row r="16735">
      <c r="A16735" s="40">
        <f t="shared" si="1"/>
        <v>46013</v>
      </c>
      <c r="B16735" s="37" t="str">
        <f t="array" ref="B16735">iferror(xlookup($I16735, 'IMPORT VHC Report'!$E:$E, 'IMPORT VHC Report'!$A:$C), )</f>
        <v/>
      </c>
      <c r="C16735" s="44"/>
      <c r="D16735" s="44"/>
      <c r="E16735" s="46" t="s">
        <v>12938</v>
      </c>
      <c r="F16735" s="46" t="s">
        <v>3554</v>
      </c>
      <c r="G16735" s="46">
        <v>3.61825397936E11</v>
      </c>
      <c r="H16735" s="46" t="s">
        <v>3555</v>
      </c>
      <c r="I16735" s="46" t="s">
        <v>3556</v>
      </c>
      <c r="J16735" s="46" t="s">
        <v>125</v>
      </c>
      <c r="K16735" s="46" t="s">
        <v>126</v>
      </c>
      <c r="L16735" s="45">
        <v>46015.447916666664</v>
      </c>
      <c r="M16735" s="46" t="s">
        <v>123</v>
      </c>
      <c r="N16735" s="45">
        <v>46015.45486111111</v>
      </c>
      <c r="O16735" s="46" t="s">
        <v>123</v>
      </c>
      <c r="P16735" s="46">
        <v>600.0</v>
      </c>
      <c r="S16735" s="46" t="s">
        <v>127</v>
      </c>
    </row>
    <row r="16736">
      <c r="A16736" s="40">
        <f t="shared" si="1"/>
        <v>46013</v>
      </c>
      <c r="B16736" s="37" t="str">
        <f t="array" ref="B16736">iferror(xlookup($I16736, 'IMPORT VHC Report'!$E:$E, 'IMPORT VHC Report'!$A:$C), )</f>
        <v/>
      </c>
      <c r="C16736" s="44"/>
      <c r="D16736" s="44"/>
      <c r="E16736" s="46" t="s">
        <v>12939</v>
      </c>
      <c r="F16736" s="46" t="s">
        <v>3554</v>
      </c>
      <c r="G16736" s="46">
        <v>3.61825397936E11</v>
      </c>
      <c r="H16736" s="46" t="s">
        <v>3555</v>
      </c>
      <c r="I16736" s="46" t="s">
        <v>3556</v>
      </c>
      <c r="J16736" s="46" t="s">
        <v>134</v>
      </c>
      <c r="K16736" s="46" t="s">
        <v>126</v>
      </c>
      <c r="L16736" s="45">
        <v>46015.46875</v>
      </c>
      <c r="M16736" s="46" t="s">
        <v>123</v>
      </c>
      <c r="N16736" s="45">
        <v>46015.489583333336</v>
      </c>
      <c r="O16736" s="46" t="s">
        <v>123</v>
      </c>
      <c r="P16736" s="46">
        <v>1800.0</v>
      </c>
    </row>
    <row r="16737">
      <c r="A16737" s="40">
        <f t="shared" si="1"/>
        <v>46013</v>
      </c>
      <c r="B16737" s="37" t="str">
        <f t="array" ref="B16737">iferror(xlookup($I16737, 'IMPORT VHC Report'!$E:$E, 'IMPORT VHC Report'!$A:$C), )</f>
        <v/>
      </c>
      <c r="C16737" s="44"/>
      <c r="D16737" s="44"/>
      <c r="E16737" s="46" t="s">
        <v>12940</v>
      </c>
      <c r="F16737" s="46" t="s">
        <v>3554</v>
      </c>
      <c r="G16737" s="46">
        <v>3.61825397936E11</v>
      </c>
      <c r="H16737" s="46" t="s">
        <v>3555</v>
      </c>
      <c r="I16737" s="46" t="s">
        <v>3556</v>
      </c>
      <c r="J16737" s="46" t="s">
        <v>132</v>
      </c>
      <c r="K16737" s="46" t="s">
        <v>126</v>
      </c>
      <c r="L16737" s="45">
        <v>46015.625</v>
      </c>
      <c r="M16737" s="46" t="s">
        <v>123</v>
      </c>
      <c r="N16737" s="45">
        <v>46015.666666666664</v>
      </c>
      <c r="O16737" s="46" t="s">
        <v>123</v>
      </c>
      <c r="P16737" s="46">
        <v>3600.0</v>
      </c>
    </row>
    <row r="16738">
      <c r="A16738" s="40">
        <f t="shared" si="1"/>
        <v>46013</v>
      </c>
      <c r="B16738" s="37" t="str">
        <f t="array" ref="B16738">iferror(xlookup($I16738, 'IMPORT VHC Report'!$E:$E, 'IMPORT VHC Report'!$A:$C), )</f>
        <v/>
      </c>
      <c r="C16738" s="44"/>
      <c r="D16738" s="44"/>
      <c r="E16738" s="46" t="s">
        <v>12941</v>
      </c>
      <c r="F16738" s="46" t="s">
        <v>3554</v>
      </c>
      <c r="G16738" s="46">
        <v>3.61825397936E11</v>
      </c>
      <c r="H16738" s="46" t="s">
        <v>3555</v>
      </c>
      <c r="I16738" s="46" t="s">
        <v>3556</v>
      </c>
      <c r="J16738" s="46" t="s">
        <v>125</v>
      </c>
      <c r="K16738" s="46" t="s">
        <v>126</v>
      </c>
      <c r="L16738" s="45">
        <v>46016.416666666664</v>
      </c>
      <c r="M16738" s="46" t="s">
        <v>123</v>
      </c>
      <c r="N16738" s="45">
        <v>46016.42361111111</v>
      </c>
      <c r="O16738" s="46" t="s">
        <v>123</v>
      </c>
      <c r="P16738" s="46">
        <v>600.0</v>
      </c>
      <c r="S16738" s="46" t="s">
        <v>127</v>
      </c>
    </row>
    <row r="16739">
      <c r="A16739" s="40">
        <f t="shared" si="1"/>
        <v>46013</v>
      </c>
      <c r="B16739" s="37" t="str">
        <f t="array" ref="B16739">iferror(xlookup($I16739, 'IMPORT VHC Report'!$E:$E, 'IMPORT VHC Report'!$A:$C), )</f>
        <v/>
      </c>
      <c r="C16739" s="44"/>
      <c r="D16739" s="44"/>
      <c r="E16739" s="46" t="s">
        <v>12942</v>
      </c>
      <c r="F16739" s="46" t="s">
        <v>3554</v>
      </c>
      <c r="G16739" s="46">
        <v>3.61825397936E11</v>
      </c>
      <c r="H16739" s="46" t="s">
        <v>3555</v>
      </c>
      <c r="I16739" s="46" t="s">
        <v>3556</v>
      </c>
      <c r="J16739" s="46" t="s">
        <v>178</v>
      </c>
      <c r="K16739" s="46" t="s">
        <v>153</v>
      </c>
      <c r="L16739" s="45">
        <v>46016.416666666664</v>
      </c>
      <c r="M16739" s="46" t="s">
        <v>123</v>
      </c>
      <c r="N16739" s="45">
        <v>46016.791666666664</v>
      </c>
      <c r="O16739" s="46" t="s">
        <v>123</v>
      </c>
      <c r="P16739" s="46">
        <v>32400.0</v>
      </c>
      <c r="Q16739" s="46">
        <v>32400.0</v>
      </c>
    </row>
    <row r="16740">
      <c r="A16740" s="40">
        <f t="shared" si="1"/>
        <v>46013</v>
      </c>
      <c r="B16740" s="37" t="str">
        <f t="array" ref="B16740">iferror(xlookup($I16740, 'IMPORT VHC Report'!$E:$E, 'IMPORT VHC Report'!$A:$C), )</f>
        <v/>
      </c>
      <c r="C16740" s="44"/>
      <c r="D16740" s="44"/>
      <c r="E16740" s="46" t="s">
        <v>12943</v>
      </c>
      <c r="F16740" s="46" t="s">
        <v>3554</v>
      </c>
      <c r="G16740" s="46">
        <v>3.61825397936E11</v>
      </c>
      <c r="H16740" s="46" t="s">
        <v>3555</v>
      </c>
      <c r="I16740" s="46" t="s">
        <v>3556</v>
      </c>
      <c r="J16740" s="46" t="s">
        <v>122</v>
      </c>
      <c r="K16740" s="46" t="s">
        <v>63</v>
      </c>
      <c r="L16740" s="45">
        <v>46016.416666666664</v>
      </c>
      <c r="M16740" s="46" t="s">
        <v>123</v>
      </c>
      <c r="N16740" s="45">
        <v>46016.791666666664</v>
      </c>
      <c r="O16740" s="46" t="s">
        <v>123</v>
      </c>
      <c r="P16740" s="46">
        <v>32400.0</v>
      </c>
    </row>
    <row r="16741">
      <c r="A16741" s="40">
        <f t="shared" si="1"/>
        <v>46013</v>
      </c>
      <c r="B16741" s="37" t="str">
        <f t="array" ref="B16741">iferror(xlookup($I16741, 'IMPORT VHC Report'!$E:$E, 'IMPORT VHC Report'!$A:$C), )</f>
        <v/>
      </c>
      <c r="C16741" s="44"/>
      <c r="D16741" s="44"/>
      <c r="E16741" s="46" t="s">
        <v>12944</v>
      </c>
      <c r="F16741" s="46" t="s">
        <v>3554</v>
      </c>
      <c r="G16741" s="46">
        <v>3.61825397936E11</v>
      </c>
      <c r="H16741" s="46" t="s">
        <v>3555</v>
      </c>
      <c r="I16741" s="46" t="s">
        <v>3556</v>
      </c>
      <c r="J16741" s="46" t="s">
        <v>132</v>
      </c>
      <c r="K16741" s="46" t="s">
        <v>126</v>
      </c>
      <c r="L16741" s="45">
        <v>46016.510416666664</v>
      </c>
      <c r="M16741" s="46" t="s">
        <v>123</v>
      </c>
      <c r="N16741" s="45">
        <v>46016.552083333336</v>
      </c>
      <c r="O16741" s="46" t="s">
        <v>123</v>
      </c>
      <c r="P16741" s="46">
        <v>3600.0</v>
      </c>
    </row>
    <row r="16742">
      <c r="A16742" s="40">
        <f t="shared" si="1"/>
        <v>46013</v>
      </c>
      <c r="B16742" s="37" t="str">
        <f t="array" ref="B16742">iferror(xlookup($I16742, 'IMPORT VHC Report'!$E:$E, 'IMPORT VHC Report'!$A:$C), )</f>
        <v/>
      </c>
      <c r="C16742" s="44"/>
      <c r="D16742" s="44"/>
      <c r="E16742" s="46" t="s">
        <v>12945</v>
      </c>
      <c r="F16742" s="46" t="s">
        <v>3554</v>
      </c>
      <c r="G16742" s="46">
        <v>3.61825397936E11</v>
      </c>
      <c r="H16742" s="46" t="s">
        <v>3555</v>
      </c>
      <c r="I16742" s="46" t="s">
        <v>3556</v>
      </c>
      <c r="J16742" s="46" t="s">
        <v>134</v>
      </c>
      <c r="K16742" s="46" t="s">
        <v>126</v>
      </c>
      <c r="L16742" s="45">
        <v>46016.6875</v>
      </c>
      <c r="M16742" s="46" t="s">
        <v>123</v>
      </c>
      <c r="N16742" s="45">
        <v>46016.708333333336</v>
      </c>
      <c r="O16742" s="46" t="s">
        <v>123</v>
      </c>
      <c r="P16742" s="46">
        <v>1800.0</v>
      </c>
    </row>
    <row r="16743">
      <c r="A16743" s="40">
        <f t="shared" si="1"/>
        <v>46013</v>
      </c>
      <c r="B16743" s="37" t="str">
        <f t="array" ref="B16743">iferror(xlookup($I16743, 'IMPORT VHC Report'!$E:$E, 'IMPORT VHC Report'!$A:$C), )</f>
        <v/>
      </c>
      <c r="C16743" s="44"/>
      <c r="D16743" s="44"/>
      <c r="E16743" s="46" t="s">
        <v>12946</v>
      </c>
      <c r="F16743" s="46" t="s">
        <v>3554</v>
      </c>
      <c r="G16743" s="46">
        <v>3.61825397936E11</v>
      </c>
      <c r="H16743" s="46" t="s">
        <v>3555</v>
      </c>
      <c r="I16743" s="46" t="s">
        <v>3556</v>
      </c>
      <c r="J16743" s="46" t="s">
        <v>125</v>
      </c>
      <c r="K16743" s="46" t="s">
        <v>126</v>
      </c>
      <c r="L16743" s="45">
        <v>46017.416666666664</v>
      </c>
      <c r="M16743" s="46" t="s">
        <v>123</v>
      </c>
      <c r="N16743" s="45">
        <v>46017.42361111111</v>
      </c>
      <c r="O16743" s="46" t="s">
        <v>123</v>
      </c>
      <c r="P16743" s="46">
        <v>600.0</v>
      </c>
      <c r="S16743" s="46" t="s">
        <v>127</v>
      </c>
    </row>
    <row r="16744">
      <c r="A16744" s="40">
        <f t="shared" si="1"/>
        <v>46013</v>
      </c>
      <c r="B16744" s="37" t="str">
        <f t="array" ref="B16744">iferror(xlookup($I16744, 'IMPORT VHC Report'!$E:$E, 'IMPORT VHC Report'!$A:$C), )</f>
        <v/>
      </c>
      <c r="C16744" s="44"/>
      <c r="D16744" s="44"/>
      <c r="E16744" s="46" t="s">
        <v>12947</v>
      </c>
      <c r="F16744" s="46" t="s">
        <v>3554</v>
      </c>
      <c r="G16744" s="46">
        <v>3.61825397936E11</v>
      </c>
      <c r="H16744" s="46" t="s">
        <v>3555</v>
      </c>
      <c r="I16744" s="46" t="s">
        <v>3556</v>
      </c>
      <c r="J16744" s="46" t="s">
        <v>122</v>
      </c>
      <c r="K16744" s="46" t="s">
        <v>63</v>
      </c>
      <c r="L16744" s="45">
        <v>46017.416666666664</v>
      </c>
      <c r="M16744" s="46" t="s">
        <v>123</v>
      </c>
      <c r="N16744" s="45">
        <v>46017.791666666664</v>
      </c>
      <c r="O16744" s="46" t="s">
        <v>123</v>
      </c>
      <c r="P16744" s="46">
        <v>32400.0</v>
      </c>
    </row>
    <row r="16745">
      <c r="A16745" s="40">
        <f t="shared" si="1"/>
        <v>46013</v>
      </c>
      <c r="B16745" s="37" t="str">
        <f t="array" ref="B16745">iferror(xlookup($I16745, 'IMPORT VHC Report'!$E:$E, 'IMPORT VHC Report'!$A:$C), )</f>
        <v/>
      </c>
      <c r="C16745" s="44"/>
      <c r="D16745" s="44"/>
      <c r="E16745" s="46" t="s">
        <v>12948</v>
      </c>
      <c r="F16745" s="46" t="s">
        <v>3554</v>
      </c>
      <c r="G16745" s="46">
        <v>3.61825397936E11</v>
      </c>
      <c r="H16745" s="46" t="s">
        <v>3555</v>
      </c>
      <c r="I16745" s="46" t="s">
        <v>3556</v>
      </c>
      <c r="J16745" s="46" t="s">
        <v>178</v>
      </c>
      <c r="K16745" s="46" t="s">
        <v>153</v>
      </c>
      <c r="L16745" s="45">
        <v>46017.427083333336</v>
      </c>
      <c r="M16745" s="46" t="s">
        <v>123</v>
      </c>
      <c r="N16745" s="45">
        <v>46017.802083333336</v>
      </c>
      <c r="O16745" s="46" t="s">
        <v>123</v>
      </c>
      <c r="P16745" s="46">
        <v>32400.0</v>
      </c>
      <c r="Q16745" s="46">
        <v>32400.0</v>
      </c>
    </row>
    <row r="16746">
      <c r="A16746" s="40">
        <f t="shared" si="1"/>
        <v>46013</v>
      </c>
      <c r="B16746" s="37" t="str">
        <f t="array" ref="B16746">iferror(xlookup($I16746, 'IMPORT VHC Report'!$E:$E, 'IMPORT VHC Report'!$A:$C), )</f>
        <v/>
      </c>
      <c r="C16746" s="44"/>
      <c r="D16746" s="44"/>
      <c r="E16746" s="46" t="s">
        <v>12949</v>
      </c>
      <c r="F16746" s="46" t="s">
        <v>3554</v>
      </c>
      <c r="G16746" s="46">
        <v>3.61825397936E11</v>
      </c>
      <c r="H16746" s="46" t="s">
        <v>3555</v>
      </c>
      <c r="I16746" s="46" t="s">
        <v>3556</v>
      </c>
      <c r="J16746" s="46" t="s">
        <v>132</v>
      </c>
      <c r="K16746" s="46" t="s">
        <v>126</v>
      </c>
      <c r="L16746" s="45">
        <v>46017.541666666664</v>
      </c>
      <c r="M16746" s="46" t="s">
        <v>123</v>
      </c>
      <c r="N16746" s="45">
        <v>46017.583333333336</v>
      </c>
      <c r="O16746" s="46" t="s">
        <v>123</v>
      </c>
      <c r="P16746" s="46">
        <v>3600.0</v>
      </c>
    </row>
    <row r="16747">
      <c r="A16747" s="40">
        <f t="shared" si="1"/>
        <v>46013</v>
      </c>
      <c r="B16747" s="37" t="str">
        <f t="array" ref="B16747">iferror(xlookup($I16747, 'IMPORT VHC Report'!$E:$E, 'IMPORT VHC Report'!$A:$C), )</f>
        <v/>
      </c>
      <c r="C16747" s="44"/>
      <c r="D16747" s="44"/>
      <c r="E16747" s="46" t="s">
        <v>12950</v>
      </c>
      <c r="F16747" s="46" t="s">
        <v>3554</v>
      </c>
      <c r="G16747" s="46">
        <v>3.61825397936E11</v>
      </c>
      <c r="H16747" s="46" t="s">
        <v>3555</v>
      </c>
      <c r="I16747" s="46" t="s">
        <v>3556</v>
      </c>
      <c r="J16747" s="46" t="s">
        <v>134</v>
      </c>
      <c r="K16747" s="46" t="s">
        <v>126</v>
      </c>
      <c r="L16747" s="45">
        <v>46017.677083333336</v>
      </c>
      <c r="M16747" s="46" t="s">
        <v>123</v>
      </c>
      <c r="N16747" s="45">
        <v>46017.697916666664</v>
      </c>
      <c r="O16747" s="46" t="s">
        <v>123</v>
      </c>
      <c r="P16747" s="46">
        <v>1800.0</v>
      </c>
    </row>
    <row r="16748">
      <c r="A16748" s="40">
        <f t="shared" si="1"/>
        <v>46013</v>
      </c>
      <c r="B16748" s="37" t="str">
        <f t="array" ref="B16748">iferror(xlookup($I16748, 'IMPORT VHC Report'!$E:$E, 'IMPORT VHC Report'!$A:$C), )</f>
        <v/>
      </c>
      <c r="C16748" s="44"/>
      <c r="D16748" s="44"/>
      <c r="E16748" s="46" t="s">
        <v>12951</v>
      </c>
      <c r="F16748" s="46" t="s">
        <v>4270</v>
      </c>
      <c r="H16748" s="46" t="s">
        <v>4271</v>
      </c>
      <c r="I16748" s="46" t="s">
        <v>4272</v>
      </c>
      <c r="J16748" s="46" t="s">
        <v>125</v>
      </c>
      <c r="K16748" s="46" t="s">
        <v>126</v>
      </c>
      <c r="L16748" s="45">
        <v>46013.583333333336</v>
      </c>
      <c r="M16748" s="46" t="s">
        <v>123</v>
      </c>
      <c r="N16748" s="45">
        <v>46013.59027777778</v>
      </c>
      <c r="O16748" s="46" t="s">
        <v>123</v>
      </c>
      <c r="P16748" s="46">
        <v>600.0</v>
      </c>
      <c r="S16748" s="46" t="s">
        <v>127</v>
      </c>
    </row>
    <row r="16749">
      <c r="A16749" s="40">
        <f t="shared" si="1"/>
        <v>46013</v>
      </c>
      <c r="B16749" s="37" t="str">
        <f t="array" ref="B16749">iferror(xlookup($I16749, 'IMPORT VHC Report'!$E:$E, 'IMPORT VHC Report'!$A:$C), )</f>
        <v/>
      </c>
      <c r="C16749" s="44"/>
      <c r="D16749" s="44"/>
      <c r="E16749" s="46" t="s">
        <v>12952</v>
      </c>
      <c r="F16749" s="46" t="s">
        <v>4270</v>
      </c>
      <c r="H16749" s="46" t="s">
        <v>4271</v>
      </c>
      <c r="I16749" s="46" t="s">
        <v>4272</v>
      </c>
      <c r="J16749" s="46" t="s">
        <v>152</v>
      </c>
      <c r="K16749" s="46" t="s">
        <v>153</v>
      </c>
      <c r="L16749" s="45">
        <v>46013.583333333336</v>
      </c>
      <c r="M16749" s="46" t="s">
        <v>123</v>
      </c>
      <c r="N16749" s="45">
        <v>46013.958333333336</v>
      </c>
      <c r="O16749" s="46" t="s">
        <v>123</v>
      </c>
      <c r="P16749" s="46">
        <v>32400.0</v>
      </c>
      <c r="Q16749" s="46">
        <v>28800.0</v>
      </c>
      <c r="R16749" s="46" t="s">
        <v>12953</v>
      </c>
    </row>
    <row r="16750">
      <c r="A16750" s="40">
        <f t="shared" si="1"/>
        <v>46013</v>
      </c>
      <c r="B16750" s="37" t="str">
        <f t="array" ref="B16750">iferror(xlookup($I16750, 'IMPORT VHC Report'!$E:$E, 'IMPORT VHC Report'!$A:$C), )</f>
        <v/>
      </c>
      <c r="C16750" s="44"/>
      <c r="D16750" s="44"/>
      <c r="E16750" s="46" t="s">
        <v>12954</v>
      </c>
      <c r="F16750" s="46" t="s">
        <v>4270</v>
      </c>
      <c r="H16750" s="46" t="s">
        <v>4271</v>
      </c>
      <c r="I16750" s="46" t="s">
        <v>4272</v>
      </c>
      <c r="J16750" s="46" t="s">
        <v>122</v>
      </c>
      <c r="K16750" s="46" t="s">
        <v>63</v>
      </c>
      <c r="L16750" s="45">
        <v>46013.583333333336</v>
      </c>
      <c r="M16750" s="46" t="s">
        <v>123</v>
      </c>
      <c r="N16750" s="45">
        <v>46013.958333333336</v>
      </c>
      <c r="O16750" s="46" t="s">
        <v>123</v>
      </c>
      <c r="P16750" s="46">
        <v>32400.0</v>
      </c>
    </row>
    <row r="16751">
      <c r="A16751" s="40">
        <f t="shared" si="1"/>
        <v>46013</v>
      </c>
      <c r="B16751" s="37" t="str">
        <f t="array" ref="B16751">iferror(xlookup($I16751, 'IMPORT VHC Report'!$E:$E, 'IMPORT VHC Report'!$A:$C), )</f>
        <v/>
      </c>
      <c r="C16751" s="44"/>
      <c r="D16751" s="44"/>
      <c r="E16751" s="46" t="s">
        <v>12955</v>
      </c>
      <c r="F16751" s="46" t="s">
        <v>4270</v>
      </c>
      <c r="H16751" s="46" t="s">
        <v>4271</v>
      </c>
      <c r="I16751" s="46" t="s">
        <v>4272</v>
      </c>
      <c r="J16751" s="46" t="s">
        <v>134</v>
      </c>
      <c r="K16751" s="46" t="s">
        <v>126</v>
      </c>
      <c r="L16751" s="45">
        <v>46013.677083333336</v>
      </c>
      <c r="M16751" s="46" t="s">
        <v>123</v>
      </c>
      <c r="N16751" s="45">
        <v>46013.697916666664</v>
      </c>
      <c r="O16751" s="46" t="s">
        <v>123</v>
      </c>
      <c r="P16751" s="46">
        <v>1800.0</v>
      </c>
    </row>
    <row r="16752">
      <c r="A16752" s="40">
        <f t="shared" si="1"/>
        <v>46013</v>
      </c>
      <c r="B16752" s="37" t="str">
        <f t="array" ref="B16752">iferror(xlookup($I16752, 'IMPORT VHC Report'!$E:$E, 'IMPORT VHC Report'!$A:$C), )</f>
        <v/>
      </c>
      <c r="C16752" s="44"/>
      <c r="D16752" s="44"/>
      <c r="E16752" s="46" t="s">
        <v>12956</v>
      </c>
      <c r="F16752" s="46" t="s">
        <v>4270</v>
      </c>
      <c r="H16752" s="46" t="s">
        <v>4271</v>
      </c>
      <c r="I16752" s="46" t="s">
        <v>4272</v>
      </c>
      <c r="J16752" s="46" t="s">
        <v>132</v>
      </c>
      <c r="K16752" s="46" t="s">
        <v>126</v>
      </c>
      <c r="L16752" s="45">
        <v>46013.78125</v>
      </c>
      <c r="M16752" s="46" t="s">
        <v>123</v>
      </c>
      <c r="N16752" s="45">
        <v>46013.822916666664</v>
      </c>
      <c r="O16752" s="46" t="s">
        <v>123</v>
      </c>
      <c r="P16752" s="46">
        <v>3600.0</v>
      </c>
    </row>
    <row r="16753">
      <c r="A16753" s="40">
        <f t="shared" si="1"/>
        <v>46013</v>
      </c>
      <c r="B16753" s="37" t="str">
        <f t="array" ref="B16753">iferror(xlookup($I16753, 'IMPORT VHC Report'!$E:$E, 'IMPORT VHC Report'!$A:$C), )</f>
        <v/>
      </c>
      <c r="C16753" s="44"/>
      <c r="D16753" s="44"/>
      <c r="E16753" s="46" t="s">
        <v>12957</v>
      </c>
      <c r="F16753" s="46" t="s">
        <v>4270</v>
      </c>
      <c r="H16753" s="46" t="s">
        <v>4271</v>
      </c>
      <c r="I16753" s="46" t="s">
        <v>4272</v>
      </c>
      <c r="J16753" s="46" t="s">
        <v>125</v>
      </c>
      <c r="K16753" s="46" t="s">
        <v>126</v>
      </c>
      <c r="L16753" s="45">
        <v>46014.583333333336</v>
      </c>
      <c r="M16753" s="46" t="s">
        <v>123</v>
      </c>
      <c r="N16753" s="45">
        <v>46014.59027777778</v>
      </c>
      <c r="O16753" s="46" t="s">
        <v>123</v>
      </c>
      <c r="P16753" s="46">
        <v>600.0</v>
      </c>
      <c r="S16753" s="46" t="s">
        <v>127</v>
      </c>
    </row>
    <row r="16754">
      <c r="A16754" s="40">
        <f t="shared" si="1"/>
        <v>46013</v>
      </c>
      <c r="B16754" s="37" t="str">
        <f t="array" ref="B16754">iferror(xlookup($I16754, 'IMPORT VHC Report'!$E:$E, 'IMPORT VHC Report'!$A:$C), )</f>
        <v/>
      </c>
      <c r="C16754" s="44"/>
      <c r="D16754" s="44"/>
      <c r="E16754" s="46" t="s">
        <v>12958</v>
      </c>
      <c r="F16754" s="46" t="s">
        <v>4270</v>
      </c>
      <c r="H16754" s="46" t="s">
        <v>4271</v>
      </c>
      <c r="I16754" s="46" t="s">
        <v>4272</v>
      </c>
      <c r="J16754" s="46" t="s">
        <v>122</v>
      </c>
      <c r="K16754" s="46" t="s">
        <v>63</v>
      </c>
      <c r="L16754" s="45">
        <v>46014.583333333336</v>
      </c>
      <c r="M16754" s="46" t="s">
        <v>123</v>
      </c>
      <c r="N16754" s="45">
        <v>46014.958333333336</v>
      </c>
      <c r="O16754" s="46" t="s">
        <v>123</v>
      </c>
      <c r="P16754" s="46">
        <v>32400.0</v>
      </c>
    </row>
    <row r="16755">
      <c r="A16755" s="40">
        <f t="shared" si="1"/>
        <v>46013</v>
      </c>
      <c r="B16755" s="37" t="str">
        <f t="array" ref="B16755">iferror(xlookup($I16755, 'IMPORT VHC Report'!$E:$E, 'IMPORT VHC Report'!$A:$C), )</f>
        <v/>
      </c>
      <c r="C16755" s="44"/>
      <c r="D16755" s="44"/>
      <c r="E16755" s="46" t="s">
        <v>12959</v>
      </c>
      <c r="F16755" s="46" t="s">
        <v>4270</v>
      </c>
      <c r="H16755" s="46" t="s">
        <v>4271</v>
      </c>
      <c r="I16755" s="46" t="s">
        <v>4272</v>
      </c>
      <c r="J16755" s="46" t="s">
        <v>134</v>
      </c>
      <c r="K16755" s="46" t="s">
        <v>126</v>
      </c>
      <c r="L16755" s="45">
        <v>46014.666666666664</v>
      </c>
      <c r="M16755" s="46" t="s">
        <v>123</v>
      </c>
      <c r="N16755" s="45">
        <v>46014.6875</v>
      </c>
      <c r="O16755" s="46" t="s">
        <v>123</v>
      </c>
      <c r="P16755" s="46">
        <v>1800.0</v>
      </c>
    </row>
    <row r="16756">
      <c r="A16756" s="40">
        <f t="shared" si="1"/>
        <v>46013</v>
      </c>
      <c r="B16756" s="37" t="str">
        <f t="array" ref="B16756">iferror(xlookup($I16756, 'IMPORT VHC Report'!$E:$E, 'IMPORT VHC Report'!$A:$C), )</f>
        <v/>
      </c>
      <c r="C16756" s="44"/>
      <c r="D16756" s="44"/>
      <c r="E16756" s="46" t="s">
        <v>12960</v>
      </c>
      <c r="F16756" s="46" t="s">
        <v>4270</v>
      </c>
      <c r="H16756" s="46" t="s">
        <v>4271</v>
      </c>
      <c r="I16756" s="46" t="s">
        <v>4272</v>
      </c>
      <c r="J16756" s="46" t="s">
        <v>132</v>
      </c>
      <c r="K16756" s="46" t="s">
        <v>126</v>
      </c>
      <c r="L16756" s="45">
        <v>46014.791666666664</v>
      </c>
      <c r="M16756" s="46" t="s">
        <v>123</v>
      </c>
      <c r="N16756" s="45">
        <v>46014.833333333336</v>
      </c>
      <c r="O16756" s="46" t="s">
        <v>123</v>
      </c>
      <c r="P16756" s="46">
        <v>3600.0</v>
      </c>
    </row>
    <row r="16757">
      <c r="A16757" s="40">
        <f t="shared" si="1"/>
        <v>46013</v>
      </c>
      <c r="B16757" s="37" t="str">
        <f t="array" ref="B16757">iferror(xlookup($I16757, 'IMPORT VHC Report'!$E:$E, 'IMPORT VHC Report'!$A:$C), )</f>
        <v/>
      </c>
      <c r="C16757" s="44"/>
      <c r="D16757" s="44"/>
      <c r="E16757" s="46" t="s">
        <v>12961</v>
      </c>
      <c r="F16757" s="46" t="s">
        <v>4270</v>
      </c>
      <c r="H16757" s="46" t="s">
        <v>4271</v>
      </c>
      <c r="I16757" s="46" t="s">
        <v>4272</v>
      </c>
      <c r="J16757" s="46" t="s">
        <v>125</v>
      </c>
      <c r="K16757" s="46" t="s">
        <v>126</v>
      </c>
      <c r="L16757" s="45">
        <v>46015.583333333336</v>
      </c>
      <c r="M16757" s="46" t="s">
        <v>123</v>
      </c>
      <c r="N16757" s="45">
        <v>46015.59027777778</v>
      </c>
      <c r="O16757" s="46" t="s">
        <v>123</v>
      </c>
      <c r="P16757" s="46">
        <v>600.0</v>
      </c>
      <c r="S16757" s="46" t="s">
        <v>127</v>
      </c>
    </row>
    <row r="16758">
      <c r="A16758" s="40">
        <f t="shared" si="1"/>
        <v>46013</v>
      </c>
      <c r="B16758" s="37" t="str">
        <f t="array" ref="B16758">iferror(xlookup($I16758, 'IMPORT VHC Report'!$E:$E, 'IMPORT VHC Report'!$A:$C), )</f>
        <v/>
      </c>
      <c r="C16758" s="44"/>
      <c r="D16758" s="44"/>
      <c r="E16758" s="46" t="s">
        <v>12962</v>
      </c>
      <c r="F16758" s="46" t="s">
        <v>4270</v>
      </c>
      <c r="H16758" s="46" t="s">
        <v>4271</v>
      </c>
      <c r="I16758" s="46" t="s">
        <v>4272</v>
      </c>
      <c r="J16758" s="46" t="s">
        <v>122</v>
      </c>
      <c r="K16758" s="46" t="s">
        <v>63</v>
      </c>
      <c r="L16758" s="45">
        <v>46015.583333333336</v>
      </c>
      <c r="M16758" s="46" t="s">
        <v>123</v>
      </c>
      <c r="N16758" s="45">
        <v>46015.958333333336</v>
      </c>
      <c r="O16758" s="46" t="s">
        <v>123</v>
      </c>
      <c r="P16758" s="46">
        <v>32400.0</v>
      </c>
    </row>
    <row r="16759">
      <c r="A16759" s="40">
        <f t="shared" si="1"/>
        <v>46013</v>
      </c>
      <c r="B16759" s="37" t="str">
        <f t="array" ref="B16759">iferror(xlookup($I16759, 'IMPORT VHC Report'!$E:$E, 'IMPORT VHC Report'!$A:$C), )</f>
        <v/>
      </c>
      <c r="C16759" s="44"/>
      <c r="D16759" s="44"/>
      <c r="E16759" s="46" t="s">
        <v>12963</v>
      </c>
      <c r="F16759" s="46" t="s">
        <v>4270</v>
      </c>
      <c r="H16759" s="46" t="s">
        <v>4271</v>
      </c>
      <c r="I16759" s="46" t="s">
        <v>4272</v>
      </c>
      <c r="J16759" s="46" t="s">
        <v>134</v>
      </c>
      <c r="K16759" s="46" t="s">
        <v>126</v>
      </c>
      <c r="L16759" s="45">
        <v>46015.666666666664</v>
      </c>
      <c r="M16759" s="46" t="s">
        <v>123</v>
      </c>
      <c r="N16759" s="45">
        <v>46015.6875</v>
      </c>
      <c r="O16759" s="46" t="s">
        <v>123</v>
      </c>
      <c r="P16759" s="46">
        <v>1800.0</v>
      </c>
    </row>
    <row r="16760">
      <c r="A16760" s="40">
        <f t="shared" si="1"/>
        <v>46013</v>
      </c>
      <c r="B16760" s="37" t="str">
        <f t="array" ref="B16760">iferror(xlookup($I16760, 'IMPORT VHC Report'!$E:$E, 'IMPORT VHC Report'!$A:$C), )</f>
        <v/>
      </c>
      <c r="C16760" s="44"/>
      <c r="D16760" s="44"/>
      <c r="E16760" s="46" t="s">
        <v>12964</v>
      </c>
      <c r="F16760" s="46" t="s">
        <v>4270</v>
      </c>
      <c r="H16760" s="46" t="s">
        <v>4271</v>
      </c>
      <c r="I16760" s="46" t="s">
        <v>4272</v>
      </c>
      <c r="J16760" s="46" t="s">
        <v>132</v>
      </c>
      <c r="K16760" s="46" t="s">
        <v>126</v>
      </c>
      <c r="L16760" s="45">
        <v>46015.6875</v>
      </c>
      <c r="M16760" s="46" t="s">
        <v>123</v>
      </c>
      <c r="N16760" s="45">
        <v>46015.729166666664</v>
      </c>
      <c r="O16760" s="46" t="s">
        <v>123</v>
      </c>
      <c r="P16760" s="46">
        <v>3600.0</v>
      </c>
    </row>
    <row r="16761">
      <c r="A16761" s="40">
        <f t="shared" si="1"/>
        <v>46013</v>
      </c>
      <c r="B16761" s="37" t="str">
        <f t="array" ref="B16761">iferror(xlookup($I16761, 'IMPORT VHC Report'!$E:$E, 'IMPORT VHC Report'!$A:$C), )</f>
        <v/>
      </c>
      <c r="C16761" s="44"/>
      <c r="D16761" s="44"/>
      <c r="E16761" s="46" t="s">
        <v>12965</v>
      </c>
      <c r="F16761" s="46" t="s">
        <v>4270</v>
      </c>
      <c r="H16761" s="46" t="s">
        <v>4271</v>
      </c>
      <c r="I16761" s="46" t="s">
        <v>4272</v>
      </c>
      <c r="J16761" s="46" t="s">
        <v>125</v>
      </c>
      <c r="K16761" s="46" t="s">
        <v>126</v>
      </c>
      <c r="L16761" s="45">
        <v>46016.583333333336</v>
      </c>
      <c r="M16761" s="46" t="s">
        <v>123</v>
      </c>
      <c r="N16761" s="45">
        <v>46016.59027777778</v>
      </c>
      <c r="O16761" s="46" t="s">
        <v>123</v>
      </c>
      <c r="P16761" s="46">
        <v>600.0</v>
      </c>
      <c r="S16761" s="46" t="s">
        <v>127</v>
      </c>
    </row>
    <row r="16762">
      <c r="A16762" s="40">
        <f t="shared" si="1"/>
        <v>46013</v>
      </c>
      <c r="B16762" s="37" t="str">
        <f t="array" ref="B16762">iferror(xlookup($I16762, 'IMPORT VHC Report'!$E:$E, 'IMPORT VHC Report'!$A:$C), )</f>
        <v/>
      </c>
      <c r="C16762" s="44"/>
      <c r="D16762" s="44"/>
      <c r="E16762" s="46" t="s">
        <v>12966</v>
      </c>
      <c r="F16762" s="46" t="s">
        <v>4270</v>
      </c>
      <c r="H16762" s="46" t="s">
        <v>4271</v>
      </c>
      <c r="I16762" s="46" t="s">
        <v>4272</v>
      </c>
      <c r="J16762" s="46" t="s">
        <v>122</v>
      </c>
      <c r="K16762" s="46" t="s">
        <v>63</v>
      </c>
      <c r="L16762" s="45">
        <v>46016.583333333336</v>
      </c>
      <c r="M16762" s="46" t="s">
        <v>123</v>
      </c>
      <c r="N16762" s="45">
        <v>46016.958333333336</v>
      </c>
      <c r="O16762" s="46" t="s">
        <v>123</v>
      </c>
      <c r="P16762" s="46">
        <v>32400.0</v>
      </c>
    </row>
    <row r="16763">
      <c r="A16763" s="40">
        <f t="shared" si="1"/>
        <v>46013</v>
      </c>
      <c r="B16763" s="37" t="str">
        <f t="array" ref="B16763">iferror(xlookup($I16763, 'IMPORT VHC Report'!$E:$E, 'IMPORT VHC Report'!$A:$C), )</f>
        <v/>
      </c>
      <c r="C16763" s="44"/>
      <c r="D16763" s="44"/>
      <c r="E16763" s="46" t="s">
        <v>12967</v>
      </c>
      <c r="F16763" s="46" t="s">
        <v>4270</v>
      </c>
      <c r="H16763" s="46" t="s">
        <v>4271</v>
      </c>
      <c r="I16763" s="46" t="s">
        <v>4272</v>
      </c>
      <c r="J16763" s="46" t="s">
        <v>132</v>
      </c>
      <c r="K16763" s="46" t="s">
        <v>126</v>
      </c>
      <c r="L16763" s="45">
        <v>46016.645833333336</v>
      </c>
      <c r="M16763" s="46" t="s">
        <v>123</v>
      </c>
      <c r="N16763" s="45">
        <v>46016.6875</v>
      </c>
      <c r="O16763" s="46" t="s">
        <v>123</v>
      </c>
      <c r="P16763" s="46">
        <v>3600.0</v>
      </c>
    </row>
    <row r="16764">
      <c r="A16764" s="40">
        <f t="shared" si="1"/>
        <v>46013</v>
      </c>
      <c r="B16764" s="37" t="str">
        <f t="array" ref="B16764">iferror(xlookup($I16764, 'IMPORT VHC Report'!$E:$E, 'IMPORT VHC Report'!$A:$C), )</f>
        <v/>
      </c>
      <c r="C16764" s="44"/>
      <c r="D16764" s="44"/>
      <c r="E16764" s="46" t="s">
        <v>12968</v>
      </c>
      <c r="F16764" s="46" t="s">
        <v>4270</v>
      </c>
      <c r="H16764" s="46" t="s">
        <v>4271</v>
      </c>
      <c r="I16764" s="46" t="s">
        <v>4272</v>
      </c>
      <c r="J16764" s="46" t="s">
        <v>134</v>
      </c>
      <c r="K16764" s="46" t="s">
        <v>126</v>
      </c>
      <c r="L16764" s="45">
        <v>46016.8125</v>
      </c>
      <c r="M16764" s="46" t="s">
        <v>123</v>
      </c>
      <c r="N16764" s="45">
        <v>46016.833333333336</v>
      </c>
      <c r="O16764" s="46" t="s">
        <v>123</v>
      </c>
      <c r="P16764" s="46">
        <v>1800.0</v>
      </c>
    </row>
    <row r="16765">
      <c r="A16765" s="40">
        <f t="shared" si="1"/>
        <v>46013</v>
      </c>
      <c r="B16765" s="37" t="str">
        <f t="array" ref="B16765">iferror(xlookup($I16765, 'IMPORT VHC Report'!$E:$E, 'IMPORT VHC Report'!$A:$C), )</f>
        <v/>
      </c>
      <c r="C16765" s="44"/>
      <c r="D16765" s="44"/>
      <c r="E16765" s="46" t="s">
        <v>12969</v>
      </c>
      <c r="F16765" s="46" t="s">
        <v>4270</v>
      </c>
      <c r="H16765" s="46" t="s">
        <v>4271</v>
      </c>
      <c r="I16765" s="46" t="s">
        <v>4272</v>
      </c>
      <c r="J16765" s="46" t="s">
        <v>125</v>
      </c>
      <c r="K16765" s="46" t="s">
        <v>126</v>
      </c>
      <c r="L16765" s="45">
        <v>46019.583333333336</v>
      </c>
      <c r="M16765" s="46" t="s">
        <v>123</v>
      </c>
      <c r="N16765" s="45">
        <v>46019.59027777778</v>
      </c>
      <c r="O16765" s="46" t="s">
        <v>123</v>
      </c>
      <c r="P16765" s="46">
        <v>600.0</v>
      </c>
      <c r="S16765" s="46" t="s">
        <v>127</v>
      </c>
    </row>
    <row r="16766">
      <c r="A16766" s="40">
        <f t="shared" si="1"/>
        <v>46013</v>
      </c>
      <c r="B16766" s="37" t="str">
        <f t="array" ref="B16766">iferror(xlookup($I16766, 'IMPORT VHC Report'!$E:$E, 'IMPORT VHC Report'!$A:$C), )</f>
        <v/>
      </c>
      <c r="C16766" s="44"/>
      <c r="D16766" s="44"/>
      <c r="E16766" s="46" t="s">
        <v>12970</v>
      </c>
      <c r="F16766" s="46" t="s">
        <v>4270</v>
      </c>
      <c r="H16766" s="46" t="s">
        <v>4271</v>
      </c>
      <c r="I16766" s="46" t="s">
        <v>4272</v>
      </c>
      <c r="J16766" s="46" t="s">
        <v>178</v>
      </c>
      <c r="K16766" s="46" t="s">
        <v>153</v>
      </c>
      <c r="L16766" s="45">
        <v>46019.583333333336</v>
      </c>
      <c r="M16766" s="46" t="s">
        <v>123</v>
      </c>
      <c r="N16766" s="45">
        <v>46019.958333333336</v>
      </c>
      <c r="O16766" s="46" t="s">
        <v>123</v>
      </c>
      <c r="P16766" s="46">
        <v>32400.0</v>
      </c>
      <c r="Q16766" s="46">
        <v>57600.0</v>
      </c>
      <c r="R16766" s="46" t="s">
        <v>12971</v>
      </c>
    </row>
    <row r="16767">
      <c r="A16767" s="40">
        <f t="shared" si="1"/>
        <v>46013</v>
      </c>
      <c r="B16767" s="37" t="str">
        <f t="array" ref="B16767">iferror(xlookup($I16767, 'IMPORT VHC Report'!$E:$E, 'IMPORT VHC Report'!$A:$C), )</f>
        <v/>
      </c>
      <c r="C16767" s="44"/>
      <c r="D16767" s="44"/>
      <c r="E16767" s="46" t="s">
        <v>12972</v>
      </c>
      <c r="F16767" s="46" t="s">
        <v>4270</v>
      </c>
      <c r="H16767" s="46" t="s">
        <v>4271</v>
      </c>
      <c r="I16767" s="46" t="s">
        <v>4272</v>
      </c>
      <c r="J16767" s="46" t="s">
        <v>122</v>
      </c>
      <c r="K16767" s="46" t="s">
        <v>63</v>
      </c>
      <c r="L16767" s="45">
        <v>46019.583333333336</v>
      </c>
      <c r="M16767" s="46" t="s">
        <v>123</v>
      </c>
      <c r="N16767" s="45">
        <v>46019.958333333336</v>
      </c>
      <c r="O16767" s="46" t="s">
        <v>123</v>
      </c>
      <c r="P16767" s="46">
        <v>32400.0</v>
      </c>
    </row>
    <row r="16768">
      <c r="A16768" s="40">
        <f t="shared" si="1"/>
        <v>46013</v>
      </c>
      <c r="B16768" s="37" t="str">
        <f t="array" ref="B16768">iferror(xlookup($I16768, 'IMPORT VHC Report'!$E:$E, 'IMPORT VHC Report'!$A:$C), )</f>
        <v/>
      </c>
      <c r="C16768" s="44"/>
      <c r="D16768" s="44"/>
      <c r="E16768" s="46" t="s">
        <v>12973</v>
      </c>
      <c r="F16768" s="46" t="s">
        <v>4270</v>
      </c>
      <c r="H16768" s="46" t="s">
        <v>4271</v>
      </c>
      <c r="I16768" s="46" t="s">
        <v>4272</v>
      </c>
      <c r="J16768" s="46" t="s">
        <v>132</v>
      </c>
      <c r="K16768" s="46" t="s">
        <v>126</v>
      </c>
      <c r="L16768" s="45">
        <v>46019.708333333336</v>
      </c>
      <c r="M16768" s="46" t="s">
        <v>123</v>
      </c>
      <c r="N16768" s="45">
        <v>46019.75</v>
      </c>
      <c r="O16768" s="46" t="s">
        <v>123</v>
      </c>
      <c r="P16768" s="46">
        <v>3600.0</v>
      </c>
    </row>
    <row r="16769">
      <c r="A16769" s="40">
        <f t="shared" si="1"/>
        <v>46013</v>
      </c>
      <c r="B16769" s="37" t="str">
        <f t="array" ref="B16769">iferror(xlookup($I16769, 'IMPORT VHC Report'!$E:$E, 'IMPORT VHC Report'!$A:$C), )</f>
        <v/>
      </c>
      <c r="C16769" s="44"/>
      <c r="D16769" s="44"/>
      <c r="E16769" s="46" t="s">
        <v>12974</v>
      </c>
      <c r="F16769" s="46" t="s">
        <v>4270</v>
      </c>
      <c r="H16769" s="46" t="s">
        <v>4271</v>
      </c>
      <c r="I16769" s="46" t="s">
        <v>4272</v>
      </c>
      <c r="J16769" s="46" t="s">
        <v>134</v>
      </c>
      <c r="K16769" s="46" t="s">
        <v>126</v>
      </c>
      <c r="L16769" s="45">
        <v>46019.84375</v>
      </c>
      <c r="M16769" s="46" t="s">
        <v>123</v>
      </c>
      <c r="N16769" s="45">
        <v>46019.864583333336</v>
      </c>
      <c r="O16769" s="46" t="s">
        <v>123</v>
      </c>
      <c r="P16769" s="46">
        <v>1800.0</v>
      </c>
    </row>
    <row r="16770">
      <c r="A16770" s="40">
        <f t="shared" si="1"/>
        <v>46013</v>
      </c>
      <c r="B16770" s="37" t="str">
        <f t="array" ref="B16770">iferror(xlookup($I16770, 'IMPORT VHC Report'!$E:$E, 'IMPORT VHC Report'!$A:$C), )</f>
        <v/>
      </c>
      <c r="C16770" s="44"/>
      <c r="D16770" s="44"/>
      <c r="E16770" s="46" t="s">
        <v>12975</v>
      </c>
      <c r="F16770" s="46" t="s">
        <v>4744</v>
      </c>
      <c r="H16770" s="46" t="s">
        <v>4745</v>
      </c>
      <c r="I16770" s="46" t="s">
        <v>4746</v>
      </c>
      <c r="J16770" s="46" t="s">
        <v>125</v>
      </c>
      <c r="K16770" s="46" t="s">
        <v>126</v>
      </c>
      <c r="L16770" s="45">
        <v>46013.666666666664</v>
      </c>
      <c r="M16770" s="46" t="s">
        <v>123</v>
      </c>
      <c r="N16770" s="45">
        <v>46013.67361111111</v>
      </c>
      <c r="O16770" s="46" t="s">
        <v>123</v>
      </c>
      <c r="P16770" s="46">
        <v>600.0</v>
      </c>
      <c r="S16770" s="46" t="s">
        <v>127</v>
      </c>
    </row>
    <row r="16771">
      <c r="A16771" s="40">
        <f t="shared" si="1"/>
        <v>46013</v>
      </c>
      <c r="B16771" s="37" t="str">
        <f t="array" ref="B16771">iferror(xlookup($I16771, 'IMPORT VHC Report'!$E:$E, 'IMPORT VHC Report'!$A:$C), )</f>
        <v/>
      </c>
      <c r="C16771" s="44"/>
      <c r="D16771" s="44"/>
      <c r="E16771" s="46" t="s">
        <v>12976</v>
      </c>
      <c r="F16771" s="46" t="s">
        <v>4744</v>
      </c>
      <c r="H16771" s="46" t="s">
        <v>4745</v>
      </c>
      <c r="I16771" s="46" t="s">
        <v>4746</v>
      </c>
      <c r="J16771" s="46" t="s">
        <v>122</v>
      </c>
      <c r="K16771" s="46" t="s">
        <v>63</v>
      </c>
      <c r="L16771" s="45">
        <v>46013.666666666664</v>
      </c>
      <c r="M16771" s="46" t="s">
        <v>123</v>
      </c>
      <c r="N16771" s="45">
        <v>46014.041666666664</v>
      </c>
      <c r="O16771" s="46" t="s">
        <v>123</v>
      </c>
      <c r="P16771" s="46">
        <v>32400.0</v>
      </c>
    </row>
    <row r="16772">
      <c r="A16772" s="40">
        <f t="shared" si="1"/>
        <v>46013</v>
      </c>
      <c r="B16772" s="37" t="str">
        <f t="array" ref="B16772">iferror(xlookup($I16772, 'IMPORT VHC Report'!$E:$E, 'IMPORT VHC Report'!$A:$C), )</f>
        <v/>
      </c>
      <c r="C16772" s="44"/>
      <c r="D16772" s="44"/>
      <c r="E16772" s="46" t="s">
        <v>12977</v>
      </c>
      <c r="F16772" s="46" t="s">
        <v>4744</v>
      </c>
      <c r="H16772" s="46" t="s">
        <v>4745</v>
      </c>
      <c r="I16772" s="46" t="s">
        <v>4746</v>
      </c>
      <c r="J16772" s="46" t="s">
        <v>132</v>
      </c>
      <c r="K16772" s="46" t="s">
        <v>126</v>
      </c>
      <c r="L16772" s="45">
        <v>46013.864583333336</v>
      </c>
      <c r="M16772" s="46" t="s">
        <v>123</v>
      </c>
      <c r="N16772" s="45">
        <v>46013.90625</v>
      </c>
      <c r="O16772" s="46" t="s">
        <v>123</v>
      </c>
      <c r="P16772" s="46">
        <v>3600.0</v>
      </c>
    </row>
    <row r="16773">
      <c r="A16773" s="40">
        <f t="shared" si="1"/>
        <v>46013</v>
      </c>
      <c r="B16773" s="37" t="str">
        <f t="array" ref="B16773">iferror(xlookup($I16773, 'IMPORT VHC Report'!$E:$E, 'IMPORT VHC Report'!$A:$C), )</f>
        <v/>
      </c>
      <c r="C16773" s="44"/>
      <c r="D16773" s="44"/>
      <c r="E16773" s="46" t="s">
        <v>12978</v>
      </c>
      <c r="F16773" s="46" t="s">
        <v>4744</v>
      </c>
      <c r="H16773" s="46" t="s">
        <v>4745</v>
      </c>
      <c r="I16773" s="46" t="s">
        <v>4746</v>
      </c>
      <c r="J16773" s="46" t="s">
        <v>134</v>
      </c>
      <c r="K16773" s="46" t="s">
        <v>126</v>
      </c>
      <c r="L16773" s="45">
        <v>46014.0</v>
      </c>
      <c r="M16773" s="46" t="s">
        <v>123</v>
      </c>
      <c r="N16773" s="45">
        <v>46014.020833333336</v>
      </c>
      <c r="O16773" s="46" t="s">
        <v>123</v>
      </c>
      <c r="P16773" s="46">
        <v>1800.0</v>
      </c>
    </row>
    <row r="16774">
      <c r="A16774" s="40">
        <f t="shared" si="1"/>
        <v>46013</v>
      </c>
      <c r="B16774" s="37" t="str">
        <f t="array" ref="B16774">iferror(xlookup($I16774, 'IMPORT VHC Report'!$E:$E, 'IMPORT VHC Report'!$A:$C), )</f>
        <v/>
      </c>
      <c r="C16774" s="44"/>
      <c r="D16774" s="44"/>
      <c r="E16774" s="46" t="s">
        <v>12979</v>
      </c>
      <c r="F16774" s="46" t="s">
        <v>4744</v>
      </c>
      <c r="H16774" s="46" t="s">
        <v>4745</v>
      </c>
      <c r="I16774" s="46" t="s">
        <v>4746</v>
      </c>
      <c r="J16774" s="46" t="s">
        <v>125</v>
      </c>
      <c r="K16774" s="46" t="s">
        <v>126</v>
      </c>
      <c r="L16774" s="45">
        <v>46014.666666666664</v>
      </c>
      <c r="M16774" s="46" t="s">
        <v>123</v>
      </c>
      <c r="N16774" s="45">
        <v>46014.67361111111</v>
      </c>
      <c r="O16774" s="46" t="s">
        <v>123</v>
      </c>
      <c r="P16774" s="46">
        <v>600.0</v>
      </c>
      <c r="S16774" s="46" t="s">
        <v>127</v>
      </c>
    </row>
    <row r="16775">
      <c r="A16775" s="40">
        <f t="shared" si="1"/>
        <v>46013</v>
      </c>
      <c r="B16775" s="37" t="str">
        <f t="array" ref="B16775">iferror(xlookup($I16775, 'IMPORT VHC Report'!$E:$E, 'IMPORT VHC Report'!$A:$C), )</f>
        <v/>
      </c>
      <c r="C16775" s="44"/>
      <c r="D16775" s="44"/>
      <c r="E16775" s="46" t="s">
        <v>12980</v>
      </c>
      <c r="F16775" s="46" t="s">
        <v>4744</v>
      </c>
      <c r="H16775" s="46" t="s">
        <v>4745</v>
      </c>
      <c r="I16775" s="46" t="s">
        <v>4746</v>
      </c>
      <c r="J16775" s="46" t="s">
        <v>122</v>
      </c>
      <c r="K16775" s="46" t="s">
        <v>63</v>
      </c>
      <c r="L16775" s="45">
        <v>46014.666666666664</v>
      </c>
      <c r="M16775" s="46" t="s">
        <v>123</v>
      </c>
      <c r="N16775" s="45">
        <v>46015.041666666664</v>
      </c>
      <c r="O16775" s="46" t="s">
        <v>123</v>
      </c>
      <c r="P16775" s="46">
        <v>32400.0</v>
      </c>
    </row>
    <row r="16776">
      <c r="A16776" s="40">
        <f t="shared" si="1"/>
        <v>46013</v>
      </c>
      <c r="B16776" s="37" t="str">
        <f t="array" ref="B16776">iferror(xlookup($I16776, 'IMPORT VHC Report'!$E:$E, 'IMPORT VHC Report'!$A:$C), )</f>
        <v/>
      </c>
      <c r="C16776" s="44"/>
      <c r="D16776" s="44"/>
      <c r="E16776" s="46" t="s">
        <v>12981</v>
      </c>
      <c r="F16776" s="46" t="s">
        <v>4744</v>
      </c>
      <c r="H16776" s="46" t="s">
        <v>4745</v>
      </c>
      <c r="I16776" s="46" t="s">
        <v>4746</v>
      </c>
      <c r="J16776" s="46" t="s">
        <v>134</v>
      </c>
      <c r="K16776" s="46" t="s">
        <v>126</v>
      </c>
      <c r="L16776" s="45">
        <v>46014.770833333336</v>
      </c>
      <c r="M16776" s="46" t="s">
        <v>123</v>
      </c>
      <c r="N16776" s="45">
        <v>46014.791666666664</v>
      </c>
      <c r="O16776" s="46" t="s">
        <v>123</v>
      </c>
      <c r="P16776" s="46">
        <v>1800.0</v>
      </c>
    </row>
    <row r="16777">
      <c r="A16777" s="40">
        <f t="shared" si="1"/>
        <v>46013</v>
      </c>
      <c r="B16777" s="37" t="str">
        <f t="array" ref="B16777">iferror(xlookup($I16777, 'IMPORT VHC Report'!$E:$E, 'IMPORT VHC Report'!$A:$C), )</f>
        <v/>
      </c>
      <c r="C16777" s="44"/>
      <c r="D16777" s="44"/>
      <c r="E16777" s="46" t="s">
        <v>12982</v>
      </c>
      <c r="F16777" s="46" t="s">
        <v>4744</v>
      </c>
      <c r="H16777" s="46" t="s">
        <v>4745</v>
      </c>
      <c r="I16777" s="46" t="s">
        <v>4746</v>
      </c>
      <c r="J16777" s="46" t="s">
        <v>132</v>
      </c>
      <c r="K16777" s="46" t="s">
        <v>126</v>
      </c>
      <c r="L16777" s="45">
        <v>46014.927083333336</v>
      </c>
      <c r="M16777" s="46" t="s">
        <v>123</v>
      </c>
      <c r="N16777" s="45">
        <v>46014.96875</v>
      </c>
      <c r="O16777" s="46" t="s">
        <v>123</v>
      </c>
      <c r="P16777" s="46">
        <v>3600.0</v>
      </c>
    </row>
    <row r="16778">
      <c r="A16778" s="40">
        <f t="shared" si="1"/>
        <v>46013</v>
      </c>
      <c r="B16778" s="37" t="str">
        <f t="array" ref="B16778">iferror(xlookup($I16778, 'IMPORT VHC Report'!$E:$E, 'IMPORT VHC Report'!$A:$C), )</f>
        <v/>
      </c>
      <c r="C16778" s="44"/>
      <c r="D16778" s="44"/>
      <c r="E16778" s="46" t="s">
        <v>12983</v>
      </c>
      <c r="F16778" s="46" t="s">
        <v>4744</v>
      </c>
      <c r="H16778" s="46" t="s">
        <v>4745</v>
      </c>
      <c r="I16778" s="46" t="s">
        <v>4746</v>
      </c>
      <c r="J16778" s="46" t="s">
        <v>134</v>
      </c>
      <c r="K16778" s="46" t="s">
        <v>126</v>
      </c>
      <c r="L16778" s="45">
        <v>46015.020833333336</v>
      </c>
      <c r="M16778" s="46" t="s">
        <v>123</v>
      </c>
      <c r="N16778" s="45">
        <v>46015.041666666664</v>
      </c>
      <c r="O16778" s="46" t="s">
        <v>123</v>
      </c>
      <c r="P16778" s="46">
        <v>1800.0</v>
      </c>
    </row>
    <row r="16779">
      <c r="A16779" s="40">
        <f t="shared" si="1"/>
        <v>46013</v>
      </c>
      <c r="B16779" s="37" t="str">
        <f t="array" ref="B16779">iferror(xlookup($I16779, 'IMPORT VHC Report'!$E:$E, 'IMPORT VHC Report'!$A:$C), )</f>
        <v/>
      </c>
      <c r="C16779" s="44"/>
      <c r="D16779" s="44"/>
      <c r="E16779" s="46" t="s">
        <v>12984</v>
      </c>
      <c r="F16779" s="46" t="s">
        <v>4744</v>
      </c>
      <c r="H16779" s="46" t="s">
        <v>4745</v>
      </c>
      <c r="I16779" s="46" t="s">
        <v>4746</v>
      </c>
      <c r="J16779" s="46" t="s">
        <v>125</v>
      </c>
      <c r="K16779" s="46" t="s">
        <v>126</v>
      </c>
      <c r="L16779" s="45">
        <v>46015.666666666664</v>
      </c>
      <c r="M16779" s="46" t="s">
        <v>123</v>
      </c>
      <c r="N16779" s="45">
        <v>46015.67361111111</v>
      </c>
      <c r="O16779" s="46" t="s">
        <v>123</v>
      </c>
      <c r="P16779" s="46">
        <v>600.0</v>
      </c>
      <c r="S16779" s="46" t="s">
        <v>127</v>
      </c>
    </row>
    <row r="16780">
      <c r="A16780" s="40">
        <f t="shared" si="1"/>
        <v>46013</v>
      </c>
      <c r="B16780" s="37" t="str">
        <f t="array" ref="B16780">iferror(xlookup($I16780, 'IMPORT VHC Report'!$E:$E, 'IMPORT VHC Report'!$A:$C), )</f>
        <v/>
      </c>
      <c r="C16780" s="44"/>
      <c r="D16780" s="44"/>
      <c r="E16780" s="46" t="s">
        <v>12985</v>
      </c>
      <c r="F16780" s="46" t="s">
        <v>4744</v>
      </c>
      <c r="H16780" s="46" t="s">
        <v>4745</v>
      </c>
      <c r="I16780" s="46" t="s">
        <v>4746</v>
      </c>
      <c r="J16780" s="46" t="s">
        <v>122</v>
      </c>
      <c r="K16780" s="46" t="s">
        <v>63</v>
      </c>
      <c r="L16780" s="45">
        <v>46015.666666666664</v>
      </c>
      <c r="M16780" s="46" t="s">
        <v>123</v>
      </c>
      <c r="N16780" s="45">
        <v>46016.041666666664</v>
      </c>
      <c r="O16780" s="46" t="s">
        <v>123</v>
      </c>
      <c r="P16780" s="46">
        <v>32400.0</v>
      </c>
    </row>
    <row r="16781">
      <c r="A16781" s="40">
        <f t="shared" si="1"/>
        <v>46013</v>
      </c>
      <c r="B16781" s="37" t="str">
        <f t="array" ref="B16781">iferror(xlookup($I16781, 'IMPORT VHC Report'!$E:$E, 'IMPORT VHC Report'!$A:$C), )</f>
        <v/>
      </c>
      <c r="C16781" s="44"/>
      <c r="D16781" s="44"/>
      <c r="E16781" s="46" t="s">
        <v>12986</v>
      </c>
      <c r="F16781" s="46" t="s">
        <v>4744</v>
      </c>
      <c r="H16781" s="46" t="s">
        <v>4745</v>
      </c>
      <c r="I16781" s="46" t="s">
        <v>4746</v>
      </c>
      <c r="J16781" s="46" t="s">
        <v>132</v>
      </c>
      <c r="K16781" s="46" t="s">
        <v>126</v>
      </c>
      <c r="L16781" s="45">
        <v>46015.979166666664</v>
      </c>
      <c r="M16781" s="46" t="s">
        <v>123</v>
      </c>
      <c r="N16781" s="45">
        <v>46016.020833333336</v>
      </c>
      <c r="O16781" s="46" t="s">
        <v>123</v>
      </c>
      <c r="P16781" s="46">
        <v>3600.0</v>
      </c>
    </row>
    <row r="16782">
      <c r="A16782" s="40">
        <f t="shared" si="1"/>
        <v>46013</v>
      </c>
      <c r="B16782" s="37" t="str">
        <f t="array" ref="B16782">iferror(xlookup($I16782, 'IMPORT VHC Report'!$E:$E, 'IMPORT VHC Report'!$A:$C), )</f>
        <v/>
      </c>
      <c r="C16782" s="44"/>
      <c r="D16782" s="44"/>
      <c r="E16782" s="46" t="s">
        <v>12987</v>
      </c>
      <c r="F16782" s="46" t="s">
        <v>4744</v>
      </c>
      <c r="H16782" s="46" t="s">
        <v>4745</v>
      </c>
      <c r="I16782" s="46" t="s">
        <v>4746</v>
      </c>
      <c r="J16782" s="46" t="s">
        <v>125</v>
      </c>
      <c r="K16782" s="46" t="s">
        <v>126</v>
      </c>
      <c r="L16782" s="45">
        <v>46016.666666666664</v>
      </c>
      <c r="M16782" s="46" t="s">
        <v>123</v>
      </c>
      <c r="N16782" s="45">
        <v>46016.67361111111</v>
      </c>
      <c r="O16782" s="46" t="s">
        <v>123</v>
      </c>
      <c r="P16782" s="46">
        <v>600.0</v>
      </c>
      <c r="S16782" s="46" t="s">
        <v>127</v>
      </c>
    </row>
    <row r="16783">
      <c r="A16783" s="40">
        <f t="shared" si="1"/>
        <v>46013</v>
      </c>
      <c r="B16783" s="37" t="str">
        <f t="array" ref="B16783">iferror(xlookup($I16783, 'IMPORT VHC Report'!$E:$E, 'IMPORT VHC Report'!$A:$C), )</f>
        <v/>
      </c>
      <c r="C16783" s="44"/>
      <c r="D16783" s="44"/>
      <c r="E16783" s="46" t="s">
        <v>12988</v>
      </c>
      <c r="F16783" s="46" t="s">
        <v>4744</v>
      </c>
      <c r="H16783" s="46" t="s">
        <v>4745</v>
      </c>
      <c r="I16783" s="46" t="s">
        <v>4746</v>
      </c>
      <c r="J16783" s="46" t="s">
        <v>178</v>
      </c>
      <c r="K16783" s="46" t="s">
        <v>153</v>
      </c>
      <c r="L16783" s="45">
        <v>46016.666666666664</v>
      </c>
      <c r="M16783" s="46" t="s">
        <v>123</v>
      </c>
      <c r="N16783" s="45">
        <v>46017.041666666664</v>
      </c>
      <c r="O16783" s="46" t="s">
        <v>123</v>
      </c>
      <c r="P16783" s="46">
        <v>32400.0</v>
      </c>
      <c r="Q16783" s="46">
        <v>28800.0</v>
      </c>
    </row>
    <row r="16784">
      <c r="A16784" s="40">
        <f t="shared" si="1"/>
        <v>46013</v>
      </c>
      <c r="B16784" s="37" t="str">
        <f t="array" ref="B16784">iferror(xlookup($I16784, 'IMPORT VHC Report'!$E:$E, 'IMPORT VHC Report'!$A:$C), )</f>
        <v/>
      </c>
      <c r="C16784" s="44"/>
      <c r="D16784" s="44"/>
      <c r="E16784" s="46" t="s">
        <v>12989</v>
      </c>
      <c r="F16784" s="46" t="s">
        <v>4744</v>
      </c>
      <c r="H16784" s="46" t="s">
        <v>4745</v>
      </c>
      <c r="I16784" s="46" t="s">
        <v>4746</v>
      </c>
      <c r="J16784" s="46" t="s">
        <v>122</v>
      </c>
      <c r="K16784" s="46" t="s">
        <v>63</v>
      </c>
      <c r="L16784" s="45">
        <v>46016.666666666664</v>
      </c>
      <c r="M16784" s="46" t="s">
        <v>123</v>
      </c>
      <c r="N16784" s="45">
        <v>46017.041666666664</v>
      </c>
      <c r="O16784" s="46" t="s">
        <v>123</v>
      </c>
      <c r="P16784" s="46">
        <v>32400.0</v>
      </c>
    </row>
    <row r="16785">
      <c r="A16785" s="40">
        <f t="shared" si="1"/>
        <v>46013</v>
      </c>
      <c r="B16785" s="37" t="str">
        <f t="array" ref="B16785">iferror(xlookup($I16785, 'IMPORT VHC Report'!$E:$E, 'IMPORT VHC Report'!$A:$C), )</f>
        <v/>
      </c>
      <c r="C16785" s="44"/>
      <c r="D16785" s="44"/>
      <c r="E16785" s="46" t="s">
        <v>12990</v>
      </c>
      <c r="F16785" s="46" t="s">
        <v>4744</v>
      </c>
      <c r="H16785" s="46" t="s">
        <v>4745</v>
      </c>
      <c r="I16785" s="46" t="s">
        <v>4746</v>
      </c>
      <c r="J16785" s="46" t="s">
        <v>132</v>
      </c>
      <c r="K16785" s="46" t="s">
        <v>126</v>
      </c>
      <c r="L16785" s="45">
        <v>46016.770833333336</v>
      </c>
      <c r="M16785" s="46" t="s">
        <v>123</v>
      </c>
      <c r="N16785" s="45">
        <v>46016.8125</v>
      </c>
      <c r="O16785" s="46" t="s">
        <v>123</v>
      </c>
      <c r="P16785" s="46">
        <v>3600.0</v>
      </c>
    </row>
    <row r="16786">
      <c r="A16786" s="40">
        <f t="shared" si="1"/>
        <v>46013</v>
      </c>
      <c r="B16786" s="37" t="str">
        <f t="array" ref="B16786">iferror(xlookup($I16786, 'IMPORT VHC Report'!$E:$E, 'IMPORT VHC Report'!$A:$C), )</f>
        <v/>
      </c>
      <c r="C16786" s="44"/>
      <c r="D16786" s="44"/>
      <c r="E16786" s="46" t="s">
        <v>12991</v>
      </c>
      <c r="F16786" s="46" t="s">
        <v>4744</v>
      </c>
      <c r="H16786" s="46" t="s">
        <v>4745</v>
      </c>
      <c r="I16786" s="46" t="s">
        <v>4746</v>
      </c>
      <c r="J16786" s="46" t="s">
        <v>134</v>
      </c>
      <c r="K16786" s="46" t="s">
        <v>126</v>
      </c>
      <c r="L16786" s="45">
        <v>46016.9375</v>
      </c>
      <c r="M16786" s="46" t="s">
        <v>123</v>
      </c>
      <c r="N16786" s="45">
        <v>46016.958333333336</v>
      </c>
      <c r="O16786" s="46" t="s">
        <v>123</v>
      </c>
      <c r="P16786" s="46">
        <v>1800.0</v>
      </c>
    </row>
    <row r="16787">
      <c r="A16787" s="40">
        <f t="shared" si="1"/>
        <v>46013</v>
      </c>
      <c r="B16787" s="37" t="str">
        <f t="array" ref="B16787">iferror(xlookup($I16787, 'IMPORT VHC Report'!$E:$E, 'IMPORT VHC Report'!$A:$C), )</f>
        <v/>
      </c>
      <c r="C16787" s="44"/>
      <c r="D16787" s="44"/>
      <c r="E16787" s="46" t="s">
        <v>12992</v>
      </c>
      <c r="F16787" s="46" t="s">
        <v>4744</v>
      </c>
      <c r="H16787" s="46" t="s">
        <v>4745</v>
      </c>
      <c r="I16787" s="46" t="s">
        <v>4746</v>
      </c>
      <c r="J16787" s="46" t="s">
        <v>125</v>
      </c>
      <c r="K16787" s="46" t="s">
        <v>126</v>
      </c>
      <c r="L16787" s="45">
        <v>46017.666666666664</v>
      </c>
      <c r="M16787" s="46" t="s">
        <v>123</v>
      </c>
      <c r="N16787" s="45">
        <v>46017.67361111111</v>
      </c>
      <c r="O16787" s="46" t="s">
        <v>123</v>
      </c>
      <c r="P16787" s="46">
        <v>600.0</v>
      </c>
      <c r="S16787" s="46" t="s">
        <v>127</v>
      </c>
    </row>
    <row r="16788">
      <c r="A16788" s="40">
        <f t="shared" si="1"/>
        <v>46013</v>
      </c>
      <c r="B16788" s="37" t="str">
        <f t="array" ref="B16788">iferror(xlookup($I16788, 'IMPORT VHC Report'!$E:$E, 'IMPORT VHC Report'!$A:$C), )</f>
        <v/>
      </c>
      <c r="C16788" s="44"/>
      <c r="D16788" s="44"/>
      <c r="E16788" s="46" t="s">
        <v>12993</v>
      </c>
      <c r="F16788" s="46" t="s">
        <v>4744</v>
      </c>
      <c r="H16788" s="46" t="s">
        <v>4745</v>
      </c>
      <c r="I16788" s="46" t="s">
        <v>4746</v>
      </c>
      <c r="J16788" s="46" t="s">
        <v>122</v>
      </c>
      <c r="K16788" s="46" t="s">
        <v>63</v>
      </c>
      <c r="L16788" s="45">
        <v>46017.666666666664</v>
      </c>
      <c r="M16788" s="46" t="s">
        <v>123</v>
      </c>
      <c r="N16788" s="45">
        <v>46018.041666666664</v>
      </c>
      <c r="O16788" s="46" t="s">
        <v>123</v>
      </c>
      <c r="P16788" s="46">
        <v>32400.0</v>
      </c>
    </row>
    <row r="16789">
      <c r="A16789" s="40">
        <f t="shared" si="1"/>
        <v>46013</v>
      </c>
      <c r="B16789" s="37" t="str">
        <f t="array" ref="B16789">iferror(xlookup($I16789, 'IMPORT VHC Report'!$E:$E, 'IMPORT VHC Report'!$A:$C), )</f>
        <v/>
      </c>
      <c r="C16789" s="44"/>
      <c r="D16789" s="44"/>
      <c r="E16789" s="46" t="s">
        <v>12994</v>
      </c>
      <c r="F16789" s="46" t="s">
        <v>4744</v>
      </c>
      <c r="H16789" s="46" t="s">
        <v>4745</v>
      </c>
      <c r="I16789" s="46" t="s">
        <v>4746</v>
      </c>
      <c r="J16789" s="46" t="s">
        <v>132</v>
      </c>
      <c r="K16789" s="46" t="s">
        <v>126</v>
      </c>
      <c r="L16789" s="45">
        <v>46017.833333333336</v>
      </c>
      <c r="M16789" s="46" t="s">
        <v>123</v>
      </c>
      <c r="N16789" s="45">
        <v>46017.875</v>
      </c>
      <c r="O16789" s="46" t="s">
        <v>123</v>
      </c>
      <c r="P16789" s="46">
        <v>3600.0</v>
      </c>
    </row>
    <row r="16790">
      <c r="A16790" s="40">
        <f t="shared" si="1"/>
        <v>46013</v>
      </c>
      <c r="B16790" s="37" t="str">
        <f t="array" ref="B16790">iferror(xlookup($I16790, 'IMPORT VHC Report'!$E:$E, 'IMPORT VHC Report'!$A:$C), )</f>
        <v/>
      </c>
      <c r="C16790" s="44"/>
      <c r="D16790" s="44"/>
      <c r="E16790" s="46" t="s">
        <v>12995</v>
      </c>
      <c r="F16790" s="46" t="s">
        <v>4744</v>
      </c>
      <c r="H16790" s="46" t="s">
        <v>4745</v>
      </c>
      <c r="I16790" s="46" t="s">
        <v>4746</v>
      </c>
      <c r="J16790" s="46" t="s">
        <v>178</v>
      </c>
      <c r="K16790" s="46" t="s">
        <v>153</v>
      </c>
      <c r="L16790" s="45">
        <v>46017.875</v>
      </c>
      <c r="M16790" s="46" t="s">
        <v>123</v>
      </c>
      <c r="N16790" s="45">
        <v>46018.041666666664</v>
      </c>
      <c r="O16790" s="46" t="s">
        <v>123</v>
      </c>
      <c r="P16790" s="46">
        <v>14400.0</v>
      </c>
      <c r="Q16790" s="46">
        <v>28800.0</v>
      </c>
      <c r="R16790" s="46" t="s">
        <v>12996</v>
      </c>
    </row>
    <row r="16791">
      <c r="A16791" s="40">
        <f t="shared" si="1"/>
        <v>46013</v>
      </c>
      <c r="B16791" s="37" t="str">
        <f t="array" ref="B16791">iferror(xlookup($I16791, 'IMPORT VHC Report'!$E:$E, 'IMPORT VHC Report'!$A:$C), )</f>
        <v/>
      </c>
      <c r="C16791" s="44"/>
      <c r="D16791" s="44"/>
      <c r="E16791" s="46" t="s">
        <v>12997</v>
      </c>
      <c r="F16791" s="46" t="s">
        <v>4744</v>
      </c>
      <c r="H16791" s="46" t="s">
        <v>4745</v>
      </c>
      <c r="I16791" s="46" t="s">
        <v>4746</v>
      </c>
      <c r="J16791" s="46" t="s">
        <v>134</v>
      </c>
      <c r="K16791" s="46" t="s">
        <v>126</v>
      </c>
      <c r="L16791" s="45">
        <v>46017.916666666664</v>
      </c>
      <c r="M16791" s="46" t="s">
        <v>123</v>
      </c>
      <c r="N16791" s="45">
        <v>46017.9375</v>
      </c>
      <c r="O16791" s="46" t="s">
        <v>123</v>
      </c>
      <c r="P16791" s="46">
        <v>1800.0</v>
      </c>
    </row>
    <row r="16792">
      <c r="A16792" s="40">
        <f t="shared" si="1"/>
        <v>46013</v>
      </c>
      <c r="B16792" s="37" t="str">
        <f t="array" ref="B16792">iferror(xlookup($I16792, 'IMPORT VHC Report'!$E:$E, 'IMPORT VHC Report'!$A:$C), )</f>
        <v/>
      </c>
      <c r="C16792" s="44"/>
      <c r="D16792" s="44"/>
      <c r="E16792" s="46" t="s">
        <v>12998</v>
      </c>
      <c r="F16792" s="46" t="s">
        <v>5390</v>
      </c>
      <c r="H16792" s="46" t="s">
        <v>5391</v>
      </c>
      <c r="I16792" s="46" t="s">
        <v>5392</v>
      </c>
      <c r="J16792" s="46" t="s">
        <v>125</v>
      </c>
      <c r="K16792" s="46" t="s">
        <v>126</v>
      </c>
      <c r="L16792" s="45">
        <v>46013.833333333336</v>
      </c>
      <c r="M16792" s="46" t="s">
        <v>123</v>
      </c>
      <c r="N16792" s="45">
        <v>46013.84027777778</v>
      </c>
      <c r="O16792" s="46" t="s">
        <v>123</v>
      </c>
      <c r="P16792" s="46">
        <v>600.0</v>
      </c>
      <c r="S16792" s="46" t="s">
        <v>127</v>
      </c>
    </row>
    <row r="16793">
      <c r="A16793" s="40">
        <f t="shared" si="1"/>
        <v>46013</v>
      </c>
      <c r="B16793" s="37" t="str">
        <f t="array" ref="B16793">iferror(xlookup($I16793, 'IMPORT VHC Report'!$E:$E, 'IMPORT VHC Report'!$A:$C), )</f>
        <v/>
      </c>
      <c r="C16793" s="44"/>
      <c r="D16793" s="44"/>
      <c r="E16793" s="46" t="s">
        <v>12999</v>
      </c>
      <c r="F16793" s="46" t="s">
        <v>5390</v>
      </c>
      <c r="H16793" s="46" t="s">
        <v>5391</v>
      </c>
      <c r="I16793" s="46" t="s">
        <v>5392</v>
      </c>
      <c r="J16793" s="46" t="s">
        <v>122</v>
      </c>
      <c r="K16793" s="46" t="s">
        <v>63</v>
      </c>
      <c r="L16793" s="45">
        <v>46013.833333333336</v>
      </c>
      <c r="M16793" s="46" t="s">
        <v>123</v>
      </c>
      <c r="N16793" s="45">
        <v>46014.208333333336</v>
      </c>
      <c r="O16793" s="46" t="s">
        <v>123</v>
      </c>
      <c r="P16793" s="46">
        <v>32400.0</v>
      </c>
    </row>
    <row r="16794">
      <c r="A16794" s="40">
        <f t="shared" si="1"/>
        <v>46013</v>
      </c>
      <c r="B16794" s="37" t="str">
        <f t="array" ref="B16794">iferror(xlookup($I16794, 'IMPORT VHC Report'!$E:$E, 'IMPORT VHC Report'!$A:$C), )</f>
        <v/>
      </c>
      <c r="C16794" s="44"/>
      <c r="D16794" s="44"/>
      <c r="E16794" s="46" t="s">
        <v>13000</v>
      </c>
      <c r="F16794" s="46" t="s">
        <v>5390</v>
      </c>
      <c r="H16794" s="46" t="s">
        <v>5391</v>
      </c>
      <c r="I16794" s="46" t="s">
        <v>5392</v>
      </c>
      <c r="J16794" s="46" t="s">
        <v>134</v>
      </c>
      <c r="K16794" s="46" t="s">
        <v>126</v>
      </c>
      <c r="L16794" s="45">
        <v>46013.916666666664</v>
      </c>
      <c r="M16794" s="46" t="s">
        <v>123</v>
      </c>
      <c r="N16794" s="45">
        <v>46013.9375</v>
      </c>
      <c r="O16794" s="46" t="s">
        <v>123</v>
      </c>
      <c r="P16794" s="46">
        <v>1800.0</v>
      </c>
    </row>
    <row r="16795">
      <c r="A16795" s="40">
        <f t="shared" si="1"/>
        <v>46013</v>
      </c>
      <c r="B16795" s="37" t="str">
        <f t="array" ref="B16795">iferror(xlookup($I16795, 'IMPORT VHC Report'!$E:$E, 'IMPORT VHC Report'!$A:$C), )</f>
        <v/>
      </c>
      <c r="C16795" s="44"/>
      <c r="D16795" s="44"/>
      <c r="E16795" s="46" t="s">
        <v>13001</v>
      </c>
      <c r="F16795" s="46" t="s">
        <v>5390</v>
      </c>
      <c r="H16795" s="46" t="s">
        <v>5391</v>
      </c>
      <c r="I16795" s="46" t="s">
        <v>5392</v>
      </c>
      <c r="J16795" s="46" t="s">
        <v>132</v>
      </c>
      <c r="K16795" s="46" t="s">
        <v>126</v>
      </c>
      <c r="L16795" s="45">
        <v>46014.041666666664</v>
      </c>
      <c r="M16795" s="46" t="s">
        <v>123</v>
      </c>
      <c r="N16795" s="45">
        <v>46014.083333333336</v>
      </c>
      <c r="O16795" s="46" t="s">
        <v>123</v>
      </c>
      <c r="P16795" s="46">
        <v>3600.0</v>
      </c>
    </row>
    <row r="16796">
      <c r="A16796" s="40">
        <f t="shared" si="1"/>
        <v>46013</v>
      </c>
      <c r="B16796" s="37" t="str">
        <f t="array" ref="B16796">iferror(xlookup($I16796, 'IMPORT VHC Report'!$E:$E, 'IMPORT VHC Report'!$A:$C), )</f>
        <v/>
      </c>
      <c r="C16796" s="44"/>
      <c r="D16796" s="44"/>
      <c r="E16796" s="46" t="s">
        <v>13002</v>
      </c>
      <c r="F16796" s="46" t="s">
        <v>5390</v>
      </c>
      <c r="H16796" s="46" t="s">
        <v>5391</v>
      </c>
      <c r="I16796" s="46" t="s">
        <v>5392</v>
      </c>
      <c r="J16796" s="46" t="s">
        <v>125</v>
      </c>
      <c r="K16796" s="46" t="s">
        <v>126</v>
      </c>
      <c r="L16796" s="45">
        <v>46014.833333333336</v>
      </c>
      <c r="M16796" s="46" t="s">
        <v>123</v>
      </c>
      <c r="N16796" s="45">
        <v>46014.84027777778</v>
      </c>
      <c r="O16796" s="46" t="s">
        <v>123</v>
      </c>
      <c r="P16796" s="46">
        <v>600.0</v>
      </c>
      <c r="S16796" s="46" t="s">
        <v>127</v>
      </c>
    </row>
    <row r="16797">
      <c r="A16797" s="40">
        <f t="shared" si="1"/>
        <v>46013</v>
      </c>
      <c r="B16797" s="37" t="str">
        <f t="array" ref="B16797">iferror(xlookup($I16797, 'IMPORT VHC Report'!$E:$E, 'IMPORT VHC Report'!$A:$C), )</f>
        <v/>
      </c>
      <c r="C16797" s="44"/>
      <c r="D16797" s="44"/>
      <c r="E16797" s="46" t="s">
        <v>13003</v>
      </c>
      <c r="F16797" s="46" t="s">
        <v>5390</v>
      </c>
      <c r="H16797" s="46" t="s">
        <v>5391</v>
      </c>
      <c r="I16797" s="46" t="s">
        <v>5392</v>
      </c>
      <c r="J16797" s="46" t="s">
        <v>122</v>
      </c>
      <c r="K16797" s="46" t="s">
        <v>63</v>
      </c>
      <c r="L16797" s="45">
        <v>46014.833333333336</v>
      </c>
      <c r="M16797" s="46" t="s">
        <v>123</v>
      </c>
      <c r="N16797" s="45">
        <v>46015.208333333336</v>
      </c>
      <c r="O16797" s="46" t="s">
        <v>123</v>
      </c>
      <c r="P16797" s="46">
        <v>32400.0</v>
      </c>
    </row>
    <row r="16798">
      <c r="A16798" s="40">
        <f t="shared" si="1"/>
        <v>46013</v>
      </c>
      <c r="B16798" s="37" t="str">
        <f t="array" ref="B16798">iferror(xlookup($I16798, 'IMPORT VHC Report'!$E:$E, 'IMPORT VHC Report'!$A:$C), )</f>
        <v/>
      </c>
      <c r="C16798" s="44"/>
      <c r="D16798" s="44"/>
      <c r="E16798" s="46" t="s">
        <v>13004</v>
      </c>
      <c r="F16798" s="46" t="s">
        <v>5390</v>
      </c>
      <c r="H16798" s="46" t="s">
        <v>5391</v>
      </c>
      <c r="I16798" s="46" t="s">
        <v>5392</v>
      </c>
      <c r="J16798" s="46" t="s">
        <v>134</v>
      </c>
      <c r="K16798" s="46" t="s">
        <v>126</v>
      </c>
      <c r="L16798" s="45">
        <v>46014.916666666664</v>
      </c>
      <c r="M16798" s="46" t="s">
        <v>123</v>
      </c>
      <c r="N16798" s="45">
        <v>46014.9375</v>
      </c>
      <c r="O16798" s="46" t="s">
        <v>123</v>
      </c>
      <c r="P16798" s="46">
        <v>1800.0</v>
      </c>
    </row>
    <row r="16799">
      <c r="A16799" s="40">
        <f t="shared" si="1"/>
        <v>46013</v>
      </c>
      <c r="B16799" s="37" t="str">
        <f t="array" ref="B16799">iferror(xlookup($I16799, 'IMPORT VHC Report'!$E:$E, 'IMPORT VHC Report'!$A:$C), )</f>
        <v/>
      </c>
      <c r="C16799" s="44"/>
      <c r="D16799" s="44"/>
      <c r="E16799" s="46" t="s">
        <v>13005</v>
      </c>
      <c r="F16799" s="46" t="s">
        <v>5390</v>
      </c>
      <c r="H16799" s="46" t="s">
        <v>5391</v>
      </c>
      <c r="I16799" s="46" t="s">
        <v>5392</v>
      </c>
      <c r="J16799" s="46" t="s">
        <v>132</v>
      </c>
      <c r="K16799" s="46" t="s">
        <v>126</v>
      </c>
      <c r="L16799" s="45">
        <v>46015.03125</v>
      </c>
      <c r="M16799" s="46" t="s">
        <v>123</v>
      </c>
      <c r="N16799" s="45">
        <v>46015.072916666664</v>
      </c>
      <c r="O16799" s="46" t="s">
        <v>123</v>
      </c>
      <c r="P16799" s="46">
        <v>3600.0</v>
      </c>
    </row>
    <row r="16800">
      <c r="A16800" s="40">
        <f t="shared" si="1"/>
        <v>46013</v>
      </c>
      <c r="B16800" s="37" t="str">
        <f t="array" ref="B16800">iferror(xlookup($I16800, 'IMPORT VHC Report'!$E:$E, 'IMPORT VHC Report'!$A:$C), )</f>
        <v/>
      </c>
      <c r="C16800" s="44"/>
      <c r="D16800" s="44"/>
      <c r="E16800" s="46" t="s">
        <v>13006</v>
      </c>
      <c r="F16800" s="46" t="s">
        <v>5390</v>
      </c>
      <c r="H16800" s="46" t="s">
        <v>5391</v>
      </c>
      <c r="I16800" s="46" t="s">
        <v>5392</v>
      </c>
      <c r="J16800" s="46" t="s">
        <v>125</v>
      </c>
      <c r="K16800" s="46" t="s">
        <v>126</v>
      </c>
      <c r="L16800" s="45">
        <v>46015.833333333336</v>
      </c>
      <c r="M16800" s="46" t="s">
        <v>123</v>
      </c>
      <c r="N16800" s="45">
        <v>46015.84027777778</v>
      </c>
      <c r="O16800" s="46" t="s">
        <v>123</v>
      </c>
      <c r="P16800" s="46">
        <v>600.0</v>
      </c>
      <c r="S16800" s="46" t="s">
        <v>127</v>
      </c>
    </row>
    <row r="16801">
      <c r="A16801" s="40">
        <f t="shared" si="1"/>
        <v>46013</v>
      </c>
      <c r="B16801" s="37" t="str">
        <f t="array" ref="B16801">iferror(xlookup($I16801, 'IMPORT VHC Report'!$E:$E, 'IMPORT VHC Report'!$A:$C), )</f>
        <v/>
      </c>
      <c r="C16801" s="44"/>
      <c r="D16801" s="44"/>
      <c r="E16801" s="46" t="s">
        <v>13007</v>
      </c>
      <c r="F16801" s="46" t="s">
        <v>5390</v>
      </c>
      <c r="H16801" s="46" t="s">
        <v>5391</v>
      </c>
      <c r="I16801" s="46" t="s">
        <v>5392</v>
      </c>
      <c r="J16801" s="46" t="s">
        <v>122</v>
      </c>
      <c r="K16801" s="46" t="s">
        <v>63</v>
      </c>
      <c r="L16801" s="45">
        <v>46015.833333333336</v>
      </c>
      <c r="M16801" s="46" t="s">
        <v>123</v>
      </c>
      <c r="N16801" s="45">
        <v>46016.208333333336</v>
      </c>
      <c r="O16801" s="46" t="s">
        <v>123</v>
      </c>
      <c r="P16801" s="46">
        <v>32400.0</v>
      </c>
    </row>
    <row r="16802">
      <c r="A16802" s="40">
        <f t="shared" si="1"/>
        <v>46013</v>
      </c>
      <c r="B16802" s="37" t="str">
        <f t="array" ref="B16802">iferror(xlookup($I16802, 'IMPORT VHC Report'!$E:$E, 'IMPORT VHC Report'!$A:$C), )</f>
        <v/>
      </c>
      <c r="C16802" s="44"/>
      <c r="D16802" s="44"/>
      <c r="E16802" s="46" t="s">
        <v>13008</v>
      </c>
      <c r="F16802" s="46" t="s">
        <v>5390</v>
      </c>
      <c r="H16802" s="46" t="s">
        <v>5391</v>
      </c>
      <c r="I16802" s="46" t="s">
        <v>5392</v>
      </c>
      <c r="J16802" s="46" t="s">
        <v>4</v>
      </c>
      <c r="K16802" s="46" t="s">
        <v>126</v>
      </c>
      <c r="L16802" s="45">
        <v>46015.875</v>
      </c>
      <c r="M16802" s="46" t="s">
        <v>123</v>
      </c>
      <c r="N16802" s="45">
        <v>46015.885416666664</v>
      </c>
      <c r="O16802" s="46" t="s">
        <v>123</v>
      </c>
      <c r="P16802" s="46">
        <v>900.0</v>
      </c>
      <c r="S16802" s="46" t="s">
        <v>13009</v>
      </c>
    </row>
    <row r="16803">
      <c r="A16803" s="40">
        <f t="shared" si="1"/>
        <v>46013</v>
      </c>
      <c r="B16803" s="37" t="str">
        <f t="array" ref="B16803">iferror(xlookup($I16803, 'IMPORT VHC Report'!$E:$E, 'IMPORT VHC Report'!$A:$C), )</f>
        <v/>
      </c>
      <c r="C16803" s="44"/>
      <c r="D16803" s="44"/>
      <c r="E16803" s="46" t="s">
        <v>13010</v>
      </c>
      <c r="F16803" s="46" t="s">
        <v>5390</v>
      </c>
      <c r="H16803" s="46" t="s">
        <v>5391</v>
      </c>
      <c r="I16803" s="46" t="s">
        <v>5392</v>
      </c>
      <c r="J16803" s="46" t="s">
        <v>134</v>
      </c>
      <c r="K16803" s="46" t="s">
        <v>126</v>
      </c>
      <c r="L16803" s="45">
        <v>46015.947916666664</v>
      </c>
      <c r="M16803" s="46" t="s">
        <v>123</v>
      </c>
      <c r="N16803" s="45">
        <v>46015.96875</v>
      </c>
      <c r="O16803" s="46" t="s">
        <v>123</v>
      </c>
      <c r="P16803" s="46">
        <v>1800.0</v>
      </c>
    </row>
    <row r="16804">
      <c r="A16804" s="40">
        <f t="shared" si="1"/>
        <v>46013</v>
      </c>
      <c r="B16804" s="37" t="str">
        <f t="array" ref="B16804">iferror(xlookup($I16804, 'IMPORT VHC Report'!$E:$E, 'IMPORT VHC Report'!$A:$C), )</f>
        <v/>
      </c>
      <c r="C16804" s="44"/>
      <c r="D16804" s="44"/>
      <c r="E16804" s="46" t="s">
        <v>13011</v>
      </c>
      <c r="F16804" s="46" t="s">
        <v>5390</v>
      </c>
      <c r="H16804" s="46" t="s">
        <v>5391</v>
      </c>
      <c r="I16804" s="46" t="s">
        <v>5392</v>
      </c>
      <c r="J16804" s="46" t="s">
        <v>132</v>
      </c>
      <c r="K16804" s="46" t="s">
        <v>126</v>
      </c>
      <c r="L16804" s="45">
        <v>46016.0</v>
      </c>
      <c r="M16804" s="46" t="s">
        <v>123</v>
      </c>
      <c r="N16804" s="45">
        <v>46016.041666666664</v>
      </c>
      <c r="O16804" s="46" t="s">
        <v>123</v>
      </c>
      <c r="P16804" s="46">
        <v>3600.0</v>
      </c>
    </row>
    <row r="16805">
      <c r="A16805" s="40">
        <f t="shared" si="1"/>
        <v>46013</v>
      </c>
      <c r="B16805" s="37" t="str">
        <f t="array" ref="B16805">iferror(xlookup($I16805, 'IMPORT VHC Report'!$E:$E, 'IMPORT VHC Report'!$A:$C), )</f>
        <v/>
      </c>
      <c r="C16805" s="44"/>
      <c r="D16805" s="44"/>
      <c r="E16805" s="46" t="s">
        <v>13012</v>
      </c>
      <c r="F16805" s="46" t="s">
        <v>5390</v>
      </c>
      <c r="H16805" s="46" t="s">
        <v>5391</v>
      </c>
      <c r="I16805" s="46" t="s">
        <v>5392</v>
      </c>
      <c r="J16805" s="46" t="s">
        <v>125</v>
      </c>
      <c r="K16805" s="46" t="s">
        <v>126</v>
      </c>
      <c r="L16805" s="45">
        <v>46016.833333333336</v>
      </c>
      <c r="M16805" s="46" t="s">
        <v>123</v>
      </c>
      <c r="N16805" s="45">
        <v>46016.84027777778</v>
      </c>
      <c r="O16805" s="46" t="s">
        <v>123</v>
      </c>
      <c r="P16805" s="46">
        <v>600.0</v>
      </c>
      <c r="S16805" s="46" t="s">
        <v>127</v>
      </c>
    </row>
    <row r="16806">
      <c r="A16806" s="40">
        <f t="shared" si="1"/>
        <v>46013</v>
      </c>
      <c r="B16806" s="37" t="str">
        <f t="array" ref="B16806">iferror(xlookup($I16806, 'IMPORT VHC Report'!$E:$E, 'IMPORT VHC Report'!$A:$C), )</f>
        <v/>
      </c>
      <c r="C16806" s="44"/>
      <c r="D16806" s="44"/>
      <c r="E16806" s="46" t="s">
        <v>13013</v>
      </c>
      <c r="F16806" s="46" t="s">
        <v>5390</v>
      </c>
      <c r="H16806" s="46" t="s">
        <v>5391</v>
      </c>
      <c r="I16806" s="46" t="s">
        <v>5392</v>
      </c>
      <c r="J16806" s="46" t="s">
        <v>178</v>
      </c>
      <c r="K16806" s="46" t="s">
        <v>153</v>
      </c>
      <c r="L16806" s="45">
        <v>46016.833333333336</v>
      </c>
      <c r="M16806" s="46" t="s">
        <v>123</v>
      </c>
      <c r="N16806" s="45">
        <v>46017.208333333336</v>
      </c>
      <c r="O16806" s="46" t="s">
        <v>123</v>
      </c>
      <c r="P16806" s="46">
        <v>32400.0</v>
      </c>
      <c r="Q16806" s="46">
        <v>32400.0</v>
      </c>
    </row>
    <row r="16807">
      <c r="A16807" s="40">
        <f t="shared" si="1"/>
        <v>46013</v>
      </c>
      <c r="B16807" s="37" t="str">
        <f t="array" ref="B16807">iferror(xlookup($I16807, 'IMPORT VHC Report'!$E:$E, 'IMPORT VHC Report'!$A:$C), )</f>
        <v/>
      </c>
      <c r="C16807" s="44"/>
      <c r="D16807" s="44"/>
      <c r="E16807" s="46" t="s">
        <v>13014</v>
      </c>
      <c r="F16807" s="46" t="s">
        <v>5390</v>
      </c>
      <c r="H16807" s="46" t="s">
        <v>5391</v>
      </c>
      <c r="I16807" s="46" t="s">
        <v>5392</v>
      </c>
      <c r="J16807" s="46" t="s">
        <v>122</v>
      </c>
      <c r="K16807" s="46" t="s">
        <v>63</v>
      </c>
      <c r="L16807" s="45">
        <v>46016.833333333336</v>
      </c>
      <c r="M16807" s="46" t="s">
        <v>123</v>
      </c>
      <c r="N16807" s="45">
        <v>46017.208333333336</v>
      </c>
      <c r="O16807" s="46" t="s">
        <v>123</v>
      </c>
      <c r="P16807" s="46">
        <v>32400.0</v>
      </c>
    </row>
    <row r="16808">
      <c r="A16808" s="40">
        <f t="shared" si="1"/>
        <v>46013</v>
      </c>
      <c r="B16808" s="37" t="str">
        <f t="array" ref="B16808">iferror(xlookup($I16808, 'IMPORT VHC Report'!$E:$E, 'IMPORT VHC Report'!$A:$C), )</f>
        <v/>
      </c>
      <c r="C16808" s="44"/>
      <c r="D16808" s="44"/>
      <c r="E16808" s="46" t="s">
        <v>13015</v>
      </c>
      <c r="F16808" s="46" t="s">
        <v>5390</v>
      </c>
      <c r="H16808" s="46" t="s">
        <v>5391</v>
      </c>
      <c r="I16808" s="46" t="s">
        <v>5392</v>
      </c>
      <c r="J16808" s="46" t="s">
        <v>134</v>
      </c>
      <c r="K16808" s="46" t="s">
        <v>126</v>
      </c>
      <c r="L16808" s="45">
        <v>46016.9375</v>
      </c>
      <c r="M16808" s="46" t="s">
        <v>123</v>
      </c>
      <c r="N16808" s="45">
        <v>46016.958333333336</v>
      </c>
      <c r="O16808" s="46" t="s">
        <v>123</v>
      </c>
      <c r="P16808" s="46">
        <v>1800.0</v>
      </c>
    </row>
    <row r="16809">
      <c r="A16809" s="40">
        <f t="shared" si="1"/>
        <v>46013</v>
      </c>
      <c r="B16809" s="37" t="str">
        <f t="array" ref="B16809">iferror(xlookup($I16809, 'IMPORT VHC Report'!$E:$E, 'IMPORT VHC Report'!$A:$C), )</f>
        <v/>
      </c>
      <c r="C16809" s="44"/>
      <c r="D16809" s="44"/>
      <c r="E16809" s="46" t="s">
        <v>13016</v>
      </c>
      <c r="F16809" s="46" t="s">
        <v>5390</v>
      </c>
      <c r="H16809" s="46" t="s">
        <v>5391</v>
      </c>
      <c r="I16809" s="46" t="s">
        <v>5392</v>
      </c>
      <c r="J16809" s="46" t="s">
        <v>132</v>
      </c>
      <c r="K16809" s="46" t="s">
        <v>126</v>
      </c>
      <c r="L16809" s="45">
        <v>46017.041666666664</v>
      </c>
      <c r="M16809" s="46" t="s">
        <v>123</v>
      </c>
      <c r="N16809" s="45">
        <v>46017.083333333336</v>
      </c>
      <c r="O16809" s="46" t="s">
        <v>123</v>
      </c>
      <c r="P16809" s="46">
        <v>3600.0</v>
      </c>
    </row>
    <row r="16810">
      <c r="A16810" s="40">
        <f t="shared" si="1"/>
        <v>46013</v>
      </c>
      <c r="B16810" s="37" t="str">
        <f t="array" ref="B16810">iferror(xlookup($I16810, 'IMPORT VHC Report'!$E:$E, 'IMPORT VHC Report'!$A:$C), )</f>
        <v/>
      </c>
      <c r="C16810" s="44"/>
      <c r="D16810" s="44"/>
      <c r="E16810" s="46" t="s">
        <v>13017</v>
      </c>
      <c r="F16810" s="46" t="s">
        <v>5390</v>
      </c>
      <c r="H16810" s="46" t="s">
        <v>5391</v>
      </c>
      <c r="I16810" s="46" t="s">
        <v>5392</v>
      </c>
      <c r="J16810" s="46" t="s">
        <v>125</v>
      </c>
      <c r="K16810" s="46" t="s">
        <v>126</v>
      </c>
      <c r="L16810" s="45">
        <v>46017.833333333336</v>
      </c>
      <c r="M16810" s="46" t="s">
        <v>123</v>
      </c>
      <c r="N16810" s="45">
        <v>46017.84027777778</v>
      </c>
      <c r="O16810" s="46" t="s">
        <v>123</v>
      </c>
      <c r="P16810" s="46">
        <v>600.0</v>
      </c>
      <c r="S16810" s="46" t="s">
        <v>127</v>
      </c>
    </row>
    <row r="16811">
      <c r="A16811" s="40">
        <f t="shared" si="1"/>
        <v>46013</v>
      </c>
      <c r="B16811" s="37" t="str">
        <f t="array" ref="B16811">iferror(xlookup($I16811, 'IMPORT VHC Report'!$E:$E, 'IMPORT VHC Report'!$A:$C), )</f>
        <v/>
      </c>
      <c r="C16811" s="44"/>
      <c r="D16811" s="44"/>
      <c r="E16811" s="46" t="s">
        <v>13018</v>
      </c>
      <c r="F16811" s="46" t="s">
        <v>5390</v>
      </c>
      <c r="H16811" s="46" t="s">
        <v>5391</v>
      </c>
      <c r="I16811" s="46" t="s">
        <v>5392</v>
      </c>
      <c r="J16811" s="46" t="s">
        <v>178</v>
      </c>
      <c r="K16811" s="46" t="s">
        <v>153</v>
      </c>
      <c r="L16811" s="45">
        <v>46017.833333333336</v>
      </c>
      <c r="M16811" s="46" t="s">
        <v>123</v>
      </c>
      <c r="N16811" s="45">
        <v>46018.208333333336</v>
      </c>
      <c r="O16811" s="46" t="s">
        <v>123</v>
      </c>
      <c r="P16811" s="46">
        <v>32400.0</v>
      </c>
      <c r="Q16811" s="46">
        <v>32400.0</v>
      </c>
    </row>
    <row r="16812">
      <c r="A16812" s="40">
        <f t="shared" si="1"/>
        <v>46013</v>
      </c>
      <c r="B16812" s="37" t="str">
        <f t="array" ref="B16812">iferror(xlookup($I16812, 'IMPORT VHC Report'!$E:$E, 'IMPORT VHC Report'!$A:$C), )</f>
        <v/>
      </c>
      <c r="C16812" s="44"/>
      <c r="D16812" s="44"/>
      <c r="E16812" s="46" t="s">
        <v>13019</v>
      </c>
      <c r="F16812" s="46" t="s">
        <v>5390</v>
      </c>
      <c r="H16812" s="46" t="s">
        <v>5391</v>
      </c>
      <c r="I16812" s="46" t="s">
        <v>5392</v>
      </c>
      <c r="J16812" s="46" t="s">
        <v>122</v>
      </c>
      <c r="K16812" s="46" t="s">
        <v>63</v>
      </c>
      <c r="L16812" s="45">
        <v>46017.833333333336</v>
      </c>
      <c r="M16812" s="46" t="s">
        <v>123</v>
      </c>
      <c r="N16812" s="45">
        <v>46018.208333333336</v>
      </c>
      <c r="O16812" s="46" t="s">
        <v>123</v>
      </c>
      <c r="P16812" s="46">
        <v>32400.0</v>
      </c>
    </row>
    <row r="16813">
      <c r="A16813" s="40">
        <f t="shared" si="1"/>
        <v>46013</v>
      </c>
      <c r="B16813" s="37" t="str">
        <f t="array" ref="B16813">iferror(xlookup($I16813, 'IMPORT VHC Report'!$E:$E, 'IMPORT VHC Report'!$A:$C), )</f>
        <v/>
      </c>
      <c r="C16813" s="44"/>
      <c r="D16813" s="44"/>
      <c r="E16813" s="46" t="s">
        <v>13020</v>
      </c>
      <c r="F16813" s="46" t="s">
        <v>5390</v>
      </c>
      <c r="H16813" s="46" t="s">
        <v>5391</v>
      </c>
      <c r="I16813" s="46" t="s">
        <v>5392</v>
      </c>
      <c r="J16813" s="46" t="s">
        <v>132</v>
      </c>
      <c r="K16813" s="46" t="s">
        <v>126</v>
      </c>
      <c r="L16813" s="45">
        <v>46017.9375</v>
      </c>
      <c r="M16813" s="46" t="s">
        <v>123</v>
      </c>
      <c r="N16813" s="45">
        <v>46017.979166666664</v>
      </c>
      <c r="O16813" s="46" t="s">
        <v>123</v>
      </c>
      <c r="P16813" s="46">
        <v>3600.0</v>
      </c>
    </row>
    <row r="16814">
      <c r="A16814" s="40">
        <f t="shared" si="1"/>
        <v>46013</v>
      </c>
      <c r="B16814" s="37" t="str">
        <f t="array" ref="B16814">iferror(xlookup($I16814, 'IMPORT VHC Report'!$E:$E, 'IMPORT VHC Report'!$A:$C), )</f>
        <v/>
      </c>
      <c r="C16814" s="44"/>
      <c r="D16814" s="44"/>
      <c r="E16814" s="46" t="s">
        <v>13021</v>
      </c>
      <c r="F16814" s="46" t="s">
        <v>5390</v>
      </c>
      <c r="H16814" s="46" t="s">
        <v>5391</v>
      </c>
      <c r="I16814" s="46" t="s">
        <v>5392</v>
      </c>
      <c r="J16814" s="46" t="s">
        <v>134</v>
      </c>
      <c r="K16814" s="46" t="s">
        <v>126</v>
      </c>
      <c r="L16814" s="45">
        <v>46018.09375</v>
      </c>
      <c r="M16814" s="46" t="s">
        <v>123</v>
      </c>
      <c r="N16814" s="45">
        <v>46018.114583333336</v>
      </c>
      <c r="O16814" s="46" t="s">
        <v>123</v>
      </c>
      <c r="P16814" s="46">
        <v>1800.0</v>
      </c>
    </row>
    <row r="16815">
      <c r="A16815" s="40">
        <f t="shared" si="1"/>
        <v>46013</v>
      </c>
      <c r="B16815" s="37" t="str">
        <f t="array" ref="B16815">iferror(xlookup($I16815, 'IMPORT VHC Report'!$E:$E, 'IMPORT VHC Report'!$A:$C), )</f>
        <v/>
      </c>
      <c r="C16815" s="44"/>
      <c r="D16815" s="44"/>
      <c r="E16815" s="46" t="s">
        <v>13022</v>
      </c>
      <c r="F16815" s="46" t="s">
        <v>5770</v>
      </c>
      <c r="H16815" s="46" t="s">
        <v>5771</v>
      </c>
      <c r="I16815" s="46" t="s">
        <v>5772</v>
      </c>
      <c r="J16815" s="46" t="s">
        <v>125</v>
      </c>
      <c r="K16815" s="46" t="s">
        <v>126</v>
      </c>
      <c r="L16815" s="45">
        <v>46013.916666666664</v>
      </c>
      <c r="M16815" s="46" t="s">
        <v>123</v>
      </c>
      <c r="N16815" s="45">
        <v>46013.92361111111</v>
      </c>
      <c r="O16815" s="46" t="s">
        <v>123</v>
      </c>
      <c r="P16815" s="46">
        <v>600.0</v>
      </c>
      <c r="S16815" s="46" t="s">
        <v>127</v>
      </c>
    </row>
    <row r="16816">
      <c r="A16816" s="40">
        <f t="shared" si="1"/>
        <v>46013</v>
      </c>
      <c r="B16816" s="37" t="str">
        <f t="array" ref="B16816">iferror(xlookup($I16816, 'IMPORT VHC Report'!$E:$E, 'IMPORT VHC Report'!$A:$C), )</f>
        <v/>
      </c>
      <c r="C16816" s="44"/>
      <c r="D16816" s="44"/>
      <c r="E16816" s="46" t="s">
        <v>13023</v>
      </c>
      <c r="F16816" s="46" t="s">
        <v>5770</v>
      </c>
      <c r="H16816" s="46" t="s">
        <v>5771</v>
      </c>
      <c r="I16816" s="46" t="s">
        <v>5772</v>
      </c>
      <c r="J16816" s="46" t="s">
        <v>122</v>
      </c>
      <c r="K16816" s="46" t="s">
        <v>63</v>
      </c>
      <c r="L16816" s="45">
        <v>46013.916666666664</v>
      </c>
      <c r="M16816" s="46" t="s">
        <v>123</v>
      </c>
      <c r="N16816" s="45">
        <v>46014.291666666664</v>
      </c>
      <c r="O16816" s="46" t="s">
        <v>123</v>
      </c>
      <c r="P16816" s="46">
        <v>32400.0</v>
      </c>
    </row>
    <row r="16817">
      <c r="A16817" s="40">
        <f t="shared" si="1"/>
        <v>46013</v>
      </c>
      <c r="B16817" s="37" t="str">
        <f t="array" ref="B16817">iferror(xlookup($I16817, 'IMPORT VHC Report'!$E:$E, 'IMPORT VHC Report'!$A:$C), )</f>
        <v/>
      </c>
      <c r="C16817" s="44"/>
      <c r="D16817" s="44"/>
      <c r="E16817" s="46" t="s">
        <v>13024</v>
      </c>
      <c r="F16817" s="46" t="s">
        <v>5770</v>
      </c>
      <c r="H16817" s="46" t="s">
        <v>5771</v>
      </c>
      <c r="I16817" s="46" t="s">
        <v>5772</v>
      </c>
      <c r="J16817" s="46" t="s">
        <v>134</v>
      </c>
      <c r="K16817" s="46" t="s">
        <v>126</v>
      </c>
      <c r="L16817" s="45">
        <v>46014.229166666664</v>
      </c>
      <c r="M16817" s="46" t="s">
        <v>123</v>
      </c>
      <c r="N16817" s="45">
        <v>46014.25</v>
      </c>
      <c r="O16817" s="46" t="s">
        <v>123</v>
      </c>
      <c r="P16817" s="46">
        <v>1800.0</v>
      </c>
    </row>
    <row r="16818">
      <c r="A16818" s="40">
        <f t="shared" si="1"/>
        <v>46013</v>
      </c>
      <c r="B16818" s="37" t="str">
        <f t="array" ref="B16818">iferror(xlookup($I16818, 'IMPORT VHC Report'!$E:$E, 'IMPORT VHC Report'!$A:$C), )</f>
        <v/>
      </c>
      <c r="C16818" s="44"/>
      <c r="D16818" s="44"/>
      <c r="E16818" s="46" t="s">
        <v>13025</v>
      </c>
      <c r="F16818" s="46" t="s">
        <v>5770</v>
      </c>
      <c r="H16818" s="46" t="s">
        <v>5771</v>
      </c>
      <c r="I16818" s="46" t="s">
        <v>5772</v>
      </c>
      <c r="J16818" s="46" t="s">
        <v>132</v>
      </c>
      <c r="K16818" s="46" t="s">
        <v>126</v>
      </c>
      <c r="L16818" s="45">
        <v>46014.25</v>
      </c>
      <c r="M16818" s="46" t="s">
        <v>123</v>
      </c>
      <c r="N16818" s="45">
        <v>46014.291666666664</v>
      </c>
      <c r="O16818" s="46" t="s">
        <v>123</v>
      </c>
      <c r="P16818" s="46">
        <v>3600.0</v>
      </c>
    </row>
    <row r="16819">
      <c r="A16819" s="40">
        <f t="shared" si="1"/>
        <v>46013</v>
      </c>
      <c r="B16819" s="37" t="str">
        <f t="array" ref="B16819">iferror(xlookup($I16819, 'IMPORT VHC Report'!$E:$E, 'IMPORT VHC Report'!$A:$C), )</f>
        <v/>
      </c>
      <c r="C16819" s="44"/>
      <c r="D16819" s="44"/>
      <c r="E16819" s="46" t="s">
        <v>13026</v>
      </c>
      <c r="F16819" s="46" t="s">
        <v>5770</v>
      </c>
      <c r="H16819" s="46" t="s">
        <v>5771</v>
      </c>
      <c r="I16819" s="46" t="s">
        <v>5772</v>
      </c>
      <c r="J16819" s="46" t="s">
        <v>125</v>
      </c>
      <c r="K16819" s="46" t="s">
        <v>126</v>
      </c>
      <c r="L16819" s="45">
        <v>46014.916666666664</v>
      </c>
      <c r="M16819" s="46" t="s">
        <v>123</v>
      </c>
      <c r="N16819" s="45">
        <v>46014.92361111111</v>
      </c>
      <c r="O16819" s="46" t="s">
        <v>123</v>
      </c>
      <c r="P16819" s="46">
        <v>600.0</v>
      </c>
      <c r="S16819" s="46" t="s">
        <v>127</v>
      </c>
    </row>
    <row r="16820">
      <c r="A16820" s="40">
        <f t="shared" si="1"/>
        <v>46013</v>
      </c>
      <c r="B16820" s="37" t="str">
        <f t="array" ref="B16820">iferror(xlookup($I16820, 'IMPORT VHC Report'!$E:$E, 'IMPORT VHC Report'!$A:$C), )</f>
        <v/>
      </c>
      <c r="C16820" s="44"/>
      <c r="D16820" s="44"/>
      <c r="E16820" s="46" t="s">
        <v>13027</v>
      </c>
      <c r="F16820" s="46" t="s">
        <v>5770</v>
      </c>
      <c r="H16820" s="46" t="s">
        <v>5771</v>
      </c>
      <c r="I16820" s="46" t="s">
        <v>5772</v>
      </c>
      <c r="J16820" s="46" t="s">
        <v>122</v>
      </c>
      <c r="K16820" s="46" t="s">
        <v>63</v>
      </c>
      <c r="L16820" s="45">
        <v>46014.916666666664</v>
      </c>
      <c r="M16820" s="46" t="s">
        <v>123</v>
      </c>
      <c r="N16820" s="45">
        <v>46015.291666666664</v>
      </c>
      <c r="O16820" s="46" t="s">
        <v>123</v>
      </c>
      <c r="P16820" s="46">
        <v>32400.0</v>
      </c>
    </row>
    <row r="16821">
      <c r="A16821" s="40">
        <f t="shared" si="1"/>
        <v>46013</v>
      </c>
      <c r="B16821" s="37" t="str">
        <f t="array" ref="B16821">iferror(xlookup($I16821, 'IMPORT VHC Report'!$E:$E, 'IMPORT VHC Report'!$A:$C), )</f>
        <v/>
      </c>
      <c r="C16821" s="44"/>
      <c r="D16821" s="44"/>
      <c r="E16821" s="46" t="s">
        <v>13028</v>
      </c>
      <c r="F16821" s="46" t="s">
        <v>5770</v>
      </c>
      <c r="H16821" s="46" t="s">
        <v>5771</v>
      </c>
      <c r="I16821" s="46" t="s">
        <v>5772</v>
      </c>
      <c r="J16821" s="46" t="s">
        <v>134</v>
      </c>
      <c r="K16821" s="46" t="s">
        <v>126</v>
      </c>
      <c r="L16821" s="45">
        <v>46015.229166666664</v>
      </c>
      <c r="M16821" s="46" t="s">
        <v>123</v>
      </c>
      <c r="N16821" s="45">
        <v>46015.25</v>
      </c>
      <c r="O16821" s="46" t="s">
        <v>123</v>
      </c>
      <c r="P16821" s="46">
        <v>1800.0</v>
      </c>
    </row>
    <row r="16822">
      <c r="A16822" s="40">
        <f t="shared" si="1"/>
        <v>46013</v>
      </c>
      <c r="B16822" s="37" t="str">
        <f t="array" ref="B16822">iferror(xlookup($I16822, 'IMPORT VHC Report'!$E:$E, 'IMPORT VHC Report'!$A:$C), )</f>
        <v/>
      </c>
      <c r="C16822" s="44"/>
      <c r="D16822" s="44"/>
      <c r="E16822" s="46" t="s">
        <v>13029</v>
      </c>
      <c r="F16822" s="46" t="s">
        <v>5770</v>
      </c>
      <c r="H16822" s="46" t="s">
        <v>5771</v>
      </c>
      <c r="I16822" s="46" t="s">
        <v>5772</v>
      </c>
      <c r="J16822" s="46" t="s">
        <v>132</v>
      </c>
      <c r="K16822" s="46" t="s">
        <v>126</v>
      </c>
      <c r="L16822" s="45">
        <v>46015.25</v>
      </c>
      <c r="M16822" s="46" t="s">
        <v>123</v>
      </c>
      <c r="N16822" s="45">
        <v>46015.291666666664</v>
      </c>
      <c r="O16822" s="46" t="s">
        <v>123</v>
      </c>
      <c r="P16822" s="46">
        <v>3600.0</v>
      </c>
    </row>
    <row r="16823">
      <c r="A16823" s="40">
        <f t="shared" si="1"/>
        <v>46013</v>
      </c>
      <c r="B16823" s="37" t="str">
        <f t="array" ref="B16823">iferror(xlookup($I16823, 'IMPORT VHC Report'!$E:$E, 'IMPORT VHC Report'!$A:$C), )</f>
        <v/>
      </c>
      <c r="C16823" s="44"/>
      <c r="D16823" s="44"/>
      <c r="E16823" s="46" t="s">
        <v>13030</v>
      </c>
      <c r="F16823" s="46" t="s">
        <v>5770</v>
      </c>
      <c r="H16823" s="46" t="s">
        <v>5771</v>
      </c>
      <c r="I16823" s="46" t="s">
        <v>5772</v>
      </c>
      <c r="J16823" s="46" t="s">
        <v>125</v>
      </c>
      <c r="K16823" s="46" t="s">
        <v>126</v>
      </c>
      <c r="L16823" s="45">
        <v>46015.916666666664</v>
      </c>
      <c r="M16823" s="46" t="s">
        <v>123</v>
      </c>
      <c r="N16823" s="45">
        <v>46015.92361111111</v>
      </c>
      <c r="O16823" s="46" t="s">
        <v>123</v>
      </c>
      <c r="P16823" s="46">
        <v>600.0</v>
      </c>
      <c r="S16823" s="46" t="s">
        <v>127</v>
      </c>
    </row>
    <row r="16824">
      <c r="A16824" s="40">
        <f t="shared" si="1"/>
        <v>46013</v>
      </c>
      <c r="B16824" s="37" t="str">
        <f t="array" ref="B16824">iferror(xlookup($I16824, 'IMPORT VHC Report'!$E:$E, 'IMPORT VHC Report'!$A:$C), )</f>
        <v/>
      </c>
      <c r="C16824" s="44"/>
      <c r="D16824" s="44"/>
      <c r="E16824" s="46" t="s">
        <v>13031</v>
      </c>
      <c r="F16824" s="46" t="s">
        <v>5770</v>
      </c>
      <c r="H16824" s="46" t="s">
        <v>5771</v>
      </c>
      <c r="I16824" s="46" t="s">
        <v>5772</v>
      </c>
      <c r="J16824" s="46" t="s">
        <v>122</v>
      </c>
      <c r="K16824" s="46" t="s">
        <v>63</v>
      </c>
      <c r="L16824" s="45">
        <v>46015.916666666664</v>
      </c>
      <c r="M16824" s="46" t="s">
        <v>123</v>
      </c>
      <c r="N16824" s="45">
        <v>46016.291666666664</v>
      </c>
      <c r="O16824" s="46" t="s">
        <v>123</v>
      </c>
      <c r="P16824" s="46">
        <v>32400.0</v>
      </c>
    </row>
    <row r="16825">
      <c r="A16825" s="40">
        <f t="shared" si="1"/>
        <v>46013</v>
      </c>
      <c r="B16825" s="37" t="str">
        <f t="array" ref="B16825">iferror(xlookup($I16825, 'IMPORT VHC Report'!$E:$E, 'IMPORT VHC Report'!$A:$C), )</f>
        <v/>
      </c>
      <c r="C16825" s="44"/>
      <c r="D16825" s="44"/>
      <c r="E16825" s="46" t="s">
        <v>13032</v>
      </c>
      <c r="F16825" s="46" t="s">
        <v>5770</v>
      </c>
      <c r="H16825" s="46" t="s">
        <v>5771</v>
      </c>
      <c r="I16825" s="46" t="s">
        <v>5772</v>
      </c>
      <c r="J16825" s="46" t="s">
        <v>134</v>
      </c>
      <c r="K16825" s="46" t="s">
        <v>126</v>
      </c>
      <c r="L16825" s="45">
        <v>46016.229166666664</v>
      </c>
      <c r="M16825" s="46" t="s">
        <v>123</v>
      </c>
      <c r="N16825" s="45">
        <v>46016.25</v>
      </c>
      <c r="O16825" s="46" t="s">
        <v>123</v>
      </c>
      <c r="P16825" s="46">
        <v>1800.0</v>
      </c>
    </row>
    <row r="16826">
      <c r="A16826" s="40">
        <f t="shared" si="1"/>
        <v>46013</v>
      </c>
      <c r="B16826" s="37" t="str">
        <f t="array" ref="B16826">iferror(xlookup($I16826, 'IMPORT VHC Report'!$E:$E, 'IMPORT VHC Report'!$A:$C), )</f>
        <v/>
      </c>
      <c r="C16826" s="44"/>
      <c r="D16826" s="44"/>
      <c r="E16826" s="46" t="s">
        <v>13033</v>
      </c>
      <c r="F16826" s="46" t="s">
        <v>5770</v>
      </c>
      <c r="H16826" s="46" t="s">
        <v>5771</v>
      </c>
      <c r="I16826" s="46" t="s">
        <v>5772</v>
      </c>
      <c r="J16826" s="46" t="s">
        <v>132</v>
      </c>
      <c r="K16826" s="46" t="s">
        <v>126</v>
      </c>
      <c r="L16826" s="45">
        <v>46016.25</v>
      </c>
      <c r="M16826" s="46" t="s">
        <v>123</v>
      </c>
      <c r="N16826" s="45">
        <v>46016.291666666664</v>
      </c>
      <c r="O16826" s="46" t="s">
        <v>123</v>
      </c>
      <c r="P16826" s="46">
        <v>3600.0</v>
      </c>
    </row>
    <row r="16827">
      <c r="A16827" s="40">
        <f t="shared" si="1"/>
        <v>46013</v>
      </c>
      <c r="B16827" s="37" t="str">
        <f t="array" ref="B16827">iferror(xlookup($I16827, 'IMPORT VHC Report'!$E:$E, 'IMPORT VHC Report'!$A:$C), )</f>
        <v/>
      </c>
      <c r="C16827" s="44"/>
      <c r="D16827" s="44"/>
      <c r="E16827" s="46" t="s">
        <v>13034</v>
      </c>
      <c r="F16827" s="46" t="s">
        <v>5770</v>
      </c>
      <c r="H16827" s="46" t="s">
        <v>5771</v>
      </c>
      <c r="I16827" s="46" t="s">
        <v>5772</v>
      </c>
      <c r="J16827" s="46" t="s">
        <v>125</v>
      </c>
      <c r="K16827" s="46" t="s">
        <v>126</v>
      </c>
      <c r="L16827" s="45">
        <v>46016.916666666664</v>
      </c>
      <c r="M16827" s="46" t="s">
        <v>123</v>
      </c>
      <c r="N16827" s="45">
        <v>46016.92361111111</v>
      </c>
      <c r="O16827" s="46" t="s">
        <v>123</v>
      </c>
      <c r="P16827" s="46">
        <v>600.0</v>
      </c>
      <c r="S16827" s="46" t="s">
        <v>127</v>
      </c>
    </row>
    <row r="16828">
      <c r="A16828" s="40">
        <f t="shared" si="1"/>
        <v>46013</v>
      </c>
      <c r="B16828" s="37" t="str">
        <f t="array" ref="B16828">iferror(xlookup($I16828, 'IMPORT VHC Report'!$E:$E, 'IMPORT VHC Report'!$A:$C), )</f>
        <v/>
      </c>
      <c r="C16828" s="44"/>
      <c r="D16828" s="44"/>
      <c r="E16828" s="46" t="s">
        <v>13035</v>
      </c>
      <c r="F16828" s="46" t="s">
        <v>5770</v>
      </c>
      <c r="H16828" s="46" t="s">
        <v>5771</v>
      </c>
      <c r="I16828" s="46" t="s">
        <v>5772</v>
      </c>
      <c r="J16828" s="46" t="s">
        <v>178</v>
      </c>
      <c r="K16828" s="46" t="s">
        <v>153</v>
      </c>
      <c r="L16828" s="45">
        <v>46016.916666666664</v>
      </c>
      <c r="M16828" s="46" t="s">
        <v>123</v>
      </c>
      <c r="N16828" s="45">
        <v>46017.291666666664</v>
      </c>
      <c r="O16828" s="46" t="s">
        <v>123</v>
      </c>
      <c r="P16828" s="46">
        <v>32400.0</v>
      </c>
      <c r="Q16828" s="46">
        <v>32400.0</v>
      </c>
    </row>
    <row r="16829">
      <c r="A16829" s="40">
        <f t="shared" si="1"/>
        <v>46013</v>
      </c>
      <c r="B16829" s="37" t="str">
        <f t="array" ref="B16829">iferror(xlookup($I16829, 'IMPORT VHC Report'!$E:$E, 'IMPORT VHC Report'!$A:$C), )</f>
        <v/>
      </c>
      <c r="C16829" s="44"/>
      <c r="D16829" s="44"/>
      <c r="E16829" s="46" t="s">
        <v>13036</v>
      </c>
      <c r="F16829" s="46" t="s">
        <v>5770</v>
      </c>
      <c r="H16829" s="46" t="s">
        <v>5771</v>
      </c>
      <c r="I16829" s="46" t="s">
        <v>5772</v>
      </c>
      <c r="J16829" s="46" t="s">
        <v>122</v>
      </c>
      <c r="K16829" s="46" t="s">
        <v>63</v>
      </c>
      <c r="L16829" s="45">
        <v>46016.916666666664</v>
      </c>
      <c r="M16829" s="46" t="s">
        <v>123</v>
      </c>
      <c r="N16829" s="45">
        <v>46017.291666666664</v>
      </c>
      <c r="O16829" s="46" t="s">
        <v>123</v>
      </c>
      <c r="P16829" s="46">
        <v>32400.0</v>
      </c>
    </row>
    <row r="16830">
      <c r="A16830" s="40">
        <f t="shared" si="1"/>
        <v>46013</v>
      </c>
      <c r="B16830" s="37" t="str">
        <f t="array" ref="B16830">iferror(xlookup($I16830, 'IMPORT VHC Report'!$E:$E, 'IMPORT VHC Report'!$A:$C), )</f>
        <v/>
      </c>
      <c r="C16830" s="44"/>
      <c r="D16830" s="44"/>
      <c r="E16830" s="46" t="s">
        <v>13037</v>
      </c>
      <c r="F16830" s="46" t="s">
        <v>5770</v>
      </c>
      <c r="H16830" s="46" t="s">
        <v>5771</v>
      </c>
      <c r="I16830" s="46" t="s">
        <v>5772</v>
      </c>
      <c r="J16830" s="46" t="s">
        <v>132</v>
      </c>
      <c r="K16830" s="46" t="s">
        <v>126</v>
      </c>
      <c r="L16830" s="45">
        <v>46017.25</v>
      </c>
      <c r="M16830" s="46" t="s">
        <v>123</v>
      </c>
      <c r="N16830" s="45">
        <v>46017.291666666664</v>
      </c>
      <c r="O16830" s="46" t="s">
        <v>123</v>
      </c>
      <c r="P16830" s="46">
        <v>3600.0</v>
      </c>
    </row>
    <row r="16831">
      <c r="A16831" s="40">
        <f t="shared" si="1"/>
        <v>46013</v>
      </c>
      <c r="B16831" s="37" t="str">
        <f t="array" ref="B16831">iferror(xlookup($I16831, 'IMPORT VHC Report'!$E:$E, 'IMPORT VHC Report'!$A:$C), )</f>
        <v/>
      </c>
      <c r="C16831" s="44"/>
      <c r="D16831" s="44"/>
      <c r="E16831" s="46" t="s">
        <v>13038</v>
      </c>
      <c r="F16831" s="46" t="s">
        <v>5770</v>
      </c>
      <c r="H16831" s="46" t="s">
        <v>5771</v>
      </c>
      <c r="I16831" s="46" t="s">
        <v>5772</v>
      </c>
      <c r="J16831" s="46" t="s">
        <v>125</v>
      </c>
      <c r="K16831" s="46" t="s">
        <v>126</v>
      </c>
      <c r="L16831" s="45">
        <v>46017.916666666664</v>
      </c>
      <c r="M16831" s="46" t="s">
        <v>123</v>
      </c>
      <c r="N16831" s="45">
        <v>46017.92361111111</v>
      </c>
      <c r="O16831" s="46" t="s">
        <v>123</v>
      </c>
      <c r="P16831" s="46">
        <v>600.0</v>
      </c>
      <c r="S16831" s="46" t="s">
        <v>127</v>
      </c>
    </row>
    <row r="16832">
      <c r="A16832" s="40">
        <f t="shared" si="1"/>
        <v>46013</v>
      </c>
      <c r="B16832" s="37" t="str">
        <f t="array" ref="B16832">iferror(xlookup($I16832, 'IMPORT VHC Report'!$E:$E, 'IMPORT VHC Report'!$A:$C), )</f>
        <v/>
      </c>
      <c r="C16832" s="44"/>
      <c r="D16832" s="44"/>
      <c r="E16832" s="46" t="s">
        <v>13039</v>
      </c>
      <c r="F16832" s="46" t="s">
        <v>5770</v>
      </c>
      <c r="H16832" s="46" t="s">
        <v>5771</v>
      </c>
      <c r="I16832" s="46" t="s">
        <v>5772</v>
      </c>
      <c r="J16832" s="46" t="s">
        <v>122</v>
      </c>
      <c r="K16832" s="46" t="s">
        <v>63</v>
      </c>
      <c r="L16832" s="45">
        <v>46017.916666666664</v>
      </c>
      <c r="M16832" s="46" t="s">
        <v>123</v>
      </c>
      <c r="N16832" s="45">
        <v>46018.291666666664</v>
      </c>
      <c r="O16832" s="46" t="s">
        <v>123</v>
      </c>
      <c r="P16832" s="46">
        <v>32400.0</v>
      </c>
    </row>
    <row r="16833">
      <c r="A16833" s="40">
        <f t="shared" si="1"/>
        <v>46013</v>
      </c>
      <c r="B16833" s="37" t="str">
        <f t="array" ref="B16833">iferror(xlookup($I16833, 'IMPORT VHC Report'!$E:$E, 'IMPORT VHC Report'!$A:$C), )</f>
        <v/>
      </c>
      <c r="C16833" s="44"/>
      <c r="D16833" s="44"/>
      <c r="E16833" s="46" t="s">
        <v>13040</v>
      </c>
      <c r="F16833" s="46" t="s">
        <v>5770</v>
      </c>
      <c r="H16833" s="46" t="s">
        <v>5771</v>
      </c>
      <c r="I16833" s="46" t="s">
        <v>5772</v>
      </c>
      <c r="J16833" s="46" t="s">
        <v>132</v>
      </c>
      <c r="K16833" s="46" t="s">
        <v>126</v>
      </c>
      <c r="L16833" s="45">
        <v>46018.083333333336</v>
      </c>
      <c r="M16833" s="46" t="s">
        <v>123</v>
      </c>
      <c r="N16833" s="45">
        <v>46018.125</v>
      </c>
      <c r="O16833" s="46" t="s">
        <v>123</v>
      </c>
      <c r="P16833" s="46">
        <v>3600.0</v>
      </c>
    </row>
    <row r="16834">
      <c r="A16834" s="40">
        <f t="shared" si="1"/>
        <v>46013</v>
      </c>
      <c r="B16834" s="37" t="str">
        <f t="array" ref="B16834">iferror(xlookup($I16834, 'IMPORT VHC Report'!$E:$E, 'IMPORT VHC Report'!$A:$C), )</f>
        <v/>
      </c>
      <c r="C16834" s="44"/>
      <c r="D16834" s="44"/>
      <c r="E16834" s="46" t="s">
        <v>13041</v>
      </c>
      <c r="F16834" s="46" t="s">
        <v>5770</v>
      </c>
      <c r="H16834" s="46" t="s">
        <v>5771</v>
      </c>
      <c r="I16834" s="46" t="s">
        <v>5772</v>
      </c>
      <c r="J16834" s="46" t="s">
        <v>178</v>
      </c>
      <c r="K16834" s="46" t="s">
        <v>153</v>
      </c>
      <c r="L16834" s="45">
        <v>46018.125</v>
      </c>
      <c r="M16834" s="46" t="s">
        <v>123</v>
      </c>
      <c r="N16834" s="45">
        <v>46018.291666666664</v>
      </c>
      <c r="O16834" s="46" t="s">
        <v>123</v>
      </c>
      <c r="P16834" s="46">
        <v>14400.0</v>
      </c>
      <c r="Q16834" s="46">
        <v>14400.0</v>
      </c>
      <c r="R16834" s="46" t="s">
        <v>13042</v>
      </c>
      <c r="S16834" s="46" t="s">
        <v>13042</v>
      </c>
    </row>
    <row r="16835">
      <c r="A16835" s="40">
        <f t="shared" si="1"/>
        <v>46013</v>
      </c>
      <c r="B16835" s="37" t="str">
        <f t="array" ref="B16835">iferror(xlookup($I16835, 'IMPORT VHC Report'!$E:$E, 'IMPORT VHC Report'!$A:$C), )</f>
        <v/>
      </c>
      <c r="C16835" s="44"/>
      <c r="D16835" s="44"/>
      <c r="E16835" s="46" t="s">
        <v>13043</v>
      </c>
      <c r="F16835" s="46" t="s">
        <v>6063</v>
      </c>
      <c r="H16835" s="46" t="s">
        <v>6064</v>
      </c>
      <c r="I16835" s="46" t="s">
        <v>6065</v>
      </c>
      <c r="J16835" s="46" t="s">
        <v>125</v>
      </c>
      <c r="K16835" s="46" t="s">
        <v>126</v>
      </c>
      <c r="L16835" s="45">
        <v>46014.041666666664</v>
      </c>
      <c r="M16835" s="46" t="s">
        <v>123</v>
      </c>
      <c r="N16835" s="45">
        <v>46014.04861111111</v>
      </c>
      <c r="O16835" s="46" t="s">
        <v>123</v>
      </c>
      <c r="P16835" s="46">
        <v>600.0</v>
      </c>
      <c r="S16835" s="46" t="s">
        <v>127</v>
      </c>
    </row>
    <row r="16836">
      <c r="A16836" s="40">
        <f t="shared" si="1"/>
        <v>46013</v>
      </c>
      <c r="B16836" s="37" t="str">
        <f t="array" ref="B16836">iferror(xlookup($I16836, 'IMPORT VHC Report'!$E:$E, 'IMPORT VHC Report'!$A:$C), )</f>
        <v/>
      </c>
      <c r="C16836" s="44"/>
      <c r="D16836" s="44"/>
      <c r="E16836" s="46" t="s">
        <v>13044</v>
      </c>
      <c r="F16836" s="46" t="s">
        <v>6063</v>
      </c>
      <c r="H16836" s="46" t="s">
        <v>6064</v>
      </c>
      <c r="I16836" s="46" t="s">
        <v>6065</v>
      </c>
      <c r="J16836" s="46" t="s">
        <v>178</v>
      </c>
      <c r="K16836" s="46" t="s">
        <v>153</v>
      </c>
      <c r="L16836" s="45">
        <v>46014.041666666664</v>
      </c>
      <c r="M16836" s="46" t="s">
        <v>123</v>
      </c>
      <c r="N16836" s="45">
        <v>46014.416666666664</v>
      </c>
      <c r="O16836" s="46" t="s">
        <v>123</v>
      </c>
      <c r="P16836" s="46">
        <v>32400.0</v>
      </c>
      <c r="Q16836" s="46">
        <v>32400.0</v>
      </c>
      <c r="R16836" s="46" t="s">
        <v>13045</v>
      </c>
    </row>
    <row r="16837">
      <c r="A16837" s="40">
        <f t="shared" si="1"/>
        <v>46013</v>
      </c>
      <c r="B16837" s="37" t="str">
        <f t="array" ref="B16837">iferror(xlookup($I16837, 'IMPORT VHC Report'!$E:$E, 'IMPORT VHC Report'!$A:$C), )</f>
        <v/>
      </c>
      <c r="C16837" s="44"/>
      <c r="D16837" s="44"/>
      <c r="E16837" s="46" t="s">
        <v>13046</v>
      </c>
      <c r="F16837" s="46" t="s">
        <v>6063</v>
      </c>
      <c r="H16837" s="46" t="s">
        <v>6064</v>
      </c>
      <c r="I16837" s="46" t="s">
        <v>6065</v>
      </c>
      <c r="J16837" s="46" t="s">
        <v>122</v>
      </c>
      <c r="K16837" s="46" t="s">
        <v>63</v>
      </c>
      <c r="L16837" s="45">
        <v>46014.041666666664</v>
      </c>
      <c r="M16837" s="46" t="s">
        <v>123</v>
      </c>
      <c r="N16837" s="45">
        <v>46014.416666666664</v>
      </c>
      <c r="O16837" s="46" t="s">
        <v>123</v>
      </c>
      <c r="P16837" s="46">
        <v>32400.0</v>
      </c>
    </row>
    <row r="16838">
      <c r="A16838" s="40">
        <f t="shared" si="1"/>
        <v>46013</v>
      </c>
      <c r="B16838" s="37" t="str">
        <f t="array" ref="B16838">iferror(xlookup($I16838, 'IMPORT VHC Report'!$E:$E, 'IMPORT VHC Report'!$A:$C), )</f>
        <v/>
      </c>
      <c r="C16838" s="44"/>
      <c r="D16838" s="44"/>
      <c r="E16838" s="46" t="s">
        <v>13047</v>
      </c>
      <c r="F16838" s="46" t="s">
        <v>6063</v>
      </c>
      <c r="H16838" s="46" t="s">
        <v>6064</v>
      </c>
      <c r="I16838" s="46" t="s">
        <v>6065</v>
      </c>
      <c r="J16838" s="46" t="s">
        <v>134</v>
      </c>
      <c r="K16838" s="46" t="s">
        <v>126</v>
      </c>
      <c r="L16838" s="45">
        <v>46014.145833333336</v>
      </c>
      <c r="M16838" s="46" t="s">
        <v>123</v>
      </c>
      <c r="N16838" s="45">
        <v>46014.166666666664</v>
      </c>
      <c r="O16838" s="46" t="s">
        <v>123</v>
      </c>
      <c r="P16838" s="46">
        <v>1800.0</v>
      </c>
    </row>
    <row r="16839">
      <c r="A16839" s="40">
        <f t="shared" si="1"/>
        <v>46013</v>
      </c>
      <c r="B16839" s="37" t="str">
        <f t="array" ref="B16839">iferror(xlookup($I16839, 'IMPORT VHC Report'!$E:$E, 'IMPORT VHC Report'!$A:$C), )</f>
        <v/>
      </c>
      <c r="C16839" s="44"/>
      <c r="D16839" s="44"/>
      <c r="E16839" s="46" t="s">
        <v>13048</v>
      </c>
      <c r="F16839" s="46" t="s">
        <v>6063</v>
      </c>
      <c r="H16839" s="46" t="s">
        <v>6064</v>
      </c>
      <c r="I16839" s="46" t="s">
        <v>6065</v>
      </c>
      <c r="J16839" s="46" t="s">
        <v>132</v>
      </c>
      <c r="K16839" s="46" t="s">
        <v>126</v>
      </c>
      <c r="L16839" s="45">
        <v>46014.25</v>
      </c>
      <c r="M16839" s="46" t="s">
        <v>123</v>
      </c>
      <c r="N16839" s="45">
        <v>46014.291666666664</v>
      </c>
      <c r="O16839" s="46" t="s">
        <v>123</v>
      </c>
      <c r="P16839" s="46">
        <v>3600.0</v>
      </c>
    </row>
    <row r="16840">
      <c r="A16840" s="40">
        <f t="shared" si="1"/>
        <v>46013</v>
      </c>
      <c r="B16840" s="37" t="str">
        <f t="array" ref="B16840">iferror(xlookup($I16840, 'IMPORT VHC Report'!$E:$E, 'IMPORT VHC Report'!$A:$C), )</f>
        <v/>
      </c>
      <c r="C16840" s="44"/>
      <c r="D16840" s="44"/>
      <c r="E16840" s="46" t="s">
        <v>13049</v>
      </c>
      <c r="F16840" s="46" t="s">
        <v>6063</v>
      </c>
      <c r="H16840" s="46" t="s">
        <v>6064</v>
      </c>
      <c r="I16840" s="46" t="s">
        <v>6065</v>
      </c>
      <c r="J16840" s="46" t="s">
        <v>125</v>
      </c>
      <c r="K16840" s="46" t="s">
        <v>126</v>
      </c>
      <c r="L16840" s="45">
        <v>46015.041666666664</v>
      </c>
      <c r="M16840" s="46" t="s">
        <v>123</v>
      </c>
      <c r="N16840" s="45">
        <v>46015.04861111111</v>
      </c>
      <c r="O16840" s="46" t="s">
        <v>123</v>
      </c>
      <c r="P16840" s="46">
        <v>600.0</v>
      </c>
      <c r="S16840" s="46" t="s">
        <v>127</v>
      </c>
    </row>
    <row r="16841">
      <c r="A16841" s="40">
        <f t="shared" si="1"/>
        <v>46013</v>
      </c>
      <c r="B16841" s="37" t="str">
        <f t="array" ref="B16841">iferror(xlookup($I16841, 'IMPORT VHC Report'!$E:$E, 'IMPORT VHC Report'!$A:$C), )</f>
        <v/>
      </c>
      <c r="C16841" s="44"/>
      <c r="D16841" s="44"/>
      <c r="E16841" s="46" t="s">
        <v>13050</v>
      </c>
      <c r="F16841" s="46" t="s">
        <v>6063</v>
      </c>
      <c r="H16841" s="46" t="s">
        <v>6064</v>
      </c>
      <c r="I16841" s="46" t="s">
        <v>6065</v>
      </c>
      <c r="J16841" s="46" t="s">
        <v>122</v>
      </c>
      <c r="K16841" s="46" t="s">
        <v>63</v>
      </c>
      <c r="L16841" s="45">
        <v>46015.041666666664</v>
      </c>
      <c r="M16841" s="46" t="s">
        <v>123</v>
      </c>
      <c r="N16841" s="45">
        <v>46015.416666666664</v>
      </c>
      <c r="O16841" s="46" t="s">
        <v>123</v>
      </c>
      <c r="P16841" s="46">
        <v>32400.0</v>
      </c>
    </row>
    <row r="16842">
      <c r="A16842" s="40">
        <f t="shared" si="1"/>
        <v>46013</v>
      </c>
      <c r="B16842" s="37" t="str">
        <f t="array" ref="B16842">iferror(xlookup($I16842, 'IMPORT VHC Report'!$E:$E, 'IMPORT VHC Report'!$A:$C), )</f>
        <v/>
      </c>
      <c r="C16842" s="44"/>
      <c r="D16842" s="44"/>
      <c r="E16842" s="46" t="s">
        <v>13051</v>
      </c>
      <c r="F16842" s="46" t="s">
        <v>6063</v>
      </c>
      <c r="H16842" s="46" t="s">
        <v>6064</v>
      </c>
      <c r="I16842" s="46" t="s">
        <v>6065</v>
      </c>
      <c r="J16842" s="46" t="s">
        <v>134</v>
      </c>
      <c r="K16842" s="46" t="s">
        <v>126</v>
      </c>
      <c r="L16842" s="45">
        <v>46015.125</v>
      </c>
      <c r="M16842" s="46" t="s">
        <v>123</v>
      </c>
      <c r="N16842" s="45">
        <v>46015.145833333336</v>
      </c>
      <c r="O16842" s="46" t="s">
        <v>123</v>
      </c>
      <c r="P16842" s="46">
        <v>1800.0</v>
      </c>
    </row>
    <row r="16843">
      <c r="A16843" s="40">
        <f t="shared" si="1"/>
        <v>46013</v>
      </c>
      <c r="B16843" s="37" t="str">
        <f t="array" ref="B16843">iferror(xlookup($I16843, 'IMPORT VHC Report'!$E:$E, 'IMPORT VHC Report'!$A:$C), )</f>
        <v/>
      </c>
      <c r="C16843" s="44"/>
      <c r="D16843" s="44"/>
      <c r="E16843" s="46" t="s">
        <v>13052</v>
      </c>
      <c r="F16843" s="46" t="s">
        <v>6063</v>
      </c>
      <c r="H16843" s="46" t="s">
        <v>6064</v>
      </c>
      <c r="I16843" s="46" t="s">
        <v>6065</v>
      </c>
      <c r="J16843" s="46" t="s">
        <v>132</v>
      </c>
      <c r="K16843" s="46" t="s">
        <v>126</v>
      </c>
      <c r="L16843" s="45">
        <v>46015.270833333336</v>
      </c>
      <c r="M16843" s="46" t="s">
        <v>123</v>
      </c>
      <c r="N16843" s="45">
        <v>46015.3125</v>
      </c>
      <c r="O16843" s="46" t="s">
        <v>123</v>
      </c>
      <c r="P16843" s="46">
        <v>3600.0</v>
      </c>
    </row>
    <row r="16844">
      <c r="A16844" s="40">
        <f t="shared" si="1"/>
        <v>46013</v>
      </c>
      <c r="B16844" s="37" t="str">
        <f t="array" ref="B16844">iferror(xlookup($I16844, 'IMPORT VHC Report'!$E:$E, 'IMPORT VHC Report'!$A:$C), )</f>
        <v/>
      </c>
      <c r="C16844" s="44"/>
      <c r="D16844" s="44"/>
      <c r="E16844" s="46" t="s">
        <v>13053</v>
      </c>
      <c r="F16844" s="46" t="s">
        <v>6063</v>
      </c>
      <c r="H16844" s="46" t="s">
        <v>6064</v>
      </c>
      <c r="I16844" s="46" t="s">
        <v>6065</v>
      </c>
      <c r="J16844" s="46" t="s">
        <v>330</v>
      </c>
      <c r="K16844" s="46" t="s">
        <v>126</v>
      </c>
      <c r="L16844" s="45">
        <v>46015.333333333336</v>
      </c>
      <c r="M16844" s="46" t="s">
        <v>123</v>
      </c>
      <c r="N16844" s="45">
        <v>46015.354166666664</v>
      </c>
      <c r="O16844" s="46" t="s">
        <v>123</v>
      </c>
      <c r="P16844" s="46">
        <v>1800.0</v>
      </c>
      <c r="S16844" s="46" t="s">
        <v>13054</v>
      </c>
    </row>
    <row r="16845">
      <c r="A16845" s="40">
        <f t="shared" si="1"/>
        <v>46013</v>
      </c>
      <c r="B16845" s="37" t="str">
        <f t="array" ref="B16845">iferror(xlookup($I16845, 'IMPORT VHC Report'!$E:$E, 'IMPORT VHC Report'!$A:$C), )</f>
        <v/>
      </c>
      <c r="C16845" s="44"/>
      <c r="D16845" s="44"/>
      <c r="E16845" s="46" t="s">
        <v>13055</v>
      </c>
      <c r="F16845" s="46" t="s">
        <v>6063</v>
      </c>
      <c r="H16845" s="46" t="s">
        <v>6064</v>
      </c>
      <c r="I16845" s="46" t="s">
        <v>6065</v>
      </c>
      <c r="J16845" s="46" t="s">
        <v>125</v>
      </c>
      <c r="K16845" s="46" t="s">
        <v>126</v>
      </c>
      <c r="L16845" s="45">
        <v>46016.041666666664</v>
      </c>
      <c r="M16845" s="46" t="s">
        <v>123</v>
      </c>
      <c r="N16845" s="45">
        <v>46016.04861111111</v>
      </c>
      <c r="O16845" s="46" t="s">
        <v>123</v>
      </c>
      <c r="P16845" s="46">
        <v>600.0</v>
      </c>
      <c r="S16845" s="46" t="s">
        <v>127</v>
      </c>
    </row>
    <row r="16846">
      <c r="A16846" s="40">
        <f t="shared" si="1"/>
        <v>46013</v>
      </c>
      <c r="B16846" s="37" t="str">
        <f t="array" ref="B16846">iferror(xlookup($I16846, 'IMPORT VHC Report'!$E:$E, 'IMPORT VHC Report'!$A:$C), )</f>
        <v/>
      </c>
      <c r="C16846" s="44"/>
      <c r="D16846" s="44"/>
      <c r="E16846" s="46" t="s">
        <v>13056</v>
      </c>
      <c r="F16846" s="46" t="s">
        <v>6063</v>
      </c>
      <c r="H16846" s="46" t="s">
        <v>6064</v>
      </c>
      <c r="I16846" s="46" t="s">
        <v>6065</v>
      </c>
      <c r="J16846" s="46" t="s">
        <v>178</v>
      </c>
      <c r="K16846" s="46" t="s">
        <v>153</v>
      </c>
      <c r="L16846" s="45">
        <v>46016.041666666664</v>
      </c>
      <c r="M16846" s="46" t="s">
        <v>123</v>
      </c>
      <c r="N16846" s="45">
        <v>46016.416666666664</v>
      </c>
      <c r="O16846" s="46" t="s">
        <v>123</v>
      </c>
      <c r="P16846" s="46">
        <v>32400.0</v>
      </c>
      <c r="Q16846" s="46">
        <v>32400.0</v>
      </c>
    </row>
    <row r="16847">
      <c r="A16847" s="40">
        <f t="shared" si="1"/>
        <v>46013</v>
      </c>
      <c r="B16847" s="37" t="str">
        <f t="array" ref="B16847">iferror(xlookup($I16847, 'IMPORT VHC Report'!$E:$E, 'IMPORT VHC Report'!$A:$C), )</f>
        <v/>
      </c>
      <c r="C16847" s="44"/>
      <c r="D16847" s="44"/>
      <c r="E16847" s="46" t="s">
        <v>13057</v>
      </c>
      <c r="F16847" s="46" t="s">
        <v>6063</v>
      </c>
      <c r="H16847" s="46" t="s">
        <v>6064</v>
      </c>
      <c r="I16847" s="46" t="s">
        <v>6065</v>
      </c>
      <c r="J16847" s="46" t="s">
        <v>122</v>
      </c>
      <c r="K16847" s="46" t="s">
        <v>63</v>
      </c>
      <c r="L16847" s="45">
        <v>46016.041666666664</v>
      </c>
      <c r="M16847" s="46" t="s">
        <v>123</v>
      </c>
      <c r="N16847" s="45">
        <v>46016.416666666664</v>
      </c>
      <c r="O16847" s="46" t="s">
        <v>123</v>
      </c>
      <c r="P16847" s="46">
        <v>32400.0</v>
      </c>
    </row>
    <row r="16848">
      <c r="A16848" s="40">
        <f t="shared" si="1"/>
        <v>46013</v>
      </c>
      <c r="B16848" s="37" t="str">
        <f t="array" ref="B16848">iferror(xlookup($I16848, 'IMPORT VHC Report'!$E:$E, 'IMPORT VHC Report'!$A:$C), )</f>
        <v/>
      </c>
      <c r="C16848" s="44"/>
      <c r="D16848" s="44"/>
      <c r="E16848" s="46" t="s">
        <v>13058</v>
      </c>
      <c r="F16848" s="46" t="s">
        <v>6063</v>
      </c>
      <c r="H16848" s="46" t="s">
        <v>6064</v>
      </c>
      <c r="I16848" s="46" t="s">
        <v>6065</v>
      </c>
      <c r="J16848" s="46" t="s">
        <v>134</v>
      </c>
      <c r="K16848" s="46" t="s">
        <v>126</v>
      </c>
      <c r="L16848" s="45">
        <v>46016.135416666664</v>
      </c>
      <c r="M16848" s="46" t="s">
        <v>123</v>
      </c>
      <c r="N16848" s="45">
        <v>46016.15625</v>
      </c>
      <c r="O16848" s="46" t="s">
        <v>123</v>
      </c>
      <c r="P16848" s="46">
        <v>1800.0</v>
      </c>
    </row>
    <row r="16849">
      <c r="A16849" s="40">
        <f t="shared" si="1"/>
        <v>46013</v>
      </c>
      <c r="B16849" s="37" t="str">
        <f t="array" ref="B16849">iferror(xlookup($I16849, 'IMPORT VHC Report'!$E:$E, 'IMPORT VHC Report'!$A:$C), )</f>
        <v/>
      </c>
      <c r="C16849" s="44"/>
      <c r="D16849" s="44"/>
      <c r="E16849" s="46" t="s">
        <v>13059</v>
      </c>
      <c r="F16849" s="46" t="s">
        <v>6063</v>
      </c>
      <c r="H16849" s="46" t="s">
        <v>6064</v>
      </c>
      <c r="I16849" s="46" t="s">
        <v>6065</v>
      </c>
      <c r="J16849" s="46" t="s">
        <v>132</v>
      </c>
      <c r="K16849" s="46" t="s">
        <v>126</v>
      </c>
      <c r="L16849" s="45">
        <v>46016.25</v>
      </c>
      <c r="M16849" s="46" t="s">
        <v>123</v>
      </c>
      <c r="N16849" s="45">
        <v>46016.291666666664</v>
      </c>
      <c r="O16849" s="46" t="s">
        <v>123</v>
      </c>
      <c r="P16849" s="46">
        <v>3600.0</v>
      </c>
    </row>
    <row r="16850">
      <c r="A16850" s="40">
        <f t="shared" si="1"/>
        <v>46013</v>
      </c>
      <c r="B16850" s="37" t="str">
        <f t="array" ref="B16850">iferror(xlookup($I16850, 'IMPORT VHC Report'!$E:$E, 'IMPORT VHC Report'!$A:$C), )</f>
        <v/>
      </c>
      <c r="C16850" s="44"/>
      <c r="D16850" s="44"/>
      <c r="E16850" s="46" t="s">
        <v>13060</v>
      </c>
      <c r="F16850" s="46" t="s">
        <v>6063</v>
      </c>
      <c r="H16850" s="46" t="s">
        <v>6064</v>
      </c>
      <c r="I16850" s="46" t="s">
        <v>6065</v>
      </c>
      <c r="J16850" s="46" t="s">
        <v>125</v>
      </c>
      <c r="K16850" s="46" t="s">
        <v>126</v>
      </c>
      <c r="L16850" s="45">
        <v>46017.041666666664</v>
      </c>
      <c r="M16850" s="46" t="s">
        <v>123</v>
      </c>
      <c r="N16850" s="45">
        <v>46017.04861111111</v>
      </c>
      <c r="O16850" s="46" t="s">
        <v>123</v>
      </c>
      <c r="P16850" s="46">
        <v>600.0</v>
      </c>
      <c r="S16850" s="46" t="s">
        <v>127</v>
      </c>
    </row>
    <row r="16851">
      <c r="A16851" s="40">
        <f t="shared" si="1"/>
        <v>46013</v>
      </c>
      <c r="B16851" s="37" t="str">
        <f t="array" ref="B16851">iferror(xlookup($I16851, 'IMPORT VHC Report'!$E:$E, 'IMPORT VHC Report'!$A:$C), )</f>
        <v/>
      </c>
      <c r="C16851" s="44"/>
      <c r="D16851" s="44"/>
      <c r="E16851" s="46" t="s">
        <v>13061</v>
      </c>
      <c r="F16851" s="46" t="s">
        <v>6063</v>
      </c>
      <c r="H16851" s="46" t="s">
        <v>6064</v>
      </c>
      <c r="I16851" s="46" t="s">
        <v>6065</v>
      </c>
      <c r="J16851" s="46" t="s">
        <v>152</v>
      </c>
      <c r="K16851" s="46" t="s">
        <v>153</v>
      </c>
      <c r="L16851" s="45">
        <v>46017.041666666664</v>
      </c>
      <c r="M16851" s="46" t="s">
        <v>123</v>
      </c>
      <c r="N16851" s="45">
        <v>46017.416666666664</v>
      </c>
      <c r="O16851" s="46" t="s">
        <v>123</v>
      </c>
      <c r="P16851" s="46">
        <v>32400.0</v>
      </c>
      <c r="Q16851" s="46">
        <v>32400.0</v>
      </c>
    </row>
    <row r="16852">
      <c r="A16852" s="40">
        <f t="shared" si="1"/>
        <v>46013</v>
      </c>
      <c r="B16852" s="37" t="str">
        <f t="array" ref="B16852">iferror(xlookup($I16852, 'IMPORT VHC Report'!$E:$E, 'IMPORT VHC Report'!$A:$C), )</f>
        <v/>
      </c>
      <c r="C16852" s="44"/>
      <c r="D16852" s="44"/>
      <c r="E16852" s="46" t="s">
        <v>13062</v>
      </c>
      <c r="F16852" s="46" t="s">
        <v>6063</v>
      </c>
      <c r="H16852" s="46" t="s">
        <v>6064</v>
      </c>
      <c r="I16852" s="46" t="s">
        <v>6065</v>
      </c>
      <c r="J16852" s="46" t="s">
        <v>122</v>
      </c>
      <c r="K16852" s="46" t="s">
        <v>63</v>
      </c>
      <c r="L16852" s="45">
        <v>46017.041666666664</v>
      </c>
      <c r="M16852" s="46" t="s">
        <v>123</v>
      </c>
      <c r="N16852" s="45">
        <v>46017.416666666664</v>
      </c>
      <c r="O16852" s="46" t="s">
        <v>123</v>
      </c>
      <c r="P16852" s="46">
        <v>32400.0</v>
      </c>
    </row>
    <row r="16853">
      <c r="A16853" s="40">
        <f t="shared" si="1"/>
        <v>46013</v>
      </c>
      <c r="B16853" s="37" t="str">
        <f t="array" ref="B16853">iferror(xlookup($I16853, 'IMPORT VHC Report'!$E:$E, 'IMPORT VHC Report'!$A:$C), )</f>
        <v/>
      </c>
      <c r="C16853" s="44"/>
      <c r="D16853" s="44"/>
      <c r="E16853" s="46" t="s">
        <v>13063</v>
      </c>
      <c r="F16853" s="46" t="s">
        <v>6063</v>
      </c>
      <c r="H16853" s="46" t="s">
        <v>6064</v>
      </c>
      <c r="I16853" s="46" t="s">
        <v>6065</v>
      </c>
      <c r="J16853" s="46" t="s">
        <v>132</v>
      </c>
      <c r="K16853" s="46" t="s">
        <v>126</v>
      </c>
      <c r="L16853" s="45">
        <v>46017.125</v>
      </c>
      <c r="M16853" s="46" t="s">
        <v>123</v>
      </c>
      <c r="N16853" s="45">
        <v>46017.166666666664</v>
      </c>
      <c r="O16853" s="46" t="s">
        <v>123</v>
      </c>
      <c r="P16853" s="46">
        <v>3600.0</v>
      </c>
    </row>
    <row r="16854">
      <c r="A16854" s="40">
        <f t="shared" si="1"/>
        <v>46013</v>
      </c>
      <c r="B16854" s="37" t="str">
        <f t="array" ref="B16854">iferror(xlookup($I16854, 'IMPORT VHC Report'!$E:$E, 'IMPORT VHC Report'!$A:$C), )</f>
        <v/>
      </c>
      <c r="C16854" s="44"/>
      <c r="D16854" s="44"/>
      <c r="E16854" s="46" t="s">
        <v>13064</v>
      </c>
      <c r="F16854" s="46" t="s">
        <v>6063</v>
      </c>
      <c r="H16854" s="46" t="s">
        <v>6064</v>
      </c>
      <c r="I16854" s="46" t="s">
        <v>6065</v>
      </c>
      <c r="J16854" s="46" t="s">
        <v>134</v>
      </c>
      <c r="K16854" s="46" t="s">
        <v>126</v>
      </c>
      <c r="L16854" s="45">
        <v>46017.270833333336</v>
      </c>
      <c r="M16854" s="46" t="s">
        <v>123</v>
      </c>
      <c r="N16854" s="45">
        <v>46017.291666666664</v>
      </c>
      <c r="O16854" s="46" t="s">
        <v>123</v>
      </c>
      <c r="P16854" s="46">
        <v>1800.0</v>
      </c>
    </row>
    <row r="16855">
      <c r="A16855" s="40">
        <f t="shared" si="1"/>
        <v>46013</v>
      </c>
      <c r="B16855" s="37" t="str">
        <f t="array" ref="B16855">iferror(xlookup($I16855, 'IMPORT VHC Report'!$E:$E, 'IMPORT VHC Report'!$A:$C), )</f>
        <v/>
      </c>
      <c r="C16855" s="44"/>
      <c r="D16855" s="44"/>
      <c r="E16855" s="46" t="s">
        <v>13065</v>
      </c>
      <c r="F16855" s="46" t="s">
        <v>6063</v>
      </c>
      <c r="H16855" s="46" t="s">
        <v>6064</v>
      </c>
      <c r="I16855" s="46" t="s">
        <v>6065</v>
      </c>
      <c r="J16855" s="46" t="s">
        <v>125</v>
      </c>
      <c r="K16855" s="46" t="s">
        <v>126</v>
      </c>
      <c r="L16855" s="45">
        <v>46018.041666666664</v>
      </c>
      <c r="M16855" s="46" t="s">
        <v>123</v>
      </c>
      <c r="N16855" s="45">
        <v>46018.04861111111</v>
      </c>
      <c r="O16855" s="46" t="s">
        <v>123</v>
      </c>
      <c r="P16855" s="46">
        <v>600.0</v>
      </c>
      <c r="S16855" s="46" t="s">
        <v>127</v>
      </c>
    </row>
    <row r="16856">
      <c r="A16856" s="40">
        <f t="shared" si="1"/>
        <v>46013</v>
      </c>
      <c r="B16856" s="37" t="str">
        <f t="array" ref="B16856">iferror(xlookup($I16856, 'IMPORT VHC Report'!$E:$E, 'IMPORT VHC Report'!$A:$C), )</f>
        <v/>
      </c>
      <c r="C16856" s="44"/>
      <c r="D16856" s="44"/>
      <c r="E16856" s="46" t="s">
        <v>13066</v>
      </c>
      <c r="F16856" s="46" t="s">
        <v>6063</v>
      </c>
      <c r="H16856" s="46" t="s">
        <v>6064</v>
      </c>
      <c r="I16856" s="46" t="s">
        <v>6065</v>
      </c>
      <c r="J16856" s="46" t="s">
        <v>122</v>
      </c>
      <c r="K16856" s="46" t="s">
        <v>63</v>
      </c>
      <c r="L16856" s="45">
        <v>46018.041666666664</v>
      </c>
      <c r="M16856" s="46" t="s">
        <v>123</v>
      </c>
      <c r="N16856" s="45">
        <v>46018.416666666664</v>
      </c>
      <c r="O16856" s="46" t="s">
        <v>123</v>
      </c>
      <c r="P16856" s="46">
        <v>32400.0</v>
      </c>
    </row>
    <row r="16857">
      <c r="A16857" s="40">
        <f t="shared" si="1"/>
        <v>46013</v>
      </c>
      <c r="B16857" s="37" t="str">
        <f t="array" ref="B16857">iferror(xlookup($I16857, 'IMPORT VHC Report'!$E:$E, 'IMPORT VHC Report'!$A:$C), )</f>
        <v/>
      </c>
      <c r="C16857" s="44"/>
      <c r="D16857" s="44"/>
      <c r="E16857" s="46" t="s">
        <v>13067</v>
      </c>
      <c r="F16857" s="46" t="s">
        <v>6063</v>
      </c>
      <c r="H16857" s="46" t="s">
        <v>6064</v>
      </c>
      <c r="I16857" s="46" t="s">
        <v>6065</v>
      </c>
      <c r="J16857" s="46" t="s">
        <v>132</v>
      </c>
      <c r="K16857" s="46" t="s">
        <v>126</v>
      </c>
      <c r="L16857" s="45">
        <v>46018.145833333336</v>
      </c>
      <c r="M16857" s="46" t="s">
        <v>123</v>
      </c>
      <c r="N16857" s="45">
        <v>46018.1875</v>
      </c>
      <c r="O16857" s="46" t="s">
        <v>123</v>
      </c>
      <c r="P16857" s="46">
        <v>3600.0</v>
      </c>
    </row>
    <row r="16858">
      <c r="A16858" s="40">
        <f t="shared" si="1"/>
        <v>46013</v>
      </c>
      <c r="B16858" s="37" t="str">
        <f t="array" ref="B16858">iferror(xlookup($I16858, 'IMPORT VHC Report'!$E:$E, 'IMPORT VHC Report'!$A:$C), )</f>
        <v/>
      </c>
      <c r="C16858" s="44"/>
      <c r="D16858" s="44"/>
      <c r="E16858" s="46" t="s">
        <v>13068</v>
      </c>
      <c r="F16858" s="46" t="s">
        <v>6063</v>
      </c>
      <c r="H16858" s="46" t="s">
        <v>6064</v>
      </c>
      <c r="I16858" s="46" t="s">
        <v>6065</v>
      </c>
      <c r="J16858" s="46" t="s">
        <v>134</v>
      </c>
      <c r="K16858" s="46" t="s">
        <v>126</v>
      </c>
      <c r="L16858" s="45">
        <v>46018.270833333336</v>
      </c>
      <c r="M16858" s="46" t="s">
        <v>123</v>
      </c>
      <c r="N16858" s="45">
        <v>46018.291666666664</v>
      </c>
      <c r="O16858" s="46" t="s">
        <v>123</v>
      </c>
      <c r="P16858" s="46">
        <v>1800.0</v>
      </c>
    </row>
    <row r="16859">
      <c r="A16859" s="40">
        <f t="shared" si="1"/>
        <v>46013</v>
      </c>
      <c r="B16859" s="37" t="str">
        <f t="array" ref="B16859">iferror(xlookup($I16859, 'IMPORT VHC Report'!$E:$E, 'IMPORT VHC Report'!$A:$C), )</f>
        <v/>
      </c>
      <c r="C16859" s="44"/>
      <c r="D16859" s="44"/>
      <c r="E16859" s="46" t="s">
        <v>13069</v>
      </c>
      <c r="F16859" s="46" t="s">
        <v>6752</v>
      </c>
      <c r="H16859" s="46" t="s">
        <v>6753</v>
      </c>
      <c r="I16859" s="46" t="s">
        <v>6754</v>
      </c>
      <c r="J16859" s="46" t="s">
        <v>125</v>
      </c>
      <c r="K16859" s="46" t="s">
        <v>126</v>
      </c>
      <c r="L16859" s="45">
        <v>46014.291666666664</v>
      </c>
      <c r="M16859" s="46" t="s">
        <v>123</v>
      </c>
      <c r="N16859" s="45">
        <v>46014.29861111111</v>
      </c>
      <c r="O16859" s="46" t="s">
        <v>123</v>
      </c>
      <c r="P16859" s="46">
        <v>600.0</v>
      </c>
      <c r="S16859" s="46" t="s">
        <v>127</v>
      </c>
    </row>
    <row r="16860">
      <c r="A16860" s="40">
        <f t="shared" si="1"/>
        <v>46013</v>
      </c>
      <c r="B16860" s="37" t="str">
        <f t="array" ref="B16860">iferror(xlookup($I16860, 'IMPORT VHC Report'!$E:$E, 'IMPORT VHC Report'!$A:$C), )</f>
        <v/>
      </c>
      <c r="C16860" s="44"/>
      <c r="D16860" s="44"/>
      <c r="E16860" s="46" t="s">
        <v>13070</v>
      </c>
      <c r="F16860" s="46" t="s">
        <v>6752</v>
      </c>
      <c r="H16860" s="46" t="s">
        <v>6753</v>
      </c>
      <c r="I16860" s="46" t="s">
        <v>6754</v>
      </c>
      <c r="J16860" s="46" t="s">
        <v>122</v>
      </c>
      <c r="K16860" s="46" t="s">
        <v>63</v>
      </c>
      <c r="L16860" s="45">
        <v>46014.291666666664</v>
      </c>
      <c r="M16860" s="46" t="s">
        <v>123</v>
      </c>
      <c r="N16860" s="45">
        <v>46014.666666666664</v>
      </c>
      <c r="O16860" s="46" t="s">
        <v>123</v>
      </c>
      <c r="P16860" s="46">
        <v>32400.0</v>
      </c>
    </row>
    <row r="16861">
      <c r="A16861" s="40">
        <f t="shared" si="1"/>
        <v>46013</v>
      </c>
      <c r="B16861" s="37" t="str">
        <f t="array" ref="B16861">iferror(xlookup($I16861, 'IMPORT VHC Report'!$E:$E, 'IMPORT VHC Report'!$A:$C), )</f>
        <v/>
      </c>
      <c r="C16861" s="44"/>
      <c r="D16861" s="44"/>
      <c r="E16861" s="46" t="s">
        <v>13071</v>
      </c>
      <c r="F16861" s="46" t="s">
        <v>6752</v>
      </c>
      <c r="H16861" s="46" t="s">
        <v>6753</v>
      </c>
      <c r="I16861" s="46" t="s">
        <v>6754</v>
      </c>
      <c r="J16861" s="46" t="s">
        <v>134</v>
      </c>
      <c r="K16861" s="46" t="s">
        <v>126</v>
      </c>
      <c r="L16861" s="45">
        <v>46014.375</v>
      </c>
      <c r="M16861" s="46" t="s">
        <v>123</v>
      </c>
      <c r="N16861" s="45">
        <v>46014.395833333336</v>
      </c>
      <c r="O16861" s="46" t="s">
        <v>123</v>
      </c>
      <c r="P16861" s="46">
        <v>1800.0</v>
      </c>
    </row>
    <row r="16862">
      <c r="A16862" s="40">
        <f t="shared" si="1"/>
        <v>46013</v>
      </c>
      <c r="B16862" s="37" t="str">
        <f t="array" ref="B16862">iferror(xlookup($I16862, 'IMPORT VHC Report'!$E:$E, 'IMPORT VHC Report'!$A:$C), )</f>
        <v/>
      </c>
      <c r="C16862" s="44"/>
      <c r="D16862" s="44"/>
      <c r="E16862" s="46" t="s">
        <v>13072</v>
      </c>
      <c r="F16862" s="46" t="s">
        <v>6752</v>
      </c>
      <c r="H16862" s="46" t="s">
        <v>6753</v>
      </c>
      <c r="I16862" s="46" t="s">
        <v>6754</v>
      </c>
      <c r="J16862" s="46" t="s">
        <v>132</v>
      </c>
      <c r="K16862" s="46" t="s">
        <v>126</v>
      </c>
      <c r="L16862" s="45">
        <v>46014.53125</v>
      </c>
      <c r="M16862" s="46" t="s">
        <v>123</v>
      </c>
      <c r="N16862" s="45">
        <v>46014.572916666664</v>
      </c>
      <c r="O16862" s="46" t="s">
        <v>123</v>
      </c>
      <c r="P16862" s="46">
        <v>3600.0</v>
      </c>
    </row>
    <row r="16863">
      <c r="A16863" s="40">
        <f t="shared" si="1"/>
        <v>46013</v>
      </c>
      <c r="B16863" s="37" t="str">
        <f t="array" ref="B16863">iferror(xlookup($I16863, 'IMPORT VHC Report'!$E:$E, 'IMPORT VHC Report'!$A:$C), )</f>
        <v/>
      </c>
      <c r="C16863" s="44"/>
      <c r="D16863" s="44"/>
      <c r="E16863" s="46" t="s">
        <v>13073</v>
      </c>
      <c r="F16863" s="46" t="s">
        <v>6752</v>
      </c>
      <c r="H16863" s="46" t="s">
        <v>6753</v>
      </c>
      <c r="I16863" s="46" t="s">
        <v>6754</v>
      </c>
      <c r="J16863" s="46" t="s">
        <v>125</v>
      </c>
      <c r="K16863" s="46" t="s">
        <v>126</v>
      </c>
      <c r="L16863" s="45">
        <v>46014.572916666664</v>
      </c>
      <c r="M16863" s="46" t="s">
        <v>123</v>
      </c>
      <c r="N16863" s="45">
        <v>46014.57986111111</v>
      </c>
      <c r="O16863" s="46" t="s">
        <v>123</v>
      </c>
      <c r="P16863" s="46">
        <v>600.0</v>
      </c>
      <c r="S16863" s="46" t="s">
        <v>12881</v>
      </c>
    </row>
    <row r="16864">
      <c r="A16864" s="40">
        <f t="shared" si="1"/>
        <v>46013</v>
      </c>
      <c r="B16864" s="37" t="str">
        <f t="array" ref="B16864">iferror(xlookup($I16864, 'IMPORT VHC Report'!$E:$E, 'IMPORT VHC Report'!$A:$C), )</f>
        <v/>
      </c>
      <c r="C16864" s="44"/>
      <c r="D16864" s="44"/>
      <c r="E16864" s="46" t="s">
        <v>13074</v>
      </c>
      <c r="F16864" s="46" t="s">
        <v>6752</v>
      </c>
      <c r="H16864" s="46" t="s">
        <v>6753</v>
      </c>
      <c r="I16864" s="46" t="s">
        <v>6754</v>
      </c>
      <c r="J16864" s="46" t="s">
        <v>136</v>
      </c>
      <c r="K16864" s="46" t="s">
        <v>126</v>
      </c>
      <c r="L16864" s="45">
        <v>46014.583333333336</v>
      </c>
      <c r="M16864" s="46" t="s">
        <v>123</v>
      </c>
      <c r="N16864" s="45">
        <v>46014.635416666664</v>
      </c>
      <c r="O16864" s="46" t="s">
        <v>123</v>
      </c>
      <c r="P16864" s="46">
        <v>4500.0</v>
      </c>
      <c r="S16864" s="46" t="s">
        <v>12883</v>
      </c>
    </row>
    <row r="16865">
      <c r="A16865" s="40">
        <f t="shared" si="1"/>
        <v>46013</v>
      </c>
      <c r="B16865" s="37" t="str">
        <f t="array" ref="B16865">iferror(xlookup($I16865, 'IMPORT VHC Report'!$E:$E, 'IMPORT VHC Report'!$A:$C), )</f>
        <v/>
      </c>
      <c r="C16865" s="44"/>
      <c r="D16865" s="44"/>
      <c r="E16865" s="46" t="s">
        <v>13075</v>
      </c>
      <c r="F16865" s="46" t="s">
        <v>6752</v>
      </c>
      <c r="H16865" s="46" t="s">
        <v>6753</v>
      </c>
      <c r="I16865" s="46" t="s">
        <v>6754</v>
      </c>
      <c r="J16865" s="46" t="s">
        <v>125</v>
      </c>
      <c r="K16865" s="46" t="s">
        <v>126</v>
      </c>
      <c r="L16865" s="45">
        <v>46015.291666666664</v>
      </c>
      <c r="M16865" s="46" t="s">
        <v>123</v>
      </c>
      <c r="N16865" s="45">
        <v>46015.29861111111</v>
      </c>
      <c r="O16865" s="46" t="s">
        <v>123</v>
      </c>
      <c r="P16865" s="46">
        <v>600.0</v>
      </c>
      <c r="S16865" s="46" t="s">
        <v>127</v>
      </c>
    </row>
    <row r="16866">
      <c r="A16866" s="40">
        <f t="shared" si="1"/>
        <v>46013</v>
      </c>
      <c r="B16866" s="37" t="str">
        <f t="array" ref="B16866">iferror(xlookup($I16866, 'IMPORT VHC Report'!$E:$E, 'IMPORT VHC Report'!$A:$C), )</f>
        <v/>
      </c>
      <c r="C16866" s="44"/>
      <c r="D16866" s="44"/>
      <c r="E16866" s="46" t="s">
        <v>13076</v>
      </c>
      <c r="F16866" s="46" t="s">
        <v>6752</v>
      </c>
      <c r="H16866" s="46" t="s">
        <v>6753</v>
      </c>
      <c r="I16866" s="46" t="s">
        <v>6754</v>
      </c>
      <c r="J16866" s="46" t="s">
        <v>122</v>
      </c>
      <c r="K16866" s="46" t="s">
        <v>63</v>
      </c>
      <c r="L16866" s="45">
        <v>46015.291666666664</v>
      </c>
      <c r="M16866" s="46" t="s">
        <v>123</v>
      </c>
      <c r="N16866" s="45">
        <v>46015.666666666664</v>
      </c>
      <c r="O16866" s="46" t="s">
        <v>123</v>
      </c>
      <c r="P16866" s="46">
        <v>32400.0</v>
      </c>
    </row>
    <row r="16867">
      <c r="A16867" s="40">
        <f t="shared" si="1"/>
        <v>46013</v>
      </c>
      <c r="B16867" s="37" t="str">
        <f t="array" ref="B16867">iferror(xlookup($I16867, 'IMPORT VHC Report'!$E:$E, 'IMPORT VHC Report'!$A:$C), )</f>
        <v/>
      </c>
      <c r="C16867" s="44"/>
      <c r="D16867" s="44"/>
      <c r="E16867" s="46" t="s">
        <v>13077</v>
      </c>
      <c r="F16867" s="46" t="s">
        <v>6752</v>
      </c>
      <c r="H16867" s="46" t="s">
        <v>6753</v>
      </c>
      <c r="I16867" s="46" t="s">
        <v>6754</v>
      </c>
      <c r="J16867" s="46" t="s">
        <v>134</v>
      </c>
      <c r="K16867" s="46" t="s">
        <v>126</v>
      </c>
      <c r="L16867" s="45">
        <v>46015.354166666664</v>
      </c>
      <c r="M16867" s="46" t="s">
        <v>123</v>
      </c>
      <c r="N16867" s="45">
        <v>46015.375</v>
      </c>
      <c r="O16867" s="46" t="s">
        <v>123</v>
      </c>
      <c r="P16867" s="46">
        <v>1800.0</v>
      </c>
    </row>
    <row r="16868">
      <c r="A16868" s="40">
        <f t="shared" si="1"/>
        <v>46013</v>
      </c>
      <c r="B16868" s="37" t="str">
        <f t="array" ref="B16868">iferror(xlookup($I16868, 'IMPORT VHC Report'!$E:$E, 'IMPORT VHC Report'!$A:$C), )</f>
        <v/>
      </c>
      <c r="C16868" s="44"/>
      <c r="D16868" s="44"/>
      <c r="E16868" s="46" t="s">
        <v>13078</v>
      </c>
      <c r="F16868" s="46" t="s">
        <v>6752</v>
      </c>
      <c r="H16868" s="46" t="s">
        <v>6753</v>
      </c>
      <c r="I16868" s="46" t="s">
        <v>6754</v>
      </c>
      <c r="J16868" s="46" t="s">
        <v>136</v>
      </c>
      <c r="K16868" s="46" t="s">
        <v>126</v>
      </c>
      <c r="L16868" s="45">
        <v>46015.416666666664</v>
      </c>
      <c r="M16868" s="46" t="s">
        <v>123</v>
      </c>
      <c r="N16868" s="45">
        <v>46015.447916666664</v>
      </c>
      <c r="O16868" s="46" t="s">
        <v>123</v>
      </c>
      <c r="P16868" s="46">
        <v>2700.0</v>
      </c>
      <c r="S16868" s="46" t="s">
        <v>137</v>
      </c>
    </row>
    <row r="16869">
      <c r="A16869" s="40">
        <f t="shared" si="1"/>
        <v>46013</v>
      </c>
      <c r="B16869" s="37" t="str">
        <f t="array" ref="B16869">iferror(xlookup($I16869, 'IMPORT VHC Report'!$E:$E, 'IMPORT VHC Report'!$A:$C), )</f>
        <v/>
      </c>
      <c r="C16869" s="44"/>
      <c r="D16869" s="44"/>
      <c r="E16869" s="46" t="s">
        <v>13079</v>
      </c>
      <c r="F16869" s="46" t="s">
        <v>6752</v>
      </c>
      <c r="H16869" s="46" t="s">
        <v>6753</v>
      </c>
      <c r="I16869" s="46" t="s">
        <v>6754</v>
      </c>
      <c r="J16869" s="46" t="s">
        <v>132</v>
      </c>
      <c r="K16869" s="46" t="s">
        <v>126</v>
      </c>
      <c r="L16869" s="45">
        <v>46015.625</v>
      </c>
      <c r="M16869" s="46" t="s">
        <v>123</v>
      </c>
      <c r="N16869" s="45">
        <v>46015.666666666664</v>
      </c>
      <c r="O16869" s="46" t="s">
        <v>123</v>
      </c>
      <c r="P16869" s="46">
        <v>3600.0</v>
      </c>
    </row>
    <row r="16870">
      <c r="A16870" s="40">
        <f t="shared" si="1"/>
        <v>46013</v>
      </c>
      <c r="B16870" s="37" t="str">
        <f t="array" ref="B16870">iferror(xlookup($I16870, 'IMPORT VHC Report'!$E:$E, 'IMPORT VHC Report'!$A:$C), )</f>
        <v/>
      </c>
      <c r="C16870" s="44"/>
      <c r="D16870" s="44"/>
      <c r="E16870" s="46" t="s">
        <v>13080</v>
      </c>
      <c r="F16870" s="46" t="s">
        <v>6752</v>
      </c>
      <c r="H16870" s="46" t="s">
        <v>6753</v>
      </c>
      <c r="I16870" s="46" t="s">
        <v>6754</v>
      </c>
      <c r="J16870" s="46" t="s">
        <v>125</v>
      </c>
      <c r="K16870" s="46" t="s">
        <v>126</v>
      </c>
      <c r="L16870" s="45">
        <v>46016.291666666664</v>
      </c>
      <c r="M16870" s="46" t="s">
        <v>123</v>
      </c>
      <c r="N16870" s="45">
        <v>46016.29861111111</v>
      </c>
      <c r="O16870" s="46" t="s">
        <v>123</v>
      </c>
      <c r="P16870" s="46">
        <v>600.0</v>
      </c>
      <c r="S16870" s="46" t="s">
        <v>127</v>
      </c>
    </row>
    <row r="16871">
      <c r="A16871" s="40">
        <f t="shared" si="1"/>
        <v>46013</v>
      </c>
      <c r="B16871" s="37" t="str">
        <f t="array" ref="B16871">iferror(xlookup($I16871, 'IMPORT VHC Report'!$E:$E, 'IMPORT VHC Report'!$A:$C), )</f>
        <v/>
      </c>
      <c r="C16871" s="44"/>
      <c r="D16871" s="44"/>
      <c r="E16871" s="46" t="s">
        <v>13081</v>
      </c>
      <c r="F16871" s="46" t="s">
        <v>6752</v>
      </c>
      <c r="H16871" s="46" t="s">
        <v>6753</v>
      </c>
      <c r="I16871" s="46" t="s">
        <v>6754</v>
      </c>
      <c r="J16871" s="46" t="s">
        <v>122</v>
      </c>
      <c r="K16871" s="46" t="s">
        <v>63</v>
      </c>
      <c r="L16871" s="45">
        <v>46016.291666666664</v>
      </c>
      <c r="M16871" s="46" t="s">
        <v>123</v>
      </c>
      <c r="N16871" s="45">
        <v>46016.666666666664</v>
      </c>
      <c r="O16871" s="46" t="s">
        <v>123</v>
      </c>
      <c r="P16871" s="46">
        <v>32400.0</v>
      </c>
    </row>
    <row r="16872">
      <c r="A16872" s="40">
        <f t="shared" si="1"/>
        <v>46013</v>
      </c>
      <c r="B16872" s="37" t="str">
        <f t="array" ref="B16872">iferror(xlookup($I16872, 'IMPORT VHC Report'!$E:$E, 'IMPORT VHC Report'!$A:$C), )</f>
        <v/>
      </c>
      <c r="C16872" s="44"/>
      <c r="D16872" s="44"/>
      <c r="E16872" s="46" t="s">
        <v>13082</v>
      </c>
      <c r="F16872" s="46" t="s">
        <v>6752</v>
      </c>
      <c r="H16872" s="46" t="s">
        <v>6753</v>
      </c>
      <c r="I16872" s="46" t="s">
        <v>6754</v>
      </c>
      <c r="J16872" s="46" t="s">
        <v>134</v>
      </c>
      <c r="K16872" s="46" t="s">
        <v>126</v>
      </c>
      <c r="L16872" s="45">
        <v>46016.4375</v>
      </c>
      <c r="M16872" s="46" t="s">
        <v>123</v>
      </c>
      <c r="N16872" s="45">
        <v>46016.458333333336</v>
      </c>
      <c r="O16872" s="46" t="s">
        <v>123</v>
      </c>
      <c r="P16872" s="46">
        <v>1800.0</v>
      </c>
    </row>
    <row r="16873">
      <c r="A16873" s="40">
        <f t="shared" si="1"/>
        <v>46013</v>
      </c>
      <c r="B16873" s="37" t="str">
        <f t="array" ref="B16873">iferror(xlookup($I16873, 'IMPORT VHC Report'!$E:$E, 'IMPORT VHC Report'!$A:$C), )</f>
        <v/>
      </c>
      <c r="C16873" s="44"/>
      <c r="D16873" s="44"/>
      <c r="E16873" s="46" t="s">
        <v>13083</v>
      </c>
      <c r="F16873" s="46" t="s">
        <v>6752</v>
      </c>
      <c r="H16873" s="46" t="s">
        <v>6753</v>
      </c>
      <c r="I16873" s="46" t="s">
        <v>6754</v>
      </c>
      <c r="J16873" s="46" t="s">
        <v>132</v>
      </c>
      <c r="K16873" s="46" t="s">
        <v>126</v>
      </c>
      <c r="L16873" s="45">
        <v>46016.53125</v>
      </c>
      <c r="M16873" s="46" t="s">
        <v>123</v>
      </c>
      <c r="N16873" s="45">
        <v>46016.572916666664</v>
      </c>
      <c r="O16873" s="46" t="s">
        <v>123</v>
      </c>
      <c r="P16873" s="46">
        <v>3600.0</v>
      </c>
    </row>
    <row r="16874">
      <c r="A16874" s="40">
        <f t="shared" si="1"/>
        <v>46013</v>
      </c>
      <c r="B16874" s="37" t="str">
        <f t="array" ref="B16874">iferror(xlookup($I16874, 'IMPORT VHC Report'!$E:$E, 'IMPORT VHC Report'!$A:$C), )</f>
        <v/>
      </c>
      <c r="C16874" s="44"/>
      <c r="D16874" s="44"/>
      <c r="E16874" s="46" t="s">
        <v>13084</v>
      </c>
      <c r="F16874" s="46" t="s">
        <v>6752</v>
      </c>
      <c r="H16874" s="46" t="s">
        <v>6753</v>
      </c>
      <c r="I16874" s="46" t="s">
        <v>6754</v>
      </c>
      <c r="J16874" s="46" t="s">
        <v>125</v>
      </c>
      <c r="K16874" s="46" t="s">
        <v>126</v>
      </c>
      <c r="L16874" s="45">
        <v>46017.291666666664</v>
      </c>
      <c r="M16874" s="46" t="s">
        <v>123</v>
      </c>
      <c r="N16874" s="45">
        <v>46017.29861111111</v>
      </c>
      <c r="O16874" s="46" t="s">
        <v>123</v>
      </c>
      <c r="P16874" s="46">
        <v>600.0</v>
      </c>
      <c r="S16874" s="46" t="s">
        <v>127</v>
      </c>
    </row>
    <row r="16875">
      <c r="A16875" s="40">
        <f t="shared" si="1"/>
        <v>46013</v>
      </c>
      <c r="B16875" s="37" t="str">
        <f t="array" ref="B16875">iferror(xlookup($I16875, 'IMPORT VHC Report'!$E:$E, 'IMPORT VHC Report'!$A:$C), )</f>
        <v/>
      </c>
      <c r="C16875" s="44"/>
      <c r="D16875" s="44"/>
      <c r="E16875" s="46" t="s">
        <v>13085</v>
      </c>
      <c r="F16875" s="46" t="s">
        <v>6752</v>
      </c>
      <c r="H16875" s="46" t="s">
        <v>6753</v>
      </c>
      <c r="I16875" s="46" t="s">
        <v>6754</v>
      </c>
      <c r="J16875" s="46" t="s">
        <v>122</v>
      </c>
      <c r="K16875" s="46" t="s">
        <v>63</v>
      </c>
      <c r="L16875" s="45">
        <v>46017.291666666664</v>
      </c>
      <c r="M16875" s="46" t="s">
        <v>123</v>
      </c>
      <c r="N16875" s="45">
        <v>46017.666666666664</v>
      </c>
      <c r="O16875" s="46" t="s">
        <v>123</v>
      </c>
      <c r="P16875" s="46">
        <v>32400.0</v>
      </c>
    </row>
    <row r="16876">
      <c r="A16876" s="40">
        <f t="shared" si="1"/>
        <v>46013</v>
      </c>
      <c r="B16876" s="37" t="str">
        <f t="array" ref="B16876">iferror(xlookup($I16876, 'IMPORT VHC Report'!$E:$E, 'IMPORT VHC Report'!$A:$C), )</f>
        <v/>
      </c>
      <c r="C16876" s="44"/>
      <c r="D16876" s="44"/>
      <c r="E16876" s="46" t="s">
        <v>13086</v>
      </c>
      <c r="F16876" s="46" t="s">
        <v>6752</v>
      </c>
      <c r="H16876" s="46" t="s">
        <v>6753</v>
      </c>
      <c r="I16876" s="46" t="s">
        <v>6754</v>
      </c>
      <c r="J16876" s="46" t="s">
        <v>134</v>
      </c>
      <c r="K16876" s="46" t="s">
        <v>126</v>
      </c>
      <c r="L16876" s="45">
        <v>46017.395833333336</v>
      </c>
      <c r="M16876" s="46" t="s">
        <v>123</v>
      </c>
      <c r="N16876" s="45">
        <v>46017.416666666664</v>
      </c>
      <c r="O16876" s="46" t="s">
        <v>123</v>
      </c>
      <c r="P16876" s="46">
        <v>1800.0</v>
      </c>
    </row>
    <row r="16877">
      <c r="A16877" s="40">
        <f t="shared" si="1"/>
        <v>46013</v>
      </c>
      <c r="B16877" s="37" t="str">
        <f t="array" ref="B16877">iferror(xlookup($I16877, 'IMPORT VHC Report'!$E:$E, 'IMPORT VHC Report'!$A:$C), )</f>
        <v/>
      </c>
      <c r="C16877" s="44"/>
      <c r="D16877" s="44"/>
      <c r="E16877" s="46" t="s">
        <v>13087</v>
      </c>
      <c r="F16877" s="46" t="s">
        <v>6752</v>
      </c>
      <c r="H16877" s="46" t="s">
        <v>6753</v>
      </c>
      <c r="I16877" s="46" t="s">
        <v>6754</v>
      </c>
      <c r="J16877" s="46" t="s">
        <v>132</v>
      </c>
      <c r="K16877" s="46" t="s">
        <v>126</v>
      </c>
      <c r="L16877" s="45">
        <v>46017.520833333336</v>
      </c>
      <c r="M16877" s="46" t="s">
        <v>123</v>
      </c>
      <c r="N16877" s="45">
        <v>46017.5625</v>
      </c>
      <c r="O16877" s="46" t="s">
        <v>123</v>
      </c>
      <c r="P16877" s="46">
        <v>3600.0</v>
      </c>
    </row>
    <row r="16878">
      <c r="A16878" s="40">
        <f t="shared" si="1"/>
        <v>46013</v>
      </c>
      <c r="B16878" s="37" t="str">
        <f t="array" ref="B16878">iferror(xlookup($I16878, 'IMPORT VHC Report'!$E:$E, 'IMPORT VHC Report'!$A:$C), )</f>
        <v/>
      </c>
      <c r="C16878" s="44"/>
      <c r="D16878" s="44"/>
      <c r="E16878" s="46" t="s">
        <v>13088</v>
      </c>
      <c r="F16878" s="46" t="s">
        <v>6752</v>
      </c>
      <c r="H16878" s="46" t="s">
        <v>6753</v>
      </c>
      <c r="I16878" s="46" t="s">
        <v>6754</v>
      </c>
      <c r="J16878" s="46" t="s">
        <v>125</v>
      </c>
      <c r="K16878" s="46" t="s">
        <v>126</v>
      </c>
      <c r="L16878" s="45">
        <v>46018.291666666664</v>
      </c>
      <c r="M16878" s="46" t="s">
        <v>123</v>
      </c>
      <c r="N16878" s="45">
        <v>46018.29861111111</v>
      </c>
      <c r="O16878" s="46" t="s">
        <v>123</v>
      </c>
      <c r="P16878" s="46">
        <v>600.0</v>
      </c>
      <c r="S16878" s="46" t="s">
        <v>127</v>
      </c>
    </row>
    <row r="16879">
      <c r="A16879" s="40">
        <f t="shared" si="1"/>
        <v>46013</v>
      </c>
      <c r="B16879" s="37" t="str">
        <f t="array" ref="B16879">iferror(xlookup($I16879, 'IMPORT VHC Report'!$E:$E, 'IMPORT VHC Report'!$A:$C), )</f>
        <v/>
      </c>
      <c r="C16879" s="44"/>
      <c r="D16879" s="44"/>
      <c r="E16879" s="46" t="s">
        <v>13089</v>
      </c>
      <c r="F16879" s="46" t="s">
        <v>6752</v>
      </c>
      <c r="H16879" s="46" t="s">
        <v>6753</v>
      </c>
      <c r="I16879" s="46" t="s">
        <v>6754</v>
      </c>
      <c r="J16879" s="46" t="s">
        <v>122</v>
      </c>
      <c r="K16879" s="46" t="s">
        <v>63</v>
      </c>
      <c r="L16879" s="45">
        <v>46018.291666666664</v>
      </c>
      <c r="M16879" s="46" t="s">
        <v>123</v>
      </c>
      <c r="N16879" s="45">
        <v>46018.666666666664</v>
      </c>
      <c r="O16879" s="46" t="s">
        <v>123</v>
      </c>
      <c r="P16879" s="46">
        <v>32400.0</v>
      </c>
    </row>
    <row r="16880">
      <c r="A16880" s="40">
        <f t="shared" si="1"/>
        <v>46013</v>
      </c>
      <c r="B16880" s="37" t="str">
        <f t="array" ref="B16880">iferror(xlookup($I16880, 'IMPORT VHC Report'!$E:$E, 'IMPORT VHC Report'!$A:$C), )</f>
        <v/>
      </c>
      <c r="C16880" s="44"/>
      <c r="D16880" s="44"/>
      <c r="E16880" s="46" t="s">
        <v>13090</v>
      </c>
      <c r="F16880" s="46" t="s">
        <v>6752</v>
      </c>
      <c r="H16880" s="46" t="s">
        <v>6753</v>
      </c>
      <c r="I16880" s="46" t="s">
        <v>6754</v>
      </c>
      <c r="J16880" s="46" t="s">
        <v>132</v>
      </c>
      <c r="K16880" s="46" t="s">
        <v>126</v>
      </c>
      <c r="L16880" s="45">
        <v>46018.375</v>
      </c>
      <c r="M16880" s="46" t="s">
        <v>123</v>
      </c>
      <c r="N16880" s="45">
        <v>46018.416666666664</v>
      </c>
      <c r="O16880" s="46" t="s">
        <v>123</v>
      </c>
      <c r="P16880" s="46">
        <v>3600.0</v>
      </c>
    </row>
    <row r="16881">
      <c r="A16881" s="40">
        <f t="shared" si="1"/>
        <v>46013</v>
      </c>
      <c r="B16881" s="37" t="str">
        <f t="array" ref="B16881">iferror(xlookup($I16881, 'IMPORT VHC Report'!$E:$E, 'IMPORT VHC Report'!$A:$C), )</f>
        <v/>
      </c>
      <c r="C16881" s="44"/>
      <c r="D16881" s="44"/>
      <c r="E16881" s="46" t="s">
        <v>13091</v>
      </c>
      <c r="F16881" s="46" t="s">
        <v>6752</v>
      </c>
      <c r="H16881" s="46" t="s">
        <v>6753</v>
      </c>
      <c r="I16881" s="46" t="s">
        <v>6754</v>
      </c>
      <c r="J16881" s="46" t="s">
        <v>134</v>
      </c>
      <c r="K16881" s="46" t="s">
        <v>126</v>
      </c>
      <c r="L16881" s="45">
        <v>46018.53125</v>
      </c>
      <c r="M16881" s="46" t="s">
        <v>123</v>
      </c>
      <c r="N16881" s="45">
        <v>46018.552083333336</v>
      </c>
      <c r="O16881" s="46" t="s">
        <v>123</v>
      </c>
      <c r="P16881" s="46">
        <v>1800.0</v>
      </c>
    </row>
    <row r="16882">
      <c r="A16882" s="40">
        <f t="shared" si="1"/>
        <v>46013</v>
      </c>
      <c r="B16882" s="37" t="str">
        <f t="array" ref="B16882">iferror(xlookup($I16882, 'IMPORT VHC Report'!$E:$E, 'IMPORT VHC Report'!$A:$C), )</f>
        <v/>
      </c>
      <c r="C16882" s="44"/>
      <c r="D16882" s="44"/>
      <c r="E16882" s="46" t="s">
        <v>13092</v>
      </c>
      <c r="F16882" s="46" t="s">
        <v>7227</v>
      </c>
      <c r="G16882" s="46">
        <v>1.3475786244239E13</v>
      </c>
      <c r="H16882" s="46" t="s">
        <v>7228</v>
      </c>
      <c r="I16882" s="46" t="s">
        <v>7229</v>
      </c>
      <c r="J16882" s="46" t="s">
        <v>125</v>
      </c>
      <c r="K16882" s="46" t="s">
        <v>126</v>
      </c>
      <c r="L16882" s="45">
        <v>46014.583333333336</v>
      </c>
      <c r="M16882" s="46" t="s">
        <v>123</v>
      </c>
      <c r="N16882" s="45">
        <v>46014.59027777778</v>
      </c>
      <c r="O16882" s="46" t="s">
        <v>123</v>
      </c>
      <c r="P16882" s="46">
        <v>600.0</v>
      </c>
      <c r="S16882" s="46" t="s">
        <v>127</v>
      </c>
    </row>
    <row r="16883">
      <c r="A16883" s="40">
        <f t="shared" si="1"/>
        <v>46013</v>
      </c>
      <c r="B16883" s="37" t="str">
        <f t="array" ref="B16883">iferror(xlookup($I16883, 'IMPORT VHC Report'!$E:$E, 'IMPORT VHC Report'!$A:$C), )</f>
        <v/>
      </c>
      <c r="C16883" s="44"/>
      <c r="D16883" s="44"/>
      <c r="E16883" s="46" t="s">
        <v>13093</v>
      </c>
      <c r="F16883" s="46" t="s">
        <v>7227</v>
      </c>
      <c r="G16883" s="46">
        <v>1.3475786244239E13</v>
      </c>
      <c r="H16883" s="46" t="s">
        <v>7228</v>
      </c>
      <c r="I16883" s="46" t="s">
        <v>7229</v>
      </c>
      <c r="J16883" s="46" t="s">
        <v>122</v>
      </c>
      <c r="K16883" s="46" t="s">
        <v>63</v>
      </c>
      <c r="L16883" s="45">
        <v>46014.583333333336</v>
      </c>
      <c r="M16883" s="46" t="s">
        <v>123</v>
      </c>
      <c r="N16883" s="45">
        <v>46014.958333333336</v>
      </c>
      <c r="O16883" s="46" t="s">
        <v>123</v>
      </c>
      <c r="P16883" s="46">
        <v>32400.0</v>
      </c>
    </row>
    <row r="16884">
      <c r="A16884" s="40">
        <f t="shared" si="1"/>
        <v>46013</v>
      </c>
      <c r="B16884" s="37" t="str">
        <f t="array" ref="B16884">iferror(xlookup($I16884, 'IMPORT VHC Report'!$E:$E, 'IMPORT VHC Report'!$A:$C), )</f>
        <v/>
      </c>
      <c r="C16884" s="44"/>
      <c r="D16884" s="44"/>
      <c r="E16884" s="46" t="s">
        <v>13094</v>
      </c>
      <c r="F16884" s="46" t="s">
        <v>7227</v>
      </c>
      <c r="G16884" s="46">
        <v>1.3475786244239E13</v>
      </c>
      <c r="H16884" s="46" t="s">
        <v>7228</v>
      </c>
      <c r="I16884" s="46" t="s">
        <v>7229</v>
      </c>
      <c r="J16884" s="46" t="s">
        <v>132</v>
      </c>
      <c r="K16884" s="46" t="s">
        <v>126</v>
      </c>
      <c r="L16884" s="45">
        <v>46014.71875</v>
      </c>
      <c r="M16884" s="46" t="s">
        <v>123</v>
      </c>
      <c r="N16884" s="45">
        <v>46014.760416666664</v>
      </c>
      <c r="O16884" s="46" t="s">
        <v>123</v>
      </c>
      <c r="P16884" s="46">
        <v>3600.0</v>
      </c>
    </row>
    <row r="16885">
      <c r="A16885" s="40">
        <f t="shared" si="1"/>
        <v>46013</v>
      </c>
      <c r="B16885" s="37" t="str">
        <f t="array" ref="B16885">iferror(xlookup($I16885, 'IMPORT VHC Report'!$E:$E, 'IMPORT VHC Report'!$A:$C), )</f>
        <v/>
      </c>
      <c r="C16885" s="44"/>
      <c r="D16885" s="44"/>
      <c r="E16885" s="46" t="s">
        <v>13095</v>
      </c>
      <c r="F16885" s="46" t="s">
        <v>7227</v>
      </c>
      <c r="G16885" s="46">
        <v>1.3475786244239E13</v>
      </c>
      <c r="H16885" s="46" t="s">
        <v>7228</v>
      </c>
      <c r="I16885" s="46" t="s">
        <v>7229</v>
      </c>
      <c r="J16885" s="46" t="s">
        <v>134</v>
      </c>
      <c r="K16885" s="46" t="s">
        <v>126</v>
      </c>
      <c r="L16885" s="45">
        <v>46014.854166666664</v>
      </c>
      <c r="M16885" s="46" t="s">
        <v>123</v>
      </c>
      <c r="N16885" s="45">
        <v>46014.875</v>
      </c>
      <c r="O16885" s="46" t="s">
        <v>123</v>
      </c>
      <c r="P16885" s="46">
        <v>1800.0</v>
      </c>
    </row>
    <row r="16886">
      <c r="A16886" s="40">
        <f t="shared" si="1"/>
        <v>46013</v>
      </c>
      <c r="B16886" s="37" t="str">
        <f t="array" ref="B16886">iferror(xlookup($I16886, 'IMPORT VHC Report'!$E:$E, 'IMPORT VHC Report'!$A:$C), )</f>
        <v/>
      </c>
      <c r="C16886" s="44"/>
      <c r="D16886" s="44"/>
      <c r="E16886" s="46" t="s">
        <v>13096</v>
      </c>
      <c r="F16886" s="46" t="s">
        <v>7227</v>
      </c>
      <c r="G16886" s="46">
        <v>1.3475786244239E13</v>
      </c>
      <c r="H16886" s="46" t="s">
        <v>7228</v>
      </c>
      <c r="I16886" s="46" t="s">
        <v>7229</v>
      </c>
      <c r="J16886" s="46" t="s">
        <v>125</v>
      </c>
      <c r="K16886" s="46" t="s">
        <v>126</v>
      </c>
      <c r="L16886" s="45">
        <v>46015.583333333336</v>
      </c>
      <c r="M16886" s="46" t="s">
        <v>123</v>
      </c>
      <c r="N16886" s="45">
        <v>46015.59027777778</v>
      </c>
      <c r="O16886" s="46" t="s">
        <v>123</v>
      </c>
      <c r="P16886" s="46">
        <v>600.0</v>
      </c>
      <c r="S16886" s="46" t="s">
        <v>127</v>
      </c>
    </row>
    <row r="16887">
      <c r="A16887" s="40">
        <f t="shared" si="1"/>
        <v>46013</v>
      </c>
      <c r="B16887" s="37" t="str">
        <f t="array" ref="B16887">iferror(xlookup($I16887, 'IMPORT VHC Report'!$E:$E, 'IMPORT VHC Report'!$A:$C), )</f>
        <v/>
      </c>
      <c r="C16887" s="44"/>
      <c r="D16887" s="44"/>
      <c r="E16887" s="46" t="s">
        <v>13097</v>
      </c>
      <c r="F16887" s="46" t="s">
        <v>7227</v>
      </c>
      <c r="G16887" s="46">
        <v>1.3475786244239E13</v>
      </c>
      <c r="H16887" s="46" t="s">
        <v>7228</v>
      </c>
      <c r="I16887" s="46" t="s">
        <v>7229</v>
      </c>
      <c r="J16887" s="46" t="s">
        <v>122</v>
      </c>
      <c r="K16887" s="46" t="s">
        <v>63</v>
      </c>
      <c r="L16887" s="45">
        <v>46015.583333333336</v>
      </c>
      <c r="M16887" s="46" t="s">
        <v>123</v>
      </c>
      <c r="N16887" s="45">
        <v>46015.958333333336</v>
      </c>
      <c r="O16887" s="46" t="s">
        <v>123</v>
      </c>
      <c r="P16887" s="46">
        <v>32400.0</v>
      </c>
    </row>
    <row r="16888">
      <c r="A16888" s="40">
        <f t="shared" si="1"/>
        <v>46013</v>
      </c>
      <c r="B16888" s="37" t="str">
        <f t="array" ref="B16888">iferror(xlookup($I16888, 'IMPORT VHC Report'!$E:$E, 'IMPORT VHC Report'!$A:$C), )</f>
        <v/>
      </c>
      <c r="C16888" s="44"/>
      <c r="D16888" s="44"/>
      <c r="E16888" s="46" t="s">
        <v>13098</v>
      </c>
      <c r="F16888" s="46" t="s">
        <v>7227</v>
      </c>
      <c r="G16888" s="46">
        <v>1.3475786244239E13</v>
      </c>
      <c r="H16888" s="46" t="s">
        <v>7228</v>
      </c>
      <c r="I16888" s="46" t="s">
        <v>7229</v>
      </c>
      <c r="J16888" s="46" t="s">
        <v>134</v>
      </c>
      <c r="K16888" s="46" t="s">
        <v>126</v>
      </c>
      <c r="L16888" s="45">
        <v>46015.645833333336</v>
      </c>
      <c r="M16888" s="46" t="s">
        <v>123</v>
      </c>
      <c r="N16888" s="45">
        <v>46015.666666666664</v>
      </c>
      <c r="O16888" s="46" t="s">
        <v>123</v>
      </c>
      <c r="P16888" s="46">
        <v>1800.0</v>
      </c>
    </row>
    <row r="16889">
      <c r="A16889" s="40">
        <f t="shared" si="1"/>
        <v>46013</v>
      </c>
      <c r="B16889" s="37" t="str">
        <f t="array" ref="B16889">iferror(xlookup($I16889, 'IMPORT VHC Report'!$E:$E, 'IMPORT VHC Report'!$A:$C), )</f>
        <v/>
      </c>
      <c r="C16889" s="44"/>
      <c r="D16889" s="44"/>
      <c r="E16889" s="46" t="s">
        <v>13099</v>
      </c>
      <c r="F16889" s="46" t="s">
        <v>7227</v>
      </c>
      <c r="G16889" s="46">
        <v>1.3475786244239E13</v>
      </c>
      <c r="H16889" s="46" t="s">
        <v>7228</v>
      </c>
      <c r="I16889" s="46" t="s">
        <v>7229</v>
      </c>
      <c r="J16889" s="46" t="s">
        <v>132</v>
      </c>
      <c r="K16889" s="46" t="s">
        <v>126</v>
      </c>
      <c r="L16889" s="45">
        <v>46015.791666666664</v>
      </c>
      <c r="M16889" s="46" t="s">
        <v>123</v>
      </c>
      <c r="N16889" s="45">
        <v>46015.833333333336</v>
      </c>
      <c r="O16889" s="46" t="s">
        <v>123</v>
      </c>
      <c r="P16889" s="46">
        <v>3600.0</v>
      </c>
    </row>
    <row r="16890">
      <c r="A16890" s="40">
        <f t="shared" si="1"/>
        <v>46013</v>
      </c>
      <c r="B16890" s="37" t="str">
        <f t="array" ref="B16890">iferror(xlookup($I16890, 'IMPORT VHC Report'!$E:$E, 'IMPORT VHC Report'!$A:$C), )</f>
        <v/>
      </c>
      <c r="C16890" s="44"/>
      <c r="D16890" s="44"/>
      <c r="E16890" s="46" t="s">
        <v>13100</v>
      </c>
      <c r="F16890" s="46" t="s">
        <v>7227</v>
      </c>
      <c r="G16890" s="46">
        <v>1.3475786244239E13</v>
      </c>
      <c r="H16890" s="46" t="s">
        <v>7228</v>
      </c>
      <c r="I16890" s="46" t="s">
        <v>7229</v>
      </c>
      <c r="J16890" s="46" t="s">
        <v>125</v>
      </c>
      <c r="K16890" s="46" t="s">
        <v>126</v>
      </c>
      <c r="L16890" s="45">
        <v>46016.583333333336</v>
      </c>
      <c r="M16890" s="46" t="s">
        <v>123</v>
      </c>
      <c r="N16890" s="45">
        <v>46016.59027777778</v>
      </c>
      <c r="O16890" s="46" t="s">
        <v>123</v>
      </c>
      <c r="P16890" s="46">
        <v>600.0</v>
      </c>
      <c r="S16890" s="46" t="s">
        <v>127</v>
      </c>
    </row>
    <row r="16891">
      <c r="A16891" s="40">
        <f t="shared" si="1"/>
        <v>46013</v>
      </c>
      <c r="B16891" s="37" t="str">
        <f t="array" ref="B16891">iferror(xlookup($I16891, 'IMPORT VHC Report'!$E:$E, 'IMPORT VHC Report'!$A:$C), )</f>
        <v/>
      </c>
      <c r="C16891" s="44"/>
      <c r="D16891" s="44"/>
      <c r="E16891" s="46" t="s">
        <v>13101</v>
      </c>
      <c r="F16891" s="46" t="s">
        <v>7227</v>
      </c>
      <c r="G16891" s="46">
        <v>1.3475786244239E13</v>
      </c>
      <c r="H16891" s="46" t="s">
        <v>7228</v>
      </c>
      <c r="I16891" s="46" t="s">
        <v>7229</v>
      </c>
      <c r="J16891" s="46" t="s">
        <v>122</v>
      </c>
      <c r="K16891" s="46" t="s">
        <v>63</v>
      </c>
      <c r="L16891" s="45">
        <v>46016.583333333336</v>
      </c>
      <c r="M16891" s="46" t="s">
        <v>123</v>
      </c>
      <c r="N16891" s="45">
        <v>46016.958333333336</v>
      </c>
      <c r="O16891" s="46" t="s">
        <v>123</v>
      </c>
      <c r="P16891" s="46">
        <v>32400.0</v>
      </c>
    </row>
    <row r="16892">
      <c r="A16892" s="40">
        <f t="shared" si="1"/>
        <v>46013</v>
      </c>
      <c r="B16892" s="37" t="str">
        <f t="array" ref="B16892">iferror(xlookup($I16892, 'IMPORT VHC Report'!$E:$E, 'IMPORT VHC Report'!$A:$C), )</f>
        <v/>
      </c>
      <c r="C16892" s="44"/>
      <c r="D16892" s="44"/>
      <c r="E16892" s="46" t="s">
        <v>13102</v>
      </c>
      <c r="F16892" s="46" t="s">
        <v>7227</v>
      </c>
      <c r="G16892" s="46">
        <v>1.3475786244239E13</v>
      </c>
      <c r="H16892" s="46" t="s">
        <v>7228</v>
      </c>
      <c r="I16892" s="46" t="s">
        <v>7229</v>
      </c>
      <c r="J16892" s="46" t="s">
        <v>134</v>
      </c>
      <c r="K16892" s="46" t="s">
        <v>126</v>
      </c>
      <c r="L16892" s="45">
        <v>46016.666666666664</v>
      </c>
      <c r="M16892" s="46" t="s">
        <v>123</v>
      </c>
      <c r="N16892" s="45">
        <v>46016.6875</v>
      </c>
      <c r="O16892" s="46" t="s">
        <v>123</v>
      </c>
      <c r="P16892" s="46">
        <v>1800.0</v>
      </c>
    </row>
    <row r="16893">
      <c r="A16893" s="40">
        <f t="shared" si="1"/>
        <v>46013</v>
      </c>
      <c r="B16893" s="37" t="str">
        <f t="array" ref="B16893">iferror(xlookup($I16893, 'IMPORT VHC Report'!$E:$E, 'IMPORT VHC Report'!$A:$C), )</f>
        <v/>
      </c>
      <c r="C16893" s="44"/>
      <c r="D16893" s="44"/>
      <c r="E16893" s="46" t="s">
        <v>13103</v>
      </c>
      <c r="F16893" s="46" t="s">
        <v>7227</v>
      </c>
      <c r="G16893" s="46">
        <v>1.3475786244239E13</v>
      </c>
      <c r="H16893" s="46" t="s">
        <v>7228</v>
      </c>
      <c r="I16893" s="46" t="s">
        <v>7229</v>
      </c>
      <c r="J16893" s="46" t="s">
        <v>132</v>
      </c>
      <c r="K16893" s="46" t="s">
        <v>126</v>
      </c>
      <c r="L16893" s="45">
        <v>46016.791666666664</v>
      </c>
      <c r="M16893" s="46" t="s">
        <v>123</v>
      </c>
      <c r="N16893" s="45">
        <v>46016.833333333336</v>
      </c>
      <c r="O16893" s="46" t="s">
        <v>123</v>
      </c>
      <c r="P16893" s="46">
        <v>3600.0</v>
      </c>
    </row>
    <row r="16894">
      <c r="A16894" s="40">
        <f t="shared" si="1"/>
        <v>46013</v>
      </c>
      <c r="B16894" s="37" t="str">
        <f t="array" ref="B16894">iferror(xlookup($I16894, 'IMPORT VHC Report'!$E:$E, 'IMPORT VHC Report'!$A:$C), )</f>
        <v/>
      </c>
      <c r="C16894" s="44"/>
      <c r="D16894" s="44"/>
      <c r="E16894" s="46" t="s">
        <v>13104</v>
      </c>
      <c r="F16894" s="46" t="s">
        <v>7227</v>
      </c>
      <c r="G16894" s="46">
        <v>1.3475786244239E13</v>
      </c>
      <c r="H16894" s="46" t="s">
        <v>7228</v>
      </c>
      <c r="I16894" s="46" t="s">
        <v>7229</v>
      </c>
      <c r="J16894" s="46" t="s">
        <v>125</v>
      </c>
      <c r="K16894" s="46" t="s">
        <v>126</v>
      </c>
      <c r="L16894" s="45">
        <v>46017.583333333336</v>
      </c>
      <c r="M16894" s="46" t="s">
        <v>123</v>
      </c>
      <c r="N16894" s="45">
        <v>46017.59027777778</v>
      </c>
      <c r="O16894" s="46" t="s">
        <v>123</v>
      </c>
      <c r="P16894" s="46">
        <v>600.0</v>
      </c>
      <c r="S16894" s="46" t="s">
        <v>127</v>
      </c>
    </row>
    <row r="16895">
      <c r="A16895" s="40">
        <f t="shared" si="1"/>
        <v>46013</v>
      </c>
      <c r="B16895" s="37" t="str">
        <f t="array" ref="B16895">iferror(xlookup($I16895, 'IMPORT VHC Report'!$E:$E, 'IMPORT VHC Report'!$A:$C), )</f>
        <v/>
      </c>
      <c r="C16895" s="44"/>
      <c r="D16895" s="44"/>
      <c r="E16895" s="46" t="s">
        <v>13105</v>
      </c>
      <c r="F16895" s="46" t="s">
        <v>7227</v>
      </c>
      <c r="G16895" s="46">
        <v>1.3475786244239E13</v>
      </c>
      <c r="H16895" s="46" t="s">
        <v>7228</v>
      </c>
      <c r="I16895" s="46" t="s">
        <v>7229</v>
      </c>
      <c r="J16895" s="46" t="s">
        <v>122</v>
      </c>
      <c r="K16895" s="46" t="s">
        <v>63</v>
      </c>
      <c r="L16895" s="45">
        <v>46017.583333333336</v>
      </c>
      <c r="M16895" s="46" t="s">
        <v>123</v>
      </c>
      <c r="N16895" s="45">
        <v>46017.958333333336</v>
      </c>
      <c r="O16895" s="46" t="s">
        <v>123</v>
      </c>
      <c r="P16895" s="46">
        <v>32400.0</v>
      </c>
    </row>
    <row r="16896">
      <c r="A16896" s="40">
        <f t="shared" si="1"/>
        <v>46013</v>
      </c>
      <c r="B16896" s="37" t="str">
        <f t="array" ref="B16896">iferror(xlookup($I16896, 'IMPORT VHC Report'!$E:$E, 'IMPORT VHC Report'!$A:$C), )</f>
        <v/>
      </c>
      <c r="C16896" s="44"/>
      <c r="D16896" s="44"/>
      <c r="E16896" s="46" t="s">
        <v>13106</v>
      </c>
      <c r="F16896" s="46" t="s">
        <v>7227</v>
      </c>
      <c r="G16896" s="46">
        <v>1.3475786244239E13</v>
      </c>
      <c r="H16896" s="46" t="s">
        <v>7228</v>
      </c>
      <c r="I16896" s="46" t="s">
        <v>7229</v>
      </c>
      <c r="J16896" s="46" t="s">
        <v>134</v>
      </c>
      <c r="K16896" s="46" t="s">
        <v>126</v>
      </c>
      <c r="L16896" s="45">
        <v>46017.666666666664</v>
      </c>
      <c r="M16896" s="46" t="s">
        <v>123</v>
      </c>
      <c r="N16896" s="45">
        <v>46017.6875</v>
      </c>
      <c r="O16896" s="46" t="s">
        <v>123</v>
      </c>
      <c r="P16896" s="46">
        <v>1800.0</v>
      </c>
    </row>
    <row r="16897">
      <c r="A16897" s="40">
        <f t="shared" si="1"/>
        <v>46013</v>
      </c>
      <c r="B16897" s="37" t="str">
        <f t="array" ref="B16897">iferror(xlookup($I16897, 'IMPORT VHC Report'!$E:$E, 'IMPORT VHC Report'!$A:$C), )</f>
        <v/>
      </c>
      <c r="C16897" s="44"/>
      <c r="D16897" s="44"/>
      <c r="E16897" s="46" t="s">
        <v>13107</v>
      </c>
      <c r="F16897" s="46" t="s">
        <v>7227</v>
      </c>
      <c r="G16897" s="46">
        <v>1.3475786244239E13</v>
      </c>
      <c r="H16897" s="46" t="s">
        <v>7228</v>
      </c>
      <c r="I16897" s="46" t="s">
        <v>7229</v>
      </c>
      <c r="J16897" s="46" t="s">
        <v>132</v>
      </c>
      <c r="K16897" s="46" t="s">
        <v>126</v>
      </c>
      <c r="L16897" s="45">
        <v>46017.791666666664</v>
      </c>
      <c r="M16897" s="46" t="s">
        <v>123</v>
      </c>
      <c r="N16897" s="45">
        <v>46017.833333333336</v>
      </c>
      <c r="O16897" s="46" t="s">
        <v>123</v>
      </c>
      <c r="P16897" s="46">
        <v>3600.0</v>
      </c>
    </row>
    <row r="16898">
      <c r="A16898" s="40">
        <f t="shared" si="1"/>
        <v>46013</v>
      </c>
      <c r="B16898" s="37" t="str">
        <f t="array" ref="B16898">iferror(xlookup($I16898, 'IMPORT VHC Report'!$E:$E, 'IMPORT VHC Report'!$A:$C), )</f>
        <v/>
      </c>
      <c r="C16898" s="44"/>
      <c r="D16898" s="44"/>
      <c r="E16898" s="46" t="s">
        <v>13108</v>
      </c>
      <c r="F16898" s="46" t="s">
        <v>7227</v>
      </c>
      <c r="G16898" s="46">
        <v>1.3475786244239E13</v>
      </c>
      <c r="H16898" s="46" t="s">
        <v>7228</v>
      </c>
      <c r="I16898" s="46" t="s">
        <v>7229</v>
      </c>
      <c r="J16898" s="46" t="s">
        <v>125</v>
      </c>
      <c r="K16898" s="46" t="s">
        <v>126</v>
      </c>
      <c r="L16898" s="45">
        <v>46018.583333333336</v>
      </c>
      <c r="M16898" s="46" t="s">
        <v>123</v>
      </c>
      <c r="N16898" s="45">
        <v>46018.59027777778</v>
      </c>
      <c r="O16898" s="46" t="s">
        <v>123</v>
      </c>
      <c r="P16898" s="46">
        <v>600.0</v>
      </c>
      <c r="S16898" s="46" t="s">
        <v>127</v>
      </c>
    </row>
    <row r="16899">
      <c r="A16899" s="40">
        <f t="shared" si="1"/>
        <v>46013</v>
      </c>
      <c r="B16899" s="37" t="str">
        <f t="array" ref="B16899">iferror(xlookup($I16899, 'IMPORT VHC Report'!$E:$E, 'IMPORT VHC Report'!$A:$C), )</f>
        <v/>
      </c>
      <c r="C16899" s="44"/>
      <c r="D16899" s="44"/>
      <c r="E16899" s="46" t="s">
        <v>13109</v>
      </c>
      <c r="F16899" s="46" t="s">
        <v>7227</v>
      </c>
      <c r="G16899" s="46">
        <v>1.3475786244239E13</v>
      </c>
      <c r="H16899" s="46" t="s">
        <v>7228</v>
      </c>
      <c r="I16899" s="46" t="s">
        <v>7229</v>
      </c>
      <c r="J16899" s="46" t="s">
        <v>122</v>
      </c>
      <c r="K16899" s="46" t="s">
        <v>63</v>
      </c>
      <c r="L16899" s="45">
        <v>46018.583333333336</v>
      </c>
      <c r="M16899" s="46" t="s">
        <v>123</v>
      </c>
      <c r="N16899" s="45">
        <v>46018.958333333336</v>
      </c>
      <c r="O16899" s="46" t="s">
        <v>123</v>
      </c>
      <c r="P16899" s="46">
        <v>32400.0</v>
      </c>
    </row>
    <row r="16900">
      <c r="A16900" s="40">
        <f t="shared" si="1"/>
        <v>46013</v>
      </c>
      <c r="B16900" s="37" t="str">
        <f t="array" ref="B16900">iferror(xlookup($I16900, 'IMPORT VHC Report'!$E:$E, 'IMPORT VHC Report'!$A:$C), )</f>
        <v/>
      </c>
      <c r="C16900" s="44"/>
      <c r="D16900" s="44"/>
      <c r="E16900" s="46" t="s">
        <v>13110</v>
      </c>
      <c r="F16900" s="46" t="s">
        <v>7227</v>
      </c>
      <c r="G16900" s="46">
        <v>1.3475786244239E13</v>
      </c>
      <c r="H16900" s="46" t="s">
        <v>7228</v>
      </c>
      <c r="I16900" s="46" t="s">
        <v>7229</v>
      </c>
      <c r="J16900" s="46" t="s">
        <v>132</v>
      </c>
      <c r="K16900" s="46" t="s">
        <v>126</v>
      </c>
      <c r="L16900" s="45">
        <v>46018.666666666664</v>
      </c>
      <c r="M16900" s="46" t="s">
        <v>123</v>
      </c>
      <c r="N16900" s="45">
        <v>46018.708333333336</v>
      </c>
      <c r="O16900" s="46" t="s">
        <v>123</v>
      </c>
      <c r="P16900" s="46">
        <v>3600.0</v>
      </c>
    </row>
    <row r="16901">
      <c r="A16901" s="40">
        <f t="shared" si="1"/>
        <v>46013</v>
      </c>
      <c r="B16901" s="37" t="str">
        <f t="array" ref="B16901">iferror(xlookup($I16901, 'IMPORT VHC Report'!$E:$E, 'IMPORT VHC Report'!$A:$C), )</f>
        <v/>
      </c>
      <c r="C16901" s="44"/>
      <c r="D16901" s="44"/>
      <c r="E16901" s="46" t="s">
        <v>13111</v>
      </c>
      <c r="F16901" s="46" t="s">
        <v>7227</v>
      </c>
      <c r="G16901" s="46">
        <v>1.3475786244239E13</v>
      </c>
      <c r="H16901" s="46" t="s">
        <v>7228</v>
      </c>
      <c r="I16901" s="46" t="s">
        <v>7229</v>
      </c>
      <c r="J16901" s="46" t="s">
        <v>134</v>
      </c>
      <c r="K16901" s="46" t="s">
        <v>126</v>
      </c>
      <c r="L16901" s="45">
        <v>46018.84375</v>
      </c>
      <c r="M16901" s="46" t="s">
        <v>123</v>
      </c>
      <c r="N16901" s="45">
        <v>46018.864583333336</v>
      </c>
      <c r="O16901" s="46" t="s">
        <v>123</v>
      </c>
      <c r="P16901" s="46">
        <v>1800.0</v>
      </c>
    </row>
    <row r="16902">
      <c r="A16902" s="40">
        <f t="shared" si="1"/>
        <v>46013</v>
      </c>
      <c r="B16902" s="37" t="str">
        <f t="array" ref="B16902">iferror(xlookup($I16902, 'IMPORT VHC Report'!$E:$E, 'IMPORT VHC Report'!$A:$C), )</f>
        <v/>
      </c>
      <c r="C16902" s="44"/>
      <c r="D16902" s="44"/>
      <c r="E16902" s="46" t="s">
        <v>13112</v>
      </c>
      <c r="F16902" s="46" t="s">
        <v>7592</v>
      </c>
      <c r="H16902" s="46" t="s">
        <v>7593</v>
      </c>
      <c r="I16902" s="46" t="s">
        <v>7594</v>
      </c>
      <c r="J16902" s="46" t="s">
        <v>125</v>
      </c>
      <c r="K16902" s="46" t="s">
        <v>126</v>
      </c>
      <c r="L16902" s="45">
        <v>46014.916666666664</v>
      </c>
      <c r="M16902" s="46" t="s">
        <v>123</v>
      </c>
      <c r="N16902" s="45">
        <v>46014.92361111111</v>
      </c>
      <c r="O16902" s="46" t="s">
        <v>123</v>
      </c>
      <c r="P16902" s="46">
        <v>600.0</v>
      </c>
      <c r="S16902" s="46" t="s">
        <v>127</v>
      </c>
    </row>
    <row r="16903">
      <c r="A16903" s="40">
        <f t="shared" si="1"/>
        <v>46013</v>
      </c>
      <c r="B16903" s="37" t="str">
        <f t="array" ref="B16903">iferror(xlookup($I16903, 'IMPORT VHC Report'!$E:$E, 'IMPORT VHC Report'!$A:$C), )</f>
        <v/>
      </c>
      <c r="C16903" s="44"/>
      <c r="D16903" s="44"/>
      <c r="E16903" s="46" t="s">
        <v>13113</v>
      </c>
      <c r="F16903" s="46" t="s">
        <v>7592</v>
      </c>
      <c r="H16903" s="46" t="s">
        <v>7593</v>
      </c>
      <c r="I16903" s="46" t="s">
        <v>7594</v>
      </c>
      <c r="J16903" s="46" t="s">
        <v>178</v>
      </c>
      <c r="K16903" s="46" t="s">
        <v>153</v>
      </c>
      <c r="L16903" s="45">
        <v>46014.916666666664</v>
      </c>
      <c r="M16903" s="46" t="s">
        <v>123</v>
      </c>
      <c r="N16903" s="45">
        <v>46015.291666666664</v>
      </c>
      <c r="O16903" s="46" t="s">
        <v>123</v>
      </c>
      <c r="P16903" s="46">
        <v>32400.0</v>
      </c>
      <c r="Q16903" s="46">
        <v>201600.0</v>
      </c>
      <c r="R16903" s="46" t="s">
        <v>13114</v>
      </c>
    </row>
    <row r="16904">
      <c r="A16904" s="40">
        <f t="shared" si="1"/>
        <v>46013</v>
      </c>
      <c r="B16904" s="37" t="str">
        <f t="array" ref="B16904">iferror(xlookup($I16904, 'IMPORT VHC Report'!$E:$E, 'IMPORT VHC Report'!$A:$C), )</f>
        <v/>
      </c>
      <c r="C16904" s="44"/>
      <c r="D16904" s="44"/>
      <c r="E16904" s="46" t="s">
        <v>13115</v>
      </c>
      <c r="F16904" s="46" t="s">
        <v>7592</v>
      </c>
      <c r="H16904" s="46" t="s">
        <v>7593</v>
      </c>
      <c r="I16904" s="46" t="s">
        <v>7594</v>
      </c>
      <c r="J16904" s="46" t="s">
        <v>122</v>
      </c>
      <c r="K16904" s="46" t="s">
        <v>63</v>
      </c>
      <c r="L16904" s="45">
        <v>46014.916666666664</v>
      </c>
      <c r="M16904" s="46" t="s">
        <v>123</v>
      </c>
      <c r="N16904" s="45">
        <v>46015.291666666664</v>
      </c>
      <c r="O16904" s="46" t="s">
        <v>123</v>
      </c>
      <c r="P16904" s="46">
        <v>32400.0</v>
      </c>
    </row>
    <row r="16905">
      <c r="A16905" s="40">
        <f t="shared" si="1"/>
        <v>46013</v>
      </c>
      <c r="B16905" s="37" t="str">
        <f t="array" ref="B16905">iferror(xlookup($I16905, 'IMPORT VHC Report'!$E:$E, 'IMPORT VHC Report'!$A:$C), )</f>
        <v/>
      </c>
      <c r="C16905" s="44"/>
      <c r="D16905" s="44"/>
      <c r="E16905" s="46" t="s">
        <v>13116</v>
      </c>
      <c r="F16905" s="46" t="s">
        <v>7592</v>
      </c>
      <c r="H16905" s="46" t="s">
        <v>7593</v>
      </c>
      <c r="I16905" s="46" t="s">
        <v>7594</v>
      </c>
      <c r="J16905" s="46" t="s">
        <v>134</v>
      </c>
      <c r="K16905" s="46" t="s">
        <v>126</v>
      </c>
      <c r="L16905" s="45">
        <v>46015.052083333336</v>
      </c>
      <c r="M16905" s="46" t="s">
        <v>123</v>
      </c>
      <c r="N16905" s="45">
        <v>46015.072916666664</v>
      </c>
      <c r="O16905" s="46" t="s">
        <v>123</v>
      </c>
      <c r="P16905" s="46">
        <v>1800.0</v>
      </c>
    </row>
    <row r="16906">
      <c r="A16906" s="40">
        <f t="shared" si="1"/>
        <v>46013</v>
      </c>
      <c r="B16906" s="37" t="str">
        <f t="array" ref="B16906">iferror(xlookup($I16906, 'IMPORT VHC Report'!$E:$E, 'IMPORT VHC Report'!$A:$C), )</f>
        <v/>
      </c>
      <c r="C16906" s="44"/>
      <c r="D16906" s="44"/>
      <c r="E16906" s="46" t="s">
        <v>13117</v>
      </c>
      <c r="F16906" s="46" t="s">
        <v>7592</v>
      </c>
      <c r="H16906" s="46" t="s">
        <v>7593</v>
      </c>
      <c r="I16906" s="46" t="s">
        <v>7594</v>
      </c>
      <c r="J16906" s="46" t="s">
        <v>132</v>
      </c>
      <c r="K16906" s="46" t="s">
        <v>126</v>
      </c>
      <c r="L16906" s="45">
        <v>46015.25</v>
      </c>
      <c r="M16906" s="46" t="s">
        <v>123</v>
      </c>
      <c r="N16906" s="45">
        <v>46015.291666666664</v>
      </c>
      <c r="O16906" s="46" t="s">
        <v>123</v>
      </c>
      <c r="P16906" s="46">
        <v>3600.0</v>
      </c>
    </row>
    <row r="16907">
      <c r="A16907" s="40">
        <f t="shared" si="1"/>
        <v>46013</v>
      </c>
      <c r="B16907" s="37" t="str">
        <f t="array" ref="B16907">iferror(xlookup($I16907, 'IMPORT VHC Report'!$E:$E, 'IMPORT VHC Report'!$A:$C), )</f>
        <v/>
      </c>
      <c r="C16907" s="44"/>
      <c r="D16907" s="44"/>
      <c r="E16907" s="46" t="s">
        <v>13118</v>
      </c>
      <c r="F16907" s="46" t="s">
        <v>7592</v>
      </c>
      <c r="H16907" s="46" t="s">
        <v>7593</v>
      </c>
      <c r="I16907" s="46" t="s">
        <v>7594</v>
      </c>
      <c r="J16907" s="46" t="s">
        <v>125</v>
      </c>
      <c r="K16907" s="46" t="s">
        <v>126</v>
      </c>
      <c r="L16907" s="45">
        <v>46015.916666666664</v>
      </c>
      <c r="M16907" s="46" t="s">
        <v>123</v>
      </c>
      <c r="N16907" s="45">
        <v>46015.92361111111</v>
      </c>
      <c r="O16907" s="46" t="s">
        <v>123</v>
      </c>
      <c r="P16907" s="46">
        <v>600.0</v>
      </c>
      <c r="S16907" s="46" t="s">
        <v>127</v>
      </c>
    </row>
    <row r="16908">
      <c r="A16908" s="40">
        <f t="shared" si="1"/>
        <v>46013</v>
      </c>
      <c r="B16908" s="37" t="str">
        <f t="array" ref="B16908">iferror(xlookup($I16908, 'IMPORT VHC Report'!$E:$E, 'IMPORT VHC Report'!$A:$C), )</f>
        <v/>
      </c>
      <c r="C16908" s="44"/>
      <c r="D16908" s="44"/>
      <c r="E16908" s="46" t="s">
        <v>13119</v>
      </c>
      <c r="F16908" s="46" t="s">
        <v>7592</v>
      </c>
      <c r="H16908" s="46" t="s">
        <v>7593</v>
      </c>
      <c r="I16908" s="46" t="s">
        <v>7594</v>
      </c>
      <c r="J16908" s="46" t="s">
        <v>178</v>
      </c>
      <c r="K16908" s="46" t="s">
        <v>153</v>
      </c>
      <c r="L16908" s="45">
        <v>46015.916666666664</v>
      </c>
      <c r="M16908" s="46" t="s">
        <v>123</v>
      </c>
      <c r="N16908" s="45">
        <v>46016.291666666664</v>
      </c>
      <c r="O16908" s="46" t="s">
        <v>123</v>
      </c>
      <c r="P16908" s="46">
        <v>32400.0</v>
      </c>
      <c r="Q16908" s="46">
        <v>32400.0</v>
      </c>
    </row>
    <row r="16909">
      <c r="A16909" s="40">
        <f t="shared" si="1"/>
        <v>46013</v>
      </c>
      <c r="B16909" s="37" t="str">
        <f t="array" ref="B16909">iferror(xlookup($I16909, 'IMPORT VHC Report'!$E:$E, 'IMPORT VHC Report'!$A:$C), )</f>
        <v/>
      </c>
      <c r="C16909" s="44"/>
      <c r="D16909" s="44"/>
      <c r="E16909" s="46" t="s">
        <v>13120</v>
      </c>
      <c r="F16909" s="46" t="s">
        <v>7592</v>
      </c>
      <c r="H16909" s="46" t="s">
        <v>7593</v>
      </c>
      <c r="I16909" s="46" t="s">
        <v>7594</v>
      </c>
      <c r="J16909" s="46" t="s">
        <v>122</v>
      </c>
      <c r="K16909" s="46" t="s">
        <v>63</v>
      </c>
      <c r="L16909" s="45">
        <v>46015.916666666664</v>
      </c>
      <c r="M16909" s="46" t="s">
        <v>123</v>
      </c>
      <c r="N16909" s="45">
        <v>46016.291666666664</v>
      </c>
      <c r="O16909" s="46" t="s">
        <v>123</v>
      </c>
      <c r="P16909" s="46">
        <v>32400.0</v>
      </c>
    </row>
    <row r="16910">
      <c r="A16910" s="40">
        <f t="shared" si="1"/>
        <v>46013</v>
      </c>
      <c r="B16910" s="37" t="str">
        <f t="array" ref="B16910">iferror(xlookup($I16910, 'IMPORT VHC Report'!$E:$E, 'IMPORT VHC Report'!$A:$C), )</f>
        <v/>
      </c>
      <c r="C16910" s="44"/>
      <c r="D16910" s="44"/>
      <c r="E16910" s="46" t="s">
        <v>13121</v>
      </c>
      <c r="F16910" s="46" t="s">
        <v>7592</v>
      </c>
      <c r="H16910" s="46" t="s">
        <v>7593</v>
      </c>
      <c r="I16910" s="46" t="s">
        <v>7594</v>
      </c>
      <c r="J16910" s="46" t="s">
        <v>134</v>
      </c>
      <c r="K16910" s="46" t="s">
        <v>126</v>
      </c>
      <c r="L16910" s="45">
        <v>46016.083333333336</v>
      </c>
      <c r="M16910" s="46" t="s">
        <v>123</v>
      </c>
      <c r="N16910" s="45">
        <v>46016.104166666664</v>
      </c>
      <c r="O16910" s="46" t="s">
        <v>123</v>
      </c>
      <c r="P16910" s="46">
        <v>1800.0</v>
      </c>
    </row>
    <row r="16911">
      <c r="A16911" s="40">
        <f t="shared" si="1"/>
        <v>46013</v>
      </c>
      <c r="B16911" s="37" t="str">
        <f t="array" ref="B16911">iferror(xlookup($I16911, 'IMPORT VHC Report'!$E:$E, 'IMPORT VHC Report'!$A:$C), )</f>
        <v/>
      </c>
      <c r="C16911" s="44"/>
      <c r="D16911" s="44"/>
      <c r="E16911" s="46" t="s">
        <v>13122</v>
      </c>
      <c r="F16911" s="46" t="s">
        <v>7592</v>
      </c>
      <c r="H16911" s="46" t="s">
        <v>7593</v>
      </c>
      <c r="I16911" s="46" t="s">
        <v>7594</v>
      </c>
      <c r="J16911" s="46" t="s">
        <v>132</v>
      </c>
      <c r="K16911" s="46" t="s">
        <v>126</v>
      </c>
      <c r="L16911" s="45">
        <v>46016.25</v>
      </c>
      <c r="M16911" s="46" t="s">
        <v>123</v>
      </c>
      <c r="N16911" s="45">
        <v>46016.291666666664</v>
      </c>
      <c r="O16911" s="46" t="s">
        <v>123</v>
      </c>
      <c r="P16911" s="46">
        <v>3600.0</v>
      </c>
    </row>
    <row r="16912">
      <c r="A16912" s="40">
        <f t="shared" si="1"/>
        <v>46013</v>
      </c>
      <c r="B16912" s="37" t="str">
        <f t="array" ref="B16912">iferror(xlookup($I16912, 'IMPORT VHC Report'!$E:$E, 'IMPORT VHC Report'!$A:$C), )</f>
        <v/>
      </c>
      <c r="C16912" s="44"/>
      <c r="D16912" s="44"/>
      <c r="E16912" s="46" t="s">
        <v>13123</v>
      </c>
      <c r="F16912" s="46" t="s">
        <v>7592</v>
      </c>
      <c r="H16912" s="46" t="s">
        <v>7593</v>
      </c>
      <c r="I16912" s="46" t="s">
        <v>7594</v>
      </c>
      <c r="J16912" s="46" t="s">
        <v>125</v>
      </c>
      <c r="K16912" s="46" t="s">
        <v>126</v>
      </c>
      <c r="L16912" s="45">
        <v>46016.916666666664</v>
      </c>
      <c r="M16912" s="46" t="s">
        <v>123</v>
      </c>
      <c r="N16912" s="45">
        <v>46016.92361111111</v>
      </c>
      <c r="O16912" s="46" t="s">
        <v>123</v>
      </c>
      <c r="P16912" s="46">
        <v>600.0</v>
      </c>
      <c r="S16912" s="46" t="s">
        <v>127</v>
      </c>
    </row>
    <row r="16913">
      <c r="A16913" s="40">
        <f t="shared" si="1"/>
        <v>46013</v>
      </c>
      <c r="B16913" s="37" t="str">
        <f t="array" ref="B16913">iferror(xlookup($I16913, 'IMPORT VHC Report'!$E:$E, 'IMPORT VHC Report'!$A:$C), )</f>
        <v/>
      </c>
      <c r="C16913" s="44"/>
      <c r="D16913" s="44"/>
      <c r="E16913" s="46" t="s">
        <v>13124</v>
      </c>
      <c r="F16913" s="46" t="s">
        <v>7592</v>
      </c>
      <c r="H16913" s="46" t="s">
        <v>7593</v>
      </c>
      <c r="I16913" s="46" t="s">
        <v>7594</v>
      </c>
      <c r="J16913" s="46" t="s">
        <v>122</v>
      </c>
      <c r="K16913" s="46" t="s">
        <v>63</v>
      </c>
      <c r="L16913" s="45">
        <v>46016.916666666664</v>
      </c>
      <c r="M16913" s="46" t="s">
        <v>123</v>
      </c>
      <c r="N16913" s="45">
        <v>46017.291666666664</v>
      </c>
      <c r="O16913" s="46" t="s">
        <v>123</v>
      </c>
      <c r="P16913" s="46">
        <v>32400.0</v>
      </c>
    </row>
    <row r="16914">
      <c r="A16914" s="40">
        <f t="shared" si="1"/>
        <v>46013</v>
      </c>
      <c r="B16914" s="37" t="str">
        <f t="array" ref="B16914">iferror(xlookup($I16914, 'IMPORT VHC Report'!$E:$E, 'IMPORT VHC Report'!$A:$C), )</f>
        <v/>
      </c>
      <c r="C16914" s="44"/>
      <c r="D16914" s="44"/>
      <c r="E16914" s="46" t="s">
        <v>13125</v>
      </c>
      <c r="F16914" s="46" t="s">
        <v>7592</v>
      </c>
      <c r="H16914" s="46" t="s">
        <v>7593</v>
      </c>
      <c r="I16914" s="46" t="s">
        <v>7594</v>
      </c>
      <c r="J16914" s="46" t="s">
        <v>178</v>
      </c>
      <c r="K16914" s="46" t="s">
        <v>153</v>
      </c>
      <c r="L16914" s="45">
        <v>46016.916666666664</v>
      </c>
      <c r="M16914" s="46" t="s">
        <v>123</v>
      </c>
      <c r="N16914" s="45">
        <v>46017.291666666664</v>
      </c>
      <c r="O16914" s="46" t="s">
        <v>123</v>
      </c>
      <c r="P16914" s="46">
        <v>32400.0</v>
      </c>
      <c r="Q16914" s="46">
        <v>32400.0</v>
      </c>
    </row>
    <row r="16915">
      <c r="A16915" s="40">
        <f t="shared" si="1"/>
        <v>46013</v>
      </c>
      <c r="B16915" s="37" t="str">
        <f t="array" ref="B16915">iferror(xlookup($I16915, 'IMPORT VHC Report'!$E:$E, 'IMPORT VHC Report'!$A:$C), )</f>
        <v/>
      </c>
      <c r="C16915" s="44"/>
      <c r="D16915" s="44"/>
      <c r="E16915" s="46" t="s">
        <v>13126</v>
      </c>
      <c r="F16915" s="46" t="s">
        <v>7592</v>
      </c>
      <c r="H16915" s="46" t="s">
        <v>7593</v>
      </c>
      <c r="I16915" s="46" t="s">
        <v>7594</v>
      </c>
      <c r="J16915" s="46" t="s">
        <v>134</v>
      </c>
      <c r="K16915" s="46" t="s">
        <v>126</v>
      </c>
      <c r="L16915" s="45">
        <v>46017.0</v>
      </c>
      <c r="M16915" s="46" t="s">
        <v>123</v>
      </c>
      <c r="N16915" s="45">
        <v>46017.020833333336</v>
      </c>
      <c r="O16915" s="46" t="s">
        <v>123</v>
      </c>
      <c r="P16915" s="46">
        <v>1800.0</v>
      </c>
    </row>
    <row r="16916">
      <c r="A16916" s="40">
        <f t="shared" si="1"/>
        <v>46013</v>
      </c>
      <c r="B16916" s="37" t="str">
        <f t="array" ref="B16916">iferror(xlookup($I16916, 'IMPORT VHC Report'!$E:$E, 'IMPORT VHC Report'!$A:$C), )</f>
        <v/>
      </c>
      <c r="C16916" s="44"/>
      <c r="D16916" s="44"/>
      <c r="E16916" s="46" t="s">
        <v>13127</v>
      </c>
      <c r="F16916" s="46" t="s">
        <v>7592</v>
      </c>
      <c r="H16916" s="46" t="s">
        <v>7593</v>
      </c>
      <c r="I16916" s="46" t="s">
        <v>7594</v>
      </c>
      <c r="J16916" s="46" t="s">
        <v>132</v>
      </c>
      <c r="K16916" s="46" t="s">
        <v>126</v>
      </c>
      <c r="L16916" s="45">
        <v>46017.25</v>
      </c>
      <c r="M16916" s="46" t="s">
        <v>123</v>
      </c>
      <c r="N16916" s="45">
        <v>46017.291666666664</v>
      </c>
      <c r="O16916" s="46" t="s">
        <v>123</v>
      </c>
      <c r="P16916" s="46">
        <v>3600.0</v>
      </c>
    </row>
    <row r="16917">
      <c r="A16917" s="40">
        <f t="shared" si="1"/>
        <v>46013</v>
      </c>
      <c r="B16917" s="37" t="str">
        <f t="array" ref="B16917">iferror(xlookup($I16917, 'IMPORT VHC Report'!$E:$E, 'IMPORT VHC Report'!$A:$C), )</f>
        <v/>
      </c>
      <c r="C16917" s="44"/>
      <c r="D16917" s="44"/>
      <c r="E16917" s="46" t="s">
        <v>13128</v>
      </c>
      <c r="F16917" s="46" t="s">
        <v>7592</v>
      </c>
      <c r="H16917" s="46" t="s">
        <v>7593</v>
      </c>
      <c r="I16917" s="46" t="s">
        <v>7594</v>
      </c>
      <c r="J16917" s="46" t="s">
        <v>125</v>
      </c>
      <c r="K16917" s="46" t="s">
        <v>126</v>
      </c>
      <c r="L16917" s="45">
        <v>46017.916666666664</v>
      </c>
      <c r="M16917" s="46" t="s">
        <v>123</v>
      </c>
      <c r="N16917" s="45">
        <v>46017.92361111111</v>
      </c>
      <c r="O16917" s="46" t="s">
        <v>123</v>
      </c>
      <c r="P16917" s="46">
        <v>600.0</v>
      </c>
      <c r="S16917" s="46" t="s">
        <v>127</v>
      </c>
    </row>
    <row r="16918">
      <c r="A16918" s="40">
        <f t="shared" si="1"/>
        <v>46013</v>
      </c>
      <c r="B16918" s="37" t="str">
        <f t="array" ref="B16918">iferror(xlookup($I16918, 'IMPORT VHC Report'!$E:$E, 'IMPORT VHC Report'!$A:$C), )</f>
        <v/>
      </c>
      <c r="C16918" s="44"/>
      <c r="D16918" s="44"/>
      <c r="E16918" s="46" t="s">
        <v>13129</v>
      </c>
      <c r="F16918" s="46" t="s">
        <v>7592</v>
      </c>
      <c r="H16918" s="46" t="s">
        <v>7593</v>
      </c>
      <c r="I16918" s="46" t="s">
        <v>7594</v>
      </c>
      <c r="J16918" s="46" t="s">
        <v>122</v>
      </c>
      <c r="K16918" s="46" t="s">
        <v>63</v>
      </c>
      <c r="L16918" s="45">
        <v>46017.916666666664</v>
      </c>
      <c r="M16918" s="46" t="s">
        <v>123</v>
      </c>
      <c r="N16918" s="45">
        <v>46018.291666666664</v>
      </c>
      <c r="O16918" s="46" t="s">
        <v>123</v>
      </c>
      <c r="P16918" s="46">
        <v>32400.0</v>
      </c>
    </row>
    <row r="16919">
      <c r="A16919" s="40">
        <f t="shared" si="1"/>
        <v>46013</v>
      </c>
      <c r="B16919" s="37" t="str">
        <f t="array" ref="B16919">iferror(xlookup($I16919, 'IMPORT VHC Report'!$E:$E, 'IMPORT VHC Report'!$A:$C), )</f>
        <v/>
      </c>
      <c r="C16919" s="44"/>
      <c r="D16919" s="44"/>
      <c r="E16919" s="46" t="s">
        <v>13130</v>
      </c>
      <c r="F16919" s="46" t="s">
        <v>7592</v>
      </c>
      <c r="H16919" s="46" t="s">
        <v>7593</v>
      </c>
      <c r="I16919" s="46" t="s">
        <v>7594</v>
      </c>
      <c r="J16919" s="46" t="s">
        <v>178</v>
      </c>
      <c r="K16919" s="46" t="s">
        <v>153</v>
      </c>
      <c r="L16919" s="45">
        <v>46017.916666666664</v>
      </c>
      <c r="M16919" s="46" t="s">
        <v>123</v>
      </c>
      <c r="N16919" s="45">
        <v>46018.291666666664</v>
      </c>
      <c r="O16919" s="46" t="s">
        <v>123</v>
      </c>
      <c r="P16919" s="46">
        <v>32400.0</v>
      </c>
      <c r="Q16919" s="46">
        <v>32400.0</v>
      </c>
    </row>
    <row r="16920">
      <c r="A16920" s="40">
        <f t="shared" si="1"/>
        <v>46013</v>
      </c>
      <c r="B16920" s="37" t="str">
        <f t="array" ref="B16920">iferror(xlookup($I16920, 'IMPORT VHC Report'!$E:$E, 'IMPORT VHC Report'!$A:$C), )</f>
        <v/>
      </c>
      <c r="C16920" s="44"/>
      <c r="D16920" s="44"/>
      <c r="E16920" s="46" t="s">
        <v>13131</v>
      </c>
      <c r="F16920" s="46" t="s">
        <v>7592</v>
      </c>
      <c r="H16920" s="46" t="s">
        <v>7593</v>
      </c>
      <c r="I16920" s="46" t="s">
        <v>7594</v>
      </c>
      <c r="J16920" s="46" t="s">
        <v>134</v>
      </c>
      <c r="K16920" s="46" t="s">
        <v>126</v>
      </c>
      <c r="L16920" s="45">
        <v>46018.072916666664</v>
      </c>
      <c r="M16920" s="46" t="s">
        <v>123</v>
      </c>
      <c r="N16920" s="45">
        <v>46018.09375</v>
      </c>
      <c r="O16920" s="46" t="s">
        <v>123</v>
      </c>
      <c r="P16920" s="46">
        <v>1800.0</v>
      </c>
    </row>
    <row r="16921">
      <c r="A16921" s="40">
        <f t="shared" si="1"/>
        <v>46013</v>
      </c>
      <c r="B16921" s="37" t="str">
        <f t="array" ref="B16921">iferror(xlookup($I16921, 'IMPORT VHC Report'!$E:$E, 'IMPORT VHC Report'!$A:$C), )</f>
        <v/>
      </c>
      <c r="C16921" s="44"/>
      <c r="D16921" s="44"/>
      <c r="E16921" s="46" t="s">
        <v>13132</v>
      </c>
      <c r="F16921" s="46" t="s">
        <v>7592</v>
      </c>
      <c r="H16921" s="46" t="s">
        <v>7593</v>
      </c>
      <c r="I16921" s="46" t="s">
        <v>7594</v>
      </c>
      <c r="J16921" s="46" t="s">
        <v>132</v>
      </c>
      <c r="K16921" s="46" t="s">
        <v>126</v>
      </c>
      <c r="L16921" s="45">
        <v>46018.25</v>
      </c>
      <c r="M16921" s="46" t="s">
        <v>123</v>
      </c>
      <c r="N16921" s="45">
        <v>46018.291666666664</v>
      </c>
      <c r="O16921" s="46" t="s">
        <v>123</v>
      </c>
      <c r="P16921" s="46">
        <v>3600.0</v>
      </c>
    </row>
    <row r="16922">
      <c r="A16922" s="40">
        <f t="shared" si="1"/>
        <v>46013</v>
      </c>
      <c r="B16922" s="37" t="str">
        <f t="array" ref="B16922">iferror(xlookup($I16922, 'IMPORT VHC Report'!$E:$E, 'IMPORT VHC Report'!$A:$C), )</f>
        <v/>
      </c>
      <c r="C16922" s="44"/>
      <c r="D16922" s="44"/>
      <c r="E16922" s="46" t="s">
        <v>13133</v>
      </c>
      <c r="F16922" s="46" t="s">
        <v>7592</v>
      </c>
      <c r="H16922" s="46" t="s">
        <v>7593</v>
      </c>
      <c r="I16922" s="46" t="s">
        <v>7594</v>
      </c>
      <c r="J16922" s="46" t="s">
        <v>125</v>
      </c>
      <c r="K16922" s="46" t="s">
        <v>126</v>
      </c>
      <c r="L16922" s="45">
        <v>46018.916666666664</v>
      </c>
      <c r="M16922" s="46" t="s">
        <v>123</v>
      </c>
      <c r="N16922" s="45">
        <v>46018.92361111111</v>
      </c>
      <c r="O16922" s="46" t="s">
        <v>123</v>
      </c>
      <c r="P16922" s="46">
        <v>600.0</v>
      </c>
      <c r="S16922" s="46" t="s">
        <v>127</v>
      </c>
    </row>
    <row r="16923">
      <c r="A16923" s="40">
        <f t="shared" si="1"/>
        <v>46013</v>
      </c>
      <c r="B16923" s="37" t="str">
        <f t="array" ref="B16923">iferror(xlookup($I16923, 'IMPORT VHC Report'!$E:$E, 'IMPORT VHC Report'!$A:$C), )</f>
        <v/>
      </c>
      <c r="C16923" s="44"/>
      <c r="D16923" s="44"/>
      <c r="E16923" s="46" t="s">
        <v>13134</v>
      </c>
      <c r="F16923" s="46" t="s">
        <v>7592</v>
      </c>
      <c r="H16923" s="46" t="s">
        <v>7593</v>
      </c>
      <c r="I16923" s="46" t="s">
        <v>7594</v>
      </c>
      <c r="J16923" s="46" t="s">
        <v>178</v>
      </c>
      <c r="K16923" s="46" t="s">
        <v>153</v>
      </c>
      <c r="L16923" s="45">
        <v>46018.916666666664</v>
      </c>
      <c r="M16923" s="46" t="s">
        <v>123</v>
      </c>
      <c r="N16923" s="45">
        <v>46019.291666666664</v>
      </c>
      <c r="O16923" s="46" t="s">
        <v>123</v>
      </c>
      <c r="P16923" s="46">
        <v>32400.0</v>
      </c>
      <c r="Q16923" s="46">
        <v>32400.0</v>
      </c>
    </row>
    <row r="16924">
      <c r="A16924" s="40">
        <f t="shared" si="1"/>
        <v>46013</v>
      </c>
      <c r="B16924" s="37" t="str">
        <f t="array" ref="B16924">iferror(xlookup($I16924, 'IMPORT VHC Report'!$E:$E, 'IMPORT VHC Report'!$A:$C), )</f>
        <v/>
      </c>
      <c r="C16924" s="44"/>
      <c r="D16924" s="44"/>
      <c r="E16924" s="46" t="s">
        <v>13135</v>
      </c>
      <c r="F16924" s="46" t="s">
        <v>7592</v>
      </c>
      <c r="H16924" s="46" t="s">
        <v>7593</v>
      </c>
      <c r="I16924" s="46" t="s">
        <v>7594</v>
      </c>
      <c r="J16924" s="46" t="s">
        <v>122</v>
      </c>
      <c r="K16924" s="46" t="s">
        <v>63</v>
      </c>
      <c r="L16924" s="45">
        <v>46018.916666666664</v>
      </c>
      <c r="M16924" s="46" t="s">
        <v>123</v>
      </c>
      <c r="N16924" s="45">
        <v>46019.291666666664</v>
      </c>
      <c r="O16924" s="46" t="s">
        <v>123</v>
      </c>
      <c r="P16924" s="46">
        <v>32400.0</v>
      </c>
    </row>
    <row r="16925">
      <c r="A16925" s="40">
        <f t="shared" si="1"/>
        <v>46013</v>
      </c>
      <c r="B16925" s="37" t="str">
        <f t="array" ref="B16925">iferror(xlookup($I16925, 'IMPORT VHC Report'!$E:$E, 'IMPORT VHC Report'!$A:$C), )</f>
        <v/>
      </c>
      <c r="C16925" s="44"/>
      <c r="D16925" s="44"/>
      <c r="E16925" s="46" t="s">
        <v>13136</v>
      </c>
      <c r="F16925" s="46" t="s">
        <v>7592</v>
      </c>
      <c r="H16925" s="46" t="s">
        <v>7593</v>
      </c>
      <c r="I16925" s="46" t="s">
        <v>7594</v>
      </c>
      <c r="J16925" s="46" t="s">
        <v>134</v>
      </c>
      <c r="K16925" s="46" t="s">
        <v>126</v>
      </c>
      <c r="L16925" s="45">
        <v>46019.083333333336</v>
      </c>
      <c r="M16925" s="46" t="s">
        <v>123</v>
      </c>
      <c r="N16925" s="45">
        <v>46019.104166666664</v>
      </c>
      <c r="O16925" s="46" t="s">
        <v>123</v>
      </c>
      <c r="P16925" s="46">
        <v>1800.0</v>
      </c>
    </row>
    <row r="16926">
      <c r="A16926" s="40">
        <f t="shared" si="1"/>
        <v>46013</v>
      </c>
      <c r="B16926" s="37" t="str">
        <f t="array" ref="B16926">iferror(xlookup($I16926, 'IMPORT VHC Report'!$E:$E, 'IMPORT VHC Report'!$A:$C), )</f>
        <v/>
      </c>
      <c r="C16926" s="44"/>
      <c r="D16926" s="44"/>
      <c r="E16926" s="46" t="s">
        <v>13137</v>
      </c>
      <c r="F16926" s="46" t="s">
        <v>7592</v>
      </c>
      <c r="H16926" s="46" t="s">
        <v>7593</v>
      </c>
      <c r="I16926" s="46" t="s">
        <v>7594</v>
      </c>
      <c r="J16926" s="46" t="s">
        <v>132</v>
      </c>
      <c r="K16926" s="46" t="s">
        <v>126</v>
      </c>
      <c r="L16926" s="45">
        <v>46019.25</v>
      </c>
      <c r="M16926" s="46" t="s">
        <v>123</v>
      </c>
      <c r="N16926" s="45">
        <v>46019.291666666664</v>
      </c>
      <c r="O16926" s="46" t="s">
        <v>123</v>
      </c>
      <c r="P16926" s="46">
        <v>3600.0</v>
      </c>
    </row>
    <row r="16927">
      <c r="A16927" s="40">
        <f t="shared" si="1"/>
        <v>46006</v>
      </c>
      <c r="B16927" s="37" t="str">
        <f t="array" ref="B16927">iferror(xlookup($I16927, 'IMPORT VHC Report'!$E:$E, 'IMPORT VHC Report'!$A:$C), )</f>
        <v/>
      </c>
      <c r="C16927" s="44"/>
      <c r="D16927" s="44"/>
      <c r="E16927" s="46" t="s">
        <v>187</v>
      </c>
      <c r="F16927" s="46" t="s">
        <v>158</v>
      </c>
      <c r="G16927" s="46">
        <v>5.729839272719E12</v>
      </c>
      <c r="H16927" s="46" t="s">
        <v>159</v>
      </c>
      <c r="I16927" s="46" t="s">
        <v>160</v>
      </c>
      <c r="J16927" s="46" t="s">
        <v>161</v>
      </c>
      <c r="K16927" s="46" t="s">
        <v>63</v>
      </c>
      <c r="L16927" s="45">
        <v>46012.708333333336</v>
      </c>
      <c r="M16927" s="46" t="s">
        <v>123</v>
      </c>
      <c r="N16927" s="45">
        <v>46013.083333333336</v>
      </c>
      <c r="O16927" s="46" t="s">
        <v>123</v>
      </c>
      <c r="P16927" s="46">
        <v>32400.0</v>
      </c>
    </row>
    <row r="16928">
      <c r="A16928" s="40">
        <f t="shared" si="1"/>
        <v>46013</v>
      </c>
      <c r="B16928" s="37" t="str">
        <f t="array" ref="B16928">iferror(xlookup($I16928, 'IMPORT VHC Report'!$E:$E, 'IMPORT VHC Report'!$A:$C), )</f>
        <v/>
      </c>
      <c r="C16928" s="44"/>
      <c r="D16928" s="44"/>
      <c r="E16928" s="46" t="s">
        <v>13138</v>
      </c>
      <c r="F16928" s="46" t="s">
        <v>158</v>
      </c>
      <c r="G16928" s="46">
        <v>5.729839272719E12</v>
      </c>
      <c r="H16928" s="46" t="s">
        <v>159</v>
      </c>
      <c r="I16928" s="46" t="s">
        <v>160</v>
      </c>
      <c r="J16928" s="46" t="s">
        <v>161</v>
      </c>
      <c r="K16928" s="46" t="s">
        <v>63</v>
      </c>
      <c r="L16928" s="45">
        <v>46013.708333333336</v>
      </c>
      <c r="M16928" s="46" t="s">
        <v>123</v>
      </c>
      <c r="N16928" s="45">
        <v>46014.083333333336</v>
      </c>
      <c r="O16928" s="46" t="s">
        <v>123</v>
      </c>
      <c r="P16928" s="46">
        <v>32400.0</v>
      </c>
    </row>
    <row r="16929">
      <c r="A16929" s="40">
        <f t="shared" si="1"/>
        <v>46013</v>
      </c>
      <c r="B16929" s="37" t="str">
        <f t="array" ref="B16929">iferror(xlookup($I16929, 'IMPORT VHC Report'!$E:$E, 'IMPORT VHC Report'!$A:$C), )</f>
        <v/>
      </c>
      <c r="C16929" s="44"/>
      <c r="D16929" s="44"/>
      <c r="E16929" s="46" t="s">
        <v>13139</v>
      </c>
      <c r="F16929" s="46" t="s">
        <v>158</v>
      </c>
      <c r="G16929" s="46">
        <v>5.729839272719E12</v>
      </c>
      <c r="H16929" s="46" t="s">
        <v>159</v>
      </c>
      <c r="I16929" s="46" t="s">
        <v>160</v>
      </c>
      <c r="J16929" s="46" t="s">
        <v>134</v>
      </c>
      <c r="K16929" s="46" t="s">
        <v>126</v>
      </c>
      <c r="L16929" s="45">
        <v>46013.78125</v>
      </c>
      <c r="M16929" s="46" t="s">
        <v>123</v>
      </c>
      <c r="N16929" s="45">
        <v>46013.791666666664</v>
      </c>
      <c r="O16929" s="46" t="s">
        <v>123</v>
      </c>
      <c r="P16929" s="46">
        <v>900.0</v>
      </c>
    </row>
    <row r="16930">
      <c r="A16930" s="40">
        <f t="shared" si="1"/>
        <v>46013</v>
      </c>
      <c r="B16930" s="37" t="str">
        <f t="array" ref="B16930">iferror(xlookup($I16930, 'IMPORT VHC Report'!$E:$E, 'IMPORT VHC Report'!$A:$C), )</f>
        <v/>
      </c>
      <c r="C16930" s="44"/>
      <c r="D16930" s="44"/>
      <c r="E16930" s="46" t="s">
        <v>13140</v>
      </c>
      <c r="F16930" s="46" t="s">
        <v>158</v>
      </c>
      <c r="G16930" s="46">
        <v>5.729839272719E12</v>
      </c>
      <c r="H16930" s="46" t="s">
        <v>159</v>
      </c>
      <c r="I16930" s="46" t="s">
        <v>160</v>
      </c>
      <c r="J16930" s="46" t="s">
        <v>134</v>
      </c>
      <c r="K16930" s="46" t="s">
        <v>126</v>
      </c>
      <c r="L16930" s="45">
        <v>46013.90625</v>
      </c>
      <c r="M16930" s="46" t="s">
        <v>123</v>
      </c>
      <c r="N16930" s="45">
        <v>46013.916666666664</v>
      </c>
      <c r="O16930" s="46" t="s">
        <v>123</v>
      </c>
      <c r="P16930" s="46">
        <v>900.0</v>
      </c>
    </row>
    <row r="16931">
      <c r="A16931" s="40">
        <f t="shared" si="1"/>
        <v>46013</v>
      </c>
      <c r="B16931" s="37" t="str">
        <f t="array" ref="B16931">iferror(xlookup($I16931, 'IMPORT VHC Report'!$E:$E, 'IMPORT VHC Report'!$A:$C), )</f>
        <v/>
      </c>
      <c r="C16931" s="44"/>
      <c r="D16931" s="44"/>
      <c r="E16931" s="46" t="s">
        <v>13141</v>
      </c>
      <c r="F16931" s="46" t="s">
        <v>158</v>
      </c>
      <c r="G16931" s="46">
        <v>5.729839272719E12</v>
      </c>
      <c r="H16931" s="46" t="s">
        <v>159</v>
      </c>
      <c r="I16931" s="46" t="s">
        <v>160</v>
      </c>
      <c r="J16931" s="46" t="s">
        <v>132</v>
      </c>
      <c r="K16931" s="46" t="s">
        <v>126</v>
      </c>
      <c r="L16931" s="45">
        <v>46013.96875</v>
      </c>
      <c r="M16931" s="46" t="s">
        <v>123</v>
      </c>
      <c r="N16931" s="45">
        <v>46014.010416666664</v>
      </c>
      <c r="O16931" s="46" t="s">
        <v>123</v>
      </c>
      <c r="P16931" s="46">
        <v>3600.0</v>
      </c>
    </row>
    <row r="16932">
      <c r="A16932" s="40">
        <f t="shared" si="1"/>
        <v>46013</v>
      </c>
      <c r="B16932" s="37" t="str">
        <f t="array" ref="B16932">iferror(xlookup($I16932, 'IMPORT VHC Report'!$E:$E, 'IMPORT VHC Report'!$A:$C), )</f>
        <v/>
      </c>
      <c r="C16932" s="44"/>
      <c r="D16932" s="44"/>
      <c r="E16932" s="46" t="s">
        <v>13142</v>
      </c>
      <c r="F16932" s="46" t="s">
        <v>158</v>
      </c>
      <c r="G16932" s="46">
        <v>5.729839272719E12</v>
      </c>
      <c r="H16932" s="46" t="s">
        <v>159</v>
      </c>
      <c r="I16932" s="46" t="s">
        <v>160</v>
      </c>
      <c r="J16932" s="46" t="s">
        <v>161</v>
      </c>
      <c r="K16932" s="46" t="s">
        <v>63</v>
      </c>
      <c r="L16932" s="45">
        <v>46014.708333333336</v>
      </c>
      <c r="M16932" s="46" t="s">
        <v>123</v>
      </c>
      <c r="N16932" s="45">
        <v>46015.083333333336</v>
      </c>
      <c r="O16932" s="46" t="s">
        <v>123</v>
      </c>
      <c r="P16932" s="46">
        <v>32400.0</v>
      </c>
    </row>
    <row r="16933">
      <c r="A16933" s="40">
        <f t="shared" si="1"/>
        <v>46013</v>
      </c>
      <c r="B16933" s="37" t="str">
        <f t="array" ref="B16933">iferror(xlookup($I16933, 'IMPORT VHC Report'!$E:$E, 'IMPORT VHC Report'!$A:$C), )</f>
        <v/>
      </c>
      <c r="C16933" s="44"/>
      <c r="D16933" s="44"/>
      <c r="E16933" s="46" t="s">
        <v>13143</v>
      </c>
      <c r="F16933" s="46" t="s">
        <v>158</v>
      </c>
      <c r="G16933" s="46">
        <v>5.729839272719E12</v>
      </c>
      <c r="H16933" s="46" t="s">
        <v>159</v>
      </c>
      <c r="I16933" s="46" t="s">
        <v>160</v>
      </c>
      <c r="J16933" s="46" t="s">
        <v>134</v>
      </c>
      <c r="K16933" s="46" t="s">
        <v>126</v>
      </c>
      <c r="L16933" s="45">
        <v>46014.864583333336</v>
      </c>
      <c r="M16933" s="46" t="s">
        <v>123</v>
      </c>
      <c r="N16933" s="45">
        <v>46014.875</v>
      </c>
      <c r="O16933" s="46" t="s">
        <v>123</v>
      </c>
      <c r="P16933" s="46">
        <v>900.0</v>
      </c>
    </row>
    <row r="16934">
      <c r="A16934" s="40">
        <f t="shared" si="1"/>
        <v>46013</v>
      </c>
      <c r="B16934" s="37" t="str">
        <f t="array" ref="B16934">iferror(xlookup($I16934, 'IMPORT VHC Report'!$E:$E, 'IMPORT VHC Report'!$A:$C), )</f>
        <v/>
      </c>
      <c r="C16934" s="44"/>
      <c r="D16934" s="44"/>
      <c r="E16934" s="46" t="s">
        <v>13144</v>
      </c>
      <c r="F16934" s="46" t="s">
        <v>158</v>
      </c>
      <c r="G16934" s="46">
        <v>5.729839272719E12</v>
      </c>
      <c r="H16934" s="46" t="s">
        <v>159</v>
      </c>
      <c r="I16934" s="46" t="s">
        <v>160</v>
      </c>
      <c r="J16934" s="46" t="s">
        <v>134</v>
      </c>
      <c r="K16934" s="46" t="s">
        <v>126</v>
      </c>
      <c r="L16934" s="45">
        <v>46014.96875</v>
      </c>
      <c r="M16934" s="46" t="s">
        <v>123</v>
      </c>
      <c r="N16934" s="45">
        <v>46014.979166666664</v>
      </c>
      <c r="O16934" s="46" t="s">
        <v>123</v>
      </c>
      <c r="P16934" s="46">
        <v>900.0</v>
      </c>
    </row>
    <row r="16935">
      <c r="A16935" s="40">
        <f t="shared" si="1"/>
        <v>46013</v>
      </c>
      <c r="B16935" s="37" t="str">
        <f t="array" ref="B16935">iferror(xlookup($I16935, 'IMPORT VHC Report'!$E:$E, 'IMPORT VHC Report'!$A:$C), )</f>
        <v/>
      </c>
      <c r="C16935" s="44"/>
      <c r="D16935" s="44"/>
      <c r="E16935" s="46" t="s">
        <v>13145</v>
      </c>
      <c r="F16935" s="46" t="s">
        <v>158</v>
      </c>
      <c r="G16935" s="46">
        <v>5.729839272719E12</v>
      </c>
      <c r="H16935" s="46" t="s">
        <v>159</v>
      </c>
      <c r="I16935" s="46" t="s">
        <v>160</v>
      </c>
      <c r="J16935" s="46" t="s">
        <v>132</v>
      </c>
      <c r="K16935" s="46" t="s">
        <v>126</v>
      </c>
      <c r="L16935" s="45">
        <v>46015.0</v>
      </c>
      <c r="M16935" s="46" t="s">
        <v>123</v>
      </c>
      <c r="N16935" s="45">
        <v>46015.041666666664</v>
      </c>
      <c r="O16935" s="46" t="s">
        <v>123</v>
      </c>
      <c r="P16935" s="46">
        <v>3600.0</v>
      </c>
    </row>
    <row r="16936">
      <c r="A16936" s="40">
        <f t="shared" si="1"/>
        <v>46013</v>
      </c>
      <c r="B16936" s="37" t="str">
        <f t="array" ref="B16936">iferror(xlookup($I16936, 'IMPORT VHC Report'!$E:$E, 'IMPORT VHC Report'!$A:$C), )</f>
        <v/>
      </c>
      <c r="C16936" s="44"/>
      <c r="D16936" s="44"/>
      <c r="E16936" s="46" t="s">
        <v>13146</v>
      </c>
      <c r="F16936" s="46" t="s">
        <v>158</v>
      </c>
      <c r="G16936" s="46">
        <v>5.729839272719E12</v>
      </c>
      <c r="H16936" s="46" t="s">
        <v>159</v>
      </c>
      <c r="I16936" s="46" t="s">
        <v>160</v>
      </c>
      <c r="J16936" s="46" t="s">
        <v>136</v>
      </c>
      <c r="K16936" s="46" t="s">
        <v>126</v>
      </c>
      <c r="L16936" s="45">
        <v>46015.708333333336</v>
      </c>
      <c r="M16936" s="46" t="s">
        <v>123</v>
      </c>
      <c r="N16936" s="45">
        <v>46015.75</v>
      </c>
      <c r="O16936" s="46" t="s">
        <v>123</v>
      </c>
      <c r="P16936" s="46">
        <v>3600.0</v>
      </c>
      <c r="S16936" s="46" t="s">
        <v>175</v>
      </c>
    </row>
    <row r="16937">
      <c r="A16937" s="40">
        <f t="shared" si="1"/>
        <v>46013</v>
      </c>
      <c r="B16937" s="37" t="str">
        <f t="array" ref="B16937">iferror(xlookup($I16937, 'IMPORT VHC Report'!$E:$E, 'IMPORT VHC Report'!$A:$C), )</f>
        <v/>
      </c>
      <c r="C16937" s="44"/>
      <c r="D16937" s="44"/>
      <c r="E16937" s="46" t="s">
        <v>13147</v>
      </c>
      <c r="F16937" s="46" t="s">
        <v>158</v>
      </c>
      <c r="G16937" s="46">
        <v>5.729839272719E12</v>
      </c>
      <c r="H16937" s="46" t="s">
        <v>159</v>
      </c>
      <c r="I16937" s="46" t="s">
        <v>160</v>
      </c>
      <c r="J16937" s="46" t="s">
        <v>178</v>
      </c>
      <c r="K16937" s="46" t="s">
        <v>153</v>
      </c>
      <c r="L16937" s="45">
        <v>46015.708333333336</v>
      </c>
      <c r="M16937" s="46" t="s">
        <v>123</v>
      </c>
      <c r="N16937" s="45">
        <v>46016.083333333336</v>
      </c>
      <c r="O16937" s="46" t="s">
        <v>123</v>
      </c>
      <c r="P16937" s="46">
        <v>32400.0</v>
      </c>
      <c r="Q16937" s="46">
        <v>28800.0</v>
      </c>
    </row>
    <row r="16938">
      <c r="A16938" s="40">
        <f t="shared" si="1"/>
        <v>46013</v>
      </c>
      <c r="B16938" s="37" t="str">
        <f t="array" ref="B16938">iferror(xlookup($I16938, 'IMPORT VHC Report'!$E:$E, 'IMPORT VHC Report'!$A:$C), )</f>
        <v/>
      </c>
      <c r="C16938" s="44"/>
      <c r="D16938" s="44"/>
      <c r="E16938" s="46" t="s">
        <v>13148</v>
      </c>
      <c r="F16938" s="46" t="s">
        <v>158</v>
      </c>
      <c r="G16938" s="46">
        <v>5.729839272719E12</v>
      </c>
      <c r="H16938" s="46" t="s">
        <v>159</v>
      </c>
      <c r="I16938" s="46" t="s">
        <v>160</v>
      </c>
      <c r="J16938" s="46" t="s">
        <v>161</v>
      </c>
      <c r="K16938" s="46" t="s">
        <v>63</v>
      </c>
      <c r="L16938" s="45">
        <v>46015.708333333336</v>
      </c>
      <c r="M16938" s="46" t="s">
        <v>123</v>
      </c>
      <c r="N16938" s="45">
        <v>46016.083333333336</v>
      </c>
      <c r="O16938" s="46" t="s">
        <v>123</v>
      </c>
      <c r="P16938" s="46">
        <v>32400.0</v>
      </c>
    </row>
    <row r="16939">
      <c r="A16939" s="40">
        <f t="shared" si="1"/>
        <v>46013</v>
      </c>
      <c r="B16939" s="37" t="str">
        <f t="array" ref="B16939">iferror(xlookup($I16939, 'IMPORT VHC Report'!$E:$E, 'IMPORT VHC Report'!$A:$C), )</f>
        <v/>
      </c>
      <c r="C16939" s="44"/>
      <c r="D16939" s="44"/>
      <c r="E16939" s="46" t="s">
        <v>13149</v>
      </c>
      <c r="F16939" s="46" t="s">
        <v>158</v>
      </c>
      <c r="G16939" s="46">
        <v>5.729839272719E12</v>
      </c>
      <c r="H16939" s="46" t="s">
        <v>159</v>
      </c>
      <c r="I16939" s="46" t="s">
        <v>160</v>
      </c>
      <c r="J16939" s="46" t="s">
        <v>134</v>
      </c>
      <c r="K16939" s="46" t="s">
        <v>126</v>
      </c>
      <c r="L16939" s="45">
        <v>46015.833333333336</v>
      </c>
      <c r="M16939" s="46" t="s">
        <v>123</v>
      </c>
      <c r="N16939" s="45">
        <v>46015.84375</v>
      </c>
      <c r="O16939" s="46" t="s">
        <v>123</v>
      </c>
      <c r="P16939" s="46">
        <v>900.0</v>
      </c>
    </row>
    <row r="16940">
      <c r="A16940" s="40">
        <f t="shared" si="1"/>
        <v>46013</v>
      </c>
      <c r="B16940" s="37" t="str">
        <f t="array" ref="B16940">iferror(xlookup($I16940, 'IMPORT VHC Report'!$E:$E, 'IMPORT VHC Report'!$A:$C), )</f>
        <v/>
      </c>
      <c r="C16940" s="44"/>
      <c r="D16940" s="44"/>
      <c r="E16940" s="46" t="s">
        <v>13150</v>
      </c>
      <c r="F16940" s="46" t="s">
        <v>158</v>
      </c>
      <c r="G16940" s="46">
        <v>5.729839272719E12</v>
      </c>
      <c r="H16940" s="46" t="s">
        <v>159</v>
      </c>
      <c r="I16940" s="46" t="s">
        <v>160</v>
      </c>
      <c r="J16940" s="46" t="s">
        <v>134</v>
      </c>
      <c r="K16940" s="46" t="s">
        <v>126</v>
      </c>
      <c r="L16940" s="45">
        <v>46015.916666666664</v>
      </c>
      <c r="M16940" s="46" t="s">
        <v>123</v>
      </c>
      <c r="N16940" s="45">
        <v>46015.927083333336</v>
      </c>
      <c r="O16940" s="46" t="s">
        <v>123</v>
      </c>
      <c r="P16940" s="46">
        <v>900.0</v>
      </c>
    </row>
    <row r="16941">
      <c r="A16941" s="40">
        <f t="shared" si="1"/>
        <v>46013</v>
      </c>
      <c r="B16941" s="37" t="str">
        <f t="array" ref="B16941">iferror(xlookup($I16941, 'IMPORT VHC Report'!$E:$E, 'IMPORT VHC Report'!$A:$C), )</f>
        <v/>
      </c>
      <c r="C16941" s="44"/>
      <c r="D16941" s="44"/>
      <c r="E16941" s="46" t="s">
        <v>13151</v>
      </c>
      <c r="F16941" s="46" t="s">
        <v>158</v>
      </c>
      <c r="G16941" s="46">
        <v>5.729839272719E12</v>
      </c>
      <c r="H16941" s="46" t="s">
        <v>159</v>
      </c>
      <c r="I16941" s="46" t="s">
        <v>160</v>
      </c>
      <c r="J16941" s="46" t="s">
        <v>132</v>
      </c>
      <c r="K16941" s="46" t="s">
        <v>126</v>
      </c>
      <c r="L16941" s="45">
        <v>46015.958333333336</v>
      </c>
      <c r="M16941" s="46" t="s">
        <v>123</v>
      </c>
      <c r="N16941" s="45">
        <v>46016.0</v>
      </c>
      <c r="O16941" s="46" t="s">
        <v>123</v>
      </c>
      <c r="P16941" s="46">
        <v>3600.0</v>
      </c>
    </row>
    <row r="16942">
      <c r="A16942" s="40">
        <f t="shared" si="1"/>
        <v>46013</v>
      </c>
      <c r="B16942" s="37" t="str">
        <f t="array" ref="B16942">iferror(xlookup($I16942, 'IMPORT VHC Report'!$E:$E, 'IMPORT VHC Report'!$A:$C), )</f>
        <v/>
      </c>
      <c r="C16942" s="44"/>
      <c r="D16942" s="44"/>
      <c r="E16942" s="46" t="s">
        <v>13152</v>
      </c>
      <c r="F16942" s="46" t="s">
        <v>158</v>
      </c>
      <c r="G16942" s="46">
        <v>5.729839272719E12</v>
      </c>
      <c r="H16942" s="46" t="s">
        <v>159</v>
      </c>
      <c r="I16942" s="46" t="s">
        <v>160</v>
      </c>
      <c r="J16942" s="46" t="s">
        <v>161</v>
      </c>
      <c r="K16942" s="46" t="s">
        <v>63</v>
      </c>
      <c r="L16942" s="45">
        <v>46016.708333333336</v>
      </c>
      <c r="M16942" s="46" t="s">
        <v>123</v>
      </c>
      <c r="N16942" s="45">
        <v>46017.083333333336</v>
      </c>
      <c r="O16942" s="46" t="s">
        <v>123</v>
      </c>
      <c r="P16942" s="46">
        <v>32400.0</v>
      </c>
    </row>
    <row r="16943">
      <c r="A16943" s="40">
        <f t="shared" si="1"/>
        <v>46013</v>
      </c>
      <c r="B16943" s="37" t="str">
        <f t="array" ref="B16943">iferror(xlookup($I16943, 'IMPORT VHC Report'!$E:$E, 'IMPORT VHC Report'!$A:$C), )</f>
        <v/>
      </c>
      <c r="C16943" s="44"/>
      <c r="D16943" s="44"/>
      <c r="E16943" s="46" t="s">
        <v>13153</v>
      </c>
      <c r="F16943" s="46" t="s">
        <v>158</v>
      </c>
      <c r="G16943" s="46">
        <v>5.729839272719E12</v>
      </c>
      <c r="H16943" s="46" t="s">
        <v>159</v>
      </c>
      <c r="I16943" s="46" t="s">
        <v>160</v>
      </c>
      <c r="J16943" s="46" t="s">
        <v>134</v>
      </c>
      <c r="K16943" s="46" t="s">
        <v>126</v>
      </c>
      <c r="L16943" s="45">
        <v>46016.864583333336</v>
      </c>
      <c r="M16943" s="46" t="s">
        <v>123</v>
      </c>
      <c r="N16943" s="45">
        <v>46016.875</v>
      </c>
      <c r="O16943" s="46" t="s">
        <v>123</v>
      </c>
      <c r="P16943" s="46">
        <v>900.0</v>
      </c>
    </row>
    <row r="16944">
      <c r="A16944" s="40">
        <f t="shared" si="1"/>
        <v>46013</v>
      </c>
      <c r="B16944" s="37" t="str">
        <f t="array" ref="B16944">iferror(xlookup($I16944, 'IMPORT VHC Report'!$E:$E, 'IMPORT VHC Report'!$A:$C), )</f>
        <v/>
      </c>
      <c r="C16944" s="44"/>
      <c r="D16944" s="44"/>
      <c r="E16944" s="46" t="s">
        <v>13154</v>
      </c>
      <c r="F16944" s="46" t="s">
        <v>158</v>
      </c>
      <c r="G16944" s="46">
        <v>5.729839272719E12</v>
      </c>
      <c r="H16944" s="46" t="s">
        <v>159</v>
      </c>
      <c r="I16944" s="46" t="s">
        <v>160</v>
      </c>
      <c r="J16944" s="46" t="s">
        <v>134</v>
      </c>
      <c r="K16944" s="46" t="s">
        <v>126</v>
      </c>
      <c r="L16944" s="45">
        <v>46016.927083333336</v>
      </c>
      <c r="M16944" s="46" t="s">
        <v>123</v>
      </c>
      <c r="N16944" s="45">
        <v>46016.9375</v>
      </c>
      <c r="O16944" s="46" t="s">
        <v>123</v>
      </c>
      <c r="P16944" s="46">
        <v>900.0</v>
      </c>
    </row>
    <row r="16945">
      <c r="A16945" s="40">
        <f t="shared" si="1"/>
        <v>46013</v>
      </c>
      <c r="B16945" s="37" t="str">
        <f t="array" ref="B16945">iferror(xlookup($I16945, 'IMPORT VHC Report'!$E:$E, 'IMPORT VHC Report'!$A:$C), )</f>
        <v/>
      </c>
      <c r="C16945" s="44"/>
      <c r="D16945" s="44"/>
      <c r="E16945" s="46" t="s">
        <v>13155</v>
      </c>
      <c r="F16945" s="46" t="s">
        <v>158</v>
      </c>
      <c r="G16945" s="46">
        <v>5.729839272719E12</v>
      </c>
      <c r="H16945" s="46" t="s">
        <v>159</v>
      </c>
      <c r="I16945" s="46" t="s">
        <v>160</v>
      </c>
      <c r="J16945" s="46" t="s">
        <v>132</v>
      </c>
      <c r="K16945" s="46" t="s">
        <v>126</v>
      </c>
      <c r="L16945" s="45">
        <v>46016.979166666664</v>
      </c>
      <c r="M16945" s="46" t="s">
        <v>123</v>
      </c>
      <c r="N16945" s="45">
        <v>46017.020833333336</v>
      </c>
      <c r="O16945" s="46" t="s">
        <v>123</v>
      </c>
      <c r="P16945" s="46">
        <v>3600.0</v>
      </c>
    </row>
    <row r="16946">
      <c r="A16946" s="40">
        <f t="shared" si="1"/>
        <v>46013</v>
      </c>
      <c r="B16946" s="37" t="str">
        <f t="array" ref="B16946">iferror(xlookup($I16946, 'IMPORT VHC Report'!$E:$E, 'IMPORT VHC Report'!$A:$C), )</f>
        <v/>
      </c>
      <c r="C16946" s="44"/>
      <c r="D16946" s="44"/>
      <c r="E16946" s="46" t="s">
        <v>13156</v>
      </c>
      <c r="F16946" s="46" t="s">
        <v>158</v>
      </c>
      <c r="G16946" s="46">
        <v>5.729839272719E12</v>
      </c>
      <c r="H16946" s="46" t="s">
        <v>159</v>
      </c>
      <c r="I16946" s="46" t="s">
        <v>160</v>
      </c>
      <c r="J16946" s="46" t="s">
        <v>161</v>
      </c>
      <c r="K16946" s="46" t="s">
        <v>63</v>
      </c>
      <c r="L16946" s="45">
        <v>46019.708333333336</v>
      </c>
      <c r="M16946" s="46" t="s">
        <v>123</v>
      </c>
      <c r="N16946" s="45">
        <v>46020.020833333336</v>
      </c>
      <c r="O16946" s="46" t="s">
        <v>123</v>
      </c>
      <c r="P16946" s="46">
        <v>27000.0</v>
      </c>
    </row>
    <row r="16947">
      <c r="A16947" s="40">
        <f t="shared" si="1"/>
        <v>46013</v>
      </c>
      <c r="B16947" s="37" t="str">
        <f t="array" ref="B16947">iferror(xlookup($I16947, 'IMPORT VHC Report'!$E:$E, 'IMPORT VHC Report'!$A:$C), )</f>
        <v/>
      </c>
      <c r="C16947" s="44"/>
      <c r="D16947" s="44"/>
      <c r="E16947" s="46" t="s">
        <v>13157</v>
      </c>
      <c r="F16947" s="46" t="s">
        <v>158</v>
      </c>
      <c r="G16947" s="46">
        <v>5.729839272719E12</v>
      </c>
      <c r="H16947" s="46" t="s">
        <v>159</v>
      </c>
      <c r="I16947" s="46" t="s">
        <v>160</v>
      </c>
      <c r="J16947" s="46" t="s">
        <v>134</v>
      </c>
      <c r="K16947" s="46" t="s">
        <v>126</v>
      </c>
      <c r="L16947" s="45">
        <v>46019.854166666664</v>
      </c>
      <c r="M16947" s="46" t="s">
        <v>123</v>
      </c>
      <c r="N16947" s="45">
        <v>46019.864583333336</v>
      </c>
      <c r="O16947" s="46" t="s">
        <v>123</v>
      </c>
      <c r="P16947" s="46">
        <v>900.0</v>
      </c>
    </row>
    <row r="16948">
      <c r="A16948" s="40">
        <f t="shared" si="1"/>
        <v>46013</v>
      </c>
      <c r="B16948" s="37" t="str">
        <f t="array" ref="B16948">iferror(xlookup($I16948, 'IMPORT VHC Report'!$E:$E, 'IMPORT VHC Report'!$A:$C), )</f>
        <v/>
      </c>
      <c r="C16948" s="44"/>
      <c r="D16948" s="44"/>
      <c r="E16948" s="46" t="s">
        <v>13158</v>
      </c>
      <c r="F16948" s="46" t="s">
        <v>158</v>
      </c>
      <c r="G16948" s="46">
        <v>5.729839272719E12</v>
      </c>
      <c r="H16948" s="46" t="s">
        <v>159</v>
      </c>
      <c r="I16948" s="46" t="s">
        <v>160</v>
      </c>
      <c r="J16948" s="46" t="s">
        <v>134</v>
      </c>
      <c r="K16948" s="46" t="s">
        <v>126</v>
      </c>
      <c r="L16948" s="45">
        <v>46019.916666666664</v>
      </c>
      <c r="M16948" s="46" t="s">
        <v>123</v>
      </c>
      <c r="N16948" s="45">
        <v>46019.927083333336</v>
      </c>
      <c r="O16948" s="46" t="s">
        <v>123</v>
      </c>
      <c r="P16948" s="46">
        <v>900.0</v>
      </c>
    </row>
    <row r="16949">
      <c r="A16949" s="40">
        <f t="shared" si="1"/>
        <v>46013</v>
      </c>
      <c r="B16949" s="37" t="str">
        <f t="array" ref="B16949">iferror(xlookup($I16949, 'IMPORT VHC Report'!$E:$E, 'IMPORT VHC Report'!$A:$C), )</f>
        <v/>
      </c>
      <c r="C16949" s="44"/>
      <c r="D16949" s="44"/>
      <c r="E16949" s="46" t="s">
        <v>13159</v>
      </c>
      <c r="F16949" s="46" t="s">
        <v>158</v>
      </c>
      <c r="G16949" s="46">
        <v>5.729839272719E12</v>
      </c>
      <c r="H16949" s="46" t="s">
        <v>159</v>
      </c>
      <c r="I16949" s="46" t="s">
        <v>160</v>
      </c>
      <c r="J16949" s="46" t="s">
        <v>132</v>
      </c>
      <c r="K16949" s="46" t="s">
        <v>126</v>
      </c>
      <c r="L16949" s="45">
        <v>46019.979166666664</v>
      </c>
      <c r="M16949" s="46" t="s">
        <v>123</v>
      </c>
      <c r="N16949" s="45">
        <v>46020.020833333336</v>
      </c>
      <c r="O16949" s="46" t="s">
        <v>123</v>
      </c>
      <c r="P16949" s="46">
        <v>3600.0</v>
      </c>
    </row>
    <row r="16950">
      <c r="A16950" s="40">
        <f t="shared" si="1"/>
        <v>46013</v>
      </c>
      <c r="B16950" s="37" t="str">
        <f t="array" ref="B16950">iferror(xlookup($I16950, 'IMPORT VHC Report'!$E:$E, 'IMPORT VHC Report'!$A:$C), )</f>
        <v/>
      </c>
      <c r="C16950" s="44"/>
      <c r="D16950" s="44"/>
      <c r="E16950" s="46" t="s">
        <v>13160</v>
      </c>
      <c r="F16950" s="46" t="s">
        <v>4660</v>
      </c>
      <c r="G16950" s="46">
        <v>5.566867981071E12</v>
      </c>
      <c r="H16950" s="46" t="s">
        <v>4661</v>
      </c>
      <c r="I16950" s="46" t="s">
        <v>4662</v>
      </c>
      <c r="J16950" s="46" t="s">
        <v>161</v>
      </c>
      <c r="K16950" s="46" t="s">
        <v>63</v>
      </c>
      <c r="L16950" s="45">
        <v>46013.625</v>
      </c>
      <c r="M16950" s="46" t="s">
        <v>123</v>
      </c>
      <c r="N16950" s="45">
        <v>46014.0</v>
      </c>
      <c r="O16950" s="46" t="s">
        <v>123</v>
      </c>
      <c r="P16950" s="46">
        <v>32400.0</v>
      </c>
    </row>
    <row r="16951">
      <c r="A16951" s="40">
        <f t="shared" si="1"/>
        <v>46013</v>
      </c>
      <c r="B16951" s="37" t="str">
        <f t="array" ref="B16951">iferror(xlookup($I16951, 'IMPORT VHC Report'!$E:$E, 'IMPORT VHC Report'!$A:$C), )</f>
        <v/>
      </c>
      <c r="C16951" s="44"/>
      <c r="D16951" s="44"/>
      <c r="E16951" s="46" t="s">
        <v>13161</v>
      </c>
      <c r="F16951" s="46" t="s">
        <v>4660</v>
      </c>
      <c r="G16951" s="46">
        <v>5.566867981071E12</v>
      </c>
      <c r="H16951" s="46" t="s">
        <v>4661</v>
      </c>
      <c r="I16951" s="46" t="s">
        <v>4662</v>
      </c>
      <c r="J16951" s="46" t="s">
        <v>132</v>
      </c>
      <c r="K16951" s="46" t="s">
        <v>126</v>
      </c>
      <c r="L16951" s="45">
        <v>46013.729166666664</v>
      </c>
      <c r="M16951" s="46" t="s">
        <v>123</v>
      </c>
      <c r="N16951" s="45">
        <v>46013.770833333336</v>
      </c>
      <c r="O16951" s="46" t="s">
        <v>123</v>
      </c>
      <c r="P16951" s="46">
        <v>3600.0</v>
      </c>
    </row>
    <row r="16952">
      <c r="A16952" s="40">
        <f t="shared" si="1"/>
        <v>46013</v>
      </c>
      <c r="B16952" s="37" t="str">
        <f t="array" ref="B16952">iferror(xlookup($I16952, 'IMPORT VHC Report'!$E:$E, 'IMPORT VHC Report'!$A:$C), )</f>
        <v/>
      </c>
      <c r="C16952" s="44"/>
      <c r="D16952" s="44"/>
      <c r="E16952" s="46" t="s">
        <v>13162</v>
      </c>
      <c r="F16952" s="46" t="s">
        <v>4660</v>
      </c>
      <c r="G16952" s="46">
        <v>5.566867981071E12</v>
      </c>
      <c r="H16952" s="46" t="s">
        <v>4661</v>
      </c>
      <c r="I16952" s="46" t="s">
        <v>4662</v>
      </c>
      <c r="J16952" s="46" t="s">
        <v>134</v>
      </c>
      <c r="K16952" s="46" t="s">
        <v>126</v>
      </c>
      <c r="L16952" s="45">
        <v>46013.770833333336</v>
      </c>
      <c r="M16952" s="46" t="s">
        <v>123</v>
      </c>
      <c r="N16952" s="45">
        <v>46013.78125</v>
      </c>
      <c r="O16952" s="46" t="s">
        <v>123</v>
      </c>
      <c r="P16952" s="46">
        <v>900.0</v>
      </c>
    </row>
    <row r="16953">
      <c r="A16953" s="40">
        <f t="shared" si="1"/>
        <v>46013</v>
      </c>
      <c r="B16953" s="37" t="str">
        <f t="array" ref="B16953">iferror(xlookup($I16953, 'IMPORT VHC Report'!$E:$E, 'IMPORT VHC Report'!$A:$C), )</f>
        <v/>
      </c>
      <c r="C16953" s="44"/>
      <c r="D16953" s="44"/>
      <c r="E16953" s="46" t="s">
        <v>13163</v>
      </c>
      <c r="F16953" s="46" t="s">
        <v>4660</v>
      </c>
      <c r="G16953" s="46">
        <v>5.566867981071E12</v>
      </c>
      <c r="H16953" s="46" t="s">
        <v>4661</v>
      </c>
      <c r="I16953" s="46" t="s">
        <v>4662</v>
      </c>
      <c r="J16953" s="46" t="s">
        <v>134</v>
      </c>
      <c r="K16953" s="46" t="s">
        <v>126</v>
      </c>
      <c r="L16953" s="45">
        <v>46013.895833333336</v>
      </c>
      <c r="M16953" s="46" t="s">
        <v>123</v>
      </c>
      <c r="N16953" s="45">
        <v>46013.90625</v>
      </c>
      <c r="O16953" s="46" t="s">
        <v>123</v>
      </c>
      <c r="P16953" s="46">
        <v>900.0</v>
      </c>
    </row>
    <row r="16954">
      <c r="A16954" s="40">
        <f t="shared" si="1"/>
        <v>46013</v>
      </c>
      <c r="B16954" s="37" t="str">
        <f t="array" ref="B16954">iferror(xlookup($I16954, 'IMPORT VHC Report'!$E:$E, 'IMPORT VHC Report'!$A:$C), )</f>
        <v/>
      </c>
      <c r="C16954" s="44"/>
      <c r="D16954" s="44"/>
      <c r="E16954" s="46" t="s">
        <v>13164</v>
      </c>
      <c r="F16954" s="46" t="s">
        <v>4660</v>
      </c>
      <c r="G16954" s="46">
        <v>5.566867981071E12</v>
      </c>
      <c r="H16954" s="46" t="s">
        <v>4661</v>
      </c>
      <c r="I16954" s="46" t="s">
        <v>4662</v>
      </c>
      <c r="J16954" s="46" t="s">
        <v>161</v>
      </c>
      <c r="K16954" s="46" t="s">
        <v>63</v>
      </c>
      <c r="L16954" s="45">
        <v>46014.625</v>
      </c>
      <c r="M16954" s="46" t="s">
        <v>123</v>
      </c>
      <c r="N16954" s="45">
        <v>46015.0</v>
      </c>
      <c r="O16954" s="46" t="s">
        <v>123</v>
      </c>
      <c r="P16954" s="46">
        <v>32400.0</v>
      </c>
    </row>
    <row r="16955">
      <c r="A16955" s="40">
        <f t="shared" si="1"/>
        <v>46013</v>
      </c>
      <c r="B16955" s="37" t="str">
        <f t="array" ref="B16955">iferror(xlookup($I16955, 'IMPORT VHC Report'!$E:$E, 'IMPORT VHC Report'!$A:$C), )</f>
        <v/>
      </c>
      <c r="C16955" s="44"/>
      <c r="D16955" s="44"/>
      <c r="E16955" s="46" t="s">
        <v>13165</v>
      </c>
      <c r="F16955" s="46" t="s">
        <v>4660</v>
      </c>
      <c r="G16955" s="46">
        <v>5.566867981071E12</v>
      </c>
      <c r="H16955" s="46" t="s">
        <v>4661</v>
      </c>
      <c r="I16955" s="46" t="s">
        <v>4662</v>
      </c>
      <c r="J16955" s="46" t="s">
        <v>134</v>
      </c>
      <c r="K16955" s="46" t="s">
        <v>126</v>
      </c>
      <c r="L16955" s="45">
        <v>46014.708333333336</v>
      </c>
      <c r="M16955" s="46" t="s">
        <v>123</v>
      </c>
      <c r="N16955" s="45">
        <v>46014.71875</v>
      </c>
      <c r="O16955" s="46" t="s">
        <v>123</v>
      </c>
      <c r="P16955" s="46">
        <v>900.0</v>
      </c>
    </row>
    <row r="16956">
      <c r="A16956" s="40">
        <f t="shared" si="1"/>
        <v>46013</v>
      </c>
      <c r="B16956" s="37" t="str">
        <f t="array" ref="B16956">iferror(xlookup($I16956, 'IMPORT VHC Report'!$E:$E, 'IMPORT VHC Report'!$A:$C), )</f>
        <v/>
      </c>
      <c r="C16956" s="44"/>
      <c r="D16956" s="44"/>
      <c r="E16956" s="46" t="s">
        <v>13166</v>
      </c>
      <c r="F16956" s="46" t="s">
        <v>4660</v>
      </c>
      <c r="G16956" s="46">
        <v>5.566867981071E12</v>
      </c>
      <c r="H16956" s="46" t="s">
        <v>4661</v>
      </c>
      <c r="I16956" s="46" t="s">
        <v>4662</v>
      </c>
      <c r="J16956" s="46" t="s">
        <v>134</v>
      </c>
      <c r="K16956" s="46" t="s">
        <v>126</v>
      </c>
      <c r="L16956" s="45">
        <v>46014.78125</v>
      </c>
      <c r="M16956" s="46" t="s">
        <v>123</v>
      </c>
      <c r="N16956" s="45">
        <v>46014.791666666664</v>
      </c>
      <c r="O16956" s="46" t="s">
        <v>123</v>
      </c>
      <c r="P16956" s="46">
        <v>900.0</v>
      </c>
    </row>
    <row r="16957">
      <c r="A16957" s="40">
        <f t="shared" si="1"/>
        <v>46013</v>
      </c>
      <c r="B16957" s="37" t="str">
        <f t="array" ref="B16957">iferror(xlookup($I16957, 'IMPORT VHC Report'!$E:$E, 'IMPORT VHC Report'!$A:$C), )</f>
        <v/>
      </c>
      <c r="C16957" s="44"/>
      <c r="D16957" s="44"/>
      <c r="E16957" s="46" t="s">
        <v>13167</v>
      </c>
      <c r="F16957" s="46" t="s">
        <v>4660</v>
      </c>
      <c r="G16957" s="46">
        <v>5.566867981071E12</v>
      </c>
      <c r="H16957" s="46" t="s">
        <v>4661</v>
      </c>
      <c r="I16957" s="46" t="s">
        <v>4662</v>
      </c>
      <c r="J16957" s="46" t="s">
        <v>132</v>
      </c>
      <c r="K16957" s="46" t="s">
        <v>126</v>
      </c>
      <c r="L16957" s="45">
        <v>46014.916666666664</v>
      </c>
      <c r="M16957" s="46" t="s">
        <v>123</v>
      </c>
      <c r="N16957" s="45">
        <v>46014.958333333336</v>
      </c>
      <c r="O16957" s="46" t="s">
        <v>123</v>
      </c>
      <c r="P16957" s="46">
        <v>3600.0</v>
      </c>
    </row>
    <row r="16958">
      <c r="A16958" s="40">
        <f t="shared" si="1"/>
        <v>46013</v>
      </c>
      <c r="B16958" s="37" t="str">
        <f t="array" ref="B16958">iferror(xlookup($I16958, 'IMPORT VHC Report'!$E:$E, 'IMPORT VHC Report'!$A:$C), )</f>
        <v/>
      </c>
      <c r="C16958" s="44"/>
      <c r="D16958" s="44"/>
      <c r="E16958" s="46" t="s">
        <v>13168</v>
      </c>
      <c r="F16958" s="46" t="s">
        <v>4660</v>
      </c>
      <c r="G16958" s="46">
        <v>5.566867981071E12</v>
      </c>
      <c r="H16958" s="46" t="s">
        <v>4661</v>
      </c>
      <c r="I16958" s="46" t="s">
        <v>4662</v>
      </c>
      <c r="J16958" s="46" t="s">
        <v>161</v>
      </c>
      <c r="K16958" s="46" t="s">
        <v>63</v>
      </c>
      <c r="L16958" s="45">
        <v>46015.625</v>
      </c>
      <c r="M16958" s="46" t="s">
        <v>123</v>
      </c>
      <c r="N16958" s="45">
        <v>46016.0</v>
      </c>
      <c r="O16958" s="46" t="s">
        <v>123</v>
      </c>
      <c r="P16958" s="46">
        <v>32400.0</v>
      </c>
    </row>
    <row r="16959">
      <c r="A16959" s="40">
        <f t="shared" si="1"/>
        <v>46013</v>
      </c>
      <c r="B16959" s="37" t="str">
        <f t="array" ref="B16959">iferror(xlookup($I16959, 'IMPORT VHC Report'!$E:$E, 'IMPORT VHC Report'!$A:$C), )</f>
        <v/>
      </c>
      <c r="C16959" s="44"/>
      <c r="D16959" s="44"/>
      <c r="E16959" s="46" t="s">
        <v>13169</v>
      </c>
      <c r="F16959" s="46" t="s">
        <v>4660</v>
      </c>
      <c r="G16959" s="46">
        <v>5.566867981071E12</v>
      </c>
      <c r="H16959" s="46" t="s">
        <v>4661</v>
      </c>
      <c r="I16959" s="46" t="s">
        <v>4662</v>
      </c>
      <c r="J16959" s="46" t="s">
        <v>134</v>
      </c>
      <c r="K16959" s="46" t="s">
        <v>126</v>
      </c>
      <c r="L16959" s="45">
        <v>46015.770833333336</v>
      </c>
      <c r="M16959" s="46" t="s">
        <v>123</v>
      </c>
      <c r="N16959" s="45">
        <v>46015.78125</v>
      </c>
      <c r="O16959" s="46" t="s">
        <v>123</v>
      </c>
      <c r="P16959" s="46">
        <v>900.0</v>
      </c>
    </row>
    <row r="16960">
      <c r="A16960" s="40">
        <f t="shared" si="1"/>
        <v>46013</v>
      </c>
      <c r="B16960" s="37" t="str">
        <f t="array" ref="B16960">iferror(xlookup($I16960, 'IMPORT VHC Report'!$E:$E, 'IMPORT VHC Report'!$A:$C), )</f>
        <v/>
      </c>
      <c r="C16960" s="44"/>
      <c r="D16960" s="44"/>
      <c r="E16960" s="46" t="s">
        <v>13170</v>
      </c>
      <c r="F16960" s="46" t="s">
        <v>4660</v>
      </c>
      <c r="G16960" s="46">
        <v>5.566867981071E12</v>
      </c>
      <c r="H16960" s="46" t="s">
        <v>4661</v>
      </c>
      <c r="I16960" s="46" t="s">
        <v>4662</v>
      </c>
      <c r="J16960" s="46" t="s">
        <v>134</v>
      </c>
      <c r="K16960" s="46" t="s">
        <v>126</v>
      </c>
      <c r="L16960" s="45">
        <v>46015.875</v>
      </c>
      <c r="M16960" s="46" t="s">
        <v>123</v>
      </c>
      <c r="N16960" s="45">
        <v>46015.885416666664</v>
      </c>
      <c r="O16960" s="46" t="s">
        <v>123</v>
      </c>
      <c r="P16960" s="46">
        <v>900.0</v>
      </c>
    </row>
    <row r="16961">
      <c r="A16961" s="40">
        <f t="shared" si="1"/>
        <v>46013</v>
      </c>
      <c r="B16961" s="37" t="str">
        <f t="array" ref="B16961">iferror(xlookup($I16961, 'IMPORT VHC Report'!$E:$E, 'IMPORT VHC Report'!$A:$C), )</f>
        <v/>
      </c>
      <c r="C16961" s="44"/>
      <c r="D16961" s="44"/>
      <c r="E16961" s="46" t="s">
        <v>13171</v>
      </c>
      <c r="F16961" s="46" t="s">
        <v>4660</v>
      </c>
      <c r="G16961" s="46">
        <v>5.566867981071E12</v>
      </c>
      <c r="H16961" s="46" t="s">
        <v>4661</v>
      </c>
      <c r="I16961" s="46" t="s">
        <v>4662</v>
      </c>
      <c r="J16961" s="46" t="s">
        <v>132</v>
      </c>
      <c r="K16961" s="46" t="s">
        <v>126</v>
      </c>
      <c r="L16961" s="45">
        <v>46015.90625</v>
      </c>
      <c r="M16961" s="46" t="s">
        <v>123</v>
      </c>
      <c r="N16961" s="45">
        <v>46015.947916666664</v>
      </c>
      <c r="O16961" s="46" t="s">
        <v>123</v>
      </c>
      <c r="P16961" s="46">
        <v>3600.0</v>
      </c>
    </row>
    <row r="16962">
      <c r="A16962" s="40">
        <f t="shared" si="1"/>
        <v>46013</v>
      </c>
      <c r="B16962" s="37" t="str">
        <f t="array" ref="B16962">iferror(xlookup($I16962, 'IMPORT VHC Report'!$E:$E, 'IMPORT VHC Report'!$A:$C), )</f>
        <v/>
      </c>
      <c r="C16962" s="44"/>
      <c r="D16962" s="44"/>
      <c r="E16962" s="46" t="s">
        <v>13172</v>
      </c>
      <c r="F16962" s="46" t="s">
        <v>4660</v>
      </c>
      <c r="G16962" s="46">
        <v>5.566867981071E12</v>
      </c>
      <c r="H16962" s="46" t="s">
        <v>4661</v>
      </c>
      <c r="I16962" s="46" t="s">
        <v>4662</v>
      </c>
      <c r="J16962" s="46" t="s">
        <v>136</v>
      </c>
      <c r="K16962" s="46" t="s">
        <v>126</v>
      </c>
      <c r="L16962" s="45">
        <v>46015.958333333336</v>
      </c>
      <c r="M16962" s="46" t="s">
        <v>123</v>
      </c>
      <c r="N16962" s="45">
        <v>46016.0</v>
      </c>
      <c r="O16962" s="46" t="s">
        <v>123</v>
      </c>
      <c r="P16962" s="46">
        <v>3600.0</v>
      </c>
      <c r="S16962" s="46" t="s">
        <v>175</v>
      </c>
    </row>
    <row r="16963">
      <c r="A16963" s="40">
        <f t="shared" si="1"/>
        <v>46013</v>
      </c>
      <c r="B16963" s="37" t="str">
        <f t="array" ref="B16963">iferror(xlookup($I16963, 'IMPORT VHC Report'!$E:$E, 'IMPORT VHC Report'!$A:$C), )</f>
        <v/>
      </c>
      <c r="C16963" s="44"/>
      <c r="D16963" s="44"/>
      <c r="E16963" s="46" t="s">
        <v>13173</v>
      </c>
      <c r="F16963" s="46" t="s">
        <v>4660</v>
      </c>
      <c r="G16963" s="46">
        <v>5.566867981071E12</v>
      </c>
      <c r="H16963" s="46" t="s">
        <v>4661</v>
      </c>
      <c r="I16963" s="46" t="s">
        <v>4662</v>
      </c>
      <c r="J16963" s="46" t="s">
        <v>161</v>
      </c>
      <c r="K16963" s="46" t="s">
        <v>63</v>
      </c>
      <c r="L16963" s="45">
        <v>46018.625</v>
      </c>
      <c r="M16963" s="46" t="s">
        <v>123</v>
      </c>
      <c r="N16963" s="45">
        <v>46019.0</v>
      </c>
      <c r="O16963" s="46" t="s">
        <v>123</v>
      </c>
      <c r="P16963" s="46">
        <v>32400.0</v>
      </c>
    </row>
    <row r="16964">
      <c r="A16964" s="40">
        <f t="shared" si="1"/>
        <v>46013</v>
      </c>
      <c r="B16964" s="37" t="str">
        <f t="array" ref="B16964">iferror(xlookup($I16964, 'IMPORT VHC Report'!$E:$E, 'IMPORT VHC Report'!$A:$C), )</f>
        <v/>
      </c>
      <c r="C16964" s="44"/>
      <c r="D16964" s="44"/>
      <c r="E16964" s="46" t="s">
        <v>13174</v>
      </c>
      <c r="F16964" s="46" t="s">
        <v>4660</v>
      </c>
      <c r="G16964" s="46">
        <v>5.566867981071E12</v>
      </c>
      <c r="H16964" s="46" t="s">
        <v>4661</v>
      </c>
      <c r="I16964" s="46" t="s">
        <v>4662</v>
      </c>
      <c r="J16964" s="46" t="s">
        <v>134</v>
      </c>
      <c r="K16964" s="46" t="s">
        <v>126</v>
      </c>
      <c r="L16964" s="45">
        <v>46018.708333333336</v>
      </c>
      <c r="M16964" s="46" t="s">
        <v>123</v>
      </c>
      <c r="N16964" s="45">
        <v>46018.71875</v>
      </c>
      <c r="O16964" s="46" t="s">
        <v>123</v>
      </c>
      <c r="P16964" s="46">
        <v>900.0</v>
      </c>
    </row>
    <row r="16965">
      <c r="A16965" s="40">
        <f t="shared" si="1"/>
        <v>46013</v>
      </c>
      <c r="B16965" s="37" t="str">
        <f t="array" ref="B16965">iferror(xlookup($I16965, 'IMPORT VHC Report'!$E:$E, 'IMPORT VHC Report'!$A:$C), )</f>
        <v/>
      </c>
      <c r="C16965" s="44"/>
      <c r="D16965" s="44"/>
      <c r="E16965" s="46" t="s">
        <v>13175</v>
      </c>
      <c r="F16965" s="46" t="s">
        <v>4660</v>
      </c>
      <c r="G16965" s="46">
        <v>5.566867981071E12</v>
      </c>
      <c r="H16965" s="46" t="s">
        <v>4661</v>
      </c>
      <c r="I16965" s="46" t="s">
        <v>4662</v>
      </c>
      <c r="J16965" s="46" t="s">
        <v>134</v>
      </c>
      <c r="K16965" s="46" t="s">
        <v>126</v>
      </c>
      <c r="L16965" s="45">
        <v>46018.760416666664</v>
      </c>
      <c r="M16965" s="46" t="s">
        <v>123</v>
      </c>
      <c r="N16965" s="45">
        <v>46018.770833333336</v>
      </c>
      <c r="O16965" s="46" t="s">
        <v>123</v>
      </c>
      <c r="P16965" s="46">
        <v>900.0</v>
      </c>
    </row>
    <row r="16966">
      <c r="A16966" s="40">
        <f t="shared" si="1"/>
        <v>46013</v>
      </c>
      <c r="B16966" s="37" t="str">
        <f t="array" ref="B16966">iferror(xlookup($I16966, 'IMPORT VHC Report'!$E:$E, 'IMPORT VHC Report'!$A:$C), )</f>
        <v/>
      </c>
      <c r="C16966" s="44"/>
      <c r="D16966" s="44"/>
      <c r="E16966" s="46" t="s">
        <v>13176</v>
      </c>
      <c r="F16966" s="46" t="s">
        <v>4660</v>
      </c>
      <c r="G16966" s="46">
        <v>5.566867981071E12</v>
      </c>
      <c r="H16966" s="46" t="s">
        <v>4661</v>
      </c>
      <c r="I16966" s="46" t="s">
        <v>4662</v>
      </c>
      <c r="J16966" s="46" t="s">
        <v>132</v>
      </c>
      <c r="K16966" s="46" t="s">
        <v>126</v>
      </c>
      <c r="L16966" s="45">
        <v>46018.833333333336</v>
      </c>
      <c r="M16966" s="46" t="s">
        <v>123</v>
      </c>
      <c r="N16966" s="45">
        <v>46018.875</v>
      </c>
      <c r="O16966" s="46" t="s">
        <v>123</v>
      </c>
      <c r="P16966" s="46">
        <v>3600.0</v>
      </c>
    </row>
    <row r="16967">
      <c r="A16967" s="40">
        <f t="shared" si="1"/>
        <v>46013</v>
      </c>
      <c r="B16967" s="37" t="str">
        <f t="array" ref="B16967">iferror(xlookup($I16967, 'IMPORT VHC Report'!$E:$E, 'IMPORT VHC Report'!$A:$C), )</f>
        <v/>
      </c>
      <c r="C16967" s="44"/>
      <c r="D16967" s="44"/>
      <c r="E16967" s="46" t="s">
        <v>13177</v>
      </c>
      <c r="F16967" s="46" t="s">
        <v>4660</v>
      </c>
      <c r="G16967" s="46">
        <v>5.566867981071E12</v>
      </c>
      <c r="H16967" s="46" t="s">
        <v>4661</v>
      </c>
      <c r="I16967" s="46" t="s">
        <v>4662</v>
      </c>
      <c r="J16967" s="46" t="s">
        <v>161</v>
      </c>
      <c r="K16967" s="46" t="s">
        <v>63</v>
      </c>
      <c r="L16967" s="45">
        <v>46019.625</v>
      </c>
      <c r="M16967" s="46" t="s">
        <v>123</v>
      </c>
      <c r="N16967" s="45">
        <v>46020.0</v>
      </c>
      <c r="O16967" s="46" t="s">
        <v>123</v>
      </c>
      <c r="P16967" s="46">
        <v>32400.0</v>
      </c>
    </row>
    <row r="16968">
      <c r="A16968" s="40">
        <f t="shared" si="1"/>
        <v>46013</v>
      </c>
      <c r="B16968" s="37" t="str">
        <f t="array" ref="B16968">iferror(xlookup($I16968, 'IMPORT VHC Report'!$E:$E, 'IMPORT VHC Report'!$A:$C), )</f>
        <v/>
      </c>
      <c r="C16968" s="44"/>
      <c r="D16968" s="44"/>
      <c r="E16968" s="46" t="s">
        <v>13178</v>
      </c>
      <c r="F16968" s="46" t="s">
        <v>4660</v>
      </c>
      <c r="G16968" s="46">
        <v>5.566867981071E12</v>
      </c>
      <c r="H16968" s="46" t="s">
        <v>4661</v>
      </c>
      <c r="I16968" s="46" t="s">
        <v>4662</v>
      </c>
      <c r="J16968" s="46" t="s">
        <v>134</v>
      </c>
      <c r="K16968" s="46" t="s">
        <v>126</v>
      </c>
      <c r="L16968" s="45">
        <v>46019.697916666664</v>
      </c>
      <c r="M16968" s="46" t="s">
        <v>123</v>
      </c>
      <c r="N16968" s="45">
        <v>46019.708333333336</v>
      </c>
      <c r="O16968" s="46" t="s">
        <v>123</v>
      </c>
      <c r="P16968" s="46">
        <v>900.0</v>
      </c>
    </row>
    <row r="16969">
      <c r="A16969" s="40">
        <f t="shared" si="1"/>
        <v>46013</v>
      </c>
      <c r="B16969" s="37" t="str">
        <f t="array" ref="B16969">iferror(xlookup($I16969, 'IMPORT VHC Report'!$E:$E, 'IMPORT VHC Report'!$A:$C), )</f>
        <v/>
      </c>
      <c r="C16969" s="44"/>
      <c r="D16969" s="44"/>
      <c r="E16969" s="46" t="s">
        <v>13179</v>
      </c>
      <c r="F16969" s="46" t="s">
        <v>4660</v>
      </c>
      <c r="G16969" s="46">
        <v>5.566867981071E12</v>
      </c>
      <c r="H16969" s="46" t="s">
        <v>4661</v>
      </c>
      <c r="I16969" s="46" t="s">
        <v>4662</v>
      </c>
      <c r="J16969" s="46" t="s">
        <v>132</v>
      </c>
      <c r="K16969" s="46" t="s">
        <v>126</v>
      </c>
      <c r="L16969" s="45">
        <v>46019.802083333336</v>
      </c>
      <c r="M16969" s="46" t="s">
        <v>123</v>
      </c>
      <c r="N16969" s="45">
        <v>46019.84375</v>
      </c>
      <c r="O16969" s="46" t="s">
        <v>123</v>
      </c>
      <c r="P16969" s="46">
        <v>3600.0</v>
      </c>
    </row>
    <row r="16970">
      <c r="A16970" s="40">
        <f t="shared" si="1"/>
        <v>46013</v>
      </c>
      <c r="B16970" s="37" t="str">
        <f t="array" ref="B16970">iferror(xlookup($I16970, 'IMPORT VHC Report'!$E:$E, 'IMPORT VHC Report'!$A:$C), )</f>
        <v/>
      </c>
      <c r="C16970" s="44"/>
      <c r="D16970" s="44"/>
      <c r="E16970" s="46" t="s">
        <v>13180</v>
      </c>
      <c r="F16970" s="46" t="s">
        <v>4660</v>
      </c>
      <c r="G16970" s="46">
        <v>5.566867981071E12</v>
      </c>
      <c r="H16970" s="46" t="s">
        <v>4661</v>
      </c>
      <c r="I16970" s="46" t="s">
        <v>4662</v>
      </c>
      <c r="J16970" s="46" t="s">
        <v>134</v>
      </c>
      <c r="K16970" s="46" t="s">
        <v>126</v>
      </c>
      <c r="L16970" s="45">
        <v>46019.90625</v>
      </c>
      <c r="M16970" s="46" t="s">
        <v>123</v>
      </c>
      <c r="N16970" s="45">
        <v>46019.916666666664</v>
      </c>
      <c r="O16970" s="46" t="s">
        <v>123</v>
      </c>
      <c r="P16970" s="46">
        <v>900.0</v>
      </c>
    </row>
    <row r="16971">
      <c r="A16971" s="40">
        <f t="shared" si="1"/>
        <v>46013</v>
      </c>
      <c r="B16971" s="37" t="str">
        <f t="array" ref="B16971">iferror(xlookup($I16971, 'IMPORT VHC Report'!$E:$E, 'IMPORT VHC Report'!$A:$C), )</f>
        <v/>
      </c>
      <c r="C16971" s="44"/>
      <c r="D16971" s="44"/>
      <c r="E16971" s="46" t="s">
        <v>13181</v>
      </c>
      <c r="F16971" s="46" t="s">
        <v>7352</v>
      </c>
      <c r="G16971" s="46">
        <v>9.586408606607E12</v>
      </c>
      <c r="H16971" s="46" t="s">
        <v>7353</v>
      </c>
      <c r="I16971" s="46" t="s">
        <v>7354</v>
      </c>
      <c r="J16971" s="46" t="s">
        <v>161</v>
      </c>
      <c r="K16971" s="46" t="s">
        <v>63</v>
      </c>
      <c r="L16971" s="45">
        <v>46014.708333333336</v>
      </c>
      <c r="M16971" s="46" t="s">
        <v>123</v>
      </c>
      <c r="N16971" s="45">
        <v>46015.083333333336</v>
      </c>
      <c r="O16971" s="46" t="s">
        <v>123</v>
      </c>
      <c r="P16971" s="46">
        <v>32400.0</v>
      </c>
    </row>
    <row r="16972">
      <c r="A16972" s="40">
        <f t="shared" si="1"/>
        <v>46013</v>
      </c>
      <c r="B16972" s="37" t="str">
        <f t="array" ref="B16972">iferror(xlookup($I16972, 'IMPORT VHC Report'!$E:$E, 'IMPORT VHC Report'!$A:$C), )</f>
        <v/>
      </c>
      <c r="C16972" s="44"/>
      <c r="D16972" s="44"/>
      <c r="E16972" s="46" t="s">
        <v>13182</v>
      </c>
      <c r="F16972" s="46" t="s">
        <v>7352</v>
      </c>
      <c r="G16972" s="46">
        <v>9.586408606607E12</v>
      </c>
      <c r="H16972" s="46" t="s">
        <v>7353</v>
      </c>
      <c r="I16972" s="46" t="s">
        <v>7354</v>
      </c>
      <c r="J16972" s="46" t="s">
        <v>134</v>
      </c>
      <c r="K16972" s="46" t="s">
        <v>126</v>
      </c>
      <c r="L16972" s="45">
        <v>46014.822916666664</v>
      </c>
      <c r="M16972" s="46" t="s">
        <v>123</v>
      </c>
      <c r="N16972" s="45">
        <v>46014.833333333336</v>
      </c>
      <c r="O16972" s="46" t="s">
        <v>123</v>
      </c>
      <c r="P16972" s="46">
        <v>900.0</v>
      </c>
    </row>
    <row r="16973">
      <c r="A16973" s="40">
        <f t="shared" si="1"/>
        <v>46013</v>
      </c>
      <c r="B16973" s="37" t="str">
        <f t="array" ref="B16973">iferror(xlookup($I16973, 'IMPORT VHC Report'!$E:$E, 'IMPORT VHC Report'!$A:$C), )</f>
        <v/>
      </c>
      <c r="C16973" s="44"/>
      <c r="D16973" s="44"/>
      <c r="E16973" s="46" t="s">
        <v>13183</v>
      </c>
      <c r="F16973" s="46" t="s">
        <v>7352</v>
      </c>
      <c r="G16973" s="46">
        <v>9.586408606607E12</v>
      </c>
      <c r="H16973" s="46" t="s">
        <v>7353</v>
      </c>
      <c r="I16973" s="46" t="s">
        <v>7354</v>
      </c>
      <c r="J16973" s="46" t="s">
        <v>134</v>
      </c>
      <c r="K16973" s="46" t="s">
        <v>126</v>
      </c>
      <c r="L16973" s="45">
        <v>46014.895833333336</v>
      </c>
      <c r="M16973" s="46" t="s">
        <v>123</v>
      </c>
      <c r="N16973" s="45">
        <v>46014.90625</v>
      </c>
      <c r="O16973" s="46" t="s">
        <v>123</v>
      </c>
      <c r="P16973" s="46">
        <v>900.0</v>
      </c>
    </row>
    <row r="16974">
      <c r="A16974" s="40">
        <f t="shared" si="1"/>
        <v>46013</v>
      </c>
      <c r="B16974" s="37" t="str">
        <f t="array" ref="B16974">iferror(xlookup($I16974, 'IMPORT VHC Report'!$E:$E, 'IMPORT VHC Report'!$A:$C), )</f>
        <v/>
      </c>
      <c r="C16974" s="44"/>
      <c r="D16974" s="44"/>
      <c r="E16974" s="46" t="s">
        <v>13184</v>
      </c>
      <c r="F16974" s="46" t="s">
        <v>7352</v>
      </c>
      <c r="G16974" s="46">
        <v>9.586408606607E12</v>
      </c>
      <c r="H16974" s="46" t="s">
        <v>7353</v>
      </c>
      <c r="I16974" s="46" t="s">
        <v>7354</v>
      </c>
      <c r="J16974" s="46" t="s">
        <v>132</v>
      </c>
      <c r="K16974" s="46" t="s">
        <v>126</v>
      </c>
      <c r="L16974" s="45">
        <v>46015.0</v>
      </c>
      <c r="M16974" s="46" t="s">
        <v>123</v>
      </c>
      <c r="N16974" s="45">
        <v>46015.041666666664</v>
      </c>
      <c r="O16974" s="46" t="s">
        <v>123</v>
      </c>
      <c r="P16974" s="46">
        <v>3600.0</v>
      </c>
    </row>
    <row r="16975">
      <c r="A16975" s="40">
        <f t="shared" si="1"/>
        <v>46013</v>
      </c>
      <c r="B16975" s="37" t="str">
        <f t="array" ref="B16975">iferror(xlookup($I16975, 'IMPORT VHC Report'!$E:$E, 'IMPORT VHC Report'!$A:$C), )</f>
        <v/>
      </c>
      <c r="C16975" s="44"/>
      <c r="D16975" s="44"/>
      <c r="E16975" s="46" t="s">
        <v>13185</v>
      </c>
      <c r="F16975" s="46" t="s">
        <v>7352</v>
      </c>
      <c r="G16975" s="46">
        <v>9.586408606607E12</v>
      </c>
      <c r="H16975" s="46" t="s">
        <v>7353</v>
      </c>
      <c r="I16975" s="46" t="s">
        <v>7354</v>
      </c>
      <c r="J16975" s="46" t="s">
        <v>161</v>
      </c>
      <c r="K16975" s="46" t="s">
        <v>63</v>
      </c>
      <c r="L16975" s="45">
        <v>46015.708333333336</v>
      </c>
      <c r="M16975" s="46" t="s">
        <v>123</v>
      </c>
      <c r="N16975" s="45">
        <v>46016.083333333336</v>
      </c>
      <c r="O16975" s="46" t="s">
        <v>123</v>
      </c>
      <c r="P16975" s="46">
        <v>32400.0</v>
      </c>
    </row>
    <row r="16976">
      <c r="A16976" s="40">
        <f t="shared" si="1"/>
        <v>46013</v>
      </c>
      <c r="B16976" s="37" t="str">
        <f t="array" ref="B16976">iferror(xlookup($I16976, 'IMPORT VHC Report'!$E:$E, 'IMPORT VHC Report'!$A:$C), )</f>
        <v/>
      </c>
      <c r="C16976" s="44"/>
      <c r="D16976" s="44"/>
      <c r="E16976" s="46" t="s">
        <v>13186</v>
      </c>
      <c r="F16976" s="46" t="s">
        <v>7352</v>
      </c>
      <c r="G16976" s="46">
        <v>9.586408606607E12</v>
      </c>
      <c r="H16976" s="46" t="s">
        <v>7353</v>
      </c>
      <c r="I16976" s="46" t="s">
        <v>7354</v>
      </c>
      <c r="J16976" s="46" t="s">
        <v>134</v>
      </c>
      <c r="K16976" s="46" t="s">
        <v>126</v>
      </c>
      <c r="L16976" s="45">
        <v>46015.802083333336</v>
      </c>
      <c r="M16976" s="46" t="s">
        <v>123</v>
      </c>
      <c r="N16976" s="45">
        <v>46015.8125</v>
      </c>
      <c r="O16976" s="46" t="s">
        <v>123</v>
      </c>
      <c r="P16976" s="46">
        <v>900.0</v>
      </c>
    </row>
    <row r="16977">
      <c r="A16977" s="40">
        <f t="shared" si="1"/>
        <v>46013</v>
      </c>
      <c r="B16977" s="37" t="str">
        <f t="array" ref="B16977">iferror(xlookup($I16977, 'IMPORT VHC Report'!$E:$E, 'IMPORT VHC Report'!$A:$C), )</f>
        <v/>
      </c>
      <c r="C16977" s="44"/>
      <c r="D16977" s="44"/>
      <c r="E16977" s="46" t="s">
        <v>13187</v>
      </c>
      <c r="F16977" s="46" t="s">
        <v>7352</v>
      </c>
      <c r="G16977" s="46">
        <v>9.586408606607E12</v>
      </c>
      <c r="H16977" s="46" t="s">
        <v>7353</v>
      </c>
      <c r="I16977" s="46" t="s">
        <v>7354</v>
      </c>
      <c r="J16977" s="46" t="s">
        <v>134</v>
      </c>
      <c r="K16977" s="46" t="s">
        <v>126</v>
      </c>
      <c r="L16977" s="45">
        <v>46015.864583333336</v>
      </c>
      <c r="M16977" s="46" t="s">
        <v>123</v>
      </c>
      <c r="N16977" s="45">
        <v>46015.875</v>
      </c>
      <c r="O16977" s="46" t="s">
        <v>123</v>
      </c>
      <c r="P16977" s="46">
        <v>900.0</v>
      </c>
    </row>
    <row r="16978">
      <c r="A16978" s="40">
        <f t="shared" si="1"/>
        <v>46013</v>
      </c>
      <c r="B16978" s="37" t="str">
        <f t="array" ref="B16978">iferror(xlookup($I16978, 'IMPORT VHC Report'!$E:$E, 'IMPORT VHC Report'!$A:$C), )</f>
        <v/>
      </c>
      <c r="C16978" s="44"/>
      <c r="D16978" s="44"/>
      <c r="E16978" s="46" t="s">
        <v>13188</v>
      </c>
      <c r="F16978" s="46" t="s">
        <v>7352</v>
      </c>
      <c r="G16978" s="46">
        <v>9.586408606607E12</v>
      </c>
      <c r="H16978" s="46" t="s">
        <v>7353</v>
      </c>
      <c r="I16978" s="46" t="s">
        <v>7354</v>
      </c>
      <c r="J16978" s="46" t="s">
        <v>136</v>
      </c>
      <c r="K16978" s="46" t="s">
        <v>126</v>
      </c>
      <c r="L16978" s="45">
        <v>46015.958333333336</v>
      </c>
      <c r="M16978" s="46" t="s">
        <v>123</v>
      </c>
      <c r="N16978" s="45">
        <v>46016.0</v>
      </c>
      <c r="O16978" s="46" t="s">
        <v>123</v>
      </c>
      <c r="P16978" s="46">
        <v>3600.0</v>
      </c>
      <c r="S16978" s="46" t="s">
        <v>175</v>
      </c>
    </row>
    <row r="16979">
      <c r="A16979" s="40">
        <f t="shared" si="1"/>
        <v>46013</v>
      </c>
      <c r="B16979" s="37" t="str">
        <f t="array" ref="B16979">iferror(xlookup($I16979, 'IMPORT VHC Report'!$E:$E, 'IMPORT VHC Report'!$A:$C), )</f>
        <v/>
      </c>
      <c r="C16979" s="44"/>
      <c r="D16979" s="44"/>
      <c r="E16979" s="46" t="s">
        <v>13189</v>
      </c>
      <c r="F16979" s="46" t="s">
        <v>7352</v>
      </c>
      <c r="G16979" s="46">
        <v>9.586408606607E12</v>
      </c>
      <c r="H16979" s="46" t="s">
        <v>7353</v>
      </c>
      <c r="I16979" s="46" t="s">
        <v>7354</v>
      </c>
      <c r="J16979" s="46" t="s">
        <v>132</v>
      </c>
      <c r="K16979" s="46" t="s">
        <v>126</v>
      </c>
      <c r="L16979" s="45">
        <v>46016.0</v>
      </c>
      <c r="M16979" s="46" t="s">
        <v>123</v>
      </c>
      <c r="N16979" s="45">
        <v>46016.041666666664</v>
      </c>
      <c r="O16979" s="46" t="s">
        <v>123</v>
      </c>
      <c r="P16979" s="46">
        <v>3600.0</v>
      </c>
    </row>
    <row r="16980">
      <c r="A16980" s="40">
        <f t="shared" si="1"/>
        <v>46013</v>
      </c>
      <c r="B16980" s="37" t="str">
        <f t="array" ref="B16980">iferror(xlookup($I16980, 'IMPORT VHC Report'!$E:$E, 'IMPORT VHC Report'!$A:$C), )</f>
        <v/>
      </c>
      <c r="C16980" s="44"/>
      <c r="D16980" s="44"/>
      <c r="E16980" s="46" t="s">
        <v>13190</v>
      </c>
      <c r="F16980" s="46" t="s">
        <v>7352</v>
      </c>
      <c r="G16980" s="46">
        <v>9.586408606607E12</v>
      </c>
      <c r="H16980" s="46" t="s">
        <v>7353</v>
      </c>
      <c r="I16980" s="46" t="s">
        <v>7354</v>
      </c>
      <c r="J16980" s="46" t="s">
        <v>161</v>
      </c>
      <c r="K16980" s="46" t="s">
        <v>63</v>
      </c>
      <c r="L16980" s="45">
        <v>46016.708333333336</v>
      </c>
      <c r="M16980" s="46" t="s">
        <v>123</v>
      </c>
      <c r="N16980" s="45">
        <v>46017.083333333336</v>
      </c>
      <c r="O16980" s="46" t="s">
        <v>123</v>
      </c>
      <c r="P16980" s="46">
        <v>32400.0</v>
      </c>
    </row>
    <row r="16981">
      <c r="A16981" s="40">
        <f t="shared" si="1"/>
        <v>46013</v>
      </c>
      <c r="B16981" s="37" t="str">
        <f t="array" ref="B16981">iferror(xlookup($I16981, 'IMPORT VHC Report'!$E:$E, 'IMPORT VHC Report'!$A:$C), )</f>
        <v/>
      </c>
      <c r="C16981" s="44"/>
      <c r="D16981" s="44"/>
      <c r="E16981" s="46" t="s">
        <v>13191</v>
      </c>
      <c r="F16981" s="46" t="s">
        <v>7352</v>
      </c>
      <c r="G16981" s="46">
        <v>9.586408606607E12</v>
      </c>
      <c r="H16981" s="46" t="s">
        <v>7353</v>
      </c>
      <c r="I16981" s="46" t="s">
        <v>7354</v>
      </c>
      <c r="J16981" s="46" t="s">
        <v>134</v>
      </c>
      <c r="K16981" s="46" t="s">
        <v>126</v>
      </c>
      <c r="L16981" s="45">
        <v>46016.854166666664</v>
      </c>
      <c r="M16981" s="46" t="s">
        <v>123</v>
      </c>
      <c r="N16981" s="45">
        <v>46016.864583333336</v>
      </c>
      <c r="O16981" s="46" t="s">
        <v>123</v>
      </c>
      <c r="P16981" s="46">
        <v>900.0</v>
      </c>
    </row>
    <row r="16982">
      <c r="A16982" s="40">
        <f t="shared" si="1"/>
        <v>46013</v>
      </c>
      <c r="B16982" s="37" t="str">
        <f t="array" ref="B16982">iferror(xlookup($I16982, 'IMPORT VHC Report'!$E:$E, 'IMPORT VHC Report'!$A:$C), )</f>
        <v/>
      </c>
      <c r="C16982" s="44"/>
      <c r="D16982" s="44"/>
      <c r="E16982" s="46" t="s">
        <v>13192</v>
      </c>
      <c r="F16982" s="46" t="s">
        <v>7352</v>
      </c>
      <c r="G16982" s="46">
        <v>9.586408606607E12</v>
      </c>
      <c r="H16982" s="46" t="s">
        <v>7353</v>
      </c>
      <c r="I16982" s="46" t="s">
        <v>7354</v>
      </c>
      <c r="J16982" s="46" t="s">
        <v>132</v>
      </c>
      <c r="K16982" s="46" t="s">
        <v>126</v>
      </c>
      <c r="L16982" s="45">
        <v>46016.927083333336</v>
      </c>
      <c r="M16982" s="46" t="s">
        <v>123</v>
      </c>
      <c r="N16982" s="45">
        <v>46016.96875</v>
      </c>
      <c r="O16982" s="46" t="s">
        <v>123</v>
      </c>
      <c r="P16982" s="46">
        <v>3600.0</v>
      </c>
    </row>
    <row r="16983">
      <c r="A16983" s="40">
        <f t="shared" si="1"/>
        <v>46013</v>
      </c>
      <c r="B16983" s="37" t="str">
        <f t="array" ref="B16983">iferror(xlookup($I16983, 'IMPORT VHC Report'!$E:$E, 'IMPORT VHC Report'!$A:$C), )</f>
        <v/>
      </c>
      <c r="C16983" s="44"/>
      <c r="D16983" s="44"/>
      <c r="E16983" s="46" t="s">
        <v>13193</v>
      </c>
      <c r="F16983" s="46" t="s">
        <v>7352</v>
      </c>
      <c r="G16983" s="46">
        <v>9.586408606607E12</v>
      </c>
      <c r="H16983" s="46" t="s">
        <v>7353</v>
      </c>
      <c r="I16983" s="46" t="s">
        <v>7354</v>
      </c>
      <c r="J16983" s="46" t="s">
        <v>134</v>
      </c>
      <c r="K16983" s="46" t="s">
        <v>126</v>
      </c>
      <c r="L16983" s="45">
        <v>46017.0</v>
      </c>
      <c r="M16983" s="46" t="s">
        <v>123</v>
      </c>
      <c r="N16983" s="45">
        <v>46017.010416666664</v>
      </c>
      <c r="O16983" s="46" t="s">
        <v>123</v>
      </c>
      <c r="P16983" s="46">
        <v>900.0</v>
      </c>
    </row>
    <row r="16984">
      <c r="A16984" s="40">
        <f t="shared" si="1"/>
        <v>46013</v>
      </c>
      <c r="B16984" s="37" t="str">
        <f t="array" ref="B16984">iferror(xlookup($I16984, 'IMPORT VHC Report'!$E:$E, 'IMPORT VHC Report'!$A:$C), )</f>
        <v/>
      </c>
      <c r="C16984" s="44"/>
      <c r="D16984" s="44"/>
      <c r="E16984" s="46" t="s">
        <v>13194</v>
      </c>
      <c r="F16984" s="46" t="s">
        <v>7352</v>
      </c>
      <c r="G16984" s="46">
        <v>9.586408606607E12</v>
      </c>
      <c r="H16984" s="46" t="s">
        <v>7353</v>
      </c>
      <c r="I16984" s="46" t="s">
        <v>7354</v>
      </c>
      <c r="J16984" s="46" t="s">
        <v>161</v>
      </c>
      <c r="K16984" s="46" t="s">
        <v>63</v>
      </c>
      <c r="L16984" s="45">
        <v>46017.708333333336</v>
      </c>
      <c r="M16984" s="46" t="s">
        <v>123</v>
      </c>
      <c r="N16984" s="45">
        <v>46018.083333333336</v>
      </c>
      <c r="O16984" s="46" t="s">
        <v>123</v>
      </c>
      <c r="P16984" s="46">
        <v>32400.0</v>
      </c>
    </row>
    <row r="16985">
      <c r="A16985" s="40">
        <f t="shared" si="1"/>
        <v>46013</v>
      </c>
      <c r="B16985" s="37" t="str">
        <f t="array" ref="B16985">iferror(xlookup($I16985, 'IMPORT VHC Report'!$E:$E, 'IMPORT VHC Report'!$A:$C), )</f>
        <v/>
      </c>
      <c r="C16985" s="44"/>
      <c r="D16985" s="44"/>
      <c r="E16985" s="46" t="s">
        <v>13195</v>
      </c>
      <c r="F16985" s="46" t="s">
        <v>7352</v>
      </c>
      <c r="G16985" s="46">
        <v>9.586408606607E12</v>
      </c>
      <c r="H16985" s="46" t="s">
        <v>7353</v>
      </c>
      <c r="I16985" s="46" t="s">
        <v>7354</v>
      </c>
      <c r="J16985" s="46" t="s">
        <v>134</v>
      </c>
      <c r="K16985" s="46" t="s">
        <v>126</v>
      </c>
      <c r="L16985" s="45">
        <v>46017.822916666664</v>
      </c>
      <c r="M16985" s="46" t="s">
        <v>123</v>
      </c>
      <c r="N16985" s="45">
        <v>46017.833333333336</v>
      </c>
      <c r="O16985" s="46" t="s">
        <v>123</v>
      </c>
      <c r="P16985" s="46">
        <v>900.0</v>
      </c>
    </row>
    <row r="16986">
      <c r="A16986" s="40">
        <f t="shared" si="1"/>
        <v>46013</v>
      </c>
      <c r="B16986" s="37" t="str">
        <f t="array" ref="B16986">iferror(xlookup($I16986, 'IMPORT VHC Report'!$E:$E, 'IMPORT VHC Report'!$A:$C), )</f>
        <v/>
      </c>
      <c r="C16986" s="44"/>
      <c r="D16986" s="44"/>
      <c r="E16986" s="46" t="s">
        <v>13196</v>
      </c>
      <c r="F16986" s="46" t="s">
        <v>7352</v>
      </c>
      <c r="G16986" s="46">
        <v>9.586408606607E12</v>
      </c>
      <c r="H16986" s="46" t="s">
        <v>7353</v>
      </c>
      <c r="I16986" s="46" t="s">
        <v>7354</v>
      </c>
      <c r="J16986" s="46" t="s">
        <v>134</v>
      </c>
      <c r="K16986" s="46" t="s">
        <v>126</v>
      </c>
      <c r="L16986" s="45">
        <v>46017.916666666664</v>
      </c>
      <c r="M16986" s="46" t="s">
        <v>123</v>
      </c>
      <c r="N16986" s="45">
        <v>46017.927083333336</v>
      </c>
      <c r="O16986" s="46" t="s">
        <v>123</v>
      </c>
      <c r="P16986" s="46">
        <v>900.0</v>
      </c>
    </row>
    <row r="16987">
      <c r="A16987" s="40">
        <f t="shared" si="1"/>
        <v>46013</v>
      </c>
      <c r="B16987" s="37" t="str">
        <f t="array" ref="B16987">iferror(xlookup($I16987, 'IMPORT VHC Report'!$E:$E, 'IMPORT VHC Report'!$A:$C), )</f>
        <v/>
      </c>
      <c r="C16987" s="44"/>
      <c r="D16987" s="44"/>
      <c r="E16987" s="46" t="s">
        <v>13197</v>
      </c>
      <c r="F16987" s="46" t="s">
        <v>7352</v>
      </c>
      <c r="G16987" s="46">
        <v>9.586408606607E12</v>
      </c>
      <c r="H16987" s="46" t="s">
        <v>7353</v>
      </c>
      <c r="I16987" s="46" t="s">
        <v>7354</v>
      </c>
      <c r="J16987" s="46" t="s">
        <v>132</v>
      </c>
      <c r="K16987" s="46" t="s">
        <v>126</v>
      </c>
      <c r="L16987" s="45">
        <v>46017.989583333336</v>
      </c>
      <c r="M16987" s="46" t="s">
        <v>123</v>
      </c>
      <c r="N16987" s="45">
        <v>46018.03125</v>
      </c>
      <c r="O16987" s="46" t="s">
        <v>123</v>
      </c>
      <c r="P16987" s="46">
        <v>3600.0</v>
      </c>
    </row>
    <row r="16988">
      <c r="A16988" s="40">
        <f t="shared" si="1"/>
        <v>46013</v>
      </c>
      <c r="B16988" s="37" t="str">
        <f t="array" ref="B16988">iferror(xlookup($I16988, 'IMPORT VHC Report'!$E:$E, 'IMPORT VHC Report'!$A:$C), )</f>
        <v/>
      </c>
      <c r="C16988" s="44"/>
      <c r="D16988" s="44"/>
      <c r="E16988" s="46" t="s">
        <v>13198</v>
      </c>
      <c r="F16988" s="46" t="s">
        <v>7352</v>
      </c>
      <c r="G16988" s="46">
        <v>9.586408606607E12</v>
      </c>
      <c r="H16988" s="46" t="s">
        <v>7353</v>
      </c>
      <c r="I16988" s="46" t="s">
        <v>7354</v>
      </c>
      <c r="J16988" s="46" t="s">
        <v>161</v>
      </c>
      <c r="K16988" s="46" t="s">
        <v>63</v>
      </c>
      <c r="L16988" s="45">
        <v>46018.708333333336</v>
      </c>
      <c r="M16988" s="46" t="s">
        <v>123</v>
      </c>
      <c r="N16988" s="45">
        <v>46019.083333333336</v>
      </c>
      <c r="O16988" s="46" t="s">
        <v>123</v>
      </c>
      <c r="P16988" s="46">
        <v>32400.0</v>
      </c>
    </row>
    <row r="16989">
      <c r="A16989" s="40">
        <f t="shared" si="1"/>
        <v>46013</v>
      </c>
      <c r="B16989" s="37" t="str">
        <f t="array" ref="B16989">iferror(xlookup($I16989, 'IMPORT VHC Report'!$E:$E, 'IMPORT VHC Report'!$A:$C), )</f>
        <v/>
      </c>
      <c r="C16989" s="44"/>
      <c r="D16989" s="44"/>
      <c r="E16989" s="46" t="s">
        <v>13199</v>
      </c>
      <c r="F16989" s="46" t="s">
        <v>7352</v>
      </c>
      <c r="G16989" s="46">
        <v>9.586408606607E12</v>
      </c>
      <c r="H16989" s="46" t="s">
        <v>7353</v>
      </c>
      <c r="I16989" s="46" t="s">
        <v>7354</v>
      </c>
      <c r="J16989" s="46" t="s">
        <v>134</v>
      </c>
      <c r="K16989" s="46" t="s">
        <v>126</v>
      </c>
      <c r="L16989" s="45">
        <v>46018.864583333336</v>
      </c>
      <c r="M16989" s="46" t="s">
        <v>123</v>
      </c>
      <c r="N16989" s="45">
        <v>46018.875</v>
      </c>
      <c r="O16989" s="46" t="s">
        <v>123</v>
      </c>
      <c r="P16989" s="46">
        <v>900.0</v>
      </c>
    </row>
    <row r="16990">
      <c r="A16990" s="40">
        <f t="shared" si="1"/>
        <v>46013</v>
      </c>
      <c r="B16990" s="37" t="str">
        <f t="array" ref="B16990">iferror(xlookup($I16990, 'IMPORT VHC Report'!$E:$E, 'IMPORT VHC Report'!$A:$C), )</f>
        <v/>
      </c>
      <c r="C16990" s="44"/>
      <c r="D16990" s="44"/>
      <c r="E16990" s="46" t="s">
        <v>13200</v>
      </c>
      <c r="F16990" s="46" t="s">
        <v>7352</v>
      </c>
      <c r="G16990" s="46">
        <v>9.586408606607E12</v>
      </c>
      <c r="H16990" s="46" t="s">
        <v>7353</v>
      </c>
      <c r="I16990" s="46" t="s">
        <v>7354</v>
      </c>
      <c r="J16990" s="46" t="s">
        <v>134</v>
      </c>
      <c r="K16990" s="46" t="s">
        <v>126</v>
      </c>
      <c r="L16990" s="45">
        <v>46018.9375</v>
      </c>
      <c r="M16990" s="46" t="s">
        <v>123</v>
      </c>
      <c r="N16990" s="45">
        <v>46018.947916666664</v>
      </c>
      <c r="O16990" s="46" t="s">
        <v>123</v>
      </c>
      <c r="P16990" s="46">
        <v>900.0</v>
      </c>
    </row>
    <row r="16991">
      <c r="A16991" s="40">
        <f t="shared" si="1"/>
        <v>46013</v>
      </c>
      <c r="B16991" s="37" t="str">
        <f t="array" ref="B16991">iferror(xlookup($I16991, 'IMPORT VHC Report'!$E:$E, 'IMPORT VHC Report'!$A:$C), )</f>
        <v/>
      </c>
      <c r="C16991" s="44"/>
      <c r="D16991" s="44"/>
      <c r="E16991" s="46" t="s">
        <v>13201</v>
      </c>
      <c r="F16991" s="46" t="s">
        <v>7352</v>
      </c>
      <c r="G16991" s="46">
        <v>9.586408606607E12</v>
      </c>
      <c r="H16991" s="46" t="s">
        <v>7353</v>
      </c>
      <c r="I16991" s="46" t="s">
        <v>7354</v>
      </c>
      <c r="J16991" s="46" t="s">
        <v>132</v>
      </c>
      <c r="K16991" s="46" t="s">
        <v>126</v>
      </c>
      <c r="L16991" s="45">
        <v>46018.96875</v>
      </c>
      <c r="M16991" s="46" t="s">
        <v>123</v>
      </c>
      <c r="N16991" s="45">
        <v>46019.010416666664</v>
      </c>
      <c r="O16991" s="46" t="s">
        <v>123</v>
      </c>
      <c r="P16991" s="46">
        <v>3600.0</v>
      </c>
    </row>
    <row r="16992">
      <c r="A16992" s="40">
        <f t="shared" si="1"/>
        <v>46013</v>
      </c>
      <c r="B16992" s="37" t="str">
        <f t="array" ref="B16992">iferror(xlookup($I16992, 'IMPORT VHC Report'!$E:$E, 'IMPORT VHC Report'!$A:$C), )</f>
        <v/>
      </c>
      <c r="C16992" s="44"/>
      <c r="D16992" s="44"/>
      <c r="E16992" s="46" t="s">
        <v>13202</v>
      </c>
      <c r="F16992" s="46" t="s">
        <v>7377</v>
      </c>
      <c r="G16992" s="46">
        <v>5.047314632975E12</v>
      </c>
      <c r="H16992" s="46" t="s">
        <v>7378</v>
      </c>
      <c r="I16992" s="46" t="s">
        <v>7379</v>
      </c>
      <c r="J16992" s="46" t="s">
        <v>4</v>
      </c>
      <c r="K16992" s="46" t="s">
        <v>126</v>
      </c>
      <c r="L16992" s="45">
        <v>46014.708333333336</v>
      </c>
      <c r="M16992" s="46" t="s">
        <v>123</v>
      </c>
      <c r="N16992" s="45">
        <v>46014.75</v>
      </c>
      <c r="O16992" s="46" t="s">
        <v>123</v>
      </c>
      <c r="P16992" s="46">
        <v>3600.0</v>
      </c>
      <c r="S16992" s="46" t="s">
        <v>170</v>
      </c>
    </row>
    <row r="16993">
      <c r="A16993" s="40">
        <f t="shared" si="1"/>
        <v>46013</v>
      </c>
      <c r="B16993" s="37" t="str">
        <f t="array" ref="B16993">iferror(xlookup($I16993, 'IMPORT VHC Report'!$E:$E, 'IMPORT VHC Report'!$A:$C), )</f>
        <v/>
      </c>
      <c r="C16993" s="44"/>
      <c r="D16993" s="44"/>
      <c r="E16993" s="46" t="s">
        <v>13203</v>
      </c>
      <c r="F16993" s="46" t="s">
        <v>7377</v>
      </c>
      <c r="G16993" s="46">
        <v>5.047314632975E12</v>
      </c>
      <c r="H16993" s="46" t="s">
        <v>7378</v>
      </c>
      <c r="I16993" s="46" t="s">
        <v>7379</v>
      </c>
      <c r="J16993" s="46" t="s">
        <v>161</v>
      </c>
      <c r="K16993" s="46" t="s">
        <v>63</v>
      </c>
      <c r="L16993" s="45">
        <v>46014.708333333336</v>
      </c>
      <c r="M16993" s="46" t="s">
        <v>123</v>
      </c>
      <c r="N16993" s="45">
        <v>46015.083333333336</v>
      </c>
      <c r="O16993" s="46" t="s">
        <v>123</v>
      </c>
      <c r="P16993" s="46">
        <v>32400.0</v>
      </c>
    </row>
    <row r="16994">
      <c r="A16994" s="40">
        <f t="shared" si="1"/>
        <v>46013</v>
      </c>
      <c r="B16994" s="37" t="str">
        <f t="array" ref="B16994">iferror(xlookup($I16994, 'IMPORT VHC Report'!$E:$E, 'IMPORT VHC Report'!$A:$C), )</f>
        <v/>
      </c>
      <c r="C16994" s="44"/>
      <c r="D16994" s="44"/>
      <c r="E16994" s="46" t="s">
        <v>13204</v>
      </c>
      <c r="F16994" s="46" t="s">
        <v>7377</v>
      </c>
      <c r="G16994" s="46">
        <v>5.047314632975E12</v>
      </c>
      <c r="H16994" s="46" t="s">
        <v>7378</v>
      </c>
      <c r="I16994" s="46" t="s">
        <v>7379</v>
      </c>
      <c r="J16994" s="46" t="s">
        <v>134</v>
      </c>
      <c r="K16994" s="46" t="s">
        <v>126</v>
      </c>
      <c r="L16994" s="45">
        <v>46014.802083333336</v>
      </c>
      <c r="M16994" s="46" t="s">
        <v>123</v>
      </c>
      <c r="N16994" s="45">
        <v>46014.8125</v>
      </c>
      <c r="O16994" s="46" t="s">
        <v>123</v>
      </c>
      <c r="P16994" s="46">
        <v>900.0</v>
      </c>
    </row>
    <row r="16995">
      <c r="A16995" s="40">
        <f t="shared" si="1"/>
        <v>46013</v>
      </c>
      <c r="B16995" s="37" t="str">
        <f t="array" ref="B16995">iferror(xlookup($I16995, 'IMPORT VHC Report'!$E:$E, 'IMPORT VHC Report'!$A:$C), )</f>
        <v/>
      </c>
      <c r="C16995" s="44"/>
      <c r="D16995" s="44"/>
      <c r="E16995" s="46" t="s">
        <v>13205</v>
      </c>
      <c r="F16995" s="46" t="s">
        <v>7377</v>
      </c>
      <c r="G16995" s="46">
        <v>5.047314632975E12</v>
      </c>
      <c r="H16995" s="46" t="s">
        <v>7378</v>
      </c>
      <c r="I16995" s="46" t="s">
        <v>7379</v>
      </c>
      <c r="J16995" s="46" t="s">
        <v>132</v>
      </c>
      <c r="K16995" s="46" t="s">
        <v>126</v>
      </c>
      <c r="L16995" s="45">
        <v>46014.885416666664</v>
      </c>
      <c r="M16995" s="46" t="s">
        <v>123</v>
      </c>
      <c r="N16995" s="45">
        <v>46014.927083333336</v>
      </c>
      <c r="O16995" s="46" t="s">
        <v>123</v>
      </c>
      <c r="P16995" s="46">
        <v>3600.0</v>
      </c>
    </row>
    <row r="16996">
      <c r="A16996" s="40">
        <f t="shared" si="1"/>
        <v>46013</v>
      </c>
      <c r="B16996" s="37" t="str">
        <f t="array" ref="B16996">iferror(xlookup($I16996, 'IMPORT VHC Report'!$E:$E, 'IMPORT VHC Report'!$A:$C), )</f>
        <v/>
      </c>
      <c r="C16996" s="44"/>
      <c r="D16996" s="44"/>
      <c r="E16996" s="46" t="s">
        <v>13206</v>
      </c>
      <c r="F16996" s="46" t="s">
        <v>7377</v>
      </c>
      <c r="G16996" s="46">
        <v>5.047314632975E12</v>
      </c>
      <c r="H16996" s="46" t="s">
        <v>7378</v>
      </c>
      <c r="I16996" s="46" t="s">
        <v>7379</v>
      </c>
      <c r="J16996" s="46" t="s">
        <v>134</v>
      </c>
      <c r="K16996" s="46" t="s">
        <v>126</v>
      </c>
      <c r="L16996" s="45">
        <v>46014.96875</v>
      </c>
      <c r="M16996" s="46" t="s">
        <v>123</v>
      </c>
      <c r="N16996" s="45">
        <v>46014.979166666664</v>
      </c>
      <c r="O16996" s="46" t="s">
        <v>123</v>
      </c>
      <c r="P16996" s="46">
        <v>900.0</v>
      </c>
    </row>
    <row r="16997">
      <c r="A16997" s="40">
        <f t="shared" si="1"/>
        <v>46013</v>
      </c>
      <c r="B16997" s="37" t="str">
        <f t="array" ref="B16997">iferror(xlookup($I16997, 'IMPORT VHC Report'!$E:$E, 'IMPORT VHC Report'!$A:$C), )</f>
        <v/>
      </c>
      <c r="C16997" s="44"/>
      <c r="D16997" s="44"/>
      <c r="E16997" s="46" t="s">
        <v>13207</v>
      </c>
      <c r="F16997" s="46" t="s">
        <v>7377</v>
      </c>
      <c r="G16997" s="46">
        <v>5.047314632975E12</v>
      </c>
      <c r="H16997" s="46" t="s">
        <v>7378</v>
      </c>
      <c r="I16997" s="46" t="s">
        <v>7379</v>
      </c>
      <c r="J16997" s="46" t="s">
        <v>161</v>
      </c>
      <c r="K16997" s="46" t="s">
        <v>63</v>
      </c>
      <c r="L16997" s="45">
        <v>46015.708333333336</v>
      </c>
      <c r="M16997" s="46" t="s">
        <v>123</v>
      </c>
      <c r="N16997" s="45">
        <v>46016.083333333336</v>
      </c>
      <c r="O16997" s="46" t="s">
        <v>123</v>
      </c>
      <c r="P16997" s="46">
        <v>32400.0</v>
      </c>
    </row>
    <row r="16998">
      <c r="A16998" s="40">
        <f t="shared" si="1"/>
        <v>46013</v>
      </c>
      <c r="B16998" s="37" t="str">
        <f t="array" ref="B16998">iferror(xlookup($I16998, 'IMPORT VHC Report'!$E:$E, 'IMPORT VHC Report'!$A:$C), )</f>
        <v/>
      </c>
      <c r="C16998" s="44"/>
      <c r="D16998" s="44"/>
      <c r="E16998" s="46" t="s">
        <v>13208</v>
      </c>
      <c r="F16998" s="46" t="s">
        <v>7377</v>
      </c>
      <c r="G16998" s="46">
        <v>5.047314632975E12</v>
      </c>
      <c r="H16998" s="46" t="s">
        <v>7378</v>
      </c>
      <c r="I16998" s="46" t="s">
        <v>7379</v>
      </c>
      <c r="J16998" s="46" t="s">
        <v>134</v>
      </c>
      <c r="K16998" s="46" t="s">
        <v>126</v>
      </c>
      <c r="L16998" s="45">
        <v>46015.84375</v>
      </c>
      <c r="M16998" s="46" t="s">
        <v>123</v>
      </c>
      <c r="N16998" s="45">
        <v>46015.854166666664</v>
      </c>
      <c r="O16998" s="46" t="s">
        <v>123</v>
      </c>
      <c r="P16998" s="46">
        <v>900.0</v>
      </c>
    </row>
    <row r="16999">
      <c r="A16999" s="40">
        <f t="shared" si="1"/>
        <v>46013</v>
      </c>
      <c r="B16999" s="37" t="str">
        <f t="array" ref="B16999">iferror(xlookup($I16999, 'IMPORT VHC Report'!$E:$E, 'IMPORT VHC Report'!$A:$C), )</f>
        <v/>
      </c>
      <c r="C16999" s="44"/>
      <c r="D16999" s="44"/>
      <c r="E16999" s="46" t="s">
        <v>13209</v>
      </c>
      <c r="F16999" s="46" t="s">
        <v>7377</v>
      </c>
      <c r="G16999" s="46">
        <v>5.047314632975E12</v>
      </c>
      <c r="H16999" s="46" t="s">
        <v>7378</v>
      </c>
      <c r="I16999" s="46" t="s">
        <v>7379</v>
      </c>
      <c r="J16999" s="46" t="s">
        <v>134</v>
      </c>
      <c r="K16999" s="46" t="s">
        <v>126</v>
      </c>
      <c r="L16999" s="45">
        <v>46015.895833333336</v>
      </c>
      <c r="M16999" s="46" t="s">
        <v>123</v>
      </c>
      <c r="N16999" s="45">
        <v>46015.90625</v>
      </c>
      <c r="O16999" s="46" t="s">
        <v>123</v>
      </c>
      <c r="P16999" s="46">
        <v>900.0</v>
      </c>
    </row>
    <row r="17000">
      <c r="A17000" s="40">
        <f t="shared" si="1"/>
        <v>46013</v>
      </c>
      <c r="B17000" s="37" t="str">
        <f t="array" ref="B17000">iferror(xlookup($I17000, 'IMPORT VHC Report'!$E:$E, 'IMPORT VHC Report'!$A:$C), )</f>
        <v/>
      </c>
      <c r="C17000" s="44"/>
      <c r="D17000" s="44"/>
      <c r="E17000" s="46" t="s">
        <v>13210</v>
      </c>
      <c r="F17000" s="46" t="s">
        <v>7377</v>
      </c>
      <c r="G17000" s="46">
        <v>5.047314632975E12</v>
      </c>
      <c r="H17000" s="46" t="s">
        <v>7378</v>
      </c>
      <c r="I17000" s="46" t="s">
        <v>7379</v>
      </c>
      <c r="J17000" s="46" t="s">
        <v>132</v>
      </c>
      <c r="K17000" s="46" t="s">
        <v>126</v>
      </c>
      <c r="L17000" s="45">
        <v>46015.947916666664</v>
      </c>
      <c r="M17000" s="46" t="s">
        <v>123</v>
      </c>
      <c r="N17000" s="45">
        <v>46015.958333333336</v>
      </c>
      <c r="O17000" s="46" t="s">
        <v>123</v>
      </c>
      <c r="P17000" s="46">
        <v>900.0</v>
      </c>
    </row>
    <row r="17001">
      <c r="A17001" s="40">
        <f t="shared" si="1"/>
        <v>46013</v>
      </c>
      <c r="B17001" s="37" t="str">
        <f t="array" ref="B17001">iferror(xlookup($I17001, 'IMPORT VHC Report'!$E:$E, 'IMPORT VHC Report'!$A:$C), )</f>
        <v/>
      </c>
      <c r="C17001" s="44"/>
      <c r="D17001" s="44"/>
      <c r="E17001" s="46" t="s">
        <v>13211</v>
      </c>
      <c r="F17001" s="46" t="s">
        <v>7377</v>
      </c>
      <c r="G17001" s="46">
        <v>5.047314632975E12</v>
      </c>
      <c r="H17001" s="46" t="s">
        <v>7378</v>
      </c>
      <c r="I17001" s="46" t="s">
        <v>7379</v>
      </c>
      <c r="J17001" s="46" t="s">
        <v>136</v>
      </c>
      <c r="K17001" s="46" t="s">
        <v>126</v>
      </c>
      <c r="L17001" s="45">
        <v>46015.958333333336</v>
      </c>
      <c r="M17001" s="46" t="s">
        <v>123</v>
      </c>
      <c r="N17001" s="45">
        <v>46016.0</v>
      </c>
      <c r="O17001" s="46" t="s">
        <v>123</v>
      </c>
      <c r="P17001" s="46">
        <v>3600.0</v>
      </c>
      <c r="S17001" s="46" t="s">
        <v>175</v>
      </c>
    </row>
    <row r="17002">
      <c r="A17002" s="40">
        <f t="shared" si="1"/>
        <v>46013</v>
      </c>
      <c r="B17002" s="37" t="str">
        <f t="array" ref="B17002">iferror(xlookup($I17002, 'IMPORT VHC Report'!$E:$E, 'IMPORT VHC Report'!$A:$C), )</f>
        <v/>
      </c>
      <c r="C17002" s="44"/>
      <c r="D17002" s="44"/>
      <c r="E17002" s="46" t="s">
        <v>13212</v>
      </c>
      <c r="F17002" s="46" t="s">
        <v>7377</v>
      </c>
      <c r="G17002" s="46">
        <v>5.047314632975E12</v>
      </c>
      <c r="H17002" s="46" t="s">
        <v>7378</v>
      </c>
      <c r="I17002" s="46" t="s">
        <v>7379</v>
      </c>
      <c r="J17002" s="46" t="s">
        <v>132</v>
      </c>
      <c r="K17002" s="46" t="s">
        <v>126</v>
      </c>
      <c r="L17002" s="45">
        <v>46016.0</v>
      </c>
      <c r="M17002" s="46" t="s">
        <v>123</v>
      </c>
      <c r="N17002" s="45">
        <v>46016.041666666664</v>
      </c>
      <c r="O17002" s="46" t="s">
        <v>123</v>
      </c>
      <c r="P17002" s="46">
        <v>3600.0</v>
      </c>
    </row>
    <row r="17003">
      <c r="A17003" s="40">
        <f t="shared" si="1"/>
        <v>46013</v>
      </c>
      <c r="B17003" s="37" t="str">
        <f t="array" ref="B17003">iferror(xlookup($I17003, 'IMPORT VHC Report'!$E:$E, 'IMPORT VHC Report'!$A:$C), )</f>
        <v/>
      </c>
      <c r="C17003" s="44"/>
      <c r="D17003" s="44"/>
      <c r="E17003" s="46" t="s">
        <v>13213</v>
      </c>
      <c r="F17003" s="46" t="s">
        <v>7377</v>
      </c>
      <c r="G17003" s="46">
        <v>5.047314632975E12</v>
      </c>
      <c r="H17003" s="46" t="s">
        <v>7378</v>
      </c>
      <c r="I17003" s="46" t="s">
        <v>7379</v>
      </c>
      <c r="J17003" s="46" t="s">
        <v>161</v>
      </c>
      <c r="K17003" s="46" t="s">
        <v>63</v>
      </c>
      <c r="L17003" s="45">
        <v>46016.708333333336</v>
      </c>
      <c r="M17003" s="46" t="s">
        <v>123</v>
      </c>
      <c r="N17003" s="45">
        <v>46017.083333333336</v>
      </c>
      <c r="O17003" s="46" t="s">
        <v>123</v>
      </c>
      <c r="P17003" s="46">
        <v>32400.0</v>
      </c>
    </row>
    <row r="17004">
      <c r="A17004" s="40">
        <f t="shared" si="1"/>
        <v>46013</v>
      </c>
      <c r="B17004" s="37" t="str">
        <f t="array" ref="B17004">iferror(xlookup($I17004, 'IMPORT VHC Report'!$E:$E, 'IMPORT VHC Report'!$A:$C), )</f>
        <v/>
      </c>
      <c r="C17004" s="44"/>
      <c r="D17004" s="44"/>
      <c r="E17004" s="46" t="s">
        <v>13214</v>
      </c>
      <c r="F17004" s="46" t="s">
        <v>7377</v>
      </c>
      <c r="G17004" s="46">
        <v>5.047314632975E12</v>
      </c>
      <c r="H17004" s="46" t="s">
        <v>7378</v>
      </c>
      <c r="I17004" s="46" t="s">
        <v>7379</v>
      </c>
      <c r="J17004" s="46" t="s">
        <v>134</v>
      </c>
      <c r="K17004" s="46" t="s">
        <v>126</v>
      </c>
      <c r="L17004" s="45">
        <v>46016.822916666664</v>
      </c>
      <c r="M17004" s="46" t="s">
        <v>123</v>
      </c>
      <c r="N17004" s="45">
        <v>46016.833333333336</v>
      </c>
      <c r="O17004" s="46" t="s">
        <v>123</v>
      </c>
      <c r="P17004" s="46">
        <v>900.0</v>
      </c>
    </row>
    <row r="17005">
      <c r="A17005" s="40">
        <f t="shared" si="1"/>
        <v>46013</v>
      </c>
      <c r="B17005" s="37" t="str">
        <f t="array" ref="B17005">iferror(xlookup($I17005, 'IMPORT VHC Report'!$E:$E, 'IMPORT VHC Report'!$A:$C), )</f>
        <v/>
      </c>
      <c r="C17005" s="44"/>
      <c r="D17005" s="44"/>
      <c r="E17005" s="46" t="s">
        <v>13215</v>
      </c>
      <c r="F17005" s="46" t="s">
        <v>7377</v>
      </c>
      <c r="G17005" s="46">
        <v>5.047314632975E12</v>
      </c>
      <c r="H17005" s="46" t="s">
        <v>7378</v>
      </c>
      <c r="I17005" s="46" t="s">
        <v>7379</v>
      </c>
      <c r="J17005" s="46" t="s">
        <v>132</v>
      </c>
      <c r="K17005" s="46" t="s">
        <v>126</v>
      </c>
      <c r="L17005" s="45">
        <v>46016.916666666664</v>
      </c>
      <c r="M17005" s="46" t="s">
        <v>123</v>
      </c>
      <c r="N17005" s="45">
        <v>46016.958333333336</v>
      </c>
      <c r="O17005" s="46" t="s">
        <v>123</v>
      </c>
      <c r="P17005" s="46">
        <v>3600.0</v>
      </c>
    </row>
    <row r="17006">
      <c r="A17006" s="40">
        <f t="shared" si="1"/>
        <v>46013</v>
      </c>
      <c r="B17006" s="37" t="str">
        <f t="array" ref="B17006">iferror(xlookup($I17006, 'IMPORT VHC Report'!$E:$E, 'IMPORT VHC Report'!$A:$C), )</f>
        <v/>
      </c>
      <c r="C17006" s="44"/>
      <c r="D17006" s="44"/>
      <c r="E17006" s="46" t="s">
        <v>13216</v>
      </c>
      <c r="F17006" s="46" t="s">
        <v>7377</v>
      </c>
      <c r="G17006" s="46">
        <v>5.047314632975E12</v>
      </c>
      <c r="H17006" s="46" t="s">
        <v>7378</v>
      </c>
      <c r="I17006" s="46" t="s">
        <v>7379</v>
      </c>
      <c r="J17006" s="46" t="s">
        <v>134</v>
      </c>
      <c r="K17006" s="46" t="s">
        <v>126</v>
      </c>
      <c r="L17006" s="45">
        <v>46016.989583333336</v>
      </c>
      <c r="M17006" s="46" t="s">
        <v>123</v>
      </c>
      <c r="N17006" s="45">
        <v>46017.0</v>
      </c>
      <c r="O17006" s="46" t="s">
        <v>123</v>
      </c>
      <c r="P17006" s="46">
        <v>900.0</v>
      </c>
    </row>
    <row r="17007">
      <c r="A17007" s="40">
        <f t="shared" si="1"/>
        <v>46013</v>
      </c>
      <c r="B17007" s="37" t="str">
        <f t="array" ref="B17007">iferror(xlookup($I17007, 'IMPORT VHC Report'!$E:$E, 'IMPORT VHC Report'!$A:$C), )</f>
        <v/>
      </c>
      <c r="C17007" s="44"/>
      <c r="D17007" s="44"/>
      <c r="E17007" s="46" t="s">
        <v>13217</v>
      </c>
      <c r="F17007" s="46" t="s">
        <v>7377</v>
      </c>
      <c r="G17007" s="46">
        <v>5.047314632975E12</v>
      </c>
      <c r="H17007" s="46" t="s">
        <v>7378</v>
      </c>
      <c r="I17007" s="46" t="s">
        <v>7379</v>
      </c>
      <c r="J17007" s="46" t="s">
        <v>161</v>
      </c>
      <c r="K17007" s="46" t="s">
        <v>63</v>
      </c>
      <c r="L17007" s="45">
        <v>46017.708333333336</v>
      </c>
      <c r="M17007" s="46" t="s">
        <v>123</v>
      </c>
      <c r="N17007" s="45">
        <v>46018.083333333336</v>
      </c>
      <c r="O17007" s="46" t="s">
        <v>123</v>
      </c>
      <c r="P17007" s="46">
        <v>32400.0</v>
      </c>
    </row>
    <row r="17008">
      <c r="A17008" s="40">
        <f t="shared" si="1"/>
        <v>46013</v>
      </c>
      <c r="B17008" s="37" t="str">
        <f t="array" ref="B17008">iferror(xlookup($I17008, 'IMPORT VHC Report'!$E:$E, 'IMPORT VHC Report'!$A:$C), )</f>
        <v/>
      </c>
      <c r="C17008" s="44"/>
      <c r="D17008" s="44"/>
      <c r="E17008" s="46" t="s">
        <v>13218</v>
      </c>
      <c r="F17008" s="46" t="s">
        <v>7377</v>
      </c>
      <c r="G17008" s="46">
        <v>5.047314632975E12</v>
      </c>
      <c r="H17008" s="46" t="s">
        <v>7378</v>
      </c>
      <c r="I17008" s="46" t="s">
        <v>7379</v>
      </c>
      <c r="J17008" s="46" t="s">
        <v>178</v>
      </c>
      <c r="K17008" s="46" t="s">
        <v>153</v>
      </c>
      <c r="L17008" s="45">
        <v>46017.708333333336</v>
      </c>
      <c r="M17008" s="46" t="s">
        <v>123</v>
      </c>
      <c r="N17008" s="45">
        <v>46018.083333333336</v>
      </c>
      <c r="O17008" s="46" t="s">
        <v>123</v>
      </c>
      <c r="P17008" s="46">
        <v>32400.0</v>
      </c>
      <c r="Q17008" s="46">
        <v>57600.0</v>
      </c>
    </row>
    <row r="17009">
      <c r="A17009" s="40">
        <f t="shared" si="1"/>
        <v>46013</v>
      </c>
      <c r="B17009" s="37" t="str">
        <f t="array" ref="B17009">iferror(xlookup($I17009, 'IMPORT VHC Report'!$E:$E, 'IMPORT VHC Report'!$A:$C), )</f>
        <v/>
      </c>
      <c r="C17009" s="44"/>
      <c r="D17009" s="44"/>
      <c r="E17009" s="46" t="s">
        <v>13219</v>
      </c>
      <c r="F17009" s="46" t="s">
        <v>7377</v>
      </c>
      <c r="G17009" s="46">
        <v>5.047314632975E12</v>
      </c>
      <c r="H17009" s="46" t="s">
        <v>7378</v>
      </c>
      <c r="I17009" s="46" t="s">
        <v>7379</v>
      </c>
      <c r="J17009" s="46" t="s">
        <v>134</v>
      </c>
      <c r="K17009" s="46" t="s">
        <v>126</v>
      </c>
      <c r="L17009" s="45">
        <v>46017.78125</v>
      </c>
      <c r="M17009" s="46" t="s">
        <v>123</v>
      </c>
      <c r="N17009" s="45">
        <v>46017.791666666664</v>
      </c>
      <c r="O17009" s="46" t="s">
        <v>123</v>
      </c>
      <c r="P17009" s="46">
        <v>900.0</v>
      </c>
    </row>
    <row r="17010">
      <c r="A17010" s="40">
        <f t="shared" si="1"/>
        <v>46013</v>
      </c>
      <c r="B17010" s="37" t="str">
        <f t="array" ref="B17010">iferror(xlookup($I17010, 'IMPORT VHC Report'!$E:$E, 'IMPORT VHC Report'!$A:$C), )</f>
        <v/>
      </c>
      <c r="C17010" s="44"/>
      <c r="D17010" s="44"/>
      <c r="E17010" s="46" t="s">
        <v>13220</v>
      </c>
      <c r="F17010" s="46" t="s">
        <v>7377</v>
      </c>
      <c r="G17010" s="46">
        <v>5.047314632975E12</v>
      </c>
      <c r="H17010" s="46" t="s">
        <v>7378</v>
      </c>
      <c r="I17010" s="46" t="s">
        <v>7379</v>
      </c>
      <c r="J17010" s="46" t="s">
        <v>132</v>
      </c>
      <c r="K17010" s="46" t="s">
        <v>126</v>
      </c>
      <c r="L17010" s="45">
        <v>46017.895833333336</v>
      </c>
      <c r="M17010" s="46" t="s">
        <v>123</v>
      </c>
      <c r="N17010" s="45">
        <v>46017.9375</v>
      </c>
      <c r="O17010" s="46" t="s">
        <v>123</v>
      </c>
      <c r="P17010" s="46">
        <v>3600.0</v>
      </c>
    </row>
    <row r="17011">
      <c r="A17011" s="40">
        <f t="shared" si="1"/>
        <v>46013</v>
      </c>
      <c r="B17011" s="37" t="str">
        <f t="array" ref="B17011">iferror(xlookup($I17011, 'IMPORT VHC Report'!$E:$E, 'IMPORT VHC Report'!$A:$C), )</f>
        <v/>
      </c>
      <c r="C17011" s="44"/>
      <c r="D17011" s="44"/>
      <c r="E17011" s="46" t="s">
        <v>13221</v>
      </c>
      <c r="F17011" s="46" t="s">
        <v>7377</v>
      </c>
      <c r="G17011" s="46">
        <v>5.047314632975E12</v>
      </c>
      <c r="H17011" s="46" t="s">
        <v>7378</v>
      </c>
      <c r="I17011" s="46" t="s">
        <v>7379</v>
      </c>
      <c r="J17011" s="46" t="s">
        <v>134</v>
      </c>
      <c r="K17011" s="46" t="s">
        <v>126</v>
      </c>
      <c r="L17011" s="45">
        <v>46017.989583333336</v>
      </c>
      <c r="M17011" s="46" t="s">
        <v>123</v>
      </c>
      <c r="N17011" s="45">
        <v>46018.0</v>
      </c>
      <c r="O17011" s="46" t="s">
        <v>123</v>
      </c>
      <c r="P17011" s="46">
        <v>900.0</v>
      </c>
    </row>
    <row r="17012">
      <c r="A17012" s="40">
        <f t="shared" si="1"/>
        <v>46013</v>
      </c>
      <c r="B17012" s="37" t="str">
        <f t="array" ref="B17012">iferror(xlookup($I17012, 'IMPORT VHC Report'!$E:$E, 'IMPORT VHC Report'!$A:$C), )</f>
        <v/>
      </c>
      <c r="C17012" s="44"/>
      <c r="D17012" s="44"/>
      <c r="E17012" s="46" t="s">
        <v>13222</v>
      </c>
      <c r="F17012" s="46" t="s">
        <v>7377</v>
      </c>
      <c r="G17012" s="46">
        <v>5.047314632975E12</v>
      </c>
      <c r="H17012" s="46" t="s">
        <v>7378</v>
      </c>
      <c r="I17012" s="46" t="s">
        <v>7379</v>
      </c>
      <c r="J17012" s="46" t="s">
        <v>161</v>
      </c>
      <c r="K17012" s="46" t="s">
        <v>63</v>
      </c>
      <c r="L17012" s="45">
        <v>46018.708333333336</v>
      </c>
      <c r="M17012" s="46" t="s">
        <v>123</v>
      </c>
      <c r="N17012" s="45">
        <v>46019.083333333336</v>
      </c>
      <c r="O17012" s="46" t="s">
        <v>123</v>
      </c>
      <c r="P17012" s="46">
        <v>32400.0</v>
      </c>
    </row>
    <row r="17013">
      <c r="A17013" s="40">
        <f t="shared" si="1"/>
        <v>46013</v>
      </c>
      <c r="B17013" s="37" t="str">
        <f t="array" ref="B17013">iferror(xlookup($I17013, 'IMPORT VHC Report'!$E:$E, 'IMPORT VHC Report'!$A:$C), )</f>
        <v/>
      </c>
      <c r="C17013" s="44"/>
      <c r="D17013" s="44"/>
      <c r="E17013" s="46" t="s">
        <v>13223</v>
      </c>
      <c r="F17013" s="46" t="s">
        <v>7377</v>
      </c>
      <c r="G17013" s="46">
        <v>5.047314632975E12</v>
      </c>
      <c r="H17013" s="46" t="s">
        <v>7378</v>
      </c>
      <c r="I17013" s="46" t="s">
        <v>7379</v>
      </c>
      <c r="J17013" s="46" t="s">
        <v>178</v>
      </c>
      <c r="K17013" s="46" t="s">
        <v>153</v>
      </c>
      <c r="L17013" s="45">
        <v>46018.708333333336</v>
      </c>
      <c r="M17013" s="46" t="s">
        <v>123</v>
      </c>
      <c r="N17013" s="45">
        <v>46019.083333333336</v>
      </c>
      <c r="O17013" s="46" t="s">
        <v>123</v>
      </c>
      <c r="P17013" s="46">
        <v>32400.0</v>
      </c>
      <c r="Q17013" s="46">
        <v>32400.0</v>
      </c>
    </row>
    <row r="17014">
      <c r="A17014" s="40">
        <f t="shared" si="1"/>
        <v>46013</v>
      </c>
      <c r="B17014" s="37" t="str">
        <f t="array" ref="B17014">iferror(xlookup($I17014, 'IMPORT VHC Report'!$E:$E, 'IMPORT VHC Report'!$A:$C), )</f>
        <v/>
      </c>
      <c r="C17014" s="44"/>
      <c r="D17014" s="44"/>
      <c r="E17014" s="46" t="s">
        <v>13224</v>
      </c>
      <c r="F17014" s="46" t="s">
        <v>7377</v>
      </c>
      <c r="G17014" s="46">
        <v>5.047314632975E12</v>
      </c>
      <c r="H17014" s="46" t="s">
        <v>7378</v>
      </c>
      <c r="I17014" s="46" t="s">
        <v>7379</v>
      </c>
      <c r="J17014" s="46" t="s">
        <v>134</v>
      </c>
      <c r="K17014" s="46" t="s">
        <v>126</v>
      </c>
      <c r="L17014" s="45">
        <v>46018.84375</v>
      </c>
      <c r="M17014" s="46" t="s">
        <v>123</v>
      </c>
      <c r="N17014" s="45">
        <v>46018.854166666664</v>
      </c>
      <c r="O17014" s="46" t="s">
        <v>123</v>
      </c>
      <c r="P17014" s="46">
        <v>900.0</v>
      </c>
    </row>
    <row r="17015">
      <c r="A17015" s="40">
        <f t="shared" si="1"/>
        <v>46013</v>
      </c>
      <c r="B17015" s="37" t="str">
        <f t="array" ref="B17015">iferror(xlookup($I17015, 'IMPORT VHC Report'!$E:$E, 'IMPORT VHC Report'!$A:$C), )</f>
        <v/>
      </c>
      <c r="C17015" s="44"/>
      <c r="D17015" s="44"/>
      <c r="E17015" s="46" t="s">
        <v>13225</v>
      </c>
      <c r="F17015" s="46" t="s">
        <v>7377</v>
      </c>
      <c r="G17015" s="46">
        <v>5.047314632975E12</v>
      </c>
      <c r="H17015" s="46" t="s">
        <v>7378</v>
      </c>
      <c r="I17015" s="46" t="s">
        <v>7379</v>
      </c>
      <c r="J17015" s="46" t="s">
        <v>132</v>
      </c>
      <c r="K17015" s="46" t="s">
        <v>126</v>
      </c>
      <c r="L17015" s="45">
        <v>46018.895833333336</v>
      </c>
      <c r="M17015" s="46" t="s">
        <v>123</v>
      </c>
      <c r="N17015" s="45">
        <v>46018.9375</v>
      </c>
      <c r="O17015" s="46" t="s">
        <v>123</v>
      </c>
      <c r="P17015" s="46">
        <v>3600.0</v>
      </c>
    </row>
    <row r="17016">
      <c r="A17016" s="40">
        <f t="shared" si="1"/>
        <v>46013</v>
      </c>
      <c r="B17016" s="37" t="str">
        <f t="array" ref="B17016">iferror(xlookup($I17016, 'IMPORT VHC Report'!$E:$E, 'IMPORT VHC Report'!$A:$C), )</f>
        <v/>
      </c>
      <c r="C17016" s="44"/>
      <c r="D17016" s="44"/>
      <c r="E17016" s="46" t="s">
        <v>13226</v>
      </c>
      <c r="F17016" s="46" t="s">
        <v>7377</v>
      </c>
      <c r="G17016" s="46">
        <v>5.047314632975E12</v>
      </c>
      <c r="H17016" s="46" t="s">
        <v>7378</v>
      </c>
      <c r="I17016" s="46" t="s">
        <v>7379</v>
      </c>
      <c r="J17016" s="46" t="s">
        <v>134</v>
      </c>
      <c r="K17016" s="46" t="s">
        <v>126</v>
      </c>
      <c r="L17016" s="45">
        <v>46018.96875</v>
      </c>
      <c r="M17016" s="46" t="s">
        <v>123</v>
      </c>
      <c r="N17016" s="45">
        <v>46018.979166666664</v>
      </c>
      <c r="O17016" s="46" t="s">
        <v>123</v>
      </c>
      <c r="P17016" s="46">
        <v>900.0</v>
      </c>
    </row>
    <row r="17017">
      <c r="A17017" s="40">
        <f t="shared" si="1"/>
        <v>46013</v>
      </c>
      <c r="B17017" s="37" t="str">
        <f t="array" ref="B17017">iferror(xlookup($I17017, 'IMPORT VHC Report'!$E:$E, 'IMPORT VHC Report'!$A:$C), )</f>
        <v/>
      </c>
      <c r="C17017" s="44"/>
      <c r="D17017" s="44"/>
      <c r="E17017" s="46" t="s">
        <v>13227</v>
      </c>
      <c r="F17017" s="46" t="s">
        <v>7856</v>
      </c>
      <c r="G17017" s="46">
        <v>5.359144633743E12</v>
      </c>
      <c r="H17017" s="46" t="s">
        <v>7857</v>
      </c>
      <c r="I17017" s="46" t="s">
        <v>7858</v>
      </c>
      <c r="J17017" s="46" t="s">
        <v>161</v>
      </c>
      <c r="K17017" s="46" t="s">
        <v>63</v>
      </c>
      <c r="L17017" s="45">
        <v>46015.625</v>
      </c>
      <c r="M17017" s="46" t="s">
        <v>123</v>
      </c>
      <c r="N17017" s="45">
        <v>46016.0</v>
      </c>
      <c r="O17017" s="46" t="s">
        <v>123</v>
      </c>
      <c r="P17017" s="46">
        <v>32400.0</v>
      </c>
    </row>
    <row r="17018">
      <c r="A17018" s="40">
        <f t="shared" si="1"/>
        <v>46013</v>
      </c>
      <c r="B17018" s="37" t="str">
        <f t="array" ref="B17018">iferror(xlookup($I17018, 'IMPORT VHC Report'!$E:$E, 'IMPORT VHC Report'!$A:$C), )</f>
        <v/>
      </c>
      <c r="C17018" s="44"/>
      <c r="D17018" s="44"/>
      <c r="E17018" s="46" t="s">
        <v>13228</v>
      </c>
      <c r="F17018" s="46" t="s">
        <v>7856</v>
      </c>
      <c r="G17018" s="46">
        <v>5.359144633743E12</v>
      </c>
      <c r="H17018" s="46" t="s">
        <v>7857</v>
      </c>
      <c r="I17018" s="46" t="s">
        <v>7858</v>
      </c>
      <c r="J17018" s="46" t="s">
        <v>178</v>
      </c>
      <c r="K17018" s="46" t="s">
        <v>153</v>
      </c>
      <c r="L17018" s="45">
        <v>46015.625</v>
      </c>
      <c r="M17018" s="46" t="s">
        <v>123</v>
      </c>
      <c r="N17018" s="45">
        <v>46016.0</v>
      </c>
      <c r="O17018" s="46" t="s">
        <v>123</v>
      </c>
      <c r="P17018" s="46">
        <v>32400.0</v>
      </c>
      <c r="Q17018" s="46">
        <v>28800.0</v>
      </c>
      <c r="R17018" s="46" t="s">
        <v>13229</v>
      </c>
    </row>
    <row r="17019">
      <c r="A17019" s="40">
        <f t="shared" si="1"/>
        <v>46013</v>
      </c>
      <c r="B17019" s="37" t="str">
        <f t="array" ref="B17019">iferror(xlookup($I17019, 'IMPORT VHC Report'!$E:$E, 'IMPORT VHC Report'!$A:$C), )</f>
        <v/>
      </c>
      <c r="C17019" s="44"/>
      <c r="D17019" s="44"/>
      <c r="E17019" s="46" t="s">
        <v>13230</v>
      </c>
      <c r="F17019" s="46" t="s">
        <v>7856</v>
      </c>
      <c r="G17019" s="46">
        <v>5.359144633743E12</v>
      </c>
      <c r="H17019" s="46" t="s">
        <v>7857</v>
      </c>
      <c r="I17019" s="46" t="s">
        <v>7858</v>
      </c>
      <c r="J17019" s="46" t="s">
        <v>136</v>
      </c>
      <c r="K17019" s="46" t="s">
        <v>126</v>
      </c>
      <c r="L17019" s="45">
        <v>46015.708333333336</v>
      </c>
      <c r="M17019" s="46" t="s">
        <v>123</v>
      </c>
      <c r="N17019" s="45">
        <v>46015.75</v>
      </c>
      <c r="O17019" s="46" t="s">
        <v>123</v>
      </c>
      <c r="P17019" s="46">
        <v>3600.0</v>
      </c>
      <c r="S17019" s="46" t="s">
        <v>175</v>
      </c>
    </row>
    <row r="17020">
      <c r="A17020" s="40">
        <f t="shared" si="1"/>
        <v>46013</v>
      </c>
      <c r="B17020" s="37" t="str">
        <f t="array" ref="B17020">iferror(xlookup($I17020, 'IMPORT VHC Report'!$E:$E, 'IMPORT VHC Report'!$A:$C), )</f>
        <v/>
      </c>
      <c r="C17020" s="44"/>
      <c r="D17020" s="44"/>
      <c r="E17020" s="46" t="s">
        <v>13231</v>
      </c>
      <c r="F17020" s="46" t="s">
        <v>7856</v>
      </c>
      <c r="G17020" s="46">
        <v>5.359144633743E12</v>
      </c>
      <c r="H17020" s="46" t="s">
        <v>7857</v>
      </c>
      <c r="I17020" s="46" t="s">
        <v>7858</v>
      </c>
      <c r="J17020" s="46" t="s">
        <v>134</v>
      </c>
      <c r="K17020" s="46" t="s">
        <v>126</v>
      </c>
      <c r="L17020" s="45">
        <v>46015.770833333336</v>
      </c>
      <c r="M17020" s="46" t="s">
        <v>123</v>
      </c>
      <c r="N17020" s="45">
        <v>46015.78125</v>
      </c>
      <c r="O17020" s="46" t="s">
        <v>123</v>
      </c>
      <c r="P17020" s="46">
        <v>900.0</v>
      </c>
    </row>
    <row r="17021">
      <c r="A17021" s="40">
        <f t="shared" si="1"/>
        <v>46013</v>
      </c>
      <c r="B17021" s="37" t="str">
        <f t="array" ref="B17021">iferror(xlookup($I17021, 'IMPORT VHC Report'!$E:$E, 'IMPORT VHC Report'!$A:$C), )</f>
        <v/>
      </c>
      <c r="C17021" s="44"/>
      <c r="D17021" s="44"/>
      <c r="E17021" s="46" t="s">
        <v>13232</v>
      </c>
      <c r="F17021" s="46" t="s">
        <v>7856</v>
      </c>
      <c r="G17021" s="46">
        <v>5.359144633743E12</v>
      </c>
      <c r="H17021" s="46" t="s">
        <v>7857</v>
      </c>
      <c r="I17021" s="46" t="s">
        <v>7858</v>
      </c>
      <c r="J17021" s="46" t="s">
        <v>134</v>
      </c>
      <c r="K17021" s="46" t="s">
        <v>126</v>
      </c>
      <c r="L17021" s="45">
        <v>46015.875</v>
      </c>
      <c r="M17021" s="46" t="s">
        <v>123</v>
      </c>
      <c r="N17021" s="45">
        <v>46015.885416666664</v>
      </c>
      <c r="O17021" s="46" t="s">
        <v>123</v>
      </c>
      <c r="P17021" s="46">
        <v>900.0</v>
      </c>
    </row>
    <row r="17022">
      <c r="A17022" s="40">
        <f t="shared" si="1"/>
        <v>46013</v>
      </c>
      <c r="B17022" s="37" t="str">
        <f t="array" ref="B17022">iferror(xlookup($I17022, 'IMPORT VHC Report'!$E:$E, 'IMPORT VHC Report'!$A:$C), )</f>
        <v/>
      </c>
      <c r="C17022" s="44"/>
      <c r="D17022" s="44"/>
      <c r="E17022" s="46" t="s">
        <v>13233</v>
      </c>
      <c r="F17022" s="46" t="s">
        <v>7856</v>
      </c>
      <c r="G17022" s="46">
        <v>5.359144633743E12</v>
      </c>
      <c r="H17022" s="46" t="s">
        <v>7857</v>
      </c>
      <c r="I17022" s="46" t="s">
        <v>7858</v>
      </c>
      <c r="J17022" s="46" t="s">
        <v>132</v>
      </c>
      <c r="K17022" s="46" t="s">
        <v>126</v>
      </c>
      <c r="L17022" s="45">
        <v>46015.90625</v>
      </c>
      <c r="M17022" s="46" t="s">
        <v>123</v>
      </c>
      <c r="N17022" s="45">
        <v>46015.947916666664</v>
      </c>
      <c r="O17022" s="46" t="s">
        <v>123</v>
      </c>
      <c r="P17022" s="46">
        <v>3600.0</v>
      </c>
    </row>
    <row r="17023">
      <c r="A17023" s="40">
        <f t="shared" si="1"/>
        <v>46013</v>
      </c>
      <c r="B17023" s="37" t="str">
        <f t="array" ref="B17023">iferror(xlookup($I17023, 'IMPORT VHC Report'!$E:$E, 'IMPORT VHC Report'!$A:$C), )</f>
        <v/>
      </c>
      <c r="C17023" s="44"/>
      <c r="D17023" s="44"/>
      <c r="E17023" s="46" t="s">
        <v>13234</v>
      </c>
      <c r="F17023" s="46" t="s">
        <v>7856</v>
      </c>
      <c r="G17023" s="46">
        <v>5.359144633743E12</v>
      </c>
      <c r="H17023" s="46" t="s">
        <v>7857</v>
      </c>
      <c r="I17023" s="46" t="s">
        <v>7858</v>
      </c>
      <c r="J17023" s="46" t="s">
        <v>161</v>
      </c>
      <c r="K17023" s="46" t="s">
        <v>63</v>
      </c>
      <c r="L17023" s="45">
        <v>46016.625</v>
      </c>
      <c r="M17023" s="46" t="s">
        <v>123</v>
      </c>
      <c r="N17023" s="45">
        <v>46017.0</v>
      </c>
      <c r="O17023" s="46" t="s">
        <v>123</v>
      </c>
      <c r="P17023" s="46">
        <v>32400.0</v>
      </c>
    </row>
    <row r="17024">
      <c r="A17024" s="40">
        <f t="shared" si="1"/>
        <v>46013</v>
      </c>
      <c r="B17024" s="37" t="str">
        <f t="array" ref="B17024">iferror(xlookup($I17024, 'IMPORT VHC Report'!$E:$E, 'IMPORT VHC Report'!$A:$C), )</f>
        <v/>
      </c>
      <c r="C17024" s="44"/>
      <c r="D17024" s="44"/>
      <c r="E17024" s="46" t="s">
        <v>13235</v>
      </c>
      <c r="F17024" s="46" t="s">
        <v>7856</v>
      </c>
      <c r="G17024" s="46">
        <v>5.359144633743E12</v>
      </c>
      <c r="H17024" s="46" t="s">
        <v>7857</v>
      </c>
      <c r="I17024" s="46" t="s">
        <v>7858</v>
      </c>
      <c r="J17024" s="46" t="s">
        <v>152</v>
      </c>
      <c r="K17024" s="46" t="s">
        <v>153</v>
      </c>
      <c r="L17024" s="45">
        <v>46016.625</v>
      </c>
      <c r="M17024" s="46" t="s">
        <v>123</v>
      </c>
      <c r="N17024" s="45">
        <v>46017.0</v>
      </c>
      <c r="O17024" s="46" t="s">
        <v>123</v>
      </c>
      <c r="P17024" s="46">
        <v>32400.0</v>
      </c>
      <c r="Q17024" s="46">
        <v>32400.0</v>
      </c>
    </row>
    <row r="17025">
      <c r="A17025" s="40">
        <f t="shared" si="1"/>
        <v>46013</v>
      </c>
      <c r="B17025" s="37" t="str">
        <f t="array" ref="B17025">iferror(xlookup($I17025, 'IMPORT VHC Report'!$E:$E, 'IMPORT VHC Report'!$A:$C), )</f>
        <v/>
      </c>
      <c r="C17025" s="44"/>
      <c r="D17025" s="44"/>
      <c r="E17025" s="46" t="s">
        <v>13236</v>
      </c>
      <c r="F17025" s="46" t="s">
        <v>7856</v>
      </c>
      <c r="G17025" s="46">
        <v>5.359144633743E12</v>
      </c>
      <c r="H17025" s="46" t="s">
        <v>7857</v>
      </c>
      <c r="I17025" s="46" t="s">
        <v>7858</v>
      </c>
      <c r="J17025" s="46" t="s">
        <v>134</v>
      </c>
      <c r="K17025" s="46" t="s">
        <v>126</v>
      </c>
      <c r="L17025" s="45">
        <v>46016.71875</v>
      </c>
      <c r="M17025" s="46" t="s">
        <v>123</v>
      </c>
      <c r="N17025" s="45">
        <v>46016.729166666664</v>
      </c>
      <c r="O17025" s="46" t="s">
        <v>123</v>
      </c>
      <c r="P17025" s="46">
        <v>900.0</v>
      </c>
    </row>
    <row r="17026">
      <c r="A17026" s="40">
        <f t="shared" si="1"/>
        <v>46013</v>
      </c>
      <c r="B17026" s="37" t="str">
        <f t="array" ref="B17026">iferror(xlookup($I17026, 'IMPORT VHC Report'!$E:$E, 'IMPORT VHC Report'!$A:$C), )</f>
        <v/>
      </c>
      <c r="C17026" s="44"/>
      <c r="D17026" s="44"/>
      <c r="E17026" s="46" t="s">
        <v>13237</v>
      </c>
      <c r="F17026" s="46" t="s">
        <v>7856</v>
      </c>
      <c r="G17026" s="46">
        <v>5.359144633743E12</v>
      </c>
      <c r="H17026" s="46" t="s">
        <v>7857</v>
      </c>
      <c r="I17026" s="46" t="s">
        <v>7858</v>
      </c>
      <c r="J17026" s="46" t="s">
        <v>134</v>
      </c>
      <c r="K17026" s="46" t="s">
        <v>126</v>
      </c>
      <c r="L17026" s="45">
        <v>46016.84375</v>
      </c>
      <c r="M17026" s="46" t="s">
        <v>123</v>
      </c>
      <c r="N17026" s="45">
        <v>46016.854166666664</v>
      </c>
      <c r="O17026" s="46" t="s">
        <v>123</v>
      </c>
      <c r="P17026" s="46">
        <v>900.0</v>
      </c>
    </row>
    <row r="17027">
      <c r="A17027" s="40">
        <f t="shared" si="1"/>
        <v>46013</v>
      </c>
      <c r="B17027" s="37" t="str">
        <f t="array" ref="B17027">iferror(xlookup($I17027, 'IMPORT VHC Report'!$E:$E, 'IMPORT VHC Report'!$A:$C), )</f>
        <v/>
      </c>
      <c r="C17027" s="44"/>
      <c r="D17027" s="44"/>
      <c r="E17027" s="46" t="s">
        <v>13238</v>
      </c>
      <c r="F17027" s="46" t="s">
        <v>7856</v>
      </c>
      <c r="G17027" s="46">
        <v>5.359144633743E12</v>
      </c>
      <c r="H17027" s="46" t="s">
        <v>7857</v>
      </c>
      <c r="I17027" s="46" t="s">
        <v>7858</v>
      </c>
      <c r="J17027" s="46" t="s">
        <v>132</v>
      </c>
      <c r="K17027" s="46" t="s">
        <v>126</v>
      </c>
      <c r="L17027" s="45">
        <v>46016.895833333336</v>
      </c>
      <c r="M17027" s="46" t="s">
        <v>123</v>
      </c>
      <c r="N17027" s="45">
        <v>46016.9375</v>
      </c>
      <c r="O17027" s="46" t="s">
        <v>123</v>
      </c>
      <c r="P17027" s="46">
        <v>3600.0</v>
      </c>
    </row>
    <row r="17028">
      <c r="A17028" s="40">
        <f t="shared" si="1"/>
        <v>46013</v>
      </c>
      <c r="B17028" s="37" t="str">
        <f t="array" ref="B17028">iferror(xlookup($I17028, 'IMPORT VHC Report'!$E:$E, 'IMPORT VHC Report'!$A:$C), )</f>
        <v/>
      </c>
      <c r="C17028" s="44"/>
      <c r="D17028" s="44"/>
      <c r="E17028" s="46" t="s">
        <v>13239</v>
      </c>
      <c r="F17028" s="46" t="s">
        <v>7856</v>
      </c>
      <c r="G17028" s="46">
        <v>5.359144633743E12</v>
      </c>
      <c r="H17028" s="46" t="s">
        <v>7857</v>
      </c>
      <c r="I17028" s="46" t="s">
        <v>7858</v>
      </c>
      <c r="J17028" s="46" t="s">
        <v>161</v>
      </c>
      <c r="K17028" s="46" t="s">
        <v>63</v>
      </c>
      <c r="L17028" s="45">
        <v>46017.625</v>
      </c>
      <c r="M17028" s="46" t="s">
        <v>123</v>
      </c>
      <c r="N17028" s="45">
        <v>46018.0</v>
      </c>
      <c r="O17028" s="46" t="s">
        <v>123</v>
      </c>
      <c r="P17028" s="46">
        <v>32400.0</v>
      </c>
    </row>
    <row r="17029">
      <c r="A17029" s="40">
        <f t="shared" si="1"/>
        <v>46013</v>
      </c>
      <c r="B17029" s="37" t="str">
        <f t="array" ref="B17029">iferror(xlookup($I17029, 'IMPORT VHC Report'!$E:$E, 'IMPORT VHC Report'!$A:$C), )</f>
        <v/>
      </c>
      <c r="C17029" s="44"/>
      <c r="D17029" s="44"/>
      <c r="E17029" s="46" t="s">
        <v>13240</v>
      </c>
      <c r="F17029" s="46" t="s">
        <v>7856</v>
      </c>
      <c r="G17029" s="46">
        <v>5.359144633743E12</v>
      </c>
      <c r="H17029" s="46" t="s">
        <v>7857</v>
      </c>
      <c r="I17029" s="46" t="s">
        <v>7858</v>
      </c>
      <c r="J17029" s="46" t="s">
        <v>134</v>
      </c>
      <c r="K17029" s="46" t="s">
        <v>126</v>
      </c>
      <c r="L17029" s="45">
        <v>46017.71875</v>
      </c>
      <c r="M17029" s="46" t="s">
        <v>123</v>
      </c>
      <c r="N17029" s="45">
        <v>46017.729166666664</v>
      </c>
      <c r="O17029" s="46" t="s">
        <v>123</v>
      </c>
      <c r="P17029" s="46">
        <v>900.0</v>
      </c>
    </row>
    <row r="17030">
      <c r="A17030" s="40">
        <f t="shared" si="1"/>
        <v>46013</v>
      </c>
      <c r="B17030" s="37" t="str">
        <f t="array" ref="B17030">iferror(xlookup($I17030, 'IMPORT VHC Report'!$E:$E, 'IMPORT VHC Report'!$A:$C), )</f>
        <v/>
      </c>
      <c r="C17030" s="44"/>
      <c r="D17030" s="44"/>
      <c r="E17030" s="46" t="s">
        <v>13241</v>
      </c>
      <c r="F17030" s="46" t="s">
        <v>7856</v>
      </c>
      <c r="G17030" s="46">
        <v>5.359144633743E12</v>
      </c>
      <c r="H17030" s="46" t="s">
        <v>7857</v>
      </c>
      <c r="I17030" s="46" t="s">
        <v>7858</v>
      </c>
      <c r="J17030" s="46" t="s">
        <v>134</v>
      </c>
      <c r="K17030" s="46" t="s">
        <v>126</v>
      </c>
      <c r="L17030" s="45">
        <v>46017.78125</v>
      </c>
      <c r="M17030" s="46" t="s">
        <v>123</v>
      </c>
      <c r="N17030" s="45">
        <v>46017.791666666664</v>
      </c>
      <c r="O17030" s="46" t="s">
        <v>123</v>
      </c>
      <c r="P17030" s="46">
        <v>900.0</v>
      </c>
    </row>
    <row r="17031">
      <c r="A17031" s="40">
        <f t="shared" si="1"/>
        <v>46013</v>
      </c>
      <c r="B17031" s="37" t="str">
        <f t="array" ref="B17031">iferror(xlookup($I17031, 'IMPORT VHC Report'!$E:$E, 'IMPORT VHC Report'!$A:$C), )</f>
        <v/>
      </c>
      <c r="C17031" s="44"/>
      <c r="D17031" s="44"/>
      <c r="E17031" s="46" t="s">
        <v>13242</v>
      </c>
      <c r="F17031" s="46" t="s">
        <v>7856</v>
      </c>
      <c r="G17031" s="46">
        <v>5.359144633743E12</v>
      </c>
      <c r="H17031" s="46" t="s">
        <v>7857</v>
      </c>
      <c r="I17031" s="46" t="s">
        <v>7858</v>
      </c>
      <c r="J17031" s="46" t="s">
        <v>132</v>
      </c>
      <c r="K17031" s="46" t="s">
        <v>126</v>
      </c>
      <c r="L17031" s="45">
        <v>46017.885416666664</v>
      </c>
      <c r="M17031" s="46" t="s">
        <v>123</v>
      </c>
      <c r="N17031" s="45">
        <v>46017.927083333336</v>
      </c>
      <c r="O17031" s="46" t="s">
        <v>123</v>
      </c>
      <c r="P17031" s="46">
        <v>3600.0</v>
      </c>
    </row>
    <row r="17032">
      <c r="A17032" s="40">
        <f t="shared" si="1"/>
        <v>46013</v>
      </c>
      <c r="B17032" s="37" t="str">
        <f t="array" ref="B17032">iferror(xlookup($I17032, 'IMPORT VHC Report'!$E:$E, 'IMPORT VHC Report'!$A:$C), )</f>
        <v/>
      </c>
      <c r="C17032" s="44"/>
      <c r="D17032" s="44"/>
      <c r="E17032" s="46" t="s">
        <v>13243</v>
      </c>
      <c r="F17032" s="46" t="s">
        <v>7856</v>
      </c>
      <c r="G17032" s="46">
        <v>5.359144633743E12</v>
      </c>
      <c r="H17032" s="46" t="s">
        <v>7857</v>
      </c>
      <c r="I17032" s="46" t="s">
        <v>7858</v>
      </c>
      <c r="J17032" s="46" t="s">
        <v>161</v>
      </c>
      <c r="K17032" s="46" t="s">
        <v>63</v>
      </c>
      <c r="L17032" s="45">
        <v>46018.625</v>
      </c>
      <c r="M17032" s="46" t="s">
        <v>123</v>
      </c>
      <c r="N17032" s="45">
        <v>46019.0</v>
      </c>
      <c r="O17032" s="46" t="s">
        <v>123</v>
      </c>
      <c r="P17032" s="46">
        <v>32400.0</v>
      </c>
    </row>
    <row r="17033">
      <c r="A17033" s="40">
        <f t="shared" si="1"/>
        <v>46013</v>
      </c>
      <c r="B17033" s="37" t="str">
        <f t="array" ref="B17033">iferror(xlookup($I17033, 'IMPORT VHC Report'!$E:$E, 'IMPORT VHC Report'!$A:$C), )</f>
        <v/>
      </c>
      <c r="C17033" s="44"/>
      <c r="D17033" s="44"/>
      <c r="E17033" s="46" t="s">
        <v>13244</v>
      </c>
      <c r="F17033" s="46" t="s">
        <v>7856</v>
      </c>
      <c r="G17033" s="46">
        <v>5.359144633743E12</v>
      </c>
      <c r="H17033" s="46" t="s">
        <v>7857</v>
      </c>
      <c r="I17033" s="46" t="s">
        <v>7858</v>
      </c>
      <c r="J17033" s="46" t="s">
        <v>134</v>
      </c>
      <c r="K17033" s="46" t="s">
        <v>126</v>
      </c>
      <c r="L17033" s="45">
        <v>46018.708333333336</v>
      </c>
      <c r="M17033" s="46" t="s">
        <v>123</v>
      </c>
      <c r="N17033" s="45">
        <v>46018.71875</v>
      </c>
      <c r="O17033" s="46" t="s">
        <v>123</v>
      </c>
      <c r="P17033" s="46">
        <v>900.0</v>
      </c>
    </row>
    <row r="17034">
      <c r="A17034" s="40">
        <f t="shared" si="1"/>
        <v>46013</v>
      </c>
      <c r="B17034" s="37" t="str">
        <f t="array" ref="B17034">iferror(xlookup($I17034, 'IMPORT VHC Report'!$E:$E, 'IMPORT VHC Report'!$A:$C), )</f>
        <v/>
      </c>
      <c r="C17034" s="44"/>
      <c r="D17034" s="44"/>
      <c r="E17034" s="46" t="s">
        <v>13245</v>
      </c>
      <c r="F17034" s="46" t="s">
        <v>7856</v>
      </c>
      <c r="G17034" s="46">
        <v>5.359144633743E12</v>
      </c>
      <c r="H17034" s="46" t="s">
        <v>7857</v>
      </c>
      <c r="I17034" s="46" t="s">
        <v>7858</v>
      </c>
      <c r="J17034" s="46" t="s">
        <v>134</v>
      </c>
      <c r="K17034" s="46" t="s">
        <v>126</v>
      </c>
      <c r="L17034" s="45">
        <v>46018.760416666664</v>
      </c>
      <c r="M17034" s="46" t="s">
        <v>123</v>
      </c>
      <c r="N17034" s="45">
        <v>46018.770833333336</v>
      </c>
      <c r="O17034" s="46" t="s">
        <v>123</v>
      </c>
      <c r="P17034" s="46">
        <v>900.0</v>
      </c>
    </row>
    <row r="17035">
      <c r="A17035" s="40">
        <f t="shared" si="1"/>
        <v>46013</v>
      </c>
      <c r="B17035" s="37" t="str">
        <f t="array" ref="B17035">iferror(xlookup($I17035, 'IMPORT VHC Report'!$E:$E, 'IMPORT VHC Report'!$A:$C), )</f>
        <v/>
      </c>
      <c r="C17035" s="44"/>
      <c r="D17035" s="44"/>
      <c r="E17035" s="46" t="s">
        <v>13246</v>
      </c>
      <c r="F17035" s="46" t="s">
        <v>7856</v>
      </c>
      <c r="G17035" s="46">
        <v>5.359144633743E12</v>
      </c>
      <c r="H17035" s="46" t="s">
        <v>7857</v>
      </c>
      <c r="I17035" s="46" t="s">
        <v>7858</v>
      </c>
      <c r="J17035" s="46" t="s">
        <v>132</v>
      </c>
      <c r="K17035" s="46" t="s">
        <v>126</v>
      </c>
      <c r="L17035" s="45">
        <v>46018.84375</v>
      </c>
      <c r="M17035" s="46" t="s">
        <v>123</v>
      </c>
      <c r="N17035" s="45">
        <v>46018.885416666664</v>
      </c>
      <c r="O17035" s="46" t="s">
        <v>123</v>
      </c>
      <c r="P17035" s="46">
        <v>3600.0</v>
      </c>
    </row>
    <row r="17036">
      <c r="A17036" s="40">
        <f t="shared" si="1"/>
        <v>46013</v>
      </c>
      <c r="B17036" s="37" t="str">
        <f t="array" ref="B17036">iferror(xlookup($I17036, 'IMPORT VHC Report'!$E:$E, 'IMPORT VHC Report'!$A:$C), )</f>
        <v/>
      </c>
      <c r="C17036" s="44"/>
      <c r="D17036" s="44"/>
      <c r="E17036" s="46" t="s">
        <v>13247</v>
      </c>
      <c r="F17036" s="46" t="s">
        <v>7856</v>
      </c>
      <c r="G17036" s="46">
        <v>5.359144633743E12</v>
      </c>
      <c r="H17036" s="46" t="s">
        <v>7857</v>
      </c>
      <c r="I17036" s="46" t="s">
        <v>7858</v>
      </c>
      <c r="J17036" s="46" t="s">
        <v>161</v>
      </c>
      <c r="K17036" s="46" t="s">
        <v>63</v>
      </c>
      <c r="L17036" s="45">
        <v>46019.625</v>
      </c>
      <c r="M17036" s="46" t="s">
        <v>123</v>
      </c>
      <c r="N17036" s="45">
        <v>46020.0</v>
      </c>
      <c r="O17036" s="46" t="s">
        <v>123</v>
      </c>
      <c r="P17036" s="46">
        <v>32400.0</v>
      </c>
    </row>
    <row r="17037">
      <c r="A17037" s="40">
        <f t="shared" si="1"/>
        <v>46013</v>
      </c>
      <c r="B17037" s="37" t="str">
        <f t="array" ref="B17037">iferror(xlookup($I17037, 'IMPORT VHC Report'!$E:$E, 'IMPORT VHC Report'!$A:$C), )</f>
        <v/>
      </c>
      <c r="C17037" s="44"/>
      <c r="D17037" s="44"/>
      <c r="E17037" s="46" t="s">
        <v>13248</v>
      </c>
      <c r="F17037" s="46" t="s">
        <v>7856</v>
      </c>
      <c r="G17037" s="46">
        <v>5.359144633743E12</v>
      </c>
      <c r="H17037" s="46" t="s">
        <v>7857</v>
      </c>
      <c r="I17037" s="46" t="s">
        <v>7858</v>
      </c>
      <c r="J17037" s="46" t="s">
        <v>134</v>
      </c>
      <c r="K17037" s="46" t="s">
        <v>126</v>
      </c>
      <c r="L17037" s="45">
        <v>46019.6875</v>
      </c>
      <c r="M17037" s="46" t="s">
        <v>123</v>
      </c>
      <c r="N17037" s="45">
        <v>46019.697916666664</v>
      </c>
      <c r="O17037" s="46" t="s">
        <v>123</v>
      </c>
      <c r="P17037" s="46">
        <v>900.0</v>
      </c>
    </row>
    <row r="17038">
      <c r="A17038" s="40">
        <f t="shared" si="1"/>
        <v>46013</v>
      </c>
      <c r="B17038" s="37" t="str">
        <f t="array" ref="B17038">iferror(xlookup($I17038, 'IMPORT VHC Report'!$E:$E, 'IMPORT VHC Report'!$A:$C), )</f>
        <v/>
      </c>
      <c r="C17038" s="44"/>
      <c r="D17038" s="44"/>
      <c r="E17038" s="46" t="s">
        <v>13249</v>
      </c>
      <c r="F17038" s="46" t="s">
        <v>7856</v>
      </c>
      <c r="G17038" s="46">
        <v>5.359144633743E12</v>
      </c>
      <c r="H17038" s="46" t="s">
        <v>7857</v>
      </c>
      <c r="I17038" s="46" t="s">
        <v>7858</v>
      </c>
      <c r="J17038" s="46" t="s">
        <v>132</v>
      </c>
      <c r="K17038" s="46" t="s">
        <v>126</v>
      </c>
      <c r="L17038" s="45">
        <v>46019.822916666664</v>
      </c>
      <c r="M17038" s="46" t="s">
        <v>123</v>
      </c>
      <c r="N17038" s="45">
        <v>46019.864583333336</v>
      </c>
      <c r="O17038" s="46" t="s">
        <v>123</v>
      </c>
      <c r="P17038" s="46">
        <v>3600.0</v>
      </c>
    </row>
    <row r="17039">
      <c r="A17039" s="40">
        <f t="shared" si="1"/>
        <v>46013</v>
      </c>
      <c r="B17039" s="37" t="str">
        <f t="array" ref="B17039">iferror(xlookup($I17039, 'IMPORT VHC Report'!$E:$E, 'IMPORT VHC Report'!$A:$C), )</f>
        <v/>
      </c>
      <c r="C17039" s="44"/>
      <c r="D17039" s="44"/>
      <c r="E17039" s="46" t="s">
        <v>13250</v>
      </c>
      <c r="F17039" s="46" t="s">
        <v>7856</v>
      </c>
      <c r="G17039" s="46">
        <v>5.359144633743E12</v>
      </c>
      <c r="H17039" s="46" t="s">
        <v>7857</v>
      </c>
      <c r="I17039" s="46" t="s">
        <v>7858</v>
      </c>
      <c r="J17039" s="46" t="s">
        <v>134</v>
      </c>
      <c r="K17039" s="46" t="s">
        <v>126</v>
      </c>
      <c r="L17039" s="45">
        <v>46019.947916666664</v>
      </c>
      <c r="M17039" s="46" t="s">
        <v>123</v>
      </c>
      <c r="N17039" s="45">
        <v>46019.958333333336</v>
      </c>
      <c r="O17039" s="46" t="s">
        <v>123</v>
      </c>
      <c r="P17039" s="46">
        <v>900.0</v>
      </c>
    </row>
    <row r="17040">
      <c r="A17040" s="40">
        <f t="shared" si="1"/>
        <v>46006</v>
      </c>
      <c r="B17040" s="37" t="str">
        <f t="array" ref="B17040">iferror(xlookup($I17040, 'IMPORT VHC Report'!$E:$E, 'IMPORT VHC Report'!$A:$C), )</f>
        <v/>
      </c>
      <c r="C17040" s="44"/>
      <c r="D17040" s="44"/>
      <c r="E17040" s="46" t="s">
        <v>321</v>
      </c>
      <c r="F17040" s="46" t="s">
        <v>297</v>
      </c>
      <c r="G17040" s="46">
        <v>3.61731514775E11</v>
      </c>
      <c r="H17040" s="46" t="s">
        <v>298</v>
      </c>
      <c r="I17040" s="46" t="s">
        <v>299</v>
      </c>
      <c r="J17040" s="46" t="s">
        <v>300</v>
      </c>
      <c r="K17040" s="46" t="s">
        <v>63</v>
      </c>
      <c r="L17040" s="45">
        <v>46012.833333333336</v>
      </c>
      <c r="M17040" s="46" t="s">
        <v>123</v>
      </c>
      <c r="N17040" s="45">
        <v>46013.208333333336</v>
      </c>
      <c r="O17040" s="46" t="s">
        <v>123</v>
      </c>
      <c r="P17040" s="46">
        <v>32400.0</v>
      </c>
    </row>
    <row r="17041">
      <c r="A17041" s="40">
        <f t="shared" si="1"/>
        <v>46013</v>
      </c>
      <c r="B17041" s="37" t="str">
        <f t="array" ref="B17041">iferror(xlookup($I17041, 'IMPORT VHC Report'!$E:$E, 'IMPORT VHC Report'!$A:$C), )</f>
        <v/>
      </c>
      <c r="C17041" s="44"/>
      <c r="D17041" s="44"/>
      <c r="E17041" s="46" t="s">
        <v>13251</v>
      </c>
      <c r="F17041" s="46" t="s">
        <v>297</v>
      </c>
      <c r="G17041" s="46">
        <v>3.61731514775E11</v>
      </c>
      <c r="H17041" s="46" t="s">
        <v>298</v>
      </c>
      <c r="I17041" s="46" t="s">
        <v>299</v>
      </c>
      <c r="J17041" s="46" t="s">
        <v>134</v>
      </c>
      <c r="K17041" s="46" t="s">
        <v>126</v>
      </c>
      <c r="L17041" s="45">
        <v>46013.020833333336</v>
      </c>
      <c r="M17041" s="46" t="s">
        <v>123</v>
      </c>
      <c r="N17041" s="45">
        <v>46013.03125</v>
      </c>
      <c r="O17041" s="46" t="s">
        <v>123</v>
      </c>
      <c r="P17041" s="46">
        <v>900.0</v>
      </c>
    </row>
    <row r="17042">
      <c r="A17042" s="40">
        <f t="shared" si="1"/>
        <v>46013</v>
      </c>
      <c r="B17042" s="37" t="str">
        <f t="array" ref="B17042">iferror(xlookup($I17042, 'IMPORT VHC Report'!$E:$E, 'IMPORT VHC Report'!$A:$C), )</f>
        <v/>
      </c>
      <c r="C17042" s="44"/>
      <c r="D17042" s="44"/>
      <c r="E17042" s="46" t="s">
        <v>13252</v>
      </c>
      <c r="F17042" s="46" t="s">
        <v>297</v>
      </c>
      <c r="G17042" s="46">
        <v>3.61731514775E11</v>
      </c>
      <c r="H17042" s="46" t="s">
        <v>298</v>
      </c>
      <c r="I17042" s="46" t="s">
        <v>299</v>
      </c>
      <c r="J17042" s="46" t="s">
        <v>132</v>
      </c>
      <c r="K17042" s="46" t="s">
        <v>126</v>
      </c>
      <c r="L17042" s="45">
        <v>46013.114583333336</v>
      </c>
      <c r="M17042" s="46" t="s">
        <v>123</v>
      </c>
      <c r="N17042" s="45">
        <v>46013.15625</v>
      </c>
      <c r="O17042" s="46" t="s">
        <v>123</v>
      </c>
      <c r="P17042" s="46">
        <v>3600.0</v>
      </c>
    </row>
    <row r="17043">
      <c r="A17043" s="40">
        <f t="shared" si="1"/>
        <v>46013</v>
      </c>
      <c r="B17043" s="37" t="str">
        <f t="array" ref="B17043">iferror(xlookup($I17043, 'IMPORT VHC Report'!$E:$E, 'IMPORT VHC Report'!$A:$C), )</f>
        <v/>
      </c>
      <c r="C17043" s="44"/>
      <c r="D17043" s="44"/>
      <c r="E17043" s="46" t="s">
        <v>13253</v>
      </c>
      <c r="F17043" s="46" t="s">
        <v>297</v>
      </c>
      <c r="G17043" s="46">
        <v>3.61731514775E11</v>
      </c>
      <c r="H17043" s="46" t="s">
        <v>298</v>
      </c>
      <c r="I17043" s="46" t="s">
        <v>299</v>
      </c>
      <c r="J17043" s="46" t="s">
        <v>300</v>
      </c>
      <c r="K17043" s="46" t="s">
        <v>63</v>
      </c>
      <c r="L17043" s="45">
        <v>46015.833333333336</v>
      </c>
      <c r="M17043" s="46" t="s">
        <v>123</v>
      </c>
      <c r="N17043" s="45">
        <v>46016.208333333336</v>
      </c>
      <c r="O17043" s="46" t="s">
        <v>123</v>
      </c>
      <c r="P17043" s="46">
        <v>32400.0</v>
      </c>
    </row>
    <row r="17044">
      <c r="A17044" s="40">
        <f t="shared" si="1"/>
        <v>46013</v>
      </c>
      <c r="B17044" s="37" t="str">
        <f t="array" ref="B17044">iferror(xlookup($I17044, 'IMPORT VHC Report'!$E:$E, 'IMPORT VHC Report'!$A:$C), )</f>
        <v/>
      </c>
      <c r="C17044" s="44"/>
      <c r="D17044" s="44"/>
      <c r="E17044" s="46" t="s">
        <v>13254</v>
      </c>
      <c r="F17044" s="46" t="s">
        <v>297</v>
      </c>
      <c r="G17044" s="46">
        <v>3.61731514775E11</v>
      </c>
      <c r="H17044" s="46" t="s">
        <v>298</v>
      </c>
      <c r="I17044" s="46" t="s">
        <v>299</v>
      </c>
      <c r="J17044" s="46" t="s">
        <v>134</v>
      </c>
      <c r="K17044" s="46" t="s">
        <v>126</v>
      </c>
      <c r="L17044" s="45">
        <v>46015.979166666664</v>
      </c>
      <c r="M17044" s="46" t="s">
        <v>123</v>
      </c>
      <c r="N17044" s="45">
        <v>46015.989583333336</v>
      </c>
      <c r="O17044" s="46" t="s">
        <v>123</v>
      </c>
      <c r="P17044" s="46">
        <v>900.0</v>
      </c>
    </row>
    <row r="17045">
      <c r="A17045" s="40">
        <f t="shared" si="1"/>
        <v>46013</v>
      </c>
      <c r="B17045" s="37" t="str">
        <f t="array" ref="B17045">iferror(xlookup($I17045, 'IMPORT VHC Report'!$E:$E, 'IMPORT VHC Report'!$A:$C), )</f>
        <v/>
      </c>
      <c r="C17045" s="44"/>
      <c r="D17045" s="44"/>
      <c r="E17045" s="46" t="s">
        <v>13255</v>
      </c>
      <c r="F17045" s="46" t="s">
        <v>297</v>
      </c>
      <c r="G17045" s="46">
        <v>3.61731514775E11</v>
      </c>
      <c r="H17045" s="46" t="s">
        <v>298</v>
      </c>
      <c r="I17045" s="46" t="s">
        <v>299</v>
      </c>
      <c r="J17045" s="46" t="s">
        <v>134</v>
      </c>
      <c r="K17045" s="46" t="s">
        <v>126</v>
      </c>
      <c r="L17045" s="45">
        <v>46016.083333333336</v>
      </c>
      <c r="M17045" s="46" t="s">
        <v>123</v>
      </c>
      <c r="N17045" s="45">
        <v>46016.09375</v>
      </c>
      <c r="O17045" s="46" t="s">
        <v>123</v>
      </c>
      <c r="P17045" s="46">
        <v>900.0</v>
      </c>
    </row>
    <row r="17046">
      <c r="A17046" s="40">
        <f t="shared" si="1"/>
        <v>46013</v>
      </c>
      <c r="B17046" s="37" t="str">
        <f t="array" ref="B17046">iferror(xlookup($I17046, 'IMPORT VHC Report'!$E:$E, 'IMPORT VHC Report'!$A:$C), )</f>
        <v/>
      </c>
      <c r="C17046" s="44"/>
      <c r="D17046" s="44"/>
      <c r="E17046" s="46" t="s">
        <v>13256</v>
      </c>
      <c r="F17046" s="46" t="s">
        <v>297</v>
      </c>
      <c r="G17046" s="46">
        <v>3.61731514775E11</v>
      </c>
      <c r="H17046" s="46" t="s">
        <v>298</v>
      </c>
      <c r="I17046" s="46" t="s">
        <v>299</v>
      </c>
      <c r="J17046" s="46" t="s">
        <v>132</v>
      </c>
      <c r="K17046" s="46" t="s">
        <v>126</v>
      </c>
      <c r="L17046" s="45">
        <v>46016.125</v>
      </c>
      <c r="M17046" s="46" t="s">
        <v>123</v>
      </c>
      <c r="N17046" s="45">
        <v>46016.166666666664</v>
      </c>
      <c r="O17046" s="46" t="s">
        <v>123</v>
      </c>
      <c r="P17046" s="46">
        <v>3600.0</v>
      </c>
    </row>
    <row r="17047">
      <c r="A17047" s="40">
        <f t="shared" si="1"/>
        <v>46013</v>
      </c>
      <c r="B17047" s="37" t="str">
        <f t="array" ref="B17047">iferror(xlookup($I17047, 'IMPORT VHC Report'!$E:$E, 'IMPORT VHC Report'!$A:$C), )</f>
        <v/>
      </c>
      <c r="C17047" s="44"/>
      <c r="D17047" s="44"/>
      <c r="E17047" s="46" t="s">
        <v>13257</v>
      </c>
      <c r="F17047" s="46" t="s">
        <v>297</v>
      </c>
      <c r="G17047" s="46">
        <v>3.61731514775E11</v>
      </c>
      <c r="H17047" s="46" t="s">
        <v>298</v>
      </c>
      <c r="I17047" s="46" t="s">
        <v>299</v>
      </c>
      <c r="J17047" s="46" t="s">
        <v>300</v>
      </c>
      <c r="K17047" s="46" t="s">
        <v>63</v>
      </c>
      <c r="L17047" s="45">
        <v>46016.833333333336</v>
      </c>
      <c r="M17047" s="46" t="s">
        <v>123</v>
      </c>
      <c r="N17047" s="45">
        <v>46017.208333333336</v>
      </c>
      <c r="O17047" s="46" t="s">
        <v>123</v>
      </c>
      <c r="P17047" s="46">
        <v>32400.0</v>
      </c>
    </row>
    <row r="17048">
      <c r="A17048" s="40">
        <f t="shared" si="1"/>
        <v>46013</v>
      </c>
      <c r="B17048" s="37" t="str">
        <f t="array" ref="B17048">iferror(xlookup($I17048, 'IMPORT VHC Report'!$E:$E, 'IMPORT VHC Report'!$A:$C), )</f>
        <v/>
      </c>
      <c r="C17048" s="44"/>
      <c r="D17048" s="44"/>
      <c r="E17048" s="46" t="s">
        <v>13258</v>
      </c>
      <c r="F17048" s="46" t="s">
        <v>297</v>
      </c>
      <c r="G17048" s="46">
        <v>3.61731514775E11</v>
      </c>
      <c r="H17048" s="46" t="s">
        <v>298</v>
      </c>
      <c r="I17048" s="46" t="s">
        <v>299</v>
      </c>
      <c r="J17048" s="46" t="s">
        <v>134</v>
      </c>
      <c r="K17048" s="46" t="s">
        <v>126</v>
      </c>
      <c r="L17048" s="45">
        <v>46016.947916666664</v>
      </c>
      <c r="M17048" s="46" t="s">
        <v>123</v>
      </c>
      <c r="N17048" s="45">
        <v>46016.958333333336</v>
      </c>
      <c r="O17048" s="46" t="s">
        <v>123</v>
      </c>
      <c r="P17048" s="46">
        <v>900.0</v>
      </c>
    </row>
    <row r="17049">
      <c r="A17049" s="40">
        <f t="shared" si="1"/>
        <v>46013</v>
      </c>
      <c r="B17049" s="37" t="str">
        <f t="array" ref="B17049">iferror(xlookup($I17049, 'IMPORT VHC Report'!$E:$E, 'IMPORT VHC Report'!$A:$C), )</f>
        <v/>
      </c>
      <c r="C17049" s="44"/>
      <c r="D17049" s="44"/>
      <c r="E17049" s="46" t="s">
        <v>13259</v>
      </c>
      <c r="F17049" s="46" t="s">
        <v>297</v>
      </c>
      <c r="G17049" s="46">
        <v>3.61731514775E11</v>
      </c>
      <c r="H17049" s="46" t="s">
        <v>298</v>
      </c>
      <c r="I17049" s="46" t="s">
        <v>299</v>
      </c>
      <c r="J17049" s="46" t="s">
        <v>132</v>
      </c>
      <c r="K17049" s="46" t="s">
        <v>126</v>
      </c>
      <c r="L17049" s="45">
        <v>46017.010416666664</v>
      </c>
      <c r="M17049" s="46" t="s">
        <v>123</v>
      </c>
      <c r="N17049" s="45">
        <v>46017.052083333336</v>
      </c>
      <c r="O17049" s="46" t="s">
        <v>123</v>
      </c>
      <c r="P17049" s="46">
        <v>3600.0</v>
      </c>
    </row>
    <row r="17050">
      <c r="A17050" s="40">
        <f t="shared" si="1"/>
        <v>46013</v>
      </c>
      <c r="B17050" s="37" t="str">
        <f t="array" ref="B17050">iferror(xlookup($I17050, 'IMPORT VHC Report'!$E:$E, 'IMPORT VHC Report'!$A:$C), )</f>
        <v/>
      </c>
      <c r="C17050" s="44"/>
      <c r="D17050" s="44"/>
      <c r="E17050" s="46" t="s">
        <v>13260</v>
      </c>
      <c r="F17050" s="46" t="s">
        <v>297</v>
      </c>
      <c r="G17050" s="46">
        <v>3.61731514775E11</v>
      </c>
      <c r="H17050" s="46" t="s">
        <v>298</v>
      </c>
      <c r="I17050" s="46" t="s">
        <v>299</v>
      </c>
      <c r="J17050" s="46" t="s">
        <v>134</v>
      </c>
      <c r="K17050" s="46" t="s">
        <v>126</v>
      </c>
      <c r="L17050" s="45">
        <v>46017.114583333336</v>
      </c>
      <c r="M17050" s="46" t="s">
        <v>123</v>
      </c>
      <c r="N17050" s="45">
        <v>46017.125</v>
      </c>
      <c r="O17050" s="46" t="s">
        <v>123</v>
      </c>
      <c r="P17050" s="46">
        <v>900.0</v>
      </c>
    </row>
    <row r="17051">
      <c r="A17051" s="40">
        <f t="shared" si="1"/>
        <v>46013</v>
      </c>
      <c r="B17051" s="37" t="str">
        <f t="array" ref="B17051">iferror(xlookup($I17051, 'IMPORT VHC Report'!$E:$E, 'IMPORT VHC Report'!$A:$C), )</f>
        <v/>
      </c>
      <c r="C17051" s="44"/>
      <c r="D17051" s="44"/>
      <c r="E17051" s="46" t="s">
        <v>13261</v>
      </c>
      <c r="F17051" s="46" t="s">
        <v>297</v>
      </c>
      <c r="G17051" s="46">
        <v>3.61731514775E11</v>
      </c>
      <c r="H17051" s="46" t="s">
        <v>298</v>
      </c>
      <c r="I17051" s="46" t="s">
        <v>299</v>
      </c>
      <c r="J17051" s="46" t="s">
        <v>300</v>
      </c>
      <c r="K17051" s="46" t="s">
        <v>63</v>
      </c>
      <c r="L17051" s="45">
        <v>46017.833333333336</v>
      </c>
      <c r="M17051" s="46" t="s">
        <v>123</v>
      </c>
      <c r="N17051" s="45">
        <v>46018.208333333336</v>
      </c>
      <c r="O17051" s="46" t="s">
        <v>123</v>
      </c>
      <c r="P17051" s="46">
        <v>32400.0</v>
      </c>
    </row>
    <row r="17052">
      <c r="A17052" s="40">
        <f t="shared" si="1"/>
        <v>46013</v>
      </c>
      <c r="B17052" s="37" t="str">
        <f t="array" ref="B17052">iferror(xlookup($I17052, 'IMPORT VHC Report'!$E:$E, 'IMPORT VHC Report'!$A:$C), )</f>
        <v/>
      </c>
      <c r="C17052" s="44"/>
      <c r="D17052" s="44"/>
      <c r="E17052" s="46" t="s">
        <v>13262</v>
      </c>
      <c r="F17052" s="46" t="s">
        <v>297</v>
      </c>
      <c r="G17052" s="46">
        <v>3.61731514775E11</v>
      </c>
      <c r="H17052" s="46" t="s">
        <v>298</v>
      </c>
      <c r="I17052" s="46" t="s">
        <v>299</v>
      </c>
      <c r="J17052" s="46" t="s">
        <v>134</v>
      </c>
      <c r="K17052" s="46" t="s">
        <v>126</v>
      </c>
      <c r="L17052" s="45">
        <v>46017.9375</v>
      </c>
      <c r="M17052" s="46" t="s">
        <v>123</v>
      </c>
      <c r="N17052" s="45">
        <v>46017.947916666664</v>
      </c>
      <c r="O17052" s="46" t="s">
        <v>123</v>
      </c>
      <c r="P17052" s="46">
        <v>900.0</v>
      </c>
    </row>
    <row r="17053">
      <c r="A17053" s="40">
        <f t="shared" si="1"/>
        <v>46013</v>
      </c>
      <c r="B17053" s="37" t="str">
        <f t="array" ref="B17053">iferror(xlookup($I17053, 'IMPORT VHC Report'!$E:$E, 'IMPORT VHC Report'!$A:$C), )</f>
        <v/>
      </c>
      <c r="C17053" s="44"/>
      <c r="D17053" s="44"/>
      <c r="E17053" s="46" t="s">
        <v>13263</v>
      </c>
      <c r="F17053" s="46" t="s">
        <v>297</v>
      </c>
      <c r="G17053" s="46">
        <v>3.61731514775E11</v>
      </c>
      <c r="H17053" s="46" t="s">
        <v>298</v>
      </c>
      <c r="I17053" s="46" t="s">
        <v>299</v>
      </c>
      <c r="J17053" s="46" t="s">
        <v>134</v>
      </c>
      <c r="K17053" s="46" t="s">
        <v>126</v>
      </c>
      <c r="L17053" s="45">
        <v>46018.0</v>
      </c>
      <c r="M17053" s="46" t="s">
        <v>123</v>
      </c>
      <c r="N17053" s="45">
        <v>46018.010416666664</v>
      </c>
      <c r="O17053" s="46" t="s">
        <v>123</v>
      </c>
      <c r="P17053" s="46">
        <v>900.0</v>
      </c>
    </row>
    <row r="17054">
      <c r="A17054" s="40">
        <f t="shared" si="1"/>
        <v>46013</v>
      </c>
      <c r="B17054" s="37" t="str">
        <f t="array" ref="B17054">iferror(xlookup($I17054, 'IMPORT VHC Report'!$E:$E, 'IMPORT VHC Report'!$A:$C), )</f>
        <v/>
      </c>
      <c r="C17054" s="44"/>
      <c r="D17054" s="44"/>
      <c r="E17054" s="46" t="s">
        <v>13264</v>
      </c>
      <c r="F17054" s="46" t="s">
        <v>297</v>
      </c>
      <c r="G17054" s="46">
        <v>3.61731514775E11</v>
      </c>
      <c r="H17054" s="46" t="s">
        <v>298</v>
      </c>
      <c r="I17054" s="46" t="s">
        <v>299</v>
      </c>
      <c r="J17054" s="46" t="s">
        <v>132</v>
      </c>
      <c r="K17054" s="46" t="s">
        <v>126</v>
      </c>
      <c r="L17054" s="45">
        <v>46018.0625</v>
      </c>
      <c r="M17054" s="46" t="s">
        <v>123</v>
      </c>
      <c r="N17054" s="45">
        <v>46018.104166666664</v>
      </c>
      <c r="O17054" s="46" t="s">
        <v>123</v>
      </c>
      <c r="P17054" s="46">
        <v>3600.0</v>
      </c>
    </row>
    <row r="17055">
      <c r="A17055" s="40">
        <f t="shared" si="1"/>
        <v>46013</v>
      </c>
      <c r="B17055" s="37" t="str">
        <f t="array" ref="B17055">iferror(xlookup($I17055, 'IMPORT VHC Report'!$E:$E, 'IMPORT VHC Report'!$A:$C), )</f>
        <v/>
      </c>
      <c r="C17055" s="44"/>
      <c r="D17055" s="44"/>
      <c r="E17055" s="46" t="s">
        <v>13265</v>
      </c>
      <c r="F17055" s="46" t="s">
        <v>297</v>
      </c>
      <c r="G17055" s="46">
        <v>3.61731514775E11</v>
      </c>
      <c r="H17055" s="46" t="s">
        <v>298</v>
      </c>
      <c r="I17055" s="46" t="s">
        <v>299</v>
      </c>
      <c r="J17055" s="46" t="s">
        <v>300</v>
      </c>
      <c r="K17055" s="46" t="s">
        <v>63</v>
      </c>
      <c r="L17055" s="45">
        <v>46018.833333333336</v>
      </c>
      <c r="M17055" s="46" t="s">
        <v>123</v>
      </c>
      <c r="N17055" s="45">
        <v>46019.208333333336</v>
      </c>
      <c r="O17055" s="46" t="s">
        <v>123</v>
      </c>
      <c r="P17055" s="46">
        <v>32400.0</v>
      </c>
    </row>
    <row r="17056">
      <c r="A17056" s="40">
        <f t="shared" si="1"/>
        <v>46013</v>
      </c>
      <c r="B17056" s="37" t="str">
        <f t="array" ref="B17056">iferror(xlookup($I17056, 'IMPORT VHC Report'!$E:$E, 'IMPORT VHC Report'!$A:$C), )</f>
        <v/>
      </c>
      <c r="C17056" s="44"/>
      <c r="D17056" s="44"/>
      <c r="E17056" s="46" t="s">
        <v>13266</v>
      </c>
      <c r="F17056" s="46" t="s">
        <v>297</v>
      </c>
      <c r="G17056" s="46">
        <v>3.61731514775E11</v>
      </c>
      <c r="H17056" s="46" t="s">
        <v>298</v>
      </c>
      <c r="I17056" s="46" t="s">
        <v>299</v>
      </c>
      <c r="J17056" s="46" t="s">
        <v>134</v>
      </c>
      <c r="K17056" s="46" t="s">
        <v>126</v>
      </c>
      <c r="L17056" s="45">
        <v>46018.96875</v>
      </c>
      <c r="M17056" s="46" t="s">
        <v>123</v>
      </c>
      <c r="N17056" s="45">
        <v>46018.979166666664</v>
      </c>
      <c r="O17056" s="46" t="s">
        <v>123</v>
      </c>
      <c r="P17056" s="46">
        <v>900.0</v>
      </c>
    </row>
    <row r="17057">
      <c r="A17057" s="40">
        <f t="shared" si="1"/>
        <v>46013</v>
      </c>
      <c r="B17057" s="37" t="str">
        <f t="array" ref="B17057">iferror(xlookup($I17057, 'IMPORT VHC Report'!$E:$E, 'IMPORT VHC Report'!$A:$C), )</f>
        <v/>
      </c>
      <c r="C17057" s="44"/>
      <c r="D17057" s="44"/>
      <c r="E17057" s="46" t="s">
        <v>13267</v>
      </c>
      <c r="F17057" s="46" t="s">
        <v>297</v>
      </c>
      <c r="G17057" s="46">
        <v>3.61731514775E11</v>
      </c>
      <c r="H17057" s="46" t="s">
        <v>298</v>
      </c>
      <c r="I17057" s="46" t="s">
        <v>299</v>
      </c>
      <c r="J17057" s="46" t="s">
        <v>134</v>
      </c>
      <c r="K17057" s="46" t="s">
        <v>126</v>
      </c>
      <c r="L17057" s="45">
        <v>46019.0625</v>
      </c>
      <c r="M17057" s="46" t="s">
        <v>123</v>
      </c>
      <c r="N17057" s="45">
        <v>46019.072916666664</v>
      </c>
      <c r="O17057" s="46" t="s">
        <v>123</v>
      </c>
      <c r="P17057" s="46">
        <v>900.0</v>
      </c>
    </row>
    <row r="17058">
      <c r="A17058" s="40">
        <f t="shared" si="1"/>
        <v>46013</v>
      </c>
      <c r="B17058" s="37" t="str">
        <f t="array" ref="B17058">iferror(xlookup($I17058, 'IMPORT VHC Report'!$E:$E, 'IMPORT VHC Report'!$A:$C), )</f>
        <v/>
      </c>
      <c r="C17058" s="44"/>
      <c r="D17058" s="44"/>
      <c r="E17058" s="46" t="s">
        <v>13268</v>
      </c>
      <c r="F17058" s="46" t="s">
        <v>297</v>
      </c>
      <c r="G17058" s="46">
        <v>3.61731514775E11</v>
      </c>
      <c r="H17058" s="46" t="s">
        <v>298</v>
      </c>
      <c r="I17058" s="46" t="s">
        <v>299</v>
      </c>
      <c r="J17058" s="46" t="s">
        <v>132</v>
      </c>
      <c r="K17058" s="46" t="s">
        <v>126</v>
      </c>
      <c r="L17058" s="45">
        <v>46019.145833333336</v>
      </c>
      <c r="M17058" s="46" t="s">
        <v>123</v>
      </c>
      <c r="N17058" s="45">
        <v>46019.1875</v>
      </c>
      <c r="O17058" s="46" t="s">
        <v>123</v>
      </c>
      <c r="P17058" s="46">
        <v>3600.0</v>
      </c>
    </row>
    <row r="17059">
      <c r="A17059" s="40">
        <f t="shared" si="1"/>
        <v>46013</v>
      </c>
      <c r="B17059" s="37" t="str">
        <f t="array" ref="B17059">iferror(xlookup($I17059, 'IMPORT VHC Report'!$E:$E, 'IMPORT VHC Report'!$A:$C), )</f>
        <v/>
      </c>
      <c r="C17059" s="44"/>
      <c r="D17059" s="44"/>
      <c r="E17059" s="46" t="s">
        <v>13269</v>
      </c>
      <c r="F17059" s="46" t="s">
        <v>297</v>
      </c>
      <c r="G17059" s="46">
        <v>3.61731514775E11</v>
      </c>
      <c r="H17059" s="46" t="s">
        <v>298</v>
      </c>
      <c r="I17059" s="46" t="s">
        <v>299</v>
      </c>
      <c r="J17059" s="46" t="s">
        <v>152</v>
      </c>
      <c r="K17059" s="46" t="s">
        <v>153</v>
      </c>
      <c r="L17059" s="45">
        <v>46019.833333333336</v>
      </c>
      <c r="M17059" s="46" t="s">
        <v>123</v>
      </c>
      <c r="N17059" s="45">
        <v>46020.208333333336</v>
      </c>
      <c r="O17059" s="46" t="s">
        <v>123</v>
      </c>
      <c r="P17059" s="46">
        <v>32400.0</v>
      </c>
      <c r="Q17059" s="46">
        <v>28800.0</v>
      </c>
      <c r="R17059" s="46" t="s">
        <v>13270</v>
      </c>
    </row>
    <row r="17060">
      <c r="A17060" s="40">
        <f t="shared" si="1"/>
        <v>46013</v>
      </c>
      <c r="B17060" s="37" t="str">
        <f t="array" ref="B17060">iferror(xlookup($I17060, 'IMPORT VHC Report'!$E:$E, 'IMPORT VHC Report'!$A:$C), )</f>
        <v/>
      </c>
      <c r="C17060" s="44"/>
      <c r="D17060" s="44"/>
      <c r="E17060" s="46" t="s">
        <v>13271</v>
      </c>
      <c r="F17060" s="46" t="s">
        <v>297</v>
      </c>
      <c r="G17060" s="46">
        <v>3.61731514775E11</v>
      </c>
      <c r="H17060" s="46" t="s">
        <v>298</v>
      </c>
      <c r="I17060" s="46" t="s">
        <v>299</v>
      </c>
      <c r="J17060" s="46" t="s">
        <v>300</v>
      </c>
      <c r="K17060" s="46" t="s">
        <v>63</v>
      </c>
      <c r="L17060" s="45">
        <v>46019.833333333336</v>
      </c>
      <c r="M17060" s="46" t="s">
        <v>123</v>
      </c>
      <c r="N17060" s="45">
        <v>46020.208333333336</v>
      </c>
      <c r="O17060" s="46" t="s">
        <v>123</v>
      </c>
      <c r="P17060" s="46">
        <v>32400.0</v>
      </c>
    </row>
    <row r="17061">
      <c r="A17061" s="40">
        <f t="shared" si="1"/>
        <v>46013</v>
      </c>
      <c r="B17061" s="37" t="str">
        <f t="array" ref="B17061">iferror(xlookup($I17061, 'IMPORT VHC Report'!$E:$E, 'IMPORT VHC Report'!$A:$C), )</f>
        <v/>
      </c>
      <c r="C17061" s="44"/>
      <c r="D17061" s="44"/>
      <c r="E17061" s="46" t="s">
        <v>13272</v>
      </c>
      <c r="F17061" s="46" t="s">
        <v>297</v>
      </c>
      <c r="G17061" s="46">
        <v>3.61731514775E11</v>
      </c>
      <c r="H17061" s="46" t="s">
        <v>298</v>
      </c>
      <c r="I17061" s="46" t="s">
        <v>299</v>
      </c>
      <c r="J17061" s="46" t="s">
        <v>134</v>
      </c>
      <c r="K17061" s="46" t="s">
        <v>126</v>
      </c>
      <c r="L17061" s="45">
        <v>46019.927083333336</v>
      </c>
      <c r="M17061" s="46" t="s">
        <v>123</v>
      </c>
      <c r="N17061" s="45">
        <v>46019.9375</v>
      </c>
      <c r="O17061" s="46" t="s">
        <v>123</v>
      </c>
      <c r="P17061" s="46">
        <v>900.0</v>
      </c>
    </row>
    <row r="17062">
      <c r="A17062" s="40">
        <f t="shared" si="1"/>
        <v>46006</v>
      </c>
      <c r="B17062" s="37" t="str">
        <f t="array" ref="B17062">iferror(xlookup($I17062, 'IMPORT VHC Report'!$E:$E, 'IMPORT VHC Report'!$A:$C), )</f>
        <v/>
      </c>
      <c r="C17062" s="44"/>
      <c r="D17062" s="44"/>
      <c r="E17062" s="46" t="s">
        <v>492</v>
      </c>
      <c r="F17062" s="46" t="s">
        <v>471</v>
      </c>
      <c r="G17062" s="46">
        <v>3.61726425496E11</v>
      </c>
      <c r="H17062" s="46" t="s">
        <v>472</v>
      </c>
      <c r="I17062" s="46" t="s">
        <v>473</v>
      </c>
      <c r="J17062" s="46" t="s">
        <v>152</v>
      </c>
      <c r="K17062" s="46" t="s">
        <v>153</v>
      </c>
      <c r="L17062" s="45">
        <v>46012.875</v>
      </c>
      <c r="M17062" s="46" t="s">
        <v>123</v>
      </c>
      <c r="N17062" s="45">
        <v>46013.25</v>
      </c>
      <c r="O17062" s="46" t="s">
        <v>123</v>
      </c>
      <c r="P17062" s="46">
        <v>32400.0</v>
      </c>
      <c r="Q17062" s="46">
        <v>28800.0</v>
      </c>
      <c r="R17062" s="46" t="s">
        <v>493</v>
      </c>
    </row>
    <row r="17063">
      <c r="A17063" s="40">
        <f t="shared" si="1"/>
        <v>46006</v>
      </c>
      <c r="B17063" s="37" t="str">
        <f t="array" ref="B17063">iferror(xlookup($I17063, 'IMPORT VHC Report'!$E:$E, 'IMPORT VHC Report'!$A:$C), )</f>
        <v/>
      </c>
      <c r="C17063" s="44"/>
      <c r="D17063" s="44"/>
      <c r="E17063" s="46" t="s">
        <v>494</v>
      </c>
      <c r="F17063" s="46" t="s">
        <v>471</v>
      </c>
      <c r="G17063" s="46">
        <v>3.61726425496E11</v>
      </c>
      <c r="H17063" s="46" t="s">
        <v>472</v>
      </c>
      <c r="I17063" s="46" t="s">
        <v>473</v>
      </c>
      <c r="J17063" s="46" t="s">
        <v>300</v>
      </c>
      <c r="K17063" s="46" t="s">
        <v>63</v>
      </c>
      <c r="L17063" s="45">
        <v>46012.875</v>
      </c>
      <c r="M17063" s="46" t="s">
        <v>123</v>
      </c>
      <c r="N17063" s="45">
        <v>46013.25</v>
      </c>
      <c r="O17063" s="46" t="s">
        <v>123</v>
      </c>
      <c r="P17063" s="46">
        <v>32400.0</v>
      </c>
    </row>
    <row r="17064">
      <c r="A17064" s="40">
        <f t="shared" si="1"/>
        <v>46013</v>
      </c>
      <c r="B17064" s="37" t="str">
        <f t="array" ref="B17064">iferror(xlookup($I17064, 'IMPORT VHC Report'!$E:$E, 'IMPORT VHC Report'!$A:$C), )</f>
        <v/>
      </c>
      <c r="C17064" s="44"/>
      <c r="D17064" s="44"/>
      <c r="E17064" s="46" t="s">
        <v>13273</v>
      </c>
      <c r="F17064" s="46" t="s">
        <v>471</v>
      </c>
      <c r="G17064" s="46">
        <v>3.61726425496E11</v>
      </c>
      <c r="H17064" s="46" t="s">
        <v>472</v>
      </c>
      <c r="I17064" s="46" t="s">
        <v>473</v>
      </c>
      <c r="J17064" s="46" t="s">
        <v>132</v>
      </c>
      <c r="K17064" s="46" t="s">
        <v>126</v>
      </c>
      <c r="L17064" s="45">
        <v>46013.0625</v>
      </c>
      <c r="M17064" s="46" t="s">
        <v>123</v>
      </c>
      <c r="N17064" s="45">
        <v>46013.104166666664</v>
      </c>
      <c r="O17064" s="46" t="s">
        <v>123</v>
      </c>
      <c r="P17064" s="46">
        <v>3600.0</v>
      </c>
    </row>
    <row r="17065">
      <c r="A17065" s="40">
        <f t="shared" si="1"/>
        <v>46013</v>
      </c>
      <c r="B17065" s="37" t="str">
        <f t="array" ref="B17065">iferror(xlookup($I17065, 'IMPORT VHC Report'!$E:$E, 'IMPORT VHC Report'!$A:$C), )</f>
        <v/>
      </c>
      <c r="C17065" s="44"/>
      <c r="D17065" s="44"/>
      <c r="E17065" s="46" t="s">
        <v>13274</v>
      </c>
      <c r="F17065" s="46" t="s">
        <v>471</v>
      </c>
      <c r="G17065" s="46">
        <v>3.61726425496E11</v>
      </c>
      <c r="H17065" s="46" t="s">
        <v>472</v>
      </c>
      <c r="I17065" s="46" t="s">
        <v>473</v>
      </c>
      <c r="J17065" s="46" t="s">
        <v>134</v>
      </c>
      <c r="K17065" s="46" t="s">
        <v>126</v>
      </c>
      <c r="L17065" s="45">
        <v>46013.177083333336</v>
      </c>
      <c r="M17065" s="46" t="s">
        <v>123</v>
      </c>
      <c r="N17065" s="45">
        <v>46013.1875</v>
      </c>
      <c r="O17065" s="46" t="s">
        <v>123</v>
      </c>
      <c r="P17065" s="46">
        <v>900.0</v>
      </c>
    </row>
    <row r="17066">
      <c r="A17066" s="40">
        <f t="shared" si="1"/>
        <v>46013</v>
      </c>
      <c r="B17066" s="37" t="str">
        <f t="array" ref="B17066">iferror(xlookup($I17066, 'IMPORT VHC Report'!$E:$E, 'IMPORT VHC Report'!$A:$C), )</f>
        <v/>
      </c>
      <c r="C17066" s="44"/>
      <c r="D17066" s="44"/>
      <c r="E17066" s="46" t="s">
        <v>13275</v>
      </c>
      <c r="F17066" s="46" t="s">
        <v>471</v>
      </c>
      <c r="G17066" s="46">
        <v>3.61726425496E11</v>
      </c>
      <c r="H17066" s="46" t="s">
        <v>472</v>
      </c>
      <c r="I17066" s="46" t="s">
        <v>473</v>
      </c>
      <c r="J17066" s="46" t="s">
        <v>300</v>
      </c>
      <c r="K17066" s="46" t="s">
        <v>63</v>
      </c>
      <c r="L17066" s="45">
        <v>46013.875</v>
      </c>
      <c r="M17066" s="46" t="s">
        <v>123</v>
      </c>
      <c r="N17066" s="45">
        <v>46014.25</v>
      </c>
      <c r="O17066" s="46" t="s">
        <v>123</v>
      </c>
      <c r="P17066" s="46">
        <v>32400.0</v>
      </c>
    </row>
    <row r="17067">
      <c r="A17067" s="40">
        <f t="shared" si="1"/>
        <v>46013</v>
      </c>
      <c r="B17067" s="37" t="str">
        <f t="array" ref="B17067">iferror(xlookup($I17067, 'IMPORT VHC Report'!$E:$E, 'IMPORT VHC Report'!$A:$C), )</f>
        <v/>
      </c>
      <c r="C17067" s="44"/>
      <c r="D17067" s="44"/>
      <c r="E17067" s="46" t="s">
        <v>13276</v>
      </c>
      <c r="F17067" s="46" t="s">
        <v>471</v>
      </c>
      <c r="G17067" s="46">
        <v>3.61726425496E11</v>
      </c>
      <c r="H17067" s="46" t="s">
        <v>472</v>
      </c>
      <c r="I17067" s="46" t="s">
        <v>473</v>
      </c>
      <c r="J17067" s="46" t="s">
        <v>134</v>
      </c>
      <c r="K17067" s="46" t="s">
        <v>126</v>
      </c>
      <c r="L17067" s="45">
        <v>46014.020833333336</v>
      </c>
      <c r="M17067" s="46" t="s">
        <v>123</v>
      </c>
      <c r="N17067" s="45">
        <v>46014.03125</v>
      </c>
      <c r="O17067" s="46" t="s">
        <v>123</v>
      </c>
      <c r="P17067" s="46">
        <v>900.0</v>
      </c>
    </row>
    <row r="17068">
      <c r="A17068" s="40">
        <f t="shared" si="1"/>
        <v>46013</v>
      </c>
      <c r="B17068" s="37" t="str">
        <f t="array" ref="B17068">iferror(xlookup($I17068, 'IMPORT VHC Report'!$E:$E, 'IMPORT VHC Report'!$A:$C), )</f>
        <v/>
      </c>
      <c r="C17068" s="44"/>
      <c r="D17068" s="44"/>
      <c r="E17068" s="46" t="s">
        <v>13277</v>
      </c>
      <c r="F17068" s="46" t="s">
        <v>471</v>
      </c>
      <c r="G17068" s="46">
        <v>3.61726425496E11</v>
      </c>
      <c r="H17068" s="46" t="s">
        <v>472</v>
      </c>
      <c r="I17068" s="46" t="s">
        <v>473</v>
      </c>
      <c r="J17068" s="46" t="s">
        <v>134</v>
      </c>
      <c r="K17068" s="46" t="s">
        <v>126</v>
      </c>
      <c r="L17068" s="45">
        <v>46014.125</v>
      </c>
      <c r="M17068" s="46" t="s">
        <v>123</v>
      </c>
      <c r="N17068" s="45">
        <v>46014.135416666664</v>
      </c>
      <c r="O17068" s="46" t="s">
        <v>123</v>
      </c>
      <c r="P17068" s="46">
        <v>900.0</v>
      </c>
    </row>
    <row r="17069">
      <c r="A17069" s="40">
        <f t="shared" si="1"/>
        <v>46013</v>
      </c>
      <c r="B17069" s="37" t="str">
        <f t="array" ref="B17069">iferror(xlookup($I17069, 'IMPORT VHC Report'!$E:$E, 'IMPORT VHC Report'!$A:$C), )</f>
        <v/>
      </c>
      <c r="C17069" s="44"/>
      <c r="D17069" s="44"/>
      <c r="E17069" s="46" t="s">
        <v>13278</v>
      </c>
      <c r="F17069" s="46" t="s">
        <v>471</v>
      </c>
      <c r="G17069" s="46">
        <v>3.61726425496E11</v>
      </c>
      <c r="H17069" s="46" t="s">
        <v>472</v>
      </c>
      <c r="I17069" s="46" t="s">
        <v>473</v>
      </c>
      <c r="J17069" s="46" t="s">
        <v>132</v>
      </c>
      <c r="K17069" s="46" t="s">
        <v>126</v>
      </c>
      <c r="L17069" s="45">
        <v>46014.208333333336</v>
      </c>
      <c r="M17069" s="46" t="s">
        <v>123</v>
      </c>
      <c r="N17069" s="45">
        <v>46014.25</v>
      </c>
      <c r="O17069" s="46" t="s">
        <v>123</v>
      </c>
      <c r="P17069" s="46">
        <v>3600.0</v>
      </c>
    </row>
    <row r="17070">
      <c r="A17070" s="40">
        <f t="shared" si="1"/>
        <v>46013</v>
      </c>
      <c r="B17070" s="37" t="str">
        <f t="array" ref="B17070">iferror(xlookup($I17070, 'IMPORT VHC Report'!$E:$E, 'IMPORT VHC Report'!$A:$C), )</f>
        <v/>
      </c>
      <c r="C17070" s="44"/>
      <c r="D17070" s="44"/>
      <c r="E17070" s="46" t="s">
        <v>13279</v>
      </c>
      <c r="F17070" s="46" t="s">
        <v>471</v>
      </c>
      <c r="G17070" s="46">
        <v>3.61726425496E11</v>
      </c>
      <c r="H17070" s="46" t="s">
        <v>472</v>
      </c>
      <c r="I17070" s="46" t="s">
        <v>473</v>
      </c>
      <c r="J17070" s="46" t="s">
        <v>300</v>
      </c>
      <c r="K17070" s="46" t="s">
        <v>63</v>
      </c>
      <c r="L17070" s="45">
        <v>46014.875</v>
      </c>
      <c r="M17070" s="46" t="s">
        <v>123</v>
      </c>
      <c r="N17070" s="45">
        <v>46015.25</v>
      </c>
      <c r="O17070" s="46" t="s">
        <v>123</v>
      </c>
      <c r="P17070" s="46">
        <v>32400.0</v>
      </c>
    </row>
    <row r="17071">
      <c r="A17071" s="40">
        <f t="shared" si="1"/>
        <v>46013</v>
      </c>
      <c r="B17071" s="37" t="str">
        <f t="array" ref="B17071">iferror(xlookup($I17071, 'IMPORT VHC Report'!$E:$E, 'IMPORT VHC Report'!$A:$C), )</f>
        <v/>
      </c>
      <c r="C17071" s="44"/>
      <c r="D17071" s="44"/>
      <c r="E17071" s="46" t="s">
        <v>13280</v>
      </c>
      <c r="F17071" s="46" t="s">
        <v>471</v>
      </c>
      <c r="G17071" s="46">
        <v>3.61726425496E11</v>
      </c>
      <c r="H17071" s="46" t="s">
        <v>472</v>
      </c>
      <c r="I17071" s="46" t="s">
        <v>473</v>
      </c>
      <c r="J17071" s="46" t="s">
        <v>134</v>
      </c>
      <c r="K17071" s="46" t="s">
        <v>126</v>
      </c>
      <c r="L17071" s="45">
        <v>46015.010416666664</v>
      </c>
      <c r="M17071" s="46" t="s">
        <v>123</v>
      </c>
      <c r="N17071" s="45">
        <v>46015.020833333336</v>
      </c>
      <c r="O17071" s="46" t="s">
        <v>123</v>
      </c>
      <c r="P17071" s="46">
        <v>900.0</v>
      </c>
    </row>
    <row r="17072">
      <c r="A17072" s="40">
        <f t="shared" si="1"/>
        <v>46013</v>
      </c>
      <c r="B17072" s="37" t="str">
        <f t="array" ref="B17072">iferror(xlookup($I17072, 'IMPORT VHC Report'!$E:$E, 'IMPORT VHC Report'!$A:$C), )</f>
        <v/>
      </c>
      <c r="C17072" s="44"/>
      <c r="D17072" s="44"/>
      <c r="E17072" s="46" t="s">
        <v>13281</v>
      </c>
      <c r="F17072" s="46" t="s">
        <v>471</v>
      </c>
      <c r="G17072" s="46">
        <v>3.61726425496E11</v>
      </c>
      <c r="H17072" s="46" t="s">
        <v>472</v>
      </c>
      <c r="I17072" s="46" t="s">
        <v>473</v>
      </c>
      <c r="J17072" s="46" t="s">
        <v>134</v>
      </c>
      <c r="K17072" s="46" t="s">
        <v>126</v>
      </c>
      <c r="L17072" s="45">
        <v>46015.125</v>
      </c>
      <c r="M17072" s="46" t="s">
        <v>123</v>
      </c>
      <c r="N17072" s="45">
        <v>46015.135416666664</v>
      </c>
      <c r="O17072" s="46" t="s">
        <v>123</v>
      </c>
      <c r="P17072" s="46">
        <v>900.0</v>
      </c>
    </row>
    <row r="17073">
      <c r="A17073" s="40">
        <f t="shared" si="1"/>
        <v>46013</v>
      </c>
      <c r="B17073" s="37" t="str">
        <f t="array" ref="B17073">iferror(xlookup($I17073, 'IMPORT VHC Report'!$E:$E, 'IMPORT VHC Report'!$A:$C), )</f>
        <v/>
      </c>
      <c r="C17073" s="44"/>
      <c r="D17073" s="44"/>
      <c r="E17073" s="46" t="s">
        <v>13282</v>
      </c>
      <c r="F17073" s="46" t="s">
        <v>471</v>
      </c>
      <c r="G17073" s="46">
        <v>3.61726425496E11</v>
      </c>
      <c r="H17073" s="46" t="s">
        <v>472</v>
      </c>
      <c r="I17073" s="46" t="s">
        <v>473</v>
      </c>
      <c r="J17073" s="46" t="s">
        <v>132</v>
      </c>
      <c r="K17073" s="46" t="s">
        <v>126</v>
      </c>
      <c r="L17073" s="45">
        <v>46015.1875</v>
      </c>
      <c r="M17073" s="46" t="s">
        <v>123</v>
      </c>
      <c r="N17073" s="45">
        <v>46015.229166666664</v>
      </c>
      <c r="O17073" s="46" t="s">
        <v>123</v>
      </c>
      <c r="P17073" s="46">
        <v>3600.0</v>
      </c>
    </row>
    <row r="17074">
      <c r="A17074" s="40">
        <f t="shared" si="1"/>
        <v>46013</v>
      </c>
      <c r="B17074" s="37" t="str">
        <f t="array" ref="B17074">iferror(xlookup($I17074, 'IMPORT VHC Report'!$E:$E, 'IMPORT VHC Report'!$A:$C), )</f>
        <v/>
      </c>
      <c r="C17074" s="44"/>
      <c r="D17074" s="44"/>
      <c r="E17074" s="46" t="s">
        <v>13283</v>
      </c>
      <c r="F17074" s="46" t="s">
        <v>471</v>
      </c>
      <c r="G17074" s="46">
        <v>3.61726425496E11</v>
      </c>
      <c r="H17074" s="46" t="s">
        <v>472</v>
      </c>
      <c r="I17074" s="46" t="s">
        <v>473</v>
      </c>
      <c r="J17074" s="46" t="s">
        <v>300</v>
      </c>
      <c r="K17074" s="46" t="s">
        <v>63</v>
      </c>
      <c r="L17074" s="45">
        <v>46015.875</v>
      </c>
      <c r="M17074" s="46" t="s">
        <v>123</v>
      </c>
      <c r="N17074" s="45">
        <v>46016.25</v>
      </c>
      <c r="O17074" s="46" t="s">
        <v>123</v>
      </c>
      <c r="P17074" s="46">
        <v>32400.0</v>
      </c>
    </row>
    <row r="17075">
      <c r="A17075" s="40">
        <f t="shared" si="1"/>
        <v>46013</v>
      </c>
      <c r="B17075" s="37" t="str">
        <f t="array" ref="B17075">iferror(xlookup($I17075, 'IMPORT VHC Report'!$E:$E, 'IMPORT VHC Report'!$A:$C), )</f>
        <v/>
      </c>
      <c r="C17075" s="44"/>
      <c r="D17075" s="44"/>
      <c r="E17075" s="46" t="s">
        <v>13284</v>
      </c>
      <c r="F17075" s="46" t="s">
        <v>471</v>
      </c>
      <c r="G17075" s="46">
        <v>3.61726425496E11</v>
      </c>
      <c r="H17075" s="46" t="s">
        <v>472</v>
      </c>
      <c r="I17075" s="46" t="s">
        <v>473</v>
      </c>
      <c r="J17075" s="46" t="s">
        <v>134</v>
      </c>
      <c r="K17075" s="46" t="s">
        <v>126</v>
      </c>
      <c r="L17075" s="45">
        <v>46015.979166666664</v>
      </c>
      <c r="M17075" s="46" t="s">
        <v>123</v>
      </c>
      <c r="N17075" s="45">
        <v>46015.989583333336</v>
      </c>
      <c r="O17075" s="46" t="s">
        <v>123</v>
      </c>
      <c r="P17075" s="46">
        <v>900.0</v>
      </c>
    </row>
    <row r="17076">
      <c r="A17076" s="40">
        <f t="shared" si="1"/>
        <v>46013</v>
      </c>
      <c r="B17076" s="37" t="str">
        <f t="array" ref="B17076">iferror(xlookup($I17076, 'IMPORT VHC Report'!$E:$E, 'IMPORT VHC Report'!$A:$C), )</f>
        <v/>
      </c>
      <c r="C17076" s="44"/>
      <c r="D17076" s="44"/>
      <c r="E17076" s="46" t="s">
        <v>13285</v>
      </c>
      <c r="F17076" s="46" t="s">
        <v>471</v>
      </c>
      <c r="G17076" s="46">
        <v>3.61726425496E11</v>
      </c>
      <c r="H17076" s="46" t="s">
        <v>472</v>
      </c>
      <c r="I17076" s="46" t="s">
        <v>473</v>
      </c>
      <c r="J17076" s="46" t="s">
        <v>134</v>
      </c>
      <c r="K17076" s="46" t="s">
        <v>126</v>
      </c>
      <c r="L17076" s="45">
        <v>46016.0625</v>
      </c>
      <c r="M17076" s="46" t="s">
        <v>123</v>
      </c>
      <c r="N17076" s="45">
        <v>46016.072916666664</v>
      </c>
      <c r="O17076" s="46" t="s">
        <v>123</v>
      </c>
      <c r="P17076" s="46">
        <v>900.0</v>
      </c>
    </row>
    <row r="17077">
      <c r="A17077" s="40">
        <f t="shared" si="1"/>
        <v>46013</v>
      </c>
      <c r="B17077" s="37" t="str">
        <f t="array" ref="B17077">iferror(xlookup($I17077, 'IMPORT VHC Report'!$E:$E, 'IMPORT VHC Report'!$A:$C), )</f>
        <v/>
      </c>
      <c r="C17077" s="44"/>
      <c r="D17077" s="44"/>
      <c r="E17077" s="46" t="s">
        <v>13286</v>
      </c>
      <c r="F17077" s="46" t="s">
        <v>471</v>
      </c>
      <c r="G17077" s="46">
        <v>3.61726425496E11</v>
      </c>
      <c r="H17077" s="46" t="s">
        <v>472</v>
      </c>
      <c r="I17077" s="46" t="s">
        <v>473</v>
      </c>
      <c r="J17077" s="46" t="s">
        <v>132</v>
      </c>
      <c r="K17077" s="46" t="s">
        <v>126</v>
      </c>
      <c r="L17077" s="45">
        <v>46016.1875</v>
      </c>
      <c r="M17077" s="46" t="s">
        <v>123</v>
      </c>
      <c r="N17077" s="45">
        <v>46016.229166666664</v>
      </c>
      <c r="O17077" s="46" t="s">
        <v>123</v>
      </c>
      <c r="P17077" s="46">
        <v>3600.0</v>
      </c>
    </row>
    <row r="17078">
      <c r="A17078" s="40">
        <f t="shared" si="1"/>
        <v>46013</v>
      </c>
      <c r="B17078" s="37" t="str">
        <f t="array" ref="B17078">iferror(xlookup($I17078, 'IMPORT VHC Report'!$E:$E, 'IMPORT VHC Report'!$A:$C), )</f>
        <v/>
      </c>
      <c r="C17078" s="44"/>
      <c r="D17078" s="44"/>
      <c r="E17078" s="46" t="s">
        <v>13287</v>
      </c>
      <c r="F17078" s="46" t="s">
        <v>471</v>
      </c>
      <c r="G17078" s="46">
        <v>3.61726425496E11</v>
      </c>
      <c r="H17078" s="46" t="s">
        <v>472</v>
      </c>
      <c r="I17078" s="46" t="s">
        <v>473</v>
      </c>
      <c r="J17078" s="46" t="s">
        <v>300</v>
      </c>
      <c r="K17078" s="46" t="s">
        <v>63</v>
      </c>
      <c r="L17078" s="45">
        <v>46016.875</v>
      </c>
      <c r="M17078" s="46" t="s">
        <v>123</v>
      </c>
      <c r="N17078" s="45">
        <v>46017.25</v>
      </c>
      <c r="O17078" s="46" t="s">
        <v>123</v>
      </c>
      <c r="P17078" s="46">
        <v>32400.0</v>
      </c>
    </row>
    <row r="17079">
      <c r="A17079" s="40">
        <f t="shared" si="1"/>
        <v>46013</v>
      </c>
      <c r="B17079" s="37" t="str">
        <f t="array" ref="B17079">iferror(xlookup($I17079, 'IMPORT VHC Report'!$E:$E, 'IMPORT VHC Report'!$A:$C), )</f>
        <v/>
      </c>
      <c r="C17079" s="44"/>
      <c r="D17079" s="44"/>
      <c r="E17079" s="46" t="s">
        <v>13288</v>
      </c>
      <c r="F17079" s="46" t="s">
        <v>471</v>
      </c>
      <c r="G17079" s="46">
        <v>3.61726425496E11</v>
      </c>
      <c r="H17079" s="46" t="s">
        <v>472</v>
      </c>
      <c r="I17079" s="46" t="s">
        <v>473</v>
      </c>
      <c r="J17079" s="46" t="s">
        <v>134</v>
      </c>
      <c r="K17079" s="46" t="s">
        <v>126</v>
      </c>
      <c r="L17079" s="45">
        <v>46016.9375</v>
      </c>
      <c r="M17079" s="46" t="s">
        <v>123</v>
      </c>
      <c r="N17079" s="45">
        <v>46016.947916666664</v>
      </c>
      <c r="O17079" s="46" t="s">
        <v>123</v>
      </c>
      <c r="P17079" s="46">
        <v>900.0</v>
      </c>
    </row>
    <row r="17080">
      <c r="A17080" s="40">
        <f t="shared" si="1"/>
        <v>46013</v>
      </c>
      <c r="B17080" s="37" t="str">
        <f t="array" ref="B17080">iferror(xlookup($I17080, 'IMPORT VHC Report'!$E:$E, 'IMPORT VHC Report'!$A:$C), )</f>
        <v/>
      </c>
      <c r="C17080" s="44"/>
      <c r="D17080" s="44"/>
      <c r="E17080" s="46" t="s">
        <v>13289</v>
      </c>
      <c r="F17080" s="46" t="s">
        <v>471</v>
      </c>
      <c r="G17080" s="46">
        <v>3.61726425496E11</v>
      </c>
      <c r="H17080" s="46" t="s">
        <v>472</v>
      </c>
      <c r="I17080" s="46" t="s">
        <v>473</v>
      </c>
      <c r="J17080" s="46" t="s">
        <v>132</v>
      </c>
      <c r="K17080" s="46" t="s">
        <v>126</v>
      </c>
      <c r="L17080" s="45">
        <v>46017.0625</v>
      </c>
      <c r="M17080" s="46" t="s">
        <v>123</v>
      </c>
      <c r="N17080" s="45">
        <v>46017.104166666664</v>
      </c>
      <c r="O17080" s="46" t="s">
        <v>123</v>
      </c>
      <c r="P17080" s="46">
        <v>3600.0</v>
      </c>
    </row>
    <row r="17081">
      <c r="A17081" s="40">
        <f t="shared" si="1"/>
        <v>46013</v>
      </c>
      <c r="B17081" s="37" t="str">
        <f t="array" ref="B17081">iferror(xlookup($I17081, 'IMPORT VHC Report'!$E:$E, 'IMPORT VHC Report'!$A:$C), )</f>
        <v/>
      </c>
      <c r="C17081" s="44"/>
      <c r="D17081" s="44"/>
      <c r="E17081" s="46" t="s">
        <v>13290</v>
      </c>
      <c r="F17081" s="46" t="s">
        <v>471</v>
      </c>
      <c r="G17081" s="46">
        <v>3.61726425496E11</v>
      </c>
      <c r="H17081" s="46" t="s">
        <v>472</v>
      </c>
      <c r="I17081" s="46" t="s">
        <v>473</v>
      </c>
      <c r="J17081" s="46" t="s">
        <v>134</v>
      </c>
      <c r="K17081" s="46" t="s">
        <v>126</v>
      </c>
      <c r="L17081" s="45">
        <v>46017.125</v>
      </c>
      <c r="M17081" s="46" t="s">
        <v>123</v>
      </c>
      <c r="N17081" s="45">
        <v>46017.135416666664</v>
      </c>
      <c r="O17081" s="46" t="s">
        <v>123</v>
      </c>
      <c r="P17081" s="46">
        <v>900.0</v>
      </c>
    </row>
    <row r="17082">
      <c r="A17082" s="40">
        <f t="shared" si="1"/>
        <v>46013</v>
      </c>
      <c r="B17082" s="37" t="str">
        <f t="array" ref="B17082">iferror(xlookup($I17082, 'IMPORT VHC Report'!$E:$E, 'IMPORT VHC Report'!$A:$C), )</f>
        <v/>
      </c>
      <c r="C17082" s="44"/>
      <c r="D17082" s="44"/>
      <c r="E17082" s="46" t="s">
        <v>13291</v>
      </c>
      <c r="F17082" s="46" t="s">
        <v>471</v>
      </c>
      <c r="G17082" s="46">
        <v>3.61726425496E11</v>
      </c>
      <c r="H17082" s="46" t="s">
        <v>472</v>
      </c>
      <c r="I17082" s="46" t="s">
        <v>473</v>
      </c>
      <c r="J17082" s="46" t="s">
        <v>300</v>
      </c>
      <c r="K17082" s="46" t="s">
        <v>63</v>
      </c>
      <c r="L17082" s="45">
        <v>46019.875</v>
      </c>
      <c r="M17082" s="46" t="s">
        <v>123</v>
      </c>
      <c r="N17082" s="45">
        <v>46020.25</v>
      </c>
      <c r="O17082" s="46" t="s">
        <v>123</v>
      </c>
      <c r="P17082" s="46">
        <v>32400.0</v>
      </c>
    </row>
    <row r="17083">
      <c r="A17083" s="40">
        <f t="shared" si="1"/>
        <v>46013</v>
      </c>
      <c r="B17083" s="37" t="str">
        <f t="array" ref="B17083">iferror(xlookup($I17083, 'IMPORT VHC Report'!$E:$E, 'IMPORT VHC Report'!$A:$C), )</f>
        <v/>
      </c>
      <c r="C17083" s="44"/>
      <c r="D17083" s="44"/>
      <c r="E17083" s="46" t="s">
        <v>13292</v>
      </c>
      <c r="F17083" s="46" t="s">
        <v>471</v>
      </c>
      <c r="G17083" s="46">
        <v>3.61726425496E11</v>
      </c>
      <c r="H17083" s="46" t="s">
        <v>472</v>
      </c>
      <c r="I17083" s="46" t="s">
        <v>473</v>
      </c>
      <c r="J17083" s="46" t="s">
        <v>134</v>
      </c>
      <c r="K17083" s="46" t="s">
        <v>126</v>
      </c>
      <c r="L17083" s="45">
        <v>46019.947916666664</v>
      </c>
      <c r="M17083" s="46" t="s">
        <v>123</v>
      </c>
      <c r="N17083" s="45">
        <v>46019.958333333336</v>
      </c>
      <c r="O17083" s="46" t="s">
        <v>123</v>
      </c>
      <c r="P17083" s="46">
        <v>900.0</v>
      </c>
    </row>
    <row r="17084">
      <c r="A17084" s="40">
        <f t="shared" si="1"/>
        <v>46013</v>
      </c>
      <c r="B17084" s="37" t="str">
        <f t="array" ref="B17084">iferror(xlookup($I17084, 'IMPORT VHC Report'!$E:$E, 'IMPORT VHC Report'!$A:$C), )</f>
        <v/>
      </c>
      <c r="C17084" s="44"/>
      <c r="D17084" s="44"/>
      <c r="E17084" s="46" t="s">
        <v>13293</v>
      </c>
      <c r="F17084" s="46" t="s">
        <v>2926</v>
      </c>
      <c r="G17084" s="46">
        <v>1.1401981037583E13</v>
      </c>
      <c r="H17084" s="46" t="s">
        <v>2927</v>
      </c>
      <c r="I17084" s="46" t="s">
        <v>2928</v>
      </c>
      <c r="J17084" s="46" t="s">
        <v>300</v>
      </c>
      <c r="K17084" s="46" t="s">
        <v>63</v>
      </c>
      <c r="L17084" s="45">
        <v>46013.291666666664</v>
      </c>
      <c r="M17084" s="46" t="s">
        <v>123</v>
      </c>
      <c r="N17084" s="45">
        <v>46013.666666666664</v>
      </c>
      <c r="O17084" s="46" t="s">
        <v>123</v>
      </c>
      <c r="P17084" s="46">
        <v>32400.0</v>
      </c>
    </row>
    <row r="17085">
      <c r="A17085" s="40">
        <f t="shared" si="1"/>
        <v>46013</v>
      </c>
      <c r="B17085" s="37" t="str">
        <f t="array" ref="B17085">iferror(xlookup($I17085, 'IMPORT VHC Report'!$E:$E, 'IMPORT VHC Report'!$A:$C), )</f>
        <v/>
      </c>
      <c r="C17085" s="44"/>
      <c r="D17085" s="44"/>
      <c r="E17085" s="46" t="s">
        <v>13294</v>
      </c>
      <c r="F17085" s="46" t="s">
        <v>2926</v>
      </c>
      <c r="G17085" s="46">
        <v>1.1401981037583E13</v>
      </c>
      <c r="H17085" s="46" t="s">
        <v>2927</v>
      </c>
      <c r="I17085" s="46" t="s">
        <v>2928</v>
      </c>
      <c r="J17085" s="46" t="s">
        <v>134</v>
      </c>
      <c r="K17085" s="46" t="s">
        <v>126</v>
      </c>
      <c r="L17085" s="45">
        <v>46013.40625</v>
      </c>
      <c r="M17085" s="46" t="s">
        <v>123</v>
      </c>
      <c r="N17085" s="45">
        <v>46013.416666666664</v>
      </c>
      <c r="O17085" s="46" t="s">
        <v>123</v>
      </c>
      <c r="P17085" s="46">
        <v>900.0</v>
      </c>
    </row>
    <row r="17086">
      <c r="A17086" s="40">
        <f t="shared" si="1"/>
        <v>46013</v>
      </c>
      <c r="B17086" s="37" t="str">
        <f t="array" ref="B17086">iferror(xlookup($I17086, 'IMPORT VHC Report'!$E:$E, 'IMPORT VHC Report'!$A:$C), )</f>
        <v/>
      </c>
      <c r="C17086" s="44"/>
      <c r="D17086" s="44"/>
      <c r="E17086" s="46" t="s">
        <v>13295</v>
      </c>
      <c r="F17086" s="46" t="s">
        <v>2926</v>
      </c>
      <c r="G17086" s="46">
        <v>1.1401981037583E13</v>
      </c>
      <c r="H17086" s="46" t="s">
        <v>2927</v>
      </c>
      <c r="I17086" s="46" t="s">
        <v>2928</v>
      </c>
      <c r="J17086" s="46" t="s">
        <v>132</v>
      </c>
      <c r="K17086" s="46" t="s">
        <v>126</v>
      </c>
      <c r="L17086" s="45">
        <v>46013.46875</v>
      </c>
      <c r="M17086" s="46" t="s">
        <v>123</v>
      </c>
      <c r="N17086" s="45">
        <v>46013.510416666664</v>
      </c>
      <c r="O17086" s="46" t="s">
        <v>123</v>
      </c>
      <c r="P17086" s="46">
        <v>3600.0</v>
      </c>
    </row>
    <row r="17087">
      <c r="A17087" s="40">
        <f t="shared" si="1"/>
        <v>46013</v>
      </c>
      <c r="B17087" s="37" t="str">
        <f t="array" ref="B17087">iferror(xlookup($I17087, 'IMPORT VHC Report'!$E:$E, 'IMPORT VHC Report'!$A:$C), )</f>
        <v/>
      </c>
      <c r="C17087" s="44"/>
      <c r="D17087" s="44"/>
      <c r="E17087" s="46" t="s">
        <v>13296</v>
      </c>
      <c r="F17087" s="46" t="s">
        <v>2926</v>
      </c>
      <c r="G17087" s="46">
        <v>1.1401981037583E13</v>
      </c>
      <c r="H17087" s="46" t="s">
        <v>2927</v>
      </c>
      <c r="I17087" s="46" t="s">
        <v>2928</v>
      </c>
      <c r="J17087" s="46" t="s">
        <v>134</v>
      </c>
      <c r="K17087" s="46" t="s">
        <v>126</v>
      </c>
      <c r="L17087" s="45">
        <v>46013.541666666664</v>
      </c>
      <c r="M17087" s="46" t="s">
        <v>123</v>
      </c>
      <c r="N17087" s="45">
        <v>46013.552083333336</v>
      </c>
      <c r="O17087" s="46" t="s">
        <v>123</v>
      </c>
      <c r="P17087" s="46">
        <v>900.0</v>
      </c>
    </row>
    <row r="17088">
      <c r="A17088" s="40">
        <f t="shared" si="1"/>
        <v>46013</v>
      </c>
      <c r="B17088" s="37" t="str">
        <f t="array" ref="B17088">iferror(xlookup($I17088, 'IMPORT VHC Report'!$E:$E, 'IMPORT VHC Report'!$A:$C), )</f>
        <v/>
      </c>
      <c r="C17088" s="44"/>
      <c r="D17088" s="44"/>
      <c r="E17088" s="46" t="s">
        <v>13297</v>
      </c>
      <c r="F17088" s="46" t="s">
        <v>2926</v>
      </c>
      <c r="G17088" s="46">
        <v>1.1401981037583E13</v>
      </c>
      <c r="H17088" s="46" t="s">
        <v>2927</v>
      </c>
      <c r="I17088" s="46" t="s">
        <v>2928</v>
      </c>
      <c r="J17088" s="46" t="s">
        <v>300</v>
      </c>
      <c r="K17088" s="46" t="s">
        <v>63</v>
      </c>
      <c r="L17088" s="45">
        <v>46014.291666666664</v>
      </c>
      <c r="M17088" s="46" t="s">
        <v>123</v>
      </c>
      <c r="N17088" s="45">
        <v>46014.666666666664</v>
      </c>
      <c r="O17088" s="46" t="s">
        <v>123</v>
      </c>
      <c r="P17088" s="46">
        <v>32400.0</v>
      </c>
    </row>
    <row r="17089">
      <c r="A17089" s="40">
        <f t="shared" si="1"/>
        <v>46013</v>
      </c>
      <c r="B17089" s="37" t="str">
        <f t="array" ref="B17089">iferror(xlookup($I17089, 'IMPORT VHC Report'!$E:$E, 'IMPORT VHC Report'!$A:$C), )</f>
        <v/>
      </c>
      <c r="C17089" s="44"/>
      <c r="D17089" s="44"/>
      <c r="E17089" s="46" t="s">
        <v>13298</v>
      </c>
      <c r="F17089" s="46" t="s">
        <v>2926</v>
      </c>
      <c r="G17089" s="46">
        <v>1.1401981037583E13</v>
      </c>
      <c r="H17089" s="46" t="s">
        <v>2927</v>
      </c>
      <c r="I17089" s="46" t="s">
        <v>2928</v>
      </c>
      <c r="J17089" s="46" t="s">
        <v>134</v>
      </c>
      <c r="K17089" s="46" t="s">
        <v>126</v>
      </c>
      <c r="L17089" s="45">
        <v>46014.354166666664</v>
      </c>
      <c r="M17089" s="46" t="s">
        <v>123</v>
      </c>
      <c r="N17089" s="45">
        <v>46014.364583333336</v>
      </c>
      <c r="O17089" s="46" t="s">
        <v>123</v>
      </c>
      <c r="P17089" s="46">
        <v>900.0</v>
      </c>
    </row>
    <row r="17090">
      <c r="A17090" s="40">
        <f t="shared" si="1"/>
        <v>46013</v>
      </c>
      <c r="B17090" s="37" t="str">
        <f t="array" ref="B17090">iferror(xlookup($I17090, 'IMPORT VHC Report'!$E:$E, 'IMPORT VHC Report'!$A:$C), )</f>
        <v/>
      </c>
      <c r="C17090" s="44"/>
      <c r="D17090" s="44"/>
      <c r="E17090" s="46" t="s">
        <v>13299</v>
      </c>
      <c r="F17090" s="46" t="s">
        <v>2926</v>
      </c>
      <c r="G17090" s="46">
        <v>1.1401981037583E13</v>
      </c>
      <c r="H17090" s="46" t="s">
        <v>2927</v>
      </c>
      <c r="I17090" s="46" t="s">
        <v>2928</v>
      </c>
      <c r="J17090" s="46" t="s">
        <v>134</v>
      </c>
      <c r="K17090" s="46" t="s">
        <v>126</v>
      </c>
      <c r="L17090" s="45">
        <v>46014.46875</v>
      </c>
      <c r="M17090" s="46" t="s">
        <v>123</v>
      </c>
      <c r="N17090" s="45">
        <v>46014.479166666664</v>
      </c>
      <c r="O17090" s="46" t="s">
        <v>123</v>
      </c>
      <c r="P17090" s="46">
        <v>900.0</v>
      </c>
    </row>
    <row r="17091">
      <c r="A17091" s="40">
        <f t="shared" si="1"/>
        <v>46013</v>
      </c>
      <c r="B17091" s="37" t="str">
        <f t="array" ref="B17091">iferror(xlookup($I17091, 'IMPORT VHC Report'!$E:$E, 'IMPORT VHC Report'!$A:$C), )</f>
        <v/>
      </c>
      <c r="C17091" s="44"/>
      <c r="D17091" s="44"/>
      <c r="E17091" s="46" t="s">
        <v>13300</v>
      </c>
      <c r="F17091" s="46" t="s">
        <v>2926</v>
      </c>
      <c r="G17091" s="46">
        <v>1.1401981037583E13</v>
      </c>
      <c r="H17091" s="46" t="s">
        <v>2927</v>
      </c>
      <c r="I17091" s="46" t="s">
        <v>2928</v>
      </c>
      <c r="J17091" s="46" t="s">
        <v>132</v>
      </c>
      <c r="K17091" s="46" t="s">
        <v>126</v>
      </c>
      <c r="L17091" s="45">
        <v>46014.541666666664</v>
      </c>
      <c r="M17091" s="46" t="s">
        <v>123</v>
      </c>
      <c r="N17091" s="45">
        <v>46014.583333333336</v>
      </c>
      <c r="O17091" s="46" t="s">
        <v>123</v>
      </c>
      <c r="P17091" s="46">
        <v>3600.0</v>
      </c>
    </row>
    <row r="17092">
      <c r="A17092" s="40">
        <f t="shared" si="1"/>
        <v>46013</v>
      </c>
      <c r="B17092" s="37" t="str">
        <f t="array" ref="B17092">iferror(xlookup($I17092, 'IMPORT VHC Report'!$E:$E, 'IMPORT VHC Report'!$A:$C), )</f>
        <v/>
      </c>
      <c r="C17092" s="44"/>
      <c r="D17092" s="44"/>
      <c r="E17092" s="46" t="s">
        <v>13301</v>
      </c>
      <c r="F17092" s="46" t="s">
        <v>2926</v>
      </c>
      <c r="G17092" s="46">
        <v>1.1401981037583E13</v>
      </c>
      <c r="H17092" s="46" t="s">
        <v>2927</v>
      </c>
      <c r="I17092" s="46" t="s">
        <v>2928</v>
      </c>
      <c r="J17092" s="46" t="s">
        <v>161</v>
      </c>
      <c r="K17092" s="46" t="s">
        <v>63</v>
      </c>
      <c r="L17092" s="45">
        <v>46015.291666666664</v>
      </c>
      <c r="M17092" s="46" t="s">
        <v>123</v>
      </c>
      <c r="N17092" s="45">
        <v>46015.666666666664</v>
      </c>
      <c r="O17092" s="46" t="s">
        <v>123</v>
      </c>
      <c r="P17092" s="46">
        <v>32400.0</v>
      </c>
    </row>
    <row r="17093">
      <c r="A17093" s="40">
        <f t="shared" si="1"/>
        <v>46013</v>
      </c>
      <c r="B17093" s="37" t="str">
        <f t="array" ref="B17093">iferror(xlookup($I17093, 'IMPORT VHC Report'!$E:$E, 'IMPORT VHC Report'!$A:$C), )</f>
        <v/>
      </c>
      <c r="C17093" s="44"/>
      <c r="D17093" s="44"/>
      <c r="E17093" s="46" t="s">
        <v>13302</v>
      </c>
      <c r="F17093" s="46" t="s">
        <v>2926</v>
      </c>
      <c r="G17093" s="46">
        <v>1.1401981037583E13</v>
      </c>
      <c r="H17093" s="46" t="s">
        <v>2927</v>
      </c>
      <c r="I17093" s="46" t="s">
        <v>2928</v>
      </c>
      <c r="J17093" s="46" t="s">
        <v>134</v>
      </c>
      <c r="K17093" s="46" t="s">
        <v>126</v>
      </c>
      <c r="L17093" s="45">
        <v>46015.447916666664</v>
      </c>
      <c r="M17093" s="46" t="s">
        <v>123</v>
      </c>
      <c r="N17093" s="45">
        <v>46015.458333333336</v>
      </c>
      <c r="O17093" s="46" t="s">
        <v>123</v>
      </c>
      <c r="P17093" s="46">
        <v>900.0</v>
      </c>
    </row>
    <row r="17094">
      <c r="A17094" s="40">
        <f t="shared" si="1"/>
        <v>46013</v>
      </c>
      <c r="B17094" s="37" t="str">
        <f t="array" ref="B17094">iferror(xlookup($I17094, 'IMPORT VHC Report'!$E:$E, 'IMPORT VHC Report'!$A:$C), )</f>
        <v/>
      </c>
      <c r="C17094" s="44"/>
      <c r="D17094" s="44"/>
      <c r="E17094" s="46" t="s">
        <v>13303</v>
      </c>
      <c r="F17094" s="46" t="s">
        <v>2926</v>
      </c>
      <c r="G17094" s="46">
        <v>1.1401981037583E13</v>
      </c>
      <c r="H17094" s="46" t="s">
        <v>2927</v>
      </c>
      <c r="I17094" s="46" t="s">
        <v>2928</v>
      </c>
      <c r="J17094" s="46" t="s">
        <v>134</v>
      </c>
      <c r="K17094" s="46" t="s">
        <v>126</v>
      </c>
      <c r="L17094" s="45">
        <v>46015.541666666664</v>
      </c>
      <c r="M17094" s="46" t="s">
        <v>123</v>
      </c>
      <c r="N17094" s="45">
        <v>46015.552083333336</v>
      </c>
      <c r="O17094" s="46" t="s">
        <v>123</v>
      </c>
      <c r="P17094" s="46">
        <v>900.0</v>
      </c>
    </row>
    <row r="17095">
      <c r="A17095" s="40">
        <f t="shared" si="1"/>
        <v>46013</v>
      </c>
      <c r="B17095" s="37" t="str">
        <f t="array" ref="B17095">iferror(xlookup($I17095, 'IMPORT VHC Report'!$E:$E, 'IMPORT VHC Report'!$A:$C), )</f>
        <v/>
      </c>
      <c r="C17095" s="44"/>
      <c r="D17095" s="44"/>
      <c r="E17095" s="46" t="s">
        <v>13304</v>
      </c>
      <c r="F17095" s="46" t="s">
        <v>2926</v>
      </c>
      <c r="G17095" s="46">
        <v>1.1401981037583E13</v>
      </c>
      <c r="H17095" s="46" t="s">
        <v>2927</v>
      </c>
      <c r="I17095" s="46" t="s">
        <v>2928</v>
      </c>
      <c r="J17095" s="46" t="s">
        <v>132</v>
      </c>
      <c r="K17095" s="46" t="s">
        <v>126</v>
      </c>
      <c r="L17095" s="45">
        <v>46015.614583333336</v>
      </c>
      <c r="M17095" s="46" t="s">
        <v>123</v>
      </c>
      <c r="N17095" s="45">
        <v>46015.65625</v>
      </c>
      <c r="O17095" s="46" t="s">
        <v>123</v>
      </c>
      <c r="P17095" s="46">
        <v>3600.0</v>
      </c>
    </row>
    <row r="17096">
      <c r="A17096" s="40">
        <f t="shared" si="1"/>
        <v>46013</v>
      </c>
      <c r="B17096" s="37" t="str">
        <f t="array" ref="B17096">iferror(xlookup($I17096, 'IMPORT VHC Report'!$E:$E, 'IMPORT VHC Report'!$A:$C), )</f>
        <v/>
      </c>
      <c r="C17096" s="44"/>
      <c r="D17096" s="44"/>
      <c r="E17096" s="46" t="s">
        <v>13305</v>
      </c>
      <c r="F17096" s="46" t="s">
        <v>2926</v>
      </c>
      <c r="G17096" s="46">
        <v>1.1401981037583E13</v>
      </c>
      <c r="H17096" s="46" t="s">
        <v>2927</v>
      </c>
      <c r="I17096" s="46" t="s">
        <v>2928</v>
      </c>
      <c r="J17096" s="46" t="s">
        <v>161</v>
      </c>
      <c r="K17096" s="46" t="s">
        <v>63</v>
      </c>
      <c r="L17096" s="45">
        <v>46018.291666666664</v>
      </c>
      <c r="M17096" s="46" t="s">
        <v>123</v>
      </c>
      <c r="N17096" s="45">
        <v>46018.666666666664</v>
      </c>
      <c r="O17096" s="46" t="s">
        <v>123</v>
      </c>
      <c r="P17096" s="46">
        <v>32400.0</v>
      </c>
    </row>
    <row r="17097">
      <c r="A17097" s="40">
        <f t="shared" si="1"/>
        <v>46013</v>
      </c>
      <c r="B17097" s="37" t="str">
        <f t="array" ref="B17097">iferror(xlookup($I17097, 'IMPORT VHC Report'!$E:$E, 'IMPORT VHC Report'!$A:$C), )</f>
        <v/>
      </c>
      <c r="C17097" s="44"/>
      <c r="D17097" s="44"/>
      <c r="E17097" s="46" t="s">
        <v>13306</v>
      </c>
      <c r="F17097" s="46" t="s">
        <v>2926</v>
      </c>
      <c r="G17097" s="46">
        <v>1.1401981037583E13</v>
      </c>
      <c r="H17097" s="46" t="s">
        <v>2927</v>
      </c>
      <c r="I17097" s="46" t="s">
        <v>2928</v>
      </c>
      <c r="J17097" s="46" t="s">
        <v>134</v>
      </c>
      <c r="K17097" s="46" t="s">
        <v>126</v>
      </c>
      <c r="L17097" s="45">
        <v>46018.375</v>
      </c>
      <c r="M17097" s="46" t="s">
        <v>123</v>
      </c>
      <c r="N17097" s="45">
        <v>46018.385416666664</v>
      </c>
      <c r="O17097" s="46" t="s">
        <v>123</v>
      </c>
      <c r="P17097" s="46">
        <v>900.0</v>
      </c>
    </row>
    <row r="17098">
      <c r="A17098" s="40">
        <f t="shared" si="1"/>
        <v>46013</v>
      </c>
      <c r="B17098" s="37" t="str">
        <f t="array" ref="B17098">iferror(xlookup($I17098, 'IMPORT VHC Report'!$E:$E, 'IMPORT VHC Report'!$A:$C), )</f>
        <v/>
      </c>
      <c r="C17098" s="44"/>
      <c r="D17098" s="44"/>
      <c r="E17098" s="46" t="s">
        <v>13307</v>
      </c>
      <c r="F17098" s="46" t="s">
        <v>2926</v>
      </c>
      <c r="G17098" s="46">
        <v>1.1401981037583E13</v>
      </c>
      <c r="H17098" s="46" t="s">
        <v>2927</v>
      </c>
      <c r="I17098" s="46" t="s">
        <v>2928</v>
      </c>
      <c r="J17098" s="46" t="s">
        <v>134</v>
      </c>
      <c r="K17098" s="46" t="s">
        <v>126</v>
      </c>
      <c r="L17098" s="45">
        <v>46018.447916666664</v>
      </c>
      <c r="M17098" s="46" t="s">
        <v>123</v>
      </c>
      <c r="N17098" s="45">
        <v>46018.458333333336</v>
      </c>
      <c r="O17098" s="46" t="s">
        <v>123</v>
      </c>
      <c r="P17098" s="46">
        <v>900.0</v>
      </c>
    </row>
    <row r="17099">
      <c r="A17099" s="40">
        <f t="shared" si="1"/>
        <v>46013</v>
      </c>
      <c r="B17099" s="37" t="str">
        <f t="array" ref="B17099">iferror(xlookup($I17099, 'IMPORT VHC Report'!$E:$E, 'IMPORT VHC Report'!$A:$C), )</f>
        <v/>
      </c>
      <c r="C17099" s="44"/>
      <c r="D17099" s="44"/>
      <c r="E17099" s="46" t="s">
        <v>13308</v>
      </c>
      <c r="F17099" s="46" t="s">
        <v>2926</v>
      </c>
      <c r="G17099" s="46">
        <v>1.1401981037583E13</v>
      </c>
      <c r="H17099" s="46" t="s">
        <v>2927</v>
      </c>
      <c r="I17099" s="46" t="s">
        <v>2928</v>
      </c>
      <c r="J17099" s="46" t="s">
        <v>132</v>
      </c>
      <c r="K17099" s="46" t="s">
        <v>126</v>
      </c>
      <c r="L17099" s="45">
        <v>46018.625</v>
      </c>
      <c r="M17099" s="46" t="s">
        <v>123</v>
      </c>
      <c r="N17099" s="45">
        <v>46018.666666666664</v>
      </c>
      <c r="O17099" s="46" t="s">
        <v>123</v>
      </c>
      <c r="P17099" s="46">
        <v>3600.0</v>
      </c>
    </row>
    <row r="17100">
      <c r="A17100" s="40">
        <f t="shared" si="1"/>
        <v>46013</v>
      </c>
      <c r="B17100" s="37" t="str">
        <f t="array" ref="B17100">iferror(xlookup($I17100, 'IMPORT VHC Report'!$E:$E, 'IMPORT VHC Report'!$A:$C), )</f>
        <v/>
      </c>
      <c r="C17100" s="44"/>
      <c r="D17100" s="44"/>
      <c r="E17100" s="46" t="s">
        <v>13309</v>
      </c>
      <c r="F17100" s="46" t="s">
        <v>2926</v>
      </c>
      <c r="G17100" s="46">
        <v>1.1401981037583E13</v>
      </c>
      <c r="H17100" s="46" t="s">
        <v>2927</v>
      </c>
      <c r="I17100" s="46" t="s">
        <v>2928</v>
      </c>
      <c r="J17100" s="46" t="s">
        <v>161</v>
      </c>
      <c r="K17100" s="46" t="s">
        <v>63</v>
      </c>
      <c r="L17100" s="45">
        <v>46019.291666666664</v>
      </c>
      <c r="M17100" s="46" t="s">
        <v>123</v>
      </c>
      <c r="N17100" s="45">
        <v>46019.666666666664</v>
      </c>
      <c r="O17100" s="46" t="s">
        <v>123</v>
      </c>
      <c r="P17100" s="46">
        <v>32400.0</v>
      </c>
    </row>
    <row r="17101">
      <c r="A17101" s="40">
        <f t="shared" si="1"/>
        <v>46013</v>
      </c>
      <c r="B17101" s="37" t="str">
        <f t="array" ref="B17101">iferror(xlookup($I17101, 'IMPORT VHC Report'!$E:$E, 'IMPORT VHC Report'!$A:$C), )</f>
        <v/>
      </c>
      <c r="C17101" s="44"/>
      <c r="D17101" s="44"/>
      <c r="E17101" s="46" t="s">
        <v>13310</v>
      </c>
      <c r="F17101" s="46" t="s">
        <v>2926</v>
      </c>
      <c r="G17101" s="46">
        <v>1.1401981037583E13</v>
      </c>
      <c r="H17101" s="46" t="s">
        <v>2927</v>
      </c>
      <c r="I17101" s="46" t="s">
        <v>2928</v>
      </c>
      <c r="J17101" s="46" t="s">
        <v>134</v>
      </c>
      <c r="K17101" s="46" t="s">
        <v>126</v>
      </c>
      <c r="L17101" s="45">
        <v>46019.375</v>
      </c>
      <c r="M17101" s="46" t="s">
        <v>123</v>
      </c>
      <c r="N17101" s="45">
        <v>46019.385416666664</v>
      </c>
      <c r="O17101" s="46" t="s">
        <v>123</v>
      </c>
      <c r="P17101" s="46">
        <v>900.0</v>
      </c>
    </row>
    <row r="17102">
      <c r="A17102" s="40">
        <f t="shared" si="1"/>
        <v>46013</v>
      </c>
      <c r="B17102" s="37" t="str">
        <f t="array" ref="B17102">iferror(xlookup($I17102, 'IMPORT VHC Report'!$E:$E, 'IMPORT VHC Report'!$A:$C), )</f>
        <v/>
      </c>
      <c r="C17102" s="44"/>
      <c r="D17102" s="44"/>
      <c r="E17102" s="46" t="s">
        <v>13311</v>
      </c>
      <c r="F17102" s="46" t="s">
        <v>2926</v>
      </c>
      <c r="G17102" s="46">
        <v>1.1401981037583E13</v>
      </c>
      <c r="H17102" s="46" t="s">
        <v>2927</v>
      </c>
      <c r="I17102" s="46" t="s">
        <v>2928</v>
      </c>
      <c r="J17102" s="46" t="s">
        <v>134</v>
      </c>
      <c r="K17102" s="46" t="s">
        <v>126</v>
      </c>
      <c r="L17102" s="45">
        <v>46019.520833333336</v>
      </c>
      <c r="M17102" s="46" t="s">
        <v>123</v>
      </c>
      <c r="N17102" s="45">
        <v>46019.53125</v>
      </c>
      <c r="O17102" s="46" t="s">
        <v>123</v>
      </c>
      <c r="P17102" s="46">
        <v>900.0</v>
      </c>
    </row>
    <row r="17103">
      <c r="A17103" s="40">
        <f t="shared" si="1"/>
        <v>46013</v>
      </c>
      <c r="B17103" s="37" t="str">
        <f t="array" ref="B17103">iferror(xlookup($I17103, 'IMPORT VHC Report'!$E:$E, 'IMPORT VHC Report'!$A:$C), )</f>
        <v/>
      </c>
      <c r="C17103" s="44"/>
      <c r="D17103" s="44"/>
      <c r="E17103" s="46" t="s">
        <v>13312</v>
      </c>
      <c r="F17103" s="46" t="s">
        <v>2926</v>
      </c>
      <c r="G17103" s="46">
        <v>1.1401981037583E13</v>
      </c>
      <c r="H17103" s="46" t="s">
        <v>2927</v>
      </c>
      <c r="I17103" s="46" t="s">
        <v>2928</v>
      </c>
      <c r="J17103" s="46" t="s">
        <v>132</v>
      </c>
      <c r="K17103" s="46" t="s">
        <v>126</v>
      </c>
      <c r="L17103" s="45">
        <v>46019.583333333336</v>
      </c>
      <c r="M17103" s="46" t="s">
        <v>123</v>
      </c>
      <c r="N17103" s="45">
        <v>46019.625</v>
      </c>
      <c r="O17103" s="46" t="s">
        <v>123</v>
      </c>
      <c r="P17103" s="46">
        <v>3600.0</v>
      </c>
    </row>
    <row r="17104">
      <c r="A17104" s="40">
        <f t="shared" si="1"/>
        <v>46013</v>
      </c>
      <c r="B17104" s="37" t="str">
        <f t="array" ref="B17104">iferror(xlookup($I17104, 'IMPORT VHC Report'!$E:$E, 'IMPORT VHC Report'!$A:$C), )</f>
        <v/>
      </c>
      <c r="C17104" s="44"/>
      <c r="D17104" s="44"/>
      <c r="E17104" s="46" t="s">
        <v>13313</v>
      </c>
      <c r="F17104" s="46" t="s">
        <v>3012</v>
      </c>
      <c r="G17104" s="46">
        <v>3.61726424816E11</v>
      </c>
      <c r="H17104" s="46" t="s">
        <v>3013</v>
      </c>
      <c r="I17104" s="46" t="s">
        <v>3014</v>
      </c>
      <c r="J17104" s="46" t="s">
        <v>178</v>
      </c>
      <c r="K17104" s="46" t="s">
        <v>153</v>
      </c>
      <c r="L17104" s="45">
        <v>46013.291666666664</v>
      </c>
      <c r="M17104" s="46" t="s">
        <v>123</v>
      </c>
      <c r="N17104" s="45">
        <v>46013.666666666664</v>
      </c>
      <c r="O17104" s="46" t="s">
        <v>123</v>
      </c>
      <c r="P17104" s="46">
        <v>32400.0</v>
      </c>
      <c r="Q17104" s="46">
        <v>32400.0</v>
      </c>
    </row>
    <row r="17105">
      <c r="A17105" s="40">
        <f t="shared" si="1"/>
        <v>46013</v>
      </c>
      <c r="B17105" s="37" t="str">
        <f t="array" ref="B17105">iferror(xlookup($I17105, 'IMPORT VHC Report'!$E:$E, 'IMPORT VHC Report'!$A:$C), )</f>
        <v/>
      </c>
      <c r="C17105" s="44"/>
      <c r="D17105" s="44"/>
      <c r="E17105" s="46" t="s">
        <v>13314</v>
      </c>
      <c r="F17105" s="46" t="s">
        <v>3012</v>
      </c>
      <c r="G17105" s="46">
        <v>3.61726424816E11</v>
      </c>
      <c r="H17105" s="46" t="s">
        <v>3013</v>
      </c>
      <c r="I17105" s="46" t="s">
        <v>3014</v>
      </c>
      <c r="J17105" s="46" t="s">
        <v>300</v>
      </c>
      <c r="K17105" s="46" t="s">
        <v>63</v>
      </c>
      <c r="L17105" s="45">
        <v>46013.291666666664</v>
      </c>
      <c r="M17105" s="46" t="s">
        <v>123</v>
      </c>
      <c r="N17105" s="45">
        <v>46013.666666666664</v>
      </c>
      <c r="O17105" s="46" t="s">
        <v>123</v>
      </c>
      <c r="P17105" s="46">
        <v>32400.0</v>
      </c>
    </row>
    <row r="17106">
      <c r="A17106" s="40">
        <f t="shared" si="1"/>
        <v>46013</v>
      </c>
      <c r="B17106" s="37" t="str">
        <f t="array" ref="B17106">iferror(xlookup($I17106, 'IMPORT VHC Report'!$E:$E, 'IMPORT VHC Report'!$A:$C), )</f>
        <v/>
      </c>
      <c r="C17106" s="44"/>
      <c r="D17106" s="44"/>
      <c r="E17106" s="46" t="s">
        <v>13315</v>
      </c>
      <c r="F17106" s="46" t="s">
        <v>3012</v>
      </c>
      <c r="G17106" s="46">
        <v>3.61726424816E11</v>
      </c>
      <c r="H17106" s="46" t="s">
        <v>3013</v>
      </c>
      <c r="I17106" s="46" t="s">
        <v>3014</v>
      </c>
      <c r="J17106" s="46" t="s">
        <v>134</v>
      </c>
      <c r="K17106" s="46" t="s">
        <v>126</v>
      </c>
      <c r="L17106" s="45">
        <v>46013.385416666664</v>
      </c>
      <c r="M17106" s="46" t="s">
        <v>123</v>
      </c>
      <c r="N17106" s="45">
        <v>46013.395833333336</v>
      </c>
      <c r="O17106" s="46" t="s">
        <v>123</v>
      </c>
      <c r="P17106" s="46">
        <v>900.0</v>
      </c>
    </row>
    <row r="17107">
      <c r="A17107" s="40">
        <f t="shared" si="1"/>
        <v>46013</v>
      </c>
      <c r="B17107" s="37" t="str">
        <f t="array" ref="B17107">iferror(xlookup($I17107, 'IMPORT VHC Report'!$E:$E, 'IMPORT VHC Report'!$A:$C), )</f>
        <v/>
      </c>
      <c r="C17107" s="44"/>
      <c r="D17107" s="44"/>
      <c r="E17107" s="46" t="s">
        <v>13316</v>
      </c>
      <c r="F17107" s="46" t="s">
        <v>3012</v>
      </c>
      <c r="G17107" s="46">
        <v>3.61726424816E11</v>
      </c>
      <c r="H17107" s="46" t="s">
        <v>3013</v>
      </c>
      <c r="I17107" s="46" t="s">
        <v>3014</v>
      </c>
      <c r="J17107" s="46" t="s">
        <v>134</v>
      </c>
      <c r="K17107" s="46" t="s">
        <v>126</v>
      </c>
      <c r="L17107" s="45">
        <v>46013.53125</v>
      </c>
      <c r="M17107" s="46" t="s">
        <v>123</v>
      </c>
      <c r="N17107" s="45">
        <v>46013.541666666664</v>
      </c>
      <c r="O17107" s="46" t="s">
        <v>123</v>
      </c>
      <c r="P17107" s="46">
        <v>900.0</v>
      </c>
    </row>
    <row r="17108">
      <c r="A17108" s="40">
        <f t="shared" si="1"/>
        <v>46013</v>
      </c>
      <c r="B17108" s="37" t="str">
        <f t="array" ref="B17108">iferror(xlookup($I17108, 'IMPORT VHC Report'!$E:$E, 'IMPORT VHC Report'!$A:$C), )</f>
        <v/>
      </c>
      <c r="C17108" s="44"/>
      <c r="D17108" s="44"/>
      <c r="E17108" s="46" t="s">
        <v>13317</v>
      </c>
      <c r="F17108" s="46" t="s">
        <v>3012</v>
      </c>
      <c r="G17108" s="46">
        <v>3.61726424816E11</v>
      </c>
      <c r="H17108" s="46" t="s">
        <v>3013</v>
      </c>
      <c r="I17108" s="46" t="s">
        <v>3014</v>
      </c>
      <c r="J17108" s="46" t="s">
        <v>132</v>
      </c>
      <c r="K17108" s="46" t="s">
        <v>126</v>
      </c>
      <c r="L17108" s="45">
        <v>46013.5625</v>
      </c>
      <c r="M17108" s="46" t="s">
        <v>123</v>
      </c>
      <c r="N17108" s="45">
        <v>46013.604166666664</v>
      </c>
      <c r="O17108" s="46" t="s">
        <v>123</v>
      </c>
      <c r="P17108" s="46">
        <v>3600.0</v>
      </c>
    </row>
    <row r="17109">
      <c r="A17109" s="40">
        <f t="shared" si="1"/>
        <v>46013</v>
      </c>
      <c r="B17109" s="37" t="str">
        <f t="array" ref="B17109">iferror(xlookup($I17109, 'IMPORT VHC Report'!$E:$E, 'IMPORT VHC Report'!$A:$C), )</f>
        <v/>
      </c>
      <c r="C17109" s="44"/>
      <c r="D17109" s="44"/>
      <c r="E17109" s="46" t="s">
        <v>13318</v>
      </c>
      <c r="F17109" s="46" t="s">
        <v>3012</v>
      </c>
      <c r="G17109" s="46">
        <v>3.61726424816E11</v>
      </c>
      <c r="H17109" s="46" t="s">
        <v>3013</v>
      </c>
      <c r="I17109" s="46" t="s">
        <v>3014</v>
      </c>
      <c r="J17109" s="46" t="s">
        <v>178</v>
      </c>
      <c r="K17109" s="46" t="s">
        <v>153</v>
      </c>
      <c r="L17109" s="45">
        <v>46014.291666666664</v>
      </c>
      <c r="M17109" s="46" t="s">
        <v>123</v>
      </c>
      <c r="N17109" s="45">
        <v>46014.666666666664</v>
      </c>
      <c r="O17109" s="46" t="s">
        <v>123</v>
      </c>
      <c r="P17109" s="46">
        <v>32400.0</v>
      </c>
      <c r="Q17109" s="46">
        <v>32400.0</v>
      </c>
    </row>
    <row r="17110">
      <c r="A17110" s="40">
        <f t="shared" si="1"/>
        <v>46013</v>
      </c>
      <c r="B17110" s="37" t="str">
        <f t="array" ref="B17110">iferror(xlookup($I17110, 'IMPORT VHC Report'!$E:$E, 'IMPORT VHC Report'!$A:$C), )</f>
        <v/>
      </c>
      <c r="C17110" s="44"/>
      <c r="D17110" s="44"/>
      <c r="E17110" s="46" t="s">
        <v>13319</v>
      </c>
      <c r="F17110" s="46" t="s">
        <v>3012</v>
      </c>
      <c r="G17110" s="46">
        <v>3.61726424816E11</v>
      </c>
      <c r="H17110" s="46" t="s">
        <v>3013</v>
      </c>
      <c r="I17110" s="46" t="s">
        <v>3014</v>
      </c>
      <c r="J17110" s="46" t="s">
        <v>300</v>
      </c>
      <c r="K17110" s="46" t="s">
        <v>63</v>
      </c>
      <c r="L17110" s="45">
        <v>46014.291666666664</v>
      </c>
      <c r="M17110" s="46" t="s">
        <v>123</v>
      </c>
      <c r="N17110" s="45">
        <v>46014.666666666664</v>
      </c>
      <c r="O17110" s="46" t="s">
        <v>123</v>
      </c>
      <c r="P17110" s="46">
        <v>32400.0</v>
      </c>
    </row>
    <row r="17111">
      <c r="A17111" s="40">
        <f t="shared" si="1"/>
        <v>46013</v>
      </c>
      <c r="B17111" s="37" t="str">
        <f t="array" ref="B17111">iferror(xlookup($I17111, 'IMPORT VHC Report'!$E:$E, 'IMPORT VHC Report'!$A:$C), )</f>
        <v/>
      </c>
      <c r="C17111" s="44"/>
      <c r="D17111" s="44"/>
      <c r="E17111" s="46" t="s">
        <v>13320</v>
      </c>
      <c r="F17111" s="46" t="s">
        <v>3012</v>
      </c>
      <c r="G17111" s="46">
        <v>3.61726424816E11</v>
      </c>
      <c r="H17111" s="46" t="s">
        <v>3013</v>
      </c>
      <c r="I17111" s="46" t="s">
        <v>3014</v>
      </c>
      <c r="J17111" s="46" t="s">
        <v>134</v>
      </c>
      <c r="K17111" s="46" t="s">
        <v>126</v>
      </c>
      <c r="L17111" s="45">
        <v>46014.364583333336</v>
      </c>
      <c r="M17111" s="46" t="s">
        <v>123</v>
      </c>
      <c r="N17111" s="45">
        <v>46014.375</v>
      </c>
      <c r="O17111" s="46" t="s">
        <v>123</v>
      </c>
      <c r="P17111" s="46">
        <v>900.0</v>
      </c>
    </row>
    <row r="17112">
      <c r="A17112" s="40">
        <f t="shared" si="1"/>
        <v>46013</v>
      </c>
      <c r="B17112" s="37" t="str">
        <f t="array" ref="B17112">iferror(xlookup($I17112, 'IMPORT VHC Report'!$E:$E, 'IMPORT VHC Report'!$A:$C), )</f>
        <v/>
      </c>
      <c r="C17112" s="44"/>
      <c r="D17112" s="44"/>
      <c r="E17112" s="46" t="s">
        <v>13321</v>
      </c>
      <c r="F17112" s="46" t="s">
        <v>3012</v>
      </c>
      <c r="G17112" s="46">
        <v>3.61726424816E11</v>
      </c>
      <c r="H17112" s="46" t="s">
        <v>3013</v>
      </c>
      <c r="I17112" s="46" t="s">
        <v>3014</v>
      </c>
      <c r="J17112" s="46" t="s">
        <v>132</v>
      </c>
      <c r="K17112" s="46" t="s">
        <v>126</v>
      </c>
      <c r="L17112" s="45">
        <v>46014.489583333336</v>
      </c>
      <c r="M17112" s="46" t="s">
        <v>123</v>
      </c>
      <c r="N17112" s="45">
        <v>46014.53125</v>
      </c>
      <c r="O17112" s="46" t="s">
        <v>123</v>
      </c>
      <c r="P17112" s="46">
        <v>3600.0</v>
      </c>
    </row>
    <row r="17113">
      <c r="A17113" s="40">
        <f t="shared" si="1"/>
        <v>46013</v>
      </c>
      <c r="B17113" s="37" t="str">
        <f t="array" ref="B17113">iferror(xlookup($I17113, 'IMPORT VHC Report'!$E:$E, 'IMPORT VHC Report'!$A:$C), )</f>
        <v/>
      </c>
      <c r="C17113" s="44"/>
      <c r="D17113" s="44"/>
      <c r="E17113" s="46" t="s">
        <v>13322</v>
      </c>
      <c r="F17113" s="46" t="s">
        <v>3012</v>
      </c>
      <c r="G17113" s="46">
        <v>3.61726424816E11</v>
      </c>
      <c r="H17113" s="46" t="s">
        <v>3013</v>
      </c>
      <c r="I17113" s="46" t="s">
        <v>3014</v>
      </c>
      <c r="J17113" s="46" t="s">
        <v>134</v>
      </c>
      <c r="K17113" s="46" t="s">
        <v>126</v>
      </c>
      <c r="L17113" s="45">
        <v>46014.5625</v>
      </c>
      <c r="M17113" s="46" t="s">
        <v>123</v>
      </c>
      <c r="N17113" s="45">
        <v>46014.572916666664</v>
      </c>
      <c r="O17113" s="46" t="s">
        <v>123</v>
      </c>
      <c r="P17113" s="46">
        <v>900.0</v>
      </c>
    </row>
    <row r="17114">
      <c r="A17114" s="40">
        <f t="shared" si="1"/>
        <v>46013</v>
      </c>
      <c r="B17114" s="37" t="str">
        <f t="array" ref="B17114">iferror(xlookup($I17114, 'IMPORT VHC Report'!$E:$E, 'IMPORT VHC Report'!$A:$C), )</f>
        <v/>
      </c>
      <c r="C17114" s="44"/>
      <c r="D17114" s="44"/>
      <c r="E17114" s="46" t="s">
        <v>13323</v>
      </c>
      <c r="F17114" s="46" t="s">
        <v>3012</v>
      </c>
      <c r="G17114" s="46">
        <v>3.61726424816E11</v>
      </c>
      <c r="H17114" s="46" t="s">
        <v>3013</v>
      </c>
      <c r="I17114" s="46" t="s">
        <v>3014</v>
      </c>
      <c r="J17114" s="46" t="s">
        <v>300</v>
      </c>
      <c r="K17114" s="46" t="s">
        <v>63</v>
      </c>
      <c r="L17114" s="45">
        <v>46015.291666666664</v>
      </c>
      <c r="M17114" s="46" t="s">
        <v>123</v>
      </c>
      <c r="N17114" s="45">
        <v>46015.666666666664</v>
      </c>
      <c r="O17114" s="46" t="s">
        <v>123</v>
      </c>
      <c r="P17114" s="46">
        <v>32400.0</v>
      </c>
    </row>
    <row r="17115">
      <c r="A17115" s="40">
        <f t="shared" si="1"/>
        <v>46013</v>
      </c>
      <c r="B17115" s="37" t="str">
        <f t="array" ref="B17115">iferror(xlookup($I17115, 'IMPORT VHC Report'!$E:$E, 'IMPORT VHC Report'!$A:$C), )</f>
        <v/>
      </c>
      <c r="C17115" s="44"/>
      <c r="D17115" s="44"/>
      <c r="E17115" s="46" t="s">
        <v>13324</v>
      </c>
      <c r="F17115" s="46" t="s">
        <v>3012</v>
      </c>
      <c r="G17115" s="46">
        <v>3.61726424816E11</v>
      </c>
      <c r="H17115" s="46" t="s">
        <v>3013</v>
      </c>
      <c r="I17115" s="46" t="s">
        <v>3014</v>
      </c>
      <c r="J17115" s="46" t="s">
        <v>178</v>
      </c>
      <c r="K17115" s="46" t="s">
        <v>153</v>
      </c>
      <c r="L17115" s="45">
        <v>46015.291666666664</v>
      </c>
      <c r="M17115" s="46" t="s">
        <v>123</v>
      </c>
      <c r="N17115" s="45">
        <v>46015.666666666664</v>
      </c>
      <c r="O17115" s="46" t="s">
        <v>123</v>
      </c>
      <c r="P17115" s="46">
        <v>32400.0</v>
      </c>
      <c r="Q17115" s="46">
        <v>28800.0</v>
      </c>
      <c r="R17115" s="46" t="s">
        <v>13325</v>
      </c>
    </row>
    <row r="17116">
      <c r="A17116" s="40">
        <f t="shared" si="1"/>
        <v>46013</v>
      </c>
      <c r="B17116" s="37" t="str">
        <f t="array" ref="B17116">iferror(xlookup($I17116, 'IMPORT VHC Report'!$E:$E, 'IMPORT VHC Report'!$A:$C), )</f>
        <v/>
      </c>
      <c r="C17116" s="44"/>
      <c r="D17116" s="44"/>
      <c r="E17116" s="46" t="s">
        <v>13326</v>
      </c>
      <c r="F17116" s="46" t="s">
        <v>3012</v>
      </c>
      <c r="G17116" s="46">
        <v>3.61726424816E11</v>
      </c>
      <c r="H17116" s="46" t="s">
        <v>3013</v>
      </c>
      <c r="I17116" s="46" t="s">
        <v>3014</v>
      </c>
      <c r="J17116" s="46" t="s">
        <v>134</v>
      </c>
      <c r="K17116" s="46" t="s">
        <v>126</v>
      </c>
      <c r="L17116" s="45">
        <v>46015.4375</v>
      </c>
      <c r="M17116" s="46" t="s">
        <v>123</v>
      </c>
      <c r="N17116" s="45">
        <v>46015.447916666664</v>
      </c>
      <c r="O17116" s="46" t="s">
        <v>123</v>
      </c>
      <c r="P17116" s="46">
        <v>900.0</v>
      </c>
    </row>
    <row r="17117">
      <c r="A17117" s="40">
        <f t="shared" si="1"/>
        <v>46013</v>
      </c>
      <c r="B17117" s="37" t="str">
        <f t="array" ref="B17117">iferror(xlookup($I17117, 'IMPORT VHC Report'!$E:$E, 'IMPORT VHC Report'!$A:$C), )</f>
        <v/>
      </c>
      <c r="C17117" s="44"/>
      <c r="D17117" s="44"/>
      <c r="E17117" s="46" t="s">
        <v>13327</v>
      </c>
      <c r="F17117" s="46" t="s">
        <v>3012</v>
      </c>
      <c r="G17117" s="46">
        <v>3.61726424816E11</v>
      </c>
      <c r="H17117" s="46" t="s">
        <v>3013</v>
      </c>
      <c r="I17117" s="46" t="s">
        <v>3014</v>
      </c>
      <c r="J17117" s="46" t="s">
        <v>134</v>
      </c>
      <c r="K17117" s="46" t="s">
        <v>126</v>
      </c>
      <c r="L17117" s="45">
        <v>46015.552083333336</v>
      </c>
      <c r="M17117" s="46" t="s">
        <v>123</v>
      </c>
      <c r="N17117" s="45">
        <v>46015.5625</v>
      </c>
      <c r="O17117" s="46" t="s">
        <v>123</v>
      </c>
      <c r="P17117" s="46">
        <v>900.0</v>
      </c>
    </row>
    <row r="17118">
      <c r="A17118" s="40">
        <f t="shared" si="1"/>
        <v>46013</v>
      </c>
      <c r="B17118" s="37" t="str">
        <f t="array" ref="B17118">iferror(xlookup($I17118, 'IMPORT VHC Report'!$E:$E, 'IMPORT VHC Report'!$A:$C), )</f>
        <v/>
      </c>
      <c r="C17118" s="44"/>
      <c r="D17118" s="44"/>
      <c r="E17118" s="46" t="s">
        <v>13328</v>
      </c>
      <c r="F17118" s="46" t="s">
        <v>3012</v>
      </c>
      <c r="G17118" s="46">
        <v>3.61726424816E11</v>
      </c>
      <c r="H17118" s="46" t="s">
        <v>3013</v>
      </c>
      <c r="I17118" s="46" t="s">
        <v>3014</v>
      </c>
      <c r="J17118" s="46" t="s">
        <v>132</v>
      </c>
      <c r="K17118" s="46" t="s">
        <v>126</v>
      </c>
      <c r="L17118" s="45">
        <v>46015.604166666664</v>
      </c>
      <c r="M17118" s="46" t="s">
        <v>123</v>
      </c>
      <c r="N17118" s="45">
        <v>46015.645833333336</v>
      </c>
      <c r="O17118" s="46" t="s">
        <v>123</v>
      </c>
      <c r="P17118" s="46">
        <v>3600.0</v>
      </c>
    </row>
    <row r="17119">
      <c r="A17119" s="40">
        <f t="shared" si="1"/>
        <v>46013</v>
      </c>
      <c r="B17119" s="37" t="str">
        <f t="array" ref="B17119">iferror(xlookup($I17119, 'IMPORT VHC Report'!$E:$E, 'IMPORT VHC Report'!$A:$C), )</f>
        <v/>
      </c>
      <c r="C17119" s="44"/>
      <c r="D17119" s="44"/>
      <c r="E17119" s="46" t="s">
        <v>13329</v>
      </c>
      <c r="F17119" s="46" t="s">
        <v>3012</v>
      </c>
      <c r="G17119" s="46">
        <v>3.61726424816E11</v>
      </c>
      <c r="H17119" s="46" t="s">
        <v>3013</v>
      </c>
      <c r="I17119" s="46" t="s">
        <v>3014</v>
      </c>
      <c r="J17119" s="46" t="s">
        <v>300</v>
      </c>
      <c r="K17119" s="46" t="s">
        <v>63</v>
      </c>
      <c r="L17119" s="45">
        <v>46016.291666666664</v>
      </c>
      <c r="M17119" s="46" t="s">
        <v>123</v>
      </c>
      <c r="N17119" s="45">
        <v>46016.666666666664</v>
      </c>
      <c r="O17119" s="46" t="s">
        <v>123</v>
      </c>
      <c r="P17119" s="46">
        <v>32400.0</v>
      </c>
    </row>
    <row r="17120">
      <c r="A17120" s="40">
        <f t="shared" si="1"/>
        <v>46013</v>
      </c>
      <c r="B17120" s="37" t="str">
        <f t="array" ref="B17120">iferror(xlookup($I17120, 'IMPORT VHC Report'!$E:$E, 'IMPORT VHC Report'!$A:$C), )</f>
        <v/>
      </c>
      <c r="C17120" s="44"/>
      <c r="D17120" s="44"/>
      <c r="E17120" s="46" t="s">
        <v>13330</v>
      </c>
      <c r="F17120" s="46" t="s">
        <v>3012</v>
      </c>
      <c r="G17120" s="46">
        <v>3.61726424816E11</v>
      </c>
      <c r="H17120" s="46" t="s">
        <v>3013</v>
      </c>
      <c r="I17120" s="46" t="s">
        <v>3014</v>
      </c>
      <c r="J17120" s="46" t="s">
        <v>134</v>
      </c>
      <c r="K17120" s="46" t="s">
        <v>126</v>
      </c>
      <c r="L17120" s="45">
        <v>46016.447916666664</v>
      </c>
      <c r="M17120" s="46" t="s">
        <v>123</v>
      </c>
      <c r="N17120" s="45">
        <v>46016.458333333336</v>
      </c>
      <c r="O17120" s="46" t="s">
        <v>123</v>
      </c>
      <c r="P17120" s="46">
        <v>900.0</v>
      </c>
    </row>
    <row r="17121">
      <c r="A17121" s="40">
        <f t="shared" si="1"/>
        <v>46013</v>
      </c>
      <c r="B17121" s="37" t="str">
        <f t="array" ref="B17121">iferror(xlookup($I17121, 'IMPORT VHC Report'!$E:$E, 'IMPORT VHC Report'!$A:$C), )</f>
        <v/>
      </c>
      <c r="C17121" s="44"/>
      <c r="D17121" s="44"/>
      <c r="E17121" s="46" t="s">
        <v>13331</v>
      </c>
      <c r="F17121" s="46" t="s">
        <v>3012</v>
      </c>
      <c r="G17121" s="46">
        <v>3.61726424816E11</v>
      </c>
      <c r="H17121" s="46" t="s">
        <v>3013</v>
      </c>
      <c r="I17121" s="46" t="s">
        <v>3014</v>
      </c>
      <c r="J17121" s="46" t="s">
        <v>134</v>
      </c>
      <c r="K17121" s="46" t="s">
        <v>126</v>
      </c>
      <c r="L17121" s="45">
        <v>46016.520833333336</v>
      </c>
      <c r="M17121" s="46" t="s">
        <v>123</v>
      </c>
      <c r="N17121" s="45">
        <v>46016.53125</v>
      </c>
      <c r="O17121" s="46" t="s">
        <v>123</v>
      </c>
      <c r="P17121" s="46">
        <v>900.0</v>
      </c>
    </row>
    <row r="17122">
      <c r="A17122" s="40">
        <f t="shared" si="1"/>
        <v>46013</v>
      </c>
      <c r="B17122" s="37" t="str">
        <f t="array" ref="B17122">iferror(xlookup($I17122, 'IMPORT VHC Report'!$E:$E, 'IMPORT VHC Report'!$A:$C), )</f>
        <v/>
      </c>
      <c r="C17122" s="44"/>
      <c r="D17122" s="44"/>
      <c r="E17122" s="46" t="s">
        <v>13332</v>
      </c>
      <c r="F17122" s="46" t="s">
        <v>3012</v>
      </c>
      <c r="G17122" s="46">
        <v>3.61726424816E11</v>
      </c>
      <c r="H17122" s="46" t="s">
        <v>3013</v>
      </c>
      <c r="I17122" s="46" t="s">
        <v>3014</v>
      </c>
      <c r="J17122" s="46" t="s">
        <v>132</v>
      </c>
      <c r="K17122" s="46" t="s">
        <v>126</v>
      </c>
      <c r="L17122" s="45">
        <v>46016.5625</v>
      </c>
      <c r="M17122" s="46" t="s">
        <v>123</v>
      </c>
      <c r="N17122" s="45">
        <v>46016.604166666664</v>
      </c>
      <c r="O17122" s="46" t="s">
        <v>123</v>
      </c>
      <c r="P17122" s="46">
        <v>3600.0</v>
      </c>
    </row>
    <row r="17123">
      <c r="A17123" s="40">
        <f t="shared" si="1"/>
        <v>46013</v>
      </c>
      <c r="B17123" s="37" t="str">
        <f t="array" ref="B17123">iferror(xlookup($I17123, 'IMPORT VHC Report'!$E:$E, 'IMPORT VHC Report'!$A:$C), )</f>
        <v/>
      </c>
      <c r="C17123" s="44"/>
      <c r="D17123" s="44"/>
      <c r="E17123" s="46" t="s">
        <v>13333</v>
      </c>
      <c r="F17123" s="46" t="s">
        <v>3012</v>
      </c>
      <c r="G17123" s="46">
        <v>3.61726424816E11</v>
      </c>
      <c r="H17123" s="46" t="s">
        <v>3013</v>
      </c>
      <c r="I17123" s="46" t="s">
        <v>3014</v>
      </c>
      <c r="J17123" s="46" t="s">
        <v>178</v>
      </c>
      <c r="K17123" s="46" t="s">
        <v>153</v>
      </c>
      <c r="L17123" s="45">
        <v>46017.291666666664</v>
      </c>
      <c r="M17123" s="46" t="s">
        <v>123</v>
      </c>
      <c r="N17123" s="45">
        <v>46017.666666666664</v>
      </c>
      <c r="O17123" s="46" t="s">
        <v>123</v>
      </c>
      <c r="P17123" s="46">
        <v>32400.0</v>
      </c>
      <c r="Q17123" s="46">
        <v>57600.0</v>
      </c>
      <c r="R17123" s="46" t="s">
        <v>5674</v>
      </c>
    </row>
    <row r="17124">
      <c r="A17124" s="40">
        <f t="shared" si="1"/>
        <v>46013</v>
      </c>
      <c r="B17124" s="37" t="str">
        <f t="array" ref="B17124">iferror(xlookup($I17124, 'IMPORT VHC Report'!$E:$E, 'IMPORT VHC Report'!$A:$C), )</f>
        <v/>
      </c>
      <c r="C17124" s="44"/>
      <c r="D17124" s="44"/>
      <c r="E17124" s="46" t="s">
        <v>13334</v>
      </c>
      <c r="F17124" s="46" t="s">
        <v>3012</v>
      </c>
      <c r="G17124" s="46">
        <v>3.61726424816E11</v>
      </c>
      <c r="H17124" s="46" t="s">
        <v>3013</v>
      </c>
      <c r="I17124" s="46" t="s">
        <v>3014</v>
      </c>
      <c r="J17124" s="46" t="s">
        <v>300</v>
      </c>
      <c r="K17124" s="46" t="s">
        <v>63</v>
      </c>
      <c r="L17124" s="45">
        <v>46017.291666666664</v>
      </c>
      <c r="M17124" s="46" t="s">
        <v>123</v>
      </c>
      <c r="N17124" s="45">
        <v>46017.666666666664</v>
      </c>
      <c r="O17124" s="46" t="s">
        <v>123</v>
      </c>
      <c r="P17124" s="46">
        <v>32400.0</v>
      </c>
    </row>
    <row r="17125">
      <c r="A17125" s="40">
        <f t="shared" si="1"/>
        <v>46013</v>
      </c>
      <c r="B17125" s="37" t="str">
        <f t="array" ref="B17125">iferror(xlookup($I17125, 'IMPORT VHC Report'!$E:$E, 'IMPORT VHC Report'!$A:$C), )</f>
        <v/>
      </c>
      <c r="C17125" s="44"/>
      <c r="D17125" s="44"/>
      <c r="E17125" s="46" t="s">
        <v>13335</v>
      </c>
      <c r="F17125" s="46" t="s">
        <v>3012</v>
      </c>
      <c r="G17125" s="46">
        <v>3.61726424816E11</v>
      </c>
      <c r="H17125" s="46" t="s">
        <v>3013</v>
      </c>
      <c r="I17125" s="46" t="s">
        <v>3014</v>
      </c>
      <c r="J17125" s="46" t="s">
        <v>134</v>
      </c>
      <c r="K17125" s="46" t="s">
        <v>126</v>
      </c>
      <c r="L17125" s="45">
        <v>46017.427083333336</v>
      </c>
      <c r="M17125" s="46" t="s">
        <v>123</v>
      </c>
      <c r="N17125" s="45">
        <v>46017.4375</v>
      </c>
      <c r="O17125" s="46" t="s">
        <v>123</v>
      </c>
      <c r="P17125" s="46">
        <v>900.0</v>
      </c>
    </row>
    <row r="17126">
      <c r="A17126" s="40">
        <f t="shared" si="1"/>
        <v>46013</v>
      </c>
      <c r="B17126" s="37" t="str">
        <f t="array" ref="B17126">iferror(xlookup($I17126, 'IMPORT VHC Report'!$E:$E, 'IMPORT VHC Report'!$A:$C), )</f>
        <v/>
      </c>
      <c r="C17126" s="44"/>
      <c r="D17126" s="44"/>
      <c r="E17126" s="46" t="s">
        <v>13336</v>
      </c>
      <c r="F17126" s="46" t="s">
        <v>3012</v>
      </c>
      <c r="G17126" s="46">
        <v>3.61726424816E11</v>
      </c>
      <c r="H17126" s="46" t="s">
        <v>3013</v>
      </c>
      <c r="I17126" s="46" t="s">
        <v>3014</v>
      </c>
      <c r="J17126" s="46" t="s">
        <v>132</v>
      </c>
      <c r="K17126" s="46" t="s">
        <v>126</v>
      </c>
      <c r="L17126" s="45">
        <v>46017.5</v>
      </c>
      <c r="M17126" s="46" t="s">
        <v>123</v>
      </c>
      <c r="N17126" s="45">
        <v>46017.541666666664</v>
      </c>
      <c r="O17126" s="46" t="s">
        <v>123</v>
      </c>
      <c r="P17126" s="46">
        <v>3600.0</v>
      </c>
    </row>
    <row r="17127">
      <c r="A17127" s="40">
        <f t="shared" si="1"/>
        <v>46013</v>
      </c>
      <c r="B17127" s="37" t="str">
        <f t="array" ref="B17127">iferror(xlookup($I17127, 'IMPORT VHC Report'!$E:$E, 'IMPORT VHC Report'!$A:$C), )</f>
        <v/>
      </c>
      <c r="C17127" s="44"/>
      <c r="D17127" s="44"/>
      <c r="E17127" s="46" t="s">
        <v>13337</v>
      </c>
      <c r="F17127" s="46" t="s">
        <v>3012</v>
      </c>
      <c r="G17127" s="46">
        <v>3.61726424816E11</v>
      </c>
      <c r="H17127" s="46" t="s">
        <v>3013</v>
      </c>
      <c r="I17127" s="46" t="s">
        <v>3014</v>
      </c>
      <c r="J17127" s="46" t="s">
        <v>134</v>
      </c>
      <c r="K17127" s="46" t="s">
        <v>126</v>
      </c>
      <c r="L17127" s="45">
        <v>46017.5625</v>
      </c>
      <c r="M17127" s="46" t="s">
        <v>123</v>
      </c>
      <c r="N17127" s="45">
        <v>46017.572916666664</v>
      </c>
      <c r="O17127" s="46" t="s">
        <v>123</v>
      </c>
      <c r="P17127" s="46">
        <v>900.0</v>
      </c>
    </row>
    <row r="17128">
      <c r="A17128" s="40">
        <f t="shared" si="1"/>
        <v>46013</v>
      </c>
      <c r="B17128" s="37" t="str">
        <f t="array" ref="B17128">iferror(xlookup($I17128, 'IMPORT VHC Report'!$E:$E, 'IMPORT VHC Report'!$A:$C), )</f>
        <v/>
      </c>
      <c r="C17128" s="44"/>
      <c r="D17128" s="44"/>
      <c r="E17128" s="46" t="s">
        <v>13338</v>
      </c>
      <c r="F17128" s="46" t="s">
        <v>4717</v>
      </c>
      <c r="G17128" s="46">
        <v>1.1401961186319E13</v>
      </c>
      <c r="H17128" s="46" t="s">
        <v>4718</v>
      </c>
      <c r="I17128" s="46" t="s">
        <v>4719</v>
      </c>
      <c r="J17128" s="46" t="s">
        <v>178</v>
      </c>
      <c r="K17128" s="46" t="s">
        <v>153</v>
      </c>
      <c r="L17128" s="45">
        <v>46013.625</v>
      </c>
      <c r="M17128" s="46" t="s">
        <v>123</v>
      </c>
      <c r="N17128" s="45">
        <v>46014.0</v>
      </c>
      <c r="O17128" s="46" t="s">
        <v>123</v>
      </c>
      <c r="P17128" s="46">
        <v>32400.0</v>
      </c>
      <c r="Q17128" s="46">
        <v>32400.0</v>
      </c>
    </row>
    <row r="17129">
      <c r="A17129" s="40">
        <f t="shared" si="1"/>
        <v>46013</v>
      </c>
      <c r="B17129" s="37" t="str">
        <f t="array" ref="B17129">iferror(xlookup($I17129, 'IMPORT VHC Report'!$E:$E, 'IMPORT VHC Report'!$A:$C), )</f>
        <v/>
      </c>
      <c r="C17129" s="44"/>
      <c r="D17129" s="44"/>
      <c r="E17129" s="46" t="s">
        <v>13339</v>
      </c>
      <c r="F17129" s="46" t="s">
        <v>4717</v>
      </c>
      <c r="G17129" s="46">
        <v>1.1401961186319E13</v>
      </c>
      <c r="H17129" s="46" t="s">
        <v>4718</v>
      </c>
      <c r="I17129" s="46" t="s">
        <v>4719</v>
      </c>
      <c r="J17129" s="46" t="s">
        <v>300</v>
      </c>
      <c r="K17129" s="46" t="s">
        <v>63</v>
      </c>
      <c r="L17129" s="45">
        <v>46013.625</v>
      </c>
      <c r="M17129" s="46" t="s">
        <v>123</v>
      </c>
      <c r="N17129" s="45">
        <v>46014.0</v>
      </c>
      <c r="O17129" s="46" t="s">
        <v>123</v>
      </c>
      <c r="P17129" s="46">
        <v>32400.0</v>
      </c>
    </row>
    <row r="17130">
      <c r="A17130" s="40">
        <f t="shared" si="1"/>
        <v>46013</v>
      </c>
      <c r="B17130" s="37" t="str">
        <f t="array" ref="B17130">iferror(xlookup($I17130, 'IMPORT VHC Report'!$E:$E, 'IMPORT VHC Report'!$A:$C), )</f>
        <v/>
      </c>
      <c r="C17130" s="44"/>
      <c r="D17130" s="44"/>
      <c r="E17130" s="46" t="s">
        <v>13340</v>
      </c>
      <c r="F17130" s="46" t="s">
        <v>4717</v>
      </c>
      <c r="G17130" s="46">
        <v>1.1401961186319E13</v>
      </c>
      <c r="H17130" s="46" t="s">
        <v>4718</v>
      </c>
      <c r="I17130" s="46" t="s">
        <v>4719</v>
      </c>
      <c r="J17130" s="46" t="s">
        <v>134</v>
      </c>
      <c r="K17130" s="46" t="s">
        <v>126</v>
      </c>
      <c r="L17130" s="45">
        <v>46013.739583333336</v>
      </c>
      <c r="M17130" s="46" t="s">
        <v>123</v>
      </c>
      <c r="N17130" s="45">
        <v>46013.75</v>
      </c>
      <c r="O17130" s="46" t="s">
        <v>123</v>
      </c>
      <c r="P17130" s="46">
        <v>900.0</v>
      </c>
    </row>
    <row r="17131">
      <c r="A17131" s="40">
        <f t="shared" si="1"/>
        <v>46013</v>
      </c>
      <c r="B17131" s="37" t="str">
        <f t="array" ref="B17131">iferror(xlookup($I17131, 'IMPORT VHC Report'!$E:$E, 'IMPORT VHC Report'!$A:$C), )</f>
        <v/>
      </c>
      <c r="C17131" s="44"/>
      <c r="D17131" s="44"/>
      <c r="E17131" s="46" t="s">
        <v>13341</v>
      </c>
      <c r="F17131" s="46" t="s">
        <v>4717</v>
      </c>
      <c r="G17131" s="46">
        <v>1.1401961186319E13</v>
      </c>
      <c r="H17131" s="46" t="s">
        <v>4718</v>
      </c>
      <c r="I17131" s="46" t="s">
        <v>4719</v>
      </c>
      <c r="J17131" s="46" t="s">
        <v>134</v>
      </c>
      <c r="K17131" s="46" t="s">
        <v>126</v>
      </c>
      <c r="L17131" s="45">
        <v>46013.84375</v>
      </c>
      <c r="M17131" s="46" t="s">
        <v>123</v>
      </c>
      <c r="N17131" s="45">
        <v>46013.854166666664</v>
      </c>
      <c r="O17131" s="46" t="s">
        <v>123</v>
      </c>
      <c r="P17131" s="46">
        <v>900.0</v>
      </c>
    </row>
    <row r="17132">
      <c r="A17132" s="40">
        <f t="shared" si="1"/>
        <v>46013</v>
      </c>
      <c r="B17132" s="37" t="str">
        <f t="array" ref="B17132">iferror(xlookup($I17132, 'IMPORT VHC Report'!$E:$E, 'IMPORT VHC Report'!$A:$C), )</f>
        <v/>
      </c>
      <c r="C17132" s="44"/>
      <c r="D17132" s="44"/>
      <c r="E17132" s="46" t="s">
        <v>13342</v>
      </c>
      <c r="F17132" s="46" t="s">
        <v>4717</v>
      </c>
      <c r="G17132" s="46">
        <v>1.1401961186319E13</v>
      </c>
      <c r="H17132" s="46" t="s">
        <v>4718</v>
      </c>
      <c r="I17132" s="46" t="s">
        <v>4719</v>
      </c>
      <c r="J17132" s="46" t="s">
        <v>132</v>
      </c>
      <c r="K17132" s="46" t="s">
        <v>126</v>
      </c>
      <c r="L17132" s="45">
        <v>46013.885416666664</v>
      </c>
      <c r="M17132" s="46" t="s">
        <v>123</v>
      </c>
      <c r="N17132" s="45">
        <v>46013.927083333336</v>
      </c>
      <c r="O17132" s="46" t="s">
        <v>123</v>
      </c>
      <c r="P17132" s="46">
        <v>3600.0</v>
      </c>
    </row>
    <row r="17133">
      <c r="A17133" s="40">
        <f t="shared" si="1"/>
        <v>46013</v>
      </c>
      <c r="B17133" s="37" t="str">
        <f t="array" ref="B17133">iferror(xlookup($I17133, 'IMPORT VHC Report'!$E:$E, 'IMPORT VHC Report'!$A:$C), )</f>
        <v/>
      </c>
      <c r="C17133" s="44"/>
      <c r="D17133" s="44"/>
      <c r="E17133" s="46" t="s">
        <v>13343</v>
      </c>
      <c r="F17133" s="46" t="s">
        <v>4717</v>
      </c>
      <c r="G17133" s="46">
        <v>1.1401961186319E13</v>
      </c>
      <c r="H17133" s="46" t="s">
        <v>4718</v>
      </c>
      <c r="I17133" s="46" t="s">
        <v>4719</v>
      </c>
      <c r="J17133" s="46" t="s">
        <v>178</v>
      </c>
      <c r="K17133" s="46" t="s">
        <v>153</v>
      </c>
      <c r="L17133" s="45">
        <v>46014.625</v>
      </c>
      <c r="M17133" s="46" t="s">
        <v>123</v>
      </c>
      <c r="N17133" s="45">
        <v>46015.0</v>
      </c>
      <c r="O17133" s="46" t="s">
        <v>123</v>
      </c>
      <c r="P17133" s="46">
        <v>32400.0</v>
      </c>
      <c r="Q17133" s="46">
        <v>32400.0</v>
      </c>
    </row>
    <row r="17134">
      <c r="A17134" s="40">
        <f t="shared" si="1"/>
        <v>46013</v>
      </c>
      <c r="B17134" s="37" t="str">
        <f t="array" ref="B17134">iferror(xlookup($I17134, 'IMPORT VHC Report'!$E:$E, 'IMPORT VHC Report'!$A:$C), )</f>
        <v/>
      </c>
      <c r="C17134" s="44"/>
      <c r="D17134" s="44"/>
      <c r="E17134" s="46" t="s">
        <v>13344</v>
      </c>
      <c r="F17134" s="46" t="s">
        <v>4717</v>
      </c>
      <c r="G17134" s="46">
        <v>1.1401961186319E13</v>
      </c>
      <c r="H17134" s="46" t="s">
        <v>4718</v>
      </c>
      <c r="I17134" s="46" t="s">
        <v>4719</v>
      </c>
      <c r="J17134" s="46" t="s">
        <v>300</v>
      </c>
      <c r="K17134" s="46" t="s">
        <v>63</v>
      </c>
      <c r="L17134" s="45">
        <v>46014.625</v>
      </c>
      <c r="M17134" s="46" t="s">
        <v>123</v>
      </c>
      <c r="N17134" s="45">
        <v>46015.0</v>
      </c>
      <c r="O17134" s="46" t="s">
        <v>123</v>
      </c>
      <c r="P17134" s="46">
        <v>32400.0</v>
      </c>
    </row>
    <row r="17135">
      <c r="A17135" s="40">
        <f t="shared" si="1"/>
        <v>46013</v>
      </c>
      <c r="B17135" s="37" t="str">
        <f t="array" ref="B17135">iferror(xlookup($I17135, 'IMPORT VHC Report'!$E:$E, 'IMPORT VHC Report'!$A:$C), )</f>
        <v/>
      </c>
      <c r="C17135" s="44"/>
      <c r="D17135" s="44"/>
      <c r="E17135" s="46" t="s">
        <v>13345</v>
      </c>
      <c r="F17135" s="46" t="s">
        <v>4717</v>
      </c>
      <c r="G17135" s="46">
        <v>1.1401961186319E13</v>
      </c>
      <c r="H17135" s="46" t="s">
        <v>4718</v>
      </c>
      <c r="I17135" s="46" t="s">
        <v>4719</v>
      </c>
      <c r="J17135" s="46" t="s">
        <v>134</v>
      </c>
      <c r="K17135" s="46" t="s">
        <v>126</v>
      </c>
      <c r="L17135" s="45">
        <v>46014.770833333336</v>
      </c>
      <c r="M17135" s="46" t="s">
        <v>123</v>
      </c>
      <c r="N17135" s="45">
        <v>46014.78125</v>
      </c>
      <c r="O17135" s="46" t="s">
        <v>123</v>
      </c>
      <c r="P17135" s="46">
        <v>900.0</v>
      </c>
    </row>
    <row r="17136">
      <c r="A17136" s="40">
        <f t="shared" si="1"/>
        <v>46013</v>
      </c>
      <c r="B17136" s="37" t="str">
        <f t="array" ref="B17136">iferror(xlookup($I17136, 'IMPORT VHC Report'!$E:$E, 'IMPORT VHC Report'!$A:$C), )</f>
        <v/>
      </c>
      <c r="C17136" s="44"/>
      <c r="D17136" s="44"/>
      <c r="E17136" s="46" t="s">
        <v>13346</v>
      </c>
      <c r="F17136" s="46" t="s">
        <v>4717</v>
      </c>
      <c r="G17136" s="46">
        <v>1.1401961186319E13</v>
      </c>
      <c r="H17136" s="46" t="s">
        <v>4718</v>
      </c>
      <c r="I17136" s="46" t="s">
        <v>4719</v>
      </c>
      <c r="J17136" s="46" t="s">
        <v>134</v>
      </c>
      <c r="K17136" s="46" t="s">
        <v>126</v>
      </c>
      <c r="L17136" s="45">
        <v>46014.854166666664</v>
      </c>
      <c r="M17136" s="46" t="s">
        <v>123</v>
      </c>
      <c r="N17136" s="45">
        <v>46014.864583333336</v>
      </c>
      <c r="O17136" s="46" t="s">
        <v>123</v>
      </c>
      <c r="P17136" s="46">
        <v>900.0</v>
      </c>
    </row>
    <row r="17137">
      <c r="A17137" s="40">
        <f t="shared" si="1"/>
        <v>46013</v>
      </c>
      <c r="B17137" s="37" t="str">
        <f t="array" ref="B17137">iferror(xlookup($I17137, 'IMPORT VHC Report'!$E:$E, 'IMPORT VHC Report'!$A:$C), )</f>
        <v/>
      </c>
      <c r="C17137" s="44"/>
      <c r="D17137" s="44"/>
      <c r="E17137" s="46" t="s">
        <v>13347</v>
      </c>
      <c r="F17137" s="46" t="s">
        <v>4717</v>
      </c>
      <c r="G17137" s="46">
        <v>1.1401961186319E13</v>
      </c>
      <c r="H17137" s="46" t="s">
        <v>4718</v>
      </c>
      <c r="I17137" s="46" t="s">
        <v>4719</v>
      </c>
      <c r="J17137" s="46" t="s">
        <v>132</v>
      </c>
      <c r="K17137" s="46" t="s">
        <v>126</v>
      </c>
      <c r="L17137" s="45">
        <v>46014.895833333336</v>
      </c>
      <c r="M17137" s="46" t="s">
        <v>123</v>
      </c>
      <c r="N17137" s="45">
        <v>46014.9375</v>
      </c>
      <c r="O17137" s="46" t="s">
        <v>123</v>
      </c>
      <c r="P17137" s="46">
        <v>3600.0</v>
      </c>
    </row>
    <row r="17138">
      <c r="A17138" s="40">
        <f t="shared" si="1"/>
        <v>46013</v>
      </c>
      <c r="B17138" s="37" t="str">
        <f t="array" ref="B17138">iferror(xlookup($I17138, 'IMPORT VHC Report'!$E:$E, 'IMPORT VHC Report'!$A:$C), )</f>
        <v/>
      </c>
      <c r="C17138" s="44"/>
      <c r="D17138" s="44"/>
      <c r="E17138" s="46" t="s">
        <v>13348</v>
      </c>
      <c r="F17138" s="46" t="s">
        <v>4717</v>
      </c>
      <c r="G17138" s="46">
        <v>1.1401961186319E13</v>
      </c>
      <c r="H17138" s="46" t="s">
        <v>4718</v>
      </c>
      <c r="I17138" s="46" t="s">
        <v>4719</v>
      </c>
      <c r="J17138" s="46" t="s">
        <v>300</v>
      </c>
      <c r="K17138" s="46" t="s">
        <v>63</v>
      </c>
      <c r="L17138" s="45">
        <v>46015.625</v>
      </c>
      <c r="M17138" s="46" t="s">
        <v>123</v>
      </c>
      <c r="N17138" s="45">
        <v>46016.0</v>
      </c>
      <c r="O17138" s="46" t="s">
        <v>123</v>
      </c>
      <c r="P17138" s="46">
        <v>32400.0</v>
      </c>
    </row>
    <row r="17139">
      <c r="A17139" s="40">
        <f t="shared" si="1"/>
        <v>46013</v>
      </c>
      <c r="B17139" s="37" t="str">
        <f t="array" ref="B17139">iferror(xlookup($I17139, 'IMPORT VHC Report'!$E:$E, 'IMPORT VHC Report'!$A:$C), )</f>
        <v/>
      </c>
      <c r="C17139" s="44"/>
      <c r="D17139" s="44"/>
      <c r="E17139" s="46" t="s">
        <v>13349</v>
      </c>
      <c r="F17139" s="46" t="s">
        <v>4717</v>
      </c>
      <c r="G17139" s="46">
        <v>1.1401961186319E13</v>
      </c>
      <c r="H17139" s="46" t="s">
        <v>4718</v>
      </c>
      <c r="I17139" s="46" t="s">
        <v>4719</v>
      </c>
      <c r="J17139" s="46" t="s">
        <v>178</v>
      </c>
      <c r="K17139" s="46" t="s">
        <v>153</v>
      </c>
      <c r="L17139" s="45">
        <v>46015.625</v>
      </c>
      <c r="M17139" s="46" t="s">
        <v>123</v>
      </c>
      <c r="N17139" s="45">
        <v>46016.0</v>
      </c>
      <c r="O17139" s="46" t="s">
        <v>123</v>
      </c>
      <c r="P17139" s="46">
        <v>32400.0</v>
      </c>
      <c r="Q17139" s="46">
        <v>32400.0</v>
      </c>
    </row>
    <row r="17140">
      <c r="A17140" s="40">
        <f t="shared" si="1"/>
        <v>46013</v>
      </c>
      <c r="B17140" s="37" t="str">
        <f t="array" ref="B17140">iferror(xlookup($I17140, 'IMPORT VHC Report'!$E:$E, 'IMPORT VHC Report'!$A:$C), )</f>
        <v/>
      </c>
      <c r="C17140" s="44"/>
      <c r="D17140" s="44"/>
      <c r="E17140" s="46" t="s">
        <v>13350</v>
      </c>
      <c r="F17140" s="46" t="s">
        <v>4717</v>
      </c>
      <c r="G17140" s="46">
        <v>1.1401961186319E13</v>
      </c>
      <c r="H17140" s="46" t="s">
        <v>4718</v>
      </c>
      <c r="I17140" s="46" t="s">
        <v>4719</v>
      </c>
      <c r="J17140" s="46" t="s">
        <v>134</v>
      </c>
      <c r="K17140" s="46" t="s">
        <v>126</v>
      </c>
      <c r="L17140" s="45">
        <v>46015.708333333336</v>
      </c>
      <c r="M17140" s="46" t="s">
        <v>123</v>
      </c>
      <c r="N17140" s="45">
        <v>46015.71875</v>
      </c>
      <c r="O17140" s="46" t="s">
        <v>123</v>
      </c>
      <c r="P17140" s="46">
        <v>900.0</v>
      </c>
    </row>
    <row r="17141">
      <c r="A17141" s="40">
        <f t="shared" si="1"/>
        <v>46013</v>
      </c>
      <c r="B17141" s="37" t="str">
        <f t="array" ref="B17141">iferror(xlookup($I17141, 'IMPORT VHC Report'!$E:$E, 'IMPORT VHC Report'!$A:$C), )</f>
        <v/>
      </c>
      <c r="C17141" s="44"/>
      <c r="D17141" s="44"/>
      <c r="E17141" s="46" t="s">
        <v>13351</v>
      </c>
      <c r="F17141" s="46" t="s">
        <v>4717</v>
      </c>
      <c r="G17141" s="46">
        <v>1.1401961186319E13</v>
      </c>
      <c r="H17141" s="46" t="s">
        <v>4718</v>
      </c>
      <c r="I17141" s="46" t="s">
        <v>4719</v>
      </c>
      <c r="J17141" s="46" t="s">
        <v>134</v>
      </c>
      <c r="K17141" s="46" t="s">
        <v>126</v>
      </c>
      <c r="L17141" s="45">
        <v>46015.90625</v>
      </c>
      <c r="M17141" s="46" t="s">
        <v>123</v>
      </c>
      <c r="N17141" s="45">
        <v>46015.916666666664</v>
      </c>
      <c r="O17141" s="46" t="s">
        <v>123</v>
      </c>
      <c r="P17141" s="46">
        <v>900.0</v>
      </c>
    </row>
    <row r="17142">
      <c r="A17142" s="40">
        <f t="shared" si="1"/>
        <v>46013</v>
      </c>
      <c r="B17142" s="37" t="str">
        <f t="array" ref="B17142">iferror(xlookup($I17142, 'IMPORT VHC Report'!$E:$E, 'IMPORT VHC Report'!$A:$C), )</f>
        <v/>
      </c>
      <c r="C17142" s="44"/>
      <c r="D17142" s="44"/>
      <c r="E17142" s="46" t="s">
        <v>13352</v>
      </c>
      <c r="F17142" s="46" t="s">
        <v>4717</v>
      </c>
      <c r="G17142" s="46">
        <v>1.1401961186319E13</v>
      </c>
      <c r="H17142" s="46" t="s">
        <v>4718</v>
      </c>
      <c r="I17142" s="46" t="s">
        <v>4719</v>
      </c>
      <c r="J17142" s="46" t="s">
        <v>132</v>
      </c>
      <c r="K17142" s="46" t="s">
        <v>126</v>
      </c>
      <c r="L17142" s="45">
        <v>46015.958333333336</v>
      </c>
      <c r="M17142" s="46" t="s">
        <v>123</v>
      </c>
      <c r="N17142" s="45">
        <v>46016.0</v>
      </c>
      <c r="O17142" s="46" t="s">
        <v>123</v>
      </c>
      <c r="P17142" s="46">
        <v>3600.0</v>
      </c>
    </row>
    <row r="17143">
      <c r="A17143" s="40">
        <f t="shared" si="1"/>
        <v>46013</v>
      </c>
      <c r="B17143" s="37" t="str">
        <f t="array" ref="B17143">iferror(xlookup($I17143, 'IMPORT VHC Report'!$E:$E, 'IMPORT VHC Report'!$A:$C), )</f>
        <v/>
      </c>
      <c r="C17143" s="44"/>
      <c r="D17143" s="44"/>
      <c r="E17143" s="46" t="s">
        <v>13353</v>
      </c>
      <c r="F17143" s="46" t="s">
        <v>4717</v>
      </c>
      <c r="G17143" s="46">
        <v>1.1401961186319E13</v>
      </c>
      <c r="H17143" s="46" t="s">
        <v>4718</v>
      </c>
      <c r="I17143" s="46" t="s">
        <v>4719</v>
      </c>
      <c r="J17143" s="46" t="s">
        <v>178</v>
      </c>
      <c r="K17143" s="46" t="s">
        <v>153</v>
      </c>
      <c r="L17143" s="45">
        <v>46016.625</v>
      </c>
      <c r="M17143" s="46" t="s">
        <v>123</v>
      </c>
      <c r="N17143" s="45">
        <v>46017.0</v>
      </c>
      <c r="O17143" s="46" t="s">
        <v>123</v>
      </c>
      <c r="P17143" s="46">
        <v>32400.0</v>
      </c>
      <c r="Q17143" s="46">
        <v>32400.0</v>
      </c>
    </row>
    <row r="17144">
      <c r="A17144" s="40">
        <f t="shared" si="1"/>
        <v>46013</v>
      </c>
      <c r="B17144" s="37" t="str">
        <f t="array" ref="B17144">iferror(xlookup($I17144, 'IMPORT VHC Report'!$E:$E, 'IMPORT VHC Report'!$A:$C), )</f>
        <v/>
      </c>
      <c r="C17144" s="44"/>
      <c r="D17144" s="44"/>
      <c r="E17144" s="46" t="s">
        <v>13354</v>
      </c>
      <c r="F17144" s="46" t="s">
        <v>4717</v>
      </c>
      <c r="G17144" s="46">
        <v>1.1401961186319E13</v>
      </c>
      <c r="H17144" s="46" t="s">
        <v>4718</v>
      </c>
      <c r="I17144" s="46" t="s">
        <v>4719</v>
      </c>
      <c r="J17144" s="46" t="s">
        <v>300</v>
      </c>
      <c r="K17144" s="46" t="s">
        <v>63</v>
      </c>
      <c r="L17144" s="45">
        <v>46016.625</v>
      </c>
      <c r="M17144" s="46" t="s">
        <v>123</v>
      </c>
      <c r="N17144" s="45">
        <v>46017.0</v>
      </c>
      <c r="O17144" s="46" t="s">
        <v>123</v>
      </c>
      <c r="P17144" s="46">
        <v>32400.0</v>
      </c>
    </row>
    <row r="17145">
      <c r="A17145" s="40">
        <f t="shared" si="1"/>
        <v>46013</v>
      </c>
      <c r="B17145" s="37" t="str">
        <f t="array" ref="B17145">iferror(xlookup($I17145, 'IMPORT VHC Report'!$E:$E, 'IMPORT VHC Report'!$A:$C), )</f>
        <v/>
      </c>
      <c r="C17145" s="44"/>
      <c r="D17145" s="44"/>
      <c r="E17145" s="46" t="s">
        <v>13355</v>
      </c>
      <c r="F17145" s="46" t="s">
        <v>4717</v>
      </c>
      <c r="G17145" s="46">
        <v>1.1401961186319E13</v>
      </c>
      <c r="H17145" s="46" t="s">
        <v>4718</v>
      </c>
      <c r="I17145" s="46" t="s">
        <v>4719</v>
      </c>
      <c r="J17145" s="46" t="s">
        <v>134</v>
      </c>
      <c r="K17145" s="46" t="s">
        <v>126</v>
      </c>
      <c r="L17145" s="45">
        <v>46016.760416666664</v>
      </c>
      <c r="M17145" s="46" t="s">
        <v>123</v>
      </c>
      <c r="N17145" s="45">
        <v>46016.770833333336</v>
      </c>
      <c r="O17145" s="46" t="s">
        <v>123</v>
      </c>
      <c r="P17145" s="46">
        <v>900.0</v>
      </c>
    </row>
    <row r="17146">
      <c r="A17146" s="40">
        <f t="shared" si="1"/>
        <v>46013</v>
      </c>
      <c r="B17146" s="37" t="str">
        <f t="array" ref="B17146">iferror(xlookup($I17146, 'IMPORT VHC Report'!$E:$E, 'IMPORT VHC Report'!$A:$C), )</f>
        <v/>
      </c>
      <c r="C17146" s="44"/>
      <c r="D17146" s="44"/>
      <c r="E17146" s="46" t="s">
        <v>13356</v>
      </c>
      <c r="F17146" s="46" t="s">
        <v>4717</v>
      </c>
      <c r="G17146" s="46">
        <v>1.1401961186319E13</v>
      </c>
      <c r="H17146" s="46" t="s">
        <v>4718</v>
      </c>
      <c r="I17146" s="46" t="s">
        <v>4719</v>
      </c>
      <c r="J17146" s="46" t="s">
        <v>134</v>
      </c>
      <c r="K17146" s="46" t="s">
        <v>126</v>
      </c>
      <c r="L17146" s="45">
        <v>46016.864583333336</v>
      </c>
      <c r="M17146" s="46" t="s">
        <v>123</v>
      </c>
      <c r="N17146" s="45">
        <v>46016.875</v>
      </c>
      <c r="O17146" s="46" t="s">
        <v>123</v>
      </c>
      <c r="P17146" s="46">
        <v>900.0</v>
      </c>
    </row>
    <row r="17147">
      <c r="A17147" s="40">
        <f t="shared" si="1"/>
        <v>46013</v>
      </c>
      <c r="B17147" s="37" t="str">
        <f t="array" ref="B17147">iferror(xlookup($I17147, 'IMPORT VHC Report'!$E:$E, 'IMPORT VHC Report'!$A:$C), )</f>
        <v/>
      </c>
      <c r="C17147" s="44"/>
      <c r="D17147" s="44"/>
      <c r="E17147" s="46" t="s">
        <v>13357</v>
      </c>
      <c r="F17147" s="46" t="s">
        <v>4717</v>
      </c>
      <c r="G17147" s="46">
        <v>1.1401961186319E13</v>
      </c>
      <c r="H17147" s="46" t="s">
        <v>4718</v>
      </c>
      <c r="I17147" s="46" t="s">
        <v>4719</v>
      </c>
      <c r="J17147" s="46" t="s">
        <v>132</v>
      </c>
      <c r="K17147" s="46" t="s">
        <v>126</v>
      </c>
      <c r="L17147" s="45">
        <v>46016.927083333336</v>
      </c>
      <c r="M17147" s="46" t="s">
        <v>123</v>
      </c>
      <c r="N17147" s="45">
        <v>46016.96875</v>
      </c>
      <c r="O17147" s="46" t="s">
        <v>123</v>
      </c>
      <c r="P17147" s="46">
        <v>3600.0</v>
      </c>
    </row>
    <row r="17148">
      <c r="A17148" s="40">
        <f t="shared" si="1"/>
        <v>46013</v>
      </c>
      <c r="B17148" s="37" t="str">
        <f t="array" ref="B17148">iferror(xlookup($I17148, 'IMPORT VHC Report'!$E:$E, 'IMPORT VHC Report'!$A:$C), )</f>
        <v/>
      </c>
      <c r="C17148" s="44"/>
      <c r="D17148" s="44"/>
      <c r="E17148" s="46" t="s">
        <v>13358</v>
      </c>
      <c r="F17148" s="46" t="s">
        <v>4717</v>
      </c>
      <c r="G17148" s="46">
        <v>1.1401961186319E13</v>
      </c>
      <c r="H17148" s="46" t="s">
        <v>4718</v>
      </c>
      <c r="I17148" s="46" t="s">
        <v>4719</v>
      </c>
      <c r="J17148" s="46" t="s">
        <v>178</v>
      </c>
      <c r="K17148" s="46" t="s">
        <v>153</v>
      </c>
      <c r="L17148" s="45">
        <v>46019.625</v>
      </c>
      <c r="M17148" s="46" t="s">
        <v>123</v>
      </c>
      <c r="N17148" s="45">
        <v>46020.0</v>
      </c>
      <c r="O17148" s="46" t="s">
        <v>123</v>
      </c>
      <c r="P17148" s="46">
        <v>32400.0</v>
      </c>
      <c r="Q17148" s="46">
        <v>32400.0</v>
      </c>
    </row>
    <row r="17149">
      <c r="A17149" s="40">
        <f t="shared" si="1"/>
        <v>46013</v>
      </c>
      <c r="B17149" s="37" t="str">
        <f t="array" ref="B17149">iferror(xlookup($I17149, 'IMPORT VHC Report'!$E:$E, 'IMPORT VHC Report'!$A:$C), )</f>
        <v/>
      </c>
      <c r="C17149" s="44"/>
      <c r="D17149" s="44"/>
      <c r="E17149" s="46" t="s">
        <v>13359</v>
      </c>
      <c r="F17149" s="46" t="s">
        <v>4717</v>
      </c>
      <c r="G17149" s="46">
        <v>1.1401961186319E13</v>
      </c>
      <c r="H17149" s="46" t="s">
        <v>4718</v>
      </c>
      <c r="I17149" s="46" t="s">
        <v>4719</v>
      </c>
      <c r="J17149" s="46" t="s">
        <v>300</v>
      </c>
      <c r="K17149" s="46" t="s">
        <v>63</v>
      </c>
      <c r="L17149" s="45">
        <v>46019.625</v>
      </c>
      <c r="M17149" s="46" t="s">
        <v>123</v>
      </c>
      <c r="N17149" s="45">
        <v>46020.0</v>
      </c>
      <c r="O17149" s="46" t="s">
        <v>123</v>
      </c>
      <c r="P17149" s="46">
        <v>32400.0</v>
      </c>
    </row>
    <row r="17150">
      <c r="A17150" s="40">
        <f t="shared" si="1"/>
        <v>46013</v>
      </c>
      <c r="B17150" s="37" t="str">
        <f t="array" ref="B17150">iferror(xlookup($I17150, 'IMPORT VHC Report'!$E:$E, 'IMPORT VHC Report'!$A:$C), )</f>
        <v/>
      </c>
      <c r="C17150" s="44"/>
      <c r="D17150" s="44"/>
      <c r="E17150" s="46" t="s">
        <v>13360</v>
      </c>
      <c r="F17150" s="46" t="s">
        <v>4717</v>
      </c>
      <c r="G17150" s="46">
        <v>1.1401961186319E13</v>
      </c>
      <c r="H17150" s="46" t="s">
        <v>4718</v>
      </c>
      <c r="I17150" s="46" t="s">
        <v>4719</v>
      </c>
      <c r="J17150" s="46" t="s">
        <v>134</v>
      </c>
      <c r="K17150" s="46" t="s">
        <v>126</v>
      </c>
      <c r="L17150" s="45">
        <v>46019.71875</v>
      </c>
      <c r="M17150" s="46" t="s">
        <v>123</v>
      </c>
      <c r="N17150" s="45">
        <v>46019.729166666664</v>
      </c>
      <c r="O17150" s="46" t="s">
        <v>123</v>
      </c>
      <c r="P17150" s="46">
        <v>900.0</v>
      </c>
    </row>
    <row r="17151">
      <c r="A17151" s="40">
        <f t="shared" si="1"/>
        <v>46013</v>
      </c>
      <c r="B17151" s="37" t="str">
        <f t="array" ref="B17151">iferror(xlookup($I17151, 'IMPORT VHC Report'!$E:$E, 'IMPORT VHC Report'!$A:$C), )</f>
        <v/>
      </c>
      <c r="C17151" s="44"/>
      <c r="D17151" s="44"/>
      <c r="E17151" s="46" t="s">
        <v>13361</v>
      </c>
      <c r="F17151" s="46" t="s">
        <v>4717</v>
      </c>
      <c r="G17151" s="46">
        <v>1.1401961186319E13</v>
      </c>
      <c r="H17151" s="46" t="s">
        <v>4718</v>
      </c>
      <c r="I17151" s="46" t="s">
        <v>4719</v>
      </c>
      <c r="J17151" s="46" t="s">
        <v>134</v>
      </c>
      <c r="K17151" s="46" t="s">
        <v>126</v>
      </c>
      <c r="L17151" s="45">
        <v>46019.802083333336</v>
      </c>
      <c r="M17151" s="46" t="s">
        <v>123</v>
      </c>
      <c r="N17151" s="45">
        <v>46019.8125</v>
      </c>
      <c r="O17151" s="46" t="s">
        <v>123</v>
      </c>
      <c r="P17151" s="46">
        <v>900.0</v>
      </c>
    </row>
    <row r="17152">
      <c r="A17152" s="40">
        <f t="shared" si="1"/>
        <v>46013</v>
      </c>
      <c r="B17152" s="37" t="str">
        <f t="array" ref="B17152">iferror(xlookup($I17152, 'IMPORT VHC Report'!$E:$E, 'IMPORT VHC Report'!$A:$C), )</f>
        <v/>
      </c>
      <c r="C17152" s="44"/>
      <c r="D17152" s="44"/>
      <c r="E17152" s="46" t="s">
        <v>13362</v>
      </c>
      <c r="F17152" s="46" t="s">
        <v>4717</v>
      </c>
      <c r="G17152" s="46">
        <v>1.1401961186319E13</v>
      </c>
      <c r="H17152" s="46" t="s">
        <v>4718</v>
      </c>
      <c r="I17152" s="46" t="s">
        <v>4719</v>
      </c>
      <c r="J17152" s="46" t="s">
        <v>132</v>
      </c>
      <c r="K17152" s="46" t="s">
        <v>126</v>
      </c>
      <c r="L17152" s="45">
        <v>46019.916666666664</v>
      </c>
      <c r="M17152" s="46" t="s">
        <v>123</v>
      </c>
      <c r="N17152" s="45">
        <v>46019.958333333336</v>
      </c>
      <c r="O17152" s="46" t="s">
        <v>123</v>
      </c>
      <c r="P17152" s="46">
        <v>3600.0</v>
      </c>
    </row>
    <row r="17153">
      <c r="A17153" s="40">
        <f t="shared" si="1"/>
        <v>46013</v>
      </c>
      <c r="B17153" s="37" t="str">
        <f t="array" ref="B17153">iferror(xlookup($I17153, 'IMPORT VHC Report'!$E:$E, 'IMPORT VHC Report'!$A:$C), )</f>
        <v/>
      </c>
      <c r="C17153" s="44"/>
      <c r="D17153" s="44"/>
      <c r="E17153" s="46" t="s">
        <v>13363</v>
      </c>
      <c r="F17153" s="46" t="s">
        <v>4824</v>
      </c>
      <c r="G17153" s="46">
        <v>3.61731348815E11</v>
      </c>
      <c r="H17153" s="46" t="s">
        <v>4825</v>
      </c>
      <c r="I17153" s="46" t="s">
        <v>4826</v>
      </c>
      <c r="J17153" s="46" t="s">
        <v>300</v>
      </c>
      <c r="K17153" s="46" t="s">
        <v>63</v>
      </c>
      <c r="L17153" s="45">
        <v>46013.666666666664</v>
      </c>
      <c r="M17153" s="46" t="s">
        <v>123</v>
      </c>
      <c r="N17153" s="45">
        <v>46014.041666666664</v>
      </c>
      <c r="O17153" s="46" t="s">
        <v>123</v>
      </c>
      <c r="P17153" s="46">
        <v>32400.0</v>
      </c>
    </row>
    <row r="17154">
      <c r="A17154" s="40">
        <f t="shared" si="1"/>
        <v>46013</v>
      </c>
      <c r="B17154" s="37" t="str">
        <f t="array" ref="B17154">iferror(xlookup($I17154, 'IMPORT VHC Report'!$E:$E, 'IMPORT VHC Report'!$A:$C), )</f>
        <v/>
      </c>
      <c r="C17154" s="44"/>
      <c r="D17154" s="44"/>
      <c r="E17154" s="46" t="s">
        <v>13364</v>
      </c>
      <c r="F17154" s="46" t="s">
        <v>4824</v>
      </c>
      <c r="G17154" s="46">
        <v>3.61731348815E11</v>
      </c>
      <c r="H17154" s="46" t="s">
        <v>4825</v>
      </c>
      <c r="I17154" s="46" t="s">
        <v>4826</v>
      </c>
      <c r="J17154" s="46" t="s">
        <v>134</v>
      </c>
      <c r="K17154" s="46" t="s">
        <v>126</v>
      </c>
      <c r="L17154" s="45">
        <v>46013.75</v>
      </c>
      <c r="M17154" s="46" t="s">
        <v>123</v>
      </c>
      <c r="N17154" s="45">
        <v>46013.760416666664</v>
      </c>
      <c r="O17154" s="46" t="s">
        <v>123</v>
      </c>
      <c r="P17154" s="46">
        <v>900.0</v>
      </c>
    </row>
    <row r="17155">
      <c r="A17155" s="40">
        <f t="shared" si="1"/>
        <v>46013</v>
      </c>
      <c r="B17155" s="37" t="str">
        <f t="array" ref="B17155">iferror(xlookup($I17155, 'IMPORT VHC Report'!$E:$E, 'IMPORT VHC Report'!$A:$C), )</f>
        <v/>
      </c>
      <c r="C17155" s="44"/>
      <c r="D17155" s="44"/>
      <c r="E17155" s="46" t="s">
        <v>13365</v>
      </c>
      <c r="F17155" s="46" t="s">
        <v>4824</v>
      </c>
      <c r="G17155" s="46">
        <v>3.61731348815E11</v>
      </c>
      <c r="H17155" s="46" t="s">
        <v>4825</v>
      </c>
      <c r="I17155" s="46" t="s">
        <v>4826</v>
      </c>
      <c r="J17155" s="46" t="s">
        <v>134</v>
      </c>
      <c r="K17155" s="46" t="s">
        <v>126</v>
      </c>
      <c r="L17155" s="45">
        <v>46013.8125</v>
      </c>
      <c r="M17155" s="46" t="s">
        <v>123</v>
      </c>
      <c r="N17155" s="45">
        <v>46013.822916666664</v>
      </c>
      <c r="O17155" s="46" t="s">
        <v>123</v>
      </c>
      <c r="P17155" s="46">
        <v>900.0</v>
      </c>
    </row>
    <row r="17156">
      <c r="A17156" s="40">
        <f t="shared" si="1"/>
        <v>46013</v>
      </c>
      <c r="B17156" s="37" t="str">
        <f t="array" ref="B17156">iferror(xlookup($I17156, 'IMPORT VHC Report'!$E:$E, 'IMPORT VHC Report'!$A:$C), )</f>
        <v/>
      </c>
      <c r="C17156" s="44"/>
      <c r="D17156" s="44"/>
      <c r="E17156" s="46" t="s">
        <v>13366</v>
      </c>
      <c r="F17156" s="46" t="s">
        <v>4824</v>
      </c>
      <c r="G17156" s="46">
        <v>3.61731348815E11</v>
      </c>
      <c r="H17156" s="46" t="s">
        <v>4825</v>
      </c>
      <c r="I17156" s="46" t="s">
        <v>4826</v>
      </c>
      <c r="J17156" s="46" t="s">
        <v>132</v>
      </c>
      <c r="K17156" s="46" t="s">
        <v>126</v>
      </c>
      <c r="L17156" s="45">
        <v>46013.895833333336</v>
      </c>
      <c r="M17156" s="46" t="s">
        <v>123</v>
      </c>
      <c r="N17156" s="45">
        <v>46013.9375</v>
      </c>
      <c r="O17156" s="46" t="s">
        <v>123</v>
      </c>
      <c r="P17156" s="46">
        <v>3600.0</v>
      </c>
    </row>
    <row r="17157">
      <c r="A17157" s="40">
        <f t="shared" si="1"/>
        <v>46013</v>
      </c>
      <c r="B17157" s="37" t="str">
        <f t="array" ref="B17157">iferror(xlookup($I17157, 'IMPORT VHC Report'!$E:$E, 'IMPORT VHC Report'!$A:$C), )</f>
        <v/>
      </c>
      <c r="C17157" s="44"/>
      <c r="D17157" s="44"/>
      <c r="E17157" s="46" t="s">
        <v>13367</v>
      </c>
      <c r="F17157" s="46" t="s">
        <v>4824</v>
      </c>
      <c r="G17157" s="46">
        <v>3.61731348815E11</v>
      </c>
      <c r="H17157" s="46" t="s">
        <v>4825</v>
      </c>
      <c r="I17157" s="46" t="s">
        <v>4826</v>
      </c>
      <c r="J17157" s="46" t="s">
        <v>125</v>
      </c>
      <c r="K17157" s="46" t="s">
        <v>126</v>
      </c>
      <c r="L17157" s="45">
        <v>46013.986805555556</v>
      </c>
      <c r="M17157" s="46" t="s">
        <v>123</v>
      </c>
      <c r="N17157" s="45">
        <v>46014.041666666664</v>
      </c>
      <c r="O17157" s="46" t="s">
        <v>123</v>
      </c>
      <c r="P17157" s="46">
        <v>4740.0</v>
      </c>
    </row>
    <row r="17158">
      <c r="A17158" s="40">
        <f t="shared" si="1"/>
        <v>46013</v>
      </c>
      <c r="B17158" s="37" t="str">
        <f t="array" ref="B17158">iferror(xlookup($I17158, 'IMPORT VHC Report'!$E:$E, 'IMPORT VHC Report'!$A:$C), )</f>
        <v/>
      </c>
      <c r="C17158" s="44"/>
      <c r="D17158" s="44"/>
      <c r="E17158" s="46" t="s">
        <v>13368</v>
      </c>
      <c r="F17158" s="46" t="s">
        <v>4824</v>
      </c>
      <c r="G17158" s="46">
        <v>3.61731348815E11</v>
      </c>
      <c r="H17158" s="46" t="s">
        <v>4825</v>
      </c>
      <c r="I17158" s="46" t="s">
        <v>4826</v>
      </c>
      <c r="J17158" s="46" t="s">
        <v>300</v>
      </c>
      <c r="K17158" s="46" t="s">
        <v>63</v>
      </c>
      <c r="L17158" s="45">
        <v>46014.666666666664</v>
      </c>
      <c r="M17158" s="46" t="s">
        <v>123</v>
      </c>
      <c r="N17158" s="45">
        <v>46015.041666666664</v>
      </c>
      <c r="O17158" s="46" t="s">
        <v>123</v>
      </c>
      <c r="P17158" s="46">
        <v>32400.0</v>
      </c>
    </row>
    <row r="17159">
      <c r="A17159" s="40">
        <f t="shared" si="1"/>
        <v>46013</v>
      </c>
      <c r="B17159" s="37" t="str">
        <f t="array" ref="B17159">iferror(xlookup($I17159, 'IMPORT VHC Report'!$E:$E, 'IMPORT VHC Report'!$A:$C), )</f>
        <v/>
      </c>
      <c r="C17159" s="44"/>
      <c r="D17159" s="44"/>
      <c r="E17159" s="46" t="s">
        <v>13369</v>
      </c>
      <c r="F17159" s="46" t="s">
        <v>4824</v>
      </c>
      <c r="G17159" s="46">
        <v>3.61731348815E11</v>
      </c>
      <c r="H17159" s="46" t="s">
        <v>4825</v>
      </c>
      <c r="I17159" s="46" t="s">
        <v>4826</v>
      </c>
      <c r="J17159" s="46" t="s">
        <v>134</v>
      </c>
      <c r="K17159" s="46" t="s">
        <v>126</v>
      </c>
      <c r="L17159" s="45">
        <v>46014.729166666664</v>
      </c>
      <c r="M17159" s="46" t="s">
        <v>123</v>
      </c>
      <c r="N17159" s="45">
        <v>46014.739583333336</v>
      </c>
      <c r="O17159" s="46" t="s">
        <v>123</v>
      </c>
      <c r="P17159" s="46">
        <v>900.0</v>
      </c>
    </row>
    <row r="17160">
      <c r="A17160" s="40">
        <f t="shared" si="1"/>
        <v>46013</v>
      </c>
      <c r="B17160" s="37" t="str">
        <f t="array" ref="B17160">iferror(xlookup($I17160, 'IMPORT VHC Report'!$E:$E, 'IMPORT VHC Report'!$A:$C), )</f>
        <v/>
      </c>
      <c r="C17160" s="44"/>
      <c r="D17160" s="44"/>
      <c r="E17160" s="46" t="s">
        <v>13370</v>
      </c>
      <c r="F17160" s="46" t="s">
        <v>4824</v>
      </c>
      <c r="G17160" s="46">
        <v>3.61731348815E11</v>
      </c>
      <c r="H17160" s="46" t="s">
        <v>4825</v>
      </c>
      <c r="I17160" s="46" t="s">
        <v>4826</v>
      </c>
      <c r="J17160" s="46" t="s">
        <v>134</v>
      </c>
      <c r="K17160" s="46" t="s">
        <v>126</v>
      </c>
      <c r="L17160" s="45">
        <v>46014.822916666664</v>
      </c>
      <c r="M17160" s="46" t="s">
        <v>123</v>
      </c>
      <c r="N17160" s="45">
        <v>46014.833333333336</v>
      </c>
      <c r="O17160" s="46" t="s">
        <v>123</v>
      </c>
      <c r="P17160" s="46">
        <v>900.0</v>
      </c>
    </row>
    <row r="17161">
      <c r="A17161" s="40">
        <f t="shared" si="1"/>
        <v>46013</v>
      </c>
      <c r="B17161" s="37" t="str">
        <f t="array" ref="B17161">iferror(xlookup($I17161, 'IMPORT VHC Report'!$E:$E, 'IMPORT VHC Report'!$A:$C), )</f>
        <v/>
      </c>
      <c r="C17161" s="44"/>
      <c r="D17161" s="44"/>
      <c r="E17161" s="46" t="s">
        <v>13371</v>
      </c>
      <c r="F17161" s="46" t="s">
        <v>4824</v>
      </c>
      <c r="G17161" s="46">
        <v>3.61731348815E11</v>
      </c>
      <c r="H17161" s="46" t="s">
        <v>4825</v>
      </c>
      <c r="I17161" s="46" t="s">
        <v>4826</v>
      </c>
      <c r="J17161" s="46" t="s">
        <v>132</v>
      </c>
      <c r="K17161" s="46" t="s">
        <v>126</v>
      </c>
      <c r="L17161" s="45">
        <v>46014.895833333336</v>
      </c>
      <c r="M17161" s="46" t="s">
        <v>123</v>
      </c>
      <c r="N17161" s="45">
        <v>46014.9375</v>
      </c>
      <c r="O17161" s="46" t="s">
        <v>123</v>
      </c>
      <c r="P17161" s="46">
        <v>3600.0</v>
      </c>
    </row>
    <row r="17162">
      <c r="A17162" s="40">
        <f t="shared" si="1"/>
        <v>46013</v>
      </c>
      <c r="B17162" s="37" t="str">
        <f t="array" ref="B17162">iferror(xlookup($I17162, 'IMPORT VHC Report'!$E:$E, 'IMPORT VHC Report'!$A:$C), )</f>
        <v/>
      </c>
      <c r="C17162" s="44"/>
      <c r="D17162" s="44"/>
      <c r="E17162" s="46" t="s">
        <v>13372</v>
      </c>
      <c r="F17162" s="46" t="s">
        <v>4824</v>
      </c>
      <c r="G17162" s="46">
        <v>3.61731348815E11</v>
      </c>
      <c r="H17162" s="46" t="s">
        <v>4825</v>
      </c>
      <c r="I17162" s="46" t="s">
        <v>4826</v>
      </c>
      <c r="J17162" s="46" t="s">
        <v>300</v>
      </c>
      <c r="K17162" s="46" t="s">
        <v>63</v>
      </c>
      <c r="L17162" s="45">
        <v>46015.666666666664</v>
      </c>
      <c r="M17162" s="46" t="s">
        <v>123</v>
      </c>
      <c r="N17162" s="45">
        <v>46016.041666666664</v>
      </c>
      <c r="O17162" s="46" t="s">
        <v>123</v>
      </c>
      <c r="P17162" s="46">
        <v>32400.0</v>
      </c>
    </row>
    <row r="17163">
      <c r="A17163" s="40">
        <f t="shared" si="1"/>
        <v>46013</v>
      </c>
      <c r="B17163" s="37" t="str">
        <f t="array" ref="B17163">iferror(xlookup($I17163, 'IMPORT VHC Report'!$E:$E, 'IMPORT VHC Report'!$A:$C), )</f>
        <v/>
      </c>
      <c r="C17163" s="44"/>
      <c r="D17163" s="44"/>
      <c r="E17163" s="46" t="s">
        <v>13373</v>
      </c>
      <c r="F17163" s="46" t="s">
        <v>4824</v>
      </c>
      <c r="G17163" s="46">
        <v>3.61731348815E11</v>
      </c>
      <c r="H17163" s="46" t="s">
        <v>4825</v>
      </c>
      <c r="I17163" s="46" t="s">
        <v>4826</v>
      </c>
      <c r="J17163" s="46" t="s">
        <v>134</v>
      </c>
      <c r="K17163" s="46" t="s">
        <v>126</v>
      </c>
      <c r="L17163" s="45">
        <v>46015.791666666664</v>
      </c>
      <c r="M17163" s="46" t="s">
        <v>123</v>
      </c>
      <c r="N17163" s="45">
        <v>46015.802083333336</v>
      </c>
      <c r="O17163" s="46" t="s">
        <v>123</v>
      </c>
      <c r="P17163" s="46">
        <v>900.0</v>
      </c>
    </row>
    <row r="17164">
      <c r="A17164" s="40">
        <f t="shared" si="1"/>
        <v>46013</v>
      </c>
      <c r="B17164" s="37" t="str">
        <f t="array" ref="B17164">iferror(xlookup($I17164, 'IMPORT VHC Report'!$E:$E, 'IMPORT VHC Report'!$A:$C), )</f>
        <v/>
      </c>
      <c r="C17164" s="44"/>
      <c r="D17164" s="44"/>
      <c r="E17164" s="46" t="s">
        <v>13374</v>
      </c>
      <c r="F17164" s="46" t="s">
        <v>4824</v>
      </c>
      <c r="G17164" s="46">
        <v>3.61731348815E11</v>
      </c>
      <c r="H17164" s="46" t="s">
        <v>4825</v>
      </c>
      <c r="I17164" s="46" t="s">
        <v>4826</v>
      </c>
      <c r="J17164" s="46" t="s">
        <v>132</v>
      </c>
      <c r="K17164" s="46" t="s">
        <v>126</v>
      </c>
      <c r="L17164" s="45">
        <v>46015.864583333336</v>
      </c>
      <c r="M17164" s="46" t="s">
        <v>123</v>
      </c>
      <c r="N17164" s="45">
        <v>46015.90625</v>
      </c>
      <c r="O17164" s="46" t="s">
        <v>123</v>
      </c>
      <c r="P17164" s="46">
        <v>3600.0</v>
      </c>
    </row>
    <row r="17165">
      <c r="A17165" s="40">
        <f t="shared" si="1"/>
        <v>46013</v>
      </c>
      <c r="B17165" s="37" t="str">
        <f t="array" ref="B17165">iferror(xlookup($I17165, 'IMPORT VHC Report'!$E:$E, 'IMPORT VHC Report'!$A:$C), )</f>
        <v/>
      </c>
      <c r="C17165" s="44"/>
      <c r="D17165" s="44"/>
      <c r="E17165" s="46" t="s">
        <v>13375</v>
      </c>
      <c r="F17165" s="46" t="s">
        <v>4824</v>
      </c>
      <c r="G17165" s="46">
        <v>3.61731348815E11</v>
      </c>
      <c r="H17165" s="46" t="s">
        <v>4825</v>
      </c>
      <c r="I17165" s="46" t="s">
        <v>4826</v>
      </c>
      <c r="J17165" s="46" t="s">
        <v>134</v>
      </c>
      <c r="K17165" s="46" t="s">
        <v>126</v>
      </c>
      <c r="L17165" s="45">
        <v>46015.947916666664</v>
      </c>
      <c r="M17165" s="46" t="s">
        <v>123</v>
      </c>
      <c r="N17165" s="45">
        <v>46015.958333333336</v>
      </c>
      <c r="O17165" s="46" t="s">
        <v>123</v>
      </c>
      <c r="P17165" s="46">
        <v>900.0</v>
      </c>
    </row>
    <row r="17166">
      <c r="A17166" s="40">
        <f t="shared" si="1"/>
        <v>46013</v>
      </c>
      <c r="B17166" s="37" t="str">
        <f t="array" ref="B17166">iferror(xlookup($I17166, 'IMPORT VHC Report'!$E:$E, 'IMPORT VHC Report'!$A:$C), )</f>
        <v/>
      </c>
      <c r="C17166" s="44"/>
      <c r="D17166" s="44"/>
      <c r="E17166" s="46" t="s">
        <v>13376</v>
      </c>
      <c r="F17166" s="46" t="s">
        <v>4824</v>
      </c>
      <c r="G17166" s="46">
        <v>3.61731348815E11</v>
      </c>
      <c r="H17166" s="46" t="s">
        <v>4825</v>
      </c>
      <c r="I17166" s="46" t="s">
        <v>4826</v>
      </c>
      <c r="J17166" s="46" t="s">
        <v>300</v>
      </c>
      <c r="K17166" s="46" t="s">
        <v>63</v>
      </c>
      <c r="L17166" s="45">
        <v>46016.666666666664</v>
      </c>
      <c r="M17166" s="46" t="s">
        <v>123</v>
      </c>
      <c r="N17166" s="45">
        <v>46017.041666666664</v>
      </c>
      <c r="O17166" s="46" t="s">
        <v>123</v>
      </c>
      <c r="P17166" s="46">
        <v>32400.0</v>
      </c>
    </row>
    <row r="17167">
      <c r="A17167" s="40">
        <f t="shared" si="1"/>
        <v>46013</v>
      </c>
      <c r="B17167" s="37" t="str">
        <f t="array" ref="B17167">iferror(xlookup($I17167, 'IMPORT VHC Report'!$E:$E, 'IMPORT VHC Report'!$A:$C), )</f>
        <v/>
      </c>
      <c r="C17167" s="44"/>
      <c r="D17167" s="44"/>
      <c r="E17167" s="46" t="s">
        <v>13377</v>
      </c>
      <c r="F17167" s="46" t="s">
        <v>4824</v>
      </c>
      <c r="G17167" s="46">
        <v>3.61731348815E11</v>
      </c>
      <c r="H17167" s="46" t="s">
        <v>4825</v>
      </c>
      <c r="I17167" s="46" t="s">
        <v>4826</v>
      </c>
      <c r="J17167" s="46" t="s">
        <v>134</v>
      </c>
      <c r="K17167" s="46" t="s">
        <v>126</v>
      </c>
      <c r="L17167" s="45">
        <v>46016.760416666664</v>
      </c>
      <c r="M17167" s="46" t="s">
        <v>123</v>
      </c>
      <c r="N17167" s="45">
        <v>46016.770833333336</v>
      </c>
      <c r="O17167" s="46" t="s">
        <v>123</v>
      </c>
      <c r="P17167" s="46">
        <v>900.0</v>
      </c>
    </row>
    <row r="17168">
      <c r="A17168" s="40">
        <f t="shared" si="1"/>
        <v>46013</v>
      </c>
      <c r="B17168" s="37" t="str">
        <f t="array" ref="B17168">iferror(xlookup($I17168, 'IMPORT VHC Report'!$E:$E, 'IMPORT VHC Report'!$A:$C), )</f>
        <v/>
      </c>
      <c r="C17168" s="44"/>
      <c r="D17168" s="44"/>
      <c r="E17168" s="46" t="s">
        <v>13378</v>
      </c>
      <c r="F17168" s="46" t="s">
        <v>4824</v>
      </c>
      <c r="G17168" s="46">
        <v>3.61731348815E11</v>
      </c>
      <c r="H17168" s="46" t="s">
        <v>4825</v>
      </c>
      <c r="I17168" s="46" t="s">
        <v>4826</v>
      </c>
      <c r="J17168" s="46" t="s">
        <v>134</v>
      </c>
      <c r="K17168" s="46" t="s">
        <v>126</v>
      </c>
      <c r="L17168" s="45">
        <v>46016.822916666664</v>
      </c>
      <c r="M17168" s="46" t="s">
        <v>123</v>
      </c>
      <c r="N17168" s="45">
        <v>46016.833333333336</v>
      </c>
      <c r="O17168" s="46" t="s">
        <v>123</v>
      </c>
      <c r="P17168" s="46">
        <v>900.0</v>
      </c>
    </row>
    <row r="17169">
      <c r="A17169" s="40">
        <f t="shared" si="1"/>
        <v>46013</v>
      </c>
      <c r="B17169" s="37" t="str">
        <f t="array" ref="B17169">iferror(xlookup($I17169, 'IMPORT VHC Report'!$E:$E, 'IMPORT VHC Report'!$A:$C), )</f>
        <v/>
      </c>
      <c r="C17169" s="44"/>
      <c r="D17169" s="44"/>
      <c r="E17169" s="46" t="s">
        <v>13379</v>
      </c>
      <c r="F17169" s="46" t="s">
        <v>4824</v>
      </c>
      <c r="G17169" s="46">
        <v>3.61731348815E11</v>
      </c>
      <c r="H17169" s="46" t="s">
        <v>4825</v>
      </c>
      <c r="I17169" s="46" t="s">
        <v>4826</v>
      </c>
      <c r="J17169" s="46" t="s">
        <v>132</v>
      </c>
      <c r="K17169" s="46" t="s">
        <v>126</v>
      </c>
      <c r="L17169" s="45">
        <v>46016.927083333336</v>
      </c>
      <c r="M17169" s="46" t="s">
        <v>123</v>
      </c>
      <c r="N17169" s="45">
        <v>46016.96875</v>
      </c>
      <c r="O17169" s="46" t="s">
        <v>123</v>
      </c>
      <c r="P17169" s="46">
        <v>3600.0</v>
      </c>
    </row>
    <row r="17170">
      <c r="A17170" s="40">
        <f t="shared" si="1"/>
        <v>46013</v>
      </c>
      <c r="B17170" s="37" t="str">
        <f t="array" ref="B17170">iferror(xlookup($I17170, 'IMPORT VHC Report'!$E:$E, 'IMPORT VHC Report'!$A:$C), )</f>
        <v/>
      </c>
      <c r="C17170" s="44"/>
      <c r="D17170" s="44"/>
      <c r="E17170" s="46" t="s">
        <v>13380</v>
      </c>
      <c r="F17170" s="46" t="s">
        <v>4824</v>
      </c>
      <c r="G17170" s="46">
        <v>3.61731348815E11</v>
      </c>
      <c r="H17170" s="46" t="s">
        <v>4825</v>
      </c>
      <c r="I17170" s="46" t="s">
        <v>4826</v>
      </c>
      <c r="J17170" s="46" t="s">
        <v>152</v>
      </c>
      <c r="K17170" s="46" t="s">
        <v>153</v>
      </c>
      <c r="L17170" s="45">
        <v>46017.666666666664</v>
      </c>
      <c r="M17170" s="46" t="s">
        <v>123</v>
      </c>
      <c r="N17170" s="45">
        <v>46018.041666666664</v>
      </c>
      <c r="O17170" s="46" t="s">
        <v>123</v>
      </c>
      <c r="P17170" s="46">
        <v>32400.0</v>
      </c>
      <c r="Q17170" s="46">
        <v>28800.0</v>
      </c>
    </row>
    <row r="17171">
      <c r="A17171" s="40">
        <f t="shared" si="1"/>
        <v>46013</v>
      </c>
      <c r="B17171" s="37" t="str">
        <f t="array" ref="B17171">iferror(xlookup($I17171, 'IMPORT VHC Report'!$E:$E, 'IMPORT VHC Report'!$A:$C), )</f>
        <v/>
      </c>
      <c r="C17171" s="44"/>
      <c r="D17171" s="44"/>
      <c r="E17171" s="46" t="s">
        <v>13381</v>
      </c>
      <c r="F17171" s="46" t="s">
        <v>4824</v>
      </c>
      <c r="G17171" s="46">
        <v>3.61731348815E11</v>
      </c>
      <c r="H17171" s="46" t="s">
        <v>4825</v>
      </c>
      <c r="I17171" s="46" t="s">
        <v>4826</v>
      </c>
      <c r="J17171" s="46" t="s">
        <v>300</v>
      </c>
      <c r="K17171" s="46" t="s">
        <v>63</v>
      </c>
      <c r="L17171" s="45">
        <v>46017.666666666664</v>
      </c>
      <c r="M17171" s="46" t="s">
        <v>123</v>
      </c>
      <c r="N17171" s="45">
        <v>46018.041666666664</v>
      </c>
      <c r="O17171" s="46" t="s">
        <v>123</v>
      </c>
      <c r="P17171" s="46">
        <v>32400.0</v>
      </c>
    </row>
    <row r="17172">
      <c r="A17172" s="40">
        <f t="shared" si="1"/>
        <v>46013</v>
      </c>
      <c r="B17172" s="37" t="str">
        <f t="array" ref="B17172">iferror(xlookup($I17172, 'IMPORT VHC Report'!$E:$E, 'IMPORT VHC Report'!$A:$C), )</f>
        <v/>
      </c>
      <c r="C17172" s="44"/>
      <c r="D17172" s="44"/>
      <c r="E17172" s="46" t="s">
        <v>13382</v>
      </c>
      <c r="F17172" s="46" t="s">
        <v>4824</v>
      </c>
      <c r="G17172" s="46">
        <v>3.61731348815E11</v>
      </c>
      <c r="H17172" s="46" t="s">
        <v>4825</v>
      </c>
      <c r="I17172" s="46" t="s">
        <v>4826</v>
      </c>
      <c r="J17172" s="46" t="s">
        <v>134</v>
      </c>
      <c r="K17172" s="46" t="s">
        <v>126</v>
      </c>
      <c r="L17172" s="45">
        <v>46017.791666666664</v>
      </c>
      <c r="M17172" s="46" t="s">
        <v>123</v>
      </c>
      <c r="N17172" s="45">
        <v>46017.802083333336</v>
      </c>
      <c r="O17172" s="46" t="s">
        <v>123</v>
      </c>
      <c r="P17172" s="46">
        <v>900.0</v>
      </c>
    </row>
    <row r="17173">
      <c r="A17173" s="40">
        <f t="shared" si="1"/>
        <v>46013</v>
      </c>
      <c r="B17173" s="37" t="str">
        <f t="array" ref="B17173">iferror(xlookup($I17173, 'IMPORT VHC Report'!$E:$E, 'IMPORT VHC Report'!$A:$C), )</f>
        <v/>
      </c>
      <c r="C17173" s="44"/>
      <c r="D17173" s="44"/>
      <c r="E17173" s="46" t="s">
        <v>13383</v>
      </c>
      <c r="F17173" s="46" t="s">
        <v>4824</v>
      </c>
      <c r="G17173" s="46">
        <v>3.61731348815E11</v>
      </c>
      <c r="H17173" s="46" t="s">
        <v>4825</v>
      </c>
      <c r="I17173" s="46" t="s">
        <v>4826</v>
      </c>
      <c r="J17173" s="46" t="s">
        <v>134</v>
      </c>
      <c r="K17173" s="46" t="s">
        <v>126</v>
      </c>
      <c r="L17173" s="45">
        <v>46017.854166666664</v>
      </c>
      <c r="M17173" s="46" t="s">
        <v>123</v>
      </c>
      <c r="N17173" s="45">
        <v>46017.864583333336</v>
      </c>
      <c r="O17173" s="46" t="s">
        <v>123</v>
      </c>
      <c r="P17173" s="46">
        <v>900.0</v>
      </c>
    </row>
    <row r="17174">
      <c r="A17174" s="40">
        <f t="shared" si="1"/>
        <v>46013</v>
      </c>
      <c r="B17174" s="37" t="str">
        <f t="array" ref="B17174">iferror(xlookup($I17174, 'IMPORT VHC Report'!$E:$E, 'IMPORT VHC Report'!$A:$C), )</f>
        <v/>
      </c>
      <c r="C17174" s="44"/>
      <c r="D17174" s="44"/>
      <c r="E17174" s="46" t="s">
        <v>13384</v>
      </c>
      <c r="F17174" s="46" t="s">
        <v>4824</v>
      </c>
      <c r="G17174" s="46">
        <v>3.61731348815E11</v>
      </c>
      <c r="H17174" s="46" t="s">
        <v>4825</v>
      </c>
      <c r="I17174" s="46" t="s">
        <v>4826</v>
      </c>
      <c r="J17174" s="46" t="s">
        <v>132</v>
      </c>
      <c r="K17174" s="46" t="s">
        <v>126</v>
      </c>
      <c r="L17174" s="45">
        <v>46017.895833333336</v>
      </c>
      <c r="M17174" s="46" t="s">
        <v>123</v>
      </c>
      <c r="N17174" s="45">
        <v>46017.9375</v>
      </c>
      <c r="O17174" s="46" t="s">
        <v>123</v>
      </c>
      <c r="P17174" s="46">
        <v>3600.0</v>
      </c>
    </row>
    <row r="17175">
      <c r="A17175" s="40">
        <f t="shared" si="1"/>
        <v>46013</v>
      </c>
      <c r="B17175" s="37" t="str">
        <f t="array" ref="B17175">iferror(xlookup($I17175, 'IMPORT VHC Report'!$E:$E, 'IMPORT VHC Report'!$A:$C), )</f>
        <v/>
      </c>
      <c r="C17175" s="44"/>
      <c r="D17175" s="44"/>
      <c r="E17175" s="46" t="s">
        <v>13385</v>
      </c>
      <c r="F17175" s="46" t="s">
        <v>6934</v>
      </c>
      <c r="G17175" s="46">
        <v>3.61731943235E11</v>
      </c>
      <c r="H17175" s="46" t="s">
        <v>6935</v>
      </c>
      <c r="I17175" s="46" t="s">
        <v>6936</v>
      </c>
      <c r="J17175" s="46" t="s">
        <v>300</v>
      </c>
      <c r="K17175" s="46" t="s">
        <v>63</v>
      </c>
      <c r="L17175" s="45">
        <v>46014.416666666664</v>
      </c>
      <c r="M17175" s="46" t="s">
        <v>123</v>
      </c>
      <c r="N17175" s="45">
        <v>46014.791666666664</v>
      </c>
      <c r="O17175" s="46" t="s">
        <v>123</v>
      </c>
      <c r="P17175" s="46">
        <v>32400.0</v>
      </c>
    </row>
    <row r="17176">
      <c r="A17176" s="40">
        <f t="shared" si="1"/>
        <v>46013</v>
      </c>
      <c r="B17176" s="37" t="str">
        <f t="array" ref="B17176">iferror(xlookup($I17176, 'IMPORT VHC Report'!$E:$E, 'IMPORT VHC Report'!$A:$C), )</f>
        <v/>
      </c>
      <c r="C17176" s="44"/>
      <c r="D17176" s="44"/>
      <c r="E17176" s="46" t="s">
        <v>13386</v>
      </c>
      <c r="F17176" s="46" t="s">
        <v>6934</v>
      </c>
      <c r="G17176" s="46">
        <v>3.61731943235E11</v>
      </c>
      <c r="H17176" s="46" t="s">
        <v>6935</v>
      </c>
      <c r="I17176" s="46" t="s">
        <v>6936</v>
      </c>
      <c r="J17176" s="46" t="s">
        <v>134</v>
      </c>
      <c r="K17176" s="46" t="s">
        <v>126</v>
      </c>
      <c r="L17176" s="45">
        <v>46014.489583333336</v>
      </c>
      <c r="M17176" s="46" t="s">
        <v>123</v>
      </c>
      <c r="N17176" s="45">
        <v>46014.5</v>
      </c>
      <c r="O17176" s="46" t="s">
        <v>123</v>
      </c>
      <c r="P17176" s="46">
        <v>900.0</v>
      </c>
    </row>
    <row r="17177">
      <c r="A17177" s="40">
        <f t="shared" si="1"/>
        <v>46013</v>
      </c>
      <c r="B17177" s="37" t="str">
        <f t="array" ref="B17177">iferror(xlookup($I17177, 'IMPORT VHC Report'!$E:$E, 'IMPORT VHC Report'!$A:$C), )</f>
        <v/>
      </c>
      <c r="C17177" s="44"/>
      <c r="D17177" s="44"/>
      <c r="E17177" s="46" t="s">
        <v>13387</v>
      </c>
      <c r="F17177" s="46" t="s">
        <v>6934</v>
      </c>
      <c r="G17177" s="46">
        <v>3.61731943235E11</v>
      </c>
      <c r="H17177" s="46" t="s">
        <v>6935</v>
      </c>
      <c r="I17177" s="46" t="s">
        <v>6936</v>
      </c>
      <c r="J17177" s="46" t="s">
        <v>134</v>
      </c>
      <c r="K17177" s="46" t="s">
        <v>126</v>
      </c>
      <c r="L17177" s="45">
        <v>46014.552083333336</v>
      </c>
      <c r="M17177" s="46" t="s">
        <v>123</v>
      </c>
      <c r="N17177" s="45">
        <v>46014.5625</v>
      </c>
      <c r="O17177" s="46" t="s">
        <v>123</v>
      </c>
      <c r="P17177" s="46">
        <v>900.0</v>
      </c>
    </row>
    <row r="17178">
      <c r="A17178" s="40">
        <f t="shared" si="1"/>
        <v>46013</v>
      </c>
      <c r="B17178" s="37" t="str">
        <f t="array" ref="B17178">iferror(xlookup($I17178, 'IMPORT VHC Report'!$E:$E, 'IMPORT VHC Report'!$A:$C), )</f>
        <v/>
      </c>
      <c r="C17178" s="44"/>
      <c r="D17178" s="44"/>
      <c r="E17178" s="46" t="s">
        <v>13388</v>
      </c>
      <c r="F17178" s="46" t="s">
        <v>6934</v>
      </c>
      <c r="G17178" s="46">
        <v>3.61731943235E11</v>
      </c>
      <c r="H17178" s="46" t="s">
        <v>6935</v>
      </c>
      <c r="I17178" s="46" t="s">
        <v>6936</v>
      </c>
      <c r="J17178" s="46" t="s">
        <v>132</v>
      </c>
      <c r="K17178" s="46" t="s">
        <v>126</v>
      </c>
      <c r="L17178" s="45">
        <v>46014.583333333336</v>
      </c>
      <c r="M17178" s="46" t="s">
        <v>123</v>
      </c>
      <c r="N17178" s="45">
        <v>46014.625</v>
      </c>
      <c r="O17178" s="46" t="s">
        <v>123</v>
      </c>
      <c r="P17178" s="46">
        <v>3600.0</v>
      </c>
    </row>
    <row r="17179">
      <c r="A17179" s="40">
        <f t="shared" si="1"/>
        <v>46013</v>
      </c>
      <c r="B17179" s="37" t="str">
        <f t="array" ref="B17179">iferror(xlookup($I17179, 'IMPORT VHC Report'!$E:$E, 'IMPORT VHC Report'!$A:$C), )</f>
        <v/>
      </c>
      <c r="C17179" s="44"/>
      <c r="D17179" s="44"/>
      <c r="E17179" s="46" t="s">
        <v>13389</v>
      </c>
      <c r="F17179" s="46" t="s">
        <v>6934</v>
      </c>
      <c r="G17179" s="46">
        <v>3.61731943235E11</v>
      </c>
      <c r="H17179" s="46" t="s">
        <v>6935</v>
      </c>
      <c r="I17179" s="46" t="s">
        <v>6936</v>
      </c>
      <c r="J17179" s="46" t="s">
        <v>161</v>
      </c>
      <c r="K17179" s="46" t="s">
        <v>63</v>
      </c>
      <c r="L17179" s="45">
        <v>46015.416666666664</v>
      </c>
      <c r="M17179" s="46" t="s">
        <v>123</v>
      </c>
      <c r="N17179" s="45">
        <v>46015.791666666664</v>
      </c>
      <c r="O17179" s="46" t="s">
        <v>123</v>
      </c>
      <c r="P17179" s="46">
        <v>32400.0</v>
      </c>
    </row>
    <row r="17180">
      <c r="A17180" s="40">
        <f t="shared" si="1"/>
        <v>46013</v>
      </c>
      <c r="B17180" s="37" t="str">
        <f t="array" ref="B17180">iferror(xlookup($I17180, 'IMPORT VHC Report'!$E:$E, 'IMPORT VHC Report'!$A:$C), )</f>
        <v/>
      </c>
      <c r="C17180" s="44"/>
      <c r="D17180" s="44"/>
      <c r="E17180" s="46" t="s">
        <v>13390</v>
      </c>
      <c r="F17180" s="46" t="s">
        <v>6934</v>
      </c>
      <c r="G17180" s="46">
        <v>3.61731943235E11</v>
      </c>
      <c r="H17180" s="46" t="s">
        <v>6935</v>
      </c>
      <c r="I17180" s="46" t="s">
        <v>6936</v>
      </c>
      <c r="J17180" s="46" t="s">
        <v>134</v>
      </c>
      <c r="K17180" s="46" t="s">
        <v>126</v>
      </c>
      <c r="L17180" s="45">
        <v>46015.572916666664</v>
      </c>
      <c r="M17180" s="46" t="s">
        <v>123</v>
      </c>
      <c r="N17180" s="45">
        <v>46015.583333333336</v>
      </c>
      <c r="O17180" s="46" t="s">
        <v>123</v>
      </c>
      <c r="P17180" s="46">
        <v>900.0</v>
      </c>
    </row>
    <row r="17181">
      <c r="A17181" s="40">
        <f t="shared" si="1"/>
        <v>46013</v>
      </c>
      <c r="B17181" s="37" t="str">
        <f t="array" ref="B17181">iferror(xlookup($I17181, 'IMPORT VHC Report'!$E:$E, 'IMPORT VHC Report'!$A:$C), )</f>
        <v/>
      </c>
      <c r="C17181" s="44"/>
      <c r="D17181" s="44"/>
      <c r="E17181" s="46" t="s">
        <v>13391</v>
      </c>
      <c r="F17181" s="46" t="s">
        <v>6934</v>
      </c>
      <c r="G17181" s="46">
        <v>3.61731943235E11</v>
      </c>
      <c r="H17181" s="46" t="s">
        <v>6935</v>
      </c>
      <c r="I17181" s="46" t="s">
        <v>6936</v>
      </c>
      <c r="J17181" s="46" t="s">
        <v>134</v>
      </c>
      <c r="K17181" s="46" t="s">
        <v>126</v>
      </c>
      <c r="L17181" s="45">
        <v>46015.645833333336</v>
      </c>
      <c r="M17181" s="46" t="s">
        <v>123</v>
      </c>
      <c r="N17181" s="45">
        <v>46015.65625</v>
      </c>
      <c r="O17181" s="46" t="s">
        <v>123</v>
      </c>
      <c r="P17181" s="46">
        <v>900.0</v>
      </c>
    </row>
    <row r="17182">
      <c r="A17182" s="40">
        <f t="shared" si="1"/>
        <v>46013</v>
      </c>
      <c r="B17182" s="37" t="str">
        <f t="array" ref="B17182">iferror(xlookup($I17182, 'IMPORT VHC Report'!$E:$E, 'IMPORT VHC Report'!$A:$C), )</f>
        <v/>
      </c>
      <c r="C17182" s="44"/>
      <c r="D17182" s="44"/>
      <c r="E17182" s="46" t="s">
        <v>13392</v>
      </c>
      <c r="F17182" s="46" t="s">
        <v>6934</v>
      </c>
      <c r="G17182" s="46">
        <v>3.61731943235E11</v>
      </c>
      <c r="H17182" s="46" t="s">
        <v>6935</v>
      </c>
      <c r="I17182" s="46" t="s">
        <v>6936</v>
      </c>
      <c r="J17182" s="46" t="s">
        <v>132</v>
      </c>
      <c r="K17182" s="46" t="s">
        <v>126</v>
      </c>
      <c r="L17182" s="45">
        <v>46015.71875</v>
      </c>
      <c r="M17182" s="46" t="s">
        <v>123</v>
      </c>
      <c r="N17182" s="45">
        <v>46015.760416666664</v>
      </c>
      <c r="O17182" s="46" t="s">
        <v>123</v>
      </c>
      <c r="P17182" s="46">
        <v>3600.0</v>
      </c>
    </row>
    <row r="17183">
      <c r="A17183" s="40">
        <f t="shared" si="1"/>
        <v>46013</v>
      </c>
      <c r="B17183" s="37" t="str">
        <f t="array" ref="B17183">iferror(xlookup($I17183, 'IMPORT VHC Report'!$E:$E, 'IMPORT VHC Report'!$A:$C), )</f>
        <v/>
      </c>
      <c r="C17183" s="44"/>
      <c r="D17183" s="44"/>
      <c r="E17183" s="46" t="s">
        <v>13393</v>
      </c>
      <c r="F17183" s="46" t="s">
        <v>6934</v>
      </c>
      <c r="G17183" s="46">
        <v>3.61731943235E11</v>
      </c>
      <c r="H17183" s="46" t="s">
        <v>6935</v>
      </c>
      <c r="I17183" s="46" t="s">
        <v>6936</v>
      </c>
      <c r="J17183" s="46" t="s">
        <v>161</v>
      </c>
      <c r="K17183" s="46" t="s">
        <v>63</v>
      </c>
      <c r="L17183" s="45">
        <v>46016.416666666664</v>
      </c>
      <c r="M17183" s="46" t="s">
        <v>123</v>
      </c>
      <c r="N17183" s="45">
        <v>46016.791666666664</v>
      </c>
      <c r="O17183" s="46" t="s">
        <v>123</v>
      </c>
      <c r="P17183" s="46">
        <v>32400.0</v>
      </c>
    </row>
    <row r="17184">
      <c r="A17184" s="40">
        <f t="shared" si="1"/>
        <v>46013</v>
      </c>
      <c r="B17184" s="37" t="str">
        <f t="array" ref="B17184">iferror(xlookup($I17184, 'IMPORT VHC Report'!$E:$E, 'IMPORT VHC Report'!$A:$C), )</f>
        <v/>
      </c>
      <c r="C17184" s="44"/>
      <c r="D17184" s="44"/>
      <c r="E17184" s="46" t="s">
        <v>13394</v>
      </c>
      <c r="F17184" s="46" t="s">
        <v>6934</v>
      </c>
      <c r="G17184" s="46">
        <v>3.61731943235E11</v>
      </c>
      <c r="H17184" s="46" t="s">
        <v>6935</v>
      </c>
      <c r="I17184" s="46" t="s">
        <v>6936</v>
      </c>
      <c r="J17184" s="46" t="s">
        <v>134</v>
      </c>
      <c r="K17184" s="46" t="s">
        <v>126</v>
      </c>
      <c r="L17184" s="45">
        <v>46016.5</v>
      </c>
      <c r="M17184" s="46" t="s">
        <v>123</v>
      </c>
      <c r="N17184" s="45">
        <v>46016.510416666664</v>
      </c>
      <c r="O17184" s="46" t="s">
        <v>123</v>
      </c>
      <c r="P17184" s="46">
        <v>900.0</v>
      </c>
    </row>
    <row r="17185">
      <c r="A17185" s="40">
        <f t="shared" si="1"/>
        <v>46013</v>
      </c>
      <c r="B17185" s="37" t="str">
        <f t="array" ref="B17185">iferror(xlookup($I17185, 'IMPORT VHC Report'!$E:$E, 'IMPORT VHC Report'!$A:$C), )</f>
        <v/>
      </c>
      <c r="C17185" s="44"/>
      <c r="D17185" s="44"/>
      <c r="E17185" s="46" t="s">
        <v>13395</v>
      </c>
      <c r="F17185" s="46" t="s">
        <v>6934</v>
      </c>
      <c r="G17185" s="46">
        <v>3.61731943235E11</v>
      </c>
      <c r="H17185" s="46" t="s">
        <v>6935</v>
      </c>
      <c r="I17185" s="46" t="s">
        <v>6936</v>
      </c>
      <c r="J17185" s="46" t="s">
        <v>134</v>
      </c>
      <c r="K17185" s="46" t="s">
        <v>126</v>
      </c>
      <c r="L17185" s="45">
        <v>46016.625</v>
      </c>
      <c r="M17185" s="46" t="s">
        <v>123</v>
      </c>
      <c r="N17185" s="45">
        <v>46016.635416666664</v>
      </c>
      <c r="O17185" s="46" t="s">
        <v>123</v>
      </c>
      <c r="P17185" s="46">
        <v>900.0</v>
      </c>
    </row>
    <row r="17186">
      <c r="A17186" s="40">
        <f t="shared" si="1"/>
        <v>46013</v>
      </c>
      <c r="B17186" s="37" t="str">
        <f t="array" ref="B17186">iferror(xlookup($I17186, 'IMPORT VHC Report'!$E:$E, 'IMPORT VHC Report'!$A:$C), )</f>
        <v/>
      </c>
      <c r="C17186" s="44"/>
      <c r="D17186" s="44"/>
      <c r="E17186" s="46" t="s">
        <v>13396</v>
      </c>
      <c r="F17186" s="46" t="s">
        <v>6934</v>
      </c>
      <c r="G17186" s="46">
        <v>3.61731943235E11</v>
      </c>
      <c r="H17186" s="46" t="s">
        <v>6935</v>
      </c>
      <c r="I17186" s="46" t="s">
        <v>6936</v>
      </c>
      <c r="J17186" s="46" t="s">
        <v>132</v>
      </c>
      <c r="K17186" s="46" t="s">
        <v>126</v>
      </c>
      <c r="L17186" s="45">
        <v>46016.6875</v>
      </c>
      <c r="M17186" s="46" t="s">
        <v>123</v>
      </c>
      <c r="N17186" s="45">
        <v>46016.729166666664</v>
      </c>
      <c r="O17186" s="46" t="s">
        <v>123</v>
      </c>
      <c r="P17186" s="46">
        <v>3600.0</v>
      </c>
    </row>
    <row r="17187">
      <c r="A17187" s="40">
        <f t="shared" si="1"/>
        <v>46013</v>
      </c>
      <c r="B17187" s="37" t="str">
        <f t="array" ref="B17187">iferror(xlookup($I17187, 'IMPORT VHC Report'!$E:$E, 'IMPORT VHC Report'!$A:$C), )</f>
        <v/>
      </c>
      <c r="C17187" s="44"/>
      <c r="D17187" s="44"/>
      <c r="E17187" s="46" t="s">
        <v>13397</v>
      </c>
      <c r="F17187" s="46" t="s">
        <v>6934</v>
      </c>
      <c r="G17187" s="46">
        <v>3.61731943235E11</v>
      </c>
      <c r="H17187" s="46" t="s">
        <v>6935</v>
      </c>
      <c r="I17187" s="46" t="s">
        <v>6936</v>
      </c>
      <c r="J17187" s="46" t="s">
        <v>161</v>
      </c>
      <c r="K17187" s="46" t="s">
        <v>63</v>
      </c>
      <c r="L17187" s="45">
        <v>46017.416666666664</v>
      </c>
      <c r="M17187" s="46" t="s">
        <v>123</v>
      </c>
      <c r="N17187" s="45">
        <v>46017.791666666664</v>
      </c>
      <c r="O17187" s="46" t="s">
        <v>123</v>
      </c>
      <c r="P17187" s="46">
        <v>32400.0</v>
      </c>
    </row>
    <row r="17188">
      <c r="A17188" s="40">
        <f t="shared" si="1"/>
        <v>46013</v>
      </c>
      <c r="B17188" s="37" t="str">
        <f t="array" ref="B17188">iferror(xlookup($I17188, 'IMPORT VHC Report'!$E:$E, 'IMPORT VHC Report'!$A:$C), )</f>
        <v/>
      </c>
      <c r="C17188" s="44"/>
      <c r="D17188" s="44"/>
      <c r="E17188" s="46" t="s">
        <v>13398</v>
      </c>
      <c r="F17188" s="46" t="s">
        <v>6934</v>
      </c>
      <c r="G17188" s="46">
        <v>3.61731943235E11</v>
      </c>
      <c r="H17188" s="46" t="s">
        <v>6935</v>
      </c>
      <c r="I17188" s="46" t="s">
        <v>6936</v>
      </c>
      <c r="J17188" s="46" t="s">
        <v>134</v>
      </c>
      <c r="K17188" s="46" t="s">
        <v>126</v>
      </c>
      <c r="L17188" s="45">
        <v>46017.552083333336</v>
      </c>
      <c r="M17188" s="46" t="s">
        <v>123</v>
      </c>
      <c r="N17188" s="45">
        <v>46017.5625</v>
      </c>
      <c r="O17188" s="46" t="s">
        <v>123</v>
      </c>
      <c r="P17188" s="46">
        <v>900.0</v>
      </c>
    </row>
    <row r="17189">
      <c r="A17189" s="40">
        <f t="shared" si="1"/>
        <v>46013</v>
      </c>
      <c r="B17189" s="37" t="str">
        <f t="array" ref="B17189">iferror(xlookup($I17189, 'IMPORT VHC Report'!$E:$E, 'IMPORT VHC Report'!$A:$C), )</f>
        <v/>
      </c>
      <c r="C17189" s="44"/>
      <c r="D17189" s="44"/>
      <c r="E17189" s="46" t="s">
        <v>13399</v>
      </c>
      <c r="F17189" s="46" t="s">
        <v>6934</v>
      </c>
      <c r="G17189" s="46">
        <v>3.61731943235E11</v>
      </c>
      <c r="H17189" s="46" t="s">
        <v>6935</v>
      </c>
      <c r="I17189" s="46" t="s">
        <v>6936</v>
      </c>
      <c r="J17189" s="46" t="s">
        <v>134</v>
      </c>
      <c r="K17189" s="46" t="s">
        <v>126</v>
      </c>
      <c r="L17189" s="45">
        <v>46017.614583333336</v>
      </c>
      <c r="M17189" s="46" t="s">
        <v>123</v>
      </c>
      <c r="N17189" s="45">
        <v>46017.625</v>
      </c>
      <c r="O17189" s="46" t="s">
        <v>123</v>
      </c>
      <c r="P17189" s="46">
        <v>900.0</v>
      </c>
    </row>
    <row r="17190">
      <c r="A17190" s="40">
        <f t="shared" si="1"/>
        <v>46013</v>
      </c>
      <c r="B17190" s="37" t="str">
        <f t="array" ref="B17190">iferror(xlookup($I17190, 'IMPORT VHC Report'!$E:$E, 'IMPORT VHC Report'!$A:$C), )</f>
        <v/>
      </c>
      <c r="C17190" s="44"/>
      <c r="D17190" s="44"/>
      <c r="E17190" s="46" t="s">
        <v>13400</v>
      </c>
      <c r="F17190" s="46" t="s">
        <v>6934</v>
      </c>
      <c r="G17190" s="46">
        <v>3.61731943235E11</v>
      </c>
      <c r="H17190" s="46" t="s">
        <v>6935</v>
      </c>
      <c r="I17190" s="46" t="s">
        <v>6936</v>
      </c>
      <c r="J17190" s="46" t="s">
        <v>132</v>
      </c>
      <c r="K17190" s="46" t="s">
        <v>126</v>
      </c>
      <c r="L17190" s="45">
        <v>46017.645833333336</v>
      </c>
      <c r="M17190" s="46" t="s">
        <v>123</v>
      </c>
      <c r="N17190" s="45">
        <v>46017.6875</v>
      </c>
      <c r="O17190" s="46" t="s">
        <v>123</v>
      </c>
      <c r="P17190" s="46">
        <v>3600.0</v>
      </c>
    </row>
    <row r="17191">
      <c r="A17191" s="40">
        <f t="shared" si="1"/>
        <v>46013</v>
      </c>
      <c r="B17191" s="37" t="str">
        <f t="array" ref="B17191">iferror(xlookup($I17191, 'IMPORT VHC Report'!$E:$E, 'IMPORT VHC Report'!$A:$C), )</f>
        <v/>
      </c>
      <c r="C17191" s="44"/>
      <c r="D17191" s="44"/>
      <c r="E17191" s="46" t="s">
        <v>13401</v>
      </c>
      <c r="F17191" s="46" t="s">
        <v>6934</v>
      </c>
      <c r="G17191" s="46">
        <v>3.61731943235E11</v>
      </c>
      <c r="H17191" s="46" t="s">
        <v>6935</v>
      </c>
      <c r="I17191" s="46" t="s">
        <v>6936</v>
      </c>
      <c r="J17191" s="46" t="s">
        <v>161</v>
      </c>
      <c r="K17191" s="46" t="s">
        <v>63</v>
      </c>
      <c r="L17191" s="45">
        <v>46018.416666666664</v>
      </c>
      <c r="M17191" s="46" t="s">
        <v>123</v>
      </c>
      <c r="N17191" s="45">
        <v>46018.791666666664</v>
      </c>
      <c r="O17191" s="46" t="s">
        <v>123</v>
      </c>
      <c r="P17191" s="46">
        <v>32400.0</v>
      </c>
    </row>
    <row r="17192">
      <c r="A17192" s="40">
        <f t="shared" si="1"/>
        <v>46013</v>
      </c>
      <c r="B17192" s="37" t="str">
        <f t="array" ref="B17192">iferror(xlookup($I17192, 'IMPORT VHC Report'!$E:$E, 'IMPORT VHC Report'!$A:$C), )</f>
        <v/>
      </c>
      <c r="C17192" s="44"/>
      <c r="D17192" s="44"/>
      <c r="E17192" s="46" t="s">
        <v>13402</v>
      </c>
      <c r="F17192" s="46" t="s">
        <v>6934</v>
      </c>
      <c r="G17192" s="46">
        <v>3.61731943235E11</v>
      </c>
      <c r="H17192" s="46" t="s">
        <v>6935</v>
      </c>
      <c r="I17192" s="46" t="s">
        <v>6936</v>
      </c>
      <c r="J17192" s="46" t="s">
        <v>134</v>
      </c>
      <c r="K17192" s="46" t="s">
        <v>126</v>
      </c>
      <c r="L17192" s="45">
        <v>46018.479166666664</v>
      </c>
      <c r="M17192" s="46" t="s">
        <v>123</v>
      </c>
      <c r="N17192" s="45">
        <v>46018.489583333336</v>
      </c>
      <c r="O17192" s="46" t="s">
        <v>123</v>
      </c>
      <c r="P17192" s="46">
        <v>900.0</v>
      </c>
    </row>
    <row r="17193">
      <c r="A17193" s="40">
        <f t="shared" si="1"/>
        <v>46013</v>
      </c>
      <c r="B17193" s="37" t="str">
        <f t="array" ref="B17193">iferror(xlookup($I17193, 'IMPORT VHC Report'!$E:$E, 'IMPORT VHC Report'!$A:$C), )</f>
        <v/>
      </c>
      <c r="C17193" s="44"/>
      <c r="D17193" s="44"/>
      <c r="E17193" s="46" t="s">
        <v>13403</v>
      </c>
      <c r="F17193" s="46" t="s">
        <v>6934</v>
      </c>
      <c r="G17193" s="46">
        <v>3.61731943235E11</v>
      </c>
      <c r="H17193" s="46" t="s">
        <v>6935</v>
      </c>
      <c r="I17193" s="46" t="s">
        <v>6936</v>
      </c>
      <c r="J17193" s="46" t="s">
        <v>134</v>
      </c>
      <c r="K17193" s="46" t="s">
        <v>126</v>
      </c>
      <c r="L17193" s="45">
        <v>46018.552083333336</v>
      </c>
      <c r="M17193" s="46" t="s">
        <v>123</v>
      </c>
      <c r="N17193" s="45">
        <v>46018.5625</v>
      </c>
      <c r="O17193" s="46" t="s">
        <v>123</v>
      </c>
      <c r="P17193" s="46">
        <v>900.0</v>
      </c>
    </row>
    <row r="17194">
      <c r="A17194" s="40">
        <f t="shared" si="1"/>
        <v>46013</v>
      </c>
      <c r="B17194" s="37" t="str">
        <f t="array" ref="B17194">iferror(xlookup($I17194, 'IMPORT VHC Report'!$E:$E, 'IMPORT VHC Report'!$A:$C), )</f>
        <v/>
      </c>
      <c r="C17194" s="44"/>
      <c r="D17194" s="44"/>
      <c r="E17194" s="46" t="s">
        <v>13404</v>
      </c>
      <c r="F17194" s="46" t="s">
        <v>6934</v>
      </c>
      <c r="G17194" s="46">
        <v>3.61731943235E11</v>
      </c>
      <c r="H17194" s="46" t="s">
        <v>6935</v>
      </c>
      <c r="I17194" s="46" t="s">
        <v>6936</v>
      </c>
      <c r="J17194" s="46" t="s">
        <v>132</v>
      </c>
      <c r="K17194" s="46" t="s">
        <v>126</v>
      </c>
      <c r="L17194" s="45">
        <v>46018.708333333336</v>
      </c>
      <c r="M17194" s="46" t="s">
        <v>123</v>
      </c>
      <c r="N17194" s="45">
        <v>46018.75</v>
      </c>
      <c r="O17194" s="46" t="s">
        <v>123</v>
      </c>
      <c r="P17194" s="46">
        <v>3600.0</v>
      </c>
    </row>
    <row r="17195">
      <c r="A17195" s="40">
        <f t="shared" si="1"/>
        <v>46013</v>
      </c>
      <c r="B17195" s="37" t="str">
        <f t="array" ref="B17195">iferror(xlookup($I17195, 'IMPORT VHC Report'!$E:$E, 'IMPORT VHC Report'!$A:$C), )</f>
        <v/>
      </c>
      <c r="C17195" s="44"/>
      <c r="D17195" s="44"/>
      <c r="E17195" s="46" t="s">
        <v>13405</v>
      </c>
      <c r="F17195" s="46" t="s">
        <v>7830</v>
      </c>
      <c r="G17195" s="46">
        <v>1.1401981299343E13</v>
      </c>
      <c r="H17195" s="46" t="s">
        <v>7831</v>
      </c>
      <c r="I17195" s="46" t="s">
        <v>7832</v>
      </c>
      <c r="J17195" s="46" t="s">
        <v>300</v>
      </c>
      <c r="K17195" s="46" t="s">
        <v>63</v>
      </c>
      <c r="L17195" s="45">
        <v>46015.625</v>
      </c>
      <c r="M17195" s="46" t="s">
        <v>123</v>
      </c>
      <c r="N17195" s="45">
        <v>46016.0</v>
      </c>
      <c r="O17195" s="46" t="s">
        <v>123</v>
      </c>
      <c r="P17195" s="46">
        <v>32400.0</v>
      </c>
    </row>
    <row r="17196">
      <c r="A17196" s="40">
        <f t="shared" si="1"/>
        <v>46013</v>
      </c>
      <c r="B17196" s="37" t="str">
        <f t="array" ref="B17196">iferror(xlookup($I17196, 'IMPORT VHC Report'!$E:$E, 'IMPORT VHC Report'!$A:$C), )</f>
        <v/>
      </c>
      <c r="C17196" s="44"/>
      <c r="D17196" s="44"/>
      <c r="E17196" s="46" t="s">
        <v>13406</v>
      </c>
      <c r="F17196" s="46" t="s">
        <v>7830</v>
      </c>
      <c r="G17196" s="46">
        <v>1.1401981299343E13</v>
      </c>
      <c r="H17196" s="46" t="s">
        <v>7831</v>
      </c>
      <c r="I17196" s="46" t="s">
        <v>7832</v>
      </c>
      <c r="J17196" s="46" t="s">
        <v>134</v>
      </c>
      <c r="K17196" s="46" t="s">
        <v>126</v>
      </c>
      <c r="L17196" s="45">
        <v>46015.739583333336</v>
      </c>
      <c r="M17196" s="46" t="s">
        <v>123</v>
      </c>
      <c r="N17196" s="45">
        <v>46015.75</v>
      </c>
      <c r="O17196" s="46" t="s">
        <v>123</v>
      </c>
      <c r="P17196" s="46">
        <v>900.0</v>
      </c>
    </row>
    <row r="17197">
      <c r="A17197" s="40">
        <f t="shared" si="1"/>
        <v>46013</v>
      </c>
      <c r="B17197" s="37" t="str">
        <f t="array" ref="B17197">iferror(xlookup($I17197, 'IMPORT VHC Report'!$E:$E, 'IMPORT VHC Report'!$A:$C), )</f>
        <v/>
      </c>
      <c r="C17197" s="44"/>
      <c r="D17197" s="44"/>
      <c r="E17197" s="46" t="s">
        <v>13407</v>
      </c>
      <c r="F17197" s="46" t="s">
        <v>7830</v>
      </c>
      <c r="G17197" s="46">
        <v>1.1401981299343E13</v>
      </c>
      <c r="H17197" s="46" t="s">
        <v>7831</v>
      </c>
      <c r="I17197" s="46" t="s">
        <v>7832</v>
      </c>
      <c r="J17197" s="46" t="s">
        <v>134</v>
      </c>
      <c r="K17197" s="46" t="s">
        <v>126</v>
      </c>
      <c r="L17197" s="45">
        <v>46015.84375</v>
      </c>
      <c r="M17197" s="46" t="s">
        <v>123</v>
      </c>
      <c r="N17197" s="45">
        <v>46015.854166666664</v>
      </c>
      <c r="O17197" s="46" t="s">
        <v>123</v>
      </c>
      <c r="P17197" s="46">
        <v>900.0</v>
      </c>
    </row>
    <row r="17198">
      <c r="A17198" s="40">
        <f t="shared" si="1"/>
        <v>46013</v>
      </c>
      <c r="B17198" s="37" t="str">
        <f t="array" ref="B17198">iferror(xlookup($I17198, 'IMPORT VHC Report'!$E:$E, 'IMPORT VHC Report'!$A:$C), )</f>
        <v/>
      </c>
      <c r="C17198" s="44"/>
      <c r="D17198" s="44"/>
      <c r="E17198" s="46" t="s">
        <v>13408</v>
      </c>
      <c r="F17198" s="46" t="s">
        <v>7830</v>
      </c>
      <c r="G17198" s="46">
        <v>1.1401981299343E13</v>
      </c>
      <c r="H17198" s="46" t="s">
        <v>7831</v>
      </c>
      <c r="I17198" s="46" t="s">
        <v>7832</v>
      </c>
      <c r="J17198" s="46" t="s">
        <v>132</v>
      </c>
      <c r="K17198" s="46" t="s">
        <v>126</v>
      </c>
      <c r="L17198" s="45">
        <v>46015.9375</v>
      </c>
      <c r="M17198" s="46" t="s">
        <v>123</v>
      </c>
      <c r="N17198" s="45">
        <v>46015.979166666664</v>
      </c>
      <c r="O17198" s="46" t="s">
        <v>123</v>
      </c>
      <c r="P17198" s="46">
        <v>3600.0</v>
      </c>
    </row>
    <row r="17199">
      <c r="A17199" s="40">
        <f t="shared" si="1"/>
        <v>46013</v>
      </c>
      <c r="B17199" s="37" t="str">
        <f t="array" ref="B17199">iferror(xlookup($I17199, 'IMPORT VHC Report'!$E:$E, 'IMPORT VHC Report'!$A:$C), )</f>
        <v/>
      </c>
      <c r="C17199" s="44"/>
      <c r="D17199" s="44"/>
      <c r="E17199" s="46" t="s">
        <v>13409</v>
      </c>
      <c r="F17199" s="46" t="s">
        <v>7830</v>
      </c>
      <c r="G17199" s="46">
        <v>1.1401981299343E13</v>
      </c>
      <c r="H17199" s="46" t="s">
        <v>7831</v>
      </c>
      <c r="I17199" s="46" t="s">
        <v>7832</v>
      </c>
      <c r="J17199" s="46" t="s">
        <v>178</v>
      </c>
      <c r="K17199" s="46" t="s">
        <v>153</v>
      </c>
      <c r="L17199" s="45">
        <v>46016.625</v>
      </c>
      <c r="M17199" s="46" t="s">
        <v>123</v>
      </c>
      <c r="N17199" s="45">
        <v>46017.0</v>
      </c>
      <c r="O17199" s="46" t="s">
        <v>123</v>
      </c>
      <c r="P17199" s="46">
        <v>32400.0</v>
      </c>
      <c r="Q17199" s="46">
        <v>28800.0</v>
      </c>
      <c r="R17199" s="46" t="s">
        <v>13410</v>
      </c>
    </row>
    <row r="17200">
      <c r="A17200" s="40">
        <f t="shared" si="1"/>
        <v>46013</v>
      </c>
      <c r="B17200" s="37" t="str">
        <f t="array" ref="B17200">iferror(xlookup($I17200, 'IMPORT VHC Report'!$E:$E, 'IMPORT VHC Report'!$A:$C), )</f>
        <v/>
      </c>
      <c r="C17200" s="44"/>
      <c r="D17200" s="44"/>
      <c r="E17200" s="46" t="s">
        <v>13411</v>
      </c>
      <c r="F17200" s="46" t="s">
        <v>7830</v>
      </c>
      <c r="G17200" s="46">
        <v>1.1401981299343E13</v>
      </c>
      <c r="H17200" s="46" t="s">
        <v>7831</v>
      </c>
      <c r="I17200" s="46" t="s">
        <v>7832</v>
      </c>
      <c r="J17200" s="46" t="s">
        <v>300</v>
      </c>
      <c r="K17200" s="46" t="s">
        <v>63</v>
      </c>
      <c r="L17200" s="45">
        <v>46016.625</v>
      </c>
      <c r="M17200" s="46" t="s">
        <v>123</v>
      </c>
      <c r="N17200" s="45">
        <v>46017.0</v>
      </c>
      <c r="O17200" s="46" t="s">
        <v>123</v>
      </c>
      <c r="P17200" s="46">
        <v>32400.0</v>
      </c>
    </row>
    <row r="17201">
      <c r="A17201" s="40">
        <f t="shared" si="1"/>
        <v>46013</v>
      </c>
      <c r="B17201" s="37" t="str">
        <f t="array" ref="B17201">iferror(xlookup($I17201, 'IMPORT VHC Report'!$E:$E, 'IMPORT VHC Report'!$A:$C), )</f>
        <v/>
      </c>
      <c r="C17201" s="44"/>
      <c r="D17201" s="44"/>
      <c r="E17201" s="46" t="s">
        <v>13412</v>
      </c>
      <c r="F17201" s="46" t="s">
        <v>7830</v>
      </c>
      <c r="G17201" s="46">
        <v>1.1401981299343E13</v>
      </c>
      <c r="H17201" s="46" t="s">
        <v>7831</v>
      </c>
      <c r="I17201" s="46" t="s">
        <v>7832</v>
      </c>
      <c r="J17201" s="46" t="s">
        <v>134</v>
      </c>
      <c r="K17201" s="46" t="s">
        <v>126</v>
      </c>
      <c r="L17201" s="45">
        <v>46016.729166666664</v>
      </c>
      <c r="M17201" s="46" t="s">
        <v>123</v>
      </c>
      <c r="N17201" s="45">
        <v>46016.739583333336</v>
      </c>
      <c r="O17201" s="46" t="s">
        <v>123</v>
      </c>
      <c r="P17201" s="46">
        <v>900.0</v>
      </c>
    </row>
    <row r="17202">
      <c r="A17202" s="40">
        <f t="shared" si="1"/>
        <v>46013</v>
      </c>
      <c r="B17202" s="37" t="str">
        <f t="array" ref="B17202">iferror(xlookup($I17202, 'IMPORT VHC Report'!$E:$E, 'IMPORT VHC Report'!$A:$C), )</f>
        <v/>
      </c>
      <c r="C17202" s="44"/>
      <c r="D17202" s="44"/>
      <c r="E17202" s="46" t="s">
        <v>13413</v>
      </c>
      <c r="F17202" s="46" t="s">
        <v>7830</v>
      </c>
      <c r="G17202" s="46">
        <v>1.1401981299343E13</v>
      </c>
      <c r="H17202" s="46" t="s">
        <v>7831</v>
      </c>
      <c r="I17202" s="46" t="s">
        <v>7832</v>
      </c>
      <c r="J17202" s="46" t="s">
        <v>134</v>
      </c>
      <c r="K17202" s="46" t="s">
        <v>126</v>
      </c>
      <c r="L17202" s="45">
        <v>46016.833333333336</v>
      </c>
      <c r="M17202" s="46" t="s">
        <v>123</v>
      </c>
      <c r="N17202" s="45">
        <v>46016.84375</v>
      </c>
      <c r="O17202" s="46" t="s">
        <v>123</v>
      </c>
      <c r="P17202" s="46">
        <v>900.0</v>
      </c>
    </row>
    <row r="17203">
      <c r="A17203" s="40">
        <f t="shared" si="1"/>
        <v>46013</v>
      </c>
      <c r="B17203" s="37" t="str">
        <f t="array" ref="B17203">iferror(xlookup($I17203, 'IMPORT VHC Report'!$E:$E, 'IMPORT VHC Report'!$A:$C), )</f>
        <v/>
      </c>
      <c r="C17203" s="44"/>
      <c r="D17203" s="44"/>
      <c r="E17203" s="46" t="s">
        <v>13414</v>
      </c>
      <c r="F17203" s="46" t="s">
        <v>7830</v>
      </c>
      <c r="G17203" s="46">
        <v>1.1401981299343E13</v>
      </c>
      <c r="H17203" s="46" t="s">
        <v>7831</v>
      </c>
      <c r="I17203" s="46" t="s">
        <v>7832</v>
      </c>
      <c r="J17203" s="46" t="s">
        <v>132</v>
      </c>
      <c r="K17203" s="46" t="s">
        <v>126</v>
      </c>
      <c r="L17203" s="45">
        <v>46016.947916666664</v>
      </c>
      <c r="M17203" s="46" t="s">
        <v>123</v>
      </c>
      <c r="N17203" s="45">
        <v>46016.989583333336</v>
      </c>
      <c r="O17203" s="46" t="s">
        <v>123</v>
      </c>
      <c r="P17203" s="46">
        <v>3600.0</v>
      </c>
    </row>
    <row r="17204">
      <c r="A17204" s="40">
        <f t="shared" si="1"/>
        <v>46013</v>
      </c>
      <c r="B17204" s="37" t="str">
        <f t="array" ref="B17204">iferror(xlookup($I17204, 'IMPORT VHC Report'!$E:$E, 'IMPORT VHC Report'!$A:$C), )</f>
        <v/>
      </c>
      <c r="C17204" s="44"/>
      <c r="D17204" s="44"/>
      <c r="E17204" s="46" t="s">
        <v>13415</v>
      </c>
      <c r="F17204" s="46" t="s">
        <v>7830</v>
      </c>
      <c r="G17204" s="46">
        <v>1.1401981299343E13</v>
      </c>
      <c r="H17204" s="46" t="s">
        <v>7831</v>
      </c>
      <c r="I17204" s="46" t="s">
        <v>7832</v>
      </c>
      <c r="J17204" s="46" t="s">
        <v>300</v>
      </c>
      <c r="K17204" s="46" t="s">
        <v>63</v>
      </c>
      <c r="L17204" s="45">
        <v>46017.625</v>
      </c>
      <c r="M17204" s="46" t="s">
        <v>123</v>
      </c>
      <c r="N17204" s="45">
        <v>46018.0</v>
      </c>
      <c r="O17204" s="46" t="s">
        <v>123</v>
      </c>
      <c r="P17204" s="46">
        <v>32400.0</v>
      </c>
    </row>
    <row r="17205">
      <c r="A17205" s="40">
        <f t="shared" si="1"/>
        <v>46013</v>
      </c>
      <c r="B17205" s="37" t="str">
        <f t="array" ref="B17205">iferror(xlookup($I17205, 'IMPORT VHC Report'!$E:$E, 'IMPORT VHC Report'!$A:$C), )</f>
        <v/>
      </c>
      <c r="C17205" s="44"/>
      <c r="D17205" s="44"/>
      <c r="E17205" s="46" t="s">
        <v>13416</v>
      </c>
      <c r="F17205" s="46" t="s">
        <v>7830</v>
      </c>
      <c r="G17205" s="46">
        <v>1.1401981299343E13</v>
      </c>
      <c r="H17205" s="46" t="s">
        <v>7831</v>
      </c>
      <c r="I17205" s="46" t="s">
        <v>7832</v>
      </c>
      <c r="J17205" s="46" t="s">
        <v>134</v>
      </c>
      <c r="K17205" s="46" t="s">
        <v>126</v>
      </c>
      <c r="L17205" s="45">
        <v>46017.71875</v>
      </c>
      <c r="M17205" s="46" t="s">
        <v>123</v>
      </c>
      <c r="N17205" s="45">
        <v>46017.729166666664</v>
      </c>
      <c r="O17205" s="46" t="s">
        <v>123</v>
      </c>
      <c r="P17205" s="46">
        <v>900.0</v>
      </c>
    </row>
    <row r="17206">
      <c r="A17206" s="40">
        <f t="shared" si="1"/>
        <v>46013</v>
      </c>
      <c r="B17206" s="37" t="str">
        <f t="array" ref="B17206">iferror(xlookup($I17206, 'IMPORT VHC Report'!$E:$E, 'IMPORT VHC Report'!$A:$C), )</f>
        <v/>
      </c>
      <c r="C17206" s="44"/>
      <c r="D17206" s="44"/>
      <c r="E17206" s="46" t="s">
        <v>13417</v>
      </c>
      <c r="F17206" s="46" t="s">
        <v>7830</v>
      </c>
      <c r="G17206" s="46">
        <v>1.1401981299343E13</v>
      </c>
      <c r="H17206" s="46" t="s">
        <v>7831</v>
      </c>
      <c r="I17206" s="46" t="s">
        <v>7832</v>
      </c>
      <c r="J17206" s="46" t="s">
        <v>134</v>
      </c>
      <c r="K17206" s="46" t="s">
        <v>126</v>
      </c>
      <c r="L17206" s="45">
        <v>46017.78125</v>
      </c>
      <c r="M17206" s="46" t="s">
        <v>123</v>
      </c>
      <c r="N17206" s="45">
        <v>46017.791666666664</v>
      </c>
      <c r="O17206" s="46" t="s">
        <v>123</v>
      </c>
      <c r="P17206" s="46">
        <v>900.0</v>
      </c>
    </row>
    <row r="17207">
      <c r="A17207" s="40">
        <f t="shared" si="1"/>
        <v>46013</v>
      </c>
      <c r="B17207" s="37" t="str">
        <f t="array" ref="B17207">iferror(xlookup($I17207, 'IMPORT VHC Report'!$E:$E, 'IMPORT VHC Report'!$A:$C), )</f>
        <v/>
      </c>
      <c r="C17207" s="44"/>
      <c r="D17207" s="44"/>
      <c r="E17207" s="46" t="s">
        <v>13418</v>
      </c>
      <c r="F17207" s="46" t="s">
        <v>7830</v>
      </c>
      <c r="G17207" s="46">
        <v>1.1401981299343E13</v>
      </c>
      <c r="H17207" s="46" t="s">
        <v>7831</v>
      </c>
      <c r="I17207" s="46" t="s">
        <v>7832</v>
      </c>
      <c r="J17207" s="46" t="s">
        <v>132</v>
      </c>
      <c r="K17207" s="46" t="s">
        <v>126</v>
      </c>
      <c r="L17207" s="45">
        <v>46017.8125</v>
      </c>
      <c r="M17207" s="46" t="s">
        <v>123</v>
      </c>
      <c r="N17207" s="45">
        <v>46017.854166666664</v>
      </c>
      <c r="O17207" s="46" t="s">
        <v>123</v>
      </c>
      <c r="P17207" s="46">
        <v>3600.0</v>
      </c>
    </row>
    <row r="17208">
      <c r="A17208" s="40">
        <f t="shared" si="1"/>
        <v>46013</v>
      </c>
      <c r="B17208" s="37" t="str">
        <f t="array" ref="B17208">iferror(xlookup($I17208, 'IMPORT VHC Report'!$E:$E, 'IMPORT VHC Report'!$A:$C), )</f>
        <v/>
      </c>
      <c r="C17208" s="44"/>
      <c r="D17208" s="44"/>
      <c r="E17208" s="46" t="s">
        <v>13419</v>
      </c>
      <c r="F17208" s="46" t="s">
        <v>7830</v>
      </c>
      <c r="G17208" s="46">
        <v>1.1401981299343E13</v>
      </c>
      <c r="H17208" s="46" t="s">
        <v>7831</v>
      </c>
      <c r="I17208" s="46" t="s">
        <v>7832</v>
      </c>
      <c r="J17208" s="46" t="s">
        <v>300</v>
      </c>
      <c r="K17208" s="46" t="s">
        <v>63</v>
      </c>
      <c r="L17208" s="45">
        <v>46018.625</v>
      </c>
      <c r="M17208" s="46" t="s">
        <v>123</v>
      </c>
      <c r="N17208" s="45">
        <v>46019.0</v>
      </c>
      <c r="O17208" s="46" t="s">
        <v>123</v>
      </c>
      <c r="P17208" s="46">
        <v>32400.0</v>
      </c>
    </row>
    <row r="17209">
      <c r="A17209" s="40">
        <f t="shared" si="1"/>
        <v>46013</v>
      </c>
      <c r="B17209" s="37" t="str">
        <f t="array" ref="B17209">iferror(xlookup($I17209, 'IMPORT VHC Report'!$E:$E, 'IMPORT VHC Report'!$A:$C), )</f>
        <v/>
      </c>
      <c r="C17209" s="44"/>
      <c r="D17209" s="44"/>
      <c r="E17209" s="46" t="s">
        <v>13420</v>
      </c>
      <c r="F17209" s="46" t="s">
        <v>7830</v>
      </c>
      <c r="G17209" s="46">
        <v>1.1401981299343E13</v>
      </c>
      <c r="H17209" s="46" t="s">
        <v>7831</v>
      </c>
      <c r="I17209" s="46" t="s">
        <v>7832</v>
      </c>
      <c r="J17209" s="46" t="s">
        <v>134</v>
      </c>
      <c r="K17209" s="46" t="s">
        <v>126</v>
      </c>
      <c r="L17209" s="45">
        <v>46018.71875</v>
      </c>
      <c r="M17209" s="46" t="s">
        <v>123</v>
      </c>
      <c r="N17209" s="45">
        <v>46018.729166666664</v>
      </c>
      <c r="O17209" s="46" t="s">
        <v>123</v>
      </c>
      <c r="P17209" s="46">
        <v>900.0</v>
      </c>
    </row>
    <row r="17210">
      <c r="A17210" s="40">
        <f t="shared" si="1"/>
        <v>46013</v>
      </c>
      <c r="B17210" s="37" t="str">
        <f t="array" ref="B17210">iferror(xlookup($I17210, 'IMPORT VHC Report'!$E:$E, 'IMPORT VHC Report'!$A:$C), )</f>
        <v/>
      </c>
      <c r="C17210" s="44"/>
      <c r="D17210" s="44"/>
      <c r="E17210" s="46" t="s">
        <v>13421</v>
      </c>
      <c r="F17210" s="46" t="s">
        <v>7830</v>
      </c>
      <c r="G17210" s="46">
        <v>1.1401981299343E13</v>
      </c>
      <c r="H17210" s="46" t="s">
        <v>7831</v>
      </c>
      <c r="I17210" s="46" t="s">
        <v>7832</v>
      </c>
      <c r="J17210" s="46" t="s">
        <v>132</v>
      </c>
      <c r="K17210" s="46" t="s">
        <v>126</v>
      </c>
      <c r="L17210" s="45">
        <v>46018.8125</v>
      </c>
      <c r="M17210" s="46" t="s">
        <v>123</v>
      </c>
      <c r="N17210" s="45">
        <v>46018.854166666664</v>
      </c>
      <c r="O17210" s="46" t="s">
        <v>123</v>
      </c>
      <c r="P17210" s="46">
        <v>3600.0</v>
      </c>
    </row>
    <row r="17211">
      <c r="A17211" s="40">
        <f t="shared" si="1"/>
        <v>46013</v>
      </c>
      <c r="B17211" s="37" t="str">
        <f t="array" ref="B17211">iferror(xlookup($I17211, 'IMPORT VHC Report'!$E:$E, 'IMPORT VHC Report'!$A:$C), )</f>
        <v/>
      </c>
      <c r="C17211" s="44"/>
      <c r="D17211" s="44"/>
      <c r="E17211" s="46" t="s">
        <v>13422</v>
      </c>
      <c r="F17211" s="46" t="s">
        <v>7830</v>
      </c>
      <c r="G17211" s="46">
        <v>1.1401981299343E13</v>
      </c>
      <c r="H17211" s="46" t="s">
        <v>7831</v>
      </c>
      <c r="I17211" s="46" t="s">
        <v>7832</v>
      </c>
      <c r="J17211" s="46" t="s">
        <v>134</v>
      </c>
      <c r="K17211" s="46" t="s">
        <v>126</v>
      </c>
      <c r="L17211" s="45">
        <v>46018.875</v>
      </c>
      <c r="M17211" s="46" t="s">
        <v>123</v>
      </c>
      <c r="N17211" s="45">
        <v>46018.885416666664</v>
      </c>
      <c r="O17211" s="46" t="s">
        <v>123</v>
      </c>
      <c r="P17211" s="46">
        <v>900.0</v>
      </c>
    </row>
    <row r="17212">
      <c r="A17212" s="40">
        <f t="shared" si="1"/>
        <v>46013</v>
      </c>
      <c r="B17212" s="37" t="str">
        <f t="array" ref="B17212">iferror(xlookup($I17212, 'IMPORT VHC Report'!$E:$E, 'IMPORT VHC Report'!$A:$C), )</f>
        <v/>
      </c>
      <c r="C17212" s="44"/>
      <c r="D17212" s="44"/>
      <c r="E17212" s="46" t="s">
        <v>13423</v>
      </c>
      <c r="F17212" s="46" t="s">
        <v>7830</v>
      </c>
      <c r="G17212" s="46">
        <v>1.1401981299343E13</v>
      </c>
      <c r="H17212" s="46" t="s">
        <v>7831</v>
      </c>
      <c r="I17212" s="46" t="s">
        <v>7832</v>
      </c>
      <c r="J17212" s="46" t="s">
        <v>152</v>
      </c>
      <c r="K17212" s="46" t="s">
        <v>153</v>
      </c>
      <c r="L17212" s="45">
        <v>46019.625</v>
      </c>
      <c r="M17212" s="46" t="s">
        <v>123</v>
      </c>
      <c r="N17212" s="45">
        <v>46020.0</v>
      </c>
      <c r="O17212" s="46" t="s">
        <v>123</v>
      </c>
      <c r="P17212" s="46">
        <v>32400.0</v>
      </c>
      <c r="Q17212" s="46">
        <v>28800.0</v>
      </c>
      <c r="R17212" s="46" t="s">
        <v>152</v>
      </c>
    </row>
    <row r="17213">
      <c r="A17213" s="40">
        <f t="shared" si="1"/>
        <v>46013</v>
      </c>
      <c r="B17213" s="37" t="str">
        <f t="array" ref="B17213">iferror(xlookup($I17213, 'IMPORT VHC Report'!$E:$E, 'IMPORT VHC Report'!$A:$C), )</f>
        <v/>
      </c>
      <c r="C17213" s="44"/>
      <c r="D17213" s="44"/>
      <c r="E17213" s="46" t="s">
        <v>13424</v>
      </c>
      <c r="F17213" s="46" t="s">
        <v>7830</v>
      </c>
      <c r="G17213" s="46">
        <v>1.1401981299343E13</v>
      </c>
      <c r="H17213" s="46" t="s">
        <v>7831</v>
      </c>
      <c r="I17213" s="46" t="s">
        <v>7832</v>
      </c>
      <c r="J17213" s="46" t="s">
        <v>300</v>
      </c>
      <c r="K17213" s="46" t="s">
        <v>63</v>
      </c>
      <c r="L17213" s="45">
        <v>46019.625</v>
      </c>
      <c r="M17213" s="46" t="s">
        <v>123</v>
      </c>
      <c r="N17213" s="45">
        <v>46020.0</v>
      </c>
      <c r="O17213" s="46" t="s">
        <v>123</v>
      </c>
      <c r="P17213" s="46">
        <v>32400.0</v>
      </c>
    </row>
    <row r="17214">
      <c r="A17214" s="40">
        <f t="shared" si="1"/>
        <v>46013</v>
      </c>
      <c r="B17214" s="37" t="str">
        <f t="array" ref="B17214">iferror(xlookup($I17214, 'IMPORT VHC Report'!$E:$E, 'IMPORT VHC Report'!$A:$C), )</f>
        <v/>
      </c>
      <c r="C17214" s="44"/>
      <c r="D17214" s="44"/>
      <c r="E17214" s="46" t="s">
        <v>13425</v>
      </c>
      <c r="F17214" s="46" t="s">
        <v>7830</v>
      </c>
      <c r="G17214" s="46">
        <v>1.1401981299343E13</v>
      </c>
      <c r="H17214" s="46" t="s">
        <v>7831</v>
      </c>
      <c r="I17214" s="46" t="s">
        <v>7832</v>
      </c>
      <c r="J17214" s="46" t="s">
        <v>134</v>
      </c>
      <c r="K17214" s="46" t="s">
        <v>126</v>
      </c>
      <c r="L17214" s="45">
        <v>46019.71875</v>
      </c>
      <c r="M17214" s="46" t="s">
        <v>123</v>
      </c>
      <c r="N17214" s="45">
        <v>46019.729166666664</v>
      </c>
      <c r="O17214" s="46" t="s">
        <v>123</v>
      </c>
      <c r="P17214" s="46">
        <v>900.0</v>
      </c>
    </row>
    <row r="17215">
      <c r="A17215" s="40">
        <f t="shared" si="1"/>
        <v>46013</v>
      </c>
      <c r="B17215" s="37" t="str">
        <f t="array" ref="B17215">iferror(xlookup($I17215, 'IMPORT VHC Report'!$E:$E, 'IMPORT VHC Report'!$A:$C), )</f>
        <v/>
      </c>
      <c r="C17215" s="44"/>
      <c r="D17215" s="44"/>
      <c r="E17215" s="46" t="s">
        <v>13426</v>
      </c>
      <c r="F17215" s="46" t="s">
        <v>7830</v>
      </c>
      <c r="G17215" s="46">
        <v>1.1401981299343E13</v>
      </c>
      <c r="H17215" s="46" t="s">
        <v>7831</v>
      </c>
      <c r="I17215" s="46" t="s">
        <v>7832</v>
      </c>
      <c r="J17215" s="46" t="s">
        <v>134</v>
      </c>
      <c r="K17215" s="46" t="s">
        <v>126</v>
      </c>
      <c r="L17215" s="45">
        <v>46019.8125</v>
      </c>
      <c r="M17215" s="46" t="s">
        <v>123</v>
      </c>
      <c r="N17215" s="45">
        <v>46019.822916666664</v>
      </c>
      <c r="O17215" s="46" t="s">
        <v>123</v>
      </c>
      <c r="P17215" s="46">
        <v>900.0</v>
      </c>
    </row>
    <row r="17216">
      <c r="A17216" s="40">
        <f t="shared" si="1"/>
        <v>46013</v>
      </c>
      <c r="B17216" s="37" t="str">
        <f t="array" ref="B17216">iferror(xlookup($I17216, 'IMPORT VHC Report'!$E:$E, 'IMPORT VHC Report'!$A:$C), )</f>
        <v/>
      </c>
      <c r="C17216" s="44"/>
      <c r="D17216" s="44"/>
      <c r="E17216" s="46" t="s">
        <v>13427</v>
      </c>
      <c r="F17216" s="46" t="s">
        <v>7830</v>
      </c>
      <c r="G17216" s="46">
        <v>1.1401981299343E13</v>
      </c>
      <c r="H17216" s="46" t="s">
        <v>7831</v>
      </c>
      <c r="I17216" s="46" t="s">
        <v>7832</v>
      </c>
      <c r="J17216" s="46" t="s">
        <v>132</v>
      </c>
      <c r="K17216" s="46" t="s">
        <v>126</v>
      </c>
      <c r="L17216" s="45">
        <v>46019.90625</v>
      </c>
      <c r="M17216" s="46" t="s">
        <v>123</v>
      </c>
      <c r="N17216" s="45">
        <v>46019.947916666664</v>
      </c>
      <c r="O17216" s="46" t="s">
        <v>123</v>
      </c>
      <c r="P17216" s="46">
        <v>3600.0</v>
      </c>
    </row>
    <row r="17217">
      <c r="A17217" s="40">
        <f t="shared" si="1"/>
        <v>46013</v>
      </c>
      <c r="B17217" s="37" t="str">
        <f t="array" ref="B17217">iferror(xlookup($I17217, 'IMPORT VHC Report'!$E:$E, 'IMPORT VHC Report'!$A:$C), )</f>
        <v/>
      </c>
      <c r="C17217" s="44"/>
      <c r="D17217" s="44"/>
      <c r="E17217" s="46" t="s">
        <v>13428</v>
      </c>
      <c r="F17217" s="46" t="s">
        <v>3741</v>
      </c>
      <c r="G17217" s="46">
        <v>3.61726424776E11</v>
      </c>
      <c r="H17217" s="46" t="s">
        <v>3742</v>
      </c>
      <c r="I17217" s="46" t="s">
        <v>3743</v>
      </c>
      <c r="J17217" s="46" t="s">
        <v>3745</v>
      </c>
      <c r="K17217" s="46" t="s">
        <v>63</v>
      </c>
      <c r="L17217" s="45">
        <v>46013.458333333336</v>
      </c>
      <c r="M17217" s="46" t="s">
        <v>123</v>
      </c>
      <c r="N17217" s="45">
        <v>46013.833333333336</v>
      </c>
      <c r="O17217" s="46" t="s">
        <v>123</v>
      </c>
      <c r="P17217" s="46">
        <v>32400.0</v>
      </c>
    </row>
    <row r="17218">
      <c r="A17218" s="40">
        <f t="shared" si="1"/>
        <v>46013</v>
      </c>
      <c r="B17218" s="37" t="str">
        <f t="array" ref="B17218">iferror(xlookup($I17218, 'IMPORT VHC Report'!$E:$E, 'IMPORT VHC Report'!$A:$C), )</f>
        <v/>
      </c>
      <c r="C17218" s="44"/>
      <c r="D17218" s="44"/>
      <c r="E17218" s="46" t="s">
        <v>13429</v>
      </c>
      <c r="F17218" s="46" t="s">
        <v>3741</v>
      </c>
      <c r="G17218" s="46">
        <v>3.61726424776E11</v>
      </c>
      <c r="H17218" s="46" t="s">
        <v>3742</v>
      </c>
      <c r="I17218" s="46" t="s">
        <v>3743</v>
      </c>
      <c r="J17218" s="46" t="s">
        <v>134</v>
      </c>
      <c r="K17218" s="46" t="s">
        <v>126</v>
      </c>
      <c r="L17218" s="45">
        <v>46013.541666666664</v>
      </c>
      <c r="M17218" s="46" t="s">
        <v>123</v>
      </c>
      <c r="N17218" s="45">
        <v>46013.552083333336</v>
      </c>
      <c r="O17218" s="46" t="s">
        <v>123</v>
      </c>
      <c r="P17218" s="46">
        <v>900.0</v>
      </c>
    </row>
    <row r="17219">
      <c r="A17219" s="40">
        <f t="shared" si="1"/>
        <v>46013</v>
      </c>
      <c r="B17219" s="37" t="str">
        <f t="array" ref="B17219">iferror(xlookup($I17219, 'IMPORT VHC Report'!$E:$E, 'IMPORT VHC Report'!$A:$C), )</f>
        <v/>
      </c>
      <c r="C17219" s="44"/>
      <c r="D17219" s="44"/>
      <c r="E17219" s="46" t="s">
        <v>13430</v>
      </c>
      <c r="F17219" s="46" t="s">
        <v>3741</v>
      </c>
      <c r="G17219" s="46">
        <v>3.61726424776E11</v>
      </c>
      <c r="H17219" s="46" t="s">
        <v>3742</v>
      </c>
      <c r="I17219" s="46" t="s">
        <v>3743</v>
      </c>
      <c r="J17219" s="46" t="s">
        <v>134</v>
      </c>
      <c r="K17219" s="46" t="s">
        <v>126</v>
      </c>
      <c r="L17219" s="45">
        <v>46013.604166666664</v>
      </c>
      <c r="M17219" s="46" t="s">
        <v>123</v>
      </c>
      <c r="N17219" s="45">
        <v>46013.614583333336</v>
      </c>
      <c r="O17219" s="46" t="s">
        <v>123</v>
      </c>
      <c r="P17219" s="46">
        <v>900.0</v>
      </c>
    </row>
    <row r="17220">
      <c r="A17220" s="40">
        <f t="shared" si="1"/>
        <v>46013</v>
      </c>
      <c r="B17220" s="37" t="str">
        <f t="array" ref="B17220">iferror(xlookup($I17220, 'IMPORT VHC Report'!$E:$E, 'IMPORT VHC Report'!$A:$C), )</f>
        <v/>
      </c>
      <c r="C17220" s="44"/>
      <c r="D17220" s="44"/>
      <c r="E17220" s="46" t="s">
        <v>13431</v>
      </c>
      <c r="F17220" s="46" t="s">
        <v>3741</v>
      </c>
      <c r="G17220" s="46">
        <v>3.61726424776E11</v>
      </c>
      <c r="H17220" s="46" t="s">
        <v>3742</v>
      </c>
      <c r="I17220" s="46" t="s">
        <v>3743</v>
      </c>
      <c r="J17220" s="46" t="s">
        <v>132</v>
      </c>
      <c r="K17220" s="46" t="s">
        <v>126</v>
      </c>
      <c r="L17220" s="45">
        <v>46013.666666666664</v>
      </c>
      <c r="M17220" s="46" t="s">
        <v>123</v>
      </c>
      <c r="N17220" s="45">
        <v>46013.708333333336</v>
      </c>
      <c r="O17220" s="46" t="s">
        <v>123</v>
      </c>
      <c r="P17220" s="46">
        <v>3600.0</v>
      </c>
    </row>
    <row r="17221">
      <c r="A17221" s="40">
        <f t="shared" si="1"/>
        <v>46013</v>
      </c>
      <c r="B17221" s="37" t="str">
        <f t="array" ref="B17221">iferror(xlookup($I17221, 'IMPORT VHC Report'!$E:$E, 'IMPORT VHC Report'!$A:$C), )</f>
        <v/>
      </c>
      <c r="C17221" s="44"/>
      <c r="D17221" s="44"/>
      <c r="E17221" s="46" t="s">
        <v>13432</v>
      </c>
      <c r="F17221" s="46" t="s">
        <v>3741</v>
      </c>
      <c r="G17221" s="46">
        <v>3.61726424776E11</v>
      </c>
      <c r="H17221" s="46" t="s">
        <v>3742</v>
      </c>
      <c r="I17221" s="46" t="s">
        <v>3743</v>
      </c>
      <c r="J17221" s="46" t="s">
        <v>3745</v>
      </c>
      <c r="K17221" s="46" t="s">
        <v>63</v>
      </c>
      <c r="L17221" s="45">
        <v>46014.458333333336</v>
      </c>
      <c r="M17221" s="46" t="s">
        <v>123</v>
      </c>
      <c r="N17221" s="45">
        <v>46014.833333333336</v>
      </c>
      <c r="O17221" s="46" t="s">
        <v>123</v>
      </c>
      <c r="P17221" s="46">
        <v>32400.0</v>
      </c>
    </row>
    <row r="17222">
      <c r="A17222" s="40">
        <f t="shared" si="1"/>
        <v>46013</v>
      </c>
      <c r="B17222" s="37" t="str">
        <f t="array" ref="B17222">iferror(xlookup($I17222, 'IMPORT VHC Report'!$E:$E, 'IMPORT VHC Report'!$A:$C), )</f>
        <v/>
      </c>
      <c r="C17222" s="44"/>
      <c r="D17222" s="44"/>
      <c r="E17222" s="46" t="s">
        <v>13433</v>
      </c>
      <c r="F17222" s="46" t="s">
        <v>3741</v>
      </c>
      <c r="G17222" s="46">
        <v>3.61726424776E11</v>
      </c>
      <c r="H17222" s="46" t="s">
        <v>3742</v>
      </c>
      <c r="I17222" s="46" t="s">
        <v>3743</v>
      </c>
      <c r="J17222" s="46" t="s">
        <v>134</v>
      </c>
      <c r="K17222" s="46" t="s">
        <v>126</v>
      </c>
      <c r="L17222" s="45">
        <v>46014.572916666664</v>
      </c>
      <c r="M17222" s="46" t="s">
        <v>123</v>
      </c>
      <c r="N17222" s="45">
        <v>46014.583333333336</v>
      </c>
      <c r="O17222" s="46" t="s">
        <v>123</v>
      </c>
      <c r="P17222" s="46">
        <v>900.0</v>
      </c>
    </row>
    <row r="17223">
      <c r="A17223" s="40">
        <f t="shared" si="1"/>
        <v>46013</v>
      </c>
      <c r="B17223" s="37" t="str">
        <f t="array" ref="B17223">iferror(xlookup($I17223, 'IMPORT VHC Report'!$E:$E, 'IMPORT VHC Report'!$A:$C), )</f>
        <v/>
      </c>
      <c r="C17223" s="44"/>
      <c r="D17223" s="44"/>
      <c r="E17223" s="46" t="s">
        <v>13434</v>
      </c>
      <c r="F17223" s="46" t="s">
        <v>3741</v>
      </c>
      <c r="G17223" s="46">
        <v>3.61726424776E11</v>
      </c>
      <c r="H17223" s="46" t="s">
        <v>3742</v>
      </c>
      <c r="I17223" s="46" t="s">
        <v>3743</v>
      </c>
      <c r="J17223" s="46" t="s">
        <v>134</v>
      </c>
      <c r="K17223" s="46" t="s">
        <v>126</v>
      </c>
      <c r="L17223" s="45">
        <v>46014.6875</v>
      </c>
      <c r="M17223" s="46" t="s">
        <v>123</v>
      </c>
      <c r="N17223" s="45">
        <v>46014.697916666664</v>
      </c>
      <c r="O17223" s="46" t="s">
        <v>123</v>
      </c>
      <c r="P17223" s="46">
        <v>900.0</v>
      </c>
    </row>
    <row r="17224">
      <c r="A17224" s="40">
        <f t="shared" si="1"/>
        <v>46013</v>
      </c>
      <c r="B17224" s="37" t="str">
        <f t="array" ref="B17224">iferror(xlookup($I17224, 'IMPORT VHC Report'!$E:$E, 'IMPORT VHC Report'!$A:$C), )</f>
        <v/>
      </c>
      <c r="C17224" s="44"/>
      <c r="D17224" s="44"/>
      <c r="E17224" s="46" t="s">
        <v>13435</v>
      </c>
      <c r="F17224" s="46" t="s">
        <v>3741</v>
      </c>
      <c r="G17224" s="46">
        <v>3.61726424776E11</v>
      </c>
      <c r="H17224" s="46" t="s">
        <v>3742</v>
      </c>
      <c r="I17224" s="46" t="s">
        <v>3743</v>
      </c>
      <c r="J17224" s="46" t="s">
        <v>132</v>
      </c>
      <c r="K17224" s="46" t="s">
        <v>126</v>
      </c>
      <c r="L17224" s="45">
        <v>46014.729166666664</v>
      </c>
      <c r="M17224" s="46" t="s">
        <v>123</v>
      </c>
      <c r="N17224" s="45">
        <v>46014.770833333336</v>
      </c>
      <c r="O17224" s="46" t="s">
        <v>123</v>
      </c>
      <c r="P17224" s="46">
        <v>3600.0</v>
      </c>
    </row>
    <row r="17225">
      <c r="A17225" s="40">
        <f t="shared" si="1"/>
        <v>46013</v>
      </c>
      <c r="B17225" s="37" t="str">
        <f t="array" ref="B17225">iferror(xlookup($I17225, 'IMPORT VHC Report'!$E:$E, 'IMPORT VHC Report'!$A:$C), )</f>
        <v/>
      </c>
      <c r="C17225" s="44"/>
      <c r="D17225" s="44"/>
      <c r="E17225" s="46" t="s">
        <v>13436</v>
      </c>
      <c r="F17225" s="46" t="s">
        <v>3741</v>
      </c>
      <c r="G17225" s="46">
        <v>3.61726424776E11</v>
      </c>
      <c r="H17225" s="46" t="s">
        <v>3742</v>
      </c>
      <c r="I17225" s="46" t="s">
        <v>3743</v>
      </c>
      <c r="J17225" s="46" t="s">
        <v>3745</v>
      </c>
      <c r="K17225" s="46" t="s">
        <v>63</v>
      </c>
      <c r="L17225" s="45">
        <v>46015.458333333336</v>
      </c>
      <c r="M17225" s="46" t="s">
        <v>123</v>
      </c>
      <c r="N17225" s="45">
        <v>46015.833333333336</v>
      </c>
      <c r="O17225" s="46" t="s">
        <v>123</v>
      </c>
      <c r="P17225" s="46">
        <v>32400.0</v>
      </c>
    </row>
    <row r="17226">
      <c r="A17226" s="40">
        <f t="shared" si="1"/>
        <v>46013</v>
      </c>
      <c r="B17226" s="37" t="str">
        <f t="array" ref="B17226">iferror(xlookup($I17226, 'IMPORT VHC Report'!$E:$E, 'IMPORT VHC Report'!$A:$C), )</f>
        <v/>
      </c>
      <c r="C17226" s="44"/>
      <c r="D17226" s="44"/>
      <c r="E17226" s="46" t="s">
        <v>13437</v>
      </c>
      <c r="F17226" s="46" t="s">
        <v>3741</v>
      </c>
      <c r="G17226" s="46">
        <v>3.61726424776E11</v>
      </c>
      <c r="H17226" s="46" t="s">
        <v>3742</v>
      </c>
      <c r="I17226" s="46" t="s">
        <v>3743</v>
      </c>
      <c r="J17226" s="46" t="s">
        <v>134</v>
      </c>
      <c r="K17226" s="46" t="s">
        <v>126</v>
      </c>
      <c r="L17226" s="45">
        <v>46015.541666666664</v>
      </c>
      <c r="M17226" s="46" t="s">
        <v>123</v>
      </c>
      <c r="N17226" s="45">
        <v>46015.552083333336</v>
      </c>
      <c r="O17226" s="46" t="s">
        <v>123</v>
      </c>
      <c r="P17226" s="46">
        <v>900.0</v>
      </c>
    </row>
    <row r="17227">
      <c r="A17227" s="40">
        <f t="shared" si="1"/>
        <v>46013</v>
      </c>
      <c r="B17227" s="37" t="str">
        <f t="array" ref="B17227">iferror(xlookup($I17227, 'IMPORT VHC Report'!$E:$E, 'IMPORT VHC Report'!$A:$C), )</f>
        <v/>
      </c>
      <c r="C17227" s="44"/>
      <c r="D17227" s="44"/>
      <c r="E17227" s="46" t="s">
        <v>13438</v>
      </c>
      <c r="F17227" s="46" t="s">
        <v>3741</v>
      </c>
      <c r="G17227" s="46">
        <v>3.61726424776E11</v>
      </c>
      <c r="H17227" s="46" t="s">
        <v>3742</v>
      </c>
      <c r="I17227" s="46" t="s">
        <v>3743</v>
      </c>
      <c r="J17227" s="46" t="s">
        <v>134</v>
      </c>
      <c r="K17227" s="46" t="s">
        <v>126</v>
      </c>
      <c r="L17227" s="45">
        <v>46015.65625</v>
      </c>
      <c r="M17227" s="46" t="s">
        <v>123</v>
      </c>
      <c r="N17227" s="45">
        <v>46015.666666666664</v>
      </c>
      <c r="O17227" s="46" t="s">
        <v>123</v>
      </c>
      <c r="P17227" s="46">
        <v>900.0</v>
      </c>
    </row>
    <row r="17228">
      <c r="A17228" s="40">
        <f t="shared" si="1"/>
        <v>46013</v>
      </c>
      <c r="B17228" s="37" t="str">
        <f t="array" ref="B17228">iferror(xlookup($I17228, 'IMPORT VHC Report'!$E:$E, 'IMPORT VHC Report'!$A:$C), )</f>
        <v/>
      </c>
      <c r="C17228" s="44"/>
      <c r="D17228" s="44"/>
      <c r="E17228" s="46" t="s">
        <v>13439</v>
      </c>
      <c r="F17228" s="46" t="s">
        <v>3741</v>
      </c>
      <c r="G17228" s="46">
        <v>3.61726424776E11</v>
      </c>
      <c r="H17228" s="46" t="s">
        <v>3742</v>
      </c>
      <c r="I17228" s="46" t="s">
        <v>3743</v>
      </c>
      <c r="J17228" s="46" t="s">
        <v>132</v>
      </c>
      <c r="K17228" s="46" t="s">
        <v>126</v>
      </c>
      <c r="L17228" s="45">
        <v>46015.71875</v>
      </c>
      <c r="M17228" s="46" t="s">
        <v>123</v>
      </c>
      <c r="N17228" s="45">
        <v>46015.760416666664</v>
      </c>
      <c r="O17228" s="46" t="s">
        <v>123</v>
      </c>
      <c r="P17228" s="46">
        <v>3600.0</v>
      </c>
    </row>
    <row r="17229">
      <c r="A17229" s="40">
        <f t="shared" si="1"/>
        <v>46013</v>
      </c>
      <c r="B17229" s="37" t="str">
        <f t="array" ref="B17229">iferror(xlookup($I17229, 'IMPORT VHC Report'!$E:$E, 'IMPORT VHC Report'!$A:$C), )</f>
        <v/>
      </c>
      <c r="C17229" s="44"/>
      <c r="D17229" s="44"/>
      <c r="E17229" s="46" t="s">
        <v>13440</v>
      </c>
      <c r="F17229" s="46" t="s">
        <v>3741</v>
      </c>
      <c r="G17229" s="46">
        <v>3.61726424776E11</v>
      </c>
      <c r="H17229" s="46" t="s">
        <v>3742</v>
      </c>
      <c r="I17229" s="46" t="s">
        <v>3743</v>
      </c>
      <c r="J17229" s="46" t="s">
        <v>3745</v>
      </c>
      <c r="K17229" s="46" t="s">
        <v>63</v>
      </c>
      <c r="L17229" s="45">
        <v>46016.458333333336</v>
      </c>
      <c r="M17229" s="46" t="s">
        <v>123</v>
      </c>
      <c r="N17229" s="45">
        <v>46016.833333333336</v>
      </c>
      <c r="O17229" s="46" t="s">
        <v>123</v>
      </c>
      <c r="P17229" s="46">
        <v>32400.0</v>
      </c>
    </row>
    <row r="17230">
      <c r="A17230" s="40">
        <f t="shared" si="1"/>
        <v>46013</v>
      </c>
      <c r="B17230" s="37" t="str">
        <f t="array" ref="B17230">iferror(xlookup($I17230, 'IMPORT VHC Report'!$E:$E, 'IMPORT VHC Report'!$A:$C), )</f>
        <v/>
      </c>
      <c r="C17230" s="44"/>
      <c r="D17230" s="44"/>
      <c r="E17230" s="46" t="s">
        <v>13441</v>
      </c>
      <c r="F17230" s="46" t="s">
        <v>3741</v>
      </c>
      <c r="G17230" s="46">
        <v>3.61726424776E11</v>
      </c>
      <c r="H17230" s="46" t="s">
        <v>3742</v>
      </c>
      <c r="I17230" s="46" t="s">
        <v>3743</v>
      </c>
      <c r="J17230" s="46" t="s">
        <v>134</v>
      </c>
      <c r="K17230" s="46" t="s">
        <v>126</v>
      </c>
      <c r="L17230" s="45">
        <v>46016.5625</v>
      </c>
      <c r="M17230" s="46" t="s">
        <v>123</v>
      </c>
      <c r="N17230" s="45">
        <v>46016.572916666664</v>
      </c>
      <c r="O17230" s="46" t="s">
        <v>123</v>
      </c>
      <c r="P17230" s="46">
        <v>900.0</v>
      </c>
    </row>
    <row r="17231">
      <c r="A17231" s="40">
        <f t="shared" si="1"/>
        <v>46013</v>
      </c>
      <c r="B17231" s="37" t="str">
        <f t="array" ref="B17231">iferror(xlookup($I17231, 'IMPORT VHC Report'!$E:$E, 'IMPORT VHC Report'!$A:$C), )</f>
        <v/>
      </c>
      <c r="C17231" s="44"/>
      <c r="D17231" s="44"/>
      <c r="E17231" s="46" t="s">
        <v>13442</v>
      </c>
      <c r="F17231" s="46" t="s">
        <v>3741</v>
      </c>
      <c r="G17231" s="46">
        <v>3.61726424776E11</v>
      </c>
      <c r="H17231" s="46" t="s">
        <v>3742</v>
      </c>
      <c r="I17231" s="46" t="s">
        <v>3743</v>
      </c>
      <c r="J17231" s="46" t="s">
        <v>134</v>
      </c>
      <c r="K17231" s="46" t="s">
        <v>126</v>
      </c>
      <c r="L17231" s="45">
        <v>46016.6875</v>
      </c>
      <c r="M17231" s="46" t="s">
        <v>123</v>
      </c>
      <c r="N17231" s="45">
        <v>46016.697916666664</v>
      </c>
      <c r="O17231" s="46" t="s">
        <v>123</v>
      </c>
      <c r="P17231" s="46">
        <v>900.0</v>
      </c>
    </row>
    <row r="17232">
      <c r="A17232" s="40">
        <f t="shared" si="1"/>
        <v>46013</v>
      </c>
      <c r="B17232" s="37" t="str">
        <f t="array" ref="B17232">iferror(xlookup($I17232, 'IMPORT VHC Report'!$E:$E, 'IMPORT VHC Report'!$A:$C), )</f>
        <v/>
      </c>
      <c r="C17232" s="44"/>
      <c r="D17232" s="44"/>
      <c r="E17232" s="46" t="s">
        <v>13443</v>
      </c>
      <c r="F17232" s="46" t="s">
        <v>3741</v>
      </c>
      <c r="G17232" s="46">
        <v>3.61726424776E11</v>
      </c>
      <c r="H17232" s="46" t="s">
        <v>3742</v>
      </c>
      <c r="I17232" s="46" t="s">
        <v>3743</v>
      </c>
      <c r="J17232" s="46" t="s">
        <v>132</v>
      </c>
      <c r="K17232" s="46" t="s">
        <v>126</v>
      </c>
      <c r="L17232" s="45">
        <v>46016.770833333336</v>
      </c>
      <c r="M17232" s="46" t="s">
        <v>123</v>
      </c>
      <c r="N17232" s="45">
        <v>46016.8125</v>
      </c>
      <c r="O17232" s="46" t="s">
        <v>123</v>
      </c>
      <c r="P17232" s="46">
        <v>3600.0</v>
      </c>
    </row>
    <row r="17233">
      <c r="A17233" s="40">
        <f t="shared" si="1"/>
        <v>46013</v>
      </c>
      <c r="B17233" s="37" t="str">
        <f t="array" ref="B17233">iferror(xlookup($I17233, 'IMPORT VHC Report'!$E:$E, 'IMPORT VHC Report'!$A:$C), )</f>
        <v/>
      </c>
      <c r="C17233" s="44"/>
      <c r="D17233" s="44"/>
      <c r="E17233" s="46" t="s">
        <v>13444</v>
      </c>
      <c r="F17233" s="46" t="s">
        <v>3741</v>
      </c>
      <c r="G17233" s="46">
        <v>3.61726424776E11</v>
      </c>
      <c r="H17233" s="46" t="s">
        <v>3742</v>
      </c>
      <c r="I17233" s="46" t="s">
        <v>3743</v>
      </c>
      <c r="J17233" s="46" t="s">
        <v>3745</v>
      </c>
      <c r="K17233" s="46" t="s">
        <v>63</v>
      </c>
      <c r="L17233" s="45">
        <v>46017.458333333336</v>
      </c>
      <c r="M17233" s="46" t="s">
        <v>123</v>
      </c>
      <c r="N17233" s="45">
        <v>46017.833333333336</v>
      </c>
      <c r="O17233" s="46" t="s">
        <v>123</v>
      </c>
      <c r="P17233" s="46">
        <v>32400.0</v>
      </c>
    </row>
    <row r="17234">
      <c r="A17234" s="40">
        <f t="shared" si="1"/>
        <v>46013</v>
      </c>
      <c r="B17234" s="37" t="str">
        <f t="array" ref="B17234">iferror(xlookup($I17234, 'IMPORT VHC Report'!$E:$E, 'IMPORT VHC Report'!$A:$C), )</f>
        <v/>
      </c>
      <c r="C17234" s="44"/>
      <c r="D17234" s="44"/>
      <c r="E17234" s="46" t="s">
        <v>13445</v>
      </c>
      <c r="F17234" s="46" t="s">
        <v>3741</v>
      </c>
      <c r="G17234" s="46">
        <v>3.61726424776E11</v>
      </c>
      <c r="H17234" s="46" t="s">
        <v>3742</v>
      </c>
      <c r="I17234" s="46" t="s">
        <v>3743</v>
      </c>
      <c r="J17234" s="46" t="s">
        <v>134</v>
      </c>
      <c r="K17234" s="46" t="s">
        <v>126</v>
      </c>
      <c r="L17234" s="45">
        <v>46017.541666666664</v>
      </c>
      <c r="M17234" s="46" t="s">
        <v>123</v>
      </c>
      <c r="N17234" s="45">
        <v>46017.552083333336</v>
      </c>
      <c r="O17234" s="46" t="s">
        <v>123</v>
      </c>
      <c r="P17234" s="46">
        <v>900.0</v>
      </c>
    </row>
    <row r="17235">
      <c r="A17235" s="40">
        <f t="shared" si="1"/>
        <v>46013</v>
      </c>
      <c r="B17235" s="37" t="str">
        <f t="array" ref="B17235">iferror(xlookup($I17235, 'IMPORT VHC Report'!$E:$E, 'IMPORT VHC Report'!$A:$C), )</f>
        <v/>
      </c>
      <c r="C17235" s="44"/>
      <c r="D17235" s="44"/>
      <c r="E17235" s="46" t="s">
        <v>13446</v>
      </c>
      <c r="F17235" s="46" t="s">
        <v>3741</v>
      </c>
      <c r="G17235" s="46">
        <v>3.61726424776E11</v>
      </c>
      <c r="H17235" s="46" t="s">
        <v>3742</v>
      </c>
      <c r="I17235" s="46" t="s">
        <v>3743</v>
      </c>
      <c r="J17235" s="46" t="s">
        <v>134</v>
      </c>
      <c r="K17235" s="46" t="s">
        <v>126</v>
      </c>
      <c r="L17235" s="45">
        <v>46017.71875</v>
      </c>
      <c r="M17235" s="46" t="s">
        <v>123</v>
      </c>
      <c r="N17235" s="45">
        <v>46017.729166666664</v>
      </c>
      <c r="O17235" s="46" t="s">
        <v>123</v>
      </c>
      <c r="P17235" s="46">
        <v>900.0</v>
      </c>
    </row>
    <row r="17236">
      <c r="A17236" s="40">
        <f t="shared" si="1"/>
        <v>46013</v>
      </c>
      <c r="B17236" s="37" t="str">
        <f t="array" ref="B17236">iferror(xlookup($I17236, 'IMPORT VHC Report'!$E:$E, 'IMPORT VHC Report'!$A:$C), )</f>
        <v/>
      </c>
      <c r="C17236" s="44"/>
      <c r="D17236" s="44"/>
      <c r="E17236" s="46" t="s">
        <v>13447</v>
      </c>
      <c r="F17236" s="46" t="s">
        <v>3741</v>
      </c>
      <c r="G17236" s="46">
        <v>3.61726424776E11</v>
      </c>
      <c r="H17236" s="46" t="s">
        <v>3742</v>
      </c>
      <c r="I17236" s="46" t="s">
        <v>3743</v>
      </c>
      <c r="J17236" s="46" t="s">
        <v>132</v>
      </c>
      <c r="K17236" s="46" t="s">
        <v>126</v>
      </c>
      <c r="L17236" s="45">
        <v>46017.770833333336</v>
      </c>
      <c r="M17236" s="46" t="s">
        <v>123</v>
      </c>
      <c r="N17236" s="45">
        <v>46017.8125</v>
      </c>
      <c r="O17236" s="46" t="s">
        <v>123</v>
      </c>
      <c r="P17236" s="46">
        <v>3600.0</v>
      </c>
    </row>
    <row r="17237">
      <c r="A17237" s="40">
        <f t="shared" si="1"/>
        <v>46013</v>
      </c>
      <c r="B17237" s="37" t="str">
        <f t="array" ref="B17237">iferror(xlookup($I17237, 'IMPORT VHC Report'!$E:$E, 'IMPORT VHC Report'!$A:$C), )</f>
        <v/>
      </c>
      <c r="C17237" s="44"/>
      <c r="D17237" s="44"/>
      <c r="E17237" s="46" t="s">
        <v>13448</v>
      </c>
      <c r="F17237" s="46" t="s">
        <v>3770</v>
      </c>
      <c r="G17237" s="46">
        <v>1.0548580059023E13</v>
      </c>
      <c r="H17237" s="46" t="s">
        <v>3771</v>
      </c>
      <c r="I17237" s="46" t="s">
        <v>3772</v>
      </c>
      <c r="J17237" s="46" t="s">
        <v>3745</v>
      </c>
      <c r="K17237" s="46" t="s">
        <v>63</v>
      </c>
      <c r="L17237" s="45">
        <v>46013.458333333336</v>
      </c>
      <c r="M17237" s="46" t="s">
        <v>123</v>
      </c>
      <c r="N17237" s="45">
        <v>46013.833333333336</v>
      </c>
      <c r="O17237" s="46" t="s">
        <v>123</v>
      </c>
      <c r="P17237" s="46">
        <v>32400.0</v>
      </c>
    </row>
    <row r="17238">
      <c r="A17238" s="40">
        <f t="shared" si="1"/>
        <v>46013</v>
      </c>
      <c r="B17238" s="37" t="str">
        <f t="array" ref="B17238">iferror(xlookup($I17238, 'IMPORT VHC Report'!$E:$E, 'IMPORT VHC Report'!$A:$C), )</f>
        <v/>
      </c>
      <c r="C17238" s="44"/>
      <c r="D17238" s="44"/>
      <c r="E17238" s="46" t="s">
        <v>13449</v>
      </c>
      <c r="F17238" s="46" t="s">
        <v>3770</v>
      </c>
      <c r="G17238" s="46">
        <v>1.0548580059023E13</v>
      </c>
      <c r="H17238" s="46" t="s">
        <v>3771</v>
      </c>
      <c r="I17238" s="46" t="s">
        <v>3772</v>
      </c>
      <c r="J17238" s="46" t="s">
        <v>134</v>
      </c>
      <c r="K17238" s="46" t="s">
        <v>126</v>
      </c>
      <c r="L17238" s="45">
        <v>46013.552083333336</v>
      </c>
      <c r="M17238" s="46" t="s">
        <v>123</v>
      </c>
      <c r="N17238" s="45">
        <v>46013.5625</v>
      </c>
      <c r="O17238" s="46" t="s">
        <v>123</v>
      </c>
      <c r="P17238" s="46">
        <v>900.0</v>
      </c>
    </row>
    <row r="17239">
      <c r="A17239" s="40">
        <f t="shared" si="1"/>
        <v>46013</v>
      </c>
      <c r="B17239" s="37" t="str">
        <f t="array" ref="B17239">iferror(xlookup($I17239, 'IMPORT VHC Report'!$E:$E, 'IMPORT VHC Report'!$A:$C), )</f>
        <v/>
      </c>
      <c r="C17239" s="44"/>
      <c r="D17239" s="44"/>
      <c r="E17239" s="46" t="s">
        <v>13450</v>
      </c>
      <c r="F17239" s="46" t="s">
        <v>3770</v>
      </c>
      <c r="G17239" s="46">
        <v>1.0548580059023E13</v>
      </c>
      <c r="H17239" s="46" t="s">
        <v>3771</v>
      </c>
      <c r="I17239" s="46" t="s">
        <v>3772</v>
      </c>
      <c r="J17239" s="46" t="s">
        <v>134</v>
      </c>
      <c r="K17239" s="46" t="s">
        <v>126</v>
      </c>
      <c r="L17239" s="45">
        <v>46013.697916666664</v>
      </c>
      <c r="M17239" s="46" t="s">
        <v>123</v>
      </c>
      <c r="N17239" s="45">
        <v>46013.708333333336</v>
      </c>
      <c r="O17239" s="46" t="s">
        <v>123</v>
      </c>
      <c r="P17239" s="46">
        <v>900.0</v>
      </c>
    </row>
    <row r="17240">
      <c r="A17240" s="40">
        <f t="shared" si="1"/>
        <v>46013</v>
      </c>
      <c r="B17240" s="37" t="str">
        <f t="array" ref="B17240">iferror(xlookup($I17240, 'IMPORT VHC Report'!$E:$E, 'IMPORT VHC Report'!$A:$C), )</f>
        <v/>
      </c>
      <c r="C17240" s="44"/>
      <c r="D17240" s="44"/>
      <c r="E17240" s="46" t="s">
        <v>13451</v>
      </c>
      <c r="F17240" s="46" t="s">
        <v>3770</v>
      </c>
      <c r="G17240" s="46">
        <v>1.0548580059023E13</v>
      </c>
      <c r="H17240" s="46" t="s">
        <v>3771</v>
      </c>
      <c r="I17240" s="46" t="s">
        <v>3772</v>
      </c>
      <c r="J17240" s="46" t="s">
        <v>132</v>
      </c>
      <c r="K17240" s="46" t="s">
        <v>126</v>
      </c>
      <c r="L17240" s="45">
        <v>46013.770833333336</v>
      </c>
      <c r="M17240" s="46" t="s">
        <v>123</v>
      </c>
      <c r="N17240" s="45">
        <v>46013.8125</v>
      </c>
      <c r="O17240" s="46" t="s">
        <v>123</v>
      </c>
      <c r="P17240" s="46">
        <v>3600.0</v>
      </c>
    </row>
    <row r="17241">
      <c r="A17241" s="40">
        <f t="shared" si="1"/>
        <v>46013</v>
      </c>
      <c r="B17241" s="37" t="str">
        <f t="array" ref="B17241">iferror(xlookup($I17241, 'IMPORT VHC Report'!$E:$E, 'IMPORT VHC Report'!$A:$C), )</f>
        <v/>
      </c>
      <c r="C17241" s="44"/>
      <c r="D17241" s="44"/>
      <c r="E17241" s="46" t="s">
        <v>13452</v>
      </c>
      <c r="F17241" s="46" t="s">
        <v>3770</v>
      </c>
      <c r="G17241" s="46">
        <v>1.0548580059023E13</v>
      </c>
      <c r="H17241" s="46" t="s">
        <v>3771</v>
      </c>
      <c r="I17241" s="46" t="s">
        <v>3772</v>
      </c>
      <c r="J17241" s="46" t="s">
        <v>3745</v>
      </c>
      <c r="K17241" s="46" t="s">
        <v>63</v>
      </c>
      <c r="L17241" s="45">
        <v>46014.458333333336</v>
      </c>
      <c r="M17241" s="46" t="s">
        <v>123</v>
      </c>
      <c r="N17241" s="45">
        <v>46014.833333333336</v>
      </c>
      <c r="O17241" s="46" t="s">
        <v>123</v>
      </c>
      <c r="P17241" s="46">
        <v>32400.0</v>
      </c>
    </row>
    <row r="17242">
      <c r="A17242" s="40">
        <f t="shared" si="1"/>
        <v>46013</v>
      </c>
      <c r="B17242" s="37" t="str">
        <f t="array" ref="B17242">iferror(xlookup($I17242, 'IMPORT VHC Report'!$E:$E, 'IMPORT VHC Report'!$A:$C), )</f>
        <v/>
      </c>
      <c r="C17242" s="44"/>
      <c r="D17242" s="44"/>
      <c r="E17242" s="46" t="s">
        <v>13453</v>
      </c>
      <c r="F17242" s="46" t="s">
        <v>3770</v>
      </c>
      <c r="G17242" s="46">
        <v>1.0548580059023E13</v>
      </c>
      <c r="H17242" s="46" t="s">
        <v>3771</v>
      </c>
      <c r="I17242" s="46" t="s">
        <v>3772</v>
      </c>
      <c r="J17242" s="46" t="s">
        <v>134</v>
      </c>
      <c r="K17242" s="46" t="s">
        <v>126</v>
      </c>
      <c r="L17242" s="45">
        <v>46014.583333333336</v>
      </c>
      <c r="M17242" s="46" t="s">
        <v>123</v>
      </c>
      <c r="N17242" s="45">
        <v>46014.59375</v>
      </c>
      <c r="O17242" s="46" t="s">
        <v>123</v>
      </c>
      <c r="P17242" s="46">
        <v>900.0</v>
      </c>
    </row>
    <row r="17243">
      <c r="A17243" s="40">
        <f t="shared" si="1"/>
        <v>46013</v>
      </c>
      <c r="B17243" s="37" t="str">
        <f t="array" ref="B17243">iferror(xlookup($I17243, 'IMPORT VHC Report'!$E:$E, 'IMPORT VHC Report'!$A:$C), )</f>
        <v/>
      </c>
      <c r="C17243" s="44"/>
      <c r="D17243" s="44"/>
      <c r="E17243" s="46" t="s">
        <v>13454</v>
      </c>
      <c r="F17243" s="46" t="s">
        <v>3770</v>
      </c>
      <c r="G17243" s="46">
        <v>1.0548580059023E13</v>
      </c>
      <c r="H17243" s="46" t="s">
        <v>3771</v>
      </c>
      <c r="I17243" s="46" t="s">
        <v>3772</v>
      </c>
      <c r="J17243" s="46" t="s">
        <v>134</v>
      </c>
      <c r="K17243" s="46" t="s">
        <v>126</v>
      </c>
      <c r="L17243" s="45">
        <v>46014.666666666664</v>
      </c>
      <c r="M17243" s="46" t="s">
        <v>123</v>
      </c>
      <c r="N17243" s="45">
        <v>46014.677083333336</v>
      </c>
      <c r="O17243" s="46" t="s">
        <v>123</v>
      </c>
      <c r="P17243" s="46">
        <v>900.0</v>
      </c>
    </row>
    <row r="17244">
      <c r="A17244" s="40">
        <f t="shared" si="1"/>
        <v>46013</v>
      </c>
      <c r="B17244" s="37" t="str">
        <f t="array" ref="B17244">iferror(xlookup($I17244, 'IMPORT VHC Report'!$E:$E, 'IMPORT VHC Report'!$A:$C), )</f>
        <v/>
      </c>
      <c r="C17244" s="44"/>
      <c r="D17244" s="44"/>
      <c r="E17244" s="46" t="s">
        <v>13455</v>
      </c>
      <c r="F17244" s="46" t="s">
        <v>3770</v>
      </c>
      <c r="G17244" s="46">
        <v>1.0548580059023E13</v>
      </c>
      <c r="H17244" s="46" t="s">
        <v>3771</v>
      </c>
      <c r="I17244" s="46" t="s">
        <v>3772</v>
      </c>
      <c r="J17244" s="46" t="s">
        <v>132</v>
      </c>
      <c r="K17244" s="46" t="s">
        <v>126</v>
      </c>
      <c r="L17244" s="45">
        <v>46014.78125</v>
      </c>
      <c r="M17244" s="46" t="s">
        <v>123</v>
      </c>
      <c r="N17244" s="45">
        <v>46014.822916666664</v>
      </c>
      <c r="O17244" s="46" t="s">
        <v>123</v>
      </c>
      <c r="P17244" s="46">
        <v>3600.0</v>
      </c>
    </row>
    <row r="17245">
      <c r="A17245" s="40">
        <f t="shared" si="1"/>
        <v>46013</v>
      </c>
      <c r="B17245" s="37" t="str">
        <f t="array" ref="B17245">iferror(xlookup($I17245, 'IMPORT VHC Report'!$E:$E, 'IMPORT VHC Report'!$A:$C), )</f>
        <v/>
      </c>
      <c r="C17245" s="44"/>
      <c r="D17245" s="44"/>
      <c r="E17245" s="46" t="s">
        <v>13456</v>
      </c>
      <c r="F17245" s="46" t="s">
        <v>3770</v>
      </c>
      <c r="G17245" s="46">
        <v>1.0548580059023E13</v>
      </c>
      <c r="H17245" s="46" t="s">
        <v>3771</v>
      </c>
      <c r="I17245" s="46" t="s">
        <v>3772</v>
      </c>
      <c r="J17245" s="46" t="s">
        <v>3745</v>
      </c>
      <c r="K17245" s="46" t="s">
        <v>63</v>
      </c>
      <c r="L17245" s="45">
        <v>46015.458333333336</v>
      </c>
      <c r="M17245" s="46" t="s">
        <v>123</v>
      </c>
      <c r="N17245" s="45">
        <v>46015.833333333336</v>
      </c>
      <c r="O17245" s="46" t="s">
        <v>123</v>
      </c>
      <c r="P17245" s="46">
        <v>32400.0</v>
      </c>
    </row>
    <row r="17246">
      <c r="A17246" s="40">
        <f t="shared" si="1"/>
        <v>46013</v>
      </c>
      <c r="B17246" s="37" t="str">
        <f t="array" ref="B17246">iferror(xlookup($I17246, 'IMPORT VHC Report'!$E:$E, 'IMPORT VHC Report'!$A:$C), )</f>
        <v/>
      </c>
      <c r="C17246" s="44"/>
      <c r="D17246" s="44"/>
      <c r="E17246" s="46" t="s">
        <v>13457</v>
      </c>
      <c r="F17246" s="46" t="s">
        <v>3770</v>
      </c>
      <c r="G17246" s="46">
        <v>1.0548580059023E13</v>
      </c>
      <c r="H17246" s="46" t="s">
        <v>3771</v>
      </c>
      <c r="I17246" s="46" t="s">
        <v>3772</v>
      </c>
      <c r="J17246" s="46" t="s">
        <v>134</v>
      </c>
      <c r="K17246" s="46" t="s">
        <v>126</v>
      </c>
      <c r="L17246" s="45">
        <v>46015.552083333336</v>
      </c>
      <c r="M17246" s="46" t="s">
        <v>123</v>
      </c>
      <c r="N17246" s="45">
        <v>46015.5625</v>
      </c>
      <c r="O17246" s="46" t="s">
        <v>123</v>
      </c>
      <c r="P17246" s="46">
        <v>900.0</v>
      </c>
    </row>
    <row r="17247">
      <c r="A17247" s="40">
        <f t="shared" si="1"/>
        <v>46013</v>
      </c>
      <c r="B17247" s="37" t="str">
        <f t="array" ref="B17247">iferror(xlookup($I17247, 'IMPORT VHC Report'!$E:$E, 'IMPORT VHC Report'!$A:$C), )</f>
        <v/>
      </c>
      <c r="C17247" s="44"/>
      <c r="D17247" s="44"/>
      <c r="E17247" s="46" t="s">
        <v>13458</v>
      </c>
      <c r="F17247" s="46" t="s">
        <v>3770</v>
      </c>
      <c r="G17247" s="46">
        <v>1.0548580059023E13</v>
      </c>
      <c r="H17247" s="46" t="s">
        <v>3771</v>
      </c>
      <c r="I17247" s="46" t="s">
        <v>3772</v>
      </c>
      <c r="J17247" s="46" t="s">
        <v>134</v>
      </c>
      <c r="K17247" s="46" t="s">
        <v>126</v>
      </c>
      <c r="L17247" s="45">
        <v>46015.614583333336</v>
      </c>
      <c r="M17247" s="46" t="s">
        <v>123</v>
      </c>
      <c r="N17247" s="45">
        <v>46015.625</v>
      </c>
      <c r="O17247" s="46" t="s">
        <v>123</v>
      </c>
      <c r="P17247" s="46">
        <v>900.0</v>
      </c>
    </row>
    <row r="17248">
      <c r="A17248" s="40">
        <f t="shared" si="1"/>
        <v>46013</v>
      </c>
      <c r="B17248" s="37" t="str">
        <f t="array" ref="B17248">iferror(xlookup($I17248, 'IMPORT VHC Report'!$E:$E, 'IMPORT VHC Report'!$A:$C), )</f>
        <v/>
      </c>
      <c r="C17248" s="44"/>
      <c r="D17248" s="44"/>
      <c r="E17248" s="46" t="s">
        <v>13459</v>
      </c>
      <c r="F17248" s="46" t="s">
        <v>3770</v>
      </c>
      <c r="G17248" s="46">
        <v>1.0548580059023E13</v>
      </c>
      <c r="H17248" s="46" t="s">
        <v>3771</v>
      </c>
      <c r="I17248" s="46" t="s">
        <v>3772</v>
      </c>
      <c r="J17248" s="46" t="s">
        <v>132</v>
      </c>
      <c r="K17248" s="46" t="s">
        <v>126</v>
      </c>
      <c r="L17248" s="45">
        <v>46015.78125</v>
      </c>
      <c r="M17248" s="46" t="s">
        <v>123</v>
      </c>
      <c r="N17248" s="45">
        <v>46015.822916666664</v>
      </c>
      <c r="O17248" s="46" t="s">
        <v>123</v>
      </c>
      <c r="P17248" s="46">
        <v>3600.0</v>
      </c>
    </row>
    <row r="17249">
      <c r="A17249" s="40">
        <f t="shared" si="1"/>
        <v>46013</v>
      </c>
      <c r="B17249" s="37" t="str">
        <f t="array" ref="B17249">iferror(xlookup($I17249, 'IMPORT VHC Report'!$E:$E, 'IMPORT VHC Report'!$A:$C), )</f>
        <v/>
      </c>
      <c r="C17249" s="44"/>
      <c r="D17249" s="44"/>
      <c r="E17249" s="46" t="s">
        <v>13460</v>
      </c>
      <c r="F17249" s="46" t="s">
        <v>3770</v>
      </c>
      <c r="G17249" s="46">
        <v>1.0548580059023E13</v>
      </c>
      <c r="H17249" s="46" t="s">
        <v>3771</v>
      </c>
      <c r="I17249" s="46" t="s">
        <v>3772</v>
      </c>
      <c r="J17249" s="46" t="s">
        <v>3745</v>
      </c>
      <c r="K17249" s="46" t="s">
        <v>63</v>
      </c>
      <c r="L17249" s="45">
        <v>46016.458333333336</v>
      </c>
      <c r="M17249" s="46" t="s">
        <v>123</v>
      </c>
      <c r="N17249" s="45">
        <v>46016.833333333336</v>
      </c>
      <c r="O17249" s="46" t="s">
        <v>123</v>
      </c>
      <c r="P17249" s="46">
        <v>32400.0</v>
      </c>
    </row>
    <row r="17250">
      <c r="A17250" s="40">
        <f t="shared" si="1"/>
        <v>46013</v>
      </c>
      <c r="B17250" s="37" t="str">
        <f t="array" ref="B17250">iferror(xlookup($I17250, 'IMPORT VHC Report'!$E:$E, 'IMPORT VHC Report'!$A:$C), )</f>
        <v/>
      </c>
      <c r="C17250" s="44"/>
      <c r="D17250" s="44"/>
      <c r="E17250" s="46" t="s">
        <v>13461</v>
      </c>
      <c r="F17250" s="46" t="s">
        <v>3770</v>
      </c>
      <c r="G17250" s="46">
        <v>1.0548580059023E13</v>
      </c>
      <c r="H17250" s="46" t="s">
        <v>3771</v>
      </c>
      <c r="I17250" s="46" t="s">
        <v>3772</v>
      </c>
      <c r="J17250" s="46" t="s">
        <v>134</v>
      </c>
      <c r="K17250" s="46" t="s">
        <v>126</v>
      </c>
      <c r="L17250" s="45">
        <v>46016.572916666664</v>
      </c>
      <c r="M17250" s="46" t="s">
        <v>123</v>
      </c>
      <c r="N17250" s="45">
        <v>46016.583333333336</v>
      </c>
      <c r="O17250" s="46" t="s">
        <v>123</v>
      </c>
      <c r="P17250" s="46">
        <v>900.0</v>
      </c>
    </row>
    <row r="17251">
      <c r="A17251" s="40">
        <f t="shared" si="1"/>
        <v>46013</v>
      </c>
      <c r="B17251" s="37" t="str">
        <f t="array" ref="B17251">iferror(xlookup($I17251, 'IMPORT VHC Report'!$E:$E, 'IMPORT VHC Report'!$A:$C), )</f>
        <v/>
      </c>
      <c r="C17251" s="44"/>
      <c r="D17251" s="44"/>
      <c r="E17251" s="46" t="s">
        <v>13462</v>
      </c>
      <c r="F17251" s="46" t="s">
        <v>3770</v>
      </c>
      <c r="G17251" s="46">
        <v>1.0548580059023E13</v>
      </c>
      <c r="H17251" s="46" t="s">
        <v>3771</v>
      </c>
      <c r="I17251" s="46" t="s">
        <v>3772</v>
      </c>
      <c r="J17251" s="46" t="s">
        <v>132</v>
      </c>
      <c r="K17251" s="46" t="s">
        <v>126</v>
      </c>
      <c r="L17251" s="45">
        <v>46016.645833333336</v>
      </c>
      <c r="M17251" s="46" t="s">
        <v>123</v>
      </c>
      <c r="N17251" s="45">
        <v>46016.6875</v>
      </c>
      <c r="O17251" s="46" t="s">
        <v>123</v>
      </c>
      <c r="P17251" s="46">
        <v>3600.0</v>
      </c>
    </row>
    <row r="17252">
      <c r="A17252" s="40">
        <f t="shared" si="1"/>
        <v>46013</v>
      </c>
      <c r="B17252" s="37" t="str">
        <f t="array" ref="B17252">iferror(xlookup($I17252, 'IMPORT VHC Report'!$E:$E, 'IMPORT VHC Report'!$A:$C), )</f>
        <v/>
      </c>
      <c r="C17252" s="44"/>
      <c r="D17252" s="44"/>
      <c r="E17252" s="46" t="s">
        <v>13463</v>
      </c>
      <c r="F17252" s="46" t="s">
        <v>3770</v>
      </c>
      <c r="G17252" s="46">
        <v>1.0548580059023E13</v>
      </c>
      <c r="H17252" s="46" t="s">
        <v>3771</v>
      </c>
      <c r="I17252" s="46" t="s">
        <v>3772</v>
      </c>
      <c r="J17252" s="46" t="s">
        <v>134</v>
      </c>
      <c r="K17252" s="46" t="s">
        <v>126</v>
      </c>
      <c r="L17252" s="45">
        <v>46016.71875</v>
      </c>
      <c r="M17252" s="46" t="s">
        <v>123</v>
      </c>
      <c r="N17252" s="45">
        <v>46016.729166666664</v>
      </c>
      <c r="O17252" s="46" t="s">
        <v>123</v>
      </c>
      <c r="P17252" s="46">
        <v>900.0</v>
      </c>
    </row>
    <row r="17253">
      <c r="A17253" s="40">
        <f t="shared" si="1"/>
        <v>46013</v>
      </c>
      <c r="B17253" s="37" t="str">
        <f t="array" ref="B17253">iferror(xlookup($I17253, 'IMPORT VHC Report'!$E:$E, 'IMPORT VHC Report'!$A:$C), )</f>
        <v/>
      </c>
      <c r="C17253" s="44"/>
      <c r="D17253" s="44"/>
      <c r="E17253" s="46" t="s">
        <v>13464</v>
      </c>
      <c r="F17253" s="46" t="s">
        <v>3770</v>
      </c>
      <c r="G17253" s="46">
        <v>1.0548580059023E13</v>
      </c>
      <c r="H17253" s="46" t="s">
        <v>3771</v>
      </c>
      <c r="I17253" s="46" t="s">
        <v>3772</v>
      </c>
      <c r="J17253" s="46" t="s">
        <v>178</v>
      </c>
      <c r="K17253" s="46" t="s">
        <v>153</v>
      </c>
      <c r="L17253" s="45">
        <v>46017.458333333336</v>
      </c>
      <c r="M17253" s="46" t="s">
        <v>123</v>
      </c>
      <c r="N17253" s="45">
        <v>46017.833333333336</v>
      </c>
      <c r="O17253" s="46" t="s">
        <v>123</v>
      </c>
      <c r="P17253" s="46">
        <v>32400.0</v>
      </c>
      <c r="Q17253" s="46">
        <v>32400.0</v>
      </c>
    </row>
    <row r="17254">
      <c r="A17254" s="40">
        <f t="shared" si="1"/>
        <v>46013</v>
      </c>
      <c r="B17254" s="37" t="str">
        <f t="array" ref="B17254">iferror(xlookup($I17254, 'IMPORT VHC Report'!$E:$E, 'IMPORT VHC Report'!$A:$C), )</f>
        <v/>
      </c>
      <c r="C17254" s="44"/>
      <c r="D17254" s="44"/>
      <c r="E17254" s="46" t="s">
        <v>13465</v>
      </c>
      <c r="F17254" s="46" t="s">
        <v>3770</v>
      </c>
      <c r="G17254" s="46">
        <v>1.0548580059023E13</v>
      </c>
      <c r="H17254" s="46" t="s">
        <v>3771</v>
      </c>
      <c r="I17254" s="46" t="s">
        <v>3772</v>
      </c>
      <c r="J17254" s="46" t="s">
        <v>3745</v>
      </c>
      <c r="K17254" s="46" t="s">
        <v>63</v>
      </c>
      <c r="L17254" s="45">
        <v>46017.458333333336</v>
      </c>
      <c r="M17254" s="46" t="s">
        <v>123</v>
      </c>
      <c r="N17254" s="45">
        <v>46017.833333333336</v>
      </c>
      <c r="O17254" s="46" t="s">
        <v>123</v>
      </c>
      <c r="P17254" s="46">
        <v>32400.0</v>
      </c>
    </row>
    <row r="17255">
      <c r="A17255" s="40">
        <f t="shared" si="1"/>
        <v>46013</v>
      </c>
      <c r="B17255" s="37" t="str">
        <f t="array" ref="B17255">iferror(xlookup($I17255, 'IMPORT VHC Report'!$E:$E, 'IMPORT VHC Report'!$A:$C), )</f>
        <v/>
      </c>
      <c r="C17255" s="44"/>
      <c r="D17255" s="44"/>
      <c r="E17255" s="46" t="s">
        <v>13466</v>
      </c>
      <c r="F17255" s="46" t="s">
        <v>3770</v>
      </c>
      <c r="G17255" s="46">
        <v>1.0548580059023E13</v>
      </c>
      <c r="H17255" s="46" t="s">
        <v>3771</v>
      </c>
      <c r="I17255" s="46" t="s">
        <v>3772</v>
      </c>
      <c r="J17255" s="46" t="s">
        <v>134</v>
      </c>
      <c r="K17255" s="46" t="s">
        <v>126</v>
      </c>
      <c r="L17255" s="45">
        <v>46017.541666666664</v>
      </c>
      <c r="M17255" s="46" t="s">
        <v>123</v>
      </c>
      <c r="N17255" s="45">
        <v>46017.552083333336</v>
      </c>
      <c r="O17255" s="46" t="s">
        <v>123</v>
      </c>
      <c r="P17255" s="46">
        <v>900.0</v>
      </c>
    </row>
    <row r="17256">
      <c r="A17256" s="40">
        <f t="shared" si="1"/>
        <v>46013</v>
      </c>
      <c r="B17256" s="37" t="str">
        <f t="array" ref="B17256">iferror(xlookup($I17256, 'IMPORT VHC Report'!$E:$E, 'IMPORT VHC Report'!$A:$C), )</f>
        <v/>
      </c>
      <c r="C17256" s="44"/>
      <c r="D17256" s="44"/>
      <c r="E17256" s="46" t="s">
        <v>13467</v>
      </c>
      <c r="F17256" s="46" t="s">
        <v>3770</v>
      </c>
      <c r="G17256" s="46">
        <v>1.0548580059023E13</v>
      </c>
      <c r="H17256" s="46" t="s">
        <v>3771</v>
      </c>
      <c r="I17256" s="46" t="s">
        <v>3772</v>
      </c>
      <c r="J17256" s="46" t="s">
        <v>134</v>
      </c>
      <c r="K17256" s="46" t="s">
        <v>126</v>
      </c>
      <c r="L17256" s="45">
        <v>46017.614583333336</v>
      </c>
      <c r="M17256" s="46" t="s">
        <v>123</v>
      </c>
      <c r="N17256" s="45">
        <v>46017.625</v>
      </c>
      <c r="O17256" s="46" t="s">
        <v>123</v>
      </c>
      <c r="P17256" s="46">
        <v>900.0</v>
      </c>
    </row>
    <row r="17257">
      <c r="A17257" s="40">
        <f t="shared" si="1"/>
        <v>46013</v>
      </c>
      <c r="B17257" s="37" t="str">
        <f t="array" ref="B17257">iferror(xlookup($I17257, 'IMPORT VHC Report'!$E:$E, 'IMPORT VHC Report'!$A:$C), )</f>
        <v/>
      </c>
      <c r="C17257" s="44"/>
      <c r="D17257" s="44"/>
      <c r="E17257" s="46" t="s">
        <v>13468</v>
      </c>
      <c r="F17257" s="46" t="s">
        <v>3770</v>
      </c>
      <c r="G17257" s="46">
        <v>1.0548580059023E13</v>
      </c>
      <c r="H17257" s="46" t="s">
        <v>3771</v>
      </c>
      <c r="I17257" s="46" t="s">
        <v>3772</v>
      </c>
      <c r="J17257" s="46" t="s">
        <v>132</v>
      </c>
      <c r="K17257" s="46" t="s">
        <v>126</v>
      </c>
      <c r="L17257" s="45">
        <v>46017.729166666664</v>
      </c>
      <c r="M17257" s="46" t="s">
        <v>123</v>
      </c>
      <c r="N17257" s="45">
        <v>46017.770833333336</v>
      </c>
      <c r="O17257" s="46" t="s">
        <v>123</v>
      </c>
      <c r="P17257" s="46">
        <v>3600.0</v>
      </c>
    </row>
    <row r="17258">
      <c r="A17258" s="40">
        <f t="shared" si="1"/>
        <v>46013</v>
      </c>
      <c r="B17258" s="37" t="str">
        <f t="array" ref="B17258">iferror(xlookup($I17258, 'IMPORT VHC Report'!$E:$E, 'IMPORT VHC Report'!$A:$C), )</f>
        <v/>
      </c>
      <c r="C17258" s="44"/>
      <c r="D17258" s="44"/>
      <c r="E17258" s="46" t="s">
        <v>13469</v>
      </c>
      <c r="F17258" s="46" t="s">
        <v>3796</v>
      </c>
      <c r="G17258" s="46">
        <v>9.903289405711E12</v>
      </c>
      <c r="H17258" s="46" t="s">
        <v>3797</v>
      </c>
      <c r="I17258" s="46" t="s">
        <v>3798</v>
      </c>
      <c r="J17258" s="46" t="s">
        <v>3745</v>
      </c>
      <c r="K17258" s="46" t="s">
        <v>63</v>
      </c>
      <c r="L17258" s="45">
        <v>46013.458333333336</v>
      </c>
      <c r="M17258" s="46" t="s">
        <v>123</v>
      </c>
      <c r="N17258" s="45">
        <v>46013.833333333336</v>
      </c>
      <c r="O17258" s="46" t="s">
        <v>123</v>
      </c>
      <c r="P17258" s="46">
        <v>32400.0</v>
      </c>
    </row>
    <row r="17259">
      <c r="A17259" s="40">
        <f t="shared" si="1"/>
        <v>46013</v>
      </c>
      <c r="B17259" s="37" t="str">
        <f t="array" ref="B17259">iferror(xlookup($I17259, 'IMPORT VHC Report'!$E:$E, 'IMPORT VHC Report'!$A:$C), )</f>
        <v/>
      </c>
      <c r="C17259" s="44"/>
      <c r="D17259" s="44"/>
      <c r="E17259" s="46" t="s">
        <v>13470</v>
      </c>
      <c r="F17259" s="46" t="s">
        <v>3796</v>
      </c>
      <c r="G17259" s="46">
        <v>9.903289405711E12</v>
      </c>
      <c r="H17259" s="46" t="s">
        <v>3797</v>
      </c>
      <c r="I17259" s="46" t="s">
        <v>3798</v>
      </c>
      <c r="J17259" s="46" t="s">
        <v>134</v>
      </c>
      <c r="K17259" s="46" t="s">
        <v>126</v>
      </c>
      <c r="L17259" s="45">
        <v>46013.520833333336</v>
      </c>
      <c r="M17259" s="46" t="s">
        <v>123</v>
      </c>
      <c r="N17259" s="45">
        <v>46013.53125</v>
      </c>
      <c r="O17259" s="46" t="s">
        <v>123</v>
      </c>
      <c r="P17259" s="46">
        <v>900.0</v>
      </c>
    </row>
    <row r="17260">
      <c r="A17260" s="40">
        <f t="shared" si="1"/>
        <v>46013</v>
      </c>
      <c r="B17260" s="37" t="str">
        <f t="array" ref="B17260">iferror(xlookup($I17260, 'IMPORT VHC Report'!$E:$E, 'IMPORT VHC Report'!$A:$C), )</f>
        <v/>
      </c>
      <c r="C17260" s="44"/>
      <c r="D17260" s="44"/>
      <c r="E17260" s="46" t="s">
        <v>13471</v>
      </c>
      <c r="F17260" s="46" t="s">
        <v>3796</v>
      </c>
      <c r="G17260" s="46">
        <v>9.903289405711E12</v>
      </c>
      <c r="H17260" s="46" t="s">
        <v>3797</v>
      </c>
      <c r="I17260" s="46" t="s">
        <v>3798</v>
      </c>
      <c r="J17260" s="46" t="s">
        <v>4</v>
      </c>
      <c r="K17260" s="46" t="s">
        <v>126</v>
      </c>
      <c r="L17260" s="45">
        <v>46013.583333333336</v>
      </c>
      <c r="M17260" s="46" t="s">
        <v>123</v>
      </c>
      <c r="N17260" s="45">
        <v>46013.625</v>
      </c>
      <c r="O17260" s="46" t="s">
        <v>123</v>
      </c>
      <c r="P17260" s="46">
        <v>3600.0</v>
      </c>
      <c r="S17260" s="46" t="s">
        <v>170</v>
      </c>
    </row>
    <row r="17261">
      <c r="A17261" s="40">
        <f t="shared" si="1"/>
        <v>46013</v>
      </c>
      <c r="B17261" s="37" t="str">
        <f t="array" ref="B17261">iferror(xlookup($I17261, 'IMPORT VHC Report'!$E:$E, 'IMPORT VHC Report'!$A:$C), )</f>
        <v/>
      </c>
      <c r="C17261" s="44"/>
      <c r="D17261" s="44"/>
      <c r="E17261" s="46" t="s">
        <v>13472</v>
      </c>
      <c r="F17261" s="46" t="s">
        <v>3796</v>
      </c>
      <c r="G17261" s="46">
        <v>9.903289405711E12</v>
      </c>
      <c r="H17261" s="46" t="s">
        <v>3797</v>
      </c>
      <c r="I17261" s="46" t="s">
        <v>3798</v>
      </c>
      <c r="J17261" s="46" t="s">
        <v>134</v>
      </c>
      <c r="K17261" s="46" t="s">
        <v>126</v>
      </c>
      <c r="L17261" s="45">
        <v>46013.666666666664</v>
      </c>
      <c r="M17261" s="46" t="s">
        <v>123</v>
      </c>
      <c r="N17261" s="45">
        <v>46013.677083333336</v>
      </c>
      <c r="O17261" s="46" t="s">
        <v>123</v>
      </c>
      <c r="P17261" s="46">
        <v>900.0</v>
      </c>
    </row>
    <row r="17262">
      <c r="A17262" s="40">
        <f t="shared" si="1"/>
        <v>46013</v>
      </c>
      <c r="B17262" s="37" t="str">
        <f t="array" ref="B17262">iferror(xlookup($I17262, 'IMPORT VHC Report'!$E:$E, 'IMPORT VHC Report'!$A:$C), )</f>
        <v/>
      </c>
      <c r="C17262" s="44"/>
      <c r="D17262" s="44"/>
      <c r="E17262" s="46" t="s">
        <v>13473</v>
      </c>
      <c r="F17262" s="46" t="s">
        <v>3796</v>
      </c>
      <c r="G17262" s="46">
        <v>9.903289405711E12</v>
      </c>
      <c r="H17262" s="46" t="s">
        <v>3797</v>
      </c>
      <c r="I17262" s="46" t="s">
        <v>3798</v>
      </c>
      <c r="J17262" s="46" t="s">
        <v>132</v>
      </c>
      <c r="K17262" s="46" t="s">
        <v>126</v>
      </c>
      <c r="L17262" s="45">
        <v>46013.708333333336</v>
      </c>
      <c r="M17262" s="46" t="s">
        <v>123</v>
      </c>
      <c r="N17262" s="45">
        <v>46013.75</v>
      </c>
      <c r="O17262" s="46" t="s">
        <v>123</v>
      </c>
      <c r="P17262" s="46">
        <v>3600.0</v>
      </c>
    </row>
    <row r="17263">
      <c r="A17263" s="40">
        <f t="shared" si="1"/>
        <v>46013</v>
      </c>
      <c r="B17263" s="37" t="str">
        <f t="array" ref="B17263">iferror(xlookup($I17263, 'IMPORT VHC Report'!$E:$E, 'IMPORT VHC Report'!$A:$C), )</f>
        <v/>
      </c>
      <c r="C17263" s="44"/>
      <c r="D17263" s="44"/>
      <c r="E17263" s="46" t="s">
        <v>13474</v>
      </c>
      <c r="F17263" s="46" t="s">
        <v>3796</v>
      </c>
      <c r="G17263" s="46">
        <v>9.903289405711E12</v>
      </c>
      <c r="H17263" s="46" t="s">
        <v>3797</v>
      </c>
      <c r="I17263" s="46" t="s">
        <v>3798</v>
      </c>
      <c r="J17263" s="46" t="s">
        <v>3745</v>
      </c>
      <c r="K17263" s="46" t="s">
        <v>63</v>
      </c>
      <c r="L17263" s="45">
        <v>46014.458333333336</v>
      </c>
      <c r="M17263" s="46" t="s">
        <v>123</v>
      </c>
      <c r="N17263" s="45">
        <v>46014.75</v>
      </c>
      <c r="O17263" s="46" t="s">
        <v>123</v>
      </c>
      <c r="P17263" s="46">
        <v>25200.0</v>
      </c>
    </row>
    <row r="17264">
      <c r="A17264" s="40">
        <f t="shared" si="1"/>
        <v>46013</v>
      </c>
      <c r="B17264" s="37" t="str">
        <f t="array" ref="B17264">iferror(xlookup($I17264, 'IMPORT VHC Report'!$E:$E, 'IMPORT VHC Report'!$A:$C), )</f>
        <v/>
      </c>
      <c r="C17264" s="44"/>
      <c r="D17264" s="44"/>
      <c r="E17264" s="46" t="s">
        <v>13475</v>
      </c>
      <c r="F17264" s="46" t="s">
        <v>3796</v>
      </c>
      <c r="G17264" s="46">
        <v>9.903289405711E12</v>
      </c>
      <c r="H17264" s="46" t="s">
        <v>3797</v>
      </c>
      <c r="I17264" s="46" t="s">
        <v>3798</v>
      </c>
      <c r="J17264" s="46" t="s">
        <v>134</v>
      </c>
      <c r="K17264" s="46" t="s">
        <v>126</v>
      </c>
      <c r="L17264" s="45">
        <v>46014.572916666664</v>
      </c>
      <c r="M17264" s="46" t="s">
        <v>123</v>
      </c>
      <c r="N17264" s="45">
        <v>46014.583333333336</v>
      </c>
      <c r="O17264" s="46" t="s">
        <v>123</v>
      </c>
      <c r="P17264" s="46">
        <v>900.0</v>
      </c>
    </row>
    <row r="17265">
      <c r="A17265" s="40">
        <f t="shared" si="1"/>
        <v>46013</v>
      </c>
      <c r="B17265" s="37" t="str">
        <f t="array" ref="B17265">iferror(xlookup($I17265, 'IMPORT VHC Report'!$E:$E, 'IMPORT VHC Report'!$A:$C), )</f>
        <v/>
      </c>
      <c r="C17265" s="44"/>
      <c r="D17265" s="44"/>
      <c r="E17265" s="46" t="s">
        <v>13476</v>
      </c>
      <c r="F17265" s="46" t="s">
        <v>3796</v>
      </c>
      <c r="G17265" s="46">
        <v>9.903289405711E12</v>
      </c>
      <c r="H17265" s="46" t="s">
        <v>3797</v>
      </c>
      <c r="I17265" s="46" t="s">
        <v>3798</v>
      </c>
      <c r="J17265" s="46" t="s">
        <v>134</v>
      </c>
      <c r="K17265" s="46" t="s">
        <v>126</v>
      </c>
      <c r="L17265" s="45">
        <v>46014.739583333336</v>
      </c>
      <c r="M17265" s="46" t="s">
        <v>123</v>
      </c>
      <c r="N17265" s="45">
        <v>46014.75</v>
      </c>
      <c r="O17265" s="46" t="s">
        <v>123</v>
      </c>
      <c r="P17265" s="46">
        <v>900.0</v>
      </c>
    </row>
    <row r="17266">
      <c r="A17266" s="40">
        <f t="shared" si="1"/>
        <v>46013</v>
      </c>
      <c r="B17266" s="37" t="str">
        <f t="array" ref="B17266">iferror(xlookup($I17266, 'IMPORT VHC Report'!$E:$E, 'IMPORT VHC Report'!$A:$C), )</f>
        <v/>
      </c>
      <c r="C17266" s="44"/>
      <c r="D17266" s="44"/>
      <c r="E17266" s="46" t="s">
        <v>13477</v>
      </c>
      <c r="F17266" s="46" t="s">
        <v>3796</v>
      </c>
      <c r="G17266" s="46">
        <v>9.903289405711E12</v>
      </c>
      <c r="H17266" s="46" t="s">
        <v>3797</v>
      </c>
      <c r="I17266" s="46" t="s">
        <v>3798</v>
      </c>
      <c r="J17266" s="46" t="s">
        <v>62</v>
      </c>
      <c r="K17266" s="46" t="s">
        <v>63</v>
      </c>
      <c r="L17266" s="45">
        <v>46014.75</v>
      </c>
      <c r="M17266" s="46" t="s">
        <v>123</v>
      </c>
      <c r="N17266" s="45">
        <v>46014.770833333336</v>
      </c>
      <c r="O17266" s="46" t="s">
        <v>123</v>
      </c>
      <c r="P17266" s="46">
        <v>1800.0</v>
      </c>
    </row>
    <row r="17267">
      <c r="A17267" s="40">
        <f t="shared" si="1"/>
        <v>46013</v>
      </c>
      <c r="B17267" s="37" t="str">
        <f t="array" ref="B17267">iferror(xlookup($I17267, 'IMPORT VHC Report'!$E:$E, 'IMPORT VHC Report'!$A:$C), )</f>
        <v/>
      </c>
      <c r="C17267" s="44"/>
      <c r="D17267" s="44"/>
      <c r="E17267" s="46" t="s">
        <v>13478</v>
      </c>
      <c r="F17267" s="46" t="s">
        <v>3796</v>
      </c>
      <c r="G17267" s="46">
        <v>9.903289405711E12</v>
      </c>
      <c r="H17267" s="46" t="s">
        <v>3797</v>
      </c>
      <c r="I17267" s="46" t="s">
        <v>3798</v>
      </c>
      <c r="J17267" s="46" t="s">
        <v>132</v>
      </c>
      <c r="K17267" s="46" t="s">
        <v>126</v>
      </c>
      <c r="L17267" s="45">
        <v>46014.770833333336</v>
      </c>
      <c r="M17267" s="46" t="s">
        <v>123</v>
      </c>
      <c r="N17267" s="45">
        <v>46014.8125</v>
      </c>
      <c r="O17267" s="46" t="s">
        <v>123</v>
      </c>
      <c r="P17267" s="46">
        <v>3600.0</v>
      </c>
    </row>
    <row r="17268">
      <c r="A17268" s="40">
        <f t="shared" si="1"/>
        <v>46013</v>
      </c>
      <c r="B17268" s="37" t="str">
        <f t="array" ref="B17268">iferror(xlookup($I17268, 'IMPORT VHC Report'!$E:$E, 'IMPORT VHC Report'!$A:$C), )</f>
        <v/>
      </c>
      <c r="C17268" s="44"/>
      <c r="D17268" s="44"/>
      <c r="E17268" s="46" t="s">
        <v>13479</v>
      </c>
      <c r="F17268" s="46" t="s">
        <v>3796</v>
      </c>
      <c r="G17268" s="46">
        <v>9.903289405711E12</v>
      </c>
      <c r="H17268" s="46" t="s">
        <v>3797</v>
      </c>
      <c r="I17268" s="46" t="s">
        <v>3798</v>
      </c>
      <c r="J17268" s="46" t="s">
        <v>3745</v>
      </c>
      <c r="K17268" s="46" t="s">
        <v>63</v>
      </c>
      <c r="L17268" s="45">
        <v>46014.770833333336</v>
      </c>
      <c r="M17268" s="46" t="s">
        <v>123</v>
      </c>
      <c r="N17268" s="45">
        <v>46014.833333333336</v>
      </c>
      <c r="O17268" s="46" t="s">
        <v>123</v>
      </c>
      <c r="P17268" s="46">
        <v>5400.0</v>
      </c>
    </row>
    <row r="17269">
      <c r="A17269" s="40">
        <f t="shared" si="1"/>
        <v>46013</v>
      </c>
      <c r="B17269" s="37" t="str">
        <f t="array" ref="B17269">iferror(xlookup($I17269, 'IMPORT VHC Report'!$E:$E, 'IMPORT VHC Report'!$A:$C), )</f>
        <v/>
      </c>
      <c r="C17269" s="44"/>
      <c r="D17269" s="44"/>
      <c r="E17269" s="46" t="s">
        <v>13480</v>
      </c>
      <c r="F17269" s="46" t="s">
        <v>3796</v>
      </c>
      <c r="G17269" s="46">
        <v>9.903289405711E12</v>
      </c>
      <c r="H17269" s="46" t="s">
        <v>3797</v>
      </c>
      <c r="I17269" s="46" t="s">
        <v>3798</v>
      </c>
      <c r="J17269" s="46" t="s">
        <v>3745</v>
      </c>
      <c r="K17269" s="46" t="s">
        <v>63</v>
      </c>
      <c r="L17269" s="45">
        <v>46015.458333333336</v>
      </c>
      <c r="M17269" s="46" t="s">
        <v>123</v>
      </c>
      <c r="N17269" s="45">
        <v>46015.833333333336</v>
      </c>
      <c r="O17269" s="46" t="s">
        <v>123</v>
      </c>
      <c r="P17269" s="46">
        <v>32400.0</v>
      </c>
    </row>
    <row r="17270">
      <c r="A17270" s="40">
        <f t="shared" si="1"/>
        <v>46013</v>
      </c>
      <c r="B17270" s="37" t="str">
        <f t="array" ref="B17270">iferror(xlookup($I17270, 'IMPORT VHC Report'!$E:$E, 'IMPORT VHC Report'!$A:$C), )</f>
        <v/>
      </c>
      <c r="C17270" s="44"/>
      <c r="D17270" s="44"/>
      <c r="E17270" s="46" t="s">
        <v>13481</v>
      </c>
      <c r="F17270" s="46" t="s">
        <v>3796</v>
      </c>
      <c r="G17270" s="46">
        <v>9.903289405711E12</v>
      </c>
      <c r="H17270" s="46" t="s">
        <v>3797</v>
      </c>
      <c r="I17270" s="46" t="s">
        <v>3798</v>
      </c>
      <c r="J17270" s="46" t="s">
        <v>134</v>
      </c>
      <c r="K17270" s="46" t="s">
        <v>126</v>
      </c>
      <c r="L17270" s="45">
        <v>46015.520833333336</v>
      </c>
      <c r="M17270" s="46" t="s">
        <v>123</v>
      </c>
      <c r="N17270" s="45">
        <v>46015.53125</v>
      </c>
      <c r="O17270" s="46" t="s">
        <v>123</v>
      </c>
      <c r="P17270" s="46">
        <v>900.0</v>
      </c>
    </row>
    <row r="17271">
      <c r="A17271" s="40">
        <f t="shared" si="1"/>
        <v>46013</v>
      </c>
      <c r="B17271" s="37" t="str">
        <f t="array" ref="B17271">iferror(xlookup($I17271, 'IMPORT VHC Report'!$E:$E, 'IMPORT VHC Report'!$A:$C), )</f>
        <v/>
      </c>
      <c r="C17271" s="44"/>
      <c r="D17271" s="44"/>
      <c r="E17271" s="46" t="s">
        <v>13482</v>
      </c>
      <c r="F17271" s="46" t="s">
        <v>3796</v>
      </c>
      <c r="G17271" s="46">
        <v>9.903289405711E12</v>
      </c>
      <c r="H17271" s="46" t="s">
        <v>3797</v>
      </c>
      <c r="I17271" s="46" t="s">
        <v>3798</v>
      </c>
      <c r="J17271" s="46" t="s">
        <v>134</v>
      </c>
      <c r="K17271" s="46" t="s">
        <v>126</v>
      </c>
      <c r="L17271" s="45">
        <v>46015.614583333336</v>
      </c>
      <c r="M17271" s="46" t="s">
        <v>123</v>
      </c>
      <c r="N17271" s="45">
        <v>46015.625</v>
      </c>
      <c r="O17271" s="46" t="s">
        <v>123</v>
      </c>
      <c r="P17271" s="46">
        <v>900.0</v>
      </c>
    </row>
    <row r="17272">
      <c r="A17272" s="40">
        <f t="shared" si="1"/>
        <v>46013</v>
      </c>
      <c r="B17272" s="37" t="str">
        <f t="array" ref="B17272">iferror(xlookup($I17272, 'IMPORT VHC Report'!$E:$E, 'IMPORT VHC Report'!$A:$C), )</f>
        <v/>
      </c>
      <c r="C17272" s="44"/>
      <c r="D17272" s="44"/>
      <c r="E17272" s="46" t="s">
        <v>13483</v>
      </c>
      <c r="F17272" s="46" t="s">
        <v>3796</v>
      </c>
      <c r="G17272" s="46">
        <v>9.903289405711E12</v>
      </c>
      <c r="H17272" s="46" t="s">
        <v>3797</v>
      </c>
      <c r="I17272" s="46" t="s">
        <v>3798</v>
      </c>
      <c r="J17272" s="46" t="s">
        <v>132</v>
      </c>
      <c r="K17272" s="46" t="s">
        <v>126</v>
      </c>
      <c r="L17272" s="45">
        <v>46015.739583333336</v>
      </c>
      <c r="M17272" s="46" t="s">
        <v>123</v>
      </c>
      <c r="N17272" s="45">
        <v>46015.78125</v>
      </c>
      <c r="O17272" s="46" t="s">
        <v>123</v>
      </c>
      <c r="P17272" s="46">
        <v>3600.0</v>
      </c>
    </row>
    <row r="17273">
      <c r="A17273" s="40">
        <f t="shared" si="1"/>
        <v>46013</v>
      </c>
      <c r="B17273" s="37" t="str">
        <f t="array" ref="B17273">iferror(xlookup($I17273, 'IMPORT VHC Report'!$E:$E, 'IMPORT VHC Report'!$A:$C), )</f>
        <v/>
      </c>
      <c r="C17273" s="44"/>
      <c r="D17273" s="44"/>
      <c r="E17273" s="46" t="s">
        <v>13484</v>
      </c>
      <c r="F17273" s="46" t="s">
        <v>3796</v>
      </c>
      <c r="G17273" s="46">
        <v>9.903289405711E12</v>
      </c>
      <c r="H17273" s="46" t="s">
        <v>3797</v>
      </c>
      <c r="I17273" s="46" t="s">
        <v>3798</v>
      </c>
      <c r="J17273" s="46" t="s">
        <v>3745</v>
      </c>
      <c r="K17273" s="46" t="s">
        <v>63</v>
      </c>
      <c r="L17273" s="45">
        <v>46016.458333333336</v>
      </c>
      <c r="M17273" s="46" t="s">
        <v>123</v>
      </c>
      <c r="N17273" s="45">
        <v>46016.833333333336</v>
      </c>
      <c r="O17273" s="46" t="s">
        <v>123</v>
      </c>
      <c r="P17273" s="46">
        <v>32400.0</v>
      </c>
    </row>
    <row r="17274">
      <c r="A17274" s="40">
        <f t="shared" si="1"/>
        <v>46013</v>
      </c>
      <c r="B17274" s="37" t="str">
        <f t="array" ref="B17274">iferror(xlookup($I17274, 'IMPORT VHC Report'!$E:$E, 'IMPORT VHC Report'!$A:$C), )</f>
        <v/>
      </c>
      <c r="C17274" s="44"/>
      <c r="D17274" s="44"/>
      <c r="E17274" s="46" t="s">
        <v>13485</v>
      </c>
      <c r="F17274" s="46" t="s">
        <v>3796</v>
      </c>
      <c r="G17274" s="46">
        <v>9.903289405711E12</v>
      </c>
      <c r="H17274" s="46" t="s">
        <v>3797</v>
      </c>
      <c r="I17274" s="46" t="s">
        <v>3798</v>
      </c>
      <c r="J17274" s="46" t="s">
        <v>134</v>
      </c>
      <c r="K17274" s="46" t="s">
        <v>126</v>
      </c>
      <c r="L17274" s="45">
        <v>46016.583333333336</v>
      </c>
      <c r="M17274" s="46" t="s">
        <v>123</v>
      </c>
      <c r="N17274" s="45">
        <v>46016.59375</v>
      </c>
      <c r="O17274" s="46" t="s">
        <v>123</v>
      </c>
      <c r="P17274" s="46">
        <v>900.0</v>
      </c>
    </row>
    <row r="17275">
      <c r="A17275" s="40">
        <f t="shared" si="1"/>
        <v>46013</v>
      </c>
      <c r="B17275" s="37" t="str">
        <f t="array" ref="B17275">iferror(xlookup($I17275, 'IMPORT VHC Report'!$E:$E, 'IMPORT VHC Report'!$A:$C), )</f>
        <v/>
      </c>
      <c r="C17275" s="44"/>
      <c r="D17275" s="44"/>
      <c r="E17275" s="46" t="s">
        <v>13486</v>
      </c>
      <c r="F17275" s="46" t="s">
        <v>3796</v>
      </c>
      <c r="G17275" s="46">
        <v>9.903289405711E12</v>
      </c>
      <c r="H17275" s="46" t="s">
        <v>3797</v>
      </c>
      <c r="I17275" s="46" t="s">
        <v>3798</v>
      </c>
      <c r="J17275" s="46" t="s">
        <v>132</v>
      </c>
      <c r="K17275" s="46" t="s">
        <v>126</v>
      </c>
      <c r="L17275" s="45">
        <v>46016.65625</v>
      </c>
      <c r="M17275" s="46" t="s">
        <v>123</v>
      </c>
      <c r="N17275" s="45">
        <v>46016.697916666664</v>
      </c>
      <c r="O17275" s="46" t="s">
        <v>123</v>
      </c>
      <c r="P17275" s="46">
        <v>3600.0</v>
      </c>
    </row>
    <row r="17276">
      <c r="A17276" s="40">
        <f t="shared" si="1"/>
        <v>46013</v>
      </c>
      <c r="B17276" s="37" t="str">
        <f t="array" ref="B17276">iferror(xlookup($I17276, 'IMPORT VHC Report'!$E:$E, 'IMPORT VHC Report'!$A:$C), )</f>
        <v/>
      </c>
      <c r="C17276" s="44"/>
      <c r="D17276" s="44"/>
      <c r="E17276" s="46" t="s">
        <v>13487</v>
      </c>
      <c r="F17276" s="46" t="s">
        <v>3796</v>
      </c>
      <c r="G17276" s="46">
        <v>9.903289405711E12</v>
      </c>
      <c r="H17276" s="46" t="s">
        <v>3797</v>
      </c>
      <c r="I17276" s="46" t="s">
        <v>3798</v>
      </c>
      <c r="J17276" s="46" t="s">
        <v>134</v>
      </c>
      <c r="K17276" s="46" t="s">
        <v>126</v>
      </c>
      <c r="L17276" s="45">
        <v>46016.71875</v>
      </c>
      <c r="M17276" s="46" t="s">
        <v>123</v>
      </c>
      <c r="N17276" s="45">
        <v>46016.729166666664</v>
      </c>
      <c r="O17276" s="46" t="s">
        <v>123</v>
      </c>
      <c r="P17276" s="46">
        <v>900.0</v>
      </c>
    </row>
    <row r="17277">
      <c r="A17277" s="40">
        <f t="shared" si="1"/>
        <v>46013</v>
      </c>
      <c r="B17277" s="37" t="str">
        <f t="array" ref="B17277">iferror(xlookup($I17277, 'IMPORT VHC Report'!$E:$E, 'IMPORT VHC Report'!$A:$C), )</f>
        <v/>
      </c>
      <c r="C17277" s="44"/>
      <c r="D17277" s="44"/>
      <c r="E17277" s="46" t="s">
        <v>13488</v>
      </c>
      <c r="F17277" s="46" t="s">
        <v>3796</v>
      </c>
      <c r="G17277" s="46">
        <v>9.903289405711E12</v>
      </c>
      <c r="H17277" s="46" t="s">
        <v>3797</v>
      </c>
      <c r="I17277" s="46" t="s">
        <v>3798</v>
      </c>
      <c r="J17277" s="46" t="s">
        <v>3745</v>
      </c>
      <c r="K17277" s="46" t="s">
        <v>63</v>
      </c>
      <c r="L17277" s="45">
        <v>46017.458333333336</v>
      </c>
      <c r="M17277" s="46" t="s">
        <v>123</v>
      </c>
      <c r="N17277" s="45">
        <v>46017.833333333336</v>
      </c>
      <c r="O17277" s="46" t="s">
        <v>123</v>
      </c>
      <c r="P17277" s="46">
        <v>32400.0</v>
      </c>
    </row>
    <row r="17278">
      <c r="A17278" s="40">
        <f t="shared" si="1"/>
        <v>46013</v>
      </c>
      <c r="B17278" s="37" t="str">
        <f t="array" ref="B17278">iferror(xlookup($I17278, 'IMPORT VHC Report'!$E:$E, 'IMPORT VHC Report'!$A:$C), )</f>
        <v/>
      </c>
      <c r="C17278" s="44"/>
      <c r="D17278" s="44"/>
      <c r="E17278" s="46" t="s">
        <v>13489</v>
      </c>
      <c r="F17278" s="46" t="s">
        <v>3796</v>
      </c>
      <c r="G17278" s="46">
        <v>9.903289405711E12</v>
      </c>
      <c r="H17278" s="46" t="s">
        <v>3797</v>
      </c>
      <c r="I17278" s="46" t="s">
        <v>3798</v>
      </c>
      <c r="J17278" s="46" t="s">
        <v>134</v>
      </c>
      <c r="K17278" s="46" t="s">
        <v>126</v>
      </c>
      <c r="L17278" s="45">
        <v>46017.552083333336</v>
      </c>
      <c r="M17278" s="46" t="s">
        <v>123</v>
      </c>
      <c r="N17278" s="45">
        <v>46017.5625</v>
      </c>
      <c r="O17278" s="46" t="s">
        <v>123</v>
      </c>
      <c r="P17278" s="46">
        <v>900.0</v>
      </c>
    </row>
    <row r="17279">
      <c r="A17279" s="40">
        <f t="shared" si="1"/>
        <v>46013</v>
      </c>
      <c r="B17279" s="37" t="str">
        <f t="array" ref="B17279">iferror(xlookup($I17279, 'IMPORT VHC Report'!$E:$E, 'IMPORT VHC Report'!$A:$C), )</f>
        <v/>
      </c>
      <c r="C17279" s="44"/>
      <c r="D17279" s="44"/>
      <c r="E17279" s="46" t="s">
        <v>13490</v>
      </c>
      <c r="F17279" s="46" t="s">
        <v>3796</v>
      </c>
      <c r="G17279" s="46">
        <v>9.903289405711E12</v>
      </c>
      <c r="H17279" s="46" t="s">
        <v>3797</v>
      </c>
      <c r="I17279" s="46" t="s">
        <v>3798</v>
      </c>
      <c r="J17279" s="46" t="s">
        <v>134</v>
      </c>
      <c r="K17279" s="46" t="s">
        <v>126</v>
      </c>
      <c r="L17279" s="45">
        <v>46017.729166666664</v>
      </c>
      <c r="M17279" s="46" t="s">
        <v>123</v>
      </c>
      <c r="N17279" s="45">
        <v>46017.739583333336</v>
      </c>
      <c r="O17279" s="46" t="s">
        <v>123</v>
      </c>
      <c r="P17279" s="46">
        <v>900.0</v>
      </c>
    </row>
    <row r="17280">
      <c r="A17280" s="40">
        <f t="shared" si="1"/>
        <v>46013</v>
      </c>
      <c r="B17280" s="37" t="str">
        <f t="array" ref="B17280">iferror(xlookup($I17280, 'IMPORT VHC Report'!$E:$E, 'IMPORT VHC Report'!$A:$C), )</f>
        <v/>
      </c>
      <c r="C17280" s="44"/>
      <c r="D17280" s="44"/>
      <c r="E17280" s="46" t="s">
        <v>13491</v>
      </c>
      <c r="F17280" s="46" t="s">
        <v>3796</v>
      </c>
      <c r="G17280" s="46">
        <v>9.903289405711E12</v>
      </c>
      <c r="H17280" s="46" t="s">
        <v>3797</v>
      </c>
      <c r="I17280" s="46" t="s">
        <v>3798</v>
      </c>
      <c r="J17280" s="46" t="s">
        <v>132</v>
      </c>
      <c r="K17280" s="46" t="s">
        <v>126</v>
      </c>
      <c r="L17280" s="45">
        <v>46017.78125</v>
      </c>
      <c r="M17280" s="46" t="s">
        <v>123</v>
      </c>
      <c r="N17280" s="45">
        <v>46017.822916666664</v>
      </c>
      <c r="O17280" s="46" t="s">
        <v>123</v>
      </c>
      <c r="P17280" s="46">
        <v>3600.0</v>
      </c>
    </row>
    <row r="17281">
      <c r="A17281" s="40">
        <f t="shared" si="1"/>
        <v>46013</v>
      </c>
      <c r="B17281" s="37" t="str">
        <f t="array" ref="B17281">iferror(xlookup($I17281, 'IMPORT VHC Report'!$E:$E, 'IMPORT VHC Report'!$A:$C), )</f>
        <v/>
      </c>
      <c r="C17281" s="44"/>
      <c r="D17281" s="44"/>
      <c r="E17281" s="46" t="s">
        <v>13492</v>
      </c>
      <c r="F17281" s="46" t="s">
        <v>3821</v>
      </c>
      <c r="G17281" s="46">
        <v>9.903274706831E12</v>
      </c>
      <c r="H17281" s="46" t="s">
        <v>3822</v>
      </c>
      <c r="I17281" s="46" t="s">
        <v>3823</v>
      </c>
      <c r="J17281" s="46" t="s">
        <v>3745</v>
      </c>
      <c r="K17281" s="46" t="s">
        <v>63</v>
      </c>
      <c r="L17281" s="45">
        <v>46013.458333333336</v>
      </c>
      <c r="M17281" s="46" t="s">
        <v>123</v>
      </c>
      <c r="N17281" s="45">
        <v>46013.833333333336</v>
      </c>
      <c r="O17281" s="46" t="s">
        <v>123</v>
      </c>
      <c r="P17281" s="46">
        <v>32400.0</v>
      </c>
    </row>
    <row r="17282">
      <c r="A17282" s="40">
        <f t="shared" si="1"/>
        <v>46013</v>
      </c>
      <c r="B17282" s="37" t="str">
        <f t="array" ref="B17282">iferror(xlookup($I17282, 'IMPORT VHC Report'!$E:$E, 'IMPORT VHC Report'!$A:$C), )</f>
        <v/>
      </c>
      <c r="C17282" s="44"/>
      <c r="D17282" s="44"/>
      <c r="E17282" s="46" t="s">
        <v>13493</v>
      </c>
      <c r="F17282" s="46" t="s">
        <v>3821</v>
      </c>
      <c r="G17282" s="46">
        <v>9.903274706831E12</v>
      </c>
      <c r="H17282" s="46" t="s">
        <v>3822</v>
      </c>
      <c r="I17282" s="46" t="s">
        <v>3823</v>
      </c>
      <c r="J17282" s="46" t="s">
        <v>134</v>
      </c>
      <c r="K17282" s="46" t="s">
        <v>126</v>
      </c>
      <c r="L17282" s="45">
        <v>46013.552083333336</v>
      </c>
      <c r="M17282" s="46" t="s">
        <v>123</v>
      </c>
      <c r="N17282" s="45">
        <v>46013.5625</v>
      </c>
      <c r="O17282" s="46" t="s">
        <v>123</v>
      </c>
      <c r="P17282" s="46">
        <v>900.0</v>
      </c>
    </row>
    <row r="17283">
      <c r="A17283" s="40">
        <f t="shared" si="1"/>
        <v>46013</v>
      </c>
      <c r="B17283" s="37" t="str">
        <f t="array" ref="B17283">iferror(xlookup($I17283, 'IMPORT VHC Report'!$E:$E, 'IMPORT VHC Report'!$A:$C), )</f>
        <v/>
      </c>
      <c r="C17283" s="44"/>
      <c r="D17283" s="44"/>
      <c r="E17283" s="46" t="s">
        <v>13494</v>
      </c>
      <c r="F17283" s="46" t="s">
        <v>3821</v>
      </c>
      <c r="G17283" s="46">
        <v>9.903274706831E12</v>
      </c>
      <c r="H17283" s="46" t="s">
        <v>3822</v>
      </c>
      <c r="I17283" s="46" t="s">
        <v>3823</v>
      </c>
      <c r="J17283" s="46" t="s">
        <v>134</v>
      </c>
      <c r="K17283" s="46" t="s">
        <v>126</v>
      </c>
      <c r="L17283" s="45">
        <v>46013.614583333336</v>
      </c>
      <c r="M17283" s="46" t="s">
        <v>123</v>
      </c>
      <c r="N17283" s="45">
        <v>46013.625</v>
      </c>
      <c r="O17283" s="46" t="s">
        <v>123</v>
      </c>
      <c r="P17283" s="46">
        <v>900.0</v>
      </c>
    </row>
    <row r="17284">
      <c r="A17284" s="40">
        <f t="shared" si="1"/>
        <v>46013</v>
      </c>
      <c r="B17284" s="37" t="str">
        <f t="array" ref="B17284">iferror(xlookup($I17284, 'IMPORT VHC Report'!$E:$E, 'IMPORT VHC Report'!$A:$C), )</f>
        <v/>
      </c>
      <c r="C17284" s="44"/>
      <c r="D17284" s="44"/>
      <c r="E17284" s="46" t="s">
        <v>13495</v>
      </c>
      <c r="F17284" s="46" t="s">
        <v>3821</v>
      </c>
      <c r="G17284" s="46">
        <v>9.903274706831E12</v>
      </c>
      <c r="H17284" s="46" t="s">
        <v>3822</v>
      </c>
      <c r="I17284" s="46" t="s">
        <v>3823</v>
      </c>
      <c r="J17284" s="46" t="s">
        <v>132</v>
      </c>
      <c r="K17284" s="46" t="s">
        <v>126</v>
      </c>
      <c r="L17284" s="45">
        <v>46013.729166666664</v>
      </c>
      <c r="M17284" s="46" t="s">
        <v>123</v>
      </c>
      <c r="N17284" s="45">
        <v>46013.770833333336</v>
      </c>
      <c r="O17284" s="46" t="s">
        <v>123</v>
      </c>
      <c r="P17284" s="46">
        <v>3600.0</v>
      </c>
    </row>
    <row r="17285">
      <c r="A17285" s="40">
        <f t="shared" si="1"/>
        <v>46013</v>
      </c>
      <c r="B17285" s="37" t="str">
        <f t="array" ref="B17285">iferror(xlookup($I17285, 'IMPORT VHC Report'!$E:$E, 'IMPORT VHC Report'!$A:$C), )</f>
        <v/>
      </c>
      <c r="C17285" s="44"/>
      <c r="D17285" s="44"/>
      <c r="E17285" s="46" t="s">
        <v>13496</v>
      </c>
      <c r="F17285" s="46" t="s">
        <v>3821</v>
      </c>
      <c r="G17285" s="46">
        <v>9.903274706831E12</v>
      </c>
      <c r="H17285" s="46" t="s">
        <v>3822</v>
      </c>
      <c r="I17285" s="46" t="s">
        <v>3823</v>
      </c>
      <c r="J17285" s="46" t="s">
        <v>3745</v>
      </c>
      <c r="K17285" s="46" t="s">
        <v>63</v>
      </c>
      <c r="L17285" s="45">
        <v>46014.458333333336</v>
      </c>
      <c r="M17285" s="46" t="s">
        <v>123</v>
      </c>
      <c r="N17285" s="45">
        <v>46014.833333333336</v>
      </c>
      <c r="O17285" s="46" t="s">
        <v>123</v>
      </c>
      <c r="P17285" s="46">
        <v>32400.0</v>
      </c>
    </row>
    <row r="17286">
      <c r="A17286" s="40">
        <f t="shared" si="1"/>
        <v>46013</v>
      </c>
      <c r="B17286" s="37" t="str">
        <f t="array" ref="B17286">iferror(xlookup($I17286, 'IMPORT VHC Report'!$E:$E, 'IMPORT VHC Report'!$A:$C), )</f>
        <v/>
      </c>
      <c r="C17286" s="44"/>
      <c r="D17286" s="44"/>
      <c r="E17286" s="46" t="s">
        <v>13497</v>
      </c>
      <c r="F17286" s="46" t="s">
        <v>3821</v>
      </c>
      <c r="G17286" s="46">
        <v>9.903274706831E12</v>
      </c>
      <c r="H17286" s="46" t="s">
        <v>3822</v>
      </c>
      <c r="I17286" s="46" t="s">
        <v>3823</v>
      </c>
      <c r="J17286" s="46" t="s">
        <v>134</v>
      </c>
      <c r="K17286" s="46" t="s">
        <v>126</v>
      </c>
      <c r="L17286" s="45">
        <v>46014.59375</v>
      </c>
      <c r="M17286" s="46" t="s">
        <v>123</v>
      </c>
      <c r="N17286" s="45">
        <v>46014.604166666664</v>
      </c>
      <c r="O17286" s="46" t="s">
        <v>123</v>
      </c>
      <c r="P17286" s="46">
        <v>900.0</v>
      </c>
    </row>
    <row r="17287">
      <c r="A17287" s="40">
        <f t="shared" si="1"/>
        <v>46013</v>
      </c>
      <c r="B17287" s="37" t="str">
        <f t="array" ref="B17287">iferror(xlookup($I17287, 'IMPORT VHC Report'!$E:$E, 'IMPORT VHC Report'!$A:$C), )</f>
        <v/>
      </c>
      <c r="C17287" s="44"/>
      <c r="D17287" s="44"/>
      <c r="E17287" s="46" t="s">
        <v>13498</v>
      </c>
      <c r="F17287" s="46" t="s">
        <v>3821</v>
      </c>
      <c r="G17287" s="46">
        <v>9.903274706831E12</v>
      </c>
      <c r="H17287" s="46" t="s">
        <v>3822</v>
      </c>
      <c r="I17287" s="46" t="s">
        <v>3823</v>
      </c>
      <c r="J17287" s="46" t="s">
        <v>134</v>
      </c>
      <c r="K17287" s="46" t="s">
        <v>126</v>
      </c>
      <c r="L17287" s="45">
        <v>46014.677083333336</v>
      </c>
      <c r="M17287" s="46" t="s">
        <v>123</v>
      </c>
      <c r="N17287" s="45">
        <v>46014.6875</v>
      </c>
      <c r="O17287" s="46" t="s">
        <v>123</v>
      </c>
      <c r="P17287" s="46">
        <v>900.0</v>
      </c>
    </row>
    <row r="17288">
      <c r="A17288" s="40">
        <f t="shared" si="1"/>
        <v>46013</v>
      </c>
      <c r="B17288" s="37" t="str">
        <f t="array" ref="B17288">iferror(xlookup($I17288, 'IMPORT VHC Report'!$E:$E, 'IMPORT VHC Report'!$A:$C), )</f>
        <v/>
      </c>
      <c r="C17288" s="44"/>
      <c r="D17288" s="44"/>
      <c r="E17288" s="46" t="s">
        <v>13499</v>
      </c>
      <c r="F17288" s="46" t="s">
        <v>3821</v>
      </c>
      <c r="G17288" s="46">
        <v>9.903274706831E12</v>
      </c>
      <c r="H17288" s="46" t="s">
        <v>3822</v>
      </c>
      <c r="I17288" s="46" t="s">
        <v>3823</v>
      </c>
      <c r="J17288" s="46" t="s">
        <v>132</v>
      </c>
      <c r="K17288" s="46" t="s">
        <v>126</v>
      </c>
      <c r="L17288" s="45">
        <v>46014.78125</v>
      </c>
      <c r="M17288" s="46" t="s">
        <v>123</v>
      </c>
      <c r="N17288" s="45">
        <v>46014.822916666664</v>
      </c>
      <c r="O17288" s="46" t="s">
        <v>123</v>
      </c>
      <c r="P17288" s="46">
        <v>3600.0</v>
      </c>
    </row>
    <row r="17289">
      <c r="A17289" s="40">
        <f t="shared" si="1"/>
        <v>46013</v>
      </c>
      <c r="B17289" s="37" t="str">
        <f t="array" ref="B17289">iferror(xlookup($I17289, 'IMPORT VHC Report'!$E:$E, 'IMPORT VHC Report'!$A:$C), )</f>
        <v/>
      </c>
      <c r="C17289" s="44"/>
      <c r="D17289" s="44"/>
      <c r="E17289" s="46" t="s">
        <v>13500</v>
      </c>
      <c r="F17289" s="46" t="s">
        <v>3821</v>
      </c>
      <c r="G17289" s="46">
        <v>9.903274706831E12</v>
      </c>
      <c r="H17289" s="46" t="s">
        <v>3822</v>
      </c>
      <c r="I17289" s="46" t="s">
        <v>3823</v>
      </c>
      <c r="J17289" s="46" t="s">
        <v>3745</v>
      </c>
      <c r="K17289" s="46" t="s">
        <v>63</v>
      </c>
      <c r="L17289" s="45">
        <v>46015.458333333336</v>
      </c>
      <c r="M17289" s="46" t="s">
        <v>123</v>
      </c>
      <c r="N17289" s="45">
        <v>46015.833333333336</v>
      </c>
      <c r="O17289" s="46" t="s">
        <v>123</v>
      </c>
      <c r="P17289" s="46">
        <v>32400.0</v>
      </c>
    </row>
    <row r="17290">
      <c r="A17290" s="40">
        <f t="shared" si="1"/>
        <v>46013</v>
      </c>
      <c r="B17290" s="37" t="str">
        <f t="array" ref="B17290">iferror(xlookup($I17290, 'IMPORT VHC Report'!$E:$E, 'IMPORT VHC Report'!$A:$C), )</f>
        <v/>
      </c>
      <c r="C17290" s="44"/>
      <c r="D17290" s="44"/>
      <c r="E17290" s="46" t="s">
        <v>13501</v>
      </c>
      <c r="F17290" s="46" t="s">
        <v>3821</v>
      </c>
      <c r="G17290" s="46">
        <v>9.903274706831E12</v>
      </c>
      <c r="H17290" s="46" t="s">
        <v>3822</v>
      </c>
      <c r="I17290" s="46" t="s">
        <v>3823</v>
      </c>
      <c r="J17290" s="46" t="s">
        <v>134</v>
      </c>
      <c r="K17290" s="46" t="s">
        <v>126</v>
      </c>
      <c r="L17290" s="45">
        <v>46015.541666666664</v>
      </c>
      <c r="M17290" s="46" t="s">
        <v>123</v>
      </c>
      <c r="N17290" s="45">
        <v>46015.552083333336</v>
      </c>
      <c r="O17290" s="46" t="s">
        <v>123</v>
      </c>
      <c r="P17290" s="46">
        <v>900.0</v>
      </c>
    </row>
    <row r="17291">
      <c r="A17291" s="40">
        <f t="shared" si="1"/>
        <v>46013</v>
      </c>
      <c r="B17291" s="37" t="str">
        <f t="array" ref="B17291">iferror(xlookup($I17291, 'IMPORT VHC Report'!$E:$E, 'IMPORT VHC Report'!$A:$C), )</f>
        <v/>
      </c>
      <c r="C17291" s="44"/>
      <c r="D17291" s="44"/>
      <c r="E17291" s="46" t="s">
        <v>13502</v>
      </c>
      <c r="F17291" s="46" t="s">
        <v>3821</v>
      </c>
      <c r="G17291" s="46">
        <v>9.903274706831E12</v>
      </c>
      <c r="H17291" s="46" t="s">
        <v>3822</v>
      </c>
      <c r="I17291" s="46" t="s">
        <v>3823</v>
      </c>
      <c r="J17291" s="46" t="s">
        <v>134</v>
      </c>
      <c r="K17291" s="46" t="s">
        <v>126</v>
      </c>
      <c r="L17291" s="45">
        <v>46015.604166666664</v>
      </c>
      <c r="M17291" s="46" t="s">
        <v>123</v>
      </c>
      <c r="N17291" s="45">
        <v>46015.614583333336</v>
      </c>
      <c r="O17291" s="46" t="s">
        <v>123</v>
      </c>
      <c r="P17291" s="46">
        <v>900.0</v>
      </c>
    </row>
    <row r="17292">
      <c r="A17292" s="40">
        <f t="shared" si="1"/>
        <v>46013</v>
      </c>
      <c r="B17292" s="37" t="str">
        <f t="array" ref="B17292">iferror(xlookup($I17292, 'IMPORT VHC Report'!$E:$E, 'IMPORT VHC Report'!$A:$C), )</f>
        <v/>
      </c>
      <c r="C17292" s="44"/>
      <c r="D17292" s="44"/>
      <c r="E17292" s="46" t="s">
        <v>13503</v>
      </c>
      <c r="F17292" s="46" t="s">
        <v>3821</v>
      </c>
      <c r="G17292" s="46">
        <v>9.903274706831E12</v>
      </c>
      <c r="H17292" s="46" t="s">
        <v>3822</v>
      </c>
      <c r="I17292" s="46" t="s">
        <v>3823</v>
      </c>
      <c r="J17292" s="46" t="s">
        <v>132</v>
      </c>
      <c r="K17292" s="46" t="s">
        <v>126</v>
      </c>
      <c r="L17292" s="45">
        <v>46015.71875</v>
      </c>
      <c r="M17292" s="46" t="s">
        <v>123</v>
      </c>
      <c r="N17292" s="45">
        <v>46015.760416666664</v>
      </c>
      <c r="O17292" s="46" t="s">
        <v>123</v>
      </c>
      <c r="P17292" s="46">
        <v>3600.0</v>
      </c>
    </row>
    <row r="17293">
      <c r="A17293" s="40">
        <f t="shared" si="1"/>
        <v>46013</v>
      </c>
      <c r="B17293" s="37" t="str">
        <f t="array" ref="B17293">iferror(xlookup($I17293, 'IMPORT VHC Report'!$E:$E, 'IMPORT VHC Report'!$A:$C), )</f>
        <v/>
      </c>
      <c r="C17293" s="44"/>
      <c r="D17293" s="44"/>
      <c r="E17293" s="46" t="s">
        <v>13504</v>
      </c>
      <c r="F17293" s="46" t="s">
        <v>3821</v>
      </c>
      <c r="G17293" s="46">
        <v>9.903274706831E12</v>
      </c>
      <c r="H17293" s="46" t="s">
        <v>3822</v>
      </c>
      <c r="I17293" s="46" t="s">
        <v>3823</v>
      </c>
      <c r="J17293" s="46" t="s">
        <v>3745</v>
      </c>
      <c r="K17293" s="46" t="s">
        <v>63</v>
      </c>
      <c r="L17293" s="45">
        <v>46016.458333333336</v>
      </c>
      <c r="M17293" s="46" t="s">
        <v>123</v>
      </c>
      <c r="N17293" s="45">
        <v>46016.833333333336</v>
      </c>
      <c r="O17293" s="46" t="s">
        <v>123</v>
      </c>
      <c r="P17293" s="46">
        <v>32400.0</v>
      </c>
    </row>
    <row r="17294">
      <c r="A17294" s="40">
        <f t="shared" si="1"/>
        <v>46013</v>
      </c>
      <c r="B17294" s="37" t="str">
        <f t="array" ref="B17294">iferror(xlookup($I17294, 'IMPORT VHC Report'!$E:$E, 'IMPORT VHC Report'!$A:$C), )</f>
        <v/>
      </c>
      <c r="C17294" s="44"/>
      <c r="D17294" s="44"/>
      <c r="E17294" s="46" t="s">
        <v>13505</v>
      </c>
      <c r="F17294" s="46" t="s">
        <v>3821</v>
      </c>
      <c r="G17294" s="46">
        <v>9.903274706831E12</v>
      </c>
      <c r="H17294" s="46" t="s">
        <v>3822</v>
      </c>
      <c r="I17294" s="46" t="s">
        <v>3823</v>
      </c>
      <c r="J17294" s="46" t="s">
        <v>134</v>
      </c>
      <c r="K17294" s="46" t="s">
        <v>126</v>
      </c>
      <c r="L17294" s="45">
        <v>46016.552083333336</v>
      </c>
      <c r="M17294" s="46" t="s">
        <v>123</v>
      </c>
      <c r="N17294" s="45">
        <v>46016.5625</v>
      </c>
      <c r="O17294" s="46" t="s">
        <v>123</v>
      </c>
      <c r="P17294" s="46">
        <v>900.0</v>
      </c>
    </row>
    <row r="17295">
      <c r="A17295" s="40">
        <f t="shared" si="1"/>
        <v>46013</v>
      </c>
      <c r="B17295" s="37" t="str">
        <f t="array" ref="B17295">iferror(xlookup($I17295, 'IMPORT VHC Report'!$E:$E, 'IMPORT VHC Report'!$A:$C), )</f>
        <v/>
      </c>
      <c r="C17295" s="44"/>
      <c r="D17295" s="44"/>
      <c r="E17295" s="46" t="s">
        <v>13506</v>
      </c>
      <c r="F17295" s="46" t="s">
        <v>3821</v>
      </c>
      <c r="G17295" s="46">
        <v>9.903274706831E12</v>
      </c>
      <c r="H17295" s="46" t="s">
        <v>3822</v>
      </c>
      <c r="I17295" s="46" t="s">
        <v>3823</v>
      </c>
      <c r="J17295" s="46" t="s">
        <v>134</v>
      </c>
      <c r="K17295" s="46" t="s">
        <v>126</v>
      </c>
      <c r="L17295" s="45">
        <v>46016.625</v>
      </c>
      <c r="M17295" s="46" t="s">
        <v>123</v>
      </c>
      <c r="N17295" s="45">
        <v>46016.635416666664</v>
      </c>
      <c r="O17295" s="46" t="s">
        <v>123</v>
      </c>
      <c r="P17295" s="46">
        <v>900.0</v>
      </c>
    </row>
    <row r="17296">
      <c r="A17296" s="40">
        <f t="shared" si="1"/>
        <v>46013</v>
      </c>
      <c r="B17296" s="37" t="str">
        <f t="array" ref="B17296">iferror(xlookup($I17296, 'IMPORT VHC Report'!$E:$E, 'IMPORT VHC Report'!$A:$C), )</f>
        <v/>
      </c>
      <c r="C17296" s="44"/>
      <c r="D17296" s="44"/>
      <c r="E17296" s="46" t="s">
        <v>13507</v>
      </c>
      <c r="F17296" s="46" t="s">
        <v>3821</v>
      </c>
      <c r="G17296" s="46">
        <v>9.903274706831E12</v>
      </c>
      <c r="H17296" s="46" t="s">
        <v>3822</v>
      </c>
      <c r="I17296" s="46" t="s">
        <v>3823</v>
      </c>
      <c r="J17296" s="46" t="s">
        <v>132</v>
      </c>
      <c r="K17296" s="46" t="s">
        <v>126</v>
      </c>
      <c r="L17296" s="45">
        <v>46016.6875</v>
      </c>
      <c r="M17296" s="46" t="s">
        <v>123</v>
      </c>
      <c r="N17296" s="45">
        <v>46016.729166666664</v>
      </c>
      <c r="O17296" s="46" t="s">
        <v>123</v>
      </c>
      <c r="P17296" s="46">
        <v>3600.0</v>
      </c>
    </row>
    <row r="17297">
      <c r="A17297" s="40">
        <f t="shared" si="1"/>
        <v>46013</v>
      </c>
      <c r="B17297" s="37" t="str">
        <f t="array" ref="B17297">iferror(xlookup($I17297, 'IMPORT VHC Report'!$E:$E, 'IMPORT VHC Report'!$A:$C), )</f>
        <v/>
      </c>
      <c r="C17297" s="44"/>
      <c r="D17297" s="44"/>
      <c r="E17297" s="46" t="s">
        <v>13508</v>
      </c>
      <c r="F17297" s="46" t="s">
        <v>3821</v>
      </c>
      <c r="G17297" s="46">
        <v>9.903274706831E12</v>
      </c>
      <c r="H17297" s="46" t="s">
        <v>3822</v>
      </c>
      <c r="I17297" s="46" t="s">
        <v>3823</v>
      </c>
      <c r="J17297" s="46" t="s">
        <v>3745</v>
      </c>
      <c r="K17297" s="46" t="s">
        <v>63</v>
      </c>
      <c r="L17297" s="45">
        <v>46017.458333333336</v>
      </c>
      <c r="M17297" s="46" t="s">
        <v>123</v>
      </c>
      <c r="N17297" s="45">
        <v>46017.833333333336</v>
      </c>
      <c r="O17297" s="46" t="s">
        <v>123</v>
      </c>
      <c r="P17297" s="46">
        <v>32400.0</v>
      </c>
    </row>
    <row r="17298">
      <c r="A17298" s="40">
        <f t="shared" si="1"/>
        <v>46013</v>
      </c>
      <c r="B17298" s="37" t="str">
        <f t="array" ref="B17298">iferror(xlookup($I17298, 'IMPORT VHC Report'!$E:$E, 'IMPORT VHC Report'!$A:$C), )</f>
        <v/>
      </c>
      <c r="C17298" s="44"/>
      <c r="D17298" s="44"/>
      <c r="E17298" s="46" t="s">
        <v>13509</v>
      </c>
      <c r="F17298" s="46" t="s">
        <v>3821</v>
      </c>
      <c r="G17298" s="46">
        <v>9.903274706831E12</v>
      </c>
      <c r="H17298" s="46" t="s">
        <v>3822</v>
      </c>
      <c r="I17298" s="46" t="s">
        <v>3823</v>
      </c>
      <c r="J17298" s="46" t="s">
        <v>134</v>
      </c>
      <c r="K17298" s="46" t="s">
        <v>126</v>
      </c>
      <c r="L17298" s="45">
        <v>46017.552083333336</v>
      </c>
      <c r="M17298" s="46" t="s">
        <v>123</v>
      </c>
      <c r="N17298" s="45">
        <v>46017.5625</v>
      </c>
      <c r="O17298" s="46" t="s">
        <v>123</v>
      </c>
      <c r="P17298" s="46">
        <v>900.0</v>
      </c>
    </row>
    <row r="17299">
      <c r="A17299" s="40">
        <f t="shared" si="1"/>
        <v>46013</v>
      </c>
      <c r="B17299" s="37" t="str">
        <f t="array" ref="B17299">iferror(xlookup($I17299, 'IMPORT VHC Report'!$E:$E, 'IMPORT VHC Report'!$A:$C), )</f>
        <v/>
      </c>
      <c r="C17299" s="44"/>
      <c r="D17299" s="44"/>
      <c r="E17299" s="46" t="s">
        <v>13510</v>
      </c>
      <c r="F17299" s="46" t="s">
        <v>3821</v>
      </c>
      <c r="G17299" s="46">
        <v>9.903274706831E12</v>
      </c>
      <c r="H17299" s="46" t="s">
        <v>3822</v>
      </c>
      <c r="I17299" s="46" t="s">
        <v>3823</v>
      </c>
      <c r="J17299" s="46" t="s">
        <v>134</v>
      </c>
      <c r="K17299" s="46" t="s">
        <v>126</v>
      </c>
      <c r="L17299" s="45">
        <v>46017.614583333336</v>
      </c>
      <c r="M17299" s="46" t="s">
        <v>123</v>
      </c>
      <c r="N17299" s="45">
        <v>46017.625</v>
      </c>
      <c r="O17299" s="46" t="s">
        <v>123</v>
      </c>
      <c r="P17299" s="46">
        <v>900.0</v>
      </c>
    </row>
    <row r="17300">
      <c r="A17300" s="40">
        <f t="shared" si="1"/>
        <v>46013</v>
      </c>
      <c r="B17300" s="37" t="str">
        <f t="array" ref="B17300">iferror(xlookup($I17300, 'IMPORT VHC Report'!$E:$E, 'IMPORT VHC Report'!$A:$C), )</f>
        <v/>
      </c>
      <c r="C17300" s="44"/>
      <c r="D17300" s="44"/>
      <c r="E17300" s="46" t="s">
        <v>13511</v>
      </c>
      <c r="F17300" s="46" t="s">
        <v>3821</v>
      </c>
      <c r="G17300" s="46">
        <v>9.903274706831E12</v>
      </c>
      <c r="H17300" s="46" t="s">
        <v>3822</v>
      </c>
      <c r="I17300" s="46" t="s">
        <v>3823</v>
      </c>
      <c r="J17300" s="46" t="s">
        <v>132</v>
      </c>
      <c r="K17300" s="46" t="s">
        <v>126</v>
      </c>
      <c r="L17300" s="45">
        <v>46017.770833333336</v>
      </c>
      <c r="M17300" s="46" t="s">
        <v>123</v>
      </c>
      <c r="N17300" s="45">
        <v>46017.8125</v>
      </c>
      <c r="O17300" s="46" t="s">
        <v>123</v>
      </c>
      <c r="P17300" s="46">
        <v>3600.0</v>
      </c>
    </row>
    <row r="17301">
      <c r="A17301" s="40">
        <f t="shared" si="1"/>
        <v>46006</v>
      </c>
      <c r="B17301" s="37" t="str">
        <f t="array" ref="B17301">iferror(xlookup($I17301, 'IMPORT VHC Report'!$E:$E, 'IMPORT VHC Report'!$A:$C), )</f>
        <v/>
      </c>
      <c r="C17301" s="44"/>
      <c r="D17301" s="44"/>
      <c r="E17301" s="46" t="s">
        <v>5599</v>
      </c>
      <c r="F17301" s="46" t="s">
        <v>5575</v>
      </c>
      <c r="G17301" s="46">
        <v>3.61694638315E11</v>
      </c>
      <c r="H17301" s="46" t="s">
        <v>5576</v>
      </c>
      <c r="I17301" s="46" t="s">
        <v>5577</v>
      </c>
      <c r="J17301" s="46" t="s">
        <v>178</v>
      </c>
      <c r="K17301" s="46" t="s">
        <v>153</v>
      </c>
      <c r="L17301" s="45">
        <v>46012.875</v>
      </c>
      <c r="M17301" s="46" t="s">
        <v>123</v>
      </c>
      <c r="N17301" s="45">
        <v>46013.25</v>
      </c>
      <c r="O17301" s="46" t="s">
        <v>123</v>
      </c>
      <c r="P17301" s="46">
        <v>32400.0</v>
      </c>
      <c r="Q17301" s="46">
        <v>28800.0</v>
      </c>
      <c r="R17301" s="46" t="s">
        <v>5600</v>
      </c>
    </row>
    <row r="17302">
      <c r="A17302" s="40">
        <f t="shared" si="1"/>
        <v>46013</v>
      </c>
      <c r="B17302" s="37" t="str">
        <f t="array" ref="B17302">iferror(xlookup($I17302, 'IMPORT VHC Report'!$E:$E, 'IMPORT VHC Report'!$A:$C), )</f>
        <v/>
      </c>
      <c r="C17302" s="44"/>
      <c r="D17302" s="44"/>
      <c r="E17302" s="46" t="s">
        <v>13512</v>
      </c>
      <c r="F17302" s="46" t="s">
        <v>5575</v>
      </c>
      <c r="G17302" s="46">
        <v>3.61694638315E11</v>
      </c>
      <c r="H17302" s="46" t="s">
        <v>5576</v>
      </c>
      <c r="I17302" s="46" t="s">
        <v>5577</v>
      </c>
      <c r="J17302" s="46" t="s">
        <v>134</v>
      </c>
      <c r="K17302" s="46" t="s">
        <v>126</v>
      </c>
      <c r="L17302" s="45">
        <v>46013.0</v>
      </c>
      <c r="M17302" s="46" t="s">
        <v>123</v>
      </c>
      <c r="N17302" s="45">
        <v>46013.020833333336</v>
      </c>
      <c r="O17302" s="46" t="s">
        <v>123</v>
      </c>
      <c r="P17302" s="46">
        <v>1800.0</v>
      </c>
    </row>
    <row r="17303">
      <c r="A17303" s="40">
        <f t="shared" si="1"/>
        <v>46013</v>
      </c>
      <c r="B17303" s="37" t="str">
        <f t="array" ref="B17303">iferror(xlookup($I17303, 'IMPORT VHC Report'!$E:$E, 'IMPORT VHC Report'!$A:$C), )</f>
        <v/>
      </c>
      <c r="C17303" s="44"/>
      <c r="D17303" s="44"/>
      <c r="E17303" s="46" t="s">
        <v>13513</v>
      </c>
      <c r="F17303" s="46" t="s">
        <v>5575</v>
      </c>
      <c r="G17303" s="46">
        <v>3.61694638315E11</v>
      </c>
      <c r="H17303" s="46" t="s">
        <v>5576</v>
      </c>
      <c r="I17303" s="46" t="s">
        <v>5577</v>
      </c>
      <c r="J17303" s="46" t="s">
        <v>530</v>
      </c>
      <c r="K17303" s="46" t="s">
        <v>63</v>
      </c>
      <c r="L17303" s="45">
        <v>46013.0</v>
      </c>
      <c r="M17303" s="46" t="s">
        <v>123</v>
      </c>
      <c r="N17303" s="45">
        <v>46013.25</v>
      </c>
      <c r="O17303" s="46" t="s">
        <v>123</v>
      </c>
      <c r="P17303" s="46">
        <v>21600.0</v>
      </c>
    </row>
    <row r="17304">
      <c r="A17304" s="40">
        <f t="shared" si="1"/>
        <v>46013</v>
      </c>
      <c r="B17304" s="37" t="str">
        <f t="array" ref="B17304">iferror(xlookup($I17304, 'IMPORT VHC Report'!$E:$E, 'IMPORT VHC Report'!$A:$C), )</f>
        <v/>
      </c>
      <c r="C17304" s="44"/>
      <c r="D17304" s="44"/>
      <c r="E17304" s="46" t="s">
        <v>13514</v>
      </c>
      <c r="F17304" s="46" t="s">
        <v>5575</v>
      </c>
      <c r="G17304" s="46">
        <v>3.61694638315E11</v>
      </c>
      <c r="H17304" s="46" t="s">
        <v>5576</v>
      </c>
      <c r="I17304" s="46" t="s">
        <v>5577</v>
      </c>
      <c r="J17304" s="46" t="s">
        <v>132</v>
      </c>
      <c r="K17304" s="46" t="s">
        <v>126</v>
      </c>
      <c r="L17304" s="45">
        <v>46013.15625</v>
      </c>
      <c r="M17304" s="46" t="s">
        <v>123</v>
      </c>
      <c r="N17304" s="45">
        <v>46013.197916666664</v>
      </c>
      <c r="O17304" s="46" t="s">
        <v>123</v>
      </c>
      <c r="P17304" s="46">
        <v>3600.0</v>
      </c>
    </row>
    <row r="17305">
      <c r="A17305" s="40">
        <f t="shared" si="1"/>
        <v>46013</v>
      </c>
      <c r="B17305" s="37" t="str">
        <f t="array" ref="B17305">iferror(xlookup($I17305, 'IMPORT VHC Report'!$E:$E, 'IMPORT VHC Report'!$A:$C), )</f>
        <v/>
      </c>
      <c r="C17305" s="44"/>
      <c r="D17305" s="44"/>
      <c r="E17305" s="46" t="s">
        <v>13515</v>
      </c>
      <c r="F17305" s="46" t="s">
        <v>5575</v>
      </c>
      <c r="G17305" s="46">
        <v>3.61694638315E11</v>
      </c>
      <c r="H17305" s="46" t="s">
        <v>5576</v>
      </c>
      <c r="I17305" s="46" t="s">
        <v>5577</v>
      </c>
      <c r="J17305" s="46" t="s">
        <v>4</v>
      </c>
      <c r="K17305" s="46" t="s">
        <v>126</v>
      </c>
      <c r="L17305" s="45">
        <v>46013.875</v>
      </c>
      <c r="M17305" s="46" t="s">
        <v>123</v>
      </c>
      <c r="N17305" s="45">
        <v>46013.895833333336</v>
      </c>
      <c r="O17305" s="46" t="s">
        <v>123</v>
      </c>
      <c r="P17305" s="46">
        <v>1800.0</v>
      </c>
    </row>
    <row r="17306">
      <c r="A17306" s="40">
        <f t="shared" si="1"/>
        <v>46013</v>
      </c>
      <c r="B17306" s="37" t="str">
        <f t="array" ref="B17306">iferror(xlookup($I17306, 'IMPORT VHC Report'!$E:$E, 'IMPORT VHC Report'!$A:$C), )</f>
        <v/>
      </c>
      <c r="C17306" s="44"/>
      <c r="D17306" s="44"/>
      <c r="E17306" s="46" t="s">
        <v>13516</v>
      </c>
      <c r="F17306" s="46" t="s">
        <v>5575</v>
      </c>
      <c r="G17306" s="46">
        <v>3.61694638315E11</v>
      </c>
      <c r="H17306" s="46" t="s">
        <v>5576</v>
      </c>
      <c r="I17306" s="46" t="s">
        <v>5577</v>
      </c>
      <c r="J17306" s="46" t="s">
        <v>530</v>
      </c>
      <c r="K17306" s="46" t="s">
        <v>63</v>
      </c>
      <c r="L17306" s="45">
        <v>46013.875</v>
      </c>
      <c r="M17306" s="46" t="s">
        <v>123</v>
      </c>
      <c r="N17306" s="45">
        <v>46014.229166666664</v>
      </c>
      <c r="O17306" s="46" t="s">
        <v>123</v>
      </c>
      <c r="P17306" s="46">
        <v>30600.0</v>
      </c>
    </row>
    <row r="17307">
      <c r="A17307" s="40">
        <f t="shared" si="1"/>
        <v>46013</v>
      </c>
      <c r="B17307" s="37" t="str">
        <f t="array" ref="B17307">iferror(xlookup($I17307, 'IMPORT VHC Report'!$E:$E, 'IMPORT VHC Report'!$A:$C), )</f>
        <v/>
      </c>
      <c r="C17307" s="44"/>
      <c r="D17307" s="44"/>
      <c r="E17307" s="46" t="s">
        <v>13517</v>
      </c>
      <c r="F17307" s="46" t="s">
        <v>5575</v>
      </c>
      <c r="G17307" s="46">
        <v>3.61694638315E11</v>
      </c>
      <c r="H17307" s="46" t="s">
        <v>5576</v>
      </c>
      <c r="I17307" s="46" t="s">
        <v>5577</v>
      </c>
      <c r="J17307" s="46" t="s">
        <v>134</v>
      </c>
      <c r="K17307" s="46" t="s">
        <v>126</v>
      </c>
      <c r="L17307" s="45">
        <v>46014.125</v>
      </c>
      <c r="M17307" s="46" t="s">
        <v>123</v>
      </c>
      <c r="N17307" s="45">
        <v>46014.145833333336</v>
      </c>
      <c r="O17307" s="46" t="s">
        <v>123</v>
      </c>
      <c r="P17307" s="46">
        <v>1800.0</v>
      </c>
    </row>
    <row r="17308">
      <c r="A17308" s="40">
        <f t="shared" si="1"/>
        <v>46013</v>
      </c>
      <c r="B17308" s="37" t="str">
        <f t="array" ref="B17308">iferror(xlookup($I17308, 'IMPORT VHC Report'!$E:$E, 'IMPORT VHC Report'!$A:$C), )</f>
        <v/>
      </c>
      <c r="C17308" s="44"/>
      <c r="D17308" s="44"/>
      <c r="E17308" s="46" t="s">
        <v>13518</v>
      </c>
      <c r="F17308" s="46" t="s">
        <v>5575</v>
      </c>
      <c r="G17308" s="46">
        <v>3.61694638315E11</v>
      </c>
      <c r="H17308" s="46" t="s">
        <v>5576</v>
      </c>
      <c r="I17308" s="46" t="s">
        <v>5577</v>
      </c>
      <c r="J17308" s="46" t="s">
        <v>132</v>
      </c>
      <c r="K17308" s="46" t="s">
        <v>126</v>
      </c>
      <c r="L17308" s="45">
        <v>46014.145833333336</v>
      </c>
      <c r="M17308" s="46" t="s">
        <v>123</v>
      </c>
      <c r="N17308" s="45">
        <v>46014.1875</v>
      </c>
      <c r="O17308" s="46" t="s">
        <v>123</v>
      </c>
      <c r="P17308" s="46">
        <v>3600.0</v>
      </c>
    </row>
    <row r="17309">
      <c r="A17309" s="40">
        <f t="shared" si="1"/>
        <v>46013</v>
      </c>
      <c r="B17309" s="37" t="str">
        <f t="array" ref="B17309">iferror(xlookup($I17309, 'IMPORT VHC Report'!$E:$E, 'IMPORT VHC Report'!$A:$C), )</f>
        <v/>
      </c>
      <c r="C17309" s="44"/>
      <c r="D17309" s="44"/>
      <c r="E17309" s="46" t="s">
        <v>13519</v>
      </c>
      <c r="F17309" s="46" t="s">
        <v>5575</v>
      </c>
      <c r="G17309" s="46">
        <v>3.61694638315E11</v>
      </c>
      <c r="H17309" s="46" t="s">
        <v>5576</v>
      </c>
      <c r="I17309" s="46" t="s">
        <v>5577</v>
      </c>
      <c r="J17309" s="46" t="s">
        <v>4</v>
      </c>
      <c r="K17309" s="46" t="s">
        <v>126</v>
      </c>
      <c r="L17309" s="45">
        <v>46014.229166666664</v>
      </c>
      <c r="M17309" s="46" t="s">
        <v>123</v>
      </c>
      <c r="N17309" s="45">
        <v>46014.25</v>
      </c>
      <c r="O17309" s="46" t="s">
        <v>123</v>
      </c>
      <c r="P17309" s="46">
        <v>1800.0</v>
      </c>
      <c r="S17309" s="46" t="s">
        <v>13520</v>
      </c>
    </row>
    <row r="17310">
      <c r="A17310" s="40">
        <f t="shared" si="1"/>
        <v>46013</v>
      </c>
      <c r="B17310" s="37" t="str">
        <f t="array" ref="B17310">iferror(xlookup($I17310, 'IMPORT VHC Report'!$E:$E, 'IMPORT VHC Report'!$A:$C), )</f>
        <v/>
      </c>
      <c r="C17310" s="44"/>
      <c r="D17310" s="44"/>
      <c r="E17310" s="46" t="s">
        <v>13521</v>
      </c>
      <c r="F17310" s="46" t="s">
        <v>5575</v>
      </c>
      <c r="G17310" s="46">
        <v>3.61694638315E11</v>
      </c>
      <c r="H17310" s="46" t="s">
        <v>5576</v>
      </c>
      <c r="I17310" s="46" t="s">
        <v>5577</v>
      </c>
      <c r="J17310" s="46" t="s">
        <v>4</v>
      </c>
      <c r="K17310" s="46" t="s">
        <v>126</v>
      </c>
      <c r="L17310" s="45">
        <v>46014.875</v>
      </c>
      <c r="M17310" s="46" t="s">
        <v>123</v>
      </c>
      <c r="N17310" s="45">
        <v>46014.895833333336</v>
      </c>
      <c r="O17310" s="46" t="s">
        <v>123</v>
      </c>
      <c r="P17310" s="46">
        <v>1800.0</v>
      </c>
    </row>
    <row r="17311">
      <c r="A17311" s="40">
        <f t="shared" si="1"/>
        <v>46013</v>
      </c>
      <c r="B17311" s="37" t="str">
        <f t="array" ref="B17311">iferror(xlookup($I17311, 'IMPORT VHC Report'!$E:$E, 'IMPORT VHC Report'!$A:$C), )</f>
        <v/>
      </c>
      <c r="C17311" s="44"/>
      <c r="D17311" s="44"/>
      <c r="E17311" s="46" t="s">
        <v>13522</v>
      </c>
      <c r="F17311" s="46" t="s">
        <v>5575</v>
      </c>
      <c r="G17311" s="46">
        <v>3.61694638315E11</v>
      </c>
      <c r="H17311" s="46" t="s">
        <v>5576</v>
      </c>
      <c r="I17311" s="46" t="s">
        <v>5577</v>
      </c>
      <c r="J17311" s="46" t="s">
        <v>530</v>
      </c>
      <c r="K17311" s="46" t="s">
        <v>63</v>
      </c>
      <c r="L17311" s="45">
        <v>46014.875</v>
      </c>
      <c r="M17311" s="46" t="s">
        <v>123</v>
      </c>
      <c r="N17311" s="45">
        <v>46015.25</v>
      </c>
      <c r="O17311" s="46" t="s">
        <v>123</v>
      </c>
      <c r="P17311" s="46">
        <v>32400.0</v>
      </c>
    </row>
    <row r="17312">
      <c r="A17312" s="40">
        <f t="shared" si="1"/>
        <v>46013</v>
      </c>
      <c r="B17312" s="37" t="str">
        <f t="array" ref="B17312">iferror(xlookup($I17312, 'IMPORT VHC Report'!$E:$E, 'IMPORT VHC Report'!$A:$C), )</f>
        <v/>
      </c>
      <c r="C17312" s="44"/>
      <c r="D17312" s="44"/>
      <c r="E17312" s="46" t="s">
        <v>13523</v>
      </c>
      <c r="F17312" s="46" t="s">
        <v>5575</v>
      </c>
      <c r="G17312" s="46">
        <v>3.61694638315E11</v>
      </c>
      <c r="H17312" s="46" t="s">
        <v>5576</v>
      </c>
      <c r="I17312" s="46" t="s">
        <v>5577</v>
      </c>
      <c r="J17312" s="46" t="s">
        <v>136</v>
      </c>
      <c r="K17312" s="46" t="s">
        <v>126</v>
      </c>
      <c r="L17312" s="45">
        <v>46014.979166666664</v>
      </c>
      <c r="M17312" s="46" t="s">
        <v>123</v>
      </c>
      <c r="N17312" s="45">
        <v>46015.020833333336</v>
      </c>
      <c r="O17312" s="46" t="s">
        <v>123</v>
      </c>
      <c r="P17312" s="46">
        <v>3600.0</v>
      </c>
      <c r="S17312" s="46" t="s">
        <v>137</v>
      </c>
    </row>
    <row r="17313">
      <c r="A17313" s="40">
        <f t="shared" si="1"/>
        <v>46013</v>
      </c>
      <c r="B17313" s="37" t="str">
        <f t="array" ref="B17313">iferror(xlookup($I17313, 'IMPORT VHC Report'!$E:$E, 'IMPORT VHC Report'!$A:$C), )</f>
        <v/>
      </c>
      <c r="C17313" s="44"/>
      <c r="D17313" s="44"/>
      <c r="E17313" s="46" t="s">
        <v>13524</v>
      </c>
      <c r="F17313" s="46" t="s">
        <v>5575</v>
      </c>
      <c r="G17313" s="46">
        <v>3.61694638315E11</v>
      </c>
      <c r="H17313" s="46" t="s">
        <v>5576</v>
      </c>
      <c r="I17313" s="46" t="s">
        <v>5577</v>
      </c>
      <c r="J17313" s="46" t="s">
        <v>132</v>
      </c>
      <c r="K17313" s="46" t="s">
        <v>126</v>
      </c>
      <c r="L17313" s="45">
        <v>46015.145833333336</v>
      </c>
      <c r="M17313" s="46" t="s">
        <v>123</v>
      </c>
      <c r="N17313" s="45">
        <v>46015.1875</v>
      </c>
      <c r="O17313" s="46" t="s">
        <v>123</v>
      </c>
      <c r="P17313" s="46">
        <v>3600.0</v>
      </c>
    </row>
    <row r="17314">
      <c r="A17314" s="40">
        <f t="shared" si="1"/>
        <v>46013</v>
      </c>
      <c r="B17314" s="37" t="str">
        <f t="array" ref="B17314">iferror(xlookup($I17314, 'IMPORT VHC Report'!$E:$E, 'IMPORT VHC Report'!$A:$C), )</f>
        <v/>
      </c>
      <c r="C17314" s="44"/>
      <c r="D17314" s="44"/>
      <c r="E17314" s="46" t="s">
        <v>13525</v>
      </c>
      <c r="F17314" s="46" t="s">
        <v>5575</v>
      </c>
      <c r="G17314" s="46">
        <v>3.61694638315E11</v>
      </c>
      <c r="H17314" s="46" t="s">
        <v>5576</v>
      </c>
      <c r="I17314" s="46" t="s">
        <v>5577</v>
      </c>
      <c r="J17314" s="46" t="s">
        <v>134</v>
      </c>
      <c r="K17314" s="46" t="s">
        <v>126</v>
      </c>
      <c r="L17314" s="45">
        <v>46015.1875</v>
      </c>
      <c r="M17314" s="46" t="s">
        <v>123</v>
      </c>
      <c r="N17314" s="45">
        <v>46015.208333333336</v>
      </c>
      <c r="O17314" s="46" t="s">
        <v>123</v>
      </c>
      <c r="P17314" s="46">
        <v>1800.0</v>
      </c>
    </row>
    <row r="17315">
      <c r="A17315" s="40">
        <f t="shared" si="1"/>
        <v>46013</v>
      </c>
      <c r="B17315" s="37" t="str">
        <f t="array" ref="B17315">iferror(xlookup($I17315, 'IMPORT VHC Report'!$E:$E, 'IMPORT VHC Report'!$A:$C), )</f>
        <v/>
      </c>
      <c r="C17315" s="44"/>
      <c r="D17315" s="44"/>
      <c r="E17315" s="46" t="s">
        <v>13526</v>
      </c>
      <c r="F17315" s="46" t="s">
        <v>5575</v>
      </c>
      <c r="G17315" s="46">
        <v>3.61694638315E11</v>
      </c>
      <c r="H17315" s="46" t="s">
        <v>5576</v>
      </c>
      <c r="I17315" s="46" t="s">
        <v>5577</v>
      </c>
      <c r="J17315" s="46" t="s">
        <v>4</v>
      </c>
      <c r="K17315" s="46" t="s">
        <v>126</v>
      </c>
      <c r="L17315" s="45">
        <v>46015.21875</v>
      </c>
      <c r="M17315" s="46" t="s">
        <v>123</v>
      </c>
      <c r="N17315" s="45">
        <v>46015.25</v>
      </c>
      <c r="O17315" s="46" t="s">
        <v>123</v>
      </c>
      <c r="P17315" s="46">
        <v>2700.0</v>
      </c>
      <c r="S17315" s="46" t="s">
        <v>13527</v>
      </c>
    </row>
    <row r="17316">
      <c r="A17316" s="40">
        <f t="shared" si="1"/>
        <v>46013</v>
      </c>
      <c r="B17316" s="37" t="str">
        <f t="array" ref="B17316">iferror(xlookup($I17316, 'IMPORT VHC Report'!$E:$E, 'IMPORT VHC Report'!$A:$C), )</f>
        <v/>
      </c>
      <c r="C17316" s="44"/>
      <c r="D17316" s="44"/>
      <c r="E17316" s="46" t="s">
        <v>13528</v>
      </c>
      <c r="F17316" s="46" t="s">
        <v>5575</v>
      </c>
      <c r="G17316" s="46">
        <v>3.61694638315E11</v>
      </c>
      <c r="H17316" s="46" t="s">
        <v>5576</v>
      </c>
      <c r="I17316" s="46" t="s">
        <v>5577</v>
      </c>
      <c r="J17316" s="46" t="s">
        <v>4</v>
      </c>
      <c r="K17316" s="46" t="s">
        <v>126</v>
      </c>
      <c r="L17316" s="45">
        <v>46015.875</v>
      </c>
      <c r="M17316" s="46" t="s">
        <v>123</v>
      </c>
      <c r="N17316" s="45">
        <v>46015.895833333336</v>
      </c>
      <c r="O17316" s="46" t="s">
        <v>123</v>
      </c>
      <c r="P17316" s="46">
        <v>1800.0</v>
      </c>
    </row>
    <row r="17317">
      <c r="A17317" s="40">
        <f t="shared" si="1"/>
        <v>46013</v>
      </c>
      <c r="B17317" s="37" t="str">
        <f t="array" ref="B17317">iferror(xlookup($I17317, 'IMPORT VHC Report'!$E:$E, 'IMPORT VHC Report'!$A:$C), )</f>
        <v/>
      </c>
      <c r="C17317" s="44"/>
      <c r="D17317" s="44"/>
      <c r="E17317" s="46" t="s">
        <v>13529</v>
      </c>
      <c r="F17317" s="46" t="s">
        <v>5575</v>
      </c>
      <c r="G17317" s="46">
        <v>3.61694638315E11</v>
      </c>
      <c r="H17317" s="46" t="s">
        <v>5576</v>
      </c>
      <c r="I17317" s="46" t="s">
        <v>5577</v>
      </c>
      <c r="J17317" s="46" t="s">
        <v>178</v>
      </c>
      <c r="K17317" s="46" t="s">
        <v>153</v>
      </c>
      <c r="L17317" s="45">
        <v>46015.875</v>
      </c>
      <c r="M17317" s="46" t="s">
        <v>123</v>
      </c>
      <c r="N17317" s="45">
        <v>46016.25</v>
      </c>
      <c r="O17317" s="46" t="s">
        <v>123</v>
      </c>
      <c r="P17317" s="46">
        <v>32400.0</v>
      </c>
      <c r="Q17317" s="46">
        <v>32400.0</v>
      </c>
      <c r="R17317" s="46" t="s">
        <v>13530</v>
      </c>
      <c r="S17317" s="46" t="s">
        <v>13530</v>
      </c>
    </row>
    <row r="17318">
      <c r="A17318" s="40">
        <f t="shared" si="1"/>
        <v>46013</v>
      </c>
      <c r="B17318" s="37" t="str">
        <f t="array" ref="B17318">iferror(xlookup($I17318, 'IMPORT VHC Report'!$E:$E, 'IMPORT VHC Report'!$A:$C), )</f>
        <v/>
      </c>
      <c r="C17318" s="44"/>
      <c r="D17318" s="44"/>
      <c r="E17318" s="46" t="s">
        <v>13531</v>
      </c>
      <c r="F17318" s="46" t="s">
        <v>5575</v>
      </c>
      <c r="G17318" s="46">
        <v>3.61694638315E11</v>
      </c>
      <c r="H17318" s="46" t="s">
        <v>5576</v>
      </c>
      <c r="I17318" s="46" t="s">
        <v>5577</v>
      </c>
      <c r="J17318" s="46" t="s">
        <v>530</v>
      </c>
      <c r="K17318" s="46" t="s">
        <v>63</v>
      </c>
      <c r="L17318" s="45">
        <v>46015.875</v>
      </c>
      <c r="M17318" s="46" t="s">
        <v>123</v>
      </c>
      <c r="N17318" s="45">
        <v>46016.25</v>
      </c>
      <c r="O17318" s="46" t="s">
        <v>123</v>
      </c>
      <c r="P17318" s="46">
        <v>32400.0</v>
      </c>
    </row>
    <row r="17319">
      <c r="A17319" s="40">
        <f t="shared" si="1"/>
        <v>46013</v>
      </c>
      <c r="B17319" s="37" t="str">
        <f t="array" ref="B17319">iferror(xlookup($I17319, 'IMPORT VHC Report'!$E:$E, 'IMPORT VHC Report'!$A:$C), )</f>
        <v/>
      </c>
      <c r="C17319" s="44"/>
      <c r="D17319" s="44"/>
      <c r="E17319" s="46" t="s">
        <v>13532</v>
      </c>
      <c r="F17319" s="46" t="s">
        <v>5575</v>
      </c>
      <c r="G17319" s="46">
        <v>3.61694638315E11</v>
      </c>
      <c r="H17319" s="46" t="s">
        <v>5576</v>
      </c>
      <c r="I17319" s="46" t="s">
        <v>5577</v>
      </c>
      <c r="J17319" s="46" t="s">
        <v>134</v>
      </c>
      <c r="K17319" s="46" t="s">
        <v>126</v>
      </c>
      <c r="L17319" s="45">
        <v>46015.979166666664</v>
      </c>
      <c r="M17319" s="46" t="s">
        <v>123</v>
      </c>
      <c r="N17319" s="45">
        <v>46016.0</v>
      </c>
      <c r="O17319" s="46" t="s">
        <v>123</v>
      </c>
      <c r="P17319" s="46">
        <v>1800.0</v>
      </c>
    </row>
    <row r="17320">
      <c r="A17320" s="40">
        <f t="shared" si="1"/>
        <v>46013</v>
      </c>
      <c r="B17320" s="37" t="str">
        <f t="array" ref="B17320">iferror(xlookup($I17320, 'IMPORT VHC Report'!$E:$E, 'IMPORT VHC Report'!$A:$C), )</f>
        <v/>
      </c>
      <c r="C17320" s="44"/>
      <c r="D17320" s="44"/>
      <c r="E17320" s="46" t="s">
        <v>13533</v>
      </c>
      <c r="F17320" s="46" t="s">
        <v>5575</v>
      </c>
      <c r="G17320" s="46">
        <v>3.61694638315E11</v>
      </c>
      <c r="H17320" s="46" t="s">
        <v>5576</v>
      </c>
      <c r="I17320" s="46" t="s">
        <v>5577</v>
      </c>
      <c r="J17320" s="46" t="s">
        <v>132</v>
      </c>
      <c r="K17320" s="46" t="s">
        <v>126</v>
      </c>
      <c r="L17320" s="45">
        <v>46016.104166666664</v>
      </c>
      <c r="M17320" s="46" t="s">
        <v>123</v>
      </c>
      <c r="N17320" s="45">
        <v>46016.145833333336</v>
      </c>
      <c r="O17320" s="46" t="s">
        <v>123</v>
      </c>
      <c r="P17320" s="46">
        <v>3600.0</v>
      </c>
    </row>
    <row r="17321">
      <c r="A17321" s="40">
        <f t="shared" si="1"/>
        <v>46013</v>
      </c>
      <c r="B17321" s="37" t="str">
        <f t="array" ref="B17321">iferror(xlookup($I17321, 'IMPORT VHC Report'!$E:$E, 'IMPORT VHC Report'!$A:$C), )</f>
        <v/>
      </c>
      <c r="C17321" s="44"/>
      <c r="D17321" s="44"/>
      <c r="E17321" s="46" t="s">
        <v>13534</v>
      </c>
      <c r="F17321" s="46" t="s">
        <v>5575</v>
      </c>
      <c r="G17321" s="46">
        <v>3.61694638315E11</v>
      </c>
      <c r="H17321" s="46" t="s">
        <v>5576</v>
      </c>
      <c r="I17321" s="46" t="s">
        <v>5577</v>
      </c>
      <c r="J17321" s="46" t="s">
        <v>4</v>
      </c>
      <c r="K17321" s="46" t="s">
        <v>126</v>
      </c>
      <c r="L17321" s="45">
        <v>46016.875</v>
      </c>
      <c r="M17321" s="46" t="s">
        <v>123</v>
      </c>
      <c r="N17321" s="45">
        <v>46016.895833333336</v>
      </c>
      <c r="O17321" s="46" t="s">
        <v>123</v>
      </c>
      <c r="P17321" s="46">
        <v>1800.0</v>
      </c>
    </row>
    <row r="17322">
      <c r="A17322" s="40">
        <f t="shared" si="1"/>
        <v>46013</v>
      </c>
      <c r="B17322" s="37" t="str">
        <f t="array" ref="B17322">iferror(xlookup($I17322, 'IMPORT VHC Report'!$E:$E, 'IMPORT VHC Report'!$A:$C), )</f>
        <v/>
      </c>
      <c r="C17322" s="44"/>
      <c r="D17322" s="44"/>
      <c r="E17322" s="46" t="s">
        <v>13535</v>
      </c>
      <c r="F17322" s="46" t="s">
        <v>5575</v>
      </c>
      <c r="G17322" s="46">
        <v>3.61694638315E11</v>
      </c>
      <c r="H17322" s="46" t="s">
        <v>5576</v>
      </c>
      <c r="I17322" s="46" t="s">
        <v>5577</v>
      </c>
      <c r="J17322" s="46" t="s">
        <v>178</v>
      </c>
      <c r="K17322" s="46" t="s">
        <v>153</v>
      </c>
      <c r="L17322" s="45">
        <v>46016.875</v>
      </c>
      <c r="M17322" s="46" t="s">
        <v>123</v>
      </c>
      <c r="N17322" s="45">
        <v>46017.25</v>
      </c>
      <c r="O17322" s="46" t="s">
        <v>123</v>
      </c>
      <c r="P17322" s="46">
        <v>32400.0</v>
      </c>
      <c r="Q17322" s="46">
        <v>32400.0</v>
      </c>
      <c r="R17322" s="46" t="s">
        <v>13530</v>
      </c>
      <c r="S17322" s="46" t="s">
        <v>13530</v>
      </c>
    </row>
    <row r="17323">
      <c r="A17323" s="40">
        <f t="shared" si="1"/>
        <v>46013</v>
      </c>
      <c r="B17323" s="37" t="str">
        <f t="array" ref="B17323">iferror(xlookup($I17323, 'IMPORT VHC Report'!$E:$E, 'IMPORT VHC Report'!$A:$C), )</f>
        <v/>
      </c>
      <c r="C17323" s="44"/>
      <c r="D17323" s="44"/>
      <c r="E17323" s="46" t="s">
        <v>13536</v>
      </c>
      <c r="F17323" s="46" t="s">
        <v>5575</v>
      </c>
      <c r="G17323" s="46">
        <v>3.61694638315E11</v>
      </c>
      <c r="H17323" s="46" t="s">
        <v>5576</v>
      </c>
      <c r="I17323" s="46" t="s">
        <v>5577</v>
      </c>
      <c r="J17323" s="46" t="s">
        <v>530</v>
      </c>
      <c r="K17323" s="46" t="s">
        <v>63</v>
      </c>
      <c r="L17323" s="45">
        <v>46016.875</v>
      </c>
      <c r="M17323" s="46" t="s">
        <v>123</v>
      </c>
      <c r="N17323" s="45">
        <v>46017.25</v>
      </c>
      <c r="O17323" s="46" t="s">
        <v>123</v>
      </c>
      <c r="P17323" s="46">
        <v>32400.0</v>
      </c>
    </row>
    <row r="17324">
      <c r="A17324" s="40">
        <f t="shared" si="1"/>
        <v>46013</v>
      </c>
      <c r="B17324" s="37" t="str">
        <f t="array" ref="B17324">iferror(xlookup($I17324, 'IMPORT VHC Report'!$E:$E, 'IMPORT VHC Report'!$A:$C), )</f>
        <v/>
      </c>
      <c r="C17324" s="44"/>
      <c r="D17324" s="44"/>
      <c r="E17324" s="46" t="s">
        <v>13537</v>
      </c>
      <c r="F17324" s="46" t="s">
        <v>5575</v>
      </c>
      <c r="G17324" s="46">
        <v>3.61694638315E11</v>
      </c>
      <c r="H17324" s="46" t="s">
        <v>5576</v>
      </c>
      <c r="I17324" s="46" t="s">
        <v>5577</v>
      </c>
      <c r="J17324" s="46" t="s">
        <v>134</v>
      </c>
      <c r="K17324" s="46" t="s">
        <v>126</v>
      </c>
      <c r="L17324" s="45">
        <v>46016.979166666664</v>
      </c>
      <c r="M17324" s="46" t="s">
        <v>123</v>
      </c>
      <c r="N17324" s="45">
        <v>46017.0</v>
      </c>
      <c r="O17324" s="46" t="s">
        <v>123</v>
      </c>
      <c r="P17324" s="46">
        <v>1800.0</v>
      </c>
    </row>
    <row r="17325">
      <c r="A17325" s="40">
        <f t="shared" si="1"/>
        <v>46013</v>
      </c>
      <c r="B17325" s="37" t="str">
        <f t="array" ref="B17325">iferror(xlookup($I17325, 'IMPORT VHC Report'!$E:$E, 'IMPORT VHC Report'!$A:$C), )</f>
        <v/>
      </c>
      <c r="C17325" s="44"/>
      <c r="D17325" s="44"/>
      <c r="E17325" s="46" t="s">
        <v>13538</v>
      </c>
      <c r="F17325" s="46" t="s">
        <v>5575</v>
      </c>
      <c r="G17325" s="46">
        <v>3.61694638315E11</v>
      </c>
      <c r="H17325" s="46" t="s">
        <v>5576</v>
      </c>
      <c r="I17325" s="46" t="s">
        <v>5577</v>
      </c>
      <c r="J17325" s="46" t="s">
        <v>132</v>
      </c>
      <c r="K17325" s="46" t="s">
        <v>126</v>
      </c>
      <c r="L17325" s="45">
        <v>46017.104166666664</v>
      </c>
      <c r="M17325" s="46" t="s">
        <v>123</v>
      </c>
      <c r="N17325" s="45">
        <v>46017.145833333336</v>
      </c>
      <c r="O17325" s="46" t="s">
        <v>123</v>
      </c>
      <c r="P17325" s="46">
        <v>3600.0</v>
      </c>
    </row>
    <row r="17326">
      <c r="A17326" s="40">
        <f t="shared" si="1"/>
        <v>46013</v>
      </c>
      <c r="B17326" s="37" t="str">
        <f t="array" ref="B17326">iferror(xlookup($I17326, 'IMPORT VHC Report'!$E:$E, 'IMPORT VHC Report'!$A:$C), )</f>
        <v/>
      </c>
      <c r="C17326" s="44"/>
      <c r="D17326" s="44"/>
      <c r="E17326" s="46" t="s">
        <v>13539</v>
      </c>
      <c r="F17326" s="46" t="s">
        <v>5575</v>
      </c>
      <c r="G17326" s="46">
        <v>3.61694638315E11</v>
      </c>
      <c r="H17326" s="46" t="s">
        <v>5576</v>
      </c>
      <c r="I17326" s="46" t="s">
        <v>5577</v>
      </c>
      <c r="J17326" s="46" t="s">
        <v>4</v>
      </c>
      <c r="K17326" s="46" t="s">
        <v>126</v>
      </c>
      <c r="L17326" s="45">
        <v>46019.875</v>
      </c>
      <c r="M17326" s="46" t="s">
        <v>123</v>
      </c>
      <c r="N17326" s="45">
        <v>46019.895833333336</v>
      </c>
      <c r="O17326" s="46" t="s">
        <v>123</v>
      </c>
      <c r="P17326" s="46">
        <v>1800.0</v>
      </c>
    </row>
    <row r="17327">
      <c r="A17327" s="40">
        <f t="shared" si="1"/>
        <v>46013</v>
      </c>
      <c r="B17327" s="37" t="str">
        <f t="array" ref="B17327">iferror(xlookup($I17327, 'IMPORT VHC Report'!$E:$E, 'IMPORT VHC Report'!$A:$C), )</f>
        <v/>
      </c>
      <c r="C17327" s="44"/>
      <c r="D17327" s="44"/>
      <c r="E17327" s="46" t="s">
        <v>13540</v>
      </c>
      <c r="F17327" s="46" t="s">
        <v>5575</v>
      </c>
      <c r="G17327" s="46">
        <v>3.61694638315E11</v>
      </c>
      <c r="H17327" s="46" t="s">
        <v>5576</v>
      </c>
      <c r="I17327" s="46" t="s">
        <v>5577</v>
      </c>
      <c r="J17327" s="46" t="s">
        <v>530</v>
      </c>
      <c r="K17327" s="46" t="s">
        <v>63</v>
      </c>
      <c r="L17327" s="45">
        <v>46019.875</v>
      </c>
      <c r="M17327" s="46" t="s">
        <v>123</v>
      </c>
      <c r="N17327" s="45">
        <v>46020.0</v>
      </c>
      <c r="O17327" s="46" t="s">
        <v>123</v>
      </c>
      <c r="P17327" s="46">
        <v>10800.0</v>
      </c>
    </row>
    <row r="17328">
      <c r="A17328" s="40">
        <f t="shared" si="1"/>
        <v>46013</v>
      </c>
      <c r="B17328" s="37" t="str">
        <f t="array" ref="B17328">iferror(xlookup($I17328, 'IMPORT VHC Report'!$E:$E, 'IMPORT VHC Report'!$A:$C), )</f>
        <v/>
      </c>
      <c r="C17328" s="44"/>
      <c r="D17328" s="44"/>
      <c r="E17328" s="46" t="s">
        <v>13541</v>
      </c>
      <c r="F17328" s="46" t="s">
        <v>1191</v>
      </c>
      <c r="G17328" s="46">
        <v>5.047288728079E12</v>
      </c>
      <c r="H17328" s="46" t="s">
        <v>1192</v>
      </c>
      <c r="I17328" s="46" t="s">
        <v>1193</v>
      </c>
      <c r="J17328" s="46" t="s">
        <v>530</v>
      </c>
      <c r="K17328" s="46" t="s">
        <v>63</v>
      </c>
      <c r="L17328" s="45">
        <v>46013.0</v>
      </c>
      <c r="M17328" s="46" t="s">
        <v>123</v>
      </c>
      <c r="N17328" s="45">
        <v>46013.25</v>
      </c>
      <c r="O17328" s="46" t="s">
        <v>123</v>
      </c>
      <c r="P17328" s="46">
        <v>21600.0</v>
      </c>
    </row>
    <row r="17329">
      <c r="A17329" s="40">
        <f t="shared" si="1"/>
        <v>46013</v>
      </c>
      <c r="B17329" s="37" t="str">
        <f t="array" ref="B17329">iferror(xlookup($I17329, 'IMPORT VHC Report'!$E:$E, 'IMPORT VHC Report'!$A:$C), )</f>
        <v/>
      </c>
      <c r="C17329" s="44"/>
      <c r="D17329" s="44"/>
      <c r="E17329" s="46" t="s">
        <v>13542</v>
      </c>
      <c r="F17329" s="46" t="s">
        <v>1191</v>
      </c>
      <c r="G17329" s="46">
        <v>5.047288728079E12</v>
      </c>
      <c r="H17329" s="46" t="s">
        <v>1192</v>
      </c>
      <c r="I17329" s="46" t="s">
        <v>1193</v>
      </c>
      <c r="J17329" s="46" t="s">
        <v>132</v>
      </c>
      <c r="K17329" s="46" t="s">
        <v>126</v>
      </c>
      <c r="L17329" s="45">
        <v>46013.083333333336</v>
      </c>
      <c r="M17329" s="46" t="s">
        <v>123</v>
      </c>
      <c r="N17329" s="45">
        <v>46013.125</v>
      </c>
      <c r="O17329" s="46" t="s">
        <v>123</v>
      </c>
      <c r="P17329" s="46">
        <v>3600.0</v>
      </c>
    </row>
    <row r="17330">
      <c r="A17330" s="40">
        <f t="shared" si="1"/>
        <v>46013</v>
      </c>
      <c r="B17330" s="37" t="str">
        <f t="array" ref="B17330">iferror(xlookup($I17330, 'IMPORT VHC Report'!$E:$E, 'IMPORT VHC Report'!$A:$C), )</f>
        <v/>
      </c>
      <c r="C17330" s="44"/>
      <c r="D17330" s="44"/>
      <c r="E17330" s="46" t="s">
        <v>13543</v>
      </c>
      <c r="F17330" s="46" t="s">
        <v>1191</v>
      </c>
      <c r="G17330" s="46">
        <v>5.047288728079E12</v>
      </c>
      <c r="H17330" s="46" t="s">
        <v>1192</v>
      </c>
      <c r="I17330" s="46" t="s">
        <v>1193</v>
      </c>
      <c r="J17330" s="46" t="s">
        <v>134</v>
      </c>
      <c r="K17330" s="46" t="s">
        <v>126</v>
      </c>
      <c r="L17330" s="45">
        <v>46013.125</v>
      </c>
      <c r="M17330" s="46" t="s">
        <v>123</v>
      </c>
      <c r="N17330" s="45">
        <v>46013.145833333336</v>
      </c>
      <c r="O17330" s="46" t="s">
        <v>123</v>
      </c>
      <c r="P17330" s="46">
        <v>1800.0</v>
      </c>
    </row>
    <row r="17331">
      <c r="A17331" s="40">
        <f t="shared" si="1"/>
        <v>46013</v>
      </c>
      <c r="B17331" s="37" t="str">
        <f t="array" ref="B17331">iferror(xlookup($I17331, 'IMPORT VHC Report'!$E:$E, 'IMPORT VHC Report'!$A:$C), )</f>
        <v/>
      </c>
      <c r="C17331" s="44"/>
      <c r="D17331" s="44"/>
      <c r="E17331" s="46" t="s">
        <v>13544</v>
      </c>
      <c r="F17331" s="46" t="s">
        <v>1191</v>
      </c>
      <c r="G17331" s="46">
        <v>5.047288728079E12</v>
      </c>
      <c r="H17331" s="46" t="s">
        <v>1192</v>
      </c>
      <c r="I17331" s="46" t="s">
        <v>1193</v>
      </c>
      <c r="J17331" s="46" t="s">
        <v>4</v>
      </c>
      <c r="K17331" s="46" t="s">
        <v>126</v>
      </c>
      <c r="L17331" s="45">
        <v>46013.875</v>
      </c>
      <c r="M17331" s="46" t="s">
        <v>123</v>
      </c>
      <c r="N17331" s="45">
        <v>46013.895833333336</v>
      </c>
      <c r="O17331" s="46" t="s">
        <v>123</v>
      </c>
      <c r="P17331" s="46">
        <v>1800.0</v>
      </c>
    </row>
    <row r="17332">
      <c r="A17332" s="40">
        <f t="shared" si="1"/>
        <v>46013</v>
      </c>
      <c r="B17332" s="37" t="str">
        <f t="array" ref="B17332">iferror(xlookup($I17332, 'IMPORT VHC Report'!$E:$E, 'IMPORT VHC Report'!$A:$C), )</f>
        <v/>
      </c>
      <c r="C17332" s="44"/>
      <c r="D17332" s="44"/>
      <c r="E17332" s="46" t="s">
        <v>13545</v>
      </c>
      <c r="F17332" s="46" t="s">
        <v>1191</v>
      </c>
      <c r="G17332" s="46">
        <v>5.047288728079E12</v>
      </c>
      <c r="H17332" s="46" t="s">
        <v>1192</v>
      </c>
      <c r="I17332" s="46" t="s">
        <v>1193</v>
      </c>
      <c r="J17332" s="46" t="s">
        <v>530</v>
      </c>
      <c r="K17332" s="46" t="s">
        <v>63</v>
      </c>
      <c r="L17332" s="45">
        <v>46013.875</v>
      </c>
      <c r="M17332" s="46" t="s">
        <v>123</v>
      </c>
      <c r="N17332" s="45">
        <v>46014.229166666664</v>
      </c>
      <c r="O17332" s="46" t="s">
        <v>123</v>
      </c>
      <c r="P17332" s="46">
        <v>30600.0</v>
      </c>
    </row>
    <row r="17333">
      <c r="A17333" s="40">
        <f t="shared" si="1"/>
        <v>46013</v>
      </c>
      <c r="B17333" s="37" t="str">
        <f t="array" ref="B17333">iferror(xlookup($I17333, 'IMPORT VHC Report'!$E:$E, 'IMPORT VHC Report'!$A:$C), )</f>
        <v/>
      </c>
      <c r="C17333" s="44"/>
      <c r="D17333" s="44"/>
      <c r="E17333" s="46" t="s">
        <v>13546</v>
      </c>
      <c r="F17333" s="46" t="s">
        <v>1191</v>
      </c>
      <c r="G17333" s="46">
        <v>5.047288728079E12</v>
      </c>
      <c r="H17333" s="46" t="s">
        <v>1192</v>
      </c>
      <c r="I17333" s="46" t="s">
        <v>1193</v>
      </c>
      <c r="J17333" s="46" t="s">
        <v>4</v>
      </c>
      <c r="K17333" s="46" t="s">
        <v>126</v>
      </c>
      <c r="L17333" s="45">
        <v>46013.895833333336</v>
      </c>
      <c r="M17333" s="46" t="s">
        <v>123</v>
      </c>
      <c r="N17333" s="45">
        <v>46013.916666666664</v>
      </c>
      <c r="O17333" s="46" t="s">
        <v>123</v>
      </c>
      <c r="P17333" s="46">
        <v>1800.0</v>
      </c>
      <c r="S17333" s="46" t="s">
        <v>13547</v>
      </c>
    </row>
    <row r="17334">
      <c r="A17334" s="40">
        <f t="shared" si="1"/>
        <v>46013</v>
      </c>
      <c r="B17334" s="37" t="str">
        <f t="array" ref="B17334">iferror(xlookup($I17334, 'IMPORT VHC Report'!$E:$E, 'IMPORT VHC Report'!$A:$C), )</f>
        <v/>
      </c>
      <c r="C17334" s="44"/>
      <c r="D17334" s="44"/>
      <c r="E17334" s="46" t="s">
        <v>13548</v>
      </c>
      <c r="F17334" s="46" t="s">
        <v>1191</v>
      </c>
      <c r="G17334" s="46">
        <v>5.047288728079E12</v>
      </c>
      <c r="H17334" s="46" t="s">
        <v>1192</v>
      </c>
      <c r="I17334" s="46" t="s">
        <v>1193</v>
      </c>
      <c r="J17334" s="46" t="s">
        <v>132</v>
      </c>
      <c r="K17334" s="46" t="s">
        <v>126</v>
      </c>
      <c r="L17334" s="45">
        <v>46013.979166666664</v>
      </c>
      <c r="M17334" s="46" t="s">
        <v>123</v>
      </c>
      <c r="N17334" s="45">
        <v>46014.020833333336</v>
      </c>
      <c r="O17334" s="46" t="s">
        <v>123</v>
      </c>
      <c r="P17334" s="46">
        <v>3600.0</v>
      </c>
    </row>
    <row r="17335">
      <c r="A17335" s="40">
        <f t="shared" si="1"/>
        <v>46013</v>
      </c>
      <c r="B17335" s="37" t="str">
        <f t="array" ref="B17335">iferror(xlookup($I17335, 'IMPORT VHC Report'!$E:$E, 'IMPORT VHC Report'!$A:$C), )</f>
        <v/>
      </c>
      <c r="C17335" s="44"/>
      <c r="D17335" s="44"/>
      <c r="E17335" s="46" t="s">
        <v>13549</v>
      </c>
      <c r="F17335" s="46" t="s">
        <v>1191</v>
      </c>
      <c r="G17335" s="46">
        <v>5.047288728079E12</v>
      </c>
      <c r="H17335" s="46" t="s">
        <v>1192</v>
      </c>
      <c r="I17335" s="46" t="s">
        <v>1193</v>
      </c>
      <c r="J17335" s="46" t="s">
        <v>134</v>
      </c>
      <c r="K17335" s="46" t="s">
        <v>126</v>
      </c>
      <c r="L17335" s="45">
        <v>46014.020833333336</v>
      </c>
      <c r="M17335" s="46" t="s">
        <v>123</v>
      </c>
      <c r="N17335" s="45">
        <v>46014.041666666664</v>
      </c>
      <c r="O17335" s="46" t="s">
        <v>123</v>
      </c>
      <c r="P17335" s="46">
        <v>1800.0</v>
      </c>
    </row>
    <row r="17336">
      <c r="A17336" s="40">
        <f t="shared" si="1"/>
        <v>46013</v>
      </c>
      <c r="B17336" s="37" t="str">
        <f t="array" ref="B17336">iferror(xlookup($I17336, 'IMPORT VHC Report'!$E:$E, 'IMPORT VHC Report'!$A:$C), )</f>
        <v/>
      </c>
      <c r="C17336" s="44"/>
      <c r="D17336" s="44"/>
      <c r="E17336" s="46" t="s">
        <v>13550</v>
      </c>
      <c r="F17336" s="46" t="s">
        <v>1191</v>
      </c>
      <c r="G17336" s="46">
        <v>5.047288728079E12</v>
      </c>
      <c r="H17336" s="46" t="s">
        <v>1192</v>
      </c>
      <c r="I17336" s="46" t="s">
        <v>1193</v>
      </c>
      <c r="J17336" s="46" t="s">
        <v>4</v>
      </c>
      <c r="K17336" s="46" t="s">
        <v>126</v>
      </c>
      <c r="L17336" s="45">
        <v>46014.21875</v>
      </c>
      <c r="M17336" s="46" t="s">
        <v>123</v>
      </c>
      <c r="N17336" s="45">
        <v>46014.25</v>
      </c>
      <c r="O17336" s="46" t="s">
        <v>123</v>
      </c>
      <c r="P17336" s="46">
        <v>2700.0</v>
      </c>
      <c r="S17336" s="46" t="s">
        <v>13527</v>
      </c>
    </row>
    <row r="17337">
      <c r="A17337" s="40">
        <f t="shared" si="1"/>
        <v>46013</v>
      </c>
      <c r="B17337" s="37" t="str">
        <f t="array" ref="B17337">iferror(xlookup($I17337, 'IMPORT VHC Report'!$E:$E, 'IMPORT VHC Report'!$A:$C), )</f>
        <v/>
      </c>
      <c r="C17337" s="44"/>
      <c r="D17337" s="44"/>
      <c r="E17337" s="46" t="s">
        <v>13551</v>
      </c>
      <c r="F17337" s="46" t="s">
        <v>1191</v>
      </c>
      <c r="G17337" s="46">
        <v>5.047288728079E12</v>
      </c>
      <c r="H17337" s="46" t="s">
        <v>1192</v>
      </c>
      <c r="I17337" s="46" t="s">
        <v>1193</v>
      </c>
      <c r="J17337" s="46" t="s">
        <v>62</v>
      </c>
      <c r="K17337" s="46" t="s">
        <v>63</v>
      </c>
      <c r="L17337" s="45">
        <v>46014.229166666664</v>
      </c>
      <c r="M17337" s="46" t="s">
        <v>123</v>
      </c>
      <c r="N17337" s="45">
        <v>46014.25</v>
      </c>
      <c r="O17337" s="46" t="s">
        <v>123</v>
      </c>
      <c r="P17337" s="46">
        <v>1800.0</v>
      </c>
    </row>
    <row r="17338">
      <c r="A17338" s="40">
        <f t="shared" si="1"/>
        <v>46013</v>
      </c>
      <c r="B17338" s="37" t="str">
        <f t="array" ref="B17338">iferror(xlookup($I17338, 'IMPORT VHC Report'!$E:$E, 'IMPORT VHC Report'!$A:$C), )</f>
        <v/>
      </c>
      <c r="C17338" s="44"/>
      <c r="D17338" s="44"/>
      <c r="E17338" s="46" t="s">
        <v>13552</v>
      </c>
      <c r="F17338" s="46" t="s">
        <v>1191</v>
      </c>
      <c r="G17338" s="46">
        <v>5.047288728079E12</v>
      </c>
      <c r="H17338" s="46" t="s">
        <v>1192</v>
      </c>
      <c r="I17338" s="46" t="s">
        <v>1193</v>
      </c>
      <c r="J17338" s="46" t="s">
        <v>4</v>
      </c>
      <c r="K17338" s="46" t="s">
        <v>126</v>
      </c>
      <c r="L17338" s="45">
        <v>46014.875</v>
      </c>
      <c r="M17338" s="46" t="s">
        <v>123</v>
      </c>
      <c r="N17338" s="45">
        <v>46014.895833333336</v>
      </c>
      <c r="O17338" s="46" t="s">
        <v>123</v>
      </c>
      <c r="P17338" s="46">
        <v>1800.0</v>
      </c>
    </row>
    <row r="17339">
      <c r="A17339" s="40">
        <f t="shared" si="1"/>
        <v>46013</v>
      </c>
      <c r="B17339" s="37" t="str">
        <f t="array" ref="B17339">iferror(xlookup($I17339, 'IMPORT VHC Report'!$E:$E, 'IMPORT VHC Report'!$A:$C), )</f>
        <v/>
      </c>
      <c r="C17339" s="44"/>
      <c r="D17339" s="44"/>
      <c r="E17339" s="46" t="s">
        <v>13553</v>
      </c>
      <c r="F17339" s="46" t="s">
        <v>1191</v>
      </c>
      <c r="G17339" s="46">
        <v>5.047288728079E12</v>
      </c>
      <c r="H17339" s="46" t="s">
        <v>1192</v>
      </c>
      <c r="I17339" s="46" t="s">
        <v>1193</v>
      </c>
      <c r="J17339" s="46" t="s">
        <v>530</v>
      </c>
      <c r="K17339" s="46" t="s">
        <v>63</v>
      </c>
      <c r="L17339" s="45">
        <v>46014.875</v>
      </c>
      <c r="M17339" s="46" t="s">
        <v>123</v>
      </c>
      <c r="N17339" s="45">
        <v>46015.25</v>
      </c>
      <c r="O17339" s="46" t="s">
        <v>123</v>
      </c>
      <c r="P17339" s="46">
        <v>32400.0</v>
      </c>
    </row>
    <row r="17340">
      <c r="A17340" s="40">
        <f t="shared" si="1"/>
        <v>46013</v>
      </c>
      <c r="B17340" s="37" t="str">
        <f t="array" ref="B17340">iferror(xlookup($I17340, 'IMPORT VHC Report'!$E:$E, 'IMPORT VHC Report'!$A:$C), )</f>
        <v/>
      </c>
      <c r="C17340" s="44"/>
      <c r="D17340" s="44"/>
      <c r="E17340" s="46" t="s">
        <v>13554</v>
      </c>
      <c r="F17340" s="46" t="s">
        <v>1191</v>
      </c>
      <c r="G17340" s="46">
        <v>5.047288728079E12</v>
      </c>
      <c r="H17340" s="46" t="s">
        <v>1192</v>
      </c>
      <c r="I17340" s="46" t="s">
        <v>1193</v>
      </c>
      <c r="J17340" s="46" t="s">
        <v>4</v>
      </c>
      <c r="K17340" s="46" t="s">
        <v>126</v>
      </c>
      <c r="L17340" s="45">
        <v>46014.916666666664</v>
      </c>
      <c r="M17340" s="46" t="s">
        <v>123</v>
      </c>
      <c r="N17340" s="45">
        <v>46014.958333333336</v>
      </c>
      <c r="O17340" s="46" t="s">
        <v>123</v>
      </c>
      <c r="P17340" s="46">
        <v>3600.0</v>
      </c>
      <c r="S17340" s="46" t="s">
        <v>858</v>
      </c>
    </row>
    <row r="17341">
      <c r="A17341" s="40">
        <f t="shared" si="1"/>
        <v>46013</v>
      </c>
      <c r="B17341" s="37" t="str">
        <f t="array" ref="B17341">iferror(xlookup($I17341, 'IMPORT VHC Report'!$E:$E, 'IMPORT VHC Report'!$A:$C), )</f>
        <v/>
      </c>
      <c r="C17341" s="44"/>
      <c r="D17341" s="44"/>
      <c r="E17341" s="46" t="s">
        <v>13555</v>
      </c>
      <c r="F17341" s="46" t="s">
        <v>1191</v>
      </c>
      <c r="G17341" s="46">
        <v>5.047288728079E12</v>
      </c>
      <c r="H17341" s="46" t="s">
        <v>1192</v>
      </c>
      <c r="I17341" s="46" t="s">
        <v>1193</v>
      </c>
      <c r="J17341" s="46" t="s">
        <v>136</v>
      </c>
      <c r="K17341" s="46" t="s">
        <v>126</v>
      </c>
      <c r="L17341" s="45">
        <v>46014.979166666664</v>
      </c>
      <c r="M17341" s="46" t="s">
        <v>123</v>
      </c>
      <c r="N17341" s="45">
        <v>46015.020833333336</v>
      </c>
      <c r="O17341" s="46" t="s">
        <v>123</v>
      </c>
      <c r="P17341" s="46">
        <v>3600.0</v>
      </c>
      <c r="S17341" s="46" t="s">
        <v>137</v>
      </c>
    </row>
    <row r="17342">
      <c r="A17342" s="40">
        <f t="shared" si="1"/>
        <v>46013</v>
      </c>
      <c r="B17342" s="37" t="str">
        <f t="array" ref="B17342">iferror(xlookup($I17342, 'IMPORT VHC Report'!$E:$E, 'IMPORT VHC Report'!$A:$C), )</f>
        <v/>
      </c>
      <c r="C17342" s="44"/>
      <c r="D17342" s="44"/>
      <c r="E17342" s="46" t="s">
        <v>13556</v>
      </c>
      <c r="F17342" s="46" t="s">
        <v>1191</v>
      </c>
      <c r="G17342" s="46">
        <v>5.047288728079E12</v>
      </c>
      <c r="H17342" s="46" t="s">
        <v>1192</v>
      </c>
      <c r="I17342" s="46" t="s">
        <v>1193</v>
      </c>
      <c r="J17342" s="46" t="s">
        <v>132</v>
      </c>
      <c r="K17342" s="46" t="s">
        <v>126</v>
      </c>
      <c r="L17342" s="45">
        <v>46015.083333333336</v>
      </c>
      <c r="M17342" s="46" t="s">
        <v>123</v>
      </c>
      <c r="N17342" s="45">
        <v>46015.125</v>
      </c>
      <c r="O17342" s="46" t="s">
        <v>123</v>
      </c>
      <c r="P17342" s="46">
        <v>3600.0</v>
      </c>
    </row>
    <row r="17343">
      <c r="A17343" s="40">
        <f t="shared" si="1"/>
        <v>46013</v>
      </c>
      <c r="B17343" s="37" t="str">
        <f t="array" ref="B17343">iferror(xlookup($I17343, 'IMPORT VHC Report'!$E:$E, 'IMPORT VHC Report'!$A:$C), )</f>
        <v/>
      </c>
      <c r="C17343" s="44"/>
      <c r="D17343" s="44"/>
      <c r="E17343" s="46" t="s">
        <v>13557</v>
      </c>
      <c r="F17343" s="46" t="s">
        <v>1191</v>
      </c>
      <c r="G17343" s="46">
        <v>5.047288728079E12</v>
      </c>
      <c r="H17343" s="46" t="s">
        <v>1192</v>
      </c>
      <c r="I17343" s="46" t="s">
        <v>1193</v>
      </c>
      <c r="J17343" s="46" t="s">
        <v>134</v>
      </c>
      <c r="K17343" s="46" t="s">
        <v>126</v>
      </c>
      <c r="L17343" s="45">
        <v>46015.125</v>
      </c>
      <c r="M17343" s="46" t="s">
        <v>123</v>
      </c>
      <c r="N17343" s="45">
        <v>46015.145833333336</v>
      </c>
      <c r="O17343" s="46" t="s">
        <v>123</v>
      </c>
      <c r="P17343" s="46">
        <v>1800.0</v>
      </c>
    </row>
    <row r="17344">
      <c r="A17344" s="40">
        <f t="shared" si="1"/>
        <v>46013</v>
      </c>
      <c r="B17344" s="37" t="str">
        <f t="array" ref="B17344">iferror(xlookup($I17344, 'IMPORT VHC Report'!$E:$E, 'IMPORT VHC Report'!$A:$C), )</f>
        <v/>
      </c>
      <c r="C17344" s="44"/>
      <c r="D17344" s="44"/>
      <c r="E17344" s="46" t="s">
        <v>13558</v>
      </c>
      <c r="F17344" s="46" t="s">
        <v>1191</v>
      </c>
      <c r="G17344" s="46">
        <v>5.047288728079E12</v>
      </c>
      <c r="H17344" s="46" t="s">
        <v>1192</v>
      </c>
      <c r="I17344" s="46" t="s">
        <v>1193</v>
      </c>
      <c r="J17344" s="46" t="s">
        <v>4</v>
      </c>
      <c r="K17344" s="46" t="s">
        <v>126</v>
      </c>
      <c r="L17344" s="45">
        <v>46015.875</v>
      </c>
      <c r="M17344" s="46" t="s">
        <v>123</v>
      </c>
      <c r="N17344" s="45">
        <v>46015.895833333336</v>
      </c>
      <c r="O17344" s="46" t="s">
        <v>123</v>
      </c>
      <c r="P17344" s="46">
        <v>1800.0</v>
      </c>
    </row>
    <row r="17345">
      <c r="A17345" s="40">
        <f t="shared" si="1"/>
        <v>46013</v>
      </c>
      <c r="B17345" s="37" t="str">
        <f t="array" ref="B17345">iferror(xlookup($I17345, 'IMPORT VHC Report'!$E:$E, 'IMPORT VHC Report'!$A:$C), )</f>
        <v/>
      </c>
      <c r="C17345" s="44"/>
      <c r="D17345" s="44"/>
      <c r="E17345" s="46" t="s">
        <v>13559</v>
      </c>
      <c r="F17345" s="46" t="s">
        <v>1191</v>
      </c>
      <c r="G17345" s="46">
        <v>5.047288728079E12</v>
      </c>
      <c r="H17345" s="46" t="s">
        <v>1192</v>
      </c>
      <c r="I17345" s="46" t="s">
        <v>1193</v>
      </c>
      <c r="J17345" s="46" t="s">
        <v>530</v>
      </c>
      <c r="K17345" s="46" t="s">
        <v>63</v>
      </c>
      <c r="L17345" s="45">
        <v>46015.875</v>
      </c>
      <c r="M17345" s="46" t="s">
        <v>123</v>
      </c>
      <c r="N17345" s="45">
        <v>46016.25</v>
      </c>
      <c r="O17345" s="46" t="s">
        <v>123</v>
      </c>
      <c r="P17345" s="46">
        <v>32400.0</v>
      </c>
    </row>
    <row r="17346">
      <c r="A17346" s="40">
        <f t="shared" si="1"/>
        <v>46013</v>
      </c>
      <c r="B17346" s="37" t="str">
        <f t="array" ref="B17346">iferror(xlookup($I17346, 'IMPORT VHC Report'!$E:$E, 'IMPORT VHC Report'!$A:$C), )</f>
        <v/>
      </c>
      <c r="C17346" s="44"/>
      <c r="D17346" s="44"/>
      <c r="E17346" s="46" t="s">
        <v>13560</v>
      </c>
      <c r="F17346" s="46" t="s">
        <v>1191</v>
      </c>
      <c r="G17346" s="46">
        <v>5.047288728079E12</v>
      </c>
      <c r="H17346" s="46" t="s">
        <v>1192</v>
      </c>
      <c r="I17346" s="46" t="s">
        <v>1193</v>
      </c>
      <c r="J17346" s="46" t="s">
        <v>132</v>
      </c>
      <c r="K17346" s="46" t="s">
        <v>126</v>
      </c>
      <c r="L17346" s="45">
        <v>46015.979166666664</v>
      </c>
      <c r="M17346" s="46" t="s">
        <v>123</v>
      </c>
      <c r="N17346" s="45">
        <v>46016.020833333336</v>
      </c>
      <c r="O17346" s="46" t="s">
        <v>123</v>
      </c>
      <c r="P17346" s="46">
        <v>3600.0</v>
      </c>
    </row>
    <row r="17347">
      <c r="A17347" s="40">
        <f t="shared" si="1"/>
        <v>46013</v>
      </c>
      <c r="B17347" s="37" t="str">
        <f t="array" ref="B17347">iferror(xlookup($I17347, 'IMPORT VHC Report'!$E:$E, 'IMPORT VHC Report'!$A:$C), )</f>
        <v/>
      </c>
      <c r="C17347" s="44"/>
      <c r="D17347" s="44"/>
      <c r="E17347" s="46" t="s">
        <v>13561</v>
      </c>
      <c r="F17347" s="46" t="s">
        <v>1191</v>
      </c>
      <c r="G17347" s="46">
        <v>5.047288728079E12</v>
      </c>
      <c r="H17347" s="46" t="s">
        <v>1192</v>
      </c>
      <c r="I17347" s="46" t="s">
        <v>1193</v>
      </c>
      <c r="J17347" s="46" t="s">
        <v>134</v>
      </c>
      <c r="K17347" s="46" t="s">
        <v>126</v>
      </c>
      <c r="L17347" s="45">
        <v>46016.020833333336</v>
      </c>
      <c r="M17347" s="46" t="s">
        <v>123</v>
      </c>
      <c r="N17347" s="45">
        <v>46016.041666666664</v>
      </c>
      <c r="O17347" s="46" t="s">
        <v>123</v>
      </c>
      <c r="P17347" s="46">
        <v>1800.0</v>
      </c>
    </row>
    <row r="17348">
      <c r="A17348" s="40">
        <f t="shared" si="1"/>
        <v>46013</v>
      </c>
      <c r="B17348" s="37" t="str">
        <f t="array" ref="B17348">iferror(xlookup($I17348, 'IMPORT VHC Report'!$E:$E, 'IMPORT VHC Report'!$A:$C), )</f>
        <v/>
      </c>
      <c r="C17348" s="44"/>
      <c r="D17348" s="44"/>
      <c r="E17348" s="46" t="s">
        <v>13562</v>
      </c>
      <c r="F17348" s="46" t="s">
        <v>1191</v>
      </c>
      <c r="G17348" s="46">
        <v>5.047288728079E12</v>
      </c>
      <c r="H17348" s="46" t="s">
        <v>1192</v>
      </c>
      <c r="I17348" s="46" t="s">
        <v>1193</v>
      </c>
      <c r="J17348" s="46" t="s">
        <v>136</v>
      </c>
      <c r="K17348" s="46" t="s">
        <v>126</v>
      </c>
      <c r="L17348" s="45">
        <v>46016.041666666664</v>
      </c>
      <c r="M17348" s="46" t="s">
        <v>123</v>
      </c>
      <c r="N17348" s="45">
        <v>46016.083333333336</v>
      </c>
      <c r="O17348" s="46" t="s">
        <v>123</v>
      </c>
      <c r="P17348" s="46">
        <v>3600.0</v>
      </c>
    </row>
    <row r="17349">
      <c r="A17349" s="40">
        <f t="shared" si="1"/>
        <v>46013</v>
      </c>
      <c r="B17349" s="37" t="str">
        <f t="array" ref="B17349">iferror(xlookup($I17349, 'IMPORT VHC Report'!$E:$E, 'IMPORT VHC Report'!$A:$C), )</f>
        <v/>
      </c>
      <c r="C17349" s="44"/>
      <c r="D17349" s="44"/>
      <c r="E17349" s="46" t="s">
        <v>13563</v>
      </c>
      <c r="F17349" s="46" t="s">
        <v>1191</v>
      </c>
      <c r="G17349" s="46">
        <v>5.047288728079E12</v>
      </c>
      <c r="H17349" s="46" t="s">
        <v>1192</v>
      </c>
      <c r="I17349" s="46" t="s">
        <v>1193</v>
      </c>
      <c r="J17349" s="46" t="s">
        <v>125</v>
      </c>
      <c r="K17349" s="46" t="s">
        <v>126</v>
      </c>
      <c r="L17349" s="45">
        <v>46016.208333333336</v>
      </c>
      <c r="M17349" s="46" t="s">
        <v>123</v>
      </c>
      <c r="N17349" s="45">
        <v>46016.25</v>
      </c>
      <c r="O17349" s="46" t="s">
        <v>123</v>
      </c>
      <c r="P17349" s="46">
        <v>3600.0</v>
      </c>
      <c r="S17349" s="46" t="s">
        <v>2336</v>
      </c>
    </row>
    <row r="17350">
      <c r="A17350" s="40">
        <f t="shared" si="1"/>
        <v>46013</v>
      </c>
      <c r="B17350" s="37" t="str">
        <f t="array" ref="B17350">iferror(xlookup($I17350, 'IMPORT VHC Report'!$E:$E, 'IMPORT VHC Report'!$A:$C), )</f>
        <v/>
      </c>
      <c r="C17350" s="44"/>
      <c r="D17350" s="44"/>
      <c r="E17350" s="46" t="s">
        <v>13564</v>
      </c>
      <c r="F17350" s="46" t="s">
        <v>1191</v>
      </c>
      <c r="G17350" s="46">
        <v>5.047288728079E12</v>
      </c>
      <c r="H17350" s="46" t="s">
        <v>1192</v>
      </c>
      <c r="I17350" s="46" t="s">
        <v>1193</v>
      </c>
      <c r="J17350" s="46" t="s">
        <v>4</v>
      </c>
      <c r="K17350" s="46" t="s">
        <v>126</v>
      </c>
      <c r="L17350" s="45">
        <v>46016.875</v>
      </c>
      <c r="M17350" s="46" t="s">
        <v>123</v>
      </c>
      <c r="N17350" s="45">
        <v>46016.895833333336</v>
      </c>
      <c r="O17350" s="46" t="s">
        <v>123</v>
      </c>
      <c r="P17350" s="46">
        <v>1800.0</v>
      </c>
    </row>
    <row r="17351">
      <c r="A17351" s="40">
        <f t="shared" si="1"/>
        <v>46013</v>
      </c>
      <c r="B17351" s="37" t="str">
        <f t="array" ref="B17351">iferror(xlookup($I17351, 'IMPORT VHC Report'!$E:$E, 'IMPORT VHC Report'!$A:$C), )</f>
        <v/>
      </c>
      <c r="C17351" s="44"/>
      <c r="D17351" s="44"/>
      <c r="E17351" s="46" t="s">
        <v>13565</v>
      </c>
      <c r="F17351" s="46" t="s">
        <v>1191</v>
      </c>
      <c r="G17351" s="46">
        <v>5.047288728079E12</v>
      </c>
      <c r="H17351" s="46" t="s">
        <v>1192</v>
      </c>
      <c r="I17351" s="46" t="s">
        <v>1193</v>
      </c>
      <c r="J17351" s="46" t="s">
        <v>530</v>
      </c>
      <c r="K17351" s="46" t="s">
        <v>63</v>
      </c>
      <c r="L17351" s="45">
        <v>46016.875</v>
      </c>
      <c r="M17351" s="46" t="s">
        <v>123</v>
      </c>
      <c r="N17351" s="45">
        <v>46017.25</v>
      </c>
      <c r="O17351" s="46" t="s">
        <v>123</v>
      </c>
      <c r="P17351" s="46">
        <v>32400.0</v>
      </c>
    </row>
    <row r="17352">
      <c r="A17352" s="40">
        <f t="shared" si="1"/>
        <v>46013</v>
      </c>
      <c r="B17352" s="37" t="str">
        <f t="array" ref="B17352">iferror(xlookup($I17352, 'IMPORT VHC Report'!$E:$E, 'IMPORT VHC Report'!$A:$C), )</f>
        <v/>
      </c>
      <c r="C17352" s="44"/>
      <c r="D17352" s="44"/>
      <c r="E17352" s="46" t="s">
        <v>13566</v>
      </c>
      <c r="F17352" s="46" t="s">
        <v>1191</v>
      </c>
      <c r="G17352" s="46">
        <v>5.047288728079E12</v>
      </c>
      <c r="H17352" s="46" t="s">
        <v>1192</v>
      </c>
      <c r="I17352" s="46" t="s">
        <v>1193</v>
      </c>
      <c r="J17352" s="46" t="s">
        <v>132</v>
      </c>
      <c r="K17352" s="46" t="s">
        <v>126</v>
      </c>
      <c r="L17352" s="45">
        <v>46017.020833333336</v>
      </c>
      <c r="M17352" s="46" t="s">
        <v>123</v>
      </c>
      <c r="N17352" s="45">
        <v>46017.0625</v>
      </c>
      <c r="O17352" s="46" t="s">
        <v>123</v>
      </c>
      <c r="P17352" s="46">
        <v>3600.0</v>
      </c>
    </row>
    <row r="17353">
      <c r="A17353" s="40">
        <f t="shared" si="1"/>
        <v>46013</v>
      </c>
      <c r="B17353" s="37" t="str">
        <f t="array" ref="B17353">iferror(xlookup($I17353, 'IMPORT VHC Report'!$E:$E, 'IMPORT VHC Report'!$A:$C), )</f>
        <v/>
      </c>
      <c r="C17353" s="44"/>
      <c r="D17353" s="44"/>
      <c r="E17353" s="46" t="s">
        <v>13567</v>
      </c>
      <c r="F17353" s="46" t="s">
        <v>1191</v>
      </c>
      <c r="G17353" s="46">
        <v>5.047288728079E12</v>
      </c>
      <c r="H17353" s="46" t="s">
        <v>1192</v>
      </c>
      <c r="I17353" s="46" t="s">
        <v>1193</v>
      </c>
      <c r="J17353" s="46" t="s">
        <v>134</v>
      </c>
      <c r="K17353" s="46" t="s">
        <v>126</v>
      </c>
      <c r="L17353" s="45">
        <v>46017.0625</v>
      </c>
      <c r="M17353" s="46" t="s">
        <v>123</v>
      </c>
      <c r="N17353" s="45">
        <v>46017.083333333336</v>
      </c>
      <c r="O17353" s="46" t="s">
        <v>123</v>
      </c>
      <c r="P17353" s="46">
        <v>1800.0</v>
      </c>
    </row>
    <row r="17354">
      <c r="A17354" s="40">
        <f t="shared" si="1"/>
        <v>46013</v>
      </c>
      <c r="B17354" s="37" t="str">
        <f t="array" ref="B17354">iferror(xlookup($I17354, 'IMPORT VHC Report'!$E:$E, 'IMPORT VHC Report'!$A:$C), )</f>
        <v/>
      </c>
      <c r="C17354" s="44"/>
      <c r="D17354" s="44"/>
      <c r="E17354" s="46" t="s">
        <v>13568</v>
      </c>
      <c r="F17354" s="46" t="s">
        <v>1191</v>
      </c>
      <c r="G17354" s="46">
        <v>5.047288728079E12</v>
      </c>
      <c r="H17354" s="46" t="s">
        <v>1192</v>
      </c>
      <c r="I17354" s="46" t="s">
        <v>1193</v>
      </c>
      <c r="J17354" s="46" t="s">
        <v>4</v>
      </c>
      <c r="K17354" s="46" t="s">
        <v>126</v>
      </c>
      <c r="L17354" s="45">
        <v>46019.875</v>
      </c>
      <c r="M17354" s="46" t="s">
        <v>123</v>
      </c>
      <c r="N17354" s="45">
        <v>46019.895833333336</v>
      </c>
      <c r="O17354" s="46" t="s">
        <v>123</v>
      </c>
      <c r="P17354" s="46">
        <v>1800.0</v>
      </c>
    </row>
    <row r="17355">
      <c r="A17355" s="40">
        <f t="shared" si="1"/>
        <v>46013</v>
      </c>
      <c r="B17355" s="37" t="str">
        <f t="array" ref="B17355">iferror(xlookup($I17355, 'IMPORT VHC Report'!$E:$E, 'IMPORT VHC Report'!$A:$C), )</f>
        <v/>
      </c>
      <c r="C17355" s="44"/>
      <c r="D17355" s="44"/>
      <c r="E17355" s="46" t="s">
        <v>13569</v>
      </c>
      <c r="F17355" s="46" t="s">
        <v>1191</v>
      </c>
      <c r="G17355" s="46">
        <v>5.047288728079E12</v>
      </c>
      <c r="H17355" s="46" t="s">
        <v>1192</v>
      </c>
      <c r="I17355" s="46" t="s">
        <v>1193</v>
      </c>
      <c r="J17355" s="46" t="s">
        <v>530</v>
      </c>
      <c r="K17355" s="46" t="s">
        <v>63</v>
      </c>
      <c r="L17355" s="45">
        <v>46019.875</v>
      </c>
      <c r="M17355" s="46" t="s">
        <v>123</v>
      </c>
      <c r="N17355" s="45">
        <v>46020.0</v>
      </c>
      <c r="O17355" s="46" t="s">
        <v>123</v>
      </c>
      <c r="P17355" s="46">
        <v>10800.0</v>
      </c>
    </row>
    <row r="17356">
      <c r="A17356" s="40">
        <f t="shared" si="1"/>
        <v>46013</v>
      </c>
      <c r="B17356" s="37" t="str">
        <f t="array" ref="B17356">iferror(xlookup($I17356, 'IMPORT VHC Report'!$E:$E, 'IMPORT VHC Report'!$A:$C), )</f>
        <v/>
      </c>
      <c r="C17356" s="44"/>
      <c r="D17356" s="44"/>
      <c r="E17356" s="46" t="s">
        <v>13570</v>
      </c>
      <c r="F17356" s="46" t="s">
        <v>1191</v>
      </c>
      <c r="G17356" s="46">
        <v>5.047288728079E12</v>
      </c>
      <c r="H17356" s="46" t="s">
        <v>1192</v>
      </c>
      <c r="I17356" s="46" t="s">
        <v>1193</v>
      </c>
      <c r="J17356" s="46" t="s">
        <v>134</v>
      </c>
      <c r="K17356" s="46" t="s">
        <v>126</v>
      </c>
      <c r="L17356" s="45">
        <v>46019.958333333336</v>
      </c>
      <c r="M17356" s="46" t="s">
        <v>123</v>
      </c>
      <c r="N17356" s="45">
        <v>46019.979166666664</v>
      </c>
      <c r="O17356" s="46" t="s">
        <v>123</v>
      </c>
      <c r="P17356" s="46">
        <v>1800.0</v>
      </c>
    </row>
    <row r="17357">
      <c r="A17357" s="40">
        <f t="shared" si="1"/>
        <v>46013</v>
      </c>
      <c r="B17357" s="37" t="str">
        <f t="array" ref="B17357">iferror(xlookup($I17357, 'IMPORT VHC Report'!$E:$E, 'IMPORT VHC Report'!$A:$C), )</f>
        <v/>
      </c>
      <c r="C17357" s="44"/>
      <c r="D17357" s="44"/>
      <c r="E17357" s="46" t="s">
        <v>13571</v>
      </c>
      <c r="F17357" s="46" t="s">
        <v>1221</v>
      </c>
      <c r="G17357" s="46">
        <v>3.61725115656E11</v>
      </c>
      <c r="H17357" s="46" t="s">
        <v>1222</v>
      </c>
      <c r="I17357" s="46" t="s">
        <v>1223</v>
      </c>
      <c r="J17357" s="46" t="s">
        <v>530</v>
      </c>
      <c r="K17357" s="46" t="s">
        <v>63</v>
      </c>
      <c r="L17357" s="45">
        <v>46013.0</v>
      </c>
      <c r="M17357" s="46" t="s">
        <v>123</v>
      </c>
      <c r="N17357" s="45">
        <v>46013.25</v>
      </c>
      <c r="O17357" s="46" t="s">
        <v>123</v>
      </c>
      <c r="P17357" s="46">
        <v>21600.0</v>
      </c>
    </row>
    <row r="17358">
      <c r="A17358" s="40">
        <f t="shared" si="1"/>
        <v>46013</v>
      </c>
      <c r="B17358" s="37" t="str">
        <f t="array" ref="B17358">iferror(xlookup($I17358, 'IMPORT VHC Report'!$E:$E, 'IMPORT VHC Report'!$A:$C), )</f>
        <v/>
      </c>
      <c r="C17358" s="44"/>
      <c r="D17358" s="44"/>
      <c r="E17358" s="46" t="s">
        <v>13572</v>
      </c>
      <c r="F17358" s="46" t="s">
        <v>1221</v>
      </c>
      <c r="G17358" s="46">
        <v>3.61725115656E11</v>
      </c>
      <c r="H17358" s="46" t="s">
        <v>1222</v>
      </c>
      <c r="I17358" s="46" t="s">
        <v>1223</v>
      </c>
      <c r="J17358" s="46" t="s">
        <v>132</v>
      </c>
      <c r="K17358" s="46" t="s">
        <v>126</v>
      </c>
      <c r="L17358" s="45">
        <v>46013.09375</v>
      </c>
      <c r="M17358" s="46" t="s">
        <v>123</v>
      </c>
      <c r="N17358" s="45">
        <v>46013.135416666664</v>
      </c>
      <c r="O17358" s="46" t="s">
        <v>123</v>
      </c>
      <c r="P17358" s="46">
        <v>3600.0</v>
      </c>
    </row>
    <row r="17359">
      <c r="A17359" s="40">
        <f t="shared" si="1"/>
        <v>46013</v>
      </c>
      <c r="B17359" s="37" t="str">
        <f t="array" ref="B17359">iferror(xlookup($I17359, 'IMPORT VHC Report'!$E:$E, 'IMPORT VHC Report'!$A:$C), )</f>
        <v/>
      </c>
      <c r="C17359" s="44"/>
      <c r="D17359" s="44"/>
      <c r="E17359" s="46" t="s">
        <v>13573</v>
      </c>
      <c r="F17359" s="46" t="s">
        <v>1221</v>
      </c>
      <c r="G17359" s="46">
        <v>3.61725115656E11</v>
      </c>
      <c r="H17359" s="46" t="s">
        <v>1222</v>
      </c>
      <c r="I17359" s="46" t="s">
        <v>1223</v>
      </c>
      <c r="J17359" s="46" t="s">
        <v>4</v>
      </c>
      <c r="K17359" s="46" t="s">
        <v>126</v>
      </c>
      <c r="L17359" s="45">
        <v>46013.21875</v>
      </c>
      <c r="M17359" s="46" t="s">
        <v>123</v>
      </c>
      <c r="N17359" s="45">
        <v>46013.25</v>
      </c>
      <c r="O17359" s="46" t="s">
        <v>123</v>
      </c>
      <c r="P17359" s="46">
        <v>2700.0</v>
      </c>
      <c r="S17359" s="46" t="s">
        <v>13527</v>
      </c>
    </row>
    <row r="17360">
      <c r="A17360" s="40">
        <f t="shared" si="1"/>
        <v>46013</v>
      </c>
      <c r="B17360" s="37" t="str">
        <f t="array" ref="B17360">iferror(xlookup($I17360, 'IMPORT VHC Report'!$E:$E, 'IMPORT VHC Report'!$A:$C), )</f>
        <v/>
      </c>
      <c r="C17360" s="44"/>
      <c r="D17360" s="44"/>
      <c r="E17360" s="46" t="s">
        <v>13574</v>
      </c>
      <c r="F17360" s="46" t="s">
        <v>1221</v>
      </c>
      <c r="G17360" s="46">
        <v>3.61725115656E11</v>
      </c>
      <c r="H17360" s="46" t="s">
        <v>1222</v>
      </c>
      <c r="I17360" s="46" t="s">
        <v>1223</v>
      </c>
      <c r="J17360" s="46" t="s">
        <v>4</v>
      </c>
      <c r="K17360" s="46" t="s">
        <v>126</v>
      </c>
      <c r="L17360" s="45">
        <v>46013.875</v>
      </c>
      <c r="M17360" s="46" t="s">
        <v>123</v>
      </c>
      <c r="N17360" s="45">
        <v>46013.895833333336</v>
      </c>
      <c r="O17360" s="46" t="s">
        <v>123</v>
      </c>
      <c r="P17360" s="46">
        <v>1800.0</v>
      </c>
    </row>
    <row r="17361">
      <c r="A17361" s="40">
        <f t="shared" si="1"/>
        <v>46013</v>
      </c>
      <c r="B17361" s="37" t="str">
        <f t="array" ref="B17361">iferror(xlookup($I17361, 'IMPORT VHC Report'!$E:$E, 'IMPORT VHC Report'!$A:$C), )</f>
        <v/>
      </c>
      <c r="C17361" s="44"/>
      <c r="D17361" s="44"/>
      <c r="E17361" s="46" t="s">
        <v>13575</v>
      </c>
      <c r="F17361" s="46" t="s">
        <v>1221</v>
      </c>
      <c r="G17361" s="46">
        <v>3.61725115656E11</v>
      </c>
      <c r="H17361" s="46" t="s">
        <v>1222</v>
      </c>
      <c r="I17361" s="46" t="s">
        <v>1223</v>
      </c>
      <c r="J17361" s="46" t="s">
        <v>530</v>
      </c>
      <c r="K17361" s="46" t="s">
        <v>63</v>
      </c>
      <c r="L17361" s="45">
        <v>46013.875</v>
      </c>
      <c r="M17361" s="46" t="s">
        <v>123</v>
      </c>
      <c r="N17361" s="45">
        <v>46014.25</v>
      </c>
      <c r="O17361" s="46" t="s">
        <v>123</v>
      </c>
      <c r="P17361" s="46">
        <v>32400.0</v>
      </c>
    </row>
    <row r="17362">
      <c r="A17362" s="40">
        <f t="shared" si="1"/>
        <v>46013</v>
      </c>
      <c r="B17362" s="37" t="str">
        <f t="array" ref="B17362">iferror(xlookup($I17362, 'IMPORT VHC Report'!$E:$E, 'IMPORT VHC Report'!$A:$C), )</f>
        <v/>
      </c>
      <c r="C17362" s="44"/>
      <c r="D17362" s="44"/>
      <c r="E17362" s="46" t="s">
        <v>13576</v>
      </c>
      <c r="F17362" s="46" t="s">
        <v>1221</v>
      </c>
      <c r="G17362" s="46">
        <v>3.61725115656E11</v>
      </c>
      <c r="H17362" s="46" t="s">
        <v>1222</v>
      </c>
      <c r="I17362" s="46" t="s">
        <v>1223</v>
      </c>
      <c r="J17362" s="46" t="s">
        <v>178</v>
      </c>
      <c r="K17362" s="46" t="s">
        <v>153</v>
      </c>
      <c r="L17362" s="45">
        <v>46013.875</v>
      </c>
      <c r="M17362" s="46" t="s">
        <v>123</v>
      </c>
      <c r="N17362" s="45">
        <v>46014.25</v>
      </c>
      <c r="O17362" s="46" t="s">
        <v>123</v>
      </c>
      <c r="P17362" s="46">
        <v>32400.0</v>
      </c>
      <c r="Q17362" s="46">
        <v>28800.0</v>
      </c>
      <c r="R17362" s="46" t="s">
        <v>13577</v>
      </c>
    </row>
    <row r="17363">
      <c r="A17363" s="40">
        <f t="shared" si="1"/>
        <v>46013</v>
      </c>
      <c r="B17363" s="37" t="str">
        <f t="array" ref="B17363">iferror(xlookup($I17363, 'IMPORT VHC Report'!$E:$E, 'IMPORT VHC Report'!$A:$C), )</f>
        <v/>
      </c>
      <c r="C17363" s="44"/>
      <c r="D17363" s="44"/>
      <c r="E17363" s="46" t="s">
        <v>13578</v>
      </c>
      <c r="F17363" s="46" t="s">
        <v>1221</v>
      </c>
      <c r="G17363" s="46">
        <v>3.61725115656E11</v>
      </c>
      <c r="H17363" s="46" t="s">
        <v>1222</v>
      </c>
      <c r="I17363" s="46" t="s">
        <v>1223</v>
      </c>
      <c r="J17363" s="46" t="s">
        <v>132</v>
      </c>
      <c r="K17363" s="46" t="s">
        <v>126</v>
      </c>
      <c r="L17363" s="45">
        <v>46014.010416666664</v>
      </c>
      <c r="M17363" s="46" t="s">
        <v>123</v>
      </c>
      <c r="N17363" s="45">
        <v>46014.052083333336</v>
      </c>
      <c r="O17363" s="46" t="s">
        <v>123</v>
      </c>
      <c r="P17363" s="46">
        <v>3600.0</v>
      </c>
    </row>
    <row r="17364">
      <c r="A17364" s="40">
        <f t="shared" si="1"/>
        <v>46013</v>
      </c>
      <c r="B17364" s="37" t="str">
        <f t="array" ref="B17364">iferror(xlookup($I17364, 'IMPORT VHC Report'!$E:$E, 'IMPORT VHC Report'!$A:$C), )</f>
        <v/>
      </c>
      <c r="C17364" s="44"/>
      <c r="D17364" s="44"/>
      <c r="E17364" s="46" t="s">
        <v>13579</v>
      </c>
      <c r="F17364" s="46" t="s">
        <v>1221</v>
      </c>
      <c r="G17364" s="46">
        <v>3.61725115656E11</v>
      </c>
      <c r="H17364" s="46" t="s">
        <v>1222</v>
      </c>
      <c r="I17364" s="46" t="s">
        <v>1223</v>
      </c>
      <c r="J17364" s="46" t="s">
        <v>134</v>
      </c>
      <c r="K17364" s="46" t="s">
        <v>126</v>
      </c>
      <c r="L17364" s="45">
        <v>46014.1875</v>
      </c>
      <c r="M17364" s="46" t="s">
        <v>123</v>
      </c>
      <c r="N17364" s="45">
        <v>46014.208333333336</v>
      </c>
      <c r="O17364" s="46" t="s">
        <v>123</v>
      </c>
      <c r="P17364" s="46">
        <v>1800.0</v>
      </c>
    </row>
    <row r="17365">
      <c r="A17365" s="40">
        <f t="shared" si="1"/>
        <v>46013</v>
      </c>
      <c r="B17365" s="37" t="str">
        <f t="array" ref="B17365">iferror(xlookup($I17365, 'IMPORT VHC Report'!$E:$E, 'IMPORT VHC Report'!$A:$C), )</f>
        <v/>
      </c>
      <c r="C17365" s="44"/>
      <c r="D17365" s="44"/>
      <c r="E17365" s="46" t="s">
        <v>13580</v>
      </c>
      <c r="F17365" s="46" t="s">
        <v>1221</v>
      </c>
      <c r="G17365" s="46">
        <v>3.61725115656E11</v>
      </c>
      <c r="H17365" s="46" t="s">
        <v>1222</v>
      </c>
      <c r="I17365" s="46" t="s">
        <v>1223</v>
      </c>
      <c r="J17365" s="46" t="s">
        <v>4</v>
      </c>
      <c r="K17365" s="46" t="s">
        <v>126</v>
      </c>
      <c r="L17365" s="45">
        <v>46014.875</v>
      </c>
      <c r="M17365" s="46" t="s">
        <v>123</v>
      </c>
      <c r="N17365" s="45">
        <v>46014.895833333336</v>
      </c>
      <c r="O17365" s="46" t="s">
        <v>123</v>
      </c>
      <c r="P17365" s="46">
        <v>1800.0</v>
      </c>
    </row>
    <row r="17366">
      <c r="A17366" s="40">
        <f t="shared" si="1"/>
        <v>46013</v>
      </c>
      <c r="B17366" s="37" t="str">
        <f t="array" ref="B17366">iferror(xlookup($I17366, 'IMPORT VHC Report'!$E:$E, 'IMPORT VHC Report'!$A:$C), )</f>
        <v/>
      </c>
      <c r="C17366" s="44"/>
      <c r="D17366" s="44"/>
      <c r="E17366" s="46" t="s">
        <v>13581</v>
      </c>
      <c r="F17366" s="46" t="s">
        <v>1221</v>
      </c>
      <c r="G17366" s="46">
        <v>3.61725115656E11</v>
      </c>
      <c r="H17366" s="46" t="s">
        <v>1222</v>
      </c>
      <c r="I17366" s="46" t="s">
        <v>1223</v>
      </c>
      <c r="J17366" s="46" t="s">
        <v>178</v>
      </c>
      <c r="K17366" s="46" t="s">
        <v>153</v>
      </c>
      <c r="L17366" s="45">
        <v>46014.875</v>
      </c>
      <c r="M17366" s="46" t="s">
        <v>123</v>
      </c>
      <c r="N17366" s="45">
        <v>46015.25</v>
      </c>
      <c r="O17366" s="46" t="s">
        <v>123</v>
      </c>
      <c r="P17366" s="46">
        <v>32400.0</v>
      </c>
      <c r="Q17366" s="46">
        <v>57600.0</v>
      </c>
      <c r="R17366" s="46" t="s">
        <v>13582</v>
      </c>
    </row>
    <row r="17367">
      <c r="A17367" s="40">
        <f t="shared" si="1"/>
        <v>46013</v>
      </c>
      <c r="B17367" s="37" t="str">
        <f t="array" ref="B17367">iferror(xlookup($I17367, 'IMPORT VHC Report'!$E:$E, 'IMPORT VHC Report'!$A:$C), )</f>
        <v/>
      </c>
      <c r="C17367" s="44"/>
      <c r="D17367" s="44"/>
      <c r="E17367" s="46" t="s">
        <v>13583</v>
      </c>
      <c r="F17367" s="46" t="s">
        <v>1221</v>
      </c>
      <c r="G17367" s="46">
        <v>3.61725115656E11</v>
      </c>
      <c r="H17367" s="46" t="s">
        <v>1222</v>
      </c>
      <c r="I17367" s="46" t="s">
        <v>1223</v>
      </c>
      <c r="J17367" s="46" t="s">
        <v>530</v>
      </c>
      <c r="K17367" s="46" t="s">
        <v>63</v>
      </c>
      <c r="L17367" s="45">
        <v>46014.875</v>
      </c>
      <c r="M17367" s="46" t="s">
        <v>123</v>
      </c>
      <c r="N17367" s="45">
        <v>46015.25</v>
      </c>
      <c r="O17367" s="46" t="s">
        <v>123</v>
      </c>
      <c r="P17367" s="46">
        <v>32400.0</v>
      </c>
    </row>
    <row r="17368">
      <c r="A17368" s="40">
        <f t="shared" si="1"/>
        <v>46013</v>
      </c>
      <c r="B17368" s="37" t="str">
        <f t="array" ref="B17368">iferror(xlookup($I17368, 'IMPORT VHC Report'!$E:$E, 'IMPORT VHC Report'!$A:$C), )</f>
        <v/>
      </c>
      <c r="C17368" s="44"/>
      <c r="D17368" s="44"/>
      <c r="E17368" s="46" t="s">
        <v>13584</v>
      </c>
      <c r="F17368" s="46" t="s">
        <v>1221</v>
      </c>
      <c r="G17368" s="46">
        <v>3.61725115656E11</v>
      </c>
      <c r="H17368" s="46" t="s">
        <v>1222</v>
      </c>
      <c r="I17368" s="46" t="s">
        <v>1223</v>
      </c>
      <c r="J17368" s="46" t="s">
        <v>134</v>
      </c>
      <c r="K17368" s="46" t="s">
        <v>126</v>
      </c>
      <c r="L17368" s="45">
        <v>46015.010416666664</v>
      </c>
      <c r="M17368" s="46" t="s">
        <v>123</v>
      </c>
      <c r="N17368" s="45">
        <v>46015.03125</v>
      </c>
      <c r="O17368" s="46" t="s">
        <v>123</v>
      </c>
      <c r="P17368" s="46">
        <v>1800.0</v>
      </c>
    </row>
    <row r="17369">
      <c r="A17369" s="40">
        <f t="shared" si="1"/>
        <v>46013</v>
      </c>
      <c r="B17369" s="37" t="str">
        <f t="array" ref="B17369">iferror(xlookup($I17369, 'IMPORT VHC Report'!$E:$E, 'IMPORT VHC Report'!$A:$C), )</f>
        <v/>
      </c>
      <c r="C17369" s="44"/>
      <c r="D17369" s="44"/>
      <c r="E17369" s="46" t="s">
        <v>13585</v>
      </c>
      <c r="F17369" s="46" t="s">
        <v>1221</v>
      </c>
      <c r="G17369" s="46">
        <v>3.61725115656E11</v>
      </c>
      <c r="H17369" s="46" t="s">
        <v>1222</v>
      </c>
      <c r="I17369" s="46" t="s">
        <v>1223</v>
      </c>
      <c r="J17369" s="46" t="s">
        <v>132</v>
      </c>
      <c r="K17369" s="46" t="s">
        <v>126</v>
      </c>
      <c r="L17369" s="45">
        <v>46015.135416666664</v>
      </c>
      <c r="M17369" s="46" t="s">
        <v>123</v>
      </c>
      <c r="N17369" s="45">
        <v>46015.177083333336</v>
      </c>
      <c r="O17369" s="46" t="s">
        <v>123</v>
      </c>
      <c r="P17369" s="46">
        <v>3600.0</v>
      </c>
    </row>
    <row r="17370">
      <c r="A17370" s="40">
        <f t="shared" si="1"/>
        <v>46013</v>
      </c>
      <c r="B17370" s="37" t="str">
        <f t="array" ref="B17370">iferror(xlookup($I17370, 'IMPORT VHC Report'!$E:$E, 'IMPORT VHC Report'!$A:$C), )</f>
        <v/>
      </c>
      <c r="C17370" s="44"/>
      <c r="D17370" s="44"/>
      <c r="E17370" s="46" t="s">
        <v>13586</v>
      </c>
      <c r="F17370" s="46" t="s">
        <v>1221</v>
      </c>
      <c r="G17370" s="46">
        <v>3.61725115656E11</v>
      </c>
      <c r="H17370" s="46" t="s">
        <v>1222</v>
      </c>
      <c r="I17370" s="46" t="s">
        <v>1223</v>
      </c>
      <c r="J17370" s="46" t="s">
        <v>4</v>
      </c>
      <c r="K17370" s="46" t="s">
        <v>126</v>
      </c>
      <c r="L17370" s="45">
        <v>46015.875</v>
      </c>
      <c r="M17370" s="46" t="s">
        <v>123</v>
      </c>
      <c r="N17370" s="45">
        <v>46015.895833333336</v>
      </c>
      <c r="O17370" s="46" t="s">
        <v>123</v>
      </c>
      <c r="P17370" s="46">
        <v>1800.0</v>
      </c>
    </row>
    <row r="17371">
      <c r="A17371" s="40">
        <f t="shared" si="1"/>
        <v>46013</v>
      </c>
      <c r="B17371" s="37" t="str">
        <f t="array" ref="B17371">iferror(xlookup($I17371, 'IMPORT VHC Report'!$E:$E, 'IMPORT VHC Report'!$A:$C), )</f>
        <v/>
      </c>
      <c r="C17371" s="44"/>
      <c r="D17371" s="44"/>
      <c r="E17371" s="46" t="s">
        <v>13587</v>
      </c>
      <c r="F17371" s="46" t="s">
        <v>1221</v>
      </c>
      <c r="G17371" s="46">
        <v>3.61725115656E11</v>
      </c>
      <c r="H17371" s="46" t="s">
        <v>1222</v>
      </c>
      <c r="I17371" s="46" t="s">
        <v>1223</v>
      </c>
      <c r="J17371" s="46" t="s">
        <v>178</v>
      </c>
      <c r="K17371" s="46" t="s">
        <v>153</v>
      </c>
      <c r="L17371" s="45">
        <v>46015.875</v>
      </c>
      <c r="M17371" s="46" t="s">
        <v>123</v>
      </c>
      <c r="N17371" s="45">
        <v>46016.25</v>
      </c>
      <c r="O17371" s="46" t="s">
        <v>123</v>
      </c>
      <c r="P17371" s="46">
        <v>32400.0</v>
      </c>
      <c r="Q17371" s="46">
        <v>32400.0</v>
      </c>
      <c r="R17371" s="46" t="s">
        <v>13530</v>
      </c>
      <c r="S17371" s="46" t="s">
        <v>13530</v>
      </c>
    </row>
    <row r="17372">
      <c r="A17372" s="40">
        <f t="shared" si="1"/>
        <v>46013</v>
      </c>
      <c r="B17372" s="37" t="str">
        <f t="array" ref="B17372">iferror(xlookup($I17372, 'IMPORT VHC Report'!$E:$E, 'IMPORT VHC Report'!$A:$C), )</f>
        <v/>
      </c>
      <c r="C17372" s="44"/>
      <c r="D17372" s="44"/>
      <c r="E17372" s="46" t="s">
        <v>13588</v>
      </c>
      <c r="F17372" s="46" t="s">
        <v>1221</v>
      </c>
      <c r="G17372" s="46">
        <v>3.61725115656E11</v>
      </c>
      <c r="H17372" s="46" t="s">
        <v>1222</v>
      </c>
      <c r="I17372" s="46" t="s">
        <v>1223</v>
      </c>
      <c r="J17372" s="46" t="s">
        <v>530</v>
      </c>
      <c r="K17372" s="46" t="s">
        <v>63</v>
      </c>
      <c r="L17372" s="45">
        <v>46015.875</v>
      </c>
      <c r="M17372" s="46" t="s">
        <v>123</v>
      </c>
      <c r="N17372" s="45">
        <v>46016.25</v>
      </c>
      <c r="O17372" s="46" t="s">
        <v>123</v>
      </c>
      <c r="P17372" s="46">
        <v>32400.0</v>
      </c>
    </row>
    <row r="17373">
      <c r="A17373" s="40">
        <f t="shared" si="1"/>
        <v>46013</v>
      </c>
      <c r="B17373" s="37" t="str">
        <f t="array" ref="B17373">iferror(xlookup($I17373, 'IMPORT VHC Report'!$E:$E, 'IMPORT VHC Report'!$A:$C), )</f>
        <v/>
      </c>
      <c r="C17373" s="44"/>
      <c r="D17373" s="44"/>
      <c r="E17373" s="46" t="s">
        <v>13589</v>
      </c>
      <c r="F17373" s="46" t="s">
        <v>1221</v>
      </c>
      <c r="G17373" s="46">
        <v>3.61725115656E11</v>
      </c>
      <c r="H17373" s="46" t="s">
        <v>1222</v>
      </c>
      <c r="I17373" s="46" t="s">
        <v>1223</v>
      </c>
      <c r="J17373" s="46" t="s">
        <v>134</v>
      </c>
      <c r="K17373" s="46" t="s">
        <v>126</v>
      </c>
      <c r="L17373" s="45">
        <v>46016.041666666664</v>
      </c>
      <c r="M17373" s="46" t="s">
        <v>123</v>
      </c>
      <c r="N17373" s="45">
        <v>46016.0625</v>
      </c>
      <c r="O17373" s="46" t="s">
        <v>123</v>
      </c>
      <c r="P17373" s="46">
        <v>1800.0</v>
      </c>
    </row>
    <row r="17374">
      <c r="A17374" s="40">
        <f t="shared" si="1"/>
        <v>46013</v>
      </c>
      <c r="B17374" s="37" t="str">
        <f t="array" ref="B17374">iferror(xlookup($I17374, 'IMPORT VHC Report'!$E:$E, 'IMPORT VHC Report'!$A:$C), )</f>
        <v/>
      </c>
      <c r="C17374" s="44"/>
      <c r="D17374" s="44"/>
      <c r="E17374" s="46" t="s">
        <v>13590</v>
      </c>
      <c r="F17374" s="46" t="s">
        <v>1221</v>
      </c>
      <c r="G17374" s="46">
        <v>3.61725115656E11</v>
      </c>
      <c r="H17374" s="46" t="s">
        <v>1222</v>
      </c>
      <c r="I17374" s="46" t="s">
        <v>1223</v>
      </c>
      <c r="J17374" s="46" t="s">
        <v>132</v>
      </c>
      <c r="K17374" s="46" t="s">
        <v>126</v>
      </c>
      <c r="L17374" s="45">
        <v>46016.15625</v>
      </c>
      <c r="M17374" s="46" t="s">
        <v>123</v>
      </c>
      <c r="N17374" s="45">
        <v>46016.197916666664</v>
      </c>
      <c r="O17374" s="46" t="s">
        <v>123</v>
      </c>
      <c r="P17374" s="46">
        <v>3600.0</v>
      </c>
    </row>
    <row r="17375">
      <c r="A17375" s="40">
        <f t="shared" si="1"/>
        <v>46013</v>
      </c>
      <c r="B17375" s="37" t="str">
        <f t="array" ref="B17375">iferror(xlookup($I17375, 'IMPORT VHC Report'!$E:$E, 'IMPORT VHC Report'!$A:$C), )</f>
        <v/>
      </c>
      <c r="C17375" s="44"/>
      <c r="D17375" s="44"/>
      <c r="E17375" s="46" t="s">
        <v>13591</v>
      </c>
      <c r="F17375" s="46" t="s">
        <v>1221</v>
      </c>
      <c r="G17375" s="46">
        <v>3.61725115656E11</v>
      </c>
      <c r="H17375" s="46" t="s">
        <v>1222</v>
      </c>
      <c r="I17375" s="46" t="s">
        <v>1223</v>
      </c>
      <c r="J17375" s="46" t="s">
        <v>4</v>
      </c>
      <c r="K17375" s="46" t="s">
        <v>126</v>
      </c>
      <c r="L17375" s="45">
        <v>46016.875</v>
      </c>
      <c r="M17375" s="46" t="s">
        <v>123</v>
      </c>
      <c r="N17375" s="45">
        <v>46016.895833333336</v>
      </c>
      <c r="O17375" s="46" t="s">
        <v>123</v>
      </c>
      <c r="P17375" s="46">
        <v>1800.0</v>
      </c>
    </row>
    <row r="17376">
      <c r="A17376" s="40">
        <f t="shared" si="1"/>
        <v>46013</v>
      </c>
      <c r="B17376" s="37" t="str">
        <f t="array" ref="B17376">iferror(xlookup($I17376, 'IMPORT VHC Report'!$E:$E, 'IMPORT VHC Report'!$A:$C), )</f>
        <v/>
      </c>
      <c r="C17376" s="44"/>
      <c r="D17376" s="44"/>
      <c r="E17376" s="46" t="s">
        <v>13592</v>
      </c>
      <c r="F17376" s="46" t="s">
        <v>1221</v>
      </c>
      <c r="G17376" s="46">
        <v>3.61725115656E11</v>
      </c>
      <c r="H17376" s="46" t="s">
        <v>1222</v>
      </c>
      <c r="I17376" s="46" t="s">
        <v>1223</v>
      </c>
      <c r="J17376" s="46" t="s">
        <v>178</v>
      </c>
      <c r="K17376" s="46" t="s">
        <v>153</v>
      </c>
      <c r="L17376" s="45">
        <v>46016.875</v>
      </c>
      <c r="M17376" s="46" t="s">
        <v>123</v>
      </c>
      <c r="N17376" s="45">
        <v>46017.25</v>
      </c>
      <c r="O17376" s="46" t="s">
        <v>123</v>
      </c>
      <c r="P17376" s="46">
        <v>32400.0</v>
      </c>
      <c r="Q17376" s="46">
        <v>32400.0</v>
      </c>
      <c r="R17376" s="46" t="s">
        <v>13530</v>
      </c>
      <c r="S17376" s="46" t="s">
        <v>13530</v>
      </c>
    </row>
    <row r="17377">
      <c r="A17377" s="40">
        <f t="shared" si="1"/>
        <v>46013</v>
      </c>
      <c r="B17377" s="37" t="str">
        <f t="array" ref="B17377">iferror(xlookup($I17377, 'IMPORT VHC Report'!$E:$E, 'IMPORT VHC Report'!$A:$C), )</f>
        <v/>
      </c>
      <c r="C17377" s="44"/>
      <c r="D17377" s="44"/>
      <c r="E17377" s="46" t="s">
        <v>13593</v>
      </c>
      <c r="F17377" s="46" t="s">
        <v>1221</v>
      </c>
      <c r="G17377" s="46">
        <v>3.61725115656E11</v>
      </c>
      <c r="H17377" s="46" t="s">
        <v>1222</v>
      </c>
      <c r="I17377" s="46" t="s">
        <v>1223</v>
      </c>
      <c r="J17377" s="46" t="s">
        <v>530</v>
      </c>
      <c r="K17377" s="46" t="s">
        <v>63</v>
      </c>
      <c r="L17377" s="45">
        <v>46016.875</v>
      </c>
      <c r="M17377" s="46" t="s">
        <v>123</v>
      </c>
      <c r="N17377" s="45">
        <v>46017.25</v>
      </c>
      <c r="O17377" s="46" t="s">
        <v>123</v>
      </c>
      <c r="P17377" s="46">
        <v>32400.0</v>
      </c>
    </row>
    <row r="17378">
      <c r="A17378" s="40">
        <f t="shared" si="1"/>
        <v>46013</v>
      </c>
      <c r="B17378" s="37" t="str">
        <f t="array" ref="B17378">iferror(xlookup($I17378, 'IMPORT VHC Report'!$E:$E, 'IMPORT VHC Report'!$A:$C), )</f>
        <v/>
      </c>
      <c r="C17378" s="44"/>
      <c r="D17378" s="44"/>
      <c r="E17378" s="46" t="s">
        <v>13594</v>
      </c>
      <c r="F17378" s="46" t="s">
        <v>1221</v>
      </c>
      <c r="G17378" s="46">
        <v>3.61725115656E11</v>
      </c>
      <c r="H17378" s="46" t="s">
        <v>1222</v>
      </c>
      <c r="I17378" s="46" t="s">
        <v>1223</v>
      </c>
      <c r="J17378" s="46" t="s">
        <v>134</v>
      </c>
      <c r="K17378" s="46" t="s">
        <v>126</v>
      </c>
      <c r="L17378" s="45">
        <v>46017.041666666664</v>
      </c>
      <c r="M17378" s="46" t="s">
        <v>123</v>
      </c>
      <c r="N17378" s="45">
        <v>46017.0625</v>
      </c>
      <c r="O17378" s="46" t="s">
        <v>123</v>
      </c>
      <c r="P17378" s="46">
        <v>1800.0</v>
      </c>
    </row>
    <row r="17379">
      <c r="A17379" s="40">
        <f t="shared" si="1"/>
        <v>46013</v>
      </c>
      <c r="B17379" s="37" t="str">
        <f t="array" ref="B17379">iferror(xlookup($I17379, 'IMPORT VHC Report'!$E:$E, 'IMPORT VHC Report'!$A:$C), )</f>
        <v/>
      </c>
      <c r="C17379" s="44"/>
      <c r="D17379" s="44"/>
      <c r="E17379" s="46" t="s">
        <v>13595</v>
      </c>
      <c r="F17379" s="46" t="s">
        <v>1221</v>
      </c>
      <c r="G17379" s="46">
        <v>3.61725115656E11</v>
      </c>
      <c r="H17379" s="46" t="s">
        <v>1222</v>
      </c>
      <c r="I17379" s="46" t="s">
        <v>1223</v>
      </c>
      <c r="J17379" s="46" t="s">
        <v>132</v>
      </c>
      <c r="K17379" s="46" t="s">
        <v>126</v>
      </c>
      <c r="L17379" s="45">
        <v>46017.15625</v>
      </c>
      <c r="M17379" s="46" t="s">
        <v>123</v>
      </c>
      <c r="N17379" s="45">
        <v>46017.197916666664</v>
      </c>
      <c r="O17379" s="46" t="s">
        <v>123</v>
      </c>
      <c r="P17379" s="46">
        <v>3600.0</v>
      </c>
    </row>
    <row r="17380">
      <c r="A17380" s="40">
        <f t="shared" si="1"/>
        <v>46013</v>
      </c>
      <c r="B17380" s="37" t="str">
        <f t="array" ref="B17380">iferror(xlookup($I17380, 'IMPORT VHC Report'!$E:$E, 'IMPORT VHC Report'!$A:$C), )</f>
        <v/>
      </c>
      <c r="C17380" s="44"/>
      <c r="D17380" s="44"/>
      <c r="E17380" s="46" t="s">
        <v>13596</v>
      </c>
      <c r="F17380" s="46" t="s">
        <v>1221</v>
      </c>
      <c r="G17380" s="46">
        <v>3.61725115656E11</v>
      </c>
      <c r="H17380" s="46" t="s">
        <v>1222</v>
      </c>
      <c r="I17380" s="46" t="s">
        <v>1223</v>
      </c>
      <c r="J17380" s="46" t="s">
        <v>4</v>
      </c>
      <c r="K17380" s="46" t="s">
        <v>126</v>
      </c>
      <c r="L17380" s="45">
        <v>46019.875</v>
      </c>
      <c r="M17380" s="46" t="s">
        <v>123</v>
      </c>
      <c r="N17380" s="45">
        <v>46019.895833333336</v>
      </c>
      <c r="O17380" s="46" t="s">
        <v>123</v>
      </c>
      <c r="P17380" s="46">
        <v>1800.0</v>
      </c>
    </row>
    <row r="17381">
      <c r="A17381" s="40">
        <f t="shared" si="1"/>
        <v>46013</v>
      </c>
      <c r="B17381" s="37" t="str">
        <f t="array" ref="B17381">iferror(xlookup($I17381, 'IMPORT VHC Report'!$E:$E, 'IMPORT VHC Report'!$A:$C), )</f>
        <v/>
      </c>
      <c r="C17381" s="44"/>
      <c r="D17381" s="44"/>
      <c r="E17381" s="46" t="s">
        <v>13597</v>
      </c>
      <c r="F17381" s="46" t="s">
        <v>1221</v>
      </c>
      <c r="G17381" s="46">
        <v>3.61725115656E11</v>
      </c>
      <c r="H17381" s="46" t="s">
        <v>1222</v>
      </c>
      <c r="I17381" s="46" t="s">
        <v>1223</v>
      </c>
      <c r="J17381" s="46" t="s">
        <v>530</v>
      </c>
      <c r="K17381" s="46" t="s">
        <v>63</v>
      </c>
      <c r="L17381" s="45">
        <v>46019.875</v>
      </c>
      <c r="M17381" s="46" t="s">
        <v>123</v>
      </c>
      <c r="N17381" s="45">
        <v>46020.0</v>
      </c>
      <c r="O17381" s="46" t="s">
        <v>123</v>
      </c>
      <c r="P17381" s="46">
        <v>10800.0</v>
      </c>
    </row>
    <row r="17382">
      <c r="A17382" s="40">
        <f t="shared" si="1"/>
        <v>46013</v>
      </c>
      <c r="B17382" s="37" t="str">
        <f t="array" ref="B17382">iferror(xlookup($I17382, 'IMPORT VHC Report'!$E:$E, 'IMPORT VHC Report'!$A:$C), )</f>
        <v/>
      </c>
      <c r="C17382" s="44"/>
      <c r="D17382" s="44"/>
      <c r="E17382" s="46" t="s">
        <v>13598</v>
      </c>
      <c r="F17382" s="46" t="s">
        <v>1221</v>
      </c>
      <c r="G17382" s="46">
        <v>3.61725115656E11</v>
      </c>
      <c r="H17382" s="46" t="s">
        <v>1222</v>
      </c>
      <c r="I17382" s="46" t="s">
        <v>1223</v>
      </c>
      <c r="J17382" s="46" t="s">
        <v>134</v>
      </c>
      <c r="K17382" s="46" t="s">
        <v>126</v>
      </c>
      <c r="L17382" s="45">
        <v>46019.979166666664</v>
      </c>
      <c r="M17382" s="46" t="s">
        <v>123</v>
      </c>
      <c r="N17382" s="45">
        <v>46020.0</v>
      </c>
      <c r="O17382" s="46" t="s">
        <v>123</v>
      </c>
      <c r="P17382" s="46">
        <v>1800.0</v>
      </c>
    </row>
    <row r="17383">
      <c r="A17383" s="40">
        <f t="shared" si="1"/>
        <v>46013</v>
      </c>
      <c r="B17383" s="37" t="str">
        <f t="array" ref="B17383">iferror(xlookup($I17383, 'IMPORT VHC Report'!$E:$E, 'IMPORT VHC Report'!$A:$C), )</f>
        <v/>
      </c>
      <c r="C17383" s="44"/>
      <c r="D17383" s="44"/>
      <c r="E17383" s="46" t="s">
        <v>13599</v>
      </c>
      <c r="F17383" s="46" t="s">
        <v>660</v>
      </c>
      <c r="G17383" s="46">
        <v>3.61726427476E11</v>
      </c>
      <c r="H17383" s="46" t="s">
        <v>661</v>
      </c>
      <c r="I17383" s="46" t="s">
        <v>662</v>
      </c>
      <c r="J17383" s="46" t="s">
        <v>530</v>
      </c>
      <c r="K17383" s="46" t="s">
        <v>63</v>
      </c>
      <c r="L17383" s="45">
        <v>46013.0</v>
      </c>
      <c r="M17383" s="46" t="s">
        <v>123</v>
      </c>
      <c r="N17383" s="45">
        <v>46013.25</v>
      </c>
      <c r="O17383" s="46" t="s">
        <v>123</v>
      </c>
      <c r="P17383" s="46">
        <v>21600.0</v>
      </c>
    </row>
    <row r="17384">
      <c r="A17384" s="40">
        <f t="shared" si="1"/>
        <v>46013</v>
      </c>
      <c r="B17384" s="37" t="str">
        <f t="array" ref="B17384">iferror(xlookup($I17384, 'IMPORT VHC Report'!$E:$E, 'IMPORT VHC Report'!$A:$C), )</f>
        <v/>
      </c>
      <c r="C17384" s="44"/>
      <c r="D17384" s="44"/>
      <c r="E17384" s="46" t="s">
        <v>13600</v>
      </c>
      <c r="F17384" s="46" t="s">
        <v>660</v>
      </c>
      <c r="G17384" s="46">
        <v>3.61726427476E11</v>
      </c>
      <c r="H17384" s="46" t="s">
        <v>661</v>
      </c>
      <c r="I17384" s="46" t="s">
        <v>662</v>
      </c>
      <c r="J17384" s="46" t="s">
        <v>134</v>
      </c>
      <c r="K17384" s="46" t="s">
        <v>126</v>
      </c>
      <c r="L17384" s="45">
        <v>46013.010416666664</v>
      </c>
      <c r="M17384" s="46" t="s">
        <v>123</v>
      </c>
      <c r="N17384" s="45">
        <v>46013.03125</v>
      </c>
      <c r="O17384" s="46" t="s">
        <v>123</v>
      </c>
      <c r="P17384" s="46">
        <v>1800.0</v>
      </c>
    </row>
    <row r="17385">
      <c r="A17385" s="40">
        <f t="shared" si="1"/>
        <v>46013</v>
      </c>
      <c r="B17385" s="37" t="str">
        <f t="array" ref="B17385">iferror(xlookup($I17385, 'IMPORT VHC Report'!$E:$E, 'IMPORT VHC Report'!$A:$C), )</f>
        <v/>
      </c>
      <c r="C17385" s="44"/>
      <c r="D17385" s="44"/>
      <c r="E17385" s="46" t="s">
        <v>13601</v>
      </c>
      <c r="F17385" s="46" t="s">
        <v>660</v>
      </c>
      <c r="G17385" s="46">
        <v>3.61726427476E11</v>
      </c>
      <c r="H17385" s="46" t="s">
        <v>661</v>
      </c>
      <c r="I17385" s="46" t="s">
        <v>662</v>
      </c>
      <c r="J17385" s="46" t="s">
        <v>132</v>
      </c>
      <c r="K17385" s="46" t="s">
        <v>126</v>
      </c>
      <c r="L17385" s="45">
        <v>46013.166666666664</v>
      </c>
      <c r="M17385" s="46" t="s">
        <v>123</v>
      </c>
      <c r="N17385" s="45">
        <v>46013.208333333336</v>
      </c>
      <c r="O17385" s="46" t="s">
        <v>123</v>
      </c>
      <c r="P17385" s="46">
        <v>3600.0</v>
      </c>
    </row>
    <row r="17386">
      <c r="A17386" s="40">
        <f t="shared" si="1"/>
        <v>46013</v>
      </c>
      <c r="B17386" s="37" t="str">
        <f t="array" ref="B17386">iferror(xlookup($I17386, 'IMPORT VHC Report'!$E:$E, 'IMPORT VHC Report'!$A:$C), )</f>
        <v/>
      </c>
      <c r="C17386" s="44"/>
      <c r="D17386" s="44"/>
      <c r="E17386" s="46" t="s">
        <v>13602</v>
      </c>
      <c r="F17386" s="46" t="s">
        <v>660</v>
      </c>
      <c r="G17386" s="46">
        <v>3.61726427476E11</v>
      </c>
      <c r="H17386" s="46" t="s">
        <v>661</v>
      </c>
      <c r="I17386" s="46" t="s">
        <v>662</v>
      </c>
      <c r="J17386" s="46" t="s">
        <v>4</v>
      </c>
      <c r="K17386" s="46" t="s">
        <v>126</v>
      </c>
      <c r="L17386" s="45">
        <v>46013.208333333336</v>
      </c>
      <c r="M17386" s="46" t="s">
        <v>123</v>
      </c>
      <c r="N17386" s="45">
        <v>46013.25</v>
      </c>
      <c r="O17386" s="46" t="s">
        <v>123</v>
      </c>
      <c r="P17386" s="46">
        <v>3600.0</v>
      </c>
      <c r="S17386" s="46" t="s">
        <v>13603</v>
      </c>
    </row>
    <row r="17387">
      <c r="A17387" s="40">
        <f t="shared" si="1"/>
        <v>46013</v>
      </c>
      <c r="B17387" s="37" t="str">
        <f t="array" ref="B17387">iferror(xlookup($I17387, 'IMPORT VHC Report'!$E:$E, 'IMPORT VHC Report'!$A:$C), )</f>
        <v/>
      </c>
      <c r="C17387" s="44"/>
      <c r="D17387" s="44"/>
      <c r="E17387" s="46" t="s">
        <v>13604</v>
      </c>
      <c r="F17387" s="46" t="s">
        <v>660</v>
      </c>
      <c r="G17387" s="46">
        <v>3.61726427476E11</v>
      </c>
      <c r="H17387" s="46" t="s">
        <v>661</v>
      </c>
      <c r="I17387" s="46" t="s">
        <v>662</v>
      </c>
      <c r="J17387" s="46" t="s">
        <v>4</v>
      </c>
      <c r="K17387" s="46" t="s">
        <v>126</v>
      </c>
      <c r="L17387" s="45">
        <v>46013.875</v>
      </c>
      <c r="M17387" s="46" t="s">
        <v>123</v>
      </c>
      <c r="N17387" s="45">
        <v>46013.895833333336</v>
      </c>
      <c r="O17387" s="46" t="s">
        <v>123</v>
      </c>
      <c r="P17387" s="46">
        <v>1800.0</v>
      </c>
    </row>
    <row r="17388">
      <c r="A17388" s="40">
        <f t="shared" si="1"/>
        <v>46013</v>
      </c>
      <c r="B17388" s="37" t="str">
        <f t="array" ref="B17388">iferror(xlookup($I17388, 'IMPORT VHC Report'!$E:$E, 'IMPORT VHC Report'!$A:$C), )</f>
        <v/>
      </c>
      <c r="C17388" s="44"/>
      <c r="D17388" s="44"/>
      <c r="E17388" s="46" t="s">
        <v>13605</v>
      </c>
      <c r="F17388" s="46" t="s">
        <v>660</v>
      </c>
      <c r="G17388" s="46">
        <v>3.61726427476E11</v>
      </c>
      <c r="H17388" s="46" t="s">
        <v>661</v>
      </c>
      <c r="I17388" s="46" t="s">
        <v>662</v>
      </c>
      <c r="J17388" s="46" t="s">
        <v>530</v>
      </c>
      <c r="K17388" s="46" t="s">
        <v>63</v>
      </c>
      <c r="L17388" s="45">
        <v>46013.875</v>
      </c>
      <c r="M17388" s="46" t="s">
        <v>123</v>
      </c>
      <c r="N17388" s="45">
        <v>46014.25</v>
      </c>
      <c r="O17388" s="46" t="s">
        <v>123</v>
      </c>
      <c r="P17388" s="46">
        <v>32400.0</v>
      </c>
    </row>
    <row r="17389">
      <c r="A17389" s="40">
        <f t="shared" si="1"/>
        <v>46013</v>
      </c>
      <c r="B17389" s="37" t="str">
        <f t="array" ref="B17389">iferror(xlookup($I17389, 'IMPORT VHC Report'!$E:$E, 'IMPORT VHC Report'!$A:$C), )</f>
        <v/>
      </c>
      <c r="C17389" s="44"/>
      <c r="D17389" s="44"/>
      <c r="E17389" s="46" t="s">
        <v>13606</v>
      </c>
      <c r="F17389" s="46" t="s">
        <v>660</v>
      </c>
      <c r="G17389" s="46">
        <v>3.61726427476E11</v>
      </c>
      <c r="H17389" s="46" t="s">
        <v>661</v>
      </c>
      <c r="I17389" s="46" t="s">
        <v>662</v>
      </c>
      <c r="J17389" s="46" t="s">
        <v>132</v>
      </c>
      <c r="K17389" s="46" t="s">
        <v>126</v>
      </c>
      <c r="L17389" s="45">
        <v>46014.0</v>
      </c>
      <c r="M17389" s="46" t="s">
        <v>123</v>
      </c>
      <c r="N17389" s="45">
        <v>46014.041666666664</v>
      </c>
      <c r="O17389" s="46" t="s">
        <v>123</v>
      </c>
      <c r="P17389" s="46">
        <v>3600.0</v>
      </c>
    </row>
    <row r="17390">
      <c r="A17390" s="40">
        <f t="shared" si="1"/>
        <v>46013</v>
      </c>
      <c r="B17390" s="37" t="str">
        <f t="array" ref="B17390">iferror(xlookup($I17390, 'IMPORT VHC Report'!$E:$E, 'IMPORT VHC Report'!$A:$C), )</f>
        <v/>
      </c>
      <c r="C17390" s="44"/>
      <c r="D17390" s="44"/>
      <c r="E17390" s="46" t="s">
        <v>13607</v>
      </c>
      <c r="F17390" s="46" t="s">
        <v>660</v>
      </c>
      <c r="G17390" s="46">
        <v>3.61726427476E11</v>
      </c>
      <c r="H17390" s="46" t="s">
        <v>661</v>
      </c>
      <c r="I17390" s="46" t="s">
        <v>662</v>
      </c>
      <c r="J17390" s="46" t="s">
        <v>134</v>
      </c>
      <c r="K17390" s="46" t="s">
        <v>126</v>
      </c>
      <c r="L17390" s="45">
        <v>46014.166666666664</v>
      </c>
      <c r="M17390" s="46" t="s">
        <v>123</v>
      </c>
      <c r="N17390" s="45">
        <v>46014.1875</v>
      </c>
      <c r="O17390" s="46" t="s">
        <v>123</v>
      </c>
      <c r="P17390" s="46">
        <v>1800.0</v>
      </c>
    </row>
    <row r="17391">
      <c r="A17391" s="40">
        <f t="shared" si="1"/>
        <v>46013</v>
      </c>
      <c r="B17391" s="37" t="str">
        <f t="array" ref="B17391">iferror(xlookup($I17391, 'IMPORT VHC Report'!$E:$E, 'IMPORT VHC Report'!$A:$C), )</f>
        <v/>
      </c>
      <c r="C17391" s="44"/>
      <c r="D17391" s="44"/>
      <c r="E17391" s="46" t="s">
        <v>13608</v>
      </c>
      <c r="F17391" s="46" t="s">
        <v>660</v>
      </c>
      <c r="G17391" s="46">
        <v>3.61726427476E11</v>
      </c>
      <c r="H17391" s="46" t="s">
        <v>661</v>
      </c>
      <c r="I17391" s="46" t="s">
        <v>662</v>
      </c>
      <c r="J17391" s="46" t="s">
        <v>4</v>
      </c>
      <c r="K17391" s="46" t="s">
        <v>126</v>
      </c>
      <c r="L17391" s="45">
        <v>46014.875</v>
      </c>
      <c r="M17391" s="46" t="s">
        <v>123</v>
      </c>
      <c r="N17391" s="45">
        <v>46014.895833333336</v>
      </c>
      <c r="O17391" s="46" t="s">
        <v>123</v>
      </c>
      <c r="P17391" s="46">
        <v>1800.0</v>
      </c>
    </row>
    <row r="17392">
      <c r="A17392" s="40">
        <f t="shared" si="1"/>
        <v>46013</v>
      </c>
      <c r="B17392" s="37" t="str">
        <f t="array" ref="B17392">iferror(xlookup($I17392, 'IMPORT VHC Report'!$E:$E, 'IMPORT VHC Report'!$A:$C), )</f>
        <v/>
      </c>
      <c r="C17392" s="44"/>
      <c r="D17392" s="44"/>
      <c r="E17392" s="46" t="s">
        <v>13609</v>
      </c>
      <c r="F17392" s="46" t="s">
        <v>660</v>
      </c>
      <c r="G17392" s="46">
        <v>3.61726427476E11</v>
      </c>
      <c r="H17392" s="46" t="s">
        <v>661</v>
      </c>
      <c r="I17392" s="46" t="s">
        <v>662</v>
      </c>
      <c r="J17392" s="46" t="s">
        <v>530</v>
      </c>
      <c r="K17392" s="46" t="s">
        <v>63</v>
      </c>
      <c r="L17392" s="45">
        <v>46014.875</v>
      </c>
      <c r="M17392" s="46" t="s">
        <v>123</v>
      </c>
      <c r="N17392" s="45">
        <v>46015.25</v>
      </c>
      <c r="O17392" s="46" t="s">
        <v>123</v>
      </c>
      <c r="P17392" s="46">
        <v>32400.0</v>
      </c>
    </row>
    <row r="17393">
      <c r="A17393" s="40">
        <f t="shared" si="1"/>
        <v>46013</v>
      </c>
      <c r="B17393" s="37" t="str">
        <f t="array" ref="B17393">iferror(xlookup($I17393, 'IMPORT VHC Report'!$E:$E, 'IMPORT VHC Report'!$A:$C), )</f>
        <v/>
      </c>
      <c r="C17393" s="44"/>
      <c r="D17393" s="44"/>
      <c r="E17393" s="46" t="s">
        <v>13610</v>
      </c>
      <c r="F17393" s="46" t="s">
        <v>660</v>
      </c>
      <c r="G17393" s="46">
        <v>3.61726427476E11</v>
      </c>
      <c r="H17393" s="46" t="s">
        <v>661</v>
      </c>
      <c r="I17393" s="46" t="s">
        <v>662</v>
      </c>
      <c r="J17393" s="46" t="s">
        <v>4</v>
      </c>
      <c r="K17393" s="46" t="s">
        <v>126</v>
      </c>
      <c r="L17393" s="45">
        <v>46014.895833333336</v>
      </c>
      <c r="M17393" s="46" t="s">
        <v>123</v>
      </c>
      <c r="N17393" s="45">
        <v>46014.927083333336</v>
      </c>
      <c r="O17393" s="46" t="s">
        <v>123</v>
      </c>
      <c r="P17393" s="46">
        <v>2700.0</v>
      </c>
      <c r="S17393" s="46" t="s">
        <v>13527</v>
      </c>
    </row>
    <row r="17394">
      <c r="A17394" s="40">
        <f t="shared" si="1"/>
        <v>46013</v>
      </c>
      <c r="B17394" s="37" t="str">
        <f t="array" ref="B17394">iferror(xlookup($I17394, 'IMPORT VHC Report'!$E:$E, 'IMPORT VHC Report'!$A:$C), )</f>
        <v/>
      </c>
      <c r="C17394" s="44"/>
      <c r="D17394" s="44"/>
      <c r="E17394" s="46" t="s">
        <v>13611</v>
      </c>
      <c r="F17394" s="46" t="s">
        <v>660</v>
      </c>
      <c r="G17394" s="46">
        <v>3.61726427476E11</v>
      </c>
      <c r="H17394" s="46" t="s">
        <v>661</v>
      </c>
      <c r="I17394" s="46" t="s">
        <v>662</v>
      </c>
      <c r="J17394" s="46" t="s">
        <v>136</v>
      </c>
      <c r="K17394" s="46" t="s">
        <v>126</v>
      </c>
      <c r="L17394" s="45">
        <v>46014.979166666664</v>
      </c>
      <c r="M17394" s="46" t="s">
        <v>123</v>
      </c>
      <c r="N17394" s="45">
        <v>46015.020833333336</v>
      </c>
      <c r="O17394" s="46" t="s">
        <v>123</v>
      </c>
      <c r="P17394" s="46">
        <v>3600.0</v>
      </c>
      <c r="S17394" s="46" t="s">
        <v>137</v>
      </c>
    </row>
    <row r="17395">
      <c r="A17395" s="40">
        <f t="shared" si="1"/>
        <v>46013</v>
      </c>
      <c r="B17395" s="37" t="str">
        <f t="array" ref="B17395">iferror(xlookup($I17395, 'IMPORT VHC Report'!$E:$E, 'IMPORT VHC Report'!$A:$C), )</f>
        <v/>
      </c>
      <c r="C17395" s="44"/>
      <c r="D17395" s="44"/>
      <c r="E17395" s="46" t="s">
        <v>13612</v>
      </c>
      <c r="F17395" s="46" t="s">
        <v>660</v>
      </c>
      <c r="G17395" s="46">
        <v>3.61726427476E11</v>
      </c>
      <c r="H17395" s="46" t="s">
        <v>661</v>
      </c>
      <c r="I17395" s="46" t="s">
        <v>662</v>
      </c>
      <c r="J17395" s="46" t="s">
        <v>134</v>
      </c>
      <c r="K17395" s="46" t="s">
        <v>126</v>
      </c>
      <c r="L17395" s="45">
        <v>46015.020833333336</v>
      </c>
      <c r="M17395" s="46" t="s">
        <v>123</v>
      </c>
      <c r="N17395" s="45">
        <v>46015.041666666664</v>
      </c>
      <c r="O17395" s="46" t="s">
        <v>123</v>
      </c>
      <c r="P17395" s="46">
        <v>1800.0</v>
      </c>
    </row>
    <row r="17396">
      <c r="A17396" s="40">
        <f t="shared" si="1"/>
        <v>46013</v>
      </c>
      <c r="B17396" s="37" t="str">
        <f t="array" ref="B17396">iferror(xlookup($I17396, 'IMPORT VHC Report'!$E:$E, 'IMPORT VHC Report'!$A:$C), )</f>
        <v/>
      </c>
      <c r="C17396" s="44"/>
      <c r="D17396" s="44"/>
      <c r="E17396" s="46" t="s">
        <v>13613</v>
      </c>
      <c r="F17396" s="46" t="s">
        <v>660</v>
      </c>
      <c r="G17396" s="46">
        <v>3.61726427476E11</v>
      </c>
      <c r="H17396" s="46" t="s">
        <v>661</v>
      </c>
      <c r="I17396" s="46" t="s">
        <v>662</v>
      </c>
      <c r="J17396" s="46" t="s">
        <v>132</v>
      </c>
      <c r="K17396" s="46" t="s">
        <v>126</v>
      </c>
      <c r="L17396" s="45">
        <v>46015.041666666664</v>
      </c>
      <c r="M17396" s="46" t="s">
        <v>123</v>
      </c>
      <c r="N17396" s="45">
        <v>46015.083333333336</v>
      </c>
      <c r="O17396" s="46" t="s">
        <v>123</v>
      </c>
      <c r="P17396" s="46">
        <v>3600.0</v>
      </c>
    </row>
    <row r="17397">
      <c r="A17397" s="40">
        <f t="shared" si="1"/>
        <v>46013</v>
      </c>
      <c r="B17397" s="37" t="str">
        <f t="array" ref="B17397">iferror(xlookup($I17397, 'IMPORT VHC Report'!$E:$E, 'IMPORT VHC Report'!$A:$C), )</f>
        <v/>
      </c>
      <c r="C17397" s="44"/>
      <c r="D17397" s="44"/>
      <c r="E17397" s="46" t="s">
        <v>13614</v>
      </c>
      <c r="F17397" s="46" t="s">
        <v>660</v>
      </c>
      <c r="G17397" s="46">
        <v>3.61726427476E11</v>
      </c>
      <c r="H17397" s="46" t="s">
        <v>661</v>
      </c>
      <c r="I17397" s="46" t="s">
        <v>662</v>
      </c>
      <c r="J17397" s="46" t="s">
        <v>4</v>
      </c>
      <c r="K17397" s="46" t="s">
        <v>126</v>
      </c>
      <c r="L17397" s="45">
        <v>46015.208333333336</v>
      </c>
      <c r="M17397" s="46" t="s">
        <v>123</v>
      </c>
      <c r="N17397" s="45">
        <v>46015.25</v>
      </c>
      <c r="O17397" s="46" t="s">
        <v>123</v>
      </c>
      <c r="P17397" s="46">
        <v>3600.0</v>
      </c>
      <c r="S17397" s="46" t="s">
        <v>858</v>
      </c>
    </row>
    <row r="17398">
      <c r="A17398" s="40">
        <f t="shared" si="1"/>
        <v>46013</v>
      </c>
      <c r="B17398" s="37" t="str">
        <f t="array" ref="B17398">iferror(xlookup($I17398, 'IMPORT VHC Report'!$E:$E, 'IMPORT VHC Report'!$A:$C), )</f>
        <v/>
      </c>
      <c r="C17398" s="44"/>
      <c r="D17398" s="44"/>
      <c r="E17398" s="46" t="s">
        <v>13615</v>
      </c>
      <c r="F17398" s="46" t="s">
        <v>660</v>
      </c>
      <c r="G17398" s="46">
        <v>3.61726427476E11</v>
      </c>
      <c r="H17398" s="46" t="s">
        <v>661</v>
      </c>
      <c r="I17398" s="46" t="s">
        <v>662</v>
      </c>
      <c r="J17398" s="46" t="s">
        <v>4</v>
      </c>
      <c r="K17398" s="46" t="s">
        <v>126</v>
      </c>
      <c r="L17398" s="45">
        <v>46015.875</v>
      </c>
      <c r="M17398" s="46" t="s">
        <v>123</v>
      </c>
      <c r="N17398" s="45">
        <v>46015.895833333336</v>
      </c>
      <c r="O17398" s="46" t="s">
        <v>123</v>
      </c>
      <c r="P17398" s="46">
        <v>1800.0</v>
      </c>
    </row>
    <row r="17399">
      <c r="A17399" s="40">
        <f t="shared" si="1"/>
        <v>46013</v>
      </c>
      <c r="B17399" s="37" t="str">
        <f t="array" ref="B17399">iferror(xlookup($I17399, 'IMPORT VHC Report'!$E:$E, 'IMPORT VHC Report'!$A:$C), )</f>
        <v/>
      </c>
      <c r="C17399" s="44"/>
      <c r="D17399" s="44"/>
      <c r="E17399" s="46" t="s">
        <v>13616</v>
      </c>
      <c r="F17399" s="46" t="s">
        <v>660</v>
      </c>
      <c r="G17399" s="46">
        <v>3.61726427476E11</v>
      </c>
      <c r="H17399" s="46" t="s">
        <v>661</v>
      </c>
      <c r="I17399" s="46" t="s">
        <v>662</v>
      </c>
      <c r="J17399" s="46" t="s">
        <v>530</v>
      </c>
      <c r="K17399" s="46" t="s">
        <v>63</v>
      </c>
      <c r="L17399" s="45">
        <v>46015.875</v>
      </c>
      <c r="M17399" s="46" t="s">
        <v>123</v>
      </c>
      <c r="N17399" s="45">
        <v>46016.25</v>
      </c>
      <c r="O17399" s="46" t="s">
        <v>123</v>
      </c>
      <c r="P17399" s="46">
        <v>32400.0</v>
      </c>
    </row>
    <row r="17400">
      <c r="A17400" s="40">
        <f t="shared" si="1"/>
        <v>46013</v>
      </c>
      <c r="B17400" s="37" t="str">
        <f t="array" ref="B17400">iferror(xlookup($I17400, 'IMPORT VHC Report'!$E:$E, 'IMPORT VHC Report'!$A:$C), )</f>
        <v/>
      </c>
      <c r="C17400" s="44"/>
      <c r="D17400" s="44"/>
      <c r="E17400" s="46" t="s">
        <v>13617</v>
      </c>
      <c r="F17400" s="46" t="s">
        <v>660</v>
      </c>
      <c r="G17400" s="46">
        <v>3.61726427476E11</v>
      </c>
      <c r="H17400" s="46" t="s">
        <v>661</v>
      </c>
      <c r="I17400" s="46" t="s">
        <v>662</v>
      </c>
      <c r="J17400" s="46" t="s">
        <v>134</v>
      </c>
      <c r="K17400" s="46" t="s">
        <v>126</v>
      </c>
      <c r="L17400" s="45">
        <v>46015.958333333336</v>
      </c>
      <c r="M17400" s="46" t="s">
        <v>123</v>
      </c>
      <c r="N17400" s="45">
        <v>46015.979166666664</v>
      </c>
      <c r="O17400" s="46" t="s">
        <v>123</v>
      </c>
      <c r="P17400" s="46">
        <v>1800.0</v>
      </c>
    </row>
    <row r="17401">
      <c r="A17401" s="40">
        <f t="shared" si="1"/>
        <v>46013</v>
      </c>
      <c r="B17401" s="37" t="str">
        <f t="array" ref="B17401">iferror(xlookup($I17401, 'IMPORT VHC Report'!$E:$E, 'IMPORT VHC Report'!$A:$C), )</f>
        <v/>
      </c>
      <c r="C17401" s="44"/>
      <c r="D17401" s="44"/>
      <c r="E17401" s="46" t="s">
        <v>13618</v>
      </c>
      <c r="F17401" s="46" t="s">
        <v>660</v>
      </c>
      <c r="G17401" s="46">
        <v>3.61726427476E11</v>
      </c>
      <c r="H17401" s="46" t="s">
        <v>661</v>
      </c>
      <c r="I17401" s="46" t="s">
        <v>662</v>
      </c>
      <c r="J17401" s="46" t="s">
        <v>132</v>
      </c>
      <c r="K17401" s="46" t="s">
        <v>126</v>
      </c>
      <c r="L17401" s="45">
        <v>46016.09375</v>
      </c>
      <c r="M17401" s="46" t="s">
        <v>123</v>
      </c>
      <c r="N17401" s="45">
        <v>46016.135416666664</v>
      </c>
      <c r="O17401" s="46" t="s">
        <v>123</v>
      </c>
      <c r="P17401" s="46">
        <v>3600.0</v>
      </c>
    </row>
    <row r="17402">
      <c r="A17402" s="40">
        <f t="shared" si="1"/>
        <v>46013</v>
      </c>
      <c r="B17402" s="37" t="str">
        <f t="array" ref="B17402">iferror(xlookup($I17402, 'IMPORT VHC Report'!$E:$E, 'IMPORT VHC Report'!$A:$C), )</f>
        <v/>
      </c>
      <c r="C17402" s="44"/>
      <c r="D17402" s="44"/>
      <c r="E17402" s="46" t="s">
        <v>13619</v>
      </c>
      <c r="F17402" s="46" t="s">
        <v>660</v>
      </c>
      <c r="G17402" s="46">
        <v>3.61726427476E11</v>
      </c>
      <c r="H17402" s="46" t="s">
        <v>661</v>
      </c>
      <c r="I17402" s="46" t="s">
        <v>662</v>
      </c>
      <c r="J17402" s="46" t="s">
        <v>4</v>
      </c>
      <c r="K17402" s="46" t="s">
        <v>126</v>
      </c>
      <c r="L17402" s="45">
        <v>46016.875</v>
      </c>
      <c r="M17402" s="46" t="s">
        <v>123</v>
      </c>
      <c r="N17402" s="45">
        <v>46016.895833333336</v>
      </c>
      <c r="O17402" s="46" t="s">
        <v>123</v>
      </c>
      <c r="P17402" s="46">
        <v>1800.0</v>
      </c>
    </row>
    <row r="17403">
      <c r="A17403" s="40">
        <f t="shared" si="1"/>
        <v>46013</v>
      </c>
      <c r="B17403" s="37" t="str">
        <f t="array" ref="B17403">iferror(xlookup($I17403, 'IMPORT VHC Report'!$E:$E, 'IMPORT VHC Report'!$A:$C), )</f>
        <v/>
      </c>
      <c r="C17403" s="44"/>
      <c r="D17403" s="44"/>
      <c r="E17403" s="46" t="s">
        <v>13620</v>
      </c>
      <c r="F17403" s="46" t="s">
        <v>660</v>
      </c>
      <c r="G17403" s="46">
        <v>3.61726427476E11</v>
      </c>
      <c r="H17403" s="46" t="s">
        <v>661</v>
      </c>
      <c r="I17403" s="46" t="s">
        <v>662</v>
      </c>
      <c r="J17403" s="46" t="s">
        <v>530</v>
      </c>
      <c r="K17403" s="46" t="s">
        <v>63</v>
      </c>
      <c r="L17403" s="45">
        <v>46016.875</v>
      </c>
      <c r="M17403" s="46" t="s">
        <v>123</v>
      </c>
      <c r="N17403" s="45">
        <v>46017.25</v>
      </c>
      <c r="O17403" s="46" t="s">
        <v>123</v>
      </c>
      <c r="P17403" s="46">
        <v>32400.0</v>
      </c>
    </row>
    <row r="17404">
      <c r="A17404" s="40">
        <f t="shared" si="1"/>
        <v>46013</v>
      </c>
      <c r="B17404" s="37" t="str">
        <f t="array" ref="B17404">iferror(xlookup($I17404, 'IMPORT VHC Report'!$E:$E, 'IMPORT VHC Report'!$A:$C), )</f>
        <v/>
      </c>
      <c r="C17404" s="44"/>
      <c r="D17404" s="44"/>
      <c r="E17404" s="46" t="s">
        <v>13621</v>
      </c>
      <c r="F17404" s="46" t="s">
        <v>660</v>
      </c>
      <c r="G17404" s="46">
        <v>3.61726427476E11</v>
      </c>
      <c r="H17404" s="46" t="s">
        <v>661</v>
      </c>
      <c r="I17404" s="46" t="s">
        <v>662</v>
      </c>
      <c r="J17404" s="46" t="s">
        <v>134</v>
      </c>
      <c r="K17404" s="46" t="s">
        <v>126</v>
      </c>
      <c r="L17404" s="45">
        <v>46016.958333333336</v>
      </c>
      <c r="M17404" s="46" t="s">
        <v>123</v>
      </c>
      <c r="N17404" s="45">
        <v>46016.979166666664</v>
      </c>
      <c r="O17404" s="46" t="s">
        <v>123</v>
      </c>
      <c r="P17404" s="46">
        <v>1800.0</v>
      </c>
    </row>
    <row r="17405">
      <c r="A17405" s="40">
        <f t="shared" si="1"/>
        <v>46013</v>
      </c>
      <c r="B17405" s="37" t="str">
        <f t="array" ref="B17405">iferror(xlookup($I17405, 'IMPORT VHC Report'!$E:$E, 'IMPORT VHC Report'!$A:$C), )</f>
        <v/>
      </c>
      <c r="C17405" s="44"/>
      <c r="D17405" s="44"/>
      <c r="E17405" s="46" t="s">
        <v>13622</v>
      </c>
      <c r="F17405" s="46" t="s">
        <v>660</v>
      </c>
      <c r="G17405" s="46">
        <v>3.61726427476E11</v>
      </c>
      <c r="H17405" s="46" t="s">
        <v>661</v>
      </c>
      <c r="I17405" s="46" t="s">
        <v>662</v>
      </c>
      <c r="J17405" s="46" t="s">
        <v>132</v>
      </c>
      <c r="K17405" s="46" t="s">
        <v>126</v>
      </c>
      <c r="L17405" s="45">
        <v>46017.09375</v>
      </c>
      <c r="M17405" s="46" t="s">
        <v>123</v>
      </c>
      <c r="N17405" s="45">
        <v>46017.135416666664</v>
      </c>
      <c r="O17405" s="46" t="s">
        <v>123</v>
      </c>
      <c r="P17405" s="46">
        <v>3600.0</v>
      </c>
    </row>
    <row r="17406">
      <c r="A17406" s="40">
        <f t="shared" si="1"/>
        <v>46013</v>
      </c>
      <c r="B17406" s="37" t="str">
        <f t="array" ref="B17406">iferror(xlookup($I17406, 'IMPORT VHC Report'!$E:$E, 'IMPORT VHC Report'!$A:$C), )</f>
        <v/>
      </c>
      <c r="C17406" s="44"/>
      <c r="D17406" s="44"/>
      <c r="E17406" s="46" t="s">
        <v>13623</v>
      </c>
      <c r="F17406" s="46" t="s">
        <v>660</v>
      </c>
      <c r="G17406" s="46">
        <v>3.61726427476E11</v>
      </c>
      <c r="H17406" s="46" t="s">
        <v>661</v>
      </c>
      <c r="I17406" s="46" t="s">
        <v>662</v>
      </c>
      <c r="J17406" s="46" t="s">
        <v>985</v>
      </c>
      <c r="K17406" s="46" t="s">
        <v>63</v>
      </c>
      <c r="L17406" s="45">
        <v>46018.083333333336</v>
      </c>
      <c r="M17406" s="46" t="s">
        <v>123</v>
      </c>
      <c r="N17406" s="45">
        <v>46018.125</v>
      </c>
      <c r="O17406" s="46" t="s">
        <v>123</v>
      </c>
      <c r="P17406" s="46">
        <v>3600.0</v>
      </c>
      <c r="S17406" s="46" t="s">
        <v>2486</v>
      </c>
    </row>
    <row r="17407">
      <c r="A17407" s="40">
        <f t="shared" si="1"/>
        <v>46013</v>
      </c>
      <c r="B17407" s="37" t="str">
        <f t="array" ref="B17407">iferror(xlookup($I17407, 'IMPORT VHC Report'!$E:$E, 'IMPORT VHC Report'!$A:$C), )</f>
        <v/>
      </c>
      <c r="C17407" s="44"/>
      <c r="D17407" s="44"/>
      <c r="E17407" s="46" t="s">
        <v>13624</v>
      </c>
      <c r="F17407" s="46" t="s">
        <v>660</v>
      </c>
      <c r="G17407" s="46">
        <v>3.61726427476E11</v>
      </c>
      <c r="H17407" s="46" t="s">
        <v>661</v>
      </c>
      <c r="I17407" s="46" t="s">
        <v>662</v>
      </c>
      <c r="J17407" s="46" t="s">
        <v>4</v>
      </c>
      <c r="K17407" s="46" t="s">
        <v>126</v>
      </c>
      <c r="L17407" s="45">
        <v>46019.875</v>
      </c>
      <c r="M17407" s="46" t="s">
        <v>123</v>
      </c>
      <c r="N17407" s="45">
        <v>46019.895833333336</v>
      </c>
      <c r="O17407" s="46" t="s">
        <v>123</v>
      </c>
      <c r="P17407" s="46">
        <v>1800.0</v>
      </c>
    </row>
    <row r="17408">
      <c r="A17408" s="40">
        <f t="shared" si="1"/>
        <v>46013</v>
      </c>
      <c r="B17408" s="37" t="str">
        <f t="array" ref="B17408">iferror(xlookup($I17408, 'IMPORT VHC Report'!$E:$E, 'IMPORT VHC Report'!$A:$C), )</f>
        <v/>
      </c>
      <c r="C17408" s="44"/>
      <c r="D17408" s="44"/>
      <c r="E17408" s="46" t="s">
        <v>13625</v>
      </c>
      <c r="F17408" s="46" t="s">
        <v>660</v>
      </c>
      <c r="G17408" s="46">
        <v>3.61726427476E11</v>
      </c>
      <c r="H17408" s="46" t="s">
        <v>661</v>
      </c>
      <c r="I17408" s="46" t="s">
        <v>662</v>
      </c>
      <c r="J17408" s="46" t="s">
        <v>530</v>
      </c>
      <c r="K17408" s="46" t="s">
        <v>63</v>
      </c>
      <c r="L17408" s="45">
        <v>46019.875</v>
      </c>
      <c r="M17408" s="46" t="s">
        <v>123</v>
      </c>
      <c r="N17408" s="45">
        <v>46020.0</v>
      </c>
      <c r="O17408" s="46" t="s">
        <v>123</v>
      </c>
      <c r="P17408" s="46">
        <v>10800.0</v>
      </c>
    </row>
    <row r="17409">
      <c r="A17409" s="40">
        <f t="shared" si="1"/>
        <v>46013</v>
      </c>
      <c r="B17409" s="37" t="str">
        <f t="array" ref="B17409">iferror(xlookup($I17409, 'IMPORT VHC Report'!$E:$E, 'IMPORT VHC Report'!$A:$C), )</f>
        <v/>
      </c>
      <c r="C17409" s="44"/>
      <c r="D17409" s="44"/>
      <c r="E17409" s="46" t="s">
        <v>13626</v>
      </c>
      <c r="F17409" s="46" t="s">
        <v>660</v>
      </c>
      <c r="G17409" s="46">
        <v>3.61726427476E11</v>
      </c>
      <c r="H17409" s="46" t="s">
        <v>661</v>
      </c>
      <c r="I17409" s="46" t="s">
        <v>662</v>
      </c>
      <c r="J17409" s="46" t="s">
        <v>178</v>
      </c>
      <c r="K17409" s="46" t="s">
        <v>153</v>
      </c>
      <c r="L17409" s="45">
        <v>46019.875</v>
      </c>
      <c r="M17409" s="46" t="s">
        <v>123</v>
      </c>
      <c r="N17409" s="45">
        <v>46020.0</v>
      </c>
      <c r="O17409" s="46" t="s">
        <v>123</v>
      </c>
      <c r="P17409" s="46">
        <v>10800.0</v>
      </c>
      <c r="Q17409" s="46">
        <v>28800.0</v>
      </c>
      <c r="R17409" s="46" t="s">
        <v>13627</v>
      </c>
    </row>
    <row r="17410">
      <c r="A17410" s="40">
        <f t="shared" si="1"/>
        <v>46013</v>
      </c>
      <c r="B17410" s="37" t="str">
        <f t="array" ref="B17410">iferror(xlookup($I17410, 'IMPORT VHC Report'!$E:$E, 'IMPORT VHC Report'!$A:$C), )</f>
        <v/>
      </c>
      <c r="C17410" s="44"/>
      <c r="D17410" s="44"/>
      <c r="E17410" s="46" t="s">
        <v>13628</v>
      </c>
      <c r="F17410" s="46" t="s">
        <v>2211</v>
      </c>
      <c r="G17410" s="46">
        <v>3.61731646775E11</v>
      </c>
      <c r="H17410" s="46" t="s">
        <v>2212</v>
      </c>
      <c r="I17410" s="46" t="s">
        <v>2213</v>
      </c>
      <c r="J17410" s="46" t="s">
        <v>4</v>
      </c>
      <c r="K17410" s="46" t="s">
        <v>126</v>
      </c>
      <c r="L17410" s="45">
        <v>46013.208333333336</v>
      </c>
      <c r="M17410" s="46" t="s">
        <v>123</v>
      </c>
      <c r="N17410" s="45">
        <v>46013.25</v>
      </c>
      <c r="O17410" s="46" t="s">
        <v>123</v>
      </c>
      <c r="P17410" s="46">
        <v>3600.0</v>
      </c>
      <c r="S17410" s="46" t="s">
        <v>2237</v>
      </c>
    </row>
    <row r="17411">
      <c r="A17411" s="40">
        <f t="shared" si="1"/>
        <v>46013</v>
      </c>
      <c r="B17411" s="37" t="str">
        <f t="array" ref="B17411">iferror(xlookup($I17411, 'IMPORT VHC Report'!$E:$E, 'IMPORT VHC Report'!$A:$C), )</f>
        <v/>
      </c>
      <c r="C17411" s="44"/>
      <c r="D17411" s="44"/>
      <c r="E17411" s="46" t="s">
        <v>13629</v>
      </c>
      <c r="F17411" s="46" t="s">
        <v>2211</v>
      </c>
      <c r="G17411" s="46">
        <v>3.61731646775E11</v>
      </c>
      <c r="H17411" s="46" t="s">
        <v>2212</v>
      </c>
      <c r="I17411" s="46" t="s">
        <v>2213</v>
      </c>
      <c r="J17411" s="46" t="s">
        <v>530</v>
      </c>
      <c r="K17411" s="46" t="s">
        <v>63</v>
      </c>
      <c r="L17411" s="45">
        <v>46013.208333333336</v>
      </c>
      <c r="M17411" s="46" t="s">
        <v>123</v>
      </c>
      <c r="N17411" s="45">
        <v>46013.322916666664</v>
      </c>
      <c r="O17411" s="46" t="s">
        <v>123</v>
      </c>
      <c r="P17411" s="46">
        <v>9900.0</v>
      </c>
    </row>
    <row r="17412">
      <c r="A17412" s="40">
        <f t="shared" si="1"/>
        <v>46013</v>
      </c>
      <c r="B17412" s="37" t="str">
        <f t="array" ref="B17412">iferror(xlookup($I17412, 'IMPORT VHC Report'!$E:$E, 'IMPORT VHC Report'!$A:$C), )</f>
        <v/>
      </c>
      <c r="C17412" s="44"/>
      <c r="D17412" s="44"/>
      <c r="E17412" s="46" t="s">
        <v>13630</v>
      </c>
      <c r="F17412" s="46" t="s">
        <v>2211</v>
      </c>
      <c r="G17412" s="46">
        <v>3.61731646775E11</v>
      </c>
      <c r="H17412" s="46" t="s">
        <v>2212</v>
      </c>
      <c r="I17412" s="46" t="s">
        <v>2213</v>
      </c>
      <c r="J17412" s="46" t="s">
        <v>125</v>
      </c>
      <c r="K17412" s="46" t="s">
        <v>126</v>
      </c>
      <c r="L17412" s="45">
        <v>46013.25</v>
      </c>
      <c r="M17412" s="46" t="s">
        <v>123</v>
      </c>
      <c r="N17412" s="45">
        <v>46013.291666666664</v>
      </c>
      <c r="O17412" s="46" t="s">
        <v>123</v>
      </c>
      <c r="P17412" s="46">
        <v>3600.0</v>
      </c>
      <c r="S17412" s="46" t="s">
        <v>13631</v>
      </c>
    </row>
    <row r="17413">
      <c r="A17413" s="40">
        <f t="shared" si="1"/>
        <v>46013</v>
      </c>
      <c r="B17413" s="37" t="str">
        <f t="array" ref="B17413">iferror(xlookup($I17413, 'IMPORT VHC Report'!$E:$E, 'IMPORT VHC Report'!$A:$C), )</f>
        <v/>
      </c>
      <c r="C17413" s="44"/>
      <c r="D17413" s="44"/>
      <c r="E17413" s="46" t="s">
        <v>13632</v>
      </c>
      <c r="F17413" s="46" t="s">
        <v>2211</v>
      </c>
      <c r="G17413" s="46">
        <v>3.61731646775E11</v>
      </c>
      <c r="H17413" s="46" t="s">
        <v>2212</v>
      </c>
      <c r="I17413" s="46" t="s">
        <v>2213</v>
      </c>
      <c r="J17413" s="46" t="s">
        <v>1670</v>
      </c>
      <c r="K17413" s="46" t="s">
        <v>63</v>
      </c>
      <c r="L17413" s="45">
        <v>46013.322916666664</v>
      </c>
      <c r="M17413" s="46" t="s">
        <v>123</v>
      </c>
      <c r="N17413" s="45">
        <v>46013.34375</v>
      </c>
      <c r="O17413" s="46" t="s">
        <v>123</v>
      </c>
      <c r="P17413" s="46">
        <v>1800.0</v>
      </c>
      <c r="S17413" s="46" t="s">
        <v>13633</v>
      </c>
    </row>
    <row r="17414">
      <c r="A17414" s="40">
        <f t="shared" si="1"/>
        <v>46013</v>
      </c>
      <c r="B17414" s="37" t="str">
        <f t="array" ref="B17414">iferror(xlookup($I17414, 'IMPORT VHC Report'!$E:$E, 'IMPORT VHC Report'!$A:$C), )</f>
        <v/>
      </c>
      <c r="C17414" s="44"/>
      <c r="D17414" s="44"/>
      <c r="E17414" s="46" t="s">
        <v>13634</v>
      </c>
      <c r="F17414" s="46" t="s">
        <v>2211</v>
      </c>
      <c r="G17414" s="46">
        <v>3.61731646775E11</v>
      </c>
      <c r="H17414" s="46" t="s">
        <v>2212</v>
      </c>
      <c r="I17414" s="46" t="s">
        <v>2213</v>
      </c>
      <c r="J17414" s="46" t="s">
        <v>530</v>
      </c>
      <c r="K17414" s="46" t="s">
        <v>63</v>
      </c>
      <c r="L17414" s="45">
        <v>46013.34375</v>
      </c>
      <c r="M17414" s="46" t="s">
        <v>123</v>
      </c>
      <c r="N17414" s="45">
        <v>46013.583333333336</v>
      </c>
      <c r="O17414" s="46" t="s">
        <v>123</v>
      </c>
      <c r="P17414" s="46">
        <v>20700.0</v>
      </c>
    </row>
    <row r="17415">
      <c r="A17415" s="40">
        <f t="shared" si="1"/>
        <v>46013</v>
      </c>
      <c r="B17415" s="37" t="str">
        <f t="array" ref="B17415">iferror(xlookup($I17415, 'IMPORT VHC Report'!$E:$E, 'IMPORT VHC Report'!$A:$C), )</f>
        <v/>
      </c>
      <c r="C17415" s="44"/>
      <c r="D17415" s="44"/>
      <c r="E17415" s="46" t="s">
        <v>13635</v>
      </c>
      <c r="F17415" s="46" t="s">
        <v>2211</v>
      </c>
      <c r="G17415" s="46">
        <v>3.61731646775E11</v>
      </c>
      <c r="H17415" s="46" t="s">
        <v>2212</v>
      </c>
      <c r="I17415" s="46" t="s">
        <v>2213</v>
      </c>
      <c r="J17415" s="46" t="s">
        <v>132</v>
      </c>
      <c r="K17415" s="46" t="s">
        <v>126</v>
      </c>
      <c r="L17415" s="45">
        <v>46013.395833333336</v>
      </c>
      <c r="M17415" s="46" t="s">
        <v>123</v>
      </c>
      <c r="N17415" s="45">
        <v>46013.4375</v>
      </c>
      <c r="O17415" s="46" t="s">
        <v>123</v>
      </c>
      <c r="P17415" s="46">
        <v>3600.0</v>
      </c>
    </row>
    <row r="17416">
      <c r="A17416" s="40">
        <f t="shared" si="1"/>
        <v>46013</v>
      </c>
      <c r="B17416" s="37" t="str">
        <f t="array" ref="B17416">iferror(xlookup($I17416, 'IMPORT VHC Report'!$E:$E, 'IMPORT VHC Report'!$A:$C), )</f>
        <v/>
      </c>
      <c r="C17416" s="44"/>
      <c r="D17416" s="44"/>
      <c r="E17416" s="46" t="s">
        <v>13636</v>
      </c>
      <c r="F17416" s="46" t="s">
        <v>2211</v>
      </c>
      <c r="G17416" s="46">
        <v>3.61731646775E11</v>
      </c>
      <c r="H17416" s="46" t="s">
        <v>2212</v>
      </c>
      <c r="I17416" s="46" t="s">
        <v>2213</v>
      </c>
      <c r="J17416" s="46" t="s">
        <v>134</v>
      </c>
      <c r="K17416" s="46" t="s">
        <v>126</v>
      </c>
      <c r="L17416" s="45">
        <v>46013.4375</v>
      </c>
      <c r="M17416" s="46" t="s">
        <v>123</v>
      </c>
      <c r="N17416" s="45">
        <v>46013.458333333336</v>
      </c>
      <c r="O17416" s="46" t="s">
        <v>123</v>
      </c>
      <c r="P17416" s="46">
        <v>1800.0</v>
      </c>
    </row>
    <row r="17417">
      <c r="A17417" s="40">
        <f t="shared" si="1"/>
        <v>46013</v>
      </c>
      <c r="B17417" s="37" t="str">
        <f t="array" ref="B17417">iferror(xlookup($I17417, 'IMPORT VHC Report'!$E:$E, 'IMPORT VHC Report'!$A:$C), )</f>
        <v/>
      </c>
      <c r="C17417" s="44"/>
      <c r="D17417" s="44"/>
      <c r="E17417" s="46" t="s">
        <v>13637</v>
      </c>
      <c r="F17417" s="46" t="s">
        <v>2211</v>
      </c>
      <c r="G17417" s="46">
        <v>3.61731646775E11</v>
      </c>
      <c r="H17417" s="46" t="s">
        <v>2212</v>
      </c>
      <c r="I17417" s="46" t="s">
        <v>2213</v>
      </c>
      <c r="J17417" s="46" t="s">
        <v>4</v>
      </c>
      <c r="K17417" s="46" t="s">
        <v>126</v>
      </c>
      <c r="L17417" s="45">
        <v>46013.541666666664</v>
      </c>
      <c r="M17417" s="46" t="s">
        <v>123</v>
      </c>
      <c r="N17417" s="45">
        <v>46013.572916666664</v>
      </c>
      <c r="O17417" s="46" t="s">
        <v>123</v>
      </c>
      <c r="P17417" s="46">
        <v>2700.0</v>
      </c>
      <c r="S17417" s="46" t="s">
        <v>13638</v>
      </c>
    </row>
    <row r="17418">
      <c r="A17418" s="40">
        <f t="shared" si="1"/>
        <v>46013</v>
      </c>
      <c r="B17418" s="37" t="str">
        <f t="array" ref="B17418">iferror(xlookup($I17418, 'IMPORT VHC Report'!$E:$E, 'IMPORT VHC Report'!$A:$C), )</f>
        <v/>
      </c>
      <c r="C17418" s="44"/>
      <c r="D17418" s="44"/>
      <c r="E17418" s="46" t="s">
        <v>13639</v>
      </c>
      <c r="F17418" s="46" t="s">
        <v>2211</v>
      </c>
      <c r="G17418" s="46">
        <v>3.61731646775E11</v>
      </c>
      <c r="H17418" s="46" t="s">
        <v>2212</v>
      </c>
      <c r="I17418" s="46" t="s">
        <v>2213</v>
      </c>
      <c r="J17418" s="46" t="s">
        <v>125</v>
      </c>
      <c r="K17418" s="46" t="s">
        <v>126</v>
      </c>
      <c r="L17418" s="45">
        <v>46013.572916666664</v>
      </c>
      <c r="M17418" s="46" t="s">
        <v>123</v>
      </c>
      <c r="N17418" s="45">
        <v>46013.583333333336</v>
      </c>
      <c r="O17418" s="46" t="s">
        <v>123</v>
      </c>
      <c r="P17418" s="46">
        <v>900.0</v>
      </c>
      <c r="S17418" s="46" t="s">
        <v>13640</v>
      </c>
    </row>
    <row r="17419">
      <c r="A17419" s="40">
        <f t="shared" si="1"/>
        <v>46013</v>
      </c>
      <c r="B17419" s="37" t="str">
        <f t="array" ref="B17419">iferror(xlookup($I17419, 'IMPORT VHC Report'!$E:$E, 'IMPORT VHC Report'!$A:$C), )</f>
        <v/>
      </c>
      <c r="C17419" s="44"/>
      <c r="D17419" s="44"/>
      <c r="E17419" s="46" t="s">
        <v>13641</v>
      </c>
      <c r="F17419" s="46" t="s">
        <v>2211</v>
      </c>
      <c r="G17419" s="46">
        <v>3.61731646775E11</v>
      </c>
      <c r="H17419" s="46" t="s">
        <v>2212</v>
      </c>
      <c r="I17419" s="46" t="s">
        <v>2213</v>
      </c>
      <c r="J17419" s="46" t="s">
        <v>4</v>
      </c>
      <c r="K17419" s="46" t="s">
        <v>126</v>
      </c>
      <c r="L17419" s="45">
        <v>46014.208333333336</v>
      </c>
      <c r="M17419" s="46" t="s">
        <v>123</v>
      </c>
      <c r="N17419" s="45">
        <v>46014.25</v>
      </c>
      <c r="O17419" s="46" t="s">
        <v>123</v>
      </c>
      <c r="P17419" s="46">
        <v>3600.0</v>
      </c>
      <c r="S17419" s="46" t="s">
        <v>2237</v>
      </c>
    </row>
    <row r="17420">
      <c r="A17420" s="40">
        <f t="shared" si="1"/>
        <v>46013</v>
      </c>
      <c r="B17420" s="37" t="str">
        <f t="array" ref="B17420">iferror(xlookup($I17420, 'IMPORT VHC Report'!$E:$E, 'IMPORT VHC Report'!$A:$C), )</f>
        <v/>
      </c>
      <c r="C17420" s="44"/>
      <c r="D17420" s="44"/>
      <c r="E17420" s="46" t="s">
        <v>13642</v>
      </c>
      <c r="F17420" s="46" t="s">
        <v>2211</v>
      </c>
      <c r="G17420" s="46">
        <v>3.61731646775E11</v>
      </c>
      <c r="H17420" s="46" t="s">
        <v>2212</v>
      </c>
      <c r="I17420" s="46" t="s">
        <v>2213</v>
      </c>
      <c r="J17420" s="46" t="s">
        <v>530</v>
      </c>
      <c r="K17420" s="46" t="s">
        <v>63</v>
      </c>
      <c r="L17420" s="45">
        <v>46014.208333333336</v>
      </c>
      <c r="M17420" s="46" t="s">
        <v>123</v>
      </c>
      <c r="N17420" s="45">
        <v>46014.583333333336</v>
      </c>
      <c r="O17420" s="46" t="s">
        <v>123</v>
      </c>
      <c r="P17420" s="46">
        <v>32400.0</v>
      </c>
    </row>
    <row r="17421">
      <c r="A17421" s="40">
        <f t="shared" si="1"/>
        <v>46013</v>
      </c>
      <c r="B17421" s="37" t="str">
        <f t="array" ref="B17421">iferror(xlookup($I17421, 'IMPORT VHC Report'!$E:$E, 'IMPORT VHC Report'!$A:$C), )</f>
        <v/>
      </c>
      <c r="C17421" s="44"/>
      <c r="D17421" s="44"/>
      <c r="E17421" s="46" t="s">
        <v>13643</v>
      </c>
      <c r="F17421" s="46" t="s">
        <v>2211</v>
      </c>
      <c r="G17421" s="46">
        <v>3.61731646775E11</v>
      </c>
      <c r="H17421" s="46" t="s">
        <v>2212</v>
      </c>
      <c r="I17421" s="46" t="s">
        <v>2213</v>
      </c>
      <c r="J17421" s="46" t="s">
        <v>125</v>
      </c>
      <c r="K17421" s="46" t="s">
        <v>126</v>
      </c>
      <c r="L17421" s="45">
        <v>46014.25</v>
      </c>
      <c r="M17421" s="46" t="s">
        <v>123</v>
      </c>
      <c r="N17421" s="45">
        <v>46014.270833333336</v>
      </c>
      <c r="O17421" s="46" t="s">
        <v>123</v>
      </c>
      <c r="P17421" s="46">
        <v>1800.0</v>
      </c>
      <c r="S17421" s="46" t="s">
        <v>13644</v>
      </c>
    </row>
    <row r="17422">
      <c r="A17422" s="40">
        <f t="shared" si="1"/>
        <v>46013</v>
      </c>
      <c r="B17422" s="37" t="str">
        <f t="array" ref="B17422">iferror(xlookup($I17422, 'IMPORT VHC Report'!$E:$E, 'IMPORT VHC Report'!$A:$C), )</f>
        <v/>
      </c>
      <c r="C17422" s="44"/>
      <c r="D17422" s="44"/>
      <c r="E17422" s="46" t="s">
        <v>13645</v>
      </c>
      <c r="F17422" s="46" t="s">
        <v>2211</v>
      </c>
      <c r="G17422" s="46">
        <v>3.61731646775E11</v>
      </c>
      <c r="H17422" s="46" t="s">
        <v>2212</v>
      </c>
      <c r="I17422" s="46" t="s">
        <v>2213</v>
      </c>
      <c r="J17422" s="46" t="s">
        <v>134</v>
      </c>
      <c r="K17422" s="46" t="s">
        <v>126</v>
      </c>
      <c r="L17422" s="45">
        <v>46014.302083333336</v>
      </c>
      <c r="M17422" s="46" t="s">
        <v>123</v>
      </c>
      <c r="N17422" s="45">
        <v>46014.322916666664</v>
      </c>
      <c r="O17422" s="46" t="s">
        <v>123</v>
      </c>
      <c r="P17422" s="46">
        <v>1800.0</v>
      </c>
    </row>
    <row r="17423">
      <c r="A17423" s="40">
        <f t="shared" si="1"/>
        <v>46013</v>
      </c>
      <c r="B17423" s="37" t="str">
        <f t="array" ref="B17423">iferror(xlookup($I17423, 'IMPORT VHC Report'!$E:$E, 'IMPORT VHC Report'!$A:$C), )</f>
        <v/>
      </c>
      <c r="C17423" s="44"/>
      <c r="D17423" s="44"/>
      <c r="E17423" s="46" t="s">
        <v>13646</v>
      </c>
      <c r="F17423" s="46" t="s">
        <v>2211</v>
      </c>
      <c r="G17423" s="46">
        <v>3.61731646775E11</v>
      </c>
      <c r="H17423" s="46" t="s">
        <v>2212</v>
      </c>
      <c r="I17423" s="46" t="s">
        <v>2213</v>
      </c>
      <c r="J17423" s="46" t="s">
        <v>132</v>
      </c>
      <c r="K17423" s="46" t="s">
        <v>126</v>
      </c>
      <c r="L17423" s="45">
        <v>46014.322916666664</v>
      </c>
      <c r="M17423" s="46" t="s">
        <v>123</v>
      </c>
      <c r="N17423" s="45">
        <v>46014.364583333336</v>
      </c>
      <c r="O17423" s="46" t="s">
        <v>123</v>
      </c>
      <c r="P17423" s="46">
        <v>3600.0</v>
      </c>
    </row>
    <row r="17424">
      <c r="A17424" s="40">
        <f t="shared" si="1"/>
        <v>46013</v>
      </c>
      <c r="B17424" s="37" t="str">
        <f t="array" ref="B17424">iferror(xlookup($I17424, 'IMPORT VHC Report'!$E:$E, 'IMPORT VHC Report'!$A:$C), )</f>
        <v/>
      </c>
      <c r="C17424" s="44"/>
      <c r="D17424" s="44"/>
      <c r="E17424" s="46" t="s">
        <v>13647</v>
      </c>
      <c r="F17424" s="46" t="s">
        <v>2211</v>
      </c>
      <c r="G17424" s="46">
        <v>3.61731646775E11</v>
      </c>
      <c r="H17424" s="46" t="s">
        <v>2212</v>
      </c>
      <c r="I17424" s="46" t="s">
        <v>2213</v>
      </c>
      <c r="J17424" s="46" t="s">
        <v>4</v>
      </c>
      <c r="K17424" s="46" t="s">
        <v>126</v>
      </c>
      <c r="L17424" s="45">
        <v>46014.364583333336</v>
      </c>
      <c r="M17424" s="46" t="s">
        <v>123</v>
      </c>
      <c r="N17424" s="45">
        <v>46014.395833333336</v>
      </c>
      <c r="O17424" s="46" t="s">
        <v>123</v>
      </c>
      <c r="P17424" s="46">
        <v>2700.0</v>
      </c>
      <c r="S17424" s="46" t="s">
        <v>13527</v>
      </c>
    </row>
    <row r="17425">
      <c r="A17425" s="40">
        <f t="shared" si="1"/>
        <v>46013</v>
      </c>
      <c r="B17425" s="37" t="str">
        <f t="array" ref="B17425">iferror(xlookup($I17425, 'IMPORT VHC Report'!$E:$E, 'IMPORT VHC Report'!$A:$C), )</f>
        <v/>
      </c>
      <c r="C17425" s="44"/>
      <c r="D17425" s="44"/>
      <c r="E17425" s="46" t="s">
        <v>13648</v>
      </c>
      <c r="F17425" s="46" t="s">
        <v>2211</v>
      </c>
      <c r="G17425" s="46">
        <v>3.61731646775E11</v>
      </c>
      <c r="H17425" s="46" t="s">
        <v>2212</v>
      </c>
      <c r="I17425" s="46" t="s">
        <v>2213</v>
      </c>
      <c r="J17425" s="46" t="s">
        <v>4</v>
      </c>
      <c r="K17425" s="46" t="s">
        <v>126</v>
      </c>
      <c r="L17425" s="45">
        <v>46014.395833333336</v>
      </c>
      <c r="M17425" s="46" t="s">
        <v>123</v>
      </c>
      <c r="N17425" s="45">
        <v>46014.4375</v>
      </c>
      <c r="O17425" s="46" t="s">
        <v>123</v>
      </c>
      <c r="P17425" s="46">
        <v>3600.0</v>
      </c>
      <c r="S17425" s="46" t="s">
        <v>13603</v>
      </c>
    </row>
    <row r="17426">
      <c r="A17426" s="40">
        <f t="shared" si="1"/>
        <v>46013</v>
      </c>
      <c r="B17426" s="37" t="str">
        <f t="array" ref="B17426">iferror(xlookup($I17426, 'IMPORT VHC Report'!$E:$E, 'IMPORT VHC Report'!$A:$C), )</f>
        <v/>
      </c>
      <c r="C17426" s="44"/>
      <c r="D17426" s="44"/>
      <c r="E17426" s="46" t="s">
        <v>13649</v>
      </c>
      <c r="F17426" s="46" t="s">
        <v>2211</v>
      </c>
      <c r="G17426" s="46">
        <v>3.61731646775E11</v>
      </c>
      <c r="H17426" s="46" t="s">
        <v>2212</v>
      </c>
      <c r="I17426" s="46" t="s">
        <v>2213</v>
      </c>
      <c r="J17426" s="46" t="s">
        <v>136</v>
      </c>
      <c r="K17426" s="46" t="s">
        <v>126</v>
      </c>
      <c r="L17426" s="45">
        <v>46014.4375</v>
      </c>
      <c r="M17426" s="46" t="s">
        <v>123</v>
      </c>
      <c r="N17426" s="45">
        <v>46014.53125</v>
      </c>
      <c r="O17426" s="46" t="s">
        <v>123</v>
      </c>
      <c r="P17426" s="46">
        <v>8100.0</v>
      </c>
      <c r="S17426" s="46" t="s">
        <v>13650</v>
      </c>
    </row>
    <row r="17427">
      <c r="A17427" s="40">
        <f t="shared" si="1"/>
        <v>46013</v>
      </c>
      <c r="B17427" s="37" t="str">
        <f t="array" ref="B17427">iferror(xlookup($I17427, 'IMPORT VHC Report'!$E:$E, 'IMPORT VHC Report'!$A:$C), )</f>
        <v/>
      </c>
      <c r="C17427" s="44"/>
      <c r="D17427" s="44"/>
      <c r="E17427" s="46" t="s">
        <v>13651</v>
      </c>
      <c r="F17427" s="46" t="s">
        <v>2211</v>
      </c>
      <c r="G17427" s="46">
        <v>3.61731646775E11</v>
      </c>
      <c r="H17427" s="46" t="s">
        <v>2212</v>
      </c>
      <c r="I17427" s="46" t="s">
        <v>2213</v>
      </c>
      <c r="J17427" s="46" t="s">
        <v>4</v>
      </c>
      <c r="K17427" s="46" t="s">
        <v>126</v>
      </c>
      <c r="L17427" s="45">
        <v>46015.208333333336</v>
      </c>
      <c r="M17427" s="46" t="s">
        <v>123</v>
      </c>
      <c r="N17427" s="45">
        <v>46015.25</v>
      </c>
      <c r="O17427" s="46" t="s">
        <v>123</v>
      </c>
      <c r="P17427" s="46">
        <v>3600.0</v>
      </c>
    </row>
    <row r="17428">
      <c r="A17428" s="40">
        <f t="shared" si="1"/>
        <v>46013</v>
      </c>
      <c r="B17428" s="37" t="str">
        <f t="array" ref="B17428">iferror(xlookup($I17428, 'IMPORT VHC Report'!$E:$E, 'IMPORT VHC Report'!$A:$C), )</f>
        <v/>
      </c>
      <c r="C17428" s="44"/>
      <c r="D17428" s="44"/>
      <c r="E17428" s="46" t="s">
        <v>13652</v>
      </c>
      <c r="F17428" s="46" t="s">
        <v>2211</v>
      </c>
      <c r="G17428" s="46">
        <v>3.61731646775E11</v>
      </c>
      <c r="H17428" s="46" t="s">
        <v>2212</v>
      </c>
      <c r="I17428" s="46" t="s">
        <v>2213</v>
      </c>
      <c r="J17428" s="46" t="s">
        <v>530</v>
      </c>
      <c r="K17428" s="46" t="s">
        <v>63</v>
      </c>
      <c r="L17428" s="45">
        <v>46015.208333333336</v>
      </c>
      <c r="M17428" s="46" t="s">
        <v>123</v>
      </c>
      <c r="N17428" s="45">
        <v>46015.53125</v>
      </c>
      <c r="O17428" s="46" t="s">
        <v>123</v>
      </c>
      <c r="P17428" s="46">
        <v>27900.0</v>
      </c>
    </row>
    <row r="17429">
      <c r="A17429" s="40">
        <f t="shared" si="1"/>
        <v>46013</v>
      </c>
      <c r="B17429" s="37" t="str">
        <f t="array" ref="B17429">iferror(xlookup($I17429, 'IMPORT VHC Report'!$E:$E, 'IMPORT VHC Report'!$A:$C), )</f>
        <v/>
      </c>
      <c r="C17429" s="44"/>
      <c r="D17429" s="44"/>
      <c r="E17429" s="46" t="s">
        <v>13653</v>
      </c>
      <c r="F17429" s="46" t="s">
        <v>2211</v>
      </c>
      <c r="G17429" s="46">
        <v>3.61731646775E11</v>
      </c>
      <c r="H17429" s="46" t="s">
        <v>2212</v>
      </c>
      <c r="I17429" s="46" t="s">
        <v>2213</v>
      </c>
      <c r="J17429" s="46" t="s">
        <v>125</v>
      </c>
      <c r="K17429" s="46" t="s">
        <v>126</v>
      </c>
      <c r="L17429" s="45">
        <v>46015.333333333336</v>
      </c>
      <c r="M17429" s="46" t="s">
        <v>123</v>
      </c>
      <c r="N17429" s="45">
        <v>46015.354166666664</v>
      </c>
      <c r="O17429" s="46" t="s">
        <v>123</v>
      </c>
      <c r="P17429" s="46">
        <v>1800.0</v>
      </c>
      <c r="S17429" s="46" t="s">
        <v>1991</v>
      </c>
    </row>
    <row r="17430">
      <c r="A17430" s="40">
        <f t="shared" si="1"/>
        <v>46013</v>
      </c>
      <c r="B17430" s="37" t="str">
        <f t="array" ref="B17430">iferror(xlookup($I17430, 'IMPORT VHC Report'!$E:$E, 'IMPORT VHC Report'!$A:$C), )</f>
        <v/>
      </c>
      <c r="C17430" s="44"/>
      <c r="D17430" s="44"/>
      <c r="E17430" s="46" t="s">
        <v>13654</v>
      </c>
      <c r="F17430" s="46" t="s">
        <v>2211</v>
      </c>
      <c r="G17430" s="46">
        <v>3.61731646775E11</v>
      </c>
      <c r="H17430" s="46" t="s">
        <v>2212</v>
      </c>
      <c r="I17430" s="46" t="s">
        <v>2213</v>
      </c>
      <c r="J17430" s="46" t="s">
        <v>132</v>
      </c>
      <c r="K17430" s="46" t="s">
        <v>126</v>
      </c>
      <c r="L17430" s="45">
        <v>46015.354166666664</v>
      </c>
      <c r="M17430" s="46" t="s">
        <v>123</v>
      </c>
      <c r="N17430" s="45">
        <v>46015.395833333336</v>
      </c>
      <c r="O17430" s="46" t="s">
        <v>123</v>
      </c>
      <c r="P17430" s="46">
        <v>3600.0</v>
      </c>
    </row>
    <row r="17431">
      <c r="A17431" s="40">
        <f t="shared" si="1"/>
        <v>46013</v>
      </c>
      <c r="B17431" s="37" t="str">
        <f t="array" ref="B17431">iferror(xlookup($I17431, 'IMPORT VHC Report'!$E:$E, 'IMPORT VHC Report'!$A:$C), )</f>
        <v/>
      </c>
      <c r="C17431" s="44"/>
      <c r="D17431" s="44"/>
      <c r="E17431" s="46" t="s">
        <v>13655</v>
      </c>
      <c r="F17431" s="46" t="s">
        <v>2211</v>
      </c>
      <c r="G17431" s="46">
        <v>3.61731646775E11</v>
      </c>
      <c r="H17431" s="46" t="s">
        <v>2212</v>
      </c>
      <c r="I17431" s="46" t="s">
        <v>2213</v>
      </c>
      <c r="J17431" s="46" t="s">
        <v>134</v>
      </c>
      <c r="K17431" s="46" t="s">
        <v>126</v>
      </c>
      <c r="L17431" s="45">
        <v>46015.395833333336</v>
      </c>
      <c r="M17431" s="46" t="s">
        <v>123</v>
      </c>
      <c r="N17431" s="45">
        <v>46015.416666666664</v>
      </c>
      <c r="O17431" s="46" t="s">
        <v>123</v>
      </c>
      <c r="P17431" s="46">
        <v>1800.0</v>
      </c>
    </row>
    <row r="17432">
      <c r="A17432" s="40">
        <f t="shared" si="1"/>
        <v>46013</v>
      </c>
      <c r="B17432" s="37" t="str">
        <f t="array" ref="B17432">iferror(xlookup($I17432, 'IMPORT VHC Report'!$E:$E, 'IMPORT VHC Report'!$A:$C), )</f>
        <v/>
      </c>
      <c r="C17432" s="44"/>
      <c r="D17432" s="44"/>
      <c r="E17432" s="46" t="s">
        <v>13656</v>
      </c>
      <c r="F17432" s="46" t="s">
        <v>2211</v>
      </c>
      <c r="G17432" s="46">
        <v>3.61731646775E11</v>
      </c>
      <c r="H17432" s="46" t="s">
        <v>2212</v>
      </c>
      <c r="I17432" s="46" t="s">
        <v>2213</v>
      </c>
      <c r="J17432" s="46" t="s">
        <v>1670</v>
      </c>
      <c r="K17432" s="46" t="s">
        <v>63</v>
      </c>
      <c r="L17432" s="45">
        <v>46015.53125</v>
      </c>
      <c r="M17432" s="46" t="s">
        <v>123</v>
      </c>
      <c r="N17432" s="45">
        <v>46015.541666666664</v>
      </c>
      <c r="O17432" s="46" t="s">
        <v>123</v>
      </c>
      <c r="P17432" s="46">
        <v>900.0</v>
      </c>
      <c r="S17432" s="46" t="s">
        <v>2257</v>
      </c>
    </row>
    <row r="17433">
      <c r="A17433" s="40">
        <f t="shared" si="1"/>
        <v>46013</v>
      </c>
      <c r="B17433" s="37" t="str">
        <f t="array" ref="B17433">iferror(xlookup($I17433, 'IMPORT VHC Report'!$E:$E, 'IMPORT VHC Report'!$A:$C), )</f>
        <v/>
      </c>
      <c r="C17433" s="44"/>
      <c r="D17433" s="44"/>
      <c r="E17433" s="46" t="s">
        <v>13657</v>
      </c>
      <c r="F17433" s="46" t="s">
        <v>2211</v>
      </c>
      <c r="G17433" s="46">
        <v>3.61731646775E11</v>
      </c>
      <c r="H17433" s="46" t="s">
        <v>2212</v>
      </c>
      <c r="I17433" s="46" t="s">
        <v>2213</v>
      </c>
      <c r="J17433" s="46" t="s">
        <v>4</v>
      </c>
      <c r="K17433" s="46" t="s">
        <v>126</v>
      </c>
      <c r="L17433" s="45">
        <v>46015.541666666664</v>
      </c>
      <c r="M17433" s="46" t="s">
        <v>123</v>
      </c>
      <c r="N17433" s="45">
        <v>46015.583333333336</v>
      </c>
      <c r="O17433" s="46" t="s">
        <v>123</v>
      </c>
      <c r="P17433" s="46">
        <v>3600.0</v>
      </c>
      <c r="S17433" s="46" t="s">
        <v>13603</v>
      </c>
    </row>
    <row r="17434">
      <c r="A17434" s="40">
        <f t="shared" si="1"/>
        <v>46013</v>
      </c>
      <c r="B17434" s="37" t="str">
        <f t="array" ref="B17434">iferror(xlookup($I17434, 'IMPORT VHC Report'!$E:$E, 'IMPORT VHC Report'!$A:$C), )</f>
        <v/>
      </c>
      <c r="C17434" s="44"/>
      <c r="D17434" s="44"/>
      <c r="E17434" s="46" t="s">
        <v>13658</v>
      </c>
      <c r="F17434" s="46" t="s">
        <v>2211</v>
      </c>
      <c r="G17434" s="46">
        <v>3.61731646775E11</v>
      </c>
      <c r="H17434" s="46" t="s">
        <v>2212</v>
      </c>
      <c r="I17434" s="46" t="s">
        <v>2213</v>
      </c>
      <c r="J17434" s="46" t="s">
        <v>530</v>
      </c>
      <c r="K17434" s="46" t="s">
        <v>63</v>
      </c>
      <c r="L17434" s="45">
        <v>46015.541666666664</v>
      </c>
      <c r="M17434" s="46" t="s">
        <v>123</v>
      </c>
      <c r="N17434" s="45">
        <v>46015.583333333336</v>
      </c>
      <c r="O17434" s="46" t="s">
        <v>123</v>
      </c>
      <c r="P17434" s="46">
        <v>3600.0</v>
      </c>
    </row>
    <row r="17435">
      <c r="A17435" s="40">
        <f t="shared" si="1"/>
        <v>46013</v>
      </c>
      <c r="B17435" s="37" t="str">
        <f t="array" ref="B17435">iferror(xlookup($I17435, 'IMPORT VHC Report'!$E:$E, 'IMPORT VHC Report'!$A:$C), )</f>
        <v/>
      </c>
      <c r="C17435" s="44"/>
      <c r="D17435" s="44"/>
      <c r="E17435" s="46" t="s">
        <v>13659</v>
      </c>
      <c r="F17435" s="46" t="s">
        <v>2211</v>
      </c>
      <c r="G17435" s="46">
        <v>3.61731646775E11</v>
      </c>
      <c r="H17435" s="46" t="s">
        <v>2212</v>
      </c>
      <c r="I17435" s="46" t="s">
        <v>2213</v>
      </c>
      <c r="J17435" s="46" t="s">
        <v>4</v>
      </c>
      <c r="K17435" s="46" t="s">
        <v>126</v>
      </c>
      <c r="L17435" s="45">
        <v>46016.208333333336</v>
      </c>
      <c r="M17435" s="46" t="s">
        <v>123</v>
      </c>
      <c r="N17435" s="45">
        <v>46016.25</v>
      </c>
      <c r="O17435" s="46" t="s">
        <v>123</v>
      </c>
      <c r="P17435" s="46">
        <v>3600.0</v>
      </c>
      <c r="S17435" s="46" t="s">
        <v>13660</v>
      </c>
    </row>
    <row r="17436">
      <c r="A17436" s="40">
        <f t="shared" si="1"/>
        <v>46013</v>
      </c>
      <c r="B17436" s="37" t="str">
        <f t="array" ref="B17436">iferror(xlookup($I17436, 'IMPORT VHC Report'!$E:$E, 'IMPORT VHC Report'!$A:$C), )</f>
        <v/>
      </c>
      <c r="C17436" s="44"/>
      <c r="D17436" s="44"/>
      <c r="E17436" s="46" t="s">
        <v>13661</v>
      </c>
      <c r="F17436" s="46" t="s">
        <v>2211</v>
      </c>
      <c r="G17436" s="46">
        <v>3.61731646775E11</v>
      </c>
      <c r="H17436" s="46" t="s">
        <v>2212</v>
      </c>
      <c r="I17436" s="46" t="s">
        <v>2213</v>
      </c>
      <c r="J17436" s="46" t="s">
        <v>530</v>
      </c>
      <c r="K17436" s="46" t="s">
        <v>63</v>
      </c>
      <c r="L17436" s="45">
        <v>46016.208333333336</v>
      </c>
      <c r="M17436" s="46" t="s">
        <v>123</v>
      </c>
      <c r="N17436" s="45">
        <v>46016.5625</v>
      </c>
      <c r="O17436" s="46" t="s">
        <v>123</v>
      </c>
      <c r="P17436" s="46">
        <v>30600.0</v>
      </c>
    </row>
    <row r="17437">
      <c r="A17437" s="40">
        <f t="shared" si="1"/>
        <v>46013</v>
      </c>
      <c r="B17437" s="37" t="str">
        <f t="array" ref="B17437">iferror(xlookup($I17437, 'IMPORT VHC Report'!$E:$E, 'IMPORT VHC Report'!$A:$C), )</f>
        <v/>
      </c>
      <c r="C17437" s="44"/>
      <c r="D17437" s="44"/>
      <c r="E17437" s="46" t="s">
        <v>13662</v>
      </c>
      <c r="F17437" s="46" t="s">
        <v>2211</v>
      </c>
      <c r="G17437" s="46">
        <v>3.61731646775E11</v>
      </c>
      <c r="H17437" s="46" t="s">
        <v>2212</v>
      </c>
      <c r="I17437" s="46" t="s">
        <v>2213</v>
      </c>
      <c r="J17437" s="46" t="s">
        <v>132</v>
      </c>
      <c r="K17437" s="46" t="s">
        <v>126</v>
      </c>
      <c r="L17437" s="45">
        <v>46016.34375</v>
      </c>
      <c r="M17437" s="46" t="s">
        <v>123</v>
      </c>
      <c r="N17437" s="45">
        <v>46016.385416666664</v>
      </c>
      <c r="O17437" s="46" t="s">
        <v>123</v>
      </c>
      <c r="P17437" s="46">
        <v>3600.0</v>
      </c>
    </row>
    <row r="17438">
      <c r="A17438" s="40">
        <f t="shared" si="1"/>
        <v>46013</v>
      </c>
      <c r="B17438" s="37" t="str">
        <f t="array" ref="B17438">iferror(xlookup($I17438, 'IMPORT VHC Report'!$E:$E, 'IMPORT VHC Report'!$A:$C), )</f>
        <v/>
      </c>
      <c r="C17438" s="44"/>
      <c r="D17438" s="44"/>
      <c r="E17438" s="46" t="s">
        <v>13663</v>
      </c>
      <c r="F17438" s="46" t="s">
        <v>2211</v>
      </c>
      <c r="G17438" s="46">
        <v>3.61731646775E11</v>
      </c>
      <c r="H17438" s="46" t="s">
        <v>2212</v>
      </c>
      <c r="I17438" s="46" t="s">
        <v>2213</v>
      </c>
      <c r="J17438" s="46" t="s">
        <v>134</v>
      </c>
      <c r="K17438" s="46" t="s">
        <v>126</v>
      </c>
      <c r="L17438" s="45">
        <v>46016.385416666664</v>
      </c>
      <c r="M17438" s="46" t="s">
        <v>123</v>
      </c>
      <c r="N17438" s="45">
        <v>46016.40625</v>
      </c>
      <c r="O17438" s="46" t="s">
        <v>123</v>
      </c>
      <c r="P17438" s="46">
        <v>1800.0</v>
      </c>
    </row>
    <row r="17439">
      <c r="A17439" s="40">
        <f t="shared" si="1"/>
        <v>46013</v>
      </c>
      <c r="B17439" s="37" t="str">
        <f t="array" ref="B17439">iferror(xlookup($I17439, 'IMPORT VHC Report'!$E:$E, 'IMPORT VHC Report'!$A:$C), )</f>
        <v/>
      </c>
      <c r="C17439" s="44"/>
      <c r="D17439" s="44"/>
      <c r="E17439" s="46" t="s">
        <v>13664</v>
      </c>
      <c r="F17439" s="46" t="s">
        <v>2211</v>
      </c>
      <c r="G17439" s="46">
        <v>3.61731646775E11</v>
      </c>
      <c r="H17439" s="46" t="s">
        <v>2212</v>
      </c>
      <c r="I17439" s="46" t="s">
        <v>2213</v>
      </c>
      <c r="J17439" s="46" t="s">
        <v>125</v>
      </c>
      <c r="K17439" s="46" t="s">
        <v>126</v>
      </c>
      <c r="L17439" s="45">
        <v>46016.5</v>
      </c>
      <c r="M17439" s="46" t="s">
        <v>123</v>
      </c>
      <c r="N17439" s="45">
        <v>46016.520833333336</v>
      </c>
      <c r="O17439" s="46" t="s">
        <v>123</v>
      </c>
      <c r="P17439" s="46">
        <v>1800.0</v>
      </c>
      <c r="S17439" s="46" t="s">
        <v>1991</v>
      </c>
    </row>
    <row r="17440">
      <c r="A17440" s="40">
        <f t="shared" si="1"/>
        <v>46013</v>
      </c>
      <c r="B17440" s="37" t="str">
        <f t="array" ref="B17440">iferror(xlookup($I17440, 'IMPORT VHC Report'!$E:$E, 'IMPORT VHC Report'!$A:$C), )</f>
        <v/>
      </c>
      <c r="C17440" s="44"/>
      <c r="D17440" s="44"/>
      <c r="E17440" s="46" t="s">
        <v>13665</v>
      </c>
      <c r="F17440" s="46" t="s">
        <v>2211</v>
      </c>
      <c r="G17440" s="46">
        <v>3.61731646775E11</v>
      </c>
      <c r="H17440" s="46" t="s">
        <v>2212</v>
      </c>
      <c r="I17440" s="46" t="s">
        <v>2213</v>
      </c>
      <c r="J17440" s="46" t="s">
        <v>4</v>
      </c>
      <c r="K17440" s="46" t="s">
        <v>126</v>
      </c>
      <c r="L17440" s="45">
        <v>46016.520833333336</v>
      </c>
      <c r="M17440" s="46" t="s">
        <v>123</v>
      </c>
      <c r="N17440" s="45">
        <v>46016.5625</v>
      </c>
      <c r="O17440" s="46" t="s">
        <v>123</v>
      </c>
      <c r="P17440" s="46">
        <v>3600.0</v>
      </c>
      <c r="S17440" s="46" t="s">
        <v>13666</v>
      </c>
    </row>
    <row r="17441">
      <c r="A17441" s="40">
        <f t="shared" si="1"/>
        <v>46013</v>
      </c>
      <c r="B17441" s="37" t="str">
        <f t="array" ref="B17441">iferror(xlookup($I17441, 'IMPORT VHC Report'!$E:$E, 'IMPORT VHC Report'!$A:$C), )</f>
        <v/>
      </c>
      <c r="C17441" s="44"/>
      <c r="D17441" s="44"/>
      <c r="E17441" s="46" t="s">
        <v>13667</v>
      </c>
      <c r="F17441" s="46" t="s">
        <v>2211</v>
      </c>
      <c r="G17441" s="46">
        <v>3.61731646775E11</v>
      </c>
      <c r="H17441" s="46" t="s">
        <v>2212</v>
      </c>
      <c r="I17441" s="46" t="s">
        <v>2213</v>
      </c>
      <c r="J17441" s="46" t="s">
        <v>62</v>
      </c>
      <c r="K17441" s="46" t="s">
        <v>63</v>
      </c>
      <c r="L17441" s="45">
        <v>46016.5625</v>
      </c>
      <c r="M17441" s="46" t="s">
        <v>123</v>
      </c>
      <c r="N17441" s="45">
        <v>46016.583333333336</v>
      </c>
      <c r="O17441" s="46" t="s">
        <v>123</v>
      </c>
      <c r="P17441" s="46">
        <v>1800.0</v>
      </c>
    </row>
    <row r="17442">
      <c r="A17442" s="40">
        <f t="shared" si="1"/>
        <v>46013</v>
      </c>
      <c r="B17442" s="37" t="str">
        <f t="array" ref="B17442">iferror(xlookup($I17442, 'IMPORT VHC Report'!$E:$E, 'IMPORT VHC Report'!$A:$C), )</f>
        <v/>
      </c>
      <c r="C17442" s="44"/>
      <c r="D17442" s="44"/>
      <c r="E17442" s="46" t="s">
        <v>13668</v>
      </c>
      <c r="F17442" s="46" t="s">
        <v>2211</v>
      </c>
      <c r="G17442" s="46">
        <v>3.61731646775E11</v>
      </c>
      <c r="H17442" s="46" t="s">
        <v>2212</v>
      </c>
      <c r="I17442" s="46" t="s">
        <v>2213</v>
      </c>
      <c r="J17442" s="46" t="s">
        <v>4</v>
      </c>
      <c r="K17442" s="46" t="s">
        <v>126</v>
      </c>
      <c r="L17442" s="45">
        <v>46019.208333333336</v>
      </c>
      <c r="M17442" s="46" t="s">
        <v>123</v>
      </c>
      <c r="N17442" s="45">
        <v>46019.229166666664</v>
      </c>
      <c r="O17442" s="46" t="s">
        <v>123</v>
      </c>
      <c r="P17442" s="46">
        <v>1800.0</v>
      </c>
    </row>
    <row r="17443">
      <c r="A17443" s="40">
        <f t="shared" si="1"/>
        <v>46013</v>
      </c>
      <c r="B17443" s="37" t="str">
        <f t="array" ref="B17443">iferror(xlookup($I17443, 'IMPORT VHC Report'!$E:$E, 'IMPORT VHC Report'!$A:$C), )</f>
        <v/>
      </c>
      <c r="C17443" s="44"/>
      <c r="D17443" s="44"/>
      <c r="E17443" s="46" t="s">
        <v>13669</v>
      </c>
      <c r="F17443" s="46" t="s">
        <v>2211</v>
      </c>
      <c r="G17443" s="46">
        <v>3.61731646775E11</v>
      </c>
      <c r="H17443" s="46" t="s">
        <v>2212</v>
      </c>
      <c r="I17443" s="46" t="s">
        <v>2213</v>
      </c>
      <c r="J17443" s="46" t="s">
        <v>530</v>
      </c>
      <c r="K17443" s="46" t="s">
        <v>63</v>
      </c>
      <c r="L17443" s="45">
        <v>46019.208333333336</v>
      </c>
      <c r="M17443" s="46" t="s">
        <v>123</v>
      </c>
      <c r="N17443" s="45">
        <v>46019.583333333336</v>
      </c>
      <c r="O17443" s="46" t="s">
        <v>123</v>
      </c>
      <c r="P17443" s="46">
        <v>32400.0</v>
      </c>
    </row>
    <row r="17444">
      <c r="A17444" s="40">
        <f t="shared" si="1"/>
        <v>46013</v>
      </c>
      <c r="B17444" s="37" t="str">
        <f t="array" ref="B17444">iferror(xlookup($I17444, 'IMPORT VHC Report'!$E:$E, 'IMPORT VHC Report'!$A:$C), )</f>
        <v/>
      </c>
      <c r="C17444" s="44"/>
      <c r="D17444" s="44"/>
      <c r="E17444" s="46" t="s">
        <v>13670</v>
      </c>
      <c r="F17444" s="46" t="s">
        <v>2211</v>
      </c>
      <c r="G17444" s="46">
        <v>3.61731646775E11</v>
      </c>
      <c r="H17444" s="46" t="s">
        <v>2212</v>
      </c>
      <c r="I17444" s="46" t="s">
        <v>2213</v>
      </c>
      <c r="J17444" s="46" t="s">
        <v>178</v>
      </c>
      <c r="K17444" s="46" t="s">
        <v>153</v>
      </c>
      <c r="L17444" s="45">
        <v>46019.208333333336</v>
      </c>
      <c r="M17444" s="46" t="s">
        <v>123</v>
      </c>
      <c r="N17444" s="45">
        <v>46019.583333333336</v>
      </c>
      <c r="O17444" s="46" t="s">
        <v>123</v>
      </c>
      <c r="P17444" s="46">
        <v>32400.0</v>
      </c>
      <c r="Q17444" s="46">
        <v>28800.0</v>
      </c>
      <c r="R17444" s="46" t="s">
        <v>13671</v>
      </c>
    </row>
    <row r="17445">
      <c r="A17445" s="40">
        <f t="shared" si="1"/>
        <v>46013</v>
      </c>
      <c r="B17445" s="37" t="str">
        <f t="array" ref="B17445">iferror(xlookup($I17445, 'IMPORT VHC Report'!$E:$E, 'IMPORT VHC Report'!$A:$C), )</f>
        <v/>
      </c>
      <c r="C17445" s="44"/>
      <c r="D17445" s="44"/>
      <c r="E17445" s="46" t="s">
        <v>13672</v>
      </c>
      <c r="F17445" s="46" t="s">
        <v>2211</v>
      </c>
      <c r="G17445" s="46">
        <v>3.61731646775E11</v>
      </c>
      <c r="H17445" s="46" t="s">
        <v>2212</v>
      </c>
      <c r="I17445" s="46" t="s">
        <v>2213</v>
      </c>
      <c r="J17445" s="46" t="s">
        <v>134</v>
      </c>
      <c r="K17445" s="46" t="s">
        <v>126</v>
      </c>
      <c r="L17445" s="45">
        <v>46019.322916666664</v>
      </c>
      <c r="M17445" s="46" t="s">
        <v>123</v>
      </c>
      <c r="N17445" s="45">
        <v>46019.34375</v>
      </c>
      <c r="O17445" s="46" t="s">
        <v>123</v>
      </c>
      <c r="P17445" s="46">
        <v>1800.0</v>
      </c>
    </row>
    <row r="17446">
      <c r="A17446" s="40">
        <f t="shared" si="1"/>
        <v>46013</v>
      </c>
      <c r="B17446" s="37" t="str">
        <f t="array" ref="B17446">iferror(xlookup($I17446, 'IMPORT VHC Report'!$E:$E, 'IMPORT VHC Report'!$A:$C), )</f>
        <v/>
      </c>
      <c r="C17446" s="44"/>
      <c r="D17446" s="44"/>
      <c r="E17446" s="46" t="s">
        <v>13673</v>
      </c>
      <c r="F17446" s="46" t="s">
        <v>2211</v>
      </c>
      <c r="G17446" s="46">
        <v>3.61731646775E11</v>
      </c>
      <c r="H17446" s="46" t="s">
        <v>2212</v>
      </c>
      <c r="I17446" s="46" t="s">
        <v>2213</v>
      </c>
      <c r="J17446" s="46" t="s">
        <v>132</v>
      </c>
      <c r="K17446" s="46" t="s">
        <v>126</v>
      </c>
      <c r="L17446" s="45">
        <v>46019.479166666664</v>
      </c>
      <c r="M17446" s="46" t="s">
        <v>123</v>
      </c>
      <c r="N17446" s="45">
        <v>46019.520833333336</v>
      </c>
      <c r="O17446" s="46" t="s">
        <v>123</v>
      </c>
      <c r="P17446" s="46">
        <v>3600.0</v>
      </c>
    </row>
    <row r="17447">
      <c r="A17447" s="40">
        <f t="shared" si="1"/>
        <v>46013</v>
      </c>
      <c r="B17447" s="37" t="str">
        <f t="array" ref="B17447">iferror(xlookup($I17447, 'IMPORT VHC Report'!$E:$E, 'IMPORT VHC Report'!$A:$C), )</f>
        <v/>
      </c>
      <c r="C17447" s="44"/>
      <c r="D17447" s="44"/>
      <c r="E17447" s="46" t="s">
        <v>13674</v>
      </c>
      <c r="F17447" s="46" t="s">
        <v>2294</v>
      </c>
      <c r="G17447" s="46">
        <v>5.202392949391E12</v>
      </c>
      <c r="H17447" s="46" t="s">
        <v>2295</v>
      </c>
      <c r="I17447" s="46" t="s">
        <v>2296</v>
      </c>
      <c r="J17447" s="46" t="s">
        <v>4</v>
      </c>
      <c r="K17447" s="46" t="s">
        <v>126</v>
      </c>
      <c r="L17447" s="45">
        <v>46013.208333333336</v>
      </c>
      <c r="M17447" s="46" t="s">
        <v>123</v>
      </c>
      <c r="N17447" s="45">
        <v>46013.229166666664</v>
      </c>
      <c r="O17447" s="46" t="s">
        <v>123</v>
      </c>
      <c r="P17447" s="46">
        <v>1800.0</v>
      </c>
    </row>
    <row r="17448">
      <c r="A17448" s="40">
        <f t="shared" si="1"/>
        <v>46013</v>
      </c>
      <c r="B17448" s="37" t="str">
        <f t="array" ref="B17448">iferror(xlookup($I17448, 'IMPORT VHC Report'!$E:$E, 'IMPORT VHC Report'!$A:$C), )</f>
        <v/>
      </c>
      <c r="C17448" s="44"/>
      <c r="D17448" s="44"/>
      <c r="E17448" s="46" t="s">
        <v>13675</v>
      </c>
      <c r="F17448" s="46" t="s">
        <v>2294</v>
      </c>
      <c r="G17448" s="46">
        <v>5.202392949391E12</v>
      </c>
      <c r="H17448" s="46" t="s">
        <v>2295</v>
      </c>
      <c r="I17448" s="46" t="s">
        <v>2296</v>
      </c>
      <c r="J17448" s="46" t="s">
        <v>530</v>
      </c>
      <c r="K17448" s="46" t="s">
        <v>63</v>
      </c>
      <c r="L17448" s="45">
        <v>46013.208333333336</v>
      </c>
      <c r="M17448" s="46" t="s">
        <v>123</v>
      </c>
      <c r="N17448" s="45">
        <v>46013.229166666664</v>
      </c>
      <c r="O17448" s="46" t="s">
        <v>123</v>
      </c>
      <c r="P17448" s="46">
        <v>1800.0</v>
      </c>
    </row>
    <row r="17449">
      <c r="A17449" s="40">
        <f t="shared" si="1"/>
        <v>46013</v>
      </c>
      <c r="B17449" s="37" t="str">
        <f t="array" ref="B17449">iferror(xlookup($I17449, 'IMPORT VHC Report'!$E:$E, 'IMPORT VHC Report'!$A:$C), )</f>
        <v/>
      </c>
      <c r="C17449" s="44"/>
      <c r="D17449" s="44"/>
      <c r="E17449" s="46" t="s">
        <v>13676</v>
      </c>
      <c r="F17449" s="46" t="s">
        <v>2294</v>
      </c>
      <c r="G17449" s="46">
        <v>5.202392949391E12</v>
      </c>
      <c r="H17449" s="46" t="s">
        <v>2295</v>
      </c>
      <c r="I17449" s="46" t="s">
        <v>2296</v>
      </c>
      <c r="J17449" s="46" t="s">
        <v>62</v>
      </c>
      <c r="K17449" s="46" t="s">
        <v>63</v>
      </c>
      <c r="L17449" s="45">
        <v>46013.229166666664</v>
      </c>
      <c r="M17449" s="46" t="s">
        <v>123</v>
      </c>
      <c r="N17449" s="45">
        <v>46013.25</v>
      </c>
      <c r="O17449" s="46" t="s">
        <v>123</v>
      </c>
      <c r="P17449" s="46">
        <v>1800.0</v>
      </c>
    </row>
    <row r="17450">
      <c r="A17450" s="40">
        <f t="shared" si="1"/>
        <v>46013</v>
      </c>
      <c r="B17450" s="37" t="str">
        <f t="array" ref="B17450">iferror(xlookup($I17450, 'IMPORT VHC Report'!$E:$E, 'IMPORT VHC Report'!$A:$C), )</f>
        <v/>
      </c>
      <c r="C17450" s="44"/>
      <c r="D17450" s="44"/>
      <c r="E17450" s="46" t="s">
        <v>13677</v>
      </c>
      <c r="F17450" s="46" t="s">
        <v>2294</v>
      </c>
      <c r="G17450" s="46">
        <v>5.202392949391E12</v>
      </c>
      <c r="H17450" s="46" t="s">
        <v>2295</v>
      </c>
      <c r="I17450" s="46" t="s">
        <v>2296</v>
      </c>
      <c r="J17450" s="46" t="s">
        <v>530</v>
      </c>
      <c r="K17450" s="46" t="s">
        <v>63</v>
      </c>
      <c r="L17450" s="45">
        <v>46013.25</v>
      </c>
      <c r="M17450" s="46" t="s">
        <v>123</v>
      </c>
      <c r="N17450" s="45">
        <v>46013.32708333333</v>
      </c>
      <c r="O17450" s="46" t="s">
        <v>123</v>
      </c>
      <c r="P17450" s="46">
        <v>6660.0</v>
      </c>
    </row>
    <row r="17451">
      <c r="A17451" s="40">
        <f t="shared" si="1"/>
        <v>46013</v>
      </c>
      <c r="B17451" s="37" t="str">
        <f t="array" ref="B17451">iferror(xlookup($I17451, 'IMPORT VHC Report'!$E:$E, 'IMPORT VHC Report'!$A:$C), )</f>
        <v/>
      </c>
      <c r="C17451" s="44"/>
      <c r="D17451" s="44"/>
      <c r="E17451" s="46" t="s">
        <v>13678</v>
      </c>
      <c r="F17451" s="46" t="s">
        <v>2294</v>
      </c>
      <c r="G17451" s="46">
        <v>5.202392949391E12</v>
      </c>
      <c r="H17451" s="46" t="s">
        <v>2295</v>
      </c>
      <c r="I17451" s="46" t="s">
        <v>2296</v>
      </c>
      <c r="J17451" s="46" t="s">
        <v>1670</v>
      </c>
      <c r="K17451" s="46" t="s">
        <v>63</v>
      </c>
      <c r="L17451" s="45">
        <v>46013.32708333333</v>
      </c>
      <c r="M17451" s="46" t="s">
        <v>123</v>
      </c>
      <c r="N17451" s="45">
        <v>46013.336805555555</v>
      </c>
      <c r="O17451" s="46" t="s">
        <v>123</v>
      </c>
      <c r="P17451" s="46">
        <v>840.0</v>
      </c>
      <c r="S17451" s="46" t="s">
        <v>13679</v>
      </c>
    </row>
    <row r="17452">
      <c r="A17452" s="40">
        <f t="shared" si="1"/>
        <v>46013</v>
      </c>
      <c r="B17452" s="37" t="str">
        <f t="array" ref="B17452">iferror(xlookup($I17452, 'IMPORT VHC Report'!$E:$E, 'IMPORT VHC Report'!$A:$C), )</f>
        <v/>
      </c>
      <c r="C17452" s="44"/>
      <c r="D17452" s="44"/>
      <c r="E17452" s="46" t="s">
        <v>13680</v>
      </c>
      <c r="F17452" s="46" t="s">
        <v>2294</v>
      </c>
      <c r="G17452" s="46">
        <v>5.202392949391E12</v>
      </c>
      <c r="H17452" s="46" t="s">
        <v>2295</v>
      </c>
      <c r="I17452" s="46" t="s">
        <v>2296</v>
      </c>
      <c r="J17452" s="46" t="s">
        <v>530</v>
      </c>
      <c r="K17452" s="46" t="s">
        <v>63</v>
      </c>
      <c r="L17452" s="45">
        <v>46013.336805555555</v>
      </c>
      <c r="M17452" s="46" t="s">
        <v>123</v>
      </c>
      <c r="N17452" s="45">
        <v>46013.583333333336</v>
      </c>
      <c r="O17452" s="46" t="s">
        <v>123</v>
      </c>
      <c r="P17452" s="46">
        <v>21300.0</v>
      </c>
    </row>
    <row r="17453">
      <c r="A17453" s="40">
        <f t="shared" si="1"/>
        <v>46013</v>
      </c>
      <c r="B17453" s="37" t="str">
        <f t="array" ref="B17453">iferror(xlookup($I17453, 'IMPORT VHC Report'!$E:$E, 'IMPORT VHC Report'!$A:$C), )</f>
        <v/>
      </c>
      <c r="C17453" s="44"/>
      <c r="D17453" s="44"/>
      <c r="E17453" s="46" t="s">
        <v>13681</v>
      </c>
      <c r="F17453" s="46" t="s">
        <v>2294</v>
      </c>
      <c r="G17453" s="46">
        <v>5.202392949391E12</v>
      </c>
      <c r="H17453" s="46" t="s">
        <v>2295</v>
      </c>
      <c r="I17453" s="46" t="s">
        <v>2296</v>
      </c>
      <c r="J17453" s="46" t="s">
        <v>134</v>
      </c>
      <c r="K17453" s="46" t="s">
        <v>126</v>
      </c>
      <c r="L17453" s="45">
        <v>46013.479166666664</v>
      </c>
      <c r="M17453" s="46" t="s">
        <v>123</v>
      </c>
      <c r="N17453" s="45">
        <v>46013.5</v>
      </c>
      <c r="O17453" s="46" t="s">
        <v>123</v>
      </c>
      <c r="P17453" s="46">
        <v>1800.0</v>
      </c>
    </row>
    <row r="17454">
      <c r="A17454" s="40">
        <f t="shared" si="1"/>
        <v>46013</v>
      </c>
      <c r="B17454" s="37" t="str">
        <f t="array" ref="B17454">iferror(xlookup($I17454, 'IMPORT VHC Report'!$E:$E, 'IMPORT VHC Report'!$A:$C), )</f>
        <v/>
      </c>
      <c r="C17454" s="44"/>
      <c r="D17454" s="44"/>
      <c r="E17454" s="46" t="s">
        <v>13682</v>
      </c>
      <c r="F17454" s="46" t="s">
        <v>2294</v>
      </c>
      <c r="G17454" s="46">
        <v>5.202392949391E12</v>
      </c>
      <c r="H17454" s="46" t="s">
        <v>2295</v>
      </c>
      <c r="I17454" s="46" t="s">
        <v>2296</v>
      </c>
      <c r="J17454" s="46" t="s">
        <v>132</v>
      </c>
      <c r="K17454" s="46" t="s">
        <v>126</v>
      </c>
      <c r="L17454" s="45">
        <v>46013.5</v>
      </c>
      <c r="M17454" s="46" t="s">
        <v>123</v>
      </c>
      <c r="N17454" s="45">
        <v>46013.541666666664</v>
      </c>
      <c r="O17454" s="46" t="s">
        <v>123</v>
      </c>
      <c r="P17454" s="46">
        <v>3600.0</v>
      </c>
    </row>
    <row r="17455">
      <c r="A17455" s="40">
        <f t="shared" si="1"/>
        <v>46013</v>
      </c>
      <c r="B17455" s="37" t="str">
        <f t="array" ref="B17455">iferror(xlookup($I17455, 'IMPORT VHC Report'!$E:$E, 'IMPORT VHC Report'!$A:$C), )</f>
        <v/>
      </c>
      <c r="C17455" s="44"/>
      <c r="D17455" s="44"/>
      <c r="E17455" s="46" t="s">
        <v>13683</v>
      </c>
      <c r="F17455" s="46" t="s">
        <v>2294</v>
      </c>
      <c r="G17455" s="46">
        <v>5.202392949391E12</v>
      </c>
      <c r="H17455" s="46" t="s">
        <v>2295</v>
      </c>
      <c r="I17455" s="46" t="s">
        <v>2296</v>
      </c>
      <c r="J17455" s="46" t="s">
        <v>4</v>
      </c>
      <c r="K17455" s="46" t="s">
        <v>126</v>
      </c>
      <c r="L17455" s="45">
        <v>46013.541666666664</v>
      </c>
      <c r="M17455" s="46" t="s">
        <v>123</v>
      </c>
      <c r="N17455" s="45">
        <v>46013.583333333336</v>
      </c>
      <c r="O17455" s="46" t="s">
        <v>123</v>
      </c>
      <c r="P17455" s="46">
        <v>3600.0</v>
      </c>
      <c r="S17455" s="46" t="s">
        <v>13684</v>
      </c>
    </row>
    <row r="17456">
      <c r="A17456" s="40">
        <f t="shared" si="1"/>
        <v>46013</v>
      </c>
      <c r="B17456" s="37" t="str">
        <f t="array" ref="B17456">iferror(xlookup($I17456, 'IMPORT VHC Report'!$E:$E, 'IMPORT VHC Report'!$A:$C), )</f>
        <v/>
      </c>
      <c r="C17456" s="44"/>
      <c r="D17456" s="44"/>
      <c r="E17456" s="46" t="s">
        <v>13685</v>
      </c>
      <c r="F17456" s="46" t="s">
        <v>2294</v>
      </c>
      <c r="G17456" s="46">
        <v>5.202392949391E12</v>
      </c>
      <c r="H17456" s="46" t="s">
        <v>2295</v>
      </c>
      <c r="I17456" s="46" t="s">
        <v>2296</v>
      </c>
      <c r="J17456" s="46" t="s">
        <v>4</v>
      </c>
      <c r="K17456" s="46" t="s">
        <v>126</v>
      </c>
      <c r="L17456" s="45">
        <v>46014.125</v>
      </c>
      <c r="M17456" s="46" t="s">
        <v>123</v>
      </c>
      <c r="N17456" s="45">
        <v>46014.145833333336</v>
      </c>
      <c r="O17456" s="46" t="s">
        <v>123</v>
      </c>
      <c r="P17456" s="46">
        <v>1800.0</v>
      </c>
    </row>
    <row r="17457">
      <c r="A17457" s="40">
        <f t="shared" si="1"/>
        <v>46013</v>
      </c>
      <c r="B17457" s="37" t="str">
        <f t="array" ref="B17457">iferror(xlookup($I17457, 'IMPORT VHC Report'!$E:$E, 'IMPORT VHC Report'!$A:$C), )</f>
        <v/>
      </c>
      <c r="C17457" s="44"/>
      <c r="D17457" s="44"/>
      <c r="E17457" s="46" t="s">
        <v>13686</v>
      </c>
      <c r="F17457" s="46" t="s">
        <v>2294</v>
      </c>
      <c r="G17457" s="46">
        <v>5.202392949391E12</v>
      </c>
      <c r="H17457" s="46" t="s">
        <v>2295</v>
      </c>
      <c r="I17457" s="46" t="s">
        <v>2296</v>
      </c>
      <c r="J17457" s="46" t="s">
        <v>530</v>
      </c>
      <c r="K17457" s="46" t="s">
        <v>63</v>
      </c>
      <c r="L17457" s="45">
        <v>46014.145833333336</v>
      </c>
      <c r="M17457" s="46" t="s">
        <v>123</v>
      </c>
      <c r="N17457" s="45">
        <v>46014.19305555556</v>
      </c>
      <c r="O17457" s="46" t="s">
        <v>123</v>
      </c>
      <c r="P17457" s="46">
        <v>4080.0</v>
      </c>
    </row>
    <row r="17458">
      <c r="A17458" s="40">
        <f t="shared" si="1"/>
        <v>46013</v>
      </c>
      <c r="B17458" s="37" t="str">
        <f t="array" ref="B17458">iferror(xlookup($I17458, 'IMPORT VHC Report'!$E:$E, 'IMPORT VHC Report'!$A:$C), )</f>
        <v/>
      </c>
      <c r="C17458" s="44"/>
      <c r="D17458" s="44"/>
      <c r="E17458" s="46" t="s">
        <v>13687</v>
      </c>
      <c r="F17458" s="46" t="s">
        <v>2294</v>
      </c>
      <c r="G17458" s="46">
        <v>5.202392949391E12</v>
      </c>
      <c r="H17458" s="46" t="s">
        <v>2295</v>
      </c>
      <c r="I17458" s="46" t="s">
        <v>2296</v>
      </c>
      <c r="J17458" s="46" t="s">
        <v>1670</v>
      </c>
      <c r="K17458" s="46" t="s">
        <v>63</v>
      </c>
      <c r="L17458" s="45">
        <v>46014.19305555556</v>
      </c>
      <c r="M17458" s="46" t="s">
        <v>123</v>
      </c>
      <c r="N17458" s="45">
        <v>46014.22430555556</v>
      </c>
      <c r="O17458" s="46" t="s">
        <v>123</v>
      </c>
      <c r="P17458" s="46">
        <v>2700.0</v>
      </c>
      <c r="S17458" s="46" t="s">
        <v>13688</v>
      </c>
    </row>
    <row r="17459">
      <c r="A17459" s="40">
        <f t="shared" si="1"/>
        <v>46013</v>
      </c>
      <c r="B17459" s="37" t="str">
        <f t="array" ref="B17459">iferror(xlookup($I17459, 'IMPORT VHC Report'!$E:$E, 'IMPORT VHC Report'!$A:$C), )</f>
        <v/>
      </c>
      <c r="C17459" s="44"/>
      <c r="D17459" s="44"/>
      <c r="E17459" s="46" t="s">
        <v>13689</v>
      </c>
      <c r="F17459" s="46" t="s">
        <v>2294</v>
      </c>
      <c r="G17459" s="46">
        <v>5.202392949391E12</v>
      </c>
      <c r="H17459" s="46" t="s">
        <v>2295</v>
      </c>
      <c r="I17459" s="46" t="s">
        <v>2296</v>
      </c>
      <c r="J17459" s="46" t="s">
        <v>530</v>
      </c>
      <c r="K17459" s="46" t="s">
        <v>63</v>
      </c>
      <c r="L17459" s="45">
        <v>46014.22430555556</v>
      </c>
      <c r="M17459" s="46" t="s">
        <v>123</v>
      </c>
      <c r="N17459" s="45">
        <v>46014.27916666667</v>
      </c>
      <c r="O17459" s="46" t="s">
        <v>123</v>
      </c>
      <c r="P17459" s="46">
        <v>4740.0</v>
      </c>
    </row>
    <row r="17460">
      <c r="A17460" s="40">
        <f t="shared" si="1"/>
        <v>46013</v>
      </c>
      <c r="B17460" s="37" t="str">
        <f t="array" ref="B17460">iferror(xlookup($I17460, 'IMPORT VHC Report'!$E:$E, 'IMPORT VHC Report'!$A:$C), )</f>
        <v/>
      </c>
      <c r="C17460" s="44"/>
      <c r="D17460" s="44"/>
      <c r="E17460" s="46" t="s">
        <v>13690</v>
      </c>
      <c r="F17460" s="46" t="s">
        <v>2294</v>
      </c>
      <c r="G17460" s="46">
        <v>5.202392949391E12</v>
      </c>
      <c r="H17460" s="46" t="s">
        <v>2295</v>
      </c>
      <c r="I17460" s="46" t="s">
        <v>2296</v>
      </c>
      <c r="J17460" s="46" t="s">
        <v>4</v>
      </c>
      <c r="K17460" s="46" t="s">
        <v>126</v>
      </c>
      <c r="L17460" s="45">
        <v>46014.27916666667</v>
      </c>
      <c r="M17460" s="46" t="s">
        <v>123</v>
      </c>
      <c r="N17460" s="45">
        <v>46014.29305555556</v>
      </c>
      <c r="O17460" s="46" t="s">
        <v>123</v>
      </c>
      <c r="P17460" s="46">
        <v>1200.0</v>
      </c>
      <c r="S17460" s="46" t="s">
        <v>13691</v>
      </c>
    </row>
    <row r="17461">
      <c r="A17461" s="40">
        <f t="shared" si="1"/>
        <v>46013</v>
      </c>
      <c r="B17461" s="37" t="str">
        <f t="array" ref="B17461">iferror(xlookup($I17461, 'IMPORT VHC Report'!$E:$E, 'IMPORT VHC Report'!$A:$C), )</f>
        <v/>
      </c>
      <c r="C17461" s="44"/>
      <c r="D17461" s="44"/>
      <c r="E17461" s="46" t="s">
        <v>13692</v>
      </c>
      <c r="F17461" s="46" t="s">
        <v>2294</v>
      </c>
      <c r="G17461" s="46">
        <v>5.202392949391E12</v>
      </c>
      <c r="H17461" s="46" t="s">
        <v>2295</v>
      </c>
      <c r="I17461" s="46" t="s">
        <v>2296</v>
      </c>
      <c r="J17461" s="46" t="s">
        <v>530</v>
      </c>
      <c r="K17461" s="46" t="s">
        <v>63</v>
      </c>
      <c r="L17461" s="45">
        <v>46014.29305555556</v>
      </c>
      <c r="M17461" s="46" t="s">
        <v>123</v>
      </c>
      <c r="N17461" s="45">
        <v>46014.4375</v>
      </c>
      <c r="O17461" s="46" t="s">
        <v>123</v>
      </c>
      <c r="P17461" s="46">
        <v>12480.0</v>
      </c>
    </row>
    <row r="17462">
      <c r="A17462" s="40">
        <f t="shared" si="1"/>
        <v>46013</v>
      </c>
      <c r="B17462" s="37" t="str">
        <f t="array" ref="B17462">iferror(xlookup($I17462, 'IMPORT VHC Report'!$E:$E, 'IMPORT VHC Report'!$A:$C), )</f>
        <v/>
      </c>
      <c r="C17462" s="44"/>
      <c r="D17462" s="44"/>
      <c r="E17462" s="46" t="s">
        <v>13693</v>
      </c>
      <c r="F17462" s="46" t="s">
        <v>2294</v>
      </c>
      <c r="G17462" s="46">
        <v>5.202392949391E12</v>
      </c>
      <c r="H17462" s="46" t="s">
        <v>2295</v>
      </c>
      <c r="I17462" s="46" t="s">
        <v>2296</v>
      </c>
      <c r="J17462" s="46" t="s">
        <v>134</v>
      </c>
      <c r="K17462" s="46" t="s">
        <v>126</v>
      </c>
      <c r="L17462" s="45">
        <v>46014.3125</v>
      </c>
      <c r="M17462" s="46" t="s">
        <v>123</v>
      </c>
      <c r="N17462" s="45">
        <v>46014.333333333336</v>
      </c>
      <c r="O17462" s="46" t="s">
        <v>123</v>
      </c>
      <c r="P17462" s="46">
        <v>1800.0</v>
      </c>
    </row>
    <row r="17463">
      <c r="A17463" s="40">
        <f t="shared" si="1"/>
        <v>46013</v>
      </c>
      <c r="B17463" s="37" t="str">
        <f t="array" ref="B17463">iferror(xlookup($I17463, 'IMPORT VHC Report'!$E:$E, 'IMPORT VHC Report'!$A:$C), )</f>
        <v/>
      </c>
      <c r="C17463" s="44"/>
      <c r="D17463" s="44"/>
      <c r="E17463" s="46" t="s">
        <v>13694</v>
      </c>
      <c r="F17463" s="46" t="s">
        <v>2294</v>
      </c>
      <c r="G17463" s="46">
        <v>5.202392949391E12</v>
      </c>
      <c r="H17463" s="46" t="s">
        <v>2295</v>
      </c>
      <c r="I17463" s="46" t="s">
        <v>2296</v>
      </c>
      <c r="J17463" s="46" t="s">
        <v>134</v>
      </c>
      <c r="K17463" s="46" t="s">
        <v>126</v>
      </c>
      <c r="L17463" s="45">
        <v>46014.4375</v>
      </c>
      <c r="M17463" s="46" t="s">
        <v>123</v>
      </c>
      <c r="N17463" s="45">
        <v>46014.458333333336</v>
      </c>
      <c r="O17463" s="46" t="s">
        <v>123</v>
      </c>
      <c r="P17463" s="46">
        <v>1800.0</v>
      </c>
    </row>
    <row r="17464">
      <c r="A17464" s="40">
        <f t="shared" si="1"/>
        <v>46013</v>
      </c>
      <c r="B17464" s="37" t="str">
        <f t="array" ref="B17464">iferror(xlookup($I17464, 'IMPORT VHC Report'!$E:$E, 'IMPORT VHC Report'!$A:$C), )</f>
        <v/>
      </c>
      <c r="C17464" s="44"/>
      <c r="D17464" s="44"/>
      <c r="E17464" s="46" t="s">
        <v>13695</v>
      </c>
      <c r="F17464" s="46" t="s">
        <v>2294</v>
      </c>
      <c r="G17464" s="46">
        <v>5.202392949391E12</v>
      </c>
      <c r="H17464" s="46" t="s">
        <v>2295</v>
      </c>
      <c r="I17464" s="46" t="s">
        <v>2296</v>
      </c>
      <c r="J17464" s="46" t="s">
        <v>134</v>
      </c>
      <c r="K17464" s="46" t="s">
        <v>126</v>
      </c>
      <c r="L17464" s="45">
        <v>46014.458333333336</v>
      </c>
      <c r="M17464" s="46" t="s">
        <v>123</v>
      </c>
      <c r="N17464" s="45">
        <v>46014.5</v>
      </c>
      <c r="O17464" s="46" t="s">
        <v>123</v>
      </c>
      <c r="P17464" s="46">
        <v>3600.0</v>
      </c>
    </row>
    <row r="17465">
      <c r="A17465" s="40">
        <f t="shared" si="1"/>
        <v>46013</v>
      </c>
      <c r="B17465" s="37" t="str">
        <f t="array" ref="B17465">iferror(xlookup($I17465, 'IMPORT VHC Report'!$E:$E, 'IMPORT VHC Report'!$A:$C), )</f>
        <v/>
      </c>
      <c r="C17465" s="44"/>
      <c r="D17465" s="44"/>
      <c r="E17465" s="46" t="s">
        <v>13696</v>
      </c>
      <c r="F17465" s="46" t="s">
        <v>2294</v>
      </c>
      <c r="G17465" s="46">
        <v>5.202392949391E12</v>
      </c>
      <c r="H17465" s="46" t="s">
        <v>2295</v>
      </c>
      <c r="I17465" s="46" t="s">
        <v>2296</v>
      </c>
      <c r="J17465" s="46" t="s">
        <v>4</v>
      </c>
      <c r="K17465" s="46" t="s">
        <v>126</v>
      </c>
      <c r="L17465" s="45">
        <v>46015.208333333336</v>
      </c>
      <c r="M17465" s="46" t="s">
        <v>123</v>
      </c>
      <c r="N17465" s="45">
        <v>46015.229166666664</v>
      </c>
      <c r="O17465" s="46" t="s">
        <v>123</v>
      </c>
      <c r="P17465" s="46">
        <v>1800.0</v>
      </c>
    </row>
    <row r="17466">
      <c r="A17466" s="40">
        <f t="shared" si="1"/>
        <v>46013</v>
      </c>
      <c r="B17466" s="37" t="str">
        <f t="array" ref="B17466">iferror(xlookup($I17466, 'IMPORT VHC Report'!$E:$E, 'IMPORT VHC Report'!$A:$C), )</f>
        <v/>
      </c>
      <c r="C17466" s="44"/>
      <c r="D17466" s="44"/>
      <c r="E17466" s="46" t="s">
        <v>13697</v>
      </c>
      <c r="F17466" s="46" t="s">
        <v>2294</v>
      </c>
      <c r="G17466" s="46">
        <v>5.202392949391E12</v>
      </c>
      <c r="H17466" s="46" t="s">
        <v>2295</v>
      </c>
      <c r="I17466" s="46" t="s">
        <v>2296</v>
      </c>
      <c r="J17466" s="46" t="s">
        <v>530</v>
      </c>
      <c r="K17466" s="46" t="s">
        <v>63</v>
      </c>
      <c r="L17466" s="45">
        <v>46015.208333333336</v>
      </c>
      <c r="M17466" s="46" t="s">
        <v>123</v>
      </c>
      <c r="N17466" s="45">
        <v>46015.26666666667</v>
      </c>
      <c r="O17466" s="46" t="s">
        <v>123</v>
      </c>
      <c r="P17466" s="46">
        <v>5040.0</v>
      </c>
    </row>
    <row r="17467">
      <c r="A17467" s="40">
        <f t="shared" si="1"/>
        <v>46013</v>
      </c>
      <c r="B17467" s="37" t="str">
        <f t="array" ref="B17467">iferror(xlookup($I17467, 'IMPORT VHC Report'!$E:$E, 'IMPORT VHC Report'!$A:$C), )</f>
        <v/>
      </c>
      <c r="C17467" s="44"/>
      <c r="D17467" s="44"/>
      <c r="E17467" s="46" t="s">
        <v>13698</v>
      </c>
      <c r="F17467" s="46" t="s">
        <v>2294</v>
      </c>
      <c r="G17467" s="46">
        <v>5.202392949391E12</v>
      </c>
      <c r="H17467" s="46" t="s">
        <v>2295</v>
      </c>
      <c r="I17467" s="46" t="s">
        <v>2296</v>
      </c>
      <c r="J17467" s="46" t="s">
        <v>1670</v>
      </c>
      <c r="K17467" s="46" t="s">
        <v>63</v>
      </c>
      <c r="L17467" s="45">
        <v>46015.26666666667</v>
      </c>
      <c r="M17467" s="46" t="s">
        <v>123</v>
      </c>
      <c r="N17467" s="45">
        <v>46015.277083333334</v>
      </c>
      <c r="O17467" s="46" t="s">
        <v>123</v>
      </c>
      <c r="P17467" s="46">
        <v>900.0</v>
      </c>
      <c r="S17467" s="46" t="s">
        <v>2299</v>
      </c>
    </row>
    <row r="17468">
      <c r="A17468" s="40">
        <f t="shared" si="1"/>
        <v>46013</v>
      </c>
      <c r="B17468" s="37" t="str">
        <f t="array" ref="B17468">iferror(xlookup($I17468, 'IMPORT VHC Report'!$E:$E, 'IMPORT VHC Report'!$A:$C), )</f>
        <v/>
      </c>
      <c r="C17468" s="44"/>
      <c r="D17468" s="44"/>
      <c r="E17468" s="46" t="s">
        <v>13699</v>
      </c>
      <c r="F17468" s="46" t="s">
        <v>2294</v>
      </c>
      <c r="G17468" s="46">
        <v>5.202392949391E12</v>
      </c>
      <c r="H17468" s="46" t="s">
        <v>2295</v>
      </c>
      <c r="I17468" s="46" t="s">
        <v>2296</v>
      </c>
      <c r="J17468" s="46" t="s">
        <v>530</v>
      </c>
      <c r="K17468" s="46" t="s">
        <v>63</v>
      </c>
      <c r="L17468" s="45">
        <v>46015.277083333334</v>
      </c>
      <c r="M17468" s="46" t="s">
        <v>123</v>
      </c>
      <c r="N17468" s="45">
        <v>46015.368055555555</v>
      </c>
      <c r="O17468" s="46" t="s">
        <v>123</v>
      </c>
      <c r="P17468" s="46">
        <v>7860.0</v>
      </c>
    </row>
    <row r="17469">
      <c r="A17469" s="40">
        <f t="shared" si="1"/>
        <v>46013</v>
      </c>
      <c r="B17469" s="37" t="str">
        <f t="array" ref="B17469">iferror(xlookup($I17469, 'IMPORT VHC Report'!$E:$E, 'IMPORT VHC Report'!$A:$C), )</f>
        <v/>
      </c>
      <c r="C17469" s="44"/>
      <c r="D17469" s="44"/>
      <c r="E17469" s="46" t="s">
        <v>13700</v>
      </c>
      <c r="F17469" s="46" t="s">
        <v>2294</v>
      </c>
      <c r="G17469" s="46">
        <v>5.202392949391E12</v>
      </c>
      <c r="H17469" s="46" t="s">
        <v>2295</v>
      </c>
      <c r="I17469" s="46" t="s">
        <v>2296</v>
      </c>
      <c r="J17469" s="46" t="s">
        <v>1670</v>
      </c>
      <c r="K17469" s="46" t="s">
        <v>63</v>
      </c>
      <c r="L17469" s="45">
        <v>46015.368055555555</v>
      </c>
      <c r="M17469" s="46" t="s">
        <v>123</v>
      </c>
      <c r="N17469" s="45">
        <v>46015.399305555555</v>
      </c>
      <c r="O17469" s="46" t="s">
        <v>123</v>
      </c>
      <c r="P17469" s="46">
        <v>2700.0</v>
      </c>
      <c r="S17469" s="46" t="s">
        <v>2299</v>
      </c>
    </row>
    <row r="17470">
      <c r="A17470" s="40">
        <f t="shared" si="1"/>
        <v>46013</v>
      </c>
      <c r="B17470" s="37" t="str">
        <f t="array" ref="B17470">iferror(xlookup($I17470, 'IMPORT VHC Report'!$E:$E, 'IMPORT VHC Report'!$A:$C), )</f>
        <v/>
      </c>
      <c r="C17470" s="44"/>
      <c r="D17470" s="44"/>
      <c r="E17470" s="46" t="s">
        <v>13701</v>
      </c>
      <c r="F17470" s="46" t="s">
        <v>2294</v>
      </c>
      <c r="G17470" s="46">
        <v>5.202392949391E12</v>
      </c>
      <c r="H17470" s="46" t="s">
        <v>2295</v>
      </c>
      <c r="I17470" s="46" t="s">
        <v>2296</v>
      </c>
      <c r="J17470" s="46" t="s">
        <v>530</v>
      </c>
      <c r="K17470" s="46" t="s">
        <v>63</v>
      </c>
      <c r="L17470" s="45">
        <v>46015.399305555555</v>
      </c>
      <c r="M17470" s="46" t="s">
        <v>123</v>
      </c>
      <c r="N17470" s="45">
        <v>46015.413194444445</v>
      </c>
      <c r="O17470" s="46" t="s">
        <v>123</v>
      </c>
      <c r="P17470" s="46">
        <v>1200.0</v>
      </c>
    </row>
    <row r="17471">
      <c r="A17471" s="40">
        <f t="shared" si="1"/>
        <v>46013</v>
      </c>
      <c r="B17471" s="37" t="str">
        <f t="array" ref="B17471">iferror(xlookup($I17471, 'IMPORT VHC Report'!$E:$E, 'IMPORT VHC Report'!$A:$C), )</f>
        <v/>
      </c>
      <c r="C17471" s="44"/>
      <c r="D17471" s="44"/>
      <c r="E17471" s="46" t="s">
        <v>13702</v>
      </c>
      <c r="F17471" s="46" t="s">
        <v>2294</v>
      </c>
      <c r="G17471" s="46">
        <v>5.202392949391E12</v>
      </c>
      <c r="H17471" s="46" t="s">
        <v>2295</v>
      </c>
      <c r="I17471" s="46" t="s">
        <v>2296</v>
      </c>
      <c r="J17471" s="46" t="s">
        <v>1670</v>
      </c>
      <c r="K17471" s="46" t="s">
        <v>63</v>
      </c>
      <c r="L17471" s="45">
        <v>46015.413194444445</v>
      </c>
      <c r="M17471" s="46" t="s">
        <v>123</v>
      </c>
      <c r="N17471" s="45">
        <v>46015.42361111111</v>
      </c>
      <c r="O17471" s="46" t="s">
        <v>123</v>
      </c>
      <c r="P17471" s="46">
        <v>900.0</v>
      </c>
      <c r="S17471" s="46" t="s">
        <v>2299</v>
      </c>
    </row>
    <row r="17472">
      <c r="A17472" s="40">
        <f t="shared" si="1"/>
        <v>46013</v>
      </c>
      <c r="B17472" s="37" t="str">
        <f t="array" ref="B17472">iferror(xlookup($I17472, 'IMPORT VHC Report'!$E:$E, 'IMPORT VHC Report'!$A:$C), )</f>
        <v/>
      </c>
      <c r="C17472" s="44"/>
      <c r="D17472" s="44"/>
      <c r="E17472" s="46" t="s">
        <v>13703</v>
      </c>
      <c r="F17472" s="46" t="s">
        <v>2294</v>
      </c>
      <c r="G17472" s="46">
        <v>5.202392949391E12</v>
      </c>
      <c r="H17472" s="46" t="s">
        <v>2295</v>
      </c>
      <c r="I17472" s="46" t="s">
        <v>2296</v>
      </c>
      <c r="J17472" s="46" t="s">
        <v>530</v>
      </c>
      <c r="K17472" s="46" t="s">
        <v>63</v>
      </c>
      <c r="L17472" s="45">
        <v>46015.42361111111</v>
      </c>
      <c r="M17472" s="46" t="s">
        <v>123</v>
      </c>
      <c r="N17472" s="45">
        <v>46015.583333333336</v>
      </c>
      <c r="O17472" s="46" t="s">
        <v>123</v>
      </c>
      <c r="P17472" s="46">
        <v>13800.0</v>
      </c>
    </row>
    <row r="17473">
      <c r="A17473" s="40">
        <f t="shared" si="1"/>
        <v>46013</v>
      </c>
      <c r="B17473" s="37" t="str">
        <f t="array" ref="B17473">iferror(xlookup($I17473, 'IMPORT VHC Report'!$E:$E, 'IMPORT VHC Report'!$A:$C), )</f>
        <v/>
      </c>
      <c r="C17473" s="44"/>
      <c r="D17473" s="44"/>
      <c r="E17473" s="46" t="s">
        <v>13704</v>
      </c>
      <c r="F17473" s="46" t="s">
        <v>2294</v>
      </c>
      <c r="G17473" s="46">
        <v>5.202392949391E12</v>
      </c>
      <c r="H17473" s="46" t="s">
        <v>2295</v>
      </c>
      <c r="I17473" s="46" t="s">
        <v>2296</v>
      </c>
      <c r="J17473" s="46" t="s">
        <v>132</v>
      </c>
      <c r="K17473" s="46" t="s">
        <v>126</v>
      </c>
      <c r="L17473" s="45">
        <v>46015.479166666664</v>
      </c>
      <c r="M17473" s="46" t="s">
        <v>123</v>
      </c>
      <c r="N17473" s="45">
        <v>46015.520833333336</v>
      </c>
      <c r="O17473" s="46" t="s">
        <v>123</v>
      </c>
      <c r="P17473" s="46">
        <v>3600.0</v>
      </c>
    </row>
    <row r="17474">
      <c r="A17474" s="40">
        <f t="shared" si="1"/>
        <v>46013</v>
      </c>
      <c r="B17474" s="37" t="str">
        <f t="array" ref="B17474">iferror(xlookup($I17474, 'IMPORT VHC Report'!$E:$E, 'IMPORT VHC Report'!$A:$C), )</f>
        <v/>
      </c>
      <c r="C17474" s="44"/>
      <c r="D17474" s="44"/>
      <c r="E17474" s="46" t="s">
        <v>13705</v>
      </c>
      <c r="F17474" s="46" t="s">
        <v>2294</v>
      </c>
      <c r="G17474" s="46">
        <v>5.202392949391E12</v>
      </c>
      <c r="H17474" s="46" t="s">
        <v>2295</v>
      </c>
      <c r="I17474" s="46" t="s">
        <v>2296</v>
      </c>
      <c r="J17474" s="46" t="s">
        <v>134</v>
      </c>
      <c r="K17474" s="46" t="s">
        <v>126</v>
      </c>
      <c r="L17474" s="45">
        <v>46015.520833333336</v>
      </c>
      <c r="M17474" s="46" t="s">
        <v>123</v>
      </c>
      <c r="N17474" s="45">
        <v>46015.541666666664</v>
      </c>
      <c r="O17474" s="46" t="s">
        <v>123</v>
      </c>
      <c r="P17474" s="46">
        <v>1800.0</v>
      </c>
    </row>
    <row r="17475">
      <c r="A17475" s="40">
        <f t="shared" si="1"/>
        <v>46013</v>
      </c>
      <c r="B17475" s="37" t="str">
        <f t="array" ref="B17475">iferror(xlookup($I17475, 'IMPORT VHC Report'!$E:$E, 'IMPORT VHC Report'!$A:$C), )</f>
        <v/>
      </c>
      <c r="C17475" s="44"/>
      <c r="D17475" s="44"/>
      <c r="E17475" s="46" t="s">
        <v>13706</v>
      </c>
      <c r="F17475" s="46" t="s">
        <v>2294</v>
      </c>
      <c r="G17475" s="46">
        <v>5.202392949391E12</v>
      </c>
      <c r="H17475" s="46" t="s">
        <v>2295</v>
      </c>
      <c r="I17475" s="46" t="s">
        <v>2296</v>
      </c>
      <c r="J17475" s="46" t="s">
        <v>4</v>
      </c>
      <c r="K17475" s="46" t="s">
        <v>126</v>
      </c>
      <c r="L17475" s="45">
        <v>46016.208333333336</v>
      </c>
      <c r="M17475" s="46" t="s">
        <v>123</v>
      </c>
      <c r="N17475" s="45">
        <v>46016.229166666664</v>
      </c>
      <c r="O17475" s="46" t="s">
        <v>123</v>
      </c>
      <c r="P17475" s="46">
        <v>1800.0</v>
      </c>
    </row>
    <row r="17476">
      <c r="A17476" s="40">
        <f t="shared" si="1"/>
        <v>46013</v>
      </c>
      <c r="B17476" s="37" t="str">
        <f t="array" ref="B17476">iferror(xlookup($I17476, 'IMPORT VHC Report'!$E:$E, 'IMPORT VHC Report'!$A:$C), )</f>
        <v/>
      </c>
      <c r="C17476" s="44"/>
      <c r="D17476" s="44"/>
      <c r="E17476" s="46" t="s">
        <v>13707</v>
      </c>
      <c r="F17476" s="46" t="s">
        <v>2294</v>
      </c>
      <c r="G17476" s="46">
        <v>5.202392949391E12</v>
      </c>
      <c r="H17476" s="46" t="s">
        <v>2295</v>
      </c>
      <c r="I17476" s="46" t="s">
        <v>2296</v>
      </c>
      <c r="J17476" s="46" t="s">
        <v>530</v>
      </c>
      <c r="K17476" s="46" t="s">
        <v>63</v>
      </c>
      <c r="L17476" s="45">
        <v>46016.208333333336</v>
      </c>
      <c r="M17476" s="46" t="s">
        <v>123</v>
      </c>
      <c r="N17476" s="45">
        <v>46016.27013888889</v>
      </c>
      <c r="O17476" s="46" t="s">
        <v>123</v>
      </c>
      <c r="P17476" s="46">
        <v>5340.0</v>
      </c>
    </row>
    <row r="17477">
      <c r="A17477" s="40">
        <f t="shared" si="1"/>
        <v>46013</v>
      </c>
      <c r="B17477" s="37" t="str">
        <f t="array" ref="B17477">iferror(xlookup($I17477, 'IMPORT VHC Report'!$E:$E, 'IMPORT VHC Report'!$A:$C), )</f>
        <v/>
      </c>
      <c r="C17477" s="44"/>
      <c r="D17477" s="44"/>
      <c r="E17477" s="46" t="s">
        <v>13708</v>
      </c>
      <c r="F17477" s="46" t="s">
        <v>2294</v>
      </c>
      <c r="G17477" s="46">
        <v>5.202392949391E12</v>
      </c>
      <c r="H17477" s="46" t="s">
        <v>2295</v>
      </c>
      <c r="I17477" s="46" t="s">
        <v>2296</v>
      </c>
      <c r="J17477" s="46" t="s">
        <v>1670</v>
      </c>
      <c r="K17477" s="46" t="s">
        <v>63</v>
      </c>
      <c r="L17477" s="45">
        <v>46016.27013888889</v>
      </c>
      <c r="M17477" s="46" t="s">
        <v>123</v>
      </c>
      <c r="N17477" s="45">
        <v>46016.27638888889</v>
      </c>
      <c r="O17477" s="46" t="s">
        <v>123</v>
      </c>
      <c r="P17477" s="46">
        <v>540.0</v>
      </c>
      <c r="S17477" s="46" t="s">
        <v>13709</v>
      </c>
    </row>
    <row r="17478">
      <c r="A17478" s="40">
        <f t="shared" si="1"/>
        <v>46013</v>
      </c>
      <c r="B17478" s="37" t="str">
        <f t="array" ref="B17478">iferror(xlookup($I17478, 'IMPORT VHC Report'!$E:$E, 'IMPORT VHC Report'!$A:$C), )</f>
        <v/>
      </c>
      <c r="C17478" s="44"/>
      <c r="D17478" s="44"/>
      <c r="E17478" s="46" t="s">
        <v>13710</v>
      </c>
      <c r="F17478" s="46" t="s">
        <v>2294</v>
      </c>
      <c r="G17478" s="46">
        <v>5.202392949391E12</v>
      </c>
      <c r="H17478" s="46" t="s">
        <v>2295</v>
      </c>
      <c r="I17478" s="46" t="s">
        <v>2296</v>
      </c>
      <c r="J17478" s="46" t="s">
        <v>530</v>
      </c>
      <c r="K17478" s="46" t="s">
        <v>63</v>
      </c>
      <c r="L17478" s="45">
        <v>46016.27638888889</v>
      </c>
      <c r="M17478" s="46" t="s">
        <v>123</v>
      </c>
      <c r="N17478" s="45">
        <v>46016.291666666664</v>
      </c>
      <c r="O17478" s="46" t="s">
        <v>123</v>
      </c>
      <c r="P17478" s="46">
        <v>1320.0</v>
      </c>
    </row>
    <row r="17479">
      <c r="A17479" s="40">
        <f t="shared" si="1"/>
        <v>46013</v>
      </c>
      <c r="B17479" s="37" t="str">
        <f t="array" ref="B17479">iferror(xlookup($I17479, 'IMPORT VHC Report'!$E:$E, 'IMPORT VHC Report'!$A:$C), )</f>
        <v/>
      </c>
      <c r="C17479" s="44"/>
      <c r="D17479" s="44"/>
      <c r="E17479" s="46" t="s">
        <v>13711</v>
      </c>
      <c r="F17479" s="46" t="s">
        <v>2294</v>
      </c>
      <c r="G17479" s="46">
        <v>5.202392949391E12</v>
      </c>
      <c r="H17479" s="46" t="s">
        <v>2295</v>
      </c>
      <c r="I17479" s="46" t="s">
        <v>2296</v>
      </c>
      <c r="J17479" s="46" t="s">
        <v>1670</v>
      </c>
      <c r="K17479" s="46" t="s">
        <v>63</v>
      </c>
      <c r="L17479" s="45">
        <v>46016.291666666664</v>
      </c>
      <c r="M17479" s="46" t="s">
        <v>123</v>
      </c>
      <c r="N17479" s="45">
        <v>46016.322916666664</v>
      </c>
      <c r="O17479" s="46" t="s">
        <v>123</v>
      </c>
      <c r="P17479" s="46">
        <v>2700.0</v>
      </c>
      <c r="S17479" s="46" t="s">
        <v>13712</v>
      </c>
    </row>
    <row r="17480">
      <c r="A17480" s="40">
        <f t="shared" si="1"/>
        <v>46013</v>
      </c>
      <c r="B17480" s="37" t="str">
        <f t="array" ref="B17480">iferror(xlookup($I17480, 'IMPORT VHC Report'!$E:$E, 'IMPORT VHC Report'!$A:$C), )</f>
        <v/>
      </c>
      <c r="C17480" s="44"/>
      <c r="D17480" s="44"/>
      <c r="E17480" s="46" t="s">
        <v>13713</v>
      </c>
      <c r="F17480" s="46" t="s">
        <v>2294</v>
      </c>
      <c r="G17480" s="46">
        <v>5.202392949391E12</v>
      </c>
      <c r="H17480" s="46" t="s">
        <v>2295</v>
      </c>
      <c r="I17480" s="46" t="s">
        <v>2296</v>
      </c>
      <c r="J17480" s="46" t="s">
        <v>530</v>
      </c>
      <c r="K17480" s="46" t="s">
        <v>63</v>
      </c>
      <c r="L17480" s="45">
        <v>46016.322916666664</v>
      </c>
      <c r="M17480" s="46" t="s">
        <v>123</v>
      </c>
      <c r="N17480" s="45">
        <v>46016.583333333336</v>
      </c>
      <c r="O17480" s="46" t="s">
        <v>123</v>
      </c>
      <c r="P17480" s="46">
        <v>22500.0</v>
      </c>
    </row>
    <row r="17481">
      <c r="A17481" s="40">
        <f t="shared" si="1"/>
        <v>46013</v>
      </c>
      <c r="B17481" s="37" t="str">
        <f t="array" ref="B17481">iferror(xlookup($I17481, 'IMPORT VHC Report'!$E:$E, 'IMPORT VHC Report'!$A:$C), )</f>
        <v/>
      </c>
      <c r="C17481" s="44"/>
      <c r="D17481" s="44"/>
      <c r="E17481" s="46" t="s">
        <v>13714</v>
      </c>
      <c r="F17481" s="46" t="s">
        <v>2294</v>
      </c>
      <c r="G17481" s="46">
        <v>5.202392949391E12</v>
      </c>
      <c r="H17481" s="46" t="s">
        <v>2295</v>
      </c>
      <c r="I17481" s="46" t="s">
        <v>2296</v>
      </c>
      <c r="J17481" s="46" t="s">
        <v>132</v>
      </c>
      <c r="K17481" s="46" t="s">
        <v>126</v>
      </c>
      <c r="L17481" s="45">
        <v>46016.39791666667</v>
      </c>
      <c r="M17481" s="46" t="s">
        <v>123</v>
      </c>
      <c r="N17481" s="45">
        <v>46016.43958333333</v>
      </c>
      <c r="O17481" s="46" t="s">
        <v>123</v>
      </c>
      <c r="P17481" s="46">
        <v>3600.0</v>
      </c>
    </row>
    <row r="17482">
      <c r="A17482" s="40">
        <f t="shared" si="1"/>
        <v>46013</v>
      </c>
      <c r="B17482" s="37" t="str">
        <f t="array" ref="B17482">iferror(xlookup($I17482, 'IMPORT VHC Report'!$E:$E, 'IMPORT VHC Report'!$A:$C), )</f>
        <v/>
      </c>
      <c r="C17482" s="44"/>
      <c r="D17482" s="44"/>
      <c r="E17482" s="46" t="s">
        <v>13715</v>
      </c>
      <c r="F17482" s="46" t="s">
        <v>2294</v>
      </c>
      <c r="G17482" s="46">
        <v>5.202392949391E12</v>
      </c>
      <c r="H17482" s="46" t="s">
        <v>2295</v>
      </c>
      <c r="I17482" s="46" t="s">
        <v>2296</v>
      </c>
      <c r="J17482" s="46" t="s">
        <v>134</v>
      </c>
      <c r="K17482" s="46" t="s">
        <v>126</v>
      </c>
      <c r="L17482" s="45">
        <v>46016.43958333333</v>
      </c>
      <c r="M17482" s="46" t="s">
        <v>123</v>
      </c>
      <c r="N17482" s="45">
        <v>46016.46041666667</v>
      </c>
      <c r="O17482" s="46" t="s">
        <v>123</v>
      </c>
      <c r="P17482" s="46">
        <v>1800.0</v>
      </c>
    </row>
    <row r="17483">
      <c r="A17483" s="40">
        <f t="shared" si="1"/>
        <v>46013</v>
      </c>
      <c r="B17483" s="37" t="str">
        <f t="array" ref="B17483">iferror(xlookup($I17483, 'IMPORT VHC Report'!$E:$E, 'IMPORT VHC Report'!$A:$C), )</f>
        <v/>
      </c>
      <c r="C17483" s="44"/>
      <c r="D17483" s="44"/>
      <c r="E17483" s="46" t="s">
        <v>13716</v>
      </c>
      <c r="F17483" s="46" t="s">
        <v>2294</v>
      </c>
      <c r="G17483" s="46">
        <v>5.202392949391E12</v>
      </c>
      <c r="H17483" s="46" t="s">
        <v>2295</v>
      </c>
      <c r="I17483" s="46" t="s">
        <v>2296</v>
      </c>
      <c r="J17483" s="46" t="s">
        <v>4</v>
      </c>
      <c r="K17483" s="46" t="s">
        <v>126</v>
      </c>
      <c r="L17483" s="45">
        <v>46016.541666666664</v>
      </c>
      <c r="M17483" s="46" t="s">
        <v>123</v>
      </c>
      <c r="N17483" s="45">
        <v>46016.583333333336</v>
      </c>
      <c r="O17483" s="46" t="s">
        <v>123</v>
      </c>
      <c r="P17483" s="46">
        <v>3600.0</v>
      </c>
      <c r="S17483" s="46" t="s">
        <v>13717</v>
      </c>
    </row>
    <row r="17484">
      <c r="A17484" s="40">
        <f t="shared" si="1"/>
        <v>46013</v>
      </c>
      <c r="B17484" s="37" t="str">
        <f t="array" ref="B17484">iferror(xlookup($I17484, 'IMPORT VHC Report'!$E:$E, 'IMPORT VHC Report'!$A:$C), )</f>
        <v/>
      </c>
      <c r="C17484" s="44"/>
      <c r="D17484" s="44"/>
      <c r="E17484" s="46" t="s">
        <v>13718</v>
      </c>
      <c r="F17484" s="46" t="s">
        <v>2294</v>
      </c>
      <c r="G17484" s="46">
        <v>5.202392949391E12</v>
      </c>
      <c r="H17484" s="46" t="s">
        <v>2295</v>
      </c>
      <c r="I17484" s="46" t="s">
        <v>2296</v>
      </c>
      <c r="J17484" s="46" t="s">
        <v>4</v>
      </c>
      <c r="K17484" s="46" t="s">
        <v>126</v>
      </c>
      <c r="L17484" s="45">
        <v>46019.208333333336</v>
      </c>
      <c r="M17484" s="46" t="s">
        <v>123</v>
      </c>
      <c r="N17484" s="45">
        <v>46019.229166666664</v>
      </c>
      <c r="O17484" s="46" t="s">
        <v>123</v>
      </c>
      <c r="P17484" s="46">
        <v>1800.0</v>
      </c>
    </row>
    <row r="17485">
      <c r="A17485" s="40">
        <f t="shared" si="1"/>
        <v>46013</v>
      </c>
      <c r="B17485" s="37" t="str">
        <f t="array" ref="B17485">iferror(xlookup($I17485, 'IMPORT VHC Report'!$E:$E, 'IMPORT VHC Report'!$A:$C), )</f>
        <v/>
      </c>
      <c r="C17485" s="44"/>
      <c r="D17485" s="44"/>
      <c r="E17485" s="46" t="s">
        <v>13719</v>
      </c>
      <c r="F17485" s="46" t="s">
        <v>2294</v>
      </c>
      <c r="G17485" s="46">
        <v>5.202392949391E12</v>
      </c>
      <c r="H17485" s="46" t="s">
        <v>2295</v>
      </c>
      <c r="I17485" s="46" t="s">
        <v>2296</v>
      </c>
      <c r="J17485" s="46" t="s">
        <v>178</v>
      </c>
      <c r="K17485" s="46" t="s">
        <v>153</v>
      </c>
      <c r="L17485" s="45">
        <v>46019.208333333336</v>
      </c>
      <c r="M17485" s="46" t="s">
        <v>123</v>
      </c>
      <c r="N17485" s="45">
        <v>46019.583333333336</v>
      </c>
      <c r="O17485" s="46" t="s">
        <v>123</v>
      </c>
      <c r="P17485" s="46">
        <v>32400.0</v>
      </c>
      <c r="Q17485" s="46">
        <v>28800.0</v>
      </c>
      <c r="R17485" s="46" t="s">
        <v>13720</v>
      </c>
    </row>
    <row r="17486">
      <c r="A17486" s="40">
        <f t="shared" si="1"/>
        <v>46013</v>
      </c>
      <c r="B17486" s="37" t="str">
        <f t="array" ref="B17486">iferror(xlookup($I17486, 'IMPORT VHC Report'!$E:$E, 'IMPORT VHC Report'!$A:$C), )</f>
        <v/>
      </c>
      <c r="C17486" s="44"/>
      <c r="D17486" s="44"/>
      <c r="E17486" s="46" t="s">
        <v>13721</v>
      </c>
      <c r="F17486" s="46" t="s">
        <v>2294</v>
      </c>
      <c r="G17486" s="46">
        <v>5.202392949391E12</v>
      </c>
      <c r="H17486" s="46" t="s">
        <v>2295</v>
      </c>
      <c r="I17486" s="46" t="s">
        <v>2296</v>
      </c>
      <c r="J17486" s="46" t="s">
        <v>530</v>
      </c>
      <c r="K17486" s="46" t="s">
        <v>63</v>
      </c>
      <c r="L17486" s="45">
        <v>46019.208333333336</v>
      </c>
      <c r="M17486" s="46" t="s">
        <v>123</v>
      </c>
      <c r="N17486" s="45">
        <v>46019.583333333336</v>
      </c>
      <c r="O17486" s="46" t="s">
        <v>123</v>
      </c>
      <c r="P17486" s="46">
        <v>32400.0</v>
      </c>
    </row>
    <row r="17487">
      <c r="A17487" s="40">
        <f t="shared" si="1"/>
        <v>46013</v>
      </c>
      <c r="B17487" s="37" t="str">
        <f t="array" ref="B17487">iferror(xlookup($I17487, 'IMPORT VHC Report'!$E:$E, 'IMPORT VHC Report'!$A:$C), )</f>
        <v/>
      </c>
      <c r="C17487" s="44"/>
      <c r="D17487" s="44"/>
      <c r="E17487" s="46" t="s">
        <v>13722</v>
      </c>
      <c r="F17487" s="46" t="s">
        <v>2294</v>
      </c>
      <c r="G17487" s="46">
        <v>5.202392949391E12</v>
      </c>
      <c r="H17487" s="46" t="s">
        <v>2295</v>
      </c>
      <c r="I17487" s="46" t="s">
        <v>2296</v>
      </c>
      <c r="J17487" s="46" t="s">
        <v>134</v>
      </c>
      <c r="K17487" s="46" t="s">
        <v>126</v>
      </c>
      <c r="L17487" s="45">
        <v>46019.3125</v>
      </c>
      <c r="M17487" s="46" t="s">
        <v>123</v>
      </c>
      <c r="N17487" s="45">
        <v>46019.333333333336</v>
      </c>
      <c r="O17487" s="46" t="s">
        <v>123</v>
      </c>
      <c r="P17487" s="46">
        <v>1800.0</v>
      </c>
    </row>
    <row r="17488">
      <c r="A17488" s="40">
        <f t="shared" si="1"/>
        <v>46013</v>
      </c>
      <c r="B17488" s="37" t="str">
        <f t="array" ref="B17488">iferror(xlookup($I17488, 'IMPORT VHC Report'!$E:$E, 'IMPORT VHC Report'!$A:$C), )</f>
        <v/>
      </c>
      <c r="C17488" s="44"/>
      <c r="D17488" s="44"/>
      <c r="E17488" s="46" t="s">
        <v>13723</v>
      </c>
      <c r="F17488" s="46" t="s">
        <v>2294</v>
      </c>
      <c r="G17488" s="46">
        <v>5.202392949391E12</v>
      </c>
      <c r="H17488" s="46" t="s">
        <v>2295</v>
      </c>
      <c r="I17488" s="46" t="s">
        <v>2296</v>
      </c>
      <c r="J17488" s="46" t="s">
        <v>132</v>
      </c>
      <c r="K17488" s="46" t="s">
        <v>126</v>
      </c>
      <c r="L17488" s="45">
        <v>46019.458333333336</v>
      </c>
      <c r="M17488" s="46" t="s">
        <v>123</v>
      </c>
      <c r="N17488" s="45">
        <v>46019.5</v>
      </c>
      <c r="O17488" s="46" t="s">
        <v>123</v>
      </c>
      <c r="P17488" s="46">
        <v>3600.0</v>
      </c>
    </row>
    <row r="17489">
      <c r="A17489" s="40">
        <f t="shared" si="1"/>
        <v>46013</v>
      </c>
      <c r="B17489" s="37" t="str">
        <f t="array" ref="B17489">iferror(xlookup($I17489, 'IMPORT VHC Report'!$E:$E, 'IMPORT VHC Report'!$A:$C), )</f>
        <v/>
      </c>
      <c r="C17489" s="44"/>
      <c r="D17489" s="44"/>
      <c r="E17489" s="46" t="s">
        <v>13724</v>
      </c>
      <c r="F17489" s="46" t="s">
        <v>2374</v>
      </c>
      <c r="G17489" s="46">
        <v>5.202378938383E12</v>
      </c>
      <c r="H17489" s="46" t="s">
        <v>2375</v>
      </c>
      <c r="I17489" s="46" t="s">
        <v>2376</v>
      </c>
      <c r="J17489" s="46" t="s">
        <v>4</v>
      </c>
      <c r="K17489" s="46" t="s">
        <v>126</v>
      </c>
      <c r="L17489" s="45">
        <v>46013.208333333336</v>
      </c>
      <c r="M17489" s="46" t="s">
        <v>123</v>
      </c>
      <c r="N17489" s="45">
        <v>46013.229166666664</v>
      </c>
      <c r="O17489" s="46" t="s">
        <v>123</v>
      </c>
      <c r="P17489" s="46">
        <v>1800.0</v>
      </c>
    </row>
    <row r="17490">
      <c r="A17490" s="40">
        <f t="shared" si="1"/>
        <v>46013</v>
      </c>
      <c r="B17490" s="37" t="str">
        <f t="array" ref="B17490">iferror(xlookup($I17490, 'IMPORT VHC Report'!$E:$E, 'IMPORT VHC Report'!$A:$C), )</f>
        <v/>
      </c>
      <c r="C17490" s="44"/>
      <c r="D17490" s="44"/>
      <c r="E17490" s="46" t="s">
        <v>13725</v>
      </c>
      <c r="F17490" s="46" t="s">
        <v>2374</v>
      </c>
      <c r="G17490" s="46">
        <v>5.202378938383E12</v>
      </c>
      <c r="H17490" s="46" t="s">
        <v>2375</v>
      </c>
      <c r="I17490" s="46" t="s">
        <v>2376</v>
      </c>
      <c r="J17490" s="46" t="s">
        <v>530</v>
      </c>
      <c r="K17490" s="46" t="s">
        <v>63</v>
      </c>
      <c r="L17490" s="45">
        <v>46013.208333333336</v>
      </c>
      <c r="M17490" s="46" t="s">
        <v>123</v>
      </c>
      <c r="N17490" s="45">
        <v>46013.583333333336</v>
      </c>
      <c r="O17490" s="46" t="s">
        <v>123</v>
      </c>
      <c r="P17490" s="46">
        <v>32400.0</v>
      </c>
    </row>
    <row r="17491">
      <c r="A17491" s="40">
        <f t="shared" si="1"/>
        <v>46013</v>
      </c>
      <c r="B17491" s="37" t="str">
        <f t="array" ref="B17491">iferror(xlookup($I17491, 'IMPORT VHC Report'!$E:$E, 'IMPORT VHC Report'!$A:$C), )</f>
        <v/>
      </c>
      <c r="C17491" s="44"/>
      <c r="D17491" s="44"/>
      <c r="E17491" s="46" t="s">
        <v>13726</v>
      </c>
      <c r="F17491" s="46" t="s">
        <v>2374</v>
      </c>
      <c r="G17491" s="46">
        <v>5.202378938383E12</v>
      </c>
      <c r="H17491" s="46" t="s">
        <v>2375</v>
      </c>
      <c r="I17491" s="46" t="s">
        <v>2376</v>
      </c>
      <c r="J17491" s="46" t="s">
        <v>125</v>
      </c>
      <c r="K17491" s="46" t="s">
        <v>126</v>
      </c>
      <c r="L17491" s="45">
        <v>46013.229166666664</v>
      </c>
      <c r="M17491" s="46" t="s">
        <v>123</v>
      </c>
      <c r="N17491" s="45">
        <v>46013.28402777778</v>
      </c>
      <c r="O17491" s="46" t="s">
        <v>123</v>
      </c>
      <c r="P17491" s="46">
        <v>4740.0</v>
      </c>
    </row>
    <row r="17492">
      <c r="A17492" s="40">
        <f t="shared" si="1"/>
        <v>46013</v>
      </c>
      <c r="B17492" s="37" t="str">
        <f t="array" ref="B17492">iferror(xlookup($I17492, 'IMPORT VHC Report'!$E:$E, 'IMPORT VHC Report'!$A:$C), )</f>
        <v/>
      </c>
      <c r="C17492" s="44"/>
      <c r="D17492" s="44"/>
      <c r="E17492" s="46" t="s">
        <v>13727</v>
      </c>
      <c r="F17492" s="46" t="s">
        <v>2374</v>
      </c>
      <c r="G17492" s="46">
        <v>5.202378938383E12</v>
      </c>
      <c r="H17492" s="46" t="s">
        <v>2375</v>
      </c>
      <c r="I17492" s="46" t="s">
        <v>2376</v>
      </c>
      <c r="J17492" s="46" t="s">
        <v>125</v>
      </c>
      <c r="K17492" s="46" t="s">
        <v>126</v>
      </c>
      <c r="L17492" s="45">
        <v>46013.28888888889</v>
      </c>
      <c r="M17492" s="46" t="s">
        <v>123</v>
      </c>
      <c r="N17492" s="45">
        <v>46013.299305555556</v>
      </c>
      <c r="O17492" s="46" t="s">
        <v>123</v>
      </c>
      <c r="P17492" s="46">
        <v>900.0</v>
      </c>
    </row>
    <row r="17493">
      <c r="A17493" s="40">
        <f t="shared" si="1"/>
        <v>46013</v>
      </c>
      <c r="B17493" s="37" t="str">
        <f t="array" ref="B17493">iferror(xlookup($I17493, 'IMPORT VHC Report'!$E:$E, 'IMPORT VHC Report'!$A:$C), )</f>
        <v/>
      </c>
      <c r="C17493" s="44"/>
      <c r="D17493" s="44"/>
      <c r="E17493" s="46" t="s">
        <v>13728</v>
      </c>
      <c r="F17493" s="46" t="s">
        <v>2374</v>
      </c>
      <c r="G17493" s="46">
        <v>5.202378938383E12</v>
      </c>
      <c r="H17493" s="46" t="s">
        <v>2375</v>
      </c>
      <c r="I17493" s="46" t="s">
        <v>2376</v>
      </c>
      <c r="J17493" s="46" t="s">
        <v>125</v>
      </c>
      <c r="K17493" s="46" t="s">
        <v>126</v>
      </c>
      <c r="L17493" s="45">
        <v>46013.31458333333</v>
      </c>
      <c r="M17493" s="46" t="s">
        <v>123</v>
      </c>
      <c r="N17493" s="45">
        <v>46013.32361111111</v>
      </c>
      <c r="O17493" s="46" t="s">
        <v>123</v>
      </c>
      <c r="P17493" s="46">
        <v>780.0</v>
      </c>
    </row>
    <row r="17494">
      <c r="A17494" s="40">
        <f t="shared" si="1"/>
        <v>46013</v>
      </c>
      <c r="B17494" s="37" t="str">
        <f t="array" ref="B17494">iferror(xlookup($I17494, 'IMPORT VHC Report'!$E:$E, 'IMPORT VHC Report'!$A:$C), )</f>
        <v/>
      </c>
      <c r="C17494" s="44"/>
      <c r="D17494" s="44"/>
      <c r="E17494" s="46" t="s">
        <v>13729</v>
      </c>
      <c r="F17494" s="46" t="s">
        <v>2374</v>
      </c>
      <c r="G17494" s="46">
        <v>5.202378938383E12</v>
      </c>
      <c r="H17494" s="46" t="s">
        <v>2375</v>
      </c>
      <c r="I17494" s="46" t="s">
        <v>2376</v>
      </c>
      <c r="J17494" s="46" t="s">
        <v>132</v>
      </c>
      <c r="K17494" s="46" t="s">
        <v>126</v>
      </c>
      <c r="L17494" s="45">
        <v>46013.333333333336</v>
      </c>
      <c r="M17494" s="46" t="s">
        <v>123</v>
      </c>
      <c r="N17494" s="45">
        <v>46013.375</v>
      </c>
      <c r="O17494" s="46" t="s">
        <v>123</v>
      </c>
      <c r="P17494" s="46">
        <v>3600.0</v>
      </c>
    </row>
    <row r="17495">
      <c r="A17495" s="40">
        <f t="shared" si="1"/>
        <v>46013</v>
      </c>
      <c r="B17495" s="37" t="str">
        <f t="array" ref="B17495">iferror(xlookup($I17495, 'IMPORT VHC Report'!$E:$E, 'IMPORT VHC Report'!$A:$C), )</f>
        <v/>
      </c>
      <c r="C17495" s="44"/>
      <c r="D17495" s="44"/>
      <c r="E17495" s="46" t="s">
        <v>13730</v>
      </c>
      <c r="F17495" s="46" t="s">
        <v>2374</v>
      </c>
      <c r="G17495" s="46">
        <v>5.202378938383E12</v>
      </c>
      <c r="H17495" s="46" t="s">
        <v>2375</v>
      </c>
      <c r="I17495" s="46" t="s">
        <v>2376</v>
      </c>
      <c r="J17495" s="46" t="s">
        <v>134</v>
      </c>
      <c r="K17495" s="46" t="s">
        <v>126</v>
      </c>
      <c r="L17495" s="45">
        <v>46013.375</v>
      </c>
      <c r="M17495" s="46" t="s">
        <v>123</v>
      </c>
      <c r="N17495" s="45">
        <v>46013.395833333336</v>
      </c>
      <c r="O17495" s="46" t="s">
        <v>123</v>
      </c>
      <c r="P17495" s="46">
        <v>1800.0</v>
      </c>
    </row>
    <row r="17496">
      <c r="A17496" s="40">
        <f t="shared" si="1"/>
        <v>46013</v>
      </c>
      <c r="B17496" s="37" t="str">
        <f t="array" ref="B17496">iferror(xlookup($I17496, 'IMPORT VHC Report'!$E:$E, 'IMPORT VHC Report'!$A:$C), )</f>
        <v/>
      </c>
      <c r="C17496" s="44"/>
      <c r="D17496" s="44"/>
      <c r="E17496" s="46" t="s">
        <v>13731</v>
      </c>
      <c r="F17496" s="46" t="s">
        <v>2374</v>
      </c>
      <c r="G17496" s="46">
        <v>5.202378938383E12</v>
      </c>
      <c r="H17496" s="46" t="s">
        <v>2375</v>
      </c>
      <c r="I17496" s="46" t="s">
        <v>2376</v>
      </c>
      <c r="J17496" s="46" t="s">
        <v>125</v>
      </c>
      <c r="K17496" s="46" t="s">
        <v>126</v>
      </c>
      <c r="L17496" s="45">
        <v>46013.40902777778</v>
      </c>
      <c r="M17496" s="46" t="s">
        <v>123</v>
      </c>
      <c r="N17496" s="45">
        <v>46013.479166666664</v>
      </c>
      <c r="O17496" s="46" t="s">
        <v>123</v>
      </c>
      <c r="P17496" s="46">
        <v>6060.0</v>
      </c>
    </row>
    <row r="17497">
      <c r="A17497" s="40">
        <f t="shared" si="1"/>
        <v>46013</v>
      </c>
      <c r="B17497" s="37" t="str">
        <f t="array" ref="B17497">iferror(xlookup($I17497, 'IMPORT VHC Report'!$E:$E, 'IMPORT VHC Report'!$A:$C), )</f>
        <v/>
      </c>
      <c r="C17497" s="44"/>
      <c r="D17497" s="44"/>
      <c r="E17497" s="46" t="s">
        <v>13732</v>
      </c>
      <c r="F17497" s="46" t="s">
        <v>2374</v>
      </c>
      <c r="G17497" s="46">
        <v>5.202378938383E12</v>
      </c>
      <c r="H17497" s="46" t="s">
        <v>2375</v>
      </c>
      <c r="I17497" s="46" t="s">
        <v>2376</v>
      </c>
      <c r="J17497" s="46" t="s">
        <v>125</v>
      </c>
      <c r="K17497" s="46" t="s">
        <v>126</v>
      </c>
      <c r="L17497" s="45">
        <v>46013.48819444444</v>
      </c>
      <c r="M17497" s="46" t="s">
        <v>123</v>
      </c>
      <c r="N17497" s="45">
        <v>46013.50763888889</v>
      </c>
      <c r="O17497" s="46" t="s">
        <v>123</v>
      </c>
      <c r="P17497" s="46">
        <v>1680.0</v>
      </c>
    </row>
    <row r="17498">
      <c r="A17498" s="40">
        <f t="shared" si="1"/>
        <v>46013</v>
      </c>
      <c r="B17498" s="37" t="str">
        <f t="array" ref="B17498">iferror(xlookup($I17498, 'IMPORT VHC Report'!$E:$E, 'IMPORT VHC Report'!$A:$C), )</f>
        <v/>
      </c>
      <c r="C17498" s="44"/>
      <c r="D17498" s="44"/>
      <c r="E17498" s="46" t="s">
        <v>13733</v>
      </c>
      <c r="F17498" s="46" t="s">
        <v>2374</v>
      </c>
      <c r="G17498" s="46">
        <v>5.202378938383E12</v>
      </c>
      <c r="H17498" s="46" t="s">
        <v>2375</v>
      </c>
      <c r="I17498" s="46" t="s">
        <v>2376</v>
      </c>
      <c r="J17498" s="46" t="s">
        <v>125</v>
      </c>
      <c r="K17498" s="46" t="s">
        <v>126</v>
      </c>
      <c r="L17498" s="45">
        <v>46013.538194444445</v>
      </c>
      <c r="M17498" s="46" t="s">
        <v>123</v>
      </c>
      <c r="N17498" s="45">
        <v>46013.56805555556</v>
      </c>
      <c r="O17498" s="46" t="s">
        <v>123</v>
      </c>
      <c r="P17498" s="46">
        <v>2580.0</v>
      </c>
    </row>
    <row r="17499">
      <c r="A17499" s="40">
        <f t="shared" si="1"/>
        <v>46013</v>
      </c>
      <c r="B17499" s="37" t="str">
        <f t="array" ref="B17499">iferror(xlookup($I17499, 'IMPORT VHC Report'!$E:$E, 'IMPORT VHC Report'!$A:$C), )</f>
        <v/>
      </c>
      <c r="C17499" s="44"/>
      <c r="D17499" s="44"/>
      <c r="E17499" s="46" t="s">
        <v>13734</v>
      </c>
      <c r="F17499" s="46" t="s">
        <v>2374</v>
      </c>
      <c r="G17499" s="46">
        <v>5.202378938383E12</v>
      </c>
      <c r="H17499" s="46" t="s">
        <v>2375</v>
      </c>
      <c r="I17499" s="46" t="s">
        <v>2376</v>
      </c>
      <c r="J17499" s="46" t="s">
        <v>4</v>
      </c>
      <c r="K17499" s="46" t="s">
        <v>126</v>
      </c>
      <c r="L17499" s="45">
        <v>46014.208333333336</v>
      </c>
      <c r="M17499" s="46" t="s">
        <v>123</v>
      </c>
      <c r="N17499" s="45">
        <v>46014.229166666664</v>
      </c>
      <c r="O17499" s="46" t="s">
        <v>123</v>
      </c>
      <c r="P17499" s="46">
        <v>1800.0</v>
      </c>
    </row>
    <row r="17500">
      <c r="A17500" s="40">
        <f t="shared" si="1"/>
        <v>46013</v>
      </c>
      <c r="B17500" s="37" t="str">
        <f t="array" ref="B17500">iferror(xlookup($I17500, 'IMPORT VHC Report'!$E:$E, 'IMPORT VHC Report'!$A:$C), )</f>
        <v/>
      </c>
      <c r="C17500" s="44"/>
      <c r="D17500" s="44"/>
      <c r="E17500" s="46" t="s">
        <v>13735</v>
      </c>
      <c r="F17500" s="46" t="s">
        <v>2374</v>
      </c>
      <c r="G17500" s="46">
        <v>5.202378938383E12</v>
      </c>
      <c r="H17500" s="46" t="s">
        <v>2375</v>
      </c>
      <c r="I17500" s="46" t="s">
        <v>2376</v>
      </c>
      <c r="J17500" s="46" t="s">
        <v>530</v>
      </c>
      <c r="K17500" s="46" t="s">
        <v>63</v>
      </c>
      <c r="L17500" s="45">
        <v>46014.208333333336</v>
      </c>
      <c r="M17500" s="46" t="s">
        <v>123</v>
      </c>
      <c r="N17500" s="45">
        <v>46014.583333333336</v>
      </c>
      <c r="O17500" s="46" t="s">
        <v>123</v>
      </c>
      <c r="P17500" s="46">
        <v>32400.0</v>
      </c>
    </row>
    <row r="17501">
      <c r="A17501" s="40">
        <f t="shared" si="1"/>
        <v>46013</v>
      </c>
      <c r="B17501" s="37" t="str">
        <f t="array" ref="B17501">iferror(xlookup($I17501, 'IMPORT VHC Report'!$E:$E, 'IMPORT VHC Report'!$A:$C), )</f>
        <v/>
      </c>
      <c r="C17501" s="44"/>
      <c r="D17501" s="44"/>
      <c r="E17501" s="46" t="s">
        <v>13736</v>
      </c>
      <c r="F17501" s="46" t="s">
        <v>2374</v>
      </c>
      <c r="G17501" s="46">
        <v>5.202378938383E12</v>
      </c>
      <c r="H17501" s="46" t="s">
        <v>2375</v>
      </c>
      <c r="I17501" s="46" t="s">
        <v>2376</v>
      </c>
      <c r="J17501" s="46" t="s">
        <v>132</v>
      </c>
      <c r="K17501" s="46" t="s">
        <v>126</v>
      </c>
      <c r="L17501" s="45">
        <v>46014.322916666664</v>
      </c>
      <c r="M17501" s="46" t="s">
        <v>123</v>
      </c>
      <c r="N17501" s="45">
        <v>46014.364583333336</v>
      </c>
      <c r="O17501" s="46" t="s">
        <v>123</v>
      </c>
      <c r="P17501" s="46">
        <v>3600.0</v>
      </c>
    </row>
    <row r="17502">
      <c r="A17502" s="40">
        <f t="shared" si="1"/>
        <v>46013</v>
      </c>
      <c r="B17502" s="37" t="str">
        <f t="array" ref="B17502">iferror(xlookup($I17502, 'IMPORT VHC Report'!$E:$E, 'IMPORT VHC Report'!$A:$C), )</f>
        <v/>
      </c>
      <c r="C17502" s="44"/>
      <c r="D17502" s="44"/>
      <c r="E17502" s="46" t="s">
        <v>13737</v>
      </c>
      <c r="F17502" s="46" t="s">
        <v>2374</v>
      </c>
      <c r="G17502" s="46">
        <v>5.202378938383E12</v>
      </c>
      <c r="H17502" s="46" t="s">
        <v>2375</v>
      </c>
      <c r="I17502" s="46" t="s">
        <v>2376</v>
      </c>
      <c r="J17502" s="46" t="s">
        <v>134</v>
      </c>
      <c r="K17502" s="46" t="s">
        <v>126</v>
      </c>
      <c r="L17502" s="45">
        <v>46014.479166666664</v>
      </c>
      <c r="M17502" s="46" t="s">
        <v>123</v>
      </c>
      <c r="N17502" s="45">
        <v>46014.5</v>
      </c>
      <c r="O17502" s="46" t="s">
        <v>123</v>
      </c>
      <c r="P17502" s="46">
        <v>1800.0</v>
      </c>
    </row>
    <row r="17503">
      <c r="A17503" s="40">
        <f t="shared" si="1"/>
        <v>46013</v>
      </c>
      <c r="B17503" s="37" t="str">
        <f t="array" ref="B17503">iferror(xlookup($I17503, 'IMPORT VHC Report'!$E:$E, 'IMPORT VHC Report'!$A:$C), )</f>
        <v/>
      </c>
      <c r="C17503" s="44"/>
      <c r="D17503" s="44"/>
      <c r="E17503" s="46" t="s">
        <v>13738</v>
      </c>
      <c r="F17503" s="46" t="s">
        <v>2374</v>
      </c>
      <c r="G17503" s="46">
        <v>5.202378938383E12</v>
      </c>
      <c r="H17503" s="46" t="s">
        <v>2375</v>
      </c>
      <c r="I17503" s="46" t="s">
        <v>2376</v>
      </c>
      <c r="J17503" s="46" t="s">
        <v>4</v>
      </c>
      <c r="K17503" s="46" t="s">
        <v>126</v>
      </c>
      <c r="L17503" s="45">
        <v>46015.208333333336</v>
      </c>
      <c r="M17503" s="46" t="s">
        <v>123</v>
      </c>
      <c r="N17503" s="45">
        <v>46015.229166666664</v>
      </c>
      <c r="O17503" s="46" t="s">
        <v>123</v>
      </c>
      <c r="P17503" s="46">
        <v>1800.0</v>
      </c>
    </row>
    <row r="17504">
      <c r="A17504" s="40">
        <f t="shared" si="1"/>
        <v>46013</v>
      </c>
      <c r="B17504" s="37" t="str">
        <f t="array" ref="B17504">iferror(xlookup($I17504, 'IMPORT VHC Report'!$E:$E, 'IMPORT VHC Report'!$A:$C), )</f>
        <v/>
      </c>
      <c r="C17504" s="44"/>
      <c r="D17504" s="44"/>
      <c r="E17504" s="46" t="s">
        <v>13739</v>
      </c>
      <c r="F17504" s="46" t="s">
        <v>2374</v>
      </c>
      <c r="G17504" s="46">
        <v>5.202378938383E12</v>
      </c>
      <c r="H17504" s="46" t="s">
        <v>2375</v>
      </c>
      <c r="I17504" s="46" t="s">
        <v>2376</v>
      </c>
      <c r="J17504" s="46" t="s">
        <v>530</v>
      </c>
      <c r="K17504" s="46" t="s">
        <v>63</v>
      </c>
      <c r="L17504" s="45">
        <v>46015.208333333336</v>
      </c>
      <c r="M17504" s="46" t="s">
        <v>123</v>
      </c>
      <c r="N17504" s="45">
        <v>46015.229166666664</v>
      </c>
      <c r="O17504" s="46" t="s">
        <v>123</v>
      </c>
      <c r="P17504" s="46">
        <v>1800.0</v>
      </c>
    </row>
    <row r="17505">
      <c r="A17505" s="40">
        <f t="shared" si="1"/>
        <v>46013</v>
      </c>
      <c r="B17505" s="37" t="str">
        <f t="array" ref="B17505">iferror(xlookup($I17505, 'IMPORT VHC Report'!$E:$E, 'IMPORT VHC Report'!$A:$C), )</f>
        <v/>
      </c>
      <c r="C17505" s="44"/>
      <c r="D17505" s="44"/>
      <c r="E17505" s="46" t="s">
        <v>13740</v>
      </c>
      <c r="F17505" s="46" t="s">
        <v>2374</v>
      </c>
      <c r="G17505" s="46">
        <v>5.202378938383E12</v>
      </c>
      <c r="H17505" s="46" t="s">
        <v>2375</v>
      </c>
      <c r="I17505" s="46" t="s">
        <v>2376</v>
      </c>
      <c r="J17505" s="46" t="s">
        <v>178</v>
      </c>
      <c r="K17505" s="46" t="s">
        <v>153</v>
      </c>
      <c r="L17505" s="45">
        <v>46015.208333333336</v>
      </c>
      <c r="M17505" s="46" t="s">
        <v>123</v>
      </c>
      <c r="N17505" s="45">
        <v>46015.583333333336</v>
      </c>
      <c r="O17505" s="46" t="s">
        <v>123</v>
      </c>
      <c r="P17505" s="46">
        <v>32400.0</v>
      </c>
      <c r="Q17505" s="46">
        <v>32400.0</v>
      </c>
      <c r="R17505" s="46" t="s">
        <v>13530</v>
      </c>
      <c r="S17505" s="46" t="s">
        <v>13530</v>
      </c>
    </row>
    <row r="17506">
      <c r="A17506" s="40">
        <f t="shared" si="1"/>
        <v>46013</v>
      </c>
      <c r="B17506" s="37" t="str">
        <f t="array" ref="B17506">iferror(xlookup($I17506, 'IMPORT VHC Report'!$E:$E, 'IMPORT VHC Report'!$A:$C), )</f>
        <v/>
      </c>
      <c r="C17506" s="44"/>
      <c r="D17506" s="44"/>
      <c r="E17506" s="46" t="s">
        <v>13741</v>
      </c>
      <c r="F17506" s="46" t="s">
        <v>2374</v>
      </c>
      <c r="G17506" s="46">
        <v>5.202378938383E12</v>
      </c>
      <c r="H17506" s="46" t="s">
        <v>2375</v>
      </c>
      <c r="I17506" s="46" t="s">
        <v>2376</v>
      </c>
      <c r="J17506" s="46" t="s">
        <v>62</v>
      </c>
      <c r="K17506" s="46" t="s">
        <v>63</v>
      </c>
      <c r="L17506" s="45">
        <v>46015.229166666664</v>
      </c>
      <c r="M17506" s="46" t="s">
        <v>123</v>
      </c>
      <c r="N17506" s="45">
        <v>46015.25</v>
      </c>
      <c r="O17506" s="46" t="s">
        <v>123</v>
      </c>
      <c r="P17506" s="46">
        <v>1800.0</v>
      </c>
    </row>
    <row r="17507">
      <c r="A17507" s="40">
        <f t="shared" si="1"/>
        <v>46013</v>
      </c>
      <c r="B17507" s="37" t="str">
        <f t="array" ref="B17507">iferror(xlookup($I17507, 'IMPORT VHC Report'!$E:$E, 'IMPORT VHC Report'!$A:$C), )</f>
        <v/>
      </c>
      <c r="C17507" s="44"/>
      <c r="D17507" s="44"/>
      <c r="E17507" s="46" t="s">
        <v>13742</v>
      </c>
      <c r="F17507" s="46" t="s">
        <v>2374</v>
      </c>
      <c r="G17507" s="46">
        <v>5.202378938383E12</v>
      </c>
      <c r="H17507" s="46" t="s">
        <v>2375</v>
      </c>
      <c r="I17507" s="46" t="s">
        <v>2376</v>
      </c>
      <c r="J17507" s="46" t="s">
        <v>530</v>
      </c>
      <c r="K17507" s="46" t="s">
        <v>63</v>
      </c>
      <c r="L17507" s="45">
        <v>46015.25</v>
      </c>
      <c r="M17507" s="46" t="s">
        <v>123</v>
      </c>
      <c r="N17507" s="45">
        <v>46015.583333333336</v>
      </c>
      <c r="O17507" s="46" t="s">
        <v>123</v>
      </c>
      <c r="P17507" s="46">
        <v>28800.0</v>
      </c>
    </row>
    <row r="17508">
      <c r="A17508" s="40">
        <f t="shared" si="1"/>
        <v>46013</v>
      </c>
      <c r="B17508" s="37" t="str">
        <f t="array" ref="B17508">iferror(xlookup($I17508, 'IMPORT VHC Report'!$E:$E, 'IMPORT VHC Report'!$A:$C), )</f>
        <v/>
      </c>
      <c r="C17508" s="44"/>
      <c r="D17508" s="44"/>
      <c r="E17508" s="46" t="s">
        <v>13743</v>
      </c>
      <c r="F17508" s="46" t="s">
        <v>2374</v>
      </c>
      <c r="G17508" s="46">
        <v>5.202378938383E12</v>
      </c>
      <c r="H17508" s="46" t="s">
        <v>2375</v>
      </c>
      <c r="I17508" s="46" t="s">
        <v>2376</v>
      </c>
      <c r="J17508" s="46" t="s">
        <v>132</v>
      </c>
      <c r="K17508" s="46" t="s">
        <v>126</v>
      </c>
      <c r="L17508" s="45">
        <v>46015.302083333336</v>
      </c>
      <c r="M17508" s="46" t="s">
        <v>123</v>
      </c>
      <c r="N17508" s="45">
        <v>46015.34375</v>
      </c>
      <c r="O17508" s="46" t="s">
        <v>123</v>
      </c>
      <c r="P17508" s="46">
        <v>3600.0</v>
      </c>
    </row>
    <row r="17509">
      <c r="A17509" s="40">
        <f t="shared" si="1"/>
        <v>46013</v>
      </c>
      <c r="B17509" s="37" t="str">
        <f t="array" ref="B17509">iferror(xlookup($I17509, 'IMPORT VHC Report'!$E:$E, 'IMPORT VHC Report'!$A:$C), )</f>
        <v/>
      </c>
      <c r="C17509" s="44"/>
      <c r="D17509" s="44"/>
      <c r="E17509" s="46" t="s">
        <v>13744</v>
      </c>
      <c r="F17509" s="46" t="s">
        <v>2374</v>
      </c>
      <c r="G17509" s="46">
        <v>5.202378938383E12</v>
      </c>
      <c r="H17509" s="46" t="s">
        <v>2375</v>
      </c>
      <c r="I17509" s="46" t="s">
        <v>2376</v>
      </c>
      <c r="J17509" s="46" t="s">
        <v>134</v>
      </c>
      <c r="K17509" s="46" t="s">
        <v>126</v>
      </c>
      <c r="L17509" s="45">
        <v>46015.447916666664</v>
      </c>
      <c r="M17509" s="46" t="s">
        <v>123</v>
      </c>
      <c r="N17509" s="45">
        <v>46015.46875</v>
      </c>
      <c r="O17509" s="46" t="s">
        <v>123</v>
      </c>
      <c r="P17509" s="46">
        <v>1800.0</v>
      </c>
    </row>
    <row r="17510">
      <c r="A17510" s="40">
        <f t="shared" si="1"/>
        <v>46013</v>
      </c>
      <c r="B17510" s="37" t="str">
        <f t="array" ref="B17510">iferror(xlookup($I17510, 'IMPORT VHC Report'!$E:$E, 'IMPORT VHC Report'!$A:$C), )</f>
        <v/>
      </c>
      <c r="C17510" s="44"/>
      <c r="D17510" s="44"/>
      <c r="E17510" s="46" t="s">
        <v>13745</v>
      </c>
      <c r="F17510" s="46" t="s">
        <v>2374</v>
      </c>
      <c r="G17510" s="46">
        <v>5.202378938383E12</v>
      </c>
      <c r="H17510" s="46" t="s">
        <v>2375</v>
      </c>
      <c r="I17510" s="46" t="s">
        <v>2376</v>
      </c>
      <c r="J17510" s="46" t="s">
        <v>4</v>
      </c>
      <c r="K17510" s="46" t="s">
        <v>126</v>
      </c>
      <c r="L17510" s="45">
        <v>46016.208333333336</v>
      </c>
      <c r="M17510" s="46" t="s">
        <v>123</v>
      </c>
      <c r="N17510" s="45">
        <v>46016.229166666664</v>
      </c>
      <c r="O17510" s="46" t="s">
        <v>123</v>
      </c>
      <c r="P17510" s="46">
        <v>1800.0</v>
      </c>
    </row>
    <row r="17511">
      <c r="A17511" s="40">
        <f t="shared" si="1"/>
        <v>46013</v>
      </c>
      <c r="B17511" s="37" t="str">
        <f t="array" ref="B17511">iferror(xlookup($I17511, 'IMPORT VHC Report'!$E:$E, 'IMPORT VHC Report'!$A:$C), )</f>
        <v/>
      </c>
      <c r="C17511" s="44"/>
      <c r="D17511" s="44"/>
      <c r="E17511" s="46" t="s">
        <v>13746</v>
      </c>
      <c r="F17511" s="46" t="s">
        <v>2374</v>
      </c>
      <c r="G17511" s="46">
        <v>5.202378938383E12</v>
      </c>
      <c r="H17511" s="46" t="s">
        <v>2375</v>
      </c>
      <c r="I17511" s="46" t="s">
        <v>2376</v>
      </c>
      <c r="J17511" s="46" t="s">
        <v>178</v>
      </c>
      <c r="K17511" s="46" t="s">
        <v>153</v>
      </c>
      <c r="L17511" s="45">
        <v>46016.208333333336</v>
      </c>
      <c r="M17511" s="46" t="s">
        <v>123</v>
      </c>
      <c r="N17511" s="45">
        <v>46016.583333333336</v>
      </c>
      <c r="O17511" s="46" t="s">
        <v>123</v>
      </c>
      <c r="P17511" s="46">
        <v>32400.0</v>
      </c>
      <c r="Q17511" s="46">
        <v>32400.0</v>
      </c>
      <c r="R17511" s="46" t="s">
        <v>13530</v>
      </c>
      <c r="S17511" s="46" t="s">
        <v>13530</v>
      </c>
    </row>
    <row r="17512">
      <c r="A17512" s="40">
        <f t="shared" si="1"/>
        <v>46013</v>
      </c>
      <c r="B17512" s="37" t="str">
        <f t="array" ref="B17512">iferror(xlookup($I17512, 'IMPORT VHC Report'!$E:$E, 'IMPORT VHC Report'!$A:$C), )</f>
        <v/>
      </c>
      <c r="C17512" s="44"/>
      <c r="D17512" s="44"/>
      <c r="E17512" s="46" t="s">
        <v>13747</v>
      </c>
      <c r="F17512" s="46" t="s">
        <v>2374</v>
      </c>
      <c r="G17512" s="46">
        <v>5.202378938383E12</v>
      </c>
      <c r="H17512" s="46" t="s">
        <v>2375</v>
      </c>
      <c r="I17512" s="46" t="s">
        <v>2376</v>
      </c>
      <c r="J17512" s="46" t="s">
        <v>530</v>
      </c>
      <c r="K17512" s="46" t="s">
        <v>63</v>
      </c>
      <c r="L17512" s="45">
        <v>46016.208333333336</v>
      </c>
      <c r="M17512" s="46" t="s">
        <v>123</v>
      </c>
      <c r="N17512" s="45">
        <v>46016.583333333336</v>
      </c>
      <c r="O17512" s="46" t="s">
        <v>123</v>
      </c>
      <c r="P17512" s="46">
        <v>32400.0</v>
      </c>
    </row>
    <row r="17513">
      <c r="A17513" s="40">
        <f t="shared" si="1"/>
        <v>46013</v>
      </c>
      <c r="B17513" s="37" t="str">
        <f t="array" ref="B17513">iferror(xlookup($I17513, 'IMPORT VHC Report'!$E:$E, 'IMPORT VHC Report'!$A:$C), )</f>
        <v/>
      </c>
      <c r="C17513" s="44"/>
      <c r="D17513" s="44"/>
      <c r="E17513" s="46" t="s">
        <v>13748</v>
      </c>
      <c r="F17513" s="46" t="s">
        <v>2374</v>
      </c>
      <c r="G17513" s="46">
        <v>5.202378938383E12</v>
      </c>
      <c r="H17513" s="46" t="s">
        <v>2375</v>
      </c>
      <c r="I17513" s="46" t="s">
        <v>2376</v>
      </c>
      <c r="J17513" s="46" t="s">
        <v>132</v>
      </c>
      <c r="K17513" s="46" t="s">
        <v>126</v>
      </c>
      <c r="L17513" s="45">
        <v>46016.302083333336</v>
      </c>
      <c r="M17513" s="46" t="s">
        <v>123</v>
      </c>
      <c r="N17513" s="45">
        <v>46016.34375</v>
      </c>
      <c r="O17513" s="46" t="s">
        <v>123</v>
      </c>
      <c r="P17513" s="46">
        <v>3600.0</v>
      </c>
    </row>
    <row r="17514">
      <c r="A17514" s="40">
        <f t="shared" si="1"/>
        <v>46013</v>
      </c>
      <c r="B17514" s="37" t="str">
        <f t="array" ref="B17514">iferror(xlookup($I17514, 'IMPORT VHC Report'!$E:$E, 'IMPORT VHC Report'!$A:$C), )</f>
        <v/>
      </c>
      <c r="C17514" s="44"/>
      <c r="D17514" s="44"/>
      <c r="E17514" s="46" t="s">
        <v>13749</v>
      </c>
      <c r="F17514" s="46" t="s">
        <v>2374</v>
      </c>
      <c r="G17514" s="46">
        <v>5.202378938383E12</v>
      </c>
      <c r="H17514" s="46" t="s">
        <v>2375</v>
      </c>
      <c r="I17514" s="46" t="s">
        <v>2376</v>
      </c>
      <c r="J17514" s="46" t="s">
        <v>134</v>
      </c>
      <c r="K17514" s="46" t="s">
        <v>126</v>
      </c>
      <c r="L17514" s="45">
        <v>46016.447916666664</v>
      </c>
      <c r="M17514" s="46" t="s">
        <v>123</v>
      </c>
      <c r="N17514" s="45">
        <v>46016.46875</v>
      </c>
      <c r="O17514" s="46" t="s">
        <v>123</v>
      </c>
      <c r="P17514" s="46">
        <v>1800.0</v>
      </c>
    </row>
    <row r="17515">
      <c r="A17515" s="40">
        <f t="shared" si="1"/>
        <v>46013</v>
      </c>
      <c r="B17515" s="37" t="str">
        <f t="array" ref="B17515">iferror(xlookup($I17515, 'IMPORT VHC Report'!$E:$E, 'IMPORT VHC Report'!$A:$C), )</f>
        <v/>
      </c>
      <c r="C17515" s="44"/>
      <c r="D17515" s="44"/>
      <c r="E17515" s="46" t="s">
        <v>13750</v>
      </c>
      <c r="F17515" s="46" t="s">
        <v>2374</v>
      </c>
      <c r="G17515" s="46">
        <v>5.202378938383E12</v>
      </c>
      <c r="H17515" s="46" t="s">
        <v>2375</v>
      </c>
      <c r="I17515" s="46" t="s">
        <v>2376</v>
      </c>
      <c r="J17515" s="46" t="s">
        <v>4</v>
      </c>
      <c r="K17515" s="46" t="s">
        <v>126</v>
      </c>
      <c r="L17515" s="45">
        <v>46019.208333333336</v>
      </c>
      <c r="M17515" s="46" t="s">
        <v>123</v>
      </c>
      <c r="N17515" s="45">
        <v>46019.229166666664</v>
      </c>
      <c r="O17515" s="46" t="s">
        <v>123</v>
      </c>
      <c r="P17515" s="46">
        <v>1800.0</v>
      </c>
    </row>
    <row r="17516">
      <c r="A17516" s="40">
        <f t="shared" si="1"/>
        <v>46013</v>
      </c>
      <c r="B17516" s="37" t="str">
        <f t="array" ref="B17516">iferror(xlookup($I17516, 'IMPORT VHC Report'!$E:$E, 'IMPORT VHC Report'!$A:$C), )</f>
        <v/>
      </c>
      <c r="C17516" s="44"/>
      <c r="D17516" s="44"/>
      <c r="E17516" s="46" t="s">
        <v>13751</v>
      </c>
      <c r="F17516" s="46" t="s">
        <v>2374</v>
      </c>
      <c r="G17516" s="46">
        <v>5.202378938383E12</v>
      </c>
      <c r="H17516" s="46" t="s">
        <v>2375</v>
      </c>
      <c r="I17516" s="46" t="s">
        <v>2376</v>
      </c>
      <c r="J17516" s="46" t="s">
        <v>530</v>
      </c>
      <c r="K17516" s="46" t="s">
        <v>63</v>
      </c>
      <c r="L17516" s="45">
        <v>46019.208333333336</v>
      </c>
      <c r="M17516" s="46" t="s">
        <v>123</v>
      </c>
      <c r="N17516" s="45">
        <v>46019.583333333336</v>
      </c>
      <c r="O17516" s="46" t="s">
        <v>123</v>
      </c>
      <c r="P17516" s="46">
        <v>32400.0</v>
      </c>
    </row>
    <row r="17517">
      <c r="A17517" s="40">
        <f t="shared" si="1"/>
        <v>46013</v>
      </c>
      <c r="B17517" s="37" t="str">
        <f t="array" ref="B17517">iferror(xlookup($I17517, 'IMPORT VHC Report'!$E:$E, 'IMPORT VHC Report'!$A:$C), )</f>
        <v/>
      </c>
      <c r="C17517" s="44"/>
      <c r="D17517" s="44"/>
      <c r="E17517" s="46" t="s">
        <v>13752</v>
      </c>
      <c r="F17517" s="46" t="s">
        <v>2374</v>
      </c>
      <c r="G17517" s="46">
        <v>5.202378938383E12</v>
      </c>
      <c r="H17517" s="46" t="s">
        <v>2375</v>
      </c>
      <c r="I17517" s="46" t="s">
        <v>2376</v>
      </c>
      <c r="J17517" s="46" t="s">
        <v>134</v>
      </c>
      <c r="K17517" s="46" t="s">
        <v>126</v>
      </c>
      <c r="L17517" s="45">
        <v>46019.302083333336</v>
      </c>
      <c r="M17517" s="46" t="s">
        <v>123</v>
      </c>
      <c r="N17517" s="45">
        <v>46019.322916666664</v>
      </c>
      <c r="O17517" s="46" t="s">
        <v>123</v>
      </c>
      <c r="P17517" s="46">
        <v>1800.0</v>
      </c>
    </row>
    <row r="17518">
      <c r="A17518" s="40">
        <f t="shared" si="1"/>
        <v>46013</v>
      </c>
      <c r="B17518" s="37" t="str">
        <f t="array" ref="B17518">iferror(xlookup($I17518, 'IMPORT VHC Report'!$E:$E, 'IMPORT VHC Report'!$A:$C), )</f>
        <v/>
      </c>
      <c r="C17518" s="44"/>
      <c r="D17518" s="44"/>
      <c r="E17518" s="46" t="s">
        <v>13753</v>
      </c>
      <c r="F17518" s="46" t="s">
        <v>2374</v>
      </c>
      <c r="G17518" s="46">
        <v>5.202378938383E12</v>
      </c>
      <c r="H17518" s="46" t="s">
        <v>2375</v>
      </c>
      <c r="I17518" s="46" t="s">
        <v>2376</v>
      </c>
      <c r="J17518" s="46" t="s">
        <v>132</v>
      </c>
      <c r="K17518" s="46" t="s">
        <v>126</v>
      </c>
      <c r="L17518" s="45">
        <v>46019.447916666664</v>
      </c>
      <c r="M17518" s="46" t="s">
        <v>123</v>
      </c>
      <c r="N17518" s="45">
        <v>46019.489583333336</v>
      </c>
      <c r="O17518" s="46" t="s">
        <v>123</v>
      </c>
      <c r="P17518" s="46">
        <v>3600.0</v>
      </c>
    </row>
    <row r="17519">
      <c r="A17519" s="40">
        <f t="shared" si="1"/>
        <v>46013</v>
      </c>
      <c r="B17519" s="37" t="str">
        <f t="array" ref="B17519">iferror(xlookup($I17519, 'IMPORT VHC Report'!$E:$E, 'IMPORT VHC Report'!$A:$C), )</f>
        <v/>
      </c>
      <c r="C17519" s="44"/>
      <c r="D17519" s="44"/>
      <c r="E17519" s="46" t="s">
        <v>13754</v>
      </c>
      <c r="F17519" s="46" t="s">
        <v>2443</v>
      </c>
      <c r="G17519" s="46">
        <v>3.61731348455E11</v>
      </c>
      <c r="H17519" s="46" t="s">
        <v>2444</v>
      </c>
      <c r="I17519" s="46" t="s">
        <v>2445</v>
      </c>
      <c r="J17519" s="46" t="s">
        <v>4</v>
      </c>
      <c r="K17519" s="46" t="s">
        <v>126</v>
      </c>
      <c r="L17519" s="45">
        <v>46013.208333333336</v>
      </c>
      <c r="M17519" s="46" t="s">
        <v>123</v>
      </c>
      <c r="N17519" s="45">
        <v>46013.229166666664</v>
      </c>
      <c r="O17519" s="46" t="s">
        <v>123</v>
      </c>
      <c r="P17519" s="46">
        <v>1800.0</v>
      </c>
    </row>
    <row r="17520">
      <c r="A17520" s="40">
        <f t="shared" si="1"/>
        <v>46013</v>
      </c>
      <c r="B17520" s="37" t="str">
        <f t="array" ref="B17520">iferror(xlookup($I17520, 'IMPORT VHC Report'!$E:$E, 'IMPORT VHC Report'!$A:$C), )</f>
        <v/>
      </c>
      <c r="C17520" s="44"/>
      <c r="D17520" s="44"/>
      <c r="E17520" s="46" t="s">
        <v>13755</v>
      </c>
      <c r="F17520" s="46" t="s">
        <v>2443</v>
      </c>
      <c r="G17520" s="46">
        <v>3.61731348455E11</v>
      </c>
      <c r="H17520" s="46" t="s">
        <v>2444</v>
      </c>
      <c r="I17520" s="46" t="s">
        <v>2445</v>
      </c>
      <c r="J17520" s="46" t="s">
        <v>530</v>
      </c>
      <c r="K17520" s="46" t="s">
        <v>63</v>
      </c>
      <c r="L17520" s="45">
        <v>46013.208333333336</v>
      </c>
      <c r="M17520" s="46" t="s">
        <v>123</v>
      </c>
      <c r="N17520" s="45">
        <v>46013.229166666664</v>
      </c>
      <c r="O17520" s="46" t="s">
        <v>123</v>
      </c>
      <c r="P17520" s="46">
        <v>1800.0</v>
      </c>
    </row>
    <row r="17521">
      <c r="A17521" s="40">
        <f t="shared" si="1"/>
        <v>46013</v>
      </c>
      <c r="B17521" s="37" t="str">
        <f t="array" ref="B17521">iferror(xlookup($I17521, 'IMPORT VHC Report'!$E:$E, 'IMPORT VHC Report'!$A:$C), )</f>
        <v/>
      </c>
      <c r="C17521" s="44"/>
      <c r="D17521" s="44"/>
      <c r="E17521" s="46" t="s">
        <v>13756</v>
      </c>
      <c r="F17521" s="46" t="s">
        <v>2443</v>
      </c>
      <c r="G17521" s="46">
        <v>3.61731348455E11</v>
      </c>
      <c r="H17521" s="46" t="s">
        <v>2444</v>
      </c>
      <c r="I17521" s="46" t="s">
        <v>2445</v>
      </c>
      <c r="J17521" s="46" t="s">
        <v>152</v>
      </c>
      <c r="K17521" s="46" t="s">
        <v>153</v>
      </c>
      <c r="L17521" s="45">
        <v>46013.208333333336</v>
      </c>
      <c r="M17521" s="46" t="s">
        <v>123</v>
      </c>
      <c r="N17521" s="45">
        <v>46013.583333333336</v>
      </c>
      <c r="O17521" s="46" t="s">
        <v>123</v>
      </c>
      <c r="P17521" s="46">
        <v>32400.0</v>
      </c>
      <c r="Q17521" s="46">
        <v>14400.0</v>
      </c>
    </row>
    <row r="17522">
      <c r="A17522" s="40">
        <f t="shared" si="1"/>
        <v>46013</v>
      </c>
      <c r="B17522" s="37" t="str">
        <f t="array" ref="B17522">iferror(xlookup($I17522, 'IMPORT VHC Report'!$E:$E, 'IMPORT VHC Report'!$A:$C), )</f>
        <v/>
      </c>
      <c r="C17522" s="44"/>
      <c r="D17522" s="44"/>
      <c r="E17522" s="46" t="s">
        <v>13757</v>
      </c>
      <c r="F17522" s="46" t="s">
        <v>2443</v>
      </c>
      <c r="G17522" s="46">
        <v>3.61731348455E11</v>
      </c>
      <c r="H17522" s="46" t="s">
        <v>2444</v>
      </c>
      <c r="I17522" s="46" t="s">
        <v>2445</v>
      </c>
      <c r="J17522" s="46" t="s">
        <v>62</v>
      </c>
      <c r="K17522" s="46" t="s">
        <v>63</v>
      </c>
      <c r="L17522" s="45">
        <v>46013.229166666664</v>
      </c>
      <c r="M17522" s="46" t="s">
        <v>123</v>
      </c>
      <c r="N17522" s="45">
        <v>46013.25</v>
      </c>
      <c r="O17522" s="46" t="s">
        <v>123</v>
      </c>
      <c r="P17522" s="46">
        <v>1800.0</v>
      </c>
    </row>
    <row r="17523">
      <c r="A17523" s="40">
        <f t="shared" si="1"/>
        <v>46013</v>
      </c>
      <c r="B17523" s="37" t="str">
        <f t="array" ref="B17523">iferror(xlookup($I17523, 'IMPORT VHC Report'!$E:$E, 'IMPORT VHC Report'!$A:$C), )</f>
        <v/>
      </c>
      <c r="C17523" s="44"/>
      <c r="D17523" s="44"/>
      <c r="E17523" s="46" t="s">
        <v>13758</v>
      </c>
      <c r="F17523" s="46" t="s">
        <v>2443</v>
      </c>
      <c r="G17523" s="46">
        <v>3.61731348455E11</v>
      </c>
      <c r="H17523" s="46" t="s">
        <v>2444</v>
      </c>
      <c r="I17523" s="46" t="s">
        <v>2445</v>
      </c>
      <c r="J17523" s="46" t="s">
        <v>530</v>
      </c>
      <c r="K17523" s="46" t="s">
        <v>63</v>
      </c>
      <c r="L17523" s="45">
        <v>46013.25</v>
      </c>
      <c r="M17523" s="46" t="s">
        <v>123</v>
      </c>
      <c r="N17523" s="45">
        <v>46013.583333333336</v>
      </c>
      <c r="O17523" s="46" t="s">
        <v>123</v>
      </c>
      <c r="P17523" s="46">
        <v>28800.0</v>
      </c>
    </row>
    <row r="17524">
      <c r="A17524" s="40">
        <f t="shared" si="1"/>
        <v>46013</v>
      </c>
      <c r="B17524" s="37" t="str">
        <f t="array" ref="B17524">iferror(xlookup($I17524, 'IMPORT VHC Report'!$E:$E, 'IMPORT VHC Report'!$A:$C), )</f>
        <v/>
      </c>
      <c r="C17524" s="44"/>
      <c r="D17524" s="44"/>
      <c r="E17524" s="46" t="s">
        <v>13759</v>
      </c>
      <c r="F17524" s="46" t="s">
        <v>2443</v>
      </c>
      <c r="G17524" s="46">
        <v>3.61731348455E11</v>
      </c>
      <c r="H17524" s="46" t="s">
        <v>2444</v>
      </c>
      <c r="I17524" s="46" t="s">
        <v>2445</v>
      </c>
      <c r="J17524" s="46" t="s">
        <v>132</v>
      </c>
      <c r="K17524" s="46" t="s">
        <v>126</v>
      </c>
      <c r="L17524" s="45">
        <v>46013.3125</v>
      </c>
      <c r="M17524" s="46" t="s">
        <v>123</v>
      </c>
      <c r="N17524" s="45">
        <v>46013.354166666664</v>
      </c>
      <c r="O17524" s="46" t="s">
        <v>123</v>
      </c>
      <c r="P17524" s="46">
        <v>3600.0</v>
      </c>
    </row>
    <row r="17525">
      <c r="A17525" s="40">
        <f t="shared" si="1"/>
        <v>46013</v>
      </c>
      <c r="B17525" s="37" t="str">
        <f t="array" ref="B17525">iferror(xlookup($I17525, 'IMPORT VHC Report'!$E:$E, 'IMPORT VHC Report'!$A:$C), )</f>
        <v/>
      </c>
      <c r="C17525" s="44"/>
      <c r="D17525" s="44"/>
      <c r="E17525" s="46" t="s">
        <v>13760</v>
      </c>
      <c r="F17525" s="46" t="s">
        <v>2443</v>
      </c>
      <c r="G17525" s="46">
        <v>3.61731348455E11</v>
      </c>
      <c r="H17525" s="46" t="s">
        <v>2444</v>
      </c>
      <c r="I17525" s="46" t="s">
        <v>2445</v>
      </c>
      <c r="J17525" s="46" t="s">
        <v>134</v>
      </c>
      <c r="K17525" s="46" t="s">
        <v>126</v>
      </c>
      <c r="L17525" s="45">
        <v>46013.46875</v>
      </c>
      <c r="M17525" s="46" t="s">
        <v>123</v>
      </c>
      <c r="N17525" s="45">
        <v>46013.489583333336</v>
      </c>
      <c r="O17525" s="46" t="s">
        <v>123</v>
      </c>
      <c r="P17525" s="46">
        <v>1800.0</v>
      </c>
    </row>
    <row r="17526">
      <c r="A17526" s="40">
        <f t="shared" si="1"/>
        <v>46013</v>
      </c>
      <c r="B17526" s="37" t="str">
        <f t="array" ref="B17526">iferror(xlookup($I17526, 'IMPORT VHC Report'!$E:$E, 'IMPORT VHC Report'!$A:$C), )</f>
        <v/>
      </c>
      <c r="C17526" s="44"/>
      <c r="D17526" s="44"/>
      <c r="E17526" s="46" t="s">
        <v>13761</v>
      </c>
      <c r="F17526" s="46" t="s">
        <v>2443</v>
      </c>
      <c r="G17526" s="46">
        <v>3.61731348455E11</v>
      </c>
      <c r="H17526" s="46" t="s">
        <v>2444</v>
      </c>
      <c r="I17526" s="46" t="s">
        <v>2445</v>
      </c>
      <c r="J17526" s="46" t="s">
        <v>4</v>
      </c>
      <c r="K17526" s="46" t="s">
        <v>126</v>
      </c>
      <c r="L17526" s="45">
        <v>46014.208333333336</v>
      </c>
      <c r="M17526" s="46" t="s">
        <v>123</v>
      </c>
      <c r="N17526" s="45">
        <v>46014.229166666664</v>
      </c>
      <c r="O17526" s="46" t="s">
        <v>123</v>
      </c>
      <c r="P17526" s="46">
        <v>1800.0</v>
      </c>
    </row>
    <row r="17527">
      <c r="A17527" s="40">
        <f t="shared" si="1"/>
        <v>46013</v>
      </c>
      <c r="B17527" s="37" t="str">
        <f t="array" ref="B17527">iferror(xlookup($I17527, 'IMPORT VHC Report'!$E:$E, 'IMPORT VHC Report'!$A:$C), )</f>
        <v/>
      </c>
      <c r="C17527" s="44"/>
      <c r="D17527" s="44"/>
      <c r="E17527" s="46" t="s">
        <v>13762</v>
      </c>
      <c r="F17527" s="46" t="s">
        <v>2443</v>
      </c>
      <c r="G17527" s="46">
        <v>3.61731348455E11</v>
      </c>
      <c r="H17527" s="46" t="s">
        <v>2444</v>
      </c>
      <c r="I17527" s="46" t="s">
        <v>2445</v>
      </c>
      <c r="J17527" s="46" t="s">
        <v>530</v>
      </c>
      <c r="K17527" s="46" t="s">
        <v>63</v>
      </c>
      <c r="L17527" s="45">
        <v>46014.208333333336</v>
      </c>
      <c r="M17527" s="46" t="s">
        <v>123</v>
      </c>
      <c r="N17527" s="45">
        <v>46014.583333333336</v>
      </c>
      <c r="O17527" s="46" t="s">
        <v>123</v>
      </c>
      <c r="P17527" s="46">
        <v>32400.0</v>
      </c>
    </row>
    <row r="17528">
      <c r="A17528" s="40">
        <f t="shared" si="1"/>
        <v>46013</v>
      </c>
      <c r="B17528" s="37" t="str">
        <f t="array" ref="B17528">iferror(xlookup($I17528, 'IMPORT VHC Report'!$E:$E, 'IMPORT VHC Report'!$A:$C), )</f>
        <v/>
      </c>
      <c r="C17528" s="44"/>
      <c r="D17528" s="44"/>
      <c r="E17528" s="46" t="s">
        <v>13763</v>
      </c>
      <c r="F17528" s="46" t="s">
        <v>2443</v>
      </c>
      <c r="G17528" s="46">
        <v>3.61731348455E11</v>
      </c>
      <c r="H17528" s="46" t="s">
        <v>2444</v>
      </c>
      <c r="I17528" s="46" t="s">
        <v>2445</v>
      </c>
      <c r="J17528" s="46" t="s">
        <v>134</v>
      </c>
      <c r="K17528" s="46" t="s">
        <v>126</v>
      </c>
      <c r="L17528" s="45">
        <v>46014.333333333336</v>
      </c>
      <c r="M17528" s="46" t="s">
        <v>123</v>
      </c>
      <c r="N17528" s="45">
        <v>46014.354166666664</v>
      </c>
      <c r="O17528" s="46" t="s">
        <v>123</v>
      </c>
      <c r="P17528" s="46">
        <v>1800.0</v>
      </c>
    </row>
    <row r="17529">
      <c r="A17529" s="40">
        <f t="shared" si="1"/>
        <v>46013</v>
      </c>
      <c r="B17529" s="37" t="str">
        <f t="array" ref="B17529">iferror(xlookup($I17529, 'IMPORT VHC Report'!$E:$E, 'IMPORT VHC Report'!$A:$C), )</f>
        <v/>
      </c>
      <c r="C17529" s="44"/>
      <c r="D17529" s="44"/>
      <c r="E17529" s="46" t="s">
        <v>13764</v>
      </c>
      <c r="F17529" s="46" t="s">
        <v>2443</v>
      </c>
      <c r="G17529" s="46">
        <v>3.61731348455E11</v>
      </c>
      <c r="H17529" s="46" t="s">
        <v>2444</v>
      </c>
      <c r="I17529" s="46" t="s">
        <v>2445</v>
      </c>
      <c r="J17529" s="46" t="s">
        <v>132</v>
      </c>
      <c r="K17529" s="46" t="s">
        <v>126</v>
      </c>
      <c r="L17529" s="45">
        <v>46014.458333333336</v>
      </c>
      <c r="M17529" s="46" t="s">
        <v>123</v>
      </c>
      <c r="N17529" s="45">
        <v>46014.5</v>
      </c>
      <c r="O17529" s="46" t="s">
        <v>123</v>
      </c>
      <c r="P17529" s="46">
        <v>3600.0</v>
      </c>
    </row>
    <row r="17530">
      <c r="A17530" s="40">
        <f t="shared" si="1"/>
        <v>46013</v>
      </c>
      <c r="B17530" s="37" t="str">
        <f t="array" ref="B17530">iferror(xlookup($I17530, 'IMPORT VHC Report'!$E:$E, 'IMPORT VHC Report'!$A:$C), )</f>
        <v/>
      </c>
      <c r="C17530" s="44"/>
      <c r="D17530" s="44"/>
      <c r="E17530" s="46" t="s">
        <v>13765</v>
      </c>
      <c r="F17530" s="46" t="s">
        <v>2443</v>
      </c>
      <c r="G17530" s="46">
        <v>3.61731348455E11</v>
      </c>
      <c r="H17530" s="46" t="s">
        <v>2444</v>
      </c>
      <c r="I17530" s="46" t="s">
        <v>2445</v>
      </c>
      <c r="J17530" s="46" t="s">
        <v>4</v>
      </c>
      <c r="K17530" s="46" t="s">
        <v>126</v>
      </c>
      <c r="L17530" s="45">
        <v>46015.208333333336</v>
      </c>
      <c r="M17530" s="46" t="s">
        <v>123</v>
      </c>
      <c r="N17530" s="45">
        <v>46015.229166666664</v>
      </c>
      <c r="O17530" s="46" t="s">
        <v>123</v>
      </c>
      <c r="P17530" s="46">
        <v>1800.0</v>
      </c>
    </row>
    <row r="17531">
      <c r="A17531" s="40">
        <f t="shared" si="1"/>
        <v>46013</v>
      </c>
      <c r="B17531" s="37" t="str">
        <f t="array" ref="B17531">iferror(xlookup($I17531, 'IMPORT VHC Report'!$E:$E, 'IMPORT VHC Report'!$A:$C), )</f>
        <v/>
      </c>
      <c r="C17531" s="44"/>
      <c r="D17531" s="44"/>
      <c r="E17531" s="46" t="s">
        <v>13766</v>
      </c>
      <c r="F17531" s="46" t="s">
        <v>2443</v>
      </c>
      <c r="G17531" s="46">
        <v>3.61731348455E11</v>
      </c>
      <c r="H17531" s="46" t="s">
        <v>2444</v>
      </c>
      <c r="I17531" s="46" t="s">
        <v>2445</v>
      </c>
      <c r="J17531" s="46" t="s">
        <v>530</v>
      </c>
      <c r="K17531" s="46" t="s">
        <v>63</v>
      </c>
      <c r="L17531" s="45">
        <v>46015.208333333336</v>
      </c>
      <c r="M17531" s="46" t="s">
        <v>123</v>
      </c>
      <c r="N17531" s="45">
        <v>46015.583333333336</v>
      </c>
      <c r="O17531" s="46" t="s">
        <v>123</v>
      </c>
      <c r="P17531" s="46">
        <v>32400.0</v>
      </c>
    </row>
    <row r="17532">
      <c r="A17532" s="40">
        <f t="shared" si="1"/>
        <v>46013</v>
      </c>
      <c r="B17532" s="37" t="str">
        <f t="array" ref="B17532">iferror(xlookup($I17532, 'IMPORT VHC Report'!$E:$E, 'IMPORT VHC Report'!$A:$C), )</f>
        <v/>
      </c>
      <c r="C17532" s="44"/>
      <c r="D17532" s="44"/>
      <c r="E17532" s="46" t="s">
        <v>13767</v>
      </c>
      <c r="F17532" s="46" t="s">
        <v>2443</v>
      </c>
      <c r="G17532" s="46">
        <v>3.61731348455E11</v>
      </c>
      <c r="H17532" s="46" t="s">
        <v>2444</v>
      </c>
      <c r="I17532" s="46" t="s">
        <v>2445</v>
      </c>
      <c r="J17532" s="46" t="s">
        <v>134</v>
      </c>
      <c r="K17532" s="46" t="s">
        <v>126</v>
      </c>
      <c r="L17532" s="45">
        <v>46015.333333333336</v>
      </c>
      <c r="M17532" s="46" t="s">
        <v>123</v>
      </c>
      <c r="N17532" s="45">
        <v>46015.354166666664</v>
      </c>
      <c r="O17532" s="46" t="s">
        <v>123</v>
      </c>
      <c r="P17532" s="46">
        <v>1800.0</v>
      </c>
    </row>
    <row r="17533">
      <c r="A17533" s="40">
        <f t="shared" si="1"/>
        <v>46013</v>
      </c>
      <c r="B17533" s="37" t="str">
        <f t="array" ref="B17533">iferror(xlookup($I17533, 'IMPORT VHC Report'!$E:$E, 'IMPORT VHC Report'!$A:$C), )</f>
        <v/>
      </c>
      <c r="C17533" s="44"/>
      <c r="D17533" s="44"/>
      <c r="E17533" s="46" t="s">
        <v>13768</v>
      </c>
      <c r="F17533" s="46" t="s">
        <v>2443</v>
      </c>
      <c r="G17533" s="46">
        <v>3.61731348455E11</v>
      </c>
      <c r="H17533" s="46" t="s">
        <v>2444</v>
      </c>
      <c r="I17533" s="46" t="s">
        <v>2445</v>
      </c>
      <c r="J17533" s="46" t="s">
        <v>132</v>
      </c>
      <c r="K17533" s="46" t="s">
        <v>126</v>
      </c>
      <c r="L17533" s="45">
        <v>46015.458333333336</v>
      </c>
      <c r="M17533" s="46" t="s">
        <v>123</v>
      </c>
      <c r="N17533" s="45">
        <v>46015.5</v>
      </c>
      <c r="O17533" s="46" t="s">
        <v>123</v>
      </c>
      <c r="P17533" s="46">
        <v>3600.0</v>
      </c>
    </row>
    <row r="17534">
      <c r="A17534" s="40">
        <f t="shared" si="1"/>
        <v>46013</v>
      </c>
      <c r="B17534" s="37" t="str">
        <f t="array" ref="B17534">iferror(xlookup($I17534, 'IMPORT VHC Report'!$E:$E, 'IMPORT VHC Report'!$A:$C), )</f>
        <v/>
      </c>
      <c r="C17534" s="44"/>
      <c r="D17534" s="44"/>
      <c r="E17534" s="46" t="s">
        <v>13769</v>
      </c>
      <c r="F17534" s="46" t="s">
        <v>2443</v>
      </c>
      <c r="G17534" s="46">
        <v>3.61731348455E11</v>
      </c>
      <c r="H17534" s="46" t="s">
        <v>2444</v>
      </c>
      <c r="I17534" s="46" t="s">
        <v>2445</v>
      </c>
      <c r="J17534" s="46" t="s">
        <v>4</v>
      </c>
      <c r="K17534" s="46" t="s">
        <v>126</v>
      </c>
      <c r="L17534" s="45">
        <v>46016.208333333336</v>
      </c>
      <c r="M17534" s="46" t="s">
        <v>123</v>
      </c>
      <c r="N17534" s="45">
        <v>46016.229166666664</v>
      </c>
      <c r="O17534" s="46" t="s">
        <v>123</v>
      </c>
      <c r="P17534" s="46">
        <v>1800.0</v>
      </c>
    </row>
    <row r="17535">
      <c r="A17535" s="40">
        <f t="shared" si="1"/>
        <v>46013</v>
      </c>
      <c r="B17535" s="37" t="str">
        <f t="array" ref="B17535">iferror(xlookup($I17535, 'IMPORT VHC Report'!$E:$E, 'IMPORT VHC Report'!$A:$C), )</f>
        <v/>
      </c>
      <c r="C17535" s="44"/>
      <c r="D17535" s="44"/>
      <c r="E17535" s="46" t="s">
        <v>13770</v>
      </c>
      <c r="F17535" s="46" t="s">
        <v>2443</v>
      </c>
      <c r="G17535" s="46">
        <v>3.61731348455E11</v>
      </c>
      <c r="H17535" s="46" t="s">
        <v>2444</v>
      </c>
      <c r="I17535" s="46" t="s">
        <v>2445</v>
      </c>
      <c r="J17535" s="46" t="s">
        <v>530</v>
      </c>
      <c r="K17535" s="46" t="s">
        <v>63</v>
      </c>
      <c r="L17535" s="45">
        <v>46016.208333333336</v>
      </c>
      <c r="M17535" s="46" t="s">
        <v>123</v>
      </c>
      <c r="N17535" s="45">
        <v>46016.583333333336</v>
      </c>
      <c r="O17535" s="46" t="s">
        <v>123</v>
      </c>
      <c r="P17535" s="46">
        <v>32400.0</v>
      </c>
    </row>
    <row r="17536">
      <c r="A17536" s="40">
        <f t="shared" si="1"/>
        <v>46013</v>
      </c>
      <c r="B17536" s="37" t="str">
        <f t="array" ref="B17536">iferror(xlookup($I17536, 'IMPORT VHC Report'!$E:$E, 'IMPORT VHC Report'!$A:$C), )</f>
        <v/>
      </c>
      <c r="C17536" s="44"/>
      <c r="D17536" s="44"/>
      <c r="E17536" s="46" t="s">
        <v>13771</v>
      </c>
      <c r="F17536" s="46" t="s">
        <v>2443</v>
      </c>
      <c r="G17536" s="46">
        <v>3.61731348455E11</v>
      </c>
      <c r="H17536" s="46" t="s">
        <v>2444</v>
      </c>
      <c r="I17536" s="46" t="s">
        <v>2445</v>
      </c>
      <c r="J17536" s="46" t="s">
        <v>134</v>
      </c>
      <c r="K17536" s="46" t="s">
        <v>126</v>
      </c>
      <c r="L17536" s="45">
        <v>46016.333333333336</v>
      </c>
      <c r="M17536" s="46" t="s">
        <v>123</v>
      </c>
      <c r="N17536" s="45">
        <v>46016.354166666664</v>
      </c>
      <c r="O17536" s="46" t="s">
        <v>123</v>
      </c>
      <c r="P17536" s="46">
        <v>1800.0</v>
      </c>
    </row>
    <row r="17537">
      <c r="A17537" s="40">
        <f t="shared" si="1"/>
        <v>46013</v>
      </c>
      <c r="B17537" s="37" t="str">
        <f t="array" ref="B17537">iferror(xlookup($I17537, 'IMPORT VHC Report'!$E:$E, 'IMPORT VHC Report'!$A:$C), )</f>
        <v/>
      </c>
      <c r="C17537" s="44"/>
      <c r="D17537" s="44"/>
      <c r="E17537" s="46" t="s">
        <v>13772</v>
      </c>
      <c r="F17537" s="46" t="s">
        <v>2443</v>
      </c>
      <c r="G17537" s="46">
        <v>3.61731348455E11</v>
      </c>
      <c r="H17537" s="46" t="s">
        <v>2444</v>
      </c>
      <c r="I17537" s="46" t="s">
        <v>2445</v>
      </c>
      <c r="J17537" s="46" t="s">
        <v>132</v>
      </c>
      <c r="K17537" s="46" t="s">
        <v>126</v>
      </c>
      <c r="L17537" s="45">
        <v>46016.458333333336</v>
      </c>
      <c r="M17537" s="46" t="s">
        <v>123</v>
      </c>
      <c r="N17537" s="45">
        <v>46016.5</v>
      </c>
      <c r="O17537" s="46" t="s">
        <v>123</v>
      </c>
      <c r="P17537" s="46">
        <v>3600.0</v>
      </c>
    </row>
    <row r="17538">
      <c r="A17538" s="40">
        <f t="shared" si="1"/>
        <v>46013</v>
      </c>
      <c r="B17538" s="37" t="str">
        <f t="array" ref="B17538">iferror(xlookup($I17538, 'IMPORT VHC Report'!$E:$E, 'IMPORT VHC Report'!$A:$C), )</f>
        <v/>
      </c>
      <c r="C17538" s="44"/>
      <c r="D17538" s="44"/>
      <c r="E17538" s="46" t="s">
        <v>13773</v>
      </c>
      <c r="F17538" s="46" t="s">
        <v>2443</v>
      </c>
      <c r="G17538" s="46">
        <v>3.61731348455E11</v>
      </c>
      <c r="H17538" s="46" t="s">
        <v>2444</v>
      </c>
      <c r="I17538" s="46" t="s">
        <v>2445</v>
      </c>
      <c r="J17538" s="46" t="s">
        <v>4</v>
      </c>
      <c r="K17538" s="46" t="s">
        <v>126</v>
      </c>
      <c r="L17538" s="45">
        <v>46019.208333333336</v>
      </c>
      <c r="M17538" s="46" t="s">
        <v>123</v>
      </c>
      <c r="N17538" s="45">
        <v>46019.229166666664</v>
      </c>
      <c r="O17538" s="46" t="s">
        <v>123</v>
      </c>
      <c r="P17538" s="46">
        <v>1800.0</v>
      </c>
    </row>
    <row r="17539">
      <c r="A17539" s="40">
        <f t="shared" si="1"/>
        <v>46013</v>
      </c>
      <c r="B17539" s="37" t="str">
        <f t="array" ref="B17539">iferror(xlookup($I17539, 'IMPORT VHC Report'!$E:$E, 'IMPORT VHC Report'!$A:$C), )</f>
        <v/>
      </c>
      <c r="C17539" s="44"/>
      <c r="D17539" s="44"/>
      <c r="E17539" s="46" t="s">
        <v>13774</v>
      </c>
      <c r="F17539" s="46" t="s">
        <v>2443</v>
      </c>
      <c r="G17539" s="46">
        <v>3.61731348455E11</v>
      </c>
      <c r="H17539" s="46" t="s">
        <v>2444</v>
      </c>
      <c r="I17539" s="46" t="s">
        <v>2445</v>
      </c>
      <c r="J17539" s="46" t="s">
        <v>530</v>
      </c>
      <c r="K17539" s="46" t="s">
        <v>63</v>
      </c>
      <c r="L17539" s="45">
        <v>46019.208333333336</v>
      </c>
      <c r="M17539" s="46" t="s">
        <v>123</v>
      </c>
      <c r="N17539" s="45">
        <v>46019.583333333336</v>
      </c>
      <c r="O17539" s="46" t="s">
        <v>123</v>
      </c>
      <c r="P17539" s="46">
        <v>32400.0</v>
      </c>
    </row>
    <row r="17540">
      <c r="A17540" s="40">
        <f t="shared" si="1"/>
        <v>46013</v>
      </c>
      <c r="B17540" s="37" t="str">
        <f t="array" ref="B17540">iferror(xlookup($I17540, 'IMPORT VHC Report'!$E:$E, 'IMPORT VHC Report'!$A:$C), )</f>
        <v/>
      </c>
      <c r="C17540" s="44"/>
      <c r="D17540" s="44"/>
      <c r="E17540" s="46" t="s">
        <v>13775</v>
      </c>
      <c r="F17540" s="46" t="s">
        <v>2443</v>
      </c>
      <c r="G17540" s="46">
        <v>3.61731348455E11</v>
      </c>
      <c r="H17540" s="46" t="s">
        <v>2444</v>
      </c>
      <c r="I17540" s="46" t="s">
        <v>2445</v>
      </c>
      <c r="J17540" s="46" t="s">
        <v>132</v>
      </c>
      <c r="K17540" s="46" t="s">
        <v>126</v>
      </c>
      <c r="L17540" s="45">
        <v>46019.333333333336</v>
      </c>
      <c r="M17540" s="46" t="s">
        <v>123</v>
      </c>
      <c r="N17540" s="45">
        <v>46019.375</v>
      </c>
      <c r="O17540" s="46" t="s">
        <v>123</v>
      </c>
      <c r="P17540" s="46">
        <v>3600.0</v>
      </c>
    </row>
    <row r="17541">
      <c r="A17541" s="40">
        <f t="shared" si="1"/>
        <v>46013</v>
      </c>
      <c r="B17541" s="37" t="str">
        <f t="array" ref="B17541">iferror(xlookup($I17541, 'IMPORT VHC Report'!$E:$E, 'IMPORT VHC Report'!$A:$C), )</f>
        <v/>
      </c>
      <c r="C17541" s="44"/>
      <c r="D17541" s="44"/>
      <c r="E17541" s="46" t="s">
        <v>13776</v>
      </c>
      <c r="F17541" s="46" t="s">
        <v>2443</v>
      </c>
      <c r="G17541" s="46">
        <v>3.61731348455E11</v>
      </c>
      <c r="H17541" s="46" t="s">
        <v>2444</v>
      </c>
      <c r="I17541" s="46" t="s">
        <v>2445</v>
      </c>
      <c r="J17541" s="46" t="s">
        <v>134</v>
      </c>
      <c r="K17541" s="46" t="s">
        <v>126</v>
      </c>
      <c r="L17541" s="45">
        <v>46019.489583333336</v>
      </c>
      <c r="M17541" s="46" t="s">
        <v>123</v>
      </c>
      <c r="N17541" s="45">
        <v>46019.510416666664</v>
      </c>
      <c r="O17541" s="46" t="s">
        <v>123</v>
      </c>
      <c r="P17541" s="46">
        <v>1800.0</v>
      </c>
    </row>
    <row r="17542">
      <c r="A17542" s="40">
        <f t="shared" si="1"/>
        <v>46013</v>
      </c>
      <c r="B17542" s="37" t="str">
        <f t="array" ref="B17542">iferror(xlookup($I17542, 'IMPORT VHC Report'!$E:$E, 'IMPORT VHC Report'!$A:$C), )</f>
        <v/>
      </c>
      <c r="C17542" s="44"/>
      <c r="D17542" s="44"/>
      <c r="E17542" s="46" t="s">
        <v>13777</v>
      </c>
      <c r="F17542" s="46" t="s">
        <v>4147</v>
      </c>
      <c r="G17542" s="46">
        <v>3.61750008275E11</v>
      </c>
      <c r="H17542" s="46" t="s">
        <v>4148</v>
      </c>
      <c r="I17542" s="46" t="s">
        <v>4149</v>
      </c>
      <c r="J17542" s="46" t="s">
        <v>4</v>
      </c>
      <c r="K17542" s="46" t="s">
        <v>126</v>
      </c>
      <c r="L17542" s="45">
        <v>46013.541666666664</v>
      </c>
      <c r="M17542" s="46" t="s">
        <v>123</v>
      </c>
      <c r="N17542" s="45">
        <v>46013.5625</v>
      </c>
      <c r="O17542" s="46" t="s">
        <v>123</v>
      </c>
      <c r="P17542" s="46">
        <v>1800.0</v>
      </c>
    </row>
    <row r="17543">
      <c r="A17543" s="40">
        <f t="shared" si="1"/>
        <v>46013</v>
      </c>
      <c r="B17543" s="37" t="str">
        <f t="array" ref="B17543">iferror(xlookup($I17543, 'IMPORT VHC Report'!$E:$E, 'IMPORT VHC Report'!$A:$C), )</f>
        <v/>
      </c>
      <c r="C17543" s="44"/>
      <c r="D17543" s="44"/>
      <c r="E17543" s="46" t="s">
        <v>13778</v>
      </c>
      <c r="F17543" s="46" t="s">
        <v>4147</v>
      </c>
      <c r="G17543" s="46">
        <v>3.61750008275E11</v>
      </c>
      <c r="H17543" s="46" t="s">
        <v>4148</v>
      </c>
      <c r="I17543" s="46" t="s">
        <v>4149</v>
      </c>
      <c r="J17543" s="46" t="s">
        <v>530</v>
      </c>
      <c r="K17543" s="46" t="s">
        <v>63</v>
      </c>
      <c r="L17543" s="45">
        <v>46013.541666666664</v>
      </c>
      <c r="M17543" s="46" t="s">
        <v>123</v>
      </c>
      <c r="N17543" s="45">
        <v>46013.916666666664</v>
      </c>
      <c r="O17543" s="46" t="s">
        <v>123</v>
      </c>
      <c r="P17543" s="46">
        <v>32400.0</v>
      </c>
    </row>
    <row r="17544">
      <c r="A17544" s="40">
        <f t="shared" si="1"/>
        <v>46013</v>
      </c>
      <c r="B17544" s="37" t="str">
        <f t="array" ref="B17544">iferror(xlookup($I17544, 'IMPORT VHC Report'!$E:$E, 'IMPORT VHC Report'!$A:$C), )</f>
        <v/>
      </c>
      <c r="C17544" s="44"/>
      <c r="D17544" s="44"/>
      <c r="E17544" s="46" t="s">
        <v>13779</v>
      </c>
      <c r="F17544" s="46" t="s">
        <v>4147</v>
      </c>
      <c r="G17544" s="46">
        <v>3.61750008275E11</v>
      </c>
      <c r="H17544" s="46" t="s">
        <v>4148</v>
      </c>
      <c r="I17544" s="46" t="s">
        <v>4149</v>
      </c>
      <c r="J17544" s="46" t="s">
        <v>132</v>
      </c>
      <c r="K17544" s="46" t="s">
        <v>126</v>
      </c>
      <c r="L17544" s="45">
        <v>46013.625</v>
      </c>
      <c r="M17544" s="46" t="s">
        <v>123</v>
      </c>
      <c r="N17544" s="45">
        <v>46013.666666666664</v>
      </c>
      <c r="O17544" s="46" t="s">
        <v>123</v>
      </c>
      <c r="P17544" s="46">
        <v>3600.0</v>
      </c>
    </row>
    <row r="17545">
      <c r="A17545" s="40">
        <f t="shared" si="1"/>
        <v>46013</v>
      </c>
      <c r="B17545" s="37" t="str">
        <f t="array" ref="B17545">iferror(xlookup($I17545, 'IMPORT VHC Report'!$E:$E, 'IMPORT VHC Report'!$A:$C), )</f>
        <v/>
      </c>
      <c r="C17545" s="44"/>
      <c r="D17545" s="44"/>
      <c r="E17545" s="46" t="s">
        <v>13780</v>
      </c>
      <c r="F17545" s="46" t="s">
        <v>4147</v>
      </c>
      <c r="G17545" s="46">
        <v>3.61750008275E11</v>
      </c>
      <c r="H17545" s="46" t="s">
        <v>4148</v>
      </c>
      <c r="I17545" s="46" t="s">
        <v>4149</v>
      </c>
      <c r="J17545" s="46" t="s">
        <v>134</v>
      </c>
      <c r="K17545" s="46" t="s">
        <v>126</v>
      </c>
      <c r="L17545" s="45">
        <v>46013.666666666664</v>
      </c>
      <c r="M17545" s="46" t="s">
        <v>123</v>
      </c>
      <c r="N17545" s="45">
        <v>46013.6875</v>
      </c>
      <c r="O17545" s="46" t="s">
        <v>123</v>
      </c>
      <c r="P17545" s="46">
        <v>1800.0</v>
      </c>
    </row>
    <row r="17546">
      <c r="A17546" s="40">
        <f t="shared" si="1"/>
        <v>46013</v>
      </c>
      <c r="B17546" s="37" t="str">
        <f t="array" ref="B17546">iferror(xlookup($I17546, 'IMPORT VHC Report'!$E:$E, 'IMPORT VHC Report'!$A:$C), )</f>
        <v/>
      </c>
      <c r="C17546" s="44"/>
      <c r="D17546" s="44"/>
      <c r="E17546" s="46" t="s">
        <v>13781</v>
      </c>
      <c r="F17546" s="46" t="s">
        <v>4147</v>
      </c>
      <c r="G17546" s="46">
        <v>3.61750008275E11</v>
      </c>
      <c r="H17546" s="46" t="s">
        <v>4148</v>
      </c>
      <c r="I17546" s="46" t="s">
        <v>4149</v>
      </c>
      <c r="J17546" s="46" t="s">
        <v>4</v>
      </c>
      <c r="K17546" s="46" t="s">
        <v>126</v>
      </c>
      <c r="L17546" s="45">
        <v>46014.541666666664</v>
      </c>
      <c r="M17546" s="46" t="s">
        <v>123</v>
      </c>
      <c r="N17546" s="45">
        <v>46014.5625</v>
      </c>
      <c r="O17546" s="46" t="s">
        <v>123</v>
      </c>
      <c r="P17546" s="46">
        <v>1800.0</v>
      </c>
    </row>
    <row r="17547">
      <c r="A17547" s="40">
        <f t="shared" si="1"/>
        <v>46013</v>
      </c>
      <c r="B17547" s="37" t="str">
        <f t="array" ref="B17547">iferror(xlookup($I17547, 'IMPORT VHC Report'!$E:$E, 'IMPORT VHC Report'!$A:$C), )</f>
        <v/>
      </c>
      <c r="C17547" s="44"/>
      <c r="D17547" s="44"/>
      <c r="E17547" s="46" t="s">
        <v>13782</v>
      </c>
      <c r="F17547" s="46" t="s">
        <v>4147</v>
      </c>
      <c r="G17547" s="46">
        <v>3.61750008275E11</v>
      </c>
      <c r="H17547" s="46" t="s">
        <v>4148</v>
      </c>
      <c r="I17547" s="46" t="s">
        <v>4149</v>
      </c>
      <c r="J17547" s="46" t="s">
        <v>530</v>
      </c>
      <c r="K17547" s="46" t="s">
        <v>63</v>
      </c>
      <c r="L17547" s="45">
        <v>46014.541666666664</v>
      </c>
      <c r="M17547" s="46" t="s">
        <v>123</v>
      </c>
      <c r="N17547" s="45">
        <v>46014.916666666664</v>
      </c>
      <c r="O17547" s="46" t="s">
        <v>123</v>
      </c>
      <c r="P17547" s="46">
        <v>32400.0</v>
      </c>
    </row>
    <row r="17548">
      <c r="A17548" s="40">
        <f t="shared" si="1"/>
        <v>46013</v>
      </c>
      <c r="B17548" s="37" t="str">
        <f t="array" ref="B17548">iferror(xlookup($I17548, 'IMPORT VHC Report'!$E:$E, 'IMPORT VHC Report'!$A:$C), )</f>
        <v/>
      </c>
      <c r="C17548" s="44"/>
      <c r="D17548" s="44"/>
      <c r="E17548" s="46" t="s">
        <v>13783</v>
      </c>
      <c r="F17548" s="46" t="s">
        <v>4147</v>
      </c>
      <c r="G17548" s="46">
        <v>3.61750008275E11</v>
      </c>
      <c r="H17548" s="46" t="s">
        <v>4148</v>
      </c>
      <c r="I17548" s="46" t="s">
        <v>4149</v>
      </c>
      <c r="J17548" s="46" t="s">
        <v>132</v>
      </c>
      <c r="K17548" s="46" t="s">
        <v>126</v>
      </c>
      <c r="L17548" s="45">
        <v>46014.635416666664</v>
      </c>
      <c r="M17548" s="46" t="s">
        <v>123</v>
      </c>
      <c r="N17548" s="45">
        <v>46014.677083333336</v>
      </c>
      <c r="O17548" s="46" t="s">
        <v>123</v>
      </c>
      <c r="P17548" s="46">
        <v>3600.0</v>
      </c>
    </row>
    <row r="17549">
      <c r="A17549" s="40">
        <f t="shared" si="1"/>
        <v>46013</v>
      </c>
      <c r="B17549" s="37" t="str">
        <f t="array" ref="B17549">iferror(xlookup($I17549, 'IMPORT VHC Report'!$E:$E, 'IMPORT VHC Report'!$A:$C), )</f>
        <v/>
      </c>
      <c r="C17549" s="44"/>
      <c r="D17549" s="44"/>
      <c r="E17549" s="46" t="s">
        <v>13784</v>
      </c>
      <c r="F17549" s="46" t="s">
        <v>4147</v>
      </c>
      <c r="G17549" s="46">
        <v>3.61750008275E11</v>
      </c>
      <c r="H17549" s="46" t="s">
        <v>4148</v>
      </c>
      <c r="I17549" s="46" t="s">
        <v>4149</v>
      </c>
      <c r="J17549" s="46" t="s">
        <v>134</v>
      </c>
      <c r="K17549" s="46" t="s">
        <v>126</v>
      </c>
      <c r="L17549" s="45">
        <v>46014.770833333336</v>
      </c>
      <c r="M17549" s="46" t="s">
        <v>123</v>
      </c>
      <c r="N17549" s="45">
        <v>46014.791666666664</v>
      </c>
      <c r="O17549" s="46" t="s">
        <v>123</v>
      </c>
      <c r="P17549" s="46">
        <v>1800.0</v>
      </c>
    </row>
    <row r="17550">
      <c r="A17550" s="40">
        <f t="shared" si="1"/>
        <v>46013</v>
      </c>
      <c r="B17550" s="37" t="str">
        <f t="array" ref="B17550">iferror(xlookup($I17550, 'IMPORT VHC Report'!$E:$E, 'IMPORT VHC Report'!$A:$C), )</f>
        <v/>
      </c>
      <c r="C17550" s="44"/>
      <c r="D17550" s="44"/>
      <c r="E17550" s="46" t="s">
        <v>13785</v>
      </c>
      <c r="F17550" s="46" t="s">
        <v>4147</v>
      </c>
      <c r="G17550" s="46">
        <v>3.61750008275E11</v>
      </c>
      <c r="H17550" s="46" t="s">
        <v>4148</v>
      </c>
      <c r="I17550" s="46" t="s">
        <v>4149</v>
      </c>
      <c r="J17550" s="46" t="s">
        <v>4</v>
      </c>
      <c r="K17550" s="46" t="s">
        <v>126</v>
      </c>
      <c r="L17550" s="45">
        <v>46015.541666666664</v>
      </c>
      <c r="M17550" s="46" t="s">
        <v>123</v>
      </c>
      <c r="N17550" s="45">
        <v>46015.5625</v>
      </c>
      <c r="O17550" s="46" t="s">
        <v>123</v>
      </c>
      <c r="P17550" s="46">
        <v>1800.0</v>
      </c>
    </row>
    <row r="17551">
      <c r="A17551" s="40">
        <f t="shared" si="1"/>
        <v>46013</v>
      </c>
      <c r="B17551" s="37" t="str">
        <f t="array" ref="B17551">iferror(xlookup($I17551, 'IMPORT VHC Report'!$E:$E, 'IMPORT VHC Report'!$A:$C), )</f>
        <v/>
      </c>
      <c r="C17551" s="44"/>
      <c r="D17551" s="44"/>
      <c r="E17551" s="46" t="s">
        <v>13786</v>
      </c>
      <c r="F17551" s="46" t="s">
        <v>4147</v>
      </c>
      <c r="G17551" s="46">
        <v>3.61750008275E11</v>
      </c>
      <c r="H17551" s="46" t="s">
        <v>4148</v>
      </c>
      <c r="I17551" s="46" t="s">
        <v>4149</v>
      </c>
      <c r="J17551" s="46" t="s">
        <v>530</v>
      </c>
      <c r="K17551" s="46" t="s">
        <v>63</v>
      </c>
      <c r="L17551" s="45">
        <v>46015.541666666664</v>
      </c>
      <c r="M17551" s="46" t="s">
        <v>123</v>
      </c>
      <c r="N17551" s="45">
        <v>46015.916666666664</v>
      </c>
      <c r="O17551" s="46" t="s">
        <v>123</v>
      </c>
      <c r="P17551" s="46">
        <v>32400.0</v>
      </c>
    </row>
    <row r="17552">
      <c r="A17552" s="40">
        <f t="shared" si="1"/>
        <v>46013</v>
      </c>
      <c r="B17552" s="37" t="str">
        <f t="array" ref="B17552">iferror(xlookup($I17552, 'IMPORT VHC Report'!$E:$E, 'IMPORT VHC Report'!$A:$C), )</f>
        <v/>
      </c>
      <c r="C17552" s="44"/>
      <c r="D17552" s="44"/>
      <c r="E17552" s="46" t="s">
        <v>13787</v>
      </c>
      <c r="F17552" s="46" t="s">
        <v>4147</v>
      </c>
      <c r="G17552" s="46">
        <v>3.61750008275E11</v>
      </c>
      <c r="H17552" s="46" t="s">
        <v>4148</v>
      </c>
      <c r="I17552" s="46" t="s">
        <v>4149</v>
      </c>
      <c r="J17552" s="46" t="s">
        <v>134</v>
      </c>
      <c r="K17552" s="46" t="s">
        <v>126</v>
      </c>
      <c r="L17552" s="45">
        <v>46015.729166666664</v>
      </c>
      <c r="M17552" s="46" t="s">
        <v>123</v>
      </c>
      <c r="N17552" s="45">
        <v>46015.75</v>
      </c>
      <c r="O17552" s="46" t="s">
        <v>123</v>
      </c>
      <c r="P17552" s="46">
        <v>1800.0</v>
      </c>
    </row>
    <row r="17553">
      <c r="A17553" s="40">
        <f t="shared" si="1"/>
        <v>46013</v>
      </c>
      <c r="B17553" s="37" t="str">
        <f t="array" ref="B17553">iferror(xlookup($I17553, 'IMPORT VHC Report'!$E:$E, 'IMPORT VHC Report'!$A:$C), )</f>
        <v/>
      </c>
      <c r="C17553" s="44"/>
      <c r="D17553" s="44"/>
      <c r="E17553" s="46" t="s">
        <v>13788</v>
      </c>
      <c r="F17553" s="46" t="s">
        <v>4147</v>
      </c>
      <c r="G17553" s="46">
        <v>3.61750008275E11</v>
      </c>
      <c r="H17553" s="46" t="s">
        <v>4148</v>
      </c>
      <c r="I17553" s="46" t="s">
        <v>4149</v>
      </c>
      <c r="J17553" s="46" t="s">
        <v>132</v>
      </c>
      <c r="K17553" s="46" t="s">
        <v>126</v>
      </c>
      <c r="L17553" s="45">
        <v>46015.791666666664</v>
      </c>
      <c r="M17553" s="46" t="s">
        <v>123</v>
      </c>
      <c r="N17553" s="45">
        <v>46015.833333333336</v>
      </c>
      <c r="O17553" s="46" t="s">
        <v>123</v>
      </c>
      <c r="P17553" s="46">
        <v>3600.0</v>
      </c>
      <c r="S17553" s="46" t="s">
        <v>13789</v>
      </c>
    </row>
    <row r="17554">
      <c r="A17554" s="40">
        <f t="shared" si="1"/>
        <v>46013</v>
      </c>
      <c r="B17554" s="37" t="str">
        <f t="array" ref="B17554">iferror(xlookup($I17554, 'IMPORT VHC Report'!$E:$E, 'IMPORT VHC Report'!$A:$C), )</f>
        <v/>
      </c>
      <c r="C17554" s="44"/>
      <c r="D17554" s="44"/>
      <c r="E17554" s="46" t="s">
        <v>13790</v>
      </c>
      <c r="F17554" s="46" t="s">
        <v>4147</v>
      </c>
      <c r="G17554" s="46">
        <v>3.61750008275E11</v>
      </c>
      <c r="H17554" s="46" t="s">
        <v>4148</v>
      </c>
      <c r="I17554" s="46" t="s">
        <v>4149</v>
      </c>
      <c r="J17554" s="46" t="s">
        <v>4</v>
      </c>
      <c r="K17554" s="46" t="s">
        <v>126</v>
      </c>
      <c r="L17554" s="45">
        <v>46015.833333333336</v>
      </c>
      <c r="M17554" s="46" t="s">
        <v>123</v>
      </c>
      <c r="N17554" s="45">
        <v>46015.875</v>
      </c>
      <c r="O17554" s="46" t="s">
        <v>123</v>
      </c>
      <c r="P17554" s="46">
        <v>3600.0</v>
      </c>
      <c r="S17554" s="46" t="s">
        <v>330</v>
      </c>
    </row>
    <row r="17555">
      <c r="A17555" s="40">
        <f t="shared" si="1"/>
        <v>46013</v>
      </c>
      <c r="B17555" s="37" t="str">
        <f t="array" ref="B17555">iferror(xlookup($I17555, 'IMPORT VHC Report'!$E:$E, 'IMPORT VHC Report'!$A:$C), )</f>
        <v/>
      </c>
      <c r="C17555" s="44"/>
      <c r="D17555" s="44"/>
      <c r="E17555" s="46" t="s">
        <v>13791</v>
      </c>
      <c r="F17555" s="46" t="s">
        <v>4147</v>
      </c>
      <c r="G17555" s="46">
        <v>3.61750008275E11</v>
      </c>
      <c r="H17555" s="46" t="s">
        <v>4148</v>
      </c>
      <c r="I17555" s="46" t="s">
        <v>4149</v>
      </c>
      <c r="J17555" s="46" t="s">
        <v>136</v>
      </c>
      <c r="K17555" s="46" t="s">
        <v>126</v>
      </c>
      <c r="L17555" s="45">
        <v>46015.875</v>
      </c>
      <c r="M17555" s="46" t="s">
        <v>123</v>
      </c>
      <c r="N17555" s="45">
        <v>46015.916666666664</v>
      </c>
      <c r="O17555" s="46" t="s">
        <v>123</v>
      </c>
      <c r="P17555" s="46">
        <v>3600.0</v>
      </c>
      <c r="S17555" s="46" t="s">
        <v>4171</v>
      </c>
    </row>
    <row r="17556">
      <c r="A17556" s="40">
        <f t="shared" si="1"/>
        <v>46013</v>
      </c>
      <c r="B17556" s="37" t="str">
        <f t="array" ref="B17556">iferror(xlookup($I17556, 'IMPORT VHC Report'!$E:$E, 'IMPORT VHC Report'!$A:$C), )</f>
        <v/>
      </c>
      <c r="C17556" s="44"/>
      <c r="D17556" s="44"/>
      <c r="E17556" s="46" t="s">
        <v>13792</v>
      </c>
      <c r="F17556" s="46" t="s">
        <v>4147</v>
      </c>
      <c r="G17556" s="46">
        <v>3.61750008275E11</v>
      </c>
      <c r="H17556" s="46" t="s">
        <v>4148</v>
      </c>
      <c r="I17556" s="46" t="s">
        <v>4149</v>
      </c>
      <c r="J17556" s="46" t="s">
        <v>530</v>
      </c>
      <c r="K17556" s="46" t="s">
        <v>63</v>
      </c>
      <c r="L17556" s="45">
        <v>46016.541666666664</v>
      </c>
      <c r="M17556" s="46" t="s">
        <v>123</v>
      </c>
      <c r="N17556" s="45">
        <v>46016.5625</v>
      </c>
      <c r="O17556" s="46" t="s">
        <v>123</v>
      </c>
      <c r="P17556" s="46">
        <v>1800.0</v>
      </c>
    </row>
    <row r="17557">
      <c r="A17557" s="40">
        <f t="shared" si="1"/>
        <v>46013</v>
      </c>
      <c r="B17557" s="37" t="str">
        <f t="array" ref="B17557">iferror(xlookup($I17557, 'IMPORT VHC Report'!$E:$E, 'IMPORT VHC Report'!$A:$C), )</f>
        <v/>
      </c>
      <c r="C17557" s="44"/>
      <c r="D17557" s="44"/>
      <c r="E17557" s="46" t="s">
        <v>13793</v>
      </c>
      <c r="F17557" s="46" t="s">
        <v>4147</v>
      </c>
      <c r="G17557" s="46">
        <v>3.61750008275E11</v>
      </c>
      <c r="H17557" s="46" t="s">
        <v>4148</v>
      </c>
      <c r="I17557" s="46" t="s">
        <v>4149</v>
      </c>
      <c r="J17557" s="46" t="s">
        <v>4</v>
      </c>
      <c r="K17557" s="46" t="s">
        <v>126</v>
      </c>
      <c r="L17557" s="45">
        <v>46016.541666666664</v>
      </c>
      <c r="M17557" s="46" t="s">
        <v>123</v>
      </c>
      <c r="N17557" s="45">
        <v>46016.5625</v>
      </c>
      <c r="O17557" s="46" t="s">
        <v>123</v>
      </c>
      <c r="P17557" s="46">
        <v>1800.0</v>
      </c>
    </row>
    <row r="17558">
      <c r="A17558" s="40">
        <f t="shared" si="1"/>
        <v>46013</v>
      </c>
      <c r="B17558" s="37" t="str">
        <f t="array" ref="B17558">iferror(xlookup($I17558, 'IMPORT VHC Report'!$E:$E, 'IMPORT VHC Report'!$A:$C), )</f>
        <v/>
      </c>
      <c r="C17558" s="44"/>
      <c r="D17558" s="44"/>
      <c r="E17558" s="46" t="s">
        <v>13794</v>
      </c>
      <c r="F17558" s="46" t="s">
        <v>4147</v>
      </c>
      <c r="G17558" s="46">
        <v>3.61750008275E11</v>
      </c>
      <c r="H17558" s="46" t="s">
        <v>4148</v>
      </c>
      <c r="I17558" s="46" t="s">
        <v>4149</v>
      </c>
      <c r="J17558" s="46" t="s">
        <v>178</v>
      </c>
      <c r="K17558" s="46" t="s">
        <v>153</v>
      </c>
      <c r="L17558" s="45">
        <v>46016.541666666664</v>
      </c>
      <c r="M17558" s="46" t="s">
        <v>123</v>
      </c>
      <c r="N17558" s="45">
        <v>46016.916666666664</v>
      </c>
      <c r="O17558" s="46" t="s">
        <v>123</v>
      </c>
      <c r="P17558" s="46">
        <v>32400.0</v>
      </c>
      <c r="Q17558" s="46">
        <v>32400.0</v>
      </c>
      <c r="R17558" s="46" t="s">
        <v>13530</v>
      </c>
      <c r="S17558" s="46" t="s">
        <v>13530</v>
      </c>
    </row>
    <row r="17559">
      <c r="A17559" s="40">
        <f t="shared" si="1"/>
        <v>46013</v>
      </c>
      <c r="B17559" s="37" t="str">
        <f t="array" ref="B17559">iferror(xlookup($I17559, 'IMPORT VHC Report'!$E:$E, 'IMPORT VHC Report'!$A:$C), )</f>
        <v/>
      </c>
      <c r="C17559" s="44"/>
      <c r="D17559" s="44"/>
      <c r="E17559" s="46" t="s">
        <v>13795</v>
      </c>
      <c r="F17559" s="46" t="s">
        <v>4147</v>
      </c>
      <c r="G17559" s="46">
        <v>3.61750008275E11</v>
      </c>
      <c r="H17559" s="46" t="s">
        <v>4148</v>
      </c>
      <c r="I17559" s="46" t="s">
        <v>4149</v>
      </c>
      <c r="J17559" s="46" t="s">
        <v>62</v>
      </c>
      <c r="K17559" s="46" t="s">
        <v>63</v>
      </c>
      <c r="L17559" s="45">
        <v>46016.5625</v>
      </c>
      <c r="M17559" s="46" t="s">
        <v>123</v>
      </c>
      <c r="N17559" s="45">
        <v>46016.583333333336</v>
      </c>
      <c r="O17559" s="46" t="s">
        <v>123</v>
      </c>
      <c r="P17559" s="46">
        <v>1800.0</v>
      </c>
    </row>
    <row r="17560">
      <c r="A17560" s="40">
        <f t="shared" si="1"/>
        <v>46013</v>
      </c>
      <c r="B17560" s="37" t="str">
        <f t="array" ref="B17560">iferror(xlookup($I17560, 'IMPORT VHC Report'!$E:$E, 'IMPORT VHC Report'!$A:$C), )</f>
        <v/>
      </c>
      <c r="C17560" s="44"/>
      <c r="D17560" s="44"/>
      <c r="E17560" s="46" t="s">
        <v>13796</v>
      </c>
      <c r="F17560" s="46" t="s">
        <v>4147</v>
      </c>
      <c r="G17560" s="46">
        <v>3.61750008275E11</v>
      </c>
      <c r="H17560" s="46" t="s">
        <v>4148</v>
      </c>
      <c r="I17560" s="46" t="s">
        <v>4149</v>
      </c>
      <c r="J17560" s="46" t="s">
        <v>530</v>
      </c>
      <c r="K17560" s="46" t="s">
        <v>63</v>
      </c>
      <c r="L17560" s="45">
        <v>46016.583333333336</v>
      </c>
      <c r="M17560" s="46" t="s">
        <v>123</v>
      </c>
      <c r="N17560" s="45">
        <v>46016.916666666664</v>
      </c>
      <c r="O17560" s="46" t="s">
        <v>123</v>
      </c>
      <c r="P17560" s="46">
        <v>28800.0</v>
      </c>
    </row>
    <row r="17561">
      <c r="A17561" s="40">
        <f t="shared" si="1"/>
        <v>46013</v>
      </c>
      <c r="B17561" s="37" t="str">
        <f t="array" ref="B17561">iferror(xlookup($I17561, 'IMPORT VHC Report'!$E:$E, 'IMPORT VHC Report'!$A:$C), )</f>
        <v/>
      </c>
      <c r="C17561" s="44"/>
      <c r="D17561" s="44"/>
      <c r="E17561" s="46" t="s">
        <v>13797</v>
      </c>
      <c r="F17561" s="46" t="s">
        <v>4147</v>
      </c>
      <c r="G17561" s="46">
        <v>3.61750008275E11</v>
      </c>
      <c r="H17561" s="46" t="s">
        <v>4148</v>
      </c>
      <c r="I17561" s="46" t="s">
        <v>4149</v>
      </c>
      <c r="J17561" s="46" t="s">
        <v>132</v>
      </c>
      <c r="K17561" s="46" t="s">
        <v>126</v>
      </c>
      <c r="L17561" s="45">
        <v>46016.625</v>
      </c>
      <c r="M17561" s="46" t="s">
        <v>123</v>
      </c>
      <c r="N17561" s="45">
        <v>46016.666666666664</v>
      </c>
      <c r="O17561" s="46" t="s">
        <v>123</v>
      </c>
      <c r="P17561" s="46">
        <v>3600.0</v>
      </c>
    </row>
    <row r="17562">
      <c r="A17562" s="40">
        <f t="shared" si="1"/>
        <v>46013</v>
      </c>
      <c r="B17562" s="37" t="str">
        <f t="array" ref="B17562">iferror(xlookup($I17562, 'IMPORT VHC Report'!$E:$E, 'IMPORT VHC Report'!$A:$C), )</f>
        <v/>
      </c>
      <c r="C17562" s="44"/>
      <c r="D17562" s="44"/>
      <c r="E17562" s="46" t="s">
        <v>13798</v>
      </c>
      <c r="F17562" s="46" t="s">
        <v>4147</v>
      </c>
      <c r="G17562" s="46">
        <v>3.61750008275E11</v>
      </c>
      <c r="H17562" s="46" t="s">
        <v>4148</v>
      </c>
      <c r="I17562" s="46" t="s">
        <v>4149</v>
      </c>
      <c r="J17562" s="46" t="s">
        <v>134</v>
      </c>
      <c r="K17562" s="46" t="s">
        <v>126</v>
      </c>
      <c r="L17562" s="45">
        <v>46016.770833333336</v>
      </c>
      <c r="M17562" s="46" t="s">
        <v>123</v>
      </c>
      <c r="N17562" s="45">
        <v>46016.791666666664</v>
      </c>
      <c r="O17562" s="46" t="s">
        <v>123</v>
      </c>
      <c r="P17562" s="46">
        <v>1800.0</v>
      </c>
    </row>
    <row r="17563">
      <c r="A17563" s="40">
        <f t="shared" si="1"/>
        <v>46013</v>
      </c>
      <c r="B17563" s="37" t="str">
        <f t="array" ref="B17563">iferror(xlookup($I17563, 'IMPORT VHC Report'!$E:$E, 'IMPORT VHC Report'!$A:$C), )</f>
        <v/>
      </c>
      <c r="C17563" s="44"/>
      <c r="D17563" s="44"/>
      <c r="E17563" s="46" t="s">
        <v>13799</v>
      </c>
      <c r="F17563" s="46" t="s">
        <v>4147</v>
      </c>
      <c r="G17563" s="46">
        <v>3.61750008275E11</v>
      </c>
      <c r="H17563" s="46" t="s">
        <v>4148</v>
      </c>
      <c r="I17563" s="46" t="s">
        <v>4149</v>
      </c>
      <c r="J17563" s="46" t="s">
        <v>132</v>
      </c>
      <c r="K17563" s="46" t="s">
        <v>126</v>
      </c>
      <c r="L17563" s="45">
        <v>46019.541666666664</v>
      </c>
      <c r="M17563" s="46" t="s">
        <v>123</v>
      </c>
      <c r="N17563" s="45">
        <v>46019.583333333336</v>
      </c>
      <c r="O17563" s="46" t="s">
        <v>123</v>
      </c>
      <c r="P17563" s="46">
        <v>3600.0</v>
      </c>
      <c r="S17563" s="46" t="s">
        <v>13800</v>
      </c>
    </row>
    <row r="17564">
      <c r="A17564" s="40">
        <f t="shared" si="1"/>
        <v>46013</v>
      </c>
      <c r="B17564" s="37" t="str">
        <f t="array" ref="B17564">iferror(xlookup($I17564, 'IMPORT VHC Report'!$E:$E, 'IMPORT VHC Report'!$A:$C), )</f>
        <v/>
      </c>
      <c r="C17564" s="44"/>
      <c r="D17564" s="44"/>
      <c r="E17564" s="46" t="s">
        <v>13801</v>
      </c>
      <c r="F17564" s="46" t="s">
        <v>4147</v>
      </c>
      <c r="G17564" s="46">
        <v>3.61750008275E11</v>
      </c>
      <c r="H17564" s="46" t="s">
        <v>4148</v>
      </c>
      <c r="I17564" s="46" t="s">
        <v>4149</v>
      </c>
      <c r="J17564" s="46" t="s">
        <v>530</v>
      </c>
      <c r="K17564" s="46" t="s">
        <v>63</v>
      </c>
      <c r="L17564" s="45">
        <v>46019.541666666664</v>
      </c>
      <c r="M17564" s="46" t="s">
        <v>123</v>
      </c>
      <c r="N17564" s="45">
        <v>46019.916666666664</v>
      </c>
      <c r="O17564" s="46" t="s">
        <v>123</v>
      </c>
      <c r="P17564" s="46">
        <v>32400.0</v>
      </c>
    </row>
    <row r="17565">
      <c r="A17565" s="40">
        <f t="shared" si="1"/>
        <v>46013</v>
      </c>
      <c r="B17565" s="37" t="str">
        <f t="array" ref="B17565">iferror(xlookup($I17565, 'IMPORT VHC Report'!$E:$E, 'IMPORT VHC Report'!$A:$C), )</f>
        <v/>
      </c>
      <c r="C17565" s="44"/>
      <c r="D17565" s="44"/>
      <c r="E17565" s="46" t="s">
        <v>13802</v>
      </c>
      <c r="F17565" s="46" t="s">
        <v>4147</v>
      </c>
      <c r="G17565" s="46">
        <v>3.61750008275E11</v>
      </c>
      <c r="H17565" s="46" t="s">
        <v>4148</v>
      </c>
      <c r="I17565" s="46" t="s">
        <v>4149</v>
      </c>
      <c r="J17565" s="46" t="s">
        <v>134</v>
      </c>
      <c r="K17565" s="46" t="s">
        <v>126</v>
      </c>
      <c r="L17565" s="45">
        <v>46019.583333333336</v>
      </c>
      <c r="M17565" s="46" t="s">
        <v>123</v>
      </c>
      <c r="N17565" s="45">
        <v>46019.604166666664</v>
      </c>
      <c r="O17565" s="46" t="s">
        <v>123</v>
      </c>
      <c r="P17565" s="46">
        <v>1800.0</v>
      </c>
      <c r="S17565" s="46" t="s">
        <v>13803</v>
      </c>
    </row>
    <row r="17566">
      <c r="A17566" s="40">
        <f t="shared" si="1"/>
        <v>46013</v>
      </c>
      <c r="B17566" s="37" t="str">
        <f t="array" ref="B17566">iferror(xlookup($I17566, 'IMPORT VHC Report'!$E:$E, 'IMPORT VHC Report'!$A:$C), )</f>
        <v/>
      </c>
      <c r="C17566" s="44"/>
      <c r="D17566" s="44"/>
      <c r="E17566" s="46" t="s">
        <v>13804</v>
      </c>
      <c r="F17566" s="46" t="s">
        <v>4147</v>
      </c>
      <c r="G17566" s="46">
        <v>3.61750008275E11</v>
      </c>
      <c r="H17566" s="46" t="s">
        <v>4148</v>
      </c>
      <c r="I17566" s="46" t="s">
        <v>4149</v>
      </c>
      <c r="J17566" s="46" t="s">
        <v>4</v>
      </c>
      <c r="K17566" s="46" t="s">
        <v>126</v>
      </c>
      <c r="L17566" s="45">
        <v>46019.604166666664</v>
      </c>
      <c r="M17566" s="46" t="s">
        <v>123</v>
      </c>
      <c r="N17566" s="45">
        <v>46019.625</v>
      </c>
      <c r="O17566" s="46" t="s">
        <v>123</v>
      </c>
      <c r="P17566" s="46">
        <v>1800.0</v>
      </c>
      <c r="S17566" s="46" t="s">
        <v>4169</v>
      </c>
    </row>
    <row r="17567">
      <c r="A17567" s="40">
        <f t="shared" si="1"/>
        <v>46013</v>
      </c>
      <c r="B17567" s="37" t="str">
        <f t="array" ref="B17567">iferror(xlookup($I17567, 'IMPORT VHC Report'!$E:$E, 'IMPORT VHC Report'!$A:$C), )</f>
        <v/>
      </c>
      <c r="C17567" s="44"/>
      <c r="D17567" s="44"/>
      <c r="E17567" s="46" t="s">
        <v>13805</v>
      </c>
      <c r="F17567" s="46" t="s">
        <v>4147</v>
      </c>
      <c r="G17567" s="46">
        <v>3.61750008275E11</v>
      </c>
      <c r="H17567" s="46" t="s">
        <v>4148</v>
      </c>
      <c r="I17567" s="46" t="s">
        <v>4149</v>
      </c>
      <c r="J17567" s="46" t="s">
        <v>132</v>
      </c>
      <c r="K17567" s="46" t="s">
        <v>126</v>
      </c>
      <c r="L17567" s="45">
        <v>46019.645833333336</v>
      </c>
      <c r="M17567" s="46" t="s">
        <v>123</v>
      </c>
      <c r="N17567" s="45">
        <v>46019.6875</v>
      </c>
      <c r="O17567" s="46" t="s">
        <v>123</v>
      </c>
      <c r="P17567" s="46">
        <v>3600.0</v>
      </c>
    </row>
    <row r="17568">
      <c r="A17568" s="40">
        <f t="shared" si="1"/>
        <v>46013</v>
      </c>
      <c r="B17568" s="37" t="str">
        <f t="array" ref="B17568">iferror(xlookup($I17568, 'IMPORT VHC Report'!$E:$E, 'IMPORT VHC Report'!$A:$C), )</f>
        <v/>
      </c>
      <c r="C17568" s="44"/>
      <c r="D17568" s="44"/>
      <c r="E17568" s="46" t="s">
        <v>13806</v>
      </c>
      <c r="F17568" s="46" t="s">
        <v>4147</v>
      </c>
      <c r="G17568" s="46">
        <v>3.61750008275E11</v>
      </c>
      <c r="H17568" s="46" t="s">
        <v>4148</v>
      </c>
      <c r="I17568" s="46" t="s">
        <v>4149</v>
      </c>
      <c r="J17568" s="46" t="s">
        <v>134</v>
      </c>
      <c r="K17568" s="46" t="s">
        <v>126</v>
      </c>
      <c r="L17568" s="45">
        <v>46019.791666666664</v>
      </c>
      <c r="M17568" s="46" t="s">
        <v>123</v>
      </c>
      <c r="N17568" s="45">
        <v>46019.8125</v>
      </c>
      <c r="O17568" s="46" t="s">
        <v>123</v>
      </c>
      <c r="P17568" s="46">
        <v>1800.0</v>
      </c>
    </row>
    <row r="17569">
      <c r="A17569" s="40">
        <f t="shared" si="1"/>
        <v>46013</v>
      </c>
      <c r="B17569" s="37" t="str">
        <f t="array" ref="B17569">iferror(xlookup($I17569, 'IMPORT VHC Report'!$E:$E, 'IMPORT VHC Report'!$A:$C), )</f>
        <v/>
      </c>
      <c r="C17569" s="44"/>
      <c r="D17569" s="44"/>
      <c r="E17569" s="46" t="s">
        <v>13807</v>
      </c>
      <c r="F17569" s="46" t="s">
        <v>4181</v>
      </c>
      <c r="G17569" s="46">
        <v>3.61731943295E11</v>
      </c>
      <c r="H17569" s="46" t="s">
        <v>4182</v>
      </c>
      <c r="I17569" s="46" t="s">
        <v>4183</v>
      </c>
      <c r="J17569" s="46" t="s">
        <v>4</v>
      </c>
      <c r="K17569" s="46" t="s">
        <v>126</v>
      </c>
      <c r="L17569" s="45">
        <v>46013.541666666664</v>
      </c>
      <c r="M17569" s="46" t="s">
        <v>123</v>
      </c>
      <c r="N17569" s="45">
        <v>46013.5625</v>
      </c>
      <c r="O17569" s="46" t="s">
        <v>123</v>
      </c>
      <c r="P17569" s="46">
        <v>1800.0</v>
      </c>
    </row>
    <row r="17570">
      <c r="A17570" s="40">
        <f t="shared" si="1"/>
        <v>46013</v>
      </c>
      <c r="B17570" s="37" t="str">
        <f t="array" ref="B17570">iferror(xlookup($I17570, 'IMPORT VHC Report'!$E:$E, 'IMPORT VHC Report'!$A:$C), )</f>
        <v/>
      </c>
      <c r="C17570" s="44"/>
      <c r="D17570" s="44"/>
      <c r="E17570" s="46" t="s">
        <v>13808</v>
      </c>
      <c r="F17570" s="46" t="s">
        <v>4181</v>
      </c>
      <c r="G17570" s="46">
        <v>3.61731943295E11</v>
      </c>
      <c r="H17570" s="46" t="s">
        <v>4182</v>
      </c>
      <c r="I17570" s="46" t="s">
        <v>4183</v>
      </c>
      <c r="J17570" s="46" t="s">
        <v>178</v>
      </c>
      <c r="K17570" s="46" t="s">
        <v>153</v>
      </c>
      <c r="L17570" s="45">
        <v>46013.541666666664</v>
      </c>
      <c r="M17570" s="46" t="s">
        <v>123</v>
      </c>
      <c r="N17570" s="45">
        <v>46013.916666666664</v>
      </c>
      <c r="O17570" s="46" t="s">
        <v>123</v>
      </c>
      <c r="P17570" s="46">
        <v>32400.0</v>
      </c>
      <c r="Q17570" s="46">
        <v>28800.0</v>
      </c>
    </row>
    <row r="17571">
      <c r="A17571" s="40">
        <f t="shared" si="1"/>
        <v>46013</v>
      </c>
      <c r="B17571" s="37" t="str">
        <f t="array" ref="B17571">iferror(xlookup($I17571, 'IMPORT VHC Report'!$E:$E, 'IMPORT VHC Report'!$A:$C), )</f>
        <v/>
      </c>
      <c r="C17571" s="44"/>
      <c r="D17571" s="44"/>
      <c r="E17571" s="46" t="s">
        <v>13809</v>
      </c>
      <c r="F17571" s="46" t="s">
        <v>4181</v>
      </c>
      <c r="G17571" s="46">
        <v>3.61731943295E11</v>
      </c>
      <c r="H17571" s="46" t="s">
        <v>4182</v>
      </c>
      <c r="I17571" s="46" t="s">
        <v>4183</v>
      </c>
      <c r="J17571" s="46" t="s">
        <v>530</v>
      </c>
      <c r="K17571" s="46" t="s">
        <v>63</v>
      </c>
      <c r="L17571" s="45">
        <v>46013.541666666664</v>
      </c>
      <c r="M17571" s="46" t="s">
        <v>123</v>
      </c>
      <c r="N17571" s="45">
        <v>46013.916666666664</v>
      </c>
      <c r="O17571" s="46" t="s">
        <v>123</v>
      </c>
      <c r="P17571" s="46">
        <v>32400.0</v>
      </c>
    </row>
    <row r="17572">
      <c r="A17572" s="40">
        <f t="shared" si="1"/>
        <v>46013</v>
      </c>
      <c r="B17572" s="37" t="str">
        <f t="array" ref="B17572">iferror(xlookup($I17572, 'IMPORT VHC Report'!$E:$E, 'IMPORT VHC Report'!$A:$C), )</f>
        <v/>
      </c>
      <c r="C17572" s="44"/>
      <c r="D17572" s="44"/>
      <c r="E17572" s="46" t="s">
        <v>13810</v>
      </c>
      <c r="F17572" s="46" t="s">
        <v>4181</v>
      </c>
      <c r="G17572" s="46">
        <v>3.61731943295E11</v>
      </c>
      <c r="H17572" s="46" t="s">
        <v>4182</v>
      </c>
      <c r="I17572" s="46" t="s">
        <v>4183</v>
      </c>
      <c r="J17572" s="46" t="s">
        <v>132</v>
      </c>
      <c r="K17572" s="46" t="s">
        <v>126</v>
      </c>
      <c r="L17572" s="45">
        <v>46013.666666666664</v>
      </c>
      <c r="M17572" s="46" t="s">
        <v>123</v>
      </c>
      <c r="N17572" s="45">
        <v>46013.708333333336</v>
      </c>
      <c r="O17572" s="46" t="s">
        <v>123</v>
      </c>
      <c r="P17572" s="46">
        <v>3600.0</v>
      </c>
    </row>
    <row r="17573">
      <c r="A17573" s="40">
        <f t="shared" si="1"/>
        <v>46013</v>
      </c>
      <c r="B17573" s="37" t="str">
        <f t="array" ref="B17573">iferror(xlookup($I17573, 'IMPORT VHC Report'!$E:$E, 'IMPORT VHC Report'!$A:$C), )</f>
        <v/>
      </c>
      <c r="C17573" s="44"/>
      <c r="D17573" s="44"/>
      <c r="E17573" s="46" t="s">
        <v>13811</v>
      </c>
      <c r="F17573" s="46" t="s">
        <v>4181</v>
      </c>
      <c r="G17573" s="46">
        <v>3.61731943295E11</v>
      </c>
      <c r="H17573" s="46" t="s">
        <v>4182</v>
      </c>
      <c r="I17573" s="46" t="s">
        <v>4183</v>
      </c>
      <c r="J17573" s="46" t="s">
        <v>134</v>
      </c>
      <c r="K17573" s="46" t="s">
        <v>126</v>
      </c>
      <c r="L17573" s="45">
        <v>46013.8125</v>
      </c>
      <c r="M17573" s="46" t="s">
        <v>123</v>
      </c>
      <c r="N17573" s="45">
        <v>46013.833333333336</v>
      </c>
      <c r="O17573" s="46" t="s">
        <v>123</v>
      </c>
      <c r="P17573" s="46">
        <v>1800.0</v>
      </c>
    </row>
    <row r="17574">
      <c r="A17574" s="40">
        <f t="shared" si="1"/>
        <v>46013</v>
      </c>
      <c r="B17574" s="37" t="str">
        <f t="array" ref="B17574">iferror(xlookup($I17574, 'IMPORT VHC Report'!$E:$E, 'IMPORT VHC Report'!$A:$C), )</f>
        <v/>
      </c>
      <c r="C17574" s="44"/>
      <c r="D17574" s="44"/>
      <c r="E17574" s="46" t="s">
        <v>13812</v>
      </c>
      <c r="F17574" s="46" t="s">
        <v>4181</v>
      </c>
      <c r="G17574" s="46">
        <v>3.61731943295E11</v>
      </c>
      <c r="H17574" s="46" t="s">
        <v>4182</v>
      </c>
      <c r="I17574" s="46" t="s">
        <v>4183</v>
      </c>
      <c r="J17574" s="46" t="s">
        <v>4</v>
      </c>
      <c r="K17574" s="46" t="s">
        <v>126</v>
      </c>
      <c r="L17574" s="45">
        <v>46014.541666666664</v>
      </c>
      <c r="M17574" s="46" t="s">
        <v>123</v>
      </c>
      <c r="N17574" s="45">
        <v>46014.5625</v>
      </c>
      <c r="O17574" s="46" t="s">
        <v>123</v>
      </c>
      <c r="P17574" s="46">
        <v>1800.0</v>
      </c>
    </row>
    <row r="17575">
      <c r="A17575" s="40">
        <f t="shared" si="1"/>
        <v>46013</v>
      </c>
      <c r="B17575" s="37" t="str">
        <f t="array" ref="B17575">iferror(xlookup($I17575, 'IMPORT VHC Report'!$E:$E, 'IMPORT VHC Report'!$A:$C), )</f>
        <v/>
      </c>
      <c r="C17575" s="44"/>
      <c r="D17575" s="44"/>
      <c r="E17575" s="46" t="s">
        <v>13813</v>
      </c>
      <c r="F17575" s="46" t="s">
        <v>4181</v>
      </c>
      <c r="G17575" s="46">
        <v>3.61731943295E11</v>
      </c>
      <c r="H17575" s="46" t="s">
        <v>4182</v>
      </c>
      <c r="I17575" s="46" t="s">
        <v>4183</v>
      </c>
      <c r="J17575" s="46" t="s">
        <v>530</v>
      </c>
      <c r="K17575" s="46" t="s">
        <v>63</v>
      </c>
      <c r="L17575" s="45">
        <v>46014.541666666664</v>
      </c>
      <c r="M17575" s="46" t="s">
        <v>123</v>
      </c>
      <c r="N17575" s="45">
        <v>46014.916666666664</v>
      </c>
      <c r="O17575" s="46" t="s">
        <v>123</v>
      </c>
      <c r="P17575" s="46">
        <v>32400.0</v>
      </c>
    </row>
    <row r="17576">
      <c r="A17576" s="40">
        <f t="shared" si="1"/>
        <v>46013</v>
      </c>
      <c r="B17576" s="37" t="str">
        <f t="array" ref="B17576">iferror(xlookup($I17576, 'IMPORT VHC Report'!$E:$E, 'IMPORT VHC Report'!$A:$C), )</f>
        <v/>
      </c>
      <c r="C17576" s="44"/>
      <c r="D17576" s="44"/>
      <c r="E17576" s="46" t="s">
        <v>13814</v>
      </c>
      <c r="F17576" s="46" t="s">
        <v>4181</v>
      </c>
      <c r="G17576" s="46">
        <v>3.61731943295E11</v>
      </c>
      <c r="H17576" s="46" t="s">
        <v>4182</v>
      </c>
      <c r="I17576" s="46" t="s">
        <v>4183</v>
      </c>
      <c r="J17576" s="46" t="s">
        <v>178</v>
      </c>
      <c r="K17576" s="46" t="s">
        <v>153</v>
      </c>
      <c r="L17576" s="45">
        <v>46014.541666666664</v>
      </c>
      <c r="M17576" s="46" t="s">
        <v>123</v>
      </c>
      <c r="N17576" s="45">
        <v>46014.916666666664</v>
      </c>
      <c r="O17576" s="46" t="s">
        <v>123</v>
      </c>
      <c r="P17576" s="46">
        <v>32400.0</v>
      </c>
      <c r="Q17576" s="46">
        <v>32400.0</v>
      </c>
    </row>
    <row r="17577">
      <c r="A17577" s="40">
        <f t="shared" si="1"/>
        <v>46013</v>
      </c>
      <c r="B17577" s="37" t="str">
        <f t="array" ref="B17577">iferror(xlookup($I17577, 'IMPORT VHC Report'!$E:$E, 'IMPORT VHC Report'!$A:$C), )</f>
        <v/>
      </c>
      <c r="C17577" s="44"/>
      <c r="D17577" s="44"/>
      <c r="E17577" s="46" t="s">
        <v>13815</v>
      </c>
      <c r="F17577" s="46" t="s">
        <v>4181</v>
      </c>
      <c r="G17577" s="46">
        <v>3.61731943295E11</v>
      </c>
      <c r="H17577" s="46" t="s">
        <v>4182</v>
      </c>
      <c r="I17577" s="46" t="s">
        <v>4183</v>
      </c>
      <c r="J17577" s="46" t="s">
        <v>132</v>
      </c>
      <c r="K17577" s="46" t="s">
        <v>126</v>
      </c>
      <c r="L17577" s="45">
        <v>46014.645833333336</v>
      </c>
      <c r="M17577" s="46" t="s">
        <v>123</v>
      </c>
      <c r="N17577" s="45">
        <v>46014.6875</v>
      </c>
      <c r="O17577" s="46" t="s">
        <v>123</v>
      </c>
      <c r="P17577" s="46">
        <v>3600.0</v>
      </c>
    </row>
    <row r="17578">
      <c r="A17578" s="40">
        <f t="shared" si="1"/>
        <v>46013</v>
      </c>
      <c r="B17578" s="37" t="str">
        <f t="array" ref="B17578">iferror(xlookup($I17578, 'IMPORT VHC Report'!$E:$E, 'IMPORT VHC Report'!$A:$C), )</f>
        <v/>
      </c>
      <c r="C17578" s="44"/>
      <c r="D17578" s="44"/>
      <c r="E17578" s="46" t="s">
        <v>13816</v>
      </c>
      <c r="F17578" s="46" t="s">
        <v>4181</v>
      </c>
      <c r="G17578" s="46">
        <v>3.61731943295E11</v>
      </c>
      <c r="H17578" s="46" t="s">
        <v>4182</v>
      </c>
      <c r="I17578" s="46" t="s">
        <v>4183</v>
      </c>
      <c r="J17578" s="46" t="s">
        <v>134</v>
      </c>
      <c r="K17578" s="46" t="s">
        <v>126</v>
      </c>
      <c r="L17578" s="45">
        <v>46014.791666666664</v>
      </c>
      <c r="M17578" s="46" t="s">
        <v>123</v>
      </c>
      <c r="N17578" s="45">
        <v>46014.8125</v>
      </c>
      <c r="O17578" s="46" t="s">
        <v>123</v>
      </c>
      <c r="P17578" s="46">
        <v>1800.0</v>
      </c>
    </row>
    <row r="17579">
      <c r="A17579" s="40">
        <f t="shared" si="1"/>
        <v>46013</v>
      </c>
      <c r="B17579" s="37" t="str">
        <f t="array" ref="B17579">iferror(xlookup($I17579, 'IMPORT VHC Report'!$E:$E, 'IMPORT VHC Report'!$A:$C), )</f>
        <v/>
      </c>
      <c r="C17579" s="44"/>
      <c r="D17579" s="44"/>
      <c r="E17579" s="46" t="s">
        <v>13817</v>
      </c>
      <c r="F17579" s="46" t="s">
        <v>4181</v>
      </c>
      <c r="G17579" s="46">
        <v>3.61731943295E11</v>
      </c>
      <c r="H17579" s="46" t="s">
        <v>4182</v>
      </c>
      <c r="I17579" s="46" t="s">
        <v>4183</v>
      </c>
      <c r="J17579" s="46" t="s">
        <v>4</v>
      </c>
      <c r="K17579" s="46" t="s">
        <v>126</v>
      </c>
      <c r="L17579" s="45">
        <v>46015.541666666664</v>
      </c>
      <c r="M17579" s="46" t="s">
        <v>123</v>
      </c>
      <c r="N17579" s="45">
        <v>46015.5625</v>
      </c>
      <c r="O17579" s="46" t="s">
        <v>123</v>
      </c>
      <c r="P17579" s="46">
        <v>1800.0</v>
      </c>
    </row>
    <row r="17580">
      <c r="A17580" s="40">
        <f t="shared" si="1"/>
        <v>46013</v>
      </c>
      <c r="B17580" s="37" t="str">
        <f t="array" ref="B17580">iferror(xlookup($I17580, 'IMPORT VHC Report'!$E:$E, 'IMPORT VHC Report'!$A:$C), )</f>
        <v/>
      </c>
      <c r="C17580" s="44"/>
      <c r="D17580" s="44"/>
      <c r="E17580" s="46" t="s">
        <v>13818</v>
      </c>
      <c r="F17580" s="46" t="s">
        <v>4181</v>
      </c>
      <c r="G17580" s="46">
        <v>3.61731943295E11</v>
      </c>
      <c r="H17580" s="46" t="s">
        <v>4182</v>
      </c>
      <c r="I17580" s="46" t="s">
        <v>4183</v>
      </c>
      <c r="J17580" s="46" t="s">
        <v>530</v>
      </c>
      <c r="K17580" s="46" t="s">
        <v>63</v>
      </c>
      <c r="L17580" s="45">
        <v>46015.541666666664</v>
      </c>
      <c r="M17580" s="46" t="s">
        <v>123</v>
      </c>
      <c r="N17580" s="45">
        <v>46015.5625</v>
      </c>
      <c r="O17580" s="46" t="s">
        <v>123</v>
      </c>
      <c r="P17580" s="46">
        <v>1800.0</v>
      </c>
    </row>
    <row r="17581">
      <c r="A17581" s="40">
        <f t="shared" si="1"/>
        <v>46013</v>
      </c>
      <c r="B17581" s="37" t="str">
        <f t="array" ref="B17581">iferror(xlookup($I17581, 'IMPORT VHC Report'!$E:$E, 'IMPORT VHC Report'!$A:$C), )</f>
        <v/>
      </c>
      <c r="C17581" s="44"/>
      <c r="D17581" s="44"/>
      <c r="E17581" s="46" t="s">
        <v>13819</v>
      </c>
      <c r="F17581" s="46" t="s">
        <v>4181</v>
      </c>
      <c r="G17581" s="46">
        <v>3.61731943295E11</v>
      </c>
      <c r="H17581" s="46" t="s">
        <v>4182</v>
      </c>
      <c r="I17581" s="46" t="s">
        <v>4183</v>
      </c>
      <c r="J17581" s="46" t="s">
        <v>62</v>
      </c>
      <c r="K17581" s="46" t="s">
        <v>63</v>
      </c>
      <c r="L17581" s="45">
        <v>46015.5625</v>
      </c>
      <c r="M17581" s="46" t="s">
        <v>123</v>
      </c>
      <c r="N17581" s="45">
        <v>46015.583333333336</v>
      </c>
      <c r="O17581" s="46" t="s">
        <v>123</v>
      </c>
      <c r="P17581" s="46">
        <v>1800.0</v>
      </c>
    </row>
    <row r="17582">
      <c r="A17582" s="40">
        <f t="shared" si="1"/>
        <v>46013</v>
      </c>
      <c r="B17582" s="37" t="str">
        <f t="array" ref="B17582">iferror(xlookup($I17582, 'IMPORT VHC Report'!$E:$E, 'IMPORT VHC Report'!$A:$C), )</f>
        <v/>
      </c>
      <c r="C17582" s="44"/>
      <c r="D17582" s="44"/>
      <c r="E17582" s="46" t="s">
        <v>13820</v>
      </c>
      <c r="F17582" s="46" t="s">
        <v>4181</v>
      </c>
      <c r="G17582" s="46">
        <v>3.61731943295E11</v>
      </c>
      <c r="H17582" s="46" t="s">
        <v>4182</v>
      </c>
      <c r="I17582" s="46" t="s">
        <v>4183</v>
      </c>
      <c r="J17582" s="46" t="s">
        <v>530</v>
      </c>
      <c r="K17582" s="46" t="s">
        <v>63</v>
      </c>
      <c r="L17582" s="45">
        <v>46015.583333333336</v>
      </c>
      <c r="M17582" s="46" t="s">
        <v>123</v>
      </c>
      <c r="N17582" s="45">
        <v>46015.916666666664</v>
      </c>
      <c r="O17582" s="46" t="s">
        <v>123</v>
      </c>
      <c r="P17582" s="46">
        <v>28800.0</v>
      </c>
    </row>
    <row r="17583">
      <c r="A17583" s="40">
        <f t="shared" si="1"/>
        <v>46013</v>
      </c>
      <c r="B17583" s="37" t="str">
        <f t="array" ref="B17583">iferror(xlookup($I17583, 'IMPORT VHC Report'!$E:$E, 'IMPORT VHC Report'!$A:$C), )</f>
        <v/>
      </c>
      <c r="C17583" s="44"/>
      <c r="D17583" s="44"/>
      <c r="E17583" s="46" t="s">
        <v>13821</v>
      </c>
      <c r="F17583" s="46" t="s">
        <v>4181</v>
      </c>
      <c r="G17583" s="46">
        <v>3.61731943295E11</v>
      </c>
      <c r="H17583" s="46" t="s">
        <v>4182</v>
      </c>
      <c r="I17583" s="46" t="s">
        <v>4183</v>
      </c>
      <c r="J17583" s="46" t="s">
        <v>132</v>
      </c>
      <c r="K17583" s="46" t="s">
        <v>126</v>
      </c>
      <c r="L17583" s="45">
        <v>46015.645833333336</v>
      </c>
      <c r="M17583" s="46" t="s">
        <v>123</v>
      </c>
      <c r="N17583" s="45">
        <v>46015.6875</v>
      </c>
      <c r="O17583" s="46" t="s">
        <v>123</v>
      </c>
      <c r="P17583" s="46">
        <v>3600.0</v>
      </c>
    </row>
    <row r="17584">
      <c r="A17584" s="40">
        <f t="shared" si="1"/>
        <v>46013</v>
      </c>
      <c r="B17584" s="37" t="str">
        <f t="array" ref="B17584">iferror(xlookup($I17584, 'IMPORT VHC Report'!$E:$E, 'IMPORT VHC Report'!$A:$C), )</f>
        <v/>
      </c>
      <c r="C17584" s="44"/>
      <c r="D17584" s="44"/>
      <c r="E17584" s="46" t="s">
        <v>13822</v>
      </c>
      <c r="F17584" s="46" t="s">
        <v>4181</v>
      </c>
      <c r="G17584" s="46">
        <v>3.61731943295E11</v>
      </c>
      <c r="H17584" s="46" t="s">
        <v>4182</v>
      </c>
      <c r="I17584" s="46" t="s">
        <v>4183</v>
      </c>
      <c r="J17584" s="46" t="s">
        <v>134</v>
      </c>
      <c r="K17584" s="46" t="s">
        <v>126</v>
      </c>
      <c r="L17584" s="45">
        <v>46015.8125</v>
      </c>
      <c r="M17584" s="46" t="s">
        <v>123</v>
      </c>
      <c r="N17584" s="45">
        <v>46015.833333333336</v>
      </c>
      <c r="O17584" s="46" t="s">
        <v>123</v>
      </c>
      <c r="P17584" s="46">
        <v>1800.0</v>
      </c>
    </row>
    <row r="17585">
      <c r="A17585" s="40">
        <f t="shared" si="1"/>
        <v>46013</v>
      </c>
      <c r="B17585" s="37" t="str">
        <f t="array" ref="B17585">iferror(xlookup($I17585, 'IMPORT VHC Report'!$E:$E, 'IMPORT VHC Report'!$A:$C), )</f>
        <v/>
      </c>
      <c r="C17585" s="44"/>
      <c r="D17585" s="44"/>
      <c r="E17585" s="46" t="s">
        <v>13823</v>
      </c>
      <c r="F17585" s="46" t="s">
        <v>4181</v>
      </c>
      <c r="G17585" s="46">
        <v>3.61731943295E11</v>
      </c>
      <c r="H17585" s="46" t="s">
        <v>4182</v>
      </c>
      <c r="I17585" s="46" t="s">
        <v>4183</v>
      </c>
      <c r="J17585" s="46" t="s">
        <v>4</v>
      </c>
      <c r="K17585" s="46" t="s">
        <v>126</v>
      </c>
      <c r="L17585" s="45">
        <v>46016.541666666664</v>
      </c>
      <c r="M17585" s="46" t="s">
        <v>123</v>
      </c>
      <c r="N17585" s="45">
        <v>46016.5625</v>
      </c>
      <c r="O17585" s="46" t="s">
        <v>123</v>
      </c>
      <c r="P17585" s="46">
        <v>1800.0</v>
      </c>
    </row>
    <row r="17586">
      <c r="A17586" s="40">
        <f t="shared" si="1"/>
        <v>46013</v>
      </c>
      <c r="B17586" s="37" t="str">
        <f t="array" ref="B17586">iferror(xlookup($I17586, 'IMPORT VHC Report'!$E:$E, 'IMPORT VHC Report'!$A:$C), )</f>
        <v/>
      </c>
      <c r="C17586" s="44"/>
      <c r="D17586" s="44"/>
      <c r="E17586" s="46" t="s">
        <v>13824</v>
      </c>
      <c r="F17586" s="46" t="s">
        <v>4181</v>
      </c>
      <c r="G17586" s="46">
        <v>3.61731943295E11</v>
      </c>
      <c r="H17586" s="46" t="s">
        <v>4182</v>
      </c>
      <c r="I17586" s="46" t="s">
        <v>4183</v>
      </c>
      <c r="J17586" s="46" t="s">
        <v>530</v>
      </c>
      <c r="K17586" s="46" t="s">
        <v>63</v>
      </c>
      <c r="L17586" s="45">
        <v>46016.541666666664</v>
      </c>
      <c r="M17586" s="46" t="s">
        <v>123</v>
      </c>
      <c r="N17586" s="45">
        <v>46016.916666666664</v>
      </c>
      <c r="O17586" s="46" t="s">
        <v>123</v>
      </c>
      <c r="P17586" s="46">
        <v>32400.0</v>
      </c>
    </row>
    <row r="17587">
      <c r="A17587" s="40">
        <f t="shared" si="1"/>
        <v>46013</v>
      </c>
      <c r="B17587" s="37" t="str">
        <f t="array" ref="B17587">iferror(xlookup($I17587, 'IMPORT VHC Report'!$E:$E, 'IMPORT VHC Report'!$A:$C), )</f>
        <v/>
      </c>
      <c r="C17587" s="44"/>
      <c r="D17587" s="44"/>
      <c r="E17587" s="46" t="s">
        <v>13825</v>
      </c>
      <c r="F17587" s="46" t="s">
        <v>4181</v>
      </c>
      <c r="G17587" s="46">
        <v>3.61731943295E11</v>
      </c>
      <c r="H17587" s="46" t="s">
        <v>4182</v>
      </c>
      <c r="I17587" s="46" t="s">
        <v>4183</v>
      </c>
      <c r="J17587" s="46" t="s">
        <v>132</v>
      </c>
      <c r="K17587" s="46" t="s">
        <v>126</v>
      </c>
      <c r="L17587" s="45">
        <v>46016.645833333336</v>
      </c>
      <c r="M17587" s="46" t="s">
        <v>123</v>
      </c>
      <c r="N17587" s="45">
        <v>46016.6875</v>
      </c>
      <c r="O17587" s="46" t="s">
        <v>123</v>
      </c>
      <c r="P17587" s="46">
        <v>3600.0</v>
      </c>
    </row>
    <row r="17588">
      <c r="A17588" s="40">
        <f t="shared" si="1"/>
        <v>46013</v>
      </c>
      <c r="B17588" s="37" t="str">
        <f t="array" ref="B17588">iferror(xlookup($I17588, 'IMPORT VHC Report'!$E:$E, 'IMPORT VHC Report'!$A:$C), )</f>
        <v/>
      </c>
      <c r="C17588" s="44"/>
      <c r="D17588" s="44"/>
      <c r="E17588" s="46" t="s">
        <v>13826</v>
      </c>
      <c r="F17588" s="46" t="s">
        <v>4181</v>
      </c>
      <c r="G17588" s="46">
        <v>3.61731943295E11</v>
      </c>
      <c r="H17588" s="46" t="s">
        <v>4182</v>
      </c>
      <c r="I17588" s="46" t="s">
        <v>4183</v>
      </c>
      <c r="J17588" s="46" t="s">
        <v>134</v>
      </c>
      <c r="K17588" s="46" t="s">
        <v>126</v>
      </c>
      <c r="L17588" s="45">
        <v>46016.8125</v>
      </c>
      <c r="M17588" s="46" t="s">
        <v>123</v>
      </c>
      <c r="N17588" s="45">
        <v>46016.833333333336</v>
      </c>
      <c r="O17588" s="46" t="s">
        <v>123</v>
      </c>
      <c r="P17588" s="46">
        <v>1800.0</v>
      </c>
    </row>
    <row r="17589">
      <c r="A17589" s="40">
        <f t="shared" si="1"/>
        <v>46013</v>
      </c>
      <c r="B17589" s="37" t="str">
        <f t="array" ref="B17589">iferror(xlookup($I17589, 'IMPORT VHC Report'!$E:$E, 'IMPORT VHC Report'!$A:$C), )</f>
        <v/>
      </c>
      <c r="C17589" s="44"/>
      <c r="D17589" s="44"/>
      <c r="E17589" s="46" t="s">
        <v>13827</v>
      </c>
      <c r="F17589" s="46" t="s">
        <v>4181</v>
      </c>
      <c r="G17589" s="46">
        <v>3.61731943295E11</v>
      </c>
      <c r="H17589" s="46" t="s">
        <v>4182</v>
      </c>
      <c r="I17589" s="46" t="s">
        <v>4183</v>
      </c>
      <c r="J17589" s="46" t="s">
        <v>4</v>
      </c>
      <c r="K17589" s="46" t="s">
        <v>126</v>
      </c>
      <c r="L17589" s="45">
        <v>46019.541666666664</v>
      </c>
      <c r="M17589" s="46" t="s">
        <v>123</v>
      </c>
      <c r="N17589" s="45">
        <v>46019.5625</v>
      </c>
      <c r="O17589" s="46" t="s">
        <v>123</v>
      </c>
      <c r="P17589" s="46">
        <v>1800.0</v>
      </c>
    </row>
    <row r="17590">
      <c r="A17590" s="40">
        <f t="shared" si="1"/>
        <v>46013</v>
      </c>
      <c r="B17590" s="37" t="str">
        <f t="array" ref="B17590">iferror(xlookup($I17590, 'IMPORT VHC Report'!$E:$E, 'IMPORT VHC Report'!$A:$C), )</f>
        <v/>
      </c>
      <c r="C17590" s="44"/>
      <c r="D17590" s="44"/>
      <c r="E17590" s="46" t="s">
        <v>13828</v>
      </c>
      <c r="F17590" s="46" t="s">
        <v>4181</v>
      </c>
      <c r="G17590" s="46">
        <v>3.61731943295E11</v>
      </c>
      <c r="H17590" s="46" t="s">
        <v>4182</v>
      </c>
      <c r="I17590" s="46" t="s">
        <v>4183</v>
      </c>
      <c r="J17590" s="46" t="s">
        <v>530</v>
      </c>
      <c r="K17590" s="46" t="s">
        <v>63</v>
      </c>
      <c r="L17590" s="45">
        <v>46019.541666666664</v>
      </c>
      <c r="M17590" s="46" t="s">
        <v>123</v>
      </c>
      <c r="N17590" s="45">
        <v>46019.916666666664</v>
      </c>
      <c r="O17590" s="46" t="s">
        <v>123</v>
      </c>
      <c r="P17590" s="46">
        <v>32400.0</v>
      </c>
    </row>
    <row r="17591">
      <c r="A17591" s="40">
        <f t="shared" si="1"/>
        <v>46013</v>
      </c>
      <c r="B17591" s="37" t="str">
        <f t="array" ref="B17591">iferror(xlookup($I17591, 'IMPORT VHC Report'!$E:$E, 'IMPORT VHC Report'!$A:$C), )</f>
        <v/>
      </c>
      <c r="C17591" s="44"/>
      <c r="D17591" s="44"/>
      <c r="E17591" s="46" t="s">
        <v>13829</v>
      </c>
      <c r="F17591" s="46" t="s">
        <v>4181</v>
      </c>
      <c r="G17591" s="46">
        <v>3.61731943295E11</v>
      </c>
      <c r="H17591" s="46" t="s">
        <v>4182</v>
      </c>
      <c r="I17591" s="46" t="s">
        <v>4183</v>
      </c>
      <c r="J17591" s="46" t="s">
        <v>134</v>
      </c>
      <c r="K17591" s="46" t="s">
        <v>126</v>
      </c>
      <c r="L17591" s="45">
        <v>46019.677083333336</v>
      </c>
      <c r="M17591" s="46" t="s">
        <v>123</v>
      </c>
      <c r="N17591" s="45">
        <v>46019.697916666664</v>
      </c>
      <c r="O17591" s="46" t="s">
        <v>123</v>
      </c>
      <c r="P17591" s="46">
        <v>1800.0</v>
      </c>
    </row>
    <row r="17592">
      <c r="A17592" s="40">
        <f t="shared" si="1"/>
        <v>46013</v>
      </c>
      <c r="B17592" s="37" t="str">
        <f t="array" ref="B17592">iferror(xlookup($I17592, 'IMPORT VHC Report'!$E:$E, 'IMPORT VHC Report'!$A:$C), )</f>
        <v/>
      </c>
      <c r="C17592" s="44"/>
      <c r="D17592" s="44"/>
      <c r="E17592" s="46" t="s">
        <v>13830</v>
      </c>
      <c r="F17592" s="46" t="s">
        <v>4181</v>
      </c>
      <c r="G17592" s="46">
        <v>3.61731943295E11</v>
      </c>
      <c r="H17592" s="46" t="s">
        <v>4182</v>
      </c>
      <c r="I17592" s="46" t="s">
        <v>4183</v>
      </c>
      <c r="J17592" s="46" t="s">
        <v>132</v>
      </c>
      <c r="K17592" s="46" t="s">
        <v>126</v>
      </c>
      <c r="L17592" s="45">
        <v>46019.822916666664</v>
      </c>
      <c r="M17592" s="46" t="s">
        <v>123</v>
      </c>
      <c r="N17592" s="45">
        <v>46019.864583333336</v>
      </c>
      <c r="O17592" s="46" t="s">
        <v>123</v>
      </c>
      <c r="P17592" s="46">
        <v>3600.0</v>
      </c>
    </row>
    <row r="17593">
      <c r="A17593" s="40">
        <f t="shared" si="1"/>
        <v>46013</v>
      </c>
      <c r="B17593" s="37" t="str">
        <f t="array" ref="B17593">iferror(xlookup($I17593, 'IMPORT VHC Report'!$E:$E, 'IMPORT VHC Report'!$A:$C), )</f>
        <v/>
      </c>
      <c r="C17593" s="44"/>
      <c r="D17593" s="44"/>
      <c r="E17593" s="46" t="s">
        <v>13831</v>
      </c>
      <c r="F17593" s="46" t="s">
        <v>4212</v>
      </c>
      <c r="G17593" s="46">
        <v>5.047314651919E12</v>
      </c>
      <c r="H17593" s="46" t="s">
        <v>4213</v>
      </c>
      <c r="I17593" s="46" t="s">
        <v>4214</v>
      </c>
      <c r="J17593" s="46" t="s">
        <v>4</v>
      </c>
      <c r="K17593" s="46" t="s">
        <v>126</v>
      </c>
      <c r="L17593" s="45">
        <v>46013.541666666664</v>
      </c>
      <c r="M17593" s="46" t="s">
        <v>123</v>
      </c>
      <c r="N17593" s="45">
        <v>46013.5625</v>
      </c>
      <c r="O17593" s="46" t="s">
        <v>123</v>
      </c>
      <c r="P17593" s="46">
        <v>1800.0</v>
      </c>
    </row>
    <row r="17594">
      <c r="A17594" s="40">
        <f t="shared" si="1"/>
        <v>46013</v>
      </c>
      <c r="B17594" s="37" t="str">
        <f t="array" ref="B17594">iferror(xlookup($I17594, 'IMPORT VHC Report'!$E:$E, 'IMPORT VHC Report'!$A:$C), )</f>
        <v/>
      </c>
      <c r="C17594" s="44"/>
      <c r="D17594" s="44"/>
      <c r="E17594" s="46" t="s">
        <v>13832</v>
      </c>
      <c r="F17594" s="46" t="s">
        <v>4212</v>
      </c>
      <c r="G17594" s="46">
        <v>5.047314651919E12</v>
      </c>
      <c r="H17594" s="46" t="s">
        <v>4213</v>
      </c>
      <c r="I17594" s="46" t="s">
        <v>4214</v>
      </c>
      <c r="J17594" s="46" t="s">
        <v>530</v>
      </c>
      <c r="K17594" s="46" t="s">
        <v>63</v>
      </c>
      <c r="L17594" s="45">
        <v>46013.541666666664</v>
      </c>
      <c r="M17594" s="46" t="s">
        <v>123</v>
      </c>
      <c r="N17594" s="45">
        <v>46013.916666666664</v>
      </c>
      <c r="O17594" s="46" t="s">
        <v>123</v>
      </c>
      <c r="P17594" s="46">
        <v>32400.0</v>
      </c>
    </row>
    <row r="17595">
      <c r="A17595" s="40">
        <f t="shared" si="1"/>
        <v>46013</v>
      </c>
      <c r="B17595" s="37" t="str">
        <f t="array" ref="B17595">iferror(xlookup($I17595, 'IMPORT VHC Report'!$E:$E, 'IMPORT VHC Report'!$A:$C), )</f>
        <v/>
      </c>
      <c r="C17595" s="44"/>
      <c r="D17595" s="44"/>
      <c r="E17595" s="46" t="s">
        <v>13833</v>
      </c>
      <c r="F17595" s="46" t="s">
        <v>4212</v>
      </c>
      <c r="G17595" s="46">
        <v>5.047314651919E12</v>
      </c>
      <c r="H17595" s="46" t="s">
        <v>4213</v>
      </c>
      <c r="I17595" s="46" t="s">
        <v>4214</v>
      </c>
      <c r="J17595" s="46" t="s">
        <v>178</v>
      </c>
      <c r="K17595" s="46" t="s">
        <v>153</v>
      </c>
      <c r="L17595" s="45">
        <v>46013.541666666664</v>
      </c>
      <c r="M17595" s="46" t="s">
        <v>123</v>
      </c>
      <c r="N17595" s="45">
        <v>46013.916666666664</v>
      </c>
      <c r="O17595" s="46" t="s">
        <v>123</v>
      </c>
      <c r="P17595" s="46">
        <v>32400.0</v>
      </c>
      <c r="Q17595" s="46">
        <v>57600.0</v>
      </c>
      <c r="R17595" s="46" t="s">
        <v>13834</v>
      </c>
    </row>
    <row r="17596">
      <c r="A17596" s="40">
        <f t="shared" si="1"/>
        <v>46013</v>
      </c>
      <c r="B17596" s="37" t="str">
        <f t="array" ref="B17596">iferror(xlookup($I17596, 'IMPORT VHC Report'!$E:$E, 'IMPORT VHC Report'!$A:$C), )</f>
        <v/>
      </c>
      <c r="C17596" s="44"/>
      <c r="D17596" s="44"/>
      <c r="E17596" s="46" t="s">
        <v>13835</v>
      </c>
      <c r="F17596" s="46" t="s">
        <v>4212</v>
      </c>
      <c r="G17596" s="46">
        <v>5.047314651919E12</v>
      </c>
      <c r="H17596" s="46" t="s">
        <v>4213</v>
      </c>
      <c r="I17596" s="46" t="s">
        <v>4214</v>
      </c>
      <c r="J17596" s="46" t="s">
        <v>134</v>
      </c>
      <c r="K17596" s="46" t="s">
        <v>126</v>
      </c>
      <c r="L17596" s="45">
        <v>46013.677083333336</v>
      </c>
      <c r="M17596" s="46" t="s">
        <v>123</v>
      </c>
      <c r="N17596" s="45">
        <v>46013.697916666664</v>
      </c>
      <c r="O17596" s="46" t="s">
        <v>123</v>
      </c>
      <c r="P17596" s="46">
        <v>1800.0</v>
      </c>
    </row>
    <row r="17597">
      <c r="A17597" s="40">
        <f t="shared" si="1"/>
        <v>46013</v>
      </c>
      <c r="B17597" s="37" t="str">
        <f t="array" ref="B17597">iferror(xlookup($I17597, 'IMPORT VHC Report'!$E:$E, 'IMPORT VHC Report'!$A:$C), )</f>
        <v/>
      </c>
      <c r="C17597" s="44"/>
      <c r="D17597" s="44"/>
      <c r="E17597" s="46" t="s">
        <v>13836</v>
      </c>
      <c r="F17597" s="46" t="s">
        <v>4212</v>
      </c>
      <c r="G17597" s="46">
        <v>5.047314651919E12</v>
      </c>
      <c r="H17597" s="46" t="s">
        <v>4213</v>
      </c>
      <c r="I17597" s="46" t="s">
        <v>4214</v>
      </c>
      <c r="J17597" s="46" t="s">
        <v>132</v>
      </c>
      <c r="K17597" s="46" t="s">
        <v>126</v>
      </c>
      <c r="L17597" s="45">
        <v>46013.802083333336</v>
      </c>
      <c r="M17597" s="46" t="s">
        <v>123</v>
      </c>
      <c r="N17597" s="45">
        <v>46013.84375</v>
      </c>
      <c r="O17597" s="46" t="s">
        <v>123</v>
      </c>
      <c r="P17597" s="46">
        <v>3600.0</v>
      </c>
    </row>
    <row r="17598">
      <c r="A17598" s="40">
        <f t="shared" si="1"/>
        <v>46013</v>
      </c>
      <c r="B17598" s="37" t="str">
        <f t="array" ref="B17598">iferror(xlookup($I17598, 'IMPORT VHC Report'!$E:$E, 'IMPORT VHC Report'!$A:$C), )</f>
        <v/>
      </c>
      <c r="C17598" s="44"/>
      <c r="D17598" s="44"/>
      <c r="E17598" s="46" t="s">
        <v>13837</v>
      </c>
      <c r="F17598" s="46" t="s">
        <v>4212</v>
      </c>
      <c r="G17598" s="46">
        <v>5.047314651919E12</v>
      </c>
      <c r="H17598" s="46" t="s">
        <v>4213</v>
      </c>
      <c r="I17598" s="46" t="s">
        <v>4214</v>
      </c>
      <c r="J17598" s="46" t="s">
        <v>4</v>
      </c>
      <c r="K17598" s="46" t="s">
        <v>126</v>
      </c>
      <c r="L17598" s="45">
        <v>46014.541666666664</v>
      </c>
      <c r="M17598" s="46" t="s">
        <v>123</v>
      </c>
      <c r="N17598" s="45">
        <v>46014.5625</v>
      </c>
      <c r="O17598" s="46" t="s">
        <v>123</v>
      </c>
      <c r="P17598" s="46">
        <v>1800.0</v>
      </c>
    </row>
    <row r="17599">
      <c r="A17599" s="40">
        <f t="shared" si="1"/>
        <v>46013</v>
      </c>
      <c r="B17599" s="37" t="str">
        <f t="array" ref="B17599">iferror(xlookup($I17599, 'IMPORT VHC Report'!$E:$E, 'IMPORT VHC Report'!$A:$C), )</f>
        <v/>
      </c>
      <c r="C17599" s="44"/>
      <c r="D17599" s="44"/>
      <c r="E17599" s="46" t="s">
        <v>13838</v>
      </c>
      <c r="F17599" s="46" t="s">
        <v>4212</v>
      </c>
      <c r="G17599" s="46">
        <v>5.047314651919E12</v>
      </c>
      <c r="H17599" s="46" t="s">
        <v>4213</v>
      </c>
      <c r="I17599" s="46" t="s">
        <v>4214</v>
      </c>
      <c r="J17599" s="46" t="s">
        <v>530</v>
      </c>
      <c r="K17599" s="46" t="s">
        <v>63</v>
      </c>
      <c r="L17599" s="45">
        <v>46014.541666666664</v>
      </c>
      <c r="M17599" s="46" t="s">
        <v>123</v>
      </c>
      <c r="N17599" s="45">
        <v>46014.916666666664</v>
      </c>
      <c r="O17599" s="46" t="s">
        <v>123</v>
      </c>
      <c r="P17599" s="46">
        <v>32400.0</v>
      </c>
    </row>
    <row r="17600">
      <c r="A17600" s="40">
        <f t="shared" si="1"/>
        <v>46013</v>
      </c>
      <c r="B17600" s="37" t="str">
        <f t="array" ref="B17600">iferror(xlookup($I17600, 'IMPORT VHC Report'!$E:$E, 'IMPORT VHC Report'!$A:$C), )</f>
        <v/>
      </c>
      <c r="C17600" s="44"/>
      <c r="D17600" s="44"/>
      <c r="E17600" s="46" t="s">
        <v>13839</v>
      </c>
      <c r="F17600" s="46" t="s">
        <v>4212</v>
      </c>
      <c r="G17600" s="46">
        <v>5.047314651919E12</v>
      </c>
      <c r="H17600" s="46" t="s">
        <v>4213</v>
      </c>
      <c r="I17600" s="46" t="s">
        <v>4214</v>
      </c>
      <c r="J17600" s="46" t="s">
        <v>178</v>
      </c>
      <c r="K17600" s="46" t="s">
        <v>153</v>
      </c>
      <c r="L17600" s="45">
        <v>46014.541666666664</v>
      </c>
      <c r="M17600" s="46" t="s">
        <v>123</v>
      </c>
      <c r="N17600" s="45">
        <v>46014.916666666664</v>
      </c>
      <c r="O17600" s="46" t="s">
        <v>123</v>
      </c>
      <c r="P17600" s="46">
        <v>32400.0</v>
      </c>
      <c r="Q17600" s="46">
        <v>32400.0</v>
      </c>
    </row>
    <row r="17601">
      <c r="A17601" s="40">
        <f t="shared" si="1"/>
        <v>46013</v>
      </c>
      <c r="B17601" s="37" t="str">
        <f t="array" ref="B17601">iferror(xlookup($I17601, 'IMPORT VHC Report'!$E:$E, 'IMPORT VHC Report'!$A:$C), )</f>
        <v/>
      </c>
      <c r="C17601" s="44"/>
      <c r="D17601" s="44"/>
      <c r="E17601" s="46" t="s">
        <v>13840</v>
      </c>
      <c r="F17601" s="46" t="s">
        <v>4212</v>
      </c>
      <c r="G17601" s="46">
        <v>5.047314651919E12</v>
      </c>
      <c r="H17601" s="46" t="s">
        <v>4213</v>
      </c>
      <c r="I17601" s="46" t="s">
        <v>4214</v>
      </c>
      <c r="J17601" s="46" t="s">
        <v>4</v>
      </c>
      <c r="K17601" s="46" t="s">
        <v>126</v>
      </c>
      <c r="L17601" s="45">
        <v>46014.5625</v>
      </c>
      <c r="M17601" s="46" t="s">
        <v>123</v>
      </c>
      <c r="N17601" s="45">
        <v>46014.604166666664</v>
      </c>
      <c r="O17601" s="46" t="s">
        <v>123</v>
      </c>
      <c r="P17601" s="46">
        <v>3600.0</v>
      </c>
      <c r="S17601" s="46" t="s">
        <v>13603</v>
      </c>
    </row>
    <row r="17602">
      <c r="A17602" s="40">
        <f t="shared" si="1"/>
        <v>46013</v>
      </c>
      <c r="B17602" s="37" t="str">
        <f t="array" ref="B17602">iferror(xlookup($I17602, 'IMPORT VHC Report'!$E:$E, 'IMPORT VHC Report'!$A:$C), )</f>
        <v/>
      </c>
      <c r="C17602" s="44"/>
      <c r="D17602" s="44"/>
      <c r="E17602" s="46" t="s">
        <v>13841</v>
      </c>
      <c r="F17602" s="46" t="s">
        <v>4212</v>
      </c>
      <c r="G17602" s="46">
        <v>5.047314651919E12</v>
      </c>
      <c r="H17602" s="46" t="s">
        <v>4213</v>
      </c>
      <c r="I17602" s="46" t="s">
        <v>4214</v>
      </c>
      <c r="J17602" s="46" t="s">
        <v>4</v>
      </c>
      <c r="K17602" s="46" t="s">
        <v>126</v>
      </c>
      <c r="L17602" s="45">
        <v>46014.604166666664</v>
      </c>
      <c r="M17602" s="46" t="s">
        <v>123</v>
      </c>
      <c r="N17602" s="45">
        <v>46014.635416666664</v>
      </c>
      <c r="O17602" s="46" t="s">
        <v>123</v>
      </c>
      <c r="P17602" s="46">
        <v>2700.0</v>
      </c>
      <c r="S17602" s="46" t="s">
        <v>13527</v>
      </c>
    </row>
    <row r="17603">
      <c r="A17603" s="40">
        <f t="shared" si="1"/>
        <v>46013</v>
      </c>
      <c r="B17603" s="37" t="str">
        <f t="array" ref="B17603">iferror(xlookup($I17603, 'IMPORT VHC Report'!$E:$E, 'IMPORT VHC Report'!$A:$C), )</f>
        <v/>
      </c>
      <c r="C17603" s="44"/>
      <c r="D17603" s="44"/>
      <c r="E17603" s="46" t="s">
        <v>13842</v>
      </c>
      <c r="F17603" s="46" t="s">
        <v>4212</v>
      </c>
      <c r="G17603" s="46">
        <v>5.047314651919E12</v>
      </c>
      <c r="H17603" s="46" t="s">
        <v>4213</v>
      </c>
      <c r="I17603" s="46" t="s">
        <v>4214</v>
      </c>
      <c r="J17603" s="46" t="s">
        <v>134</v>
      </c>
      <c r="K17603" s="46" t="s">
        <v>126</v>
      </c>
      <c r="L17603" s="45">
        <v>46014.677083333336</v>
      </c>
      <c r="M17603" s="46" t="s">
        <v>123</v>
      </c>
      <c r="N17603" s="45">
        <v>46014.697916666664</v>
      </c>
      <c r="O17603" s="46" t="s">
        <v>123</v>
      </c>
      <c r="P17603" s="46">
        <v>1800.0</v>
      </c>
    </row>
    <row r="17604">
      <c r="A17604" s="40">
        <f t="shared" si="1"/>
        <v>46013</v>
      </c>
      <c r="B17604" s="37" t="str">
        <f t="array" ref="B17604">iferror(xlookup($I17604, 'IMPORT VHC Report'!$E:$E, 'IMPORT VHC Report'!$A:$C), )</f>
        <v/>
      </c>
      <c r="C17604" s="44"/>
      <c r="D17604" s="44"/>
      <c r="E17604" s="46" t="s">
        <v>13843</v>
      </c>
      <c r="F17604" s="46" t="s">
        <v>4212</v>
      </c>
      <c r="G17604" s="46">
        <v>5.047314651919E12</v>
      </c>
      <c r="H17604" s="46" t="s">
        <v>4213</v>
      </c>
      <c r="I17604" s="46" t="s">
        <v>4214</v>
      </c>
      <c r="J17604" s="46" t="s">
        <v>132</v>
      </c>
      <c r="K17604" s="46" t="s">
        <v>126</v>
      </c>
      <c r="L17604" s="45">
        <v>46014.791666666664</v>
      </c>
      <c r="M17604" s="46" t="s">
        <v>123</v>
      </c>
      <c r="N17604" s="45">
        <v>46014.833333333336</v>
      </c>
      <c r="O17604" s="46" t="s">
        <v>123</v>
      </c>
      <c r="P17604" s="46">
        <v>3600.0</v>
      </c>
    </row>
    <row r="17605">
      <c r="A17605" s="40">
        <f t="shared" si="1"/>
        <v>46013</v>
      </c>
      <c r="B17605" s="37" t="str">
        <f t="array" ref="B17605">iferror(xlookup($I17605, 'IMPORT VHC Report'!$E:$E, 'IMPORT VHC Report'!$A:$C), )</f>
        <v/>
      </c>
      <c r="C17605" s="44"/>
      <c r="D17605" s="44"/>
      <c r="E17605" s="46" t="s">
        <v>13844</v>
      </c>
      <c r="F17605" s="46" t="s">
        <v>4212</v>
      </c>
      <c r="G17605" s="46">
        <v>5.047314651919E12</v>
      </c>
      <c r="H17605" s="46" t="s">
        <v>4213</v>
      </c>
      <c r="I17605" s="46" t="s">
        <v>4214</v>
      </c>
      <c r="J17605" s="46" t="s">
        <v>4</v>
      </c>
      <c r="K17605" s="46" t="s">
        <v>126</v>
      </c>
      <c r="L17605" s="45">
        <v>46015.541666666664</v>
      </c>
      <c r="M17605" s="46" t="s">
        <v>123</v>
      </c>
      <c r="N17605" s="45">
        <v>46015.5625</v>
      </c>
      <c r="O17605" s="46" t="s">
        <v>123</v>
      </c>
      <c r="P17605" s="46">
        <v>1800.0</v>
      </c>
    </row>
    <row r="17606">
      <c r="A17606" s="40">
        <f t="shared" si="1"/>
        <v>46013</v>
      </c>
      <c r="B17606" s="37" t="str">
        <f t="array" ref="B17606">iferror(xlookup($I17606, 'IMPORT VHC Report'!$E:$E, 'IMPORT VHC Report'!$A:$C), )</f>
        <v/>
      </c>
      <c r="C17606" s="44"/>
      <c r="D17606" s="44"/>
      <c r="E17606" s="46" t="s">
        <v>13845</v>
      </c>
      <c r="F17606" s="46" t="s">
        <v>4212</v>
      </c>
      <c r="G17606" s="46">
        <v>5.047314651919E12</v>
      </c>
      <c r="H17606" s="46" t="s">
        <v>4213</v>
      </c>
      <c r="I17606" s="46" t="s">
        <v>4214</v>
      </c>
      <c r="J17606" s="46" t="s">
        <v>530</v>
      </c>
      <c r="K17606" s="46" t="s">
        <v>63</v>
      </c>
      <c r="L17606" s="45">
        <v>46015.541666666664</v>
      </c>
      <c r="M17606" s="46" t="s">
        <v>123</v>
      </c>
      <c r="N17606" s="45">
        <v>46015.916666666664</v>
      </c>
      <c r="O17606" s="46" t="s">
        <v>123</v>
      </c>
      <c r="P17606" s="46">
        <v>32400.0</v>
      </c>
    </row>
    <row r="17607">
      <c r="A17607" s="40">
        <f t="shared" si="1"/>
        <v>46013</v>
      </c>
      <c r="B17607" s="37" t="str">
        <f t="array" ref="B17607">iferror(xlookup($I17607, 'IMPORT VHC Report'!$E:$E, 'IMPORT VHC Report'!$A:$C), )</f>
        <v/>
      </c>
      <c r="C17607" s="44"/>
      <c r="D17607" s="44"/>
      <c r="E17607" s="46" t="s">
        <v>13846</v>
      </c>
      <c r="F17607" s="46" t="s">
        <v>4212</v>
      </c>
      <c r="G17607" s="46">
        <v>5.047314651919E12</v>
      </c>
      <c r="H17607" s="46" t="s">
        <v>4213</v>
      </c>
      <c r="I17607" s="46" t="s">
        <v>4214</v>
      </c>
      <c r="J17607" s="46" t="s">
        <v>134</v>
      </c>
      <c r="K17607" s="46" t="s">
        <v>126</v>
      </c>
      <c r="L17607" s="45">
        <v>46015.677083333336</v>
      </c>
      <c r="M17607" s="46" t="s">
        <v>123</v>
      </c>
      <c r="N17607" s="45">
        <v>46015.697916666664</v>
      </c>
      <c r="O17607" s="46" t="s">
        <v>123</v>
      </c>
      <c r="P17607" s="46">
        <v>1800.0</v>
      </c>
    </row>
    <row r="17608">
      <c r="A17608" s="40">
        <f t="shared" si="1"/>
        <v>46013</v>
      </c>
      <c r="B17608" s="37" t="str">
        <f t="array" ref="B17608">iferror(xlookup($I17608, 'IMPORT VHC Report'!$E:$E, 'IMPORT VHC Report'!$A:$C), )</f>
        <v/>
      </c>
      <c r="C17608" s="44"/>
      <c r="D17608" s="44"/>
      <c r="E17608" s="46" t="s">
        <v>13847</v>
      </c>
      <c r="F17608" s="46" t="s">
        <v>4212</v>
      </c>
      <c r="G17608" s="46">
        <v>5.047314651919E12</v>
      </c>
      <c r="H17608" s="46" t="s">
        <v>4213</v>
      </c>
      <c r="I17608" s="46" t="s">
        <v>4214</v>
      </c>
      <c r="J17608" s="46" t="s">
        <v>132</v>
      </c>
      <c r="K17608" s="46" t="s">
        <v>126</v>
      </c>
      <c r="L17608" s="45">
        <v>46015.791666666664</v>
      </c>
      <c r="M17608" s="46" t="s">
        <v>123</v>
      </c>
      <c r="N17608" s="45">
        <v>46015.833333333336</v>
      </c>
      <c r="O17608" s="46" t="s">
        <v>123</v>
      </c>
      <c r="P17608" s="46">
        <v>3600.0</v>
      </c>
    </row>
    <row r="17609">
      <c r="A17609" s="40">
        <f t="shared" si="1"/>
        <v>46013</v>
      </c>
      <c r="B17609" s="37" t="str">
        <f t="array" ref="B17609">iferror(xlookup($I17609, 'IMPORT VHC Report'!$E:$E, 'IMPORT VHC Report'!$A:$C), )</f>
        <v/>
      </c>
      <c r="C17609" s="44"/>
      <c r="D17609" s="44"/>
      <c r="E17609" s="46" t="s">
        <v>13848</v>
      </c>
      <c r="F17609" s="46" t="s">
        <v>4212</v>
      </c>
      <c r="G17609" s="46">
        <v>5.047314651919E12</v>
      </c>
      <c r="H17609" s="46" t="s">
        <v>4213</v>
      </c>
      <c r="I17609" s="46" t="s">
        <v>4214</v>
      </c>
      <c r="J17609" s="46" t="s">
        <v>4</v>
      </c>
      <c r="K17609" s="46" t="s">
        <v>126</v>
      </c>
      <c r="L17609" s="45">
        <v>46016.541666666664</v>
      </c>
      <c r="M17609" s="46" t="s">
        <v>123</v>
      </c>
      <c r="N17609" s="45">
        <v>46016.5625</v>
      </c>
      <c r="O17609" s="46" t="s">
        <v>123</v>
      </c>
      <c r="P17609" s="46">
        <v>1800.0</v>
      </c>
    </row>
    <row r="17610">
      <c r="A17610" s="40">
        <f t="shared" si="1"/>
        <v>46013</v>
      </c>
      <c r="B17610" s="37" t="str">
        <f t="array" ref="B17610">iferror(xlookup($I17610, 'IMPORT VHC Report'!$E:$E, 'IMPORT VHC Report'!$A:$C), )</f>
        <v/>
      </c>
      <c r="C17610" s="44"/>
      <c r="D17610" s="44"/>
      <c r="E17610" s="46" t="s">
        <v>13849</v>
      </c>
      <c r="F17610" s="46" t="s">
        <v>4212</v>
      </c>
      <c r="G17610" s="46">
        <v>5.047314651919E12</v>
      </c>
      <c r="H17610" s="46" t="s">
        <v>4213</v>
      </c>
      <c r="I17610" s="46" t="s">
        <v>4214</v>
      </c>
      <c r="J17610" s="46" t="s">
        <v>530</v>
      </c>
      <c r="K17610" s="46" t="s">
        <v>63</v>
      </c>
      <c r="L17610" s="45">
        <v>46016.541666666664</v>
      </c>
      <c r="M17610" s="46" t="s">
        <v>123</v>
      </c>
      <c r="N17610" s="45">
        <v>46016.916666666664</v>
      </c>
      <c r="O17610" s="46" t="s">
        <v>123</v>
      </c>
      <c r="P17610" s="46">
        <v>32400.0</v>
      </c>
    </row>
    <row r="17611">
      <c r="A17611" s="40">
        <f t="shared" si="1"/>
        <v>46013</v>
      </c>
      <c r="B17611" s="37" t="str">
        <f t="array" ref="B17611">iferror(xlookup($I17611, 'IMPORT VHC Report'!$E:$E, 'IMPORT VHC Report'!$A:$C), )</f>
        <v/>
      </c>
      <c r="C17611" s="44"/>
      <c r="D17611" s="44"/>
      <c r="E17611" s="46" t="s">
        <v>13850</v>
      </c>
      <c r="F17611" s="46" t="s">
        <v>4212</v>
      </c>
      <c r="G17611" s="46">
        <v>5.047314651919E12</v>
      </c>
      <c r="H17611" s="46" t="s">
        <v>4213</v>
      </c>
      <c r="I17611" s="46" t="s">
        <v>4214</v>
      </c>
      <c r="J17611" s="46" t="s">
        <v>134</v>
      </c>
      <c r="K17611" s="46" t="s">
        <v>126</v>
      </c>
      <c r="L17611" s="45">
        <v>46016.677083333336</v>
      </c>
      <c r="M17611" s="46" t="s">
        <v>123</v>
      </c>
      <c r="N17611" s="45">
        <v>46016.697916666664</v>
      </c>
      <c r="O17611" s="46" t="s">
        <v>123</v>
      </c>
      <c r="P17611" s="46">
        <v>1800.0</v>
      </c>
    </row>
    <row r="17612">
      <c r="A17612" s="40">
        <f t="shared" si="1"/>
        <v>46013</v>
      </c>
      <c r="B17612" s="37" t="str">
        <f t="array" ref="B17612">iferror(xlookup($I17612, 'IMPORT VHC Report'!$E:$E, 'IMPORT VHC Report'!$A:$C), )</f>
        <v/>
      </c>
      <c r="C17612" s="44"/>
      <c r="D17612" s="44"/>
      <c r="E17612" s="46" t="s">
        <v>13851</v>
      </c>
      <c r="F17612" s="46" t="s">
        <v>4212</v>
      </c>
      <c r="G17612" s="46">
        <v>5.047314651919E12</v>
      </c>
      <c r="H17612" s="46" t="s">
        <v>4213</v>
      </c>
      <c r="I17612" s="46" t="s">
        <v>4214</v>
      </c>
      <c r="J17612" s="46" t="s">
        <v>132</v>
      </c>
      <c r="K17612" s="46" t="s">
        <v>126</v>
      </c>
      <c r="L17612" s="45">
        <v>46016.791666666664</v>
      </c>
      <c r="M17612" s="46" t="s">
        <v>123</v>
      </c>
      <c r="N17612" s="45">
        <v>46016.833333333336</v>
      </c>
      <c r="O17612" s="46" t="s">
        <v>123</v>
      </c>
      <c r="P17612" s="46">
        <v>3600.0</v>
      </c>
    </row>
    <row r="17613">
      <c r="A17613" s="40">
        <f t="shared" si="1"/>
        <v>46013</v>
      </c>
      <c r="B17613" s="37" t="str">
        <f t="array" ref="B17613">iferror(xlookup($I17613, 'IMPORT VHC Report'!$E:$E, 'IMPORT VHC Report'!$A:$C), )</f>
        <v/>
      </c>
      <c r="C17613" s="44"/>
      <c r="D17613" s="44"/>
      <c r="E17613" s="46" t="s">
        <v>13852</v>
      </c>
      <c r="F17613" s="46" t="s">
        <v>4212</v>
      </c>
      <c r="G17613" s="46">
        <v>5.047314651919E12</v>
      </c>
      <c r="H17613" s="46" t="s">
        <v>4213</v>
      </c>
      <c r="I17613" s="46" t="s">
        <v>4214</v>
      </c>
      <c r="J17613" s="46" t="s">
        <v>4</v>
      </c>
      <c r="K17613" s="46" t="s">
        <v>126</v>
      </c>
      <c r="L17613" s="45">
        <v>46019.541666666664</v>
      </c>
      <c r="M17613" s="46" t="s">
        <v>123</v>
      </c>
      <c r="N17613" s="45">
        <v>46019.5625</v>
      </c>
      <c r="O17613" s="46" t="s">
        <v>123</v>
      </c>
      <c r="P17613" s="46">
        <v>1800.0</v>
      </c>
    </row>
    <row r="17614">
      <c r="A17614" s="40">
        <f t="shared" si="1"/>
        <v>46013</v>
      </c>
      <c r="B17614" s="37" t="str">
        <f t="array" ref="B17614">iferror(xlookup($I17614, 'IMPORT VHC Report'!$E:$E, 'IMPORT VHC Report'!$A:$C), )</f>
        <v/>
      </c>
      <c r="C17614" s="44"/>
      <c r="D17614" s="44"/>
      <c r="E17614" s="46" t="s">
        <v>13853</v>
      </c>
      <c r="F17614" s="46" t="s">
        <v>4212</v>
      </c>
      <c r="G17614" s="46">
        <v>5.047314651919E12</v>
      </c>
      <c r="H17614" s="46" t="s">
        <v>4213</v>
      </c>
      <c r="I17614" s="46" t="s">
        <v>4214</v>
      </c>
      <c r="J17614" s="46" t="s">
        <v>178</v>
      </c>
      <c r="K17614" s="46" t="s">
        <v>153</v>
      </c>
      <c r="L17614" s="45">
        <v>46019.541666666664</v>
      </c>
      <c r="M17614" s="46" t="s">
        <v>123</v>
      </c>
      <c r="N17614" s="45">
        <v>46019.916666666664</v>
      </c>
      <c r="O17614" s="46" t="s">
        <v>123</v>
      </c>
      <c r="P17614" s="46">
        <v>32400.0</v>
      </c>
      <c r="Q17614" s="46">
        <v>57600.0</v>
      </c>
      <c r="R17614" s="46" t="s">
        <v>13834</v>
      </c>
    </row>
    <row r="17615">
      <c r="A17615" s="40">
        <f t="shared" si="1"/>
        <v>46013</v>
      </c>
      <c r="B17615" s="37" t="str">
        <f t="array" ref="B17615">iferror(xlookup($I17615, 'IMPORT VHC Report'!$E:$E, 'IMPORT VHC Report'!$A:$C), )</f>
        <v/>
      </c>
      <c r="C17615" s="44"/>
      <c r="D17615" s="44"/>
      <c r="E17615" s="46" t="s">
        <v>13854</v>
      </c>
      <c r="F17615" s="46" t="s">
        <v>4212</v>
      </c>
      <c r="G17615" s="46">
        <v>5.047314651919E12</v>
      </c>
      <c r="H17615" s="46" t="s">
        <v>4213</v>
      </c>
      <c r="I17615" s="46" t="s">
        <v>4214</v>
      </c>
      <c r="J17615" s="46" t="s">
        <v>530</v>
      </c>
      <c r="K17615" s="46" t="s">
        <v>63</v>
      </c>
      <c r="L17615" s="45">
        <v>46019.541666666664</v>
      </c>
      <c r="M17615" s="46" t="s">
        <v>123</v>
      </c>
      <c r="N17615" s="45">
        <v>46019.916666666664</v>
      </c>
      <c r="O17615" s="46" t="s">
        <v>123</v>
      </c>
      <c r="P17615" s="46">
        <v>32400.0</v>
      </c>
    </row>
    <row r="17616">
      <c r="A17616" s="40">
        <f t="shared" si="1"/>
        <v>46013</v>
      </c>
      <c r="B17616" s="37" t="str">
        <f t="array" ref="B17616">iferror(xlookup($I17616, 'IMPORT VHC Report'!$E:$E, 'IMPORT VHC Report'!$A:$C), )</f>
        <v/>
      </c>
      <c r="C17616" s="44"/>
      <c r="D17616" s="44"/>
      <c r="E17616" s="46" t="s">
        <v>13855</v>
      </c>
      <c r="F17616" s="46" t="s">
        <v>4212</v>
      </c>
      <c r="G17616" s="46">
        <v>5.047314651919E12</v>
      </c>
      <c r="H17616" s="46" t="s">
        <v>4213</v>
      </c>
      <c r="I17616" s="46" t="s">
        <v>4214</v>
      </c>
      <c r="J17616" s="46" t="s">
        <v>134</v>
      </c>
      <c r="K17616" s="46" t="s">
        <v>126</v>
      </c>
      <c r="L17616" s="45">
        <v>46019.677083333336</v>
      </c>
      <c r="M17616" s="46" t="s">
        <v>123</v>
      </c>
      <c r="N17616" s="45">
        <v>46019.697916666664</v>
      </c>
      <c r="O17616" s="46" t="s">
        <v>123</v>
      </c>
      <c r="P17616" s="46">
        <v>1800.0</v>
      </c>
    </row>
    <row r="17617">
      <c r="A17617" s="40">
        <f t="shared" si="1"/>
        <v>46013</v>
      </c>
      <c r="B17617" s="37" t="str">
        <f t="array" ref="B17617">iferror(xlookup($I17617, 'IMPORT VHC Report'!$E:$E, 'IMPORT VHC Report'!$A:$C), )</f>
        <v/>
      </c>
      <c r="C17617" s="44"/>
      <c r="D17617" s="44"/>
      <c r="E17617" s="46" t="s">
        <v>13856</v>
      </c>
      <c r="F17617" s="46" t="s">
        <v>4212</v>
      </c>
      <c r="G17617" s="46">
        <v>5.047314651919E12</v>
      </c>
      <c r="H17617" s="46" t="s">
        <v>4213</v>
      </c>
      <c r="I17617" s="46" t="s">
        <v>4214</v>
      </c>
      <c r="J17617" s="46" t="s">
        <v>132</v>
      </c>
      <c r="K17617" s="46" t="s">
        <v>126</v>
      </c>
      <c r="L17617" s="45">
        <v>46019.822916666664</v>
      </c>
      <c r="M17617" s="46" t="s">
        <v>123</v>
      </c>
      <c r="N17617" s="45">
        <v>46019.864583333336</v>
      </c>
      <c r="O17617" s="46" t="s">
        <v>123</v>
      </c>
      <c r="P17617" s="46">
        <v>3600.0</v>
      </c>
    </row>
    <row r="17618">
      <c r="A17618" s="40">
        <f t="shared" si="1"/>
        <v>46013</v>
      </c>
      <c r="B17618" s="37" t="str">
        <f t="array" ref="B17618">iferror(xlookup($I17618, 'IMPORT VHC Report'!$E:$E, 'IMPORT VHC Report'!$A:$C), )</f>
        <v/>
      </c>
      <c r="C17618" s="44"/>
      <c r="D17618" s="44"/>
      <c r="E17618" s="46" t="s">
        <v>13857</v>
      </c>
      <c r="F17618" s="46" t="s">
        <v>4240</v>
      </c>
      <c r="G17618" s="46">
        <v>3.61861298275E11</v>
      </c>
      <c r="H17618" s="46" t="s">
        <v>4241</v>
      </c>
      <c r="I17618" s="46" t="s">
        <v>4242</v>
      </c>
      <c r="J17618" s="46" t="s">
        <v>4</v>
      </c>
      <c r="K17618" s="46" t="s">
        <v>126</v>
      </c>
      <c r="L17618" s="45">
        <v>46013.541666666664</v>
      </c>
      <c r="M17618" s="46" t="s">
        <v>123</v>
      </c>
      <c r="N17618" s="45">
        <v>46013.5625</v>
      </c>
      <c r="O17618" s="46" t="s">
        <v>123</v>
      </c>
      <c r="P17618" s="46">
        <v>1800.0</v>
      </c>
    </row>
    <row r="17619">
      <c r="A17619" s="40">
        <f t="shared" si="1"/>
        <v>46013</v>
      </c>
      <c r="B17619" s="37" t="str">
        <f t="array" ref="B17619">iferror(xlookup($I17619, 'IMPORT VHC Report'!$E:$E, 'IMPORT VHC Report'!$A:$C), )</f>
        <v/>
      </c>
      <c r="C17619" s="44"/>
      <c r="D17619" s="44"/>
      <c r="E17619" s="46" t="s">
        <v>13858</v>
      </c>
      <c r="F17619" s="46" t="s">
        <v>4240</v>
      </c>
      <c r="G17619" s="46">
        <v>3.61861298275E11</v>
      </c>
      <c r="H17619" s="46" t="s">
        <v>4241</v>
      </c>
      <c r="I17619" s="46" t="s">
        <v>4242</v>
      </c>
      <c r="J17619" s="46" t="s">
        <v>530</v>
      </c>
      <c r="K17619" s="46" t="s">
        <v>63</v>
      </c>
      <c r="L17619" s="45">
        <v>46013.541666666664</v>
      </c>
      <c r="M17619" s="46" t="s">
        <v>123</v>
      </c>
      <c r="N17619" s="45">
        <v>46013.916666666664</v>
      </c>
      <c r="O17619" s="46" t="s">
        <v>123</v>
      </c>
      <c r="P17619" s="46">
        <v>32400.0</v>
      </c>
    </row>
    <row r="17620">
      <c r="A17620" s="40">
        <f t="shared" si="1"/>
        <v>46013</v>
      </c>
      <c r="B17620" s="37" t="str">
        <f t="array" ref="B17620">iferror(xlookup($I17620, 'IMPORT VHC Report'!$E:$E, 'IMPORT VHC Report'!$A:$C), )</f>
        <v/>
      </c>
      <c r="C17620" s="44"/>
      <c r="D17620" s="44"/>
      <c r="E17620" s="46" t="s">
        <v>13859</v>
      </c>
      <c r="F17620" s="46" t="s">
        <v>4240</v>
      </c>
      <c r="G17620" s="46">
        <v>3.61861298275E11</v>
      </c>
      <c r="H17620" s="46" t="s">
        <v>4241</v>
      </c>
      <c r="I17620" s="46" t="s">
        <v>4242</v>
      </c>
      <c r="J17620" s="46" t="s">
        <v>132</v>
      </c>
      <c r="K17620" s="46" t="s">
        <v>126</v>
      </c>
      <c r="L17620" s="45">
        <v>46013.697916666664</v>
      </c>
      <c r="M17620" s="46" t="s">
        <v>123</v>
      </c>
      <c r="N17620" s="45">
        <v>46013.739583333336</v>
      </c>
      <c r="O17620" s="46" t="s">
        <v>123</v>
      </c>
      <c r="P17620" s="46">
        <v>3600.0</v>
      </c>
    </row>
    <row r="17621">
      <c r="A17621" s="40">
        <f t="shared" si="1"/>
        <v>46013</v>
      </c>
      <c r="B17621" s="37" t="str">
        <f t="array" ref="B17621">iferror(xlookup($I17621, 'IMPORT VHC Report'!$E:$E, 'IMPORT VHC Report'!$A:$C), )</f>
        <v/>
      </c>
      <c r="C17621" s="44"/>
      <c r="D17621" s="44"/>
      <c r="E17621" s="46" t="s">
        <v>13860</v>
      </c>
      <c r="F17621" s="46" t="s">
        <v>4240</v>
      </c>
      <c r="G17621" s="46">
        <v>3.61861298275E11</v>
      </c>
      <c r="H17621" s="46" t="s">
        <v>4241</v>
      </c>
      <c r="I17621" s="46" t="s">
        <v>4242</v>
      </c>
      <c r="J17621" s="46" t="s">
        <v>134</v>
      </c>
      <c r="K17621" s="46" t="s">
        <v>126</v>
      </c>
      <c r="L17621" s="45">
        <v>46013.84375</v>
      </c>
      <c r="M17621" s="46" t="s">
        <v>123</v>
      </c>
      <c r="N17621" s="45">
        <v>46013.864583333336</v>
      </c>
      <c r="O17621" s="46" t="s">
        <v>123</v>
      </c>
      <c r="P17621" s="46">
        <v>1800.0</v>
      </c>
    </row>
    <row r="17622">
      <c r="A17622" s="40">
        <f t="shared" si="1"/>
        <v>46013</v>
      </c>
      <c r="B17622" s="37" t="str">
        <f t="array" ref="B17622">iferror(xlookup($I17622, 'IMPORT VHC Report'!$E:$E, 'IMPORT VHC Report'!$A:$C), )</f>
        <v/>
      </c>
      <c r="C17622" s="44"/>
      <c r="D17622" s="44"/>
      <c r="E17622" s="46" t="s">
        <v>13861</v>
      </c>
      <c r="F17622" s="46" t="s">
        <v>4240</v>
      </c>
      <c r="G17622" s="46">
        <v>3.61861298275E11</v>
      </c>
      <c r="H17622" s="46" t="s">
        <v>4241</v>
      </c>
      <c r="I17622" s="46" t="s">
        <v>4242</v>
      </c>
      <c r="J17622" s="46" t="s">
        <v>4</v>
      </c>
      <c r="K17622" s="46" t="s">
        <v>126</v>
      </c>
      <c r="L17622" s="45">
        <v>46014.541666666664</v>
      </c>
      <c r="M17622" s="46" t="s">
        <v>123</v>
      </c>
      <c r="N17622" s="45">
        <v>46014.5625</v>
      </c>
      <c r="O17622" s="46" t="s">
        <v>123</v>
      </c>
      <c r="P17622" s="46">
        <v>1800.0</v>
      </c>
    </row>
    <row r="17623">
      <c r="A17623" s="40">
        <f t="shared" si="1"/>
        <v>46013</v>
      </c>
      <c r="B17623" s="37" t="str">
        <f t="array" ref="B17623">iferror(xlookup($I17623, 'IMPORT VHC Report'!$E:$E, 'IMPORT VHC Report'!$A:$C), )</f>
        <v/>
      </c>
      <c r="C17623" s="44"/>
      <c r="D17623" s="44"/>
      <c r="E17623" s="46" t="s">
        <v>13862</v>
      </c>
      <c r="F17623" s="46" t="s">
        <v>4240</v>
      </c>
      <c r="G17623" s="46">
        <v>3.61861298275E11</v>
      </c>
      <c r="H17623" s="46" t="s">
        <v>4241</v>
      </c>
      <c r="I17623" s="46" t="s">
        <v>4242</v>
      </c>
      <c r="J17623" s="46" t="s">
        <v>530</v>
      </c>
      <c r="K17623" s="46" t="s">
        <v>63</v>
      </c>
      <c r="L17623" s="45">
        <v>46014.541666666664</v>
      </c>
      <c r="M17623" s="46" t="s">
        <v>123</v>
      </c>
      <c r="N17623" s="45">
        <v>46014.916666666664</v>
      </c>
      <c r="O17623" s="46" t="s">
        <v>123</v>
      </c>
      <c r="P17623" s="46">
        <v>32400.0</v>
      </c>
    </row>
    <row r="17624">
      <c r="A17624" s="40">
        <f t="shared" si="1"/>
        <v>46013</v>
      </c>
      <c r="B17624" s="37" t="str">
        <f t="array" ref="B17624">iferror(xlookup($I17624, 'IMPORT VHC Report'!$E:$E, 'IMPORT VHC Report'!$A:$C), )</f>
        <v/>
      </c>
      <c r="C17624" s="44"/>
      <c r="D17624" s="44"/>
      <c r="E17624" s="46" t="s">
        <v>13863</v>
      </c>
      <c r="F17624" s="46" t="s">
        <v>4240</v>
      </c>
      <c r="G17624" s="46">
        <v>3.61861298275E11</v>
      </c>
      <c r="H17624" s="46" t="s">
        <v>4241</v>
      </c>
      <c r="I17624" s="46" t="s">
        <v>4242</v>
      </c>
      <c r="J17624" s="46" t="s">
        <v>152</v>
      </c>
      <c r="K17624" s="46" t="s">
        <v>153</v>
      </c>
      <c r="L17624" s="45">
        <v>46014.541666666664</v>
      </c>
      <c r="M17624" s="46" t="s">
        <v>123</v>
      </c>
      <c r="N17624" s="45">
        <v>46014.916666666664</v>
      </c>
      <c r="O17624" s="46" t="s">
        <v>123</v>
      </c>
      <c r="P17624" s="46">
        <v>32400.0</v>
      </c>
      <c r="Q17624" s="46">
        <v>28800.0</v>
      </c>
      <c r="R17624" s="46" t="s">
        <v>421</v>
      </c>
    </row>
    <row r="17625">
      <c r="A17625" s="40">
        <f t="shared" si="1"/>
        <v>46013</v>
      </c>
      <c r="B17625" s="37" t="str">
        <f t="array" ref="B17625">iferror(xlookup($I17625, 'IMPORT VHC Report'!$E:$E, 'IMPORT VHC Report'!$A:$C), )</f>
        <v/>
      </c>
      <c r="C17625" s="44"/>
      <c r="D17625" s="44"/>
      <c r="E17625" s="46" t="s">
        <v>13864</v>
      </c>
      <c r="F17625" s="46" t="s">
        <v>4240</v>
      </c>
      <c r="G17625" s="46">
        <v>3.61861298275E11</v>
      </c>
      <c r="H17625" s="46" t="s">
        <v>4241</v>
      </c>
      <c r="I17625" s="46" t="s">
        <v>4242</v>
      </c>
      <c r="J17625" s="46" t="s">
        <v>530</v>
      </c>
      <c r="K17625" s="46" t="s">
        <v>63</v>
      </c>
      <c r="L17625" s="45">
        <v>46014.65625</v>
      </c>
      <c r="M17625" s="46" t="s">
        <v>123</v>
      </c>
      <c r="N17625" s="45">
        <v>46014.677083333336</v>
      </c>
      <c r="O17625" s="46" t="s">
        <v>123</v>
      </c>
      <c r="P17625" s="46">
        <v>1800.0</v>
      </c>
    </row>
    <row r="17626">
      <c r="A17626" s="40">
        <f t="shared" si="1"/>
        <v>46013</v>
      </c>
      <c r="B17626" s="37" t="str">
        <f t="array" ref="B17626">iferror(xlookup($I17626, 'IMPORT VHC Report'!$E:$E, 'IMPORT VHC Report'!$A:$C), )</f>
        <v/>
      </c>
      <c r="C17626" s="44"/>
      <c r="D17626" s="44"/>
      <c r="E17626" s="46" t="s">
        <v>13865</v>
      </c>
      <c r="F17626" s="46" t="s">
        <v>4240</v>
      </c>
      <c r="G17626" s="46">
        <v>3.61861298275E11</v>
      </c>
      <c r="H17626" s="46" t="s">
        <v>4241</v>
      </c>
      <c r="I17626" s="46" t="s">
        <v>4242</v>
      </c>
      <c r="J17626" s="46" t="s">
        <v>530</v>
      </c>
      <c r="K17626" s="46" t="s">
        <v>63</v>
      </c>
      <c r="L17626" s="45">
        <v>46014.78125</v>
      </c>
      <c r="M17626" s="46" t="s">
        <v>123</v>
      </c>
      <c r="N17626" s="45">
        <v>46014.822916666664</v>
      </c>
      <c r="O17626" s="46" t="s">
        <v>123</v>
      </c>
      <c r="P17626" s="46">
        <v>3600.0</v>
      </c>
    </row>
    <row r="17627">
      <c r="A17627" s="40">
        <f t="shared" si="1"/>
        <v>46013</v>
      </c>
      <c r="B17627" s="37" t="str">
        <f t="array" ref="B17627">iferror(xlookup($I17627, 'IMPORT VHC Report'!$E:$E, 'IMPORT VHC Report'!$A:$C), )</f>
        <v/>
      </c>
      <c r="C17627" s="44"/>
      <c r="D17627" s="44"/>
      <c r="E17627" s="46" t="s">
        <v>13866</v>
      </c>
      <c r="F17627" s="46" t="s">
        <v>4240</v>
      </c>
      <c r="G17627" s="46">
        <v>3.61861298275E11</v>
      </c>
      <c r="H17627" s="46" t="s">
        <v>4241</v>
      </c>
      <c r="I17627" s="46" t="s">
        <v>4242</v>
      </c>
      <c r="J17627" s="46" t="s">
        <v>134</v>
      </c>
      <c r="K17627" s="46" t="s">
        <v>126</v>
      </c>
      <c r="L17627" s="45">
        <v>46014.854166666664</v>
      </c>
      <c r="M17627" s="46" t="s">
        <v>123</v>
      </c>
      <c r="N17627" s="45">
        <v>46014.875</v>
      </c>
      <c r="O17627" s="46" t="s">
        <v>123</v>
      </c>
      <c r="P17627" s="46">
        <v>1800.0</v>
      </c>
    </row>
    <row r="17628">
      <c r="A17628" s="40">
        <f t="shared" si="1"/>
        <v>46013</v>
      </c>
      <c r="B17628" s="37" t="str">
        <f t="array" ref="B17628">iferror(xlookup($I17628, 'IMPORT VHC Report'!$E:$E, 'IMPORT VHC Report'!$A:$C), )</f>
        <v/>
      </c>
      <c r="C17628" s="44"/>
      <c r="D17628" s="44"/>
      <c r="E17628" s="46" t="s">
        <v>13867</v>
      </c>
      <c r="F17628" s="46" t="s">
        <v>4240</v>
      </c>
      <c r="G17628" s="46">
        <v>3.61861298275E11</v>
      </c>
      <c r="H17628" s="46" t="s">
        <v>4241</v>
      </c>
      <c r="I17628" s="46" t="s">
        <v>4242</v>
      </c>
      <c r="J17628" s="46" t="s">
        <v>132</v>
      </c>
      <c r="K17628" s="46" t="s">
        <v>126</v>
      </c>
      <c r="L17628" s="45">
        <v>46014.875</v>
      </c>
      <c r="M17628" s="46" t="s">
        <v>123</v>
      </c>
      <c r="N17628" s="45">
        <v>46014.916666666664</v>
      </c>
      <c r="O17628" s="46" t="s">
        <v>123</v>
      </c>
      <c r="P17628" s="46">
        <v>3600.0</v>
      </c>
    </row>
    <row r="17629">
      <c r="A17629" s="40">
        <f t="shared" si="1"/>
        <v>46013</v>
      </c>
      <c r="B17629" s="37" t="str">
        <f t="array" ref="B17629">iferror(xlookup($I17629, 'IMPORT VHC Report'!$E:$E, 'IMPORT VHC Report'!$A:$C), )</f>
        <v/>
      </c>
      <c r="C17629" s="44"/>
      <c r="D17629" s="44"/>
      <c r="E17629" s="46" t="s">
        <v>13868</v>
      </c>
      <c r="F17629" s="46" t="s">
        <v>4240</v>
      </c>
      <c r="G17629" s="46">
        <v>3.61861298275E11</v>
      </c>
      <c r="H17629" s="46" t="s">
        <v>4241</v>
      </c>
      <c r="I17629" s="46" t="s">
        <v>4242</v>
      </c>
      <c r="J17629" s="46" t="s">
        <v>4</v>
      </c>
      <c r="K17629" s="46" t="s">
        <v>126</v>
      </c>
      <c r="L17629" s="45">
        <v>46015.541666666664</v>
      </c>
      <c r="M17629" s="46" t="s">
        <v>123</v>
      </c>
      <c r="N17629" s="45">
        <v>46015.5625</v>
      </c>
      <c r="O17629" s="46" t="s">
        <v>123</v>
      </c>
      <c r="P17629" s="46">
        <v>1800.0</v>
      </c>
    </row>
    <row r="17630">
      <c r="A17630" s="40">
        <f t="shared" si="1"/>
        <v>46013</v>
      </c>
      <c r="B17630" s="37" t="str">
        <f t="array" ref="B17630">iferror(xlookup($I17630, 'IMPORT VHC Report'!$E:$E, 'IMPORT VHC Report'!$A:$C), )</f>
        <v/>
      </c>
      <c r="C17630" s="44"/>
      <c r="D17630" s="44"/>
      <c r="E17630" s="46" t="s">
        <v>13869</v>
      </c>
      <c r="F17630" s="46" t="s">
        <v>4240</v>
      </c>
      <c r="G17630" s="46">
        <v>3.61861298275E11</v>
      </c>
      <c r="H17630" s="46" t="s">
        <v>4241</v>
      </c>
      <c r="I17630" s="46" t="s">
        <v>4242</v>
      </c>
      <c r="J17630" s="46" t="s">
        <v>178</v>
      </c>
      <c r="K17630" s="46" t="s">
        <v>153</v>
      </c>
      <c r="L17630" s="45">
        <v>46015.541666666664</v>
      </c>
      <c r="M17630" s="46" t="s">
        <v>123</v>
      </c>
      <c r="N17630" s="45">
        <v>46015.916666666664</v>
      </c>
      <c r="O17630" s="46" t="s">
        <v>123</v>
      </c>
      <c r="P17630" s="46">
        <v>32400.0</v>
      </c>
      <c r="Q17630" s="46">
        <v>32400.0</v>
      </c>
      <c r="R17630" s="46" t="s">
        <v>13530</v>
      </c>
      <c r="S17630" s="46" t="s">
        <v>13530</v>
      </c>
    </row>
    <row r="17631">
      <c r="A17631" s="40">
        <f t="shared" si="1"/>
        <v>46013</v>
      </c>
      <c r="B17631" s="37" t="str">
        <f t="array" ref="B17631">iferror(xlookup($I17631, 'IMPORT VHC Report'!$E:$E, 'IMPORT VHC Report'!$A:$C), )</f>
        <v/>
      </c>
      <c r="C17631" s="44"/>
      <c r="D17631" s="44"/>
      <c r="E17631" s="46" t="s">
        <v>13870</v>
      </c>
      <c r="F17631" s="46" t="s">
        <v>4240</v>
      </c>
      <c r="G17631" s="46">
        <v>3.61861298275E11</v>
      </c>
      <c r="H17631" s="46" t="s">
        <v>4241</v>
      </c>
      <c r="I17631" s="46" t="s">
        <v>4242</v>
      </c>
      <c r="J17631" s="46" t="s">
        <v>530</v>
      </c>
      <c r="K17631" s="46" t="s">
        <v>63</v>
      </c>
      <c r="L17631" s="45">
        <v>46015.541666666664</v>
      </c>
      <c r="M17631" s="46" t="s">
        <v>123</v>
      </c>
      <c r="N17631" s="45">
        <v>46015.916666666664</v>
      </c>
      <c r="O17631" s="46" t="s">
        <v>123</v>
      </c>
      <c r="P17631" s="46">
        <v>32400.0</v>
      </c>
    </row>
    <row r="17632">
      <c r="A17632" s="40">
        <f t="shared" si="1"/>
        <v>46013</v>
      </c>
      <c r="B17632" s="37" t="str">
        <f t="array" ref="B17632">iferror(xlookup($I17632, 'IMPORT VHC Report'!$E:$E, 'IMPORT VHC Report'!$A:$C), )</f>
        <v/>
      </c>
      <c r="C17632" s="44"/>
      <c r="D17632" s="44"/>
      <c r="E17632" s="46" t="s">
        <v>13871</v>
      </c>
      <c r="F17632" s="46" t="s">
        <v>4240</v>
      </c>
      <c r="G17632" s="46">
        <v>3.61861298275E11</v>
      </c>
      <c r="H17632" s="46" t="s">
        <v>4241</v>
      </c>
      <c r="I17632" s="46" t="s">
        <v>4242</v>
      </c>
      <c r="J17632" s="46" t="s">
        <v>134</v>
      </c>
      <c r="K17632" s="46" t="s">
        <v>126</v>
      </c>
      <c r="L17632" s="45">
        <v>46015.65625</v>
      </c>
      <c r="M17632" s="46" t="s">
        <v>123</v>
      </c>
      <c r="N17632" s="45">
        <v>46015.677083333336</v>
      </c>
      <c r="O17632" s="46" t="s">
        <v>123</v>
      </c>
      <c r="P17632" s="46">
        <v>1800.0</v>
      </c>
    </row>
    <row r="17633">
      <c r="A17633" s="40">
        <f t="shared" si="1"/>
        <v>46013</v>
      </c>
      <c r="B17633" s="37" t="str">
        <f t="array" ref="B17633">iferror(xlookup($I17633, 'IMPORT VHC Report'!$E:$E, 'IMPORT VHC Report'!$A:$C), )</f>
        <v/>
      </c>
      <c r="C17633" s="44"/>
      <c r="D17633" s="44"/>
      <c r="E17633" s="46" t="s">
        <v>13872</v>
      </c>
      <c r="F17633" s="46" t="s">
        <v>4240</v>
      </c>
      <c r="G17633" s="46">
        <v>3.61861298275E11</v>
      </c>
      <c r="H17633" s="46" t="s">
        <v>4241</v>
      </c>
      <c r="I17633" s="46" t="s">
        <v>4242</v>
      </c>
      <c r="J17633" s="46" t="s">
        <v>132</v>
      </c>
      <c r="K17633" s="46" t="s">
        <v>126</v>
      </c>
      <c r="L17633" s="45">
        <v>46015.78125</v>
      </c>
      <c r="M17633" s="46" t="s">
        <v>123</v>
      </c>
      <c r="N17633" s="45">
        <v>46015.822916666664</v>
      </c>
      <c r="O17633" s="46" t="s">
        <v>123</v>
      </c>
      <c r="P17633" s="46">
        <v>3600.0</v>
      </c>
    </row>
    <row r="17634">
      <c r="A17634" s="40">
        <f t="shared" si="1"/>
        <v>46013</v>
      </c>
      <c r="B17634" s="37" t="str">
        <f t="array" ref="B17634">iferror(xlookup($I17634, 'IMPORT VHC Report'!$E:$E, 'IMPORT VHC Report'!$A:$C), )</f>
        <v/>
      </c>
      <c r="C17634" s="44"/>
      <c r="D17634" s="44"/>
      <c r="E17634" s="46" t="s">
        <v>13873</v>
      </c>
      <c r="F17634" s="46" t="s">
        <v>4240</v>
      </c>
      <c r="G17634" s="46">
        <v>3.61861298275E11</v>
      </c>
      <c r="H17634" s="46" t="s">
        <v>4241</v>
      </c>
      <c r="I17634" s="46" t="s">
        <v>4242</v>
      </c>
      <c r="J17634" s="46" t="s">
        <v>4</v>
      </c>
      <c r="K17634" s="46" t="s">
        <v>126</v>
      </c>
      <c r="L17634" s="45">
        <v>46016.541666666664</v>
      </c>
      <c r="M17634" s="46" t="s">
        <v>123</v>
      </c>
      <c r="N17634" s="45">
        <v>46016.5625</v>
      </c>
      <c r="O17634" s="46" t="s">
        <v>123</v>
      </c>
      <c r="P17634" s="46">
        <v>1800.0</v>
      </c>
    </row>
    <row r="17635">
      <c r="A17635" s="40">
        <f t="shared" si="1"/>
        <v>46013</v>
      </c>
      <c r="B17635" s="37" t="str">
        <f t="array" ref="B17635">iferror(xlookup($I17635, 'IMPORT VHC Report'!$E:$E, 'IMPORT VHC Report'!$A:$C), )</f>
        <v/>
      </c>
      <c r="C17635" s="44"/>
      <c r="D17635" s="44"/>
      <c r="E17635" s="46" t="s">
        <v>13874</v>
      </c>
      <c r="F17635" s="46" t="s">
        <v>4240</v>
      </c>
      <c r="G17635" s="46">
        <v>3.61861298275E11</v>
      </c>
      <c r="H17635" s="46" t="s">
        <v>4241</v>
      </c>
      <c r="I17635" s="46" t="s">
        <v>4242</v>
      </c>
      <c r="J17635" s="46" t="s">
        <v>178</v>
      </c>
      <c r="K17635" s="46" t="s">
        <v>153</v>
      </c>
      <c r="L17635" s="45">
        <v>46016.541666666664</v>
      </c>
      <c r="M17635" s="46" t="s">
        <v>123</v>
      </c>
      <c r="N17635" s="45">
        <v>46016.916666666664</v>
      </c>
      <c r="O17635" s="46" t="s">
        <v>123</v>
      </c>
      <c r="P17635" s="46">
        <v>32400.0</v>
      </c>
      <c r="Q17635" s="46">
        <v>32400.0</v>
      </c>
      <c r="R17635" s="46" t="s">
        <v>13530</v>
      </c>
      <c r="S17635" s="46" t="s">
        <v>13530</v>
      </c>
    </row>
    <row r="17636">
      <c r="A17636" s="40">
        <f t="shared" si="1"/>
        <v>46013</v>
      </c>
      <c r="B17636" s="37" t="str">
        <f t="array" ref="B17636">iferror(xlookup($I17636, 'IMPORT VHC Report'!$E:$E, 'IMPORT VHC Report'!$A:$C), )</f>
        <v/>
      </c>
      <c r="C17636" s="44"/>
      <c r="D17636" s="44"/>
      <c r="E17636" s="46" t="s">
        <v>13875</v>
      </c>
      <c r="F17636" s="46" t="s">
        <v>4240</v>
      </c>
      <c r="G17636" s="46">
        <v>3.61861298275E11</v>
      </c>
      <c r="H17636" s="46" t="s">
        <v>4241</v>
      </c>
      <c r="I17636" s="46" t="s">
        <v>4242</v>
      </c>
      <c r="J17636" s="46" t="s">
        <v>530</v>
      </c>
      <c r="K17636" s="46" t="s">
        <v>63</v>
      </c>
      <c r="L17636" s="45">
        <v>46016.541666666664</v>
      </c>
      <c r="M17636" s="46" t="s">
        <v>123</v>
      </c>
      <c r="N17636" s="45">
        <v>46016.916666666664</v>
      </c>
      <c r="O17636" s="46" t="s">
        <v>123</v>
      </c>
      <c r="P17636" s="46">
        <v>32400.0</v>
      </c>
    </row>
    <row r="17637">
      <c r="A17637" s="40">
        <f t="shared" si="1"/>
        <v>46013</v>
      </c>
      <c r="B17637" s="37" t="str">
        <f t="array" ref="B17637">iferror(xlookup($I17637, 'IMPORT VHC Report'!$E:$E, 'IMPORT VHC Report'!$A:$C), )</f>
        <v/>
      </c>
      <c r="C17637" s="44"/>
      <c r="D17637" s="44"/>
      <c r="E17637" s="46" t="s">
        <v>13876</v>
      </c>
      <c r="F17637" s="46" t="s">
        <v>4240</v>
      </c>
      <c r="G17637" s="46">
        <v>3.61861298275E11</v>
      </c>
      <c r="H17637" s="46" t="s">
        <v>4241</v>
      </c>
      <c r="I17637" s="46" t="s">
        <v>4242</v>
      </c>
      <c r="J17637" s="46" t="s">
        <v>134</v>
      </c>
      <c r="K17637" s="46" t="s">
        <v>126</v>
      </c>
      <c r="L17637" s="45">
        <v>46016.65625</v>
      </c>
      <c r="M17637" s="46" t="s">
        <v>123</v>
      </c>
      <c r="N17637" s="45">
        <v>46016.677083333336</v>
      </c>
      <c r="O17637" s="46" t="s">
        <v>123</v>
      </c>
      <c r="P17637" s="46">
        <v>1800.0</v>
      </c>
    </row>
    <row r="17638">
      <c r="A17638" s="40">
        <f t="shared" si="1"/>
        <v>46013</v>
      </c>
      <c r="B17638" s="37" t="str">
        <f t="array" ref="B17638">iferror(xlookup($I17638, 'IMPORT VHC Report'!$E:$E, 'IMPORT VHC Report'!$A:$C), )</f>
        <v/>
      </c>
      <c r="C17638" s="44"/>
      <c r="D17638" s="44"/>
      <c r="E17638" s="46" t="s">
        <v>13877</v>
      </c>
      <c r="F17638" s="46" t="s">
        <v>4240</v>
      </c>
      <c r="G17638" s="46">
        <v>3.61861298275E11</v>
      </c>
      <c r="H17638" s="46" t="s">
        <v>4241</v>
      </c>
      <c r="I17638" s="46" t="s">
        <v>4242</v>
      </c>
      <c r="J17638" s="46" t="s">
        <v>132</v>
      </c>
      <c r="K17638" s="46" t="s">
        <v>126</v>
      </c>
      <c r="L17638" s="45">
        <v>46016.78125</v>
      </c>
      <c r="M17638" s="46" t="s">
        <v>123</v>
      </c>
      <c r="N17638" s="45">
        <v>46016.822916666664</v>
      </c>
      <c r="O17638" s="46" t="s">
        <v>123</v>
      </c>
      <c r="P17638" s="46">
        <v>3600.0</v>
      </c>
    </row>
    <row r="17639">
      <c r="A17639" s="40">
        <f t="shared" si="1"/>
        <v>46013</v>
      </c>
      <c r="B17639" s="37" t="str">
        <f t="array" ref="B17639">iferror(xlookup($I17639, 'IMPORT VHC Report'!$E:$E, 'IMPORT VHC Report'!$A:$C), )</f>
        <v/>
      </c>
      <c r="C17639" s="44"/>
      <c r="D17639" s="44"/>
      <c r="E17639" s="46" t="s">
        <v>13878</v>
      </c>
      <c r="F17639" s="46" t="s">
        <v>4240</v>
      </c>
      <c r="G17639" s="46">
        <v>3.61861298275E11</v>
      </c>
      <c r="H17639" s="46" t="s">
        <v>4241</v>
      </c>
      <c r="I17639" s="46" t="s">
        <v>4242</v>
      </c>
      <c r="J17639" s="46" t="s">
        <v>4</v>
      </c>
      <c r="K17639" s="46" t="s">
        <v>126</v>
      </c>
      <c r="L17639" s="45">
        <v>46019.541666666664</v>
      </c>
      <c r="M17639" s="46" t="s">
        <v>123</v>
      </c>
      <c r="N17639" s="45">
        <v>46019.5625</v>
      </c>
      <c r="O17639" s="46" t="s">
        <v>123</v>
      </c>
      <c r="P17639" s="46">
        <v>1800.0</v>
      </c>
    </row>
    <row r="17640">
      <c r="A17640" s="40">
        <f t="shared" si="1"/>
        <v>46013</v>
      </c>
      <c r="B17640" s="37" t="str">
        <f t="array" ref="B17640">iferror(xlookup($I17640, 'IMPORT VHC Report'!$E:$E, 'IMPORT VHC Report'!$A:$C), )</f>
        <v/>
      </c>
      <c r="C17640" s="44"/>
      <c r="D17640" s="44"/>
      <c r="E17640" s="46" t="s">
        <v>13879</v>
      </c>
      <c r="F17640" s="46" t="s">
        <v>4240</v>
      </c>
      <c r="G17640" s="46">
        <v>3.61861298275E11</v>
      </c>
      <c r="H17640" s="46" t="s">
        <v>4241</v>
      </c>
      <c r="I17640" s="46" t="s">
        <v>4242</v>
      </c>
      <c r="J17640" s="46" t="s">
        <v>530</v>
      </c>
      <c r="K17640" s="46" t="s">
        <v>63</v>
      </c>
      <c r="L17640" s="45">
        <v>46019.541666666664</v>
      </c>
      <c r="M17640" s="46" t="s">
        <v>123</v>
      </c>
      <c r="N17640" s="45">
        <v>46019.5625</v>
      </c>
      <c r="O17640" s="46" t="s">
        <v>123</v>
      </c>
      <c r="P17640" s="46">
        <v>1800.0</v>
      </c>
    </row>
    <row r="17641">
      <c r="A17641" s="40">
        <f t="shared" si="1"/>
        <v>46013</v>
      </c>
      <c r="B17641" s="37" t="str">
        <f t="array" ref="B17641">iferror(xlookup($I17641, 'IMPORT VHC Report'!$E:$E, 'IMPORT VHC Report'!$A:$C), )</f>
        <v/>
      </c>
      <c r="C17641" s="44"/>
      <c r="D17641" s="44"/>
      <c r="E17641" s="46" t="s">
        <v>13880</v>
      </c>
      <c r="F17641" s="46" t="s">
        <v>4240</v>
      </c>
      <c r="G17641" s="46">
        <v>3.61861298275E11</v>
      </c>
      <c r="H17641" s="46" t="s">
        <v>4241</v>
      </c>
      <c r="I17641" s="46" t="s">
        <v>4242</v>
      </c>
      <c r="J17641" s="46" t="s">
        <v>62</v>
      </c>
      <c r="K17641" s="46" t="s">
        <v>63</v>
      </c>
      <c r="L17641" s="45">
        <v>46019.5625</v>
      </c>
      <c r="M17641" s="46" t="s">
        <v>123</v>
      </c>
      <c r="N17641" s="45">
        <v>46019.583333333336</v>
      </c>
      <c r="O17641" s="46" t="s">
        <v>123</v>
      </c>
      <c r="P17641" s="46">
        <v>1800.0</v>
      </c>
    </row>
    <row r="17642">
      <c r="A17642" s="40">
        <f t="shared" si="1"/>
        <v>46013</v>
      </c>
      <c r="B17642" s="37" t="str">
        <f t="array" ref="B17642">iferror(xlookup($I17642, 'IMPORT VHC Report'!$E:$E, 'IMPORT VHC Report'!$A:$C), )</f>
        <v/>
      </c>
      <c r="C17642" s="44"/>
      <c r="D17642" s="44"/>
      <c r="E17642" s="46" t="s">
        <v>13881</v>
      </c>
      <c r="F17642" s="46" t="s">
        <v>4240</v>
      </c>
      <c r="G17642" s="46">
        <v>3.61861298275E11</v>
      </c>
      <c r="H17642" s="46" t="s">
        <v>4241</v>
      </c>
      <c r="I17642" s="46" t="s">
        <v>4242</v>
      </c>
      <c r="J17642" s="46" t="s">
        <v>530</v>
      </c>
      <c r="K17642" s="46" t="s">
        <v>63</v>
      </c>
      <c r="L17642" s="45">
        <v>46019.583333333336</v>
      </c>
      <c r="M17642" s="46" t="s">
        <v>123</v>
      </c>
      <c r="N17642" s="45">
        <v>46019.916666666664</v>
      </c>
      <c r="O17642" s="46" t="s">
        <v>123</v>
      </c>
      <c r="P17642" s="46">
        <v>28800.0</v>
      </c>
    </row>
    <row r="17643">
      <c r="A17643" s="40">
        <f t="shared" si="1"/>
        <v>46013</v>
      </c>
      <c r="B17643" s="37" t="str">
        <f t="array" ref="B17643">iferror(xlookup($I17643, 'IMPORT VHC Report'!$E:$E, 'IMPORT VHC Report'!$A:$C), )</f>
        <v/>
      </c>
      <c r="C17643" s="44"/>
      <c r="D17643" s="44"/>
      <c r="E17643" s="46" t="s">
        <v>13882</v>
      </c>
      <c r="F17643" s="46" t="s">
        <v>4240</v>
      </c>
      <c r="G17643" s="46">
        <v>3.61861298275E11</v>
      </c>
      <c r="H17643" s="46" t="s">
        <v>4241</v>
      </c>
      <c r="I17643" s="46" t="s">
        <v>4242</v>
      </c>
      <c r="J17643" s="46" t="s">
        <v>134</v>
      </c>
      <c r="K17643" s="46" t="s">
        <v>126</v>
      </c>
      <c r="L17643" s="45">
        <v>46019.666666666664</v>
      </c>
      <c r="M17643" s="46" t="s">
        <v>123</v>
      </c>
      <c r="N17643" s="45">
        <v>46019.6875</v>
      </c>
      <c r="O17643" s="46" t="s">
        <v>123</v>
      </c>
      <c r="P17643" s="46">
        <v>1800.0</v>
      </c>
    </row>
    <row r="17644">
      <c r="A17644" s="40">
        <f t="shared" si="1"/>
        <v>46013</v>
      </c>
      <c r="B17644" s="37" t="str">
        <f t="array" ref="B17644">iferror(xlookup($I17644, 'IMPORT VHC Report'!$E:$E, 'IMPORT VHC Report'!$A:$C), )</f>
        <v/>
      </c>
      <c r="C17644" s="44"/>
      <c r="D17644" s="44"/>
      <c r="E17644" s="46" t="s">
        <v>13883</v>
      </c>
      <c r="F17644" s="46" t="s">
        <v>4240</v>
      </c>
      <c r="G17644" s="46">
        <v>3.61861298275E11</v>
      </c>
      <c r="H17644" s="46" t="s">
        <v>4241</v>
      </c>
      <c r="I17644" s="46" t="s">
        <v>4242</v>
      </c>
      <c r="J17644" s="46" t="s">
        <v>132</v>
      </c>
      <c r="K17644" s="46" t="s">
        <v>126</v>
      </c>
      <c r="L17644" s="45">
        <v>46019.78125</v>
      </c>
      <c r="M17644" s="46" t="s">
        <v>123</v>
      </c>
      <c r="N17644" s="45">
        <v>46019.822916666664</v>
      </c>
      <c r="O17644" s="46" t="s">
        <v>123</v>
      </c>
      <c r="P17644" s="46">
        <v>3600.0</v>
      </c>
    </row>
    <row r="17645">
      <c r="A17645" s="40">
        <f t="shared" si="1"/>
        <v>46013</v>
      </c>
      <c r="B17645" s="37" t="str">
        <f t="array" ref="B17645">iferror(xlookup($I17645, 'IMPORT VHC Report'!$E:$E, 'IMPORT VHC Report'!$A:$C), )</f>
        <v/>
      </c>
      <c r="C17645" s="44"/>
      <c r="D17645" s="44"/>
      <c r="E17645" s="46" t="s">
        <v>13884</v>
      </c>
      <c r="F17645" s="46" t="s">
        <v>6345</v>
      </c>
      <c r="G17645" s="46">
        <v>3.61731792395E11</v>
      </c>
      <c r="H17645" s="46" t="s">
        <v>6346</v>
      </c>
      <c r="I17645" s="46" t="s">
        <v>6347</v>
      </c>
      <c r="J17645" s="46" t="s">
        <v>4</v>
      </c>
      <c r="K17645" s="46" t="s">
        <v>126</v>
      </c>
      <c r="L17645" s="45">
        <v>46014.208333333336</v>
      </c>
      <c r="M17645" s="46" t="s">
        <v>123</v>
      </c>
      <c r="N17645" s="45">
        <v>46014.229166666664</v>
      </c>
      <c r="O17645" s="46" t="s">
        <v>123</v>
      </c>
      <c r="P17645" s="46">
        <v>1800.0</v>
      </c>
    </row>
    <row r="17646">
      <c r="A17646" s="40">
        <f t="shared" si="1"/>
        <v>46013</v>
      </c>
      <c r="B17646" s="37" t="str">
        <f t="array" ref="B17646">iferror(xlookup($I17646, 'IMPORT VHC Report'!$E:$E, 'IMPORT VHC Report'!$A:$C), )</f>
        <v/>
      </c>
      <c r="C17646" s="44"/>
      <c r="D17646" s="44"/>
      <c r="E17646" s="46" t="s">
        <v>13885</v>
      </c>
      <c r="F17646" s="46" t="s">
        <v>6345</v>
      </c>
      <c r="G17646" s="46">
        <v>3.61731792395E11</v>
      </c>
      <c r="H17646" s="46" t="s">
        <v>6346</v>
      </c>
      <c r="I17646" s="46" t="s">
        <v>6347</v>
      </c>
      <c r="J17646" s="46" t="s">
        <v>530</v>
      </c>
      <c r="K17646" s="46" t="s">
        <v>63</v>
      </c>
      <c r="L17646" s="45">
        <v>46014.208333333336</v>
      </c>
      <c r="M17646" s="46" t="s">
        <v>123</v>
      </c>
      <c r="N17646" s="45">
        <v>46014.583333333336</v>
      </c>
      <c r="O17646" s="46" t="s">
        <v>123</v>
      </c>
      <c r="P17646" s="46">
        <v>32400.0</v>
      </c>
    </row>
    <row r="17647">
      <c r="A17647" s="40">
        <f t="shared" si="1"/>
        <v>46013</v>
      </c>
      <c r="B17647" s="37" t="str">
        <f t="array" ref="B17647">iferror(xlookup($I17647, 'IMPORT VHC Report'!$E:$E, 'IMPORT VHC Report'!$A:$C), )</f>
        <v/>
      </c>
      <c r="C17647" s="44"/>
      <c r="D17647" s="44"/>
      <c r="E17647" s="46" t="s">
        <v>13886</v>
      </c>
      <c r="F17647" s="46" t="s">
        <v>6345</v>
      </c>
      <c r="G17647" s="46">
        <v>3.61731792395E11</v>
      </c>
      <c r="H17647" s="46" t="s">
        <v>6346</v>
      </c>
      <c r="I17647" s="46" t="s">
        <v>6347</v>
      </c>
      <c r="J17647" s="46" t="s">
        <v>132</v>
      </c>
      <c r="K17647" s="46" t="s">
        <v>126</v>
      </c>
      <c r="L17647" s="45">
        <v>46014.302083333336</v>
      </c>
      <c r="M17647" s="46" t="s">
        <v>123</v>
      </c>
      <c r="N17647" s="45">
        <v>46014.34375</v>
      </c>
      <c r="O17647" s="46" t="s">
        <v>123</v>
      </c>
      <c r="P17647" s="46">
        <v>3600.0</v>
      </c>
    </row>
    <row r="17648">
      <c r="A17648" s="40">
        <f t="shared" si="1"/>
        <v>46013</v>
      </c>
      <c r="B17648" s="37" t="str">
        <f t="array" ref="B17648">iferror(xlookup($I17648, 'IMPORT VHC Report'!$E:$E, 'IMPORT VHC Report'!$A:$C), )</f>
        <v/>
      </c>
      <c r="C17648" s="44"/>
      <c r="D17648" s="44"/>
      <c r="E17648" s="46" t="s">
        <v>13887</v>
      </c>
      <c r="F17648" s="46" t="s">
        <v>6345</v>
      </c>
      <c r="G17648" s="46">
        <v>3.61731792395E11</v>
      </c>
      <c r="H17648" s="46" t="s">
        <v>6346</v>
      </c>
      <c r="I17648" s="46" t="s">
        <v>6347</v>
      </c>
      <c r="J17648" s="46" t="s">
        <v>134</v>
      </c>
      <c r="K17648" s="46" t="s">
        <v>126</v>
      </c>
      <c r="L17648" s="45">
        <v>46014.4375</v>
      </c>
      <c r="M17648" s="46" t="s">
        <v>123</v>
      </c>
      <c r="N17648" s="45">
        <v>46014.458333333336</v>
      </c>
      <c r="O17648" s="46" t="s">
        <v>123</v>
      </c>
      <c r="P17648" s="46">
        <v>1800.0</v>
      </c>
    </row>
    <row r="17649">
      <c r="A17649" s="40">
        <f t="shared" si="1"/>
        <v>46013</v>
      </c>
      <c r="B17649" s="37" t="str">
        <f t="array" ref="B17649">iferror(xlookup($I17649, 'IMPORT VHC Report'!$E:$E, 'IMPORT VHC Report'!$A:$C), )</f>
        <v/>
      </c>
      <c r="C17649" s="44"/>
      <c r="D17649" s="44"/>
      <c r="E17649" s="46" t="s">
        <v>13888</v>
      </c>
      <c r="F17649" s="46" t="s">
        <v>6345</v>
      </c>
      <c r="G17649" s="46">
        <v>3.61731792395E11</v>
      </c>
      <c r="H17649" s="46" t="s">
        <v>6346</v>
      </c>
      <c r="I17649" s="46" t="s">
        <v>6347</v>
      </c>
      <c r="J17649" s="46" t="s">
        <v>4</v>
      </c>
      <c r="K17649" s="46" t="s">
        <v>126</v>
      </c>
      <c r="L17649" s="45">
        <v>46015.208333333336</v>
      </c>
      <c r="M17649" s="46" t="s">
        <v>123</v>
      </c>
      <c r="N17649" s="45">
        <v>46015.229166666664</v>
      </c>
      <c r="O17649" s="46" t="s">
        <v>123</v>
      </c>
      <c r="P17649" s="46">
        <v>1800.0</v>
      </c>
    </row>
    <row r="17650">
      <c r="A17650" s="40">
        <f t="shared" si="1"/>
        <v>46013</v>
      </c>
      <c r="B17650" s="37" t="str">
        <f t="array" ref="B17650">iferror(xlookup($I17650, 'IMPORT VHC Report'!$E:$E, 'IMPORT VHC Report'!$A:$C), )</f>
        <v/>
      </c>
      <c r="C17650" s="44"/>
      <c r="D17650" s="44"/>
      <c r="E17650" s="46" t="s">
        <v>13889</v>
      </c>
      <c r="F17650" s="46" t="s">
        <v>6345</v>
      </c>
      <c r="G17650" s="46">
        <v>3.61731792395E11</v>
      </c>
      <c r="H17650" s="46" t="s">
        <v>6346</v>
      </c>
      <c r="I17650" s="46" t="s">
        <v>6347</v>
      </c>
      <c r="J17650" s="46" t="s">
        <v>178</v>
      </c>
      <c r="K17650" s="46" t="s">
        <v>153</v>
      </c>
      <c r="L17650" s="45">
        <v>46015.208333333336</v>
      </c>
      <c r="M17650" s="46" t="s">
        <v>123</v>
      </c>
      <c r="N17650" s="45">
        <v>46015.583333333336</v>
      </c>
      <c r="O17650" s="46" t="s">
        <v>123</v>
      </c>
      <c r="P17650" s="46">
        <v>32400.0</v>
      </c>
      <c r="Q17650" s="46">
        <v>32400.0</v>
      </c>
      <c r="R17650" s="46" t="s">
        <v>13530</v>
      </c>
      <c r="S17650" s="46" t="s">
        <v>13530</v>
      </c>
    </row>
    <row r="17651">
      <c r="A17651" s="40">
        <f t="shared" si="1"/>
        <v>46013</v>
      </c>
      <c r="B17651" s="37" t="str">
        <f t="array" ref="B17651">iferror(xlookup($I17651, 'IMPORT VHC Report'!$E:$E, 'IMPORT VHC Report'!$A:$C), )</f>
        <v/>
      </c>
      <c r="C17651" s="44"/>
      <c r="D17651" s="44"/>
      <c r="E17651" s="46" t="s">
        <v>13890</v>
      </c>
      <c r="F17651" s="46" t="s">
        <v>6345</v>
      </c>
      <c r="G17651" s="46">
        <v>3.61731792395E11</v>
      </c>
      <c r="H17651" s="46" t="s">
        <v>6346</v>
      </c>
      <c r="I17651" s="46" t="s">
        <v>6347</v>
      </c>
      <c r="J17651" s="46" t="s">
        <v>530</v>
      </c>
      <c r="K17651" s="46" t="s">
        <v>63</v>
      </c>
      <c r="L17651" s="45">
        <v>46015.208333333336</v>
      </c>
      <c r="M17651" s="46" t="s">
        <v>123</v>
      </c>
      <c r="N17651" s="45">
        <v>46015.583333333336</v>
      </c>
      <c r="O17651" s="46" t="s">
        <v>123</v>
      </c>
      <c r="P17651" s="46">
        <v>32400.0</v>
      </c>
    </row>
    <row r="17652">
      <c r="A17652" s="40">
        <f t="shared" si="1"/>
        <v>46013</v>
      </c>
      <c r="B17652" s="37" t="str">
        <f t="array" ref="B17652">iferror(xlookup($I17652, 'IMPORT VHC Report'!$E:$E, 'IMPORT VHC Report'!$A:$C), )</f>
        <v/>
      </c>
      <c r="C17652" s="44"/>
      <c r="D17652" s="44"/>
      <c r="E17652" s="46" t="s">
        <v>13891</v>
      </c>
      <c r="F17652" s="46" t="s">
        <v>6345</v>
      </c>
      <c r="G17652" s="46">
        <v>3.61731792395E11</v>
      </c>
      <c r="H17652" s="46" t="s">
        <v>6346</v>
      </c>
      <c r="I17652" s="46" t="s">
        <v>6347</v>
      </c>
      <c r="J17652" s="46" t="s">
        <v>132</v>
      </c>
      <c r="K17652" s="46" t="s">
        <v>126</v>
      </c>
      <c r="L17652" s="45">
        <v>46015.302083333336</v>
      </c>
      <c r="M17652" s="46" t="s">
        <v>123</v>
      </c>
      <c r="N17652" s="45">
        <v>46015.34375</v>
      </c>
      <c r="O17652" s="46" t="s">
        <v>123</v>
      </c>
      <c r="P17652" s="46">
        <v>3600.0</v>
      </c>
    </row>
    <row r="17653">
      <c r="A17653" s="40">
        <f t="shared" si="1"/>
        <v>46013</v>
      </c>
      <c r="B17653" s="37" t="str">
        <f t="array" ref="B17653">iferror(xlookup($I17653, 'IMPORT VHC Report'!$E:$E, 'IMPORT VHC Report'!$A:$C), )</f>
        <v/>
      </c>
      <c r="C17653" s="44"/>
      <c r="D17653" s="44"/>
      <c r="E17653" s="46" t="s">
        <v>13892</v>
      </c>
      <c r="F17653" s="46" t="s">
        <v>6345</v>
      </c>
      <c r="G17653" s="46">
        <v>3.61731792395E11</v>
      </c>
      <c r="H17653" s="46" t="s">
        <v>6346</v>
      </c>
      <c r="I17653" s="46" t="s">
        <v>6347</v>
      </c>
      <c r="J17653" s="46" t="s">
        <v>134</v>
      </c>
      <c r="K17653" s="46" t="s">
        <v>126</v>
      </c>
      <c r="L17653" s="45">
        <v>46015.447916666664</v>
      </c>
      <c r="M17653" s="46" t="s">
        <v>123</v>
      </c>
      <c r="N17653" s="45">
        <v>46015.46875</v>
      </c>
      <c r="O17653" s="46" t="s">
        <v>123</v>
      </c>
      <c r="P17653" s="46">
        <v>1800.0</v>
      </c>
    </row>
    <row r="17654">
      <c r="A17654" s="40">
        <f t="shared" si="1"/>
        <v>46013</v>
      </c>
      <c r="B17654" s="37" t="str">
        <f t="array" ref="B17654">iferror(xlookup($I17654, 'IMPORT VHC Report'!$E:$E, 'IMPORT VHC Report'!$A:$C), )</f>
        <v/>
      </c>
      <c r="C17654" s="44"/>
      <c r="D17654" s="44"/>
      <c r="E17654" s="46" t="s">
        <v>13893</v>
      </c>
      <c r="F17654" s="46" t="s">
        <v>6345</v>
      </c>
      <c r="G17654" s="46">
        <v>3.61731792395E11</v>
      </c>
      <c r="H17654" s="46" t="s">
        <v>6346</v>
      </c>
      <c r="I17654" s="46" t="s">
        <v>6347</v>
      </c>
      <c r="J17654" s="46" t="s">
        <v>4</v>
      </c>
      <c r="K17654" s="46" t="s">
        <v>126</v>
      </c>
      <c r="L17654" s="45">
        <v>46016.208333333336</v>
      </c>
      <c r="M17654" s="46" t="s">
        <v>123</v>
      </c>
      <c r="N17654" s="45">
        <v>46016.229166666664</v>
      </c>
      <c r="O17654" s="46" t="s">
        <v>123</v>
      </c>
      <c r="P17654" s="46">
        <v>1800.0</v>
      </c>
    </row>
    <row r="17655">
      <c r="A17655" s="40">
        <f t="shared" si="1"/>
        <v>46013</v>
      </c>
      <c r="B17655" s="37" t="str">
        <f t="array" ref="B17655">iferror(xlookup($I17655, 'IMPORT VHC Report'!$E:$E, 'IMPORT VHC Report'!$A:$C), )</f>
        <v/>
      </c>
      <c r="C17655" s="44"/>
      <c r="D17655" s="44"/>
      <c r="E17655" s="46" t="s">
        <v>13894</v>
      </c>
      <c r="F17655" s="46" t="s">
        <v>6345</v>
      </c>
      <c r="G17655" s="46">
        <v>3.61731792395E11</v>
      </c>
      <c r="H17655" s="46" t="s">
        <v>6346</v>
      </c>
      <c r="I17655" s="46" t="s">
        <v>6347</v>
      </c>
      <c r="J17655" s="46" t="s">
        <v>178</v>
      </c>
      <c r="K17655" s="46" t="s">
        <v>153</v>
      </c>
      <c r="L17655" s="45">
        <v>46016.208333333336</v>
      </c>
      <c r="M17655" s="46" t="s">
        <v>123</v>
      </c>
      <c r="N17655" s="45">
        <v>46016.583333333336</v>
      </c>
      <c r="O17655" s="46" t="s">
        <v>123</v>
      </c>
      <c r="P17655" s="46">
        <v>32400.0</v>
      </c>
      <c r="Q17655" s="46">
        <v>32400.0</v>
      </c>
      <c r="R17655" s="46" t="s">
        <v>13530</v>
      </c>
      <c r="S17655" s="46" t="s">
        <v>13530</v>
      </c>
    </row>
    <row r="17656">
      <c r="A17656" s="40">
        <f t="shared" si="1"/>
        <v>46013</v>
      </c>
      <c r="B17656" s="37" t="str">
        <f t="array" ref="B17656">iferror(xlookup($I17656, 'IMPORT VHC Report'!$E:$E, 'IMPORT VHC Report'!$A:$C), )</f>
        <v/>
      </c>
      <c r="C17656" s="44"/>
      <c r="D17656" s="44"/>
      <c r="E17656" s="46" t="s">
        <v>13895</v>
      </c>
      <c r="F17656" s="46" t="s">
        <v>6345</v>
      </c>
      <c r="G17656" s="46">
        <v>3.61731792395E11</v>
      </c>
      <c r="H17656" s="46" t="s">
        <v>6346</v>
      </c>
      <c r="I17656" s="46" t="s">
        <v>6347</v>
      </c>
      <c r="J17656" s="46" t="s">
        <v>530</v>
      </c>
      <c r="K17656" s="46" t="s">
        <v>63</v>
      </c>
      <c r="L17656" s="45">
        <v>46016.208333333336</v>
      </c>
      <c r="M17656" s="46" t="s">
        <v>123</v>
      </c>
      <c r="N17656" s="45">
        <v>46016.583333333336</v>
      </c>
      <c r="O17656" s="46" t="s">
        <v>123</v>
      </c>
      <c r="P17656" s="46">
        <v>32400.0</v>
      </c>
    </row>
    <row r="17657">
      <c r="A17657" s="40">
        <f t="shared" si="1"/>
        <v>46013</v>
      </c>
      <c r="B17657" s="37" t="str">
        <f t="array" ref="B17657">iferror(xlookup($I17657, 'IMPORT VHC Report'!$E:$E, 'IMPORT VHC Report'!$A:$C), )</f>
        <v/>
      </c>
      <c r="C17657" s="44"/>
      <c r="D17657" s="44"/>
      <c r="E17657" s="46" t="s">
        <v>13896</v>
      </c>
      <c r="F17657" s="46" t="s">
        <v>6345</v>
      </c>
      <c r="G17657" s="46">
        <v>3.61731792395E11</v>
      </c>
      <c r="H17657" s="46" t="s">
        <v>6346</v>
      </c>
      <c r="I17657" s="46" t="s">
        <v>6347</v>
      </c>
      <c r="J17657" s="46" t="s">
        <v>132</v>
      </c>
      <c r="K17657" s="46" t="s">
        <v>126</v>
      </c>
      <c r="L17657" s="45">
        <v>46016.302083333336</v>
      </c>
      <c r="M17657" s="46" t="s">
        <v>123</v>
      </c>
      <c r="N17657" s="45">
        <v>46016.34375</v>
      </c>
      <c r="O17657" s="46" t="s">
        <v>123</v>
      </c>
      <c r="P17657" s="46">
        <v>3600.0</v>
      </c>
    </row>
    <row r="17658">
      <c r="A17658" s="40">
        <f t="shared" si="1"/>
        <v>46013</v>
      </c>
      <c r="B17658" s="37" t="str">
        <f t="array" ref="B17658">iferror(xlookup($I17658, 'IMPORT VHC Report'!$E:$E, 'IMPORT VHC Report'!$A:$C), )</f>
        <v/>
      </c>
      <c r="C17658" s="44"/>
      <c r="D17658" s="44"/>
      <c r="E17658" s="46" t="s">
        <v>13897</v>
      </c>
      <c r="F17658" s="46" t="s">
        <v>6345</v>
      </c>
      <c r="G17658" s="46">
        <v>3.61731792395E11</v>
      </c>
      <c r="H17658" s="46" t="s">
        <v>6346</v>
      </c>
      <c r="I17658" s="46" t="s">
        <v>6347</v>
      </c>
      <c r="J17658" s="46" t="s">
        <v>134</v>
      </c>
      <c r="K17658" s="46" t="s">
        <v>126</v>
      </c>
      <c r="L17658" s="45">
        <v>46016.447916666664</v>
      </c>
      <c r="M17658" s="46" t="s">
        <v>123</v>
      </c>
      <c r="N17658" s="45">
        <v>46016.46875</v>
      </c>
      <c r="O17658" s="46" t="s">
        <v>123</v>
      </c>
      <c r="P17658" s="46">
        <v>1800.0</v>
      </c>
    </row>
    <row r="17659">
      <c r="A17659" s="40">
        <f t="shared" si="1"/>
        <v>46013</v>
      </c>
      <c r="B17659" s="37" t="str">
        <f t="array" ref="B17659">iferror(xlookup($I17659, 'IMPORT VHC Report'!$E:$E, 'IMPORT VHC Report'!$A:$C), )</f>
        <v/>
      </c>
      <c r="C17659" s="44"/>
      <c r="D17659" s="44"/>
      <c r="E17659" s="46" t="s">
        <v>13898</v>
      </c>
      <c r="F17659" s="46" t="s">
        <v>6345</v>
      </c>
      <c r="G17659" s="46">
        <v>3.61731792395E11</v>
      </c>
      <c r="H17659" s="46" t="s">
        <v>6346</v>
      </c>
      <c r="I17659" s="46" t="s">
        <v>6347</v>
      </c>
      <c r="J17659" s="46" t="s">
        <v>4</v>
      </c>
      <c r="K17659" s="46" t="s">
        <v>126</v>
      </c>
      <c r="L17659" s="45">
        <v>46017.208333333336</v>
      </c>
      <c r="M17659" s="46" t="s">
        <v>123</v>
      </c>
      <c r="N17659" s="45">
        <v>46017.229166666664</v>
      </c>
      <c r="O17659" s="46" t="s">
        <v>123</v>
      </c>
      <c r="P17659" s="46">
        <v>1800.0</v>
      </c>
    </row>
    <row r="17660">
      <c r="A17660" s="40">
        <f t="shared" si="1"/>
        <v>46013</v>
      </c>
      <c r="B17660" s="37" t="str">
        <f t="array" ref="B17660">iferror(xlookup($I17660, 'IMPORT VHC Report'!$E:$E, 'IMPORT VHC Report'!$A:$C), )</f>
        <v/>
      </c>
      <c r="C17660" s="44"/>
      <c r="D17660" s="44"/>
      <c r="E17660" s="46" t="s">
        <v>13899</v>
      </c>
      <c r="F17660" s="46" t="s">
        <v>6345</v>
      </c>
      <c r="G17660" s="46">
        <v>3.61731792395E11</v>
      </c>
      <c r="H17660" s="46" t="s">
        <v>6346</v>
      </c>
      <c r="I17660" s="46" t="s">
        <v>6347</v>
      </c>
      <c r="J17660" s="46" t="s">
        <v>530</v>
      </c>
      <c r="K17660" s="46" t="s">
        <v>63</v>
      </c>
      <c r="L17660" s="45">
        <v>46017.208333333336</v>
      </c>
      <c r="M17660" s="46" t="s">
        <v>123</v>
      </c>
      <c r="N17660" s="45">
        <v>46017.5625</v>
      </c>
      <c r="O17660" s="46" t="s">
        <v>123</v>
      </c>
      <c r="P17660" s="46">
        <v>30600.0</v>
      </c>
    </row>
    <row r="17661">
      <c r="A17661" s="40">
        <f t="shared" si="1"/>
        <v>46013</v>
      </c>
      <c r="B17661" s="37" t="str">
        <f t="array" ref="B17661">iferror(xlookup($I17661, 'IMPORT VHC Report'!$E:$E, 'IMPORT VHC Report'!$A:$C), )</f>
        <v/>
      </c>
      <c r="C17661" s="44"/>
      <c r="D17661" s="44"/>
      <c r="E17661" s="46" t="s">
        <v>13900</v>
      </c>
      <c r="F17661" s="46" t="s">
        <v>6345</v>
      </c>
      <c r="G17661" s="46">
        <v>3.61731792395E11</v>
      </c>
      <c r="H17661" s="46" t="s">
        <v>6346</v>
      </c>
      <c r="I17661" s="46" t="s">
        <v>6347</v>
      </c>
      <c r="J17661" s="46" t="s">
        <v>134</v>
      </c>
      <c r="K17661" s="46" t="s">
        <v>126</v>
      </c>
      <c r="L17661" s="45">
        <v>46017.302083333336</v>
      </c>
      <c r="M17661" s="46" t="s">
        <v>123</v>
      </c>
      <c r="N17661" s="45">
        <v>46017.322916666664</v>
      </c>
      <c r="O17661" s="46" t="s">
        <v>123</v>
      </c>
      <c r="P17661" s="46">
        <v>1800.0</v>
      </c>
    </row>
    <row r="17662">
      <c r="A17662" s="40">
        <f t="shared" si="1"/>
        <v>46013</v>
      </c>
      <c r="B17662" s="37" t="str">
        <f t="array" ref="B17662">iferror(xlookup($I17662, 'IMPORT VHC Report'!$E:$E, 'IMPORT VHC Report'!$A:$C), )</f>
        <v/>
      </c>
      <c r="C17662" s="44"/>
      <c r="D17662" s="44"/>
      <c r="E17662" s="46" t="s">
        <v>13901</v>
      </c>
      <c r="F17662" s="46" t="s">
        <v>6345</v>
      </c>
      <c r="G17662" s="46">
        <v>3.61731792395E11</v>
      </c>
      <c r="H17662" s="46" t="s">
        <v>6346</v>
      </c>
      <c r="I17662" s="46" t="s">
        <v>6347</v>
      </c>
      <c r="J17662" s="46" t="s">
        <v>132</v>
      </c>
      <c r="K17662" s="46" t="s">
        <v>126</v>
      </c>
      <c r="L17662" s="45">
        <v>46017.4375</v>
      </c>
      <c r="M17662" s="46" t="s">
        <v>123</v>
      </c>
      <c r="N17662" s="45">
        <v>46017.479166666664</v>
      </c>
      <c r="O17662" s="46" t="s">
        <v>123</v>
      </c>
      <c r="P17662" s="46">
        <v>3600.0</v>
      </c>
    </row>
    <row r="17663">
      <c r="A17663" s="40">
        <f t="shared" si="1"/>
        <v>46013</v>
      </c>
      <c r="B17663" s="37" t="str">
        <f t="array" ref="B17663">iferror(xlookup($I17663, 'IMPORT VHC Report'!$E:$E, 'IMPORT VHC Report'!$A:$C), )</f>
        <v/>
      </c>
      <c r="C17663" s="44"/>
      <c r="D17663" s="44"/>
      <c r="E17663" s="46" t="s">
        <v>13902</v>
      </c>
      <c r="F17663" s="46" t="s">
        <v>6345</v>
      </c>
      <c r="G17663" s="46">
        <v>3.61731792395E11</v>
      </c>
      <c r="H17663" s="46" t="s">
        <v>6346</v>
      </c>
      <c r="I17663" s="46" t="s">
        <v>6347</v>
      </c>
      <c r="J17663" s="46" t="s">
        <v>62</v>
      </c>
      <c r="K17663" s="46" t="s">
        <v>63</v>
      </c>
      <c r="L17663" s="45">
        <v>46017.5625</v>
      </c>
      <c r="M17663" s="46" t="s">
        <v>123</v>
      </c>
      <c r="N17663" s="45">
        <v>46017.583333333336</v>
      </c>
      <c r="O17663" s="46" t="s">
        <v>123</v>
      </c>
      <c r="P17663" s="46">
        <v>1800.0</v>
      </c>
    </row>
    <row r="17664">
      <c r="A17664" s="40">
        <f t="shared" si="1"/>
        <v>46013</v>
      </c>
      <c r="B17664" s="37" t="str">
        <f t="array" ref="B17664">iferror(xlookup($I17664, 'IMPORT VHC Report'!$E:$E, 'IMPORT VHC Report'!$A:$C), )</f>
        <v/>
      </c>
      <c r="C17664" s="44"/>
      <c r="D17664" s="44"/>
      <c r="E17664" s="46" t="s">
        <v>13903</v>
      </c>
      <c r="F17664" s="46" t="s">
        <v>6345</v>
      </c>
      <c r="G17664" s="46">
        <v>3.61731792395E11</v>
      </c>
      <c r="H17664" s="46" t="s">
        <v>6346</v>
      </c>
      <c r="I17664" s="46" t="s">
        <v>6347</v>
      </c>
      <c r="J17664" s="46" t="s">
        <v>4</v>
      </c>
      <c r="K17664" s="46" t="s">
        <v>126</v>
      </c>
      <c r="L17664" s="45">
        <v>46018.208333333336</v>
      </c>
      <c r="M17664" s="46" t="s">
        <v>123</v>
      </c>
      <c r="N17664" s="45">
        <v>46018.229166666664</v>
      </c>
      <c r="O17664" s="46" t="s">
        <v>123</v>
      </c>
      <c r="P17664" s="46">
        <v>1800.0</v>
      </c>
    </row>
    <row r="17665">
      <c r="A17665" s="40">
        <f t="shared" si="1"/>
        <v>46013</v>
      </c>
      <c r="B17665" s="37" t="str">
        <f t="array" ref="B17665">iferror(xlookup($I17665, 'IMPORT VHC Report'!$E:$E, 'IMPORT VHC Report'!$A:$C), )</f>
        <v/>
      </c>
      <c r="C17665" s="44"/>
      <c r="D17665" s="44"/>
      <c r="E17665" s="46" t="s">
        <v>13904</v>
      </c>
      <c r="F17665" s="46" t="s">
        <v>6345</v>
      </c>
      <c r="G17665" s="46">
        <v>3.61731792395E11</v>
      </c>
      <c r="H17665" s="46" t="s">
        <v>6346</v>
      </c>
      <c r="I17665" s="46" t="s">
        <v>6347</v>
      </c>
      <c r="J17665" s="46" t="s">
        <v>530</v>
      </c>
      <c r="K17665" s="46" t="s">
        <v>63</v>
      </c>
      <c r="L17665" s="45">
        <v>46018.208333333336</v>
      </c>
      <c r="M17665" s="46" t="s">
        <v>123</v>
      </c>
      <c r="N17665" s="45">
        <v>46018.583333333336</v>
      </c>
      <c r="O17665" s="46" t="s">
        <v>123</v>
      </c>
      <c r="P17665" s="46">
        <v>32400.0</v>
      </c>
    </row>
    <row r="17666">
      <c r="A17666" s="40">
        <f t="shared" si="1"/>
        <v>46013</v>
      </c>
      <c r="B17666" s="37" t="str">
        <f t="array" ref="B17666">iferror(xlookup($I17666, 'IMPORT VHC Report'!$E:$E, 'IMPORT VHC Report'!$A:$C), )</f>
        <v/>
      </c>
      <c r="C17666" s="44"/>
      <c r="D17666" s="44"/>
      <c r="E17666" s="46" t="s">
        <v>13905</v>
      </c>
      <c r="F17666" s="46" t="s">
        <v>6345</v>
      </c>
      <c r="G17666" s="46">
        <v>3.61731792395E11</v>
      </c>
      <c r="H17666" s="46" t="s">
        <v>6346</v>
      </c>
      <c r="I17666" s="46" t="s">
        <v>6347</v>
      </c>
      <c r="J17666" s="46" t="s">
        <v>134</v>
      </c>
      <c r="K17666" s="46" t="s">
        <v>126</v>
      </c>
      <c r="L17666" s="45">
        <v>46018.3125</v>
      </c>
      <c r="M17666" s="46" t="s">
        <v>123</v>
      </c>
      <c r="N17666" s="45">
        <v>46018.333333333336</v>
      </c>
      <c r="O17666" s="46" t="s">
        <v>123</v>
      </c>
      <c r="P17666" s="46">
        <v>1800.0</v>
      </c>
    </row>
    <row r="17667">
      <c r="A17667" s="40">
        <f t="shared" si="1"/>
        <v>46013</v>
      </c>
      <c r="B17667" s="37" t="str">
        <f t="array" ref="B17667">iferror(xlookup($I17667, 'IMPORT VHC Report'!$E:$E, 'IMPORT VHC Report'!$A:$C), )</f>
        <v/>
      </c>
      <c r="C17667" s="44"/>
      <c r="D17667" s="44"/>
      <c r="E17667" s="46" t="s">
        <v>13906</v>
      </c>
      <c r="F17667" s="46" t="s">
        <v>6345</v>
      </c>
      <c r="G17667" s="46">
        <v>3.61731792395E11</v>
      </c>
      <c r="H17667" s="46" t="s">
        <v>6346</v>
      </c>
      <c r="I17667" s="46" t="s">
        <v>6347</v>
      </c>
      <c r="J17667" s="46" t="s">
        <v>132</v>
      </c>
      <c r="K17667" s="46" t="s">
        <v>126</v>
      </c>
      <c r="L17667" s="45">
        <v>46018.458333333336</v>
      </c>
      <c r="M17667" s="46" t="s">
        <v>123</v>
      </c>
      <c r="N17667" s="45">
        <v>46018.5</v>
      </c>
      <c r="O17667" s="46" t="s">
        <v>123</v>
      </c>
      <c r="P17667" s="46">
        <v>3600.0</v>
      </c>
    </row>
    <row r="17668">
      <c r="A17668" s="40">
        <f t="shared" si="1"/>
        <v>46013</v>
      </c>
      <c r="B17668" s="37" t="str">
        <f t="array" ref="B17668">iferror(xlookup($I17668, 'IMPORT VHC Report'!$E:$E, 'IMPORT VHC Report'!$A:$C), )</f>
        <v/>
      </c>
      <c r="C17668" s="44"/>
      <c r="D17668" s="44"/>
      <c r="E17668" s="46" t="s">
        <v>13907</v>
      </c>
      <c r="F17668" s="46" t="s">
        <v>6370</v>
      </c>
      <c r="G17668" s="46">
        <v>3.61964324536E11</v>
      </c>
      <c r="H17668" s="46" t="s">
        <v>6371</v>
      </c>
      <c r="I17668" s="46" t="s">
        <v>6372</v>
      </c>
      <c r="J17668" s="46" t="s">
        <v>4</v>
      </c>
      <c r="K17668" s="46" t="s">
        <v>126</v>
      </c>
      <c r="L17668" s="45">
        <v>46014.208333333336</v>
      </c>
      <c r="M17668" s="46" t="s">
        <v>123</v>
      </c>
      <c r="N17668" s="45">
        <v>46014.229166666664</v>
      </c>
      <c r="O17668" s="46" t="s">
        <v>123</v>
      </c>
      <c r="P17668" s="46">
        <v>1800.0</v>
      </c>
    </row>
    <row r="17669">
      <c r="A17669" s="40">
        <f t="shared" si="1"/>
        <v>46013</v>
      </c>
      <c r="B17669" s="37" t="str">
        <f t="array" ref="B17669">iferror(xlookup($I17669, 'IMPORT VHC Report'!$E:$E, 'IMPORT VHC Report'!$A:$C), )</f>
        <v/>
      </c>
      <c r="C17669" s="44"/>
      <c r="D17669" s="44"/>
      <c r="E17669" s="46" t="s">
        <v>13908</v>
      </c>
      <c r="F17669" s="46" t="s">
        <v>6370</v>
      </c>
      <c r="G17669" s="46">
        <v>3.61964324536E11</v>
      </c>
      <c r="H17669" s="46" t="s">
        <v>6371</v>
      </c>
      <c r="I17669" s="46" t="s">
        <v>6372</v>
      </c>
      <c r="J17669" s="46" t="s">
        <v>530</v>
      </c>
      <c r="K17669" s="46" t="s">
        <v>63</v>
      </c>
      <c r="L17669" s="45">
        <v>46014.208333333336</v>
      </c>
      <c r="M17669" s="46" t="s">
        <v>123</v>
      </c>
      <c r="N17669" s="45">
        <v>46014.583333333336</v>
      </c>
      <c r="O17669" s="46" t="s">
        <v>123</v>
      </c>
      <c r="P17669" s="46">
        <v>32400.0</v>
      </c>
    </row>
    <row r="17670">
      <c r="A17670" s="40">
        <f t="shared" si="1"/>
        <v>46013</v>
      </c>
      <c r="B17670" s="37" t="str">
        <f t="array" ref="B17670">iferror(xlookup($I17670, 'IMPORT VHC Report'!$E:$E, 'IMPORT VHC Report'!$A:$C), )</f>
        <v/>
      </c>
      <c r="C17670" s="44"/>
      <c r="D17670" s="44"/>
      <c r="E17670" s="46" t="s">
        <v>13909</v>
      </c>
      <c r="F17670" s="46" t="s">
        <v>6370</v>
      </c>
      <c r="G17670" s="46">
        <v>3.61964324536E11</v>
      </c>
      <c r="H17670" s="46" t="s">
        <v>6371</v>
      </c>
      <c r="I17670" s="46" t="s">
        <v>6372</v>
      </c>
      <c r="J17670" s="46" t="s">
        <v>152</v>
      </c>
      <c r="K17670" s="46" t="s">
        <v>153</v>
      </c>
      <c r="L17670" s="45">
        <v>46014.208333333336</v>
      </c>
      <c r="M17670" s="46" t="s">
        <v>123</v>
      </c>
      <c r="N17670" s="45">
        <v>46014.583333333336</v>
      </c>
      <c r="O17670" s="46" t="s">
        <v>123</v>
      </c>
      <c r="P17670" s="46">
        <v>32400.0</v>
      </c>
      <c r="Q17670" s="46">
        <v>28800.0</v>
      </c>
      <c r="R17670" s="46" t="s">
        <v>421</v>
      </c>
    </row>
    <row r="17671">
      <c r="A17671" s="40">
        <f t="shared" si="1"/>
        <v>46013</v>
      </c>
      <c r="B17671" s="37" t="str">
        <f t="array" ref="B17671">iferror(xlookup($I17671, 'IMPORT VHC Report'!$E:$E, 'IMPORT VHC Report'!$A:$C), )</f>
        <v/>
      </c>
      <c r="C17671" s="44"/>
      <c r="D17671" s="44"/>
      <c r="E17671" s="46" t="s">
        <v>13910</v>
      </c>
      <c r="F17671" s="46" t="s">
        <v>6370</v>
      </c>
      <c r="G17671" s="46">
        <v>3.61964324536E11</v>
      </c>
      <c r="H17671" s="46" t="s">
        <v>6371</v>
      </c>
      <c r="I17671" s="46" t="s">
        <v>6372</v>
      </c>
      <c r="J17671" s="46" t="s">
        <v>132</v>
      </c>
      <c r="K17671" s="46" t="s">
        <v>126</v>
      </c>
      <c r="L17671" s="45">
        <v>46014.3125</v>
      </c>
      <c r="M17671" s="46" t="s">
        <v>123</v>
      </c>
      <c r="N17671" s="45">
        <v>46014.354166666664</v>
      </c>
      <c r="O17671" s="46" t="s">
        <v>123</v>
      </c>
      <c r="P17671" s="46">
        <v>3600.0</v>
      </c>
    </row>
    <row r="17672">
      <c r="A17672" s="40">
        <f t="shared" si="1"/>
        <v>46013</v>
      </c>
      <c r="B17672" s="37" t="str">
        <f t="array" ref="B17672">iferror(xlookup($I17672, 'IMPORT VHC Report'!$E:$E, 'IMPORT VHC Report'!$A:$C), )</f>
        <v/>
      </c>
      <c r="C17672" s="44"/>
      <c r="D17672" s="44"/>
      <c r="E17672" s="46" t="s">
        <v>13911</v>
      </c>
      <c r="F17672" s="46" t="s">
        <v>6370</v>
      </c>
      <c r="G17672" s="46">
        <v>3.61964324536E11</v>
      </c>
      <c r="H17672" s="46" t="s">
        <v>6371</v>
      </c>
      <c r="I17672" s="46" t="s">
        <v>6372</v>
      </c>
      <c r="J17672" s="46" t="s">
        <v>134</v>
      </c>
      <c r="K17672" s="46" t="s">
        <v>126</v>
      </c>
      <c r="L17672" s="45">
        <v>46014.479166666664</v>
      </c>
      <c r="M17672" s="46" t="s">
        <v>123</v>
      </c>
      <c r="N17672" s="45">
        <v>46014.5</v>
      </c>
      <c r="O17672" s="46" t="s">
        <v>123</v>
      </c>
      <c r="P17672" s="46">
        <v>1800.0</v>
      </c>
    </row>
    <row r="17673">
      <c r="A17673" s="40">
        <f t="shared" si="1"/>
        <v>46013</v>
      </c>
      <c r="B17673" s="37" t="str">
        <f t="array" ref="B17673">iferror(xlookup($I17673, 'IMPORT VHC Report'!$E:$E, 'IMPORT VHC Report'!$A:$C), )</f>
        <v/>
      </c>
      <c r="C17673" s="44"/>
      <c r="D17673" s="44"/>
      <c r="E17673" s="46" t="s">
        <v>13912</v>
      </c>
      <c r="F17673" s="46" t="s">
        <v>6370</v>
      </c>
      <c r="G17673" s="46">
        <v>3.61964324536E11</v>
      </c>
      <c r="H17673" s="46" t="s">
        <v>6371</v>
      </c>
      <c r="I17673" s="46" t="s">
        <v>6372</v>
      </c>
      <c r="J17673" s="46" t="s">
        <v>4</v>
      </c>
      <c r="K17673" s="46" t="s">
        <v>126</v>
      </c>
      <c r="L17673" s="45">
        <v>46015.208333333336</v>
      </c>
      <c r="M17673" s="46" t="s">
        <v>123</v>
      </c>
      <c r="N17673" s="45">
        <v>46015.25</v>
      </c>
      <c r="O17673" s="46" t="s">
        <v>123</v>
      </c>
      <c r="P17673" s="46">
        <v>3600.0</v>
      </c>
    </row>
    <row r="17674">
      <c r="A17674" s="40">
        <f t="shared" si="1"/>
        <v>46013</v>
      </c>
      <c r="B17674" s="37" t="str">
        <f t="array" ref="B17674">iferror(xlookup($I17674, 'IMPORT VHC Report'!$E:$E, 'IMPORT VHC Report'!$A:$C), )</f>
        <v/>
      </c>
      <c r="C17674" s="44"/>
      <c r="D17674" s="44"/>
      <c r="E17674" s="46" t="s">
        <v>13913</v>
      </c>
      <c r="F17674" s="46" t="s">
        <v>6370</v>
      </c>
      <c r="G17674" s="46">
        <v>3.61964324536E11</v>
      </c>
      <c r="H17674" s="46" t="s">
        <v>6371</v>
      </c>
      <c r="I17674" s="46" t="s">
        <v>6372</v>
      </c>
      <c r="J17674" s="46" t="s">
        <v>125</v>
      </c>
      <c r="K17674" s="46" t="s">
        <v>126</v>
      </c>
      <c r="L17674" s="45">
        <v>46015.25</v>
      </c>
      <c r="M17674" s="46" t="s">
        <v>123</v>
      </c>
      <c r="N17674" s="45">
        <v>46015.270833333336</v>
      </c>
      <c r="O17674" s="46" t="s">
        <v>123</v>
      </c>
      <c r="P17674" s="46">
        <v>1800.0</v>
      </c>
    </row>
    <row r="17675">
      <c r="A17675" s="40">
        <f t="shared" si="1"/>
        <v>46013</v>
      </c>
      <c r="B17675" s="37" t="str">
        <f t="array" ref="B17675">iferror(xlookup($I17675, 'IMPORT VHC Report'!$E:$E, 'IMPORT VHC Report'!$A:$C), )</f>
        <v/>
      </c>
      <c r="C17675" s="44"/>
      <c r="D17675" s="44"/>
      <c r="E17675" s="46" t="s">
        <v>13914</v>
      </c>
      <c r="F17675" s="46" t="s">
        <v>6370</v>
      </c>
      <c r="G17675" s="46">
        <v>3.61964324536E11</v>
      </c>
      <c r="H17675" s="46" t="s">
        <v>6371</v>
      </c>
      <c r="I17675" s="46" t="s">
        <v>6372</v>
      </c>
      <c r="J17675" s="46" t="s">
        <v>530</v>
      </c>
      <c r="K17675" s="46" t="s">
        <v>63</v>
      </c>
      <c r="L17675" s="45">
        <v>46015.270833333336</v>
      </c>
      <c r="M17675" s="46" t="s">
        <v>123</v>
      </c>
      <c r="N17675" s="45">
        <v>46015.354166666664</v>
      </c>
      <c r="O17675" s="46" t="s">
        <v>123</v>
      </c>
      <c r="P17675" s="46">
        <v>7200.0</v>
      </c>
    </row>
    <row r="17676">
      <c r="A17676" s="40">
        <f t="shared" si="1"/>
        <v>46013</v>
      </c>
      <c r="B17676" s="37" t="str">
        <f t="array" ref="B17676">iferror(xlookup($I17676, 'IMPORT VHC Report'!$E:$E, 'IMPORT VHC Report'!$A:$C), )</f>
        <v/>
      </c>
      <c r="C17676" s="44"/>
      <c r="D17676" s="44"/>
      <c r="E17676" s="46" t="s">
        <v>13915</v>
      </c>
      <c r="F17676" s="46" t="s">
        <v>6370</v>
      </c>
      <c r="G17676" s="46">
        <v>3.61964324536E11</v>
      </c>
      <c r="H17676" s="46" t="s">
        <v>6371</v>
      </c>
      <c r="I17676" s="46" t="s">
        <v>6372</v>
      </c>
      <c r="J17676" s="46" t="s">
        <v>132</v>
      </c>
      <c r="K17676" s="46" t="s">
        <v>126</v>
      </c>
      <c r="L17676" s="45">
        <v>46015.354166666664</v>
      </c>
      <c r="M17676" s="46" t="s">
        <v>123</v>
      </c>
      <c r="N17676" s="45">
        <v>46015.395833333336</v>
      </c>
      <c r="O17676" s="46" t="s">
        <v>123</v>
      </c>
      <c r="P17676" s="46">
        <v>3600.0</v>
      </c>
    </row>
    <row r="17677">
      <c r="A17677" s="40">
        <f t="shared" si="1"/>
        <v>46013</v>
      </c>
      <c r="B17677" s="37" t="str">
        <f t="array" ref="B17677">iferror(xlookup($I17677, 'IMPORT VHC Report'!$E:$E, 'IMPORT VHC Report'!$A:$C), )</f>
        <v/>
      </c>
      <c r="C17677" s="44"/>
      <c r="D17677" s="44"/>
      <c r="E17677" s="46" t="s">
        <v>13916</v>
      </c>
      <c r="F17677" s="46" t="s">
        <v>6370</v>
      </c>
      <c r="G17677" s="46">
        <v>3.61964324536E11</v>
      </c>
      <c r="H17677" s="46" t="s">
        <v>6371</v>
      </c>
      <c r="I17677" s="46" t="s">
        <v>6372</v>
      </c>
      <c r="J17677" s="46" t="s">
        <v>134</v>
      </c>
      <c r="K17677" s="46" t="s">
        <v>126</v>
      </c>
      <c r="L17677" s="45">
        <v>46015.395833333336</v>
      </c>
      <c r="M17677" s="46" t="s">
        <v>123</v>
      </c>
      <c r="N17677" s="45">
        <v>46015.416666666664</v>
      </c>
      <c r="O17677" s="46" t="s">
        <v>123</v>
      </c>
      <c r="P17677" s="46">
        <v>1800.0</v>
      </c>
    </row>
    <row r="17678">
      <c r="A17678" s="40">
        <f t="shared" si="1"/>
        <v>46013</v>
      </c>
      <c r="B17678" s="37" t="str">
        <f t="array" ref="B17678">iferror(xlookup($I17678, 'IMPORT VHC Report'!$E:$E, 'IMPORT VHC Report'!$A:$C), )</f>
        <v/>
      </c>
      <c r="C17678" s="44"/>
      <c r="D17678" s="44"/>
      <c r="E17678" s="46" t="s">
        <v>13917</v>
      </c>
      <c r="F17678" s="46" t="s">
        <v>6370</v>
      </c>
      <c r="G17678" s="46">
        <v>3.61964324536E11</v>
      </c>
      <c r="H17678" s="46" t="s">
        <v>6371</v>
      </c>
      <c r="I17678" s="46" t="s">
        <v>6372</v>
      </c>
      <c r="J17678" s="46" t="s">
        <v>125</v>
      </c>
      <c r="K17678" s="46" t="s">
        <v>126</v>
      </c>
      <c r="L17678" s="45">
        <v>46015.416666666664</v>
      </c>
      <c r="M17678" s="46" t="s">
        <v>123</v>
      </c>
      <c r="N17678" s="45">
        <v>46015.42847222222</v>
      </c>
      <c r="O17678" s="46" t="s">
        <v>123</v>
      </c>
      <c r="P17678" s="46">
        <v>1020.0</v>
      </c>
    </row>
    <row r="17679">
      <c r="A17679" s="40">
        <f t="shared" si="1"/>
        <v>46013</v>
      </c>
      <c r="B17679" s="37" t="str">
        <f t="array" ref="B17679">iferror(xlookup($I17679, 'IMPORT VHC Report'!$E:$E, 'IMPORT VHC Report'!$A:$C), )</f>
        <v/>
      </c>
      <c r="C17679" s="44"/>
      <c r="D17679" s="44"/>
      <c r="E17679" s="46" t="s">
        <v>13918</v>
      </c>
      <c r="F17679" s="46" t="s">
        <v>6370</v>
      </c>
      <c r="G17679" s="46">
        <v>3.61964324536E11</v>
      </c>
      <c r="H17679" s="46" t="s">
        <v>6371</v>
      </c>
      <c r="I17679" s="46" t="s">
        <v>6372</v>
      </c>
      <c r="J17679" s="46" t="s">
        <v>530</v>
      </c>
      <c r="K17679" s="46" t="s">
        <v>63</v>
      </c>
      <c r="L17679" s="45">
        <v>46015.42847222222</v>
      </c>
      <c r="M17679" s="46" t="s">
        <v>123</v>
      </c>
      <c r="N17679" s="45">
        <v>46015.438888888886</v>
      </c>
      <c r="O17679" s="46" t="s">
        <v>123</v>
      </c>
      <c r="P17679" s="46">
        <v>900.0</v>
      </c>
    </row>
    <row r="17680">
      <c r="A17680" s="40">
        <f t="shared" si="1"/>
        <v>46013</v>
      </c>
      <c r="B17680" s="37" t="str">
        <f t="array" ref="B17680">iferror(xlookup($I17680, 'IMPORT VHC Report'!$E:$E, 'IMPORT VHC Report'!$A:$C), )</f>
        <v/>
      </c>
      <c r="C17680" s="44"/>
      <c r="D17680" s="44"/>
      <c r="E17680" s="46" t="s">
        <v>13919</v>
      </c>
      <c r="F17680" s="46" t="s">
        <v>6370</v>
      </c>
      <c r="G17680" s="46">
        <v>3.61964324536E11</v>
      </c>
      <c r="H17680" s="46" t="s">
        <v>6371</v>
      </c>
      <c r="I17680" s="46" t="s">
        <v>6372</v>
      </c>
      <c r="J17680" s="46" t="s">
        <v>125</v>
      </c>
      <c r="K17680" s="46" t="s">
        <v>126</v>
      </c>
      <c r="L17680" s="45">
        <v>46015.438888888886</v>
      </c>
      <c r="M17680" s="46" t="s">
        <v>123</v>
      </c>
      <c r="N17680" s="45">
        <v>46015.45</v>
      </c>
      <c r="O17680" s="46" t="s">
        <v>123</v>
      </c>
      <c r="P17680" s="46">
        <v>960.0</v>
      </c>
    </row>
    <row r="17681">
      <c r="A17681" s="40">
        <f t="shared" si="1"/>
        <v>46013</v>
      </c>
      <c r="B17681" s="37" t="str">
        <f t="array" ref="B17681">iferror(xlookup($I17681, 'IMPORT VHC Report'!$E:$E, 'IMPORT VHC Report'!$A:$C), )</f>
        <v/>
      </c>
      <c r="C17681" s="44"/>
      <c r="D17681" s="44"/>
      <c r="E17681" s="46" t="s">
        <v>13920</v>
      </c>
      <c r="F17681" s="46" t="s">
        <v>6370</v>
      </c>
      <c r="G17681" s="46">
        <v>3.61964324536E11</v>
      </c>
      <c r="H17681" s="46" t="s">
        <v>6371</v>
      </c>
      <c r="I17681" s="46" t="s">
        <v>6372</v>
      </c>
      <c r="J17681" s="46" t="s">
        <v>530</v>
      </c>
      <c r="K17681" s="46" t="s">
        <v>63</v>
      </c>
      <c r="L17681" s="45">
        <v>46015.45</v>
      </c>
      <c r="M17681" s="46" t="s">
        <v>123</v>
      </c>
      <c r="N17681" s="45">
        <v>46015.450694444444</v>
      </c>
      <c r="O17681" s="46" t="s">
        <v>123</v>
      </c>
      <c r="P17681" s="46">
        <v>60.0</v>
      </c>
    </row>
    <row r="17682">
      <c r="A17682" s="40">
        <f t="shared" si="1"/>
        <v>46013</v>
      </c>
      <c r="B17682" s="37" t="str">
        <f t="array" ref="B17682">iferror(xlookup($I17682, 'IMPORT VHC Report'!$E:$E, 'IMPORT VHC Report'!$A:$C), )</f>
        <v/>
      </c>
      <c r="C17682" s="44"/>
      <c r="D17682" s="44"/>
      <c r="E17682" s="46" t="s">
        <v>13921</v>
      </c>
      <c r="F17682" s="46" t="s">
        <v>6370</v>
      </c>
      <c r="G17682" s="46">
        <v>3.61964324536E11</v>
      </c>
      <c r="H17682" s="46" t="s">
        <v>6371</v>
      </c>
      <c r="I17682" s="46" t="s">
        <v>6372</v>
      </c>
      <c r="J17682" s="46" t="s">
        <v>125</v>
      </c>
      <c r="K17682" s="46" t="s">
        <v>126</v>
      </c>
      <c r="L17682" s="45">
        <v>46015.450694444444</v>
      </c>
      <c r="M17682" s="46" t="s">
        <v>123</v>
      </c>
      <c r="N17682" s="45">
        <v>46015.49791666667</v>
      </c>
      <c r="O17682" s="46" t="s">
        <v>123</v>
      </c>
      <c r="P17682" s="46">
        <v>4080.0</v>
      </c>
    </row>
    <row r="17683">
      <c r="A17683" s="40">
        <f t="shared" si="1"/>
        <v>46013</v>
      </c>
      <c r="B17683" s="37" t="str">
        <f t="array" ref="B17683">iferror(xlookup($I17683, 'IMPORT VHC Report'!$E:$E, 'IMPORT VHC Report'!$A:$C), )</f>
        <v/>
      </c>
      <c r="C17683" s="44"/>
      <c r="D17683" s="44"/>
      <c r="E17683" s="46" t="s">
        <v>13922</v>
      </c>
      <c r="F17683" s="46" t="s">
        <v>6370</v>
      </c>
      <c r="G17683" s="46">
        <v>3.61964324536E11</v>
      </c>
      <c r="H17683" s="46" t="s">
        <v>6371</v>
      </c>
      <c r="I17683" s="46" t="s">
        <v>6372</v>
      </c>
      <c r="J17683" s="46" t="s">
        <v>530</v>
      </c>
      <c r="K17683" s="46" t="s">
        <v>63</v>
      </c>
      <c r="L17683" s="45">
        <v>46015.49791666667</v>
      </c>
      <c r="M17683" s="46" t="s">
        <v>123</v>
      </c>
      <c r="N17683" s="45">
        <v>46015.52777777778</v>
      </c>
      <c r="O17683" s="46" t="s">
        <v>123</v>
      </c>
      <c r="P17683" s="46">
        <v>2580.0</v>
      </c>
    </row>
    <row r="17684">
      <c r="A17684" s="40">
        <f t="shared" si="1"/>
        <v>46013</v>
      </c>
      <c r="B17684" s="37" t="str">
        <f t="array" ref="B17684">iferror(xlookup($I17684, 'IMPORT VHC Report'!$E:$E, 'IMPORT VHC Report'!$A:$C), )</f>
        <v/>
      </c>
      <c r="C17684" s="44"/>
      <c r="D17684" s="44"/>
      <c r="E17684" s="46" t="s">
        <v>13923</v>
      </c>
      <c r="F17684" s="46" t="s">
        <v>6370</v>
      </c>
      <c r="G17684" s="46">
        <v>3.61964324536E11</v>
      </c>
      <c r="H17684" s="46" t="s">
        <v>6371</v>
      </c>
      <c r="I17684" s="46" t="s">
        <v>6372</v>
      </c>
      <c r="J17684" s="46" t="s">
        <v>4</v>
      </c>
      <c r="K17684" s="46" t="s">
        <v>126</v>
      </c>
      <c r="L17684" s="45">
        <v>46015.52777777778</v>
      </c>
      <c r="M17684" s="46" t="s">
        <v>123</v>
      </c>
      <c r="N17684" s="45">
        <v>46015.541666666664</v>
      </c>
      <c r="O17684" s="46" t="s">
        <v>123</v>
      </c>
      <c r="P17684" s="46">
        <v>1200.0</v>
      </c>
    </row>
    <row r="17685">
      <c r="A17685" s="40">
        <f t="shared" si="1"/>
        <v>46013</v>
      </c>
      <c r="B17685" s="37" t="str">
        <f t="array" ref="B17685">iferror(xlookup($I17685, 'IMPORT VHC Report'!$E:$E, 'IMPORT VHC Report'!$A:$C), )</f>
        <v/>
      </c>
      <c r="C17685" s="44"/>
      <c r="D17685" s="44"/>
      <c r="E17685" s="46" t="s">
        <v>13924</v>
      </c>
      <c r="F17685" s="46" t="s">
        <v>6370</v>
      </c>
      <c r="G17685" s="46">
        <v>3.61964324536E11</v>
      </c>
      <c r="H17685" s="46" t="s">
        <v>6371</v>
      </c>
      <c r="I17685" s="46" t="s">
        <v>6372</v>
      </c>
      <c r="J17685" s="46" t="s">
        <v>125</v>
      </c>
      <c r="K17685" s="46" t="s">
        <v>126</v>
      </c>
      <c r="L17685" s="45">
        <v>46015.541666666664</v>
      </c>
      <c r="M17685" s="46" t="s">
        <v>123</v>
      </c>
      <c r="N17685" s="45">
        <v>46015.583333333336</v>
      </c>
      <c r="O17685" s="46" t="s">
        <v>123</v>
      </c>
      <c r="P17685" s="46">
        <v>3600.0</v>
      </c>
    </row>
    <row r="17686">
      <c r="A17686" s="40">
        <f t="shared" si="1"/>
        <v>46013</v>
      </c>
      <c r="B17686" s="37" t="str">
        <f t="array" ref="B17686">iferror(xlookup($I17686, 'IMPORT VHC Report'!$E:$E, 'IMPORT VHC Report'!$A:$C), )</f>
        <v/>
      </c>
      <c r="C17686" s="44"/>
      <c r="D17686" s="44"/>
      <c r="E17686" s="46" t="s">
        <v>13925</v>
      </c>
      <c r="F17686" s="46" t="s">
        <v>6370</v>
      </c>
      <c r="G17686" s="46">
        <v>3.61964324536E11</v>
      </c>
      <c r="H17686" s="46" t="s">
        <v>6371</v>
      </c>
      <c r="I17686" s="46" t="s">
        <v>6372</v>
      </c>
      <c r="J17686" s="46" t="s">
        <v>4</v>
      </c>
      <c r="K17686" s="46" t="s">
        <v>126</v>
      </c>
      <c r="L17686" s="45">
        <v>46016.208333333336</v>
      </c>
      <c r="M17686" s="46" t="s">
        <v>123</v>
      </c>
      <c r="N17686" s="45">
        <v>46016.229166666664</v>
      </c>
      <c r="O17686" s="46" t="s">
        <v>123</v>
      </c>
      <c r="P17686" s="46">
        <v>1800.0</v>
      </c>
    </row>
    <row r="17687">
      <c r="A17687" s="40">
        <f t="shared" si="1"/>
        <v>46013</v>
      </c>
      <c r="B17687" s="37" t="str">
        <f t="array" ref="B17687">iferror(xlookup($I17687, 'IMPORT VHC Report'!$E:$E, 'IMPORT VHC Report'!$A:$C), )</f>
        <v/>
      </c>
      <c r="C17687" s="44"/>
      <c r="D17687" s="44"/>
      <c r="E17687" s="46" t="s">
        <v>13926</v>
      </c>
      <c r="F17687" s="46" t="s">
        <v>6370</v>
      </c>
      <c r="G17687" s="46">
        <v>3.61964324536E11</v>
      </c>
      <c r="H17687" s="46" t="s">
        <v>6371</v>
      </c>
      <c r="I17687" s="46" t="s">
        <v>6372</v>
      </c>
      <c r="J17687" s="46" t="s">
        <v>530</v>
      </c>
      <c r="K17687" s="46" t="s">
        <v>63</v>
      </c>
      <c r="L17687" s="45">
        <v>46016.229166666664</v>
      </c>
      <c r="M17687" s="46" t="s">
        <v>123</v>
      </c>
      <c r="N17687" s="45">
        <v>46016.256944444445</v>
      </c>
      <c r="O17687" s="46" t="s">
        <v>123</v>
      </c>
      <c r="P17687" s="46">
        <v>2400.0</v>
      </c>
    </row>
    <row r="17688">
      <c r="A17688" s="40">
        <f t="shared" si="1"/>
        <v>46013</v>
      </c>
      <c r="B17688" s="37" t="str">
        <f t="array" ref="B17688">iferror(xlookup($I17688, 'IMPORT VHC Report'!$E:$E, 'IMPORT VHC Report'!$A:$C), )</f>
        <v/>
      </c>
      <c r="C17688" s="44"/>
      <c r="D17688" s="44"/>
      <c r="E17688" s="46" t="s">
        <v>13927</v>
      </c>
      <c r="F17688" s="46" t="s">
        <v>6370</v>
      </c>
      <c r="G17688" s="46">
        <v>3.61964324536E11</v>
      </c>
      <c r="H17688" s="46" t="s">
        <v>6371</v>
      </c>
      <c r="I17688" s="46" t="s">
        <v>6372</v>
      </c>
      <c r="J17688" s="46" t="s">
        <v>132</v>
      </c>
      <c r="K17688" s="46" t="s">
        <v>126</v>
      </c>
      <c r="L17688" s="45">
        <v>46016.256944444445</v>
      </c>
      <c r="M17688" s="46" t="s">
        <v>123</v>
      </c>
      <c r="N17688" s="45">
        <v>46016.29861111111</v>
      </c>
      <c r="O17688" s="46" t="s">
        <v>123</v>
      </c>
      <c r="P17688" s="46">
        <v>3600.0</v>
      </c>
    </row>
    <row r="17689">
      <c r="A17689" s="40">
        <f t="shared" si="1"/>
        <v>46013</v>
      </c>
      <c r="B17689" s="37" t="str">
        <f t="array" ref="B17689">iferror(xlookup($I17689, 'IMPORT VHC Report'!$E:$E, 'IMPORT VHC Report'!$A:$C), )</f>
        <v/>
      </c>
      <c r="C17689" s="44"/>
      <c r="D17689" s="44"/>
      <c r="E17689" s="46" t="s">
        <v>13928</v>
      </c>
      <c r="F17689" s="46" t="s">
        <v>6370</v>
      </c>
      <c r="G17689" s="46">
        <v>3.61964324536E11</v>
      </c>
      <c r="H17689" s="46" t="s">
        <v>6371</v>
      </c>
      <c r="I17689" s="46" t="s">
        <v>6372</v>
      </c>
      <c r="J17689" s="46" t="s">
        <v>134</v>
      </c>
      <c r="K17689" s="46" t="s">
        <v>126</v>
      </c>
      <c r="L17689" s="45">
        <v>46016.29861111111</v>
      </c>
      <c r="M17689" s="46" t="s">
        <v>123</v>
      </c>
      <c r="N17689" s="45">
        <v>46016.319444444445</v>
      </c>
      <c r="O17689" s="46" t="s">
        <v>123</v>
      </c>
      <c r="P17689" s="46">
        <v>1800.0</v>
      </c>
    </row>
    <row r="17690">
      <c r="A17690" s="40">
        <f t="shared" si="1"/>
        <v>46013</v>
      </c>
      <c r="B17690" s="37" t="str">
        <f t="array" ref="B17690">iferror(xlookup($I17690, 'IMPORT VHC Report'!$E:$E, 'IMPORT VHC Report'!$A:$C), )</f>
        <v/>
      </c>
      <c r="C17690" s="44"/>
      <c r="D17690" s="44"/>
      <c r="E17690" s="46" t="s">
        <v>13929</v>
      </c>
      <c r="F17690" s="46" t="s">
        <v>6370</v>
      </c>
      <c r="G17690" s="46">
        <v>3.61964324536E11</v>
      </c>
      <c r="H17690" s="46" t="s">
        <v>6371</v>
      </c>
      <c r="I17690" s="46" t="s">
        <v>6372</v>
      </c>
      <c r="J17690" s="46" t="s">
        <v>125</v>
      </c>
      <c r="K17690" s="46" t="s">
        <v>126</v>
      </c>
      <c r="L17690" s="45">
        <v>46016.319444444445</v>
      </c>
      <c r="M17690" s="46" t="s">
        <v>123</v>
      </c>
      <c r="N17690" s="45">
        <v>46016.32916666667</v>
      </c>
      <c r="O17690" s="46" t="s">
        <v>123</v>
      </c>
      <c r="P17690" s="46">
        <v>840.0</v>
      </c>
    </row>
    <row r="17691">
      <c r="A17691" s="40">
        <f t="shared" si="1"/>
        <v>46013</v>
      </c>
      <c r="B17691" s="37" t="str">
        <f t="array" ref="B17691">iferror(xlookup($I17691, 'IMPORT VHC Report'!$E:$E, 'IMPORT VHC Report'!$A:$C), )</f>
        <v/>
      </c>
      <c r="C17691" s="44"/>
      <c r="D17691" s="44"/>
      <c r="E17691" s="46" t="s">
        <v>13930</v>
      </c>
      <c r="F17691" s="46" t="s">
        <v>6370</v>
      </c>
      <c r="G17691" s="46">
        <v>3.61964324536E11</v>
      </c>
      <c r="H17691" s="46" t="s">
        <v>6371</v>
      </c>
      <c r="I17691" s="46" t="s">
        <v>6372</v>
      </c>
      <c r="J17691" s="46" t="s">
        <v>530</v>
      </c>
      <c r="K17691" s="46" t="s">
        <v>63</v>
      </c>
      <c r="L17691" s="45">
        <v>46016.32916666667</v>
      </c>
      <c r="M17691" s="46" t="s">
        <v>123</v>
      </c>
      <c r="N17691" s="45">
        <v>46016.41180555556</v>
      </c>
      <c r="O17691" s="46" t="s">
        <v>123</v>
      </c>
      <c r="P17691" s="46">
        <v>7140.0</v>
      </c>
    </row>
    <row r="17692">
      <c r="A17692" s="40">
        <f t="shared" si="1"/>
        <v>46013</v>
      </c>
      <c r="B17692" s="37" t="str">
        <f t="array" ref="B17692">iferror(xlookup($I17692, 'IMPORT VHC Report'!$E:$E, 'IMPORT VHC Report'!$A:$C), )</f>
        <v/>
      </c>
      <c r="C17692" s="44"/>
      <c r="D17692" s="44"/>
      <c r="E17692" s="46" t="s">
        <v>13931</v>
      </c>
      <c r="F17692" s="46" t="s">
        <v>6370</v>
      </c>
      <c r="G17692" s="46">
        <v>3.61964324536E11</v>
      </c>
      <c r="H17692" s="46" t="s">
        <v>6371</v>
      </c>
      <c r="I17692" s="46" t="s">
        <v>6372</v>
      </c>
      <c r="J17692" s="46" t="s">
        <v>125</v>
      </c>
      <c r="K17692" s="46" t="s">
        <v>126</v>
      </c>
      <c r="L17692" s="45">
        <v>46016.41180555556</v>
      </c>
      <c r="M17692" s="46" t="s">
        <v>123</v>
      </c>
      <c r="N17692" s="45">
        <v>46016.45416666667</v>
      </c>
      <c r="O17692" s="46" t="s">
        <v>123</v>
      </c>
      <c r="P17692" s="46">
        <v>3660.0</v>
      </c>
    </row>
    <row r="17693">
      <c r="A17693" s="40">
        <f t="shared" si="1"/>
        <v>46013</v>
      </c>
      <c r="B17693" s="37" t="str">
        <f t="array" ref="B17693">iferror(xlookup($I17693, 'IMPORT VHC Report'!$E:$E, 'IMPORT VHC Report'!$A:$C), )</f>
        <v/>
      </c>
      <c r="C17693" s="44"/>
      <c r="D17693" s="44"/>
      <c r="E17693" s="46" t="s">
        <v>13932</v>
      </c>
      <c r="F17693" s="46" t="s">
        <v>6370</v>
      </c>
      <c r="G17693" s="46">
        <v>3.61964324536E11</v>
      </c>
      <c r="H17693" s="46" t="s">
        <v>6371</v>
      </c>
      <c r="I17693" s="46" t="s">
        <v>6372</v>
      </c>
      <c r="J17693" s="46" t="s">
        <v>530</v>
      </c>
      <c r="K17693" s="46" t="s">
        <v>63</v>
      </c>
      <c r="L17693" s="45">
        <v>46016.45416666667</v>
      </c>
      <c r="M17693" s="46" t="s">
        <v>123</v>
      </c>
      <c r="N17693" s="45">
        <v>46016.48402777778</v>
      </c>
      <c r="O17693" s="46" t="s">
        <v>123</v>
      </c>
      <c r="P17693" s="46">
        <v>2580.0</v>
      </c>
    </row>
    <row r="17694">
      <c r="A17694" s="40">
        <f t="shared" si="1"/>
        <v>46013</v>
      </c>
      <c r="B17694" s="37" t="str">
        <f t="array" ref="B17694">iferror(xlookup($I17694, 'IMPORT VHC Report'!$E:$E, 'IMPORT VHC Report'!$A:$C), )</f>
        <v/>
      </c>
      <c r="C17694" s="44"/>
      <c r="D17694" s="44"/>
      <c r="E17694" s="46" t="s">
        <v>13933</v>
      </c>
      <c r="F17694" s="46" t="s">
        <v>6370</v>
      </c>
      <c r="G17694" s="46">
        <v>3.61964324536E11</v>
      </c>
      <c r="H17694" s="46" t="s">
        <v>6371</v>
      </c>
      <c r="I17694" s="46" t="s">
        <v>6372</v>
      </c>
      <c r="J17694" s="46" t="s">
        <v>125</v>
      </c>
      <c r="K17694" s="46" t="s">
        <v>126</v>
      </c>
      <c r="L17694" s="45">
        <v>46016.48402777778</v>
      </c>
      <c r="M17694" s="46" t="s">
        <v>123</v>
      </c>
      <c r="N17694" s="45">
        <v>46016.50555555556</v>
      </c>
      <c r="O17694" s="46" t="s">
        <v>123</v>
      </c>
      <c r="P17694" s="46">
        <v>1860.0</v>
      </c>
    </row>
    <row r="17695">
      <c r="A17695" s="40">
        <f t="shared" si="1"/>
        <v>46013</v>
      </c>
      <c r="B17695" s="37" t="str">
        <f t="array" ref="B17695">iferror(xlookup($I17695, 'IMPORT VHC Report'!$E:$E, 'IMPORT VHC Report'!$A:$C), )</f>
        <v/>
      </c>
      <c r="C17695" s="44"/>
      <c r="D17695" s="44"/>
      <c r="E17695" s="46" t="s">
        <v>13934</v>
      </c>
      <c r="F17695" s="46" t="s">
        <v>6370</v>
      </c>
      <c r="G17695" s="46">
        <v>3.61964324536E11</v>
      </c>
      <c r="H17695" s="46" t="s">
        <v>6371</v>
      </c>
      <c r="I17695" s="46" t="s">
        <v>6372</v>
      </c>
      <c r="J17695" s="46" t="s">
        <v>530</v>
      </c>
      <c r="K17695" s="46" t="s">
        <v>63</v>
      </c>
      <c r="L17695" s="45">
        <v>46016.50555555556</v>
      </c>
      <c r="M17695" s="46" t="s">
        <v>123</v>
      </c>
      <c r="N17695" s="45">
        <v>46016.509722222225</v>
      </c>
      <c r="O17695" s="46" t="s">
        <v>123</v>
      </c>
      <c r="P17695" s="46">
        <v>360.0</v>
      </c>
    </row>
    <row r="17696">
      <c r="A17696" s="40">
        <f t="shared" si="1"/>
        <v>46013</v>
      </c>
      <c r="B17696" s="37" t="str">
        <f t="array" ref="B17696">iferror(xlookup($I17696, 'IMPORT VHC Report'!$E:$E, 'IMPORT VHC Report'!$A:$C), )</f>
        <v/>
      </c>
      <c r="C17696" s="44"/>
      <c r="D17696" s="44"/>
      <c r="E17696" s="46" t="s">
        <v>13935</v>
      </c>
      <c r="F17696" s="46" t="s">
        <v>6370</v>
      </c>
      <c r="G17696" s="46">
        <v>3.61964324536E11</v>
      </c>
      <c r="H17696" s="46" t="s">
        <v>6371</v>
      </c>
      <c r="I17696" s="46" t="s">
        <v>6372</v>
      </c>
      <c r="J17696" s="46" t="s">
        <v>125</v>
      </c>
      <c r="K17696" s="46" t="s">
        <v>126</v>
      </c>
      <c r="L17696" s="45">
        <v>46016.509722222225</v>
      </c>
      <c r="M17696" s="46" t="s">
        <v>123</v>
      </c>
      <c r="N17696" s="45">
        <v>46016.51666666667</v>
      </c>
      <c r="O17696" s="46" t="s">
        <v>123</v>
      </c>
      <c r="P17696" s="46">
        <v>600.0</v>
      </c>
    </row>
    <row r="17697">
      <c r="A17697" s="40">
        <f t="shared" si="1"/>
        <v>46013</v>
      </c>
      <c r="B17697" s="37" t="str">
        <f t="array" ref="B17697">iferror(xlookup($I17697, 'IMPORT VHC Report'!$E:$E, 'IMPORT VHC Report'!$A:$C), )</f>
        <v/>
      </c>
      <c r="C17697" s="44"/>
      <c r="D17697" s="44"/>
      <c r="E17697" s="46" t="s">
        <v>13936</v>
      </c>
      <c r="F17697" s="46" t="s">
        <v>6370</v>
      </c>
      <c r="G17697" s="46">
        <v>3.61964324536E11</v>
      </c>
      <c r="H17697" s="46" t="s">
        <v>6371</v>
      </c>
      <c r="I17697" s="46" t="s">
        <v>6372</v>
      </c>
      <c r="J17697" s="46" t="s">
        <v>530</v>
      </c>
      <c r="K17697" s="46" t="s">
        <v>63</v>
      </c>
      <c r="L17697" s="45">
        <v>46016.51666666667</v>
      </c>
      <c r="M17697" s="46" t="s">
        <v>123</v>
      </c>
      <c r="N17697" s="45">
        <v>46016.541666666664</v>
      </c>
      <c r="O17697" s="46" t="s">
        <v>123</v>
      </c>
      <c r="P17697" s="46">
        <v>2160.0</v>
      </c>
    </row>
    <row r="17698">
      <c r="A17698" s="40">
        <f t="shared" si="1"/>
        <v>46013</v>
      </c>
      <c r="B17698" s="37" t="str">
        <f t="array" ref="B17698">iferror(xlookup($I17698, 'IMPORT VHC Report'!$E:$E, 'IMPORT VHC Report'!$A:$C), )</f>
        <v/>
      </c>
      <c r="C17698" s="44"/>
      <c r="D17698" s="44"/>
      <c r="E17698" s="46" t="s">
        <v>13937</v>
      </c>
      <c r="F17698" s="46" t="s">
        <v>6370</v>
      </c>
      <c r="G17698" s="46">
        <v>3.61964324536E11</v>
      </c>
      <c r="H17698" s="46" t="s">
        <v>6371</v>
      </c>
      <c r="I17698" s="46" t="s">
        <v>6372</v>
      </c>
      <c r="J17698" s="46" t="s">
        <v>4</v>
      </c>
      <c r="K17698" s="46" t="s">
        <v>126</v>
      </c>
      <c r="L17698" s="45">
        <v>46016.541666666664</v>
      </c>
      <c r="M17698" s="46" t="s">
        <v>123</v>
      </c>
      <c r="N17698" s="45">
        <v>46016.583333333336</v>
      </c>
      <c r="O17698" s="46" t="s">
        <v>123</v>
      </c>
      <c r="P17698" s="46">
        <v>3600.0</v>
      </c>
      <c r="S17698" s="46" t="s">
        <v>4166</v>
      </c>
    </row>
    <row r="17699">
      <c r="A17699" s="40">
        <f t="shared" si="1"/>
        <v>46013</v>
      </c>
      <c r="B17699" s="37" t="str">
        <f t="array" ref="B17699">iferror(xlookup($I17699, 'IMPORT VHC Report'!$E:$E, 'IMPORT VHC Report'!$A:$C), )</f>
        <v/>
      </c>
      <c r="C17699" s="44"/>
      <c r="D17699" s="44"/>
      <c r="E17699" s="46" t="s">
        <v>13938</v>
      </c>
      <c r="F17699" s="46" t="s">
        <v>6370</v>
      </c>
      <c r="G17699" s="46">
        <v>3.61964324536E11</v>
      </c>
      <c r="H17699" s="46" t="s">
        <v>6371</v>
      </c>
      <c r="I17699" s="46" t="s">
        <v>6372</v>
      </c>
      <c r="J17699" s="46" t="s">
        <v>62</v>
      </c>
      <c r="K17699" s="46" t="s">
        <v>63</v>
      </c>
      <c r="L17699" s="45">
        <v>46016.5625</v>
      </c>
      <c r="M17699" s="46" t="s">
        <v>123</v>
      </c>
      <c r="N17699" s="45">
        <v>46016.583333333336</v>
      </c>
      <c r="O17699" s="46" t="s">
        <v>123</v>
      </c>
      <c r="P17699" s="46">
        <v>1800.0</v>
      </c>
    </row>
    <row r="17700">
      <c r="A17700" s="40">
        <f t="shared" si="1"/>
        <v>46013</v>
      </c>
      <c r="B17700" s="37" t="str">
        <f t="array" ref="B17700">iferror(xlookup($I17700, 'IMPORT VHC Report'!$E:$E, 'IMPORT VHC Report'!$A:$C), )</f>
        <v/>
      </c>
      <c r="C17700" s="44"/>
      <c r="D17700" s="44"/>
      <c r="E17700" s="46" t="s">
        <v>13939</v>
      </c>
      <c r="F17700" s="46" t="s">
        <v>6370</v>
      </c>
      <c r="G17700" s="46">
        <v>3.61964324536E11</v>
      </c>
      <c r="H17700" s="46" t="s">
        <v>6371</v>
      </c>
      <c r="I17700" s="46" t="s">
        <v>6372</v>
      </c>
      <c r="J17700" s="46" t="s">
        <v>4</v>
      </c>
      <c r="K17700" s="46" t="s">
        <v>126</v>
      </c>
      <c r="L17700" s="45">
        <v>46017.208333333336</v>
      </c>
      <c r="M17700" s="46" t="s">
        <v>123</v>
      </c>
      <c r="N17700" s="45">
        <v>46017.229166666664</v>
      </c>
      <c r="O17700" s="46" t="s">
        <v>123</v>
      </c>
      <c r="P17700" s="46">
        <v>1800.0</v>
      </c>
    </row>
    <row r="17701">
      <c r="A17701" s="40">
        <f t="shared" si="1"/>
        <v>46013</v>
      </c>
      <c r="B17701" s="37" t="str">
        <f t="array" ref="B17701">iferror(xlookup($I17701, 'IMPORT VHC Report'!$E:$E, 'IMPORT VHC Report'!$A:$C), )</f>
        <v/>
      </c>
      <c r="C17701" s="44"/>
      <c r="D17701" s="44"/>
      <c r="E17701" s="46" t="s">
        <v>13940</v>
      </c>
      <c r="F17701" s="46" t="s">
        <v>6370</v>
      </c>
      <c r="G17701" s="46">
        <v>3.61964324536E11</v>
      </c>
      <c r="H17701" s="46" t="s">
        <v>6371</v>
      </c>
      <c r="I17701" s="46" t="s">
        <v>6372</v>
      </c>
      <c r="J17701" s="46" t="s">
        <v>530</v>
      </c>
      <c r="K17701" s="46" t="s">
        <v>63</v>
      </c>
      <c r="L17701" s="45">
        <v>46017.208333333336</v>
      </c>
      <c r="M17701" s="46" t="s">
        <v>123</v>
      </c>
      <c r="N17701" s="45">
        <v>46017.583333333336</v>
      </c>
      <c r="O17701" s="46" t="s">
        <v>123</v>
      </c>
      <c r="P17701" s="46">
        <v>32400.0</v>
      </c>
    </row>
    <row r="17702">
      <c r="A17702" s="40">
        <f t="shared" si="1"/>
        <v>46013</v>
      </c>
      <c r="B17702" s="37" t="str">
        <f t="array" ref="B17702">iferror(xlookup($I17702, 'IMPORT VHC Report'!$E:$E, 'IMPORT VHC Report'!$A:$C), )</f>
        <v/>
      </c>
      <c r="C17702" s="44"/>
      <c r="D17702" s="44"/>
      <c r="E17702" s="46" t="s">
        <v>13941</v>
      </c>
      <c r="F17702" s="46" t="s">
        <v>6370</v>
      </c>
      <c r="G17702" s="46">
        <v>3.61964324536E11</v>
      </c>
      <c r="H17702" s="46" t="s">
        <v>6371</v>
      </c>
      <c r="I17702" s="46" t="s">
        <v>6372</v>
      </c>
      <c r="J17702" s="46" t="s">
        <v>134</v>
      </c>
      <c r="K17702" s="46" t="s">
        <v>126</v>
      </c>
      <c r="L17702" s="45">
        <v>46017.322916666664</v>
      </c>
      <c r="M17702" s="46" t="s">
        <v>123</v>
      </c>
      <c r="N17702" s="45">
        <v>46017.34375</v>
      </c>
      <c r="O17702" s="46" t="s">
        <v>123</v>
      </c>
      <c r="P17702" s="46">
        <v>1800.0</v>
      </c>
    </row>
    <row r="17703">
      <c r="A17703" s="40">
        <f t="shared" si="1"/>
        <v>46013</v>
      </c>
      <c r="B17703" s="37" t="str">
        <f t="array" ref="B17703">iferror(xlookup($I17703, 'IMPORT VHC Report'!$E:$E, 'IMPORT VHC Report'!$A:$C), )</f>
        <v/>
      </c>
      <c r="C17703" s="44"/>
      <c r="D17703" s="44"/>
      <c r="E17703" s="46" t="s">
        <v>13942</v>
      </c>
      <c r="F17703" s="46" t="s">
        <v>6370</v>
      </c>
      <c r="G17703" s="46">
        <v>3.61964324536E11</v>
      </c>
      <c r="H17703" s="46" t="s">
        <v>6371</v>
      </c>
      <c r="I17703" s="46" t="s">
        <v>6372</v>
      </c>
      <c r="J17703" s="46" t="s">
        <v>132</v>
      </c>
      <c r="K17703" s="46" t="s">
        <v>126</v>
      </c>
      <c r="L17703" s="45">
        <v>46017.46875</v>
      </c>
      <c r="M17703" s="46" t="s">
        <v>123</v>
      </c>
      <c r="N17703" s="45">
        <v>46017.510416666664</v>
      </c>
      <c r="O17703" s="46" t="s">
        <v>123</v>
      </c>
      <c r="P17703" s="46">
        <v>3600.0</v>
      </c>
    </row>
    <row r="17704">
      <c r="A17704" s="40">
        <f t="shared" si="1"/>
        <v>46013</v>
      </c>
      <c r="B17704" s="37" t="str">
        <f t="array" ref="B17704">iferror(xlookup($I17704, 'IMPORT VHC Report'!$E:$E, 'IMPORT VHC Report'!$A:$C), )</f>
        <v/>
      </c>
      <c r="C17704" s="44"/>
      <c r="D17704" s="44"/>
      <c r="E17704" s="46" t="s">
        <v>13943</v>
      </c>
      <c r="F17704" s="46" t="s">
        <v>6370</v>
      </c>
      <c r="G17704" s="46">
        <v>3.61964324536E11</v>
      </c>
      <c r="H17704" s="46" t="s">
        <v>6371</v>
      </c>
      <c r="I17704" s="46" t="s">
        <v>6372</v>
      </c>
      <c r="J17704" s="46" t="s">
        <v>4</v>
      </c>
      <c r="K17704" s="46" t="s">
        <v>126</v>
      </c>
      <c r="L17704" s="45">
        <v>46018.208333333336</v>
      </c>
      <c r="M17704" s="46" t="s">
        <v>123</v>
      </c>
      <c r="N17704" s="45">
        <v>46018.229166666664</v>
      </c>
      <c r="O17704" s="46" t="s">
        <v>123</v>
      </c>
      <c r="P17704" s="46">
        <v>1800.0</v>
      </c>
    </row>
    <row r="17705">
      <c r="A17705" s="40">
        <f t="shared" si="1"/>
        <v>46013</v>
      </c>
      <c r="B17705" s="37" t="str">
        <f t="array" ref="B17705">iferror(xlookup($I17705, 'IMPORT VHC Report'!$E:$E, 'IMPORT VHC Report'!$A:$C), )</f>
        <v/>
      </c>
      <c r="C17705" s="44"/>
      <c r="D17705" s="44"/>
      <c r="E17705" s="46" t="s">
        <v>13944</v>
      </c>
      <c r="F17705" s="46" t="s">
        <v>6370</v>
      </c>
      <c r="G17705" s="46">
        <v>3.61964324536E11</v>
      </c>
      <c r="H17705" s="46" t="s">
        <v>6371</v>
      </c>
      <c r="I17705" s="46" t="s">
        <v>6372</v>
      </c>
      <c r="J17705" s="46" t="s">
        <v>530</v>
      </c>
      <c r="K17705" s="46" t="s">
        <v>63</v>
      </c>
      <c r="L17705" s="45">
        <v>46018.208333333336</v>
      </c>
      <c r="M17705" s="46" t="s">
        <v>123</v>
      </c>
      <c r="N17705" s="45">
        <v>46018.583333333336</v>
      </c>
      <c r="O17705" s="46" t="s">
        <v>123</v>
      </c>
      <c r="P17705" s="46">
        <v>32400.0</v>
      </c>
    </row>
    <row r="17706">
      <c r="A17706" s="40">
        <f t="shared" si="1"/>
        <v>46013</v>
      </c>
      <c r="B17706" s="37" t="str">
        <f t="array" ref="B17706">iferror(xlookup($I17706, 'IMPORT VHC Report'!$E:$E, 'IMPORT VHC Report'!$A:$C), )</f>
        <v/>
      </c>
      <c r="C17706" s="44"/>
      <c r="D17706" s="44"/>
      <c r="E17706" s="46" t="s">
        <v>13945</v>
      </c>
      <c r="F17706" s="46" t="s">
        <v>6370</v>
      </c>
      <c r="G17706" s="46">
        <v>3.61964324536E11</v>
      </c>
      <c r="H17706" s="46" t="s">
        <v>6371</v>
      </c>
      <c r="I17706" s="46" t="s">
        <v>6372</v>
      </c>
      <c r="J17706" s="46" t="s">
        <v>134</v>
      </c>
      <c r="K17706" s="46" t="s">
        <v>126</v>
      </c>
      <c r="L17706" s="45">
        <v>46018.333333333336</v>
      </c>
      <c r="M17706" s="46" t="s">
        <v>123</v>
      </c>
      <c r="N17706" s="45">
        <v>46018.354166666664</v>
      </c>
      <c r="O17706" s="46" t="s">
        <v>123</v>
      </c>
      <c r="P17706" s="46">
        <v>1800.0</v>
      </c>
    </row>
    <row r="17707">
      <c r="A17707" s="40">
        <f t="shared" si="1"/>
        <v>46013</v>
      </c>
      <c r="B17707" s="37" t="str">
        <f t="array" ref="B17707">iferror(xlookup($I17707, 'IMPORT VHC Report'!$E:$E, 'IMPORT VHC Report'!$A:$C), )</f>
        <v/>
      </c>
      <c r="C17707" s="44"/>
      <c r="D17707" s="44"/>
      <c r="E17707" s="46" t="s">
        <v>13946</v>
      </c>
      <c r="F17707" s="46" t="s">
        <v>6370</v>
      </c>
      <c r="G17707" s="46">
        <v>3.61964324536E11</v>
      </c>
      <c r="H17707" s="46" t="s">
        <v>6371</v>
      </c>
      <c r="I17707" s="46" t="s">
        <v>6372</v>
      </c>
      <c r="J17707" s="46" t="s">
        <v>132</v>
      </c>
      <c r="K17707" s="46" t="s">
        <v>126</v>
      </c>
      <c r="L17707" s="45">
        <v>46018.46875</v>
      </c>
      <c r="M17707" s="46" t="s">
        <v>123</v>
      </c>
      <c r="N17707" s="45">
        <v>46018.510416666664</v>
      </c>
      <c r="O17707" s="46" t="s">
        <v>123</v>
      </c>
      <c r="P17707" s="46">
        <v>3600.0</v>
      </c>
    </row>
    <row r="17708">
      <c r="A17708" s="40">
        <f t="shared" si="1"/>
        <v>46013</v>
      </c>
      <c r="B17708" s="37" t="str">
        <f t="array" ref="B17708">iferror(xlookup($I17708, 'IMPORT VHC Report'!$E:$E, 'IMPORT VHC Report'!$A:$C), )</f>
        <v/>
      </c>
      <c r="C17708" s="44"/>
      <c r="D17708" s="44"/>
      <c r="E17708" s="46" t="s">
        <v>13947</v>
      </c>
      <c r="F17708" s="46" t="s">
        <v>6536</v>
      </c>
      <c r="G17708" s="46">
        <v>3.61731943715E11</v>
      </c>
      <c r="H17708" s="46" t="s">
        <v>6537</v>
      </c>
      <c r="I17708" s="46" t="s">
        <v>6538</v>
      </c>
      <c r="J17708" s="46" t="s">
        <v>4</v>
      </c>
      <c r="K17708" s="46" t="s">
        <v>126</v>
      </c>
      <c r="L17708" s="45">
        <v>46014.208333333336</v>
      </c>
      <c r="M17708" s="46" t="s">
        <v>123</v>
      </c>
      <c r="N17708" s="45">
        <v>46014.229166666664</v>
      </c>
      <c r="O17708" s="46" t="s">
        <v>123</v>
      </c>
      <c r="P17708" s="46">
        <v>1800.0</v>
      </c>
    </row>
    <row r="17709">
      <c r="A17709" s="40">
        <f t="shared" si="1"/>
        <v>46013</v>
      </c>
      <c r="B17709" s="37" t="str">
        <f t="array" ref="B17709">iferror(xlookup($I17709, 'IMPORT VHC Report'!$E:$E, 'IMPORT VHC Report'!$A:$C), )</f>
        <v/>
      </c>
      <c r="C17709" s="44"/>
      <c r="D17709" s="44"/>
      <c r="E17709" s="46" t="s">
        <v>13948</v>
      </c>
      <c r="F17709" s="46" t="s">
        <v>6536</v>
      </c>
      <c r="G17709" s="46">
        <v>3.61731943715E11</v>
      </c>
      <c r="H17709" s="46" t="s">
        <v>6537</v>
      </c>
      <c r="I17709" s="46" t="s">
        <v>6538</v>
      </c>
      <c r="J17709" s="46" t="s">
        <v>530</v>
      </c>
      <c r="K17709" s="46" t="s">
        <v>63</v>
      </c>
      <c r="L17709" s="45">
        <v>46014.208333333336</v>
      </c>
      <c r="M17709" s="46" t="s">
        <v>123</v>
      </c>
      <c r="N17709" s="45">
        <v>46014.583333333336</v>
      </c>
      <c r="O17709" s="46" t="s">
        <v>123</v>
      </c>
      <c r="P17709" s="46">
        <v>32400.0</v>
      </c>
    </row>
    <row r="17710">
      <c r="A17710" s="40">
        <f t="shared" si="1"/>
        <v>46013</v>
      </c>
      <c r="B17710" s="37" t="str">
        <f t="array" ref="B17710">iferror(xlookup($I17710, 'IMPORT VHC Report'!$E:$E, 'IMPORT VHC Report'!$A:$C), )</f>
        <v/>
      </c>
      <c r="C17710" s="44"/>
      <c r="D17710" s="44"/>
      <c r="E17710" s="46" t="s">
        <v>13949</v>
      </c>
      <c r="F17710" s="46" t="s">
        <v>6536</v>
      </c>
      <c r="G17710" s="46">
        <v>3.61731943715E11</v>
      </c>
      <c r="H17710" s="46" t="s">
        <v>6537</v>
      </c>
      <c r="I17710" s="46" t="s">
        <v>6538</v>
      </c>
      <c r="J17710" s="46" t="s">
        <v>132</v>
      </c>
      <c r="K17710" s="46" t="s">
        <v>126</v>
      </c>
      <c r="L17710" s="45">
        <v>46014.3125</v>
      </c>
      <c r="M17710" s="46" t="s">
        <v>123</v>
      </c>
      <c r="N17710" s="45">
        <v>46014.354166666664</v>
      </c>
      <c r="O17710" s="46" t="s">
        <v>123</v>
      </c>
      <c r="P17710" s="46">
        <v>3600.0</v>
      </c>
    </row>
    <row r="17711">
      <c r="A17711" s="40">
        <f t="shared" si="1"/>
        <v>46013</v>
      </c>
      <c r="B17711" s="37" t="str">
        <f t="array" ref="B17711">iferror(xlookup($I17711, 'IMPORT VHC Report'!$E:$E, 'IMPORT VHC Report'!$A:$C), )</f>
        <v/>
      </c>
      <c r="C17711" s="44"/>
      <c r="D17711" s="44"/>
      <c r="E17711" s="46" t="s">
        <v>13950</v>
      </c>
      <c r="F17711" s="46" t="s">
        <v>6536</v>
      </c>
      <c r="G17711" s="46">
        <v>3.61731943715E11</v>
      </c>
      <c r="H17711" s="46" t="s">
        <v>6537</v>
      </c>
      <c r="I17711" s="46" t="s">
        <v>6538</v>
      </c>
      <c r="J17711" s="46" t="s">
        <v>134</v>
      </c>
      <c r="K17711" s="46" t="s">
        <v>126</v>
      </c>
      <c r="L17711" s="45">
        <v>46014.5</v>
      </c>
      <c r="M17711" s="46" t="s">
        <v>123</v>
      </c>
      <c r="N17711" s="45">
        <v>46014.520833333336</v>
      </c>
      <c r="O17711" s="46" t="s">
        <v>123</v>
      </c>
      <c r="P17711" s="46">
        <v>1800.0</v>
      </c>
    </row>
    <row r="17712">
      <c r="A17712" s="40">
        <f t="shared" si="1"/>
        <v>46013</v>
      </c>
      <c r="B17712" s="37" t="str">
        <f t="array" ref="B17712">iferror(xlookup($I17712, 'IMPORT VHC Report'!$E:$E, 'IMPORT VHC Report'!$A:$C), )</f>
        <v/>
      </c>
      <c r="C17712" s="44"/>
      <c r="D17712" s="44"/>
      <c r="E17712" s="46" t="s">
        <v>13951</v>
      </c>
      <c r="F17712" s="46" t="s">
        <v>6536</v>
      </c>
      <c r="G17712" s="46">
        <v>3.61731943715E11</v>
      </c>
      <c r="H17712" s="46" t="s">
        <v>6537</v>
      </c>
      <c r="I17712" s="46" t="s">
        <v>6538</v>
      </c>
      <c r="J17712" s="46" t="s">
        <v>530</v>
      </c>
      <c r="K17712" s="46" t="s">
        <v>63</v>
      </c>
      <c r="L17712" s="45">
        <v>46015.208333333336</v>
      </c>
      <c r="M17712" s="46" t="s">
        <v>123</v>
      </c>
      <c r="N17712" s="45">
        <v>46015.229166666664</v>
      </c>
      <c r="O17712" s="46" t="s">
        <v>123</v>
      </c>
      <c r="P17712" s="46">
        <v>1800.0</v>
      </c>
    </row>
    <row r="17713">
      <c r="A17713" s="40">
        <f t="shared" si="1"/>
        <v>46013</v>
      </c>
      <c r="B17713" s="37" t="str">
        <f t="array" ref="B17713">iferror(xlookup($I17713, 'IMPORT VHC Report'!$E:$E, 'IMPORT VHC Report'!$A:$C), )</f>
        <v/>
      </c>
      <c r="C17713" s="44"/>
      <c r="D17713" s="44"/>
      <c r="E17713" s="46" t="s">
        <v>13952</v>
      </c>
      <c r="F17713" s="46" t="s">
        <v>6536</v>
      </c>
      <c r="G17713" s="46">
        <v>3.61731943715E11</v>
      </c>
      <c r="H17713" s="46" t="s">
        <v>6537</v>
      </c>
      <c r="I17713" s="46" t="s">
        <v>6538</v>
      </c>
      <c r="J17713" s="46" t="s">
        <v>4</v>
      </c>
      <c r="K17713" s="46" t="s">
        <v>126</v>
      </c>
      <c r="L17713" s="45">
        <v>46015.208333333336</v>
      </c>
      <c r="M17713" s="46" t="s">
        <v>123</v>
      </c>
      <c r="N17713" s="45">
        <v>46015.229166666664</v>
      </c>
      <c r="O17713" s="46" t="s">
        <v>123</v>
      </c>
      <c r="P17713" s="46">
        <v>1800.0</v>
      </c>
    </row>
    <row r="17714">
      <c r="A17714" s="40">
        <f t="shared" si="1"/>
        <v>46013</v>
      </c>
      <c r="B17714" s="37" t="str">
        <f t="array" ref="B17714">iferror(xlookup($I17714, 'IMPORT VHC Report'!$E:$E, 'IMPORT VHC Report'!$A:$C), )</f>
        <v/>
      </c>
      <c r="C17714" s="44"/>
      <c r="D17714" s="44"/>
      <c r="E17714" s="46" t="s">
        <v>13953</v>
      </c>
      <c r="F17714" s="46" t="s">
        <v>6536</v>
      </c>
      <c r="G17714" s="46">
        <v>3.61731943715E11</v>
      </c>
      <c r="H17714" s="46" t="s">
        <v>6537</v>
      </c>
      <c r="I17714" s="46" t="s">
        <v>6538</v>
      </c>
      <c r="J17714" s="46" t="s">
        <v>178</v>
      </c>
      <c r="K17714" s="46" t="s">
        <v>153</v>
      </c>
      <c r="L17714" s="45">
        <v>46015.208333333336</v>
      </c>
      <c r="M17714" s="46" t="s">
        <v>123</v>
      </c>
      <c r="N17714" s="45">
        <v>46015.583333333336</v>
      </c>
      <c r="O17714" s="46" t="s">
        <v>123</v>
      </c>
      <c r="P17714" s="46">
        <v>32400.0</v>
      </c>
      <c r="Q17714" s="46">
        <v>32400.0</v>
      </c>
      <c r="R17714" s="46" t="s">
        <v>13530</v>
      </c>
      <c r="S17714" s="46" t="s">
        <v>13530</v>
      </c>
    </row>
    <row r="17715">
      <c r="A17715" s="40">
        <f t="shared" si="1"/>
        <v>46013</v>
      </c>
      <c r="B17715" s="37" t="str">
        <f t="array" ref="B17715">iferror(xlookup($I17715, 'IMPORT VHC Report'!$E:$E, 'IMPORT VHC Report'!$A:$C), )</f>
        <v/>
      </c>
      <c r="C17715" s="44"/>
      <c r="D17715" s="44"/>
      <c r="E17715" s="46" t="s">
        <v>13954</v>
      </c>
      <c r="F17715" s="46" t="s">
        <v>6536</v>
      </c>
      <c r="G17715" s="46">
        <v>3.61731943715E11</v>
      </c>
      <c r="H17715" s="46" t="s">
        <v>6537</v>
      </c>
      <c r="I17715" s="46" t="s">
        <v>6538</v>
      </c>
      <c r="J17715" s="46" t="s">
        <v>62</v>
      </c>
      <c r="K17715" s="46" t="s">
        <v>63</v>
      </c>
      <c r="L17715" s="45">
        <v>46015.229166666664</v>
      </c>
      <c r="M17715" s="46" t="s">
        <v>123</v>
      </c>
      <c r="N17715" s="45">
        <v>46015.25</v>
      </c>
      <c r="O17715" s="46" t="s">
        <v>123</v>
      </c>
      <c r="P17715" s="46">
        <v>1800.0</v>
      </c>
    </row>
    <row r="17716">
      <c r="A17716" s="40">
        <f t="shared" si="1"/>
        <v>46013</v>
      </c>
      <c r="B17716" s="37" t="str">
        <f t="array" ref="B17716">iferror(xlookup($I17716, 'IMPORT VHC Report'!$E:$E, 'IMPORT VHC Report'!$A:$C), )</f>
        <v/>
      </c>
      <c r="C17716" s="44"/>
      <c r="D17716" s="44"/>
      <c r="E17716" s="46" t="s">
        <v>13955</v>
      </c>
      <c r="F17716" s="46" t="s">
        <v>6536</v>
      </c>
      <c r="G17716" s="46">
        <v>3.61731943715E11</v>
      </c>
      <c r="H17716" s="46" t="s">
        <v>6537</v>
      </c>
      <c r="I17716" s="46" t="s">
        <v>6538</v>
      </c>
      <c r="J17716" s="46" t="s">
        <v>530</v>
      </c>
      <c r="K17716" s="46" t="s">
        <v>63</v>
      </c>
      <c r="L17716" s="45">
        <v>46015.25</v>
      </c>
      <c r="M17716" s="46" t="s">
        <v>123</v>
      </c>
      <c r="N17716" s="45">
        <v>46015.583333333336</v>
      </c>
      <c r="O17716" s="46" t="s">
        <v>123</v>
      </c>
      <c r="P17716" s="46">
        <v>28800.0</v>
      </c>
    </row>
    <row r="17717">
      <c r="A17717" s="40">
        <f t="shared" si="1"/>
        <v>46013</v>
      </c>
      <c r="B17717" s="37" t="str">
        <f t="array" ref="B17717">iferror(xlookup($I17717, 'IMPORT VHC Report'!$E:$E, 'IMPORT VHC Report'!$A:$C), )</f>
        <v/>
      </c>
      <c r="C17717" s="44"/>
      <c r="D17717" s="44"/>
      <c r="E17717" s="46" t="s">
        <v>13956</v>
      </c>
      <c r="F17717" s="46" t="s">
        <v>6536</v>
      </c>
      <c r="G17717" s="46">
        <v>3.61731943715E11</v>
      </c>
      <c r="H17717" s="46" t="s">
        <v>6537</v>
      </c>
      <c r="I17717" s="46" t="s">
        <v>6538</v>
      </c>
      <c r="J17717" s="46" t="s">
        <v>132</v>
      </c>
      <c r="K17717" s="46" t="s">
        <v>126</v>
      </c>
      <c r="L17717" s="45">
        <v>46015.3125</v>
      </c>
      <c r="M17717" s="46" t="s">
        <v>123</v>
      </c>
      <c r="N17717" s="45">
        <v>46015.354166666664</v>
      </c>
      <c r="O17717" s="46" t="s">
        <v>123</v>
      </c>
      <c r="P17717" s="46">
        <v>3600.0</v>
      </c>
    </row>
    <row r="17718">
      <c r="A17718" s="40">
        <f t="shared" si="1"/>
        <v>46013</v>
      </c>
      <c r="B17718" s="37" t="str">
        <f t="array" ref="B17718">iferror(xlookup($I17718, 'IMPORT VHC Report'!$E:$E, 'IMPORT VHC Report'!$A:$C), )</f>
        <v/>
      </c>
      <c r="C17718" s="44"/>
      <c r="D17718" s="44"/>
      <c r="E17718" s="46" t="s">
        <v>13957</v>
      </c>
      <c r="F17718" s="46" t="s">
        <v>6536</v>
      </c>
      <c r="G17718" s="46">
        <v>3.61731943715E11</v>
      </c>
      <c r="H17718" s="46" t="s">
        <v>6537</v>
      </c>
      <c r="I17718" s="46" t="s">
        <v>6538</v>
      </c>
      <c r="J17718" s="46" t="s">
        <v>134</v>
      </c>
      <c r="K17718" s="46" t="s">
        <v>126</v>
      </c>
      <c r="L17718" s="45">
        <v>46015.5</v>
      </c>
      <c r="M17718" s="46" t="s">
        <v>123</v>
      </c>
      <c r="N17718" s="45">
        <v>46015.520833333336</v>
      </c>
      <c r="O17718" s="46" t="s">
        <v>123</v>
      </c>
      <c r="P17718" s="46">
        <v>1800.0</v>
      </c>
    </row>
    <row r="17719">
      <c r="A17719" s="40">
        <f t="shared" si="1"/>
        <v>46013</v>
      </c>
      <c r="B17719" s="37" t="str">
        <f t="array" ref="B17719">iferror(xlookup($I17719, 'IMPORT VHC Report'!$E:$E, 'IMPORT VHC Report'!$A:$C), )</f>
        <v/>
      </c>
      <c r="C17719" s="44"/>
      <c r="D17719" s="44"/>
      <c r="E17719" s="46" t="s">
        <v>13958</v>
      </c>
      <c r="F17719" s="46" t="s">
        <v>6536</v>
      </c>
      <c r="G17719" s="46">
        <v>3.61731943715E11</v>
      </c>
      <c r="H17719" s="46" t="s">
        <v>6537</v>
      </c>
      <c r="I17719" s="46" t="s">
        <v>6538</v>
      </c>
      <c r="J17719" s="46" t="s">
        <v>4</v>
      </c>
      <c r="K17719" s="46" t="s">
        <v>126</v>
      </c>
      <c r="L17719" s="45">
        <v>46016.208333333336</v>
      </c>
      <c r="M17719" s="46" t="s">
        <v>123</v>
      </c>
      <c r="N17719" s="45">
        <v>46016.229166666664</v>
      </c>
      <c r="O17719" s="46" t="s">
        <v>123</v>
      </c>
      <c r="P17719" s="46">
        <v>1800.0</v>
      </c>
    </row>
    <row r="17720">
      <c r="A17720" s="40">
        <f t="shared" si="1"/>
        <v>46013</v>
      </c>
      <c r="B17720" s="37" t="str">
        <f t="array" ref="B17720">iferror(xlookup($I17720, 'IMPORT VHC Report'!$E:$E, 'IMPORT VHC Report'!$A:$C), )</f>
        <v/>
      </c>
      <c r="C17720" s="44"/>
      <c r="D17720" s="44"/>
      <c r="E17720" s="46" t="s">
        <v>13959</v>
      </c>
      <c r="F17720" s="46" t="s">
        <v>6536</v>
      </c>
      <c r="G17720" s="46">
        <v>3.61731943715E11</v>
      </c>
      <c r="H17720" s="46" t="s">
        <v>6537</v>
      </c>
      <c r="I17720" s="46" t="s">
        <v>6538</v>
      </c>
      <c r="J17720" s="46" t="s">
        <v>178</v>
      </c>
      <c r="K17720" s="46" t="s">
        <v>153</v>
      </c>
      <c r="L17720" s="45">
        <v>46016.208333333336</v>
      </c>
      <c r="M17720" s="46" t="s">
        <v>123</v>
      </c>
      <c r="N17720" s="45">
        <v>46016.583333333336</v>
      </c>
      <c r="O17720" s="46" t="s">
        <v>123</v>
      </c>
      <c r="P17720" s="46">
        <v>32400.0</v>
      </c>
      <c r="Q17720" s="46">
        <v>32400.0</v>
      </c>
      <c r="R17720" s="46" t="s">
        <v>13530</v>
      </c>
      <c r="S17720" s="46" t="s">
        <v>13530</v>
      </c>
    </row>
    <row r="17721">
      <c r="A17721" s="40">
        <f t="shared" si="1"/>
        <v>46013</v>
      </c>
      <c r="B17721" s="37" t="str">
        <f t="array" ref="B17721">iferror(xlookup($I17721, 'IMPORT VHC Report'!$E:$E, 'IMPORT VHC Report'!$A:$C), )</f>
        <v/>
      </c>
      <c r="C17721" s="44"/>
      <c r="D17721" s="44"/>
      <c r="E17721" s="46" t="s">
        <v>13960</v>
      </c>
      <c r="F17721" s="46" t="s">
        <v>6536</v>
      </c>
      <c r="G17721" s="46">
        <v>3.61731943715E11</v>
      </c>
      <c r="H17721" s="46" t="s">
        <v>6537</v>
      </c>
      <c r="I17721" s="46" t="s">
        <v>6538</v>
      </c>
      <c r="J17721" s="46" t="s">
        <v>530</v>
      </c>
      <c r="K17721" s="46" t="s">
        <v>63</v>
      </c>
      <c r="L17721" s="45">
        <v>46016.208333333336</v>
      </c>
      <c r="M17721" s="46" t="s">
        <v>123</v>
      </c>
      <c r="N17721" s="45">
        <v>46016.583333333336</v>
      </c>
      <c r="O17721" s="46" t="s">
        <v>123</v>
      </c>
      <c r="P17721" s="46">
        <v>32400.0</v>
      </c>
    </row>
    <row r="17722">
      <c r="A17722" s="40">
        <f t="shared" si="1"/>
        <v>46013</v>
      </c>
      <c r="B17722" s="37" t="str">
        <f t="array" ref="B17722">iferror(xlookup($I17722, 'IMPORT VHC Report'!$E:$E, 'IMPORT VHC Report'!$A:$C), )</f>
        <v/>
      </c>
      <c r="C17722" s="44"/>
      <c r="D17722" s="44"/>
      <c r="E17722" s="46" t="s">
        <v>13961</v>
      </c>
      <c r="F17722" s="46" t="s">
        <v>6536</v>
      </c>
      <c r="G17722" s="46">
        <v>3.61731943715E11</v>
      </c>
      <c r="H17722" s="46" t="s">
        <v>6537</v>
      </c>
      <c r="I17722" s="46" t="s">
        <v>6538</v>
      </c>
      <c r="J17722" s="46" t="s">
        <v>132</v>
      </c>
      <c r="K17722" s="46" t="s">
        <v>126</v>
      </c>
      <c r="L17722" s="45">
        <v>46016.3125</v>
      </c>
      <c r="M17722" s="46" t="s">
        <v>123</v>
      </c>
      <c r="N17722" s="45">
        <v>46016.354166666664</v>
      </c>
      <c r="O17722" s="46" t="s">
        <v>123</v>
      </c>
      <c r="P17722" s="46">
        <v>3600.0</v>
      </c>
    </row>
    <row r="17723">
      <c r="A17723" s="40">
        <f t="shared" si="1"/>
        <v>46013</v>
      </c>
      <c r="B17723" s="37" t="str">
        <f t="array" ref="B17723">iferror(xlookup($I17723, 'IMPORT VHC Report'!$E:$E, 'IMPORT VHC Report'!$A:$C), )</f>
        <v/>
      </c>
      <c r="C17723" s="44"/>
      <c r="D17723" s="44"/>
      <c r="E17723" s="46" t="s">
        <v>13962</v>
      </c>
      <c r="F17723" s="46" t="s">
        <v>6536</v>
      </c>
      <c r="G17723" s="46">
        <v>3.61731943715E11</v>
      </c>
      <c r="H17723" s="46" t="s">
        <v>6537</v>
      </c>
      <c r="I17723" s="46" t="s">
        <v>6538</v>
      </c>
      <c r="J17723" s="46" t="s">
        <v>134</v>
      </c>
      <c r="K17723" s="46" t="s">
        <v>126</v>
      </c>
      <c r="L17723" s="45">
        <v>46016.5</v>
      </c>
      <c r="M17723" s="46" t="s">
        <v>123</v>
      </c>
      <c r="N17723" s="45">
        <v>46016.520833333336</v>
      </c>
      <c r="O17723" s="46" t="s">
        <v>123</v>
      </c>
      <c r="P17723" s="46">
        <v>1800.0</v>
      </c>
    </row>
    <row r="17724">
      <c r="A17724" s="40">
        <f t="shared" si="1"/>
        <v>46013</v>
      </c>
      <c r="B17724" s="37" t="str">
        <f t="array" ref="B17724">iferror(xlookup($I17724, 'IMPORT VHC Report'!$E:$E, 'IMPORT VHC Report'!$A:$C), )</f>
        <v/>
      </c>
      <c r="C17724" s="44"/>
      <c r="D17724" s="44"/>
      <c r="E17724" s="46" t="s">
        <v>13963</v>
      </c>
      <c r="F17724" s="46" t="s">
        <v>6536</v>
      </c>
      <c r="G17724" s="46">
        <v>3.61731943715E11</v>
      </c>
      <c r="H17724" s="46" t="s">
        <v>6537</v>
      </c>
      <c r="I17724" s="46" t="s">
        <v>6538</v>
      </c>
      <c r="J17724" s="46" t="s">
        <v>4</v>
      </c>
      <c r="K17724" s="46" t="s">
        <v>126</v>
      </c>
      <c r="L17724" s="45">
        <v>46017.208333333336</v>
      </c>
      <c r="M17724" s="46" t="s">
        <v>123</v>
      </c>
      <c r="N17724" s="45">
        <v>46017.229166666664</v>
      </c>
      <c r="O17724" s="46" t="s">
        <v>123</v>
      </c>
      <c r="P17724" s="46">
        <v>1800.0</v>
      </c>
    </row>
    <row r="17725">
      <c r="A17725" s="40">
        <f t="shared" si="1"/>
        <v>46013</v>
      </c>
      <c r="B17725" s="37" t="str">
        <f t="array" ref="B17725">iferror(xlookup($I17725, 'IMPORT VHC Report'!$E:$E, 'IMPORT VHC Report'!$A:$C), )</f>
        <v/>
      </c>
      <c r="C17725" s="44"/>
      <c r="D17725" s="44"/>
      <c r="E17725" s="46" t="s">
        <v>13964</v>
      </c>
      <c r="F17725" s="46" t="s">
        <v>6536</v>
      </c>
      <c r="G17725" s="46">
        <v>3.61731943715E11</v>
      </c>
      <c r="H17725" s="46" t="s">
        <v>6537</v>
      </c>
      <c r="I17725" s="46" t="s">
        <v>6538</v>
      </c>
      <c r="J17725" s="46" t="s">
        <v>530</v>
      </c>
      <c r="K17725" s="46" t="s">
        <v>63</v>
      </c>
      <c r="L17725" s="45">
        <v>46017.208333333336</v>
      </c>
      <c r="M17725" s="46" t="s">
        <v>123</v>
      </c>
      <c r="N17725" s="45">
        <v>46017.583333333336</v>
      </c>
      <c r="O17725" s="46" t="s">
        <v>123</v>
      </c>
      <c r="P17725" s="46">
        <v>32400.0</v>
      </c>
    </row>
    <row r="17726">
      <c r="A17726" s="40">
        <f t="shared" si="1"/>
        <v>46013</v>
      </c>
      <c r="B17726" s="37" t="str">
        <f t="array" ref="B17726">iferror(xlookup($I17726, 'IMPORT VHC Report'!$E:$E, 'IMPORT VHC Report'!$A:$C), )</f>
        <v/>
      </c>
      <c r="C17726" s="44"/>
      <c r="D17726" s="44"/>
      <c r="E17726" s="46" t="s">
        <v>13965</v>
      </c>
      <c r="F17726" s="46" t="s">
        <v>6536</v>
      </c>
      <c r="G17726" s="46">
        <v>3.61731943715E11</v>
      </c>
      <c r="H17726" s="46" t="s">
        <v>6537</v>
      </c>
      <c r="I17726" s="46" t="s">
        <v>6538</v>
      </c>
      <c r="J17726" s="46" t="s">
        <v>134</v>
      </c>
      <c r="K17726" s="46" t="s">
        <v>126</v>
      </c>
      <c r="L17726" s="45">
        <v>46017.354166666664</v>
      </c>
      <c r="M17726" s="46" t="s">
        <v>123</v>
      </c>
      <c r="N17726" s="45">
        <v>46017.375</v>
      </c>
      <c r="O17726" s="46" t="s">
        <v>123</v>
      </c>
      <c r="P17726" s="46">
        <v>1800.0</v>
      </c>
    </row>
    <row r="17727">
      <c r="A17727" s="40">
        <f t="shared" si="1"/>
        <v>46013</v>
      </c>
      <c r="B17727" s="37" t="str">
        <f t="array" ref="B17727">iferror(xlookup($I17727, 'IMPORT VHC Report'!$E:$E, 'IMPORT VHC Report'!$A:$C), )</f>
        <v/>
      </c>
      <c r="C17727" s="44"/>
      <c r="D17727" s="44"/>
      <c r="E17727" s="46" t="s">
        <v>13966</v>
      </c>
      <c r="F17727" s="46" t="s">
        <v>6536</v>
      </c>
      <c r="G17727" s="46">
        <v>3.61731943715E11</v>
      </c>
      <c r="H17727" s="46" t="s">
        <v>6537</v>
      </c>
      <c r="I17727" s="46" t="s">
        <v>6538</v>
      </c>
      <c r="J17727" s="46" t="s">
        <v>132</v>
      </c>
      <c r="K17727" s="46" t="s">
        <v>126</v>
      </c>
      <c r="L17727" s="45">
        <v>46017.479166666664</v>
      </c>
      <c r="M17727" s="46" t="s">
        <v>123</v>
      </c>
      <c r="N17727" s="45">
        <v>46017.520833333336</v>
      </c>
      <c r="O17727" s="46" t="s">
        <v>123</v>
      </c>
      <c r="P17727" s="46">
        <v>3600.0</v>
      </c>
    </row>
    <row r="17728">
      <c r="A17728" s="40">
        <f t="shared" si="1"/>
        <v>46013</v>
      </c>
      <c r="B17728" s="37" t="str">
        <f t="array" ref="B17728">iferror(xlookup($I17728, 'IMPORT VHC Report'!$E:$E, 'IMPORT VHC Report'!$A:$C), )</f>
        <v/>
      </c>
      <c r="C17728" s="44"/>
      <c r="D17728" s="44"/>
      <c r="E17728" s="46" t="s">
        <v>13967</v>
      </c>
      <c r="F17728" s="46" t="s">
        <v>6536</v>
      </c>
      <c r="G17728" s="46">
        <v>3.61731943715E11</v>
      </c>
      <c r="H17728" s="46" t="s">
        <v>6537</v>
      </c>
      <c r="I17728" s="46" t="s">
        <v>6538</v>
      </c>
      <c r="J17728" s="46" t="s">
        <v>4</v>
      </c>
      <c r="K17728" s="46" t="s">
        <v>126</v>
      </c>
      <c r="L17728" s="45">
        <v>46018.208333333336</v>
      </c>
      <c r="M17728" s="46" t="s">
        <v>123</v>
      </c>
      <c r="N17728" s="45">
        <v>46018.229166666664</v>
      </c>
      <c r="O17728" s="46" t="s">
        <v>123</v>
      </c>
      <c r="P17728" s="46">
        <v>1800.0</v>
      </c>
    </row>
    <row r="17729">
      <c r="A17729" s="40">
        <f t="shared" si="1"/>
        <v>46013</v>
      </c>
      <c r="B17729" s="37" t="str">
        <f t="array" ref="B17729">iferror(xlookup($I17729, 'IMPORT VHC Report'!$E:$E, 'IMPORT VHC Report'!$A:$C), )</f>
        <v/>
      </c>
      <c r="C17729" s="44"/>
      <c r="D17729" s="44"/>
      <c r="E17729" s="46" t="s">
        <v>13968</v>
      </c>
      <c r="F17729" s="46" t="s">
        <v>6536</v>
      </c>
      <c r="G17729" s="46">
        <v>3.61731943715E11</v>
      </c>
      <c r="H17729" s="46" t="s">
        <v>6537</v>
      </c>
      <c r="I17729" s="46" t="s">
        <v>6538</v>
      </c>
      <c r="J17729" s="46" t="s">
        <v>530</v>
      </c>
      <c r="K17729" s="46" t="s">
        <v>63</v>
      </c>
      <c r="L17729" s="45">
        <v>46018.208333333336</v>
      </c>
      <c r="M17729" s="46" t="s">
        <v>123</v>
      </c>
      <c r="N17729" s="45">
        <v>46018.583333333336</v>
      </c>
      <c r="O17729" s="46" t="s">
        <v>123</v>
      </c>
      <c r="P17729" s="46">
        <v>32400.0</v>
      </c>
    </row>
    <row r="17730">
      <c r="A17730" s="40">
        <f t="shared" si="1"/>
        <v>46013</v>
      </c>
      <c r="B17730" s="37" t="str">
        <f t="array" ref="B17730">iferror(xlookup($I17730, 'IMPORT VHC Report'!$E:$E, 'IMPORT VHC Report'!$A:$C), )</f>
        <v/>
      </c>
      <c r="C17730" s="44"/>
      <c r="D17730" s="44"/>
      <c r="E17730" s="46" t="s">
        <v>13969</v>
      </c>
      <c r="F17730" s="46" t="s">
        <v>6536</v>
      </c>
      <c r="G17730" s="46">
        <v>3.61731943715E11</v>
      </c>
      <c r="H17730" s="46" t="s">
        <v>6537</v>
      </c>
      <c r="I17730" s="46" t="s">
        <v>6538</v>
      </c>
      <c r="J17730" s="46" t="s">
        <v>134</v>
      </c>
      <c r="K17730" s="46" t="s">
        <v>126</v>
      </c>
      <c r="L17730" s="45">
        <v>46018.3125</v>
      </c>
      <c r="M17730" s="46" t="s">
        <v>123</v>
      </c>
      <c r="N17730" s="45">
        <v>46018.333333333336</v>
      </c>
      <c r="O17730" s="46" t="s">
        <v>123</v>
      </c>
      <c r="P17730" s="46">
        <v>1800.0</v>
      </c>
    </row>
    <row r="17731">
      <c r="A17731" s="40">
        <f t="shared" si="1"/>
        <v>46013</v>
      </c>
      <c r="B17731" s="37" t="str">
        <f t="array" ref="B17731">iferror(xlookup($I17731, 'IMPORT VHC Report'!$E:$E, 'IMPORT VHC Report'!$A:$C), )</f>
        <v/>
      </c>
      <c r="C17731" s="44"/>
      <c r="D17731" s="44"/>
      <c r="E17731" s="46" t="s">
        <v>13970</v>
      </c>
      <c r="F17731" s="46" t="s">
        <v>6536</v>
      </c>
      <c r="G17731" s="46">
        <v>3.61731943715E11</v>
      </c>
      <c r="H17731" s="46" t="s">
        <v>6537</v>
      </c>
      <c r="I17731" s="46" t="s">
        <v>6538</v>
      </c>
      <c r="J17731" s="46" t="s">
        <v>132</v>
      </c>
      <c r="K17731" s="46" t="s">
        <v>126</v>
      </c>
      <c r="L17731" s="45">
        <v>46018.458333333336</v>
      </c>
      <c r="M17731" s="46" t="s">
        <v>123</v>
      </c>
      <c r="N17731" s="45">
        <v>46018.5</v>
      </c>
      <c r="O17731" s="46" t="s">
        <v>123</v>
      </c>
      <c r="P17731" s="46">
        <v>3600.0</v>
      </c>
    </row>
    <row r="17732">
      <c r="A17732" s="40">
        <f t="shared" si="1"/>
        <v>46013</v>
      </c>
      <c r="B17732" s="37" t="str">
        <f t="array" ref="B17732">iferror(xlookup($I17732, 'IMPORT VHC Report'!$E:$E, 'IMPORT VHC Report'!$A:$C), )</f>
        <v/>
      </c>
      <c r="C17732" s="44"/>
      <c r="D17732" s="44"/>
      <c r="E17732" s="46" t="s">
        <v>13971</v>
      </c>
      <c r="F17732" s="46" t="s">
        <v>6448</v>
      </c>
      <c r="G17732" s="46">
        <v>3.61724829156E11</v>
      </c>
      <c r="H17732" s="46" t="s">
        <v>6449</v>
      </c>
      <c r="I17732" s="46" t="s">
        <v>6450</v>
      </c>
      <c r="J17732" s="46" t="s">
        <v>4</v>
      </c>
      <c r="K17732" s="46" t="s">
        <v>126</v>
      </c>
      <c r="L17732" s="45">
        <v>46014.208333333336</v>
      </c>
      <c r="M17732" s="46" t="s">
        <v>123</v>
      </c>
      <c r="N17732" s="45">
        <v>46014.229166666664</v>
      </c>
      <c r="O17732" s="46" t="s">
        <v>123</v>
      </c>
      <c r="P17732" s="46">
        <v>1800.0</v>
      </c>
    </row>
    <row r="17733">
      <c r="A17733" s="40">
        <f t="shared" si="1"/>
        <v>46013</v>
      </c>
      <c r="B17733" s="37" t="str">
        <f t="array" ref="B17733">iferror(xlookup($I17733, 'IMPORT VHC Report'!$E:$E, 'IMPORT VHC Report'!$A:$C), )</f>
        <v/>
      </c>
      <c r="C17733" s="44"/>
      <c r="D17733" s="44"/>
      <c r="E17733" s="46" t="s">
        <v>13972</v>
      </c>
      <c r="F17733" s="46" t="s">
        <v>6448</v>
      </c>
      <c r="G17733" s="46">
        <v>3.61724829156E11</v>
      </c>
      <c r="H17733" s="46" t="s">
        <v>6449</v>
      </c>
      <c r="I17733" s="46" t="s">
        <v>6450</v>
      </c>
      <c r="J17733" s="46" t="s">
        <v>178</v>
      </c>
      <c r="K17733" s="46" t="s">
        <v>153</v>
      </c>
      <c r="L17733" s="45">
        <v>46014.208333333336</v>
      </c>
      <c r="M17733" s="46" t="s">
        <v>123</v>
      </c>
      <c r="N17733" s="45">
        <v>46014.583333333336</v>
      </c>
      <c r="O17733" s="46" t="s">
        <v>123</v>
      </c>
      <c r="P17733" s="46">
        <v>32400.0</v>
      </c>
      <c r="Q17733" s="46">
        <v>32400.0</v>
      </c>
    </row>
    <row r="17734">
      <c r="A17734" s="40">
        <f t="shared" si="1"/>
        <v>46013</v>
      </c>
      <c r="B17734" s="37" t="str">
        <f t="array" ref="B17734">iferror(xlookup($I17734, 'IMPORT VHC Report'!$E:$E, 'IMPORT VHC Report'!$A:$C), )</f>
        <v/>
      </c>
      <c r="C17734" s="44"/>
      <c r="D17734" s="44"/>
      <c r="E17734" s="46" t="s">
        <v>13973</v>
      </c>
      <c r="F17734" s="46" t="s">
        <v>6448</v>
      </c>
      <c r="G17734" s="46">
        <v>3.61724829156E11</v>
      </c>
      <c r="H17734" s="46" t="s">
        <v>6449</v>
      </c>
      <c r="I17734" s="46" t="s">
        <v>6450</v>
      </c>
      <c r="J17734" s="46" t="s">
        <v>530</v>
      </c>
      <c r="K17734" s="46" t="s">
        <v>63</v>
      </c>
      <c r="L17734" s="45">
        <v>46014.208333333336</v>
      </c>
      <c r="M17734" s="46" t="s">
        <v>123</v>
      </c>
      <c r="N17734" s="45">
        <v>46014.583333333336</v>
      </c>
      <c r="O17734" s="46" t="s">
        <v>123</v>
      </c>
      <c r="P17734" s="46">
        <v>32400.0</v>
      </c>
    </row>
    <row r="17735">
      <c r="A17735" s="40">
        <f t="shared" si="1"/>
        <v>46013</v>
      </c>
      <c r="B17735" s="37" t="str">
        <f t="array" ref="B17735">iferror(xlookup($I17735, 'IMPORT VHC Report'!$E:$E, 'IMPORT VHC Report'!$A:$C), )</f>
        <v/>
      </c>
      <c r="C17735" s="44"/>
      <c r="D17735" s="44"/>
      <c r="E17735" s="46" t="s">
        <v>13974</v>
      </c>
      <c r="F17735" s="46" t="s">
        <v>6448</v>
      </c>
      <c r="G17735" s="46">
        <v>3.61724829156E11</v>
      </c>
      <c r="H17735" s="46" t="s">
        <v>6449</v>
      </c>
      <c r="I17735" s="46" t="s">
        <v>6450</v>
      </c>
      <c r="J17735" s="46" t="s">
        <v>134</v>
      </c>
      <c r="K17735" s="46" t="s">
        <v>126</v>
      </c>
      <c r="L17735" s="45">
        <v>46014.34375</v>
      </c>
      <c r="M17735" s="46" t="s">
        <v>123</v>
      </c>
      <c r="N17735" s="45">
        <v>46014.364583333336</v>
      </c>
      <c r="O17735" s="46" t="s">
        <v>123</v>
      </c>
      <c r="P17735" s="46">
        <v>1800.0</v>
      </c>
    </row>
    <row r="17736">
      <c r="A17736" s="40">
        <f t="shared" si="1"/>
        <v>46013</v>
      </c>
      <c r="B17736" s="37" t="str">
        <f t="array" ref="B17736">iferror(xlookup($I17736, 'IMPORT VHC Report'!$E:$E, 'IMPORT VHC Report'!$A:$C), )</f>
        <v/>
      </c>
      <c r="C17736" s="44"/>
      <c r="D17736" s="44"/>
      <c r="E17736" s="46" t="s">
        <v>13975</v>
      </c>
      <c r="F17736" s="46" t="s">
        <v>6448</v>
      </c>
      <c r="G17736" s="46">
        <v>3.61724829156E11</v>
      </c>
      <c r="H17736" s="46" t="s">
        <v>6449</v>
      </c>
      <c r="I17736" s="46" t="s">
        <v>6450</v>
      </c>
      <c r="J17736" s="46" t="s">
        <v>132</v>
      </c>
      <c r="K17736" s="46" t="s">
        <v>126</v>
      </c>
      <c r="L17736" s="45">
        <v>46014.479166666664</v>
      </c>
      <c r="M17736" s="46" t="s">
        <v>123</v>
      </c>
      <c r="N17736" s="45">
        <v>46014.520833333336</v>
      </c>
      <c r="O17736" s="46" t="s">
        <v>123</v>
      </c>
      <c r="P17736" s="46">
        <v>3600.0</v>
      </c>
    </row>
    <row r="17737">
      <c r="A17737" s="40">
        <f t="shared" si="1"/>
        <v>46013</v>
      </c>
      <c r="B17737" s="37" t="str">
        <f t="array" ref="B17737">iferror(xlookup($I17737, 'IMPORT VHC Report'!$E:$E, 'IMPORT VHC Report'!$A:$C), )</f>
        <v/>
      </c>
      <c r="C17737" s="44"/>
      <c r="D17737" s="44"/>
      <c r="E17737" s="46" t="s">
        <v>13976</v>
      </c>
      <c r="F17737" s="46" t="s">
        <v>6448</v>
      </c>
      <c r="G17737" s="46">
        <v>3.61724829156E11</v>
      </c>
      <c r="H17737" s="46" t="s">
        <v>6449</v>
      </c>
      <c r="I17737" s="46" t="s">
        <v>6450</v>
      </c>
      <c r="J17737" s="46" t="s">
        <v>4</v>
      </c>
      <c r="K17737" s="46" t="s">
        <v>126</v>
      </c>
      <c r="L17737" s="45">
        <v>46015.208333333336</v>
      </c>
      <c r="M17737" s="46" t="s">
        <v>123</v>
      </c>
      <c r="N17737" s="45">
        <v>46015.229166666664</v>
      </c>
      <c r="O17737" s="46" t="s">
        <v>123</v>
      </c>
      <c r="P17737" s="46">
        <v>1800.0</v>
      </c>
    </row>
    <row r="17738">
      <c r="A17738" s="40">
        <f t="shared" si="1"/>
        <v>46013</v>
      </c>
      <c r="B17738" s="37" t="str">
        <f t="array" ref="B17738">iferror(xlookup($I17738, 'IMPORT VHC Report'!$E:$E, 'IMPORT VHC Report'!$A:$C), )</f>
        <v/>
      </c>
      <c r="C17738" s="44"/>
      <c r="D17738" s="44"/>
      <c r="E17738" s="46" t="s">
        <v>13977</v>
      </c>
      <c r="F17738" s="46" t="s">
        <v>6448</v>
      </c>
      <c r="G17738" s="46">
        <v>3.61724829156E11</v>
      </c>
      <c r="H17738" s="46" t="s">
        <v>6449</v>
      </c>
      <c r="I17738" s="46" t="s">
        <v>6450</v>
      </c>
      <c r="J17738" s="46" t="s">
        <v>178</v>
      </c>
      <c r="K17738" s="46" t="s">
        <v>153</v>
      </c>
      <c r="L17738" s="45">
        <v>46015.208333333336</v>
      </c>
      <c r="M17738" s="46" t="s">
        <v>123</v>
      </c>
      <c r="N17738" s="45">
        <v>46015.583333333336</v>
      </c>
      <c r="O17738" s="46" t="s">
        <v>123</v>
      </c>
      <c r="P17738" s="46">
        <v>32400.0</v>
      </c>
      <c r="Q17738" s="46">
        <v>32400.0</v>
      </c>
      <c r="R17738" s="46" t="s">
        <v>13530</v>
      </c>
      <c r="S17738" s="46" t="s">
        <v>13530</v>
      </c>
    </row>
    <row r="17739">
      <c r="A17739" s="40">
        <f t="shared" si="1"/>
        <v>46013</v>
      </c>
      <c r="B17739" s="37" t="str">
        <f t="array" ref="B17739">iferror(xlookup($I17739, 'IMPORT VHC Report'!$E:$E, 'IMPORT VHC Report'!$A:$C), )</f>
        <v/>
      </c>
      <c r="C17739" s="44"/>
      <c r="D17739" s="44"/>
      <c r="E17739" s="46" t="s">
        <v>13978</v>
      </c>
      <c r="F17739" s="46" t="s">
        <v>6448</v>
      </c>
      <c r="G17739" s="46">
        <v>3.61724829156E11</v>
      </c>
      <c r="H17739" s="46" t="s">
        <v>6449</v>
      </c>
      <c r="I17739" s="46" t="s">
        <v>6450</v>
      </c>
      <c r="J17739" s="46" t="s">
        <v>530</v>
      </c>
      <c r="K17739" s="46" t="s">
        <v>63</v>
      </c>
      <c r="L17739" s="45">
        <v>46015.208333333336</v>
      </c>
      <c r="M17739" s="46" t="s">
        <v>123</v>
      </c>
      <c r="N17739" s="45">
        <v>46015.583333333336</v>
      </c>
      <c r="O17739" s="46" t="s">
        <v>123</v>
      </c>
      <c r="P17739" s="46">
        <v>32400.0</v>
      </c>
    </row>
    <row r="17740">
      <c r="A17740" s="40">
        <f t="shared" si="1"/>
        <v>46013</v>
      </c>
      <c r="B17740" s="37" t="str">
        <f t="array" ref="B17740">iferror(xlookup($I17740, 'IMPORT VHC Report'!$E:$E, 'IMPORT VHC Report'!$A:$C), )</f>
        <v/>
      </c>
      <c r="C17740" s="44"/>
      <c r="D17740" s="44"/>
      <c r="E17740" s="46" t="s">
        <v>13979</v>
      </c>
      <c r="F17740" s="46" t="s">
        <v>6448</v>
      </c>
      <c r="G17740" s="46">
        <v>3.61724829156E11</v>
      </c>
      <c r="H17740" s="46" t="s">
        <v>6449</v>
      </c>
      <c r="I17740" s="46" t="s">
        <v>6450</v>
      </c>
      <c r="J17740" s="46" t="s">
        <v>134</v>
      </c>
      <c r="K17740" s="46" t="s">
        <v>126</v>
      </c>
      <c r="L17740" s="45">
        <v>46015.34375</v>
      </c>
      <c r="M17740" s="46" t="s">
        <v>123</v>
      </c>
      <c r="N17740" s="45">
        <v>46015.364583333336</v>
      </c>
      <c r="O17740" s="46" t="s">
        <v>123</v>
      </c>
      <c r="P17740" s="46">
        <v>1800.0</v>
      </c>
    </row>
    <row r="17741">
      <c r="A17741" s="40">
        <f t="shared" si="1"/>
        <v>46013</v>
      </c>
      <c r="B17741" s="37" t="str">
        <f t="array" ref="B17741">iferror(xlookup($I17741, 'IMPORT VHC Report'!$E:$E, 'IMPORT VHC Report'!$A:$C), )</f>
        <v/>
      </c>
      <c r="C17741" s="44"/>
      <c r="D17741" s="44"/>
      <c r="E17741" s="46" t="s">
        <v>13980</v>
      </c>
      <c r="F17741" s="46" t="s">
        <v>6448</v>
      </c>
      <c r="G17741" s="46">
        <v>3.61724829156E11</v>
      </c>
      <c r="H17741" s="46" t="s">
        <v>6449</v>
      </c>
      <c r="I17741" s="46" t="s">
        <v>6450</v>
      </c>
      <c r="J17741" s="46" t="s">
        <v>132</v>
      </c>
      <c r="K17741" s="46" t="s">
        <v>126</v>
      </c>
      <c r="L17741" s="45">
        <v>46015.479166666664</v>
      </c>
      <c r="M17741" s="46" t="s">
        <v>123</v>
      </c>
      <c r="N17741" s="45">
        <v>46015.520833333336</v>
      </c>
      <c r="O17741" s="46" t="s">
        <v>123</v>
      </c>
      <c r="P17741" s="46">
        <v>3600.0</v>
      </c>
    </row>
    <row r="17742">
      <c r="A17742" s="40">
        <f t="shared" si="1"/>
        <v>46013</v>
      </c>
      <c r="B17742" s="37" t="str">
        <f t="array" ref="B17742">iferror(xlookup($I17742, 'IMPORT VHC Report'!$E:$E, 'IMPORT VHC Report'!$A:$C), )</f>
        <v/>
      </c>
      <c r="C17742" s="44"/>
      <c r="D17742" s="44"/>
      <c r="E17742" s="46" t="s">
        <v>13981</v>
      </c>
      <c r="F17742" s="46" t="s">
        <v>6448</v>
      </c>
      <c r="G17742" s="46">
        <v>3.61724829156E11</v>
      </c>
      <c r="H17742" s="46" t="s">
        <v>6449</v>
      </c>
      <c r="I17742" s="46" t="s">
        <v>6450</v>
      </c>
      <c r="J17742" s="46" t="s">
        <v>4</v>
      </c>
      <c r="K17742" s="46" t="s">
        <v>126</v>
      </c>
      <c r="L17742" s="45">
        <v>46016.208333333336</v>
      </c>
      <c r="M17742" s="46" t="s">
        <v>123</v>
      </c>
      <c r="N17742" s="45">
        <v>46016.229166666664</v>
      </c>
      <c r="O17742" s="46" t="s">
        <v>123</v>
      </c>
      <c r="P17742" s="46">
        <v>1800.0</v>
      </c>
    </row>
    <row r="17743">
      <c r="A17743" s="40">
        <f t="shared" si="1"/>
        <v>46013</v>
      </c>
      <c r="B17743" s="37" t="str">
        <f t="array" ref="B17743">iferror(xlookup($I17743, 'IMPORT VHC Report'!$E:$E, 'IMPORT VHC Report'!$A:$C), )</f>
        <v/>
      </c>
      <c r="C17743" s="44"/>
      <c r="D17743" s="44"/>
      <c r="E17743" s="46" t="s">
        <v>13982</v>
      </c>
      <c r="F17743" s="46" t="s">
        <v>6448</v>
      </c>
      <c r="G17743" s="46">
        <v>3.61724829156E11</v>
      </c>
      <c r="H17743" s="46" t="s">
        <v>6449</v>
      </c>
      <c r="I17743" s="46" t="s">
        <v>6450</v>
      </c>
      <c r="J17743" s="46" t="s">
        <v>178</v>
      </c>
      <c r="K17743" s="46" t="s">
        <v>153</v>
      </c>
      <c r="L17743" s="45">
        <v>46016.208333333336</v>
      </c>
      <c r="M17743" s="46" t="s">
        <v>123</v>
      </c>
      <c r="N17743" s="45">
        <v>46016.583333333336</v>
      </c>
      <c r="O17743" s="46" t="s">
        <v>123</v>
      </c>
      <c r="P17743" s="46">
        <v>32400.0</v>
      </c>
      <c r="Q17743" s="46">
        <v>32400.0</v>
      </c>
      <c r="R17743" s="46" t="s">
        <v>13530</v>
      </c>
      <c r="S17743" s="46" t="s">
        <v>13530</v>
      </c>
    </row>
    <row r="17744">
      <c r="A17744" s="40">
        <f t="shared" si="1"/>
        <v>46013</v>
      </c>
      <c r="B17744" s="37" t="str">
        <f t="array" ref="B17744">iferror(xlookup($I17744, 'IMPORT VHC Report'!$E:$E, 'IMPORT VHC Report'!$A:$C), )</f>
        <v/>
      </c>
      <c r="C17744" s="44"/>
      <c r="D17744" s="44"/>
      <c r="E17744" s="46" t="s">
        <v>13983</v>
      </c>
      <c r="F17744" s="46" t="s">
        <v>6448</v>
      </c>
      <c r="G17744" s="46">
        <v>3.61724829156E11</v>
      </c>
      <c r="H17744" s="46" t="s">
        <v>6449</v>
      </c>
      <c r="I17744" s="46" t="s">
        <v>6450</v>
      </c>
      <c r="J17744" s="46" t="s">
        <v>530</v>
      </c>
      <c r="K17744" s="46" t="s">
        <v>63</v>
      </c>
      <c r="L17744" s="45">
        <v>46016.208333333336</v>
      </c>
      <c r="M17744" s="46" t="s">
        <v>123</v>
      </c>
      <c r="N17744" s="45">
        <v>46016.583333333336</v>
      </c>
      <c r="O17744" s="46" t="s">
        <v>123</v>
      </c>
      <c r="P17744" s="46">
        <v>32400.0</v>
      </c>
    </row>
    <row r="17745">
      <c r="A17745" s="40">
        <f t="shared" si="1"/>
        <v>46013</v>
      </c>
      <c r="B17745" s="37" t="str">
        <f t="array" ref="B17745">iferror(xlookup($I17745, 'IMPORT VHC Report'!$E:$E, 'IMPORT VHC Report'!$A:$C), )</f>
        <v/>
      </c>
      <c r="C17745" s="44"/>
      <c r="D17745" s="44"/>
      <c r="E17745" s="46" t="s">
        <v>13984</v>
      </c>
      <c r="F17745" s="46" t="s">
        <v>6448</v>
      </c>
      <c r="G17745" s="46">
        <v>3.61724829156E11</v>
      </c>
      <c r="H17745" s="46" t="s">
        <v>6449</v>
      </c>
      <c r="I17745" s="46" t="s">
        <v>6450</v>
      </c>
      <c r="J17745" s="46" t="s">
        <v>134</v>
      </c>
      <c r="K17745" s="46" t="s">
        <v>126</v>
      </c>
      <c r="L17745" s="45">
        <v>46016.34375</v>
      </c>
      <c r="M17745" s="46" t="s">
        <v>123</v>
      </c>
      <c r="N17745" s="45">
        <v>46016.364583333336</v>
      </c>
      <c r="O17745" s="46" t="s">
        <v>123</v>
      </c>
      <c r="P17745" s="46">
        <v>1800.0</v>
      </c>
    </row>
    <row r="17746">
      <c r="A17746" s="40">
        <f t="shared" si="1"/>
        <v>46013</v>
      </c>
      <c r="B17746" s="37" t="str">
        <f t="array" ref="B17746">iferror(xlookup($I17746, 'IMPORT VHC Report'!$E:$E, 'IMPORT VHC Report'!$A:$C), )</f>
        <v/>
      </c>
      <c r="C17746" s="44"/>
      <c r="D17746" s="44"/>
      <c r="E17746" s="46" t="s">
        <v>13985</v>
      </c>
      <c r="F17746" s="46" t="s">
        <v>6448</v>
      </c>
      <c r="G17746" s="46">
        <v>3.61724829156E11</v>
      </c>
      <c r="H17746" s="46" t="s">
        <v>6449</v>
      </c>
      <c r="I17746" s="46" t="s">
        <v>6450</v>
      </c>
      <c r="J17746" s="46" t="s">
        <v>132</v>
      </c>
      <c r="K17746" s="46" t="s">
        <v>126</v>
      </c>
      <c r="L17746" s="45">
        <v>46016.479166666664</v>
      </c>
      <c r="M17746" s="46" t="s">
        <v>123</v>
      </c>
      <c r="N17746" s="45">
        <v>46016.520833333336</v>
      </c>
      <c r="O17746" s="46" t="s">
        <v>123</v>
      </c>
      <c r="P17746" s="46">
        <v>3600.0</v>
      </c>
    </row>
    <row r="17747">
      <c r="A17747" s="40">
        <f t="shared" si="1"/>
        <v>46013</v>
      </c>
      <c r="B17747" s="37" t="str">
        <f t="array" ref="B17747">iferror(xlookup($I17747, 'IMPORT VHC Report'!$E:$E, 'IMPORT VHC Report'!$A:$C), )</f>
        <v/>
      </c>
      <c r="C17747" s="44"/>
      <c r="D17747" s="44"/>
      <c r="E17747" s="46" t="s">
        <v>13986</v>
      </c>
      <c r="F17747" s="46" t="s">
        <v>6448</v>
      </c>
      <c r="G17747" s="46">
        <v>3.61724829156E11</v>
      </c>
      <c r="H17747" s="46" t="s">
        <v>6449</v>
      </c>
      <c r="I17747" s="46" t="s">
        <v>6450</v>
      </c>
      <c r="J17747" s="46" t="s">
        <v>4</v>
      </c>
      <c r="K17747" s="46" t="s">
        <v>126</v>
      </c>
      <c r="L17747" s="45">
        <v>46017.208333333336</v>
      </c>
      <c r="M17747" s="46" t="s">
        <v>123</v>
      </c>
      <c r="N17747" s="45">
        <v>46017.229166666664</v>
      </c>
      <c r="O17747" s="46" t="s">
        <v>123</v>
      </c>
      <c r="P17747" s="46">
        <v>1800.0</v>
      </c>
    </row>
    <row r="17748">
      <c r="A17748" s="40">
        <f t="shared" si="1"/>
        <v>46013</v>
      </c>
      <c r="B17748" s="37" t="str">
        <f t="array" ref="B17748">iferror(xlookup($I17748, 'IMPORT VHC Report'!$E:$E, 'IMPORT VHC Report'!$A:$C), )</f>
        <v/>
      </c>
      <c r="C17748" s="44"/>
      <c r="D17748" s="44"/>
      <c r="E17748" s="46" t="s">
        <v>13987</v>
      </c>
      <c r="F17748" s="46" t="s">
        <v>6448</v>
      </c>
      <c r="G17748" s="46">
        <v>3.61724829156E11</v>
      </c>
      <c r="H17748" s="46" t="s">
        <v>6449</v>
      </c>
      <c r="I17748" s="46" t="s">
        <v>6450</v>
      </c>
      <c r="J17748" s="46" t="s">
        <v>530</v>
      </c>
      <c r="K17748" s="46" t="s">
        <v>63</v>
      </c>
      <c r="L17748" s="45">
        <v>46017.208333333336</v>
      </c>
      <c r="M17748" s="46" t="s">
        <v>123</v>
      </c>
      <c r="N17748" s="45">
        <v>46017.5625</v>
      </c>
      <c r="O17748" s="46" t="s">
        <v>123</v>
      </c>
      <c r="P17748" s="46">
        <v>30600.0</v>
      </c>
    </row>
    <row r="17749">
      <c r="A17749" s="40">
        <f t="shared" si="1"/>
        <v>46013</v>
      </c>
      <c r="B17749" s="37" t="str">
        <f t="array" ref="B17749">iferror(xlookup($I17749, 'IMPORT VHC Report'!$E:$E, 'IMPORT VHC Report'!$A:$C), )</f>
        <v/>
      </c>
      <c r="C17749" s="44"/>
      <c r="D17749" s="44"/>
      <c r="E17749" s="46" t="s">
        <v>13988</v>
      </c>
      <c r="F17749" s="46" t="s">
        <v>6448</v>
      </c>
      <c r="G17749" s="46">
        <v>3.61724829156E11</v>
      </c>
      <c r="H17749" s="46" t="s">
        <v>6449</v>
      </c>
      <c r="I17749" s="46" t="s">
        <v>6450</v>
      </c>
      <c r="J17749" s="46" t="s">
        <v>134</v>
      </c>
      <c r="K17749" s="46" t="s">
        <v>126</v>
      </c>
      <c r="L17749" s="45">
        <v>46017.34375</v>
      </c>
      <c r="M17749" s="46" t="s">
        <v>123</v>
      </c>
      <c r="N17749" s="45">
        <v>46017.364583333336</v>
      </c>
      <c r="O17749" s="46" t="s">
        <v>123</v>
      </c>
      <c r="P17749" s="46">
        <v>1800.0</v>
      </c>
    </row>
    <row r="17750">
      <c r="A17750" s="40">
        <f t="shared" si="1"/>
        <v>46013</v>
      </c>
      <c r="B17750" s="37" t="str">
        <f t="array" ref="B17750">iferror(xlookup($I17750, 'IMPORT VHC Report'!$E:$E, 'IMPORT VHC Report'!$A:$C), )</f>
        <v/>
      </c>
      <c r="C17750" s="44"/>
      <c r="D17750" s="44"/>
      <c r="E17750" s="46" t="s">
        <v>13989</v>
      </c>
      <c r="F17750" s="46" t="s">
        <v>6448</v>
      </c>
      <c r="G17750" s="46">
        <v>3.61724829156E11</v>
      </c>
      <c r="H17750" s="46" t="s">
        <v>6449</v>
      </c>
      <c r="I17750" s="46" t="s">
        <v>6450</v>
      </c>
      <c r="J17750" s="46" t="s">
        <v>132</v>
      </c>
      <c r="K17750" s="46" t="s">
        <v>126</v>
      </c>
      <c r="L17750" s="45">
        <v>46017.46875</v>
      </c>
      <c r="M17750" s="46" t="s">
        <v>123</v>
      </c>
      <c r="N17750" s="45">
        <v>46017.510416666664</v>
      </c>
      <c r="O17750" s="46" t="s">
        <v>123</v>
      </c>
      <c r="P17750" s="46">
        <v>3600.0</v>
      </c>
    </row>
    <row r="17751">
      <c r="A17751" s="40">
        <f t="shared" si="1"/>
        <v>46013</v>
      </c>
      <c r="B17751" s="37" t="str">
        <f t="array" ref="B17751">iferror(xlookup($I17751, 'IMPORT VHC Report'!$E:$E, 'IMPORT VHC Report'!$A:$C), )</f>
        <v/>
      </c>
      <c r="C17751" s="44"/>
      <c r="D17751" s="44"/>
      <c r="E17751" s="46" t="s">
        <v>13990</v>
      </c>
      <c r="F17751" s="46" t="s">
        <v>6448</v>
      </c>
      <c r="G17751" s="46">
        <v>3.61724829156E11</v>
      </c>
      <c r="H17751" s="46" t="s">
        <v>6449</v>
      </c>
      <c r="I17751" s="46" t="s">
        <v>6450</v>
      </c>
      <c r="J17751" s="46" t="s">
        <v>62</v>
      </c>
      <c r="K17751" s="46" t="s">
        <v>63</v>
      </c>
      <c r="L17751" s="45">
        <v>46017.5625</v>
      </c>
      <c r="M17751" s="46" t="s">
        <v>123</v>
      </c>
      <c r="N17751" s="45">
        <v>46017.583333333336</v>
      </c>
      <c r="O17751" s="46" t="s">
        <v>123</v>
      </c>
      <c r="P17751" s="46">
        <v>1800.0</v>
      </c>
    </row>
    <row r="17752">
      <c r="A17752" s="40">
        <f t="shared" si="1"/>
        <v>46013</v>
      </c>
      <c r="B17752" s="37" t="str">
        <f t="array" ref="B17752">iferror(xlookup($I17752, 'IMPORT VHC Report'!$E:$E, 'IMPORT VHC Report'!$A:$C), )</f>
        <v/>
      </c>
      <c r="C17752" s="44"/>
      <c r="D17752" s="44"/>
      <c r="E17752" s="46" t="s">
        <v>13991</v>
      </c>
      <c r="F17752" s="46" t="s">
        <v>6448</v>
      </c>
      <c r="G17752" s="46">
        <v>3.61724829156E11</v>
      </c>
      <c r="H17752" s="46" t="s">
        <v>6449</v>
      </c>
      <c r="I17752" s="46" t="s">
        <v>6450</v>
      </c>
      <c r="J17752" s="46" t="s">
        <v>4</v>
      </c>
      <c r="K17752" s="46" t="s">
        <v>126</v>
      </c>
      <c r="L17752" s="45">
        <v>46018.208333333336</v>
      </c>
      <c r="M17752" s="46" t="s">
        <v>123</v>
      </c>
      <c r="N17752" s="45">
        <v>46018.229166666664</v>
      </c>
      <c r="O17752" s="46" t="s">
        <v>123</v>
      </c>
      <c r="P17752" s="46">
        <v>1800.0</v>
      </c>
    </row>
    <row r="17753">
      <c r="A17753" s="40">
        <f t="shared" si="1"/>
        <v>46013</v>
      </c>
      <c r="B17753" s="37" t="str">
        <f t="array" ref="B17753">iferror(xlookup($I17753, 'IMPORT VHC Report'!$E:$E, 'IMPORT VHC Report'!$A:$C), )</f>
        <v/>
      </c>
      <c r="C17753" s="44"/>
      <c r="D17753" s="44"/>
      <c r="E17753" s="46" t="s">
        <v>13992</v>
      </c>
      <c r="F17753" s="46" t="s">
        <v>6448</v>
      </c>
      <c r="G17753" s="46">
        <v>3.61724829156E11</v>
      </c>
      <c r="H17753" s="46" t="s">
        <v>6449</v>
      </c>
      <c r="I17753" s="46" t="s">
        <v>6450</v>
      </c>
      <c r="J17753" s="46" t="s">
        <v>530</v>
      </c>
      <c r="K17753" s="46" t="s">
        <v>63</v>
      </c>
      <c r="L17753" s="45">
        <v>46018.208333333336</v>
      </c>
      <c r="M17753" s="46" t="s">
        <v>123</v>
      </c>
      <c r="N17753" s="45">
        <v>46018.583333333336</v>
      </c>
      <c r="O17753" s="46" t="s">
        <v>123</v>
      </c>
      <c r="P17753" s="46">
        <v>32400.0</v>
      </c>
    </row>
    <row r="17754">
      <c r="A17754" s="40">
        <f t="shared" si="1"/>
        <v>46013</v>
      </c>
      <c r="B17754" s="37" t="str">
        <f t="array" ref="B17754">iferror(xlookup($I17754, 'IMPORT VHC Report'!$E:$E, 'IMPORT VHC Report'!$A:$C), )</f>
        <v/>
      </c>
      <c r="C17754" s="44"/>
      <c r="D17754" s="44"/>
      <c r="E17754" s="46" t="s">
        <v>13993</v>
      </c>
      <c r="F17754" s="46" t="s">
        <v>6448</v>
      </c>
      <c r="G17754" s="46">
        <v>3.61724829156E11</v>
      </c>
      <c r="H17754" s="46" t="s">
        <v>6449</v>
      </c>
      <c r="I17754" s="46" t="s">
        <v>6450</v>
      </c>
      <c r="J17754" s="46" t="s">
        <v>132</v>
      </c>
      <c r="K17754" s="46" t="s">
        <v>126</v>
      </c>
      <c r="L17754" s="45">
        <v>46018.322916666664</v>
      </c>
      <c r="M17754" s="46" t="s">
        <v>123</v>
      </c>
      <c r="N17754" s="45">
        <v>46018.364583333336</v>
      </c>
      <c r="O17754" s="46" t="s">
        <v>123</v>
      </c>
      <c r="P17754" s="46">
        <v>3600.0</v>
      </c>
    </row>
    <row r="17755">
      <c r="A17755" s="40">
        <f t="shared" si="1"/>
        <v>46013</v>
      </c>
      <c r="B17755" s="37" t="str">
        <f t="array" ref="B17755">iferror(xlookup($I17755, 'IMPORT VHC Report'!$E:$E, 'IMPORT VHC Report'!$A:$C), )</f>
        <v/>
      </c>
      <c r="C17755" s="44"/>
      <c r="D17755" s="44"/>
      <c r="E17755" s="46" t="s">
        <v>13994</v>
      </c>
      <c r="F17755" s="46" t="s">
        <v>6448</v>
      </c>
      <c r="G17755" s="46">
        <v>3.61724829156E11</v>
      </c>
      <c r="H17755" s="46" t="s">
        <v>6449</v>
      </c>
      <c r="I17755" s="46" t="s">
        <v>6450</v>
      </c>
      <c r="J17755" s="46" t="s">
        <v>134</v>
      </c>
      <c r="K17755" s="46" t="s">
        <v>126</v>
      </c>
      <c r="L17755" s="45">
        <v>46018.5</v>
      </c>
      <c r="M17755" s="46" t="s">
        <v>123</v>
      </c>
      <c r="N17755" s="45">
        <v>46018.520833333336</v>
      </c>
      <c r="O17755" s="46" t="s">
        <v>123</v>
      </c>
      <c r="P17755" s="46">
        <v>1800.0</v>
      </c>
    </row>
    <row r="17756">
      <c r="A17756" s="40">
        <f t="shared" si="1"/>
        <v>46013</v>
      </c>
      <c r="B17756" s="37" t="str">
        <f t="array" ref="B17756">iferror(xlookup($I17756, 'IMPORT VHC Report'!$E:$E, 'IMPORT VHC Report'!$A:$C), )</f>
        <v/>
      </c>
      <c r="C17756" s="44"/>
      <c r="D17756" s="44"/>
      <c r="E17756" s="46" t="s">
        <v>13995</v>
      </c>
      <c r="F17756" s="46" t="s">
        <v>6483</v>
      </c>
      <c r="G17756" s="46">
        <v>3.61725374316E11</v>
      </c>
      <c r="H17756" s="46" t="s">
        <v>6484</v>
      </c>
      <c r="I17756" s="46" t="s">
        <v>6485</v>
      </c>
      <c r="J17756" s="46" t="s">
        <v>4</v>
      </c>
      <c r="K17756" s="46" t="s">
        <v>126</v>
      </c>
      <c r="L17756" s="45">
        <v>46014.208333333336</v>
      </c>
      <c r="M17756" s="46" t="s">
        <v>123</v>
      </c>
      <c r="N17756" s="45">
        <v>46014.229166666664</v>
      </c>
      <c r="O17756" s="46" t="s">
        <v>123</v>
      </c>
      <c r="P17756" s="46">
        <v>1800.0</v>
      </c>
    </row>
    <row r="17757">
      <c r="A17757" s="40">
        <f t="shared" si="1"/>
        <v>46013</v>
      </c>
      <c r="B17757" s="37" t="str">
        <f t="array" ref="B17757">iferror(xlookup($I17757, 'IMPORT VHC Report'!$E:$E, 'IMPORT VHC Report'!$A:$C), )</f>
        <v/>
      </c>
      <c r="C17757" s="44"/>
      <c r="D17757" s="44"/>
      <c r="E17757" s="46" t="s">
        <v>13996</v>
      </c>
      <c r="F17757" s="46" t="s">
        <v>6483</v>
      </c>
      <c r="G17757" s="46">
        <v>3.61725374316E11</v>
      </c>
      <c r="H17757" s="46" t="s">
        <v>6484</v>
      </c>
      <c r="I17757" s="46" t="s">
        <v>6485</v>
      </c>
      <c r="J17757" s="46" t="s">
        <v>530</v>
      </c>
      <c r="K17757" s="46" t="s">
        <v>63</v>
      </c>
      <c r="L17757" s="45">
        <v>46014.208333333336</v>
      </c>
      <c r="M17757" s="46" t="s">
        <v>123</v>
      </c>
      <c r="N17757" s="45">
        <v>46014.583333333336</v>
      </c>
      <c r="O17757" s="46" t="s">
        <v>123</v>
      </c>
      <c r="P17757" s="46">
        <v>32400.0</v>
      </c>
    </row>
    <row r="17758">
      <c r="A17758" s="40">
        <f t="shared" si="1"/>
        <v>46013</v>
      </c>
      <c r="B17758" s="37" t="str">
        <f t="array" ref="B17758">iferror(xlookup($I17758, 'IMPORT VHC Report'!$E:$E, 'IMPORT VHC Report'!$A:$C), )</f>
        <v/>
      </c>
      <c r="C17758" s="44"/>
      <c r="D17758" s="44"/>
      <c r="E17758" s="46" t="s">
        <v>13997</v>
      </c>
      <c r="F17758" s="46" t="s">
        <v>6483</v>
      </c>
      <c r="G17758" s="46">
        <v>3.61725374316E11</v>
      </c>
      <c r="H17758" s="46" t="s">
        <v>6484</v>
      </c>
      <c r="I17758" s="46" t="s">
        <v>6485</v>
      </c>
      <c r="J17758" s="46" t="s">
        <v>134</v>
      </c>
      <c r="K17758" s="46" t="s">
        <v>126</v>
      </c>
      <c r="L17758" s="45">
        <v>46014.34375</v>
      </c>
      <c r="M17758" s="46" t="s">
        <v>123</v>
      </c>
      <c r="N17758" s="45">
        <v>46014.364583333336</v>
      </c>
      <c r="O17758" s="46" t="s">
        <v>123</v>
      </c>
      <c r="P17758" s="46">
        <v>1800.0</v>
      </c>
    </row>
    <row r="17759">
      <c r="A17759" s="40">
        <f t="shared" si="1"/>
        <v>46013</v>
      </c>
      <c r="B17759" s="37" t="str">
        <f t="array" ref="B17759">iferror(xlookup($I17759, 'IMPORT VHC Report'!$E:$E, 'IMPORT VHC Report'!$A:$C), )</f>
        <v/>
      </c>
      <c r="C17759" s="44"/>
      <c r="D17759" s="44"/>
      <c r="E17759" s="46" t="s">
        <v>13998</v>
      </c>
      <c r="F17759" s="46" t="s">
        <v>6483</v>
      </c>
      <c r="G17759" s="46">
        <v>3.61725374316E11</v>
      </c>
      <c r="H17759" s="46" t="s">
        <v>6484</v>
      </c>
      <c r="I17759" s="46" t="s">
        <v>6485</v>
      </c>
      <c r="J17759" s="46" t="s">
        <v>132</v>
      </c>
      <c r="K17759" s="46" t="s">
        <v>126</v>
      </c>
      <c r="L17759" s="45">
        <v>46014.479166666664</v>
      </c>
      <c r="M17759" s="46" t="s">
        <v>123</v>
      </c>
      <c r="N17759" s="45">
        <v>46014.520833333336</v>
      </c>
      <c r="O17759" s="46" t="s">
        <v>123</v>
      </c>
      <c r="P17759" s="46">
        <v>3600.0</v>
      </c>
    </row>
    <row r="17760">
      <c r="A17760" s="40">
        <f t="shared" si="1"/>
        <v>46013</v>
      </c>
      <c r="B17760" s="37" t="str">
        <f t="array" ref="B17760">iferror(xlookup($I17760, 'IMPORT VHC Report'!$E:$E, 'IMPORT VHC Report'!$A:$C), )</f>
        <v/>
      </c>
      <c r="C17760" s="44"/>
      <c r="D17760" s="44"/>
      <c r="E17760" s="46" t="s">
        <v>13999</v>
      </c>
      <c r="F17760" s="46" t="s">
        <v>6483</v>
      </c>
      <c r="G17760" s="46">
        <v>3.61725374316E11</v>
      </c>
      <c r="H17760" s="46" t="s">
        <v>6484</v>
      </c>
      <c r="I17760" s="46" t="s">
        <v>6485</v>
      </c>
      <c r="J17760" s="46" t="s">
        <v>4</v>
      </c>
      <c r="K17760" s="46" t="s">
        <v>126</v>
      </c>
      <c r="L17760" s="45">
        <v>46015.208333333336</v>
      </c>
      <c r="M17760" s="46" t="s">
        <v>123</v>
      </c>
      <c r="N17760" s="45">
        <v>46015.229166666664</v>
      </c>
      <c r="O17760" s="46" t="s">
        <v>123</v>
      </c>
      <c r="P17760" s="46">
        <v>1800.0</v>
      </c>
    </row>
    <row r="17761">
      <c r="A17761" s="40">
        <f t="shared" si="1"/>
        <v>46013</v>
      </c>
      <c r="B17761" s="37" t="str">
        <f t="array" ref="B17761">iferror(xlookup($I17761, 'IMPORT VHC Report'!$E:$E, 'IMPORT VHC Report'!$A:$C), )</f>
        <v/>
      </c>
      <c r="C17761" s="44"/>
      <c r="D17761" s="44"/>
      <c r="E17761" s="46" t="s">
        <v>14000</v>
      </c>
      <c r="F17761" s="46" t="s">
        <v>6483</v>
      </c>
      <c r="G17761" s="46">
        <v>3.61725374316E11</v>
      </c>
      <c r="H17761" s="46" t="s">
        <v>6484</v>
      </c>
      <c r="I17761" s="46" t="s">
        <v>6485</v>
      </c>
      <c r="J17761" s="46" t="s">
        <v>178</v>
      </c>
      <c r="K17761" s="46" t="s">
        <v>153</v>
      </c>
      <c r="L17761" s="45">
        <v>46015.208333333336</v>
      </c>
      <c r="M17761" s="46" t="s">
        <v>123</v>
      </c>
      <c r="N17761" s="45">
        <v>46015.583333333336</v>
      </c>
      <c r="O17761" s="46" t="s">
        <v>123</v>
      </c>
      <c r="P17761" s="46">
        <v>32400.0</v>
      </c>
      <c r="Q17761" s="46">
        <v>32400.0</v>
      </c>
      <c r="R17761" s="46" t="s">
        <v>13530</v>
      </c>
      <c r="S17761" s="46" t="s">
        <v>13530</v>
      </c>
    </row>
    <row r="17762">
      <c r="A17762" s="40">
        <f t="shared" si="1"/>
        <v>46013</v>
      </c>
      <c r="B17762" s="37" t="str">
        <f t="array" ref="B17762">iferror(xlookup($I17762, 'IMPORT VHC Report'!$E:$E, 'IMPORT VHC Report'!$A:$C), )</f>
        <v/>
      </c>
      <c r="C17762" s="44"/>
      <c r="D17762" s="44"/>
      <c r="E17762" s="46" t="s">
        <v>14001</v>
      </c>
      <c r="F17762" s="46" t="s">
        <v>6483</v>
      </c>
      <c r="G17762" s="46">
        <v>3.61725374316E11</v>
      </c>
      <c r="H17762" s="46" t="s">
        <v>6484</v>
      </c>
      <c r="I17762" s="46" t="s">
        <v>6485</v>
      </c>
      <c r="J17762" s="46" t="s">
        <v>530</v>
      </c>
      <c r="K17762" s="46" t="s">
        <v>63</v>
      </c>
      <c r="L17762" s="45">
        <v>46015.208333333336</v>
      </c>
      <c r="M17762" s="46" t="s">
        <v>123</v>
      </c>
      <c r="N17762" s="45">
        <v>46015.583333333336</v>
      </c>
      <c r="O17762" s="46" t="s">
        <v>123</v>
      </c>
      <c r="P17762" s="46">
        <v>32400.0</v>
      </c>
    </row>
    <row r="17763">
      <c r="A17763" s="40">
        <f t="shared" si="1"/>
        <v>46013</v>
      </c>
      <c r="B17763" s="37" t="str">
        <f t="array" ref="B17763">iferror(xlookup($I17763, 'IMPORT VHC Report'!$E:$E, 'IMPORT VHC Report'!$A:$C), )</f>
        <v/>
      </c>
      <c r="C17763" s="44"/>
      <c r="D17763" s="44"/>
      <c r="E17763" s="46" t="s">
        <v>14002</v>
      </c>
      <c r="F17763" s="46" t="s">
        <v>6483</v>
      </c>
      <c r="G17763" s="46">
        <v>3.61725374316E11</v>
      </c>
      <c r="H17763" s="46" t="s">
        <v>6484</v>
      </c>
      <c r="I17763" s="46" t="s">
        <v>6485</v>
      </c>
      <c r="J17763" s="46" t="s">
        <v>134</v>
      </c>
      <c r="K17763" s="46" t="s">
        <v>126</v>
      </c>
      <c r="L17763" s="45">
        <v>46015.34375</v>
      </c>
      <c r="M17763" s="46" t="s">
        <v>123</v>
      </c>
      <c r="N17763" s="45">
        <v>46015.364583333336</v>
      </c>
      <c r="O17763" s="46" t="s">
        <v>123</v>
      </c>
      <c r="P17763" s="46">
        <v>1800.0</v>
      </c>
    </row>
    <row r="17764">
      <c r="A17764" s="40">
        <f t="shared" si="1"/>
        <v>46013</v>
      </c>
      <c r="B17764" s="37" t="str">
        <f t="array" ref="B17764">iferror(xlookup($I17764, 'IMPORT VHC Report'!$E:$E, 'IMPORT VHC Report'!$A:$C), )</f>
        <v/>
      </c>
      <c r="C17764" s="44"/>
      <c r="D17764" s="44"/>
      <c r="E17764" s="46" t="s">
        <v>14003</v>
      </c>
      <c r="F17764" s="46" t="s">
        <v>6483</v>
      </c>
      <c r="G17764" s="46">
        <v>3.61725374316E11</v>
      </c>
      <c r="H17764" s="46" t="s">
        <v>6484</v>
      </c>
      <c r="I17764" s="46" t="s">
        <v>6485</v>
      </c>
      <c r="J17764" s="46" t="s">
        <v>132</v>
      </c>
      <c r="K17764" s="46" t="s">
        <v>126</v>
      </c>
      <c r="L17764" s="45">
        <v>46015.479166666664</v>
      </c>
      <c r="M17764" s="46" t="s">
        <v>123</v>
      </c>
      <c r="N17764" s="45">
        <v>46015.520833333336</v>
      </c>
      <c r="O17764" s="46" t="s">
        <v>123</v>
      </c>
      <c r="P17764" s="46">
        <v>3600.0</v>
      </c>
    </row>
    <row r="17765">
      <c r="A17765" s="40">
        <f t="shared" si="1"/>
        <v>46013</v>
      </c>
      <c r="B17765" s="37" t="str">
        <f t="array" ref="B17765">iferror(xlookup($I17765, 'IMPORT VHC Report'!$E:$E, 'IMPORT VHC Report'!$A:$C), )</f>
        <v/>
      </c>
      <c r="C17765" s="44"/>
      <c r="D17765" s="44"/>
      <c r="E17765" s="46" t="s">
        <v>14004</v>
      </c>
      <c r="F17765" s="46" t="s">
        <v>6483</v>
      </c>
      <c r="G17765" s="46">
        <v>3.61725374316E11</v>
      </c>
      <c r="H17765" s="46" t="s">
        <v>6484</v>
      </c>
      <c r="I17765" s="46" t="s">
        <v>6485</v>
      </c>
      <c r="J17765" s="46" t="s">
        <v>4</v>
      </c>
      <c r="K17765" s="46" t="s">
        <v>126</v>
      </c>
      <c r="L17765" s="45">
        <v>46016.208333333336</v>
      </c>
      <c r="M17765" s="46" t="s">
        <v>123</v>
      </c>
      <c r="N17765" s="45">
        <v>46016.229166666664</v>
      </c>
      <c r="O17765" s="46" t="s">
        <v>123</v>
      </c>
      <c r="P17765" s="46">
        <v>1800.0</v>
      </c>
    </row>
    <row r="17766">
      <c r="A17766" s="40">
        <f t="shared" si="1"/>
        <v>46013</v>
      </c>
      <c r="B17766" s="37" t="str">
        <f t="array" ref="B17766">iferror(xlookup($I17766, 'IMPORT VHC Report'!$E:$E, 'IMPORT VHC Report'!$A:$C), )</f>
        <v/>
      </c>
      <c r="C17766" s="44"/>
      <c r="D17766" s="44"/>
      <c r="E17766" s="46" t="s">
        <v>14005</v>
      </c>
      <c r="F17766" s="46" t="s">
        <v>6483</v>
      </c>
      <c r="G17766" s="46">
        <v>3.61725374316E11</v>
      </c>
      <c r="H17766" s="46" t="s">
        <v>6484</v>
      </c>
      <c r="I17766" s="46" t="s">
        <v>6485</v>
      </c>
      <c r="J17766" s="46" t="s">
        <v>530</v>
      </c>
      <c r="K17766" s="46" t="s">
        <v>63</v>
      </c>
      <c r="L17766" s="45">
        <v>46016.208333333336</v>
      </c>
      <c r="M17766" s="46" t="s">
        <v>123</v>
      </c>
      <c r="N17766" s="45">
        <v>46016.5625</v>
      </c>
      <c r="O17766" s="46" t="s">
        <v>123</v>
      </c>
      <c r="P17766" s="46">
        <v>30600.0</v>
      </c>
    </row>
    <row r="17767">
      <c r="A17767" s="40">
        <f t="shared" si="1"/>
        <v>46013</v>
      </c>
      <c r="B17767" s="37" t="str">
        <f t="array" ref="B17767">iferror(xlookup($I17767, 'IMPORT VHC Report'!$E:$E, 'IMPORT VHC Report'!$A:$C), )</f>
        <v/>
      </c>
      <c r="C17767" s="44"/>
      <c r="D17767" s="44"/>
      <c r="E17767" s="46" t="s">
        <v>14006</v>
      </c>
      <c r="F17767" s="46" t="s">
        <v>6483</v>
      </c>
      <c r="G17767" s="46">
        <v>3.61725374316E11</v>
      </c>
      <c r="H17767" s="46" t="s">
        <v>6484</v>
      </c>
      <c r="I17767" s="46" t="s">
        <v>6485</v>
      </c>
      <c r="J17767" s="46" t="s">
        <v>178</v>
      </c>
      <c r="K17767" s="46" t="s">
        <v>153</v>
      </c>
      <c r="L17767" s="45">
        <v>46016.208333333336</v>
      </c>
      <c r="M17767" s="46" t="s">
        <v>123</v>
      </c>
      <c r="N17767" s="45">
        <v>46016.583333333336</v>
      </c>
      <c r="O17767" s="46" t="s">
        <v>123</v>
      </c>
      <c r="P17767" s="46">
        <v>32400.0</v>
      </c>
      <c r="Q17767" s="46">
        <v>32400.0</v>
      </c>
      <c r="R17767" s="46" t="s">
        <v>13530</v>
      </c>
      <c r="S17767" s="46" t="s">
        <v>13530</v>
      </c>
    </row>
    <row r="17768">
      <c r="A17768" s="40">
        <f t="shared" si="1"/>
        <v>46013</v>
      </c>
      <c r="B17768" s="37" t="str">
        <f t="array" ref="B17768">iferror(xlookup($I17768, 'IMPORT VHC Report'!$E:$E, 'IMPORT VHC Report'!$A:$C), )</f>
        <v/>
      </c>
      <c r="C17768" s="44"/>
      <c r="D17768" s="44"/>
      <c r="E17768" s="46" t="s">
        <v>14007</v>
      </c>
      <c r="F17768" s="46" t="s">
        <v>6483</v>
      </c>
      <c r="G17768" s="46">
        <v>3.61725374316E11</v>
      </c>
      <c r="H17768" s="46" t="s">
        <v>6484</v>
      </c>
      <c r="I17768" s="46" t="s">
        <v>6485</v>
      </c>
      <c r="J17768" s="46" t="s">
        <v>134</v>
      </c>
      <c r="K17768" s="46" t="s">
        <v>126</v>
      </c>
      <c r="L17768" s="45">
        <v>46016.34375</v>
      </c>
      <c r="M17768" s="46" t="s">
        <v>123</v>
      </c>
      <c r="N17768" s="45">
        <v>46016.364583333336</v>
      </c>
      <c r="O17768" s="46" t="s">
        <v>123</v>
      </c>
      <c r="P17768" s="46">
        <v>1800.0</v>
      </c>
    </row>
    <row r="17769">
      <c r="A17769" s="40">
        <f t="shared" si="1"/>
        <v>46013</v>
      </c>
      <c r="B17769" s="37" t="str">
        <f t="array" ref="B17769">iferror(xlookup($I17769, 'IMPORT VHC Report'!$E:$E, 'IMPORT VHC Report'!$A:$C), )</f>
        <v/>
      </c>
      <c r="C17769" s="44"/>
      <c r="D17769" s="44"/>
      <c r="E17769" s="46" t="s">
        <v>14008</v>
      </c>
      <c r="F17769" s="46" t="s">
        <v>6483</v>
      </c>
      <c r="G17769" s="46">
        <v>3.61725374316E11</v>
      </c>
      <c r="H17769" s="46" t="s">
        <v>6484</v>
      </c>
      <c r="I17769" s="46" t="s">
        <v>6485</v>
      </c>
      <c r="J17769" s="46" t="s">
        <v>132</v>
      </c>
      <c r="K17769" s="46" t="s">
        <v>126</v>
      </c>
      <c r="L17769" s="45">
        <v>46016.479166666664</v>
      </c>
      <c r="M17769" s="46" t="s">
        <v>123</v>
      </c>
      <c r="N17769" s="45">
        <v>46016.520833333336</v>
      </c>
      <c r="O17769" s="46" t="s">
        <v>123</v>
      </c>
      <c r="P17769" s="46">
        <v>3600.0</v>
      </c>
    </row>
    <row r="17770">
      <c r="A17770" s="40">
        <f t="shared" si="1"/>
        <v>46013</v>
      </c>
      <c r="B17770" s="37" t="str">
        <f t="array" ref="B17770">iferror(xlookup($I17770, 'IMPORT VHC Report'!$E:$E, 'IMPORT VHC Report'!$A:$C), )</f>
        <v/>
      </c>
      <c r="C17770" s="44"/>
      <c r="D17770" s="44"/>
      <c r="E17770" s="46" t="s">
        <v>14009</v>
      </c>
      <c r="F17770" s="46" t="s">
        <v>6483</v>
      </c>
      <c r="G17770" s="46">
        <v>3.61725374316E11</v>
      </c>
      <c r="H17770" s="46" t="s">
        <v>6484</v>
      </c>
      <c r="I17770" s="46" t="s">
        <v>6485</v>
      </c>
      <c r="J17770" s="46" t="s">
        <v>62</v>
      </c>
      <c r="K17770" s="46" t="s">
        <v>63</v>
      </c>
      <c r="L17770" s="45">
        <v>46016.5625</v>
      </c>
      <c r="M17770" s="46" t="s">
        <v>123</v>
      </c>
      <c r="N17770" s="45">
        <v>46016.583333333336</v>
      </c>
      <c r="O17770" s="46" t="s">
        <v>123</v>
      </c>
      <c r="P17770" s="46">
        <v>1800.0</v>
      </c>
    </row>
    <row r="17771">
      <c r="A17771" s="40">
        <f t="shared" si="1"/>
        <v>46013</v>
      </c>
      <c r="B17771" s="37" t="str">
        <f t="array" ref="B17771">iferror(xlookup($I17771, 'IMPORT VHC Report'!$E:$E, 'IMPORT VHC Report'!$A:$C), )</f>
        <v/>
      </c>
      <c r="C17771" s="44"/>
      <c r="D17771" s="44"/>
      <c r="E17771" s="46" t="s">
        <v>14010</v>
      </c>
      <c r="F17771" s="46" t="s">
        <v>6483</v>
      </c>
      <c r="G17771" s="46">
        <v>3.61725374316E11</v>
      </c>
      <c r="H17771" s="46" t="s">
        <v>6484</v>
      </c>
      <c r="I17771" s="46" t="s">
        <v>6485</v>
      </c>
      <c r="J17771" s="46" t="s">
        <v>4</v>
      </c>
      <c r="K17771" s="46" t="s">
        <v>126</v>
      </c>
      <c r="L17771" s="45">
        <v>46017.208333333336</v>
      </c>
      <c r="M17771" s="46" t="s">
        <v>123</v>
      </c>
      <c r="N17771" s="45">
        <v>46017.229166666664</v>
      </c>
      <c r="O17771" s="46" t="s">
        <v>123</v>
      </c>
      <c r="P17771" s="46">
        <v>1800.0</v>
      </c>
    </row>
    <row r="17772">
      <c r="A17772" s="40">
        <f t="shared" si="1"/>
        <v>46013</v>
      </c>
      <c r="B17772" s="37" t="str">
        <f t="array" ref="B17772">iferror(xlookup($I17772, 'IMPORT VHC Report'!$E:$E, 'IMPORT VHC Report'!$A:$C), )</f>
        <v/>
      </c>
      <c r="C17772" s="44"/>
      <c r="D17772" s="44"/>
      <c r="E17772" s="46" t="s">
        <v>14011</v>
      </c>
      <c r="F17772" s="46" t="s">
        <v>6483</v>
      </c>
      <c r="G17772" s="46">
        <v>3.61725374316E11</v>
      </c>
      <c r="H17772" s="46" t="s">
        <v>6484</v>
      </c>
      <c r="I17772" s="46" t="s">
        <v>6485</v>
      </c>
      <c r="J17772" s="46" t="s">
        <v>178</v>
      </c>
      <c r="K17772" s="46" t="s">
        <v>153</v>
      </c>
      <c r="L17772" s="45">
        <v>46017.208333333336</v>
      </c>
      <c r="M17772" s="46" t="s">
        <v>123</v>
      </c>
      <c r="N17772" s="45">
        <v>46017.583333333336</v>
      </c>
      <c r="O17772" s="46" t="s">
        <v>123</v>
      </c>
      <c r="P17772" s="46">
        <v>32400.0</v>
      </c>
      <c r="Q17772" s="46">
        <v>57600.0</v>
      </c>
    </row>
    <row r="17773">
      <c r="A17773" s="40">
        <f t="shared" si="1"/>
        <v>46013</v>
      </c>
      <c r="B17773" s="37" t="str">
        <f t="array" ref="B17773">iferror(xlookup($I17773, 'IMPORT VHC Report'!$E:$E, 'IMPORT VHC Report'!$A:$C), )</f>
        <v/>
      </c>
      <c r="C17773" s="44"/>
      <c r="D17773" s="44"/>
      <c r="E17773" s="46" t="s">
        <v>14012</v>
      </c>
      <c r="F17773" s="46" t="s">
        <v>6483</v>
      </c>
      <c r="G17773" s="46">
        <v>3.61725374316E11</v>
      </c>
      <c r="H17773" s="46" t="s">
        <v>6484</v>
      </c>
      <c r="I17773" s="46" t="s">
        <v>6485</v>
      </c>
      <c r="J17773" s="46" t="s">
        <v>530</v>
      </c>
      <c r="K17773" s="46" t="s">
        <v>63</v>
      </c>
      <c r="L17773" s="45">
        <v>46017.208333333336</v>
      </c>
      <c r="M17773" s="46" t="s">
        <v>123</v>
      </c>
      <c r="N17773" s="45">
        <v>46017.583333333336</v>
      </c>
      <c r="O17773" s="46" t="s">
        <v>123</v>
      </c>
      <c r="P17773" s="46">
        <v>32400.0</v>
      </c>
    </row>
    <row r="17774">
      <c r="A17774" s="40">
        <f t="shared" si="1"/>
        <v>46013</v>
      </c>
      <c r="B17774" s="37" t="str">
        <f t="array" ref="B17774">iferror(xlookup($I17774, 'IMPORT VHC Report'!$E:$E, 'IMPORT VHC Report'!$A:$C), )</f>
        <v/>
      </c>
      <c r="C17774" s="44"/>
      <c r="D17774" s="44"/>
      <c r="E17774" s="46" t="s">
        <v>14013</v>
      </c>
      <c r="F17774" s="46" t="s">
        <v>6483</v>
      </c>
      <c r="G17774" s="46">
        <v>3.61725374316E11</v>
      </c>
      <c r="H17774" s="46" t="s">
        <v>6484</v>
      </c>
      <c r="I17774" s="46" t="s">
        <v>6485</v>
      </c>
      <c r="J17774" s="46" t="s">
        <v>132</v>
      </c>
      <c r="K17774" s="46" t="s">
        <v>126</v>
      </c>
      <c r="L17774" s="45">
        <v>46017.354166666664</v>
      </c>
      <c r="M17774" s="46" t="s">
        <v>123</v>
      </c>
      <c r="N17774" s="45">
        <v>46017.395833333336</v>
      </c>
      <c r="O17774" s="46" t="s">
        <v>123</v>
      </c>
      <c r="P17774" s="46">
        <v>3600.0</v>
      </c>
    </row>
    <row r="17775">
      <c r="A17775" s="40">
        <f t="shared" si="1"/>
        <v>46013</v>
      </c>
      <c r="B17775" s="37" t="str">
        <f t="array" ref="B17775">iferror(xlookup($I17775, 'IMPORT VHC Report'!$E:$E, 'IMPORT VHC Report'!$A:$C), )</f>
        <v/>
      </c>
      <c r="C17775" s="44"/>
      <c r="D17775" s="44"/>
      <c r="E17775" s="46" t="s">
        <v>14014</v>
      </c>
      <c r="F17775" s="46" t="s">
        <v>6483</v>
      </c>
      <c r="G17775" s="46">
        <v>3.61725374316E11</v>
      </c>
      <c r="H17775" s="46" t="s">
        <v>6484</v>
      </c>
      <c r="I17775" s="46" t="s">
        <v>6485</v>
      </c>
      <c r="J17775" s="46" t="s">
        <v>134</v>
      </c>
      <c r="K17775" s="46" t="s">
        <v>126</v>
      </c>
      <c r="L17775" s="45">
        <v>46017.510416666664</v>
      </c>
      <c r="M17775" s="46" t="s">
        <v>123</v>
      </c>
      <c r="N17775" s="45">
        <v>46017.53125</v>
      </c>
      <c r="O17775" s="46" t="s">
        <v>123</v>
      </c>
      <c r="P17775" s="46">
        <v>1800.0</v>
      </c>
    </row>
    <row r="17776">
      <c r="A17776" s="40">
        <f t="shared" si="1"/>
        <v>46013</v>
      </c>
      <c r="B17776" s="37" t="str">
        <f t="array" ref="B17776">iferror(xlookup($I17776, 'IMPORT VHC Report'!$E:$E, 'IMPORT VHC Report'!$A:$C), )</f>
        <v/>
      </c>
      <c r="C17776" s="44"/>
      <c r="D17776" s="44"/>
      <c r="E17776" s="46" t="s">
        <v>14015</v>
      </c>
      <c r="F17776" s="46" t="s">
        <v>6483</v>
      </c>
      <c r="G17776" s="46">
        <v>3.61725374316E11</v>
      </c>
      <c r="H17776" s="46" t="s">
        <v>6484</v>
      </c>
      <c r="I17776" s="46" t="s">
        <v>6485</v>
      </c>
      <c r="J17776" s="46" t="s">
        <v>4</v>
      </c>
      <c r="K17776" s="46" t="s">
        <v>126</v>
      </c>
      <c r="L17776" s="45">
        <v>46018.208333333336</v>
      </c>
      <c r="M17776" s="46" t="s">
        <v>123</v>
      </c>
      <c r="N17776" s="45">
        <v>46018.229166666664</v>
      </c>
      <c r="O17776" s="46" t="s">
        <v>123</v>
      </c>
      <c r="P17776" s="46">
        <v>1800.0</v>
      </c>
    </row>
    <row r="17777">
      <c r="A17777" s="40">
        <f t="shared" si="1"/>
        <v>46013</v>
      </c>
      <c r="B17777" s="37" t="str">
        <f t="array" ref="B17777">iferror(xlookup($I17777, 'IMPORT VHC Report'!$E:$E, 'IMPORT VHC Report'!$A:$C), )</f>
        <v/>
      </c>
      <c r="C17777" s="44"/>
      <c r="D17777" s="44"/>
      <c r="E17777" s="46" t="s">
        <v>14016</v>
      </c>
      <c r="F17777" s="46" t="s">
        <v>6483</v>
      </c>
      <c r="G17777" s="46">
        <v>3.61725374316E11</v>
      </c>
      <c r="H17777" s="46" t="s">
        <v>6484</v>
      </c>
      <c r="I17777" s="46" t="s">
        <v>6485</v>
      </c>
      <c r="J17777" s="46" t="s">
        <v>530</v>
      </c>
      <c r="K17777" s="46" t="s">
        <v>63</v>
      </c>
      <c r="L17777" s="45">
        <v>46018.208333333336</v>
      </c>
      <c r="M17777" s="46" t="s">
        <v>123</v>
      </c>
      <c r="N17777" s="45">
        <v>46018.583333333336</v>
      </c>
      <c r="O17777" s="46" t="s">
        <v>123</v>
      </c>
      <c r="P17777" s="46">
        <v>32400.0</v>
      </c>
    </row>
    <row r="17778">
      <c r="A17778" s="40">
        <f t="shared" si="1"/>
        <v>46013</v>
      </c>
      <c r="B17778" s="37" t="str">
        <f t="array" ref="B17778">iferror(xlookup($I17778, 'IMPORT VHC Report'!$E:$E, 'IMPORT VHC Report'!$A:$C), )</f>
        <v/>
      </c>
      <c r="C17778" s="44"/>
      <c r="D17778" s="44"/>
      <c r="E17778" s="46" t="s">
        <v>14017</v>
      </c>
      <c r="F17778" s="46" t="s">
        <v>6483</v>
      </c>
      <c r="G17778" s="46">
        <v>3.61725374316E11</v>
      </c>
      <c r="H17778" s="46" t="s">
        <v>6484</v>
      </c>
      <c r="I17778" s="46" t="s">
        <v>6485</v>
      </c>
      <c r="J17778" s="46" t="s">
        <v>178</v>
      </c>
      <c r="K17778" s="46" t="s">
        <v>153</v>
      </c>
      <c r="L17778" s="45">
        <v>46018.208333333336</v>
      </c>
      <c r="M17778" s="46" t="s">
        <v>123</v>
      </c>
      <c r="N17778" s="45">
        <v>46018.583333333336</v>
      </c>
      <c r="O17778" s="46" t="s">
        <v>123</v>
      </c>
      <c r="P17778" s="46">
        <v>32400.0</v>
      </c>
      <c r="Q17778" s="46">
        <v>32400.0</v>
      </c>
    </row>
    <row r="17779">
      <c r="A17779" s="40">
        <f t="shared" si="1"/>
        <v>46013</v>
      </c>
      <c r="B17779" s="37" t="str">
        <f t="array" ref="B17779">iferror(xlookup($I17779, 'IMPORT VHC Report'!$E:$E, 'IMPORT VHC Report'!$A:$C), )</f>
        <v/>
      </c>
      <c r="C17779" s="44"/>
      <c r="D17779" s="44"/>
      <c r="E17779" s="46" t="s">
        <v>14018</v>
      </c>
      <c r="F17779" s="46" t="s">
        <v>6483</v>
      </c>
      <c r="G17779" s="46">
        <v>3.61725374316E11</v>
      </c>
      <c r="H17779" s="46" t="s">
        <v>6484</v>
      </c>
      <c r="I17779" s="46" t="s">
        <v>6485</v>
      </c>
      <c r="J17779" s="46" t="s">
        <v>134</v>
      </c>
      <c r="K17779" s="46" t="s">
        <v>126</v>
      </c>
      <c r="L17779" s="45">
        <v>46018.354166666664</v>
      </c>
      <c r="M17779" s="46" t="s">
        <v>123</v>
      </c>
      <c r="N17779" s="45">
        <v>46018.375</v>
      </c>
      <c r="O17779" s="46" t="s">
        <v>123</v>
      </c>
      <c r="P17779" s="46">
        <v>1800.0</v>
      </c>
    </row>
    <row r="17780">
      <c r="A17780" s="40">
        <f t="shared" si="1"/>
        <v>46013</v>
      </c>
      <c r="B17780" s="37" t="str">
        <f t="array" ref="B17780">iferror(xlookup($I17780, 'IMPORT VHC Report'!$E:$E, 'IMPORT VHC Report'!$A:$C), )</f>
        <v/>
      </c>
      <c r="C17780" s="44"/>
      <c r="D17780" s="44"/>
      <c r="E17780" s="46" t="s">
        <v>14019</v>
      </c>
      <c r="F17780" s="46" t="s">
        <v>6483</v>
      </c>
      <c r="G17780" s="46">
        <v>3.61725374316E11</v>
      </c>
      <c r="H17780" s="46" t="s">
        <v>6484</v>
      </c>
      <c r="I17780" s="46" t="s">
        <v>6485</v>
      </c>
      <c r="J17780" s="46" t="s">
        <v>132</v>
      </c>
      <c r="K17780" s="46" t="s">
        <v>126</v>
      </c>
      <c r="L17780" s="45">
        <v>46018.5</v>
      </c>
      <c r="M17780" s="46" t="s">
        <v>123</v>
      </c>
      <c r="N17780" s="45">
        <v>46018.541666666664</v>
      </c>
      <c r="O17780" s="46" t="s">
        <v>123</v>
      </c>
      <c r="P17780" s="46">
        <v>3600.0</v>
      </c>
    </row>
    <row r="17781">
      <c r="A17781" s="40">
        <f t="shared" si="1"/>
        <v>46013</v>
      </c>
      <c r="B17781" s="37" t="str">
        <f t="array" ref="B17781">iferror(xlookup($I17781, 'IMPORT VHC Report'!$E:$E, 'IMPORT VHC Report'!$A:$C), )</f>
        <v/>
      </c>
      <c r="C17781" s="44"/>
      <c r="D17781" s="44"/>
      <c r="E17781" s="46" t="s">
        <v>14020</v>
      </c>
      <c r="F17781" s="46" t="s">
        <v>6868</v>
      </c>
      <c r="G17781" s="46">
        <v>3.61688608636E11</v>
      </c>
      <c r="H17781" s="46" t="s">
        <v>6869</v>
      </c>
      <c r="I17781" s="46" t="s">
        <v>6870</v>
      </c>
      <c r="J17781" s="46" t="s">
        <v>4</v>
      </c>
      <c r="K17781" s="46" t="s">
        <v>126</v>
      </c>
      <c r="L17781" s="45">
        <v>46014.416666666664</v>
      </c>
      <c r="M17781" s="46" t="s">
        <v>123</v>
      </c>
      <c r="N17781" s="45">
        <v>46014.4375</v>
      </c>
      <c r="O17781" s="46" t="s">
        <v>123</v>
      </c>
      <c r="P17781" s="46">
        <v>1800.0</v>
      </c>
    </row>
    <row r="17782">
      <c r="A17782" s="40">
        <f t="shared" si="1"/>
        <v>46013</v>
      </c>
      <c r="B17782" s="37" t="str">
        <f t="array" ref="B17782">iferror(xlookup($I17782, 'IMPORT VHC Report'!$E:$E, 'IMPORT VHC Report'!$A:$C), )</f>
        <v/>
      </c>
      <c r="C17782" s="44"/>
      <c r="D17782" s="44"/>
      <c r="E17782" s="46" t="s">
        <v>14021</v>
      </c>
      <c r="F17782" s="46" t="s">
        <v>6868</v>
      </c>
      <c r="G17782" s="46">
        <v>3.61688608636E11</v>
      </c>
      <c r="H17782" s="46" t="s">
        <v>6869</v>
      </c>
      <c r="I17782" s="46" t="s">
        <v>6870</v>
      </c>
      <c r="J17782" s="46" t="s">
        <v>530</v>
      </c>
      <c r="K17782" s="46" t="s">
        <v>63</v>
      </c>
      <c r="L17782" s="45">
        <v>46014.416666666664</v>
      </c>
      <c r="M17782" s="46" t="s">
        <v>123</v>
      </c>
      <c r="N17782" s="45">
        <v>46014.791666666664</v>
      </c>
      <c r="O17782" s="46" t="s">
        <v>123</v>
      </c>
      <c r="P17782" s="46">
        <v>32400.0</v>
      </c>
    </row>
    <row r="17783">
      <c r="A17783" s="40">
        <f t="shared" si="1"/>
        <v>46013</v>
      </c>
      <c r="B17783" s="37" t="str">
        <f t="array" ref="B17783">iferror(xlookup($I17783, 'IMPORT VHC Report'!$E:$E, 'IMPORT VHC Report'!$A:$C), )</f>
        <v/>
      </c>
      <c r="C17783" s="44"/>
      <c r="D17783" s="44"/>
      <c r="E17783" s="46" t="s">
        <v>14022</v>
      </c>
      <c r="F17783" s="46" t="s">
        <v>6868</v>
      </c>
      <c r="G17783" s="46">
        <v>3.61688608636E11</v>
      </c>
      <c r="H17783" s="46" t="s">
        <v>6869</v>
      </c>
      <c r="I17783" s="46" t="s">
        <v>6870</v>
      </c>
      <c r="J17783" s="46" t="s">
        <v>4</v>
      </c>
      <c r="K17783" s="46" t="s">
        <v>126</v>
      </c>
      <c r="L17783" s="45">
        <v>46014.4375</v>
      </c>
      <c r="M17783" s="46" t="s">
        <v>123</v>
      </c>
      <c r="N17783" s="45">
        <v>46014.479166666664</v>
      </c>
      <c r="O17783" s="46" t="s">
        <v>123</v>
      </c>
      <c r="P17783" s="46">
        <v>3600.0</v>
      </c>
      <c r="S17783" s="46" t="s">
        <v>13603</v>
      </c>
    </row>
    <row r="17784">
      <c r="A17784" s="40">
        <f t="shared" si="1"/>
        <v>46013</v>
      </c>
      <c r="B17784" s="37" t="str">
        <f t="array" ref="B17784">iferror(xlookup($I17784, 'IMPORT VHC Report'!$E:$E, 'IMPORT VHC Report'!$A:$C), )</f>
        <v/>
      </c>
      <c r="C17784" s="44"/>
      <c r="D17784" s="44"/>
      <c r="E17784" s="46" t="s">
        <v>14023</v>
      </c>
      <c r="F17784" s="46" t="s">
        <v>6868</v>
      </c>
      <c r="G17784" s="46">
        <v>3.61688608636E11</v>
      </c>
      <c r="H17784" s="46" t="s">
        <v>6869</v>
      </c>
      <c r="I17784" s="46" t="s">
        <v>6870</v>
      </c>
      <c r="J17784" s="46" t="s">
        <v>132</v>
      </c>
      <c r="K17784" s="46" t="s">
        <v>126</v>
      </c>
      <c r="L17784" s="45">
        <v>46014.541666666664</v>
      </c>
      <c r="M17784" s="46" t="s">
        <v>123</v>
      </c>
      <c r="N17784" s="45">
        <v>46014.583333333336</v>
      </c>
      <c r="O17784" s="46" t="s">
        <v>123</v>
      </c>
      <c r="P17784" s="46">
        <v>3600.0</v>
      </c>
    </row>
    <row r="17785">
      <c r="A17785" s="40">
        <f t="shared" si="1"/>
        <v>46013</v>
      </c>
      <c r="B17785" s="37" t="str">
        <f t="array" ref="B17785">iferror(xlookup($I17785, 'IMPORT VHC Report'!$E:$E, 'IMPORT VHC Report'!$A:$C), )</f>
        <v/>
      </c>
      <c r="C17785" s="44"/>
      <c r="D17785" s="44"/>
      <c r="E17785" s="46" t="s">
        <v>14024</v>
      </c>
      <c r="F17785" s="46" t="s">
        <v>6868</v>
      </c>
      <c r="G17785" s="46">
        <v>3.61688608636E11</v>
      </c>
      <c r="H17785" s="46" t="s">
        <v>6869</v>
      </c>
      <c r="I17785" s="46" t="s">
        <v>6870</v>
      </c>
      <c r="J17785" s="46" t="s">
        <v>134</v>
      </c>
      <c r="K17785" s="46" t="s">
        <v>126</v>
      </c>
      <c r="L17785" s="45">
        <v>46014.6875</v>
      </c>
      <c r="M17785" s="46" t="s">
        <v>123</v>
      </c>
      <c r="N17785" s="45">
        <v>46014.708333333336</v>
      </c>
      <c r="O17785" s="46" t="s">
        <v>123</v>
      </c>
      <c r="P17785" s="46">
        <v>1800.0</v>
      </c>
    </row>
    <row r="17786">
      <c r="A17786" s="40">
        <f t="shared" si="1"/>
        <v>46013</v>
      </c>
      <c r="B17786" s="37" t="str">
        <f t="array" ref="B17786">iferror(xlookup($I17786, 'IMPORT VHC Report'!$E:$E, 'IMPORT VHC Report'!$A:$C), )</f>
        <v/>
      </c>
      <c r="C17786" s="44"/>
      <c r="D17786" s="44"/>
      <c r="E17786" s="46" t="s">
        <v>14025</v>
      </c>
      <c r="F17786" s="46" t="s">
        <v>6868</v>
      </c>
      <c r="G17786" s="46">
        <v>3.61688608636E11</v>
      </c>
      <c r="H17786" s="46" t="s">
        <v>6869</v>
      </c>
      <c r="I17786" s="46" t="s">
        <v>6870</v>
      </c>
      <c r="J17786" s="46" t="s">
        <v>4</v>
      </c>
      <c r="K17786" s="46" t="s">
        <v>126</v>
      </c>
      <c r="L17786" s="45">
        <v>46015.416666666664</v>
      </c>
      <c r="M17786" s="46" t="s">
        <v>123</v>
      </c>
      <c r="N17786" s="45">
        <v>46015.4375</v>
      </c>
      <c r="O17786" s="46" t="s">
        <v>123</v>
      </c>
      <c r="P17786" s="46">
        <v>1800.0</v>
      </c>
    </row>
    <row r="17787">
      <c r="A17787" s="40">
        <f t="shared" si="1"/>
        <v>46013</v>
      </c>
      <c r="B17787" s="37" t="str">
        <f t="array" ref="B17787">iferror(xlookup($I17787, 'IMPORT VHC Report'!$E:$E, 'IMPORT VHC Report'!$A:$C), )</f>
        <v/>
      </c>
      <c r="C17787" s="44"/>
      <c r="D17787" s="44"/>
      <c r="E17787" s="46" t="s">
        <v>14026</v>
      </c>
      <c r="F17787" s="46" t="s">
        <v>6868</v>
      </c>
      <c r="G17787" s="46">
        <v>3.61688608636E11</v>
      </c>
      <c r="H17787" s="46" t="s">
        <v>6869</v>
      </c>
      <c r="I17787" s="46" t="s">
        <v>6870</v>
      </c>
      <c r="J17787" s="46" t="s">
        <v>178</v>
      </c>
      <c r="K17787" s="46" t="s">
        <v>153</v>
      </c>
      <c r="L17787" s="45">
        <v>46015.416666666664</v>
      </c>
      <c r="M17787" s="46" t="s">
        <v>123</v>
      </c>
      <c r="N17787" s="45">
        <v>46015.791666666664</v>
      </c>
      <c r="O17787" s="46" t="s">
        <v>123</v>
      </c>
      <c r="P17787" s="46">
        <v>32400.0</v>
      </c>
      <c r="Q17787" s="46">
        <v>32400.0</v>
      </c>
      <c r="R17787" s="46" t="s">
        <v>13530</v>
      </c>
      <c r="S17787" s="46" t="s">
        <v>13530</v>
      </c>
    </row>
    <row r="17788">
      <c r="A17788" s="40">
        <f t="shared" si="1"/>
        <v>46013</v>
      </c>
      <c r="B17788" s="37" t="str">
        <f t="array" ref="B17788">iferror(xlookup($I17788, 'IMPORT VHC Report'!$E:$E, 'IMPORT VHC Report'!$A:$C), )</f>
        <v/>
      </c>
      <c r="C17788" s="44"/>
      <c r="D17788" s="44"/>
      <c r="E17788" s="46" t="s">
        <v>14027</v>
      </c>
      <c r="F17788" s="46" t="s">
        <v>6868</v>
      </c>
      <c r="G17788" s="46">
        <v>3.61688608636E11</v>
      </c>
      <c r="H17788" s="46" t="s">
        <v>6869</v>
      </c>
      <c r="I17788" s="46" t="s">
        <v>6870</v>
      </c>
      <c r="J17788" s="46" t="s">
        <v>530</v>
      </c>
      <c r="K17788" s="46" t="s">
        <v>63</v>
      </c>
      <c r="L17788" s="45">
        <v>46015.416666666664</v>
      </c>
      <c r="M17788" s="46" t="s">
        <v>123</v>
      </c>
      <c r="N17788" s="45">
        <v>46015.791666666664</v>
      </c>
      <c r="O17788" s="46" t="s">
        <v>123</v>
      </c>
      <c r="P17788" s="46">
        <v>32400.0</v>
      </c>
    </row>
    <row r="17789">
      <c r="A17789" s="40">
        <f t="shared" si="1"/>
        <v>46013</v>
      </c>
      <c r="B17789" s="37" t="str">
        <f t="array" ref="B17789">iferror(xlookup($I17789, 'IMPORT VHC Report'!$E:$E, 'IMPORT VHC Report'!$A:$C), )</f>
        <v/>
      </c>
      <c r="C17789" s="44"/>
      <c r="D17789" s="44"/>
      <c r="E17789" s="46" t="s">
        <v>14028</v>
      </c>
      <c r="F17789" s="46" t="s">
        <v>6868</v>
      </c>
      <c r="G17789" s="46">
        <v>3.61688608636E11</v>
      </c>
      <c r="H17789" s="46" t="s">
        <v>6869</v>
      </c>
      <c r="I17789" s="46" t="s">
        <v>6870</v>
      </c>
      <c r="J17789" s="46" t="s">
        <v>134</v>
      </c>
      <c r="K17789" s="46" t="s">
        <v>126</v>
      </c>
      <c r="L17789" s="45">
        <v>46015.552083333336</v>
      </c>
      <c r="M17789" s="46" t="s">
        <v>123</v>
      </c>
      <c r="N17789" s="45">
        <v>46015.572916666664</v>
      </c>
      <c r="O17789" s="46" t="s">
        <v>123</v>
      </c>
      <c r="P17789" s="46">
        <v>1800.0</v>
      </c>
    </row>
    <row r="17790">
      <c r="A17790" s="40">
        <f t="shared" si="1"/>
        <v>46013</v>
      </c>
      <c r="B17790" s="37" t="str">
        <f t="array" ref="B17790">iferror(xlookup($I17790, 'IMPORT VHC Report'!$E:$E, 'IMPORT VHC Report'!$A:$C), )</f>
        <v/>
      </c>
      <c r="C17790" s="44"/>
      <c r="D17790" s="44"/>
      <c r="E17790" s="46" t="s">
        <v>14029</v>
      </c>
      <c r="F17790" s="46" t="s">
        <v>6868</v>
      </c>
      <c r="G17790" s="46">
        <v>3.61688608636E11</v>
      </c>
      <c r="H17790" s="46" t="s">
        <v>6869</v>
      </c>
      <c r="I17790" s="46" t="s">
        <v>6870</v>
      </c>
      <c r="J17790" s="46" t="s">
        <v>132</v>
      </c>
      <c r="K17790" s="46" t="s">
        <v>126</v>
      </c>
      <c r="L17790" s="45">
        <v>46015.6875</v>
      </c>
      <c r="M17790" s="46" t="s">
        <v>123</v>
      </c>
      <c r="N17790" s="45">
        <v>46015.729166666664</v>
      </c>
      <c r="O17790" s="46" t="s">
        <v>123</v>
      </c>
      <c r="P17790" s="46">
        <v>3600.0</v>
      </c>
    </row>
    <row r="17791">
      <c r="A17791" s="40">
        <f t="shared" si="1"/>
        <v>46013</v>
      </c>
      <c r="B17791" s="37" t="str">
        <f t="array" ref="B17791">iferror(xlookup($I17791, 'IMPORT VHC Report'!$E:$E, 'IMPORT VHC Report'!$A:$C), )</f>
        <v/>
      </c>
      <c r="C17791" s="44"/>
      <c r="D17791" s="44"/>
      <c r="E17791" s="46" t="s">
        <v>14030</v>
      </c>
      <c r="F17791" s="46" t="s">
        <v>6868</v>
      </c>
      <c r="G17791" s="46">
        <v>3.61688608636E11</v>
      </c>
      <c r="H17791" s="46" t="s">
        <v>6869</v>
      </c>
      <c r="I17791" s="46" t="s">
        <v>6870</v>
      </c>
      <c r="J17791" s="46" t="s">
        <v>4</v>
      </c>
      <c r="K17791" s="46" t="s">
        <v>126</v>
      </c>
      <c r="L17791" s="45">
        <v>46016.416666666664</v>
      </c>
      <c r="M17791" s="46" t="s">
        <v>123</v>
      </c>
      <c r="N17791" s="45">
        <v>46016.4375</v>
      </c>
      <c r="O17791" s="46" t="s">
        <v>123</v>
      </c>
      <c r="P17791" s="46">
        <v>1800.0</v>
      </c>
    </row>
    <row r="17792">
      <c r="A17792" s="40">
        <f t="shared" si="1"/>
        <v>46013</v>
      </c>
      <c r="B17792" s="37" t="str">
        <f t="array" ref="B17792">iferror(xlookup($I17792, 'IMPORT VHC Report'!$E:$E, 'IMPORT VHC Report'!$A:$C), )</f>
        <v/>
      </c>
      <c r="C17792" s="44"/>
      <c r="D17792" s="44"/>
      <c r="E17792" s="46" t="s">
        <v>14031</v>
      </c>
      <c r="F17792" s="46" t="s">
        <v>6868</v>
      </c>
      <c r="G17792" s="46">
        <v>3.61688608636E11</v>
      </c>
      <c r="H17792" s="46" t="s">
        <v>6869</v>
      </c>
      <c r="I17792" s="46" t="s">
        <v>6870</v>
      </c>
      <c r="J17792" s="46" t="s">
        <v>530</v>
      </c>
      <c r="K17792" s="46" t="s">
        <v>63</v>
      </c>
      <c r="L17792" s="45">
        <v>46016.416666666664</v>
      </c>
      <c r="M17792" s="46" t="s">
        <v>123</v>
      </c>
      <c r="N17792" s="45">
        <v>46016.729166666664</v>
      </c>
      <c r="O17792" s="46" t="s">
        <v>123</v>
      </c>
      <c r="P17792" s="46">
        <v>27000.0</v>
      </c>
    </row>
    <row r="17793">
      <c r="A17793" s="40">
        <f t="shared" si="1"/>
        <v>46013</v>
      </c>
      <c r="B17793" s="37" t="str">
        <f t="array" ref="B17793">iferror(xlookup($I17793, 'IMPORT VHC Report'!$E:$E, 'IMPORT VHC Report'!$A:$C), )</f>
        <v/>
      </c>
      <c r="C17793" s="44"/>
      <c r="D17793" s="44"/>
      <c r="E17793" s="46" t="s">
        <v>14032</v>
      </c>
      <c r="F17793" s="46" t="s">
        <v>6868</v>
      </c>
      <c r="G17793" s="46">
        <v>3.61688608636E11</v>
      </c>
      <c r="H17793" s="46" t="s">
        <v>6869</v>
      </c>
      <c r="I17793" s="46" t="s">
        <v>6870</v>
      </c>
      <c r="J17793" s="46" t="s">
        <v>178</v>
      </c>
      <c r="K17793" s="46" t="s">
        <v>153</v>
      </c>
      <c r="L17793" s="45">
        <v>46016.416666666664</v>
      </c>
      <c r="M17793" s="46" t="s">
        <v>123</v>
      </c>
      <c r="N17793" s="45">
        <v>46016.791666666664</v>
      </c>
      <c r="O17793" s="46" t="s">
        <v>123</v>
      </c>
      <c r="P17793" s="46">
        <v>32400.0</v>
      </c>
      <c r="Q17793" s="46">
        <v>32400.0</v>
      </c>
      <c r="R17793" s="46" t="s">
        <v>13530</v>
      </c>
      <c r="S17793" s="46" t="s">
        <v>13530</v>
      </c>
    </row>
    <row r="17794">
      <c r="A17794" s="40">
        <f t="shared" si="1"/>
        <v>46013</v>
      </c>
      <c r="B17794" s="37" t="str">
        <f t="array" ref="B17794">iferror(xlookup($I17794, 'IMPORT VHC Report'!$E:$E, 'IMPORT VHC Report'!$A:$C), )</f>
        <v/>
      </c>
      <c r="C17794" s="44"/>
      <c r="D17794" s="44"/>
      <c r="E17794" s="46" t="s">
        <v>14033</v>
      </c>
      <c r="F17794" s="46" t="s">
        <v>6868</v>
      </c>
      <c r="G17794" s="46">
        <v>3.61688608636E11</v>
      </c>
      <c r="H17794" s="46" t="s">
        <v>6869</v>
      </c>
      <c r="I17794" s="46" t="s">
        <v>6870</v>
      </c>
      <c r="J17794" s="46" t="s">
        <v>134</v>
      </c>
      <c r="K17794" s="46" t="s">
        <v>126</v>
      </c>
      <c r="L17794" s="45">
        <v>46016.520833333336</v>
      </c>
      <c r="M17794" s="46" t="s">
        <v>123</v>
      </c>
      <c r="N17794" s="45">
        <v>46016.541666666664</v>
      </c>
      <c r="O17794" s="46" t="s">
        <v>123</v>
      </c>
      <c r="P17794" s="46">
        <v>1800.0</v>
      </c>
    </row>
    <row r="17795">
      <c r="A17795" s="40">
        <f t="shared" si="1"/>
        <v>46013</v>
      </c>
      <c r="B17795" s="37" t="str">
        <f t="array" ref="B17795">iferror(xlookup($I17795, 'IMPORT VHC Report'!$E:$E, 'IMPORT VHC Report'!$A:$C), )</f>
        <v/>
      </c>
      <c r="C17795" s="44"/>
      <c r="D17795" s="44"/>
      <c r="E17795" s="46" t="s">
        <v>14034</v>
      </c>
      <c r="F17795" s="46" t="s">
        <v>6868</v>
      </c>
      <c r="G17795" s="46">
        <v>3.61688608636E11</v>
      </c>
      <c r="H17795" s="46" t="s">
        <v>6869</v>
      </c>
      <c r="I17795" s="46" t="s">
        <v>6870</v>
      </c>
      <c r="J17795" s="46" t="s">
        <v>530</v>
      </c>
      <c r="K17795" s="46" t="s">
        <v>63</v>
      </c>
      <c r="L17795" s="45">
        <v>46016.6875</v>
      </c>
      <c r="M17795" s="46" t="s">
        <v>123</v>
      </c>
      <c r="N17795" s="45">
        <v>46016.729166666664</v>
      </c>
      <c r="O17795" s="46" t="s">
        <v>123</v>
      </c>
      <c r="P17795" s="46">
        <v>3600.0</v>
      </c>
    </row>
    <row r="17796">
      <c r="A17796" s="40">
        <f t="shared" si="1"/>
        <v>46013</v>
      </c>
      <c r="B17796" s="37" t="str">
        <f t="array" ref="B17796">iferror(xlookup($I17796, 'IMPORT VHC Report'!$E:$E, 'IMPORT VHC Report'!$A:$C), )</f>
        <v/>
      </c>
      <c r="C17796" s="44"/>
      <c r="D17796" s="44"/>
      <c r="E17796" s="46" t="s">
        <v>14035</v>
      </c>
      <c r="F17796" s="46" t="s">
        <v>6868</v>
      </c>
      <c r="G17796" s="46">
        <v>3.61688608636E11</v>
      </c>
      <c r="H17796" s="46" t="s">
        <v>6869</v>
      </c>
      <c r="I17796" s="46" t="s">
        <v>6870</v>
      </c>
      <c r="J17796" s="46" t="s">
        <v>530</v>
      </c>
      <c r="K17796" s="46" t="s">
        <v>63</v>
      </c>
      <c r="L17796" s="45">
        <v>46016.6875</v>
      </c>
      <c r="M17796" s="46" t="s">
        <v>123</v>
      </c>
      <c r="N17796" s="45">
        <v>46016.729166666664</v>
      </c>
      <c r="O17796" s="46" t="s">
        <v>123</v>
      </c>
      <c r="P17796" s="46">
        <v>3600.0</v>
      </c>
    </row>
    <row r="17797">
      <c r="A17797" s="40">
        <f t="shared" si="1"/>
        <v>46013</v>
      </c>
      <c r="B17797" s="37" t="str">
        <f t="array" ref="B17797">iferror(xlookup($I17797, 'IMPORT VHC Report'!$E:$E, 'IMPORT VHC Report'!$A:$C), )</f>
        <v/>
      </c>
      <c r="C17797" s="44"/>
      <c r="D17797" s="44"/>
      <c r="E17797" s="46" t="s">
        <v>14036</v>
      </c>
      <c r="F17797" s="46" t="s">
        <v>6868</v>
      </c>
      <c r="G17797" s="46">
        <v>3.61688608636E11</v>
      </c>
      <c r="H17797" s="46" t="s">
        <v>6869</v>
      </c>
      <c r="I17797" s="46" t="s">
        <v>6870</v>
      </c>
      <c r="J17797" s="46" t="s">
        <v>132</v>
      </c>
      <c r="K17797" s="46" t="s">
        <v>126</v>
      </c>
      <c r="L17797" s="45">
        <v>46016.6875</v>
      </c>
      <c r="M17797" s="46" t="s">
        <v>123</v>
      </c>
      <c r="N17797" s="45">
        <v>46016.729166666664</v>
      </c>
      <c r="O17797" s="46" t="s">
        <v>123</v>
      </c>
      <c r="P17797" s="46">
        <v>3600.0</v>
      </c>
    </row>
    <row r="17798">
      <c r="A17798" s="40">
        <f t="shared" si="1"/>
        <v>46013</v>
      </c>
      <c r="B17798" s="37" t="str">
        <f t="array" ref="B17798">iferror(xlookup($I17798, 'IMPORT VHC Report'!$E:$E, 'IMPORT VHC Report'!$A:$C), )</f>
        <v/>
      </c>
      <c r="C17798" s="44"/>
      <c r="D17798" s="44"/>
      <c r="E17798" s="46" t="s">
        <v>14037</v>
      </c>
      <c r="F17798" s="46" t="s">
        <v>6868</v>
      </c>
      <c r="G17798" s="46">
        <v>3.61688608636E11</v>
      </c>
      <c r="H17798" s="46" t="s">
        <v>6869</v>
      </c>
      <c r="I17798" s="46" t="s">
        <v>6870</v>
      </c>
      <c r="J17798" s="46" t="s">
        <v>62</v>
      </c>
      <c r="K17798" s="46" t="s">
        <v>63</v>
      </c>
      <c r="L17798" s="45">
        <v>46016.6875</v>
      </c>
      <c r="M17798" s="46" t="s">
        <v>123</v>
      </c>
      <c r="N17798" s="45">
        <v>46016.75</v>
      </c>
      <c r="O17798" s="46" t="s">
        <v>123</v>
      </c>
      <c r="P17798" s="46">
        <v>5400.0</v>
      </c>
    </row>
    <row r="17799">
      <c r="A17799" s="40">
        <f t="shared" si="1"/>
        <v>46013</v>
      </c>
      <c r="B17799" s="37" t="str">
        <f t="array" ref="B17799">iferror(xlookup($I17799, 'IMPORT VHC Report'!$E:$E, 'IMPORT VHC Report'!$A:$C), )</f>
        <v/>
      </c>
      <c r="C17799" s="44"/>
      <c r="D17799" s="44"/>
      <c r="E17799" s="46" t="s">
        <v>14038</v>
      </c>
      <c r="F17799" s="46" t="s">
        <v>6868</v>
      </c>
      <c r="G17799" s="46">
        <v>3.61688608636E11</v>
      </c>
      <c r="H17799" s="46" t="s">
        <v>6869</v>
      </c>
      <c r="I17799" s="46" t="s">
        <v>6870</v>
      </c>
      <c r="J17799" s="46" t="s">
        <v>62</v>
      </c>
      <c r="K17799" s="46" t="s">
        <v>63</v>
      </c>
      <c r="L17799" s="45">
        <v>46016.6875</v>
      </c>
      <c r="M17799" s="46" t="s">
        <v>123</v>
      </c>
      <c r="N17799" s="45">
        <v>46016.75</v>
      </c>
      <c r="O17799" s="46" t="s">
        <v>123</v>
      </c>
      <c r="P17799" s="46">
        <v>5400.0</v>
      </c>
    </row>
    <row r="17800">
      <c r="A17800" s="40">
        <f t="shared" si="1"/>
        <v>46013</v>
      </c>
      <c r="B17800" s="37" t="str">
        <f t="array" ref="B17800">iferror(xlookup($I17800, 'IMPORT VHC Report'!$E:$E, 'IMPORT VHC Report'!$A:$C), )</f>
        <v/>
      </c>
      <c r="C17800" s="44"/>
      <c r="D17800" s="44"/>
      <c r="E17800" s="46" t="s">
        <v>14039</v>
      </c>
      <c r="F17800" s="46" t="s">
        <v>6868</v>
      </c>
      <c r="G17800" s="46">
        <v>3.61688608636E11</v>
      </c>
      <c r="H17800" s="46" t="s">
        <v>6869</v>
      </c>
      <c r="I17800" s="46" t="s">
        <v>6870</v>
      </c>
      <c r="J17800" s="46" t="s">
        <v>62</v>
      </c>
      <c r="K17800" s="46" t="s">
        <v>63</v>
      </c>
      <c r="L17800" s="45">
        <v>46016.6875</v>
      </c>
      <c r="M17800" s="46" t="s">
        <v>123</v>
      </c>
      <c r="N17800" s="45">
        <v>46016.75</v>
      </c>
      <c r="O17800" s="46" t="s">
        <v>123</v>
      </c>
      <c r="P17800" s="46">
        <v>5400.0</v>
      </c>
    </row>
    <row r="17801">
      <c r="A17801" s="40">
        <f t="shared" si="1"/>
        <v>46013</v>
      </c>
      <c r="B17801" s="37" t="str">
        <f t="array" ref="B17801">iferror(xlookup($I17801, 'IMPORT VHC Report'!$E:$E, 'IMPORT VHC Report'!$A:$C), )</f>
        <v/>
      </c>
      <c r="C17801" s="44"/>
      <c r="D17801" s="44"/>
      <c r="E17801" s="46" t="s">
        <v>14040</v>
      </c>
      <c r="F17801" s="46" t="s">
        <v>6868</v>
      </c>
      <c r="G17801" s="46">
        <v>3.61688608636E11</v>
      </c>
      <c r="H17801" s="46" t="s">
        <v>6869</v>
      </c>
      <c r="I17801" s="46" t="s">
        <v>6870</v>
      </c>
      <c r="J17801" s="46" t="s">
        <v>62</v>
      </c>
      <c r="K17801" s="46" t="s">
        <v>63</v>
      </c>
      <c r="L17801" s="45">
        <v>46016.6875</v>
      </c>
      <c r="M17801" s="46" t="s">
        <v>123</v>
      </c>
      <c r="N17801" s="45">
        <v>46016.75</v>
      </c>
      <c r="O17801" s="46" t="s">
        <v>123</v>
      </c>
      <c r="P17801" s="46">
        <v>5400.0</v>
      </c>
    </row>
    <row r="17802">
      <c r="A17802" s="40">
        <f t="shared" si="1"/>
        <v>46013</v>
      </c>
      <c r="B17802" s="37" t="str">
        <f t="array" ref="B17802">iferror(xlookup($I17802, 'IMPORT VHC Report'!$E:$E, 'IMPORT VHC Report'!$A:$C), )</f>
        <v/>
      </c>
      <c r="C17802" s="44"/>
      <c r="D17802" s="44"/>
      <c r="E17802" s="46" t="s">
        <v>14041</v>
      </c>
      <c r="F17802" s="46" t="s">
        <v>6868</v>
      </c>
      <c r="G17802" s="46">
        <v>3.61688608636E11</v>
      </c>
      <c r="H17802" s="46" t="s">
        <v>6869</v>
      </c>
      <c r="I17802" s="46" t="s">
        <v>6870</v>
      </c>
      <c r="J17802" s="46" t="s">
        <v>530</v>
      </c>
      <c r="K17802" s="46" t="s">
        <v>63</v>
      </c>
      <c r="L17802" s="45">
        <v>46016.75</v>
      </c>
      <c r="M17802" s="46" t="s">
        <v>123</v>
      </c>
      <c r="N17802" s="45">
        <v>46016.791666666664</v>
      </c>
      <c r="O17802" s="46" t="s">
        <v>123</v>
      </c>
      <c r="P17802" s="46">
        <v>3600.0</v>
      </c>
    </row>
    <row r="17803">
      <c r="A17803" s="40">
        <f t="shared" si="1"/>
        <v>46013</v>
      </c>
      <c r="B17803" s="37" t="str">
        <f t="array" ref="B17803">iferror(xlookup($I17803, 'IMPORT VHC Report'!$E:$E, 'IMPORT VHC Report'!$A:$C), )</f>
        <v/>
      </c>
      <c r="C17803" s="44"/>
      <c r="D17803" s="44"/>
      <c r="E17803" s="46" t="s">
        <v>14042</v>
      </c>
      <c r="F17803" s="46" t="s">
        <v>6868</v>
      </c>
      <c r="G17803" s="46">
        <v>3.61688608636E11</v>
      </c>
      <c r="H17803" s="46" t="s">
        <v>6869</v>
      </c>
      <c r="I17803" s="46" t="s">
        <v>6870</v>
      </c>
      <c r="J17803" s="46" t="s">
        <v>4</v>
      </c>
      <c r="K17803" s="46" t="s">
        <v>126</v>
      </c>
      <c r="L17803" s="45">
        <v>46017.416666666664</v>
      </c>
      <c r="M17803" s="46" t="s">
        <v>123</v>
      </c>
      <c r="N17803" s="45">
        <v>46017.4375</v>
      </c>
      <c r="O17803" s="46" t="s">
        <v>123</v>
      </c>
      <c r="P17803" s="46">
        <v>1800.0</v>
      </c>
    </row>
    <row r="17804">
      <c r="A17804" s="40">
        <f t="shared" si="1"/>
        <v>46013</v>
      </c>
      <c r="B17804" s="37" t="str">
        <f t="array" ref="B17804">iferror(xlookup($I17804, 'IMPORT VHC Report'!$E:$E, 'IMPORT VHC Report'!$A:$C), )</f>
        <v/>
      </c>
      <c r="C17804" s="44"/>
      <c r="D17804" s="44"/>
      <c r="E17804" s="46" t="s">
        <v>14043</v>
      </c>
      <c r="F17804" s="46" t="s">
        <v>6868</v>
      </c>
      <c r="G17804" s="46">
        <v>3.61688608636E11</v>
      </c>
      <c r="H17804" s="46" t="s">
        <v>6869</v>
      </c>
      <c r="I17804" s="46" t="s">
        <v>6870</v>
      </c>
      <c r="J17804" s="46" t="s">
        <v>530</v>
      </c>
      <c r="K17804" s="46" t="s">
        <v>63</v>
      </c>
      <c r="L17804" s="45">
        <v>46017.416666666664</v>
      </c>
      <c r="M17804" s="46" t="s">
        <v>123</v>
      </c>
      <c r="N17804" s="45">
        <v>46017.791666666664</v>
      </c>
      <c r="O17804" s="46" t="s">
        <v>123</v>
      </c>
      <c r="P17804" s="46">
        <v>32400.0</v>
      </c>
    </row>
    <row r="17805">
      <c r="A17805" s="40">
        <f t="shared" si="1"/>
        <v>46013</v>
      </c>
      <c r="B17805" s="37" t="str">
        <f t="array" ref="B17805">iferror(xlookup($I17805, 'IMPORT VHC Report'!$E:$E, 'IMPORT VHC Report'!$A:$C), )</f>
        <v/>
      </c>
      <c r="C17805" s="44"/>
      <c r="D17805" s="44"/>
      <c r="E17805" s="46" t="s">
        <v>14044</v>
      </c>
      <c r="F17805" s="46" t="s">
        <v>6868</v>
      </c>
      <c r="G17805" s="46">
        <v>3.61688608636E11</v>
      </c>
      <c r="H17805" s="46" t="s">
        <v>6869</v>
      </c>
      <c r="I17805" s="46" t="s">
        <v>6870</v>
      </c>
      <c r="J17805" s="46" t="s">
        <v>134</v>
      </c>
      <c r="K17805" s="46" t="s">
        <v>126</v>
      </c>
      <c r="L17805" s="45">
        <v>46017.520833333336</v>
      </c>
      <c r="M17805" s="46" t="s">
        <v>123</v>
      </c>
      <c r="N17805" s="45">
        <v>46017.541666666664</v>
      </c>
      <c r="O17805" s="46" t="s">
        <v>123</v>
      </c>
      <c r="P17805" s="46">
        <v>1800.0</v>
      </c>
    </row>
    <row r="17806">
      <c r="A17806" s="40">
        <f t="shared" si="1"/>
        <v>46013</v>
      </c>
      <c r="B17806" s="37" t="str">
        <f t="array" ref="B17806">iferror(xlookup($I17806, 'IMPORT VHC Report'!$E:$E, 'IMPORT VHC Report'!$A:$C), )</f>
        <v/>
      </c>
      <c r="C17806" s="44"/>
      <c r="D17806" s="44"/>
      <c r="E17806" s="46" t="s">
        <v>14045</v>
      </c>
      <c r="F17806" s="46" t="s">
        <v>6868</v>
      </c>
      <c r="G17806" s="46">
        <v>3.61688608636E11</v>
      </c>
      <c r="H17806" s="46" t="s">
        <v>6869</v>
      </c>
      <c r="I17806" s="46" t="s">
        <v>6870</v>
      </c>
      <c r="J17806" s="46" t="s">
        <v>132</v>
      </c>
      <c r="K17806" s="46" t="s">
        <v>126</v>
      </c>
      <c r="L17806" s="45">
        <v>46017.6875</v>
      </c>
      <c r="M17806" s="46" t="s">
        <v>123</v>
      </c>
      <c r="N17806" s="45">
        <v>46017.729166666664</v>
      </c>
      <c r="O17806" s="46" t="s">
        <v>123</v>
      </c>
      <c r="P17806" s="46">
        <v>3600.0</v>
      </c>
    </row>
    <row r="17807">
      <c r="A17807" s="40">
        <f t="shared" si="1"/>
        <v>46013</v>
      </c>
      <c r="B17807" s="37" t="str">
        <f t="array" ref="B17807">iferror(xlookup($I17807, 'IMPORT VHC Report'!$E:$E, 'IMPORT VHC Report'!$A:$C), )</f>
        <v/>
      </c>
      <c r="C17807" s="44"/>
      <c r="D17807" s="44"/>
      <c r="E17807" s="46" t="s">
        <v>14046</v>
      </c>
      <c r="F17807" s="46" t="s">
        <v>6868</v>
      </c>
      <c r="G17807" s="46">
        <v>3.61688608636E11</v>
      </c>
      <c r="H17807" s="46" t="s">
        <v>6869</v>
      </c>
      <c r="I17807" s="46" t="s">
        <v>6870</v>
      </c>
      <c r="J17807" s="46" t="s">
        <v>4</v>
      </c>
      <c r="K17807" s="46" t="s">
        <v>126</v>
      </c>
      <c r="L17807" s="45">
        <v>46018.416666666664</v>
      </c>
      <c r="M17807" s="46" t="s">
        <v>123</v>
      </c>
      <c r="N17807" s="45">
        <v>46018.4375</v>
      </c>
      <c r="O17807" s="46" t="s">
        <v>123</v>
      </c>
      <c r="P17807" s="46">
        <v>1800.0</v>
      </c>
    </row>
    <row r="17808">
      <c r="A17808" s="40">
        <f t="shared" si="1"/>
        <v>46013</v>
      </c>
      <c r="B17808" s="37" t="str">
        <f t="array" ref="B17808">iferror(xlookup($I17808, 'IMPORT VHC Report'!$E:$E, 'IMPORT VHC Report'!$A:$C), )</f>
        <v/>
      </c>
      <c r="C17808" s="44"/>
      <c r="D17808" s="44"/>
      <c r="E17808" s="46" t="s">
        <v>14047</v>
      </c>
      <c r="F17808" s="46" t="s">
        <v>6868</v>
      </c>
      <c r="G17808" s="46">
        <v>3.61688608636E11</v>
      </c>
      <c r="H17808" s="46" t="s">
        <v>6869</v>
      </c>
      <c r="I17808" s="46" t="s">
        <v>6870</v>
      </c>
      <c r="J17808" s="46" t="s">
        <v>530</v>
      </c>
      <c r="K17808" s="46" t="s">
        <v>63</v>
      </c>
      <c r="L17808" s="45">
        <v>46018.416666666664</v>
      </c>
      <c r="M17808" s="46" t="s">
        <v>123</v>
      </c>
      <c r="N17808" s="45">
        <v>46018.791666666664</v>
      </c>
      <c r="O17808" s="46" t="s">
        <v>123</v>
      </c>
      <c r="P17808" s="46">
        <v>32400.0</v>
      </c>
    </row>
    <row r="17809">
      <c r="A17809" s="40">
        <f t="shared" si="1"/>
        <v>46013</v>
      </c>
      <c r="B17809" s="37" t="str">
        <f t="array" ref="B17809">iferror(xlookup($I17809, 'IMPORT VHC Report'!$E:$E, 'IMPORT VHC Report'!$A:$C), )</f>
        <v/>
      </c>
      <c r="C17809" s="44"/>
      <c r="D17809" s="44"/>
      <c r="E17809" s="46" t="s">
        <v>14048</v>
      </c>
      <c r="F17809" s="46" t="s">
        <v>6868</v>
      </c>
      <c r="G17809" s="46">
        <v>3.61688608636E11</v>
      </c>
      <c r="H17809" s="46" t="s">
        <v>6869</v>
      </c>
      <c r="I17809" s="46" t="s">
        <v>6870</v>
      </c>
      <c r="J17809" s="46" t="s">
        <v>134</v>
      </c>
      <c r="K17809" s="46" t="s">
        <v>126</v>
      </c>
      <c r="L17809" s="45">
        <v>46018.520833333336</v>
      </c>
      <c r="M17809" s="46" t="s">
        <v>123</v>
      </c>
      <c r="N17809" s="45">
        <v>46018.541666666664</v>
      </c>
      <c r="O17809" s="46" t="s">
        <v>123</v>
      </c>
      <c r="P17809" s="46">
        <v>1800.0</v>
      </c>
    </row>
    <row r="17810">
      <c r="A17810" s="40">
        <f t="shared" si="1"/>
        <v>46013</v>
      </c>
      <c r="B17810" s="37" t="str">
        <f t="array" ref="B17810">iferror(xlookup($I17810, 'IMPORT VHC Report'!$E:$E, 'IMPORT VHC Report'!$A:$C), )</f>
        <v/>
      </c>
      <c r="C17810" s="44"/>
      <c r="D17810" s="44"/>
      <c r="E17810" s="46" t="s">
        <v>14049</v>
      </c>
      <c r="F17810" s="46" t="s">
        <v>6868</v>
      </c>
      <c r="G17810" s="46">
        <v>3.61688608636E11</v>
      </c>
      <c r="H17810" s="46" t="s">
        <v>6869</v>
      </c>
      <c r="I17810" s="46" t="s">
        <v>6870</v>
      </c>
      <c r="J17810" s="46" t="s">
        <v>132</v>
      </c>
      <c r="K17810" s="46" t="s">
        <v>126</v>
      </c>
      <c r="L17810" s="45">
        <v>46018.6875</v>
      </c>
      <c r="M17810" s="46" t="s">
        <v>123</v>
      </c>
      <c r="N17810" s="45">
        <v>46018.729166666664</v>
      </c>
      <c r="O17810" s="46" t="s">
        <v>123</v>
      </c>
      <c r="P17810" s="46">
        <v>3600.0</v>
      </c>
    </row>
    <row r="17811">
      <c r="A17811" s="40">
        <f t="shared" si="1"/>
        <v>46013</v>
      </c>
      <c r="B17811" s="37" t="str">
        <f t="array" ref="B17811">iferror(xlookup($I17811, 'IMPORT VHC Report'!$E:$E, 'IMPORT VHC Report'!$A:$C), )</f>
        <v/>
      </c>
      <c r="C17811" s="44"/>
      <c r="D17811" s="44"/>
      <c r="E17811" s="46" t="s">
        <v>14050</v>
      </c>
      <c r="F17811" s="46" t="s">
        <v>7052</v>
      </c>
      <c r="G17811" s="46">
        <v>5.901973624079E12</v>
      </c>
      <c r="H17811" s="46" t="s">
        <v>7053</v>
      </c>
      <c r="I17811" s="46" t="s">
        <v>7054</v>
      </c>
      <c r="J17811" s="46" t="s">
        <v>4</v>
      </c>
      <c r="K17811" s="46" t="s">
        <v>126</v>
      </c>
      <c r="L17811" s="45">
        <v>46014.541666666664</v>
      </c>
      <c r="M17811" s="46" t="s">
        <v>123</v>
      </c>
      <c r="N17811" s="45">
        <v>46014.5625</v>
      </c>
      <c r="O17811" s="46" t="s">
        <v>123</v>
      </c>
      <c r="P17811" s="46">
        <v>1800.0</v>
      </c>
    </row>
    <row r="17812">
      <c r="A17812" s="40">
        <f t="shared" si="1"/>
        <v>46013</v>
      </c>
      <c r="B17812" s="37" t="str">
        <f t="array" ref="B17812">iferror(xlookup($I17812, 'IMPORT VHC Report'!$E:$E, 'IMPORT VHC Report'!$A:$C), )</f>
        <v/>
      </c>
      <c r="C17812" s="44"/>
      <c r="D17812" s="44"/>
      <c r="E17812" s="46" t="s">
        <v>14051</v>
      </c>
      <c r="F17812" s="46" t="s">
        <v>7052</v>
      </c>
      <c r="G17812" s="46">
        <v>5.901973624079E12</v>
      </c>
      <c r="H17812" s="46" t="s">
        <v>7053</v>
      </c>
      <c r="I17812" s="46" t="s">
        <v>7054</v>
      </c>
      <c r="J17812" s="46" t="s">
        <v>530</v>
      </c>
      <c r="K17812" s="46" t="s">
        <v>63</v>
      </c>
      <c r="L17812" s="45">
        <v>46014.541666666664</v>
      </c>
      <c r="M17812" s="46" t="s">
        <v>123</v>
      </c>
      <c r="N17812" s="45">
        <v>46014.916666666664</v>
      </c>
      <c r="O17812" s="46" t="s">
        <v>123</v>
      </c>
      <c r="P17812" s="46">
        <v>32400.0</v>
      </c>
    </row>
    <row r="17813">
      <c r="A17813" s="40">
        <f t="shared" si="1"/>
        <v>46013</v>
      </c>
      <c r="B17813" s="37" t="str">
        <f t="array" ref="B17813">iferror(xlookup($I17813, 'IMPORT VHC Report'!$E:$E, 'IMPORT VHC Report'!$A:$C), )</f>
        <v/>
      </c>
      <c r="C17813" s="44"/>
      <c r="D17813" s="44"/>
      <c r="E17813" s="46" t="s">
        <v>14052</v>
      </c>
      <c r="F17813" s="46" t="s">
        <v>7052</v>
      </c>
      <c r="G17813" s="46">
        <v>5.901973624079E12</v>
      </c>
      <c r="H17813" s="46" t="s">
        <v>7053</v>
      </c>
      <c r="I17813" s="46" t="s">
        <v>7054</v>
      </c>
      <c r="J17813" s="46" t="s">
        <v>134</v>
      </c>
      <c r="K17813" s="46" t="s">
        <v>126</v>
      </c>
      <c r="L17813" s="45">
        <v>46014.666666666664</v>
      </c>
      <c r="M17813" s="46" t="s">
        <v>123</v>
      </c>
      <c r="N17813" s="45">
        <v>46014.6875</v>
      </c>
      <c r="O17813" s="46" t="s">
        <v>123</v>
      </c>
      <c r="P17813" s="46">
        <v>1800.0</v>
      </c>
    </row>
    <row r="17814">
      <c r="A17814" s="40">
        <f t="shared" si="1"/>
        <v>46013</v>
      </c>
      <c r="B17814" s="37" t="str">
        <f t="array" ref="B17814">iferror(xlookup($I17814, 'IMPORT VHC Report'!$E:$E, 'IMPORT VHC Report'!$A:$C), )</f>
        <v/>
      </c>
      <c r="C17814" s="44"/>
      <c r="D17814" s="44"/>
      <c r="E17814" s="46" t="s">
        <v>14053</v>
      </c>
      <c r="F17814" s="46" t="s">
        <v>7052</v>
      </c>
      <c r="G17814" s="46">
        <v>5.901973624079E12</v>
      </c>
      <c r="H17814" s="46" t="s">
        <v>7053</v>
      </c>
      <c r="I17814" s="46" t="s">
        <v>7054</v>
      </c>
      <c r="J17814" s="46" t="s">
        <v>132</v>
      </c>
      <c r="K17814" s="46" t="s">
        <v>126</v>
      </c>
      <c r="L17814" s="45">
        <v>46014.8125</v>
      </c>
      <c r="M17814" s="46" t="s">
        <v>123</v>
      </c>
      <c r="N17814" s="45">
        <v>46014.854166666664</v>
      </c>
      <c r="O17814" s="46" t="s">
        <v>123</v>
      </c>
      <c r="P17814" s="46">
        <v>3600.0</v>
      </c>
    </row>
    <row r="17815">
      <c r="A17815" s="40">
        <f t="shared" si="1"/>
        <v>46013</v>
      </c>
      <c r="B17815" s="37" t="str">
        <f t="array" ref="B17815">iferror(xlookup($I17815, 'IMPORT VHC Report'!$E:$E, 'IMPORT VHC Report'!$A:$C), )</f>
        <v/>
      </c>
      <c r="C17815" s="44"/>
      <c r="D17815" s="44"/>
      <c r="E17815" s="46" t="s">
        <v>14054</v>
      </c>
      <c r="F17815" s="46" t="s">
        <v>7052</v>
      </c>
      <c r="G17815" s="46">
        <v>5.901973624079E12</v>
      </c>
      <c r="H17815" s="46" t="s">
        <v>7053</v>
      </c>
      <c r="I17815" s="46" t="s">
        <v>7054</v>
      </c>
      <c r="J17815" s="46" t="s">
        <v>4</v>
      </c>
      <c r="K17815" s="46" t="s">
        <v>126</v>
      </c>
      <c r="L17815" s="45">
        <v>46015.541666666664</v>
      </c>
      <c r="M17815" s="46" t="s">
        <v>123</v>
      </c>
      <c r="N17815" s="45">
        <v>46015.5625</v>
      </c>
      <c r="O17815" s="46" t="s">
        <v>123</v>
      </c>
      <c r="P17815" s="46">
        <v>1800.0</v>
      </c>
    </row>
    <row r="17816">
      <c r="A17816" s="40">
        <f t="shared" si="1"/>
        <v>46013</v>
      </c>
      <c r="B17816" s="37" t="str">
        <f t="array" ref="B17816">iferror(xlookup($I17816, 'IMPORT VHC Report'!$E:$E, 'IMPORT VHC Report'!$A:$C), )</f>
        <v/>
      </c>
      <c r="C17816" s="44"/>
      <c r="D17816" s="44"/>
      <c r="E17816" s="46" t="s">
        <v>14055</v>
      </c>
      <c r="F17816" s="46" t="s">
        <v>7052</v>
      </c>
      <c r="G17816" s="46">
        <v>5.901973624079E12</v>
      </c>
      <c r="H17816" s="46" t="s">
        <v>7053</v>
      </c>
      <c r="I17816" s="46" t="s">
        <v>7054</v>
      </c>
      <c r="J17816" s="46" t="s">
        <v>530</v>
      </c>
      <c r="K17816" s="46" t="s">
        <v>63</v>
      </c>
      <c r="L17816" s="45">
        <v>46015.541666666664</v>
      </c>
      <c r="M17816" s="46" t="s">
        <v>123</v>
      </c>
      <c r="N17816" s="45">
        <v>46015.5625</v>
      </c>
      <c r="O17816" s="46" t="s">
        <v>123</v>
      </c>
      <c r="P17816" s="46">
        <v>1800.0</v>
      </c>
    </row>
    <row r="17817">
      <c r="A17817" s="40">
        <f t="shared" si="1"/>
        <v>46013</v>
      </c>
      <c r="B17817" s="37" t="str">
        <f t="array" ref="B17817">iferror(xlookup($I17817, 'IMPORT VHC Report'!$E:$E, 'IMPORT VHC Report'!$A:$C), )</f>
        <v/>
      </c>
      <c r="C17817" s="44"/>
      <c r="D17817" s="44"/>
      <c r="E17817" s="46" t="s">
        <v>14056</v>
      </c>
      <c r="F17817" s="46" t="s">
        <v>7052</v>
      </c>
      <c r="G17817" s="46">
        <v>5.901973624079E12</v>
      </c>
      <c r="H17817" s="46" t="s">
        <v>7053</v>
      </c>
      <c r="I17817" s="46" t="s">
        <v>7054</v>
      </c>
      <c r="J17817" s="46" t="s">
        <v>62</v>
      </c>
      <c r="K17817" s="46" t="s">
        <v>63</v>
      </c>
      <c r="L17817" s="45">
        <v>46015.5625</v>
      </c>
      <c r="M17817" s="46" t="s">
        <v>123</v>
      </c>
      <c r="N17817" s="45">
        <v>46015.583333333336</v>
      </c>
      <c r="O17817" s="46" t="s">
        <v>123</v>
      </c>
      <c r="P17817" s="46">
        <v>1800.0</v>
      </c>
    </row>
    <row r="17818">
      <c r="A17818" s="40">
        <f t="shared" si="1"/>
        <v>46013</v>
      </c>
      <c r="B17818" s="37" t="str">
        <f t="array" ref="B17818">iferror(xlookup($I17818, 'IMPORT VHC Report'!$E:$E, 'IMPORT VHC Report'!$A:$C), )</f>
        <v/>
      </c>
      <c r="C17818" s="44"/>
      <c r="D17818" s="44"/>
      <c r="E17818" s="46" t="s">
        <v>14057</v>
      </c>
      <c r="F17818" s="46" t="s">
        <v>7052</v>
      </c>
      <c r="G17818" s="46">
        <v>5.901973624079E12</v>
      </c>
      <c r="H17818" s="46" t="s">
        <v>7053</v>
      </c>
      <c r="I17818" s="46" t="s">
        <v>7054</v>
      </c>
      <c r="J17818" s="46" t="s">
        <v>530</v>
      </c>
      <c r="K17818" s="46" t="s">
        <v>63</v>
      </c>
      <c r="L17818" s="45">
        <v>46015.583333333336</v>
      </c>
      <c r="M17818" s="46" t="s">
        <v>123</v>
      </c>
      <c r="N17818" s="45">
        <v>46015.916666666664</v>
      </c>
      <c r="O17818" s="46" t="s">
        <v>123</v>
      </c>
      <c r="P17818" s="46">
        <v>28800.0</v>
      </c>
    </row>
    <row r="17819">
      <c r="A17819" s="40">
        <f t="shared" si="1"/>
        <v>46013</v>
      </c>
      <c r="B17819" s="37" t="str">
        <f t="array" ref="B17819">iferror(xlookup($I17819, 'IMPORT VHC Report'!$E:$E, 'IMPORT VHC Report'!$A:$C), )</f>
        <v/>
      </c>
      <c r="C17819" s="44"/>
      <c r="D17819" s="44"/>
      <c r="E17819" s="46" t="s">
        <v>14058</v>
      </c>
      <c r="F17819" s="46" t="s">
        <v>7052</v>
      </c>
      <c r="G17819" s="46">
        <v>5.901973624079E12</v>
      </c>
      <c r="H17819" s="46" t="s">
        <v>7053</v>
      </c>
      <c r="I17819" s="46" t="s">
        <v>7054</v>
      </c>
      <c r="J17819" s="46" t="s">
        <v>134</v>
      </c>
      <c r="K17819" s="46" t="s">
        <v>126</v>
      </c>
      <c r="L17819" s="45">
        <v>46015.6875</v>
      </c>
      <c r="M17819" s="46" t="s">
        <v>123</v>
      </c>
      <c r="N17819" s="45">
        <v>46015.708333333336</v>
      </c>
      <c r="O17819" s="46" t="s">
        <v>123</v>
      </c>
      <c r="P17819" s="46">
        <v>1800.0</v>
      </c>
    </row>
    <row r="17820">
      <c r="A17820" s="40">
        <f t="shared" si="1"/>
        <v>46013</v>
      </c>
      <c r="B17820" s="37" t="str">
        <f t="array" ref="B17820">iferror(xlookup($I17820, 'IMPORT VHC Report'!$E:$E, 'IMPORT VHC Report'!$A:$C), )</f>
        <v/>
      </c>
      <c r="C17820" s="44"/>
      <c r="D17820" s="44"/>
      <c r="E17820" s="46" t="s">
        <v>14059</v>
      </c>
      <c r="F17820" s="46" t="s">
        <v>7052</v>
      </c>
      <c r="G17820" s="46">
        <v>5.901973624079E12</v>
      </c>
      <c r="H17820" s="46" t="s">
        <v>7053</v>
      </c>
      <c r="I17820" s="46" t="s">
        <v>7054</v>
      </c>
      <c r="J17820" s="46" t="s">
        <v>132</v>
      </c>
      <c r="K17820" s="46" t="s">
        <v>126</v>
      </c>
      <c r="L17820" s="45">
        <v>46015.8125</v>
      </c>
      <c r="M17820" s="46" t="s">
        <v>123</v>
      </c>
      <c r="N17820" s="45">
        <v>46015.854166666664</v>
      </c>
      <c r="O17820" s="46" t="s">
        <v>123</v>
      </c>
      <c r="P17820" s="46">
        <v>3600.0</v>
      </c>
    </row>
    <row r="17821">
      <c r="A17821" s="40">
        <f t="shared" si="1"/>
        <v>46013</v>
      </c>
      <c r="B17821" s="37" t="str">
        <f t="array" ref="B17821">iferror(xlookup($I17821, 'IMPORT VHC Report'!$E:$E, 'IMPORT VHC Report'!$A:$C), )</f>
        <v/>
      </c>
      <c r="C17821" s="44"/>
      <c r="D17821" s="44"/>
      <c r="E17821" s="46" t="s">
        <v>14060</v>
      </c>
      <c r="F17821" s="46" t="s">
        <v>7052</v>
      </c>
      <c r="G17821" s="46">
        <v>5.901973624079E12</v>
      </c>
      <c r="H17821" s="46" t="s">
        <v>7053</v>
      </c>
      <c r="I17821" s="46" t="s">
        <v>7054</v>
      </c>
      <c r="J17821" s="46" t="s">
        <v>4</v>
      </c>
      <c r="K17821" s="46" t="s">
        <v>126</v>
      </c>
      <c r="L17821" s="45">
        <v>46016.541666666664</v>
      </c>
      <c r="M17821" s="46" t="s">
        <v>123</v>
      </c>
      <c r="N17821" s="45">
        <v>46016.5625</v>
      </c>
      <c r="O17821" s="46" t="s">
        <v>123</v>
      </c>
      <c r="P17821" s="46">
        <v>1800.0</v>
      </c>
    </row>
    <row r="17822">
      <c r="A17822" s="40">
        <f t="shared" si="1"/>
        <v>46013</v>
      </c>
      <c r="B17822" s="37" t="str">
        <f t="array" ref="B17822">iferror(xlookup($I17822, 'IMPORT VHC Report'!$E:$E, 'IMPORT VHC Report'!$A:$C), )</f>
        <v/>
      </c>
      <c r="C17822" s="44"/>
      <c r="D17822" s="44"/>
      <c r="E17822" s="46" t="s">
        <v>14061</v>
      </c>
      <c r="F17822" s="46" t="s">
        <v>7052</v>
      </c>
      <c r="G17822" s="46">
        <v>5.901973624079E12</v>
      </c>
      <c r="H17822" s="46" t="s">
        <v>7053</v>
      </c>
      <c r="I17822" s="46" t="s">
        <v>7054</v>
      </c>
      <c r="J17822" s="46" t="s">
        <v>530</v>
      </c>
      <c r="K17822" s="46" t="s">
        <v>63</v>
      </c>
      <c r="L17822" s="45">
        <v>46016.541666666664</v>
      </c>
      <c r="M17822" s="46" t="s">
        <v>123</v>
      </c>
      <c r="N17822" s="45">
        <v>46016.916666666664</v>
      </c>
      <c r="O17822" s="46" t="s">
        <v>123</v>
      </c>
      <c r="P17822" s="46">
        <v>32400.0</v>
      </c>
    </row>
    <row r="17823">
      <c r="A17823" s="40">
        <f t="shared" si="1"/>
        <v>46013</v>
      </c>
      <c r="B17823" s="37" t="str">
        <f t="array" ref="B17823">iferror(xlookup($I17823, 'IMPORT VHC Report'!$E:$E, 'IMPORT VHC Report'!$A:$C), )</f>
        <v/>
      </c>
      <c r="C17823" s="44"/>
      <c r="D17823" s="44"/>
      <c r="E17823" s="46" t="s">
        <v>14062</v>
      </c>
      <c r="F17823" s="46" t="s">
        <v>7052</v>
      </c>
      <c r="G17823" s="46">
        <v>5.901973624079E12</v>
      </c>
      <c r="H17823" s="46" t="s">
        <v>7053</v>
      </c>
      <c r="I17823" s="46" t="s">
        <v>7054</v>
      </c>
      <c r="J17823" s="46" t="s">
        <v>134</v>
      </c>
      <c r="K17823" s="46" t="s">
        <v>126</v>
      </c>
      <c r="L17823" s="45">
        <v>46016.6875</v>
      </c>
      <c r="M17823" s="46" t="s">
        <v>123</v>
      </c>
      <c r="N17823" s="45">
        <v>46016.708333333336</v>
      </c>
      <c r="O17823" s="46" t="s">
        <v>123</v>
      </c>
      <c r="P17823" s="46">
        <v>1800.0</v>
      </c>
    </row>
    <row r="17824">
      <c r="E17824" s="46" t="s">
        <v>14063</v>
      </c>
      <c r="F17824" s="46" t="s">
        <v>7052</v>
      </c>
      <c r="G17824" s="46">
        <v>5.901973624079E12</v>
      </c>
      <c r="H17824" s="46" t="s">
        <v>7053</v>
      </c>
      <c r="I17824" s="46" t="s">
        <v>7054</v>
      </c>
      <c r="J17824" s="46" t="s">
        <v>132</v>
      </c>
      <c r="K17824" s="46" t="s">
        <v>126</v>
      </c>
      <c r="L17824" s="45">
        <v>46016.822916666664</v>
      </c>
      <c r="M17824" s="46" t="s">
        <v>123</v>
      </c>
      <c r="N17824" s="45">
        <v>46016.864583333336</v>
      </c>
      <c r="O17824" s="46" t="s">
        <v>123</v>
      </c>
      <c r="P17824" s="46">
        <v>3600.0</v>
      </c>
    </row>
    <row r="17825">
      <c r="E17825" s="46" t="s">
        <v>14064</v>
      </c>
      <c r="F17825" s="46" t="s">
        <v>7052</v>
      </c>
      <c r="G17825" s="46">
        <v>5.901973624079E12</v>
      </c>
      <c r="H17825" s="46" t="s">
        <v>7053</v>
      </c>
      <c r="I17825" s="46" t="s">
        <v>7054</v>
      </c>
      <c r="J17825" s="46" t="s">
        <v>4</v>
      </c>
      <c r="K17825" s="46" t="s">
        <v>126</v>
      </c>
      <c r="L17825" s="45">
        <v>46017.541666666664</v>
      </c>
      <c r="M17825" s="46" t="s">
        <v>123</v>
      </c>
      <c r="N17825" s="45">
        <v>46017.5625</v>
      </c>
      <c r="O17825" s="46" t="s">
        <v>123</v>
      </c>
      <c r="P17825" s="46">
        <v>1800.0</v>
      </c>
    </row>
    <row r="17826">
      <c r="E17826" s="46" t="s">
        <v>14065</v>
      </c>
      <c r="F17826" s="46" t="s">
        <v>7052</v>
      </c>
      <c r="G17826" s="46">
        <v>5.901973624079E12</v>
      </c>
      <c r="H17826" s="46" t="s">
        <v>7053</v>
      </c>
      <c r="I17826" s="46" t="s">
        <v>7054</v>
      </c>
      <c r="J17826" s="46" t="s">
        <v>530</v>
      </c>
      <c r="K17826" s="46" t="s">
        <v>63</v>
      </c>
      <c r="L17826" s="45">
        <v>46017.541666666664</v>
      </c>
      <c r="M17826" s="46" t="s">
        <v>123</v>
      </c>
      <c r="N17826" s="45">
        <v>46017.916666666664</v>
      </c>
      <c r="O17826" s="46" t="s">
        <v>123</v>
      </c>
      <c r="P17826" s="46">
        <v>32400.0</v>
      </c>
    </row>
    <row r="17827">
      <c r="E17827" s="46" t="s">
        <v>14066</v>
      </c>
      <c r="F17827" s="46" t="s">
        <v>7052</v>
      </c>
      <c r="G17827" s="46">
        <v>5.901973624079E12</v>
      </c>
      <c r="H17827" s="46" t="s">
        <v>7053</v>
      </c>
      <c r="I17827" s="46" t="s">
        <v>7054</v>
      </c>
      <c r="J17827" s="46" t="s">
        <v>132</v>
      </c>
      <c r="K17827" s="46" t="s">
        <v>126</v>
      </c>
      <c r="L17827" s="45">
        <v>46017.645833333336</v>
      </c>
      <c r="M17827" s="46" t="s">
        <v>123</v>
      </c>
      <c r="N17827" s="45">
        <v>46017.6875</v>
      </c>
      <c r="O17827" s="46" t="s">
        <v>123</v>
      </c>
      <c r="P17827" s="46">
        <v>3600.0</v>
      </c>
    </row>
    <row r="17828">
      <c r="E17828" s="46" t="s">
        <v>14067</v>
      </c>
      <c r="F17828" s="46" t="s">
        <v>7052</v>
      </c>
      <c r="G17828" s="46">
        <v>5.901973624079E12</v>
      </c>
      <c r="H17828" s="46" t="s">
        <v>7053</v>
      </c>
      <c r="I17828" s="46" t="s">
        <v>7054</v>
      </c>
      <c r="J17828" s="46" t="s">
        <v>134</v>
      </c>
      <c r="K17828" s="46" t="s">
        <v>126</v>
      </c>
      <c r="L17828" s="45">
        <v>46017.8125</v>
      </c>
      <c r="M17828" s="46" t="s">
        <v>123</v>
      </c>
      <c r="N17828" s="45">
        <v>46017.833333333336</v>
      </c>
      <c r="O17828" s="46" t="s">
        <v>123</v>
      </c>
      <c r="P17828" s="46">
        <v>1800.0</v>
      </c>
    </row>
    <row r="17829">
      <c r="E17829" s="46" t="s">
        <v>14068</v>
      </c>
      <c r="F17829" s="46" t="s">
        <v>7052</v>
      </c>
      <c r="G17829" s="46">
        <v>5.901973624079E12</v>
      </c>
      <c r="H17829" s="46" t="s">
        <v>7053</v>
      </c>
      <c r="I17829" s="46" t="s">
        <v>7054</v>
      </c>
      <c r="J17829" s="46" t="s">
        <v>4</v>
      </c>
      <c r="K17829" s="46" t="s">
        <v>126</v>
      </c>
      <c r="L17829" s="45">
        <v>46018.541666666664</v>
      </c>
      <c r="M17829" s="46" t="s">
        <v>123</v>
      </c>
      <c r="N17829" s="45">
        <v>46018.5625</v>
      </c>
      <c r="O17829" s="46" t="s">
        <v>123</v>
      </c>
      <c r="P17829" s="46">
        <v>1800.0</v>
      </c>
    </row>
    <row r="17830">
      <c r="E17830" s="46" t="s">
        <v>14069</v>
      </c>
      <c r="F17830" s="46" t="s">
        <v>7052</v>
      </c>
      <c r="G17830" s="46">
        <v>5.901973624079E12</v>
      </c>
      <c r="H17830" s="46" t="s">
        <v>7053</v>
      </c>
      <c r="I17830" s="46" t="s">
        <v>7054</v>
      </c>
      <c r="J17830" s="46" t="s">
        <v>530</v>
      </c>
      <c r="K17830" s="46" t="s">
        <v>63</v>
      </c>
      <c r="L17830" s="45">
        <v>46018.541666666664</v>
      </c>
      <c r="M17830" s="46" t="s">
        <v>123</v>
      </c>
      <c r="N17830" s="45">
        <v>46018.916666666664</v>
      </c>
      <c r="O17830" s="46" t="s">
        <v>123</v>
      </c>
      <c r="P17830" s="46">
        <v>32400.0</v>
      </c>
    </row>
    <row r="17831">
      <c r="E17831" s="46" t="s">
        <v>14070</v>
      </c>
      <c r="F17831" s="46" t="s">
        <v>7052</v>
      </c>
      <c r="G17831" s="46">
        <v>5.901973624079E12</v>
      </c>
      <c r="H17831" s="46" t="s">
        <v>7053</v>
      </c>
      <c r="I17831" s="46" t="s">
        <v>7054</v>
      </c>
      <c r="J17831" s="46" t="s">
        <v>134</v>
      </c>
      <c r="K17831" s="46" t="s">
        <v>126</v>
      </c>
      <c r="L17831" s="45">
        <v>46018.645833333336</v>
      </c>
      <c r="M17831" s="46" t="s">
        <v>123</v>
      </c>
      <c r="N17831" s="45">
        <v>46018.666666666664</v>
      </c>
      <c r="O17831" s="46" t="s">
        <v>123</v>
      </c>
      <c r="P17831" s="46">
        <v>1800.0</v>
      </c>
    </row>
    <row r="17832">
      <c r="E17832" s="46" t="s">
        <v>14071</v>
      </c>
      <c r="F17832" s="46" t="s">
        <v>7052</v>
      </c>
      <c r="G17832" s="46">
        <v>5.901973624079E12</v>
      </c>
      <c r="H17832" s="46" t="s">
        <v>7053</v>
      </c>
      <c r="I17832" s="46" t="s">
        <v>7054</v>
      </c>
      <c r="J17832" s="46" t="s">
        <v>132</v>
      </c>
      <c r="K17832" s="46" t="s">
        <v>126</v>
      </c>
      <c r="L17832" s="45">
        <v>46018.770833333336</v>
      </c>
      <c r="M17832" s="46" t="s">
        <v>123</v>
      </c>
      <c r="N17832" s="45">
        <v>46018.8125</v>
      </c>
      <c r="O17832" s="46" t="s">
        <v>123</v>
      </c>
      <c r="P17832" s="46">
        <v>3600.0</v>
      </c>
    </row>
    <row r="17833">
      <c r="E17833" s="46" t="s">
        <v>14072</v>
      </c>
      <c r="F17833" s="46" t="s">
        <v>7079</v>
      </c>
      <c r="G17833" s="46">
        <v>3.61732161455E11</v>
      </c>
      <c r="H17833" s="46" t="s">
        <v>7080</v>
      </c>
      <c r="I17833" s="46" t="s">
        <v>7081</v>
      </c>
      <c r="J17833" s="46" t="s">
        <v>4</v>
      </c>
      <c r="K17833" s="46" t="s">
        <v>126</v>
      </c>
      <c r="L17833" s="45">
        <v>46014.541666666664</v>
      </c>
      <c r="M17833" s="46" t="s">
        <v>123</v>
      </c>
      <c r="N17833" s="45">
        <v>46014.5625</v>
      </c>
      <c r="O17833" s="46" t="s">
        <v>123</v>
      </c>
      <c r="P17833" s="46">
        <v>1800.0</v>
      </c>
    </row>
    <row r="17834">
      <c r="E17834" s="46" t="s">
        <v>14073</v>
      </c>
      <c r="F17834" s="46" t="s">
        <v>7079</v>
      </c>
      <c r="G17834" s="46">
        <v>3.61732161455E11</v>
      </c>
      <c r="H17834" s="46" t="s">
        <v>7080</v>
      </c>
      <c r="I17834" s="46" t="s">
        <v>7081</v>
      </c>
      <c r="J17834" s="46" t="s">
        <v>178</v>
      </c>
      <c r="K17834" s="46" t="s">
        <v>153</v>
      </c>
      <c r="L17834" s="45">
        <v>46014.541666666664</v>
      </c>
      <c r="M17834" s="46" t="s">
        <v>123</v>
      </c>
      <c r="N17834" s="45">
        <v>46014.916666666664</v>
      </c>
      <c r="O17834" s="46" t="s">
        <v>123</v>
      </c>
      <c r="P17834" s="46">
        <v>32400.0</v>
      </c>
      <c r="Q17834" s="46">
        <v>28800.0</v>
      </c>
      <c r="R17834" s="46" t="s">
        <v>14074</v>
      </c>
    </row>
    <row r="17835">
      <c r="E17835" s="46" t="s">
        <v>14075</v>
      </c>
      <c r="F17835" s="46" t="s">
        <v>7079</v>
      </c>
      <c r="G17835" s="46">
        <v>3.61732161455E11</v>
      </c>
      <c r="H17835" s="46" t="s">
        <v>7080</v>
      </c>
      <c r="I17835" s="46" t="s">
        <v>7081</v>
      </c>
      <c r="J17835" s="46" t="s">
        <v>530</v>
      </c>
      <c r="K17835" s="46" t="s">
        <v>63</v>
      </c>
      <c r="L17835" s="45">
        <v>46014.541666666664</v>
      </c>
      <c r="M17835" s="46" t="s">
        <v>123</v>
      </c>
      <c r="N17835" s="45">
        <v>46014.916666666664</v>
      </c>
      <c r="O17835" s="46" t="s">
        <v>123</v>
      </c>
      <c r="P17835" s="46">
        <v>32400.0</v>
      </c>
    </row>
    <row r="17836">
      <c r="E17836" s="46" t="s">
        <v>14076</v>
      </c>
      <c r="F17836" s="46" t="s">
        <v>7079</v>
      </c>
      <c r="G17836" s="46">
        <v>3.61732161455E11</v>
      </c>
      <c r="H17836" s="46" t="s">
        <v>7080</v>
      </c>
      <c r="I17836" s="46" t="s">
        <v>7081</v>
      </c>
      <c r="J17836" s="46" t="s">
        <v>132</v>
      </c>
      <c r="K17836" s="46" t="s">
        <v>126</v>
      </c>
      <c r="L17836" s="45">
        <v>46014.677083333336</v>
      </c>
      <c r="M17836" s="46" t="s">
        <v>123</v>
      </c>
      <c r="N17836" s="45">
        <v>46014.71875</v>
      </c>
      <c r="O17836" s="46" t="s">
        <v>123</v>
      </c>
      <c r="P17836" s="46">
        <v>3600.0</v>
      </c>
    </row>
    <row r="17837">
      <c r="E17837" s="46" t="s">
        <v>14077</v>
      </c>
      <c r="F17837" s="46" t="s">
        <v>7079</v>
      </c>
      <c r="G17837" s="46">
        <v>3.61732161455E11</v>
      </c>
      <c r="H17837" s="46" t="s">
        <v>7080</v>
      </c>
      <c r="I17837" s="46" t="s">
        <v>7081</v>
      </c>
      <c r="J17837" s="46" t="s">
        <v>134</v>
      </c>
      <c r="K17837" s="46" t="s">
        <v>126</v>
      </c>
      <c r="L17837" s="45">
        <v>46014.833333333336</v>
      </c>
      <c r="M17837" s="46" t="s">
        <v>123</v>
      </c>
      <c r="N17837" s="45">
        <v>46014.854166666664</v>
      </c>
      <c r="O17837" s="46" t="s">
        <v>123</v>
      </c>
      <c r="P17837" s="46">
        <v>1800.0</v>
      </c>
    </row>
    <row r="17838">
      <c r="E17838" s="46" t="s">
        <v>14078</v>
      </c>
      <c r="F17838" s="46" t="s">
        <v>7079</v>
      </c>
      <c r="G17838" s="46">
        <v>3.61732161455E11</v>
      </c>
      <c r="H17838" s="46" t="s">
        <v>7080</v>
      </c>
      <c r="I17838" s="46" t="s">
        <v>7081</v>
      </c>
      <c r="J17838" s="46" t="s">
        <v>4</v>
      </c>
      <c r="K17838" s="46" t="s">
        <v>126</v>
      </c>
      <c r="L17838" s="45">
        <v>46015.541666666664</v>
      </c>
      <c r="M17838" s="46" t="s">
        <v>123</v>
      </c>
      <c r="N17838" s="45">
        <v>46015.5625</v>
      </c>
      <c r="O17838" s="46" t="s">
        <v>123</v>
      </c>
      <c r="P17838" s="46">
        <v>1800.0</v>
      </c>
    </row>
    <row r="17839">
      <c r="E17839" s="46" t="s">
        <v>14079</v>
      </c>
      <c r="F17839" s="46" t="s">
        <v>7079</v>
      </c>
      <c r="G17839" s="46">
        <v>3.61732161455E11</v>
      </c>
      <c r="H17839" s="46" t="s">
        <v>7080</v>
      </c>
      <c r="I17839" s="46" t="s">
        <v>7081</v>
      </c>
      <c r="J17839" s="46" t="s">
        <v>178</v>
      </c>
      <c r="K17839" s="46" t="s">
        <v>153</v>
      </c>
      <c r="L17839" s="45">
        <v>46015.541666666664</v>
      </c>
      <c r="M17839" s="46" t="s">
        <v>123</v>
      </c>
      <c r="N17839" s="45">
        <v>46015.916666666664</v>
      </c>
      <c r="O17839" s="46" t="s">
        <v>123</v>
      </c>
      <c r="P17839" s="46">
        <v>32400.0</v>
      </c>
      <c r="Q17839" s="46">
        <v>32400.0</v>
      </c>
      <c r="R17839" s="46" t="s">
        <v>13530</v>
      </c>
      <c r="S17839" s="46" t="s">
        <v>13530</v>
      </c>
    </row>
    <row r="17840">
      <c r="E17840" s="46" t="s">
        <v>14080</v>
      </c>
      <c r="F17840" s="46" t="s">
        <v>7079</v>
      </c>
      <c r="G17840" s="46">
        <v>3.61732161455E11</v>
      </c>
      <c r="H17840" s="46" t="s">
        <v>7080</v>
      </c>
      <c r="I17840" s="46" t="s">
        <v>7081</v>
      </c>
      <c r="J17840" s="46" t="s">
        <v>530</v>
      </c>
      <c r="K17840" s="46" t="s">
        <v>63</v>
      </c>
      <c r="L17840" s="45">
        <v>46015.541666666664</v>
      </c>
      <c r="M17840" s="46" t="s">
        <v>123</v>
      </c>
      <c r="N17840" s="45">
        <v>46015.916666666664</v>
      </c>
      <c r="O17840" s="46" t="s">
        <v>123</v>
      </c>
      <c r="P17840" s="46">
        <v>32400.0</v>
      </c>
    </row>
    <row r="17841">
      <c r="E17841" s="46" t="s">
        <v>14081</v>
      </c>
      <c r="F17841" s="46" t="s">
        <v>7079</v>
      </c>
      <c r="G17841" s="46">
        <v>3.61732161455E11</v>
      </c>
      <c r="H17841" s="46" t="s">
        <v>7080</v>
      </c>
      <c r="I17841" s="46" t="s">
        <v>7081</v>
      </c>
      <c r="J17841" s="46" t="s">
        <v>132</v>
      </c>
      <c r="K17841" s="46" t="s">
        <v>126</v>
      </c>
      <c r="L17841" s="45">
        <v>46015.677083333336</v>
      </c>
      <c r="M17841" s="46" t="s">
        <v>123</v>
      </c>
      <c r="N17841" s="45">
        <v>46015.71875</v>
      </c>
      <c r="O17841" s="46" t="s">
        <v>123</v>
      </c>
      <c r="P17841" s="46">
        <v>3600.0</v>
      </c>
    </row>
    <row r="17842">
      <c r="E17842" s="46" t="s">
        <v>14082</v>
      </c>
      <c r="F17842" s="46" t="s">
        <v>7079</v>
      </c>
      <c r="G17842" s="46">
        <v>3.61732161455E11</v>
      </c>
      <c r="H17842" s="46" t="s">
        <v>7080</v>
      </c>
      <c r="I17842" s="46" t="s">
        <v>7081</v>
      </c>
      <c r="J17842" s="46" t="s">
        <v>134</v>
      </c>
      <c r="K17842" s="46" t="s">
        <v>126</v>
      </c>
      <c r="L17842" s="45">
        <v>46015.833333333336</v>
      </c>
      <c r="M17842" s="46" t="s">
        <v>123</v>
      </c>
      <c r="N17842" s="45">
        <v>46015.854166666664</v>
      </c>
      <c r="O17842" s="46" t="s">
        <v>123</v>
      </c>
      <c r="P17842" s="46">
        <v>1800.0</v>
      </c>
    </row>
    <row r="17843">
      <c r="E17843" s="46" t="s">
        <v>14083</v>
      </c>
      <c r="F17843" s="46" t="s">
        <v>7079</v>
      </c>
      <c r="G17843" s="46">
        <v>3.61732161455E11</v>
      </c>
      <c r="H17843" s="46" t="s">
        <v>7080</v>
      </c>
      <c r="I17843" s="46" t="s">
        <v>7081</v>
      </c>
      <c r="J17843" s="46" t="s">
        <v>4</v>
      </c>
      <c r="K17843" s="46" t="s">
        <v>126</v>
      </c>
      <c r="L17843" s="45">
        <v>46016.541666666664</v>
      </c>
      <c r="M17843" s="46" t="s">
        <v>123</v>
      </c>
      <c r="N17843" s="45">
        <v>46016.5625</v>
      </c>
      <c r="O17843" s="46" t="s">
        <v>123</v>
      </c>
      <c r="P17843" s="46">
        <v>1800.0</v>
      </c>
    </row>
    <row r="17844">
      <c r="E17844" s="46" t="s">
        <v>14084</v>
      </c>
      <c r="F17844" s="46" t="s">
        <v>7079</v>
      </c>
      <c r="G17844" s="46">
        <v>3.61732161455E11</v>
      </c>
      <c r="H17844" s="46" t="s">
        <v>7080</v>
      </c>
      <c r="I17844" s="46" t="s">
        <v>7081</v>
      </c>
      <c r="J17844" s="46" t="s">
        <v>530</v>
      </c>
      <c r="K17844" s="46" t="s">
        <v>63</v>
      </c>
      <c r="L17844" s="45">
        <v>46016.541666666664</v>
      </c>
      <c r="M17844" s="46" t="s">
        <v>123</v>
      </c>
      <c r="N17844" s="45">
        <v>46016.916666666664</v>
      </c>
      <c r="O17844" s="46" t="s">
        <v>123</v>
      </c>
      <c r="P17844" s="46">
        <v>32400.0</v>
      </c>
    </row>
    <row r="17845">
      <c r="E17845" s="46" t="s">
        <v>14085</v>
      </c>
      <c r="F17845" s="46" t="s">
        <v>7079</v>
      </c>
      <c r="G17845" s="46">
        <v>3.61732161455E11</v>
      </c>
      <c r="H17845" s="46" t="s">
        <v>7080</v>
      </c>
      <c r="I17845" s="46" t="s">
        <v>7081</v>
      </c>
      <c r="J17845" s="46" t="s">
        <v>178</v>
      </c>
      <c r="K17845" s="46" t="s">
        <v>153</v>
      </c>
      <c r="L17845" s="45">
        <v>46016.541666666664</v>
      </c>
      <c r="M17845" s="46" t="s">
        <v>123</v>
      </c>
      <c r="N17845" s="45">
        <v>46016.916666666664</v>
      </c>
      <c r="O17845" s="46" t="s">
        <v>123</v>
      </c>
      <c r="P17845" s="46">
        <v>32400.0</v>
      </c>
      <c r="Q17845" s="46">
        <v>32400.0</v>
      </c>
      <c r="R17845" s="46" t="s">
        <v>13530</v>
      </c>
      <c r="S17845" s="46" t="s">
        <v>13530</v>
      </c>
    </row>
    <row r="17846">
      <c r="E17846" s="46" t="s">
        <v>14086</v>
      </c>
      <c r="F17846" s="46" t="s">
        <v>7079</v>
      </c>
      <c r="G17846" s="46">
        <v>3.61732161455E11</v>
      </c>
      <c r="H17846" s="46" t="s">
        <v>7080</v>
      </c>
      <c r="I17846" s="46" t="s">
        <v>7081</v>
      </c>
      <c r="J17846" s="46" t="s">
        <v>132</v>
      </c>
      <c r="K17846" s="46" t="s">
        <v>126</v>
      </c>
      <c r="L17846" s="45">
        <v>46016.677083333336</v>
      </c>
      <c r="M17846" s="46" t="s">
        <v>123</v>
      </c>
      <c r="N17846" s="45">
        <v>46016.71875</v>
      </c>
      <c r="O17846" s="46" t="s">
        <v>123</v>
      </c>
      <c r="P17846" s="46">
        <v>3600.0</v>
      </c>
    </row>
    <row r="17847">
      <c r="E17847" s="46" t="s">
        <v>14087</v>
      </c>
      <c r="F17847" s="46" t="s">
        <v>7079</v>
      </c>
      <c r="G17847" s="46">
        <v>3.61732161455E11</v>
      </c>
      <c r="H17847" s="46" t="s">
        <v>7080</v>
      </c>
      <c r="I17847" s="46" t="s">
        <v>7081</v>
      </c>
      <c r="J17847" s="46" t="s">
        <v>134</v>
      </c>
      <c r="K17847" s="46" t="s">
        <v>126</v>
      </c>
      <c r="L17847" s="45">
        <v>46016.833333333336</v>
      </c>
      <c r="M17847" s="46" t="s">
        <v>123</v>
      </c>
      <c r="N17847" s="45">
        <v>46016.854166666664</v>
      </c>
      <c r="O17847" s="46" t="s">
        <v>123</v>
      </c>
      <c r="P17847" s="46">
        <v>1800.0</v>
      </c>
    </row>
    <row r="17848">
      <c r="E17848" s="46" t="s">
        <v>14088</v>
      </c>
      <c r="F17848" s="46" t="s">
        <v>7079</v>
      </c>
      <c r="G17848" s="46">
        <v>3.61732161455E11</v>
      </c>
      <c r="H17848" s="46" t="s">
        <v>7080</v>
      </c>
      <c r="I17848" s="46" t="s">
        <v>7081</v>
      </c>
      <c r="J17848" s="46" t="s">
        <v>530</v>
      </c>
      <c r="K17848" s="46" t="s">
        <v>63</v>
      </c>
      <c r="L17848" s="45">
        <v>46017.541666666664</v>
      </c>
      <c r="M17848" s="46" t="s">
        <v>123</v>
      </c>
      <c r="N17848" s="45">
        <v>46017.5625</v>
      </c>
      <c r="O17848" s="46" t="s">
        <v>123</v>
      </c>
      <c r="P17848" s="46">
        <v>1800.0</v>
      </c>
    </row>
    <row r="17849">
      <c r="E17849" s="46" t="s">
        <v>14089</v>
      </c>
      <c r="F17849" s="46" t="s">
        <v>7079</v>
      </c>
      <c r="G17849" s="46">
        <v>3.61732161455E11</v>
      </c>
      <c r="H17849" s="46" t="s">
        <v>7080</v>
      </c>
      <c r="I17849" s="46" t="s">
        <v>7081</v>
      </c>
      <c r="J17849" s="46" t="s">
        <v>4</v>
      </c>
      <c r="K17849" s="46" t="s">
        <v>126</v>
      </c>
      <c r="L17849" s="45">
        <v>46017.541666666664</v>
      </c>
      <c r="M17849" s="46" t="s">
        <v>123</v>
      </c>
      <c r="N17849" s="45">
        <v>46017.5625</v>
      </c>
      <c r="O17849" s="46" t="s">
        <v>123</v>
      </c>
      <c r="P17849" s="46">
        <v>1800.0</v>
      </c>
    </row>
    <row r="17850">
      <c r="E17850" s="46" t="s">
        <v>14090</v>
      </c>
      <c r="F17850" s="46" t="s">
        <v>7079</v>
      </c>
      <c r="G17850" s="46">
        <v>3.61732161455E11</v>
      </c>
      <c r="H17850" s="46" t="s">
        <v>7080</v>
      </c>
      <c r="I17850" s="46" t="s">
        <v>7081</v>
      </c>
      <c r="J17850" s="46" t="s">
        <v>178</v>
      </c>
      <c r="K17850" s="46" t="s">
        <v>153</v>
      </c>
      <c r="L17850" s="45">
        <v>46017.541666666664</v>
      </c>
      <c r="M17850" s="46" t="s">
        <v>123</v>
      </c>
      <c r="N17850" s="45">
        <v>46017.916666666664</v>
      </c>
      <c r="O17850" s="46" t="s">
        <v>123</v>
      </c>
      <c r="P17850" s="46">
        <v>32400.0</v>
      </c>
      <c r="Q17850" s="46">
        <v>28800.0</v>
      </c>
      <c r="R17850" s="46" t="s">
        <v>14091</v>
      </c>
    </row>
    <row r="17851">
      <c r="E17851" s="46" t="s">
        <v>14092</v>
      </c>
      <c r="F17851" s="46" t="s">
        <v>7079</v>
      </c>
      <c r="G17851" s="46">
        <v>3.61732161455E11</v>
      </c>
      <c r="H17851" s="46" t="s">
        <v>7080</v>
      </c>
      <c r="I17851" s="46" t="s">
        <v>7081</v>
      </c>
      <c r="J17851" s="46" t="s">
        <v>62</v>
      </c>
      <c r="K17851" s="46" t="s">
        <v>63</v>
      </c>
      <c r="L17851" s="45">
        <v>46017.5625</v>
      </c>
      <c r="M17851" s="46" t="s">
        <v>123</v>
      </c>
      <c r="N17851" s="45">
        <v>46017.583333333336</v>
      </c>
      <c r="O17851" s="46" t="s">
        <v>123</v>
      </c>
      <c r="P17851" s="46">
        <v>1800.0</v>
      </c>
    </row>
    <row r="17852">
      <c r="E17852" s="46" t="s">
        <v>14093</v>
      </c>
      <c r="F17852" s="46" t="s">
        <v>7079</v>
      </c>
      <c r="G17852" s="46">
        <v>3.61732161455E11</v>
      </c>
      <c r="H17852" s="46" t="s">
        <v>7080</v>
      </c>
      <c r="I17852" s="46" t="s">
        <v>7081</v>
      </c>
      <c r="J17852" s="46" t="s">
        <v>530</v>
      </c>
      <c r="K17852" s="46" t="s">
        <v>63</v>
      </c>
      <c r="L17852" s="45">
        <v>46017.583333333336</v>
      </c>
      <c r="M17852" s="46" t="s">
        <v>123</v>
      </c>
      <c r="N17852" s="45">
        <v>46017.916666666664</v>
      </c>
      <c r="O17852" s="46" t="s">
        <v>123</v>
      </c>
      <c r="P17852" s="46">
        <v>28800.0</v>
      </c>
    </row>
    <row r="17853">
      <c r="E17853" s="46" t="s">
        <v>14094</v>
      </c>
      <c r="F17853" s="46" t="s">
        <v>7079</v>
      </c>
      <c r="G17853" s="46">
        <v>3.61732161455E11</v>
      </c>
      <c r="H17853" s="46" t="s">
        <v>7080</v>
      </c>
      <c r="I17853" s="46" t="s">
        <v>7081</v>
      </c>
      <c r="J17853" s="46" t="s">
        <v>132</v>
      </c>
      <c r="K17853" s="46" t="s">
        <v>126</v>
      </c>
      <c r="L17853" s="45">
        <v>46017.6875</v>
      </c>
      <c r="M17853" s="46" t="s">
        <v>123</v>
      </c>
      <c r="N17853" s="45">
        <v>46017.729166666664</v>
      </c>
      <c r="O17853" s="46" t="s">
        <v>123</v>
      </c>
      <c r="P17853" s="46">
        <v>3600.0</v>
      </c>
    </row>
    <row r="17854">
      <c r="E17854" s="46" t="s">
        <v>14095</v>
      </c>
      <c r="F17854" s="46" t="s">
        <v>7079</v>
      </c>
      <c r="G17854" s="46">
        <v>3.61732161455E11</v>
      </c>
      <c r="H17854" s="46" t="s">
        <v>7080</v>
      </c>
      <c r="I17854" s="46" t="s">
        <v>7081</v>
      </c>
      <c r="J17854" s="46" t="s">
        <v>134</v>
      </c>
      <c r="K17854" s="46" t="s">
        <v>126</v>
      </c>
      <c r="L17854" s="45">
        <v>46017.854166666664</v>
      </c>
      <c r="M17854" s="46" t="s">
        <v>123</v>
      </c>
      <c r="N17854" s="45">
        <v>46017.875</v>
      </c>
      <c r="O17854" s="46" t="s">
        <v>123</v>
      </c>
      <c r="P17854" s="46">
        <v>1800.0</v>
      </c>
    </row>
    <row r="17855">
      <c r="E17855" s="46" t="s">
        <v>14096</v>
      </c>
      <c r="F17855" s="46" t="s">
        <v>7079</v>
      </c>
      <c r="G17855" s="46">
        <v>3.61732161455E11</v>
      </c>
      <c r="H17855" s="46" t="s">
        <v>7080</v>
      </c>
      <c r="I17855" s="46" t="s">
        <v>7081</v>
      </c>
      <c r="J17855" s="46" t="s">
        <v>4</v>
      </c>
      <c r="K17855" s="46" t="s">
        <v>126</v>
      </c>
      <c r="L17855" s="45">
        <v>46018.541666666664</v>
      </c>
      <c r="M17855" s="46" t="s">
        <v>123</v>
      </c>
      <c r="N17855" s="45">
        <v>46018.5625</v>
      </c>
      <c r="O17855" s="46" t="s">
        <v>123</v>
      </c>
      <c r="P17855" s="46">
        <v>1800.0</v>
      </c>
    </row>
    <row r="17856">
      <c r="E17856" s="46" t="s">
        <v>14097</v>
      </c>
      <c r="F17856" s="46" t="s">
        <v>7079</v>
      </c>
      <c r="G17856" s="46">
        <v>3.61732161455E11</v>
      </c>
      <c r="H17856" s="46" t="s">
        <v>7080</v>
      </c>
      <c r="I17856" s="46" t="s">
        <v>7081</v>
      </c>
      <c r="J17856" s="46" t="s">
        <v>530</v>
      </c>
      <c r="K17856" s="46" t="s">
        <v>63</v>
      </c>
      <c r="L17856" s="45">
        <v>46018.541666666664</v>
      </c>
      <c r="M17856" s="46" t="s">
        <v>123</v>
      </c>
      <c r="N17856" s="45">
        <v>46018.916666666664</v>
      </c>
      <c r="O17856" s="46" t="s">
        <v>123</v>
      </c>
      <c r="P17856" s="46">
        <v>32400.0</v>
      </c>
    </row>
    <row r="17857">
      <c r="E17857" s="46" t="s">
        <v>14098</v>
      </c>
      <c r="F17857" s="46" t="s">
        <v>7079</v>
      </c>
      <c r="G17857" s="46">
        <v>3.61732161455E11</v>
      </c>
      <c r="H17857" s="46" t="s">
        <v>7080</v>
      </c>
      <c r="I17857" s="46" t="s">
        <v>7081</v>
      </c>
      <c r="J17857" s="46" t="s">
        <v>134</v>
      </c>
      <c r="K17857" s="46" t="s">
        <v>126</v>
      </c>
      <c r="L17857" s="45">
        <v>46018.677083333336</v>
      </c>
      <c r="M17857" s="46" t="s">
        <v>123</v>
      </c>
      <c r="N17857" s="45">
        <v>46018.697916666664</v>
      </c>
      <c r="O17857" s="46" t="s">
        <v>123</v>
      </c>
      <c r="P17857" s="46">
        <v>1800.0</v>
      </c>
    </row>
    <row r="17858">
      <c r="E17858" s="46" t="s">
        <v>14099</v>
      </c>
      <c r="F17858" s="46" t="s">
        <v>7079</v>
      </c>
      <c r="G17858" s="46">
        <v>3.61732161455E11</v>
      </c>
      <c r="H17858" s="46" t="s">
        <v>7080</v>
      </c>
      <c r="I17858" s="46" t="s">
        <v>7081</v>
      </c>
      <c r="J17858" s="46" t="s">
        <v>132</v>
      </c>
      <c r="K17858" s="46" t="s">
        <v>126</v>
      </c>
      <c r="L17858" s="45">
        <v>46018.79513888889</v>
      </c>
      <c r="M17858" s="46" t="s">
        <v>123</v>
      </c>
      <c r="N17858" s="45">
        <v>46018.836805555555</v>
      </c>
      <c r="O17858" s="46" t="s">
        <v>123</v>
      </c>
      <c r="P17858" s="46">
        <v>3600.0</v>
      </c>
      <c r="S17858" s="46" t="s">
        <v>14100</v>
      </c>
    </row>
    <row r="17859">
      <c r="E17859" s="46" t="s">
        <v>14101</v>
      </c>
      <c r="F17859" s="46" t="s">
        <v>7115</v>
      </c>
      <c r="G17859" s="46">
        <v>3.61725261076E11</v>
      </c>
      <c r="H17859" s="46" t="s">
        <v>7116</v>
      </c>
      <c r="I17859" s="46" t="s">
        <v>7117</v>
      </c>
      <c r="J17859" s="46" t="s">
        <v>4</v>
      </c>
      <c r="K17859" s="46" t="s">
        <v>126</v>
      </c>
      <c r="L17859" s="45">
        <v>46014.541666666664</v>
      </c>
      <c r="M17859" s="46" t="s">
        <v>123</v>
      </c>
      <c r="N17859" s="45">
        <v>46014.5625</v>
      </c>
      <c r="O17859" s="46" t="s">
        <v>123</v>
      </c>
      <c r="P17859" s="46">
        <v>1800.0</v>
      </c>
    </row>
    <row r="17860">
      <c r="E17860" s="46" t="s">
        <v>14102</v>
      </c>
      <c r="F17860" s="46" t="s">
        <v>7115</v>
      </c>
      <c r="G17860" s="46">
        <v>3.61725261076E11</v>
      </c>
      <c r="H17860" s="46" t="s">
        <v>7116</v>
      </c>
      <c r="I17860" s="46" t="s">
        <v>7117</v>
      </c>
      <c r="J17860" s="46" t="s">
        <v>178</v>
      </c>
      <c r="K17860" s="46" t="s">
        <v>153</v>
      </c>
      <c r="L17860" s="45">
        <v>46014.541666666664</v>
      </c>
      <c r="M17860" s="46" t="s">
        <v>123</v>
      </c>
      <c r="N17860" s="45">
        <v>46014.916666666664</v>
      </c>
      <c r="O17860" s="46" t="s">
        <v>123</v>
      </c>
      <c r="P17860" s="46">
        <v>32400.0</v>
      </c>
      <c r="Q17860" s="46">
        <v>28800.0</v>
      </c>
      <c r="R17860" s="46" t="s">
        <v>14103</v>
      </c>
    </row>
    <row r="17861">
      <c r="E17861" s="46" t="s">
        <v>14104</v>
      </c>
      <c r="F17861" s="46" t="s">
        <v>7115</v>
      </c>
      <c r="G17861" s="46">
        <v>3.61725261076E11</v>
      </c>
      <c r="H17861" s="46" t="s">
        <v>7116</v>
      </c>
      <c r="I17861" s="46" t="s">
        <v>7117</v>
      </c>
      <c r="J17861" s="46" t="s">
        <v>530</v>
      </c>
      <c r="K17861" s="46" t="s">
        <v>63</v>
      </c>
      <c r="L17861" s="45">
        <v>46014.541666666664</v>
      </c>
      <c r="M17861" s="46" t="s">
        <v>123</v>
      </c>
      <c r="N17861" s="45">
        <v>46014.916666666664</v>
      </c>
      <c r="O17861" s="46" t="s">
        <v>123</v>
      </c>
      <c r="P17861" s="46">
        <v>32400.0</v>
      </c>
    </row>
    <row r="17862">
      <c r="E17862" s="46" t="s">
        <v>14105</v>
      </c>
      <c r="F17862" s="46" t="s">
        <v>7115</v>
      </c>
      <c r="G17862" s="46">
        <v>3.61725261076E11</v>
      </c>
      <c r="H17862" s="46" t="s">
        <v>7116</v>
      </c>
      <c r="I17862" s="46" t="s">
        <v>7117</v>
      </c>
      <c r="J17862" s="46" t="s">
        <v>132</v>
      </c>
      <c r="K17862" s="46" t="s">
        <v>126</v>
      </c>
      <c r="L17862" s="45">
        <v>46014.635416666664</v>
      </c>
      <c r="M17862" s="46" t="s">
        <v>123</v>
      </c>
      <c r="N17862" s="45">
        <v>46014.677083333336</v>
      </c>
      <c r="O17862" s="46" t="s">
        <v>123</v>
      </c>
      <c r="P17862" s="46">
        <v>3600.0</v>
      </c>
    </row>
    <row r="17863">
      <c r="E17863" s="46" t="s">
        <v>14106</v>
      </c>
      <c r="F17863" s="46" t="s">
        <v>7115</v>
      </c>
      <c r="G17863" s="46">
        <v>3.61725261076E11</v>
      </c>
      <c r="H17863" s="46" t="s">
        <v>7116</v>
      </c>
      <c r="I17863" s="46" t="s">
        <v>7117</v>
      </c>
      <c r="J17863" s="46" t="s">
        <v>134</v>
      </c>
      <c r="K17863" s="46" t="s">
        <v>126</v>
      </c>
      <c r="L17863" s="45">
        <v>46014.791666666664</v>
      </c>
      <c r="M17863" s="46" t="s">
        <v>123</v>
      </c>
      <c r="N17863" s="45">
        <v>46014.8125</v>
      </c>
      <c r="O17863" s="46" t="s">
        <v>123</v>
      </c>
      <c r="P17863" s="46">
        <v>1800.0</v>
      </c>
    </row>
    <row r="17864">
      <c r="E17864" s="46" t="s">
        <v>14107</v>
      </c>
      <c r="F17864" s="46" t="s">
        <v>7115</v>
      </c>
      <c r="G17864" s="46">
        <v>3.61725261076E11</v>
      </c>
      <c r="H17864" s="46" t="s">
        <v>7116</v>
      </c>
      <c r="I17864" s="46" t="s">
        <v>7117</v>
      </c>
      <c r="J17864" s="46" t="s">
        <v>4</v>
      </c>
      <c r="K17864" s="46" t="s">
        <v>126</v>
      </c>
      <c r="L17864" s="45">
        <v>46015.541666666664</v>
      </c>
      <c r="M17864" s="46" t="s">
        <v>123</v>
      </c>
      <c r="N17864" s="45">
        <v>46015.5625</v>
      </c>
      <c r="O17864" s="46" t="s">
        <v>123</v>
      </c>
      <c r="P17864" s="46">
        <v>1800.0</v>
      </c>
    </row>
    <row r="17865">
      <c r="E17865" s="46" t="s">
        <v>14108</v>
      </c>
      <c r="F17865" s="46" t="s">
        <v>7115</v>
      </c>
      <c r="G17865" s="46">
        <v>3.61725261076E11</v>
      </c>
      <c r="H17865" s="46" t="s">
        <v>7116</v>
      </c>
      <c r="I17865" s="46" t="s">
        <v>7117</v>
      </c>
      <c r="J17865" s="46" t="s">
        <v>178</v>
      </c>
      <c r="K17865" s="46" t="s">
        <v>153</v>
      </c>
      <c r="L17865" s="45">
        <v>46015.541666666664</v>
      </c>
      <c r="M17865" s="46" t="s">
        <v>123</v>
      </c>
      <c r="N17865" s="45">
        <v>46015.916666666664</v>
      </c>
      <c r="O17865" s="46" t="s">
        <v>123</v>
      </c>
      <c r="P17865" s="46">
        <v>32400.0</v>
      </c>
      <c r="Q17865" s="46">
        <v>32400.0</v>
      </c>
      <c r="R17865" s="46" t="s">
        <v>13530</v>
      </c>
      <c r="S17865" s="46" t="s">
        <v>13530</v>
      </c>
    </row>
    <row r="17866">
      <c r="E17866" s="46" t="s">
        <v>14109</v>
      </c>
      <c r="F17866" s="46" t="s">
        <v>7115</v>
      </c>
      <c r="G17866" s="46">
        <v>3.61725261076E11</v>
      </c>
      <c r="H17866" s="46" t="s">
        <v>7116</v>
      </c>
      <c r="I17866" s="46" t="s">
        <v>7117</v>
      </c>
      <c r="J17866" s="46" t="s">
        <v>530</v>
      </c>
      <c r="K17866" s="46" t="s">
        <v>63</v>
      </c>
      <c r="L17866" s="45">
        <v>46015.541666666664</v>
      </c>
      <c r="M17866" s="46" t="s">
        <v>123</v>
      </c>
      <c r="N17866" s="45">
        <v>46015.916666666664</v>
      </c>
      <c r="O17866" s="46" t="s">
        <v>123</v>
      </c>
      <c r="P17866" s="46">
        <v>32400.0</v>
      </c>
    </row>
    <row r="17867">
      <c r="E17867" s="46" t="s">
        <v>14110</v>
      </c>
      <c r="F17867" s="46" t="s">
        <v>7115</v>
      </c>
      <c r="G17867" s="46">
        <v>3.61725261076E11</v>
      </c>
      <c r="H17867" s="46" t="s">
        <v>7116</v>
      </c>
      <c r="I17867" s="46" t="s">
        <v>7117</v>
      </c>
      <c r="J17867" s="46" t="s">
        <v>132</v>
      </c>
      <c r="K17867" s="46" t="s">
        <v>126</v>
      </c>
      <c r="L17867" s="45">
        <v>46015.635416666664</v>
      </c>
      <c r="M17867" s="46" t="s">
        <v>123</v>
      </c>
      <c r="N17867" s="45">
        <v>46015.677083333336</v>
      </c>
      <c r="O17867" s="46" t="s">
        <v>123</v>
      </c>
      <c r="P17867" s="46">
        <v>3600.0</v>
      </c>
    </row>
    <row r="17868">
      <c r="E17868" s="46" t="s">
        <v>14111</v>
      </c>
      <c r="F17868" s="46" t="s">
        <v>7115</v>
      </c>
      <c r="G17868" s="46">
        <v>3.61725261076E11</v>
      </c>
      <c r="H17868" s="46" t="s">
        <v>7116</v>
      </c>
      <c r="I17868" s="46" t="s">
        <v>7117</v>
      </c>
      <c r="J17868" s="46" t="s">
        <v>134</v>
      </c>
      <c r="K17868" s="46" t="s">
        <v>126</v>
      </c>
      <c r="L17868" s="45">
        <v>46015.791666666664</v>
      </c>
      <c r="M17868" s="46" t="s">
        <v>123</v>
      </c>
      <c r="N17868" s="45">
        <v>46015.8125</v>
      </c>
      <c r="O17868" s="46" t="s">
        <v>123</v>
      </c>
      <c r="P17868" s="46">
        <v>1800.0</v>
      </c>
    </row>
    <row r="17869">
      <c r="E17869" s="46" t="s">
        <v>14112</v>
      </c>
      <c r="F17869" s="46" t="s">
        <v>7115</v>
      </c>
      <c r="G17869" s="46">
        <v>3.61725261076E11</v>
      </c>
      <c r="H17869" s="46" t="s">
        <v>7116</v>
      </c>
      <c r="I17869" s="46" t="s">
        <v>7117</v>
      </c>
      <c r="J17869" s="46" t="s">
        <v>4</v>
      </c>
      <c r="K17869" s="46" t="s">
        <v>126</v>
      </c>
      <c r="L17869" s="45">
        <v>46016.541666666664</v>
      </c>
      <c r="M17869" s="46" t="s">
        <v>123</v>
      </c>
      <c r="N17869" s="45">
        <v>46016.5625</v>
      </c>
      <c r="O17869" s="46" t="s">
        <v>123</v>
      </c>
      <c r="P17869" s="46">
        <v>1800.0</v>
      </c>
    </row>
    <row r="17870">
      <c r="E17870" s="46" t="s">
        <v>14113</v>
      </c>
      <c r="F17870" s="46" t="s">
        <v>7115</v>
      </c>
      <c r="G17870" s="46">
        <v>3.61725261076E11</v>
      </c>
      <c r="H17870" s="46" t="s">
        <v>7116</v>
      </c>
      <c r="I17870" s="46" t="s">
        <v>7117</v>
      </c>
      <c r="J17870" s="46" t="s">
        <v>530</v>
      </c>
      <c r="K17870" s="46" t="s">
        <v>63</v>
      </c>
      <c r="L17870" s="45">
        <v>46016.541666666664</v>
      </c>
      <c r="M17870" s="46" t="s">
        <v>123</v>
      </c>
      <c r="N17870" s="45">
        <v>46016.916666666664</v>
      </c>
      <c r="O17870" s="46" t="s">
        <v>123</v>
      </c>
      <c r="P17870" s="46">
        <v>32400.0</v>
      </c>
    </row>
    <row r="17871">
      <c r="E17871" s="46" t="s">
        <v>14114</v>
      </c>
      <c r="F17871" s="46" t="s">
        <v>7115</v>
      </c>
      <c r="G17871" s="46">
        <v>3.61725261076E11</v>
      </c>
      <c r="H17871" s="46" t="s">
        <v>7116</v>
      </c>
      <c r="I17871" s="46" t="s">
        <v>7117</v>
      </c>
      <c r="J17871" s="46" t="s">
        <v>178</v>
      </c>
      <c r="K17871" s="46" t="s">
        <v>153</v>
      </c>
      <c r="L17871" s="45">
        <v>46016.541666666664</v>
      </c>
      <c r="M17871" s="46" t="s">
        <v>123</v>
      </c>
      <c r="N17871" s="45">
        <v>46016.916666666664</v>
      </c>
      <c r="O17871" s="46" t="s">
        <v>123</v>
      </c>
      <c r="P17871" s="46">
        <v>32400.0</v>
      </c>
      <c r="Q17871" s="46">
        <v>32400.0</v>
      </c>
      <c r="R17871" s="46" t="s">
        <v>13530</v>
      </c>
      <c r="S17871" s="46" t="s">
        <v>13530</v>
      </c>
    </row>
    <row r="17872">
      <c r="E17872" s="46" t="s">
        <v>14115</v>
      </c>
      <c r="F17872" s="46" t="s">
        <v>7115</v>
      </c>
      <c r="G17872" s="46">
        <v>3.61725261076E11</v>
      </c>
      <c r="H17872" s="46" t="s">
        <v>7116</v>
      </c>
      <c r="I17872" s="46" t="s">
        <v>7117</v>
      </c>
      <c r="J17872" s="46" t="s">
        <v>132</v>
      </c>
      <c r="K17872" s="46" t="s">
        <v>126</v>
      </c>
      <c r="L17872" s="45">
        <v>46016.635416666664</v>
      </c>
      <c r="M17872" s="46" t="s">
        <v>123</v>
      </c>
      <c r="N17872" s="45">
        <v>46016.677083333336</v>
      </c>
      <c r="O17872" s="46" t="s">
        <v>123</v>
      </c>
      <c r="P17872" s="46">
        <v>3600.0</v>
      </c>
    </row>
    <row r="17873">
      <c r="E17873" s="46" t="s">
        <v>14116</v>
      </c>
      <c r="F17873" s="46" t="s">
        <v>7115</v>
      </c>
      <c r="G17873" s="46">
        <v>3.61725261076E11</v>
      </c>
      <c r="H17873" s="46" t="s">
        <v>7116</v>
      </c>
      <c r="I17873" s="46" t="s">
        <v>7117</v>
      </c>
      <c r="J17873" s="46" t="s">
        <v>134</v>
      </c>
      <c r="K17873" s="46" t="s">
        <v>126</v>
      </c>
      <c r="L17873" s="45">
        <v>46016.791666666664</v>
      </c>
      <c r="M17873" s="46" t="s">
        <v>123</v>
      </c>
      <c r="N17873" s="45">
        <v>46016.8125</v>
      </c>
      <c r="O17873" s="46" t="s">
        <v>123</v>
      </c>
      <c r="P17873" s="46">
        <v>1800.0</v>
      </c>
    </row>
    <row r="17874">
      <c r="E17874" s="46" t="s">
        <v>14117</v>
      </c>
      <c r="F17874" s="46" t="s">
        <v>7115</v>
      </c>
      <c r="G17874" s="46">
        <v>3.61725261076E11</v>
      </c>
      <c r="H17874" s="46" t="s">
        <v>7116</v>
      </c>
      <c r="I17874" s="46" t="s">
        <v>7117</v>
      </c>
      <c r="J17874" s="46" t="s">
        <v>4</v>
      </c>
      <c r="K17874" s="46" t="s">
        <v>126</v>
      </c>
      <c r="L17874" s="45">
        <v>46017.541666666664</v>
      </c>
      <c r="M17874" s="46" t="s">
        <v>123</v>
      </c>
      <c r="N17874" s="45">
        <v>46017.5625</v>
      </c>
      <c r="O17874" s="46" t="s">
        <v>123</v>
      </c>
      <c r="P17874" s="46">
        <v>1800.0</v>
      </c>
    </row>
    <row r="17875">
      <c r="E17875" s="46" t="s">
        <v>14118</v>
      </c>
      <c r="F17875" s="46" t="s">
        <v>7115</v>
      </c>
      <c r="G17875" s="46">
        <v>3.61725261076E11</v>
      </c>
      <c r="H17875" s="46" t="s">
        <v>7116</v>
      </c>
      <c r="I17875" s="46" t="s">
        <v>7117</v>
      </c>
      <c r="J17875" s="46" t="s">
        <v>178</v>
      </c>
      <c r="K17875" s="46" t="s">
        <v>153</v>
      </c>
      <c r="L17875" s="45">
        <v>46017.541666666664</v>
      </c>
      <c r="M17875" s="46" t="s">
        <v>123</v>
      </c>
      <c r="N17875" s="45">
        <v>46017.916666666664</v>
      </c>
      <c r="O17875" s="46" t="s">
        <v>123</v>
      </c>
      <c r="P17875" s="46">
        <v>32400.0</v>
      </c>
      <c r="Q17875" s="46">
        <v>57600.0</v>
      </c>
    </row>
    <row r="17876">
      <c r="E17876" s="46" t="s">
        <v>14119</v>
      </c>
      <c r="F17876" s="46" t="s">
        <v>7115</v>
      </c>
      <c r="G17876" s="46">
        <v>3.61725261076E11</v>
      </c>
      <c r="H17876" s="46" t="s">
        <v>7116</v>
      </c>
      <c r="I17876" s="46" t="s">
        <v>7117</v>
      </c>
      <c r="J17876" s="46" t="s">
        <v>530</v>
      </c>
      <c r="K17876" s="46" t="s">
        <v>63</v>
      </c>
      <c r="L17876" s="45">
        <v>46017.541666666664</v>
      </c>
      <c r="M17876" s="46" t="s">
        <v>123</v>
      </c>
      <c r="N17876" s="45">
        <v>46017.916666666664</v>
      </c>
      <c r="O17876" s="46" t="s">
        <v>123</v>
      </c>
      <c r="P17876" s="46">
        <v>32400.0</v>
      </c>
    </row>
    <row r="17877">
      <c r="E17877" s="46" t="s">
        <v>14120</v>
      </c>
      <c r="F17877" s="46" t="s">
        <v>7115</v>
      </c>
      <c r="G17877" s="46">
        <v>3.61725261076E11</v>
      </c>
      <c r="H17877" s="46" t="s">
        <v>7116</v>
      </c>
      <c r="I17877" s="46" t="s">
        <v>7117</v>
      </c>
      <c r="J17877" s="46" t="s">
        <v>132</v>
      </c>
      <c r="K17877" s="46" t="s">
        <v>126</v>
      </c>
      <c r="L17877" s="45">
        <v>46017.666666666664</v>
      </c>
      <c r="M17877" s="46" t="s">
        <v>123</v>
      </c>
      <c r="N17877" s="45">
        <v>46017.708333333336</v>
      </c>
      <c r="O17877" s="46" t="s">
        <v>123</v>
      </c>
      <c r="P17877" s="46">
        <v>3600.0</v>
      </c>
    </row>
    <row r="17878">
      <c r="E17878" s="46" t="s">
        <v>14121</v>
      </c>
      <c r="F17878" s="46" t="s">
        <v>7115</v>
      </c>
      <c r="G17878" s="46">
        <v>3.61725261076E11</v>
      </c>
      <c r="H17878" s="46" t="s">
        <v>7116</v>
      </c>
      <c r="I17878" s="46" t="s">
        <v>7117</v>
      </c>
      <c r="J17878" s="46" t="s">
        <v>134</v>
      </c>
      <c r="K17878" s="46" t="s">
        <v>126</v>
      </c>
      <c r="L17878" s="45">
        <v>46017.833333333336</v>
      </c>
      <c r="M17878" s="46" t="s">
        <v>123</v>
      </c>
      <c r="N17878" s="45">
        <v>46017.854166666664</v>
      </c>
      <c r="O17878" s="46" t="s">
        <v>123</v>
      </c>
      <c r="P17878" s="46">
        <v>1800.0</v>
      </c>
    </row>
    <row r="17879">
      <c r="E17879" s="46" t="s">
        <v>14122</v>
      </c>
      <c r="F17879" s="46" t="s">
        <v>7115</v>
      </c>
      <c r="G17879" s="46">
        <v>3.61725261076E11</v>
      </c>
      <c r="H17879" s="46" t="s">
        <v>7116</v>
      </c>
      <c r="I17879" s="46" t="s">
        <v>7117</v>
      </c>
      <c r="J17879" s="46" t="s">
        <v>4</v>
      </c>
      <c r="K17879" s="46" t="s">
        <v>126</v>
      </c>
      <c r="L17879" s="45">
        <v>46018.541666666664</v>
      </c>
      <c r="M17879" s="46" t="s">
        <v>123</v>
      </c>
      <c r="N17879" s="45">
        <v>46018.5625</v>
      </c>
      <c r="O17879" s="46" t="s">
        <v>123</v>
      </c>
      <c r="P17879" s="46">
        <v>1800.0</v>
      </c>
    </row>
    <row r="17880">
      <c r="E17880" s="46" t="s">
        <v>14123</v>
      </c>
      <c r="F17880" s="46" t="s">
        <v>7115</v>
      </c>
      <c r="G17880" s="46">
        <v>3.61725261076E11</v>
      </c>
      <c r="H17880" s="46" t="s">
        <v>7116</v>
      </c>
      <c r="I17880" s="46" t="s">
        <v>7117</v>
      </c>
      <c r="J17880" s="46" t="s">
        <v>530</v>
      </c>
      <c r="K17880" s="46" t="s">
        <v>63</v>
      </c>
      <c r="L17880" s="45">
        <v>46018.541666666664</v>
      </c>
      <c r="M17880" s="46" t="s">
        <v>123</v>
      </c>
      <c r="N17880" s="45">
        <v>46018.5625</v>
      </c>
      <c r="O17880" s="46" t="s">
        <v>123</v>
      </c>
      <c r="P17880" s="46">
        <v>1800.0</v>
      </c>
    </row>
    <row r="17881">
      <c r="E17881" s="46" t="s">
        <v>14124</v>
      </c>
      <c r="F17881" s="46" t="s">
        <v>7115</v>
      </c>
      <c r="G17881" s="46">
        <v>3.61725261076E11</v>
      </c>
      <c r="H17881" s="46" t="s">
        <v>7116</v>
      </c>
      <c r="I17881" s="46" t="s">
        <v>7117</v>
      </c>
      <c r="J17881" s="46" t="s">
        <v>178</v>
      </c>
      <c r="K17881" s="46" t="s">
        <v>153</v>
      </c>
      <c r="L17881" s="45">
        <v>46018.541666666664</v>
      </c>
      <c r="M17881" s="46" t="s">
        <v>123</v>
      </c>
      <c r="N17881" s="45">
        <v>46018.916666666664</v>
      </c>
      <c r="O17881" s="46" t="s">
        <v>123</v>
      </c>
      <c r="P17881" s="46">
        <v>32400.0</v>
      </c>
      <c r="Q17881" s="46">
        <v>32400.0</v>
      </c>
    </row>
    <row r="17882">
      <c r="E17882" s="46" t="s">
        <v>14125</v>
      </c>
      <c r="F17882" s="46" t="s">
        <v>7115</v>
      </c>
      <c r="G17882" s="46">
        <v>3.61725261076E11</v>
      </c>
      <c r="H17882" s="46" t="s">
        <v>7116</v>
      </c>
      <c r="I17882" s="46" t="s">
        <v>7117</v>
      </c>
      <c r="J17882" s="46" t="s">
        <v>62</v>
      </c>
      <c r="K17882" s="46" t="s">
        <v>63</v>
      </c>
      <c r="L17882" s="45">
        <v>46018.5625</v>
      </c>
      <c r="M17882" s="46" t="s">
        <v>123</v>
      </c>
      <c r="N17882" s="45">
        <v>46018.583333333336</v>
      </c>
      <c r="O17882" s="46" t="s">
        <v>123</v>
      </c>
      <c r="P17882" s="46">
        <v>1800.0</v>
      </c>
    </row>
    <row r="17883">
      <c r="E17883" s="46" t="s">
        <v>14126</v>
      </c>
      <c r="F17883" s="46" t="s">
        <v>7115</v>
      </c>
      <c r="G17883" s="46">
        <v>3.61725261076E11</v>
      </c>
      <c r="H17883" s="46" t="s">
        <v>7116</v>
      </c>
      <c r="I17883" s="46" t="s">
        <v>7117</v>
      </c>
      <c r="J17883" s="46" t="s">
        <v>530</v>
      </c>
      <c r="K17883" s="46" t="s">
        <v>63</v>
      </c>
      <c r="L17883" s="45">
        <v>46018.583333333336</v>
      </c>
      <c r="M17883" s="46" t="s">
        <v>123</v>
      </c>
      <c r="N17883" s="45">
        <v>46018.916666666664</v>
      </c>
      <c r="O17883" s="46" t="s">
        <v>123</v>
      </c>
      <c r="P17883" s="46">
        <v>28800.0</v>
      </c>
    </row>
    <row r="17884">
      <c r="E17884" s="46" t="s">
        <v>14127</v>
      </c>
      <c r="F17884" s="46" t="s">
        <v>7115</v>
      </c>
      <c r="G17884" s="46">
        <v>3.61725261076E11</v>
      </c>
      <c r="H17884" s="46" t="s">
        <v>7116</v>
      </c>
      <c r="I17884" s="46" t="s">
        <v>7117</v>
      </c>
      <c r="J17884" s="46" t="s">
        <v>134</v>
      </c>
      <c r="K17884" s="46" t="s">
        <v>126</v>
      </c>
      <c r="L17884" s="45">
        <v>46018.697916666664</v>
      </c>
      <c r="M17884" s="46" t="s">
        <v>123</v>
      </c>
      <c r="N17884" s="45">
        <v>46018.71875</v>
      </c>
      <c r="O17884" s="46" t="s">
        <v>123</v>
      </c>
      <c r="P17884" s="46">
        <v>1800.0</v>
      </c>
    </row>
    <row r="17885">
      <c r="E17885" s="46" t="s">
        <v>14128</v>
      </c>
      <c r="F17885" s="46" t="s">
        <v>7115</v>
      </c>
      <c r="G17885" s="46">
        <v>3.61725261076E11</v>
      </c>
      <c r="H17885" s="46" t="s">
        <v>7116</v>
      </c>
      <c r="I17885" s="46" t="s">
        <v>7117</v>
      </c>
      <c r="J17885" s="46" t="s">
        <v>132</v>
      </c>
      <c r="K17885" s="46" t="s">
        <v>126</v>
      </c>
      <c r="L17885" s="45">
        <v>46018.822916666664</v>
      </c>
      <c r="M17885" s="46" t="s">
        <v>123</v>
      </c>
      <c r="N17885" s="45">
        <v>46018.864583333336</v>
      </c>
      <c r="O17885" s="46" t="s">
        <v>123</v>
      </c>
      <c r="P17885" s="46">
        <v>3600.0</v>
      </c>
    </row>
    <row r="17886">
      <c r="E17886" s="46" t="s">
        <v>14129</v>
      </c>
      <c r="F17886" s="46" t="s">
        <v>7155</v>
      </c>
      <c r="G17886" s="46">
        <v>3.61725488916E11</v>
      </c>
      <c r="H17886" s="46" t="s">
        <v>7156</v>
      </c>
      <c r="I17886" s="46" t="s">
        <v>7157</v>
      </c>
      <c r="J17886" s="46" t="s">
        <v>4</v>
      </c>
      <c r="K17886" s="46" t="s">
        <v>126</v>
      </c>
      <c r="L17886" s="45">
        <v>46014.541666666664</v>
      </c>
      <c r="M17886" s="46" t="s">
        <v>123</v>
      </c>
      <c r="N17886" s="45">
        <v>46014.5625</v>
      </c>
      <c r="O17886" s="46" t="s">
        <v>123</v>
      </c>
      <c r="P17886" s="46">
        <v>1800.0</v>
      </c>
    </row>
    <row r="17887">
      <c r="E17887" s="46" t="s">
        <v>14130</v>
      </c>
      <c r="F17887" s="46" t="s">
        <v>7155</v>
      </c>
      <c r="G17887" s="46">
        <v>3.61725488916E11</v>
      </c>
      <c r="H17887" s="46" t="s">
        <v>7156</v>
      </c>
      <c r="I17887" s="46" t="s">
        <v>7157</v>
      </c>
      <c r="J17887" s="46" t="s">
        <v>530</v>
      </c>
      <c r="K17887" s="46" t="s">
        <v>63</v>
      </c>
      <c r="L17887" s="45">
        <v>46014.541666666664</v>
      </c>
      <c r="M17887" s="46" t="s">
        <v>123</v>
      </c>
      <c r="N17887" s="45">
        <v>46014.916666666664</v>
      </c>
      <c r="O17887" s="46" t="s">
        <v>123</v>
      </c>
      <c r="P17887" s="46">
        <v>32400.0</v>
      </c>
    </row>
    <row r="17888">
      <c r="E17888" s="46" t="s">
        <v>14131</v>
      </c>
      <c r="F17888" s="46" t="s">
        <v>7155</v>
      </c>
      <c r="G17888" s="46">
        <v>3.61725488916E11</v>
      </c>
      <c r="H17888" s="46" t="s">
        <v>7156</v>
      </c>
      <c r="I17888" s="46" t="s">
        <v>7157</v>
      </c>
      <c r="J17888" s="46" t="s">
        <v>134</v>
      </c>
      <c r="K17888" s="46" t="s">
        <v>126</v>
      </c>
      <c r="L17888" s="45">
        <v>46014.677083333336</v>
      </c>
      <c r="M17888" s="46" t="s">
        <v>123</v>
      </c>
      <c r="N17888" s="45">
        <v>46014.697916666664</v>
      </c>
      <c r="O17888" s="46" t="s">
        <v>123</v>
      </c>
      <c r="P17888" s="46">
        <v>1800.0</v>
      </c>
    </row>
    <row r="17889">
      <c r="E17889" s="46" t="s">
        <v>14132</v>
      </c>
      <c r="F17889" s="46" t="s">
        <v>7155</v>
      </c>
      <c r="G17889" s="46">
        <v>3.61725488916E11</v>
      </c>
      <c r="H17889" s="46" t="s">
        <v>7156</v>
      </c>
      <c r="I17889" s="46" t="s">
        <v>7157</v>
      </c>
      <c r="J17889" s="46" t="s">
        <v>132</v>
      </c>
      <c r="K17889" s="46" t="s">
        <v>126</v>
      </c>
      <c r="L17889" s="45">
        <v>46014.8125</v>
      </c>
      <c r="M17889" s="46" t="s">
        <v>123</v>
      </c>
      <c r="N17889" s="45">
        <v>46014.854166666664</v>
      </c>
      <c r="O17889" s="46" t="s">
        <v>123</v>
      </c>
      <c r="P17889" s="46">
        <v>3600.0</v>
      </c>
    </row>
    <row r="17890">
      <c r="E17890" s="46" t="s">
        <v>14133</v>
      </c>
      <c r="F17890" s="46" t="s">
        <v>7155</v>
      </c>
      <c r="G17890" s="46">
        <v>3.61725488916E11</v>
      </c>
      <c r="H17890" s="46" t="s">
        <v>7156</v>
      </c>
      <c r="I17890" s="46" t="s">
        <v>7157</v>
      </c>
      <c r="J17890" s="46" t="s">
        <v>4</v>
      </c>
      <c r="K17890" s="46" t="s">
        <v>126</v>
      </c>
      <c r="L17890" s="45">
        <v>46015.541666666664</v>
      </c>
      <c r="M17890" s="46" t="s">
        <v>123</v>
      </c>
      <c r="N17890" s="45">
        <v>46015.5625</v>
      </c>
      <c r="O17890" s="46" t="s">
        <v>123</v>
      </c>
      <c r="P17890" s="46">
        <v>1800.0</v>
      </c>
    </row>
    <row r="17891">
      <c r="E17891" s="46" t="s">
        <v>14134</v>
      </c>
      <c r="F17891" s="46" t="s">
        <v>7155</v>
      </c>
      <c r="G17891" s="46">
        <v>3.61725488916E11</v>
      </c>
      <c r="H17891" s="46" t="s">
        <v>7156</v>
      </c>
      <c r="I17891" s="46" t="s">
        <v>7157</v>
      </c>
      <c r="J17891" s="46" t="s">
        <v>178</v>
      </c>
      <c r="K17891" s="46" t="s">
        <v>153</v>
      </c>
      <c r="L17891" s="45">
        <v>46015.541666666664</v>
      </c>
      <c r="M17891" s="46" t="s">
        <v>123</v>
      </c>
      <c r="N17891" s="45">
        <v>46015.916666666664</v>
      </c>
      <c r="O17891" s="46" t="s">
        <v>123</v>
      </c>
      <c r="P17891" s="46">
        <v>32400.0</v>
      </c>
      <c r="Q17891" s="46">
        <v>32400.0</v>
      </c>
      <c r="R17891" s="46" t="s">
        <v>13530</v>
      </c>
      <c r="S17891" s="46" t="s">
        <v>13530</v>
      </c>
    </row>
    <row r="17892">
      <c r="E17892" s="46" t="s">
        <v>14135</v>
      </c>
      <c r="F17892" s="46" t="s">
        <v>7155</v>
      </c>
      <c r="G17892" s="46">
        <v>3.61725488916E11</v>
      </c>
      <c r="H17892" s="46" t="s">
        <v>7156</v>
      </c>
      <c r="I17892" s="46" t="s">
        <v>7157</v>
      </c>
      <c r="J17892" s="46" t="s">
        <v>530</v>
      </c>
      <c r="K17892" s="46" t="s">
        <v>63</v>
      </c>
      <c r="L17892" s="45">
        <v>46015.541666666664</v>
      </c>
      <c r="M17892" s="46" t="s">
        <v>123</v>
      </c>
      <c r="N17892" s="45">
        <v>46015.916666666664</v>
      </c>
      <c r="O17892" s="46" t="s">
        <v>123</v>
      </c>
      <c r="P17892" s="46">
        <v>32400.0</v>
      </c>
    </row>
    <row r="17893">
      <c r="E17893" s="46" t="s">
        <v>14136</v>
      </c>
      <c r="F17893" s="46" t="s">
        <v>7155</v>
      </c>
      <c r="G17893" s="46">
        <v>3.61725488916E11</v>
      </c>
      <c r="H17893" s="46" t="s">
        <v>7156</v>
      </c>
      <c r="I17893" s="46" t="s">
        <v>7157</v>
      </c>
      <c r="J17893" s="46" t="s">
        <v>134</v>
      </c>
      <c r="K17893" s="46" t="s">
        <v>126</v>
      </c>
      <c r="L17893" s="45">
        <v>46015.677083333336</v>
      </c>
      <c r="M17893" s="46" t="s">
        <v>123</v>
      </c>
      <c r="N17893" s="45">
        <v>46015.697916666664</v>
      </c>
      <c r="O17893" s="46" t="s">
        <v>123</v>
      </c>
      <c r="P17893" s="46">
        <v>1800.0</v>
      </c>
    </row>
    <row r="17894">
      <c r="E17894" s="46" t="s">
        <v>14137</v>
      </c>
      <c r="F17894" s="46" t="s">
        <v>7155</v>
      </c>
      <c r="G17894" s="46">
        <v>3.61725488916E11</v>
      </c>
      <c r="H17894" s="46" t="s">
        <v>7156</v>
      </c>
      <c r="I17894" s="46" t="s">
        <v>7157</v>
      </c>
      <c r="J17894" s="46" t="s">
        <v>132</v>
      </c>
      <c r="K17894" s="46" t="s">
        <v>126</v>
      </c>
      <c r="L17894" s="45">
        <v>46015.8125</v>
      </c>
      <c r="M17894" s="46" t="s">
        <v>123</v>
      </c>
      <c r="N17894" s="45">
        <v>46015.854166666664</v>
      </c>
      <c r="O17894" s="46" t="s">
        <v>123</v>
      </c>
      <c r="P17894" s="46">
        <v>3600.0</v>
      </c>
    </row>
    <row r="17895">
      <c r="E17895" s="46" t="s">
        <v>14138</v>
      </c>
      <c r="F17895" s="46" t="s">
        <v>7155</v>
      </c>
      <c r="G17895" s="46">
        <v>3.61725488916E11</v>
      </c>
      <c r="H17895" s="46" t="s">
        <v>7156</v>
      </c>
      <c r="I17895" s="46" t="s">
        <v>7157</v>
      </c>
      <c r="J17895" s="46" t="s">
        <v>4</v>
      </c>
      <c r="K17895" s="46" t="s">
        <v>126</v>
      </c>
      <c r="L17895" s="45">
        <v>46016.541666666664</v>
      </c>
      <c r="M17895" s="46" t="s">
        <v>123</v>
      </c>
      <c r="N17895" s="45">
        <v>46016.5625</v>
      </c>
      <c r="O17895" s="46" t="s">
        <v>123</v>
      </c>
      <c r="P17895" s="46">
        <v>1800.0</v>
      </c>
    </row>
    <row r="17896">
      <c r="E17896" s="46" t="s">
        <v>14139</v>
      </c>
      <c r="F17896" s="46" t="s">
        <v>7155</v>
      </c>
      <c r="G17896" s="46">
        <v>3.61725488916E11</v>
      </c>
      <c r="H17896" s="46" t="s">
        <v>7156</v>
      </c>
      <c r="I17896" s="46" t="s">
        <v>7157</v>
      </c>
      <c r="J17896" s="46" t="s">
        <v>530</v>
      </c>
      <c r="K17896" s="46" t="s">
        <v>63</v>
      </c>
      <c r="L17896" s="45">
        <v>46016.541666666664</v>
      </c>
      <c r="M17896" s="46" t="s">
        <v>123</v>
      </c>
      <c r="N17896" s="45">
        <v>46016.5625</v>
      </c>
      <c r="O17896" s="46" t="s">
        <v>123</v>
      </c>
      <c r="P17896" s="46">
        <v>1800.0</v>
      </c>
    </row>
    <row r="17897">
      <c r="E17897" s="46" t="s">
        <v>14140</v>
      </c>
      <c r="F17897" s="46" t="s">
        <v>7155</v>
      </c>
      <c r="G17897" s="46">
        <v>3.61725488916E11</v>
      </c>
      <c r="H17897" s="46" t="s">
        <v>7156</v>
      </c>
      <c r="I17897" s="46" t="s">
        <v>7157</v>
      </c>
      <c r="J17897" s="46" t="s">
        <v>62</v>
      </c>
      <c r="K17897" s="46" t="s">
        <v>63</v>
      </c>
      <c r="L17897" s="45">
        <v>46016.5625</v>
      </c>
      <c r="M17897" s="46" t="s">
        <v>123</v>
      </c>
      <c r="N17897" s="45">
        <v>46016.583333333336</v>
      </c>
      <c r="O17897" s="46" t="s">
        <v>123</v>
      </c>
      <c r="P17897" s="46">
        <v>1800.0</v>
      </c>
    </row>
    <row r="17898">
      <c r="E17898" s="46" t="s">
        <v>14141</v>
      </c>
      <c r="F17898" s="46" t="s">
        <v>7155</v>
      </c>
      <c r="G17898" s="46">
        <v>3.61725488916E11</v>
      </c>
      <c r="H17898" s="46" t="s">
        <v>7156</v>
      </c>
      <c r="I17898" s="46" t="s">
        <v>7157</v>
      </c>
      <c r="J17898" s="46" t="s">
        <v>530</v>
      </c>
      <c r="K17898" s="46" t="s">
        <v>63</v>
      </c>
      <c r="L17898" s="45">
        <v>46016.583333333336</v>
      </c>
      <c r="M17898" s="46" t="s">
        <v>123</v>
      </c>
      <c r="N17898" s="45">
        <v>46016.916666666664</v>
      </c>
      <c r="O17898" s="46" t="s">
        <v>123</v>
      </c>
      <c r="P17898" s="46">
        <v>28800.0</v>
      </c>
    </row>
    <row r="17899">
      <c r="E17899" s="46" t="s">
        <v>14142</v>
      </c>
      <c r="F17899" s="46" t="s">
        <v>7155</v>
      </c>
      <c r="G17899" s="46">
        <v>3.61725488916E11</v>
      </c>
      <c r="H17899" s="46" t="s">
        <v>7156</v>
      </c>
      <c r="I17899" s="46" t="s">
        <v>7157</v>
      </c>
      <c r="J17899" s="46" t="s">
        <v>134</v>
      </c>
      <c r="K17899" s="46" t="s">
        <v>126</v>
      </c>
      <c r="L17899" s="45">
        <v>46016.677083333336</v>
      </c>
      <c r="M17899" s="46" t="s">
        <v>123</v>
      </c>
      <c r="N17899" s="45">
        <v>46016.697916666664</v>
      </c>
      <c r="O17899" s="46" t="s">
        <v>123</v>
      </c>
      <c r="P17899" s="46">
        <v>1800.0</v>
      </c>
    </row>
    <row r="17900">
      <c r="E17900" s="46" t="s">
        <v>14143</v>
      </c>
      <c r="F17900" s="46" t="s">
        <v>7155</v>
      </c>
      <c r="G17900" s="46">
        <v>3.61725488916E11</v>
      </c>
      <c r="H17900" s="46" t="s">
        <v>7156</v>
      </c>
      <c r="I17900" s="46" t="s">
        <v>7157</v>
      </c>
      <c r="J17900" s="46" t="s">
        <v>132</v>
      </c>
      <c r="K17900" s="46" t="s">
        <v>126</v>
      </c>
      <c r="L17900" s="45">
        <v>46016.8125</v>
      </c>
      <c r="M17900" s="46" t="s">
        <v>123</v>
      </c>
      <c r="N17900" s="45">
        <v>46016.854166666664</v>
      </c>
      <c r="O17900" s="46" t="s">
        <v>123</v>
      </c>
      <c r="P17900" s="46">
        <v>3600.0</v>
      </c>
    </row>
    <row r="17901">
      <c r="E17901" s="46" t="s">
        <v>14144</v>
      </c>
      <c r="F17901" s="46" t="s">
        <v>7155</v>
      </c>
      <c r="G17901" s="46">
        <v>3.61725488916E11</v>
      </c>
      <c r="H17901" s="46" t="s">
        <v>7156</v>
      </c>
      <c r="I17901" s="46" t="s">
        <v>7157</v>
      </c>
      <c r="J17901" s="46" t="s">
        <v>4</v>
      </c>
      <c r="K17901" s="46" t="s">
        <v>126</v>
      </c>
      <c r="L17901" s="45">
        <v>46017.541666666664</v>
      </c>
      <c r="M17901" s="46" t="s">
        <v>123</v>
      </c>
      <c r="N17901" s="45">
        <v>46017.5625</v>
      </c>
      <c r="O17901" s="46" t="s">
        <v>123</v>
      </c>
      <c r="P17901" s="46">
        <v>1800.0</v>
      </c>
    </row>
    <row r="17902">
      <c r="E17902" s="46" t="s">
        <v>14145</v>
      </c>
      <c r="F17902" s="46" t="s">
        <v>7155</v>
      </c>
      <c r="G17902" s="46">
        <v>3.61725488916E11</v>
      </c>
      <c r="H17902" s="46" t="s">
        <v>7156</v>
      </c>
      <c r="I17902" s="46" t="s">
        <v>7157</v>
      </c>
      <c r="J17902" s="46" t="s">
        <v>530</v>
      </c>
      <c r="K17902" s="46" t="s">
        <v>63</v>
      </c>
      <c r="L17902" s="45">
        <v>46017.541666666664</v>
      </c>
      <c r="M17902" s="46" t="s">
        <v>123</v>
      </c>
      <c r="N17902" s="45">
        <v>46017.916666666664</v>
      </c>
      <c r="O17902" s="46" t="s">
        <v>123</v>
      </c>
      <c r="P17902" s="46">
        <v>32400.0</v>
      </c>
    </row>
    <row r="17903">
      <c r="E17903" s="46" t="s">
        <v>14146</v>
      </c>
      <c r="F17903" s="46" t="s">
        <v>7155</v>
      </c>
      <c r="G17903" s="46">
        <v>3.61725488916E11</v>
      </c>
      <c r="H17903" s="46" t="s">
        <v>7156</v>
      </c>
      <c r="I17903" s="46" t="s">
        <v>7157</v>
      </c>
      <c r="J17903" s="46" t="s">
        <v>134</v>
      </c>
      <c r="K17903" s="46" t="s">
        <v>126</v>
      </c>
      <c r="L17903" s="45">
        <v>46017.677083333336</v>
      </c>
      <c r="M17903" s="46" t="s">
        <v>123</v>
      </c>
      <c r="N17903" s="45">
        <v>46017.697916666664</v>
      </c>
      <c r="O17903" s="46" t="s">
        <v>123</v>
      </c>
      <c r="P17903" s="46">
        <v>1800.0</v>
      </c>
    </row>
    <row r="17904">
      <c r="E17904" s="46" t="s">
        <v>14147</v>
      </c>
      <c r="F17904" s="46" t="s">
        <v>7155</v>
      </c>
      <c r="G17904" s="46">
        <v>3.61725488916E11</v>
      </c>
      <c r="H17904" s="46" t="s">
        <v>7156</v>
      </c>
      <c r="I17904" s="46" t="s">
        <v>7157</v>
      </c>
      <c r="J17904" s="46" t="s">
        <v>132</v>
      </c>
      <c r="K17904" s="46" t="s">
        <v>126</v>
      </c>
      <c r="L17904" s="45">
        <v>46017.8125</v>
      </c>
      <c r="M17904" s="46" t="s">
        <v>123</v>
      </c>
      <c r="N17904" s="45">
        <v>46017.854166666664</v>
      </c>
      <c r="O17904" s="46" t="s">
        <v>123</v>
      </c>
      <c r="P17904" s="46">
        <v>3600.0</v>
      </c>
    </row>
    <row r="17905">
      <c r="E17905" s="46" t="s">
        <v>14148</v>
      </c>
      <c r="F17905" s="46" t="s">
        <v>7155</v>
      </c>
      <c r="G17905" s="46">
        <v>3.61725488916E11</v>
      </c>
      <c r="H17905" s="46" t="s">
        <v>7156</v>
      </c>
      <c r="I17905" s="46" t="s">
        <v>7157</v>
      </c>
      <c r="J17905" s="46" t="s">
        <v>4</v>
      </c>
      <c r="K17905" s="46" t="s">
        <v>126</v>
      </c>
      <c r="L17905" s="45">
        <v>46018.541666666664</v>
      </c>
      <c r="M17905" s="46" t="s">
        <v>123</v>
      </c>
      <c r="N17905" s="45">
        <v>46018.5625</v>
      </c>
      <c r="O17905" s="46" t="s">
        <v>123</v>
      </c>
      <c r="P17905" s="46">
        <v>1800.0</v>
      </c>
    </row>
    <row r="17906">
      <c r="E17906" s="46" t="s">
        <v>14149</v>
      </c>
      <c r="F17906" s="46" t="s">
        <v>7155</v>
      </c>
      <c r="G17906" s="46">
        <v>3.61725488916E11</v>
      </c>
      <c r="H17906" s="46" t="s">
        <v>7156</v>
      </c>
      <c r="I17906" s="46" t="s">
        <v>7157</v>
      </c>
      <c r="J17906" s="46" t="s">
        <v>530</v>
      </c>
      <c r="K17906" s="46" t="s">
        <v>63</v>
      </c>
      <c r="L17906" s="45">
        <v>46018.541666666664</v>
      </c>
      <c r="M17906" s="46" t="s">
        <v>123</v>
      </c>
      <c r="N17906" s="45">
        <v>46018.916666666664</v>
      </c>
      <c r="O17906" s="46" t="s">
        <v>123</v>
      </c>
      <c r="P17906" s="46">
        <v>32400.0</v>
      </c>
    </row>
    <row r="17907">
      <c r="E17907" s="46" t="s">
        <v>14150</v>
      </c>
      <c r="F17907" s="46" t="s">
        <v>7155</v>
      </c>
      <c r="G17907" s="46">
        <v>3.61725488916E11</v>
      </c>
      <c r="H17907" s="46" t="s">
        <v>7156</v>
      </c>
      <c r="I17907" s="46" t="s">
        <v>7157</v>
      </c>
      <c r="J17907" s="46" t="s">
        <v>134</v>
      </c>
      <c r="K17907" s="46" t="s">
        <v>126</v>
      </c>
      <c r="L17907" s="45">
        <v>46018.677083333336</v>
      </c>
      <c r="M17907" s="46" t="s">
        <v>123</v>
      </c>
      <c r="N17907" s="45">
        <v>46018.697916666664</v>
      </c>
      <c r="O17907" s="46" t="s">
        <v>123</v>
      </c>
      <c r="P17907" s="46">
        <v>1800.0</v>
      </c>
    </row>
    <row r="17908">
      <c r="E17908" s="46" t="s">
        <v>14151</v>
      </c>
      <c r="F17908" s="46" t="s">
        <v>7155</v>
      </c>
      <c r="G17908" s="46">
        <v>3.61725488916E11</v>
      </c>
      <c r="H17908" s="46" t="s">
        <v>7156</v>
      </c>
      <c r="I17908" s="46" t="s">
        <v>7157</v>
      </c>
      <c r="J17908" s="46" t="s">
        <v>132</v>
      </c>
      <c r="K17908" s="46" t="s">
        <v>126</v>
      </c>
      <c r="L17908" s="45">
        <v>46018.8125</v>
      </c>
      <c r="M17908" s="46" t="s">
        <v>123</v>
      </c>
      <c r="N17908" s="45">
        <v>46018.854166666664</v>
      </c>
      <c r="O17908" s="46" t="s">
        <v>123</v>
      </c>
      <c r="P17908" s="46">
        <v>3600.0</v>
      </c>
    </row>
    <row r="17909">
      <c r="E17909" s="46" t="s">
        <v>14152</v>
      </c>
      <c r="F17909" s="46" t="s">
        <v>7474</v>
      </c>
      <c r="G17909" s="46">
        <v>3.61724667256E11</v>
      </c>
      <c r="H17909" s="46" t="s">
        <v>7475</v>
      </c>
      <c r="I17909" s="46" t="s">
        <v>7476</v>
      </c>
      <c r="J17909" s="46" t="s">
        <v>4</v>
      </c>
      <c r="K17909" s="46" t="s">
        <v>126</v>
      </c>
      <c r="L17909" s="45">
        <v>46014.875</v>
      </c>
      <c r="M17909" s="46" t="s">
        <v>123</v>
      </c>
      <c r="N17909" s="45">
        <v>46014.895833333336</v>
      </c>
      <c r="O17909" s="46" t="s">
        <v>123</v>
      </c>
      <c r="P17909" s="46">
        <v>1800.0</v>
      </c>
    </row>
    <row r="17910">
      <c r="E17910" s="46" t="s">
        <v>14153</v>
      </c>
      <c r="F17910" s="46" t="s">
        <v>7474</v>
      </c>
      <c r="G17910" s="46">
        <v>3.61724667256E11</v>
      </c>
      <c r="H17910" s="46" t="s">
        <v>7475</v>
      </c>
      <c r="I17910" s="46" t="s">
        <v>7476</v>
      </c>
      <c r="J17910" s="46" t="s">
        <v>530</v>
      </c>
      <c r="K17910" s="46" t="s">
        <v>63</v>
      </c>
      <c r="L17910" s="45">
        <v>46014.875</v>
      </c>
      <c r="M17910" s="46" t="s">
        <v>123</v>
      </c>
      <c r="N17910" s="45">
        <v>46015.25</v>
      </c>
      <c r="O17910" s="46" t="s">
        <v>123</v>
      </c>
      <c r="P17910" s="46">
        <v>32400.0</v>
      </c>
    </row>
    <row r="17911">
      <c r="E17911" s="46" t="s">
        <v>14154</v>
      </c>
      <c r="F17911" s="46" t="s">
        <v>7474</v>
      </c>
      <c r="G17911" s="46">
        <v>3.61724667256E11</v>
      </c>
      <c r="H17911" s="46" t="s">
        <v>7475</v>
      </c>
      <c r="I17911" s="46" t="s">
        <v>7476</v>
      </c>
      <c r="J17911" s="46" t="s">
        <v>4</v>
      </c>
      <c r="K17911" s="46" t="s">
        <v>126</v>
      </c>
      <c r="L17911" s="45">
        <v>46014.895833333336</v>
      </c>
      <c r="M17911" s="46" t="s">
        <v>123</v>
      </c>
      <c r="N17911" s="45">
        <v>46014.927083333336</v>
      </c>
      <c r="O17911" s="46" t="s">
        <v>123</v>
      </c>
      <c r="P17911" s="46">
        <v>2700.0</v>
      </c>
      <c r="S17911" s="46" t="s">
        <v>13527</v>
      </c>
    </row>
    <row r="17912">
      <c r="E17912" s="46" t="s">
        <v>14155</v>
      </c>
      <c r="F17912" s="46" t="s">
        <v>7474</v>
      </c>
      <c r="G17912" s="46">
        <v>3.61724667256E11</v>
      </c>
      <c r="H17912" s="46" t="s">
        <v>7475</v>
      </c>
      <c r="I17912" s="46" t="s">
        <v>7476</v>
      </c>
      <c r="J17912" s="46" t="s">
        <v>136</v>
      </c>
      <c r="K17912" s="46" t="s">
        <v>126</v>
      </c>
      <c r="L17912" s="45">
        <v>46014.979166666664</v>
      </c>
      <c r="M17912" s="46" t="s">
        <v>123</v>
      </c>
      <c r="N17912" s="45">
        <v>46015.020833333336</v>
      </c>
      <c r="O17912" s="46" t="s">
        <v>123</v>
      </c>
      <c r="P17912" s="46">
        <v>3600.0</v>
      </c>
      <c r="S17912" s="46" t="s">
        <v>137</v>
      </c>
    </row>
    <row r="17913">
      <c r="E17913" s="46" t="s">
        <v>14156</v>
      </c>
      <c r="F17913" s="46" t="s">
        <v>7474</v>
      </c>
      <c r="G17913" s="46">
        <v>3.61724667256E11</v>
      </c>
      <c r="H17913" s="46" t="s">
        <v>7475</v>
      </c>
      <c r="I17913" s="46" t="s">
        <v>7476</v>
      </c>
      <c r="J17913" s="46" t="s">
        <v>132</v>
      </c>
      <c r="K17913" s="46" t="s">
        <v>126</v>
      </c>
      <c r="L17913" s="45">
        <v>46015.104166666664</v>
      </c>
      <c r="M17913" s="46" t="s">
        <v>123</v>
      </c>
      <c r="N17913" s="45">
        <v>46015.145833333336</v>
      </c>
      <c r="O17913" s="46" t="s">
        <v>123</v>
      </c>
      <c r="P17913" s="46">
        <v>3600.0</v>
      </c>
    </row>
    <row r="17914">
      <c r="E17914" s="46" t="s">
        <v>14157</v>
      </c>
      <c r="F17914" s="46" t="s">
        <v>7474</v>
      </c>
      <c r="G17914" s="46">
        <v>3.61724667256E11</v>
      </c>
      <c r="H17914" s="46" t="s">
        <v>7475</v>
      </c>
      <c r="I17914" s="46" t="s">
        <v>7476</v>
      </c>
      <c r="J17914" s="46" t="s">
        <v>134</v>
      </c>
      <c r="K17914" s="46" t="s">
        <v>126</v>
      </c>
      <c r="L17914" s="45">
        <v>46015.145833333336</v>
      </c>
      <c r="M17914" s="46" t="s">
        <v>123</v>
      </c>
      <c r="N17914" s="45">
        <v>46015.166666666664</v>
      </c>
      <c r="O17914" s="46" t="s">
        <v>123</v>
      </c>
      <c r="P17914" s="46">
        <v>1800.0</v>
      </c>
    </row>
    <row r="17915">
      <c r="E17915" s="46" t="s">
        <v>14158</v>
      </c>
      <c r="F17915" s="46" t="s">
        <v>7474</v>
      </c>
      <c r="G17915" s="46">
        <v>3.61724667256E11</v>
      </c>
      <c r="H17915" s="46" t="s">
        <v>7475</v>
      </c>
      <c r="I17915" s="46" t="s">
        <v>7476</v>
      </c>
      <c r="J17915" s="46" t="s">
        <v>4</v>
      </c>
      <c r="K17915" s="46" t="s">
        <v>126</v>
      </c>
      <c r="L17915" s="45">
        <v>46015.166666666664</v>
      </c>
      <c r="M17915" s="46" t="s">
        <v>123</v>
      </c>
      <c r="N17915" s="45">
        <v>46015.180555555555</v>
      </c>
      <c r="O17915" s="46" t="s">
        <v>123</v>
      </c>
      <c r="P17915" s="46">
        <v>1200.0</v>
      </c>
      <c r="S17915" s="46" t="s">
        <v>13520</v>
      </c>
    </row>
    <row r="17916">
      <c r="E17916" s="46" t="s">
        <v>14159</v>
      </c>
      <c r="F17916" s="46" t="s">
        <v>7474</v>
      </c>
      <c r="G17916" s="46">
        <v>3.61724667256E11</v>
      </c>
      <c r="H17916" s="46" t="s">
        <v>7475</v>
      </c>
      <c r="I17916" s="46" t="s">
        <v>7476</v>
      </c>
      <c r="J17916" s="46" t="s">
        <v>4</v>
      </c>
      <c r="K17916" s="46" t="s">
        <v>126</v>
      </c>
      <c r="L17916" s="45">
        <v>46015.875</v>
      </c>
      <c r="M17916" s="46" t="s">
        <v>123</v>
      </c>
      <c r="N17916" s="45">
        <v>46015.895833333336</v>
      </c>
      <c r="O17916" s="46" t="s">
        <v>123</v>
      </c>
      <c r="P17916" s="46">
        <v>1800.0</v>
      </c>
    </row>
    <row r="17917">
      <c r="E17917" s="46" t="s">
        <v>14160</v>
      </c>
      <c r="F17917" s="46" t="s">
        <v>7474</v>
      </c>
      <c r="G17917" s="46">
        <v>3.61724667256E11</v>
      </c>
      <c r="H17917" s="46" t="s">
        <v>7475</v>
      </c>
      <c r="I17917" s="46" t="s">
        <v>7476</v>
      </c>
      <c r="J17917" s="46" t="s">
        <v>530</v>
      </c>
      <c r="K17917" s="46" t="s">
        <v>63</v>
      </c>
      <c r="L17917" s="45">
        <v>46015.875</v>
      </c>
      <c r="M17917" s="46" t="s">
        <v>123</v>
      </c>
      <c r="N17917" s="45">
        <v>46016.25</v>
      </c>
      <c r="O17917" s="46" t="s">
        <v>123</v>
      </c>
      <c r="P17917" s="46">
        <v>32400.0</v>
      </c>
    </row>
    <row r="17918">
      <c r="E17918" s="46" t="s">
        <v>14161</v>
      </c>
      <c r="F17918" s="46" t="s">
        <v>7474</v>
      </c>
      <c r="G17918" s="46">
        <v>3.61724667256E11</v>
      </c>
      <c r="H17918" s="46" t="s">
        <v>7475</v>
      </c>
      <c r="I17918" s="46" t="s">
        <v>7476</v>
      </c>
      <c r="J17918" s="46" t="s">
        <v>132</v>
      </c>
      <c r="K17918" s="46" t="s">
        <v>126</v>
      </c>
      <c r="L17918" s="45">
        <v>46015.979166666664</v>
      </c>
      <c r="M17918" s="46" t="s">
        <v>123</v>
      </c>
      <c r="N17918" s="45">
        <v>46016.020833333336</v>
      </c>
      <c r="O17918" s="46" t="s">
        <v>123</v>
      </c>
      <c r="P17918" s="46">
        <v>3600.0</v>
      </c>
    </row>
    <row r="17919">
      <c r="E17919" s="46" t="s">
        <v>14162</v>
      </c>
      <c r="F17919" s="46" t="s">
        <v>7474</v>
      </c>
      <c r="G17919" s="46">
        <v>3.61724667256E11</v>
      </c>
      <c r="H17919" s="46" t="s">
        <v>7475</v>
      </c>
      <c r="I17919" s="46" t="s">
        <v>7476</v>
      </c>
      <c r="J17919" s="46" t="s">
        <v>134</v>
      </c>
      <c r="K17919" s="46" t="s">
        <v>126</v>
      </c>
      <c r="L17919" s="45">
        <v>46016.020833333336</v>
      </c>
      <c r="M17919" s="46" t="s">
        <v>123</v>
      </c>
      <c r="N17919" s="45">
        <v>46016.041666666664</v>
      </c>
      <c r="O17919" s="46" t="s">
        <v>123</v>
      </c>
      <c r="P17919" s="46">
        <v>1800.0</v>
      </c>
    </row>
    <row r="17920">
      <c r="E17920" s="46" t="s">
        <v>14163</v>
      </c>
      <c r="F17920" s="46" t="s">
        <v>7474</v>
      </c>
      <c r="G17920" s="46">
        <v>3.61724667256E11</v>
      </c>
      <c r="H17920" s="46" t="s">
        <v>7475</v>
      </c>
      <c r="I17920" s="46" t="s">
        <v>7476</v>
      </c>
      <c r="J17920" s="46" t="s">
        <v>136</v>
      </c>
      <c r="K17920" s="46" t="s">
        <v>126</v>
      </c>
      <c r="L17920" s="45">
        <v>46016.041666666664</v>
      </c>
      <c r="M17920" s="46" t="s">
        <v>123</v>
      </c>
      <c r="N17920" s="45">
        <v>46016.083333333336</v>
      </c>
      <c r="O17920" s="46" t="s">
        <v>123</v>
      </c>
      <c r="P17920" s="46">
        <v>3600.0</v>
      </c>
    </row>
    <row r="17921">
      <c r="E17921" s="46" t="s">
        <v>14164</v>
      </c>
      <c r="F17921" s="46" t="s">
        <v>7474</v>
      </c>
      <c r="G17921" s="46">
        <v>3.61724667256E11</v>
      </c>
      <c r="H17921" s="46" t="s">
        <v>7475</v>
      </c>
      <c r="I17921" s="46" t="s">
        <v>7476</v>
      </c>
      <c r="J17921" s="46" t="s">
        <v>4</v>
      </c>
      <c r="K17921" s="46" t="s">
        <v>126</v>
      </c>
      <c r="L17921" s="45">
        <v>46016.875</v>
      </c>
      <c r="M17921" s="46" t="s">
        <v>123</v>
      </c>
      <c r="N17921" s="45">
        <v>46016.895833333336</v>
      </c>
      <c r="O17921" s="46" t="s">
        <v>123</v>
      </c>
      <c r="P17921" s="46">
        <v>1800.0</v>
      </c>
    </row>
    <row r="17922">
      <c r="E17922" s="46" t="s">
        <v>14165</v>
      </c>
      <c r="F17922" s="46" t="s">
        <v>7474</v>
      </c>
      <c r="G17922" s="46">
        <v>3.61724667256E11</v>
      </c>
      <c r="H17922" s="46" t="s">
        <v>7475</v>
      </c>
      <c r="I17922" s="46" t="s">
        <v>7476</v>
      </c>
      <c r="J17922" s="46" t="s">
        <v>530</v>
      </c>
      <c r="K17922" s="46" t="s">
        <v>63</v>
      </c>
      <c r="L17922" s="45">
        <v>46016.875</v>
      </c>
      <c r="M17922" s="46" t="s">
        <v>123</v>
      </c>
      <c r="N17922" s="45">
        <v>46017.25</v>
      </c>
      <c r="O17922" s="46" t="s">
        <v>123</v>
      </c>
      <c r="P17922" s="46">
        <v>32400.0</v>
      </c>
    </row>
    <row r="17923">
      <c r="E17923" s="46" t="s">
        <v>14166</v>
      </c>
      <c r="F17923" s="46" t="s">
        <v>7474</v>
      </c>
      <c r="G17923" s="46">
        <v>3.61724667256E11</v>
      </c>
      <c r="H17923" s="46" t="s">
        <v>7475</v>
      </c>
      <c r="I17923" s="46" t="s">
        <v>7476</v>
      </c>
      <c r="J17923" s="46" t="s">
        <v>136</v>
      </c>
      <c r="K17923" s="46" t="s">
        <v>126</v>
      </c>
      <c r="L17923" s="45">
        <v>46016.916666666664</v>
      </c>
      <c r="M17923" s="46" t="s">
        <v>123</v>
      </c>
      <c r="N17923" s="45">
        <v>46016.958333333336</v>
      </c>
      <c r="O17923" s="46" t="s">
        <v>123</v>
      </c>
      <c r="P17923" s="46">
        <v>3600.0</v>
      </c>
      <c r="S17923" s="46" t="s">
        <v>14167</v>
      </c>
    </row>
    <row r="17924">
      <c r="E17924" s="46" t="s">
        <v>14168</v>
      </c>
      <c r="F17924" s="46" t="s">
        <v>7474</v>
      </c>
      <c r="G17924" s="46">
        <v>3.61724667256E11</v>
      </c>
      <c r="H17924" s="46" t="s">
        <v>7475</v>
      </c>
      <c r="I17924" s="46" t="s">
        <v>7476</v>
      </c>
      <c r="J17924" s="46" t="s">
        <v>132</v>
      </c>
      <c r="K17924" s="46" t="s">
        <v>126</v>
      </c>
      <c r="L17924" s="45">
        <v>46017.125</v>
      </c>
      <c r="M17924" s="46" t="s">
        <v>123</v>
      </c>
      <c r="N17924" s="45">
        <v>46017.166666666664</v>
      </c>
      <c r="O17924" s="46" t="s">
        <v>123</v>
      </c>
      <c r="P17924" s="46">
        <v>3600.0</v>
      </c>
    </row>
    <row r="17925">
      <c r="E17925" s="46" t="s">
        <v>14169</v>
      </c>
      <c r="F17925" s="46" t="s">
        <v>7474</v>
      </c>
      <c r="G17925" s="46">
        <v>3.61724667256E11</v>
      </c>
      <c r="H17925" s="46" t="s">
        <v>7475</v>
      </c>
      <c r="I17925" s="46" t="s">
        <v>7476</v>
      </c>
      <c r="J17925" s="46" t="s">
        <v>134</v>
      </c>
      <c r="K17925" s="46" t="s">
        <v>126</v>
      </c>
      <c r="L17925" s="45">
        <v>46017.166666666664</v>
      </c>
      <c r="M17925" s="46" t="s">
        <v>123</v>
      </c>
      <c r="N17925" s="45">
        <v>46017.1875</v>
      </c>
      <c r="O17925" s="46" t="s">
        <v>123</v>
      </c>
      <c r="P17925" s="46">
        <v>1800.0</v>
      </c>
    </row>
    <row r="17926">
      <c r="E17926" s="46" t="s">
        <v>14170</v>
      </c>
      <c r="F17926" s="46" t="s">
        <v>7474</v>
      </c>
      <c r="G17926" s="46">
        <v>3.61724667256E11</v>
      </c>
      <c r="H17926" s="46" t="s">
        <v>7475</v>
      </c>
      <c r="I17926" s="46" t="s">
        <v>7476</v>
      </c>
      <c r="J17926" s="46" t="s">
        <v>4</v>
      </c>
      <c r="K17926" s="46" t="s">
        <v>126</v>
      </c>
      <c r="L17926" s="45">
        <v>46017.875</v>
      </c>
      <c r="M17926" s="46" t="s">
        <v>123</v>
      </c>
      <c r="N17926" s="45">
        <v>46017.895833333336</v>
      </c>
      <c r="O17926" s="46" t="s">
        <v>123</v>
      </c>
      <c r="P17926" s="46">
        <v>1800.0</v>
      </c>
    </row>
    <row r="17927">
      <c r="E17927" s="46" t="s">
        <v>14171</v>
      </c>
      <c r="F17927" s="46" t="s">
        <v>7474</v>
      </c>
      <c r="G17927" s="46">
        <v>3.61724667256E11</v>
      </c>
      <c r="H17927" s="46" t="s">
        <v>7475</v>
      </c>
      <c r="I17927" s="46" t="s">
        <v>7476</v>
      </c>
      <c r="J17927" s="46" t="s">
        <v>530</v>
      </c>
      <c r="K17927" s="46" t="s">
        <v>63</v>
      </c>
      <c r="L17927" s="45">
        <v>46017.875</v>
      </c>
      <c r="M17927" s="46" t="s">
        <v>123</v>
      </c>
      <c r="N17927" s="45">
        <v>46018.25</v>
      </c>
      <c r="O17927" s="46" t="s">
        <v>123</v>
      </c>
      <c r="P17927" s="46">
        <v>32400.0</v>
      </c>
    </row>
    <row r="17928">
      <c r="E17928" s="46" t="s">
        <v>14172</v>
      </c>
      <c r="F17928" s="46" t="s">
        <v>7474</v>
      </c>
      <c r="G17928" s="46">
        <v>3.61724667256E11</v>
      </c>
      <c r="H17928" s="46" t="s">
        <v>7475</v>
      </c>
      <c r="I17928" s="46" t="s">
        <v>7476</v>
      </c>
      <c r="J17928" s="46" t="s">
        <v>132</v>
      </c>
      <c r="K17928" s="46" t="s">
        <v>126</v>
      </c>
      <c r="L17928" s="45">
        <v>46018.0</v>
      </c>
      <c r="M17928" s="46" t="s">
        <v>123</v>
      </c>
      <c r="N17928" s="45">
        <v>46018.041666666664</v>
      </c>
      <c r="O17928" s="46" t="s">
        <v>123</v>
      </c>
      <c r="P17928" s="46">
        <v>3600.0</v>
      </c>
    </row>
    <row r="17929">
      <c r="E17929" s="46" t="s">
        <v>14173</v>
      </c>
      <c r="F17929" s="46" t="s">
        <v>7474</v>
      </c>
      <c r="G17929" s="46">
        <v>3.61724667256E11</v>
      </c>
      <c r="H17929" s="46" t="s">
        <v>7475</v>
      </c>
      <c r="I17929" s="46" t="s">
        <v>7476</v>
      </c>
      <c r="J17929" s="46" t="s">
        <v>134</v>
      </c>
      <c r="K17929" s="46" t="s">
        <v>126</v>
      </c>
      <c r="L17929" s="45">
        <v>46018.041666666664</v>
      </c>
      <c r="M17929" s="46" t="s">
        <v>123</v>
      </c>
      <c r="N17929" s="45">
        <v>46018.0625</v>
      </c>
      <c r="O17929" s="46" t="s">
        <v>123</v>
      </c>
      <c r="P17929" s="46">
        <v>1800.0</v>
      </c>
    </row>
    <row r="17930">
      <c r="E17930" s="46" t="s">
        <v>14174</v>
      </c>
      <c r="F17930" s="46" t="s">
        <v>7474</v>
      </c>
      <c r="G17930" s="46">
        <v>3.61724667256E11</v>
      </c>
      <c r="H17930" s="46" t="s">
        <v>7475</v>
      </c>
      <c r="I17930" s="46" t="s">
        <v>7476</v>
      </c>
      <c r="J17930" s="46" t="s">
        <v>530</v>
      </c>
      <c r="K17930" s="46" t="s">
        <v>63</v>
      </c>
      <c r="L17930" s="45">
        <v>46018.875</v>
      </c>
      <c r="M17930" s="46" t="s">
        <v>123</v>
      </c>
      <c r="N17930" s="45">
        <v>46018.895833333336</v>
      </c>
      <c r="O17930" s="46" t="s">
        <v>123</v>
      </c>
      <c r="P17930" s="46">
        <v>1800.0</v>
      </c>
    </row>
    <row r="17931">
      <c r="E17931" s="46" t="s">
        <v>14175</v>
      </c>
      <c r="F17931" s="46" t="s">
        <v>7474</v>
      </c>
      <c r="G17931" s="46">
        <v>3.61724667256E11</v>
      </c>
      <c r="H17931" s="46" t="s">
        <v>7475</v>
      </c>
      <c r="I17931" s="46" t="s">
        <v>7476</v>
      </c>
      <c r="J17931" s="46" t="s">
        <v>4</v>
      </c>
      <c r="K17931" s="46" t="s">
        <v>126</v>
      </c>
      <c r="L17931" s="45">
        <v>46018.875</v>
      </c>
      <c r="M17931" s="46" t="s">
        <v>123</v>
      </c>
      <c r="N17931" s="45">
        <v>46018.895833333336</v>
      </c>
      <c r="O17931" s="46" t="s">
        <v>123</v>
      </c>
      <c r="P17931" s="46">
        <v>1800.0</v>
      </c>
    </row>
    <row r="17932">
      <c r="E17932" s="46" t="s">
        <v>14176</v>
      </c>
      <c r="F17932" s="46" t="s">
        <v>7474</v>
      </c>
      <c r="G17932" s="46">
        <v>3.61724667256E11</v>
      </c>
      <c r="H17932" s="46" t="s">
        <v>7475</v>
      </c>
      <c r="I17932" s="46" t="s">
        <v>7476</v>
      </c>
      <c r="J17932" s="46" t="s">
        <v>62</v>
      </c>
      <c r="K17932" s="46" t="s">
        <v>63</v>
      </c>
      <c r="L17932" s="45">
        <v>46018.895833333336</v>
      </c>
      <c r="M17932" s="46" t="s">
        <v>123</v>
      </c>
      <c r="N17932" s="45">
        <v>46018.916666666664</v>
      </c>
      <c r="O17932" s="46" t="s">
        <v>123</v>
      </c>
      <c r="P17932" s="46">
        <v>1800.0</v>
      </c>
    </row>
    <row r="17933">
      <c r="E17933" s="46" t="s">
        <v>14177</v>
      </c>
      <c r="F17933" s="46" t="s">
        <v>7474</v>
      </c>
      <c r="G17933" s="46">
        <v>3.61724667256E11</v>
      </c>
      <c r="H17933" s="46" t="s">
        <v>7475</v>
      </c>
      <c r="I17933" s="46" t="s">
        <v>7476</v>
      </c>
      <c r="J17933" s="46" t="s">
        <v>530</v>
      </c>
      <c r="K17933" s="46" t="s">
        <v>63</v>
      </c>
      <c r="L17933" s="45">
        <v>46018.916666666664</v>
      </c>
      <c r="M17933" s="46" t="s">
        <v>123</v>
      </c>
      <c r="N17933" s="45">
        <v>46019.25</v>
      </c>
      <c r="O17933" s="46" t="s">
        <v>123</v>
      </c>
      <c r="P17933" s="46">
        <v>28800.0</v>
      </c>
    </row>
    <row r="17934">
      <c r="E17934" s="46" t="s">
        <v>14178</v>
      </c>
      <c r="F17934" s="46" t="s">
        <v>7474</v>
      </c>
      <c r="G17934" s="46">
        <v>3.61724667256E11</v>
      </c>
      <c r="H17934" s="46" t="s">
        <v>7475</v>
      </c>
      <c r="I17934" s="46" t="s">
        <v>7476</v>
      </c>
      <c r="J17934" s="46" t="s">
        <v>134</v>
      </c>
      <c r="K17934" s="46" t="s">
        <v>126</v>
      </c>
      <c r="L17934" s="45">
        <v>46018.958333333336</v>
      </c>
      <c r="M17934" s="46" t="s">
        <v>123</v>
      </c>
      <c r="N17934" s="45">
        <v>46018.979166666664</v>
      </c>
      <c r="O17934" s="46" t="s">
        <v>123</v>
      </c>
      <c r="P17934" s="46">
        <v>1800.0</v>
      </c>
    </row>
    <row r="17935">
      <c r="E17935" s="46" t="s">
        <v>14179</v>
      </c>
      <c r="F17935" s="46" t="s">
        <v>7474</v>
      </c>
      <c r="G17935" s="46">
        <v>3.61724667256E11</v>
      </c>
      <c r="H17935" s="46" t="s">
        <v>7475</v>
      </c>
      <c r="I17935" s="46" t="s">
        <v>7476</v>
      </c>
      <c r="J17935" s="46" t="s">
        <v>132</v>
      </c>
      <c r="K17935" s="46" t="s">
        <v>126</v>
      </c>
      <c r="L17935" s="45">
        <v>46019.114583333336</v>
      </c>
      <c r="M17935" s="46" t="s">
        <v>123</v>
      </c>
      <c r="N17935" s="45">
        <v>46019.15625</v>
      </c>
      <c r="O17935" s="46" t="s">
        <v>123</v>
      </c>
      <c r="P17935" s="46">
        <v>3600.0</v>
      </c>
    </row>
    <row r="17936">
      <c r="E17936" s="46" t="s">
        <v>14180</v>
      </c>
      <c r="F17936" s="46" t="s">
        <v>7503</v>
      </c>
      <c r="G17936" s="46">
        <v>4.502607605263E12</v>
      </c>
      <c r="H17936" s="46" t="s">
        <v>7504</v>
      </c>
      <c r="I17936" s="46" t="s">
        <v>7505</v>
      </c>
      <c r="J17936" s="46" t="s">
        <v>4</v>
      </c>
      <c r="K17936" s="46" t="s">
        <v>126</v>
      </c>
      <c r="L17936" s="45">
        <v>46014.875</v>
      </c>
      <c r="M17936" s="46" t="s">
        <v>123</v>
      </c>
      <c r="N17936" s="45">
        <v>46014.895833333336</v>
      </c>
      <c r="O17936" s="46" t="s">
        <v>123</v>
      </c>
      <c r="P17936" s="46">
        <v>1800.0</v>
      </c>
    </row>
    <row r="17937">
      <c r="E17937" s="46" t="s">
        <v>14181</v>
      </c>
      <c r="F17937" s="46" t="s">
        <v>7503</v>
      </c>
      <c r="G17937" s="46">
        <v>4.502607605263E12</v>
      </c>
      <c r="H17937" s="46" t="s">
        <v>7504</v>
      </c>
      <c r="I17937" s="46" t="s">
        <v>7505</v>
      </c>
      <c r="J17937" s="46" t="s">
        <v>530</v>
      </c>
      <c r="K17937" s="46" t="s">
        <v>63</v>
      </c>
      <c r="L17937" s="45">
        <v>46014.875</v>
      </c>
      <c r="M17937" s="46" t="s">
        <v>123</v>
      </c>
      <c r="N17937" s="45">
        <v>46015.25</v>
      </c>
      <c r="O17937" s="46" t="s">
        <v>123</v>
      </c>
      <c r="P17937" s="46">
        <v>32400.0</v>
      </c>
    </row>
    <row r="17938">
      <c r="E17938" s="46" t="s">
        <v>14182</v>
      </c>
      <c r="F17938" s="46" t="s">
        <v>7503</v>
      </c>
      <c r="G17938" s="46">
        <v>4.502607605263E12</v>
      </c>
      <c r="H17938" s="46" t="s">
        <v>7504</v>
      </c>
      <c r="I17938" s="46" t="s">
        <v>7505</v>
      </c>
      <c r="J17938" s="46" t="s">
        <v>132</v>
      </c>
      <c r="K17938" s="46" t="s">
        <v>126</v>
      </c>
      <c r="L17938" s="45">
        <v>46014.895833333336</v>
      </c>
      <c r="M17938" s="46" t="s">
        <v>123</v>
      </c>
      <c r="N17938" s="45">
        <v>46014.9375</v>
      </c>
      <c r="O17938" s="46" t="s">
        <v>123</v>
      </c>
      <c r="P17938" s="46">
        <v>3600.0</v>
      </c>
    </row>
    <row r="17939">
      <c r="E17939" s="46" t="s">
        <v>14183</v>
      </c>
      <c r="F17939" s="46" t="s">
        <v>7503</v>
      </c>
      <c r="G17939" s="46">
        <v>4.502607605263E12</v>
      </c>
      <c r="H17939" s="46" t="s">
        <v>7504</v>
      </c>
      <c r="I17939" s="46" t="s">
        <v>7505</v>
      </c>
      <c r="J17939" s="46" t="s">
        <v>134</v>
      </c>
      <c r="K17939" s="46" t="s">
        <v>126</v>
      </c>
      <c r="L17939" s="45">
        <v>46014.9375</v>
      </c>
      <c r="M17939" s="46" t="s">
        <v>123</v>
      </c>
      <c r="N17939" s="45">
        <v>46014.958333333336</v>
      </c>
      <c r="O17939" s="46" t="s">
        <v>123</v>
      </c>
      <c r="P17939" s="46">
        <v>1800.0</v>
      </c>
    </row>
    <row r="17940">
      <c r="E17940" s="46" t="s">
        <v>14184</v>
      </c>
      <c r="F17940" s="46" t="s">
        <v>7503</v>
      </c>
      <c r="G17940" s="46">
        <v>4.502607605263E12</v>
      </c>
      <c r="H17940" s="46" t="s">
        <v>7504</v>
      </c>
      <c r="I17940" s="46" t="s">
        <v>7505</v>
      </c>
      <c r="J17940" s="46" t="s">
        <v>136</v>
      </c>
      <c r="K17940" s="46" t="s">
        <v>126</v>
      </c>
      <c r="L17940" s="45">
        <v>46014.979166666664</v>
      </c>
      <c r="M17940" s="46" t="s">
        <v>123</v>
      </c>
      <c r="N17940" s="45">
        <v>46015.020833333336</v>
      </c>
      <c r="O17940" s="46" t="s">
        <v>123</v>
      </c>
      <c r="P17940" s="46">
        <v>3600.0</v>
      </c>
      <c r="S17940" s="46" t="s">
        <v>137</v>
      </c>
    </row>
    <row r="17941">
      <c r="E17941" s="46" t="s">
        <v>14185</v>
      </c>
      <c r="F17941" s="46" t="s">
        <v>7503</v>
      </c>
      <c r="G17941" s="46">
        <v>4.502607605263E12</v>
      </c>
      <c r="H17941" s="46" t="s">
        <v>7504</v>
      </c>
      <c r="I17941" s="46" t="s">
        <v>7505</v>
      </c>
      <c r="J17941" s="46" t="s">
        <v>4</v>
      </c>
      <c r="K17941" s="46" t="s">
        <v>126</v>
      </c>
      <c r="L17941" s="45">
        <v>46015.21875</v>
      </c>
      <c r="M17941" s="46" t="s">
        <v>123</v>
      </c>
      <c r="N17941" s="45">
        <v>46015.25</v>
      </c>
      <c r="O17941" s="46" t="s">
        <v>123</v>
      </c>
      <c r="P17941" s="46">
        <v>2700.0</v>
      </c>
      <c r="S17941" s="46" t="s">
        <v>13527</v>
      </c>
    </row>
    <row r="17942">
      <c r="E17942" s="46" t="s">
        <v>14186</v>
      </c>
      <c r="F17942" s="46" t="s">
        <v>7503</v>
      </c>
      <c r="G17942" s="46">
        <v>4.502607605263E12</v>
      </c>
      <c r="H17942" s="46" t="s">
        <v>7504</v>
      </c>
      <c r="I17942" s="46" t="s">
        <v>7505</v>
      </c>
      <c r="J17942" s="46" t="s">
        <v>4</v>
      </c>
      <c r="K17942" s="46" t="s">
        <v>126</v>
      </c>
      <c r="L17942" s="45">
        <v>46015.875</v>
      </c>
      <c r="M17942" s="46" t="s">
        <v>123</v>
      </c>
      <c r="N17942" s="45">
        <v>46015.895833333336</v>
      </c>
      <c r="O17942" s="46" t="s">
        <v>123</v>
      </c>
      <c r="P17942" s="46">
        <v>1800.0</v>
      </c>
    </row>
    <row r="17943">
      <c r="E17943" s="46" t="s">
        <v>14187</v>
      </c>
      <c r="F17943" s="46" t="s">
        <v>7503</v>
      </c>
      <c r="G17943" s="46">
        <v>4.502607605263E12</v>
      </c>
      <c r="H17943" s="46" t="s">
        <v>7504</v>
      </c>
      <c r="I17943" s="46" t="s">
        <v>7505</v>
      </c>
      <c r="J17943" s="46" t="s">
        <v>178</v>
      </c>
      <c r="K17943" s="46" t="s">
        <v>153</v>
      </c>
      <c r="L17943" s="45">
        <v>46015.875</v>
      </c>
      <c r="M17943" s="46" t="s">
        <v>123</v>
      </c>
      <c r="N17943" s="45">
        <v>46016.25</v>
      </c>
      <c r="O17943" s="46" t="s">
        <v>123</v>
      </c>
      <c r="P17943" s="46">
        <v>32400.0</v>
      </c>
      <c r="Q17943" s="46">
        <v>32400.0</v>
      </c>
      <c r="R17943" s="46" t="s">
        <v>13530</v>
      </c>
      <c r="S17943" s="46" t="s">
        <v>13530</v>
      </c>
    </row>
    <row r="17944">
      <c r="E17944" s="46" t="s">
        <v>14188</v>
      </c>
      <c r="F17944" s="46" t="s">
        <v>7503</v>
      </c>
      <c r="G17944" s="46">
        <v>4.502607605263E12</v>
      </c>
      <c r="H17944" s="46" t="s">
        <v>7504</v>
      </c>
      <c r="I17944" s="46" t="s">
        <v>7505</v>
      </c>
      <c r="J17944" s="46" t="s">
        <v>530</v>
      </c>
      <c r="K17944" s="46" t="s">
        <v>63</v>
      </c>
      <c r="L17944" s="45">
        <v>46015.875</v>
      </c>
      <c r="M17944" s="46" t="s">
        <v>123</v>
      </c>
      <c r="N17944" s="45">
        <v>46016.25</v>
      </c>
      <c r="O17944" s="46" t="s">
        <v>123</v>
      </c>
      <c r="P17944" s="46">
        <v>32400.0</v>
      </c>
    </row>
    <row r="17945">
      <c r="E17945" s="46" t="s">
        <v>14189</v>
      </c>
      <c r="F17945" s="46" t="s">
        <v>7503</v>
      </c>
      <c r="G17945" s="46">
        <v>4.502607605263E12</v>
      </c>
      <c r="H17945" s="46" t="s">
        <v>7504</v>
      </c>
      <c r="I17945" s="46" t="s">
        <v>7505</v>
      </c>
      <c r="J17945" s="46" t="s">
        <v>132</v>
      </c>
      <c r="K17945" s="46" t="s">
        <v>126</v>
      </c>
      <c r="L17945" s="45">
        <v>46016.0</v>
      </c>
      <c r="M17945" s="46" t="s">
        <v>123</v>
      </c>
      <c r="N17945" s="45">
        <v>46016.041666666664</v>
      </c>
      <c r="O17945" s="46" t="s">
        <v>123</v>
      </c>
      <c r="P17945" s="46">
        <v>3600.0</v>
      </c>
    </row>
    <row r="17946">
      <c r="E17946" s="46" t="s">
        <v>14190</v>
      </c>
      <c r="F17946" s="46" t="s">
        <v>7503</v>
      </c>
      <c r="G17946" s="46">
        <v>4.502607605263E12</v>
      </c>
      <c r="H17946" s="46" t="s">
        <v>7504</v>
      </c>
      <c r="I17946" s="46" t="s">
        <v>7505</v>
      </c>
      <c r="J17946" s="46" t="s">
        <v>134</v>
      </c>
      <c r="K17946" s="46" t="s">
        <v>126</v>
      </c>
      <c r="L17946" s="45">
        <v>46016.15625</v>
      </c>
      <c r="M17946" s="46" t="s">
        <v>123</v>
      </c>
      <c r="N17946" s="45">
        <v>46016.177083333336</v>
      </c>
      <c r="O17946" s="46" t="s">
        <v>123</v>
      </c>
      <c r="P17946" s="46">
        <v>1800.0</v>
      </c>
    </row>
    <row r="17947">
      <c r="E17947" s="46" t="s">
        <v>14191</v>
      </c>
      <c r="F17947" s="46" t="s">
        <v>7503</v>
      </c>
      <c r="G17947" s="46">
        <v>4.502607605263E12</v>
      </c>
      <c r="H17947" s="46" t="s">
        <v>7504</v>
      </c>
      <c r="I17947" s="46" t="s">
        <v>7505</v>
      </c>
      <c r="J17947" s="46" t="s">
        <v>4</v>
      </c>
      <c r="K17947" s="46" t="s">
        <v>126</v>
      </c>
      <c r="L17947" s="45">
        <v>46016.875</v>
      </c>
      <c r="M17947" s="46" t="s">
        <v>123</v>
      </c>
      <c r="N17947" s="45">
        <v>46016.895833333336</v>
      </c>
      <c r="O17947" s="46" t="s">
        <v>123</v>
      </c>
      <c r="P17947" s="46">
        <v>1800.0</v>
      </c>
    </row>
    <row r="17948">
      <c r="E17948" s="46" t="s">
        <v>14192</v>
      </c>
      <c r="F17948" s="46" t="s">
        <v>7503</v>
      </c>
      <c r="G17948" s="46">
        <v>4.502607605263E12</v>
      </c>
      <c r="H17948" s="46" t="s">
        <v>7504</v>
      </c>
      <c r="I17948" s="46" t="s">
        <v>7505</v>
      </c>
      <c r="J17948" s="46" t="s">
        <v>178</v>
      </c>
      <c r="K17948" s="46" t="s">
        <v>153</v>
      </c>
      <c r="L17948" s="45">
        <v>46016.875</v>
      </c>
      <c r="M17948" s="46" t="s">
        <v>123</v>
      </c>
      <c r="N17948" s="45">
        <v>46017.25</v>
      </c>
      <c r="O17948" s="46" t="s">
        <v>123</v>
      </c>
      <c r="P17948" s="46">
        <v>32400.0</v>
      </c>
      <c r="Q17948" s="46">
        <v>32400.0</v>
      </c>
      <c r="R17948" s="46" t="s">
        <v>13530</v>
      </c>
      <c r="S17948" s="46" t="s">
        <v>13530</v>
      </c>
    </row>
    <row r="17949">
      <c r="E17949" s="46" t="s">
        <v>14193</v>
      </c>
      <c r="F17949" s="46" t="s">
        <v>7503</v>
      </c>
      <c r="G17949" s="46">
        <v>4.502607605263E12</v>
      </c>
      <c r="H17949" s="46" t="s">
        <v>7504</v>
      </c>
      <c r="I17949" s="46" t="s">
        <v>7505</v>
      </c>
      <c r="J17949" s="46" t="s">
        <v>530</v>
      </c>
      <c r="K17949" s="46" t="s">
        <v>63</v>
      </c>
      <c r="L17949" s="45">
        <v>46016.875</v>
      </c>
      <c r="M17949" s="46" t="s">
        <v>123</v>
      </c>
      <c r="N17949" s="45">
        <v>46017.25</v>
      </c>
      <c r="O17949" s="46" t="s">
        <v>123</v>
      </c>
      <c r="P17949" s="46">
        <v>32400.0</v>
      </c>
    </row>
    <row r="17950">
      <c r="E17950" s="46" t="s">
        <v>14194</v>
      </c>
      <c r="F17950" s="46" t="s">
        <v>7503</v>
      </c>
      <c r="G17950" s="46">
        <v>4.502607605263E12</v>
      </c>
      <c r="H17950" s="46" t="s">
        <v>7504</v>
      </c>
      <c r="I17950" s="46" t="s">
        <v>7505</v>
      </c>
      <c r="J17950" s="46" t="s">
        <v>132</v>
      </c>
      <c r="K17950" s="46" t="s">
        <v>126</v>
      </c>
      <c r="L17950" s="45">
        <v>46017.0</v>
      </c>
      <c r="M17950" s="46" t="s">
        <v>123</v>
      </c>
      <c r="N17950" s="45">
        <v>46017.041666666664</v>
      </c>
      <c r="O17950" s="46" t="s">
        <v>123</v>
      </c>
      <c r="P17950" s="46">
        <v>3600.0</v>
      </c>
    </row>
    <row r="17951">
      <c r="E17951" s="46" t="s">
        <v>14195</v>
      </c>
      <c r="F17951" s="46" t="s">
        <v>7503</v>
      </c>
      <c r="G17951" s="46">
        <v>4.502607605263E12</v>
      </c>
      <c r="H17951" s="46" t="s">
        <v>7504</v>
      </c>
      <c r="I17951" s="46" t="s">
        <v>7505</v>
      </c>
      <c r="J17951" s="46" t="s">
        <v>134</v>
      </c>
      <c r="K17951" s="46" t="s">
        <v>126</v>
      </c>
      <c r="L17951" s="45">
        <v>46017.15625</v>
      </c>
      <c r="M17951" s="46" t="s">
        <v>123</v>
      </c>
      <c r="N17951" s="45">
        <v>46017.177083333336</v>
      </c>
      <c r="O17951" s="46" t="s">
        <v>123</v>
      </c>
      <c r="P17951" s="46">
        <v>1800.0</v>
      </c>
    </row>
    <row r="17952">
      <c r="E17952" s="46" t="s">
        <v>14196</v>
      </c>
      <c r="F17952" s="46" t="s">
        <v>7503</v>
      </c>
      <c r="G17952" s="46">
        <v>4.502607605263E12</v>
      </c>
      <c r="H17952" s="46" t="s">
        <v>7504</v>
      </c>
      <c r="I17952" s="46" t="s">
        <v>7505</v>
      </c>
      <c r="J17952" s="46" t="s">
        <v>4</v>
      </c>
      <c r="K17952" s="46" t="s">
        <v>126</v>
      </c>
      <c r="L17952" s="45">
        <v>46017.875</v>
      </c>
      <c r="M17952" s="46" t="s">
        <v>123</v>
      </c>
      <c r="N17952" s="45">
        <v>46017.895833333336</v>
      </c>
      <c r="O17952" s="46" t="s">
        <v>123</v>
      </c>
      <c r="P17952" s="46">
        <v>1800.0</v>
      </c>
    </row>
    <row r="17953">
      <c r="E17953" s="46" t="s">
        <v>14197</v>
      </c>
      <c r="F17953" s="46" t="s">
        <v>7503</v>
      </c>
      <c r="G17953" s="46">
        <v>4.502607605263E12</v>
      </c>
      <c r="H17953" s="46" t="s">
        <v>7504</v>
      </c>
      <c r="I17953" s="46" t="s">
        <v>7505</v>
      </c>
      <c r="J17953" s="46" t="s">
        <v>530</v>
      </c>
      <c r="K17953" s="46" t="s">
        <v>63</v>
      </c>
      <c r="L17953" s="45">
        <v>46017.875</v>
      </c>
      <c r="M17953" s="46" t="s">
        <v>123</v>
      </c>
      <c r="N17953" s="45">
        <v>46018.229166666664</v>
      </c>
      <c r="O17953" s="46" t="s">
        <v>123</v>
      </c>
      <c r="P17953" s="46">
        <v>30600.0</v>
      </c>
    </row>
    <row r="17954">
      <c r="E17954" s="46" t="s">
        <v>14198</v>
      </c>
      <c r="F17954" s="46" t="s">
        <v>7503</v>
      </c>
      <c r="G17954" s="46">
        <v>4.502607605263E12</v>
      </c>
      <c r="H17954" s="46" t="s">
        <v>7504</v>
      </c>
      <c r="I17954" s="46" t="s">
        <v>7505</v>
      </c>
      <c r="J17954" s="46" t="s">
        <v>178</v>
      </c>
      <c r="K17954" s="46" t="s">
        <v>153</v>
      </c>
      <c r="L17954" s="45">
        <v>46017.875</v>
      </c>
      <c r="M17954" s="46" t="s">
        <v>123</v>
      </c>
      <c r="N17954" s="45">
        <v>46018.25</v>
      </c>
      <c r="O17954" s="46" t="s">
        <v>123</v>
      </c>
      <c r="P17954" s="46">
        <v>32400.0</v>
      </c>
      <c r="Q17954" s="46">
        <v>28800.0</v>
      </c>
    </row>
    <row r="17955">
      <c r="E17955" s="46" t="s">
        <v>14199</v>
      </c>
      <c r="F17955" s="46" t="s">
        <v>7503</v>
      </c>
      <c r="G17955" s="46">
        <v>4.502607605263E12</v>
      </c>
      <c r="H17955" s="46" t="s">
        <v>7504</v>
      </c>
      <c r="I17955" s="46" t="s">
        <v>7505</v>
      </c>
      <c r="J17955" s="46" t="s">
        <v>134</v>
      </c>
      <c r="K17955" s="46" t="s">
        <v>126</v>
      </c>
      <c r="L17955" s="45">
        <v>46017.958333333336</v>
      </c>
      <c r="M17955" s="46" t="s">
        <v>123</v>
      </c>
      <c r="N17955" s="45">
        <v>46017.979166666664</v>
      </c>
      <c r="O17955" s="46" t="s">
        <v>123</v>
      </c>
      <c r="P17955" s="46">
        <v>1800.0</v>
      </c>
    </row>
    <row r="17956">
      <c r="E17956" s="46" t="s">
        <v>14200</v>
      </c>
      <c r="F17956" s="46" t="s">
        <v>7503</v>
      </c>
      <c r="G17956" s="46">
        <v>4.502607605263E12</v>
      </c>
      <c r="H17956" s="46" t="s">
        <v>7504</v>
      </c>
      <c r="I17956" s="46" t="s">
        <v>7505</v>
      </c>
      <c r="J17956" s="46" t="s">
        <v>132</v>
      </c>
      <c r="K17956" s="46" t="s">
        <v>126</v>
      </c>
      <c r="L17956" s="45">
        <v>46018.09375</v>
      </c>
      <c r="M17956" s="46" t="s">
        <v>123</v>
      </c>
      <c r="N17956" s="45">
        <v>46018.135416666664</v>
      </c>
      <c r="O17956" s="46" t="s">
        <v>123</v>
      </c>
      <c r="P17956" s="46">
        <v>3600.0</v>
      </c>
    </row>
    <row r="17957">
      <c r="E17957" s="46" t="s">
        <v>14201</v>
      </c>
      <c r="F17957" s="46" t="s">
        <v>7503</v>
      </c>
      <c r="G17957" s="46">
        <v>4.502607605263E12</v>
      </c>
      <c r="H17957" s="46" t="s">
        <v>7504</v>
      </c>
      <c r="I17957" s="46" t="s">
        <v>7505</v>
      </c>
      <c r="J17957" s="46" t="s">
        <v>62</v>
      </c>
      <c r="K17957" s="46" t="s">
        <v>63</v>
      </c>
      <c r="L17957" s="45">
        <v>46018.229166666664</v>
      </c>
      <c r="M17957" s="46" t="s">
        <v>123</v>
      </c>
      <c r="N17957" s="45">
        <v>46018.25</v>
      </c>
      <c r="O17957" s="46" t="s">
        <v>123</v>
      </c>
      <c r="P17957" s="46">
        <v>1800.0</v>
      </c>
    </row>
    <row r="17958">
      <c r="E17958" s="46" t="s">
        <v>14202</v>
      </c>
      <c r="F17958" s="46" t="s">
        <v>7503</v>
      </c>
      <c r="G17958" s="46">
        <v>4.502607605263E12</v>
      </c>
      <c r="H17958" s="46" t="s">
        <v>7504</v>
      </c>
      <c r="I17958" s="46" t="s">
        <v>7505</v>
      </c>
      <c r="J17958" s="46" t="s">
        <v>4</v>
      </c>
      <c r="K17958" s="46" t="s">
        <v>126</v>
      </c>
      <c r="L17958" s="45">
        <v>46018.875</v>
      </c>
      <c r="M17958" s="46" t="s">
        <v>123</v>
      </c>
      <c r="N17958" s="45">
        <v>46018.895833333336</v>
      </c>
      <c r="O17958" s="46" t="s">
        <v>123</v>
      </c>
      <c r="P17958" s="46">
        <v>1800.0</v>
      </c>
    </row>
    <row r="17959">
      <c r="E17959" s="46" t="s">
        <v>14203</v>
      </c>
      <c r="F17959" s="46" t="s">
        <v>7503</v>
      </c>
      <c r="G17959" s="46">
        <v>4.502607605263E12</v>
      </c>
      <c r="H17959" s="46" t="s">
        <v>7504</v>
      </c>
      <c r="I17959" s="46" t="s">
        <v>7505</v>
      </c>
      <c r="J17959" s="46" t="s">
        <v>530</v>
      </c>
      <c r="K17959" s="46" t="s">
        <v>63</v>
      </c>
      <c r="L17959" s="45">
        <v>46018.875</v>
      </c>
      <c r="M17959" s="46" t="s">
        <v>123</v>
      </c>
      <c r="N17959" s="45">
        <v>46019.25</v>
      </c>
      <c r="O17959" s="46" t="s">
        <v>123</v>
      </c>
      <c r="P17959" s="46">
        <v>32400.0</v>
      </c>
    </row>
    <row r="17960">
      <c r="E17960" s="46" t="s">
        <v>14204</v>
      </c>
      <c r="F17960" s="46" t="s">
        <v>7503</v>
      </c>
      <c r="G17960" s="46">
        <v>4.502607605263E12</v>
      </c>
      <c r="H17960" s="46" t="s">
        <v>7504</v>
      </c>
      <c r="I17960" s="46" t="s">
        <v>7505</v>
      </c>
      <c r="J17960" s="46" t="s">
        <v>178</v>
      </c>
      <c r="K17960" s="46" t="s">
        <v>153</v>
      </c>
      <c r="L17960" s="45">
        <v>46018.875</v>
      </c>
      <c r="M17960" s="46" t="s">
        <v>123</v>
      </c>
      <c r="N17960" s="45">
        <v>46019.25</v>
      </c>
      <c r="O17960" s="46" t="s">
        <v>123</v>
      </c>
      <c r="P17960" s="46">
        <v>32400.0</v>
      </c>
      <c r="Q17960" s="46">
        <v>32400.0</v>
      </c>
    </row>
    <row r="17961">
      <c r="E17961" s="46" t="s">
        <v>14205</v>
      </c>
      <c r="F17961" s="46" t="s">
        <v>7503</v>
      </c>
      <c r="G17961" s="46">
        <v>4.502607605263E12</v>
      </c>
      <c r="H17961" s="46" t="s">
        <v>7504</v>
      </c>
      <c r="I17961" s="46" t="s">
        <v>7505</v>
      </c>
      <c r="J17961" s="46" t="s">
        <v>134</v>
      </c>
      <c r="K17961" s="46" t="s">
        <v>126</v>
      </c>
      <c r="L17961" s="45">
        <v>46018.979166666664</v>
      </c>
      <c r="M17961" s="46" t="s">
        <v>123</v>
      </c>
      <c r="N17961" s="45">
        <v>46019.0</v>
      </c>
      <c r="O17961" s="46" t="s">
        <v>123</v>
      </c>
      <c r="P17961" s="46">
        <v>1800.0</v>
      </c>
    </row>
    <row r="17962">
      <c r="E17962" s="46" t="s">
        <v>14206</v>
      </c>
      <c r="F17962" s="46" t="s">
        <v>7503</v>
      </c>
      <c r="G17962" s="46">
        <v>4.502607605263E12</v>
      </c>
      <c r="H17962" s="46" t="s">
        <v>7504</v>
      </c>
      <c r="I17962" s="46" t="s">
        <v>7505</v>
      </c>
      <c r="J17962" s="46" t="s">
        <v>132</v>
      </c>
      <c r="K17962" s="46" t="s">
        <v>126</v>
      </c>
      <c r="L17962" s="45">
        <v>46019.083333333336</v>
      </c>
      <c r="M17962" s="46" t="s">
        <v>123</v>
      </c>
      <c r="N17962" s="45">
        <v>46019.125</v>
      </c>
      <c r="O17962" s="46" t="s">
        <v>123</v>
      </c>
      <c r="P17962" s="46">
        <v>3600.0</v>
      </c>
    </row>
    <row r="17963">
      <c r="E17963" s="46" t="s">
        <v>14207</v>
      </c>
      <c r="F17963" s="46" t="s">
        <v>7678</v>
      </c>
      <c r="G17963" s="46">
        <v>3.61861298295E11</v>
      </c>
      <c r="H17963" s="46" t="s">
        <v>7679</v>
      </c>
      <c r="I17963" s="46" t="s">
        <v>7680</v>
      </c>
      <c r="J17963" s="46" t="s">
        <v>4</v>
      </c>
      <c r="K17963" s="46" t="s">
        <v>126</v>
      </c>
      <c r="L17963" s="45">
        <v>46014.875</v>
      </c>
      <c r="M17963" s="46" t="s">
        <v>123</v>
      </c>
      <c r="N17963" s="45">
        <v>46014.895833333336</v>
      </c>
      <c r="O17963" s="46" t="s">
        <v>123</v>
      </c>
      <c r="P17963" s="46">
        <v>1800.0</v>
      </c>
    </row>
    <row r="17964">
      <c r="E17964" s="46" t="s">
        <v>14208</v>
      </c>
      <c r="F17964" s="46" t="s">
        <v>7678</v>
      </c>
      <c r="G17964" s="46">
        <v>3.61861298295E11</v>
      </c>
      <c r="H17964" s="46" t="s">
        <v>7679</v>
      </c>
      <c r="I17964" s="46" t="s">
        <v>7680</v>
      </c>
      <c r="J17964" s="46" t="s">
        <v>530</v>
      </c>
      <c r="K17964" s="46" t="s">
        <v>63</v>
      </c>
      <c r="L17964" s="45">
        <v>46014.875</v>
      </c>
      <c r="M17964" s="46" t="s">
        <v>123</v>
      </c>
      <c r="N17964" s="45">
        <v>46015.25</v>
      </c>
      <c r="O17964" s="46" t="s">
        <v>123</v>
      </c>
      <c r="P17964" s="46">
        <v>32400.0</v>
      </c>
    </row>
    <row r="17965">
      <c r="E17965" s="46" t="s">
        <v>14209</v>
      </c>
      <c r="F17965" s="46" t="s">
        <v>7678</v>
      </c>
      <c r="G17965" s="46">
        <v>3.61861298295E11</v>
      </c>
      <c r="H17965" s="46" t="s">
        <v>7679</v>
      </c>
      <c r="I17965" s="46" t="s">
        <v>7680</v>
      </c>
      <c r="J17965" s="46" t="s">
        <v>132</v>
      </c>
      <c r="K17965" s="46" t="s">
        <v>126</v>
      </c>
      <c r="L17965" s="45">
        <v>46014.895833333336</v>
      </c>
      <c r="M17965" s="46" t="s">
        <v>123</v>
      </c>
      <c r="N17965" s="45">
        <v>46014.9375</v>
      </c>
      <c r="O17965" s="46" t="s">
        <v>123</v>
      </c>
      <c r="P17965" s="46">
        <v>3600.0</v>
      </c>
    </row>
    <row r="17966">
      <c r="E17966" s="46" t="s">
        <v>14210</v>
      </c>
      <c r="F17966" s="46" t="s">
        <v>7678</v>
      </c>
      <c r="G17966" s="46">
        <v>3.61861298295E11</v>
      </c>
      <c r="H17966" s="46" t="s">
        <v>7679</v>
      </c>
      <c r="I17966" s="46" t="s">
        <v>7680</v>
      </c>
      <c r="J17966" s="46" t="s">
        <v>134</v>
      </c>
      <c r="K17966" s="46" t="s">
        <v>126</v>
      </c>
      <c r="L17966" s="45">
        <v>46014.9375</v>
      </c>
      <c r="M17966" s="46" t="s">
        <v>123</v>
      </c>
      <c r="N17966" s="45">
        <v>46014.958333333336</v>
      </c>
      <c r="O17966" s="46" t="s">
        <v>123</v>
      </c>
      <c r="P17966" s="46">
        <v>1800.0</v>
      </c>
    </row>
    <row r="17967">
      <c r="E17967" s="46" t="s">
        <v>14211</v>
      </c>
      <c r="F17967" s="46" t="s">
        <v>7678</v>
      </c>
      <c r="G17967" s="46">
        <v>3.61861298295E11</v>
      </c>
      <c r="H17967" s="46" t="s">
        <v>7679</v>
      </c>
      <c r="I17967" s="46" t="s">
        <v>7680</v>
      </c>
      <c r="J17967" s="46" t="s">
        <v>136</v>
      </c>
      <c r="K17967" s="46" t="s">
        <v>126</v>
      </c>
      <c r="L17967" s="45">
        <v>46014.979166666664</v>
      </c>
      <c r="M17967" s="46" t="s">
        <v>123</v>
      </c>
      <c r="N17967" s="45">
        <v>46015.020833333336</v>
      </c>
      <c r="O17967" s="46" t="s">
        <v>123</v>
      </c>
      <c r="P17967" s="46">
        <v>3600.0</v>
      </c>
      <c r="S17967" s="46" t="s">
        <v>137</v>
      </c>
    </row>
    <row r="17968">
      <c r="E17968" s="46" t="s">
        <v>14212</v>
      </c>
      <c r="F17968" s="46" t="s">
        <v>7678</v>
      </c>
      <c r="G17968" s="46">
        <v>3.61861298295E11</v>
      </c>
      <c r="H17968" s="46" t="s">
        <v>7679</v>
      </c>
      <c r="I17968" s="46" t="s">
        <v>7680</v>
      </c>
      <c r="J17968" s="46" t="s">
        <v>4</v>
      </c>
      <c r="K17968" s="46" t="s">
        <v>126</v>
      </c>
      <c r="L17968" s="45">
        <v>46015.052083333336</v>
      </c>
      <c r="M17968" s="46" t="s">
        <v>123</v>
      </c>
      <c r="N17968" s="45">
        <v>46015.083333333336</v>
      </c>
      <c r="O17968" s="46" t="s">
        <v>123</v>
      </c>
      <c r="P17968" s="46">
        <v>2700.0</v>
      </c>
      <c r="S17968" s="46" t="s">
        <v>13527</v>
      </c>
    </row>
    <row r="17969">
      <c r="E17969" s="46" t="s">
        <v>14213</v>
      </c>
      <c r="F17969" s="46" t="s">
        <v>7678</v>
      </c>
      <c r="G17969" s="46">
        <v>3.61861298295E11</v>
      </c>
      <c r="H17969" s="46" t="s">
        <v>7679</v>
      </c>
      <c r="I17969" s="46" t="s">
        <v>7680</v>
      </c>
      <c r="J17969" s="46" t="s">
        <v>4</v>
      </c>
      <c r="K17969" s="46" t="s">
        <v>126</v>
      </c>
      <c r="L17969" s="45">
        <v>46015.083333333336</v>
      </c>
      <c r="M17969" s="46" t="s">
        <v>123</v>
      </c>
      <c r="N17969" s="45">
        <v>46015.09722222222</v>
      </c>
      <c r="O17969" s="46" t="s">
        <v>123</v>
      </c>
      <c r="P17969" s="46">
        <v>1200.0</v>
      </c>
      <c r="S17969" s="46" t="s">
        <v>13520</v>
      </c>
    </row>
    <row r="17970">
      <c r="E17970" s="46" t="s">
        <v>14214</v>
      </c>
      <c r="F17970" s="46" t="s">
        <v>7678</v>
      </c>
      <c r="G17970" s="46">
        <v>3.61861298295E11</v>
      </c>
      <c r="H17970" s="46" t="s">
        <v>7679</v>
      </c>
      <c r="I17970" s="46" t="s">
        <v>7680</v>
      </c>
      <c r="J17970" s="46" t="s">
        <v>4</v>
      </c>
      <c r="K17970" s="46" t="s">
        <v>126</v>
      </c>
      <c r="L17970" s="45">
        <v>46015.875</v>
      </c>
      <c r="M17970" s="46" t="s">
        <v>123</v>
      </c>
      <c r="N17970" s="45">
        <v>46015.895833333336</v>
      </c>
      <c r="O17970" s="46" t="s">
        <v>123</v>
      </c>
      <c r="P17970" s="46">
        <v>1800.0</v>
      </c>
    </row>
    <row r="17971">
      <c r="E17971" s="46" t="s">
        <v>14215</v>
      </c>
      <c r="F17971" s="46" t="s">
        <v>7678</v>
      </c>
      <c r="G17971" s="46">
        <v>3.61861298295E11</v>
      </c>
      <c r="H17971" s="46" t="s">
        <v>7679</v>
      </c>
      <c r="I17971" s="46" t="s">
        <v>7680</v>
      </c>
      <c r="J17971" s="46" t="s">
        <v>530</v>
      </c>
      <c r="K17971" s="46" t="s">
        <v>63</v>
      </c>
      <c r="L17971" s="45">
        <v>46015.875</v>
      </c>
      <c r="M17971" s="46" t="s">
        <v>123</v>
      </c>
      <c r="N17971" s="45">
        <v>46016.25</v>
      </c>
      <c r="O17971" s="46" t="s">
        <v>123</v>
      </c>
      <c r="P17971" s="46">
        <v>32400.0</v>
      </c>
    </row>
    <row r="17972">
      <c r="E17972" s="46" t="s">
        <v>14216</v>
      </c>
      <c r="F17972" s="46" t="s">
        <v>7678</v>
      </c>
      <c r="G17972" s="46">
        <v>3.61861298295E11</v>
      </c>
      <c r="H17972" s="46" t="s">
        <v>7679</v>
      </c>
      <c r="I17972" s="46" t="s">
        <v>7680</v>
      </c>
      <c r="J17972" s="46" t="s">
        <v>132</v>
      </c>
      <c r="K17972" s="46" t="s">
        <v>126</v>
      </c>
      <c r="L17972" s="45">
        <v>46015.979166666664</v>
      </c>
      <c r="M17972" s="46" t="s">
        <v>123</v>
      </c>
      <c r="N17972" s="45">
        <v>46016.020833333336</v>
      </c>
      <c r="O17972" s="46" t="s">
        <v>123</v>
      </c>
      <c r="P17972" s="46">
        <v>3600.0</v>
      </c>
    </row>
    <row r="17973">
      <c r="E17973" s="46" t="s">
        <v>14217</v>
      </c>
      <c r="F17973" s="46" t="s">
        <v>7678</v>
      </c>
      <c r="G17973" s="46">
        <v>3.61861298295E11</v>
      </c>
      <c r="H17973" s="46" t="s">
        <v>7679</v>
      </c>
      <c r="I17973" s="46" t="s">
        <v>7680</v>
      </c>
      <c r="J17973" s="46" t="s">
        <v>134</v>
      </c>
      <c r="K17973" s="46" t="s">
        <v>126</v>
      </c>
      <c r="L17973" s="45">
        <v>46016.020833333336</v>
      </c>
      <c r="M17973" s="46" t="s">
        <v>123</v>
      </c>
      <c r="N17973" s="45">
        <v>46016.041666666664</v>
      </c>
      <c r="O17973" s="46" t="s">
        <v>123</v>
      </c>
      <c r="P17973" s="46">
        <v>1800.0</v>
      </c>
    </row>
    <row r="17974">
      <c r="E17974" s="46" t="s">
        <v>14218</v>
      </c>
      <c r="F17974" s="46" t="s">
        <v>7678</v>
      </c>
      <c r="G17974" s="46">
        <v>3.61861298295E11</v>
      </c>
      <c r="H17974" s="46" t="s">
        <v>7679</v>
      </c>
      <c r="I17974" s="46" t="s">
        <v>7680</v>
      </c>
      <c r="J17974" s="46" t="s">
        <v>136</v>
      </c>
      <c r="K17974" s="46" t="s">
        <v>126</v>
      </c>
      <c r="L17974" s="45">
        <v>46016.041666666664</v>
      </c>
      <c r="M17974" s="46" t="s">
        <v>123</v>
      </c>
      <c r="N17974" s="45">
        <v>46016.083333333336</v>
      </c>
      <c r="O17974" s="46" t="s">
        <v>123</v>
      </c>
      <c r="P17974" s="46">
        <v>3600.0</v>
      </c>
      <c r="S17974" s="46" t="s">
        <v>137</v>
      </c>
    </row>
    <row r="17975">
      <c r="E17975" s="46" t="s">
        <v>14219</v>
      </c>
      <c r="F17975" s="46" t="s">
        <v>7678</v>
      </c>
      <c r="G17975" s="46">
        <v>3.61861298295E11</v>
      </c>
      <c r="H17975" s="46" t="s">
        <v>7679</v>
      </c>
      <c r="I17975" s="46" t="s">
        <v>7680</v>
      </c>
      <c r="J17975" s="46" t="s">
        <v>4</v>
      </c>
      <c r="K17975" s="46" t="s">
        <v>126</v>
      </c>
      <c r="L17975" s="45">
        <v>46016.875</v>
      </c>
      <c r="M17975" s="46" t="s">
        <v>123</v>
      </c>
      <c r="N17975" s="45">
        <v>46016.895833333336</v>
      </c>
      <c r="O17975" s="46" t="s">
        <v>123</v>
      </c>
      <c r="P17975" s="46">
        <v>1800.0</v>
      </c>
    </row>
    <row r="17976">
      <c r="E17976" s="46" t="s">
        <v>14220</v>
      </c>
      <c r="F17976" s="46" t="s">
        <v>7678</v>
      </c>
      <c r="G17976" s="46">
        <v>3.61861298295E11</v>
      </c>
      <c r="H17976" s="46" t="s">
        <v>7679</v>
      </c>
      <c r="I17976" s="46" t="s">
        <v>7680</v>
      </c>
      <c r="J17976" s="46" t="s">
        <v>530</v>
      </c>
      <c r="K17976" s="46" t="s">
        <v>63</v>
      </c>
      <c r="L17976" s="45">
        <v>46016.875</v>
      </c>
      <c r="M17976" s="46" t="s">
        <v>123</v>
      </c>
      <c r="N17976" s="45">
        <v>46017.25</v>
      </c>
      <c r="O17976" s="46" t="s">
        <v>123</v>
      </c>
      <c r="P17976" s="46">
        <v>32400.0</v>
      </c>
    </row>
    <row r="17977">
      <c r="E17977" s="46" t="s">
        <v>14221</v>
      </c>
      <c r="F17977" s="46" t="s">
        <v>7678</v>
      </c>
      <c r="G17977" s="46">
        <v>3.61861298295E11</v>
      </c>
      <c r="H17977" s="46" t="s">
        <v>7679</v>
      </c>
      <c r="I17977" s="46" t="s">
        <v>7680</v>
      </c>
      <c r="J17977" s="46" t="s">
        <v>4</v>
      </c>
      <c r="K17977" s="46" t="s">
        <v>126</v>
      </c>
      <c r="L17977" s="45">
        <v>46016.916666666664</v>
      </c>
      <c r="M17977" s="46" t="s">
        <v>123</v>
      </c>
      <c r="N17977" s="45">
        <v>46016.958333333336</v>
      </c>
      <c r="O17977" s="46" t="s">
        <v>123</v>
      </c>
      <c r="P17977" s="46">
        <v>3600.0</v>
      </c>
      <c r="S17977" s="46" t="s">
        <v>4256</v>
      </c>
    </row>
    <row r="17978">
      <c r="E17978" s="46" t="s">
        <v>14222</v>
      </c>
      <c r="F17978" s="46" t="s">
        <v>7678</v>
      </c>
      <c r="G17978" s="46">
        <v>3.61861298295E11</v>
      </c>
      <c r="H17978" s="46" t="s">
        <v>7679</v>
      </c>
      <c r="I17978" s="46" t="s">
        <v>7680</v>
      </c>
      <c r="J17978" s="46" t="s">
        <v>132</v>
      </c>
      <c r="K17978" s="46" t="s">
        <v>126</v>
      </c>
      <c r="L17978" s="45">
        <v>46017.1875</v>
      </c>
      <c r="M17978" s="46" t="s">
        <v>123</v>
      </c>
      <c r="N17978" s="45">
        <v>46017.229166666664</v>
      </c>
      <c r="O17978" s="46" t="s">
        <v>123</v>
      </c>
      <c r="P17978" s="46">
        <v>3600.0</v>
      </c>
    </row>
    <row r="17979">
      <c r="E17979" s="46" t="s">
        <v>14223</v>
      </c>
      <c r="F17979" s="46" t="s">
        <v>7678</v>
      </c>
      <c r="G17979" s="46">
        <v>3.61861298295E11</v>
      </c>
      <c r="H17979" s="46" t="s">
        <v>7679</v>
      </c>
      <c r="I17979" s="46" t="s">
        <v>7680</v>
      </c>
      <c r="J17979" s="46" t="s">
        <v>134</v>
      </c>
      <c r="K17979" s="46" t="s">
        <v>126</v>
      </c>
      <c r="L17979" s="45">
        <v>46017.229166666664</v>
      </c>
      <c r="M17979" s="46" t="s">
        <v>123</v>
      </c>
      <c r="N17979" s="45">
        <v>46017.25</v>
      </c>
      <c r="O17979" s="46" t="s">
        <v>123</v>
      </c>
      <c r="P17979" s="46">
        <v>1800.0</v>
      </c>
    </row>
    <row r="17980">
      <c r="E17980" s="46" t="s">
        <v>14224</v>
      </c>
      <c r="F17980" s="46" t="s">
        <v>7678</v>
      </c>
      <c r="G17980" s="46">
        <v>3.61861298295E11</v>
      </c>
      <c r="H17980" s="46" t="s">
        <v>7679</v>
      </c>
      <c r="I17980" s="46" t="s">
        <v>7680</v>
      </c>
      <c r="J17980" s="46" t="s">
        <v>4</v>
      </c>
      <c r="K17980" s="46" t="s">
        <v>126</v>
      </c>
      <c r="L17980" s="45">
        <v>46017.875</v>
      </c>
      <c r="M17980" s="46" t="s">
        <v>123</v>
      </c>
      <c r="N17980" s="45">
        <v>46017.895833333336</v>
      </c>
      <c r="O17980" s="46" t="s">
        <v>123</v>
      </c>
      <c r="P17980" s="46">
        <v>1800.0</v>
      </c>
    </row>
    <row r="17981">
      <c r="E17981" s="46" t="s">
        <v>14225</v>
      </c>
      <c r="F17981" s="46" t="s">
        <v>7678</v>
      </c>
      <c r="G17981" s="46">
        <v>3.61861298295E11</v>
      </c>
      <c r="H17981" s="46" t="s">
        <v>7679</v>
      </c>
      <c r="I17981" s="46" t="s">
        <v>7680</v>
      </c>
      <c r="J17981" s="46" t="s">
        <v>530</v>
      </c>
      <c r="K17981" s="46" t="s">
        <v>63</v>
      </c>
      <c r="L17981" s="45">
        <v>46017.875</v>
      </c>
      <c r="M17981" s="46" t="s">
        <v>123</v>
      </c>
      <c r="N17981" s="45">
        <v>46018.25</v>
      </c>
      <c r="O17981" s="46" t="s">
        <v>123</v>
      </c>
      <c r="P17981" s="46">
        <v>32400.0</v>
      </c>
    </row>
    <row r="17982">
      <c r="E17982" s="46" t="s">
        <v>14226</v>
      </c>
      <c r="F17982" s="46" t="s">
        <v>7678</v>
      </c>
      <c r="G17982" s="46">
        <v>3.61861298295E11</v>
      </c>
      <c r="H17982" s="46" t="s">
        <v>7679</v>
      </c>
      <c r="I17982" s="46" t="s">
        <v>7680</v>
      </c>
      <c r="J17982" s="46" t="s">
        <v>132</v>
      </c>
      <c r="K17982" s="46" t="s">
        <v>126</v>
      </c>
      <c r="L17982" s="45">
        <v>46018.1875</v>
      </c>
      <c r="M17982" s="46" t="s">
        <v>123</v>
      </c>
      <c r="N17982" s="45">
        <v>46018.229166666664</v>
      </c>
      <c r="O17982" s="46" t="s">
        <v>123</v>
      </c>
      <c r="P17982" s="46">
        <v>3600.0</v>
      </c>
    </row>
    <row r="17983">
      <c r="E17983" s="46" t="s">
        <v>14227</v>
      </c>
      <c r="F17983" s="46" t="s">
        <v>7678</v>
      </c>
      <c r="G17983" s="46">
        <v>3.61861298295E11</v>
      </c>
      <c r="H17983" s="46" t="s">
        <v>7679</v>
      </c>
      <c r="I17983" s="46" t="s">
        <v>7680</v>
      </c>
      <c r="J17983" s="46" t="s">
        <v>134</v>
      </c>
      <c r="K17983" s="46" t="s">
        <v>126</v>
      </c>
      <c r="L17983" s="45">
        <v>46018.229166666664</v>
      </c>
      <c r="M17983" s="46" t="s">
        <v>123</v>
      </c>
      <c r="N17983" s="45">
        <v>46018.25</v>
      </c>
      <c r="O17983" s="46" t="s">
        <v>123</v>
      </c>
      <c r="P17983" s="46">
        <v>1800.0</v>
      </c>
    </row>
    <row r="17984">
      <c r="E17984" s="46" t="s">
        <v>14228</v>
      </c>
      <c r="F17984" s="46" t="s">
        <v>7678</v>
      </c>
      <c r="G17984" s="46">
        <v>3.61861298295E11</v>
      </c>
      <c r="H17984" s="46" t="s">
        <v>7679</v>
      </c>
      <c r="I17984" s="46" t="s">
        <v>7680</v>
      </c>
      <c r="J17984" s="46" t="s">
        <v>4</v>
      </c>
      <c r="K17984" s="46" t="s">
        <v>126</v>
      </c>
      <c r="L17984" s="45">
        <v>46018.875</v>
      </c>
      <c r="M17984" s="46" t="s">
        <v>123</v>
      </c>
      <c r="N17984" s="45">
        <v>46018.895833333336</v>
      </c>
      <c r="O17984" s="46" t="s">
        <v>123</v>
      </c>
      <c r="P17984" s="46">
        <v>1800.0</v>
      </c>
    </row>
    <row r="17985">
      <c r="E17985" s="46" t="s">
        <v>14229</v>
      </c>
      <c r="F17985" s="46" t="s">
        <v>7678</v>
      </c>
      <c r="G17985" s="46">
        <v>3.61861298295E11</v>
      </c>
      <c r="H17985" s="46" t="s">
        <v>7679</v>
      </c>
      <c r="I17985" s="46" t="s">
        <v>7680</v>
      </c>
      <c r="J17985" s="46" t="s">
        <v>530</v>
      </c>
      <c r="K17985" s="46" t="s">
        <v>63</v>
      </c>
      <c r="L17985" s="45">
        <v>46018.875</v>
      </c>
      <c r="M17985" s="46" t="s">
        <v>123</v>
      </c>
      <c r="N17985" s="45">
        <v>46019.25</v>
      </c>
      <c r="O17985" s="46" t="s">
        <v>123</v>
      </c>
      <c r="P17985" s="46">
        <v>32400.0</v>
      </c>
    </row>
    <row r="17986">
      <c r="E17986" s="46" t="s">
        <v>14230</v>
      </c>
      <c r="F17986" s="46" t="s">
        <v>7678</v>
      </c>
      <c r="G17986" s="46">
        <v>3.61861298295E11</v>
      </c>
      <c r="H17986" s="46" t="s">
        <v>7679</v>
      </c>
      <c r="I17986" s="46" t="s">
        <v>7680</v>
      </c>
      <c r="J17986" s="46" t="s">
        <v>132</v>
      </c>
      <c r="K17986" s="46" t="s">
        <v>126</v>
      </c>
      <c r="L17986" s="45">
        <v>46019.0</v>
      </c>
      <c r="M17986" s="46" t="s">
        <v>123</v>
      </c>
      <c r="N17986" s="45">
        <v>46019.041666666664</v>
      </c>
      <c r="O17986" s="46" t="s">
        <v>123</v>
      </c>
      <c r="P17986" s="46">
        <v>3600.0</v>
      </c>
    </row>
    <row r="17987">
      <c r="E17987" s="46" t="s">
        <v>14231</v>
      </c>
      <c r="F17987" s="46" t="s">
        <v>7678</v>
      </c>
      <c r="G17987" s="46">
        <v>3.61861298295E11</v>
      </c>
      <c r="H17987" s="46" t="s">
        <v>7679</v>
      </c>
      <c r="I17987" s="46" t="s">
        <v>7680</v>
      </c>
      <c r="J17987" s="46" t="s">
        <v>134</v>
      </c>
      <c r="K17987" s="46" t="s">
        <v>126</v>
      </c>
      <c r="L17987" s="45">
        <v>46019.15625</v>
      </c>
      <c r="M17987" s="46" t="s">
        <v>123</v>
      </c>
      <c r="N17987" s="45">
        <v>46019.177083333336</v>
      </c>
      <c r="O17987" s="46" t="s">
        <v>123</v>
      </c>
      <c r="P17987" s="46">
        <v>1800.0</v>
      </c>
    </row>
    <row r="17988">
      <c r="E17988" s="46" t="s">
        <v>14232</v>
      </c>
      <c r="F17988" s="46" t="s">
        <v>527</v>
      </c>
      <c r="G17988" s="46">
        <v>3.61725113576E11</v>
      </c>
      <c r="H17988" s="46" t="s">
        <v>528</v>
      </c>
      <c r="I17988" s="46" t="s">
        <v>529</v>
      </c>
      <c r="J17988" s="46" t="s">
        <v>4</v>
      </c>
      <c r="K17988" s="46" t="s">
        <v>126</v>
      </c>
      <c r="L17988" s="45">
        <v>46014.875</v>
      </c>
      <c r="M17988" s="46" t="s">
        <v>123</v>
      </c>
      <c r="N17988" s="45">
        <v>46014.895833333336</v>
      </c>
      <c r="O17988" s="46" t="s">
        <v>123</v>
      </c>
      <c r="P17988" s="46">
        <v>1800.0</v>
      </c>
    </row>
    <row r="17989">
      <c r="E17989" s="46" t="s">
        <v>14233</v>
      </c>
      <c r="F17989" s="46" t="s">
        <v>527</v>
      </c>
      <c r="G17989" s="46">
        <v>3.61725113576E11</v>
      </c>
      <c r="H17989" s="46" t="s">
        <v>528</v>
      </c>
      <c r="I17989" s="46" t="s">
        <v>529</v>
      </c>
      <c r="J17989" s="46" t="s">
        <v>178</v>
      </c>
      <c r="K17989" s="46" t="s">
        <v>153</v>
      </c>
      <c r="L17989" s="45">
        <v>46014.875</v>
      </c>
      <c r="M17989" s="46" t="s">
        <v>123</v>
      </c>
      <c r="N17989" s="45">
        <v>46015.25</v>
      </c>
      <c r="O17989" s="46" t="s">
        <v>123</v>
      </c>
      <c r="P17989" s="46">
        <v>32400.0</v>
      </c>
      <c r="Q17989" s="46">
        <v>32400.0</v>
      </c>
    </row>
    <row r="17990">
      <c r="E17990" s="46" t="s">
        <v>14234</v>
      </c>
      <c r="F17990" s="46" t="s">
        <v>527</v>
      </c>
      <c r="G17990" s="46">
        <v>3.61725113576E11</v>
      </c>
      <c r="H17990" s="46" t="s">
        <v>528</v>
      </c>
      <c r="I17990" s="46" t="s">
        <v>529</v>
      </c>
      <c r="J17990" s="46" t="s">
        <v>530</v>
      </c>
      <c r="K17990" s="46" t="s">
        <v>63</v>
      </c>
      <c r="L17990" s="45">
        <v>46014.875</v>
      </c>
      <c r="M17990" s="46" t="s">
        <v>123</v>
      </c>
      <c r="N17990" s="45">
        <v>46015.25</v>
      </c>
      <c r="O17990" s="46" t="s">
        <v>123</v>
      </c>
      <c r="P17990" s="46">
        <v>32400.0</v>
      </c>
    </row>
    <row r="17991">
      <c r="E17991" s="46" t="s">
        <v>14235</v>
      </c>
      <c r="F17991" s="46" t="s">
        <v>527</v>
      </c>
      <c r="G17991" s="46">
        <v>3.61725113576E11</v>
      </c>
      <c r="H17991" s="46" t="s">
        <v>528</v>
      </c>
      <c r="I17991" s="46" t="s">
        <v>529</v>
      </c>
      <c r="J17991" s="46" t="s">
        <v>4</v>
      </c>
      <c r="K17991" s="46" t="s">
        <v>126</v>
      </c>
      <c r="L17991" s="45">
        <v>46014.895833333336</v>
      </c>
      <c r="M17991" s="46" t="s">
        <v>123</v>
      </c>
      <c r="N17991" s="45">
        <v>46014.9375</v>
      </c>
      <c r="O17991" s="46" t="s">
        <v>123</v>
      </c>
      <c r="P17991" s="46">
        <v>3600.0</v>
      </c>
      <c r="S17991" s="46" t="s">
        <v>7109</v>
      </c>
    </row>
    <row r="17992">
      <c r="E17992" s="46" t="s">
        <v>14236</v>
      </c>
      <c r="F17992" s="46" t="s">
        <v>527</v>
      </c>
      <c r="G17992" s="46">
        <v>3.61725113576E11</v>
      </c>
      <c r="H17992" s="46" t="s">
        <v>528</v>
      </c>
      <c r="I17992" s="46" t="s">
        <v>529</v>
      </c>
      <c r="J17992" s="46" t="s">
        <v>134</v>
      </c>
      <c r="K17992" s="46" t="s">
        <v>126</v>
      </c>
      <c r="L17992" s="45">
        <v>46015.020833333336</v>
      </c>
      <c r="M17992" s="46" t="s">
        <v>123</v>
      </c>
      <c r="N17992" s="45">
        <v>46015.041666666664</v>
      </c>
      <c r="O17992" s="46" t="s">
        <v>123</v>
      </c>
      <c r="P17992" s="46">
        <v>1800.0</v>
      </c>
    </row>
    <row r="17993">
      <c r="E17993" s="46" t="s">
        <v>14237</v>
      </c>
      <c r="F17993" s="46" t="s">
        <v>527</v>
      </c>
      <c r="G17993" s="46">
        <v>3.61725113576E11</v>
      </c>
      <c r="H17993" s="46" t="s">
        <v>528</v>
      </c>
      <c r="I17993" s="46" t="s">
        <v>529</v>
      </c>
      <c r="J17993" s="46" t="s">
        <v>132</v>
      </c>
      <c r="K17993" s="46" t="s">
        <v>126</v>
      </c>
      <c r="L17993" s="45">
        <v>46015.15625</v>
      </c>
      <c r="M17993" s="46" t="s">
        <v>123</v>
      </c>
      <c r="N17993" s="45">
        <v>46015.197916666664</v>
      </c>
      <c r="O17993" s="46" t="s">
        <v>123</v>
      </c>
      <c r="P17993" s="46">
        <v>3600.0</v>
      </c>
    </row>
    <row r="17994">
      <c r="E17994" s="46" t="s">
        <v>14238</v>
      </c>
      <c r="F17994" s="46" t="s">
        <v>527</v>
      </c>
      <c r="G17994" s="46">
        <v>3.61725113576E11</v>
      </c>
      <c r="H17994" s="46" t="s">
        <v>528</v>
      </c>
      <c r="I17994" s="46" t="s">
        <v>529</v>
      </c>
      <c r="J17994" s="46" t="s">
        <v>4</v>
      </c>
      <c r="K17994" s="46" t="s">
        <v>126</v>
      </c>
      <c r="L17994" s="45">
        <v>46015.875</v>
      </c>
      <c r="M17994" s="46" t="s">
        <v>123</v>
      </c>
      <c r="N17994" s="45">
        <v>46015.895833333336</v>
      </c>
      <c r="O17994" s="46" t="s">
        <v>123</v>
      </c>
      <c r="P17994" s="46">
        <v>1800.0</v>
      </c>
    </row>
    <row r="17995">
      <c r="E17995" s="46" t="s">
        <v>14239</v>
      </c>
      <c r="F17995" s="46" t="s">
        <v>527</v>
      </c>
      <c r="G17995" s="46">
        <v>3.61725113576E11</v>
      </c>
      <c r="H17995" s="46" t="s">
        <v>528</v>
      </c>
      <c r="I17995" s="46" t="s">
        <v>529</v>
      </c>
      <c r="J17995" s="46" t="s">
        <v>178</v>
      </c>
      <c r="K17995" s="46" t="s">
        <v>153</v>
      </c>
      <c r="L17995" s="45">
        <v>46015.875</v>
      </c>
      <c r="M17995" s="46" t="s">
        <v>123</v>
      </c>
      <c r="N17995" s="45">
        <v>46016.25</v>
      </c>
      <c r="O17995" s="46" t="s">
        <v>123</v>
      </c>
      <c r="P17995" s="46">
        <v>32400.0</v>
      </c>
      <c r="Q17995" s="46">
        <v>32400.0</v>
      </c>
      <c r="R17995" s="46" t="s">
        <v>13530</v>
      </c>
      <c r="S17995" s="46" t="s">
        <v>13530</v>
      </c>
    </row>
    <row r="17996">
      <c r="E17996" s="46" t="s">
        <v>14240</v>
      </c>
      <c r="F17996" s="46" t="s">
        <v>527</v>
      </c>
      <c r="G17996" s="46">
        <v>3.61725113576E11</v>
      </c>
      <c r="H17996" s="46" t="s">
        <v>528</v>
      </c>
      <c r="I17996" s="46" t="s">
        <v>529</v>
      </c>
      <c r="J17996" s="46" t="s">
        <v>530</v>
      </c>
      <c r="K17996" s="46" t="s">
        <v>63</v>
      </c>
      <c r="L17996" s="45">
        <v>46015.875</v>
      </c>
      <c r="M17996" s="46" t="s">
        <v>123</v>
      </c>
      <c r="N17996" s="45">
        <v>46016.25</v>
      </c>
      <c r="O17996" s="46" t="s">
        <v>123</v>
      </c>
      <c r="P17996" s="46">
        <v>32400.0</v>
      </c>
    </row>
    <row r="17997">
      <c r="E17997" s="46" t="s">
        <v>14241</v>
      </c>
      <c r="F17997" s="46" t="s">
        <v>527</v>
      </c>
      <c r="G17997" s="46">
        <v>3.61725113576E11</v>
      </c>
      <c r="H17997" s="46" t="s">
        <v>528</v>
      </c>
      <c r="I17997" s="46" t="s">
        <v>529</v>
      </c>
      <c r="J17997" s="46" t="s">
        <v>134</v>
      </c>
      <c r="K17997" s="46" t="s">
        <v>126</v>
      </c>
      <c r="L17997" s="45">
        <v>46016.020833333336</v>
      </c>
      <c r="M17997" s="46" t="s">
        <v>123</v>
      </c>
      <c r="N17997" s="45">
        <v>46016.041666666664</v>
      </c>
      <c r="O17997" s="46" t="s">
        <v>123</v>
      </c>
      <c r="P17997" s="46">
        <v>1800.0</v>
      </c>
    </row>
    <row r="17998">
      <c r="E17998" s="46" t="s">
        <v>14242</v>
      </c>
      <c r="F17998" s="46" t="s">
        <v>527</v>
      </c>
      <c r="G17998" s="46">
        <v>3.61725113576E11</v>
      </c>
      <c r="H17998" s="46" t="s">
        <v>528</v>
      </c>
      <c r="I17998" s="46" t="s">
        <v>529</v>
      </c>
      <c r="J17998" s="46" t="s">
        <v>132</v>
      </c>
      <c r="K17998" s="46" t="s">
        <v>126</v>
      </c>
      <c r="L17998" s="45">
        <v>46016.15625</v>
      </c>
      <c r="M17998" s="46" t="s">
        <v>123</v>
      </c>
      <c r="N17998" s="45">
        <v>46016.197916666664</v>
      </c>
      <c r="O17998" s="46" t="s">
        <v>123</v>
      </c>
      <c r="P17998" s="46">
        <v>3600.0</v>
      </c>
    </row>
    <row r="17999">
      <c r="E17999" s="46" t="s">
        <v>14243</v>
      </c>
      <c r="F17999" s="46" t="s">
        <v>527</v>
      </c>
      <c r="G17999" s="46">
        <v>3.61725113576E11</v>
      </c>
      <c r="H17999" s="46" t="s">
        <v>528</v>
      </c>
      <c r="I17999" s="46" t="s">
        <v>529</v>
      </c>
      <c r="J17999" s="46" t="s">
        <v>4</v>
      </c>
      <c r="K17999" s="46" t="s">
        <v>126</v>
      </c>
      <c r="L17999" s="45">
        <v>46016.875</v>
      </c>
      <c r="M17999" s="46" t="s">
        <v>123</v>
      </c>
      <c r="N17999" s="45">
        <v>46016.895833333336</v>
      </c>
      <c r="O17999" s="46" t="s">
        <v>123</v>
      </c>
      <c r="P17999" s="46">
        <v>1800.0</v>
      </c>
    </row>
    <row r="18000">
      <c r="E18000" s="46" t="s">
        <v>14244</v>
      </c>
      <c r="F18000" s="46" t="s">
        <v>527</v>
      </c>
      <c r="G18000" s="46">
        <v>3.61725113576E11</v>
      </c>
      <c r="H18000" s="46" t="s">
        <v>528</v>
      </c>
      <c r="I18000" s="46" t="s">
        <v>529</v>
      </c>
      <c r="J18000" s="46" t="s">
        <v>530</v>
      </c>
      <c r="K18000" s="46" t="s">
        <v>63</v>
      </c>
      <c r="L18000" s="45">
        <v>46016.875</v>
      </c>
      <c r="M18000" s="46" t="s">
        <v>123</v>
      </c>
      <c r="N18000" s="45">
        <v>46017.229166666664</v>
      </c>
      <c r="O18000" s="46" t="s">
        <v>123</v>
      </c>
      <c r="P18000" s="46">
        <v>30600.0</v>
      </c>
    </row>
    <row r="18001">
      <c r="E18001" s="46" t="s">
        <v>14245</v>
      </c>
      <c r="F18001" s="46" t="s">
        <v>527</v>
      </c>
      <c r="G18001" s="46">
        <v>3.61725113576E11</v>
      </c>
      <c r="H18001" s="46" t="s">
        <v>528</v>
      </c>
      <c r="I18001" s="46" t="s">
        <v>529</v>
      </c>
      <c r="J18001" s="46" t="s">
        <v>178</v>
      </c>
      <c r="K18001" s="46" t="s">
        <v>153</v>
      </c>
      <c r="L18001" s="45">
        <v>46016.875</v>
      </c>
      <c r="M18001" s="46" t="s">
        <v>123</v>
      </c>
      <c r="N18001" s="45">
        <v>46017.25</v>
      </c>
      <c r="O18001" s="46" t="s">
        <v>123</v>
      </c>
      <c r="P18001" s="46">
        <v>32400.0</v>
      </c>
      <c r="Q18001" s="46">
        <v>32400.0</v>
      </c>
      <c r="R18001" s="46" t="s">
        <v>13530</v>
      </c>
      <c r="S18001" s="46" t="s">
        <v>13530</v>
      </c>
    </row>
    <row r="18002">
      <c r="E18002" s="46" t="s">
        <v>14246</v>
      </c>
      <c r="F18002" s="46" t="s">
        <v>527</v>
      </c>
      <c r="G18002" s="46">
        <v>3.61725113576E11</v>
      </c>
      <c r="H18002" s="46" t="s">
        <v>528</v>
      </c>
      <c r="I18002" s="46" t="s">
        <v>529</v>
      </c>
      <c r="J18002" s="46" t="s">
        <v>134</v>
      </c>
      <c r="K18002" s="46" t="s">
        <v>126</v>
      </c>
      <c r="L18002" s="45">
        <v>46017.020833333336</v>
      </c>
      <c r="M18002" s="46" t="s">
        <v>123</v>
      </c>
      <c r="N18002" s="45">
        <v>46017.041666666664</v>
      </c>
      <c r="O18002" s="46" t="s">
        <v>123</v>
      </c>
      <c r="P18002" s="46">
        <v>1800.0</v>
      </c>
    </row>
    <row r="18003">
      <c r="E18003" s="46" t="s">
        <v>14247</v>
      </c>
      <c r="F18003" s="46" t="s">
        <v>527</v>
      </c>
      <c r="G18003" s="46">
        <v>3.61725113576E11</v>
      </c>
      <c r="H18003" s="46" t="s">
        <v>528</v>
      </c>
      <c r="I18003" s="46" t="s">
        <v>529</v>
      </c>
      <c r="J18003" s="46" t="s">
        <v>132</v>
      </c>
      <c r="K18003" s="46" t="s">
        <v>126</v>
      </c>
      <c r="L18003" s="45">
        <v>46017.15625</v>
      </c>
      <c r="M18003" s="46" t="s">
        <v>123</v>
      </c>
      <c r="N18003" s="45">
        <v>46017.197916666664</v>
      </c>
      <c r="O18003" s="46" t="s">
        <v>123</v>
      </c>
      <c r="P18003" s="46">
        <v>3600.0</v>
      </c>
    </row>
    <row r="18004">
      <c r="E18004" s="46" t="s">
        <v>14248</v>
      </c>
      <c r="F18004" s="46" t="s">
        <v>527</v>
      </c>
      <c r="G18004" s="46">
        <v>3.61725113576E11</v>
      </c>
      <c r="H18004" s="46" t="s">
        <v>528</v>
      </c>
      <c r="I18004" s="46" t="s">
        <v>529</v>
      </c>
      <c r="J18004" s="46" t="s">
        <v>62</v>
      </c>
      <c r="K18004" s="46" t="s">
        <v>63</v>
      </c>
      <c r="L18004" s="45">
        <v>46017.229166666664</v>
      </c>
      <c r="M18004" s="46" t="s">
        <v>123</v>
      </c>
      <c r="N18004" s="45">
        <v>46017.25</v>
      </c>
      <c r="O18004" s="46" t="s">
        <v>123</v>
      </c>
      <c r="P18004" s="46">
        <v>1800.0</v>
      </c>
    </row>
    <row r="18005">
      <c r="E18005" s="46" t="s">
        <v>14249</v>
      </c>
      <c r="F18005" s="46" t="s">
        <v>527</v>
      </c>
      <c r="G18005" s="46">
        <v>3.61725113576E11</v>
      </c>
      <c r="H18005" s="46" t="s">
        <v>528</v>
      </c>
      <c r="I18005" s="46" t="s">
        <v>529</v>
      </c>
      <c r="J18005" s="46" t="s">
        <v>152</v>
      </c>
      <c r="K18005" s="46" t="s">
        <v>153</v>
      </c>
      <c r="L18005" s="45">
        <v>46017.875</v>
      </c>
      <c r="M18005" s="46" t="s">
        <v>123</v>
      </c>
      <c r="N18005" s="45">
        <v>46018.041666666664</v>
      </c>
      <c r="O18005" s="46" t="s">
        <v>123</v>
      </c>
      <c r="P18005" s="46">
        <v>14400.0</v>
      </c>
      <c r="Q18005" s="46">
        <v>14400.0</v>
      </c>
      <c r="R18005" s="46" t="s">
        <v>14250</v>
      </c>
      <c r="S18005" s="46" t="s">
        <v>14250</v>
      </c>
    </row>
    <row r="18006">
      <c r="E18006" s="46" t="s">
        <v>14251</v>
      </c>
      <c r="F18006" s="46" t="s">
        <v>527</v>
      </c>
      <c r="G18006" s="46">
        <v>3.61725113576E11</v>
      </c>
      <c r="H18006" s="46" t="s">
        <v>528</v>
      </c>
      <c r="I18006" s="46" t="s">
        <v>529</v>
      </c>
      <c r="J18006" s="46" t="s">
        <v>530</v>
      </c>
      <c r="K18006" s="46" t="s">
        <v>63</v>
      </c>
      <c r="L18006" s="45">
        <v>46017.875</v>
      </c>
      <c r="M18006" s="46" t="s">
        <v>123</v>
      </c>
      <c r="N18006" s="45">
        <v>46018.25</v>
      </c>
      <c r="O18006" s="46" t="s">
        <v>123</v>
      </c>
      <c r="P18006" s="46">
        <v>32400.0</v>
      </c>
    </row>
    <row r="18007">
      <c r="E18007" s="46" t="s">
        <v>14252</v>
      </c>
      <c r="F18007" s="46" t="s">
        <v>527</v>
      </c>
      <c r="G18007" s="46">
        <v>3.61725113576E11</v>
      </c>
      <c r="H18007" s="46" t="s">
        <v>528</v>
      </c>
      <c r="I18007" s="46" t="s">
        <v>529</v>
      </c>
      <c r="J18007" s="46" t="s">
        <v>132</v>
      </c>
      <c r="K18007" s="46" t="s">
        <v>126</v>
      </c>
      <c r="L18007" s="45">
        <v>46018.041666666664</v>
      </c>
      <c r="M18007" s="46" t="s">
        <v>123</v>
      </c>
      <c r="N18007" s="45">
        <v>46018.083333333336</v>
      </c>
      <c r="O18007" s="46" t="s">
        <v>123</v>
      </c>
      <c r="P18007" s="46">
        <v>3600.0</v>
      </c>
    </row>
    <row r="18008">
      <c r="E18008" s="46" t="s">
        <v>14253</v>
      </c>
      <c r="F18008" s="46" t="s">
        <v>527</v>
      </c>
      <c r="G18008" s="46">
        <v>3.61725113576E11</v>
      </c>
      <c r="H18008" s="46" t="s">
        <v>528</v>
      </c>
      <c r="I18008" s="46" t="s">
        <v>529</v>
      </c>
      <c r="J18008" s="46" t="s">
        <v>4</v>
      </c>
      <c r="K18008" s="46" t="s">
        <v>126</v>
      </c>
      <c r="L18008" s="45">
        <v>46018.083333333336</v>
      </c>
      <c r="M18008" s="46" t="s">
        <v>123</v>
      </c>
      <c r="N18008" s="45">
        <v>46018.104166666664</v>
      </c>
      <c r="O18008" s="46" t="s">
        <v>123</v>
      </c>
      <c r="P18008" s="46">
        <v>1800.0</v>
      </c>
    </row>
    <row r="18009">
      <c r="E18009" s="46" t="s">
        <v>14254</v>
      </c>
      <c r="F18009" s="46" t="s">
        <v>527</v>
      </c>
      <c r="G18009" s="46">
        <v>3.61725113576E11</v>
      </c>
      <c r="H18009" s="46" t="s">
        <v>528</v>
      </c>
      <c r="I18009" s="46" t="s">
        <v>529</v>
      </c>
      <c r="J18009" s="46" t="s">
        <v>4</v>
      </c>
      <c r="K18009" s="46" t="s">
        <v>126</v>
      </c>
      <c r="L18009" s="45">
        <v>46018.104166666664</v>
      </c>
      <c r="M18009" s="46" t="s">
        <v>123</v>
      </c>
      <c r="N18009" s="45">
        <v>46018.145833333336</v>
      </c>
      <c r="O18009" s="46" t="s">
        <v>123</v>
      </c>
      <c r="P18009" s="46">
        <v>3600.0</v>
      </c>
      <c r="S18009" s="46" t="s">
        <v>14255</v>
      </c>
    </row>
    <row r="18010">
      <c r="E18010" s="46" t="s">
        <v>14256</v>
      </c>
      <c r="F18010" s="46" t="s">
        <v>527</v>
      </c>
      <c r="G18010" s="46">
        <v>3.61725113576E11</v>
      </c>
      <c r="H18010" s="46" t="s">
        <v>528</v>
      </c>
      <c r="I18010" s="46" t="s">
        <v>529</v>
      </c>
      <c r="J18010" s="46" t="s">
        <v>134</v>
      </c>
      <c r="K18010" s="46" t="s">
        <v>126</v>
      </c>
      <c r="L18010" s="45">
        <v>46018.145833333336</v>
      </c>
      <c r="M18010" s="46" t="s">
        <v>123</v>
      </c>
      <c r="N18010" s="45">
        <v>46018.15625</v>
      </c>
      <c r="O18010" s="46" t="s">
        <v>123</v>
      </c>
      <c r="P18010" s="46">
        <v>900.0</v>
      </c>
    </row>
    <row r="18011">
      <c r="E18011" s="46" t="s">
        <v>14257</v>
      </c>
      <c r="F18011" s="46" t="s">
        <v>527</v>
      </c>
      <c r="G18011" s="46">
        <v>3.61725113576E11</v>
      </c>
      <c r="H18011" s="46" t="s">
        <v>528</v>
      </c>
      <c r="I18011" s="46" t="s">
        <v>529</v>
      </c>
      <c r="J18011" s="46" t="s">
        <v>4</v>
      </c>
      <c r="K18011" s="46" t="s">
        <v>126</v>
      </c>
      <c r="L18011" s="45">
        <v>46018.875</v>
      </c>
      <c r="M18011" s="46" t="s">
        <v>123</v>
      </c>
      <c r="N18011" s="45">
        <v>46018.895833333336</v>
      </c>
      <c r="O18011" s="46" t="s">
        <v>123</v>
      </c>
      <c r="P18011" s="46">
        <v>1800.0</v>
      </c>
    </row>
    <row r="18012">
      <c r="E18012" s="46" t="s">
        <v>14258</v>
      </c>
      <c r="F18012" s="46" t="s">
        <v>527</v>
      </c>
      <c r="G18012" s="46">
        <v>3.61725113576E11</v>
      </c>
      <c r="H18012" s="46" t="s">
        <v>528</v>
      </c>
      <c r="I18012" s="46" t="s">
        <v>529</v>
      </c>
      <c r="J18012" s="46" t="s">
        <v>530</v>
      </c>
      <c r="K18012" s="46" t="s">
        <v>63</v>
      </c>
      <c r="L18012" s="45">
        <v>46018.875</v>
      </c>
      <c r="M18012" s="46" t="s">
        <v>123</v>
      </c>
      <c r="N18012" s="45">
        <v>46019.25</v>
      </c>
      <c r="O18012" s="46" t="s">
        <v>123</v>
      </c>
      <c r="P18012" s="46">
        <v>32400.0</v>
      </c>
    </row>
    <row r="18013">
      <c r="E18013" s="46" t="s">
        <v>14259</v>
      </c>
      <c r="F18013" s="46" t="s">
        <v>527</v>
      </c>
      <c r="G18013" s="46">
        <v>3.61725113576E11</v>
      </c>
      <c r="H18013" s="46" t="s">
        <v>528</v>
      </c>
      <c r="I18013" s="46" t="s">
        <v>529</v>
      </c>
      <c r="J18013" s="46" t="s">
        <v>4</v>
      </c>
      <c r="K18013" s="46" t="s">
        <v>126</v>
      </c>
      <c r="L18013" s="45">
        <v>46018.895833333336</v>
      </c>
      <c r="M18013" s="46" t="s">
        <v>123</v>
      </c>
      <c r="N18013" s="45">
        <v>46018.927083333336</v>
      </c>
      <c r="O18013" s="46" t="s">
        <v>123</v>
      </c>
      <c r="P18013" s="46">
        <v>2700.0</v>
      </c>
      <c r="S18013" s="46" t="s">
        <v>13527</v>
      </c>
    </row>
    <row r="18014">
      <c r="E18014" s="46" t="s">
        <v>14260</v>
      </c>
      <c r="F18014" s="46" t="s">
        <v>527</v>
      </c>
      <c r="G18014" s="46">
        <v>3.61725113576E11</v>
      </c>
      <c r="H18014" s="46" t="s">
        <v>528</v>
      </c>
      <c r="I18014" s="46" t="s">
        <v>529</v>
      </c>
      <c r="J18014" s="46" t="s">
        <v>134</v>
      </c>
      <c r="K18014" s="46" t="s">
        <v>126</v>
      </c>
      <c r="L18014" s="45">
        <v>46018.979166666664</v>
      </c>
      <c r="M18014" s="46" t="s">
        <v>123</v>
      </c>
      <c r="N18014" s="45">
        <v>46019.0</v>
      </c>
      <c r="O18014" s="46" t="s">
        <v>123</v>
      </c>
      <c r="P18014" s="46">
        <v>1800.0</v>
      </c>
    </row>
    <row r="18015">
      <c r="E18015" s="46" t="s">
        <v>14261</v>
      </c>
      <c r="F18015" s="46" t="s">
        <v>527</v>
      </c>
      <c r="G18015" s="46">
        <v>3.61725113576E11</v>
      </c>
      <c r="H18015" s="46" t="s">
        <v>528</v>
      </c>
      <c r="I18015" s="46" t="s">
        <v>529</v>
      </c>
      <c r="J18015" s="46" t="s">
        <v>132</v>
      </c>
      <c r="K18015" s="46" t="s">
        <v>126</v>
      </c>
      <c r="L18015" s="45">
        <v>46019.114583333336</v>
      </c>
      <c r="M18015" s="46" t="s">
        <v>123</v>
      </c>
      <c r="N18015" s="45">
        <v>46019.15625</v>
      </c>
      <c r="O18015" s="46" t="s">
        <v>123</v>
      </c>
      <c r="P18015" s="46">
        <v>3600.0</v>
      </c>
    </row>
  </sheetData>
  <hyperlinks>
    <hyperlink r:id="rId1" ref="R2875"/>
    <hyperlink r:id="rId2" ref="S2875"/>
    <hyperlink r:id="rId3" ref="S5395"/>
    <hyperlink r:id="rId4" ref="S5399"/>
    <hyperlink r:id="rId5" ref="S13384"/>
    <hyperlink r:id="rId6" ref="S13385"/>
  </hyperlinks>
  <drawing r:id="rId7"/>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75"/>
    <col customWidth="1" min="2" max="4" width="13.38"/>
    <col customWidth="1" min="6" max="6" width="25.38"/>
    <col customWidth="1" min="9" max="9" width="20.88"/>
  </cols>
  <sheetData>
    <row r="1">
      <c r="A1" s="6" t="s">
        <v>0</v>
      </c>
      <c r="B1" s="7">
        <f>TODAY()-WEEKDAY(TODAY(),2)-6</f>
        <v>46104</v>
      </c>
      <c r="C1" s="8"/>
      <c r="D1" s="8"/>
      <c r="E1" s="9"/>
      <c r="F1" s="9"/>
      <c r="G1" s="49"/>
      <c r="H1" s="9"/>
      <c r="I1" s="9"/>
      <c r="J1" s="49"/>
    </row>
    <row r="2">
      <c r="A2" s="12"/>
      <c r="B2" s="8"/>
      <c r="C2" s="8"/>
      <c r="D2" s="8"/>
      <c r="E2" s="9"/>
      <c r="F2" s="9"/>
      <c r="G2" s="49"/>
      <c r="H2" s="9"/>
      <c r="I2" s="9"/>
      <c r="J2" s="49"/>
    </row>
    <row r="3">
      <c r="A3" s="13" t="s">
        <v>2</v>
      </c>
      <c r="B3" s="14" t="s">
        <v>3</v>
      </c>
      <c r="C3" s="14" t="s">
        <v>4</v>
      </c>
      <c r="D3" s="15" t="s">
        <v>6</v>
      </c>
      <c r="E3" s="9"/>
      <c r="F3" s="9"/>
      <c r="G3" s="49"/>
      <c r="H3" s="9"/>
      <c r="I3" s="9"/>
      <c r="J3" s="49"/>
    </row>
    <row r="4">
      <c r="A4" s="16" t="s">
        <v>7</v>
      </c>
      <c r="B4" s="17">
        <f t="shared" ref="B4:C4" si="1">sum(B5:B11)</f>
        <v>0</v>
      </c>
      <c r="C4" s="17">
        <f t="shared" si="1"/>
        <v>0</v>
      </c>
      <c r="D4" s="18" t="str">
        <f t="shared" ref="D4:D11" si="2">iferror(C4/B4, "--")</f>
        <v>--</v>
      </c>
      <c r="E4" s="9"/>
      <c r="F4" s="9"/>
      <c r="G4" s="49"/>
      <c r="H4" s="9"/>
      <c r="I4" s="9"/>
      <c r="J4" s="49"/>
    </row>
    <row r="5">
      <c r="A5" s="12" t="s">
        <v>8</v>
      </c>
      <c r="B5" s="19">
        <f>sumifs('Staffing Timeline Export'!$P:$P,'Staffing Timeline Export'!$B:$B,$A5,'Staffing Timeline Export'!$A:$A,$B$1, 'Staffing Timeline Export'!$J:$J, "Placeholder: Training Block")/3600</f>
        <v>0</v>
      </c>
      <c r="C5" s="19">
        <f>sumifs('Staffing Timeline Export'!$P:$P,'Staffing Timeline Export'!$B:$B,$A5,'Staffing Timeline Export'!$A:$A,$B$1, 'Staffing Timeline Export'!$J:$J, "Training")/3600</f>
        <v>0</v>
      </c>
      <c r="D5" s="50" t="str">
        <f t="shared" si="2"/>
        <v>--</v>
      </c>
      <c r="E5" s="9"/>
      <c r="F5" s="9"/>
      <c r="G5" s="49"/>
      <c r="H5" s="9"/>
      <c r="I5" s="9"/>
      <c r="J5" s="49"/>
    </row>
    <row r="6">
      <c r="A6" s="12" t="s">
        <v>9</v>
      </c>
      <c r="B6" s="19">
        <f>sumifs('Staffing Timeline Export'!$P:$P,'Staffing Timeline Export'!$B:$B,$A6,'Staffing Timeline Export'!$A:$A,$B$1, 'Staffing Timeline Export'!$J:$J, "Placeholder: Training Block")/3600</f>
        <v>0</v>
      </c>
      <c r="C6" s="19">
        <f>sumifs('Staffing Timeline Export'!$P:$P,'Staffing Timeline Export'!$B:$B,$A6,'Staffing Timeline Export'!$A:$A,$B$1, 'Staffing Timeline Export'!$J:$J, "Training")/3600</f>
        <v>0</v>
      </c>
      <c r="D6" s="50" t="str">
        <f t="shared" si="2"/>
        <v>--</v>
      </c>
      <c r="E6" s="9"/>
      <c r="F6" s="9"/>
      <c r="G6" s="49"/>
      <c r="H6" s="9"/>
      <c r="I6" s="9"/>
      <c r="J6" s="49"/>
    </row>
    <row r="7">
      <c r="A7" s="12" t="s">
        <v>10</v>
      </c>
      <c r="B7" s="19">
        <f>sumifs('Staffing Timeline Export'!$P:$P,'Staffing Timeline Export'!$B:$B,$A7,'Staffing Timeline Export'!$A:$A,$B$1, 'Staffing Timeline Export'!$J:$J, "Placeholder: Training Block")/3600</f>
        <v>0</v>
      </c>
      <c r="C7" s="19">
        <f>sumifs('Staffing Timeline Export'!$P:$P,'Staffing Timeline Export'!$B:$B,$A7,'Staffing Timeline Export'!$A:$A,$B$1, 'Staffing Timeline Export'!$J:$J, "Training")/3600</f>
        <v>0</v>
      </c>
      <c r="D7" s="50" t="str">
        <f t="shared" si="2"/>
        <v>--</v>
      </c>
      <c r="E7" s="9"/>
      <c r="F7" s="9"/>
      <c r="G7" s="49"/>
      <c r="H7" s="9"/>
      <c r="I7" s="9"/>
      <c r="J7" s="49"/>
    </row>
    <row r="8">
      <c r="A8" s="12" t="s">
        <v>11</v>
      </c>
      <c r="B8" s="19">
        <f>sumifs('Staffing Timeline Export'!$P:$P,'Staffing Timeline Export'!$B:$B,$A8,'Staffing Timeline Export'!$A:$A,$B$1, 'Staffing Timeline Export'!$J:$J, "Placeholder: Training Block")/3600</f>
        <v>0</v>
      </c>
      <c r="C8" s="19">
        <f>sumifs('Staffing Timeline Export'!$P:$P,'Staffing Timeline Export'!$B:$B,$A8,'Staffing Timeline Export'!$A:$A,$B$1, 'Staffing Timeline Export'!$J:$J, "Training")/3600</f>
        <v>0</v>
      </c>
      <c r="D8" s="50" t="str">
        <f t="shared" si="2"/>
        <v>--</v>
      </c>
      <c r="E8" s="9"/>
      <c r="F8" s="9"/>
      <c r="G8" s="49"/>
      <c r="H8" s="9"/>
      <c r="I8" s="9"/>
      <c r="J8" s="49"/>
    </row>
    <row r="9">
      <c r="A9" s="12" t="s">
        <v>12</v>
      </c>
      <c r="B9" s="19">
        <f>sumifs('Staffing Timeline Export'!$P:$P,'Staffing Timeline Export'!$B:$B,$A9,'Staffing Timeline Export'!$A:$A,$B$1, 'Staffing Timeline Export'!$J:$J, "Placeholder: Training Block")/3600</f>
        <v>0</v>
      </c>
      <c r="C9" s="19">
        <f>sumifs('Staffing Timeline Export'!$P:$P,'Staffing Timeline Export'!$B:$B,$A9,'Staffing Timeline Export'!$A:$A,$B$1, 'Staffing Timeline Export'!$J:$J, "Training")/3600</f>
        <v>0</v>
      </c>
      <c r="D9" s="50" t="str">
        <f t="shared" si="2"/>
        <v>--</v>
      </c>
      <c r="E9" s="9"/>
      <c r="F9" s="9"/>
      <c r="G9" s="49"/>
      <c r="H9" s="9"/>
      <c r="I9" s="9"/>
      <c r="J9" s="49"/>
    </row>
    <row r="10">
      <c r="A10" s="12" t="s">
        <v>13</v>
      </c>
      <c r="B10" s="19">
        <f>sumifs('Staffing Timeline Export'!$P:$P,'Staffing Timeline Export'!$B:$B,$A10,'Staffing Timeline Export'!$A:$A,$B$1, 'Staffing Timeline Export'!$J:$J, "Placeholder: Training Block")/3600</f>
        <v>0</v>
      </c>
      <c r="C10" s="19">
        <f>sumifs('Staffing Timeline Export'!$P:$P,'Staffing Timeline Export'!$B:$B,$A10,'Staffing Timeline Export'!$A:$A,$B$1, 'Staffing Timeline Export'!$J:$J, "Training")/3600</f>
        <v>0</v>
      </c>
      <c r="D10" s="50" t="str">
        <f t="shared" si="2"/>
        <v>--</v>
      </c>
      <c r="E10" s="9"/>
      <c r="F10" s="9"/>
      <c r="G10" s="49"/>
      <c r="H10" s="9"/>
      <c r="I10" s="9"/>
      <c r="J10" s="49"/>
    </row>
    <row r="11">
      <c r="A11" s="12" t="s">
        <v>14</v>
      </c>
      <c r="B11" s="19">
        <f>sumifs('Staffing Timeline Export'!$P:$P,'Staffing Timeline Export'!$B:$B,$A11,'Staffing Timeline Export'!$A:$A,$B$1, 'Staffing Timeline Export'!$J:$J, "Placeholder: Training Block")/3600</f>
        <v>0</v>
      </c>
      <c r="C11" s="19">
        <f>sumifs('Staffing Timeline Export'!$P:$P,'Staffing Timeline Export'!$B:$B,$A11,'Staffing Timeline Export'!$A:$A,$B$1, 'Staffing Timeline Export'!$J:$J, "Training")/3600</f>
        <v>0</v>
      </c>
      <c r="D11" s="50" t="str">
        <f t="shared" si="2"/>
        <v>--</v>
      </c>
      <c r="E11" s="9"/>
      <c r="F11" s="9"/>
      <c r="G11" s="49"/>
      <c r="H11" s="9"/>
      <c r="I11" s="9"/>
      <c r="J11" s="49"/>
    </row>
    <row r="12">
      <c r="A12" s="9"/>
      <c r="B12" s="21"/>
      <c r="C12" s="21"/>
      <c r="D12" s="21"/>
      <c r="E12" s="9"/>
      <c r="F12" s="9"/>
      <c r="G12" s="49"/>
      <c r="H12" s="9"/>
      <c r="I12" s="9"/>
      <c r="J12" s="49"/>
    </row>
    <row r="13">
      <c r="A13" s="9"/>
      <c r="B13" s="21"/>
      <c r="C13" s="21"/>
      <c r="D13" s="21"/>
      <c r="E13" s="9"/>
      <c r="F13" s="9"/>
      <c r="G13" s="49"/>
      <c r="H13" s="9"/>
      <c r="I13" s="9"/>
      <c r="J13" s="49"/>
    </row>
    <row r="14">
      <c r="A14" s="9"/>
      <c r="B14" s="21"/>
      <c r="C14" s="21"/>
      <c r="D14" s="21"/>
      <c r="E14" s="9"/>
      <c r="F14" s="9"/>
      <c r="G14" s="49"/>
      <c r="H14" s="9"/>
      <c r="I14" s="9"/>
      <c r="J14" s="49"/>
    </row>
    <row r="15">
      <c r="A15" s="22" t="s">
        <v>15</v>
      </c>
      <c r="B15" s="8" t="s">
        <v>3</v>
      </c>
      <c r="C15" s="8" t="s">
        <v>4</v>
      </c>
      <c r="D15" s="20" t="s">
        <v>6</v>
      </c>
      <c r="E15" s="9"/>
      <c r="F15" s="23" t="s">
        <v>16</v>
      </c>
      <c r="G15" s="49"/>
      <c r="H15" s="9"/>
      <c r="I15" s="23" t="s">
        <v>17</v>
      </c>
      <c r="J15" s="49"/>
    </row>
    <row r="16">
      <c r="A16" s="24" t="s">
        <v>18</v>
      </c>
      <c r="B16" s="19">
        <f>sumifs('Staffing Timeline Export'!$P:$P, 'Staffing Timeline Export'!$C:$C,$A16,'Staffing Timeline Export'!$A:$A,$B$1, 'Staffing Timeline Export'!$J:$J, "Placeholder: Training Block")/3600</f>
        <v>0</v>
      </c>
      <c r="C16" s="19">
        <f>sumifs('Staffing Timeline Export'!$P:$P, 'Staffing Timeline Export'!$C:$C,$A16,'Staffing Timeline Export'!$A:$A,$B$1, 'Staffing Timeline Export'!$J:$J, "Training")/3600</f>
        <v>0</v>
      </c>
      <c r="D16" s="50" t="str">
        <f t="shared" ref="D16:D32" si="3">iferror(C16/B16, "--")</f>
        <v>--</v>
      </c>
      <c r="E16" s="9"/>
      <c r="F16" s="25" t="str">
        <f>IFERROR(__xludf.DUMMYFUNCTION("iferror(filter($A$16:$A$32, ($D$16:$D$32 &lt; 0.5)* ($D$16:$D$32 &lt;&gt; 0)), ""None"")"),"None")</f>
        <v>None</v>
      </c>
      <c r="G16" s="51" t="str">
        <f t="shared" ref="G16:G33" si="4">iferror(xlookup(F16,$A$16:$A$32,$D$16:$D$32),"")</f>
        <v/>
      </c>
      <c r="H16" s="9"/>
      <c r="I16" s="27" t="str">
        <f>IFERROR(__xludf.DUMMYFUNCTION("iferror(filter($A$16:$A$32, ($D$16:$D$32 = 0)), ""None"")"),"None")</f>
        <v>None</v>
      </c>
      <c r="J16" s="51" t="str">
        <f t="shared" ref="J16:J33" si="5">iferror(xlookup(I16,$A$16:$A$32,$D$16:$D$32),"")</f>
        <v/>
      </c>
    </row>
    <row r="17">
      <c r="A17" s="24" t="s">
        <v>19</v>
      </c>
      <c r="B17" s="19">
        <f>sumifs('Staffing Timeline Export'!$P:$P, 'Staffing Timeline Export'!$C:$C,$A17,'Staffing Timeline Export'!$A:$A,$B$1, 'Staffing Timeline Export'!$J:$J, "Placeholder: Training Block")/3600</f>
        <v>0</v>
      </c>
      <c r="C17" s="19">
        <f>sumifs('Staffing Timeline Export'!$P:$P, 'Staffing Timeline Export'!$C:$C,$A17,'Staffing Timeline Export'!$A:$A,$B$1, 'Staffing Timeline Export'!$J:$J, "Training")/3600</f>
        <v>0</v>
      </c>
      <c r="D17" s="50" t="str">
        <f t="shared" si="3"/>
        <v>--</v>
      </c>
      <c r="E17" s="9"/>
      <c r="F17" s="25"/>
      <c r="G17" s="51" t="str">
        <f t="shared" si="4"/>
        <v/>
      </c>
      <c r="H17" s="9"/>
      <c r="I17" s="27"/>
      <c r="J17" s="51" t="str">
        <f t="shared" si="5"/>
        <v/>
      </c>
    </row>
    <row r="18">
      <c r="A18" s="24" t="s">
        <v>20</v>
      </c>
      <c r="B18" s="19">
        <f>sumifs('Staffing Timeline Export'!$P:$P, 'Staffing Timeline Export'!$C:$C,$A18,'Staffing Timeline Export'!$A:$A,$B$1, 'Staffing Timeline Export'!$J:$J, "Placeholder: Training Block")/3600</f>
        <v>0</v>
      </c>
      <c r="C18" s="19">
        <f>sumifs('Staffing Timeline Export'!$P:$P, 'Staffing Timeline Export'!$C:$C,$A18,'Staffing Timeline Export'!$A:$A,$B$1, 'Staffing Timeline Export'!$J:$J, "Training")/3600</f>
        <v>0</v>
      </c>
      <c r="D18" s="50" t="str">
        <f t="shared" si="3"/>
        <v>--</v>
      </c>
      <c r="E18" s="9"/>
      <c r="F18" s="25"/>
      <c r="G18" s="51" t="str">
        <f t="shared" si="4"/>
        <v/>
      </c>
      <c r="H18" s="9"/>
      <c r="I18" s="27"/>
      <c r="J18" s="51" t="str">
        <f t="shared" si="5"/>
        <v/>
      </c>
    </row>
    <row r="19">
      <c r="A19" s="24" t="s">
        <v>21</v>
      </c>
      <c r="B19" s="19">
        <f>sumifs('Staffing Timeline Export'!$P:$P, 'Staffing Timeline Export'!$C:$C,$A19,'Staffing Timeline Export'!$A:$A,$B$1, 'Staffing Timeline Export'!$J:$J, "Placeholder: Training Block")/3600</f>
        <v>0</v>
      </c>
      <c r="C19" s="19">
        <f>sumifs('Staffing Timeline Export'!$P:$P, 'Staffing Timeline Export'!$C:$C,$A19,'Staffing Timeline Export'!$A:$A,$B$1, 'Staffing Timeline Export'!$J:$J, "Training")/3600</f>
        <v>0</v>
      </c>
      <c r="D19" s="50" t="str">
        <f t="shared" si="3"/>
        <v>--</v>
      </c>
      <c r="E19" s="9"/>
      <c r="F19" s="25"/>
      <c r="G19" s="51" t="str">
        <f t="shared" si="4"/>
        <v/>
      </c>
      <c r="H19" s="9"/>
      <c r="I19" s="27"/>
      <c r="J19" s="51" t="str">
        <f t="shared" si="5"/>
        <v/>
      </c>
    </row>
    <row r="20">
      <c r="A20" s="24" t="s">
        <v>22</v>
      </c>
      <c r="B20" s="19">
        <f>sumifs('Staffing Timeline Export'!$P:$P, 'Staffing Timeline Export'!$C:$C,$A20,'Staffing Timeline Export'!$A:$A,$B$1, 'Staffing Timeline Export'!$J:$J, "Placeholder: Training Block")/3600</f>
        <v>0</v>
      </c>
      <c r="C20" s="19">
        <f>sumifs('Staffing Timeline Export'!$P:$P, 'Staffing Timeline Export'!$C:$C,$A20,'Staffing Timeline Export'!$A:$A,$B$1, 'Staffing Timeline Export'!$J:$J, "Training")/3600</f>
        <v>0</v>
      </c>
      <c r="D20" s="50" t="str">
        <f t="shared" si="3"/>
        <v>--</v>
      </c>
      <c r="E20" s="9"/>
      <c r="F20" s="25"/>
      <c r="G20" s="51" t="str">
        <f t="shared" si="4"/>
        <v/>
      </c>
      <c r="H20" s="9"/>
      <c r="I20" s="27"/>
      <c r="J20" s="51" t="str">
        <f t="shared" si="5"/>
        <v/>
      </c>
    </row>
    <row r="21">
      <c r="A21" s="24" t="s">
        <v>23</v>
      </c>
      <c r="B21" s="19">
        <f>sumifs('Staffing Timeline Export'!$P:$P, 'Staffing Timeline Export'!$C:$C,$A21,'Staffing Timeline Export'!$A:$A,$B$1, 'Staffing Timeline Export'!$J:$J, "Placeholder: Training Block")/3600</f>
        <v>0</v>
      </c>
      <c r="C21" s="19">
        <f>sumifs('Staffing Timeline Export'!$P:$P, 'Staffing Timeline Export'!$C:$C,$A21,'Staffing Timeline Export'!$A:$A,$B$1, 'Staffing Timeline Export'!$J:$J, "Training")/3600</f>
        <v>0</v>
      </c>
      <c r="D21" s="50" t="str">
        <f t="shared" si="3"/>
        <v>--</v>
      </c>
      <c r="E21" s="9"/>
      <c r="F21" s="25"/>
      <c r="G21" s="51" t="str">
        <f t="shared" si="4"/>
        <v/>
      </c>
      <c r="H21" s="9"/>
      <c r="I21" s="25"/>
      <c r="J21" s="51" t="str">
        <f t="shared" si="5"/>
        <v/>
      </c>
    </row>
    <row r="22">
      <c r="A22" s="24" t="s">
        <v>24</v>
      </c>
      <c r="B22" s="19">
        <f>sumifs('Staffing Timeline Export'!$P:$P, 'Staffing Timeline Export'!$C:$C,$A22,'Staffing Timeline Export'!$A:$A,$B$1, 'Staffing Timeline Export'!$J:$J, "Placeholder: Training Block")/3600</f>
        <v>0</v>
      </c>
      <c r="C22" s="19">
        <f>sumifs('Staffing Timeline Export'!$P:$P, 'Staffing Timeline Export'!$C:$C,$A22,'Staffing Timeline Export'!$A:$A,$B$1, 'Staffing Timeline Export'!$J:$J, "Training")/3600</f>
        <v>0</v>
      </c>
      <c r="D22" s="50" t="str">
        <f t="shared" si="3"/>
        <v>--</v>
      </c>
      <c r="E22" s="9"/>
      <c r="F22" s="25"/>
      <c r="G22" s="51" t="str">
        <f t="shared" si="4"/>
        <v/>
      </c>
      <c r="H22" s="9"/>
      <c r="I22" s="25"/>
      <c r="J22" s="51" t="str">
        <f t="shared" si="5"/>
        <v/>
      </c>
    </row>
    <row r="23">
      <c r="A23" s="24" t="s">
        <v>25</v>
      </c>
      <c r="B23" s="19">
        <f>sumifs('Staffing Timeline Export'!$P:$P, 'Staffing Timeline Export'!$C:$C,$A23,'Staffing Timeline Export'!$A:$A,$B$1, 'Staffing Timeline Export'!$J:$J, "Placeholder: Training Block")/3600</f>
        <v>0</v>
      </c>
      <c r="C23" s="19">
        <f>sumifs('Staffing Timeline Export'!$P:$P, 'Staffing Timeline Export'!$C:$C,$A23,'Staffing Timeline Export'!$A:$A,$B$1, 'Staffing Timeline Export'!$J:$J, "Training")/3600</f>
        <v>0</v>
      </c>
      <c r="D23" s="50" t="str">
        <f t="shared" si="3"/>
        <v>--</v>
      </c>
      <c r="E23" s="9"/>
      <c r="F23" s="25"/>
      <c r="G23" s="51" t="str">
        <f t="shared" si="4"/>
        <v/>
      </c>
      <c r="H23" s="9"/>
      <c r="I23" s="25"/>
      <c r="J23" s="51" t="str">
        <f t="shared" si="5"/>
        <v/>
      </c>
    </row>
    <row r="24">
      <c r="A24" s="24" t="s">
        <v>26</v>
      </c>
      <c r="B24" s="19">
        <f>sumifs('Staffing Timeline Export'!$P:$P, 'Staffing Timeline Export'!$C:$C,$A24,'Staffing Timeline Export'!$A:$A,$B$1, 'Staffing Timeline Export'!$J:$J, "Placeholder: Training Block")/3600</f>
        <v>0</v>
      </c>
      <c r="C24" s="19">
        <f>sumifs('Staffing Timeline Export'!$P:$P, 'Staffing Timeline Export'!$C:$C,$A24,'Staffing Timeline Export'!$A:$A,$B$1, 'Staffing Timeline Export'!$J:$J, "Training")/3600</f>
        <v>0</v>
      </c>
      <c r="D24" s="50" t="str">
        <f t="shared" si="3"/>
        <v>--</v>
      </c>
      <c r="E24" s="9"/>
      <c r="F24" s="25"/>
      <c r="G24" s="51" t="str">
        <f t="shared" si="4"/>
        <v/>
      </c>
      <c r="H24" s="9"/>
      <c r="I24" s="25"/>
      <c r="J24" s="51" t="str">
        <f t="shared" si="5"/>
        <v/>
      </c>
    </row>
    <row r="25">
      <c r="A25" s="24" t="s">
        <v>27</v>
      </c>
      <c r="B25" s="19">
        <f>sumifs('Staffing Timeline Export'!$P:$P, 'Staffing Timeline Export'!$C:$C,$A25,'Staffing Timeline Export'!$A:$A,$B$1, 'Staffing Timeline Export'!$J:$J, "Placeholder: Training Block")/3600</f>
        <v>0</v>
      </c>
      <c r="C25" s="19">
        <f>sumifs('Staffing Timeline Export'!$P:$P, 'Staffing Timeline Export'!$C:$C,$A25,'Staffing Timeline Export'!$A:$A,$B$1, 'Staffing Timeline Export'!$J:$J, "Training")/3600</f>
        <v>0</v>
      </c>
      <c r="D25" s="50" t="str">
        <f t="shared" si="3"/>
        <v>--</v>
      </c>
      <c r="E25" s="9"/>
      <c r="F25" s="25"/>
      <c r="G25" s="51" t="str">
        <f t="shared" si="4"/>
        <v/>
      </c>
      <c r="H25" s="9"/>
      <c r="I25" s="25"/>
      <c r="J25" s="51" t="str">
        <f t="shared" si="5"/>
        <v/>
      </c>
    </row>
    <row r="26">
      <c r="A26" s="24" t="s">
        <v>28</v>
      </c>
      <c r="B26" s="19">
        <f>sumifs('Staffing Timeline Export'!$P:$P, 'Staffing Timeline Export'!$C:$C,$A26,'Staffing Timeline Export'!$A:$A,$B$1, 'Staffing Timeline Export'!$J:$J, "Placeholder: Training Block")/3600</f>
        <v>0</v>
      </c>
      <c r="C26" s="19">
        <f>sumifs('Staffing Timeline Export'!$P:$P, 'Staffing Timeline Export'!$C:$C,$A26,'Staffing Timeline Export'!$A:$A,$B$1, 'Staffing Timeline Export'!$J:$J, "Training")/3600</f>
        <v>0</v>
      </c>
      <c r="D26" s="50" t="str">
        <f t="shared" si="3"/>
        <v>--</v>
      </c>
      <c r="E26" s="9"/>
      <c r="F26" s="25"/>
      <c r="G26" s="51" t="str">
        <f t="shared" si="4"/>
        <v/>
      </c>
      <c r="H26" s="9"/>
      <c r="I26" s="25"/>
      <c r="J26" s="51" t="str">
        <f t="shared" si="5"/>
        <v/>
      </c>
    </row>
    <row r="27">
      <c r="A27" s="24" t="s">
        <v>29</v>
      </c>
      <c r="B27" s="19">
        <f>sumifs('Staffing Timeline Export'!$P:$P, 'Staffing Timeline Export'!$C:$C,$A27,'Staffing Timeline Export'!$A:$A,$B$1, 'Staffing Timeline Export'!$J:$J, "Placeholder: Training Block")/3600</f>
        <v>0</v>
      </c>
      <c r="C27" s="19">
        <f>sumifs('Staffing Timeline Export'!$P:$P, 'Staffing Timeline Export'!$C:$C,$A27,'Staffing Timeline Export'!$A:$A,$B$1, 'Staffing Timeline Export'!$J:$J, "Training")/3600</f>
        <v>0</v>
      </c>
      <c r="D27" s="50" t="str">
        <f t="shared" si="3"/>
        <v>--</v>
      </c>
      <c r="E27" s="9"/>
      <c r="F27" s="25"/>
      <c r="G27" s="51" t="str">
        <f t="shared" si="4"/>
        <v/>
      </c>
      <c r="H27" s="9"/>
      <c r="I27" s="25"/>
      <c r="J27" s="51" t="str">
        <f t="shared" si="5"/>
        <v/>
      </c>
    </row>
    <row r="28">
      <c r="A28" s="24" t="s">
        <v>30</v>
      </c>
      <c r="B28" s="19">
        <f>sumifs('Staffing Timeline Export'!$P:$P, 'Staffing Timeline Export'!$C:$C,$A28,'Staffing Timeline Export'!$A:$A,$B$1, 'Staffing Timeline Export'!$J:$J, "Placeholder: Training Block")/3600</f>
        <v>0</v>
      </c>
      <c r="C28" s="19">
        <f>sumifs('Staffing Timeline Export'!$P:$P, 'Staffing Timeline Export'!$C:$C,$A28,'Staffing Timeline Export'!$A:$A,$B$1, 'Staffing Timeline Export'!$J:$J, "Training")/3600</f>
        <v>0</v>
      </c>
      <c r="D28" s="50" t="str">
        <f t="shared" si="3"/>
        <v>--</v>
      </c>
      <c r="E28" s="9"/>
      <c r="F28" s="25"/>
      <c r="G28" s="51" t="str">
        <f t="shared" si="4"/>
        <v/>
      </c>
      <c r="H28" s="9"/>
      <c r="I28" s="25"/>
      <c r="J28" s="51" t="str">
        <f t="shared" si="5"/>
        <v/>
      </c>
    </row>
    <row r="29">
      <c r="A29" s="24" t="s">
        <v>31</v>
      </c>
      <c r="B29" s="19">
        <f>sumifs('Staffing Timeline Export'!$P:$P, 'Staffing Timeline Export'!$C:$C,$A29,'Staffing Timeline Export'!$A:$A,$B$1, 'Staffing Timeline Export'!$J:$J, "Placeholder: Training Block")/3600</f>
        <v>0</v>
      </c>
      <c r="C29" s="19">
        <f>sumifs('Staffing Timeline Export'!$P:$P, 'Staffing Timeline Export'!$C:$C,$A29,'Staffing Timeline Export'!$A:$A,$B$1, 'Staffing Timeline Export'!$J:$J, "Training")/3600</f>
        <v>0</v>
      </c>
      <c r="D29" s="50" t="str">
        <f t="shared" si="3"/>
        <v>--</v>
      </c>
      <c r="E29" s="9"/>
      <c r="F29" s="25"/>
      <c r="G29" s="51" t="str">
        <f t="shared" si="4"/>
        <v/>
      </c>
      <c r="H29" s="9"/>
      <c r="I29" s="25"/>
      <c r="J29" s="51" t="str">
        <f t="shared" si="5"/>
        <v/>
      </c>
    </row>
    <row r="30">
      <c r="A30" s="24" t="s">
        <v>32</v>
      </c>
      <c r="B30" s="19">
        <f>sumifs('Staffing Timeline Export'!$P:$P, 'Staffing Timeline Export'!$C:$C,$A30,'Staffing Timeline Export'!$A:$A,$B$1, 'Staffing Timeline Export'!$J:$J, "Placeholder: Training Block")/3600</f>
        <v>0</v>
      </c>
      <c r="C30" s="19">
        <f>sumifs('Staffing Timeline Export'!$P:$P, 'Staffing Timeline Export'!$C:$C,$A30,'Staffing Timeline Export'!$A:$A,$B$1, 'Staffing Timeline Export'!$J:$J, "Training")/3600</f>
        <v>0</v>
      </c>
      <c r="D30" s="50" t="str">
        <f t="shared" si="3"/>
        <v>--</v>
      </c>
      <c r="E30" s="9"/>
      <c r="F30" s="25"/>
      <c r="G30" s="51" t="str">
        <f t="shared" si="4"/>
        <v/>
      </c>
      <c r="H30" s="9"/>
      <c r="I30" s="25"/>
      <c r="J30" s="51" t="str">
        <f t="shared" si="5"/>
        <v/>
      </c>
    </row>
    <row r="31">
      <c r="A31" s="24" t="s">
        <v>33</v>
      </c>
      <c r="B31" s="19">
        <f>sumifs('Staffing Timeline Export'!$P:$P, 'Staffing Timeline Export'!$C:$C,$A31,'Staffing Timeline Export'!$A:$A,$B$1, 'Staffing Timeline Export'!$J:$J, "Placeholder: Training Block")/3600</f>
        <v>0</v>
      </c>
      <c r="C31" s="19">
        <f>sumifs('Staffing Timeline Export'!$P:$P, 'Staffing Timeline Export'!$C:$C,$A31,'Staffing Timeline Export'!$A:$A,$B$1, 'Staffing Timeline Export'!$J:$J, "Training")/3600</f>
        <v>0</v>
      </c>
      <c r="D31" s="50" t="str">
        <f t="shared" si="3"/>
        <v>--</v>
      </c>
      <c r="E31" s="9"/>
      <c r="F31" s="25"/>
      <c r="G31" s="51" t="str">
        <f t="shared" si="4"/>
        <v/>
      </c>
      <c r="H31" s="9"/>
      <c r="I31" s="25"/>
      <c r="J31" s="51" t="str">
        <f t="shared" si="5"/>
        <v/>
      </c>
    </row>
    <row r="32">
      <c r="A32" s="24" t="s">
        <v>34</v>
      </c>
      <c r="B32" s="19">
        <f>sumifs('Staffing Timeline Export'!$P:$P, 'Staffing Timeline Export'!$C:$C,$A32,'Staffing Timeline Export'!$A:$A,$B$1, 'Staffing Timeline Export'!$J:$J, "Placeholder: Training Block")/3600</f>
        <v>0</v>
      </c>
      <c r="C32" s="19">
        <f>sumifs('Staffing Timeline Export'!$P:$P, 'Staffing Timeline Export'!$C:$C,$A32,'Staffing Timeline Export'!$A:$A,$B$1, 'Staffing Timeline Export'!$J:$J, "Training")/3600</f>
        <v>0</v>
      </c>
      <c r="D32" s="50" t="str">
        <f t="shared" si="3"/>
        <v>--</v>
      </c>
      <c r="E32" s="9"/>
      <c r="F32" s="25"/>
      <c r="G32" s="51" t="str">
        <f t="shared" si="4"/>
        <v/>
      </c>
      <c r="H32" s="9"/>
      <c r="I32" s="25"/>
      <c r="J32" s="51" t="str">
        <f t="shared" si="5"/>
        <v/>
      </c>
    </row>
    <row r="33">
      <c r="A33" s="9"/>
      <c r="B33" s="9"/>
      <c r="C33" s="9"/>
      <c r="D33" s="9"/>
      <c r="E33" s="9"/>
      <c r="F33" s="25"/>
      <c r="G33" s="51" t="str">
        <f t="shared" si="4"/>
        <v/>
      </c>
      <c r="H33" s="9"/>
      <c r="I33" s="25"/>
      <c r="J33" s="51" t="str">
        <f t="shared" si="5"/>
        <v/>
      </c>
    </row>
    <row r="34">
      <c r="A34" s="9"/>
      <c r="B34" s="21"/>
      <c r="C34" s="21"/>
      <c r="D34" s="21"/>
      <c r="E34" s="9"/>
      <c r="F34" s="9"/>
      <c r="G34" s="49"/>
      <c r="H34" s="9"/>
      <c r="I34" s="9"/>
      <c r="J34" s="49"/>
    </row>
    <row r="35">
      <c r="A35" s="9"/>
      <c r="B35" s="21"/>
      <c r="C35" s="21"/>
      <c r="D35" s="21"/>
      <c r="E35" s="9"/>
      <c r="F35" s="9"/>
      <c r="G35" s="49"/>
      <c r="H35" s="9"/>
      <c r="I35" s="9"/>
      <c r="J35" s="49"/>
    </row>
  </sheetData>
  <conditionalFormatting sqref="D33">
    <cfRule type="cellIs" dxfId="0" priority="1" operator="lessThanOrEqual">
      <formula>0</formula>
    </cfRule>
  </conditionalFormatting>
  <conditionalFormatting sqref="D33">
    <cfRule type="cellIs" dxfId="1" priority="2" operator="lessThan">
      <formula>"50%"</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8.13"/>
    <col customWidth="1" min="2" max="2" width="26.88"/>
    <col customWidth="1" min="3" max="3" width="17.13"/>
    <col customWidth="1" min="4" max="4" width="23.13"/>
    <col customWidth="1" min="5" max="5" width="20.75"/>
  </cols>
  <sheetData>
    <row r="1">
      <c r="A1" s="52" t="s">
        <v>14262</v>
      </c>
      <c r="B1" s="53" t="s">
        <v>14263</v>
      </c>
      <c r="C1" s="39"/>
      <c r="D1" s="39"/>
      <c r="E1" s="39"/>
      <c r="F1" s="39"/>
      <c r="G1" s="39"/>
    </row>
    <row r="2">
      <c r="A2" s="52" t="s">
        <v>14264</v>
      </c>
      <c r="B2" s="54" t="str">
        <f>"VHC Source "&amp;text(B3, "YYYY MMM DD")&amp;"!A9:AJ"</f>
        <v>VHC Source 2026 Mar 30!A9:AJ</v>
      </c>
      <c r="C2" s="39"/>
      <c r="D2" s="39"/>
      <c r="E2" s="39"/>
      <c r="F2" s="39"/>
      <c r="G2" s="39"/>
    </row>
    <row r="3">
      <c r="A3" s="55" t="s">
        <v>14265</v>
      </c>
      <c r="B3" s="56">
        <f>IF(WEEKDAY(today(),2)=0, today(), today()-WEEKDAY(today(),3))</f>
        <v>46111</v>
      </c>
      <c r="C3" s="39"/>
      <c r="D3" s="39"/>
      <c r="E3" s="39"/>
      <c r="F3" s="39"/>
      <c r="G3" s="39"/>
    </row>
    <row r="4">
      <c r="A4" s="57" t="str">
        <f>IFERROR(__xludf.DUMMYFUNCTION("iferror(if(and(today()&lt;=today()-WEEKDAY(today(),3), int(left(text(now(), ""HH:MM""), 2))&lt;13), query(importrange(B1, ""VHC Source ""&amp;text(B3-7, ""YYYY MMM DD"")&amp;""!A9:AJ""), ""select Col31, Col32, Col26, Col2, Col35 where Col30='Specialist Operations'"", 1"&amp;"), query(importrange(B1, B2), ""select Col31, Col32, Col26, Col2, Col35 where Col30='Specialist Operations'"", 1)), query(importrange(B1, ""VHC Source ""&amp;text(B3-7, ""YYYY MMM DD"")&amp;""!A9:AJ""), ""select Col31, Col32, Col26, Col2, Col35 where Col30='Speci"&amp;"alist Operations'"", 1))"),"Loading...")</f>
        <v>Loading...</v>
      </c>
      <c r="B4" s="58"/>
      <c r="C4" s="39"/>
      <c r="D4" s="39"/>
      <c r="E4" s="39"/>
      <c r="F4" s="39"/>
      <c r="G4" s="39"/>
    </row>
    <row r="5">
      <c r="A5" s="39"/>
      <c r="B5" s="39"/>
      <c r="C5" s="39"/>
      <c r="D5" s="39"/>
      <c r="E5" s="39"/>
      <c r="F5" s="39"/>
      <c r="G5" s="39"/>
    </row>
    <row r="6">
      <c r="A6" s="39"/>
      <c r="B6" s="39"/>
      <c r="C6" s="39"/>
      <c r="D6" s="39"/>
      <c r="E6" s="39"/>
      <c r="F6" s="39"/>
      <c r="G6" s="39"/>
    </row>
    <row r="7">
      <c r="A7" s="39"/>
      <c r="B7" s="39"/>
      <c r="C7" s="39"/>
      <c r="D7" s="39"/>
      <c r="E7" s="39"/>
      <c r="F7" s="39"/>
      <c r="G7" s="39"/>
    </row>
    <row r="8">
      <c r="A8" s="39"/>
      <c r="B8" s="39"/>
      <c r="C8" s="39"/>
      <c r="D8" s="39"/>
      <c r="E8" s="39"/>
      <c r="F8" s="39"/>
      <c r="G8" s="39"/>
    </row>
    <row r="9">
      <c r="A9" s="39"/>
      <c r="B9" s="39"/>
      <c r="C9" s="39"/>
      <c r="D9" s="39"/>
      <c r="E9" s="39"/>
      <c r="F9" s="39"/>
      <c r="G9" s="39"/>
    </row>
    <row r="10">
      <c r="A10" s="39"/>
      <c r="B10" s="39"/>
      <c r="C10" s="39"/>
      <c r="D10" s="39"/>
      <c r="E10" s="39"/>
      <c r="F10" s="39"/>
      <c r="G10" s="39"/>
    </row>
    <row r="11">
      <c r="A11" s="39"/>
      <c r="B11" s="39"/>
      <c r="C11" s="39"/>
      <c r="D11" s="39"/>
      <c r="E11" s="39"/>
      <c r="F11" s="39"/>
      <c r="G11" s="39"/>
    </row>
    <row r="12">
      <c r="A12" s="39"/>
      <c r="B12" s="39"/>
      <c r="C12" s="39"/>
      <c r="D12" s="39"/>
      <c r="E12" s="39"/>
      <c r="F12" s="39"/>
      <c r="G12" s="39"/>
    </row>
    <row r="13">
      <c r="A13" s="39"/>
      <c r="B13" s="39"/>
      <c r="C13" s="39"/>
      <c r="D13" s="39"/>
      <c r="E13" s="39"/>
      <c r="F13" s="39"/>
      <c r="G13" s="39"/>
    </row>
    <row r="14">
      <c r="A14" s="39"/>
      <c r="B14" s="39"/>
      <c r="C14" s="39"/>
      <c r="D14" s="39"/>
      <c r="E14" s="39"/>
      <c r="F14" s="39"/>
      <c r="G14" s="39"/>
    </row>
    <row r="15">
      <c r="A15" s="39"/>
      <c r="B15" s="39"/>
      <c r="C15" s="39"/>
      <c r="D15" s="39"/>
      <c r="E15" s="39"/>
      <c r="F15" s="39"/>
      <c r="G15" s="39"/>
    </row>
    <row r="16">
      <c r="A16" s="39"/>
      <c r="B16" s="39"/>
      <c r="C16" s="39"/>
      <c r="D16" s="39"/>
      <c r="E16" s="39"/>
      <c r="F16" s="39"/>
      <c r="G16" s="39"/>
    </row>
    <row r="17">
      <c r="A17" s="39"/>
      <c r="B17" s="39"/>
      <c r="C17" s="39"/>
      <c r="D17" s="39"/>
      <c r="E17" s="39"/>
      <c r="F17" s="39"/>
      <c r="G17" s="39"/>
    </row>
    <row r="18">
      <c r="A18" s="39"/>
      <c r="B18" s="39"/>
      <c r="C18" s="39"/>
      <c r="D18" s="39"/>
      <c r="E18" s="39"/>
      <c r="F18" s="39"/>
      <c r="G18" s="39"/>
    </row>
    <row r="19">
      <c r="A19" s="39"/>
      <c r="B19" s="39"/>
      <c r="C19" s="39"/>
      <c r="D19" s="39"/>
      <c r="E19" s="39"/>
      <c r="F19" s="39"/>
      <c r="G19" s="39"/>
    </row>
    <row r="20">
      <c r="A20" s="39"/>
      <c r="B20" s="39"/>
      <c r="C20" s="39"/>
      <c r="D20" s="39"/>
      <c r="E20" s="39"/>
      <c r="F20" s="39"/>
      <c r="G20" s="39"/>
    </row>
    <row r="21">
      <c r="A21" s="39"/>
      <c r="B21" s="39"/>
      <c r="C21" s="39"/>
      <c r="D21" s="39"/>
      <c r="E21" s="39"/>
      <c r="F21" s="39"/>
      <c r="G21" s="39"/>
    </row>
    <row r="22">
      <c r="A22" s="39"/>
      <c r="B22" s="39"/>
      <c r="C22" s="39"/>
      <c r="D22" s="39"/>
      <c r="E22" s="39"/>
      <c r="F22" s="39"/>
      <c r="G22" s="39"/>
    </row>
    <row r="23">
      <c r="A23" s="39"/>
      <c r="B23" s="39"/>
      <c r="C23" s="39"/>
      <c r="D23" s="39"/>
      <c r="E23" s="39"/>
      <c r="F23" s="39"/>
      <c r="G23" s="39"/>
    </row>
    <row r="24">
      <c r="A24" s="39"/>
      <c r="B24" s="39"/>
      <c r="C24" s="39"/>
      <c r="D24" s="39"/>
      <c r="E24" s="39"/>
      <c r="F24" s="39"/>
      <c r="G24" s="39"/>
    </row>
    <row r="25">
      <c r="A25" s="39"/>
      <c r="B25" s="39"/>
      <c r="C25" s="39"/>
      <c r="D25" s="39"/>
      <c r="E25" s="39"/>
      <c r="F25" s="39"/>
      <c r="G25" s="39"/>
    </row>
    <row r="26">
      <c r="A26" s="39"/>
      <c r="B26" s="39"/>
      <c r="C26" s="39"/>
      <c r="D26" s="39"/>
      <c r="E26" s="39"/>
      <c r="F26" s="39"/>
      <c r="G26" s="39"/>
    </row>
    <row r="27">
      <c r="A27" s="39"/>
      <c r="B27" s="39"/>
      <c r="C27" s="39"/>
      <c r="D27" s="39"/>
      <c r="E27" s="39"/>
      <c r="F27" s="39"/>
      <c r="G27" s="39"/>
    </row>
    <row r="28">
      <c r="A28" s="39"/>
      <c r="B28" s="39"/>
      <c r="C28" s="39"/>
      <c r="D28" s="39"/>
      <c r="E28" s="39"/>
      <c r="F28" s="39"/>
      <c r="G28" s="39"/>
    </row>
    <row r="29">
      <c r="A29" s="39"/>
      <c r="B29" s="39"/>
      <c r="C29" s="39"/>
      <c r="D29" s="39"/>
      <c r="E29" s="39"/>
      <c r="F29" s="39"/>
      <c r="G29" s="39"/>
    </row>
    <row r="30">
      <c r="A30" s="39"/>
      <c r="B30" s="39"/>
      <c r="C30" s="39"/>
      <c r="D30" s="39"/>
      <c r="E30" s="39"/>
      <c r="F30" s="39"/>
      <c r="G30" s="39"/>
    </row>
    <row r="31">
      <c r="A31" s="39"/>
      <c r="B31" s="39"/>
      <c r="C31" s="39"/>
      <c r="D31" s="39"/>
      <c r="E31" s="39"/>
      <c r="F31" s="39"/>
      <c r="G31" s="39"/>
    </row>
    <row r="32">
      <c r="A32" s="39"/>
      <c r="B32" s="39"/>
      <c r="C32" s="39"/>
      <c r="D32" s="39"/>
      <c r="E32" s="39"/>
      <c r="F32" s="39"/>
      <c r="G32" s="39"/>
    </row>
    <row r="33">
      <c r="A33" s="39"/>
      <c r="B33" s="39"/>
      <c r="C33" s="39"/>
      <c r="D33" s="39"/>
      <c r="E33" s="39"/>
      <c r="F33" s="39"/>
      <c r="G33" s="39"/>
    </row>
    <row r="34">
      <c r="A34" s="39"/>
      <c r="B34" s="39"/>
      <c r="C34" s="39"/>
      <c r="D34" s="39"/>
      <c r="E34" s="39"/>
      <c r="F34" s="39"/>
      <c r="G34" s="39"/>
    </row>
    <row r="35">
      <c r="A35" s="39"/>
      <c r="B35" s="39"/>
      <c r="C35" s="39"/>
      <c r="D35" s="39"/>
      <c r="E35" s="39"/>
      <c r="F35" s="39"/>
      <c r="G35" s="39"/>
    </row>
    <row r="36">
      <c r="A36" s="39"/>
      <c r="B36" s="39"/>
      <c r="C36" s="39"/>
      <c r="D36" s="39"/>
      <c r="E36" s="39"/>
      <c r="F36" s="39"/>
      <c r="G36" s="39"/>
    </row>
    <row r="37">
      <c r="A37" s="39"/>
      <c r="B37" s="39"/>
      <c r="C37" s="39"/>
      <c r="D37" s="39"/>
      <c r="E37" s="39"/>
      <c r="F37" s="39"/>
      <c r="G37" s="39"/>
    </row>
    <row r="38">
      <c r="A38" s="39"/>
      <c r="B38" s="39"/>
      <c r="C38" s="39"/>
      <c r="D38" s="39"/>
      <c r="E38" s="39"/>
      <c r="F38" s="39"/>
      <c r="G38" s="39"/>
    </row>
    <row r="39">
      <c r="A39" s="39"/>
      <c r="B39" s="39"/>
      <c r="C39" s="39"/>
      <c r="D39" s="39"/>
      <c r="E39" s="39"/>
      <c r="F39" s="39"/>
      <c r="G39" s="39"/>
    </row>
    <row r="40">
      <c r="A40" s="39"/>
      <c r="B40" s="39"/>
      <c r="C40" s="39"/>
      <c r="D40" s="39"/>
      <c r="E40" s="39"/>
      <c r="F40" s="39"/>
      <c r="G40" s="39"/>
    </row>
    <row r="41">
      <c r="A41" s="39"/>
      <c r="B41" s="39"/>
      <c r="C41" s="39"/>
      <c r="D41" s="39"/>
      <c r="E41" s="39"/>
      <c r="F41" s="39"/>
      <c r="G41" s="39"/>
    </row>
    <row r="42">
      <c r="A42" s="39"/>
      <c r="B42" s="39"/>
      <c r="C42" s="39"/>
      <c r="D42" s="39"/>
      <c r="E42" s="39"/>
      <c r="F42" s="39"/>
      <c r="G42" s="39"/>
    </row>
    <row r="43">
      <c r="A43" s="39"/>
      <c r="B43" s="39"/>
      <c r="C43" s="39"/>
      <c r="D43" s="39"/>
      <c r="E43" s="39"/>
      <c r="F43" s="39"/>
      <c r="G43" s="39"/>
    </row>
    <row r="44">
      <c r="A44" s="39"/>
      <c r="B44" s="39"/>
      <c r="C44" s="39"/>
      <c r="D44" s="39"/>
      <c r="E44" s="39"/>
      <c r="F44" s="39"/>
      <c r="G44" s="39"/>
    </row>
    <row r="45">
      <c r="A45" s="39"/>
      <c r="B45" s="39"/>
      <c r="C45" s="39"/>
      <c r="D45" s="39"/>
      <c r="E45" s="39"/>
      <c r="F45" s="39"/>
      <c r="G45" s="39"/>
    </row>
    <row r="46">
      <c r="A46" s="39"/>
      <c r="B46" s="39"/>
      <c r="C46" s="39"/>
      <c r="D46" s="39"/>
      <c r="E46" s="39"/>
      <c r="F46" s="39"/>
      <c r="G46" s="39"/>
    </row>
    <row r="47">
      <c r="A47" s="39"/>
      <c r="B47" s="39"/>
      <c r="C47" s="39"/>
      <c r="D47" s="39"/>
      <c r="E47" s="39"/>
      <c r="F47" s="39"/>
      <c r="G47" s="39"/>
    </row>
    <row r="48">
      <c r="A48" s="39"/>
      <c r="B48" s="39"/>
      <c r="C48" s="39"/>
      <c r="D48" s="39"/>
      <c r="E48" s="39"/>
      <c r="F48" s="39"/>
      <c r="G48" s="39"/>
    </row>
    <row r="49">
      <c r="A49" s="39"/>
      <c r="B49" s="39"/>
      <c r="C49" s="39"/>
      <c r="D49" s="39"/>
      <c r="E49" s="39"/>
      <c r="F49" s="39"/>
      <c r="G49" s="39"/>
    </row>
    <row r="50">
      <c r="A50" s="39"/>
      <c r="B50" s="39"/>
      <c r="C50" s="39"/>
      <c r="D50" s="39"/>
      <c r="E50" s="39"/>
      <c r="F50" s="39"/>
      <c r="G50" s="39"/>
    </row>
    <row r="51">
      <c r="A51" s="39"/>
      <c r="B51" s="39"/>
      <c r="C51" s="39"/>
      <c r="D51" s="39"/>
      <c r="E51" s="39"/>
      <c r="F51" s="39"/>
      <c r="G51" s="39"/>
    </row>
    <row r="52">
      <c r="A52" s="39"/>
      <c r="B52" s="39"/>
      <c r="C52" s="39"/>
      <c r="D52" s="39"/>
      <c r="E52" s="39"/>
      <c r="F52" s="39"/>
      <c r="G52" s="39"/>
    </row>
    <row r="53">
      <c r="A53" s="39"/>
      <c r="B53" s="39"/>
      <c r="C53" s="39"/>
      <c r="D53" s="39"/>
      <c r="E53" s="39"/>
      <c r="F53" s="39"/>
      <c r="G53" s="39"/>
    </row>
    <row r="54">
      <c r="A54" s="39"/>
      <c r="B54" s="39"/>
      <c r="C54" s="39"/>
      <c r="D54" s="39"/>
      <c r="E54" s="39"/>
      <c r="F54" s="39"/>
      <c r="G54" s="39"/>
    </row>
    <row r="55">
      <c r="A55" s="39"/>
      <c r="B55" s="39"/>
      <c r="C55" s="39"/>
      <c r="D55" s="39"/>
      <c r="E55" s="39"/>
      <c r="F55" s="39"/>
      <c r="G55" s="39"/>
    </row>
    <row r="56">
      <c r="A56" s="39"/>
      <c r="B56" s="39"/>
      <c r="C56" s="39"/>
      <c r="D56" s="39"/>
      <c r="E56" s="39"/>
      <c r="F56" s="39"/>
      <c r="G56" s="39"/>
    </row>
    <row r="57">
      <c r="A57" s="39"/>
      <c r="B57" s="39"/>
      <c r="C57" s="39"/>
      <c r="D57" s="39"/>
      <c r="E57" s="39"/>
      <c r="F57" s="39"/>
      <c r="G57" s="39"/>
    </row>
    <row r="58">
      <c r="A58" s="39"/>
      <c r="B58" s="39"/>
      <c r="C58" s="39"/>
      <c r="D58" s="39"/>
      <c r="E58" s="39"/>
      <c r="F58" s="39"/>
      <c r="G58" s="39"/>
    </row>
    <row r="59">
      <c r="A59" s="39"/>
      <c r="B59" s="39"/>
      <c r="C59" s="39"/>
      <c r="D59" s="39"/>
      <c r="E59" s="39"/>
      <c r="F59" s="39"/>
      <c r="G59" s="39"/>
    </row>
    <row r="60">
      <c r="A60" s="39"/>
      <c r="B60" s="39"/>
      <c r="C60" s="39"/>
      <c r="D60" s="39"/>
      <c r="E60" s="39"/>
      <c r="F60" s="39"/>
      <c r="G60" s="39"/>
    </row>
    <row r="61">
      <c r="A61" s="39"/>
      <c r="B61" s="39"/>
      <c r="C61" s="39"/>
      <c r="D61" s="39"/>
      <c r="E61" s="39"/>
      <c r="F61" s="39"/>
      <c r="G61" s="39"/>
    </row>
    <row r="62">
      <c r="A62" s="39"/>
      <c r="B62" s="39"/>
      <c r="C62" s="39"/>
      <c r="D62" s="39"/>
      <c r="E62" s="39"/>
      <c r="F62" s="39"/>
      <c r="G62" s="39"/>
    </row>
    <row r="63">
      <c r="A63" s="39"/>
      <c r="B63" s="39"/>
      <c r="C63" s="39"/>
      <c r="D63" s="39"/>
      <c r="E63" s="39"/>
      <c r="F63" s="39"/>
      <c r="G63" s="39"/>
    </row>
    <row r="64">
      <c r="A64" s="39"/>
      <c r="B64" s="39"/>
      <c r="C64" s="39"/>
      <c r="D64" s="39"/>
      <c r="E64" s="39"/>
      <c r="F64" s="39"/>
      <c r="G64" s="39"/>
    </row>
    <row r="65">
      <c r="A65" s="39"/>
      <c r="B65" s="39"/>
      <c r="C65" s="39"/>
      <c r="D65" s="39"/>
      <c r="E65" s="39"/>
      <c r="F65" s="39"/>
      <c r="G65" s="39"/>
    </row>
    <row r="66">
      <c r="A66" s="39"/>
      <c r="B66" s="39"/>
      <c r="C66" s="39"/>
      <c r="D66" s="39"/>
      <c r="E66" s="39"/>
      <c r="F66" s="39"/>
      <c r="G66" s="39"/>
    </row>
    <row r="67">
      <c r="A67" s="39"/>
      <c r="B67" s="39"/>
      <c r="C67" s="39"/>
      <c r="D67" s="39"/>
      <c r="E67" s="39"/>
      <c r="F67" s="39"/>
      <c r="G67" s="39"/>
    </row>
    <row r="68">
      <c r="A68" s="39"/>
      <c r="B68" s="39"/>
      <c r="C68" s="39"/>
      <c r="D68" s="39"/>
      <c r="E68" s="39"/>
      <c r="F68" s="39"/>
      <c r="G68" s="39"/>
    </row>
    <row r="69">
      <c r="A69" s="39"/>
      <c r="B69" s="39"/>
      <c r="C69" s="39"/>
      <c r="D69" s="39"/>
      <c r="E69" s="39"/>
      <c r="F69" s="39"/>
      <c r="G69" s="39"/>
    </row>
    <row r="70">
      <c r="A70" s="39"/>
      <c r="B70" s="39"/>
      <c r="C70" s="39"/>
      <c r="D70" s="39"/>
      <c r="E70" s="39"/>
      <c r="F70" s="39"/>
      <c r="G70" s="39"/>
    </row>
    <row r="71">
      <c r="A71" s="39"/>
      <c r="B71" s="39"/>
      <c r="C71" s="39"/>
      <c r="D71" s="39"/>
      <c r="E71" s="39"/>
      <c r="F71" s="39"/>
      <c r="G71" s="39"/>
    </row>
    <row r="72">
      <c r="A72" s="39"/>
      <c r="B72" s="39"/>
      <c r="C72" s="39"/>
      <c r="D72" s="39"/>
      <c r="E72" s="39"/>
      <c r="F72" s="39"/>
      <c r="G72" s="39"/>
    </row>
    <row r="73">
      <c r="A73" s="39"/>
      <c r="B73" s="39"/>
      <c r="C73" s="39"/>
      <c r="D73" s="39"/>
      <c r="E73" s="39"/>
      <c r="F73" s="39"/>
      <c r="G73" s="39"/>
    </row>
    <row r="74">
      <c r="A74" s="39"/>
      <c r="B74" s="39"/>
      <c r="C74" s="39"/>
      <c r="D74" s="39"/>
      <c r="E74" s="39"/>
      <c r="F74" s="39"/>
      <c r="G74" s="39"/>
    </row>
    <row r="75">
      <c r="A75" s="39"/>
      <c r="B75" s="39"/>
      <c r="C75" s="39"/>
      <c r="D75" s="39"/>
      <c r="E75" s="39"/>
      <c r="F75" s="39"/>
      <c r="G75" s="39"/>
    </row>
    <row r="76">
      <c r="A76" s="39"/>
      <c r="B76" s="39"/>
      <c r="C76" s="39"/>
      <c r="D76" s="39"/>
      <c r="E76" s="39"/>
      <c r="F76" s="39"/>
      <c r="G76" s="39"/>
    </row>
    <row r="77">
      <c r="A77" s="39"/>
      <c r="B77" s="39"/>
      <c r="C77" s="39"/>
      <c r="D77" s="39"/>
      <c r="E77" s="39"/>
      <c r="F77" s="39"/>
      <c r="G77" s="39"/>
    </row>
    <row r="78">
      <c r="A78" s="39"/>
      <c r="B78" s="39"/>
      <c r="C78" s="39"/>
      <c r="D78" s="39"/>
      <c r="E78" s="39"/>
      <c r="F78" s="39"/>
      <c r="G78" s="39"/>
    </row>
    <row r="79">
      <c r="A79" s="39"/>
      <c r="B79" s="39"/>
      <c r="C79" s="39"/>
      <c r="D79" s="39"/>
      <c r="E79" s="39"/>
      <c r="F79" s="39"/>
      <c r="G79" s="39"/>
    </row>
    <row r="80">
      <c r="A80" s="39"/>
      <c r="B80" s="39"/>
      <c r="C80" s="39"/>
      <c r="D80" s="39"/>
      <c r="E80" s="39"/>
      <c r="F80" s="39"/>
      <c r="G80" s="39"/>
    </row>
    <row r="81">
      <c r="A81" s="39"/>
      <c r="B81" s="39"/>
      <c r="C81" s="39"/>
      <c r="D81" s="39"/>
      <c r="E81" s="39"/>
      <c r="F81" s="39"/>
      <c r="G81" s="39"/>
    </row>
    <row r="82">
      <c r="A82" s="39"/>
      <c r="B82" s="39"/>
      <c r="C82" s="39"/>
      <c r="D82" s="39"/>
      <c r="E82" s="39"/>
      <c r="F82" s="39"/>
      <c r="G82" s="39"/>
    </row>
    <row r="83">
      <c r="A83" s="39"/>
      <c r="B83" s="39"/>
      <c r="C83" s="39"/>
      <c r="D83" s="39"/>
      <c r="E83" s="39"/>
      <c r="F83" s="39"/>
      <c r="G83" s="39"/>
    </row>
    <row r="84">
      <c r="A84" s="39"/>
      <c r="B84" s="39"/>
      <c r="C84" s="39"/>
      <c r="D84" s="39"/>
      <c r="E84" s="39"/>
      <c r="F84" s="39"/>
      <c r="G84" s="39"/>
    </row>
    <row r="85">
      <c r="A85" s="39"/>
      <c r="B85" s="39"/>
      <c r="C85" s="39"/>
      <c r="D85" s="39"/>
      <c r="E85" s="39"/>
      <c r="F85" s="39"/>
      <c r="G85" s="39"/>
    </row>
    <row r="86">
      <c r="A86" s="39"/>
      <c r="B86" s="39"/>
      <c r="C86" s="39"/>
      <c r="D86" s="39"/>
      <c r="E86" s="39"/>
      <c r="F86" s="39"/>
      <c r="G86" s="39"/>
    </row>
    <row r="87">
      <c r="A87" s="39"/>
      <c r="B87" s="39"/>
      <c r="C87" s="39"/>
      <c r="D87" s="39"/>
      <c r="E87" s="39"/>
      <c r="F87" s="39"/>
      <c r="G87" s="39"/>
    </row>
    <row r="88">
      <c r="A88" s="39"/>
      <c r="B88" s="39"/>
      <c r="C88" s="39"/>
      <c r="D88" s="39"/>
      <c r="E88" s="39"/>
      <c r="F88" s="39"/>
      <c r="G88" s="39"/>
    </row>
    <row r="89">
      <c r="A89" s="39"/>
      <c r="B89" s="39"/>
      <c r="C89" s="39"/>
      <c r="D89" s="39"/>
      <c r="E89" s="39"/>
      <c r="F89" s="39"/>
      <c r="G89" s="39"/>
    </row>
    <row r="90">
      <c r="A90" s="39"/>
      <c r="B90" s="39"/>
      <c r="C90" s="39"/>
      <c r="D90" s="39"/>
      <c r="E90" s="39"/>
      <c r="F90" s="39"/>
      <c r="G90" s="39"/>
    </row>
    <row r="91">
      <c r="A91" s="39"/>
      <c r="B91" s="39"/>
      <c r="C91" s="39"/>
      <c r="D91" s="39"/>
      <c r="E91" s="39"/>
      <c r="F91" s="39"/>
      <c r="G91" s="39"/>
    </row>
    <row r="92">
      <c r="A92" s="39"/>
      <c r="B92" s="39"/>
      <c r="C92" s="39"/>
      <c r="D92" s="39"/>
      <c r="E92" s="39"/>
      <c r="F92" s="39"/>
      <c r="G92" s="39"/>
    </row>
    <row r="93">
      <c r="A93" s="39"/>
      <c r="B93" s="39"/>
      <c r="C93" s="39"/>
      <c r="D93" s="39"/>
      <c r="E93" s="39"/>
      <c r="F93" s="39"/>
      <c r="G93" s="39"/>
    </row>
    <row r="94">
      <c r="A94" s="39"/>
      <c r="B94" s="39"/>
      <c r="C94" s="39"/>
      <c r="D94" s="39"/>
      <c r="E94" s="39"/>
      <c r="F94" s="39"/>
      <c r="G94" s="39"/>
    </row>
    <row r="95">
      <c r="A95" s="39"/>
      <c r="B95" s="39"/>
      <c r="C95" s="39"/>
      <c r="D95" s="39"/>
      <c r="E95" s="39"/>
      <c r="F95" s="39"/>
      <c r="G95" s="39"/>
    </row>
    <row r="96">
      <c r="A96" s="39"/>
      <c r="B96" s="39"/>
      <c r="C96" s="39"/>
      <c r="D96" s="39"/>
      <c r="E96" s="39"/>
      <c r="F96" s="39"/>
      <c r="G96" s="39"/>
    </row>
    <row r="97">
      <c r="A97" s="39"/>
      <c r="B97" s="39"/>
      <c r="C97" s="39"/>
      <c r="D97" s="39"/>
      <c r="E97" s="39"/>
      <c r="F97" s="39"/>
      <c r="G97" s="39"/>
    </row>
    <row r="98">
      <c r="A98" s="39"/>
      <c r="B98" s="39"/>
      <c r="C98" s="39"/>
      <c r="D98" s="39"/>
      <c r="E98" s="39"/>
      <c r="F98" s="39"/>
      <c r="G98" s="39"/>
    </row>
    <row r="99">
      <c r="A99" s="39"/>
      <c r="B99" s="39"/>
      <c r="C99" s="39"/>
      <c r="D99" s="39"/>
      <c r="E99" s="39"/>
      <c r="F99" s="39"/>
      <c r="G99" s="39"/>
    </row>
    <row r="100">
      <c r="A100" s="39"/>
      <c r="B100" s="39"/>
      <c r="C100" s="39"/>
      <c r="D100" s="39"/>
      <c r="E100" s="39"/>
      <c r="F100" s="39"/>
      <c r="G100" s="39"/>
    </row>
    <row r="101">
      <c r="A101" s="39"/>
      <c r="B101" s="39"/>
      <c r="C101" s="39"/>
      <c r="D101" s="39"/>
      <c r="E101" s="39"/>
      <c r="F101" s="39"/>
      <c r="G101" s="39"/>
    </row>
    <row r="102">
      <c r="A102" s="39"/>
      <c r="B102" s="39"/>
      <c r="C102" s="39"/>
      <c r="D102" s="39"/>
      <c r="E102" s="39"/>
      <c r="F102" s="39"/>
      <c r="G102" s="39"/>
    </row>
    <row r="103">
      <c r="A103" s="39"/>
      <c r="B103" s="39"/>
      <c r="C103" s="39"/>
      <c r="D103" s="39"/>
      <c r="E103" s="39"/>
      <c r="F103" s="39"/>
      <c r="G103" s="39"/>
    </row>
    <row r="104">
      <c r="A104" s="39"/>
      <c r="B104" s="39"/>
      <c r="C104" s="39"/>
      <c r="D104" s="39"/>
      <c r="E104" s="39"/>
      <c r="F104" s="39"/>
      <c r="G104" s="39"/>
    </row>
    <row r="105">
      <c r="A105" s="39"/>
      <c r="B105" s="39"/>
      <c r="C105" s="39"/>
      <c r="D105" s="39"/>
      <c r="E105" s="39"/>
      <c r="F105" s="39"/>
      <c r="G105" s="39"/>
    </row>
    <row r="106">
      <c r="A106" s="39"/>
      <c r="B106" s="39"/>
      <c r="C106" s="39"/>
      <c r="D106" s="39"/>
      <c r="E106" s="39"/>
      <c r="F106" s="39"/>
      <c r="G106" s="39"/>
    </row>
    <row r="107">
      <c r="A107" s="39"/>
      <c r="B107" s="39"/>
      <c r="C107" s="39"/>
      <c r="D107" s="39"/>
      <c r="E107" s="39"/>
      <c r="F107" s="39"/>
      <c r="G107" s="39"/>
    </row>
    <row r="108">
      <c r="A108" s="39"/>
      <c r="B108" s="39"/>
      <c r="C108" s="39"/>
      <c r="D108" s="39"/>
      <c r="E108" s="39"/>
      <c r="F108" s="39"/>
      <c r="G108" s="39"/>
    </row>
    <row r="109">
      <c r="A109" s="39"/>
      <c r="B109" s="39"/>
      <c r="C109" s="39"/>
      <c r="D109" s="39"/>
      <c r="E109" s="39"/>
      <c r="F109" s="39"/>
      <c r="G109" s="39"/>
    </row>
    <row r="110">
      <c r="A110" s="39"/>
      <c r="B110" s="39"/>
      <c r="C110" s="39"/>
      <c r="D110" s="39"/>
      <c r="E110" s="39"/>
      <c r="F110" s="39"/>
      <c r="G110" s="39"/>
    </row>
    <row r="111">
      <c r="A111" s="39"/>
      <c r="B111" s="39"/>
      <c r="C111" s="39"/>
      <c r="D111" s="39"/>
      <c r="E111" s="39"/>
      <c r="F111" s="39"/>
      <c r="G111" s="39"/>
    </row>
    <row r="112">
      <c r="A112" s="39"/>
      <c r="B112" s="39"/>
      <c r="C112" s="39"/>
      <c r="D112" s="39"/>
      <c r="E112" s="39"/>
      <c r="F112" s="39"/>
      <c r="G112" s="39"/>
    </row>
    <row r="113">
      <c r="A113" s="39"/>
      <c r="B113" s="39"/>
      <c r="C113" s="39"/>
      <c r="D113" s="39"/>
      <c r="E113" s="39"/>
      <c r="F113" s="39"/>
      <c r="G113" s="39"/>
    </row>
    <row r="114">
      <c r="A114" s="39"/>
      <c r="B114" s="39"/>
      <c r="C114" s="39"/>
      <c r="D114" s="39"/>
      <c r="E114" s="39"/>
      <c r="F114" s="39"/>
      <c r="G114" s="39"/>
    </row>
    <row r="115">
      <c r="A115" s="39"/>
      <c r="B115" s="39"/>
      <c r="C115" s="39"/>
      <c r="D115" s="39"/>
      <c r="E115" s="39"/>
      <c r="F115" s="39"/>
      <c r="G115" s="39"/>
    </row>
    <row r="116">
      <c r="A116" s="39"/>
      <c r="B116" s="39"/>
      <c r="C116" s="39"/>
      <c r="D116" s="39"/>
      <c r="E116" s="39"/>
      <c r="F116" s="39"/>
      <c r="G116" s="39"/>
    </row>
    <row r="117">
      <c r="A117" s="39"/>
      <c r="B117" s="39"/>
      <c r="C117" s="39"/>
      <c r="D117" s="39"/>
      <c r="E117" s="39"/>
      <c r="F117" s="39"/>
      <c r="G117" s="39"/>
    </row>
    <row r="118">
      <c r="A118" s="39"/>
      <c r="B118" s="39"/>
      <c r="C118" s="39"/>
      <c r="D118" s="39"/>
      <c r="E118" s="39"/>
      <c r="F118" s="39"/>
      <c r="G118" s="39"/>
    </row>
    <row r="119">
      <c r="A119" s="39"/>
      <c r="B119" s="39"/>
      <c r="C119" s="39"/>
      <c r="D119" s="39"/>
      <c r="E119" s="39"/>
      <c r="F119" s="39"/>
      <c r="G119" s="39"/>
    </row>
    <row r="120">
      <c r="A120" s="39"/>
      <c r="B120" s="39"/>
      <c r="C120" s="39"/>
      <c r="D120" s="39"/>
      <c r="E120" s="39"/>
      <c r="F120" s="39"/>
      <c r="G120" s="39"/>
    </row>
    <row r="121">
      <c r="A121" s="39"/>
      <c r="B121" s="39"/>
      <c r="C121" s="39"/>
      <c r="D121" s="39"/>
      <c r="E121" s="39"/>
      <c r="F121" s="39"/>
      <c r="G121" s="39"/>
    </row>
    <row r="122">
      <c r="A122" s="39"/>
      <c r="B122" s="39"/>
      <c r="C122" s="39"/>
      <c r="D122" s="39"/>
      <c r="E122" s="39"/>
      <c r="F122" s="39"/>
      <c r="G122" s="39"/>
    </row>
    <row r="123">
      <c r="A123" s="39"/>
      <c r="B123" s="39"/>
      <c r="C123" s="39"/>
      <c r="D123" s="39"/>
      <c r="E123" s="39"/>
      <c r="F123" s="39"/>
      <c r="G123" s="39"/>
    </row>
    <row r="124">
      <c r="A124" s="39"/>
      <c r="B124" s="39"/>
      <c r="C124" s="39"/>
      <c r="D124" s="39"/>
      <c r="E124" s="39"/>
      <c r="F124" s="39"/>
      <c r="G124" s="39"/>
    </row>
    <row r="125">
      <c r="A125" s="39"/>
      <c r="B125" s="39"/>
      <c r="C125" s="39"/>
      <c r="D125" s="39"/>
      <c r="E125" s="39"/>
      <c r="F125" s="39"/>
      <c r="G125" s="39"/>
    </row>
    <row r="126">
      <c r="A126" s="39"/>
      <c r="B126" s="39"/>
      <c r="C126" s="39"/>
      <c r="D126" s="39"/>
      <c r="E126" s="39"/>
      <c r="F126" s="39"/>
      <c r="G126" s="39"/>
    </row>
    <row r="127">
      <c r="A127" s="39"/>
      <c r="B127" s="39"/>
      <c r="C127" s="39"/>
      <c r="D127" s="39"/>
      <c r="E127" s="39"/>
      <c r="F127" s="39"/>
      <c r="G127" s="39"/>
    </row>
    <row r="128">
      <c r="A128" s="39"/>
      <c r="B128" s="39"/>
      <c r="C128" s="39"/>
      <c r="D128" s="39"/>
      <c r="E128" s="39"/>
      <c r="F128" s="39"/>
      <c r="G128" s="39"/>
    </row>
    <row r="129">
      <c r="A129" s="39"/>
      <c r="B129" s="39"/>
      <c r="C129" s="39"/>
      <c r="D129" s="39"/>
      <c r="E129" s="39"/>
      <c r="F129" s="39"/>
      <c r="G129" s="39"/>
    </row>
    <row r="130">
      <c r="A130" s="39"/>
      <c r="B130" s="39"/>
      <c r="C130" s="39"/>
      <c r="D130" s="39"/>
      <c r="E130" s="39"/>
      <c r="F130" s="39"/>
      <c r="G130" s="39"/>
    </row>
    <row r="131">
      <c r="A131" s="39"/>
      <c r="B131" s="39"/>
      <c r="C131" s="39"/>
      <c r="D131" s="39"/>
      <c r="E131" s="39"/>
      <c r="F131" s="39"/>
      <c r="G131" s="39"/>
    </row>
    <row r="132">
      <c r="A132" s="39"/>
      <c r="B132" s="39"/>
      <c r="C132" s="39"/>
      <c r="D132" s="39"/>
      <c r="E132" s="39"/>
      <c r="F132" s="39"/>
      <c r="G132" s="39"/>
    </row>
    <row r="133">
      <c r="A133" s="39"/>
      <c r="B133" s="39"/>
      <c r="C133" s="39"/>
      <c r="D133" s="39"/>
      <c r="E133" s="39"/>
      <c r="F133" s="39"/>
      <c r="G133" s="39"/>
    </row>
    <row r="134">
      <c r="A134" s="39"/>
      <c r="B134" s="39"/>
      <c r="C134" s="39"/>
      <c r="D134" s="39"/>
      <c r="E134" s="39"/>
      <c r="F134" s="39"/>
      <c r="G134" s="39"/>
    </row>
    <row r="135">
      <c r="A135" s="39"/>
      <c r="B135" s="39"/>
      <c r="C135" s="39"/>
      <c r="D135" s="39"/>
      <c r="E135" s="39"/>
      <c r="F135" s="39"/>
      <c r="G135" s="39"/>
    </row>
    <row r="136">
      <c r="A136" s="39"/>
      <c r="B136" s="39"/>
      <c r="C136" s="39"/>
      <c r="D136" s="39"/>
      <c r="E136" s="39"/>
      <c r="F136" s="39"/>
      <c r="G136" s="39"/>
    </row>
    <row r="137">
      <c r="A137" s="39"/>
      <c r="B137" s="39"/>
      <c r="C137" s="39"/>
      <c r="D137" s="39"/>
      <c r="E137" s="39"/>
      <c r="F137" s="39"/>
      <c r="G137" s="39"/>
    </row>
    <row r="138">
      <c r="A138" s="39"/>
      <c r="B138" s="39"/>
      <c r="C138" s="39"/>
      <c r="D138" s="39"/>
      <c r="E138" s="39"/>
      <c r="F138" s="39"/>
      <c r="G138" s="39"/>
    </row>
    <row r="139">
      <c r="A139" s="39"/>
      <c r="B139" s="39"/>
      <c r="C139" s="39"/>
      <c r="D139" s="39"/>
      <c r="E139" s="39"/>
      <c r="F139" s="39"/>
      <c r="G139" s="39"/>
    </row>
    <row r="140">
      <c r="A140" s="39"/>
      <c r="B140" s="39"/>
      <c r="C140" s="39"/>
      <c r="D140" s="39"/>
      <c r="E140" s="39"/>
      <c r="F140" s="39"/>
      <c r="G140" s="39"/>
    </row>
    <row r="141">
      <c r="A141" s="39"/>
      <c r="B141" s="39"/>
      <c r="C141" s="39"/>
      <c r="D141" s="39"/>
      <c r="E141" s="39"/>
      <c r="F141" s="39"/>
      <c r="G141" s="39"/>
    </row>
    <row r="142">
      <c r="A142" s="39"/>
      <c r="B142" s="39"/>
      <c r="C142" s="39"/>
      <c r="D142" s="39"/>
      <c r="E142" s="39"/>
      <c r="F142" s="39"/>
      <c r="G142" s="39"/>
    </row>
    <row r="143">
      <c r="A143" s="39"/>
      <c r="B143" s="39"/>
      <c r="C143" s="39"/>
      <c r="D143" s="39"/>
      <c r="E143" s="39"/>
      <c r="F143" s="39"/>
      <c r="G143" s="39"/>
    </row>
    <row r="144">
      <c r="A144" s="39"/>
      <c r="B144" s="39"/>
      <c r="C144" s="39"/>
      <c r="D144" s="39"/>
      <c r="E144" s="39"/>
      <c r="F144" s="39"/>
      <c r="G144" s="39"/>
    </row>
    <row r="145">
      <c r="A145" s="39"/>
      <c r="B145" s="39"/>
      <c r="C145" s="39"/>
      <c r="D145" s="39"/>
      <c r="E145" s="39"/>
      <c r="F145" s="39"/>
      <c r="G145" s="39"/>
    </row>
    <row r="146">
      <c r="A146" s="39"/>
      <c r="B146" s="39"/>
      <c r="C146" s="39"/>
      <c r="D146" s="39"/>
      <c r="E146" s="39"/>
      <c r="F146" s="39"/>
      <c r="G146" s="39"/>
    </row>
    <row r="147">
      <c r="A147" s="39"/>
      <c r="B147" s="39"/>
      <c r="C147" s="39"/>
      <c r="D147" s="39"/>
      <c r="E147" s="39"/>
      <c r="F147" s="39"/>
      <c r="G147" s="39"/>
    </row>
    <row r="148">
      <c r="A148" s="39"/>
      <c r="B148" s="39"/>
      <c r="C148" s="39"/>
      <c r="D148" s="39"/>
      <c r="E148" s="39"/>
      <c r="F148" s="39"/>
      <c r="G148" s="39"/>
    </row>
    <row r="149">
      <c r="A149" s="39"/>
      <c r="B149" s="39"/>
      <c r="C149" s="39"/>
      <c r="D149" s="39"/>
      <c r="E149" s="39"/>
      <c r="F149" s="39"/>
      <c r="G149" s="39"/>
    </row>
    <row r="150">
      <c r="A150" s="39"/>
      <c r="B150" s="39"/>
      <c r="C150" s="39"/>
      <c r="D150" s="39"/>
      <c r="E150" s="39"/>
      <c r="F150" s="39"/>
      <c r="G150" s="39"/>
    </row>
    <row r="151">
      <c r="A151" s="39"/>
      <c r="B151" s="39"/>
      <c r="C151" s="39"/>
      <c r="D151" s="39"/>
      <c r="E151" s="39"/>
      <c r="F151" s="39"/>
      <c r="G151" s="39"/>
    </row>
    <row r="152">
      <c r="A152" s="39"/>
      <c r="B152" s="39"/>
      <c r="C152" s="39"/>
      <c r="D152" s="39"/>
      <c r="E152" s="39"/>
      <c r="F152" s="39"/>
      <c r="G152" s="39"/>
    </row>
    <row r="153">
      <c r="A153" s="39"/>
      <c r="B153" s="39"/>
      <c r="C153" s="39"/>
      <c r="D153" s="39"/>
      <c r="E153" s="39"/>
      <c r="F153" s="39"/>
      <c r="G153" s="39"/>
    </row>
    <row r="154">
      <c r="A154" s="39"/>
      <c r="B154" s="39"/>
      <c r="C154" s="39"/>
      <c r="D154" s="39"/>
      <c r="E154" s="39"/>
      <c r="F154" s="39"/>
      <c r="G154" s="39"/>
    </row>
    <row r="155">
      <c r="A155" s="39"/>
      <c r="B155" s="39"/>
      <c r="C155" s="39"/>
      <c r="D155" s="39"/>
      <c r="E155" s="39"/>
      <c r="F155" s="39"/>
      <c r="G155" s="39"/>
    </row>
    <row r="156">
      <c r="A156" s="39"/>
      <c r="B156" s="39"/>
      <c r="C156" s="39"/>
      <c r="D156" s="39"/>
      <c r="E156" s="39"/>
      <c r="F156" s="39"/>
      <c r="G156" s="39"/>
    </row>
    <row r="157">
      <c r="A157" s="39"/>
      <c r="B157" s="39"/>
      <c r="C157" s="39"/>
      <c r="D157" s="39"/>
      <c r="E157" s="39"/>
      <c r="F157" s="39"/>
      <c r="G157" s="39"/>
    </row>
    <row r="158">
      <c r="A158" s="39"/>
      <c r="B158" s="39"/>
      <c r="C158" s="39"/>
      <c r="D158" s="39"/>
      <c r="E158" s="39"/>
      <c r="F158" s="39"/>
      <c r="G158" s="39"/>
    </row>
    <row r="159">
      <c r="A159" s="39"/>
      <c r="B159" s="39"/>
      <c r="C159" s="39"/>
      <c r="D159" s="39"/>
      <c r="E159" s="39"/>
      <c r="F159" s="39"/>
      <c r="G159" s="39"/>
    </row>
    <row r="160">
      <c r="A160" s="39"/>
      <c r="B160" s="39"/>
      <c r="C160" s="39"/>
      <c r="D160" s="39"/>
      <c r="E160" s="39"/>
      <c r="F160" s="39"/>
      <c r="G160" s="39"/>
    </row>
    <row r="161">
      <c r="A161" s="39"/>
      <c r="B161" s="39"/>
      <c r="C161" s="39"/>
      <c r="D161" s="39"/>
      <c r="E161" s="39"/>
      <c r="F161" s="39"/>
      <c r="G161" s="39"/>
    </row>
    <row r="162">
      <c r="A162" s="39"/>
      <c r="B162" s="39"/>
      <c r="C162" s="39"/>
      <c r="D162" s="39"/>
      <c r="E162" s="39"/>
      <c r="F162" s="39"/>
      <c r="G162" s="39"/>
    </row>
    <row r="163">
      <c r="A163" s="39"/>
      <c r="B163" s="39"/>
      <c r="C163" s="39"/>
      <c r="D163" s="39"/>
      <c r="E163" s="39"/>
      <c r="F163" s="39"/>
      <c r="G163" s="39"/>
    </row>
    <row r="164">
      <c r="A164" s="39"/>
      <c r="B164" s="39"/>
      <c r="C164" s="39"/>
      <c r="D164" s="39"/>
      <c r="E164" s="39"/>
      <c r="F164" s="39"/>
      <c r="G164" s="39"/>
    </row>
    <row r="165">
      <c r="A165" s="39"/>
      <c r="B165" s="39"/>
      <c r="C165" s="39"/>
      <c r="D165" s="39"/>
      <c r="E165" s="39"/>
      <c r="F165" s="39"/>
      <c r="G165" s="39"/>
    </row>
    <row r="166">
      <c r="A166" s="39"/>
      <c r="B166" s="39"/>
      <c r="C166" s="39"/>
      <c r="D166" s="39"/>
      <c r="E166" s="39"/>
      <c r="F166" s="39"/>
      <c r="G166" s="39"/>
    </row>
    <row r="167">
      <c r="A167" s="39"/>
      <c r="B167" s="39"/>
      <c r="C167" s="39"/>
      <c r="D167" s="39"/>
      <c r="E167" s="39"/>
      <c r="F167" s="39"/>
      <c r="G167" s="39"/>
    </row>
    <row r="168">
      <c r="A168" s="39"/>
      <c r="B168" s="39"/>
      <c r="C168" s="39"/>
      <c r="D168" s="39"/>
      <c r="E168" s="39"/>
      <c r="F168" s="39"/>
      <c r="G168" s="39"/>
    </row>
    <row r="169">
      <c r="A169" s="39"/>
      <c r="B169" s="39"/>
      <c r="C169" s="39"/>
      <c r="D169" s="39"/>
      <c r="E169" s="39"/>
      <c r="F169" s="39"/>
      <c r="G169" s="39"/>
    </row>
    <row r="170">
      <c r="A170" s="39"/>
      <c r="B170" s="39"/>
      <c r="C170" s="39"/>
      <c r="D170" s="39"/>
      <c r="E170" s="39"/>
      <c r="F170" s="39"/>
      <c r="G170" s="39"/>
    </row>
    <row r="171">
      <c r="A171" s="39"/>
      <c r="B171" s="39"/>
      <c r="C171" s="39"/>
      <c r="D171" s="39"/>
      <c r="E171" s="39"/>
      <c r="F171" s="39"/>
      <c r="G171" s="39"/>
    </row>
    <row r="172">
      <c r="A172" s="39"/>
      <c r="B172" s="39"/>
      <c r="C172" s="39"/>
      <c r="D172" s="39"/>
      <c r="E172" s="39"/>
      <c r="F172" s="39"/>
      <c r="G172" s="39"/>
    </row>
    <row r="173">
      <c r="A173" s="39"/>
      <c r="B173" s="39"/>
      <c r="C173" s="39"/>
      <c r="D173" s="39"/>
      <c r="E173" s="39"/>
      <c r="F173" s="39"/>
      <c r="G173" s="39"/>
    </row>
    <row r="174">
      <c r="A174" s="39"/>
      <c r="B174" s="39"/>
      <c r="C174" s="39"/>
      <c r="D174" s="39"/>
      <c r="E174" s="39"/>
      <c r="F174" s="39"/>
      <c r="G174" s="39"/>
    </row>
    <row r="175">
      <c r="A175" s="39"/>
      <c r="B175" s="39"/>
      <c r="C175" s="39"/>
      <c r="D175" s="39"/>
      <c r="E175" s="39"/>
      <c r="F175" s="39"/>
      <c r="G175" s="39"/>
    </row>
    <row r="176">
      <c r="A176" s="39"/>
      <c r="B176" s="39"/>
      <c r="C176" s="39"/>
      <c r="D176" s="39"/>
      <c r="E176" s="39"/>
      <c r="F176" s="39"/>
      <c r="G176" s="39"/>
    </row>
    <row r="177">
      <c r="A177" s="39"/>
      <c r="B177" s="39"/>
      <c r="C177" s="39"/>
      <c r="D177" s="39"/>
      <c r="E177" s="39"/>
      <c r="F177" s="39"/>
      <c r="G177" s="39"/>
    </row>
    <row r="178">
      <c r="A178" s="39"/>
      <c r="B178" s="39"/>
      <c r="C178" s="39"/>
      <c r="D178" s="39"/>
      <c r="E178" s="39"/>
      <c r="F178" s="39"/>
      <c r="G178" s="39"/>
    </row>
    <row r="179">
      <c r="A179" s="39"/>
      <c r="B179" s="39"/>
      <c r="C179" s="39"/>
      <c r="D179" s="39"/>
      <c r="E179" s="39"/>
      <c r="F179" s="39"/>
      <c r="G179" s="39"/>
    </row>
    <row r="180">
      <c r="A180" s="39"/>
      <c r="B180" s="39"/>
      <c r="C180" s="39"/>
      <c r="D180" s="39"/>
      <c r="E180" s="39"/>
      <c r="F180" s="39"/>
      <c r="G180" s="39"/>
    </row>
    <row r="181">
      <c r="A181" s="39"/>
      <c r="B181" s="39"/>
      <c r="C181" s="39"/>
      <c r="D181" s="39"/>
      <c r="E181" s="39"/>
      <c r="F181" s="39"/>
      <c r="G181" s="39"/>
    </row>
    <row r="182">
      <c r="A182" s="39"/>
      <c r="B182" s="39"/>
      <c r="C182" s="39"/>
      <c r="D182" s="39"/>
      <c r="E182" s="39"/>
      <c r="F182" s="39"/>
      <c r="G182" s="39"/>
    </row>
    <row r="183">
      <c r="A183" s="39"/>
      <c r="B183" s="39"/>
      <c r="C183" s="39"/>
      <c r="D183" s="39"/>
      <c r="E183" s="39"/>
      <c r="F183" s="39"/>
      <c r="G183" s="39"/>
    </row>
    <row r="184">
      <c r="A184" s="39"/>
      <c r="B184" s="39"/>
      <c r="C184" s="39"/>
      <c r="D184" s="39"/>
      <c r="E184" s="39"/>
      <c r="F184" s="39"/>
      <c r="G184" s="39"/>
    </row>
    <row r="185">
      <c r="A185" s="39"/>
      <c r="B185" s="39"/>
      <c r="C185" s="39"/>
      <c r="D185" s="39"/>
      <c r="E185" s="39"/>
      <c r="F185" s="39"/>
      <c r="G185" s="39"/>
    </row>
    <row r="186">
      <c r="A186" s="39"/>
      <c r="B186" s="39"/>
      <c r="C186" s="39"/>
      <c r="D186" s="39"/>
      <c r="E186" s="39"/>
      <c r="F186" s="39"/>
      <c r="G186" s="39"/>
    </row>
    <row r="187">
      <c r="A187" s="39"/>
      <c r="B187" s="39"/>
      <c r="C187" s="39"/>
      <c r="D187" s="39"/>
      <c r="E187" s="39"/>
      <c r="F187" s="39"/>
      <c r="G187" s="39"/>
    </row>
    <row r="188">
      <c r="A188" s="39"/>
      <c r="B188" s="39"/>
      <c r="C188" s="39"/>
      <c r="D188" s="39"/>
      <c r="E188" s="39"/>
      <c r="F188" s="39"/>
      <c r="G188" s="39"/>
    </row>
    <row r="189">
      <c r="A189" s="39"/>
      <c r="B189" s="39"/>
      <c r="C189" s="39"/>
      <c r="D189" s="39"/>
      <c r="E189" s="39"/>
      <c r="F189" s="39"/>
      <c r="G189" s="39"/>
    </row>
    <row r="190">
      <c r="A190" s="39"/>
      <c r="B190" s="39"/>
      <c r="C190" s="39"/>
      <c r="D190" s="39"/>
      <c r="E190" s="39"/>
      <c r="F190" s="39"/>
      <c r="G190" s="39"/>
    </row>
    <row r="191">
      <c r="A191" s="39"/>
      <c r="B191" s="39"/>
      <c r="C191" s="39"/>
      <c r="D191" s="39"/>
      <c r="E191" s="39"/>
      <c r="F191" s="39"/>
      <c r="G191" s="39"/>
    </row>
    <row r="192">
      <c r="A192" s="39"/>
      <c r="B192" s="39"/>
      <c r="C192" s="39"/>
      <c r="D192" s="39"/>
      <c r="E192" s="39"/>
      <c r="F192" s="39"/>
      <c r="G192" s="39"/>
    </row>
    <row r="193">
      <c r="A193" s="39"/>
      <c r="B193" s="39"/>
      <c r="C193" s="39"/>
      <c r="D193" s="39"/>
      <c r="E193" s="39"/>
      <c r="F193" s="39"/>
      <c r="G193" s="39"/>
    </row>
    <row r="194">
      <c r="A194" s="39"/>
      <c r="B194" s="39"/>
      <c r="C194" s="39"/>
      <c r="D194" s="39"/>
      <c r="E194" s="39"/>
      <c r="F194" s="39"/>
      <c r="G194" s="39"/>
    </row>
    <row r="195">
      <c r="A195" s="39"/>
      <c r="B195" s="39"/>
      <c r="C195" s="39"/>
      <c r="D195" s="39"/>
      <c r="E195" s="39"/>
      <c r="F195" s="39"/>
      <c r="G195" s="39"/>
    </row>
    <row r="196">
      <c r="A196" s="39"/>
      <c r="B196" s="39"/>
      <c r="C196" s="39"/>
      <c r="D196" s="39"/>
      <c r="E196" s="39"/>
      <c r="F196" s="39"/>
      <c r="G196" s="39"/>
    </row>
    <row r="197">
      <c r="A197" s="39"/>
      <c r="B197" s="39"/>
      <c r="C197" s="39"/>
      <c r="D197" s="39"/>
      <c r="E197" s="39"/>
      <c r="F197" s="39"/>
      <c r="G197" s="39"/>
    </row>
    <row r="198">
      <c r="A198" s="39"/>
      <c r="B198" s="39"/>
      <c r="C198" s="39"/>
      <c r="D198" s="39"/>
      <c r="E198" s="39"/>
      <c r="F198" s="39"/>
      <c r="G198" s="39"/>
    </row>
    <row r="199">
      <c r="A199" s="39"/>
      <c r="B199" s="39"/>
      <c r="C199" s="39"/>
      <c r="D199" s="39"/>
      <c r="E199" s="39"/>
      <c r="F199" s="39"/>
      <c r="G199" s="39"/>
    </row>
    <row r="200">
      <c r="A200" s="39"/>
      <c r="B200" s="39"/>
      <c r="C200" s="39"/>
      <c r="D200" s="39"/>
      <c r="E200" s="39"/>
      <c r="F200" s="39"/>
      <c r="G200" s="39"/>
    </row>
    <row r="201">
      <c r="A201" s="39"/>
      <c r="B201" s="39"/>
      <c r="C201" s="39"/>
      <c r="D201" s="39"/>
      <c r="E201" s="39"/>
      <c r="F201" s="39"/>
      <c r="G201" s="39"/>
    </row>
    <row r="202">
      <c r="A202" s="39"/>
      <c r="B202" s="39"/>
      <c r="C202" s="39"/>
      <c r="D202" s="39"/>
      <c r="E202" s="39"/>
      <c r="F202" s="39"/>
      <c r="G202" s="39"/>
    </row>
    <row r="203">
      <c r="A203" s="39"/>
      <c r="B203" s="39"/>
      <c r="C203" s="39"/>
      <c r="D203" s="39"/>
      <c r="E203" s="39"/>
      <c r="F203" s="39"/>
      <c r="G203" s="39"/>
    </row>
    <row r="204">
      <c r="A204" s="39"/>
      <c r="B204" s="39"/>
      <c r="C204" s="39"/>
      <c r="D204" s="39"/>
      <c r="E204" s="39"/>
      <c r="F204" s="39"/>
      <c r="G204" s="39"/>
    </row>
    <row r="205">
      <c r="A205" s="39"/>
      <c r="B205" s="39"/>
      <c r="C205" s="39"/>
      <c r="D205" s="39"/>
      <c r="E205" s="39"/>
      <c r="F205" s="39"/>
      <c r="G205" s="39"/>
    </row>
    <row r="206">
      <c r="A206" s="39"/>
      <c r="B206" s="39"/>
      <c r="C206" s="39"/>
      <c r="D206" s="39"/>
      <c r="E206" s="39"/>
      <c r="F206" s="39"/>
      <c r="G206" s="39"/>
    </row>
    <row r="207">
      <c r="A207" s="39"/>
      <c r="B207" s="39"/>
      <c r="C207" s="39"/>
      <c r="D207" s="39"/>
      <c r="E207" s="39"/>
      <c r="F207" s="39"/>
      <c r="G207" s="39"/>
    </row>
    <row r="208">
      <c r="A208" s="39"/>
      <c r="B208" s="39"/>
      <c r="C208" s="39"/>
      <c r="D208" s="39"/>
      <c r="E208" s="39"/>
      <c r="F208" s="39"/>
      <c r="G208" s="39"/>
    </row>
    <row r="209">
      <c r="A209" s="39"/>
      <c r="B209" s="39"/>
      <c r="C209" s="39"/>
      <c r="D209" s="39"/>
      <c r="E209" s="39"/>
      <c r="F209" s="39"/>
      <c r="G209" s="39"/>
    </row>
    <row r="210">
      <c r="A210" s="39"/>
      <c r="B210" s="39"/>
      <c r="C210" s="39"/>
      <c r="D210" s="39"/>
      <c r="E210" s="39"/>
      <c r="F210" s="39"/>
      <c r="G210" s="39"/>
    </row>
    <row r="211">
      <c r="A211" s="39"/>
      <c r="B211" s="39"/>
      <c r="C211" s="39"/>
      <c r="D211" s="39"/>
      <c r="E211" s="39"/>
      <c r="F211" s="39"/>
      <c r="G211" s="39"/>
    </row>
    <row r="212">
      <c r="A212" s="39"/>
      <c r="B212" s="39"/>
      <c r="C212" s="39"/>
      <c r="D212" s="39"/>
      <c r="E212" s="39"/>
      <c r="F212" s="39"/>
      <c r="G212" s="39"/>
    </row>
    <row r="213">
      <c r="A213" s="39"/>
      <c r="B213" s="39"/>
      <c r="C213" s="39"/>
      <c r="D213" s="39"/>
      <c r="E213" s="39"/>
      <c r="F213" s="39"/>
      <c r="G213" s="39"/>
    </row>
    <row r="214">
      <c r="A214" s="39"/>
      <c r="B214" s="39"/>
      <c r="C214" s="39"/>
      <c r="D214" s="39"/>
      <c r="E214" s="39"/>
      <c r="F214" s="39"/>
      <c r="G214" s="39"/>
    </row>
    <row r="215">
      <c r="A215" s="39"/>
      <c r="B215" s="39"/>
      <c r="C215" s="39"/>
      <c r="D215" s="39"/>
      <c r="E215" s="39"/>
      <c r="F215" s="39"/>
      <c r="G215" s="39"/>
    </row>
    <row r="216">
      <c r="A216" s="39"/>
      <c r="B216" s="39"/>
      <c r="C216" s="39"/>
      <c r="D216" s="39"/>
      <c r="E216" s="39"/>
      <c r="F216" s="39"/>
      <c r="G216" s="39"/>
    </row>
    <row r="217">
      <c r="A217" s="39"/>
      <c r="B217" s="39"/>
      <c r="C217" s="39"/>
      <c r="D217" s="39"/>
      <c r="E217" s="39"/>
      <c r="F217" s="39"/>
      <c r="G217" s="39"/>
    </row>
    <row r="218">
      <c r="A218" s="39"/>
      <c r="B218" s="39"/>
      <c r="C218" s="39"/>
      <c r="D218" s="39"/>
      <c r="E218" s="39"/>
      <c r="F218" s="39"/>
      <c r="G218" s="39"/>
    </row>
    <row r="219">
      <c r="A219" s="39"/>
      <c r="B219" s="39"/>
      <c r="C219" s="39"/>
      <c r="D219" s="39"/>
      <c r="E219" s="39"/>
      <c r="F219" s="39"/>
      <c r="G219" s="39"/>
    </row>
    <row r="220">
      <c r="A220" s="39"/>
      <c r="B220" s="39"/>
      <c r="C220" s="39"/>
      <c r="D220" s="39"/>
      <c r="E220" s="39"/>
      <c r="F220" s="39"/>
      <c r="G220" s="39"/>
    </row>
    <row r="221">
      <c r="A221" s="39"/>
      <c r="B221" s="39"/>
      <c r="C221" s="39"/>
      <c r="D221" s="39"/>
      <c r="E221" s="39"/>
      <c r="F221" s="39"/>
      <c r="G221" s="39"/>
    </row>
    <row r="222">
      <c r="A222" s="39"/>
      <c r="B222" s="39"/>
      <c r="C222" s="39"/>
      <c r="D222" s="39"/>
      <c r="E222" s="39"/>
      <c r="F222" s="39"/>
      <c r="G222" s="39"/>
    </row>
    <row r="223">
      <c r="A223" s="39"/>
      <c r="B223" s="39"/>
      <c r="C223" s="39"/>
      <c r="D223" s="39"/>
      <c r="E223" s="39"/>
      <c r="F223" s="39"/>
      <c r="G223" s="39"/>
    </row>
    <row r="224">
      <c r="A224" s="39"/>
      <c r="B224" s="39"/>
      <c r="C224" s="39"/>
      <c r="D224" s="39"/>
      <c r="E224" s="39"/>
      <c r="F224" s="39"/>
      <c r="G224" s="39"/>
    </row>
    <row r="225">
      <c r="A225" s="39"/>
      <c r="B225" s="39"/>
      <c r="C225" s="39"/>
      <c r="D225" s="39"/>
      <c r="E225" s="39"/>
      <c r="F225" s="39"/>
      <c r="G225" s="39"/>
    </row>
    <row r="226">
      <c r="A226" s="39"/>
      <c r="B226" s="39"/>
      <c r="C226" s="39"/>
      <c r="D226" s="39"/>
      <c r="E226" s="39"/>
      <c r="F226" s="39"/>
      <c r="G226" s="39"/>
    </row>
    <row r="227">
      <c r="A227" s="39"/>
      <c r="B227" s="39"/>
      <c r="C227" s="39"/>
      <c r="D227" s="39"/>
      <c r="E227" s="39"/>
      <c r="F227" s="39"/>
      <c r="G227" s="39"/>
    </row>
    <row r="228">
      <c r="A228" s="39"/>
      <c r="B228" s="39"/>
      <c r="C228" s="39"/>
      <c r="D228" s="39"/>
      <c r="E228" s="39"/>
      <c r="F228" s="39"/>
      <c r="G228" s="39"/>
    </row>
    <row r="229">
      <c r="A229" s="39"/>
      <c r="B229" s="39"/>
      <c r="C229" s="39"/>
      <c r="D229" s="39"/>
      <c r="E229" s="39"/>
      <c r="F229" s="39"/>
      <c r="G229" s="39"/>
    </row>
    <row r="230">
      <c r="A230" s="39"/>
      <c r="B230" s="39"/>
      <c r="C230" s="39"/>
      <c r="D230" s="39"/>
      <c r="E230" s="39"/>
      <c r="F230" s="39"/>
      <c r="G230" s="39"/>
    </row>
    <row r="231">
      <c r="A231" s="39"/>
      <c r="B231" s="39"/>
      <c r="C231" s="39"/>
      <c r="D231" s="39"/>
      <c r="E231" s="39"/>
      <c r="F231" s="39"/>
      <c r="G231" s="39"/>
    </row>
    <row r="232">
      <c r="A232" s="39"/>
      <c r="B232" s="39"/>
      <c r="C232" s="39"/>
      <c r="D232" s="39"/>
      <c r="E232" s="39"/>
      <c r="F232" s="39"/>
      <c r="G232" s="39"/>
    </row>
    <row r="233">
      <c r="A233" s="39"/>
      <c r="B233" s="39"/>
      <c r="C233" s="39"/>
      <c r="D233" s="39"/>
      <c r="E233" s="39"/>
      <c r="F233" s="39"/>
      <c r="G233" s="39"/>
    </row>
    <row r="234">
      <c r="A234" s="39"/>
      <c r="B234" s="39"/>
      <c r="C234" s="39"/>
      <c r="D234" s="39"/>
      <c r="E234" s="39"/>
      <c r="F234" s="39"/>
      <c r="G234" s="39"/>
    </row>
    <row r="235">
      <c r="A235" s="39"/>
      <c r="B235" s="39"/>
      <c r="C235" s="39"/>
      <c r="D235" s="39"/>
      <c r="E235" s="39"/>
      <c r="F235" s="39"/>
      <c r="G235" s="39"/>
    </row>
    <row r="236">
      <c r="A236" s="39"/>
      <c r="B236" s="39"/>
      <c r="C236" s="39"/>
      <c r="D236" s="39"/>
      <c r="E236" s="39"/>
      <c r="F236" s="39"/>
      <c r="G236" s="39"/>
    </row>
    <row r="237">
      <c r="A237" s="39"/>
      <c r="B237" s="39"/>
      <c r="C237" s="39"/>
      <c r="D237" s="39"/>
      <c r="E237" s="39"/>
      <c r="F237" s="39"/>
      <c r="G237" s="39"/>
    </row>
    <row r="238">
      <c r="A238" s="39"/>
      <c r="B238" s="39"/>
      <c r="C238" s="39"/>
      <c r="D238" s="39"/>
      <c r="E238" s="39"/>
      <c r="F238" s="39"/>
      <c r="G238" s="39"/>
    </row>
    <row r="239">
      <c r="A239" s="39"/>
      <c r="B239" s="39"/>
      <c r="C239" s="39"/>
      <c r="D239" s="39"/>
      <c r="E239" s="39"/>
      <c r="F239" s="39"/>
      <c r="G239" s="39"/>
    </row>
    <row r="240">
      <c r="A240" s="39"/>
      <c r="B240" s="39"/>
      <c r="C240" s="39"/>
      <c r="D240" s="39"/>
      <c r="E240" s="39"/>
      <c r="F240" s="39"/>
      <c r="G240" s="39"/>
    </row>
    <row r="241">
      <c r="A241" s="39"/>
      <c r="B241" s="39"/>
      <c r="C241" s="39"/>
      <c r="D241" s="39"/>
      <c r="E241" s="39"/>
      <c r="F241" s="39"/>
      <c r="G241" s="39"/>
    </row>
    <row r="242">
      <c r="A242" s="39"/>
      <c r="B242" s="39"/>
      <c r="C242" s="39"/>
      <c r="D242" s="39"/>
      <c r="E242" s="39"/>
      <c r="F242" s="39"/>
      <c r="G242" s="39"/>
    </row>
    <row r="243">
      <c r="A243" s="39"/>
      <c r="B243" s="39"/>
      <c r="C243" s="39"/>
      <c r="D243" s="39"/>
      <c r="E243" s="39"/>
      <c r="F243" s="39"/>
      <c r="G243" s="39"/>
    </row>
    <row r="244">
      <c r="A244" s="39"/>
      <c r="B244" s="39"/>
      <c r="C244" s="39"/>
      <c r="D244" s="39"/>
      <c r="E244" s="39"/>
      <c r="F244" s="39"/>
      <c r="G244" s="39"/>
    </row>
    <row r="245">
      <c r="A245" s="39"/>
      <c r="B245" s="39"/>
      <c r="C245" s="39"/>
      <c r="D245" s="39"/>
      <c r="E245" s="39"/>
      <c r="F245" s="39"/>
      <c r="G245" s="39"/>
    </row>
    <row r="246">
      <c r="A246" s="39"/>
      <c r="B246" s="39"/>
      <c r="C246" s="39"/>
      <c r="D246" s="39"/>
      <c r="E246" s="39"/>
      <c r="F246" s="39"/>
      <c r="G246" s="39"/>
    </row>
    <row r="247">
      <c r="A247" s="39"/>
      <c r="B247" s="39"/>
      <c r="C247" s="39"/>
      <c r="D247" s="39"/>
      <c r="E247" s="39"/>
      <c r="F247" s="39"/>
      <c r="G247" s="39"/>
    </row>
    <row r="248">
      <c r="A248" s="39"/>
      <c r="B248" s="39"/>
      <c r="C248" s="39"/>
      <c r="D248" s="39"/>
      <c r="E248" s="39"/>
      <c r="F248" s="39"/>
      <c r="G248" s="39"/>
    </row>
    <row r="249">
      <c r="A249" s="39"/>
      <c r="B249" s="39"/>
      <c r="C249" s="39"/>
      <c r="D249" s="39"/>
      <c r="E249" s="39"/>
      <c r="F249" s="39"/>
      <c r="G249" s="39"/>
    </row>
    <row r="250">
      <c r="A250" s="39"/>
      <c r="B250" s="39"/>
      <c r="C250" s="39"/>
      <c r="D250" s="39"/>
      <c r="E250" s="39"/>
      <c r="F250" s="39"/>
      <c r="G250" s="39"/>
    </row>
    <row r="251">
      <c r="A251" s="39"/>
      <c r="B251" s="39"/>
      <c r="C251" s="39"/>
      <c r="D251" s="39"/>
      <c r="E251" s="39"/>
      <c r="F251" s="39"/>
      <c r="G251" s="39"/>
    </row>
    <row r="252">
      <c r="A252" s="39"/>
      <c r="B252" s="39"/>
      <c r="C252" s="39"/>
      <c r="D252" s="39"/>
      <c r="E252" s="39"/>
      <c r="F252" s="39"/>
      <c r="G252" s="39"/>
    </row>
    <row r="253">
      <c r="A253" s="39"/>
      <c r="B253" s="39"/>
      <c r="C253" s="39"/>
      <c r="D253" s="39"/>
      <c r="E253" s="39"/>
      <c r="F253" s="39"/>
      <c r="G253" s="39"/>
    </row>
    <row r="254">
      <c r="A254" s="39"/>
      <c r="B254" s="39"/>
      <c r="C254" s="39"/>
      <c r="D254" s="39"/>
      <c r="E254" s="39"/>
      <c r="F254" s="39"/>
      <c r="G254" s="39"/>
    </row>
    <row r="255">
      <c r="A255" s="39"/>
      <c r="B255" s="39"/>
      <c r="C255" s="39"/>
      <c r="D255" s="39"/>
      <c r="E255" s="39"/>
      <c r="F255" s="39"/>
      <c r="G255" s="39"/>
    </row>
    <row r="256">
      <c r="A256" s="39"/>
      <c r="B256" s="39"/>
      <c r="C256" s="39"/>
      <c r="D256" s="39"/>
      <c r="E256" s="39"/>
      <c r="F256" s="39"/>
      <c r="G256" s="39"/>
    </row>
    <row r="257">
      <c r="A257" s="39"/>
      <c r="B257" s="39"/>
      <c r="C257" s="39"/>
      <c r="D257" s="39"/>
      <c r="E257" s="39"/>
      <c r="F257" s="39"/>
      <c r="G257" s="39"/>
    </row>
    <row r="258">
      <c r="A258" s="39"/>
      <c r="B258" s="39"/>
      <c r="C258" s="39"/>
      <c r="D258" s="39"/>
      <c r="E258" s="39"/>
      <c r="F258" s="39"/>
      <c r="G258" s="39"/>
    </row>
    <row r="259">
      <c r="A259" s="39"/>
      <c r="B259" s="39"/>
      <c r="C259" s="39"/>
      <c r="D259" s="39"/>
      <c r="E259" s="39"/>
      <c r="F259" s="39"/>
      <c r="G259" s="39"/>
    </row>
    <row r="260">
      <c r="A260" s="39"/>
      <c r="B260" s="39"/>
      <c r="C260" s="39"/>
      <c r="D260" s="39"/>
      <c r="E260" s="39"/>
      <c r="F260" s="39"/>
      <c r="G260" s="39"/>
    </row>
    <row r="261">
      <c r="A261" s="39"/>
      <c r="B261" s="39"/>
      <c r="C261" s="39"/>
      <c r="D261" s="39"/>
      <c r="E261" s="39"/>
      <c r="F261" s="39"/>
      <c r="G261" s="39"/>
    </row>
    <row r="262">
      <c r="A262" s="39"/>
      <c r="B262" s="39"/>
      <c r="C262" s="39"/>
      <c r="D262" s="39"/>
      <c r="E262" s="39"/>
      <c r="F262" s="39"/>
      <c r="G262" s="39"/>
    </row>
    <row r="263">
      <c r="A263" s="39"/>
      <c r="B263" s="39"/>
      <c r="C263" s="39"/>
      <c r="D263" s="39"/>
      <c r="E263" s="39"/>
      <c r="F263" s="39"/>
      <c r="G263" s="39"/>
    </row>
    <row r="264">
      <c r="A264" s="39"/>
      <c r="B264" s="39"/>
      <c r="C264" s="39"/>
      <c r="D264" s="39"/>
      <c r="E264" s="39"/>
      <c r="F264" s="39"/>
      <c r="G264" s="39"/>
    </row>
    <row r="265">
      <c r="A265" s="39"/>
      <c r="B265" s="39"/>
      <c r="C265" s="39"/>
      <c r="D265" s="39"/>
      <c r="E265" s="39"/>
      <c r="F265" s="39"/>
      <c r="G265" s="39"/>
    </row>
    <row r="266">
      <c r="A266" s="39"/>
      <c r="B266" s="39"/>
      <c r="C266" s="39"/>
      <c r="D266" s="39"/>
      <c r="E266" s="39"/>
      <c r="F266" s="39"/>
      <c r="G266" s="39"/>
    </row>
    <row r="267">
      <c r="A267" s="39"/>
      <c r="B267" s="39"/>
      <c r="C267" s="39"/>
      <c r="D267" s="39"/>
      <c r="E267" s="39"/>
      <c r="F267" s="39"/>
      <c r="G267" s="39"/>
    </row>
    <row r="268">
      <c r="A268" s="39"/>
      <c r="B268" s="39"/>
      <c r="C268" s="39"/>
      <c r="D268" s="39"/>
      <c r="E268" s="39"/>
      <c r="F268" s="39"/>
      <c r="G268" s="39"/>
    </row>
    <row r="269">
      <c r="A269" s="39"/>
      <c r="B269" s="39"/>
      <c r="C269" s="39"/>
      <c r="D269" s="39"/>
      <c r="E269" s="39"/>
      <c r="F269" s="39"/>
      <c r="G269" s="39"/>
    </row>
    <row r="270">
      <c r="A270" s="39"/>
      <c r="B270" s="39"/>
      <c r="C270" s="39"/>
      <c r="D270" s="39"/>
      <c r="E270" s="39"/>
      <c r="F270" s="39"/>
      <c r="G270" s="39"/>
    </row>
    <row r="271">
      <c r="A271" s="39"/>
      <c r="B271" s="39"/>
      <c r="C271" s="39"/>
      <c r="D271" s="39"/>
      <c r="E271" s="39"/>
      <c r="F271" s="39"/>
      <c r="G271" s="39"/>
    </row>
    <row r="272">
      <c r="A272" s="39"/>
      <c r="B272" s="39"/>
      <c r="C272" s="39"/>
      <c r="D272" s="39"/>
      <c r="E272" s="39"/>
      <c r="F272" s="39"/>
      <c r="G272" s="39"/>
    </row>
    <row r="273">
      <c r="A273" s="39"/>
      <c r="B273" s="39"/>
      <c r="C273" s="39"/>
      <c r="D273" s="39"/>
      <c r="E273" s="39"/>
      <c r="F273" s="39"/>
      <c r="G273" s="39"/>
    </row>
    <row r="274">
      <c r="A274" s="39"/>
      <c r="B274" s="39"/>
      <c r="C274" s="39"/>
      <c r="D274" s="39"/>
      <c r="E274" s="39"/>
      <c r="F274" s="39"/>
      <c r="G274" s="39"/>
    </row>
    <row r="275">
      <c r="A275" s="39"/>
      <c r="B275" s="39"/>
      <c r="C275" s="39"/>
      <c r="D275" s="39"/>
      <c r="E275" s="39"/>
      <c r="F275" s="39"/>
      <c r="G275" s="39"/>
    </row>
    <row r="276">
      <c r="A276" s="39"/>
      <c r="B276" s="39"/>
      <c r="C276" s="39"/>
      <c r="D276" s="39"/>
      <c r="E276" s="39"/>
      <c r="F276" s="39"/>
      <c r="G276" s="39"/>
    </row>
    <row r="277">
      <c r="A277" s="39"/>
      <c r="B277" s="39"/>
      <c r="C277" s="39"/>
      <c r="D277" s="39"/>
      <c r="E277" s="39"/>
      <c r="F277" s="39"/>
      <c r="G277" s="39"/>
    </row>
    <row r="278">
      <c r="A278" s="39"/>
      <c r="B278" s="39"/>
      <c r="C278" s="39"/>
      <c r="D278" s="39"/>
      <c r="E278" s="39"/>
      <c r="F278" s="39"/>
      <c r="G278" s="39"/>
    </row>
    <row r="279">
      <c r="A279" s="39"/>
      <c r="B279" s="39"/>
      <c r="C279" s="39"/>
      <c r="D279" s="39"/>
      <c r="E279" s="39"/>
      <c r="F279" s="39"/>
      <c r="G279" s="39"/>
    </row>
    <row r="280">
      <c r="A280" s="39"/>
      <c r="B280" s="39"/>
      <c r="C280" s="39"/>
      <c r="D280" s="39"/>
      <c r="E280" s="39"/>
      <c r="F280" s="39"/>
      <c r="G280" s="39"/>
    </row>
    <row r="281">
      <c r="A281" s="39"/>
      <c r="B281" s="39"/>
      <c r="C281" s="39"/>
      <c r="D281" s="39"/>
      <c r="E281" s="39"/>
      <c r="F281" s="39"/>
      <c r="G281" s="39"/>
    </row>
    <row r="282">
      <c r="A282" s="39"/>
      <c r="B282" s="39"/>
      <c r="C282" s="39"/>
      <c r="D282" s="39"/>
      <c r="E282" s="39"/>
      <c r="F282" s="39"/>
      <c r="G282" s="39"/>
    </row>
    <row r="283">
      <c r="A283" s="39"/>
      <c r="B283" s="39"/>
      <c r="C283" s="39"/>
      <c r="D283" s="39"/>
      <c r="E283" s="39"/>
      <c r="F283" s="39"/>
      <c r="G283" s="39"/>
    </row>
    <row r="284">
      <c r="A284" s="39"/>
      <c r="B284" s="39"/>
      <c r="C284" s="39"/>
      <c r="D284" s="39"/>
      <c r="E284" s="39"/>
      <c r="F284" s="39"/>
      <c r="G284" s="39"/>
    </row>
    <row r="285">
      <c r="A285" s="39"/>
      <c r="B285" s="39"/>
      <c r="C285" s="39"/>
      <c r="D285" s="39"/>
      <c r="E285" s="39"/>
      <c r="F285" s="39"/>
      <c r="G285" s="39"/>
    </row>
    <row r="286">
      <c r="A286" s="39"/>
      <c r="B286" s="39"/>
      <c r="C286" s="39"/>
      <c r="D286" s="39"/>
      <c r="E286" s="39"/>
      <c r="F286" s="39"/>
      <c r="G286" s="39"/>
    </row>
    <row r="287">
      <c r="A287" s="39"/>
      <c r="B287" s="39"/>
      <c r="C287" s="39"/>
      <c r="D287" s="39"/>
      <c r="E287" s="39"/>
      <c r="F287" s="39"/>
      <c r="G287" s="39"/>
    </row>
    <row r="288">
      <c r="A288" s="39"/>
      <c r="B288" s="39"/>
      <c r="C288" s="39"/>
      <c r="D288" s="39"/>
      <c r="E288" s="39"/>
      <c r="F288" s="39"/>
      <c r="G288" s="39"/>
    </row>
    <row r="289">
      <c r="A289" s="39"/>
      <c r="B289" s="39"/>
      <c r="C289" s="39"/>
      <c r="D289" s="39"/>
      <c r="E289" s="39"/>
      <c r="F289" s="39"/>
      <c r="G289" s="39"/>
    </row>
    <row r="290">
      <c r="A290" s="39"/>
      <c r="B290" s="39"/>
      <c r="C290" s="39"/>
      <c r="D290" s="39"/>
      <c r="E290" s="39"/>
      <c r="F290" s="39"/>
      <c r="G290" s="39"/>
    </row>
    <row r="291">
      <c r="A291" s="39"/>
      <c r="B291" s="39"/>
      <c r="C291" s="39"/>
      <c r="D291" s="39"/>
      <c r="E291" s="39"/>
      <c r="F291" s="39"/>
      <c r="G291" s="39"/>
    </row>
    <row r="292">
      <c r="A292" s="39"/>
      <c r="B292" s="39"/>
      <c r="C292" s="39"/>
      <c r="D292" s="39"/>
      <c r="E292" s="39"/>
      <c r="F292" s="39"/>
      <c r="G292" s="39"/>
    </row>
    <row r="293">
      <c r="A293" s="39"/>
      <c r="B293" s="39"/>
      <c r="C293" s="39"/>
      <c r="D293" s="39"/>
      <c r="E293" s="39"/>
      <c r="F293" s="39"/>
      <c r="G293" s="39"/>
    </row>
    <row r="294">
      <c r="A294" s="39"/>
      <c r="B294" s="39"/>
      <c r="C294" s="39"/>
      <c r="D294" s="39"/>
      <c r="E294" s="39"/>
      <c r="F294" s="39"/>
      <c r="G294" s="39"/>
    </row>
    <row r="295">
      <c r="A295" s="39"/>
      <c r="B295" s="39"/>
      <c r="C295" s="39"/>
      <c r="D295" s="39"/>
      <c r="E295" s="39"/>
      <c r="F295" s="39"/>
      <c r="G295" s="39"/>
    </row>
    <row r="296">
      <c r="A296" s="39"/>
      <c r="B296" s="39"/>
      <c r="C296" s="39"/>
      <c r="D296" s="39"/>
      <c r="E296" s="39"/>
      <c r="F296" s="39"/>
      <c r="G296" s="39"/>
    </row>
    <row r="297">
      <c r="A297" s="39"/>
      <c r="B297" s="39"/>
      <c r="C297" s="39"/>
      <c r="D297" s="39"/>
      <c r="E297" s="39"/>
      <c r="F297" s="39"/>
      <c r="G297" s="39"/>
    </row>
    <row r="298">
      <c r="A298" s="39"/>
      <c r="B298" s="39"/>
      <c r="C298" s="39"/>
      <c r="D298" s="39"/>
      <c r="E298" s="39"/>
      <c r="F298" s="39"/>
      <c r="G298" s="39"/>
    </row>
    <row r="299">
      <c r="A299" s="39"/>
      <c r="B299" s="39"/>
      <c r="C299" s="39"/>
      <c r="D299" s="39"/>
      <c r="E299" s="39"/>
      <c r="F299" s="39"/>
      <c r="G299" s="39"/>
    </row>
    <row r="300">
      <c r="A300" s="39"/>
      <c r="B300" s="39"/>
      <c r="C300" s="39"/>
      <c r="D300" s="39"/>
      <c r="E300" s="39"/>
      <c r="F300" s="39"/>
      <c r="G300" s="39"/>
    </row>
    <row r="301">
      <c r="A301" s="39"/>
      <c r="B301" s="39"/>
      <c r="C301" s="39"/>
      <c r="D301" s="39"/>
      <c r="E301" s="39"/>
      <c r="F301" s="39"/>
      <c r="G301" s="39"/>
    </row>
    <row r="302">
      <c r="A302" s="39"/>
      <c r="B302" s="39"/>
      <c r="C302" s="39"/>
      <c r="D302" s="39"/>
      <c r="E302" s="39"/>
      <c r="F302" s="39"/>
      <c r="G302" s="39"/>
    </row>
    <row r="303">
      <c r="A303" s="39"/>
      <c r="B303" s="39"/>
      <c r="C303" s="39"/>
      <c r="D303" s="39"/>
      <c r="E303" s="39"/>
      <c r="F303" s="39"/>
      <c r="G303" s="39"/>
    </row>
    <row r="304">
      <c r="A304" s="39"/>
      <c r="B304" s="39"/>
      <c r="C304" s="39"/>
      <c r="D304" s="39"/>
      <c r="E304" s="39"/>
      <c r="F304" s="39"/>
      <c r="G304" s="39"/>
    </row>
    <row r="305">
      <c r="A305" s="39"/>
      <c r="B305" s="39"/>
      <c r="C305" s="39"/>
      <c r="D305" s="39"/>
      <c r="E305" s="39"/>
      <c r="F305" s="39"/>
      <c r="G305" s="39"/>
    </row>
    <row r="306">
      <c r="A306" s="39"/>
      <c r="B306" s="39"/>
      <c r="C306" s="39"/>
      <c r="D306" s="39"/>
      <c r="E306" s="39"/>
      <c r="F306" s="39"/>
      <c r="G306" s="39"/>
    </row>
    <row r="307">
      <c r="A307" s="39"/>
      <c r="B307" s="39"/>
      <c r="C307" s="39"/>
      <c r="D307" s="39"/>
      <c r="E307" s="39"/>
      <c r="F307" s="39"/>
      <c r="G307" s="39"/>
    </row>
    <row r="308">
      <c r="A308" s="39"/>
      <c r="B308" s="39"/>
      <c r="C308" s="39"/>
      <c r="D308" s="39"/>
      <c r="E308" s="39"/>
      <c r="F308" s="39"/>
      <c r="G308" s="39"/>
    </row>
    <row r="309">
      <c r="A309" s="39"/>
      <c r="B309" s="39"/>
      <c r="C309" s="39"/>
      <c r="D309" s="39"/>
      <c r="E309" s="39"/>
      <c r="F309" s="39"/>
      <c r="G309" s="39"/>
    </row>
    <row r="310">
      <c r="A310" s="39"/>
      <c r="B310" s="39"/>
      <c r="C310" s="39"/>
      <c r="D310" s="39"/>
      <c r="E310" s="39"/>
      <c r="F310" s="39"/>
      <c r="G310" s="39"/>
    </row>
    <row r="311">
      <c r="A311" s="39"/>
      <c r="B311" s="39"/>
      <c r="C311" s="39"/>
      <c r="D311" s="39"/>
      <c r="E311" s="39"/>
      <c r="F311" s="39"/>
      <c r="G311" s="39"/>
    </row>
    <row r="312">
      <c r="A312" s="39"/>
      <c r="B312" s="39"/>
      <c r="C312" s="39"/>
      <c r="D312" s="39"/>
      <c r="E312" s="39"/>
      <c r="F312" s="39"/>
      <c r="G312" s="39"/>
    </row>
    <row r="313">
      <c r="A313" s="39"/>
      <c r="B313" s="39"/>
      <c r="C313" s="39"/>
      <c r="D313" s="39"/>
      <c r="E313" s="39"/>
      <c r="F313" s="39"/>
      <c r="G313" s="39"/>
    </row>
    <row r="314">
      <c r="A314" s="39"/>
      <c r="B314" s="39"/>
      <c r="C314" s="39"/>
      <c r="D314" s="39"/>
      <c r="E314" s="39"/>
      <c r="F314" s="39"/>
      <c r="G314" s="39"/>
    </row>
    <row r="315">
      <c r="A315" s="39"/>
      <c r="B315" s="39"/>
      <c r="C315" s="39"/>
      <c r="D315" s="39"/>
      <c r="E315" s="39"/>
      <c r="F315" s="39"/>
      <c r="G315" s="39"/>
    </row>
    <row r="316">
      <c r="A316" s="39"/>
      <c r="B316" s="39"/>
      <c r="C316" s="39"/>
      <c r="D316" s="39"/>
      <c r="E316" s="39"/>
      <c r="F316" s="39"/>
      <c r="G316" s="39"/>
    </row>
    <row r="317">
      <c r="A317" s="39"/>
      <c r="B317" s="39"/>
      <c r="C317" s="39"/>
      <c r="D317" s="39"/>
      <c r="E317" s="39"/>
      <c r="F317" s="39"/>
      <c r="G317" s="39"/>
    </row>
    <row r="318">
      <c r="A318" s="39"/>
      <c r="B318" s="39"/>
      <c r="C318" s="39"/>
      <c r="D318" s="39"/>
      <c r="E318" s="39"/>
      <c r="F318" s="39"/>
      <c r="G318" s="39"/>
    </row>
    <row r="319">
      <c r="A319" s="39"/>
      <c r="B319" s="39"/>
      <c r="C319" s="39"/>
      <c r="D319" s="39"/>
      <c r="E319" s="39"/>
      <c r="F319" s="39"/>
      <c r="G319" s="39"/>
    </row>
    <row r="320">
      <c r="A320" s="39"/>
      <c r="B320" s="39"/>
      <c r="C320" s="39"/>
      <c r="D320" s="39"/>
      <c r="E320" s="39"/>
      <c r="F320" s="39"/>
      <c r="G320" s="39"/>
    </row>
    <row r="321">
      <c r="A321" s="39"/>
      <c r="B321" s="39"/>
      <c r="C321" s="39"/>
      <c r="D321" s="39"/>
      <c r="E321" s="39"/>
      <c r="F321" s="39"/>
      <c r="G321" s="39"/>
    </row>
    <row r="322">
      <c r="A322" s="39"/>
      <c r="B322" s="39"/>
      <c r="C322" s="39"/>
      <c r="D322" s="39"/>
      <c r="E322" s="39"/>
      <c r="F322" s="39"/>
      <c r="G322" s="39"/>
    </row>
    <row r="323">
      <c r="A323" s="39"/>
      <c r="B323" s="39"/>
      <c r="C323" s="39"/>
      <c r="D323" s="39"/>
      <c r="E323" s="39"/>
      <c r="F323" s="39"/>
      <c r="G323" s="39"/>
    </row>
    <row r="324">
      <c r="A324" s="39"/>
      <c r="B324" s="39"/>
      <c r="C324" s="39"/>
      <c r="D324" s="39"/>
      <c r="E324" s="39"/>
      <c r="F324" s="39"/>
      <c r="G324" s="39"/>
    </row>
    <row r="325">
      <c r="A325" s="39"/>
      <c r="B325" s="39"/>
      <c r="C325" s="39"/>
      <c r="D325" s="39"/>
      <c r="E325" s="39"/>
      <c r="F325" s="39"/>
      <c r="G325" s="39"/>
    </row>
    <row r="326">
      <c r="A326" s="39"/>
      <c r="B326" s="39"/>
      <c r="C326" s="39"/>
      <c r="D326" s="39"/>
      <c r="E326" s="39"/>
      <c r="F326" s="39"/>
      <c r="G326" s="39"/>
    </row>
    <row r="327">
      <c r="A327" s="39"/>
      <c r="B327" s="39"/>
      <c r="C327" s="39"/>
      <c r="D327" s="39"/>
      <c r="E327" s="39"/>
      <c r="F327" s="39"/>
      <c r="G327" s="39"/>
    </row>
    <row r="328">
      <c r="A328" s="39"/>
      <c r="B328" s="39"/>
      <c r="C328" s="39"/>
      <c r="D328" s="39"/>
      <c r="E328" s="39"/>
      <c r="F328" s="39"/>
      <c r="G328" s="39"/>
    </row>
    <row r="329">
      <c r="A329" s="39"/>
      <c r="B329" s="39"/>
      <c r="C329" s="39"/>
      <c r="D329" s="39"/>
      <c r="E329" s="39"/>
      <c r="F329" s="39"/>
      <c r="G329" s="39"/>
    </row>
    <row r="330">
      <c r="A330" s="39"/>
      <c r="B330" s="39"/>
      <c r="C330" s="39"/>
      <c r="D330" s="39"/>
      <c r="E330" s="39"/>
      <c r="F330" s="39"/>
      <c r="G330" s="39"/>
    </row>
    <row r="331">
      <c r="A331" s="39"/>
      <c r="B331" s="39"/>
      <c r="C331" s="39"/>
      <c r="D331" s="39"/>
      <c r="E331" s="39"/>
      <c r="F331" s="39"/>
      <c r="G331" s="39"/>
    </row>
    <row r="332">
      <c r="A332" s="39"/>
      <c r="B332" s="39"/>
      <c r="C332" s="39"/>
      <c r="D332" s="39"/>
      <c r="E332" s="39"/>
      <c r="F332" s="39"/>
      <c r="G332" s="39"/>
    </row>
    <row r="333">
      <c r="A333" s="39"/>
      <c r="B333" s="39"/>
      <c r="C333" s="39"/>
      <c r="D333" s="39"/>
      <c r="E333" s="39"/>
      <c r="F333" s="39"/>
      <c r="G333" s="39"/>
    </row>
    <row r="334">
      <c r="A334" s="39"/>
      <c r="B334" s="39"/>
      <c r="C334" s="39"/>
      <c r="D334" s="39"/>
      <c r="E334" s="39"/>
      <c r="F334" s="39"/>
      <c r="G334" s="39"/>
    </row>
    <row r="335">
      <c r="A335" s="39"/>
      <c r="B335" s="39"/>
      <c r="C335" s="39"/>
      <c r="D335" s="39"/>
      <c r="E335" s="39"/>
      <c r="F335" s="39"/>
      <c r="G335" s="39"/>
    </row>
    <row r="336">
      <c r="A336" s="39"/>
      <c r="B336" s="39"/>
      <c r="C336" s="39"/>
      <c r="D336" s="39"/>
      <c r="E336" s="39"/>
      <c r="F336" s="39"/>
      <c r="G336" s="39"/>
    </row>
    <row r="337">
      <c r="A337" s="39"/>
      <c r="B337" s="39"/>
      <c r="C337" s="39"/>
      <c r="D337" s="39"/>
      <c r="E337" s="39"/>
      <c r="F337" s="39"/>
      <c r="G337" s="39"/>
    </row>
    <row r="338">
      <c r="A338" s="39"/>
      <c r="B338" s="39"/>
      <c r="C338" s="39"/>
      <c r="D338" s="39"/>
      <c r="E338" s="39"/>
      <c r="F338" s="39"/>
      <c r="G338" s="39"/>
    </row>
    <row r="339">
      <c r="A339" s="39"/>
      <c r="B339" s="39"/>
      <c r="C339" s="39"/>
      <c r="D339" s="39"/>
      <c r="E339" s="39"/>
      <c r="F339" s="39"/>
      <c r="G339" s="39"/>
    </row>
    <row r="340">
      <c r="A340" s="39"/>
      <c r="B340" s="39"/>
      <c r="C340" s="39"/>
      <c r="D340" s="39"/>
      <c r="E340" s="39"/>
      <c r="F340" s="39"/>
      <c r="G340" s="39"/>
    </row>
    <row r="341">
      <c r="A341" s="39"/>
      <c r="B341" s="39"/>
      <c r="C341" s="39"/>
      <c r="D341" s="39"/>
      <c r="E341" s="39"/>
      <c r="F341" s="39"/>
      <c r="G341" s="39"/>
    </row>
    <row r="342">
      <c r="A342" s="39"/>
      <c r="B342" s="39"/>
      <c r="C342" s="39"/>
      <c r="D342" s="39"/>
      <c r="E342" s="39"/>
      <c r="F342" s="39"/>
      <c r="G342" s="39"/>
    </row>
    <row r="343">
      <c r="A343" s="39"/>
      <c r="B343" s="39"/>
      <c r="C343" s="39"/>
      <c r="D343" s="39"/>
      <c r="E343" s="39"/>
      <c r="F343" s="39"/>
      <c r="G343" s="39"/>
    </row>
    <row r="344">
      <c r="A344" s="39"/>
      <c r="B344" s="39"/>
      <c r="C344" s="39"/>
      <c r="D344" s="39"/>
      <c r="E344" s="39"/>
      <c r="F344" s="39"/>
      <c r="G344" s="39"/>
    </row>
    <row r="345">
      <c r="A345" s="39"/>
      <c r="B345" s="39"/>
      <c r="C345" s="39"/>
      <c r="D345" s="39"/>
      <c r="E345" s="39"/>
      <c r="F345" s="39"/>
      <c r="G345" s="39"/>
    </row>
    <row r="346">
      <c r="A346" s="39"/>
      <c r="B346" s="39"/>
      <c r="C346" s="39"/>
      <c r="D346" s="39"/>
      <c r="E346" s="39"/>
      <c r="F346" s="39"/>
      <c r="G346" s="39"/>
    </row>
    <row r="347">
      <c r="A347" s="39"/>
      <c r="B347" s="39"/>
      <c r="C347" s="39"/>
      <c r="D347" s="39"/>
      <c r="E347" s="39"/>
      <c r="F347" s="39"/>
      <c r="G347" s="39"/>
    </row>
    <row r="348">
      <c r="A348" s="39"/>
      <c r="B348" s="39"/>
      <c r="C348" s="39"/>
      <c r="D348" s="39"/>
      <c r="E348" s="39"/>
      <c r="F348" s="39"/>
      <c r="G348" s="39"/>
    </row>
    <row r="349">
      <c r="A349" s="39"/>
      <c r="B349" s="39"/>
      <c r="C349" s="39"/>
      <c r="D349" s="39"/>
      <c r="E349" s="39"/>
      <c r="F349" s="39"/>
      <c r="G349" s="39"/>
    </row>
    <row r="350">
      <c r="A350" s="39"/>
      <c r="B350" s="39"/>
      <c r="C350" s="39"/>
      <c r="D350" s="39"/>
      <c r="E350" s="39"/>
      <c r="F350" s="39"/>
      <c r="G350" s="39"/>
    </row>
    <row r="351">
      <c r="A351" s="39"/>
      <c r="B351" s="39"/>
      <c r="C351" s="39"/>
      <c r="D351" s="39"/>
      <c r="E351" s="39"/>
      <c r="F351" s="39"/>
      <c r="G351" s="39"/>
    </row>
    <row r="352">
      <c r="A352" s="39"/>
      <c r="B352" s="39"/>
      <c r="C352" s="39"/>
      <c r="D352" s="39"/>
      <c r="E352" s="39"/>
      <c r="F352" s="39"/>
      <c r="G352" s="39"/>
    </row>
    <row r="353">
      <c r="A353" s="39"/>
      <c r="B353" s="39"/>
      <c r="C353" s="39"/>
      <c r="D353" s="39"/>
      <c r="E353" s="39"/>
      <c r="F353" s="39"/>
      <c r="G353" s="39"/>
    </row>
    <row r="354">
      <c r="A354" s="39"/>
      <c r="B354" s="39"/>
      <c r="C354" s="39"/>
      <c r="D354" s="39"/>
      <c r="E354" s="39"/>
      <c r="F354" s="39"/>
      <c r="G354" s="39"/>
    </row>
    <row r="355">
      <c r="A355" s="39"/>
      <c r="B355" s="39"/>
      <c r="C355" s="39"/>
      <c r="D355" s="39"/>
      <c r="E355" s="39"/>
      <c r="F355" s="39"/>
      <c r="G355" s="39"/>
    </row>
    <row r="356">
      <c r="A356" s="39"/>
      <c r="B356" s="39"/>
      <c r="C356" s="39"/>
      <c r="D356" s="39"/>
      <c r="E356" s="39"/>
      <c r="F356" s="39"/>
      <c r="G356" s="39"/>
    </row>
    <row r="357">
      <c r="A357" s="39"/>
      <c r="B357" s="39"/>
      <c r="C357" s="39"/>
      <c r="D357" s="39"/>
      <c r="E357" s="39"/>
      <c r="F357" s="39"/>
      <c r="G357" s="39"/>
    </row>
    <row r="358">
      <c r="A358" s="39"/>
      <c r="B358" s="39"/>
      <c r="C358" s="39"/>
      <c r="D358" s="39"/>
      <c r="E358" s="39"/>
      <c r="F358" s="39"/>
      <c r="G358" s="39"/>
    </row>
    <row r="359">
      <c r="A359" s="39"/>
      <c r="B359" s="39"/>
      <c r="C359" s="39"/>
      <c r="D359" s="39"/>
      <c r="E359" s="39"/>
      <c r="F359" s="39"/>
      <c r="G359" s="39"/>
    </row>
    <row r="360">
      <c r="A360" s="39"/>
      <c r="B360" s="39"/>
      <c r="C360" s="39"/>
      <c r="D360" s="39"/>
      <c r="E360" s="39"/>
      <c r="F360" s="39"/>
      <c r="G360" s="39"/>
    </row>
    <row r="361">
      <c r="A361" s="39"/>
      <c r="B361" s="39"/>
      <c r="C361" s="39"/>
      <c r="D361" s="39"/>
      <c r="E361" s="39"/>
      <c r="F361" s="39"/>
      <c r="G361" s="39"/>
    </row>
    <row r="362">
      <c r="A362" s="39"/>
      <c r="B362" s="39"/>
      <c r="C362" s="39"/>
      <c r="D362" s="39"/>
      <c r="E362" s="39"/>
      <c r="F362" s="39"/>
      <c r="G362" s="39"/>
    </row>
    <row r="363">
      <c r="A363" s="39"/>
      <c r="B363" s="39"/>
      <c r="C363" s="39"/>
      <c r="D363" s="39"/>
      <c r="E363" s="39"/>
      <c r="F363" s="39"/>
      <c r="G363" s="39"/>
    </row>
    <row r="364">
      <c r="A364" s="39"/>
      <c r="B364" s="39"/>
      <c r="C364" s="39"/>
      <c r="D364" s="39"/>
      <c r="E364" s="39"/>
      <c r="F364" s="39"/>
      <c r="G364" s="39"/>
    </row>
    <row r="365">
      <c r="A365" s="39"/>
      <c r="B365" s="39"/>
      <c r="C365" s="39"/>
      <c r="D365" s="39"/>
      <c r="E365" s="39"/>
      <c r="F365" s="39"/>
      <c r="G365" s="39"/>
    </row>
    <row r="366">
      <c r="A366" s="39"/>
      <c r="B366" s="39"/>
      <c r="C366" s="39"/>
      <c r="D366" s="39"/>
      <c r="E366" s="39"/>
      <c r="F366" s="39"/>
      <c r="G366" s="39"/>
    </row>
    <row r="367">
      <c r="A367" s="39"/>
      <c r="B367" s="39"/>
      <c r="C367" s="39"/>
      <c r="D367" s="39"/>
      <c r="E367" s="39"/>
      <c r="F367" s="39"/>
      <c r="G367" s="39"/>
    </row>
    <row r="368">
      <c r="A368" s="39"/>
      <c r="B368" s="39"/>
      <c r="C368" s="39"/>
      <c r="D368" s="39"/>
      <c r="E368" s="39"/>
      <c r="F368" s="39"/>
      <c r="G368" s="39"/>
    </row>
    <row r="369">
      <c r="A369" s="39"/>
      <c r="B369" s="39"/>
      <c r="C369" s="39"/>
      <c r="D369" s="39"/>
      <c r="E369" s="39"/>
      <c r="F369" s="39"/>
      <c r="G369" s="39"/>
    </row>
    <row r="370">
      <c r="A370" s="39"/>
      <c r="B370" s="39"/>
      <c r="C370" s="39"/>
      <c r="D370" s="39"/>
      <c r="E370" s="39"/>
      <c r="F370" s="39"/>
      <c r="G370" s="39"/>
    </row>
    <row r="371">
      <c r="A371" s="39"/>
      <c r="B371" s="39"/>
      <c r="C371" s="39"/>
      <c r="D371" s="39"/>
      <c r="E371" s="39"/>
      <c r="F371" s="39"/>
      <c r="G371" s="39"/>
    </row>
    <row r="372">
      <c r="A372" s="39"/>
      <c r="B372" s="39"/>
      <c r="C372" s="39"/>
      <c r="D372" s="39"/>
      <c r="E372" s="39"/>
      <c r="F372" s="39"/>
      <c r="G372" s="39"/>
    </row>
    <row r="373">
      <c r="A373" s="39"/>
      <c r="B373" s="39"/>
      <c r="C373" s="39"/>
      <c r="D373" s="39"/>
      <c r="E373" s="39"/>
      <c r="F373" s="39"/>
      <c r="G373" s="39"/>
    </row>
    <row r="374">
      <c r="A374" s="39"/>
      <c r="B374" s="39"/>
      <c r="C374" s="39"/>
      <c r="D374" s="39"/>
      <c r="E374" s="39"/>
      <c r="F374" s="39"/>
      <c r="G374" s="39"/>
    </row>
    <row r="375">
      <c r="A375" s="39"/>
      <c r="B375" s="39"/>
      <c r="C375" s="39"/>
      <c r="D375" s="39"/>
      <c r="E375" s="39"/>
      <c r="F375" s="39"/>
      <c r="G375" s="39"/>
    </row>
    <row r="376">
      <c r="A376" s="39"/>
      <c r="B376" s="39"/>
      <c r="C376" s="39"/>
      <c r="D376" s="39"/>
      <c r="E376" s="39"/>
      <c r="F376" s="39"/>
      <c r="G376" s="39"/>
    </row>
    <row r="377">
      <c r="A377" s="39"/>
      <c r="B377" s="39"/>
      <c r="C377" s="39"/>
      <c r="D377" s="39"/>
      <c r="E377" s="39"/>
      <c r="F377" s="39"/>
      <c r="G377" s="39"/>
    </row>
    <row r="378">
      <c r="A378" s="39"/>
      <c r="B378" s="39"/>
      <c r="C378" s="39"/>
      <c r="D378" s="39"/>
      <c r="E378" s="39"/>
      <c r="F378" s="39"/>
      <c r="G378" s="39"/>
    </row>
    <row r="379">
      <c r="A379" s="39"/>
      <c r="B379" s="39"/>
      <c r="C379" s="39"/>
      <c r="D379" s="39"/>
      <c r="E379" s="39"/>
      <c r="F379" s="39"/>
      <c r="G379" s="39"/>
    </row>
    <row r="380">
      <c r="A380" s="39"/>
      <c r="B380" s="39"/>
      <c r="C380" s="39"/>
      <c r="D380" s="39"/>
      <c r="E380" s="39"/>
      <c r="F380" s="39"/>
      <c r="G380" s="39"/>
    </row>
    <row r="381">
      <c r="A381" s="39"/>
      <c r="B381" s="39"/>
      <c r="C381" s="39"/>
      <c r="D381" s="39"/>
      <c r="E381" s="39"/>
      <c r="F381" s="39"/>
      <c r="G381" s="39"/>
    </row>
    <row r="382">
      <c r="A382" s="39"/>
      <c r="B382" s="39"/>
      <c r="C382" s="39"/>
      <c r="D382" s="39"/>
      <c r="E382" s="39"/>
      <c r="F382" s="39"/>
      <c r="G382" s="39"/>
    </row>
    <row r="383">
      <c r="A383" s="39"/>
      <c r="B383" s="39"/>
      <c r="C383" s="39"/>
      <c r="D383" s="39"/>
      <c r="E383" s="39"/>
      <c r="F383" s="39"/>
      <c r="G383" s="39"/>
    </row>
    <row r="384">
      <c r="A384" s="39"/>
      <c r="B384" s="39"/>
      <c r="C384" s="39"/>
      <c r="D384" s="39"/>
      <c r="E384" s="39"/>
      <c r="F384" s="39"/>
      <c r="G384" s="39"/>
    </row>
    <row r="385">
      <c r="A385" s="39"/>
      <c r="B385" s="39"/>
      <c r="C385" s="39"/>
      <c r="D385" s="39"/>
      <c r="E385" s="39"/>
      <c r="F385" s="39"/>
      <c r="G385" s="39"/>
    </row>
    <row r="386">
      <c r="A386" s="39"/>
      <c r="B386" s="39"/>
      <c r="C386" s="39"/>
      <c r="D386" s="39"/>
      <c r="E386" s="39"/>
      <c r="F386" s="39"/>
      <c r="G386" s="39"/>
    </row>
    <row r="387">
      <c r="A387" s="39"/>
      <c r="B387" s="39"/>
      <c r="C387" s="39"/>
      <c r="D387" s="39"/>
      <c r="E387" s="39"/>
      <c r="F387" s="39"/>
      <c r="G387" s="39"/>
    </row>
    <row r="388">
      <c r="A388" s="39"/>
      <c r="B388" s="39"/>
      <c r="C388" s="39"/>
      <c r="D388" s="39"/>
      <c r="E388" s="39"/>
      <c r="F388" s="39"/>
      <c r="G388" s="39"/>
    </row>
    <row r="389">
      <c r="A389" s="39"/>
      <c r="B389" s="39"/>
      <c r="C389" s="39"/>
      <c r="D389" s="39"/>
      <c r="E389" s="39"/>
      <c r="F389" s="39"/>
      <c r="G389" s="39"/>
    </row>
    <row r="390">
      <c r="A390" s="39"/>
      <c r="B390" s="39"/>
      <c r="C390" s="39"/>
      <c r="D390" s="39"/>
      <c r="E390" s="39"/>
      <c r="F390" s="39"/>
      <c r="G390" s="39"/>
    </row>
    <row r="391">
      <c r="A391" s="39"/>
      <c r="B391" s="39"/>
      <c r="C391" s="39"/>
      <c r="D391" s="39"/>
      <c r="E391" s="39"/>
      <c r="F391" s="39"/>
      <c r="G391" s="39"/>
    </row>
    <row r="392">
      <c r="A392" s="39"/>
      <c r="B392" s="39"/>
      <c r="C392" s="39"/>
      <c r="D392" s="39"/>
      <c r="E392" s="39"/>
      <c r="F392" s="39"/>
      <c r="G392" s="39"/>
    </row>
    <row r="393">
      <c r="A393" s="39"/>
      <c r="B393" s="39"/>
      <c r="C393" s="39"/>
      <c r="D393" s="39"/>
      <c r="E393" s="39"/>
      <c r="F393" s="39"/>
      <c r="G393" s="39"/>
    </row>
    <row r="394">
      <c r="A394" s="39"/>
      <c r="B394" s="39"/>
      <c r="C394" s="39"/>
      <c r="D394" s="39"/>
      <c r="E394" s="39"/>
      <c r="F394" s="39"/>
      <c r="G394" s="39"/>
    </row>
    <row r="395">
      <c r="A395" s="39"/>
      <c r="B395" s="39"/>
      <c r="C395" s="39"/>
      <c r="D395" s="39"/>
      <c r="E395" s="39"/>
      <c r="F395" s="39"/>
      <c r="G395" s="39"/>
    </row>
    <row r="396">
      <c r="A396" s="39"/>
      <c r="B396" s="39"/>
      <c r="C396" s="39"/>
      <c r="D396" s="39"/>
      <c r="E396" s="39"/>
      <c r="F396" s="39"/>
      <c r="G396" s="39"/>
    </row>
    <row r="397">
      <c r="A397" s="39"/>
      <c r="B397" s="39"/>
      <c r="C397" s="39"/>
      <c r="D397" s="39"/>
      <c r="E397" s="39"/>
      <c r="F397" s="39"/>
      <c r="G397" s="39"/>
    </row>
    <row r="398">
      <c r="A398" s="39"/>
      <c r="B398" s="39"/>
      <c r="C398" s="39"/>
      <c r="D398" s="39"/>
      <c r="E398" s="39"/>
      <c r="F398" s="39"/>
      <c r="G398" s="39"/>
    </row>
    <row r="399">
      <c r="A399" s="39"/>
      <c r="B399" s="39"/>
      <c r="C399" s="39"/>
      <c r="D399" s="39"/>
      <c r="E399" s="39"/>
      <c r="F399" s="39"/>
      <c r="G399" s="39"/>
    </row>
    <row r="400">
      <c r="A400" s="39"/>
      <c r="B400" s="39"/>
      <c r="C400" s="39"/>
      <c r="D400" s="39"/>
      <c r="E400" s="39"/>
      <c r="F400" s="39"/>
      <c r="G400" s="39"/>
    </row>
    <row r="401">
      <c r="A401" s="39"/>
      <c r="B401" s="39"/>
      <c r="C401" s="39"/>
      <c r="D401" s="39"/>
      <c r="E401" s="39"/>
      <c r="F401" s="39"/>
      <c r="G401" s="39"/>
    </row>
    <row r="402">
      <c r="A402" s="39"/>
      <c r="B402" s="39"/>
      <c r="C402" s="39"/>
      <c r="D402" s="39"/>
      <c r="E402" s="39"/>
      <c r="F402" s="39"/>
      <c r="G402" s="39"/>
    </row>
    <row r="403">
      <c r="A403" s="39"/>
      <c r="B403" s="39"/>
      <c r="C403" s="39"/>
      <c r="D403" s="39"/>
      <c r="E403" s="39"/>
      <c r="F403" s="39"/>
      <c r="G403" s="39"/>
    </row>
    <row r="404">
      <c r="A404" s="39"/>
      <c r="B404" s="39"/>
      <c r="C404" s="39"/>
      <c r="D404" s="39"/>
      <c r="E404" s="39"/>
      <c r="F404" s="39"/>
      <c r="G404" s="39"/>
    </row>
    <row r="405">
      <c r="A405" s="39"/>
      <c r="B405" s="39"/>
      <c r="C405" s="39"/>
      <c r="D405" s="39"/>
      <c r="E405" s="39"/>
      <c r="F405" s="39"/>
      <c r="G405" s="39"/>
    </row>
    <row r="406">
      <c r="A406" s="39"/>
      <c r="B406" s="39"/>
      <c r="C406" s="39"/>
      <c r="D406" s="39"/>
      <c r="E406" s="39"/>
      <c r="F406" s="39"/>
      <c r="G406" s="39"/>
    </row>
    <row r="407">
      <c r="A407" s="39"/>
      <c r="B407" s="39"/>
      <c r="C407" s="39"/>
      <c r="D407" s="39"/>
      <c r="E407" s="39"/>
      <c r="F407" s="39"/>
      <c r="G407" s="39"/>
    </row>
    <row r="408">
      <c r="A408" s="39"/>
      <c r="B408" s="39"/>
      <c r="C408" s="39"/>
      <c r="D408" s="39"/>
      <c r="E408" s="39"/>
      <c r="F408" s="39"/>
      <c r="G408" s="39"/>
    </row>
    <row r="409">
      <c r="A409" s="39"/>
      <c r="B409" s="39"/>
      <c r="C409" s="39"/>
      <c r="D409" s="39"/>
      <c r="E409" s="39"/>
      <c r="F409" s="39"/>
      <c r="G409" s="39"/>
    </row>
    <row r="410">
      <c r="A410" s="39"/>
      <c r="B410" s="39"/>
      <c r="C410" s="39"/>
      <c r="D410" s="39"/>
      <c r="E410" s="39"/>
      <c r="F410" s="39"/>
      <c r="G410" s="39"/>
    </row>
    <row r="411">
      <c r="A411" s="39"/>
      <c r="B411" s="39"/>
      <c r="C411" s="39"/>
      <c r="D411" s="39"/>
      <c r="E411" s="39"/>
      <c r="F411" s="39"/>
      <c r="G411" s="39"/>
    </row>
    <row r="412">
      <c r="A412" s="39"/>
      <c r="B412" s="39"/>
      <c r="C412" s="39"/>
      <c r="D412" s="39"/>
      <c r="E412" s="39"/>
      <c r="F412" s="39"/>
      <c r="G412" s="39"/>
    </row>
    <row r="413">
      <c r="A413" s="39"/>
      <c r="B413" s="39"/>
      <c r="C413" s="39"/>
      <c r="D413" s="39"/>
      <c r="E413" s="39"/>
      <c r="F413" s="39"/>
      <c r="G413" s="39"/>
    </row>
    <row r="414">
      <c r="A414" s="39"/>
      <c r="B414" s="39"/>
      <c r="C414" s="39"/>
      <c r="D414" s="39"/>
      <c r="E414" s="39"/>
      <c r="F414" s="39"/>
      <c r="G414" s="39"/>
    </row>
    <row r="415">
      <c r="A415" s="39"/>
      <c r="B415" s="39"/>
      <c r="C415" s="39"/>
      <c r="D415" s="39"/>
      <c r="E415" s="39"/>
      <c r="F415" s="39"/>
      <c r="G415" s="39"/>
    </row>
    <row r="416">
      <c r="A416" s="39"/>
      <c r="B416" s="39"/>
      <c r="C416" s="39"/>
      <c r="D416" s="39"/>
      <c r="E416" s="39"/>
      <c r="F416" s="39"/>
      <c r="G416" s="39"/>
    </row>
    <row r="417">
      <c r="A417" s="39"/>
      <c r="B417" s="39"/>
      <c r="C417" s="39"/>
      <c r="D417" s="39"/>
      <c r="E417" s="39"/>
      <c r="F417" s="39"/>
      <c r="G417" s="39"/>
    </row>
    <row r="418">
      <c r="A418" s="39"/>
      <c r="B418" s="39"/>
      <c r="C418" s="39"/>
      <c r="D418" s="39"/>
      <c r="E418" s="39"/>
      <c r="F418" s="39"/>
      <c r="G418" s="39"/>
    </row>
    <row r="419">
      <c r="A419" s="39"/>
      <c r="B419" s="39"/>
      <c r="C419" s="39"/>
      <c r="D419" s="39"/>
      <c r="E419" s="39"/>
      <c r="F419" s="39"/>
      <c r="G419" s="39"/>
    </row>
    <row r="420">
      <c r="A420" s="39"/>
      <c r="B420" s="39"/>
      <c r="C420" s="39"/>
      <c r="D420" s="39"/>
      <c r="E420" s="39"/>
      <c r="F420" s="39"/>
      <c r="G420" s="39"/>
    </row>
    <row r="421">
      <c r="A421" s="39"/>
      <c r="B421" s="39"/>
      <c r="C421" s="39"/>
      <c r="D421" s="39"/>
      <c r="E421" s="39"/>
      <c r="F421" s="39"/>
      <c r="G421" s="39"/>
    </row>
    <row r="422">
      <c r="A422" s="39"/>
      <c r="B422" s="39"/>
      <c r="C422" s="39"/>
      <c r="D422" s="39"/>
      <c r="E422" s="39"/>
      <c r="F422" s="39"/>
      <c r="G422" s="39"/>
    </row>
    <row r="423">
      <c r="A423" s="39"/>
      <c r="B423" s="39"/>
      <c r="C423" s="39"/>
      <c r="D423" s="39"/>
      <c r="E423" s="39"/>
      <c r="F423" s="39"/>
      <c r="G423" s="39"/>
    </row>
    <row r="424">
      <c r="A424" s="39"/>
      <c r="B424" s="39"/>
      <c r="C424" s="39"/>
      <c r="D424" s="39"/>
      <c r="E424" s="39"/>
      <c r="F424" s="39"/>
      <c r="G424" s="39"/>
    </row>
    <row r="425">
      <c r="A425" s="39"/>
      <c r="B425" s="39"/>
      <c r="C425" s="39"/>
      <c r="D425" s="39"/>
      <c r="E425" s="39"/>
      <c r="F425" s="39"/>
      <c r="G425" s="39"/>
    </row>
    <row r="426">
      <c r="A426" s="39"/>
      <c r="B426" s="39"/>
      <c r="C426" s="39"/>
      <c r="D426" s="39"/>
      <c r="E426" s="39"/>
      <c r="F426" s="39"/>
      <c r="G426" s="39"/>
    </row>
    <row r="427">
      <c r="A427" s="39"/>
      <c r="B427" s="39"/>
      <c r="C427" s="39"/>
      <c r="D427" s="39"/>
      <c r="E427" s="39"/>
      <c r="F427" s="39"/>
      <c r="G427" s="39"/>
    </row>
    <row r="428">
      <c r="A428" s="39"/>
      <c r="B428" s="39"/>
      <c r="C428" s="39"/>
      <c r="D428" s="39"/>
      <c r="E428" s="39"/>
      <c r="F428" s="39"/>
      <c r="G428" s="39"/>
    </row>
    <row r="429">
      <c r="A429" s="39"/>
      <c r="B429" s="39"/>
      <c r="C429" s="39"/>
      <c r="D429" s="39"/>
      <c r="E429" s="39"/>
      <c r="F429" s="39"/>
      <c r="G429" s="39"/>
    </row>
    <row r="430">
      <c r="A430" s="39"/>
      <c r="B430" s="39"/>
      <c r="C430" s="39"/>
      <c r="D430" s="39"/>
      <c r="E430" s="39"/>
      <c r="F430" s="39"/>
      <c r="G430" s="39"/>
    </row>
    <row r="431">
      <c r="A431" s="39"/>
      <c r="B431" s="39"/>
      <c r="C431" s="39"/>
      <c r="D431" s="39"/>
      <c r="E431" s="39"/>
      <c r="F431" s="39"/>
      <c r="G431" s="39"/>
    </row>
    <row r="432">
      <c r="A432" s="39"/>
      <c r="B432" s="39"/>
      <c r="C432" s="39"/>
      <c r="D432" s="39"/>
      <c r="E432" s="39"/>
      <c r="F432" s="39"/>
      <c r="G432" s="39"/>
    </row>
    <row r="433">
      <c r="A433" s="39"/>
      <c r="B433" s="39"/>
      <c r="C433" s="39"/>
      <c r="D433" s="39"/>
      <c r="E433" s="39"/>
      <c r="F433" s="39"/>
      <c r="G433" s="39"/>
    </row>
    <row r="434">
      <c r="A434" s="39"/>
      <c r="B434" s="39"/>
      <c r="C434" s="39"/>
      <c r="D434" s="39"/>
      <c r="E434" s="39"/>
      <c r="F434" s="39"/>
      <c r="G434" s="39"/>
    </row>
    <row r="435">
      <c r="A435" s="39"/>
      <c r="B435" s="39"/>
      <c r="C435" s="39"/>
      <c r="D435" s="39"/>
      <c r="E435" s="39"/>
      <c r="F435" s="39"/>
      <c r="G435" s="39"/>
    </row>
    <row r="436">
      <c r="A436" s="39"/>
      <c r="B436" s="39"/>
      <c r="C436" s="39"/>
      <c r="D436" s="39"/>
      <c r="E436" s="39"/>
      <c r="F436" s="39"/>
      <c r="G436" s="39"/>
    </row>
    <row r="437">
      <c r="A437" s="39"/>
      <c r="B437" s="39"/>
      <c r="C437" s="39"/>
      <c r="D437" s="39"/>
      <c r="E437" s="39"/>
      <c r="F437" s="39"/>
      <c r="G437" s="39"/>
    </row>
    <row r="438">
      <c r="A438" s="39"/>
      <c r="B438" s="39"/>
      <c r="C438" s="39"/>
      <c r="D438" s="39"/>
      <c r="E438" s="39"/>
      <c r="F438" s="39"/>
      <c r="G438" s="39"/>
    </row>
    <row r="439">
      <c r="A439" s="39"/>
      <c r="B439" s="39"/>
      <c r="C439" s="39"/>
      <c r="D439" s="39"/>
      <c r="E439" s="39"/>
      <c r="F439" s="39"/>
      <c r="G439" s="39"/>
    </row>
    <row r="440">
      <c r="A440" s="39"/>
      <c r="B440" s="39"/>
      <c r="C440" s="39"/>
      <c r="D440" s="39"/>
      <c r="E440" s="39"/>
      <c r="F440" s="39"/>
      <c r="G440" s="39"/>
    </row>
    <row r="441">
      <c r="A441" s="39"/>
      <c r="B441" s="39"/>
      <c r="C441" s="39"/>
      <c r="D441" s="39"/>
      <c r="E441" s="39"/>
      <c r="F441" s="39"/>
      <c r="G441" s="39"/>
    </row>
    <row r="442">
      <c r="A442" s="39"/>
      <c r="B442" s="39"/>
      <c r="C442" s="39"/>
      <c r="D442" s="39"/>
      <c r="E442" s="39"/>
      <c r="F442" s="39"/>
      <c r="G442" s="39"/>
    </row>
    <row r="443">
      <c r="A443" s="39"/>
      <c r="B443" s="39"/>
      <c r="C443" s="39"/>
      <c r="D443" s="39"/>
      <c r="E443" s="39"/>
      <c r="F443" s="39"/>
      <c r="G443" s="39"/>
    </row>
    <row r="444">
      <c r="A444" s="39"/>
      <c r="B444" s="39"/>
      <c r="C444" s="39"/>
      <c r="D444" s="39"/>
      <c r="E444" s="39"/>
      <c r="F444" s="39"/>
      <c r="G444" s="39"/>
    </row>
    <row r="445">
      <c r="A445" s="39"/>
      <c r="B445" s="39"/>
      <c r="C445" s="39"/>
      <c r="D445" s="39"/>
      <c r="E445" s="39"/>
      <c r="F445" s="39"/>
      <c r="G445" s="39"/>
    </row>
    <row r="446">
      <c r="A446" s="39"/>
      <c r="B446" s="39"/>
      <c r="C446" s="39"/>
      <c r="D446" s="39"/>
      <c r="E446" s="39"/>
      <c r="F446" s="39"/>
      <c r="G446" s="39"/>
    </row>
    <row r="447">
      <c r="A447" s="39"/>
      <c r="B447" s="39"/>
      <c r="C447" s="39"/>
      <c r="D447" s="39"/>
      <c r="E447" s="39"/>
      <c r="F447" s="39"/>
      <c r="G447" s="39"/>
    </row>
    <row r="448">
      <c r="A448" s="39"/>
      <c r="B448" s="39"/>
      <c r="C448" s="39"/>
      <c r="D448" s="39"/>
      <c r="E448" s="39"/>
      <c r="F448" s="39"/>
      <c r="G448" s="39"/>
    </row>
    <row r="449">
      <c r="A449" s="39"/>
      <c r="B449" s="39"/>
      <c r="C449" s="39"/>
      <c r="D449" s="39"/>
      <c r="E449" s="39"/>
      <c r="F449" s="39"/>
      <c r="G449" s="39"/>
    </row>
    <row r="450">
      <c r="A450" s="39"/>
      <c r="B450" s="39"/>
      <c r="C450" s="39"/>
      <c r="D450" s="39"/>
      <c r="E450" s="39"/>
      <c r="F450" s="39"/>
      <c r="G450" s="39"/>
    </row>
    <row r="451">
      <c r="A451" s="39"/>
      <c r="B451" s="39"/>
      <c r="C451" s="39"/>
      <c r="D451" s="39"/>
      <c r="E451" s="39"/>
      <c r="F451" s="39"/>
      <c r="G451" s="39"/>
    </row>
    <row r="452">
      <c r="A452" s="39"/>
      <c r="B452" s="39"/>
      <c r="C452" s="39"/>
      <c r="D452" s="39"/>
      <c r="E452" s="39"/>
      <c r="F452" s="39"/>
      <c r="G452" s="39"/>
    </row>
    <row r="453">
      <c r="A453" s="39"/>
      <c r="B453" s="39"/>
      <c r="C453" s="39"/>
      <c r="D453" s="39"/>
      <c r="E453" s="39"/>
      <c r="F453" s="39"/>
      <c r="G453" s="39"/>
    </row>
    <row r="454">
      <c r="A454" s="39"/>
      <c r="B454" s="39"/>
      <c r="C454" s="39"/>
      <c r="D454" s="39"/>
      <c r="E454" s="39"/>
      <c r="F454" s="39"/>
      <c r="G454" s="39"/>
    </row>
    <row r="455">
      <c r="A455" s="39"/>
      <c r="B455" s="39"/>
      <c r="C455" s="39"/>
      <c r="D455" s="39"/>
      <c r="E455" s="39"/>
      <c r="F455" s="39"/>
      <c r="G455" s="39"/>
    </row>
    <row r="456">
      <c r="A456" s="39"/>
      <c r="B456" s="39"/>
      <c r="C456" s="39"/>
      <c r="D456" s="39"/>
      <c r="E456" s="39"/>
      <c r="F456" s="39"/>
      <c r="G456" s="39"/>
    </row>
    <row r="457">
      <c r="A457" s="39"/>
      <c r="B457" s="39"/>
      <c r="C457" s="39"/>
      <c r="D457" s="39"/>
      <c r="E457" s="39"/>
      <c r="F457" s="39"/>
      <c r="G457" s="39"/>
    </row>
    <row r="458">
      <c r="A458" s="39"/>
      <c r="B458" s="39"/>
      <c r="C458" s="39"/>
      <c r="D458" s="39"/>
      <c r="E458" s="39"/>
      <c r="F458" s="39"/>
      <c r="G458" s="39"/>
    </row>
    <row r="459">
      <c r="A459" s="39"/>
      <c r="B459" s="39"/>
      <c r="C459" s="39"/>
      <c r="D459" s="39"/>
      <c r="E459" s="39"/>
      <c r="F459" s="39"/>
      <c r="G459" s="39"/>
    </row>
    <row r="460">
      <c r="A460" s="39"/>
      <c r="B460" s="39"/>
      <c r="C460" s="39"/>
      <c r="D460" s="39"/>
      <c r="E460" s="39"/>
      <c r="F460" s="39"/>
      <c r="G460" s="39"/>
    </row>
    <row r="461">
      <c r="A461" s="39"/>
      <c r="B461" s="39"/>
      <c r="C461" s="39"/>
      <c r="D461" s="39"/>
      <c r="E461" s="39"/>
      <c r="F461" s="39"/>
      <c r="G461" s="39"/>
    </row>
    <row r="462">
      <c r="A462" s="39"/>
      <c r="B462" s="39"/>
      <c r="C462" s="39"/>
      <c r="D462" s="39"/>
      <c r="E462" s="39"/>
      <c r="F462" s="39"/>
      <c r="G462" s="39"/>
    </row>
    <row r="463">
      <c r="A463" s="39"/>
      <c r="B463" s="39"/>
      <c r="C463" s="39"/>
      <c r="D463" s="39"/>
      <c r="E463" s="39"/>
      <c r="F463" s="39"/>
      <c r="G463" s="39"/>
    </row>
    <row r="464">
      <c r="A464" s="39"/>
      <c r="B464" s="39"/>
      <c r="C464" s="39"/>
      <c r="D464" s="39"/>
      <c r="E464" s="39"/>
      <c r="F464" s="39"/>
      <c r="G464" s="39"/>
    </row>
    <row r="465">
      <c r="A465" s="39"/>
      <c r="B465" s="39"/>
      <c r="C465" s="39"/>
      <c r="D465" s="39"/>
      <c r="E465" s="39"/>
      <c r="F465" s="39"/>
      <c r="G465" s="39"/>
    </row>
    <row r="466">
      <c r="A466" s="39"/>
      <c r="B466" s="39"/>
      <c r="C466" s="39"/>
      <c r="D466" s="39"/>
      <c r="E466" s="39"/>
      <c r="F466" s="39"/>
      <c r="G466" s="39"/>
    </row>
    <row r="467">
      <c r="A467" s="39"/>
      <c r="B467" s="39"/>
      <c r="C467" s="39"/>
      <c r="D467" s="39"/>
      <c r="E467" s="39"/>
      <c r="F467" s="39"/>
      <c r="G467" s="39"/>
    </row>
    <row r="468">
      <c r="A468" s="39"/>
      <c r="B468" s="39"/>
      <c r="C468" s="39"/>
      <c r="D468" s="39"/>
      <c r="E468" s="39"/>
      <c r="F468" s="39"/>
      <c r="G468" s="39"/>
    </row>
    <row r="469">
      <c r="A469" s="39"/>
      <c r="B469" s="39"/>
      <c r="C469" s="39"/>
      <c r="D469" s="39"/>
      <c r="E469" s="39"/>
      <c r="F469" s="39"/>
      <c r="G469" s="39"/>
    </row>
    <row r="470">
      <c r="A470" s="39"/>
      <c r="B470" s="39"/>
      <c r="C470" s="39"/>
      <c r="D470" s="39"/>
      <c r="E470" s="39"/>
      <c r="F470" s="39"/>
      <c r="G470" s="39"/>
    </row>
    <row r="471">
      <c r="A471" s="39"/>
      <c r="B471" s="39"/>
      <c r="C471" s="39"/>
      <c r="D471" s="39"/>
      <c r="E471" s="39"/>
      <c r="F471" s="39"/>
      <c r="G471" s="39"/>
    </row>
    <row r="472">
      <c r="A472" s="39"/>
      <c r="B472" s="39"/>
      <c r="C472" s="39"/>
      <c r="D472" s="39"/>
      <c r="E472" s="39"/>
      <c r="F472" s="39"/>
      <c r="G472" s="39"/>
    </row>
    <row r="473">
      <c r="A473" s="39"/>
      <c r="B473" s="39"/>
      <c r="C473" s="39"/>
      <c r="D473" s="39"/>
      <c r="E473" s="39"/>
      <c r="F473" s="39"/>
      <c r="G473" s="39"/>
    </row>
    <row r="474">
      <c r="A474" s="39"/>
      <c r="B474" s="39"/>
      <c r="C474" s="39"/>
      <c r="D474" s="39"/>
      <c r="E474" s="39"/>
      <c r="F474" s="39"/>
      <c r="G474" s="39"/>
    </row>
    <row r="475">
      <c r="A475" s="39"/>
      <c r="B475" s="39"/>
      <c r="C475" s="39"/>
      <c r="D475" s="39"/>
      <c r="E475" s="39"/>
      <c r="F475" s="39"/>
      <c r="G475" s="39"/>
    </row>
    <row r="476">
      <c r="A476" s="39"/>
      <c r="B476" s="39"/>
      <c r="C476" s="39"/>
      <c r="D476" s="39"/>
      <c r="E476" s="39"/>
      <c r="F476" s="39"/>
      <c r="G476" s="39"/>
    </row>
    <row r="477">
      <c r="A477" s="39"/>
      <c r="B477" s="39"/>
      <c r="C477" s="39"/>
      <c r="D477" s="39"/>
      <c r="E477" s="39"/>
      <c r="F477" s="39"/>
      <c r="G477" s="39"/>
    </row>
    <row r="478">
      <c r="A478" s="39"/>
      <c r="B478" s="39"/>
      <c r="C478" s="39"/>
      <c r="D478" s="39"/>
      <c r="E478" s="39"/>
      <c r="F478" s="39"/>
      <c r="G478" s="39"/>
    </row>
    <row r="479">
      <c r="A479" s="39"/>
      <c r="B479" s="39"/>
      <c r="C479" s="39"/>
      <c r="D479" s="39"/>
      <c r="E479" s="39"/>
      <c r="F479" s="39"/>
      <c r="G479" s="39"/>
    </row>
    <row r="480">
      <c r="A480" s="39"/>
      <c r="B480" s="39"/>
      <c r="C480" s="39"/>
      <c r="D480" s="39"/>
      <c r="E480" s="39"/>
      <c r="F480" s="39"/>
      <c r="G480" s="39"/>
    </row>
    <row r="481">
      <c r="A481" s="39"/>
      <c r="B481" s="39"/>
      <c r="C481" s="39"/>
      <c r="D481" s="39"/>
      <c r="E481" s="39"/>
      <c r="F481" s="39"/>
      <c r="G481" s="39"/>
    </row>
    <row r="482">
      <c r="A482" s="39"/>
      <c r="B482" s="39"/>
      <c r="C482" s="39"/>
      <c r="D482" s="39"/>
      <c r="E482" s="39"/>
      <c r="F482" s="39"/>
      <c r="G482" s="39"/>
    </row>
    <row r="483">
      <c r="A483" s="39"/>
      <c r="B483" s="39"/>
      <c r="C483" s="39"/>
      <c r="D483" s="39"/>
      <c r="E483" s="39"/>
      <c r="F483" s="39"/>
      <c r="G483" s="39"/>
    </row>
    <row r="484">
      <c r="A484" s="39"/>
      <c r="B484" s="39"/>
      <c r="C484" s="39"/>
      <c r="D484" s="39"/>
      <c r="E484" s="39"/>
      <c r="F484" s="39"/>
      <c r="G484" s="39"/>
    </row>
    <row r="485">
      <c r="A485" s="39"/>
      <c r="B485" s="39"/>
      <c r="C485" s="39"/>
      <c r="D485" s="39"/>
      <c r="E485" s="39"/>
      <c r="F485" s="39"/>
      <c r="G485" s="39"/>
    </row>
    <row r="486">
      <c r="A486" s="39"/>
      <c r="B486" s="39"/>
      <c r="C486" s="39"/>
      <c r="D486" s="39"/>
      <c r="E486" s="39"/>
      <c r="F486" s="39"/>
      <c r="G486" s="39"/>
    </row>
    <row r="487">
      <c r="A487" s="39"/>
      <c r="B487" s="39"/>
      <c r="C487" s="39"/>
      <c r="D487" s="39"/>
      <c r="E487" s="39"/>
      <c r="F487" s="39"/>
      <c r="G487" s="39"/>
    </row>
    <row r="488">
      <c r="A488" s="39"/>
      <c r="B488" s="39"/>
      <c r="C488" s="39"/>
      <c r="D488" s="39"/>
      <c r="E488" s="39"/>
      <c r="F488" s="39"/>
      <c r="G488" s="39"/>
    </row>
    <row r="489">
      <c r="A489" s="39"/>
      <c r="B489" s="39"/>
      <c r="C489" s="39"/>
      <c r="D489" s="39"/>
      <c r="E489" s="39"/>
      <c r="F489" s="39"/>
      <c r="G489" s="39"/>
    </row>
    <row r="490">
      <c r="A490" s="39"/>
      <c r="B490" s="39"/>
      <c r="C490" s="39"/>
      <c r="D490" s="39"/>
      <c r="E490" s="39"/>
      <c r="F490" s="39"/>
      <c r="G490" s="39"/>
    </row>
    <row r="491">
      <c r="A491" s="39"/>
      <c r="B491" s="39"/>
      <c r="C491" s="39"/>
      <c r="D491" s="39"/>
      <c r="E491" s="39"/>
      <c r="F491" s="39"/>
      <c r="G491" s="39"/>
    </row>
    <row r="492">
      <c r="A492" s="39"/>
      <c r="B492" s="39"/>
      <c r="C492" s="39"/>
      <c r="D492" s="39"/>
      <c r="E492" s="39"/>
      <c r="F492" s="39"/>
      <c r="G492" s="39"/>
    </row>
    <row r="493">
      <c r="A493" s="39"/>
      <c r="B493" s="39"/>
      <c r="C493" s="39"/>
      <c r="D493" s="39"/>
      <c r="E493" s="39"/>
      <c r="F493" s="39"/>
      <c r="G493" s="39"/>
    </row>
    <row r="494">
      <c r="A494" s="39"/>
      <c r="B494" s="39"/>
      <c r="C494" s="39"/>
      <c r="D494" s="39"/>
      <c r="E494" s="39"/>
      <c r="F494" s="39"/>
      <c r="G494" s="39"/>
    </row>
    <row r="495">
      <c r="A495" s="39"/>
      <c r="B495" s="39"/>
      <c r="C495" s="39"/>
      <c r="D495" s="39"/>
      <c r="E495" s="39"/>
      <c r="F495" s="39"/>
      <c r="G495" s="39"/>
    </row>
    <row r="496">
      <c r="A496" s="39"/>
      <c r="B496" s="39"/>
      <c r="C496" s="39"/>
      <c r="D496" s="39"/>
      <c r="E496" s="39"/>
      <c r="F496" s="39"/>
      <c r="G496" s="39"/>
    </row>
    <row r="497">
      <c r="A497" s="39"/>
      <c r="B497" s="39"/>
      <c r="C497" s="39"/>
      <c r="D497" s="39"/>
      <c r="E497" s="39"/>
      <c r="F497" s="39"/>
      <c r="G497" s="39"/>
    </row>
    <row r="498">
      <c r="A498" s="39"/>
      <c r="B498" s="39"/>
      <c r="C498" s="39"/>
      <c r="D498" s="39"/>
      <c r="E498" s="39"/>
      <c r="F498" s="39"/>
      <c r="G498" s="39"/>
    </row>
    <row r="499">
      <c r="A499" s="39"/>
      <c r="B499" s="39"/>
      <c r="C499" s="39"/>
      <c r="D499" s="39"/>
      <c r="E499" s="39"/>
      <c r="F499" s="39"/>
      <c r="G499" s="39"/>
    </row>
    <row r="500">
      <c r="A500" s="39"/>
      <c r="B500" s="39"/>
      <c r="C500" s="39"/>
      <c r="D500" s="39"/>
      <c r="E500" s="39"/>
      <c r="F500" s="39"/>
      <c r="G500" s="39"/>
    </row>
    <row r="501">
      <c r="A501" s="39"/>
      <c r="B501" s="39"/>
      <c r="C501" s="39"/>
      <c r="D501" s="39"/>
      <c r="E501" s="39"/>
      <c r="F501" s="39"/>
      <c r="G501" s="39"/>
    </row>
    <row r="502">
      <c r="A502" s="39"/>
      <c r="B502" s="39"/>
      <c r="C502" s="39"/>
      <c r="D502" s="39"/>
      <c r="E502" s="39"/>
      <c r="F502" s="39"/>
      <c r="G502" s="39"/>
    </row>
    <row r="503">
      <c r="A503" s="39"/>
      <c r="B503" s="39"/>
      <c r="C503" s="39"/>
      <c r="D503" s="39"/>
      <c r="E503" s="39"/>
      <c r="F503" s="39"/>
      <c r="G503" s="39"/>
    </row>
    <row r="504">
      <c r="A504" s="39"/>
      <c r="B504" s="39"/>
      <c r="C504" s="39"/>
      <c r="D504" s="39"/>
      <c r="E504" s="39"/>
      <c r="F504" s="39"/>
      <c r="G504" s="39"/>
    </row>
    <row r="505">
      <c r="A505" s="39"/>
      <c r="B505" s="39"/>
      <c r="C505" s="39"/>
      <c r="D505" s="39"/>
      <c r="E505" s="39"/>
      <c r="F505" s="39"/>
      <c r="G505" s="39"/>
    </row>
    <row r="506">
      <c r="A506" s="39"/>
      <c r="B506" s="39"/>
      <c r="C506" s="39"/>
      <c r="D506" s="39"/>
      <c r="E506" s="39"/>
      <c r="F506" s="39"/>
      <c r="G506" s="39"/>
    </row>
    <row r="507">
      <c r="A507" s="39"/>
      <c r="B507" s="39"/>
      <c r="C507" s="39"/>
      <c r="D507" s="39"/>
      <c r="E507" s="39"/>
      <c r="F507" s="39"/>
      <c r="G507" s="39"/>
    </row>
    <row r="508">
      <c r="A508" s="39"/>
      <c r="B508" s="39"/>
      <c r="C508" s="39"/>
      <c r="D508" s="39"/>
      <c r="E508" s="39"/>
      <c r="F508" s="39"/>
      <c r="G508" s="39"/>
    </row>
    <row r="509">
      <c r="A509" s="39"/>
      <c r="B509" s="39"/>
      <c r="C509" s="39"/>
      <c r="D509" s="39"/>
      <c r="E509" s="39"/>
      <c r="F509" s="39"/>
      <c r="G509" s="39"/>
    </row>
    <row r="510">
      <c r="A510" s="39"/>
      <c r="B510" s="39"/>
      <c r="C510" s="39"/>
      <c r="D510" s="39"/>
      <c r="E510" s="39"/>
      <c r="F510" s="39"/>
      <c r="G510" s="39"/>
    </row>
    <row r="511">
      <c r="A511" s="39"/>
      <c r="B511" s="39"/>
      <c r="C511" s="39"/>
      <c r="D511" s="39"/>
      <c r="E511" s="39"/>
      <c r="F511" s="39"/>
      <c r="G511" s="39"/>
    </row>
    <row r="512">
      <c r="A512" s="39"/>
      <c r="B512" s="39"/>
      <c r="C512" s="39"/>
      <c r="D512" s="39"/>
      <c r="E512" s="39"/>
      <c r="F512" s="39"/>
      <c r="G512" s="39"/>
    </row>
    <row r="513">
      <c r="A513" s="39"/>
      <c r="B513" s="39"/>
      <c r="C513" s="39"/>
      <c r="D513" s="39"/>
      <c r="E513" s="39"/>
      <c r="F513" s="39"/>
      <c r="G513" s="39"/>
    </row>
    <row r="514">
      <c r="A514" s="39"/>
      <c r="B514" s="39"/>
      <c r="C514" s="39"/>
      <c r="D514" s="39"/>
      <c r="E514" s="39"/>
      <c r="F514" s="39"/>
      <c r="G514" s="39"/>
    </row>
    <row r="515">
      <c r="A515" s="39"/>
      <c r="B515" s="39"/>
      <c r="C515" s="39"/>
      <c r="D515" s="39"/>
      <c r="E515" s="39"/>
      <c r="F515" s="39"/>
      <c r="G515" s="39"/>
    </row>
    <row r="516">
      <c r="A516" s="39"/>
      <c r="B516" s="39"/>
      <c r="C516" s="39"/>
      <c r="D516" s="39"/>
      <c r="E516" s="39"/>
      <c r="F516" s="39"/>
      <c r="G516" s="39"/>
    </row>
    <row r="517">
      <c r="A517" s="39"/>
      <c r="B517" s="39"/>
      <c r="C517" s="39"/>
      <c r="D517" s="39"/>
      <c r="E517" s="39"/>
      <c r="F517" s="39"/>
      <c r="G517" s="39"/>
    </row>
    <row r="518">
      <c r="A518" s="39"/>
      <c r="B518" s="39"/>
      <c r="C518" s="39"/>
      <c r="D518" s="39"/>
      <c r="E518" s="39"/>
      <c r="F518" s="39"/>
      <c r="G518" s="39"/>
    </row>
    <row r="519">
      <c r="A519" s="39"/>
      <c r="B519" s="39"/>
      <c r="C519" s="39"/>
      <c r="D519" s="39"/>
      <c r="E519" s="39"/>
      <c r="F519" s="39"/>
      <c r="G519" s="39"/>
    </row>
    <row r="520">
      <c r="A520" s="39"/>
      <c r="B520" s="39"/>
      <c r="C520" s="39"/>
      <c r="D520" s="39"/>
      <c r="E520" s="39"/>
      <c r="F520" s="39"/>
      <c r="G520" s="39"/>
    </row>
    <row r="521">
      <c r="A521" s="39"/>
      <c r="B521" s="39"/>
      <c r="C521" s="39"/>
      <c r="D521" s="39"/>
      <c r="E521" s="39"/>
      <c r="F521" s="39"/>
      <c r="G521" s="39"/>
    </row>
    <row r="522">
      <c r="A522" s="39"/>
      <c r="B522" s="39"/>
      <c r="C522" s="39"/>
      <c r="D522" s="39"/>
      <c r="E522" s="39"/>
      <c r="F522" s="39"/>
      <c r="G522" s="39"/>
    </row>
    <row r="523">
      <c r="A523" s="39"/>
      <c r="B523" s="39"/>
      <c r="C523" s="39"/>
      <c r="D523" s="39"/>
      <c r="E523" s="39"/>
      <c r="F523" s="39"/>
      <c r="G523" s="39"/>
    </row>
    <row r="524">
      <c r="A524" s="39"/>
      <c r="B524" s="39"/>
      <c r="C524" s="39"/>
      <c r="D524" s="39"/>
      <c r="E524" s="39"/>
      <c r="F524" s="39"/>
      <c r="G524" s="39"/>
    </row>
    <row r="525">
      <c r="A525" s="39"/>
      <c r="B525" s="39"/>
      <c r="C525" s="39"/>
      <c r="D525" s="39"/>
      <c r="E525" s="39"/>
      <c r="F525" s="39"/>
      <c r="G525" s="39"/>
    </row>
    <row r="526">
      <c r="A526" s="39"/>
      <c r="B526" s="39"/>
      <c r="C526" s="39"/>
      <c r="D526" s="39"/>
      <c r="E526" s="39"/>
      <c r="F526" s="39"/>
      <c r="G526" s="39"/>
    </row>
    <row r="527">
      <c r="A527" s="39"/>
      <c r="B527" s="39"/>
      <c r="C527" s="39"/>
      <c r="D527" s="39"/>
      <c r="E527" s="39"/>
      <c r="F527" s="39"/>
      <c r="G527" s="39"/>
    </row>
    <row r="528">
      <c r="A528" s="39"/>
      <c r="B528" s="39"/>
      <c r="C528" s="39"/>
      <c r="D528" s="39"/>
      <c r="E528" s="39"/>
      <c r="F528" s="39"/>
      <c r="G528" s="39"/>
    </row>
    <row r="529">
      <c r="A529" s="39"/>
      <c r="B529" s="39"/>
      <c r="C529" s="39"/>
      <c r="D529" s="39"/>
      <c r="E529" s="39"/>
      <c r="F529" s="39"/>
      <c r="G529" s="39"/>
    </row>
    <row r="530">
      <c r="A530" s="39"/>
      <c r="B530" s="39"/>
      <c r="C530" s="39"/>
      <c r="D530" s="39"/>
      <c r="E530" s="39"/>
      <c r="F530" s="39"/>
      <c r="G530" s="39"/>
    </row>
    <row r="531">
      <c r="A531" s="39"/>
      <c r="B531" s="39"/>
      <c r="C531" s="39"/>
      <c r="D531" s="39"/>
      <c r="E531" s="39"/>
      <c r="F531" s="39"/>
      <c r="G531" s="39"/>
    </row>
    <row r="532">
      <c r="A532" s="39"/>
      <c r="B532" s="39"/>
      <c r="C532" s="39"/>
      <c r="D532" s="39"/>
      <c r="E532" s="39"/>
      <c r="F532" s="39"/>
      <c r="G532" s="39"/>
    </row>
    <row r="533">
      <c r="A533" s="39"/>
      <c r="B533" s="39"/>
      <c r="C533" s="39"/>
      <c r="D533" s="39"/>
      <c r="E533" s="39"/>
      <c r="F533" s="39"/>
      <c r="G533" s="39"/>
    </row>
    <row r="534">
      <c r="A534" s="39"/>
      <c r="B534" s="39"/>
      <c r="C534" s="39"/>
      <c r="D534" s="39"/>
      <c r="E534" s="39"/>
      <c r="F534" s="39"/>
      <c r="G534" s="39"/>
    </row>
    <row r="535">
      <c r="A535" s="39"/>
      <c r="B535" s="39"/>
      <c r="C535" s="39"/>
      <c r="D535" s="39"/>
      <c r="E535" s="39"/>
      <c r="F535" s="39"/>
      <c r="G535" s="39"/>
    </row>
    <row r="536">
      <c r="A536" s="39"/>
      <c r="B536" s="39"/>
      <c r="C536" s="39"/>
      <c r="D536" s="39"/>
      <c r="E536" s="39"/>
      <c r="F536" s="39"/>
      <c r="G536" s="39"/>
    </row>
    <row r="537">
      <c r="A537" s="39"/>
      <c r="B537" s="39"/>
      <c r="C537" s="39"/>
      <c r="D537" s="39"/>
      <c r="E537" s="39"/>
      <c r="F537" s="39"/>
      <c r="G537" s="39"/>
    </row>
    <row r="538">
      <c r="A538" s="39"/>
      <c r="B538" s="39"/>
      <c r="C538" s="39"/>
      <c r="D538" s="39"/>
      <c r="E538" s="39"/>
      <c r="F538" s="39"/>
      <c r="G538" s="39"/>
    </row>
    <row r="539">
      <c r="A539" s="39"/>
      <c r="B539" s="39"/>
      <c r="C539" s="39"/>
      <c r="D539" s="39"/>
      <c r="E539" s="39"/>
      <c r="F539" s="39"/>
      <c r="G539" s="39"/>
    </row>
    <row r="540">
      <c r="A540" s="39"/>
      <c r="B540" s="39"/>
      <c r="C540" s="39"/>
      <c r="D540" s="39"/>
      <c r="E540" s="39"/>
      <c r="F540" s="39"/>
      <c r="G540" s="39"/>
    </row>
    <row r="541">
      <c r="A541" s="39"/>
      <c r="B541" s="39"/>
      <c r="C541" s="39"/>
      <c r="D541" s="39"/>
      <c r="E541" s="39"/>
      <c r="F541" s="39"/>
      <c r="G541" s="39"/>
    </row>
    <row r="542">
      <c r="A542" s="39"/>
      <c r="B542" s="39"/>
      <c r="C542" s="39"/>
      <c r="D542" s="39"/>
      <c r="E542" s="39"/>
      <c r="F542" s="39"/>
      <c r="G542" s="39"/>
    </row>
    <row r="543">
      <c r="A543" s="39"/>
      <c r="B543" s="39"/>
      <c r="C543" s="39"/>
      <c r="D543" s="39"/>
      <c r="E543" s="39"/>
      <c r="F543" s="39"/>
      <c r="G543" s="39"/>
    </row>
    <row r="544">
      <c r="A544" s="39"/>
      <c r="B544" s="39"/>
      <c r="C544" s="39"/>
      <c r="D544" s="39"/>
      <c r="E544" s="39"/>
      <c r="F544" s="39"/>
      <c r="G544" s="39"/>
    </row>
    <row r="545">
      <c r="A545" s="39"/>
      <c r="B545" s="39"/>
      <c r="C545" s="39"/>
      <c r="D545" s="39"/>
      <c r="E545" s="39"/>
      <c r="F545" s="39"/>
      <c r="G545" s="39"/>
    </row>
    <row r="546">
      <c r="A546" s="39"/>
      <c r="B546" s="39"/>
      <c r="C546" s="39"/>
      <c r="D546" s="39"/>
      <c r="E546" s="39"/>
      <c r="F546" s="39"/>
      <c r="G546" s="39"/>
    </row>
    <row r="547">
      <c r="A547" s="39"/>
      <c r="B547" s="39"/>
      <c r="C547" s="39"/>
      <c r="D547" s="39"/>
      <c r="E547" s="39"/>
      <c r="F547" s="39"/>
      <c r="G547" s="39"/>
    </row>
    <row r="548">
      <c r="A548" s="39"/>
      <c r="B548" s="39"/>
      <c r="C548" s="39"/>
      <c r="D548" s="39"/>
      <c r="E548" s="39"/>
      <c r="F548" s="39"/>
      <c r="G548" s="39"/>
    </row>
    <row r="549">
      <c r="A549" s="39"/>
      <c r="B549" s="39"/>
      <c r="C549" s="39"/>
      <c r="D549" s="39"/>
      <c r="E549" s="39"/>
      <c r="F549" s="39"/>
      <c r="G549" s="39"/>
    </row>
    <row r="550">
      <c r="A550" s="39"/>
      <c r="B550" s="39"/>
      <c r="C550" s="39"/>
      <c r="D550" s="39"/>
      <c r="E550" s="39"/>
      <c r="F550" s="39"/>
      <c r="G550" s="39"/>
    </row>
    <row r="551">
      <c r="A551" s="39"/>
      <c r="B551" s="39"/>
      <c r="C551" s="39"/>
      <c r="D551" s="39"/>
      <c r="E551" s="39"/>
      <c r="F551" s="39"/>
      <c r="G551" s="39"/>
    </row>
    <row r="552">
      <c r="A552" s="39"/>
      <c r="B552" s="39"/>
      <c r="C552" s="39"/>
      <c r="D552" s="39"/>
      <c r="E552" s="39"/>
      <c r="F552" s="39"/>
      <c r="G552" s="39"/>
    </row>
    <row r="553">
      <c r="A553" s="39"/>
      <c r="B553" s="39"/>
      <c r="C553" s="39"/>
      <c r="D553" s="39"/>
      <c r="E553" s="39"/>
      <c r="F553" s="39"/>
      <c r="G553" s="39"/>
    </row>
    <row r="554">
      <c r="A554" s="39"/>
      <c r="B554" s="39"/>
      <c r="C554" s="39"/>
      <c r="D554" s="39"/>
      <c r="E554" s="39"/>
      <c r="F554" s="39"/>
      <c r="G554" s="39"/>
    </row>
    <row r="555">
      <c r="A555" s="39"/>
      <c r="B555" s="39"/>
      <c r="C555" s="39"/>
      <c r="D555" s="39"/>
      <c r="E555" s="39"/>
      <c r="F555" s="39"/>
      <c r="G555" s="39"/>
    </row>
    <row r="556">
      <c r="A556" s="39"/>
      <c r="B556" s="39"/>
      <c r="C556" s="39"/>
      <c r="D556" s="39"/>
      <c r="E556" s="39"/>
      <c r="F556" s="39"/>
      <c r="G556" s="39"/>
    </row>
    <row r="557">
      <c r="A557" s="39"/>
      <c r="B557" s="39"/>
      <c r="C557" s="39"/>
      <c r="D557" s="39"/>
      <c r="E557" s="39"/>
      <c r="F557" s="39"/>
      <c r="G557" s="39"/>
    </row>
    <row r="558">
      <c r="A558" s="39"/>
      <c r="B558" s="39"/>
      <c r="C558" s="39"/>
      <c r="D558" s="39"/>
      <c r="E558" s="39"/>
      <c r="F558" s="39"/>
      <c r="G558" s="39"/>
    </row>
    <row r="559">
      <c r="A559" s="39"/>
      <c r="B559" s="39"/>
      <c r="C559" s="39"/>
      <c r="D559" s="39"/>
      <c r="E559" s="39"/>
      <c r="F559" s="39"/>
      <c r="G559" s="39"/>
    </row>
    <row r="560">
      <c r="A560" s="39"/>
      <c r="B560" s="39"/>
      <c r="C560" s="39"/>
      <c r="D560" s="39"/>
      <c r="E560" s="39"/>
      <c r="F560" s="39"/>
      <c r="G560" s="39"/>
    </row>
    <row r="561">
      <c r="A561" s="39"/>
      <c r="B561" s="39"/>
      <c r="C561" s="39"/>
      <c r="D561" s="39"/>
      <c r="E561" s="39"/>
      <c r="F561" s="39"/>
      <c r="G561" s="39"/>
    </row>
    <row r="562">
      <c r="A562" s="39"/>
      <c r="B562" s="39"/>
      <c r="C562" s="39"/>
      <c r="D562" s="39"/>
      <c r="E562" s="39"/>
      <c r="F562" s="39"/>
      <c r="G562" s="39"/>
    </row>
    <row r="563">
      <c r="A563" s="39"/>
      <c r="B563" s="39"/>
      <c r="C563" s="39"/>
      <c r="D563" s="39"/>
      <c r="E563" s="39"/>
      <c r="F563" s="39"/>
      <c r="G563" s="39"/>
    </row>
    <row r="564">
      <c r="A564" s="39"/>
      <c r="B564" s="39"/>
      <c r="C564" s="39"/>
      <c r="D564" s="39"/>
      <c r="E564" s="39"/>
      <c r="F564" s="39"/>
      <c r="G564" s="39"/>
    </row>
    <row r="565">
      <c r="A565" s="39"/>
      <c r="B565" s="39"/>
      <c r="C565" s="39"/>
      <c r="D565" s="39"/>
      <c r="E565" s="39"/>
      <c r="F565" s="39"/>
      <c r="G565" s="39"/>
    </row>
    <row r="566">
      <c r="A566" s="39"/>
      <c r="B566" s="39"/>
      <c r="C566" s="39"/>
      <c r="D566" s="39"/>
      <c r="E566" s="39"/>
      <c r="F566" s="39"/>
      <c r="G566" s="39"/>
    </row>
    <row r="567">
      <c r="A567" s="39"/>
      <c r="B567" s="39"/>
      <c r="C567" s="39"/>
      <c r="D567" s="39"/>
      <c r="E567" s="39"/>
      <c r="F567" s="39"/>
      <c r="G567" s="39"/>
    </row>
    <row r="568">
      <c r="A568" s="39"/>
      <c r="B568" s="39"/>
      <c r="C568" s="39"/>
      <c r="D568" s="39"/>
      <c r="E568" s="39"/>
      <c r="F568" s="39"/>
      <c r="G568" s="39"/>
    </row>
    <row r="569">
      <c r="A569" s="39"/>
      <c r="B569" s="39"/>
      <c r="C569" s="39"/>
      <c r="D569" s="39"/>
      <c r="E569" s="39"/>
      <c r="F569" s="39"/>
      <c r="G569" s="39"/>
    </row>
    <row r="570">
      <c r="A570" s="39"/>
      <c r="B570" s="39"/>
      <c r="C570" s="39"/>
      <c r="D570" s="39"/>
      <c r="E570" s="39"/>
      <c r="F570" s="39"/>
      <c r="G570" s="39"/>
    </row>
    <row r="571">
      <c r="A571" s="39"/>
      <c r="B571" s="39"/>
      <c r="C571" s="39"/>
      <c r="D571" s="39"/>
      <c r="E571" s="39"/>
      <c r="F571" s="39"/>
      <c r="G571" s="39"/>
    </row>
    <row r="572">
      <c r="A572" s="39"/>
      <c r="B572" s="39"/>
      <c r="C572" s="39"/>
      <c r="D572" s="39"/>
      <c r="E572" s="39"/>
      <c r="F572" s="39"/>
      <c r="G572" s="39"/>
    </row>
    <row r="573">
      <c r="A573" s="39"/>
      <c r="B573" s="39"/>
      <c r="C573" s="39"/>
      <c r="D573" s="39"/>
      <c r="E573" s="39"/>
      <c r="F573" s="39"/>
      <c r="G573" s="39"/>
    </row>
    <row r="574">
      <c r="A574" s="39"/>
      <c r="B574" s="39"/>
      <c r="C574" s="39"/>
      <c r="D574" s="39"/>
      <c r="E574" s="39"/>
      <c r="F574" s="39"/>
      <c r="G574" s="39"/>
    </row>
    <row r="575">
      <c r="A575" s="39"/>
      <c r="B575" s="39"/>
      <c r="C575" s="39"/>
      <c r="D575" s="39"/>
      <c r="E575" s="39"/>
      <c r="F575" s="39"/>
      <c r="G575" s="39"/>
    </row>
    <row r="576">
      <c r="A576" s="39"/>
      <c r="B576" s="39"/>
      <c r="C576" s="39"/>
      <c r="D576" s="39"/>
      <c r="E576" s="39"/>
      <c r="F576" s="39"/>
      <c r="G576" s="39"/>
    </row>
    <row r="577">
      <c r="A577" s="39"/>
      <c r="B577" s="39"/>
      <c r="C577" s="39"/>
      <c r="D577" s="39"/>
      <c r="E577" s="39"/>
      <c r="F577" s="39"/>
      <c r="G577" s="39"/>
    </row>
    <row r="578">
      <c r="A578" s="39"/>
      <c r="B578" s="39"/>
      <c r="C578" s="39"/>
      <c r="D578" s="39"/>
      <c r="E578" s="39"/>
      <c r="F578" s="39"/>
      <c r="G578" s="39"/>
    </row>
    <row r="579">
      <c r="A579" s="39"/>
      <c r="B579" s="39"/>
      <c r="C579" s="39"/>
      <c r="D579" s="39"/>
      <c r="E579" s="39"/>
      <c r="F579" s="39"/>
      <c r="G579" s="39"/>
    </row>
    <row r="580">
      <c r="A580" s="39"/>
      <c r="B580" s="39"/>
      <c r="C580" s="39"/>
      <c r="D580" s="39"/>
      <c r="E580" s="39"/>
      <c r="F580" s="39"/>
      <c r="G580" s="39"/>
    </row>
    <row r="581">
      <c r="A581" s="39"/>
      <c r="B581" s="39"/>
      <c r="C581" s="39"/>
      <c r="D581" s="39"/>
      <c r="E581" s="39"/>
      <c r="F581" s="39"/>
      <c r="G581" s="39"/>
    </row>
    <row r="582">
      <c r="A582" s="39"/>
      <c r="B582" s="39"/>
      <c r="C582" s="39"/>
      <c r="D582" s="39"/>
      <c r="E582" s="39"/>
      <c r="F582" s="39"/>
      <c r="G582" s="39"/>
    </row>
    <row r="583">
      <c r="A583" s="39"/>
      <c r="B583" s="39"/>
      <c r="C583" s="39"/>
      <c r="D583" s="39"/>
      <c r="E583" s="39"/>
      <c r="F583" s="39"/>
      <c r="G583" s="39"/>
    </row>
    <row r="584">
      <c r="A584" s="39"/>
      <c r="B584" s="39"/>
      <c r="C584" s="39"/>
      <c r="D584" s="39"/>
      <c r="E584" s="39"/>
      <c r="F584" s="39"/>
      <c r="G584" s="39"/>
    </row>
    <row r="585">
      <c r="A585" s="39"/>
      <c r="B585" s="39"/>
      <c r="C585" s="39"/>
      <c r="D585" s="39"/>
      <c r="E585" s="39"/>
      <c r="F585" s="39"/>
      <c r="G585" s="39"/>
    </row>
    <row r="586">
      <c r="A586" s="39"/>
      <c r="B586" s="39"/>
      <c r="C586" s="39"/>
      <c r="D586" s="39"/>
      <c r="E586" s="39"/>
      <c r="F586" s="39"/>
      <c r="G586" s="39"/>
    </row>
    <row r="587">
      <c r="A587" s="39"/>
      <c r="B587" s="39"/>
      <c r="C587" s="39"/>
      <c r="D587" s="39"/>
      <c r="E587" s="39"/>
      <c r="F587" s="39"/>
      <c r="G587" s="39"/>
    </row>
    <row r="588">
      <c r="A588" s="39"/>
      <c r="B588" s="39"/>
      <c r="C588" s="39"/>
      <c r="D588" s="39"/>
      <c r="E588" s="39"/>
      <c r="F588" s="39"/>
      <c r="G588" s="39"/>
    </row>
    <row r="589">
      <c r="A589" s="39"/>
      <c r="B589" s="39"/>
      <c r="C589" s="39"/>
      <c r="D589" s="39"/>
      <c r="E589" s="39"/>
      <c r="F589" s="39"/>
      <c r="G589" s="39"/>
    </row>
    <row r="590">
      <c r="A590" s="39"/>
      <c r="B590" s="39"/>
      <c r="C590" s="39"/>
      <c r="D590" s="39"/>
      <c r="E590" s="39"/>
      <c r="F590" s="39"/>
      <c r="G590" s="39"/>
    </row>
    <row r="591">
      <c r="A591" s="39"/>
      <c r="B591" s="39"/>
      <c r="C591" s="39"/>
      <c r="D591" s="39"/>
      <c r="E591" s="39"/>
      <c r="F591" s="39"/>
      <c r="G591" s="39"/>
    </row>
    <row r="592">
      <c r="A592" s="39"/>
      <c r="B592" s="39"/>
      <c r="C592" s="39"/>
      <c r="D592" s="39"/>
      <c r="E592" s="39"/>
      <c r="F592" s="39"/>
      <c r="G592" s="39"/>
    </row>
    <row r="593">
      <c r="A593" s="39"/>
      <c r="B593" s="39"/>
      <c r="C593" s="39"/>
      <c r="D593" s="39"/>
      <c r="E593" s="39"/>
      <c r="F593" s="39"/>
      <c r="G593" s="39"/>
    </row>
    <row r="594">
      <c r="A594" s="39"/>
      <c r="B594" s="39"/>
      <c r="C594" s="39"/>
      <c r="D594" s="39"/>
      <c r="E594" s="39"/>
      <c r="F594" s="39"/>
      <c r="G594" s="39"/>
    </row>
    <row r="595">
      <c r="A595" s="39"/>
      <c r="B595" s="39"/>
      <c r="C595" s="39"/>
      <c r="D595" s="39"/>
      <c r="E595" s="39"/>
      <c r="F595" s="39"/>
      <c r="G595" s="39"/>
    </row>
    <row r="596">
      <c r="A596" s="39"/>
      <c r="B596" s="39"/>
      <c r="C596" s="39"/>
      <c r="D596" s="39"/>
      <c r="E596" s="39"/>
      <c r="F596" s="39"/>
      <c r="G596" s="39"/>
    </row>
    <row r="597">
      <c r="A597" s="39"/>
      <c r="B597" s="39"/>
      <c r="C597" s="39"/>
      <c r="D597" s="39"/>
      <c r="E597" s="39"/>
      <c r="F597" s="39"/>
      <c r="G597" s="39"/>
    </row>
    <row r="598">
      <c r="A598" s="39"/>
      <c r="B598" s="39"/>
      <c r="C598" s="39"/>
      <c r="D598" s="39"/>
      <c r="E598" s="39"/>
      <c r="F598" s="39"/>
      <c r="G598" s="39"/>
    </row>
    <row r="599">
      <c r="A599" s="39"/>
      <c r="B599" s="39"/>
      <c r="C599" s="39"/>
      <c r="D599" s="39"/>
      <c r="E599" s="39"/>
      <c r="F599" s="39"/>
      <c r="G599" s="39"/>
    </row>
    <row r="600">
      <c r="A600" s="39"/>
      <c r="B600" s="39"/>
      <c r="C600" s="39"/>
      <c r="D600" s="39"/>
      <c r="E600" s="39"/>
      <c r="F600" s="39"/>
      <c r="G600" s="39"/>
    </row>
    <row r="601">
      <c r="A601" s="39"/>
      <c r="B601" s="39"/>
      <c r="C601" s="39"/>
      <c r="D601" s="39"/>
      <c r="E601" s="39"/>
      <c r="F601" s="39"/>
      <c r="G601" s="39"/>
    </row>
    <row r="602">
      <c r="A602" s="39"/>
      <c r="B602" s="39"/>
      <c r="C602" s="39"/>
      <c r="D602" s="39"/>
      <c r="E602" s="39"/>
      <c r="F602" s="39"/>
      <c r="G602" s="39"/>
    </row>
    <row r="603">
      <c r="A603" s="39"/>
      <c r="B603" s="39"/>
      <c r="C603" s="39"/>
      <c r="D603" s="39"/>
      <c r="E603" s="39"/>
      <c r="F603" s="39"/>
      <c r="G603" s="39"/>
    </row>
    <row r="604">
      <c r="A604" s="39"/>
      <c r="B604" s="39"/>
      <c r="C604" s="39"/>
      <c r="D604" s="39"/>
      <c r="E604" s="39"/>
      <c r="F604" s="39"/>
      <c r="G604" s="39"/>
    </row>
    <row r="605">
      <c r="A605" s="39"/>
      <c r="B605" s="39"/>
      <c r="C605" s="39"/>
      <c r="D605" s="39"/>
      <c r="E605" s="39"/>
      <c r="F605" s="39"/>
      <c r="G605" s="39"/>
    </row>
    <row r="606">
      <c r="A606" s="39"/>
      <c r="B606" s="39"/>
      <c r="C606" s="39"/>
      <c r="D606" s="39"/>
      <c r="E606" s="39"/>
      <c r="F606" s="39"/>
      <c r="G606" s="39"/>
    </row>
    <row r="607">
      <c r="A607" s="39"/>
      <c r="B607" s="39"/>
      <c r="C607" s="39"/>
      <c r="D607" s="39"/>
      <c r="E607" s="39"/>
      <c r="F607" s="39"/>
      <c r="G607" s="39"/>
    </row>
    <row r="608">
      <c r="A608" s="39"/>
      <c r="B608" s="39"/>
      <c r="C608" s="39"/>
      <c r="D608" s="39"/>
      <c r="E608" s="39"/>
      <c r="F608" s="39"/>
      <c r="G608" s="39"/>
    </row>
    <row r="609">
      <c r="A609" s="39"/>
      <c r="B609" s="39"/>
      <c r="C609" s="39"/>
      <c r="D609" s="39"/>
      <c r="E609" s="39"/>
      <c r="F609" s="39"/>
      <c r="G609" s="39"/>
    </row>
    <row r="610">
      <c r="A610" s="39"/>
      <c r="B610" s="39"/>
      <c r="C610" s="39"/>
      <c r="D610" s="39"/>
      <c r="E610" s="39"/>
      <c r="F610" s="39"/>
      <c r="G610" s="39"/>
    </row>
    <row r="611">
      <c r="A611" s="39"/>
      <c r="B611" s="39"/>
      <c r="C611" s="39"/>
      <c r="D611" s="39"/>
      <c r="E611" s="39"/>
      <c r="F611" s="39"/>
      <c r="G611" s="39"/>
    </row>
    <row r="612">
      <c r="A612" s="39"/>
      <c r="B612" s="39"/>
      <c r="C612" s="39"/>
      <c r="D612" s="39"/>
      <c r="E612" s="39"/>
      <c r="F612" s="39"/>
      <c r="G612" s="39"/>
    </row>
    <row r="613">
      <c r="A613" s="39"/>
      <c r="B613" s="39"/>
      <c r="C613" s="39"/>
      <c r="D613" s="39"/>
      <c r="E613" s="39"/>
      <c r="F613" s="39"/>
      <c r="G613" s="39"/>
    </row>
    <row r="614">
      <c r="A614" s="39"/>
      <c r="B614" s="39"/>
      <c r="C614" s="39"/>
      <c r="D614" s="39"/>
      <c r="E614" s="39"/>
      <c r="F614" s="39"/>
      <c r="G614" s="39"/>
    </row>
    <row r="615">
      <c r="A615" s="39"/>
      <c r="B615" s="39"/>
      <c r="C615" s="39"/>
      <c r="D615" s="39"/>
      <c r="E615" s="39"/>
      <c r="F615" s="39"/>
      <c r="G615" s="39"/>
    </row>
    <row r="616">
      <c r="A616" s="39"/>
      <c r="B616" s="39"/>
      <c r="C616" s="39"/>
      <c r="D616" s="39"/>
      <c r="E616" s="39"/>
      <c r="F616" s="39"/>
      <c r="G616" s="39"/>
    </row>
    <row r="617">
      <c r="A617" s="39"/>
      <c r="B617" s="39"/>
      <c r="C617" s="39"/>
      <c r="D617" s="39"/>
      <c r="E617" s="39"/>
      <c r="F617" s="39"/>
      <c r="G617" s="39"/>
    </row>
    <row r="618">
      <c r="A618" s="39"/>
      <c r="B618" s="39"/>
      <c r="C618" s="39"/>
      <c r="D618" s="39"/>
      <c r="E618" s="39"/>
      <c r="F618" s="39"/>
      <c r="G618" s="39"/>
    </row>
    <row r="619">
      <c r="A619" s="39"/>
      <c r="B619" s="39"/>
      <c r="C619" s="39"/>
      <c r="D619" s="39"/>
      <c r="E619" s="39"/>
      <c r="F619" s="39"/>
      <c r="G619" s="39"/>
    </row>
    <row r="620">
      <c r="A620" s="39"/>
      <c r="B620" s="39"/>
      <c r="C620" s="39"/>
      <c r="D620" s="39"/>
      <c r="E620" s="39"/>
      <c r="F620" s="39"/>
      <c r="G620" s="39"/>
    </row>
    <row r="621">
      <c r="A621" s="39"/>
      <c r="B621" s="39"/>
      <c r="C621" s="39"/>
      <c r="D621" s="39"/>
      <c r="E621" s="39"/>
      <c r="F621" s="39"/>
      <c r="G621" s="39"/>
    </row>
    <row r="622">
      <c r="A622" s="39"/>
      <c r="B622" s="39"/>
      <c r="C622" s="39"/>
      <c r="D622" s="39"/>
      <c r="E622" s="39"/>
      <c r="F622" s="39"/>
      <c r="G622" s="39"/>
    </row>
    <row r="623">
      <c r="A623" s="39"/>
      <c r="B623" s="39"/>
      <c r="C623" s="39"/>
      <c r="D623" s="39"/>
      <c r="E623" s="39"/>
      <c r="F623" s="39"/>
      <c r="G623" s="39"/>
    </row>
    <row r="624">
      <c r="A624" s="39"/>
      <c r="B624" s="39"/>
      <c r="C624" s="39"/>
      <c r="D624" s="39"/>
      <c r="E624" s="39"/>
      <c r="F624" s="39"/>
      <c r="G624" s="39"/>
    </row>
    <row r="625">
      <c r="A625" s="39"/>
      <c r="B625" s="39"/>
      <c r="C625" s="39"/>
      <c r="D625" s="39"/>
      <c r="E625" s="39"/>
      <c r="F625" s="39"/>
      <c r="G625" s="39"/>
    </row>
    <row r="626">
      <c r="A626" s="39"/>
      <c r="B626" s="39"/>
      <c r="C626" s="39"/>
      <c r="D626" s="39"/>
      <c r="E626" s="39"/>
      <c r="F626" s="39"/>
      <c r="G626" s="39"/>
    </row>
    <row r="627">
      <c r="A627" s="39"/>
      <c r="B627" s="39"/>
      <c r="C627" s="39"/>
      <c r="D627" s="39"/>
      <c r="E627" s="39"/>
      <c r="F627" s="39"/>
      <c r="G627" s="39"/>
    </row>
    <row r="628">
      <c r="A628" s="39"/>
      <c r="B628" s="39"/>
      <c r="C628" s="39"/>
      <c r="D628" s="39"/>
      <c r="E628" s="39"/>
      <c r="F628" s="39"/>
      <c r="G628" s="39"/>
    </row>
    <row r="629">
      <c r="A629" s="39"/>
      <c r="B629" s="39"/>
      <c r="C629" s="39"/>
      <c r="D629" s="39"/>
      <c r="E629" s="39"/>
      <c r="F629" s="39"/>
      <c r="G629" s="39"/>
    </row>
    <row r="630">
      <c r="A630" s="39"/>
      <c r="B630" s="39"/>
      <c r="C630" s="39"/>
      <c r="D630" s="39"/>
      <c r="E630" s="39"/>
      <c r="F630" s="39"/>
      <c r="G630" s="39"/>
    </row>
    <row r="631">
      <c r="A631" s="39"/>
      <c r="B631" s="39"/>
      <c r="C631" s="39"/>
      <c r="D631" s="39"/>
      <c r="E631" s="39"/>
      <c r="F631" s="39"/>
      <c r="G631" s="39"/>
    </row>
    <row r="632">
      <c r="A632" s="39"/>
      <c r="B632" s="39"/>
      <c r="C632" s="39"/>
      <c r="D632" s="39"/>
      <c r="E632" s="39"/>
      <c r="F632" s="39"/>
      <c r="G632" s="39"/>
    </row>
    <row r="633">
      <c r="A633" s="39"/>
      <c r="B633" s="39"/>
      <c r="C633" s="39"/>
      <c r="D633" s="39"/>
      <c r="E633" s="39"/>
      <c r="F633" s="39"/>
      <c r="G633" s="39"/>
    </row>
    <row r="634">
      <c r="A634" s="39"/>
      <c r="B634" s="39"/>
      <c r="C634" s="39"/>
      <c r="D634" s="39"/>
      <c r="E634" s="39"/>
      <c r="F634" s="39"/>
      <c r="G634" s="39"/>
    </row>
    <row r="635">
      <c r="A635" s="39"/>
      <c r="B635" s="39"/>
      <c r="C635" s="39"/>
      <c r="D635" s="39"/>
      <c r="E635" s="39"/>
      <c r="F635" s="39"/>
      <c r="G635" s="39"/>
    </row>
    <row r="636">
      <c r="A636" s="39"/>
      <c r="B636" s="39"/>
      <c r="C636" s="39"/>
      <c r="D636" s="39"/>
      <c r="E636" s="39"/>
      <c r="F636" s="39"/>
      <c r="G636" s="39"/>
    </row>
    <row r="637">
      <c r="A637" s="39"/>
      <c r="B637" s="39"/>
      <c r="C637" s="39"/>
      <c r="D637" s="39"/>
      <c r="E637" s="39"/>
      <c r="F637" s="39"/>
      <c r="G637" s="39"/>
    </row>
    <row r="638">
      <c r="A638" s="39"/>
      <c r="B638" s="39"/>
      <c r="C638" s="39"/>
      <c r="D638" s="39"/>
      <c r="E638" s="39"/>
      <c r="F638" s="39"/>
      <c r="G638" s="39"/>
    </row>
    <row r="639">
      <c r="A639" s="39"/>
      <c r="B639" s="39"/>
      <c r="C639" s="39"/>
      <c r="D639" s="39"/>
      <c r="E639" s="39"/>
      <c r="F639" s="39"/>
      <c r="G639" s="39"/>
    </row>
    <row r="640">
      <c r="A640" s="39"/>
      <c r="B640" s="39"/>
      <c r="C640" s="39"/>
      <c r="D640" s="39"/>
      <c r="E640" s="39"/>
      <c r="F640" s="39"/>
      <c r="G640" s="39"/>
    </row>
    <row r="641">
      <c r="A641" s="39"/>
      <c r="B641" s="39"/>
      <c r="C641" s="39"/>
      <c r="D641" s="39"/>
      <c r="E641" s="39"/>
      <c r="F641" s="39"/>
      <c r="G641" s="39"/>
    </row>
    <row r="642">
      <c r="A642" s="39"/>
      <c r="B642" s="39"/>
      <c r="C642" s="39"/>
      <c r="D642" s="39"/>
      <c r="E642" s="39"/>
      <c r="F642" s="39"/>
      <c r="G642" s="39"/>
    </row>
    <row r="643">
      <c r="A643" s="39"/>
      <c r="B643" s="39"/>
      <c r="C643" s="39"/>
      <c r="D643" s="39"/>
      <c r="E643" s="39"/>
      <c r="F643" s="39"/>
      <c r="G643" s="39"/>
    </row>
    <row r="644">
      <c r="A644" s="39"/>
      <c r="B644" s="39"/>
      <c r="C644" s="39"/>
      <c r="D644" s="39"/>
      <c r="E644" s="39"/>
      <c r="F644" s="39"/>
      <c r="G644" s="39"/>
    </row>
    <row r="645">
      <c r="A645" s="39"/>
      <c r="B645" s="39"/>
      <c r="C645" s="39"/>
      <c r="D645" s="39"/>
      <c r="E645" s="39"/>
      <c r="F645" s="39"/>
      <c r="G645" s="39"/>
    </row>
    <row r="646">
      <c r="A646" s="39"/>
      <c r="B646" s="39"/>
      <c r="C646" s="39"/>
      <c r="D646" s="39"/>
      <c r="E646" s="39"/>
      <c r="F646" s="39"/>
      <c r="G646" s="39"/>
    </row>
    <row r="647">
      <c r="A647" s="39"/>
      <c r="B647" s="39"/>
      <c r="C647" s="39"/>
      <c r="D647" s="39"/>
      <c r="E647" s="39"/>
      <c r="F647" s="39"/>
      <c r="G647" s="39"/>
    </row>
    <row r="648">
      <c r="A648" s="39"/>
      <c r="B648" s="39"/>
      <c r="C648" s="39"/>
      <c r="D648" s="39"/>
      <c r="E648" s="39"/>
      <c r="F648" s="39"/>
      <c r="G648" s="39"/>
    </row>
    <row r="649">
      <c r="A649" s="39"/>
      <c r="B649" s="39"/>
      <c r="C649" s="39"/>
      <c r="D649" s="39"/>
      <c r="E649" s="39"/>
      <c r="F649" s="39"/>
      <c r="G649" s="39"/>
    </row>
    <row r="650">
      <c r="A650" s="39"/>
      <c r="B650" s="39"/>
      <c r="C650" s="39"/>
      <c r="D650" s="39"/>
      <c r="E650" s="39"/>
      <c r="F650" s="39"/>
      <c r="G650" s="39"/>
    </row>
    <row r="651">
      <c r="A651" s="39"/>
      <c r="B651" s="39"/>
      <c r="C651" s="39"/>
      <c r="D651" s="39"/>
      <c r="E651" s="39"/>
      <c r="F651" s="39"/>
      <c r="G651" s="39"/>
    </row>
    <row r="652">
      <c r="A652" s="39"/>
      <c r="B652" s="39"/>
      <c r="C652" s="39"/>
      <c r="D652" s="39"/>
      <c r="E652" s="39"/>
      <c r="F652" s="39"/>
      <c r="G652" s="39"/>
    </row>
    <row r="653">
      <c r="A653" s="39"/>
      <c r="B653" s="39"/>
      <c r="C653" s="39"/>
      <c r="D653" s="39"/>
      <c r="E653" s="39"/>
      <c r="F653" s="39"/>
      <c r="G653" s="39"/>
    </row>
    <row r="654">
      <c r="A654" s="39"/>
      <c r="B654" s="39"/>
      <c r="C654" s="39"/>
      <c r="D654" s="39"/>
      <c r="E654" s="39"/>
      <c r="F654" s="39"/>
      <c r="G654" s="39"/>
    </row>
    <row r="655">
      <c r="A655" s="39"/>
      <c r="B655" s="39"/>
      <c r="C655" s="39"/>
      <c r="D655" s="39"/>
      <c r="E655" s="39"/>
      <c r="F655" s="39"/>
      <c r="G655" s="39"/>
    </row>
    <row r="656">
      <c r="A656" s="39"/>
      <c r="B656" s="39"/>
      <c r="C656" s="39"/>
      <c r="D656" s="39"/>
      <c r="E656" s="39"/>
      <c r="F656" s="39"/>
      <c r="G656" s="39"/>
    </row>
    <row r="657">
      <c r="A657" s="39"/>
      <c r="B657" s="39"/>
      <c r="C657" s="39"/>
      <c r="D657" s="39"/>
      <c r="E657" s="39"/>
      <c r="F657" s="39"/>
      <c r="G657" s="39"/>
    </row>
    <row r="658">
      <c r="A658" s="39"/>
      <c r="B658" s="39"/>
      <c r="C658" s="39"/>
      <c r="D658" s="39"/>
      <c r="E658" s="39"/>
      <c r="F658" s="39"/>
      <c r="G658" s="39"/>
    </row>
    <row r="659">
      <c r="A659" s="39"/>
      <c r="B659" s="39"/>
      <c r="C659" s="39"/>
      <c r="D659" s="39"/>
      <c r="E659" s="39"/>
      <c r="F659" s="39"/>
      <c r="G659" s="39"/>
    </row>
    <row r="660">
      <c r="A660" s="39"/>
      <c r="B660" s="39"/>
      <c r="C660" s="39"/>
      <c r="D660" s="39"/>
      <c r="E660" s="39"/>
      <c r="F660" s="39"/>
      <c r="G660" s="39"/>
    </row>
    <row r="661">
      <c r="A661" s="39"/>
      <c r="B661" s="39"/>
      <c r="C661" s="39"/>
      <c r="D661" s="39"/>
      <c r="E661" s="39"/>
      <c r="F661" s="39"/>
      <c r="G661" s="39"/>
    </row>
    <row r="662">
      <c r="A662" s="39"/>
      <c r="B662" s="39"/>
      <c r="C662" s="39"/>
      <c r="D662" s="39"/>
      <c r="E662" s="39"/>
      <c r="F662" s="39"/>
      <c r="G662" s="39"/>
    </row>
    <row r="663">
      <c r="A663" s="39"/>
      <c r="B663" s="39"/>
      <c r="C663" s="39"/>
      <c r="D663" s="39"/>
      <c r="E663" s="39"/>
      <c r="F663" s="39"/>
      <c r="G663" s="39"/>
    </row>
    <row r="664">
      <c r="A664" s="39"/>
      <c r="B664" s="39"/>
      <c r="C664" s="39"/>
      <c r="D664" s="39"/>
      <c r="E664" s="39"/>
      <c r="F664" s="39"/>
      <c r="G664" s="39"/>
    </row>
    <row r="665">
      <c r="A665" s="39"/>
      <c r="B665" s="39"/>
      <c r="C665" s="39"/>
      <c r="D665" s="39"/>
      <c r="E665" s="39"/>
      <c r="F665" s="39"/>
      <c r="G665" s="39"/>
    </row>
    <row r="666">
      <c r="A666" s="39"/>
      <c r="B666" s="39"/>
      <c r="C666" s="39"/>
      <c r="D666" s="39"/>
      <c r="E666" s="39"/>
      <c r="F666" s="39"/>
      <c r="G666" s="39"/>
    </row>
    <row r="667">
      <c r="A667" s="39"/>
      <c r="B667" s="39"/>
      <c r="C667" s="39"/>
      <c r="D667" s="39"/>
      <c r="E667" s="39"/>
      <c r="F667" s="39"/>
      <c r="G667" s="39"/>
    </row>
    <row r="668">
      <c r="A668" s="39"/>
      <c r="B668" s="39"/>
      <c r="C668" s="39"/>
      <c r="D668" s="39"/>
      <c r="E668" s="39"/>
      <c r="F668" s="39"/>
      <c r="G668" s="39"/>
    </row>
    <row r="669">
      <c r="A669" s="39"/>
      <c r="B669" s="39"/>
      <c r="C669" s="39"/>
      <c r="D669" s="39"/>
      <c r="E669" s="39"/>
      <c r="F669" s="39"/>
      <c r="G669" s="39"/>
    </row>
    <row r="670">
      <c r="A670" s="39"/>
      <c r="B670" s="39"/>
      <c r="C670" s="39"/>
      <c r="D670" s="39"/>
      <c r="E670" s="39"/>
      <c r="F670" s="39"/>
      <c r="G670" s="39"/>
    </row>
    <row r="671">
      <c r="A671" s="39"/>
      <c r="B671" s="39"/>
      <c r="C671" s="39"/>
      <c r="D671" s="39"/>
      <c r="E671" s="39"/>
      <c r="F671" s="39"/>
      <c r="G671" s="39"/>
    </row>
    <row r="672">
      <c r="A672" s="39"/>
      <c r="B672" s="39"/>
      <c r="C672" s="39"/>
      <c r="D672" s="39"/>
      <c r="E672" s="39"/>
      <c r="F672" s="39"/>
      <c r="G672" s="39"/>
    </row>
    <row r="673">
      <c r="A673" s="39"/>
      <c r="B673" s="39"/>
      <c r="C673" s="39"/>
      <c r="D673" s="39"/>
      <c r="E673" s="39"/>
      <c r="F673" s="39"/>
      <c r="G673" s="39"/>
    </row>
    <row r="674">
      <c r="A674" s="39"/>
      <c r="B674" s="39"/>
      <c r="C674" s="39"/>
      <c r="D674" s="39"/>
      <c r="E674" s="39"/>
      <c r="F674" s="39"/>
      <c r="G674" s="39"/>
    </row>
    <row r="675">
      <c r="A675" s="39"/>
      <c r="B675" s="39"/>
      <c r="C675" s="39"/>
      <c r="D675" s="39"/>
      <c r="E675" s="39"/>
      <c r="F675" s="39"/>
      <c r="G675" s="39"/>
    </row>
    <row r="676">
      <c r="A676" s="39"/>
      <c r="B676" s="39"/>
      <c r="C676" s="39"/>
      <c r="D676" s="39"/>
      <c r="E676" s="39"/>
      <c r="F676" s="39"/>
      <c r="G676" s="39"/>
    </row>
    <row r="677">
      <c r="A677" s="39"/>
      <c r="B677" s="39"/>
      <c r="C677" s="39"/>
      <c r="D677" s="39"/>
      <c r="E677" s="39"/>
      <c r="F677" s="39"/>
      <c r="G677" s="39"/>
    </row>
    <row r="678">
      <c r="A678" s="39"/>
      <c r="B678" s="39"/>
      <c r="C678" s="39"/>
      <c r="D678" s="39"/>
      <c r="E678" s="39"/>
      <c r="F678" s="39"/>
      <c r="G678" s="39"/>
    </row>
    <row r="679">
      <c r="A679" s="39"/>
      <c r="B679" s="39"/>
      <c r="C679" s="39"/>
      <c r="D679" s="39"/>
      <c r="E679" s="39"/>
      <c r="F679" s="39"/>
      <c r="G679" s="39"/>
    </row>
    <row r="680">
      <c r="A680" s="39"/>
      <c r="B680" s="39"/>
      <c r="C680" s="39"/>
      <c r="D680" s="39"/>
      <c r="E680" s="39"/>
      <c r="F680" s="39"/>
      <c r="G680" s="39"/>
    </row>
    <row r="681">
      <c r="A681" s="39"/>
      <c r="B681" s="39"/>
      <c r="C681" s="39"/>
      <c r="D681" s="39"/>
      <c r="E681" s="39"/>
      <c r="F681" s="39"/>
      <c r="G681" s="39"/>
    </row>
    <row r="682">
      <c r="A682" s="39"/>
      <c r="B682" s="39"/>
      <c r="C682" s="39"/>
      <c r="D682" s="39"/>
      <c r="E682" s="39"/>
      <c r="F682" s="39"/>
      <c r="G682" s="39"/>
    </row>
    <row r="683">
      <c r="A683" s="39"/>
      <c r="B683" s="39"/>
      <c r="C683" s="39"/>
      <c r="D683" s="39"/>
      <c r="E683" s="39"/>
      <c r="F683" s="39"/>
      <c r="G683" s="39"/>
    </row>
    <row r="684">
      <c r="A684" s="39"/>
      <c r="B684" s="39"/>
      <c r="C684" s="39"/>
      <c r="D684" s="39"/>
      <c r="E684" s="39"/>
      <c r="F684" s="39"/>
      <c r="G684" s="39"/>
    </row>
    <row r="685">
      <c r="A685" s="39"/>
      <c r="B685" s="39"/>
      <c r="C685" s="39"/>
      <c r="D685" s="39"/>
      <c r="E685" s="39"/>
      <c r="F685" s="39"/>
      <c r="G685" s="39"/>
    </row>
    <row r="686">
      <c r="A686" s="39"/>
      <c r="B686" s="39"/>
      <c r="C686" s="39"/>
      <c r="D686" s="39"/>
      <c r="E686" s="39"/>
      <c r="F686" s="39"/>
      <c r="G686" s="39"/>
    </row>
    <row r="687">
      <c r="A687" s="39"/>
      <c r="B687" s="39"/>
      <c r="C687" s="39"/>
      <c r="D687" s="39"/>
      <c r="E687" s="39"/>
      <c r="F687" s="39"/>
      <c r="G687" s="39"/>
    </row>
    <row r="688">
      <c r="A688" s="39"/>
      <c r="B688" s="39"/>
      <c r="C688" s="39"/>
      <c r="D688" s="39"/>
      <c r="E688" s="39"/>
      <c r="F688" s="39"/>
      <c r="G688" s="39"/>
    </row>
    <row r="689">
      <c r="A689" s="39"/>
      <c r="B689" s="39"/>
      <c r="C689" s="39"/>
      <c r="D689" s="39"/>
      <c r="E689" s="39"/>
      <c r="F689" s="39"/>
      <c r="G689" s="39"/>
    </row>
    <row r="690">
      <c r="A690" s="39"/>
      <c r="B690" s="39"/>
      <c r="C690" s="39"/>
      <c r="D690" s="39"/>
      <c r="E690" s="39"/>
      <c r="F690" s="39"/>
      <c r="G690" s="39"/>
    </row>
    <row r="691">
      <c r="A691" s="39"/>
      <c r="B691" s="39"/>
      <c r="C691" s="39"/>
      <c r="D691" s="39"/>
      <c r="E691" s="39"/>
      <c r="F691" s="39"/>
      <c r="G691" s="39"/>
    </row>
    <row r="692">
      <c r="A692" s="39"/>
      <c r="B692" s="39"/>
      <c r="C692" s="39"/>
      <c r="D692" s="39"/>
      <c r="E692" s="39"/>
      <c r="F692" s="39"/>
      <c r="G692" s="39"/>
    </row>
    <row r="693">
      <c r="A693" s="39"/>
      <c r="B693" s="39"/>
      <c r="C693" s="39"/>
      <c r="D693" s="39"/>
      <c r="E693" s="39"/>
      <c r="F693" s="39"/>
      <c r="G693" s="39"/>
    </row>
    <row r="694">
      <c r="A694" s="39"/>
      <c r="B694" s="39"/>
      <c r="C694" s="39"/>
      <c r="D694" s="39"/>
      <c r="E694" s="39"/>
      <c r="F694" s="39"/>
      <c r="G694" s="39"/>
    </row>
    <row r="695">
      <c r="A695" s="39"/>
      <c r="B695" s="39"/>
      <c r="C695" s="39"/>
      <c r="D695" s="39"/>
      <c r="E695" s="39"/>
      <c r="F695" s="39"/>
      <c r="G695" s="39"/>
    </row>
    <row r="696">
      <c r="A696" s="39"/>
      <c r="B696" s="39"/>
      <c r="C696" s="39"/>
      <c r="D696" s="39"/>
      <c r="E696" s="39"/>
      <c r="F696" s="39"/>
      <c r="G696" s="39"/>
    </row>
    <row r="697">
      <c r="A697" s="39"/>
      <c r="B697" s="39"/>
      <c r="C697" s="39"/>
      <c r="D697" s="39"/>
      <c r="E697" s="39"/>
      <c r="F697" s="39"/>
      <c r="G697" s="39"/>
    </row>
    <row r="698">
      <c r="A698" s="39"/>
      <c r="B698" s="39"/>
      <c r="C698" s="39"/>
      <c r="D698" s="39"/>
      <c r="E698" s="39"/>
      <c r="F698" s="39"/>
      <c r="G698" s="39"/>
    </row>
    <row r="699">
      <c r="A699" s="39"/>
      <c r="B699" s="39"/>
      <c r="C699" s="39"/>
      <c r="D699" s="39"/>
      <c r="E699" s="39"/>
      <c r="F699" s="39"/>
      <c r="G699" s="39"/>
    </row>
    <row r="700">
      <c r="A700" s="39"/>
      <c r="B700" s="39"/>
      <c r="C700" s="39"/>
      <c r="D700" s="39"/>
      <c r="E700" s="39"/>
      <c r="F700" s="39"/>
      <c r="G700" s="39"/>
    </row>
    <row r="701">
      <c r="A701" s="39"/>
      <c r="B701" s="39"/>
      <c r="C701" s="39"/>
      <c r="D701" s="39"/>
      <c r="E701" s="39"/>
      <c r="F701" s="39"/>
      <c r="G701" s="39"/>
    </row>
    <row r="702">
      <c r="A702" s="39"/>
      <c r="B702" s="39"/>
      <c r="C702" s="39"/>
      <c r="D702" s="39"/>
      <c r="E702" s="39"/>
      <c r="F702" s="39"/>
      <c r="G702" s="39"/>
    </row>
    <row r="703">
      <c r="A703" s="39"/>
      <c r="B703" s="39"/>
      <c r="C703" s="39"/>
      <c r="D703" s="39"/>
      <c r="E703" s="39"/>
      <c r="F703" s="39"/>
      <c r="G703" s="39"/>
    </row>
    <row r="704">
      <c r="A704" s="39"/>
      <c r="B704" s="39"/>
      <c r="C704" s="39"/>
      <c r="D704" s="39"/>
      <c r="E704" s="39"/>
      <c r="F704" s="39"/>
      <c r="G704" s="39"/>
    </row>
    <row r="705">
      <c r="A705" s="39"/>
      <c r="B705" s="39"/>
      <c r="C705" s="39"/>
      <c r="D705" s="39"/>
      <c r="E705" s="39"/>
      <c r="F705" s="39"/>
      <c r="G705" s="39"/>
    </row>
    <row r="706">
      <c r="A706" s="39"/>
      <c r="B706" s="39"/>
      <c r="C706" s="39"/>
      <c r="D706" s="39"/>
      <c r="E706" s="39"/>
      <c r="F706" s="39"/>
      <c r="G706" s="39"/>
    </row>
    <row r="707">
      <c r="A707" s="39"/>
      <c r="B707" s="39"/>
      <c r="C707" s="39"/>
      <c r="D707" s="39"/>
      <c r="E707" s="39"/>
      <c r="F707" s="39"/>
      <c r="G707" s="39"/>
    </row>
    <row r="708">
      <c r="A708" s="39"/>
      <c r="B708" s="39"/>
      <c r="C708" s="39"/>
      <c r="D708" s="39"/>
      <c r="E708" s="39"/>
      <c r="F708" s="39"/>
      <c r="G708" s="39"/>
    </row>
    <row r="709">
      <c r="A709" s="39"/>
      <c r="B709" s="39"/>
      <c r="C709" s="39"/>
      <c r="D709" s="39"/>
      <c r="E709" s="39"/>
      <c r="F709" s="39"/>
      <c r="G709" s="39"/>
    </row>
    <row r="710">
      <c r="A710" s="39"/>
      <c r="B710" s="39"/>
      <c r="C710" s="39"/>
      <c r="D710" s="39"/>
      <c r="E710" s="39"/>
      <c r="F710" s="39"/>
      <c r="G710" s="39"/>
    </row>
    <row r="711">
      <c r="A711" s="39"/>
      <c r="B711" s="39"/>
      <c r="C711" s="39"/>
      <c r="D711" s="39"/>
      <c r="E711" s="39"/>
      <c r="F711" s="39"/>
      <c r="G711" s="39"/>
    </row>
    <row r="712">
      <c r="A712" s="39"/>
      <c r="B712" s="39"/>
      <c r="C712" s="39"/>
      <c r="D712" s="39"/>
      <c r="E712" s="39"/>
      <c r="F712" s="39"/>
      <c r="G712" s="39"/>
    </row>
    <row r="713">
      <c r="A713" s="39"/>
      <c r="B713" s="39"/>
      <c r="C713" s="39"/>
      <c r="D713" s="39"/>
      <c r="E713" s="39"/>
      <c r="F713" s="39"/>
      <c r="G713" s="39"/>
    </row>
    <row r="714">
      <c r="A714" s="39"/>
      <c r="B714" s="39"/>
      <c r="C714" s="39"/>
      <c r="D714" s="39"/>
      <c r="E714" s="39"/>
      <c r="F714" s="39"/>
      <c r="G714" s="39"/>
    </row>
    <row r="715">
      <c r="A715" s="39"/>
      <c r="B715" s="39"/>
      <c r="C715" s="39"/>
      <c r="D715" s="39"/>
      <c r="E715" s="39"/>
      <c r="F715" s="39"/>
      <c r="G715" s="39"/>
    </row>
    <row r="716">
      <c r="A716" s="39"/>
      <c r="B716" s="39"/>
      <c r="C716" s="39"/>
      <c r="D716" s="39"/>
      <c r="E716" s="39"/>
      <c r="F716" s="39"/>
      <c r="G716" s="39"/>
    </row>
    <row r="717">
      <c r="A717" s="39"/>
      <c r="B717" s="39"/>
      <c r="C717" s="39"/>
      <c r="D717" s="39"/>
      <c r="E717" s="39"/>
      <c r="F717" s="39"/>
      <c r="G717" s="39"/>
    </row>
    <row r="718">
      <c r="A718" s="39"/>
      <c r="B718" s="39"/>
      <c r="C718" s="39"/>
      <c r="D718" s="39"/>
      <c r="E718" s="39"/>
      <c r="F718" s="39"/>
      <c r="G718" s="39"/>
    </row>
    <row r="719">
      <c r="A719" s="39"/>
      <c r="B719" s="39"/>
      <c r="C719" s="39"/>
      <c r="D719" s="39"/>
      <c r="E719" s="39"/>
      <c r="F719" s="39"/>
      <c r="G719" s="39"/>
    </row>
    <row r="720">
      <c r="A720" s="39"/>
      <c r="B720" s="39"/>
      <c r="C720" s="39"/>
      <c r="D720" s="39"/>
      <c r="E720" s="39"/>
      <c r="F720" s="39"/>
      <c r="G720" s="39"/>
    </row>
    <row r="721">
      <c r="A721" s="39"/>
      <c r="B721" s="39"/>
      <c r="C721" s="39"/>
      <c r="D721" s="39"/>
      <c r="E721" s="39"/>
      <c r="F721" s="39"/>
      <c r="G721" s="39"/>
    </row>
    <row r="722">
      <c r="A722" s="39"/>
      <c r="B722" s="39"/>
      <c r="C722" s="39"/>
      <c r="D722" s="39"/>
      <c r="E722" s="39"/>
      <c r="F722" s="39"/>
      <c r="G722" s="39"/>
    </row>
    <row r="723">
      <c r="A723" s="39"/>
      <c r="B723" s="39"/>
      <c r="C723" s="39"/>
      <c r="D723" s="39"/>
      <c r="E723" s="39"/>
      <c r="F723" s="39"/>
      <c r="G723" s="39"/>
    </row>
    <row r="724">
      <c r="A724" s="39"/>
      <c r="B724" s="39"/>
      <c r="C724" s="39"/>
      <c r="D724" s="39"/>
      <c r="E724" s="39"/>
      <c r="F724" s="39"/>
      <c r="G724" s="39"/>
    </row>
    <row r="725">
      <c r="A725" s="39"/>
      <c r="B725" s="39"/>
      <c r="C725" s="39"/>
      <c r="D725" s="39"/>
      <c r="E725" s="39"/>
      <c r="F725" s="39"/>
      <c r="G725" s="39"/>
    </row>
    <row r="726">
      <c r="A726" s="39"/>
      <c r="B726" s="39"/>
      <c r="C726" s="39"/>
      <c r="D726" s="39"/>
      <c r="E726" s="39"/>
      <c r="F726" s="39"/>
      <c r="G726" s="39"/>
    </row>
    <row r="727">
      <c r="A727" s="39"/>
      <c r="B727" s="39"/>
      <c r="C727" s="39"/>
      <c r="D727" s="39"/>
      <c r="E727" s="39"/>
      <c r="F727" s="39"/>
      <c r="G727" s="39"/>
    </row>
    <row r="728">
      <c r="A728" s="39"/>
      <c r="B728" s="39"/>
      <c r="C728" s="39"/>
      <c r="D728" s="39"/>
      <c r="E728" s="39"/>
      <c r="F728" s="39"/>
      <c r="G728" s="39"/>
    </row>
    <row r="729">
      <c r="A729" s="39"/>
      <c r="B729" s="39"/>
      <c r="C729" s="39"/>
      <c r="D729" s="39"/>
      <c r="E729" s="39"/>
      <c r="F729" s="39"/>
      <c r="G729" s="39"/>
    </row>
    <row r="730">
      <c r="A730" s="39"/>
      <c r="B730" s="39"/>
      <c r="C730" s="39"/>
      <c r="D730" s="39"/>
      <c r="E730" s="39"/>
      <c r="F730" s="39"/>
      <c r="G730" s="39"/>
    </row>
    <row r="731">
      <c r="A731" s="39"/>
      <c r="B731" s="39"/>
      <c r="C731" s="39"/>
      <c r="D731" s="39"/>
      <c r="E731" s="39"/>
      <c r="F731" s="39"/>
      <c r="G731" s="39"/>
    </row>
    <row r="732">
      <c r="A732" s="39"/>
      <c r="B732" s="39"/>
      <c r="C732" s="39"/>
      <c r="D732" s="39"/>
      <c r="E732" s="39"/>
      <c r="F732" s="39"/>
      <c r="G732" s="39"/>
    </row>
    <row r="733">
      <c r="A733" s="39"/>
      <c r="B733" s="39"/>
      <c r="C733" s="39"/>
      <c r="D733" s="39"/>
      <c r="E733" s="39"/>
      <c r="F733" s="39"/>
      <c r="G733" s="39"/>
    </row>
    <row r="734">
      <c r="A734" s="39"/>
      <c r="B734" s="39"/>
      <c r="C734" s="39"/>
      <c r="D734" s="39"/>
      <c r="E734" s="39"/>
      <c r="F734" s="39"/>
      <c r="G734" s="39"/>
    </row>
    <row r="735">
      <c r="A735" s="39"/>
      <c r="B735" s="39"/>
      <c r="C735" s="39"/>
      <c r="D735" s="39"/>
      <c r="E735" s="39"/>
      <c r="F735" s="39"/>
      <c r="G735" s="39"/>
    </row>
    <row r="736">
      <c r="A736" s="39"/>
      <c r="B736" s="39"/>
      <c r="C736" s="39"/>
      <c r="D736" s="39"/>
      <c r="E736" s="39"/>
      <c r="F736" s="39"/>
      <c r="G736" s="39"/>
    </row>
    <row r="737">
      <c r="A737" s="39"/>
      <c r="B737" s="39"/>
      <c r="C737" s="39"/>
      <c r="D737" s="39"/>
      <c r="E737" s="39"/>
      <c r="F737" s="39"/>
      <c r="G737" s="39"/>
    </row>
    <row r="738">
      <c r="A738" s="39"/>
      <c r="B738" s="39"/>
      <c r="C738" s="39"/>
      <c r="D738" s="39"/>
      <c r="E738" s="39"/>
      <c r="F738" s="39"/>
      <c r="G738" s="39"/>
    </row>
    <row r="739">
      <c r="A739" s="39"/>
      <c r="B739" s="39"/>
      <c r="C739" s="39"/>
      <c r="D739" s="39"/>
      <c r="E739" s="39"/>
      <c r="F739" s="39"/>
      <c r="G739" s="39"/>
    </row>
    <row r="740">
      <c r="A740" s="39"/>
      <c r="B740" s="39"/>
      <c r="C740" s="39"/>
      <c r="D740" s="39"/>
      <c r="E740" s="39"/>
      <c r="F740" s="39"/>
      <c r="G740" s="39"/>
    </row>
    <row r="741">
      <c r="A741" s="39"/>
      <c r="B741" s="39"/>
      <c r="C741" s="39"/>
      <c r="D741" s="39"/>
      <c r="E741" s="39"/>
      <c r="F741" s="39"/>
      <c r="G741" s="39"/>
    </row>
    <row r="742">
      <c r="A742" s="39"/>
      <c r="B742" s="39"/>
      <c r="C742" s="39"/>
      <c r="D742" s="39"/>
      <c r="E742" s="39"/>
      <c r="F742" s="39"/>
      <c r="G742" s="39"/>
    </row>
    <row r="743">
      <c r="A743" s="39"/>
      <c r="B743" s="39"/>
      <c r="C743" s="39"/>
      <c r="D743" s="39"/>
      <c r="E743" s="39"/>
      <c r="F743" s="39"/>
      <c r="G743" s="39"/>
    </row>
    <row r="744">
      <c r="A744" s="39"/>
      <c r="B744" s="39"/>
      <c r="C744" s="39"/>
      <c r="D744" s="39"/>
      <c r="E744" s="39"/>
      <c r="F744" s="39"/>
      <c r="G744" s="39"/>
    </row>
    <row r="745">
      <c r="A745" s="39"/>
      <c r="B745" s="39"/>
      <c r="C745" s="39"/>
      <c r="D745" s="39"/>
      <c r="E745" s="39"/>
      <c r="F745" s="39"/>
      <c r="G745" s="39"/>
    </row>
    <row r="746">
      <c r="A746" s="39"/>
      <c r="B746" s="39"/>
      <c r="C746" s="39"/>
      <c r="D746" s="39"/>
      <c r="E746" s="39"/>
      <c r="F746" s="39"/>
      <c r="G746" s="39"/>
    </row>
    <row r="747">
      <c r="A747" s="39"/>
      <c r="B747" s="39"/>
      <c r="C747" s="39"/>
      <c r="D747" s="39"/>
      <c r="E747" s="39"/>
      <c r="F747" s="39"/>
      <c r="G747" s="39"/>
    </row>
    <row r="748">
      <c r="A748" s="39"/>
      <c r="B748" s="39"/>
      <c r="C748" s="39"/>
      <c r="D748" s="39"/>
      <c r="E748" s="39"/>
      <c r="F748" s="39"/>
      <c r="G748" s="39"/>
    </row>
    <row r="749">
      <c r="A749" s="39"/>
      <c r="B749" s="39"/>
      <c r="C749" s="39"/>
      <c r="D749" s="39"/>
      <c r="E749" s="39"/>
      <c r="F749" s="39"/>
      <c r="G749" s="39"/>
    </row>
    <row r="750">
      <c r="A750" s="39"/>
      <c r="B750" s="39"/>
      <c r="C750" s="39"/>
      <c r="D750" s="39"/>
      <c r="E750" s="39"/>
      <c r="F750" s="39"/>
      <c r="G750" s="39"/>
    </row>
    <row r="751">
      <c r="A751" s="39"/>
      <c r="B751" s="39"/>
      <c r="C751" s="39"/>
      <c r="D751" s="39"/>
      <c r="E751" s="39"/>
      <c r="F751" s="39"/>
      <c r="G751" s="39"/>
    </row>
    <row r="752">
      <c r="A752" s="39"/>
      <c r="B752" s="39"/>
      <c r="C752" s="39"/>
      <c r="D752" s="39"/>
      <c r="E752" s="39"/>
      <c r="F752" s="39"/>
      <c r="G752" s="39"/>
    </row>
    <row r="753">
      <c r="A753" s="39"/>
      <c r="B753" s="39"/>
      <c r="C753" s="39"/>
      <c r="D753" s="39"/>
      <c r="E753" s="39"/>
      <c r="F753" s="39"/>
      <c r="G753" s="39"/>
    </row>
    <row r="754">
      <c r="A754" s="39"/>
      <c r="B754" s="39"/>
      <c r="C754" s="39"/>
      <c r="D754" s="39"/>
      <c r="E754" s="39"/>
      <c r="F754" s="39"/>
      <c r="G754" s="39"/>
    </row>
    <row r="755">
      <c r="A755" s="39"/>
      <c r="B755" s="39"/>
      <c r="C755" s="39"/>
      <c r="D755" s="39"/>
      <c r="E755" s="39"/>
      <c r="F755" s="39"/>
      <c r="G755" s="39"/>
    </row>
    <row r="756">
      <c r="A756" s="39"/>
      <c r="B756" s="39"/>
      <c r="C756" s="39"/>
      <c r="D756" s="39"/>
      <c r="E756" s="39"/>
      <c r="F756" s="39"/>
      <c r="G756" s="39"/>
    </row>
    <row r="757">
      <c r="A757" s="39"/>
      <c r="B757" s="39"/>
      <c r="C757" s="39"/>
      <c r="D757" s="39"/>
      <c r="E757" s="39"/>
      <c r="F757" s="39"/>
      <c r="G757" s="39"/>
    </row>
    <row r="758">
      <c r="A758" s="39"/>
      <c r="B758" s="39"/>
      <c r="C758" s="39"/>
      <c r="D758" s="39"/>
      <c r="E758" s="39"/>
      <c r="F758" s="39"/>
      <c r="G758" s="39"/>
    </row>
    <row r="759">
      <c r="A759" s="39"/>
      <c r="B759" s="39"/>
      <c r="C759" s="39"/>
      <c r="D759" s="39"/>
      <c r="E759" s="39"/>
      <c r="F759" s="39"/>
      <c r="G759" s="39"/>
    </row>
    <row r="760">
      <c r="A760" s="39"/>
      <c r="B760" s="39"/>
      <c r="C760" s="39"/>
      <c r="D760" s="39"/>
      <c r="E760" s="39"/>
      <c r="F760" s="39"/>
      <c r="G760" s="39"/>
    </row>
    <row r="761">
      <c r="A761" s="39"/>
      <c r="B761" s="39"/>
      <c r="C761" s="39"/>
      <c r="D761" s="39"/>
      <c r="E761" s="39"/>
      <c r="F761" s="39"/>
      <c r="G761" s="39"/>
    </row>
    <row r="762">
      <c r="A762" s="39"/>
      <c r="B762" s="39"/>
      <c r="C762" s="39"/>
      <c r="D762" s="39"/>
      <c r="E762" s="39"/>
      <c r="F762" s="39"/>
      <c r="G762" s="39"/>
    </row>
    <row r="763">
      <c r="A763" s="39"/>
      <c r="B763" s="39"/>
      <c r="C763" s="39"/>
      <c r="D763" s="39"/>
      <c r="E763" s="39"/>
      <c r="F763" s="39"/>
      <c r="G763" s="39"/>
    </row>
    <row r="764">
      <c r="A764" s="39"/>
      <c r="B764" s="39"/>
      <c r="C764" s="39"/>
      <c r="D764" s="39"/>
      <c r="E764" s="39"/>
      <c r="F764" s="39"/>
      <c r="G764" s="39"/>
    </row>
    <row r="765">
      <c r="A765" s="39"/>
      <c r="B765" s="39"/>
      <c r="C765" s="39"/>
      <c r="D765" s="39"/>
      <c r="E765" s="39"/>
      <c r="F765" s="39"/>
      <c r="G765" s="39"/>
    </row>
    <row r="766">
      <c r="A766" s="39"/>
      <c r="B766" s="39"/>
      <c r="C766" s="39"/>
      <c r="D766" s="39"/>
      <c r="E766" s="39"/>
      <c r="F766" s="39"/>
      <c r="G766" s="39"/>
    </row>
    <row r="767">
      <c r="A767" s="39"/>
      <c r="B767" s="39"/>
      <c r="C767" s="39"/>
      <c r="D767" s="39"/>
      <c r="E767" s="39"/>
      <c r="F767" s="39"/>
      <c r="G767" s="39"/>
    </row>
    <row r="768">
      <c r="A768" s="39"/>
      <c r="B768" s="39"/>
      <c r="C768" s="39"/>
      <c r="D768" s="39"/>
      <c r="E768" s="39"/>
      <c r="F768" s="39"/>
      <c r="G768" s="39"/>
    </row>
    <row r="769">
      <c r="A769" s="39"/>
      <c r="B769" s="39"/>
      <c r="C769" s="39"/>
      <c r="D769" s="39"/>
      <c r="E769" s="39"/>
      <c r="F769" s="39"/>
      <c r="G769" s="39"/>
    </row>
    <row r="770">
      <c r="A770" s="39"/>
      <c r="B770" s="39"/>
      <c r="C770" s="39"/>
      <c r="D770" s="39"/>
      <c r="E770" s="39"/>
      <c r="F770" s="39"/>
      <c r="G770" s="39"/>
    </row>
    <row r="771">
      <c r="A771" s="39"/>
      <c r="B771" s="39"/>
      <c r="C771" s="39"/>
      <c r="D771" s="39"/>
      <c r="E771" s="39"/>
      <c r="F771" s="39"/>
      <c r="G771" s="39"/>
    </row>
    <row r="772">
      <c r="A772" s="39"/>
      <c r="B772" s="39"/>
      <c r="C772" s="39"/>
      <c r="D772" s="39"/>
      <c r="E772" s="39"/>
      <c r="F772" s="39"/>
      <c r="G772" s="39"/>
    </row>
    <row r="773">
      <c r="A773" s="39"/>
      <c r="B773" s="39"/>
      <c r="C773" s="39"/>
      <c r="D773" s="39"/>
      <c r="E773" s="39"/>
      <c r="F773" s="39"/>
      <c r="G773" s="39"/>
    </row>
    <row r="774">
      <c r="A774" s="39"/>
      <c r="B774" s="39"/>
      <c r="C774" s="39"/>
      <c r="D774" s="39"/>
      <c r="E774" s="39"/>
      <c r="F774" s="39"/>
      <c r="G774" s="39"/>
    </row>
    <row r="775">
      <c r="A775" s="39"/>
      <c r="B775" s="39"/>
      <c r="C775" s="39"/>
      <c r="D775" s="39"/>
      <c r="E775" s="39"/>
      <c r="F775" s="39"/>
      <c r="G775" s="39"/>
    </row>
    <row r="776">
      <c r="A776" s="39"/>
      <c r="B776" s="39"/>
      <c r="C776" s="39"/>
      <c r="D776" s="39"/>
      <c r="E776" s="39"/>
      <c r="F776" s="39"/>
      <c r="G776" s="39"/>
    </row>
    <row r="777">
      <c r="A777" s="39"/>
      <c r="B777" s="39"/>
      <c r="C777" s="39"/>
      <c r="D777" s="39"/>
      <c r="E777" s="39"/>
      <c r="F777" s="39"/>
      <c r="G777" s="39"/>
    </row>
    <row r="778">
      <c r="A778" s="39"/>
      <c r="B778" s="39"/>
      <c r="C778" s="39"/>
      <c r="D778" s="39"/>
      <c r="E778" s="39"/>
      <c r="F778" s="39"/>
      <c r="G778" s="39"/>
    </row>
    <row r="779">
      <c r="A779" s="39"/>
      <c r="B779" s="39"/>
      <c r="C779" s="39"/>
      <c r="D779" s="39"/>
      <c r="E779" s="39"/>
      <c r="F779" s="39"/>
      <c r="G779" s="39"/>
    </row>
    <row r="780">
      <c r="A780" s="39"/>
      <c r="B780" s="39"/>
      <c r="C780" s="39"/>
      <c r="D780" s="39"/>
      <c r="E780" s="39"/>
      <c r="F780" s="39"/>
      <c r="G780" s="39"/>
    </row>
    <row r="781">
      <c r="A781" s="39"/>
      <c r="B781" s="39"/>
      <c r="C781" s="39"/>
      <c r="D781" s="39"/>
      <c r="E781" s="39"/>
      <c r="F781" s="39"/>
      <c r="G781" s="39"/>
    </row>
    <row r="782">
      <c r="A782" s="39"/>
      <c r="B782" s="39"/>
      <c r="C782" s="39"/>
      <c r="D782" s="39"/>
      <c r="E782" s="39"/>
      <c r="F782" s="39"/>
      <c r="G782" s="39"/>
    </row>
    <row r="783">
      <c r="A783" s="39"/>
      <c r="B783" s="39"/>
      <c r="C783" s="39"/>
      <c r="D783" s="39"/>
      <c r="E783" s="39"/>
      <c r="F783" s="39"/>
      <c r="G783" s="39"/>
    </row>
    <row r="784">
      <c r="A784" s="39"/>
      <c r="B784" s="39"/>
      <c r="C784" s="39"/>
      <c r="D784" s="39"/>
      <c r="E784" s="39"/>
      <c r="F784" s="39"/>
      <c r="G784" s="39"/>
    </row>
    <row r="785">
      <c r="A785" s="39"/>
      <c r="B785" s="39"/>
      <c r="C785" s="39"/>
      <c r="D785" s="39"/>
      <c r="E785" s="39"/>
      <c r="F785" s="39"/>
      <c r="G785" s="39"/>
    </row>
    <row r="786">
      <c r="A786" s="39"/>
      <c r="B786" s="39"/>
      <c r="C786" s="39"/>
      <c r="D786" s="39"/>
      <c r="E786" s="39"/>
      <c r="F786" s="39"/>
      <c r="G786" s="39"/>
    </row>
    <row r="787">
      <c r="A787" s="39"/>
      <c r="B787" s="39"/>
      <c r="C787" s="39"/>
      <c r="D787" s="39"/>
      <c r="E787" s="39"/>
      <c r="F787" s="39"/>
      <c r="G787" s="39"/>
    </row>
    <row r="788">
      <c r="A788" s="39"/>
      <c r="B788" s="39"/>
      <c r="C788" s="39"/>
      <c r="D788" s="39"/>
      <c r="E788" s="39"/>
      <c r="F788" s="39"/>
      <c r="G788" s="39"/>
    </row>
    <row r="789">
      <c r="A789" s="39"/>
      <c r="B789" s="39"/>
      <c r="C789" s="39"/>
      <c r="D789" s="39"/>
      <c r="E789" s="39"/>
      <c r="F789" s="39"/>
      <c r="G789" s="39"/>
    </row>
    <row r="790">
      <c r="A790" s="39"/>
      <c r="B790" s="39"/>
      <c r="C790" s="39"/>
      <c r="D790" s="39"/>
      <c r="E790" s="39"/>
      <c r="F790" s="39"/>
      <c r="G790" s="39"/>
    </row>
    <row r="791">
      <c r="A791" s="39"/>
      <c r="B791" s="39"/>
      <c r="C791" s="39"/>
      <c r="D791" s="39"/>
      <c r="E791" s="39"/>
      <c r="F791" s="39"/>
      <c r="G791" s="39"/>
    </row>
    <row r="792">
      <c r="A792" s="39"/>
      <c r="B792" s="39"/>
      <c r="C792" s="39"/>
      <c r="D792" s="39"/>
      <c r="E792" s="39"/>
      <c r="F792" s="39"/>
      <c r="G792" s="39"/>
    </row>
    <row r="793">
      <c r="A793" s="39"/>
      <c r="B793" s="39"/>
      <c r="C793" s="39"/>
      <c r="D793" s="39"/>
      <c r="E793" s="39"/>
      <c r="F793" s="39"/>
      <c r="G793" s="39"/>
    </row>
    <row r="794">
      <c r="A794" s="39"/>
      <c r="B794" s="39"/>
      <c r="C794" s="39"/>
      <c r="D794" s="39"/>
      <c r="E794" s="39"/>
      <c r="F794" s="39"/>
      <c r="G794" s="39"/>
    </row>
    <row r="795">
      <c r="A795" s="39"/>
      <c r="B795" s="39"/>
      <c r="C795" s="39"/>
      <c r="D795" s="39"/>
      <c r="E795" s="39"/>
      <c r="F795" s="39"/>
      <c r="G795" s="39"/>
    </row>
    <row r="796">
      <c r="A796" s="39"/>
      <c r="B796" s="39"/>
      <c r="C796" s="39"/>
      <c r="D796" s="39"/>
      <c r="E796" s="39"/>
      <c r="F796" s="39"/>
      <c r="G796" s="39"/>
    </row>
    <row r="797">
      <c r="A797" s="39"/>
      <c r="B797" s="39"/>
      <c r="C797" s="39"/>
      <c r="D797" s="39"/>
      <c r="E797" s="39"/>
      <c r="F797" s="39"/>
      <c r="G797" s="39"/>
    </row>
    <row r="798">
      <c r="A798" s="39"/>
      <c r="B798" s="39"/>
      <c r="C798" s="39"/>
      <c r="D798" s="39"/>
      <c r="E798" s="39"/>
      <c r="F798" s="39"/>
      <c r="G798" s="39"/>
    </row>
    <row r="799">
      <c r="A799" s="39"/>
      <c r="B799" s="39"/>
      <c r="C799" s="39"/>
      <c r="D799" s="39"/>
      <c r="E799" s="39"/>
      <c r="F799" s="39"/>
      <c r="G799" s="39"/>
    </row>
    <row r="800">
      <c r="A800" s="39"/>
      <c r="B800" s="39"/>
      <c r="C800" s="39"/>
      <c r="D800" s="39"/>
      <c r="E800" s="39"/>
      <c r="F800" s="39"/>
      <c r="G800" s="39"/>
    </row>
    <row r="801">
      <c r="A801" s="39"/>
      <c r="B801" s="39"/>
      <c r="C801" s="39"/>
      <c r="D801" s="39"/>
      <c r="E801" s="39"/>
      <c r="F801" s="39"/>
      <c r="G801" s="39"/>
    </row>
    <row r="802">
      <c r="A802" s="39"/>
      <c r="B802" s="39"/>
      <c r="C802" s="39"/>
      <c r="D802" s="39"/>
      <c r="E802" s="39"/>
      <c r="F802" s="39"/>
      <c r="G802" s="39"/>
    </row>
    <row r="803">
      <c r="A803" s="39"/>
      <c r="B803" s="39"/>
      <c r="C803" s="39"/>
      <c r="D803" s="39"/>
      <c r="E803" s="39"/>
      <c r="F803" s="39"/>
      <c r="G803" s="39"/>
    </row>
    <row r="804">
      <c r="A804" s="39"/>
      <c r="B804" s="39"/>
      <c r="C804" s="39"/>
      <c r="D804" s="39"/>
      <c r="E804" s="39"/>
      <c r="F804" s="39"/>
      <c r="G804" s="39"/>
    </row>
    <row r="805">
      <c r="A805" s="39"/>
      <c r="B805" s="39"/>
      <c r="C805" s="39"/>
      <c r="D805" s="39"/>
      <c r="E805" s="39"/>
      <c r="F805" s="39"/>
      <c r="G805" s="39"/>
    </row>
    <row r="806">
      <c r="A806" s="39"/>
      <c r="B806" s="39"/>
      <c r="C806" s="39"/>
      <c r="D806" s="39"/>
      <c r="E806" s="39"/>
      <c r="F806" s="39"/>
      <c r="G806" s="39"/>
    </row>
    <row r="807">
      <c r="A807" s="39"/>
      <c r="B807" s="39"/>
      <c r="C807" s="39"/>
      <c r="D807" s="39"/>
      <c r="E807" s="39"/>
      <c r="F807" s="39"/>
      <c r="G807" s="39"/>
    </row>
    <row r="808">
      <c r="A808" s="39"/>
      <c r="B808" s="39"/>
      <c r="C808" s="39"/>
      <c r="D808" s="39"/>
      <c r="E808" s="39"/>
      <c r="F808" s="39"/>
      <c r="G808" s="39"/>
    </row>
    <row r="809">
      <c r="A809" s="39"/>
      <c r="B809" s="39"/>
      <c r="C809" s="39"/>
      <c r="D809" s="39"/>
      <c r="E809" s="39"/>
      <c r="F809" s="39"/>
      <c r="G809" s="39"/>
    </row>
    <row r="810">
      <c r="A810" s="39"/>
      <c r="B810" s="39"/>
      <c r="C810" s="39"/>
      <c r="D810" s="39"/>
      <c r="E810" s="39"/>
      <c r="F810" s="39"/>
      <c r="G810" s="39"/>
    </row>
    <row r="811">
      <c r="A811" s="39"/>
      <c r="B811" s="39"/>
      <c r="C811" s="39"/>
      <c r="D811" s="39"/>
      <c r="E811" s="39"/>
      <c r="F811" s="39"/>
      <c r="G811" s="39"/>
    </row>
    <row r="812">
      <c r="A812" s="39"/>
      <c r="B812" s="39"/>
      <c r="C812" s="39"/>
      <c r="D812" s="39"/>
      <c r="E812" s="39"/>
      <c r="F812" s="39"/>
      <c r="G812" s="39"/>
    </row>
    <row r="813">
      <c r="A813" s="39"/>
      <c r="B813" s="39"/>
      <c r="C813" s="39"/>
      <c r="D813" s="39"/>
      <c r="E813" s="39"/>
      <c r="F813" s="39"/>
      <c r="G813" s="39"/>
    </row>
    <row r="814">
      <c r="A814" s="39"/>
      <c r="B814" s="39"/>
      <c r="C814" s="39"/>
      <c r="D814" s="39"/>
      <c r="E814" s="39"/>
      <c r="F814" s="39"/>
      <c r="G814" s="39"/>
    </row>
    <row r="815">
      <c r="A815" s="39"/>
      <c r="B815" s="39"/>
      <c r="C815" s="39"/>
      <c r="D815" s="39"/>
      <c r="E815" s="39"/>
      <c r="F815" s="39"/>
      <c r="G815" s="39"/>
    </row>
    <row r="816">
      <c r="A816" s="39"/>
      <c r="B816" s="39"/>
      <c r="C816" s="39"/>
      <c r="D816" s="39"/>
      <c r="E816" s="39"/>
      <c r="F816" s="39"/>
      <c r="G816" s="39"/>
    </row>
    <row r="817">
      <c r="A817" s="39"/>
      <c r="B817" s="39"/>
      <c r="C817" s="39"/>
      <c r="D817" s="39"/>
      <c r="E817" s="39"/>
      <c r="F817" s="39"/>
      <c r="G817" s="39"/>
    </row>
    <row r="818">
      <c r="A818" s="39"/>
      <c r="B818" s="39"/>
      <c r="C818" s="39"/>
      <c r="D818" s="39"/>
      <c r="E818" s="39"/>
      <c r="F818" s="39"/>
      <c r="G818" s="39"/>
    </row>
    <row r="819">
      <c r="A819" s="39"/>
      <c r="B819" s="39"/>
      <c r="C819" s="39"/>
      <c r="D819" s="39"/>
      <c r="E819" s="39"/>
      <c r="F819" s="39"/>
      <c r="G819" s="39"/>
    </row>
    <row r="820">
      <c r="A820" s="39"/>
      <c r="B820" s="39"/>
      <c r="C820" s="39"/>
      <c r="D820" s="39"/>
      <c r="E820" s="39"/>
      <c r="F820" s="39"/>
      <c r="G820" s="39"/>
    </row>
    <row r="821">
      <c r="A821" s="39"/>
      <c r="B821" s="39"/>
      <c r="C821" s="39"/>
      <c r="D821" s="39"/>
      <c r="E821" s="39"/>
      <c r="F821" s="39"/>
      <c r="G821" s="39"/>
    </row>
    <row r="822">
      <c r="A822" s="39"/>
      <c r="B822" s="39"/>
      <c r="C822" s="39"/>
      <c r="D822" s="39"/>
      <c r="E822" s="39"/>
      <c r="F822" s="39"/>
      <c r="G822" s="39"/>
    </row>
    <row r="823">
      <c r="A823" s="39"/>
      <c r="B823" s="39"/>
      <c r="C823" s="39"/>
      <c r="D823" s="39"/>
      <c r="E823" s="39"/>
      <c r="F823" s="39"/>
      <c r="G823" s="39"/>
    </row>
    <row r="824">
      <c r="A824" s="39"/>
      <c r="B824" s="39"/>
      <c r="C824" s="39"/>
      <c r="D824" s="39"/>
      <c r="E824" s="39"/>
      <c r="F824" s="39"/>
      <c r="G824" s="39"/>
    </row>
    <row r="825">
      <c r="A825" s="39"/>
      <c r="B825" s="39"/>
      <c r="C825" s="39"/>
      <c r="D825" s="39"/>
      <c r="E825" s="39"/>
      <c r="F825" s="39"/>
      <c r="G825" s="39"/>
    </row>
    <row r="826">
      <c r="A826" s="39"/>
      <c r="B826" s="39"/>
      <c r="C826" s="39"/>
      <c r="D826" s="39"/>
      <c r="E826" s="39"/>
      <c r="F826" s="39"/>
      <c r="G826" s="39"/>
    </row>
    <row r="827">
      <c r="A827" s="39"/>
      <c r="B827" s="39"/>
      <c r="C827" s="39"/>
      <c r="D827" s="39"/>
      <c r="E827" s="39"/>
      <c r="F827" s="39"/>
      <c r="G827" s="39"/>
    </row>
    <row r="828">
      <c r="A828" s="39"/>
      <c r="B828" s="39"/>
      <c r="C828" s="39"/>
      <c r="D828" s="39"/>
      <c r="E828" s="39"/>
      <c r="F828" s="39"/>
      <c r="G828" s="39"/>
    </row>
    <row r="829">
      <c r="A829" s="39"/>
      <c r="B829" s="39"/>
      <c r="C829" s="39"/>
      <c r="D829" s="39"/>
      <c r="E829" s="39"/>
      <c r="F829" s="39"/>
      <c r="G829" s="39"/>
    </row>
    <row r="830">
      <c r="A830" s="39"/>
      <c r="B830" s="39"/>
      <c r="C830" s="39"/>
      <c r="D830" s="39"/>
      <c r="E830" s="39"/>
      <c r="F830" s="39"/>
      <c r="G830" s="39"/>
    </row>
    <row r="831">
      <c r="A831" s="39"/>
      <c r="B831" s="39"/>
      <c r="C831" s="39"/>
      <c r="D831" s="39"/>
      <c r="E831" s="39"/>
      <c r="F831" s="39"/>
      <c r="G831" s="39"/>
    </row>
    <row r="832">
      <c r="A832" s="39"/>
      <c r="B832" s="39"/>
      <c r="C832" s="39"/>
      <c r="D832" s="39"/>
      <c r="E832" s="39"/>
      <c r="F832" s="39"/>
      <c r="G832" s="39"/>
    </row>
    <row r="833">
      <c r="A833" s="39"/>
      <c r="B833" s="39"/>
      <c r="C833" s="39"/>
      <c r="D833" s="39"/>
      <c r="E833" s="39"/>
      <c r="F833" s="39"/>
      <c r="G833" s="39"/>
    </row>
    <row r="834">
      <c r="A834" s="39"/>
      <c r="B834" s="39"/>
      <c r="C834" s="39"/>
      <c r="D834" s="39"/>
      <c r="E834" s="39"/>
      <c r="F834" s="39"/>
      <c r="G834" s="39"/>
    </row>
    <row r="835">
      <c r="A835" s="39"/>
      <c r="B835" s="39"/>
      <c r="C835" s="39"/>
      <c r="D835" s="39"/>
      <c r="E835" s="39"/>
      <c r="F835" s="39"/>
      <c r="G835" s="39"/>
    </row>
    <row r="836">
      <c r="A836" s="39"/>
      <c r="B836" s="39"/>
      <c r="C836" s="39"/>
      <c r="D836" s="39"/>
      <c r="E836" s="39"/>
      <c r="F836" s="39"/>
      <c r="G836" s="39"/>
    </row>
    <row r="837">
      <c r="A837" s="39"/>
      <c r="B837" s="39"/>
      <c r="C837" s="39"/>
      <c r="D837" s="39"/>
      <c r="E837" s="39"/>
      <c r="F837" s="39"/>
      <c r="G837" s="39"/>
    </row>
    <row r="838">
      <c r="A838" s="39"/>
      <c r="B838" s="39"/>
      <c r="C838" s="39"/>
      <c r="D838" s="39"/>
      <c r="E838" s="39"/>
      <c r="F838" s="39"/>
      <c r="G838" s="39"/>
    </row>
    <row r="839">
      <c r="A839" s="39"/>
      <c r="B839" s="39"/>
      <c r="C839" s="39"/>
      <c r="D839" s="39"/>
      <c r="E839" s="39"/>
      <c r="F839" s="39"/>
      <c r="G839" s="39"/>
    </row>
    <row r="840">
      <c r="A840" s="39"/>
      <c r="B840" s="39"/>
      <c r="C840" s="39"/>
      <c r="D840" s="39"/>
      <c r="E840" s="39"/>
      <c r="F840" s="39"/>
      <c r="G840" s="39"/>
    </row>
    <row r="841">
      <c r="A841" s="39"/>
      <c r="B841" s="39"/>
      <c r="C841" s="39"/>
      <c r="D841" s="39"/>
      <c r="E841" s="39"/>
      <c r="F841" s="39"/>
      <c r="G841" s="39"/>
    </row>
    <row r="842">
      <c r="A842" s="39"/>
      <c r="B842" s="39"/>
      <c r="C842" s="39"/>
      <c r="D842" s="39"/>
      <c r="E842" s="39"/>
      <c r="F842" s="39"/>
      <c r="G842" s="39"/>
    </row>
    <row r="843">
      <c r="A843" s="39"/>
      <c r="B843" s="39"/>
      <c r="C843" s="39"/>
      <c r="D843" s="39"/>
      <c r="E843" s="39"/>
      <c r="F843" s="39"/>
      <c r="G843" s="39"/>
    </row>
    <row r="844">
      <c r="A844" s="39"/>
      <c r="B844" s="39"/>
      <c r="C844" s="39"/>
      <c r="D844" s="39"/>
      <c r="E844" s="39"/>
      <c r="F844" s="39"/>
      <c r="G844" s="39"/>
    </row>
    <row r="845">
      <c r="A845" s="39"/>
      <c r="B845" s="39"/>
      <c r="C845" s="39"/>
      <c r="D845" s="39"/>
      <c r="E845" s="39"/>
      <c r="F845" s="39"/>
      <c r="G845" s="39"/>
    </row>
    <row r="846">
      <c r="A846" s="39"/>
      <c r="B846" s="39"/>
      <c r="C846" s="39"/>
      <c r="D846" s="39"/>
      <c r="E846" s="39"/>
      <c r="F846" s="39"/>
      <c r="G846" s="39"/>
    </row>
    <row r="847">
      <c r="A847" s="39"/>
      <c r="B847" s="39"/>
      <c r="C847" s="39"/>
      <c r="D847" s="39"/>
      <c r="E847" s="39"/>
      <c r="F847" s="39"/>
      <c r="G847" s="39"/>
    </row>
    <row r="848">
      <c r="A848" s="39"/>
      <c r="B848" s="39"/>
      <c r="C848" s="39"/>
      <c r="D848" s="39"/>
      <c r="E848" s="39"/>
      <c r="F848" s="39"/>
      <c r="G848" s="39"/>
    </row>
    <row r="849">
      <c r="A849" s="39"/>
      <c r="B849" s="39"/>
      <c r="C849" s="39"/>
      <c r="D849" s="39"/>
      <c r="E849" s="39"/>
      <c r="F849" s="39"/>
      <c r="G849" s="39"/>
    </row>
    <row r="850">
      <c r="A850" s="39"/>
      <c r="B850" s="39"/>
      <c r="C850" s="39"/>
      <c r="D850" s="39"/>
      <c r="E850" s="39"/>
      <c r="F850" s="39"/>
      <c r="G850" s="39"/>
    </row>
    <row r="851">
      <c r="A851" s="39"/>
      <c r="B851" s="39"/>
      <c r="C851" s="39"/>
      <c r="D851" s="39"/>
      <c r="E851" s="39"/>
      <c r="F851" s="39"/>
      <c r="G851" s="39"/>
    </row>
    <row r="852">
      <c r="A852" s="39"/>
      <c r="B852" s="39"/>
      <c r="C852" s="39"/>
      <c r="D852" s="39"/>
      <c r="E852" s="39"/>
      <c r="F852" s="39"/>
      <c r="G852" s="39"/>
    </row>
    <row r="853">
      <c r="A853" s="39"/>
      <c r="B853" s="39"/>
      <c r="C853" s="39"/>
      <c r="D853" s="39"/>
      <c r="E853" s="39"/>
      <c r="F853" s="39"/>
      <c r="G853" s="39"/>
    </row>
    <row r="854">
      <c r="A854" s="39"/>
      <c r="B854" s="39"/>
      <c r="C854" s="39"/>
      <c r="D854" s="39"/>
      <c r="E854" s="39"/>
      <c r="F854" s="39"/>
      <c r="G854" s="39"/>
    </row>
    <row r="855">
      <c r="A855" s="39"/>
      <c r="B855" s="39"/>
      <c r="C855" s="39"/>
      <c r="D855" s="39"/>
      <c r="E855" s="39"/>
      <c r="F855" s="39"/>
      <c r="G855" s="39"/>
    </row>
    <row r="856">
      <c r="A856" s="39"/>
      <c r="B856" s="39"/>
      <c r="C856" s="39"/>
      <c r="D856" s="39"/>
      <c r="E856" s="39"/>
      <c r="F856" s="39"/>
      <c r="G856" s="39"/>
    </row>
    <row r="857">
      <c r="A857" s="39"/>
      <c r="B857" s="39"/>
      <c r="C857" s="39"/>
      <c r="D857" s="39"/>
      <c r="E857" s="39"/>
      <c r="F857" s="39"/>
      <c r="G857" s="39"/>
    </row>
    <row r="858">
      <c r="A858" s="39"/>
      <c r="B858" s="39"/>
      <c r="C858" s="39"/>
      <c r="D858" s="39"/>
      <c r="E858" s="39"/>
      <c r="F858" s="39"/>
      <c r="G858" s="39"/>
    </row>
    <row r="859">
      <c r="A859" s="39"/>
      <c r="B859" s="39"/>
      <c r="C859" s="39"/>
      <c r="D859" s="39"/>
      <c r="E859" s="39"/>
      <c r="F859" s="39"/>
      <c r="G859" s="39"/>
    </row>
    <row r="860">
      <c r="A860" s="39"/>
      <c r="B860" s="39"/>
      <c r="C860" s="39"/>
      <c r="D860" s="39"/>
      <c r="E860" s="39"/>
      <c r="F860" s="39"/>
      <c r="G860" s="39"/>
    </row>
    <row r="861">
      <c r="A861" s="39"/>
      <c r="B861" s="39"/>
      <c r="C861" s="39"/>
      <c r="D861" s="39"/>
      <c r="E861" s="39"/>
      <c r="F861" s="39"/>
      <c r="G861" s="39"/>
    </row>
    <row r="862">
      <c r="A862" s="39"/>
      <c r="B862" s="39"/>
      <c r="C862" s="39"/>
      <c r="D862" s="39"/>
      <c r="E862" s="39"/>
      <c r="F862" s="39"/>
      <c r="G862" s="39"/>
    </row>
    <row r="863">
      <c r="A863" s="39"/>
      <c r="B863" s="39"/>
      <c r="C863" s="39"/>
      <c r="D863" s="39"/>
      <c r="E863" s="39"/>
      <c r="F863" s="39"/>
      <c r="G863" s="39"/>
    </row>
    <row r="864">
      <c r="A864" s="39"/>
      <c r="B864" s="39"/>
      <c r="C864" s="39"/>
      <c r="D864" s="39"/>
      <c r="E864" s="39"/>
      <c r="F864" s="39"/>
      <c r="G864" s="39"/>
    </row>
    <row r="865">
      <c r="A865" s="39"/>
      <c r="B865" s="39"/>
      <c r="C865" s="39"/>
      <c r="D865" s="39"/>
      <c r="E865" s="39"/>
      <c r="F865" s="39"/>
      <c r="G865" s="39"/>
    </row>
    <row r="866">
      <c r="A866" s="39"/>
      <c r="B866" s="39"/>
      <c r="C866" s="39"/>
      <c r="D866" s="39"/>
      <c r="E866" s="39"/>
      <c r="F866" s="39"/>
      <c r="G866" s="39"/>
    </row>
    <row r="867">
      <c r="A867" s="39"/>
      <c r="B867" s="39"/>
      <c r="C867" s="39"/>
      <c r="D867" s="39"/>
      <c r="E867" s="39"/>
      <c r="F867" s="39"/>
      <c r="G867" s="39"/>
    </row>
    <row r="868">
      <c r="A868" s="39"/>
      <c r="B868" s="39"/>
      <c r="C868" s="39"/>
      <c r="D868" s="39"/>
      <c r="E868" s="39"/>
      <c r="F868" s="39"/>
      <c r="G868" s="39"/>
    </row>
    <row r="869">
      <c r="A869" s="39"/>
      <c r="B869" s="39"/>
      <c r="C869" s="39"/>
      <c r="D869" s="39"/>
      <c r="E869" s="39"/>
      <c r="F869" s="39"/>
      <c r="G869" s="39"/>
    </row>
    <row r="870">
      <c r="A870" s="39"/>
      <c r="B870" s="39"/>
      <c r="C870" s="39"/>
      <c r="D870" s="39"/>
      <c r="E870" s="39"/>
      <c r="F870" s="39"/>
      <c r="G870" s="39"/>
    </row>
    <row r="871">
      <c r="A871" s="39"/>
      <c r="B871" s="39"/>
      <c r="C871" s="39"/>
      <c r="D871" s="39"/>
      <c r="E871" s="39"/>
      <c r="F871" s="39"/>
      <c r="G871" s="39"/>
    </row>
    <row r="872">
      <c r="A872" s="39"/>
      <c r="B872" s="39"/>
      <c r="C872" s="39"/>
      <c r="D872" s="39"/>
      <c r="E872" s="39"/>
      <c r="F872" s="39"/>
      <c r="G872" s="39"/>
    </row>
    <row r="873">
      <c r="A873" s="39"/>
      <c r="B873" s="39"/>
      <c r="C873" s="39"/>
      <c r="D873" s="39"/>
      <c r="E873" s="39"/>
      <c r="F873" s="39"/>
      <c r="G873" s="39"/>
    </row>
    <row r="874">
      <c r="A874" s="39"/>
      <c r="B874" s="39"/>
      <c r="C874" s="39"/>
      <c r="D874" s="39"/>
      <c r="E874" s="39"/>
      <c r="F874" s="39"/>
      <c r="G874" s="39"/>
    </row>
    <row r="875">
      <c r="A875" s="39"/>
      <c r="B875" s="39"/>
      <c r="C875" s="39"/>
      <c r="D875" s="39"/>
      <c r="E875" s="39"/>
      <c r="F875" s="39"/>
      <c r="G875" s="39"/>
    </row>
    <row r="876">
      <c r="A876" s="39"/>
      <c r="B876" s="39"/>
      <c r="C876" s="39"/>
      <c r="D876" s="39"/>
      <c r="E876" s="39"/>
      <c r="F876" s="39"/>
      <c r="G876" s="39"/>
    </row>
    <row r="877">
      <c r="A877" s="39"/>
      <c r="B877" s="39"/>
      <c r="C877" s="39"/>
      <c r="D877" s="39"/>
      <c r="E877" s="39"/>
      <c r="F877" s="39"/>
      <c r="G877" s="39"/>
    </row>
    <row r="878">
      <c r="A878" s="39"/>
      <c r="B878" s="39"/>
      <c r="C878" s="39"/>
      <c r="D878" s="39"/>
      <c r="E878" s="39"/>
      <c r="F878" s="39"/>
      <c r="G878" s="39"/>
    </row>
    <row r="879">
      <c r="A879" s="39"/>
      <c r="B879" s="39"/>
      <c r="C879" s="39"/>
      <c r="D879" s="39"/>
      <c r="E879" s="39"/>
      <c r="F879" s="39"/>
      <c r="G879" s="39"/>
    </row>
    <row r="880">
      <c r="A880" s="39"/>
      <c r="B880" s="39"/>
      <c r="C880" s="39"/>
      <c r="D880" s="39"/>
      <c r="E880" s="39"/>
      <c r="F880" s="39"/>
      <c r="G880" s="39"/>
    </row>
    <row r="881">
      <c r="A881" s="39"/>
      <c r="B881" s="39"/>
      <c r="C881" s="39"/>
      <c r="D881" s="39"/>
      <c r="E881" s="39"/>
      <c r="F881" s="39"/>
      <c r="G881" s="39"/>
    </row>
    <row r="882">
      <c r="A882" s="39"/>
      <c r="B882" s="39"/>
      <c r="C882" s="39"/>
      <c r="D882" s="39"/>
      <c r="E882" s="39"/>
      <c r="F882" s="39"/>
      <c r="G882" s="39"/>
    </row>
    <row r="883">
      <c r="A883" s="39"/>
      <c r="B883" s="39"/>
      <c r="C883" s="39"/>
      <c r="D883" s="39"/>
      <c r="E883" s="39"/>
      <c r="F883" s="39"/>
      <c r="G883" s="39"/>
    </row>
    <row r="884">
      <c r="A884" s="39"/>
      <c r="B884" s="39"/>
      <c r="C884" s="39"/>
      <c r="D884" s="39"/>
      <c r="E884" s="39"/>
      <c r="F884" s="39"/>
      <c r="G884" s="39"/>
    </row>
    <row r="885">
      <c r="A885" s="39"/>
      <c r="B885" s="39"/>
      <c r="C885" s="39"/>
      <c r="D885" s="39"/>
      <c r="E885" s="39"/>
      <c r="F885" s="39"/>
      <c r="G885" s="39"/>
    </row>
    <row r="886">
      <c r="A886" s="39"/>
      <c r="B886" s="39"/>
      <c r="C886" s="39"/>
      <c r="D886" s="39"/>
      <c r="E886" s="39"/>
      <c r="F886" s="39"/>
      <c r="G886" s="39"/>
    </row>
    <row r="887">
      <c r="A887" s="39"/>
      <c r="B887" s="39"/>
      <c r="C887" s="39"/>
      <c r="D887" s="39"/>
      <c r="E887" s="39"/>
      <c r="F887" s="39"/>
      <c r="G887" s="39"/>
    </row>
    <row r="888">
      <c r="A888" s="39"/>
      <c r="B888" s="39"/>
      <c r="C888" s="39"/>
      <c r="D888" s="39"/>
      <c r="E888" s="39"/>
      <c r="F888" s="39"/>
      <c r="G888" s="39"/>
    </row>
    <row r="889">
      <c r="A889" s="39"/>
      <c r="B889" s="39"/>
      <c r="C889" s="39"/>
      <c r="D889" s="39"/>
      <c r="E889" s="39"/>
      <c r="F889" s="39"/>
      <c r="G889" s="39"/>
    </row>
    <row r="890">
      <c r="A890" s="39"/>
      <c r="B890" s="39"/>
      <c r="C890" s="39"/>
      <c r="D890" s="39"/>
      <c r="E890" s="39"/>
      <c r="F890" s="39"/>
      <c r="G890" s="39"/>
    </row>
    <row r="891">
      <c r="A891" s="39"/>
      <c r="B891" s="39"/>
      <c r="C891" s="39"/>
      <c r="D891" s="39"/>
      <c r="E891" s="39"/>
      <c r="F891" s="39"/>
      <c r="G891" s="39"/>
    </row>
    <row r="892">
      <c r="A892" s="39"/>
      <c r="B892" s="39"/>
      <c r="C892" s="39"/>
      <c r="D892" s="39"/>
      <c r="E892" s="39"/>
      <c r="F892" s="39"/>
      <c r="G892" s="39"/>
    </row>
    <row r="893">
      <c r="A893" s="39"/>
      <c r="B893" s="39"/>
      <c r="C893" s="39"/>
      <c r="D893" s="39"/>
      <c r="E893" s="39"/>
      <c r="F893" s="39"/>
      <c r="G893" s="39"/>
    </row>
    <row r="894">
      <c r="A894" s="39"/>
      <c r="B894" s="39"/>
      <c r="C894" s="39"/>
      <c r="D894" s="39"/>
      <c r="E894" s="39"/>
      <c r="F894" s="39"/>
      <c r="G894" s="39"/>
    </row>
    <row r="895">
      <c r="A895" s="39"/>
      <c r="B895" s="39"/>
      <c r="C895" s="39"/>
      <c r="D895" s="39"/>
      <c r="E895" s="39"/>
      <c r="F895" s="39"/>
      <c r="G895" s="39"/>
    </row>
    <row r="896">
      <c r="A896" s="39"/>
      <c r="B896" s="39"/>
      <c r="C896" s="39"/>
      <c r="D896" s="39"/>
      <c r="E896" s="39"/>
      <c r="F896" s="39"/>
      <c r="G896" s="39"/>
    </row>
    <row r="897">
      <c r="A897" s="39"/>
      <c r="B897" s="39"/>
      <c r="C897" s="39"/>
      <c r="D897" s="39"/>
      <c r="E897" s="39"/>
      <c r="F897" s="39"/>
      <c r="G897" s="39"/>
    </row>
    <row r="898">
      <c r="A898" s="39"/>
      <c r="B898" s="39"/>
      <c r="C898" s="39"/>
      <c r="D898" s="39"/>
      <c r="E898" s="39"/>
      <c r="F898" s="39"/>
      <c r="G898" s="39"/>
    </row>
    <row r="899">
      <c r="A899" s="39"/>
      <c r="B899" s="39"/>
      <c r="C899" s="39"/>
      <c r="D899" s="39"/>
      <c r="E899" s="39"/>
      <c r="F899" s="39"/>
      <c r="G899" s="39"/>
    </row>
    <row r="900">
      <c r="A900" s="39"/>
      <c r="B900" s="39"/>
      <c r="C900" s="39"/>
      <c r="D900" s="39"/>
      <c r="E900" s="39"/>
      <c r="F900" s="39"/>
      <c r="G900" s="39"/>
    </row>
    <row r="901">
      <c r="A901" s="39"/>
      <c r="B901" s="39"/>
      <c r="C901" s="39"/>
      <c r="D901" s="39"/>
      <c r="E901" s="39"/>
      <c r="F901" s="39"/>
      <c r="G901" s="39"/>
    </row>
    <row r="902">
      <c r="A902" s="39"/>
      <c r="B902" s="39"/>
      <c r="C902" s="39"/>
      <c r="D902" s="39"/>
      <c r="E902" s="39"/>
      <c r="F902" s="39"/>
      <c r="G902" s="39"/>
    </row>
    <row r="903">
      <c r="A903" s="39"/>
      <c r="B903" s="39"/>
      <c r="C903" s="39"/>
      <c r="D903" s="39"/>
      <c r="E903" s="39"/>
      <c r="F903" s="39"/>
      <c r="G903" s="39"/>
    </row>
    <row r="904">
      <c r="A904" s="39"/>
      <c r="B904" s="39"/>
      <c r="C904" s="39"/>
      <c r="D904" s="39"/>
      <c r="E904" s="39"/>
      <c r="F904" s="39"/>
      <c r="G904" s="39"/>
    </row>
    <row r="905">
      <c r="A905" s="39"/>
      <c r="B905" s="39"/>
      <c r="C905" s="39"/>
      <c r="D905" s="39"/>
      <c r="E905" s="39"/>
      <c r="F905" s="39"/>
      <c r="G905" s="39"/>
    </row>
    <row r="906">
      <c r="A906" s="39"/>
      <c r="B906" s="39"/>
      <c r="C906" s="39"/>
      <c r="D906" s="39"/>
      <c r="E906" s="39"/>
      <c r="F906" s="39"/>
      <c r="G906" s="39"/>
    </row>
    <row r="907">
      <c r="A907" s="39"/>
      <c r="B907" s="39"/>
      <c r="C907" s="39"/>
      <c r="D907" s="39"/>
      <c r="E907" s="39"/>
      <c r="F907" s="39"/>
      <c r="G907" s="39"/>
    </row>
    <row r="908">
      <c r="A908" s="39"/>
      <c r="B908" s="39"/>
      <c r="C908" s="39"/>
      <c r="D908" s="39"/>
      <c r="E908" s="39"/>
      <c r="F908" s="39"/>
      <c r="G908" s="39"/>
    </row>
    <row r="909">
      <c r="A909" s="39"/>
      <c r="B909" s="39"/>
      <c r="C909" s="39"/>
      <c r="D909" s="39"/>
      <c r="E909" s="39"/>
      <c r="F909" s="39"/>
      <c r="G909" s="39"/>
    </row>
    <row r="910">
      <c r="A910" s="39"/>
      <c r="B910" s="39"/>
      <c r="C910" s="39"/>
      <c r="D910" s="39"/>
      <c r="E910" s="39"/>
      <c r="F910" s="39"/>
      <c r="G910" s="39"/>
    </row>
    <row r="911">
      <c r="A911" s="39"/>
      <c r="B911" s="39"/>
      <c r="C911" s="39"/>
      <c r="D911" s="39"/>
      <c r="E911" s="39"/>
      <c r="F911" s="39"/>
      <c r="G911" s="39"/>
    </row>
    <row r="912">
      <c r="A912" s="39"/>
      <c r="B912" s="39"/>
      <c r="C912" s="39"/>
      <c r="D912" s="39"/>
      <c r="E912" s="39"/>
      <c r="F912" s="39"/>
      <c r="G912" s="39"/>
    </row>
    <row r="913">
      <c r="A913" s="39"/>
      <c r="B913" s="39"/>
      <c r="C913" s="39"/>
      <c r="D913" s="39"/>
      <c r="E913" s="39"/>
      <c r="F913" s="39"/>
      <c r="G913" s="39"/>
    </row>
    <row r="914">
      <c r="A914" s="39"/>
      <c r="B914" s="39"/>
      <c r="C914" s="39"/>
      <c r="D914" s="39"/>
      <c r="E914" s="39"/>
      <c r="F914" s="39"/>
      <c r="G914" s="39"/>
    </row>
    <row r="915">
      <c r="A915" s="39"/>
      <c r="B915" s="39"/>
      <c r="C915" s="39"/>
      <c r="D915" s="39"/>
      <c r="E915" s="39"/>
      <c r="F915" s="39"/>
      <c r="G915" s="39"/>
    </row>
    <row r="916">
      <c r="A916" s="39"/>
      <c r="B916" s="39"/>
      <c r="C916" s="39"/>
      <c r="D916" s="39"/>
      <c r="E916" s="39"/>
      <c r="F916" s="39"/>
      <c r="G916" s="39"/>
    </row>
    <row r="917">
      <c r="A917" s="39"/>
      <c r="B917" s="39"/>
      <c r="C917" s="39"/>
      <c r="D917" s="39"/>
      <c r="E917" s="39"/>
      <c r="F917" s="39"/>
      <c r="G917" s="39"/>
    </row>
    <row r="918">
      <c r="A918" s="39"/>
      <c r="B918" s="39"/>
      <c r="C918" s="39"/>
      <c r="D918" s="39"/>
      <c r="E918" s="39"/>
      <c r="F918" s="39"/>
      <c r="G918" s="39"/>
    </row>
    <row r="919">
      <c r="A919" s="39"/>
      <c r="B919" s="39"/>
      <c r="C919" s="39"/>
      <c r="D919" s="39"/>
      <c r="E919" s="39"/>
      <c r="F919" s="39"/>
      <c r="G919" s="39"/>
    </row>
    <row r="920">
      <c r="A920" s="39"/>
      <c r="B920" s="39"/>
      <c r="C920" s="39"/>
      <c r="D920" s="39"/>
      <c r="E920" s="39"/>
      <c r="F920" s="39"/>
      <c r="G920" s="39"/>
    </row>
    <row r="921">
      <c r="A921" s="39"/>
      <c r="B921" s="39"/>
      <c r="C921" s="39"/>
      <c r="D921" s="39"/>
      <c r="E921" s="39"/>
      <c r="F921" s="39"/>
      <c r="G921" s="39"/>
    </row>
    <row r="922">
      <c r="A922" s="39"/>
      <c r="B922" s="39"/>
      <c r="C922" s="39"/>
      <c r="D922" s="39"/>
      <c r="E922" s="39"/>
      <c r="F922" s="39"/>
      <c r="G922" s="39"/>
    </row>
    <row r="923">
      <c r="A923" s="39"/>
      <c r="B923" s="39"/>
      <c r="C923" s="39"/>
      <c r="D923" s="39"/>
      <c r="E923" s="39"/>
      <c r="F923" s="39"/>
      <c r="G923" s="39"/>
    </row>
    <row r="924">
      <c r="A924" s="39"/>
      <c r="B924" s="39"/>
      <c r="C924" s="39"/>
      <c r="D924" s="39"/>
      <c r="E924" s="39"/>
      <c r="F924" s="39"/>
      <c r="G924" s="39"/>
    </row>
    <row r="925">
      <c r="A925" s="39"/>
      <c r="B925" s="39"/>
      <c r="C925" s="39"/>
      <c r="D925" s="39"/>
      <c r="E925" s="39"/>
      <c r="F925" s="39"/>
      <c r="G925" s="39"/>
    </row>
    <row r="926">
      <c r="A926" s="39"/>
      <c r="B926" s="39"/>
      <c r="C926" s="39"/>
      <c r="D926" s="39"/>
      <c r="E926" s="39"/>
      <c r="F926" s="39"/>
      <c r="G926" s="39"/>
    </row>
    <row r="927">
      <c r="A927" s="39"/>
      <c r="B927" s="39"/>
      <c r="C927" s="39"/>
      <c r="D927" s="39"/>
      <c r="E927" s="39"/>
      <c r="F927" s="39"/>
      <c r="G927" s="39"/>
    </row>
    <row r="928">
      <c r="A928" s="39"/>
      <c r="B928" s="39"/>
      <c r="C928" s="39"/>
      <c r="D928" s="39"/>
      <c r="E928" s="39"/>
      <c r="F928" s="39"/>
      <c r="G928" s="39"/>
    </row>
    <row r="929">
      <c r="A929" s="39"/>
      <c r="B929" s="39"/>
      <c r="C929" s="39"/>
      <c r="D929" s="39"/>
      <c r="E929" s="39"/>
      <c r="F929" s="39"/>
      <c r="G929" s="39"/>
    </row>
    <row r="930">
      <c r="A930" s="39"/>
      <c r="B930" s="39"/>
      <c r="C930" s="39"/>
      <c r="D930" s="39"/>
      <c r="E930" s="39"/>
      <c r="F930" s="39"/>
      <c r="G930" s="39"/>
    </row>
    <row r="931">
      <c r="A931" s="39"/>
      <c r="B931" s="39"/>
      <c r="C931" s="39"/>
      <c r="D931" s="39"/>
      <c r="E931" s="39"/>
      <c r="F931" s="39"/>
      <c r="G931" s="39"/>
    </row>
    <row r="932">
      <c r="A932" s="39"/>
      <c r="B932" s="39"/>
      <c r="C932" s="39"/>
      <c r="D932" s="39"/>
      <c r="E932" s="39"/>
      <c r="F932" s="39"/>
      <c r="G932" s="39"/>
    </row>
    <row r="933">
      <c r="A933" s="39"/>
      <c r="B933" s="39"/>
      <c r="C933" s="39"/>
      <c r="D933" s="39"/>
      <c r="E933" s="39"/>
      <c r="F933" s="39"/>
      <c r="G933" s="39"/>
    </row>
    <row r="934">
      <c r="A934" s="39"/>
      <c r="B934" s="39"/>
      <c r="C934" s="39"/>
      <c r="D934" s="39"/>
      <c r="E934" s="39"/>
      <c r="F934" s="39"/>
      <c r="G934" s="39"/>
    </row>
    <row r="935">
      <c r="A935" s="39"/>
      <c r="B935" s="39"/>
      <c r="C935" s="39"/>
      <c r="D935" s="39"/>
      <c r="E935" s="39"/>
      <c r="F935" s="39"/>
      <c r="G935" s="39"/>
    </row>
    <row r="936">
      <c r="A936" s="39"/>
      <c r="B936" s="39"/>
      <c r="C936" s="39"/>
      <c r="D936" s="39"/>
      <c r="E936" s="39"/>
      <c r="F936" s="39"/>
      <c r="G936" s="39"/>
    </row>
    <row r="937">
      <c r="A937" s="39"/>
      <c r="B937" s="39"/>
      <c r="C937" s="39"/>
      <c r="D937" s="39"/>
      <c r="E937" s="39"/>
      <c r="F937" s="39"/>
      <c r="G937" s="39"/>
    </row>
    <row r="938">
      <c r="A938" s="39"/>
      <c r="B938" s="39"/>
      <c r="C938" s="39"/>
      <c r="D938" s="39"/>
      <c r="E938" s="39"/>
      <c r="F938" s="39"/>
      <c r="G938" s="39"/>
    </row>
    <row r="939">
      <c r="A939" s="39"/>
      <c r="B939" s="39"/>
      <c r="C939" s="39"/>
      <c r="D939" s="39"/>
      <c r="E939" s="39"/>
      <c r="F939" s="39"/>
      <c r="G939" s="39"/>
    </row>
    <row r="940">
      <c r="A940" s="39"/>
      <c r="B940" s="39"/>
      <c r="C940" s="39"/>
      <c r="D940" s="39"/>
      <c r="E940" s="39"/>
      <c r="F940" s="39"/>
      <c r="G940" s="39"/>
    </row>
    <row r="941">
      <c r="A941" s="39"/>
      <c r="B941" s="39"/>
      <c r="C941" s="39"/>
      <c r="D941" s="39"/>
      <c r="E941" s="39"/>
      <c r="F941" s="39"/>
      <c r="G941" s="39"/>
    </row>
    <row r="942">
      <c r="A942" s="39"/>
      <c r="B942" s="39"/>
      <c r="C942" s="39"/>
      <c r="D942" s="39"/>
      <c r="E942" s="39"/>
      <c r="F942" s="39"/>
      <c r="G942" s="39"/>
    </row>
    <row r="943">
      <c r="A943" s="39"/>
      <c r="B943" s="39"/>
      <c r="C943" s="39"/>
      <c r="D943" s="39"/>
      <c r="E943" s="39"/>
      <c r="F943" s="39"/>
      <c r="G943" s="39"/>
    </row>
    <row r="944">
      <c r="A944" s="39"/>
      <c r="B944" s="39"/>
      <c r="C944" s="39"/>
      <c r="D944" s="39"/>
      <c r="E944" s="39"/>
      <c r="F944" s="39"/>
      <c r="G944" s="39"/>
    </row>
    <row r="945">
      <c r="A945" s="39"/>
      <c r="B945" s="39"/>
      <c r="C945" s="39"/>
      <c r="D945" s="39"/>
      <c r="E945" s="39"/>
      <c r="F945" s="39"/>
      <c r="G945" s="39"/>
    </row>
    <row r="946">
      <c r="A946" s="39"/>
      <c r="B946" s="39"/>
      <c r="C946" s="39"/>
      <c r="D946" s="39"/>
      <c r="E946" s="39"/>
      <c r="F946" s="39"/>
      <c r="G946" s="39"/>
    </row>
    <row r="947">
      <c r="A947" s="39"/>
      <c r="B947" s="39"/>
      <c r="C947" s="39"/>
      <c r="D947" s="39"/>
      <c r="E947" s="39"/>
      <c r="F947" s="39"/>
      <c r="G947" s="39"/>
    </row>
    <row r="948">
      <c r="A948" s="39"/>
      <c r="B948" s="39"/>
      <c r="C948" s="39"/>
      <c r="D948" s="39"/>
      <c r="E948" s="39"/>
      <c r="F948" s="39"/>
      <c r="G948" s="39"/>
    </row>
    <row r="949">
      <c r="A949" s="39"/>
      <c r="B949" s="39"/>
      <c r="C949" s="39"/>
      <c r="D949" s="39"/>
      <c r="E949" s="39"/>
      <c r="F949" s="39"/>
      <c r="G949" s="39"/>
    </row>
    <row r="950">
      <c r="A950" s="39"/>
      <c r="B950" s="39"/>
      <c r="C950" s="39"/>
      <c r="D950" s="39"/>
      <c r="E950" s="39"/>
      <c r="F950" s="39"/>
      <c r="G950" s="39"/>
    </row>
    <row r="951">
      <c r="A951" s="39"/>
      <c r="B951" s="39"/>
      <c r="C951" s="39"/>
      <c r="D951" s="39"/>
      <c r="E951" s="39"/>
      <c r="F951" s="39"/>
      <c r="G951" s="39"/>
    </row>
    <row r="952">
      <c r="A952" s="39"/>
      <c r="B952" s="39"/>
      <c r="C952" s="39"/>
      <c r="D952" s="39"/>
      <c r="E952" s="39"/>
      <c r="F952" s="39"/>
      <c r="G952" s="39"/>
    </row>
    <row r="953">
      <c r="A953" s="39"/>
      <c r="B953" s="39"/>
      <c r="C953" s="39"/>
      <c r="D953" s="39"/>
      <c r="E953" s="39"/>
      <c r="F953" s="39"/>
      <c r="G953" s="39"/>
    </row>
    <row r="954">
      <c r="A954" s="39"/>
      <c r="B954" s="39"/>
      <c r="C954" s="39"/>
      <c r="D954" s="39"/>
      <c r="E954" s="39"/>
      <c r="F954" s="39"/>
      <c r="G954" s="39"/>
    </row>
    <row r="955">
      <c r="A955" s="39"/>
      <c r="B955" s="39"/>
      <c r="C955" s="39"/>
      <c r="D955" s="39"/>
      <c r="E955" s="39"/>
      <c r="F955" s="39"/>
      <c r="G955" s="39"/>
    </row>
    <row r="956">
      <c r="A956" s="39"/>
      <c r="B956" s="39"/>
      <c r="C956" s="39"/>
      <c r="D956" s="39"/>
      <c r="E956" s="39"/>
      <c r="F956" s="39"/>
      <c r="G956" s="39"/>
    </row>
    <row r="957">
      <c r="A957" s="39"/>
      <c r="B957" s="39"/>
      <c r="C957" s="39"/>
      <c r="D957" s="39"/>
      <c r="E957" s="39"/>
      <c r="F957" s="39"/>
      <c r="G957" s="39"/>
    </row>
    <row r="958">
      <c r="A958" s="39"/>
      <c r="B958" s="39"/>
      <c r="C958" s="39"/>
      <c r="D958" s="39"/>
      <c r="E958" s="39"/>
      <c r="F958" s="39"/>
      <c r="G958" s="39"/>
    </row>
    <row r="959">
      <c r="A959" s="39"/>
      <c r="B959" s="39"/>
      <c r="C959" s="39"/>
      <c r="D959" s="39"/>
      <c r="E959" s="39"/>
      <c r="F959" s="39"/>
      <c r="G959" s="39"/>
    </row>
    <row r="960">
      <c r="A960" s="39"/>
      <c r="B960" s="39"/>
      <c r="C960" s="39"/>
      <c r="D960" s="39"/>
      <c r="E960" s="39"/>
      <c r="F960" s="39"/>
      <c r="G960" s="39"/>
    </row>
    <row r="961">
      <c r="A961" s="39"/>
      <c r="B961" s="39"/>
      <c r="C961" s="39"/>
      <c r="D961" s="39"/>
      <c r="E961" s="39"/>
      <c r="F961" s="39"/>
      <c r="G961" s="39"/>
    </row>
    <row r="962">
      <c r="A962" s="39"/>
      <c r="B962" s="39"/>
      <c r="C962" s="39"/>
      <c r="D962" s="39"/>
      <c r="E962" s="39"/>
      <c r="F962" s="39"/>
      <c r="G962" s="39"/>
    </row>
    <row r="963">
      <c r="A963" s="39"/>
      <c r="B963" s="39"/>
      <c r="C963" s="39"/>
      <c r="D963" s="39"/>
      <c r="E963" s="39"/>
      <c r="F963" s="39"/>
      <c r="G963" s="39"/>
    </row>
    <row r="964">
      <c r="A964" s="39"/>
      <c r="B964" s="39"/>
      <c r="C964" s="39"/>
      <c r="D964" s="39"/>
      <c r="E964" s="39"/>
      <c r="F964" s="39"/>
      <c r="G964" s="39"/>
    </row>
    <row r="965">
      <c r="A965" s="39"/>
      <c r="B965" s="39"/>
      <c r="C965" s="39"/>
      <c r="D965" s="39"/>
      <c r="E965" s="39"/>
      <c r="F965" s="39"/>
      <c r="G965" s="39"/>
    </row>
    <row r="966">
      <c r="A966" s="39"/>
      <c r="B966" s="39"/>
      <c r="C966" s="39"/>
      <c r="D966" s="39"/>
      <c r="E966" s="39"/>
      <c r="F966" s="39"/>
      <c r="G966" s="39"/>
    </row>
    <row r="967">
      <c r="A967" s="39"/>
      <c r="B967" s="39"/>
      <c r="C967" s="39"/>
      <c r="D967" s="39"/>
      <c r="E967" s="39"/>
      <c r="F967" s="39"/>
      <c r="G967" s="39"/>
    </row>
    <row r="968">
      <c r="A968" s="39"/>
      <c r="B968" s="39"/>
      <c r="C968" s="39"/>
      <c r="D968" s="39"/>
      <c r="E968" s="39"/>
      <c r="F968" s="39"/>
      <c r="G968" s="39"/>
    </row>
    <row r="969">
      <c r="A969" s="39"/>
      <c r="B969" s="39"/>
      <c r="C969" s="39"/>
      <c r="D969" s="39"/>
      <c r="E969" s="39"/>
      <c r="F969" s="39"/>
      <c r="G969" s="39"/>
    </row>
    <row r="970">
      <c r="A970" s="39"/>
      <c r="B970" s="39"/>
      <c r="C970" s="39"/>
      <c r="D970" s="39"/>
      <c r="E970" s="39"/>
      <c r="F970" s="39"/>
      <c r="G970" s="39"/>
    </row>
    <row r="971">
      <c r="A971" s="39"/>
      <c r="B971" s="39"/>
      <c r="C971" s="39"/>
      <c r="D971" s="39"/>
      <c r="E971" s="39"/>
      <c r="F971" s="39"/>
      <c r="G971" s="39"/>
    </row>
    <row r="972">
      <c r="A972" s="39"/>
      <c r="B972" s="39"/>
      <c r="C972" s="39"/>
      <c r="D972" s="39"/>
      <c r="E972" s="39"/>
      <c r="F972" s="39"/>
      <c r="G972" s="39"/>
    </row>
    <row r="973">
      <c r="A973" s="39"/>
      <c r="B973" s="39"/>
      <c r="C973" s="39"/>
      <c r="D973" s="39"/>
      <c r="E973" s="39"/>
      <c r="F973" s="39"/>
      <c r="G973" s="39"/>
    </row>
    <row r="974">
      <c r="A974" s="39"/>
      <c r="B974" s="39"/>
      <c r="C974" s="39"/>
      <c r="D974" s="39"/>
      <c r="E974" s="39"/>
      <c r="F974" s="39"/>
      <c r="G974" s="39"/>
    </row>
    <row r="975">
      <c r="A975" s="39"/>
      <c r="B975" s="39"/>
      <c r="C975" s="39"/>
      <c r="D975" s="39"/>
      <c r="E975" s="39"/>
      <c r="F975" s="39"/>
      <c r="G975" s="39"/>
    </row>
    <row r="976">
      <c r="A976" s="39"/>
      <c r="B976" s="39"/>
      <c r="C976" s="39"/>
      <c r="D976" s="39"/>
      <c r="E976" s="39"/>
      <c r="F976" s="39"/>
      <c r="G976" s="39"/>
    </row>
    <row r="977">
      <c r="A977" s="39"/>
      <c r="B977" s="39"/>
      <c r="C977" s="39"/>
      <c r="D977" s="39"/>
      <c r="E977" s="39"/>
      <c r="F977" s="39"/>
      <c r="G977" s="39"/>
    </row>
    <row r="978">
      <c r="A978" s="39"/>
      <c r="B978" s="39"/>
      <c r="C978" s="39"/>
      <c r="D978" s="39"/>
      <c r="E978" s="39"/>
      <c r="F978" s="39"/>
      <c r="G978" s="39"/>
    </row>
    <row r="979">
      <c r="A979" s="39"/>
      <c r="B979" s="39"/>
      <c r="C979" s="39"/>
      <c r="D979" s="39"/>
      <c r="E979" s="39"/>
      <c r="F979" s="39"/>
      <c r="G979" s="39"/>
    </row>
    <row r="980">
      <c r="A980" s="39"/>
      <c r="B980" s="39"/>
      <c r="C980" s="39"/>
      <c r="D980" s="39"/>
      <c r="E980" s="39"/>
      <c r="F980" s="39"/>
      <c r="G980" s="39"/>
    </row>
    <row r="981">
      <c r="A981" s="39"/>
      <c r="B981" s="39"/>
      <c r="C981" s="39"/>
      <c r="D981" s="39"/>
      <c r="E981" s="39"/>
      <c r="F981" s="39"/>
      <c r="G981" s="39"/>
    </row>
    <row r="982">
      <c r="A982" s="39"/>
      <c r="B982" s="39"/>
      <c r="C982" s="39"/>
      <c r="D982" s="39"/>
      <c r="E982" s="39"/>
      <c r="F982" s="39"/>
      <c r="G982" s="39"/>
    </row>
    <row r="983">
      <c r="A983" s="39"/>
      <c r="B983" s="39"/>
      <c r="C983" s="39"/>
      <c r="D983" s="39"/>
      <c r="E983" s="39"/>
      <c r="F983" s="39"/>
      <c r="G983" s="39"/>
    </row>
    <row r="984">
      <c r="A984" s="39"/>
      <c r="B984" s="39"/>
      <c r="C984" s="39"/>
      <c r="D984" s="39"/>
      <c r="E984" s="39"/>
      <c r="F984" s="39"/>
      <c r="G984" s="39"/>
    </row>
    <row r="985">
      <c r="A985" s="39"/>
      <c r="B985" s="39"/>
      <c r="C985" s="39"/>
      <c r="D985" s="39"/>
      <c r="E985" s="39"/>
      <c r="F985" s="39"/>
      <c r="G985" s="39"/>
    </row>
    <row r="986">
      <c r="A986" s="39"/>
      <c r="B986" s="39"/>
      <c r="C986" s="39"/>
      <c r="D986" s="39"/>
      <c r="E986" s="39"/>
      <c r="F986" s="39"/>
      <c r="G986" s="39"/>
    </row>
    <row r="987">
      <c r="A987" s="39"/>
      <c r="B987" s="39"/>
      <c r="C987" s="39"/>
      <c r="D987" s="39"/>
      <c r="E987" s="39"/>
      <c r="F987" s="39"/>
      <c r="G987" s="39"/>
    </row>
    <row r="988">
      <c r="A988" s="39"/>
      <c r="B988" s="39"/>
      <c r="C988" s="39"/>
      <c r="D988" s="39"/>
      <c r="E988" s="39"/>
      <c r="F988" s="39"/>
      <c r="G988" s="39"/>
    </row>
    <row r="989">
      <c r="A989" s="39"/>
      <c r="B989" s="39"/>
      <c r="C989" s="39"/>
      <c r="D989" s="39"/>
      <c r="E989" s="39"/>
      <c r="F989" s="39"/>
      <c r="G989" s="39"/>
    </row>
    <row r="990">
      <c r="A990" s="39"/>
      <c r="B990" s="39"/>
      <c r="C990" s="39"/>
      <c r="D990" s="39"/>
      <c r="E990" s="39"/>
      <c r="F990" s="39"/>
      <c r="G990" s="39"/>
    </row>
    <row r="991">
      <c r="A991" s="39"/>
      <c r="B991" s="39"/>
      <c r="C991" s="39"/>
      <c r="D991" s="39"/>
      <c r="E991" s="39"/>
      <c r="F991" s="39"/>
      <c r="G991" s="39"/>
    </row>
    <row r="992">
      <c r="A992" s="39"/>
      <c r="B992" s="39"/>
      <c r="C992" s="39"/>
      <c r="D992" s="39"/>
      <c r="E992" s="39"/>
      <c r="F992" s="39"/>
      <c r="G992" s="39"/>
    </row>
    <row r="993">
      <c r="A993" s="39"/>
      <c r="B993" s="39"/>
      <c r="C993" s="39"/>
      <c r="D993" s="39"/>
      <c r="E993" s="39"/>
      <c r="F993" s="39"/>
      <c r="G993" s="39"/>
    </row>
    <row r="994">
      <c r="A994" s="39"/>
      <c r="B994" s="39"/>
      <c r="C994" s="39"/>
      <c r="D994" s="39"/>
      <c r="E994" s="39"/>
      <c r="F994" s="39"/>
      <c r="G994" s="39"/>
    </row>
    <row r="995">
      <c r="A995" s="39"/>
      <c r="B995" s="39"/>
      <c r="C995" s="39"/>
      <c r="D995" s="39"/>
      <c r="E995" s="39"/>
      <c r="F995" s="39"/>
      <c r="G995" s="39"/>
    </row>
    <row r="996">
      <c r="A996" s="39"/>
      <c r="B996" s="39"/>
      <c r="C996" s="39"/>
      <c r="D996" s="39"/>
      <c r="E996" s="39"/>
      <c r="F996" s="39"/>
      <c r="G996" s="39"/>
    </row>
    <row r="997">
      <c r="A997" s="39"/>
      <c r="B997" s="39"/>
      <c r="C997" s="39"/>
      <c r="D997" s="39"/>
      <c r="E997" s="39"/>
      <c r="F997" s="39"/>
      <c r="G997" s="39"/>
    </row>
    <row r="998">
      <c r="A998" s="39"/>
      <c r="B998" s="39"/>
      <c r="C998" s="39"/>
      <c r="D998" s="39"/>
      <c r="E998" s="39"/>
      <c r="F998" s="39"/>
      <c r="G998" s="39"/>
    </row>
    <row r="999">
      <c r="A999" s="39"/>
      <c r="B999" s="39"/>
      <c r="C999" s="39"/>
      <c r="D999" s="39"/>
      <c r="E999" s="39"/>
      <c r="F999" s="39"/>
      <c r="G999" s="39"/>
    </row>
    <row r="1000">
      <c r="A1000" s="39"/>
      <c r="B1000" s="39"/>
      <c r="C1000" s="39"/>
      <c r="D1000" s="39"/>
      <c r="E1000" s="39"/>
      <c r="F1000" s="39"/>
      <c r="G1000" s="39"/>
    </row>
  </sheetData>
  <hyperlinks>
    <hyperlink r:id="rId1" location="gid=1624983456" ref="B1"/>
  </hyperlinks>
  <drawing r:id="rId2"/>
</worksheet>
</file>